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2.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3.xml" ContentType="application/vnd.openxmlformats-officedocument.drawing+xml"/>
  <Override PartName="/xl/comments1.xml" ContentType="application/vnd.openxmlformats-officedocument.spreadsheetml.comments+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4.xml" ContentType="application/vnd.openxmlformats-officedocument.drawing+xml"/>
  <Override PartName="/xl/comments2.xml" ContentType="application/vnd.openxmlformats-officedocument.spreadsheetml.comments+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drawings/drawing5.xml" ContentType="application/vnd.openxmlformats-officedocument.drawing+xml"/>
  <Override PartName="/xl/comments3.xml" ContentType="application/vnd.openxmlformats-officedocument.spreadsheetml.comments+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drawings/drawing6.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drawings/drawing9.xml" ContentType="application/vnd.openxmlformats-officedocument.drawing+xml"/>
  <Override PartName="/xl/charts/chart7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255" yWindow="390" windowWidth="22200" windowHeight="9660" tabRatio="554"/>
  </bookViews>
  <sheets>
    <sheet name="kursovoy" sheetId="12" r:id="rId1"/>
    <sheet name="обор" sheetId="7" r:id="rId2"/>
    <sheet name="ком" sheetId="8" r:id="rId3"/>
    <sheet name="стр" sheetId="9" r:id="rId4"/>
    <sheet name="вен" sheetId="10" r:id="rId5"/>
    <sheet name="Лист4" sheetId="11" r:id="rId6"/>
    <sheet name="шт-с" sheetId="13" r:id="rId7"/>
    <sheet name="шт-кмех" sheetId="14" r:id="rId8"/>
    <sheet name="охр" sheetId="15" r:id="rId9"/>
    <sheet name="Оптимизация" sheetId="16" r:id="rId10"/>
    <sheet name="Задание" sheetId="17" r:id="rId11"/>
    <sheet name="Лист2" sheetId="18" r:id="rId12"/>
    <sheet name="шт-кинд" sheetId="19" r:id="rId13"/>
    <sheet name="Лист1" sheetId="20" r:id="rId14"/>
  </sheets>
  <externalReferences>
    <externalReference r:id="rId15"/>
  </externalReferences>
  <definedNames>
    <definedName name="_xlnm._FilterDatabase" localSheetId="1" hidden="1">обор!$A$437:$BG$437</definedName>
    <definedName name="А1">обор!#REF!</definedName>
    <definedName name="А1992">обор!#REF!</definedName>
    <definedName name="А2935">обор!#REF!</definedName>
    <definedName name="А656">обор!#REF!</definedName>
    <definedName name="отчет">обор!#REF!</definedName>
  </definedNames>
  <calcPr calcId="145621"/>
</workbook>
</file>

<file path=xl/calcChain.xml><?xml version="1.0" encoding="utf-8"?>
<calcChain xmlns="http://schemas.openxmlformats.org/spreadsheetml/2006/main">
  <c r="S74" i="7" l="1"/>
  <c r="B95" i="16" l="1"/>
  <c r="B792" i="12" l="1"/>
  <c r="B790" i="12" l="1"/>
  <c r="B785" i="12" l="1"/>
  <c r="AL791" i="12" l="1"/>
  <c r="AK791" i="12"/>
  <c r="AJ791" i="12"/>
  <c r="AI791" i="12"/>
  <c r="AH791" i="12"/>
  <c r="AG791" i="12"/>
  <c r="AF791" i="12"/>
  <c r="AE791" i="12"/>
  <c r="AD791" i="12"/>
  <c r="AL789" i="12"/>
  <c r="AK789" i="12"/>
  <c r="AJ789" i="12"/>
  <c r="AI789" i="12"/>
  <c r="AH789" i="12"/>
  <c r="AG789" i="12"/>
  <c r="AF789" i="12"/>
  <c r="AE789" i="12"/>
  <c r="AD789" i="12"/>
  <c r="F784" i="12"/>
  <c r="I740" i="12" l="1"/>
  <c r="A793" i="12" l="1"/>
  <c r="A796" i="12"/>
  <c r="A824" i="12"/>
  <c r="A823" i="12"/>
  <c r="A1723" i="12"/>
  <c r="A1722" i="12"/>
  <c r="A527" i="12"/>
  <c r="A526" i="12"/>
  <c r="A525" i="12"/>
  <c r="A529" i="12"/>
  <c r="A535" i="12"/>
  <c r="A534" i="12"/>
  <c r="A532" i="12"/>
  <c r="D603" i="7"/>
  <c r="D605" i="7"/>
  <c r="D599" i="7"/>
  <c r="D601" i="7"/>
  <c r="D597" i="7"/>
  <c r="A531" i="12"/>
  <c r="A530" i="12"/>
  <c r="D364" i="7" l="1"/>
  <c r="D366" i="7"/>
  <c r="D368" i="7"/>
  <c r="D370" i="7"/>
  <c r="D362" i="7"/>
  <c r="F523" i="12"/>
  <c r="E523" i="12"/>
  <c r="D523" i="12"/>
  <c r="C523" i="12"/>
  <c r="B523" i="12"/>
  <c r="G319" i="7"/>
  <c r="G321" i="7"/>
  <c r="G323" i="7"/>
  <c r="G325" i="7"/>
  <c r="H319" i="7"/>
  <c r="H321" i="7"/>
  <c r="H323" i="7"/>
  <c r="H325" i="7"/>
  <c r="H317" i="7"/>
  <c r="G317" i="7"/>
  <c r="A541" i="12"/>
  <c r="G193" i="7"/>
  <c r="B471" i="12"/>
  <c r="B470" i="12"/>
  <c r="B468" i="12"/>
  <c r="C439" i="12"/>
  <c r="C433" i="12"/>
  <c r="A434" i="12"/>
  <c r="C193" i="7"/>
  <c r="A1119" i="12"/>
  <c r="B465" i="12"/>
  <c r="A1121" i="12" l="1"/>
  <c r="A1110" i="12"/>
  <c r="D68" i="16" l="1"/>
  <c r="A819" i="12" l="1"/>
  <c r="B195" i="7" l="1"/>
  <c r="A195" i="7"/>
  <c r="A194" i="7"/>
  <c r="A1264" i="12" l="1"/>
  <c r="A1890" i="12"/>
  <c r="A1263" i="12"/>
  <c r="A1111" i="12" l="1"/>
  <c r="A1097" i="12"/>
  <c r="A1096" i="12"/>
  <c r="A1068" i="12"/>
  <c r="A1067" i="12"/>
  <c r="A1014" i="12"/>
  <c r="A1013" i="12"/>
  <c r="A542" i="12"/>
  <c r="A305" i="12"/>
  <c r="A306" i="12"/>
  <c r="A286" i="12"/>
  <c r="A285" i="12"/>
  <c r="A2139" i="12"/>
  <c r="A2138" i="12"/>
  <c r="A2038" i="12"/>
  <c r="A2037" i="12"/>
  <c r="A1846" i="12"/>
  <c r="A1845" i="12"/>
  <c r="A1774" i="12"/>
  <c r="A1773" i="12"/>
  <c r="A1715" i="12"/>
  <c r="A1714" i="12"/>
  <c r="A1684" i="12"/>
  <c r="A1683" i="12"/>
  <c r="A561" i="12"/>
  <c r="A1663" i="12"/>
  <c r="A1664" i="12"/>
  <c r="A562" i="12"/>
  <c r="A1221" i="12" l="1"/>
  <c r="A885" i="12"/>
  <c r="A911" i="12"/>
  <c r="A962" i="12"/>
  <c r="A1208" i="12"/>
  <c r="A1516" i="12"/>
  <c r="A1536" i="12"/>
  <c r="A1558" i="12"/>
  <c r="A1559" i="12"/>
  <c r="A1537" i="12"/>
  <c r="A1222" i="12"/>
  <c r="A1517" i="12"/>
  <c r="A1209" i="12"/>
  <c r="A1122" i="12"/>
  <c r="A886" i="12"/>
  <c r="A963" i="12"/>
  <c r="A912" i="12"/>
  <c r="A80" i="10"/>
  <c r="B549" i="12" l="1"/>
  <c r="B548" i="12"/>
  <c r="B547" i="12"/>
  <c r="A543" i="12"/>
  <c r="H390" i="7"/>
  <c r="A353" i="12"/>
  <c r="A341" i="12"/>
  <c r="A322" i="12"/>
  <c r="A2204" i="12"/>
  <c r="A352" i="12" l="1"/>
  <c r="A340" i="12"/>
  <c r="A321" i="12"/>
  <c r="A244" i="12"/>
  <c r="A243" i="12"/>
  <c r="A246" i="12"/>
  <c r="A173" i="12"/>
  <c r="A172" i="12"/>
  <c r="C133" i="12" l="1"/>
  <c r="A130" i="12"/>
  <c r="C170" i="12"/>
  <c r="A134" i="12"/>
  <c r="A136" i="12"/>
  <c r="A132" i="12"/>
  <c r="B399" i="12" l="1"/>
  <c r="B349" i="12"/>
  <c r="C1253" i="12" l="1"/>
  <c r="B1253" i="12"/>
  <c r="B1219" i="12" l="1"/>
  <c r="B1215" i="12"/>
  <c r="A2116" i="12" l="1"/>
  <c r="B2035" i="12"/>
  <c r="B2130" i="12" s="1"/>
  <c r="B2027" i="12"/>
  <c r="B2122" i="12" s="1"/>
  <c r="B2029" i="12"/>
  <c r="B2124" i="12" s="1"/>
  <c r="B2033" i="12"/>
  <c r="B2128" i="12" s="1"/>
  <c r="B2034" i="12"/>
  <c r="B2129" i="12" s="1"/>
  <c r="B2023" i="12"/>
  <c r="B2118" i="12" s="1"/>
  <c r="A2022" i="12"/>
  <c r="A2117" i="12" s="1"/>
  <c r="A1872" i="12"/>
  <c r="B2022" i="12"/>
  <c r="B2117" i="12" s="1"/>
  <c r="B2021" i="12"/>
  <c r="B2116" i="12" s="1"/>
  <c r="A1883" i="12"/>
  <c r="A2032" i="12" s="1"/>
  <c r="A2127" i="12" s="1"/>
  <c r="A1884" i="12"/>
  <c r="A2033" i="12" s="1"/>
  <c r="A2128" i="12" s="1"/>
  <c r="A1882" i="12"/>
  <c r="A2031" i="12" s="1"/>
  <c r="A2126" i="12" s="1"/>
  <c r="B1879" i="12"/>
  <c r="B2028" i="12" s="1"/>
  <c r="B2123" i="12" s="1"/>
  <c r="B1881" i="12"/>
  <c r="B2030" i="12" s="1"/>
  <c r="B2125" i="12" s="1"/>
  <c r="A1881" i="12"/>
  <c r="A2030" i="12" s="1"/>
  <c r="A2125" i="12" s="1"/>
  <c r="A1880" i="12"/>
  <c r="A2029" i="12" s="1"/>
  <c r="A2124" i="12" s="1"/>
  <c r="A1879" i="12"/>
  <c r="A2028" i="12" s="1"/>
  <c r="A2123" i="12" s="1"/>
  <c r="A1878" i="12"/>
  <c r="A2027" i="12" s="1"/>
  <c r="A2122" i="12" s="1"/>
  <c r="A1875" i="12"/>
  <c r="A2024" i="12" s="1"/>
  <c r="A2119" i="12" s="1"/>
  <c r="B1876" i="12"/>
  <c r="B2025" i="12" s="1"/>
  <c r="B2120" i="12" s="1"/>
  <c r="A1876" i="12"/>
  <c r="A2025" i="12" s="1"/>
  <c r="A2120" i="12" s="1"/>
  <c r="A1877" i="12"/>
  <c r="A2026" i="12" s="1"/>
  <c r="A2121" i="12" s="1"/>
  <c r="A1874" i="12"/>
  <c r="A2023" i="12" s="1"/>
  <c r="A2118" i="12" s="1"/>
  <c r="A1873" i="12"/>
  <c r="A1708" i="12" l="1"/>
  <c r="A1709" i="12"/>
  <c r="A1710" i="12"/>
  <c r="A1711" i="12"/>
  <c r="A1707" i="12"/>
  <c r="A1700" i="12"/>
  <c r="A1701" i="12"/>
  <c r="A1702" i="12"/>
  <c r="A1703" i="12"/>
  <c r="A1704" i="12"/>
  <c r="A140" i="16" l="1"/>
  <c r="B1194" i="12"/>
  <c r="C1217" i="12" s="1"/>
  <c r="B1257" i="12" s="1"/>
  <c r="A1194" i="12"/>
  <c r="A176" i="16"/>
  <c r="B176" i="16"/>
  <c r="A175" i="16"/>
  <c r="A1171" i="12" l="1"/>
  <c r="B1171" i="12"/>
  <c r="A1172" i="12"/>
  <c r="B1172" i="12"/>
  <c r="A1173" i="12"/>
  <c r="B1173" i="12"/>
  <c r="A1174" i="12"/>
  <c r="B1174" i="12"/>
  <c r="A1175" i="12"/>
  <c r="B1175" i="12"/>
  <c r="A1176" i="12"/>
  <c r="B1176" i="12"/>
  <c r="A1177" i="12"/>
  <c r="B1177" i="12"/>
  <c r="A1178" i="12"/>
  <c r="B1178" i="12"/>
  <c r="A1179" i="12"/>
  <c r="A1170" i="12"/>
  <c r="B1216" i="12" s="1"/>
  <c r="A1165" i="12"/>
  <c r="A1164" i="12"/>
  <c r="B1157" i="12"/>
  <c r="A1155" i="12"/>
  <c r="A153" i="16"/>
  <c r="A154" i="16"/>
  <c r="B154" i="16"/>
  <c r="B140" i="16" l="1"/>
  <c r="C821" i="12"/>
  <c r="C910" i="12" l="1"/>
  <c r="B910" i="12"/>
  <c r="C909" i="12"/>
  <c r="B909" i="12"/>
  <c r="B908" i="12"/>
  <c r="C908" i="12" s="1"/>
  <c r="A2115" i="12"/>
  <c r="A2110" i="12"/>
  <c r="A2111" i="12"/>
  <c r="A2112" i="12"/>
  <c r="A2113" i="12"/>
  <c r="A2114" i="12"/>
  <c r="A2109" i="12"/>
  <c r="C1872" i="12" l="1"/>
  <c r="A1887" i="12"/>
  <c r="A2036" i="12" s="1"/>
  <c r="A2131" i="12" s="1"/>
  <c r="A1886" i="12"/>
  <c r="A2035" i="12" s="1"/>
  <c r="A2130" i="12" s="1"/>
  <c r="A1885" i="12"/>
  <c r="A2034" i="12" s="1"/>
  <c r="A2129" i="12" s="1"/>
  <c r="B2108" i="12"/>
  <c r="B2107" i="12"/>
  <c r="C1871" i="12"/>
  <c r="T40" i="19" l="1"/>
  <c r="B1179" i="12"/>
  <c r="A136" i="10"/>
  <c r="A135" i="10"/>
  <c r="B130" i="10"/>
  <c r="C1216" i="12" l="1"/>
  <c r="B1256" i="12"/>
  <c r="B942" i="12"/>
  <c r="F622" i="7" l="1"/>
  <c r="E25" i="7"/>
  <c r="F25" i="7"/>
  <c r="A168" i="12" l="1"/>
  <c r="A2154" i="12" l="1"/>
  <c r="A2153" i="12"/>
  <c r="A2152" i="12"/>
  <c r="A2158" i="12"/>
  <c r="D432" i="12"/>
  <c r="B1549" i="12" l="1"/>
  <c r="A1506" i="12"/>
  <c r="H1506" i="12"/>
  <c r="A1507" i="12"/>
  <c r="H1507" i="12"/>
  <c r="A1508" i="12"/>
  <c r="A1510" i="12"/>
  <c r="A1495" i="12"/>
  <c r="A1496" i="12"/>
  <c r="A1497" i="12"/>
  <c r="A1498" i="12"/>
  <c r="A1499" i="12"/>
  <c r="A1500" i="12"/>
  <c r="A1502" i="12"/>
  <c r="A1503" i="12"/>
  <c r="A1504" i="12"/>
  <c r="H1505" i="12"/>
  <c r="A1486" i="12"/>
  <c r="C1488" i="12"/>
  <c r="A1489" i="12"/>
  <c r="F1489" i="12"/>
  <c r="A1490" i="12"/>
  <c r="H1493" i="12"/>
  <c r="A1494" i="12"/>
  <c r="A1485" i="12"/>
  <c r="C1478" i="12"/>
  <c r="F1478" i="12"/>
  <c r="D1479" i="12"/>
  <c r="D1480" i="12"/>
  <c r="D1481" i="12"/>
  <c r="A1482" i="12"/>
  <c r="A1475" i="12"/>
  <c r="B1473" i="12"/>
  <c r="C1473" i="12"/>
  <c r="D1473" i="12"/>
  <c r="F1473" i="12"/>
  <c r="G1473" i="12"/>
  <c r="H1473" i="12"/>
  <c r="A1463" i="12"/>
  <c r="H1463" i="12"/>
  <c r="A1464" i="12"/>
  <c r="A1465" i="12"/>
  <c r="A1466" i="12"/>
  <c r="H1462" i="12"/>
  <c r="A1462" i="12"/>
  <c r="A1457" i="12"/>
  <c r="A1458" i="12"/>
  <c r="A1459" i="12"/>
  <c r="A1456" i="12"/>
  <c r="A1447" i="12"/>
  <c r="A1450" i="12"/>
  <c r="A1451" i="12"/>
  <c r="D1451" i="12"/>
  <c r="A1452" i="12"/>
  <c r="A1446" i="12"/>
  <c r="A1438" i="12"/>
  <c r="D1439" i="12"/>
  <c r="A1441" i="12"/>
  <c r="D1442" i="12"/>
  <c r="A1443" i="12"/>
  <c r="C1433" i="12"/>
  <c r="D1433" i="12"/>
  <c r="E1433" i="12"/>
  <c r="E1473" i="12" s="1"/>
  <c r="F1433" i="12"/>
  <c r="G1433" i="12"/>
  <c r="H1433" i="12"/>
  <c r="B1433" i="12"/>
  <c r="B235" i="19" l="1"/>
  <c r="B232" i="19"/>
  <c r="B2617" i="14"/>
  <c r="B176" i="19"/>
  <c r="B148" i="19"/>
  <c r="B166" i="14"/>
  <c r="D56" i="19" l="1"/>
  <c r="B1195" i="12"/>
  <c r="B1180" i="12"/>
  <c r="T45" i="19"/>
  <c r="T44" i="19"/>
  <c r="T43" i="19"/>
  <c r="T42" i="19"/>
  <c r="T41" i="19"/>
  <c r="T39" i="19"/>
  <c r="T38" i="19"/>
  <c r="T37" i="19"/>
  <c r="T36" i="19"/>
  <c r="A89" i="19" l="1"/>
  <c r="A1512" i="12" s="1"/>
  <c r="A49" i="19"/>
  <c r="A51" i="19"/>
  <c r="A1474" i="12" s="1"/>
  <c r="A53" i="19"/>
  <c r="A1476" i="12" s="1"/>
  <c r="A57" i="19"/>
  <c r="A1480" i="12" s="1"/>
  <c r="A60" i="19"/>
  <c r="A1483" i="12" s="1"/>
  <c r="A68" i="19"/>
  <c r="A1491" i="12" s="1"/>
  <c r="A70" i="19"/>
  <c r="A1493" i="12" s="1"/>
  <c r="A82" i="19"/>
  <c r="A1505" i="12" s="1"/>
  <c r="T46" i="19"/>
  <c r="A54" i="19"/>
  <c r="A1477" i="12" s="1"/>
  <c r="A58" i="19"/>
  <c r="A1481" i="12" s="1"/>
  <c r="A61" i="19"/>
  <c r="A1484" i="12" s="1"/>
  <c r="A69" i="19"/>
  <c r="A1492" i="12" s="1"/>
  <c r="A78" i="19"/>
  <c r="A1501" i="12" s="1"/>
  <c r="A88" i="19"/>
  <c r="A1511" i="12" s="1"/>
  <c r="A90" i="19"/>
  <c r="A1513" i="12" s="1"/>
  <c r="B183" i="19"/>
  <c r="B247" i="19"/>
  <c r="B240" i="19"/>
  <c r="B239" i="19"/>
  <c r="B2674" i="14"/>
  <c r="B165" i="19"/>
  <c r="B143" i="19"/>
  <c r="B174" i="19"/>
  <c r="B178" i="19"/>
  <c r="G312" i="8"/>
  <c r="H310" i="8"/>
  <c r="I310" i="8"/>
  <c r="J310" i="8"/>
  <c r="K310" i="8"/>
  <c r="G310" i="8"/>
  <c r="H309" i="8"/>
  <c r="I309" i="8"/>
  <c r="J309" i="8"/>
  <c r="K309" i="8"/>
  <c r="G309" i="8"/>
  <c r="P663" i="8"/>
  <c r="O663" i="8"/>
  <c r="N663" i="8"/>
  <c r="M663" i="8"/>
  <c r="L663" i="8"/>
  <c r="K663" i="8"/>
  <c r="J662" i="8"/>
  <c r="I663" i="8"/>
  <c r="H663" i="8"/>
  <c r="G663" i="8"/>
  <c r="F663" i="8"/>
  <c r="E663" i="8"/>
  <c r="D663" i="8"/>
  <c r="C663" i="8"/>
  <c r="B663" i="8"/>
  <c r="G720" i="7" l="1"/>
  <c r="E615" i="7"/>
  <c r="G621" i="7" s="1"/>
  <c r="E617" i="7"/>
  <c r="G623" i="7" s="1"/>
  <c r="C599" i="7"/>
  <c r="C601" i="7"/>
  <c r="C603" i="7"/>
  <c r="C605" i="7"/>
  <c r="C597" i="7"/>
  <c r="D617" i="7"/>
  <c r="F623" i="7" s="1"/>
  <c r="H560" i="7"/>
  <c r="H562" i="7"/>
  <c r="H564" i="7"/>
  <c r="H566" i="7"/>
  <c r="H568" i="7"/>
  <c r="H558" i="7"/>
  <c r="G560" i="7"/>
  <c r="G562" i="7"/>
  <c r="G564" i="7"/>
  <c r="G566" i="7"/>
  <c r="G568" i="7"/>
  <c r="G558" i="7"/>
  <c r="F560" i="7"/>
  <c r="F562" i="7"/>
  <c r="F564" i="7"/>
  <c r="F566" i="7"/>
  <c r="F568" i="7"/>
  <c r="F558" i="7"/>
  <c r="E560" i="7"/>
  <c r="E562" i="7"/>
  <c r="E564" i="7"/>
  <c r="E566" i="7"/>
  <c r="E568" i="7"/>
  <c r="E558" i="7"/>
  <c r="D560" i="7"/>
  <c r="D562" i="7"/>
  <c r="D564" i="7"/>
  <c r="D566" i="7"/>
  <c r="D568" i="7"/>
  <c r="D558" i="7"/>
  <c r="C560" i="7"/>
  <c r="C562" i="7"/>
  <c r="C564" i="7"/>
  <c r="C566" i="7"/>
  <c r="C568" i="7"/>
  <c r="C558" i="7"/>
  <c r="D615" i="7"/>
  <c r="F621" i="7" s="1"/>
  <c r="A569" i="7"/>
  <c r="A567" i="7"/>
  <c r="A568" i="7"/>
  <c r="A566" i="7"/>
  <c r="A565" i="7"/>
  <c r="A564" i="7"/>
  <c r="A563" i="7"/>
  <c r="A562" i="7"/>
  <c r="A561" i="7"/>
  <c r="A560" i="7"/>
  <c r="A606" i="7"/>
  <c r="A605" i="7"/>
  <c r="A604" i="7"/>
  <c r="A603" i="7"/>
  <c r="A602" i="7"/>
  <c r="A601" i="7"/>
  <c r="A600" i="7"/>
  <c r="A599" i="7"/>
  <c r="B2271" i="12" l="1"/>
  <c r="B150" i="19"/>
  <c r="B161" i="14"/>
  <c r="B160" i="14"/>
  <c r="B142" i="19"/>
  <c r="B752" i="19" s="1"/>
  <c r="B1065" i="19" s="1"/>
  <c r="B161" i="19"/>
  <c r="C756" i="19"/>
  <c r="E756" i="19"/>
  <c r="E812" i="19" s="1"/>
  <c r="E871" i="19" s="1"/>
  <c r="G756" i="19"/>
  <c r="G812" i="19" s="1"/>
  <c r="B139" i="19"/>
  <c r="B169" i="19"/>
  <c r="C169" i="19"/>
  <c r="D169" i="19"/>
  <c r="E169" i="19"/>
  <c r="F169" i="19"/>
  <c r="G169" i="19"/>
  <c r="B799" i="19"/>
  <c r="B809" i="19" s="1"/>
  <c r="D799" i="19"/>
  <c r="D809" i="19" s="1"/>
  <c r="F799" i="19"/>
  <c r="F809" i="19" s="1"/>
  <c r="B179" i="19"/>
  <c r="B1196" i="19" s="1"/>
  <c r="C179" i="19"/>
  <c r="D179" i="19"/>
  <c r="D1196" i="19" s="1"/>
  <c r="E179" i="19"/>
  <c r="F179" i="19"/>
  <c r="F1196" i="19" s="1"/>
  <c r="G179" i="19"/>
  <c r="B180" i="19"/>
  <c r="B1197" i="19" s="1"/>
  <c r="C180" i="19"/>
  <c r="D180" i="19"/>
  <c r="D1197" i="19" s="1"/>
  <c r="E180" i="19"/>
  <c r="F180" i="19"/>
  <c r="F1197" i="19" s="1"/>
  <c r="G180" i="19"/>
  <c r="B1076" i="19"/>
  <c r="B1726" i="19" s="1"/>
  <c r="C1076" i="19"/>
  <c r="E1076" i="19"/>
  <c r="F1076" i="19"/>
  <c r="G1076" i="19"/>
  <c r="B185" i="19"/>
  <c r="C185" i="19"/>
  <c r="C1170" i="19" s="1"/>
  <c r="D185" i="19"/>
  <c r="E185" i="19"/>
  <c r="E1170" i="19" s="1"/>
  <c r="F185" i="19"/>
  <c r="G185" i="19"/>
  <c r="G1170" i="19" s="1"/>
  <c r="B186" i="19"/>
  <c r="B500" i="19" s="1"/>
  <c r="B553" i="19" s="1"/>
  <c r="C186" i="19"/>
  <c r="D186" i="19"/>
  <c r="E186" i="19"/>
  <c r="F186" i="19"/>
  <c r="F502" i="19" s="1"/>
  <c r="F555" i="19" s="1"/>
  <c r="G186" i="19"/>
  <c r="B187" i="19"/>
  <c r="C187" i="19"/>
  <c r="C529" i="19" s="1"/>
  <c r="C557" i="19" s="1"/>
  <c r="D187" i="19"/>
  <c r="E187" i="19"/>
  <c r="E529" i="19" s="1"/>
  <c r="E557" i="19" s="1"/>
  <c r="F187" i="19"/>
  <c r="F1183" i="19" s="1"/>
  <c r="G187" i="19"/>
  <c r="G529" i="19" s="1"/>
  <c r="G557" i="19" s="1"/>
  <c r="B188" i="19"/>
  <c r="B503" i="19" s="1"/>
  <c r="B533" i="19" s="1"/>
  <c r="C188" i="19"/>
  <c r="D188" i="19"/>
  <c r="D532" i="19" s="1"/>
  <c r="E188" i="19"/>
  <c r="F188" i="19"/>
  <c r="G188" i="19"/>
  <c r="B189" i="19"/>
  <c r="B534" i="19" s="1"/>
  <c r="C189" i="19"/>
  <c r="C534" i="19" s="1"/>
  <c r="D189" i="19"/>
  <c r="E189" i="19"/>
  <c r="E534" i="19" s="1"/>
  <c r="F189" i="19"/>
  <c r="F534" i="19" s="1"/>
  <c r="G189" i="19"/>
  <c r="G534" i="19" s="1"/>
  <c r="B190" i="19"/>
  <c r="C190" i="19"/>
  <c r="C524" i="19" s="1"/>
  <c r="D190" i="19"/>
  <c r="D1179" i="19" s="1"/>
  <c r="E190" i="19"/>
  <c r="E524" i="19" s="1"/>
  <c r="F190" i="19"/>
  <c r="G190" i="19"/>
  <c r="G524" i="19" s="1"/>
  <c r="B191" i="19"/>
  <c r="C191" i="19"/>
  <c r="C544" i="19" s="1"/>
  <c r="D191" i="19"/>
  <c r="E191" i="19"/>
  <c r="E544" i="19" s="1"/>
  <c r="F191" i="19"/>
  <c r="F1186" i="19" s="1"/>
  <c r="G191" i="19"/>
  <c r="G544" i="19" s="1"/>
  <c r="B192" i="19"/>
  <c r="C192" i="19"/>
  <c r="D192" i="19"/>
  <c r="E192" i="19"/>
  <c r="F192" i="19"/>
  <c r="G192" i="19"/>
  <c r="B193" i="19"/>
  <c r="B681" i="19" s="1"/>
  <c r="C193" i="19"/>
  <c r="C681" i="19" s="1"/>
  <c r="D193" i="19"/>
  <c r="E193" i="19"/>
  <c r="E681" i="19" s="1"/>
  <c r="F193" i="19"/>
  <c r="F681" i="19" s="1"/>
  <c r="G193" i="19"/>
  <c r="G681" i="19" s="1"/>
  <c r="B194" i="19"/>
  <c r="C194" i="19"/>
  <c r="C675" i="19" s="1"/>
  <c r="D194" i="19"/>
  <c r="D675" i="19" s="1"/>
  <c r="E194" i="19"/>
  <c r="E675" i="19" s="1"/>
  <c r="F194" i="19"/>
  <c r="F675" i="19" s="1"/>
  <c r="G194" i="19"/>
  <c r="G675" i="19" s="1"/>
  <c r="B195" i="19"/>
  <c r="B636" i="19" s="1"/>
  <c r="C195" i="19"/>
  <c r="C636" i="19" s="1"/>
  <c r="D195" i="19"/>
  <c r="D636" i="19" s="1"/>
  <c r="E195" i="19"/>
  <c r="E636" i="19" s="1"/>
  <c r="F195" i="19"/>
  <c r="G195" i="19"/>
  <c r="G636" i="19" s="1"/>
  <c r="B196" i="19"/>
  <c r="B1265" i="19" s="1"/>
  <c r="B1899" i="19" s="1"/>
  <c r="C196" i="19"/>
  <c r="C586" i="19" s="1"/>
  <c r="D196" i="19"/>
  <c r="E196" i="19"/>
  <c r="E586" i="19" s="1"/>
  <c r="F196" i="19"/>
  <c r="F586" i="19" s="1"/>
  <c r="G196" i="19"/>
  <c r="G586" i="19" s="1"/>
  <c r="B197" i="19"/>
  <c r="C197" i="19"/>
  <c r="C1217" i="19" s="1"/>
  <c r="D197" i="19"/>
  <c r="D1217" i="19" s="1"/>
  <c r="D1853" i="19" s="1"/>
  <c r="E197" i="19"/>
  <c r="E1217" i="19" s="1"/>
  <c r="F197" i="19"/>
  <c r="G197" i="19"/>
  <c r="G1217" i="19" s="1"/>
  <c r="B198" i="19"/>
  <c r="C198" i="19"/>
  <c r="D198" i="19"/>
  <c r="E198" i="19"/>
  <c r="F198" i="19"/>
  <c r="G198" i="19"/>
  <c r="B199" i="19"/>
  <c r="C199" i="19"/>
  <c r="C1292" i="19" s="1"/>
  <c r="D199" i="19"/>
  <c r="E199" i="19"/>
  <c r="E1292" i="19" s="1"/>
  <c r="F199" i="19"/>
  <c r="G199" i="19"/>
  <c r="G1292" i="19" s="1"/>
  <c r="B200" i="19"/>
  <c r="B691" i="19" s="1"/>
  <c r="C200" i="19"/>
  <c r="D200" i="19"/>
  <c r="D691" i="19" s="1"/>
  <c r="E200" i="19"/>
  <c r="F200" i="19"/>
  <c r="F691" i="19" s="1"/>
  <c r="G200" i="19"/>
  <c r="B201" i="19"/>
  <c r="C201" i="19"/>
  <c r="C1308" i="19" s="1"/>
  <c r="D201" i="19"/>
  <c r="E201" i="19"/>
  <c r="E1308" i="19" s="1"/>
  <c r="F201" i="19"/>
  <c r="G201" i="19"/>
  <c r="G1308" i="19" s="1"/>
  <c r="B202" i="19"/>
  <c r="C202" i="19"/>
  <c r="C1298" i="19" s="1"/>
  <c r="D202" i="19"/>
  <c r="E202" i="19"/>
  <c r="E1298" i="19" s="1"/>
  <c r="F202" i="19"/>
  <c r="G202" i="19"/>
  <c r="G1298" i="19" s="1"/>
  <c r="B203" i="19"/>
  <c r="C203" i="19"/>
  <c r="C1297" i="19" s="1"/>
  <c r="C1299" i="19" s="1"/>
  <c r="D203" i="19"/>
  <c r="E203" i="19"/>
  <c r="E1297" i="19" s="1"/>
  <c r="E1299" i="19" s="1"/>
  <c r="F203" i="19"/>
  <c r="G203" i="19"/>
  <c r="G1297" i="19" s="1"/>
  <c r="G1299" i="19" s="1"/>
  <c r="B204" i="19"/>
  <c r="C204" i="19"/>
  <c r="C1303" i="19" s="1"/>
  <c r="D204" i="19"/>
  <c r="E204" i="19"/>
  <c r="E1303" i="19" s="1"/>
  <c r="F204" i="19"/>
  <c r="G204" i="19"/>
  <c r="G1303" i="19" s="1"/>
  <c r="B205" i="19"/>
  <c r="C205" i="19"/>
  <c r="C1302" i="19" s="1"/>
  <c r="C1304" i="19" s="1"/>
  <c r="D205" i="19"/>
  <c r="E205" i="19"/>
  <c r="E1302" i="19" s="1"/>
  <c r="E1304" i="19" s="1"/>
  <c r="F205" i="19"/>
  <c r="G205" i="19"/>
  <c r="G1302" i="19" s="1"/>
  <c r="G1304" i="19" s="1"/>
  <c r="B206" i="19"/>
  <c r="C206" i="19"/>
  <c r="D206" i="19"/>
  <c r="E206" i="19"/>
  <c r="F206" i="19"/>
  <c r="G206" i="19"/>
  <c r="B207" i="19"/>
  <c r="B568" i="19" s="1"/>
  <c r="C207" i="19"/>
  <c r="C568" i="19" s="1"/>
  <c r="D207" i="19"/>
  <c r="E207" i="19"/>
  <c r="E568" i="19" s="1"/>
  <c r="F207" i="19"/>
  <c r="F568" i="19" s="1"/>
  <c r="G207" i="19"/>
  <c r="G568" i="19" s="1"/>
  <c r="B208" i="19"/>
  <c r="C208" i="19"/>
  <c r="D208" i="19"/>
  <c r="E208" i="19"/>
  <c r="F208" i="19"/>
  <c r="G208" i="19"/>
  <c r="B209" i="19"/>
  <c r="B575" i="19" s="1"/>
  <c r="C209" i="19"/>
  <c r="C575" i="19" s="1"/>
  <c r="D209" i="19"/>
  <c r="D575" i="19" s="1"/>
  <c r="E209" i="19"/>
  <c r="E575" i="19" s="1"/>
  <c r="F209" i="19"/>
  <c r="G209" i="19"/>
  <c r="G575" i="19" s="1"/>
  <c r="B211" i="19"/>
  <c r="B697" i="19" s="1"/>
  <c r="C211" i="19"/>
  <c r="C697" i="19" s="1"/>
  <c r="D211" i="19"/>
  <c r="D697" i="19" s="1"/>
  <c r="E211" i="19"/>
  <c r="E697" i="19" s="1"/>
  <c r="F211" i="19"/>
  <c r="G211" i="19"/>
  <c r="G697" i="19" s="1"/>
  <c r="B212" i="19"/>
  <c r="C212" i="19"/>
  <c r="C703" i="19" s="1"/>
  <c r="D212" i="19"/>
  <c r="D703" i="19" s="1"/>
  <c r="E212" i="19"/>
  <c r="E703" i="19" s="1"/>
  <c r="F212" i="19"/>
  <c r="F703" i="19" s="1"/>
  <c r="G212" i="19"/>
  <c r="G703" i="19" s="1"/>
  <c r="B213" i="19"/>
  <c r="B709" i="19" s="1"/>
  <c r="C213" i="19"/>
  <c r="C709" i="19" s="1"/>
  <c r="D213" i="19"/>
  <c r="D709" i="19" s="1"/>
  <c r="E213" i="19"/>
  <c r="E709" i="19" s="1"/>
  <c r="F213" i="19"/>
  <c r="G213" i="19"/>
  <c r="G709" i="19" s="1"/>
  <c r="B214" i="19"/>
  <c r="B683" i="19" s="1"/>
  <c r="C214" i="19"/>
  <c r="C683" i="19" s="1"/>
  <c r="D214" i="19"/>
  <c r="D683" i="19" s="1"/>
  <c r="E214" i="19"/>
  <c r="E683" i="19" s="1"/>
  <c r="F214" i="19"/>
  <c r="G214" i="19"/>
  <c r="G683" i="19" s="1"/>
  <c r="B215" i="19"/>
  <c r="B693" i="19" s="1"/>
  <c r="C215" i="19"/>
  <c r="C693" i="19" s="1"/>
  <c r="D215" i="19"/>
  <c r="E215" i="19"/>
  <c r="E693" i="19" s="1"/>
  <c r="F215" i="19"/>
  <c r="F693" i="19" s="1"/>
  <c r="G215" i="19"/>
  <c r="G693" i="19" s="1"/>
  <c r="B216" i="19"/>
  <c r="B699" i="19" s="1"/>
  <c r="C216" i="19"/>
  <c r="C699" i="19" s="1"/>
  <c r="D216" i="19"/>
  <c r="D699" i="19" s="1"/>
  <c r="E216" i="19"/>
  <c r="E699" i="19" s="1"/>
  <c r="F216" i="19"/>
  <c r="F699" i="19" s="1"/>
  <c r="G216" i="19"/>
  <c r="G699" i="19" s="1"/>
  <c r="B217" i="19"/>
  <c r="B705" i="19" s="1"/>
  <c r="C217" i="19"/>
  <c r="C705" i="19" s="1"/>
  <c r="D217" i="19"/>
  <c r="E217" i="19"/>
  <c r="E705" i="19" s="1"/>
  <c r="F217" i="19"/>
  <c r="F705" i="19" s="1"/>
  <c r="G217" i="19"/>
  <c r="G705" i="19" s="1"/>
  <c r="B218" i="19"/>
  <c r="B711" i="19" s="1"/>
  <c r="C218" i="19"/>
  <c r="C711" i="19" s="1"/>
  <c r="D218" i="19"/>
  <c r="D711" i="19" s="1"/>
  <c r="E218" i="19"/>
  <c r="E711" i="19" s="1"/>
  <c r="F218" i="19"/>
  <c r="F711" i="19" s="1"/>
  <c r="G218" i="19"/>
  <c r="G711" i="19" s="1"/>
  <c r="B219" i="19"/>
  <c r="C219" i="19"/>
  <c r="D219" i="19"/>
  <c r="E219" i="19"/>
  <c r="F219" i="19"/>
  <c r="G219" i="19"/>
  <c r="B220" i="19"/>
  <c r="C220" i="19"/>
  <c r="D220" i="19"/>
  <c r="E220" i="19"/>
  <c r="F220" i="19"/>
  <c r="G220" i="19"/>
  <c r="B221" i="19"/>
  <c r="B607" i="19" s="1"/>
  <c r="C221" i="19"/>
  <c r="D221" i="19"/>
  <c r="D607" i="19" s="1"/>
  <c r="E221" i="19"/>
  <c r="F221" i="19"/>
  <c r="G221" i="19"/>
  <c r="B222" i="19"/>
  <c r="C222" i="19"/>
  <c r="D222" i="19"/>
  <c r="E222" i="19"/>
  <c r="F222" i="19"/>
  <c r="G222" i="19"/>
  <c r="B223" i="19"/>
  <c r="B566" i="19" s="1"/>
  <c r="C223" i="19"/>
  <c r="C566" i="19" s="1"/>
  <c r="D223" i="19"/>
  <c r="D566" i="19" s="1"/>
  <c r="E223" i="19"/>
  <c r="E566" i="19" s="1"/>
  <c r="F223" i="19"/>
  <c r="F566" i="19" s="1"/>
  <c r="G223" i="19"/>
  <c r="G566" i="19" s="1"/>
  <c r="B224" i="19"/>
  <c r="C224" i="19"/>
  <c r="C1263" i="19" s="1"/>
  <c r="C1897" i="19" s="1"/>
  <c r="D224" i="19"/>
  <c r="D584" i="19" s="1"/>
  <c r="E224" i="19"/>
  <c r="E1263" i="19" s="1"/>
  <c r="E1897" i="19" s="1"/>
  <c r="F224" i="19"/>
  <c r="G224" i="19"/>
  <c r="G1263" i="19" s="1"/>
  <c r="G1897" i="19" s="1"/>
  <c r="B226" i="19"/>
  <c r="C226" i="19"/>
  <c r="D226" i="19"/>
  <c r="E226" i="19"/>
  <c r="F226" i="19"/>
  <c r="G226" i="19"/>
  <c r="B227" i="19"/>
  <c r="B676" i="19" s="1"/>
  <c r="C227" i="19"/>
  <c r="C676" i="19" s="1"/>
  <c r="C677" i="19" s="1"/>
  <c r="D227" i="19"/>
  <c r="E227" i="19"/>
  <c r="E676" i="19" s="1"/>
  <c r="E677" i="19" s="1"/>
  <c r="F227" i="19"/>
  <c r="F676" i="19" s="1"/>
  <c r="G227" i="19"/>
  <c r="G676" i="19" s="1"/>
  <c r="G677" i="19" s="1"/>
  <c r="C922" i="19"/>
  <c r="D922" i="19"/>
  <c r="E922" i="19"/>
  <c r="E931" i="19" s="1"/>
  <c r="G922" i="19"/>
  <c r="G931" i="19" s="1"/>
  <c r="B368" i="19"/>
  <c r="C394" i="19"/>
  <c r="D394" i="19"/>
  <c r="E394" i="19"/>
  <c r="F394" i="19"/>
  <c r="G394" i="19"/>
  <c r="B237" i="19"/>
  <c r="B768" i="19" s="1"/>
  <c r="B1424" i="19" s="1"/>
  <c r="C768" i="19"/>
  <c r="E444" i="19"/>
  <c r="F444" i="19"/>
  <c r="G451" i="19"/>
  <c r="C481" i="19"/>
  <c r="D481" i="19"/>
  <c r="E481" i="19"/>
  <c r="F481" i="19"/>
  <c r="G481" i="19"/>
  <c r="B769" i="19"/>
  <c r="C769" i="19"/>
  <c r="D769" i="19"/>
  <c r="E769" i="19"/>
  <c r="F769" i="19"/>
  <c r="G769" i="19"/>
  <c r="B248" i="19"/>
  <c r="B591" i="19" s="1"/>
  <c r="C248" i="19"/>
  <c r="C591" i="19" s="1"/>
  <c r="D248" i="19"/>
  <c r="D591" i="19" s="1"/>
  <c r="E248" i="19"/>
  <c r="E591" i="19" s="1"/>
  <c r="F248" i="19"/>
  <c r="G248" i="19"/>
  <c r="G591" i="19" s="1"/>
  <c r="B249" i="19"/>
  <c r="B593" i="19" s="1"/>
  <c r="C249" i="19"/>
  <c r="C593" i="19" s="1"/>
  <c r="D249" i="19"/>
  <c r="D593" i="19" s="1"/>
  <c r="E249" i="19"/>
  <c r="E593" i="19" s="1"/>
  <c r="F249" i="19"/>
  <c r="G249" i="19"/>
  <c r="G593" i="19" s="1"/>
  <c r="B250" i="19"/>
  <c r="B598" i="19" s="1"/>
  <c r="C250" i="19"/>
  <c r="C598" i="19" s="1"/>
  <c r="D250" i="19"/>
  <c r="D598" i="19" s="1"/>
  <c r="E250" i="19"/>
  <c r="E598" i="19" s="1"/>
  <c r="F250" i="19"/>
  <c r="F598" i="19" s="1"/>
  <c r="G250" i="19"/>
  <c r="G598" i="19" s="1"/>
  <c r="B251" i="19"/>
  <c r="C251" i="19"/>
  <c r="C600" i="19" s="1"/>
  <c r="D251" i="19"/>
  <c r="D600" i="19" s="1"/>
  <c r="E251" i="19"/>
  <c r="E600" i="19" s="1"/>
  <c r="F251" i="19"/>
  <c r="F600" i="19" s="1"/>
  <c r="G251" i="19"/>
  <c r="G600" i="19" s="1"/>
  <c r="B252" i="19"/>
  <c r="C252" i="19"/>
  <c r="D252" i="19"/>
  <c r="E252" i="19"/>
  <c r="F252" i="19"/>
  <c r="G252" i="19"/>
  <c r="B253" i="19"/>
  <c r="C253" i="19"/>
  <c r="D253" i="19"/>
  <c r="E253" i="19"/>
  <c r="F253" i="19"/>
  <c r="G253" i="19"/>
  <c r="B254" i="19"/>
  <c r="C254" i="19"/>
  <c r="D254" i="19"/>
  <c r="E254" i="19"/>
  <c r="F254" i="19"/>
  <c r="G254" i="19"/>
  <c r="B255" i="19"/>
  <c r="B606" i="19" s="1"/>
  <c r="C255" i="19"/>
  <c r="C606" i="19" s="1"/>
  <c r="D255" i="19"/>
  <c r="E255" i="19"/>
  <c r="E606" i="19" s="1"/>
  <c r="F255" i="19"/>
  <c r="F606" i="19" s="1"/>
  <c r="G255" i="19"/>
  <c r="G606" i="19" s="1"/>
  <c r="B256" i="19"/>
  <c r="B609" i="19" s="1"/>
  <c r="C256" i="19"/>
  <c r="C609" i="19" s="1"/>
  <c r="D256" i="19"/>
  <c r="D609" i="19" s="1"/>
  <c r="E256" i="19"/>
  <c r="E609" i="19" s="1"/>
  <c r="F256" i="19"/>
  <c r="F609" i="19" s="1"/>
  <c r="G256" i="19"/>
  <c r="G609" i="19" s="1"/>
  <c r="B257" i="19"/>
  <c r="C257" i="19"/>
  <c r="C613" i="19" s="1"/>
  <c r="C614" i="19" s="1"/>
  <c r="D257" i="19"/>
  <c r="D613" i="19" s="1"/>
  <c r="D614" i="19" s="1"/>
  <c r="E257" i="19"/>
  <c r="E613" i="19" s="1"/>
  <c r="E614" i="19" s="1"/>
  <c r="F257" i="19"/>
  <c r="F613" i="19" s="1"/>
  <c r="F614" i="19" s="1"/>
  <c r="G257" i="19"/>
  <c r="G613" i="19" s="1"/>
  <c r="G614" i="19" s="1"/>
  <c r="B258" i="19"/>
  <c r="C258" i="19"/>
  <c r="D258" i="19"/>
  <c r="E258" i="19"/>
  <c r="F258" i="19"/>
  <c r="G258" i="19"/>
  <c r="B259" i="19"/>
  <c r="C259" i="19"/>
  <c r="C616" i="19" s="1"/>
  <c r="D259" i="19"/>
  <c r="D616" i="19" s="1"/>
  <c r="E259" i="19"/>
  <c r="E616" i="19" s="1"/>
  <c r="F259" i="19"/>
  <c r="F616" i="19" s="1"/>
  <c r="G259" i="19"/>
  <c r="G616" i="19" s="1"/>
  <c r="B260" i="19"/>
  <c r="B1203" i="19" s="1"/>
  <c r="C260" i="19"/>
  <c r="C1203" i="19" s="1"/>
  <c r="D260" i="19"/>
  <c r="E260" i="19"/>
  <c r="E1203" i="19" s="1"/>
  <c r="F260" i="19"/>
  <c r="F1203" i="19" s="1"/>
  <c r="G260" i="19"/>
  <c r="G1203" i="19" s="1"/>
  <c r="B261" i="19"/>
  <c r="C261" i="19"/>
  <c r="C1204" i="19" s="1"/>
  <c r="C1843" i="19" s="1"/>
  <c r="D261" i="19"/>
  <c r="D1204" i="19" s="1"/>
  <c r="E261" i="19"/>
  <c r="E1204" i="19" s="1"/>
  <c r="E1843" i="19" s="1"/>
  <c r="F261" i="19"/>
  <c r="G261" i="19"/>
  <c r="G1204" i="19" s="1"/>
  <c r="G1843" i="19" s="1"/>
  <c r="A300" i="19"/>
  <c r="A301" i="19"/>
  <c r="A302" i="19"/>
  <c r="A303" i="19"/>
  <c r="A304" i="19"/>
  <c r="A306" i="19"/>
  <c r="A307" i="19"/>
  <c r="A308" i="19"/>
  <c r="A309" i="19"/>
  <c r="A310" i="19"/>
  <c r="C350" i="19"/>
  <c r="C376" i="19" s="1"/>
  <c r="C377" i="19" s="1"/>
  <c r="D350" i="19"/>
  <c r="E350" i="19"/>
  <c r="E376" i="19" s="1"/>
  <c r="F350" i="19"/>
  <c r="G350" i="19"/>
  <c r="G376" i="19" s="1"/>
  <c r="C351" i="19"/>
  <c r="B360" i="19"/>
  <c r="B521" i="19" s="1"/>
  <c r="C371" i="19"/>
  <c r="D371" i="19"/>
  <c r="E371" i="19"/>
  <c r="F371" i="19"/>
  <c r="G371" i="19"/>
  <c r="C375" i="19"/>
  <c r="D375" i="19"/>
  <c r="E375" i="19"/>
  <c r="F375" i="19"/>
  <c r="G375" i="19"/>
  <c r="D376" i="19"/>
  <c r="D377" i="19" s="1"/>
  <c r="D378" i="19" s="1"/>
  <c r="F376" i="19"/>
  <c r="F377" i="19" s="1"/>
  <c r="F378" i="19" s="1"/>
  <c r="C379" i="19"/>
  <c r="D379" i="19"/>
  <c r="E379" i="19"/>
  <c r="F379" i="19"/>
  <c r="G379" i="19"/>
  <c r="D389" i="19"/>
  <c r="F389" i="19"/>
  <c r="C390" i="19"/>
  <c r="D390" i="19"/>
  <c r="E390" i="19"/>
  <c r="F390" i="19"/>
  <c r="G390" i="19"/>
  <c r="C391" i="19"/>
  <c r="D391" i="19"/>
  <c r="E391" i="19"/>
  <c r="F391" i="19"/>
  <c r="G391" i="19"/>
  <c r="C392" i="19"/>
  <c r="D392" i="19"/>
  <c r="E392" i="19"/>
  <c r="F392" i="19"/>
  <c r="G392" i="19"/>
  <c r="C393" i="19"/>
  <c r="D393" i="19"/>
  <c r="E393" i="19"/>
  <c r="F393" i="19"/>
  <c r="G393" i="19"/>
  <c r="D400" i="19"/>
  <c r="F400" i="19"/>
  <c r="D401" i="19"/>
  <c r="F401" i="19"/>
  <c r="C466" i="19"/>
  <c r="E466" i="19"/>
  <c r="F466" i="19"/>
  <c r="G466" i="19"/>
  <c r="D450" i="19"/>
  <c r="F450" i="19"/>
  <c r="D457" i="19"/>
  <c r="F457" i="19"/>
  <c r="F458" i="19"/>
  <c r="C460" i="19"/>
  <c r="D460" i="19"/>
  <c r="E460" i="19"/>
  <c r="F460" i="19"/>
  <c r="G460" i="19"/>
  <c r="D461" i="19"/>
  <c r="D464" i="19" s="1"/>
  <c r="D466" i="19"/>
  <c r="C470" i="19"/>
  <c r="D470" i="19"/>
  <c r="E470" i="19"/>
  <c r="F470" i="19"/>
  <c r="G470" i="19"/>
  <c r="C472" i="19"/>
  <c r="C473" i="19" s="1"/>
  <c r="D472" i="19"/>
  <c r="E472" i="19"/>
  <c r="F472" i="19"/>
  <c r="G472" i="19"/>
  <c r="G473" i="19" s="1"/>
  <c r="C474" i="19"/>
  <c r="D474" i="19"/>
  <c r="E474" i="19"/>
  <c r="F474" i="19"/>
  <c r="G474" i="19"/>
  <c r="C478" i="19"/>
  <c r="C477" i="19" s="1"/>
  <c r="D478" i="19"/>
  <c r="D477" i="19" s="1"/>
  <c r="E478" i="19"/>
  <c r="E477" i="19" s="1"/>
  <c r="F478" i="19"/>
  <c r="F477" i="19" s="1"/>
  <c r="G478" i="19"/>
  <c r="G477" i="19" s="1"/>
  <c r="C480" i="19"/>
  <c r="D480" i="19"/>
  <c r="E480" i="19"/>
  <c r="F480" i="19"/>
  <c r="G480" i="19"/>
  <c r="B486" i="19"/>
  <c r="C486" i="19"/>
  <c r="D486" i="19"/>
  <c r="D487" i="19" s="1"/>
  <c r="E486" i="19"/>
  <c r="F486" i="19"/>
  <c r="F487" i="19" s="1"/>
  <c r="G486" i="19"/>
  <c r="C487" i="19"/>
  <c r="E487" i="19"/>
  <c r="G487" i="19"/>
  <c r="B496" i="19"/>
  <c r="B2191" i="19" s="1"/>
  <c r="B498" i="19"/>
  <c r="B511" i="19" s="1"/>
  <c r="B512" i="19" s="1"/>
  <c r="D499" i="19"/>
  <c r="D552" i="19" s="1"/>
  <c r="F500" i="19"/>
  <c r="F553" i="19" s="1"/>
  <c r="B502" i="19"/>
  <c r="D503" i="19"/>
  <c r="D533" i="19" s="1"/>
  <c r="F504" i="19"/>
  <c r="F507" i="19" s="1"/>
  <c r="F508" i="19" s="1"/>
  <c r="F513" i="19" s="1"/>
  <c r="C516" i="19"/>
  <c r="D516" i="19"/>
  <c r="E516" i="19"/>
  <c r="F516" i="19"/>
  <c r="G516" i="19"/>
  <c r="C517" i="19"/>
  <c r="D517" i="19"/>
  <c r="D531" i="19" s="1"/>
  <c r="E517" i="19"/>
  <c r="F517" i="19"/>
  <c r="F531" i="19" s="1"/>
  <c r="G517" i="19"/>
  <c r="C521" i="19"/>
  <c r="D521" i="19"/>
  <c r="E521" i="19"/>
  <c r="F521" i="19"/>
  <c r="G521" i="19"/>
  <c r="C522" i="19"/>
  <c r="D522" i="19"/>
  <c r="E522" i="19"/>
  <c r="F522" i="19"/>
  <c r="F523" i="19" s="1"/>
  <c r="G522" i="19"/>
  <c r="D523" i="19"/>
  <c r="D524" i="19"/>
  <c r="F529" i="19"/>
  <c r="F557" i="19" s="1"/>
  <c r="C531" i="19"/>
  <c r="E531" i="19"/>
  <c r="G531" i="19"/>
  <c r="B532" i="19"/>
  <c r="D534" i="19"/>
  <c r="F544" i="19"/>
  <c r="C565" i="19"/>
  <c r="D565" i="19"/>
  <c r="E565" i="19"/>
  <c r="F565" i="19"/>
  <c r="G565" i="19"/>
  <c r="D568" i="19"/>
  <c r="C572" i="19"/>
  <c r="D572" i="19"/>
  <c r="E572" i="19"/>
  <c r="F572" i="19"/>
  <c r="G572" i="19"/>
  <c r="D573" i="19"/>
  <c r="F575" i="19"/>
  <c r="C583" i="19"/>
  <c r="D583" i="19"/>
  <c r="E583" i="19"/>
  <c r="F583" i="19"/>
  <c r="G583" i="19"/>
  <c r="B584" i="19"/>
  <c r="B586" i="19"/>
  <c r="C590" i="19"/>
  <c r="D590" i="19"/>
  <c r="E590" i="19"/>
  <c r="F590" i="19"/>
  <c r="G590" i="19"/>
  <c r="F591" i="19"/>
  <c r="F592" i="19" s="1"/>
  <c r="F593" i="19"/>
  <c r="D597" i="19"/>
  <c r="F597" i="19"/>
  <c r="B600" i="19"/>
  <c r="D606" i="19"/>
  <c r="F607" i="19"/>
  <c r="B613" i="19"/>
  <c r="B616" i="19"/>
  <c r="B621" i="19"/>
  <c r="C621" i="19"/>
  <c r="D621" i="19"/>
  <c r="E621" i="19"/>
  <c r="F621" i="19"/>
  <c r="G621" i="19"/>
  <c r="B623" i="19"/>
  <c r="C623" i="19"/>
  <c r="D623" i="19"/>
  <c r="E623" i="19"/>
  <c r="F623" i="19"/>
  <c r="G623" i="19"/>
  <c r="B624" i="19"/>
  <c r="C624" i="19"/>
  <c r="D624" i="19"/>
  <c r="E624" i="19"/>
  <c r="F624" i="19"/>
  <c r="G624" i="19"/>
  <c r="B625" i="19"/>
  <c r="C625" i="19"/>
  <c r="C626" i="19" s="1"/>
  <c r="D625" i="19"/>
  <c r="E625" i="19"/>
  <c r="E626" i="19" s="1"/>
  <c r="F625" i="19"/>
  <c r="G625" i="19"/>
  <c r="G626" i="19" s="1"/>
  <c r="C632" i="19"/>
  <c r="D632" i="19"/>
  <c r="E632" i="19"/>
  <c r="F632" i="19"/>
  <c r="G632" i="19"/>
  <c r="F636" i="19"/>
  <c r="B644" i="19"/>
  <c r="B654" i="19" s="1"/>
  <c r="C644" i="19"/>
  <c r="D644" i="19"/>
  <c r="E644" i="19"/>
  <c r="F644" i="19"/>
  <c r="G644" i="19"/>
  <c r="B648" i="19"/>
  <c r="B655" i="19"/>
  <c r="B656" i="19"/>
  <c r="B659" i="19"/>
  <c r="B675" i="19"/>
  <c r="D676" i="19"/>
  <c r="C680" i="19"/>
  <c r="D680" i="19"/>
  <c r="E680" i="19"/>
  <c r="F680" i="19"/>
  <c r="G680" i="19"/>
  <c r="D681" i="19"/>
  <c r="D682" i="19" s="1"/>
  <c r="F683" i="19"/>
  <c r="C691" i="19"/>
  <c r="E691" i="19"/>
  <c r="G691" i="19"/>
  <c r="D693" i="19"/>
  <c r="F697" i="19"/>
  <c r="B703" i="19"/>
  <c r="D705" i="19"/>
  <c r="F709" i="19"/>
  <c r="C735" i="19"/>
  <c r="D735" i="19"/>
  <c r="E735" i="19"/>
  <c r="F735" i="19"/>
  <c r="G735" i="19"/>
  <c r="C736" i="19"/>
  <c r="D736" i="19"/>
  <c r="E736" i="19"/>
  <c r="F736" i="19"/>
  <c r="G736" i="19"/>
  <c r="C737" i="19"/>
  <c r="D737" i="19"/>
  <c r="E737" i="19"/>
  <c r="F737" i="19"/>
  <c r="G737" i="19"/>
  <c r="C738" i="19"/>
  <c r="D738" i="19"/>
  <c r="E738" i="19"/>
  <c r="F738" i="19"/>
  <c r="G738" i="19"/>
  <c r="C739" i="19"/>
  <c r="D739" i="19"/>
  <c r="E739" i="19"/>
  <c r="F739" i="19"/>
  <c r="G739" i="19"/>
  <c r="C741" i="19"/>
  <c r="D741" i="19"/>
  <c r="E741" i="19"/>
  <c r="F741" i="19"/>
  <c r="G741" i="19"/>
  <c r="C742" i="19"/>
  <c r="D742" i="19"/>
  <c r="E742" i="19"/>
  <c r="F742" i="19"/>
  <c r="G742" i="19"/>
  <c r="C743" i="19"/>
  <c r="D743" i="19"/>
  <c r="E743" i="19"/>
  <c r="F743" i="19"/>
  <c r="G743" i="19"/>
  <c r="C745" i="19"/>
  <c r="D745" i="19"/>
  <c r="E745" i="19"/>
  <c r="F745" i="19"/>
  <c r="G745" i="19"/>
  <c r="C746" i="19"/>
  <c r="C786" i="19" s="1"/>
  <c r="D746" i="19"/>
  <c r="E746" i="19"/>
  <c r="E786" i="19" s="1"/>
  <c r="F746" i="19"/>
  <c r="G746" i="19"/>
  <c r="G786" i="19" s="1"/>
  <c r="C747" i="19"/>
  <c r="D747" i="19"/>
  <c r="E747" i="19"/>
  <c r="F747" i="19"/>
  <c r="G747" i="19"/>
  <c r="C748" i="19"/>
  <c r="C1101" i="19" s="1"/>
  <c r="D748" i="19"/>
  <c r="E748" i="19"/>
  <c r="E1101" i="19" s="1"/>
  <c r="F748" i="19"/>
  <c r="G748" i="19"/>
  <c r="G1101" i="19" s="1"/>
  <c r="C749" i="19"/>
  <c r="D749" i="19"/>
  <c r="D784" i="19" s="1"/>
  <c r="E749" i="19"/>
  <c r="F749" i="19"/>
  <c r="F784" i="19" s="1"/>
  <c r="G749" i="19"/>
  <c r="C750" i="19"/>
  <c r="C811" i="19" s="1"/>
  <c r="D750" i="19"/>
  <c r="E750" i="19"/>
  <c r="E811" i="19" s="1"/>
  <c r="F750" i="19"/>
  <c r="G750" i="19"/>
  <c r="G811" i="19" s="1"/>
  <c r="B751" i="19"/>
  <c r="B1176" i="19" s="1"/>
  <c r="C751" i="19"/>
  <c r="D751" i="19"/>
  <c r="E751" i="19"/>
  <c r="F751" i="19"/>
  <c r="G751" i="19"/>
  <c r="C752" i="19"/>
  <c r="D752" i="19"/>
  <c r="E752" i="19"/>
  <c r="F752" i="19"/>
  <c r="G752" i="19"/>
  <c r="C753" i="19"/>
  <c r="D753" i="19"/>
  <c r="E753" i="19"/>
  <c r="F753" i="19"/>
  <c r="G753" i="19"/>
  <c r="C755" i="19"/>
  <c r="D755" i="19"/>
  <c r="E755" i="19"/>
  <c r="F755" i="19"/>
  <c r="G755" i="19"/>
  <c r="D756" i="19"/>
  <c r="D853" i="19" s="1"/>
  <c r="F756" i="19"/>
  <c r="F853" i="19" s="1"/>
  <c r="C757" i="19"/>
  <c r="D757" i="19"/>
  <c r="E757" i="19"/>
  <c r="F757" i="19"/>
  <c r="G757" i="19"/>
  <c r="C758" i="19"/>
  <c r="C783" i="19" s="1"/>
  <c r="D758" i="19"/>
  <c r="E758" i="19"/>
  <c r="E783" i="19" s="1"/>
  <c r="F758" i="19"/>
  <c r="G758" i="19"/>
  <c r="G783" i="19" s="1"/>
  <c r="C759" i="19"/>
  <c r="C782" i="19" s="1"/>
  <c r="D759" i="19"/>
  <c r="D782" i="19" s="1"/>
  <c r="E759" i="19"/>
  <c r="F759" i="19"/>
  <c r="F782" i="19" s="1"/>
  <c r="G759" i="19"/>
  <c r="C760" i="19"/>
  <c r="C1431" i="19" s="1"/>
  <c r="E760" i="19"/>
  <c r="E1431" i="19" s="1"/>
  <c r="G760" i="19"/>
  <c r="G1431" i="19" s="1"/>
  <c r="B761" i="19"/>
  <c r="C761" i="19"/>
  <c r="C780" i="19" s="1"/>
  <c r="D761" i="19"/>
  <c r="E761" i="19"/>
  <c r="E780" i="19" s="1"/>
  <c r="F761" i="19"/>
  <c r="G761" i="19"/>
  <c r="G780" i="19" s="1"/>
  <c r="C762" i="19"/>
  <c r="D762" i="19"/>
  <c r="E762" i="19"/>
  <c r="F762" i="19"/>
  <c r="G762" i="19"/>
  <c r="C763" i="19"/>
  <c r="D763" i="19"/>
  <c r="E763" i="19"/>
  <c r="F763" i="19"/>
  <c r="G763" i="19"/>
  <c r="C764" i="19"/>
  <c r="D764" i="19"/>
  <c r="E764" i="19"/>
  <c r="F764" i="19"/>
  <c r="G764" i="19"/>
  <c r="B765" i="19"/>
  <c r="B795" i="19" s="1"/>
  <c r="C765" i="19"/>
  <c r="D765" i="19"/>
  <c r="E765" i="19"/>
  <c r="F765" i="19"/>
  <c r="G765" i="19"/>
  <c r="B766" i="19"/>
  <c r="B919" i="19" s="1"/>
  <c r="C766" i="19"/>
  <c r="D766" i="19"/>
  <c r="E766" i="19"/>
  <c r="F766" i="19"/>
  <c r="G766" i="19"/>
  <c r="C767" i="19"/>
  <c r="D767" i="19"/>
  <c r="E767" i="19"/>
  <c r="F767" i="19"/>
  <c r="G767" i="19"/>
  <c r="F768" i="19"/>
  <c r="F1013" i="19" s="1"/>
  <c r="C770" i="19"/>
  <c r="D770" i="19"/>
  <c r="E770" i="19"/>
  <c r="F770" i="19"/>
  <c r="G770" i="19"/>
  <c r="C771" i="19"/>
  <c r="D771" i="19"/>
  <c r="E771" i="19"/>
  <c r="F771" i="19"/>
  <c r="G771" i="19"/>
  <c r="C772" i="19"/>
  <c r="D772" i="19"/>
  <c r="E772" i="19"/>
  <c r="F772" i="19"/>
  <c r="G772" i="19"/>
  <c r="C773" i="19"/>
  <c r="D773" i="19"/>
  <c r="E773" i="19"/>
  <c r="F773" i="19"/>
  <c r="G773" i="19"/>
  <c r="C774" i="19"/>
  <c r="D774" i="19"/>
  <c r="E774" i="19"/>
  <c r="F774" i="19"/>
  <c r="G774" i="19"/>
  <c r="C775" i="19"/>
  <c r="D775" i="19"/>
  <c r="E775" i="19"/>
  <c r="F775" i="19"/>
  <c r="G775" i="19"/>
  <c r="B780" i="19"/>
  <c r="D780" i="19"/>
  <c r="F780" i="19"/>
  <c r="E782" i="19"/>
  <c r="G782" i="19"/>
  <c r="D783" i="19"/>
  <c r="F783" i="19"/>
  <c r="C784" i="19"/>
  <c r="E784" i="19"/>
  <c r="G784" i="19"/>
  <c r="C785" i="19"/>
  <c r="D785" i="19"/>
  <c r="E785" i="19"/>
  <c r="F785" i="19"/>
  <c r="G785" i="19"/>
  <c r="D786" i="19"/>
  <c r="F786" i="19"/>
  <c r="B787" i="19"/>
  <c r="D787" i="19"/>
  <c r="F787" i="19"/>
  <c r="C960" i="19"/>
  <c r="C799" i="19"/>
  <c r="C801" i="19" s="1"/>
  <c r="C1206" i="19" s="1"/>
  <c r="E799" i="19"/>
  <c r="E813" i="19" s="1"/>
  <c r="G799" i="19"/>
  <c r="G813" i="19" s="1"/>
  <c r="C804" i="19"/>
  <c r="C805" i="19" s="1"/>
  <c r="D804" i="19"/>
  <c r="D806" i="19" s="1"/>
  <c r="E804" i="19"/>
  <c r="E805" i="19" s="1"/>
  <c r="F804" i="19"/>
  <c r="F805" i="19" s="1"/>
  <c r="G804" i="19"/>
  <c r="G805" i="19" s="1"/>
  <c r="D805" i="19"/>
  <c r="D802" i="19" s="1"/>
  <c r="C810" i="19"/>
  <c r="C869" i="19" s="1"/>
  <c r="C883" i="19" s="1"/>
  <c r="D810" i="19"/>
  <c r="E810" i="19"/>
  <c r="E869" i="19" s="1"/>
  <c r="E883" i="19" s="1"/>
  <c r="F810" i="19"/>
  <c r="G810" i="19"/>
  <c r="G869" i="19" s="1"/>
  <c r="G883" i="19" s="1"/>
  <c r="D811" i="19"/>
  <c r="D870" i="19" s="1"/>
  <c r="D884" i="19" s="1"/>
  <c r="F811" i="19"/>
  <c r="F870" i="19" s="1"/>
  <c r="F884" i="19" s="1"/>
  <c r="D822" i="19"/>
  <c r="D821" i="19" s="1"/>
  <c r="C830" i="19"/>
  <c r="C891" i="19" s="1"/>
  <c r="D830" i="19"/>
  <c r="D891" i="19" s="1"/>
  <c r="E830" i="19"/>
  <c r="E891" i="19" s="1"/>
  <c r="F830" i="19"/>
  <c r="G830" i="19"/>
  <c r="G891" i="19" s="1"/>
  <c r="C832" i="19"/>
  <c r="C893" i="19" s="1"/>
  <c r="D832" i="19"/>
  <c r="D893" i="19" s="1"/>
  <c r="E832" i="19"/>
  <c r="F832" i="19"/>
  <c r="F893" i="19" s="1"/>
  <c r="G832" i="19"/>
  <c r="G893" i="19" s="1"/>
  <c r="B835" i="19"/>
  <c r="C835" i="19"/>
  <c r="D835" i="19"/>
  <c r="E835" i="19"/>
  <c r="F835" i="19"/>
  <c r="G835" i="19"/>
  <c r="B837" i="19"/>
  <c r="C837" i="19"/>
  <c r="D837" i="19"/>
  <c r="E837" i="19"/>
  <c r="F837" i="19"/>
  <c r="G837" i="19"/>
  <c r="C845" i="19"/>
  <c r="C906" i="19" s="1"/>
  <c r="D845" i="19"/>
  <c r="E845" i="19"/>
  <c r="F845" i="19"/>
  <c r="G845" i="19"/>
  <c r="G906" i="19" s="1"/>
  <c r="C846" i="19"/>
  <c r="D846" i="19"/>
  <c r="E846" i="19"/>
  <c r="F846" i="19"/>
  <c r="G846" i="19"/>
  <c r="C847" i="19"/>
  <c r="D847" i="19"/>
  <c r="E847" i="19"/>
  <c r="F847" i="19"/>
  <c r="G847" i="19"/>
  <c r="B850" i="19"/>
  <c r="C850" i="19"/>
  <c r="D850" i="19"/>
  <c r="E850" i="19"/>
  <c r="F850" i="19"/>
  <c r="G850" i="19"/>
  <c r="B852" i="19"/>
  <c r="C852" i="19"/>
  <c r="D852" i="19"/>
  <c r="E852" i="19"/>
  <c r="F852" i="19"/>
  <c r="G852" i="19"/>
  <c r="D863" i="19"/>
  <c r="B864" i="19"/>
  <c r="C864" i="19"/>
  <c r="D864" i="19"/>
  <c r="E864" i="19"/>
  <c r="F864" i="19"/>
  <c r="G864" i="19"/>
  <c r="B866" i="19"/>
  <c r="B872" i="19" s="1"/>
  <c r="C866" i="19"/>
  <c r="C872" i="19" s="1"/>
  <c r="D866" i="19"/>
  <c r="D872" i="19" s="1"/>
  <c r="E866" i="19"/>
  <c r="E872" i="19" s="1"/>
  <c r="F866" i="19"/>
  <c r="G866" i="19"/>
  <c r="G872" i="19" s="1"/>
  <c r="B867" i="19"/>
  <c r="B868" i="19" s="1"/>
  <c r="C867" i="19"/>
  <c r="D867" i="19"/>
  <c r="E867" i="19"/>
  <c r="F867" i="19"/>
  <c r="G867" i="19"/>
  <c r="C868" i="19"/>
  <c r="D868" i="19"/>
  <c r="E868" i="19"/>
  <c r="F868" i="19"/>
  <c r="G868" i="19"/>
  <c r="D869" i="19"/>
  <c r="D883" i="19" s="1"/>
  <c r="F869" i="19"/>
  <c r="F883" i="19" s="1"/>
  <c r="F872" i="19"/>
  <c r="F891" i="19"/>
  <c r="E893" i="19"/>
  <c r="B895" i="19"/>
  <c r="C895" i="19"/>
  <c r="D895" i="19"/>
  <c r="E895" i="19"/>
  <c r="F895" i="19"/>
  <c r="G895" i="19"/>
  <c r="B896" i="19"/>
  <c r="C896" i="19"/>
  <c r="D896" i="19"/>
  <c r="E896" i="19"/>
  <c r="F896" i="19"/>
  <c r="G896" i="19"/>
  <c r="B897" i="19"/>
  <c r="C897" i="19"/>
  <c r="D897" i="19"/>
  <c r="E897" i="19"/>
  <c r="F897" i="19"/>
  <c r="G897" i="19"/>
  <c r="B898" i="19"/>
  <c r="C898" i="19"/>
  <c r="D898" i="19"/>
  <c r="E898" i="19"/>
  <c r="F898" i="19"/>
  <c r="G898" i="19"/>
  <c r="E906" i="19"/>
  <c r="C907" i="19"/>
  <c r="D907" i="19"/>
  <c r="E907" i="19"/>
  <c r="F907" i="19"/>
  <c r="G907" i="19"/>
  <c r="B909" i="19"/>
  <c r="C909" i="19"/>
  <c r="D909" i="19"/>
  <c r="E909" i="19"/>
  <c r="F909" i="19"/>
  <c r="G909" i="19"/>
  <c r="B910" i="19"/>
  <c r="C910" i="19"/>
  <c r="D910" i="19"/>
  <c r="E910" i="19"/>
  <c r="F910" i="19"/>
  <c r="G910" i="19"/>
  <c r="B911" i="19"/>
  <c r="C911" i="19"/>
  <c r="D911" i="19"/>
  <c r="E911" i="19"/>
  <c r="F911" i="19"/>
  <c r="G911" i="19"/>
  <c r="B912" i="19"/>
  <c r="C912" i="19"/>
  <c r="D912" i="19"/>
  <c r="E912" i="19"/>
  <c r="F912" i="19"/>
  <c r="G912" i="19"/>
  <c r="B922" i="19"/>
  <c r="B1572" i="19" s="1"/>
  <c r="B1581" i="19" s="1"/>
  <c r="F922" i="19"/>
  <c r="F1572" i="19" s="1"/>
  <c r="F1581" i="19" s="1"/>
  <c r="C927" i="19"/>
  <c r="E927" i="19"/>
  <c r="D928" i="19"/>
  <c r="D925" i="19" s="1"/>
  <c r="D932" i="19"/>
  <c r="F932" i="19"/>
  <c r="B952" i="19"/>
  <c r="C952" i="19"/>
  <c r="D952" i="19"/>
  <c r="E952" i="19"/>
  <c r="F952" i="19"/>
  <c r="G952" i="19"/>
  <c r="B953" i="19"/>
  <c r="C953" i="19"/>
  <c r="D953" i="19"/>
  <c r="E953" i="19"/>
  <c r="F953" i="19"/>
  <c r="G953" i="19"/>
  <c r="B954" i="19"/>
  <c r="C954" i="19"/>
  <c r="D954" i="19"/>
  <c r="E954" i="19"/>
  <c r="F954" i="19"/>
  <c r="G954" i="19"/>
  <c r="B955" i="19"/>
  <c r="C955" i="19"/>
  <c r="D955" i="19"/>
  <c r="E955" i="19"/>
  <c r="F955" i="19"/>
  <c r="G955" i="19"/>
  <c r="B963" i="19"/>
  <c r="C963" i="19"/>
  <c r="D963" i="19"/>
  <c r="E963" i="19"/>
  <c r="F963" i="19"/>
  <c r="G963" i="19"/>
  <c r="B964" i="19"/>
  <c r="C964" i="19"/>
  <c r="D964" i="19"/>
  <c r="E964" i="19"/>
  <c r="F964" i="19"/>
  <c r="G964" i="19"/>
  <c r="B965" i="19"/>
  <c r="C965" i="19"/>
  <c r="D965" i="19"/>
  <c r="E965" i="19"/>
  <c r="F965" i="19"/>
  <c r="G965" i="19"/>
  <c r="B966" i="19"/>
  <c r="C966" i="19"/>
  <c r="D966" i="19"/>
  <c r="E966" i="19"/>
  <c r="F966" i="19"/>
  <c r="G966" i="19"/>
  <c r="B978" i="19"/>
  <c r="B992" i="19" s="1"/>
  <c r="C978" i="19"/>
  <c r="D978" i="19"/>
  <c r="E978" i="19"/>
  <c r="F978" i="19"/>
  <c r="G978" i="19"/>
  <c r="C982" i="19"/>
  <c r="D982" i="19"/>
  <c r="E982" i="19"/>
  <c r="F982" i="19"/>
  <c r="G982" i="19"/>
  <c r="C983" i="19"/>
  <c r="D983" i="19"/>
  <c r="E983" i="19"/>
  <c r="F983" i="19"/>
  <c r="G983" i="19"/>
  <c r="C984" i="19"/>
  <c r="D984" i="19"/>
  <c r="E984" i="19"/>
  <c r="F984" i="19"/>
  <c r="G984" i="19"/>
  <c r="B987" i="19"/>
  <c r="C987" i="19"/>
  <c r="D987" i="19"/>
  <c r="E987" i="19"/>
  <c r="F987" i="19"/>
  <c r="G987" i="19"/>
  <c r="B988" i="19"/>
  <c r="C988" i="19"/>
  <c r="D988" i="19"/>
  <c r="E988" i="19"/>
  <c r="F988" i="19"/>
  <c r="G988" i="19"/>
  <c r="B989" i="19"/>
  <c r="C989" i="19"/>
  <c r="D989" i="19"/>
  <c r="E989" i="19"/>
  <c r="F989" i="19"/>
  <c r="G989" i="19"/>
  <c r="C992" i="19"/>
  <c r="D992" i="19"/>
  <c r="E992" i="19"/>
  <c r="F992" i="19"/>
  <c r="G992" i="19"/>
  <c r="C997" i="19"/>
  <c r="C1011" i="19" s="1"/>
  <c r="C1031" i="19" s="1"/>
  <c r="D997" i="19"/>
  <c r="D1019" i="19" s="1"/>
  <c r="E997" i="19"/>
  <c r="E1011" i="19" s="1"/>
  <c r="E1031" i="19" s="1"/>
  <c r="F997" i="19"/>
  <c r="F1011" i="19" s="1"/>
  <c r="F1031" i="19" s="1"/>
  <c r="G997" i="19"/>
  <c r="G1011" i="19" s="1"/>
  <c r="G1031" i="19" s="1"/>
  <c r="C998" i="19"/>
  <c r="C999" i="19" s="1"/>
  <c r="C1001" i="19" s="1"/>
  <c r="D998" i="19"/>
  <c r="D999" i="19" s="1"/>
  <c r="E998" i="19"/>
  <c r="E1000" i="19" s="1"/>
  <c r="F998" i="19"/>
  <c r="F999" i="19" s="1"/>
  <c r="G998" i="19"/>
  <c r="G999" i="19" s="1"/>
  <c r="E999" i="19"/>
  <c r="E1001" i="19" s="1"/>
  <c r="C1000" i="19"/>
  <c r="G1000" i="19"/>
  <c r="C1003" i="19"/>
  <c r="D1003" i="19"/>
  <c r="E1003" i="19"/>
  <c r="F1003" i="19"/>
  <c r="G1003" i="19"/>
  <c r="C1004" i="19"/>
  <c r="D1004" i="19"/>
  <c r="E1004" i="19"/>
  <c r="F1004" i="19"/>
  <c r="F1005" i="19" s="1"/>
  <c r="G1004" i="19"/>
  <c r="D1005" i="19"/>
  <c r="D1011" i="19"/>
  <c r="F1019" i="19"/>
  <c r="D1020" i="19"/>
  <c r="F1020" i="19"/>
  <c r="C1021" i="19"/>
  <c r="G1021" i="19"/>
  <c r="C1023" i="19"/>
  <c r="D1023" i="19"/>
  <c r="E1023" i="19"/>
  <c r="F1023" i="19"/>
  <c r="G1023" i="19"/>
  <c r="D1031" i="19"/>
  <c r="B1036" i="19"/>
  <c r="B1046" i="19" s="1"/>
  <c r="C1036" i="19"/>
  <c r="D1036" i="19"/>
  <c r="E1036" i="19"/>
  <c r="F1036" i="19"/>
  <c r="G1036" i="19"/>
  <c r="B1040" i="19"/>
  <c r="C1040" i="19"/>
  <c r="D1040" i="19"/>
  <c r="E1040" i="19"/>
  <c r="F1040" i="19"/>
  <c r="G1040" i="19"/>
  <c r="B1041" i="19"/>
  <c r="C1041" i="19"/>
  <c r="D1041" i="19"/>
  <c r="E1041" i="19"/>
  <c r="F1041" i="19"/>
  <c r="G1041" i="19"/>
  <c r="B1042" i="19"/>
  <c r="C1042" i="19"/>
  <c r="D1042" i="19"/>
  <c r="E1042" i="19"/>
  <c r="F1042" i="19"/>
  <c r="G1042" i="19"/>
  <c r="B1043" i="19"/>
  <c r="C1043" i="19"/>
  <c r="D1043" i="19"/>
  <c r="E1043" i="19"/>
  <c r="F1043" i="19"/>
  <c r="G1043" i="19"/>
  <c r="G1044" i="19"/>
  <c r="C1046" i="19"/>
  <c r="D1046" i="19"/>
  <c r="E1046" i="19"/>
  <c r="F1046" i="19"/>
  <c r="G1046" i="19"/>
  <c r="C1062" i="19"/>
  <c r="D1062" i="19"/>
  <c r="E1062" i="19"/>
  <c r="F1062" i="19"/>
  <c r="G1062" i="19"/>
  <c r="C1064" i="19"/>
  <c r="D1064" i="19"/>
  <c r="E1064" i="19"/>
  <c r="F1064" i="19"/>
  <c r="G1064" i="19"/>
  <c r="C1065" i="19"/>
  <c r="D1065" i="19"/>
  <c r="E1065" i="19"/>
  <c r="F1065" i="19"/>
  <c r="G1065" i="19"/>
  <c r="C1067" i="19"/>
  <c r="D1067" i="19"/>
  <c r="E1067" i="19"/>
  <c r="F1067" i="19"/>
  <c r="G1067" i="19"/>
  <c r="AA1073" i="19"/>
  <c r="AA1074" i="19"/>
  <c r="AA1075" i="19"/>
  <c r="D1076" i="19"/>
  <c r="AA1076" i="19"/>
  <c r="AA1077" i="19"/>
  <c r="B1078" i="19"/>
  <c r="B1728" i="19" s="1"/>
  <c r="C1078" i="19"/>
  <c r="D1078" i="19"/>
  <c r="E1078" i="19"/>
  <c r="F1078" i="19"/>
  <c r="G1078" i="19"/>
  <c r="AA1078" i="19"/>
  <c r="AA1079" i="19"/>
  <c r="C1080" i="19"/>
  <c r="C1084" i="19" s="1"/>
  <c r="D1080" i="19"/>
  <c r="E1080" i="19"/>
  <c r="E1087" i="19" s="1"/>
  <c r="F1080" i="19"/>
  <c r="G1080" i="19"/>
  <c r="AA1080" i="19"/>
  <c r="C1081" i="19"/>
  <c r="C1083" i="19" s="1"/>
  <c r="D1081" i="19"/>
  <c r="E1081" i="19"/>
  <c r="E1084" i="19" s="1"/>
  <c r="F1081" i="19"/>
  <c r="G1081" i="19"/>
  <c r="G1083" i="19" s="1"/>
  <c r="E1085" i="19"/>
  <c r="G1086" i="19"/>
  <c r="B1091" i="19"/>
  <c r="C1091" i="19"/>
  <c r="D1091" i="19"/>
  <c r="E1091" i="19"/>
  <c r="F1091" i="19"/>
  <c r="G1091" i="19"/>
  <c r="C1092" i="19"/>
  <c r="C1093" i="19" s="1"/>
  <c r="D1092" i="19"/>
  <c r="D1093" i="19" s="1"/>
  <c r="E1092" i="19"/>
  <c r="F1092" i="19"/>
  <c r="F1093" i="19" s="1"/>
  <c r="G1092" i="19"/>
  <c r="G1093" i="19" s="1"/>
  <c r="E1093" i="19"/>
  <c r="B1095" i="19"/>
  <c r="C1095" i="19"/>
  <c r="D1095" i="19"/>
  <c r="E1095" i="19"/>
  <c r="F1095" i="19"/>
  <c r="G1095" i="19"/>
  <c r="B1098" i="19"/>
  <c r="C1098" i="19"/>
  <c r="D1098" i="19"/>
  <c r="E1098" i="19"/>
  <c r="F1098" i="19"/>
  <c r="G1098" i="19"/>
  <c r="D1101" i="19"/>
  <c r="F1101" i="19"/>
  <c r="C1102" i="19"/>
  <c r="D1102" i="19"/>
  <c r="E1102" i="19"/>
  <c r="F1102" i="19"/>
  <c r="G1102" i="19"/>
  <c r="C1103" i="19"/>
  <c r="D1103" i="19"/>
  <c r="E1103" i="19"/>
  <c r="F1103" i="19"/>
  <c r="G1103" i="19"/>
  <c r="C1105" i="19"/>
  <c r="D1105" i="19"/>
  <c r="D1106" i="19" s="1"/>
  <c r="E1105" i="19"/>
  <c r="F1105" i="19"/>
  <c r="F1106" i="19" s="1"/>
  <c r="G1105" i="19"/>
  <c r="C1106" i="19"/>
  <c r="E1106" i="19"/>
  <c r="G1106" i="19"/>
  <c r="C1107" i="19"/>
  <c r="D1107" i="19"/>
  <c r="E1107" i="19"/>
  <c r="F1107" i="19"/>
  <c r="G1107" i="19"/>
  <c r="B1110" i="19"/>
  <c r="C1110" i="19"/>
  <c r="D1110" i="19"/>
  <c r="E1110" i="19"/>
  <c r="F1110" i="19"/>
  <c r="G1110" i="19"/>
  <c r="C1120" i="19"/>
  <c r="D1120" i="19"/>
  <c r="E1120" i="19"/>
  <c r="F1120" i="19"/>
  <c r="G1120" i="19"/>
  <c r="C1125" i="19"/>
  <c r="D1125" i="19"/>
  <c r="E1125" i="19"/>
  <c r="F1125" i="19"/>
  <c r="G1125" i="19"/>
  <c r="C1129" i="19"/>
  <c r="D1129" i="19"/>
  <c r="E1129" i="19"/>
  <c r="F1129" i="19"/>
  <c r="G1129" i="19"/>
  <c r="C1130" i="19"/>
  <c r="C1127" i="19" s="1"/>
  <c r="C1135" i="19" s="1"/>
  <c r="C1136" i="19" s="1"/>
  <c r="D1130" i="19"/>
  <c r="D1127" i="19" s="1"/>
  <c r="D1135" i="19" s="1"/>
  <c r="D1136" i="19" s="1"/>
  <c r="E1130" i="19"/>
  <c r="E1127" i="19" s="1"/>
  <c r="E1135" i="19" s="1"/>
  <c r="E1136" i="19" s="1"/>
  <c r="F1130" i="19"/>
  <c r="F1127" i="19" s="1"/>
  <c r="F1135" i="19" s="1"/>
  <c r="F1136" i="19" s="1"/>
  <c r="G1130" i="19"/>
  <c r="G1127" i="19" s="1"/>
  <c r="G1135" i="19" s="1"/>
  <c r="G1136" i="19" s="1"/>
  <c r="C1131" i="19"/>
  <c r="D1131" i="19"/>
  <c r="E1131" i="19"/>
  <c r="F1131" i="19"/>
  <c r="G1131" i="19"/>
  <c r="B1133" i="19"/>
  <c r="C1133" i="19"/>
  <c r="D1133" i="19"/>
  <c r="E1133" i="19"/>
  <c r="F1133" i="19"/>
  <c r="G1133" i="19"/>
  <c r="B1134" i="19"/>
  <c r="C1134" i="19"/>
  <c r="D1134" i="19"/>
  <c r="E1134" i="19"/>
  <c r="F1134" i="19"/>
  <c r="G1134" i="19"/>
  <c r="C1137" i="19"/>
  <c r="D1137" i="19"/>
  <c r="E1137" i="19"/>
  <c r="F1137" i="19"/>
  <c r="G1137" i="19"/>
  <c r="C1141" i="19"/>
  <c r="D1141" i="19"/>
  <c r="E1141" i="19"/>
  <c r="F1141" i="19"/>
  <c r="G1141" i="19"/>
  <c r="B1142" i="19"/>
  <c r="D57" i="19" s="1"/>
  <c r="C1142" i="19"/>
  <c r="D1142" i="19"/>
  <c r="E1142" i="19"/>
  <c r="F1142" i="19"/>
  <c r="G1142" i="19"/>
  <c r="C1147" i="19"/>
  <c r="D1147" i="19"/>
  <c r="D1212" i="19" s="1"/>
  <c r="D1224" i="19" s="1"/>
  <c r="E1147" i="19"/>
  <c r="F1147" i="19"/>
  <c r="G1147" i="19"/>
  <c r="B1149" i="19"/>
  <c r="B1148" i="19" s="1"/>
  <c r="D58" i="19" s="1"/>
  <c r="C1149" i="19"/>
  <c r="C1148" i="19" s="1"/>
  <c r="D1149" i="19"/>
  <c r="D1148" i="19" s="1"/>
  <c r="E1149" i="19"/>
  <c r="E1148" i="19" s="1"/>
  <c r="F1149" i="19"/>
  <c r="F1148" i="19" s="1"/>
  <c r="G1149" i="19"/>
  <c r="G1148" i="19" s="1"/>
  <c r="C1153" i="19"/>
  <c r="D1153" i="19"/>
  <c r="E1153" i="19"/>
  <c r="F1153" i="19"/>
  <c r="G1153" i="19"/>
  <c r="C1155" i="19"/>
  <c r="C1154" i="19" s="1"/>
  <c r="D1155" i="19"/>
  <c r="D1154" i="19" s="1"/>
  <c r="E1155" i="19"/>
  <c r="E1154" i="19" s="1"/>
  <c r="F1155" i="19"/>
  <c r="F1154" i="19" s="1"/>
  <c r="G1155" i="19"/>
  <c r="G1154" i="19" s="1"/>
  <c r="C1158" i="19"/>
  <c r="D1158" i="19"/>
  <c r="E1158" i="19"/>
  <c r="F1158" i="19"/>
  <c r="G1158" i="19"/>
  <c r="D1170" i="19"/>
  <c r="D1171" i="19" s="1"/>
  <c r="C1173" i="19"/>
  <c r="D1173" i="19"/>
  <c r="E1173" i="19"/>
  <c r="F1173" i="19"/>
  <c r="G1173" i="19"/>
  <c r="C1176" i="19"/>
  <c r="D1176" i="19"/>
  <c r="E1176" i="19"/>
  <c r="F1176" i="19"/>
  <c r="G1176" i="19"/>
  <c r="C1179" i="19"/>
  <c r="E1179" i="19"/>
  <c r="E1818" i="19" s="1"/>
  <c r="G1179" i="19"/>
  <c r="C1183" i="19"/>
  <c r="C1822" i="19" s="1"/>
  <c r="E1183" i="19"/>
  <c r="E1822" i="19" s="1"/>
  <c r="G1183" i="19"/>
  <c r="G1822" i="19" s="1"/>
  <c r="C1186" i="19"/>
  <c r="C1825" i="19" s="1"/>
  <c r="E1186" i="19"/>
  <c r="E1825" i="19" s="1"/>
  <c r="G1186" i="19"/>
  <c r="G1825" i="19" s="1"/>
  <c r="C1196" i="19"/>
  <c r="C1835" i="19" s="1"/>
  <c r="E1196" i="19"/>
  <c r="G1196" i="19"/>
  <c r="G1835" i="19" s="1"/>
  <c r="C1197" i="19"/>
  <c r="C1836" i="19" s="1"/>
  <c r="E1197" i="19"/>
  <c r="G1197" i="19"/>
  <c r="C1200" i="19"/>
  <c r="C1201" i="19" s="1"/>
  <c r="D1200" i="19"/>
  <c r="E1200" i="19"/>
  <c r="E1201" i="19" s="1"/>
  <c r="F1200" i="19"/>
  <c r="F1201" i="19" s="1"/>
  <c r="G1200" i="19"/>
  <c r="G1201" i="19" s="1"/>
  <c r="D1201" i="19"/>
  <c r="D1203" i="19"/>
  <c r="D1842" i="19" s="1"/>
  <c r="B1204" i="19"/>
  <c r="B1843" i="19" s="1"/>
  <c r="F1204" i="19"/>
  <c r="F1212" i="19"/>
  <c r="F1224" i="19" s="1"/>
  <c r="B1217" i="19"/>
  <c r="B1853" i="19" s="1"/>
  <c r="F1217" i="19"/>
  <c r="F1853" i="19" s="1"/>
  <c r="C1227" i="19"/>
  <c r="D1227" i="19"/>
  <c r="E1227" i="19"/>
  <c r="F1227" i="19"/>
  <c r="G1227" i="19"/>
  <c r="C1239" i="19"/>
  <c r="D1239" i="19"/>
  <c r="E1239" i="19"/>
  <c r="F1239" i="19"/>
  <c r="G1239" i="19"/>
  <c r="C1252" i="19"/>
  <c r="D1252" i="19"/>
  <c r="E1252" i="19"/>
  <c r="F1252" i="19"/>
  <c r="G1252" i="19"/>
  <c r="C1262" i="19"/>
  <c r="D1262" i="19"/>
  <c r="E1262" i="19"/>
  <c r="F1262" i="19"/>
  <c r="G1262" i="19"/>
  <c r="D1263" i="19"/>
  <c r="D1264" i="19" s="1"/>
  <c r="C1265" i="19"/>
  <c r="C1899" i="19" s="1"/>
  <c r="E1265" i="19"/>
  <c r="E1899" i="19" s="1"/>
  <c r="F1265" i="19"/>
  <c r="F1899" i="19" s="1"/>
  <c r="G1265" i="19"/>
  <c r="G1899" i="19" s="1"/>
  <c r="B1269" i="19"/>
  <c r="B1903" i="19" s="1"/>
  <c r="C1269" i="19"/>
  <c r="C1903" i="19" s="1"/>
  <c r="D1269" i="19"/>
  <c r="D1903" i="19" s="1"/>
  <c r="E1269" i="19"/>
  <c r="E1903" i="19" s="1"/>
  <c r="F1269" i="19"/>
  <c r="F1903" i="19" s="1"/>
  <c r="G1269" i="19"/>
  <c r="B1272" i="19"/>
  <c r="B1906" i="19" s="1"/>
  <c r="C1272" i="19"/>
  <c r="C1906" i="19" s="1"/>
  <c r="D1272" i="19"/>
  <c r="D1906" i="19" s="1"/>
  <c r="E1272" i="19"/>
  <c r="E1906" i="19" s="1"/>
  <c r="F1272" i="19"/>
  <c r="F1906" i="19" s="1"/>
  <c r="G1272" i="19"/>
  <c r="G1906" i="19" s="1"/>
  <c r="B1275" i="19"/>
  <c r="B1909" i="19" s="1"/>
  <c r="C1275" i="19"/>
  <c r="D1275" i="19"/>
  <c r="E1275" i="19"/>
  <c r="E1909" i="19" s="1"/>
  <c r="F1275" i="19"/>
  <c r="G1275" i="19"/>
  <c r="G1909" i="19" s="1"/>
  <c r="B1277" i="19"/>
  <c r="B1911" i="19" s="1"/>
  <c r="C1277" i="19"/>
  <c r="C1911" i="19" s="1"/>
  <c r="D1277" i="19"/>
  <c r="D1911" i="19" s="1"/>
  <c r="E1277" i="19"/>
  <c r="F1277" i="19"/>
  <c r="F1911" i="19" s="1"/>
  <c r="G1277" i="19"/>
  <c r="G1911" i="19" s="1"/>
  <c r="C1279" i="19"/>
  <c r="E1279" i="19"/>
  <c r="G1279" i="19"/>
  <c r="C1280" i="19"/>
  <c r="D1280" i="19"/>
  <c r="E1280" i="19"/>
  <c r="F1280" i="19"/>
  <c r="G1280" i="19"/>
  <c r="B1282" i="19"/>
  <c r="C1282" i="19"/>
  <c r="C1077" i="19" s="1"/>
  <c r="D1282" i="19"/>
  <c r="E1282" i="19"/>
  <c r="E1077" i="19" s="1"/>
  <c r="F1282" i="19"/>
  <c r="G1282" i="19"/>
  <c r="G1077" i="19" s="1"/>
  <c r="B1283" i="19"/>
  <c r="B1917" i="19" s="1"/>
  <c r="C1283" i="19"/>
  <c r="C1917" i="19" s="1"/>
  <c r="D1283" i="19"/>
  <c r="D1917" i="19" s="1"/>
  <c r="E1283" i="19"/>
  <c r="E1917" i="19" s="1"/>
  <c r="F1283" i="19"/>
  <c r="F1917" i="19" s="1"/>
  <c r="G1283" i="19"/>
  <c r="B1285" i="19"/>
  <c r="B1919" i="19" s="1"/>
  <c r="C1285" i="19"/>
  <c r="C1919" i="19" s="1"/>
  <c r="D1285" i="19"/>
  <c r="D1919" i="19" s="1"/>
  <c r="E1285" i="19"/>
  <c r="E1919" i="19" s="1"/>
  <c r="F1285" i="19"/>
  <c r="F1919" i="19" s="1"/>
  <c r="G1285" i="19"/>
  <c r="G1919" i="19" s="1"/>
  <c r="C1287" i="19"/>
  <c r="E1287" i="19"/>
  <c r="G1287" i="19"/>
  <c r="B1289" i="19"/>
  <c r="C1289" i="19"/>
  <c r="D1289" i="19"/>
  <c r="E1289" i="19"/>
  <c r="F1289" i="19"/>
  <c r="G1289" i="19"/>
  <c r="B1292" i="19"/>
  <c r="B1926" i="19" s="1"/>
  <c r="D1292" i="19"/>
  <c r="D1926" i="19" s="1"/>
  <c r="F1292" i="19"/>
  <c r="F1926" i="19" s="1"/>
  <c r="B1295" i="19"/>
  <c r="C1295" i="19"/>
  <c r="D1295" i="19"/>
  <c r="E1295" i="19"/>
  <c r="F1295" i="19"/>
  <c r="G1295" i="19"/>
  <c r="B1297" i="19"/>
  <c r="B1931" i="19" s="1"/>
  <c r="D1297" i="19"/>
  <c r="D1931" i="19" s="1"/>
  <c r="F1297" i="19"/>
  <c r="F1931" i="19" s="1"/>
  <c r="B1298" i="19"/>
  <c r="D1298" i="19"/>
  <c r="F1298" i="19"/>
  <c r="F1932" i="19" s="1"/>
  <c r="B1300" i="19"/>
  <c r="C1300" i="19"/>
  <c r="D1300" i="19"/>
  <c r="E1300" i="19"/>
  <c r="F1300" i="19"/>
  <c r="G1300" i="19"/>
  <c r="B1302" i="19"/>
  <c r="B1936" i="19" s="1"/>
  <c r="D1302" i="19"/>
  <c r="D1936" i="19" s="1"/>
  <c r="F1302" i="19"/>
  <c r="F1936" i="19" s="1"/>
  <c r="B1303" i="19"/>
  <c r="D1303" i="19"/>
  <c r="D1937" i="19" s="1"/>
  <c r="F1303" i="19"/>
  <c r="C1305" i="19"/>
  <c r="D1305" i="19"/>
  <c r="E1305" i="19"/>
  <c r="F1305" i="19"/>
  <c r="G1305" i="19"/>
  <c r="B1308" i="19"/>
  <c r="B1942" i="19" s="1"/>
  <c r="D1308" i="19"/>
  <c r="D1942" i="19" s="1"/>
  <c r="F1308" i="19"/>
  <c r="F1942" i="19" s="1"/>
  <c r="B1309" i="19"/>
  <c r="D1309" i="19"/>
  <c r="F1309" i="19"/>
  <c r="F1943" i="19" s="1"/>
  <c r="B1311" i="19"/>
  <c r="B1945" i="19" s="1"/>
  <c r="C1311" i="19"/>
  <c r="C1945" i="19" s="1"/>
  <c r="D1311" i="19"/>
  <c r="D1945" i="19" s="1"/>
  <c r="E1311" i="19"/>
  <c r="E1945" i="19" s="1"/>
  <c r="F1311" i="19"/>
  <c r="F1945" i="19" s="1"/>
  <c r="G1311" i="19"/>
  <c r="G1945" i="19" s="1"/>
  <c r="B1313" i="19"/>
  <c r="C1313" i="19"/>
  <c r="D1313" i="19"/>
  <c r="E1313" i="19"/>
  <c r="F1313" i="19"/>
  <c r="G1313" i="19"/>
  <c r="B1315" i="19"/>
  <c r="C1315" i="19"/>
  <c r="C1949" i="19" s="1"/>
  <c r="D1315" i="19"/>
  <c r="D1949" i="19" s="1"/>
  <c r="E1315" i="19"/>
  <c r="E1949" i="19" s="1"/>
  <c r="F1315" i="19"/>
  <c r="F1949" i="19" s="1"/>
  <c r="G1315" i="19"/>
  <c r="G1949" i="19" s="1"/>
  <c r="B1316" i="19"/>
  <c r="B1950" i="19" s="1"/>
  <c r="C1316" i="19"/>
  <c r="C1950" i="19" s="1"/>
  <c r="D1316" i="19"/>
  <c r="E1316" i="19"/>
  <c r="E1950" i="19" s="1"/>
  <c r="F1316" i="19"/>
  <c r="F1950" i="19" s="1"/>
  <c r="G1316" i="19"/>
  <c r="G1950" i="19" s="1"/>
  <c r="B1317" i="19"/>
  <c r="C1317" i="19"/>
  <c r="D1317" i="19"/>
  <c r="E1317" i="19"/>
  <c r="F1317" i="19"/>
  <c r="G1317" i="19"/>
  <c r="B1318" i="19"/>
  <c r="B1952" i="19" s="1"/>
  <c r="C1318" i="19"/>
  <c r="C1952" i="19" s="1"/>
  <c r="D1318" i="19"/>
  <c r="D1952" i="19" s="1"/>
  <c r="E1318" i="19"/>
  <c r="E1952" i="19" s="1"/>
  <c r="F1318" i="19"/>
  <c r="G1318" i="19"/>
  <c r="G1952" i="19" s="1"/>
  <c r="B1320" i="19"/>
  <c r="C1320" i="19"/>
  <c r="D1320" i="19"/>
  <c r="E1320" i="19"/>
  <c r="F1320" i="19"/>
  <c r="G1320" i="19"/>
  <c r="B1321" i="19"/>
  <c r="C1321" i="19"/>
  <c r="D1321" i="19"/>
  <c r="E1321" i="19"/>
  <c r="F1321" i="19"/>
  <c r="G1321" i="19"/>
  <c r="B1327" i="19"/>
  <c r="C1327" i="19"/>
  <c r="C1961" i="19" s="1"/>
  <c r="D1327" i="19"/>
  <c r="D1961" i="19" s="1"/>
  <c r="E1327" i="19"/>
  <c r="E1961" i="19" s="1"/>
  <c r="F1327" i="19"/>
  <c r="F1961" i="19" s="1"/>
  <c r="G1327" i="19"/>
  <c r="G1961" i="19" s="1"/>
  <c r="B1329" i="19"/>
  <c r="B1963" i="19" s="1"/>
  <c r="B1991" i="19" s="1"/>
  <c r="C1329" i="19"/>
  <c r="C1963" i="19" s="1"/>
  <c r="D1329" i="19"/>
  <c r="D1337" i="19" s="1"/>
  <c r="E1329" i="19"/>
  <c r="F1329" i="19"/>
  <c r="F1963" i="19" s="1"/>
  <c r="F1991" i="19" s="1"/>
  <c r="G1329" i="19"/>
  <c r="G1337" i="19" s="1"/>
  <c r="B1332" i="19"/>
  <c r="C1332" i="19"/>
  <c r="D1332" i="19"/>
  <c r="E1332" i="19"/>
  <c r="F1332" i="19"/>
  <c r="G1332" i="19"/>
  <c r="B1337" i="19"/>
  <c r="C1337" i="19"/>
  <c r="C1340" i="19"/>
  <c r="C1349" i="19" s="1"/>
  <c r="D1340" i="19"/>
  <c r="D1349" i="19" s="1"/>
  <c r="E1340" i="19"/>
  <c r="F1340" i="19"/>
  <c r="F1349" i="19" s="1"/>
  <c r="G1340" i="19"/>
  <c r="G1349" i="19" s="1"/>
  <c r="E1349" i="19"/>
  <c r="B1353" i="19"/>
  <c r="C1353" i="19"/>
  <c r="D1353" i="19"/>
  <c r="E1353" i="19"/>
  <c r="F1353" i="19"/>
  <c r="F1354" i="19" s="1"/>
  <c r="G1353" i="19"/>
  <c r="D1354" i="19"/>
  <c r="B1357" i="19"/>
  <c r="F1357" i="19"/>
  <c r="B1361" i="19"/>
  <c r="C1361" i="19"/>
  <c r="D1361" i="19"/>
  <c r="E1361" i="19"/>
  <c r="F1361" i="19"/>
  <c r="G1361" i="19"/>
  <c r="B1363" i="19"/>
  <c r="C1363" i="19"/>
  <c r="D1363" i="19"/>
  <c r="E1363" i="19"/>
  <c r="F1363" i="19"/>
  <c r="G1363" i="19"/>
  <c r="C1366" i="19"/>
  <c r="D1366" i="19"/>
  <c r="E1366" i="19"/>
  <c r="F1366" i="19"/>
  <c r="G1366" i="19"/>
  <c r="B1393" i="19"/>
  <c r="D1712" i="19"/>
  <c r="F1712" i="19"/>
  <c r="B1408" i="19"/>
  <c r="C1503" i="19"/>
  <c r="D1462" i="19"/>
  <c r="E1503" i="19"/>
  <c r="F1462" i="19"/>
  <c r="G1563" i="19"/>
  <c r="B1415" i="19"/>
  <c r="B1419" i="19"/>
  <c r="B1422" i="19"/>
  <c r="C1429" i="19"/>
  <c r="D1429" i="19"/>
  <c r="E1429" i="19"/>
  <c r="F1429" i="19"/>
  <c r="G1429" i="19"/>
  <c r="B1430" i="19"/>
  <c r="D1430" i="19"/>
  <c r="F1430" i="19"/>
  <c r="C1432" i="19"/>
  <c r="D1432" i="19"/>
  <c r="E1432" i="19"/>
  <c r="F1432" i="19"/>
  <c r="G1432" i="19"/>
  <c r="C1433" i="19"/>
  <c r="D1433" i="19"/>
  <c r="E1433" i="19"/>
  <c r="F1433" i="19"/>
  <c r="G1433" i="19"/>
  <c r="B1445" i="19"/>
  <c r="D1449" i="19"/>
  <c r="F1449" i="19"/>
  <c r="F1459" i="19" s="1"/>
  <c r="C1454" i="19"/>
  <c r="C1480" i="19" s="1"/>
  <c r="D1454" i="19"/>
  <c r="D1455" i="19" s="1"/>
  <c r="E1454" i="19"/>
  <c r="E1480" i="19" s="1"/>
  <c r="F1454" i="19"/>
  <c r="F1455" i="19" s="1"/>
  <c r="G1454" i="19"/>
  <c r="G1480" i="19" s="1"/>
  <c r="E1455" i="19"/>
  <c r="E1452" i="19" s="1"/>
  <c r="C1456" i="19"/>
  <c r="D1456" i="19"/>
  <c r="E1456" i="19"/>
  <c r="F1456" i="19"/>
  <c r="G1456" i="19"/>
  <c r="C1460" i="19"/>
  <c r="C1582" i="19" s="1"/>
  <c r="D1460" i="19"/>
  <c r="E1460" i="19"/>
  <c r="E1582" i="19" s="1"/>
  <c r="F1460" i="19"/>
  <c r="G1460" i="19"/>
  <c r="G1582" i="19" s="1"/>
  <c r="C1461" i="19"/>
  <c r="D1461" i="19"/>
  <c r="D1583" i="19" s="1"/>
  <c r="E1461" i="19"/>
  <c r="F1461" i="19"/>
  <c r="F1583" i="19" s="1"/>
  <c r="G1461" i="19"/>
  <c r="D1480" i="19"/>
  <c r="D1541" i="19" s="1"/>
  <c r="C1482" i="19"/>
  <c r="D1482" i="19"/>
  <c r="D1543" i="19" s="1"/>
  <c r="E1482" i="19"/>
  <c r="F1482" i="19"/>
  <c r="F1543" i="19" s="1"/>
  <c r="G1482" i="19"/>
  <c r="B1484" i="19"/>
  <c r="C1484" i="19"/>
  <c r="D1484" i="19"/>
  <c r="E1484" i="19"/>
  <c r="F1484" i="19"/>
  <c r="G1484" i="19"/>
  <c r="B1485" i="19"/>
  <c r="C1485" i="19"/>
  <c r="D1485" i="19"/>
  <c r="E1485" i="19"/>
  <c r="F1485" i="19"/>
  <c r="G1485" i="19"/>
  <c r="B1486" i="19"/>
  <c r="C1486" i="19"/>
  <c r="D1486" i="19"/>
  <c r="E1486" i="19"/>
  <c r="F1486" i="19"/>
  <c r="G1486" i="19"/>
  <c r="B1487" i="19"/>
  <c r="C1487" i="19"/>
  <c r="D1487" i="19"/>
  <c r="E1487" i="19"/>
  <c r="F1487" i="19"/>
  <c r="G1487" i="19"/>
  <c r="C1495" i="19"/>
  <c r="D1495" i="19"/>
  <c r="D1556" i="19" s="1"/>
  <c r="E1495" i="19"/>
  <c r="F1495" i="19"/>
  <c r="G1495" i="19"/>
  <c r="C1496" i="19"/>
  <c r="D1496" i="19"/>
  <c r="E1496" i="19"/>
  <c r="F1496" i="19"/>
  <c r="G1496" i="19"/>
  <c r="C1497" i="19"/>
  <c r="C1557" i="19" s="1"/>
  <c r="D1497" i="19"/>
  <c r="D1557" i="19" s="1"/>
  <c r="E1497" i="19"/>
  <c r="E1557" i="19" s="1"/>
  <c r="F1497" i="19"/>
  <c r="G1497" i="19"/>
  <c r="G1557" i="19" s="1"/>
  <c r="B1499" i="19"/>
  <c r="B1559" i="19" s="1"/>
  <c r="B1560" i="19" s="1"/>
  <c r="C1499" i="19"/>
  <c r="D1499" i="19"/>
  <c r="E1499" i="19"/>
  <c r="F1499" i="19"/>
  <c r="F1559" i="19" s="1"/>
  <c r="F1560" i="19" s="1"/>
  <c r="G1499" i="19"/>
  <c r="B1500" i="19"/>
  <c r="C1500" i="19"/>
  <c r="D1500" i="19"/>
  <c r="E1500" i="19"/>
  <c r="F1500" i="19"/>
  <c r="G1500" i="19"/>
  <c r="B1501" i="19"/>
  <c r="B1561" i="19" s="1"/>
  <c r="B1562" i="19" s="1"/>
  <c r="C1501" i="19"/>
  <c r="D1501" i="19"/>
  <c r="E1501" i="19"/>
  <c r="F1501" i="19"/>
  <c r="F1561" i="19" s="1"/>
  <c r="F1562" i="19" s="1"/>
  <c r="G1501" i="19"/>
  <c r="B1502" i="19"/>
  <c r="C1502" i="19"/>
  <c r="D1502" i="19"/>
  <c r="E1502" i="19"/>
  <c r="F1502" i="19"/>
  <c r="G1502" i="19"/>
  <c r="D1503" i="19"/>
  <c r="B1514" i="19"/>
  <c r="C1514" i="19"/>
  <c r="D1514" i="19"/>
  <c r="E1514" i="19"/>
  <c r="F1514" i="19"/>
  <c r="G1514" i="19"/>
  <c r="C1516" i="19"/>
  <c r="C1517" i="19" s="1"/>
  <c r="C1518" i="19" s="1"/>
  <c r="D1516" i="19"/>
  <c r="D1517" i="19" s="1"/>
  <c r="D1518" i="19" s="1"/>
  <c r="E1516" i="19"/>
  <c r="F1516" i="19"/>
  <c r="F1517" i="19" s="1"/>
  <c r="F1518" i="19" s="1"/>
  <c r="G1516" i="19"/>
  <c r="C1519" i="19"/>
  <c r="C1533" i="19" s="1"/>
  <c r="D1519" i="19"/>
  <c r="D1533" i="19" s="1"/>
  <c r="E1519" i="19"/>
  <c r="E1533" i="19" s="1"/>
  <c r="F1519" i="19"/>
  <c r="G1519" i="19"/>
  <c r="G1533" i="19" s="1"/>
  <c r="C1520" i="19"/>
  <c r="C1534" i="19" s="1"/>
  <c r="D1520" i="19"/>
  <c r="D1534" i="19" s="1"/>
  <c r="E1520" i="19"/>
  <c r="E1534" i="19" s="1"/>
  <c r="F1520" i="19"/>
  <c r="F1534" i="19" s="1"/>
  <c r="G1520" i="19"/>
  <c r="G1534" i="19" s="1"/>
  <c r="C1522" i="19"/>
  <c r="B1523" i="19"/>
  <c r="C1523" i="19"/>
  <c r="D1523" i="19"/>
  <c r="E1523" i="19"/>
  <c r="F1523" i="19"/>
  <c r="G1523" i="19"/>
  <c r="F1533" i="19"/>
  <c r="B1535" i="19"/>
  <c r="C1535" i="19"/>
  <c r="D1535" i="19"/>
  <c r="E1535" i="19"/>
  <c r="F1535" i="19"/>
  <c r="G1535" i="19"/>
  <c r="C1543" i="19"/>
  <c r="E1543" i="19"/>
  <c r="G1543" i="19"/>
  <c r="B1545" i="19"/>
  <c r="C1545" i="19"/>
  <c r="D1545" i="19"/>
  <c r="E1545" i="19"/>
  <c r="F1545" i="19"/>
  <c r="G1545" i="19"/>
  <c r="B1546" i="19"/>
  <c r="C1546" i="19"/>
  <c r="D1546" i="19"/>
  <c r="E1546" i="19"/>
  <c r="F1546" i="19"/>
  <c r="G1546" i="19"/>
  <c r="B1547" i="19"/>
  <c r="C1547" i="19"/>
  <c r="D1547" i="19"/>
  <c r="E1547" i="19"/>
  <c r="F1547" i="19"/>
  <c r="G1547" i="19"/>
  <c r="B1548" i="19"/>
  <c r="C1548" i="19"/>
  <c r="D1548" i="19"/>
  <c r="E1548" i="19"/>
  <c r="F1548" i="19"/>
  <c r="G1548" i="19"/>
  <c r="F1556" i="19"/>
  <c r="F1557" i="19"/>
  <c r="D1559" i="19"/>
  <c r="D1560" i="19" s="1"/>
  <c r="D1561" i="19"/>
  <c r="D1562" i="19" s="1"/>
  <c r="B1564" i="19"/>
  <c r="C1564" i="19"/>
  <c r="D1564" i="19"/>
  <c r="E1564" i="19"/>
  <c r="F1564" i="19"/>
  <c r="G1564" i="19"/>
  <c r="C1572" i="19"/>
  <c r="C1574" i="19" s="1"/>
  <c r="E1572" i="19"/>
  <c r="E1581" i="19" s="1"/>
  <c r="G1572" i="19"/>
  <c r="G1574" i="19" s="1"/>
  <c r="C1577" i="19"/>
  <c r="D1577" i="19"/>
  <c r="E1577" i="19"/>
  <c r="F1577" i="19"/>
  <c r="G1577" i="19"/>
  <c r="E1578" i="19"/>
  <c r="E1575" i="19" s="1"/>
  <c r="D1582" i="19"/>
  <c r="F1582" i="19"/>
  <c r="C1583" i="19"/>
  <c r="E1583" i="19"/>
  <c r="G1583" i="19"/>
  <c r="B1585" i="19"/>
  <c r="C1585" i="19"/>
  <c r="D1585" i="19"/>
  <c r="E1585" i="19"/>
  <c r="F1585" i="19"/>
  <c r="G1585" i="19"/>
  <c r="C1600" i="19"/>
  <c r="D1600" i="19"/>
  <c r="E1600" i="19"/>
  <c r="F1600" i="19"/>
  <c r="G1600" i="19"/>
  <c r="B1602" i="19"/>
  <c r="C1602" i="19"/>
  <c r="D1602" i="19"/>
  <c r="E1602" i="19"/>
  <c r="F1602" i="19"/>
  <c r="G1602" i="19"/>
  <c r="B1603" i="19"/>
  <c r="C1603" i="19"/>
  <c r="D1603" i="19"/>
  <c r="E1603" i="19"/>
  <c r="F1603" i="19"/>
  <c r="G1603" i="19"/>
  <c r="B1604" i="19"/>
  <c r="C1604" i="19"/>
  <c r="D1604" i="19"/>
  <c r="E1604" i="19"/>
  <c r="F1604" i="19"/>
  <c r="G1604" i="19"/>
  <c r="B1605" i="19"/>
  <c r="C1605" i="19"/>
  <c r="D1605" i="19"/>
  <c r="E1605" i="19"/>
  <c r="F1605" i="19"/>
  <c r="G1605" i="19"/>
  <c r="B1613" i="19"/>
  <c r="B1614" i="19" s="1"/>
  <c r="D1613" i="19"/>
  <c r="F1613" i="19"/>
  <c r="F1614" i="19" s="1"/>
  <c r="D1614" i="19"/>
  <c r="B1615" i="19"/>
  <c r="B1616" i="19" s="1"/>
  <c r="D1615" i="19"/>
  <c r="F1615" i="19"/>
  <c r="F1616" i="19" s="1"/>
  <c r="D1616" i="19"/>
  <c r="B1618" i="19"/>
  <c r="C1618" i="19"/>
  <c r="D1618" i="19"/>
  <c r="E1618" i="19"/>
  <c r="F1618" i="19"/>
  <c r="G1618" i="19"/>
  <c r="C1628" i="19"/>
  <c r="D1628" i="19"/>
  <c r="E1628" i="19"/>
  <c r="F1628" i="19"/>
  <c r="G1628" i="19"/>
  <c r="C1632" i="19"/>
  <c r="D1632" i="19"/>
  <c r="E1632" i="19"/>
  <c r="F1632" i="19"/>
  <c r="G1632" i="19"/>
  <c r="C1633" i="19"/>
  <c r="D1633" i="19"/>
  <c r="E1633" i="19"/>
  <c r="F1633" i="19"/>
  <c r="G1633" i="19"/>
  <c r="C1634" i="19"/>
  <c r="D1634" i="19"/>
  <c r="E1634" i="19"/>
  <c r="F1634" i="19"/>
  <c r="G1634" i="19"/>
  <c r="B1636" i="19"/>
  <c r="C1636" i="19"/>
  <c r="D1636" i="19"/>
  <c r="E1636" i="19"/>
  <c r="F1636" i="19"/>
  <c r="G1636" i="19"/>
  <c r="B1637" i="19"/>
  <c r="C1637" i="19"/>
  <c r="D1637" i="19"/>
  <c r="E1637" i="19"/>
  <c r="F1637" i="19"/>
  <c r="G1637" i="19"/>
  <c r="B1638" i="19"/>
  <c r="B1639" i="19" s="1"/>
  <c r="D1638" i="19"/>
  <c r="F1638" i="19"/>
  <c r="D1639" i="19"/>
  <c r="F1639" i="19"/>
  <c r="B1641" i="19"/>
  <c r="C1641" i="19"/>
  <c r="D1641" i="19"/>
  <c r="E1641" i="19"/>
  <c r="F1641" i="19"/>
  <c r="G1641" i="19"/>
  <c r="C1642" i="19"/>
  <c r="D1642" i="19"/>
  <c r="E1642" i="19"/>
  <c r="F1642" i="19"/>
  <c r="G1642" i="19"/>
  <c r="C1647" i="19"/>
  <c r="C1661" i="19" s="1"/>
  <c r="C1681" i="19" s="1"/>
  <c r="D1647" i="19"/>
  <c r="D1661" i="19" s="1"/>
  <c r="D1681" i="19" s="1"/>
  <c r="E1647" i="19"/>
  <c r="E1661" i="19" s="1"/>
  <c r="E1681" i="19" s="1"/>
  <c r="F1647" i="19"/>
  <c r="F1661" i="19" s="1"/>
  <c r="F1681" i="19" s="1"/>
  <c r="G1647" i="19"/>
  <c r="G1661" i="19" s="1"/>
  <c r="G1681" i="19" s="1"/>
  <c r="C1648" i="19"/>
  <c r="C1649" i="19" s="1"/>
  <c r="D1648" i="19"/>
  <c r="D1649" i="19" s="1"/>
  <c r="E1648" i="19"/>
  <c r="F1648" i="19"/>
  <c r="F1649" i="19" s="1"/>
  <c r="G1648" i="19"/>
  <c r="G1649" i="19" s="1"/>
  <c r="E1649" i="19"/>
  <c r="E1682" i="19" s="1"/>
  <c r="C1650" i="19"/>
  <c r="D1650" i="19"/>
  <c r="E1650" i="19"/>
  <c r="F1650" i="19"/>
  <c r="G1650" i="19"/>
  <c r="E1651" i="19"/>
  <c r="C1653" i="19"/>
  <c r="D1653" i="19"/>
  <c r="E1653" i="19"/>
  <c r="F1653" i="19"/>
  <c r="G1653" i="19"/>
  <c r="C1654" i="19"/>
  <c r="D1654" i="19"/>
  <c r="E1654" i="19"/>
  <c r="F1654" i="19"/>
  <c r="G1654" i="19"/>
  <c r="F1655" i="19"/>
  <c r="B1658" i="19"/>
  <c r="C1658" i="19"/>
  <c r="D1658" i="19"/>
  <c r="E1658" i="19"/>
  <c r="F1658" i="19"/>
  <c r="G1658" i="19"/>
  <c r="B1665" i="19"/>
  <c r="C1665" i="19"/>
  <c r="D1665" i="19"/>
  <c r="E1665" i="19"/>
  <c r="F1665" i="19"/>
  <c r="G1665" i="19"/>
  <c r="C1669" i="19"/>
  <c r="D1669" i="19"/>
  <c r="E1669" i="19"/>
  <c r="F1669" i="19"/>
  <c r="G1669" i="19"/>
  <c r="C1670" i="19"/>
  <c r="D1670" i="19"/>
  <c r="E1670" i="19"/>
  <c r="F1670" i="19"/>
  <c r="G1670" i="19"/>
  <c r="E1671" i="19"/>
  <c r="C1673" i="19"/>
  <c r="D1673" i="19"/>
  <c r="E1673" i="19"/>
  <c r="F1673" i="19"/>
  <c r="G1673" i="19"/>
  <c r="B1675" i="19"/>
  <c r="C1675" i="19"/>
  <c r="D1675" i="19"/>
  <c r="E1675" i="19"/>
  <c r="F1675" i="19"/>
  <c r="G1675" i="19"/>
  <c r="B1676" i="19"/>
  <c r="C1676" i="19"/>
  <c r="D1676" i="19"/>
  <c r="E1676" i="19"/>
  <c r="F1676" i="19"/>
  <c r="G1676" i="19"/>
  <c r="C1686" i="19"/>
  <c r="C1696" i="19" s="1"/>
  <c r="D1686" i="19"/>
  <c r="E1686" i="19"/>
  <c r="E1696" i="19" s="1"/>
  <c r="F1686" i="19"/>
  <c r="F1696" i="19" s="1"/>
  <c r="G1686" i="19"/>
  <c r="G1696" i="19" s="1"/>
  <c r="B1690" i="19"/>
  <c r="C1690" i="19"/>
  <c r="D1690" i="19"/>
  <c r="E1690" i="19"/>
  <c r="F1690" i="19"/>
  <c r="G1690" i="19"/>
  <c r="B1691" i="19"/>
  <c r="C1691" i="19"/>
  <c r="D1691" i="19"/>
  <c r="E1691" i="19"/>
  <c r="F1691" i="19"/>
  <c r="G1691" i="19"/>
  <c r="B1692" i="19"/>
  <c r="C1692" i="19"/>
  <c r="D1692" i="19"/>
  <c r="E1692" i="19"/>
  <c r="F1692" i="19"/>
  <c r="G1692" i="19"/>
  <c r="B1693" i="19"/>
  <c r="C1693" i="19"/>
  <c r="D1693" i="19"/>
  <c r="E1693" i="19"/>
  <c r="F1693" i="19"/>
  <c r="G1693" i="19"/>
  <c r="B1695" i="19"/>
  <c r="C1695" i="19"/>
  <c r="D1695" i="19"/>
  <c r="E1695" i="19"/>
  <c r="F1695" i="19"/>
  <c r="G1695" i="19"/>
  <c r="D1696" i="19"/>
  <c r="C1712" i="19"/>
  <c r="E1712" i="19"/>
  <c r="G1712" i="19"/>
  <c r="C1714" i="19"/>
  <c r="D1714" i="19"/>
  <c r="E1714" i="19"/>
  <c r="F1714" i="19"/>
  <c r="G1714" i="19"/>
  <c r="C1715" i="19"/>
  <c r="D1715" i="19"/>
  <c r="E1715" i="19"/>
  <c r="F1715" i="19"/>
  <c r="G1715" i="19"/>
  <c r="C1717" i="19"/>
  <c r="D1717" i="19"/>
  <c r="E1717" i="19"/>
  <c r="F1717" i="19"/>
  <c r="G1717" i="19"/>
  <c r="B1720" i="19"/>
  <c r="C1720" i="19"/>
  <c r="D1720" i="19"/>
  <c r="E1720" i="19"/>
  <c r="F1720" i="19"/>
  <c r="G1720" i="19"/>
  <c r="AA1723" i="19"/>
  <c r="AA1724" i="19"/>
  <c r="AA1725" i="19"/>
  <c r="C1726" i="19"/>
  <c r="E1726" i="19"/>
  <c r="G1726" i="19"/>
  <c r="AA1726" i="19"/>
  <c r="AA1727" i="19"/>
  <c r="C1728" i="19"/>
  <c r="D1728" i="19"/>
  <c r="E1728" i="19"/>
  <c r="F1728" i="19"/>
  <c r="G1728" i="19"/>
  <c r="AA1728" i="19"/>
  <c r="AA1729" i="19"/>
  <c r="C1730" i="19"/>
  <c r="D1730" i="19"/>
  <c r="D1734" i="19" s="1"/>
  <c r="E1730" i="19"/>
  <c r="F1730" i="19"/>
  <c r="G1730" i="19"/>
  <c r="AA1730" i="19"/>
  <c r="C1731" i="19"/>
  <c r="D1731" i="19"/>
  <c r="E1731" i="19"/>
  <c r="F1731" i="19"/>
  <c r="G1731" i="19"/>
  <c r="AA1731" i="19"/>
  <c r="AA1732" i="19" s="1"/>
  <c r="D1736" i="19"/>
  <c r="B1740" i="19"/>
  <c r="C1740" i="19"/>
  <c r="D1740" i="19"/>
  <c r="E1740" i="19"/>
  <c r="F1740" i="19"/>
  <c r="G1740" i="19"/>
  <c r="B1741" i="19"/>
  <c r="C1741" i="19"/>
  <c r="D1741" i="19"/>
  <c r="E1741" i="19"/>
  <c r="F1741" i="19"/>
  <c r="G1741" i="19"/>
  <c r="C1742" i="19"/>
  <c r="C1743" i="19" s="1"/>
  <c r="D1742" i="19"/>
  <c r="D1743" i="19" s="1"/>
  <c r="E1742" i="19"/>
  <c r="F1742" i="19"/>
  <c r="F1743" i="19" s="1"/>
  <c r="G1742" i="19"/>
  <c r="G1743" i="19" s="1"/>
  <c r="E1743" i="19"/>
  <c r="B1744" i="19"/>
  <c r="C1744" i="19"/>
  <c r="D1744" i="19"/>
  <c r="E1744" i="19"/>
  <c r="F1744" i="19"/>
  <c r="G1744" i="19"/>
  <c r="B1745" i="19"/>
  <c r="C1745" i="19"/>
  <c r="D1745" i="19"/>
  <c r="E1745" i="19"/>
  <c r="F1745" i="19"/>
  <c r="G1745" i="19"/>
  <c r="B1748" i="19"/>
  <c r="C1748" i="19"/>
  <c r="D1748" i="19"/>
  <c r="E1748" i="19"/>
  <c r="F1748" i="19"/>
  <c r="G1748" i="19"/>
  <c r="C1756" i="19"/>
  <c r="D1756" i="19"/>
  <c r="E1756" i="19"/>
  <c r="F1756" i="19"/>
  <c r="G1756" i="19"/>
  <c r="C1757" i="19"/>
  <c r="D1757" i="19"/>
  <c r="E1757" i="19"/>
  <c r="F1757" i="19"/>
  <c r="G1757" i="19"/>
  <c r="C1758" i="19"/>
  <c r="D1758" i="19"/>
  <c r="E1758" i="19"/>
  <c r="F1758" i="19"/>
  <c r="G1758" i="19"/>
  <c r="C1760" i="19"/>
  <c r="C1761" i="19" s="1"/>
  <c r="D1760" i="19"/>
  <c r="E1760" i="19"/>
  <c r="E1761" i="19" s="1"/>
  <c r="F1760" i="19"/>
  <c r="G1760" i="19"/>
  <c r="G1761" i="19" s="1"/>
  <c r="D1761" i="19"/>
  <c r="F1761" i="19"/>
  <c r="C1762" i="19"/>
  <c r="D1762" i="19"/>
  <c r="E1762" i="19"/>
  <c r="F1762" i="19"/>
  <c r="G1762" i="19"/>
  <c r="B1764" i="19"/>
  <c r="C1764" i="19"/>
  <c r="D1764" i="19"/>
  <c r="E1764" i="19"/>
  <c r="F1764" i="19"/>
  <c r="G1764" i="19"/>
  <c r="B1765" i="19"/>
  <c r="C1765" i="19"/>
  <c r="D1765" i="19"/>
  <c r="E1765" i="19"/>
  <c r="F1765" i="19"/>
  <c r="G1765" i="19"/>
  <c r="C1775" i="19"/>
  <c r="D1775" i="19"/>
  <c r="E1775" i="19"/>
  <c r="F1775" i="19"/>
  <c r="G1775" i="19"/>
  <c r="C1780" i="19"/>
  <c r="D1780" i="19"/>
  <c r="E1780" i="19"/>
  <c r="F1780" i="19"/>
  <c r="G1780" i="19"/>
  <c r="C1784" i="19"/>
  <c r="D1784" i="19"/>
  <c r="E1784" i="19"/>
  <c r="F1784" i="19"/>
  <c r="G1784" i="19"/>
  <c r="C1785" i="19"/>
  <c r="C1782" i="19" s="1"/>
  <c r="C1790" i="19" s="1"/>
  <c r="C1791" i="19" s="1"/>
  <c r="C1792" i="19" s="1"/>
  <c r="D1785" i="19"/>
  <c r="D1782" i="19" s="1"/>
  <c r="D1790" i="19" s="1"/>
  <c r="D1791" i="19" s="1"/>
  <c r="D1792" i="19" s="1"/>
  <c r="E1785" i="19"/>
  <c r="E1782" i="19" s="1"/>
  <c r="E1790" i="19" s="1"/>
  <c r="E1791" i="19" s="1"/>
  <c r="E1792" i="19" s="1"/>
  <c r="F1785" i="19"/>
  <c r="F1782" i="19" s="1"/>
  <c r="F1790" i="19" s="1"/>
  <c r="F1791" i="19" s="1"/>
  <c r="F1792" i="19" s="1"/>
  <c r="G1785" i="19"/>
  <c r="G1782" i="19" s="1"/>
  <c r="G1790" i="19" s="1"/>
  <c r="G1791" i="19" s="1"/>
  <c r="G1792" i="19" s="1"/>
  <c r="C1786" i="19"/>
  <c r="D1786" i="19"/>
  <c r="E1786" i="19"/>
  <c r="F1786" i="19"/>
  <c r="G1786" i="19"/>
  <c r="B1788" i="19"/>
  <c r="C1788" i="19"/>
  <c r="D1788" i="19"/>
  <c r="E1788" i="19"/>
  <c r="F1788" i="19"/>
  <c r="G1788" i="19"/>
  <c r="B1789" i="19"/>
  <c r="C1789" i="19"/>
  <c r="D1789" i="19"/>
  <c r="E1789" i="19"/>
  <c r="F1789" i="19"/>
  <c r="G1789" i="19"/>
  <c r="C1795" i="19"/>
  <c r="D1795" i="19"/>
  <c r="D1851" i="19" s="1"/>
  <c r="E1795" i="19"/>
  <c r="F1795" i="19"/>
  <c r="G1795" i="19"/>
  <c r="B1797" i="19"/>
  <c r="B1796" i="19" s="1"/>
  <c r="C1797" i="19"/>
  <c r="C1796" i="19" s="1"/>
  <c r="D1797" i="19"/>
  <c r="D1796" i="19" s="1"/>
  <c r="E1797" i="19"/>
  <c r="E1796" i="19" s="1"/>
  <c r="F1797" i="19"/>
  <c r="F1796" i="19" s="1"/>
  <c r="G1797" i="19"/>
  <c r="G1796" i="19" s="1"/>
  <c r="C1809" i="19"/>
  <c r="C1810" i="19" s="1"/>
  <c r="E1809" i="19"/>
  <c r="E1810" i="19" s="1"/>
  <c r="G1809" i="19"/>
  <c r="G1810" i="19" s="1"/>
  <c r="C1812" i="19"/>
  <c r="D1812" i="19"/>
  <c r="E1812" i="19"/>
  <c r="F1812" i="19"/>
  <c r="G1812" i="19"/>
  <c r="C1815" i="19"/>
  <c r="D1815" i="19"/>
  <c r="E1815" i="19"/>
  <c r="F1815" i="19"/>
  <c r="G1815" i="19"/>
  <c r="C1818" i="19"/>
  <c r="D1818" i="19"/>
  <c r="G1818" i="19"/>
  <c r="F1822" i="19"/>
  <c r="F1825" i="19"/>
  <c r="B1835" i="19"/>
  <c r="D1835" i="19"/>
  <c r="E1835" i="19"/>
  <c r="F1835" i="19"/>
  <c r="B1836" i="19"/>
  <c r="D1836" i="19"/>
  <c r="D1837" i="19" s="1"/>
  <c r="F1836" i="19"/>
  <c r="G1836" i="19"/>
  <c r="C1839" i="19"/>
  <c r="C1840" i="19" s="1"/>
  <c r="D1839" i="19"/>
  <c r="D1840" i="19" s="1"/>
  <c r="E1839" i="19"/>
  <c r="E1840" i="19" s="1"/>
  <c r="F1839" i="19"/>
  <c r="F1840" i="19" s="1"/>
  <c r="G1839" i="19"/>
  <c r="G1840" i="19" s="1"/>
  <c r="B1842" i="19"/>
  <c r="F1842" i="19"/>
  <c r="D1843" i="19"/>
  <c r="F1843" i="19"/>
  <c r="F1851" i="19"/>
  <c r="F1882" i="19" s="1"/>
  <c r="C1853" i="19"/>
  <c r="E1853" i="19"/>
  <c r="G1853" i="19"/>
  <c r="F1860" i="19"/>
  <c r="C1863" i="19"/>
  <c r="D1863" i="19"/>
  <c r="E1863" i="19"/>
  <c r="F1863" i="19"/>
  <c r="G1863" i="19"/>
  <c r="C1874" i="19"/>
  <c r="D1874" i="19"/>
  <c r="E1874" i="19"/>
  <c r="F1874" i="19"/>
  <c r="G1874" i="19"/>
  <c r="C1886" i="19"/>
  <c r="D1886" i="19"/>
  <c r="E1886" i="19"/>
  <c r="F1886" i="19"/>
  <c r="G1886" i="19"/>
  <c r="D1888" i="19"/>
  <c r="F1888" i="19"/>
  <c r="D1889" i="19"/>
  <c r="D1910" i="19" s="1"/>
  <c r="F1889" i="19"/>
  <c r="F1910" i="19" s="1"/>
  <c r="F1912" i="19" s="1"/>
  <c r="C1896" i="19"/>
  <c r="D1896" i="19"/>
  <c r="E1896" i="19"/>
  <c r="F1896" i="19"/>
  <c r="G1896" i="19"/>
  <c r="D1897" i="19"/>
  <c r="D1898" i="19" s="1"/>
  <c r="C1902" i="19"/>
  <c r="D1902" i="19"/>
  <c r="E1902" i="19"/>
  <c r="F1902" i="19"/>
  <c r="G1902" i="19"/>
  <c r="G1903" i="19"/>
  <c r="C1909" i="19"/>
  <c r="E1911" i="19"/>
  <c r="D1912" i="19"/>
  <c r="C1913" i="19"/>
  <c r="C1914" i="19" s="1"/>
  <c r="E1913" i="19"/>
  <c r="E1914" i="19" s="1"/>
  <c r="E2039" i="19" s="1"/>
  <c r="G1913" i="19"/>
  <c r="G1914" i="19" s="1"/>
  <c r="B1916" i="19"/>
  <c r="C1916" i="19"/>
  <c r="D1916" i="19"/>
  <c r="E1916" i="19"/>
  <c r="F1916" i="19"/>
  <c r="G1916" i="19"/>
  <c r="G1917" i="19"/>
  <c r="C1921" i="19"/>
  <c r="E1921" i="19"/>
  <c r="G1921" i="19"/>
  <c r="B1923" i="19"/>
  <c r="C1923" i="19"/>
  <c r="D1923" i="19"/>
  <c r="E1923" i="19"/>
  <c r="F1923" i="19"/>
  <c r="G1923" i="19"/>
  <c r="C1926" i="19"/>
  <c r="E1926" i="19"/>
  <c r="G1926" i="19"/>
  <c r="B1929" i="19"/>
  <c r="C1929" i="19"/>
  <c r="D1929" i="19"/>
  <c r="E1929" i="19"/>
  <c r="F1929" i="19"/>
  <c r="G1929" i="19"/>
  <c r="C1931" i="19"/>
  <c r="E1931" i="19"/>
  <c r="G1931" i="19"/>
  <c r="B1932" i="19"/>
  <c r="C1932" i="19"/>
  <c r="E1932" i="19"/>
  <c r="G1932" i="19"/>
  <c r="B1934" i="19"/>
  <c r="C1934" i="19"/>
  <c r="D1934" i="19"/>
  <c r="E1934" i="19"/>
  <c r="F1934" i="19"/>
  <c r="G1934" i="19"/>
  <c r="C1936" i="19"/>
  <c r="E1936" i="19"/>
  <c r="G1936" i="19"/>
  <c r="C1937" i="19"/>
  <c r="E1937" i="19"/>
  <c r="G1937" i="19"/>
  <c r="C1939" i="19"/>
  <c r="D1939" i="19"/>
  <c r="E1939" i="19"/>
  <c r="F1939" i="19"/>
  <c r="G1939" i="19"/>
  <c r="C1942" i="19"/>
  <c r="E1942" i="19"/>
  <c r="G1942" i="19"/>
  <c r="B1943" i="19"/>
  <c r="B1947" i="19"/>
  <c r="C1947" i="19"/>
  <c r="D1947" i="19"/>
  <c r="E1947" i="19"/>
  <c r="F1947" i="19"/>
  <c r="G1947" i="19"/>
  <c r="B1949" i="19"/>
  <c r="D1950" i="19"/>
  <c r="F1952" i="19"/>
  <c r="C1955" i="19"/>
  <c r="D1955" i="19"/>
  <c r="E1955" i="19"/>
  <c r="F1955" i="19"/>
  <c r="G1955" i="19"/>
  <c r="B1961" i="19"/>
  <c r="B1962" i="19"/>
  <c r="C1962" i="19"/>
  <c r="D1962" i="19"/>
  <c r="E1962" i="19"/>
  <c r="F1962" i="19"/>
  <c r="G1962" i="19"/>
  <c r="D1963" i="19"/>
  <c r="D1991" i="19" s="1"/>
  <c r="B1966" i="19"/>
  <c r="C1966" i="19"/>
  <c r="D1966" i="19"/>
  <c r="E1966" i="19"/>
  <c r="F1966" i="19"/>
  <c r="G1966" i="19"/>
  <c r="B1968" i="19"/>
  <c r="C1968" i="19"/>
  <c r="D1968" i="19"/>
  <c r="E1968" i="19"/>
  <c r="F1968" i="19"/>
  <c r="G1968" i="19"/>
  <c r="B1969" i="19"/>
  <c r="C1969" i="19"/>
  <c r="D1969" i="19"/>
  <c r="E1969" i="19"/>
  <c r="F1969" i="19"/>
  <c r="G1969" i="19"/>
  <c r="C1974" i="19"/>
  <c r="D1974" i="19"/>
  <c r="E1974" i="19"/>
  <c r="F1974" i="19"/>
  <c r="G1974" i="19"/>
  <c r="B1975" i="19"/>
  <c r="C1975" i="19"/>
  <c r="D1975" i="19"/>
  <c r="E1975" i="19"/>
  <c r="F1975" i="19"/>
  <c r="G1975" i="19"/>
  <c r="B1976" i="19"/>
  <c r="C1976" i="19"/>
  <c r="D1976" i="19"/>
  <c r="E1976" i="19"/>
  <c r="F1976" i="19"/>
  <c r="G1976" i="19"/>
  <c r="B1977" i="19"/>
  <c r="C1977" i="19"/>
  <c r="D1977" i="19"/>
  <c r="E1977" i="19"/>
  <c r="F1977" i="19"/>
  <c r="G1977" i="19"/>
  <c r="B1978" i="19"/>
  <c r="C1978" i="19"/>
  <c r="D1978" i="19"/>
  <c r="E1978" i="19"/>
  <c r="F1978" i="19"/>
  <c r="G1978" i="19"/>
  <c r="B1979" i="19"/>
  <c r="C1979" i="19"/>
  <c r="D1979" i="19"/>
  <c r="E1979" i="19"/>
  <c r="F1979" i="19"/>
  <c r="G1979" i="19"/>
  <c r="B1980" i="19"/>
  <c r="C1980" i="19"/>
  <c r="D1980" i="19"/>
  <c r="E1980" i="19"/>
  <c r="F1980" i="19"/>
  <c r="G1980" i="19"/>
  <c r="B1981" i="19"/>
  <c r="C1981" i="19"/>
  <c r="D1981" i="19"/>
  <c r="E1981" i="19"/>
  <c r="F1981" i="19"/>
  <c r="G1981" i="19"/>
  <c r="B1982" i="19"/>
  <c r="C1982" i="19"/>
  <c r="D1982" i="19"/>
  <c r="E1982" i="19"/>
  <c r="F1982" i="19"/>
  <c r="G1982" i="19"/>
  <c r="B1985" i="19"/>
  <c r="C1985" i="19"/>
  <c r="C1983" i="19" s="1"/>
  <c r="D1985" i="19"/>
  <c r="D1983" i="19" s="1"/>
  <c r="E1985" i="19"/>
  <c r="E1983" i="19" s="1"/>
  <c r="F1985" i="19"/>
  <c r="F1983" i="19" s="1"/>
  <c r="G1985" i="19"/>
  <c r="G1983" i="19" s="1"/>
  <c r="B1986" i="19"/>
  <c r="C1986" i="19"/>
  <c r="D1986" i="19"/>
  <c r="E1986" i="19"/>
  <c r="F1986" i="19"/>
  <c r="G1986" i="19"/>
  <c r="B1987" i="19"/>
  <c r="C1987" i="19"/>
  <c r="D1987" i="19"/>
  <c r="D1988" i="19" s="1"/>
  <c r="E1987" i="19"/>
  <c r="F1987" i="19"/>
  <c r="F1988" i="19" s="1"/>
  <c r="G1987" i="19"/>
  <c r="C1988" i="19"/>
  <c r="E1988" i="19"/>
  <c r="G1988" i="19"/>
  <c r="B1994" i="19"/>
  <c r="C1994" i="19"/>
  <c r="D1994" i="19"/>
  <c r="E1994" i="19"/>
  <c r="F1994" i="19"/>
  <c r="G1994" i="19"/>
  <c r="B1995" i="19"/>
  <c r="C1995" i="19"/>
  <c r="D1995" i="19"/>
  <c r="E1995" i="19"/>
  <c r="F1995" i="19"/>
  <c r="G1995" i="19"/>
  <c r="B1996" i="19"/>
  <c r="C1996" i="19"/>
  <c r="D1996" i="19"/>
  <c r="E1996" i="19"/>
  <c r="F1996" i="19"/>
  <c r="G1996" i="19"/>
  <c r="B1997" i="19"/>
  <c r="C1997" i="19"/>
  <c r="D1997" i="19"/>
  <c r="E1997" i="19"/>
  <c r="F1997" i="19"/>
  <c r="G1997" i="19"/>
  <c r="C2021" i="19"/>
  <c r="D2021" i="19"/>
  <c r="E2021" i="19"/>
  <c r="F2021" i="19"/>
  <c r="G2021" i="19"/>
  <c r="C2024" i="19"/>
  <c r="D2024" i="19"/>
  <c r="E2024" i="19"/>
  <c r="F2024" i="19"/>
  <c r="G2024" i="19"/>
  <c r="C2028" i="19"/>
  <c r="E2028" i="19"/>
  <c r="G2028" i="19"/>
  <c r="B2082" i="19"/>
  <c r="D2082" i="19"/>
  <c r="D2090" i="19" s="1"/>
  <c r="F2082" i="19"/>
  <c r="F2089" i="19" s="1"/>
  <c r="B2098" i="19"/>
  <c r="C2098" i="19"/>
  <c r="D2098" i="19"/>
  <c r="E2098" i="19"/>
  <c r="F2098" i="19"/>
  <c r="G2098" i="19"/>
  <c r="B2108" i="19"/>
  <c r="C2108" i="19"/>
  <c r="D2108" i="19"/>
  <c r="E2108" i="19"/>
  <c r="F2108" i="19"/>
  <c r="G2108" i="19"/>
  <c r="B2109" i="19"/>
  <c r="C2109" i="19"/>
  <c r="D2109" i="19"/>
  <c r="E2109" i="19"/>
  <c r="F2109" i="19"/>
  <c r="G2109" i="19"/>
  <c r="B2113" i="19"/>
  <c r="C2113" i="19"/>
  <c r="D2113" i="19"/>
  <c r="E2113" i="19"/>
  <c r="F2113" i="19"/>
  <c r="G2113" i="19"/>
  <c r="B2114" i="19"/>
  <c r="C2114" i="19"/>
  <c r="D2114" i="19"/>
  <c r="E2114" i="19"/>
  <c r="F2114" i="19"/>
  <c r="G2114" i="19"/>
  <c r="B2117" i="19"/>
  <c r="C2117" i="19"/>
  <c r="D2117" i="19"/>
  <c r="E2117" i="19"/>
  <c r="F2117" i="19"/>
  <c r="G2117" i="19"/>
  <c r="B2123" i="19"/>
  <c r="C2123" i="19"/>
  <c r="D2123" i="19"/>
  <c r="E2123" i="19"/>
  <c r="F2123" i="19"/>
  <c r="G2123" i="19"/>
  <c r="B2126" i="19"/>
  <c r="C2126" i="19"/>
  <c r="D2126" i="19"/>
  <c r="E2126" i="19"/>
  <c r="F2126" i="19"/>
  <c r="G2126" i="19"/>
  <c r="B2127" i="19"/>
  <c r="C2127" i="19"/>
  <c r="D2127" i="19"/>
  <c r="E2127" i="19"/>
  <c r="F2127" i="19"/>
  <c r="G2127" i="19"/>
  <c r="B2128" i="19"/>
  <c r="C2128" i="19"/>
  <c r="D2128" i="19"/>
  <c r="E2128" i="19"/>
  <c r="F2128" i="19"/>
  <c r="G2128" i="19"/>
  <c r="B2141" i="19"/>
  <c r="C2141" i="19"/>
  <c r="D2141" i="19"/>
  <c r="E2141" i="19"/>
  <c r="F2141" i="19"/>
  <c r="G2141" i="19"/>
  <c r="B2147" i="19"/>
  <c r="C2147" i="19"/>
  <c r="D2147" i="19"/>
  <c r="E2147" i="19"/>
  <c r="F2147" i="19"/>
  <c r="G2147" i="19"/>
  <c r="B2148" i="19"/>
  <c r="C2148" i="19"/>
  <c r="D2148" i="19"/>
  <c r="E2148" i="19"/>
  <c r="F2148" i="19"/>
  <c r="G2148" i="19"/>
  <c r="B2149" i="19"/>
  <c r="C2149" i="19"/>
  <c r="D2149" i="19"/>
  <c r="E2149" i="19"/>
  <c r="F2149" i="19"/>
  <c r="G2149" i="19"/>
  <c r="B2152" i="19"/>
  <c r="C2152" i="19"/>
  <c r="D2152" i="19"/>
  <c r="E2152" i="19"/>
  <c r="F2152" i="19"/>
  <c r="G2152" i="19"/>
  <c r="B2157" i="19"/>
  <c r="C2157" i="19"/>
  <c r="D2157" i="19"/>
  <c r="E2157" i="19"/>
  <c r="F2157" i="19"/>
  <c r="G2157" i="19"/>
  <c r="B2161" i="19"/>
  <c r="C2161" i="19"/>
  <c r="D2161" i="19"/>
  <c r="E2161" i="19"/>
  <c r="F2161" i="19"/>
  <c r="G2161" i="19"/>
  <c r="B2164" i="19"/>
  <c r="C2164" i="19"/>
  <c r="D2164" i="19"/>
  <c r="E2164" i="19"/>
  <c r="F2164" i="19"/>
  <c r="G2164" i="19"/>
  <c r="B2165" i="19"/>
  <c r="C2165" i="19"/>
  <c r="D2165" i="19"/>
  <c r="E2165" i="19"/>
  <c r="F2165" i="19"/>
  <c r="G2165" i="19"/>
  <c r="B2166" i="19"/>
  <c r="C2166" i="19"/>
  <c r="D2166" i="19"/>
  <c r="E2166" i="19"/>
  <c r="F2166" i="19"/>
  <c r="G2166" i="19"/>
  <c r="B2173" i="19"/>
  <c r="C2173" i="19"/>
  <c r="D2173" i="19"/>
  <c r="E2173" i="19"/>
  <c r="F2173" i="19"/>
  <c r="G2173" i="19"/>
  <c r="B2175" i="19"/>
  <c r="C2175" i="19"/>
  <c r="D2175" i="19"/>
  <c r="E2175" i="19"/>
  <c r="F2175" i="19"/>
  <c r="G2175" i="19"/>
  <c r="B2181" i="19"/>
  <c r="B2182" i="19" s="1"/>
  <c r="C2181" i="19"/>
  <c r="C2182" i="19" s="1"/>
  <c r="C2183" i="19" s="1"/>
  <c r="D2181" i="19"/>
  <c r="E2181" i="19"/>
  <c r="E2182" i="19" s="1"/>
  <c r="E2183" i="19" s="1"/>
  <c r="F2181" i="19"/>
  <c r="G2181" i="19"/>
  <c r="G2182" i="19" s="1"/>
  <c r="G2183" i="19" s="1"/>
  <c r="D2182" i="19"/>
  <c r="D2183" i="19" s="1"/>
  <c r="F2182" i="19"/>
  <c r="F2183" i="19" s="1"/>
  <c r="B2185" i="19"/>
  <c r="C2185" i="19"/>
  <c r="D2185" i="19"/>
  <c r="E2185" i="19"/>
  <c r="F2185" i="19"/>
  <c r="G2185" i="19"/>
  <c r="B2186" i="19"/>
  <c r="C2186" i="19"/>
  <c r="D2186" i="19"/>
  <c r="E2186" i="19"/>
  <c r="F2186" i="19"/>
  <c r="G2186" i="19"/>
  <c r="B2187" i="19"/>
  <c r="C2187" i="19"/>
  <c r="D2187" i="19"/>
  <c r="E2187" i="19"/>
  <c r="F2187" i="19"/>
  <c r="G2187" i="19"/>
  <c r="C2196" i="19"/>
  <c r="D2196" i="19"/>
  <c r="E2196" i="19"/>
  <c r="G2196" i="19"/>
  <c r="P2553" i="19"/>
  <c r="Q2553" i="19" s="1"/>
  <c r="Q2554" i="19"/>
  <c r="Q2555" i="19"/>
  <c r="Q2556" i="19"/>
  <c r="Q2557" i="19"/>
  <c r="Q2558" i="19"/>
  <c r="Q2559" i="19"/>
  <c r="P2682" i="19"/>
  <c r="Q2682" i="19" s="1"/>
  <c r="Q2683" i="19"/>
  <c r="Q2684" i="19"/>
  <c r="Q2685" i="19"/>
  <c r="Q2686" i="19"/>
  <c r="Q2687" i="19"/>
  <c r="Q2688" i="19"/>
  <c r="O2866" i="19"/>
  <c r="P2866" i="19" s="1"/>
  <c r="P2867" i="19"/>
  <c r="P2868" i="19"/>
  <c r="P2869" i="19"/>
  <c r="P2870" i="19"/>
  <c r="P2871" i="19"/>
  <c r="P2872" i="19"/>
  <c r="O3006" i="19"/>
  <c r="P3006" i="19" s="1"/>
  <c r="P3007" i="19"/>
  <c r="P3008" i="19"/>
  <c r="P3009" i="19"/>
  <c r="P3010" i="19"/>
  <c r="P3011" i="19"/>
  <c r="P3012" i="19"/>
  <c r="B1417" i="19" l="1"/>
  <c r="B1815" i="19" s="1"/>
  <c r="B1449" i="19"/>
  <c r="B1459" i="19" s="1"/>
  <c r="D1882" i="19"/>
  <c r="D1860" i="19"/>
  <c r="G1682" i="19"/>
  <c r="G1651" i="19"/>
  <c r="C1682" i="19"/>
  <c r="C1651" i="19"/>
  <c r="G1851" i="19"/>
  <c r="G1860" i="19" s="1"/>
  <c r="G1671" i="19"/>
  <c r="C1671" i="19"/>
  <c r="G1517" i="19"/>
  <c r="G1518" i="19" s="1"/>
  <c r="G1522" i="19"/>
  <c r="E1522" i="19"/>
  <c r="E1517" i="19"/>
  <c r="E1518" i="19" s="1"/>
  <c r="G1561" i="19"/>
  <c r="G1562" i="19" s="1"/>
  <c r="G1615" i="19"/>
  <c r="G1616" i="19" s="1"/>
  <c r="G1638" i="19"/>
  <c r="G1639" i="19" s="1"/>
  <c r="E1561" i="19"/>
  <c r="E1562" i="19" s="1"/>
  <c r="E1615" i="19"/>
  <c r="E1616" i="19" s="1"/>
  <c r="E1638" i="19"/>
  <c r="E1639" i="19" s="1"/>
  <c r="C1561" i="19"/>
  <c r="C1562" i="19" s="1"/>
  <c r="C1615" i="19"/>
  <c r="C1616" i="19" s="1"/>
  <c r="C1638" i="19"/>
  <c r="C1639" i="19" s="1"/>
  <c r="G1559" i="19"/>
  <c r="G1560" i="19" s="1"/>
  <c r="G1613" i="19"/>
  <c r="G1614" i="19" s="1"/>
  <c r="E1559" i="19"/>
  <c r="E1560" i="19" s="1"/>
  <c r="E1613" i="19"/>
  <c r="E1614" i="19" s="1"/>
  <c r="C1559" i="19"/>
  <c r="C1560" i="19" s="1"/>
  <c r="C1613" i="19"/>
  <c r="C1614" i="19" s="1"/>
  <c r="G1001" i="19"/>
  <c r="G1032" i="19"/>
  <c r="G933" i="19"/>
  <c r="G870" i="19"/>
  <c r="G884" i="19" s="1"/>
  <c r="E870" i="19"/>
  <c r="E884" i="19" s="1"/>
  <c r="E933" i="19"/>
  <c r="C933" i="19"/>
  <c r="C870" i="19"/>
  <c r="C884" i="19" s="1"/>
  <c r="C378" i="19"/>
  <c r="C381" i="19"/>
  <c r="F1364" i="19"/>
  <c r="F1365" i="19" s="1"/>
  <c r="C1357" i="19"/>
  <c r="G1354" i="19"/>
  <c r="G1356" i="19" s="1"/>
  <c r="E1354" i="19"/>
  <c r="E1356" i="19" s="1"/>
  <c r="E1364" i="19" s="1"/>
  <c r="E1365" i="19" s="1"/>
  <c r="C1354" i="19"/>
  <c r="C1356" i="19" s="1"/>
  <c r="C1364" i="19" s="1"/>
  <c r="C1365" i="19" s="1"/>
  <c r="F1356" i="19"/>
  <c r="D1356" i="19"/>
  <c r="D1364" i="19" s="1"/>
  <c r="D1365" i="19" s="1"/>
  <c r="C1086" i="19"/>
  <c r="E1021" i="19"/>
  <c r="G1020" i="19"/>
  <c r="E1020" i="19"/>
  <c r="C1020" i="19"/>
  <c r="G1005" i="19"/>
  <c r="E1005" i="19"/>
  <c r="C1005" i="19"/>
  <c r="F933" i="19"/>
  <c r="D933" i="19"/>
  <c r="G932" i="19"/>
  <c r="E932" i="19"/>
  <c r="C932" i="19"/>
  <c r="F927" i="19"/>
  <c r="D927" i="19"/>
  <c r="G523" i="19"/>
  <c r="E523" i="19"/>
  <c r="F802" i="19"/>
  <c r="F863" i="19"/>
  <c r="F861" i="19" s="1"/>
  <c r="C1851" i="19"/>
  <c r="C1882" i="19" s="1"/>
  <c r="D1655" i="19"/>
  <c r="G1455" i="19"/>
  <c r="C1455" i="19"/>
  <c r="F1358" i="19"/>
  <c r="F1359" i="19" s="1"/>
  <c r="G1084" i="19"/>
  <c r="E1083" i="19"/>
  <c r="F806" i="19"/>
  <c r="C523" i="19"/>
  <c r="C1358" i="19"/>
  <c r="C1359" i="19" s="1"/>
  <c r="G377" i="19"/>
  <c r="G378" i="19" s="1"/>
  <c r="B1340" i="19"/>
  <c r="G1655" i="19"/>
  <c r="E1655" i="19"/>
  <c r="C1655" i="19"/>
  <c r="C1860" i="19"/>
  <c r="G1882" i="19"/>
  <c r="F1733" i="19"/>
  <c r="F1682" i="19"/>
  <c r="F1651" i="19"/>
  <c r="D1682" i="19"/>
  <c r="D1651" i="19"/>
  <c r="F1452" i="19"/>
  <c r="F1513" i="19"/>
  <c r="F1530" i="19" s="1"/>
  <c r="F1529" i="19" s="1"/>
  <c r="F1578" i="19"/>
  <c r="F1575" i="19" s="1"/>
  <c r="F1472" i="19"/>
  <c r="F1471" i="19" s="1"/>
  <c r="D1452" i="19"/>
  <c r="D1472" i="19"/>
  <c r="D1471" i="19" s="1"/>
  <c r="D1513" i="19"/>
  <c r="D1530" i="19" s="1"/>
  <c r="D1529" i="19" s="1"/>
  <c r="D1578" i="19"/>
  <c r="D1575" i="19" s="1"/>
  <c r="B2183" i="19"/>
  <c r="F1737" i="19"/>
  <c r="F1735" i="19"/>
  <c r="F1729" i="19" s="1"/>
  <c r="F1671" i="19"/>
  <c r="D1671" i="19"/>
  <c r="G1513" i="19"/>
  <c r="G1511" i="19" s="1"/>
  <c r="E1513" i="19"/>
  <c r="C1513" i="19"/>
  <c r="C1511" i="19" s="1"/>
  <c r="F1480" i="19"/>
  <c r="F1541" i="19" s="1"/>
  <c r="G1364" i="19"/>
  <c r="G1365" i="19" s="1"/>
  <c r="G1963" i="19"/>
  <c r="G1357" i="19"/>
  <c r="G1358" i="19" s="1"/>
  <c r="G1359" i="19" s="1"/>
  <c r="E1963" i="19"/>
  <c r="E1337" i="19"/>
  <c r="E1367" i="19" s="1"/>
  <c r="E1372" i="19" s="1"/>
  <c r="E1378" i="19" s="1"/>
  <c r="E1357" i="19"/>
  <c r="G787" i="19"/>
  <c r="G1430" i="19"/>
  <c r="E787" i="19"/>
  <c r="E1430" i="19"/>
  <c r="C787" i="19"/>
  <c r="C1430" i="19"/>
  <c r="E1851" i="19"/>
  <c r="E1358" i="19"/>
  <c r="E1359" i="19" s="1"/>
  <c r="D1001" i="19"/>
  <c r="D1032" i="19"/>
  <c r="D1540" i="19"/>
  <c r="F1248" i="19"/>
  <c r="D1248" i="19"/>
  <c r="G1212" i="19"/>
  <c r="E1212" i="19"/>
  <c r="C1212" i="19"/>
  <c r="E1079" i="19"/>
  <c r="E1032" i="19"/>
  <c r="C1032" i="19"/>
  <c r="F1021" i="19"/>
  <c r="D1021" i="19"/>
  <c r="F1000" i="19"/>
  <c r="D1000" i="19"/>
  <c r="F928" i="19"/>
  <c r="F925" i="19" s="1"/>
  <c r="G927" i="19"/>
  <c r="F822" i="19"/>
  <c r="F821" i="19" s="1"/>
  <c r="G806" i="19"/>
  <c r="E806" i="19"/>
  <c r="C806" i="19"/>
  <c r="D788" i="19"/>
  <c r="D789" i="19" s="1"/>
  <c r="F1012" i="19"/>
  <c r="F1287" i="19"/>
  <c r="D1287" i="19"/>
  <c r="E473" i="19"/>
  <c r="D1006" i="19"/>
  <c r="D1009" i="19" s="1"/>
  <c r="F1001" i="19"/>
  <c r="F1032" i="19"/>
  <c r="G802" i="19"/>
  <c r="G822" i="19"/>
  <c r="G821" i="19" s="1"/>
  <c r="G928" i="19"/>
  <c r="G925" i="19" s="1"/>
  <c r="E802" i="19"/>
  <c r="E822" i="19"/>
  <c r="E821" i="19" s="1"/>
  <c r="E928" i="19"/>
  <c r="E925" i="19" s="1"/>
  <c r="C802" i="19"/>
  <c r="C822" i="19"/>
  <c r="C821" i="19" s="1"/>
  <c r="C928" i="19"/>
  <c r="C925" i="19" s="1"/>
  <c r="G1733" i="19"/>
  <c r="G1925" i="19"/>
  <c r="C1925" i="19"/>
  <c r="C1927" i="19" s="1"/>
  <c r="C1928" i="19" s="1"/>
  <c r="F1522" i="19"/>
  <c r="D1522" i="19"/>
  <c r="F1511" i="19"/>
  <c r="D1511" i="19"/>
  <c r="F1663" i="19"/>
  <c r="F1662" i="19" s="1"/>
  <c r="F1083" i="19"/>
  <c r="D1083" i="19"/>
  <c r="D1077" i="19"/>
  <c r="AA1081" i="19"/>
  <c r="AA1082" i="19" s="1"/>
  <c r="E904" i="19"/>
  <c r="G678" i="19"/>
  <c r="E678" i="19"/>
  <c r="C678" i="19"/>
  <c r="G682" i="19"/>
  <c r="G684" i="19" s="1"/>
  <c r="E682" i="19"/>
  <c r="E684" i="19" s="1"/>
  <c r="C682" i="19"/>
  <c r="C684" i="19" s="1"/>
  <c r="G1291" i="19"/>
  <c r="E1291" i="19"/>
  <c r="E1293" i="19" s="1"/>
  <c r="E1294" i="19" s="1"/>
  <c r="C1291" i="19"/>
  <c r="F1990" i="19"/>
  <c r="F1992" i="19" s="1"/>
  <c r="F1993" i="19" s="1"/>
  <c r="E1925" i="19"/>
  <c r="D1554" i="19"/>
  <c r="E1511" i="19"/>
  <c r="F1913" i="19"/>
  <c r="F1914" i="19" s="1"/>
  <c r="D1913" i="19"/>
  <c r="D1914" i="19" s="1"/>
  <c r="F1864" i="19"/>
  <c r="D1887" i="19"/>
  <c r="D1904" i="19"/>
  <c r="D861" i="19"/>
  <c r="F788" i="19"/>
  <c r="F1006" i="19" s="1"/>
  <c r="F1009" i="19" s="1"/>
  <c r="F1010" i="19" s="1"/>
  <c r="D592" i="19"/>
  <c r="D585" i="19"/>
  <c r="D567" i="19"/>
  <c r="D2016" i="19" s="1"/>
  <c r="F682" i="19"/>
  <c r="F1077" i="19"/>
  <c r="F1337" i="19"/>
  <c r="D1367" i="19"/>
  <c r="D1372" i="19" s="1"/>
  <c r="D1378" i="19" s="1"/>
  <c r="G1864" i="19"/>
  <c r="E1864" i="19"/>
  <c r="C1864" i="19"/>
  <c r="D1357" i="19"/>
  <c r="D1358" i="19" s="1"/>
  <c r="D1359" i="19" s="1"/>
  <c r="C1198" i="19"/>
  <c r="E1198" i="19"/>
  <c r="B555" i="19"/>
  <c r="F1837" i="19"/>
  <c r="B1837" i="19"/>
  <c r="G1198" i="19"/>
  <c r="G1837" i="19"/>
  <c r="C1837" i="19"/>
  <c r="G1887" i="19"/>
  <c r="E1887" i="19"/>
  <c r="C1887" i="19"/>
  <c r="G1875" i="19"/>
  <c r="E1875" i="19"/>
  <c r="C1875" i="19"/>
  <c r="E1836" i="19"/>
  <c r="E1837" i="19" s="1"/>
  <c r="D1563" i="19"/>
  <c r="D351" i="19"/>
  <c r="D352" i="19" s="1"/>
  <c r="D1572" i="19"/>
  <c r="D1581" i="19" s="1"/>
  <c r="D931" i="19"/>
  <c r="F573" i="19"/>
  <c r="F574" i="19" s="1"/>
  <c r="F576" i="19" s="1"/>
  <c r="F577" i="19" s="1"/>
  <c r="F584" i="19"/>
  <c r="F1263" i="19"/>
  <c r="F1264" i="19" s="1"/>
  <c r="F1266" i="19" s="1"/>
  <c r="B573" i="19"/>
  <c r="B1263" i="19"/>
  <c r="B1897" i="19" s="1"/>
  <c r="D586" i="19"/>
  <c r="D1265" i="19"/>
  <c r="D1899" i="19" s="1"/>
  <c r="D1900" i="19" s="1"/>
  <c r="D544" i="19"/>
  <c r="D1186" i="19"/>
  <c r="D1825" i="19" s="1"/>
  <c r="B544" i="19"/>
  <c r="B1186" i="19"/>
  <c r="B1825" i="19" s="1"/>
  <c r="F524" i="19"/>
  <c r="F2196" i="19" s="1"/>
  <c r="F1179" i="19"/>
  <c r="F1818" i="19" s="1"/>
  <c r="B524" i="19"/>
  <c r="B2196" i="19" s="1"/>
  <c r="B1179" i="19"/>
  <c r="B1818" i="19" s="1"/>
  <c r="F503" i="19"/>
  <c r="F533" i="19" s="1"/>
  <c r="F532" i="19"/>
  <c r="D529" i="19"/>
  <c r="D557" i="19" s="1"/>
  <c r="D1183" i="19"/>
  <c r="D1822" i="19" s="1"/>
  <c r="B529" i="19"/>
  <c r="B557" i="19" s="1"/>
  <c r="B1183" i="19"/>
  <c r="B1822" i="19" s="1"/>
  <c r="D501" i="19"/>
  <c r="D554" i="19" s="1"/>
  <c r="D551" i="19"/>
  <c r="F496" i="19"/>
  <c r="F2191" i="19" s="1"/>
  <c r="F498" i="19"/>
  <c r="F511" i="19" s="1"/>
  <c r="F512" i="19" s="1"/>
  <c r="F515" i="19" s="1"/>
  <c r="F1170" i="19"/>
  <c r="D495" i="19"/>
  <c r="D497" i="19" s="1"/>
  <c r="D2192" i="19" s="1"/>
  <c r="D509" i="19"/>
  <c r="D510" i="19" s="1"/>
  <c r="D663" i="19"/>
  <c r="B504" i="19"/>
  <c r="B1170" i="19"/>
  <c r="B1171" i="19" s="1"/>
  <c r="F1198" i="19"/>
  <c r="D1198" i="19"/>
  <c r="B1198" i="19"/>
  <c r="F461" i="19"/>
  <c r="F464" i="19" s="1"/>
  <c r="F465" i="19" s="1"/>
  <c r="F467" i="19" s="1"/>
  <c r="F754" i="19"/>
  <c r="F760" i="19"/>
  <c r="D754" i="19"/>
  <c r="D760" i="19"/>
  <c r="D1431" i="19" s="1"/>
  <c r="C853" i="19"/>
  <c r="C990" i="19"/>
  <c r="C1044" i="19"/>
  <c r="F1254" i="19"/>
  <c r="D1254" i="19"/>
  <c r="C1938" i="19"/>
  <c r="F1951" i="19"/>
  <c r="F1954" i="19" s="1"/>
  <c r="F2218" i="19" s="1"/>
  <c r="B1951" i="19"/>
  <c r="B1954" i="19" s="1"/>
  <c r="B1955" i="19" s="1"/>
  <c r="D1951" i="19"/>
  <c r="D1954" i="19" s="1"/>
  <c r="D2218" i="19" s="1"/>
  <c r="G1933" i="19"/>
  <c r="B1686" i="19"/>
  <c r="B1696" i="19" s="1"/>
  <c r="G967" i="19"/>
  <c r="G990" i="19"/>
  <c r="C967" i="19"/>
  <c r="F1971" i="19"/>
  <c r="B1971" i="19"/>
  <c r="D1971" i="19"/>
  <c r="G1938" i="19"/>
  <c r="G1991" i="19"/>
  <c r="G1971" i="19"/>
  <c r="E1991" i="19"/>
  <c r="E1971" i="19"/>
  <c r="C1991" i="19"/>
  <c r="C1971" i="19"/>
  <c r="G1951" i="19"/>
  <c r="G1954" i="19" s="1"/>
  <c r="G2218" i="19" s="1"/>
  <c r="E1951" i="19"/>
  <c r="E1954" i="19" s="1"/>
  <c r="E2218" i="19" s="1"/>
  <c r="C1951" i="19"/>
  <c r="C1954" i="19" s="1"/>
  <c r="C2218" i="19" s="1"/>
  <c r="D1864" i="19"/>
  <c r="G1449" i="19"/>
  <c r="G1510" i="19" s="1"/>
  <c r="G1847" i="19" s="1"/>
  <c r="G1878" i="19" s="1"/>
  <c r="E1449" i="19"/>
  <c r="E1459" i="19" s="1"/>
  <c r="C1449" i="19"/>
  <c r="C1459" i="19" s="1"/>
  <c r="B1299" i="19"/>
  <c r="F1205" i="19"/>
  <c r="B1205" i="19"/>
  <c r="D1205" i="19"/>
  <c r="F351" i="19"/>
  <c r="F352" i="19" s="1"/>
  <c r="B351" i="19"/>
  <c r="B631" i="19" s="1"/>
  <c r="D444" i="19"/>
  <c r="D768" i="19"/>
  <c r="F499" i="19"/>
  <c r="F552" i="19" s="1"/>
  <c r="F501" i="19"/>
  <c r="F554" i="19" s="1"/>
  <c r="F551" i="19"/>
  <c r="D500" i="19"/>
  <c r="D553" i="19" s="1"/>
  <c r="D502" i="19"/>
  <c r="D555" i="19" s="1"/>
  <c r="B499" i="19"/>
  <c r="B552" i="19" s="1"/>
  <c r="B501" i="19"/>
  <c r="B554" i="19" s="1"/>
  <c r="B551" i="19"/>
  <c r="F495" i="19"/>
  <c r="F497" i="19" s="1"/>
  <c r="F2192" i="19" s="1"/>
  <c r="F509" i="19"/>
  <c r="F510" i="19" s="1"/>
  <c r="F663" i="19"/>
  <c r="D496" i="19"/>
  <c r="D2191" i="19" s="1"/>
  <c r="D498" i="19"/>
  <c r="D511" i="19" s="1"/>
  <c r="D512" i="19" s="1"/>
  <c r="D515" i="19" s="1"/>
  <c r="D504" i="19"/>
  <c r="D507" i="19" s="1"/>
  <c r="D508" i="19" s="1"/>
  <c r="D513" i="19" s="1"/>
  <c r="B495" i="19"/>
  <c r="B497" i="19" s="1"/>
  <c r="B2192" i="19" s="1"/>
  <c r="B509" i="19"/>
  <c r="B510" i="19" s="1"/>
  <c r="B663" i="19"/>
  <c r="C1933" i="19"/>
  <c r="D1640" i="19"/>
  <c r="D2089" i="19"/>
  <c r="E1933" i="19"/>
  <c r="F1844" i="19"/>
  <c r="B1310" i="19"/>
  <c r="B1844" i="19"/>
  <c r="D1844" i="19"/>
  <c r="D1299" i="19"/>
  <c r="D1310" i="19"/>
  <c r="D1312" i="19" s="1"/>
  <c r="D1304" i="19"/>
  <c r="B1312" i="19"/>
  <c r="F1944" i="19"/>
  <c r="F1946" i="19" s="1"/>
  <c r="B1944" i="19"/>
  <c r="B1946" i="19" s="1"/>
  <c r="F1933" i="19"/>
  <c r="B1933" i="19"/>
  <c r="F1310" i="19"/>
  <c r="F1312" i="19" s="1"/>
  <c r="F1304" i="19"/>
  <c r="B1304" i="19"/>
  <c r="B1305" i="19" s="1"/>
  <c r="D1938" i="19"/>
  <c r="F1299" i="19"/>
  <c r="D677" i="19"/>
  <c r="G1205" i="19"/>
  <c r="G1842" i="19"/>
  <c r="G1844" i="19" s="1"/>
  <c r="E1205" i="19"/>
  <c r="E1842" i="19"/>
  <c r="E1844" i="19" s="1"/>
  <c r="C1205" i="19"/>
  <c r="C1842" i="19"/>
  <c r="C1844" i="19" s="1"/>
  <c r="G1254" i="19"/>
  <c r="G1888" i="19"/>
  <c r="G2082" i="19"/>
  <c r="G2089" i="19" s="1"/>
  <c r="E1888" i="19"/>
  <c r="E2082" i="19"/>
  <c r="E2089" i="19" s="1"/>
  <c r="C1254" i="19"/>
  <c r="C1888" i="19"/>
  <c r="C2082" i="19"/>
  <c r="C1013" i="19"/>
  <c r="C1012" i="19" s="1"/>
  <c r="C1663" i="19"/>
  <c r="C1662" i="19" s="1"/>
  <c r="C973" i="19"/>
  <c r="C931" i="19"/>
  <c r="G607" i="19"/>
  <c r="G608" i="19" s="1"/>
  <c r="G610" i="19" s="1"/>
  <c r="G611" i="19" s="1"/>
  <c r="G1309" i="19"/>
  <c r="G1943" i="19" s="1"/>
  <c r="G1944" i="19" s="1"/>
  <c r="G1946" i="19" s="1"/>
  <c r="E607" i="19"/>
  <c r="E608" i="19" s="1"/>
  <c r="E610" i="19" s="1"/>
  <c r="E611" i="19" s="1"/>
  <c r="E724" i="19" s="1"/>
  <c r="E1309" i="19"/>
  <c r="E1943" i="19" s="1"/>
  <c r="E1944" i="19" s="1"/>
  <c r="E1946" i="19" s="1"/>
  <c r="C607" i="19"/>
  <c r="C608" i="19" s="1"/>
  <c r="C610" i="19" s="1"/>
  <c r="C611" i="19" s="1"/>
  <c r="C724" i="19" s="1"/>
  <c r="C2212" i="19" s="1"/>
  <c r="C1309" i="19"/>
  <c r="C1943" i="19" s="1"/>
  <c r="C1944" i="19" s="1"/>
  <c r="C1946" i="19" s="1"/>
  <c r="G1171" i="19"/>
  <c r="E1171" i="19"/>
  <c r="C1171" i="19"/>
  <c r="G461" i="19"/>
  <c r="G464" i="19" s="1"/>
  <c r="G754" i="19"/>
  <c r="E461" i="19"/>
  <c r="E464" i="19" s="1"/>
  <c r="E754" i="19"/>
  <c r="E1069" i="19" s="1"/>
  <c r="E1068" i="19" s="1"/>
  <c r="C461" i="19"/>
  <c r="C464" i="19" s="1"/>
  <c r="C754" i="19"/>
  <c r="D1943" i="19"/>
  <c r="D1944" i="19" s="1"/>
  <c r="D1946" i="19" s="1"/>
  <c r="F1937" i="19"/>
  <c r="F1938" i="19" s="1"/>
  <c r="B1937" i="19"/>
  <c r="B1938" i="19" s="1"/>
  <c r="B1939" i="19" s="1"/>
  <c r="D1932" i="19"/>
  <c r="D1933" i="19" s="1"/>
  <c r="D1809" i="19"/>
  <c r="D1810" i="19" s="1"/>
  <c r="F1640" i="19"/>
  <c r="B1628" i="19"/>
  <c r="B1642" i="19" s="1"/>
  <c r="F931" i="19"/>
  <c r="B931" i="19"/>
  <c r="G768" i="19"/>
  <c r="E768" i="19"/>
  <c r="G1597" i="19"/>
  <c r="G1610" i="19" s="1"/>
  <c r="G1858" i="19" s="1"/>
  <c r="E1938" i="19"/>
  <c r="G1640" i="19"/>
  <c r="E1640" i="19"/>
  <c r="C1640" i="19"/>
  <c r="E1462" i="19"/>
  <c r="E1521" i="19" s="1"/>
  <c r="E1044" i="19"/>
  <c r="E990" i="19"/>
  <c r="E967" i="19"/>
  <c r="E913" i="19"/>
  <c r="E1687" i="19"/>
  <c r="E1857" i="19" s="1"/>
  <c r="E1869" i="19" s="1"/>
  <c r="D1528" i="19"/>
  <c r="G1462" i="19"/>
  <c r="G1521" i="19" s="1"/>
  <c r="C1462" i="19"/>
  <c r="C1521" i="19" s="1"/>
  <c r="G913" i="19"/>
  <c r="C913" i="19"/>
  <c r="F1909" i="19"/>
  <c r="D1909" i="19"/>
  <c r="F1887" i="19"/>
  <c r="F1875" i="19"/>
  <c r="D1875" i="19"/>
  <c r="G1889" i="19"/>
  <c r="G1910" i="19" s="1"/>
  <c r="G1912" i="19" s="1"/>
  <c r="E1889" i="19"/>
  <c r="E1910" i="19" s="1"/>
  <c r="E1912" i="19" s="1"/>
  <c r="C1889" i="19"/>
  <c r="C1910" i="19" s="1"/>
  <c r="C1912" i="19" s="1"/>
  <c r="F1726" i="19"/>
  <c r="F1925" i="19" s="1"/>
  <c r="F1927" i="19" s="1"/>
  <c r="D1726" i="19"/>
  <c r="D1925" i="19" s="1"/>
  <c r="D1927" i="19" s="1"/>
  <c r="F1694" i="19"/>
  <c r="D1617" i="19"/>
  <c r="E1540" i="19"/>
  <c r="B1423" i="19"/>
  <c r="B1569" i="19" s="1"/>
  <c r="B1409" i="19"/>
  <c r="B1715" i="19" s="1"/>
  <c r="F1291" i="19"/>
  <c r="F1293" i="19" s="1"/>
  <c r="F1294" i="19" s="1"/>
  <c r="F913" i="19"/>
  <c r="D913" i="19"/>
  <c r="G934" i="19"/>
  <c r="G871" i="19"/>
  <c r="F890" i="19"/>
  <c r="E1492" i="19"/>
  <c r="E853" i="19"/>
  <c r="D813" i="19"/>
  <c r="C812" i="19"/>
  <c r="C934" i="19" s="1"/>
  <c r="F677" i="19"/>
  <c r="F678" i="19" s="1"/>
  <c r="B677" i="19"/>
  <c r="F1521" i="19"/>
  <c r="F1584" i="19"/>
  <c r="D1521" i="19"/>
  <c r="D1584" i="19"/>
  <c r="C451" i="19"/>
  <c r="C444" i="19"/>
  <c r="G573" i="19"/>
  <c r="G574" i="19" s="1"/>
  <c r="G576" i="19" s="1"/>
  <c r="G577" i="19" s="1"/>
  <c r="G584" i="19"/>
  <c r="G585" i="19" s="1"/>
  <c r="E573" i="19"/>
  <c r="E574" i="19" s="1"/>
  <c r="E576" i="19" s="1"/>
  <c r="E577" i="19" s="1"/>
  <c r="E584" i="19"/>
  <c r="C573" i="19"/>
  <c r="C574" i="19" s="1"/>
  <c r="C576" i="19" s="1"/>
  <c r="C577" i="19" s="1"/>
  <c r="C584" i="19"/>
  <c r="C585" i="19" s="1"/>
  <c r="C587" i="19" s="1"/>
  <c r="C588" i="19" s="1"/>
  <c r="G535" i="19"/>
  <c r="E535" i="19"/>
  <c r="C535" i="19"/>
  <c r="G532" i="19"/>
  <c r="G503" i="19"/>
  <c r="G533" i="19" s="1"/>
  <c r="E532" i="19"/>
  <c r="E503" i="19"/>
  <c r="E533" i="19" s="1"/>
  <c r="C532" i="19"/>
  <c r="C503" i="19"/>
  <c r="C533" i="19" s="1"/>
  <c r="G551" i="19"/>
  <c r="G499" i="19"/>
  <c r="G552" i="19" s="1"/>
  <c r="G500" i="19"/>
  <c r="G553" i="19" s="1"/>
  <c r="G501" i="19"/>
  <c r="G554" i="19" s="1"/>
  <c r="G502" i="19"/>
  <c r="G555" i="19" s="1"/>
  <c r="E551" i="19"/>
  <c r="E499" i="19"/>
  <c r="E552" i="19" s="1"/>
  <c r="E500" i="19"/>
  <c r="E553" i="19" s="1"/>
  <c r="E501" i="19"/>
  <c r="E554" i="19" s="1"/>
  <c r="E502" i="19"/>
  <c r="E555" i="19" s="1"/>
  <c r="C551" i="19"/>
  <c r="C499" i="19"/>
  <c r="C552" i="19" s="1"/>
  <c r="C500" i="19"/>
  <c r="C553" i="19" s="1"/>
  <c r="C501" i="19"/>
  <c r="C554" i="19" s="1"/>
  <c r="C502" i="19"/>
  <c r="C555" i="19" s="1"/>
  <c r="G495" i="19"/>
  <c r="G497" i="19" s="1"/>
  <c r="G2192" i="19" s="1"/>
  <c r="G496" i="19"/>
  <c r="G2191" i="19" s="1"/>
  <c r="G498" i="19"/>
  <c r="G511" i="19" s="1"/>
  <c r="G512" i="19" s="1"/>
  <c r="G515" i="19" s="1"/>
  <c r="G504" i="19"/>
  <c r="G507" i="19" s="1"/>
  <c r="G508" i="19" s="1"/>
  <c r="G513" i="19" s="1"/>
  <c r="G509" i="19"/>
  <c r="G510" i="19" s="1"/>
  <c r="G663" i="19"/>
  <c r="E495" i="19"/>
  <c r="E497" i="19" s="1"/>
  <c r="E2192" i="19" s="1"/>
  <c r="E496" i="19"/>
  <c r="E2191" i="19" s="1"/>
  <c r="E498" i="19"/>
  <c r="E511" i="19" s="1"/>
  <c r="E512" i="19" s="1"/>
  <c r="E515" i="19" s="1"/>
  <c r="E504" i="19"/>
  <c r="E507" i="19" s="1"/>
  <c r="E508" i="19" s="1"/>
  <c r="E513" i="19" s="1"/>
  <c r="E509" i="19"/>
  <c r="E510" i="19" s="1"/>
  <c r="E663" i="19"/>
  <c r="C495" i="19"/>
  <c r="C497" i="19" s="1"/>
  <c r="C2192" i="19" s="1"/>
  <c r="C496" i="19"/>
  <c r="C2191" i="19" s="1"/>
  <c r="C498" i="19"/>
  <c r="C511" i="19" s="1"/>
  <c r="C512" i="19" s="1"/>
  <c r="C515" i="19" s="1"/>
  <c r="C504" i="19"/>
  <c r="C507" i="19" s="1"/>
  <c r="C508" i="19" s="1"/>
  <c r="C513" i="19" s="1"/>
  <c r="C509" i="19"/>
  <c r="C510" i="19" s="1"/>
  <c r="C663" i="19"/>
  <c r="G1918" i="19"/>
  <c r="G1920" i="19" s="1"/>
  <c r="G1922" i="19" s="1"/>
  <c r="E1918" i="19"/>
  <c r="E1920" i="19" s="1"/>
  <c r="E1922" i="19" s="1"/>
  <c r="C1918" i="19"/>
  <c r="C1920" i="19" s="1"/>
  <c r="C1922" i="19" s="1"/>
  <c r="D1694" i="19"/>
  <c r="F1617" i="19"/>
  <c r="F1563" i="19"/>
  <c r="G1553" i="19"/>
  <c r="G1540" i="19"/>
  <c r="E1510" i="19"/>
  <c r="E1847" i="19" s="1"/>
  <c r="E1848" i="19" s="1"/>
  <c r="F1503" i="19"/>
  <c r="C1479" i="19"/>
  <c r="D1291" i="19"/>
  <c r="D1293" i="19" s="1"/>
  <c r="F1284" i="19"/>
  <c r="F1286" i="19" s="1"/>
  <c r="F1288" i="19" s="1"/>
  <c r="E1254" i="19"/>
  <c r="F1069" i="19"/>
  <c r="F1068" i="19" s="1"/>
  <c r="D1069" i="19"/>
  <c r="D1068" i="19" s="1"/>
  <c r="D1024" i="19"/>
  <c r="D1027" i="19" s="1"/>
  <c r="D1028" i="19" s="1"/>
  <c r="D1029" i="19" s="1"/>
  <c r="D1030" i="19" s="1"/>
  <c r="E451" i="19"/>
  <c r="D574" i="19"/>
  <c r="D576" i="19" s="1"/>
  <c r="D577" i="19" s="1"/>
  <c r="B608" i="19"/>
  <c r="B610" i="19" s="1"/>
  <c r="D608" i="19"/>
  <c r="D610" i="19" s="1"/>
  <c r="D611" i="19" s="1"/>
  <c r="D724" i="19" s="1"/>
  <c r="F608" i="19"/>
  <c r="F610" i="19" s="1"/>
  <c r="F611" i="19" s="1"/>
  <c r="F724" i="19" s="1"/>
  <c r="E1629" i="19"/>
  <c r="E1871" i="19" s="1"/>
  <c r="E1881" i="19" s="1"/>
  <c r="C1623" i="19"/>
  <c r="C352" i="19"/>
  <c r="C631" i="19"/>
  <c r="C635" i="19" s="1"/>
  <c r="C637" i="19" s="1"/>
  <c r="C638" i="19" s="1"/>
  <c r="C723" i="19" s="1"/>
  <c r="E351" i="19"/>
  <c r="F1528" i="19"/>
  <c r="G444" i="19"/>
  <c r="G351" i="19"/>
  <c r="C871" i="19"/>
  <c r="F813" i="19"/>
  <c r="B813" i="19"/>
  <c r="G1024" i="19"/>
  <c r="G1027" i="19" s="1"/>
  <c r="C1024" i="19"/>
  <c r="C1027" i="19" s="1"/>
  <c r="C820" i="19"/>
  <c r="G2090" i="19"/>
  <c r="F1727" i="19"/>
  <c r="F1964" i="19" s="1"/>
  <c r="G1694" i="19"/>
  <c r="E1694" i="19"/>
  <c r="C1694" i="19"/>
  <c r="G1584" i="19"/>
  <c r="D1463" i="19"/>
  <c r="D1459" i="19"/>
  <c r="F1044" i="19"/>
  <c r="D1044" i="19"/>
  <c r="F990" i="19"/>
  <c r="D990" i="19"/>
  <c r="F967" i="19"/>
  <c r="D967" i="19"/>
  <c r="E934" i="19"/>
  <c r="F812" i="19"/>
  <c r="D812" i="19"/>
  <c r="G809" i="19"/>
  <c r="E809" i="19"/>
  <c r="C809" i="19"/>
  <c r="E615" i="19"/>
  <c r="E617" i="19" s="1"/>
  <c r="E618" i="19" s="1"/>
  <c r="F535" i="19"/>
  <c r="D535" i="19"/>
  <c r="B535" i="19"/>
  <c r="G1687" i="19"/>
  <c r="G1856" i="19" s="1"/>
  <c r="G1868" i="19" s="1"/>
  <c r="C1687" i="19"/>
  <c r="G1623" i="19"/>
  <c r="G1617" i="19"/>
  <c r="E1617" i="19"/>
  <c r="C1617" i="19"/>
  <c r="E1590" i="19"/>
  <c r="E1563" i="19"/>
  <c r="C1563" i="19"/>
  <c r="F1553" i="19"/>
  <c r="D1553" i="19"/>
  <c r="F1540" i="19"/>
  <c r="F1463" i="19"/>
  <c r="F1510" i="19"/>
  <c r="F1847" i="19" s="1"/>
  <c r="F1848" i="19" s="1"/>
  <c r="D1510" i="19"/>
  <c r="D1847" i="19" s="1"/>
  <c r="D1848" i="19" s="1"/>
  <c r="D1284" i="19"/>
  <c r="D1286" i="19" s="1"/>
  <c r="C813" i="19"/>
  <c r="D615" i="19"/>
  <c r="D617" i="19" s="1"/>
  <c r="D618" i="19" s="1"/>
  <c r="F615" i="19"/>
  <c r="F617" i="19" s="1"/>
  <c r="F594" i="19"/>
  <c r="F595" i="19" s="1"/>
  <c r="D587" i="19"/>
  <c r="D588" i="19" s="1"/>
  <c r="D569" i="19"/>
  <c r="D570" i="19" s="1"/>
  <c r="F451" i="19"/>
  <c r="D451" i="19"/>
  <c r="B394" i="19"/>
  <c r="E685" i="19"/>
  <c r="E686" i="19" s="1"/>
  <c r="F2090" i="19"/>
  <c r="G1629" i="19"/>
  <c r="C1629" i="19"/>
  <c r="C1870" i="19" s="1"/>
  <c r="C1880" i="19" s="1"/>
  <c r="E1623" i="19"/>
  <c r="C1597" i="19"/>
  <c r="C1610" i="19" s="1"/>
  <c r="E1574" i="19"/>
  <c r="G1492" i="19"/>
  <c r="G1849" i="19" s="1"/>
  <c r="G1850" i="19" s="1"/>
  <c r="G1463" i="19"/>
  <c r="E1463" i="19"/>
  <c r="C1463" i="19"/>
  <c r="G685" i="19"/>
  <c r="G686" i="19" s="1"/>
  <c r="G687" i="19" s="1"/>
  <c r="F684" i="19"/>
  <c r="F685" i="19" s="1"/>
  <c r="F686" i="19" s="1"/>
  <c r="D684" i="19"/>
  <c r="D685" i="19" s="1"/>
  <c r="D686" i="19" s="1"/>
  <c r="F631" i="19"/>
  <c r="F635" i="19" s="1"/>
  <c r="F637" i="19" s="1"/>
  <c r="F638" i="19" s="1"/>
  <c r="F723" i="19" s="1"/>
  <c r="B352" i="19"/>
  <c r="F1904" i="19"/>
  <c r="F1905" i="19" s="1"/>
  <c r="F1907" i="19" s="1"/>
  <c r="G1898" i="19"/>
  <c r="G1900" i="19" s="1"/>
  <c r="E1898" i="19"/>
  <c r="E1900" i="19" s="1"/>
  <c r="C1898" i="19"/>
  <c r="C1900" i="19" s="1"/>
  <c r="E1597" i="19"/>
  <c r="E1610" i="19" s="1"/>
  <c r="G1590" i="19"/>
  <c r="C1590" i="19"/>
  <c r="G1581" i="19"/>
  <c r="C1581" i="19"/>
  <c r="C1470" i="19"/>
  <c r="G1293" i="19"/>
  <c r="G1294" i="19" s="1"/>
  <c r="C1293" i="19"/>
  <c r="C1294" i="19" s="1"/>
  <c r="D599" i="19"/>
  <c r="D601" i="19" s="1"/>
  <c r="D602" i="19" s="1"/>
  <c r="D594" i="19"/>
  <c r="D595" i="19" s="1"/>
  <c r="F585" i="19"/>
  <c r="F2018" i="19" s="1"/>
  <c r="F567" i="19"/>
  <c r="F569" i="19" s="1"/>
  <c r="F570" i="19" s="1"/>
  <c r="G1927" i="19"/>
  <c r="G1928" i="19" s="1"/>
  <c r="E1927" i="19"/>
  <c r="E1928" i="19" s="1"/>
  <c r="G1904" i="19"/>
  <c r="G1905" i="19" s="1"/>
  <c r="E1904" i="19"/>
  <c r="C1904" i="19"/>
  <c r="C1905" i="19" s="1"/>
  <c r="C1451" i="19"/>
  <c r="C1845" i="19" s="1"/>
  <c r="G1264" i="19"/>
  <c r="E1264" i="19"/>
  <c r="C1264" i="19"/>
  <c r="C1207" i="19"/>
  <c r="C1223" i="19" s="1"/>
  <c r="F599" i="19"/>
  <c r="F601" i="19" s="1"/>
  <c r="F602" i="19" s="1"/>
  <c r="G592" i="19"/>
  <c r="G594" i="19" s="1"/>
  <c r="G595" i="19" s="1"/>
  <c r="E592" i="19"/>
  <c r="E594" i="19" s="1"/>
  <c r="E595" i="19" s="1"/>
  <c r="C592" i="19"/>
  <c r="C594" i="19" s="1"/>
  <c r="C595" i="19" s="1"/>
  <c r="E585" i="19"/>
  <c r="E587" i="19" s="1"/>
  <c r="E588" i="19" s="1"/>
  <c r="G567" i="19"/>
  <c r="G569" i="19" s="1"/>
  <c r="G570" i="19" s="1"/>
  <c r="E567" i="19"/>
  <c r="E569" i="19" s="1"/>
  <c r="E570" i="19" s="1"/>
  <c r="C567" i="19"/>
  <c r="C2016" i="19" s="1"/>
  <c r="C2017" i="19" s="1"/>
  <c r="B1516" i="19"/>
  <c r="G475" i="19"/>
  <c r="E475" i="19"/>
  <c r="D1010" i="19"/>
  <c r="D890" i="19"/>
  <c r="G960" i="19"/>
  <c r="G1222" i="19" s="1"/>
  <c r="G1232" i="19" s="1"/>
  <c r="G1245" i="19" s="1"/>
  <c r="G924" i="19"/>
  <c r="G801" i="19"/>
  <c r="G820" i="19"/>
  <c r="G973" i="19"/>
  <c r="G1479" i="19"/>
  <c r="G1019" i="19"/>
  <c r="E1019" i="19"/>
  <c r="C1019" i="19"/>
  <c r="C924" i="19"/>
  <c r="C475" i="19"/>
  <c r="G860" i="19"/>
  <c r="G1208" i="19" s="1"/>
  <c r="C860" i="19"/>
  <c r="C1208" i="19" s="1"/>
  <c r="D829" i="19"/>
  <c r="D2018" i="19"/>
  <c r="C380" i="19"/>
  <c r="C382" i="19" s="1"/>
  <c r="C383" i="19" s="1"/>
  <c r="G380" i="19"/>
  <c r="G382" i="19" s="1"/>
  <c r="G384" i="19" s="1"/>
  <c r="D2049" i="19"/>
  <c r="D2069" i="19"/>
  <c r="D2033" i="19"/>
  <c r="D1990" i="19"/>
  <c r="D1992" i="19" s="1"/>
  <c r="D1993" i="19" s="1"/>
  <c r="F2028" i="19"/>
  <c r="D2028" i="19"/>
  <c r="D2017" i="19" s="1"/>
  <c r="G1990" i="19"/>
  <c r="G1998" i="19" s="1"/>
  <c r="G1999" i="19" s="1"/>
  <c r="G2000" i="19" s="1"/>
  <c r="G2001" i="19" s="1"/>
  <c r="G2006" i="19" s="1"/>
  <c r="E1990" i="19"/>
  <c r="C1990" i="19"/>
  <c r="C1998" i="19" s="1"/>
  <c r="C1999" i="19" s="1"/>
  <c r="C2000" i="19" s="1"/>
  <c r="C2001" i="19" s="1"/>
  <c r="C2006" i="19" s="1"/>
  <c r="F1921" i="19"/>
  <c r="D1921" i="19"/>
  <c r="F1279" i="19"/>
  <c r="D1279" i="19"/>
  <c r="D678" i="19"/>
  <c r="F626" i="19"/>
  <c r="D626" i="19"/>
  <c r="F618" i="19"/>
  <c r="G1727" i="19"/>
  <c r="G1964" i="19" s="1"/>
  <c r="G1965" i="19" s="1"/>
  <c r="E1727" i="19"/>
  <c r="E1964" i="19" s="1"/>
  <c r="E1965" i="19" s="1"/>
  <c r="C1727" i="19"/>
  <c r="G1284" i="19"/>
  <c r="G1286" i="19" s="1"/>
  <c r="G1288" i="19" s="1"/>
  <c r="E1284" i="19"/>
  <c r="E1286" i="19" s="1"/>
  <c r="E1288" i="19" s="1"/>
  <c r="C1284" i="19"/>
  <c r="C1286" i="19" s="1"/>
  <c r="C1288" i="19" s="1"/>
  <c r="F789" i="19"/>
  <c r="F974" i="19" s="1"/>
  <c r="F1666" i="19"/>
  <c r="F1667" i="19" s="1"/>
  <c r="F1668" i="19" s="1"/>
  <c r="F1367" i="19"/>
  <c r="F1372" i="19" s="1"/>
  <c r="F1378" i="19" s="1"/>
  <c r="F1016" i="19"/>
  <c r="F1017" i="19" s="1"/>
  <c r="F1018" i="19" s="1"/>
  <c r="G788" i="19"/>
  <c r="G1006" i="19" s="1"/>
  <c r="G1009" i="19" s="1"/>
  <c r="G1010" i="19" s="1"/>
  <c r="D903" i="19"/>
  <c r="D1288" i="19"/>
  <c r="F903" i="19"/>
  <c r="E377" i="19"/>
  <c r="E381" i="19" s="1"/>
  <c r="G2049" i="19"/>
  <c r="G2059" i="19"/>
  <c r="G2069" i="19"/>
  <c r="G2079" i="19"/>
  <c r="G2039" i="19"/>
  <c r="C2039" i="19"/>
  <c r="C2049" i="19"/>
  <c r="C2059" i="19"/>
  <c r="C2069" i="19"/>
  <c r="C2079" i="19"/>
  <c r="G597" i="19"/>
  <c r="E597" i="19"/>
  <c r="C597" i="19"/>
  <c r="G381" i="19"/>
  <c r="F380" i="19"/>
  <c r="F382" i="19" s="1"/>
  <c r="F384" i="19" s="1"/>
  <c r="D380" i="19"/>
  <c r="D382" i="19" s="1"/>
  <c r="D384" i="19" s="1"/>
  <c r="E1451" i="19"/>
  <c r="G903" i="19"/>
  <c r="G890" i="19"/>
  <c r="E960" i="19"/>
  <c r="E801" i="19"/>
  <c r="E820" i="19"/>
  <c r="E842" i="19"/>
  <c r="E924" i="19"/>
  <c r="E973" i="19"/>
  <c r="C878" i="19"/>
  <c r="C890" i="19"/>
  <c r="G1228" i="19"/>
  <c r="G1255" i="19" s="1"/>
  <c r="G1276" i="19" s="1"/>
  <c r="E1228" i="19"/>
  <c r="E1255" i="19" s="1"/>
  <c r="E1276" i="19" s="1"/>
  <c r="C1228" i="19"/>
  <c r="C1255" i="19" s="1"/>
  <c r="C1276" i="19" s="1"/>
  <c r="D878" i="19"/>
  <c r="C1846" i="19"/>
  <c r="G829" i="19"/>
  <c r="G979" i="19"/>
  <c r="G1037" i="19"/>
  <c r="G1268" i="19"/>
  <c r="G1270" i="19" s="1"/>
  <c r="G1271" i="19" s="1"/>
  <c r="G1273" i="19" s="1"/>
  <c r="C829" i="19"/>
  <c r="C979" i="19"/>
  <c r="C1037" i="19"/>
  <c r="C1268" i="19"/>
  <c r="C1270" i="19" s="1"/>
  <c r="C1271" i="19" s="1"/>
  <c r="C1273" i="19" s="1"/>
  <c r="F801" i="19"/>
  <c r="F820" i="19"/>
  <c r="F842" i="19"/>
  <c r="F924" i="19"/>
  <c r="F960" i="19"/>
  <c r="F1222" i="19" s="1"/>
  <c r="F1232" i="19" s="1"/>
  <c r="F973" i="19"/>
  <c r="D801" i="19"/>
  <c r="D820" i="19"/>
  <c r="D842" i="19"/>
  <c r="D924" i="19"/>
  <c r="D960" i="19"/>
  <c r="D1222" i="19" s="1"/>
  <c r="D1232" i="19" s="1"/>
  <c r="D1245" i="19" s="1"/>
  <c r="D973" i="19"/>
  <c r="F878" i="19"/>
  <c r="F860" i="19"/>
  <c r="F1208" i="19" s="1"/>
  <c r="D860" i="19"/>
  <c r="D1208" i="19" s="1"/>
  <c r="G842" i="19"/>
  <c r="C842" i="19"/>
  <c r="E829" i="19"/>
  <c r="E979" i="19"/>
  <c r="E1037" i="19"/>
  <c r="E1268" i="19"/>
  <c r="E1270" i="19" s="1"/>
  <c r="E1271" i="19" s="1"/>
  <c r="E1273" i="19" s="1"/>
  <c r="F1228" i="19"/>
  <c r="F1255" i="19" s="1"/>
  <c r="F1276" i="19" s="1"/>
  <c r="D1228" i="19"/>
  <c r="D1255" i="19" s="1"/>
  <c r="D1276" i="19" s="1"/>
  <c r="E1222" i="19"/>
  <c r="E1232" i="19" s="1"/>
  <c r="E1245" i="19" s="1"/>
  <c r="C1222" i="19"/>
  <c r="C1232" i="19" s="1"/>
  <c r="C1245" i="19" s="1"/>
  <c r="G1713" i="19"/>
  <c r="E1713" i="19"/>
  <c r="C1713" i="19"/>
  <c r="G1063" i="19"/>
  <c r="E1063" i="19"/>
  <c r="C1063" i="19"/>
  <c r="F1713" i="19"/>
  <c r="D1713" i="19"/>
  <c r="F1063" i="19"/>
  <c r="D1063" i="19"/>
  <c r="D1798" i="19"/>
  <c r="D1799" i="19" s="1"/>
  <c r="C788" i="19"/>
  <c r="F447" i="19"/>
  <c r="F448" i="19" s="1"/>
  <c r="F473" i="19"/>
  <c r="F475" i="19" s="1"/>
  <c r="D454" i="19"/>
  <c r="D455" i="19" s="1"/>
  <c r="D473" i="19"/>
  <c r="D475" i="19" s="1"/>
  <c r="F956" i="19"/>
  <c r="F1122" i="19"/>
  <c r="F1123" i="19" s="1"/>
  <c r="F1798" i="19"/>
  <c r="F1799" i="19" s="1"/>
  <c r="G789" i="19"/>
  <c r="G1150" i="19" s="1"/>
  <c r="G1151" i="19" s="1"/>
  <c r="G1033" i="19"/>
  <c r="G1034" i="19" s="1"/>
  <c r="G1367" i="19"/>
  <c r="G1372" i="19" s="1"/>
  <c r="G1378" i="19" s="1"/>
  <c r="C1367" i="19"/>
  <c r="C1372" i="19" s="1"/>
  <c r="C1378" i="19" s="1"/>
  <c r="D465" i="19"/>
  <c r="D467" i="19" s="1"/>
  <c r="D447" i="19"/>
  <c r="D448" i="19" s="1"/>
  <c r="F1150" i="19"/>
  <c r="F1151" i="19" s="1"/>
  <c r="F454" i="19"/>
  <c r="F455" i="19" s="1"/>
  <c r="G383" i="19"/>
  <c r="G386" i="19" s="1"/>
  <c r="C384" i="19"/>
  <c r="F381" i="19"/>
  <c r="D381" i="19"/>
  <c r="E1905" i="19"/>
  <c r="F1451" i="19"/>
  <c r="F1470" i="19"/>
  <c r="F1492" i="19"/>
  <c r="F1590" i="19"/>
  <c r="F1623" i="19"/>
  <c r="F1687" i="19"/>
  <c r="F1856" i="19" s="1"/>
  <c r="F1868" i="19" s="1"/>
  <c r="F1479" i="19"/>
  <c r="F1574" i="19"/>
  <c r="F1597" i="19"/>
  <c r="F1610" i="19" s="1"/>
  <c r="F1858" i="19" s="1"/>
  <c r="F1629" i="19"/>
  <c r="F1870" i="19" s="1"/>
  <c r="F1880" i="19" s="1"/>
  <c r="D1451" i="19"/>
  <c r="D1470" i="19"/>
  <c r="D1492" i="19"/>
  <c r="D1687" i="19"/>
  <c r="D1856" i="19" s="1"/>
  <c r="D1868" i="19" s="1"/>
  <c r="D1479" i="19"/>
  <c r="D1574" i="19"/>
  <c r="G1871" i="19"/>
  <c r="G1881" i="19" s="1"/>
  <c r="C1857" i="19"/>
  <c r="C1869" i="19" s="1"/>
  <c r="F1734" i="19"/>
  <c r="D1733" i="19"/>
  <c r="G1630" i="19"/>
  <c r="E1630" i="19"/>
  <c r="E1688" i="19" s="1"/>
  <c r="E1697" i="19" s="1"/>
  <c r="E1698" i="19" s="1"/>
  <c r="C1630" i="19"/>
  <c r="F1586" i="19"/>
  <c r="D1536" i="19"/>
  <c r="F1493" i="19"/>
  <c r="F1611" i="19" s="1"/>
  <c r="F1619" i="19" s="1"/>
  <c r="D1493" i="19"/>
  <c r="E1733" i="19"/>
  <c r="C1733" i="19"/>
  <c r="F1630" i="19"/>
  <c r="F1643" i="19" s="1"/>
  <c r="D1630" i="19"/>
  <c r="F1554" i="19"/>
  <c r="F1565" i="19" s="1"/>
  <c r="F1524" i="19"/>
  <c r="G1493" i="19"/>
  <c r="E1493" i="19"/>
  <c r="C1493" i="19"/>
  <c r="G1159" i="19"/>
  <c r="G1160" i="19" s="1"/>
  <c r="E1159" i="19"/>
  <c r="E1160" i="19" s="1"/>
  <c r="C1159" i="19"/>
  <c r="C1160" i="19" s="1"/>
  <c r="G980" i="19"/>
  <c r="E980" i="19"/>
  <c r="C980" i="19"/>
  <c r="F843" i="19"/>
  <c r="F961" i="19" s="1"/>
  <c r="F969" i="19" s="1"/>
  <c r="F970" i="19" s="1"/>
  <c r="D843" i="19"/>
  <c r="F482" i="19"/>
  <c r="F483" i="19" s="1"/>
  <c r="D482" i="19"/>
  <c r="D483" i="19" s="1"/>
  <c r="F1159" i="19"/>
  <c r="F1160" i="19" s="1"/>
  <c r="D1159" i="19"/>
  <c r="D1160" i="19" s="1"/>
  <c r="G1087" i="19"/>
  <c r="C1087" i="19"/>
  <c r="E1086" i="19"/>
  <c r="G1085" i="19"/>
  <c r="G1079" i="19" s="1"/>
  <c r="G1096" i="19" s="1"/>
  <c r="G1097" i="19" s="1"/>
  <c r="C1085" i="19"/>
  <c r="C1079" i="19" s="1"/>
  <c r="F980" i="19"/>
  <c r="F1038" i="19" s="1"/>
  <c r="F1047" i="19" s="1"/>
  <c r="D980" i="19"/>
  <c r="G904" i="19"/>
  <c r="G915" i="19" s="1"/>
  <c r="C904" i="19"/>
  <c r="G843" i="19"/>
  <c r="G855" i="19" s="1"/>
  <c r="G856" i="19" s="1"/>
  <c r="E843" i="19"/>
  <c r="C843" i="19"/>
  <c r="C961" i="19" s="1"/>
  <c r="G482" i="19"/>
  <c r="G483" i="19" s="1"/>
  <c r="E482" i="19"/>
  <c r="E483" i="19" s="1"/>
  <c r="C482" i="19"/>
  <c r="C483" i="19" s="1"/>
  <c r="E2079" i="19"/>
  <c r="E2069" i="19"/>
  <c r="E2059" i="19"/>
  <c r="E2049" i="19"/>
  <c r="E2091" i="19" s="1"/>
  <c r="E2133" i="19" s="1"/>
  <c r="G1541" i="19"/>
  <c r="G1598" i="19"/>
  <c r="E1541" i="19"/>
  <c r="E1598" i="19"/>
  <c r="C1541" i="19"/>
  <c r="C1598" i="19"/>
  <c r="E1858" i="19"/>
  <c r="C1858" i="19"/>
  <c r="D1737" i="19"/>
  <c r="F1736" i="19"/>
  <c r="D1735" i="19"/>
  <c r="F1598" i="19"/>
  <c r="D1598" i="19"/>
  <c r="C1556" i="19"/>
  <c r="C1554" i="19" s="1"/>
  <c r="G1530" i="19"/>
  <c r="G1529" i="19" s="1"/>
  <c r="E1530" i="19"/>
  <c r="E1529" i="19" s="1"/>
  <c r="C1530" i="19"/>
  <c r="C1529" i="19" s="1"/>
  <c r="G1472" i="19"/>
  <c r="G1471" i="19" s="1"/>
  <c r="G1591" i="19" s="1"/>
  <c r="E1472" i="19"/>
  <c r="E1471" i="19" s="1"/>
  <c r="E1591" i="19" s="1"/>
  <c r="C1472" i="19"/>
  <c r="C1471" i="19" s="1"/>
  <c r="F906" i="19"/>
  <c r="F904" i="19" s="1"/>
  <c r="D906" i="19"/>
  <c r="D904" i="19" s="1"/>
  <c r="F880" i="19"/>
  <c r="F879" i="19" s="1"/>
  <c r="D880" i="19"/>
  <c r="D879" i="19" s="1"/>
  <c r="G863" i="19"/>
  <c r="E863" i="19"/>
  <c r="C863" i="19"/>
  <c r="D458" i="19"/>
  <c r="G389" i="19"/>
  <c r="G400" i="19"/>
  <c r="G401" i="19"/>
  <c r="G447" i="19"/>
  <c r="G448" i="19" s="1"/>
  <c r="G450" i="19"/>
  <c r="G454" i="19" s="1"/>
  <c r="G455" i="19" s="1"/>
  <c r="E389" i="19"/>
  <c r="E400" i="19"/>
  <c r="E401" i="19"/>
  <c r="E447" i="19"/>
  <c r="E448" i="19" s="1"/>
  <c r="E450" i="19"/>
  <c r="E454" i="19" s="1"/>
  <c r="E455" i="19" s="1"/>
  <c r="C389" i="19"/>
  <c r="C400" i="19"/>
  <c r="C401" i="19"/>
  <c r="C447" i="19"/>
  <c r="C448" i="19" s="1"/>
  <c r="C450" i="19"/>
  <c r="C454" i="19" s="1"/>
  <c r="C455" i="19" s="1"/>
  <c r="D1998" i="19"/>
  <c r="D1999" i="19" s="1"/>
  <c r="D2000" i="19" s="1"/>
  <c r="D2001" i="19" s="1"/>
  <c r="D2006" i="19" s="1"/>
  <c r="G2022" i="19"/>
  <c r="E2022" i="19"/>
  <c r="C2022" i="19"/>
  <c r="F1998" i="19"/>
  <c r="F1999" i="19" s="1"/>
  <c r="F2000" i="19" s="1"/>
  <c r="F2001" i="19" s="1"/>
  <c r="F2006" i="19" s="1"/>
  <c r="G1992" i="19"/>
  <c r="G1993" i="19" s="1"/>
  <c r="E1992" i="19"/>
  <c r="E1993" i="19" s="1"/>
  <c r="E1998" i="19"/>
  <c r="E1999" i="19" s="1"/>
  <c r="E2000" i="19" s="1"/>
  <c r="C1992" i="19"/>
  <c r="C1993" i="19" s="1"/>
  <c r="G1688" i="19"/>
  <c r="C1688" i="19"/>
  <c r="G1611" i="19"/>
  <c r="E1611" i="19"/>
  <c r="C1611" i="19"/>
  <c r="C1591" i="19"/>
  <c r="F2022" i="19"/>
  <c r="D2022" i="19"/>
  <c r="D2019" i="19"/>
  <c r="C1964" i="19"/>
  <c r="C1965" i="19" s="1"/>
  <c r="D1688" i="19"/>
  <c r="D1697" i="19" s="1"/>
  <c r="D1505" i="19"/>
  <c r="D1611" i="19"/>
  <c r="F1591" i="19"/>
  <c r="D1591" i="19"/>
  <c r="G1737" i="19"/>
  <c r="E1737" i="19"/>
  <c r="C1737" i="19"/>
  <c r="G1736" i="19"/>
  <c r="E1736" i="19"/>
  <c r="C1736" i="19"/>
  <c r="G1735" i="19"/>
  <c r="G1729" i="19" s="1"/>
  <c r="E1735" i="19"/>
  <c r="C1735" i="19"/>
  <c r="C1729" i="19" s="1"/>
  <c r="G1734" i="19"/>
  <c r="E1734" i="19"/>
  <c r="C1734" i="19"/>
  <c r="G1556" i="19"/>
  <c r="G1554" i="19" s="1"/>
  <c r="E1556" i="19"/>
  <c r="E1554" i="19" s="1"/>
  <c r="G1330" i="19"/>
  <c r="G1331" i="19" s="1"/>
  <c r="E1330" i="19"/>
  <c r="E1331" i="19" s="1"/>
  <c r="C1330" i="19"/>
  <c r="C1331" i="19" s="1"/>
  <c r="F1330" i="19"/>
  <c r="F1331" i="19" s="1"/>
  <c r="D1330" i="19"/>
  <c r="D1331" i="19" s="1"/>
  <c r="F1253" i="19"/>
  <c r="D1253" i="19"/>
  <c r="D2075" i="19" s="1"/>
  <c r="D2076" i="19" s="1"/>
  <c r="F1240" i="19"/>
  <c r="D1240" i="19"/>
  <c r="F1087" i="19"/>
  <c r="D1087" i="19"/>
  <c r="F1086" i="19"/>
  <c r="D1086" i="19"/>
  <c r="F1085" i="19"/>
  <c r="F1079" i="19" s="1"/>
  <c r="F1096" i="19" s="1"/>
  <c r="F1097" i="19" s="1"/>
  <c r="D1085" i="19"/>
  <c r="D1079" i="19" s="1"/>
  <c r="F1084" i="19"/>
  <c r="D1084" i="19"/>
  <c r="D1038" i="19"/>
  <c r="E961" i="19"/>
  <c r="G1253" i="19"/>
  <c r="G2075" i="19" s="1"/>
  <c r="G2076" i="19" s="1"/>
  <c r="E1253" i="19"/>
  <c r="E2075" i="19" s="1"/>
  <c r="E2076" i="19" s="1"/>
  <c r="C1253" i="19"/>
  <c r="C2075" i="19" s="1"/>
  <c r="C2076" i="19" s="1"/>
  <c r="G1240" i="19"/>
  <c r="E1240" i="19"/>
  <c r="C1240" i="19"/>
  <c r="G1038" i="19"/>
  <c r="G1047" i="19" s="1"/>
  <c r="E1038" i="19"/>
  <c r="C1038" i="19"/>
  <c r="C1047" i="19" s="1"/>
  <c r="F855" i="19"/>
  <c r="D961" i="19"/>
  <c r="B1153" i="12"/>
  <c r="F2016" i="19" l="1"/>
  <c r="B1165" i="12"/>
  <c r="C1214" i="12"/>
  <c r="B1974" i="19"/>
  <c r="B1988" i="19" s="1"/>
  <c r="B1463" i="19"/>
  <c r="D956" i="19"/>
  <c r="D1122" i="19"/>
  <c r="D1123" i="19" s="1"/>
  <c r="D1150" i="19"/>
  <c r="D1151" i="19" s="1"/>
  <c r="D824" i="19"/>
  <c r="D825" i="19" s="1"/>
  <c r="D974" i="19"/>
  <c r="D1144" i="19"/>
  <c r="D1145" i="19" s="1"/>
  <c r="D816" i="19"/>
  <c r="D855" i="19"/>
  <c r="G961" i="19"/>
  <c r="G969" i="19" s="1"/>
  <c r="G970" i="19" s="1"/>
  <c r="F993" i="19"/>
  <c r="F1688" i="19"/>
  <c r="G387" i="19"/>
  <c r="E378" i="19"/>
  <c r="E380" i="19" s="1"/>
  <c r="E382" i="19" s="1"/>
  <c r="E384" i="19" s="1"/>
  <c r="D1033" i="19"/>
  <c r="D1034" i="19" s="1"/>
  <c r="D1096" i="19"/>
  <c r="D1097" i="19" s="1"/>
  <c r="D886" i="19"/>
  <c r="D887" i="19" s="1"/>
  <c r="D1162" i="19"/>
  <c r="D1166" i="19" s="1"/>
  <c r="D1066" i="19"/>
  <c r="F587" i="19"/>
  <c r="F588" i="19" s="1"/>
  <c r="G1028" i="19"/>
  <c r="G1029" i="19" s="1"/>
  <c r="G1030" i="19" s="1"/>
  <c r="C1016" i="19"/>
  <c r="C1017" i="19" s="1"/>
  <c r="C1018" i="19" s="1"/>
  <c r="C1452" i="19"/>
  <c r="C1578" i="19"/>
  <c r="C1575" i="19" s="1"/>
  <c r="E484" i="19"/>
  <c r="F1066" i="19"/>
  <c r="F1071" i="19" s="1"/>
  <c r="F1072" i="19" s="1"/>
  <c r="F1073" i="19" s="1"/>
  <c r="F1033" i="19"/>
  <c r="F1034" i="19" s="1"/>
  <c r="G1452" i="19"/>
  <c r="G1578" i="19"/>
  <c r="G1575" i="19" s="1"/>
  <c r="D484" i="19"/>
  <c r="F484" i="19"/>
  <c r="C484" i="19"/>
  <c r="G484" i="19"/>
  <c r="F1620" i="19"/>
  <c r="C1510" i="19"/>
  <c r="C1847" i="19" s="1"/>
  <c r="B1349" i="19"/>
  <c r="B1354" i="19"/>
  <c r="B1983" i="19"/>
  <c r="B1990" i="19" s="1"/>
  <c r="F1566" i="19"/>
  <c r="C1871" i="19"/>
  <c r="C1881" i="19" s="1"/>
  <c r="F1849" i="19"/>
  <c r="F1850" i="19" s="1"/>
  <c r="D2039" i="19"/>
  <c r="D2091" i="19" s="1"/>
  <c r="D2133" i="19" s="1"/>
  <c r="D1643" i="19"/>
  <c r="E1856" i="19"/>
  <c r="E1868" i="19" s="1"/>
  <c r="D556" i="19"/>
  <c r="D558" i="19" s="1"/>
  <c r="D559" i="19" s="1"/>
  <c r="D560" i="19" s="1"/>
  <c r="D561" i="19" s="1"/>
  <c r="D1905" i="19"/>
  <c r="D1907" i="19" s="1"/>
  <c r="D1565" i="19"/>
  <c r="F1644" i="19"/>
  <c r="C1048" i="19"/>
  <c r="G993" i="19"/>
  <c r="E1729" i="19"/>
  <c r="D1619" i="19"/>
  <c r="F2025" i="19"/>
  <c r="E2001" i="19"/>
  <c r="E2006" i="19" s="1"/>
  <c r="G385" i="19"/>
  <c r="F886" i="19"/>
  <c r="F915" i="19"/>
  <c r="F916" i="19" s="1"/>
  <c r="D1729" i="19"/>
  <c r="D1746" i="19" s="1"/>
  <c r="D488" i="19" s="1"/>
  <c r="D489" i="19" s="1"/>
  <c r="F1536" i="19"/>
  <c r="D1629" i="19"/>
  <c r="D1870" i="19" s="1"/>
  <c r="D1880" i="19" s="1"/>
  <c r="D1590" i="19"/>
  <c r="D383" i="19"/>
  <c r="F1144" i="19"/>
  <c r="F1145" i="19" s="1"/>
  <c r="F1162" i="19" s="1"/>
  <c r="F1166" i="19" s="1"/>
  <c r="E1479" i="19"/>
  <c r="E788" i="19"/>
  <c r="D1294" i="19"/>
  <c r="D2043" i="19"/>
  <c r="D2053" i="19"/>
  <c r="D2079" i="19"/>
  <c r="D2059" i="19"/>
  <c r="F1878" i="19"/>
  <c r="E1470" i="19"/>
  <c r="D631" i="19"/>
  <c r="D635" i="19" s="1"/>
  <c r="D637" i="19" s="1"/>
  <c r="D638" i="19" s="1"/>
  <c r="D723" i="19" s="1"/>
  <c r="C685" i="19"/>
  <c r="C686" i="19" s="1"/>
  <c r="C687" i="19" s="1"/>
  <c r="G1870" i="19"/>
  <c r="G1880" i="19" s="1"/>
  <c r="E687" i="19"/>
  <c r="C1856" i="19"/>
  <c r="C1868" i="19" s="1"/>
  <c r="E2090" i="19"/>
  <c r="C615" i="19"/>
  <c r="C617" i="19" s="1"/>
  <c r="C618" i="19" s="1"/>
  <c r="G615" i="19"/>
  <c r="G617" i="19" s="1"/>
  <c r="G618" i="19" s="1"/>
  <c r="E1584" i="19"/>
  <c r="E1024" i="19"/>
  <c r="E1027" i="19" s="1"/>
  <c r="E1528" i="19"/>
  <c r="E1553" i="19"/>
  <c r="F1897" i="19"/>
  <c r="F1898" i="19" s="1"/>
  <c r="C1224" i="19"/>
  <c r="C1248" i="19"/>
  <c r="G1248" i="19"/>
  <c r="G1224" i="19"/>
  <c r="E383" i="19"/>
  <c r="E1224" i="19"/>
  <c r="E1248" i="19"/>
  <c r="E1860" i="19"/>
  <c r="E1882" i="19"/>
  <c r="D975" i="19"/>
  <c r="F975" i="19"/>
  <c r="G816" i="19"/>
  <c r="G817" i="19" s="1"/>
  <c r="F816" i="19"/>
  <c r="D993" i="19"/>
  <c r="F1965" i="19"/>
  <c r="D1524" i="19"/>
  <c r="D1928" i="19"/>
  <c r="D1656" i="19"/>
  <c r="D1659" i="19" s="1"/>
  <c r="D1660" i="19" s="1"/>
  <c r="D1683" i="19"/>
  <c r="D1684" i="19" s="1"/>
  <c r="F2019" i="19"/>
  <c r="D1071" i="19"/>
  <c r="D1072" i="19" s="1"/>
  <c r="D1073" i="19" s="1"/>
  <c r="F1505" i="19"/>
  <c r="F2039" i="19"/>
  <c r="F2091" i="19" s="1"/>
  <c r="F2133" i="19" s="1"/>
  <c r="F2049" i="19"/>
  <c r="F2069" i="19"/>
  <c r="F2059" i="19"/>
  <c r="F2079" i="19"/>
  <c r="F1587" i="19"/>
  <c r="D1674" i="19"/>
  <c r="D1677" i="19" s="1"/>
  <c r="D1678" i="19" s="1"/>
  <c r="D1679" i="19" s="1"/>
  <c r="D1680" i="19" s="1"/>
  <c r="D1592" i="19"/>
  <c r="C556" i="19"/>
  <c r="C558" i="19" s="1"/>
  <c r="C559" i="19" s="1"/>
  <c r="C560" i="19" s="1"/>
  <c r="C561" i="19" s="1"/>
  <c r="B556" i="19"/>
  <c r="B558" i="19" s="1"/>
  <c r="B559" i="19" s="1"/>
  <c r="B560" i="19" s="1"/>
  <c r="F556" i="19"/>
  <c r="F558" i="19" s="1"/>
  <c r="F559" i="19" s="1"/>
  <c r="F560" i="19" s="1"/>
  <c r="F561" i="19" s="1"/>
  <c r="G587" i="19"/>
  <c r="G588" i="19" s="1"/>
  <c r="G2018" i="19"/>
  <c r="D1593" i="19"/>
  <c r="F1928" i="19"/>
  <c r="D856" i="19"/>
  <c r="F856" i="19"/>
  <c r="E1047" i="19"/>
  <c r="E1048" i="19" s="1"/>
  <c r="G1048" i="19"/>
  <c r="F2075" i="19"/>
  <c r="F2076" i="19" s="1"/>
  <c r="F1697" i="19"/>
  <c r="C1697" i="19"/>
  <c r="C1698" i="19" s="1"/>
  <c r="G1697" i="19"/>
  <c r="F1525" i="19"/>
  <c r="D1586" i="19"/>
  <c r="D1597" i="19"/>
  <c r="D1610" i="19" s="1"/>
  <c r="D1858" i="19" s="1"/>
  <c r="D1623" i="19"/>
  <c r="D1849" i="19"/>
  <c r="D1850" i="19" s="1"/>
  <c r="F824" i="19"/>
  <c r="F825" i="19" s="1"/>
  <c r="F826" i="19" s="1"/>
  <c r="F2033" i="19"/>
  <c r="G1470" i="19"/>
  <c r="G1451" i="19"/>
  <c r="G1845" i="19" s="1"/>
  <c r="D1266" i="19"/>
  <c r="E1878" i="19"/>
  <c r="C1492" i="19"/>
  <c r="F1918" i="19"/>
  <c r="F1920" i="19" s="1"/>
  <c r="F1922" i="19" s="1"/>
  <c r="E1870" i="19"/>
  <c r="E1880" i="19" s="1"/>
  <c r="C1528" i="19"/>
  <c r="C1540" i="19"/>
  <c r="C1553" i="19"/>
  <c r="E2212" i="19"/>
  <c r="B1809" i="19"/>
  <c r="B1810" i="19" s="1"/>
  <c r="C2018" i="19"/>
  <c r="E2016" i="19"/>
  <c r="E2017" i="19" s="1"/>
  <c r="B507" i="19"/>
  <c r="B508" i="19" s="1"/>
  <c r="B513" i="19" s="1"/>
  <c r="D2212" i="19"/>
  <c r="F2212" i="19"/>
  <c r="D833" i="19"/>
  <c r="D1111" i="19"/>
  <c r="D1112" i="19" s="1"/>
  <c r="D1113" i="19" s="1"/>
  <c r="D1114" i="19" s="1"/>
  <c r="D1115" i="19" s="1"/>
  <c r="D1164" i="19" s="1"/>
  <c r="F833" i="19"/>
  <c r="F1111" i="19"/>
  <c r="F1112" i="19" s="1"/>
  <c r="F1113" i="19" s="1"/>
  <c r="F1114" i="19" s="1"/>
  <c r="F1115" i="19" s="1"/>
  <c r="F1164" i="19" s="1"/>
  <c r="F1171" i="19"/>
  <c r="F1809" i="19"/>
  <c r="F1810" i="19" s="1"/>
  <c r="F1024" i="19"/>
  <c r="F1027" i="19" s="1"/>
  <c r="F1028" i="19" s="1"/>
  <c r="F1029" i="19" s="1"/>
  <c r="F1030" i="19" s="1"/>
  <c r="F1431" i="19"/>
  <c r="C2043" i="19"/>
  <c r="G2043" i="19"/>
  <c r="D1644" i="19"/>
  <c r="G2057" i="19"/>
  <c r="G2067" i="19" s="1"/>
  <c r="E2033" i="19"/>
  <c r="G1848" i="19"/>
  <c r="F817" i="19"/>
  <c r="F1506" i="19"/>
  <c r="E556" i="19"/>
  <c r="E558" i="19" s="1"/>
  <c r="E559" i="19" s="1"/>
  <c r="E560" i="19" s="1"/>
  <c r="E561" i="19" s="1"/>
  <c r="D1525" i="19"/>
  <c r="C2033" i="19"/>
  <c r="C2085" i="19" s="1"/>
  <c r="D826" i="19"/>
  <c r="D969" i="19"/>
  <c r="D970" i="19" s="1"/>
  <c r="G994" i="19"/>
  <c r="D1047" i="19"/>
  <c r="D1506" i="19"/>
  <c r="D2025" i="19"/>
  <c r="G1698" i="19"/>
  <c r="D915" i="19"/>
  <c r="D916" i="19" s="1"/>
  <c r="D468" i="19"/>
  <c r="G916" i="19"/>
  <c r="F1537" i="19"/>
  <c r="D1537" i="19"/>
  <c r="G1857" i="19"/>
  <c r="G1869" i="19" s="1"/>
  <c r="D1566" i="19"/>
  <c r="E2018" i="19"/>
  <c r="C569" i="19"/>
  <c r="C570" i="19" s="1"/>
  <c r="G2016" i="19"/>
  <c r="G2017" i="19" s="1"/>
  <c r="D1878" i="19"/>
  <c r="C1584" i="19"/>
  <c r="D1727" i="19"/>
  <c r="D1918" i="19"/>
  <c r="D1920" i="19" s="1"/>
  <c r="D1922" i="19" s="1"/>
  <c r="E1310" i="19"/>
  <c r="E1312" i="19" s="1"/>
  <c r="D1013" i="19"/>
  <c r="D1012" i="19" s="1"/>
  <c r="D1016" i="19" s="1"/>
  <c r="D1017" i="19" s="1"/>
  <c r="D1018" i="19" s="1"/>
  <c r="D1663" i="19"/>
  <c r="D1662" i="19" s="1"/>
  <c r="D1666" i="19" s="1"/>
  <c r="D1667" i="19" s="1"/>
  <c r="D1668" i="19" s="1"/>
  <c r="G1459" i="19"/>
  <c r="G1528" i="19"/>
  <c r="G556" i="19"/>
  <c r="G558" i="19" s="1"/>
  <c r="G559" i="19" s="1"/>
  <c r="G560" i="19" s="1"/>
  <c r="G561" i="19" s="1"/>
  <c r="G724" i="19"/>
  <c r="G2212" i="19" s="1"/>
  <c r="G627" i="19"/>
  <c r="C2057" i="19"/>
  <c r="C2067" i="19" s="1"/>
  <c r="D1210" i="19"/>
  <c r="D1211" i="19" s="1"/>
  <c r="E2043" i="19"/>
  <c r="E1849" i="19"/>
  <c r="E1850" i="19" s="1"/>
  <c r="G1013" i="19"/>
  <c r="G1012" i="19" s="1"/>
  <c r="G1016" i="19" s="1"/>
  <c r="G1017" i="19" s="1"/>
  <c r="G1018" i="19" s="1"/>
  <c r="G1049" i="19" s="1"/>
  <c r="G1056" i="19" s="1"/>
  <c r="G1663" i="19"/>
  <c r="G1662" i="19" s="1"/>
  <c r="G1666" i="19" s="1"/>
  <c r="G1667" i="19" s="1"/>
  <c r="G1668" i="19" s="1"/>
  <c r="C1310" i="19"/>
  <c r="C1312" i="19" s="1"/>
  <c r="G1310" i="19"/>
  <c r="G1312" i="19" s="1"/>
  <c r="C2089" i="19"/>
  <c r="C2090" i="19"/>
  <c r="C627" i="19"/>
  <c r="E627" i="19"/>
  <c r="E1013" i="19"/>
  <c r="E1012" i="19" s="1"/>
  <c r="E1016" i="19" s="1"/>
  <c r="E1017" i="19" s="1"/>
  <c r="E1018" i="19" s="1"/>
  <c r="E1663" i="19"/>
  <c r="E1662" i="19" s="1"/>
  <c r="C833" i="19"/>
  <c r="C894" i="19" s="1"/>
  <c r="C1069" i="19"/>
  <c r="C1068" i="19" s="1"/>
  <c r="C1111" i="19"/>
  <c r="C1112" i="19" s="1"/>
  <c r="E833" i="19"/>
  <c r="E894" i="19" s="1"/>
  <c r="E1111" i="19"/>
  <c r="E1112" i="19" s="1"/>
  <c r="G833" i="19"/>
  <c r="G894" i="19" s="1"/>
  <c r="G899" i="19" s="1"/>
  <c r="G900" i="19" s="1"/>
  <c r="G1111" i="19"/>
  <c r="G1112" i="19" s="1"/>
  <c r="G1113" i="19" s="1"/>
  <c r="G1114" i="19" s="1"/>
  <c r="G1115" i="19" s="1"/>
  <c r="G1069" i="19"/>
  <c r="G1068" i="19" s="1"/>
  <c r="G1066" i="19" s="1"/>
  <c r="G1071" i="19" s="1"/>
  <c r="G1072" i="19" s="1"/>
  <c r="G1073" i="19" s="1"/>
  <c r="D1483" i="19"/>
  <c r="D1488" i="19" s="1"/>
  <c r="D1489" i="19" s="1"/>
  <c r="D1766" i="19"/>
  <c r="D1767" i="19" s="1"/>
  <c r="D1719" i="19"/>
  <c r="D1718" i="19" s="1"/>
  <c r="D1716" i="19" s="1"/>
  <c r="D1721" i="19" s="1"/>
  <c r="D1722" i="19" s="1"/>
  <c r="D1723" i="19" s="1"/>
  <c r="F1483" i="19"/>
  <c r="F1766" i="19"/>
  <c r="F1767" i="19" s="1"/>
  <c r="F1768" i="19" s="1"/>
  <c r="F1769" i="19" s="1"/>
  <c r="F1770" i="19" s="1"/>
  <c r="F1719" i="19"/>
  <c r="F1718" i="19" s="1"/>
  <c r="F1716" i="19" s="1"/>
  <c r="F1721" i="19" s="1"/>
  <c r="F1722" i="19" s="1"/>
  <c r="F1723" i="19" s="1"/>
  <c r="F1674" i="19"/>
  <c r="F1677" i="19" s="1"/>
  <c r="F1678" i="19" s="1"/>
  <c r="F1679" i="19" s="1"/>
  <c r="F1680" i="19" s="1"/>
  <c r="E2034" i="19"/>
  <c r="E2044" i="19" s="1"/>
  <c r="E2085" i="19"/>
  <c r="F2017" i="19"/>
  <c r="F1871" i="19"/>
  <c r="F1881" i="19" s="1"/>
  <c r="D1871" i="19"/>
  <c r="D1881" i="19" s="1"/>
  <c r="F603" i="19"/>
  <c r="G631" i="19"/>
  <c r="G635" i="19" s="1"/>
  <c r="G637" i="19" s="1"/>
  <c r="G638" i="19" s="1"/>
  <c r="G723" i="19" s="1"/>
  <c r="G2211" i="19" s="1"/>
  <c r="G352" i="19"/>
  <c r="E352" i="19"/>
  <c r="E631" i="19"/>
  <c r="E635" i="19" s="1"/>
  <c r="E637" i="19" s="1"/>
  <c r="E638" i="19" s="1"/>
  <c r="E723" i="19" s="1"/>
  <c r="E2211" i="19" s="1"/>
  <c r="F627" i="19"/>
  <c r="F871" i="19"/>
  <c r="F874" i="19" s="1"/>
  <c r="F875" i="19" s="1"/>
  <c r="F934" i="19"/>
  <c r="D627" i="19"/>
  <c r="D871" i="19"/>
  <c r="D874" i="19" s="1"/>
  <c r="D875" i="19" s="1"/>
  <c r="D934" i="19"/>
  <c r="C2034" i="19"/>
  <c r="C2044" i="19" s="1"/>
  <c r="C1266" i="19"/>
  <c r="C2053" i="19"/>
  <c r="G1266" i="19"/>
  <c r="G2053" i="19"/>
  <c r="D603" i="19"/>
  <c r="G2033" i="19"/>
  <c r="E1266" i="19"/>
  <c r="E2053" i="19"/>
  <c r="B1517" i="19"/>
  <c r="B1518" i="19" s="1"/>
  <c r="B1522" i="19"/>
  <c r="F468" i="19"/>
  <c r="F1210" i="19"/>
  <c r="F1211" i="19" s="1"/>
  <c r="D1594" i="19"/>
  <c r="D1698" i="19"/>
  <c r="F1698" i="19"/>
  <c r="F887" i="19"/>
  <c r="F1857" i="19"/>
  <c r="F1869" i="19" s="1"/>
  <c r="D1857" i="19"/>
  <c r="D817" i="19"/>
  <c r="G1210" i="19"/>
  <c r="G1211" i="19" s="1"/>
  <c r="G2031" i="19" s="1"/>
  <c r="C903" i="19"/>
  <c r="C1210" i="19" s="1"/>
  <c r="C1211" i="19" s="1"/>
  <c r="G878" i="19"/>
  <c r="G1207" i="19"/>
  <c r="G1223" i="19" s="1"/>
  <c r="G1206" i="19"/>
  <c r="D1587" i="19"/>
  <c r="F829" i="19"/>
  <c r="F1268" i="19"/>
  <c r="F1270" i="19" s="1"/>
  <c r="F979" i="19"/>
  <c r="F994" i="19" s="1"/>
  <c r="F1037" i="19"/>
  <c r="D979" i="19"/>
  <c r="D1037" i="19"/>
  <c r="D1268" i="19"/>
  <c r="D1270" i="19" s="1"/>
  <c r="D660" i="19"/>
  <c r="D664" i="19" s="1"/>
  <c r="F660" i="19"/>
  <c r="F665" i="19" s="1"/>
  <c r="E386" i="19"/>
  <c r="E385" i="19"/>
  <c r="E387" i="19"/>
  <c r="C386" i="19"/>
  <c r="C387" i="19"/>
  <c r="C385" i="19"/>
  <c r="F383" i="19"/>
  <c r="F386" i="19" s="1"/>
  <c r="C2091" i="19"/>
  <c r="C2133" i="19" s="1"/>
  <c r="D687" i="19"/>
  <c r="D2034" i="19"/>
  <c r="D2044" i="19" s="1"/>
  <c r="D2085" i="19"/>
  <c r="D2054" i="19"/>
  <c r="D2063" i="19"/>
  <c r="D2064" i="19" s="1"/>
  <c r="D2073" i="19"/>
  <c r="D2074" i="19" s="1"/>
  <c r="F687" i="19"/>
  <c r="F2034" i="19"/>
  <c r="F2044" i="19" s="1"/>
  <c r="F2085" i="19"/>
  <c r="F1592" i="19"/>
  <c r="F1593" i="19" s="1"/>
  <c r="F1594" i="19" s="1"/>
  <c r="F1683" i="19"/>
  <c r="F1684" i="19" s="1"/>
  <c r="F1656" i="19"/>
  <c r="F1659" i="19" s="1"/>
  <c r="F1660" i="19" s="1"/>
  <c r="G2091" i="19"/>
  <c r="G2133" i="19" s="1"/>
  <c r="C599" i="19"/>
  <c r="C660" i="19"/>
  <c r="G599" i="19"/>
  <c r="G660" i="19"/>
  <c r="E599" i="19"/>
  <c r="E1845" i="19"/>
  <c r="E1846" i="19"/>
  <c r="E1859" i="19" s="1"/>
  <c r="E1861" i="19" s="1"/>
  <c r="E2057" i="19"/>
  <c r="E2067" i="19" s="1"/>
  <c r="F957" i="19"/>
  <c r="D957" i="19"/>
  <c r="E878" i="19"/>
  <c r="E860" i="19"/>
  <c r="E1208" i="19" s="1"/>
  <c r="E890" i="19"/>
  <c r="E903" i="19"/>
  <c r="E1278" i="19"/>
  <c r="E2045" i="19"/>
  <c r="E1207" i="19"/>
  <c r="E1206" i="19"/>
  <c r="C1278" i="19"/>
  <c r="C2045" i="19"/>
  <c r="G1278" i="19"/>
  <c r="G2045" i="19"/>
  <c r="C1209" i="19"/>
  <c r="C1244" i="19"/>
  <c r="G1209" i="19"/>
  <c r="G1244" i="19"/>
  <c r="C1859" i="19"/>
  <c r="C1861" i="19" s="1"/>
  <c r="F1278" i="19"/>
  <c r="F2045" i="19"/>
  <c r="E1220" i="19"/>
  <c r="E1221" i="19"/>
  <c r="E1234" i="19" s="1"/>
  <c r="F1209" i="19"/>
  <c r="F1244" i="19"/>
  <c r="C1236" i="19"/>
  <c r="C1235" i="19"/>
  <c r="C1246" i="19" s="1"/>
  <c r="G1220" i="19"/>
  <c r="G1221" i="19"/>
  <c r="G1234" i="19" s="1"/>
  <c r="D1278" i="19"/>
  <c r="D2045" i="19"/>
  <c r="E1236" i="19"/>
  <c r="E1235" i="19"/>
  <c r="E1246" i="19" s="1"/>
  <c r="D1209" i="19"/>
  <c r="D1244" i="19"/>
  <c r="D1206" i="19"/>
  <c r="D1207" i="19"/>
  <c r="F1245" i="19"/>
  <c r="F1206" i="19"/>
  <c r="F1207" i="19"/>
  <c r="C1220" i="19"/>
  <c r="C1221" i="19"/>
  <c r="C1234" i="19" s="1"/>
  <c r="G1236" i="19"/>
  <c r="G1235" i="19"/>
  <c r="G1246" i="19" s="1"/>
  <c r="G974" i="19"/>
  <c r="G975" i="19" s="1"/>
  <c r="G1122" i="19"/>
  <c r="G1123" i="19" s="1"/>
  <c r="G1144" i="19"/>
  <c r="G1145" i="19" s="1"/>
  <c r="G1746" i="19"/>
  <c r="G824" i="19"/>
  <c r="G825" i="19" s="1"/>
  <c r="G826" i="19" s="1"/>
  <c r="G956" i="19"/>
  <c r="G957" i="19" s="1"/>
  <c r="F1624" i="19"/>
  <c r="F1625" i="19" s="1"/>
  <c r="F1466" i="19"/>
  <c r="F1467" i="19" s="1"/>
  <c r="F1474" i="19"/>
  <c r="F1475" i="19" s="1"/>
  <c r="F1476" i="19" s="1"/>
  <c r="F1777" i="19"/>
  <c r="F1778" i="19" s="1"/>
  <c r="F1801" i="19" s="1"/>
  <c r="F1805" i="19" s="1"/>
  <c r="C1028" i="19"/>
  <c r="C1029" i="19" s="1"/>
  <c r="C1030" i="19" s="1"/>
  <c r="C789" i="19"/>
  <c r="C969" i="19" s="1"/>
  <c r="C970" i="19" s="1"/>
  <c r="C1006" i="19"/>
  <c r="C1009" i="19" s="1"/>
  <c r="C1010" i="19" s="1"/>
  <c r="C1033" i="19"/>
  <c r="C1034" i="19" s="1"/>
  <c r="F1746" i="19"/>
  <c r="G1565" i="19"/>
  <c r="G1566" i="19" s="1"/>
  <c r="C915" i="19"/>
  <c r="G1656" i="19"/>
  <c r="G1659" i="19" s="1"/>
  <c r="G1660" i="19" s="1"/>
  <c r="G1683" i="19"/>
  <c r="G1684" i="19" s="1"/>
  <c r="D1466" i="19"/>
  <c r="D1467" i="19" s="1"/>
  <c r="D1474" i="19"/>
  <c r="D1475" i="19" s="1"/>
  <c r="D1476" i="19" s="1"/>
  <c r="D1624" i="19"/>
  <c r="D1625" i="19" s="1"/>
  <c r="D1768" i="19"/>
  <c r="D1769" i="19" s="1"/>
  <c r="D1770" i="19" s="1"/>
  <c r="D1803" i="19" s="1"/>
  <c r="D1777" i="19"/>
  <c r="D1778" i="19" s="1"/>
  <c r="D1801" i="19" s="1"/>
  <c r="D1805" i="19" s="1"/>
  <c r="D385" i="19"/>
  <c r="D386" i="19"/>
  <c r="D387" i="19"/>
  <c r="F385" i="19"/>
  <c r="F387" i="19"/>
  <c r="D1846" i="19"/>
  <c r="D1852" i="19" s="1"/>
  <c r="D1854" i="19" s="1"/>
  <c r="D1845" i="19"/>
  <c r="F1846" i="19"/>
  <c r="F1852" i="19" s="1"/>
  <c r="F1854" i="19" s="1"/>
  <c r="F1845" i="19"/>
  <c r="C1907" i="19"/>
  <c r="C2058" i="19"/>
  <c r="C2068" i="19" s="1"/>
  <c r="E1907" i="19"/>
  <c r="E2058" i="19"/>
  <c r="E2068" i="19" s="1"/>
  <c r="G1907" i="19"/>
  <c r="G2058" i="19"/>
  <c r="G2068" i="19" s="1"/>
  <c r="C457" i="19"/>
  <c r="C465" i="19" s="1"/>
  <c r="C467" i="19" s="1"/>
  <c r="C458" i="19"/>
  <c r="G457" i="19"/>
  <c r="G465" i="19" s="1"/>
  <c r="G467" i="19" s="1"/>
  <c r="G458" i="19"/>
  <c r="E861" i="19"/>
  <c r="E880" i="19"/>
  <c r="E879" i="19" s="1"/>
  <c r="E1867" i="19"/>
  <c r="F1867" i="19"/>
  <c r="D1867" i="19"/>
  <c r="E457" i="19"/>
  <c r="E465" i="19" s="1"/>
  <c r="E467" i="19" s="1"/>
  <c r="E458" i="19"/>
  <c r="C861" i="19"/>
  <c r="C880" i="19"/>
  <c r="C879" i="19" s="1"/>
  <c r="C886" i="19" s="1"/>
  <c r="C887" i="19" s="1"/>
  <c r="G861" i="19"/>
  <c r="G880" i="19"/>
  <c r="G879" i="19" s="1"/>
  <c r="G886" i="19" s="1"/>
  <c r="C1867" i="19"/>
  <c r="G1867" i="19"/>
  <c r="D1869" i="19"/>
  <c r="D2031" i="19"/>
  <c r="F2012" i="19"/>
  <c r="F2211" i="19"/>
  <c r="F2217" i="19"/>
  <c r="C2012" i="19"/>
  <c r="C2211" i="19"/>
  <c r="C2217" i="19"/>
  <c r="E2012" i="19"/>
  <c r="E2217" i="19"/>
  <c r="G2012" i="19"/>
  <c r="G2217" i="19"/>
  <c r="D2012" i="19"/>
  <c r="D2217" i="19"/>
  <c r="D2211" i="19"/>
  <c r="A2155" i="12"/>
  <c r="A2151" i="12"/>
  <c r="A736" i="12"/>
  <c r="A735" i="12"/>
  <c r="A734" i="12"/>
  <c r="A733" i="12"/>
  <c r="A732" i="12"/>
  <c r="A731" i="12"/>
  <c r="A730" i="12"/>
  <c r="A729" i="12"/>
  <c r="A728" i="12"/>
  <c r="B1852" i="12"/>
  <c r="C1855" i="12" l="1"/>
  <c r="C1857" i="12"/>
  <c r="C1856" i="12"/>
  <c r="B1259" i="12"/>
  <c r="C1215" i="12"/>
  <c r="F2031" i="19"/>
  <c r="G1846" i="19"/>
  <c r="G1859" i="19" s="1"/>
  <c r="G1861" i="19" s="1"/>
  <c r="G1862" i="19" s="1"/>
  <c r="C1878" i="19"/>
  <c r="C2062" i="19" s="1"/>
  <c r="C1848" i="19"/>
  <c r="C2032" i="19" s="1"/>
  <c r="B1356" i="19"/>
  <c r="B1998" i="19"/>
  <c r="B1992" i="19"/>
  <c r="B1993" i="19" s="1"/>
  <c r="C1849" i="19"/>
  <c r="C1850" i="19" s="1"/>
  <c r="C1852" i="19" s="1"/>
  <c r="C1854" i="19" s="1"/>
  <c r="E660" i="19"/>
  <c r="E664" i="19" s="1"/>
  <c r="E666" i="19" s="1"/>
  <c r="E667" i="19" s="1"/>
  <c r="E1028" i="19"/>
  <c r="E1029" i="19" s="1"/>
  <c r="E1030" i="19" s="1"/>
  <c r="F1900" i="19"/>
  <c r="F2053" i="19"/>
  <c r="F2043" i="19"/>
  <c r="E789" i="19"/>
  <c r="E899" i="19" s="1"/>
  <c r="E900" i="19" s="1"/>
  <c r="E1033" i="19"/>
  <c r="E1034" i="19" s="1"/>
  <c r="E1006" i="19"/>
  <c r="E1009" i="19" s="1"/>
  <c r="E1010" i="19" s="1"/>
  <c r="E1049" i="19" s="1"/>
  <c r="E1056" i="19" s="1"/>
  <c r="G1162" i="19"/>
  <c r="G1166" i="19" s="1"/>
  <c r="E2041" i="19"/>
  <c r="D1620" i="19"/>
  <c r="G2062" i="19"/>
  <c r="D665" i="19"/>
  <c r="G995" i="19"/>
  <c r="G1053" i="19" s="1"/>
  <c r="G1213" i="19"/>
  <c r="G1218" i="19" s="1"/>
  <c r="D1699" i="19"/>
  <c r="D1706" i="19" s="1"/>
  <c r="G887" i="19"/>
  <c r="G838" i="19"/>
  <c r="G839" i="19" s="1"/>
  <c r="C2031" i="19"/>
  <c r="F664" i="19"/>
  <c r="F666" i="19" s="1"/>
  <c r="F667" i="19" s="1"/>
  <c r="F894" i="19"/>
  <c r="F899" i="19" s="1"/>
  <c r="F900" i="19" s="1"/>
  <c r="F838" i="19"/>
  <c r="F839" i="19" s="1"/>
  <c r="F857" i="19" s="1"/>
  <c r="D894" i="19"/>
  <c r="D899" i="19" s="1"/>
  <c r="D900" i="19" s="1"/>
  <c r="D917" i="19" s="1"/>
  <c r="D838" i="19"/>
  <c r="D839" i="19" s="1"/>
  <c r="D857" i="19" s="1"/>
  <c r="D1964" i="19"/>
  <c r="D1965" i="19" s="1"/>
  <c r="D1747" i="19"/>
  <c r="F917" i="19"/>
  <c r="F1055" i="19" s="1"/>
  <c r="F2086" i="19"/>
  <c r="F2134" i="19" s="1"/>
  <c r="F2138" i="19" s="1"/>
  <c r="C916" i="19"/>
  <c r="G1164" i="19"/>
  <c r="C1483" i="19"/>
  <c r="C1674" i="19"/>
  <c r="C1677" i="19" s="1"/>
  <c r="C1766" i="19"/>
  <c r="C1767" i="19" s="1"/>
  <c r="C1719" i="19"/>
  <c r="C1718" i="19" s="1"/>
  <c r="G1483" i="19"/>
  <c r="G1719" i="19"/>
  <c r="G1718" i="19" s="1"/>
  <c r="G1716" i="19" s="1"/>
  <c r="G1721" i="19" s="1"/>
  <c r="G1722" i="19" s="1"/>
  <c r="G1723" i="19" s="1"/>
  <c r="G1674" i="19"/>
  <c r="G1677" i="19" s="1"/>
  <c r="G1678" i="19" s="1"/>
  <c r="G1679" i="19" s="1"/>
  <c r="G1680" i="19" s="1"/>
  <c r="G1766" i="19"/>
  <c r="G1767" i="19" s="1"/>
  <c r="E1719" i="19"/>
  <c r="E1718" i="19" s="1"/>
  <c r="E1766" i="19"/>
  <c r="E1767" i="19" s="1"/>
  <c r="E1483" i="19"/>
  <c r="E1674" i="19"/>
  <c r="E1677" i="19" s="1"/>
  <c r="E1678" i="19" s="1"/>
  <c r="E1679" i="19" s="1"/>
  <c r="E1680" i="19" s="1"/>
  <c r="F1601" i="19"/>
  <c r="F1606" i="19" s="1"/>
  <c r="F1607" i="19" s="1"/>
  <c r="F1645" i="19" s="1"/>
  <c r="F1703" i="19" s="1"/>
  <c r="F1544" i="19"/>
  <c r="F1549" i="19" s="1"/>
  <c r="F1550" i="19" s="1"/>
  <c r="F1567" i="19" s="1"/>
  <c r="F1705" i="19" s="1"/>
  <c r="F1488" i="19"/>
  <c r="F1489" i="19" s="1"/>
  <c r="F1507" i="19" s="1"/>
  <c r="D1601" i="19"/>
  <c r="D1606" i="19" s="1"/>
  <c r="D1607" i="19" s="1"/>
  <c r="D1645" i="19" s="1"/>
  <c r="D1703" i="19" s="1"/>
  <c r="D1544" i="19"/>
  <c r="D1549" i="19" s="1"/>
  <c r="D1550" i="19" s="1"/>
  <c r="D1567" i="19" s="1"/>
  <c r="D1705" i="19" s="1"/>
  <c r="E1852" i="19"/>
  <c r="E1854" i="19" s="1"/>
  <c r="G857" i="19"/>
  <c r="F1872" i="19"/>
  <c r="F1873" i="19" s="1"/>
  <c r="E2054" i="19"/>
  <c r="E2073" i="19"/>
  <c r="E2074" i="19" s="1"/>
  <c r="E2063" i="19"/>
  <c r="E2064" i="19" s="1"/>
  <c r="G2085" i="19"/>
  <c r="G2034" i="19"/>
  <c r="G2044" i="19" s="1"/>
  <c r="G2054" i="19"/>
  <c r="G2073" i="19"/>
  <c r="G2074" i="19" s="1"/>
  <c r="G2063" i="19"/>
  <c r="G2064" i="19" s="1"/>
  <c r="C2054" i="19"/>
  <c r="C2073" i="19"/>
  <c r="C2074" i="19" s="1"/>
  <c r="C2063" i="19"/>
  <c r="C2064" i="19" s="1"/>
  <c r="C1213" i="19"/>
  <c r="C1218" i="19" s="1"/>
  <c r="D1872" i="19"/>
  <c r="D1873" i="19" s="1"/>
  <c r="G2041" i="19"/>
  <c r="G2083" i="19" s="1"/>
  <c r="G2096" i="19" s="1"/>
  <c r="G2099" i="19" s="1"/>
  <c r="D2086" i="19"/>
  <c r="D2134" i="19" s="1"/>
  <c r="D2138" i="19" s="1"/>
  <c r="C1049" i="19"/>
  <c r="C1056" i="19" s="1"/>
  <c r="F995" i="19"/>
  <c r="F1053" i="19" s="1"/>
  <c r="D1221" i="19"/>
  <c r="D1220" i="19"/>
  <c r="D1233" i="19" s="1"/>
  <c r="F1221" i="19"/>
  <c r="F1220" i="19"/>
  <c r="F1233" i="19" s="1"/>
  <c r="F1048" i="19"/>
  <c r="F1049" i="19" s="1"/>
  <c r="F1056" i="19" s="1"/>
  <c r="F1699" i="19"/>
  <c r="F1706" i="19" s="1"/>
  <c r="D1271" i="19"/>
  <c r="D2057" i="19"/>
  <c r="D2067" i="19" s="1"/>
  <c r="D1235" i="19"/>
  <c r="D1246" i="19" s="1"/>
  <c r="D1236" i="19"/>
  <c r="F1235" i="19"/>
  <c r="F1246" i="19" s="1"/>
  <c r="F2062" i="19" s="1"/>
  <c r="F1236" i="19"/>
  <c r="F1271" i="19"/>
  <c r="F2057" i="19"/>
  <c r="F2067" i="19" s="1"/>
  <c r="D994" i="19"/>
  <c r="D995" i="19" s="1"/>
  <c r="D1053" i="19" s="1"/>
  <c r="D1048" i="19"/>
  <c r="D1049" i="19" s="1"/>
  <c r="D1056" i="19" s="1"/>
  <c r="G488" i="19"/>
  <c r="G489" i="19" s="1"/>
  <c r="G1747" i="19"/>
  <c r="C1096" i="19"/>
  <c r="C1097" i="19" s="1"/>
  <c r="F1803" i="19"/>
  <c r="D2083" i="19"/>
  <c r="D2096" i="19" s="1"/>
  <c r="D2099" i="19" s="1"/>
  <c r="F2083" i="19"/>
  <c r="F2096" i="19" s="1"/>
  <c r="C2041" i="19"/>
  <c r="C2083" i="19" s="1"/>
  <c r="C2096" i="19" s="1"/>
  <c r="C2099" i="19" s="1"/>
  <c r="D1507" i="19"/>
  <c r="E1210" i="19"/>
  <c r="E1211" i="19" s="1"/>
  <c r="E2031" i="19" s="1"/>
  <c r="E2083" i="19" s="1"/>
  <c r="E2096" i="19" s="1"/>
  <c r="E665" i="19"/>
  <c r="G665" i="19"/>
  <c r="G664" i="19"/>
  <c r="G666" i="19" s="1"/>
  <c r="G667" i="19" s="1"/>
  <c r="C665" i="19"/>
  <c r="C664" i="19"/>
  <c r="C666" i="19" s="1"/>
  <c r="C667" i="19" s="1"/>
  <c r="E601" i="19"/>
  <c r="E602" i="19" s="1"/>
  <c r="E603" i="19" s="1"/>
  <c r="E2025" i="19"/>
  <c r="G601" i="19"/>
  <c r="G602" i="19" s="1"/>
  <c r="G603" i="19" s="1"/>
  <c r="G2025" i="19"/>
  <c r="C601" i="19"/>
  <c r="C602" i="19" s="1"/>
  <c r="C603" i="19" s="1"/>
  <c r="C2025" i="19"/>
  <c r="G1699" i="19"/>
  <c r="G1706" i="19" s="1"/>
  <c r="G2046" i="19"/>
  <c r="G2088" i="19" s="1"/>
  <c r="G2135" i="19" s="1"/>
  <c r="G2055" i="19"/>
  <c r="G2056" i="19" s="1"/>
  <c r="G2087" i="19"/>
  <c r="C2046" i="19"/>
  <c r="C2088" i="19" s="1"/>
  <c r="C2135" i="19" s="1"/>
  <c r="C2055" i="19"/>
  <c r="C2056" i="19" s="1"/>
  <c r="C2087" i="19"/>
  <c r="E1223" i="19"/>
  <c r="E2042" i="19" s="1"/>
  <c r="E2032" i="19"/>
  <c r="E2087" i="19"/>
  <c r="E2046" i="19"/>
  <c r="E2088" i="19" s="1"/>
  <c r="E2135" i="19" s="1"/>
  <c r="E2055" i="19"/>
  <c r="E2056" i="19" s="1"/>
  <c r="E1209" i="19"/>
  <c r="E1244" i="19"/>
  <c r="E2062" i="19" s="1"/>
  <c r="F1223" i="19"/>
  <c r="F1213" i="19"/>
  <c r="F1218" i="19" s="1"/>
  <c r="D1223" i="19"/>
  <c r="D1213" i="19"/>
  <c r="D1218" i="19" s="1"/>
  <c r="D2046" i="19"/>
  <c r="D2088" i="19" s="1"/>
  <c r="D2135" i="19" s="1"/>
  <c r="D2055" i="19"/>
  <c r="D2056" i="19" s="1"/>
  <c r="D2087" i="19"/>
  <c r="F2046" i="19"/>
  <c r="F2088" i="19" s="1"/>
  <c r="F2135" i="19" s="1"/>
  <c r="F2055" i="19"/>
  <c r="F2056" i="19" s="1"/>
  <c r="F2087" i="19"/>
  <c r="G1247" i="19"/>
  <c r="G1249" i="19" s="1"/>
  <c r="C2042" i="19"/>
  <c r="C2084" i="19" s="1"/>
  <c r="C2100" i="19" s="1"/>
  <c r="C2103" i="19" s="1"/>
  <c r="C1233" i="19"/>
  <c r="C2052" i="19" s="1"/>
  <c r="C2072" i="19" s="1"/>
  <c r="C1225" i="19"/>
  <c r="E1247" i="19"/>
  <c r="G1233" i="19"/>
  <c r="G2052" i="19" s="1"/>
  <c r="G2072" i="19" s="1"/>
  <c r="G1225" i="19"/>
  <c r="C1247" i="19"/>
  <c r="C1249" i="19" s="1"/>
  <c r="E1233" i="19"/>
  <c r="E2052" i="19" s="1"/>
  <c r="E2072" i="19" s="1"/>
  <c r="D2062" i="19"/>
  <c r="F488" i="19"/>
  <c r="F489" i="19" s="1"/>
  <c r="F1747" i="19"/>
  <c r="C974" i="19"/>
  <c r="C975" i="19" s="1"/>
  <c r="C1122" i="19"/>
  <c r="C1123" i="19" s="1"/>
  <c r="C1144" i="19"/>
  <c r="C1145" i="19" s="1"/>
  <c r="C824" i="19"/>
  <c r="C825" i="19" s="1"/>
  <c r="C826" i="19" s="1"/>
  <c r="C838" i="19"/>
  <c r="C839" i="19" s="1"/>
  <c r="C956" i="19"/>
  <c r="C957" i="19" s="1"/>
  <c r="C899" i="19"/>
  <c r="C900" i="19" s="1"/>
  <c r="C1066" i="19"/>
  <c r="C1071" i="19" s="1"/>
  <c r="C1072" i="19" s="1"/>
  <c r="C1073" i="19" s="1"/>
  <c r="C1150" i="19"/>
  <c r="C1151" i="19" s="1"/>
  <c r="C1113" i="19"/>
  <c r="C1114" i="19" s="1"/>
  <c r="C1115" i="19" s="1"/>
  <c r="C816" i="19"/>
  <c r="C817" i="19" s="1"/>
  <c r="C855" i="19"/>
  <c r="C856" i="19" s="1"/>
  <c r="C993" i="19"/>
  <c r="C994" i="19" s="1"/>
  <c r="G1592" i="19"/>
  <c r="G1593" i="19" s="1"/>
  <c r="G1594" i="19" s="1"/>
  <c r="G1624" i="19"/>
  <c r="G1625" i="19" s="1"/>
  <c r="G1768" i="19"/>
  <c r="G1769" i="19" s="1"/>
  <c r="G1770" i="19" s="1"/>
  <c r="G1777" i="19"/>
  <c r="G1778" i="19" s="1"/>
  <c r="G1798" i="19"/>
  <c r="G1799" i="19" s="1"/>
  <c r="G1524" i="19"/>
  <c r="G1525" i="19" s="1"/>
  <c r="G1466" i="19"/>
  <c r="G1467" i="19" s="1"/>
  <c r="G1586" i="19"/>
  <c r="G1587" i="19" s="1"/>
  <c r="G1488" i="19"/>
  <c r="G1489" i="19" s="1"/>
  <c r="G1505" i="19"/>
  <c r="G1506" i="19" s="1"/>
  <c r="G1474" i="19"/>
  <c r="G1475" i="19" s="1"/>
  <c r="G1476" i="19" s="1"/>
  <c r="G1643" i="19"/>
  <c r="G1644" i="19" s="1"/>
  <c r="C1656" i="19"/>
  <c r="C1659" i="19" s="1"/>
  <c r="C1660" i="19" s="1"/>
  <c r="C1678" i="19"/>
  <c r="C1679" i="19" s="1"/>
  <c r="C1680" i="19" s="1"/>
  <c r="C1683" i="19"/>
  <c r="C1684" i="19" s="1"/>
  <c r="C1666" i="19"/>
  <c r="C1667" i="19" s="1"/>
  <c r="C1668" i="19" s="1"/>
  <c r="G1536" i="19"/>
  <c r="G1537" i="19" s="1"/>
  <c r="G1619" i="19"/>
  <c r="G1620" i="19" s="1"/>
  <c r="F1859" i="19"/>
  <c r="F2032" i="19"/>
  <c r="D1859" i="19"/>
  <c r="D2032" i="19"/>
  <c r="G1879" i="19"/>
  <c r="G2051" i="19"/>
  <c r="G2071" i="19" s="1"/>
  <c r="G1872" i="19"/>
  <c r="G1873" i="19" s="1"/>
  <c r="C1862" i="19"/>
  <c r="C1890" i="19"/>
  <c r="C1891" i="19" s="1"/>
  <c r="C1892" i="19" s="1"/>
  <c r="D1879" i="19"/>
  <c r="D1883" i="19" s="1"/>
  <c r="F1879" i="19"/>
  <c r="F1883" i="19" s="1"/>
  <c r="E1862" i="19"/>
  <c r="E1890" i="19"/>
  <c r="E1891" i="19" s="1"/>
  <c r="E1892" i="19" s="1"/>
  <c r="F2099" i="19"/>
  <c r="F2112" i="19"/>
  <c r="F2118" i="19" s="1"/>
  <c r="F2115" i="19"/>
  <c r="F2116" i="19" s="1"/>
  <c r="G2112" i="19"/>
  <c r="G2118" i="19" s="1"/>
  <c r="G1890" i="19"/>
  <c r="G1891" i="19" s="1"/>
  <c r="G1892" i="19" s="1"/>
  <c r="C1879" i="19"/>
  <c r="C2051" i="19"/>
  <c r="C2071" i="19" s="1"/>
  <c r="C1872" i="19"/>
  <c r="C1873" i="19" s="1"/>
  <c r="G874" i="19"/>
  <c r="G875" i="19" s="1"/>
  <c r="G917" i="19" s="1"/>
  <c r="G2019" i="19"/>
  <c r="G2086" i="19" s="1"/>
  <c r="G2134" i="19" s="1"/>
  <c r="G2138" i="19" s="1"/>
  <c r="G2142" i="19" s="1"/>
  <c r="C874" i="19"/>
  <c r="C875" i="19" s="1"/>
  <c r="C2019" i="19"/>
  <c r="C2086" i="19" s="1"/>
  <c r="C2134" i="19" s="1"/>
  <c r="C2138" i="19" s="1"/>
  <c r="C2139" i="19" s="1"/>
  <c r="C2140" i="19" s="1"/>
  <c r="G409" i="19"/>
  <c r="G408" i="19"/>
  <c r="E409" i="19"/>
  <c r="E408" i="19"/>
  <c r="C409" i="19"/>
  <c r="C408" i="19"/>
  <c r="E468" i="19"/>
  <c r="E1879" i="19"/>
  <c r="E2051" i="19"/>
  <c r="E2071" i="19" s="1"/>
  <c r="E1872" i="19"/>
  <c r="E1873" i="19" s="1"/>
  <c r="E874" i="19"/>
  <c r="E875" i="19" s="1"/>
  <c r="E2019" i="19"/>
  <c r="E2086" i="19" s="1"/>
  <c r="E2134" i="19" s="1"/>
  <c r="E2138" i="19" s="1"/>
  <c r="G468" i="19"/>
  <c r="C468" i="19"/>
  <c r="F1052" i="19"/>
  <c r="F1057" i="19" s="1"/>
  <c r="F1165" i="19" s="1"/>
  <c r="F1167" i="19" s="1"/>
  <c r="F1168" i="19" s="1"/>
  <c r="F2139" i="19"/>
  <c r="F2140" i="19" s="1"/>
  <c r="F2142" i="19"/>
  <c r="D1702" i="19"/>
  <c r="D1707" i="19" s="1"/>
  <c r="D1804" i="19" s="1"/>
  <c r="D1806" i="19" s="1"/>
  <c r="D1807" i="19" s="1"/>
  <c r="D1052" i="19"/>
  <c r="D666" i="19"/>
  <c r="D667" i="19" s="1"/>
  <c r="G1052" i="19"/>
  <c r="B1755" i="12"/>
  <c r="B1758" i="12" s="1"/>
  <c r="A1755" i="12"/>
  <c r="A1754" i="12"/>
  <c r="A1758" i="12"/>
  <c r="A1760" i="12"/>
  <c r="A1761" i="12"/>
  <c r="A1748" i="12"/>
  <c r="D1568" i="19" l="1"/>
  <c r="D1569" i="19" s="1"/>
  <c r="F918" i="19"/>
  <c r="F919" i="19" s="1"/>
  <c r="G2042" i="19"/>
  <c r="G2084" i="19" s="1"/>
  <c r="G2100" i="19" s="1"/>
  <c r="G2103" i="19" s="1"/>
  <c r="G1852" i="19"/>
  <c r="G1854" i="19" s="1"/>
  <c r="G2032" i="19"/>
  <c r="C917" i="19"/>
  <c r="E1213" i="19"/>
  <c r="E1218" i="19" s="1"/>
  <c r="B1358" i="19"/>
  <c r="B1359" i="19" s="1"/>
  <c r="B1364" i="19"/>
  <c r="E1656" i="19"/>
  <c r="E1659" i="19" s="1"/>
  <c r="E1660" i="19" s="1"/>
  <c r="E1683" i="19"/>
  <c r="E1684" i="19" s="1"/>
  <c r="F2073" i="19"/>
  <c r="F2074" i="19" s="1"/>
  <c r="F2054" i="19"/>
  <c r="F2063" i="19"/>
  <c r="F2064" i="19" s="1"/>
  <c r="E1666" i="19"/>
  <c r="E1667" i="19" s="1"/>
  <c r="E1668" i="19" s="1"/>
  <c r="E1150" i="19"/>
  <c r="E1151" i="19" s="1"/>
  <c r="E915" i="19"/>
  <c r="E916" i="19" s="1"/>
  <c r="E816" i="19"/>
  <c r="E817" i="19" s="1"/>
  <c r="E1096" i="19"/>
  <c r="E1097" i="19" s="1"/>
  <c r="E993" i="19"/>
  <c r="E994" i="19" s="1"/>
  <c r="E1066" i="19"/>
  <c r="E1071" i="19" s="1"/>
  <c r="E1072" i="19" s="1"/>
  <c r="E1073" i="19" s="1"/>
  <c r="E855" i="19"/>
  <c r="E856" i="19" s="1"/>
  <c r="E838" i="19"/>
  <c r="E839" i="19" s="1"/>
  <c r="E969" i="19"/>
  <c r="E970" i="19" s="1"/>
  <c r="E974" i="19"/>
  <c r="E975" i="19" s="1"/>
  <c r="E1144" i="19"/>
  <c r="E1145" i="19" s="1"/>
  <c r="E824" i="19"/>
  <c r="E825" i="19" s="1"/>
  <c r="E826" i="19" s="1"/>
  <c r="E956" i="19"/>
  <c r="E957" i="19" s="1"/>
  <c r="E1122" i="19"/>
  <c r="E1123" i="19" s="1"/>
  <c r="E1113" i="19"/>
  <c r="E1114" i="19" s="1"/>
  <c r="E1115" i="19" s="1"/>
  <c r="E1164" i="19" s="1"/>
  <c r="E886" i="19"/>
  <c r="E887" i="19" s="1"/>
  <c r="E917" i="19" s="1"/>
  <c r="D1055" i="19"/>
  <c r="D918" i="19"/>
  <c r="D919" i="19" s="1"/>
  <c r="C2115" i="19"/>
  <c r="C2116" i="19" s="1"/>
  <c r="E1601" i="19"/>
  <c r="E1606" i="19" s="1"/>
  <c r="E1607" i="19" s="1"/>
  <c r="E1544" i="19"/>
  <c r="G1601" i="19"/>
  <c r="G1606" i="19" s="1"/>
  <c r="G1607" i="19" s="1"/>
  <c r="G1544" i="19"/>
  <c r="G1549" i="19" s="1"/>
  <c r="G1550" i="19" s="1"/>
  <c r="G1567" i="19" s="1"/>
  <c r="G1705" i="19" s="1"/>
  <c r="C1601" i="19"/>
  <c r="C1544" i="19"/>
  <c r="F1702" i="19"/>
  <c r="F1707" i="19" s="1"/>
  <c r="F1804" i="19" s="1"/>
  <c r="F1806" i="19" s="1"/>
  <c r="F1807" i="19" s="1"/>
  <c r="F1568" i="19"/>
  <c r="F1569" i="19" s="1"/>
  <c r="E1225" i="19"/>
  <c r="E1226" i="19" s="1"/>
  <c r="E1249" i="19"/>
  <c r="G2139" i="19"/>
  <c r="G2140" i="19" s="1"/>
  <c r="E2084" i="19"/>
  <c r="E2100" i="19" s="1"/>
  <c r="E2103" i="19" s="1"/>
  <c r="E2120" i="19" s="1"/>
  <c r="E2122" i="19" s="1"/>
  <c r="E2124" i="19" s="1"/>
  <c r="C1237" i="19"/>
  <c r="C1238" i="19" s="1"/>
  <c r="G2115" i="19"/>
  <c r="G2116" i="19" s="1"/>
  <c r="D2112" i="19"/>
  <c r="D2118" i="19" s="1"/>
  <c r="D1057" i="19"/>
  <c r="D1165" i="19" s="1"/>
  <c r="D1167" i="19" s="1"/>
  <c r="D1168" i="19" s="1"/>
  <c r="D1175" i="19" s="1"/>
  <c r="G2156" i="19"/>
  <c r="G2169" i="19" s="1"/>
  <c r="G2171" i="19" s="1"/>
  <c r="C2112" i="19"/>
  <c r="C2118" i="19" s="1"/>
  <c r="D2115" i="19"/>
  <c r="D2116" i="19" s="1"/>
  <c r="D1225" i="19"/>
  <c r="D1226" i="19" s="1"/>
  <c r="F1225" i="19"/>
  <c r="F1226" i="19" s="1"/>
  <c r="D2142" i="19"/>
  <c r="D2139" i="19"/>
  <c r="D2140" i="19" s="1"/>
  <c r="F1273" i="19"/>
  <c r="F2058" i="19"/>
  <c r="F2068" i="19" s="1"/>
  <c r="D1273" i="19"/>
  <c r="D2058" i="19"/>
  <c r="D2068" i="19" s="1"/>
  <c r="F1234" i="19"/>
  <c r="F2051" i="19" s="1"/>
  <c r="F2071" i="19" s="1"/>
  <c r="F2041" i="19"/>
  <c r="D1234" i="19"/>
  <c r="D2051" i="19" s="1"/>
  <c r="D2071" i="19" s="1"/>
  <c r="D2041" i="19"/>
  <c r="F1247" i="19"/>
  <c r="F1249" i="19" s="1"/>
  <c r="D1247" i="19"/>
  <c r="D1249" i="19" s="1"/>
  <c r="F2052" i="19"/>
  <c r="F2072" i="19" s="1"/>
  <c r="D2052" i="19"/>
  <c r="D2072" i="19" s="1"/>
  <c r="C2156" i="19"/>
  <c r="C2169" i="19" s="1"/>
  <c r="C2171" i="19" s="1"/>
  <c r="G1803" i="19"/>
  <c r="C1164" i="19"/>
  <c r="E2115" i="19"/>
  <c r="E2116" i="19" s="1"/>
  <c r="E2099" i="19"/>
  <c r="E2112" i="19"/>
  <c r="E2118" i="19" s="1"/>
  <c r="C1162" i="19"/>
  <c r="C1166" i="19" s="1"/>
  <c r="C2142" i="19"/>
  <c r="C995" i="19"/>
  <c r="C1053" i="19" s="1"/>
  <c r="E1256" i="19"/>
  <c r="E1257" i="19" s="1"/>
  <c r="E1258" i="19" s="1"/>
  <c r="G1237" i="19"/>
  <c r="G1238" i="19" s="1"/>
  <c r="G1256" i="19"/>
  <c r="G1257" i="19" s="1"/>
  <c r="G1258" i="19" s="1"/>
  <c r="G1226" i="19"/>
  <c r="G2105" i="19"/>
  <c r="G2120" i="19"/>
  <c r="G2122" i="19" s="1"/>
  <c r="G2124" i="19" s="1"/>
  <c r="E1237" i="19"/>
  <c r="E1238" i="19" s="1"/>
  <c r="C1256" i="19"/>
  <c r="C1257" i="19" s="1"/>
  <c r="C1258" i="19" s="1"/>
  <c r="C1226" i="19"/>
  <c r="C2105" i="19"/>
  <c r="C2120" i="19"/>
  <c r="C2122" i="19" s="1"/>
  <c r="C2124" i="19" s="1"/>
  <c r="D1256" i="19"/>
  <c r="D1257" i="19" s="1"/>
  <c r="D1258" i="19" s="1"/>
  <c r="F1256" i="19"/>
  <c r="F1257" i="19" s="1"/>
  <c r="F1258" i="19" s="1"/>
  <c r="C1699" i="19"/>
  <c r="C1706" i="19" s="1"/>
  <c r="G1645" i="19"/>
  <c r="G1703" i="19" s="1"/>
  <c r="G1507" i="19"/>
  <c r="G1702" i="19" s="1"/>
  <c r="G1801" i="19"/>
  <c r="G1805" i="19" s="1"/>
  <c r="C857" i="19"/>
  <c r="C1052" i="19" s="1"/>
  <c r="C1592" i="19"/>
  <c r="C1593" i="19" s="1"/>
  <c r="C1594" i="19" s="1"/>
  <c r="C1624" i="19"/>
  <c r="C1625" i="19" s="1"/>
  <c r="C1768" i="19"/>
  <c r="C1769" i="19" s="1"/>
  <c r="C1770" i="19" s="1"/>
  <c r="C1777" i="19"/>
  <c r="C1778" i="19" s="1"/>
  <c r="C1798" i="19"/>
  <c r="C1799" i="19" s="1"/>
  <c r="C1524" i="19"/>
  <c r="C1525" i="19" s="1"/>
  <c r="C1466" i="19"/>
  <c r="C1467" i="19" s="1"/>
  <c r="C1586" i="19"/>
  <c r="C1587" i="19" s="1"/>
  <c r="C1488" i="19"/>
  <c r="C1489" i="19" s="1"/>
  <c r="C1716" i="19"/>
  <c r="C1721" i="19" s="1"/>
  <c r="C1722" i="19" s="1"/>
  <c r="C1723" i="19" s="1"/>
  <c r="C1505" i="19"/>
  <c r="C1506" i="19" s="1"/>
  <c r="C1474" i="19"/>
  <c r="C1475" i="19" s="1"/>
  <c r="C1476" i="19" s="1"/>
  <c r="C1643" i="19"/>
  <c r="C1644" i="19" s="1"/>
  <c r="C1619" i="19"/>
  <c r="C1620" i="19" s="1"/>
  <c r="C1565" i="19"/>
  <c r="C1566" i="19" s="1"/>
  <c r="C1536" i="19"/>
  <c r="C1537" i="19" s="1"/>
  <c r="C1606" i="19"/>
  <c r="C1607" i="19" s="1"/>
  <c r="C1746" i="19"/>
  <c r="C1549" i="19"/>
  <c r="C1550" i="19" s="1"/>
  <c r="D408" i="19"/>
  <c r="D409" i="19"/>
  <c r="F408" i="19"/>
  <c r="F409" i="19"/>
  <c r="D2042" i="19"/>
  <c r="D2084" i="19" s="1"/>
  <c r="D2100" i="19" s="1"/>
  <c r="D1861" i="19"/>
  <c r="F2042" i="19"/>
  <c r="F2084" i="19" s="1"/>
  <c r="F2100" i="19" s="1"/>
  <c r="F1861" i="19"/>
  <c r="C1055" i="19"/>
  <c r="C1057" i="19" s="1"/>
  <c r="C1165" i="19" s="1"/>
  <c r="G1055" i="19"/>
  <c r="G1057" i="19" s="1"/>
  <c r="G1165" i="19" s="1"/>
  <c r="G1167" i="19" s="1"/>
  <c r="G1168" i="19" s="1"/>
  <c r="G918" i="19"/>
  <c r="G919" i="19" s="1"/>
  <c r="G1956" i="19"/>
  <c r="G2005" i="19" s="1"/>
  <c r="G1957" i="19"/>
  <c r="G2158" i="19"/>
  <c r="G491" i="19"/>
  <c r="G492" i="19" s="1"/>
  <c r="G494" i="19" s="1"/>
  <c r="E2139" i="19"/>
  <c r="E2140" i="19" s="1"/>
  <c r="E2142" i="19"/>
  <c r="E2061" i="19"/>
  <c r="E1883" i="19"/>
  <c r="C2061" i="19"/>
  <c r="C1883" i="19"/>
  <c r="E1956" i="19"/>
  <c r="E2005" i="19" s="1"/>
  <c r="E1957" i="19"/>
  <c r="C1956" i="19"/>
  <c r="C2005" i="19" s="1"/>
  <c r="C1957" i="19"/>
  <c r="G2061" i="19"/>
  <c r="G1883" i="19"/>
  <c r="C2160" i="19"/>
  <c r="C2162" i="19" s="1"/>
  <c r="C2177" i="19"/>
  <c r="C2179" i="19" s="1"/>
  <c r="F668" i="19"/>
  <c r="F669" i="19" s="1"/>
  <c r="F670" i="19" s="1"/>
  <c r="D668" i="19"/>
  <c r="D669" i="19" s="1"/>
  <c r="D670" i="19" s="1"/>
  <c r="F1811" i="19"/>
  <c r="F1820" i="19" s="1"/>
  <c r="F1821" i="19" s="1"/>
  <c r="F1814" i="19"/>
  <c r="F1819" i="19" s="1"/>
  <c r="E668" i="19"/>
  <c r="E669" i="19" s="1"/>
  <c r="E670" i="19" s="1"/>
  <c r="G668" i="19"/>
  <c r="G669" i="19" s="1"/>
  <c r="G670" i="19" s="1"/>
  <c r="F2160" i="19"/>
  <c r="F2162" i="19" s="1"/>
  <c r="F2177" i="19"/>
  <c r="F2179" i="19" s="1"/>
  <c r="G2160" i="19"/>
  <c r="G2162" i="19" s="1"/>
  <c r="G2177" i="19"/>
  <c r="G2179" i="19" s="1"/>
  <c r="C668" i="19"/>
  <c r="C669" i="19" s="1"/>
  <c r="C670" i="19" s="1"/>
  <c r="D1811" i="19"/>
  <c r="D1820" i="19" s="1"/>
  <c r="D1821" i="19" s="1"/>
  <c r="D1814" i="19"/>
  <c r="D1819" i="19" s="1"/>
  <c r="F1172" i="19"/>
  <c r="F1181" i="19" s="1"/>
  <c r="F1182" i="19" s="1"/>
  <c r="F1175" i="19"/>
  <c r="G1761" i="12"/>
  <c r="B1769" i="12"/>
  <c r="A1771" i="12"/>
  <c r="B1761" i="12"/>
  <c r="D1761" i="12"/>
  <c r="F1761" i="12"/>
  <c r="C1761" i="12"/>
  <c r="E1761" i="12"/>
  <c r="B918" i="12"/>
  <c r="I392" i="7"/>
  <c r="H392" i="7"/>
  <c r="I391" i="7"/>
  <c r="H391" i="7"/>
  <c r="F319" i="7"/>
  <c r="I389" i="7"/>
  <c r="H389" i="7"/>
  <c r="A371" i="7"/>
  <c r="A370" i="7"/>
  <c r="A369" i="7"/>
  <c r="A368" i="7"/>
  <c r="A367" i="7"/>
  <c r="A366" i="7"/>
  <c r="A365" i="7"/>
  <c r="A364" i="7"/>
  <c r="C370" i="7"/>
  <c r="C368" i="7"/>
  <c r="C366" i="7"/>
  <c r="C364" i="7"/>
  <c r="C362" i="7"/>
  <c r="F325" i="7"/>
  <c r="E325" i="7"/>
  <c r="D325" i="7"/>
  <c r="C325" i="7"/>
  <c r="F323" i="7"/>
  <c r="E323" i="7"/>
  <c r="D323" i="7"/>
  <c r="C323" i="7"/>
  <c r="F321" i="7"/>
  <c r="E321" i="7"/>
  <c r="D321" i="7"/>
  <c r="C321" i="7"/>
  <c r="E319" i="7"/>
  <c r="D319" i="7"/>
  <c r="C319" i="7"/>
  <c r="A319" i="7"/>
  <c r="F317" i="7"/>
  <c r="E317" i="7"/>
  <c r="D317" i="7"/>
  <c r="C317" i="7"/>
  <c r="A326" i="7"/>
  <c r="A325" i="7"/>
  <c r="A324" i="7"/>
  <c r="A323" i="7"/>
  <c r="A322" i="7"/>
  <c r="A321" i="7"/>
  <c r="A320" i="7"/>
  <c r="H283" i="7"/>
  <c r="H281" i="7"/>
  <c r="H279" i="7"/>
  <c r="H277" i="7"/>
  <c r="G277" i="7"/>
  <c r="D1172" i="19" l="1"/>
  <c r="D1181" i="19" s="1"/>
  <c r="D1182" i="19" s="1"/>
  <c r="D1184" i="19" s="1"/>
  <c r="D1185" i="19" s="1"/>
  <c r="C2158" i="19"/>
  <c r="C2188" i="19" s="1"/>
  <c r="G1707" i="19"/>
  <c r="G1804" i="19" s="1"/>
  <c r="G1806" i="19" s="1"/>
  <c r="G1807" i="19" s="1"/>
  <c r="G1811" i="19" s="1"/>
  <c r="G1820" i="19" s="1"/>
  <c r="G1821" i="19" s="1"/>
  <c r="G1823" i="19" s="1"/>
  <c r="G1824" i="19" s="1"/>
  <c r="G1826" i="19" s="1"/>
  <c r="G1828" i="19" s="1"/>
  <c r="G2004" i="19" s="1"/>
  <c r="E2105" i="19"/>
  <c r="E2144" i="19" s="1"/>
  <c r="E2193" i="19" s="1"/>
  <c r="E2156" i="19"/>
  <c r="E2158" i="19" s="1"/>
  <c r="E857" i="19"/>
  <c r="E1052" i="19" s="1"/>
  <c r="E1699" i="19"/>
  <c r="E1706" i="19" s="1"/>
  <c r="E1055" i="19"/>
  <c r="E1549" i="19"/>
  <c r="E1550" i="19" s="1"/>
  <c r="E1746" i="19"/>
  <c r="E1536" i="19"/>
  <c r="E1537" i="19" s="1"/>
  <c r="E1592" i="19"/>
  <c r="E1593" i="19" s="1"/>
  <c r="E1594" i="19" s="1"/>
  <c r="E1768" i="19"/>
  <c r="E1769" i="19" s="1"/>
  <c r="E1770" i="19" s="1"/>
  <c r="E1803" i="19" s="1"/>
  <c r="E1474" i="19"/>
  <c r="E1475" i="19" s="1"/>
  <c r="E1476" i="19" s="1"/>
  <c r="E1798" i="19"/>
  <c r="E1799" i="19" s="1"/>
  <c r="E1466" i="19"/>
  <c r="E1467" i="19" s="1"/>
  <c r="E1488" i="19"/>
  <c r="E1489" i="19" s="1"/>
  <c r="E1643" i="19"/>
  <c r="E1644" i="19" s="1"/>
  <c r="E1619" i="19"/>
  <c r="E1620" i="19" s="1"/>
  <c r="E1624" i="19"/>
  <c r="E1625" i="19" s="1"/>
  <c r="E1777" i="19"/>
  <c r="E1778" i="19" s="1"/>
  <c r="E1505" i="19"/>
  <c r="E1506" i="19" s="1"/>
  <c r="E1524" i="19"/>
  <c r="E1525" i="19" s="1"/>
  <c r="E1586" i="19"/>
  <c r="E1587" i="19" s="1"/>
  <c r="E1716" i="19"/>
  <c r="E1721" i="19" s="1"/>
  <c r="E1722" i="19" s="1"/>
  <c r="E1723" i="19" s="1"/>
  <c r="E1565" i="19"/>
  <c r="E1566" i="19" s="1"/>
  <c r="E995" i="19"/>
  <c r="E1053" i="19" s="1"/>
  <c r="E1162" i="19"/>
  <c r="E1166" i="19" s="1"/>
  <c r="D1237" i="19"/>
  <c r="D1238" i="19" s="1"/>
  <c r="F1237" i="19"/>
  <c r="F1238" i="19" s="1"/>
  <c r="D2061" i="19"/>
  <c r="D2177" i="19"/>
  <c r="D2179" i="19" s="1"/>
  <c r="D2160" i="19"/>
  <c r="D2162" i="19" s="1"/>
  <c r="F2061" i="19"/>
  <c r="C1803" i="19"/>
  <c r="C1167" i="19"/>
  <c r="C1168" i="19" s="1"/>
  <c r="C1175" i="19" s="1"/>
  <c r="C1180" i="19" s="1"/>
  <c r="G1172" i="19"/>
  <c r="G1181" i="19" s="1"/>
  <c r="G1182" i="19" s="1"/>
  <c r="G1184" i="19" s="1"/>
  <c r="G1185" i="19" s="1"/>
  <c r="G1175" i="19"/>
  <c r="G1180" i="19" s="1"/>
  <c r="G2144" i="19"/>
  <c r="G2193" i="19" s="1"/>
  <c r="C918" i="19"/>
  <c r="C919" i="19" s="1"/>
  <c r="C2144" i="19"/>
  <c r="C2193" i="19" s="1"/>
  <c r="F1323" i="19"/>
  <c r="F1322" i="19"/>
  <c r="F1371" i="19" s="1"/>
  <c r="F1377" i="19" s="1"/>
  <c r="D1323" i="19"/>
  <c r="D1322" i="19"/>
  <c r="D1371" i="19" s="1"/>
  <c r="D1377" i="19" s="1"/>
  <c r="G1323" i="19"/>
  <c r="G1322" i="19"/>
  <c r="G1371" i="19" s="1"/>
  <c r="G1377" i="19" s="1"/>
  <c r="E1323" i="19"/>
  <c r="E1322" i="19"/>
  <c r="E1371" i="19" s="1"/>
  <c r="E1377" i="19" s="1"/>
  <c r="C1323" i="19"/>
  <c r="C1322" i="19"/>
  <c r="C1371" i="19" s="1"/>
  <c r="C1377" i="19" s="1"/>
  <c r="C1567" i="19"/>
  <c r="C1645" i="19"/>
  <c r="C1703" i="19" s="1"/>
  <c r="C1507" i="19"/>
  <c r="C1702" i="19" s="1"/>
  <c r="C1801" i="19"/>
  <c r="C1805" i="19" s="1"/>
  <c r="G1568" i="19"/>
  <c r="G1569" i="19" s="1"/>
  <c r="C1747" i="19"/>
  <c r="C488" i="19"/>
  <c r="C489" i="19" s="1"/>
  <c r="C491" i="19" s="1"/>
  <c r="C492" i="19" s="1"/>
  <c r="C494" i="19" s="1"/>
  <c r="C514" i="19" s="1"/>
  <c r="C527" i="19" s="1"/>
  <c r="C528" i="19" s="1"/>
  <c r="F491" i="19"/>
  <c r="F492" i="19" s="1"/>
  <c r="F494" i="19" s="1"/>
  <c r="D491" i="19"/>
  <c r="D492" i="19" s="1"/>
  <c r="D494" i="19" s="1"/>
  <c r="F1890" i="19"/>
  <c r="F1891" i="19" s="1"/>
  <c r="F1892" i="19" s="1"/>
  <c r="F1862" i="19"/>
  <c r="D1890" i="19"/>
  <c r="D1891" i="19" s="1"/>
  <c r="D1892" i="19" s="1"/>
  <c r="D1862" i="19"/>
  <c r="F2103" i="19"/>
  <c r="F2156" i="19"/>
  <c r="D2103" i="19"/>
  <c r="D2156" i="19"/>
  <c r="C2011" i="19"/>
  <c r="E2011" i="19"/>
  <c r="E2160" i="19"/>
  <c r="E2162" i="19" s="1"/>
  <c r="E2177" i="19"/>
  <c r="E2179" i="19" s="1"/>
  <c r="G2011" i="19"/>
  <c r="G514" i="19"/>
  <c r="G527" i="19" s="1"/>
  <c r="G528" i="19" s="1"/>
  <c r="G518" i="19"/>
  <c r="G526" i="19" s="1"/>
  <c r="G562" i="19" s="1"/>
  <c r="G692" i="19" s="1"/>
  <c r="F1184" i="19"/>
  <c r="F1185" i="19" s="1"/>
  <c r="G2188" i="19"/>
  <c r="D1180" i="19"/>
  <c r="F1180" i="19"/>
  <c r="D1823" i="19"/>
  <c r="D1824" i="19" s="1"/>
  <c r="F1823" i="19"/>
  <c r="F1824" i="19" s="1"/>
  <c r="E283" i="7"/>
  <c r="D283" i="7"/>
  <c r="E281" i="7"/>
  <c r="D281" i="7"/>
  <c r="A281" i="7"/>
  <c r="E279" i="7"/>
  <c r="D279" i="7"/>
  <c r="A279" i="7"/>
  <c r="E277" i="7"/>
  <c r="D277" i="7"/>
  <c r="A277" i="7"/>
  <c r="E275" i="7"/>
  <c r="D275" i="7"/>
  <c r="A284" i="7"/>
  <c r="A282" i="7"/>
  <c r="A283" i="7"/>
  <c r="A280" i="7"/>
  <c r="A278" i="7"/>
  <c r="E1057" i="19" l="1"/>
  <c r="E1165" i="19" s="1"/>
  <c r="E1167" i="19" s="1"/>
  <c r="E1168" i="19" s="1"/>
  <c r="E1172" i="19" s="1"/>
  <c r="E1181" i="19" s="1"/>
  <c r="E1182" i="19" s="1"/>
  <c r="E1184" i="19" s="1"/>
  <c r="E1185" i="19" s="1"/>
  <c r="E1187" i="19" s="1"/>
  <c r="E1189" i="19" s="1"/>
  <c r="E1370" i="19" s="1"/>
  <c r="E918" i="19"/>
  <c r="E919" i="19" s="1"/>
  <c r="E2169" i="19"/>
  <c r="E2171" i="19" s="1"/>
  <c r="E1567" i="19"/>
  <c r="E1507" i="19"/>
  <c r="E1702" i="19" s="1"/>
  <c r="E1801" i="19"/>
  <c r="E1805" i="19" s="1"/>
  <c r="E1645" i="19"/>
  <c r="E1703" i="19" s="1"/>
  <c r="E1747" i="19"/>
  <c r="E488" i="19"/>
  <c r="E489" i="19" s="1"/>
  <c r="E491" i="19" s="1"/>
  <c r="E492" i="19" s="1"/>
  <c r="E494" i="19" s="1"/>
  <c r="G2216" i="19"/>
  <c r="G1814" i="19"/>
  <c r="G698" i="19"/>
  <c r="G700" i="19" s="1"/>
  <c r="G701" i="19" s="1"/>
  <c r="C1172" i="19"/>
  <c r="C1181" i="19" s="1"/>
  <c r="C1182" i="19" s="1"/>
  <c r="C1184" i="19" s="1"/>
  <c r="C1185" i="19" s="1"/>
  <c r="C1187" i="19" s="1"/>
  <c r="C1189" i="19" s="1"/>
  <c r="C1370" i="19" s="1"/>
  <c r="C518" i="19"/>
  <c r="C526" i="19" s="1"/>
  <c r="C562" i="19" s="1"/>
  <c r="E2188" i="19"/>
  <c r="E2216" i="19"/>
  <c r="C2216" i="19"/>
  <c r="C710" i="19"/>
  <c r="C712" i="19" s="1"/>
  <c r="C713" i="19" s="1"/>
  <c r="G710" i="19"/>
  <c r="G712" i="19" s="1"/>
  <c r="G713" i="19" s="1"/>
  <c r="C1705" i="19"/>
  <c r="C1707" i="19" s="1"/>
  <c r="C1804" i="19" s="1"/>
  <c r="C1806" i="19" s="1"/>
  <c r="C1807" i="19" s="1"/>
  <c r="C1568" i="19"/>
  <c r="C1569" i="19" s="1"/>
  <c r="D518" i="19"/>
  <c r="D526" i="19" s="1"/>
  <c r="D562" i="19" s="1"/>
  <c r="D514" i="19"/>
  <c r="D527" i="19" s="1"/>
  <c r="D528" i="19" s="1"/>
  <c r="F518" i="19"/>
  <c r="F526" i="19" s="1"/>
  <c r="F562" i="19" s="1"/>
  <c r="F514" i="19"/>
  <c r="F527" i="19" s="1"/>
  <c r="F528" i="19" s="1"/>
  <c r="D2158" i="19"/>
  <c r="D2169" i="19"/>
  <c r="D2171" i="19" s="1"/>
  <c r="F2158" i="19"/>
  <c r="F2169" i="19"/>
  <c r="F2171" i="19" s="1"/>
  <c r="D2120" i="19"/>
  <c r="D2122" i="19" s="1"/>
  <c r="D2124" i="19" s="1"/>
  <c r="D2105" i="19"/>
  <c r="F2120" i="19"/>
  <c r="F2122" i="19" s="1"/>
  <c r="F2124" i="19" s="1"/>
  <c r="F2105" i="19"/>
  <c r="D1957" i="19"/>
  <c r="D1956" i="19"/>
  <c r="D2005" i="19" s="1"/>
  <c r="F1957" i="19"/>
  <c r="F1956" i="19"/>
  <c r="F2005" i="19" s="1"/>
  <c r="C704" i="19"/>
  <c r="C706" i="19" s="1"/>
  <c r="C707" i="19" s="1"/>
  <c r="G704" i="19"/>
  <c r="G706" i="19" s="1"/>
  <c r="G707" i="19" s="1"/>
  <c r="G536" i="19"/>
  <c r="G530" i="19"/>
  <c r="C530" i="19"/>
  <c r="D1187" i="19"/>
  <c r="D1189" i="19" s="1"/>
  <c r="D1370" i="19" s="1"/>
  <c r="G1187" i="19"/>
  <c r="G1189" i="19" s="1"/>
  <c r="G1370" i="19" s="1"/>
  <c r="F1187" i="19"/>
  <c r="F1189" i="19" s="1"/>
  <c r="F1370" i="19" s="1"/>
  <c r="G2010" i="19"/>
  <c r="G2007" i="19"/>
  <c r="G2013" i="19" s="1"/>
  <c r="F1826" i="19"/>
  <c r="F1828" i="19" s="1"/>
  <c r="F2004" i="19" s="1"/>
  <c r="D1826" i="19"/>
  <c r="D1828" i="19" s="1"/>
  <c r="D2004" i="19" s="1"/>
  <c r="G2189" i="19"/>
  <c r="G2194" i="19"/>
  <c r="G2195" i="19" s="1"/>
  <c r="G2197" i="19" s="1"/>
  <c r="G2198" i="19" s="1"/>
  <c r="G2199" i="19" s="1"/>
  <c r="C2189" i="19"/>
  <c r="C2194" i="19"/>
  <c r="C2195" i="19" s="1"/>
  <c r="C2197" i="19" s="1"/>
  <c r="C2198" i="19" s="1"/>
  <c r="C2199" i="19" s="1"/>
  <c r="G694" i="19"/>
  <c r="G695" i="19" s="1"/>
  <c r="H302" i="8"/>
  <c r="H306" i="8" s="1"/>
  <c r="I302" i="8"/>
  <c r="I303" i="8" s="1"/>
  <c r="J302" i="8"/>
  <c r="J306" i="8" s="1"/>
  <c r="K302" i="8"/>
  <c r="K303" i="8" s="1"/>
  <c r="G302" i="8"/>
  <c r="G306" i="8" s="1"/>
  <c r="B937" i="12"/>
  <c r="B943" i="12"/>
  <c r="B940" i="12"/>
  <c r="B939" i="12"/>
  <c r="B936" i="12"/>
  <c r="B930" i="12"/>
  <c r="B958" i="12"/>
  <c r="Q918" i="12"/>
  <c r="S918" i="12"/>
  <c r="C536" i="19" l="1"/>
  <c r="C540" i="19" s="1"/>
  <c r="E1175" i="19"/>
  <c r="E1180" i="19" s="1"/>
  <c r="E1707" i="19"/>
  <c r="E1804" i="19" s="1"/>
  <c r="E1806" i="19" s="1"/>
  <c r="E1807" i="19" s="1"/>
  <c r="E1705" i="19"/>
  <c r="E1568" i="19"/>
  <c r="E1569" i="19" s="1"/>
  <c r="E518" i="19"/>
  <c r="E526" i="19" s="1"/>
  <c r="E562" i="19" s="1"/>
  <c r="E514" i="19"/>
  <c r="E527" i="19" s="1"/>
  <c r="E528" i="19" s="1"/>
  <c r="G1819" i="19"/>
  <c r="C692" i="19"/>
  <c r="C694" i="19" s="1"/>
  <c r="C695" i="19" s="1"/>
  <c r="C698" i="19"/>
  <c r="C700" i="19" s="1"/>
  <c r="C701" i="19" s="1"/>
  <c r="F2188" i="19"/>
  <c r="F2194" i="19" s="1"/>
  <c r="D2188" i="19"/>
  <c r="D2194" i="19" s="1"/>
  <c r="F2144" i="19"/>
  <c r="E2194" i="19"/>
  <c r="E2195" i="19" s="1"/>
  <c r="E2197" i="19" s="1"/>
  <c r="E2198" i="19" s="1"/>
  <c r="E2199" i="19" s="1"/>
  <c r="E2200" i="19" s="1"/>
  <c r="E2201" i="19" s="1"/>
  <c r="E2202" i="19" s="1"/>
  <c r="E2189" i="19"/>
  <c r="C1814" i="19"/>
  <c r="C1811" i="19"/>
  <c r="C1820" i="19" s="1"/>
  <c r="C1821" i="19" s="1"/>
  <c r="C1823" i="19" s="1"/>
  <c r="C1824" i="19" s="1"/>
  <c r="C1826" i="19" s="1"/>
  <c r="C1828" i="19" s="1"/>
  <c r="C2004" i="19" s="1"/>
  <c r="C2215" i="19" s="1"/>
  <c r="F530" i="19"/>
  <c r="F536" i="19"/>
  <c r="D530" i="19"/>
  <c r="D536" i="19"/>
  <c r="F710" i="19"/>
  <c r="F698" i="19"/>
  <c r="F704" i="19"/>
  <c r="F706" i="19" s="1"/>
  <c r="F707" i="19" s="1"/>
  <c r="F692" i="19"/>
  <c r="F694" i="19" s="1"/>
  <c r="F695" i="19" s="1"/>
  <c r="D704" i="19"/>
  <c r="D710" i="19"/>
  <c r="D712" i="19" s="1"/>
  <c r="D713" i="19" s="1"/>
  <c r="D692" i="19"/>
  <c r="D694" i="19" s="1"/>
  <c r="D695" i="19" s="1"/>
  <c r="D698" i="19"/>
  <c r="D700" i="19" s="1"/>
  <c r="D701" i="19" s="1"/>
  <c r="D2144" i="19"/>
  <c r="D2193" i="19" s="1"/>
  <c r="F2216" i="19"/>
  <c r="F2011" i="19"/>
  <c r="D2216" i="19"/>
  <c r="D2011" i="19"/>
  <c r="G538" i="19"/>
  <c r="G540" i="19"/>
  <c r="G537" i="19"/>
  <c r="G539" i="19"/>
  <c r="G541" i="19" s="1"/>
  <c r="C538" i="19"/>
  <c r="C537" i="19"/>
  <c r="C1376" i="19"/>
  <c r="C1373" i="19"/>
  <c r="C1379" i="19" s="1"/>
  <c r="D2010" i="19"/>
  <c r="D2007" i="19"/>
  <c r="D2013" i="19" s="1"/>
  <c r="F2010" i="19"/>
  <c r="F2007" i="19"/>
  <c r="F2013" i="19" s="1"/>
  <c r="F1376" i="19"/>
  <c r="F2215" i="19"/>
  <c r="F1373" i="19"/>
  <c r="F1379" i="19" s="1"/>
  <c r="G1376" i="19"/>
  <c r="G2215" i="19"/>
  <c r="G1373" i="19"/>
  <c r="G1379" i="19" s="1"/>
  <c r="D1376" i="19"/>
  <c r="D2215" i="19"/>
  <c r="D1373" i="19"/>
  <c r="D1379" i="19" s="1"/>
  <c r="E1376" i="19"/>
  <c r="E1373" i="19"/>
  <c r="E1379" i="19" s="1"/>
  <c r="C2200" i="19"/>
  <c r="C2201" i="19" s="1"/>
  <c r="G2200" i="19"/>
  <c r="G2201" i="19" s="1"/>
  <c r="G714" i="19"/>
  <c r="G715" i="19" s="1"/>
  <c r="G716" i="19" s="1"/>
  <c r="G717" i="19" s="1"/>
  <c r="G722" i="19" s="1"/>
  <c r="G2210" i="19" s="1"/>
  <c r="J303" i="8"/>
  <c r="G303" i="8"/>
  <c r="H303" i="8"/>
  <c r="K305" i="8"/>
  <c r="K304" i="8" s="1"/>
  <c r="I305" i="8"/>
  <c r="I304" i="8" s="1"/>
  <c r="K306" i="8"/>
  <c r="I306" i="8"/>
  <c r="G305" i="8"/>
  <c r="G304" i="8" s="1"/>
  <c r="J305" i="8"/>
  <c r="J304" i="8" s="1"/>
  <c r="H305" i="8"/>
  <c r="H304" i="8" s="1"/>
  <c r="G454" i="12"/>
  <c r="G455" i="12"/>
  <c r="M879" i="7"/>
  <c r="L879" i="7"/>
  <c r="AB158" i="7"/>
  <c r="AB159" i="7"/>
  <c r="AB157" i="7"/>
  <c r="AB134" i="7"/>
  <c r="AB133" i="7"/>
  <c r="AB135" i="7"/>
  <c r="AB136" i="7"/>
  <c r="AB137" i="7"/>
  <c r="AB138" i="7"/>
  <c r="AB139" i="7"/>
  <c r="AB131" i="7"/>
  <c r="AB132" i="7"/>
  <c r="AB141" i="7"/>
  <c r="AB142" i="7"/>
  <c r="AB143" i="7"/>
  <c r="AB140" i="7"/>
  <c r="AB149" i="7"/>
  <c r="AB148" i="7"/>
  <c r="AB152" i="7"/>
  <c r="AB153" i="7"/>
  <c r="AB154" i="7"/>
  <c r="AB183" i="7"/>
  <c r="AB185" i="7"/>
  <c r="AB184" i="7"/>
  <c r="AB182" i="7"/>
  <c r="AB162" i="7"/>
  <c r="AB166" i="7"/>
  <c r="AB163" i="7"/>
  <c r="AB164" i="7"/>
  <c r="AB161" i="7"/>
  <c r="AB165" i="7"/>
  <c r="AB168" i="7"/>
  <c r="AB169" i="7"/>
  <c r="AB170" i="7"/>
  <c r="AB167" i="7"/>
  <c r="AB171" i="7"/>
  <c r="AB172" i="7"/>
  <c r="AB173" i="7"/>
  <c r="AB177" i="7"/>
  <c r="AB174" i="7"/>
  <c r="AB176" i="7"/>
  <c r="AB175" i="7"/>
  <c r="AB180" i="7"/>
  <c r="AB179" i="7"/>
  <c r="AB181" i="7"/>
  <c r="AB178" i="7"/>
  <c r="AB156" i="7"/>
  <c r="AB155" i="7"/>
  <c r="AB144" i="7"/>
  <c r="AB145" i="7"/>
  <c r="AB147" i="7"/>
  <c r="AB146" i="7"/>
  <c r="AB150" i="7"/>
  <c r="AB151" i="7"/>
  <c r="AB160" i="7"/>
  <c r="AA158" i="7"/>
  <c r="AA159" i="7"/>
  <c r="AA157" i="7"/>
  <c r="AA134" i="7"/>
  <c r="AA133" i="7"/>
  <c r="AA135" i="7"/>
  <c r="AA136" i="7"/>
  <c r="AA137" i="7"/>
  <c r="AA138" i="7"/>
  <c r="AA139" i="7"/>
  <c r="AA131" i="7"/>
  <c r="AA132" i="7"/>
  <c r="AA141" i="7"/>
  <c r="AA142" i="7"/>
  <c r="AA143" i="7"/>
  <c r="AA140" i="7"/>
  <c r="AA149" i="7"/>
  <c r="AA148" i="7"/>
  <c r="AA152" i="7"/>
  <c r="AA153" i="7"/>
  <c r="AA154" i="7"/>
  <c r="AA183" i="7"/>
  <c r="AA185" i="7"/>
  <c r="AA184" i="7"/>
  <c r="AA182" i="7"/>
  <c r="AA162" i="7"/>
  <c r="AA166" i="7"/>
  <c r="AA163" i="7"/>
  <c r="AA164" i="7"/>
  <c r="AA161" i="7"/>
  <c r="AA165" i="7"/>
  <c r="AA168" i="7"/>
  <c r="AA169" i="7"/>
  <c r="AA170" i="7"/>
  <c r="AA167" i="7"/>
  <c r="AA171" i="7"/>
  <c r="AA172" i="7"/>
  <c r="AA173" i="7"/>
  <c r="AA177" i="7"/>
  <c r="AA174" i="7"/>
  <c r="AA176" i="7"/>
  <c r="AA175" i="7"/>
  <c r="AA180" i="7"/>
  <c r="AA179" i="7"/>
  <c r="AA181" i="7"/>
  <c r="AA178" i="7"/>
  <c r="AA156" i="7"/>
  <c r="AA155" i="7"/>
  <c r="AA144" i="7"/>
  <c r="AA145" i="7"/>
  <c r="AA147" i="7"/>
  <c r="AA146" i="7"/>
  <c r="AA150" i="7"/>
  <c r="AA151" i="7"/>
  <c r="AA160" i="7"/>
  <c r="Z158" i="7"/>
  <c r="Z159" i="7"/>
  <c r="Z157" i="7"/>
  <c r="Z134" i="7"/>
  <c r="Z133" i="7"/>
  <c r="Z135" i="7"/>
  <c r="Z136" i="7"/>
  <c r="Z137" i="7"/>
  <c r="Z138" i="7"/>
  <c r="Z139" i="7"/>
  <c r="Z131" i="7"/>
  <c r="Z132" i="7"/>
  <c r="Z141" i="7"/>
  <c r="Z142" i="7"/>
  <c r="Z143" i="7"/>
  <c r="Z140" i="7"/>
  <c r="Z149" i="7"/>
  <c r="Z148" i="7"/>
  <c r="Z152" i="7"/>
  <c r="Z153" i="7"/>
  <c r="Z154" i="7"/>
  <c r="Z183" i="7"/>
  <c r="Z185" i="7"/>
  <c r="Z184" i="7"/>
  <c r="Z182" i="7"/>
  <c r="Z162" i="7"/>
  <c r="Z166" i="7"/>
  <c r="Z163" i="7"/>
  <c r="Z164" i="7"/>
  <c r="Z161" i="7"/>
  <c r="Z165" i="7"/>
  <c r="Z168" i="7"/>
  <c r="Z169" i="7"/>
  <c r="Z170" i="7"/>
  <c r="Z167" i="7"/>
  <c r="Z171" i="7"/>
  <c r="Z172" i="7"/>
  <c r="Z173" i="7"/>
  <c r="Z177" i="7"/>
  <c r="Z174" i="7"/>
  <c r="Z176" i="7"/>
  <c r="Z175" i="7"/>
  <c r="Z180" i="7"/>
  <c r="Z179" i="7"/>
  <c r="Z181" i="7"/>
  <c r="Z178" i="7"/>
  <c r="Z156" i="7"/>
  <c r="Z155" i="7"/>
  <c r="Z144" i="7"/>
  <c r="Z145" i="7"/>
  <c r="Z147" i="7"/>
  <c r="Z146" i="7"/>
  <c r="Z150" i="7"/>
  <c r="Z151" i="7"/>
  <c r="Z160" i="7"/>
  <c r="C539" i="19" l="1"/>
  <c r="C541" i="19" s="1"/>
  <c r="E1814" i="19"/>
  <c r="E1811" i="19"/>
  <c r="E1820" i="19" s="1"/>
  <c r="E1821" i="19" s="1"/>
  <c r="E1823" i="19" s="1"/>
  <c r="E1824" i="19" s="1"/>
  <c r="E1826" i="19" s="1"/>
  <c r="E1828" i="19" s="1"/>
  <c r="E2004" i="19" s="1"/>
  <c r="E2215" i="19" s="1"/>
  <c r="E692" i="19"/>
  <c r="E694" i="19" s="1"/>
  <c r="E695" i="19" s="1"/>
  <c r="E710" i="19"/>
  <c r="E712" i="19" s="1"/>
  <c r="E713" i="19" s="1"/>
  <c r="E698" i="19"/>
  <c r="E700" i="19" s="1"/>
  <c r="E701" i="19" s="1"/>
  <c r="E704" i="19"/>
  <c r="E706" i="19" s="1"/>
  <c r="E707" i="19" s="1"/>
  <c r="E530" i="19"/>
  <c r="E536" i="19"/>
  <c r="E2204" i="19"/>
  <c r="D2189" i="19"/>
  <c r="C714" i="19"/>
  <c r="C715" i="19" s="1"/>
  <c r="C716" i="19" s="1"/>
  <c r="C717" i="19" s="1"/>
  <c r="C722" i="19" s="1"/>
  <c r="C2210" i="19" s="1"/>
  <c r="F2193" i="19"/>
  <c r="F2195" i="19" s="1"/>
  <c r="F2197" i="19" s="1"/>
  <c r="F2198" i="19" s="1"/>
  <c r="F2199" i="19" s="1"/>
  <c r="F2200" i="19" s="1"/>
  <c r="F2201" i="19" s="1"/>
  <c r="F2202" i="19" s="1"/>
  <c r="F2189" i="19"/>
  <c r="D2195" i="19"/>
  <c r="D2197" i="19" s="1"/>
  <c r="D2198" i="19" s="1"/>
  <c r="D2199" i="19" s="1"/>
  <c r="D2200" i="19" s="1"/>
  <c r="D2201" i="19" s="1"/>
  <c r="C1819" i="19"/>
  <c r="C2010" i="19"/>
  <c r="C2007" i="19"/>
  <c r="C2013" i="19" s="1"/>
  <c r="F700" i="19"/>
  <c r="F701" i="19" s="1"/>
  <c r="D538" i="19"/>
  <c r="D537" i="19"/>
  <c r="D540" i="19"/>
  <c r="D539" i="19"/>
  <c r="D541" i="19" s="1"/>
  <c r="F537" i="19"/>
  <c r="F538" i="19"/>
  <c r="F539" i="19"/>
  <c r="F541" i="19" s="1"/>
  <c r="F540" i="19"/>
  <c r="D706" i="19"/>
  <c r="D707" i="19" s="1"/>
  <c r="D714" i="19" s="1"/>
  <c r="D715" i="19" s="1"/>
  <c r="D716" i="19" s="1"/>
  <c r="D717" i="19" s="1"/>
  <c r="D722" i="19" s="1"/>
  <c r="D2210" i="19" s="1"/>
  <c r="F712" i="19"/>
  <c r="F713" i="19" s="1"/>
  <c r="C543" i="19"/>
  <c r="G543" i="19"/>
  <c r="G2202" i="19"/>
  <c r="G2204" i="19"/>
  <c r="C2202" i="19"/>
  <c r="C2204" i="19"/>
  <c r="B441" i="12"/>
  <c r="C441" i="12"/>
  <c r="D441" i="12"/>
  <c r="E441" i="12"/>
  <c r="F441" i="12"/>
  <c r="G441" i="12"/>
  <c r="H441" i="12"/>
  <c r="I441" i="12"/>
  <c r="J441" i="12"/>
  <c r="K441" i="12"/>
  <c r="L441" i="12"/>
  <c r="M441" i="12"/>
  <c r="N441" i="12"/>
  <c r="O441" i="12"/>
  <c r="P441" i="12"/>
  <c r="B442" i="12"/>
  <c r="C442" i="12"/>
  <c r="D442" i="12"/>
  <c r="E442" i="12"/>
  <c r="F442" i="12"/>
  <c r="G442" i="12"/>
  <c r="H442" i="12"/>
  <c r="I442" i="12"/>
  <c r="J442" i="12"/>
  <c r="K442" i="12"/>
  <c r="L442" i="12"/>
  <c r="M442" i="12"/>
  <c r="N442" i="12"/>
  <c r="O442" i="12"/>
  <c r="P442" i="12"/>
  <c r="B443" i="12"/>
  <c r="C443" i="12"/>
  <c r="D443" i="12"/>
  <c r="E443" i="12"/>
  <c r="F443" i="12"/>
  <c r="G443" i="12"/>
  <c r="H443" i="12"/>
  <c r="I443" i="12"/>
  <c r="J443" i="12"/>
  <c r="K443" i="12"/>
  <c r="L443" i="12"/>
  <c r="M443" i="12"/>
  <c r="N443" i="12"/>
  <c r="O443" i="12"/>
  <c r="P443" i="12"/>
  <c r="B444" i="12"/>
  <c r="C444" i="12"/>
  <c r="D444" i="12"/>
  <c r="E444" i="12"/>
  <c r="F444" i="12"/>
  <c r="G444" i="12"/>
  <c r="H444" i="12"/>
  <c r="I444" i="12"/>
  <c r="J444" i="12"/>
  <c r="K444" i="12"/>
  <c r="L444" i="12"/>
  <c r="M444" i="12"/>
  <c r="N444" i="12"/>
  <c r="O444" i="12"/>
  <c r="P444" i="12"/>
  <c r="B189" i="12"/>
  <c r="B2298" i="12" s="1"/>
  <c r="B192" i="12"/>
  <c r="B195" i="12"/>
  <c r="B198" i="12"/>
  <c r="B201" i="12"/>
  <c r="B203" i="12"/>
  <c r="B175" i="12"/>
  <c r="B176" i="12"/>
  <c r="B205" i="12"/>
  <c r="Q255" i="12"/>
  <c r="Q257" i="12"/>
  <c r="B212" i="12"/>
  <c r="B178" i="12"/>
  <c r="B185" i="12"/>
  <c r="B184" i="12"/>
  <c r="B183" i="12"/>
  <c r="B182" i="12"/>
  <c r="B181" i="12"/>
  <c r="B213" i="12"/>
  <c r="O257" i="12" s="1"/>
  <c r="P257" i="12" s="1"/>
  <c r="B214" i="12"/>
  <c r="B216" i="12"/>
  <c r="Q259" i="12" s="1"/>
  <c r="V101" i="8"/>
  <c r="B218" i="12"/>
  <c r="I497" i="9" s="1"/>
  <c r="B225" i="12"/>
  <c r="B500" i="12"/>
  <c r="G956" i="7"/>
  <c r="B516" i="12" s="1"/>
  <c r="B219" i="12"/>
  <c r="J337" i="8" s="1"/>
  <c r="K348" i="8"/>
  <c r="I955" i="7"/>
  <c r="C515" i="12" s="1"/>
  <c r="C176" i="14" s="1"/>
  <c r="B176" i="14" s="1"/>
  <c r="B206" i="12"/>
  <c r="H332" i="8" s="1"/>
  <c r="J417" i="8" s="1"/>
  <c r="B226" i="12"/>
  <c r="I345" i="8" s="1"/>
  <c r="K267" i="8"/>
  <c r="M477" i="8" s="1"/>
  <c r="K185" i="8" s="1"/>
  <c r="G272" i="8"/>
  <c r="G273" i="8"/>
  <c r="G275" i="8"/>
  <c r="G364" i="8" s="1"/>
  <c r="G276" i="8"/>
  <c r="G278" i="8"/>
  <c r="G279" i="8"/>
  <c r="I957" i="7"/>
  <c r="C517" i="12" s="1"/>
  <c r="I958" i="7"/>
  <c r="C518" i="12" s="1"/>
  <c r="C175" i="14" s="1"/>
  <c r="B175" i="14" s="1"/>
  <c r="B208" i="12"/>
  <c r="B210" i="12"/>
  <c r="B222" i="12"/>
  <c r="I504" i="9" s="1"/>
  <c r="K264" i="8"/>
  <c r="K238" i="8"/>
  <c r="M478" i="8" s="1"/>
  <c r="K186" i="8" s="1"/>
  <c r="K236" i="8"/>
  <c r="K237" i="8"/>
  <c r="M482" i="8"/>
  <c r="K189" i="8" s="1"/>
  <c r="B227" i="12"/>
  <c r="G957" i="7"/>
  <c r="B517" i="12" s="1"/>
  <c r="B220" i="12"/>
  <c r="I503" i="9" s="1"/>
  <c r="B224" i="12"/>
  <c r="K342" i="8" s="1"/>
  <c r="B207" i="12"/>
  <c r="K241" i="8"/>
  <c r="B2256" i="12"/>
  <c r="K242" i="8"/>
  <c r="K245" i="8"/>
  <c r="B2275" i="12"/>
  <c r="K256" i="8" s="1"/>
  <c r="B2266" i="12"/>
  <c r="H518" i="9" s="1"/>
  <c r="B329" i="9" s="1"/>
  <c r="B2276" i="12"/>
  <c r="K258" i="8" s="1"/>
  <c r="K246" i="8"/>
  <c r="R47" i="8"/>
  <c r="R48" i="8"/>
  <c r="R49" i="8"/>
  <c r="R50" i="8"/>
  <c r="R46" i="8"/>
  <c r="G336" i="8"/>
  <c r="G348" i="8"/>
  <c r="G345" i="8"/>
  <c r="G267" i="8"/>
  <c r="B380" i="8" s="1"/>
  <c r="G264" i="8"/>
  <c r="G238" i="8"/>
  <c r="I478" i="8" s="1"/>
  <c r="G186" i="8" s="1"/>
  <c r="G236" i="8"/>
  <c r="G237" i="8"/>
  <c r="I482" i="8"/>
  <c r="G189" i="8" s="1"/>
  <c r="G342" i="8"/>
  <c r="G241" i="8"/>
  <c r="G242" i="8"/>
  <c r="G245" i="8"/>
  <c r="G256" i="8"/>
  <c r="G246" i="8"/>
  <c r="V97" i="8"/>
  <c r="V99" i="8"/>
  <c r="V100" i="8"/>
  <c r="A1762" i="12"/>
  <c r="A1747" i="12"/>
  <c r="A1745" i="12"/>
  <c r="A1744" i="12"/>
  <c r="A1742" i="12"/>
  <c r="A1764" i="12"/>
  <c r="A1759" i="12"/>
  <c r="A1740" i="12"/>
  <c r="B220" i="14"/>
  <c r="B457" i="14" s="1"/>
  <c r="B216" i="14"/>
  <c r="B235" i="14" s="1"/>
  <c r="B167" i="19" s="1"/>
  <c r="B257" i="13"/>
  <c r="C94" i="13" s="1"/>
  <c r="B200" i="14"/>
  <c r="B259" i="14" s="1"/>
  <c r="B202" i="14"/>
  <c r="B243" i="14" s="1"/>
  <c r="B185" i="14"/>
  <c r="B247" i="14" s="1"/>
  <c r="B147" i="19" s="1"/>
  <c r="B748" i="19" s="1"/>
  <c r="B1406" i="19" s="1"/>
  <c r="B221" i="12"/>
  <c r="B140" i="19" s="1"/>
  <c r="B759" i="19" s="1"/>
  <c r="B1428" i="19" s="1"/>
  <c r="B228" i="12"/>
  <c r="B245" i="13"/>
  <c r="B293" i="13" s="1"/>
  <c r="B2258" i="12"/>
  <c r="B164" i="14"/>
  <c r="B267" i="14" s="1"/>
  <c r="B2267" i="12"/>
  <c r="B152" i="19" s="1"/>
  <c r="B165" i="14"/>
  <c r="B268" i="14" s="1"/>
  <c r="B217" i="14"/>
  <c r="B219" i="14" s="1"/>
  <c r="B279" i="14" s="1"/>
  <c r="B209" i="14"/>
  <c r="B159" i="14"/>
  <c r="B258" i="14"/>
  <c r="B153" i="19" s="1"/>
  <c r="G961" i="7"/>
  <c r="B521" i="12" s="1"/>
  <c r="B203" i="14" s="1"/>
  <c r="B261" i="14" s="1"/>
  <c r="B260" i="14"/>
  <c r="B154" i="19" s="1"/>
  <c r="B742" i="19" s="1"/>
  <c r="B209" i="13"/>
  <c r="B315" i="13" s="1"/>
  <c r="B1009" i="13" s="1"/>
  <c r="B251" i="13"/>
  <c r="B253" i="13" s="1"/>
  <c r="B327" i="13" s="1"/>
  <c r="B249" i="13"/>
  <c r="B317" i="13" s="1"/>
  <c r="B202" i="13"/>
  <c r="B303" i="13" s="1"/>
  <c r="B204" i="13"/>
  <c r="B304" i="13" s="1"/>
  <c r="B262" i="13"/>
  <c r="B309" i="13" s="1"/>
  <c r="B248" i="13"/>
  <c r="B306" i="13" s="1"/>
  <c r="B532" i="13" s="1"/>
  <c r="B533" i="13" s="1"/>
  <c r="B205" i="13"/>
  <c r="B307" i="13" s="1"/>
  <c r="B247" i="13"/>
  <c r="B289" i="13" s="1"/>
  <c r="B986" i="13" s="1"/>
  <c r="B987" i="13" s="1"/>
  <c r="B170" i="14"/>
  <c r="B63" i="14" s="1"/>
  <c r="B1443" i="12" s="1"/>
  <c r="B168" i="14"/>
  <c r="B72" i="14" s="1"/>
  <c r="B1452" i="12" s="1"/>
  <c r="B213" i="13"/>
  <c r="B87" i="13" s="1"/>
  <c r="B211" i="13"/>
  <c r="B96" i="13" s="1"/>
  <c r="B235" i="13"/>
  <c r="B2146" i="13" s="1"/>
  <c r="B223" i="12"/>
  <c r="B228" i="13" s="1"/>
  <c r="B2148" i="13" s="1"/>
  <c r="B240" i="12"/>
  <c r="B177" i="12"/>
  <c r="B204" i="12"/>
  <c r="B879" i="12"/>
  <c r="B1542" i="12"/>
  <c r="B1541" i="12"/>
  <c r="B68" i="16"/>
  <c r="C39" i="16"/>
  <c r="B449" i="16" s="1"/>
  <c r="A1059" i="16" s="1"/>
  <c r="C44" i="16"/>
  <c r="B2536" i="16"/>
  <c r="B2537" i="16"/>
  <c r="B2751" i="16"/>
  <c r="B2753" i="16"/>
  <c r="B2277" i="12"/>
  <c r="B2754" i="16"/>
  <c r="B2755" i="16"/>
  <c r="B768" i="16"/>
  <c r="B2756" i="16"/>
  <c r="B2757" i="16"/>
  <c r="B769" i="16"/>
  <c r="B179" i="12"/>
  <c r="B2014" i="12" s="1"/>
  <c r="B2109" i="12" s="1"/>
  <c r="B231" i="12"/>
  <c r="J315" i="10" s="1"/>
  <c r="B2852" i="16"/>
  <c r="C1702" i="12"/>
  <c r="D1702" i="12" s="1"/>
  <c r="E1702" i="12" s="1"/>
  <c r="C1703" i="12"/>
  <c r="D1703" i="12" s="1"/>
  <c r="E1703" i="12" s="1"/>
  <c r="C1704" i="12"/>
  <c r="D1704" i="12" s="1"/>
  <c r="E1704" i="12" s="1"/>
  <c r="O1699" i="12"/>
  <c r="O1711" i="12" s="1"/>
  <c r="B2853" i="16"/>
  <c r="B762" i="16"/>
  <c r="B2854" i="16"/>
  <c r="B744" i="16"/>
  <c r="B2855" i="16"/>
  <c r="B2856" i="16"/>
  <c r="B2943" i="16"/>
  <c r="B2986" i="16" s="1"/>
  <c r="B3034" i="16"/>
  <c r="B3038" i="16"/>
  <c r="B3039" i="16"/>
  <c r="B3046" i="16"/>
  <c r="B3074" i="16"/>
  <c r="B2281" i="12"/>
  <c r="K286" i="10" s="1"/>
  <c r="B2282" i="12"/>
  <c r="L288" i="10" s="1"/>
  <c r="B236" i="12"/>
  <c r="B237" i="12"/>
  <c r="I321" i="10" s="1"/>
  <c r="I964" i="7"/>
  <c r="B650" i="16"/>
  <c r="B3097" i="16" s="1"/>
  <c r="B651" i="16"/>
  <c r="B1637" i="12"/>
  <c r="B838" i="16"/>
  <c r="B858" i="16"/>
  <c r="M452" i="10"/>
  <c r="B832" i="16"/>
  <c r="B988" i="16" s="1"/>
  <c r="B861" i="16"/>
  <c r="B926" i="16"/>
  <c r="B922" i="16"/>
  <c r="B920" i="16"/>
  <c r="B935" i="16" s="1"/>
  <c r="B923" i="16"/>
  <c r="B938" i="16"/>
  <c r="B3114" i="16"/>
  <c r="B653" i="16"/>
  <c r="B3115" i="16" s="1"/>
  <c r="B3119" i="16" s="1"/>
  <c r="B3122" i="16" s="1"/>
  <c r="B912" i="16"/>
  <c r="B1195" i="16" s="1"/>
  <c r="B915" i="16"/>
  <c r="B1051" i="16"/>
  <c r="B1183" i="16"/>
  <c r="B1266" i="16"/>
  <c r="B1490" i="16"/>
  <c r="B1491" i="16"/>
  <c r="B3073" i="16"/>
  <c r="B747" i="16"/>
  <c r="B1630" i="16"/>
  <c r="B1631" i="16"/>
  <c r="B927" i="16"/>
  <c r="B758" i="16"/>
  <c r="B1185" i="16"/>
  <c r="B1268" i="16"/>
  <c r="B741" i="16"/>
  <c r="B2603" i="16"/>
  <c r="B2694" i="16" s="1"/>
  <c r="B652" i="16"/>
  <c r="B655" i="16"/>
  <c r="B3066" i="16"/>
  <c r="B2539" i="16"/>
  <c r="B2532" i="16"/>
  <c r="B2541" i="16"/>
  <c r="B2542" i="16"/>
  <c r="B2545" i="16"/>
  <c r="B2729" i="16"/>
  <c r="B1182" i="16"/>
  <c r="B1265" i="16"/>
  <c r="B2262" i="12"/>
  <c r="B623" i="16" s="1"/>
  <c r="B1184" i="16"/>
  <c r="B1267" i="16"/>
  <c r="B2616" i="16"/>
  <c r="B2254" i="12"/>
  <c r="B606" i="16" s="1"/>
  <c r="B2259" i="12"/>
  <c r="B2260" i="12"/>
  <c r="B621" i="16" s="1"/>
  <c r="B2269" i="12"/>
  <c r="B612" i="16" s="1"/>
  <c r="B2268" i="12"/>
  <c r="D58" i="16"/>
  <c r="H236" i="8"/>
  <c r="H237" i="8"/>
  <c r="H348" i="8"/>
  <c r="J431" i="8" s="1"/>
  <c r="H261" i="8"/>
  <c r="H267" i="8"/>
  <c r="J477" i="8" s="1"/>
  <c r="H185" i="8" s="1"/>
  <c r="H264" i="8"/>
  <c r="H238" i="8"/>
  <c r="J478" i="8" s="1"/>
  <c r="H186" i="8" s="1"/>
  <c r="J482" i="8"/>
  <c r="H189" i="8" s="1"/>
  <c r="H241" i="8"/>
  <c r="H242" i="8"/>
  <c r="H245" i="8"/>
  <c r="H246" i="8"/>
  <c r="I236" i="8"/>
  <c r="I237" i="8"/>
  <c r="I348" i="8"/>
  <c r="K431" i="8" s="1"/>
  <c r="I261" i="8"/>
  <c r="I267" i="8"/>
  <c r="K477" i="8" s="1"/>
  <c r="I185" i="8" s="1"/>
  <c r="I264" i="8"/>
  <c r="I238" i="8"/>
  <c r="K478" i="8" s="1"/>
  <c r="I186" i="8" s="1"/>
  <c r="K482" i="8"/>
  <c r="I189" i="8" s="1"/>
  <c r="I241" i="8"/>
  <c r="I242" i="8"/>
  <c r="I245" i="8"/>
  <c r="I246" i="8"/>
  <c r="J236" i="8"/>
  <c r="J237" i="8"/>
  <c r="J348" i="8"/>
  <c r="J261" i="8"/>
  <c r="J267" i="8"/>
  <c r="L477" i="8" s="1"/>
  <c r="J185" i="8" s="1"/>
  <c r="J264" i="8"/>
  <c r="J238" i="8"/>
  <c r="L478" i="8" s="1"/>
  <c r="J186" i="8" s="1"/>
  <c r="L482" i="8"/>
  <c r="J189" i="8" s="1"/>
  <c r="J241" i="8"/>
  <c r="J242" i="8"/>
  <c r="J245" i="8"/>
  <c r="J246" i="8"/>
  <c r="K261" i="8"/>
  <c r="G261" i="8"/>
  <c r="B232" i="12"/>
  <c r="J316" i="10" s="1"/>
  <c r="B239" i="12"/>
  <c r="B582" i="16" s="1"/>
  <c r="B238" i="12"/>
  <c r="J323" i="10" s="1"/>
  <c r="B2280" i="12"/>
  <c r="L289" i="10" s="1"/>
  <c r="L346" i="10" s="1"/>
  <c r="B233" i="12"/>
  <c r="I317" i="10" s="1"/>
  <c r="I334" i="10" s="1"/>
  <c r="E414" i="10" s="1"/>
  <c r="B234" i="12"/>
  <c r="J318" i="10" s="1"/>
  <c r="J348" i="10" s="1"/>
  <c r="V47" i="10"/>
  <c r="V48" i="10"/>
  <c r="V49" i="10"/>
  <c r="V50" i="10"/>
  <c r="V51" i="10"/>
  <c r="B884" i="12"/>
  <c r="B883" i="12"/>
  <c r="B882" i="12"/>
  <c r="B881" i="12"/>
  <c r="B880" i="12"/>
  <c r="B215" i="12"/>
  <c r="L311" i="10" s="1"/>
  <c r="L351" i="10" s="1"/>
  <c r="B749" i="12"/>
  <c r="A750" i="12" s="1"/>
  <c r="I744" i="12"/>
  <c r="I741" i="12"/>
  <c r="I742" i="12"/>
  <c r="I743" i="12"/>
  <c r="M2250" i="12"/>
  <c r="B1215" i="16"/>
  <c r="B1206" i="16"/>
  <c r="B1212" i="16"/>
  <c r="B3196" i="16"/>
  <c r="B3192" i="16"/>
  <c r="A481" i="16"/>
  <c r="A472" i="16"/>
  <c r="C506" i="16"/>
  <c r="O511" i="16" s="1"/>
  <c r="B2257" i="12"/>
  <c r="B618" i="16" s="1"/>
  <c r="B235" i="12"/>
  <c r="A2156" i="12"/>
  <c r="B2149" i="12"/>
  <c r="C400" i="12"/>
  <c r="C1754" i="12" s="1"/>
  <c r="A1920" i="12"/>
  <c r="A1919" i="12"/>
  <c r="B1996" i="12"/>
  <c r="B1896" i="12"/>
  <c r="A2290" i="12"/>
  <c r="A1260" i="12"/>
  <c r="B1260" i="12"/>
  <c r="B1258" i="12"/>
  <c r="B1850" i="12"/>
  <c r="B1075" i="12"/>
  <c r="B1738" i="12"/>
  <c r="A1750" i="12"/>
  <c r="A1767" i="12"/>
  <c r="A1765" i="12"/>
  <c r="A1751" i="12"/>
  <c r="B1753" i="12"/>
  <c r="A1753" i="12"/>
  <c r="A1766" i="12"/>
  <c r="A1763" i="12"/>
  <c r="A1749" i="12"/>
  <c r="A1746" i="12"/>
  <c r="A1743" i="12"/>
  <c r="A1741" i="12"/>
  <c r="C1720" i="12"/>
  <c r="B1729" i="12" s="1"/>
  <c r="C1711" i="12"/>
  <c r="D1711" i="12" s="1"/>
  <c r="E1711" i="12" s="1"/>
  <c r="C1710" i="12"/>
  <c r="D1710" i="12" s="1"/>
  <c r="E1710" i="12" s="1"/>
  <c r="C1709" i="12"/>
  <c r="D1709" i="12" s="1"/>
  <c r="E1709" i="12" s="1"/>
  <c r="N1707" i="12"/>
  <c r="N1706" i="12"/>
  <c r="N1700" i="12"/>
  <c r="N1699" i="12"/>
  <c r="B1063" i="16"/>
  <c r="B1057" i="16"/>
  <c r="B1059" i="16"/>
  <c r="B1055" i="16"/>
  <c r="B996" i="16" s="1"/>
  <c r="B1060" i="16"/>
  <c r="B1209" i="16"/>
  <c r="A1226" i="12"/>
  <c r="A1227" i="12"/>
  <c r="A1228" i="12"/>
  <c r="A1229" i="12"/>
  <c r="A1230" i="12"/>
  <c r="A1225" i="12"/>
  <c r="A1201" i="12"/>
  <c r="B1201" i="12"/>
  <c r="A1202" i="12"/>
  <c r="B1202" i="12"/>
  <c r="B1203" i="12"/>
  <c r="B1204" i="12"/>
  <c r="B1205" i="12"/>
  <c r="A1206" i="12"/>
  <c r="B1200" i="12"/>
  <c r="A1200" i="12"/>
  <c r="B1218" i="12" s="1"/>
  <c r="A1186" i="12"/>
  <c r="B1186" i="12"/>
  <c r="A1187" i="12"/>
  <c r="B1187" i="12"/>
  <c r="A1188" i="12"/>
  <c r="B1188" i="12"/>
  <c r="A1189" i="12"/>
  <c r="B1189" i="12"/>
  <c r="A1190" i="12"/>
  <c r="B1190" i="12"/>
  <c r="A1191" i="12"/>
  <c r="B1191" i="12"/>
  <c r="A1192" i="12"/>
  <c r="B1192" i="12"/>
  <c r="A1193" i="12"/>
  <c r="B1193" i="12"/>
  <c r="B184" i="16"/>
  <c r="B1185" i="12" s="1"/>
  <c r="A1185" i="12"/>
  <c r="B1217" i="12" s="1"/>
  <c r="B204" i="16"/>
  <c r="B1170" i="12" s="1"/>
  <c r="B146" i="16"/>
  <c r="A1148" i="12"/>
  <c r="B1148" i="12"/>
  <c r="A1149" i="12"/>
  <c r="B1149" i="12"/>
  <c r="A1150" i="12"/>
  <c r="B1150" i="12"/>
  <c r="A1151" i="12"/>
  <c r="B1151" i="12"/>
  <c r="A1152" i="12"/>
  <c r="B1152" i="12"/>
  <c r="A1153" i="12"/>
  <c r="B113" i="16"/>
  <c r="B1147" i="12" s="1"/>
  <c r="A1147" i="12"/>
  <c r="B1214" i="12" s="1"/>
  <c r="A1141" i="12"/>
  <c r="B1141" i="12"/>
  <c r="A1142" i="12"/>
  <c r="B1142" i="12"/>
  <c r="C1213" i="12" s="1"/>
  <c r="B84" i="16"/>
  <c r="B1140" i="12" s="1"/>
  <c r="A1140" i="12"/>
  <c r="B1213" i="12" s="1"/>
  <c r="D91" i="16"/>
  <c r="D90" i="16"/>
  <c r="B44" i="16"/>
  <c r="D181" i="16"/>
  <c r="E180" i="16"/>
  <c r="D179" i="16"/>
  <c r="D143" i="16"/>
  <c r="E142" i="16"/>
  <c r="D141" i="16"/>
  <c r="D201" i="16"/>
  <c r="F200" i="16"/>
  <c r="D199" i="16"/>
  <c r="D109" i="16"/>
  <c r="E108" i="16"/>
  <c r="D107" i="16"/>
  <c r="C80" i="16"/>
  <c r="D79" i="16"/>
  <c r="B78" i="16"/>
  <c r="B65" i="16"/>
  <c r="D291" i="16"/>
  <c r="D53" i="16"/>
  <c r="D570" i="16"/>
  <c r="L73" i="8"/>
  <c r="D80" i="8"/>
  <c r="E80" i="8"/>
  <c r="F80" i="8"/>
  <c r="G80" i="8"/>
  <c r="C80" i="8"/>
  <c r="B961" i="12"/>
  <c r="A961" i="12"/>
  <c r="B960" i="12"/>
  <c r="A960" i="12"/>
  <c r="B959" i="12"/>
  <c r="A959" i="12"/>
  <c r="B957" i="12"/>
  <c r="B956" i="12"/>
  <c r="B953" i="12"/>
  <c r="B952" i="12"/>
  <c r="B436" i="12"/>
  <c r="G955" i="7"/>
  <c r="B515" i="12" s="1"/>
  <c r="B187" i="12"/>
  <c r="B2300" i="12" s="1"/>
  <c r="B188" i="12"/>
  <c r="B2299" i="12" s="1"/>
  <c r="B190" i="12"/>
  <c r="B191" i="12"/>
  <c r="B193" i="12"/>
  <c r="B194" i="12"/>
  <c r="B196" i="12"/>
  <c r="B197" i="12"/>
  <c r="B199" i="12"/>
  <c r="B200" i="12"/>
  <c r="B202" i="12"/>
  <c r="B209" i="12"/>
  <c r="B211" i="12"/>
  <c r="B230" i="13" s="1"/>
  <c r="B217" i="12"/>
  <c r="B594" i="16" s="1"/>
  <c r="B230" i="12"/>
  <c r="K314" i="10" s="1"/>
  <c r="J91" i="7"/>
  <c r="O391" i="12"/>
  <c r="O392" i="12"/>
  <c r="H1094" i="7"/>
  <c r="H1108" i="7" s="1"/>
  <c r="S76" i="7"/>
  <c r="S73" i="7"/>
  <c r="S75" i="7"/>
  <c r="B2716" i="16"/>
  <c r="B2717" i="16"/>
  <c r="B489" i="16"/>
  <c r="B740" i="16"/>
  <c r="B739" i="16"/>
  <c r="B3149" i="16"/>
  <c r="B1913" i="16"/>
  <c r="B1914" i="16"/>
  <c r="B1915" i="16"/>
  <c r="DY3446" i="16"/>
  <c r="DY3445" i="16"/>
  <c r="DX3446" i="16"/>
  <c r="DX3445" i="16"/>
  <c r="DW3446" i="16"/>
  <c r="DW3445" i="16"/>
  <c r="DV3446" i="16"/>
  <c r="DV3445" i="16"/>
  <c r="DU3446" i="16"/>
  <c r="DU3445" i="16"/>
  <c r="DU3448" i="16" s="1"/>
  <c r="DT3446" i="16"/>
  <c r="DT3445" i="16"/>
  <c r="DS3446" i="16"/>
  <c r="DS3445" i="16"/>
  <c r="DS3448" i="16" s="1"/>
  <c r="DR3446" i="16"/>
  <c r="DR3445" i="16"/>
  <c r="DR3448" i="16" s="1"/>
  <c r="DQ3447" i="16"/>
  <c r="DQ3446" i="16"/>
  <c r="DQ3448" i="16" s="1"/>
  <c r="DP3446" i="16"/>
  <c r="DO3447" i="16"/>
  <c r="DO3446" i="16"/>
  <c r="DN3447" i="16"/>
  <c r="DN3446" i="16"/>
  <c r="DM3447" i="16"/>
  <c r="DM3446" i="16"/>
  <c r="DM3444" i="16"/>
  <c r="DM3449" i="16" s="1"/>
  <c r="DL3447" i="16"/>
  <c r="DL3446" i="16"/>
  <c r="DL3444" i="16"/>
  <c r="DK3447" i="16"/>
  <c r="DK3446" i="16"/>
  <c r="DK3444" i="16"/>
  <c r="DK3449" i="16" s="1"/>
  <c r="DJ3447" i="16"/>
  <c r="DJ3446" i="16"/>
  <c r="DJ3444" i="16"/>
  <c r="DI3446" i="16"/>
  <c r="DI3448" i="16" s="1"/>
  <c r="DI3445" i="16"/>
  <c r="DH3446" i="16"/>
  <c r="DH3448" i="16" s="1"/>
  <c r="DH3445" i="16"/>
  <c r="DG3446" i="16"/>
  <c r="DG3448" i="16" s="1"/>
  <c r="DG3445" i="16"/>
  <c r="DF3446" i="16"/>
  <c r="DF3445" i="16"/>
  <c r="DE3446" i="16"/>
  <c r="DE3448" i="16" s="1"/>
  <c r="DE3445" i="16"/>
  <c r="DD3446" i="16"/>
  <c r="DD3448" i="16" s="1"/>
  <c r="DD3445" i="16"/>
  <c r="DC3446" i="16"/>
  <c r="DC3448" i="16" s="1"/>
  <c r="DC3445" i="16"/>
  <c r="DB3446" i="16"/>
  <c r="DB3445" i="16"/>
  <c r="DA3446" i="16"/>
  <c r="DA3448" i="16" s="1"/>
  <c r="DA3445" i="16"/>
  <c r="CZ3446" i="16"/>
  <c r="CZ3448" i="16" s="1"/>
  <c r="CZ3445" i="16"/>
  <c r="CY3446" i="16"/>
  <c r="CY3448" i="16" s="1"/>
  <c r="CY3445" i="16"/>
  <c r="CX3446" i="16"/>
  <c r="CX3445" i="16"/>
  <c r="CW3446" i="16"/>
  <c r="CW3448" i="16" s="1"/>
  <c r="CV3446" i="16"/>
  <c r="CU3446" i="16"/>
  <c r="CU3448" i="16" s="1"/>
  <c r="CT3446" i="16"/>
  <c r="CS3447" i="16"/>
  <c r="CS3446" i="16"/>
  <c r="CS3445" i="16"/>
  <c r="CS3448" i="16" s="1"/>
  <c r="CS3442" i="16"/>
  <c r="CR3447" i="16"/>
  <c r="CR3446" i="16"/>
  <c r="CR3445" i="16"/>
  <c r="CR3448" i="16" s="1"/>
  <c r="CR3442" i="16"/>
  <c r="CQ3447" i="16"/>
  <c r="CQ3446" i="16"/>
  <c r="CQ3445" i="16"/>
  <c r="CQ3448" i="16" s="1"/>
  <c r="CQ3442" i="16"/>
  <c r="CP3447" i="16"/>
  <c r="CP3446" i="16"/>
  <c r="CP3445" i="16"/>
  <c r="CP3442" i="16"/>
  <c r="CO3446" i="16"/>
  <c r="CO3448" i="16" s="1"/>
  <c r="CO3445" i="16"/>
  <c r="CN3446" i="16"/>
  <c r="CN3448" i="16" s="1"/>
  <c r="CN3445" i="16"/>
  <c r="CM3446" i="16"/>
  <c r="CM3448" i="16" s="1"/>
  <c r="CM3445" i="16"/>
  <c r="CL3446" i="16"/>
  <c r="CL3445" i="16"/>
  <c r="CK3446" i="16"/>
  <c r="CK3448" i="16" s="1"/>
  <c r="CK3445" i="16"/>
  <c r="CJ3446" i="16"/>
  <c r="CJ3448" i="16" s="1"/>
  <c r="CJ3445" i="16"/>
  <c r="CI3446" i="16"/>
  <c r="CI3448" i="16" s="1"/>
  <c r="CI3445" i="16"/>
  <c r="CH3446" i="16"/>
  <c r="CH3445" i="16"/>
  <c r="CG3446" i="16"/>
  <c r="CG3448" i="16" s="1"/>
  <c r="CF3446" i="16"/>
  <c r="CE3446" i="16"/>
  <c r="CE3448" i="16" s="1"/>
  <c r="CD3446" i="16"/>
  <c r="CC3446" i="16"/>
  <c r="CC3448" i="16" s="1"/>
  <c r="CC3445" i="16"/>
  <c r="CC3444" i="16"/>
  <c r="CC3449" i="16" s="1"/>
  <c r="CB3446" i="16"/>
  <c r="CB3445" i="16"/>
  <c r="CB3448" i="16" s="1"/>
  <c r="CB3444" i="16"/>
  <c r="CA3446" i="16"/>
  <c r="CA3448" i="16" s="1"/>
  <c r="CA3445" i="16"/>
  <c r="CA3444" i="16"/>
  <c r="CA3449" i="16" s="1"/>
  <c r="BZ3446" i="16"/>
  <c r="BZ3445" i="16"/>
  <c r="BZ3444" i="16"/>
  <c r="BY3447" i="16"/>
  <c r="BY3446" i="16"/>
  <c r="BY3445" i="16"/>
  <c r="BY3448" i="16" s="1"/>
  <c r="BY3442" i="16"/>
  <c r="BX3447" i="16"/>
  <c r="BX3446" i="16"/>
  <c r="BX3445" i="16"/>
  <c r="BX3448" i="16" s="1"/>
  <c r="BX3442" i="16"/>
  <c r="BW3447" i="16"/>
  <c r="BW3446" i="16"/>
  <c r="BW3445" i="16"/>
  <c r="BW3448" i="16" s="1"/>
  <c r="BW3442" i="16"/>
  <c r="BV3447" i="16"/>
  <c r="BV3446" i="16"/>
  <c r="BV3445" i="16"/>
  <c r="BV3442" i="16"/>
  <c r="BU3446" i="16"/>
  <c r="BU3448" i="16" s="1"/>
  <c r="BT3447" i="16"/>
  <c r="BT3446" i="16"/>
  <c r="BT3448" i="16" s="1"/>
  <c r="BT3445" i="16"/>
  <c r="BS3447" i="16"/>
  <c r="BS3446" i="16"/>
  <c r="BS3444" i="16"/>
  <c r="BS3449" i="16" s="1"/>
  <c r="BR3447" i="16"/>
  <c r="BR3446" i="16"/>
  <c r="BR3448" i="16" s="1"/>
  <c r="BR3444" i="16"/>
  <c r="BQ3446" i="16"/>
  <c r="BQ3448" i="16" s="1"/>
  <c r="BP3446" i="16"/>
  <c r="BO3446" i="16"/>
  <c r="BO3448" i="16" s="1"/>
  <c r="BN3446" i="16"/>
  <c r="BM3447" i="16"/>
  <c r="BM3446" i="16"/>
  <c r="BM3445" i="16"/>
  <c r="BM3448" i="16" s="1"/>
  <c r="BM3444" i="16"/>
  <c r="BL3447" i="16"/>
  <c r="BL3446" i="16"/>
  <c r="BL3445" i="16"/>
  <c r="BL3448" i="16" s="1"/>
  <c r="BL3444" i="16"/>
  <c r="BK3447" i="16"/>
  <c r="BK3446" i="16"/>
  <c r="BK3445" i="16"/>
  <c r="BK3448" i="16" s="1"/>
  <c r="BK3444" i="16"/>
  <c r="BJ3447" i="16"/>
  <c r="BJ3446" i="16"/>
  <c r="BJ3445" i="16"/>
  <c r="BJ3448" i="16" s="1"/>
  <c r="BJ3444" i="16"/>
  <c r="BI3446" i="16"/>
  <c r="BI3448" i="16" s="1"/>
  <c r="BI3445" i="16"/>
  <c r="BI3444" i="16"/>
  <c r="BI3449" i="16" s="1"/>
  <c r="BH3446" i="16"/>
  <c r="BH3445" i="16"/>
  <c r="BH3444" i="16"/>
  <c r="BG3446" i="16"/>
  <c r="BG3448" i="16" s="1"/>
  <c r="BG3445" i="16"/>
  <c r="BG3444" i="16"/>
  <c r="BG3449" i="16" s="1"/>
  <c r="BF3446" i="16"/>
  <c r="BF3445" i="16"/>
  <c r="BF3448" i="16" s="1"/>
  <c r="BF3444" i="16"/>
  <c r="BE3446" i="16"/>
  <c r="BE3448" i="16" s="1"/>
  <c r="BE3445" i="16"/>
  <c r="BD3446" i="16"/>
  <c r="BD3448" i="16" s="1"/>
  <c r="BD3445" i="16"/>
  <c r="BC3446" i="16"/>
  <c r="BC3448" i="16" s="1"/>
  <c r="BC3445" i="16"/>
  <c r="BB3446" i="16"/>
  <c r="BB3448" i="16" s="1"/>
  <c r="BB3445" i="16"/>
  <c r="BA3446" i="16"/>
  <c r="BA3448" i="16" s="1"/>
  <c r="AZ3446" i="16"/>
  <c r="AY3446" i="16"/>
  <c r="AY3448" i="16" s="1"/>
  <c r="AX3446" i="16"/>
  <c r="AW3446" i="16"/>
  <c r="AW3448" i="16" s="1"/>
  <c r="AW3445" i="16"/>
  <c r="AV3446" i="16"/>
  <c r="AV3445" i="16"/>
  <c r="AU3446" i="16"/>
  <c r="AU3448" i="16" s="1"/>
  <c r="AU3445" i="16"/>
  <c r="AT3446" i="16"/>
  <c r="AT3448" i="16" s="1"/>
  <c r="AT3445" i="16"/>
  <c r="AS3447" i="16"/>
  <c r="AS3446" i="16"/>
  <c r="AS3445" i="16"/>
  <c r="AS3448" i="16" s="1"/>
  <c r="AS3444" i="16"/>
  <c r="AS3442" i="16"/>
  <c r="AS3449" i="16" s="1"/>
  <c r="AR3447" i="16"/>
  <c r="AR3446" i="16"/>
  <c r="AR3448" i="16" s="1"/>
  <c r="AR3445" i="16"/>
  <c r="AR3444" i="16"/>
  <c r="AR3442" i="16"/>
  <c r="AQ3447" i="16"/>
  <c r="AQ3446" i="16"/>
  <c r="AQ3445" i="16"/>
  <c r="AQ3448" i="16" s="1"/>
  <c r="AQ3444" i="16"/>
  <c r="AQ3442" i="16"/>
  <c r="AQ3449" i="16" s="1"/>
  <c r="AP3447" i="16"/>
  <c r="AP3446" i="16"/>
  <c r="AP3448" i="16" s="1"/>
  <c r="AP3445" i="16"/>
  <c r="AP3444" i="16"/>
  <c r="AP3449" i="16" s="1"/>
  <c r="AP3442" i="16"/>
  <c r="AO3447" i="16"/>
  <c r="AO3446" i="16"/>
  <c r="AO3444" i="16"/>
  <c r="AO3449" i="16" s="1"/>
  <c r="AN3446" i="16"/>
  <c r="AN3445" i="16"/>
  <c r="AN3448" i="16" s="1"/>
  <c r="AM3447" i="16"/>
  <c r="AM3446" i="16"/>
  <c r="AM3448" i="16" s="1"/>
  <c r="AM3444" i="16"/>
  <c r="AL3447" i="16"/>
  <c r="AL3446" i="16"/>
  <c r="AL3444" i="16"/>
  <c r="AL3449" i="16" s="1"/>
  <c r="P3446" i="16"/>
  <c r="P3445" i="16"/>
  <c r="P3448" i="16" s="1"/>
  <c r="O3446" i="16"/>
  <c r="O3445" i="16"/>
  <c r="O3448" i="16" s="1"/>
  <c r="DY3449" i="16"/>
  <c r="DX3449" i="16"/>
  <c r="DW3449" i="16"/>
  <c r="DV3449" i="16"/>
  <c r="DU3449" i="16"/>
  <c r="DT3449" i="16"/>
  <c r="DS3449" i="16"/>
  <c r="DR3449" i="16"/>
  <c r="DQ3449" i="16"/>
  <c r="DP3449" i="16"/>
  <c r="DO3449" i="16"/>
  <c r="DN3449" i="16"/>
  <c r="DL3449" i="16"/>
  <c r="DJ3449" i="16"/>
  <c r="DI3449" i="16"/>
  <c r="DH3449" i="16"/>
  <c r="DG3449" i="16"/>
  <c r="DF3449" i="16"/>
  <c r="DE3449" i="16"/>
  <c r="DD3449" i="16"/>
  <c r="DC3449" i="16"/>
  <c r="DB3449" i="16"/>
  <c r="DA3449" i="16"/>
  <c r="CZ3449" i="16"/>
  <c r="CY3449" i="16"/>
  <c r="CX3449" i="16"/>
  <c r="CW3449" i="16"/>
  <c r="CV3449" i="16"/>
  <c r="CU3449" i="16"/>
  <c r="CT3449" i="16"/>
  <c r="CS3449" i="16"/>
  <c r="CR3449" i="16"/>
  <c r="CQ3449" i="16"/>
  <c r="CP3449" i="16"/>
  <c r="CO3449" i="16"/>
  <c r="CN3449" i="16"/>
  <c r="CM3449" i="16"/>
  <c r="CL3449" i="16"/>
  <c r="CK3449" i="16"/>
  <c r="CJ3449" i="16"/>
  <c r="CI3449" i="16"/>
  <c r="CH3449" i="16"/>
  <c r="CG3449" i="16"/>
  <c r="CF3449" i="16"/>
  <c r="CE3449" i="16"/>
  <c r="CD3449" i="16"/>
  <c r="CB3449" i="16"/>
  <c r="BZ3449" i="16"/>
  <c r="BY3449" i="16"/>
  <c r="BX3449" i="16"/>
  <c r="BW3449" i="16"/>
  <c r="BV3449" i="16"/>
  <c r="BU3449" i="16"/>
  <c r="BT3449" i="16"/>
  <c r="BR3449" i="16"/>
  <c r="BQ3449" i="16"/>
  <c r="BP3449" i="16"/>
  <c r="BO3449" i="16"/>
  <c r="BN3449" i="16"/>
  <c r="BM3449" i="16"/>
  <c r="BL3449" i="16"/>
  <c r="BK3449" i="16"/>
  <c r="BJ3449" i="16"/>
  <c r="BH3449" i="16"/>
  <c r="BF3449" i="16"/>
  <c r="BE3449" i="16"/>
  <c r="BD3449" i="16"/>
  <c r="BC3449" i="16"/>
  <c r="BB3449" i="16"/>
  <c r="BA3449" i="16"/>
  <c r="AZ3449" i="16"/>
  <c r="AY3449" i="16"/>
  <c r="AX3449" i="16"/>
  <c r="AW3449" i="16"/>
  <c r="AV3449" i="16"/>
  <c r="AU3449" i="16"/>
  <c r="AT3449" i="16"/>
  <c r="AR3449" i="16"/>
  <c r="AN3449" i="16"/>
  <c r="AM3449" i="16"/>
  <c r="AK3449" i="16"/>
  <c r="AJ3449" i="16"/>
  <c r="AI3449" i="16"/>
  <c r="AH3449" i="16"/>
  <c r="AG3449" i="16"/>
  <c r="AC3449" i="16"/>
  <c r="AB3449" i="16"/>
  <c r="AA3449" i="16"/>
  <c r="Z3449" i="16"/>
  <c r="X3449" i="16"/>
  <c r="U3449" i="16"/>
  <c r="T3449" i="16"/>
  <c r="S3449" i="16"/>
  <c r="R3449" i="16"/>
  <c r="Q3449" i="16"/>
  <c r="P3449" i="16"/>
  <c r="O3449" i="16"/>
  <c r="N3449" i="16"/>
  <c r="M3449" i="16"/>
  <c r="L3449" i="16"/>
  <c r="K3449" i="16"/>
  <c r="J3449" i="16"/>
  <c r="I3449" i="16"/>
  <c r="H3449" i="16"/>
  <c r="G3449" i="16"/>
  <c r="F3449" i="16"/>
  <c r="DX3448" i="16"/>
  <c r="DT3448" i="16"/>
  <c r="DP3448" i="16"/>
  <c r="DO3448" i="16"/>
  <c r="DN3448" i="16"/>
  <c r="DM3448" i="16"/>
  <c r="DL3448" i="16"/>
  <c r="DK3448" i="16"/>
  <c r="DJ3448" i="16"/>
  <c r="DF3448" i="16"/>
  <c r="DB3448" i="16"/>
  <c r="CX3448" i="16"/>
  <c r="CV3448" i="16"/>
  <c r="CT3448" i="16"/>
  <c r="CP3448" i="16"/>
  <c r="CL3448" i="16"/>
  <c r="CH3448" i="16"/>
  <c r="CF3448" i="16"/>
  <c r="CD3448" i="16"/>
  <c r="BZ3448" i="16"/>
  <c r="BV3448" i="16"/>
  <c r="BS3448" i="16"/>
  <c r="BP3448" i="16"/>
  <c r="BN3448" i="16"/>
  <c r="BH3448" i="16"/>
  <c r="AZ3448" i="16"/>
  <c r="AX3448" i="16"/>
  <c r="AV3448" i="16"/>
  <c r="AO3448" i="16"/>
  <c r="AL3448" i="16"/>
  <c r="B3201" i="16"/>
  <c r="B3205" i="16" s="1"/>
  <c r="B3150" i="16"/>
  <c r="B3125" i="16"/>
  <c r="B3126" i="16" s="1"/>
  <c r="B3110" i="16"/>
  <c r="B3111" i="16" s="1"/>
  <c r="B3083" i="16"/>
  <c r="B3020" i="16"/>
  <c r="B3085" i="16"/>
  <c r="B3082" i="16"/>
  <c r="B3072" i="16"/>
  <c r="B764" i="16"/>
  <c r="B2763" i="16" s="1"/>
  <c r="B2762" i="16"/>
  <c r="B2761" i="16"/>
  <c r="B2760" i="16"/>
  <c r="B2750" i="16"/>
  <c r="B2749" i="16"/>
  <c r="B2748" i="16"/>
  <c r="B2745" i="16"/>
  <c r="B2744" i="16"/>
  <c r="B2707" i="16"/>
  <c r="B2706" i="16"/>
  <c r="B2677" i="16"/>
  <c r="B2643" i="16"/>
  <c r="B2644" i="16"/>
  <c r="B2668" i="16"/>
  <c r="B2658" i="16"/>
  <c r="B2659" i="16"/>
  <c r="B2650" i="16"/>
  <c r="B2636" i="16"/>
  <c r="B2629" i="16"/>
  <c r="B2622" i="16"/>
  <c r="B2623" i="16"/>
  <c r="B2546" i="16"/>
  <c r="B2538" i="16"/>
  <c r="B2533" i="16"/>
  <c r="B1232" i="16"/>
  <c r="B1149" i="16"/>
  <c r="B1130" i="16"/>
  <c r="B2385" i="16"/>
  <c r="B2384" i="16"/>
  <c r="B2383" i="16"/>
  <c r="B2381" i="16"/>
  <c r="B2380" i="16"/>
  <c r="B2379" i="16"/>
  <c r="B2343" i="16"/>
  <c r="B2342" i="16"/>
  <c r="B2339" i="16"/>
  <c r="B2338" i="16"/>
  <c r="B2334" i="16"/>
  <c r="B2331" i="16"/>
  <c r="B2330" i="16"/>
  <c r="B2307" i="16"/>
  <c r="B2306" i="16"/>
  <c r="B2268" i="16"/>
  <c r="B2267" i="16"/>
  <c r="B2266" i="16"/>
  <c r="B2264" i="16"/>
  <c r="B2263" i="16"/>
  <c r="B2262" i="16"/>
  <c r="B2226" i="16"/>
  <c r="B2225" i="16"/>
  <c r="B2222" i="16"/>
  <c r="B2221" i="16"/>
  <c r="B2217" i="16"/>
  <c r="B2214" i="16"/>
  <c r="B2213" i="16"/>
  <c r="B2190" i="16"/>
  <c r="B2189" i="16"/>
  <c r="B2152" i="16"/>
  <c r="B2151" i="16"/>
  <c r="B2150" i="16"/>
  <c r="B2148" i="16"/>
  <c r="B2147" i="16"/>
  <c r="B2146" i="16"/>
  <c r="B2110" i="16"/>
  <c r="B2109" i="16"/>
  <c r="B2106" i="16"/>
  <c r="B2105" i="16"/>
  <c r="B2101" i="16"/>
  <c r="B2098" i="16"/>
  <c r="B2097" i="16"/>
  <c r="B2074" i="16"/>
  <c r="B2073" i="16"/>
  <c r="B2035" i="16"/>
  <c r="B2034" i="16"/>
  <c r="B2033" i="16"/>
  <c r="B2031" i="16"/>
  <c r="B2030" i="16"/>
  <c r="B2029" i="16"/>
  <c r="B1993" i="16"/>
  <c r="B1992" i="16"/>
  <c r="B1989" i="16"/>
  <c r="B1988" i="16"/>
  <c r="B1984" i="16"/>
  <c r="B1981" i="16"/>
  <c r="B1980" i="16"/>
  <c r="B1957" i="16"/>
  <c r="B1956" i="16"/>
  <c r="B1919" i="16"/>
  <c r="B1918" i="16"/>
  <c r="B1917" i="16"/>
  <c r="B1877" i="16"/>
  <c r="B1876" i="16"/>
  <c r="B1873" i="16"/>
  <c r="B1872" i="16"/>
  <c r="B1868" i="16"/>
  <c r="B1865" i="16"/>
  <c r="B1864" i="16"/>
  <c r="B1841" i="16"/>
  <c r="B1840" i="16"/>
  <c r="B1803" i="16"/>
  <c r="B1802" i="16"/>
  <c r="B1801" i="16"/>
  <c r="B1799" i="16"/>
  <c r="B1798" i="16"/>
  <c r="B1797" i="16"/>
  <c r="B1761" i="16"/>
  <c r="B1760" i="16"/>
  <c r="B1757" i="16"/>
  <c r="B1756" i="16"/>
  <c r="B1752" i="16"/>
  <c r="B1749" i="16"/>
  <c r="B1748" i="16"/>
  <c r="B1725" i="16"/>
  <c r="B1724" i="16"/>
  <c r="B1685" i="16"/>
  <c r="B1684" i="16"/>
  <c r="B1683" i="16"/>
  <c r="B1681" i="16"/>
  <c r="B1680" i="16"/>
  <c r="B1679" i="16"/>
  <c r="B1643" i="16"/>
  <c r="B1642" i="16"/>
  <c r="B1639" i="16"/>
  <c r="B1638" i="16"/>
  <c r="B1634" i="16"/>
  <c r="B1607" i="16"/>
  <c r="B1606" i="16"/>
  <c r="B1569" i="16"/>
  <c r="B1568" i="16"/>
  <c r="B1567" i="16"/>
  <c r="B1565" i="16"/>
  <c r="B1564" i="16"/>
  <c r="B1563" i="16"/>
  <c r="B1527" i="16"/>
  <c r="B1526" i="16"/>
  <c r="B1523" i="16"/>
  <c r="B1522" i="16"/>
  <c r="B1518" i="16"/>
  <c r="B1515" i="16"/>
  <c r="B1514" i="16"/>
  <c r="B1246" i="16"/>
  <c r="B1250" i="16"/>
  <c r="B1245" i="16"/>
  <c r="B1249" i="16"/>
  <c r="B1244" i="16"/>
  <c r="B1248" i="16"/>
  <c r="B1252" i="16"/>
  <c r="B1243" i="16"/>
  <c r="B1204" i="16"/>
  <c r="B1213" i="16" s="1"/>
  <c r="B1247" i="16"/>
  <c r="B1251" i="16"/>
  <c r="B1235" i="16"/>
  <c r="B1236" i="16"/>
  <c r="B1201" i="16"/>
  <c r="B1202" i="16"/>
  <c r="B1223" i="16"/>
  <c r="B1226" i="16"/>
  <c r="B1229" i="16"/>
  <c r="B1230" i="16"/>
  <c r="B1227" i="16"/>
  <c r="B1224" i="16"/>
  <c r="B1221" i="16"/>
  <c r="B1218" i="16"/>
  <c r="B1208" i="16"/>
  <c r="B1203" i="16"/>
  <c r="A1211" i="16"/>
  <c r="A1210" i="16"/>
  <c r="A1203" i="16"/>
  <c r="A1201" i="16"/>
  <c r="A1200" i="16"/>
  <c r="A1199" i="16"/>
  <c r="A1197" i="16"/>
  <c r="B1171" i="16"/>
  <c r="B1169" i="16"/>
  <c r="B1163" i="16"/>
  <c r="B1162" i="16"/>
  <c r="B1161" i="16"/>
  <c r="B1160" i="16"/>
  <c r="B1167" i="16"/>
  <c r="B1159" i="16" s="1"/>
  <c r="B1166" i="16"/>
  <c r="B1165" i="16"/>
  <c r="B1164" i="16"/>
  <c r="B1168" i="16"/>
  <c r="B1151" i="16"/>
  <c r="B1152" i="16"/>
  <c r="B1133" i="16"/>
  <c r="B1137" i="16"/>
  <c r="B1134" i="16"/>
  <c r="B1140" i="16"/>
  <c r="B1143" i="16"/>
  <c r="B1146" i="16"/>
  <c r="B1147" i="16"/>
  <c r="B1144" i="16"/>
  <c r="B1141" i="16"/>
  <c r="B1138" i="16"/>
  <c r="B1135" i="16"/>
  <c r="A1154" i="16"/>
  <c r="A1131" i="16"/>
  <c r="A1129" i="16"/>
  <c r="B1068" i="16"/>
  <c r="B1078" i="16"/>
  <c r="B1069" i="16"/>
  <c r="B1052" i="16"/>
  <c r="B1061" i="16" s="1"/>
  <c r="B1056" i="16"/>
  <c r="B1066" i="16"/>
  <c r="B1054" i="16"/>
  <c r="B1042" i="16"/>
  <c r="A1042" i="16"/>
  <c r="B990" i="16"/>
  <c r="B993" i="16"/>
  <c r="B1000" i="16"/>
  <c r="B997" i="16"/>
  <c r="B994" i="16"/>
  <c r="B991" i="16"/>
  <c r="B929" i="16"/>
  <c r="B932" i="16"/>
  <c r="B924" i="16"/>
  <c r="B945" i="16"/>
  <c r="B939" i="16"/>
  <c r="B936" i="16"/>
  <c r="B933" i="16"/>
  <c r="B930" i="16"/>
  <c r="B921" i="16"/>
  <c r="B916" i="16"/>
  <c r="A917" i="16"/>
  <c r="B855" i="16"/>
  <c r="B852" i="16"/>
  <c r="B845" i="16"/>
  <c r="B868" i="16"/>
  <c r="B862" i="16"/>
  <c r="B859" i="16"/>
  <c r="B856" i="16"/>
  <c r="B853" i="16"/>
  <c r="B847" i="16"/>
  <c r="B844" i="16"/>
  <c r="B843" i="16"/>
  <c r="B842" i="16"/>
  <c r="B837" i="16"/>
  <c r="B836" i="16"/>
  <c r="A823" i="16"/>
  <c r="A740" i="16"/>
  <c r="A739" i="16"/>
  <c r="B771" i="16"/>
  <c r="B770" i="16"/>
  <c r="A490" i="16"/>
  <c r="A489" i="16"/>
  <c r="B654" i="16"/>
  <c r="I965" i="7"/>
  <c r="B646" i="16" s="1"/>
  <c r="B641" i="16"/>
  <c r="B640" i="16"/>
  <c r="B639" i="16"/>
  <c r="B638" i="16"/>
  <c r="B757" i="16"/>
  <c r="K1745" i="12"/>
  <c r="N1708" i="12"/>
  <c r="N1701" i="12"/>
  <c r="N1702" i="12"/>
  <c r="N1703" i="12"/>
  <c r="N1704" i="12"/>
  <c r="N1709" i="12"/>
  <c r="N1710" i="12"/>
  <c r="K1762" i="12"/>
  <c r="B1108" i="12"/>
  <c r="B1105" i="12"/>
  <c r="B1107" i="12"/>
  <c r="B501" i="12"/>
  <c r="M454" i="10"/>
  <c r="C291" i="12"/>
  <c r="O1706" i="12"/>
  <c r="B1106" i="12"/>
  <c r="B975" i="12"/>
  <c r="C917" i="12"/>
  <c r="B466" i="12"/>
  <c r="A467" i="12"/>
  <c r="B148" i="10"/>
  <c r="A148" i="10"/>
  <c r="H81" i="11"/>
  <c r="H48" i="11"/>
  <c r="H25" i="11"/>
  <c r="E1735" i="12"/>
  <c r="G958" i="7"/>
  <c r="B518" i="12" s="1"/>
  <c r="A2289" i="12"/>
  <c r="K472" i="12"/>
  <c r="J472" i="12"/>
  <c r="I472" i="12"/>
  <c r="H472" i="12"/>
  <c r="G472" i="12"/>
  <c r="F472" i="12"/>
  <c r="E472" i="12"/>
  <c r="D472" i="12"/>
  <c r="C472" i="12"/>
  <c r="B472" i="12"/>
  <c r="P440" i="12"/>
  <c r="O440" i="12"/>
  <c r="N440" i="12"/>
  <c r="M440" i="12"/>
  <c r="L440" i="12"/>
  <c r="K440" i="12"/>
  <c r="J440" i="12"/>
  <c r="I440" i="12"/>
  <c r="H440" i="12"/>
  <c r="G440" i="12"/>
  <c r="F440" i="12"/>
  <c r="E440" i="12"/>
  <c r="D440" i="12"/>
  <c r="C440" i="12"/>
  <c r="B440" i="12"/>
  <c r="J533" i="8"/>
  <c r="H199" i="8" s="1"/>
  <c r="G311" i="8"/>
  <c r="G316" i="8"/>
  <c r="G317" i="8" s="1"/>
  <c r="G377" i="8"/>
  <c r="J476" i="8"/>
  <c r="H184" i="8" s="1"/>
  <c r="J480" i="8"/>
  <c r="G315" i="8"/>
  <c r="J493" i="8" s="1"/>
  <c r="G375" i="8"/>
  <c r="B262" i="14"/>
  <c r="B2404" i="14"/>
  <c r="B2429" i="14"/>
  <c r="B2431" i="14"/>
  <c r="B2444" i="14"/>
  <c r="B2446" i="14"/>
  <c r="B271" i="14"/>
  <c r="B2391" i="14" s="1"/>
  <c r="B2457" i="14"/>
  <c r="B2459" i="14"/>
  <c r="B2460" i="14"/>
  <c r="B2461" i="14" s="1"/>
  <c r="B2465" i="14"/>
  <c r="B2488" i="14"/>
  <c r="B2489" i="14" s="1"/>
  <c r="B2490" i="14"/>
  <c r="B2491" i="14" s="1"/>
  <c r="B2502" i="14"/>
  <c r="B2503" i="14" s="1"/>
  <c r="B2504" i="14"/>
  <c r="B2505" i="14" s="1"/>
  <c r="B2596" i="14"/>
  <c r="D59" i="14" s="1"/>
  <c r="B272" i="14"/>
  <c r="B2515" i="14"/>
  <c r="D62" i="14" s="1"/>
  <c r="B291" i="13"/>
  <c r="B329" i="13"/>
  <c r="B659" i="13"/>
  <c r="B654" i="13"/>
  <c r="B1097" i="13" s="1"/>
  <c r="B1102" i="13"/>
  <c r="B456" i="14"/>
  <c r="B462" i="14"/>
  <c r="B2550" i="14"/>
  <c r="B2552" i="14"/>
  <c r="B2554" i="14"/>
  <c r="B281" i="14"/>
  <c r="B278" i="14"/>
  <c r="B3222" i="14"/>
  <c r="B3060" i="14"/>
  <c r="B3069" i="14" s="1"/>
  <c r="B276" i="14"/>
  <c r="B2777" i="14" s="1"/>
  <c r="B3239" i="14"/>
  <c r="B3117" i="14"/>
  <c r="B3131" i="14" s="1"/>
  <c r="B2765" i="14"/>
  <c r="B3194" i="14"/>
  <c r="B3195" i="14"/>
  <c r="B3196" i="14"/>
  <c r="B2978" i="14"/>
  <c r="B3412" i="14"/>
  <c r="B3408" i="14"/>
  <c r="B3398" i="14"/>
  <c r="B3399" i="14"/>
  <c r="B3400" i="14"/>
  <c r="B3415" i="14" s="1"/>
  <c r="B3424" i="14"/>
  <c r="B3426" i="14"/>
  <c r="B3416" i="14"/>
  <c r="B3392" i="14"/>
  <c r="B3374" i="14"/>
  <c r="B3368" i="14"/>
  <c r="B3377" i="14"/>
  <c r="B3378" i="14"/>
  <c r="B3379" i="14" s="1"/>
  <c r="B3359" i="14"/>
  <c r="B3360" i="14" s="1"/>
  <c r="H82" i="14"/>
  <c r="H83" i="14"/>
  <c r="B318" i="13"/>
  <c r="B349" i="13" s="1"/>
  <c r="B555" i="13"/>
  <c r="B319" i="13"/>
  <c r="B482" i="13" s="1"/>
  <c r="B668" i="13"/>
  <c r="B946" i="13"/>
  <c r="B3147" i="14"/>
  <c r="B2905" i="14"/>
  <c r="B3125" i="14" s="1"/>
  <c r="B3126" i="14" s="1"/>
  <c r="B2907" i="14"/>
  <c r="B3127" i="14"/>
  <c r="B3128" i="14" s="1"/>
  <c r="B2855" i="14"/>
  <c r="B2865" i="14" s="1"/>
  <c r="B2852" i="14"/>
  <c r="B2890" i="14"/>
  <c r="B2892" i="14"/>
  <c r="B2952" i="14" s="1"/>
  <c r="B2953" i="14" s="1"/>
  <c r="B2919" i="14"/>
  <c r="B2921" i="14"/>
  <c r="B2922" i="14"/>
  <c r="B2923" i="14" s="1"/>
  <c r="B2927" i="14"/>
  <c r="B2908" i="14"/>
  <c r="B2893" i="14"/>
  <c r="B2610" i="14"/>
  <c r="B2611" i="14"/>
  <c r="B2977" i="14"/>
  <c r="B423" i="14"/>
  <c r="B384" i="14"/>
  <c r="B529" i="14"/>
  <c r="B509" i="14"/>
  <c r="B518" i="14"/>
  <c r="D71" i="14"/>
  <c r="B83" i="13"/>
  <c r="S69" i="13"/>
  <c r="S70" i="13"/>
  <c r="T36" i="14"/>
  <c r="T37" i="14"/>
  <c r="T38" i="14"/>
  <c r="T39" i="14"/>
  <c r="T40" i="14"/>
  <c r="T41" i="14"/>
  <c r="T42" i="14"/>
  <c r="T43" i="14"/>
  <c r="T44" i="14"/>
  <c r="T45" i="14"/>
  <c r="A70" i="14"/>
  <c r="A61" i="14"/>
  <c r="S61" i="13"/>
  <c r="S62" i="13"/>
  <c r="S63" i="13"/>
  <c r="S64" i="13"/>
  <c r="S65" i="13"/>
  <c r="S66" i="13"/>
  <c r="S67" i="13"/>
  <c r="S68" i="13"/>
  <c r="K476" i="8"/>
  <c r="I184" i="8" s="1"/>
  <c r="K480" i="8"/>
  <c r="K533" i="8"/>
  <c r="I199" i="8" s="1"/>
  <c r="L476" i="8"/>
  <c r="J184" i="8" s="1"/>
  <c r="L480" i="8"/>
  <c r="L533" i="8"/>
  <c r="J199" i="8" s="1"/>
  <c r="M476" i="8"/>
  <c r="K184" i="8" s="1"/>
  <c r="M480" i="8"/>
  <c r="M533" i="8"/>
  <c r="I476" i="8"/>
  <c r="G184" i="8" s="1"/>
  <c r="I480" i="8"/>
  <c r="I533" i="8"/>
  <c r="A1078" i="12"/>
  <c r="C1077" i="12"/>
  <c r="D1077" i="12"/>
  <c r="E1077" i="12"/>
  <c r="F1077" i="12"/>
  <c r="B1077" i="12"/>
  <c r="A1077" i="12"/>
  <c r="B1064" i="12"/>
  <c r="B1073" i="12" s="1"/>
  <c r="B1025" i="12"/>
  <c r="B1024" i="12"/>
  <c r="B474" i="12"/>
  <c r="C474" i="12"/>
  <c r="D474" i="12"/>
  <c r="E474" i="12"/>
  <c r="F474" i="12"/>
  <c r="G474" i="12"/>
  <c r="H474" i="12"/>
  <c r="I474" i="12"/>
  <c r="J474" i="12"/>
  <c r="K474" i="12"/>
  <c r="B475" i="12"/>
  <c r="C475" i="12"/>
  <c r="D475" i="12"/>
  <c r="E475" i="12"/>
  <c r="F475" i="12"/>
  <c r="G475" i="12"/>
  <c r="H475" i="12"/>
  <c r="I475" i="12"/>
  <c r="J475" i="12"/>
  <c r="K475" i="12"/>
  <c r="B476" i="12"/>
  <c r="C476" i="12"/>
  <c r="D476" i="12"/>
  <c r="E476" i="12"/>
  <c r="F476" i="12"/>
  <c r="G476" i="12"/>
  <c r="H476" i="12"/>
  <c r="I476" i="12"/>
  <c r="J476" i="12"/>
  <c r="K476" i="12"/>
  <c r="B477" i="12"/>
  <c r="C477" i="12"/>
  <c r="D477" i="12"/>
  <c r="E477" i="12"/>
  <c r="F477" i="12"/>
  <c r="G477" i="12"/>
  <c r="H477" i="12"/>
  <c r="I477" i="12"/>
  <c r="J477" i="12"/>
  <c r="K477" i="12"/>
  <c r="B478" i="12"/>
  <c r="C478" i="12"/>
  <c r="D478" i="12"/>
  <c r="E478" i="12"/>
  <c r="F478" i="12"/>
  <c r="G478" i="12"/>
  <c r="H478" i="12"/>
  <c r="I478" i="12"/>
  <c r="J478" i="12"/>
  <c r="K478" i="12"/>
  <c r="B479" i="12"/>
  <c r="C479" i="12"/>
  <c r="D479" i="12"/>
  <c r="E479" i="12"/>
  <c r="F479" i="12"/>
  <c r="G479" i="12"/>
  <c r="H479" i="12"/>
  <c r="I479" i="12"/>
  <c r="J479" i="12"/>
  <c r="K479" i="12"/>
  <c r="B480" i="12"/>
  <c r="C480" i="12"/>
  <c r="D480" i="12"/>
  <c r="E480" i="12"/>
  <c r="F480" i="12"/>
  <c r="G480" i="12"/>
  <c r="H480" i="12"/>
  <c r="I480" i="12"/>
  <c r="J480" i="12"/>
  <c r="K480" i="12"/>
  <c r="B481" i="12"/>
  <c r="C481" i="12"/>
  <c r="D481" i="12"/>
  <c r="E481" i="12"/>
  <c r="F481" i="12"/>
  <c r="G481" i="12"/>
  <c r="H481" i="12"/>
  <c r="I481" i="12"/>
  <c r="J481" i="12"/>
  <c r="K481" i="12"/>
  <c r="B482" i="12"/>
  <c r="C482" i="12"/>
  <c r="D482" i="12"/>
  <c r="E482" i="12"/>
  <c r="F482" i="12"/>
  <c r="G482" i="12"/>
  <c r="H482" i="12"/>
  <c r="I482" i="12"/>
  <c r="J482" i="12"/>
  <c r="K482" i="12"/>
  <c r="B483" i="12"/>
  <c r="C483" i="12"/>
  <c r="D483" i="12"/>
  <c r="E483" i="12"/>
  <c r="F483" i="12"/>
  <c r="G483" i="12"/>
  <c r="H483" i="12"/>
  <c r="I483" i="12"/>
  <c r="J483" i="12"/>
  <c r="K483" i="12"/>
  <c r="B484" i="12"/>
  <c r="C484" i="12"/>
  <c r="D484" i="12"/>
  <c r="E484" i="12"/>
  <c r="F484" i="12"/>
  <c r="G484" i="12"/>
  <c r="H484" i="12"/>
  <c r="I484" i="12"/>
  <c r="J484" i="12"/>
  <c r="K484" i="12"/>
  <c r="B485" i="12"/>
  <c r="C485" i="12"/>
  <c r="D485" i="12"/>
  <c r="E485" i="12"/>
  <c r="F485" i="12"/>
  <c r="G485" i="12"/>
  <c r="H485" i="12"/>
  <c r="I485" i="12"/>
  <c r="J485" i="12"/>
  <c r="K485" i="12"/>
  <c r="B486" i="12"/>
  <c r="C486" i="12"/>
  <c r="D486" i="12"/>
  <c r="E486" i="12"/>
  <c r="F486" i="12"/>
  <c r="G486" i="12"/>
  <c r="H486" i="12"/>
  <c r="I486" i="12"/>
  <c r="J486" i="12"/>
  <c r="K486" i="12"/>
  <c r="B487" i="12"/>
  <c r="C487" i="12"/>
  <c r="D487" i="12"/>
  <c r="E487" i="12"/>
  <c r="F487" i="12"/>
  <c r="G487" i="12"/>
  <c r="H487" i="12"/>
  <c r="I487" i="12"/>
  <c r="J487" i="12"/>
  <c r="K487" i="12"/>
  <c r="C473" i="12"/>
  <c r="D473" i="12"/>
  <c r="E473" i="12"/>
  <c r="F473" i="12"/>
  <c r="G473" i="12"/>
  <c r="H473" i="12"/>
  <c r="I473" i="12"/>
  <c r="J473" i="12"/>
  <c r="K473" i="12"/>
  <c r="B473" i="12"/>
  <c r="F848" i="7"/>
  <c r="B462" i="12"/>
  <c r="C462" i="12"/>
  <c r="D462" i="12"/>
  <c r="E462" i="12"/>
  <c r="F462" i="12"/>
  <c r="G462" i="12"/>
  <c r="H462" i="12"/>
  <c r="I462" i="12"/>
  <c r="J462" i="12"/>
  <c r="K462" i="12"/>
  <c r="L462" i="12"/>
  <c r="M462" i="12"/>
  <c r="N462" i="12"/>
  <c r="O462" i="12"/>
  <c r="P462" i="12"/>
  <c r="B463" i="12"/>
  <c r="C463" i="12"/>
  <c r="D463" i="12"/>
  <c r="E463" i="12"/>
  <c r="F463" i="12"/>
  <c r="G463" i="12"/>
  <c r="H463" i="12"/>
  <c r="I463" i="12"/>
  <c r="J463" i="12"/>
  <c r="K463" i="12"/>
  <c r="L463" i="12"/>
  <c r="M463" i="12"/>
  <c r="N463" i="12"/>
  <c r="O463" i="12"/>
  <c r="P463" i="12"/>
  <c r="B464" i="12"/>
  <c r="C464" i="12"/>
  <c r="D464" i="12"/>
  <c r="E464" i="12"/>
  <c r="F464" i="12"/>
  <c r="G464" i="12"/>
  <c r="H464" i="12"/>
  <c r="I464" i="12"/>
  <c r="J464" i="12"/>
  <c r="K464" i="12"/>
  <c r="L464" i="12"/>
  <c r="M464" i="12"/>
  <c r="N464" i="12"/>
  <c r="O464" i="12"/>
  <c r="P464" i="12"/>
  <c r="H465" i="12"/>
  <c r="I465" i="12"/>
  <c r="J465" i="12"/>
  <c r="K465" i="12"/>
  <c r="L465" i="12"/>
  <c r="M465" i="12"/>
  <c r="N465" i="12"/>
  <c r="O465" i="12"/>
  <c r="P465" i="12"/>
  <c r="E470" i="12"/>
  <c r="F470" i="12"/>
  <c r="G470" i="12"/>
  <c r="D470" i="12"/>
  <c r="B494" i="7"/>
  <c r="B389" i="7"/>
  <c r="B445" i="12"/>
  <c r="C445" i="12"/>
  <c r="D445" i="12"/>
  <c r="E445" i="12"/>
  <c r="F445" i="12"/>
  <c r="G445" i="12"/>
  <c r="H445" i="12"/>
  <c r="I445" i="12"/>
  <c r="J445" i="12"/>
  <c r="K445" i="12"/>
  <c r="L445" i="12"/>
  <c r="M445" i="12"/>
  <c r="N445" i="12"/>
  <c r="O445" i="12"/>
  <c r="P445" i="12"/>
  <c r="B446" i="12"/>
  <c r="C446" i="12"/>
  <c r="D446" i="12"/>
  <c r="E446" i="12"/>
  <c r="F446" i="12"/>
  <c r="G446" i="12"/>
  <c r="H446" i="12"/>
  <c r="I446" i="12"/>
  <c r="J446" i="12"/>
  <c r="K446" i="12"/>
  <c r="L446" i="12"/>
  <c r="M446" i="12"/>
  <c r="N446" i="12"/>
  <c r="O446" i="12"/>
  <c r="P446" i="12"/>
  <c r="B447" i="12"/>
  <c r="C447" i="12"/>
  <c r="D447" i="12"/>
  <c r="E447" i="12"/>
  <c r="F447" i="12"/>
  <c r="G447" i="12"/>
  <c r="H447" i="12"/>
  <c r="I447" i="12"/>
  <c r="J447" i="12"/>
  <c r="K447" i="12"/>
  <c r="L447" i="12"/>
  <c r="M447" i="12"/>
  <c r="N447" i="12"/>
  <c r="O447" i="12"/>
  <c r="P447" i="12"/>
  <c r="B448" i="12"/>
  <c r="C448" i="12"/>
  <c r="D448" i="12"/>
  <c r="E448" i="12"/>
  <c r="F448" i="12"/>
  <c r="G448" i="12"/>
  <c r="H448" i="12"/>
  <c r="I448" i="12"/>
  <c r="J448" i="12"/>
  <c r="K448" i="12"/>
  <c r="L448" i="12"/>
  <c r="M448" i="12"/>
  <c r="N448" i="12"/>
  <c r="O448" i="12"/>
  <c r="P448" i="12"/>
  <c r="B449" i="12"/>
  <c r="C449" i="12"/>
  <c r="D449" i="12"/>
  <c r="E449" i="12"/>
  <c r="F449" i="12"/>
  <c r="G449" i="12"/>
  <c r="H449" i="12"/>
  <c r="I449" i="12"/>
  <c r="J449" i="12"/>
  <c r="K449" i="12"/>
  <c r="L449" i="12"/>
  <c r="M449" i="12"/>
  <c r="N449" i="12"/>
  <c r="O449" i="12"/>
  <c r="P449" i="12"/>
  <c r="B450" i="12"/>
  <c r="C450" i="12"/>
  <c r="D450" i="12"/>
  <c r="E450" i="12"/>
  <c r="F450" i="12"/>
  <c r="G450" i="12"/>
  <c r="H450" i="12"/>
  <c r="I450" i="12"/>
  <c r="J450" i="12"/>
  <c r="K450" i="12"/>
  <c r="L450" i="12"/>
  <c r="M450" i="12"/>
  <c r="N450" i="12"/>
  <c r="O450" i="12"/>
  <c r="P450" i="12"/>
  <c r="B451" i="12"/>
  <c r="C451" i="12"/>
  <c r="D451" i="12"/>
  <c r="E451" i="12"/>
  <c r="F451" i="12"/>
  <c r="G451" i="12"/>
  <c r="H451" i="12"/>
  <c r="I451" i="12"/>
  <c r="J451" i="12"/>
  <c r="K451" i="12"/>
  <c r="L451" i="12"/>
  <c r="M451" i="12"/>
  <c r="N451" i="12"/>
  <c r="O451" i="12"/>
  <c r="P451" i="12"/>
  <c r="B452" i="12"/>
  <c r="C452" i="12"/>
  <c r="D452" i="12"/>
  <c r="E452" i="12"/>
  <c r="F452" i="12"/>
  <c r="G452" i="12"/>
  <c r="H452" i="12"/>
  <c r="I452" i="12"/>
  <c r="J452" i="12"/>
  <c r="K452" i="12"/>
  <c r="L452" i="12"/>
  <c r="M452" i="12"/>
  <c r="N452" i="12"/>
  <c r="O452" i="12"/>
  <c r="P452" i="12"/>
  <c r="B453" i="12"/>
  <c r="C453" i="12"/>
  <c r="D453" i="12"/>
  <c r="E453" i="12"/>
  <c r="F453" i="12"/>
  <c r="G453" i="12"/>
  <c r="H453" i="12"/>
  <c r="I453" i="12"/>
  <c r="J453" i="12"/>
  <c r="K453" i="12"/>
  <c r="L453" i="12"/>
  <c r="M453" i="12"/>
  <c r="N453" i="12"/>
  <c r="O453" i="12"/>
  <c r="P453" i="12"/>
  <c r="B454" i="12"/>
  <c r="C454" i="12"/>
  <c r="D454" i="12"/>
  <c r="E454" i="12"/>
  <c r="F454" i="12"/>
  <c r="H454" i="12"/>
  <c r="I454" i="12"/>
  <c r="J454" i="12"/>
  <c r="K454" i="12"/>
  <c r="L454" i="12"/>
  <c r="M454" i="12"/>
  <c r="N454" i="12"/>
  <c r="O454" i="12"/>
  <c r="P454" i="12"/>
  <c r="B455" i="12"/>
  <c r="C455" i="12"/>
  <c r="D455" i="12"/>
  <c r="E455" i="12"/>
  <c r="F455" i="12"/>
  <c r="H455" i="12"/>
  <c r="I455" i="12"/>
  <c r="J455" i="12"/>
  <c r="K455" i="12"/>
  <c r="L455" i="12"/>
  <c r="M455" i="12"/>
  <c r="N455" i="12"/>
  <c r="O455" i="12"/>
  <c r="P455" i="12"/>
  <c r="B456" i="12"/>
  <c r="C456" i="12"/>
  <c r="D456" i="12"/>
  <c r="E456" i="12"/>
  <c r="F456" i="12"/>
  <c r="G456" i="12"/>
  <c r="H456" i="12"/>
  <c r="I456" i="12"/>
  <c r="J456" i="12"/>
  <c r="K456" i="12"/>
  <c r="L456" i="12"/>
  <c r="M456" i="12"/>
  <c r="N456" i="12"/>
  <c r="O456" i="12"/>
  <c r="P456" i="12"/>
  <c r="B457" i="12"/>
  <c r="C457" i="12"/>
  <c r="D457" i="12"/>
  <c r="E457" i="12"/>
  <c r="F457" i="12"/>
  <c r="G457" i="12"/>
  <c r="H457" i="12"/>
  <c r="I457" i="12"/>
  <c r="J457" i="12"/>
  <c r="K457" i="12"/>
  <c r="L457" i="12"/>
  <c r="M457" i="12"/>
  <c r="N457" i="12"/>
  <c r="O457" i="12"/>
  <c r="P457" i="12"/>
  <c r="B458" i="12"/>
  <c r="C458" i="12"/>
  <c r="D458" i="12"/>
  <c r="E458" i="12"/>
  <c r="F458" i="12"/>
  <c r="G458" i="12"/>
  <c r="H458" i="12"/>
  <c r="I458" i="12"/>
  <c r="J458" i="12"/>
  <c r="K458" i="12"/>
  <c r="L458" i="12"/>
  <c r="M458" i="12"/>
  <c r="N458" i="12"/>
  <c r="O458" i="12"/>
  <c r="P458" i="12"/>
  <c r="B459" i="12"/>
  <c r="C459" i="12"/>
  <c r="D459" i="12"/>
  <c r="E459" i="12"/>
  <c r="F459" i="12"/>
  <c r="G459" i="12"/>
  <c r="H459" i="12"/>
  <c r="I459" i="12"/>
  <c r="J459" i="12"/>
  <c r="K459" i="12"/>
  <c r="L459" i="12"/>
  <c r="M459" i="12"/>
  <c r="N459" i="12"/>
  <c r="O459" i="12"/>
  <c r="P459" i="12"/>
  <c r="B460" i="12"/>
  <c r="C460" i="12"/>
  <c r="D460" i="12"/>
  <c r="E460" i="12"/>
  <c r="F460" i="12"/>
  <c r="G460" i="12"/>
  <c r="H460" i="12"/>
  <c r="I460" i="12"/>
  <c r="J460" i="12"/>
  <c r="K460" i="12"/>
  <c r="L460" i="12"/>
  <c r="M460" i="12"/>
  <c r="N460" i="12"/>
  <c r="O460" i="12"/>
  <c r="P460" i="12"/>
  <c r="B461" i="12"/>
  <c r="C461" i="12"/>
  <c r="D461" i="12"/>
  <c r="E461" i="12"/>
  <c r="F461" i="12"/>
  <c r="G461" i="12"/>
  <c r="H461" i="12"/>
  <c r="I461" i="12"/>
  <c r="J461" i="12"/>
  <c r="K461" i="12"/>
  <c r="L461" i="12"/>
  <c r="M461" i="12"/>
  <c r="N461" i="12"/>
  <c r="O461" i="12"/>
  <c r="P461" i="12"/>
  <c r="B390" i="7"/>
  <c r="B391" i="7"/>
  <c r="B392" i="7"/>
  <c r="B393" i="7"/>
  <c r="B394" i="7"/>
  <c r="N438" i="12"/>
  <c r="O438" i="12"/>
  <c r="P438" i="12"/>
  <c r="O348" i="12"/>
  <c r="A54" i="14"/>
  <c r="A1434" i="12" s="1"/>
  <c r="J982" i="7"/>
  <c r="H973" i="7"/>
  <c r="B508" i="12" s="1"/>
  <c r="K161" i="10"/>
  <c r="L161" i="10"/>
  <c r="M161" i="10"/>
  <c r="N161" i="10"/>
  <c r="J161" i="10"/>
  <c r="A150" i="10"/>
  <c r="B396" i="7"/>
  <c r="A379" i="7"/>
  <c r="F235" i="9"/>
  <c r="T28" i="9"/>
  <c r="J211" i="9" s="1"/>
  <c r="H481" i="9"/>
  <c r="B549" i="9" s="1"/>
  <c r="H482" i="9"/>
  <c r="C549" i="9" s="1"/>
  <c r="H483" i="9"/>
  <c r="B550" i="9" s="1"/>
  <c r="D550" i="9" s="1"/>
  <c r="H484" i="9"/>
  <c r="C550" i="9" s="1"/>
  <c r="H485" i="9"/>
  <c r="B551" i="9" s="1"/>
  <c r="H486" i="9"/>
  <c r="C551" i="9" s="1"/>
  <c r="B552" i="9"/>
  <c r="F552" i="9" s="1"/>
  <c r="H552" i="9" s="1"/>
  <c r="I479" i="9"/>
  <c r="I680" i="9" s="1"/>
  <c r="J479" i="9"/>
  <c r="J680" i="9" s="1"/>
  <c r="K479" i="9"/>
  <c r="K680" i="9" s="1"/>
  <c r="L479" i="9"/>
  <c r="L680" i="9" s="1"/>
  <c r="H479" i="9"/>
  <c r="B344" i="9" s="1"/>
  <c r="I806" i="9"/>
  <c r="J806" i="9"/>
  <c r="K806" i="9"/>
  <c r="L806" i="9"/>
  <c r="H806" i="9"/>
  <c r="B184" i="14"/>
  <c r="B183" i="14"/>
  <c r="G959" i="7"/>
  <c r="B519" i="12" s="1"/>
  <c r="G960" i="7"/>
  <c r="D961" i="7"/>
  <c r="D960" i="7"/>
  <c r="D959" i="7"/>
  <c r="D958" i="7"/>
  <c r="D957" i="7"/>
  <c r="D956" i="7"/>
  <c r="D955" i="7"/>
  <c r="G968" i="7"/>
  <c r="G967" i="7"/>
  <c r="G966" i="7"/>
  <c r="G965" i="7"/>
  <c r="G964" i="7"/>
  <c r="D968" i="7"/>
  <c r="D967" i="7"/>
  <c r="D966" i="7"/>
  <c r="D965" i="7"/>
  <c r="D964" i="7"/>
  <c r="B261" i="13"/>
  <c r="I846" i="7"/>
  <c r="H985" i="7"/>
  <c r="B254" i="13"/>
  <c r="B328" i="13" s="1"/>
  <c r="B208" i="13"/>
  <c r="B314" i="13" s="1"/>
  <c r="B566" i="13" s="1"/>
  <c r="B1182" i="15"/>
  <c r="B1177" i="15"/>
  <c r="B1178" i="15" s="1"/>
  <c r="B1164" i="15"/>
  <c r="B1166" i="15" s="1"/>
  <c r="B1156" i="15"/>
  <c r="B1152" i="15"/>
  <c r="B1148" i="15"/>
  <c r="B1139" i="15"/>
  <c r="B1138" i="15"/>
  <c r="B1140" i="15" s="1"/>
  <c r="B1134" i="15"/>
  <c r="B1135" i="15" s="1"/>
  <c r="B1131" i="15"/>
  <c r="B1120" i="15"/>
  <c r="B1119" i="15"/>
  <c r="B1116" i="15"/>
  <c r="B1110" i="15"/>
  <c r="B1101" i="15"/>
  <c r="B1102" i="15" s="1"/>
  <c r="B1086" i="15"/>
  <c r="B1047" i="15"/>
  <c r="B1003" i="15"/>
  <c r="B1018" i="15" s="1"/>
  <c r="B1011" i="15"/>
  <c r="B1010" i="15"/>
  <c r="B1022" i="15" s="1"/>
  <c r="B1007" i="15"/>
  <c r="B1023" i="15" s="1"/>
  <c r="B1031" i="15"/>
  <c r="B1012" i="15"/>
  <c r="B1021" i="15" s="1"/>
  <c r="B1009" i="15"/>
  <c r="A1010" i="15" s="1"/>
  <c r="B1008" i="15"/>
  <c r="B1006" i="15"/>
  <c r="A1008" i="15" s="1"/>
  <c r="A1007" i="15"/>
  <c r="B962" i="15"/>
  <c r="B981" i="15"/>
  <c r="B983" i="15" s="1"/>
  <c r="B973" i="15"/>
  <c r="B956" i="15"/>
  <c r="B955" i="15"/>
  <c r="B957" i="15" s="1"/>
  <c r="B948" i="15"/>
  <c r="B949" i="15" s="1"/>
  <c r="B936" i="15"/>
  <c r="B921" i="15"/>
  <c r="B937" i="15"/>
  <c r="B933" i="15"/>
  <c r="B927" i="15"/>
  <c r="B918" i="15"/>
  <c r="B919" i="15" s="1"/>
  <c r="B890" i="15"/>
  <c r="B889" i="15"/>
  <c r="B882" i="15"/>
  <c r="B865" i="15"/>
  <c r="B869" i="15"/>
  <c r="B864" i="15"/>
  <c r="B868" i="15"/>
  <c r="B863" i="15"/>
  <c r="B846" i="15"/>
  <c r="B858" i="15" s="1"/>
  <c r="B848" i="15"/>
  <c r="B857" i="15" s="1"/>
  <c r="B847" i="15"/>
  <c r="B856" i="15" s="1"/>
  <c r="B845" i="15"/>
  <c r="A846" i="15"/>
  <c r="B844" i="15"/>
  <c r="B843" i="15"/>
  <c r="B859" i="15" s="1"/>
  <c r="B842" i="15"/>
  <c r="B839" i="15"/>
  <c r="B854" i="15" s="1"/>
  <c r="B822" i="15"/>
  <c r="B825" i="15" s="1"/>
  <c r="B811" i="15"/>
  <c r="B817" i="15" s="1"/>
  <c r="B771" i="15"/>
  <c r="B787" i="15"/>
  <c r="B764" i="15"/>
  <c r="B780" i="15"/>
  <c r="B772" i="15"/>
  <c r="B770" i="15"/>
  <c r="B765" i="15"/>
  <c r="B781" i="15"/>
  <c r="A765" i="15"/>
  <c r="B763" i="15"/>
  <c r="B782" i="15" s="1"/>
  <c r="B762" i="15"/>
  <c r="A763" i="15" s="1"/>
  <c r="B761" i="15"/>
  <c r="B759" i="15"/>
  <c r="A761" i="15"/>
  <c r="B760" i="15"/>
  <c r="B783" i="15"/>
  <c r="A760" i="15"/>
  <c r="B756" i="15"/>
  <c r="B778" i="15"/>
  <c r="B738" i="15"/>
  <c r="B741" i="15" s="1"/>
  <c r="B727" i="15"/>
  <c r="B733" i="15" s="1"/>
  <c r="B667" i="15"/>
  <c r="B723" i="15" s="1"/>
  <c r="B711" i="15"/>
  <c r="B710" i="15"/>
  <c r="B687" i="15"/>
  <c r="B688" i="15"/>
  <c r="B700" i="15" s="1"/>
  <c r="B692" i="15"/>
  <c r="B663" i="15"/>
  <c r="B679" i="15"/>
  <c r="B673" i="15"/>
  <c r="B682" i="15"/>
  <c r="B672" i="15"/>
  <c r="B671" i="15"/>
  <c r="B670" i="15"/>
  <c r="B669" i="15"/>
  <c r="B683" i="15" s="1"/>
  <c r="B668" i="15"/>
  <c r="B583" i="15"/>
  <c r="B643" i="15" s="1"/>
  <c r="B601" i="15"/>
  <c r="B572" i="15"/>
  <c r="B594" i="15" s="1"/>
  <c r="B573" i="15"/>
  <c r="B580" i="15"/>
  <c r="B590" i="15" s="1"/>
  <c r="B578" i="15"/>
  <c r="B595" i="15" s="1"/>
  <c r="B582" i="15"/>
  <c r="B633" i="15" s="1"/>
  <c r="B579" i="15"/>
  <c r="B577" i="15"/>
  <c r="A579" i="15" s="1"/>
  <c r="A578" i="15"/>
  <c r="B574" i="15"/>
  <c r="B593" i="15"/>
  <c r="B571" i="15"/>
  <c r="A572" i="15" s="1"/>
  <c r="B569" i="15"/>
  <c r="B565" i="15"/>
  <c r="B564" i="15"/>
  <c r="B548" i="15"/>
  <c r="B551" i="15" s="1"/>
  <c r="B537" i="15"/>
  <c r="B543" i="15" s="1"/>
  <c r="B519" i="15"/>
  <c r="B517" i="15"/>
  <c r="B509" i="15"/>
  <c r="B492" i="15"/>
  <c r="B505" i="15" s="1"/>
  <c r="B493" i="15"/>
  <c r="B503" i="15" s="1"/>
  <c r="B494" i="15"/>
  <c r="B504" i="15" s="1"/>
  <c r="A494" i="15"/>
  <c r="B491" i="15"/>
  <c r="A492" i="15" s="1"/>
  <c r="B490" i="15"/>
  <c r="B489" i="15"/>
  <c r="B488" i="15"/>
  <c r="B486" i="15"/>
  <c r="B484" i="15"/>
  <c r="A486" i="15" s="1"/>
  <c r="B485" i="15"/>
  <c r="B506" i="15" s="1"/>
  <c r="A485" i="15"/>
  <c r="B482" i="15"/>
  <c r="B501" i="15" s="1"/>
  <c r="B440" i="15"/>
  <c r="B470" i="15"/>
  <c r="B471" i="15" s="1"/>
  <c r="B459" i="15"/>
  <c r="B461" i="15" s="1"/>
  <c r="B447" i="15"/>
  <c r="B451" i="15"/>
  <c r="B434" i="15"/>
  <c r="B433" i="15"/>
  <c r="B195" i="15"/>
  <c r="B399" i="15" s="1"/>
  <c r="B414" i="15" s="1"/>
  <c r="B413" i="15"/>
  <c r="B396" i="15"/>
  <c r="B397" i="15" s="1"/>
  <c r="B391" i="15"/>
  <c r="B393" i="15" s="1"/>
  <c r="B407" i="15"/>
  <c r="B409" i="15" s="1"/>
  <c r="B361" i="15"/>
  <c r="B364" i="15" s="1"/>
  <c r="B355" i="15"/>
  <c r="B342" i="15"/>
  <c r="B348" i="15"/>
  <c r="B326" i="15"/>
  <c r="B323" i="15"/>
  <c r="B273" i="15"/>
  <c r="B296" i="15" s="1"/>
  <c r="B278" i="15"/>
  <c r="B294" i="15" s="1"/>
  <c r="B284" i="15"/>
  <c r="B283" i="15"/>
  <c r="B282" i="15"/>
  <c r="B277" i="15"/>
  <c r="A278" i="15"/>
  <c r="B293" i="15"/>
  <c r="B276" i="15"/>
  <c r="B295" i="15" s="1"/>
  <c r="B275" i="15"/>
  <c r="A276" i="15" s="1"/>
  <c r="B274" i="15"/>
  <c r="B272" i="15"/>
  <c r="A274" i="15"/>
  <c r="A273" i="15"/>
  <c r="B269" i="15"/>
  <c r="B291" i="15" s="1"/>
  <c r="B243" i="15"/>
  <c r="B233" i="15"/>
  <c r="B225" i="15"/>
  <c r="B206" i="15"/>
  <c r="B209" i="15" s="1"/>
  <c r="B160" i="15"/>
  <c r="B191" i="15" s="1"/>
  <c r="B168" i="15"/>
  <c r="B177" i="15"/>
  <c r="B86" i="15"/>
  <c r="B88" i="15"/>
  <c r="B90" i="15"/>
  <c r="B92" i="15"/>
  <c r="B93" i="15"/>
  <c r="B148" i="15"/>
  <c r="B140" i="15"/>
  <c r="B109" i="15"/>
  <c r="B97" i="15"/>
  <c r="B91" i="15"/>
  <c r="A36" i="15"/>
  <c r="A34" i="15"/>
  <c r="A32" i="15"/>
  <c r="A30" i="15"/>
  <c r="A29" i="15"/>
  <c r="E3663" i="14"/>
  <c r="D3663" i="14"/>
  <c r="E3662" i="14"/>
  <c r="D3662" i="14"/>
  <c r="E3661" i="14"/>
  <c r="D3661" i="14"/>
  <c r="E3660" i="14"/>
  <c r="D3660" i="14"/>
  <c r="E3659" i="14"/>
  <c r="D3659" i="14"/>
  <c r="E3658" i="14"/>
  <c r="D3658" i="14"/>
  <c r="AB3657" i="14"/>
  <c r="E3657" i="14"/>
  <c r="D3657" i="14"/>
  <c r="AB3656" i="14"/>
  <c r="E3656" i="14"/>
  <c r="D3656" i="14"/>
  <c r="AB3655" i="14"/>
  <c r="E3655" i="14"/>
  <c r="D3655" i="14"/>
  <c r="AB3654" i="14"/>
  <c r="E3654" i="14"/>
  <c r="D3654" i="14"/>
  <c r="AB3653" i="14"/>
  <c r="E3653" i="14"/>
  <c r="D3653" i="14"/>
  <c r="AB3652" i="14"/>
  <c r="E3652" i="14"/>
  <c r="D3652" i="14"/>
  <c r="AB3651" i="14"/>
  <c r="E3651" i="14"/>
  <c r="D3651" i="14"/>
  <c r="AB3650" i="14"/>
  <c r="E3650" i="14"/>
  <c r="D3650" i="14"/>
  <c r="AC3605" i="14"/>
  <c r="AC3604" i="14"/>
  <c r="AC3603" i="14"/>
  <c r="AC3602" i="14"/>
  <c r="AC3601" i="14"/>
  <c r="AC3600" i="14"/>
  <c r="AB3599" i="14"/>
  <c r="AC3599" i="14" s="1"/>
  <c r="H3565" i="14"/>
  <c r="G3565" i="14"/>
  <c r="H3564" i="14"/>
  <c r="G3564" i="14"/>
  <c r="H3563" i="14"/>
  <c r="G3563" i="14"/>
  <c r="H3562" i="14"/>
  <c r="G3562" i="14"/>
  <c r="H3561" i="14"/>
  <c r="G3561" i="14"/>
  <c r="H3560" i="14"/>
  <c r="G3560" i="14"/>
  <c r="H3559" i="14"/>
  <c r="G3559" i="14"/>
  <c r="H3558" i="14"/>
  <c r="G3558" i="14"/>
  <c r="H3557" i="14"/>
  <c r="G3557" i="14"/>
  <c r="H3556" i="14"/>
  <c r="G3556" i="14"/>
  <c r="H3555" i="14"/>
  <c r="G3555" i="14"/>
  <c r="H3554" i="14"/>
  <c r="G3554" i="14"/>
  <c r="H3553" i="14"/>
  <c r="G3553" i="14"/>
  <c r="H3552" i="14"/>
  <c r="G3552" i="14"/>
  <c r="G3566" i="14" s="1"/>
  <c r="M3531" i="14"/>
  <c r="M3530" i="14"/>
  <c r="M3529" i="14"/>
  <c r="M3528" i="14"/>
  <c r="M3527" i="14"/>
  <c r="M3526" i="14"/>
  <c r="M3525" i="14"/>
  <c r="M3524" i="14"/>
  <c r="B3437" i="14"/>
  <c r="B3269" i="14"/>
  <c r="B3264" i="14"/>
  <c r="B3263" i="14"/>
  <c r="B3258" i="14"/>
  <c r="B3252" i="14"/>
  <c r="B3250" i="14"/>
  <c r="B3249" i="14"/>
  <c r="B3244" i="14"/>
  <c r="B3229" i="14"/>
  <c r="B3206" i="14"/>
  <c r="B3176" i="14"/>
  <c r="B3166" i="14"/>
  <c r="B3143" i="14"/>
  <c r="B3046" i="14"/>
  <c r="B3030" i="14"/>
  <c r="B3031" i="14" s="1"/>
  <c r="B3015" i="14"/>
  <c r="B3016" i="14" s="1"/>
  <c r="B3013" i="14"/>
  <c r="B3014" i="14" s="1"/>
  <c r="B3011" i="14"/>
  <c r="B3012" i="14" s="1"/>
  <c r="B2999" i="14"/>
  <c r="B2997" i="14"/>
  <c r="B3092" i="14"/>
  <c r="B3093" i="14" s="1"/>
  <c r="B2688" i="14"/>
  <c r="B2684" i="14"/>
  <c r="B2685" i="14" s="1"/>
  <c r="B2682" i="14"/>
  <c r="B2683" i="14" s="1"/>
  <c r="B2660" i="14"/>
  <c r="B2661" i="14" s="1"/>
  <c r="B2658" i="14"/>
  <c r="B2659" i="14" s="1"/>
  <c r="B2649" i="14"/>
  <c r="B2650" i="14" s="1"/>
  <c r="B2647" i="14"/>
  <c r="B2648" i="14" s="1"/>
  <c r="B2626" i="14"/>
  <c r="B2603" i="14"/>
  <c r="B2579" i="14"/>
  <c r="B2562" i="14"/>
  <c r="B2408" i="14"/>
  <c r="B522" i="14"/>
  <c r="B521" i="14"/>
  <c r="B520" i="14"/>
  <c r="B519" i="14"/>
  <c r="B513" i="14"/>
  <c r="B512" i="14"/>
  <c r="B511" i="14"/>
  <c r="B510" i="14"/>
  <c r="B500" i="14"/>
  <c r="B492" i="14"/>
  <c r="B490" i="14"/>
  <c r="B488" i="14"/>
  <c r="B427" i="14"/>
  <c r="B426" i="14"/>
  <c r="B425" i="14"/>
  <c r="B424" i="14"/>
  <c r="B403" i="14"/>
  <c r="B402" i="14"/>
  <c r="B396" i="14"/>
  <c r="B390" i="14"/>
  <c r="B389" i="14"/>
  <c r="B2263" i="13"/>
  <c r="B2190" i="13"/>
  <c r="B2234" i="13"/>
  <c r="B2230" i="13"/>
  <c r="B2217" i="13"/>
  <c r="B2186" i="13"/>
  <c r="B2185" i="13"/>
  <c r="B2182" i="13"/>
  <c r="B2181" i="13"/>
  <c r="B2179" i="13"/>
  <c r="B2178" i="13"/>
  <c r="B2172" i="13"/>
  <c r="B2177" i="13"/>
  <c r="B2168" i="13"/>
  <c r="AN2150" i="13"/>
  <c r="AM2150" i="13"/>
  <c r="AL2150" i="13"/>
  <c r="AK2150" i="13"/>
  <c r="AN2149" i="13"/>
  <c r="AM2149" i="13"/>
  <c r="AL2149" i="13"/>
  <c r="AK2149" i="13"/>
  <c r="AN2145" i="13"/>
  <c r="AM2145" i="13"/>
  <c r="AL2145" i="13"/>
  <c r="AK2145" i="13"/>
  <c r="AJ2145" i="13"/>
  <c r="B2122" i="13"/>
  <c r="B2162" i="13" s="1"/>
  <c r="B2120" i="13"/>
  <c r="B2119" i="13"/>
  <c r="E1657" i="13"/>
  <c r="D1657" i="13"/>
  <c r="E1656" i="13"/>
  <c r="D1656" i="13"/>
  <c r="E1655" i="13"/>
  <c r="D1655" i="13"/>
  <c r="E1654" i="13"/>
  <c r="D1654" i="13"/>
  <c r="D1644" i="13"/>
  <c r="D1645" i="13"/>
  <c r="D1646" i="13"/>
  <c r="D1647" i="13"/>
  <c r="D1648" i="13"/>
  <c r="D1649" i="13"/>
  <c r="D1650" i="13"/>
  <c r="D1651" i="13"/>
  <c r="D1652" i="13"/>
  <c r="D1653" i="13"/>
  <c r="E1653" i="13"/>
  <c r="E1652" i="13"/>
  <c r="AB1651" i="13"/>
  <c r="E1651" i="13"/>
  <c r="AB1650" i="13"/>
  <c r="E1650" i="13"/>
  <c r="AB1649" i="13"/>
  <c r="E1649" i="13"/>
  <c r="AB1648" i="13"/>
  <c r="E1648" i="13"/>
  <c r="AB1647" i="13"/>
  <c r="E1647" i="13"/>
  <c r="AB1646" i="13"/>
  <c r="E1646" i="13"/>
  <c r="AB1645" i="13"/>
  <c r="E1645" i="13"/>
  <c r="AB1644" i="13"/>
  <c r="AB1652" i="13" s="1"/>
  <c r="AB1653" i="13" s="1"/>
  <c r="E1644" i="13"/>
  <c r="AC1593" i="13"/>
  <c r="AC1592" i="13"/>
  <c r="AC1591" i="13"/>
  <c r="AC1590" i="13"/>
  <c r="AC1589" i="13"/>
  <c r="AC1588" i="13"/>
  <c r="AB1587" i="13"/>
  <c r="AC1587" i="13" s="1"/>
  <c r="H1553" i="13"/>
  <c r="G1553" i="13"/>
  <c r="H1552" i="13"/>
  <c r="G1552" i="13"/>
  <c r="H1551" i="13"/>
  <c r="G1551" i="13"/>
  <c r="H1550" i="13"/>
  <c r="G1550" i="13"/>
  <c r="H1549" i="13"/>
  <c r="G1549" i="13"/>
  <c r="H1548" i="13"/>
  <c r="G1548" i="13"/>
  <c r="H1547" i="13"/>
  <c r="G1547" i="13"/>
  <c r="H1546" i="13"/>
  <c r="G1546" i="13"/>
  <c r="H1545" i="13"/>
  <c r="G1545" i="13"/>
  <c r="H1544" i="13"/>
  <c r="G1544" i="13"/>
  <c r="H1543" i="13"/>
  <c r="G1543" i="13"/>
  <c r="H1542" i="13"/>
  <c r="G1542" i="13"/>
  <c r="H1541" i="13"/>
  <c r="G1541" i="13"/>
  <c r="H1540" i="13"/>
  <c r="G1540" i="13"/>
  <c r="G1554" i="13" s="1"/>
  <c r="M1519" i="13"/>
  <c r="M1518" i="13"/>
  <c r="M1517" i="13"/>
  <c r="M1516" i="13"/>
  <c r="M1515" i="13"/>
  <c r="M1514" i="13"/>
  <c r="M1513" i="13"/>
  <c r="M1512" i="13"/>
  <c r="B1397" i="13"/>
  <c r="B1384" i="13"/>
  <c r="B1386" i="13" s="1"/>
  <c r="B1376" i="13"/>
  <c r="B1372" i="13"/>
  <c r="B1368" i="13"/>
  <c r="B1359" i="13"/>
  <c r="B1358" i="13"/>
  <c r="B1360" i="13" s="1"/>
  <c r="B1375" i="13" s="1"/>
  <c r="B1377" i="13" s="1"/>
  <c r="B1352" i="13"/>
  <c r="B1338" i="13"/>
  <c r="B1337" i="13"/>
  <c r="B1334" i="13"/>
  <c r="B1328" i="13"/>
  <c r="B1319" i="13"/>
  <c r="B1320" i="13" s="1"/>
  <c r="B1229" i="13"/>
  <c r="B1224" i="13"/>
  <c r="B1223" i="13"/>
  <c r="B1218" i="13"/>
  <c r="B1212" i="13"/>
  <c r="B1210" i="13"/>
  <c r="B1209" i="13"/>
  <c r="B1204" i="13"/>
  <c r="B1199" i="13"/>
  <c r="B1189" i="13"/>
  <c r="B1182" i="13"/>
  <c r="B1166" i="13"/>
  <c r="B1155" i="13"/>
  <c r="B1154" i="13"/>
  <c r="B1136" i="13"/>
  <c r="B1126" i="13"/>
  <c r="B1107" i="13"/>
  <c r="B1103" i="13"/>
  <c r="B867" i="13"/>
  <c r="B865" i="13"/>
  <c r="B1085" i="13"/>
  <c r="B1086" i="13" s="1"/>
  <c r="B1077" i="13"/>
  <c r="B1091" i="13" s="1"/>
  <c r="B1061" i="13"/>
  <c r="B1062" i="13"/>
  <c r="B850" i="13"/>
  <c r="B1050" i="13"/>
  <c r="B1051" i="13" s="1"/>
  <c r="B1020" i="13"/>
  <c r="B570" i="13"/>
  <c r="B1006" i="13"/>
  <c r="B990" i="13"/>
  <c r="B991" i="13" s="1"/>
  <c r="B975" i="13"/>
  <c r="B976" i="13" s="1"/>
  <c r="B973" i="13"/>
  <c r="B974" i="13" s="1"/>
  <c r="B971" i="13"/>
  <c r="B972" i="13" s="1"/>
  <c r="B959" i="13"/>
  <c r="B957" i="13"/>
  <c r="B938" i="13"/>
  <c r="B937" i="13"/>
  <c r="B926" i="13"/>
  <c r="B927" i="13" s="1"/>
  <c r="B924" i="13"/>
  <c r="B925" i="13" s="1"/>
  <c r="B879" i="13"/>
  <c r="B866" i="13"/>
  <c r="B852" i="13"/>
  <c r="B853" i="13" s="1"/>
  <c r="B851" i="13"/>
  <c r="B815" i="13"/>
  <c r="B725" i="13"/>
  <c r="B648" i="13"/>
  <c r="B644" i="13"/>
  <c r="B645" i="13" s="1"/>
  <c r="B642" i="13"/>
  <c r="B643" i="13" s="1"/>
  <c r="B620" i="13"/>
  <c r="B621" i="13" s="1"/>
  <c r="B618" i="13"/>
  <c r="B619" i="13" s="1"/>
  <c r="B609" i="13"/>
  <c r="B610" i="13" s="1"/>
  <c r="B607" i="13"/>
  <c r="B608" i="13" s="1"/>
  <c r="B586" i="13"/>
  <c r="B563" i="13"/>
  <c r="B556" i="13"/>
  <c r="B537" i="13"/>
  <c r="B520" i="13"/>
  <c r="B512" i="13"/>
  <c r="B510" i="13"/>
  <c r="B508" i="13"/>
  <c r="B320" i="13"/>
  <c r="B484" i="13" s="1"/>
  <c r="B473" i="13"/>
  <c r="B462" i="13"/>
  <c r="B463" i="13"/>
  <c r="B460" i="13"/>
  <c r="B461" i="13"/>
  <c r="B448" i="13"/>
  <c r="B449" i="13"/>
  <c r="B446" i="13"/>
  <c r="B447" i="13"/>
  <c r="B417" i="13"/>
  <c r="B881" i="13"/>
  <c r="B415" i="13"/>
  <c r="B404" i="13"/>
  <c r="B402" i="13"/>
  <c r="B389" i="13"/>
  <c r="B387" i="13"/>
  <c r="B366" i="13"/>
  <c r="B362" i="13"/>
  <c r="B326" i="13"/>
  <c r="B323" i="13"/>
  <c r="B948" i="13"/>
  <c r="H107" i="13"/>
  <c r="H106" i="13"/>
  <c r="D95" i="13"/>
  <c r="D92" i="13"/>
  <c r="D82" i="13"/>
  <c r="D81" i="13"/>
  <c r="J972" i="7"/>
  <c r="C507" i="12" s="1"/>
  <c r="B642" i="19" s="1"/>
  <c r="B646" i="19" s="1"/>
  <c r="M447" i="10"/>
  <c r="A932" i="12"/>
  <c r="I843" i="7"/>
  <c r="H986" i="7"/>
  <c r="H984" i="7"/>
  <c r="H983" i="7"/>
  <c r="H982" i="7"/>
  <c r="H978" i="7"/>
  <c r="B513" i="12" s="1"/>
  <c r="H977" i="7"/>
  <c r="B512" i="12" s="1"/>
  <c r="B177" i="19" s="1"/>
  <c r="H976" i="7"/>
  <c r="B511" i="12" s="1"/>
  <c r="J974" i="7"/>
  <c r="C509" i="12" s="1"/>
  <c r="B643" i="19" s="1"/>
  <c r="B647" i="19" s="1"/>
  <c r="B520" i="12"/>
  <c r="D986" i="7"/>
  <c r="D985" i="7"/>
  <c r="D984" i="7"/>
  <c r="D983" i="7"/>
  <c r="D982" i="7"/>
  <c r="D975" i="7"/>
  <c r="D978" i="7"/>
  <c r="D977" i="7"/>
  <c r="D976" i="7"/>
  <c r="D972" i="7"/>
  <c r="I845" i="7"/>
  <c r="I844" i="7"/>
  <c r="I842" i="7"/>
  <c r="I841" i="7"/>
  <c r="H846" i="7"/>
  <c r="H845" i="7"/>
  <c r="H844" i="7"/>
  <c r="H843" i="7"/>
  <c r="F839" i="7"/>
  <c r="H841" i="7"/>
  <c r="F810" i="7"/>
  <c r="B238" i="19" s="1"/>
  <c r="B481" i="19" s="1"/>
  <c r="G809" i="7"/>
  <c r="G807" i="7"/>
  <c r="G808" i="7"/>
  <c r="H842" i="7"/>
  <c r="B387" i="7"/>
  <c r="K971" i="7"/>
  <c r="D974" i="7"/>
  <c r="D973" i="7"/>
  <c r="F380" i="7"/>
  <c r="B380" i="7"/>
  <c r="H440" i="9"/>
  <c r="B246" i="9" s="1"/>
  <c r="H731" i="9"/>
  <c r="H732" i="9"/>
  <c r="H457" i="9"/>
  <c r="H458" i="9" s="1"/>
  <c r="H456" i="9"/>
  <c r="H735" i="9" s="1"/>
  <c r="H736" i="9" s="1"/>
  <c r="H463" i="9"/>
  <c r="B309" i="9" s="1"/>
  <c r="H475" i="9"/>
  <c r="B540" i="9" s="1"/>
  <c r="H444" i="9"/>
  <c r="B317" i="9" s="1"/>
  <c r="H445" i="9"/>
  <c r="B323" i="9" s="1"/>
  <c r="H438" i="9"/>
  <c r="B244" i="9" s="1"/>
  <c r="H448" i="9"/>
  <c r="B326" i="9" s="1"/>
  <c r="H449" i="9"/>
  <c r="B332" i="9" s="1"/>
  <c r="H439" i="9"/>
  <c r="B245" i="9" s="1"/>
  <c r="I440" i="9"/>
  <c r="I732" i="9"/>
  <c r="I731" i="9"/>
  <c r="I457" i="9"/>
  <c r="I691" i="9" s="1"/>
  <c r="I456" i="9"/>
  <c r="I727" i="9" s="1"/>
  <c r="I463" i="9"/>
  <c r="I444" i="9"/>
  <c r="I445" i="9"/>
  <c r="I438" i="9"/>
  <c r="I448" i="9"/>
  <c r="I449" i="9"/>
  <c r="I439" i="9"/>
  <c r="J440" i="9"/>
  <c r="J732" i="9"/>
  <c r="J731" i="9"/>
  <c r="J457" i="9"/>
  <c r="J458" i="9" s="1"/>
  <c r="J456" i="9"/>
  <c r="J735" i="9" s="1"/>
  <c r="J463" i="9"/>
  <c r="J444" i="9"/>
  <c r="J445" i="9"/>
  <c r="J438" i="9"/>
  <c r="J448" i="9"/>
  <c r="J449" i="9"/>
  <c r="J439" i="9"/>
  <c r="K440" i="9"/>
  <c r="K732" i="9"/>
  <c r="K731" i="9"/>
  <c r="K457" i="9"/>
  <c r="K694" i="9" s="1"/>
  <c r="K456" i="9"/>
  <c r="K848" i="9" s="1"/>
  <c r="K463" i="9"/>
  <c r="K444" i="9"/>
  <c r="K445" i="9"/>
  <c r="K438" i="9"/>
  <c r="K448" i="9"/>
  <c r="K449" i="9"/>
  <c r="K439" i="9"/>
  <c r="L440" i="9"/>
  <c r="G1027" i="9"/>
  <c r="G1024" i="9"/>
  <c r="L732" i="9"/>
  <c r="L731" i="9"/>
  <c r="L457" i="9"/>
  <c r="L873" i="9" s="1"/>
  <c r="L456" i="9"/>
  <c r="L848" i="9" s="1"/>
  <c r="L463" i="9"/>
  <c r="L444" i="9"/>
  <c r="L445" i="9"/>
  <c r="L438" i="9"/>
  <c r="L448" i="9"/>
  <c r="L449" i="9"/>
  <c r="L439" i="9"/>
  <c r="B131" i="9"/>
  <c r="B161" i="9"/>
  <c r="I164" i="9"/>
  <c r="F138" i="9"/>
  <c r="I114" i="9"/>
  <c r="C110" i="9"/>
  <c r="I106" i="9"/>
  <c r="B162" i="9"/>
  <c r="S80" i="9"/>
  <c r="S81" i="9"/>
  <c r="S82" i="9"/>
  <c r="S83" i="9"/>
  <c r="S84" i="9"/>
  <c r="H2" i="11"/>
  <c r="M2" i="11"/>
  <c r="A2311" i="12"/>
  <c r="D383" i="7"/>
  <c r="H974" i="7"/>
  <c r="B509" i="12" s="1"/>
  <c r="K48" i="11"/>
  <c r="I48" i="11"/>
  <c r="D963" i="7"/>
  <c r="D954" i="7"/>
  <c r="D953" i="7"/>
  <c r="H878" i="7"/>
  <c r="N871" i="7"/>
  <c r="E385" i="7"/>
  <c r="I1027" i="9"/>
  <c r="I1024" i="9"/>
  <c r="E1027" i="9"/>
  <c r="E1024" i="9"/>
  <c r="I726" i="9"/>
  <c r="I640" i="9"/>
  <c r="I642" i="9"/>
  <c r="I668" i="9"/>
  <c r="I658" i="9"/>
  <c r="C540" i="9"/>
  <c r="B541" i="9"/>
  <c r="D541" i="9" s="1"/>
  <c r="B542" i="9"/>
  <c r="B543" i="9"/>
  <c r="I778" i="9"/>
  <c r="I225" i="9" s="1"/>
  <c r="J1027" i="9"/>
  <c r="J1024" i="9"/>
  <c r="J726" i="9"/>
  <c r="J640" i="9"/>
  <c r="J642" i="9"/>
  <c r="J668" i="9"/>
  <c r="J658" i="9"/>
  <c r="J778" i="9"/>
  <c r="J225" i="9" s="1"/>
  <c r="K1027" i="9"/>
  <c r="K1024" i="9"/>
  <c r="K726" i="9"/>
  <c r="K605" i="9" s="1"/>
  <c r="K640" i="9"/>
  <c r="K642" i="9"/>
  <c r="K668" i="9"/>
  <c r="K658" i="9"/>
  <c r="K778" i="9"/>
  <c r="K225" i="9" s="1"/>
  <c r="L726" i="9"/>
  <c r="L640" i="9"/>
  <c r="L642" i="9"/>
  <c r="L668" i="9"/>
  <c r="L658" i="9"/>
  <c r="L778" i="9"/>
  <c r="H1027" i="9"/>
  <c r="H1024" i="9"/>
  <c r="H726" i="9"/>
  <c r="H605" i="9" s="1"/>
  <c r="H640" i="9"/>
  <c r="H642" i="9"/>
  <c r="H668" i="9"/>
  <c r="H658" i="9"/>
  <c r="H778" i="9"/>
  <c r="D108" i="9"/>
  <c r="I839" i="9"/>
  <c r="J839" i="9"/>
  <c r="J605" i="9"/>
  <c r="K839" i="9"/>
  <c r="L839" i="9"/>
  <c r="L605" i="9"/>
  <c r="H839" i="9"/>
  <c r="G836" i="7"/>
  <c r="I831" i="7"/>
  <c r="I829" i="7"/>
  <c r="I796" i="7"/>
  <c r="B796" i="7"/>
  <c r="A729" i="7"/>
  <c r="K292" i="8"/>
  <c r="G81" i="8" s="1"/>
  <c r="E857" i="7"/>
  <c r="A857" i="7"/>
  <c r="D971" i="7"/>
  <c r="F809" i="7"/>
  <c r="H799" i="7"/>
  <c r="H798" i="7"/>
  <c r="H797" i="7"/>
  <c r="A799" i="7"/>
  <c r="A798" i="7"/>
  <c r="A797" i="7"/>
  <c r="A730" i="7"/>
  <c r="B734" i="7"/>
  <c r="B719" i="7"/>
  <c r="B731" i="7"/>
  <c r="B732" i="7"/>
  <c r="B720" i="7"/>
  <c r="I416" i="7"/>
  <c r="H396" i="7"/>
  <c r="L871" i="7"/>
  <c r="A717" i="7"/>
  <c r="A715" i="7"/>
  <c r="L823" i="7"/>
  <c r="K628" i="7"/>
  <c r="B737" i="7"/>
  <c r="A311" i="10"/>
  <c r="K740" i="7"/>
  <c r="J97" i="7"/>
  <c r="H97" i="7"/>
  <c r="H278" i="8"/>
  <c r="I278" i="8"/>
  <c r="I368" i="8" s="1"/>
  <c r="J278" i="8"/>
  <c r="J367" i="8" s="1"/>
  <c r="K278" i="8"/>
  <c r="K369" i="8" s="1"/>
  <c r="H279" i="8"/>
  <c r="I279" i="8"/>
  <c r="J279" i="8"/>
  <c r="K279" i="8"/>
  <c r="H275" i="8"/>
  <c r="I275" i="8"/>
  <c r="I364" i="8" s="1"/>
  <c r="J275" i="8"/>
  <c r="J363" i="8" s="1"/>
  <c r="K275" i="8"/>
  <c r="K363" i="8" s="1"/>
  <c r="H276" i="8"/>
  <c r="I276" i="8"/>
  <c r="J276" i="8"/>
  <c r="K276" i="8"/>
  <c r="H272" i="8"/>
  <c r="H359" i="8" s="1"/>
  <c r="I272" i="8"/>
  <c r="I359" i="8" s="1"/>
  <c r="J272" i="8"/>
  <c r="K272" i="8"/>
  <c r="K358" i="8" s="1"/>
  <c r="H273" i="8"/>
  <c r="I273" i="8"/>
  <c r="J273" i="8"/>
  <c r="K273" i="8"/>
  <c r="I485" i="9"/>
  <c r="J485" i="9"/>
  <c r="K485" i="9"/>
  <c r="L485" i="9"/>
  <c r="I486" i="9"/>
  <c r="J486" i="9"/>
  <c r="K486" i="9"/>
  <c r="L486" i="9"/>
  <c r="I484" i="9"/>
  <c r="J484" i="9"/>
  <c r="K484" i="9"/>
  <c r="L484" i="9"/>
  <c r="I483" i="9"/>
  <c r="J483" i="9"/>
  <c r="K483" i="9"/>
  <c r="L483" i="9"/>
  <c r="I482" i="9"/>
  <c r="J482" i="9"/>
  <c r="K482" i="9"/>
  <c r="L482" i="9"/>
  <c r="I481" i="9"/>
  <c r="J481" i="9"/>
  <c r="K481" i="9"/>
  <c r="L481" i="9"/>
  <c r="I475" i="9"/>
  <c r="J475" i="9"/>
  <c r="K475" i="9"/>
  <c r="L475" i="9"/>
  <c r="H407" i="7"/>
  <c r="G496" i="7"/>
  <c r="G428" i="7"/>
  <c r="J427" i="7"/>
  <c r="C420" i="7"/>
  <c r="S72" i="7"/>
  <c r="A1109" i="7" s="1"/>
  <c r="A1095" i="7" s="1"/>
  <c r="M457" i="10"/>
  <c r="M456" i="10"/>
  <c r="F428" i="10"/>
  <c r="F427" i="10"/>
  <c r="F429" i="10" s="1"/>
  <c r="F431" i="10" s="1"/>
  <c r="M455" i="10"/>
  <c r="M453" i="10"/>
  <c r="M451" i="10"/>
  <c r="M450" i="10"/>
  <c r="M449" i="10"/>
  <c r="M448" i="10"/>
  <c r="M446" i="10"/>
  <c r="M445" i="10"/>
  <c r="A134" i="10"/>
  <c r="A321" i="10"/>
  <c r="N1046" i="9"/>
  <c r="K1029" i="9"/>
  <c r="J1029" i="9"/>
  <c r="I1029" i="9"/>
  <c r="H1029" i="9"/>
  <c r="G1029" i="9"/>
  <c r="F1029" i="9"/>
  <c r="E1029" i="9"/>
  <c r="D1029" i="9"/>
  <c r="K1028" i="9"/>
  <c r="J1028" i="9"/>
  <c r="I1028" i="9"/>
  <c r="H1028" i="9"/>
  <c r="G1028" i="9"/>
  <c r="F1028" i="9"/>
  <c r="E1028" i="9"/>
  <c r="D1028" i="9"/>
  <c r="F1027" i="9"/>
  <c r="D1027" i="9"/>
  <c r="F1024" i="9"/>
  <c r="D1024" i="9"/>
  <c r="E552" i="9"/>
  <c r="C552" i="9"/>
  <c r="C541" i="9"/>
  <c r="H541" i="9"/>
  <c r="B553" i="9"/>
  <c r="L892" i="9"/>
  <c r="K892" i="9"/>
  <c r="J892" i="9"/>
  <c r="I892" i="9"/>
  <c r="H892" i="9"/>
  <c r="F541" i="9"/>
  <c r="G541" i="9"/>
  <c r="F553" i="9"/>
  <c r="H553" i="9" s="1"/>
  <c r="C553" i="9"/>
  <c r="C543" i="9"/>
  <c r="C542" i="9"/>
  <c r="H225" i="9"/>
  <c r="B376" i="9" s="1"/>
  <c r="B343" i="9"/>
  <c r="B342" i="9"/>
  <c r="B341" i="9"/>
  <c r="B338" i="9"/>
  <c r="B337" i="9"/>
  <c r="B336" i="9"/>
  <c r="B331" i="9"/>
  <c r="B330" i="9"/>
  <c r="B327" i="9"/>
  <c r="B322" i="9"/>
  <c r="B321" i="9"/>
  <c r="B319" i="9"/>
  <c r="B318" i="9"/>
  <c r="B247" i="9"/>
  <c r="B241" i="9"/>
  <c r="B306" i="9"/>
  <c r="L225" i="9"/>
  <c r="A201" i="9"/>
  <c r="G502" i="9"/>
  <c r="H474" i="9"/>
  <c r="H473" i="9"/>
  <c r="A455" i="9"/>
  <c r="A451" i="9"/>
  <c r="S653" i="8"/>
  <c r="S652" i="8"/>
  <c r="S651" i="8"/>
  <c r="S650" i="8"/>
  <c r="S649" i="8"/>
  <c r="S648" i="8"/>
  <c r="S647" i="8"/>
  <c r="S646" i="8"/>
  <c r="S645" i="8"/>
  <c r="S644" i="8"/>
  <c r="S643" i="8"/>
  <c r="S642" i="8"/>
  <c r="S641" i="8"/>
  <c r="M500" i="8"/>
  <c r="L500" i="8"/>
  <c r="K500" i="8"/>
  <c r="J500" i="8"/>
  <c r="I500" i="8"/>
  <c r="F285" i="8"/>
  <c r="G199" i="8"/>
  <c r="B177" i="8" s="1"/>
  <c r="K199" i="8"/>
  <c r="A70" i="8"/>
  <c r="A69" i="8"/>
  <c r="A68" i="8"/>
  <c r="A67" i="8"/>
  <c r="A66" i="8"/>
  <c r="C61" i="8"/>
  <c r="K377" i="8"/>
  <c r="K379" i="8" s="1"/>
  <c r="J377" i="8"/>
  <c r="I377" i="8"/>
  <c r="I379" i="8" s="1"/>
  <c r="H377" i="8"/>
  <c r="H379" i="8" s="1"/>
  <c r="K311" i="8"/>
  <c r="K316" i="8"/>
  <c r="K317" i="8" s="1"/>
  <c r="K378" i="8"/>
  <c r="J311" i="8"/>
  <c r="J316" i="8"/>
  <c r="J317" i="8" s="1"/>
  <c r="I311" i="8"/>
  <c r="I316" i="8"/>
  <c r="I317" i="8" s="1"/>
  <c r="H311" i="8"/>
  <c r="H316" i="8"/>
  <c r="H317" i="8" s="1"/>
  <c r="K385" i="8"/>
  <c r="K387" i="8" s="1"/>
  <c r="J385" i="8"/>
  <c r="J387" i="8" s="1"/>
  <c r="I385" i="8"/>
  <c r="I387" i="8" s="1"/>
  <c r="H385" i="8"/>
  <c r="H387" i="8" s="1"/>
  <c r="G385" i="8"/>
  <c r="G387" i="8" s="1"/>
  <c r="J386" i="8"/>
  <c r="K384" i="8"/>
  <c r="J384" i="8"/>
  <c r="I384" i="8"/>
  <c r="H384" i="8"/>
  <c r="G384" i="8"/>
  <c r="K383" i="8"/>
  <c r="J383" i="8"/>
  <c r="I383" i="8"/>
  <c r="H383" i="8"/>
  <c r="G383" i="8"/>
  <c r="K376" i="8"/>
  <c r="J376" i="8"/>
  <c r="I376" i="8"/>
  <c r="H376" i="8"/>
  <c r="G376" i="8"/>
  <c r="K375" i="8"/>
  <c r="J375" i="8"/>
  <c r="I375" i="8"/>
  <c r="H375" i="8"/>
  <c r="K318" i="8"/>
  <c r="J318" i="8"/>
  <c r="I318" i="8"/>
  <c r="H318" i="8"/>
  <c r="G318" i="8"/>
  <c r="K315" i="8"/>
  <c r="J315" i="8"/>
  <c r="I315" i="8"/>
  <c r="H315" i="8"/>
  <c r="K312" i="8"/>
  <c r="J312" i="8"/>
  <c r="I312" i="8"/>
  <c r="H312" i="8"/>
  <c r="M492" i="8"/>
  <c r="F294" i="8"/>
  <c r="G200" i="7"/>
  <c r="M207" i="7"/>
  <c r="N207" i="7"/>
  <c r="O207" i="7"/>
  <c r="D98" i="7"/>
  <c r="AQ135" i="7"/>
  <c r="W129" i="7"/>
  <c r="W135" i="7" s="1"/>
  <c r="AR135" i="7"/>
  <c r="AS135" i="7" s="1"/>
  <c r="V129" i="7"/>
  <c r="V135" i="7" s="1"/>
  <c r="AQ136" i="7"/>
  <c r="AR136" i="7"/>
  <c r="AS136" i="7" s="1"/>
  <c r="AQ137" i="7"/>
  <c r="W137" i="7"/>
  <c r="AR137" i="7"/>
  <c r="AS137" i="7" s="1"/>
  <c r="AQ138" i="7"/>
  <c r="AR138" i="7"/>
  <c r="AS138" i="7" s="1"/>
  <c r="AQ139" i="7"/>
  <c r="AR139" i="7"/>
  <c r="AS139" i="7" s="1"/>
  <c r="AQ160" i="7"/>
  <c r="AR160" i="7"/>
  <c r="AS160" i="7"/>
  <c r="AQ158" i="7"/>
  <c r="AR158" i="7"/>
  <c r="AS158" i="7"/>
  <c r="AQ159" i="7"/>
  <c r="AR159" i="7"/>
  <c r="AS159" i="7"/>
  <c r="AQ157" i="7"/>
  <c r="AR157" i="7"/>
  <c r="AS157" i="7"/>
  <c r="AQ134" i="7"/>
  <c r="AR134" i="7"/>
  <c r="AQ133" i="7"/>
  <c r="AR133" i="7"/>
  <c r="AS133" i="7" s="1"/>
  <c r="AQ132" i="7"/>
  <c r="AR132" i="7"/>
  <c r="AS132" i="7" s="1"/>
  <c r="AQ141" i="7"/>
  <c r="AR141" i="7"/>
  <c r="AS141" i="7" s="1"/>
  <c r="AQ142" i="7"/>
  <c r="AR142" i="7"/>
  <c r="AQ143" i="7"/>
  <c r="AR143" i="7"/>
  <c r="AS143" i="7" s="1"/>
  <c r="AQ140" i="7"/>
  <c r="AR140" i="7"/>
  <c r="AS140" i="7" s="1"/>
  <c r="AQ152" i="7"/>
  <c r="AR152" i="7"/>
  <c r="AS152" i="7" s="1"/>
  <c r="AQ153" i="7"/>
  <c r="AR153" i="7"/>
  <c r="AQ154" i="7"/>
  <c r="AR154" i="7"/>
  <c r="AQ131" i="7"/>
  <c r="AR131" i="7"/>
  <c r="A1157" i="7"/>
  <c r="AX148" i="7"/>
  <c r="AS148" i="7"/>
  <c r="AR148" i="7"/>
  <c r="AQ148" i="7"/>
  <c r="R148" i="7"/>
  <c r="AX149" i="7"/>
  <c r="AS149" i="7"/>
  <c r="AR149" i="7"/>
  <c r="AQ149" i="7"/>
  <c r="R149" i="7"/>
  <c r="AX146" i="7"/>
  <c r="AR146" i="7"/>
  <c r="AS146" i="7" s="1"/>
  <c r="AQ146" i="7"/>
  <c r="R146" i="7"/>
  <c r="AX147" i="7"/>
  <c r="AR147" i="7"/>
  <c r="AS147" i="7" s="1"/>
  <c r="AQ147" i="7"/>
  <c r="R147" i="7"/>
  <c r="AX145" i="7"/>
  <c r="AR145" i="7"/>
  <c r="AS145" i="7" s="1"/>
  <c r="AQ145" i="7"/>
  <c r="R145" i="7"/>
  <c r="AX144" i="7"/>
  <c r="AR144" i="7"/>
  <c r="AS144" i="7" s="1"/>
  <c r="AQ144" i="7"/>
  <c r="R144" i="7"/>
  <c r="AX182" i="7"/>
  <c r="AS182" i="7"/>
  <c r="AR182" i="7"/>
  <c r="AQ182" i="7"/>
  <c r="R182" i="7"/>
  <c r="AX184" i="7"/>
  <c r="AS184" i="7"/>
  <c r="AR184" i="7"/>
  <c r="AQ184" i="7"/>
  <c r="R184" i="7"/>
  <c r="AX185" i="7"/>
  <c r="AS185" i="7"/>
  <c r="AR185" i="7"/>
  <c r="AQ185" i="7"/>
  <c r="R185" i="7"/>
  <c r="AX183" i="7"/>
  <c r="AS183" i="7"/>
  <c r="AR183" i="7"/>
  <c r="AQ183" i="7"/>
  <c r="R183" i="7"/>
  <c r="AX155" i="7"/>
  <c r="AS155" i="7"/>
  <c r="AR155" i="7"/>
  <c r="AQ155" i="7"/>
  <c r="R155" i="7"/>
  <c r="AX156" i="7"/>
  <c r="AS156" i="7"/>
  <c r="AR156" i="7"/>
  <c r="AQ156" i="7"/>
  <c r="R156" i="7"/>
  <c r="AX178" i="7"/>
  <c r="AS178" i="7"/>
  <c r="AR178" i="7"/>
  <c r="AQ178" i="7"/>
  <c r="R178" i="7"/>
  <c r="AX181" i="7"/>
  <c r="AS181" i="7"/>
  <c r="AR181" i="7"/>
  <c r="AQ181" i="7"/>
  <c r="R181" i="7"/>
  <c r="AX179" i="7"/>
  <c r="AS179" i="7"/>
  <c r="AR179" i="7"/>
  <c r="AQ179" i="7"/>
  <c r="R179" i="7"/>
  <c r="AX180" i="7"/>
  <c r="AS180" i="7"/>
  <c r="AR180" i="7"/>
  <c r="AQ180" i="7"/>
  <c r="R180" i="7"/>
  <c r="AX165" i="7"/>
  <c r="AR165" i="7"/>
  <c r="AS165" i="7" s="1"/>
  <c r="AQ165" i="7"/>
  <c r="R165" i="7"/>
  <c r="AX161" i="7"/>
  <c r="AR161" i="7"/>
  <c r="AS161" i="7" s="1"/>
  <c r="AQ161" i="7"/>
  <c r="R161" i="7"/>
  <c r="AX164" i="7"/>
  <c r="AR164" i="7"/>
  <c r="AS164" i="7" s="1"/>
  <c r="AQ164" i="7"/>
  <c r="R164" i="7"/>
  <c r="AX163" i="7"/>
  <c r="AR163" i="7"/>
  <c r="AS163" i="7" s="1"/>
  <c r="AQ163" i="7"/>
  <c r="R163" i="7"/>
  <c r="AX166" i="7"/>
  <c r="AR166" i="7"/>
  <c r="AS166" i="7" s="1"/>
  <c r="AQ166" i="7"/>
  <c r="R166" i="7"/>
  <c r="AX162" i="7"/>
  <c r="AR162" i="7"/>
  <c r="AS162" i="7" s="1"/>
  <c r="AQ162" i="7"/>
  <c r="R162" i="7"/>
  <c r="AX171" i="7"/>
  <c r="AR171" i="7"/>
  <c r="AS171" i="7" s="1"/>
  <c r="AQ171" i="7"/>
  <c r="R171" i="7"/>
  <c r="AX167" i="7"/>
  <c r="AR167" i="7"/>
  <c r="AS167" i="7" s="1"/>
  <c r="AQ167" i="7"/>
  <c r="R167" i="7"/>
  <c r="AX170" i="7"/>
  <c r="AR170" i="7"/>
  <c r="AS170" i="7" s="1"/>
  <c r="AQ170" i="7"/>
  <c r="R170" i="7"/>
  <c r="AX169" i="7"/>
  <c r="AR169" i="7"/>
  <c r="AS169" i="7" s="1"/>
  <c r="AQ169" i="7"/>
  <c r="R169" i="7"/>
  <c r="AX168" i="7"/>
  <c r="AR168" i="7"/>
  <c r="AS168" i="7" s="1"/>
  <c r="AQ168" i="7"/>
  <c r="R168" i="7"/>
  <c r="AX175" i="7"/>
  <c r="AR175" i="7"/>
  <c r="AS175" i="7" s="1"/>
  <c r="AQ175" i="7"/>
  <c r="R175" i="7"/>
  <c r="AX176" i="7"/>
  <c r="AR176" i="7"/>
  <c r="AS176" i="7" s="1"/>
  <c r="AQ176" i="7"/>
  <c r="R176" i="7"/>
  <c r="AX174" i="7"/>
  <c r="AR174" i="7"/>
  <c r="AS174" i="7" s="1"/>
  <c r="AQ174" i="7"/>
  <c r="R174" i="7"/>
  <c r="AX177" i="7"/>
  <c r="AR177" i="7"/>
  <c r="AS177" i="7" s="1"/>
  <c r="AQ177" i="7"/>
  <c r="R177" i="7"/>
  <c r="AX173" i="7"/>
  <c r="AR173" i="7"/>
  <c r="AS173" i="7" s="1"/>
  <c r="AQ173" i="7"/>
  <c r="R173" i="7"/>
  <c r="AX172" i="7"/>
  <c r="AR172" i="7"/>
  <c r="AS172" i="7" s="1"/>
  <c r="AQ172" i="7"/>
  <c r="R172" i="7"/>
  <c r="AX151" i="7"/>
  <c r="AR151" i="7"/>
  <c r="AS151" i="7" s="1"/>
  <c r="AQ151" i="7"/>
  <c r="R151" i="7"/>
  <c r="AX150" i="7"/>
  <c r="AR150" i="7"/>
  <c r="AS150" i="7" s="1"/>
  <c r="AQ150" i="7"/>
  <c r="R150" i="7"/>
  <c r="AX139" i="7"/>
  <c r="R139" i="7"/>
  <c r="AX138" i="7"/>
  <c r="R138" i="7"/>
  <c r="AX137" i="7"/>
  <c r="R137" i="7"/>
  <c r="AX136" i="7"/>
  <c r="R136" i="7"/>
  <c r="AX135" i="7"/>
  <c r="R135" i="7"/>
  <c r="AX133" i="7"/>
  <c r="R133" i="7"/>
  <c r="AX134" i="7"/>
  <c r="R134" i="7"/>
  <c r="AX157" i="7"/>
  <c r="R157" i="7"/>
  <c r="AX159" i="7"/>
  <c r="R159" i="7"/>
  <c r="AX158" i="7"/>
  <c r="R158" i="7"/>
  <c r="AX160" i="7"/>
  <c r="R160" i="7"/>
  <c r="AX154" i="7"/>
  <c r="R154" i="7"/>
  <c r="AX153" i="7"/>
  <c r="R153" i="7"/>
  <c r="AX152" i="7"/>
  <c r="R152" i="7"/>
  <c r="AX140" i="7"/>
  <c r="R140" i="7"/>
  <c r="AX143" i="7"/>
  <c r="R143" i="7"/>
  <c r="AX142" i="7"/>
  <c r="R142" i="7"/>
  <c r="AX141" i="7"/>
  <c r="R141" i="7"/>
  <c r="AX132" i="7"/>
  <c r="R132" i="7"/>
  <c r="AX131" i="7"/>
  <c r="R131" i="7"/>
  <c r="E120" i="7"/>
  <c r="H119" i="7"/>
  <c r="B112" i="7"/>
  <c r="B108" i="7"/>
  <c r="B106" i="7"/>
  <c r="B103" i="7"/>
  <c r="B882" i="13"/>
  <c r="B883" i="13"/>
  <c r="B887" i="13"/>
  <c r="B1168" i="13"/>
  <c r="B737" i="13"/>
  <c r="B423" i="13"/>
  <c r="B469" i="13"/>
  <c r="B912" i="13"/>
  <c r="B913" i="13" s="1"/>
  <c r="B1029" i="13"/>
  <c r="B1363" i="13"/>
  <c r="B3101" i="14"/>
  <c r="B3102" i="14" s="1"/>
  <c r="B2964" i="14"/>
  <c r="B2965" i="14" s="1"/>
  <c r="B234" i="15"/>
  <c r="B238" i="15"/>
  <c r="B229" i="15"/>
  <c r="A771" i="15"/>
  <c r="D83" i="13"/>
  <c r="D86" i="13"/>
  <c r="B418" i="13"/>
  <c r="B419" i="13" s="1"/>
  <c r="B910" i="13"/>
  <c r="B911" i="13" s="1"/>
  <c r="B1052" i="13"/>
  <c r="B1053" i="13"/>
  <c r="B1339" i="13"/>
  <c r="B1392" i="13"/>
  <c r="B1394" i="13" s="1"/>
  <c r="M1520" i="13"/>
  <c r="M1521" i="13" s="1"/>
  <c r="B3053" i="14"/>
  <c r="B3054" i="14"/>
  <c r="B201" i="15"/>
  <c r="B197" i="15"/>
  <c r="B192" i="15"/>
  <c r="B198" i="15"/>
  <c r="B250" i="15"/>
  <c r="B246" i="15"/>
  <c r="B729" i="15"/>
  <c r="B724" i="15"/>
  <c r="B730" i="15"/>
  <c r="A844" i="15"/>
  <c r="A843" i="15"/>
  <c r="A848" i="15"/>
  <c r="B1143" i="15"/>
  <c r="B1155" i="15"/>
  <c r="B825" i="13"/>
  <c r="B829" i="13"/>
  <c r="B2511" i="14"/>
  <c r="B3103" i="14"/>
  <c r="B3104" i="14" s="1"/>
  <c r="B2966" i="14"/>
  <c r="B2967" i="14" s="1"/>
  <c r="A283" i="15"/>
  <c r="B410" i="15"/>
  <c r="B411" i="15" s="1"/>
  <c r="B405" i="15"/>
  <c r="B415" i="15"/>
  <c r="B428" i="15"/>
  <c r="B435" i="15"/>
  <c r="B450" i="15" s="1"/>
  <c r="B623" i="15"/>
  <c r="B630" i="15" s="1"/>
  <c r="B597" i="15"/>
  <c r="B681" i="15"/>
  <c r="A670" i="15"/>
  <c r="A669" i="15"/>
  <c r="A673" i="15"/>
  <c r="B1132" i="15"/>
  <c r="B1133" i="15"/>
  <c r="B1168" i="15" s="1"/>
  <c r="B1170" i="15" s="1"/>
  <c r="B443" i="15"/>
  <c r="B951" i="15"/>
  <c r="B952" i="15"/>
  <c r="B1183" i="15"/>
  <c r="B950" i="15"/>
  <c r="B965" i="15"/>
  <c r="G552" i="9"/>
  <c r="A314" i="10"/>
  <c r="A318" i="10"/>
  <c r="A322" i="10"/>
  <c r="I605" i="9"/>
  <c r="H975" i="7"/>
  <c r="B510" i="12" s="1"/>
  <c r="B985" i="15"/>
  <c r="B987" i="15" s="1"/>
  <c r="B968" i="15"/>
  <c r="B629" i="15"/>
  <c r="B438" i="15"/>
  <c r="B1172" i="15"/>
  <c r="B1157" i="15"/>
  <c r="B695" i="13"/>
  <c r="B1135" i="13" s="1"/>
  <c r="B661" i="13"/>
  <c r="B1393" i="13"/>
  <c r="B1109" i="13"/>
  <c r="B1173" i="15"/>
  <c r="B1174" i="15"/>
  <c r="B283" i="12" l="1"/>
  <c r="Q254" i="12"/>
  <c r="D767" i="12"/>
  <c r="J320" i="10"/>
  <c r="C796" i="12"/>
  <c r="E796" i="12"/>
  <c r="G796" i="12"/>
  <c r="I796" i="12"/>
  <c r="B796" i="12"/>
  <c r="D796" i="12"/>
  <c r="F796" i="12"/>
  <c r="H796" i="12"/>
  <c r="J796" i="12"/>
  <c r="I745" i="12"/>
  <c r="Q252" i="12"/>
  <c r="F1118" i="12"/>
  <c r="B1118" i="12"/>
  <c r="E1118" i="12"/>
  <c r="G1118" i="12"/>
  <c r="F1763" i="12"/>
  <c r="G1763" i="12"/>
  <c r="E1763" i="12"/>
  <c r="I265" i="8"/>
  <c r="K265" i="8"/>
  <c r="H265" i="8"/>
  <c r="J265" i="8"/>
  <c r="G265" i="8"/>
  <c r="I509" i="9"/>
  <c r="I641" i="9" s="1"/>
  <c r="Q260" i="12"/>
  <c r="G1743" i="12"/>
  <c r="E1743" i="12"/>
  <c r="C1743" i="12"/>
  <c r="F1743" i="12"/>
  <c r="L501" i="9"/>
  <c r="L779" i="9" s="1"/>
  <c r="L223" i="9" s="1"/>
  <c r="Q258" i="12"/>
  <c r="Q256" i="12"/>
  <c r="P253" i="12"/>
  <c r="D400" i="12"/>
  <c r="A426" i="16"/>
  <c r="A437" i="16"/>
  <c r="A435" i="16"/>
  <c r="A433" i="16"/>
  <c r="A427" i="16"/>
  <c r="A429" i="16"/>
  <c r="A436" i="16"/>
  <c r="A434" i="16"/>
  <c r="A432" i="16"/>
  <c r="T46" i="14"/>
  <c r="A81" i="14"/>
  <c r="A1461" i="12" s="1"/>
  <c r="A59" i="14"/>
  <c r="A1439" i="12" s="1"/>
  <c r="A56" i="14"/>
  <c r="A1436" i="12" s="1"/>
  <c r="A78" i="7"/>
  <c r="B632" i="16"/>
  <c r="B2560" i="16" s="1"/>
  <c r="B276" i="12"/>
  <c r="B284" i="12"/>
  <c r="A73" i="14"/>
  <c r="A1453" i="12" s="1"/>
  <c r="A52" i="14"/>
  <c r="F2298" i="12"/>
  <c r="F553" i="12" s="1"/>
  <c r="F1742" i="12" s="1"/>
  <c r="A289" i="16"/>
  <c r="G1698" i="12"/>
  <c r="G1674" i="12"/>
  <c r="B1523" i="12"/>
  <c r="A447" i="16"/>
  <c r="A981" i="16" s="1"/>
  <c r="I292" i="8"/>
  <c r="E81" i="8" s="1"/>
  <c r="C1637" i="12"/>
  <c r="B2615" i="16"/>
  <c r="B1127" i="16"/>
  <c r="B860" i="12"/>
  <c r="A861" i="12"/>
  <c r="H972" i="7"/>
  <c r="B507" i="12" s="1"/>
  <c r="C903" i="12"/>
  <c r="G1709" i="12"/>
  <c r="G1711" i="12"/>
  <c r="A1472" i="12"/>
  <c r="A1432" i="12"/>
  <c r="H1096" i="7"/>
  <c r="H1110" i="7" s="1"/>
  <c r="E129" i="7" s="1"/>
  <c r="F438" i="12" s="1"/>
  <c r="A1471" i="12"/>
  <c r="B1431" i="12"/>
  <c r="D65" i="19"/>
  <c r="D1488" i="12" s="1"/>
  <c r="F1736" i="12"/>
  <c r="A2276" i="12"/>
  <c r="B233" i="13"/>
  <c r="B144" i="19"/>
  <c r="B760" i="19" s="1"/>
  <c r="B1431" i="19" s="1"/>
  <c r="A1426" i="12"/>
  <c r="A1425" i="12"/>
  <c r="E2007" i="19"/>
  <c r="E2013" i="19" s="1"/>
  <c r="A65" i="19"/>
  <c r="A1488" i="12" s="1"/>
  <c r="D66" i="19"/>
  <c r="D1489" i="12" s="1"/>
  <c r="A64" i="19"/>
  <c r="E2010" i="19"/>
  <c r="E1819" i="19"/>
  <c r="E537" i="19"/>
  <c r="E538" i="19"/>
  <c r="E539" i="19"/>
  <c r="E541" i="19" s="1"/>
  <c r="E540" i="19"/>
  <c r="E714" i="19"/>
  <c r="E715" i="19" s="1"/>
  <c r="E716" i="19" s="1"/>
  <c r="E717" i="19" s="1"/>
  <c r="E722" i="19" s="1"/>
  <c r="E2210" i="19" s="1"/>
  <c r="B628" i="16"/>
  <c r="B141" i="19"/>
  <c r="B390" i="19" s="1"/>
  <c r="F2204" i="19"/>
  <c r="D543" i="19"/>
  <c r="D545" i="19" s="1"/>
  <c r="H517" i="9"/>
  <c r="B328" i="9" s="1"/>
  <c r="K288" i="10"/>
  <c r="C364" i="8"/>
  <c r="J517" i="9"/>
  <c r="H499" i="9"/>
  <c r="H804" i="9" s="1"/>
  <c r="B2394" i="12"/>
  <c r="A2278" i="12" s="1"/>
  <c r="I258" i="8"/>
  <c r="B773" i="19"/>
  <c r="B1432" i="19" s="1"/>
  <c r="B619" i="16"/>
  <c r="B162" i="14"/>
  <c r="B151" i="19"/>
  <c r="B192" i="14"/>
  <c r="B254" i="14" s="1"/>
  <c r="B2382" i="14" s="1"/>
  <c r="B3028" i="14" s="1"/>
  <c r="B134" i="19"/>
  <c r="B602" i="16"/>
  <c r="B137" i="19"/>
  <c r="B756" i="19" s="1"/>
  <c r="I344" i="8"/>
  <c r="B131" i="19"/>
  <c r="B586" i="16"/>
  <c r="B749" i="16" s="1"/>
  <c r="B2669" i="16" s="1"/>
  <c r="B132" i="19"/>
  <c r="H505" i="9"/>
  <c r="H506" i="9" s="1"/>
  <c r="B301" i="9" s="1"/>
  <c r="G835" i="7"/>
  <c r="B233" i="19"/>
  <c r="B193" i="14"/>
  <c r="B234" i="14" s="1"/>
  <c r="B256" i="14" s="1"/>
  <c r="B2405" i="14" s="1"/>
  <c r="B135" i="19"/>
  <c r="H243" i="8"/>
  <c r="B66" i="10"/>
  <c r="A1092" i="7"/>
  <c r="L738" i="9"/>
  <c r="C177" i="14"/>
  <c r="B177" i="14" s="1"/>
  <c r="B453" i="14" s="1"/>
  <c r="L517" i="9"/>
  <c r="K517" i="9"/>
  <c r="I517" i="9"/>
  <c r="I289" i="10"/>
  <c r="I346" i="10" s="1"/>
  <c r="B257" i="14"/>
  <c r="B171" i="19"/>
  <c r="B170" i="19"/>
  <c r="B737" i="19" s="1"/>
  <c r="B2574" i="14"/>
  <c r="B2575" i="14" s="1"/>
  <c r="B155" i="19"/>
  <c r="B739" i="19" s="1"/>
  <c r="B738" i="19"/>
  <c r="B270" i="14"/>
  <c r="B2390" i="14" s="1"/>
  <c r="B172" i="19"/>
  <c r="B764" i="19" s="1"/>
  <c r="B3050" i="14"/>
  <c r="B3047" i="14" s="1"/>
  <c r="B3055" i="14" s="1"/>
  <c r="B160" i="19"/>
  <c r="B775" i="19" s="1"/>
  <c r="B1433" i="19" s="1"/>
  <c r="B2607" i="14"/>
  <c r="B2604" i="14" s="1"/>
  <c r="B2612" i="14" s="1"/>
  <c r="B159" i="19"/>
  <c r="B774" i="19" s="1"/>
  <c r="B3026" i="14"/>
  <c r="B3027" i="14" s="1"/>
  <c r="B156" i="19"/>
  <c r="F543" i="19"/>
  <c r="F547" i="19" s="1"/>
  <c r="D2202" i="19"/>
  <c r="D2204" i="19"/>
  <c r="F714" i="19"/>
  <c r="F715" i="19" s="1"/>
  <c r="F716" i="19" s="1"/>
  <c r="F717" i="19" s="1"/>
  <c r="F722" i="19" s="1"/>
  <c r="F2210" i="19" s="1"/>
  <c r="F545" i="19"/>
  <c r="G545" i="19"/>
  <c r="G548" i="19" s="1"/>
  <c r="G547" i="19"/>
  <c r="G721" i="19"/>
  <c r="G720" i="19" s="1"/>
  <c r="C545" i="19"/>
  <c r="C548" i="19" s="1"/>
  <c r="C547" i="19"/>
  <c r="G1710" i="12"/>
  <c r="C2274" i="12"/>
  <c r="M288" i="10"/>
  <c r="J258" i="8"/>
  <c r="H258" i="8"/>
  <c r="B282" i="12"/>
  <c r="B2305" i="12"/>
  <c r="G324" i="8"/>
  <c r="B2440" i="12"/>
  <c r="B212" i="14"/>
  <c r="B188" i="14"/>
  <c r="B436" i="14" s="1"/>
  <c r="B1084" i="16"/>
  <c r="B1222" i="16"/>
  <c r="B3206" i="16"/>
  <c r="DV3448" i="16"/>
  <c r="DW3448" i="16"/>
  <c r="DY3448" i="16"/>
  <c r="B2693" i="16"/>
  <c r="B1157" i="16"/>
  <c r="B1228" i="16"/>
  <c r="B1225" i="16"/>
  <c r="B1241" i="16"/>
  <c r="B1242" i="16"/>
  <c r="B999" i="16"/>
  <c r="B1240" i="16"/>
  <c r="G258" i="8"/>
  <c r="G257" i="8"/>
  <c r="A200" i="12"/>
  <c r="B85" i="13"/>
  <c r="G94" i="13"/>
  <c r="B203" i="13"/>
  <c r="AI2145" i="13"/>
  <c r="B280" i="14"/>
  <c r="A1768" i="12"/>
  <c r="B1768" i="12"/>
  <c r="A1770" i="12"/>
  <c r="A1769" i="12"/>
  <c r="G1765" i="12"/>
  <c r="E1765" i="12"/>
  <c r="F1765" i="12"/>
  <c r="G1762" i="12"/>
  <c r="E1762" i="12"/>
  <c r="F1762" i="12"/>
  <c r="G1767" i="12"/>
  <c r="E1767" i="12"/>
  <c r="F1767" i="12"/>
  <c r="L286" i="10"/>
  <c r="L347" i="10" s="1"/>
  <c r="J256" i="8"/>
  <c r="I256" i="8"/>
  <c r="H256" i="8"/>
  <c r="H335" i="8"/>
  <c r="D94" i="8" s="1"/>
  <c r="H343" i="8"/>
  <c r="B559" i="16"/>
  <c r="B635" i="16"/>
  <c r="Y3446" i="16" s="1"/>
  <c r="Y3448" i="16" s="1"/>
  <c r="F1698" i="12"/>
  <c r="G1706" i="12"/>
  <c r="F1674" i="12"/>
  <c r="G1703" i="12"/>
  <c r="G1704" i="12"/>
  <c r="G1702" i="12"/>
  <c r="B2606" i="14"/>
  <c r="A2306" i="12"/>
  <c r="L509" i="9"/>
  <c r="J509" i="9"/>
  <c r="J641" i="9" s="1"/>
  <c r="C359" i="8"/>
  <c r="C369" i="8"/>
  <c r="C386" i="8"/>
  <c r="J679" i="9"/>
  <c r="J314" i="10"/>
  <c r="B126" i="10"/>
  <c r="F60" i="10"/>
  <c r="I507" i="9"/>
  <c r="F85" i="13"/>
  <c r="D94" i="13"/>
  <c r="I499" i="9"/>
  <c r="I797" i="9" s="1"/>
  <c r="I216" i="9" s="1"/>
  <c r="K496" i="9"/>
  <c r="B2156" i="12"/>
  <c r="B1914" i="12"/>
  <c r="J342" i="8"/>
  <c r="K504" i="9"/>
  <c r="B1011" i="13"/>
  <c r="J341" i="8"/>
  <c r="J434" i="9"/>
  <c r="H509" i="9"/>
  <c r="H641" i="9" s="1"/>
  <c r="A192" i="12"/>
  <c r="A185" i="12"/>
  <c r="J502" i="9"/>
  <c r="J780" i="9" s="1"/>
  <c r="F552" i="12"/>
  <c r="F1741" i="12" s="1"/>
  <c r="C552" i="12"/>
  <c r="C1741" i="12" s="1"/>
  <c r="B552" i="12"/>
  <c r="B1741" i="12" s="1"/>
  <c r="I257" i="8"/>
  <c r="I251" i="8"/>
  <c r="M320" i="10"/>
  <c r="M319" i="10"/>
  <c r="D60" i="10"/>
  <c r="L507" i="9"/>
  <c r="K507" i="9"/>
  <c r="J507" i="9"/>
  <c r="J498" i="9"/>
  <c r="H507" i="9"/>
  <c r="B302" i="9" s="1"/>
  <c r="D85" i="13"/>
  <c r="G85" i="13"/>
  <c r="B94" i="13"/>
  <c r="F94" i="13"/>
  <c r="K499" i="9"/>
  <c r="K797" i="9" s="1"/>
  <c r="K216" i="9" s="1"/>
  <c r="H498" i="9"/>
  <c r="B240" i="9" s="1"/>
  <c r="A93" i="13"/>
  <c r="B2307" i="12"/>
  <c r="A2308" i="12" s="1"/>
  <c r="B577" i="16"/>
  <c r="B591" i="16"/>
  <c r="B281" i="12"/>
  <c r="M311" i="10"/>
  <c r="M351" i="10" s="1"/>
  <c r="I342" i="8"/>
  <c r="I314" i="10"/>
  <c r="B1010" i="13"/>
  <c r="B1007" i="13" s="1"/>
  <c r="D91" i="13" s="1"/>
  <c r="A196" i="12"/>
  <c r="A204" i="12"/>
  <c r="F2295" i="12"/>
  <c r="I333" i="10"/>
  <c r="I337" i="10" s="1"/>
  <c r="B239" i="10" s="1"/>
  <c r="L317" i="10"/>
  <c r="L333" i="10" s="1"/>
  <c r="L337" i="10" s="1"/>
  <c r="E239" i="10" s="1"/>
  <c r="K317" i="10"/>
  <c r="K333" i="10" s="1"/>
  <c r="K337" i="10" s="1"/>
  <c r="D239" i="10" s="1"/>
  <c r="F2297" i="12"/>
  <c r="B1678" i="12"/>
  <c r="E2299" i="12"/>
  <c r="F1711" i="12"/>
  <c r="B2297" i="12"/>
  <c r="A1660" i="12"/>
  <c r="F2300" i="12"/>
  <c r="H504" i="9"/>
  <c r="B299" i="9" s="1"/>
  <c r="E415" i="10"/>
  <c r="A2310" i="12"/>
  <c r="L434" i="9"/>
  <c r="H434" i="9"/>
  <c r="L518" i="9"/>
  <c r="K436" i="9"/>
  <c r="J518" i="9"/>
  <c r="I513" i="9"/>
  <c r="I436" i="9"/>
  <c r="H436" i="9"/>
  <c r="B2191" i="13"/>
  <c r="B277" i="14"/>
  <c r="A190" i="12"/>
  <c r="A194" i="12"/>
  <c r="A198" i="12"/>
  <c r="A202" i="12"/>
  <c r="A183" i="12"/>
  <c r="D2295" i="12"/>
  <c r="C415" i="10"/>
  <c r="A2265" i="12"/>
  <c r="D2297" i="12"/>
  <c r="A1658" i="12"/>
  <c r="B1676" i="12"/>
  <c r="B1681" i="12"/>
  <c r="G2299" i="12"/>
  <c r="G1817" i="12" s="1"/>
  <c r="C2299" i="12"/>
  <c r="D2300" i="12"/>
  <c r="B575" i="16"/>
  <c r="A1677" i="12"/>
  <c r="I496" i="9"/>
  <c r="E436" i="7"/>
  <c r="F471" i="12" s="1"/>
  <c r="C85" i="13"/>
  <c r="A2312" i="12"/>
  <c r="B2439" i="12"/>
  <c r="B580" i="16"/>
  <c r="B588" i="16"/>
  <c r="F1709" i="12"/>
  <c r="A867" i="12"/>
  <c r="A865" i="12"/>
  <c r="B1869" i="12"/>
  <c r="K321" i="10"/>
  <c r="J335" i="8"/>
  <c r="F94" i="8" s="1"/>
  <c r="H342" i="8"/>
  <c r="B2683" i="16"/>
  <c r="B2569" i="16"/>
  <c r="B2401" i="12"/>
  <c r="B340" i="9"/>
  <c r="K679" i="9"/>
  <c r="B236" i="10"/>
  <c r="L314" i="10"/>
  <c r="K518" i="9"/>
  <c r="K505" i="9"/>
  <c r="K506" i="9" s="1"/>
  <c r="H503" i="9"/>
  <c r="B298" i="9" s="1"/>
  <c r="L503" i="9"/>
  <c r="J497" i="9"/>
  <c r="L502" i="9"/>
  <c r="L780" i="9" s="1"/>
  <c r="M317" i="10"/>
  <c r="M333" i="10" s="1"/>
  <c r="M337" i="10" s="1"/>
  <c r="F239" i="10" s="1"/>
  <c r="L319" i="10"/>
  <c r="J317" i="10"/>
  <c r="J333" i="10" s="1"/>
  <c r="J337" i="10" s="1"/>
  <c r="C239" i="10" s="1"/>
  <c r="C61" i="14"/>
  <c r="C1441" i="12" s="1"/>
  <c r="B61" i="14"/>
  <c r="B1441" i="12" s="1"/>
  <c r="G70" i="14"/>
  <c r="G1450" i="12" s="1"/>
  <c r="B2442" i="12"/>
  <c r="B576" i="16"/>
  <c r="B578" i="16"/>
  <c r="B581" i="16"/>
  <c r="H1154" i="7"/>
  <c r="M321" i="10"/>
  <c r="L321" i="10"/>
  <c r="H247" i="8"/>
  <c r="H325" i="8"/>
  <c r="H337" i="8"/>
  <c r="B223" i="13"/>
  <c r="B2116" i="13" s="1"/>
  <c r="B2118" i="13" s="1"/>
  <c r="C1814" i="12"/>
  <c r="J289" i="10"/>
  <c r="J346" i="10" s="1"/>
  <c r="B627" i="16"/>
  <c r="F1704" i="12"/>
  <c r="F1702" i="12"/>
  <c r="B599" i="16"/>
  <c r="K315" i="10"/>
  <c r="L315" i="10"/>
  <c r="M315" i="10"/>
  <c r="B607" i="16"/>
  <c r="A469" i="16" s="1"/>
  <c r="A480" i="16" s="1"/>
  <c r="B1190" i="16" s="1"/>
  <c r="E2296" i="12"/>
  <c r="E2301" i="12" s="1"/>
  <c r="D552" i="12"/>
  <c r="D1741" i="12" s="1"/>
  <c r="G552" i="12"/>
  <c r="G1741" i="12" s="1"/>
  <c r="G2298" i="12"/>
  <c r="C1681" i="12" s="1"/>
  <c r="A1681" i="12"/>
  <c r="A1678" i="12"/>
  <c r="A1676" i="12"/>
  <c r="K257" i="8"/>
  <c r="H257" i="8"/>
  <c r="B595" i="16"/>
  <c r="B596" i="16" s="1"/>
  <c r="I339" i="8"/>
  <c r="G346" i="8"/>
  <c r="H346" i="8"/>
  <c r="H340" i="8"/>
  <c r="I340" i="8"/>
  <c r="J340" i="8"/>
  <c r="K325" i="8"/>
  <c r="B600" i="16"/>
  <c r="H338" i="8"/>
  <c r="J535" i="8" s="1"/>
  <c r="I325" i="8"/>
  <c r="J325" i="8"/>
  <c r="H1155" i="7"/>
  <c r="H1114" i="7" s="1"/>
  <c r="H1098" i="7"/>
  <c r="H1112" i="7" s="1"/>
  <c r="I129" i="7" s="1"/>
  <c r="J438" i="12" s="1"/>
  <c r="K336" i="8"/>
  <c r="B179" i="14"/>
  <c r="B221" i="13"/>
  <c r="I336" i="8"/>
  <c r="J336" i="8"/>
  <c r="B194" i="14"/>
  <c r="B231" i="13"/>
  <c r="B2147" i="13" s="1"/>
  <c r="B3051" i="14"/>
  <c r="K368" i="8"/>
  <c r="K371" i="8" s="1"/>
  <c r="L679" i="9"/>
  <c r="L504" i="9"/>
  <c r="J504" i="9"/>
  <c r="B125" i="10"/>
  <c r="K434" i="9"/>
  <c r="I434" i="9"/>
  <c r="L513" i="9"/>
  <c r="L436" i="9"/>
  <c r="L505" i="9"/>
  <c r="L506" i="9" s="1"/>
  <c r="K513" i="9"/>
  <c r="K509" i="9"/>
  <c r="J513" i="9"/>
  <c r="J436" i="9"/>
  <c r="I518" i="9"/>
  <c r="H513" i="9"/>
  <c r="B320" i="9" s="1"/>
  <c r="K503" i="9"/>
  <c r="J503" i="9"/>
  <c r="L497" i="9"/>
  <c r="K497" i="9"/>
  <c r="H497" i="9"/>
  <c r="B292" i="9" s="1"/>
  <c r="A191" i="12"/>
  <c r="A193" i="12"/>
  <c r="A195" i="12"/>
  <c r="A197" i="12"/>
  <c r="A199" i="12"/>
  <c r="A201" i="12"/>
  <c r="A203" i="12"/>
  <c r="A182" i="12"/>
  <c r="A184" i="12"/>
  <c r="C2295" i="12"/>
  <c r="E2295" i="12"/>
  <c r="G2295" i="12"/>
  <c r="H502" i="9"/>
  <c r="K502" i="9"/>
  <c r="K780" i="9" s="1"/>
  <c r="I502" i="9"/>
  <c r="I780" i="9" s="1"/>
  <c r="A69" i="14"/>
  <c r="A1449" i="12" s="1"/>
  <c r="F61" i="14"/>
  <c r="F1441" i="12" s="1"/>
  <c r="D70" i="14"/>
  <c r="D1450" i="12" s="1"/>
  <c r="A2307" i="12"/>
  <c r="H323" i="8"/>
  <c r="H327" i="8" s="1"/>
  <c r="A2257" i="12"/>
  <c r="G2297" i="12"/>
  <c r="E2297" i="12"/>
  <c r="C2297" i="12"/>
  <c r="A1657" i="12"/>
  <c r="A1659" i="12"/>
  <c r="A1661" i="12"/>
  <c r="B1677" i="12"/>
  <c r="B1679" i="12"/>
  <c r="F2299" i="12"/>
  <c r="F1817" i="12" s="1"/>
  <c r="D2299" i="12"/>
  <c r="G2300" i="12"/>
  <c r="E2300" i="12"/>
  <c r="C2300" i="12"/>
  <c r="B2441" i="12"/>
  <c r="B597" i="16"/>
  <c r="F1703" i="12"/>
  <c r="A1679" i="12"/>
  <c r="F1710" i="12"/>
  <c r="E552" i="12"/>
  <c r="E1741" i="12" s="1"/>
  <c r="A506" i="12"/>
  <c r="J257" i="8"/>
  <c r="J251" i="8"/>
  <c r="J338" i="8"/>
  <c r="L535" i="8" s="1"/>
  <c r="J346" i="8"/>
  <c r="I338" i="8"/>
  <c r="I337" i="8"/>
  <c r="H336" i="8"/>
  <c r="B601" i="16"/>
  <c r="I286" i="10"/>
  <c r="B1023" i="12" s="1"/>
  <c r="J286" i="10"/>
  <c r="J347" i="10" s="1"/>
  <c r="M286" i="10"/>
  <c r="M347" i="10" s="1"/>
  <c r="K135" i="10"/>
  <c r="A96" i="16"/>
  <c r="A1204" i="12" s="1"/>
  <c r="A99" i="16"/>
  <c r="R423" i="10"/>
  <c r="R425" i="10"/>
  <c r="R427" i="10"/>
  <c r="R429" i="10"/>
  <c r="R431" i="10"/>
  <c r="R433" i="10"/>
  <c r="R435" i="10"/>
  <c r="R422" i="10"/>
  <c r="R424" i="10"/>
  <c r="R426" i="10"/>
  <c r="R428" i="10"/>
  <c r="R430" i="10"/>
  <c r="R432" i="10"/>
  <c r="R434" i="10"/>
  <c r="R436" i="10"/>
  <c r="L691" i="9"/>
  <c r="V139" i="7"/>
  <c r="F808" i="7"/>
  <c r="H691" i="9"/>
  <c r="G327" i="8"/>
  <c r="L694" i="9"/>
  <c r="L704" i="9"/>
  <c r="W181" i="7"/>
  <c r="V159" i="7"/>
  <c r="W174" i="7"/>
  <c r="A53" i="10"/>
  <c r="A320" i="10"/>
  <c r="A316" i="10"/>
  <c r="A317" i="10"/>
  <c r="A325" i="10"/>
  <c r="A52" i="8"/>
  <c r="I378" i="8"/>
  <c r="I493" i="8"/>
  <c r="L493" i="8"/>
  <c r="H378" i="8"/>
  <c r="M493" i="8"/>
  <c r="K493" i="8"/>
  <c r="H386" i="8"/>
  <c r="R51" i="8"/>
  <c r="I363" i="8"/>
  <c r="I366" i="8" s="1"/>
  <c r="K359" i="8"/>
  <c r="K361" i="8" s="1"/>
  <c r="G2296" i="12"/>
  <c r="G2301" i="12" s="1"/>
  <c r="C2296" i="12"/>
  <c r="C2301" i="12" s="1"/>
  <c r="B589" i="16"/>
  <c r="B452" i="16"/>
  <c r="I357" i="8"/>
  <c r="K362" i="8"/>
  <c r="I367" i="8"/>
  <c r="I369" i="8"/>
  <c r="I358" i="8"/>
  <c r="I361" i="8" s="1"/>
  <c r="K364" i="8"/>
  <c r="K366" i="8" s="1"/>
  <c r="B489" i="9"/>
  <c r="I679" i="9"/>
  <c r="M323" i="10"/>
  <c r="K323" i="10"/>
  <c r="B3102" i="16"/>
  <c r="B3106" i="16" s="1"/>
  <c r="D2298" i="12"/>
  <c r="C1708" i="12" s="1"/>
  <c r="A918" i="12"/>
  <c r="G362" i="8"/>
  <c r="K357" i="8"/>
  <c r="I362" i="8"/>
  <c r="K367" i="8"/>
  <c r="B346" i="9"/>
  <c r="J321" i="10"/>
  <c r="J342" i="10" s="1"/>
  <c r="C244" i="10" s="1"/>
  <c r="F2296" i="12"/>
  <c r="F2301" i="12" s="1"/>
  <c r="D2296" i="12"/>
  <c r="D2301" i="12" s="1"/>
  <c r="B2018" i="12" s="1"/>
  <c r="B2113" i="12" s="1"/>
  <c r="E2298" i="12"/>
  <c r="B2115" i="13"/>
  <c r="H70" i="14"/>
  <c r="H1450" i="12" s="1"/>
  <c r="B252" i="14"/>
  <c r="B2557" i="14" s="1"/>
  <c r="B3458" i="14" s="1"/>
  <c r="G325" i="8"/>
  <c r="B229" i="13"/>
  <c r="B300" i="13" s="1"/>
  <c r="B340" i="13" s="1"/>
  <c r="A518" i="12"/>
  <c r="A896" i="12"/>
  <c r="A901" i="12"/>
  <c r="A394" i="12"/>
  <c r="B495" i="14"/>
  <c r="B2608" i="14"/>
  <c r="C272" i="8"/>
  <c r="C275" i="8"/>
  <c r="C278" i="8"/>
  <c r="C373" i="8"/>
  <c r="J368" i="8"/>
  <c r="E483" i="9"/>
  <c r="B348" i="9"/>
  <c r="H679" i="9"/>
  <c r="B199" i="14"/>
  <c r="A60" i="14"/>
  <c r="A1440" i="12" s="1"/>
  <c r="G61" i="14"/>
  <c r="G1441" i="12" s="1"/>
  <c r="D61" i="14"/>
  <c r="D1441" i="12" s="1"/>
  <c r="F70" i="14"/>
  <c r="F1450" i="12" s="1"/>
  <c r="C70" i="14"/>
  <c r="C1450" i="12" s="1"/>
  <c r="B70" i="14"/>
  <c r="B1450" i="12" s="1"/>
  <c r="L508" i="16"/>
  <c r="B305" i="13"/>
  <c r="H61" i="14"/>
  <c r="H1441" i="12" s="1"/>
  <c r="B567" i="13"/>
  <c r="B564" i="13" s="1"/>
  <c r="B572" i="13" s="1"/>
  <c r="B568" i="13"/>
  <c r="B3049" i="14"/>
  <c r="B481" i="9"/>
  <c r="E486" i="9"/>
  <c r="M314" i="10"/>
  <c r="O282" i="8"/>
  <c r="B60" i="10"/>
  <c r="E60" i="10"/>
  <c r="C60" i="10"/>
  <c r="K498" i="9"/>
  <c r="I498" i="9"/>
  <c r="L498" i="9"/>
  <c r="L499" i="9"/>
  <c r="L804" i="9" s="1"/>
  <c r="J499" i="9"/>
  <c r="J797" i="9" s="1"/>
  <c r="J216" i="9" s="1"/>
  <c r="L496" i="9"/>
  <c r="J496" i="9"/>
  <c r="H496" i="9"/>
  <c r="B291" i="9" s="1"/>
  <c r="I319" i="10"/>
  <c r="K319" i="10"/>
  <c r="J319" i="10"/>
  <c r="J349" i="10" s="1"/>
  <c r="B2443" i="12"/>
  <c r="B579" i="16"/>
  <c r="B585" i="16"/>
  <c r="G2569" i="16"/>
  <c r="B1913" i="12"/>
  <c r="B2147" i="12"/>
  <c r="B2435" i="12"/>
  <c r="C396" i="12"/>
  <c r="B2015" i="12"/>
  <c r="B2110" i="12" s="1"/>
  <c r="J322" i="10"/>
  <c r="L322" i="10"/>
  <c r="I322" i="10"/>
  <c r="J332" i="8"/>
  <c r="L417" i="8" s="1"/>
  <c r="B437" i="16"/>
  <c r="B871" i="16" s="1"/>
  <c r="B441" i="16"/>
  <c r="B451" i="16"/>
  <c r="K251" i="8"/>
  <c r="B617" i="16"/>
  <c r="H251" i="8"/>
  <c r="K339" i="8"/>
  <c r="H339" i="8"/>
  <c r="J339" i="8"/>
  <c r="K346" i="8"/>
  <c r="I346" i="8"/>
  <c r="K345" i="8"/>
  <c r="H345" i="8"/>
  <c r="J345" i="8"/>
  <c r="I320" i="10"/>
  <c r="I342" i="10" s="1"/>
  <c r="B244" i="10" s="1"/>
  <c r="K320" i="10"/>
  <c r="L320" i="10"/>
  <c r="M491" i="8"/>
  <c r="K332" i="8"/>
  <c r="M417" i="8" s="1"/>
  <c r="G332" i="8"/>
  <c r="I417" i="8" s="1"/>
  <c r="I332" i="8"/>
  <c r="K417" i="8" s="1"/>
  <c r="M431" i="8"/>
  <c r="K344" i="8"/>
  <c r="G344" i="8"/>
  <c r="B213" i="14"/>
  <c r="B274" i="14" s="1"/>
  <c r="B2889" i="14" s="1"/>
  <c r="B220" i="13"/>
  <c r="B321" i="13" s="1"/>
  <c r="B24" i="15"/>
  <c r="H344" i="8"/>
  <c r="J344" i="8"/>
  <c r="K335" i="8"/>
  <c r="G94" i="8" s="1"/>
  <c r="B225" i="13"/>
  <c r="B2158" i="13" s="1"/>
  <c r="B2165" i="13" s="1"/>
  <c r="B22" i="15"/>
  <c r="B285" i="15" s="1"/>
  <c r="B592" i="16"/>
  <c r="D290" i="16"/>
  <c r="I335" i="8"/>
  <c r="E94" i="8" s="1"/>
  <c r="P254" i="12"/>
  <c r="B405" i="12"/>
  <c r="B191" i="14" s="1"/>
  <c r="B383" i="14" s="1"/>
  <c r="B65" i="10"/>
  <c r="B590" i="16"/>
  <c r="O255" i="12"/>
  <c r="P255" i="12" s="1"/>
  <c r="A1160" i="7"/>
  <c r="A1159" i="7"/>
  <c r="A1114" i="7"/>
  <c r="A1155" i="7" s="1"/>
  <c r="J727" i="9"/>
  <c r="W144" i="7"/>
  <c r="W162" i="7"/>
  <c r="A868" i="12"/>
  <c r="W149" i="7"/>
  <c r="W183" i="7"/>
  <c r="W161" i="7"/>
  <c r="W169" i="7"/>
  <c r="W151" i="7"/>
  <c r="V169" i="7"/>
  <c r="H704" i="9"/>
  <c r="I458" i="9"/>
  <c r="I704" i="9"/>
  <c r="J493" i="9"/>
  <c r="J733" i="9" s="1"/>
  <c r="I450" i="9"/>
  <c r="I446" i="9"/>
  <c r="H446" i="9"/>
  <c r="K735" i="9"/>
  <c r="K736" i="9" s="1"/>
  <c r="K727" i="9"/>
  <c r="V153" i="7"/>
  <c r="W147" i="7"/>
  <c r="W184" i="7"/>
  <c r="W156" i="7"/>
  <c r="W180" i="7"/>
  <c r="W163" i="7"/>
  <c r="W167" i="7"/>
  <c r="W175" i="7"/>
  <c r="W173" i="7"/>
  <c r="V151" i="7"/>
  <c r="V161" i="7"/>
  <c r="I323" i="8"/>
  <c r="I327" i="8" s="1"/>
  <c r="I873" i="9"/>
  <c r="K323" i="8"/>
  <c r="K327" i="8" s="1"/>
  <c r="L450" i="9"/>
  <c r="L446" i="9"/>
  <c r="K446" i="9"/>
  <c r="H493" i="9"/>
  <c r="B355" i="9" s="1"/>
  <c r="A510" i="12"/>
  <c r="A1104" i="12"/>
  <c r="H871" i="9"/>
  <c r="H872" i="9" s="1"/>
  <c r="K871" i="9"/>
  <c r="K872" i="9" s="1"/>
  <c r="J871" i="9"/>
  <c r="J872" i="9" s="1"/>
  <c r="H848" i="9"/>
  <c r="W152" i="7"/>
  <c r="W141" i="7"/>
  <c r="W154" i="7"/>
  <c r="W143" i="7"/>
  <c r="W133" i="7"/>
  <c r="H738" i="9"/>
  <c r="V137" i="7"/>
  <c r="V134" i="7"/>
  <c r="V152" i="7"/>
  <c r="W148" i="7"/>
  <c r="W146" i="7"/>
  <c r="W145" i="7"/>
  <c r="W182" i="7"/>
  <c r="W185" i="7"/>
  <c r="W155" i="7"/>
  <c r="W178" i="7"/>
  <c r="W179" i="7"/>
  <c r="W165" i="7"/>
  <c r="W164" i="7"/>
  <c r="W166" i="7"/>
  <c r="W171" i="7"/>
  <c r="W170" i="7"/>
  <c r="W168" i="7"/>
  <c r="W176" i="7"/>
  <c r="W177" i="7"/>
  <c r="W172" i="7"/>
  <c r="W150" i="7"/>
  <c r="V174" i="7"/>
  <c r="V162" i="7"/>
  <c r="W131" i="7"/>
  <c r="W153" i="7"/>
  <c r="W140" i="7"/>
  <c r="W142" i="7"/>
  <c r="W132" i="7"/>
  <c r="W134" i="7"/>
  <c r="G323" i="8"/>
  <c r="J323" i="8"/>
  <c r="J327" i="8" s="1"/>
  <c r="J312" i="10"/>
  <c r="W157" i="7"/>
  <c r="W159" i="7"/>
  <c r="H873" i="9"/>
  <c r="H694" i="9"/>
  <c r="H695" i="9" s="1"/>
  <c r="N510" i="16"/>
  <c r="M316" i="10"/>
  <c r="K316" i="10"/>
  <c r="C2416" i="12"/>
  <c r="G339" i="8"/>
  <c r="G338" i="8"/>
  <c r="K338" i="8"/>
  <c r="M509" i="16"/>
  <c r="I323" i="10"/>
  <c r="I316" i="10"/>
  <c r="M289" i="10"/>
  <c r="M346" i="10" s="1"/>
  <c r="M322" i="10"/>
  <c r="L323" i="10"/>
  <c r="L316" i="10"/>
  <c r="K289" i="10"/>
  <c r="K346" i="10" s="1"/>
  <c r="K322" i="10"/>
  <c r="I315" i="10"/>
  <c r="E419" i="10" s="1"/>
  <c r="G363" i="8"/>
  <c r="G366" i="8" s="1"/>
  <c r="O256" i="12"/>
  <c r="P256" i="12" s="1"/>
  <c r="W158" i="7"/>
  <c r="W160" i="7"/>
  <c r="W139" i="7"/>
  <c r="L458" i="9"/>
  <c r="B647" i="16"/>
  <c r="B1104" i="12"/>
  <c r="I329" i="10"/>
  <c r="I312" i="10"/>
  <c r="H262" i="8"/>
  <c r="I262" i="8"/>
  <c r="I243" i="8"/>
  <c r="J262" i="8"/>
  <c r="J243" i="8"/>
  <c r="J247" i="8"/>
  <c r="L312" i="10"/>
  <c r="A982" i="12"/>
  <c r="B954" i="12"/>
  <c r="A186" i="10"/>
  <c r="A872" i="12"/>
  <c r="A972" i="12"/>
  <c r="H452" i="9"/>
  <c r="K687" i="9" s="1"/>
  <c r="A505" i="12"/>
  <c r="C87" i="9"/>
  <c r="B53" i="8"/>
  <c r="A61" i="10"/>
  <c r="A521" i="12"/>
  <c r="A519" i="12"/>
  <c r="A517" i="12"/>
  <c r="A515" i="12"/>
  <c r="A513" i="12"/>
  <c r="A511" i="12"/>
  <c r="A509" i="12"/>
  <c r="A507" i="12"/>
  <c r="H460" i="9"/>
  <c r="H699" i="9" s="1"/>
  <c r="H450" i="9"/>
  <c r="I493" i="9"/>
  <c r="I733" i="9" s="1"/>
  <c r="J460" i="9"/>
  <c r="K460" i="9"/>
  <c r="K713" i="9" s="1"/>
  <c r="K450" i="9"/>
  <c r="L493" i="9"/>
  <c r="L733" i="9" s="1"/>
  <c r="L460" i="9"/>
  <c r="L735" i="9"/>
  <c r="L736" i="9" s="1"/>
  <c r="V157" i="7"/>
  <c r="V141" i="7"/>
  <c r="V142" i="7"/>
  <c r="V173" i="7"/>
  <c r="V175" i="7"/>
  <c r="V167" i="7"/>
  <c r="V163" i="7"/>
  <c r="A1093" i="7"/>
  <c r="A1158" i="7"/>
  <c r="A1111" i="7"/>
  <c r="A1097" i="7" s="1"/>
  <c r="F807" i="7"/>
  <c r="G292" i="8"/>
  <c r="C81" i="8" s="1"/>
  <c r="J292" i="8"/>
  <c r="F81" i="8" s="1"/>
  <c r="H292" i="8"/>
  <c r="D81" i="8" s="1"/>
  <c r="C56" i="10"/>
  <c r="A1102" i="12"/>
  <c r="K493" i="9"/>
  <c r="K733" i="9" s="1"/>
  <c r="J450" i="9"/>
  <c r="J446" i="9"/>
  <c r="I460" i="9"/>
  <c r="A508" i="12"/>
  <c r="A512" i="12"/>
  <c r="A516" i="12"/>
  <c r="A520" i="12"/>
  <c r="D192" i="10"/>
  <c r="A973" i="12"/>
  <c r="A188" i="10"/>
  <c r="J324" i="8"/>
  <c r="B237" i="14"/>
  <c r="G247" i="8"/>
  <c r="G243" i="8"/>
  <c r="B810" i="13"/>
  <c r="B1187" i="13" s="1"/>
  <c r="B809" i="13"/>
  <c r="B1038" i="13" s="1"/>
  <c r="A1113" i="7"/>
  <c r="A1154" i="7" s="1"/>
  <c r="I694" i="9"/>
  <c r="B1156" i="16"/>
  <c r="I738" i="9"/>
  <c r="L871" i="9"/>
  <c r="L872" i="9" s="1"/>
  <c r="L727" i="9"/>
  <c r="H727" i="9"/>
  <c r="J848" i="9"/>
  <c r="G297" i="8"/>
  <c r="H297" i="8" s="1"/>
  <c r="G262" i="8"/>
  <c r="B191" i="10"/>
  <c r="B643" i="16"/>
  <c r="B3067" i="16" s="1"/>
  <c r="I247" i="8"/>
  <c r="K312" i="10"/>
  <c r="M312" i="10"/>
  <c r="A514" i="12"/>
  <c r="B955" i="12"/>
  <c r="A864" i="12"/>
  <c r="A870" i="12"/>
  <c r="A866" i="12"/>
  <c r="B750" i="16"/>
  <c r="B751" i="16" s="1"/>
  <c r="A189" i="10"/>
  <c r="A499" i="12"/>
  <c r="A1070" i="12"/>
  <c r="A187" i="10"/>
  <c r="B1070" i="12"/>
  <c r="A984" i="12"/>
  <c r="A983" i="12"/>
  <c r="A988" i="12"/>
  <c r="A873" i="12"/>
  <c r="B972" i="15"/>
  <c r="B960" i="15"/>
  <c r="B452" i="15"/>
  <c r="B467" i="15"/>
  <c r="B468" i="15" s="1"/>
  <c r="B469" i="15" s="1"/>
  <c r="D553" i="9"/>
  <c r="E553" i="9"/>
  <c r="J359" i="8"/>
  <c r="J357" i="8"/>
  <c r="H358" i="8"/>
  <c r="H361" i="8" s="1"/>
  <c r="H357" i="8"/>
  <c r="J364" i="8"/>
  <c r="J362" i="8"/>
  <c r="H363" i="8"/>
  <c r="H362" i="8"/>
  <c r="H369" i="8"/>
  <c r="H368" i="8"/>
  <c r="H367" i="8"/>
  <c r="D543" i="9"/>
  <c r="F543" i="9"/>
  <c r="G543" i="9" s="1"/>
  <c r="H543" i="9"/>
  <c r="A86" i="9"/>
  <c r="A491" i="9"/>
  <c r="A472" i="9"/>
  <c r="A454" i="9"/>
  <c r="A452" i="9"/>
  <c r="A432" i="9"/>
  <c r="K738" i="9"/>
  <c r="K458" i="9"/>
  <c r="K695" i="9" s="1"/>
  <c r="K873" i="9"/>
  <c r="K704" i="9"/>
  <c r="J691" i="9"/>
  <c r="J694" i="9"/>
  <c r="J695" i="9" s="1"/>
  <c r="J873" i="9"/>
  <c r="B1013" i="13"/>
  <c r="B1014" i="13" s="1"/>
  <c r="B571" i="13"/>
  <c r="B1087" i="13"/>
  <c r="B1088" i="13" s="1"/>
  <c r="B868" i="13"/>
  <c r="B938" i="15"/>
  <c r="B994" i="15"/>
  <c r="B995" i="15" s="1"/>
  <c r="B969" i="15"/>
  <c r="B970" i="15" s="1"/>
  <c r="H680" i="9"/>
  <c r="A349" i="9"/>
  <c r="A348" i="9"/>
  <c r="A347" i="9"/>
  <c r="A346" i="9"/>
  <c r="A345" i="9"/>
  <c r="E489" i="9"/>
  <c r="E488" i="9"/>
  <c r="B487" i="9"/>
  <c r="E485" i="9"/>
  <c r="E484" i="9"/>
  <c r="B483" i="9"/>
  <c r="E481" i="9"/>
  <c r="I480" i="9"/>
  <c r="F550" i="9"/>
  <c r="E550" i="9"/>
  <c r="B2950" i="14"/>
  <c r="B2951" i="14" s="1"/>
  <c r="B2891" i="14"/>
  <c r="J492" i="8"/>
  <c r="K492" i="8"/>
  <c r="L492" i="8"/>
  <c r="B1136" i="16"/>
  <c r="B1158" i="16"/>
  <c r="B1239" i="16"/>
  <c r="A869" i="12"/>
  <c r="A871" i="12"/>
  <c r="B614" i="16"/>
  <c r="J511" i="16"/>
  <c r="L511" i="16"/>
  <c r="N511" i="16"/>
  <c r="P511" i="16"/>
  <c r="I510" i="16"/>
  <c r="K510" i="16"/>
  <c r="M510" i="16"/>
  <c r="O510" i="16"/>
  <c r="H510" i="16"/>
  <c r="P509" i="16"/>
  <c r="N509" i="16"/>
  <c r="L509" i="16"/>
  <c r="J509" i="16"/>
  <c r="P508" i="16"/>
  <c r="N508" i="16"/>
  <c r="I511" i="16"/>
  <c r="M511" i="16"/>
  <c r="H511" i="16"/>
  <c r="L510" i="16"/>
  <c r="P510" i="16"/>
  <c r="O509" i="16"/>
  <c r="K509" i="16"/>
  <c r="O508" i="16"/>
  <c r="B2410" i="12"/>
  <c r="B2414" i="12"/>
  <c r="B620" i="16"/>
  <c r="B2412" i="12"/>
  <c r="B2396" i="12"/>
  <c r="B3405" i="16"/>
  <c r="B187" i="14"/>
  <c r="B248" i="14" s="1"/>
  <c r="B224" i="13"/>
  <c r="B26" i="15"/>
  <c r="I477" i="8"/>
  <c r="G185" i="8" s="1"/>
  <c r="C387" i="8"/>
  <c r="C385" i="8"/>
  <c r="C384" i="8"/>
  <c r="C383" i="8"/>
  <c r="C381" i="8"/>
  <c r="C379" i="8"/>
  <c r="C377" i="8"/>
  <c r="C376" i="8"/>
  <c r="C374" i="8"/>
  <c r="B372" i="8"/>
  <c r="C370" i="8"/>
  <c r="C368" i="8"/>
  <c r="C279" i="8"/>
  <c r="B277" i="8"/>
  <c r="C365" i="8"/>
  <c r="C363" i="8"/>
  <c r="C276" i="8"/>
  <c r="B274" i="8"/>
  <c r="C360" i="8"/>
  <c r="C358" i="8"/>
  <c r="C273" i="8"/>
  <c r="B271" i="8"/>
  <c r="A270" i="8"/>
  <c r="G341" i="8"/>
  <c r="H1097" i="7"/>
  <c r="H1111" i="7" s="1"/>
  <c r="C559" i="16"/>
  <c r="B23" i="15"/>
  <c r="B222" i="13"/>
  <c r="B281" i="13" s="1"/>
  <c r="I505" i="9"/>
  <c r="J505" i="9"/>
  <c r="I341" i="8"/>
  <c r="K341" i="8"/>
  <c r="I491" i="8"/>
  <c r="L491" i="8"/>
  <c r="K343" i="8"/>
  <c r="B214" i="14"/>
  <c r="G343" i="8"/>
  <c r="B239" i="13"/>
  <c r="B322" i="13" s="1"/>
  <c r="B1089" i="13" s="1"/>
  <c r="D559" i="16"/>
  <c r="J343" i="8"/>
  <c r="H1100" i="7"/>
  <c r="H1115" i="7" s="1"/>
  <c r="J129" i="7" s="1"/>
  <c r="B2437" i="12"/>
  <c r="I508" i="9"/>
  <c r="K508" i="9"/>
  <c r="L508" i="9"/>
  <c r="K324" i="8"/>
  <c r="H324" i="8"/>
  <c r="I324" i="8"/>
  <c r="B645" i="16"/>
  <c r="G369" i="8"/>
  <c r="G367" i="8"/>
  <c r="B180" i="14"/>
  <c r="C1675" i="12"/>
  <c r="B1762" i="12" s="1"/>
  <c r="K334" i="8"/>
  <c r="M530" i="8" s="1"/>
  <c r="K197" i="8" s="1"/>
  <c r="G334" i="8"/>
  <c r="I530" i="8" s="1"/>
  <c r="G197" i="8" s="1"/>
  <c r="B175" i="8" s="1"/>
  <c r="H334" i="8"/>
  <c r="J530" i="8" s="1"/>
  <c r="H197" i="8" s="1"/>
  <c r="J334" i="8"/>
  <c r="L530" i="8" s="1"/>
  <c r="J197" i="8" s="1"/>
  <c r="I334" i="8"/>
  <c r="K530" i="8" s="1"/>
  <c r="I197" i="8" s="1"/>
  <c r="H1099" i="7"/>
  <c r="I501" i="9"/>
  <c r="I779" i="9" s="1"/>
  <c r="I223" i="9" s="1"/>
  <c r="K501" i="9"/>
  <c r="K779" i="9" s="1"/>
  <c r="K223" i="9" s="1"/>
  <c r="H501" i="9"/>
  <c r="O268" i="12"/>
  <c r="B2016" i="12"/>
  <c r="B2111" i="12" s="1"/>
  <c r="C2298" i="12"/>
  <c r="B404" i="12" s="1"/>
  <c r="B1652" i="12"/>
  <c r="O1658" i="12" s="1"/>
  <c r="O1651" i="12"/>
  <c r="B624" i="15"/>
  <c r="B1151" i="15"/>
  <c r="B1153" i="15" s="1"/>
  <c r="V136" i="7"/>
  <c r="V138" i="7"/>
  <c r="V160" i="7"/>
  <c r="V158" i="7"/>
  <c r="AS134" i="7"/>
  <c r="V133" i="7"/>
  <c r="V132" i="7"/>
  <c r="AS142" i="7"/>
  <c r="V143" i="7"/>
  <c r="V140" i="7"/>
  <c r="AS153" i="7"/>
  <c r="V154" i="7"/>
  <c r="AS154" i="7"/>
  <c r="V131" i="7"/>
  <c r="AS131" i="7"/>
  <c r="B610" i="15"/>
  <c r="B684" i="15"/>
  <c r="B3208" i="14"/>
  <c r="V150" i="7"/>
  <c r="V172" i="7"/>
  <c r="V177" i="7"/>
  <c r="V176" i="7"/>
  <c r="V168" i="7"/>
  <c r="V170" i="7"/>
  <c r="V171" i="7"/>
  <c r="V166" i="7"/>
  <c r="V164" i="7"/>
  <c r="V165" i="7"/>
  <c r="V180" i="7"/>
  <c r="V179" i="7"/>
  <c r="V181" i="7"/>
  <c r="V178" i="7"/>
  <c r="V156" i="7"/>
  <c r="V155" i="7"/>
  <c r="V183" i="7"/>
  <c r="V185" i="7"/>
  <c r="V184" i="7"/>
  <c r="V182" i="7"/>
  <c r="V144" i="7"/>
  <c r="V145" i="7"/>
  <c r="V147" i="7"/>
  <c r="V146" i="7"/>
  <c r="V149" i="7"/>
  <c r="V148" i="7"/>
  <c r="E270" i="8"/>
  <c r="C357" i="8"/>
  <c r="C361" i="8"/>
  <c r="C362" i="8"/>
  <c r="C366" i="8"/>
  <c r="C367" i="8"/>
  <c r="C371" i="8"/>
  <c r="C375" i="8"/>
  <c r="C378" i="8"/>
  <c r="C382" i="8"/>
  <c r="H364" i="8"/>
  <c r="J379" i="8"/>
  <c r="J378" i="8"/>
  <c r="J369" i="8"/>
  <c r="J358" i="8"/>
  <c r="A453" i="9"/>
  <c r="A480" i="9"/>
  <c r="E482" i="9"/>
  <c r="B485" i="9"/>
  <c r="E487" i="9"/>
  <c r="E490" i="9"/>
  <c r="B345" i="9"/>
  <c r="B347" i="9"/>
  <c r="B349" i="9"/>
  <c r="G553" i="9"/>
  <c r="J704" i="9"/>
  <c r="H341" i="8"/>
  <c r="J501" i="9"/>
  <c r="J779" i="9" s="1"/>
  <c r="J223" i="9" s="1"/>
  <c r="A1161" i="7"/>
  <c r="A1115" i="7"/>
  <c r="A1100" i="7" s="1"/>
  <c r="A1110" i="7"/>
  <c r="A1096" i="7" s="1"/>
  <c r="A1112" i="7"/>
  <c r="A1098" i="7" s="1"/>
  <c r="A1108" i="7"/>
  <c r="A1094" i="7" s="1"/>
  <c r="D542" i="9"/>
  <c r="F542" i="9"/>
  <c r="G542" i="9" s="1"/>
  <c r="H542" i="9"/>
  <c r="D552" i="9"/>
  <c r="K691" i="9"/>
  <c r="J508" i="9"/>
  <c r="J738" i="9"/>
  <c r="I735" i="9"/>
  <c r="I736" i="9" s="1"/>
  <c r="I848" i="9"/>
  <c r="I871" i="9"/>
  <c r="I872" i="9" s="1"/>
  <c r="H508" i="9"/>
  <c r="D540" i="9"/>
  <c r="H540" i="9"/>
  <c r="F540" i="9"/>
  <c r="B325" i="13"/>
  <c r="B2869" i="14"/>
  <c r="B3090" i="14"/>
  <c r="B3091" i="14" s="1"/>
  <c r="B592" i="15"/>
  <c r="A574" i="15"/>
  <c r="B1020" i="15"/>
  <c r="A1012" i="15"/>
  <c r="I211" i="9"/>
  <c r="I492" i="8"/>
  <c r="S71" i="13"/>
  <c r="A94" i="13" s="1"/>
  <c r="A65" i="14"/>
  <c r="A1445" i="12" s="1"/>
  <c r="A49" i="14"/>
  <c r="A64" i="14"/>
  <c r="A1444" i="12" s="1"/>
  <c r="A75" i="14"/>
  <c r="A1455" i="12" s="1"/>
  <c r="A88" i="14"/>
  <c r="A1468" i="12" s="1"/>
  <c r="A55" i="14"/>
  <c r="A1435" i="12" s="1"/>
  <c r="B812" i="13"/>
  <c r="B2524" i="14"/>
  <c r="B2986" i="14"/>
  <c r="B2397" i="12"/>
  <c r="B2400" i="12"/>
  <c r="B2283" i="12"/>
  <c r="G379" i="8"/>
  <c r="G378" i="8"/>
  <c r="B648" i="16"/>
  <c r="B553" i="12"/>
  <c r="B1742" i="12" s="1"/>
  <c r="B1870" i="12"/>
  <c r="B1887" i="12" s="1"/>
  <c r="B2036" i="12" s="1"/>
  <c r="B2131" i="12" s="1"/>
  <c r="I509" i="16"/>
  <c r="H509" i="16"/>
  <c r="J510" i="16"/>
  <c r="K511" i="16"/>
  <c r="B1071" i="16"/>
  <c r="B1077" i="16"/>
  <c r="B1220" i="16"/>
  <c r="B1075" i="16"/>
  <c r="B1074" i="16"/>
  <c r="B1072" i="16"/>
  <c r="I311" i="10"/>
  <c r="I351" i="10" s="1"/>
  <c r="J311" i="10"/>
  <c r="J351" i="10" s="1"/>
  <c r="K311" i="10"/>
  <c r="K351" i="10" s="1"/>
  <c r="V52" i="10"/>
  <c r="A323" i="10"/>
  <c r="A319" i="10"/>
  <c r="A315" i="10"/>
  <c r="I343" i="8"/>
  <c r="J491" i="8"/>
  <c r="B2416" i="12"/>
  <c r="B981" i="16"/>
  <c r="B1002" i="16"/>
  <c r="A1058" i="16"/>
  <c r="I288" i="10"/>
  <c r="J288" i="10"/>
  <c r="B629" i="16"/>
  <c r="B2999" i="16"/>
  <c r="B3029" i="16"/>
  <c r="B3009" i="16"/>
  <c r="B2987" i="16"/>
  <c r="B3019" i="16"/>
  <c r="B2962" i="16"/>
  <c r="B2955" i="16"/>
  <c r="B2969" i="16"/>
  <c r="B2892" i="16"/>
  <c r="B603" i="16"/>
  <c r="B2288" i="12"/>
  <c r="B2290" i="12" s="1"/>
  <c r="A95" i="16"/>
  <c r="A1203" i="12" s="1"/>
  <c r="D89" i="16"/>
  <c r="J736" i="9"/>
  <c r="B1156" i="13"/>
  <c r="D1658" i="13"/>
  <c r="M3532" i="14"/>
  <c r="M3533" i="14" s="1"/>
  <c r="D3664" i="14"/>
  <c r="AB3658" i="14"/>
  <c r="AB3659" i="14" s="1"/>
  <c r="B1121" i="15"/>
  <c r="C750" i="12"/>
  <c r="C749" i="12"/>
  <c r="H505" i="16"/>
  <c r="I512" i="16" s="1"/>
  <c r="I513" i="16" s="1"/>
  <c r="K347" i="10"/>
  <c r="L431" i="8"/>
  <c r="B443" i="16"/>
  <c r="B429" i="16"/>
  <c r="A430" i="16" s="1"/>
  <c r="A438" i="16" s="1"/>
  <c r="B459" i="16"/>
  <c r="B460" i="16"/>
  <c r="B442" i="16"/>
  <c r="B444" i="16"/>
  <c r="B433" i="16"/>
  <c r="B434" i="16"/>
  <c r="B453" i="16"/>
  <c r="B454" i="16"/>
  <c r="B435" i="16"/>
  <c r="B448" i="16"/>
  <c r="B436" i="16"/>
  <c r="A445" i="16"/>
  <c r="B163" i="14"/>
  <c r="B207" i="13"/>
  <c r="B313" i="13" s="1"/>
  <c r="C2411" i="12"/>
  <c r="C2414" i="12"/>
  <c r="B611" i="16"/>
  <c r="B253" i="14"/>
  <c r="B2381" i="14" s="1"/>
  <c r="B375" i="14"/>
  <c r="A396" i="12"/>
  <c r="B2409" i="12"/>
  <c r="B2183" i="13"/>
  <c r="B288" i="13"/>
  <c r="B298" i="13"/>
  <c r="H85" i="13"/>
  <c r="H94" i="13"/>
  <c r="B346" i="13"/>
  <c r="B206" i="13"/>
  <c r="B312" i="13" s="1"/>
  <c r="B458" i="14"/>
  <c r="B459" i="14"/>
  <c r="I431" i="8"/>
  <c r="K340" i="8"/>
  <c r="G340" i="8"/>
  <c r="G359" i="8"/>
  <c r="G357" i="8"/>
  <c r="K337" i="8"/>
  <c r="G337" i="8"/>
  <c r="P259" i="12"/>
  <c r="G335" i="8"/>
  <c r="C94" i="8" s="1"/>
  <c r="B1544" i="12" s="1"/>
  <c r="B347" i="13"/>
  <c r="B756" i="13" s="1"/>
  <c r="B772" i="13" s="1"/>
  <c r="K211" i="9"/>
  <c r="H211" i="9"/>
  <c r="L211" i="9"/>
  <c r="H648" i="9"/>
  <c r="L648" i="9"/>
  <c r="K648" i="9"/>
  <c r="J648" i="9"/>
  <c r="I648" i="9"/>
  <c r="E551" i="9"/>
  <c r="D551" i="9"/>
  <c r="F551" i="9"/>
  <c r="A96" i="13"/>
  <c r="A92" i="13"/>
  <c r="A86" i="13"/>
  <c r="A82" i="13"/>
  <c r="A89" i="13"/>
  <c r="A111" i="13"/>
  <c r="A100" i="13"/>
  <c r="A76" i="13"/>
  <c r="A95" i="13"/>
  <c r="A87" i="13"/>
  <c r="A83" i="13"/>
  <c r="A72" i="13"/>
  <c r="A78" i="13"/>
  <c r="A112" i="13"/>
  <c r="A88" i="13"/>
  <c r="B3432" i="14"/>
  <c r="B3417" i="14"/>
  <c r="W138" i="7"/>
  <c r="W136" i="7"/>
  <c r="G386" i="8"/>
  <c r="I386" i="8"/>
  <c r="K386" i="8"/>
  <c r="E549" i="9"/>
  <c r="D549" i="9"/>
  <c r="F549" i="9"/>
  <c r="B2973" i="14"/>
  <c r="C416" i="10"/>
  <c r="D414" i="10"/>
  <c r="D416" i="10"/>
  <c r="B933" i="13"/>
  <c r="B1063" i="13"/>
  <c r="B1064" i="13" s="1"/>
  <c r="A489" i="15"/>
  <c r="A62" i="14"/>
  <c r="A1442" i="12" s="1"/>
  <c r="A89" i="14"/>
  <c r="A1469" i="12" s="1"/>
  <c r="A87" i="14"/>
  <c r="A1467" i="12" s="1"/>
  <c r="A80" i="14"/>
  <c r="A1460" i="12" s="1"/>
  <c r="A74" i="14"/>
  <c r="A1454" i="12" s="1"/>
  <c r="B2906" i="14"/>
  <c r="B3403" i="14"/>
  <c r="B1005" i="16"/>
  <c r="B1145" i="16"/>
  <c r="B1142" i="16"/>
  <c r="B1139" i="16"/>
  <c r="B205" i="14"/>
  <c r="B266" i="13"/>
  <c r="B310" i="13" s="1"/>
  <c r="B562" i="13" s="1"/>
  <c r="B206" i="14"/>
  <c r="B267" i="13"/>
  <c r="B311" i="13" s="1"/>
  <c r="I318" i="10"/>
  <c r="M318" i="10"/>
  <c r="L318" i="10"/>
  <c r="K318" i="10"/>
  <c r="C2415" i="12"/>
  <c r="C2413" i="12"/>
  <c r="C2412" i="12"/>
  <c r="C2410" i="12"/>
  <c r="B2415" i="12"/>
  <c r="B2413" i="12"/>
  <c r="B2411" i="12"/>
  <c r="C2409" i="12"/>
  <c r="B748" i="16"/>
  <c r="B3010" i="16"/>
  <c r="B811" i="13"/>
  <c r="B348" i="13"/>
  <c r="B2184" i="13"/>
  <c r="G291" i="8"/>
  <c r="B149" i="19" s="1"/>
  <c r="K243" i="8"/>
  <c r="G251" i="8"/>
  <c r="K247" i="8"/>
  <c r="K262" i="8"/>
  <c r="G296" i="8"/>
  <c r="G298" i="8" s="1"/>
  <c r="G368" i="8"/>
  <c r="G358" i="8"/>
  <c r="G290" i="8"/>
  <c r="I805" i="12" l="1"/>
  <c r="I811" i="12" s="1"/>
  <c r="H805" i="12"/>
  <c r="F805" i="12"/>
  <c r="D805" i="12"/>
  <c r="D811" i="12" s="1"/>
  <c r="B805" i="12"/>
  <c r="B811" i="12" s="1"/>
  <c r="J805" i="12"/>
  <c r="G805" i="12"/>
  <c r="G811" i="12" s="1"/>
  <c r="E805" i="12"/>
  <c r="C805" i="12"/>
  <c r="C811" i="12" s="1"/>
  <c r="H806" i="12"/>
  <c r="E806" i="12"/>
  <c r="J806" i="12"/>
  <c r="F806" i="12"/>
  <c r="P258" i="12"/>
  <c r="B798" i="12"/>
  <c r="D797" i="12"/>
  <c r="F797" i="12"/>
  <c r="F799" i="12" s="1"/>
  <c r="H797" i="12"/>
  <c r="J797" i="12"/>
  <c r="J799" i="12" s="1"/>
  <c r="C797" i="12"/>
  <c r="E797" i="12"/>
  <c r="E799" i="12" s="1"/>
  <c r="G797" i="12"/>
  <c r="I797" i="12"/>
  <c r="I799" i="12" s="1"/>
  <c r="B797" i="12"/>
  <c r="A748" i="12"/>
  <c r="A746" i="12"/>
  <c r="A749" i="12"/>
  <c r="A747" i="12"/>
  <c r="P260" i="12"/>
  <c r="A269" i="12"/>
  <c r="B402" i="12"/>
  <c r="L874" i="7" s="1"/>
  <c r="H275" i="7"/>
  <c r="B403" i="12"/>
  <c r="L875" i="7" s="1"/>
  <c r="C1707" i="12"/>
  <c r="C1712" i="12" s="1"/>
  <c r="D1707" i="12" s="1"/>
  <c r="C1701" i="12"/>
  <c r="Q253" i="12"/>
  <c r="Q261" i="12" s="1"/>
  <c r="A1487" i="12"/>
  <c r="D1708" i="12"/>
  <c r="E1708" i="12" s="1"/>
  <c r="O554" i="8"/>
  <c r="P554" i="8"/>
  <c r="N554" i="8"/>
  <c r="L554" i="8"/>
  <c r="M554" i="8"/>
  <c r="D59" i="16"/>
  <c r="H59" i="16"/>
  <c r="D60" i="16"/>
  <c r="B848" i="16"/>
  <c r="H60" i="16"/>
  <c r="B2398" i="12"/>
  <c r="P252" i="12"/>
  <c r="A272" i="12"/>
  <c r="A271" i="12"/>
  <c r="B2402" i="12"/>
  <c r="F1117" i="12"/>
  <c r="C1679" i="12"/>
  <c r="K647" i="9"/>
  <c r="B278" i="12"/>
  <c r="B280" i="12" s="1"/>
  <c r="O1656" i="12"/>
  <c r="B1658" i="12"/>
  <c r="D1744" i="12" s="1"/>
  <c r="B1661" i="12"/>
  <c r="G1744" i="12" s="1"/>
  <c r="O1657" i="12"/>
  <c r="B1659" i="12"/>
  <c r="E1744" i="12" s="1"/>
  <c r="E1745" i="12" s="1"/>
  <c r="E1746" i="12" s="1"/>
  <c r="E1747" i="12" s="1"/>
  <c r="O1660" i="12"/>
  <c r="O1659" i="12"/>
  <c r="B1660" i="12"/>
  <c r="F1744" i="12" s="1"/>
  <c r="F1745" i="12" s="1"/>
  <c r="F1746" i="12" s="1"/>
  <c r="F1747" i="12" s="1"/>
  <c r="B242" i="19"/>
  <c r="C1700" i="12"/>
  <c r="B3056" i="16"/>
  <c r="A1205" i="12"/>
  <c r="B1206" i="12"/>
  <c r="C1218" i="12" s="1"/>
  <c r="B3060" i="16"/>
  <c r="O960" i="9"/>
  <c r="B2576" i="14"/>
  <c r="E207" i="7"/>
  <c r="B350" i="19"/>
  <c r="G77" i="19" s="1"/>
  <c r="H1500" i="12" s="1"/>
  <c r="L960" i="9"/>
  <c r="N960" i="9"/>
  <c r="B2851" i="14"/>
  <c r="J538" i="8"/>
  <c r="J539" i="8" s="1"/>
  <c r="H200" i="8" s="1"/>
  <c r="B294" i="9"/>
  <c r="B376" i="14"/>
  <c r="M960" i="9"/>
  <c r="K960" i="9"/>
  <c r="B1545" i="12"/>
  <c r="B300" i="9"/>
  <c r="B2850" i="14"/>
  <c r="B3243" i="14" s="1"/>
  <c r="B2388" i="14"/>
  <c r="B2415" i="14" s="1"/>
  <c r="B2849" i="14"/>
  <c r="B2876" i="14" s="1"/>
  <c r="F55" i="19"/>
  <c r="G1478" i="12" s="1"/>
  <c r="A55" i="19"/>
  <c r="A1478" i="12" s="1"/>
  <c r="B55" i="19"/>
  <c r="B1478" i="12" s="1"/>
  <c r="D55" i="19"/>
  <c r="D1478" i="12" s="1"/>
  <c r="A56" i="19"/>
  <c r="A1479" i="12" s="1"/>
  <c r="B57" i="19"/>
  <c r="B59" i="19"/>
  <c r="E543" i="19"/>
  <c r="B1137" i="19"/>
  <c r="B264" i="14"/>
  <c r="B158" i="19"/>
  <c r="B771" i="19" s="1"/>
  <c r="B1404" i="19" s="1"/>
  <c r="B263" i="14"/>
  <c r="B157" i="19"/>
  <c r="B770" i="19" s="1"/>
  <c r="B741" i="19"/>
  <c r="D547" i="19"/>
  <c r="B2389" i="14"/>
  <c r="B2471" i="14" s="1"/>
  <c r="H797" i="9"/>
  <c r="H216" i="9" s="1"/>
  <c r="B255" i="14"/>
  <c r="B2696" i="14" s="1"/>
  <c r="B2710" i="14" s="1"/>
  <c r="B3151" i="14" s="1"/>
  <c r="B758" i="19"/>
  <c r="B1365" i="19" s="1"/>
  <c r="B1366" i="19" s="1"/>
  <c r="B1367" i="19" s="1"/>
  <c r="B1372" i="19" s="1"/>
  <c r="B632" i="19"/>
  <c r="B635" i="19" s="1"/>
  <c r="B637" i="19" s="1"/>
  <c r="B364" i="19"/>
  <c r="B517" i="19"/>
  <c r="K227" i="8"/>
  <c r="M510" i="8" s="1"/>
  <c r="M240" i="19"/>
  <c r="B381" i="14"/>
  <c r="B231" i="14"/>
  <c r="B358" i="19"/>
  <c r="B736" i="19"/>
  <c r="B411" i="19"/>
  <c r="B1103" i="12"/>
  <c r="B243" i="13" s="1"/>
  <c r="B2208" i="13" s="1"/>
  <c r="B145" i="19"/>
  <c r="H1113" i="7"/>
  <c r="H1105" i="7" s="1"/>
  <c r="R129" i="7" s="1"/>
  <c r="E829" i="7"/>
  <c r="B354" i="19"/>
  <c r="B423" i="19"/>
  <c r="B410" i="19"/>
  <c r="B422" i="19"/>
  <c r="B460" i="19"/>
  <c r="B480" i="19"/>
  <c r="B404" i="19"/>
  <c r="B437" i="19"/>
  <c r="B750" i="19"/>
  <c r="B461" i="19"/>
  <c r="B754" i="19"/>
  <c r="B913" i="19"/>
  <c r="B1044" i="19"/>
  <c r="B812" i="19"/>
  <c r="B853" i="19"/>
  <c r="B967" i="19"/>
  <c r="B990" i="19"/>
  <c r="B1414" i="19"/>
  <c r="B1092" i="19"/>
  <c r="B395" i="19"/>
  <c r="B757" i="19"/>
  <c r="B772" i="19"/>
  <c r="G330" i="8"/>
  <c r="I451" i="8" s="1"/>
  <c r="I452" i="8" s="1"/>
  <c r="A740" i="19"/>
  <c r="B395" i="14"/>
  <c r="B136" i="19"/>
  <c r="B424" i="19" s="1"/>
  <c r="B444" i="14"/>
  <c r="B442" i="14" s="1"/>
  <c r="F56" i="14" s="1"/>
  <c r="F1436" i="12" s="1"/>
  <c r="B133" i="19"/>
  <c r="B353" i="19"/>
  <c r="B743" i="19"/>
  <c r="B1129" i="19"/>
  <c r="B1130" i="19"/>
  <c r="B1127" i="19" s="1"/>
  <c r="B1135" i="19" s="1"/>
  <c r="B1131" i="19"/>
  <c r="B1784" i="19"/>
  <c r="B1785" i="19"/>
  <c r="B1786" i="19"/>
  <c r="B794" i="19"/>
  <c r="B1407" i="19"/>
  <c r="B1444" i="19" s="1"/>
  <c r="B1105" i="19"/>
  <c r="B1106" i="19" s="1"/>
  <c r="D721" i="19"/>
  <c r="D548" i="19"/>
  <c r="F548" i="19"/>
  <c r="F721" i="19"/>
  <c r="C721" i="19"/>
  <c r="G2209" i="19"/>
  <c r="B273" i="14"/>
  <c r="B164" i="19" s="1"/>
  <c r="B460" i="14"/>
  <c r="B760" i="16"/>
  <c r="B1259" i="16" s="1"/>
  <c r="F2569" i="16"/>
  <c r="O512" i="16"/>
  <c r="O514" i="16" s="1"/>
  <c r="F235" i="10"/>
  <c r="I541" i="8"/>
  <c r="K512" i="16"/>
  <c r="K513" i="16" s="1"/>
  <c r="Z3446" i="16"/>
  <c r="M512" i="16"/>
  <c r="M513" i="16" s="1"/>
  <c r="H512" i="16"/>
  <c r="H514" i="16" s="1"/>
  <c r="B3079" i="16"/>
  <c r="B925" i="16" s="1"/>
  <c r="H3446" i="16"/>
  <c r="H3448" i="16" s="1"/>
  <c r="Q3446" i="16"/>
  <c r="AG3445" i="16"/>
  <c r="AB3445" i="16"/>
  <c r="AA3445" i="16"/>
  <c r="W3444" i="16"/>
  <c r="W3449" i="16" s="1"/>
  <c r="AD3445" i="16"/>
  <c r="AK3445" i="16"/>
  <c r="AH3446" i="16"/>
  <c r="T3446" i="16"/>
  <c r="T3448" i="16" s="1"/>
  <c r="E3444" i="16"/>
  <c r="E3449" i="16" s="1"/>
  <c r="G3446" i="16"/>
  <c r="G3448" i="16" s="1"/>
  <c r="B911" i="16"/>
  <c r="B1050" i="16" s="1"/>
  <c r="M3446" i="16"/>
  <c r="M3448" i="16" s="1"/>
  <c r="U3446" i="16"/>
  <c r="U3448" i="16" s="1"/>
  <c r="Y3444" i="16"/>
  <c r="Y3449" i="16" s="1"/>
  <c r="AB3446" i="16"/>
  <c r="AE3446" i="16"/>
  <c r="AI3445" i="16"/>
  <c r="AE3445" i="16"/>
  <c r="AE3448" i="16" s="1"/>
  <c r="X3446" i="16"/>
  <c r="X3448" i="16" s="1"/>
  <c r="L3446" i="16"/>
  <c r="L3448" i="16" s="1"/>
  <c r="E3445" i="16"/>
  <c r="AG3446" i="16"/>
  <c r="R3446" i="16"/>
  <c r="R3448" i="16" s="1"/>
  <c r="D3444" i="16"/>
  <c r="D3449" i="16" s="1"/>
  <c r="B742" i="16"/>
  <c r="B2963" i="16" s="1"/>
  <c r="B831" i="16"/>
  <c r="B987" i="16" s="1"/>
  <c r="N3446" i="16"/>
  <c r="S3446" i="16"/>
  <c r="S3448" i="16" s="1"/>
  <c r="V3447" i="16"/>
  <c r="W3447" i="16"/>
  <c r="Y3447" i="16"/>
  <c r="AA3446" i="16"/>
  <c r="AC3446" i="16"/>
  <c r="AE3444" i="16"/>
  <c r="AE3449" i="16" s="1"/>
  <c r="AF3445" i="16"/>
  <c r="AH3445" i="16"/>
  <c r="AJ3445" i="16"/>
  <c r="L334" i="10"/>
  <c r="E236" i="10" s="1"/>
  <c r="AK3446" i="16"/>
  <c r="AF3446" i="16"/>
  <c r="AD3444" i="16"/>
  <c r="AD3449" i="16" s="1"/>
  <c r="Z3445" i="16"/>
  <c r="V3444" i="16"/>
  <c r="V3449" i="16" s="1"/>
  <c r="Q3445" i="16"/>
  <c r="J3446" i="16"/>
  <c r="J3448" i="16" s="1"/>
  <c r="F3446" i="16"/>
  <c r="F3448" i="16" s="1"/>
  <c r="C3446" i="16"/>
  <c r="C3448" i="16" s="1"/>
  <c r="C3444" i="16"/>
  <c r="C3449" i="16" s="1"/>
  <c r="AD3446" i="16"/>
  <c r="W3446" i="16"/>
  <c r="W3448" i="16" s="1"/>
  <c r="K3446" i="16"/>
  <c r="K3448" i="16" s="1"/>
  <c r="D3446" i="16"/>
  <c r="D3448" i="16" s="1"/>
  <c r="B521" i="16"/>
  <c r="A511" i="16"/>
  <c r="AC3445" i="16"/>
  <c r="AC3448" i="16" s="1"/>
  <c r="I3446" i="16"/>
  <c r="I3448" i="16" s="1"/>
  <c r="A514" i="16"/>
  <c r="N3445" i="16"/>
  <c r="A513" i="16"/>
  <c r="A509" i="16"/>
  <c r="AI3446" i="16"/>
  <c r="V3446" i="16"/>
  <c r="V3448" i="16" s="1"/>
  <c r="B3446" i="16"/>
  <c r="B3448" i="16" s="1"/>
  <c r="B3404" i="16"/>
  <c r="A510" i="16"/>
  <c r="AF3444" i="16"/>
  <c r="AF3449" i="16" s="1"/>
  <c r="B3444" i="16"/>
  <c r="B3449" i="16" s="1"/>
  <c r="I804" i="9"/>
  <c r="E235" i="10"/>
  <c r="B242" i="9"/>
  <c r="A512" i="16"/>
  <c r="AJ3446" i="16"/>
  <c r="A508" i="16"/>
  <c r="E3446" i="16"/>
  <c r="C1825" i="12"/>
  <c r="C1826" i="12" s="1"/>
  <c r="D1814" i="12"/>
  <c r="I783" i="9"/>
  <c r="I784" i="9" s="1"/>
  <c r="I226" i="9" s="1"/>
  <c r="L509" i="8"/>
  <c r="B2866" i="14"/>
  <c r="B3070" i="14" s="1"/>
  <c r="L641" i="9"/>
  <c r="B3071" i="16"/>
  <c r="M541" i="8"/>
  <c r="K343" i="10"/>
  <c r="D245" i="10" s="1"/>
  <c r="B3107" i="16"/>
  <c r="J804" i="9"/>
  <c r="B840" i="16"/>
  <c r="B374" i="14"/>
  <c r="B373" i="14" s="1"/>
  <c r="B835" i="16"/>
  <c r="K538" i="8"/>
  <c r="C235" i="10"/>
  <c r="B2524" i="16"/>
  <c r="B2149" i="13"/>
  <c r="L756" i="9"/>
  <c r="B249" i="14"/>
  <c r="B3448" i="14" s="1"/>
  <c r="G553" i="12"/>
  <c r="I347" i="10"/>
  <c r="I343" i="10" s="1"/>
  <c r="B371" i="14"/>
  <c r="B244" i="14"/>
  <c r="K804" i="9"/>
  <c r="L541" i="8"/>
  <c r="L542" i="8" s="1"/>
  <c r="J201" i="8" s="1"/>
  <c r="G333" i="8"/>
  <c r="I448" i="8" s="1"/>
  <c r="A471" i="16"/>
  <c r="B1122" i="16" s="1"/>
  <c r="I693" i="9"/>
  <c r="J786" i="9"/>
  <c r="J787" i="9" s="1"/>
  <c r="J227" i="9" s="1"/>
  <c r="K786" i="9"/>
  <c r="K787" i="9" s="1"/>
  <c r="K227" i="9" s="1"/>
  <c r="L786" i="9"/>
  <c r="L787" i="9" s="1"/>
  <c r="H783" i="9"/>
  <c r="K342" i="10"/>
  <c r="D244" i="10" s="1"/>
  <c r="A2309" i="12"/>
  <c r="K641" i="9"/>
  <c r="M343" i="10"/>
  <c r="F245" i="10" s="1"/>
  <c r="J756" i="9"/>
  <c r="M342" i="10"/>
  <c r="F244" i="10" s="1"/>
  <c r="B295" i="13"/>
  <c r="B1408" i="13" s="1"/>
  <c r="B181" i="14"/>
  <c r="B246" i="14" s="1"/>
  <c r="B2531" i="16"/>
  <c r="B2530" i="16" s="1"/>
  <c r="B2427" i="14"/>
  <c r="B2646" i="14" s="1"/>
  <c r="A2272" i="12"/>
  <c r="D235" i="10"/>
  <c r="H663" i="9"/>
  <c r="K541" i="8"/>
  <c r="J509" i="8"/>
  <c r="L336" i="10"/>
  <c r="E238" i="10" s="1"/>
  <c r="L538" i="8"/>
  <c r="L539" i="8" s="1"/>
  <c r="J200" i="8" s="1"/>
  <c r="D82" i="8"/>
  <c r="I207" i="7"/>
  <c r="L783" i="9"/>
  <c r="L784" i="9" s="1"/>
  <c r="L226" i="9" s="1"/>
  <c r="L342" i="10"/>
  <c r="E244" i="10" s="1"/>
  <c r="B235" i="10"/>
  <c r="K663" i="9"/>
  <c r="B1015" i="13"/>
  <c r="K509" i="8"/>
  <c r="J541" i="8"/>
  <c r="J542" i="8" s="1"/>
  <c r="K333" i="8"/>
  <c r="M448" i="8" s="1"/>
  <c r="B3061" i="16"/>
  <c r="B2697" i="14"/>
  <c r="B3140" i="14" s="1"/>
  <c r="B780" i="16"/>
  <c r="B874" i="16"/>
  <c r="B872" i="16"/>
  <c r="J343" i="10"/>
  <c r="C245" i="10" s="1"/>
  <c r="K756" i="9"/>
  <c r="L797" i="9"/>
  <c r="L216" i="9" s="1"/>
  <c r="J783" i="9"/>
  <c r="J784" i="9" s="1"/>
  <c r="J226" i="9" s="1"/>
  <c r="K535" i="8"/>
  <c r="K783" i="9"/>
  <c r="K784" i="9" s="1"/>
  <c r="K226" i="9" s="1"/>
  <c r="I786" i="9"/>
  <c r="I787" i="9" s="1"/>
  <c r="I227" i="9" s="1"/>
  <c r="B301" i="13"/>
  <c r="B2117" i="13"/>
  <c r="K334" i="10"/>
  <c r="D236" i="10" s="1"/>
  <c r="B2302" i="12"/>
  <c r="B2020" i="12" s="1"/>
  <c r="B2115" i="12" s="1"/>
  <c r="H703" i="9"/>
  <c r="H705" i="9" s="1"/>
  <c r="H706" i="9" s="1"/>
  <c r="J334" i="10"/>
  <c r="C236" i="10" s="1"/>
  <c r="M334" i="10"/>
  <c r="F236" i="10" s="1"/>
  <c r="B282" i="13"/>
  <c r="B283" i="13" s="1"/>
  <c r="B2131" i="13"/>
  <c r="B2202" i="13" s="1"/>
  <c r="L663" i="9"/>
  <c r="H756" i="9"/>
  <c r="B1117" i="12"/>
  <c r="J329" i="10"/>
  <c r="B1916" i="12"/>
  <c r="B2231" i="13"/>
  <c r="B2232" i="13" s="1"/>
  <c r="B2129" i="13"/>
  <c r="B2200" i="13" s="1"/>
  <c r="M538" i="8"/>
  <c r="B464" i="13"/>
  <c r="B573" i="13"/>
  <c r="E1814" i="12"/>
  <c r="B382" i="14"/>
  <c r="B408" i="14"/>
  <c r="B401" i="14"/>
  <c r="B290" i="13"/>
  <c r="B2245" i="13"/>
  <c r="B2019" i="12"/>
  <c r="B2114" i="12" s="1"/>
  <c r="B1917" i="12"/>
  <c r="A460" i="16"/>
  <c r="A461" i="16" s="1"/>
  <c r="B610" i="16"/>
  <c r="A431" i="16" s="1"/>
  <c r="A458" i="16"/>
  <c r="A468" i="16"/>
  <c r="A466" i="16"/>
  <c r="A464" i="16"/>
  <c r="A462" i="16"/>
  <c r="A467" i="16"/>
  <c r="A463" i="16"/>
  <c r="A465" i="16"/>
  <c r="B828" i="13"/>
  <c r="B886" i="13" s="1"/>
  <c r="G1814" i="12"/>
  <c r="H780" i="9"/>
  <c r="B297" i="9"/>
  <c r="F1816" i="12"/>
  <c r="F1814" i="12"/>
  <c r="B1814" i="12"/>
  <c r="B1816" i="12"/>
  <c r="C1827" i="12"/>
  <c r="C1828" i="12" s="1"/>
  <c r="C1829" i="12" s="1"/>
  <c r="C1830" i="12" s="1"/>
  <c r="C1823" i="12"/>
  <c r="C1824" i="12" s="1"/>
  <c r="I756" i="9"/>
  <c r="B354" i="9"/>
  <c r="I708" i="9"/>
  <c r="L695" i="9"/>
  <c r="G283" i="7"/>
  <c r="G281" i="7"/>
  <c r="G279" i="7"/>
  <c r="B1104" i="13"/>
  <c r="B1122" i="13" s="1"/>
  <c r="A352" i="9"/>
  <c r="P261" i="12"/>
  <c r="A263" i="12" s="1"/>
  <c r="J329" i="8"/>
  <c r="L450" i="8" s="1"/>
  <c r="I371" i="8"/>
  <c r="I389" i="8" s="1"/>
  <c r="I514" i="16"/>
  <c r="B3254" i="14"/>
  <c r="B2584" i="14"/>
  <c r="B3456" i="14" s="1"/>
  <c r="B2831" i="14"/>
  <c r="B3036" i="14"/>
  <c r="B3465" i="14" s="1"/>
  <c r="C1677" i="12"/>
  <c r="D1762" i="12" s="1"/>
  <c r="D553" i="12"/>
  <c r="D1742" i="12" s="1"/>
  <c r="G1745" i="12"/>
  <c r="G1746" i="12" s="1"/>
  <c r="G1747" i="12" s="1"/>
  <c r="B3436" i="14"/>
  <c r="B3438" i="14" s="1"/>
  <c r="B3019" i="14"/>
  <c r="B3466" i="14" s="1"/>
  <c r="A253" i="14"/>
  <c r="B3266" i="14"/>
  <c r="B3260" i="14"/>
  <c r="B2825" i="14"/>
  <c r="B2837" i="14"/>
  <c r="B3341" i="14"/>
  <c r="B2368" i="14" s="1"/>
  <c r="C1678" i="12"/>
  <c r="E553" i="12"/>
  <c r="E1742" i="12" s="1"/>
  <c r="E1816" i="12" s="1"/>
  <c r="B251" i="14"/>
  <c r="B407" i="14"/>
  <c r="B400" i="14"/>
  <c r="B394" i="14"/>
  <c r="B388" i="14"/>
  <c r="B478" i="14"/>
  <c r="B779" i="16"/>
  <c r="B405" i="13"/>
  <c r="A198" i="16"/>
  <c r="J512" i="16"/>
  <c r="J514" i="16" s="1"/>
  <c r="L512" i="16"/>
  <c r="L514" i="16" s="1"/>
  <c r="N512" i="16"/>
  <c r="N513" i="16" s="1"/>
  <c r="P512" i="16"/>
  <c r="P514" i="16" s="1"/>
  <c r="E562" i="9"/>
  <c r="A576" i="9" s="1"/>
  <c r="A585" i="9" s="1"/>
  <c r="K389" i="8"/>
  <c r="L343" i="10"/>
  <c r="E245" i="10" s="1"/>
  <c r="A840" i="16"/>
  <c r="B873" i="16"/>
  <c r="J330" i="8"/>
  <c r="L451" i="8" s="1"/>
  <c r="L452" i="8" s="1"/>
  <c r="K491" i="8"/>
  <c r="B778" i="16"/>
  <c r="K336" i="10"/>
  <c r="D238" i="10" s="1"/>
  <c r="M336" i="10"/>
  <c r="F238" i="10" s="1"/>
  <c r="J336" i="10"/>
  <c r="C238" i="10" s="1"/>
  <c r="B2017" i="12"/>
  <c r="B2112" i="12" s="1"/>
  <c r="B1915" i="12"/>
  <c r="B3193" i="16"/>
  <c r="B738" i="16"/>
  <c r="B2743" i="16"/>
  <c r="B292" i="13"/>
  <c r="B2114" i="13"/>
  <c r="B2256" i="13" s="1"/>
  <c r="H101" i="13" s="1"/>
  <c r="B2126" i="13"/>
  <c r="B2197" i="13" s="1"/>
  <c r="B2192" i="13"/>
  <c r="B159" i="15"/>
  <c r="B166" i="15" s="1"/>
  <c r="B281" i="15"/>
  <c r="B299" i="15" s="1"/>
  <c r="B487" i="15"/>
  <c r="B510" i="15" s="1"/>
  <c r="B576" i="15"/>
  <c r="B599" i="15" s="1"/>
  <c r="B665" i="15"/>
  <c r="B691" i="15" s="1"/>
  <c r="B769" i="15"/>
  <c r="B788" i="15" s="1"/>
  <c r="B825" i="16"/>
  <c r="A449" i="16"/>
  <c r="B446" i="16"/>
  <c r="A618" i="16"/>
  <c r="A446" i="16"/>
  <c r="B864" i="16"/>
  <c r="B781" i="16"/>
  <c r="A839" i="16"/>
  <c r="I336" i="10"/>
  <c r="B238" i="10" s="1"/>
  <c r="B232" i="13"/>
  <c r="I333" i="8"/>
  <c r="J333" i="8"/>
  <c r="H1095" i="7"/>
  <c r="H1109" i="7" s="1"/>
  <c r="I500" i="9"/>
  <c r="I667" i="9" s="1"/>
  <c r="K500" i="9"/>
  <c r="L500" i="9"/>
  <c r="L667" i="9" s="1"/>
  <c r="B19" i="15"/>
  <c r="H333" i="8"/>
  <c r="H500" i="9"/>
  <c r="H667" i="9" s="1"/>
  <c r="J500" i="9"/>
  <c r="B849" i="15"/>
  <c r="B852" i="15" s="1"/>
  <c r="B279" i="15"/>
  <c r="B289" i="15" s="1"/>
  <c r="B575" i="15"/>
  <c r="B588" i="15" s="1"/>
  <c r="B495" i="15"/>
  <c r="B499" i="15" s="1"/>
  <c r="B666" i="15"/>
  <c r="B677" i="15" s="1"/>
  <c r="B1013" i="15"/>
  <c r="B1016" i="15" s="1"/>
  <c r="B766" i="15"/>
  <c r="B776" i="15" s="1"/>
  <c r="B657" i="13"/>
  <c r="B1100" i="13" s="1"/>
  <c r="B385" i="13"/>
  <c r="B849" i="13"/>
  <c r="B534" i="13"/>
  <c r="B988" i="13"/>
  <c r="A2261" i="12"/>
  <c r="A2263" i="12"/>
  <c r="B352" i="9"/>
  <c r="A250" i="9"/>
  <c r="I695" i="9"/>
  <c r="I696" i="9" s="1"/>
  <c r="A354" i="9"/>
  <c r="J754" i="9"/>
  <c r="I664" i="9"/>
  <c r="D567" i="9"/>
  <c r="D575" i="9" s="1"/>
  <c r="I690" i="9"/>
  <c r="I692" i="9" s="1"/>
  <c r="E82" i="8"/>
  <c r="G328" i="8"/>
  <c r="I501" i="8" s="1"/>
  <c r="I502" i="8" s="1"/>
  <c r="G195" i="8" s="1"/>
  <c r="B173" i="8" s="1"/>
  <c r="B875" i="13"/>
  <c r="B1161" i="13" s="1"/>
  <c r="B893" i="13"/>
  <c r="B918" i="13"/>
  <c r="J712" i="9"/>
  <c r="J717" i="9" s="1"/>
  <c r="J720" i="9" s="1"/>
  <c r="H690" i="9"/>
  <c r="H692" i="9" s="1"/>
  <c r="J328" i="8"/>
  <c r="L501" i="8" s="1"/>
  <c r="L502" i="8" s="1"/>
  <c r="J195" i="8" s="1"/>
  <c r="B563" i="9"/>
  <c r="F567" i="9"/>
  <c r="E576" i="9" s="1"/>
  <c r="L634" i="9"/>
  <c r="B249" i="9"/>
  <c r="B250" i="9"/>
  <c r="I703" i="9"/>
  <c r="I705" i="9" s="1"/>
  <c r="B324" i="9"/>
  <c r="I538" i="8"/>
  <c r="B1203" i="13"/>
  <c r="B905" i="13"/>
  <c r="B1193" i="13"/>
  <c r="J707" i="9"/>
  <c r="J693" i="9"/>
  <c r="J696" i="9" s="1"/>
  <c r="J708" i="9"/>
  <c r="G329" i="8"/>
  <c r="I450" i="8" s="1"/>
  <c r="K297" i="8"/>
  <c r="H754" i="9"/>
  <c r="A355" i="9"/>
  <c r="H733" i="9"/>
  <c r="K328" i="8"/>
  <c r="M501" i="8" s="1"/>
  <c r="M502" i="8" s="1"/>
  <c r="K195" i="8" s="1"/>
  <c r="F561" i="9"/>
  <c r="E563" i="9"/>
  <c r="A577" i="9" s="1"/>
  <c r="A586" i="9" s="1"/>
  <c r="I671" i="9"/>
  <c r="I670" i="9" s="1"/>
  <c r="I686" i="9"/>
  <c r="F568" i="9"/>
  <c r="I634" i="9"/>
  <c r="B561" i="9"/>
  <c r="H753" i="9"/>
  <c r="H707" i="9"/>
  <c r="I712" i="9"/>
  <c r="I715" i="9" s="1"/>
  <c r="I710" i="9"/>
  <c r="J690" i="9"/>
  <c r="J692" i="9" s="1"/>
  <c r="H671" i="9"/>
  <c r="H670" i="9" s="1"/>
  <c r="J713" i="9"/>
  <c r="J710" i="9"/>
  <c r="J664" i="9"/>
  <c r="F82" i="8"/>
  <c r="K690" i="9"/>
  <c r="K692" i="9" s="1"/>
  <c r="K753" i="9"/>
  <c r="B755" i="13"/>
  <c r="B761" i="13" s="1"/>
  <c r="K703" i="9"/>
  <c r="K705" i="9" s="1"/>
  <c r="K706" i="9" s="1"/>
  <c r="I535" i="8"/>
  <c r="I509" i="8"/>
  <c r="M535" i="8"/>
  <c r="M509" i="8"/>
  <c r="I341" i="10"/>
  <c r="B243" i="10" s="1"/>
  <c r="J341" i="10"/>
  <c r="C243" i="10" s="1"/>
  <c r="K341" i="10"/>
  <c r="D243" i="10" s="1"/>
  <c r="M341" i="10"/>
  <c r="F243" i="10" s="1"/>
  <c r="L341" i="10"/>
  <c r="E243" i="10" s="1"/>
  <c r="B411" i="13"/>
  <c r="B730" i="13" s="1"/>
  <c r="B454" i="13"/>
  <c r="B762" i="13"/>
  <c r="B236" i="14"/>
  <c r="B452" i="14" s="1"/>
  <c r="K693" i="9"/>
  <c r="K664" i="9"/>
  <c r="K708" i="9"/>
  <c r="K710" i="9"/>
  <c r="K707" i="9"/>
  <c r="K709" i="9" s="1"/>
  <c r="K699" i="9"/>
  <c r="K700" i="9" s="1"/>
  <c r="K701" i="9" s="1"/>
  <c r="H664" i="9"/>
  <c r="H713" i="9"/>
  <c r="E567" i="9"/>
  <c r="E561" i="9"/>
  <c r="A575" i="9" s="1"/>
  <c r="A584" i="9" s="1"/>
  <c r="H634" i="9"/>
  <c r="K634" i="9"/>
  <c r="H686" i="9"/>
  <c r="H688" i="9" s="1"/>
  <c r="H687" i="9"/>
  <c r="D559" i="9"/>
  <c r="B248" i="9"/>
  <c r="L754" i="9"/>
  <c r="J686" i="9"/>
  <c r="K686" i="9"/>
  <c r="K688" i="9" s="1"/>
  <c r="L686" i="9"/>
  <c r="L687" i="9"/>
  <c r="F569" i="9"/>
  <c r="E460" i="9"/>
  <c r="J687" i="9"/>
  <c r="L690" i="9"/>
  <c r="L692" i="9" s="1"/>
  <c r="K329" i="10"/>
  <c r="A312" i="10"/>
  <c r="B1202" i="13"/>
  <c r="B1078" i="13"/>
  <c r="B1172" i="13" s="1"/>
  <c r="B567" i="9"/>
  <c r="F562" i="9"/>
  <c r="F563" i="9"/>
  <c r="G567" i="9"/>
  <c r="B836" i="13"/>
  <c r="L703" i="9"/>
  <c r="L705" i="9" s="1"/>
  <c r="L706" i="9" s="1"/>
  <c r="J634" i="9"/>
  <c r="F570" i="9"/>
  <c r="B562" i="9"/>
  <c r="I754" i="9"/>
  <c r="J703" i="9"/>
  <c r="J705" i="9" s="1"/>
  <c r="H710" i="9"/>
  <c r="I328" i="8"/>
  <c r="K501" i="8" s="1"/>
  <c r="K502" i="8" s="1"/>
  <c r="I195" i="8" s="1"/>
  <c r="H693" i="9"/>
  <c r="B238" i="14"/>
  <c r="B201" i="14" s="1"/>
  <c r="L329" i="10"/>
  <c r="H712" i="9"/>
  <c r="K754" i="9"/>
  <c r="K671" i="9"/>
  <c r="K670" i="9" s="1"/>
  <c r="K712" i="9"/>
  <c r="K717" i="9" s="1"/>
  <c r="K720" i="9" s="1"/>
  <c r="M329" i="10"/>
  <c r="H708" i="9"/>
  <c r="I753" i="9"/>
  <c r="I707" i="9"/>
  <c r="I699" i="9"/>
  <c r="I700" i="9" s="1"/>
  <c r="I701" i="9" s="1"/>
  <c r="I713" i="9"/>
  <c r="I687" i="9"/>
  <c r="L710" i="9"/>
  <c r="L707" i="9"/>
  <c r="L671" i="9"/>
  <c r="L670" i="9" s="1"/>
  <c r="L713" i="9"/>
  <c r="L708" i="9"/>
  <c r="L753" i="9"/>
  <c r="L693" i="9"/>
  <c r="L712" i="9"/>
  <c r="L664" i="9"/>
  <c r="L699" i="9"/>
  <c r="L700" i="9" s="1"/>
  <c r="L701" i="9" s="1"/>
  <c r="J699" i="9"/>
  <c r="J700" i="9" s="1"/>
  <c r="J701" i="9" s="1"/>
  <c r="J671" i="9"/>
  <c r="J670" i="9" s="1"/>
  <c r="J753" i="9"/>
  <c r="B333" i="9"/>
  <c r="H786" i="9"/>
  <c r="B635" i="13"/>
  <c r="B741" i="13" s="1"/>
  <c r="B441" i="13"/>
  <c r="J297" i="8"/>
  <c r="I297" i="8"/>
  <c r="B3084" i="16"/>
  <c r="B3088" i="16" s="1"/>
  <c r="B644" i="16"/>
  <c r="C82" i="8"/>
  <c r="B263" i="8"/>
  <c r="A265" i="8"/>
  <c r="A329" i="8"/>
  <c r="A327" i="8"/>
  <c r="A325" i="8"/>
  <c r="B322" i="8"/>
  <c r="E263" i="8"/>
  <c r="A266" i="8"/>
  <c r="A330" i="8"/>
  <c r="A328" i="8"/>
  <c r="A326" i="8"/>
  <c r="A324" i="8"/>
  <c r="K696" i="9"/>
  <c r="B1548" i="12"/>
  <c r="B1550" i="12"/>
  <c r="M495" i="8"/>
  <c r="I495" i="8"/>
  <c r="J495" i="8"/>
  <c r="L495" i="8"/>
  <c r="K495" i="8"/>
  <c r="B265" i="14"/>
  <c r="D57" i="14"/>
  <c r="D1437" i="12" s="1"/>
  <c r="A57" i="14"/>
  <c r="A1437" i="12" s="1"/>
  <c r="D58" i="14"/>
  <c r="D1438" i="12" s="1"/>
  <c r="B299" i="13"/>
  <c r="B339" i="13" s="1"/>
  <c r="B2130" i="13"/>
  <c r="B2194" i="13"/>
  <c r="B2201" i="13" s="1"/>
  <c r="B983" i="16"/>
  <c r="B982" i="16"/>
  <c r="B1211" i="16"/>
  <c r="B1043" i="16"/>
  <c r="B1065" i="16"/>
  <c r="A138" i="16"/>
  <c r="A139" i="16"/>
  <c r="B907" i="16"/>
  <c r="B1064" i="16" s="1"/>
  <c r="A137" i="16"/>
  <c r="B139" i="16"/>
  <c r="C429" i="16"/>
  <c r="B2942" i="16"/>
  <c r="B2944" i="16" s="1"/>
  <c r="B2289" i="12"/>
  <c r="B3030" i="16"/>
  <c r="B3000" i="16"/>
  <c r="B783" i="16"/>
  <c r="B784" i="16"/>
  <c r="B1014" i="16"/>
  <c r="B1015" i="16"/>
  <c r="B1020" i="16"/>
  <c r="B1081" i="16"/>
  <c r="B1096" i="16"/>
  <c r="B1093" i="16"/>
  <c r="B1098" i="16"/>
  <c r="B1018" i="16"/>
  <c r="B1019" i="16"/>
  <c r="B1094" i="16"/>
  <c r="B1016" i="16"/>
  <c r="B1097" i="16"/>
  <c r="B1092" i="16"/>
  <c r="B303" i="9"/>
  <c r="H700" i="9"/>
  <c r="H701" i="9" s="1"/>
  <c r="J371" i="8"/>
  <c r="C1676" i="12"/>
  <c r="C1762" i="12" s="1"/>
  <c r="C553" i="12"/>
  <c r="C1742" i="12" s="1"/>
  <c r="B189" i="14"/>
  <c r="B129" i="19" s="1"/>
  <c r="B21" i="15"/>
  <c r="K328" i="10"/>
  <c r="K338" i="10" s="1"/>
  <c r="D240" i="10" s="1"/>
  <c r="L328" i="10"/>
  <c r="L338" i="10" s="1"/>
  <c r="E240" i="10" s="1"/>
  <c r="M328" i="10"/>
  <c r="M338" i="10" s="1"/>
  <c r="F240" i="10" s="1"/>
  <c r="B226" i="13"/>
  <c r="H510" i="9"/>
  <c r="J328" i="10"/>
  <c r="I328" i="10"/>
  <c r="I338" i="10" s="1"/>
  <c r="B240" i="10" s="1"/>
  <c r="I510" i="9"/>
  <c r="I805" i="9" s="1"/>
  <c r="J510" i="9"/>
  <c r="J805" i="9" s="1"/>
  <c r="K510" i="9"/>
  <c r="K805" i="9" s="1"/>
  <c r="L510" i="9"/>
  <c r="L805" i="9" s="1"/>
  <c r="K288" i="8"/>
  <c r="B64" i="10"/>
  <c r="B189" i="10" s="1"/>
  <c r="B192" i="10" s="1"/>
  <c r="B173" i="14"/>
  <c r="B18" i="15"/>
  <c r="G227" i="8"/>
  <c r="B219" i="13"/>
  <c r="B584" i="16"/>
  <c r="I327" i="10"/>
  <c r="I335" i="10" s="1"/>
  <c r="H288" i="8"/>
  <c r="I288" i="8"/>
  <c r="I227" i="8"/>
  <c r="A559" i="16"/>
  <c r="H227" i="8"/>
  <c r="J227" i="8"/>
  <c r="K327" i="10"/>
  <c r="L327" i="10"/>
  <c r="M327" i="10"/>
  <c r="B2434" i="12"/>
  <c r="C188" i="10"/>
  <c r="I495" i="9"/>
  <c r="I669" i="9" s="1"/>
  <c r="J495" i="9"/>
  <c r="J669" i="9" s="1"/>
  <c r="K495" i="9"/>
  <c r="K669" i="9" s="1"/>
  <c r="L495" i="9"/>
  <c r="L669" i="9" s="1"/>
  <c r="O281" i="8"/>
  <c r="J327" i="10"/>
  <c r="H495" i="9"/>
  <c r="H669" i="9" s="1"/>
  <c r="G288" i="8"/>
  <c r="J288" i="8"/>
  <c r="G371" i="8"/>
  <c r="I329" i="8"/>
  <c r="I330" i="8"/>
  <c r="K451" i="8" s="1"/>
  <c r="K452" i="8" s="1"/>
  <c r="B454" i="14"/>
  <c r="B429" i="14"/>
  <c r="B514" i="14"/>
  <c r="B523" i="14"/>
  <c r="E76" i="14" s="1"/>
  <c r="E1456" i="12" s="1"/>
  <c r="B467" i="14"/>
  <c r="B354" i="14"/>
  <c r="K438" i="12"/>
  <c r="J207" i="7"/>
  <c r="I663" i="9"/>
  <c r="I506" i="9"/>
  <c r="B270" i="15"/>
  <c r="B840" i="15"/>
  <c r="B483" i="15"/>
  <c r="B581" i="15"/>
  <c r="B757" i="15"/>
  <c r="B664" i="15"/>
  <c r="B1004" i="15"/>
  <c r="B455" i="16"/>
  <c r="B3412" i="16"/>
  <c r="B3413" i="16" s="1"/>
  <c r="A455" i="16"/>
  <c r="I650" i="9"/>
  <c r="H650" i="9"/>
  <c r="L650" i="9"/>
  <c r="J650" i="9"/>
  <c r="K650" i="9"/>
  <c r="H371" i="8"/>
  <c r="J366" i="8"/>
  <c r="B974" i="15"/>
  <c r="B989" i="15"/>
  <c r="B990" i="15" s="1"/>
  <c r="B991" i="15" s="1"/>
  <c r="J361" i="8"/>
  <c r="A98" i="13"/>
  <c r="A109" i="13"/>
  <c r="A99" i="13"/>
  <c r="A80" i="13"/>
  <c r="A85" i="13"/>
  <c r="A91" i="13"/>
  <c r="A103" i="13"/>
  <c r="A81" i="13"/>
  <c r="A97" i="13"/>
  <c r="A113" i="13"/>
  <c r="A105" i="13"/>
  <c r="A79" i="13"/>
  <c r="A84" i="13"/>
  <c r="A90" i="13"/>
  <c r="B429" i="13"/>
  <c r="B662" i="13"/>
  <c r="B681" i="13" s="1"/>
  <c r="G361" i="8"/>
  <c r="B1293" i="13"/>
  <c r="B574" i="13"/>
  <c r="B1413" i="13" s="1"/>
  <c r="B373" i="13"/>
  <c r="B595" i="13"/>
  <c r="B979" i="13"/>
  <c r="B1426" i="13" s="1"/>
  <c r="B515" i="13"/>
  <c r="B1418" i="13" s="1"/>
  <c r="B1226" i="13"/>
  <c r="B1214" i="13"/>
  <c r="B785" i="13"/>
  <c r="B542" i="13"/>
  <c r="B1416" i="13" s="1"/>
  <c r="B797" i="13"/>
  <c r="B1396" i="13"/>
  <c r="B1398" i="13" s="1"/>
  <c r="B1301" i="13"/>
  <c r="B1220" i="13"/>
  <c r="B996" i="13"/>
  <c r="B1425" i="13" s="1"/>
  <c r="B791" i="13"/>
  <c r="B531" i="14"/>
  <c r="B533" i="14" s="1"/>
  <c r="H77" i="14" s="1"/>
  <c r="B437" i="14"/>
  <c r="B266" i="14"/>
  <c r="D67" i="14"/>
  <c r="D1447" i="12" s="1"/>
  <c r="F67" i="14"/>
  <c r="F1447" i="12" s="1"/>
  <c r="F68" i="14"/>
  <c r="F1448" i="12" s="1"/>
  <c r="D68" i="14"/>
  <c r="D1448" i="12" s="1"/>
  <c r="A68" i="14"/>
  <c r="A1448" i="12" s="1"/>
  <c r="B2949" i="14"/>
  <c r="B3089" i="14"/>
  <c r="B1045" i="16"/>
  <c r="B1044" i="16"/>
  <c r="H696" i="9"/>
  <c r="G540" i="9"/>
  <c r="G545" i="9" s="1"/>
  <c r="F544" i="9"/>
  <c r="L647" i="9"/>
  <c r="L654" i="9" s="1"/>
  <c r="H647" i="9"/>
  <c r="H654" i="9" s="1"/>
  <c r="J647" i="9"/>
  <c r="I647" i="9"/>
  <c r="I654" i="9" s="1"/>
  <c r="I649" i="9"/>
  <c r="K649" i="9"/>
  <c r="K654" i="9" s="1"/>
  <c r="H649" i="9"/>
  <c r="J649" i="9"/>
  <c r="L649" i="9"/>
  <c r="H366" i="8"/>
  <c r="B1656" i="12"/>
  <c r="B1744" i="12" s="1"/>
  <c r="O1655" i="12"/>
  <c r="L1651" i="12"/>
  <c r="B1657" i="12"/>
  <c r="C1744" i="12" s="1"/>
  <c r="B2291" i="12"/>
  <c r="H779" i="9"/>
  <c r="H223" i="9" s="1"/>
  <c r="B374" i="9" s="1"/>
  <c r="B296" i="9"/>
  <c r="B245" i="14"/>
  <c r="B3039" i="14" s="1"/>
  <c r="B380" i="14"/>
  <c r="B406" i="14"/>
  <c r="B399" i="14"/>
  <c r="B393" i="14"/>
  <c r="B387" i="14"/>
  <c r="H328" i="8"/>
  <c r="J501" i="8" s="1"/>
  <c r="J502" i="8" s="1"/>
  <c r="H195" i="8" s="1"/>
  <c r="H330" i="8"/>
  <c r="J451" i="8" s="1"/>
  <c r="J452" i="8" s="1"/>
  <c r="H329" i="8"/>
  <c r="B365" i="13"/>
  <c r="B869" i="13"/>
  <c r="B928" i="13"/>
  <c r="B646" i="13"/>
  <c r="B1065" i="13"/>
  <c r="B622" i="13"/>
  <c r="B275" i="14"/>
  <c r="B232" i="14"/>
  <c r="J506" i="9"/>
  <c r="J663" i="9"/>
  <c r="H1104" i="7"/>
  <c r="L129" i="7" s="1"/>
  <c r="H129" i="7"/>
  <c r="H1106" i="7"/>
  <c r="Y129" i="7" s="1"/>
  <c r="B294" i="13"/>
  <c r="B2193" i="13"/>
  <c r="B3407" i="16"/>
  <c r="B3408" i="16"/>
  <c r="B3410" i="16"/>
  <c r="B3406" i="16"/>
  <c r="B3418" i="16" s="1"/>
  <c r="B3409" i="16"/>
  <c r="B3422" i="16" s="1"/>
  <c r="B3411" i="16"/>
  <c r="A486" i="16"/>
  <c r="A484" i="16"/>
  <c r="A482" i="16"/>
  <c r="A470" i="16"/>
  <c r="A476" i="16"/>
  <c r="A474" i="16"/>
  <c r="A483" i="16"/>
  <c r="A477" i="16"/>
  <c r="A473" i="16"/>
  <c r="A485" i="16"/>
  <c r="A479" i="16"/>
  <c r="A475" i="16"/>
  <c r="H550" i="9"/>
  <c r="G550" i="9"/>
  <c r="B258" i="9"/>
  <c r="D554" i="8"/>
  <c r="G554" i="8"/>
  <c r="E557" i="8"/>
  <c r="C554" i="8"/>
  <c r="I557" i="8"/>
  <c r="A557" i="8"/>
  <c r="C557" i="8"/>
  <c r="F559" i="8"/>
  <c r="F554" i="8"/>
  <c r="D557" i="8"/>
  <c r="I558" i="8"/>
  <c r="E554" i="8"/>
  <c r="H554" i="8"/>
  <c r="H557" i="8"/>
  <c r="B557" i="8"/>
  <c r="K290" i="8"/>
  <c r="I290" i="8"/>
  <c r="F557" i="8"/>
  <c r="I554" i="8"/>
  <c r="J290" i="8"/>
  <c r="H290" i="8"/>
  <c r="G557" i="8"/>
  <c r="A554" i="8"/>
  <c r="K329" i="8"/>
  <c r="K330" i="8"/>
  <c r="M451" i="8" s="1"/>
  <c r="M452" i="8" s="1"/>
  <c r="G82" i="8"/>
  <c r="B554" i="8"/>
  <c r="K291" i="8"/>
  <c r="H291" i="8"/>
  <c r="I291" i="8"/>
  <c r="J291" i="8"/>
  <c r="I449" i="8"/>
  <c r="B1071" i="13"/>
  <c r="B1022" i="13"/>
  <c r="B2462" i="14"/>
  <c r="B2476" i="14" s="1"/>
  <c r="B2627" i="14"/>
  <c r="Q2406" i="12"/>
  <c r="B1231" i="16"/>
  <c r="L348" i="10"/>
  <c r="L349" i="10" s="1"/>
  <c r="I348" i="10"/>
  <c r="I349" i="10" s="1"/>
  <c r="H2405" i="12"/>
  <c r="H2406" i="12" s="1"/>
  <c r="B817" i="13"/>
  <c r="B354" i="13"/>
  <c r="B602" i="13"/>
  <c r="B858" i="13"/>
  <c r="B936" i="13"/>
  <c r="B771" i="13"/>
  <c r="B1186" i="13"/>
  <c r="H549" i="9"/>
  <c r="G549" i="9"/>
  <c r="G300" i="8"/>
  <c r="K296" i="8"/>
  <c r="K298" i="8" s="1"/>
  <c r="I296" i="8"/>
  <c r="I298" i="8" s="1"/>
  <c r="J296" i="8"/>
  <c r="J298" i="8" s="1"/>
  <c r="H296" i="8"/>
  <c r="H298" i="8" s="1"/>
  <c r="B579" i="13"/>
  <c r="B628" i="13"/>
  <c r="Q2407" i="12"/>
  <c r="A2270" i="12"/>
  <c r="K348" i="10"/>
  <c r="K349" i="10" s="1"/>
  <c r="M348" i="10"/>
  <c r="M349" i="10" s="1"/>
  <c r="D1712" i="12"/>
  <c r="B546" i="13"/>
  <c r="B999" i="13"/>
  <c r="B394" i="13"/>
  <c r="B545" i="13"/>
  <c r="B381" i="13"/>
  <c r="B1045" i="13"/>
  <c r="B845" i="13"/>
  <c r="B472" i="13"/>
  <c r="B1005" i="13"/>
  <c r="I652" i="9"/>
  <c r="K652" i="9"/>
  <c r="J652" i="9"/>
  <c r="L652" i="9"/>
  <c r="H652" i="9"/>
  <c r="B3433" i="14"/>
  <c r="B3434" i="14"/>
  <c r="H551" i="9"/>
  <c r="G551" i="9"/>
  <c r="E811" i="12" l="1"/>
  <c r="J811" i="12"/>
  <c r="H811" i="12"/>
  <c r="F811" i="12"/>
  <c r="B799" i="12"/>
  <c r="G799" i="12"/>
  <c r="C799" i="12"/>
  <c r="H799" i="12"/>
  <c r="D799" i="12"/>
  <c r="B379" i="19"/>
  <c r="O1661" i="12"/>
  <c r="D831" i="7"/>
  <c r="J832" i="7" s="1"/>
  <c r="F736" i="7"/>
  <c r="C744" i="7" s="1"/>
  <c r="C780" i="7" s="1"/>
  <c r="Q1094" i="7"/>
  <c r="B1763" i="12"/>
  <c r="B1743" i="12"/>
  <c r="H822" i="7"/>
  <c r="P1094" i="7"/>
  <c r="F735" i="7"/>
  <c r="B744" i="7" s="1"/>
  <c r="B780" i="7" s="1"/>
  <c r="H1092" i="7"/>
  <c r="F129" i="7" s="1"/>
  <c r="G55" i="19"/>
  <c r="H1478" i="12" s="1"/>
  <c r="C1705" i="12"/>
  <c r="D1700" i="12" s="1"/>
  <c r="E1700" i="12" s="1"/>
  <c r="D436" i="7"/>
  <c r="E471" i="12" s="1"/>
  <c r="H1093" i="7"/>
  <c r="G129" i="7" s="1"/>
  <c r="H821" i="7"/>
  <c r="I824" i="7" s="1"/>
  <c r="C436" i="7"/>
  <c r="D471" i="12" s="1"/>
  <c r="D1816" i="12"/>
  <c r="D1818" i="12" s="1"/>
  <c r="D1819" i="12" s="1"/>
  <c r="D1820" i="12" s="1"/>
  <c r="B785" i="16"/>
  <c r="I453" i="8"/>
  <c r="I516" i="8" s="1"/>
  <c r="C1816" i="12"/>
  <c r="C1817" i="12" s="1"/>
  <c r="C1821" i="12" s="1"/>
  <c r="C1822" i="12" s="1"/>
  <c r="C288" i="12"/>
  <c r="G81" i="19"/>
  <c r="H1504" i="12" s="1"/>
  <c r="G68" i="14"/>
  <c r="G1448" i="12" s="1"/>
  <c r="B68" i="14"/>
  <c r="B1448" i="12" s="1"/>
  <c r="B777" i="16"/>
  <c r="A624" i="16" s="1"/>
  <c r="B3062" i="16"/>
  <c r="D1681" i="12"/>
  <c r="E1681" i="12" s="1"/>
  <c r="D1678" i="12"/>
  <c r="E1678" i="12" s="1"/>
  <c r="N3448" i="16"/>
  <c r="D1677" i="12"/>
  <c r="E1677" i="12" s="1"/>
  <c r="D1679" i="12"/>
  <c r="E1679" i="12" s="1"/>
  <c r="B2128" i="13"/>
  <c r="B2199" i="13" s="1"/>
  <c r="B243" i="9"/>
  <c r="G72" i="19"/>
  <c r="G79" i="19" s="1"/>
  <c r="H1502" i="12" s="1"/>
  <c r="C57" i="19"/>
  <c r="C1480" i="12" s="1"/>
  <c r="B1480" i="12"/>
  <c r="B67" i="19"/>
  <c r="C59" i="19"/>
  <c r="C1482" i="12" s="1"/>
  <c r="B1482" i="12"/>
  <c r="J757" i="9"/>
  <c r="J719" i="9" s="1"/>
  <c r="J721" i="9" s="1"/>
  <c r="B2635" i="14"/>
  <c r="H1457" i="12"/>
  <c r="B2795" i="14"/>
  <c r="B2801" i="14" s="1"/>
  <c r="I757" i="9"/>
  <c r="I764" i="9" s="1"/>
  <c r="O513" i="16"/>
  <c r="B171" i="14"/>
  <c r="B468" i="14" s="1"/>
  <c r="B2811" i="14"/>
  <c r="B2802" i="14"/>
  <c r="K757" i="9"/>
  <c r="K764" i="9" s="1"/>
  <c r="K765" i="9" s="1"/>
  <c r="H757" i="9"/>
  <c r="H764" i="9" s="1"/>
  <c r="H765" i="9" s="1"/>
  <c r="L757" i="9"/>
  <c r="L719" i="9" s="1"/>
  <c r="B3233" i="14"/>
  <c r="M479" i="8"/>
  <c r="K187" i="8" s="1"/>
  <c r="B642" i="16"/>
  <c r="B717" i="16" s="1"/>
  <c r="B3078" i="14"/>
  <c r="B233" i="14"/>
  <c r="B20" i="15" s="1"/>
  <c r="B881" i="15" s="1"/>
  <c r="B883" i="15" s="1"/>
  <c r="B1251" i="12"/>
  <c r="B1862" i="12" s="1"/>
  <c r="B1543" i="12"/>
  <c r="B783" i="19"/>
  <c r="B1389" i="19" s="1"/>
  <c r="B2933" i="14"/>
  <c r="B3226" i="14"/>
  <c r="B3232" i="14" s="1"/>
  <c r="B3242" i="14"/>
  <c r="A86" i="19"/>
  <c r="A1509" i="12" s="1"/>
  <c r="B1782" i="19"/>
  <c r="B1790" i="19" s="1"/>
  <c r="F64" i="19" s="1"/>
  <c r="D64" i="19"/>
  <c r="D1487" i="12" s="1"/>
  <c r="E545" i="19"/>
  <c r="E548" i="19" s="1"/>
  <c r="E547" i="19"/>
  <c r="B1125" i="19"/>
  <c r="B1136" i="19" s="1"/>
  <c r="B531" i="19"/>
  <c r="B138" i="19"/>
  <c r="A139" i="19" s="1"/>
  <c r="B1426" i="19"/>
  <c r="B1999" i="19" s="1"/>
  <c r="B2000" i="19" s="1"/>
  <c r="B2001" i="19" s="1"/>
  <c r="B2006" i="19" s="1"/>
  <c r="B1173" i="19"/>
  <c r="B1861" i="12"/>
  <c r="B3139" i="14"/>
  <c r="M335" i="10"/>
  <c r="K335" i="10"/>
  <c r="B1107" i="19"/>
  <c r="B1425" i="19"/>
  <c r="B1762" i="19" s="1"/>
  <c r="B1093" i="19"/>
  <c r="B1742" i="19"/>
  <c r="B1743" i="19" s="1"/>
  <c r="B833" i="19"/>
  <c r="B1024" i="19"/>
  <c r="B1411" i="19"/>
  <c r="B811" i="19"/>
  <c r="B832" i="19"/>
  <c r="B1004" i="19"/>
  <c r="B984" i="19"/>
  <c r="B1023" i="19"/>
  <c r="B1027" i="19" s="1"/>
  <c r="B1081" i="19"/>
  <c r="B1413" i="19"/>
  <c r="B847" i="19"/>
  <c r="B907" i="19" s="1"/>
  <c r="B464" i="19"/>
  <c r="B1141" i="19"/>
  <c r="B1147" i="19"/>
  <c r="B58" i="19" s="1"/>
  <c r="B1401" i="19"/>
  <c r="B1775" i="19" s="1"/>
  <c r="B65" i="19" s="1"/>
  <c r="B1488" i="12" s="1"/>
  <c r="B1120" i="19"/>
  <c r="B1102" i="12"/>
  <c r="B146" i="19"/>
  <c r="L335" i="10"/>
  <c r="J335" i="10"/>
  <c r="B1503" i="19"/>
  <c r="B1617" i="19"/>
  <c r="B1640" i="19"/>
  <c r="B1462" i="19"/>
  <c r="B1563" i="19"/>
  <c r="B1694" i="19"/>
  <c r="B871" i="19"/>
  <c r="B934" i="19"/>
  <c r="B355" i="19"/>
  <c r="B755" i="19" s="1"/>
  <c r="B356" i="19"/>
  <c r="B583" i="19" s="1"/>
  <c r="B472" i="19"/>
  <c r="B572" i="19"/>
  <c r="B574" i="19" s="1"/>
  <c r="B576" i="19" s="1"/>
  <c r="B577" i="19" s="1"/>
  <c r="B614" i="19"/>
  <c r="B615" i="19" s="1"/>
  <c r="B617" i="19" s="1"/>
  <c r="B680" i="19"/>
  <c r="B682" i="19" s="1"/>
  <c r="B745" i="19"/>
  <c r="B406" i="19"/>
  <c r="B357" i="19"/>
  <c r="B762" i="19" s="1"/>
  <c r="B1402" i="19" s="1"/>
  <c r="B436" i="19"/>
  <c r="B438" i="19" s="1"/>
  <c r="B451" i="19"/>
  <c r="B767" i="19"/>
  <c r="B444" i="19"/>
  <c r="B1257" i="16"/>
  <c r="B2604" i="16"/>
  <c r="B734" i="16"/>
  <c r="B1238" i="16"/>
  <c r="A744" i="19"/>
  <c r="B1760" i="19"/>
  <c r="B1761" i="19" s="1"/>
  <c r="B393" i="19"/>
  <c r="B392" i="19" s="1"/>
  <c r="B746" i="19"/>
  <c r="B367" i="19"/>
  <c r="B366" i="19" s="1"/>
  <c r="B391" i="19"/>
  <c r="B749" i="19"/>
  <c r="B365" i="19"/>
  <c r="B753" i="19"/>
  <c r="B657" i="19"/>
  <c r="F720" i="19"/>
  <c r="F2209" i="19"/>
  <c r="D720" i="19"/>
  <c r="D2209" i="19"/>
  <c r="G2208" i="19"/>
  <c r="C720" i="19"/>
  <c r="C2209" i="19"/>
  <c r="B2567" i="16"/>
  <c r="B1046" i="16"/>
  <c r="B1154" i="16"/>
  <c r="B2526" i="14"/>
  <c r="B2988" i="14"/>
  <c r="I542" i="8"/>
  <c r="G201" i="8" s="1"/>
  <c r="B179" i="8" s="1"/>
  <c r="B1062" i="16"/>
  <c r="B992" i="16" s="1"/>
  <c r="K514" i="16"/>
  <c r="B285" i="13"/>
  <c r="B519" i="13" s="1"/>
  <c r="P129" i="7"/>
  <c r="Q129" i="7"/>
  <c r="M514" i="16"/>
  <c r="B1918" i="12"/>
  <c r="B2180" i="13"/>
  <c r="B2187" i="13" s="1"/>
  <c r="B2188" i="13" s="1"/>
  <c r="B2189" i="13" s="1"/>
  <c r="B2266" i="13" s="1"/>
  <c r="H108" i="13" s="1"/>
  <c r="H513" i="16"/>
  <c r="B2924" i="14"/>
  <c r="B2938" i="14" s="1"/>
  <c r="M542" i="8"/>
  <c r="K201" i="8" s="1"/>
  <c r="AI3448" i="16"/>
  <c r="AH3448" i="16"/>
  <c r="AA3448" i="16"/>
  <c r="B846" i="16"/>
  <c r="B2133" i="13"/>
  <c r="B2254" i="13" s="1"/>
  <c r="E3448" i="16"/>
  <c r="Z3448" i="16"/>
  <c r="AK3448" i="16"/>
  <c r="B826" i="16"/>
  <c r="I688" i="9"/>
  <c r="L696" i="9"/>
  <c r="L688" i="9"/>
  <c r="J688" i="9"/>
  <c r="B1214" i="16"/>
  <c r="Q3448" i="16"/>
  <c r="AF3448" i="16"/>
  <c r="AB3448" i="16"/>
  <c r="AG3448" i="16"/>
  <c r="B2651" i="16"/>
  <c r="B1194" i="16"/>
  <c r="B1258" i="16" s="1"/>
  <c r="B2630" i="16"/>
  <c r="B2970" i="16"/>
  <c r="B2956" i="16"/>
  <c r="B1126" i="16"/>
  <c r="B2637" i="16"/>
  <c r="AD3448" i="16"/>
  <c r="K542" i="8"/>
  <c r="I201" i="8" s="1"/>
  <c r="AJ3448" i="16"/>
  <c r="D1827" i="12"/>
  <c r="K665" i="9"/>
  <c r="D1823" i="12"/>
  <c r="D1824" i="12" s="1"/>
  <c r="B1749" i="12"/>
  <c r="F1821" i="12"/>
  <c r="F1822" i="12"/>
  <c r="D1828" i="12"/>
  <c r="D1829" i="12" s="1"/>
  <c r="D1830" i="12" s="1"/>
  <c r="E1822" i="12"/>
  <c r="E1821" i="12"/>
  <c r="B1825" i="12"/>
  <c r="B1826" i="12" s="1"/>
  <c r="E1820" i="12"/>
  <c r="E1819" i="12"/>
  <c r="B1818" i="12"/>
  <c r="B1819" i="12" s="1"/>
  <c r="B1820" i="12" s="1"/>
  <c r="F1818" i="12"/>
  <c r="F1820" i="12"/>
  <c r="F1819" i="12"/>
  <c r="C1818" i="12"/>
  <c r="C1819" i="12" s="1"/>
  <c r="C1820" i="12" s="1"/>
  <c r="E1818" i="12"/>
  <c r="E1817" i="12"/>
  <c r="D1817" i="12"/>
  <c r="D1821" i="12" s="1"/>
  <c r="D1822" i="12" s="1"/>
  <c r="G1117" i="12"/>
  <c r="G1742" i="12"/>
  <c r="G1816" i="12" s="1"/>
  <c r="D1825" i="12"/>
  <c r="D1826" i="12" s="1"/>
  <c r="I350" i="10"/>
  <c r="B385" i="14"/>
  <c r="B2487" i="14"/>
  <c r="B2377" i="14"/>
  <c r="A439" i="16"/>
  <c r="F1678" i="12"/>
  <c r="B2380" i="14"/>
  <c r="B2379" i="14" s="1"/>
  <c r="B335" i="13"/>
  <c r="I709" i="9"/>
  <c r="K788" i="9"/>
  <c r="K228" i="9" s="1"/>
  <c r="H784" i="9"/>
  <c r="H226" i="9" s="1"/>
  <c r="B377" i="9" s="1"/>
  <c r="L665" i="9"/>
  <c r="B1173" i="13"/>
  <c r="B633" i="16"/>
  <c r="B1032" i="13"/>
  <c r="B2752" i="14"/>
  <c r="M439" i="8"/>
  <c r="M438" i="8" s="1"/>
  <c r="M440" i="8" s="1"/>
  <c r="K539" i="8"/>
  <c r="I200" i="8" s="1"/>
  <c r="J711" i="9"/>
  <c r="L788" i="9"/>
  <c r="L228" i="9" s="1"/>
  <c r="L227" i="9"/>
  <c r="B2292" i="12"/>
  <c r="J788" i="9"/>
  <c r="J228" i="9" s="1"/>
  <c r="I788" i="9"/>
  <c r="I228" i="9" s="1"/>
  <c r="H665" i="9"/>
  <c r="I439" i="8"/>
  <c r="I438" i="8" s="1"/>
  <c r="I440" i="8" s="1"/>
  <c r="H653" i="9"/>
  <c r="H655" i="9" s="1"/>
  <c r="H656" i="9" s="1"/>
  <c r="I653" i="9"/>
  <c r="I655" i="9" s="1"/>
  <c r="I656" i="9" s="1"/>
  <c r="N514" i="16"/>
  <c r="J513" i="16"/>
  <c r="H201" i="8"/>
  <c r="J543" i="8"/>
  <c r="H202" i="8" s="1"/>
  <c r="J653" i="9"/>
  <c r="J655" i="9" s="1"/>
  <c r="J220" i="9" s="1"/>
  <c r="M350" i="10"/>
  <c r="K350" i="10"/>
  <c r="B302" i="13"/>
  <c r="B656" i="13"/>
  <c r="B2240" i="13"/>
  <c r="P513" i="16"/>
  <c r="L513" i="16"/>
  <c r="B2134" i="13"/>
  <c r="B391" i="14"/>
  <c r="B404" i="14"/>
  <c r="I717" i="9"/>
  <c r="I720" i="9" s="1"/>
  <c r="I711" i="9"/>
  <c r="C1117" i="12"/>
  <c r="C1763" i="12" s="1"/>
  <c r="E1117" i="12"/>
  <c r="D1117" i="12"/>
  <c r="D1743" i="12" s="1"/>
  <c r="D1745" i="12" s="1"/>
  <c r="D1746" i="12" s="1"/>
  <c r="L508" i="8"/>
  <c r="B2125" i="13"/>
  <c r="B2124" i="13" s="1"/>
  <c r="B2196" i="13" s="1"/>
  <c r="B397" i="14"/>
  <c r="B409" i="14"/>
  <c r="J508" i="8"/>
  <c r="H787" i="9"/>
  <c r="H227" i="9" s="1"/>
  <c r="B378" i="9" s="1"/>
  <c r="B1817" i="12"/>
  <c r="B1821" i="12" s="1"/>
  <c r="B1822" i="12" s="1"/>
  <c r="B338" i="13"/>
  <c r="B337" i="13" s="1"/>
  <c r="B712" i="13"/>
  <c r="E1825" i="12"/>
  <c r="E1826" i="12" s="1"/>
  <c r="E1827" i="12"/>
  <c r="E1828" i="12" s="1"/>
  <c r="E1829" i="12" s="1"/>
  <c r="E1830" i="12" s="1"/>
  <c r="E1823" i="12"/>
  <c r="E1824" i="12" s="1"/>
  <c r="E1831" i="12" s="1"/>
  <c r="B1823" i="12"/>
  <c r="B1824" i="12" s="1"/>
  <c r="B1827" i="12"/>
  <c r="B1828" i="12" s="1"/>
  <c r="B1829" i="12" s="1"/>
  <c r="B1830" i="12" s="1"/>
  <c r="F1827" i="12"/>
  <c r="F1828" i="12" s="1"/>
  <c r="F1829" i="12" s="1"/>
  <c r="F1830" i="12" s="1"/>
  <c r="F1825" i="12"/>
  <c r="F1826" i="12" s="1"/>
  <c r="F1823" i="12"/>
  <c r="F1824" i="12" s="1"/>
  <c r="G1825" i="12"/>
  <c r="G1826" i="12" s="1"/>
  <c r="G1827" i="12"/>
  <c r="G1828" i="12" s="1"/>
  <c r="G1829" i="12" s="1"/>
  <c r="G1830" i="12" s="1"/>
  <c r="G1823" i="12"/>
  <c r="G1824" i="12" s="1"/>
  <c r="B906" i="16"/>
  <c r="B773" i="16"/>
  <c r="B775" i="16" s="1"/>
  <c r="I665" i="9"/>
  <c r="F279" i="7"/>
  <c r="F283" i="7"/>
  <c r="F281" i="7"/>
  <c r="F277" i="7"/>
  <c r="I539" i="8"/>
  <c r="G200" i="8" s="1"/>
  <c r="B178" i="8" s="1"/>
  <c r="H755" i="9"/>
  <c r="B227" i="8"/>
  <c r="F1677" i="12"/>
  <c r="G1677" i="12" s="1"/>
  <c r="B3002" i="14"/>
  <c r="B2540" i="14"/>
  <c r="B2426" i="14"/>
  <c r="B2888" i="14"/>
  <c r="B3123" i="14"/>
  <c r="B2680" i="14"/>
  <c r="B2441" i="14"/>
  <c r="B2500" i="14" s="1"/>
  <c r="B2406" i="14"/>
  <c r="B2695" i="14"/>
  <c r="B2903" i="14"/>
  <c r="B2962" i="14" s="1"/>
  <c r="B2867" i="14"/>
  <c r="H639" i="9"/>
  <c r="H666" i="9"/>
  <c r="K702" i="9"/>
  <c r="K639" i="9"/>
  <c r="K448" i="8"/>
  <c r="K439" i="8"/>
  <c r="K438" i="8" s="1"/>
  <c r="K440" i="8" s="1"/>
  <c r="J702" i="9"/>
  <c r="J639" i="9"/>
  <c r="J448" i="8"/>
  <c r="J439" i="8"/>
  <c r="J438" i="8" s="1"/>
  <c r="J440" i="8" s="1"/>
  <c r="L702" i="9"/>
  <c r="L639" i="9"/>
  <c r="L666" i="9"/>
  <c r="I702" i="9"/>
  <c r="I666" i="9"/>
  <c r="I639" i="9"/>
  <c r="L448" i="8"/>
  <c r="L439" i="8"/>
  <c r="L438" i="8" s="1"/>
  <c r="L440" i="8" s="1"/>
  <c r="C577" i="9"/>
  <c r="B577" i="9" s="1"/>
  <c r="E577" i="9"/>
  <c r="H389" i="8"/>
  <c r="J654" i="9"/>
  <c r="G389" i="8"/>
  <c r="K667" i="9"/>
  <c r="K666" i="9" s="1"/>
  <c r="B1011" i="16"/>
  <c r="B1029" i="16" s="1"/>
  <c r="B445" i="13"/>
  <c r="B606" i="13"/>
  <c r="B295" i="9"/>
  <c r="H702" i="9"/>
  <c r="B120" i="15"/>
  <c r="B310" i="15"/>
  <c r="B799" i="15"/>
  <c r="B268" i="15"/>
  <c r="B567" i="15"/>
  <c r="B607" i="15" s="1"/>
  <c r="B480" i="15"/>
  <c r="B513" i="15" s="1"/>
  <c r="B1040" i="15"/>
  <c r="B838" i="15"/>
  <c r="B867" i="15" s="1"/>
  <c r="B525" i="15"/>
  <c r="B1002" i="15"/>
  <c r="B755" i="15"/>
  <c r="B791" i="15" s="1"/>
  <c r="B661" i="15"/>
  <c r="B174" i="15"/>
  <c r="B112" i="15"/>
  <c r="J667" i="9"/>
  <c r="J666" i="9" s="1"/>
  <c r="A450" i="16"/>
  <c r="A454" i="16"/>
  <c r="A452" i="16"/>
  <c r="A453" i="16"/>
  <c r="A451" i="16"/>
  <c r="I714" i="9"/>
  <c r="B909" i="13"/>
  <c r="B1049" i="13"/>
  <c r="B2220" i="13"/>
  <c r="B297" i="13"/>
  <c r="B2145" i="13"/>
  <c r="B2150" i="13" s="1"/>
  <c r="G67" i="14"/>
  <c r="G1447" i="12" s="1"/>
  <c r="B245" i="10"/>
  <c r="E575" i="9"/>
  <c r="J706" i="9"/>
  <c r="I706" i="9"/>
  <c r="D576" i="9"/>
  <c r="J714" i="9"/>
  <c r="J718" i="9" s="1"/>
  <c r="J715" i="9"/>
  <c r="D577" i="9"/>
  <c r="J755" i="9"/>
  <c r="J709" i="9"/>
  <c r="C575" i="9"/>
  <c r="B2496" i="14"/>
  <c r="B2915" i="14"/>
  <c r="B3201" i="14" s="1"/>
  <c r="B2423" i="14"/>
  <c r="K715" i="9"/>
  <c r="B2453" i="14"/>
  <c r="B2770" i="14" s="1"/>
  <c r="B2857" i="14"/>
  <c r="B3200" i="14" s="1"/>
  <c r="B2958" i="14"/>
  <c r="B2619" i="14"/>
  <c r="B2668" i="14"/>
  <c r="B3085" i="14"/>
  <c r="B3098" i="14" s="1"/>
  <c r="K755" i="9"/>
  <c r="J665" i="9"/>
  <c r="H709" i="9"/>
  <c r="B2483" i="14"/>
  <c r="B2898" i="14"/>
  <c r="B3118" i="14"/>
  <c r="B3212" i="14" s="1"/>
  <c r="B3062" i="14"/>
  <c r="B3111" i="14"/>
  <c r="L543" i="8"/>
  <c r="J202" i="8" s="1"/>
  <c r="B2885" i="14"/>
  <c r="B2436" i="14"/>
  <c r="B2675" i="14"/>
  <c r="B2781" i="14" s="1"/>
  <c r="M539" i="8"/>
  <c r="M508" i="8"/>
  <c r="B1551" i="12"/>
  <c r="B1552" i="12" s="1"/>
  <c r="B1012" i="16"/>
  <c r="H711" i="9"/>
  <c r="C576" i="9"/>
  <c r="B576" i="9" s="1"/>
  <c r="L755" i="9"/>
  <c r="I755" i="9"/>
  <c r="L711" i="9"/>
  <c r="H717" i="9"/>
  <c r="H720" i="9" s="1"/>
  <c r="H715" i="9"/>
  <c r="L717" i="9"/>
  <c r="L720" i="9" s="1"/>
  <c r="L715" i="9"/>
  <c r="L709" i="9"/>
  <c r="K711" i="9"/>
  <c r="B3433" i="16"/>
  <c r="B3429" i="16"/>
  <c r="Y135" i="7"/>
  <c r="Y136" i="7"/>
  <c r="Y138" i="7"/>
  <c r="Y160" i="7"/>
  <c r="Y158" i="7"/>
  <c r="Y134" i="7"/>
  <c r="Y132" i="7"/>
  <c r="Y142" i="7"/>
  <c r="Y140" i="7"/>
  <c r="Y159" i="7"/>
  <c r="Y133" i="7"/>
  <c r="Y141" i="7"/>
  <c r="Y143" i="7"/>
  <c r="Y153" i="7"/>
  <c r="Y131" i="7"/>
  <c r="Y148" i="7"/>
  <c r="Y149" i="7"/>
  <c r="Y146" i="7"/>
  <c r="Y147" i="7"/>
  <c r="Y145" i="7"/>
  <c r="Y144" i="7"/>
  <c r="Y182" i="7"/>
  <c r="Y184" i="7"/>
  <c r="Y185" i="7"/>
  <c r="Y183" i="7"/>
  <c r="Y155" i="7"/>
  <c r="Y156" i="7"/>
  <c r="Y178" i="7"/>
  <c r="Y181" i="7"/>
  <c r="Y179" i="7"/>
  <c r="Y180" i="7"/>
  <c r="Y165" i="7"/>
  <c r="Y164" i="7"/>
  <c r="Y166" i="7"/>
  <c r="Y171" i="7"/>
  <c r="Y170" i="7"/>
  <c r="Y168" i="7"/>
  <c r="Y176" i="7"/>
  <c r="Y177" i="7"/>
  <c r="Y172" i="7"/>
  <c r="Y150" i="7"/>
  <c r="Y157" i="7"/>
  <c r="Y152" i="7"/>
  <c r="Y154" i="7"/>
  <c r="Y161" i="7"/>
  <c r="Y163" i="7"/>
  <c r="Y162" i="7"/>
  <c r="Y167" i="7"/>
  <c r="Y169" i="7"/>
  <c r="Y175" i="7"/>
  <c r="Y174" i="7"/>
  <c r="Y173" i="7"/>
  <c r="Y151" i="7"/>
  <c r="Y139" i="7"/>
  <c r="Y137" i="7"/>
  <c r="M438" i="12"/>
  <c r="L207" i="7"/>
  <c r="B2447" i="14"/>
  <c r="B2407" i="14"/>
  <c r="B3129" i="14"/>
  <c r="B2909" i="14"/>
  <c r="B2506" i="14"/>
  <c r="B2868" i="14"/>
  <c r="B3105" i="14"/>
  <c r="B2686" i="14"/>
  <c r="B2968" i="14"/>
  <c r="B2662" i="14"/>
  <c r="B422" i="13"/>
  <c r="B589" i="13"/>
  <c r="D1676" i="12"/>
  <c r="E1676" i="12" s="1"/>
  <c r="K450" i="8"/>
  <c r="I426" i="8"/>
  <c r="I524" i="8"/>
  <c r="I420" i="8"/>
  <c r="K811" i="9"/>
  <c r="K676" i="9" s="1"/>
  <c r="K851" i="9"/>
  <c r="K852" i="9" s="1"/>
  <c r="K841" i="9"/>
  <c r="K829" i="9"/>
  <c r="K864" i="9"/>
  <c r="K865" i="9" s="1"/>
  <c r="K714" i="9"/>
  <c r="K718" i="9" s="1"/>
  <c r="K810" i="9"/>
  <c r="K741" i="9" s="1"/>
  <c r="K744" i="9" s="1"/>
  <c r="K745" i="9" s="1"/>
  <c r="K814" i="9"/>
  <c r="K823" i="9"/>
  <c r="K876" i="9"/>
  <c r="K877" i="9" s="1"/>
  <c r="K830" i="9"/>
  <c r="K803" i="9"/>
  <c r="K858" i="9"/>
  <c r="K629" i="9"/>
  <c r="K630" i="9" s="1"/>
  <c r="K631" i="9" s="1"/>
  <c r="K632" i="9" s="1"/>
  <c r="I823" i="9"/>
  <c r="I830" i="9"/>
  <c r="I829" i="9"/>
  <c r="I864" i="9"/>
  <c r="I865" i="9" s="1"/>
  <c r="I851" i="9"/>
  <c r="I852" i="9" s="1"/>
  <c r="I841" i="9"/>
  <c r="I811" i="9"/>
  <c r="I676" i="9" s="1"/>
  <c r="I810" i="9"/>
  <c r="I814" i="9"/>
  <c r="I876" i="9"/>
  <c r="I877" i="9" s="1"/>
  <c r="I858" i="9"/>
  <c r="I629" i="9"/>
  <c r="I630" i="9" s="1"/>
  <c r="I631" i="9" s="1"/>
  <c r="I632" i="9" s="1"/>
  <c r="I803" i="9"/>
  <c r="J510" i="8"/>
  <c r="J479" i="8"/>
  <c r="H187" i="8" s="1"/>
  <c r="K426" i="8"/>
  <c r="K524" i="8"/>
  <c r="K420" i="8"/>
  <c r="K463" i="8" s="1"/>
  <c r="E86" i="8" s="1"/>
  <c r="E87" i="8" s="1"/>
  <c r="D312" i="10"/>
  <c r="B2219" i="13"/>
  <c r="B2141" i="13"/>
  <c r="B2140" i="13" s="1"/>
  <c r="AN2152" i="13"/>
  <c r="AL2152" i="13"/>
  <c r="AM2151" i="13"/>
  <c r="B2143" i="13"/>
  <c r="B2142" i="13" s="1"/>
  <c r="AN2151" i="13"/>
  <c r="AN2154" i="13" s="1"/>
  <c r="AL2151" i="13"/>
  <c r="AL2154" i="13" s="1"/>
  <c r="AK2151" i="13"/>
  <c r="AM2152" i="13"/>
  <c r="AK2152" i="13"/>
  <c r="B2121" i="13"/>
  <c r="B286" i="13"/>
  <c r="B101" i="15"/>
  <c r="B102" i="15" s="1"/>
  <c r="B119" i="15"/>
  <c r="B308" i="15" s="1"/>
  <c r="B232" i="15"/>
  <c r="B837" i="15"/>
  <c r="B851" i="15" s="1"/>
  <c r="B267" i="15"/>
  <c r="B566" i="15"/>
  <c r="B515" i="15"/>
  <c r="B479" i="15"/>
  <c r="B1032" i="15"/>
  <c r="B1033" i="15" s="1"/>
  <c r="B795" i="15"/>
  <c r="B309" i="15"/>
  <c r="B1039" i="15"/>
  <c r="B754" i="15"/>
  <c r="B660" i="15"/>
  <c r="B676" i="15" s="1"/>
  <c r="B114" i="15"/>
  <c r="B110" i="15"/>
  <c r="B1001" i="15"/>
  <c r="B798" i="15"/>
  <c r="B524" i="15"/>
  <c r="B99" i="15"/>
  <c r="B170" i="15"/>
  <c r="B130" i="15"/>
  <c r="B111" i="15"/>
  <c r="B173" i="15"/>
  <c r="B172" i="15" s="1"/>
  <c r="J350" i="10"/>
  <c r="J338" i="10"/>
  <c r="C240" i="10" s="1"/>
  <c r="B296" i="13"/>
  <c r="B336" i="13" s="1"/>
  <c r="B2127" i="13"/>
  <c r="B2198" i="13" s="1"/>
  <c r="B87" i="15"/>
  <c r="B271" i="15"/>
  <c r="B290" i="15" s="1"/>
  <c r="B841" i="15"/>
  <c r="B853" i="15" s="1"/>
  <c r="B568" i="15"/>
  <c r="B589" i="15" s="1"/>
  <c r="B481" i="15"/>
  <c r="B500" i="15" s="1"/>
  <c r="B1005" i="15"/>
  <c r="B1017" i="15" s="1"/>
  <c r="B758" i="15"/>
  <c r="B777" i="15" s="1"/>
  <c r="B662" i="15"/>
  <c r="B678" i="15" s="1"/>
  <c r="B1024" i="16"/>
  <c r="B1038" i="16" s="1"/>
  <c r="B1023" i="16"/>
  <c r="B1037" i="16" s="1"/>
  <c r="B100" i="13"/>
  <c r="L653" i="9"/>
  <c r="L655" i="9" s="1"/>
  <c r="L220" i="9" s="1"/>
  <c r="K653" i="9"/>
  <c r="K655" i="9" s="1"/>
  <c r="K220" i="9" s="1"/>
  <c r="K508" i="8"/>
  <c r="L350" i="10"/>
  <c r="I508" i="8"/>
  <c r="I438" i="12"/>
  <c r="H207" i="7"/>
  <c r="J450" i="8"/>
  <c r="B2595" i="14"/>
  <c r="B59" i="14" s="1"/>
  <c r="B1439" i="12" s="1"/>
  <c r="B2602" i="14"/>
  <c r="B2613" i="14" s="1"/>
  <c r="B2614" i="14" s="1"/>
  <c r="B3453" i="14" s="1"/>
  <c r="B2699" i="14"/>
  <c r="B2976" i="14"/>
  <c r="B2642" i="14"/>
  <c r="B2655" i="14" s="1"/>
  <c r="B3045" i="14"/>
  <c r="B2514" i="14"/>
  <c r="B2396" i="14"/>
  <c r="B2769" i="14" s="1"/>
  <c r="B2694" i="14"/>
  <c r="B2436" i="12"/>
  <c r="B2445" i="12" s="1"/>
  <c r="D1675" i="12"/>
  <c r="E1675" i="12" s="1"/>
  <c r="B1102" i="16"/>
  <c r="B1116" i="16" s="1"/>
  <c r="B1101" i="16"/>
  <c r="B1115" i="16" s="1"/>
  <c r="J389" i="8"/>
  <c r="B2945" i="14"/>
  <c r="B3414" i="16"/>
  <c r="B3419" i="16" s="1"/>
  <c r="B3417" i="16"/>
  <c r="B3424" i="16" s="1"/>
  <c r="B3415" i="16"/>
  <c r="B3420" i="16" s="1"/>
  <c r="B3416" i="16"/>
  <c r="B3423" i="16" s="1"/>
  <c r="B85" i="15"/>
  <c r="D76" i="14"/>
  <c r="D1456" i="12" s="1"/>
  <c r="L420" i="8"/>
  <c r="L463" i="8" s="1"/>
  <c r="F86" i="8" s="1"/>
  <c r="F87" i="8" s="1"/>
  <c r="L426" i="8"/>
  <c r="L524" i="8"/>
  <c r="H810" i="9"/>
  <c r="H811" i="9"/>
  <c r="H814" i="9"/>
  <c r="H864" i="9"/>
  <c r="H865" i="9" s="1"/>
  <c r="H876" i="9"/>
  <c r="H877" i="9" s="1"/>
  <c r="H629" i="9"/>
  <c r="H630" i="9" s="1"/>
  <c r="H631" i="9" s="1"/>
  <c r="H632" i="9" s="1"/>
  <c r="H830" i="9"/>
  <c r="H823" i="9"/>
  <c r="B290" i="9"/>
  <c r="H858" i="9"/>
  <c r="H714" i="9"/>
  <c r="H829" i="9"/>
  <c r="H803" i="9"/>
  <c r="H851" i="9"/>
  <c r="H852" i="9" s="1"/>
  <c r="H841" i="9"/>
  <c r="L810" i="9"/>
  <c r="L888" i="9" s="1"/>
  <c r="L814" i="9"/>
  <c r="L823" i="9"/>
  <c r="L864" i="9"/>
  <c r="L865" i="9" s="1"/>
  <c r="L876" i="9"/>
  <c r="L877" i="9" s="1"/>
  <c r="L830" i="9"/>
  <c r="L829" i="9"/>
  <c r="L629" i="9"/>
  <c r="L630" i="9" s="1"/>
  <c r="L631" i="9" s="1"/>
  <c r="L632" i="9" s="1"/>
  <c r="L858" i="9"/>
  <c r="L714" i="9"/>
  <c r="L851" i="9"/>
  <c r="L852" i="9" s="1"/>
  <c r="L841" i="9"/>
  <c r="L803" i="9"/>
  <c r="L811" i="9"/>
  <c r="L676" i="9" s="1"/>
  <c r="J823" i="9"/>
  <c r="J864" i="9"/>
  <c r="J865" i="9" s="1"/>
  <c r="J830" i="9"/>
  <c r="J841" i="9"/>
  <c r="J810" i="9"/>
  <c r="J741" i="9" s="1"/>
  <c r="J744" i="9" s="1"/>
  <c r="J745" i="9" s="1"/>
  <c r="J814" i="9"/>
  <c r="J876" i="9"/>
  <c r="J877" i="9" s="1"/>
  <c r="J629" i="9"/>
  <c r="J630" i="9" s="1"/>
  <c r="J631" i="9" s="1"/>
  <c r="J632" i="9" s="1"/>
  <c r="J851" i="9"/>
  <c r="J852" i="9" s="1"/>
  <c r="J829" i="9"/>
  <c r="J858" i="9"/>
  <c r="J803" i="9"/>
  <c r="J811" i="9"/>
  <c r="J676" i="9" s="1"/>
  <c r="L510" i="8"/>
  <c r="L479" i="8"/>
  <c r="J187" i="8" s="1"/>
  <c r="D566" i="16"/>
  <c r="D562" i="16"/>
  <c r="D564" i="16"/>
  <c r="D567" i="16"/>
  <c r="D560" i="16"/>
  <c r="D561" i="16"/>
  <c r="D565" i="16"/>
  <c r="D563" i="16"/>
  <c r="D568" i="16"/>
  <c r="K510" i="8"/>
  <c r="K479" i="8"/>
  <c r="I187" i="8" s="1"/>
  <c r="J426" i="8"/>
  <c r="J524" i="8"/>
  <c r="J420" i="8"/>
  <c r="J463" i="8" s="1"/>
  <c r="D86" i="8" s="1"/>
  <c r="D87" i="8" s="1"/>
  <c r="B1452" i="16"/>
  <c r="B3202" i="16"/>
  <c r="B3209" i="16" s="1"/>
  <c r="B3208" i="16" s="1"/>
  <c r="B3204" i="16"/>
  <c r="B3203" i="16" s="1"/>
  <c r="B1456" i="16"/>
  <c r="B756" i="16"/>
  <c r="B1454" i="16" s="1"/>
  <c r="B1453" i="16"/>
  <c r="B1458" i="16"/>
  <c r="B1253" i="16" s="1"/>
  <c r="B1457" i="16"/>
  <c r="B3161" i="16"/>
  <c r="B3166" i="16" s="1"/>
  <c r="B752" i="16"/>
  <c r="B1455" i="16"/>
  <c r="B2523" i="16"/>
  <c r="B2522" i="16"/>
  <c r="B2746" i="16"/>
  <c r="B2747" i="16" s="1"/>
  <c r="B2525" i="16"/>
  <c r="B2534" i="16"/>
  <c r="B2535" i="16" s="1"/>
  <c r="B3171" i="16"/>
  <c r="B3057" i="16"/>
  <c r="B3058" i="16" s="1"/>
  <c r="I510" i="8"/>
  <c r="A1547" i="12"/>
  <c r="B1546" i="12"/>
  <c r="I479" i="8"/>
  <c r="G187" i="8" s="1"/>
  <c r="B1547" i="12"/>
  <c r="B477" i="14"/>
  <c r="B240" i="14"/>
  <c r="B130" i="19" s="1"/>
  <c r="B370" i="14"/>
  <c r="B338" i="14"/>
  <c r="B337" i="14" s="1"/>
  <c r="B328" i="14"/>
  <c r="B186" i="14"/>
  <c r="B304" i="14"/>
  <c r="B303" i="14" s="1"/>
  <c r="B321" i="14"/>
  <c r="B320" i="14" s="1"/>
  <c r="B287" i="14"/>
  <c r="B286" i="14" s="1"/>
  <c r="M524" i="8"/>
  <c r="M426" i="8"/>
  <c r="M420" i="8"/>
  <c r="M463" i="8" s="1"/>
  <c r="G86" i="8" s="1"/>
  <c r="G87" i="8" s="1"/>
  <c r="B305" i="9"/>
  <c r="H805" i="9"/>
  <c r="B250" i="14"/>
  <c r="B2378" i="14" s="1"/>
  <c r="B372" i="14"/>
  <c r="B1088" i="16"/>
  <c r="B1105" i="16" s="1"/>
  <c r="B1090" i="16"/>
  <c r="B1089" i="16"/>
  <c r="B1107" i="16" s="1"/>
  <c r="B1010" i="16"/>
  <c r="B1027" i="16" s="1"/>
  <c r="B913" i="16"/>
  <c r="B914" i="16"/>
  <c r="B917" i="16"/>
  <c r="B931" i="16" s="1"/>
  <c r="B955" i="16"/>
  <c r="B952" i="16"/>
  <c r="B954" i="16"/>
  <c r="B953" i="16"/>
  <c r="A918" i="16"/>
  <c r="B941" i="16"/>
  <c r="B1048" i="16"/>
  <c r="A1048" i="16"/>
  <c r="B2587" i="14"/>
  <c r="B91" i="13"/>
  <c r="B1016" i="13"/>
  <c r="B1017" i="13" s="1"/>
  <c r="B1424" i="13" s="1"/>
  <c r="B1058" i="13"/>
  <c r="B81" i="13"/>
  <c r="B92" i="13"/>
  <c r="J300" i="8"/>
  <c r="K300" i="8"/>
  <c r="G299" i="8"/>
  <c r="G319" i="8"/>
  <c r="H556" i="9"/>
  <c r="B1192" i="13"/>
  <c r="B95" i="13"/>
  <c r="B615" i="13"/>
  <c r="B1160" i="13"/>
  <c r="T2406" i="12"/>
  <c r="L449" i="8"/>
  <c r="L453" i="8" s="1"/>
  <c r="L516" i="8" s="1"/>
  <c r="J449" i="8"/>
  <c r="I418" i="8"/>
  <c r="M418" i="8"/>
  <c r="J418" i="8"/>
  <c r="K418" i="8"/>
  <c r="L418" i="8"/>
  <c r="K443" i="8"/>
  <c r="M443" i="8"/>
  <c r="I443" i="8"/>
  <c r="J443" i="8"/>
  <c r="L443" i="8"/>
  <c r="M428" i="8"/>
  <c r="M481" i="8" s="1"/>
  <c r="I428" i="8"/>
  <c r="J428" i="8"/>
  <c r="K428" i="8"/>
  <c r="L428" i="8"/>
  <c r="B86" i="13"/>
  <c r="H300" i="8"/>
  <c r="I300" i="8"/>
  <c r="I490" i="8"/>
  <c r="J490" i="8"/>
  <c r="K490" i="8"/>
  <c r="L490" i="8"/>
  <c r="M490" i="8"/>
  <c r="H555" i="9"/>
  <c r="B729" i="13"/>
  <c r="A2284" i="12"/>
  <c r="A516" i="16" s="1"/>
  <c r="C2279" i="12"/>
  <c r="C2281" i="12"/>
  <c r="B109" i="13"/>
  <c r="K449" i="8"/>
  <c r="M449" i="8"/>
  <c r="M450" i="8"/>
  <c r="I423" i="8"/>
  <c r="M423" i="8"/>
  <c r="J423" i="8"/>
  <c r="K423" i="8"/>
  <c r="L423" i="8"/>
  <c r="M488" i="8"/>
  <c r="K193" i="8" s="1"/>
  <c r="I488" i="8"/>
  <c r="G193" i="8" s="1"/>
  <c r="B171" i="8" s="1"/>
  <c r="J488" i="8"/>
  <c r="H193" i="8" s="1"/>
  <c r="K488" i="8"/>
  <c r="I193" i="8" s="1"/>
  <c r="L488" i="8"/>
  <c r="J193" i="8" s="1"/>
  <c r="O317" i="12" l="1"/>
  <c r="C1118" i="12"/>
  <c r="D1118" i="12"/>
  <c r="O346" i="12"/>
  <c r="E1832" i="12"/>
  <c r="E1833" i="12"/>
  <c r="E1834" i="12" s="1"/>
  <c r="F1831" i="12"/>
  <c r="B800" i="12"/>
  <c r="H801" i="12" s="1"/>
  <c r="H813" i="12" s="1"/>
  <c r="X129" i="7"/>
  <c r="X159" i="7" s="1"/>
  <c r="D1701" i="12"/>
  <c r="D1705" i="12" s="1"/>
  <c r="O1712" i="12"/>
  <c r="B2293" i="12" s="1"/>
  <c r="B2874" i="16" s="1"/>
  <c r="N1095" i="7"/>
  <c r="N1100" i="7"/>
  <c r="N1099" i="7"/>
  <c r="N1096" i="7"/>
  <c r="N1097" i="7"/>
  <c r="N1098" i="7"/>
  <c r="N1094" i="7"/>
  <c r="N1093" i="7"/>
  <c r="E1707" i="12"/>
  <c r="D1763" i="12"/>
  <c r="H1103" i="7"/>
  <c r="K129" i="7" s="1"/>
  <c r="L438" i="12" s="1"/>
  <c r="G1487" i="12"/>
  <c r="E64" i="19"/>
  <c r="F1487" i="12" s="1"/>
  <c r="G207" i="7"/>
  <c r="F275" i="7" s="1"/>
  <c r="H438" i="12"/>
  <c r="I454" i="8"/>
  <c r="I457" i="8" s="1"/>
  <c r="G1681" i="12"/>
  <c r="F1679" i="12"/>
  <c r="D1831" i="12"/>
  <c r="B244" i="13"/>
  <c r="B287" i="13" s="1"/>
  <c r="B1241" i="13" s="1"/>
  <c r="B3063" i="16"/>
  <c r="B3064" i="16" s="1"/>
  <c r="B2157" i="12"/>
  <c r="M453" i="8"/>
  <c r="M454" i="8" s="1"/>
  <c r="M457" i="8" s="1"/>
  <c r="M512" i="8" s="1"/>
  <c r="J453" i="8"/>
  <c r="J516" i="8" s="1"/>
  <c r="K453" i="8"/>
  <c r="K516" i="8" s="1"/>
  <c r="L454" i="8"/>
  <c r="L457" i="8" s="1"/>
  <c r="G1678" i="12"/>
  <c r="G438" i="12"/>
  <c r="F207" i="7"/>
  <c r="G275" i="7" s="1"/>
  <c r="F1681" i="12"/>
  <c r="G1679" i="12"/>
  <c r="G319" i="12"/>
  <c r="J319" i="12"/>
  <c r="B1875" i="12"/>
  <c r="B2024" i="12" s="1"/>
  <c r="B1872" i="12"/>
  <c r="G1872" i="12" s="1"/>
  <c r="B319" i="12"/>
  <c r="M317" i="12" s="1"/>
  <c r="C319" i="12"/>
  <c r="F319" i="12"/>
  <c r="I319" i="12"/>
  <c r="E319" i="12"/>
  <c r="O307" i="12"/>
  <c r="A310" i="12" s="1"/>
  <c r="H319" i="12"/>
  <c r="D319" i="12"/>
  <c r="B1210" i="16"/>
  <c r="B1070" i="16" s="1"/>
  <c r="B839" i="16"/>
  <c r="B854" i="16" s="1"/>
  <c r="B1170" i="16"/>
  <c r="A316" i="12"/>
  <c r="J764" i="9"/>
  <c r="J765" i="9" s="1"/>
  <c r="J766" i="9" s="1"/>
  <c r="J768" i="9" s="1"/>
  <c r="B118" i="15"/>
  <c r="B117" i="15" s="1"/>
  <c r="B797" i="15"/>
  <c r="B796" i="15" s="1"/>
  <c r="B1038" i="15"/>
  <c r="B1041" i="15" s="1"/>
  <c r="B590" i="19"/>
  <c r="B597" i="19" s="1"/>
  <c r="B1921" i="12"/>
  <c r="C1255" i="12"/>
  <c r="B1882" i="12"/>
  <c r="B2031" i="12" s="1"/>
  <c r="B2126" i="12" s="1"/>
  <c r="B1877" i="12"/>
  <c r="L741" i="9"/>
  <c r="L744" i="9" s="1"/>
  <c r="L745" i="9" s="1"/>
  <c r="B455" i="14"/>
  <c r="B463" i="14" s="1"/>
  <c r="B464" i="14" s="1"/>
  <c r="B465" i="14" s="1"/>
  <c r="B538" i="14" s="1"/>
  <c r="H84" i="14" s="1"/>
  <c r="H1464" i="12" s="1"/>
  <c r="B1261" i="12"/>
  <c r="K370" i="8"/>
  <c r="G365" i="8"/>
  <c r="I365" i="8"/>
  <c r="K365" i="8"/>
  <c r="J370" i="8"/>
  <c r="J365" i="8"/>
  <c r="H365" i="8"/>
  <c r="I370" i="8"/>
  <c r="G370" i="8"/>
  <c r="H370" i="8"/>
  <c r="H1495" i="12"/>
  <c r="B2148" i="12"/>
  <c r="B1919" i="12"/>
  <c r="C58" i="19"/>
  <c r="C1481" i="12" s="1"/>
  <c r="B1481" i="12"/>
  <c r="C67" i="19"/>
  <c r="C1490" i="12" s="1"/>
  <c r="B1490" i="12"/>
  <c r="M483" i="8"/>
  <c r="L764" i="9"/>
  <c r="L765" i="9" s="1"/>
  <c r="L767" i="9" s="1"/>
  <c r="B355" i="14"/>
  <c r="B524" i="14" s="1"/>
  <c r="B76" i="14" s="1"/>
  <c r="B1456" i="12" s="1"/>
  <c r="I719" i="9"/>
  <c r="I721" i="9" s="1"/>
  <c r="B239" i="14"/>
  <c r="B2561" i="14" s="1"/>
  <c r="B359" i="14"/>
  <c r="B1046" i="15"/>
  <c r="B1048" i="15" s="1"/>
  <c r="H719" i="9"/>
  <c r="H721" i="9" s="1"/>
  <c r="B174" i="14"/>
  <c r="B356" i="14" s="1"/>
  <c r="B526" i="14" s="1"/>
  <c r="B499" i="14"/>
  <c r="B85" i="14" s="1"/>
  <c r="B1465" i="12" s="1"/>
  <c r="K719" i="9"/>
  <c r="K721" i="9" s="1"/>
  <c r="K722" i="9" s="1"/>
  <c r="B761" i="16"/>
  <c r="B522" i="16" s="1"/>
  <c r="B725" i="16"/>
  <c r="B1554" i="12"/>
  <c r="B1555" i="12" s="1"/>
  <c r="B1443" i="16"/>
  <c r="B2780" i="16"/>
  <c r="B2781" i="16" s="1"/>
  <c r="B2799" i="16" s="1"/>
  <c r="B1795" i="19"/>
  <c r="B66" i="19" s="1"/>
  <c r="B1780" i="19"/>
  <c r="B1812" i="19"/>
  <c r="E721" i="19"/>
  <c r="E720" i="19" s="1"/>
  <c r="B56" i="19"/>
  <c r="E2209" i="19"/>
  <c r="B1260" i="16"/>
  <c r="I718" i="9"/>
  <c r="B3087" i="16"/>
  <c r="B2949" i="16" s="1"/>
  <c r="B2217" i="19"/>
  <c r="B1003" i="19"/>
  <c r="B1005" i="19" s="1"/>
  <c r="B1013" i="19"/>
  <c r="B1421" i="19"/>
  <c r="B684" i="19"/>
  <c r="B685" i="19" s="1"/>
  <c r="B686" i="19" s="1"/>
  <c r="B474" i="19"/>
  <c r="B763" i="19"/>
  <c r="B792" i="19" s="1"/>
  <c r="B1521" i="19"/>
  <c r="B1584" i="19"/>
  <c r="B611" i="19"/>
  <c r="B626" i="19"/>
  <c r="B678" i="19"/>
  <c r="B2218" i="19"/>
  <c r="B516" i="19"/>
  <c r="B515" i="19" s="1"/>
  <c r="B522" i="19"/>
  <c r="B523" i="19" s="1"/>
  <c r="B747" i="19"/>
  <c r="B376" i="19"/>
  <c r="I492" i="19"/>
  <c r="B638" i="19"/>
  <c r="B723" i="19" s="1"/>
  <c r="B2211" i="19" s="1"/>
  <c r="B295" i="19" s="1"/>
  <c r="B1497" i="19"/>
  <c r="B1557" i="19" s="1"/>
  <c r="B1634" i="19"/>
  <c r="B1731" i="19"/>
  <c r="B1461" i="19"/>
  <c r="B1482" i="19"/>
  <c r="B1654" i="19"/>
  <c r="B1673" i="19"/>
  <c r="B933" i="19"/>
  <c r="B870" i="19"/>
  <c r="B884" i="19" s="1"/>
  <c r="B57" i="14"/>
  <c r="B1437" i="12" s="1"/>
  <c r="B58" i="14"/>
  <c r="B1438" i="12" s="1"/>
  <c r="B440" i="19"/>
  <c r="B466" i="19" s="1"/>
  <c r="B565" i="19"/>
  <c r="B567" i="19" s="1"/>
  <c r="B569" i="19" s="1"/>
  <c r="B570" i="19" s="1"/>
  <c r="B1427" i="19"/>
  <c r="B1418" i="19"/>
  <c r="B618" i="19"/>
  <c r="B810" i="19"/>
  <c r="B1412" i="19"/>
  <c r="B1460" i="19" s="1"/>
  <c r="B950" i="19"/>
  <c r="B893" i="19"/>
  <c r="B1483" i="19"/>
  <c r="B1674" i="19"/>
  <c r="B951" i="19"/>
  <c r="B894" i="19"/>
  <c r="B2016" i="19"/>
  <c r="B1067" i="19"/>
  <c r="B1410" i="19"/>
  <c r="B1717" i="19" s="1"/>
  <c r="B784" i="19"/>
  <c r="B1390" i="19" s="1"/>
  <c r="B1429" i="19"/>
  <c r="B786" i="19"/>
  <c r="B1392" i="19" s="1"/>
  <c r="B1158" i="19"/>
  <c r="B1405" i="19"/>
  <c r="B359" i="19"/>
  <c r="B362" i="19"/>
  <c r="B369" i="19" s="1"/>
  <c r="B371" i="19"/>
  <c r="B375" i="19"/>
  <c r="B401" i="19"/>
  <c r="B400" i="19" s="1"/>
  <c r="B399" i="19" s="1"/>
  <c r="B443" i="19"/>
  <c r="B447" i="19" s="1"/>
  <c r="B470" i="19"/>
  <c r="B478" i="19"/>
  <c r="B477" i="19" s="1"/>
  <c r="B482" i="19" s="1"/>
  <c r="B487" i="19"/>
  <c r="B735" i="19"/>
  <c r="B389" i="19"/>
  <c r="B396" i="19" s="1"/>
  <c r="B425" i="19" s="1"/>
  <c r="B420" i="19"/>
  <c r="D74" i="19" s="1"/>
  <c r="D1497" i="12" s="1"/>
  <c r="B431" i="19"/>
  <c r="B450" i="19"/>
  <c r="B2021" i="19"/>
  <c r="B2024" i="19"/>
  <c r="B585" i="19"/>
  <c r="D2208" i="19"/>
  <c r="F2208" i="19"/>
  <c r="C2208" i="19"/>
  <c r="B1405" i="13"/>
  <c r="B984" i="16"/>
  <c r="B908" i="16"/>
  <c r="K672" i="9"/>
  <c r="K673" i="9" s="1"/>
  <c r="K674" i="9" s="1"/>
  <c r="J656" i="9"/>
  <c r="B947" i="16"/>
  <c r="B963" i="16" s="1"/>
  <c r="B977" i="16" s="1"/>
  <c r="B1079" i="16"/>
  <c r="B1155" i="16"/>
  <c r="C1831" i="12"/>
  <c r="C1832" i="12" s="1"/>
  <c r="B1831" i="12"/>
  <c r="B1832" i="12" s="1"/>
  <c r="G1822" i="12"/>
  <c r="G1821" i="12"/>
  <c r="G1818" i="12"/>
  <c r="G1820" i="12"/>
  <c r="G1819" i="12"/>
  <c r="L672" i="9"/>
  <c r="L673" i="9" s="1"/>
  <c r="L221" i="9" s="1"/>
  <c r="K419" i="8"/>
  <c r="K421" i="8" s="1"/>
  <c r="K656" i="9"/>
  <c r="H220" i="9"/>
  <c r="B371" i="9" s="1"/>
  <c r="L721" i="9"/>
  <c r="B2163" i="13"/>
  <c r="B2164" i="13" s="1"/>
  <c r="I220" i="9"/>
  <c r="I543" i="8"/>
  <c r="G202" i="8" s="1"/>
  <c r="B180" i="8" s="1"/>
  <c r="L512" i="8"/>
  <c r="L514" i="8" s="1"/>
  <c r="L518" i="8" s="1"/>
  <c r="I672" i="9"/>
  <c r="I673" i="9" s="1"/>
  <c r="I674" i="9" s="1"/>
  <c r="H788" i="9"/>
  <c r="H228" i="9" s="1"/>
  <c r="B379" i="9" s="1"/>
  <c r="K543" i="8"/>
  <c r="I202" i="8" s="1"/>
  <c r="H672" i="9"/>
  <c r="H673" i="9" s="1"/>
  <c r="H674" i="9" s="1"/>
  <c r="B670" i="13"/>
  <c r="B1111" i="13" s="1"/>
  <c r="B1099" i="13"/>
  <c r="B826" i="13"/>
  <c r="B363" i="13"/>
  <c r="L419" i="8"/>
  <c r="L421" i="8" s="1"/>
  <c r="C584" i="9"/>
  <c r="I765" i="9"/>
  <c r="I767" i="9" s="1"/>
  <c r="B307" i="15"/>
  <c r="E88" i="8"/>
  <c r="E89" i="8" s="1"/>
  <c r="I419" i="8"/>
  <c r="I421" i="8" s="1"/>
  <c r="B1445" i="16"/>
  <c r="B1444" i="16"/>
  <c r="A622" i="16"/>
  <c r="B774" i="16"/>
  <c r="B1030" i="16"/>
  <c r="C586" i="9"/>
  <c r="J419" i="8"/>
  <c r="J422" i="8" s="1"/>
  <c r="D88" i="8"/>
  <c r="D89" i="8" s="1"/>
  <c r="G88" i="8"/>
  <c r="G89" i="8" s="1"/>
  <c r="F88" i="8"/>
  <c r="F89" i="8" s="1"/>
  <c r="I463" i="8"/>
  <c r="H360" i="8"/>
  <c r="I360" i="8"/>
  <c r="K360" i="8"/>
  <c r="J360" i="8"/>
  <c r="G360" i="8"/>
  <c r="B94" i="15"/>
  <c r="B100" i="15" s="1"/>
  <c r="B106" i="15" s="1"/>
  <c r="B685" i="15"/>
  <c r="M419" i="8"/>
  <c r="H741" i="9"/>
  <c r="H744" i="9" s="1"/>
  <c r="H745" i="9" s="1"/>
  <c r="B2628" i="14"/>
  <c r="B2463" i="14"/>
  <c r="B2477" i="14" s="1"/>
  <c r="B2948" i="14"/>
  <c r="B3088" i="14"/>
  <c r="J672" i="9"/>
  <c r="J673" i="9" s="1"/>
  <c r="J221" i="9" s="1"/>
  <c r="B2925" i="14"/>
  <c r="B2939" i="14" s="1"/>
  <c r="B3071" i="14"/>
  <c r="B2709" i="14"/>
  <c r="B3150" i="14" s="1"/>
  <c r="B2727" i="14"/>
  <c r="B3168" i="14" s="1"/>
  <c r="B3138" i="14"/>
  <c r="B2486" i="14"/>
  <c r="B2645" i="14"/>
  <c r="D1747" i="12"/>
  <c r="J888" i="9"/>
  <c r="E584" i="9"/>
  <c r="H834" i="9"/>
  <c r="B2203" i="13"/>
  <c r="B2204" i="13" s="1"/>
  <c r="B2211" i="13" s="1"/>
  <c r="L656" i="9"/>
  <c r="B860" i="15"/>
  <c r="B870" i="15" s="1"/>
  <c r="B884" i="15" s="1"/>
  <c r="E585" i="9"/>
  <c r="K888" i="9"/>
  <c r="B175" i="15"/>
  <c r="B181" i="15" s="1"/>
  <c r="J723" i="9"/>
  <c r="J730" i="9" s="1"/>
  <c r="B3056" i="14"/>
  <c r="B3057" i="14" s="1"/>
  <c r="B3464" i="14" s="1"/>
  <c r="B67" i="14"/>
  <c r="B1447" i="12" s="1"/>
  <c r="AM2154" i="13"/>
  <c r="K635" i="9"/>
  <c r="K636" i="9" s="1"/>
  <c r="K638" i="9" s="1"/>
  <c r="K643" i="9" s="1"/>
  <c r="B364" i="13"/>
  <c r="B1083" i="13"/>
  <c r="B863" i="13"/>
  <c r="B922" i="13" s="1"/>
  <c r="B384" i="13"/>
  <c r="B399" i="13"/>
  <c r="B458" i="13" s="1"/>
  <c r="B498" i="13"/>
  <c r="B962" i="13"/>
  <c r="B640" i="13"/>
  <c r="B827" i="13"/>
  <c r="B655" i="13"/>
  <c r="B848" i="13"/>
  <c r="K339" i="10"/>
  <c r="B709" i="15"/>
  <c r="B712" i="15" s="1"/>
  <c r="B697" i="15"/>
  <c r="B316" i="15"/>
  <c r="B302" i="15"/>
  <c r="J339" i="10"/>
  <c r="B3428" i="16"/>
  <c r="I339" i="10"/>
  <c r="M339" i="10"/>
  <c r="L339" i="10"/>
  <c r="L718" i="9"/>
  <c r="I512" i="8"/>
  <c r="I514" i="8" s="1"/>
  <c r="I518" i="8" s="1"/>
  <c r="H718" i="9"/>
  <c r="J722" i="9"/>
  <c r="B1108" i="16"/>
  <c r="B1106" i="16"/>
  <c r="K200" i="8"/>
  <c r="M543" i="8"/>
  <c r="K202" i="8" s="1"/>
  <c r="J635" i="9"/>
  <c r="J636" i="9" s="1"/>
  <c r="J638" i="9" s="1"/>
  <c r="J643" i="9" s="1"/>
  <c r="J219" i="9" s="1"/>
  <c r="E586" i="9"/>
  <c r="G585" i="9"/>
  <c r="B523" i="15"/>
  <c r="B522" i="15" s="1"/>
  <c r="G586" i="9"/>
  <c r="K766" i="9"/>
  <c r="K768" i="9" s="1"/>
  <c r="K767" i="9"/>
  <c r="B3195" i="16"/>
  <c r="B3198" i="16" s="1"/>
  <c r="B3210" i="16" s="1"/>
  <c r="B3156" i="16"/>
  <c r="M441" i="8"/>
  <c r="M444" i="8" s="1"/>
  <c r="M445" i="8" s="1"/>
  <c r="M515" i="8" s="1"/>
  <c r="B2767" i="14"/>
  <c r="B2768" i="14" s="1"/>
  <c r="B2771" i="14" s="1"/>
  <c r="B2693" i="14"/>
  <c r="B3348" i="14"/>
  <c r="B2440" i="14"/>
  <c r="B2439" i="14" s="1"/>
  <c r="B2523" i="14"/>
  <c r="B2522" i="14" s="1"/>
  <c r="D229" i="14" s="1"/>
  <c r="D60" i="14" s="1"/>
  <c r="D1440" i="12" s="1"/>
  <c r="B2376" i="14"/>
  <c r="B2383" i="14" s="1"/>
  <c r="B3122" i="14"/>
  <c r="B3121" i="14" s="1"/>
  <c r="B3119" i="14" s="1"/>
  <c r="B2902" i="14"/>
  <c r="B2985" i="14"/>
  <c r="B2984" i="14" s="1"/>
  <c r="D225" i="14" s="1"/>
  <c r="B2860" i="14"/>
  <c r="B2983" i="14"/>
  <c r="B3198" i="14"/>
  <c r="B3199" i="14" s="1"/>
  <c r="B3202" i="14" s="1"/>
  <c r="B2521" i="14"/>
  <c r="B2572" i="14"/>
  <c r="B2571" i="14" s="1"/>
  <c r="B2539" i="14"/>
  <c r="B2901" i="14"/>
  <c r="B2990" i="14"/>
  <c r="B2989" i="14" s="1"/>
  <c r="B3251" i="14"/>
  <c r="B3253" i="14" s="1"/>
  <c r="B3024" i="14"/>
  <c r="B3023" i="14" s="1"/>
  <c r="B3001" i="14"/>
  <c r="B2822" i="14"/>
  <c r="B2824" i="14" s="1"/>
  <c r="B2679" i="14"/>
  <c r="B2678" i="14" s="1"/>
  <c r="B2676" i="14" s="1"/>
  <c r="B2570" i="14"/>
  <c r="B2998" i="14"/>
  <c r="B2580" i="14"/>
  <c r="B2581" i="14" s="1"/>
  <c r="B3032" i="14"/>
  <c r="B3033" i="14" s="1"/>
  <c r="B2536" i="14"/>
  <c r="B3022" i="14"/>
  <c r="B2528" i="14"/>
  <c r="B2527" i="14" s="1"/>
  <c r="B2399" i="14"/>
  <c r="J441" i="8"/>
  <c r="J444" i="8" s="1"/>
  <c r="J445" i="8" s="1"/>
  <c r="J515" i="8" s="1"/>
  <c r="L807" i="9"/>
  <c r="L808" i="9" s="1"/>
  <c r="L812" i="9"/>
  <c r="L815" i="9" s="1"/>
  <c r="L834" i="9"/>
  <c r="H676" i="9"/>
  <c r="B575" i="9"/>
  <c r="D584" i="9" s="1"/>
  <c r="L441" i="8"/>
  <c r="L444" i="8" s="1"/>
  <c r="L445" i="8" s="1"/>
  <c r="L515" i="8" s="1"/>
  <c r="B2870" i="16"/>
  <c r="B2868" i="16"/>
  <c r="B2866" i="16"/>
  <c r="B2863" i="16"/>
  <c r="B2816" i="16"/>
  <c r="B2820" i="16" s="1"/>
  <c r="B1460" i="16"/>
  <c r="B2784" i="16"/>
  <c r="B2788" i="16" s="1"/>
  <c r="B2867" i="16"/>
  <c r="B2830" i="16"/>
  <c r="B2834" i="16" s="1"/>
  <c r="B2782" i="16"/>
  <c r="B2752" i="16"/>
  <c r="B604" i="16"/>
  <c r="B2862" i="16"/>
  <c r="B2850" i="16" s="1"/>
  <c r="B2898" i="16" s="1"/>
  <c r="B2865" i="16"/>
  <c r="B2869" i="16"/>
  <c r="B2802" i="16"/>
  <c r="B2806" i="16" s="1"/>
  <c r="B2540" i="16"/>
  <c r="B1656" i="16"/>
  <c r="B2859" i="16"/>
  <c r="B2847" i="16" s="1"/>
  <c r="B2861" i="16"/>
  <c r="B2849" i="16" s="1"/>
  <c r="B1633" i="16"/>
  <c r="B2858" i="16"/>
  <c r="B2860" i="16"/>
  <c r="B2848" i="16" s="1"/>
  <c r="B1472" i="16"/>
  <c r="B2390" i="16"/>
  <c r="B2377" i="16"/>
  <c r="B2373" i="16"/>
  <c r="B2369" i="16"/>
  <c r="B2365" i="16"/>
  <c r="B2361" i="16"/>
  <c r="B2357" i="16"/>
  <c r="B2353" i="16"/>
  <c r="B2349" i="16"/>
  <c r="B2345" i="16"/>
  <c r="B2337" i="16"/>
  <c r="B2329" i="16"/>
  <c r="B2325" i="16"/>
  <c r="B2321" i="16"/>
  <c r="B2317" i="16"/>
  <c r="B2313" i="16"/>
  <c r="B2309" i="16"/>
  <c r="B2303" i="16"/>
  <c r="B2299" i="16"/>
  <c r="B2295" i="16"/>
  <c r="B2291" i="16"/>
  <c r="B2287" i="16"/>
  <c r="B2269" i="16"/>
  <c r="B2259" i="16"/>
  <c r="B2255" i="16"/>
  <c r="B2251" i="16"/>
  <c r="B2247" i="16"/>
  <c r="B2243" i="16"/>
  <c r="B2239" i="16"/>
  <c r="B2235" i="16"/>
  <c r="B2231" i="16"/>
  <c r="B2227" i="16"/>
  <c r="B2219" i="16"/>
  <c r="B2211" i="16"/>
  <c r="B2207" i="16"/>
  <c r="B2203" i="16"/>
  <c r="B2199" i="16"/>
  <c r="B2195" i="16"/>
  <c r="B2191" i="16"/>
  <c r="B2185" i="16"/>
  <c r="B2181" i="16"/>
  <c r="B2177" i="16"/>
  <c r="B2173" i="16"/>
  <c r="B2169" i="16"/>
  <c r="B2139" i="16"/>
  <c r="B2131" i="16"/>
  <c r="B2123" i="16"/>
  <c r="B2095" i="16"/>
  <c r="B2087" i="16"/>
  <c r="B2079" i="16"/>
  <c r="B2067" i="16"/>
  <c r="B2059" i="16"/>
  <c r="B2394" i="16"/>
  <c r="B2378" i="16"/>
  <c r="B2374" i="16"/>
  <c r="B2370" i="16"/>
  <c r="B2366" i="16"/>
  <c r="B2362" i="16"/>
  <c r="B2358" i="16"/>
  <c r="B2354" i="16"/>
  <c r="B2350" i="16"/>
  <c r="B2344" i="16"/>
  <c r="B2336" i="16"/>
  <c r="B2328" i="16"/>
  <c r="B2324" i="16"/>
  <c r="B2320" i="16"/>
  <c r="B2316" i="16"/>
  <c r="B2312" i="16"/>
  <c r="B2308" i="16"/>
  <c r="B2302" i="16"/>
  <c r="B2298" i="16"/>
  <c r="B2294" i="16"/>
  <c r="B2290" i="16"/>
  <c r="B2286" i="16"/>
  <c r="B2265" i="16"/>
  <c r="B2258" i="16"/>
  <c r="B2254" i="16"/>
  <c r="B2250" i="16"/>
  <c r="B2246" i="16"/>
  <c r="B2242" i="16"/>
  <c r="B2238" i="16"/>
  <c r="B2234" i="16"/>
  <c r="B2230" i="16"/>
  <c r="B2224" i="16"/>
  <c r="B2216" i="16"/>
  <c r="B2210" i="16"/>
  <c r="B2206" i="16"/>
  <c r="B2202" i="16"/>
  <c r="B2198" i="16"/>
  <c r="B2194" i="16"/>
  <c r="B2188" i="16"/>
  <c r="B2184" i="16"/>
  <c r="B2180" i="16"/>
  <c r="B2176" i="16"/>
  <c r="B2172" i="16"/>
  <c r="B2100" i="16"/>
  <c r="B1983" i="16"/>
  <c r="B1867" i="16"/>
  <c r="B1751" i="16"/>
  <c r="B1672" i="16"/>
  <c r="B1664" i="16"/>
  <c r="B1652" i="16"/>
  <c r="B1616" i="16"/>
  <c r="B1600" i="16"/>
  <c r="B1592" i="16"/>
  <c r="B1521" i="16"/>
  <c r="B2104" i="16"/>
  <c r="B2022" i="16"/>
  <c r="B2014" i="16"/>
  <c r="B2006" i="16"/>
  <c r="B1978" i="16"/>
  <c r="B1970" i="16"/>
  <c r="B1962" i="16"/>
  <c r="B1950" i="16"/>
  <c r="B1942" i="16"/>
  <c r="B1910" i="16"/>
  <c r="B1902" i="16"/>
  <c r="B1894" i="16"/>
  <c r="B1886" i="16"/>
  <c r="B1858" i="16"/>
  <c r="B1850" i="16"/>
  <c r="B1838" i="16"/>
  <c r="B1830" i="16"/>
  <c r="B1822" i="16"/>
  <c r="B1790" i="16"/>
  <c r="B1782" i="16"/>
  <c r="B1774" i="16"/>
  <c r="B1746" i="16"/>
  <c r="B1738" i="16"/>
  <c r="B1730" i="16"/>
  <c r="B1718" i="16"/>
  <c r="B1710" i="16"/>
  <c r="B1628" i="16"/>
  <c r="B1620" i="16"/>
  <c r="B1556" i="16"/>
  <c r="B1548" i="16"/>
  <c r="B1540" i="16"/>
  <c r="B1512" i="16"/>
  <c r="B1504" i="16"/>
  <c r="B1496" i="16"/>
  <c r="B1484" i="16"/>
  <c r="B1476" i="16"/>
  <c r="B1612" i="16"/>
  <c r="B2382" i="16"/>
  <c r="B2375" i="16"/>
  <c r="B2371" i="16"/>
  <c r="B2367" i="16"/>
  <c r="B2363" i="16"/>
  <c r="B2359" i="16"/>
  <c r="B2355" i="16"/>
  <c r="B2351" i="16"/>
  <c r="B2347" i="16"/>
  <c r="B2341" i="16"/>
  <c r="B2333" i="16"/>
  <c r="B2327" i="16"/>
  <c r="B2323" i="16"/>
  <c r="B2319" i="16"/>
  <c r="B2315" i="16"/>
  <c r="B2311" i="16"/>
  <c r="B2305" i="16"/>
  <c r="B2301" i="16"/>
  <c r="B2297" i="16"/>
  <c r="B2293" i="16"/>
  <c r="B2289" i="16"/>
  <c r="B2277" i="16"/>
  <c r="B2261" i="16"/>
  <c r="B2257" i="16"/>
  <c r="B2253" i="16"/>
  <c r="B2249" i="16"/>
  <c r="B2245" i="16"/>
  <c r="B2241" i="16"/>
  <c r="B2237" i="16"/>
  <c r="B2233" i="16"/>
  <c r="B2229" i="16"/>
  <c r="B2223" i="16"/>
  <c r="B2215" i="16"/>
  <c r="B2209" i="16"/>
  <c r="B2205" i="16"/>
  <c r="B2201" i="16"/>
  <c r="B2197" i="16"/>
  <c r="B2193" i="16"/>
  <c r="B2187" i="16"/>
  <c r="B2183" i="16"/>
  <c r="B2179" i="16"/>
  <c r="B2175" i="16"/>
  <c r="B2171" i="16"/>
  <c r="B2143" i="16"/>
  <c r="B2135" i="16"/>
  <c r="B2127" i="16"/>
  <c r="B2119" i="16"/>
  <c r="B2091" i="16"/>
  <c r="B2083" i="16"/>
  <c r="B2071" i="16"/>
  <c r="B2063" i="16"/>
  <c r="B2055" i="16"/>
  <c r="B2386" i="16"/>
  <c r="B2376" i="16"/>
  <c r="B2372" i="16"/>
  <c r="B2368" i="16"/>
  <c r="B2364" i="16"/>
  <c r="B2360" i="16"/>
  <c r="B2356" i="16"/>
  <c r="B2352" i="16"/>
  <c r="B2346" i="16"/>
  <c r="B2340" i="16"/>
  <c r="B2332" i="16"/>
  <c r="B2326" i="16"/>
  <c r="B2322" i="16"/>
  <c r="B2318" i="16"/>
  <c r="B2314" i="16"/>
  <c r="B2310" i="16"/>
  <c r="B2304" i="16"/>
  <c r="B2300" i="16"/>
  <c r="B2296" i="16"/>
  <c r="B2292" i="16"/>
  <c r="B2288" i="16"/>
  <c r="B2273" i="16"/>
  <c r="B2260" i="16"/>
  <c r="B2256" i="16"/>
  <c r="B2252" i="16"/>
  <c r="B2248" i="16"/>
  <c r="B2244" i="16"/>
  <c r="B2240" i="16"/>
  <c r="B2236" i="16"/>
  <c r="B2232" i="16"/>
  <c r="B2228" i="16"/>
  <c r="B2220" i="16"/>
  <c r="B2212" i="16"/>
  <c r="B2208" i="16"/>
  <c r="B2204" i="16"/>
  <c r="B2200" i="16"/>
  <c r="B2196" i="16"/>
  <c r="B2192" i="16"/>
  <c r="B2186" i="16"/>
  <c r="B2182" i="16"/>
  <c r="B2178" i="16"/>
  <c r="B2174" i="16"/>
  <c r="B2170" i="16"/>
  <c r="B1987" i="16"/>
  <c r="B1871" i="16"/>
  <c r="B1755" i="16"/>
  <c r="B1676" i="16"/>
  <c r="B1668" i="16"/>
  <c r="B1660" i="16"/>
  <c r="B1637" i="16"/>
  <c r="B1604" i="16"/>
  <c r="B1596" i="16"/>
  <c r="B1588" i="16"/>
  <c r="B1517" i="16"/>
  <c r="B2026" i="16"/>
  <c r="B2018" i="16"/>
  <c r="B2010" i="16"/>
  <c r="B2002" i="16"/>
  <c r="B1974" i="16"/>
  <c r="B1966" i="16"/>
  <c r="B1954" i="16"/>
  <c r="B1946" i="16"/>
  <c r="B1938" i="16"/>
  <c r="B1906" i="16"/>
  <c r="B1898" i="16"/>
  <c r="B1890" i="16"/>
  <c r="B1862" i="16"/>
  <c r="B1854" i="16"/>
  <c r="B1846" i="16"/>
  <c r="B1834" i="16"/>
  <c r="B1826" i="16"/>
  <c r="B1794" i="16"/>
  <c r="B1786" i="16"/>
  <c r="B1778" i="16"/>
  <c r="B1770" i="16"/>
  <c r="B1742" i="16"/>
  <c r="B1734" i="16"/>
  <c r="B1722" i="16"/>
  <c r="B1714" i="16"/>
  <c r="B1706" i="16"/>
  <c r="B1624" i="16"/>
  <c r="B1560" i="16"/>
  <c r="B1552" i="16"/>
  <c r="B1544" i="16"/>
  <c r="B1536" i="16"/>
  <c r="B1508" i="16"/>
  <c r="B1500" i="16"/>
  <c r="B1488" i="16"/>
  <c r="B1480" i="16"/>
  <c r="B71" i="14"/>
  <c r="B1451" i="12" s="1"/>
  <c r="B3257" i="14"/>
  <c r="B3259" i="14" s="1"/>
  <c r="B180" i="15"/>
  <c r="B167" i="15" s="1"/>
  <c r="B186" i="15"/>
  <c r="B190" i="15" s="1"/>
  <c r="B1067" i="15"/>
  <c r="B1028" i="15"/>
  <c r="B1029" i="15" s="1"/>
  <c r="B116" i="15"/>
  <c r="B124" i="15" s="1"/>
  <c r="B129" i="15" s="1"/>
  <c r="B807" i="15"/>
  <c r="B793" i="15"/>
  <c r="B789" i="15"/>
  <c r="B790" i="15"/>
  <c r="B587" i="15"/>
  <c r="B596" i="15" s="1"/>
  <c r="B603" i="15"/>
  <c r="B606" i="15"/>
  <c r="B605" i="15" s="1"/>
  <c r="B608" i="15" s="1"/>
  <c r="B614" i="15" s="1"/>
  <c r="B338" i="15"/>
  <c r="B305" i="15"/>
  <c r="B385" i="15"/>
  <c r="B300" i="15"/>
  <c r="B301" i="15"/>
  <c r="B319" i="15"/>
  <c r="B321" i="15" s="1"/>
  <c r="B1308" i="13"/>
  <c r="B727" i="13"/>
  <c r="B653" i="13"/>
  <c r="B481" i="13"/>
  <c r="B480" i="13" s="1"/>
  <c r="B820" i="13"/>
  <c r="B950" i="13"/>
  <c r="B949" i="13" s="1"/>
  <c r="B479" i="13"/>
  <c r="B278" i="13" s="1"/>
  <c r="B84" i="13" s="1"/>
  <c r="B943" i="13"/>
  <c r="B274" i="13" s="1"/>
  <c r="B93" i="13" s="1"/>
  <c r="B707" i="13"/>
  <c r="B80" i="13" s="1"/>
  <c r="B497" i="13"/>
  <c r="B992" i="13"/>
  <c r="B993" i="13" s="1"/>
  <c r="B530" i="13"/>
  <c r="B529" i="13" s="1"/>
  <c r="B1217" i="13"/>
  <c r="B1219" i="13" s="1"/>
  <c r="B538" i="13"/>
  <c r="B539" i="13" s="1"/>
  <c r="B958" i="13"/>
  <c r="B273" i="13" s="1"/>
  <c r="B984" i="13"/>
  <c r="B983" i="13" s="1"/>
  <c r="B334" i="13"/>
  <c r="B341" i="13" s="1"/>
  <c r="B357" i="13"/>
  <c r="B1158" i="13"/>
  <c r="B398" i="13"/>
  <c r="B397" i="13" s="1"/>
  <c r="B1082" i="13"/>
  <c r="B1081" i="13" s="1"/>
  <c r="B945" i="13"/>
  <c r="B944" i="13" s="1"/>
  <c r="B862" i="13"/>
  <c r="B861" i="13" s="1"/>
  <c r="B486" i="13"/>
  <c r="B485" i="13" s="1"/>
  <c r="B961" i="13"/>
  <c r="B982" i="13"/>
  <c r="B272" i="13" s="1"/>
  <c r="B494" i="13"/>
  <c r="B277" i="13" s="1"/>
  <c r="B639" i="13"/>
  <c r="B1211" i="13"/>
  <c r="B1213" i="13" s="1"/>
  <c r="B638" i="13"/>
  <c r="B782" i="13"/>
  <c r="B784" i="13" s="1"/>
  <c r="B528" i="13"/>
  <c r="B276" i="13" s="1"/>
  <c r="B788" i="13"/>
  <c r="B790" i="13" s="1"/>
  <c r="AK2154" i="13"/>
  <c r="B2139" i="13"/>
  <c r="B2138" i="13"/>
  <c r="B2224" i="13"/>
  <c r="B2225" i="13"/>
  <c r="B2222" i="13"/>
  <c r="B2223" i="13"/>
  <c r="B2226" i="13"/>
  <c r="K441" i="8"/>
  <c r="K444" i="8" s="1"/>
  <c r="K445" i="8" s="1"/>
  <c r="K515" i="8" s="1"/>
  <c r="I807" i="9"/>
  <c r="I808" i="9" s="1"/>
  <c r="I812" i="9"/>
  <c r="I815" i="9" s="1"/>
  <c r="I741" i="9"/>
  <c r="I744" i="9" s="1"/>
  <c r="I745" i="9" s="1"/>
  <c r="I441" i="8"/>
  <c r="I444" i="8" s="1"/>
  <c r="I445" i="8" s="1"/>
  <c r="I515" i="8" s="1"/>
  <c r="B288" i="15"/>
  <c r="B297" i="15" s="1"/>
  <c r="B327" i="15" s="1"/>
  <c r="B775" i="15"/>
  <c r="B784" i="15" s="1"/>
  <c r="H767" i="9"/>
  <c r="H766" i="9"/>
  <c r="H768" i="9" s="1"/>
  <c r="B1028" i="16"/>
  <c r="B2543" i="16"/>
  <c r="B726" i="16"/>
  <c r="B718" i="16"/>
  <c r="B2758" i="16"/>
  <c r="B377" i="14"/>
  <c r="B483" i="14"/>
  <c r="B484" i="14"/>
  <c r="B481" i="14"/>
  <c r="B482" i="14"/>
  <c r="B476" i="14" s="1"/>
  <c r="B1446" i="16"/>
  <c r="B2548" i="16"/>
  <c r="B2547" i="16"/>
  <c r="B2765" i="16"/>
  <c r="B2766" i="16"/>
  <c r="B2771" i="16" s="1"/>
  <c r="B2768" i="16"/>
  <c r="B2773" i="16" s="1"/>
  <c r="B2764" i="16"/>
  <c r="B2767" i="16"/>
  <c r="B2772" i="16" s="1"/>
  <c r="J807" i="9"/>
  <c r="J808" i="9" s="1"/>
  <c r="J812" i="9"/>
  <c r="J815" i="9" s="1"/>
  <c r="J834" i="9"/>
  <c r="L635" i="9"/>
  <c r="L636" i="9" s="1"/>
  <c r="L638" i="9" s="1"/>
  <c r="L643" i="9" s="1"/>
  <c r="H635" i="9"/>
  <c r="H636" i="9" s="1"/>
  <c r="H638" i="9" s="1"/>
  <c r="H643" i="9" s="1"/>
  <c r="H807" i="9"/>
  <c r="H808" i="9" s="1"/>
  <c r="H888" i="9"/>
  <c r="C585" i="9"/>
  <c r="F585" i="9"/>
  <c r="H812" i="9"/>
  <c r="H815" i="9" s="1"/>
  <c r="D585" i="9"/>
  <c r="B3434" i="16"/>
  <c r="B2702" i="14"/>
  <c r="B3137" i="14"/>
  <c r="B62" i="14"/>
  <c r="B1442" i="12" s="1"/>
  <c r="B2796" i="14"/>
  <c r="B2812" i="14" s="1"/>
  <c r="B3142" i="14"/>
  <c r="B3227" i="14" s="1"/>
  <c r="B2735" i="14"/>
  <c r="B3175" i="14" s="1"/>
  <c r="B2708" i="14"/>
  <c r="B2701" i="14"/>
  <c r="B2828" i="14"/>
  <c r="B2830" i="14" s="1"/>
  <c r="B2132" i="13"/>
  <c r="B2151" i="13" s="1"/>
  <c r="B2251" i="13" s="1"/>
  <c r="F100" i="13" s="1"/>
  <c r="B585" i="9"/>
  <c r="B131" i="15"/>
  <c r="B136" i="15"/>
  <c r="B137" i="15"/>
  <c r="B716" i="15"/>
  <c r="B717" i="15" s="1"/>
  <c r="B694" i="15"/>
  <c r="B702" i="15" s="1"/>
  <c r="B722" i="15" s="1"/>
  <c r="B696" i="15"/>
  <c r="B695" i="15" s="1"/>
  <c r="B714" i="15"/>
  <c r="B715" i="15" s="1"/>
  <c r="B533" i="15"/>
  <c r="B511" i="15"/>
  <c r="B512" i="15"/>
  <c r="B516" i="15"/>
  <c r="B521" i="15" s="1"/>
  <c r="B518" i="15" s="1"/>
  <c r="B520" i="15" s="1"/>
  <c r="B875" i="15"/>
  <c r="B891" i="15"/>
  <c r="B874" i="15"/>
  <c r="B872" i="15"/>
  <c r="B103" i="15"/>
  <c r="B104" i="15" s="1"/>
  <c r="B105" i="15" s="1"/>
  <c r="B221" i="15" s="1"/>
  <c r="B235" i="15"/>
  <c r="B236" i="15" s="1"/>
  <c r="B237" i="15" s="1"/>
  <c r="I834" i="9"/>
  <c r="I888" i="9"/>
  <c r="I635" i="9"/>
  <c r="I636" i="9" s="1"/>
  <c r="I638" i="9" s="1"/>
  <c r="I643" i="9" s="1"/>
  <c r="K807" i="9"/>
  <c r="K808" i="9" s="1"/>
  <c r="K812" i="9"/>
  <c r="K834" i="9"/>
  <c r="B498" i="15"/>
  <c r="B507" i="15" s="1"/>
  <c r="B1015" i="15"/>
  <c r="B1024" i="15" s="1"/>
  <c r="B1026" i="15" s="1"/>
  <c r="B1034" i="15" s="1"/>
  <c r="B2926" i="14"/>
  <c r="B3072" i="14"/>
  <c r="B2464" i="14"/>
  <c r="B2629" i="14"/>
  <c r="B3431" i="16"/>
  <c r="B3430" i="16"/>
  <c r="G584" i="9"/>
  <c r="L496" i="8"/>
  <c r="L498" i="8" s="1"/>
  <c r="J194" i="8" s="1"/>
  <c r="L497" i="8"/>
  <c r="J496" i="8"/>
  <c r="J498" i="8" s="1"/>
  <c r="H194" i="8" s="1"/>
  <c r="J497" i="8"/>
  <c r="K481" i="8"/>
  <c r="I481" i="8"/>
  <c r="C2280" i="12"/>
  <c r="A287" i="10"/>
  <c r="F586" i="9"/>
  <c r="B586" i="9"/>
  <c r="D586" i="9"/>
  <c r="I210" i="9"/>
  <c r="J210" i="9"/>
  <c r="K210" i="9"/>
  <c r="L210" i="9"/>
  <c r="H210" i="9"/>
  <c r="B257" i="9" s="1"/>
  <c r="G320" i="8"/>
  <c r="K299" i="8"/>
  <c r="K319" i="8"/>
  <c r="J299" i="8"/>
  <c r="J319" i="8"/>
  <c r="B82" i="13"/>
  <c r="A1852" i="12"/>
  <c r="A948" i="12"/>
  <c r="M496" i="8"/>
  <c r="M498" i="8" s="1"/>
  <c r="K194" i="8" s="1"/>
  <c r="M497" i="8"/>
  <c r="K496" i="8"/>
  <c r="K498" i="8" s="1"/>
  <c r="I194" i="8" s="1"/>
  <c r="K497" i="8"/>
  <c r="I496" i="8"/>
  <c r="I498" i="8" s="1"/>
  <c r="G194" i="8" s="1"/>
  <c r="B172" i="8" s="1"/>
  <c r="I497" i="8"/>
  <c r="I299" i="8"/>
  <c r="I319" i="8"/>
  <c r="H319" i="8"/>
  <c r="H299" i="8"/>
  <c r="L481" i="8"/>
  <c r="J481" i="8"/>
  <c r="K188" i="8"/>
  <c r="M484" i="8"/>
  <c r="B1279" i="13"/>
  <c r="B1280" i="13" s="1"/>
  <c r="B1294" i="13" s="1"/>
  <c r="B1302" i="13" s="1"/>
  <c r="B1344" i="13" s="1"/>
  <c r="B1265" i="13"/>
  <c r="B709" i="13"/>
  <c r="B708" i="13" s="1"/>
  <c r="B1261" i="13"/>
  <c r="B769" i="13"/>
  <c r="B1183" i="13"/>
  <c r="B1188" i="13" s="1"/>
  <c r="B1190" i="13" s="1"/>
  <c r="B1200" i="13"/>
  <c r="B1205" i="13" s="1"/>
  <c r="B1206" i="13" s="1"/>
  <c r="B796" i="13"/>
  <c r="G1831" i="12" l="1"/>
  <c r="G1832" i="12" s="1"/>
  <c r="F1832" i="12"/>
  <c r="F1833" i="12"/>
  <c r="F1834" i="12" s="1"/>
  <c r="D801" i="12"/>
  <c r="D813" i="12" s="1"/>
  <c r="B801" i="12"/>
  <c r="B813" i="12" s="1"/>
  <c r="I801" i="12"/>
  <c r="I813" i="12" s="1"/>
  <c r="J801" i="12"/>
  <c r="J813" i="12" s="1"/>
  <c r="E801" i="12"/>
  <c r="E813" i="12" s="1"/>
  <c r="F801" i="12"/>
  <c r="F813" i="12" s="1"/>
  <c r="C801" i="12"/>
  <c r="C813" i="12" s="1"/>
  <c r="G801" i="12"/>
  <c r="G813" i="12" s="1"/>
  <c r="E1701" i="12"/>
  <c r="F1701" i="12" s="1"/>
  <c r="G1701" i="12" s="1"/>
  <c r="X144" i="7"/>
  <c r="M516" i="8"/>
  <c r="X140" i="7"/>
  <c r="X164" i="7"/>
  <c r="AE164" i="7" s="1"/>
  <c r="O164" i="7" s="1"/>
  <c r="X141" i="7"/>
  <c r="X162" i="7"/>
  <c r="AE162" i="7" s="1"/>
  <c r="O162" i="7" s="1"/>
  <c r="X146" i="7"/>
  <c r="AC146" i="7" s="1"/>
  <c r="M146" i="7" s="1"/>
  <c r="X133" i="7"/>
  <c r="X137" i="7"/>
  <c r="AC137" i="7" s="1"/>
  <c r="M137" i="7" s="1"/>
  <c r="X181" i="7"/>
  <c r="X174" i="7"/>
  <c r="AE174" i="7" s="1"/>
  <c r="O174" i="7" s="1"/>
  <c r="X158" i="7"/>
  <c r="AD158" i="7" s="1"/>
  <c r="N158" i="7" s="1"/>
  <c r="X155" i="7"/>
  <c r="X176" i="7"/>
  <c r="X134" i="7"/>
  <c r="AE134" i="7" s="1"/>
  <c r="O134" i="7" s="1"/>
  <c r="X149" i="7"/>
  <c r="AD149" i="7" s="1"/>
  <c r="N149" i="7" s="1"/>
  <c r="X183" i="7"/>
  <c r="X161" i="7"/>
  <c r="X169" i="7"/>
  <c r="X151" i="7"/>
  <c r="X154" i="7"/>
  <c r="X138" i="7"/>
  <c r="AC138" i="7" s="1"/>
  <c r="M138" i="7" s="1"/>
  <c r="X182" i="7"/>
  <c r="X179" i="7"/>
  <c r="X171" i="7"/>
  <c r="X153" i="7"/>
  <c r="B2261" i="13"/>
  <c r="X135" i="7"/>
  <c r="X152" i="7"/>
  <c r="X160" i="7"/>
  <c r="X139" i="7"/>
  <c r="X147" i="7"/>
  <c r="X184" i="7"/>
  <c r="X156" i="7"/>
  <c r="X180" i="7"/>
  <c r="X163" i="7"/>
  <c r="X167" i="7"/>
  <c r="X175" i="7"/>
  <c r="X173" i="7"/>
  <c r="X131" i="7"/>
  <c r="X157" i="7"/>
  <c r="X142" i="7"/>
  <c r="X136" i="7"/>
  <c r="X148" i="7"/>
  <c r="X145" i="7"/>
  <c r="X185" i="7"/>
  <c r="X178" i="7"/>
  <c r="X165" i="7"/>
  <c r="X166" i="7"/>
  <c r="X170" i="7"/>
  <c r="X172" i="7"/>
  <c r="X143" i="7"/>
  <c r="J454" i="8"/>
  <c r="J457" i="8" s="1"/>
  <c r="J512" i="8" s="1"/>
  <c r="J514" i="8" s="1"/>
  <c r="J518" i="8" s="1"/>
  <c r="AE159" i="7"/>
  <c r="O159" i="7" s="1"/>
  <c r="AD159" i="7"/>
  <c r="N159" i="7" s="1"/>
  <c r="X168" i="7"/>
  <c r="AE168" i="7" s="1"/>
  <c r="O168" i="7" s="1"/>
  <c r="X177" i="7"/>
  <c r="X150" i="7"/>
  <c r="AE150" i="7" s="1"/>
  <c r="O150" i="7" s="1"/>
  <c r="X132" i="7"/>
  <c r="K207" i="7"/>
  <c r="AC140" i="7"/>
  <c r="M140" i="7" s="1"/>
  <c r="AC159" i="7"/>
  <c r="M159" i="7" s="1"/>
  <c r="B1225" i="13"/>
  <c r="B1230" i="13"/>
  <c r="B1231" i="13" s="1"/>
  <c r="B801" i="13"/>
  <c r="B802" i="13" s="1"/>
  <c r="B752" i="13"/>
  <c r="B757" i="13" s="1"/>
  <c r="B1237" i="13"/>
  <c r="B1283" i="13" s="1"/>
  <c r="B1255" i="13"/>
  <c r="B1256" i="13" s="1"/>
  <c r="B1407" i="13"/>
  <c r="B2242" i="13"/>
  <c r="B2241" i="13" s="1"/>
  <c r="B2246" i="13" s="1"/>
  <c r="B2247" i="13" s="1"/>
  <c r="B2255" i="13"/>
  <c r="B2257" i="13" s="1"/>
  <c r="B2258" i="13" s="1"/>
  <c r="B2260" i="13" s="1"/>
  <c r="C100" i="13" s="1"/>
  <c r="B2157" i="13"/>
  <c r="H103" i="13" s="1"/>
  <c r="B86" i="19"/>
  <c r="F1708" i="12"/>
  <c r="G1708" i="12" s="1"/>
  <c r="D1833" i="12"/>
  <c r="D1834" i="12" s="1"/>
  <c r="D1832" i="12"/>
  <c r="K454" i="8"/>
  <c r="K457" i="8" s="1"/>
  <c r="K512" i="8" s="1"/>
  <c r="K514" i="8" s="1"/>
  <c r="K518" i="8" s="1"/>
  <c r="I442" i="8"/>
  <c r="I456" i="8" s="1"/>
  <c r="I458" i="8" s="1"/>
  <c r="I469" i="8" s="1"/>
  <c r="E69" i="8" s="1"/>
  <c r="K442" i="8"/>
  <c r="K456" i="8" s="1"/>
  <c r="K511" i="8" s="1"/>
  <c r="M442" i="8"/>
  <c r="M456" i="8" s="1"/>
  <c r="M511" i="8" s="1"/>
  <c r="L442" i="8"/>
  <c r="L456" i="8" s="1"/>
  <c r="L511" i="8" s="1"/>
  <c r="J442" i="8"/>
  <c r="J456" i="8" s="1"/>
  <c r="A318" i="12"/>
  <c r="B1883" i="12"/>
  <c r="B2032" i="12" s="1"/>
  <c r="B2127" i="12" s="1"/>
  <c r="B2119" i="12"/>
  <c r="B2158" i="12"/>
  <c r="A319" i="12"/>
  <c r="A315" i="12"/>
  <c r="A314" i="12"/>
  <c r="A317" i="12"/>
  <c r="B3157" i="16"/>
  <c r="B3194" i="16"/>
  <c r="B3197" i="16" s="1"/>
  <c r="B962" i="16"/>
  <c r="B976" i="16" s="1"/>
  <c r="B592" i="19"/>
  <c r="B594" i="19" s="1"/>
  <c r="B595" i="19" s="1"/>
  <c r="C1765" i="12"/>
  <c r="C1767" i="12"/>
  <c r="B483" i="19"/>
  <c r="B785" i="19"/>
  <c r="B1391" i="19" s="1"/>
  <c r="B2842" i="16"/>
  <c r="B2026" i="12"/>
  <c r="B2121" i="12" s="1"/>
  <c r="K723" i="9"/>
  <c r="K730" i="9" s="1"/>
  <c r="F1700" i="12"/>
  <c r="G1700" i="12" s="1"/>
  <c r="B1767" i="12"/>
  <c r="F1707" i="12"/>
  <c r="G1707" i="12" s="1"/>
  <c r="B3445" i="14"/>
  <c r="G388" i="8"/>
  <c r="B2589" i="16"/>
  <c r="M485" i="8"/>
  <c r="K190" i="8" s="1"/>
  <c r="C56" i="19"/>
  <c r="C1479" i="12" s="1"/>
  <c r="B1479" i="12"/>
  <c r="C66" i="19"/>
  <c r="C1489" i="12" s="1"/>
  <c r="B1489" i="12"/>
  <c r="B441" i="14"/>
  <c r="B440" i="14" s="1"/>
  <c r="B445" i="14" s="1"/>
  <c r="L766" i="9"/>
  <c r="L768" i="9" s="1"/>
  <c r="B241" i="14"/>
  <c r="B3281" i="14" s="1"/>
  <c r="B357" i="14"/>
  <c r="B525" i="14" s="1"/>
  <c r="C85" i="14" s="1"/>
  <c r="C1465" i="12" s="1"/>
  <c r="B2747" i="14"/>
  <c r="B439" i="14" s="1"/>
  <c r="F1675" i="12"/>
  <c r="G1675" i="12" s="1"/>
  <c r="B435" i="14"/>
  <c r="H79" i="14" s="1"/>
  <c r="B2828" i="16"/>
  <c r="B716" i="16"/>
  <c r="B2814" i="16"/>
  <c r="B2841" i="16"/>
  <c r="B2800" i="16"/>
  <c r="B2796" i="16"/>
  <c r="B2795" i="16"/>
  <c r="B2827" i="16"/>
  <c r="B2813" i="16"/>
  <c r="B1406" i="13"/>
  <c r="C91" i="13" s="1"/>
  <c r="B724" i="16"/>
  <c r="B2609" i="16"/>
  <c r="B2728" i="16" s="1"/>
  <c r="B2732" i="16" s="1"/>
  <c r="I722" i="9"/>
  <c r="L523" i="8"/>
  <c r="B64" i="19"/>
  <c r="C64" i="19" s="1"/>
  <c r="B1791" i="19"/>
  <c r="B1792" i="19" s="1"/>
  <c r="B71" i="19"/>
  <c r="B74" i="19"/>
  <c r="E2208" i="19"/>
  <c r="B3089" i="16"/>
  <c r="B3078" i="16" s="1"/>
  <c r="B1047" i="16" s="1"/>
  <c r="B1082" i="16" s="1"/>
  <c r="B1091" i="16" s="1"/>
  <c r="B2875" i="16"/>
  <c r="B2876" i="16" s="1"/>
  <c r="B2881" i="16" s="1"/>
  <c r="B2882" i="16" s="1"/>
  <c r="B2883" i="16" s="1"/>
  <c r="B2676" i="16"/>
  <c r="B2680" i="16" s="1"/>
  <c r="B377" i="19"/>
  <c r="B381" i="19" s="1"/>
  <c r="B448" i="19"/>
  <c r="F57" i="14"/>
  <c r="F1437" i="12" s="1"/>
  <c r="F58" i="14"/>
  <c r="F1438" i="12" s="1"/>
  <c r="B1544" i="19"/>
  <c r="B1601" i="19"/>
  <c r="B932" i="19"/>
  <c r="B869" i="19"/>
  <c r="B883" i="19" s="1"/>
  <c r="B1677" i="19"/>
  <c r="B1543" i="19"/>
  <c r="B1600" i="19"/>
  <c r="B561" i="19"/>
  <c r="B1378" i="19"/>
  <c r="B303" i="19" s="1"/>
  <c r="B1403" i="19"/>
  <c r="B1262" i="19"/>
  <c r="B1227" i="19"/>
  <c r="B1239" i="19"/>
  <c r="B1240" i="19" s="1"/>
  <c r="B793" i="19"/>
  <c r="B1252" i="19"/>
  <c r="B1253" i="19" s="1"/>
  <c r="B1886" i="19"/>
  <c r="B1887" i="19" s="1"/>
  <c r="B1863" i="19"/>
  <c r="B1874" i="19"/>
  <c r="B1875" i="19" s="1"/>
  <c r="B687" i="19"/>
  <c r="B997" i="19"/>
  <c r="B1519" i="19"/>
  <c r="B1533" i="19" s="1"/>
  <c r="B1582" i="19"/>
  <c r="B1520" i="19"/>
  <c r="B1534" i="19" s="1"/>
  <c r="B1583" i="19"/>
  <c r="B2012" i="19"/>
  <c r="B309" i="19" s="1"/>
  <c r="B1155" i="19"/>
  <c r="B1154" i="19" s="1"/>
  <c r="B1416" i="19"/>
  <c r="B627" i="19"/>
  <c r="B724" i="19"/>
  <c r="B2212" i="19" s="1"/>
  <c r="B296" i="19" s="1"/>
  <c r="B1663" i="19"/>
  <c r="B1653" i="19"/>
  <c r="B1655" i="19" s="1"/>
  <c r="B587" i="19"/>
  <c r="B588" i="19" s="1"/>
  <c r="B2018" i="19"/>
  <c r="B432" i="19"/>
  <c r="B434" i="19" s="1"/>
  <c r="B439" i="19" s="1"/>
  <c r="B441" i="19" s="1"/>
  <c r="B433" i="19"/>
  <c r="B457" i="19"/>
  <c r="B465" i="19" s="1"/>
  <c r="B467" i="19" s="1"/>
  <c r="B458" i="19"/>
  <c r="B782" i="19"/>
  <c r="B804" i="19"/>
  <c r="B983" i="19"/>
  <c r="B982" i="19" s="1"/>
  <c r="B980" i="19" s="1"/>
  <c r="B1080" i="19"/>
  <c r="B1101" i="19"/>
  <c r="B1103" i="19"/>
  <c r="B1102" i="19" s="1"/>
  <c r="B1111" i="19"/>
  <c r="B1112" i="19" s="1"/>
  <c r="B1153" i="19"/>
  <c r="B54" i="19" s="1"/>
  <c r="B1279" i="19"/>
  <c r="B1280" i="19" s="1"/>
  <c r="B1284" i="19"/>
  <c r="B1286" i="19" s="1"/>
  <c r="B1287" i="19"/>
  <c r="B1291" i="19"/>
  <c r="B1293" i="19" s="1"/>
  <c r="B1400" i="19"/>
  <c r="B846" i="19"/>
  <c r="B845" i="19" s="1"/>
  <c r="B998" i="19"/>
  <c r="B1062" i="19"/>
  <c r="B52" i="19" s="1"/>
  <c r="B1064" i="19"/>
  <c r="B1063" i="19" s="1"/>
  <c r="B1069" i="19"/>
  <c r="B1068" i="19" s="1"/>
  <c r="B1200" i="19"/>
  <c r="B1012" i="19"/>
  <c r="B1077" i="19"/>
  <c r="B1330" i="19" s="1"/>
  <c r="B653" i="19"/>
  <c r="B599" i="19"/>
  <c r="B454" i="19"/>
  <c r="B455" i="19" s="1"/>
  <c r="B426" i="19"/>
  <c r="B473" i="19"/>
  <c r="B475" i="19" s="1"/>
  <c r="B2259" i="13"/>
  <c r="C109" i="13" s="1"/>
  <c r="B2846" i="16"/>
  <c r="B2888" i="16" s="1"/>
  <c r="B2588" i="16"/>
  <c r="B2419" i="14"/>
  <c r="K221" i="9"/>
  <c r="C592" i="9"/>
  <c r="B1079" i="13"/>
  <c r="B1092" i="13" s="1"/>
  <c r="B1093" i="13" s="1"/>
  <c r="J767" i="9"/>
  <c r="C1833" i="12"/>
  <c r="C1834" i="12" s="1"/>
  <c r="B1833" i="12"/>
  <c r="B1834" i="12" s="1"/>
  <c r="F1676" i="12"/>
  <c r="G1676" i="12" s="1"/>
  <c r="L674" i="9"/>
  <c r="B1745" i="12"/>
  <c r="B1747" i="12" s="1"/>
  <c r="B3080" i="14"/>
  <c r="B2880" i="14"/>
  <c r="I723" i="9"/>
  <c r="I730" i="9" s="1"/>
  <c r="B1035" i="15"/>
  <c r="I766" i="9"/>
  <c r="I768" i="9" s="1"/>
  <c r="L722" i="9"/>
  <c r="B698" i="15"/>
  <c r="B699" i="15" s="1"/>
  <c r="B701" i="15" s="1"/>
  <c r="L723" i="9"/>
  <c r="L730" i="9" s="1"/>
  <c r="B636" i="13"/>
  <c r="B649" i="13" s="1"/>
  <c r="B650" i="13" s="1"/>
  <c r="I221" i="9"/>
  <c r="B122" i="15"/>
  <c r="B123" i="15" s="1"/>
  <c r="B157" i="15" s="1"/>
  <c r="K422" i="8"/>
  <c r="K424" i="8" s="1"/>
  <c r="K425" i="8" s="1"/>
  <c r="K427" i="8" s="1"/>
  <c r="K429" i="8" s="1"/>
  <c r="K432" i="8" s="1"/>
  <c r="K433" i="8" s="1"/>
  <c r="K434" i="8" s="1"/>
  <c r="K468" i="8" s="1"/>
  <c r="I422" i="8"/>
  <c r="I424" i="8" s="1"/>
  <c r="I425" i="8" s="1"/>
  <c r="I427" i="8" s="1"/>
  <c r="I429" i="8" s="1"/>
  <c r="I432" i="8" s="1"/>
  <c r="I467" i="8" s="1"/>
  <c r="E67" i="8" s="1"/>
  <c r="B982" i="12" s="1"/>
  <c r="J674" i="9"/>
  <c r="H221" i="9"/>
  <c r="B372" i="9" s="1"/>
  <c r="B2637" i="14"/>
  <c r="B584" i="9"/>
  <c r="B591" i="9" s="1"/>
  <c r="E591" i="9" s="1"/>
  <c r="F584" i="9"/>
  <c r="D591" i="9" s="1"/>
  <c r="D594" i="9" s="1"/>
  <c r="B2783" i="14"/>
  <c r="B593" i="9"/>
  <c r="E593" i="9" s="1"/>
  <c r="B718" i="15"/>
  <c r="B719" i="15" s="1"/>
  <c r="B2773" i="14"/>
  <c r="B2786" i="14" s="1"/>
  <c r="B1253" i="13"/>
  <c r="B420" i="13"/>
  <c r="B434" i="13" s="1"/>
  <c r="B587" i="13"/>
  <c r="B1030" i="13"/>
  <c r="B884" i="13"/>
  <c r="B898" i="13" s="1"/>
  <c r="L422" i="8"/>
  <c r="L424" i="8" s="1"/>
  <c r="L425" i="8" s="1"/>
  <c r="L427" i="8" s="1"/>
  <c r="L429" i="8" s="1"/>
  <c r="L432" i="8" s="1"/>
  <c r="L433" i="8" s="1"/>
  <c r="L434" i="8" s="1"/>
  <c r="L468" i="8" s="1"/>
  <c r="H68" i="8" s="1"/>
  <c r="E983" i="12" s="1"/>
  <c r="A613" i="16"/>
  <c r="A615" i="16"/>
  <c r="D592" i="9"/>
  <c r="C591" i="9"/>
  <c r="C594" i="9" s="1"/>
  <c r="J421" i="8"/>
  <c r="J424" i="8" s="1"/>
  <c r="J425" i="8" s="1"/>
  <c r="J427" i="8" s="1"/>
  <c r="J429" i="8" s="1"/>
  <c r="J432" i="8" s="1"/>
  <c r="J433" i="8" s="1"/>
  <c r="J434" i="8" s="1"/>
  <c r="J468" i="8" s="1"/>
  <c r="F68" i="8" s="1"/>
  <c r="C983" i="12" s="1"/>
  <c r="C88" i="8"/>
  <c r="C86" i="8"/>
  <c r="M422" i="8"/>
  <c r="M421" i="8"/>
  <c r="B2987" i="14"/>
  <c r="B2992" i="14" s="1"/>
  <c r="G225" i="14" s="1"/>
  <c r="B3132" i="14"/>
  <c r="B3133" i="14" s="1"/>
  <c r="J644" i="9"/>
  <c r="H723" i="9"/>
  <c r="H730" i="9" s="1"/>
  <c r="B2772" i="14"/>
  <c r="B3207" i="16"/>
  <c r="B755" i="16" s="1"/>
  <c r="I523" i="8"/>
  <c r="B176" i="15"/>
  <c r="B178" i="15" s="1"/>
  <c r="B184" i="15" s="1"/>
  <c r="B303" i="15"/>
  <c r="B311" i="15" s="1"/>
  <c r="B2525" i="14"/>
  <c r="B2530" i="14" s="1"/>
  <c r="G229" i="14" s="1"/>
  <c r="B2689" i="14"/>
  <c r="B2690" i="14" s="1"/>
  <c r="L340" i="10"/>
  <c r="E241" i="10"/>
  <c r="B241" i="10"/>
  <c r="I340" i="10"/>
  <c r="K340" i="10"/>
  <c r="D241" i="10"/>
  <c r="B1098" i="13"/>
  <c r="B669" i="13"/>
  <c r="B1110" i="13" s="1"/>
  <c r="B687" i="13"/>
  <c r="B1128" i="13" s="1"/>
  <c r="B444" i="13"/>
  <c r="B605" i="13"/>
  <c r="G57" i="14"/>
  <c r="G1437" i="12" s="1"/>
  <c r="F241" i="10"/>
  <c r="M340" i="10"/>
  <c r="J340" i="10"/>
  <c r="C241" i="10"/>
  <c r="B1048" i="13"/>
  <c r="B908" i="13"/>
  <c r="B885" i="13"/>
  <c r="B899" i="13" s="1"/>
  <c r="B1031" i="13"/>
  <c r="B421" i="13"/>
  <c r="B435" i="13" s="1"/>
  <c r="B588" i="13"/>
  <c r="H722" i="9"/>
  <c r="C593" i="9"/>
  <c r="D593" i="9"/>
  <c r="D61" i="10"/>
  <c r="E61" i="10"/>
  <c r="C61" i="10"/>
  <c r="F61" i="10"/>
  <c r="B947" i="13"/>
  <c r="B952" i="13" s="1"/>
  <c r="G274" i="13" s="1"/>
  <c r="B528" i="15"/>
  <c r="B532" i="15" s="1"/>
  <c r="B538" i="15" s="1"/>
  <c r="B544" i="15" s="1"/>
  <c r="B483" i="13"/>
  <c r="F278" i="13" s="1"/>
  <c r="F84" i="13" s="1"/>
  <c r="B1270" i="13"/>
  <c r="B1271" i="13" s="1"/>
  <c r="J824" i="9"/>
  <c r="B3144" i="14"/>
  <c r="B3213" i="14" s="1"/>
  <c r="I878" i="9"/>
  <c r="I879" i="9" s="1"/>
  <c r="I881" i="9" s="1"/>
  <c r="I825" i="9"/>
  <c r="I831" i="9"/>
  <c r="I832" i="9" s="1"/>
  <c r="I889" i="9" s="1"/>
  <c r="I853" i="9"/>
  <c r="I854" i="9" s="1"/>
  <c r="I856" i="9" s="1"/>
  <c r="I866" i="9"/>
  <c r="I867" i="9" s="1"/>
  <c r="I869" i="9" s="1"/>
  <c r="I859" i="9"/>
  <c r="I860" i="9" s="1"/>
  <c r="I862" i="9" s="1"/>
  <c r="I842" i="9"/>
  <c r="I843" i="9" s="1"/>
  <c r="I845" i="9" s="1"/>
  <c r="I816" i="9"/>
  <c r="B395" i="13"/>
  <c r="B457" i="13"/>
  <c r="B455" i="13" s="1"/>
  <c r="B466" i="13" s="1"/>
  <c r="B467" i="13" s="1"/>
  <c r="J859" i="9"/>
  <c r="J860" i="9" s="1"/>
  <c r="J862" i="9" s="1"/>
  <c r="J853" i="9"/>
  <c r="J854" i="9" s="1"/>
  <c r="J856" i="9" s="1"/>
  <c r="J866" i="9"/>
  <c r="J867" i="9" s="1"/>
  <c r="J869" i="9" s="1"/>
  <c r="J878" i="9"/>
  <c r="J879" i="9" s="1"/>
  <c r="J881" i="9" s="1"/>
  <c r="J825" i="9"/>
  <c r="J831" i="9"/>
  <c r="J832" i="9" s="1"/>
  <c r="J889" i="9" s="1"/>
  <c r="J842" i="9"/>
  <c r="J843" i="9" s="1"/>
  <c r="J845" i="9" s="1"/>
  <c r="J816" i="9"/>
  <c r="B994" i="13"/>
  <c r="D272" i="13"/>
  <c r="B135" i="15"/>
  <c r="B141" i="15" s="1"/>
  <c r="B147" i="15"/>
  <c r="B132" i="15"/>
  <c r="B138" i="15"/>
  <c r="B139" i="15" s="1"/>
  <c r="L816" i="9"/>
  <c r="L853" i="9"/>
  <c r="L854" i="9" s="1"/>
  <c r="L856" i="9" s="1"/>
  <c r="L825" i="9"/>
  <c r="L859" i="9"/>
  <c r="L860" i="9" s="1"/>
  <c r="L862" i="9" s="1"/>
  <c r="L866" i="9"/>
  <c r="L867" i="9" s="1"/>
  <c r="L869" i="9" s="1"/>
  <c r="L831" i="9"/>
  <c r="L832" i="9" s="1"/>
  <c r="L889" i="9" s="1"/>
  <c r="L878" i="9"/>
  <c r="L879" i="9" s="1"/>
  <c r="L881" i="9" s="1"/>
  <c r="L842" i="9"/>
  <c r="L843" i="9" s="1"/>
  <c r="L845" i="9" s="1"/>
  <c r="K815" i="9"/>
  <c r="K824" i="9"/>
  <c r="B239" i="15"/>
  <c r="B249" i="15"/>
  <c r="B873" i="15"/>
  <c r="B892" i="15" s="1"/>
  <c r="B876" i="15"/>
  <c r="B877" i="15" s="1"/>
  <c r="B878" i="15" s="1"/>
  <c r="B534" i="15"/>
  <c r="B540" i="15"/>
  <c r="B539" i="15"/>
  <c r="H644" i="9"/>
  <c r="H219" i="9"/>
  <c r="B370" i="9" s="1"/>
  <c r="B2561" i="16"/>
  <c r="B2562" i="16" s="1"/>
  <c r="B2769" i="16"/>
  <c r="B501" i="14"/>
  <c r="B493" i="14"/>
  <c r="B494" i="14" s="1"/>
  <c r="B502" i="14"/>
  <c r="B414" i="14"/>
  <c r="B420" i="14" s="1"/>
  <c r="B412" i="14"/>
  <c r="B418" i="14" s="1"/>
  <c r="B415" i="14"/>
  <c r="B421" i="14" s="1"/>
  <c r="B413" i="14"/>
  <c r="B419" i="14" s="1"/>
  <c r="B411" i="14"/>
  <c r="B2544" i="16"/>
  <c r="B2550" i="16" s="1"/>
  <c r="B719" i="16"/>
  <c r="I511" i="8"/>
  <c r="K853" i="9"/>
  <c r="K854" i="9" s="1"/>
  <c r="K856" i="9" s="1"/>
  <c r="K825" i="9"/>
  <c r="K859" i="9"/>
  <c r="K860" i="9" s="1"/>
  <c r="K862" i="9" s="1"/>
  <c r="K831" i="9"/>
  <c r="K832" i="9" s="1"/>
  <c r="K889" i="9" s="1"/>
  <c r="K866" i="9"/>
  <c r="K867" i="9" s="1"/>
  <c r="K869" i="9" s="1"/>
  <c r="K878" i="9"/>
  <c r="K879" i="9" s="1"/>
  <c r="K881" i="9" s="1"/>
  <c r="K842" i="9"/>
  <c r="K843" i="9" s="1"/>
  <c r="K845" i="9" s="1"/>
  <c r="K816" i="9"/>
  <c r="K458" i="8"/>
  <c r="K469" i="8" s="1"/>
  <c r="G69" i="8" s="1"/>
  <c r="B2218" i="13"/>
  <c r="B2235" i="13" s="1"/>
  <c r="B2210" i="13"/>
  <c r="B2253" i="13"/>
  <c r="E100" i="13" s="1"/>
  <c r="B2153" i="13"/>
  <c r="B968" i="13"/>
  <c r="B964" i="13"/>
  <c r="B966" i="13"/>
  <c r="B960" i="13" s="1"/>
  <c r="B965" i="13"/>
  <c r="B967" i="13"/>
  <c r="B921" i="13"/>
  <c r="B919" i="13" s="1"/>
  <c r="B930" i="13" s="1"/>
  <c r="B931" i="13" s="1"/>
  <c r="B859" i="13"/>
  <c r="D274" i="13"/>
  <c r="D93" i="13" s="1"/>
  <c r="B359" i="13"/>
  <c r="B358" i="13" s="1"/>
  <c r="B382" i="13"/>
  <c r="B582" i="13"/>
  <c r="B540" i="13"/>
  <c r="D276" i="13"/>
  <c r="B502" i="13"/>
  <c r="B496" i="13" s="1"/>
  <c r="B500" i="13"/>
  <c r="B504" i="13"/>
  <c r="B501" i="13"/>
  <c r="B503" i="13"/>
  <c r="D278" i="13"/>
  <c r="B728" i="13"/>
  <c r="B733" i="13"/>
  <c r="B330" i="15"/>
  <c r="B322" i="15"/>
  <c r="B306" i="15"/>
  <c r="B613" i="15"/>
  <c r="B600" i="15" s="1"/>
  <c r="B619" i="15"/>
  <c r="B618" i="15"/>
  <c r="B622" i="15" s="1"/>
  <c r="B1042" i="15"/>
  <c r="B800" i="15"/>
  <c r="B813" i="15"/>
  <c r="B808" i="15"/>
  <c r="B814" i="15"/>
  <c r="B1049" i="15"/>
  <c r="B2891" i="16"/>
  <c r="B2897" i="16"/>
  <c r="L458" i="8"/>
  <c r="L469" i="8" s="1"/>
  <c r="H69" i="8" s="1"/>
  <c r="B228" i="14"/>
  <c r="B224" i="14"/>
  <c r="B3007" i="14"/>
  <c r="B3006" i="14"/>
  <c r="B3000" i="14" s="1"/>
  <c r="B3004" i="14"/>
  <c r="B3005" i="14"/>
  <c r="B3008" i="14"/>
  <c r="B2899" i="14"/>
  <c r="B2961" i="14"/>
  <c r="B2959" i="14" s="1"/>
  <c r="B2970" i="14" s="1"/>
  <c r="B2971" i="14" s="1"/>
  <c r="B2544" i="14"/>
  <c r="B2538" i="14" s="1"/>
  <c r="B2542" i="14"/>
  <c r="B2545" i="14"/>
  <c r="B2546" i="14"/>
  <c r="B2543" i="14"/>
  <c r="D223" i="14"/>
  <c r="B3034" i="14"/>
  <c r="G223" i="14" s="1"/>
  <c r="B2886" i="14"/>
  <c r="B2861" i="14"/>
  <c r="B2862" i="14"/>
  <c r="B3065" i="14"/>
  <c r="B2499" i="14"/>
  <c r="B2497" i="14" s="1"/>
  <c r="B2508" i="14" s="1"/>
  <c r="B2509" i="14" s="1"/>
  <c r="B2437" i="14"/>
  <c r="B3349" i="14"/>
  <c r="B3364" i="14"/>
  <c r="B3365" i="14"/>
  <c r="B1277" i="13"/>
  <c r="B1288" i="13"/>
  <c r="B1296" i="13" s="1"/>
  <c r="B3214" i="14"/>
  <c r="B526" i="15"/>
  <c r="B527" i="15" s="1"/>
  <c r="I824" i="9"/>
  <c r="I219" i="9"/>
  <c r="I644" i="9"/>
  <c r="B226" i="15"/>
  <c r="B228" i="15" s="1"/>
  <c r="B230" i="15" s="1"/>
  <c r="B223" i="15"/>
  <c r="B245" i="15"/>
  <c r="B728" i="15"/>
  <c r="B734" i="15" s="1"/>
  <c r="B740" i="15"/>
  <c r="B731" i="15"/>
  <c r="B732" i="15" s="1"/>
  <c r="B725" i="15"/>
  <c r="B2711" i="14"/>
  <c r="B3149" i="14"/>
  <c r="B2715" i="14"/>
  <c r="B3156" i="14" s="1"/>
  <c r="B2721" i="14"/>
  <c r="B592" i="9"/>
  <c r="E592" i="9" s="1"/>
  <c r="H831" i="9"/>
  <c r="H832" i="9" s="1"/>
  <c r="H835" i="9" s="1"/>
  <c r="H836" i="9" s="1"/>
  <c r="H859" i="9"/>
  <c r="H860" i="9" s="1"/>
  <c r="H862" i="9" s="1"/>
  <c r="H866" i="9"/>
  <c r="H867" i="9" s="1"/>
  <c r="H869" i="9" s="1"/>
  <c r="H878" i="9"/>
  <c r="H879" i="9" s="1"/>
  <c r="H881" i="9" s="1"/>
  <c r="H816" i="9"/>
  <c r="H842" i="9"/>
  <c r="H843" i="9" s="1"/>
  <c r="H845" i="9" s="1"/>
  <c r="H853" i="9"/>
  <c r="H854" i="9" s="1"/>
  <c r="H856" i="9" s="1"/>
  <c r="H825" i="9"/>
  <c r="L219" i="9"/>
  <c r="L644" i="9"/>
  <c r="B2770" i="16"/>
  <c r="B814" i="16"/>
  <c r="B727" i="16"/>
  <c r="B2759" i="16"/>
  <c r="B3216" i="14"/>
  <c r="B2785" i="14"/>
  <c r="B3203" i="14"/>
  <c r="K219" i="9"/>
  <c r="K644" i="9"/>
  <c r="B2152" i="13"/>
  <c r="B2252" i="13" s="1"/>
  <c r="G100" i="13" s="1"/>
  <c r="B2250" i="13"/>
  <c r="D100" i="13" s="1"/>
  <c r="B1159" i="13"/>
  <c r="B1164" i="13"/>
  <c r="B377" i="13"/>
  <c r="B840" i="13"/>
  <c r="B548" i="13"/>
  <c r="F86" i="13"/>
  <c r="G86" i="13" s="1"/>
  <c r="F92" i="13"/>
  <c r="G92" i="13" s="1"/>
  <c r="F83" i="13"/>
  <c r="B1001" i="13"/>
  <c r="B1002" i="13" s="1"/>
  <c r="F82" i="13"/>
  <c r="B558" i="13"/>
  <c r="B939" i="13"/>
  <c r="B522" i="13"/>
  <c r="F109" i="13" s="1"/>
  <c r="F80" i="13"/>
  <c r="F91" i="13"/>
  <c r="B630" i="13"/>
  <c r="B631" i="13" s="1"/>
  <c r="B1073" i="13"/>
  <c r="B1074" i="13" s="1"/>
  <c r="F81" i="13"/>
  <c r="B698" i="13"/>
  <c r="B475" i="13"/>
  <c r="B476" i="13" s="1"/>
  <c r="B1420" i="13" s="1"/>
  <c r="B821" i="13"/>
  <c r="B822" i="13"/>
  <c r="B846" i="13"/>
  <c r="B1025" i="13"/>
  <c r="B663" i="13"/>
  <c r="B1096" i="13"/>
  <c r="B694" i="13"/>
  <c r="B1134" i="13" s="1"/>
  <c r="B688" i="13"/>
  <c r="B1309" i="13"/>
  <c r="B1324" i="13"/>
  <c r="B1325" i="13"/>
  <c r="B386" i="15"/>
  <c r="B402" i="15"/>
  <c r="B401" i="15"/>
  <c r="B339" i="15"/>
  <c r="B345" i="15"/>
  <c r="B344" i="15"/>
  <c r="B609" i="15"/>
  <c r="B794" i="15"/>
  <c r="B802" i="15" s="1"/>
  <c r="B806" i="15" s="1"/>
  <c r="B1030" i="15"/>
  <c r="B1068" i="15"/>
  <c r="B193" i="15"/>
  <c r="B199" i="15"/>
  <c r="B200" i="15" s="1"/>
  <c r="B196" i="15"/>
  <c r="B202" i="15" s="1"/>
  <c r="B203" i="15" s="1"/>
  <c r="B208" i="15"/>
  <c r="B3204" i="14"/>
  <c r="B2896" i="16"/>
  <c r="B2890" i="16"/>
  <c r="B2889" i="16"/>
  <c r="B2572" i="16"/>
  <c r="B2895" i="16"/>
  <c r="B2552" i="16"/>
  <c r="B2554" i="16" s="1"/>
  <c r="B2551" i="16"/>
  <c r="L824" i="9"/>
  <c r="B2424" i="14"/>
  <c r="B2622" i="14"/>
  <c r="B2400" i="14"/>
  <c r="B2401" i="14"/>
  <c r="B223" i="14"/>
  <c r="D227" i="14"/>
  <c r="B2582" i="14"/>
  <c r="G227" i="14" s="1"/>
  <c r="B227" i="14"/>
  <c r="B229" i="14"/>
  <c r="B60" i="14" s="1"/>
  <c r="B1440" i="12" s="1"/>
  <c r="B225" i="14"/>
  <c r="B69" i="14" s="1"/>
  <c r="B1449" i="12" s="1"/>
  <c r="C69" i="14"/>
  <c r="C1449" i="12" s="1"/>
  <c r="D69" i="14"/>
  <c r="D1449" i="12" s="1"/>
  <c r="F59" i="14"/>
  <c r="F1439" i="12" s="1"/>
  <c r="B2589" i="14"/>
  <c r="B2592" i="14" s="1"/>
  <c r="B3041" i="14"/>
  <c r="B3042" i="14" s="1"/>
  <c r="B2517" i="14"/>
  <c r="B2518" i="14" s="1"/>
  <c r="B3460" i="14" s="1"/>
  <c r="B2670" i="14"/>
  <c r="B2671" i="14" s="1"/>
  <c r="B2979" i="14"/>
  <c r="F62" i="14"/>
  <c r="F1442" i="12" s="1"/>
  <c r="B3113" i="14"/>
  <c r="B3114" i="14" s="1"/>
  <c r="B2738" i="14"/>
  <c r="B2598" i="14"/>
  <c r="B2599" i="14" s="1"/>
  <c r="B3455" i="14" s="1"/>
  <c r="B2564" i="14"/>
  <c r="F85" i="14" s="1"/>
  <c r="F1465" i="12" s="1"/>
  <c r="B2703" i="14"/>
  <c r="B2734" i="14"/>
  <c r="B3174" i="14" s="1"/>
  <c r="B3136" i="14"/>
  <c r="B2728" i="14"/>
  <c r="H824" i="9"/>
  <c r="B775" i="13"/>
  <c r="B776" i="13"/>
  <c r="B777" i="13" s="1"/>
  <c r="D80" i="13"/>
  <c r="B713" i="13"/>
  <c r="B714" i="13" s="1"/>
  <c r="B1412" i="13" s="1"/>
  <c r="B1252" i="13"/>
  <c r="J188" i="8"/>
  <c r="L483" i="8"/>
  <c r="L484" i="8"/>
  <c r="H320" i="8"/>
  <c r="H388" i="8"/>
  <c r="M523" i="8"/>
  <c r="M514" i="8"/>
  <c r="M518" i="8" s="1"/>
  <c r="J388" i="8"/>
  <c r="J320" i="8"/>
  <c r="K388" i="8"/>
  <c r="K320" i="8"/>
  <c r="M470" i="8"/>
  <c r="I470" i="8"/>
  <c r="J470" i="8"/>
  <c r="K470" i="8"/>
  <c r="L470" i="8"/>
  <c r="I483" i="8"/>
  <c r="G188" i="8"/>
  <c r="I484" i="8"/>
  <c r="I485" i="8" s="1"/>
  <c r="G190" i="8" s="1"/>
  <c r="B1276" i="13"/>
  <c r="B1194" i="13"/>
  <c r="J483" i="8"/>
  <c r="H188" i="8"/>
  <c r="J484" i="8"/>
  <c r="J485" i="8" s="1"/>
  <c r="H190" i="8" s="1"/>
  <c r="I320" i="8"/>
  <c r="I388" i="8"/>
  <c r="I188" i="8"/>
  <c r="K483" i="8"/>
  <c r="K484" i="8"/>
  <c r="G1833" i="12" l="1"/>
  <c r="G1834" i="12" s="1"/>
  <c r="J523" i="8"/>
  <c r="J458" i="8"/>
  <c r="J469" i="8" s="1"/>
  <c r="F69" i="8" s="1"/>
  <c r="AD144" i="7"/>
  <c r="N144" i="7" s="1"/>
  <c r="AE144" i="7"/>
  <c r="O144" i="7" s="1"/>
  <c r="AC144" i="7"/>
  <c r="M144" i="7" s="1"/>
  <c r="AD140" i="7"/>
  <c r="N140" i="7" s="1"/>
  <c r="AE140" i="7"/>
  <c r="O140" i="7" s="1"/>
  <c r="AD164" i="7"/>
  <c r="N164" i="7" s="1"/>
  <c r="AC164" i="7"/>
  <c r="M164" i="7" s="1"/>
  <c r="AC133" i="7"/>
  <c r="M133" i="7" s="1"/>
  <c r="AD133" i="7"/>
  <c r="N133" i="7" s="1"/>
  <c r="AE133" i="7"/>
  <c r="O133" i="7" s="1"/>
  <c r="AD162" i="7"/>
  <c r="N162" i="7" s="1"/>
  <c r="AC162" i="7"/>
  <c r="M162" i="7" s="1"/>
  <c r="AE146" i="7"/>
  <c r="O146" i="7" s="1"/>
  <c r="AD146" i="7"/>
  <c r="N146" i="7" s="1"/>
  <c r="AD141" i="7"/>
  <c r="N141" i="7" s="1"/>
  <c r="AC141" i="7"/>
  <c r="M141" i="7" s="1"/>
  <c r="AE141" i="7"/>
  <c r="O141" i="7" s="1"/>
  <c r="AC176" i="7"/>
  <c r="M176" i="7" s="1"/>
  <c r="AE176" i="7"/>
  <c r="O176" i="7" s="1"/>
  <c r="AD176" i="7"/>
  <c r="N176" i="7" s="1"/>
  <c r="AC158" i="7"/>
  <c r="M158" i="7" s="1"/>
  <c r="AE158" i="7"/>
  <c r="O158" i="7" s="1"/>
  <c r="AD181" i="7"/>
  <c r="N181" i="7" s="1"/>
  <c r="AC181" i="7"/>
  <c r="M181" i="7" s="1"/>
  <c r="AE181" i="7"/>
  <c r="O181" i="7" s="1"/>
  <c r="AC155" i="7"/>
  <c r="M155" i="7" s="1"/>
  <c r="AD155" i="7"/>
  <c r="N155" i="7" s="1"/>
  <c r="AE155" i="7"/>
  <c r="O155" i="7" s="1"/>
  <c r="AC174" i="7"/>
  <c r="M174" i="7" s="1"/>
  <c r="AD174" i="7"/>
  <c r="N174" i="7" s="1"/>
  <c r="AE137" i="7"/>
  <c r="O137" i="7" s="1"/>
  <c r="AD137" i="7"/>
  <c r="N137" i="7" s="1"/>
  <c r="AE153" i="7"/>
  <c r="O153" i="7" s="1"/>
  <c r="AD153" i="7"/>
  <c r="N153" i="7" s="1"/>
  <c r="AC153" i="7"/>
  <c r="M153" i="7" s="1"/>
  <c r="AD179" i="7"/>
  <c r="N179" i="7" s="1"/>
  <c r="AE179" i="7"/>
  <c r="O179" i="7" s="1"/>
  <c r="AC179" i="7"/>
  <c r="M179" i="7" s="1"/>
  <c r="AE138" i="7"/>
  <c r="O138" i="7" s="1"/>
  <c r="AD138" i="7"/>
  <c r="N138" i="7" s="1"/>
  <c r="AD151" i="7"/>
  <c r="N151" i="7" s="1"/>
  <c r="AE151" i="7"/>
  <c r="O151" i="7" s="1"/>
  <c r="AC151" i="7"/>
  <c r="M151" i="7" s="1"/>
  <c r="AE161" i="7"/>
  <c r="O161" i="7" s="1"/>
  <c r="AD161" i="7"/>
  <c r="N161" i="7" s="1"/>
  <c r="AC161" i="7"/>
  <c r="M161" i="7" s="1"/>
  <c r="AE149" i="7"/>
  <c r="O149" i="7" s="1"/>
  <c r="AC149" i="7"/>
  <c r="M149" i="7" s="1"/>
  <c r="AC171" i="7"/>
  <c r="M171" i="7" s="1"/>
  <c r="AE171" i="7"/>
  <c r="O171" i="7" s="1"/>
  <c r="AD171" i="7"/>
  <c r="N171" i="7" s="1"/>
  <c r="AC182" i="7"/>
  <c r="M182" i="7" s="1"/>
  <c r="AE182" i="7"/>
  <c r="O182" i="7" s="1"/>
  <c r="AD182" i="7"/>
  <c r="N182" i="7" s="1"/>
  <c r="AC154" i="7"/>
  <c r="M154" i="7" s="1"/>
  <c r="AE154" i="7"/>
  <c r="O154" i="7" s="1"/>
  <c r="AD154" i="7"/>
  <c r="N154" i="7" s="1"/>
  <c r="AD169" i="7"/>
  <c r="N169" i="7" s="1"/>
  <c r="AC169" i="7"/>
  <c r="M169" i="7" s="1"/>
  <c r="AE169" i="7"/>
  <c r="O169" i="7" s="1"/>
  <c r="AC183" i="7"/>
  <c r="M183" i="7" s="1"/>
  <c r="AD183" i="7"/>
  <c r="N183" i="7" s="1"/>
  <c r="AE183" i="7"/>
  <c r="O183" i="7" s="1"/>
  <c r="AD134" i="7"/>
  <c r="N134" i="7" s="1"/>
  <c r="AC134" i="7"/>
  <c r="M134" i="7" s="1"/>
  <c r="AD172" i="7"/>
  <c r="N172" i="7" s="1"/>
  <c r="AE172" i="7"/>
  <c r="O172" i="7" s="1"/>
  <c r="AC172" i="7"/>
  <c r="M172" i="7" s="1"/>
  <c r="AD166" i="7"/>
  <c r="N166" i="7" s="1"/>
  <c r="AC166" i="7"/>
  <c r="M166" i="7" s="1"/>
  <c r="AE166" i="7"/>
  <c r="O166" i="7" s="1"/>
  <c r="AD178" i="7"/>
  <c r="N178" i="7" s="1"/>
  <c r="AC178" i="7"/>
  <c r="M178" i="7" s="1"/>
  <c r="AE178" i="7"/>
  <c r="O178" i="7" s="1"/>
  <c r="AE145" i="7"/>
  <c r="O145" i="7" s="1"/>
  <c r="AC145" i="7"/>
  <c r="M145" i="7" s="1"/>
  <c r="AD145" i="7"/>
  <c r="N145" i="7" s="1"/>
  <c r="AC136" i="7"/>
  <c r="M136" i="7" s="1"/>
  <c r="AE136" i="7"/>
  <c r="O136" i="7" s="1"/>
  <c r="AD136" i="7"/>
  <c r="N136" i="7" s="1"/>
  <c r="AD157" i="7"/>
  <c r="N157" i="7" s="1"/>
  <c r="AE157" i="7"/>
  <c r="O157" i="7" s="1"/>
  <c r="AC157" i="7"/>
  <c r="M157" i="7" s="1"/>
  <c r="AE173" i="7"/>
  <c r="O173" i="7" s="1"/>
  <c r="AC173" i="7"/>
  <c r="M173" i="7" s="1"/>
  <c r="AD173" i="7"/>
  <c r="N173" i="7" s="1"/>
  <c r="AE167" i="7"/>
  <c r="O167" i="7" s="1"/>
  <c r="AC167" i="7"/>
  <c r="M167" i="7" s="1"/>
  <c r="AD167" i="7"/>
  <c r="N167" i="7" s="1"/>
  <c r="AD180" i="7"/>
  <c r="N180" i="7" s="1"/>
  <c r="AE180" i="7"/>
  <c r="O180" i="7" s="1"/>
  <c r="AC180" i="7"/>
  <c r="M180" i="7" s="1"/>
  <c r="AD184" i="7"/>
  <c r="N184" i="7" s="1"/>
  <c r="AE184" i="7"/>
  <c r="O184" i="7" s="1"/>
  <c r="AC184" i="7"/>
  <c r="M184" i="7" s="1"/>
  <c r="AC139" i="7"/>
  <c r="M139" i="7" s="1"/>
  <c r="AE139" i="7"/>
  <c r="O139" i="7" s="1"/>
  <c r="AD139" i="7"/>
  <c r="N139" i="7" s="1"/>
  <c r="AE152" i="7"/>
  <c r="O152" i="7" s="1"/>
  <c r="AC152" i="7"/>
  <c r="M152" i="7" s="1"/>
  <c r="AD152" i="7"/>
  <c r="N152" i="7" s="1"/>
  <c r="AD143" i="7"/>
  <c r="N143" i="7" s="1"/>
  <c r="AE143" i="7"/>
  <c r="O143" i="7" s="1"/>
  <c r="AC143" i="7"/>
  <c r="M143" i="7" s="1"/>
  <c r="AC170" i="7"/>
  <c r="M170" i="7" s="1"/>
  <c r="AE170" i="7"/>
  <c r="O170" i="7" s="1"/>
  <c r="AD170" i="7"/>
  <c r="N170" i="7" s="1"/>
  <c r="AD165" i="7"/>
  <c r="N165" i="7" s="1"/>
  <c r="AE165" i="7"/>
  <c r="O165" i="7" s="1"/>
  <c r="AC165" i="7"/>
  <c r="M165" i="7" s="1"/>
  <c r="AD185" i="7"/>
  <c r="N185" i="7" s="1"/>
  <c r="AE185" i="7"/>
  <c r="O185" i="7" s="1"/>
  <c r="AC185" i="7"/>
  <c r="M185" i="7" s="1"/>
  <c r="AD148" i="7"/>
  <c r="N148" i="7" s="1"/>
  <c r="AE148" i="7"/>
  <c r="O148" i="7" s="1"/>
  <c r="AC148" i="7"/>
  <c r="M148" i="7" s="1"/>
  <c r="AC142" i="7"/>
  <c r="M142" i="7" s="1"/>
  <c r="AD142" i="7"/>
  <c r="N142" i="7" s="1"/>
  <c r="AE142" i="7"/>
  <c r="O142" i="7" s="1"/>
  <c r="AE131" i="7"/>
  <c r="O131" i="7" s="1"/>
  <c r="AC131" i="7"/>
  <c r="M131" i="7" s="1"/>
  <c r="AD131" i="7"/>
  <c r="N131" i="7" s="1"/>
  <c r="AC175" i="7"/>
  <c r="M175" i="7" s="1"/>
  <c r="AE175" i="7"/>
  <c r="O175" i="7" s="1"/>
  <c r="AD175" i="7"/>
  <c r="N175" i="7" s="1"/>
  <c r="AC163" i="7"/>
  <c r="M163" i="7" s="1"/>
  <c r="AE163" i="7"/>
  <c r="O163" i="7" s="1"/>
  <c r="AD163" i="7"/>
  <c r="N163" i="7" s="1"/>
  <c r="AE156" i="7"/>
  <c r="O156" i="7" s="1"/>
  <c r="AD156" i="7"/>
  <c r="N156" i="7" s="1"/>
  <c r="AC156" i="7"/>
  <c r="M156" i="7" s="1"/>
  <c r="AE147" i="7"/>
  <c r="O147" i="7" s="1"/>
  <c r="AC147" i="7"/>
  <c r="M147" i="7" s="1"/>
  <c r="AD147" i="7"/>
  <c r="N147" i="7" s="1"/>
  <c r="AD160" i="7"/>
  <c r="N160" i="7" s="1"/>
  <c r="AE160" i="7"/>
  <c r="O160" i="7" s="1"/>
  <c r="AC160" i="7"/>
  <c r="M160" i="7" s="1"/>
  <c r="AC135" i="7"/>
  <c r="M135" i="7" s="1"/>
  <c r="AD135" i="7"/>
  <c r="N135" i="7" s="1"/>
  <c r="AE135" i="7"/>
  <c r="O135" i="7" s="1"/>
  <c r="AC132" i="7"/>
  <c r="M132" i="7" s="1"/>
  <c r="AD132" i="7"/>
  <c r="N132" i="7" s="1"/>
  <c r="AE132" i="7"/>
  <c r="O132" i="7" s="1"/>
  <c r="AC177" i="7"/>
  <c r="M177" i="7" s="1"/>
  <c r="AD177" i="7"/>
  <c r="N177" i="7" s="1"/>
  <c r="AE177" i="7"/>
  <c r="O177" i="7" s="1"/>
  <c r="AD150" i="7"/>
  <c r="N150" i="7" s="1"/>
  <c r="AC150" i="7"/>
  <c r="M150" i="7" s="1"/>
  <c r="AD168" i="7"/>
  <c r="N168" i="7" s="1"/>
  <c r="AC168" i="7"/>
  <c r="M168" i="7" s="1"/>
  <c r="K523" i="8"/>
  <c r="G64" i="19"/>
  <c r="H1487" i="12" s="1"/>
  <c r="M458" i="8"/>
  <c r="M469" i="8" s="1"/>
  <c r="I69" i="8" s="1"/>
  <c r="J511" i="8"/>
  <c r="J513" i="8" s="1"/>
  <c r="J517" i="8" s="1"/>
  <c r="B763" i="13"/>
  <c r="B1249" i="13" s="1"/>
  <c r="B1250" i="13" s="1"/>
  <c r="B484" i="19"/>
  <c r="G76" i="19" s="1"/>
  <c r="H1499" i="12" s="1"/>
  <c r="B1509" i="12"/>
  <c r="D1765" i="12"/>
  <c r="D1767" i="12"/>
  <c r="B1770" i="12" s="1"/>
  <c r="B1771" i="12" s="1"/>
  <c r="B1647" i="19"/>
  <c r="B1669" i="19" s="1"/>
  <c r="B1442" i="19"/>
  <c r="B3265" i="14"/>
  <c r="B3277" i="14"/>
  <c r="F242" i="10"/>
  <c r="M345" i="10"/>
  <c r="F247" i="10" s="1"/>
  <c r="M344" i="10"/>
  <c r="B242" i="10"/>
  <c r="I345" i="10"/>
  <c r="B247" i="10" s="1"/>
  <c r="I344" i="10"/>
  <c r="C242" i="10"/>
  <c r="J345" i="10"/>
  <c r="C247" i="10" s="1"/>
  <c r="J344" i="10"/>
  <c r="D242" i="10"/>
  <c r="K345" i="10"/>
  <c r="D247" i="10" s="1"/>
  <c r="K344" i="10"/>
  <c r="E242" i="10"/>
  <c r="L345" i="10"/>
  <c r="E247" i="10" s="1"/>
  <c r="L344" i="10"/>
  <c r="B1765" i="12"/>
  <c r="B446" i="14"/>
  <c r="K887" i="9"/>
  <c r="K890" i="9" s="1"/>
  <c r="B56" i="14"/>
  <c r="B1436" i="12" s="1"/>
  <c r="B3301" i="14"/>
  <c r="B3323" i="14" s="1"/>
  <c r="B3270" i="14"/>
  <c r="B3271" i="14" s="1"/>
  <c r="B3302" i="14"/>
  <c r="B3293" i="14"/>
  <c r="B3447" i="14"/>
  <c r="B3446" i="14" s="1"/>
  <c r="B3223" i="14"/>
  <c r="B3228" i="14" s="1"/>
  <c r="B3230" i="14" s="1"/>
  <c r="B2749" i="14"/>
  <c r="B2748" i="14" s="1"/>
  <c r="D56" i="14" s="1"/>
  <c r="D1436" i="12" s="1"/>
  <c r="B2587" i="16"/>
  <c r="B2585" i="16"/>
  <c r="C71" i="19"/>
  <c r="C1494" i="12" s="1"/>
  <c r="B1494" i="12"/>
  <c r="C1487" i="12"/>
  <c r="B1487" i="12"/>
  <c r="C52" i="19"/>
  <c r="C1475" i="12" s="1"/>
  <c r="B1475" i="12"/>
  <c r="B1477" i="12"/>
  <c r="C54" i="19"/>
  <c r="C1477" i="12" s="1"/>
  <c r="B1497" i="12"/>
  <c r="C74" i="19"/>
  <c r="C1497" i="12" s="1"/>
  <c r="B3305" i="14"/>
  <c r="B3317" i="14"/>
  <c r="B3240" i="14"/>
  <c r="B3245" i="14" s="1"/>
  <c r="B3246" i="14" s="1"/>
  <c r="B2836" i="14"/>
  <c r="B3295" i="14"/>
  <c r="B3296" i="14" s="1"/>
  <c r="B3333" i="14" s="1"/>
  <c r="B2809" i="14"/>
  <c r="B2815" i="14" s="1"/>
  <c r="B2841" i="14"/>
  <c r="B2842" i="14" s="1"/>
  <c r="B2792" i="14"/>
  <c r="B2797" i="14" s="1"/>
  <c r="B2799" i="14" s="1"/>
  <c r="B3319" i="14"/>
  <c r="B3320" i="14" s="1"/>
  <c r="B3334" i="14" s="1"/>
  <c r="B3283" i="14"/>
  <c r="B1261" i="16"/>
  <c r="H1459" i="12"/>
  <c r="B361" i="14"/>
  <c r="B358" i="14"/>
  <c r="B360" i="14" s="1"/>
  <c r="B362" i="14" s="1"/>
  <c r="B364" i="14" s="1"/>
  <c r="B3328" i="14"/>
  <c r="B3336" i="14" s="1"/>
  <c r="B2363" i="14" s="1"/>
  <c r="H272" i="13"/>
  <c r="C273" i="13"/>
  <c r="C278" i="13"/>
  <c r="C84" i="13" s="1"/>
  <c r="H276" i="13"/>
  <c r="C92" i="13"/>
  <c r="C277" i="13"/>
  <c r="C80" i="13"/>
  <c r="H81" i="13"/>
  <c r="B2727" i="16"/>
  <c r="B2731" i="16" s="1"/>
  <c r="B2733" i="16" s="1"/>
  <c r="B1032" i="16"/>
  <c r="B2657" i="16"/>
  <c r="C81" i="13"/>
  <c r="C82" i="13" s="1"/>
  <c r="C274" i="13"/>
  <c r="C93" i="13" s="1"/>
  <c r="C95" i="13"/>
  <c r="C272" i="13"/>
  <c r="C86" i="13"/>
  <c r="H86" i="13" s="1"/>
  <c r="C276" i="13"/>
  <c r="H277" i="13"/>
  <c r="H273" i="13"/>
  <c r="C83" i="13"/>
  <c r="G91" i="13"/>
  <c r="H91" i="13" s="1"/>
  <c r="B919" i="16"/>
  <c r="B944" i="16" s="1"/>
  <c r="B940" i="16" s="1"/>
  <c r="B2948" i="16"/>
  <c r="B2566" i="16"/>
  <c r="B2568" i="16" s="1"/>
  <c r="B1439" i="16"/>
  <c r="B1441" i="16" s="1"/>
  <c r="B2884" i="16"/>
  <c r="B2885" i="16" s="1"/>
  <c r="B2918" i="16" s="1"/>
  <c r="B2979" i="16"/>
  <c r="B2990" i="16" s="1"/>
  <c r="B2991" i="16" s="1"/>
  <c r="B427" i="19"/>
  <c r="F74" i="19"/>
  <c r="G1497" i="12" s="1"/>
  <c r="B1331" i="19"/>
  <c r="B1159" i="19"/>
  <c r="F54" i="19" s="1"/>
  <c r="G1477" i="12" s="1"/>
  <c r="D54" i="19"/>
  <c r="D1477" i="12" s="1"/>
  <c r="B1459" i="16"/>
  <c r="B870" i="16" s="1"/>
  <c r="B1110" i="16"/>
  <c r="B1262" i="16"/>
  <c r="B2608" i="16"/>
  <c r="B1031" i="16"/>
  <c r="B1109" i="16"/>
  <c r="B1461" i="16"/>
  <c r="B378" i="19"/>
  <c r="B380" i="19" s="1"/>
  <c r="B382" i="19" s="1"/>
  <c r="B384" i="19" s="1"/>
  <c r="B2877" i="16"/>
  <c r="B2980" i="16" s="1"/>
  <c r="B2981" i="16" s="1"/>
  <c r="B1661" i="19"/>
  <c r="B1681" i="19" s="1"/>
  <c r="B1864" i="19"/>
  <c r="B1889" i="19" s="1"/>
  <c r="B1910" i="19" s="1"/>
  <c r="B1912" i="19" s="1"/>
  <c r="B1254" i="19"/>
  <c r="B1228" i="19"/>
  <c r="B1255" i="19" s="1"/>
  <c r="B1276" i="19" s="1"/>
  <c r="B1278" i="19" s="1"/>
  <c r="B1896" i="19"/>
  <c r="B1898" i="19" s="1"/>
  <c r="B1900" i="19" s="1"/>
  <c r="B1443" i="19"/>
  <c r="G58" i="14"/>
  <c r="G1438" i="12" s="1"/>
  <c r="B2590" i="14"/>
  <c r="B2591" i="14"/>
  <c r="B3454" i="14" s="1"/>
  <c r="B1011" i="19"/>
  <c r="B1031" i="19" s="1"/>
  <c r="B1019" i="19"/>
  <c r="B903" i="19"/>
  <c r="B890" i="19"/>
  <c r="B878" i="19"/>
  <c r="B860" i="19"/>
  <c r="B1208" i="19" s="1"/>
  <c r="B1037" i="19"/>
  <c r="B1220" i="19" s="1"/>
  <c r="B1233" i="19" s="1"/>
  <c r="B1268" i="19"/>
  <c r="B1270" i="19" s="1"/>
  <c r="B1271" i="19" s="1"/>
  <c r="B1273" i="19" s="1"/>
  <c r="B973" i="19"/>
  <c r="B801" i="19"/>
  <c r="B1206" i="19" s="1"/>
  <c r="B1207" i="19" s="1"/>
  <c r="B1223" i="19" s="1"/>
  <c r="B924" i="19"/>
  <c r="B820" i="19"/>
  <c r="B940" i="19"/>
  <c r="B979" i="19"/>
  <c r="B1235" i="19" s="1"/>
  <c r="B1246" i="19" s="1"/>
  <c r="B842" i="19"/>
  <c r="B1210" i="19" s="1"/>
  <c r="B829" i="19"/>
  <c r="B947" i="19"/>
  <c r="B960" i="19" s="1"/>
  <c r="B1264" i="19"/>
  <c r="B1266" i="19" s="1"/>
  <c r="K485" i="8"/>
  <c r="I190" i="8" s="1"/>
  <c r="L485" i="8"/>
  <c r="J190" i="8" s="1"/>
  <c r="B843" i="19"/>
  <c r="B906" i="19"/>
  <c r="B904" i="19" s="1"/>
  <c r="B1294" i="19"/>
  <c r="B1288" i="19"/>
  <c r="B1083" i="19"/>
  <c r="B1087" i="19"/>
  <c r="B1085" i="19"/>
  <c r="B1079" i="19" s="1"/>
  <c r="B1086" i="19"/>
  <c r="B1084" i="19"/>
  <c r="B806" i="19"/>
  <c r="B805" i="19" s="1"/>
  <c r="B830" i="19"/>
  <c r="B927" i="19"/>
  <c r="B601" i="19"/>
  <c r="B602" i="19" s="1"/>
  <c r="B603" i="19" s="1"/>
  <c r="B1201" i="19"/>
  <c r="B1212" i="19"/>
  <c r="B1021" i="19"/>
  <c r="B1020" i="19" s="1"/>
  <c r="B1000" i="19"/>
  <c r="B999" i="19" s="1"/>
  <c r="B1633" i="19"/>
  <c r="B1632" i="19" s="1"/>
  <c r="B1630" i="19" s="1"/>
  <c r="B1712" i="19"/>
  <c r="B62" i="19" s="1"/>
  <c r="B1714" i="19"/>
  <c r="B1713" i="19" s="1"/>
  <c r="B1454" i="19"/>
  <c r="B1496" i="19"/>
  <c r="B1495" i="19" s="1"/>
  <c r="B1648" i="19"/>
  <c r="B1730" i="19"/>
  <c r="B1756" i="19"/>
  <c r="B1758" i="19"/>
  <c r="B1757" i="19" s="1"/>
  <c r="B1766" i="19"/>
  <c r="B1767" i="19" s="1"/>
  <c r="B1719" i="19"/>
  <c r="B1718" i="19" s="1"/>
  <c r="B1921" i="19"/>
  <c r="B1925" i="19"/>
  <c r="B1927" i="19" s="1"/>
  <c r="B1913" i="19"/>
  <c r="B1914" i="19" s="1"/>
  <c r="B2028" i="19"/>
  <c r="B2025" i="19" s="1"/>
  <c r="B1839" i="19"/>
  <c r="B1918" i="19"/>
  <c r="B1920" i="19" s="1"/>
  <c r="B1662" i="19"/>
  <c r="B1727" i="19"/>
  <c r="B2075" i="19"/>
  <c r="B2076" i="19" s="1"/>
  <c r="B1038" i="19"/>
  <c r="B1047" i="19" s="1"/>
  <c r="B1387" i="19"/>
  <c r="B788" i="19"/>
  <c r="B468" i="19"/>
  <c r="G75" i="19" s="1"/>
  <c r="H1498" i="12" s="1"/>
  <c r="B2894" i="16"/>
  <c r="B2571" i="16"/>
  <c r="B2584" i="16"/>
  <c r="B2586" i="16"/>
  <c r="I433" i="8"/>
  <c r="I434" i="8" s="1"/>
  <c r="I468" i="8" s="1"/>
  <c r="I466" i="8" s="1"/>
  <c r="E66" i="8" s="1"/>
  <c r="I826" i="9"/>
  <c r="B594" i="9"/>
  <c r="D597" i="9" s="1"/>
  <c r="B1839" i="12"/>
  <c r="B523" i="16" s="1"/>
  <c r="B524" i="16" s="1"/>
  <c r="B597" i="13"/>
  <c r="K467" i="8"/>
  <c r="G67" i="8" s="1"/>
  <c r="D982" i="12" s="1"/>
  <c r="L826" i="9"/>
  <c r="B3279" i="14"/>
  <c r="B2774" i="14"/>
  <c r="B2776" i="14" s="1"/>
  <c r="B1040" i="13"/>
  <c r="L467" i="8"/>
  <c r="H67" i="8" s="1"/>
  <c r="E982" i="12" s="1"/>
  <c r="B671" i="13"/>
  <c r="B672" i="13" s="1"/>
  <c r="B673" i="13" s="1"/>
  <c r="I835" i="9"/>
  <c r="I836" i="9" s="1"/>
  <c r="I725" i="9" s="1"/>
  <c r="B2993" i="14"/>
  <c r="B2994" i="14" s="1"/>
  <c r="B3467" i="14" s="1"/>
  <c r="B2531" i="14"/>
  <c r="B2532" i="14" s="1"/>
  <c r="B3459" i="14" s="1"/>
  <c r="B541" i="15"/>
  <c r="B542" i="15" s="1"/>
  <c r="B550" i="15"/>
  <c r="B555" i="15" s="1"/>
  <c r="B557" i="15" s="1"/>
  <c r="B2549" i="16"/>
  <c r="J467" i="8"/>
  <c r="F67" i="8" s="1"/>
  <c r="C982" i="12" s="1"/>
  <c r="B2553" i="16"/>
  <c r="C1745" i="12"/>
  <c r="C1746" i="12" s="1"/>
  <c r="B1748" i="12" s="1"/>
  <c r="B417" i="14"/>
  <c r="B428" i="14" s="1"/>
  <c r="B430" i="14" s="1"/>
  <c r="B515" i="14"/>
  <c r="C87" i="8"/>
  <c r="C89" i="8"/>
  <c r="B61" i="10" s="1"/>
  <c r="K74" i="8"/>
  <c r="L74" i="8" s="1"/>
  <c r="A92" i="8" s="1"/>
  <c r="K435" i="8"/>
  <c r="K504" i="8" s="1"/>
  <c r="G70" i="8"/>
  <c r="D984" i="12" s="1"/>
  <c r="I435" i="8"/>
  <c r="I461" i="8" s="1"/>
  <c r="E70" i="8"/>
  <c r="B984" i="12" s="1"/>
  <c r="K466" i="8"/>
  <c r="G66" i="8" s="1"/>
  <c r="G68" i="8"/>
  <c r="D983" i="12" s="1"/>
  <c r="L435" i="8"/>
  <c r="L461" i="8" s="1"/>
  <c r="H70" i="8"/>
  <c r="E984" i="12" s="1"/>
  <c r="J435" i="8"/>
  <c r="J504" i="8" s="1"/>
  <c r="F70" i="8"/>
  <c r="C984" i="12" s="1"/>
  <c r="M435" i="8"/>
  <c r="I70" i="8"/>
  <c r="F984" i="12" s="1"/>
  <c r="C57" i="14"/>
  <c r="C1437" i="12" s="1"/>
  <c r="B3035" i="14"/>
  <c r="B488" i="13"/>
  <c r="B489" i="13" s="1"/>
  <c r="B490" i="13" s="1"/>
  <c r="B1419" i="13" s="1"/>
  <c r="B535" i="15"/>
  <c r="B545" i="15" s="1"/>
  <c r="B3278" i="14"/>
  <c r="K835" i="9"/>
  <c r="K836" i="9" s="1"/>
  <c r="K725" i="9" s="1"/>
  <c r="K729" i="9" s="1"/>
  <c r="M424" i="8"/>
  <c r="M425" i="8" s="1"/>
  <c r="M427" i="8" s="1"/>
  <c r="M429" i="8" s="1"/>
  <c r="M432" i="8" s="1"/>
  <c r="G69" i="14"/>
  <c r="G1449" i="12" s="1"/>
  <c r="F225" i="14"/>
  <c r="F69" i="14" s="1"/>
  <c r="F1449" i="12" s="1"/>
  <c r="L466" i="8"/>
  <c r="H66" i="8" s="1"/>
  <c r="B182" i="15"/>
  <c r="B183" i="15" s="1"/>
  <c r="B2583" i="14"/>
  <c r="B675" i="13"/>
  <c r="B1116" i="13" s="1"/>
  <c r="B312" i="15"/>
  <c r="L734" i="9"/>
  <c r="L737" i="9" s="1"/>
  <c r="L739" i="9" s="1"/>
  <c r="L746" i="9" s="1"/>
  <c r="L747" i="9" s="1"/>
  <c r="F229" i="14"/>
  <c r="F60" i="14" s="1"/>
  <c r="F1440" i="12" s="1"/>
  <c r="G60" i="14"/>
  <c r="G1440" i="12" s="1"/>
  <c r="J826" i="9"/>
  <c r="H100" i="13"/>
  <c r="H102" i="13" s="1"/>
  <c r="B3162" i="14"/>
  <c r="I887" i="9"/>
  <c r="I890" i="9" s="1"/>
  <c r="B809" i="15"/>
  <c r="B812" i="15"/>
  <c r="B818" i="15" s="1"/>
  <c r="B824" i="15"/>
  <c r="M513" i="8"/>
  <c r="M517" i="8" s="1"/>
  <c r="M522" i="8"/>
  <c r="B3169" i="14"/>
  <c r="B3215" i="14" s="1"/>
  <c r="B3306" i="14" s="1"/>
  <c r="B3170" i="14"/>
  <c r="B3171" i="14" s="1"/>
  <c r="B2729" i="14"/>
  <c r="B2730" i="14" s="1"/>
  <c r="B2731" i="14" s="1"/>
  <c r="B2739" i="14"/>
  <c r="B2740" i="14" s="1"/>
  <c r="B2741" i="14" s="1"/>
  <c r="B3178" i="14"/>
  <c r="B3179" i="14" s="1"/>
  <c r="B3180" i="14" s="1"/>
  <c r="B3181" i="14" s="1"/>
  <c r="G62" i="14"/>
  <c r="G1442" i="12" s="1"/>
  <c r="G59" i="14"/>
  <c r="G1439" i="12" s="1"/>
  <c r="B2397" i="14"/>
  <c r="B2411" i="14" s="1"/>
  <c r="B2412" i="14" s="1"/>
  <c r="B2417" i="14"/>
  <c r="B2416" i="14" s="1"/>
  <c r="B2456" i="14"/>
  <c r="B2623" i="14"/>
  <c r="B2620" i="14" s="1"/>
  <c r="B2631" i="14" s="1"/>
  <c r="B2632" i="14" s="1"/>
  <c r="B2484" i="14"/>
  <c r="B2492" i="14" s="1"/>
  <c r="B2493" i="14" s="1"/>
  <c r="B2432" i="14"/>
  <c r="B2433" i="14" s="1"/>
  <c r="B2643" i="14"/>
  <c r="B2651" i="14" s="1"/>
  <c r="B2652" i="14" s="1"/>
  <c r="B683" i="13"/>
  <c r="B665" i="13"/>
  <c r="B1106" i="13" s="1"/>
  <c r="B854" i="13"/>
  <c r="B855" i="13" s="1"/>
  <c r="B906" i="13"/>
  <c r="B914" i="13" s="1"/>
  <c r="B915" i="13" s="1"/>
  <c r="B1046" i="13"/>
  <c r="B1054" i="13" s="1"/>
  <c r="B1055" i="13" s="1"/>
  <c r="B818" i="13"/>
  <c r="B832" i="13" s="1"/>
  <c r="B833" i="13" s="1"/>
  <c r="B1026" i="13"/>
  <c r="B1023" i="13" s="1"/>
  <c r="B1034" i="13" s="1"/>
  <c r="B1035" i="13" s="1"/>
  <c r="B838" i="13"/>
  <c r="B837" i="13" s="1"/>
  <c r="B878" i="13"/>
  <c r="B699" i="13"/>
  <c r="B700" i="13" s="1"/>
  <c r="B701" i="13" s="1"/>
  <c r="B1138" i="13"/>
  <c r="B1139" i="13" s="1"/>
  <c r="B1140" i="13" s="1"/>
  <c r="B1141" i="13" s="1"/>
  <c r="G95" i="13"/>
  <c r="F95" i="13" s="1"/>
  <c r="B940" i="13"/>
  <c r="B1428" i="13" s="1"/>
  <c r="H95" i="13" s="1"/>
  <c r="B1176" i="13"/>
  <c r="B1162" i="13"/>
  <c r="B1174" i="13"/>
  <c r="B1163" i="13"/>
  <c r="B2787" i="14"/>
  <c r="B2788" i="14" s="1"/>
  <c r="B2789" i="14" s="1"/>
  <c r="B3282" i="14"/>
  <c r="B2945" i="16"/>
  <c r="B728" i="16"/>
  <c r="B729" i="16" s="1"/>
  <c r="B2880" i="16"/>
  <c r="B815" i="16"/>
  <c r="B816" i="16" s="1"/>
  <c r="H734" i="9"/>
  <c r="H737" i="9" s="1"/>
  <c r="H739" i="9" s="1"/>
  <c r="H746" i="9" s="1"/>
  <c r="H747" i="9" s="1"/>
  <c r="B745" i="15"/>
  <c r="B747" i="15" s="1"/>
  <c r="B742" i="15"/>
  <c r="B3086" i="14"/>
  <c r="B3094" i="14" s="1"/>
  <c r="B3095" i="14" s="1"/>
  <c r="B2946" i="14"/>
  <c r="B2954" i="14" s="1"/>
  <c r="B2955" i="14" s="1"/>
  <c r="B2894" i="14"/>
  <c r="B2895" i="14" s="1"/>
  <c r="L513" i="8"/>
  <c r="L517" i="8" s="1"/>
  <c r="L522" i="8"/>
  <c r="B801" i="15"/>
  <c r="B625" i="15"/>
  <c r="B631" i="15"/>
  <c r="B632" i="15" s="1"/>
  <c r="B628" i="15"/>
  <c r="B634" i="15" s="1"/>
  <c r="B636" i="15" s="1"/>
  <c r="B642" i="15"/>
  <c r="B324" i="15"/>
  <c r="B331" i="15"/>
  <c r="B332" i="15" s="1"/>
  <c r="B418" i="15" s="1"/>
  <c r="B425" i="15" s="1"/>
  <c r="B328" i="15"/>
  <c r="B746" i="13"/>
  <c r="B1243" i="13" s="1"/>
  <c r="B1239" i="13"/>
  <c r="B513" i="13"/>
  <c r="D277" i="13"/>
  <c r="B521" i="13"/>
  <c r="B523" i="13" s="1"/>
  <c r="B524" i="13" s="1"/>
  <c r="B525" i="13" s="1"/>
  <c r="B1417" i="13" s="1"/>
  <c r="G276" i="13"/>
  <c r="F276" i="13" s="1"/>
  <c r="B541" i="13"/>
  <c r="B442" i="13"/>
  <c r="B450" i="13" s="1"/>
  <c r="B451" i="13" s="1"/>
  <c r="B390" i="13"/>
  <c r="B391" i="13" s="1"/>
  <c r="B603" i="13"/>
  <c r="B611" i="13" s="1"/>
  <c r="B612" i="13" s="1"/>
  <c r="B375" i="13"/>
  <c r="B374" i="13" s="1"/>
  <c r="B355" i="13"/>
  <c r="B369" i="13" s="1"/>
  <c r="B370" i="13" s="1"/>
  <c r="B414" i="13"/>
  <c r="B583" i="13"/>
  <c r="B580" i="13" s="1"/>
  <c r="B591" i="13" s="1"/>
  <c r="B592" i="13" s="1"/>
  <c r="G93" i="13"/>
  <c r="F274" i="13"/>
  <c r="F93" i="13" s="1"/>
  <c r="B2154" i="13"/>
  <c r="B2156" i="13" s="1"/>
  <c r="D109" i="13"/>
  <c r="G109" i="13" s="1"/>
  <c r="H109" i="13" s="1"/>
  <c r="B2212" i="13"/>
  <c r="B2213" i="13" s="1"/>
  <c r="B2214" i="13" s="1"/>
  <c r="K513" i="8"/>
  <c r="K517" i="8" s="1"/>
  <c r="K522" i="8"/>
  <c r="I513" i="8"/>
  <c r="I517" i="8" s="1"/>
  <c r="I522" i="8"/>
  <c r="B895" i="15"/>
  <c r="B898" i="15" s="1"/>
  <c r="B910" i="15" s="1"/>
  <c r="B913" i="15" s="1"/>
  <c r="B894" i="15"/>
  <c r="B897" i="15" s="1"/>
  <c r="B880" i="15"/>
  <c r="B885" i="15" s="1"/>
  <c r="B893" i="15"/>
  <c r="B896" i="15" s="1"/>
  <c r="B900" i="15"/>
  <c r="B901" i="15" s="1"/>
  <c r="B903" i="15" s="1"/>
  <c r="B240" i="15"/>
  <c r="K826" i="9"/>
  <c r="B152" i="15"/>
  <c r="B154" i="15" s="1"/>
  <c r="B149" i="15"/>
  <c r="B616" i="13"/>
  <c r="B624" i="13" s="1"/>
  <c r="B625" i="13" s="1"/>
  <c r="B407" i="13"/>
  <c r="B408" i="13" s="1"/>
  <c r="H826" i="9"/>
  <c r="B2705" i="14"/>
  <c r="B3146" i="14" s="1"/>
  <c r="B2723" i="14"/>
  <c r="G71" i="14"/>
  <c r="G1451" i="12" s="1"/>
  <c r="B2980" i="14"/>
  <c r="B3468" i="14" s="1"/>
  <c r="F227" i="14"/>
  <c r="B3217" i="14"/>
  <c r="B3307" i="14" s="1"/>
  <c r="B3303" i="14"/>
  <c r="B3205" i="14"/>
  <c r="B3207" i="14" s="1"/>
  <c r="B213" i="15"/>
  <c r="B215" i="15" s="1"/>
  <c r="B210" i="15"/>
  <c r="B1069" i="15"/>
  <c r="B1072" i="15" s="1"/>
  <c r="B1071" i="15"/>
  <c r="B1074" i="15" s="1"/>
  <c r="B1093" i="15" s="1"/>
  <c r="B1096" i="15" s="1"/>
  <c r="B1078" i="15"/>
  <c r="B1079" i="15" s="1"/>
  <c r="B1081" i="15" s="1"/>
  <c r="B1083" i="15" s="1"/>
  <c r="B1070" i="15"/>
  <c r="B1045" i="15"/>
  <c r="B1050" i="15" s="1"/>
  <c r="B611" i="15"/>
  <c r="B615" i="15"/>
  <c r="B616" i="15" s="1"/>
  <c r="B1129" i="13"/>
  <c r="B1175" i="13" s="1"/>
  <c r="B1130" i="13"/>
  <c r="B1131" i="13" s="1"/>
  <c r="B1132" i="13" s="1"/>
  <c r="B689" i="13"/>
  <c r="B690" i="13" s="1"/>
  <c r="B691" i="13" s="1"/>
  <c r="G83" i="13"/>
  <c r="B559" i="13"/>
  <c r="B1415" i="13" s="1"/>
  <c r="H83" i="13" s="1"/>
  <c r="G82" i="13"/>
  <c r="B551" i="13"/>
  <c r="G81" i="13"/>
  <c r="B549" i="13"/>
  <c r="B1177" i="13"/>
  <c r="B1267" i="13" s="1"/>
  <c r="B1263" i="13"/>
  <c r="B2774" i="16"/>
  <c r="B2775" i="16" s="1"/>
  <c r="H887" i="9"/>
  <c r="H725" i="9"/>
  <c r="B3152" i="14"/>
  <c r="B3153" i="14" s="1"/>
  <c r="B3154" i="14" s="1"/>
  <c r="B2712" i="14"/>
  <c r="B2713" i="14" s="1"/>
  <c r="B735" i="15"/>
  <c r="B254" i="15"/>
  <c r="B256" i="15" s="1"/>
  <c r="B247" i="15"/>
  <c r="B953" i="13"/>
  <c r="B954" i="13" s="1"/>
  <c r="B1427" i="13" s="1"/>
  <c r="H274" i="13" s="1"/>
  <c r="H93" i="13" s="1"/>
  <c r="B2656" i="14"/>
  <c r="B2664" i="14" s="1"/>
  <c r="B2665" i="14" s="1"/>
  <c r="B2449" i="14"/>
  <c r="B2450" i="14" s="1"/>
  <c r="B2918" i="14"/>
  <c r="B2858" i="14"/>
  <c r="B2872" i="14" s="1"/>
  <c r="B2873" i="14" s="1"/>
  <c r="B2878" i="14"/>
  <c r="B2877" i="14" s="1"/>
  <c r="B3066" i="14"/>
  <c r="B3063" i="14" s="1"/>
  <c r="B3074" i="14" s="1"/>
  <c r="B3075" i="14" s="1"/>
  <c r="F223" i="14"/>
  <c r="B2563" i="14"/>
  <c r="B2565" i="14" s="1"/>
  <c r="B2566" i="14" s="1"/>
  <c r="B2567" i="14" s="1"/>
  <c r="B3457" i="14" s="1"/>
  <c r="D228" i="14"/>
  <c r="B2555" i="14"/>
  <c r="B3099" i="14"/>
  <c r="B3107" i="14" s="1"/>
  <c r="B3108" i="14" s="1"/>
  <c r="B2911" i="14"/>
  <c r="B2912" i="14" s="1"/>
  <c r="D224" i="14"/>
  <c r="B3017" i="14"/>
  <c r="L835" i="9"/>
  <c r="L836" i="9" s="1"/>
  <c r="L725" i="9" s="1"/>
  <c r="B815" i="15"/>
  <c r="B816" i="15" s="1"/>
  <c r="B635" i="15"/>
  <c r="B626" i="15"/>
  <c r="B645" i="15"/>
  <c r="B651" i="15"/>
  <c r="B313" i="15"/>
  <c r="B731" i="13"/>
  <c r="B732" i="13"/>
  <c r="B745" i="13"/>
  <c r="B743" i="13"/>
  <c r="D84" i="13"/>
  <c r="G278" i="13"/>
  <c r="G84" i="13" s="1"/>
  <c r="B871" i="13"/>
  <c r="B872" i="13" s="1"/>
  <c r="B1059" i="13"/>
  <c r="B1067" i="13" s="1"/>
  <c r="B1068" i="13" s="1"/>
  <c r="B977" i="13"/>
  <c r="D273" i="13"/>
  <c r="K734" i="9"/>
  <c r="K737" i="9" s="1"/>
  <c r="K739" i="9" s="1"/>
  <c r="K746" i="9" s="1"/>
  <c r="K747" i="9" s="1"/>
  <c r="B2605" i="16"/>
  <c r="B720" i="16"/>
  <c r="B721" i="16" s="1"/>
  <c r="D85" i="14"/>
  <c r="D1465" i="12" s="1"/>
  <c r="B503" i="14"/>
  <c r="B504" i="14" s="1"/>
  <c r="B505" i="14" s="1"/>
  <c r="B539" i="14" s="1"/>
  <c r="J835" i="9"/>
  <c r="J836" i="9" s="1"/>
  <c r="J725" i="9" s="1"/>
  <c r="H889" i="9"/>
  <c r="B879" i="15"/>
  <c r="B259" i="15"/>
  <c r="B251" i="15"/>
  <c r="L887" i="9"/>
  <c r="L890" i="9" s="1"/>
  <c r="B142" i="15"/>
  <c r="G272" i="13"/>
  <c r="F272" i="13" s="1"/>
  <c r="B995" i="13"/>
  <c r="J887" i="9"/>
  <c r="J890" i="9" s="1"/>
  <c r="J734" i="9"/>
  <c r="J737" i="9" s="1"/>
  <c r="J739" i="9" s="1"/>
  <c r="J746" i="9" s="1"/>
  <c r="J747" i="9" s="1"/>
  <c r="I734" i="9"/>
  <c r="I737" i="9" s="1"/>
  <c r="I739" i="9" s="1"/>
  <c r="I746" i="9" s="1"/>
  <c r="I747" i="9" s="1"/>
  <c r="B759" i="13"/>
  <c r="B1246" i="13"/>
  <c r="B1247" i="13" s="1"/>
  <c r="B1286" i="13" s="1"/>
  <c r="B1292" i="13"/>
  <c r="B1300" i="13" s="1"/>
  <c r="B1346" i="13" s="1"/>
  <c r="B2886" i="16"/>
  <c r="B1195" i="13"/>
  <c r="B1196" i="13" s="1"/>
  <c r="B1273" i="13"/>
  <c r="B1274" i="13" s="1"/>
  <c r="B764" i="13"/>
  <c r="B765" i="13" s="1"/>
  <c r="G80" i="13"/>
  <c r="H80" i="13" s="1"/>
  <c r="B2704" i="14" l="1"/>
  <c r="B664" i="13"/>
  <c r="B1105" i="13" s="1"/>
  <c r="J522" i="8"/>
  <c r="J466" i="8"/>
  <c r="F66" i="8" s="1"/>
  <c r="B3310" i="14"/>
  <c r="B3311" i="14" s="1"/>
  <c r="B550" i="13"/>
  <c r="B1414" i="13" s="1"/>
  <c r="B552" i="13"/>
  <c r="H92" i="13" s="1"/>
  <c r="B87" i="10"/>
  <c r="C162" i="10" s="1"/>
  <c r="D246" i="10"/>
  <c r="D87" i="10"/>
  <c r="E246" i="10"/>
  <c r="E87" i="10"/>
  <c r="C246" i="10"/>
  <c r="C87" i="10"/>
  <c r="F246" i="10"/>
  <c r="F87" i="10"/>
  <c r="C58" i="14"/>
  <c r="C1438" i="12" s="1"/>
  <c r="C68" i="14"/>
  <c r="B885" i="16"/>
  <c r="B899" i="16" s="1"/>
  <c r="B886" i="16"/>
  <c r="B900" i="16" s="1"/>
  <c r="B808" i="16" s="1"/>
  <c r="B246" i="10"/>
  <c r="B3095" i="16"/>
  <c r="H228" i="14"/>
  <c r="H227" i="14"/>
  <c r="C67" i="14"/>
  <c r="C1447" i="12" s="1"/>
  <c r="B3324" i="14"/>
  <c r="C223" i="14"/>
  <c r="C71" i="14"/>
  <c r="C1451" i="12" s="1"/>
  <c r="C59" i="14"/>
  <c r="C1439" i="12" s="1"/>
  <c r="H225" i="14"/>
  <c r="H69" i="14" s="1"/>
  <c r="H1449" i="12" s="1"/>
  <c r="G56" i="14"/>
  <c r="G1436" i="12" s="1"/>
  <c r="H71" i="14"/>
  <c r="H1451" i="12" s="1"/>
  <c r="C229" i="14"/>
  <c r="C60" i="14" s="1"/>
  <c r="C1440" i="12" s="1"/>
  <c r="C224" i="14"/>
  <c r="C227" i="14"/>
  <c r="H223" i="14"/>
  <c r="C225" i="14"/>
  <c r="H224" i="14"/>
  <c r="C62" i="14"/>
  <c r="C1442" i="12" s="1"/>
  <c r="C228" i="14"/>
  <c r="C56" i="14"/>
  <c r="C1436" i="12" s="1"/>
  <c r="C76" i="14"/>
  <c r="C1456" i="12" s="1"/>
  <c r="H229" i="14"/>
  <c r="H60" i="14" s="1"/>
  <c r="H1440" i="12" s="1"/>
  <c r="B2753" i="14"/>
  <c r="B2754" i="14" s="1"/>
  <c r="B3452" i="14" s="1"/>
  <c r="B3234" i="14"/>
  <c r="B3313" i="14" s="1"/>
  <c r="B3314" i="14" s="1"/>
  <c r="B3316" i="14"/>
  <c r="B2816" i="14"/>
  <c r="B2817" i="14" s="1"/>
  <c r="B2803" i="14"/>
  <c r="B2804" i="14" s="1"/>
  <c r="B2805" i="14" s="1"/>
  <c r="B3342" i="14"/>
  <c r="B3384" i="14" s="1"/>
  <c r="B3330" i="14"/>
  <c r="B3338" i="14" s="1"/>
  <c r="B3352" i="14" s="1"/>
  <c r="B3354" i="14" s="1"/>
  <c r="B3286" i="14"/>
  <c r="B3287" i="14" s="1"/>
  <c r="B3326" i="14" s="1"/>
  <c r="B3292" i="14"/>
  <c r="B3332" i="14" s="1"/>
  <c r="B3340" i="14" s="1"/>
  <c r="B3386" i="14" s="1"/>
  <c r="C62" i="19"/>
  <c r="C1485" i="12" s="1"/>
  <c r="B1485" i="12"/>
  <c r="B2982" i="16"/>
  <c r="B2878" i="16"/>
  <c r="B363" i="14"/>
  <c r="B367" i="14" s="1"/>
  <c r="B651" i="19"/>
  <c r="B649" i="19" s="1"/>
  <c r="B660" i="19" s="1"/>
  <c r="B661" i="19" s="1"/>
  <c r="B662" i="19" s="1"/>
  <c r="B664" i="19" s="1"/>
  <c r="B666" i="19" s="1"/>
  <c r="B667" i="19" s="1"/>
  <c r="B668" i="19" s="1"/>
  <c r="B669" i="19" s="1"/>
  <c r="B670" i="19" s="1"/>
  <c r="E54" i="19"/>
  <c r="F1477" i="12" s="1"/>
  <c r="G74" i="19"/>
  <c r="H1497" i="12" s="1"/>
  <c r="E74" i="19"/>
  <c r="F1497" i="12" s="1"/>
  <c r="B909" i="16"/>
  <c r="B942" i="16" s="1"/>
  <c r="B2687" i="16"/>
  <c r="B2689" i="16" s="1"/>
  <c r="B2992" i="16"/>
  <c r="B3037" i="16"/>
  <c r="B3041" i="16" s="1"/>
  <c r="B3044" i="16"/>
  <c r="B3048" i="16" s="1"/>
  <c r="B3045" i="16"/>
  <c r="B3049" i="16" s="1"/>
  <c r="B2575" i="16"/>
  <c r="B2576" i="16" s="1"/>
  <c r="B2908" i="16"/>
  <c r="B928" i="16"/>
  <c r="B934" i="16"/>
  <c r="B2909" i="16"/>
  <c r="B937" i="16"/>
  <c r="B383" i="19"/>
  <c r="B386" i="19" s="1"/>
  <c r="B385" i="19" s="1"/>
  <c r="B1160" i="19"/>
  <c r="G54" i="19" s="1"/>
  <c r="H1477" i="12" s="1"/>
  <c r="B1048" i="19"/>
  <c r="B2033" i="19"/>
  <c r="B2034" i="19" s="1"/>
  <c r="B2044" i="19" s="1"/>
  <c r="B2053" i="19"/>
  <c r="B2073" i="19" s="1"/>
  <c r="B2074" i="19" s="1"/>
  <c r="B1209" i="19"/>
  <c r="B1244" i="19"/>
  <c r="H58" i="14"/>
  <c r="H1438" i="12" s="1"/>
  <c r="B2045" i="19"/>
  <c r="B2046" i="19" s="1"/>
  <c r="B2043" i="19"/>
  <c r="B650" i="19"/>
  <c r="B2052" i="19"/>
  <c r="B2072" i="19" s="1"/>
  <c r="B1553" i="19"/>
  <c r="B1540" i="19"/>
  <c r="B1510" i="19"/>
  <c r="B1847" i="19" s="1"/>
  <c r="B1528" i="19"/>
  <c r="B1687" i="19"/>
  <c r="B1856" i="19" s="1"/>
  <c r="B1868" i="19" s="1"/>
  <c r="B1902" i="19"/>
  <c r="B1904" i="19" s="1"/>
  <c r="B1451" i="19"/>
  <c r="B1845" i="19" s="1"/>
  <c r="B1846" i="19" s="1"/>
  <c r="B1859" i="19" s="1"/>
  <c r="B2042" i="19" s="1"/>
  <c r="B1574" i="19"/>
  <c r="B1623" i="19"/>
  <c r="B1479" i="19"/>
  <c r="B1492" i="19"/>
  <c r="B1597" i="19"/>
  <c r="B1610" i="19" s="1"/>
  <c r="B1629" i="19"/>
  <c r="B1870" i="19" s="1"/>
  <c r="B1880" i="19" s="1"/>
  <c r="B1590" i="19"/>
  <c r="B1470" i="19"/>
  <c r="B789" i="19"/>
  <c r="B915" i="19" s="1"/>
  <c r="B916" i="19" s="1"/>
  <c r="B1394" i="19"/>
  <c r="B1666" i="19" s="1"/>
  <c r="B1667" i="19" s="1"/>
  <c r="B1668" i="19" s="1"/>
  <c r="B1840" i="19"/>
  <c r="B1851" i="19"/>
  <c r="B2069" i="19"/>
  <c r="B2049" i="19"/>
  <c r="B2059" i="19"/>
  <c r="B2039" i="19"/>
  <c r="B2079" i="19"/>
  <c r="B1733" i="19"/>
  <c r="B1734" i="19"/>
  <c r="B1735" i="19"/>
  <c r="B1729" i="19" s="1"/>
  <c r="B1736" i="19"/>
  <c r="B1737" i="19"/>
  <c r="B1493" i="19"/>
  <c r="B1556" i="19"/>
  <c r="B1554" i="19" s="1"/>
  <c r="B1688" i="19"/>
  <c r="B1697" i="19" s="1"/>
  <c r="B1032" i="19"/>
  <c r="B1033" i="19" s="1"/>
  <c r="B1034" i="19" s="1"/>
  <c r="B1001" i="19"/>
  <c r="B1006" i="19" s="1"/>
  <c r="B1009" i="19" s="1"/>
  <c r="B1010" i="19" s="1"/>
  <c r="B1028" i="19"/>
  <c r="B1029" i="19" s="1"/>
  <c r="B1030" i="19" s="1"/>
  <c r="B1221" i="19"/>
  <c r="B1236" i="19"/>
  <c r="B1211" i="19"/>
  <c r="B1222" i="19"/>
  <c r="B1096" i="19"/>
  <c r="B1097" i="19" s="1"/>
  <c r="B1016" i="19"/>
  <c r="B1017" i="19" s="1"/>
  <c r="B1018" i="19" s="1"/>
  <c r="B1964" i="19"/>
  <c r="B1965" i="19" s="1"/>
  <c r="B1922" i="19"/>
  <c r="B2022" i="19"/>
  <c r="B2017" i="19"/>
  <c r="B1928" i="19"/>
  <c r="B1649" i="19"/>
  <c r="B1650" i="19"/>
  <c r="B1670" i="19"/>
  <c r="B1671" i="19"/>
  <c r="B1480" i="19"/>
  <c r="B1456" i="19"/>
  <c r="B1455" i="19" s="1"/>
  <c r="B1577" i="19"/>
  <c r="B1224" i="19"/>
  <c r="B1248" i="19"/>
  <c r="B891" i="19"/>
  <c r="B948" i="19"/>
  <c r="B802" i="19"/>
  <c r="B822" i="19"/>
  <c r="B821" i="19" s="1"/>
  <c r="B941" i="19" s="1"/>
  <c r="B928" i="19"/>
  <c r="B925" i="19" s="1"/>
  <c r="B863" i="19"/>
  <c r="B961" i="19"/>
  <c r="B2592" i="16"/>
  <c r="B2590" i="16"/>
  <c r="E68" i="8"/>
  <c r="B983" i="12" s="1"/>
  <c r="B2591" i="16"/>
  <c r="B552" i="15"/>
  <c r="B558" i="15" s="1"/>
  <c r="B559" i="15" s="1"/>
  <c r="B525" i="16"/>
  <c r="B1112" i="13"/>
  <c r="B1113" i="13" s="1"/>
  <c r="B1114" i="13" s="1"/>
  <c r="B3325" i="14"/>
  <c r="I728" i="9"/>
  <c r="I729" i="9"/>
  <c r="B1037" i="15"/>
  <c r="B329" i="15"/>
  <c r="H278" i="13"/>
  <c r="H84" i="13" s="1"/>
  <c r="K505" i="8"/>
  <c r="K506" i="8" s="1"/>
  <c r="K728" i="9"/>
  <c r="B2556" i="16"/>
  <c r="L504" i="8"/>
  <c r="L519" i="8" s="1"/>
  <c r="L525" i="8" s="1"/>
  <c r="I460" i="8"/>
  <c r="I462" i="8" s="1"/>
  <c r="B2555" i="16"/>
  <c r="L460" i="8"/>
  <c r="L462" i="8" s="1"/>
  <c r="I504" i="8"/>
  <c r="I519" i="8" s="1"/>
  <c r="I525" i="8" s="1"/>
  <c r="C1747" i="12"/>
  <c r="B1750" i="12" s="1"/>
  <c r="B1751" i="12" s="1"/>
  <c r="B1842" i="12"/>
  <c r="B1840" i="12"/>
  <c r="F76" i="14"/>
  <c r="F1456" i="12" s="1"/>
  <c r="B516" i="14"/>
  <c r="G76" i="14" s="1"/>
  <c r="G1456" i="12" s="1"/>
  <c r="B527" i="14"/>
  <c r="B431" i="14"/>
  <c r="A89" i="8"/>
  <c r="M505" i="8"/>
  <c r="B2580" i="16"/>
  <c r="B2581" i="16" s="1"/>
  <c r="M504" i="8"/>
  <c r="M519" i="8" s="1"/>
  <c r="M525" i="8" s="1"/>
  <c r="L505" i="8"/>
  <c r="J505" i="8"/>
  <c r="J506" i="8" s="1"/>
  <c r="I505" i="8"/>
  <c r="I520" i="8" s="1"/>
  <c r="A90" i="8"/>
  <c r="A84" i="8"/>
  <c r="A86" i="8"/>
  <c r="A91" i="8"/>
  <c r="A85" i="8"/>
  <c r="B2579" i="16"/>
  <c r="M460" i="8"/>
  <c r="H57" i="14"/>
  <c r="H1437" i="12" s="1"/>
  <c r="A83" i="8"/>
  <c r="A88" i="8"/>
  <c r="A93" i="8"/>
  <c r="A75" i="8"/>
  <c r="A94" i="8"/>
  <c r="A87" i="8"/>
  <c r="M461" i="8"/>
  <c r="M462" i="8" s="1"/>
  <c r="J460" i="8"/>
  <c r="J461" i="8"/>
  <c r="K460" i="8"/>
  <c r="K461" i="8"/>
  <c r="H890" i="9"/>
  <c r="M467" i="8"/>
  <c r="I67" i="8" s="1"/>
  <c r="F982" i="12" s="1"/>
  <c r="M433" i="8"/>
  <c r="M434" i="8" s="1"/>
  <c r="M468" i="8" s="1"/>
  <c r="J519" i="8"/>
  <c r="J525" i="8" s="1"/>
  <c r="K519" i="8"/>
  <c r="K525" i="8" s="1"/>
  <c r="B653" i="15"/>
  <c r="B216" i="15"/>
  <c r="B217" i="15" s="1"/>
  <c r="B2574" i="16"/>
  <c r="H104" i="13"/>
  <c r="B3172" i="14"/>
  <c r="B2916" i="16"/>
  <c r="B2905" i="16"/>
  <c r="B2900" i="16"/>
  <c r="B2901" i="16" s="1"/>
  <c r="B1290" i="13"/>
  <c r="B1298" i="13" s="1"/>
  <c r="B1312" i="13" s="1"/>
  <c r="B1314" i="13" s="1"/>
  <c r="B3218" i="14"/>
  <c r="B3219" i="14" s="1"/>
  <c r="B3220" i="14" s="1"/>
  <c r="B1291" i="13"/>
  <c r="B1299" i="13" s="1"/>
  <c r="B1345" i="13" s="1"/>
  <c r="B1349" i="13" s="1"/>
  <c r="G273" i="13"/>
  <c r="F273" i="13" s="1"/>
  <c r="B978" i="13"/>
  <c r="B734" i="13"/>
  <c r="B736" i="13" s="1"/>
  <c r="B1238" i="13"/>
  <c r="G224" i="14"/>
  <c r="F224" i="14" s="1"/>
  <c r="B3018" i="14"/>
  <c r="G228" i="14"/>
  <c r="F228" i="14" s="1"/>
  <c r="B2556" i="14"/>
  <c r="F71" i="14"/>
  <c r="F1451" i="12" s="1"/>
  <c r="B906" i="15"/>
  <c r="B907" i="15" s="1"/>
  <c r="I209" i="9"/>
  <c r="H209" i="9"/>
  <c r="B256" i="9" s="1"/>
  <c r="L209" i="9"/>
  <c r="C595" i="9"/>
  <c r="F593" i="9"/>
  <c r="D595" i="9"/>
  <c r="F591" i="9"/>
  <c r="D598" i="9" s="1"/>
  <c r="K209" i="9"/>
  <c r="J209" i="9"/>
  <c r="F592" i="9"/>
  <c r="B2264" i="13"/>
  <c r="B2159" i="13"/>
  <c r="B431" i="13"/>
  <c r="B430" i="13" s="1"/>
  <c r="B437" i="13" s="1"/>
  <c r="B438" i="13" s="1"/>
  <c r="B412" i="13"/>
  <c r="B425" i="13" s="1"/>
  <c r="B426" i="13" s="1"/>
  <c r="B378" i="13"/>
  <c r="B379" i="13" s="1"/>
  <c r="B596" i="13"/>
  <c r="B598" i="13" s="1"/>
  <c r="B599" i="13" s="1"/>
  <c r="G277" i="13"/>
  <c r="F277" i="13" s="1"/>
  <c r="B514" i="13"/>
  <c r="B429" i="15"/>
  <c r="B426" i="15"/>
  <c r="B427" i="15" s="1"/>
  <c r="B644" i="15"/>
  <c r="B648" i="15"/>
  <c r="B650" i="15" s="1"/>
  <c r="B819" i="16"/>
  <c r="B2947" i="16" s="1"/>
  <c r="B2998" i="16" s="1"/>
  <c r="B3002" i="16" s="1"/>
  <c r="B2946" i="16"/>
  <c r="B3036" i="16" s="1"/>
  <c r="B3040" i="16" s="1"/>
  <c r="B3068" i="16"/>
  <c r="B3065" i="16"/>
  <c r="B1178" i="13"/>
  <c r="B1179" i="13" s="1"/>
  <c r="B1180" i="13" s="1"/>
  <c r="B1266" i="13"/>
  <c r="B841" i="13"/>
  <c r="B842" i="13" s="1"/>
  <c r="B1039" i="13"/>
  <c r="B1041" i="13" s="1"/>
  <c r="B1042" i="13" s="1"/>
  <c r="B674" i="13"/>
  <c r="B2420" i="14"/>
  <c r="B2421" i="14" s="1"/>
  <c r="B2636" i="14"/>
  <c r="B2638" i="14" s="1"/>
  <c r="B2639" i="14" s="1"/>
  <c r="B829" i="15"/>
  <c r="B831" i="15" s="1"/>
  <c r="B826" i="15"/>
  <c r="B2919" i="16"/>
  <c r="B2906" i="16"/>
  <c r="B2910" i="16" s="1"/>
  <c r="B2915" i="16"/>
  <c r="B2920" i="16" s="1"/>
  <c r="B260" i="15"/>
  <c r="B261" i="15" s="1"/>
  <c r="J729" i="9"/>
  <c r="J728" i="9"/>
  <c r="G85" i="14"/>
  <c r="G1465" i="12" s="1"/>
  <c r="B747" i="13"/>
  <c r="B748" i="13" s="1"/>
  <c r="B749" i="13" s="1"/>
  <c r="B1242" i="13"/>
  <c r="B384" i="15"/>
  <c r="B337" i="15"/>
  <c r="B637" i="15"/>
  <c r="B74" i="15" s="1"/>
  <c r="L729" i="9"/>
  <c r="L728" i="9"/>
  <c r="B3079" i="14"/>
  <c r="B3081" i="14" s="1"/>
  <c r="B3082" i="14" s="1"/>
  <c r="B2881" i="14"/>
  <c r="B2882" i="14" s="1"/>
  <c r="B2916" i="14"/>
  <c r="B2929" i="14" s="1"/>
  <c r="B2930" i="14" s="1"/>
  <c r="B2935" i="14"/>
  <c r="B2934" i="14" s="1"/>
  <c r="B2941" i="14" s="1"/>
  <c r="B2942" i="14" s="1"/>
  <c r="H729" i="9"/>
  <c r="H728" i="9"/>
  <c r="B73" i="15"/>
  <c r="B617" i="15"/>
  <c r="B1073" i="15"/>
  <c r="B1076" i="15" s="1"/>
  <c r="B1084" i="15" s="1"/>
  <c r="B1192" i="15" s="1"/>
  <c r="B1044" i="15"/>
  <c r="B1113" i="15"/>
  <c r="B1115" i="15" s="1"/>
  <c r="B1117" i="15" s="1"/>
  <c r="B1098" i="15"/>
  <c r="B3164" i="14"/>
  <c r="B2724" i="14"/>
  <c r="B3165" i="14" s="1"/>
  <c r="B2714" i="14"/>
  <c r="B3145" i="14"/>
  <c r="B155" i="15"/>
  <c r="B156" i="15" s="1"/>
  <c r="B886" i="15"/>
  <c r="B930" i="15"/>
  <c r="B932" i="15" s="1"/>
  <c r="B934" i="15" s="1"/>
  <c r="B915" i="15"/>
  <c r="B595" i="9"/>
  <c r="D599" i="9" s="1"/>
  <c r="B1285" i="13"/>
  <c r="B748" i="15"/>
  <c r="B749" i="15" s="1"/>
  <c r="B817" i="16"/>
  <c r="B3329" i="14"/>
  <c r="B3337" i="14" s="1"/>
  <c r="B1165" i="13"/>
  <c r="B1167" i="13" s="1"/>
  <c r="B1262" i="13"/>
  <c r="B895" i="13"/>
  <c r="B894" i="13" s="1"/>
  <c r="B901" i="13" s="1"/>
  <c r="B902" i="13" s="1"/>
  <c r="B876" i="13"/>
  <c r="B889" i="13" s="1"/>
  <c r="B890" i="13" s="1"/>
  <c r="B684" i="13"/>
  <c r="B1125" i="13" s="1"/>
  <c r="B1124" i="13"/>
  <c r="B2473" i="14"/>
  <c r="B2472" i="14" s="1"/>
  <c r="B2479" i="14" s="1"/>
  <c r="B2480" i="14" s="1"/>
  <c r="B2454" i="14"/>
  <c r="B2467" i="14" s="1"/>
  <c r="B2468" i="14" s="1"/>
  <c r="B819" i="15"/>
  <c r="B2930" i="16"/>
  <c r="B2932" i="16" s="1"/>
  <c r="B2925" i="16"/>
  <c r="B2931" i="16"/>
  <c r="B2924" i="16"/>
  <c r="B2926" i="16" s="1"/>
  <c r="H82" i="13" l="1"/>
  <c r="H67" i="14"/>
  <c r="H1447" i="12" s="1"/>
  <c r="H59" i="14"/>
  <c r="H1439" i="12" s="1"/>
  <c r="H62" i="14"/>
  <c r="H1442" i="12" s="1"/>
  <c r="B1029" i="12"/>
  <c r="B1047" i="12"/>
  <c r="B2369" i="14"/>
  <c r="F1029" i="12"/>
  <c r="F1047" i="12"/>
  <c r="G162" i="10"/>
  <c r="C1047" i="12"/>
  <c r="C1029" i="12"/>
  <c r="D162" i="10"/>
  <c r="E1047" i="12"/>
  <c r="E1029" i="12"/>
  <c r="F162" i="10"/>
  <c r="D1029" i="12"/>
  <c r="D1047" i="12"/>
  <c r="E162" i="10"/>
  <c r="B3289" i="14"/>
  <c r="B3290" i="14" s="1"/>
  <c r="B3331" i="14" s="1"/>
  <c r="B3339" i="14" s="1"/>
  <c r="B2366" i="14" s="1"/>
  <c r="C1448" i="12"/>
  <c r="H68" i="14"/>
  <c r="H1448" i="12" s="1"/>
  <c r="B3113" i="16"/>
  <c r="B3120" i="16" s="1"/>
  <c r="B3121" i="16" s="1"/>
  <c r="B3123" i="16" s="1"/>
  <c r="B910" i="16" s="1"/>
  <c r="B3103" i="16"/>
  <c r="H56" i="14"/>
  <c r="H1436" i="12" s="1"/>
  <c r="B2593" i="16"/>
  <c r="B2365" i="14"/>
  <c r="B3235" i="14"/>
  <c r="B3236" i="14" s="1"/>
  <c r="B366" i="14"/>
  <c r="B365" i="14" s="1"/>
  <c r="B305" i="14" s="1"/>
  <c r="B306" i="14" s="1"/>
  <c r="G85" i="19"/>
  <c r="H1508" i="12" s="1"/>
  <c r="B2054" i="19"/>
  <c r="B2085" i="19"/>
  <c r="B665" i="19"/>
  <c r="B2688" i="16"/>
  <c r="B2714" i="16"/>
  <c r="B2718" i="16" s="1"/>
  <c r="B2715" i="16"/>
  <c r="B2719" i="16" s="1"/>
  <c r="B387" i="19"/>
  <c r="B3042" i="16"/>
  <c r="B3050" i="16"/>
  <c r="B2091" i="19"/>
  <c r="B2133" i="19" s="1"/>
  <c r="B2084" i="19"/>
  <c r="B2100" i="19" s="1"/>
  <c r="B2103" i="19" s="1"/>
  <c r="B2105" i="19" s="1"/>
  <c r="B1678" i="19"/>
  <c r="B1679" i="19" s="1"/>
  <c r="B1680" i="19" s="1"/>
  <c r="B1698" i="19"/>
  <c r="B855" i="19"/>
  <c r="B856" i="19" s="1"/>
  <c r="B838" i="19"/>
  <c r="B839" i="19" s="1"/>
  <c r="B899" i="19"/>
  <c r="B900" i="19" s="1"/>
  <c r="B2063" i="19"/>
  <c r="B2064" i="19" s="1"/>
  <c r="B936" i="19"/>
  <c r="B937" i="19" s="1"/>
  <c r="B816" i="19"/>
  <c r="B817" i="19" s="1"/>
  <c r="B956" i="19"/>
  <c r="B957" i="19" s="1"/>
  <c r="B2055" i="19"/>
  <c r="B2056" i="19" s="1"/>
  <c r="B2088" i="19" s="1"/>
  <c r="B2135" i="19" s="1"/>
  <c r="B1905" i="19"/>
  <c r="B2057" i="19"/>
  <c r="B1878" i="19"/>
  <c r="B2062" i="19" s="1"/>
  <c r="B1848" i="19"/>
  <c r="B2032" i="19" s="1"/>
  <c r="B1849" i="19"/>
  <c r="B1850" i="19" s="1"/>
  <c r="L506" i="8"/>
  <c r="M506" i="8"/>
  <c r="B398" i="19"/>
  <c r="B402" i="19" s="1"/>
  <c r="D71" i="19" s="1"/>
  <c r="D1494" i="12" s="1"/>
  <c r="B407" i="19"/>
  <c r="B1452" i="19"/>
  <c r="B1472" i="19"/>
  <c r="B1471" i="19" s="1"/>
  <c r="B1591" i="19" s="1"/>
  <c r="B1578" i="19"/>
  <c r="B1575" i="19" s="1"/>
  <c r="B1513" i="19"/>
  <c r="B1232" i="19"/>
  <c r="B1225" i="19"/>
  <c r="B1247" i="19"/>
  <c r="B1611" i="19"/>
  <c r="B1860" i="19"/>
  <c r="B1882" i="19"/>
  <c r="B861" i="19"/>
  <c r="B880" i="19"/>
  <c r="B879" i="19" s="1"/>
  <c r="B886" i="19" s="1"/>
  <c r="B887" i="19" s="1"/>
  <c r="B1541" i="19"/>
  <c r="B1598" i="19"/>
  <c r="B1651" i="19"/>
  <c r="B1656" i="19" s="1"/>
  <c r="B1659" i="19" s="1"/>
  <c r="B1660" i="19" s="1"/>
  <c r="B1682" i="19"/>
  <c r="B1683" i="19" s="1"/>
  <c r="B1684" i="19" s="1"/>
  <c r="B1213" i="19"/>
  <c r="B1218" i="19" s="1"/>
  <c r="B1234" i="19"/>
  <c r="B1049" i="19"/>
  <c r="B1056" i="19" s="1"/>
  <c r="B1857" i="19"/>
  <c r="B1869" i="19" s="1"/>
  <c r="B1871" i="19"/>
  <c r="B1858" i="19"/>
  <c r="B969" i="19"/>
  <c r="B970" i="19" s="1"/>
  <c r="B1395" i="19"/>
  <c r="B1505" i="19" s="1"/>
  <c r="B1506" i="19" s="1"/>
  <c r="B1144" i="19"/>
  <c r="B942" i="19"/>
  <c r="B943" i="19" s="1"/>
  <c r="B944" i="19" s="1"/>
  <c r="B974" i="19"/>
  <c r="B975" i="19" s="1"/>
  <c r="B824" i="19"/>
  <c r="B825" i="19" s="1"/>
  <c r="B826" i="19" s="1"/>
  <c r="B1122" i="19"/>
  <c r="B1150" i="19"/>
  <c r="B1066" i="19"/>
  <c r="B1071" i="19" s="1"/>
  <c r="B1072" i="19" s="1"/>
  <c r="B1073" i="19" s="1"/>
  <c r="B1113" i="19"/>
  <c r="B1114" i="19" s="1"/>
  <c r="B993" i="19"/>
  <c r="B994" i="19" s="1"/>
  <c r="B2594" i="16"/>
  <c r="B3017" i="16"/>
  <c r="B3021" i="16" s="1"/>
  <c r="J520" i="8"/>
  <c r="J526" i="8" s="1"/>
  <c r="J527" i="8" s="1"/>
  <c r="M520" i="8"/>
  <c r="M526" i="8" s="1"/>
  <c r="M527" i="8" s="1"/>
  <c r="B1051" i="15"/>
  <c r="B1058" i="15" s="1"/>
  <c r="B1059" i="15" s="1"/>
  <c r="B1060" i="15" s="1"/>
  <c r="B1061" i="15" s="1"/>
  <c r="B1062" i="15" s="1"/>
  <c r="I506" i="8"/>
  <c r="L520" i="8"/>
  <c r="L526" i="8" s="1"/>
  <c r="L527" i="8" s="1"/>
  <c r="K520" i="8"/>
  <c r="K526" i="8" s="1"/>
  <c r="K527" i="8" s="1"/>
  <c r="B2367" i="14"/>
  <c r="B2150" i="12"/>
  <c r="B2152" i="12" s="1"/>
  <c r="B2153" i="12" s="1"/>
  <c r="B1843" i="12"/>
  <c r="B528" i="14"/>
  <c r="B532" i="14" s="1"/>
  <c r="H76" i="14" s="1"/>
  <c r="H1456" i="12" s="1"/>
  <c r="B433" i="14"/>
  <c r="B434" i="14"/>
  <c r="B1353" i="13"/>
  <c r="B1350" i="13"/>
  <c r="B1351" i="13" s="1"/>
  <c r="K462" i="8"/>
  <c r="J462" i="8"/>
  <c r="M466" i="8"/>
  <c r="I66" i="8" s="1"/>
  <c r="I68" i="8"/>
  <c r="F983" i="12" s="1"/>
  <c r="I521" i="8"/>
  <c r="I526" i="8"/>
  <c r="I527" i="8" s="1"/>
  <c r="B3007" i="16"/>
  <c r="B3011" i="16" s="1"/>
  <c r="B3018" i="16"/>
  <c r="B3022" i="16" s="1"/>
  <c r="B2985" i="16"/>
  <c r="B2989" i="16" s="1"/>
  <c r="B2933" i="16"/>
  <c r="B2934" i="16" s="1"/>
  <c r="B2911" i="16"/>
  <c r="B2912" i="16" s="1"/>
  <c r="B832" i="15"/>
  <c r="B76" i="15" s="1"/>
  <c r="B652" i="15"/>
  <c r="B654" i="15" s="1"/>
  <c r="B2972" i="14"/>
  <c r="B1316" i="13"/>
  <c r="B1331" i="13"/>
  <c r="B1333" i="13" s="1"/>
  <c r="B1335" i="13" s="1"/>
  <c r="B2510" i="14"/>
  <c r="B3451" i="14" s="1"/>
  <c r="H55" i="14" s="1"/>
  <c r="H1435" i="12" s="1"/>
  <c r="B463" i="15"/>
  <c r="B465" i="15" s="1"/>
  <c r="B446" i="15"/>
  <c r="B448" i="15" s="1"/>
  <c r="B3347" i="14"/>
  <c r="B2364" i="14"/>
  <c r="K684" i="9"/>
  <c r="L204" i="9"/>
  <c r="J204" i="9"/>
  <c r="H204" i="9"/>
  <c r="B252" i="9" s="1"/>
  <c r="L684" i="9"/>
  <c r="K203" i="9"/>
  <c r="K208" i="9" s="1"/>
  <c r="I203" i="9"/>
  <c r="I208" i="9" s="1"/>
  <c r="H684" i="9"/>
  <c r="H203" i="9"/>
  <c r="K204" i="9"/>
  <c r="I204" i="9"/>
  <c r="J684" i="9"/>
  <c r="L203" i="9"/>
  <c r="L208" i="9" s="1"/>
  <c r="J203" i="9"/>
  <c r="J208" i="9" s="1"/>
  <c r="I684" i="9"/>
  <c r="B387" i="15"/>
  <c r="B403" i="15"/>
  <c r="B404" i="15" s="1"/>
  <c r="B400" i="15"/>
  <c r="B406" i="15" s="1"/>
  <c r="B430" i="15" s="1"/>
  <c r="B442" i="15"/>
  <c r="B676" i="13"/>
  <c r="B1115" i="13"/>
  <c r="B932" i="13"/>
  <c r="B810" i="16"/>
  <c r="B799" i="16"/>
  <c r="L677" i="9"/>
  <c r="H205" i="9"/>
  <c r="B253" i="9" s="1"/>
  <c r="J207" i="9"/>
  <c r="I677" i="9"/>
  <c r="L205" i="9"/>
  <c r="J205" i="9"/>
  <c r="J677" i="9"/>
  <c r="I207" i="9"/>
  <c r="I206" i="9"/>
  <c r="L206" i="9"/>
  <c r="L207" i="9"/>
  <c r="K206" i="9"/>
  <c r="J206" i="9"/>
  <c r="H677" i="9"/>
  <c r="K205" i="9"/>
  <c r="I205" i="9"/>
  <c r="H207" i="9"/>
  <c r="B255" i="9" s="1"/>
  <c r="K207" i="9"/>
  <c r="H206" i="9"/>
  <c r="B254" i="9" s="1"/>
  <c r="K677" i="9"/>
  <c r="B908" i="15"/>
  <c r="B909" i="15" s="1"/>
  <c r="B923" i="15"/>
  <c r="B924" i="15"/>
  <c r="B925" i="15" s="1"/>
  <c r="B1089" i="15"/>
  <c r="B655" i="15"/>
  <c r="B2902" i="16"/>
  <c r="B75" i="15"/>
  <c r="B3008" i="16"/>
  <c r="B2705" i="16" s="1"/>
  <c r="B2984" i="16"/>
  <c r="B2988" i="16" s="1"/>
  <c r="B2927" i="16"/>
  <c r="B2928" i="16" s="1"/>
  <c r="B818" i="16"/>
  <c r="B2606" i="16"/>
  <c r="B797" i="16"/>
  <c r="B299" i="16" s="1"/>
  <c r="B1227" i="12" s="1"/>
  <c r="B3155" i="14"/>
  <c r="B2716" i="14"/>
  <c r="B3371" i="14"/>
  <c r="B3373" i="14" s="1"/>
  <c r="B3375" i="14" s="1"/>
  <c r="B3356" i="14"/>
  <c r="B2776" i="16"/>
  <c r="B803" i="16" s="1"/>
  <c r="B340" i="15"/>
  <c r="B346" i="15"/>
  <c r="B347" i="15" s="1"/>
  <c r="B343" i="15"/>
  <c r="B349" i="15" s="1"/>
  <c r="B358" i="15" s="1"/>
  <c r="B363" i="15"/>
  <c r="H85" i="14"/>
  <c r="H1465" i="12" s="1"/>
  <c r="B70" i="15"/>
  <c r="B2921" i="16"/>
  <c r="B2922" i="16" s="1"/>
  <c r="B1289" i="13"/>
  <c r="B1297" i="13" s="1"/>
  <c r="B1307" i="13" s="1"/>
  <c r="B2954" i="16"/>
  <c r="B2967" i="16"/>
  <c r="B2960" i="16"/>
  <c r="B2953" i="16"/>
  <c r="B2968" i="16"/>
  <c r="B2961" i="16"/>
  <c r="B3027" i="16"/>
  <c r="B3031" i="16" s="1"/>
  <c r="B2993" i="16"/>
  <c r="B3028" i="16"/>
  <c r="B3032" i="16" s="1"/>
  <c r="B468" i="13"/>
  <c r="B1411" i="13" s="1"/>
  <c r="B72" i="15"/>
  <c r="B922" i="15"/>
  <c r="B928" i="15" s="1"/>
  <c r="B964" i="15"/>
  <c r="B1284" i="13"/>
  <c r="B322" i="14"/>
  <c r="B323" i="14" s="1"/>
  <c r="I528" i="8" l="1"/>
  <c r="I531" i="8" s="1"/>
  <c r="I545" i="8" s="1"/>
  <c r="B3104" i="16"/>
  <c r="B3108" i="16" s="1"/>
  <c r="B830" i="16" s="1"/>
  <c r="B3105" i="16"/>
  <c r="B1196" i="16"/>
  <c r="B1654" i="16"/>
  <c r="B1613" i="16"/>
  <c r="B1625" i="16"/>
  <c r="B1598" i="16"/>
  <c r="B1673" i="16"/>
  <c r="B1653" i="16"/>
  <c r="B1626" i="16"/>
  <c r="B1603" i="16"/>
  <c r="B1587" i="16"/>
  <c r="B1623" i="16"/>
  <c r="B1675" i="16"/>
  <c r="B1659" i="16"/>
  <c r="B1615" i="16"/>
  <c r="B1593" i="16"/>
  <c r="B3154" i="16"/>
  <c r="B3158" i="16" s="1"/>
  <c r="B1655" i="16"/>
  <c r="B1632" i="16"/>
  <c r="B958" i="16" s="1"/>
  <c r="B950" i="16" s="1"/>
  <c r="B1648" i="16"/>
  <c r="B1621" i="16"/>
  <c r="B1594" i="16"/>
  <c r="B1677" i="16"/>
  <c r="B1661" i="16"/>
  <c r="B1636" i="16"/>
  <c r="B1609" i="16"/>
  <c r="B1591" i="16"/>
  <c r="B1650" i="16"/>
  <c r="B1618" i="16"/>
  <c r="B1663" i="16"/>
  <c r="B1640" i="16"/>
  <c r="B1597" i="16"/>
  <c r="B1049" i="16"/>
  <c r="B1610" i="16"/>
  <c r="B1657" i="16"/>
  <c r="B959" i="16" s="1"/>
  <c r="B951" i="16" s="1"/>
  <c r="B1644" i="16"/>
  <c r="B1608" i="16"/>
  <c r="B1590" i="16"/>
  <c r="B1665" i="16"/>
  <c r="B1645" i="16"/>
  <c r="B1617" i="16"/>
  <c r="B1595" i="16"/>
  <c r="B1646" i="16"/>
  <c r="B1614" i="16"/>
  <c r="B1667" i="16"/>
  <c r="B1647" i="16"/>
  <c r="B1601" i="16"/>
  <c r="B943" i="16"/>
  <c r="B946" i="16" s="1"/>
  <c r="B960" i="16" s="1"/>
  <c r="B1128" i="16"/>
  <c r="B1611" i="16"/>
  <c r="B1619" i="16"/>
  <c r="B1629" i="16"/>
  <c r="B1602" i="16"/>
  <c r="B1586" i="16"/>
  <c r="B1669" i="16"/>
  <c r="B1649" i="16"/>
  <c r="B1622" i="16"/>
  <c r="B1599" i="16"/>
  <c r="B1641" i="16"/>
  <c r="B1627" i="16"/>
  <c r="B1671" i="16"/>
  <c r="B1651" i="16"/>
  <c r="B1605" i="16"/>
  <c r="B1589" i="16"/>
  <c r="B1674" i="16"/>
  <c r="B1694" i="16"/>
  <c r="B1686" i="16"/>
  <c r="B1666" i="16"/>
  <c r="B1662" i="16"/>
  <c r="B1658" i="16"/>
  <c r="B1690" i="16"/>
  <c r="B1670" i="16"/>
  <c r="B1682" i="16"/>
  <c r="B1678" i="16"/>
  <c r="B339" i="14"/>
  <c r="B340" i="14" s="1"/>
  <c r="B288" i="14"/>
  <c r="B289" i="14" s="1"/>
  <c r="B329" i="14"/>
  <c r="B330" i="14" s="1"/>
  <c r="B3385" i="14"/>
  <c r="B3389" i="14" s="1"/>
  <c r="B3390" i="14" s="1"/>
  <c r="B3391" i="14" s="1"/>
  <c r="B2120" i="19"/>
  <c r="B2122" i="19" s="1"/>
  <c r="B2124" i="19" s="1"/>
  <c r="B2067" i="19"/>
  <c r="B2089" i="19"/>
  <c r="B2087" i="19"/>
  <c r="B1151" i="19"/>
  <c r="G58" i="19" s="1"/>
  <c r="H1481" i="12" s="1"/>
  <c r="F58" i="19"/>
  <c r="F56" i="19"/>
  <c r="B1123" i="19"/>
  <c r="G56" i="19" s="1"/>
  <c r="H1479" i="12" s="1"/>
  <c r="B1145" i="19"/>
  <c r="G57" i="19" s="1"/>
  <c r="H1480" i="12" s="1"/>
  <c r="F57" i="19"/>
  <c r="B1164" i="19"/>
  <c r="B1115" i="19"/>
  <c r="G52" i="19" s="1"/>
  <c r="H1475" i="12" s="1"/>
  <c r="B857" i="19"/>
  <c r="B1052" i="19" s="1"/>
  <c r="B1852" i="19"/>
  <c r="B1854" i="19" s="1"/>
  <c r="B1907" i="19"/>
  <c r="B2058" i="19"/>
  <c r="B1699" i="19"/>
  <c r="B1706" i="19" s="1"/>
  <c r="B1237" i="19"/>
  <c r="B1238" i="19" s="1"/>
  <c r="B995" i="19"/>
  <c r="G53" i="19" s="1"/>
  <c r="H1476" i="12" s="1"/>
  <c r="B1881" i="19"/>
  <c r="B1746" i="19"/>
  <c r="B2031" i="19"/>
  <c r="B1606" i="19"/>
  <c r="B1607" i="19" s="1"/>
  <c r="B874" i="19"/>
  <c r="B875" i="19" s="1"/>
  <c r="B917" i="19" s="1"/>
  <c r="B2019" i="19"/>
  <c r="B2086" i="19" s="1"/>
  <c r="B2134" i="19" s="1"/>
  <c r="B2138" i="19" s="1"/>
  <c r="B1245" i="19"/>
  <c r="B1586" i="19"/>
  <c r="B1587" i="19" s="1"/>
  <c r="B1466" i="19"/>
  <c r="B1467" i="19" s="1"/>
  <c r="B408" i="19"/>
  <c r="B405" i="19"/>
  <c r="B409" i="19" s="1"/>
  <c r="B412" i="19" s="1"/>
  <c r="B413" i="19" s="1"/>
  <c r="B1798" i="19"/>
  <c r="B1592" i="19"/>
  <c r="B1593" i="19" s="1"/>
  <c r="B1594" i="19" s="1"/>
  <c r="B1777" i="19"/>
  <c r="B1624" i="19"/>
  <c r="B1625" i="19" s="1"/>
  <c r="B1474" i="19"/>
  <c r="B1475" i="19" s="1"/>
  <c r="B1476" i="19" s="1"/>
  <c r="B1643" i="19"/>
  <c r="B1644" i="19" s="1"/>
  <c r="B1768" i="19"/>
  <c r="B1769" i="19" s="1"/>
  <c r="B1770" i="19" s="1"/>
  <c r="G62" i="19" s="1"/>
  <c r="H1485" i="12" s="1"/>
  <c r="B1716" i="19"/>
  <c r="B1721" i="19" s="1"/>
  <c r="B1722" i="19" s="1"/>
  <c r="B1723" i="19" s="1"/>
  <c r="B1803" i="19" s="1"/>
  <c r="B1867" i="19"/>
  <c r="B1879" i="19" s="1"/>
  <c r="B1861" i="19"/>
  <c r="B1565" i="19"/>
  <c r="B1566" i="19" s="1"/>
  <c r="B2041" i="19"/>
  <c r="B1488" i="19"/>
  <c r="B1489" i="19" s="1"/>
  <c r="B1549" i="19"/>
  <c r="B1550" i="19" s="1"/>
  <c r="B1619" i="19"/>
  <c r="B1620" i="19" s="1"/>
  <c r="B1226" i="19"/>
  <c r="B1511" i="19"/>
  <c r="B1524" i="19" s="1"/>
  <c r="B1525" i="19" s="1"/>
  <c r="B1530" i="19"/>
  <c r="B1529" i="19" s="1"/>
  <c r="B1536" i="19" s="1"/>
  <c r="B1537" i="19" s="1"/>
  <c r="B2935" i="16"/>
  <c r="B804" i="16" s="1"/>
  <c r="J521" i="8"/>
  <c r="J528" i="8" s="1"/>
  <c r="J531" i="8" s="1"/>
  <c r="H198" i="8" s="1"/>
  <c r="L521" i="8"/>
  <c r="L528" i="8" s="1"/>
  <c r="L531" i="8" s="1"/>
  <c r="J198" i="8" s="1"/>
  <c r="K521" i="8"/>
  <c r="K528" i="8" s="1"/>
  <c r="K531" i="8" s="1"/>
  <c r="K545" i="8" s="1"/>
  <c r="B3023" i="16"/>
  <c r="B3024" i="16" s="1"/>
  <c r="B833" i="15"/>
  <c r="M521" i="8"/>
  <c r="M528" i="8" s="1"/>
  <c r="K196" i="8" s="1"/>
  <c r="B2704" i="16"/>
  <c r="B926" i="15"/>
  <c r="B448" i="14"/>
  <c r="B530" i="14"/>
  <c r="B534" i="14" s="1"/>
  <c r="H78" i="14" s="1"/>
  <c r="H1458" i="12" s="1"/>
  <c r="H80" i="14"/>
  <c r="H1460" i="12" s="1"/>
  <c r="B1371" i="13"/>
  <c r="B1373" i="13" s="1"/>
  <c r="B1388" i="13"/>
  <c r="B1390" i="13" s="1"/>
  <c r="G196" i="8"/>
  <c r="B174" i="8" s="1"/>
  <c r="B301" i="16"/>
  <c r="B1229" i="12" s="1"/>
  <c r="B3449" i="14"/>
  <c r="B3012" i="16"/>
  <c r="B3013" i="16" s="1"/>
  <c r="B3014" i="16" s="1"/>
  <c r="G198" i="8"/>
  <c r="B176" i="8" s="1"/>
  <c r="B2964" i="16"/>
  <c r="B2965" i="16" s="1"/>
  <c r="I740" i="9"/>
  <c r="I742" i="9" s="1"/>
  <c r="I749" i="9" s="1"/>
  <c r="K740" i="9"/>
  <c r="K742" i="9" s="1"/>
  <c r="K743" i="9" s="1"/>
  <c r="B966" i="15"/>
  <c r="B977" i="15"/>
  <c r="B979" i="15" s="1"/>
  <c r="B3033" i="16"/>
  <c r="B3157" i="14"/>
  <c r="B3158" i="14" s="1"/>
  <c r="B2717" i="14"/>
  <c r="B2718" i="14" s="1"/>
  <c r="B2742" i="14" s="1"/>
  <c r="B2743" i="14" s="1"/>
  <c r="B2744" i="14" s="1"/>
  <c r="B2756" i="14" s="1"/>
  <c r="B1147" i="15"/>
  <c r="B1105" i="15"/>
  <c r="B1111" i="15" s="1"/>
  <c r="B1117" i="13"/>
  <c r="B1118" i="13" s="1"/>
  <c r="B677" i="13"/>
  <c r="B678" i="13" s="1"/>
  <c r="B702" i="13" s="1"/>
  <c r="B703" i="13" s="1"/>
  <c r="B704" i="13" s="1"/>
  <c r="B716" i="13" s="1"/>
  <c r="B444" i="15"/>
  <c r="B455" i="15"/>
  <c r="B457" i="15" s="1"/>
  <c r="B251" i="9"/>
  <c r="A208" i="9"/>
  <c r="H208" i="9"/>
  <c r="L740" i="9"/>
  <c r="L742" i="9" s="1"/>
  <c r="B3350" i="14"/>
  <c r="B3363" i="14"/>
  <c r="B3369" i="14" s="1"/>
  <c r="B3407" i="14"/>
  <c r="B3366" i="14"/>
  <c r="B3367" i="14" s="1"/>
  <c r="B953" i="15"/>
  <c r="H79" i="13"/>
  <c r="B1409" i="13"/>
  <c r="B2957" i="16"/>
  <c r="B2958" i="16" s="1"/>
  <c r="B2971" i="16"/>
  <c r="B2972" i="16" s="1"/>
  <c r="B1367" i="13"/>
  <c r="B1323" i="13"/>
  <c r="B1329" i="13" s="1"/>
  <c r="B1310" i="13"/>
  <c r="B1326" i="13"/>
  <c r="B1327" i="13" s="1"/>
  <c r="B372" i="15"/>
  <c r="B374" i="15" s="1"/>
  <c r="B365" i="15"/>
  <c r="B2607" i="16"/>
  <c r="B2614" i="16"/>
  <c r="B2641" i="16"/>
  <c r="B2642" i="16"/>
  <c r="B2656" i="16"/>
  <c r="B2660" i="16" s="1"/>
  <c r="B2661" i="16" s="1"/>
  <c r="B2648" i="16"/>
  <c r="B2634" i="16"/>
  <c r="B2627" i="16"/>
  <c r="B2620" i="16"/>
  <c r="B2613" i="16"/>
  <c r="B2617" i="16" s="1"/>
  <c r="B2618" i="16" s="1"/>
  <c r="B2649" i="16"/>
  <c r="B2635" i="16"/>
  <c r="B2628" i="16"/>
  <c r="B2621" i="16"/>
  <c r="B2692" i="16"/>
  <c r="B2696" i="16" s="1"/>
  <c r="B2691" i="16"/>
  <c r="B2695" i="16" s="1"/>
  <c r="B2994" i="16"/>
  <c r="B2995" i="16" s="1"/>
  <c r="B1090" i="15"/>
  <c r="J740" i="9"/>
  <c r="J742" i="9" s="1"/>
  <c r="H740" i="9"/>
  <c r="H742" i="9" s="1"/>
  <c r="B957" i="16" l="1"/>
  <c r="B949" i="16" s="1"/>
  <c r="B967" i="16" s="1"/>
  <c r="B956" i="16"/>
  <c r="B948" i="16" s="1"/>
  <c r="B965" i="16" s="1"/>
  <c r="B2973" i="16"/>
  <c r="B809" i="16" s="1"/>
  <c r="B961" i="16"/>
  <c r="B975" i="16" s="1"/>
  <c r="B1778" i="19"/>
  <c r="F65" i="19"/>
  <c r="B2027" i="16"/>
  <c r="B2011" i="16"/>
  <c r="B1995" i="16"/>
  <c r="B1967" i="16"/>
  <c r="B1949" i="16"/>
  <c r="B2028" i="16"/>
  <c r="B2012" i="16"/>
  <c r="B1996" i="16"/>
  <c r="B1972" i="16"/>
  <c r="B2036" i="16"/>
  <c r="B2017" i="16"/>
  <c r="B2001" i="16"/>
  <c r="B1973" i="16"/>
  <c r="B1955" i="16"/>
  <c r="B1939" i="16"/>
  <c r="B1958" i="16"/>
  <c r="B1940" i="16"/>
  <c r="B2040" i="16"/>
  <c r="B2015" i="16"/>
  <c r="B1999" i="16"/>
  <c r="B1971" i="16"/>
  <c r="B1953" i="16"/>
  <c r="B1937" i="16"/>
  <c r="B2016" i="16"/>
  <c r="B2000" i="16"/>
  <c r="B1976" i="16"/>
  <c r="B1960" i="16"/>
  <c r="B2021" i="16"/>
  <c r="B2005" i="16"/>
  <c r="B1977" i="16"/>
  <c r="B1961" i="16"/>
  <c r="B1943" i="16"/>
  <c r="B1986" i="16"/>
  <c r="B1944" i="16"/>
  <c r="B2044" i="16"/>
  <c r="B2019" i="16"/>
  <c r="B2003" i="16"/>
  <c r="B1975" i="16"/>
  <c r="B1959" i="16"/>
  <c r="B1941" i="16"/>
  <c r="B2020" i="16"/>
  <c r="B2004" i="16"/>
  <c r="B1982" i="16"/>
  <c r="B1964" i="16"/>
  <c r="B2025" i="16"/>
  <c r="B2009" i="16"/>
  <c r="B1991" i="16"/>
  <c r="B1965" i="16"/>
  <c r="B1947" i="16"/>
  <c r="B1994" i="16"/>
  <c r="B1948" i="16"/>
  <c r="B1153" i="16"/>
  <c r="B1148" i="16" s="1"/>
  <c r="B2023" i="16"/>
  <c r="B2007" i="16"/>
  <c r="B1979" i="16"/>
  <c r="B1963" i="16"/>
  <c r="B1945" i="16"/>
  <c r="B2024" i="16"/>
  <c r="B2008" i="16"/>
  <c r="B1990" i="16"/>
  <c r="B1968" i="16"/>
  <c r="B2032" i="16"/>
  <c r="B2013" i="16"/>
  <c r="B1997" i="16"/>
  <c r="B1969" i="16"/>
  <c r="B1951" i="16"/>
  <c r="B1998" i="16"/>
  <c r="B1952" i="16"/>
  <c r="B1936" i="16"/>
  <c r="B971" i="16"/>
  <c r="B970" i="16"/>
  <c r="B1912" i="16"/>
  <c r="B1095" i="16" s="1"/>
  <c r="B1087" i="16" s="1"/>
  <c r="B1901" i="16"/>
  <c r="B1885" i="16"/>
  <c r="B1857" i="16"/>
  <c r="B1839" i="16"/>
  <c r="B1823" i="16"/>
  <c r="B1870" i="16"/>
  <c r="B1828" i="16"/>
  <c r="B1911" i="16"/>
  <c r="B1895" i="16"/>
  <c r="B1879" i="16"/>
  <c r="B1851" i="16"/>
  <c r="B1833" i="16"/>
  <c r="B1909" i="16"/>
  <c r="B1893" i="16"/>
  <c r="B1875" i="16"/>
  <c r="B1849" i="16"/>
  <c r="B1831" i="16"/>
  <c r="B1882" i="16"/>
  <c r="B1836" i="16"/>
  <c r="B1820" i="16"/>
  <c r="B1903" i="16"/>
  <c r="B1887" i="16"/>
  <c r="B1859" i="16"/>
  <c r="B1843" i="16"/>
  <c r="B1825" i="16"/>
  <c r="B1904" i="16"/>
  <c r="B1916" i="16"/>
  <c r="B1888" i="16"/>
  <c r="B1866" i="16"/>
  <c r="B1085" i="16"/>
  <c r="B1905" i="16"/>
  <c r="B1889" i="16"/>
  <c r="B1861" i="16"/>
  <c r="B1845" i="16"/>
  <c r="B1827" i="16"/>
  <c r="B1878" i="16"/>
  <c r="B1832" i="16"/>
  <c r="B1928" i="16"/>
  <c r="B1899" i="16"/>
  <c r="B1883" i="16"/>
  <c r="B1855" i="16"/>
  <c r="B1837" i="16"/>
  <c r="B1821" i="16"/>
  <c r="B1900" i="16"/>
  <c r="B1884" i="16"/>
  <c r="B1860" i="16"/>
  <c r="B1844" i="16"/>
  <c r="B1896" i="16"/>
  <c r="B1880" i="16"/>
  <c r="B1848" i="16"/>
  <c r="B1920" i="16"/>
  <c r="B1897" i="16"/>
  <c r="B1881" i="16"/>
  <c r="B1853" i="16"/>
  <c r="B1835" i="16"/>
  <c r="B1924" i="16"/>
  <c r="B1842" i="16"/>
  <c r="B1824" i="16"/>
  <c r="B1907" i="16"/>
  <c r="B1891" i="16"/>
  <c r="B1863" i="16"/>
  <c r="B1847" i="16"/>
  <c r="B1829" i="16"/>
  <c r="B1908" i="16"/>
  <c r="B1892" i="16"/>
  <c r="B1874" i="16"/>
  <c r="B1852" i="16"/>
  <c r="B1856" i="16"/>
  <c r="B969" i="16"/>
  <c r="B968" i="16"/>
  <c r="B3160" i="16"/>
  <c r="B3159" i="16"/>
  <c r="B974" i="16"/>
  <c r="B2145" i="16"/>
  <c r="B2129" i="16"/>
  <c r="B2113" i="16"/>
  <c r="B2089" i="16"/>
  <c r="B2157" i="16"/>
  <c r="B2132" i="16"/>
  <c r="B2108" i="16"/>
  <c r="B2161" i="16"/>
  <c r="B2133" i="16"/>
  <c r="B2117" i="16"/>
  <c r="B2093" i="16"/>
  <c r="B2077" i="16"/>
  <c r="B2136" i="16"/>
  <c r="B2118" i="16"/>
  <c r="B2068" i="16"/>
  <c r="B2084" i="16"/>
  <c r="B2153" i="16"/>
  <c r="B2075" i="16"/>
  <c r="B2057" i="16"/>
  <c r="B2138" i="16"/>
  <c r="B2122" i="16"/>
  <c r="B2072" i="16"/>
  <c r="B2112" i="16"/>
  <c r="B2070" i="16"/>
  <c r="B2078" i="16"/>
  <c r="B2092" i="16"/>
  <c r="B2058" i="16"/>
  <c r="B2103" i="16"/>
  <c r="B2061" i="16"/>
  <c r="B2142" i="16"/>
  <c r="B2126" i="16"/>
  <c r="B2120" i="16"/>
  <c r="B2080" i="16"/>
  <c r="B1237" i="16"/>
  <c r="B2137" i="16"/>
  <c r="B2121" i="16"/>
  <c r="B2099" i="16"/>
  <c r="B2081" i="16"/>
  <c r="B2140" i="16"/>
  <c r="B2124" i="16"/>
  <c r="B2086" i="16"/>
  <c r="B2141" i="16"/>
  <c r="B2125" i="16"/>
  <c r="B2107" i="16"/>
  <c r="B2085" i="16"/>
  <c r="B2144" i="16"/>
  <c r="B2128" i="16"/>
  <c r="B2094" i="16"/>
  <c r="B2116" i="16"/>
  <c r="B2066" i="16"/>
  <c r="B2111" i="16"/>
  <c r="B2065" i="16"/>
  <c r="B2149" i="16"/>
  <c r="B2130" i="16"/>
  <c r="B2090" i="16"/>
  <c r="B2056" i="16"/>
  <c r="B2088" i="16"/>
  <c r="B2054" i="16"/>
  <c r="B2060" i="16"/>
  <c r="B2076" i="16"/>
  <c r="B2115" i="16"/>
  <c r="B2069" i="16"/>
  <c r="B2053" i="16"/>
  <c r="B2134" i="16"/>
  <c r="B2114" i="16"/>
  <c r="B2064" i="16"/>
  <c r="B2096" i="16"/>
  <c r="B2062" i="16"/>
  <c r="B2082" i="16"/>
  <c r="B986" i="16"/>
  <c r="B1492" i="16"/>
  <c r="B877" i="16" s="1"/>
  <c r="B881" i="16" s="1"/>
  <c r="B1555" i="16"/>
  <c r="B1539" i="16"/>
  <c r="B1511" i="16"/>
  <c r="B1495" i="16"/>
  <c r="B1475" i="16"/>
  <c r="B1561" i="16"/>
  <c r="B1545" i="16"/>
  <c r="B1529" i="16"/>
  <c r="B1501" i="16"/>
  <c r="B1481" i="16"/>
  <c r="B1530" i="16"/>
  <c r="B1506" i="16"/>
  <c r="B1486" i="16"/>
  <c r="B866" i="16"/>
  <c r="B1493" i="16"/>
  <c r="B1559" i="16"/>
  <c r="B1543" i="16"/>
  <c r="B1525" i="16"/>
  <c r="B1499" i="16"/>
  <c r="B1479" i="16"/>
  <c r="B1520" i="16"/>
  <c r="B1549" i="16"/>
  <c r="B1533" i="16"/>
  <c r="B1505" i="16"/>
  <c r="B1485" i="16"/>
  <c r="B1534" i="16"/>
  <c r="B1510" i="16"/>
  <c r="B1494" i="16"/>
  <c r="B1474" i="16"/>
  <c r="B1470" i="16"/>
  <c r="B875" i="16" s="1"/>
  <c r="B879" i="16" s="1"/>
  <c r="B1473" i="16"/>
  <c r="B1547" i="16"/>
  <c r="B1531" i="16"/>
  <c r="B1503" i="16"/>
  <c r="B1483" i="16"/>
  <c r="B1528" i="16"/>
  <c r="B1553" i="16"/>
  <c r="B1537" i="16"/>
  <c r="B1509" i="16"/>
  <c r="B1489" i="16"/>
  <c r="B1538" i="16"/>
  <c r="B1516" i="16"/>
  <c r="B1498" i="16"/>
  <c r="B1478" i="16"/>
  <c r="B3163" i="16"/>
  <c r="B3165" i="16" s="1"/>
  <c r="B1471" i="16"/>
  <c r="B876" i="16" s="1"/>
  <c r="B880" i="16" s="1"/>
  <c r="B1551" i="16"/>
  <c r="B1535" i="16"/>
  <c r="B1507" i="16"/>
  <c r="B1487" i="16"/>
  <c r="B1532" i="16"/>
  <c r="B1557" i="16"/>
  <c r="B1541" i="16"/>
  <c r="B1513" i="16"/>
  <c r="B1497" i="16"/>
  <c r="B1477" i="16"/>
  <c r="B1524" i="16"/>
  <c r="B1502" i="16"/>
  <c r="B1482" i="16"/>
  <c r="B1256" i="19"/>
  <c r="B1257" i="19" s="1"/>
  <c r="B1258" i="19" s="1"/>
  <c r="B1322" i="19" s="1"/>
  <c r="B1371" i="19" s="1"/>
  <c r="B1883" i="19"/>
  <c r="B3393" i="14"/>
  <c r="B3395" i="14" s="1"/>
  <c r="E56" i="19"/>
  <c r="F1479" i="12" s="1"/>
  <c r="G1479" i="12"/>
  <c r="E57" i="19"/>
  <c r="F1480" i="12" s="1"/>
  <c r="G1480" i="12"/>
  <c r="E58" i="19"/>
  <c r="F1481" i="12" s="1"/>
  <c r="G1481" i="12"/>
  <c r="H88" i="13"/>
  <c r="B1799" i="19"/>
  <c r="G66" i="19" s="1"/>
  <c r="H1489" i="12" s="1"/>
  <c r="F66" i="19"/>
  <c r="G1489" i="12" s="1"/>
  <c r="B414" i="19"/>
  <c r="G71" i="19" s="1"/>
  <c r="F71" i="19"/>
  <c r="B2068" i="19"/>
  <c r="B2090" i="19"/>
  <c r="B1162" i="19"/>
  <c r="B1166" i="19" s="1"/>
  <c r="B1053" i="19"/>
  <c r="B1645" i="19"/>
  <c r="B1703" i="19" s="1"/>
  <c r="B1507" i="19"/>
  <c r="B1702" i="19" s="1"/>
  <c r="H196" i="8"/>
  <c r="J196" i="8"/>
  <c r="J545" i="8"/>
  <c r="D93" i="8" s="1"/>
  <c r="C985" i="12" s="1"/>
  <c r="L545" i="8"/>
  <c r="F83" i="8" s="1"/>
  <c r="B1055" i="19"/>
  <c r="B918" i="19"/>
  <c r="B1567" i="19"/>
  <c r="B1862" i="19"/>
  <c r="B2142" i="19"/>
  <c r="B2139" i="19"/>
  <c r="B2140" i="19" s="1"/>
  <c r="B1801" i="19"/>
  <c r="B1805" i="19" s="1"/>
  <c r="B2061" i="19"/>
  <c r="B488" i="19"/>
  <c r="B1747" i="19"/>
  <c r="B1249" i="19"/>
  <c r="B2051" i="19"/>
  <c r="B2071" i="19" s="1"/>
  <c r="B1872" i="19"/>
  <c r="B1873" i="19" s="1"/>
  <c r="B1888" i="19" s="1"/>
  <c r="I198" i="8"/>
  <c r="I196" i="8"/>
  <c r="M531" i="8"/>
  <c r="K198" i="8" s="1"/>
  <c r="B2708" i="16"/>
  <c r="B3411" i="14"/>
  <c r="B3413" i="14" s="1"/>
  <c r="B3428" i="14"/>
  <c r="B3430" i="14" s="1"/>
  <c r="B3015" i="16"/>
  <c r="B3025" i="16" s="1"/>
  <c r="B3052" i="16" s="1"/>
  <c r="B805" i="16" s="1"/>
  <c r="I203" i="8"/>
  <c r="E83" i="8"/>
  <c r="E93" i="8"/>
  <c r="D985" i="12" s="1"/>
  <c r="G203" i="8"/>
  <c r="B181" i="8" s="1"/>
  <c r="C93" i="8"/>
  <c r="B985" i="12" s="1"/>
  <c r="C83" i="8"/>
  <c r="K749" i="9"/>
  <c r="K761" i="9" s="1"/>
  <c r="K762" i="9" s="1"/>
  <c r="K771" i="9" s="1"/>
  <c r="B2709" i="16"/>
  <c r="B2710" i="16" s="1"/>
  <c r="B472" i="15"/>
  <c r="B473" i="15" s="1"/>
  <c r="B996" i="15"/>
  <c r="B77" i="15" s="1"/>
  <c r="I743" i="9"/>
  <c r="B2631" i="16"/>
  <c r="B2632" i="16" s="1"/>
  <c r="B2652" i="16"/>
  <c r="B2653" i="16" s="1"/>
  <c r="B2654" i="16" s="1"/>
  <c r="B2662" i="16" s="1"/>
  <c r="B798" i="16" s="1"/>
  <c r="B300" i="16" s="1"/>
  <c r="B1228" i="12" s="1"/>
  <c r="B1355" i="13"/>
  <c r="H749" i="9"/>
  <c r="H743" i="9"/>
  <c r="B1107" i="15"/>
  <c r="B1108" i="15" s="1"/>
  <c r="B1091" i="15"/>
  <c r="B1092" i="15" s="1"/>
  <c r="B1136" i="15" s="1"/>
  <c r="B1106" i="15"/>
  <c r="B2697" i="16"/>
  <c r="B2698" i="16"/>
  <c r="B2699" i="16" s="1"/>
  <c r="L749" i="9"/>
  <c r="L743" i="9"/>
  <c r="J743" i="9"/>
  <c r="J749" i="9"/>
  <c r="B2624" i="16"/>
  <c r="B2625" i="16" s="1"/>
  <c r="B2638" i="16"/>
  <c r="B2639" i="16" s="1"/>
  <c r="B2645" i="16"/>
  <c r="B2646" i="16" s="1"/>
  <c r="B2667" i="16"/>
  <c r="B2665" i="16"/>
  <c r="B2666" i="16"/>
  <c r="B2664" i="16"/>
  <c r="B820" i="16"/>
  <c r="B2675" i="16"/>
  <c r="B2679" i="16" s="1"/>
  <c r="B2681" i="16" s="1"/>
  <c r="B2682" i="16" s="1"/>
  <c r="B2690" i="16"/>
  <c r="B2721" i="16"/>
  <c r="B2722" i="16" s="1"/>
  <c r="B2720" i="16"/>
  <c r="B380" i="15"/>
  <c r="B1369" i="13"/>
  <c r="B1380" i="13"/>
  <c r="B1382" i="13" s="1"/>
  <c r="B3420" i="14"/>
  <c r="B3422" i="14" s="1"/>
  <c r="B3409" i="14"/>
  <c r="I758" i="9"/>
  <c r="I761" i="9"/>
  <c r="I762" i="9" s="1"/>
  <c r="I771" i="9" s="1"/>
  <c r="I791" i="9"/>
  <c r="B1119" i="13"/>
  <c r="B1142" i="13" s="1"/>
  <c r="B1143" i="13" s="1"/>
  <c r="B1144" i="13" s="1"/>
  <c r="B1146" i="13" s="1"/>
  <c r="B1423" i="13"/>
  <c r="B1160" i="15"/>
  <c r="B1162" i="15" s="1"/>
  <c r="B1149" i="15"/>
  <c r="B3159" i="14"/>
  <c r="B3182" i="14" s="1"/>
  <c r="B3183" i="14" s="1"/>
  <c r="B3184" i="14" s="1"/>
  <c r="B3186" i="14" s="1"/>
  <c r="B3463" i="14"/>
  <c r="B966" i="16" l="1"/>
  <c r="B964" i="16"/>
  <c r="F86" i="19"/>
  <c r="D86" i="19"/>
  <c r="B489" i="19"/>
  <c r="B491" i="19" s="1"/>
  <c r="B492" i="19" s="1"/>
  <c r="B494" i="19" s="1"/>
  <c r="B514" i="19" s="1"/>
  <c r="B527" i="19" s="1"/>
  <c r="B878" i="16"/>
  <c r="B882" i="16" s="1"/>
  <c r="B893" i="16" s="1"/>
  <c r="B1103" i="16"/>
  <c r="B1111" i="16" s="1"/>
  <c r="B1104" i="16"/>
  <c r="B1112" i="16" s="1"/>
  <c r="B1323" i="19"/>
  <c r="G1488" i="12"/>
  <c r="G65" i="19"/>
  <c r="H1488" i="12" s="1"/>
  <c r="E65" i="19"/>
  <c r="F1488" i="12" s="1"/>
  <c r="B979" i="16"/>
  <c r="B3167" i="16"/>
  <c r="B3168" i="16"/>
  <c r="B1007" i="16"/>
  <c r="B1791" i="16"/>
  <c r="B1775" i="16"/>
  <c r="B1747" i="16"/>
  <c r="B1731" i="16"/>
  <c r="B1713" i="16"/>
  <c r="B1792" i="16"/>
  <c r="B1776" i="16"/>
  <c r="B1758" i="16"/>
  <c r="B1736" i="16"/>
  <c r="B1793" i="16"/>
  <c r="B1777" i="16"/>
  <c r="B1759" i="16"/>
  <c r="B1733" i="16"/>
  <c r="B1715" i="16"/>
  <c r="B1766" i="16"/>
  <c r="B1704" i="16"/>
  <c r="B1795" i="16"/>
  <c r="B1779" i="16"/>
  <c r="B1763" i="16"/>
  <c r="B1735" i="16"/>
  <c r="B1717" i="16"/>
  <c r="B1800" i="16"/>
  <c r="B1780" i="16"/>
  <c r="B1764" i="16"/>
  <c r="B1740" i="16"/>
  <c r="B1804" i="16"/>
  <c r="B1781" i="16"/>
  <c r="B1765" i="16"/>
  <c r="B1737" i="16"/>
  <c r="B1719" i="16"/>
  <c r="B1808" i="16"/>
  <c r="B1726" i="16"/>
  <c r="B1708" i="16"/>
  <c r="B1712" i="16"/>
  <c r="B1812" i="16"/>
  <c r="B1783" i="16"/>
  <c r="B1767" i="16"/>
  <c r="B1739" i="16"/>
  <c r="B1721" i="16"/>
  <c r="B1705" i="16"/>
  <c r="B1784" i="16"/>
  <c r="B1768" i="16"/>
  <c r="B1744" i="16"/>
  <c r="B1728" i="16"/>
  <c r="B1785" i="16"/>
  <c r="B1769" i="16"/>
  <c r="B1741" i="16"/>
  <c r="B1723" i="16"/>
  <c r="B1707" i="16"/>
  <c r="B1720" i="16"/>
  <c r="B1796" i="16"/>
  <c r="B1017" i="16" s="1"/>
  <c r="B1787" i="16"/>
  <c r="B1771" i="16"/>
  <c r="B1743" i="16"/>
  <c r="B1727" i="16"/>
  <c r="B1709" i="16"/>
  <c r="B1788" i="16"/>
  <c r="B1772" i="16"/>
  <c r="B1750" i="16"/>
  <c r="B1732" i="16"/>
  <c r="B1789" i="16"/>
  <c r="B1773" i="16"/>
  <c r="B1745" i="16"/>
  <c r="B1729" i="16"/>
  <c r="B1711" i="16"/>
  <c r="B1762" i="16"/>
  <c r="B1716" i="16"/>
  <c r="B1754" i="16"/>
  <c r="B3162" i="16"/>
  <c r="B3172" i="16"/>
  <c r="B890" i="16"/>
  <c r="B889" i="16"/>
  <c r="B888" i="16"/>
  <c r="B887" i="16"/>
  <c r="B891" i="16"/>
  <c r="B892" i="16"/>
  <c r="B973" i="16"/>
  <c r="E71" i="19"/>
  <c r="F1494" i="12" s="1"/>
  <c r="G1494" i="12"/>
  <c r="G78" i="19"/>
  <c r="H1494" i="12"/>
  <c r="H203" i="8"/>
  <c r="J203" i="8"/>
  <c r="B415" i="19"/>
  <c r="B417" i="19" s="1"/>
  <c r="B1057" i="19"/>
  <c r="B1165" i="19" s="1"/>
  <c r="B1167" i="19" s="1"/>
  <c r="B1168" i="19" s="1"/>
  <c r="B1175" i="19" s="1"/>
  <c r="G73" i="19"/>
  <c r="B1890" i="19"/>
  <c r="B1891" i="19" s="1"/>
  <c r="B1892" i="19" s="1"/>
  <c r="B1957" i="19" s="1"/>
  <c r="B2083" i="19"/>
  <c r="B2096" i="19" s="1"/>
  <c r="D83" i="8"/>
  <c r="C991" i="12" s="1"/>
  <c r="F93" i="8"/>
  <c r="E985" i="12" s="1"/>
  <c r="M545" i="8"/>
  <c r="K203" i="8" s="1"/>
  <c r="B2160" i="19"/>
  <c r="B2162" i="19" s="1"/>
  <c r="B2177" i="19"/>
  <c r="B2179" i="19" s="1"/>
  <c r="B1705" i="19"/>
  <c r="B1707" i="19" s="1"/>
  <c r="G63" i="19" s="1"/>
  <c r="H1486" i="12" s="1"/>
  <c r="B1568" i="19"/>
  <c r="B1377" i="19"/>
  <c r="B302" i="19" s="1"/>
  <c r="K758" i="9"/>
  <c r="K760" i="9" s="1"/>
  <c r="B991" i="12"/>
  <c r="C90" i="8"/>
  <c r="E991" i="12"/>
  <c r="F90" i="8"/>
  <c r="D991" i="12"/>
  <c r="E90" i="8"/>
  <c r="K791" i="9"/>
  <c r="B997" i="15"/>
  <c r="B1399" i="13"/>
  <c r="B1400" i="13" s="1"/>
  <c r="B1401" i="13" s="1"/>
  <c r="H110" i="13" s="1"/>
  <c r="H111" i="13" s="1"/>
  <c r="B2670" i="16"/>
  <c r="B2672" i="16"/>
  <c r="B2673" i="16" s="1"/>
  <c r="H66" i="14"/>
  <c r="H1446" i="12" s="1"/>
  <c r="B3461" i="14"/>
  <c r="B1421" i="13"/>
  <c r="H90" i="13"/>
  <c r="H97" i="13" s="1"/>
  <c r="H98" i="13" s="1"/>
  <c r="I769" i="9"/>
  <c r="I772" i="9" s="1"/>
  <c r="I773" i="9" s="1"/>
  <c r="I760" i="9"/>
  <c r="I770" i="9"/>
  <c r="B381" i="15"/>
  <c r="B71" i="15"/>
  <c r="B2348" i="16"/>
  <c r="B2684" i="16"/>
  <c r="J758" i="9"/>
  <c r="J761" i="9"/>
  <c r="J762" i="9" s="1"/>
  <c r="J771" i="9" s="1"/>
  <c r="J791" i="9"/>
  <c r="L761" i="9"/>
  <c r="L762" i="9" s="1"/>
  <c r="L771" i="9" s="1"/>
  <c r="L791" i="9"/>
  <c r="L758" i="9"/>
  <c r="B1184" i="15"/>
  <c r="B1179" i="15"/>
  <c r="B78" i="15" s="1"/>
  <c r="G59" i="19" s="1"/>
  <c r="B3439" i="14"/>
  <c r="B3440" i="14" s="1"/>
  <c r="B3441" i="14" s="1"/>
  <c r="H86" i="14" s="1"/>
  <c r="H1466" i="12" s="1"/>
  <c r="B2700" i="16"/>
  <c r="B2723" i="16"/>
  <c r="B2711" i="16"/>
  <c r="B2997" i="16"/>
  <c r="B3001" i="16" s="1"/>
  <c r="B3003" i="16" s="1"/>
  <c r="B2582" i="16"/>
  <c r="B2558" i="16"/>
  <c r="B2577" i="16"/>
  <c r="B2563" i="16"/>
  <c r="B2557" i="16"/>
  <c r="B2595" i="16"/>
  <c r="B2596" i="16"/>
  <c r="B1109" i="15"/>
  <c r="H761" i="9"/>
  <c r="H762" i="9" s="1"/>
  <c r="H771" i="9" s="1"/>
  <c r="H791" i="9"/>
  <c r="H758" i="9"/>
  <c r="B978" i="16" l="1"/>
  <c r="B972" i="16"/>
  <c r="G1509" i="12"/>
  <c r="G86" i="19"/>
  <c r="H1509" i="12" s="1"/>
  <c r="G67" i="19"/>
  <c r="H1490" i="12" s="1"/>
  <c r="H96" i="13"/>
  <c r="B894" i="16"/>
  <c r="B896" i="16" s="1"/>
  <c r="B3175" i="16"/>
  <c r="B1205" i="16" s="1"/>
  <c r="B895" i="16"/>
  <c r="B813" i="16"/>
  <c r="H112" i="13"/>
  <c r="H113" i="13" s="1"/>
  <c r="B3169" i="16"/>
  <c r="B3173" i="16"/>
  <c r="H72" i="14"/>
  <c r="H1452" i="12" s="1"/>
  <c r="H87" i="13"/>
  <c r="H63" i="14"/>
  <c r="H1496" i="12"/>
  <c r="G80" i="19"/>
  <c r="H1503" i="12" s="1"/>
  <c r="G60" i="19"/>
  <c r="H1483" i="12" s="1"/>
  <c r="H1482" i="12"/>
  <c r="H1501" i="12"/>
  <c r="B518" i="19"/>
  <c r="B526" i="19" s="1"/>
  <c r="B562" i="19" s="1"/>
  <c r="B710" i="19" s="1"/>
  <c r="B712" i="19" s="1"/>
  <c r="B713" i="19" s="1"/>
  <c r="B1172" i="19"/>
  <c r="B1181" i="19" s="1"/>
  <c r="B1182" i="19" s="1"/>
  <c r="B1184" i="19" s="1"/>
  <c r="B1185" i="19" s="1"/>
  <c r="B1187" i="19" s="1"/>
  <c r="B1189" i="19" s="1"/>
  <c r="B1370" i="19" s="1"/>
  <c r="B1373" i="19" s="1"/>
  <c r="B1379" i="19" s="1"/>
  <c r="B304" i="19" s="1"/>
  <c r="B1956" i="19"/>
  <c r="B2005" i="19" s="1"/>
  <c r="B2216" i="19" s="1"/>
  <c r="B2156" i="19"/>
  <c r="B2115" i="19"/>
  <c r="B2116" i="19" s="1"/>
  <c r="B2099" i="19"/>
  <c r="B2112" i="19"/>
  <c r="B2118" i="19" s="1"/>
  <c r="B1804" i="19"/>
  <c r="B1806" i="19" s="1"/>
  <c r="B1807" i="19" s="1"/>
  <c r="B1814" i="19" s="1"/>
  <c r="B1819" i="19" s="1"/>
  <c r="B528" i="19"/>
  <c r="B530" i="19" s="1"/>
  <c r="D90" i="8"/>
  <c r="D85" i="8" s="1"/>
  <c r="C992" i="12" s="1"/>
  <c r="G93" i="8"/>
  <c r="F985" i="12" s="1"/>
  <c r="G83" i="8"/>
  <c r="F991" i="12" s="1"/>
  <c r="B1180" i="19"/>
  <c r="B2597" i="16"/>
  <c r="B793" i="16" s="1"/>
  <c r="B304" i="16" s="1"/>
  <c r="B2564" i="16"/>
  <c r="B792" i="16" s="1"/>
  <c r="K769" i="9"/>
  <c r="K772" i="9" s="1"/>
  <c r="K773" i="9" s="1"/>
  <c r="K774" i="9" s="1"/>
  <c r="K775" i="9" s="1"/>
  <c r="K222" i="9" s="1"/>
  <c r="B2671" i="16"/>
  <c r="K770" i="9"/>
  <c r="B2712" i="16"/>
  <c r="B2724" i="16" s="1"/>
  <c r="B794" i="16" s="1"/>
  <c r="B305" i="16" s="1"/>
  <c r="C85" i="8"/>
  <c r="B992" i="12" s="1"/>
  <c r="C92" i="8"/>
  <c r="C91" i="8"/>
  <c r="E85" i="8"/>
  <c r="D992" i="12" s="1"/>
  <c r="E91" i="8"/>
  <c r="E92" i="8"/>
  <c r="F85" i="8"/>
  <c r="E992" i="12" s="1"/>
  <c r="F92" i="8"/>
  <c r="F91" i="8"/>
  <c r="I774" i="9"/>
  <c r="I775" i="9" s="1"/>
  <c r="B759" i="9"/>
  <c r="H760" i="9"/>
  <c r="H769" i="9"/>
  <c r="H772" i="9" s="1"/>
  <c r="H773" i="9" s="1"/>
  <c r="H770" i="9"/>
  <c r="L769" i="9"/>
  <c r="L772" i="9" s="1"/>
  <c r="L773" i="9" s="1"/>
  <c r="L760" i="9"/>
  <c r="L770" i="9"/>
  <c r="B2701" i="16"/>
  <c r="B2702" i="16" s="1"/>
  <c r="B3004" i="16"/>
  <c r="H87" i="14"/>
  <c r="H1467" i="12" s="1"/>
  <c r="B1185" i="15"/>
  <c r="B1186" i="15" s="1"/>
  <c r="B1187" i="15" s="1"/>
  <c r="B1188" i="15" s="1"/>
  <c r="B1189" i="15" s="1"/>
  <c r="B1191" i="15" s="1"/>
  <c r="B1180" i="15"/>
  <c r="J760" i="9"/>
  <c r="J769" i="9"/>
  <c r="J772" i="9" s="1"/>
  <c r="J773" i="9" s="1"/>
  <c r="J770" i="9"/>
  <c r="G68" i="19" l="1"/>
  <c r="H1491" i="12" s="1"/>
  <c r="B807" i="16"/>
  <c r="B2011" i="19"/>
  <c r="B308" i="19" s="1"/>
  <c r="B1083" i="16"/>
  <c r="B1086" i="16" s="1"/>
  <c r="B3174" i="16"/>
  <c r="B841" i="16" s="1"/>
  <c r="B860" i="16" s="1"/>
  <c r="B1811" i="19"/>
  <c r="B1820" i="19" s="1"/>
  <c r="B1821" i="19" s="1"/>
  <c r="B1823" i="19" s="1"/>
  <c r="B1824" i="19" s="1"/>
  <c r="B1826" i="19" s="1"/>
  <c r="B1828" i="19" s="1"/>
  <c r="B2004" i="19" s="1"/>
  <c r="B2010" i="19" s="1"/>
  <c r="B307" i="19" s="1"/>
  <c r="B1376" i="19"/>
  <c r="B301" i="19" s="1"/>
  <c r="B1192" i="16"/>
  <c r="B1124" i="16"/>
  <c r="B1067" i="16"/>
  <c r="B1073" i="16"/>
  <c r="B1076" i="16"/>
  <c r="B1219" i="16"/>
  <c r="B1234" i="16" s="1"/>
  <c r="H73" i="14"/>
  <c r="H1453" i="12" s="1"/>
  <c r="H1443" i="12"/>
  <c r="H64" i="14"/>
  <c r="H1444" i="12" s="1"/>
  <c r="G69" i="19"/>
  <c r="H1492" i="12" s="1"/>
  <c r="U98" i="8"/>
  <c r="V98" i="8" s="1"/>
  <c r="B2144" i="19"/>
  <c r="B2193" i="19" s="1"/>
  <c r="B2158" i="19"/>
  <c r="B2169" i="19"/>
  <c r="B2171" i="19" s="1"/>
  <c r="B698" i="19"/>
  <c r="B700" i="19" s="1"/>
  <c r="B701" i="19" s="1"/>
  <c r="B536" i="19"/>
  <c r="B540" i="19" s="1"/>
  <c r="B692" i="19"/>
  <c r="B694" i="19" s="1"/>
  <c r="B695" i="19" s="1"/>
  <c r="B704" i="19"/>
  <c r="B706" i="19" s="1"/>
  <c r="B707" i="19" s="1"/>
  <c r="G90" i="8"/>
  <c r="G92" i="8" s="1"/>
  <c r="D92" i="8"/>
  <c r="D91" i="8"/>
  <c r="C993" i="12" s="1"/>
  <c r="B315" i="19"/>
  <c r="B303" i="16"/>
  <c r="B306" i="16" s="1"/>
  <c r="E993" i="12"/>
  <c r="F84" i="8"/>
  <c r="D993" i="12"/>
  <c r="E84" i="8"/>
  <c r="B993" i="12"/>
  <c r="C84" i="8"/>
  <c r="K776" i="9"/>
  <c r="K224" i="9" s="1"/>
  <c r="I776" i="9"/>
  <c r="I222" i="9"/>
  <c r="J774" i="9"/>
  <c r="J775" i="9" s="1"/>
  <c r="L774" i="9"/>
  <c r="L775" i="9" s="1"/>
  <c r="H774" i="9"/>
  <c r="H775" i="9" s="1"/>
  <c r="B1004" i="16" l="1"/>
  <c r="B1008" i="16" s="1"/>
  <c r="B1053" i="16"/>
  <c r="B998" i="16" s="1"/>
  <c r="B867" i="16"/>
  <c r="B863" i="16" s="1"/>
  <c r="B851" i="16"/>
  <c r="B828" i="16"/>
  <c r="B865" i="16" s="1"/>
  <c r="B857" i="16"/>
  <c r="B869" i="16" s="1"/>
  <c r="B883" i="16" s="1"/>
  <c r="B901" i="16" s="1"/>
  <c r="B1080" i="16"/>
  <c r="B1099" i="16" s="1"/>
  <c r="H74" i="14"/>
  <c r="H1454" i="12" s="1"/>
  <c r="B2007" i="19"/>
  <c r="B2013" i="19" s="1"/>
  <c r="B310" i="19" s="1"/>
  <c r="B2215" i="19"/>
  <c r="B1174" i="16"/>
  <c r="B1173" i="16"/>
  <c r="B1125" i="16"/>
  <c r="B1150" i="16" s="1"/>
  <c r="B1178" i="16"/>
  <c r="B1172" i="16"/>
  <c r="B1177" i="16"/>
  <c r="B1176" i="16"/>
  <c r="B1175" i="16"/>
  <c r="B1179" i="16"/>
  <c r="B1256" i="16"/>
  <c r="B1254" i="16"/>
  <c r="B1255" i="16"/>
  <c r="B1193" i="16"/>
  <c r="B1233" i="16" s="1"/>
  <c r="G85" i="8"/>
  <c r="F992" i="12" s="1"/>
  <c r="A103" i="8"/>
  <c r="A105" i="8"/>
  <c r="G91" i="8"/>
  <c r="G84" i="8" s="1"/>
  <c r="B2188" i="19"/>
  <c r="B2194" i="19" s="1"/>
  <c r="B2195" i="19" s="1"/>
  <c r="B2197" i="19" s="1"/>
  <c r="B2198" i="19" s="1"/>
  <c r="B2199" i="19" s="1"/>
  <c r="B2200" i="19" s="1"/>
  <c r="B2201" i="19" s="1"/>
  <c r="B2202" i="19" s="1"/>
  <c r="B538" i="19"/>
  <c r="B537" i="19"/>
  <c r="B539" i="19"/>
  <c r="B541" i="19" s="1"/>
  <c r="B714" i="19"/>
  <c r="B715" i="19" s="1"/>
  <c r="B716" i="19" s="1"/>
  <c r="B717" i="19" s="1"/>
  <c r="B722" i="19" s="1"/>
  <c r="B2210" i="19" s="1"/>
  <c r="B294" i="19" s="1"/>
  <c r="D84" i="8"/>
  <c r="C990" i="12" s="1"/>
  <c r="C1048" i="12" s="1"/>
  <c r="B990" i="12"/>
  <c r="B1048" i="12" s="1"/>
  <c r="B59" i="10"/>
  <c r="D990" i="12"/>
  <c r="D1048" i="12" s="1"/>
  <c r="D59" i="10"/>
  <c r="E59" i="10"/>
  <c r="E990" i="12"/>
  <c r="E1048" i="12" s="1"/>
  <c r="K792" i="9"/>
  <c r="K796" i="9" s="1"/>
  <c r="K213" i="9" s="1"/>
  <c r="I224" i="9"/>
  <c r="I792" i="9"/>
  <c r="L776" i="9"/>
  <c r="L222" i="9"/>
  <c r="H222" i="9"/>
  <c r="B373" i="9" s="1"/>
  <c r="H776" i="9"/>
  <c r="C202" i="9"/>
  <c r="J776" i="9"/>
  <c r="J222" i="9"/>
  <c r="B897" i="16" l="1"/>
  <c r="B989" i="16"/>
  <c r="B985" i="16"/>
  <c r="B1003" i="16" s="1"/>
  <c r="B1013" i="16" s="1"/>
  <c r="B1009" i="16" s="1"/>
  <c r="B1025" i="16" s="1"/>
  <c r="B995" i="16"/>
  <c r="B1100" i="16"/>
  <c r="B1114" i="16" s="1"/>
  <c r="B1566" i="16"/>
  <c r="B1578" i="16"/>
  <c r="B1550" i="16"/>
  <c r="B1570" i="16"/>
  <c r="B1574" i="16"/>
  <c r="B1562" i="16"/>
  <c r="B1554" i="16"/>
  <c r="B1546" i="16"/>
  <c r="B1558" i="16"/>
  <c r="B1542" i="16"/>
  <c r="B1001" i="16"/>
  <c r="B1022" i="16" s="1"/>
  <c r="B1036" i="16" s="1"/>
  <c r="B884" i="16"/>
  <c r="B902" i="16" s="1"/>
  <c r="H88" i="14"/>
  <c r="H1468" i="12" s="1"/>
  <c r="K1531" i="12" s="1"/>
  <c r="B1186" i="16"/>
  <c r="B1270" i="16"/>
  <c r="B1264" i="16"/>
  <c r="B1113" i="16"/>
  <c r="B1117" i="16"/>
  <c r="B1187" i="16"/>
  <c r="B1180" i="16"/>
  <c r="B1269" i="16"/>
  <c r="B1263" i="16"/>
  <c r="B1181" i="16"/>
  <c r="F993" i="12"/>
  <c r="B2204" i="19"/>
  <c r="B2189" i="19"/>
  <c r="B313" i="19" s="1"/>
  <c r="B314" i="19" s="1"/>
  <c r="C59" i="10"/>
  <c r="C88" i="10" s="1"/>
  <c r="K162" i="10" s="1"/>
  <c r="C1078" i="12" s="1"/>
  <c r="B543" i="19"/>
  <c r="B547" i="19" s="1"/>
  <c r="F990" i="12"/>
  <c r="F1048" i="12" s="1"/>
  <c r="F59" i="10"/>
  <c r="D88" i="10"/>
  <c r="L162" i="10" s="1"/>
  <c r="D1078" i="12" s="1"/>
  <c r="D58" i="10"/>
  <c r="B88" i="10"/>
  <c r="B58" i="10"/>
  <c r="E58" i="10"/>
  <c r="E88" i="10"/>
  <c r="M162" i="10" s="1"/>
  <c r="E1078" i="12" s="1"/>
  <c r="K798" i="9"/>
  <c r="K229" i="9"/>
  <c r="K212" i="9" s="1"/>
  <c r="I796" i="9"/>
  <c r="I229" i="9"/>
  <c r="I212" i="9" s="1"/>
  <c r="J792" i="9"/>
  <c r="J224" i="9"/>
  <c r="H224" i="9"/>
  <c r="B375" i="9" s="1"/>
  <c r="H792" i="9"/>
  <c r="L224" i="9"/>
  <c r="L792" i="9"/>
  <c r="K603" i="9"/>
  <c r="K135" i="9"/>
  <c r="B1118" i="16" l="1"/>
  <c r="B1026" i="16"/>
  <c r="B1040" i="16" s="1"/>
  <c r="B898" i="16"/>
  <c r="B806" i="16" s="1"/>
  <c r="B811" i="16" s="1"/>
  <c r="B1021" i="16"/>
  <c r="B1035" i="16" s="1"/>
  <c r="B795" i="16" s="1"/>
  <c r="H89" i="14"/>
  <c r="H1469" i="12" s="1"/>
  <c r="B1039" i="16"/>
  <c r="B1033" i="16"/>
  <c r="B796" i="16" s="1"/>
  <c r="B1034" i="16"/>
  <c r="B87" i="19"/>
  <c r="C58" i="10"/>
  <c r="B545" i="19"/>
  <c r="B721" i="19" s="1"/>
  <c r="B720" i="19" s="1"/>
  <c r="F88" i="10"/>
  <c r="N162" i="10" s="1"/>
  <c r="F1078" i="12" s="1"/>
  <c r="F58" i="10"/>
  <c r="J162" i="10"/>
  <c r="B1078" i="12" s="1"/>
  <c r="I798" i="9"/>
  <c r="I213" i="9"/>
  <c r="L796" i="9"/>
  <c r="L229" i="9"/>
  <c r="L212" i="9" s="1"/>
  <c r="H796" i="9"/>
  <c r="H229" i="9"/>
  <c r="D1532" i="12"/>
  <c r="C1532" i="12"/>
  <c r="J796" i="9"/>
  <c r="J229" i="9"/>
  <c r="J212" i="9" s="1"/>
  <c r="K883" i="9"/>
  <c r="K817" i="9"/>
  <c r="K604" i="9" s="1"/>
  <c r="K822" i="9"/>
  <c r="B297" i="16" l="1"/>
  <c r="B1225" i="12" s="1"/>
  <c r="B298" i="16"/>
  <c r="B1226" i="12" s="1"/>
  <c r="B800" i="16"/>
  <c r="B307" i="16" s="1"/>
  <c r="G87" i="19"/>
  <c r="C87" i="19"/>
  <c r="C1510" i="12" s="1"/>
  <c r="B1510" i="12"/>
  <c r="B548" i="19"/>
  <c r="B2209" i="19"/>
  <c r="B2208" i="19" s="1"/>
  <c r="B292" i="19" s="1"/>
  <c r="H109" i="10"/>
  <c r="A112" i="10" s="1"/>
  <c r="A109" i="10"/>
  <c r="I603" i="9"/>
  <c r="I135" i="9"/>
  <c r="H212" i="9"/>
  <c r="B259" i="9"/>
  <c r="B262" i="9"/>
  <c r="J798" i="9"/>
  <c r="J213" i="9"/>
  <c r="H798" i="9"/>
  <c r="H213" i="9"/>
  <c r="L798" i="9"/>
  <c r="L213" i="9"/>
  <c r="K112" i="9"/>
  <c r="K606" i="9"/>
  <c r="K828" i="9"/>
  <c r="K833" i="9" s="1"/>
  <c r="K821" i="9"/>
  <c r="K827" i="9"/>
  <c r="B302" i="16" l="1"/>
  <c r="B1230" i="12" s="1"/>
  <c r="G88" i="19"/>
  <c r="H1510" i="12"/>
  <c r="B293" i="19"/>
  <c r="A110" i="10"/>
  <c r="A111" i="10"/>
  <c r="I817" i="9"/>
  <c r="I604" i="9" s="1"/>
  <c r="I822" i="9"/>
  <c r="I883" i="9"/>
  <c r="L135" i="9"/>
  <c r="L603" i="9"/>
  <c r="H135" i="9"/>
  <c r="B260" i="9"/>
  <c r="H603" i="9"/>
  <c r="J135" i="9"/>
  <c r="J603" i="9"/>
  <c r="K849" i="9"/>
  <c r="K850" i="9" s="1"/>
  <c r="K214" i="9"/>
  <c r="K838" i="9"/>
  <c r="K840" i="9" s="1"/>
  <c r="K844" i="9" s="1"/>
  <c r="K874" i="9"/>
  <c r="K875" i="9" s="1"/>
  <c r="K880" i="9" s="1"/>
  <c r="B64" i="16" l="1"/>
  <c r="C1219" i="12" s="1"/>
  <c r="G89" i="19"/>
  <c r="G90" i="19" s="1"/>
  <c r="H1511" i="12"/>
  <c r="I821" i="9"/>
  <c r="I828" i="9"/>
  <c r="I833" i="9" s="1"/>
  <c r="I827" i="9"/>
  <c r="I112" i="9"/>
  <c r="I606" i="9"/>
  <c r="L883" i="9"/>
  <c r="L822" i="9"/>
  <c r="L817" i="9"/>
  <c r="L604" i="9" s="1"/>
  <c r="J822" i="9"/>
  <c r="J883" i="9"/>
  <c r="J817" i="9"/>
  <c r="J604" i="9" s="1"/>
  <c r="H822" i="9"/>
  <c r="H883" i="9"/>
  <c r="H817" i="9"/>
  <c r="H604" i="9" s="1"/>
  <c r="K136" i="9"/>
  <c r="K215" i="9"/>
  <c r="K133" i="9" s="1"/>
  <c r="K134" i="9" s="1"/>
  <c r="K855" i="9"/>
  <c r="K868" i="9"/>
  <c r="K861" i="9"/>
  <c r="H1513" i="12" l="1"/>
  <c r="H1512" i="12"/>
  <c r="I849" i="9"/>
  <c r="I850" i="9" s="1"/>
  <c r="I874" i="9"/>
  <c r="I875" i="9" s="1"/>
  <c r="I880" i="9" s="1"/>
  <c r="I838" i="9"/>
  <c r="I840" i="9" s="1"/>
  <c r="I844" i="9" s="1"/>
  <c r="I214" i="9"/>
  <c r="J606" i="9"/>
  <c r="J112" i="9"/>
  <c r="J828" i="9"/>
  <c r="J833" i="9" s="1"/>
  <c r="J827" i="9"/>
  <c r="J821" i="9"/>
  <c r="L828" i="9"/>
  <c r="L833" i="9" s="1"/>
  <c r="L827" i="9"/>
  <c r="L821" i="9"/>
  <c r="H606" i="9"/>
  <c r="H112" i="9"/>
  <c r="H821" i="9"/>
  <c r="H828" i="9"/>
  <c r="H833" i="9" s="1"/>
  <c r="H827" i="9"/>
  <c r="L112" i="9"/>
  <c r="L606" i="9"/>
  <c r="K882" i="9"/>
  <c r="K893" i="9" s="1"/>
  <c r="K894" i="9" s="1"/>
  <c r="D1533" i="12" l="1"/>
  <c r="L1531" i="12"/>
  <c r="I215" i="9"/>
  <c r="I133" i="9" s="1"/>
  <c r="I134" i="9" s="1"/>
  <c r="I136" i="9"/>
  <c r="I855" i="9"/>
  <c r="I861" i="9"/>
  <c r="I868" i="9"/>
  <c r="A199" i="9"/>
  <c r="B200" i="9"/>
  <c r="D200" i="9"/>
  <c r="L838" i="9"/>
  <c r="L840" i="9" s="1"/>
  <c r="L844" i="9" s="1"/>
  <c r="L214" i="9"/>
  <c r="L849" i="9"/>
  <c r="L850" i="9" s="1"/>
  <c r="L874" i="9"/>
  <c r="L875" i="9" s="1"/>
  <c r="L880" i="9" s="1"/>
  <c r="H214" i="9"/>
  <c r="H874" i="9"/>
  <c r="H875" i="9" s="1"/>
  <c r="H880" i="9" s="1"/>
  <c r="H849" i="9"/>
  <c r="H850" i="9" s="1"/>
  <c r="H838" i="9"/>
  <c r="H840" i="9" s="1"/>
  <c r="H844" i="9" s="1"/>
  <c r="J838" i="9"/>
  <c r="J840" i="9" s="1"/>
  <c r="J844" i="9" s="1"/>
  <c r="J214" i="9"/>
  <c r="J849" i="9"/>
  <c r="J850" i="9" s="1"/>
  <c r="J874" i="9"/>
  <c r="J875" i="9" s="1"/>
  <c r="J880" i="9" s="1"/>
  <c r="I882" i="9" l="1"/>
  <c r="I893" i="9" s="1"/>
  <c r="I894" i="9" s="1"/>
  <c r="J136" i="9"/>
  <c r="J215" i="9"/>
  <c r="J133" i="9" s="1"/>
  <c r="J134" i="9" s="1"/>
  <c r="L215" i="9"/>
  <c r="L133" i="9" s="1"/>
  <c r="L134" i="9" s="1"/>
  <c r="L136" i="9"/>
  <c r="J868" i="9"/>
  <c r="J855" i="9"/>
  <c r="J861" i="9"/>
  <c r="H855" i="9"/>
  <c r="H861" i="9"/>
  <c r="H868" i="9"/>
  <c r="H215" i="9"/>
  <c r="H136" i="9"/>
  <c r="L868" i="9"/>
  <c r="L855" i="9"/>
  <c r="L861" i="9"/>
  <c r="J882" i="9" l="1"/>
  <c r="J893" i="9" s="1"/>
  <c r="J894" i="9" s="1"/>
  <c r="L882" i="9"/>
  <c r="L893" i="9" s="1"/>
  <c r="L894" i="9" s="1"/>
  <c r="H882" i="9"/>
  <c r="H893" i="9" s="1"/>
  <c r="H894" i="9" s="1"/>
  <c r="B261" i="9"/>
  <c r="H133" i="9"/>
  <c r="H134" i="9" s="1"/>
  <c r="B1858" i="12"/>
  <c r="H1861" i="12" s="1"/>
  <c r="C1861" i="12" s="1"/>
</calcChain>
</file>

<file path=xl/comments1.xml><?xml version="1.0" encoding="utf-8"?>
<comments xmlns="http://schemas.openxmlformats.org/spreadsheetml/2006/main">
  <authors>
    <author>User</author>
  </authors>
  <commentList>
    <comment ref="I426" authorId="0">
      <text>
        <r>
          <rPr>
            <sz val="8"/>
            <color indexed="81"/>
            <rFont val="Tahoma"/>
            <family val="2"/>
            <charset val="204"/>
          </rPr>
          <t xml:space="preserve">Если скорость не ограничивается - записывается число 10
</t>
        </r>
      </text>
    </comment>
    <comment ref="P450" authorId="0">
      <text>
        <r>
          <rPr>
            <sz val="8"/>
            <color indexed="81"/>
            <rFont val="Tahoma"/>
            <family val="2"/>
            <charset val="204"/>
          </rPr>
          <t xml:space="preserve">Если скорость передвижеия машиниста не ограничена, указывается число 10
</t>
        </r>
      </text>
    </comment>
  </commentList>
</comments>
</file>

<file path=xl/comments2.xml><?xml version="1.0" encoding="utf-8"?>
<comments xmlns="http://schemas.openxmlformats.org/spreadsheetml/2006/main">
  <authors>
    <author>User</author>
  </authors>
  <commentList>
    <comment ref="G539" authorId="0">
      <text>
        <r>
          <rPr>
            <b/>
            <sz val="8"/>
            <color indexed="81"/>
            <rFont val="Tahoma"/>
            <family val="2"/>
            <charset val="204"/>
          </rPr>
          <t xml:space="preserve">Если нет конвейера с таким номером  -  записывается число 100!
</t>
        </r>
      </text>
    </comment>
    <comment ref="G549" authorId="0">
      <text>
        <r>
          <rPr>
            <sz val="8"/>
            <color indexed="10"/>
            <rFont val="Tahoma"/>
            <family val="2"/>
            <charset val="204"/>
          </rPr>
          <t xml:space="preserve">Если нет конвейера с таким номером  -  записывается число 100!
</t>
        </r>
      </text>
    </comment>
    <comment ref="H549" authorId="0">
      <text>
        <r>
          <rPr>
            <b/>
            <sz val="8"/>
            <color indexed="10"/>
            <rFont val="Tahoma"/>
            <family val="2"/>
            <charset val="204"/>
          </rPr>
          <t xml:space="preserve">Если нет конвейера с таким номером  -  записывается число 100!
</t>
        </r>
      </text>
    </comment>
  </commentList>
</comments>
</file>

<file path=xl/comments3.xml><?xml version="1.0" encoding="utf-8"?>
<comments xmlns="http://schemas.openxmlformats.org/spreadsheetml/2006/main">
  <authors>
    <author>User</author>
  </authors>
  <commentList>
    <comment ref="I288" authorId="0">
      <text>
        <r>
          <rPr>
            <b/>
            <sz val="8"/>
            <color indexed="10"/>
            <rFont val="Tahoma"/>
            <family val="2"/>
          </rPr>
          <t>задается в зависимости от схемы транспорта и схемы проветривания участка</t>
        </r>
      </text>
    </comment>
    <comment ref="I333" authorId="0">
      <text>
        <r>
          <rPr>
            <b/>
            <sz val="8"/>
            <color indexed="81"/>
            <rFont val="Tahoma"/>
            <family val="2"/>
            <charset val="204"/>
          </rPr>
          <t>задано с коэф. 30</t>
        </r>
        <r>
          <rPr>
            <sz val="8"/>
            <color indexed="81"/>
            <rFont val="Tahoma"/>
            <family val="2"/>
            <charset val="204"/>
          </rPr>
          <t xml:space="preserve">
</t>
        </r>
      </text>
    </comment>
  </commentList>
</comments>
</file>

<file path=xl/sharedStrings.xml><?xml version="1.0" encoding="utf-8"?>
<sst xmlns="http://schemas.openxmlformats.org/spreadsheetml/2006/main" count="16368" uniqueCount="6947">
  <si>
    <t>схемой расположения исполнительных органов комбайна, способом подготовки комбайна к выемке новой полосы угля.</t>
  </si>
  <si>
    <t>Принятая норма выработки, шпур/цикл</t>
  </si>
  <si>
    <t xml:space="preserve">Комбинированная, обратный ход. Движение воздуха по лаве от транспортной выработки к вентиляционной и далее на выработанное пространство. Вентиляционная выработка  проведена навстречу лаве через целик менее  Lоп и за лавой не погашается, Подсвежающая струя - на фланговую выработку. Транспортная выработка проведена заранее, за лавой погашается. </t>
  </si>
  <si>
    <t>параметры оборудования для каждого вида приведены в программе, нормы выработки,</t>
  </si>
  <si>
    <t xml:space="preserve"> согласно ЕНВ, включены в программу расчетов). Производительность струговой установки </t>
  </si>
  <si>
    <t xml:space="preserve">согласовывается с производительностью  средств транспорта на штреке.   </t>
  </si>
  <si>
    <t xml:space="preserve"> Учитывая надедность работы всех механизмов и процессов в лаве и на штреках, вычисляется</t>
  </si>
  <si>
    <t xml:space="preserve"> сменный коэффициент машинного времени работы струговой установки.</t>
  </si>
  <si>
    <t>СК 1</t>
  </si>
  <si>
    <t>СК 2</t>
  </si>
  <si>
    <t>СК 3</t>
  </si>
  <si>
    <t>СК 4</t>
  </si>
  <si>
    <t>Опишите схему проветривания участка</t>
  </si>
  <si>
    <t>1,06-1,30</t>
  </si>
  <si>
    <t>1,31-1,60</t>
  </si>
  <si>
    <t>Коэффициенты согласно таблице А.12</t>
  </si>
  <si>
    <t>2) сопряжение с вентиляционной  выработкой</t>
  </si>
  <si>
    <t>Принятая нагрузка на лаву</t>
  </si>
  <si>
    <t>Трудоемкость по установке стоек при передвижке, чес.см/цикл</t>
  </si>
  <si>
    <t>Трудоемкость по креплению в нише индивид метал крепью, чел.см/цикл</t>
  </si>
  <si>
    <t>Извлечение стоек при передвижке крнвейера и погашении лавы</t>
  </si>
  <si>
    <t>Извлечение стойки при погашении лавы.Объем работ</t>
  </si>
  <si>
    <t>При выборе типа комбайна.</t>
  </si>
  <si>
    <t>1- из возможных типов комбайнов следует принять тот, который имеет меьший вес или меньший размер;</t>
  </si>
  <si>
    <t>Расход бикрепи, шт/м</t>
  </si>
  <si>
    <t>Расход бикрепи, т/м</t>
  </si>
  <si>
    <t>Би-крепь, т</t>
  </si>
  <si>
    <t>Длина доставки, м  (до 2000 м)</t>
  </si>
  <si>
    <t>Конец литая полоса</t>
  </si>
  <si>
    <t>КУСТЫ</t>
  </si>
  <si>
    <t>Возведение крепи(1- органная крепь, 2- кустовая крепь)</t>
  </si>
  <si>
    <t>По виду возводимой крепи</t>
  </si>
  <si>
    <t>диаметр стойки</t>
  </si>
  <si>
    <t>количество стоек на 1 выработки</t>
  </si>
  <si>
    <t>Число  стоек на 1 куст</t>
  </si>
  <si>
    <t>число кустов на 1 м</t>
  </si>
  <si>
    <t>Расстояние между кустами</t>
  </si>
  <si>
    <t>Число рядов кустов</t>
  </si>
  <si>
    <t>КОНЕЦ КУСТЫ</t>
  </si>
  <si>
    <t xml:space="preserve">  Программа расчета затрат на выкладку  охранных костров над штреком</t>
  </si>
  <si>
    <t>Общешахтный поправочный коэффициент</t>
  </si>
  <si>
    <t>y = -7,1422Ln(x) + 2,1666</t>
  </si>
  <si>
    <t>y = -7,152Ln(x) + 1,1598</t>
  </si>
  <si>
    <t>y = -7,1467Ln(x) + 0,1666</t>
  </si>
  <si>
    <t>y = -7,1768</t>
  </si>
  <si>
    <t>y = -7,1764</t>
  </si>
  <si>
    <t>y = -7,1675</t>
  </si>
  <si>
    <t>УСТ4</t>
  </si>
  <si>
    <t>Результаты вычислений</t>
  </si>
  <si>
    <t>Ширина свободного пространства по длине ниши, закрепленного индивидуальной крепью,м</t>
  </si>
  <si>
    <t>Исходные данные, введенные ранее</t>
  </si>
  <si>
    <t>коэф креп кровли</t>
  </si>
  <si>
    <t>Коэф креп почвы</t>
  </si>
  <si>
    <t>Сред коэф для выработки</t>
  </si>
  <si>
    <t xml:space="preserve"> Теоретическая производительность струговой установки</t>
  </si>
  <si>
    <t>Выбор оптимального варианта</t>
  </si>
  <si>
    <t>Участковый транспорт</t>
  </si>
  <si>
    <t>Всего участковые затраты</t>
  </si>
  <si>
    <t>Всего затраты за пределами участка</t>
  </si>
  <si>
    <t>Общие затраты в пределах выемочной ступени</t>
  </si>
  <si>
    <t>ПРОГРАММНЫЙ БЛОК      РЕЗУЛЬТАТЫ ВЫЧИСЛЕНИЙ  (панельная подготовка)</t>
  </si>
  <si>
    <r>
      <t xml:space="preserve">проведение наклонных и </t>
    </r>
    <r>
      <rPr>
        <sz val="10"/>
        <color indexed="10"/>
        <rFont val="Times New Roman"/>
        <family val="1"/>
        <charset val="204"/>
      </rPr>
      <t>магистральных(</t>
    </r>
    <r>
      <rPr>
        <sz val="10"/>
        <color indexed="12"/>
        <rFont val="Times New Roman"/>
        <family val="1"/>
      </rPr>
      <t>1)</t>
    </r>
  </si>
  <si>
    <r>
      <t xml:space="preserve">поддержание наклонных  </t>
    </r>
    <r>
      <rPr>
        <sz val="10"/>
        <color indexed="10"/>
        <rFont val="Times New Roman"/>
        <family val="1"/>
        <charset val="204"/>
      </rPr>
      <t>и маг(1</t>
    </r>
    <r>
      <rPr>
        <sz val="10"/>
        <color indexed="12"/>
        <rFont val="Times New Roman"/>
        <family val="1"/>
      </rPr>
      <t>)</t>
    </r>
  </si>
  <si>
    <r>
      <t xml:space="preserve">транспорт и водоотлив по наклонным  </t>
    </r>
    <r>
      <rPr>
        <sz val="10"/>
        <color indexed="10"/>
        <rFont val="Times New Roman"/>
        <family val="1"/>
        <charset val="204"/>
      </rPr>
      <t>и маг(1)</t>
    </r>
  </si>
  <si>
    <t>проведение участковых выработок (штреки и разрезной ходок)</t>
  </si>
  <si>
    <t>поддержание участковых выработок</t>
  </si>
  <si>
    <t>сооружение средств охраны</t>
  </si>
  <si>
    <t>участковый транспорт (1)</t>
  </si>
  <si>
    <t>очистные работы (1)</t>
  </si>
  <si>
    <t>общие затраты (1)</t>
  </si>
  <si>
    <t>2 - из возможных типов комбайнов следует принять комбайн с симметричным расположением исполнительных органов.</t>
  </si>
  <si>
    <t>Работаем с программной оптимизацией податливости крепи? Да - 1, Нет - 0</t>
  </si>
  <si>
    <t>тр-ный при столбовой</t>
  </si>
  <si>
    <t>тр-ный при столбовой с повторным</t>
  </si>
  <si>
    <t>тр-ный сплошн</t>
  </si>
  <si>
    <t>тр-ный сплошн  повтор</t>
  </si>
  <si>
    <t>вент столб присечка</t>
  </si>
  <si>
    <t>вент столб через целик</t>
  </si>
  <si>
    <t>вент сплош присечка</t>
  </si>
  <si>
    <t>вент сплош через целик</t>
  </si>
  <si>
    <t>НОМЕР транспортной выработки в таблице</t>
  </si>
  <si>
    <t>НОМЕР вентиляционной выработки в таблице</t>
  </si>
  <si>
    <t>массив типовых сечений  после осадки  Fпо, м2</t>
  </si>
  <si>
    <t>Ширина В, мм</t>
  </si>
  <si>
    <t>Ширина выработки в свету после осадки и ее сечение</t>
  </si>
  <si>
    <t>Нормативы на  проходку      и скорость проведения штреков</t>
  </si>
  <si>
    <t>Сечение вентиляционного  штрека в свету после осадки</t>
  </si>
  <si>
    <t xml:space="preserve">Податливость (вентиляционный штрек) условно принята </t>
  </si>
  <si>
    <t>селективная выемка для вентиляционного  1, нет - 0</t>
  </si>
  <si>
    <t>селективная выемка для транспортного штрека 1, нет - 1</t>
  </si>
  <si>
    <t>сечение вентиляционного штрека в свету до осадки</t>
  </si>
  <si>
    <t>Номер столбца в таблице вент шт-к</t>
  </si>
  <si>
    <t>промежуточное вычисление</t>
  </si>
  <si>
    <t>Номер строки в таблице для комбайна - вент ш-к</t>
  </si>
  <si>
    <t>норматив для комбайна Вент ш-к</t>
  </si>
  <si>
    <t>Поддержание участковых выработок</t>
  </si>
  <si>
    <t>Факт.относительное метановыделение в лаву  из выработанного пр-ва, м3/т.с.д</t>
  </si>
  <si>
    <t>Фактическое относительное метановыделение в лаву из пласта, м3/т.с.д";"")</t>
  </si>
  <si>
    <t>Природная метаноносность пласта в действующей лаве, м3/т с.б.м.";"")</t>
  </si>
  <si>
    <t>Глубина работ в действующей лаве,м";"")</t>
  </si>
  <si>
    <t>Выход летучих веществ, процент";"")</t>
  </si>
  <si>
    <t>Длина лавы, при которой определено газовыделение, м";"")</t>
  </si>
  <si>
    <t>1 Данные о лаве-аналоге в вышележащей ступени";"")</t>
  </si>
  <si>
    <t>Производительность ленточного конвейера, т/час</t>
  </si>
  <si>
    <t>Длина стойки для выкладки костров, м</t>
  </si>
  <si>
    <t>Какой вид крепи в проектируемой лаве? ( 0 - механизированная, 1 - индивидуальная)</t>
  </si>
  <si>
    <t xml:space="preserve">Количество рельсовых путей в выработке </t>
  </si>
  <si>
    <t>Угол наклона наклонных выработок, град</t>
  </si>
  <si>
    <t>ФИКСИРОВАНО ЗАДАННЫЕ ПАРАМЕТРЫ</t>
  </si>
  <si>
    <t>Возможное количество панелей в ступени</t>
  </si>
  <si>
    <t>Коэффициент водообильности пласта</t>
  </si>
  <si>
    <t>Количество анкеров на 1 м ширины ходка</t>
  </si>
  <si>
    <t>наличие 1-й зоны поддержания;1-да,0-нет</t>
  </si>
  <si>
    <t>наличие 2-й зоны поддержания;1-да,0-нет</t>
  </si>
  <si>
    <t>В Ы Ч И С Л Е Н И Я</t>
  </si>
  <si>
    <t>Направление перекидки породы при выкладке бутовой полосы (1 - вниз, 2 - вверх)</t>
  </si>
  <si>
    <t>Средние</t>
  </si>
  <si>
    <t xml:space="preserve">               Структура затрат в пределах выемочной ступени</t>
  </si>
  <si>
    <t>Принятая в расчетах скорость подачи комбайна по скорости крепления, м/мин</t>
  </si>
  <si>
    <t>Принятая в расчетах скорость подачи комбайна, м/мин</t>
  </si>
  <si>
    <t>Производительность  по скорости крепления, т/мин</t>
  </si>
  <si>
    <t xml:space="preserve">Скорость крепления при применении верхняков с выдвижной консолью, м/мин </t>
  </si>
  <si>
    <t>a2</t>
  </si>
  <si>
    <t>a3</t>
  </si>
  <si>
    <t>a4</t>
  </si>
  <si>
    <t>a5</t>
  </si>
  <si>
    <t>b2</t>
  </si>
  <si>
    <t>b3</t>
  </si>
  <si>
    <t>c1</t>
  </si>
  <si>
    <t>c2</t>
  </si>
  <si>
    <t>d1</t>
  </si>
  <si>
    <t>d2</t>
  </si>
  <si>
    <t>2К52М</t>
  </si>
  <si>
    <t>2ГШ68</t>
  </si>
  <si>
    <t>КШ1КГУ</t>
  </si>
  <si>
    <t>1K101УД</t>
  </si>
  <si>
    <t>ГШ200Б</t>
  </si>
  <si>
    <t>ГШ500</t>
  </si>
  <si>
    <t>а1</t>
  </si>
  <si>
    <t>а2</t>
  </si>
  <si>
    <t>а3</t>
  </si>
  <si>
    <t>а4</t>
  </si>
  <si>
    <t>с1</t>
  </si>
  <si>
    <t>с2</t>
  </si>
  <si>
    <t>СПМ46</t>
  </si>
  <si>
    <t>СП48М</t>
  </si>
  <si>
    <t>СПЦ162</t>
  </si>
  <si>
    <t>СП202В1</t>
  </si>
  <si>
    <t>СП63М</t>
  </si>
  <si>
    <t>СП202</t>
  </si>
  <si>
    <t>СПМ87МП</t>
  </si>
  <si>
    <t>СПЦ273</t>
  </si>
  <si>
    <t>СП250</t>
  </si>
  <si>
    <t>CУМК75</t>
  </si>
  <si>
    <t>СУОКП70</t>
  </si>
  <si>
    <t>СП301</t>
  </si>
  <si>
    <t>СПЦ261</t>
  </si>
  <si>
    <t>СП38Р</t>
  </si>
  <si>
    <t>СК38</t>
  </si>
  <si>
    <t>С53МУ</t>
  </si>
  <si>
    <t>Комбинированная, обратный ход. Движение воздуха по лаве от транспортной выработки к вентиляционной и далее на массив. Вентиляционная выработка - повторно используемая транспортная выработка, за лавой погашается. Транспортная выработка проведен заранее, за лавой не погашается, участок ее за лавой проветривается от фланговой выработки..</t>
  </si>
  <si>
    <t>Комбинированная прямой ход, движение воздуха по лаве от транспортной выработки к вентиляционной и далее на массив. Вентиляционная выработка  - повторно используемая транспортная выработка, за лавой не погашается, Транспортная выработка проведена заранее и  за лавой не погашается. Участки выработок впереди лавы проветриваются через фланговые выработки.</t>
  </si>
  <si>
    <t>Комбинированная обратный ход,  движение воздуха по лаве от транспортной выработки к вентиляционной и далее на выработанное пространство. Вентиляционная выработка  проведена через целик более  Lоп, за лавой не погашается. Транспортная выработка проведена заранее, за лавой не погашается.  Участки выработок за лавой проветриваются через фланговые выработки. Угольный поток направлен к транспортной фланговой выработке. Подсвежающая струя направлена к фланговой выработке.</t>
  </si>
  <si>
    <t>Комбинированная обратный ход, движение воздуха по лаве от транспортной выработки к вентиляционной и далее на выработанное пространство, Вентиляционная выработка проведена навстречу лаве через целик менее  Lоп, за лавой не погашается. Транспортная выработка проведена заранее, за лавой не погашается, участок штрека за лавой проветривается от фланговой выработки. Подсвежающая струя - по вентиляционной выработке на фланговую выработку.</t>
  </si>
  <si>
    <t>Комбинированная обратный ход, проветривание от вентиляционной выработки к транспортной и далее на выработанное пространство.  Вентиляционная выработка проведена ранее через целик более  Lоп , за лавой погашается. Транспортная выработка проведена ранее и не погашается. Подсвежающая струя - к фланговой выработке.</t>
  </si>
  <si>
    <t>По количеству стоек в ряду (накатные костры)</t>
  </si>
  <si>
    <t>Ваш порядковый номер в списке группы</t>
  </si>
  <si>
    <t xml:space="preserve">    Исходные данные на проектирование</t>
  </si>
  <si>
    <t>Если у Вас не возникли вопросы, задайтесь проектным временем разворота и затухания работы шахты</t>
  </si>
  <si>
    <t xml:space="preserve">Срок службы шахты при различной величине проектной ее мощности </t>
  </si>
  <si>
    <t xml:space="preserve"> вычислен по приведенной формуле и показан в таблице 2</t>
  </si>
  <si>
    <t>В приведенном ниже графике показан срок службы шахты в зависимости от ее проектной мощности.</t>
  </si>
  <si>
    <t>На основании анализа графика примите решение о величине проектной мощности шахты и сроке ее службы !</t>
  </si>
  <si>
    <r>
      <t>Принятая величина проектной мощности шахты вводится в соответствующие ячейки столбца В</t>
    </r>
    <r>
      <rPr>
        <b/>
        <sz val="12"/>
        <rFont val="Times New Roman"/>
        <family val="1"/>
        <charset val="204"/>
      </rPr>
      <t>.</t>
    </r>
  </si>
  <si>
    <t>Нагрузка на лаву это: 1 - давление кровли на призабойную крепь, 2 - суточная добыча угля из лавы</t>
  </si>
  <si>
    <t>Запасы условной полосы перевозятся к центру шахтного поля от наружной границы полосы.</t>
  </si>
  <si>
    <t>Количество одновременно работающих полос в ступени  Nполос</t>
  </si>
  <si>
    <t>Количество выемочных полос в одной условной полосе</t>
  </si>
  <si>
    <t>Ширина условной полосы, м</t>
  </si>
  <si>
    <t>Количество условных полос в одном крыле ступени</t>
  </si>
  <si>
    <t>3.4.2</t>
  </si>
  <si>
    <t>3.4.3</t>
  </si>
  <si>
    <t>3.4.4</t>
  </si>
  <si>
    <t>4.1.1</t>
  </si>
  <si>
    <t>4.1.2</t>
  </si>
  <si>
    <t>4.1.3</t>
  </si>
  <si>
    <t>4.1.4</t>
  </si>
  <si>
    <t>4.2.1</t>
  </si>
  <si>
    <t>4.2.2</t>
  </si>
  <si>
    <t>4.2.3</t>
  </si>
  <si>
    <t>4.2.4</t>
  </si>
  <si>
    <t>4.3.1</t>
  </si>
  <si>
    <t>4.3.2</t>
  </si>
  <si>
    <t>4.3.3</t>
  </si>
  <si>
    <t>4.3.4</t>
  </si>
  <si>
    <t>4.4.1</t>
  </si>
  <si>
    <t>4.4.2</t>
  </si>
  <si>
    <t>4.4.3</t>
  </si>
  <si>
    <t>4.4.4</t>
  </si>
  <si>
    <t>Номер строки в табл.65б</t>
  </si>
  <si>
    <t>Доп.вычисления номера строки табл.65б</t>
  </si>
  <si>
    <t>Номер столбца в табл.65б</t>
  </si>
  <si>
    <t>на крепление очистных забоев дер.стойками под шпальный брус</t>
  </si>
  <si>
    <t>Норма выработки принятая</t>
  </si>
  <si>
    <t>Крепление ниши индивидуальными стойками и шарнирными верхняками</t>
  </si>
  <si>
    <t>мощ паста</t>
  </si>
  <si>
    <t>Доставка породы при закладке(1 - под действием собственного веса, 0 - при др.виде доставке)</t>
  </si>
  <si>
    <t>Подрывка(1- почвы, 2 - кровли)</t>
  </si>
  <si>
    <t>По направлению перекидки</t>
  </si>
  <si>
    <t>По доставке породы</t>
  </si>
  <si>
    <t>По подрывке</t>
  </si>
  <si>
    <t>Длина верхняка индивидуальной крепи, м</t>
  </si>
  <si>
    <t>Установка комплекта индивидуальной крепи 3 стойки под верхняк над конвейером</t>
  </si>
  <si>
    <t>Принятая норма выработки, т/смена</t>
  </si>
  <si>
    <t>Установка комплекта индивид.крепи в месте охраны выработки (3 дер.стойки под дер.верхняк) за головкой конвейера</t>
  </si>
  <si>
    <t>Номер столбца в табл.№2 "Нормы выработки, костер"</t>
  </si>
  <si>
    <t>Норма выработки табличная, шт/смена</t>
  </si>
  <si>
    <t>Принятая норма выработки, шт/смена</t>
  </si>
  <si>
    <t>Объем работ по выкладке костров, шт/м</t>
  </si>
  <si>
    <t>Трудоемкость выкладки костров, ч.см/м</t>
  </si>
  <si>
    <t>костры накатные</t>
  </si>
  <si>
    <t>Количество стоек в ряду накатных костров, шт.</t>
  </si>
  <si>
    <t>ПРОВЕДЕНИЕ МАГИСТРАЛЬНЫХ ВЫРАБОТОК и НАКЛОННЫХ ПРИ ПОГОРИЗОНТНОЙ ПОДГОТОВКЕ</t>
  </si>
  <si>
    <t>Сечение полевого штрека в свету при проведении, м2</t>
  </si>
  <si>
    <t>Вами принят способ подготовки пластов  1- панельный, 2 - погоризонтный, 3 - этажный"</t>
  </si>
  <si>
    <t xml:space="preserve">Этажная подготовка применяется независимо от угла падения пласта при малых размерах </t>
  </si>
  <si>
    <t xml:space="preserve"> лав на плате не более 2.</t>
  </si>
  <si>
    <t>При больших размерах шахтного поля по простиранию применяют панельную подготовку</t>
  </si>
  <si>
    <t xml:space="preserve"> с размерами панели от 2000 м до 5000 м.</t>
  </si>
  <si>
    <r>
      <t>Погоризонтная подготовка применяется только при углах падения не более 10</t>
    </r>
    <r>
      <rPr>
        <sz val="12"/>
        <rFont val="Arial Cyr"/>
        <charset val="204"/>
      </rPr>
      <t>°</t>
    </r>
    <r>
      <rPr>
        <sz val="12"/>
        <rFont val="Times New Roman"/>
        <family val="1"/>
        <charset val="204"/>
      </rPr>
      <t xml:space="preserve"> независимо </t>
    </r>
  </si>
  <si>
    <t>от размеров шахтного поля.</t>
  </si>
  <si>
    <t xml:space="preserve">    В приведенной ниже таблице указаны возможные варианты технологии работ в лаве и их условный номер </t>
  </si>
  <si>
    <t xml:space="preserve">   Характеристика технических данных механизированных комплексов приведена в таблице в строке </t>
  </si>
  <si>
    <t xml:space="preserve"> в точке максимальной ширины рабочего пространства</t>
  </si>
  <si>
    <t xml:space="preserve">1. Конвергенция пород на 1м ширины рабочего пространства </t>
  </si>
  <si>
    <t>8.8.2</t>
  </si>
  <si>
    <t xml:space="preserve">И так, Вы приняли в проекте оборудование для выемки угля (комбайн и конвейер). Далее необходимо определиться </t>
  </si>
  <si>
    <t>Принятая в проекте индивидуальная крепь</t>
  </si>
  <si>
    <t>гидравлические стойки</t>
  </si>
  <si>
    <t xml:space="preserve">посадочные стойки </t>
  </si>
  <si>
    <t>Расстояние между комплектами крепи, м</t>
  </si>
  <si>
    <t>Расстояние между посадочными стойками, м</t>
  </si>
  <si>
    <t>длина шарнирного верхняка, м</t>
  </si>
  <si>
    <t>Общие затраты на трансорт по магистральный выработкам(не четное количество панелей)</t>
  </si>
  <si>
    <t>Транспорт по квершлагу</t>
  </si>
  <si>
    <t>Транспорт по магистральным горизонтальным выработкам  (вспомогательный транспорт - локомотив)</t>
  </si>
  <si>
    <t>Транспорт по магистральным горизонтальным выработкам  с учетом вспомогательного транспорта (локомотивный транспорт)</t>
  </si>
  <si>
    <t xml:space="preserve">g1 ср  </t>
  </si>
  <si>
    <t>ВОДООТЛИВ ИЗ УКЛОННОЙ СТУПЕНИ ПЛАСТА при панельной подготовке</t>
  </si>
  <si>
    <t>g1</t>
  </si>
  <si>
    <t xml:space="preserve">Удельные затраты на водоотлив </t>
  </si>
  <si>
    <t>ПОГОРИЗОНТНАЯ ПОДГОТОВКА</t>
  </si>
  <si>
    <t>Выбросоопасность пласта(1-пласт неопасен,2-работа с дистанционным управлением комбайном,3-пласт выбросоопасен,4-работа в особовыбросоопасной зоне)</t>
  </si>
  <si>
    <t>Выделение воды в лаве(1-лава сухая,2-значительное выделение воды из почвы,3-сильный капёж на рабочем месте,4-выделение воды непрерывными струями)</t>
  </si>
  <si>
    <t>Количество взрываний на концевых участках</t>
  </si>
  <si>
    <t>Обводнённость рабочего места</t>
  </si>
  <si>
    <t>Вспомогатнльные значения</t>
  </si>
  <si>
    <t xml:space="preserve">      Согласно заданию на проектирование Вами уже определены запасы шахтного поля, </t>
  </si>
  <si>
    <r>
      <t xml:space="preserve">Предельное значение  категории кровли по обрушаемости    </t>
    </r>
    <r>
      <rPr>
        <b/>
        <sz val="10"/>
        <color indexed="8"/>
        <rFont val="Times New Roman"/>
        <family val="1"/>
        <charset val="204"/>
      </rPr>
      <t>A</t>
    </r>
  </si>
  <si>
    <r>
      <t xml:space="preserve">Сопротивляемость угля резанию  </t>
    </r>
    <r>
      <rPr>
        <b/>
        <sz val="10"/>
        <color indexed="8"/>
        <rFont val="Times New Roman"/>
        <family val="1"/>
        <charset val="204"/>
      </rPr>
      <t>Ар</t>
    </r>
    <r>
      <rPr>
        <sz val="10"/>
        <color indexed="8"/>
        <rFont val="Times New Roman"/>
        <family val="1"/>
        <charset val="204"/>
      </rPr>
      <t>, кН/м</t>
    </r>
  </si>
  <si>
    <t xml:space="preserve">Коэффициент резерва пропускной способности транспорта </t>
  </si>
  <si>
    <t xml:space="preserve">    Графическая часть этого раздела должна содержать:</t>
  </si>
  <si>
    <t xml:space="preserve">   На приведенном ниже рисунке показан способ подготовки пласта h3  для  случая схемы вскрытия </t>
  </si>
  <si>
    <t>одногоризонтной с круговым околоствольным двором при панельной подготовке.</t>
  </si>
  <si>
    <t xml:space="preserve">                 Пример плана  пласта (уклонная ступень) при панельной подготовке</t>
  </si>
  <si>
    <t xml:space="preserve">           (зависит от вида и типа крепи, от схемы пердижки/установки крепи - последовательно или через комплект. Так, при схеме передвижки крепи 'через секцию, корость крепления увелиится в 2 раза..  Существенное влияние на скорость передвижки механизированной крепи оказывают свойства пород кровли и почвы пласта.  Так, если при малоустойчивой кровле процент затяжки кровли составляет 25%, то скорость крепления уменьшается на 2,5%.).</t>
  </si>
  <si>
    <t xml:space="preserve">  При прочих равных условиях, в каком случае скорость крепления больше - при 2-й категории пород нижнего слоя кровли по устойчивости - 1, при 3-й категории - 2 ?</t>
  </si>
  <si>
    <t xml:space="preserve"> Донецкого и Львовско-Волынского угольных бассейнов", Донецк, 1993.</t>
  </si>
  <si>
    <r>
      <t xml:space="preserve">Программа </t>
    </r>
    <r>
      <rPr>
        <b/>
        <i/>
        <sz val="14"/>
        <rFont val="Times New Roman"/>
        <family val="1"/>
        <charset val="204"/>
      </rPr>
      <t>komplex.xls</t>
    </r>
  </si>
  <si>
    <t>Норма выработки с учетом всех поправочных коэффициентов (принятая в расчетах), т</t>
  </si>
  <si>
    <t>В расчетах это расстояние от забоя ниши можно принять 6 м.</t>
  </si>
  <si>
    <t>).</t>
  </si>
  <si>
    <t>перпедикулярно без консоли и параллельно</t>
  </si>
  <si>
    <t xml:space="preserve">Схема передвижки секций </t>
  </si>
  <si>
    <t xml:space="preserve">Шахматная </t>
  </si>
  <si>
    <t>Линейная</t>
  </si>
  <si>
    <t>Удельное давление крепи на почву, Мпа</t>
  </si>
  <si>
    <t>при шахматной передвижке секций крепи</t>
  </si>
  <si>
    <t>при линейной передвижке секций крепи</t>
  </si>
  <si>
    <t>Тип механизированной крепи</t>
  </si>
  <si>
    <t>ЗСКП</t>
  </si>
  <si>
    <t>МК97Д</t>
  </si>
  <si>
    <t xml:space="preserve">принятый размер металлического шарнирного верхняка, м </t>
  </si>
  <si>
    <t>Принятая в расчетах величина  lшз</t>
  </si>
  <si>
    <t>технологические перерывы</t>
  </si>
  <si>
    <t>значение</t>
  </si>
  <si>
    <t xml:space="preserve">Процент площади кровли с затяжкой </t>
  </si>
  <si>
    <t xml:space="preserve">Шаг обрушения основной кровли, м  </t>
  </si>
  <si>
    <t xml:space="preserve"> Длина лавы, м</t>
  </si>
  <si>
    <t xml:space="preserve">Направление подвигания лавы </t>
  </si>
  <si>
    <t xml:space="preserve">Длительность подготовительно-заключительных операции, мин </t>
  </si>
  <si>
    <t xml:space="preserve">Технология выемки угля в нишах </t>
  </si>
  <si>
    <t>Проведена  БВР?</t>
  </si>
  <si>
    <t xml:space="preserve">Пройдена с подрывкой кровли? </t>
  </si>
  <si>
    <r>
      <t xml:space="preserve">исходя из сопротивляемости угля резанию  </t>
    </r>
    <r>
      <rPr>
        <b/>
        <sz val="11"/>
        <rFont val="Times New Roman Cyr"/>
        <family val="1"/>
        <charset val="204"/>
      </rPr>
      <t>q</t>
    </r>
    <r>
      <rPr>
        <b/>
        <vertAlign val="subscript"/>
        <sz val="11"/>
        <rFont val="Times New Roman Cyr"/>
        <family val="1"/>
        <charset val="204"/>
      </rPr>
      <t>c</t>
    </r>
  </si>
  <si>
    <t>Столбовая,  движение воздуха по лаве от транспортной выработки к вентиляционной и далее на массив. Вентиляционная выработки за лавой погашаются, транспортная - сохраняется для повторного использования.. Вентиляционная выработка - повторно используемая транспортная выработка. Транспортная выработка  проводится заранее.</t>
  </si>
  <si>
    <t>Комбинированная, обратный ход  движение воздуха по лаве от транспортной выработки к вентиляционной далее на массив.  Вентиляционная выработка проведена заранее через целик более  Lоп за лавой не погашается, Подсвежающая струя - от фланговой выработки на массив. Транспортная выработка проведена заранее и  за лавой погашается.</t>
  </si>
  <si>
    <t xml:space="preserve">                                          Тш=(Zп-(0,75*То+0,5*Тз)А)/А + То +Тз = Zп/А+0,25То+0,5Тз</t>
  </si>
  <si>
    <t>ПЕРЕХОДИТЕ ПО ССЫЛКЕ ДЛЯ ПРОДОЛЖЕНИЯ ВЫЧИСЛЕНИЙ</t>
  </si>
  <si>
    <t xml:space="preserve">Параметры отбора </t>
  </si>
  <si>
    <t>Критерий отбора</t>
  </si>
  <si>
    <r>
      <t xml:space="preserve">1 режим    </t>
    </r>
    <r>
      <rPr>
        <b/>
        <sz val="14"/>
        <rFont val="Times New Roman Cyr"/>
        <charset val="204"/>
      </rPr>
      <t>v</t>
    </r>
    <r>
      <rPr>
        <b/>
        <vertAlign val="subscript"/>
        <sz val="14"/>
        <rFont val="Times New Roman Cyr"/>
        <charset val="204"/>
      </rPr>
      <t>c</t>
    </r>
    <r>
      <rPr>
        <b/>
        <sz val="14"/>
        <rFont val="Times New Roman Cyr"/>
        <charset val="204"/>
      </rPr>
      <t xml:space="preserve"> &lt; v</t>
    </r>
    <r>
      <rPr>
        <b/>
        <vertAlign val="subscript"/>
        <sz val="14"/>
        <rFont val="Times New Roman Cyr"/>
        <charset val="204"/>
      </rPr>
      <t>k</t>
    </r>
    <r>
      <rPr>
        <sz val="12"/>
        <rFont val="Times New Roman Cyr"/>
        <charset val="204"/>
      </rPr>
      <t>;   2 режим   2*</t>
    </r>
    <r>
      <rPr>
        <b/>
        <sz val="14"/>
        <rFont val="Times New Roman Cyr"/>
        <charset val="204"/>
      </rPr>
      <t>v</t>
    </r>
    <r>
      <rPr>
        <b/>
        <vertAlign val="subscript"/>
        <sz val="14"/>
        <rFont val="Times New Roman Cyr"/>
        <charset val="204"/>
      </rPr>
      <t>k</t>
    </r>
    <r>
      <rPr>
        <sz val="12"/>
        <rFont val="Times New Roman Cyr"/>
        <charset val="204"/>
      </rPr>
      <t xml:space="preserve"> &lt;</t>
    </r>
    <r>
      <rPr>
        <b/>
        <sz val="14"/>
        <rFont val="Times New Roman Cyr"/>
        <charset val="204"/>
      </rPr>
      <t>v</t>
    </r>
    <r>
      <rPr>
        <b/>
        <vertAlign val="subscript"/>
        <sz val="14"/>
        <rFont val="Times New Roman Cyr"/>
        <charset val="204"/>
      </rPr>
      <t>c</t>
    </r>
    <r>
      <rPr>
        <b/>
        <sz val="14"/>
        <rFont val="Times New Roman Cyr"/>
        <charset val="204"/>
      </rPr>
      <t xml:space="preserve"> &lt;= 3*v</t>
    </r>
    <r>
      <rPr>
        <b/>
        <vertAlign val="subscript"/>
        <sz val="14"/>
        <rFont val="Times New Roman Cyr"/>
        <charset val="204"/>
      </rPr>
      <t>k</t>
    </r>
    <r>
      <rPr>
        <sz val="12"/>
        <rFont val="Times New Roman Cyr"/>
        <charset val="204"/>
      </rPr>
      <t xml:space="preserve">;   3 режим   </t>
    </r>
    <r>
      <rPr>
        <b/>
        <sz val="14"/>
        <rFont val="Times New Roman Cyr"/>
        <charset val="204"/>
      </rPr>
      <t>v</t>
    </r>
    <r>
      <rPr>
        <b/>
        <vertAlign val="subscript"/>
        <sz val="14"/>
        <rFont val="Times New Roman Cyr"/>
        <charset val="204"/>
      </rPr>
      <t>k</t>
    </r>
    <r>
      <rPr>
        <b/>
        <sz val="14"/>
        <rFont val="Times New Roman Cyr"/>
        <charset val="204"/>
      </rPr>
      <t xml:space="preserve"> &lt;= v</t>
    </r>
    <r>
      <rPr>
        <b/>
        <vertAlign val="subscript"/>
        <sz val="14"/>
        <rFont val="Times New Roman Cyr"/>
        <charset val="204"/>
      </rPr>
      <t>c</t>
    </r>
    <r>
      <rPr>
        <b/>
        <sz val="14"/>
        <rFont val="Times New Roman Cyr"/>
        <charset val="204"/>
      </rPr>
      <t xml:space="preserve"> &lt; 2*v</t>
    </r>
    <r>
      <rPr>
        <b/>
        <vertAlign val="subscript"/>
        <sz val="14"/>
        <rFont val="Times New Roman Cyr"/>
        <charset val="204"/>
      </rPr>
      <t>k</t>
    </r>
  </si>
  <si>
    <r>
      <t>где</t>
    </r>
    <r>
      <rPr>
        <b/>
        <sz val="14"/>
        <rFont val="Times New Roman Cyr"/>
        <charset val="204"/>
      </rPr>
      <t xml:space="preserve">  v</t>
    </r>
    <r>
      <rPr>
        <b/>
        <vertAlign val="subscript"/>
        <sz val="14"/>
        <rFont val="Times New Roman Cyr"/>
        <charset val="204"/>
      </rPr>
      <t>k</t>
    </r>
    <r>
      <rPr>
        <b/>
        <sz val="14"/>
        <rFont val="Times New Roman Cyr"/>
        <charset val="204"/>
      </rPr>
      <t xml:space="preserve"> </t>
    </r>
    <r>
      <rPr>
        <sz val="12"/>
        <rFont val="Times New Roman Cyr"/>
        <charset val="204"/>
      </rPr>
      <t>- скорость конвейерной цепи.</t>
    </r>
  </si>
  <si>
    <r>
      <t xml:space="preserve">Мощность пласта   </t>
    </r>
    <r>
      <rPr>
        <b/>
        <sz val="11"/>
        <rFont val="Times New Roman Cyr"/>
        <family val="1"/>
        <charset val="204"/>
      </rPr>
      <t>m</t>
    </r>
    <r>
      <rPr>
        <sz val="11"/>
        <rFont val="Times New Roman Cyr"/>
        <family val="1"/>
        <charset val="204"/>
      </rPr>
      <t>, м</t>
    </r>
  </si>
  <si>
    <r>
      <t xml:space="preserve">Плотность угля   </t>
    </r>
    <r>
      <rPr>
        <b/>
        <sz val="11"/>
        <rFont val="Times New Roman Cyr"/>
        <family val="1"/>
        <charset val="204"/>
      </rPr>
      <t>γ</t>
    </r>
    <r>
      <rPr>
        <sz val="11"/>
        <rFont val="Times New Roman Cyr"/>
        <family val="1"/>
        <charset val="204"/>
      </rPr>
      <t>, т/м3</t>
    </r>
  </si>
  <si>
    <r>
      <t xml:space="preserve">Сопротивляемость угля резанию в массиве   </t>
    </r>
    <r>
      <rPr>
        <b/>
        <sz val="11"/>
        <rFont val="Times New Roman Cyr"/>
        <family val="1"/>
        <charset val="204"/>
      </rPr>
      <t>Α</t>
    </r>
    <r>
      <rPr>
        <b/>
        <vertAlign val="subscript"/>
        <sz val="11"/>
        <rFont val="Times New Roman Cyr"/>
        <family val="1"/>
        <charset val="204"/>
      </rPr>
      <t>p</t>
    </r>
    <r>
      <rPr>
        <sz val="11"/>
        <rFont val="Times New Roman Cyr"/>
        <family val="1"/>
        <charset val="204"/>
      </rPr>
      <t>, кН/cм</t>
    </r>
  </si>
  <si>
    <t xml:space="preserve">В этом разделе пояснительной записки к проекту    описываются приведенные выше результаты </t>
  </si>
  <si>
    <t xml:space="preserve">    В пояснительной записке к курсовому проекту описываются проведенные расчеты проектной мощности,</t>
  </si>
  <si>
    <t>Комбинированная обратный ход, проветривание от вентиляционной выработки к транспортной штреку и далее на выработанное пространство. Вентиляционная выработка - повторно используемая транспортная выработка, за лавой не погашается, Транспортная выработка проведена ранее и не погашается. Участки выработок впереди лавы проветриваются через фланговые выработки. Подсвежающая струя - от центральной выработки.</t>
  </si>
  <si>
    <t>Какое направление подвигания лавы принимается в проекте?  (1-по простиранию; 2- по падению, 3-по восстанию)</t>
  </si>
  <si>
    <t>коэф общего снижения скорости передвижки (установки) фронта крепи при недостаточной несущей способности почвы и обрушения нижних слоев кровли Косн  (ф 7.8.2 карандаш)</t>
  </si>
  <si>
    <t xml:space="preserve">числитель знаменателя в ф. </t>
  </si>
  <si>
    <t xml:space="preserve">знаменатель знаменателя </t>
  </si>
  <si>
    <t>знаменатель формулы</t>
  </si>
  <si>
    <t>Принятое оборудование</t>
  </si>
  <si>
    <t>тип верхняка</t>
  </si>
  <si>
    <t>Методика выбора типоразмера стойки рассмотрена  выше (строки от</t>
  </si>
  <si>
    <t xml:space="preserve">до  </t>
  </si>
  <si>
    <t>Вычисленные по этой методике необходимые размеры  стойки  составляют:</t>
  </si>
  <si>
    <t>Минимальная необходимая (рассчитанная) высота стойки, мм</t>
  </si>
  <si>
    <t xml:space="preserve">Максимальная необходимая (рассчитанная) высота стойки, мм </t>
  </si>
  <si>
    <t>Размер и тип верхняка принимать по таблице в строке</t>
  </si>
  <si>
    <t xml:space="preserve">                Минимальная высота стойки при ее снятии  определяется согласно выражению</t>
  </si>
  <si>
    <r>
      <t xml:space="preserve">где  </t>
    </r>
    <r>
      <rPr>
        <b/>
        <i/>
        <sz val="12"/>
        <rFont val="Arial Cyr"/>
        <charset val="204"/>
      </rPr>
      <t>m</t>
    </r>
    <r>
      <rPr>
        <b/>
        <i/>
        <sz val="10"/>
        <rFont val="Arial Cyr"/>
        <charset val="204"/>
      </rPr>
      <t>min</t>
    </r>
    <r>
      <rPr>
        <i/>
        <sz val="12"/>
        <rFont val="Arial Cyr"/>
        <charset val="204"/>
      </rPr>
      <t xml:space="preserve">   и   </t>
    </r>
    <r>
      <rPr>
        <b/>
        <i/>
        <sz val="12"/>
        <rFont val="Arial Cyr"/>
        <charset val="204"/>
      </rPr>
      <t>m</t>
    </r>
    <r>
      <rPr>
        <b/>
        <i/>
        <sz val="10"/>
        <rFont val="Arial Cyr"/>
        <charset val="204"/>
      </rPr>
      <t xml:space="preserve">max </t>
    </r>
    <r>
      <rPr>
        <b/>
        <i/>
        <sz val="12"/>
        <rFont val="Arial Cyr"/>
        <charset val="204"/>
      </rPr>
      <t xml:space="preserve"> - </t>
    </r>
    <r>
      <rPr>
        <i/>
        <sz val="12"/>
        <rFont val="Arial Cyr"/>
        <charset val="204"/>
      </rPr>
      <t>минимальная и максимальная мощность пласта, м</t>
    </r>
  </si>
  <si>
    <t>Поддержание наклонных и магистральных выработок   при панельной подготовке</t>
  </si>
  <si>
    <t>время отработки яруса, tяр мес.</t>
  </si>
  <si>
    <t>Размер панели по простиранию Sп, м</t>
  </si>
  <si>
    <t>время отработки панели tп, год</t>
  </si>
  <si>
    <t>Затраты на поддержание 1 м в первой зоне поддержания</t>
  </si>
  <si>
    <t>Штрек магистральный полевой</t>
  </si>
  <si>
    <t>Штрек магистральный пластовый</t>
  </si>
  <si>
    <t>При четном количестве панелей</t>
  </si>
  <si>
    <t>При нечетном количестве панелей</t>
  </si>
  <si>
    <t>Принятое значение</t>
  </si>
  <si>
    <t>Панельные наклонные выработки</t>
  </si>
  <si>
    <t>Способ охраны пластового дренажного штрека: 1-пластовая выработка , охраняется целиками размером более зоны опорного давления, 2-пластовая выработка , охраняется целиками размером менее зоны опорного давления, 3-пластовая выработка, охраняется разгрузочными полосами и угольными целиками, 4-пластовая выработка, охраняется бутовыми полосами, 5-пластовая выработка, проведенная по выработанному пространству, 6-выработка проведена под разгрузочной лавой.</t>
  </si>
  <si>
    <t>Способ охраны дренажного ходка : 1-пластовая выработка , охраняется целиками размером более зоны опорного давления, 2-пластовая выработка , охраняется целиками размером менее зоны опорного давления, 3-пластовая выработка, охраняется разгрузочными полосами и угольными целиками, 4-пластовая выработка, охраняется бутовыми полосами, 5-пластовая выработка, проведенная по выработанному пространству, 6-выработка проведена под разгрузочной лавой.</t>
  </si>
  <si>
    <t>в сутки будет целым. Лучшим является случай, когда возможно целое число циклов и в одну смену.</t>
  </si>
  <si>
    <t>Принятая длина лавы</t>
  </si>
  <si>
    <t>Ранее введенные исходные данные</t>
  </si>
  <si>
    <t>Объем приемной площадки верхней, м3</t>
  </si>
  <si>
    <t>Объем приемной площадки нижней, м3</t>
  </si>
  <si>
    <t>Объем приемной площадки промежуточной, м3</t>
  </si>
  <si>
    <t>Способ проведения наклонных выработок 1 - комбайн, 2 - БВР</t>
  </si>
  <si>
    <t>Селективная выемка угля и породы при проведении штрека  1- да, 0- нет.</t>
  </si>
  <si>
    <t>Выбросоопасность (Да -1, Нет - 0)</t>
  </si>
  <si>
    <t>Вид крепи в выработке (1 - арка 3-з звенная, 2 - арка 5-ти звенная, 3 - анкерная, 4 - анкерная и 3-х звенная арка, 5 - анкерная и 5-звенная арка)</t>
  </si>
  <si>
    <t>Вентиляционная выработка проводится вместе с лавой - 1, проведена заранее - 2 , повторно используемая - 3</t>
  </si>
  <si>
    <t>Номер образа выработки не соответствует заданным Вами условиям</t>
  </si>
  <si>
    <t>Продолжайте ввод данных</t>
  </si>
  <si>
    <t xml:space="preserve">поддержание и транспорт по панельным уклонам и ходкам, магистральному транспортному и магистральному </t>
  </si>
  <si>
    <t>Порядок отработки выемочной уклонной ступени (1-прямой, 2-обратный)</t>
  </si>
  <si>
    <t>Расстояние между кровлей и почвой пласта на границе рабочего пространства 950 мм. Минимальная конструктивная высота крепи 920 мм. Можно ли применить эту крепь? Да - 1, Нет - 0</t>
  </si>
  <si>
    <t>предотвращающий ее "посадку на жестко". Это  50 мм.</t>
  </si>
  <si>
    <t>Категория пород кровли по обрушаемости 4.  Предельное значение категории обрушаемости крепи КД90 - 2. Пожно ли применять эту крепь? Да - 1, Нет - 0</t>
  </si>
  <si>
    <t>Способ подготовки пласта, принятый в проекте</t>
  </si>
  <si>
    <r>
      <t>G</t>
    </r>
    <r>
      <rPr>
        <sz val="10"/>
        <color indexed="10"/>
        <rFont val="Arial Cyr"/>
        <family val="2"/>
        <charset val="204"/>
      </rPr>
      <t xml:space="preserve">  Вес комбай-на, т</t>
    </r>
  </si>
  <si>
    <r>
      <t>r</t>
    </r>
    <r>
      <rPr>
        <sz val="10"/>
        <color indexed="10"/>
        <rFont val="Arial Cyr"/>
        <family val="2"/>
        <charset val="204"/>
      </rPr>
      <t xml:space="preserve">  Ширина захвата комбай-на, м</t>
    </r>
  </si>
  <si>
    <r>
      <t>m</t>
    </r>
    <r>
      <rPr>
        <b/>
        <vertAlign val="subscript"/>
        <sz val="10"/>
        <color indexed="10"/>
        <rFont val="Arial Cyr"/>
        <family val="2"/>
        <charset val="204"/>
      </rPr>
      <t>min</t>
    </r>
    <r>
      <rPr>
        <sz val="10"/>
        <color indexed="10"/>
        <rFont val="Arial Cyr"/>
        <family val="2"/>
        <charset val="204"/>
      </rPr>
      <t xml:space="preserve"> мини-мальная мощно-сть пласта, м</t>
    </r>
  </si>
  <si>
    <r>
      <t>m</t>
    </r>
    <r>
      <rPr>
        <b/>
        <vertAlign val="subscript"/>
        <sz val="10"/>
        <color indexed="10"/>
        <rFont val="Arial Cyr"/>
        <family val="2"/>
        <charset val="204"/>
      </rPr>
      <t>max</t>
    </r>
    <r>
      <rPr>
        <sz val="10"/>
        <color indexed="10"/>
        <rFont val="Arial Cyr"/>
        <family val="2"/>
        <charset val="204"/>
      </rPr>
      <t xml:space="preserve"> макси-мальная мощ-ность пласта, м</t>
    </r>
  </si>
  <si>
    <t>комбайн</t>
  </si>
  <si>
    <t>крепь</t>
  </si>
  <si>
    <r>
      <t xml:space="preserve">                                                   А</t>
    </r>
    <r>
      <rPr>
        <b/>
        <vertAlign val="subscript"/>
        <sz val="12"/>
        <rFont val="Times New Roman Cyr"/>
        <charset val="204"/>
      </rPr>
      <t>см</t>
    </r>
    <r>
      <rPr>
        <b/>
        <sz val="12"/>
        <rFont val="Times New Roman Cyr"/>
        <charset val="204"/>
      </rPr>
      <t xml:space="preserve"> = Т</t>
    </r>
    <r>
      <rPr>
        <b/>
        <vertAlign val="subscript"/>
        <sz val="12"/>
        <rFont val="Times New Roman Cyr"/>
        <charset val="204"/>
      </rPr>
      <t>см</t>
    </r>
    <r>
      <rPr>
        <b/>
        <sz val="12"/>
        <rFont val="Times New Roman Cyr"/>
        <charset val="204"/>
      </rPr>
      <t>*q*k</t>
    </r>
    <r>
      <rPr>
        <b/>
        <vertAlign val="subscript"/>
        <sz val="12"/>
        <rFont val="Times New Roman Cyr"/>
        <charset val="204"/>
      </rPr>
      <t>м</t>
    </r>
  </si>
  <si>
    <r>
      <t xml:space="preserve">где  </t>
    </r>
    <r>
      <rPr>
        <b/>
        <sz val="12"/>
        <rFont val="Times New Roman Cyr"/>
        <charset val="204"/>
      </rPr>
      <t>Т</t>
    </r>
    <r>
      <rPr>
        <b/>
        <vertAlign val="subscript"/>
        <sz val="12"/>
        <rFont val="Times New Roman Cyr"/>
        <charset val="204"/>
      </rPr>
      <t>см</t>
    </r>
    <r>
      <rPr>
        <sz val="12"/>
        <rFont val="Times New Roman Cyr"/>
        <charset val="204"/>
      </rPr>
      <t xml:space="preserve">  -  длительность рабочей смены, мин</t>
    </r>
  </si>
  <si>
    <t>магистральные штреки - полевой магистральный штрек уже пройден при работе предыдущей ступени,  пластоый магистральный (вентиляционны1) нужно проводить!!!</t>
  </si>
  <si>
    <t>длина пластового вентиляционного штрека, м</t>
  </si>
  <si>
    <t>Количество заранее проводимых участковых выработок при погоризонтной подготовке</t>
  </si>
  <si>
    <t xml:space="preserve">  Программа предусматривает возможность расчета трудоемкости работ</t>
  </si>
  <si>
    <t xml:space="preserve"> в лаве в зависимости от способа механизации выемки и крепления и типов</t>
  </si>
  <si>
    <t>применяемого оборудования.</t>
  </si>
  <si>
    <t xml:space="preserve">  Принцип расчетов состоит в следующем:</t>
  </si>
  <si>
    <t>Возраст крепи (от начала работы или от капремонта), год</t>
  </si>
  <si>
    <t>Суммарная производительность одновременно работающих насосов насосных станций мехкрепи, л/мин  Qн</t>
  </si>
  <si>
    <t>на котором он выполняет все работы, связанные   с управлением крепью,</t>
  </si>
  <si>
    <t>Данные о наклонных и магистральных  выработках при погоризонтной подготовке</t>
  </si>
  <si>
    <t>Способ охраны полевого магистрального штрека</t>
  </si>
  <si>
    <t>Принятая глубина подрывки почвы при ремонте, мм</t>
  </si>
  <si>
    <t>Процент затрат на монтаж и демонтаж оборудования лавы от стоимости оборудования, %</t>
  </si>
  <si>
    <t xml:space="preserve">      В таблице 17 показано необходимое количество лав по каждому пласту при одновременной работе всех пластов</t>
  </si>
  <si>
    <t>Таблица 17       Необходимое количество лав, обеспечивающих расчетную нагрузку на пласт при одновременной разработке всех пластов</t>
  </si>
  <si>
    <t xml:space="preserve">   Следует иметь в виду, что на одном пласте должны работать не менее 2-х лав! Если это условие (см. таблицу 17)</t>
  </si>
  <si>
    <t xml:space="preserve">       Рассмотрим случай разделения пластов по очередности их разработки на две группы!</t>
  </si>
  <si>
    <t xml:space="preserve">                            Таблица 18  Распределения суточной добычи между пластами при делении пластов на группы</t>
  </si>
  <si>
    <t>Суммарная мощность пластов 2-й группы</t>
  </si>
  <si>
    <t xml:space="preserve">                                                                                                                                                                                                       Пласты первой группы</t>
  </si>
  <si>
    <t xml:space="preserve">                                                                                                                                                                                                                           Пласты второй группы</t>
  </si>
  <si>
    <t>Применить  дегазацию пласта (1 - Да, 0 - Нет)</t>
  </si>
  <si>
    <t xml:space="preserve">    В зависимости от условий, могут иметь место следующие случаи:</t>
  </si>
  <si>
    <t>Податливость крепи участковой вентиляционной  выработки, мм</t>
  </si>
  <si>
    <t xml:space="preserve">2. В приведенных ниже таблицах  от строки </t>
  </si>
  <si>
    <t>Добыча лавы при подвигании ее на 1 м, т  Ап</t>
  </si>
  <si>
    <t>на устойчивость кровли</t>
  </si>
  <si>
    <t>на угол падения пласта</t>
  </si>
  <si>
    <t>на укладку лежней при комплекте из двух-трех стоек</t>
  </si>
  <si>
    <t>y = -7,1547Ln(x) + 3,1611</t>
  </si>
  <si>
    <t>ширина выемочной полосы, м</t>
  </si>
  <si>
    <t>число выемочных полос в ступени</t>
  </si>
  <si>
    <t>Способ охраны полевого штрека</t>
  </si>
  <si>
    <t>Способ охраны пластового штрека</t>
  </si>
  <si>
    <t>Способ охраны дренажного ходка</t>
  </si>
  <si>
    <t>Способ охраны дренажного штрека</t>
  </si>
  <si>
    <t xml:space="preserve">является информационным (обучающим) материалом и </t>
  </si>
  <si>
    <t>целое</t>
  </si>
  <si>
    <t>це-зн/2</t>
  </si>
  <si>
    <t>Уточненный размер поля по простиранию, м</t>
  </si>
  <si>
    <t>ПРОГРАММНЫЙ БЛОК     ВЫЧИСЛЕНИЙ</t>
  </si>
  <si>
    <t>Количество дренажных штреков при погоризонтной подготовке</t>
  </si>
  <si>
    <t>Наличие уклона для выдачи угля  1 - Да, 0 - нет при погоризонтной подготовке</t>
  </si>
  <si>
    <t>Количество наклонных выработок в ступени - погоризонтная подготовка</t>
  </si>
  <si>
    <t>Количество магистральных выработок - погоризонтная подготовка</t>
  </si>
  <si>
    <t>К заданию по тр-ной выработке</t>
  </si>
  <si>
    <t>Номер модуля сопряжения "лава-трансп  штрек"</t>
  </si>
  <si>
    <t>вспом вычисления</t>
  </si>
  <si>
    <t>номер образа при сплошной</t>
  </si>
  <si>
    <t>номер образа при ранее пройденной выр-ке</t>
  </si>
  <si>
    <t>Расчетные данные о метанононости участка</t>
  </si>
  <si>
    <t xml:space="preserve">установлена величина проектной мощности шахты. </t>
  </si>
  <si>
    <t>Необходимо принять способ подготовки пласта.</t>
  </si>
  <si>
    <t>глуб вруба</t>
  </si>
  <si>
    <t>Вспомогательные вычисления (зависимость массы верхняка от его длины)</t>
  </si>
  <si>
    <t>на материал верхняка (использование дер.верхняков)</t>
  </si>
  <si>
    <t>на крепление в нише</t>
  </si>
  <si>
    <t>Трудоемкость  на цикл</t>
  </si>
  <si>
    <t>Установка дополнительных стоек индивидуальной крепи на комплектах расположеных над головкой конвейера</t>
  </si>
  <si>
    <t>Объем работ, стоек/цикл</t>
  </si>
  <si>
    <t>Норма выработки табличная</t>
  </si>
  <si>
    <t>Номер строки в табл.63</t>
  </si>
  <si>
    <t>Номер столбца в табл.63</t>
  </si>
  <si>
    <t>Поправочный коэффициент</t>
  </si>
  <si>
    <t>Трудоемкость</t>
  </si>
  <si>
    <t>Какой номер модуля сопряжения лавы с вентиляционной выработкой Вы имели в виду? (см. матрицу узлов сопряжений)</t>
  </si>
  <si>
    <t xml:space="preserve">Узел сопряжения действующей лавы с транспортной  выработкой: </t>
  </si>
  <si>
    <t xml:space="preserve">принимается ее наименьшее значение. Производительность комбайна согласовывается с </t>
  </si>
  <si>
    <t>производительностью средств транспорта как в лаве, так и на штреке</t>
  </si>
  <si>
    <t>.    Учитывая надежность работы всех механизмов и процессов в лаве и на штреках,</t>
  </si>
  <si>
    <t xml:space="preserve"> вычисляется сменный коэффициент машинного времени работы комбайна.</t>
  </si>
  <si>
    <t xml:space="preserve">Таблица средних затрат на поддержание </t>
  </si>
  <si>
    <t>Угольные комбайны</t>
  </si>
  <si>
    <t>Комбинированная обратный ход, движение воздуха по лаве от транспортной выработки к вентиляционной и далее на массив. Вентиляционная выработка  проведена от фланговой выработки через целик менее  Lоп,  за лавой не погашается. Подсвежающая струя от фланговой выработки. Транспортная выработка  проведена заранее и  за лавой не погашается.</t>
  </si>
  <si>
    <t>Независимо от способа подготовки</t>
  </si>
  <si>
    <t>Запасы ступени</t>
  </si>
  <si>
    <t>3. Выберать команду  "Данные" - "Фильтр" - "Автофильтр". При этом Автофильтр должен быть снятым.</t>
  </si>
  <si>
    <t>до строки</t>
  </si>
  <si>
    <t>Теперь можно работать !!!</t>
  </si>
  <si>
    <t>Сопряжение лава-транспортная выработка</t>
  </si>
  <si>
    <t>Сопряжение лава-вентиляционная выработка</t>
  </si>
  <si>
    <t>Индекс условий эксплуатации угольных комбайнов</t>
  </si>
  <si>
    <t xml:space="preserve">   Таким образом, необходимо иметь сведения о применяемой технологии и системе разработки.</t>
  </si>
  <si>
    <t xml:space="preserve">    Далее необходимо ввести некоторые данные, характеризующие (идентифицирующие) принятый вариант системы разработки.</t>
  </si>
  <si>
    <t>Транспортная выработка действующей лавы:1 - проводится вместе с лавой, 2 - проведена заранее</t>
  </si>
  <si>
    <t>Транспортная выработка действующей лавы: 0 - за лавой погашается, 1 - за лавой не погашается</t>
  </si>
  <si>
    <t>основная воздушная струя направлена: 1 - в сторону угольного массива, 2 - в сторону выработанного пространства</t>
  </si>
  <si>
    <t>угольный поток направлен: 1 - в сторону угольного массива, 2 - в сторону выработанного пространства</t>
  </si>
  <si>
    <t>Какой номер модуля сопряжения лавы с транспортной  выработкой Вы имели в виду? (см. матрицу узлов сопряжений)</t>
  </si>
  <si>
    <t xml:space="preserve">Если такой вариант системы разработки соответствует Вашим замыслам - продолжайте работу, </t>
  </si>
  <si>
    <t>если нет - внесите изменения в описание подготовительных участковых выработок!</t>
  </si>
  <si>
    <r>
      <t xml:space="preserve">Сопротивляемость пласта  резанию в массиве   </t>
    </r>
    <r>
      <rPr>
        <b/>
        <sz val="11"/>
        <color indexed="10"/>
        <rFont val="Times New Roman Cyr"/>
        <family val="1"/>
        <charset val="204"/>
      </rPr>
      <t>Α</t>
    </r>
    <r>
      <rPr>
        <b/>
        <vertAlign val="subscript"/>
        <sz val="11"/>
        <color indexed="10"/>
        <rFont val="Times New Roman Cyr"/>
        <family val="1"/>
        <charset val="204"/>
      </rPr>
      <t>p</t>
    </r>
    <r>
      <rPr>
        <sz val="11"/>
        <color indexed="10"/>
        <rFont val="Times New Roman Cyr"/>
        <family val="1"/>
        <charset val="204"/>
      </rPr>
      <t>, кН/cм</t>
    </r>
  </si>
  <si>
    <t>коэффициент, учитывающий глубину заложения выработки относительно пласта и размер лавы, Кр</t>
  </si>
  <si>
    <t>коэффициент влияния целика, Кц</t>
  </si>
  <si>
    <t>Таблица средних затрат на поддержание угольного уклона</t>
  </si>
  <si>
    <t>Способ охраны наклонных выработок: 1-пластовая выработка , охраняется целиками размером более зоны опорного давления.</t>
  </si>
  <si>
    <t>в 4  зоне поддержания</t>
  </si>
  <si>
    <t>2-пластовая выработка , охраняется целиками размером менее зоны опорного давления</t>
  </si>
  <si>
    <t>Категория кровли по обрушаемости, (легкообрушающаяся - 1, др. - 2)</t>
  </si>
  <si>
    <t>Суммарная мощность породных прослойков и ложной кровли в пласте, м</t>
  </si>
  <si>
    <t>В приведенной ниже таблице показаны результаты вычислений возможной нагрузки на лаву</t>
  </si>
  <si>
    <t>Длина лавы</t>
  </si>
  <si>
    <t>Анализируя приведенную таблицу ответьте на ряд вопросов !</t>
  </si>
  <si>
    <t xml:space="preserve">   Поскольку шахта газовая, необходимо вычислить возможную нагрузку на лаву по условиям проветривания.</t>
  </si>
  <si>
    <t>Влияет ли длина лавы на величину добычи с одного выемочного цикла? Да - 1, нет - 2</t>
  </si>
  <si>
    <t>над головкой конвейера, кг</t>
  </si>
  <si>
    <t>над конвейером, шт</t>
  </si>
  <si>
    <t>Стоимость профиля(швеллер№14), кг</t>
  </si>
  <si>
    <t>Стоимость шарнирного верхняка, грн</t>
  </si>
  <si>
    <t>Потеря шарнирных верхняков, грн/цикл</t>
  </si>
  <si>
    <t>Потеря металла за цикл,грн</t>
  </si>
  <si>
    <t>Очистные работы</t>
  </si>
  <si>
    <t>Принятая потеря металла за цикл,грн</t>
  </si>
  <si>
    <t>Взрывчатые вещества</t>
  </si>
  <si>
    <t>Длина заходки при проведении ниши БВР способом, м</t>
  </si>
  <si>
    <r>
      <t xml:space="preserve">Принятая в проекте длина конвейерной головки, м     </t>
    </r>
    <r>
      <rPr>
        <b/>
        <sz val="11"/>
        <rFont val="Arial Cyr"/>
        <charset val="204"/>
      </rPr>
      <t>L</t>
    </r>
    <r>
      <rPr>
        <b/>
        <vertAlign val="subscript"/>
        <sz val="11"/>
        <rFont val="Arial Cyr"/>
        <charset val="204"/>
      </rPr>
      <t>гк</t>
    </r>
  </si>
  <si>
    <t>Вычисления возможной нагрузки на лаву исходя из технических возможностей оборудования</t>
  </si>
  <si>
    <t>Толщина стружки, м</t>
  </si>
  <si>
    <t>Производительность установки по сопротивляемости угля резанию, т/мин</t>
  </si>
  <si>
    <t>Производительность установки по возможностям транспорта, т/мин</t>
  </si>
  <si>
    <t xml:space="preserve">   Расчетные показатели производительности установки</t>
  </si>
  <si>
    <t>произ по мощ комбайна</t>
  </si>
  <si>
    <t>произ по скорости крепления</t>
  </si>
  <si>
    <t>по участ трансп</t>
  </si>
  <si>
    <t>коэф маш времени</t>
  </si>
  <si>
    <t xml:space="preserve"> Результаты представлены в таблицах и на графике.</t>
  </si>
  <si>
    <t>Категория угля по буримости V</t>
  </si>
  <si>
    <t>Категория угля по буримости VI</t>
  </si>
  <si>
    <t>Категория угля по буримости VII</t>
  </si>
  <si>
    <t>Категория угля по буримости VIII</t>
  </si>
  <si>
    <t>на бурение в нишах (табличный)</t>
  </si>
  <si>
    <t>Бурение производиться по вязкому и крепкому углю двумя рабочими (0-нет, 1-да)</t>
  </si>
  <si>
    <t xml:space="preserve">крепи при определенной категории пород кровли по устойчивости ее нижнего </t>
  </si>
  <si>
    <t xml:space="preserve">   при работе в лаве с индивидуальной крепью,  - тип посадочной крепи.</t>
  </si>
  <si>
    <t>БЖБТ</t>
  </si>
  <si>
    <t>кустовая крепь</t>
  </si>
  <si>
    <t>бутокостры</t>
  </si>
  <si>
    <t>многорядная органка</t>
  </si>
  <si>
    <r>
      <t xml:space="preserve">                                                h</t>
    </r>
    <r>
      <rPr>
        <b/>
        <i/>
        <sz val="10"/>
        <rFont val="Arial Cyr"/>
        <charset val="204"/>
      </rPr>
      <t>min</t>
    </r>
    <r>
      <rPr>
        <b/>
        <i/>
        <sz val="12"/>
        <rFont val="Arial Cyr"/>
        <charset val="204"/>
      </rPr>
      <t xml:space="preserve"> = m</t>
    </r>
    <r>
      <rPr>
        <b/>
        <i/>
        <sz val="10"/>
        <rFont val="Arial Cyr"/>
        <charset val="204"/>
      </rPr>
      <t>min</t>
    </r>
    <r>
      <rPr>
        <b/>
        <i/>
        <sz val="12"/>
        <rFont val="Arial Cyr"/>
        <charset val="204"/>
      </rPr>
      <t>(1-</t>
    </r>
    <r>
      <rPr>
        <b/>
        <sz val="12"/>
        <rFont val="Sylfaen"/>
        <family val="1"/>
        <charset val="204"/>
      </rPr>
      <t>α</t>
    </r>
    <r>
      <rPr>
        <b/>
        <i/>
        <sz val="12"/>
        <rFont val="Arial Cyr"/>
        <charset val="204"/>
      </rPr>
      <t>*b) - h</t>
    </r>
    <r>
      <rPr>
        <b/>
        <i/>
        <sz val="10"/>
        <rFont val="Arial Cyr"/>
        <charset val="204"/>
      </rPr>
      <t>в</t>
    </r>
    <r>
      <rPr>
        <b/>
        <i/>
        <sz val="12"/>
        <rFont val="Arial Cyr"/>
        <charset val="204"/>
      </rPr>
      <t xml:space="preserve"> - h</t>
    </r>
    <r>
      <rPr>
        <b/>
        <i/>
        <sz val="10"/>
        <rFont val="Arial Cyr"/>
        <charset val="204"/>
      </rPr>
      <t>p</t>
    </r>
  </si>
  <si>
    <t>Коэффициент готовности работ по посадке кровли</t>
  </si>
  <si>
    <t xml:space="preserve">Категория устойчивости непосредственной кровли. Номер категории, смотри таблицу в строке   </t>
  </si>
  <si>
    <t>1з</t>
  </si>
  <si>
    <t>2з</t>
  </si>
  <si>
    <t>3з</t>
  </si>
  <si>
    <t>число секций крепи в лаве</t>
  </si>
  <si>
    <t>как это использовать  ????</t>
  </si>
  <si>
    <t>4з</t>
  </si>
  <si>
    <r>
      <t xml:space="preserve">Скорость конвейерной цепи, </t>
    </r>
    <r>
      <rPr>
        <sz val="11"/>
        <rFont val="Times New Roman Cyr"/>
        <family val="1"/>
        <charset val="204"/>
      </rPr>
      <t xml:space="preserve"> м/с</t>
    </r>
  </si>
  <si>
    <r>
      <t xml:space="preserve">Высота струга, </t>
    </r>
    <r>
      <rPr>
        <vertAlign val="subscript"/>
        <sz val="11"/>
        <rFont val="Times New Roman Cyr"/>
        <family val="1"/>
        <charset val="204"/>
      </rPr>
      <t xml:space="preserve"> </t>
    </r>
    <r>
      <rPr>
        <sz val="11"/>
        <rFont val="Times New Roman Cyr"/>
        <family val="1"/>
        <charset val="204"/>
      </rPr>
      <t xml:space="preserve">  м</t>
    </r>
  </si>
  <si>
    <t>Возможная производительность</t>
  </si>
  <si>
    <t>1-й режим</t>
  </si>
  <si>
    <t>2-й режим</t>
  </si>
  <si>
    <t>3-й режим</t>
  </si>
  <si>
    <t>1-я высота</t>
  </si>
  <si>
    <t>кол-во комплектов в одной нитке, установленных за смену</t>
  </si>
  <si>
    <t>Обем работ по установке комплектов крепи</t>
  </si>
  <si>
    <t>Индекс условий эксплуатации механизированной крепи</t>
  </si>
  <si>
    <t xml:space="preserve">Корреляционная обработка данных </t>
  </si>
  <si>
    <t>Индекс условий эксплуатации скребковых конвейеров</t>
  </si>
  <si>
    <t>УКП</t>
  </si>
  <si>
    <t>Комбинированная обратный ход, проветривание от вентиляционной выработки к транспортной и далее на выработанное пространство.  Вентиляционная выработка - повторно используемая транспортная выработка, за лавой погашается. Транспортная выработка проведена ранее и не погашается. Подсвежающая струя - к фланговой выработке.</t>
  </si>
  <si>
    <t>Процесс крепления</t>
  </si>
  <si>
    <t>Процесс проветривания</t>
  </si>
  <si>
    <t>Электроснабжение</t>
  </si>
  <si>
    <t>Это можно убрать вниз!!</t>
  </si>
  <si>
    <t>Расстояние между рамами арочной крепи транспортном штреке, м</t>
  </si>
  <si>
    <t>Установка деревянных стоек индивидуальной крепи на комплектах расположенных над конвейером</t>
  </si>
  <si>
    <t>на выемку ниш (табличный)</t>
  </si>
  <si>
    <t>Общая трудоемкость при использовании дер.верхняков</t>
  </si>
  <si>
    <t>Принятая трудоемкость при использовании дер.верхняков (для расчета общей трудоемкости за цикл)</t>
  </si>
  <si>
    <t>Установка крепи усиления впереди лавы (ремонтины)</t>
  </si>
  <si>
    <t>Высота выработки в свету, м</t>
  </si>
  <si>
    <t>Способ охраны угольного уклона: 1-пластовая выработка , охраняется целиками размером более зоны опорного давления, 2-пластовая выработка , охраняется целиками размером менее зоны опорного давления, 3-пластовая выработка, охраняется разгрузочными полосами и угольными целиками, 4-пластовая выработка, охраняется бутовыми полосами, 5-пластовая выработка, проведенная по выработанному пространству, 6-выработка проведена под разгрузочной лавой.</t>
  </si>
  <si>
    <t>Количество фланговых наклонных выработок на крыле панели  при панельной подготовке</t>
  </si>
  <si>
    <t>Количество пластовых магистральных штреков (вентиляционный) при погоризонтной подготовке</t>
  </si>
  <si>
    <t>Количество магистральных транспортных штреков(полевой) при погоризонтной подготовке</t>
  </si>
  <si>
    <t>Количество дренажных ходков при погоризонтной подготовке</t>
  </si>
  <si>
    <t>Принятая скорость крепления при индивидуальной крепи, м/мин</t>
  </si>
  <si>
    <t>40  -  80</t>
  </si>
  <si>
    <t>500  -  1000</t>
  </si>
  <si>
    <t>Процент затрат на монтаж оборудования электровозной откатки, %</t>
  </si>
  <si>
    <t>20 - 50</t>
  </si>
  <si>
    <t>Тип верхняка в нише (1 -  металл. 2 -  дерево)</t>
  </si>
  <si>
    <t xml:space="preserve">Ранее введенные исходные данные </t>
  </si>
  <si>
    <t xml:space="preserve">Максимальная глубина работ для проектируемой лавы,м  </t>
  </si>
  <si>
    <t>тип</t>
  </si>
  <si>
    <t>m-min</t>
  </si>
  <si>
    <t>m-max</t>
  </si>
  <si>
    <t>Имеются ли сведения о природной метаноносности для проект. лавы?  Да - 1, Нет - 2</t>
  </si>
  <si>
    <t>Способ управления кровлей в проектируемой лаве (1 - полное обрушение, 2 - полная закладка, 3 - частичное обрушение, 4 - частичная закладка)</t>
  </si>
  <si>
    <t xml:space="preserve">Вид крепи в проектируемой лаве (1 - индивидуальная, 0 - механизированная) </t>
  </si>
  <si>
    <t xml:space="preserve">Коэффициент крепости пород по Протодьяконову </t>
  </si>
  <si>
    <t>Комбинированная обратный ход,  движение воздуха по лаве от транспортной выработки к вентиляционной и далее на выработанное пространство. Вентиляционная выработка  проведена через целик менее  Lоп, за лавой не погашается. Транспортная выработка проведена заранее, за лавой не погашается.  Участки выработок за лавой проветриваются через фланговые выработки. Угольный поток направлен к транспортной фланговой выработке. Подсвежающая струя направлена к фланговой выработке.</t>
  </si>
  <si>
    <t>Комбинированная обратный ход,  движение воздуха по лаве от транспортной выработки к вентиляционной и далее на выработанное пространство. Вентиляционная выработка  проведена вприсечку к выработанному пространству, за лавой не погашается. Транспортная выработка проведена заранее, за лавой не погашается.  Участки выработок за лавой проветриваются через фланговые выработки. Угольный поток направлен к транспортной фланговой выработке. Подсвежающая струя направлена к фланговой выработке.</t>
  </si>
  <si>
    <t xml:space="preserve"> крепи,  какой тип конвейера в лаве?</t>
  </si>
  <si>
    <t>номер в группе</t>
  </si>
  <si>
    <t>позиция пласта в списке группы</t>
  </si>
  <si>
    <t>нагрузка на пласт при делении на группы</t>
  </si>
  <si>
    <t>Продолжаем выполнение расчетов</t>
  </si>
  <si>
    <t>Способ охраны вентиляционной выработки (1-БЖБТ, 2-литая полоса, 3-кустовая крепь, 4-костры клетевые, 5-костры накатные, 6-бутокостры, 7-многорядная органка, 8-бут.полоса с ручной закладкой, 9-бут полоса скреперная)</t>
  </si>
  <si>
    <t>Сечение транспортной выработки, м2</t>
  </si>
  <si>
    <r>
      <t>Обьем деревянных прокладок, м</t>
    </r>
    <r>
      <rPr>
        <vertAlign val="superscript"/>
        <sz val="11"/>
        <color indexed="8"/>
        <rFont val="Calibri"/>
        <family val="2"/>
        <charset val="204"/>
      </rPr>
      <t>3</t>
    </r>
    <r>
      <rPr>
        <sz val="11"/>
        <color indexed="8"/>
        <rFont val="Calibri"/>
        <family val="2"/>
        <charset val="204"/>
      </rPr>
      <t>/тумба</t>
    </r>
  </si>
  <si>
    <r>
      <t>Обьем деревянных прокладок, м</t>
    </r>
    <r>
      <rPr>
        <vertAlign val="superscript"/>
        <sz val="11"/>
        <color indexed="8"/>
        <rFont val="Calibri"/>
        <family val="2"/>
        <charset val="204"/>
      </rPr>
      <t>3</t>
    </r>
    <r>
      <rPr>
        <sz val="11"/>
        <color indexed="8"/>
        <rFont val="Calibri"/>
        <family val="2"/>
        <charset val="204"/>
      </rPr>
      <t>/м</t>
    </r>
  </si>
  <si>
    <t>Трудоемкость, чел/смена</t>
  </si>
  <si>
    <t>Установка органной крепи</t>
  </si>
  <si>
    <t>Поправочный коэффициенты</t>
  </si>
  <si>
    <t>По суммарной мощности породных прослойков и ложной кровли</t>
  </si>
  <si>
    <t>По работам</t>
  </si>
  <si>
    <t>Всего материалы, грн/м</t>
  </si>
  <si>
    <t>Амортизация</t>
  </si>
  <si>
    <t>Амортизация скреп установки, грн/м</t>
  </si>
  <si>
    <t>Ставка доставщика подземного, грн/см</t>
  </si>
  <si>
    <t>Ставка доставщика на поверхности, грн/см</t>
  </si>
  <si>
    <r>
      <t>Коэффициент готовности забоя по группе последовательных перерывов µ</t>
    </r>
    <r>
      <rPr>
        <b/>
        <vertAlign val="subscript"/>
        <sz val="10"/>
        <color indexed="10"/>
        <rFont val="Arial Cyr"/>
        <charset val="204"/>
      </rPr>
      <t xml:space="preserve">1 </t>
    </r>
    <r>
      <rPr>
        <b/>
        <sz val="10"/>
        <color indexed="10"/>
        <rFont val="Arial Cyr"/>
        <charset val="204"/>
      </rPr>
      <t>(ф. 20)</t>
    </r>
  </si>
  <si>
    <r>
      <t>Коэффициент готовности по группе параллельных перерывов µ</t>
    </r>
    <r>
      <rPr>
        <b/>
        <vertAlign val="subscript"/>
        <sz val="10"/>
        <color indexed="10"/>
        <rFont val="Arial Cyr"/>
        <charset val="204"/>
      </rPr>
      <t>2</t>
    </r>
  </si>
  <si>
    <r>
      <t>m</t>
    </r>
    <r>
      <rPr>
        <b/>
        <vertAlign val="subscript"/>
        <sz val="10"/>
        <rFont val="Arial Cyr"/>
        <family val="2"/>
        <charset val="204"/>
      </rPr>
      <t>min</t>
    </r>
  </si>
  <si>
    <r>
      <t>m</t>
    </r>
    <r>
      <rPr>
        <b/>
        <vertAlign val="subscript"/>
        <sz val="10"/>
        <rFont val="Arial Cyr"/>
        <family val="2"/>
        <charset val="204"/>
      </rPr>
      <t>max</t>
    </r>
  </si>
  <si>
    <t>Комбинированная прямой ход, движение воздуха по лаве от транспортной выработки к вентиляционной и далее на массив. Вентиляционная выработка  проведена вприсечку к выработанному пространству, за лавой не погашается, Транспортная выработка проведена заранее и  за лавой не погашается. Участки выработок впереди лавы проветриваются через фланговые выработки.</t>
  </si>
  <si>
    <t>ТЕХНИЧЕСКИЕ                       ИСХОДНЫЕ                       ДАННЫЕ</t>
  </si>
  <si>
    <t xml:space="preserve">      ТИП   ОБОРУДОВАНИЯ  ЛАВЫ</t>
  </si>
  <si>
    <t>Таблица 4 Механизированные крепи</t>
  </si>
  <si>
    <t>номер</t>
  </si>
  <si>
    <t>Введите величину сопротивляемости угля резанию, кН/см</t>
  </si>
  <si>
    <t xml:space="preserve">    Суточная нагрузка на очистной забой рассчитывается по горной массе</t>
  </si>
  <si>
    <t xml:space="preserve">                горно-геологических условиях  </t>
  </si>
  <si>
    <t xml:space="preserve">Сменная нагрузка на очистной забой определяется как </t>
  </si>
  <si>
    <t>Электроснабжение  µсэ</t>
  </si>
  <si>
    <t xml:space="preserve">Категория шахты по метану </t>
  </si>
  <si>
    <t xml:space="preserve">   Дальнейшая работа с программой состоит в следующем:</t>
  </si>
  <si>
    <t>Размер пая, выделяемый для одного рабочего лавы</t>
  </si>
  <si>
    <t>Длина, м</t>
  </si>
  <si>
    <t>1,61-1,90</t>
  </si>
  <si>
    <t>1,91-2,30</t>
  </si>
  <si>
    <t>2,31-2,65</t>
  </si>
  <si>
    <t>2,66-2,80</t>
  </si>
  <si>
    <t>&gt; 2,80</t>
  </si>
  <si>
    <t>Переноска старых четырехгранных костров</t>
  </si>
  <si>
    <t>ПРОГРАММА</t>
  </si>
  <si>
    <r>
      <t xml:space="preserve">Средний размер выемочной ступени, м </t>
    </r>
    <r>
      <rPr>
        <b/>
        <sz val="12"/>
        <color indexed="10"/>
        <rFont val="Times New Roman"/>
        <family val="1"/>
        <charset val="204"/>
      </rPr>
      <t>Lст=Н/Nст</t>
    </r>
  </si>
  <si>
    <t>СП301М</t>
  </si>
  <si>
    <t>СП326М</t>
  </si>
  <si>
    <t>СПЦ250-14</t>
  </si>
  <si>
    <t>СУМК75</t>
  </si>
  <si>
    <t>Мощность пласта, м</t>
  </si>
  <si>
    <t>СН75</t>
  </si>
  <si>
    <t>7  Коэффициент готовности эталонного сопряжения лавы  с подготовительной выработкой</t>
  </si>
  <si>
    <t>Taб. 5</t>
  </si>
  <si>
    <t>Результаты вычислений представлены в таблице</t>
  </si>
  <si>
    <t xml:space="preserve">3.  По графику определяется размер пая, при котором процент выполнения норм  выработки составляет 100%     или </t>
  </si>
  <si>
    <t>превосходит эту величину не более чем на 10-15%.</t>
  </si>
  <si>
    <t xml:space="preserve">             Ниже приведена таблица расчетных нагрузок на лаву при различной ее длине</t>
  </si>
  <si>
    <t xml:space="preserve">     Повторите действия, указанные в пунктах от п. 2  до п. 7 , пока не будет заполнена вся таблица строки</t>
  </si>
  <si>
    <t xml:space="preserve">              Ниже приведена таблица рассчетных значений нагрузки на лаву при заданной ее длине</t>
  </si>
  <si>
    <t xml:space="preserve"> которой состоит в выделении рабочему очистного забоя определенного участка лавы, пая, </t>
  </si>
  <si>
    <t xml:space="preserve"> (механизированная лава), креплением лавы, передвижкой домкратов, посадкой кровли (лава</t>
  </si>
  <si>
    <t xml:space="preserve"> с индивидуальной крепью). Трудоемкость работ в лаве - необходимый состав сменной</t>
  </si>
  <si>
    <t xml:space="preserve"> бригады, естественно, зависит от размера пая.    Трудоемкость работ при заданной </t>
  </si>
  <si>
    <t>1 - из возможных типов конвейера следует принять тот, который имеет большую производительность</t>
  </si>
  <si>
    <t>Минимальна обслуживаемая мощность, м</t>
  </si>
  <si>
    <t>Максимальная обслуживаемая мощность, м</t>
  </si>
  <si>
    <r>
      <t xml:space="preserve">Высота струга, </t>
    </r>
    <r>
      <rPr>
        <b/>
        <sz val="11"/>
        <rFont val="Times New Roman Cyr"/>
        <family val="1"/>
        <charset val="204"/>
      </rPr>
      <t>H</t>
    </r>
    <r>
      <rPr>
        <b/>
        <vertAlign val="subscript"/>
        <sz val="11"/>
        <rFont val="Times New Roman Cyr"/>
        <family val="1"/>
        <charset val="204"/>
      </rPr>
      <t>c</t>
    </r>
    <r>
      <rPr>
        <vertAlign val="subscript"/>
        <sz val="11"/>
        <rFont val="Times New Roman Cyr"/>
        <family val="1"/>
        <charset val="204"/>
      </rPr>
      <t xml:space="preserve">, </t>
    </r>
    <r>
      <rPr>
        <sz val="11"/>
        <rFont val="Times New Roman Cyr"/>
        <family val="1"/>
        <charset val="204"/>
      </rPr>
      <t>м</t>
    </r>
  </si>
  <si>
    <r>
      <t xml:space="preserve">Толщина стружки исходя из сопротивляемости угля резанию, </t>
    </r>
    <r>
      <rPr>
        <b/>
        <sz val="11"/>
        <rFont val="Times New Roman Cyr"/>
        <family val="1"/>
        <charset val="204"/>
      </rPr>
      <t>h</t>
    </r>
    <r>
      <rPr>
        <b/>
        <vertAlign val="subscript"/>
        <sz val="11"/>
        <rFont val="Times New Roman Cyr"/>
        <family val="1"/>
        <charset val="204"/>
      </rPr>
      <t>c</t>
    </r>
    <r>
      <rPr>
        <sz val="11"/>
        <rFont val="Times New Roman Cyr"/>
        <family val="1"/>
        <charset val="204"/>
      </rPr>
      <t>,м</t>
    </r>
  </si>
  <si>
    <r>
      <t xml:space="preserve">Толщина стружки исходя из приемной способности конвейера  </t>
    </r>
    <r>
      <rPr>
        <b/>
        <sz val="11"/>
        <rFont val="Times New Roman Cyr"/>
        <family val="1"/>
        <charset val="204"/>
      </rPr>
      <t>h</t>
    </r>
    <r>
      <rPr>
        <b/>
        <vertAlign val="subscript"/>
        <sz val="11"/>
        <rFont val="Times New Roman Cyr"/>
        <family val="1"/>
        <charset val="204"/>
      </rPr>
      <t>к</t>
    </r>
    <r>
      <rPr>
        <sz val="11"/>
        <rFont val="Times New Roman Cyr"/>
        <family val="1"/>
        <charset val="204"/>
      </rPr>
      <t xml:space="preserve">,  м   при рабочем режиме </t>
    </r>
  </si>
  <si>
    <r>
      <t xml:space="preserve">     v</t>
    </r>
    <r>
      <rPr>
        <b/>
        <vertAlign val="subscript"/>
        <sz val="12"/>
        <rFont val="Times New Roman Cyr"/>
        <family val="1"/>
        <charset val="204"/>
      </rPr>
      <t>c</t>
    </r>
    <r>
      <rPr>
        <b/>
        <sz val="12"/>
        <rFont val="Times New Roman Cyr"/>
        <family val="1"/>
        <charset val="204"/>
      </rPr>
      <t>&lt;v</t>
    </r>
    <r>
      <rPr>
        <b/>
        <vertAlign val="subscript"/>
        <sz val="12"/>
        <rFont val="Times New Roman Cyr"/>
        <family val="1"/>
        <charset val="204"/>
      </rPr>
      <t>к</t>
    </r>
  </si>
  <si>
    <r>
      <t xml:space="preserve"> 2v</t>
    </r>
    <r>
      <rPr>
        <b/>
        <vertAlign val="subscript"/>
        <sz val="12"/>
        <rFont val="Times New Roman Cyr"/>
        <family val="1"/>
        <charset val="204"/>
      </rPr>
      <t>к</t>
    </r>
    <r>
      <rPr>
        <b/>
        <sz val="12"/>
        <rFont val="Times New Roman Cyr"/>
        <family val="1"/>
        <charset val="204"/>
      </rPr>
      <t>&lt;v</t>
    </r>
    <r>
      <rPr>
        <b/>
        <vertAlign val="subscript"/>
        <sz val="12"/>
        <rFont val="Times New Roman Cyr"/>
        <family val="1"/>
        <charset val="204"/>
      </rPr>
      <t>c</t>
    </r>
    <r>
      <rPr>
        <b/>
        <sz val="12"/>
        <rFont val="Times New Roman Cyr"/>
        <family val="1"/>
        <charset val="204"/>
      </rPr>
      <t>&lt;=3v</t>
    </r>
    <r>
      <rPr>
        <b/>
        <vertAlign val="subscript"/>
        <sz val="12"/>
        <rFont val="Times New Roman Cyr"/>
        <family val="1"/>
        <charset val="204"/>
      </rPr>
      <t>к</t>
    </r>
  </si>
  <si>
    <r>
      <t xml:space="preserve">      v</t>
    </r>
    <r>
      <rPr>
        <b/>
        <vertAlign val="subscript"/>
        <sz val="12"/>
        <rFont val="Times New Roman Cyr"/>
        <family val="1"/>
        <charset val="204"/>
      </rPr>
      <t>к</t>
    </r>
    <r>
      <rPr>
        <b/>
        <sz val="12"/>
        <rFont val="Times New Roman Cyr"/>
        <family val="1"/>
        <charset val="204"/>
      </rPr>
      <t>&lt;v</t>
    </r>
    <r>
      <rPr>
        <b/>
        <vertAlign val="subscript"/>
        <sz val="12"/>
        <rFont val="Times New Roman Cyr"/>
        <family val="1"/>
        <charset val="204"/>
      </rPr>
      <t>с</t>
    </r>
    <r>
      <rPr>
        <b/>
        <sz val="12"/>
        <rFont val="Times New Roman Cyr"/>
        <family val="1"/>
        <charset val="204"/>
      </rPr>
      <t>&lt;2v</t>
    </r>
    <r>
      <rPr>
        <b/>
        <vertAlign val="subscript"/>
        <sz val="12"/>
        <rFont val="Times New Roman Cyr"/>
        <family val="1"/>
        <charset val="204"/>
      </rPr>
      <t>к</t>
    </r>
  </si>
  <si>
    <t>Длина комбайна, м</t>
  </si>
  <si>
    <t>Длина , м</t>
  </si>
  <si>
    <t>Скребковые конвейеры</t>
  </si>
  <si>
    <r>
      <t xml:space="preserve">Толщина стружки, </t>
    </r>
    <r>
      <rPr>
        <vertAlign val="subscript"/>
        <sz val="11"/>
        <rFont val="Times New Roman Cyr"/>
        <family val="1"/>
        <charset val="204"/>
      </rPr>
      <t xml:space="preserve"> </t>
    </r>
    <r>
      <rPr>
        <sz val="11"/>
        <rFont val="Times New Roman Cyr"/>
        <family val="1"/>
        <charset val="204"/>
      </rPr>
      <t xml:space="preserve">  м</t>
    </r>
  </si>
  <si>
    <r>
      <t xml:space="preserve">Струговая установка   </t>
    </r>
    <r>
      <rPr>
        <sz val="12"/>
        <rFont val="Arial Cyr"/>
        <charset val="204"/>
      </rPr>
      <t>µ</t>
    </r>
    <r>
      <rPr>
        <vertAlign val="subscript"/>
        <sz val="12"/>
        <rFont val="Arial Cyr"/>
        <charset val="204"/>
      </rPr>
      <t>су</t>
    </r>
  </si>
  <si>
    <r>
      <t xml:space="preserve">Конвейерная линия  </t>
    </r>
    <r>
      <rPr>
        <sz val="12"/>
        <rFont val="Arial Cyr"/>
        <charset val="204"/>
      </rPr>
      <t>µ</t>
    </r>
    <r>
      <rPr>
        <vertAlign val="subscript"/>
        <sz val="12"/>
        <rFont val="Arial Cyr"/>
        <charset val="204"/>
      </rPr>
      <t>ку</t>
    </r>
  </si>
  <si>
    <r>
      <t xml:space="preserve">Крепь  </t>
    </r>
    <r>
      <rPr>
        <sz val="12"/>
        <rFont val="Arial Cyr"/>
        <charset val="204"/>
      </rPr>
      <t>µ</t>
    </r>
    <r>
      <rPr>
        <vertAlign val="subscript"/>
        <sz val="12"/>
        <rFont val="Arial Cyr"/>
        <charset val="204"/>
      </rPr>
      <t>кр</t>
    </r>
  </si>
  <si>
    <r>
      <t xml:space="preserve">Процесс крепления   </t>
    </r>
    <r>
      <rPr>
        <sz val="12"/>
        <rFont val="Arial Cyr"/>
        <charset val="204"/>
      </rPr>
      <t xml:space="preserve"> µ</t>
    </r>
    <r>
      <rPr>
        <vertAlign val="subscript"/>
        <sz val="12"/>
        <rFont val="Arial Cyr"/>
        <charset val="204"/>
      </rPr>
      <t>пкр</t>
    </r>
  </si>
  <si>
    <r>
      <t xml:space="preserve">Процесс проветривания   </t>
    </r>
    <r>
      <rPr>
        <sz val="12"/>
        <rFont val="Arial Cyr"/>
        <charset val="204"/>
      </rPr>
      <t>µ</t>
    </r>
    <r>
      <rPr>
        <vertAlign val="subscript"/>
        <sz val="12"/>
        <rFont val="Arial Cyr"/>
        <charset val="204"/>
      </rPr>
      <t>пр</t>
    </r>
  </si>
  <si>
    <r>
      <t xml:space="preserve">Электроснабжение </t>
    </r>
    <r>
      <rPr>
        <sz val="12"/>
        <rFont val="Arial Cyr"/>
        <charset val="204"/>
      </rPr>
      <t xml:space="preserve"> µ</t>
    </r>
    <r>
      <rPr>
        <vertAlign val="subscript"/>
        <sz val="12"/>
        <rFont val="Arial Cyr"/>
        <charset val="204"/>
      </rPr>
      <t>сэ</t>
    </r>
  </si>
  <si>
    <r>
      <t>Приемная способность , м</t>
    </r>
    <r>
      <rPr>
        <b/>
        <vertAlign val="superscript"/>
        <sz val="10"/>
        <rFont val="Arial Cyr"/>
        <family val="2"/>
        <charset val="204"/>
      </rPr>
      <t>3</t>
    </r>
    <r>
      <rPr>
        <b/>
        <sz val="10"/>
        <rFont val="Arial Cyr"/>
        <family val="2"/>
        <charset val="204"/>
      </rPr>
      <t>/мин</t>
    </r>
  </si>
  <si>
    <r>
      <t xml:space="preserve">Площадь загрузочного сечения конвейера  </t>
    </r>
    <r>
      <rPr>
        <b/>
        <sz val="10"/>
        <rFont val="Times New Roman Cyr"/>
        <family val="1"/>
        <charset val="204"/>
      </rPr>
      <t>S</t>
    </r>
    <r>
      <rPr>
        <b/>
        <vertAlign val="subscript"/>
        <sz val="10"/>
        <rFont val="Times New Roman Cyr"/>
        <family val="1"/>
        <charset val="204"/>
      </rPr>
      <t>к</t>
    </r>
    <r>
      <rPr>
        <sz val="10"/>
        <rFont val="Times New Roman Cyr"/>
        <family val="1"/>
        <charset val="204"/>
      </rPr>
      <t>, м</t>
    </r>
    <r>
      <rPr>
        <vertAlign val="superscript"/>
        <sz val="10"/>
        <rFont val="Times New Roman Cyr"/>
        <family val="1"/>
        <charset val="204"/>
      </rPr>
      <t>2</t>
    </r>
  </si>
  <si>
    <r>
      <t xml:space="preserve">Коэффициенты  </t>
    </r>
    <r>
      <rPr>
        <b/>
        <sz val="11"/>
        <rFont val="Times New Roman Cyr"/>
        <family val="1"/>
        <charset val="204"/>
      </rPr>
      <t>а</t>
    </r>
    <r>
      <rPr>
        <b/>
        <vertAlign val="subscript"/>
        <sz val="11"/>
        <rFont val="Times New Roman Cyr"/>
        <family val="1"/>
        <charset val="204"/>
      </rPr>
      <t>i</t>
    </r>
  </si>
  <si>
    <t>Номер в листе "Конвейеры"</t>
  </si>
  <si>
    <t>Наименьшая производительность</t>
  </si>
  <si>
    <t>т/час</t>
  </si>
  <si>
    <t>Наименьшая пропускная способность скребковых конвейеров</t>
  </si>
  <si>
    <t>т/мин</t>
  </si>
  <si>
    <t>Номер конвейера</t>
  </si>
  <si>
    <t>Скорость ленты, м/с</t>
  </si>
  <si>
    <t>Пропускная способность, т/мин</t>
  </si>
  <si>
    <t>Тип посадочной крепи (1-  СПУТНИК. 2 -  ОКУ.)</t>
  </si>
  <si>
    <t>При прочих равных условиях величина свободного сечения лавы для прохода воздуха при применении механизированной крепи будет: 1 - большим, чем при индивидуальной крепи, 2 - меньшим, чем при применении индивидуальной крепи, 3 - эта величина от вида крепи не зависит</t>
  </si>
  <si>
    <t>Если относительное газовыделение по шахте составляет 12 м3/тс.д., то к какой категории по газовыделению относится данная шахта?</t>
  </si>
  <si>
    <t>Газовыделение в лаве-аналоге: из пласта 10 м2/тс.д., из выработанного пространства - 12 м3/тс.д.. При какой системе разработки возможна наибольшая величина суточной добычи: 1 - при сплошной, 2 - при столбовой, 3 - при комбинированной с выходом исходящей струи на выработанное пространство?</t>
  </si>
  <si>
    <t>При какой категории пород по обрушаемости сечение лавы для прохода воздуха при прочих равных условияз будет большим? 1 - при А1, 2 - при А2, 3 - при А3.</t>
  </si>
  <si>
    <t>3КД90</t>
  </si>
  <si>
    <t>РКУ13</t>
  </si>
  <si>
    <t>3КД90Т</t>
  </si>
  <si>
    <t>1КДД</t>
  </si>
  <si>
    <t>Из указанного списка необходимо принять только один тип комплекса, т.е. конкретные типы комбайна, крепи, конвейера.</t>
  </si>
  <si>
    <t>Следует руководствоваться следующими соображениями.</t>
  </si>
  <si>
    <t>Способ подготовки ступени</t>
  </si>
  <si>
    <t>Проведение подготавливающих выработок</t>
  </si>
  <si>
    <t>Поддержание подготавливающих выработок</t>
  </si>
  <si>
    <t>Транспорт и водоотлив по подготавливающим выработкам</t>
  </si>
  <si>
    <t>Проведение участковых выработок</t>
  </si>
  <si>
    <t>При выборе типа механизированного комплекса для конкретной лавы должны выполняться  следующие условия:</t>
  </si>
  <si>
    <t>крепи для возможности управлять комбайном должна  находится в пределе до 170  мм;</t>
  </si>
  <si>
    <t xml:space="preserve">Эти условия являются необходимыми, но недостаточными. </t>
  </si>
  <si>
    <t xml:space="preserve">Рассмотрим далее требования к характеристикам работы механизированной крепи: </t>
  </si>
  <si>
    <t>Способ охраны дренажного ходка  (уклона): 
1-пластовая выработка , охраняется целиками размером более зоны опорного давления, 
2-пластовая выработка , охраняется целиками размером менее зоны опорного давления, 
3-пластовая выработка, охраняется разгрузочн</t>
  </si>
  <si>
    <t>При панельной подготовке</t>
  </si>
  <si>
    <t xml:space="preserve">                      Основные параметры подготовки пласта</t>
  </si>
  <si>
    <t>На этом  этапе Вы определились с вариантом системы разработки в пределах</t>
  </si>
  <si>
    <t>выемочного участка, со способом подготовки ступени и определились с характеристикой</t>
  </si>
  <si>
    <t>выработок работающего и подготавливаемого участка, выработок за пределами выемочного участка.</t>
  </si>
  <si>
    <t>Продолжайте ввод данных !</t>
  </si>
  <si>
    <t>Другие подготовительные  выработки</t>
  </si>
  <si>
    <t>Вводите данные о проводимой вентиляционной выработке</t>
  </si>
  <si>
    <t>Вентиляционная выработка подготавливаемого участка</t>
  </si>
  <si>
    <t>Обрушаемость пород основной кровли пласта: 1-Легко обрушаемые ,2-Трудно обрушаемые ,3-породы средней обрушаемости</t>
  </si>
  <si>
    <t>Прочность пород кровли, (от 30 до 80 МПа)</t>
  </si>
  <si>
    <t>Средний для участковых выработок коэф крепости пород по Протодьяконову(от 3 до 8 )</t>
  </si>
  <si>
    <t>Природная метаноносность пласта для проектируемой лавы, м3/т с.б.м.</t>
  </si>
  <si>
    <t>Средняя глубина уклонной ступени шахтного поля (от 400 до 1400  м)</t>
  </si>
  <si>
    <r>
      <t>Вместимость пневмонагнетателя для заливки литой полосы, м</t>
    </r>
    <r>
      <rPr>
        <vertAlign val="superscript"/>
        <sz val="11"/>
        <rFont val="Calibri"/>
        <family val="2"/>
        <charset val="204"/>
      </rPr>
      <t>3</t>
    </r>
  </si>
  <si>
    <t>При кустовой крепи</t>
  </si>
  <si>
    <t>Количество стоек в кусте при кустовой крепи, шт</t>
  </si>
  <si>
    <t>Расстояние между кустами при кустовой крепи, м</t>
  </si>
  <si>
    <t>При костровой крепи</t>
  </si>
  <si>
    <t>Число рядов костров над(под) выработкой, шт</t>
  </si>
  <si>
    <t>Вид костра 1 - клетевой, 2 - накатный</t>
  </si>
  <si>
    <t>Длина костровой стойки, м</t>
  </si>
  <si>
    <t>При бутокострах</t>
  </si>
  <si>
    <t>При выкладке бутовой полосы вручную</t>
  </si>
  <si>
    <t>Направление перекидки породы при проведении бутового штрека (1 - вниз по падению, 2 - вверх по востанию)</t>
  </si>
  <si>
    <t xml:space="preserve">    В приведенной ниже таблице показаны результаты вычислений возможной нагрузки на лаву в диапазоне ее длины</t>
  </si>
  <si>
    <t>проверку знаний и только в случае положительного результата будет помогать  в работе)</t>
  </si>
  <si>
    <t>количество стоек</t>
  </si>
  <si>
    <t>количество  вагонов</t>
  </si>
  <si>
    <r>
      <t>За период затухания работ освоенные запасы составят</t>
    </r>
    <r>
      <rPr>
        <b/>
        <sz val="12"/>
        <rFont val="Times New Roman"/>
        <family val="1"/>
        <charset val="204"/>
      </rPr>
      <t xml:space="preserve"> ((1+0)/2)*Тз*А</t>
    </r>
    <r>
      <rPr>
        <sz val="12"/>
        <rFont val="Times New Roman"/>
        <family val="1"/>
        <charset val="204"/>
      </rPr>
      <t xml:space="preserve"> тонн. </t>
    </r>
  </si>
  <si>
    <r>
      <t xml:space="preserve">Zп-(0,75*То+0,5*Тз)А, </t>
    </r>
    <r>
      <rPr>
        <sz val="12"/>
        <rFont val="Times New Roman"/>
        <family val="1"/>
        <charset val="204"/>
      </rPr>
      <t>тонн, а общий срок службы шахты можно вычислить как</t>
    </r>
  </si>
  <si>
    <t>Теперь необходимо решить вопрос одновременности разработки пластов и нагрузки на каждый пласт.</t>
  </si>
  <si>
    <t xml:space="preserve">    В пояснительной записке к курсовому проекту описываются проведенные расчеты нагрузки на пласт,</t>
  </si>
  <si>
    <t>Допустимый шаг установки секций крепи, передвигающейся без подпора, м</t>
  </si>
  <si>
    <t>lc</t>
  </si>
  <si>
    <t>расчетные формулы и пояснения к ним. Таблица и диаграмма копируются и вставляются в текст пояснительной записки.</t>
  </si>
  <si>
    <t>Требования к студенту:</t>
  </si>
  <si>
    <t xml:space="preserve">1. Студент должен владеть материалом курса (программа будет периодически проводить </t>
  </si>
  <si>
    <t xml:space="preserve">                  Условия отработки участка при принятой системе разработки (</t>
  </si>
  <si>
    <t>М138</t>
  </si>
  <si>
    <t>1УКП</t>
  </si>
  <si>
    <t>Тип</t>
  </si>
  <si>
    <t>m min</t>
  </si>
  <si>
    <t>m max</t>
  </si>
  <si>
    <t>S min</t>
  </si>
  <si>
    <t>S max</t>
  </si>
  <si>
    <t xml:space="preserve"> Длина ниши должна быть кратной расстоянию между рамками индивидуальной крепи в нише и всегда иметь запас свободного пространства</t>
  </si>
  <si>
    <t xml:space="preserve">  между головкой конвейера и верхней (нижней) границей ниши по длине лавы  (не менее 1 м).  Тип комбайна Вами уже принят, его размеры и </t>
  </si>
  <si>
    <t xml:space="preserve">конструктивное исполнение можно посмотреть в таблице.  </t>
  </si>
  <si>
    <t xml:space="preserve">Если штрек проводится одновременно с лавой, вынести конвейерную головку в штрек невозможно, поскольку угольный забой лавы и штрека </t>
  </si>
  <si>
    <t xml:space="preserve">опережает породный забой. В этом случае у транспортной выработки проводится бровка, в которой уложен конвейер-перегружатель.ширина </t>
  </si>
  <si>
    <t>бровки должна разместить  конвейер-перегружатель и запасной выход из лавы.  У вентиляционной выработки бровка нужна для запасного</t>
  </si>
  <si>
    <t xml:space="preserve">          Зная конкретный вариант системы разработки, можно принять ряд решений, которые позволят детализировать ситуацию</t>
  </si>
  <si>
    <t xml:space="preserve">   на выемочном участке:   решить вопрос выноса конвейерных головок в  подготовительные выработки,  принять размеры ниш, решить</t>
  </si>
  <si>
    <t>вопрос с участковым транспортом и, главное, вычислить величину возможной нагрузки на лаву..</t>
  </si>
  <si>
    <t xml:space="preserve">     Теперь необходимо уточнить  эскиз выработок выемочного участка при выбранной системе разработки. Стоит особо обратить</t>
  </si>
  <si>
    <t xml:space="preserve">  - то на какую величину, какой размер ниш по их длине и в направлении подвигания лавы.</t>
  </si>
  <si>
    <t>внимание на расположение оборудования на концевых участках лавы: вынесены ли конвейерные головки в выработку, если вынесены</t>
  </si>
  <si>
    <t>параллельное</t>
  </si>
  <si>
    <t>перпендикулярное</t>
  </si>
  <si>
    <t>Справочно-информационный материал</t>
  </si>
  <si>
    <t>a</t>
  </si>
  <si>
    <t>b</t>
  </si>
  <si>
    <t>c</t>
  </si>
  <si>
    <t>d</t>
  </si>
  <si>
    <t>e</t>
  </si>
  <si>
    <t>время отработки выемочной полосы,, годы</t>
  </si>
  <si>
    <t>количество условных  полос  в крыле ступени</t>
  </si>
  <si>
    <t>Затраты на поддержание 1 м в четвертой зоне поддержания</t>
  </si>
  <si>
    <t>независимо от порядка разработки полос и ступени</t>
  </si>
  <si>
    <t>Принятая в проекте нагрузка на струговую лаву с индивидуальной крепью, т/сутки</t>
  </si>
  <si>
    <t>Номер в таблице конвейеров</t>
  </si>
  <si>
    <t>Коэффициент готовности</t>
  </si>
  <si>
    <t>3-й конвейер в штреке</t>
  </si>
  <si>
    <t>Наименьшая производительность, т/час</t>
  </si>
  <si>
    <t>Наименьшая пропускная способность скребковых конвейеров, т/мин</t>
  </si>
  <si>
    <t>Наименьшая производительность скребковых и ленточных конвейеров, т/час</t>
  </si>
  <si>
    <r>
      <t xml:space="preserve">Конвергенция пород на 1м ширины рабочего пространства       </t>
    </r>
    <r>
      <rPr>
        <b/>
        <sz val="10"/>
        <color indexed="10"/>
        <rFont val="Times New Roman"/>
        <family val="1"/>
        <charset val="204"/>
      </rPr>
      <t xml:space="preserve">   α</t>
    </r>
  </si>
  <si>
    <t>Таблица - Структура затрат по вариантам и параметры участка</t>
  </si>
  <si>
    <t>Размер целика между ярусами, м</t>
  </si>
  <si>
    <t>Высота яруса, м</t>
  </si>
  <si>
    <t>Число ярусов в выемочной ступени</t>
  </si>
  <si>
    <t>Уточненный размер ступени, м</t>
  </si>
  <si>
    <t>Размер целика между выемочными полосами, м</t>
  </si>
  <si>
    <t>Ширина выемочной полосы, м</t>
  </si>
  <si>
    <t>Число выемочных полос в выемочной ступени</t>
  </si>
  <si>
    <t>Комбинированная обратный ход,  движение воздуха по лаве от транспортной выработки к вентиляционной и далее на выработанное пространство. Вентиляционная выработка  - повторно используемая транспортная выработка, за лавой не погашается. Транспортная выработка проведена заранее, за лавой не погашается.  Участки выработок за лавой проветриваются через фланговые выработки. Угольный поток направлен к транспортной фланговой выработке. Подсвежающая струя направлена к фланговой выработке.</t>
  </si>
  <si>
    <t>бут.полоса с ручной закладкой</t>
  </si>
  <si>
    <t>бут полоса скреперная</t>
  </si>
  <si>
    <r>
      <t xml:space="preserve">Предель-ный угол падения при работе по простира-нию  </t>
    </r>
    <r>
      <rPr>
        <b/>
        <sz val="10"/>
        <color indexed="8"/>
        <rFont val="Times New Roman"/>
        <family val="1"/>
        <charset val="204"/>
      </rPr>
      <t>αпр</t>
    </r>
  </si>
  <si>
    <r>
      <t xml:space="preserve">Предель-ный угол падения при работе по падению  (восста-нию) </t>
    </r>
    <r>
      <rPr>
        <b/>
        <sz val="10"/>
        <color indexed="8"/>
        <rFont val="Times New Roman"/>
        <family val="1"/>
        <charset val="204"/>
      </rPr>
      <t>α</t>
    </r>
    <r>
      <rPr>
        <b/>
        <vertAlign val="subscript"/>
        <sz val="10"/>
        <color indexed="8"/>
        <rFont val="Times New Roman"/>
        <family val="1"/>
        <charset val="204"/>
      </rPr>
      <t>пв</t>
    </r>
  </si>
  <si>
    <r>
      <t xml:space="preserve">Мин конструкт высота крепи        </t>
    </r>
    <r>
      <rPr>
        <b/>
        <sz val="10"/>
        <color indexed="8"/>
        <rFont val="Times New Roman"/>
        <family val="1"/>
        <charset val="204"/>
      </rPr>
      <t xml:space="preserve">   h</t>
    </r>
    <r>
      <rPr>
        <b/>
        <vertAlign val="subscript"/>
        <sz val="10"/>
        <color indexed="8"/>
        <rFont val="Times New Roman"/>
        <family val="1"/>
        <charset val="204"/>
      </rPr>
      <t>min</t>
    </r>
    <r>
      <rPr>
        <sz val="10"/>
        <color indexed="8"/>
        <rFont val="Times New Roman"/>
        <family val="1"/>
        <charset val="204"/>
      </rPr>
      <t>,  мм</t>
    </r>
  </si>
  <si>
    <t>Условный допустимый шаг установки крепи, см</t>
  </si>
  <si>
    <r>
      <t xml:space="preserve">Величина свободного пространства под крепью в зоне работы комбайна,   </t>
    </r>
    <r>
      <rPr>
        <b/>
        <sz val="10"/>
        <color indexed="10"/>
        <rFont val="Times New Roman"/>
        <family val="1"/>
        <charset val="204"/>
      </rPr>
      <t>h</t>
    </r>
    <r>
      <rPr>
        <b/>
        <vertAlign val="subscript"/>
        <sz val="10"/>
        <color indexed="10"/>
        <rFont val="Times New Roman"/>
        <family val="1"/>
        <charset val="204"/>
      </rPr>
      <t>своб</t>
    </r>
  </si>
  <si>
    <r>
      <t xml:space="preserve">Высота прохода для рабочих   </t>
    </r>
    <r>
      <rPr>
        <b/>
        <sz val="10"/>
        <color indexed="10"/>
        <rFont val="Times New Roman"/>
        <family val="1"/>
        <charset val="204"/>
      </rPr>
      <t xml:space="preserve"> H</t>
    </r>
    <r>
      <rPr>
        <b/>
        <vertAlign val="subscript"/>
        <sz val="10"/>
        <color indexed="10"/>
        <rFont val="Times New Roman"/>
        <family val="1"/>
        <charset val="204"/>
      </rPr>
      <t>л</t>
    </r>
    <r>
      <rPr>
        <sz val="10"/>
        <color indexed="10"/>
        <rFont val="Times New Roman"/>
        <family val="1"/>
        <charset val="204"/>
      </rPr>
      <t>, мм</t>
    </r>
  </si>
  <si>
    <r>
      <t>Ширина захвата минимальная       r</t>
    </r>
    <r>
      <rPr>
        <vertAlign val="subscript"/>
        <sz val="10"/>
        <rFont val="Arial Cyr"/>
        <family val="2"/>
        <charset val="204"/>
      </rPr>
      <t xml:space="preserve">min </t>
    </r>
    <r>
      <rPr>
        <sz val="10"/>
        <rFont val="Arial Cyr"/>
        <charset val="204"/>
      </rPr>
      <t>,м</t>
    </r>
  </si>
  <si>
    <r>
      <t>Ширина захвата максимальная        r</t>
    </r>
    <r>
      <rPr>
        <vertAlign val="subscript"/>
        <sz val="10"/>
        <rFont val="Arial Cyr"/>
        <family val="2"/>
        <charset val="204"/>
      </rPr>
      <t xml:space="preserve">max </t>
    </r>
    <r>
      <rPr>
        <sz val="10"/>
        <rFont val="Arial Cyr"/>
        <charset val="204"/>
      </rPr>
      <t>,м</t>
    </r>
  </si>
  <si>
    <r>
      <t xml:space="preserve">Минимальная  мощность пласта          </t>
    </r>
    <r>
      <rPr>
        <b/>
        <sz val="10"/>
        <color indexed="10"/>
        <rFont val="Times New Roman"/>
        <family val="1"/>
        <charset val="204"/>
      </rPr>
      <t xml:space="preserve"> m</t>
    </r>
    <r>
      <rPr>
        <b/>
        <vertAlign val="subscript"/>
        <sz val="10"/>
        <color indexed="10"/>
        <rFont val="Times New Roman"/>
        <family val="1"/>
        <charset val="204"/>
      </rPr>
      <t xml:space="preserve">min  </t>
    </r>
    <r>
      <rPr>
        <b/>
        <sz val="10"/>
        <color indexed="10"/>
        <rFont val="Times New Roman"/>
        <family val="1"/>
        <charset val="204"/>
      </rPr>
      <t xml:space="preserve"> </t>
    </r>
    <r>
      <rPr>
        <sz val="10"/>
        <color indexed="10"/>
        <rFont val="Times New Roman"/>
        <family val="1"/>
        <charset val="204"/>
      </rPr>
      <t xml:space="preserve">         мм</t>
    </r>
  </si>
  <si>
    <t>50.1-55.8</t>
  </si>
  <si>
    <t>Суточная добыча, т/сут</t>
  </si>
  <si>
    <t>55.9-62.0</t>
  </si>
  <si>
    <t>Месячная добыча, т/мес</t>
  </si>
  <si>
    <t>62.1 и более</t>
  </si>
  <si>
    <t>Число звеньев добычных</t>
  </si>
  <si>
    <t>Численность ремонтной бригады   явочная, чел</t>
  </si>
  <si>
    <t>Численность ремонтной бригады списочная, чел</t>
  </si>
  <si>
    <t>Коэф выбросоопасности</t>
  </si>
  <si>
    <t>Общий списочный состав, чел</t>
  </si>
  <si>
    <t>Опасность</t>
  </si>
  <si>
    <t xml:space="preserve">Коэф </t>
  </si>
  <si>
    <t>Расчет численности ремонтных электрослесарей</t>
  </si>
  <si>
    <t xml:space="preserve">Вычисление нормативной численности эл.слесарей </t>
  </si>
  <si>
    <r>
      <t>Тип применяемого скребкового конвейера (</t>
    </r>
    <r>
      <rPr>
        <b/>
        <sz val="12"/>
        <rFont val="Times New Roman"/>
        <family val="1"/>
        <charset val="204"/>
      </rPr>
      <t>1</t>
    </r>
    <r>
      <rPr>
        <sz val="12"/>
        <rFont val="Times New Roman"/>
        <family val="1"/>
        <charset val="204"/>
      </rPr>
      <t xml:space="preserve"> - СП202, СП63, СП68; </t>
    </r>
    <r>
      <rPr>
        <b/>
        <sz val="12"/>
        <rFont val="Times New Roman"/>
        <family val="1"/>
        <charset val="204"/>
      </rPr>
      <t>2</t>
    </r>
    <r>
      <rPr>
        <sz val="12"/>
        <rFont val="Times New Roman"/>
        <family val="1"/>
        <charset val="204"/>
      </rPr>
      <t xml:space="preserve"> - СП202В; </t>
    </r>
    <r>
      <rPr>
        <b/>
        <sz val="12"/>
        <rFont val="Times New Roman"/>
        <family val="1"/>
        <charset val="204"/>
      </rPr>
      <t>3</t>
    </r>
    <r>
      <rPr>
        <sz val="12"/>
        <rFont val="Times New Roman"/>
        <family val="1"/>
        <charset val="204"/>
      </rPr>
      <t xml:space="preserve"> - СП87; </t>
    </r>
    <r>
      <rPr>
        <b/>
        <sz val="12"/>
        <rFont val="Times New Roman"/>
        <family val="1"/>
        <charset val="204"/>
      </rPr>
      <t>4</t>
    </r>
    <r>
      <rPr>
        <sz val="12"/>
        <rFont val="Times New Roman"/>
        <family val="1"/>
        <charset val="204"/>
      </rPr>
      <t xml:space="preserve"> - СП301, СПУ162; </t>
    </r>
    <r>
      <rPr>
        <b/>
        <sz val="12"/>
        <rFont val="Times New Roman"/>
        <family val="1"/>
        <charset val="204"/>
      </rPr>
      <t>5</t>
    </r>
    <r>
      <rPr>
        <sz val="12"/>
        <rFont val="Times New Roman"/>
        <family val="1"/>
        <charset val="204"/>
      </rPr>
      <t xml:space="preserve"> - СПЦ151; </t>
    </r>
    <r>
      <rPr>
        <b/>
        <sz val="12"/>
        <rFont val="Times New Roman"/>
        <family val="1"/>
        <charset val="204"/>
      </rPr>
      <t>6</t>
    </r>
    <r>
      <rPr>
        <sz val="12"/>
        <rFont val="Times New Roman"/>
        <family val="1"/>
        <charset val="204"/>
      </rPr>
      <t xml:space="preserve"> - СУМК75; </t>
    </r>
    <r>
      <rPr>
        <b/>
        <sz val="12"/>
        <rFont val="Times New Roman"/>
        <family val="1"/>
        <charset val="204"/>
      </rPr>
      <t>7</t>
    </r>
    <r>
      <rPr>
        <sz val="12"/>
        <rFont val="Times New Roman"/>
        <family val="1"/>
        <charset val="204"/>
      </rPr>
      <t xml:space="preserve"> - СПМ46; </t>
    </r>
    <r>
      <rPr>
        <b/>
        <sz val="12"/>
        <rFont val="Times New Roman"/>
        <family val="1"/>
        <charset val="204"/>
      </rPr>
      <t>8</t>
    </r>
    <r>
      <rPr>
        <sz val="12"/>
        <rFont val="Times New Roman"/>
        <family val="1"/>
        <charset val="204"/>
      </rPr>
      <t xml:space="preserve"> - 1СР70</t>
    </r>
  </si>
  <si>
    <r>
      <t>Маслостанция (</t>
    </r>
    <r>
      <rPr>
        <b/>
        <sz val="12"/>
        <rFont val="Arial Cyr"/>
        <charset val="204"/>
      </rPr>
      <t xml:space="preserve">1 </t>
    </r>
    <r>
      <rPr>
        <sz val="12"/>
        <rFont val="Arial Cyr"/>
        <charset val="204"/>
      </rPr>
      <t xml:space="preserve">- СНУ5, СНУ5Р, СНУ6; </t>
    </r>
    <r>
      <rPr>
        <b/>
        <sz val="12"/>
        <rFont val="Arial Cyr"/>
        <charset val="204"/>
      </rPr>
      <t>2</t>
    </r>
    <r>
      <rPr>
        <sz val="12"/>
        <rFont val="Arial Cyr"/>
        <charset val="204"/>
      </rPr>
      <t xml:space="preserve"> - СНУ5П, </t>
    </r>
    <r>
      <rPr>
        <b/>
        <sz val="12"/>
        <rFont val="Arial Cyr"/>
        <charset val="204"/>
      </rPr>
      <t>3</t>
    </r>
    <r>
      <rPr>
        <sz val="12"/>
        <rFont val="Arial Cyr"/>
        <charset val="204"/>
      </rPr>
      <t xml:space="preserve"> - СНТ</t>
    </r>
  </si>
  <si>
    <r>
      <t xml:space="preserve">Скорость струга  </t>
    </r>
    <r>
      <rPr>
        <b/>
        <sz val="11"/>
        <rFont val="Arial Cyr"/>
        <family val="2"/>
        <charset val="204"/>
      </rPr>
      <t>v</t>
    </r>
    <r>
      <rPr>
        <b/>
        <vertAlign val="subscript"/>
        <sz val="11"/>
        <rFont val="Arial Cyr"/>
        <family val="2"/>
        <charset val="204"/>
      </rPr>
      <t>c</t>
    </r>
    <r>
      <rPr>
        <sz val="11"/>
        <rFont val="Arial Cyr"/>
        <family val="2"/>
        <charset val="204"/>
      </rPr>
      <t xml:space="preserve">  и скорость конвейерной цепи</t>
    </r>
    <r>
      <rPr>
        <b/>
        <sz val="11"/>
        <rFont val="Arial Cyr"/>
        <family val="2"/>
        <charset val="204"/>
      </rPr>
      <t xml:space="preserve"> v</t>
    </r>
    <r>
      <rPr>
        <b/>
        <vertAlign val="subscript"/>
        <sz val="11"/>
        <rFont val="Arial Cyr"/>
        <family val="2"/>
        <charset val="204"/>
      </rPr>
      <t>к</t>
    </r>
    <r>
      <rPr>
        <sz val="11"/>
        <rFont val="Arial Cyr"/>
        <family val="2"/>
        <charset val="204"/>
      </rPr>
      <t xml:space="preserve"> при различных рабочих режимах</t>
    </r>
  </si>
  <si>
    <t>Комбинированная обратный ход, движение воздуха по лаве от транспортной выработки к вентиляционной и далее на массив. Вентиляционная выработка проведена заранее через целик более  Lоп, за лавой погашается. Транспортная выработка проведена заранее, за лавой не погашается.  Угольный поток направлен к фланговой транспортной выработке.</t>
  </si>
  <si>
    <r>
      <t xml:space="preserve">Опускание кровли в сечении   3-3               </t>
    </r>
    <r>
      <rPr>
        <b/>
        <sz val="10"/>
        <color indexed="10"/>
        <rFont val="Times New Roman"/>
        <family val="1"/>
        <charset val="204"/>
      </rPr>
      <t xml:space="preserve"> h</t>
    </r>
    <r>
      <rPr>
        <b/>
        <vertAlign val="subscript"/>
        <sz val="10"/>
        <color indexed="10"/>
        <rFont val="Times New Roman"/>
        <family val="1"/>
        <charset val="204"/>
      </rPr>
      <t>3</t>
    </r>
    <r>
      <rPr>
        <sz val="10"/>
        <color indexed="10"/>
        <rFont val="Times New Roman"/>
        <family val="1"/>
        <charset val="204"/>
      </rPr>
      <t>, мм</t>
    </r>
  </si>
  <si>
    <t>Длина поддерживающей части максимальная, мм</t>
  </si>
  <si>
    <t>число полос в смену</t>
  </si>
  <si>
    <t>Длит концев опер на смену, мин</t>
  </si>
  <si>
    <t>Время на перегон комбайна, мин</t>
  </si>
  <si>
    <t>Потери времени в смену, мин</t>
  </si>
  <si>
    <t>Путь комбайна за смену, м</t>
  </si>
  <si>
    <t>Чистое время рабрты, мин/смену</t>
  </si>
  <si>
    <t>Средняя рабочая скорость м/мин</t>
  </si>
  <si>
    <t>Коэф маш времени  сменный</t>
  </si>
  <si>
    <t xml:space="preserve"> группа рабочих скоростей</t>
  </si>
  <si>
    <t xml:space="preserve">Если участковый транспорт конвейерный, введите в закрашенные ячейки данные о ленточных конвейерах </t>
  </si>
  <si>
    <t>в транспортной  выработке  выемочного участка (до 5 штук) ")</t>
  </si>
  <si>
    <r>
      <t xml:space="preserve">                                          А</t>
    </r>
    <r>
      <rPr>
        <b/>
        <vertAlign val="subscript"/>
        <sz val="14"/>
        <rFont val="Times New Roman Cyr"/>
        <charset val="204"/>
      </rPr>
      <t>сут</t>
    </r>
    <r>
      <rPr>
        <b/>
        <sz val="14"/>
        <rFont val="Times New Roman Cyr"/>
        <charset val="204"/>
      </rPr>
      <t xml:space="preserve"> = А</t>
    </r>
    <r>
      <rPr>
        <b/>
        <vertAlign val="subscript"/>
        <sz val="14"/>
        <rFont val="Times New Roman Cyr"/>
        <charset val="204"/>
      </rPr>
      <t>см</t>
    </r>
    <r>
      <rPr>
        <b/>
        <sz val="14"/>
        <rFont val="Times New Roman Cyr"/>
        <charset val="204"/>
      </rPr>
      <t>*n</t>
    </r>
    <r>
      <rPr>
        <b/>
        <vertAlign val="subscript"/>
        <sz val="14"/>
        <rFont val="Times New Roman Cyr"/>
        <charset val="204"/>
      </rPr>
      <t>см</t>
    </r>
    <r>
      <rPr>
        <b/>
        <sz val="14"/>
        <rFont val="Times New Roman Cyr"/>
        <charset val="204"/>
      </rPr>
      <t>*k</t>
    </r>
    <r>
      <rPr>
        <b/>
        <vertAlign val="subscript"/>
        <sz val="14"/>
        <rFont val="Times New Roman Cyr"/>
        <charset val="204"/>
      </rPr>
      <t>гн</t>
    </r>
  </si>
  <si>
    <r>
      <t xml:space="preserve">где  </t>
    </r>
    <r>
      <rPr>
        <b/>
        <sz val="14"/>
        <rFont val="Times New Roman Cyr"/>
        <charset val="204"/>
      </rPr>
      <t>А</t>
    </r>
    <r>
      <rPr>
        <b/>
        <vertAlign val="subscript"/>
        <sz val="14"/>
        <rFont val="Times New Roman Cyr"/>
        <charset val="204"/>
      </rPr>
      <t>см</t>
    </r>
    <r>
      <rPr>
        <sz val="12"/>
        <rFont val="Times New Roman Cyr"/>
        <charset val="204"/>
      </rPr>
      <t xml:space="preserve">  -  среднесменная нагрузка на забой, т/смена</t>
    </r>
  </si>
  <si>
    <r>
      <t xml:space="preserve">       </t>
    </r>
    <r>
      <rPr>
        <b/>
        <sz val="14"/>
        <rFont val="Times New Roman Cyr"/>
        <charset val="204"/>
      </rPr>
      <t xml:space="preserve"> n</t>
    </r>
    <r>
      <rPr>
        <b/>
        <vertAlign val="subscript"/>
        <sz val="14"/>
        <rFont val="Times New Roman Cyr"/>
        <charset val="204"/>
      </rPr>
      <t>см</t>
    </r>
    <r>
      <rPr>
        <b/>
        <sz val="14"/>
        <rFont val="Times New Roman Cyr"/>
        <charset val="204"/>
      </rPr>
      <t xml:space="preserve"> </t>
    </r>
    <r>
      <rPr>
        <sz val="12"/>
        <rFont val="Times New Roman Cyr"/>
        <charset val="204"/>
      </rPr>
      <t xml:space="preserve"> -  число рабочих смен по добыче в сутки</t>
    </r>
  </si>
  <si>
    <t>Вспомогательная таблица</t>
  </si>
  <si>
    <t>Поправочный коэффициент к норме выработки</t>
  </si>
  <si>
    <t>Табличная норма обслуживания</t>
  </si>
  <si>
    <t>Добыча за цикл</t>
  </si>
  <si>
    <t>Суточная добыча</t>
  </si>
  <si>
    <t>Число смен рабочих</t>
  </si>
  <si>
    <t>Сменная добыча  лавы</t>
  </si>
  <si>
    <t>Счисло циклов в смену</t>
  </si>
  <si>
    <r>
      <t xml:space="preserve">    </t>
    </r>
    <r>
      <rPr>
        <b/>
        <i/>
        <sz val="12"/>
        <rFont val="Times New Roman"/>
        <family val="1"/>
        <charset val="204"/>
      </rPr>
      <t>При проектировании важно знать, сколько лав должны работать на каждом пласте.</t>
    </r>
  </si>
  <si>
    <t xml:space="preserve">Вы детально определили нагрузку на лаву по одному пласту. В данном проекте нагрузки по другим пластам </t>
  </si>
  <si>
    <t>Какое же решение принято Вами? 1 - одновременная разработка всех пластов, 2 - деление пластов на группы</t>
  </si>
  <si>
    <t>детально рассматривается только та группа, в которую входит заданный пласт!</t>
  </si>
  <si>
    <t xml:space="preserve">   Переходите к строке</t>
  </si>
  <si>
    <r>
      <t>Количество резервно-действующих лав зависит от условий работы лавы. Согласно ПТЭ (</t>
    </r>
    <r>
      <rPr>
        <sz val="12"/>
        <rFont val="Arial"/>
        <family val="2"/>
        <charset val="204"/>
      </rPr>
      <t>§</t>
    </r>
    <r>
      <rPr>
        <sz val="12"/>
        <rFont val="Times New Roman"/>
        <family val="1"/>
        <charset val="204"/>
      </rPr>
      <t xml:space="preserve">76)  при </t>
    </r>
  </si>
  <si>
    <r>
      <t xml:space="preserve">Коэффициент резерва лав по пласту </t>
    </r>
    <r>
      <rPr>
        <b/>
        <sz val="12"/>
        <color indexed="10"/>
        <rFont val="Times New Roman"/>
        <family val="1"/>
        <charset val="204"/>
      </rPr>
      <t>k</t>
    </r>
    <r>
      <rPr>
        <b/>
        <vertAlign val="subscript"/>
        <sz val="12"/>
        <color indexed="10"/>
        <rFont val="Times New Roman"/>
        <family val="1"/>
        <charset val="204"/>
      </rPr>
      <t>р</t>
    </r>
  </si>
  <si>
    <r>
      <t xml:space="preserve">                  k</t>
    </r>
    <r>
      <rPr>
        <b/>
        <vertAlign val="subscript"/>
        <sz val="14"/>
        <rFont val="Arial Cyr"/>
        <charset val="204"/>
      </rPr>
      <t>p</t>
    </r>
    <r>
      <rPr>
        <b/>
        <vertAlign val="superscript"/>
        <sz val="14"/>
        <rFont val="Arial Cyr"/>
        <charset val="204"/>
      </rPr>
      <t xml:space="preserve">cp </t>
    </r>
    <r>
      <rPr>
        <b/>
        <sz val="14"/>
        <rFont val="Arial Cyr"/>
        <charset val="204"/>
      </rPr>
      <t>= ∑m</t>
    </r>
    <r>
      <rPr>
        <b/>
        <vertAlign val="subscript"/>
        <sz val="14"/>
        <rFont val="Arial Cyr"/>
        <charset val="204"/>
      </rPr>
      <t>ср</t>
    </r>
    <r>
      <rPr>
        <b/>
        <vertAlign val="superscript"/>
        <sz val="14"/>
        <rFont val="Arial Cyr"/>
        <charset val="204"/>
      </rPr>
      <t>i</t>
    </r>
    <r>
      <rPr>
        <b/>
        <sz val="14"/>
        <rFont val="Arial Cyr"/>
        <charset val="204"/>
      </rPr>
      <t>*k</t>
    </r>
    <r>
      <rPr>
        <b/>
        <vertAlign val="subscript"/>
        <sz val="14"/>
        <rFont val="Arial Cyr"/>
        <charset val="204"/>
      </rPr>
      <t>p</t>
    </r>
    <r>
      <rPr>
        <b/>
        <vertAlign val="superscript"/>
        <sz val="14"/>
        <rFont val="Arial Cyr"/>
        <charset val="204"/>
      </rPr>
      <t>i</t>
    </r>
    <r>
      <rPr>
        <b/>
        <sz val="14"/>
        <rFont val="Arial Cyr"/>
        <charset val="204"/>
      </rPr>
      <t>/∑m</t>
    </r>
    <r>
      <rPr>
        <b/>
        <vertAlign val="subscript"/>
        <sz val="14"/>
        <rFont val="Arial Cyr"/>
        <charset val="204"/>
      </rPr>
      <t>ср</t>
    </r>
    <r>
      <rPr>
        <b/>
        <vertAlign val="superscript"/>
        <sz val="14"/>
        <rFont val="Arial Cyr"/>
        <charset val="204"/>
      </rPr>
      <t>i</t>
    </r>
  </si>
  <si>
    <r>
      <t xml:space="preserve">где </t>
    </r>
    <r>
      <rPr>
        <b/>
        <sz val="12"/>
        <rFont val="Times New Roman"/>
        <family val="1"/>
        <charset val="204"/>
      </rPr>
      <t>m</t>
    </r>
    <r>
      <rPr>
        <b/>
        <vertAlign val="subscript"/>
        <sz val="12"/>
        <rFont val="Times New Roman"/>
        <family val="1"/>
        <charset val="204"/>
      </rPr>
      <t>ср</t>
    </r>
    <r>
      <rPr>
        <b/>
        <vertAlign val="superscript"/>
        <sz val="12"/>
        <rFont val="Times New Roman"/>
        <family val="1"/>
        <charset val="204"/>
      </rPr>
      <t>i</t>
    </r>
    <r>
      <rPr>
        <vertAlign val="superscript"/>
        <sz val="12"/>
        <rFont val="Times New Roman"/>
        <family val="1"/>
        <charset val="204"/>
      </rPr>
      <t xml:space="preserve"> </t>
    </r>
    <r>
      <rPr>
        <sz val="12"/>
        <rFont val="Times New Roman"/>
        <family val="1"/>
        <charset val="204"/>
      </rPr>
      <t xml:space="preserve"> и</t>
    </r>
    <r>
      <rPr>
        <b/>
        <sz val="12"/>
        <rFont val="Times New Roman"/>
        <family val="1"/>
        <charset val="204"/>
      </rPr>
      <t xml:space="preserve"> k</t>
    </r>
    <r>
      <rPr>
        <b/>
        <vertAlign val="subscript"/>
        <sz val="12"/>
        <rFont val="Times New Roman"/>
        <family val="1"/>
        <charset val="204"/>
      </rPr>
      <t>p</t>
    </r>
    <r>
      <rPr>
        <b/>
        <vertAlign val="superscript"/>
        <sz val="12"/>
        <rFont val="Times New Roman"/>
        <family val="1"/>
        <charset val="204"/>
      </rPr>
      <t>i</t>
    </r>
    <r>
      <rPr>
        <sz val="12"/>
        <rFont val="Times New Roman"/>
        <family val="1"/>
        <charset val="204"/>
      </rPr>
      <t xml:space="preserve">  -  средние мощность и коєффициент резерва лав по каждому пласту</t>
    </r>
  </si>
  <si>
    <t>выполнены  при длине лавы в диапазоне от 100 м до 300 м .</t>
  </si>
  <si>
    <t xml:space="preserve">   Возможная, исходя из производительности оборудования, нагрузка на лаву проверяется по </t>
  </si>
  <si>
    <t>возможностям проветривания лавы при этой нагрузке.</t>
  </si>
  <si>
    <r>
      <t xml:space="preserve">минимальное расстояние от забоя до верхняка </t>
    </r>
    <r>
      <rPr>
        <sz val="10"/>
        <color indexed="12"/>
        <rFont val="Arial Cyr"/>
        <charset val="204"/>
      </rPr>
      <t>инд крепи</t>
    </r>
    <r>
      <rPr>
        <sz val="10"/>
        <rFont val="Arial Cyr"/>
        <charset val="204"/>
      </rPr>
      <t xml:space="preserve">, м  </t>
    </r>
    <r>
      <rPr>
        <sz val="12"/>
        <rFont val="Arial Cyr"/>
        <charset val="204"/>
      </rPr>
      <t>а</t>
    </r>
    <r>
      <rPr>
        <vertAlign val="subscript"/>
        <sz val="10"/>
        <rFont val="Arial Cyr"/>
        <charset val="204"/>
      </rPr>
      <t>п</t>
    </r>
  </si>
  <si>
    <r>
      <t xml:space="preserve">Принятая в расчетах величина </t>
    </r>
    <r>
      <rPr>
        <b/>
        <sz val="12"/>
        <color indexed="10"/>
        <rFont val="Times New Roman Cyr"/>
        <family val="1"/>
        <charset val="204"/>
      </rPr>
      <t>а</t>
    </r>
    <r>
      <rPr>
        <b/>
        <vertAlign val="subscript"/>
        <sz val="11"/>
        <color indexed="10"/>
        <rFont val="Times New Roman Cyr"/>
        <family val="1"/>
        <charset val="204"/>
      </rPr>
      <t>п</t>
    </r>
  </si>
  <si>
    <r>
      <t xml:space="preserve">шаг подвигания забоя, после которого повторяется передвижка </t>
    </r>
    <r>
      <rPr>
        <sz val="10"/>
        <color indexed="12"/>
        <rFont val="Arial Cyr"/>
        <charset val="204"/>
      </rPr>
      <t>механизированной</t>
    </r>
    <r>
      <rPr>
        <sz val="10"/>
        <rFont val="Arial Cyr"/>
        <charset val="204"/>
      </rPr>
      <t xml:space="preserve"> крепи, м </t>
    </r>
    <r>
      <rPr>
        <sz val="12"/>
        <rFont val="Arial Cyr"/>
        <charset val="204"/>
      </rPr>
      <t>l</t>
    </r>
    <r>
      <rPr>
        <vertAlign val="subscript"/>
        <sz val="12"/>
        <rFont val="Arial Cyr"/>
        <charset val="204"/>
      </rPr>
      <t>шз</t>
    </r>
  </si>
  <si>
    <r>
      <t xml:space="preserve">шаг подвигания забоя, после которого повторяется установка </t>
    </r>
    <r>
      <rPr>
        <sz val="10"/>
        <color indexed="12"/>
        <rFont val="Arial Cyr"/>
        <charset val="204"/>
      </rPr>
      <t>индивидуальной</t>
    </r>
    <r>
      <rPr>
        <sz val="10"/>
        <rFont val="Arial Cyr"/>
        <charset val="204"/>
      </rPr>
      <t xml:space="preserve"> крепи, м </t>
    </r>
    <r>
      <rPr>
        <sz val="12"/>
        <rFont val="Arial Cyr"/>
        <charset val="204"/>
      </rPr>
      <t>l</t>
    </r>
    <r>
      <rPr>
        <vertAlign val="subscript"/>
        <sz val="12"/>
        <rFont val="Arial Cyr"/>
        <charset val="204"/>
      </rPr>
      <t>шз</t>
    </r>
  </si>
  <si>
    <r>
      <t>Определение величины Т</t>
    </r>
    <r>
      <rPr>
        <b/>
        <i/>
        <vertAlign val="subscript"/>
        <sz val="10"/>
        <rFont val="Arial Cyr"/>
        <charset val="204"/>
      </rPr>
      <t>тп</t>
    </r>
    <r>
      <rPr>
        <b/>
        <i/>
        <vertAlign val="superscript"/>
        <sz val="10"/>
        <rFont val="Arial Cyr"/>
        <charset val="204"/>
      </rPr>
      <t xml:space="preserve">11 </t>
    </r>
    <r>
      <rPr>
        <b/>
        <i/>
        <sz val="10"/>
        <rFont val="Arial Cyr"/>
        <charset val="204"/>
      </rPr>
      <t>= 1/v</t>
    </r>
    <r>
      <rPr>
        <b/>
        <i/>
        <vertAlign val="subscript"/>
        <sz val="10"/>
        <rFont val="Arial Cyr"/>
        <charset val="204"/>
      </rPr>
      <t>крф</t>
    </r>
    <r>
      <rPr>
        <b/>
        <i/>
        <vertAlign val="superscript"/>
        <sz val="10"/>
        <rFont val="Arial Cyr"/>
        <charset val="204"/>
      </rPr>
      <t xml:space="preserve">  </t>
    </r>
    <r>
      <rPr>
        <b/>
        <i/>
        <sz val="10"/>
        <rFont val="Arial Cyr"/>
        <charset val="204"/>
      </rPr>
      <t xml:space="preserve">,мин/м  </t>
    </r>
  </si>
  <si>
    <t>Принятая норма выработки, т/цикл</t>
  </si>
  <si>
    <t>Принятая трудоемкость</t>
  </si>
  <si>
    <t>Выемка угля в нише при помощи БВР</t>
  </si>
  <si>
    <t>Плотность расположения шпуров (1,8-2,4), шпур/м2</t>
  </si>
  <si>
    <t>Объем работ на цикл,м шпура</t>
  </si>
  <si>
    <t>Номер строки в табл.60</t>
  </si>
  <si>
    <t>Номер столбца в табл.60</t>
  </si>
  <si>
    <t>Категория угля по буримости IV</t>
  </si>
  <si>
    <t>Коэффициент готовности работ по креплению лавы</t>
  </si>
  <si>
    <t>Применяется ли в этом варианте системы разработки повторное использование участковой выработки?  Нет - 1,   Да - 2</t>
  </si>
  <si>
    <t xml:space="preserve">  Полное название принятого варианта системы разработки</t>
  </si>
  <si>
    <t>Комбинированная прямой ход, проветривание от фланговой выработки по вентиляционной выработке  к транспортной и далее на массив. Вентиляционная выработка проведена ранее через целик менее  Lоп , за лавой не погашается. Транспортная выработка проведена ранее и не погашается. Участки выработок  впереди лавы проветриваются через фланговые выработки.</t>
  </si>
  <si>
    <t>Комбинированная прямой ход, проветривание от фланговой выработки по вентиляционной выработке  к транспортной и далее на массив. Вентиляционная выработка проведена вприсечку к выработанному пространству, за лавой не погашается. Транспортная выработка проведена ранее и не погашается. Участки выработок  впереди лавы проветриваются через фланговые выработки.</t>
  </si>
  <si>
    <r>
      <t>Технологический перерыв, связанный с посадкой кровли, Ттп</t>
    </r>
    <r>
      <rPr>
        <b/>
        <vertAlign val="superscript"/>
        <sz val="10"/>
        <color indexed="10"/>
        <rFont val="Arial Unicode MS"/>
        <family val="2"/>
        <charset val="204"/>
      </rPr>
      <t xml:space="preserve">111 </t>
    </r>
    <r>
      <rPr>
        <b/>
        <sz val="10"/>
        <color indexed="10"/>
        <rFont val="Arial Unicode MS"/>
        <family val="2"/>
        <charset val="204"/>
      </rPr>
      <t xml:space="preserve"> м/мин</t>
    </r>
  </si>
  <si>
    <t>Длина верхняка индивидуальной крепи при креплении в месте охраны выработки, м</t>
  </si>
  <si>
    <t>Плотность угля, м3/т</t>
  </si>
  <si>
    <t>Категория пород кровли А по обрушаемости (по ДонУГИ) 1-А1, 2-А2, 3-А3, 4-А4,А5</t>
  </si>
  <si>
    <t>Категория пород кровли Б по устойчивости нижнего слоя (по ДонУГИ) 1-Б1, 2-Б2, 3-Б3, 4-Б4, 5-Б5</t>
  </si>
  <si>
    <t>Выбрасоопасность платса (1-не опасен; 2-работа с дистанционным управлением, 3-пласт выбрасоопасен, 4-работа в особовыбрасоопасной зоне)</t>
  </si>
  <si>
    <t>Глубина работ</t>
  </si>
  <si>
    <t>Категория сопротивляемости угля разрушению стругом</t>
  </si>
  <si>
    <t>Мощность обрушающейся ложной кровли</t>
  </si>
  <si>
    <t>Центральная часть лавы</t>
  </si>
  <si>
    <t>Расстояние до середины прохода для рабочих  R2, мм</t>
  </si>
  <si>
    <t>Масса секции, т</t>
  </si>
  <si>
    <r>
      <t xml:space="preserve">Высота корпуса комбайна в зоне работы  </t>
    </r>
    <r>
      <rPr>
        <b/>
        <sz val="10"/>
        <rFont val="Times New Roman"/>
        <family val="1"/>
        <charset val="204"/>
      </rPr>
      <t>Нк</t>
    </r>
    <r>
      <rPr>
        <sz val="10"/>
        <rFont val="Times New Roman"/>
        <family val="1"/>
        <charset val="204"/>
      </rPr>
      <t>, мм</t>
    </r>
  </si>
  <si>
    <t>Расположение исполнительных  органов: одностороннее - 1, двустороннее - 2</t>
  </si>
  <si>
    <t>Обратно к выбору размеров ниш</t>
  </si>
  <si>
    <t>Подготовка пласта это: 1 - приобретение оборудования и материалов для разработки пласта, 2 - этап разработки пласта,  3 - деление шахтного поля на части, удобные для разработки</t>
  </si>
  <si>
    <t xml:space="preserve">  Толщина стружки, при которой обеспечивается устойчивая работа установки, в общем виде</t>
  </si>
  <si>
    <t>определяется из выражения</t>
  </si>
  <si>
    <t>Проектный коэффициент готовности мехкрепи (по ИГД Скочинского)</t>
  </si>
  <si>
    <t>Запасы одной условной полосы, т</t>
  </si>
  <si>
    <t>Затраты на перевозку при четном числе полос</t>
  </si>
  <si>
    <t xml:space="preserve">Транспорт по квершлагу </t>
  </si>
  <si>
    <t>Транспорт по магистральным горизонтальным выработкам  (вспомогательный транспорт)</t>
  </si>
  <si>
    <t>Общие затраты на вспомогательный транспорт</t>
  </si>
  <si>
    <t>5.1.1</t>
  </si>
  <si>
    <t>5.1.2</t>
  </si>
  <si>
    <t>5.1.3</t>
  </si>
  <si>
    <t>5.1.4</t>
  </si>
  <si>
    <t>5.2.1</t>
  </si>
  <si>
    <t>5.2.2</t>
  </si>
  <si>
    <t>5.2.3</t>
  </si>
  <si>
    <t>5.2.4</t>
  </si>
  <si>
    <t>5.3.1</t>
  </si>
  <si>
    <t>5.3.2</t>
  </si>
  <si>
    <t>5.3.3</t>
  </si>
  <si>
    <t>5.3.4</t>
  </si>
  <si>
    <t>5.4.1</t>
  </si>
  <si>
    <t>5.4.2</t>
  </si>
  <si>
    <t>5.4.3</t>
  </si>
  <si>
    <t>5.4.4</t>
  </si>
  <si>
    <t>6.1.1</t>
  </si>
  <si>
    <t>6.1.2</t>
  </si>
  <si>
    <t>6.1.3</t>
  </si>
  <si>
    <t>6.1.4</t>
  </si>
  <si>
    <t>6.2.1</t>
  </si>
  <si>
    <t>6.2.2</t>
  </si>
  <si>
    <t>6.2.3</t>
  </si>
  <si>
    <t>6.2.4</t>
  </si>
  <si>
    <t>6.3.1</t>
  </si>
  <si>
    <t>6.3.2</t>
  </si>
  <si>
    <t>6.3.3</t>
  </si>
  <si>
    <t>6.3.4</t>
  </si>
  <si>
    <t>6.4.1</t>
  </si>
  <si>
    <t>6.4.2</t>
  </si>
  <si>
    <t>6.4.3</t>
  </si>
  <si>
    <t>6.4.4</t>
  </si>
  <si>
    <t>7.5.1</t>
  </si>
  <si>
    <t>7.5.2</t>
  </si>
  <si>
    <t>7.5.3</t>
  </si>
  <si>
    <t>7.5.4</t>
  </si>
  <si>
    <t>7.6.1</t>
  </si>
  <si>
    <t>7.6.2</t>
  </si>
  <si>
    <t>7.6.3</t>
  </si>
  <si>
    <t>7.6.4</t>
  </si>
  <si>
    <t>7.7.1</t>
  </si>
  <si>
    <t>7.7.2</t>
  </si>
  <si>
    <t>7.7.3</t>
  </si>
  <si>
    <t>7.7.4</t>
  </si>
  <si>
    <t>7.8.1</t>
  </si>
  <si>
    <t>7.8.2</t>
  </si>
  <si>
    <t>7.8.3</t>
  </si>
  <si>
    <t>7.8.4</t>
  </si>
  <si>
    <t>8.5.1</t>
  </si>
  <si>
    <t>8.5.2</t>
  </si>
  <si>
    <t>8.5.3</t>
  </si>
  <si>
    <t>8.5.4</t>
  </si>
  <si>
    <t>8.6.1</t>
  </si>
  <si>
    <t>8.6.2</t>
  </si>
  <si>
    <t>8.6.3</t>
  </si>
  <si>
    <t>8.6.4</t>
  </si>
  <si>
    <t>8.7.1</t>
  </si>
  <si>
    <t>8.7.2</t>
  </si>
  <si>
    <t>8.7.3</t>
  </si>
  <si>
    <t>8.7.4</t>
  </si>
  <si>
    <t>8.8.1</t>
  </si>
  <si>
    <t xml:space="preserve">  Принятый Вами вариант системы разработки</t>
  </si>
  <si>
    <t>Крепь транспортной выработки - арка АП-5  с податливостью, мм</t>
  </si>
  <si>
    <t>Крепь вентиляционной  выработки - арка АП-5  с податливостью, мм</t>
  </si>
  <si>
    <t>Способ охраны участковой вентиляционной выработки</t>
  </si>
  <si>
    <t xml:space="preserve">                Необходимые для вычерчивания технологической схемы данные приведены  ниже</t>
  </si>
  <si>
    <t xml:space="preserve">В вашем случае угол падения пластов, градус </t>
  </si>
  <si>
    <t xml:space="preserve">Длина квершлага между крайними пластами, м  </t>
  </si>
  <si>
    <t>Комбинированная обратный ход,  движение воздуха по лаве от транспортной выработки к вентиляционной и далее на выработанное пространство. Вентиляционная выработка - повторно используемая транспортная, По По вентиляционной выработке Подсвежающая струя. Транспортная выработка проведена заранее, за лавой не погашается, участок ее за лавой проветривается на фланговую выработку.</t>
  </si>
  <si>
    <t>Принятая в проекте нагрузка на комплексно механизированную струговую лаву, т/сутки</t>
  </si>
  <si>
    <t xml:space="preserve">Комбинированная обратный ход,  движение воздуха по лаве от транспортной выработки к вентиляционной и далее на массив. Вентиляционная выработка - повторно используемая транспортная выработка, за лавой погашается. Транспортная выработка  проведена заранее, за лавой не погашается. Участок выработки впереди лавы проветривается от фланговой выработки. Угольный поток направлен от лавы на транспортную фланговую выработку. </t>
  </si>
  <si>
    <t>Пособие позволяет решить следующие задачи:</t>
  </si>
  <si>
    <t>Какой фактор в принятом диапазоне длин лавы является ограничивающим? 1 - производительность оборудования лавы, 2 - проветривание лавы</t>
  </si>
  <si>
    <t>Фактором, ограничивающим нагрузку на лаву в данных условиях является</t>
  </si>
  <si>
    <t>Поскольку лава комбайновая, необходимо принять такую ее длину, чтобы за сутки выполнялось целое число выемочных циклов</t>
  </si>
  <si>
    <t>Транспорт по уклону - конвейер</t>
  </si>
  <si>
    <t>Транспорт по ходкам - канатная откатка</t>
  </si>
  <si>
    <t>Общие затраты при двух лавах в панели, G (без учета фланговых выработок)</t>
  </si>
  <si>
    <t>Общие затраты при одной лаве в панели, G</t>
  </si>
  <si>
    <t>Транспорт по фланговым ходкам</t>
  </si>
  <si>
    <t xml:space="preserve">g1 ср   </t>
  </si>
  <si>
    <t>g2 cp</t>
  </si>
  <si>
    <t xml:space="preserve">g1 </t>
  </si>
  <si>
    <t xml:space="preserve">g2 </t>
  </si>
  <si>
    <t>Среднее количество фланговых выработок на одну панель</t>
  </si>
  <si>
    <t>Транспорт по магистральным горизонтальным выработкам   - магистральный штрек и квершлаг к стволу   (конвейерный транспорт)</t>
  </si>
  <si>
    <t>Суточная нагрузка на пласт, т</t>
  </si>
  <si>
    <t xml:space="preserve">Исходя из условия, что минимальная высота стойки должна быть меньше минимальной рассчитаной величины, </t>
  </si>
  <si>
    <t xml:space="preserve"> </t>
  </si>
  <si>
    <r>
      <t xml:space="preserve">Принятая в расчетах удельная длительность всех перерывов  </t>
    </r>
    <r>
      <rPr>
        <sz val="14"/>
        <rFont val="Arial Cyr"/>
        <charset val="204"/>
      </rPr>
      <t>Т</t>
    </r>
    <r>
      <rPr>
        <vertAlign val="subscript"/>
        <sz val="14"/>
        <rFont val="Arial Cyr"/>
        <charset val="204"/>
      </rPr>
      <t>тп</t>
    </r>
    <r>
      <rPr>
        <vertAlign val="superscript"/>
        <sz val="14"/>
        <rFont val="Arial Cyr"/>
        <charset val="204"/>
      </rPr>
      <t xml:space="preserve">1  </t>
    </r>
    <r>
      <rPr>
        <vertAlign val="superscript"/>
        <sz val="10"/>
        <rFont val="Arial Cyr"/>
        <charset val="204"/>
      </rPr>
      <t xml:space="preserve"> </t>
    </r>
    <r>
      <rPr>
        <sz val="10"/>
        <rFont val="Arial Cyr"/>
        <charset val="204"/>
      </rPr>
      <t xml:space="preserve">минуты  (таб. 24  среднее значение)  </t>
    </r>
  </si>
  <si>
    <r>
      <t xml:space="preserve">минимальное расстояние от забоя до перекрытия </t>
    </r>
    <r>
      <rPr>
        <sz val="10"/>
        <color indexed="12"/>
        <rFont val="Arial Cyr"/>
        <charset val="204"/>
      </rPr>
      <t>секции</t>
    </r>
    <r>
      <rPr>
        <sz val="10"/>
        <rFont val="Arial Cyr"/>
        <charset val="204"/>
      </rPr>
      <t xml:space="preserve">, м  </t>
    </r>
    <r>
      <rPr>
        <sz val="12"/>
        <rFont val="Arial Cyr"/>
        <charset val="204"/>
      </rPr>
      <t>а</t>
    </r>
    <r>
      <rPr>
        <vertAlign val="subscript"/>
        <sz val="10"/>
        <rFont val="Arial Cyr"/>
        <charset val="204"/>
      </rPr>
      <t>п</t>
    </r>
  </si>
  <si>
    <t xml:space="preserve">          Переходите к выбору параметров технологии</t>
  </si>
  <si>
    <t>На конце лавы есть механизированная крепь?  (Нет - 1, 0 - Да)</t>
  </si>
  <si>
    <t>Пройдена вприсечку к выработанному пространству?  (Да - 1, 0 - Нет)</t>
  </si>
  <si>
    <t>Наличие твердых включений</t>
  </si>
  <si>
    <t>Коэффициент наличия взрывных работ</t>
  </si>
  <si>
    <t>Коэффициент наличия твердых включений</t>
  </si>
  <si>
    <t xml:space="preserve">Добыча лавы за цикл </t>
  </si>
  <si>
    <t>Добыча лавы за цикл  в машинной части лавы</t>
  </si>
  <si>
    <t>Обводн</t>
  </si>
  <si>
    <t>РАБОТЫ В ЦЕНТРАЛЬНОЙ ЧАСТИ ЛАВЫ</t>
  </si>
  <si>
    <r>
      <t xml:space="preserve">где </t>
    </r>
    <r>
      <rPr>
        <b/>
        <i/>
        <sz val="14"/>
        <rFont val="Arial Cyr"/>
        <charset val="204"/>
      </rPr>
      <t>c</t>
    </r>
    <r>
      <rPr>
        <i/>
        <sz val="12"/>
        <rFont val="Arial Cyr"/>
        <charset val="204"/>
      </rPr>
      <t xml:space="preserve"> и</t>
    </r>
    <r>
      <rPr>
        <b/>
        <i/>
        <sz val="14"/>
        <rFont val="Arial Cyr"/>
        <charset val="204"/>
      </rPr>
      <t xml:space="preserve"> d</t>
    </r>
    <r>
      <rPr>
        <i/>
        <sz val="12"/>
        <rFont val="Arial Cyr"/>
        <charset val="204"/>
      </rPr>
      <t xml:space="preserve">  минимальное и максимальное удаление крепи от забоя лавы, м. </t>
    </r>
  </si>
  <si>
    <r>
      <t xml:space="preserve">Величину </t>
    </r>
    <r>
      <rPr>
        <b/>
        <i/>
        <sz val="14"/>
        <rFont val="Arial Cyr"/>
        <charset val="204"/>
      </rPr>
      <t>c</t>
    </r>
    <r>
      <rPr>
        <i/>
        <sz val="12"/>
        <rFont val="Arial Cyr"/>
        <charset val="204"/>
      </rPr>
      <t xml:space="preserve"> желательно принимать равной 3,5 м, величину </t>
    </r>
    <r>
      <rPr>
        <b/>
        <i/>
        <sz val="14"/>
        <rFont val="Arial Cyr"/>
        <charset val="204"/>
      </rPr>
      <t>d</t>
    </r>
    <r>
      <rPr>
        <i/>
        <sz val="12"/>
        <rFont val="Arial Cyr"/>
        <charset val="204"/>
      </rPr>
      <t>- 4,5 м.</t>
    </r>
  </si>
  <si>
    <t>максимальное расстояние между ними составляет</t>
  </si>
  <si>
    <t>метров</t>
  </si>
  <si>
    <t>между рамками крепи составляет</t>
  </si>
  <si>
    <t>Расчетные коэффициенты к стоимости поддержания наклонных  и магистральных выработок</t>
  </si>
  <si>
    <t>Интегральный  поправочный коэффициент на местные условия для магистральных выработок и наклонных выработок</t>
  </si>
  <si>
    <t>Штрек дренажный</t>
  </si>
  <si>
    <t>Уклон угольный</t>
  </si>
  <si>
    <t>Ходок дренажный</t>
  </si>
  <si>
    <t>Коэффициент влияния сечения выработки и ее податливости</t>
  </si>
  <si>
    <t>другие влияющие факторы</t>
  </si>
  <si>
    <t xml:space="preserve">  1  Целики размером более зоны опорного давления (ходок)</t>
  </si>
  <si>
    <t>2  Целики размером менее  зоны опорного давления (ходок)</t>
  </si>
  <si>
    <t>3  Охрана разгрузочными полосами (ходок)</t>
  </si>
  <si>
    <t>4  Охрана бутовыми полосами (ходок)</t>
  </si>
  <si>
    <t>5  Проведение выработок по выработанному пространству (ходок)</t>
  </si>
  <si>
    <t>6  Проведение выработок под разгрузочной лавой (ходок)</t>
  </si>
  <si>
    <t>Пластовый штрек</t>
  </si>
  <si>
    <t xml:space="preserve">  1  Целики размером более зоны опорного давления (уклон)</t>
  </si>
  <si>
    <t>2  Целики размером менее  зоны опорного давления (уклон)</t>
  </si>
  <si>
    <t>3  Охрана разгрузочными полосами (уклон)</t>
  </si>
  <si>
    <t>4  Охрана бутовыми полосами (уклон)</t>
  </si>
  <si>
    <t>5  Проведение выработок по выработанному пространству (уклон)</t>
  </si>
  <si>
    <t>6  Проведение выработок под разгрузочной лавой (уклон)</t>
  </si>
  <si>
    <t>Вычисление затрат на поддержание магистральных и наклонных выработок при погоризонтной подготовке</t>
  </si>
  <si>
    <r>
      <t xml:space="preserve">10. Копируйте оставшуюся часть таблицы от столбца </t>
    </r>
    <r>
      <rPr>
        <b/>
        <sz val="12"/>
        <rFont val="Arial Cyr"/>
        <charset val="204"/>
      </rPr>
      <t>А</t>
    </r>
    <r>
      <rPr>
        <sz val="10"/>
        <rFont val="Arial Cyr"/>
        <charset val="204"/>
      </rPr>
      <t xml:space="preserve"> до столбца </t>
    </r>
    <r>
      <rPr>
        <b/>
        <sz val="12"/>
        <rFont val="Arial Cyr"/>
        <charset val="204"/>
      </rPr>
      <t xml:space="preserve">О </t>
    </r>
    <r>
      <rPr>
        <sz val="10"/>
        <rFont val="Arial Cyr"/>
        <charset val="204"/>
      </rPr>
      <t>и в режиме "Вставка"  - "Специальная вставка" - "значения"</t>
    </r>
  </si>
  <si>
    <t>11. Таблица в дальнейшем используется в отчете о проведенных вычислениях (копировать в указанном выше режиме) и для окончательного</t>
  </si>
  <si>
    <t>до конца таблицы !!!</t>
  </si>
  <si>
    <r>
      <t>При струговой выемке отбивка верхней пачки угля (</t>
    </r>
    <r>
      <rPr>
        <b/>
        <sz val="12"/>
        <rFont val="Times New Roman"/>
        <family val="1"/>
        <charset val="204"/>
      </rPr>
      <t>1</t>
    </r>
    <r>
      <rPr>
        <sz val="12"/>
        <rFont val="Times New Roman"/>
        <family val="1"/>
        <charset val="204"/>
      </rPr>
      <t xml:space="preserve">-нет, </t>
    </r>
    <r>
      <rPr>
        <b/>
        <sz val="12"/>
        <rFont val="Times New Roman"/>
        <family val="1"/>
        <charset val="204"/>
      </rPr>
      <t>2</t>
    </r>
    <r>
      <rPr>
        <sz val="12"/>
        <rFont val="Times New Roman"/>
        <family val="1"/>
        <charset val="204"/>
      </rPr>
      <t xml:space="preserve">-вручную, </t>
    </r>
    <r>
      <rPr>
        <b/>
        <sz val="12"/>
        <rFont val="Times New Roman"/>
        <family val="1"/>
        <charset val="204"/>
      </rPr>
      <t>3</t>
    </r>
    <r>
      <rPr>
        <sz val="12"/>
        <rFont val="Times New Roman"/>
        <family val="1"/>
        <charset val="204"/>
      </rPr>
      <t xml:space="preserve">-отбойным молотком до 50% длины лавы, </t>
    </r>
    <r>
      <rPr>
        <b/>
        <sz val="12"/>
        <rFont val="Times New Roman"/>
        <family val="1"/>
        <charset val="204"/>
      </rPr>
      <t>4</t>
    </r>
    <r>
      <rPr>
        <sz val="12"/>
        <rFont val="Times New Roman"/>
        <family val="1"/>
        <charset val="204"/>
      </rPr>
      <t>-отбойным молотком по всей длине лавы</t>
    </r>
  </si>
  <si>
    <t>Мощность "земника" по всей длине лавы</t>
  </si>
  <si>
    <r>
      <t>Волнистость гипсометрии почвы пласа (</t>
    </r>
    <r>
      <rPr>
        <b/>
        <sz val="12"/>
        <rFont val="Times New Roman"/>
        <family val="1"/>
        <charset val="204"/>
      </rPr>
      <t>1</t>
    </r>
    <r>
      <rPr>
        <sz val="12"/>
        <rFont val="Times New Roman"/>
        <family val="1"/>
        <charset val="204"/>
      </rPr>
      <t xml:space="preserve">-не вонистая почва, </t>
    </r>
    <r>
      <rPr>
        <b/>
        <sz val="12"/>
        <rFont val="Times New Roman"/>
        <family val="1"/>
        <charset val="204"/>
      </rPr>
      <t>2</t>
    </r>
    <r>
      <rPr>
        <sz val="12"/>
        <rFont val="Times New Roman"/>
        <family val="1"/>
        <charset val="204"/>
      </rPr>
      <t>-волнистая)</t>
    </r>
  </si>
  <si>
    <t>Мощность обрушающейся ложной кровли, м</t>
  </si>
  <si>
    <t>Размер ниши 6 м, мощность пласта 1 м, плотность угля 1, 5 т/м3, размер цикла по выемке 1 м. Какой объем работ по выемке угля в нише на 1 выемочный цикл?</t>
  </si>
  <si>
    <r>
      <t>Принимаемое в проекте оборудование     (</t>
    </r>
    <r>
      <rPr>
        <b/>
        <sz val="12"/>
        <rFont val="Arial Cyr"/>
        <charset val="204"/>
      </rPr>
      <t>помещается в текст проекта(</t>
    </r>
  </si>
  <si>
    <t>Скорость крепления при механизированной крепи, м/мин  Vкр  (ф. 33)</t>
  </si>
  <si>
    <t>2 Затраты времени на ожидание  обмена составов вагонеток на погрузочном пункте лавы, мин  (таб. А.6)</t>
  </si>
  <si>
    <r>
      <t>Коэффициент готовности забоя по группе последовательных перерывов µ</t>
    </r>
    <r>
      <rPr>
        <b/>
        <vertAlign val="subscript"/>
        <sz val="11"/>
        <color indexed="10"/>
        <rFont val="Arial Cyr"/>
        <charset val="204"/>
      </rPr>
      <t xml:space="preserve">1  </t>
    </r>
    <r>
      <rPr>
        <b/>
        <sz val="11"/>
        <color indexed="10"/>
        <rFont val="Arial Cyr"/>
        <charset val="204"/>
      </rPr>
      <t>(ф. 67)</t>
    </r>
  </si>
  <si>
    <r>
      <t>Коэффициент готовности по группе параллельных перерывов µ</t>
    </r>
    <r>
      <rPr>
        <b/>
        <vertAlign val="subscript"/>
        <sz val="10"/>
        <color indexed="10"/>
        <rFont val="Arial Cyr"/>
        <charset val="204"/>
      </rPr>
      <t xml:space="preserve">2    </t>
    </r>
    <r>
      <rPr>
        <b/>
        <sz val="10"/>
        <color indexed="10"/>
        <rFont val="Arial Cyr"/>
        <charset val="204"/>
      </rPr>
      <t>(ф. 29)</t>
    </r>
  </si>
  <si>
    <t xml:space="preserve">      Описанный Вами вариант системы разработки имеет условный номер </t>
  </si>
  <si>
    <t>При способе транспортирования угля от погрузочного пункта лавы, не требующем останавки комбайна для обмена составов вагонеток</t>
  </si>
  <si>
    <t>Длина лавы 101-160 м</t>
  </si>
  <si>
    <t>Длина лавы 161-220 м</t>
  </si>
  <si>
    <t>Обычно таблица оказывается громоздкой. Следует и дальше проводить "фильтрацию" по фактору "производительность</t>
  </si>
  <si>
    <t xml:space="preserve">Категория пород кровли по устойчивости </t>
  </si>
  <si>
    <t xml:space="preserve">    Для крепления применяются гидростойки типа  СУГ30 (см. таблицу), верхняки типа ВВ30 (смю таблицу)..</t>
  </si>
  <si>
    <t xml:space="preserve">Верхняки шарнирные </t>
  </si>
  <si>
    <t>Толщина, мм</t>
  </si>
  <si>
    <t>Типо-размер</t>
  </si>
  <si>
    <t>Комбинированная обратный ход, движение воздуха по лаве от транспортной выработки к вентиляционной и далее на массив. Вентиляционная выработка проведена заранее вприсечку к выработанному пространству, за лавой погашается. Транспортная выработка проведена заранее, за лавой не погашается.  Угольный поток направлен к фланговой транспортной выработке.</t>
  </si>
  <si>
    <t>Коэф готовности погр пункта при рельсовом транспорте</t>
  </si>
  <si>
    <t>Коэффициент готовности работ по выемке угля стругом</t>
  </si>
  <si>
    <t xml:space="preserve">Комбинированная обратный ход,  движение воздуха по лаве от транспортной выработки к вентиляционной и далее на массив. Вентиляционная выработка  проведена навстречу лаве через целик более  Lоп, за лавой погашается. Транспортная выработка  проведена заранее, за лавой не погашается. Участок выработки впереди лавы проветривается от фланговой выработки. Угольный поток направлен от лавы на транспортную фланговую выработку. </t>
  </si>
  <si>
    <r>
      <t>Способ транспортирования угля (</t>
    </r>
    <r>
      <rPr>
        <b/>
        <sz val="12"/>
        <rFont val="Times New Roman"/>
        <family val="1"/>
        <charset val="204"/>
      </rPr>
      <t>1</t>
    </r>
    <r>
      <rPr>
        <sz val="12"/>
        <rFont val="Times New Roman"/>
        <family val="1"/>
        <charset val="204"/>
      </rPr>
      <t xml:space="preserve">- не требующий остановки струга; </t>
    </r>
    <r>
      <rPr>
        <b/>
        <sz val="12"/>
        <rFont val="Times New Roman"/>
        <family val="1"/>
        <charset val="204"/>
      </rPr>
      <t>2</t>
    </r>
    <r>
      <rPr>
        <sz val="12"/>
        <rFont val="Times New Roman"/>
        <family val="1"/>
        <charset val="204"/>
      </rPr>
      <t>- требующий остановки струга)</t>
    </r>
  </si>
  <si>
    <r>
      <t>Тип комплекса (</t>
    </r>
    <r>
      <rPr>
        <b/>
        <sz val="12"/>
        <rFont val="Times New Roman"/>
        <family val="1"/>
        <charset val="204"/>
      </rPr>
      <t>1</t>
    </r>
    <r>
      <rPr>
        <sz val="12"/>
        <rFont val="Times New Roman"/>
        <family val="1"/>
        <charset val="204"/>
      </rPr>
      <t xml:space="preserve">- МК-97, 1МК-97, МК-98,1МК-98; </t>
    </r>
    <r>
      <rPr>
        <b/>
        <sz val="12"/>
        <rFont val="Times New Roman"/>
        <family val="1"/>
        <charset val="204"/>
      </rPr>
      <t>2</t>
    </r>
    <r>
      <rPr>
        <sz val="12"/>
        <rFont val="Times New Roman"/>
        <family val="1"/>
        <charset val="204"/>
      </rPr>
      <t>-М-87УМС, 1М-88С, МК-87УМС)</t>
    </r>
  </si>
  <si>
    <r>
      <t>Количество конвейеров при транспортировании угля от лавы (</t>
    </r>
    <r>
      <rPr>
        <b/>
        <sz val="12"/>
        <rFont val="Times New Roman"/>
        <family val="1"/>
        <charset val="204"/>
      </rPr>
      <t>1</t>
    </r>
    <r>
      <rPr>
        <sz val="12"/>
        <rFont val="Times New Roman"/>
        <family val="1"/>
        <charset val="204"/>
      </rPr>
      <t xml:space="preserve">-один конвейер, </t>
    </r>
    <r>
      <rPr>
        <b/>
        <sz val="12"/>
        <rFont val="Times New Roman"/>
        <family val="1"/>
        <charset val="204"/>
      </rPr>
      <t>2</t>
    </r>
    <r>
      <rPr>
        <sz val="12"/>
        <rFont val="Times New Roman"/>
        <family val="1"/>
        <charset val="204"/>
      </rPr>
      <t xml:space="preserve">-два конвейера, </t>
    </r>
    <r>
      <rPr>
        <b/>
        <sz val="12"/>
        <rFont val="Times New Roman"/>
        <family val="1"/>
        <charset val="204"/>
      </rPr>
      <t>3</t>
    </r>
    <r>
      <rPr>
        <sz val="12"/>
        <rFont val="Times New Roman"/>
        <family val="1"/>
        <charset val="204"/>
      </rPr>
      <t>-три и более)</t>
    </r>
  </si>
  <si>
    <r>
      <t>Проводится увлажнение пласта из лавы (</t>
    </r>
    <r>
      <rPr>
        <b/>
        <sz val="12"/>
        <rFont val="Times New Roman"/>
        <family val="1"/>
        <charset val="204"/>
      </rPr>
      <t>0</t>
    </r>
    <r>
      <rPr>
        <sz val="12"/>
        <rFont val="Times New Roman"/>
        <family val="1"/>
        <charset val="204"/>
      </rPr>
      <t xml:space="preserve">-нет; </t>
    </r>
    <r>
      <rPr>
        <b/>
        <sz val="12"/>
        <rFont val="Times New Roman"/>
        <family val="1"/>
        <charset val="204"/>
      </rPr>
      <t>1</t>
    </r>
    <r>
      <rPr>
        <sz val="12"/>
        <rFont val="Times New Roman"/>
        <family val="1"/>
        <charset val="204"/>
      </rPr>
      <t>-да)</t>
    </r>
  </si>
  <si>
    <t>Категория верхнего слоя почвы по устойчивости (П1-1, П2-2, П3-3)</t>
  </si>
  <si>
    <t>Категория угля по отбойности</t>
  </si>
  <si>
    <t>Превышение температуры воздуха сверх нормативов § 162 ПБ, град.</t>
  </si>
  <si>
    <t>Технические условия</t>
  </si>
  <si>
    <t>Коэффициент извлечения угля</t>
  </si>
  <si>
    <t xml:space="preserve">                         Рис 4                Зависимость нагрузки на лаву по фактору проветривания  длины лавы</t>
  </si>
  <si>
    <t>ПЕРЕНЕСТИ В ТЕКСТ ЗАПИСКИ!</t>
  </si>
  <si>
    <t xml:space="preserve">                                           Рис 5                       Зависимость между длиной лавы и возможным числом циклов в сутки </t>
  </si>
  <si>
    <t xml:space="preserve">                                                                                           Таблица 12</t>
  </si>
  <si>
    <t>3 Затраты времени на взрывные работы, мин   (таб. А.6)</t>
  </si>
  <si>
    <t>1-й конвейер на штреке (скребковый) - перегружатель</t>
  </si>
  <si>
    <t xml:space="preserve">  В проекте необходимо принять, что под лавой установлен скребковый конвейер-перегружатель. Производительность </t>
  </si>
  <si>
    <t>этого конвейера желательно принимать как можно большую, чтобы не сдерживать работу лавы.</t>
  </si>
  <si>
    <t xml:space="preserve">                                                        Производительность его, т/час</t>
  </si>
  <si>
    <t xml:space="preserve">     Далее следует принять решение о типе участкового транспорта угля - это конвейерный или рельсовый транспорт.</t>
  </si>
  <si>
    <t>названных способов.  При погоризонтной подготовке участковый транспорт - конвейерный.</t>
  </si>
  <si>
    <t xml:space="preserve">       Типоразмеры гидравлических стоек, возможные к применению в данных условиях.  (таблица помещается в текст проекта)</t>
  </si>
  <si>
    <t>Норма обслуживания комплекса, чел.-смена</t>
  </si>
  <si>
    <t>до1,20</t>
  </si>
  <si>
    <t>1,21-1,30</t>
  </si>
  <si>
    <t>1,31-1,40</t>
  </si>
  <si>
    <t>1,41-1,50</t>
  </si>
  <si>
    <t>1,51-1,60</t>
  </si>
  <si>
    <t>1,61-1,70</t>
  </si>
  <si>
    <t>1,71-1,80</t>
  </si>
  <si>
    <t>1,81-1,90</t>
  </si>
  <si>
    <t>1,91 и более</t>
  </si>
  <si>
    <t>Длина лавы до 100 м</t>
  </si>
  <si>
    <t>Длина лавы 101-150 м</t>
  </si>
  <si>
    <t>Длина лавы 151-200 м</t>
  </si>
  <si>
    <t>Длина лавы 201 м и более</t>
  </si>
  <si>
    <t xml:space="preserve">   Подготовительно-заключительные операции (для крепи поддерживающего типа  20 мин/смену, для оградительной  17 мин/смену, при индивидуальной крепи  - 20-25 мин/смену)</t>
  </si>
  <si>
    <t xml:space="preserve">Затраты времени на вспомогательные операции,мин/цикл </t>
  </si>
  <si>
    <t>В</t>
  </si>
  <si>
    <t>α</t>
  </si>
  <si>
    <r>
      <t>A</t>
    </r>
    <r>
      <rPr>
        <b/>
        <vertAlign val="subscript"/>
        <sz val="10"/>
        <rFont val="Arial Cyr"/>
        <family val="2"/>
        <charset val="204"/>
      </rPr>
      <t>p</t>
    </r>
  </si>
  <si>
    <t>Б</t>
  </si>
  <si>
    <t>Допустимая величина сопротивления посадочного ряда крепи, определяется по классификации ДонУГИ,    Рпос, МН/м</t>
  </si>
  <si>
    <t>Рпос</t>
  </si>
  <si>
    <r>
      <t xml:space="preserve">       </t>
    </r>
    <r>
      <rPr>
        <sz val="12"/>
        <color indexed="12"/>
        <rFont val="Arial Cyr"/>
        <charset val="204"/>
      </rPr>
      <t>Описание организации работ в лаве представляется таблицей выходов рабочих и планограммой организации работ.</t>
    </r>
  </si>
  <si>
    <t xml:space="preserve">          Далее строится планограмма организации работ в лаве. Необходимые для этого данные представлены ниже.</t>
  </si>
  <si>
    <t xml:space="preserve">    На этом вычисления для раздела "Организация работ в лаве" закончены !</t>
  </si>
  <si>
    <t>Принятая в проекте нагрузка на комплексно механизированную комбайновую лаву, т/сутки</t>
  </si>
  <si>
    <t>Вес гидростойки с внутренним питанием в зависимости от мощности пласта, кг</t>
  </si>
  <si>
    <r>
      <t>Плотность добываемой горной массы, т/м</t>
    </r>
    <r>
      <rPr>
        <vertAlign val="superscript"/>
        <sz val="10"/>
        <rFont val="Arial Cyr"/>
        <family val="2"/>
        <charset val="204"/>
      </rPr>
      <t>3</t>
    </r>
  </si>
  <si>
    <t>Современные технологии добычи угля требуют применения механизированных</t>
  </si>
  <si>
    <t xml:space="preserve">которых применение механизированного комплекса становится невозможным.  Это - </t>
  </si>
  <si>
    <t xml:space="preserve">неустойчивые породы кровли пласта, значительные колебания мощности пласта в </t>
  </si>
  <si>
    <t xml:space="preserve">пределах выемочного участка, нарушенность месторождения и др. Нельзя не учитывать и </t>
  </si>
  <si>
    <t xml:space="preserve"> существенные затраты на приобретение выемочного комплекса. </t>
  </si>
  <si>
    <t xml:space="preserve">    При выборе оборудования лавы следует руководствоваться следующим:</t>
  </si>
  <si>
    <r>
      <t xml:space="preserve">Проектное время затухания работ шахты, год  </t>
    </r>
    <r>
      <rPr>
        <b/>
        <sz val="12"/>
        <rFont val="Times New Roman"/>
        <family val="1"/>
        <charset val="204"/>
      </rPr>
      <t>Тз  (от 4 до 6 лет)</t>
    </r>
  </si>
  <si>
    <r>
      <t xml:space="preserve">    Полный срок службы шахты состоит из периода освоения проектной мощности </t>
    </r>
    <r>
      <rPr>
        <b/>
        <sz val="12"/>
        <rFont val="Times New Roman"/>
        <family val="1"/>
        <charset val="204"/>
      </rPr>
      <t>То</t>
    </r>
    <r>
      <rPr>
        <sz val="12"/>
        <rFont val="Times New Roman"/>
        <family val="1"/>
        <charset val="204"/>
      </rPr>
      <t>, периода работы с</t>
    </r>
  </si>
  <si>
    <r>
      <t xml:space="preserve"> проектной мощностью</t>
    </r>
    <r>
      <rPr>
        <b/>
        <sz val="12"/>
        <rFont val="Times New Roman"/>
        <family val="1"/>
        <charset val="204"/>
      </rPr>
      <t xml:space="preserve"> Тп</t>
    </r>
    <r>
      <rPr>
        <sz val="12"/>
        <rFont val="Times New Roman"/>
        <family val="1"/>
        <charset val="204"/>
      </rPr>
      <t xml:space="preserve"> и периода затухания работ </t>
    </r>
    <r>
      <rPr>
        <b/>
        <sz val="12"/>
        <rFont val="Times New Roman"/>
        <family val="1"/>
        <charset val="204"/>
      </rPr>
      <t>Тз</t>
    </r>
    <r>
      <rPr>
        <sz val="12"/>
        <rFont val="Times New Roman"/>
        <family val="1"/>
        <charset val="204"/>
      </rPr>
      <t xml:space="preserve">.  Предполагается, что шахта сдается в </t>
    </r>
  </si>
  <si>
    <r>
      <t xml:space="preserve">Таким образом, в период освоения проектной мощности шахта освоит </t>
    </r>
    <r>
      <rPr>
        <b/>
        <sz val="12"/>
        <rFont val="Times New Roman"/>
        <family val="1"/>
        <charset val="204"/>
      </rPr>
      <t>((0,5+1)/2)*То*А</t>
    </r>
    <r>
      <rPr>
        <sz val="12"/>
        <rFont val="Times New Roman"/>
        <family val="1"/>
        <charset val="204"/>
      </rPr>
      <t xml:space="preserve"> тонн запасов</t>
    </r>
  </si>
  <si>
    <r>
      <t>Максимально допустимое</t>
    </r>
    <r>
      <rPr>
        <sz val="10"/>
        <rFont val="Arial Cyr"/>
        <charset val="204"/>
      </rPr>
      <t xml:space="preserve"> отставание крепи от комбайна при </t>
    </r>
    <r>
      <rPr>
        <b/>
        <sz val="10"/>
        <rFont val="Arial Cyr"/>
        <charset val="204"/>
      </rPr>
      <t>механизированной</t>
    </r>
    <r>
      <rPr>
        <sz val="10"/>
        <rFont val="Arial Cyr"/>
        <charset val="204"/>
      </rPr>
      <t xml:space="preserve"> крепи,  м  (ф. 41)</t>
    </r>
  </si>
  <si>
    <t>Нормы выработки на крепление очистных забоев и нарезных выработок деревянной крепью (3 стойки с укладкой верхняка)</t>
  </si>
  <si>
    <t>Угол падения пласта, град</t>
  </si>
  <si>
    <t>Вынимаемая мощность пласта,м</t>
  </si>
  <si>
    <t>до 20</t>
  </si>
  <si>
    <t>21-35</t>
  </si>
  <si>
    <t>угол наклона участковой выработки при погоризонтной подготовке, град</t>
  </si>
  <si>
    <r>
      <t xml:space="preserve">                        11,2 &lt; a</t>
    </r>
    <r>
      <rPr>
        <b/>
        <vertAlign val="subscript"/>
        <sz val="14"/>
        <rFont val="Times New Roman Cyr"/>
        <charset val="204"/>
      </rPr>
      <t>1</t>
    </r>
    <r>
      <rPr>
        <b/>
        <sz val="14"/>
        <rFont val="Times New Roman Cyr"/>
        <charset val="204"/>
      </rPr>
      <t xml:space="preserve"> &lt; 14,4;   0,021 &lt; a</t>
    </r>
    <r>
      <rPr>
        <b/>
        <vertAlign val="subscript"/>
        <sz val="14"/>
        <rFont val="Times New Roman Cyr"/>
        <charset val="204"/>
      </rPr>
      <t>2</t>
    </r>
    <r>
      <rPr>
        <b/>
        <sz val="14"/>
        <rFont val="Times New Roman Cyr"/>
        <charset val="204"/>
      </rPr>
      <t xml:space="preserve"> &lt; 0,033;   5,62 &lt; a</t>
    </r>
    <r>
      <rPr>
        <b/>
        <vertAlign val="subscript"/>
        <sz val="14"/>
        <rFont val="Times New Roman Cyr"/>
        <charset val="204"/>
      </rPr>
      <t>3</t>
    </r>
    <r>
      <rPr>
        <b/>
        <sz val="14"/>
        <rFont val="Times New Roman Cyr"/>
        <charset val="204"/>
      </rPr>
      <t xml:space="preserve"> &lt; 8,1</t>
    </r>
  </si>
  <si>
    <t>Период сооружения подготавливающих выработок  (1 - при строительстве, 2 - при эксплуатации, 3 - капитальные работы на действующей шахте)</t>
  </si>
  <si>
    <t>Количество одновременно работающих пластов</t>
  </si>
  <si>
    <t>Направление воздушной струи вдоль лавы: 1 - от транспортной выработки к вентиляционной, 2 - от вентиляционной выработки к транспортной</t>
  </si>
  <si>
    <t>Сечение уклона в эксплуатации, м2</t>
  </si>
  <si>
    <t>Сечение ходка в эксплуатации, м2</t>
  </si>
  <si>
    <t>1, 2, 3, 4,5</t>
  </si>
  <si>
    <t>1, 2, 3, 4, 5</t>
  </si>
  <si>
    <t>0, 1, 2</t>
  </si>
  <si>
    <t>Переходите по ссылке  ВЫБОР ОБОРУДОВАНИЯ  ЛАВЫ</t>
  </si>
  <si>
    <t>Комбинированная прямой ход, проветривание от фланговой выработки по вентиляционной  к транспортной и далее на массив. Вентиляционная выработка  проведена ранее через целик менее  Lоп, за лавой не погашается. Транспортная выработка проведена ранее и не погашается. Участки выработок  впереди лавы проветриваются через фланговые выработки.</t>
  </si>
  <si>
    <r>
      <t>Толщина перекрытия</t>
    </r>
    <r>
      <rPr>
        <b/>
        <sz val="10"/>
        <rFont val="Times New Roman"/>
        <family val="1"/>
        <charset val="204"/>
      </rPr>
      <t xml:space="preserve">  </t>
    </r>
    <r>
      <rPr>
        <sz val="10"/>
        <rFont val="Times New Roman"/>
        <family val="1"/>
        <charset val="204"/>
      </rPr>
      <t>в сечении</t>
    </r>
    <r>
      <rPr>
        <b/>
        <sz val="10"/>
        <rFont val="Times New Roman"/>
        <family val="1"/>
        <charset val="204"/>
      </rPr>
      <t xml:space="preserve">   </t>
    </r>
    <r>
      <rPr>
        <sz val="10"/>
        <rFont val="Times New Roman"/>
        <family val="1"/>
        <charset val="204"/>
      </rPr>
      <t>1-1</t>
    </r>
    <r>
      <rPr>
        <b/>
        <sz val="10"/>
        <rFont val="Times New Roman"/>
        <family val="1"/>
        <charset val="204"/>
      </rPr>
      <t xml:space="preserve">   В</t>
    </r>
    <r>
      <rPr>
        <b/>
        <vertAlign val="subscript"/>
        <sz val="10"/>
        <rFont val="Times New Roman"/>
        <family val="1"/>
        <charset val="204"/>
      </rPr>
      <t>1</t>
    </r>
    <r>
      <rPr>
        <sz val="10"/>
        <rFont val="Times New Roman"/>
        <family val="1"/>
        <charset val="204"/>
      </rPr>
      <t xml:space="preserve">, мм </t>
    </r>
  </si>
  <si>
    <r>
      <t>Толщина основания секции    крепи</t>
    </r>
    <r>
      <rPr>
        <b/>
        <sz val="10"/>
        <rFont val="Times New Roman"/>
        <family val="1"/>
        <charset val="204"/>
      </rPr>
      <t xml:space="preserve"> В</t>
    </r>
    <r>
      <rPr>
        <b/>
        <vertAlign val="subscript"/>
        <sz val="10"/>
        <rFont val="Times New Roman"/>
        <family val="1"/>
        <charset val="204"/>
      </rPr>
      <t>о</t>
    </r>
    <r>
      <rPr>
        <sz val="10"/>
        <rFont val="Times New Roman"/>
        <family val="1"/>
        <charset val="204"/>
      </rPr>
      <t>, мм</t>
    </r>
  </si>
  <si>
    <r>
      <t xml:space="preserve">Толщина перекрытия в сечении   2-2  </t>
    </r>
    <r>
      <rPr>
        <b/>
        <sz val="10"/>
        <rFont val="Times New Roman"/>
        <family val="1"/>
        <charset val="204"/>
      </rPr>
      <t>В</t>
    </r>
    <r>
      <rPr>
        <b/>
        <vertAlign val="subscript"/>
        <sz val="10"/>
        <rFont val="Times New Roman"/>
        <family val="1"/>
        <charset val="204"/>
      </rPr>
      <t>2</t>
    </r>
    <r>
      <rPr>
        <sz val="10"/>
        <rFont val="Times New Roman"/>
        <family val="1"/>
        <charset val="204"/>
      </rPr>
      <t>, мм</t>
    </r>
  </si>
  <si>
    <t>Величина активного подпора, кН</t>
  </si>
  <si>
    <t>СП250.13</t>
  </si>
  <si>
    <t>СПЦ163</t>
  </si>
  <si>
    <t>СП87ПИ53</t>
  </si>
  <si>
    <t>СП87ПМ</t>
  </si>
  <si>
    <t>1К101</t>
  </si>
  <si>
    <t>Комбинированная, обратный ход. Движение воздуха по лаве от транспортной выработки к вентиляционной и далее на массив. Вентиляционная выработка проведена навстречу лаве через целик менее  Lоп, за лавой погашается. Транспортная выработка проведен заранее, за лавой не погашается, участок ее за лавой проветривается от фланговой выработки.</t>
  </si>
  <si>
    <t>возможная вынимаемая мощность пласта, м</t>
  </si>
  <si>
    <t>Исходные данные о пласте и породах</t>
  </si>
  <si>
    <t>Комбинированная прямой ход,  движение воздуха по лаве от транспортной выработки к вентиляционной и на массив, Вентиляционная выработка проводится через целик менее   Lоп и за лавой погашается. Транспортная выработка проводится  за лавой.</t>
  </si>
  <si>
    <t>Комбинированная прямой ход,  движение воздуха по лаве от транспортной выработки к вентиляционной и на массив, Вентиляционная выработка проводится вприсечку к старым работам и за лавой погашается. Транспортная выработка проводится  за лавой.</t>
  </si>
  <si>
    <t>Коэффициент, учитывающий движение воздуха за пределами рабочего пространства [Табл. 6.4]</t>
  </si>
  <si>
    <t>Газообильность участка, м3/т  Gуч = Gпл*(1-Кдег.пл)+Gвп*(1-Кдег.вп)  [ф. 3.31]</t>
  </si>
  <si>
    <t>Комбинированная прямой ход,  движение воздуха по лаве от транспортной выработки к вентиляционной и на массив, Вентиляционная выработка - повторно используемая транспортная выработка, за лавой не погашается. Транспортная выработка проводится  за лавой.</t>
  </si>
  <si>
    <r>
      <t xml:space="preserve">Высота струга, </t>
    </r>
    <r>
      <rPr>
        <sz val="11"/>
        <color indexed="10"/>
        <rFont val="Times New Roman Cyr"/>
        <family val="1"/>
        <charset val="204"/>
      </rPr>
      <t>H</t>
    </r>
    <r>
      <rPr>
        <vertAlign val="subscript"/>
        <sz val="11"/>
        <color indexed="10"/>
        <rFont val="Times New Roman Cyr"/>
        <family val="1"/>
        <charset val="204"/>
      </rPr>
      <t>c</t>
    </r>
    <r>
      <rPr>
        <vertAlign val="subscript"/>
        <sz val="11"/>
        <rFont val="Times New Roman Cyr"/>
        <family val="1"/>
        <charset val="204"/>
      </rPr>
      <t>, м</t>
    </r>
  </si>
  <si>
    <r>
      <t xml:space="preserve"> 1)        v</t>
    </r>
    <r>
      <rPr>
        <vertAlign val="subscript"/>
        <sz val="11"/>
        <rFont val="Times New Roman Cyr"/>
        <family val="1"/>
        <charset val="204"/>
      </rPr>
      <t>c</t>
    </r>
    <r>
      <rPr>
        <sz val="11"/>
        <rFont val="Times New Roman Cyr"/>
        <family val="1"/>
        <charset val="204"/>
      </rPr>
      <t>&lt;v</t>
    </r>
    <r>
      <rPr>
        <vertAlign val="subscript"/>
        <sz val="11"/>
        <rFont val="Times New Roman Cyr"/>
        <family val="1"/>
        <charset val="204"/>
      </rPr>
      <t>к</t>
    </r>
  </si>
  <si>
    <r>
      <t>2)     2v</t>
    </r>
    <r>
      <rPr>
        <vertAlign val="subscript"/>
        <sz val="11"/>
        <rFont val="Times New Roman Cyr"/>
        <family val="1"/>
        <charset val="204"/>
      </rPr>
      <t>к</t>
    </r>
    <r>
      <rPr>
        <sz val="11"/>
        <rFont val="Times New Roman Cyr"/>
        <family val="1"/>
        <charset val="204"/>
      </rPr>
      <t>&lt;v</t>
    </r>
    <r>
      <rPr>
        <vertAlign val="subscript"/>
        <sz val="11"/>
        <rFont val="Times New Roman Cyr"/>
        <family val="1"/>
        <charset val="204"/>
      </rPr>
      <t>c</t>
    </r>
    <r>
      <rPr>
        <sz val="11"/>
        <rFont val="Times New Roman Cyr"/>
        <family val="1"/>
        <charset val="204"/>
      </rPr>
      <t>&lt;=3v</t>
    </r>
    <r>
      <rPr>
        <vertAlign val="subscript"/>
        <sz val="11"/>
        <rFont val="Times New Roman Cyr"/>
        <family val="1"/>
        <charset val="204"/>
      </rPr>
      <t>к</t>
    </r>
  </si>
  <si>
    <r>
      <t>3)      v</t>
    </r>
    <r>
      <rPr>
        <vertAlign val="subscript"/>
        <sz val="11"/>
        <rFont val="Times New Roman Cyr"/>
        <family val="1"/>
        <charset val="204"/>
      </rPr>
      <t>к</t>
    </r>
    <r>
      <rPr>
        <sz val="11"/>
        <rFont val="Times New Roman Cyr"/>
        <family val="1"/>
        <charset val="204"/>
      </rPr>
      <t>&lt;v</t>
    </r>
    <r>
      <rPr>
        <vertAlign val="subscript"/>
        <sz val="11"/>
        <rFont val="Times New Roman Cyr"/>
        <family val="1"/>
        <charset val="204"/>
      </rPr>
      <t>с</t>
    </r>
    <r>
      <rPr>
        <sz val="11"/>
        <rFont val="Times New Roman Cyr"/>
        <family val="1"/>
        <charset val="204"/>
      </rPr>
      <t>&lt;2v</t>
    </r>
    <r>
      <rPr>
        <vertAlign val="subscript"/>
        <sz val="11"/>
        <rFont val="Times New Roman Cyr"/>
        <family val="1"/>
        <charset val="204"/>
      </rPr>
      <t>к</t>
    </r>
  </si>
  <si>
    <t>Пласт h1</t>
  </si>
  <si>
    <t>Нагрузка на пласт, т</t>
  </si>
  <si>
    <r>
      <t>4 Длительность концевых операций при</t>
    </r>
    <r>
      <rPr>
        <b/>
        <sz val="10"/>
        <rFont val="Arial Cyr"/>
        <charset val="204"/>
      </rPr>
      <t xml:space="preserve"> индивид</t>
    </r>
    <r>
      <rPr>
        <sz val="10"/>
        <rFont val="Arial Cyr"/>
        <charset val="204"/>
      </rPr>
      <t>. крепи, мин/цикл  (таб. А.6)</t>
    </r>
  </si>
  <si>
    <r>
      <t xml:space="preserve"> Длительность концевых операций при</t>
    </r>
    <r>
      <rPr>
        <b/>
        <sz val="10"/>
        <rFont val="Arial Cyr"/>
        <charset val="204"/>
      </rPr>
      <t xml:space="preserve"> механизированной</t>
    </r>
    <r>
      <rPr>
        <sz val="10"/>
        <rFont val="Arial Cyr"/>
        <charset val="204"/>
      </rPr>
      <t xml:space="preserve"> крепи, мин/цикл  </t>
    </r>
  </si>
  <si>
    <r>
      <t>Максимально допустимое</t>
    </r>
    <r>
      <rPr>
        <sz val="10"/>
        <rFont val="Arial Cyr"/>
        <charset val="204"/>
      </rPr>
      <t xml:space="preserve"> отставание крепи от комбайна при </t>
    </r>
    <r>
      <rPr>
        <b/>
        <sz val="10"/>
        <rFont val="Arial Cyr"/>
        <charset val="204"/>
      </rPr>
      <t>индивидуальной</t>
    </r>
    <r>
      <rPr>
        <sz val="10"/>
        <rFont val="Arial Cyr"/>
        <charset val="204"/>
      </rPr>
      <t xml:space="preserve"> крепи,  м  (ф. 41)</t>
    </r>
  </si>
  <si>
    <t>Данные о наклонных и магистральных  выработках при панельной подготовке</t>
  </si>
  <si>
    <t>Вы рассмотрели возможность работы лавы при ее комплексной механизации. Какое Ваше решение? Проектировать комплексно механизированную лаву - 1, или проектировать лаву с индивидуальной крепью - 2</t>
  </si>
  <si>
    <t>желательно, целое число выемочных циклов в смену.</t>
  </si>
  <si>
    <t>В зависимости от ограничивающего фактора необходимо установить длину лавы, при которой число выемочных циклов</t>
  </si>
  <si>
    <t>Если ширина захвата комбайна 0,5 м, какой длины шарнирный верхняк желательно применять?</t>
  </si>
  <si>
    <r>
      <t xml:space="preserve">                                       </t>
    </r>
    <r>
      <rPr>
        <b/>
        <i/>
        <sz val="12"/>
        <rFont val="Arial Cyr"/>
        <charset val="204"/>
      </rPr>
      <t xml:space="preserve"> L</t>
    </r>
    <r>
      <rPr>
        <b/>
        <i/>
        <vertAlign val="subscript"/>
        <sz val="12"/>
        <rFont val="Arial Cyr"/>
        <charset val="204"/>
      </rPr>
      <t>нагр</t>
    </r>
    <r>
      <rPr>
        <b/>
        <i/>
        <sz val="12"/>
        <rFont val="Arial Cyr"/>
        <charset val="204"/>
      </rPr>
      <t>=N/(P*b)     P=(1/g</t>
    </r>
    <r>
      <rPr>
        <b/>
        <i/>
        <vertAlign val="subscript"/>
        <sz val="12"/>
        <rFont val="Arial Cyr"/>
        <charset val="204"/>
      </rPr>
      <t>ст</t>
    </r>
    <r>
      <rPr>
        <b/>
        <i/>
        <sz val="12"/>
        <rFont val="Arial Cyr"/>
        <charset val="204"/>
      </rPr>
      <t>)(Q-g</t>
    </r>
    <r>
      <rPr>
        <b/>
        <i/>
        <vertAlign val="subscript"/>
        <sz val="12"/>
        <rFont val="Arial Cyr"/>
        <charset val="204"/>
      </rPr>
      <t>пос</t>
    </r>
    <r>
      <rPr>
        <b/>
        <i/>
        <sz val="12"/>
        <rFont val="Arial Cyr"/>
        <charset val="204"/>
      </rPr>
      <t>/d)</t>
    </r>
  </si>
  <si>
    <r>
      <t xml:space="preserve">Величина </t>
    </r>
    <r>
      <rPr>
        <i/>
        <sz val="11"/>
        <rFont val="Times New Roman Cyr"/>
        <charset val="204"/>
      </rPr>
      <t>Т</t>
    </r>
    <r>
      <rPr>
        <i/>
        <vertAlign val="superscript"/>
        <sz val="11"/>
        <rFont val="Times New Roman Cyr"/>
        <charset val="204"/>
      </rPr>
      <t>о</t>
    </r>
    <r>
      <rPr>
        <i/>
        <vertAlign val="subscript"/>
        <sz val="11"/>
        <rFont val="Times New Roman Cyr"/>
        <charset val="204"/>
      </rPr>
      <t>тп</t>
    </r>
    <r>
      <rPr>
        <sz val="11"/>
        <rFont val="Times New Roman Cyr"/>
        <family val="1"/>
        <charset val="204"/>
      </rPr>
      <t xml:space="preserve">  по формуле 69</t>
    </r>
  </si>
  <si>
    <r>
      <t xml:space="preserve">Величина </t>
    </r>
    <r>
      <rPr>
        <i/>
        <sz val="12"/>
        <rFont val="Times New Roman Cyr"/>
        <charset val="204"/>
      </rPr>
      <t>qТ</t>
    </r>
    <r>
      <rPr>
        <i/>
        <vertAlign val="superscript"/>
        <sz val="12"/>
        <rFont val="Times New Roman Cyr"/>
        <charset val="204"/>
      </rPr>
      <t>о</t>
    </r>
    <r>
      <rPr>
        <i/>
        <vertAlign val="subscript"/>
        <sz val="12"/>
        <rFont val="Times New Roman Cyr"/>
        <charset val="204"/>
      </rPr>
      <t>тп</t>
    </r>
    <r>
      <rPr>
        <i/>
        <sz val="12"/>
        <rFont val="Times New Roman Cyr"/>
        <charset val="204"/>
      </rPr>
      <t>/А</t>
    </r>
    <r>
      <rPr>
        <i/>
        <vertAlign val="subscript"/>
        <sz val="12"/>
        <rFont val="Times New Roman Cyr"/>
        <charset val="204"/>
      </rPr>
      <t>п</t>
    </r>
  </si>
  <si>
    <r>
      <t xml:space="preserve">Величина </t>
    </r>
    <r>
      <rPr>
        <i/>
        <sz val="12"/>
        <rFont val="Times New Roman Cyr"/>
        <charset val="204"/>
      </rPr>
      <t>qТ</t>
    </r>
    <r>
      <rPr>
        <i/>
        <vertAlign val="superscript"/>
        <sz val="12"/>
        <rFont val="Times New Roman Cyr"/>
        <charset val="204"/>
      </rPr>
      <t>11</t>
    </r>
    <r>
      <rPr>
        <i/>
        <vertAlign val="subscript"/>
        <sz val="12"/>
        <rFont val="Times New Roman Cyr"/>
        <charset val="204"/>
      </rPr>
      <t>тп</t>
    </r>
    <r>
      <rPr>
        <i/>
        <sz val="12"/>
        <rFont val="Times New Roman Cyr"/>
        <charset val="204"/>
      </rPr>
      <t>/А</t>
    </r>
    <r>
      <rPr>
        <i/>
        <vertAlign val="subscript"/>
        <sz val="12"/>
        <rFont val="Times New Roman Cyr"/>
        <charset val="204"/>
      </rPr>
      <t>п</t>
    </r>
  </si>
  <si>
    <r>
      <t>Величина qТ</t>
    </r>
    <r>
      <rPr>
        <vertAlign val="superscript"/>
        <sz val="11"/>
        <rFont val="Times New Roman Cyr"/>
        <charset val="204"/>
      </rPr>
      <t>111</t>
    </r>
    <r>
      <rPr>
        <vertAlign val="subscript"/>
        <sz val="11"/>
        <rFont val="Times New Roman Cyr"/>
        <charset val="204"/>
      </rPr>
      <t>тп</t>
    </r>
    <r>
      <rPr>
        <sz val="11"/>
        <rFont val="Times New Roman Cyr"/>
        <family val="1"/>
        <charset val="204"/>
      </rPr>
      <t>/А</t>
    </r>
    <r>
      <rPr>
        <vertAlign val="subscript"/>
        <sz val="11"/>
        <rFont val="Times New Roman Cyr"/>
        <charset val="204"/>
      </rPr>
      <t>п</t>
    </r>
  </si>
  <si>
    <t>Сменный коэффициент машинного времени (рис. 4)</t>
  </si>
  <si>
    <t>Блок расчета скорости подачи комбайна</t>
  </si>
  <si>
    <r>
      <t xml:space="preserve">Программа </t>
    </r>
    <r>
      <rPr>
        <b/>
        <i/>
        <sz val="14"/>
        <rFont val="Times New Roman"/>
        <family val="1"/>
        <charset val="204"/>
      </rPr>
      <t>strug.xls</t>
    </r>
  </si>
  <si>
    <t>конв тр-т</t>
  </si>
  <si>
    <t>ПРОГРАММНЫЙ БЛОК      РЕЗУЛЬТАТЫ ВЫЧИСЛЕНИЙ(погоризонтная подготовка)</t>
  </si>
  <si>
    <t>проведение магистральных и наклонных выработок</t>
  </si>
  <si>
    <t>поддержание магистральных и наклонных выработок</t>
  </si>
  <si>
    <t>транспорт и водоотлив магистральных и наклонных выработок</t>
  </si>
  <si>
    <t>Дополнительные вычисления для случая проходки штрека навстречу лаве (столбовая, целик менее Lоп)</t>
  </si>
  <si>
    <t>Расстояние от точки начала проходки штрека  до точки встречи при проходке вент выработки навстречу лаве, м</t>
  </si>
  <si>
    <t>Ширина выемочной полосы (высота яруса), м</t>
  </si>
  <si>
    <t>Коэффициент извлечения запасов яруса (полосы)</t>
  </si>
  <si>
    <t xml:space="preserve">   Все необходимые вычисления для графического изображения способа подготовки шахтного поля Вами </t>
  </si>
  <si>
    <t xml:space="preserve">уже проведены. В курсовом проекте необходимо представить графическое изображение способа </t>
  </si>
  <si>
    <t xml:space="preserve">подготовки заданного пласта при разработке его уклонной ступени. При этом должны соблюдаться все размеры, </t>
  </si>
  <si>
    <t>указанные Вами в разделе "Вскрытие шахтного поля".</t>
  </si>
  <si>
    <t>Какой размер шахтного поля по падению</t>
  </si>
  <si>
    <t>Какой угол падения пластов</t>
  </si>
  <si>
    <t>Сколько пластов в шахтном поле</t>
  </si>
  <si>
    <t>Какое расстояние между крайними пластами по нормали к напластованию</t>
  </si>
  <si>
    <t>Какая категория шахты по метану (1, 2, 3, 4 - сверхкатегорная)</t>
  </si>
  <si>
    <t>Выбросоопасны ли пласты - да -1, нет - 0</t>
  </si>
  <si>
    <t>Волниста ли гипсометрия пластов  да - 2, нет - 1</t>
  </si>
  <si>
    <t>Имеются ли геологические нараушения   да - 1, нет - 0</t>
  </si>
  <si>
    <t>Способ выемки в лаве (комбайн и инд крепь 1, струг и инд крепь 2, комбайн и мехкрепь 3, струг и мехкрепь 4))</t>
  </si>
  <si>
    <t>Нормативная скорость проведения  монтажного ходка, м/мес</t>
  </si>
  <si>
    <r>
      <t xml:space="preserve">Коэффициент резерва обнажения кровли за комбайном для </t>
    </r>
    <r>
      <rPr>
        <b/>
        <sz val="10"/>
        <rFont val="Arial Cyr"/>
        <charset val="204"/>
      </rPr>
      <t>индивидуальной</t>
    </r>
    <r>
      <rPr>
        <sz val="10"/>
        <rFont val="Arial Cyr"/>
        <charset val="204"/>
      </rPr>
      <t xml:space="preserve"> крепи (ф. 40)</t>
    </r>
  </si>
  <si>
    <t>Всего трудоемкость на 1 м</t>
  </si>
  <si>
    <t>материалы</t>
  </si>
  <si>
    <t>дерево</t>
  </si>
  <si>
    <t>1. Принять другую схему проветривания участка;</t>
  </si>
  <si>
    <t>2. Применить дегазацию пласта;</t>
  </si>
  <si>
    <t>3. Применить дегазацию пластов-спутников.</t>
  </si>
  <si>
    <t xml:space="preserve">                   В заданных условиях:</t>
  </si>
  <si>
    <t>Природная метаноносность пласта составляет</t>
  </si>
  <si>
    <t>В лаву-аналог имело место поступление метана из выработанного пространства</t>
  </si>
  <si>
    <t>м3/т</t>
  </si>
  <si>
    <t>Коэффициент готовности мех. крепи в реальных условиях (таб. А.9)</t>
  </si>
  <si>
    <t>Скорость крепления при применении шарнирных верхняков c учетом расстояния между рамками, устойчивости кровли, порядка установки рамок и угла падения, м/мин (текст перед ф. 33)</t>
  </si>
  <si>
    <t>Коэффициент влияния угла падения пласта на скорость крепления при индивидуальной крепи  (текст после ф. 33)</t>
  </si>
  <si>
    <r>
      <t xml:space="preserve">Коэффициент влияния устойчивости пород на скорость крепления </t>
    </r>
    <r>
      <rPr>
        <b/>
        <sz val="10"/>
        <rFont val="Arial Cyr"/>
        <charset val="204"/>
      </rPr>
      <t>механизированной</t>
    </r>
    <r>
      <rPr>
        <sz val="10"/>
        <rFont val="Arial Cyr"/>
        <charset val="204"/>
      </rPr>
      <t xml:space="preserve">  крепью   (ф. 36)</t>
    </r>
  </si>
  <si>
    <t>При способе транспортирования угля от погрузочного пункта лавы, не требуещем остановки струга</t>
  </si>
  <si>
    <t>Длина лавы до 175м</t>
  </si>
  <si>
    <t>Норма обслуживания комплекса, чел смена</t>
  </si>
  <si>
    <t>Длина лавы 176 м и более</t>
  </si>
  <si>
    <t>При способе транспортирования угля от погрузочного пункта лавы, требуещем остановки струга</t>
  </si>
  <si>
    <t>Нормы выработки и нормы обслуживания комплекса при выемке угля стругами с механизированными крепями     М-87УМС, МК-87УМС, 1М-88С</t>
  </si>
  <si>
    <t>до 1,02</t>
  </si>
  <si>
    <t>1,15-1,21</t>
  </si>
  <si>
    <t>1,22-1,28</t>
  </si>
  <si>
    <t>1,29-1,35</t>
  </si>
  <si>
    <t>1,36-144</t>
  </si>
  <si>
    <t>1,45-1,55</t>
  </si>
  <si>
    <t>ВОДООТЛИВ ИЗ УКЛОННОЙ СТУПЕНИ ПЛАСТА по ходку при погоризонтной подготовке</t>
  </si>
  <si>
    <t>По кладке(переноске) костров</t>
  </si>
  <si>
    <t>Диаметр костровой стойки, м</t>
  </si>
  <si>
    <t>костры клетевые</t>
  </si>
  <si>
    <t>Минимальное время устойчивости нижних слоев пород  кровли, незакрепленной у забоя (таб. А.11)</t>
  </si>
  <si>
    <t>Сечение транспортного штрека в свету после осадки</t>
  </si>
  <si>
    <t xml:space="preserve">Податливость (транспортный штрек) условно принята </t>
  </si>
  <si>
    <t>сечение транспортного штрека в свету до осадки</t>
  </si>
  <si>
    <t>номер строки в столбце для комбайна тр-ный ш-к</t>
  </si>
  <si>
    <t>Годовая нормативная трудоемкость планового технического обслуживания и ремонта оборудования добычного участка:</t>
  </si>
  <si>
    <t xml:space="preserve">    Вычисления производительности комбайна  производятся про всем факторам и </t>
  </si>
  <si>
    <r>
      <t xml:space="preserve">1. Установите значение длины лавы 100 м в столбце </t>
    </r>
    <r>
      <rPr>
        <b/>
        <sz val="12"/>
        <rFont val="Times New Roman"/>
        <family val="1"/>
        <charset val="204"/>
      </rPr>
      <t>Н</t>
    </r>
    <r>
      <rPr>
        <sz val="12"/>
        <rFont val="Times New Roman"/>
        <family val="1"/>
        <charset val="204"/>
      </rPr>
      <t xml:space="preserve"> строки</t>
    </r>
  </si>
  <si>
    <r>
      <t xml:space="preserve">Расчетные параметры для комбайнов  (A -  </t>
    </r>
    <r>
      <rPr>
        <sz val="12"/>
        <rFont val="Arial Cyr"/>
        <family val="2"/>
        <charset val="204"/>
      </rPr>
      <t>Сопротивляемость угля резанию в массиве кН/см;</t>
    </r>
    <r>
      <rPr>
        <b/>
        <sz val="12"/>
        <rFont val="Arial Cyr"/>
        <family val="2"/>
        <charset val="204"/>
      </rPr>
      <t xml:space="preserve"> m - </t>
    </r>
    <r>
      <rPr>
        <sz val="12"/>
        <rFont val="Arial Cyr"/>
        <family val="2"/>
        <charset val="204"/>
      </rPr>
      <t>Мощность пласта, м</t>
    </r>
    <r>
      <rPr>
        <b/>
        <sz val="12"/>
        <rFont val="Arial Cyr"/>
        <family val="2"/>
        <charset val="204"/>
      </rPr>
      <t>)</t>
    </r>
  </si>
  <si>
    <r>
      <t>V</t>
    </r>
    <r>
      <rPr>
        <b/>
        <vertAlign val="subscript"/>
        <sz val="10"/>
        <color indexed="10"/>
        <rFont val="Arial Cyr"/>
        <family val="2"/>
        <charset val="204"/>
      </rPr>
      <t>п</t>
    </r>
    <r>
      <rPr>
        <b/>
        <vertAlign val="superscript"/>
        <sz val="10"/>
        <color indexed="10"/>
        <rFont val="Arial Cyr"/>
        <family val="2"/>
        <charset val="204"/>
      </rPr>
      <t>max</t>
    </r>
    <r>
      <rPr>
        <sz val="10"/>
        <color indexed="10"/>
        <rFont val="Arial Cyr"/>
        <family val="2"/>
        <charset val="204"/>
      </rPr>
      <t xml:space="preserve"> -макси-мальная скорость подачи, м/мин</t>
    </r>
  </si>
  <si>
    <r>
      <t>F</t>
    </r>
    <r>
      <rPr>
        <b/>
        <vertAlign val="subscript"/>
        <sz val="10"/>
        <color indexed="10"/>
        <rFont val="Arial Cyr"/>
        <family val="2"/>
        <charset val="204"/>
      </rPr>
      <t>т</t>
    </r>
    <r>
      <rPr>
        <b/>
        <vertAlign val="superscript"/>
        <sz val="10"/>
        <color indexed="10"/>
        <rFont val="Arial Cyr"/>
        <family val="2"/>
        <charset val="204"/>
      </rPr>
      <t>max</t>
    </r>
    <r>
      <rPr>
        <sz val="10"/>
        <color indexed="10"/>
        <rFont val="Arial Cyr"/>
        <family val="2"/>
        <charset val="204"/>
      </rPr>
      <t xml:space="preserve">  макси-мальное тяговое усилие, кН</t>
    </r>
  </si>
  <si>
    <r>
      <t xml:space="preserve">Опускание кровли в сечении 1-1  </t>
    </r>
    <r>
      <rPr>
        <b/>
        <sz val="10"/>
        <color indexed="10"/>
        <rFont val="Times New Roman"/>
        <family val="1"/>
        <charset val="204"/>
      </rPr>
      <t>h</t>
    </r>
    <r>
      <rPr>
        <b/>
        <vertAlign val="subscript"/>
        <sz val="10"/>
        <color indexed="10"/>
        <rFont val="Times New Roman"/>
        <family val="1"/>
        <charset val="204"/>
      </rPr>
      <t>1</t>
    </r>
    <r>
      <rPr>
        <sz val="10"/>
        <color indexed="10"/>
        <rFont val="Times New Roman"/>
        <family val="1"/>
        <charset val="204"/>
      </rPr>
      <t>, мм</t>
    </r>
  </si>
  <si>
    <r>
      <t xml:space="preserve">Опускание кровли в сечении         2-2  </t>
    </r>
    <r>
      <rPr>
        <b/>
        <sz val="10"/>
        <color indexed="10"/>
        <rFont val="Times New Roman"/>
        <family val="1"/>
        <charset val="204"/>
      </rPr>
      <t>h</t>
    </r>
    <r>
      <rPr>
        <b/>
        <vertAlign val="subscript"/>
        <sz val="10"/>
        <color indexed="10"/>
        <rFont val="Times New Roman"/>
        <family val="1"/>
        <charset val="204"/>
      </rPr>
      <t>2</t>
    </r>
    <r>
      <rPr>
        <sz val="10"/>
        <color indexed="10"/>
        <rFont val="Times New Roman"/>
        <family val="1"/>
        <charset val="204"/>
      </rPr>
      <t>, мм</t>
    </r>
  </si>
  <si>
    <t>Нагрузка на лаву, т/сутки (по возможностям оборудования)</t>
  </si>
  <si>
    <t xml:space="preserve"> 5 Процесс "Проветривание"</t>
  </si>
  <si>
    <t xml:space="preserve"> Коэффициент готовности по процессу "проветривание"</t>
  </si>
  <si>
    <t>(Коэффициент готовности любого ленточного конвейера  принят равным 0,95)</t>
  </si>
  <si>
    <t>Комбинированная прямой ход, движение воздуха по лаве от транспортной выработки к вентиляционной и далее на выработанное пространство. Вентиляционная выработка  проводится за лавой через целик более  Lоп, Транспортная выработка  проведена заранее, за лавой не погашается. Участок выработки впереди лавы проветривается от фланговой выработки.</t>
  </si>
  <si>
    <t xml:space="preserve">   Вами уже принят вариант системы разработки пласта, это</t>
  </si>
  <si>
    <t>схема проветривания</t>
  </si>
  <si>
    <t>номет строки</t>
  </si>
  <si>
    <t>номет столб</t>
  </si>
  <si>
    <t>схема</t>
  </si>
  <si>
    <t>Нормы выработки и нормы обслуживания комплекса при выемке угля одним комбайном по челноковой схеме и передвижке конвеера участками</t>
  </si>
  <si>
    <t>Длина лавы 161 - 220 м</t>
  </si>
  <si>
    <t>Таблица 9 ЕНВ 1993г</t>
  </si>
  <si>
    <t>Способ охраны транспортной выработки (1-БЖБТ, 2-литая полоса, 3-кустовая крепь, 4-костры клетевые, 5-костры накатные, 6-бутокостры, 7-многорядная органка, 8-бут.полоса с ручной закладкой, 9-бут полоса скреперная)</t>
  </si>
  <si>
    <t>Нормы выработки на извлечение гидростоек</t>
  </si>
  <si>
    <t>масса</t>
  </si>
  <si>
    <t>до 23</t>
  </si>
  <si>
    <t>23,1-29</t>
  </si>
  <si>
    <t>29,1-36</t>
  </si>
  <si>
    <t>36,1-45</t>
  </si>
  <si>
    <t>45,1-55</t>
  </si>
  <si>
    <t>55,1-65</t>
  </si>
  <si>
    <t>65,1 и более</t>
  </si>
  <si>
    <t>норма, штук</t>
  </si>
  <si>
    <t>строка</t>
  </si>
  <si>
    <t>Нормы выработки на передвижку посадочной крепи "Спутник"</t>
  </si>
  <si>
    <t>мощ пласта</t>
  </si>
  <si>
    <t>до 1 м</t>
  </si>
  <si>
    <t>1,01-1,4</t>
  </si>
  <si>
    <t>1,41 и более</t>
  </si>
  <si>
    <t>табличная норма</t>
  </si>
  <si>
    <t>Расчет трудоемкости работ при выемке стругом с индивидуальной крепью</t>
  </si>
  <si>
    <t>1  выемка угля стругом (звено)</t>
  </si>
  <si>
    <t>2 оформление забоя после выемки стругом</t>
  </si>
  <si>
    <t>2ЛТ100</t>
  </si>
  <si>
    <t>2…..3</t>
  </si>
  <si>
    <t>0…5</t>
  </si>
  <si>
    <t>30…40</t>
  </si>
  <si>
    <t>10…15</t>
  </si>
  <si>
    <t>100….180</t>
  </si>
  <si>
    <t>50….120</t>
  </si>
  <si>
    <t>240….360</t>
  </si>
  <si>
    <t>150….260</t>
  </si>
  <si>
    <t>Индекс</t>
  </si>
  <si>
    <t>Комбинированная, обратный ход  движение воздуха по лаве от транспортной выработки к вентиляционной далее на массив.  Вентиляционная выработка - повторно используемая транспортная выработка, за лавой погашается.  Транспортная выработка проведена заранее и  за лавой не погашается. Подсвежающая струя - от фланговой выработки на массив.</t>
  </si>
  <si>
    <t xml:space="preserve"> Коэффициент готовности системы электроснабжения</t>
  </si>
  <si>
    <t>Нормы выработки по оформлению забоя после выемки стругом, т/чел</t>
  </si>
  <si>
    <t>Добыча за смену струговая</t>
  </si>
  <si>
    <t xml:space="preserve">Электрослесарь дежурный </t>
  </si>
  <si>
    <t>Трудоемкость выемки стругом</t>
  </si>
  <si>
    <t>Ремонтная смена</t>
  </si>
  <si>
    <t>2. Опускание кровли в сечении лавы в месте управления комбайном, в месте прохода для рабочих,</t>
  </si>
  <si>
    <t>5. Величина свободного пространства под крепью в зоне работы комбайна,</t>
  </si>
  <si>
    <t>Исходя из заданных горногеологических условий программа вычислила для каждого типа</t>
  </si>
  <si>
    <t xml:space="preserve"> комплексп  такие показатели, как:</t>
  </si>
  <si>
    <t>3. Сопротивление поддерживающей части  крепи</t>
  </si>
  <si>
    <t xml:space="preserve">4. Сопротивление посадочного ряда крепи </t>
  </si>
  <si>
    <t xml:space="preserve">6. Высота прохода для рабочих </t>
  </si>
  <si>
    <t xml:space="preserve">7. Запас раздвижности крепи на разгрузку </t>
  </si>
  <si>
    <t>8. Допустимый шаг установки крепи</t>
  </si>
  <si>
    <t xml:space="preserve">При панельной подготовке обратите внимание на количество панелей и размер панели. </t>
  </si>
  <si>
    <t>Иметь панели размером менее 2000 м экономически не целесообразно!</t>
  </si>
  <si>
    <t>3-пластовая выработка, охраняется разгрузочными полосами и угольными целиками</t>
  </si>
  <si>
    <t xml:space="preserve"> Черным цветом указаны технические  характеристики конкретного типа комплекса.</t>
  </si>
  <si>
    <t xml:space="preserve">  Красным цветом показаны рассчитанные согласно приведенной выше методике параметры комплекса.</t>
  </si>
  <si>
    <t>Ширина захвата min</t>
  </si>
  <si>
    <t>Ширина захвата max</t>
  </si>
  <si>
    <t>Струговые комплексы</t>
  </si>
  <si>
    <t>Струговые установки</t>
  </si>
  <si>
    <t>Принятый в проекте тип конвейера</t>
  </si>
  <si>
    <t>вспом.вычисл.для МК-75</t>
  </si>
  <si>
    <t>Номер строки в таблицах норм (МК-75)</t>
  </si>
  <si>
    <t>Норма обслуживания для МК-75</t>
  </si>
  <si>
    <t>Норма выработки для МК-75</t>
  </si>
  <si>
    <t>вспом.вычисл.</t>
  </si>
  <si>
    <t>Номер столбца в таблице норм(Глиник)</t>
  </si>
  <si>
    <t>Номер строки в таблицах норм (Глиник)</t>
  </si>
  <si>
    <t>Норма обслуживания для Глиник</t>
  </si>
  <si>
    <t>Норма выработки для Глиник</t>
  </si>
  <si>
    <t>Номер столбца в таблице норм(КМК)</t>
  </si>
  <si>
    <t>вспом.вычисл.для КМК</t>
  </si>
  <si>
    <t>Номер строки в таблицах норм (КМК)</t>
  </si>
  <si>
    <t>Норма обслуживания для КМК</t>
  </si>
  <si>
    <t>Норма выработки для КМК</t>
  </si>
  <si>
    <t>Название компл.</t>
  </si>
  <si>
    <t>добыча с полоски</t>
  </si>
  <si>
    <t>Данные о мощности пластов</t>
  </si>
  <si>
    <t>Расчетное значение возможной скорости подачи комбайна  по мощности привода тяговому усилию, м/мин  (ф.6)</t>
  </si>
  <si>
    <t>по возможностям комбайна</t>
  </si>
  <si>
    <t>по возможностям транспорта</t>
  </si>
  <si>
    <t>по возможностям крепления</t>
  </si>
  <si>
    <t>К</t>
  </si>
  <si>
    <t>Принятая в проекте нагрузка на комбайновую лаву с индивидуальной крепью, т/сутки</t>
  </si>
  <si>
    <t>Общие затраты на трансорт по магистральный выработкам(четное количество панелей)</t>
  </si>
  <si>
    <t>Комбинированная обратный ход,  движение воздуха по лаве от транспортной выработки к вентиляционной и далее на выработанное пространство. Вентиляционная выработка - повторно используемая транспортная, за лавой не погашается. Подсвежающая струя - на выработанное пространство.. Транспортная выработка проводится заранее и за лавой погашается.</t>
  </si>
  <si>
    <t>Столбовая,  движение воздуха по лаве от транспортной выработки к вентиляционной и далее на массив. Транспортная и вентиляционная выработки за лавой погашаются. Вентиляционная выработка проводится заранее через целик более  Lоп. Транспортная выработка  проводится заранее.</t>
  </si>
  <si>
    <t>Столбовая,  движение воздуха по лаве от транспортной выработки к вентиляционной и далее на массив. Транспортная и вентиляционная выработки за лавой погашаются. Вентиляционная выработка проводится заранее через целик менее  Lоп. Транспортная выработка  проводится заранее.</t>
  </si>
  <si>
    <t>перпендикулярно с консолью 0,3 м и более</t>
  </si>
  <si>
    <t>Принятая в расчетах доля метана из выработанного пространства, поступающего в лаву</t>
  </si>
  <si>
    <t>Теперь необходимо определиться с параметрами отдельных видов работ.</t>
  </si>
  <si>
    <t>При погоризонтной подготовке</t>
  </si>
  <si>
    <t>Способ охраны пластовых магистральных штреков: 
1-пластовая выработка , охраняется целиками размером более зоны опорного давления, 
2-пластовая выработка , охраняется целиками размером менее зоны опорного давления, 
3-пластовая выработка, охраняется разгрузочными полосами и угольными целиками, 
4-пластовая выработка, охраняется бутовыми полосами, 
5-пластовая выработка, проведенная по выработанному пространству,</t>
  </si>
  <si>
    <r>
      <t xml:space="preserve">Коэффициенты для вычисления толщины стружки </t>
    </r>
    <r>
      <rPr>
        <b/>
        <sz val="11"/>
        <rFont val="Arial Cyr"/>
        <family val="2"/>
        <charset val="204"/>
      </rPr>
      <t>h</t>
    </r>
    <r>
      <rPr>
        <b/>
        <vertAlign val="subscript"/>
        <sz val="11"/>
        <rFont val="Arial Cyr"/>
        <family val="2"/>
        <charset val="204"/>
      </rPr>
      <t>c</t>
    </r>
    <r>
      <rPr>
        <sz val="11"/>
        <rFont val="Arial Cyr"/>
        <family val="2"/>
        <charset val="204"/>
      </rPr>
      <t xml:space="preserve"> по формуле </t>
    </r>
    <r>
      <rPr>
        <b/>
        <vertAlign val="subscript"/>
        <sz val="10"/>
        <rFont val="Arial Cyr"/>
        <family val="2"/>
        <charset val="204"/>
      </rPr>
      <t xml:space="preserve">                </t>
    </r>
    <r>
      <rPr>
        <b/>
        <sz val="10"/>
        <rFont val="Arial Cyr"/>
        <family val="2"/>
        <charset val="204"/>
      </rPr>
      <t xml:space="preserve">   h</t>
    </r>
    <r>
      <rPr>
        <b/>
        <vertAlign val="subscript"/>
        <sz val="10"/>
        <rFont val="Arial Cyr"/>
        <family val="2"/>
        <charset val="204"/>
      </rPr>
      <t>c</t>
    </r>
    <r>
      <rPr>
        <b/>
        <sz val="10"/>
        <rFont val="Arial Cyr"/>
        <family val="2"/>
        <charset val="204"/>
      </rPr>
      <t>=0,01(a</t>
    </r>
    <r>
      <rPr>
        <b/>
        <vertAlign val="subscript"/>
        <sz val="10"/>
        <rFont val="Arial Cyr"/>
        <family val="2"/>
        <charset val="204"/>
      </rPr>
      <t>1</t>
    </r>
    <r>
      <rPr>
        <b/>
        <sz val="10"/>
        <rFont val="Arial Cyr"/>
        <family val="2"/>
        <charset val="204"/>
      </rPr>
      <t>-a</t>
    </r>
    <r>
      <rPr>
        <b/>
        <vertAlign val="subscript"/>
        <sz val="10"/>
        <rFont val="Arial Cyr"/>
        <family val="2"/>
        <charset val="204"/>
      </rPr>
      <t>2</t>
    </r>
    <r>
      <rPr>
        <b/>
        <sz val="10"/>
        <rFont val="Arial Cyr"/>
        <family val="2"/>
        <charset val="204"/>
      </rPr>
      <t>A</t>
    </r>
    <r>
      <rPr>
        <b/>
        <vertAlign val="subscript"/>
        <sz val="10"/>
        <rFont val="Arial Cyr"/>
        <family val="2"/>
        <charset val="204"/>
      </rPr>
      <t>p</t>
    </r>
    <r>
      <rPr>
        <b/>
        <sz val="10"/>
        <rFont val="Arial Cyr"/>
        <family val="2"/>
        <charset val="204"/>
      </rPr>
      <t>-a</t>
    </r>
    <r>
      <rPr>
        <b/>
        <vertAlign val="subscript"/>
        <sz val="10"/>
        <rFont val="Arial Cyr"/>
        <family val="2"/>
        <charset val="204"/>
      </rPr>
      <t>3</t>
    </r>
    <r>
      <rPr>
        <b/>
        <sz val="10"/>
        <rFont val="Arial Cyr"/>
        <family val="2"/>
        <charset val="204"/>
      </rPr>
      <t>H</t>
    </r>
    <r>
      <rPr>
        <b/>
        <vertAlign val="subscript"/>
        <sz val="10"/>
        <rFont val="Arial Cyr"/>
        <family val="2"/>
        <charset val="204"/>
      </rPr>
      <t>c</t>
    </r>
    <r>
      <rPr>
        <b/>
        <sz val="10"/>
        <rFont val="Arial Cyr"/>
        <family val="2"/>
        <charset val="204"/>
      </rPr>
      <t>)</t>
    </r>
  </si>
  <si>
    <t>Применена ли в проекте дегазация пластов-спутников и пород  1 - Да, 0 - Нет</t>
  </si>
  <si>
    <t>Глубина дегазации пластов-спутников и пород, доли единицы</t>
  </si>
  <si>
    <t>Анализ нижерасположеной таблицы позволяет установить "узкое звено" в технологии работ в лаве</t>
  </si>
  <si>
    <t>Типовая метаноносность при исходной глубине м3/тсбм</t>
  </si>
  <si>
    <t xml:space="preserve">Максимальный в данных условиях шаг установки рамок крепи должен быть меньшим из указанных выше, т.е. </t>
  </si>
  <si>
    <r>
      <t>L</t>
    </r>
    <r>
      <rPr>
        <b/>
        <vertAlign val="subscript"/>
        <sz val="12"/>
        <rFont val="Arial Cyr"/>
        <charset val="204"/>
      </rPr>
      <t>пос</t>
    </r>
    <r>
      <rPr>
        <b/>
        <sz val="12"/>
        <rFont val="Arial Cyr"/>
        <charset val="204"/>
      </rPr>
      <t xml:space="preserve"> = Р</t>
    </r>
    <r>
      <rPr>
        <b/>
        <vertAlign val="subscript"/>
        <sz val="12"/>
        <rFont val="Arial Cyr"/>
        <charset val="204"/>
      </rPr>
      <t>пос</t>
    </r>
    <r>
      <rPr>
        <b/>
        <sz val="12"/>
        <rFont val="Arial Cyr"/>
        <charset val="204"/>
      </rPr>
      <t>/g</t>
    </r>
    <r>
      <rPr>
        <b/>
        <vertAlign val="subscript"/>
        <sz val="12"/>
        <rFont val="Arial Cyr"/>
        <charset val="204"/>
      </rPr>
      <t>пос</t>
    </r>
  </si>
  <si>
    <t>Принятое в проекте расстояние между стойками посадочной крепи, м</t>
  </si>
  <si>
    <t>ПЕРЕХОДИТЕ К РАСЧЕТАМ НАГРУЗКИ ПО ФАКТОРУ ПРОВЕТРИВАНИЯ !!!</t>
  </si>
  <si>
    <t>Нагрузка на лаву по проветриванию, т/сутки</t>
  </si>
  <si>
    <t>Нагрузка на лаву по механизации, т/сутки</t>
  </si>
  <si>
    <t>1 - На всем диапазоне длин лав нагрузка на лаву ограниена одним из факторов;</t>
  </si>
  <si>
    <t>Масса стойки СУГ в зависимости от мощности пласта, кг</t>
  </si>
  <si>
    <t>Номер строки в табл. 63</t>
  </si>
  <si>
    <t>Вспомогательные вычисления (номер строки в табл.63)</t>
  </si>
  <si>
    <t>Номер столбца в табл. 63</t>
  </si>
  <si>
    <t>Поправочный коэффициент:</t>
  </si>
  <si>
    <t>на длину верхняка</t>
  </si>
  <si>
    <t>Сечение пластового штрека в в свету при проведении, м2</t>
  </si>
  <si>
    <t>Сечение дренажного штрека в свету при проведении, м2</t>
  </si>
  <si>
    <t>Сечение дренажного ходка в свету при проведении, м2</t>
  </si>
  <si>
    <t>Сечение угольного уклона в свету при проведении, м2</t>
  </si>
  <si>
    <t xml:space="preserve">Направление подвигания лавы  (0 - по простиранию, 1 - по восстанию, 2 - по падению)) </t>
  </si>
  <si>
    <t>вспомогательное вычисление</t>
  </si>
  <si>
    <t>Струговая установка</t>
  </si>
  <si>
    <t>с металлическими шарнирными верхняками длиной, м</t>
  </si>
  <si>
    <t>с деревянными верхняками, располагаемыми относительно забоя</t>
  </si>
  <si>
    <t>В заисимости от мощности пласта обычно применяются следующие  размеры лавы:</t>
  </si>
  <si>
    <t xml:space="preserve">            при мощности пласта до 0,8 м - до 100 - 130 м</t>
  </si>
  <si>
    <t>В очистном забое имеется сильный отжим угля, в результате чего требуется зачистка почвы для бурения нижних шпуров (0-нет, 1-да)</t>
  </si>
  <si>
    <t>на необходимость зачистки почвы</t>
  </si>
  <si>
    <t>И</t>
  </si>
  <si>
    <t>З</t>
  </si>
  <si>
    <t>О</t>
  </si>
  <si>
    <t>Я</t>
  </si>
  <si>
    <t>Л</t>
  </si>
  <si>
    <t>Й</t>
  </si>
  <si>
    <t xml:space="preserve">В пояснительной записке пояснить принцип принятия решения о выборе конкретного типа </t>
  </si>
  <si>
    <r>
      <t>Номер категории пород кровли по обрушаемости (А</t>
    </r>
    <r>
      <rPr>
        <vertAlign val="subscript"/>
        <sz val="12"/>
        <rFont val="Times New Roman"/>
        <family val="1"/>
        <charset val="204"/>
      </rPr>
      <t>1</t>
    </r>
    <r>
      <rPr>
        <sz val="12"/>
        <rFont val="Times New Roman"/>
        <family val="1"/>
        <charset val="204"/>
      </rPr>
      <t xml:space="preserve"> - 1, А</t>
    </r>
    <r>
      <rPr>
        <vertAlign val="subscript"/>
        <sz val="12"/>
        <rFont val="Times New Roman"/>
        <family val="1"/>
        <charset val="204"/>
      </rPr>
      <t>2</t>
    </r>
    <r>
      <rPr>
        <sz val="12"/>
        <rFont val="Times New Roman"/>
        <family val="1"/>
        <charset val="204"/>
      </rPr>
      <t xml:space="preserve"> - 2, А</t>
    </r>
    <r>
      <rPr>
        <vertAlign val="subscript"/>
        <sz val="12"/>
        <rFont val="Times New Roman"/>
        <family val="1"/>
        <charset val="204"/>
      </rPr>
      <t>3</t>
    </r>
    <r>
      <rPr>
        <sz val="12"/>
        <rFont val="Times New Roman"/>
        <family val="1"/>
        <charset val="204"/>
      </rPr>
      <t xml:space="preserve">  - 3, А</t>
    </r>
    <r>
      <rPr>
        <vertAlign val="subscript"/>
        <sz val="12"/>
        <rFont val="Times New Roman"/>
        <family val="1"/>
        <charset val="204"/>
      </rPr>
      <t>4</t>
    </r>
    <r>
      <rPr>
        <sz val="12"/>
        <rFont val="Times New Roman"/>
        <family val="1"/>
        <charset val="204"/>
      </rPr>
      <t xml:space="preserve"> - 4, А</t>
    </r>
    <r>
      <rPr>
        <vertAlign val="subscript"/>
        <sz val="12"/>
        <rFont val="Times New Roman"/>
        <family val="1"/>
        <charset val="204"/>
      </rPr>
      <t>4</t>
    </r>
    <r>
      <rPr>
        <vertAlign val="superscript"/>
        <sz val="12"/>
        <rFont val="Times New Roman"/>
        <family val="1"/>
        <charset val="204"/>
      </rPr>
      <t>1</t>
    </r>
    <r>
      <rPr>
        <sz val="12"/>
        <rFont val="Times New Roman"/>
        <family val="1"/>
        <charset val="204"/>
      </rPr>
      <t xml:space="preserve"> - 5)                           </t>
    </r>
  </si>
  <si>
    <t xml:space="preserve">Показатель "неблагоприятности" условий согласно категории пород по обрушаемости                        А &gt; 3     </t>
  </si>
  <si>
    <t>Расчетное значение расстояния между стойками посадочной крепи составляет</t>
  </si>
  <si>
    <t>Для продолжения работы в программе ответьте положительно на следующие вопросы</t>
  </si>
  <si>
    <t xml:space="preserve">Можно ли  (1 - да, 2 - нет) применить шаг установки рамок крепи 1 м, если  расстояние между трещинами кровли 0,2 м и мощность обрушающегося слоя 0,2 м? </t>
  </si>
  <si>
    <t>Принятая норма выработки, м3/смена</t>
  </si>
  <si>
    <t>Конец БУТОКОСТРЫ</t>
  </si>
  <si>
    <t>ОРГАНКА</t>
  </si>
  <si>
    <t>Число рядов стоек</t>
  </si>
  <si>
    <t>КОНЕЦ  ОРГАНКА</t>
  </si>
  <si>
    <t>Бутовая полоса из бутового штрека</t>
  </si>
  <si>
    <t>Ширина бутовой полосы, м</t>
  </si>
  <si>
    <r>
      <t>Обьем бутовой полосы, м</t>
    </r>
    <r>
      <rPr>
        <vertAlign val="superscript"/>
        <sz val="11"/>
        <color indexed="8"/>
        <rFont val="Calibri"/>
        <family val="2"/>
        <charset val="204"/>
      </rPr>
      <t>3</t>
    </r>
    <r>
      <rPr>
        <sz val="11"/>
        <color indexed="8"/>
        <rFont val="Calibri"/>
        <family val="2"/>
        <charset val="204"/>
      </rPr>
      <t>/м</t>
    </r>
  </si>
  <si>
    <t>Номер строки в табл.№1 "Нормы выработки, м3 выложенной бутовой полосы"</t>
  </si>
  <si>
    <t>Номер столбца в таблице норм</t>
  </si>
  <si>
    <t>Бурение шпуров в бутовом штреке, объем работ, м</t>
  </si>
  <si>
    <t>количество панелей(четное 1  или не четное 2)</t>
  </si>
  <si>
    <t>200 - 1250</t>
  </si>
  <si>
    <t>1,5 - 4</t>
  </si>
  <si>
    <t>500-1000</t>
  </si>
  <si>
    <t>750 - 1500</t>
  </si>
  <si>
    <t>45 - 90</t>
  </si>
  <si>
    <t>700 - 1200</t>
  </si>
  <si>
    <t>Поддержание магистральных  выработок при погоризонтной подготовке</t>
  </si>
  <si>
    <t xml:space="preserve">конкретной величине пая определяется согласно заданных параметров технологии работ в </t>
  </si>
  <si>
    <t xml:space="preserve">лаве и норм выработки  (параметры технологии задаются пользователем, конкретные </t>
  </si>
  <si>
    <t xml:space="preserve">    Курсовой проект выполняется в условиях уклонной ступени шахтного поля. </t>
  </si>
  <si>
    <t>Вам следует принять решение о делении шахтного поля по падению на выемочные ступени.</t>
  </si>
  <si>
    <t>Примыкание работающего участка к отработанному</t>
  </si>
  <si>
    <t>Какой номер модуля примыкания работающего участка к уже отработанному Вы имели в виду?  (см. таблицу модулей узла примыкания !)</t>
  </si>
  <si>
    <t>Какой номер модуля сопряжения лавы с вентиляционной  выработкой Вы имели в виду?  (см. таблицу модулей узлов сопряжения лавы !)</t>
  </si>
  <si>
    <t>Какой номер модуля сопряжения лавы с транспортной выработкой Вы имели в виду?  (см. таблицу модулей узлов сопряжения лавы !)</t>
  </si>
  <si>
    <t>проверка модуля примыкания</t>
  </si>
  <si>
    <t xml:space="preserve">     На приведенных ниже рисунках показаны возможные конструкции (модули) сопряжения лавы </t>
  </si>
  <si>
    <t>выемочного участка к уже отработанному.</t>
  </si>
  <si>
    <t>Комплектация оборудования лавы при индивидуальной крепи</t>
  </si>
  <si>
    <t>участок (если такие работы проводятся) и примыкание работающего выемочного участка к уже отработанному.</t>
  </si>
  <si>
    <t xml:space="preserve">с транспортной и вентиляционной выработками и возможные модули примыкания работающего </t>
  </si>
  <si>
    <t>Комбинированная обратный ход, движение воздуха по лаве от транспортной выработки к вентиляционной и далее на массив. Вентиляционная выработка  проведена от фланговой выработки вприсечку к старым работам,  за лавой не погашается. Подсвежающая струя от фланговой выработки. Транспортная выработка  проведена заранее и  за лавой не погашается.</t>
  </si>
  <si>
    <t xml:space="preserve">Данное электронное пособие предназначено для студентов специальности </t>
  </si>
  <si>
    <t>"Горное дело" специализации Разработка пластовых месторождений.</t>
  </si>
  <si>
    <t>скребковый конвейер</t>
  </si>
  <si>
    <t>гидравлические стойки (1 шт.)</t>
  </si>
  <si>
    <t xml:space="preserve">гидрофицированная крепь </t>
  </si>
  <si>
    <t>гидрофицированная крепь с учетом длины лавы</t>
  </si>
  <si>
    <t xml:space="preserve">маслостанция </t>
  </si>
  <si>
    <t>гидрофицированная крепь сопряжения</t>
  </si>
  <si>
    <t>отбойный молоток</t>
  </si>
  <si>
    <t>электросверло</t>
  </si>
  <si>
    <t>установка для нагнетания воды в пласт</t>
  </si>
  <si>
    <t>электропила</t>
  </si>
  <si>
    <t>Суммарная нормативная тудоемкость ТО и Р оборудования добычного участка</t>
  </si>
  <si>
    <t>Норматив численности электрослесарей, чел</t>
  </si>
  <si>
    <t>Численность электрослесарей ремонтных, чел/сут</t>
  </si>
  <si>
    <t>Расчетная ширина захвата, м</t>
  </si>
  <si>
    <t>Длина нижней ниши, м</t>
  </si>
  <si>
    <t>Описание "образов"  выработки</t>
  </si>
  <si>
    <t>схемы проветривания участка</t>
  </si>
  <si>
    <t>Размер выемочной ступени  по простиранию, м</t>
  </si>
  <si>
    <t>Средняя величина длины транспортного квершлага на горизонте от пласта до ствола, м</t>
  </si>
  <si>
    <t>Допускаемая суточная нагрузка на пласт, т/сутки</t>
  </si>
  <si>
    <t>Способ подготовки пласта (1 - панельный (этажный),  2 - погоризонтный)</t>
  </si>
  <si>
    <t>Размер выемочной ступени, м</t>
  </si>
  <si>
    <t>"Данные о проектируемой лаве</t>
  </si>
  <si>
    <t>Применяется ли дегазация пласта (1 - Да, 0 - Нет)</t>
  </si>
  <si>
    <t>Применяется ли дегазация выработанного пространства (1 - Да, 0 - Нет)</t>
  </si>
  <si>
    <t>Принятая глубина дегазации пласта, доля единицы</t>
  </si>
  <si>
    <t>Расчетная глубина заложения магистрального полевого штрека и наклонных выработок  под пластом, м (под серединой разгрузочной лавы, но не менее 10 м)</t>
  </si>
  <si>
    <t xml:space="preserve">     Нагрузка на лаву может ограничиваться не только возможностями оборудования, но и возможностями проветривания лавы.</t>
  </si>
  <si>
    <t>Исходные данные</t>
  </si>
  <si>
    <t>Производи-тельность, т/час</t>
  </si>
  <si>
    <t>Произ-води-тель-ность, т/мин</t>
  </si>
  <si>
    <t>Коэф-фициент готов-ности</t>
  </si>
  <si>
    <t>Индекс условий эксплу-атации</t>
  </si>
  <si>
    <t xml:space="preserve">Ознакомьтесь принципом задани размера участка лавы, </t>
  </si>
  <si>
    <t>Установите в таблице исходных данных указатели на принятые параметры !!!</t>
  </si>
  <si>
    <t>ВОЗВРАЩАЙТЕСЬ ПО ССЫЛКЕ ДЛЯ ПРОДОЛЖЕНИЯ РАСЧЕТОВ</t>
  </si>
  <si>
    <t>Продолжительность годового отпуска</t>
  </si>
  <si>
    <t>22 дня в мес</t>
  </si>
  <si>
    <t>25 дней в мес</t>
  </si>
  <si>
    <t>30 дней в мес</t>
  </si>
  <si>
    <t>Таблица 63 ЕНВ стр.200 1993г.</t>
  </si>
  <si>
    <t>узкозахватные комбайны для выемки пологих пластов</t>
  </si>
  <si>
    <t>комбайны для выемки крутых пластов</t>
  </si>
  <si>
    <t>Норма выработки на выемку угля отбойными молотками на пологих пластах с навалкой его на конвейер, т</t>
  </si>
  <si>
    <t>Нормы выработки на крепление очистных забоев гидравлическими стойками, комплект, стойка</t>
  </si>
  <si>
    <t xml:space="preserve">Категория угля по отбойности </t>
  </si>
  <si>
    <t>Состав комплекта крепи</t>
  </si>
  <si>
    <t>I</t>
  </si>
  <si>
    <t>II</t>
  </si>
  <si>
    <t>III</t>
  </si>
  <si>
    <t>IV</t>
  </si>
  <si>
    <t>V</t>
  </si>
  <si>
    <t>VI</t>
  </si>
  <si>
    <t>VII</t>
  </si>
  <si>
    <t>VIII</t>
  </si>
  <si>
    <t>IX</t>
  </si>
  <si>
    <t>Масса стойки, кг</t>
  </si>
  <si>
    <t>Трудоемкость для тр-ного штрека</t>
  </si>
  <si>
    <t>Трудоемкость принятая в расчетах для нижнего штрека</t>
  </si>
  <si>
    <t>Трудоемкость для вент штрека</t>
  </si>
  <si>
    <t>Трудоемкость принятая в расчетах для верхнего  штрека</t>
  </si>
  <si>
    <t>Расч. значение скорости подачи комбайна по тяговому усилию, м/мин   ф 9</t>
  </si>
  <si>
    <t>Расчетное значение скорости подачи комбайна  по мощности привода, м/мин  (обработка таб. А.1)</t>
  </si>
  <si>
    <t>горногеологическим условиям по  обрушаемости кровли пласта;</t>
  </si>
  <si>
    <t>указаны операторы отбора вариантов</t>
  </si>
  <si>
    <t xml:space="preserve">1  Выделить строку </t>
  </si>
  <si>
    <t>Конвейер в лаве</t>
  </si>
  <si>
    <t>Типы механизированных комплексов, возможные в данных условиях</t>
  </si>
  <si>
    <t xml:space="preserve">   вставьте в показанную ниже таблицу  в ячейку столбца А строки</t>
  </si>
  <si>
    <t xml:space="preserve">3 В нижнем правом углу ячеек этой строки появляется клавиша со стрелочкой. </t>
  </si>
  <si>
    <t>4   Кликнуть на стрелочку в столбце Е.</t>
  </si>
  <si>
    <t>5  Появляется всплывающее меню, нажать в этом меню на строку "Условие….".</t>
  </si>
  <si>
    <t>Нажать на кнопку "OK" в этом меню.</t>
  </si>
  <si>
    <t>Параметр  для отбора</t>
  </si>
  <si>
    <t>&lt;=</t>
  </si>
  <si>
    <t>&gt;=</t>
  </si>
  <si>
    <t>120…170</t>
  </si>
  <si>
    <t>Технология строительства горных предприятий. С157 Т12.1</t>
  </si>
  <si>
    <t>S,м2</t>
  </si>
  <si>
    <t>Расход ВВ,кг</t>
  </si>
  <si>
    <t>Доставка к клети в вагонах 3м3. К нормам табл 144</t>
  </si>
  <si>
    <t>применен коэф 0,5. За счет применении лебедок</t>
  </si>
  <si>
    <t>нормы табл 144 увеличены в 2,2 раза.</t>
  </si>
  <si>
    <t>Коичество стоек в нормируемом вагоне  79,5L^(-1,5)</t>
  </si>
  <si>
    <t>Нормы табл 144 с коэф 0,5</t>
  </si>
  <si>
    <t>длина доставки</t>
  </si>
  <si>
    <t>до 50м</t>
  </si>
  <si>
    <t>51-70м</t>
  </si>
  <si>
    <t>71-100м</t>
  </si>
  <si>
    <t>32 ваг</t>
  </si>
  <si>
    <t>25 ваг</t>
  </si>
  <si>
    <t>21ваг</t>
  </si>
  <si>
    <t>Погрузка и откатка крепи на поверности</t>
  </si>
  <si>
    <t>(2) Таб, 149 стр 328</t>
  </si>
  <si>
    <t>Виды работ</t>
  </si>
  <si>
    <t>рас до 50м</t>
  </si>
  <si>
    <t>рас &gt;50м</t>
  </si>
  <si>
    <t>Погрузка с откаткой</t>
  </si>
  <si>
    <t>погруз с откат и выгруз</t>
  </si>
  <si>
    <t>откатка и выгрузка</t>
  </si>
  <si>
    <t>Технология строительства горных предприятий. С157 Т12.2 Гузеев А.Г.</t>
  </si>
  <si>
    <t>Кол-во шпуров</t>
  </si>
  <si>
    <t>Таблица 65 ЕНВ стр.203 1993г.</t>
  </si>
  <si>
    <t>Таблица 65б ЕНВ стр.203 1993г.</t>
  </si>
  <si>
    <t>Данные о подготавливающих выработках как при панельной, так и при погоризонтной подготовке</t>
  </si>
  <si>
    <t>Сечение полевого магистрального штрека в эксплуатации, м2</t>
  </si>
  <si>
    <t>Сечение пластового магистрального штрека в эксплуатации, м2</t>
  </si>
  <si>
    <t>Тип  комбайна при комбайновой проходке  (1 - тяжелый - 1ГПКС, 1ГПКС-04, КСП-21, КСП-22, КП-25,  2 - средний - П-110, КПД,КСП-32, КСП-33, КСП-35, КП-21)</t>
  </si>
  <si>
    <t>Способ погрузки породы  при проходке с БВР  1 - ППМ, 2 - вручную</t>
  </si>
  <si>
    <t>Общие данные для проведения участковых выработок</t>
  </si>
  <si>
    <t>Время подготовительно-заключительных  операций в сутки, мин</t>
  </si>
  <si>
    <t xml:space="preserve">Время подготовительно-заключительных операций в смену, мин </t>
  </si>
  <si>
    <t xml:space="preserve">                        Этот раздел вычислений не требует!</t>
  </si>
  <si>
    <t>Категория пород кровли по устойчивости  по ИГД им. А.А. Скочинского</t>
  </si>
  <si>
    <t>Все указанные в таблице комплексы согласно проведенным вычислениям удовлетворяют  заданным природным условиям.</t>
  </si>
  <si>
    <r>
      <t xml:space="preserve">Величина породной подушки на перекрытии секции  </t>
    </r>
    <r>
      <rPr>
        <b/>
        <sz val="10"/>
        <color indexed="10"/>
        <rFont val="Times New Roman"/>
        <family val="1"/>
        <charset val="204"/>
      </rPr>
      <t>t</t>
    </r>
    <r>
      <rPr>
        <b/>
        <vertAlign val="subscript"/>
        <sz val="10"/>
        <color indexed="10"/>
        <rFont val="Times New Roman"/>
        <family val="1"/>
        <charset val="204"/>
      </rPr>
      <t>3</t>
    </r>
    <r>
      <rPr>
        <sz val="10"/>
        <color indexed="10"/>
        <rFont val="Times New Roman"/>
        <family val="1"/>
        <charset val="204"/>
      </rPr>
      <t>, мм (20-50 мм)</t>
    </r>
  </si>
  <si>
    <t>Погашение транспортной выработки (0-нет, 1-да)</t>
  </si>
  <si>
    <t>Погашение вентиляционной выработки (0-нет, 1-да)</t>
  </si>
  <si>
    <t>Охрана вентиляционной выработки</t>
  </si>
  <si>
    <t>Охрана транспортной выработки</t>
  </si>
  <si>
    <t>Число рабочих дней в месяц</t>
  </si>
  <si>
    <t>Длина деревянного верхняка индивидуальной крепи над головкой конвейера, м</t>
  </si>
  <si>
    <t>Длина балки индивидуальной крепи над головкой конвейера, м</t>
  </si>
  <si>
    <t>Длина деревянного верхняка для крепления ниши, м</t>
  </si>
  <si>
    <t>Таблица 58 ЕНВ стр.192 1993г.</t>
  </si>
  <si>
    <t xml:space="preserve">                           Транспортная выработка</t>
  </si>
  <si>
    <t xml:space="preserve">  Вентиляционная выработка</t>
  </si>
  <si>
    <t>вар 1.1.1</t>
  </si>
  <si>
    <t>вар 2.2.1</t>
  </si>
  <si>
    <t>вар 2.2.4</t>
  </si>
  <si>
    <t>вар 1.4.4</t>
  </si>
  <si>
    <t>вар 2.4.1</t>
  </si>
  <si>
    <t>вар 2.4.4.</t>
  </si>
  <si>
    <t>вар 8.6.1</t>
  </si>
  <si>
    <t>вар 8.6.4</t>
  </si>
  <si>
    <r>
      <t>Вентиляционная выработка</t>
    </r>
    <r>
      <rPr>
        <sz val="12"/>
        <rFont val="Times New Roman"/>
        <family val="1"/>
        <charset val="204"/>
      </rPr>
      <t xml:space="preserve"> проводится (восстанавливается) вместе с лавой - 1, или проведена заранее - 2?</t>
    </r>
  </si>
  <si>
    <t>вар 221</t>
  </si>
  <si>
    <t>вап 114</t>
  </si>
  <si>
    <t>вар 111</t>
  </si>
  <si>
    <t>вар 224</t>
  </si>
  <si>
    <t>вар 144</t>
  </si>
  <si>
    <t>вар 241</t>
  </si>
  <si>
    <t>вар 244</t>
  </si>
  <si>
    <t xml:space="preserve">    Таблица 8  Параметры, необходимые для вычисления нагрузки на лаву</t>
  </si>
  <si>
    <t>Комбинированная обратный ход, проветривание от вентиляционной выработки  к транспортной и далее на выработанное пространство. Вентиляционная выработка  проводится  за лавой через целик более  Lоп. Транспортная выработка проведена ранее и не погашается. Подсвежающая струя - на фланговую выработку.</t>
  </si>
  <si>
    <t>Комбинированная обратный ход, проветривание от вентиляционной выработки  к транспортной и далее на выработанное пространство. Вентиляционная выработка  проводится  за лавой через целик менее  Lоп. Транспортная выработка проведена ранее и не погашается. Подсвежающая струя - на фланговую выработку.</t>
  </si>
  <si>
    <t>Комбинированная обратный ход, проветривание от вентиляционной выработки  к транспортной и далее на выработанное пространство. Вентиляционная выработка  проводится  за лавой вприсечку к выработанному пространству. Транспортная выработка проведена ранее и не погашается. Подсвежающая струя - на фланговую выработку.</t>
  </si>
  <si>
    <t>Комбинированная обратный ход, проветривание от вентиляционной выработки  к транспортной и далее на выработанное пространство. Вентиляционная выработка  - повторно используемая транспортная выработка. Транспортная выработка проведена ранее и не погашается. Подсвежающая струя - на фланговую выработку.</t>
  </si>
  <si>
    <t>Допустимая скорость воздуха в штреке,  м/с</t>
  </si>
  <si>
    <t>головка вынесена - 1, нет - 0</t>
  </si>
  <si>
    <t>размер головки, мм</t>
  </si>
  <si>
    <t>Норма выработки по извлечению стоек</t>
  </si>
  <si>
    <t>Номер строки в таблице 68</t>
  </si>
  <si>
    <t xml:space="preserve">Норма табличная </t>
  </si>
  <si>
    <t>По мощности породных прослоек и мощности обрушающейся ложной кровли</t>
  </si>
  <si>
    <t>Трудоемкость по извлечению стоек чел.смен.на цикл</t>
  </si>
  <si>
    <t>Норма выработки на снятие верхняков при погашении лавы</t>
  </si>
  <si>
    <t xml:space="preserve">Вспомогательные вычисления номера столбца </t>
  </si>
  <si>
    <t>Определение строки в таблице 66</t>
  </si>
  <si>
    <t>Общий шахтный коэффициент</t>
  </si>
  <si>
    <t>Проведена посреди лавы?</t>
  </si>
  <si>
    <t>Имеется механизированная крепь сопряжения?</t>
  </si>
  <si>
    <t xml:space="preserve">На конце лавы есть механизированная крепь? </t>
  </si>
  <si>
    <t>2) Лава-Вентиляционная выработка</t>
  </si>
  <si>
    <t>Тип струговой установки</t>
  </si>
  <si>
    <t>Транспортное оборудование на транспортном штреке</t>
  </si>
  <si>
    <t>Вид основного транспорта по штреку</t>
  </si>
  <si>
    <t>Вид крепи</t>
  </si>
  <si>
    <t>Количество смен по добыче в сутки</t>
  </si>
  <si>
    <t xml:space="preserve">Проведена  БВР? </t>
  </si>
  <si>
    <t>С увеличением высоты струга при прочих равных условиях толщина стружки 1 - должна уменьшаться, 2 - должна увеличиваться, 3 - высота струга на толщину стружки не влияет.</t>
  </si>
  <si>
    <t>С увеличением сопротивляемости угля резанию при прочих равных условиях толщина стружки 1 - должна увеличиваться, 2 - должна уменьшаться, 3 - высота струга на толщину стружки не влияет.</t>
  </si>
  <si>
    <t>Если скорость струга 1,73 м/с а скорость коныейеной цепи 0,65 м/с, то имеет место: 1 - 1-й режим работы установки, 2 - 2-й режим работы установки, 3 - 3-й режим работы установки.</t>
  </si>
  <si>
    <t>РАСЧЕТЫ  ПО СТРУГОВОЙ ЛАВЕ</t>
  </si>
  <si>
    <t xml:space="preserve">Гипсометрия пласта </t>
  </si>
  <si>
    <t xml:space="preserve">Пройдена вприсечку к выработанному пространству?  </t>
  </si>
  <si>
    <t xml:space="preserve">Проведена посреди лавы? </t>
  </si>
  <si>
    <r>
      <t xml:space="preserve">Величина подштыбовки завальной боковины конвейера </t>
    </r>
    <r>
      <rPr>
        <b/>
        <sz val="10"/>
        <color indexed="10"/>
        <rFont val="Times New Roman"/>
        <family val="1"/>
        <charset val="204"/>
      </rPr>
      <t>t</t>
    </r>
    <r>
      <rPr>
        <b/>
        <vertAlign val="subscript"/>
        <sz val="10"/>
        <color indexed="10"/>
        <rFont val="Times New Roman"/>
        <family val="1"/>
        <charset val="204"/>
      </rPr>
      <t xml:space="preserve">к   </t>
    </r>
    <r>
      <rPr>
        <vertAlign val="subscript"/>
        <sz val="16"/>
        <color indexed="10"/>
        <rFont val="Times New Roman"/>
        <family val="1"/>
        <charset val="204"/>
      </rPr>
      <t>мм (30-60)</t>
    </r>
  </si>
  <si>
    <r>
      <t xml:space="preserve">Толщина штыбовой подушки под основанием крепи   </t>
    </r>
    <r>
      <rPr>
        <b/>
        <sz val="10"/>
        <color indexed="10"/>
        <rFont val="Times New Roman"/>
        <family val="1"/>
        <charset val="204"/>
      </rPr>
      <t>t</t>
    </r>
    <r>
      <rPr>
        <b/>
        <vertAlign val="subscript"/>
        <sz val="10"/>
        <color indexed="10"/>
        <rFont val="Times New Roman"/>
        <family val="1"/>
        <charset val="204"/>
      </rPr>
      <t>o,</t>
    </r>
    <r>
      <rPr>
        <vertAlign val="subscript"/>
        <sz val="16"/>
        <color indexed="10"/>
        <rFont val="Times New Roman"/>
        <family val="1"/>
        <charset val="204"/>
      </rPr>
      <t>мм(0-30мм)</t>
    </r>
  </si>
  <si>
    <t>2,11-2,20</t>
  </si>
  <si>
    <t>2,21-2,30</t>
  </si>
  <si>
    <t>2,31 и более</t>
  </si>
  <si>
    <t>Длина лавы до 101-140 м</t>
  </si>
  <si>
    <t>Длина лавы 141 м и более</t>
  </si>
  <si>
    <t>Длина лавы 101-140 м</t>
  </si>
  <si>
    <t>табл.31 ЕНВ 1993г</t>
  </si>
  <si>
    <t>до 1,40</t>
  </si>
  <si>
    <t>1,41-1,60</t>
  </si>
  <si>
    <t>1,61-1,80</t>
  </si>
  <si>
    <t>1,81-2,00</t>
  </si>
  <si>
    <t>2,01-2,20</t>
  </si>
  <si>
    <t>2,21-2,40</t>
  </si>
  <si>
    <t>2,41 и более</t>
  </si>
  <si>
    <t>Длина лавы до 120 м</t>
  </si>
  <si>
    <t>Длина лавы 121-150 м</t>
  </si>
  <si>
    <t>Длина лавы 151-180 м</t>
  </si>
  <si>
    <t>шаг установки крепи Спутник</t>
  </si>
  <si>
    <t>кол-во крепей в лаве</t>
  </si>
  <si>
    <t>шаг посадки кровли, м</t>
  </si>
  <si>
    <t>кол-во передвижек за смену</t>
  </si>
  <si>
    <t>объем работ</t>
  </si>
  <si>
    <t>Всего трудоемкость работ на смену, чел.см</t>
  </si>
  <si>
    <t>время передв 1 домкрата, мин</t>
  </si>
  <si>
    <t>Проектный коэф готовности</t>
  </si>
  <si>
    <t xml:space="preserve">Наименьшая производительность (скребковых и ленточных </t>
  </si>
  <si>
    <t>коэф снижения скорости передвижки (установки) крепи за подвиганием забоя вследствие местных обрушений нижних слоев  kкр  (ф 78.1 карандаш)</t>
  </si>
  <si>
    <t>Глубина работ в действующей лаве, м</t>
  </si>
  <si>
    <t xml:space="preserve">Факт. относительное метановыделение из выработанного пр-ва,м3/т.с.д </t>
  </si>
  <si>
    <t xml:space="preserve">                           Рис. 1 Зависимость срока службы шахты от ее проектной мощности</t>
  </si>
  <si>
    <t>В скобках указаны номера формул и таблиц "Руководство по проектированию вентиляции</t>
  </si>
  <si>
    <t>угольных шахт" Киев, 1994, 312 с.</t>
  </si>
  <si>
    <t>Промежуточные вычисления</t>
  </si>
  <si>
    <t>Объемный выход летучих веществ, мл/г с.б.м. (по опыту Vобdaf=30*Vdaf)</t>
  </si>
  <si>
    <t>Размер условного пояса дренирования, м [по табл. 3.5]</t>
  </si>
  <si>
    <t>Коэф. учитывающий изменение условий отработки участка [табл. 3.1]</t>
  </si>
  <si>
    <r>
      <t>Остаточная метаноносность угля, м3/т c.б.м  ( Если Vоб</t>
    </r>
    <r>
      <rPr>
        <vertAlign val="superscript"/>
        <sz val="10"/>
        <rFont val="Arial Cyr"/>
        <charset val="204"/>
      </rPr>
      <t>daf</t>
    </r>
    <r>
      <rPr>
        <sz val="10"/>
        <rFont val="Arial Cyr"/>
        <charset val="204"/>
      </rPr>
      <t xml:space="preserve"> &gt;165 по [табл 3.1], иначе Xо.г = 0,15*Vобdaf - 13,6 [ф. 3.34])</t>
    </r>
  </si>
  <si>
    <t>до 2,2м = 12,9*L +1,7, более 2,2м 28,4м3</t>
  </si>
  <si>
    <t>Длина</t>
  </si>
  <si>
    <t>Норма, м3</t>
  </si>
  <si>
    <t>принятое сечение в свету после осадки c с учетом требований ПБ, м2</t>
  </si>
  <si>
    <t>Установление экономичной податливости крепи</t>
  </si>
  <si>
    <t>экономичная величина податливости крепи, мм</t>
  </si>
  <si>
    <t>принятая величина податливости крепи, мм</t>
  </si>
  <si>
    <t>Вентиляционная выработка</t>
  </si>
  <si>
    <t>Допустимая скорость, м/с</t>
  </si>
  <si>
    <t>ширина штрека после осадки исходя из оборудования, мм</t>
  </si>
  <si>
    <t>Расчеты экономичной величины податливости крепи</t>
  </si>
  <si>
    <t>Длина верхняка индивидуальной крепи над головкой конвейера, м</t>
  </si>
  <si>
    <t>Масса стойкм СУГ в зависимости от мощности пласта, кг</t>
  </si>
  <si>
    <t>на крепление в нише (табличный)</t>
  </si>
  <si>
    <t>на крепление ниш (табличный)</t>
  </si>
  <si>
    <t>Извлечение установленного комплекта (дер.стойки под мет.верхняком в выработ.пространстве) над головкой конвейера</t>
  </si>
  <si>
    <t>Норма выработки табличная(принятая)</t>
  </si>
  <si>
    <t>Установка комплекта индивид.крепи в месте охраны выработки (3 дер.стойки под дер.верхняк) в нише</t>
  </si>
  <si>
    <t>Длина верхняка инд крепи, устанавливаемого при извлечении мет верхняка, м</t>
  </si>
  <si>
    <t xml:space="preserve">            при мощности пласта от 0,8 м до 1,2 м   - в пределах от 130м до 180 м</t>
  </si>
  <si>
    <t>Примечание: сущность варианта смотри в строке</t>
  </si>
  <si>
    <t>1 - скорость воздушной струи в лаве не должна превышать 4 м/секунду, а содержание метана в</t>
  </si>
  <si>
    <t>исходящей из лавы воздушной струе не должна превышать 1%.</t>
  </si>
  <si>
    <t>о газовыделение в лаву-аналог и величине добычи этой лавы, при которой были проведены замеры газовыделения.</t>
  </si>
  <si>
    <t xml:space="preserve">    Вычисления проведены при длине лавы в диапазоне от 100 м до 300 м.</t>
  </si>
  <si>
    <t>Схема проветривания лавы -</t>
  </si>
  <si>
    <t xml:space="preserve">Дегазация пласта - </t>
  </si>
  <si>
    <t xml:space="preserve">Дегазация выработанного пространства - </t>
  </si>
  <si>
    <t xml:space="preserve">                  Схема проветривания проектируемого участка по МакНИИ (1 - 1-B , 2 - 1-M, 3 - 2-B, 4 - 3-B).</t>
  </si>
  <si>
    <t>1-В</t>
  </si>
  <si>
    <t>1-М</t>
  </si>
  <si>
    <t>2-В</t>
  </si>
  <si>
    <t>3-В</t>
  </si>
  <si>
    <t xml:space="preserve">               Схема вскрытия при круговом околоствольном дворе</t>
  </si>
  <si>
    <t xml:space="preserve">                        Схема вскрытия при петлевом околоствольном дворе</t>
  </si>
  <si>
    <t xml:space="preserve">     Для построения схемы вскрытия на чертеже геологического разреза наносят:</t>
  </si>
  <si>
    <t xml:space="preserve">     квершлаг (если околоствольный двор круговой), стволы и вентиляциоееый квершлаг;</t>
  </si>
  <si>
    <t xml:space="preserve">     квершлаг и часть околоствольного двора длиной 500 - 100м (если околоствольный двор петлевой), </t>
  </si>
  <si>
    <t xml:space="preserve"> Примеры  соответствующей схемы вскрытия показаны ниже.</t>
  </si>
  <si>
    <t xml:space="preserve">                                                                                        Переходите к строке</t>
  </si>
  <si>
    <r>
      <t xml:space="preserve">Расстояние горизонтальное между пластами </t>
    </r>
    <r>
      <rPr>
        <b/>
        <sz val="12"/>
        <rFont val="Times New Roman"/>
        <family val="1"/>
        <charset val="204"/>
      </rPr>
      <t>h</t>
    </r>
    <r>
      <rPr>
        <b/>
        <vertAlign val="subscript"/>
        <sz val="12"/>
        <rFont val="Times New Roman"/>
        <family val="1"/>
        <charset val="204"/>
      </rPr>
      <t>1</t>
    </r>
    <r>
      <rPr>
        <b/>
        <sz val="12"/>
        <rFont val="Times New Roman"/>
        <family val="1"/>
        <charset val="204"/>
      </rPr>
      <t xml:space="preserve">   -  h</t>
    </r>
    <r>
      <rPr>
        <b/>
        <vertAlign val="subscript"/>
        <sz val="12"/>
        <rFont val="Times New Roman"/>
        <family val="1"/>
        <charset val="204"/>
      </rPr>
      <t>2,</t>
    </r>
    <r>
      <rPr>
        <b/>
        <sz val="12"/>
        <rFont val="Times New Roman"/>
        <family val="1"/>
        <charset val="204"/>
      </rPr>
      <t xml:space="preserve"> </t>
    </r>
    <r>
      <rPr>
        <sz val="12"/>
        <rFont val="Times New Roman"/>
        <family val="1"/>
        <charset val="204"/>
      </rPr>
      <t>м</t>
    </r>
  </si>
  <si>
    <r>
      <t xml:space="preserve">Расстояние горизонтальное между пластами </t>
    </r>
    <r>
      <rPr>
        <b/>
        <sz val="12"/>
        <rFont val="Times New Roman"/>
        <family val="1"/>
        <charset val="204"/>
      </rPr>
      <t>h</t>
    </r>
    <r>
      <rPr>
        <b/>
        <vertAlign val="subscript"/>
        <sz val="12"/>
        <rFont val="Times New Roman"/>
        <family val="1"/>
        <charset val="204"/>
      </rPr>
      <t>2</t>
    </r>
    <r>
      <rPr>
        <b/>
        <sz val="12"/>
        <rFont val="Times New Roman"/>
        <family val="1"/>
        <charset val="204"/>
      </rPr>
      <t xml:space="preserve">   -  h</t>
    </r>
    <r>
      <rPr>
        <b/>
        <vertAlign val="subscript"/>
        <sz val="12"/>
        <rFont val="Times New Roman"/>
        <family val="1"/>
        <charset val="204"/>
      </rPr>
      <t xml:space="preserve">3, </t>
    </r>
    <r>
      <rPr>
        <sz val="12"/>
        <rFont val="Times New Roman"/>
        <family val="1"/>
        <charset val="204"/>
      </rPr>
      <t>м</t>
    </r>
  </si>
  <si>
    <r>
      <t xml:space="preserve">Расстояние горизонтальное между пластами </t>
    </r>
    <r>
      <rPr>
        <b/>
        <sz val="12"/>
        <rFont val="Times New Roman"/>
        <family val="1"/>
        <charset val="204"/>
      </rPr>
      <t>h</t>
    </r>
    <r>
      <rPr>
        <b/>
        <vertAlign val="subscript"/>
        <sz val="12"/>
        <rFont val="Times New Roman"/>
        <family val="1"/>
        <charset val="204"/>
      </rPr>
      <t>3</t>
    </r>
    <r>
      <rPr>
        <b/>
        <sz val="12"/>
        <rFont val="Times New Roman"/>
        <family val="1"/>
        <charset val="204"/>
      </rPr>
      <t xml:space="preserve">  -  h</t>
    </r>
    <r>
      <rPr>
        <b/>
        <vertAlign val="subscript"/>
        <sz val="12"/>
        <rFont val="Times New Roman"/>
        <family val="1"/>
        <charset val="204"/>
      </rPr>
      <t xml:space="preserve">4, </t>
    </r>
    <r>
      <rPr>
        <sz val="12"/>
        <rFont val="Times New Roman"/>
        <family val="1"/>
        <charset val="204"/>
      </rPr>
      <t>м</t>
    </r>
  </si>
  <si>
    <r>
      <t>7. По линии пласта</t>
    </r>
    <r>
      <rPr>
        <b/>
        <sz val="12"/>
        <rFont val="Times New Roman"/>
        <family val="1"/>
        <charset val="204"/>
      </rPr>
      <t xml:space="preserve"> h</t>
    </r>
    <r>
      <rPr>
        <b/>
        <vertAlign val="subscript"/>
        <sz val="12"/>
        <rFont val="Times New Roman"/>
        <family val="1"/>
        <charset val="204"/>
      </rPr>
      <t>1</t>
    </r>
    <r>
      <rPr>
        <sz val="12"/>
        <rFont val="Times New Roman"/>
        <family val="1"/>
        <charset val="204"/>
      </rPr>
      <t xml:space="preserve"> от верхней его границы отдожить расстояние </t>
    </r>
    <r>
      <rPr>
        <b/>
        <sz val="12"/>
        <rFont val="Times New Roman"/>
        <family val="1"/>
        <charset val="204"/>
      </rPr>
      <t>Н</t>
    </r>
    <r>
      <rPr>
        <b/>
        <vertAlign val="subscript"/>
        <sz val="12"/>
        <rFont val="Times New Roman"/>
        <family val="1"/>
        <charset val="204"/>
      </rPr>
      <t>ст1</t>
    </r>
    <r>
      <rPr>
        <sz val="12"/>
        <rFont val="Times New Roman"/>
        <family val="1"/>
        <charset val="204"/>
      </rPr>
      <t xml:space="preserve"> (размер первой ступени) и провести</t>
    </r>
  </si>
  <si>
    <t xml:space="preserve">           горизонтальную линию - линия глубины первого подъемного горизонта.</t>
  </si>
  <si>
    <r>
      <t>8. По линии пласта</t>
    </r>
    <r>
      <rPr>
        <b/>
        <sz val="12"/>
        <rFont val="Times New Roman"/>
        <family val="1"/>
        <charset val="204"/>
      </rPr>
      <t xml:space="preserve"> h</t>
    </r>
    <r>
      <rPr>
        <b/>
        <vertAlign val="subscript"/>
        <sz val="12"/>
        <rFont val="Times New Roman"/>
        <family val="1"/>
        <charset val="204"/>
      </rPr>
      <t>1</t>
    </r>
    <r>
      <rPr>
        <sz val="12"/>
        <rFont val="Times New Roman"/>
        <family val="1"/>
        <charset val="204"/>
      </rPr>
      <t xml:space="preserve"> от нижней границы первой ступени  </t>
    </r>
    <r>
      <rPr>
        <b/>
        <sz val="12"/>
        <rFont val="Times New Roman"/>
        <family val="1"/>
        <charset val="204"/>
      </rPr>
      <t>Н</t>
    </r>
    <r>
      <rPr>
        <b/>
        <vertAlign val="subscript"/>
        <sz val="12"/>
        <rFont val="Times New Roman"/>
        <family val="1"/>
        <charset val="204"/>
      </rPr>
      <t>ст2</t>
    </r>
    <r>
      <rPr>
        <sz val="12"/>
        <rFont val="Times New Roman"/>
        <family val="1"/>
        <charset val="204"/>
      </rPr>
      <t xml:space="preserve"> (размер второй ступени) и провести</t>
    </r>
  </si>
  <si>
    <t xml:space="preserve">           горизонтальную линию - линия глубины второго подъемного горизонта.</t>
  </si>
  <si>
    <t xml:space="preserve">   На границах между ступенями  будут сооружены околоствольные дворы.</t>
  </si>
  <si>
    <t>Вскрытие с двумя подъемными горизонтами</t>
  </si>
  <si>
    <t>Это первый подъемный горизонт. На этом горизонте сооружается околоствольный двор.</t>
  </si>
  <si>
    <t xml:space="preserve">     По мере отработки запасов первой ступени стволы углубляют до уровня границы между</t>
  </si>
  <si>
    <t>в двух третях от входа в околоствольный двор. Так, если размер околоствольного двора 300 м,</t>
  </si>
  <si>
    <t>благоприятных условиях работы одна резервно-действующая лава должна быть на каждые 5 - 6 действующих</t>
  </si>
  <si>
    <t xml:space="preserve"> лав, при разработке пластов в сложных и изменяющихся горно-геологических условиях -  одна резервно-  </t>
  </si>
  <si>
    <t>Вид транспорта угля по магистральным выработкам 1 - конвейер, 2 - локомотив</t>
  </si>
  <si>
    <t>Параметры поддержания транспортной выработки  работающей лавы</t>
  </si>
  <si>
    <t>В каком случае комбайновая ниша будет иметь минимальный размер? (1 - при фронтальной задвижке комбайна в нишу, 2 - при работе 'косыми заездами', 3 - при вынесенной на штрек головке конвейера и работе 'косыми заездами)</t>
  </si>
  <si>
    <t>то чем из большего числа последовательно работающего оборудования состоит цепь угледобычи, тем</t>
  </si>
  <si>
    <t>Ззначение возможной нагрузки на лаву вычислено в диапазоне ее длины  от 100 м до 300 м через 50 м !!</t>
  </si>
  <si>
    <t>Ответьте на следующие вопросы:</t>
  </si>
  <si>
    <t>Влияет ли длина лавы на величину скорости крепления кровли? Да - 1, Нет - 2</t>
  </si>
  <si>
    <t>Является ли скорость крепления ограничивающим фактором для производительности комбайна? Да - 1, Нет - 2</t>
  </si>
  <si>
    <t xml:space="preserve">Поскольку остановка одного из звеньев угледобычи  приводит к остановке всего процесса, </t>
  </si>
  <si>
    <t>всегла меньше 1!  В программу введены значения коэффициентов готовности (показатель</t>
  </si>
  <si>
    <r>
      <t xml:space="preserve">       k</t>
    </r>
    <r>
      <rPr>
        <b/>
        <vertAlign val="subscript"/>
        <sz val="12"/>
        <rFont val="Times New Roman Cyr"/>
        <charset val="204"/>
      </rPr>
      <t>м</t>
    </r>
    <r>
      <rPr>
        <sz val="12"/>
        <rFont val="Times New Roman Cyr"/>
        <charset val="204"/>
      </rPr>
      <t xml:space="preserve">   -  сменный коэффициент машинного времени комбайна по выемке угля.</t>
    </r>
  </si>
  <si>
    <t xml:space="preserve">  надежности) каждого типа оборудования, заданного Вами при проектировании. Исходя из заданной </t>
  </si>
  <si>
    <t>категории пород кровли по устойчивости  программа вычисляет коэффициент готовности процесса</t>
  </si>
  <si>
    <t xml:space="preserve"> крепления лавы.</t>
  </si>
  <si>
    <t xml:space="preserve">при прочих равных условиях будет меньше надежность работы всей цепи и, следовательно, меньше </t>
  </si>
  <si>
    <t>величина коэффициента м</t>
  </si>
  <si>
    <t>ашинного времени.</t>
  </si>
  <si>
    <t xml:space="preserve">осуществляется при изучении учебного курса "Горные машины". В данном курсовом проекте расчет </t>
  </si>
  <si>
    <t>Комбинированная прямой ход,  движение воздуха по лаве от транспортной выработки к вентиляционной и на массив, Вентиляционная выработка проводится вприсечку к старым работам, за лавой не погашается. Транспортная выработка проводится  за лавой.</t>
  </si>
  <si>
    <t>Свойства угля 1 - вязкий, 2 - хрупкий, 3 - очень хрупкий</t>
  </si>
  <si>
    <t>Несущая способность почвы пласта в лаве, МПа</t>
  </si>
  <si>
    <t>Применяется ли селективная выемка? Да - 1, Нет - 0</t>
  </si>
  <si>
    <t>Вы имеете право изменить показатель, если Вы не согласны с указанной величиной</t>
  </si>
  <si>
    <t>Длина конвейера участкового, м</t>
  </si>
  <si>
    <t>Вид затяжки  (3-металлическая сетка     2-железобетон ,   1-дерево )</t>
  </si>
  <si>
    <t>Приток воды в выработку (до 6 м3/час - 0, более - 1)</t>
  </si>
  <si>
    <t>Погрузка породы при проходке 2 - в вагонетки, 1- на конвейер</t>
  </si>
  <si>
    <t xml:space="preserve">Уточните предварительно вычерченую Вами на листе бумаги схему выработок выемочного участка и </t>
  </si>
  <si>
    <t xml:space="preserve">подготавливающих выработок.с указанием направления грузопотока и воздушной струи при заданном способе </t>
  </si>
  <si>
    <t>подготовки выемочной ступени.</t>
  </si>
  <si>
    <t>Размер целика при охране магистрального пластового штрека угольными целиками, м</t>
  </si>
  <si>
    <t>Размер целика при охране дренажного пластового штрека угольными целиками, м</t>
  </si>
  <si>
    <t>Размер целика при охране наклонных выработок угольными целиками, м</t>
  </si>
  <si>
    <t xml:space="preserve"> ИДЕНТИФИКАЦИЯ РАССМАТРИВАЕМОГО ВАРИАНТА  СИСТЕМЫ РАЗРАБОТКИ</t>
  </si>
  <si>
    <t>27 - 32</t>
  </si>
  <si>
    <t>3000 - 6000</t>
  </si>
  <si>
    <t>2   -   3</t>
  </si>
  <si>
    <t>200 - 300</t>
  </si>
  <si>
    <t>2 - 2,5</t>
  </si>
  <si>
    <t>1   -   2</t>
  </si>
  <si>
    <t>6  -  12</t>
  </si>
  <si>
    <t>60  -  150</t>
  </si>
  <si>
    <t>300  -  1000</t>
  </si>
  <si>
    <t>1  -  2</t>
  </si>
  <si>
    <t>0,5  -  1,0</t>
  </si>
  <si>
    <t>150 - 300</t>
  </si>
  <si>
    <t>Процент начислений на зарплату, %</t>
  </si>
  <si>
    <t>Скорость проведения подготавливающих выработок, м/мес</t>
  </si>
  <si>
    <t>Длина крыла панели при этом числе панелей</t>
  </si>
  <si>
    <t xml:space="preserve">Далее Вам следует принять окончательное решение об одновременности и очередности разработки пластов и </t>
  </si>
  <si>
    <t xml:space="preserve">4 - если сумма показателей "неблагоприятности" больше 2 - 1 лава на 3 действующих, т.е количество лав по </t>
  </si>
  <si>
    <t xml:space="preserve">    данному пласту увеличивается с коэффициентом 1/3, т.е. 1+1/3=1,33</t>
  </si>
  <si>
    <t>Протяженность зоны нарушенности пласта на 1000 м размера шахтного поля, м</t>
  </si>
  <si>
    <t>нарушения  к  1000 метров  длины выемочного участка.</t>
  </si>
  <si>
    <t xml:space="preserve">Пласты </t>
  </si>
  <si>
    <t>от 100 м до 300 м. Вы имеете возможность проанализировать факторы, которые являются ограничивающими</t>
  </si>
  <si>
    <t xml:space="preserve">нагрузку на лаву. </t>
  </si>
  <si>
    <t xml:space="preserve">                              РАСЧЕТ НАГРУЗКИ НА ЛАВУ</t>
  </si>
  <si>
    <t xml:space="preserve">                      ПО ФАКТИЧЕСКОМУ ГАЗОВЫДЕЛЕНИЮ</t>
  </si>
  <si>
    <t>расчетные формулы и пояснения к ним. Таблица копируется и вставляются в текст пояснительной записки.</t>
  </si>
  <si>
    <t xml:space="preserve">Выполнить проект вскрытия, подготовки, системы разработки и технологии работ </t>
  </si>
  <si>
    <t>Задание на курсовой проект</t>
  </si>
  <si>
    <t>эксплуатацию, если она в состоянии обеспечить половину проектной мощности.</t>
  </si>
  <si>
    <t>Норма выработки табличная, стойка</t>
  </si>
  <si>
    <t>Дополнительные вычисления</t>
  </si>
  <si>
    <t>Номер строки в табл.65</t>
  </si>
  <si>
    <t>Вспомогательные вычисления (номер строки в табл. 65)</t>
  </si>
  <si>
    <t>Номер столбца в табл.65</t>
  </si>
  <si>
    <t>Поправочные коэффициенты</t>
  </si>
  <si>
    <t>Крепление стойками под верхняк из круглого лесоматериала ( 0-нет, 1-да)</t>
  </si>
  <si>
    <t>на форму стоек</t>
  </si>
  <si>
    <t>1) сопряжение с транспортной выработкой</t>
  </si>
  <si>
    <t>Коэффициент осложнения</t>
  </si>
  <si>
    <t>Расположение исполнительных органов 1-одностор, 2-симметтричное</t>
  </si>
  <si>
    <t>Блок вычислений  для центральной части лавы</t>
  </si>
  <si>
    <t>Номер столбца в таблице норм(КМ-87,88)</t>
  </si>
  <si>
    <t>вспом.вычисл.для КМ-87,88</t>
  </si>
  <si>
    <t>Принятая группа скоростей</t>
  </si>
  <si>
    <t>Номер строки в таблицах норм(КМ-87,88)</t>
  </si>
  <si>
    <t>Норма обслуживания для КМ-87,88</t>
  </si>
  <si>
    <t>вспом. вычисл.</t>
  </si>
  <si>
    <t>Норма выемки для КМ-87,88</t>
  </si>
  <si>
    <t>Номер столбца в таблице норм(КМТ)</t>
  </si>
  <si>
    <t>вспом.вычисл.для КМТ</t>
  </si>
  <si>
    <t>Номер строки в таблицах норм (КМТ)</t>
  </si>
  <si>
    <t>Норма обслуживания для КМТ</t>
  </si>
  <si>
    <t>Норма выработки для КМТ</t>
  </si>
  <si>
    <t>Номер столбца в таблице норм(МК-75)</t>
  </si>
  <si>
    <t>на крепление ниш</t>
  </si>
  <si>
    <r>
      <t>H</t>
    </r>
    <r>
      <rPr>
        <vertAlign val="subscript"/>
        <sz val="10"/>
        <rFont val="Arial Cyr"/>
        <family val="2"/>
        <charset val="204"/>
      </rPr>
      <t>c1</t>
    </r>
  </si>
  <si>
    <r>
      <t>H</t>
    </r>
    <r>
      <rPr>
        <vertAlign val="subscript"/>
        <sz val="10"/>
        <rFont val="Arial Cyr"/>
        <family val="2"/>
        <charset val="204"/>
      </rPr>
      <t>c2</t>
    </r>
  </si>
  <si>
    <r>
      <t>H</t>
    </r>
    <r>
      <rPr>
        <vertAlign val="subscript"/>
        <sz val="10"/>
        <rFont val="Arial Cyr"/>
        <family val="2"/>
        <charset val="204"/>
      </rPr>
      <t>c3</t>
    </r>
  </si>
  <si>
    <t>Коэффиц. снижения производительности комбайна из-за недостаточного резерва пропускной способности транспорта</t>
  </si>
  <si>
    <t>Коэффициент использования ширины захвата комбайна</t>
  </si>
  <si>
    <t>а) Исходные данные о технологии выемки</t>
  </si>
  <si>
    <t>б) Сопряжения Лава-Подготовительные выработки</t>
  </si>
  <si>
    <t xml:space="preserve">                                                                                              1) Лава-Транспортная выработка</t>
  </si>
  <si>
    <t>Расстояние между рамками крепи, м"</t>
  </si>
  <si>
    <t>Объем работ, стойка/цикл</t>
  </si>
  <si>
    <t>Таблица средних затрат на поддержание пластового  магистрального штрека</t>
  </si>
  <si>
    <t>4-пластовая выработка, охраняется бутовыми полосами,</t>
  </si>
  <si>
    <t xml:space="preserve">5-пластовая выработка, проведенная по выработанному пространству, </t>
  </si>
  <si>
    <t>6-выработка проведена под разгрузочной лавой.</t>
  </si>
  <si>
    <t>Таблица средних затрат на поддержание пластового  дренажного штрека</t>
  </si>
  <si>
    <t>Коэффициент размера целика</t>
  </si>
  <si>
    <t>Таблица средних затрат на поддержание дренажного ходка</t>
  </si>
  <si>
    <t>длина головки</t>
  </si>
  <si>
    <t>Вам необходимо принять решение о выносе конвейерных головок в участковые выработки. Вы помните, что это возможно не во всех случаях!</t>
  </si>
  <si>
    <r>
      <t xml:space="preserve"> Длина  ниши определяется: размерами конвейерной головки, величиной выноса конвейерной головки в выработку, длиной комбайна  </t>
    </r>
    <r>
      <rPr>
        <sz val="11"/>
        <color indexed="10"/>
        <rFont val="Arial Cyr"/>
        <charset val="204"/>
      </rPr>
      <t>(см. таблицу),</t>
    </r>
  </si>
  <si>
    <t>Размер выноса головки в транспортную выработку, м    Lвг</t>
  </si>
  <si>
    <t>Размер ниши у транспортной выработки, м   Lн</t>
  </si>
  <si>
    <t>Размер ниши у вентиляционной выработки, м    Lн</t>
  </si>
  <si>
    <t>Размер выноса головки в вентиляционную выработку, м   Lвг</t>
  </si>
  <si>
    <t>Опережение забоем ниши забоя лавы (транспортная выработка), м</t>
  </si>
  <si>
    <t>Опережение забоем ниши забоя лавы (вентиляционная выработка), м</t>
  </si>
  <si>
    <t>Опережение забоем ниши забоя лавы, м (транспортная выработка)</t>
  </si>
  <si>
    <t>Опережение забоем ниши забоя лавы, м (вентиляционная выработка)</t>
  </si>
  <si>
    <t xml:space="preserve">   Эти данные привести в описании проекта !!!  </t>
  </si>
  <si>
    <t>Таблица  9   Расчетные показатели производительности комбайна</t>
  </si>
  <si>
    <t>Таблица 10       Результаты вычислений нагрузки на лаву по производительности оборудования</t>
  </si>
  <si>
    <t xml:space="preserve">                  Рис 3        Зависимость нагрузки на лаву по возможностям ее оборудования от длины лавы</t>
  </si>
  <si>
    <t>в очистном забое для заданных условий:</t>
  </si>
  <si>
    <t>Комбинированная прямой ход,  движение воздуха по лаве от транспортной выработки к вентиляционной и на массив, Вентиляционная выработка проводится через целик более   Lоп, за лавой не погашается. Транспортная выработка проводится  за лавой.</t>
  </si>
  <si>
    <t>Комбинированная прямой ход,  движение воздуха по лаве от транспортной выработки к вентиляционной и на массив, Вентиляционная выработка проводится через целик менее  Lоп, за лавой не погашается. Транспортная выработка проводится  за лавой.</t>
  </si>
  <si>
    <t>коэффициент использования производительности работающих насосных станций   kн</t>
  </si>
  <si>
    <t>Итого, т</t>
  </si>
  <si>
    <t>Норма выработки, т</t>
  </si>
  <si>
    <t>Всего трудоемкость на поверхности чел.смен</t>
  </si>
  <si>
    <t>Условия работы лав по пласту 0 - благоприятные, 1 - неблагоприятные</t>
  </si>
  <si>
    <t xml:space="preserve">   Необходимо определиться с видом участкового транспорта угля - конвейерный или рельсовый. </t>
  </si>
  <si>
    <t>Принятая в расчетах максимальная ширина призабойного пространства, м  Вмах</t>
  </si>
  <si>
    <t>Размер ниши 6 м, мощность пласта 1 м, плотность угля 1, 5 т/м3, ширина захвата комбайна 0,5 м. Какой объем работ по выемке угля в нише на 1 выемочный цикл?</t>
  </si>
  <si>
    <t>Расстояние между рамами крепи в штреке 0,8 м, головка конвейера вынесена на штрек. Ширина захвата комбайна 0,5 м. Какой объем работ по извлечению ножки крепи при передвижке конвейера  в расчете на 1 выемочный цикл?</t>
  </si>
  <si>
    <t>Над штреком установлены 2 ряда индивидуальной крепи. Длина деревянного верхняка 3 м, перехлест верхняков над конвейером 1 м. Какой расход верхняков на 1 цикл при ширине захвата комбайна 0,5 м?</t>
  </si>
  <si>
    <t>Таблич-ная норма выработки</t>
  </si>
  <si>
    <t>Норма обслуживания, чел.смена</t>
  </si>
  <si>
    <t>Приня-тая норма выработки</t>
  </si>
  <si>
    <t>Управление механизированным комплексом, т</t>
  </si>
  <si>
    <t>Бурение производиться по углю, содержащему валуны, сидериты и крупные линзообразные включения серного колчедана, которые вызывают необходимость перебуривания отдельных шпуров</t>
  </si>
  <si>
    <t>Трудоемкость, чел см/цикл</t>
  </si>
  <si>
    <t>Принятая трудоемкость, чел см/цикл</t>
  </si>
  <si>
    <t xml:space="preserve">     Данные таблицы перенести в текст пояснительной записки, параграф "организация работ" !!!</t>
  </si>
  <si>
    <t>Электрослесарь по ремонту оборудования</t>
  </si>
  <si>
    <t>ГРОЗ - смены по добыче</t>
  </si>
  <si>
    <t>ГРОЗ - смена ремонтная</t>
  </si>
  <si>
    <t>МГВМ - смены по добыче</t>
  </si>
  <si>
    <t>МГВМ - смена ремонтная</t>
  </si>
  <si>
    <t>В смену - принято</t>
  </si>
  <si>
    <t>Профессии</t>
  </si>
  <si>
    <t>За сутки - по расчету</t>
  </si>
  <si>
    <t>В сутки - принято</t>
  </si>
  <si>
    <t>Перевыполнение норм выработки, %</t>
  </si>
  <si>
    <t>Данные этой таблицы - принятое число рабочих в смене и в сутки перенести в текст пояснительной записки, табл. 15 !!!</t>
  </si>
  <si>
    <t>Характеристика посадочной крепи ОКУ</t>
  </si>
  <si>
    <t>ОКУ-01Б</t>
  </si>
  <si>
    <t xml:space="preserve">        Запомните! - Нельзя вводить данные в ячейки с красным цветом текста! Этим вы повредите программу!</t>
  </si>
  <si>
    <t xml:space="preserve">        Данные вводить только в закрашенные ячейки!</t>
  </si>
  <si>
    <t>В каком случае при прочих равных условиях сменный коэффициент машинного времени будет нибольшим (1 - при установке в штрке 1 ленточного конвейера, 2 - при установке в штреке 2-х ленточных конвейеров, 3 - при установке в штреке 3-х ленточных конвейеров)</t>
  </si>
  <si>
    <t xml:space="preserve">                                                                  Конвейер № 1                                Тип</t>
  </si>
  <si>
    <t xml:space="preserve">                                                                  Конвейер № 2                             Тип</t>
  </si>
  <si>
    <t xml:space="preserve">                                                                  Конвейер № 3                                Тип</t>
  </si>
  <si>
    <t>Типоразмер</t>
  </si>
  <si>
    <t>Высота мини-мальная</t>
  </si>
  <si>
    <t>Высота макси-мальная</t>
  </si>
  <si>
    <t>Комбинированная обратный ход, движение воздуха по лаве от транспортной выработки к вентиляционной и далее на выработанное пространство. Вентиляционная выработка  проведена от фланговой выработки вприсечку и за лавой не погашается. Транспортная выработка проведена заранее, за лавой не погашается. Участки выработок  за лавой проветриваются на фланговую выработку. Подсвежающая струя - на фланговую выработку.</t>
  </si>
  <si>
    <t xml:space="preserve">              Конвейер № 1 - номер в таблице </t>
  </si>
  <si>
    <t xml:space="preserve">              Конвейер № 2 - номер в таблице </t>
  </si>
  <si>
    <t>Выделение воды в лаве (1- лава сухая, 2-значительные выделения воды из почвы, 3- сильный капеж на рабочем месте, 4-выделение воды непрерывными струями)</t>
  </si>
  <si>
    <t>время установки 1 комплекта, мин</t>
  </si>
  <si>
    <t>время на 1 комплект, мин</t>
  </si>
  <si>
    <t>табл. 2 ЕНВ 1993г</t>
  </si>
  <si>
    <t>Для описания принятой системы разработки ответьте на следующие вопросы</t>
  </si>
  <si>
    <t>вент выр-ка</t>
  </si>
  <si>
    <t>тр-на выр-ка</t>
  </si>
  <si>
    <t>где N - количество стоек призабойной крепи в комплекте при минимальной ширине рабочего пространства</t>
  </si>
  <si>
    <r>
      <t xml:space="preserve">       Р - минимальная необходимая плотность установки крепи, стоек/м</t>
    </r>
    <r>
      <rPr>
        <i/>
        <vertAlign val="superscript"/>
        <sz val="12"/>
        <rFont val="Arial Cyr"/>
        <charset val="204"/>
      </rPr>
      <t>2</t>
    </r>
  </si>
  <si>
    <t>Стойки (клиновые и гидравлические), т</t>
  </si>
  <si>
    <t>Верхняки металлические, т</t>
  </si>
  <si>
    <t>Рельсы, т</t>
  </si>
  <si>
    <t>Трубы металлические, т</t>
  </si>
  <si>
    <t>Всего, т</t>
  </si>
  <si>
    <t>Прочие 5%</t>
  </si>
  <si>
    <t>Комбинированная прямой ход, проветривание от вентиляционного к транспортному штреку и далее на массив. Вентиляционная выработка проводится  за лавой через целик более  Lоп, Транспортная выработка проведена ранее и не погашается. Подсвежающая струя по транспортной выработке направлена   на фланговую выработку.</t>
  </si>
  <si>
    <t>Общешахтный поправочный коэф к нормам</t>
  </si>
  <si>
    <t xml:space="preserve">Бурение шпуров для увлажнения по всей лаве </t>
  </si>
  <si>
    <t>Деревянные стойки, м3/мес</t>
  </si>
  <si>
    <t>Ремонтины, м3/мес</t>
  </si>
  <si>
    <t>Гидростойки, т/мес.</t>
  </si>
  <si>
    <t>При использовании металлических верхняков</t>
  </si>
  <si>
    <t>Доставка верхняков,т/мес.</t>
  </si>
  <si>
    <t>Доставка арочной крепи в месяц (трансп.штрек), кг.</t>
  </si>
  <si>
    <t>Доставка арочной крепи в месяц (вент.штрек), кг.</t>
  </si>
  <si>
    <t>Расчетный объем доставки материалов для концевых участков</t>
  </si>
  <si>
    <t>Верхняк металлический, т/мес.</t>
  </si>
  <si>
    <t>Доставка арочной крепи в месяц, т.</t>
  </si>
  <si>
    <t>Доставка на поверхности</t>
  </si>
  <si>
    <t>Погрузка лесных крепежных материалов в вагонетки</t>
  </si>
  <si>
    <t>Стойки деревянные, м3</t>
  </si>
  <si>
    <t xml:space="preserve">Длина стойки </t>
  </si>
  <si>
    <t>Норма выработки, м3</t>
  </si>
  <si>
    <t>Трудоемкость, чел.смен</t>
  </si>
  <si>
    <t>Обаполы, м3</t>
  </si>
  <si>
    <t>Брус, шпалы, м3</t>
  </si>
  <si>
    <t>Затяжка, м3</t>
  </si>
  <si>
    <t>Комбинированная прямой ход, движение воздуха по лаве от транспортной выработки к вентиляционной и далее на выработанное пространство. Вент штрек - повторно используемый транспортный штрек, Транспортный штрек проведен заранее, за лавой не погашается. Участок штрека впереди лавы проветривается от фланговой выработки.</t>
  </si>
  <si>
    <t xml:space="preserve">                          Переходите по указанной ссылке</t>
  </si>
  <si>
    <r>
      <t xml:space="preserve">Проектное время разворота работ на шахте, год  </t>
    </r>
    <r>
      <rPr>
        <b/>
        <sz val="12"/>
        <rFont val="Times New Roman"/>
        <family val="1"/>
        <charset val="204"/>
      </rPr>
      <t>То   (от 3 до 5 лет)</t>
    </r>
  </si>
  <si>
    <t>Nummer</t>
  </si>
  <si>
    <t>Номер</t>
  </si>
  <si>
    <t>Категория</t>
  </si>
  <si>
    <t>литологический состав пород</t>
  </si>
  <si>
    <t>Минимальное время устойчивости нижних слоев пород кровли, мин</t>
  </si>
  <si>
    <t>Примечание</t>
  </si>
  <si>
    <t>С естественной влажностью</t>
  </si>
  <si>
    <t>обводненных</t>
  </si>
  <si>
    <t>Массив из чередующихся углистых аргиллитов, глинистых и песчаных сланцев (2&lt;f&lt;3)</t>
  </si>
  <si>
    <t>Массив из чередующихся слоев глинистых, песчаных сланцев, реже песчаников (2&lt;f&lt;5)</t>
  </si>
  <si>
    <t>Массив из чередующихся слоистых сланцев, песчаников, известняков (5&lt;f&lt;7)</t>
  </si>
  <si>
    <r>
      <t>Нормативная прочность быстротвердеющих материалов через сутки после возведения литой полосы, кН/м</t>
    </r>
    <r>
      <rPr>
        <vertAlign val="superscript"/>
        <sz val="11"/>
        <rFont val="Calibri"/>
        <family val="2"/>
        <charset val="204"/>
      </rPr>
      <t>2</t>
    </r>
  </si>
  <si>
    <t>Ширина литой полосы, м</t>
  </si>
  <si>
    <r>
      <t>Обьем литой полосы, м</t>
    </r>
    <r>
      <rPr>
        <vertAlign val="superscript"/>
        <sz val="11"/>
        <color indexed="10"/>
        <rFont val="Calibri"/>
        <family val="2"/>
        <charset val="204"/>
      </rPr>
      <t>3</t>
    </r>
    <r>
      <rPr>
        <sz val="11"/>
        <color indexed="10"/>
        <rFont val="Calibri"/>
        <family val="2"/>
        <charset val="204"/>
      </rPr>
      <t>/м</t>
    </r>
  </si>
  <si>
    <r>
      <t>Норма выработки, м</t>
    </r>
    <r>
      <rPr>
        <vertAlign val="superscript"/>
        <sz val="11"/>
        <color indexed="10"/>
        <rFont val="Calibri"/>
        <family val="2"/>
        <charset val="204"/>
      </rPr>
      <t>3</t>
    </r>
    <r>
      <rPr>
        <sz val="11"/>
        <color indexed="10"/>
        <rFont val="Calibri"/>
        <family val="2"/>
        <charset val="204"/>
      </rPr>
      <t>/смена</t>
    </r>
  </si>
  <si>
    <t>Приготовление бетонной смеси в шахте</t>
  </si>
  <si>
    <t>необходимый состав сменной бригады, естественно, зависит от размера пая.</t>
  </si>
  <si>
    <t xml:space="preserve">    Трудоемкость работ при заданной конкретной величине пая определяется </t>
  </si>
  <si>
    <r>
      <t xml:space="preserve">       </t>
    </r>
    <r>
      <rPr>
        <b/>
        <sz val="14"/>
        <rFont val="Times New Roman Cyr"/>
        <charset val="204"/>
      </rPr>
      <t xml:space="preserve"> h</t>
    </r>
    <r>
      <rPr>
        <sz val="12"/>
        <rFont val="Times New Roman Cyr"/>
        <charset val="204"/>
      </rPr>
      <t xml:space="preserve"> - толщина стружки, м</t>
    </r>
  </si>
  <si>
    <r>
      <t xml:space="preserve">       </t>
    </r>
    <r>
      <rPr>
        <b/>
        <sz val="14"/>
        <rFont val="Sylfaen"/>
        <family val="1"/>
        <charset val="204"/>
      </rPr>
      <t xml:space="preserve"> γ</t>
    </r>
    <r>
      <rPr>
        <sz val="11"/>
        <rFont val="Times New Roman Cyr"/>
        <charset val="204"/>
      </rPr>
      <t xml:space="preserve"> - плотность горной массы, т/м3</t>
    </r>
  </si>
  <si>
    <r>
      <t xml:space="preserve">     </t>
    </r>
    <r>
      <rPr>
        <b/>
        <sz val="14"/>
        <rFont val="Times New Roman Cyr"/>
        <charset val="204"/>
      </rPr>
      <t xml:space="preserve">   v</t>
    </r>
    <r>
      <rPr>
        <b/>
        <vertAlign val="subscript"/>
        <sz val="14"/>
        <rFont val="Times New Roman Cyr"/>
        <charset val="204"/>
      </rPr>
      <t>c</t>
    </r>
    <r>
      <rPr>
        <sz val="11"/>
        <rFont val="Times New Roman Cyr"/>
        <charset val="204"/>
      </rPr>
      <t xml:space="preserve">  - скорость струга, м/мин</t>
    </r>
  </si>
  <si>
    <r>
      <t xml:space="preserve">                                                         </t>
    </r>
    <r>
      <rPr>
        <b/>
        <sz val="14"/>
        <rFont val="Times New Roman Cyr"/>
        <charset val="204"/>
      </rPr>
      <t xml:space="preserve"> h</t>
    </r>
    <r>
      <rPr>
        <b/>
        <vertAlign val="subscript"/>
        <sz val="14"/>
        <rFont val="Times New Roman Cyr"/>
        <charset val="204"/>
      </rPr>
      <t>c</t>
    </r>
    <r>
      <rPr>
        <b/>
        <sz val="14"/>
        <rFont val="Times New Roman Cyr"/>
        <charset val="204"/>
      </rPr>
      <t xml:space="preserve"> = 0,01*(a</t>
    </r>
    <r>
      <rPr>
        <b/>
        <vertAlign val="subscript"/>
        <sz val="14"/>
        <rFont val="Times New Roman Cyr"/>
        <charset val="204"/>
      </rPr>
      <t>1</t>
    </r>
    <r>
      <rPr>
        <b/>
        <sz val="14"/>
        <rFont val="Times New Roman Cyr"/>
        <charset val="204"/>
      </rPr>
      <t xml:space="preserve"> - a</t>
    </r>
    <r>
      <rPr>
        <b/>
        <vertAlign val="subscript"/>
        <sz val="14"/>
        <rFont val="Times New Roman Cyr"/>
        <charset val="204"/>
      </rPr>
      <t>2</t>
    </r>
    <r>
      <rPr>
        <b/>
        <sz val="14"/>
        <rFont val="Times New Roman Cyr"/>
        <charset val="204"/>
      </rPr>
      <t>*A</t>
    </r>
    <r>
      <rPr>
        <b/>
        <vertAlign val="subscript"/>
        <sz val="14"/>
        <rFont val="Times New Roman Cyr"/>
        <charset val="204"/>
      </rPr>
      <t>p</t>
    </r>
    <r>
      <rPr>
        <b/>
        <sz val="14"/>
        <rFont val="Times New Roman Cyr"/>
        <charset val="204"/>
      </rPr>
      <t xml:space="preserve"> - a</t>
    </r>
    <r>
      <rPr>
        <b/>
        <vertAlign val="subscript"/>
        <sz val="14"/>
        <rFont val="Times New Roman Cyr"/>
        <charset val="204"/>
      </rPr>
      <t>3</t>
    </r>
    <r>
      <rPr>
        <b/>
        <sz val="14"/>
        <rFont val="Times New Roman Cyr"/>
        <charset val="204"/>
      </rPr>
      <t>*H</t>
    </r>
    <r>
      <rPr>
        <b/>
        <vertAlign val="subscript"/>
        <sz val="14"/>
        <rFont val="Times New Roman Cyr"/>
        <charset val="204"/>
      </rPr>
      <t>c</t>
    </r>
    <r>
      <rPr>
        <b/>
        <sz val="14"/>
        <rFont val="Times New Roman Cyr"/>
        <charset val="204"/>
      </rPr>
      <t>)</t>
    </r>
  </si>
  <si>
    <r>
      <t xml:space="preserve">где   </t>
    </r>
    <r>
      <rPr>
        <b/>
        <sz val="14"/>
        <rFont val="Times New Roman Cyr"/>
        <charset val="204"/>
      </rPr>
      <t>A</t>
    </r>
    <r>
      <rPr>
        <b/>
        <vertAlign val="subscript"/>
        <sz val="14"/>
        <rFont val="Times New Roman Cyr"/>
        <charset val="204"/>
      </rPr>
      <t>p</t>
    </r>
    <r>
      <rPr>
        <b/>
        <sz val="14"/>
        <rFont val="Times New Roman Cyr"/>
        <charset val="204"/>
      </rPr>
      <t xml:space="preserve"> </t>
    </r>
    <r>
      <rPr>
        <sz val="12"/>
        <rFont val="Times New Roman Cyr"/>
        <charset val="204"/>
      </rPr>
      <t xml:space="preserve"> - сопротивляемость пласта резанию, КН/см</t>
    </r>
  </si>
  <si>
    <r>
      <t xml:space="preserve">        </t>
    </r>
    <r>
      <rPr>
        <b/>
        <sz val="14"/>
        <rFont val="Times New Roman Cyr"/>
        <charset val="204"/>
      </rPr>
      <t>Н</t>
    </r>
    <r>
      <rPr>
        <b/>
        <vertAlign val="subscript"/>
        <sz val="14"/>
        <rFont val="Times New Roman Cyr"/>
        <charset val="204"/>
      </rPr>
      <t>с</t>
    </r>
    <r>
      <rPr>
        <sz val="12"/>
        <rFont val="Times New Roman Cyr"/>
        <charset val="204"/>
      </rPr>
      <t xml:space="preserve">  - высота струга, м</t>
    </r>
  </si>
  <si>
    <r>
      <t xml:space="preserve">         </t>
    </r>
    <r>
      <rPr>
        <b/>
        <sz val="14"/>
        <rFont val="Times New Roman Cyr"/>
        <charset val="204"/>
      </rPr>
      <t>а</t>
    </r>
    <r>
      <rPr>
        <b/>
        <vertAlign val="subscript"/>
        <sz val="14"/>
        <rFont val="Times New Roman Cyr"/>
        <charset val="204"/>
      </rPr>
      <t>1</t>
    </r>
    <r>
      <rPr>
        <b/>
        <sz val="14"/>
        <rFont val="Times New Roman Cyr"/>
        <charset val="204"/>
      </rPr>
      <t>, а</t>
    </r>
    <r>
      <rPr>
        <b/>
        <vertAlign val="subscript"/>
        <sz val="14"/>
        <rFont val="Times New Roman Cyr"/>
        <charset val="204"/>
      </rPr>
      <t>2</t>
    </r>
    <r>
      <rPr>
        <b/>
        <sz val="14"/>
        <rFont val="Times New Roman Cyr"/>
        <charset val="204"/>
      </rPr>
      <t>, а</t>
    </r>
    <r>
      <rPr>
        <b/>
        <vertAlign val="subscript"/>
        <sz val="14"/>
        <rFont val="Times New Roman Cyr"/>
        <charset val="204"/>
      </rPr>
      <t>3</t>
    </r>
    <r>
      <rPr>
        <sz val="12"/>
        <rFont val="Times New Roman Cyr"/>
        <charset val="204"/>
      </rPr>
      <t xml:space="preserve">  - эмпирические коэффициенты, зависящие от типа струговой установки.</t>
    </r>
  </si>
  <si>
    <t>Размер выемочной ступени по падению зависит от угла падения пласта : при углах падения до 10 градусов</t>
  </si>
  <si>
    <t>в пределах от 1200 м до 800 м, при углах падения от 18 градусов до 35 градусов - в пределах от 800 м до 600 м,</t>
  </si>
  <si>
    <t>1.  Для заданных условий вычислить величину промышленных запасов шахтного поля, установить величину проектной мощности шахты, распределить нагрузку между разрабатываемыми пластами.</t>
  </si>
  <si>
    <r>
      <t xml:space="preserve">Средняя скорость передвижки  фронта крепи за подвиганием забоя, м/мин при индивидуальной крепи  </t>
    </r>
    <r>
      <rPr>
        <b/>
        <sz val="11"/>
        <color indexed="10"/>
        <rFont val="Arial Cyr"/>
        <charset val="204"/>
      </rPr>
      <t>v</t>
    </r>
    <r>
      <rPr>
        <b/>
        <vertAlign val="subscript"/>
        <sz val="11"/>
        <color indexed="10"/>
        <rFont val="Arial Cyr"/>
        <charset val="204"/>
      </rPr>
      <t>крф</t>
    </r>
    <r>
      <rPr>
        <b/>
        <sz val="10"/>
        <color indexed="10"/>
        <rFont val="Arial Cyr"/>
        <charset val="204"/>
      </rPr>
      <t xml:space="preserve">   (ф. 77)</t>
    </r>
  </si>
  <si>
    <r>
      <t xml:space="preserve">Принятая в расчетах средняя скорость передвижки фронта крепи  </t>
    </r>
    <r>
      <rPr>
        <b/>
        <sz val="11"/>
        <color indexed="10"/>
        <rFont val="Arial Cyr"/>
        <charset val="204"/>
      </rPr>
      <t>v</t>
    </r>
    <r>
      <rPr>
        <b/>
        <vertAlign val="subscript"/>
        <sz val="11"/>
        <color indexed="10"/>
        <rFont val="Arial Cyr"/>
        <charset val="204"/>
      </rPr>
      <t>крф</t>
    </r>
  </si>
  <si>
    <t>Стойка после извлечения переносится (перебрасывается) через конвейер ( 0-нет, 1-да)</t>
  </si>
  <si>
    <t>на переброску стоек через конвейер</t>
  </si>
  <si>
    <t>Принятая норма выработки, стоек</t>
  </si>
  <si>
    <t>Установка деревянных стоек индивидуальной крепи на комплектах расположенных над головкой конвейера</t>
  </si>
  <si>
    <t>Гидростойки</t>
  </si>
  <si>
    <t>Применение дер.верхняков</t>
  </si>
  <si>
    <t xml:space="preserve">над головкой конвейера </t>
  </si>
  <si>
    <t>над конвейером</t>
  </si>
  <si>
    <t>Потеря гидростоек за цикл, шт</t>
  </si>
  <si>
    <t>Стоимость гидростойки,грн</t>
  </si>
  <si>
    <t>Потеря гидростоек за цикл при применении дер.верхняков, грн</t>
  </si>
  <si>
    <t>Применение мет.верхняков</t>
  </si>
  <si>
    <t>над головкой конвейера</t>
  </si>
  <si>
    <t>После копирования графика возвращение к составлению отчета о нагрузке на лаву</t>
  </si>
  <si>
    <t>При способе транспортирования угля от погрузочного пункта лавы, требующем остановки комбайна для обмена составов вагонеток</t>
  </si>
  <si>
    <t>Таблица 8 ЕНВ  1993г</t>
  </si>
  <si>
    <r>
      <t xml:space="preserve">Величина породной подушки на перекрытии секции </t>
    </r>
    <r>
      <rPr>
        <b/>
        <sz val="10"/>
        <color indexed="10"/>
        <rFont val="Times New Roman"/>
        <family val="1"/>
        <charset val="204"/>
      </rPr>
      <t xml:space="preserve"> t</t>
    </r>
    <r>
      <rPr>
        <b/>
        <vertAlign val="subscript"/>
        <sz val="10"/>
        <color indexed="10"/>
        <rFont val="Times New Roman"/>
        <family val="1"/>
        <charset val="204"/>
      </rPr>
      <t xml:space="preserve">1, </t>
    </r>
    <r>
      <rPr>
        <vertAlign val="subscript"/>
        <sz val="16"/>
        <color indexed="10"/>
        <rFont val="Times New Roman"/>
        <family val="1"/>
        <charset val="204"/>
      </rPr>
      <t xml:space="preserve">мм </t>
    </r>
  </si>
  <si>
    <r>
      <t xml:space="preserve">Величина породной подушки на перекрытии секции  </t>
    </r>
    <r>
      <rPr>
        <b/>
        <sz val="10"/>
        <color indexed="10"/>
        <rFont val="Times New Roman"/>
        <family val="1"/>
        <charset val="204"/>
      </rPr>
      <t>t</t>
    </r>
    <r>
      <rPr>
        <b/>
        <vertAlign val="subscript"/>
        <sz val="10"/>
        <color indexed="10"/>
        <rFont val="Times New Roman"/>
        <family val="1"/>
        <charset val="204"/>
      </rPr>
      <t>2,</t>
    </r>
    <r>
      <rPr>
        <vertAlign val="subscript"/>
        <sz val="16"/>
        <color indexed="10"/>
        <rFont val="Times New Roman"/>
        <family val="1"/>
        <charset val="204"/>
      </rPr>
      <t xml:space="preserve"> мм (20-40 мм)</t>
    </r>
  </si>
  <si>
    <t>КОМБАЙНОВАЯ ВЫЕМКА</t>
  </si>
  <si>
    <t>Принятый в проекте тип комбайна</t>
  </si>
  <si>
    <t>1. Горно-геологические условия проектируемой шахты</t>
  </si>
  <si>
    <t>2. Запасы шахтного поля, мощность и срок службы шахты</t>
  </si>
  <si>
    <t>2.1 Запасы шахтного поля</t>
  </si>
  <si>
    <t xml:space="preserve">              2.2    Установление величины проектной мощности шахты</t>
  </si>
  <si>
    <t>3.   Оснащение очистных забоев</t>
  </si>
  <si>
    <t>КСД26</t>
  </si>
  <si>
    <t>СП251</t>
  </si>
  <si>
    <t xml:space="preserve">                    4.4     Участковый транспорт угля</t>
  </si>
  <si>
    <t>Длинна одного участка  (крыла панели), м</t>
  </si>
  <si>
    <t>Количество участков транспорта одинаковой длинны (количество ярусов в панели) , n</t>
  </si>
  <si>
    <t>Запасы яруса (оба крыла), тонн</t>
  </si>
  <si>
    <t>Запасы панели, тонн</t>
  </si>
  <si>
    <t>Суточное подвигание лавы м/сутки</t>
  </si>
  <si>
    <t>Суточная добыча лавы т/сутки</t>
  </si>
  <si>
    <t>Конвейерный транспорт</t>
  </si>
  <si>
    <t>1 конвейерный (вспомогательный - рельсовый)</t>
  </si>
  <si>
    <t>g1 ср</t>
  </si>
  <si>
    <t>g2 ср</t>
  </si>
  <si>
    <t>Kg1</t>
  </si>
  <si>
    <t>Kg2</t>
  </si>
  <si>
    <t>Общие затраты, G</t>
  </si>
  <si>
    <t>Удельные затраты при данном виде транспорта</t>
  </si>
  <si>
    <t>2 конвейерный (вспомогательный  - напочвенная дорогоа и локомативная откатка)</t>
  </si>
  <si>
    <t>3 конвейерный (вспомогательный  - две напочвенные дороги)</t>
  </si>
  <si>
    <t>4  конвейерный (вспомогательный  - монорельсовая и напочвенная дороги)</t>
  </si>
  <si>
    <t>5  конвейерный (вспомогательный  - монорельсовая дорога и локомативная откатка)</t>
  </si>
  <si>
    <t>6  конвейерный (вспомогательный  - монорельсовая дорога по обеим выработкам)</t>
  </si>
  <si>
    <t>Принятые в расчетах затраты при конвейерном участковом транспорте</t>
  </si>
  <si>
    <t>Рельсовый  участковый транспорт (вспомогательный - рельсовый)</t>
  </si>
  <si>
    <t>Удельные затраты при рельсовом транспорте</t>
  </si>
  <si>
    <t>Транспорт по панельной наклонной выработке с учетом вспомогательного транспорта</t>
  </si>
  <si>
    <t>g1 ср   при двух лавах в панели</t>
  </si>
  <si>
    <t>g1 ср   при одной лаве в панели</t>
  </si>
  <si>
    <t>g2 ср при двух лавах в панели</t>
  </si>
  <si>
    <t>g2 ср при одной лаве в панели</t>
  </si>
  <si>
    <r>
      <t xml:space="preserve">Коэффициент снижения скорости крепления из-за вывалов угля вследствие отжима </t>
    </r>
    <r>
      <rPr>
        <sz val="12"/>
        <rFont val="Arial Cyr"/>
        <charset val="204"/>
      </rPr>
      <t xml:space="preserve"> k</t>
    </r>
    <r>
      <rPr>
        <sz val="10"/>
        <rFont val="Arial Cyr"/>
        <family val="2"/>
        <charset val="204"/>
      </rPr>
      <t>от*  (таб. 1)</t>
    </r>
  </si>
  <si>
    <t>Суточная нагрузка на крыло пласта , т</t>
  </si>
  <si>
    <t>основании "Единые нормы выработкина очистные работы для шахт</t>
  </si>
  <si>
    <t>Комбинированная прямой ход, проветривание от фланговой выработки по вентиляционной выработке  к транспортной и далее на массив. Вентиляционная выработка - повторно используемая транспортная выработка, за лавой не погашается. Транспортная выработка проведена ранее и не погашается. Участки выработок  впереди лавы проветриваются через фланговые выработки.</t>
  </si>
  <si>
    <t>Выемка угля струговым комплексом</t>
  </si>
  <si>
    <t xml:space="preserve">Определение нормы выработки численности рабочих на одну смену с учетом норм и коэффициентов в струговой лаве при выемке </t>
  </si>
  <si>
    <t>Норма обслуживания, чел смена</t>
  </si>
  <si>
    <t>Всп выч (столбца массива для комплексов МК-97, 1МК-97, МК-98,1МК-98)</t>
  </si>
  <si>
    <t>опасн</t>
  </si>
  <si>
    <t>коэф</t>
  </si>
  <si>
    <t>Всп выч (столбца массива для комплексов М-87УМС, 1М-88С, МК-87УМС)</t>
  </si>
  <si>
    <t>Расстояние между рамами крепи в штреке 0,8 м, головка конвейера вынесена на штрек. Размер выемочного цикла 1 м. Какой объем работ по извлечению ножки крепи при передвижке конвейера  в расчете на 1 выемочный цикл?</t>
  </si>
  <si>
    <t>Комбинированная, обратный ход. Движение воздуха по лаве от транспортной выработки к вентиляционной и далее на массив. Вентиляционная выработка проводится от фланговой выработки вприсечку к выработанному пространству,  за лавой не погашается, участок ее за лавой проветривается от фланговой выработки. Транспортная выработка  проведена заранее и  за лавой не погашается. Участок транспортной выработки  за лавой проветриваются от фланговой выработки..</t>
  </si>
  <si>
    <t>Сопротивляемость резанию угля в зоне работы комбайна</t>
  </si>
  <si>
    <t xml:space="preserve">                        последовательных перерывов</t>
  </si>
  <si>
    <t>Таблица 7 ЕНВ 1993г</t>
  </si>
  <si>
    <t>Нормы выемки и нормы обслуживания комплекса при выемке угля одним комбайном по односторонней схеме и передвижке конвеера участками</t>
  </si>
  <si>
    <t>Группа средних рабочих скоростей подачи комбайна</t>
  </si>
  <si>
    <t>Норма обслуживания комплекса чел.-смена</t>
  </si>
  <si>
    <t>0,9-1,0</t>
  </si>
  <si>
    <t>1,11-1,2</t>
  </si>
  <si>
    <t>1,21-1,3</t>
  </si>
  <si>
    <t>1,31-1,4</t>
  </si>
  <si>
    <t>1,41-1,5</t>
  </si>
  <si>
    <t>1,51-1,6</t>
  </si>
  <si>
    <t>1,61-1,7</t>
  </si>
  <si>
    <t>1,71-1,8</t>
  </si>
  <si>
    <t>1,81-1,9</t>
  </si>
  <si>
    <t>1,91-2,0</t>
  </si>
  <si>
    <t xml:space="preserve">   Принято, что шахтное поле делится на 2 крыла. Одновременно, в зависимости от нагрузки на пласт, работает несколько полос Число работающих полос на одном крыле - половина всех работающих.</t>
  </si>
  <si>
    <t>Одновременно работающие полосы на крыле составляют как бы одну одновременную полосу.</t>
  </si>
  <si>
    <t xml:space="preserve">заданная  нагрузка на пласт </t>
  </si>
  <si>
    <t>Количество лав по пласту</t>
  </si>
  <si>
    <t>Возможная нагрузка на пласт при одновременной работе всех лав, т/сутки</t>
  </si>
  <si>
    <t>Принятая в расчетах нагрузка на пласт</t>
  </si>
  <si>
    <t>Необходимое число лав при заданной нагрузке на пласт</t>
  </si>
  <si>
    <t>Число выемочных полос, учитываемые при поддержании</t>
  </si>
  <si>
    <t>Необходимое количество одновременно работающих выемочных полос в ступени для обеспечения суточной добычи</t>
  </si>
  <si>
    <t>Среднее число одновременно работающих полос в крыле ступени</t>
  </si>
  <si>
    <t>Суммарная ширина  условных (одновременно работающих) полос, м</t>
  </si>
  <si>
    <t>время отработки выемочной полосы, tэ мес.</t>
  </si>
  <si>
    <t>3 передвижка гидродомкратов  конвейерного става (шаг установки домкратов 2 м, шаг передвижки 0,6м</t>
  </si>
  <si>
    <t>количество передвижек в смену</t>
  </si>
  <si>
    <t>объем работ, домкратопередвижек</t>
  </si>
  <si>
    <t>число комплектов крепи в лаве</t>
  </si>
  <si>
    <r>
      <t>µ2</t>
    </r>
    <r>
      <rPr>
        <sz val="10"/>
        <rFont val="Arial Cyr"/>
        <charset val="204"/>
      </rPr>
      <t xml:space="preserve"> - коэффициент готовности забоя по группе параллельных перерывов</t>
    </r>
  </si>
  <si>
    <t xml:space="preserve">   В приведенной ниже таблице указаны возможные сочетания комбайна и конвейера в лавах с индивидуальной крепью.</t>
  </si>
  <si>
    <t>В каких единицах измеряется норма выработки на установку индивидуальной крепи в нише? 1 - стойка, 2 - комплект, 3 - мощность пласта, 4 - тонна</t>
  </si>
  <si>
    <t>После прохода лавы штрек погашается. Расстояние меду рамками крепи в штреке 1,0 м, ширина захвата комбайна 0.8 м.Сколько комплектов крепи в штреке необходимо извлечь за сутки, если за сутки в лаве выполняется 5 циклов?</t>
  </si>
  <si>
    <t>В каких единицах измеряется трудоемкость работ по выемке угля в нишах? 1 - метр, 2 - тонна, 3 - человеко-смена</t>
  </si>
  <si>
    <t>Нормы выработки на выемку угля стругами  (т на звено из 2 человек)</t>
  </si>
  <si>
    <t>шаг передвижки 0,6м</t>
  </si>
  <si>
    <t>мощность пласта</t>
  </si>
  <si>
    <t>Зарплата электрослесарей ремонтных</t>
  </si>
  <si>
    <t>угольный комбайн</t>
  </si>
  <si>
    <t xml:space="preserve">Комбинированная, обратный ход. Движение воздуха по лаве от транспортной выработки к вентиляционной и далее на выработанное пространство. Вентиляционная выработка  проведена навстречу лаве через целик более  Lоп и за лавой не погашается, Подсвежающая струя - на фланговую выработку. Транспортная выработка проведена заранее, за лавой погашается. </t>
  </si>
  <si>
    <t xml:space="preserve">2. Выделить строку </t>
  </si>
  <si>
    <t>Комбинированная прямой ход, проветривание от фланговой выработки по вентиляционной выработке через лаву  к транспортной выработке и далее на массив. Вентиляционная выработка проведена ранее вприсечку к выработанному пространству, за лавой погашается. Транспортная выработка проведена ранее и не погашается. Подсвежающая струя - на фланговую выработку.</t>
  </si>
  <si>
    <t>Сечение вентиляционной выработки, м2</t>
  </si>
  <si>
    <t>На основании вычислений нагрузки на лаву по техническим возможностям оборудования и</t>
  </si>
  <si>
    <t>допустимой нагрузки на лаву по проветриванию принято решение:</t>
  </si>
  <si>
    <t>Размеры ниши в направлении подвигания лавы</t>
  </si>
  <si>
    <t xml:space="preserve"> ВЫБОР ОБОРУДОВАНИЯ КОМПЛЕКСНО МЕХАНИЗИРОВАННОЙ ЛАВЫ</t>
  </si>
  <si>
    <t>Категория устойчивости непосредственной кровли Б   по ДонУГИ</t>
  </si>
  <si>
    <t xml:space="preserve">Категория П  несущей способности почвы по ДонУГИ </t>
  </si>
  <si>
    <t xml:space="preserve">            Длина лавы, м</t>
  </si>
  <si>
    <t>ВНИМАНИЕ !!! Перед копированием отчета установите в ячейку Н строки</t>
  </si>
  <si>
    <t>принятую величину длины лавы!</t>
  </si>
  <si>
    <t>7. Возвращайтесь к строке</t>
  </si>
  <si>
    <r>
      <t xml:space="preserve">    от столбца  </t>
    </r>
    <r>
      <rPr>
        <b/>
        <sz val="12"/>
        <rFont val="Times New Roman"/>
        <family val="1"/>
        <charset val="204"/>
      </rPr>
      <t>В</t>
    </r>
    <r>
      <rPr>
        <sz val="12"/>
        <rFont val="Times New Roman"/>
        <family val="1"/>
        <charset val="204"/>
      </rPr>
      <t xml:space="preserve">  до столбца </t>
    </r>
    <r>
      <rPr>
        <b/>
        <sz val="12"/>
        <rFont val="Times New Roman"/>
        <family val="1"/>
        <charset val="204"/>
      </rPr>
      <t xml:space="preserve"> F</t>
    </r>
  </si>
  <si>
    <r>
      <t xml:space="preserve">Увеличьте значение длины лавы в столбце  </t>
    </r>
    <r>
      <rPr>
        <b/>
        <sz val="12"/>
        <rFont val="Times New Roman"/>
        <family val="1"/>
        <charset val="204"/>
      </rPr>
      <t>В</t>
    </r>
    <r>
      <rPr>
        <sz val="12"/>
        <rFont val="Times New Roman"/>
        <family val="1"/>
        <charset val="204"/>
      </rPr>
      <t xml:space="preserve">  на 50 м и протяните это значение </t>
    </r>
  </si>
  <si>
    <t xml:space="preserve">  Если    сохранились введенные при предыдущих расчетах значения в ячейках строки</t>
  </si>
  <si>
    <r>
      <t xml:space="preserve">Коэффициент резерва обнажения кровли за комбайном для </t>
    </r>
    <r>
      <rPr>
        <b/>
        <sz val="10"/>
        <rFont val="Arial Cyr"/>
        <charset val="204"/>
      </rPr>
      <t>механизированной</t>
    </r>
    <r>
      <rPr>
        <sz val="10"/>
        <rFont val="Arial Cyr"/>
        <charset val="204"/>
      </rPr>
      <t xml:space="preserve"> крепи (ф. 40)</t>
    </r>
  </si>
  <si>
    <r>
      <t xml:space="preserve">Соотношение </t>
    </r>
    <r>
      <rPr>
        <i/>
        <sz val="10"/>
        <rFont val="Arial Cyr"/>
        <charset val="204"/>
      </rPr>
      <t xml:space="preserve">lу&lt;lв+1  </t>
    </r>
    <r>
      <rPr>
        <sz val="10"/>
        <rFont val="Arial Cyr"/>
        <charset val="204"/>
      </rPr>
      <t>при индивидуальной крепи (да 1, нет - 0)</t>
    </r>
  </si>
  <si>
    <r>
      <t xml:space="preserve">Соотношение </t>
    </r>
    <r>
      <rPr>
        <i/>
        <sz val="10"/>
        <rFont val="Arial Cyr"/>
        <charset val="204"/>
      </rPr>
      <t xml:space="preserve">lу&lt;lв+1  </t>
    </r>
    <r>
      <rPr>
        <sz val="10"/>
        <rFont val="Arial Cyr"/>
        <charset val="204"/>
      </rPr>
      <t>при механизированной  крепи (да - 1,нет - 0)</t>
    </r>
  </si>
  <si>
    <t>Индекс условий эксплуатации комбайна смотри таблицу в строке</t>
  </si>
  <si>
    <t xml:space="preserve">Информацию о конвейерах смотри в таблице в строке </t>
  </si>
  <si>
    <t>из них                                машинист ГВМ</t>
  </si>
  <si>
    <t xml:space="preserve">                                             ГРОЗ</t>
  </si>
  <si>
    <t>Дежурный электрослесарь</t>
  </si>
  <si>
    <t xml:space="preserve">                                          машинист ГВМ</t>
  </si>
  <si>
    <t>Осмотр секций и кoнвейера, выравнивание и т.п. ГРОЗ</t>
  </si>
  <si>
    <t xml:space="preserve">                                         слесарь по ремонту</t>
  </si>
  <si>
    <t xml:space="preserve"> Бурение скважин по лаве  для увлажнения угля, м</t>
  </si>
  <si>
    <t>Скорость комбайна при перегоне, м/мин</t>
  </si>
  <si>
    <t>Выносится конвейерная головка в тр-ную выработку?               (1 - да, 0 - нет)</t>
  </si>
  <si>
    <t>Вспомогательный участковый транспорт (1 - локомотивный по обоим выработкам, 2 - напочвенная дорогоа и локомативная откатка, 3 - две напочвенные дороги, 4 - монорельсовая и напочвенная дороги, 5 - монорельсовая дорога и локомативная откатка, 6 - монорельсовая дорога по обоим выработкам)</t>
  </si>
  <si>
    <t xml:space="preserve">   Таблица   13  Принятые в расчетах параметры нагрузки на лаву</t>
  </si>
  <si>
    <t xml:space="preserve">схемы выемочного участка.  Руководствуйтесь принятым Вами вариантом системы разработки. </t>
  </si>
  <si>
    <t xml:space="preserve">На рисунке показать:    </t>
  </si>
  <si>
    <t xml:space="preserve">                                      Параметр</t>
  </si>
  <si>
    <t>Величина</t>
  </si>
  <si>
    <t>Число смен по выемке угля</t>
  </si>
  <si>
    <t>Число выемочных циклов в сутки</t>
  </si>
  <si>
    <t xml:space="preserve">Схема работы комбайна </t>
  </si>
  <si>
    <t>Время работы комбайна по выемке угля в течение одного цикла, мин</t>
  </si>
  <si>
    <t>численность слесарей</t>
  </si>
  <si>
    <t>Нормы выработки и нормы обслуживания комплекса при выемке угля стругами с механизированными крепями   МК-97, 1МК-97, 1МК98</t>
  </si>
  <si>
    <t>Категория угля по сопротивляемости разрушению стругами</t>
  </si>
  <si>
    <t>0,76-0,80</t>
  </si>
  <si>
    <t>Комбинированная обратный ход, движение воздуха по лаве от транспортной выработки к вентиляционной и далее на массив. Вентиляционная выработка  - повторно используемая транспортная выработка,  за лавой не погашается. Подсвежающая струя от фланговой выработки. Транспортная выработка  проведена заранее и  за лавой не погашается.</t>
  </si>
  <si>
    <t>Норма выработки табличная, комплект из 3-х стоек</t>
  </si>
  <si>
    <t>Дополнительные вычисления:</t>
  </si>
  <si>
    <t>Размер заходки, м</t>
  </si>
  <si>
    <t xml:space="preserve">     Скорость подачи комбайна зависит: </t>
  </si>
  <si>
    <t>Доля метана из выработанного пространства, поступающего в лаву (склонен к самовозгоранию)</t>
  </si>
  <si>
    <t xml:space="preserve">    Подготавливающие выработки по границам выемочного участка, расстояние между ними,  способы их охраны</t>
  </si>
  <si>
    <t xml:space="preserve">    Способы охраны участковых выработок</t>
  </si>
  <si>
    <t xml:space="preserve">    Указать направление угольного и воздушного потоков.</t>
  </si>
  <si>
    <t xml:space="preserve">   Продолжаем вычисления, относящиеся уже ко всем пластам в шахтном поле</t>
  </si>
  <si>
    <t>Узел сопряжения лавы с предыдущим выемочным полем  (номер модуля, см. таблицу узлов): 1 - размер целика более зоны опорного давления, 2 - размер целика менее зоны опорного давления, 3 - вентиляционная выработка проведена (проводится) вприсечку, 4 - повторно используется старая транспортная выработка</t>
  </si>
  <si>
    <t>Степень выбросоопасности пласта ( 1-  комбайн в лаве может работать с дистанционным управлением. 2 -  пласт опасен. 3 -  пласт особо опасен.)</t>
  </si>
  <si>
    <t xml:space="preserve">   Эти данные привести в описании проекта !!!  А именно:</t>
  </si>
  <si>
    <t>МК75</t>
  </si>
  <si>
    <t>0,186-0,235</t>
  </si>
  <si>
    <t>норма на откатку лесных</t>
  </si>
  <si>
    <t xml:space="preserve">    то эти   ячейки необходимо очистить!</t>
  </si>
  <si>
    <t>Вид транспорта угля по участковой выработке: 1 - рельсовый, 2 - конвейерный</t>
  </si>
  <si>
    <t>2. Привести полное описание принятой системы разработки (указано ниже)</t>
  </si>
  <si>
    <t>Если в закрашенных ячейках приведенных ниже таблиц имеются данные от предыдущего пользователя - удалите их !!!</t>
  </si>
  <si>
    <t>Количество анкеров на 1 м выработки, если они есть</t>
  </si>
  <si>
    <t>Вид транспорта угля по участковой выработке при погоризонтной подготовке:  - конвейерный</t>
  </si>
  <si>
    <r>
      <t xml:space="preserve">Необходимое количество резервно-действующих лав   </t>
    </r>
    <r>
      <rPr>
        <b/>
        <sz val="12"/>
        <rFont val="Times New Roman"/>
        <family val="1"/>
        <charset val="204"/>
      </rPr>
      <t>Nрез = Nдей*kр</t>
    </r>
  </si>
  <si>
    <t xml:space="preserve">    Студенты данной специализации на 3 - 4 курсах будут выполнять курсовые</t>
  </si>
  <si>
    <t xml:space="preserve"> проекты по таким дисциплинам, как "Вскрытие и подготовка", "Процессы </t>
  </si>
  <si>
    <t>подземных горных работ", "Системы разработки". В курсе "Основы горного</t>
  </si>
  <si>
    <t xml:space="preserve">целью только общее знакомство с подземной геотехнологией и поэтому </t>
  </si>
  <si>
    <t xml:space="preserve">S – размер шахтного поля по простиранию, м  </t>
  </si>
  <si>
    <t>H – размер шахтного поля по падению, м</t>
  </si>
  <si>
    <t>γ    - плотность угля, т/м3</t>
  </si>
  <si>
    <r>
      <t>m</t>
    </r>
    <r>
      <rPr>
        <vertAlign val="subscript"/>
        <sz val="12"/>
        <rFont val="Times New Roman"/>
        <family val="1"/>
        <charset val="204"/>
      </rPr>
      <t>ср</t>
    </r>
    <r>
      <rPr>
        <sz val="12"/>
        <rFont val="Times New Roman"/>
        <family val="1"/>
        <charset val="204"/>
      </rPr>
      <t xml:space="preserve"> – средняя мощность пласта, м</t>
    </r>
  </si>
  <si>
    <t>Поправочные коэффициенты к затратам на проходку участковых выработок  по общешахтным факторам</t>
  </si>
  <si>
    <t>интегральный коэффициент при проведении( не зависящие от сечения)БВР</t>
  </si>
  <si>
    <t>рельс путь, мм</t>
  </si>
  <si>
    <t>проход, мм</t>
  </si>
  <si>
    <t>ширина выработки после осадки исходя из оборудования, мм</t>
  </si>
  <si>
    <t>расчетная величина сечения по максимальной скорости воздуха, м2</t>
  </si>
  <si>
    <t>Допустимое сечение по скорости воздуха, м2</t>
  </si>
  <si>
    <t>Промежуточное вычисление</t>
  </si>
  <si>
    <t>Допустимая нагрузка на лаву, т/сутки (по проветриванию)</t>
  </si>
  <si>
    <r>
      <t>Категория кровли по обрушаемости  (1- А1, 2 - А</t>
    </r>
    <r>
      <rPr>
        <vertAlign val="subscript"/>
        <sz val="10"/>
        <rFont val="Arial Cyr"/>
        <family val="2"/>
        <charset val="204"/>
      </rPr>
      <t>1</t>
    </r>
    <r>
      <rPr>
        <sz val="10"/>
        <rFont val="Arial Cyr"/>
        <charset val="204"/>
      </rPr>
      <t xml:space="preserve"> с периодическими осадками, 3 - А</t>
    </r>
    <r>
      <rPr>
        <vertAlign val="subscript"/>
        <sz val="10"/>
        <rFont val="Arial Cyr"/>
        <family val="2"/>
        <charset val="204"/>
      </rPr>
      <t>2</t>
    </r>
    <r>
      <rPr>
        <sz val="10"/>
        <rFont val="Arial Cyr"/>
        <charset val="204"/>
      </rPr>
      <t>)</t>
    </r>
  </si>
  <si>
    <t>Пропускная способность участковой конвейерной линии (лава, перегружатели), т/мин</t>
  </si>
  <si>
    <t xml:space="preserve">Основные параметры ленточных конвейеров  </t>
  </si>
  <si>
    <t>в прогр</t>
  </si>
  <si>
    <t>Общие затраты времени на передвижку крепи (знаменатель ф. 76), мин</t>
  </si>
  <si>
    <t xml:space="preserve">Затраты времени на оформление забоя и крепление  индивидуальной крепи,(знаменатель ф. 77)  мин </t>
  </si>
  <si>
    <t>Затраты времени на передвижку посадочной крепи, мин/комплект  (по ЕНВ)</t>
  </si>
  <si>
    <t>Количество комплектов посадочной крепи на одного ГРОЗ</t>
  </si>
  <si>
    <t>Шаг установки посадочной крепи, м</t>
  </si>
  <si>
    <t xml:space="preserve">Поправочные коэффициенты к норме выработки </t>
  </si>
  <si>
    <t>Принятое количество резервно-действующих лав</t>
  </si>
  <si>
    <t>Масса стойки</t>
  </si>
  <si>
    <t>2. Струговая выемка в лаве с индивидуальной крепью</t>
  </si>
  <si>
    <t>3. Комбайновая выемка в комплексно механизированной лаве</t>
  </si>
  <si>
    <t>4. Струговая выемка в комплексно механизированной лаве</t>
  </si>
  <si>
    <t xml:space="preserve">               Расчеты по программе komplex.xls выполнены и ниже приведены их результаты.</t>
  </si>
  <si>
    <t xml:space="preserve">               Смотрите результат, начиная со строки</t>
  </si>
  <si>
    <t>комплекса, стойки, верхняка, посадочной крепи !   В записке привести указанные  выше таблицы!</t>
  </si>
  <si>
    <t xml:space="preserve">6  Появляется всплывающее меню "Пользовательский автофильтр" с указанием названия столбца и </t>
  </si>
  <si>
    <t xml:space="preserve">4-мя окошками. В левом верхнем окошке выбрать необходимый оператор </t>
  </si>
  <si>
    <t>Диаметр стойки для органки, м</t>
  </si>
  <si>
    <t>Ширина бутового штрека, м ( коэф разрыхления пород 2)</t>
  </si>
  <si>
    <t>Количество стоек органной крепи на 1 м выработки, шт</t>
  </si>
  <si>
    <t>Количество ремонтин,  шт/м</t>
  </si>
  <si>
    <t>Общая длина верхняка, м</t>
  </si>
  <si>
    <t>Расход стоек, м3/м</t>
  </si>
  <si>
    <t>Расход ремонтин, м3/м</t>
  </si>
  <si>
    <t>Расход верхняков крепи штрека, м3/м</t>
  </si>
  <si>
    <t>ВВ</t>
  </si>
  <si>
    <t>Количество шпуров в бут штреке</t>
  </si>
  <si>
    <t>Объем заряда ВВ на заходку, м3</t>
  </si>
  <si>
    <t>Плотность ВВ, т/м3</t>
  </si>
  <si>
    <t>Расход ВВ, т/м</t>
  </si>
  <si>
    <t>Всего</t>
  </si>
  <si>
    <t>Объем стойки, м3</t>
  </si>
  <si>
    <t>Количество стоек</t>
  </si>
  <si>
    <t>Количество  вагонов</t>
  </si>
  <si>
    <t>Количество вагонов</t>
  </si>
  <si>
    <t>Конец БУТОВАЯ ПОЛОСА  РУКАМИ</t>
  </si>
  <si>
    <t>БУТОВАЯ ПОЛОСА  СКРЕПЕР</t>
  </si>
  <si>
    <t>Вычисления - закладка</t>
  </si>
  <si>
    <t>Объем породы в массиве для выкладки полосы, м3</t>
  </si>
  <si>
    <t>Номер строки в табл. "Нормы выработки, м3 выложенной бутовой полосы"</t>
  </si>
  <si>
    <t>Вычисления - работы в бутовом штреке</t>
  </si>
  <si>
    <t>Трудоемкость установка органки</t>
  </si>
  <si>
    <t>Теоретическая производительность при рабочих режимах</t>
  </si>
  <si>
    <t>размер</t>
  </si>
  <si>
    <t>Производ</t>
  </si>
  <si>
    <t>режим</t>
  </si>
  <si>
    <t>минимальная вынимаемая мощность пласта, м</t>
  </si>
  <si>
    <t>Тип уста-новки</t>
  </si>
  <si>
    <t>Доставка породы при выкладке бутовой полосы (1 - под действием собственного веса, 0 - при др.виде доставке)</t>
  </si>
  <si>
    <t>Подрывка породы в бутовом штреке (1- почвы, 2 - кровли)</t>
  </si>
  <si>
    <t>Высота бутового штрека, м</t>
  </si>
  <si>
    <t>Размер заходки в бутовом штреке, м</t>
  </si>
  <si>
    <t>При скреперной закладке в бутовую полосу</t>
  </si>
  <si>
    <t>Емкость скрепера, м3  (от 0,15 до 0,5)</t>
  </si>
  <si>
    <t>Способ охраны</t>
  </si>
  <si>
    <t>Трудоемкость сооружение средств охраны, чел.см./м</t>
  </si>
  <si>
    <t>Тумбы БЖБТ</t>
  </si>
  <si>
    <t xml:space="preserve">Фактическое относительное метановыделение из пласта, м3/т.с.д </t>
  </si>
  <si>
    <t>Нагрузка на лаву, при которой определено газовыделение, т/сут</t>
  </si>
  <si>
    <t xml:space="preserve">Имеется механизированная крепь сопряжения? </t>
  </si>
  <si>
    <t>На конце лавы есть механизированная крепь?</t>
  </si>
  <si>
    <t xml:space="preserve">Заштыбованность тяговых органов </t>
  </si>
  <si>
    <t xml:space="preserve">Процесс дробления негабарита </t>
  </si>
  <si>
    <t xml:space="preserve">   выбрать целесообразный в заданных условиях тип индивидуальной крепи в нишах и,</t>
  </si>
  <si>
    <t>Сменный коэффициент машинного времени (ф. 24)</t>
  </si>
  <si>
    <r>
      <t xml:space="preserve">коэффициент снижения скорости передвижки фронта крепи с увеличением угла наклона пласта  </t>
    </r>
    <r>
      <rPr>
        <b/>
        <sz val="12"/>
        <color indexed="10"/>
        <rFont val="Arial Cyr"/>
        <charset val="204"/>
      </rPr>
      <t>k</t>
    </r>
    <r>
      <rPr>
        <b/>
        <vertAlign val="subscript"/>
        <sz val="12"/>
        <color indexed="10"/>
        <rFont val="Arial Cyr"/>
        <charset val="204"/>
      </rPr>
      <t>уп</t>
    </r>
  </si>
  <si>
    <r>
      <t xml:space="preserve">максимальная ширина призабойного пространства при </t>
    </r>
    <r>
      <rPr>
        <sz val="10"/>
        <color indexed="12"/>
        <rFont val="Arial Cyr"/>
        <charset val="204"/>
      </rPr>
      <t>механизированной</t>
    </r>
    <r>
      <rPr>
        <sz val="10"/>
        <rFont val="Arial Cyr"/>
        <charset val="204"/>
      </rPr>
      <t xml:space="preserve"> крепи, м Вмах</t>
    </r>
  </si>
  <si>
    <r>
      <t xml:space="preserve">максимальная ширина призабойного пространства при </t>
    </r>
    <r>
      <rPr>
        <sz val="10"/>
        <color indexed="12"/>
        <rFont val="Arial Cyr"/>
        <charset val="204"/>
      </rPr>
      <t>индивидуальной</t>
    </r>
    <r>
      <rPr>
        <sz val="10"/>
        <rFont val="Arial Cyr"/>
        <charset val="204"/>
      </rPr>
      <t xml:space="preserve"> крепи, м  Вмах</t>
    </r>
  </si>
  <si>
    <t>Комбинированная, обратный ход. Движение воздуха по лаве от транспортной выработки к вентиляционной и далее на массив. Вентиляционная выработка проводится навстречу лаве через целик более  Lоп,  за лавой не погашается, участок ее за лавой проветривается от фланговой выработки. Транспортная выработка  проведена заранее и  за лавой не погашается. Участок транспортной выработки  за лавой проветриваются от фланговой выработки..</t>
  </si>
  <si>
    <t>Комбинированная, обратный ход. Движение воздуха по лаве от транспортной выработки к вентиляционной и далее на массив. Вентиляционная выработка проводится навстречу лаве через целик менее  Lоп,  за лавой не погашается, участок ее за лавой проветривается от фланговой выработки. Транспортная выработка  проведена заранее и  за лавой не погашается. Участок транспортной выработки  за лавой проветриваются от фланговой выработки..</t>
  </si>
  <si>
    <t>Можно ли  (1 - да, 2 - нет) устанавливать посадочные стойки СПУТНИК через одну рамку крепи (2 м), если категория пород кровли по обрушаемости А3?</t>
  </si>
  <si>
    <t>Транспорт</t>
  </si>
  <si>
    <t>ПАНЕЛЬНАЯ  ПОДГОТОВКА</t>
  </si>
  <si>
    <t xml:space="preserve">    Руководствуясь таблицей и исходными данными на проектирование введите следующие данные:</t>
  </si>
  <si>
    <t>Расположение исполнительных органов</t>
  </si>
  <si>
    <t>Размер выноса головки в вентиляционную выработку, м</t>
  </si>
  <si>
    <t>Размер ниши у вентиляционной выработки, м</t>
  </si>
  <si>
    <t>Столбовая,  движение воздуха по лаве от транспортной выработки к вентиляционной и далее на массив. Транспортная и вентиляционная выработки за лавой погашаются. Вентиляционная выработка проводится заранее вприсечку к выработанному пространству работающей лавы. Транспортная выработка  проводится заранее.</t>
  </si>
  <si>
    <t>Категория по ДонУГИ</t>
  </si>
  <si>
    <t>Укажите индексы пластов по группам и проанализируйте величину нагрузки на каждый пласт.</t>
  </si>
  <si>
    <t xml:space="preserve">СРЕДСТВ ОХРАНЫ </t>
  </si>
  <si>
    <t>УЧАСТКОВЫХ ВЫРАБОТОК</t>
  </si>
  <si>
    <t>номер столбца в таблице    трансп шт-к</t>
  </si>
  <si>
    <t>Норматив для комб ТРАНСП Ш-К</t>
  </si>
  <si>
    <t>ПРОХОДКА БВР</t>
  </si>
  <si>
    <t>номер стороки в таблице вент ш-к</t>
  </si>
  <si>
    <t>Норматив БВР вент ш-к</t>
  </si>
  <si>
    <t>Норматив БВР транс ш-к</t>
  </si>
  <si>
    <t>Скорость проведения тр-ного штрека</t>
  </si>
  <si>
    <t>Скорость проведения вентил штрека</t>
  </si>
  <si>
    <t>Сечение в свету до осадки</t>
  </si>
  <si>
    <t>10,1-12</t>
  </si>
  <si>
    <t>12,1-14</t>
  </si>
  <si>
    <t>14,1-16</t>
  </si>
  <si>
    <t>16,1-18</t>
  </si>
  <si>
    <t>18,1-20</t>
  </si>
  <si>
    <t>20,1-22</t>
  </si>
  <si>
    <t>22,1-24</t>
  </si>
  <si>
    <t>24,1-26</t>
  </si>
  <si>
    <t>более 26</t>
  </si>
  <si>
    <t xml:space="preserve">Присечка до 50%, комбайн тяжелый </t>
  </si>
  <si>
    <t>m&gt;2,2</t>
  </si>
  <si>
    <t xml:space="preserve">Присечка более 50%, комб тяжелый </t>
  </si>
  <si>
    <t>m&lt;2,2</t>
  </si>
  <si>
    <t xml:space="preserve">Присечка до 50%, комбайн средний </t>
  </si>
  <si>
    <t xml:space="preserve">Присечка более 50%, комб средний </t>
  </si>
  <si>
    <t>2. должна обеспечиваться предварительная разработка защитного пласта, если имеется выбросоопасный пласт.</t>
  </si>
  <si>
    <t>Суммарная мощность пластов 1-й группы</t>
  </si>
  <si>
    <t>Индекс пласта</t>
  </si>
  <si>
    <t>Мощность пласта h1 максимальная, м</t>
  </si>
  <si>
    <t>Мощность пласта h1  минимальная, м</t>
  </si>
  <si>
    <t>Мощность пласта h1  средняя, м</t>
  </si>
  <si>
    <t>Расстояние между пластами h1 - h2 по нормали, м</t>
  </si>
  <si>
    <t>Средняя мощность пласта, м</t>
  </si>
  <si>
    <t>Расстояние до вышележащего пласта, м</t>
  </si>
  <si>
    <t>Пространство между пластами</t>
  </si>
  <si>
    <r>
      <t>Расстояние между пластами по нормали в направлении снизу - вверх   Индекс нижнего пласта - h</t>
    </r>
    <r>
      <rPr>
        <vertAlign val="subscript"/>
        <sz val="11"/>
        <rFont val="Times New Roman"/>
        <family val="1"/>
        <charset val="204"/>
      </rPr>
      <t>1</t>
    </r>
  </si>
  <si>
    <r>
      <t>Нагрузка на пласт c  индексом 1  D1=m1*D/(Σm</t>
    </r>
    <r>
      <rPr>
        <vertAlign val="subscript"/>
        <sz val="12"/>
        <rFont val="Times New Roman"/>
        <family val="1"/>
        <charset val="204"/>
      </rPr>
      <t>ср</t>
    </r>
    <r>
      <rPr>
        <sz val="12"/>
        <rFont val="Times New Roman"/>
        <family val="1"/>
        <charset val="204"/>
      </rPr>
      <t>)</t>
    </r>
  </si>
  <si>
    <t>Ниже приведена таблица нагрузки на пласт при делении всех пластов на две группы</t>
  </si>
  <si>
    <t>Необходимая нагрузка на пласт, т/сутки</t>
  </si>
  <si>
    <t>Комбинированная обратный ход,  движение воздуха по лаве от транспортной выработки к вентиляционной и далее на выработанное пространство. Вентиляционная выработка проводится за лавой через целик более  Lоп, Транспортная выработка проведена заранее, за лавой не погашается, участок ее за лавой проветривается на фланговую выработку.</t>
  </si>
  <si>
    <t xml:space="preserve">до 24,2 </t>
  </si>
  <si>
    <t>24,3-28</t>
  </si>
  <si>
    <t>28,1-32</t>
  </si>
  <si>
    <t>32,1-36,2</t>
  </si>
  <si>
    <t>СТОЙКИ В НИШАХ</t>
  </si>
  <si>
    <t>Механизация очистных работ</t>
  </si>
  <si>
    <t>время на крепление на 1 комплект, мин</t>
  </si>
  <si>
    <t>при углах падения от 35 градусов до 50 градусов - от 600 м до 180 м. При больших углах падения - от 180 м до 120 м.</t>
  </si>
  <si>
    <r>
      <t xml:space="preserve">Угол падения пластов, градус           </t>
    </r>
    <r>
      <rPr>
        <b/>
        <sz val="11"/>
        <rFont val="Times New Roman"/>
        <family val="1"/>
        <charset val="204"/>
      </rPr>
      <t xml:space="preserve"> </t>
    </r>
    <r>
      <rPr>
        <b/>
        <sz val="11"/>
        <rFont val="Sylfaen"/>
        <family val="1"/>
        <charset val="204"/>
      </rPr>
      <t>α</t>
    </r>
  </si>
  <si>
    <r>
      <t xml:space="preserve">Глубина начала работ, м           </t>
    </r>
    <r>
      <rPr>
        <b/>
        <sz val="11"/>
        <rFont val="Times New Roman"/>
        <family val="1"/>
        <charset val="204"/>
      </rPr>
      <t>h</t>
    </r>
    <r>
      <rPr>
        <b/>
        <vertAlign val="subscript"/>
        <sz val="11"/>
        <rFont val="Times New Roman"/>
        <family val="1"/>
        <charset val="204"/>
      </rPr>
      <t>0</t>
    </r>
  </si>
  <si>
    <t>Нормы выработки и нормы обслуживания комплекса при выемке угля комбайном по односторонней схеме и фронтальной передвижке конвеера</t>
  </si>
  <si>
    <t>табл. 3 ЕНВ 1993г</t>
  </si>
  <si>
    <t>Нормы выработки и нормы обслуживания комплекса при выемке угля комбайном по челноковой схеме и передвижке конвеера участками (вслед за комбайном)</t>
  </si>
  <si>
    <t>табл. 4 ЕНВ 1993г</t>
  </si>
  <si>
    <t>Нормы выработки и нормы обслуживания комплекса при выемке угля комбайном по челноковой схеме и фронтальной передвижке конвеера</t>
  </si>
  <si>
    <t>табл. 5 ЕНВ 1993г</t>
  </si>
  <si>
    <t>Комбинированная обратный ход, движение воздуха по лаве от транспортной выработки к вентиляционной и далее на выработанное пространство. Вентиляционная выработка  проведена от фланговой выработки через целик менее  Lоп и за лавой не погашается. Транспортная выработка проведена заранее, за лавой не погашается. Участки выработок  за лавой проветриваются на фланговую выработку. Подсвежающая струя - на фланговую выработку..</t>
  </si>
  <si>
    <t xml:space="preserve">                            цвет вносимого текста - черный!   </t>
  </si>
  <si>
    <t>Задаваемый размер крыла панели при панельной подготовке (от 300 до 2000 м)</t>
  </si>
  <si>
    <t>Расчетный размер крыла панели при заданных условиях, м</t>
  </si>
  <si>
    <t>Способ охраны наклонных выработок при панельной подготовке (ходок): 1-пластовая выработка , охраняется целиками размером более зоны опорного давления, 2-пластовая выработка , охраняется целиками размером менее зоны опорного давления, 3-пластовая выработка, охраняется разгрузочными полосами и угольными целиками, 4-пластовая выработка, охраняется бутовыми полосами,  5-пластовая выработка, проведенная по выработанному пространству, 6-выработка проведена под разгрузочной лавой</t>
  </si>
  <si>
    <t>Способ выемки угля в нише (1 - отбойный молоток. 2 -  БВР.)</t>
  </si>
  <si>
    <t>Податливость крепи участковой транспортной выработки, мм</t>
  </si>
  <si>
    <t xml:space="preserve"> определенной мере осложняется  ростом затрат на ремонт выработок при этих системах разработки в сравнении </t>
  </si>
  <si>
    <t>моделирования затрат (будет рассмотрено в специальном учебном курсе "Системы разработки".)</t>
  </si>
  <si>
    <r>
      <t xml:space="preserve">      Здесь варианты </t>
    </r>
    <r>
      <rPr>
        <b/>
        <sz val="12"/>
        <rFont val="Times New Roman"/>
        <family val="1"/>
        <charset val="204"/>
      </rPr>
      <t>1</t>
    </r>
    <r>
      <rPr>
        <sz val="12"/>
        <rFont val="Times New Roman"/>
        <family val="1"/>
        <charset val="204"/>
      </rPr>
      <t xml:space="preserve">  и  </t>
    </r>
    <r>
      <rPr>
        <b/>
        <sz val="12"/>
        <rFont val="Times New Roman"/>
        <family val="1"/>
        <charset val="204"/>
      </rPr>
      <t>2</t>
    </r>
    <r>
      <rPr>
        <sz val="12"/>
        <rFont val="Times New Roman"/>
        <family val="1"/>
        <charset val="204"/>
      </rPr>
      <t xml:space="preserve">  -  сплошная  система разработки, 3 и 4 - столбовая система разработки,</t>
    </r>
  </si>
  <si>
    <r>
      <t xml:space="preserve">варианты </t>
    </r>
    <r>
      <rPr>
        <b/>
        <sz val="10"/>
        <rFont val="Arial Cyr"/>
        <charset val="204"/>
      </rPr>
      <t xml:space="preserve"> 5, 6, 7, 8, 9 </t>
    </r>
    <r>
      <rPr>
        <sz val="10"/>
        <rFont val="Arial Cyr"/>
        <charset val="204"/>
      </rPr>
      <t xml:space="preserve"> - комбинипрованная система разработки.</t>
    </r>
  </si>
  <si>
    <t xml:space="preserve">   Рис. А   При панельной подготовке </t>
  </si>
  <si>
    <t xml:space="preserve">    Рис Б   При погоризонтной подготовке и работе по падению</t>
  </si>
  <si>
    <t xml:space="preserve">Рис. В  При погоризонтной подготовке и работе по восстанию </t>
  </si>
  <si>
    <t>Под каким номером на рисунке В  показана схема выработок сплошной системы разработки?</t>
  </si>
  <si>
    <t>Под каким номером на рисунке А показана схема выработок системы разработки со схемой проветривания 3-В?</t>
  </si>
  <si>
    <t>Под каким номером на рисунке В  показана схема выработок столбовой системы разработки с повторным использованием участковой выработки?</t>
  </si>
  <si>
    <t>Пок каким номером на рисунке В показана схема выработок сплошной системы разработки с повторным использованием выработки?</t>
  </si>
  <si>
    <t>Наиболее существенно, практически на 100%, газовыделение из выработанного</t>
  </si>
  <si>
    <t>Норма выработки принятая, шт/смена</t>
  </si>
  <si>
    <t>Принятая в расчетах трудоемкость</t>
  </si>
  <si>
    <t>Расчет зарплаты</t>
  </si>
  <si>
    <t>ДОСТАВКА МАТЕРИАЛОВ ТУМБ БЖБТ К МЕСТУ РАБОТЫ</t>
  </si>
  <si>
    <t>(2) Таб 138 стр 315</t>
  </si>
  <si>
    <t>(2) таб 144 стр 323</t>
  </si>
  <si>
    <t>(2) Таб 144 стр 323</t>
  </si>
  <si>
    <t>Число плит в тумбе, шт</t>
  </si>
  <si>
    <t>Вес плиты тумбы, т</t>
  </si>
  <si>
    <t>Тумбы БЖБТ, т</t>
  </si>
  <si>
    <t>Объем доставки, т</t>
  </si>
  <si>
    <t>КОНЕЦ   ТУМБЫ</t>
  </si>
  <si>
    <t>литая полоса</t>
  </si>
  <si>
    <t>Выбросоопасность пласта(0- не опасен, 1- выбросоопасен, 2- особовыбросоопасная зона)</t>
  </si>
  <si>
    <t>Число рядов стоек для заливки полосы</t>
  </si>
  <si>
    <r>
      <t>Категория кровли по обрушаемости, (средне- и труднообрушающаяся - 1, труднообрушающаяся - 2</t>
    </r>
    <r>
      <rPr>
        <sz val="11"/>
        <rFont val="Calibri"/>
        <family val="2"/>
        <charset val="204"/>
      </rPr>
      <t>)</t>
    </r>
  </si>
  <si>
    <t>вспомог вычисление</t>
  </si>
  <si>
    <t>Возведение литой полосы</t>
  </si>
  <si>
    <t>Расчетная нагрузка на литую полосу, кН/м</t>
  </si>
  <si>
    <t>ОБОРУДОВАНИЕ   ДЛЯ ЗАДАННОГО ПЛАСТА  ПРИНЯТО !!!</t>
  </si>
  <si>
    <t>Комбинированная обратный ход,  движение воздуха по лаве от транспортной выработки к вентиляционной и далее на выработанное пространство. Вентиляционная выработка  проводится за лавой вприсечку к старым работам. Транспортная выработка  проводится заранее и за лавой погашается.</t>
  </si>
  <si>
    <t>Воздух по лаве движется в направлении от транспортной выработки к вентиляционной - 1, или от вентиляционной выработки к транспортной - 2?</t>
  </si>
  <si>
    <t>Комбинированная, обратный ход. Движение воздуха по лаве от транспортной выработки к вентиляционной и далее на массив. Вентиляционная выработка - повторно используемая транспортная выработка,  за лавой не погашается, участок ее за лавой проветривается от фланговой выработки. Транспортная выработка  проведена заранее и  за лавой не погашается. Участок транспортной выработки  за лавой проветриваются от фланговой выработки..</t>
  </si>
  <si>
    <t>Ширина свободного пространства ниши закрепленного индивидуальной крепью,м</t>
  </si>
  <si>
    <r>
      <t>чистое время работы гидроцилиндров передвижки в течение периода подвигания или после подвигания на величину l</t>
    </r>
    <r>
      <rPr>
        <b/>
        <vertAlign val="subscript"/>
        <sz val="10"/>
        <color indexed="10"/>
        <rFont val="Arial Cyr"/>
        <charset val="204"/>
      </rPr>
      <t>ш.з.</t>
    </r>
    <r>
      <rPr>
        <b/>
        <sz val="10"/>
        <color indexed="10"/>
        <rFont val="Arial Cyr"/>
        <charset val="204"/>
      </rPr>
      <t xml:space="preserve"> , мин   Т</t>
    </r>
    <r>
      <rPr>
        <b/>
        <vertAlign val="subscript"/>
        <sz val="10"/>
        <color indexed="10"/>
        <rFont val="Arial Cyr"/>
        <charset val="204"/>
      </rPr>
      <t>р</t>
    </r>
    <r>
      <rPr>
        <b/>
        <vertAlign val="superscript"/>
        <sz val="10"/>
        <color indexed="10"/>
        <rFont val="Arial Cyr"/>
        <charset val="204"/>
      </rPr>
      <t>гп</t>
    </r>
  </si>
  <si>
    <r>
      <t>шаг установки комплектов крепи вдоль забоя, м</t>
    </r>
    <r>
      <rPr>
        <b/>
        <sz val="10"/>
        <rFont val="Arial Cyr"/>
        <charset val="204"/>
      </rPr>
      <t xml:space="preserve"> lшк</t>
    </r>
  </si>
  <si>
    <r>
      <t xml:space="preserve">число комплектов механизированной крепи на один пай, штук  </t>
    </r>
    <r>
      <rPr>
        <b/>
        <sz val="12"/>
        <color indexed="10"/>
        <rFont val="Arial Cyr"/>
        <charset val="204"/>
      </rPr>
      <t>n</t>
    </r>
    <r>
      <rPr>
        <b/>
        <vertAlign val="subscript"/>
        <sz val="12"/>
        <color indexed="10"/>
        <rFont val="Arial Cyr"/>
        <charset val="204"/>
      </rPr>
      <t>кгр</t>
    </r>
  </si>
  <si>
    <r>
      <t>время передвижки крепи, мин  Тпр*n</t>
    </r>
    <r>
      <rPr>
        <b/>
        <vertAlign val="subscript"/>
        <sz val="10"/>
        <color indexed="10"/>
        <rFont val="Arial Cyr"/>
        <charset val="204"/>
      </rPr>
      <t>кгр</t>
    </r>
  </si>
  <si>
    <t>Способ охраны выработки в 3-й зоне поддержания (1 - БЖБТ, 2 - Литая полоса, 3 - многорядная органная крепь, 4 - кусты, 5 - Бутокостры, 6 - костры накатные, 7 - костры клетевые, 8 - Бутовая полоса при скреперной закладке из проводимого штрека, 9 - Бутовая полоса при ручной закладке из бутового штрека), 10- двусторонняя бутовая полоса</t>
  </si>
  <si>
    <r>
      <t>1                                      v</t>
    </r>
    <r>
      <rPr>
        <b/>
        <vertAlign val="subscript"/>
        <sz val="10"/>
        <rFont val="Arial Cyr"/>
        <family val="2"/>
        <charset val="204"/>
      </rPr>
      <t>c</t>
    </r>
    <r>
      <rPr>
        <b/>
        <sz val="10"/>
        <rFont val="Arial Cyr"/>
        <family val="2"/>
        <charset val="204"/>
      </rPr>
      <t xml:space="preserve"> &lt; v</t>
    </r>
    <r>
      <rPr>
        <b/>
        <vertAlign val="subscript"/>
        <sz val="10"/>
        <rFont val="Arial Cyr"/>
        <family val="2"/>
        <charset val="204"/>
      </rPr>
      <t>к</t>
    </r>
  </si>
  <si>
    <r>
      <t xml:space="preserve">                2v</t>
    </r>
    <r>
      <rPr>
        <b/>
        <vertAlign val="subscript"/>
        <sz val="10"/>
        <rFont val="Arial Cyr"/>
        <family val="2"/>
        <charset val="204"/>
      </rPr>
      <t>к</t>
    </r>
    <r>
      <rPr>
        <b/>
        <sz val="10"/>
        <rFont val="Arial Cyr"/>
        <family val="2"/>
        <charset val="204"/>
      </rPr>
      <t xml:space="preserve"> &lt; v</t>
    </r>
    <r>
      <rPr>
        <b/>
        <vertAlign val="subscript"/>
        <sz val="10"/>
        <rFont val="Arial Cyr"/>
        <family val="2"/>
        <charset val="204"/>
      </rPr>
      <t>c</t>
    </r>
    <r>
      <rPr>
        <b/>
        <sz val="10"/>
        <rFont val="Arial Cyr"/>
        <family val="2"/>
        <charset val="204"/>
      </rPr>
      <t xml:space="preserve"> &lt;= 3v</t>
    </r>
    <r>
      <rPr>
        <b/>
        <vertAlign val="subscript"/>
        <sz val="10"/>
        <rFont val="Arial Cyr"/>
        <family val="2"/>
        <charset val="204"/>
      </rPr>
      <t>к</t>
    </r>
  </si>
  <si>
    <r>
      <t>3                                 v</t>
    </r>
    <r>
      <rPr>
        <b/>
        <vertAlign val="subscript"/>
        <sz val="10"/>
        <rFont val="Arial Cyr"/>
        <family val="2"/>
        <charset val="204"/>
      </rPr>
      <t>к</t>
    </r>
    <r>
      <rPr>
        <b/>
        <sz val="10"/>
        <rFont val="Arial Cyr"/>
        <family val="2"/>
        <charset val="204"/>
      </rPr>
      <t xml:space="preserve"> &lt; v</t>
    </r>
    <r>
      <rPr>
        <b/>
        <vertAlign val="subscript"/>
        <sz val="10"/>
        <rFont val="Arial Cyr"/>
        <family val="2"/>
        <charset val="204"/>
      </rPr>
      <t>c</t>
    </r>
    <r>
      <rPr>
        <b/>
        <sz val="10"/>
        <rFont val="Arial Cyr"/>
        <family val="2"/>
        <charset val="204"/>
      </rPr>
      <t xml:space="preserve"> &lt; 2v</t>
    </r>
    <r>
      <rPr>
        <b/>
        <vertAlign val="subscript"/>
        <sz val="10"/>
        <rFont val="Arial Cyr"/>
        <family val="2"/>
        <charset val="204"/>
      </rPr>
      <t>к</t>
    </r>
  </si>
  <si>
    <r>
      <t>v</t>
    </r>
    <r>
      <rPr>
        <vertAlign val="subscript"/>
        <sz val="10"/>
        <rFont val="Arial Cyr"/>
        <family val="2"/>
        <charset val="204"/>
      </rPr>
      <t xml:space="preserve">c </t>
    </r>
    <r>
      <rPr>
        <sz val="10"/>
        <rFont val="Arial Cyr"/>
        <family val="2"/>
        <charset val="204"/>
      </rPr>
      <t>м/c</t>
    </r>
  </si>
  <si>
    <r>
      <t>v</t>
    </r>
    <r>
      <rPr>
        <vertAlign val="subscript"/>
        <sz val="10"/>
        <rFont val="Arial Cyr"/>
        <family val="2"/>
        <charset val="204"/>
      </rPr>
      <t xml:space="preserve">к </t>
    </r>
    <r>
      <rPr>
        <sz val="10"/>
        <rFont val="Arial Cyr"/>
        <family val="2"/>
        <charset val="204"/>
      </rPr>
      <t>м/s</t>
    </r>
  </si>
  <si>
    <r>
      <t xml:space="preserve">Коэф готовности забоя по группе последовательных перерывов без учета ограничений по креплению </t>
    </r>
    <r>
      <rPr>
        <b/>
        <sz val="12"/>
        <color indexed="10"/>
        <rFont val="Arial Cyr"/>
        <charset val="204"/>
      </rPr>
      <t>µ</t>
    </r>
    <r>
      <rPr>
        <b/>
        <vertAlign val="subscript"/>
        <sz val="12"/>
        <color indexed="10"/>
        <rFont val="Times New Roman Cyr"/>
        <charset val="204"/>
      </rPr>
      <t>1</t>
    </r>
    <r>
      <rPr>
        <b/>
        <sz val="12"/>
        <color indexed="10"/>
        <rFont val="Times New Roman Cyr"/>
        <family val="1"/>
        <charset val="204"/>
      </rPr>
      <t>*</t>
    </r>
    <r>
      <rPr>
        <b/>
        <sz val="11"/>
        <color indexed="10"/>
        <rFont val="Times New Roman Cyr"/>
        <family val="1"/>
        <charset val="204"/>
      </rPr>
      <t xml:space="preserve">   (ф. 68)</t>
    </r>
  </si>
  <si>
    <r>
      <t xml:space="preserve">нахождение величины </t>
    </r>
    <r>
      <rPr>
        <b/>
        <sz val="12"/>
        <rFont val="Times New Roman Cyr"/>
        <charset val="204"/>
      </rPr>
      <t xml:space="preserve"> µ</t>
    </r>
    <r>
      <rPr>
        <b/>
        <vertAlign val="subscript"/>
        <sz val="12"/>
        <rFont val="Times New Roman Cyr"/>
        <charset val="204"/>
      </rPr>
      <t>п.кр.</t>
    </r>
    <r>
      <rPr>
        <b/>
        <sz val="12"/>
        <rFont val="Times New Roman Cyr"/>
        <charset val="204"/>
      </rPr>
      <t xml:space="preserve"> </t>
    </r>
  </si>
  <si>
    <t>Трудоемкость (нактные)</t>
  </si>
  <si>
    <t>Всего трудоемкость на поверхности (клетевые)  чел.смен</t>
  </si>
  <si>
    <t>Всего трудоемкость на поверхности (накатные)  чел.смен</t>
  </si>
  <si>
    <t>Трудоемкость,(клетевые)  чел.см</t>
  </si>
  <si>
    <t>Трудоемкость,(накатные) чел.см</t>
  </si>
  <si>
    <r>
      <t xml:space="preserve">                                                H</t>
    </r>
    <r>
      <rPr>
        <b/>
        <i/>
        <sz val="10"/>
        <rFont val="Arial Cyr"/>
        <charset val="204"/>
      </rPr>
      <t>min</t>
    </r>
    <r>
      <rPr>
        <b/>
        <i/>
        <sz val="12"/>
        <rFont val="Arial Cyr"/>
        <charset val="204"/>
      </rPr>
      <t xml:space="preserve"> = m</t>
    </r>
    <r>
      <rPr>
        <b/>
        <i/>
        <sz val="10"/>
        <rFont val="Arial Cyr"/>
        <charset val="204"/>
      </rPr>
      <t>min</t>
    </r>
    <r>
      <rPr>
        <b/>
        <i/>
        <sz val="12"/>
        <rFont val="Arial Cyr"/>
        <charset val="204"/>
      </rPr>
      <t>(1-</t>
    </r>
    <r>
      <rPr>
        <b/>
        <sz val="12"/>
        <rFont val="Sylfaen"/>
        <family val="1"/>
        <charset val="204"/>
      </rPr>
      <t>α</t>
    </r>
    <r>
      <rPr>
        <b/>
        <i/>
        <sz val="12"/>
        <rFont val="Arial Cyr"/>
        <charset val="204"/>
      </rPr>
      <t>*b) - h</t>
    </r>
    <r>
      <rPr>
        <b/>
        <i/>
        <sz val="10"/>
        <rFont val="Arial Cyr"/>
        <charset val="204"/>
      </rPr>
      <t>p</t>
    </r>
  </si>
  <si>
    <r>
      <t>α</t>
    </r>
    <r>
      <rPr>
        <b/>
        <i/>
        <sz val="12"/>
        <rFont val="Arial Cyr"/>
        <charset val="204"/>
      </rPr>
      <t xml:space="preserve"> </t>
    </r>
    <r>
      <rPr>
        <i/>
        <sz val="12"/>
        <rFont val="Arial Cyr"/>
        <charset val="204"/>
      </rPr>
      <t xml:space="preserve">- градиент сближения кровли с почвой на 1 м ширины лавы.  </t>
    </r>
  </si>
  <si>
    <t xml:space="preserve">      Шаг установки рамок призабойной крепи вдоль лавы принимается исходя из следующего: </t>
  </si>
  <si>
    <t xml:space="preserve">  1. расстояние между рамками крепи должно быть таким, чтобы не происходило обрушение пород </t>
  </si>
  <si>
    <t xml:space="preserve">            непосредственной кровли между рамками крепи.  Это расстояние вычисляется по формуле</t>
  </si>
  <si>
    <t>Lобр=3,2В+Г</t>
  </si>
  <si>
    <r>
      <t xml:space="preserve">где  </t>
    </r>
    <r>
      <rPr>
        <b/>
        <i/>
        <sz val="12"/>
        <rFont val="Arial Cyr"/>
        <charset val="204"/>
      </rPr>
      <t xml:space="preserve">В </t>
    </r>
    <r>
      <rPr>
        <i/>
        <sz val="12"/>
        <rFont val="Arial Cyr"/>
        <charset val="204"/>
      </rPr>
      <t xml:space="preserve">- высота нижнего слоя пород непосредственной кровли, м, </t>
    </r>
    <r>
      <rPr>
        <b/>
        <i/>
        <sz val="12"/>
        <rFont val="Arial Cyr"/>
        <charset val="204"/>
      </rPr>
      <t>Г</t>
    </r>
    <r>
      <rPr>
        <i/>
        <sz val="12"/>
        <rFont val="Arial Cyr"/>
        <charset val="204"/>
      </rPr>
      <t xml:space="preserve"> - расстояние между трещинами </t>
    </r>
  </si>
  <si>
    <t>в породах кровли, м</t>
  </si>
  <si>
    <t>Эти величины зависят от категории пород непосредственной кровли по устойчивости.</t>
  </si>
  <si>
    <t>Коэффициент снижения скорости  крепления при неустойчивых породах  kуст (ф. 36)</t>
  </si>
  <si>
    <t>Относительное газовыделение в лаву, м3/т</t>
  </si>
  <si>
    <t>Расчетное количество воздуха, поступающего в лаву, м3/мин</t>
  </si>
  <si>
    <t>Поле для проведения исследований</t>
  </si>
  <si>
    <r>
      <t>Объемный выход летучих веществ, мл/г с.б.м. (по опыту V</t>
    </r>
    <r>
      <rPr>
        <vertAlign val="subscript"/>
        <sz val="10"/>
        <rFont val="Arial Cyr"/>
        <family val="2"/>
        <charset val="204"/>
      </rPr>
      <t>об</t>
    </r>
    <r>
      <rPr>
        <vertAlign val="superscript"/>
        <sz val="10"/>
        <rFont val="Arial Cyr"/>
        <family val="2"/>
        <charset val="204"/>
      </rPr>
      <t>daf</t>
    </r>
    <r>
      <rPr>
        <sz val="10"/>
        <rFont val="Arial Cyr"/>
        <charset val="204"/>
      </rPr>
      <t>=30*V</t>
    </r>
    <r>
      <rPr>
        <vertAlign val="subscript"/>
        <sz val="10"/>
        <rFont val="Arial Cyr"/>
        <family val="2"/>
        <charset val="204"/>
      </rPr>
      <t>daf</t>
    </r>
    <r>
      <rPr>
        <sz val="10"/>
        <rFont val="Arial Cyr"/>
        <charset val="204"/>
      </rPr>
      <t>)</t>
    </r>
  </si>
  <si>
    <r>
      <t>V</t>
    </r>
    <r>
      <rPr>
        <vertAlign val="subscript"/>
        <sz val="10"/>
        <rFont val="Arial Cyr"/>
        <family val="2"/>
        <charset val="204"/>
      </rPr>
      <t>об</t>
    </r>
    <r>
      <rPr>
        <vertAlign val="superscript"/>
        <sz val="10"/>
        <rFont val="Arial Cyr"/>
        <family val="2"/>
        <charset val="204"/>
      </rPr>
      <t>daf</t>
    </r>
  </si>
  <si>
    <t>номер строки в таблице норм на бурение</t>
  </si>
  <si>
    <t>70 - 250</t>
  </si>
  <si>
    <t>25-  125</t>
  </si>
  <si>
    <t>125 -  250</t>
  </si>
  <si>
    <t>2 - 5</t>
  </si>
  <si>
    <t>250 - 800</t>
  </si>
  <si>
    <t>1  -  2,5</t>
  </si>
  <si>
    <t>4 - 8</t>
  </si>
  <si>
    <t>1,0 - 2,5</t>
  </si>
  <si>
    <t>2,5 - 4</t>
  </si>
  <si>
    <t>2,5 - 5</t>
  </si>
  <si>
    <t>3 - 8</t>
  </si>
  <si>
    <t>40-60</t>
  </si>
  <si>
    <t>4  -  8</t>
  </si>
  <si>
    <t>Процент общешахтных потерь угля (некондиционные запасы, охранные целики, геологические нарушения), %   По  (в пределах лт 10% до 15%)</t>
  </si>
  <si>
    <t>Процент эксплуатационных потерь угля (охранные целики у выработок, потери в очистном забое), %  Пэ  (в пределах от 6% до 10%)</t>
  </si>
  <si>
    <t xml:space="preserve"> В закрашенные ячейки вводите данные самостоятельно!</t>
  </si>
  <si>
    <t xml:space="preserve">Перед извлечением стойки при передвижке режущей крепи (тумб) расстояние стойки от забоя достигает </t>
  </si>
  <si>
    <t>Комбинированная прямой ход, проветривание от фланговой выработки по вентиляционной выработке через лаву  к транспортной выработке и далее на массив. Вентиляционная выработка проведена ранее через целик более  Lоп , за лавой погашается. Транспортная выработка проведена ранее и не погашается. Подсвежающая струя - на фланговую выработку.</t>
  </si>
  <si>
    <t>Комбинированная прямой ход, проветривание от фланговой выработки по вентиляционной выработке через лаву  к транспортной выработке и далее на массив. Вентиляционная выработка проведена ранее через целик менее  Lоп , за лавой погашается. Транспортная выработка проведена ранее и не погашается. Подсвежающая струя - на фланговую выработку.</t>
  </si>
  <si>
    <t>Категория отбойности угля стругом</t>
  </si>
  <si>
    <t>до 0,57</t>
  </si>
  <si>
    <t>0,58-0,71</t>
  </si>
  <si>
    <t>0,72-0,85</t>
  </si>
  <si>
    <t>0,86-1,0</t>
  </si>
  <si>
    <t>1,01 и более</t>
  </si>
  <si>
    <t xml:space="preserve">                                         Длина лавы до 175 м</t>
  </si>
  <si>
    <t xml:space="preserve">                                         Длина лавы  176 м и более</t>
  </si>
  <si>
    <t>норма</t>
  </si>
  <si>
    <t>номер строки</t>
  </si>
  <si>
    <t>поправ коэф</t>
  </si>
  <si>
    <t>норма табличная</t>
  </si>
  <si>
    <t>норма принятая</t>
  </si>
  <si>
    <t>верзняя пачка самообрушается</t>
  </si>
  <si>
    <t>самообрушается до 50%</t>
  </si>
  <si>
    <t xml:space="preserve">    Производительность струговой установки определяется по формуле</t>
  </si>
  <si>
    <t>Рельсовый транспорт по штреку длина лавы до  175 м</t>
  </si>
  <si>
    <t>Рельсовый транспорт по штреку длина лавы более  175 м</t>
  </si>
  <si>
    <t>кат раз стругом</t>
  </si>
  <si>
    <t>Комбинированная обратный ход, проветривание от вентиляционной выработки к транспортной штреку и далее на выработанное пространство. Вентиляционная выработка проведена ранее через целик более  Lоп , за лавой не погашается, Транспортная выработка проведена ранее и не погашается. Участки выработок впереди лавы проветриваются через фланговые выработки. Подсвежающая струя - от центральной выработки.</t>
  </si>
  <si>
    <r>
      <t xml:space="preserve">Первая от забоя стойка устанавливается на расстоянии  </t>
    </r>
    <r>
      <rPr>
        <b/>
        <i/>
        <sz val="14"/>
        <rFont val="Arial Cyr"/>
        <charset val="204"/>
      </rPr>
      <t>а</t>
    </r>
    <r>
      <rPr>
        <i/>
        <sz val="12"/>
        <rFont val="Arial Cyr"/>
        <charset val="204"/>
      </rPr>
      <t xml:space="preserve"> =  1 - 1,6 м.</t>
    </r>
  </si>
  <si>
    <r>
      <t xml:space="preserve"> </t>
    </r>
    <r>
      <rPr>
        <b/>
        <i/>
        <sz val="12"/>
        <rFont val="Arial Cyr"/>
        <charset val="204"/>
      </rPr>
      <t>b</t>
    </r>
    <r>
      <rPr>
        <i/>
        <sz val="12"/>
        <rFont val="Arial Cyr"/>
        <charset val="204"/>
      </rPr>
      <t xml:space="preserve"> = 4,4  - 4,6 м.</t>
    </r>
  </si>
  <si>
    <t xml:space="preserve">                Максимальная высота стойки при ее установке определяется согласно выражению</t>
  </si>
  <si>
    <r>
      <t xml:space="preserve">                                             h</t>
    </r>
    <r>
      <rPr>
        <b/>
        <i/>
        <sz val="10"/>
        <rFont val="Arial Cyr"/>
        <charset val="204"/>
      </rPr>
      <t xml:space="preserve">max = </t>
    </r>
    <r>
      <rPr>
        <b/>
        <i/>
        <sz val="12"/>
        <rFont val="Arial Cyr"/>
        <charset val="204"/>
      </rPr>
      <t>m</t>
    </r>
    <r>
      <rPr>
        <b/>
        <i/>
        <sz val="10"/>
        <rFont val="Arial Cyr"/>
        <charset val="204"/>
      </rPr>
      <t>max</t>
    </r>
    <r>
      <rPr>
        <b/>
        <i/>
        <sz val="12"/>
        <rFont val="Arial Cyr"/>
        <charset val="204"/>
      </rPr>
      <t>(1-a*</t>
    </r>
    <r>
      <rPr>
        <b/>
        <sz val="12"/>
        <rFont val="Sylfaen"/>
        <family val="1"/>
        <charset val="204"/>
      </rPr>
      <t>α</t>
    </r>
    <r>
      <rPr>
        <b/>
        <i/>
        <sz val="12"/>
        <rFont val="Arial Cyr"/>
        <charset val="204"/>
      </rPr>
      <t>)- h</t>
    </r>
    <r>
      <rPr>
        <b/>
        <i/>
        <sz val="10"/>
        <rFont val="Arial Cyr"/>
        <charset val="204"/>
      </rPr>
      <t>в</t>
    </r>
  </si>
  <si>
    <t>Табличная норма выработки на бурение шпуров, м</t>
  </si>
  <si>
    <t>Трудоемкость бурения шпуров</t>
  </si>
  <si>
    <t xml:space="preserve">На границе рабочего пространства установлена посадочная крепь. Шаг посадки кровли,как правило, равен </t>
  </si>
  <si>
    <r>
      <t xml:space="preserve">    В точке установки первой от забоя стойки опускание кровли составило </t>
    </r>
    <r>
      <rPr>
        <b/>
        <i/>
        <sz val="12"/>
        <rFont val="Arial Cyr"/>
        <charset val="204"/>
      </rPr>
      <t>j</t>
    </r>
    <r>
      <rPr>
        <b/>
        <i/>
        <vertAlign val="subscript"/>
        <sz val="12"/>
        <rFont val="Arial Cyr"/>
        <charset val="204"/>
      </rPr>
      <t>1</t>
    </r>
    <r>
      <rPr>
        <i/>
        <sz val="12"/>
        <rFont val="Arial Cyr"/>
        <charset val="204"/>
      </rPr>
      <t>, на границе рабочего</t>
    </r>
  </si>
  <si>
    <t>1.1.2</t>
  </si>
  <si>
    <t>1.1.3</t>
  </si>
  <si>
    <t>1.1.4</t>
  </si>
  <si>
    <t>1.2.1</t>
  </si>
  <si>
    <t>1.2.2</t>
  </si>
  <si>
    <t>1.2.3</t>
  </si>
  <si>
    <t>1.2.4</t>
  </si>
  <si>
    <t>1.3.1</t>
  </si>
  <si>
    <t>1.3.2</t>
  </si>
  <si>
    <t>Лава обводненна; или волнистая гипсометрия пласта; или длина лавы свыше 180м; или крепь работает свыше 15 месяцев; или труднообрушаемая кровля.</t>
  </si>
  <si>
    <t>Площадь свобод. сечения лавы,  м2</t>
  </si>
  <si>
    <t>Лава длиной до 150м со спокойной гипсометрией пласта; или конвейером доставлено менее 120 тыс.т угля; или конвейер установлен в штреке, просеке, печи; или двухсменный режим работы ; или лава сухая</t>
  </si>
  <si>
    <t>Что из названного не является критерием для выбора типа комплекса? (1 - сопротивляемость угля резанию, 2 - длина лавы, 3 - мощность пласта)</t>
  </si>
  <si>
    <t xml:space="preserve"> Пройдена вприсечку к выработанному пространству? (Да - 1, 0 - Нет)</t>
  </si>
  <si>
    <t xml:space="preserve">Число дежурных электрослесарей </t>
  </si>
  <si>
    <t>26.7-30.4</t>
  </si>
  <si>
    <t>30.5-34.6</t>
  </si>
  <si>
    <t>Явочный штат бригады добычной, чел</t>
  </si>
  <si>
    <t>34.7-39.2</t>
  </si>
  <si>
    <t>Затраты по  прямой заработной плате , грн</t>
  </si>
  <si>
    <t>39.3-44.4</t>
  </si>
  <si>
    <t>Расчет премий за выполнение плана и доплат за руководство бригадой</t>
  </si>
  <si>
    <t>44.5-50.0</t>
  </si>
  <si>
    <t>Коэффициент отбивки верхней пачки угля</t>
  </si>
  <si>
    <t>Нормы выработки на крепление очмстных забоев клиновыми стойками. Комплект. Стойка.</t>
  </si>
  <si>
    <t>Коєффициент учитывающий устойчивость нижней части кровли</t>
  </si>
  <si>
    <t xml:space="preserve">                            Состав комплекта крепи</t>
  </si>
  <si>
    <t>Общий пороавочный коєффициент индивидуальных параметров</t>
  </si>
  <si>
    <t>Конечный поправочный коэффициент</t>
  </si>
  <si>
    <t xml:space="preserve"> угля.     Работы в струговой лаве организованы по так называемой "паевой системе", суть</t>
  </si>
  <si>
    <t xml:space="preserve">установлены ли в участковых выработках механизированные крепи сопряжения, </t>
  </si>
  <si>
    <t>На эскизе должен быть показан работающий выемочный участок, подготавливаемый к работе выемочный</t>
  </si>
  <si>
    <t>Комбинированная прямой ход,  движение воздуха по лаве от транспортной выработки к вентиляционной и на выработанное пространство, Вентиляционная выработка проводится через целик более Lоп, за лавой не погашается. Подсвежающая струя - на выработанное пространство. Транспортная выработка проводится  за лавой.</t>
  </si>
  <si>
    <t>Комбинированная прямой ход,  движение воздуха по лаве от транспортной выработки к вентиляционной и на выработанное пространство, Вентиляционная выработка проводится через целик менее Lоп, за лавой не погашается. Подсвежающая струя - на выработанное пространство. Транспортная выработка проводится  за лавой.</t>
  </si>
  <si>
    <t xml:space="preserve">Как следует из приведенной таблицы, возможная  нагрузка на лаву несущественно зависит от длины лавы, </t>
  </si>
  <si>
    <t>Арочная крепь (выдача на поверхность), т.</t>
  </si>
  <si>
    <t>Трудоемкость принятая в расчетах для верхнего штрека</t>
  </si>
  <si>
    <t>Угол падения пласта, град.</t>
  </si>
  <si>
    <t>Средний коэффициент крепости пород по М.М. Протодьяконову</t>
  </si>
  <si>
    <t>Глубина выполняемых работ, м</t>
  </si>
  <si>
    <t>Выбросоопасность пласта(0- не опасен, 1- выбросоопасен)</t>
  </si>
  <si>
    <t>Извлечение стоек арочной крепи</t>
  </si>
  <si>
    <t>Объем работ (нижняя ниша)</t>
  </si>
  <si>
    <t>Объем работ (верхняя ниша)</t>
  </si>
  <si>
    <t>В соответствии с приведенной таблицей введите в закрашенные ячейки данные о применяемом в лаве комбайне</t>
  </si>
  <si>
    <t xml:space="preserve">                         Принцип расчетов состоит в следующем:</t>
  </si>
  <si>
    <t>Категория Б  пород непосредственной кровли по устойчивости по классификации ДонУГИ ( 2 , 3 , 4)</t>
  </si>
  <si>
    <t>Объем лебедочной камеры, м3</t>
  </si>
  <si>
    <t>Комбинированная обратный ход, проветривание от вентиляционной выработки  к транспортной и далее на выработанное пространство. Вентиляционная выработка проведена ранее через целик менее  Lоп , за лавой не погашается. Транспортная выработка  проведена ранее и не погашается. Подсвежающая струя - к фланговой выработке.</t>
  </si>
  <si>
    <t xml:space="preserve">   Введение</t>
  </si>
  <si>
    <t>Величина К в формуле 24</t>
  </si>
  <si>
    <t>В каких единицах измеряется объем работ по выемке угля стругом? 1 - количество циклов, 2 -  тонна, 3 - количество стружек, 4 - количестве передвижек крепи</t>
  </si>
  <si>
    <t>увязать с механизацией</t>
  </si>
  <si>
    <t>Столбовая, движение воздуха по лаве от транспортной выработки к вентиляционной и далее на массив. Вентиляционная выработка - повторно используемая транспортная выработка. за лавой погашается. Транспортная выработка  проведена заранее, за лавой не погашается. Тупик выработки проветривается на фланговую выработку..</t>
  </si>
  <si>
    <r>
      <t xml:space="preserve">ВЫБОР ОБОРУДОВАНИЯ ЛАВЫ  ПО ПРОГРАММЕ   </t>
    </r>
    <r>
      <rPr>
        <i/>
        <u/>
        <sz val="10"/>
        <color indexed="12"/>
        <rFont val="Arial Cyr"/>
        <charset val="204"/>
      </rPr>
      <t>komplex.xls</t>
    </r>
  </si>
  <si>
    <r>
      <t>Какое решение Вы принимаете?</t>
    </r>
    <r>
      <rPr>
        <sz val="12"/>
        <rFont val="Times New Roman"/>
        <family val="1"/>
        <charset val="204"/>
      </rPr>
      <t xml:space="preserve"> </t>
    </r>
    <r>
      <rPr>
        <b/>
        <sz val="12"/>
        <rFont val="Times New Roman"/>
        <family val="1"/>
        <charset val="204"/>
      </rPr>
      <t>1 - Применить механизированный комплекс, 2 - Работать в лаве с индивидуальной крепью</t>
    </r>
  </si>
  <si>
    <t>выемочных комплексов, которые можно применить в данных исходных условиях.</t>
  </si>
  <si>
    <t xml:space="preserve">   Тип и типоразмер оборудования указан в расположенной ниже таблице.</t>
  </si>
  <si>
    <t>Выемочное оборудование комбайновой лавы с индивидуальной крепью</t>
  </si>
  <si>
    <t>Сортируйте таблицу и возможные к применению типоразмеры стоек внесите в таблицу строки</t>
  </si>
  <si>
    <t>Минималь-ная высота, мм</t>
  </si>
  <si>
    <t>Допустимая величина сопротивления поддерживающей части крепи ,    Q, МПа</t>
  </si>
  <si>
    <r>
      <t>Q</t>
    </r>
    <r>
      <rPr>
        <sz val="10"/>
        <rFont val="Arial Cyr"/>
        <charset val="204"/>
      </rPr>
      <t>, МПа</t>
    </r>
  </si>
  <si>
    <r>
      <t>g</t>
    </r>
    <r>
      <rPr>
        <b/>
        <vertAlign val="subscript"/>
        <sz val="10"/>
        <rFont val="Arial Cyr"/>
        <family val="2"/>
        <charset val="204"/>
      </rPr>
      <t>пос</t>
    </r>
    <r>
      <rPr>
        <sz val="10"/>
        <rFont val="Arial Cyr"/>
        <charset val="204"/>
      </rPr>
      <t>, МН/м</t>
    </r>
  </si>
  <si>
    <t xml:space="preserve">       b - максимальная ширина рабочего пространства, м</t>
  </si>
  <si>
    <t xml:space="preserve">     Q - нижний предел суммарного сопротивления призабойной и посадочной крепи, МПа (см. табл.)</t>
  </si>
  <si>
    <r>
      <t xml:space="preserve">     g</t>
    </r>
    <r>
      <rPr>
        <i/>
        <vertAlign val="subscript"/>
        <sz val="12"/>
        <rFont val="Arial Cyr"/>
        <charset val="204"/>
      </rPr>
      <t>пос</t>
    </r>
    <r>
      <rPr>
        <i/>
        <sz val="12"/>
        <rFont val="Arial Cyr"/>
        <charset val="204"/>
      </rPr>
      <t xml:space="preserve"> - минимально необходимое сопротивление крепи посадочного ряда, МН/м (см. табл.)</t>
    </r>
  </si>
  <si>
    <r>
      <t>где  Р</t>
    </r>
    <r>
      <rPr>
        <i/>
        <vertAlign val="subscript"/>
        <sz val="12"/>
        <rFont val="Arial Cyr"/>
        <charset val="204"/>
      </rPr>
      <t>пос</t>
    </r>
    <r>
      <rPr>
        <i/>
        <sz val="12"/>
        <rFont val="Arial Cyr"/>
        <charset val="204"/>
      </rPr>
      <t xml:space="preserve"> -  допустимая нагрузка на стойку посадочной крепи, Мн</t>
    </r>
  </si>
  <si>
    <t>Для тумб ОКУ  это  1,5 МН, для стойки крепи СПУТНИК - 0,8 МН.</t>
  </si>
  <si>
    <r>
      <t>Номер группы комбайнов(</t>
    </r>
    <r>
      <rPr>
        <b/>
        <sz val="12"/>
        <color indexed="10"/>
        <rFont val="Times New Roman"/>
        <family val="1"/>
        <charset val="204"/>
      </rPr>
      <t xml:space="preserve">1 </t>
    </r>
    <r>
      <rPr>
        <sz val="12"/>
        <color indexed="10"/>
        <rFont val="Times New Roman"/>
        <family val="1"/>
        <charset val="204"/>
      </rPr>
      <t xml:space="preserve">- 2ГШ68Б, РКУ10, РКУ13, РКУ16, 1ГШ68, ГШ68В; ГШ500,  </t>
    </r>
    <r>
      <rPr>
        <b/>
        <sz val="12"/>
        <color indexed="10"/>
        <rFont val="Times New Roman"/>
        <family val="1"/>
        <charset val="204"/>
      </rPr>
      <t>2</t>
    </r>
    <r>
      <rPr>
        <sz val="12"/>
        <color indexed="10"/>
        <rFont val="Times New Roman"/>
        <family val="1"/>
        <charset val="204"/>
      </rPr>
      <t xml:space="preserve"> - 1К103, КА80; </t>
    </r>
    <r>
      <rPr>
        <b/>
        <sz val="12"/>
        <color indexed="10"/>
        <rFont val="Times New Roman"/>
        <family val="1"/>
        <charset val="204"/>
      </rPr>
      <t>3</t>
    </r>
    <r>
      <rPr>
        <sz val="12"/>
        <color indexed="10"/>
        <rFont val="Times New Roman"/>
        <family val="1"/>
        <charset val="204"/>
      </rPr>
      <t xml:space="preserve"> - КШ1КГ, 2К52МУ; </t>
    </r>
    <r>
      <rPr>
        <b/>
        <sz val="12"/>
        <color indexed="10"/>
        <rFont val="Times New Roman"/>
        <family val="1"/>
        <charset val="204"/>
      </rPr>
      <t>4</t>
    </r>
    <r>
      <rPr>
        <sz val="12"/>
        <color indexed="10"/>
        <rFont val="Times New Roman"/>
        <family val="1"/>
        <charset val="204"/>
      </rPr>
      <t xml:space="preserve"> - 1К101, 1К101У; </t>
    </r>
    <r>
      <rPr>
        <b/>
        <sz val="12"/>
        <color indexed="10"/>
        <rFont val="Times New Roman"/>
        <family val="1"/>
        <charset val="204"/>
      </rPr>
      <t>5</t>
    </r>
    <r>
      <rPr>
        <sz val="12"/>
        <color indexed="10"/>
        <rFont val="Times New Roman"/>
        <family val="1"/>
        <charset val="204"/>
      </rPr>
      <t xml:space="preserve"> - МК67М.</t>
    </r>
  </si>
  <si>
    <t xml:space="preserve">               Способ проведения участковых выработок</t>
  </si>
  <si>
    <t xml:space="preserve">                    Податливость крепи, мм</t>
  </si>
  <si>
    <t xml:space="preserve">                       Способ охраны </t>
  </si>
  <si>
    <t xml:space="preserve">                               Вид транспорта</t>
  </si>
  <si>
    <t>которые использовались при расчете нагрузки на лаву по производительности оборудования,  составлена приведенная ниже таблица</t>
  </si>
  <si>
    <t>В этой же таблице показаны и результаты расчета нагрузки на лаву по техническим возможностям оборудования.</t>
  </si>
  <si>
    <t>Вычисления выполнены при:</t>
  </si>
  <si>
    <t>Подвигание за цикл, м</t>
  </si>
  <si>
    <t>Согласно вычислениям по методике МакНИИ  величина допустимой нагрузки на лаву при тех же величинах длины лавы,</t>
  </si>
  <si>
    <t xml:space="preserve">Макси-мальная высота, мм </t>
  </si>
  <si>
    <t>5 Затраты времени на "зачистку" лавы, мин/цикл (ф. 22)</t>
  </si>
  <si>
    <t>Длительность рабочих процессов на концах лавы при механизированной крепи, мин/цикл</t>
  </si>
  <si>
    <t xml:space="preserve"> Коэффициент готовности конвейерной линии (конв. транспорт)  (ф.31)</t>
  </si>
  <si>
    <t>Коэффициент готовности конвейерной линии (рельс. транспорт)  (ф. 31)</t>
  </si>
  <si>
    <t>Нормы выработки и нормы обслуживания комплекса при выемке угля комбайном по челноковой схеме и устойчивой кровле</t>
  </si>
  <si>
    <t>табл. 26 ЕНВ 1993г</t>
  </si>
  <si>
    <t>Нормы выработки и нормы обслуживания комплекса при выемке угля комбайном по односторонней схеме и неустойчивой кровле</t>
  </si>
  <si>
    <t>табл. 27 ЕНВ 1993г</t>
  </si>
  <si>
    <t>35!</t>
  </si>
  <si>
    <t>Комбинированная, обратный ход. Движение воздуха по лаве от транспортной выработки к вентиляционной и далее на массив. Вентиляционная выработка проводится вприсечку к работающей лаве от фланговой выработки,  за лавой погашается. Транспортная выработка проведен заранее, за лавой не погашается, участок ее за лавой проветривается от фланговой выработки.</t>
  </si>
  <si>
    <t>Условия участка-аналога</t>
  </si>
  <si>
    <t>(Lоч.р-2*Вз.д)/(Lоч.р+2*Вз.д)</t>
  </si>
  <si>
    <t>Lоч.р/(Lоч.р+2*Вз.д)</t>
  </si>
  <si>
    <t>(Lоч.р+2*Вз.д)/(Lоч.р-2*Вз.д)</t>
  </si>
  <si>
    <t>Lоч.р/(Lоч.р-2*Вз.д)</t>
  </si>
  <si>
    <t>(Lоч.р+2*Вз.д)/Lоч.р</t>
  </si>
  <si>
    <t>(Lоч.р-2*Вз.д)/Lоч.р</t>
  </si>
  <si>
    <r>
      <t>Площадь сечения лавы, m</t>
    </r>
    <r>
      <rPr>
        <b/>
        <vertAlign val="superscript"/>
        <sz val="10"/>
        <rFont val="Arial Cyr"/>
        <family val="2"/>
        <charset val="204"/>
      </rPr>
      <t>2</t>
    </r>
  </si>
  <si>
    <t xml:space="preserve">Степень устойчивости пород кровли </t>
  </si>
  <si>
    <t>f&lt;=3</t>
  </si>
  <si>
    <t xml:space="preserve"> 3.1&lt;f&lt;= 6</t>
  </si>
  <si>
    <t>F&gt;6.01</t>
  </si>
  <si>
    <t>Полное обрушение</t>
  </si>
  <si>
    <t>Полная закладка</t>
  </si>
  <si>
    <t>Комбинированная обратный ход, движение воздуха по лаве от транспортной выработки к вентиляционной и далее на выработанное пространство. Вентиляционная выработка  проведена через целик более  Lоп и за лавой не погашается. Транспортная выработка проведена заранее, за лавой не погашается. Участки выработок  за лавой проветриваются на фланговую выработку. Подсвежающая струя - на фланговую выработку.</t>
  </si>
  <si>
    <t xml:space="preserve">4. При максимальной ширине пространства лавы (перед передвижкой крепи), при которой </t>
  </si>
  <si>
    <t xml:space="preserve">имеет место наибольшая величина опускания кровли и подштыбовки </t>
  </si>
  <si>
    <t xml:space="preserve">основания секции крепи, должен оставаться запас раздвижности крепи, </t>
  </si>
  <si>
    <r>
      <t xml:space="preserve">7  Поочередно проделать операции пунктов 4, 5, 6  в столбцах от </t>
    </r>
    <r>
      <rPr>
        <b/>
        <sz val="10"/>
        <rFont val="Arial Cyr"/>
        <charset val="204"/>
      </rPr>
      <t>E</t>
    </r>
    <r>
      <rPr>
        <sz val="10"/>
        <rFont val="Arial Cyr"/>
        <charset val="204"/>
      </rPr>
      <t xml:space="preserve"> до </t>
    </r>
    <r>
      <rPr>
        <b/>
        <sz val="10"/>
        <rFont val="Arial Cyr"/>
        <charset val="204"/>
      </rPr>
      <t>R</t>
    </r>
  </si>
  <si>
    <t>Длина лавы 221-280 м</t>
  </si>
  <si>
    <t>При способе транспортирования угля от погрузочного пункта лавы, требующем останавки комбайна для обмена составов вагонеток</t>
  </si>
  <si>
    <t xml:space="preserve">            примощности пласта от 1,2 м до 2,5 м   - в пределах от 180 м  до 300 м.</t>
  </si>
  <si>
    <t xml:space="preserve">Для лав, оборудованных механизированным комплексом при нагрузке на лаву 1000 т/сутки </t>
  </si>
  <si>
    <t>и более рекомендуется применять длину лавы 250 м - 300 м.</t>
  </si>
  <si>
    <t xml:space="preserve">    Блок определение коэффициента готовности по группе</t>
  </si>
  <si>
    <t>Необходимое сечение из условий оборудования, м2</t>
  </si>
  <si>
    <t>Размер междуучастковых целиков, м  (от 0 до  60 м)</t>
  </si>
  <si>
    <t>Расстояние между арками крепи, (от 0,5 до 1,5 м)</t>
  </si>
  <si>
    <r>
      <t xml:space="preserve">5. На этой линии от нижней границы нижнего пласта отложить расстояние </t>
    </r>
    <r>
      <rPr>
        <b/>
        <sz val="12"/>
        <rFont val="Times New Roman"/>
        <family val="1"/>
        <charset val="204"/>
      </rPr>
      <t>1- 2</t>
    </r>
    <r>
      <rPr>
        <sz val="12"/>
        <rFont val="Times New Roman"/>
        <family val="1"/>
        <charset val="204"/>
      </rPr>
      <t xml:space="preserve">  - горизонтальное расстояние</t>
    </r>
  </si>
  <si>
    <t>Таблица 72</t>
  </si>
  <si>
    <t>55.1-65</t>
  </si>
  <si>
    <t>Типоразмер посадочных стоек</t>
  </si>
  <si>
    <t>Норма выработки</t>
  </si>
  <si>
    <t xml:space="preserve"> = 4,9629Ln(x) + 4,999</t>
  </si>
  <si>
    <t>Возведение деревянной органной крепи</t>
  </si>
  <si>
    <t>ТАБЛИЦА 66</t>
  </si>
  <si>
    <t>65.1 и более</t>
  </si>
  <si>
    <t>01Б</t>
  </si>
  <si>
    <t>Всего прямая зарплата, грн</t>
  </si>
  <si>
    <t>зарплата с начислениями, грн/м</t>
  </si>
  <si>
    <t>Итого по процессу</t>
  </si>
  <si>
    <t>Зарплата</t>
  </si>
  <si>
    <t>Материалы</t>
  </si>
  <si>
    <t>Нормы выработки на выкладку костров, костер</t>
  </si>
  <si>
    <t>до 12</t>
  </si>
  <si>
    <t>13-24</t>
  </si>
  <si>
    <t>25-35</t>
  </si>
  <si>
    <t>36-45</t>
  </si>
  <si>
    <t>Возможная максимальная вынимаемая мощность пласта, м</t>
  </si>
  <si>
    <t>Типы установки, для которых возможен расчет</t>
  </si>
  <si>
    <t>№</t>
  </si>
  <si>
    <t>min</t>
  </si>
  <si>
    <t>max</t>
  </si>
  <si>
    <t>СО75М</t>
  </si>
  <si>
    <t>1СОП</t>
  </si>
  <si>
    <t>1СНТ</t>
  </si>
  <si>
    <t>СН75М</t>
  </si>
  <si>
    <t>СН96</t>
  </si>
  <si>
    <t>3СКП</t>
  </si>
  <si>
    <t>Тип установки</t>
  </si>
  <si>
    <t>максимальная вынимаемая мощность пласта, м</t>
  </si>
  <si>
    <t>Коэф гипсометрии пласта   i3</t>
  </si>
  <si>
    <t xml:space="preserve">  Коэффициент готовности эталонного сопряжения лавы  с подготовительной выработкой</t>
  </si>
  <si>
    <t>Определение коэффициентов готовности по группе параллельных перерывов (возникающих с одинаковой вероятностью, как при работе струга, так и при его остановке)</t>
  </si>
  <si>
    <r>
      <t xml:space="preserve">   На глубине</t>
    </r>
    <r>
      <rPr>
        <b/>
        <sz val="12"/>
        <rFont val="Times New Roman"/>
        <family val="1"/>
        <charset val="204"/>
      </rPr>
      <t xml:space="preserve"> Н</t>
    </r>
    <r>
      <rPr>
        <b/>
        <vertAlign val="subscript"/>
        <sz val="12"/>
        <rFont val="Times New Roman"/>
        <family val="1"/>
        <charset val="204"/>
      </rPr>
      <t>гор</t>
    </r>
    <r>
      <rPr>
        <sz val="12"/>
        <rFont val="Times New Roman"/>
        <family val="1"/>
        <charset val="204"/>
      </rPr>
      <t xml:space="preserve"> (см. рисунок) будет сооружен околоствольный двор.</t>
    </r>
  </si>
  <si>
    <t xml:space="preserve">  На приведенном ниже рисунке показана принципиальная схема околоствольного двора.</t>
  </si>
  <si>
    <t xml:space="preserve">  Если вход грузопотока в околоствольный двор возможен с двух сторон, такой околоствольный</t>
  </si>
  <si>
    <t xml:space="preserve">околоствольный двор - петлевой или односторонний.  Стволы расположены примерно </t>
  </si>
  <si>
    <r>
      <t xml:space="preserve">то величина </t>
    </r>
    <r>
      <rPr>
        <b/>
        <sz val="12"/>
        <rFont val="Times New Roman"/>
        <family val="1"/>
        <charset val="204"/>
      </rPr>
      <t>L</t>
    </r>
    <r>
      <rPr>
        <b/>
        <vertAlign val="subscript"/>
        <sz val="12"/>
        <rFont val="Times New Roman"/>
        <family val="1"/>
        <charset val="204"/>
      </rPr>
      <t>ст</t>
    </r>
    <r>
      <rPr>
        <sz val="12"/>
        <rFont val="Times New Roman"/>
        <family val="1"/>
        <charset val="204"/>
      </rPr>
      <t xml:space="preserve"> составит 100 м.</t>
    </r>
  </si>
  <si>
    <t xml:space="preserve"> В каких случаях применяют круговой околоствольный двор, а в каких петлевой?</t>
  </si>
  <si>
    <t xml:space="preserve">Если расстояние между крайними пластами по горизонтали более 300 м - можно применить </t>
  </si>
  <si>
    <t>круговой околоствольный двор. При меньшем расстоянии применяют петлевой околоствольный двор.</t>
  </si>
  <si>
    <t>В этом случае стволы располагают в почве нижнего пласта на расстоянии от него в 50-100 м.</t>
  </si>
  <si>
    <t>Общая трудоемкость за цикл, чел/цикл</t>
  </si>
  <si>
    <t>РАСЧЕТ ЗАТРАТ ПО СТАТЬЯМ</t>
  </si>
  <si>
    <t>Расход материалов разового пользования на цикл:</t>
  </si>
  <si>
    <t>Дерево:</t>
  </si>
  <si>
    <t>Шпальный брус:</t>
  </si>
  <si>
    <t>ширина, м</t>
  </si>
  <si>
    <t>толщина, м</t>
  </si>
  <si>
    <t>Сечение шпального бруса, м2</t>
  </si>
  <si>
    <t>Дер.стойки:</t>
  </si>
  <si>
    <t>Диаметр стойки,м</t>
  </si>
  <si>
    <t>Сечение стойки, м2</t>
  </si>
  <si>
    <t>Дер.верхняки для крепления над головкой конвейера, м3</t>
  </si>
  <si>
    <t>Дер.верхняки для крепления над конвейером, м3</t>
  </si>
  <si>
    <t>Уст-ка стоек дер.крепи на комплектах над головкой конвейера, м3</t>
  </si>
  <si>
    <t>Условный номер варианта</t>
  </si>
  <si>
    <t>Производится кладка(переноска) костров на сопряжениях лавы со штреками(1 - да, 0 - нет)</t>
  </si>
  <si>
    <t>Категория пород Б по устойчивости нижнего слоя кровли (по ДонУГИ) 1-Б1, 2-Б2, 3-Б3, 4-Б4, 5 - Б5</t>
  </si>
  <si>
    <t>Устойчивость кровли (0-неустойчива, 1-устойчивая, ср уст)</t>
  </si>
  <si>
    <t>Расстояние между рамами крепи м.</t>
  </si>
  <si>
    <t>Расстояние между стойками индивидуальной крепи, м</t>
  </si>
  <si>
    <t>Длина верхняка</t>
  </si>
  <si>
    <t xml:space="preserve">Весьма важной характеристикой системы разработки является величина нагрузки на лаву. </t>
  </si>
  <si>
    <t xml:space="preserve">Чем она больше, тем больше скорость подвигания лавы, а, следовательно меньшее время </t>
  </si>
  <si>
    <t>поддержания участковых выработок и меньшие затраты на их ремонт.</t>
  </si>
  <si>
    <t>лавы, но и, в основном, от величины газовыделения в лаву.</t>
  </si>
  <si>
    <t xml:space="preserve">Снизить величину газовыделения в лаву на 60% - 80% можно путем применения дегазации </t>
  </si>
  <si>
    <t xml:space="preserve">пространства можно уменьшить за счет применения систем разработки с прямоточным </t>
  </si>
  <si>
    <t xml:space="preserve">проветриванием  лавы на выработанное пространство. </t>
  </si>
  <si>
    <r>
      <t xml:space="preserve">             - </t>
    </r>
    <r>
      <rPr>
        <b/>
        <sz val="12"/>
        <rFont val="Times New Roman"/>
        <family val="1"/>
        <charset val="204"/>
      </rPr>
      <t>q</t>
    </r>
    <r>
      <rPr>
        <b/>
        <vertAlign val="subscript"/>
        <sz val="12"/>
        <rFont val="Times New Roman"/>
        <family val="1"/>
        <charset val="204"/>
      </rPr>
      <t>2</t>
    </r>
    <r>
      <rPr>
        <sz val="12"/>
        <rFont val="Times New Roman"/>
        <family val="1"/>
        <charset val="204"/>
      </rPr>
      <t xml:space="preserve"> - газовыделение из выработанного пространства</t>
    </r>
  </si>
  <si>
    <r>
      <t xml:space="preserve">             - </t>
    </r>
    <r>
      <rPr>
        <b/>
        <sz val="14"/>
        <rFont val="Times New Roman"/>
        <family val="1"/>
        <charset val="204"/>
      </rPr>
      <t>q</t>
    </r>
    <r>
      <rPr>
        <b/>
        <vertAlign val="subscript"/>
        <sz val="14"/>
        <rFont val="Times New Roman"/>
        <family val="1"/>
        <charset val="204"/>
      </rPr>
      <t>3</t>
    </r>
    <r>
      <rPr>
        <sz val="12"/>
        <rFont val="Times New Roman"/>
        <family val="1"/>
        <charset val="204"/>
      </rPr>
      <t xml:space="preserve">  - газовыделение из транспортируемого угля (примерно 10% от газовыделения из пласта).</t>
    </r>
  </si>
  <si>
    <t>8.  Результаты вычислений отображены на графике и будут использованы в дальнейших расчетах.</t>
  </si>
  <si>
    <t xml:space="preserve">   ПЕРЕХОДИТЕ К ВЫЧИСЛЕНИЮ ДОПУСТИМОЙ НАГРУЗКИ ПО ФАКТОРУ ПРОВЕТРИВАНИЯ  ЛАВЫ !</t>
  </si>
  <si>
    <r>
      <t xml:space="preserve">  Вычисления проводятся по методике ИГД им. А.А. Скочинского  с помощью компьютерных программ </t>
    </r>
    <r>
      <rPr>
        <b/>
        <i/>
        <sz val="12"/>
        <rFont val="Times New Roman"/>
        <family val="1"/>
        <charset val="204"/>
      </rPr>
      <t/>
    </r>
  </si>
  <si>
    <r>
      <t>kombayn.xls</t>
    </r>
    <r>
      <rPr>
        <sz val="12"/>
        <rFont val="Times New Roman"/>
        <family val="1"/>
        <charset val="204"/>
      </rPr>
      <t xml:space="preserve">  или </t>
    </r>
    <r>
      <rPr>
        <b/>
        <i/>
        <sz val="12"/>
        <rFont val="Times New Roman"/>
        <family val="1"/>
        <charset val="204"/>
      </rPr>
      <t xml:space="preserve">strug.xls </t>
    </r>
    <r>
      <rPr>
        <sz val="12"/>
        <rFont val="Times New Roman"/>
        <family val="1"/>
        <charset val="204"/>
      </rPr>
      <t xml:space="preserve"> в зависимости от принятого ранее оборудования лавы </t>
    </r>
  </si>
  <si>
    <r>
      <t xml:space="preserve">программе </t>
    </r>
    <r>
      <rPr>
        <b/>
        <i/>
        <sz val="12"/>
        <rFont val="Times New Roman"/>
        <family val="1"/>
        <charset val="204"/>
      </rPr>
      <t>gasfakt.xls</t>
    </r>
    <r>
      <rPr>
        <sz val="12"/>
        <rFont val="Times New Roman"/>
        <family val="1"/>
        <charset val="204"/>
      </rPr>
      <t xml:space="preserve"> , составленной на основании руководящих материалов по проветриванию лав. </t>
    </r>
  </si>
  <si>
    <r>
      <t xml:space="preserve">Расчеты выполнены по методике МакНИИ  с помощью компьютерной программы </t>
    </r>
    <r>
      <rPr>
        <b/>
        <i/>
        <sz val="12"/>
        <color indexed="12"/>
        <rFont val="Times New Roman"/>
        <family val="1"/>
        <charset val="204"/>
      </rPr>
      <t xml:space="preserve">gasfakt.xls  </t>
    </r>
    <r>
      <rPr>
        <i/>
        <sz val="12"/>
        <color indexed="12"/>
        <rFont val="Times New Roman"/>
        <family val="1"/>
        <charset val="204"/>
      </rPr>
      <t>на основании данных</t>
    </r>
  </si>
  <si>
    <t xml:space="preserve">Вначале следует рассмотреть возможность одновременной работы всех пластов. Для этого вычисляется необходимая </t>
  </si>
  <si>
    <t xml:space="preserve">        В данном случае, при одновременной разработке всех пластов величина нагрузки на пласт показана в таблице.</t>
  </si>
  <si>
    <t xml:space="preserve">   Но, возможная нагрузка на лаву определена только для одного пласта.</t>
  </si>
  <si>
    <t xml:space="preserve">не выполняется, необходимо разбить пласты на группы и разрабатывать группы пластов последовательно  </t>
  </si>
  <si>
    <t>на каждой выемочной ступени.</t>
  </si>
  <si>
    <t xml:space="preserve">                             Вами принято решение о порядке разработки пластов -</t>
  </si>
  <si>
    <t>Длина головки лавного конвейера, м</t>
  </si>
  <si>
    <t>Ширина головки лавного конвейера, м</t>
  </si>
  <si>
    <t>Размер ниши у вентиляционной  выработки, м</t>
  </si>
  <si>
    <t>Размеры ниш в направлении подвигания лавы, м</t>
  </si>
  <si>
    <t>Вид участкового транспорта угля</t>
  </si>
  <si>
    <t>Тип конвейера-перегружателя под лавой</t>
  </si>
  <si>
    <t xml:space="preserve"> Сменный коэффициент машинного времени - это отношение чистого времени работы комбайна</t>
  </si>
  <si>
    <t>ко времени смены. Технологически комбайн не работает (не грузит уголь на конвейер) в то время,</t>
  </si>
  <si>
    <t>когда рабочие принимают смену, когда комбайн поготавливается к выемке следующей полосы и тд.</t>
  </si>
  <si>
    <t>вспомогательное вычисление - тип крепи</t>
  </si>
  <si>
    <t>вспомогательное вычисление  комбайн-затяжка</t>
  </si>
  <si>
    <t>вспомогательное вычисление  БВР-затяжка</t>
  </si>
  <si>
    <t>Коэффициент общешахтных расходов при проведении выработки:</t>
  </si>
  <si>
    <t>Интегральный поправочный коэффициент к стоимости пороведения камер и приемных площадок</t>
  </si>
  <si>
    <t>Сечение уклона в свету при проведении, м2</t>
  </si>
  <si>
    <t>Сечение ходка в в свету при проведении, м2</t>
  </si>
  <si>
    <t>высота яруса,  (ширина полосы)  м</t>
  </si>
  <si>
    <t>число ярусов в панели</t>
  </si>
  <si>
    <t>Способ охраны ходка</t>
  </si>
  <si>
    <t>Способ охраны уклона</t>
  </si>
  <si>
    <t xml:space="preserve">                                                                                            Длина, м</t>
  </si>
  <si>
    <t xml:space="preserve">  Результаты проведенных вычислений смотрите начиная со строки </t>
  </si>
  <si>
    <t xml:space="preserve">   В пояснительной записке к проекту описать принцип расчета резервных лав, расчетные формулы и условные обозначения, результаты вычислений!</t>
  </si>
  <si>
    <t>Скорость подачи с учетом скорости передвижения машиниста комбайна, м/мин</t>
  </si>
  <si>
    <r>
      <t xml:space="preserve">1Затраты времени на вспомогательные операции, </t>
    </r>
    <r>
      <rPr>
        <sz val="12"/>
        <rFont val="Arial Cyr"/>
        <charset val="204"/>
      </rPr>
      <t>t</t>
    </r>
    <r>
      <rPr>
        <sz val="10"/>
        <rFont val="Arial Cyr"/>
        <family val="2"/>
        <charset val="204"/>
      </rPr>
      <t>всп мин/цикл  (таб. А.6)   (инд. и мех. крепь)</t>
    </r>
  </si>
  <si>
    <t>6 Затраты времени на выемку породного прослойка, мин/цикл (по длине лавы и скорости комбайна плюс концевые операции)</t>
  </si>
  <si>
    <t xml:space="preserve">5.  Сопротивление угля разрушению резанием не должно превышать возможности </t>
  </si>
  <si>
    <t>выемочного механизма;</t>
  </si>
  <si>
    <t xml:space="preserve">6. Каждая крепь может работать при определенной категории пород кровли по </t>
  </si>
  <si>
    <t xml:space="preserve">обрушаемости, т.е. крепь применяемого комплекса должна соответствовать </t>
  </si>
  <si>
    <t>Принятая в проекте технология выемки угля в нишах 1 - БВР, 0 - без БВР</t>
  </si>
  <si>
    <t>Сопряжения Лава-Подготовительные выработки</t>
  </si>
  <si>
    <t>Лава-Транспортная выработка</t>
  </si>
  <si>
    <t>Лава-Вентиляционная выработка</t>
  </si>
  <si>
    <t>Транспортная выработка проведена  БВР? (Да -1, 0 - Нет)</t>
  </si>
  <si>
    <t>Вентиляционная выработка проведена  БВР? (Да -1, 0 - Нет)</t>
  </si>
  <si>
    <t xml:space="preserve">  Какой вид транспорта угля на участке принимается в проекте:  1 - рельсовый, 0 - конвейерный</t>
  </si>
  <si>
    <t>Коэффициент готовности сопряжения</t>
  </si>
  <si>
    <t>УСТ2М</t>
  </si>
  <si>
    <t>СО75</t>
  </si>
  <si>
    <t>Сумма затрат времени при  индивид. крепи,Ттехн   мин/цикл  (ф. 21)</t>
  </si>
  <si>
    <t>индекс мощности пласта (m&gt;1,2 - 1, m&lt;+1,2 - 0)</t>
  </si>
  <si>
    <t>индекс выбросоопасности пласта (опасен - 1, не опасен - 0)</t>
  </si>
  <si>
    <t>Опасен</t>
  </si>
  <si>
    <t>Не опасен</t>
  </si>
  <si>
    <t>мощный</t>
  </si>
  <si>
    <t>тонкий</t>
  </si>
  <si>
    <r>
      <t>Мощность пласта средняя, m</t>
    </r>
    <r>
      <rPr>
        <sz val="10"/>
        <rFont val="Times New Roman"/>
        <family val="1"/>
        <charset val="204"/>
      </rPr>
      <t>ср</t>
    </r>
  </si>
  <si>
    <r>
      <t>Мощность пласта минимальная , m</t>
    </r>
    <r>
      <rPr>
        <sz val="10"/>
        <rFont val="Times New Roman"/>
        <family val="1"/>
        <charset val="204"/>
      </rPr>
      <t>min</t>
    </r>
  </si>
  <si>
    <r>
      <t>Мощность пласта максимальная , m</t>
    </r>
    <r>
      <rPr>
        <sz val="10"/>
        <rFont val="Times New Roman"/>
        <family val="1"/>
        <charset val="204"/>
      </rPr>
      <t>max</t>
    </r>
  </si>
  <si>
    <t>Номер категории пород нижнего слоя кровли по устойчивости (Б1 - 1, Б2 - 2, Б3 - 3, Б4 - 4, Б5 - 5)</t>
  </si>
  <si>
    <r>
      <t xml:space="preserve">Показатель </t>
    </r>
    <r>
      <rPr>
        <b/>
        <sz val="12"/>
        <rFont val="Arial Cyr"/>
        <charset val="204"/>
      </rPr>
      <t>ψ</t>
    </r>
    <r>
      <rPr>
        <sz val="12"/>
        <rFont val="Times New Roman"/>
        <family val="1"/>
        <charset val="204"/>
      </rPr>
      <t xml:space="preserve"> степени нарушенности месторождения</t>
    </r>
  </si>
  <si>
    <t>Сумма показателей "неблагоприятности"</t>
  </si>
  <si>
    <t>При погоризонтной подготовке кроме магистральных транспортного и вентиляционного штреков появляется</t>
  </si>
  <si>
    <t>необходимость иметь дренажные штреки, угольные и дренажные уклоны. Количество таких выработок</t>
  </si>
  <si>
    <t>зависит от вида системы разработки.</t>
  </si>
  <si>
    <t xml:space="preserve">В связи с этим, необходимо внести в программу данные о подготавливающих выработках в пределах </t>
  </si>
  <si>
    <t>выемочной ступени.</t>
  </si>
  <si>
    <t>Коэффициент списочного состава рабочих</t>
  </si>
  <si>
    <r>
      <t xml:space="preserve">                                                   </t>
    </r>
    <r>
      <rPr>
        <b/>
        <sz val="14"/>
        <rFont val="Times New Roman Cyr"/>
        <charset val="204"/>
      </rPr>
      <t xml:space="preserve"> q = m*r*v*</t>
    </r>
    <r>
      <rPr>
        <b/>
        <sz val="14"/>
        <rFont val="Sylfaen"/>
        <family val="1"/>
        <charset val="204"/>
      </rPr>
      <t>γ</t>
    </r>
    <r>
      <rPr>
        <b/>
        <sz val="12"/>
        <rFont val="Sylfaen"/>
        <family val="1"/>
        <charset val="204"/>
      </rPr>
      <t xml:space="preserve">,  </t>
    </r>
    <r>
      <rPr>
        <sz val="12"/>
        <rFont val="Sylfaen"/>
        <family val="1"/>
        <charset val="204"/>
      </rPr>
      <t>т/мин</t>
    </r>
  </si>
  <si>
    <r>
      <t>r</t>
    </r>
    <r>
      <rPr>
        <vertAlign val="subscript"/>
        <sz val="10"/>
        <rFont val="Arial Cyr"/>
        <family val="2"/>
        <charset val="204"/>
      </rPr>
      <t>min</t>
    </r>
  </si>
  <si>
    <r>
      <t>r</t>
    </r>
    <r>
      <rPr>
        <vertAlign val="subscript"/>
        <sz val="10"/>
        <rFont val="Arial Cyr"/>
        <family val="2"/>
        <charset val="204"/>
      </rPr>
      <t>max</t>
    </r>
  </si>
  <si>
    <r>
      <t>m</t>
    </r>
    <r>
      <rPr>
        <vertAlign val="subscript"/>
        <sz val="10"/>
        <rFont val="Arial Cyr"/>
        <family val="2"/>
        <charset val="204"/>
      </rPr>
      <t>max</t>
    </r>
  </si>
  <si>
    <t xml:space="preserve">Категория кровли по обрушаемости </t>
  </si>
  <si>
    <t>Пройдена заранее. Средняя выработка</t>
  </si>
  <si>
    <t>Расстояние между пластами h5 - h6  по нормали, м</t>
  </si>
  <si>
    <t>Мощность пласта h2 максимальная, м</t>
  </si>
  <si>
    <t>Мощность пласта h2 минимальная, м</t>
  </si>
  <si>
    <t>Мощность пласта h2 средняя, м</t>
  </si>
  <si>
    <t>Мощность пласта h3 максимальная, м</t>
  </si>
  <si>
    <t>Мощность пласта h3  минимальная, м</t>
  </si>
  <si>
    <t>Мощность пласта h3 средняя, м</t>
  </si>
  <si>
    <t>Мощность пласта h4 максимальная, м</t>
  </si>
  <si>
    <t>Мощность пласта h4 минимальная, м</t>
  </si>
  <si>
    <t>Мощность пласта h4 средняя, м</t>
  </si>
  <si>
    <t>Мощность пласта h5 максимальная, м</t>
  </si>
  <si>
    <t>Мощность пласта h5 минимальная, м</t>
  </si>
  <si>
    <t>Мощность пласта h5 средняя, м</t>
  </si>
  <si>
    <t>Мощность пласта h6 максимальная, м</t>
  </si>
  <si>
    <t>Мощность пласта h6 минимальная, м</t>
  </si>
  <si>
    <t>Мощность пласта h6 средня, м</t>
  </si>
  <si>
    <t>на перепиливание стоек</t>
  </si>
  <si>
    <t>на крепление очистных забоев комплектами стоек под верхняк на лежнях</t>
  </si>
  <si>
    <t xml:space="preserve">        На практике выбор варианта системы разработки проводится путем экономико-математического </t>
  </si>
  <si>
    <t>возможное кол-во ГРОЗ в зависимости от размера пая</t>
  </si>
  <si>
    <t xml:space="preserve">   для пород категорий А1, А2, А3 и А4 соответственно  0,04, 0,025, 0,015, 0,015. </t>
  </si>
  <si>
    <t>1. Привести обоснование принятого варианта системы разработки:  Рисунок рассмотренных вариантов системы разработки, их название. Таблицу 7 - оценка сравниваемых вариантов системы разработки</t>
  </si>
  <si>
    <t>4. Привести таблицу  8  основных технологических параметров выемочного участка</t>
  </si>
  <si>
    <t>Это только общие понятия об ограничении величины нагрузки на лаву по условиям проветривания.</t>
  </si>
  <si>
    <t xml:space="preserve">Подробно вопрос расчета нагрузки на лаву по условиям проветривания рассматривается  в учебном </t>
  </si>
  <si>
    <r>
      <t xml:space="preserve">    При расчете максимальной допустимой нагрузки на лаву по фактическому метановыделению </t>
    </r>
    <r>
      <rPr>
        <b/>
        <sz val="12"/>
        <rFont val="Times New Roman"/>
        <family val="1"/>
        <charset val="204"/>
      </rPr>
      <t/>
    </r>
  </si>
  <si>
    <t xml:space="preserve">необходимы исходные данные о работающей лаве-аналоге, природные условия которой </t>
  </si>
  <si>
    <t>аналогичны проектируемой лаве - лава-аналог работает по этому же пласту, замеры газовыделения,</t>
  </si>
  <si>
    <t xml:space="preserve"> расхода воздуха, величины суточной добычи проведены в условиях стационарной устойчивой</t>
  </si>
  <si>
    <t xml:space="preserve"> работы лавы. </t>
  </si>
  <si>
    <t>Принятая глубина дегазации выработанного пространства, доля единицы";"не вводить</t>
  </si>
  <si>
    <t>Длина лавы (от 120 до 250 м)</t>
  </si>
  <si>
    <t>Способ выемки в лаве (комбайн и инд крепь 1, струг и инд крепь 2, комбайн и мехкпепь 3, струг и мехкрепь 4)</t>
  </si>
  <si>
    <t>Внимание! Вид крепи в проектируемой лаве определен Вам ранее ( 0 - механизированная, 1 - индивидуальная)</t>
  </si>
  <si>
    <t>Крепь механизированная - введите номер типа крепи в комбайновой лаве по таблице 1";"не вводить"</t>
  </si>
  <si>
    <t>Номер типа струга в таблице 2</t>
  </si>
  <si>
    <t>Номер типа комбайна в таблице 3";"Не вводить)</t>
  </si>
  <si>
    <t>Номер типа конвейера в таблице 4</t>
  </si>
  <si>
    <t>Число смен по добыче угля в сутки</t>
  </si>
  <si>
    <t>Число смен по добыче в лаве</t>
  </si>
  <si>
    <t>по погрузке</t>
  </si>
  <si>
    <t>поправочный коэф.</t>
  </si>
  <si>
    <t xml:space="preserve"> по наличию кабелеукладчика</t>
  </si>
  <si>
    <t>по наличию погрузочных лемешков на конвеере</t>
  </si>
  <si>
    <t>Расчетный размер цикла, м (0,5;0,63;0,8;1)</t>
  </si>
  <si>
    <t>Длина верхней ниши (на вентиляционной выр-ке), м</t>
  </si>
  <si>
    <t>Длина нижней ниши (на конвейерной выр-ке), м</t>
  </si>
  <si>
    <t>Ширина головки конвейера</t>
  </si>
  <si>
    <t>Ширина скребкового конвейера в лаве, м</t>
  </si>
  <si>
    <t>Глубина опережения забоем ниши забоя лавы, м</t>
  </si>
  <si>
    <r>
      <t xml:space="preserve">Таблица возможных к применению в заданных условиях типов комплексов </t>
    </r>
    <r>
      <rPr>
        <b/>
        <sz val="10"/>
        <color indexed="10"/>
        <rFont val="Arial Cyr"/>
        <charset val="204"/>
      </rPr>
      <t xml:space="preserve"> </t>
    </r>
  </si>
  <si>
    <t xml:space="preserve">Таблица возможных к применению в заданных условиях комбайнов и конвейеров в лаве </t>
  </si>
  <si>
    <t>После копирования таблицы возвращение к составлению отчета о нагрузке на лаву</t>
  </si>
  <si>
    <t>Глубина ниши (опережение забоем ниши забоя лавы), м</t>
  </si>
  <si>
    <t>Комбинированная прямой ход,  движение воздуха по лаве от транспортной выработки к вентиляционной и далее на массив. Вентиляционная выработка - повторно используемая транспортная выработка, за лавой не погашается. Транспортная выработка проведена заранее и  за лавой не погашается. Участок ее впереди лавы проветривается на фланговую выработку. Подсвежающая струя  - на фланговую выработку.</t>
  </si>
  <si>
    <t>Напочвенная дорога по обоим выработкам</t>
  </si>
  <si>
    <t>Монорельсовая дорога по обоим выработкам</t>
  </si>
  <si>
    <t>Монорельсовая и напочвенная дорога</t>
  </si>
  <si>
    <t>Вид вспомогательного транспорта</t>
  </si>
  <si>
    <t>Принятый в проекте способ вспомогательного транспорта</t>
  </si>
  <si>
    <t>Порядок отработки ступени - обратный</t>
  </si>
  <si>
    <t>порядок отработки полосы - прямой</t>
  </si>
  <si>
    <t>порядок отработки полосы  - обратный</t>
  </si>
  <si>
    <t>Порядок отработки ступени  - прямой</t>
  </si>
  <si>
    <t>Принято в расчетах</t>
  </si>
  <si>
    <t>ТРАНСПОРТ</t>
  </si>
  <si>
    <t>ТРАНСПОРТ    при погоризонтной подготовке</t>
  </si>
  <si>
    <t>Участковый транспорт - конвейер + (напочвенные дороги монорельсовые дороги на штреках)</t>
  </si>
  <si>
    <t>Транспорт по уклону - конвейер    Транспорт по ходкам - канатная откатка</t>
  </si>
  <si>
    <t>Высота ступени</t>
  </si>
  <si>
    <t>Длинна выемочной ступени), м</t>
  </si>
  <si>
    <t xml:space="preserve">Количество выемочных полос в ступени на обоих крыльях шахтного поля, </t>
  </si>
  <si>
    <t>Запасы полосы, тонн</t>
  </si>
  <si>
    <t>Запасы ступени, тонн</t>
  </si>
  <si>
    <t>1 конвейерный (вспомогательный  - две напочвенные дороги)</t>
  </si>
  <si>
    <t>2  конвейерный (вспомогательный  - монорельсовая и напочвенная дороги)</t>
  </si>
  <si>
    <t>3  конвейерный (вспомогательный  - монорельсовая дорога по обеим выработкам)</t>
  </si>
  <si>
    <t xml:space="preserve">Принятые в расчетах затраты на участковый транспорт </t>
  </si>
  <si>
    <t xml:space="preserve">Принято, что работают два крыла  в ступени с равной нагрузкой, </t>
  </si>
  <si>
    <t>Условно принимаем, что все одновременно работающие полосы одного крыла - это одна условная полоса</t>
  </si>
  <si>
    <r>
      <t xml:space="preserve">        g</t>
    </r>
    <r>
      <rPr>
        <i/>
        <vertAlign val="subscript"/>
        <sz val="12"/>
        <rFont val="Arial Cyr"/>
        <charset val="204"/>
      </rPr>
      <t>пос</t>
    </r>
    <r>
      <rPr>
        <i/>
        <sz val="12"/>
        <rFont val="Arial Cyr"/>
        <charset val="204"/>
      </rPr>
      <t xml:space="preserve">  - менимальное необходимое сопротивление посадочного ряда крепи, МН/м</t>
    </r>
  </si>
  <si>
    <t>3.2.1</t>
  </si>
  <si>
    <t>3.2.2</t>
  </si>
  <si>
    <t>3.2.3</t>
  </si>
  <si>
    <t>3.2.4</t>
  </si>
  <si>
    <t>3.3.1</t>
  </si>
  <si>
    <t>3.3.2</t>
  </si>
  <si>
    <t>3.3.3</t>
  </si>
  <si>
    <t>3.3.4</t>
  </si>
  <si>
    <t>3.4.1</t>
  </si>
  <si>
    <t>Минимально допустимое расстояние от места нахождения рабочих до работающего комбайна, м  (после ф. 40)</t>
  </si>
  <si>
    <t>Коэффициент, учитывающий влияние угла встречи лавы с основной системы трещин  (ф. 42)</t>
  </si>
  <si>
    <r>
      <t xml:space="preserve">Коэффициент резерва </t>
    </r>
    <r>
      <rPr>
        <sz val="10"/>
        <rFont val="Arial Cyr"/>
        <charset val="204"/>
      </rPr>
      <t>скорости крепления при индивидуальной крепи (ф. 32)</t>
    </r>
  </si>
  <si>
    <r>
      <t xml:space="preserve">Коэффициент резерва </t>
    </r>
    <r>
      <rPr>
        <sz val="10"/>
        <rFont val="Arial Cyr"/>
        <charset val="204"/>
      </rPr>
      <t>скорости крепления  при механизированной (ф. 32)</t>
    </r>
  </si>
  <si>
    <t>наличие погрузочных лемешков на конвейере(1-да, 0-нет)</t>
  </si>
  <si>
    <t>кол-во конвейеров на штреке</t>
  </si>
  <si>
    <t>Передвижка конвейера(1-участками, 2-фронтальная)</t>
  </si>
  <si>
    <t>Минимально возможная длина ниши у тр-ной выработки, м !</t>
  </si>
  <si>
    <t>Минимально возможная длина ниши у вентиляционной выработки, м  !</t>
  </si>
  <si>
    <t>Принятая длина ниши у вентиляционной выработки, м</t>
  </si>
  <si>
    <t>мой номер</t>
  </si>
  <si>
    <t>в программе</t>
  </si>
  <si>
    <t>Глубина опережения ниши забоя лавы, м</t>
  </si>
  <si>
    <t xml:space="preserve"> Расчетные значения толщины стружки</t>
  </si>
  <si>
    <t>Определение численности рабочих на одну смену</t>
  </si>
  <si>
    <t>16.6-19.7</t>
  </si>
  <si>
    <t>Из них МГВМ</t>
  </si>
  <si>
    <t>19.8-23.0</t>
  </si>
  <si>
    <t>ГРОЗ 5 разряда</t>
  </si>
  <si>
    <t>23.1-26.6</t>
  </si>
  <si>
    <t>Принятые в расчетах затраты на транспорт по уклону</t>
  </si>
  <si>
    <t>Вспомогательный транспорт  по ходку при выдаче угля уклоном</t>
  </si>
  <si>
    <t>Норматив нагрузки на лаву по возможностям оборудования (вводится только в случае, если оборудование уникально и нет утвержденных нормативов)</t>
  </si>
  <si>
    <t>Какие из названных факторов не оказывают влияния на скорость крепления? 1 - тип крепи, 2 - прочность пород почвы пласта, 3 - несущая способность поддерживающей части крепи, 4 - порядок передвижки крепи.</t>
  </si>
  <si>
    <t>Арочная крепь, т</t>
  </si>
  <si>
    <t>Доставка шпального бруса, м3/мес</t>
  </si>
  <si>
    <t>Доставка деревянных стоек, м3/мес</t>
  </si>
  <si>
    <t>Доставка ремонтин, м3/мес</t>
  </si>
  <si>
    <t>Применение для крепления металлических верхняков</t>
  </si>
  <si>
    <t>Гидравлические стойки</t>
  </si>
  <si>
    <t>Доставка гидростоек в месяц, шт.</t>
  </si>
  <si>
    <t>Доставка гидростоек в месяц, тонн.</t>
  </si>
  <si>
    <t>Доставка верхняков в месяц, т.</t>
  </si>
  <si>
    <t>Доставка ВВ, кг в месяц</t>
  </si>
  <si>
    <t>Арочная крепь (доставка на поверхность при погашении штрека)</t>
  </si>
  <si>
    <t>Доставка комплектов в месяц, шт.</t>
  </si>
  <si>
    <t>Доставка арочной крепи в месяц, кг.</t>
  </si>
  <si>
    <t>Верхняя ниша</t>
  </si>
  <si>
    <t>Общий объем доставки материалов для концевых участков</t>
  </si>
  <si>
    <t>При использовании древянных верхняков</t>
  </si>
  <si>
    <t>Шпальный брус, м3/мес</t>
  </si>
  <si>
    <t>Обводненность пород кровли: 1 - естественная влажность, 2 - обводнена</t>
  </si>
  <si>
    <t>Категория угля по разрушаемости стругом</t>
  </si>
  <si>
    <t>Рельсовый транспорт по штреку длина лавы до 175 м</t>
  </si>
  <si>
    <t>Рельсовый транспорт по штреку длина лавы более 175 м</t>
  </si>
  <si>
    <t>комплексная норма выработки для компл. мех.лавы, т/смена</t>
  </si>
  <si>
    <t>норма обслуживания комплексно механизированной лавы, чел.смен</t>
  </si>
  <si>
    <t>расчетная сменная нагрузка на лаву, т/смена</t>
  </si>
  <si>
    <t>Ресурс крепи до капитального ремонта, год</t>
  </si>
  <si>
    <t>выделение воды</t>
  </si>
  <si>
    <t>внезапные выбросы</t>
  </si>
  <si>
    <t>принятый тип стойки</t>
  </si>
  <si>
    <t>принятая длина верхняка, м</t>
  </si>
  <si>
    <t>ОБОРУДОВАНИЕ  ЛАВЫ ПРИНЯТО !!!</t>
  </si>
  <si>
    <t>При работе лавами по простиранию (панельный или этажный способ подготовки) может применяться любой из</t>
  </si>
  <si>
    <t>Расстояние между рамками крепи, м</t>
  </si>
  <si>
    <t xml:space="preserve">Номер типа крепи в таблице 2 </t>
  </si>
  <si>
    <t>Комбинированная прямой ход, движение воздуха по лаве от транспортной выработки к вентиляционной и далее на выработанное пространство. Вентиляционная выработка  проводится за лавой через целик менее  Lоп, Транспортная выработка  проведена заранее, за лавой не погашается. Участок выработки впереди лавы проветривается от фланговой выработки.</t>
  </si>
  <si>
    <r>
      <t xml:space="preserve">        q      -  </t>
    </r>
    <r>
      <rPr>
        <sz val="12"/>
        <rFont val="Times New Roman Cyr"/>
        <charset val="204"/>
      </rPr>
      <t>средняя производительность комбайна, т/мин</t>
    </r>
  </si>
  <si>
    <t>Норма обслуживания для исследуемого комплекса</t>
  </si>
  <si>
    <t>Трудоемкость работ на цикл</t>
  </si>
  <si>
    <t>ВЕРХНЯКИ В ЛАВЕ</t>
  </si>
  <si>
    <t>СТОЙКИ В ЛАВЕ</t>
  </si>
  <si>
    <t>При выборе типа механизированной крепи.</t>
  </si>
  <si>
    <t>1 - из возможных типов крепи следует принять тот, показатели которого в наибольшей степени отличаются от расчетных параметров, указанных в строке</t>
  </si>
  <si>
    <t>2 - из возможных типов крепи следует принять тот, вес которого на 1 м длины лавы наименьший;</t>
  </si>
  <si>
    <t>2ГШ68Б</t>
  </si>
  <si>
    <t>М88</t>
  </si>
  <si>
    <t>1КД90</t>
  </si>
  <si>
    <t>Vп=a1+a2A+a3A2+a4A3+a5m  - скорость подачи по мощности двигателя, м/мин</t>
  </si>
  <si>
    <t>Комбинированная, обратный ход  движение воздуха по лаве от транспортной выработки к вентиляционной далее на массив.  Вентиляционная выработка проведена заранее вприсечку к выработанному пространству работающей лавы от фланговой выработки, за лавой не погашается, Подсвежающая струя - от фланговой выработки на массив. Транспортная выработка проведена заранее и  за лавой погашается.</t>
  </si>
  <si>
    <t>2ЛБ120М</t>
  </si>
  <si>
    <t>1Л100У</t>
  </si>
  <si>
    <t>1ЛТ100У</t>
  </si>
  <si>
    <t>1ЛУ100</t>
  </si>
  <si>
    <t xml:space="preserve">                   Вам предстоит получить ответы на следующие вопросы:</t>
  </si>
  <si>
    <t>с технологией крепления лавы и управления кровлей в лаве!</t>
  </si>
  <si>
    <r>
      <t xml:space="preserve">Количество угольных пластов  </t>
    </r>
    <r>
      <rPr>
        <b/>
        <sz val="11"/>
        <rFont val="Times New Roman"/>
        <family val="1"/>
        <charset val="204"/>
      </rPr>
      <t>Nпл</t>
    </r>
  </si>
  <si>
    <r>
      <t>Плотность угля, т/м</t>
    </r>
    <r>
      <rPr>
        <vertAlign val="superscript"/>
        <sz val="11"/>
        <rFont val="Times New Roman"/>
        <family val="1"/>
        <charset val="204"/>
      </rPr>
      <t>3</t>
    </r>
  </si>
  <si>
    <t xml:space="preserve">                Конвейер № 3  номер в таблице </t>
  </si>
  <si>
    <t>В данной таблице можно ознакомиться с результатами промежуточных вычислений.</t>
  </si>
  <si>
    <t>Высота прохода для рабочих    Hл, мм</t>
  </si>
  <si>
    <t>Запас раздвижности крепи на разгрузку  hp,  мм</t>
  </si>
  <si>
    <r>
      <t xml:space="preserve">   вставьте в показанную ниже таблицу  в ячейку столбца </t>
    </r>
    <r>
      <rPr>
        <b/>
        <sz val="12"/>
        <rFont val="Arial Cyr"/>
        <charset val="204"/>
      </rPr>
      <t>А</t>
    </r>
    <r>
      <rPr>
        <sz val="10"/>
        <rFont val="Arial Cyr"/>
        <charset val="204"/>
      </rPr>
      <t xml:space="preserve"> строки</t>
    </r>
  </si>
  <si>
    <t>оборудования в строке</t>
  </si>
  <si>
    <t>Удельные затраты на монтаж и демонтаж оборудования лавы, руб/т</t>
  </si>
  <si>
    <t>Тарифная ставка проходчика, T, руб/смена</t>
  </si>
  <si>
    <t>Тарифная ставка крепильщика по ремонту, руб</t>
  </si>
  <si>
    <t>Тарифная ставка проходчика, руб/смену</t>
  </si>
  <si>
    <t>5.1   Способ проведения участковых подготовительных выработок</t>
  </si>
  <si>
    <t>Дер.верхняки для крепления в месте охраны выработки за конвейером, м3</t>
  </si>
  <si>
    <t>коэффициент топтания кровли Кт для индивидуальной крепи</t>
  </si>
  <si>
    <t>максимальная ширина призабойного пространства, поддерживаемого крепью, м   Вмах</t>
  </si>
  <si>
    <t>В приведенной ниже таблице указана характеристика металлических верхняков</t>
  </si>
  <si>
    <t>Тип верхняка</t>
  </si>
  <si>
    <t>Типоразмер верхняка</t>
  </si>
  <si>
    <t>ВВ30</t>
  </si>
  <si>
    <t>1ВВ30</t>
  </si>
  <si>
    <t>2ВВ30</t>
  </si>
  <si>
    <t>3ВВ30</t>
  </si>
  <si>
    <t>ВР</t>
  </si>
  <si>
    <t>1ВР</t>
  </si>
  <si>
    <t>2ВР</t>
  </si>
  <si>
    <t>Дер.стойки под мет.верхняком над головкой конвейера,м3</t>
  </si>
  <si>
    <t>Дер.стойки под мет.верхняком над конвейером,м3</t>
  </si>
  <si>
    <t>Дер.стойки под дер.верхняком в месте охраны выработки за головкой конвейера,м3</t>
  </si>
  <si>
    <t>Плановый процент потерь гидростоек в месяц (3-5%)</t>
  </si>
  <si>
    <t>Плановый процент потерь гидростоек за цикл</t>
  </si>
  <si>
    <t>максимум по высоте</t>
  </si>
  <si>
    <t>показатель режима</t>
  </si>
  <si>
    <t xml:space="preserve"> Данные о струговой установке</t>
  </si>
  <si>
    <t>13.5-16.5</t>
  </si>
  <si>
    <t>Отличие метаноносности в сравнении с типовой</t>
  </si>
  <si>
    <t>Возможная метаноносность на проектируемой  глубине, м3/т сбм</t>
  </si>
  <si>
    <t>Принятая в расчетах природная метаноносность м3/т сбм</t>
  </si>
  <si>
    <t>Справочно-информационный блок</t>
  </si>
  <si>
    <t>и график этой зависимости</t>
  </si>
  <si>
    <t>Извлечение и установка ножки арочной крепи, шт</t>
  </si>
  <si>
    <t>Извлечение арочной крепи, шт</t>
  </si>
  <si>
    <t>Всего центральная часть лавы</t>
  </si>
  <si>
    <t>К заданию по вент выработке</t>
  </si>
  <si>
    <t>Вспомог выч к вент штреку рабочей лавы</t>
  </si>
  <si>
    <t>Номер модуля сопряжения "лава-вент. штрек"</t>
  </si>
  <si>
    <t>Вспомог выч</t>
  </si>
  <si>
    <t>2-й конвейер в штреке  (скребковый)</t>
  </si>
  <si>
    <r>
      <t>коэф вариации скорости передвижки (установки) фронта крепи за подвиганием очистного забоя  Кv</t>
    </r>
    <r>
      <rPr>
        <vertAlign val="subscript"/>
        <sz val="11"/>
        <rFont val="Times New Roman Cyr"/>
        <charset val="204"/>
      </rPr>
      <t xml:space="preserve">крф </t>
    </r>
    <r>
      <rPr>
        <sz val="11"/>
        <rFont val="Times New Roman Cyr"/>
        <charset val="204"/>
      </rPr>
      <t>при индивидуальной  крепи  (ф 78.3 карандаш)</t>
    </r>
  </si>
  <si>
    <r>
      <t>Принятое значение    Кv</t>
    </r>
    <r>
      <rPr>
        <b/>
        <vertAlign val="subscript"/>
        <sz val="11"/>
        <rFont val="Times New Roman Cyr"/>
        <charset val="204"/>
      </rPr>
      <t xml:space="preserve">крф </t>
    </r>
  </si>
  <si>
    <r>
      <t xml:space="preserve">коэффициент резерва фронтального обнажения кровли </t>
    </r>
    <r>
      <rPr>
        <b/>
        <sz val="11"/>
        <rFont val="Times New Roman Cyr"/>
        <charset val="204"/>
      </rPr>
      <t>К</t>
    </r>
    <r>
      <rPr>
        <b/>
        <vertAlign val="subscript"/>
        <sz val="11"/>
        <rFont val="Times New Roman Cyr"/>
        <charset val="204"/>
      </rPr>
      <t>р</t>
    </r>
    <r>
      <rPr>
        <b/>
        <vertAlign val="superscript"/>
        <sz val="11"/>
        <rFont val="Times New Roman Cyr"/>
        <charset val="204"/>
      </rPr>
      <t>обф</t>
    </r>
  </si>
  <si>
    <r>
      <t xml:space="preserve">Величина </t>
    </r>
    <r>
      <rPr>
        <sz val="14"/>
        <rFont val="Arial Cyr"/>
        <charset val="204"/>
      </rPr>
      <t>µ</t>
    </r>
    <r>
      <rPr>
        <vertAlign val="subscript"/>
        <sz val="14"/>
        <rFont val="Times New Roman Cyr"/>
        <charset val="204"/>
      </rPr>
      <t>пкр</t>
    </r>
    <r>
      <rPr>
        <sz val="11"/>
        <rFont val="Times New Roman Cyr"/>
        <family val="1"/>
        <charset val="204"/>
      </rPr>
      <t xml:space="preserve"> при несовмещении крепления с работой струга</t>
    </r>
  </si>
  <si>
    <r>
      <t xml:space="preserve">Величина </t>
    </r>
    <r>
      <rPr>
        <sz val="14"/>
        <rFont val="Arial Cyr"/>
        <charset val="204"/>
      </rPr>
      <t>µ</t>
    </r>
    <r>
      <rPr>
        <vertAlign val="subscript"/>
        <sz val="14"/>
        <rFont val="Times New Roman Cyr"/>
        <charset val="204"/>
      </rPr>
      <t>пкр</t>
    </r>
    <r>
      <rPr>
        <sz val="11"/>
        <rFont val="Times New Roman Cyr"/>
        <family val="1"/>
        <charset val="204"/>
      </rPr>
      <t xml:space="preserve"> при совмещении крепления с работой струга  (стр. 60, формула)</t>
    </r>
  </si>
  <si>
    <r>
      <t>Принятая в расчетах величина µ</t>
    </r>
    <r>
      <rPr>
        <b/>
        <vertAlign val="subscript"/>
        <sz val="12"/>
        <color indexed="10"/>
        <rFont val="Arial Cyr"/>
        <charset val="204"/>
      </rPr>
      <t>пкр</t>
    </r>
  </si>
  <si>
    <t xml:space="preserve">Для применяющихся сегодня струговых установок величина этих коэффициентов в </t>
  </si>
  <si>
    <t>зависимости от типа cтруговой установки колеблется в пределах:</t>
  </si>
  <si>
    <r>
      <t>Добыча с начала эксплуатации (после капремонта), тыс. т   Д</t>
    </r>
    <r>
      <rPr>
        <vertAlign val="subscript"/>
        <sz val="11"/>
        <rFont val="Times New Roman Cyr"/>
        <charset val="204"/>
      </rPr>
      <t>э</t>
    </r>
    <r>
      <rPr>
        <vertAlign val="superscript"/>
        <sz val="11"/>
        <rFont val="Times New Roman Cyr"/>
        <charset val="204"/>
      </rPr>
      <t>су</t>
    </r>
  </si>
  <si>
    <r>
      <t xml:space="preserve">Коэффициент готовности струговой установки  </t>
    </r>
    <r>
      <rPr>
        <b/>
        <sz val="12"/>
        <color indexed="10"/>
        <rFont val="Arial Cyr"/>
        <charset val="204"/>
      </rPr>
      <t>µ</t>
    </r>
    <r>
      <rPr>
        <b/>
        <vertAlign val="subscript"/>
        <sz val="10"/>
        <color indexed="10"/>
        <rFont val="Arial Cyr"/>
        <charset val="204"/>
      </rPr>
      <t xml:space="preserve">с.у. </t>
    </r>
    <r>
      <rPr>
        <b/>
        <sz val="10"/>
        <color indexed="10"/>
        <rFont val="Arial Cyr"/>
        <charset val="204"/>
      </rPr>
      <t xml:space="preserve">  (ф. 70)</t>
    </r>
  </si>
  <si>
    <r>
      <t xml:space="preserve">Конвейерная линия    </t>
    </r>
    <r>
      <rPr>
        <b/>
        <sz val="14"/>
        <rFont val="Arial Cyr"/>
        <charset val="204"/>
      </rPr>
      <t>µ</t>
    </r>
    <r>
      <rPr>
        <b/>
        <vertAlign val="subscript"/>
        <sz val="14"/>
        <rFont val="Arial Cyr"/>
        <charset val="204"/>
      </rPr>
      <t>ку</t>
    </r>
  </si>
  <si>
    <t>до 13,4</t>
  </si>
  <si>
    <t>Норма обслуживания с учетом всех коэффициентов (принятая в расчетах), чел</t>
  </si>
  <si>
    <t>Приняв решение о выборе системы разработки, вычертите эскиз участковых подготовительных выработок,</t>
  </si>
  <si>
    <t>укажите направление свежей и отработанной струи, направление угольного потока.</t>
  </si>
  <si>
    <t>струя вверх</t>
  </si>
  <si>
    <t>струя вниз</t>
  </si>
  <si>
    <t>правильный ответ</t>
  </si>
  <si>
    <t>проверка модуля  транспортной выработки</t>
  </si>
  <si>
    <r>
      <t>Транспортная выработка</t>
    </r>
    <r>
      <rPr>
        <sz val="12"/>
        <rFont val="Times New Roman"/>
        <family val="1"/>
        <charset val="204"/>
      </rPr>
      <t xml:space="preserve"> проводится вместе с лавой?- 1, или проведена заранее - 2?</t>
    </r>
  </si>
  <si>
    <t>проверка модуля вентиляционной выработки</t>
  </si>
  <si>
    <r>
      <t>t</t>
    </r>
    <r>
      <rPr>
        <b/>
        <vertAlign val="subscript"/>
        <sz val="10"/>
        <rFont val="Arial Cyr"/>
        <charset val="204"/>
      </rPr>
      <t>2</t>
    </r>
  </si>
  <si>
    <r>
      <t>t</t>
    </r>
    <r>
      <rPr>
        <b/>
        <vertAlign val="subscript"/>
        <sz val="10"/>
        <rFont val="Arial Cyr"/>
        <charset val="204"/>
      </rPr>
      <t>3</t>
    </r>
  </si>
  <si>
    <r>
      <t>t</t>
    </r>
    <r>
      <rPr>
        <b/>
        <vertAlign val="subscript"/>
        <sz val="10"/>
        <rFont val="Arial Cyr"/>
        <charset val="204"/>
      </rPr>
      <t>к</t>
    </r>
  </si>
  <si>
    <r>
      <t>t</t>
    </r>
    <r>
      <rPr>
        <b/>
        <vertAlign val="subscript"/>
        <sz val="10"/>
        <rFont val="Arial Cyr"/>
        <charset val="204"/>
      </rPr>
      <t>o</t>
    </r>
  </si>
  <si>
    <t>1.3.3</t>
  </si>
  <si>
    <t>1.3.4</t>
  </si>
  <si>
    <t>1.4.1</t>
  </si>
  <si>
    <t>1.4.2</t>
  </si>
  <si>
    <t>Скорость струга,    м/с</t>
  </si>
  <si>
    <t>Скорость конвейерной цепи,  м/с</t>
  </si>
  <si>
    <t>Высота струга,    м</t>
  </si>
  <si>
    <t>7 Передвижка крепи "Спутник"</t>
  </si>
  <si>
    <t>объем работ, т/смена</t>
  </si>
  <si>
    <t>Коэффициент готовности 1-го конвейера (таб. А.9)</t>
  </si>
  <si>
    <t>Коэффициент готовности 2-го конвейера  (таб. А.9)</t>
  </si>
  <si>
    <t>Коэффициент готовности забоя по процессу крепления за комбайном для механизированной крепи крепи, пласт  опасен по выбросам  (ф. 43)</t>
  </si>
  <si>
    <t>Скорость движения рабочих в очистном забое, м/мин</t>
  </si>
  <si>
    <t>Скорость крепления в устойчивых породах, м/мин</t>
  </si>
  <si>
    <t>Принятый в расчетах коэффициент готовности процесса крепления для выбросоопасного пласта</t>
  </si>
  <si>
    <t>Окончательно принятый в расчетах коэффициент готовности забоя по процессу крепления</t>
  </si>
  <si>
    <t>Принятые в расчетах суммарные затраты времени, мин/цикл</t>
  </si>
  <si>
    <t>Вычисления коэффициента машинного времени</t>
  </si>
  <si>
    <t>Таблица 1</t>
  </si>
  <si>
    <t>Суточная нагрузка на лаву, т/сут</t>
  </si>
  <si>
    <t>а) Исходные данные об оборудовании лавы</t>
  </si>
  <si>
    <t>г) Сопряжения Лава-Подготовительные выработки</t>
  </si>
  <si>
    <t xml:space="preserve">  Параметры комбайна             </t>
  </si>
  <si>
    <t xml:space="preserve">Коэффициенты для определения скорости подачи по мощности двигателя                                                    Vп=a1+a2A+a3A2+a4A3+a5m , м/мин       </t>
  </si>
  <si>
    <t>Комбинированная прямой ход, проветривание от фланговой выработки по вентиляционной выработке  к транспортной и далее на массив. Вентиляционная выработка проведена ранее через целик более  Lоп , за лавой не погашается. Транспортная выработка проведена ранее и не погашается. Участки выработок  впереди лавы проветриваются через фланговые выработки.</t>
  </si>
  <si>
    <t>1,221-1,420</t>
  </si>
  <si>
    <t>0,581-0,685</t>
  </si>
  <si>
    <t>XI</t>
  </si>
  <si>
    <t>1,421-1,668</t>
  </si>
  <si>
    <t>0,686-0,815</t>
  </si>
  <si>
    <t>XII</t>
  </si>
  <si>
    <t>1,669-1,950</t>
  </si>
  <si>
    <t>0,816-0,970</t>
  </si>
  <si>
    <t>XIII</t>
  </si>
  <si>
    <t>1,951-2,286</t>
  </si>
  <si>
    <t>0,971-1,230</t>
  </si>
  <si>
    <t>XIV</t>
  </si>
  <si>
    <t>2,287-2,710</t>
  </si>
  <si>
    <t>1,231-1,475</t>
  </si>
  <si>
    <t>XV</t>
  </si>
  <si>
    <t>2,711-3,220</t>
  </si>
  <si>
    <t>1,476-1,800</t>
  </si>
  <si>
    <t>XVI</t>
  </si>
  <si>
    <t>3,221-3,820</t>
  </si>
  <si>
    <t>1,801-2,600</t>
  </si>
  <si>
    <t>XVII</t>
  </si>
  <si>
    <t>3,821-4,221</t>
  </si>
  <si>
    <t>2,601 и более</t>
  </si>
  <si>
    <t>XVIII</t>
  </si>
  <si>
    <t>4,222 и более</t>
  </si>
  <si>
    <t>tgα</t>
  </si>
  <si>
    <t>Механизированные крепи</t>
  </si>
  <si>
    <t>А</t>
  </si>
  <si>
    <t>a1</t>
  </si>
  <si>
    <t>b1</t>
  </si>
  <si>
    <r>
      <t>Коэффициент готовности забоя по по группе последовательных перерывов µ</t>
    </r>
    <r>
      <rPr>
        <vertAlign val="subscript"/>
        <sz val="10"/>
        <rFont val="Arial Cyr"/>
        <charset val="204"/>
      </rPr>
      <t>1</t>
    </r>
  </si>
  <si>
    <r>
      <t>Коэффициент готовности по группе параллельных перерывов µ</t>
    </r>
    <r>
      <rPr>
        <vertAlign val="subscript"/>
        <sz val="10"/>
        <rFont val="Arial Cyr"/>
        <charset val="204"/>
      </rPr>
      <t>2</t>
    </r>
  </si>
  <si>
    <t>Зависимость массы гидростоек от мощности пласта</t>
  </si>
  <si>
    <t>Число раб смен</t>
  </si>
  <si>
    <t>Суммарный размер ниш</t>
  </si>
  <si>
    <t>Комбинированная прямой ход, проветривание от фланговой выработки по вентиляционной  к транспортной и далее на массив. Вентиляционная выработка  проведена ранее через целик более  Lоп, за лавой не погашается. Транспортная выработка проведена ранее и не погашается. Участки выработок  впереди лавы проветриваются через фланговые выработки.</t>
  </si>
  <si>
    <t>Нагрузка на лаву, т/сутки</t>
  </si>
  <si>
    <t>милл.т</t>
  </si>
  <si>
    <t>Рекомендуемый срок службы шахты - 50 - 60 лет, при малых запасах возможен срок службы шахты</t>
  </si>
  <si>
    <t xml:space="preserve">        Пособие выполнено в форме диалога между студентом, выполняющим проект, и компьютерной программой.</t>
  </si>
  <si>
    <t>Тип применяемого скребкового конвейера (1 - СП202, СП63, СП68; 2 - СП202В; 3 - СП87; 4 - СП301, СПУ162; 5 - СПЦ151; 6 - СУМК75; 7 - СПМ46; 8 - 1СР70</t>
  </si>
  <si>
    <t>Сопряжение с вентиляционной выработкой</t>
  </si>
  <si>
    <t xml:space="preserve"> Навалоотбойка угля, т</t>
  </si>
  <si>
    <t xml:space="preserve"> Бурение шпуров при применении БВР, м</t>
  </si>
  <si>
    <t xml:space="preserve"> Выемка угля отбойным молотком, т</t>
  </si>
  <si>
    <t>Сопряжение с транспортной выработкой</t>
  </si>
  <si>
    <t>Коэф прочности пород кровли основной</t>
  </si>
  <si>
    <t>Коэф прочности пород кровли непосредств</t>
  </si>
  <si>
    <t>Средний коэф прочности</t>
  </si>
  <si>
    <t>Исходные данные, ранее введенніе</t>
  </si>
  <si>
    <t>Мощность  пласта, м</t>
  </si>
  <si>
    <t>суточная добыча лавы, т</t>
  </si>
  <si>
    <t>Количество взрываний на концевых участках лавы за сутки</t>
  </si>
  <si>
    <t>Длина ниши у вентиляционной выработки, м</t>
  </si>
  <si>
    <t>Плотность  угля, т/м3</t>
  </si>
  <si>
    <t>Ширина захвата комбайна, (принятый размер цикла)  м</t>
  </si>
  <si>
    <t>Число рабочих  смен в сутки</t>
  </si>
  <si>
    <t>Коэффициент извлечения угля в лаве</t>
  </si>
  <si>
    <t>Выделение воды в лаве(1-лава сухая, 2-значительное выделение воды из почвы, 3- сильный капёж на рабочем месте, 4- выделение воды непрерывными струями)</t>
  </si>
  <si>
    <t>Затраты времени на неперекрываемые технологические перерывы</t>
  </si>
  <si>
    <t xml:space="preserve">               1 Угольный комбайн</t>
  </si>
  <si>
    <t xml:space="preserve">           2 Конвейеры скребковые</t>
  </si>
  <si>
    <t>Доля метана из выработанного пространства, поступающего в лаву (не склонен к самовозгоранию)</t>
  </si>
  <si>
    <t>который обслуживается одним рабочим, и продолжайте</t>
  </si>
  <si>
    <t xml:space="preserve"> работу с программой.</t>
  </si>
  <si>
    <t xml:space="preserve">     Работы в струговой лаве организованы по так называемой "паевой системе", </t>
  </si>
  <si>
    <t xml:space="preserve">суть которой состоит в выделении рабочему очистного забоя определенного </t>
  </si>
  <si>
    <t xml:space="preserve">участка лавы, пая, на котором он выполняет все работы, связанные участка лавы, </t>
  </si>
  <si>
    <t>пая, на котором он выполняет все работы, связанные с управлением крепью</t>
  </si>
  <si>
    <t xml:space="preserve">(механизированная лава), креплением лавы, передвижкой домкратов, посадкой </t>
  </si>
  <si>
    <t xml:space="preserve">кровли (лава с индивидуальной крепью). Трудоемкость работ в лаве - </t>
  </si>
  <si>
    <t xml:space="preserve">Кол-во взрываний на концевых участках лавы за сутки </t>
  </si>
  <si>
    <t>4. Производительность конвейера желательно иметь как можно большую.</t>
  </si>
  <si>
    <t>При выборе типа комбайна и конвейера следует обратить внимание и на величину коэффициента готовности оборудовани.</t>
  </si>
  <si>
    <t>Предпочнение следует отдавать комбайнам с двусторонним расположением исполнительных органов, комбайнам меньшей длины.</t>
  </si>
  <si>
    <t>Общие данные для проведения разрезной печи (монтажный ходок) Крепь - анкерная</t>
  </si>
  <si>
    <t>0,95 - 0,98</t>
  </si>
  <si>
    <t>23 - 30</t>
  </si>
  <si>
    <t>1,5 - 3,0</t>
  </si>
  <si>
    <t>1,2 - 1,45</t>
  </si>
  <si>
    <t>Способ присечки к старым работам:2-полная присечка,1-присечка через целик(3-4м)</t>
  </si>
  <si>
    <r>
      <t xml:space="preserve">Коэффициент влияния устойчивости пород на скорость крепления </t>
    </r>
    <r>
      <rPr>
        <b/>
        <sz val="10"/>
        <rFont val="Arial Cyr"/>
        <charset val="204"/>
      </rPr>
      <t>индивидуальной</t>
    </r>
    <r>
      <rPr>
        <sz val="10"/>
        <rFont val="Arial Cyr"/>
        <charset val="204"/>
      </rPr>
      <t xml:space="preserve"> крепью  (ф. 36)</t>
    </r>
  </si>
  <si>
    <t>Градиент конвергенции пород кровли</t>
  </si>
  <si>
    <r>
      <t xml:space="preserve">Конвергенция на 1м ширины рабочего пространства лавы </t>
    </r>
    <r>
      <rPr>
        <b/>
        <sz val="10"/>
        <rFont val="Arial Cyr"/>
        <family val="2"/>
        <charset val="204"/>
      </rPr>
      <t>α</t>
    </r>
    <r>
      <rPr>
        <sz val="10"/>
        <rFont val="Arial Cyr"/>
        <charset val="204"/>
      </rPr>
      <t xml:space="preserve"> составляет</t>
    </r>
  </si>
  <si>
    <t>Порядок разработки полос для дренажных штреков и ходков (1-прямой - от штрека;2-обратный - к штреку)</t>
  </si>
  <si>
    <t>Fп=b1A2+b2A+b3 - составляющей сил резания в направлении подачи, кН</t>
  </si>
  <si>
    <t>Крепление в нише над линейным ставом конвейера</t>
  </si>
  <si>
    <t>Установка комплекта индивидуальной крепи 3 стойки под верхняк над конвейером в нише</t>
  </si>
  <si>
    <t>Длина верхняка для крепления ниши, м</t>
  </si>
  <si>
    <t xml:space="preserve">Расчет массы верхняка </t>
  </si>
  <si>
    <t>на массу верхняка</t>
  </si>
  <si>
    <t>на выемку в нише (табличный)</t>
  </si>
  <si>
    <t>Установка дополнительных стоек индивидуальной крепи на комплектах расположеных над конвейером</t>
  </si>
  <si>
    <t>На бурение по вязкому и крепкому углю</t>
  </si>
  <si>
    <t>1МК97Д</t>
  </si>
  <si>
    <t>МКС98</t>
  </si>
  <si>
    <t>ЗМКС</t>
  </si>
  <si>
    <t>Температура в лаве, градус</t>
  </si>
  <si>
    <t xml:space="preserve"> Длительность паузы для разгрузки конвейера перед реверсом, сек</t>
  </si>
  <si>
    <t>y = -7,1684</t>
  </si>
  <si>
    <t>y = -7,1547</t>
  </si>
  <si>
    <t>y = -7,1422</t>
  </si>
  <si>
    <t>y = -7,152</t>
  </si>
  <si>
    <t>y = -7,1467</t>
  </si>
  <si>
    <t>y =10,312 - 6,5293m</t>
  </si>
  <si>
    <t>K=округл(-7,16Ln(T)-6,53m+10,312)</t>
  </si>
  <si>
    <t xml:space="preserve">           1,21 м и более</t>
  </si>
  <si>
    <t>верхняк до 1,26 м</t>
  </si>
  <si>
    <t>1,26 м</t>
  </si>
  <si>
    <t>Выемка угля в нише отбойным молотком</t>
  </si>
  <si>
    <t>Объем работ, т/цикл</t>
  </si>
  <si>
    <t>B279*B284*B299*B283*B286</t>
  </si>
  <si>
    <t>Номер строки в таблице 58</t>
  </si>
  <si>
    <t>Номер столбца в таблице 58</t>
  </si>
  <si>
    <t>На увлажнение пласта</t>
  </si>
  <si>
    <t>На выборку породы от прослойков и ложной кровли</t>
  </si>
  <si>
    <t>Вспомогательные вычисления</t>
  </si>
  <si>
    <t>На выемку в нише (табличный)</t>
  </si>
  <si>
    <t xml:space="preserve">горных работ в лаве в добычные и ремонтно-подготовительную смены </t>
  </si>
  <si>
    <t xml:space="preserve">при заданной технологии угледобычи и параметрах лавы. </t>
  </si>
  <si>
    <t xml:space="preserve">Нормы выработки и поправочные коэффициенты к ним приняты на </t>
  </si>
  <si>
    <t>36-55</t>
  </si>
  <si>
    <t>56 и более</t>
  </si>
  <si>
    <t>0,41-0,5</t>
  </si>
  <si>
    <t>0,51-0,6</t>
  </si>
  <si>
    <t>0,61-0,7</t>
  </si>
  <si>
    <t>0,71-0,8</t>
  </si>
  <si>
    <t>0,81-0,9</t>
  </si>
  <si>
    <t>0,91-1,0</t>
  </si>
  <si>
    <t>1,01-1,1</t>
  </si>
  <si>
    <t>1,11-1,25</t>
  </si>
  <si>
    <t>1,26-1,4</t>
  </si>
  <si>
    <t>1,41-1,6</t>
  </si>
  <si>
    <t>1,61-1,8</t>
  </si>
  <si>
    <t>1,81-2,0</t>
  </si>
  <si>
    <t>2,01 и более</t>
  </si>
  <si>
    <t>Таблица 63</t>
  </si>
  <si>
    <t>Таблица 66</t>
  </si>
  <si>
    <r>
      <t xml:space="preserve">Величина </t>
    </r>
    <r>
      <rPr>
        <b/>
        <i/>
        <sz val="12"/>
        <rFont val="Arial Cyr"/>
        <charset val="204"/>
      </rPr>
      <t>l</t>
    </r>
    <r>
      <rPr>
        <sz val="10"/>
        <rFont val="Arial Cyr"/>
        <charset val="204"/>
      </rPr>
      <t xml:space="preserve"> в формуле 40 для </t>
    </r>
    <r>
      <rPr>
        <b/>
        <sz val="10"/>
        <rFont val="Arial Cyr"/>
        <charset val="204"/>
      </rPr>
      <t>индивид.</t>
    </r>
    <r>
      <rPr>
        <sz val="10"/>
        <rFont val="Arial Cyr"/>
        <charset val="204"/>
      </rPr>
      <t xml:space="preserve"> крепи</t>
    </r>
  </si>
  <si>
    <r>
      <t xml:space="preserve">Величина </t>
    </r>
    <r>
      <rPr>
        <b/>
        <i/>
        <sz val="12"/>
        <rFont val="Arial Cyr"/>
        <charset val="204"/>
      </rPr>
      <t>l</t>
    </r>
    <r>
      <rPr>
        <sz val="10"/>
        <rFont val="Arial Cyr"/>
        <charset val="204"/>
      </rPr>
      <t xml:space="preserve"> в формуле 40 для </t>
    </r>
    <r>
      <rPr>
        <b/>
        <sz val="10"/>
        <rFont val="Arial Cyr"/>
        <charset val="204"/>
      </rPr>
      <t>механизированной</t>
    </r>
    <r>
      <rPr>
        <sz val="10"/>
        <rFont val="Arial Cyr"/>
        <charset val="204"/>
      </rPr>
      <t xml:space="preserve"> . крепи</t>
    </r>
  </si>
  <si>
    <t>Расчетный материал по нагрузке на лаву по  оборудованию</t>
  </si>
  <si>
    <t>Комбинированная, обратный ход. Движение воздуха по лаве от транспортной выработки к вентиляционной и далее на массив. Вентиляционная выработка проведена навстречу лаве через целик более  Lоп, за лавой погашается. Транспортная выработка проведен заранее, за лавой не погашается, участок ее за лавой проветривается от фланговой выработки.</t>
  </si>
  <si>
    <t>Отработанная струя из лавы направлена в сторону выработанного пространства - 1, или в сторону угольного массива - 2?</t>
  </si>
  <si>
    <t>Транспортная выработка за лавой не погашается? 1- да, или погашается  2</t>
  </si>
  <si>
    <t>Характеристика условий отработки проектируемого выемочного участка  (1 -Выемочный участок с обеих сторон ограничен угольным массивом и не оконтурен подготовительными выработками.
2 - Выемочный участок оконтурен выработками или выработанным пространством.
3 - Выемочный участок только с одной стороны ограничен выработанным пространством или пройденной подготовительной выработкой.)</t>
  </si>
  <si>
    <t>Схема проветривания проектируемого участка (1- 1В, 2 - 1М, 3 - 2В, 4 - 3В)</t>
  </si>
  <si>
    <t>Доля метана из транспортируемого угля, поступающего в лаву</t>
  </si>
  <si>
    <t>Трудоемкость на снятие верхняков чел.смен на цикл</t>
  </si>
  <si>
    <t>Выработка проводится через целик менее размера зоны опорного давления</t>
  </si>
  <si>
    <t>Вентиляционная выработка, проводится вприсечку  к выработанному пространству.</t>
  </si>
  <si>
    <t xml:space="preserve">    Транспортную и вентиляционную выработки работающего участка;</t>
  </si>
  <si>
    <t xml:space="preserve">    Подготовительные выработки подготавливаемого участка (если таковые имеются)</t>
  </si>
  <si>
    <t xml:space="preserve">    Транспортную выработку отработанного участка и размер целика между выемочными участками;</t>
  </si>
  <si>
    <t>Угол падения</t>
  </si>
  <si>
    <t>Прочность почвы, Мпа</t>
  </si>
  <si>
    <t>Способ подрывки почвы при ремонте (1-вручную, 2 - отбойный молоток, 3 - штрекоподдирочная машина, 4 - с перестилкой пути)</t>
  </si>
  <si>
    <t xml:space="preserve">Процент затрат на монтаж подъемной установки от ее стоимости,% </t>
  </si>
  <si>
    <t>наличие 3-й зоны поддержания;1-да,0-нет</t>
  </si>
  <si>
    <t>наличие 4-й зоны поддержания;1-да,0нет</t>
  </si>
  <si>
    <t>Способ подрывки почвы (1 - поддирочная машина, 2 - отбойный молоток)</t>
  </si>
  <si>
    <t>Характеристика узлов  сопряжения с лавы с участковыми выработками</t>
  </si>
  <si>
    <r>
      <t xml:space="preserve">Технологический перерыв, связанный с креплением кровли, </t>
    </r>
    <r>
      <rPr>
        <sz val="12"/>
        <rFont val="Arial Cyr"/>
        <charset val="204"/>
      </rPr>
      <t>Т</t>
    </r>
    <r>
      <rPr>
        <vertAlign val="subscript"/>
        <sz val="12"/>
        <rFont val="Arial Cyr"/>
        <charset val="204"/>
      </rPr>
      <t>тп</t>
    </r>
    <r>
      <rPr>
        <vertAlign val="superscript"/>
        <sz val="12"/>
        <rFont val="Arial Cyr"/>
        <charset val="204"/>
      </rPr>
      <t xml:space="preserve">11  </t>
    </r>
    <r>
      <rPr>
        <sz val="10"/>
        <rFont val="Arial Cyr"/>
        <charset val="204"/>
      </rPr>
      <t>при механизированной крепи  (зависит от совмещения работ)</t>
    </r>
  </si>
  <si>
    <r>
      <t xml:space="preserve">        </t>
    </r>
    <r>
      <rPr>
        <b/>
        <sz val="14"/>
        <rFont val="Times New Roman Cyr"/>
        <charset val="204"/>
      </rPr>
      <t xml:space="preserve"> k</t>
    </r>
    <r>
      <rPr>
        <b/>
        <vertAlign val="subscript"/>
        <sz val="14"/>
        <rFont val="Times New Roman Cyr"/>
        <charset val="204"/>
      </rPr>
      <t>гн</t>
    </r>
    <r>
      <rPr>
        <sz val="12"/>
        <rFont val="Times New Roman Cyr"/>
        <charset val="204"/>
      </rPr>
      <t xml:space="preserve">  -  коэффициент уменьшения нагрузки при работе очистного забоя в особо сложных  </t>
    </r>
  </si>
  <si>
    <r>
      <t xml:space="preserve">        q      -  </t>
    </r>
    <r>
      <rPr>
        <sz val="12"/>
        <rFont val="Times New Roman Cyr"/>
        <charset val="204"/>
      </rPr>
      <t>средняя производительность струговой установки, т/мин</t>
    </r>
  </si>
  <si>
    <t>Комбинированная прямой ход, проветривание от вентиляционного к транспортному штреку и далее на массив. Вентиляционная выработка проводится  за лавой через целик менее  Lоп, Транспортная выработка проведена ранее и не погашается. Подсвежающая струя по транспортной выработке направлена   на фланговую выработку.</t>
  </si>
  <si>
    <t>Комбинированная прямой ход, проветривание от вентиляционного к транспортному штреку и далее на массив. Вентиляционная выработка проводится  за лавой вприсечку к выработанному пространству, Транспортная выработка проведена ранее и не погашается. Подсвежающая струя по транспортной выработке направлена   на фланговую выработку.</t>
  </si>
  <si>
    <t>Длина лавы 181 м и более</t>
  </si>
  <si>
    <t>табл.32 ЕНВ 1993г</t>
  </si>
  <si>
    <t>Вспомогательные вычисления номера строки 63</t>
  </si>
  <si>
    <t>Табличные норма выработки, рам</t>
  </si>
  <si>
    <t>Поправочные коэффициенты к норме выработки</t>
  </si>
  <si>
    <t>По весу верхняка</t>
  </si>
  <si>
    <t>По углу падения</t>
  </si>
  <si>
    <t>По устойчивости кровли</t>
  </si>
  <si>
    <t>Общий поправочный коэффициент</t>
  </si>
  <si>
    <t>Принятая норма выработки, рам</t>
  </si>
  <si>
    <t>Трудоемкость по креплению чел.смен на цикл (рамы)</t>
  </si>
  <si>
    <t>Табличная норма выработки (установеа стоек)</t>
  </si>
  <si>
    <t>Трудоемкость на верхнем концевом участке  ГРОЗ на цикл</t>
  </si>
  <si>
    <t>крепление</t>
  </si>
  <si>
    <t>бурение шпуров при бвр</t>
  </si>
  <si>
    <t>Сопротивляемость угля резанию в массиве, кН/см</t>
  </si>
  <si>
    <t>Принимаемая в расчетах производительность комбайна, т/мин</t>
  </si>
  <si>
    <t>Коэф  учитывающий изменение глубины работ Кг.р=(Хг.р-Хо.г)/(Хг-Хо.г) [ф.3.78]</t>
  </si>
  <si>
    <t>Коэффициент утечек расчетный (вспомогательная расчетная величина) [ф. 6.28 и 6.29]</t>
  </si>
  <si>
    <t>Коэффициент утечек при принятом способе управления кровлей [ ф. Стр. 132]</t>
  </si>
  <si>
    <t>Склонность угля к самовозгоранию (Да - 1, Нет - 0)</t>
  </si>
  <si>
    <t>Длина квершлага между пластами, м</t>
  </si>
  <si>
    <t>Общая длина  квершлага, м</t>
  </si>
  <si>
    <t>до 0,15</t>
  </si>
  <si>
    <t>0,16-0,24</t>
  </si>
  <si>
    <t>0,25-0,35</t>
  </si>
  <si>
    <r>
      <t xml:space="preserve">  µ</t>
    </r>
    <r>
      <rPr>
        <b/>
        <i/>
        <vertAlign val="subscript"/>
        <sz val="13"/>
        <rFont val="Times New Roman Cyr"/>
        <charset val="204"/>
      </rPr>
      <t>1</t>
    </r>
    <r>
      <rPr>
        <b/>
        <i/>
        <sz val="13"/>
        <rFont val="Times New Roman Cyr"/>
        <charset val="204"/>
      </rPr>
      <t>* = 1/(1+qТ</t>
    </r>
    <r>
      <rPr>
        <b/>
        <i/>
        <vertAlign val="superscript"/>
        <sz val="13"/>
        <rFont val="Times New Roman Cyr"/>
        <charset val="204"/>
      </rPr>
      <t>о</t>
    </r>
    <r>
      <rPr>
        <b/>
        <i/>
        <vertAlign val="subscript"/>
        <sz val="13"/>
        <rFont val="Times New Roman Cyr"/>
        <charset val="204"/>
      </rPr>
      <t>тп</t>
    </r>
    <r>
      <rPr>
        <b/>
        <i/>
        <sz val="13"/>
        <rFont val="Times New Roman Cyr"/>
        <charset val="204"/>
      </rPr>
      <t>/А</t>
    </r>
    <r>
      <rPr>
        <b/>
        <i/>
        <vertAlign val="subscript"/>
        <sz val="13"/>
        <rFont val="Times New Roman Cyr"/>
        <charset val="204"/>
      </rPr>
      <t>п</t>
    </r>
    <r>
      <rPr>
        <b/>
        <i/>
        <sz val="13"/>
        <rFont val="Times New Roman Cyr"/>
        <charset val="204"/>
      </rPr>
      <t>+qТ</t>
    </r>
    <r>
      <rPr>
        <b/>
        <i/>
        <vertAlign val="superscript"/>
        <sz val="13"/>
        <rFont val="Times New Roman Cyr"/>
        <charset val="204"/>
      </rPr>
      <t>11</t>
    </r>
    <r>
      <rPr>
        <b/>
        <i/>
        <vertAlign val="subscript"/>
        <sz val="13"/>
        <rFont val="Times New Roman Cyr"/>
        <charset val="204"/>
      </rPr>
      <t>тп</t>
    </r>
    <r>
      <rPr>
        <b/>
        <i/>
        <sz val="13"/>
        <rFont val="Times New Roman Cyr"/>
        <charset val="204"/>
      </rPr>
      <t>/А</t>
    </r>
    <r>
      <rPr>
        <b/>
        <i/>
        <vertAlign val="subscript"/>
        <sz val="13"/>
        <rFont val="Times New Roman Cyr"/>
        <charset val="204"/>
      </rPr>
      <t>п</t>
    </r>
    <r>
      <rPr>
        <b/>
        <i/>
        <sz val="13"/>
        <rFont val="Times New Roman Cyr"/>
        <charset val="204"/>
      </rPr>
      <t>+qТ</t>
    </r>
    <r>
      <rPr>
        <b/>
        <i/>
        <vertAlign val="superscript"/>
        <sz val="13"/>
        <rFont val="Times New Roman Cyr"/>
        <charset val="204"/>
      </rPr>
      <t>111</t>
    </r>
    <r>
      <rPr>
        <b/>
        <i/>
        <vertAlign val="subscript"/>
        <sz val="13"/>
        <rFont val="Times New Roman Cyr"/>
        <charset val="204"/>
      </rPr>
      <t>тп</t>
    </r>
    <r>
      <rPr>
        <b/>
        <i/>
        <sz val="13"/>
        <rFont val="Times New Roman Cyr"/>
        <charset val="204"/>
      </rPr>
      <t>/А</t>
    </r>
    <r>
      <rPr>
        <b/>
        <i/>
        <vertAlign val="subscript"/>
        <sz val="13"/>
        <rFont val="Times New Roman Cyr"/>
        <charset val="204"/>
      </rPr>
      <t>п</t>
    </r>
    <r>
      <rPr>
        <b/>
        <i/>
        <sz val="13"/>
        <rFont val="Times New Roman Cyr"/>
        <charset val="204"/>
      </rPr>
      <t>+(1/</t>
    </r>
    <r>
      <rPr>
        <b/>
        <i/>
        <sz val="13"/>
        <rFont val="Arial Cyr"/>
        <charset val="204"/>
      </rPr>
      <t>µ</t>
    </r>
    <r>
      <rPr>
        <b/>
        <i/>
        <vertAlign val="subscript"/>
        <sz val="13"/>
        <rFont val="Times New Roman Cyr"/>
        <charset val="204"/>
      </rPr>
      <t>су</t>
    </r>
    <r>
      <rPr>
        <b/>
        <i/>
        <sz val="13"/>
        <rFont val="Times New Roman Cyr"/>
        <charset val="204"/>
      </rPr>
      <t>-1)+(1/</t>
    </r>
    <r>
      <rPr>
        <b/>
        <i/>
        <sz val="13"/>
        <rFont val="Arial Cyr"/>
        <charset val="204"/>
      </rPr>
      <t>µ</t>
    </r>
    <r>
      <rPr>
        <b/>
        <i/>
        <vertAlign val="subscript"/>
        <sz val="13"/>
        <rFont val="Times New Roman Cyr"/>
        <charset val="204"/>
      </rPr>
      <t>кр</t>
    </r>
    <r>
      <rPr>
        <b/>
        <i/>
        <sz val="13"/>
        <rFont val="Times New Roman Cyr"/>
        <charset val="204"/>
      </rPr>
      <t>-1)+(1/</t>
    </r>
    <r>
      <rPr>
        <b/>
        <i/>
        <sz val="13"/>
        <rFont val="Arial Cyr"/>
        <charset val="204"/>
      </rPr>
      <t>µ</t>
    </r>
    <r>
      <rPr>
        <b/>
        <i/>
        <vertAlign val="subscript"/>
        <sz val="13"/>
        <rFont val="Times New Roman Cyr"/>
        <charset val="204"/>
      </rPr>
      <t>ку</t>
    </r>
    <r>
      <rPr>
        <b/>
        <i/>
        <sz val="13"/>
        <rFont val="Times New Roman Cyr"/>
        <charset val="204"/>
      </rPr>
      <t>-1)+(1/</t>
    </r>
    <r>
      <rPr>
        <b/>
        <i/>
        <sz val="13"/>
        <rFont val="Arial Cyr"/>
        <charset val="204"/>
      </rPr>
      <t>µ</t>
    </r>
    <r>
      <rPr>
        <b/>
        <i/>
        <vertAlign val="subscript"/>
        <sz val="13"/>
        <rFont val="Times New Roman Cyr"/>
        <charset val="204"/>
      </rPr>
      <t>пп</t>
    </r>
    <r>
      <rPr>
        <b/>
        <i/>
        <sz val="13"/>
        <rFont val="Times New Roman Cyr"/>
        <charset val="204"/>
      </rPr>
      <t>-1)+(1/</t>
    </r>
    <r>
      <rPr>
        <b/>
        <i/>
        <sz val="13"/>
        <rFont val="Arial Cyr"/>
        <charset val="204"/>
      </rPr>
      <t>µ</t>
    </r>
    <r>
      <rPr>
        <b/>
        <i/>
        <vertAlign val="subscript"/>
        <sz val="13"/>
        <rFont val="Times New Roman Cyr"/>
        <charset val="204"/>
      </rPr>
      <t>пр</t>
    </r>
    <r>
      <rPr>
        <b/>
        <i/>
        <sz val="13"/>
        <rFont val="Times New Roman Cyr"/>
        <charset val="204"/>
      </rPr>
      <t>-1)+q(1-H</t>
    </r>
    <r>
      <rPr>
        <b/>
        <i/>
        <vertAlign val="subscript"/>
        <sz val="13"/>
        <rFont val="Times New Roman Cyr"/>
        <charset val="204"/>
      </rPr>
      <t>c</t>
    </r>
    <r>
      <rPr>
        <b/>
        <i/>
        <sz val="13"/>
        <rFont val="Times New Roman Cyr"/>
        <charset val="204"/>
      </rPr>
      <t>/m)t</t>
    </r>
    <r>
      <rPr>
        <b/>
        <i/>
        <vertAlign val="subscript"/>
        <sz val="13"/>
        <rFont val="Times New Roman Cyr"/>
        <charset val="204"/>
      </rPr>
      <t xml:space="preserve">др     </t>
    </r>
    <r>
      <rPr>
        <b/>
        <i/>
        <sz val="13"/>
        <rFont val="Times New Roman Cyr"/>
        <charset val="204"/>
      </rPr>
      <t xml:space="preserve"> (ф. 68)</t>
    </r>
  </si>
  <si>
    <t>Комбинированная обратный ход, проветривание от вентиляционной выработки  к транспортной и далее на выработанное пространство. Вентиляционная выработка - повторно используемая транспортная выработка, за лавой не погашается. Транспортная выработка  проведена ранее и не погашается. Подсвежающая струя - к фланговой выработке.</t>
  </si>
  <si>
    <t>1.1.1</t>
  </si>
  <si>
    <t>Комбинированная обратный ход,  движение воздуха по лаве от транспортной выработки к вентиляционной и далее на выработанное пространство. Вентиляционная выработка проводится за лавой через целик менее  Lоп, Транспортная выработка проведена заранее, за лавой не погашается, участок ее за лавой проветривается на фланговую выработку.</t>
  </si>
  <si>
    <t>Комбинированная обратный ход,  движение воздуха по лаве от транспортной выработки к вентиляционной и далее на выработанное пространство. Вентиляционная выработка проводится за лавой вприсечку к старым работам, Транспортная выработка проведена заранее, за лавой не погашается, участок ее за лавой проветривается на фланговую выработку.</t>
  </si>
  <si>
    <t>Лава длиной более 150м обводнена; или конвейером доставлено более 200 тыс.т угля.</t>
  </si>
  <si>
    <t xml:space="preserve">                     Скорость ленты, м/с</t>
  </si>
  <si>
    <t>Тип ком-байна</t>
  </si>
  <si>
    <t>категория кровли Б  (верхнее значение)</t>
  </si>
  <si>
    <r>
      <t>средневзвешенный коэффициент снижения скорости передвижки фронта крепи при вторичных осадках кровли k</t>
    </r>
    <r>
      <rPr>
        <b/>
        <vertAlign val="subscript"/>
        <sz val="10"/>
        <color indexed="10"/>
        <rFont val="Arial Cyr"/>
        <charset val="204"/>
      </rPr>
      <t>во</t>
    </r>
    <r>
      <rPr>
        <b/>
        <vertAlign val="superscript"/>
        <sz val="10"/>
        <color indexed="10"/>
        <rFont val="Arial Cyr"/>
        <charset val="204"/>
      </rPr>
      <t xml:space="preserve">ср  </t>
    </r>
    <r>
      <rPr>
        <b/>
        <sz val="10"/>
        <color indexed="10"/>
        <rFont val="Arial Cyr"/>
        <charset val="204"/>
      </rPr>
      <t xml:space="preserve"> (стр. 61)</t>
    </r>
  </si>
  <si>
    <r>
      <t xml:space="preserve">средний суммарный расход рабочей жидкости гидроцилиндрами передвижки на 100м забоя, л   </t>
    </r>
    <r>
      <rPr>
        <b/>
        <sz val="10"/>
        <rFont val="Arial Cyr"/>
        <charset val="204"/>
      </rPr>
      <t>Qгп</t>
    </r>
  </si>
  <si>
    <t>Трудоемкость, чел.см</t>
  </si>
  <si>
    <t>Доставка сыпучих  материалов и элементов крепи</t>
  </si>
  <si>
    <t>Всего объем доставки, т</t>
  </si>
  <si>
    <t>Норма выработки, т/смена</t>
  </si>
  <si>
    <t>Доставка длиномеров</t>
  </si>
  <si>
    <t>Выгрузка материала на рабочем месте</t>
  </si>
  <si>
    <t>Всего объем работ, м3</t>
  </si>
  <si>
    <t>Сыпучие</t>
  </si>
  <si>
    <t>Элементы крепи</t>
  </si>
  <si>
    <t>Всего объем работ, т</t>
  </si>
  <si>
    <t>Длиномерные материалы</t>
  </si>
  <si>
    <t>Доставка необходима 1, ВВ не применяются - 0</t>
  </si>
  <si>
    <t>Норма времени на доставку ВВ, час</t>
  </si>
  <si>
    <t>Трудоемкость доставки ВВ</t>
  </si>
  <si>
    <t>Всего трудоемкость под землей, чел/см</t>
  </si>
  <si>
    <t>Общая трудоемкость на месяц</t>
  </si>
  <si>
    <t>Общая трудоемкость на сутки</t>
  </si>
  <si>
    <t>Добыча с одной полоски, т</t>
  </si>
  <si>
    <t>Число полос в смену</t>
  </si>
  <si>
    <t>сменная добыча</t>
  </si>
  <si>
    <t>Число добычных смен в сутки</t>
  </si>
  <si>
    <t>Трудоемкость на нанижнем концевом участкае  ГРОЗ на цикл</t>
  </si>
  <si>
    <t>в том числе</t>
  </si>
  <si>
    <t xml:space="preserve">    крепление </t>
  </si>
  <si>
    <t>погр пункт</t>
  </si>
  <si>
    <t>Есть ли необходимость иметь заранее пройденную участковую выработку с точки зрения безопасности работ на выбросоопасном пласте Да 1, Нет - 0</t>
  </si>
  <si>
    <t>Способ подготовки</t>
  </si>
  <si>
    <t>Необходимое число лав действующих</t>
  </si>
  <si>
    <t>Необходимое общее число лав по пласту</t>
  </si>
  <si>
    <t>Минимальное число панелей</t>
  </si>
  <si>
    <t>Максимально возможный размер крыла панели, м</t>
  </si>
  <si>
    <t>извлечение арки</t>
  </si>
  <si>
    <t>извлечение и установка ножки крепм</t>
  </si>
  <si>
    <t>укорач конвейера</t>
  </si>
  <si>
    <t>навалоотбойка угля</t>
  </si>
  <si>
    <t>бурение шпуров для нагнетания воды</t>
  </si>
  <si>
    <t>бурение шпуров при БВР</t>
  </si>
  <si>
    <t>выемка молотком</t>
  </si>
  <si>
    <t>установка крепи усиления</t>
  </si>
  <si>
    <t>Поправочный коэф для поддержания  (ходок)</t>
  </si>
  <si>
    <t>Поправочный коэф для поддержания (уклон)</t>
  </si>
  <si>
    <t>поддержание уклона Rход укл</t>
  </si>
  <si>
    <t>поддержание ходков центральных</t>
  </si>
  <si>
    <t>поддержание ходков при наличии фланговых</t>
  </si>
  <si>
    <t>поддержание наклонных выработок центральных</t>
  </si>
  <si>
    <t>поддержание наклонных выработок при наличии фланговых</t>
  </si>
  <si>
    <t xml:space="preserve">   Оптимизация параметров выполняется в специальной компьютерной программе.</t>
  </si>
  <si>
    <r>
      <t xml:space="preserve">Средняя глубина работ в уклонной ступени? М                                         </t>
    </r>
    <r>
      <rPr>
        <b/>
        <sz val="12"/>
        <color indexed="10"/>
        <rFont val="Times New Roman"/>
        <family val="1"/>
        <charset val="204"/>
      </rPr>
      <t>Hу = (Н-Lст/2)*sin</t>
    </r>
    <r>
      <rPr>
        <b/>
        <sz val="12"/>
        <color indexed="10"/>
        <rFont val="Sylfaen"/>
        <family val="1"/>
        <charset val="204"/>
      </rPr>
      <t>α</t>
    </r>
    <r>
      <rPr>
        <b/>
        <sz val="12"/>
        <color indexed="10"/>
        <rFont val="Times New Roman"/>
        <family val="1"/>
        <charset val="204"/>
      </rPr>
      <t xml:space="preserve"> +h</t>
    </r>
    <r>
      <rPr>
        <b/>
        <vertAlign val="subscript"/>
        <sz val="12"/>
        <color indexed="10"/>
        <rFont val="Times New Roman"/>
        <family val="1"/>
        <charset val="204"/>
      </rPr>
      <t>0</t>
    </r>
  </si>
  <si>
    <t>Промышленные запасы полосы, т</t>
  </si>
  <si>
    <t>Промышленные запасы крыла яруса, т</t>
  </si>
  <si>
    <t>Промышленные запасы яруса панели, т</t>
  </si>
  <si>
    <t>Промышленные запасы ступени (погоризонтная подготовка), т</t>
  </si>
  <si>
    <t>Промышленные запасы ступени (панельная подготовка), т</t>
  </si>
  <si>
    <t>Вычисления затрат на проведение, поддержание и охрану участковых выработок</t>
  </si>
  <si>
    <t>Вычисление по выработке  1</t>
  </si>
  <si>
    <r>
      <t xml:space="preserve">         hв - </t>
    </r>
    <r>
      <rPr>
        <i/>
        <sz val="12"/>
        <rFont val="Arial Cyr"/>
        <charset val="204"/>
      </rPr>
      <t xml:space="preserve">толщина верхняка, </t>
    </r>
    <r>
      <rPr>
        <b/>
        <i/>
        <sz val="12"/>
        <rFont val="Arial Cyr"/>
        <charset val="204"/>
      </rPr>
      <t xml:space="preserve">  h</t>
    </r>
    <r>
      <rPr>
        <b/>
        <i/>
        <sz val="10"/>
        <rFont val="Arial Cyr"/>
        <charset val="204"/>
      </rPr>
      <t xml:space="preserve">p </t>
    </r>
    <r>
      <rPr>
        <b/>
        <i/>
        <sz val="12"/>
        <rFont val="Arial Cyr"/>
        <charset val="204"/>
      </rPr>
      <t xml:space="preserve">- </t>
    </r>
    <r>
      <rPr>
        <i/>
        <sz val="12"/>
        <rFont val="Arial Cyr"/>
        <charset val="204"/>
      </rPr>
      <t>запас раздвижности стойки для ее разгрузки (50 мм).</t>
    </r>
  </si>
  <si>
    <t xml:space="preserve">в столбцах B  и  С  указаны </t>
  </si>
  <si>
    <t xml:space="preserve">необходимая минимальная и максимальная высота стойки. Максимальное удаление </t>
  </si>
  <si>
    <t>стойки от забоя 4,6 м, минимальное удаление стойки от забоя 1,6 м.</t>
  </si>
  <si>
    <t xml:space="preserve">   Посадочная крепь для лавы с индивидуальной крепью</t>
  </si>
  <si>
    <t>Кровля над конвейерной головкой крепится  металлическим верхняком из швеллера или спецпрофиля.</t>
  </si>
  <si>
    <t>Для комплексно механизированной лавы необходимо выбрать типоразмер стойки,  исходя из мощности пласта.</t>
  </si>
  <si>
    <t>45.1-55</t>
  </si>
  <si>
    <t>Передвижка металлических посадочных стоек типа ОКУ</t>
  </si>
  <si>
    <t>ОКУ</t>
  </si>
  <si>
    <t>Внимание !  Перед началом работы удалите данные в закрашенных ячейках таблицы !</t>
  </si>
  <si>
    <t>Высота поднятия плит на "бровку", м</t>
  </si>
  <si>
    <t xml:space="preserve">комплекса технически невозможно - следует выбрать типы  оборудования для лавы </t>
  </si>
  <si>
    <t xml:space="preserve">с индивидуальной крепью. </t>
  </si>
  <si>
    <t xml:space="preserve">РАСЧЕТ ТРУДОЕМКОСТИ СООРУЖЕНИЯ </t>
  </si>
  <si>
    <t>Fт=d1m+d2 - Тяговое усилие, кН</t>
  </si>
  <si>
    <t>Суточная добыча из ниш, т</t>
  </si>
  <si>
    <t>Столбовая, движение воздуха по лаве от транспортной выработки к вентиляционной и далее на массив. Вентиляционная выработка проведена от фланговой выработки вприсечку, за лавой погашается. Транспортная выработка  проведена заранее, за лавой не погашается. Тупик выработки проветривается на фланговую выработку..</t>
  </si>
  <si>
    <t>Выбросоопасность пласта(1-пласт не опасен, 2-работа с дистанционным управлением комбайна, 3- пласт выбросоопасен, 4-работа в особовыбросоопасной зоне</t>
  </si>
  <si>
    <t>Глубина работ, м</t>
  </si>
  <si>
    <t>Податливость крепи угольного и дренажного уклона, мм</t>
  </si>
  <si>
    <t>Вид крепи в выработках  (1 - арка 3-х звенная, 2 - арка 5-ти звенная, 3 - анкерная, 4 - анкерная и 3-х звенная арка, 5 - анкерная и 5-звенная арка)</t>
  </si>
  <si>
    <t>Размер выноса головки в транспортную выработку, м</t>
  </si>
  <si>
    <t>Размер ниши у транспортной выработки, м</t>
  </si>
  <si>
    <t>программа ohrana.xls</t>
  </si>
  <si>
    <t xml:space="preserve">                               с угольным стругом</t>
  </si>
  <si>
    <t xml:space="preserve"> Наибольшая теоретическая производительность установки относительно сопротивляемости угля резанию, которая не ограничивается пропускной способностью конвейера струговой установки, т/мин</t>
  </si>
  <si>
    <t>Рабочий режим установки (1-й, 2-й или 3-й)</t>
  </si>
  <si>
    <t>Погрузочный пункт лавы при погрузке в вагонетки</t>
  </si>
  <si>
    <t xml:space="preserve">                                                           q = q1 + q2 + q3, м3/т</t>
  </si>
  <si>
    <t>Справочно-информационные материалы</t>
  </si>
  <si>
    <t>Индекс пласта, для которого необходимо выполнить детальные расчеты</t>
  </si>
  <si>
    <t>Монолитный слой песчаника, известняка, реже сланца  (f&gt;7)</t>
  </si>
  <si>
    <t>Таблица затрат времени на неперекрываемые технологические перерывы</t>
  </si>
  <si>
    <t xml:space="preserve">Затраты времени на ожидание  обмена составов вагонеток на погрузочном пункте лавы, мин/цикл  </t>
  </si>
  <si>
    <t xml:space="preserve">Затраты времени на взрывные работы, мин   </t>
  </si>
  <si>
    <t>Затраты времени на "зачистку" лавы, мин/цикл</t>
  </si>
  <si>
    <t>Затраты времени на выемку породного прослойка, мин/цикл</t>
  </si>
  <si>
    <t xml:space="preserve">Сумма затрат времени   мин/цикл </t>
  </si>
  <si>
    <t>Таблица коэффициентов готовности</t>
  </si>
  <si>
    <t>Угольный комбайн</t>
  </si>
  <si>
    <t>Конвейерная линия</t>
  </si>
  <si>
    <t>Крепь</t>
  </si>
  <si>
    <t>интегральный коэффициент</t>
  </si>
  <si>
    <r>
      <t xml:space="preserve">  </t>
    </r>
    <r>
      <rPr>
        <i/>
        <sz val="14"/>
        <color indexed="10"/>
        <rFont val="Times New Roman"/>
        <family val="1"/>
        <charset val="204"/>
      </rPr>
      <t>Вначале разберемся с принципом конструирования системы разработки</t>
    </r>
  </si>
  <si>
    <t>Правила и порядок пользования пособием</t>
  </si>
  <si>
    <t xml:space="preserve"> "Макет пояснительной записки" открыть после завершения всех расчетов.</t>
  </si>
  <si>
    <t xml:space="preserve">  Программа не только выполняет вычисления, но и в текстовой части</t>
  </si>
  <si>
    <t>Комбинированная прямой ход,  движение воздуха по лаве от транспортной выработки к вентиляционной и далее на массив. Вентиляционная выработка проведена заранее через целик более  Lоп, за лавой не погашается. Транспортная выработка проведена заранее и  за лавой не погашается. Участок ее впереди лавы проветривается на фланговую выработку. Подсвежающая струя  - на фланговую выработку.</t>
  </si>
  <si>
    <t>Комбинированная прямой ход,  движение воздуха по лаве от транспортной выработки к вентиляционной и далее на массив. Вентиляционная выработка проведена заранее через целик менее  Lоп, за лавой не погашается. Транспортная выработка проведена заранее и  за лавой не погашается. Участок ее впереди лавы проветривается на фланговую выработку. Подсвежающая струя  - на фланговую выработку.</t>
  </si>
  <si>
    <t>Выработанное пространство (Выработка) с одной стороны</t>
  </si>
  <si>
    <t>Комбинированная обратный ход, движение воздуха по лаве от транспортной выработки к вентиляционной и далее на массив. Вентиляционная выработка  проведена через целик менее  Lоп,  за лавой не погашается. Подсвежающая струя от фланговой выработки. Транспортная выработка  проведена заранее от фланговой выработки и  за лавой не погашается.</t>
  </si>
  <si>
    <t>Вид арки (1-трехзвенная, 0-пятизвенная)</t>
  </si>
  <si>
    <t>Извлечение комплекта арочной крепи в штреке производиться (1-ручными лебедками, 2-другими видами лебедок, 3-вручную)</t>
  </si>
  <si>
    <t>б) Исходные данные о пласте и боковых породах</t>
  </si>
  <si>
    <t>Суточная нагрузка на транспорт по квершлагу, т</t>
  </si>
  <si>
    <t xml:space="preserve">g2 ср </t>
  </si>
  <si>
    <t xml:space="preserve">g2  </t>
  </si>
  <si>
    <t>воздух вверх</t>
  </si>
  <si>
    <t>воздух вниз</t>
  </si>
  <si>
    <t xml:space="preserve">Используется уже повторно? </t>
  </si>
  <si>
    <t xml:space="preserve">Проведена за лавой? </t>
  </si>
  <si>
    <t xml:space="preserve"> Пройдена вприсечку к выработанному пространству? </t>
  </si>
  <si>
    <r>
      <t xml:space="preserve">Максимальная конструктивная высота крепи  </t>
    </r>
    <r>
      <rPr>
        <b/>
        <sz val="10"/>
        <color indexed="8"/>
        <rFont val="Times New Roman"/>
        <family val="1"/>
        <charset val="204"/>
      </rPr>
      <t>h</t>
    </r>
    <r>
      <rPr>
        <b/>
        <vertAlign val="subscript"/>
        <sz val="10"/>
        <color indexed="8"/>
        <rFont val="Times New Roman"/>
        <family val="1"/>
        <charset val="204"/>
      </rPr>
      <t>max</t>
    </r>
    <r>
      <rPr>
        <sz val="10"/>
        <color indexed="8"/>
        <rFont val="Times New Roman"/>
        <family val="1"/>
        <charset val="204"/>
      </rPr>
      <t>, мм</t>
    </r>
  </si>
  <si>
    <t>Ширина секции максимальная, мм</t>
  </si>
  <si>
    <t>Расстояние до задней стойки крепи   R3, мм</t>
  </si>
  <si>
    <t xml:space="preserve">     выбора оборудования лавы..</t>
  </si>
  <si>
    <t>конвейера", увеличивая значение параметра до 800 т/час. Возможна далее "фильтрация" по коэффициенту готовности конвейера.</t>
  </si>
  <si>
    <t xml:space="preserve">   Отбор вариантов комплектации оборудования лавы  при комбайновой выемке осуществляется </t>
  </si>
  <si>
    <t>Извлечение металлических стоек индивидуальной крепи на комплектах расположенных над конвейером</t>
  </si>
  <si>
    <t>Стойка после извлечеия переносится на расстояние до 1,5м ( 0-нет, 1-да)</t>
  </si>
  <si>
    <t>Стойка после извлечеия переносится (перебрасывается) через конвейер ( 0-нет, 1-да)</t>
  </si>
  <si>
    <t xml:space="preserve">кровли не превышала несущую способность стойки. </t>
  </si>
  <si>
    <r>
      <t>α</t>
    </r>
    <r>
      <rPr>
        <b/>
        <i/>
        <sz val="12"/>
        <rFont val="Arial Cyr"/>
        <charset val="204"/>
      </rPr>
      <t xml:space="preserve"> </t>
    </r>
    <r>
      <rPr>
        <i/>
        <sz val="12"/>
        <rFont val="Arial Cyr"/>
        <charset val="204"/>
      </rPr>
      <t xml:space="preserve">- градиент сближения кровли с почвой на 1 м ширины лавы.  Эта величина зависит от категории </t>
    </r>
  </si>
  <si>
    <t>пород кровли по обрушаемости и составляет:</t>
  </si>
  <si>
    <t xml:space="preserve">   В строке</t>
  </si>
  <si>
    <t>ПРОВОДИТЬ ФИЛЬТРАЦИЮ ЧЕРЕЗ "АВТОФИЛЬТР"</t>
  </si>
  <si>
    <t>&lt;</t>
  </si>
  <si>
    <t>&gt;</t>
  </si>
  <si>
    <t>Значение параметра</t>
  </si>
  <si>
    <t>7  Поочередно проделать операции пунктов 4, 5, 6  в столбцах от С до Н</t>
  </si>
  <si>
    <t>комплектования лавы комбайном и конвейером, которые можно применить в данных исходных условиях.</t>
  </si>
  <si>
    <t>Вам необходимо выбрать для условий Вашего проекта такое сочетание, чтобы выполнялись следующие условия:</t>
  </si>
  <si>
    <t>1 Минимальная обслуживаемая комбайном мощность пласта  была меньше фактической минимальной мощности;</t>
  </si>
  <si>
    <t>2  Максимальная обслуживаемая комбайном мощность пласта была больще фактической  максимальной мощности;</t>
  </si>
  <si>
    <t>Возможная скорость подачи комбайна (без учета ограничений по креплению и возможностям транспорта), м/мин</t>
  </si>
  <si>
    <t>В каком случае метан из транспортируемого по штреку угля не поступает в лаву: 1 - комбинированная система разработки с нисходящим проветриванием лавы и выдачей исходящей струи на выработанное пространство, 2 - при сплошной системе разработки, 3 - при столбовой системе разработки?</t>
  </si>
  <si>
    <t>Мощность пласта вынимаемая, м</t>
  </si>
  <si>
    <t>ё</t>
  </si>
  <si>
    <t>Вертикальные стволы с поверхности проводятся вначале до границы первой и второй ступенями</t>
  </si>
  <si>
    <t xml:space="preserve">второй и третьей ступенями. На этой глубине сооружают околоствольный двор второго </t>
  </si>
  <si>
    <t xml:space="preserve">В курсовом проекте рекомендуется принять размер околоствольного двора 300 м. </t>
  </si>
  <si>
    <t xml:space="preserve">Выбор места заложения стволов производится исходя из соображений, что длины квершлагов на </t>
  </si>
  <si>
    <t>весьма примерный, только для данного курсового проекта).</t>
  </si>
  <si>
    <t>первом и втором подъемном горизонте примерно одинаковы  (это не точный расчет, а только</t>
  </si>
  <si>
    <t xml:space="preserve">      Ниже показан пример схемы вскрытия при двух поъемных горизонтах.</t>
  </si>
  <si>
    <t xml:space="preserve">Верхняки типа ВР  (длина 0,8 м, 1,0 м,) имеют  толщину 80 мм. </t>
  </si>
  <si>
    <t>Принятая в расчетах нагрузка на лаву по оборудованию, т/сут</t>
  </si>
  <si>
    <t>Нормативная нагрузка на лаву, т/сут</t>
  </si>
  <si>
    <t>Нагрузка исходя из возможностей проветривания, т/сут</t>
  </si>
  <si>
    <t>Допустимая нагрузка на лаву, т/сутки</t>
  </si>
  <si>
    <t>Нагрузка исходя из возможностей оборудования, т/сут</t>
  </si>
  <si>
    <t>Скорость подвигания лавы, м/месяц</t>
  </si>
  <si>
    <t>Установление величины  сечений участковых выработок и податливости крепи</t>
  </si>
  <si>
    <t>Транспортная выработка</t>
  </si>
  <si>
    <t>Расход воздуха на участок, м3/мин</t>
  </si>
  <si>
    <t xml:space="preserve">Применяющиеся струговые установки могут монтироваться по высоте струга ступенчато - </t>
  </si>
  <si>
    <t>3 или 2 ступени по высоте.  Струговые установки (кроме УСБ-67 и УСТ2А) могут работать в</t>
  </si>
  <si>
    <t xml:space="preserve"> одном из 3х рабочих режимов:</t>
  </si>
  <si>
    <t xml:space="preserve">При расчете производительности струговой установки исходят из требования, что режим </t>
  </si>
  <si>
    <t xml:space="preserve">работы установки  и высота струга должны быть такими, чтобы производительность выемки </t>
  </si>
  <si>
    <t>угля стругом была наибольшая, но не превышала возможносте конвейера по приему отбитого</t>
  </si>
  <si>
    <t xml:space="preserve">                                                          мощность пласта, m</t>
  </si>
  <si>
    <t>Время на  передвижку 1 домкрата, мин</t>
  </si>
  <si>
    <t>объем работ на 1 комплект крепи, т</t>
  </si>
  <si>
    <r>
      <t xml:space="preserve">пространства опускание кровли составляет </t>
    </r>
    <r>
      <rPr>
        <b/>
        <i/>
        <sz val="12"/>
        <rFont val="Arial Cyr"/>
        <charset val="204"/>
      </rPr>
      <t>j</t>
    </r>
    <r>
      <rPr>
        <b/>
        <i/>
        <vertAlign val="subscript"/>
        <sz val="12"/>
        <rFont val="Arial Cyr"/>
        <charset val="204"/>
      </rPr>
      <t>2</t>
    </r>
    <r>
      <rPr>
        <i/>
        <sz val="12"/>
        <rFont val="Arial Cyr"/>
        <charset val="204"/>
      </rPr>
      <t>.</t>
    </r>
  </si>
  <si>
    <t>Принятая длина ниши у транспортной выработки, м</t>
  </si>
  <si>
    <t>Расстояние между рамами арочной крепи в транспортном штреке, м</t>
  </si>
  <si>
    <t>Расстояние между рамами арочной крепи в вентиляционном штреке, м</t>
  </si>
  <si>
    <t>Ширина головки конвейера, м</t>
  </si>
  <si>
    <t>Предварительное увлажнение пласта (0-нет, 1-да)</t>
  </si>
  <si>
    <t xml:space="preserve">Мощность породных прослойков в пласте и ложной кровли, м </t>
  </si>
  <si>
    <t>Расход лесных клетевые, м3/м</t>
  </si>
  <si>
    <t>Расход лесных накатные, м3/м</t>
  </si>
  <si>
    <t>Трудоемкость (клетевые) чел.смен</t>
  </si>
  <si>
    <t>Трудоемкость  (накатные)</t>
  </si>
  <si>
    <t>Трудоемкость (клетевые), чел.смен</t>
  </si>
  <si>
    <t>m</t>
  </si>
  <si>
    <t>alf</t>
  </si>
  <si>
    <t>A</t>
  </si>
  <si>
    <t>Соотношение  тариф рубли/тариф гривни</t>
  </si>
  <si>
    <t>Тарифная ставка ГРОЗ, руб/смену</t>
  </si>
  <si>
    <t>Цена комплекта проходческого оборудования при проведении камер, млн. руб</t>
  </si>
  <si>
    <t>Цена оборудования при комбайновой проходке выработки, млн.руб</t>
  </si>
  <si>
    <t>Цена оборудования при БВР проходке выработки, млн.руб</t>
  </si>
  <si>
    <t>Цена буровой установки для бурения скважин, тыс руб</t>
  </si>
  <si>
    <t>Ценa 1 м3 железобетонной затяжки, руб/м3</t>
  </si>
  <si>
    <t>Цена 1 м2  сетки, руб/м2</t>
  </si>
  <si>
    <t>Цена крепежного леса, руб/м3</t>
  </si>
  <si>
    <t>Цена Би-крепи, руб/25 кг</t>
  </si>
  <si>
    <t>Цена плиты БЖБТ, руб/шт</t>
  </si>
  <si>
    <t>Стоимость комплекта анкерной крепи, руб/шт</t>
  </si>
  <si>
    <t>Цена штреко-поддирочной машины, млн.руб</t>
  </si>
  <si>
    <t>Стоимость скреперной установки для выкладки бутовой полосы, тыс. руб</t>
  </si>
  <si>
    <t>Цена спецпрофиля, руб/т</t>
  </si>
  <si>
    <t>Тариф на электроэнергию, руб/кВт.час</t>
  </si>
  <si>
    <t>Стоимость 1 м средней части конвейера с оснащением, тыс. руб</t>
  </si>
  <si>
    <t>Стоимость концевых участков конвейера, млн. руб</t>
  </si>
  <si>
    <t>Стоимость комплекта оборудования электровозной откатки, млн. руб</t>
  </si>
  <si>
    <t xml:space="preserve">Стоимость напочвенной дороги,  млн. руб </t>
  </si>
  <si>
    <t>Принятая в проекте мощность шахты, млн. т/год   А</t>
  </si>
  <si>
    <t>Проектный в проекте срок службы шахты, год    Тш</t>
  </si>
  <si>
    <t>Принятое в проекте количество дней работы шахты по добыче, N</t>
  </si>
  <si>
    <t>Принятая в проекте величина суточной добычи шахты, D=A*1000000/N, т</t>
  </si>
  <si>
    <t xml:space="preserve">            Таблица 3  Принятые в проекте данные о мощности шахты</t>
  </si>
  <si>
    <r>
      <t xml:space="preserve">При проектировании следует иметь в виду, что количество лав по одному пласту желательно иметь не менее </t>
    </r>
    <r>
      <rPr>
        <b/>
        <i/>
        <sz val="14"/>
        <color indexed="12"/>
        <rFont val="Times New Roman"/>
        <family val="1"/>
        <charset val="204"/>
      </rPr>
      <t>двух!</t>
    </r>
  </si>
  <si>
    <t xml:space="preserve">   При разработке угольных пластов применяют этажную, панельную и погоризонтную подготовку.</t>
  </si>
  <si>
    <t xml:space="preserve">   Подтвердите Ваше умение проводить вычисления в Excel !</t>
  </si>
  <si>
    <t>Показатель наличия выработки</t>
  </si>
  <si>
    <t xml:space="preserve">         отработанной лавы (так называемое повторное использование выработки).</t>
  </si>
  <si>
    <t xml:space="preserve">  Обратите внимание, что при схеме проветривания 3-В  свежая воздушная струя подается в лаву от вентиляционной </t>
  </si>
  <si>
    <t>выработки. При этом по транспортной выработке должна подаваться так называемая "подсвежающая" воздушная струя!</t>
  </si>
  <si>
    <t xml:space="preserve"> рассмотреть возможность применения механизированного комплекса и выбрать </t>
  </si>
  <si>
    <t>Нормы выработки на передвижку домкратов конвейерного става при струговой выемке  (число передвижек/чел.см)</t>
  </si>
  <si>
    <t>до 0,85</t>
  </si>
  <si>
    <t>0,86 и более</t>
  </si>
  <si>
    <t>Gст = 16,5*m + 14,5</t>
  </si>
  <si>
    <t>Комбинированная прямой ход, движение воздуха по лаве от транспортной выработки к вентиляционной и далее на выработанное пространство. Вентиляционная выработка  проводится за лавой вприсечку к выработанному пространству, Транспортная выработка  проведена заранее, за лавой не погашается. Участок выработки впереди лавы проветривается от фланговой выработки.</t>
  </si>
  <si>
    <t>Номер строки в табл.№2 "Нормы выработки, костер" (костры клетевые)</t>
  </si>
  <si>
    <t>Комбинированная обратный ход, движение воздуха по лаве от транспортной выработки к вентиляционной и далее на массив. Вентиляционная выработка проведена заранее через целик менее  Lоп, за лавой погашается. Транспортная выработка проведена заранее, за лавой не погашается.  Угольный поток направлен к фланговой транспортной выработке.</t>
  </si>
  <si>
    <t>Одна стойка под ранее уложенный верхняк</t>
  </si>
  <si>
    <t>Нормы выработки на крепление очистных забоев и нарезных выработок деревянной крепью (одна стойка под ранее уложенный верхняк)</t>
  </si>
  <si>
    <t>Длина лавы, м</t>
  </si>
  <si>
    <t>ОБРАТНО</t>
  </si>
  <si>
    <t>Категория устойчивости кровли (Номер категории, смотри таблицу "Категории пород" )</t>
  </si>
  <si>
    <t xml:space="preserve"> Условия эксплуатации  мехкрепи</t>
  </si>
  <si>
    <t>Спокойная гипсометрия пласта с углом падения до 12 градусов или крепь работает менее 10 месяцев или 2-х сменный режим работы</t>
  </si>
  <si>
    <t xml:space="preserve">           Программа составлена на основании методики ИГД им А.А. Скочинского </t>
  </si>
  <si>
    <t xml:space="preserve">          "Нагрузки на очистные забои действующих угольных шахт при различных </t>
  </si>
  <si>
    <t>необходимо внести наименование типа принятого оборудования и его номер в соответствующей таблице.</t>
  </si>
  <si>
    <t xml:space="preserve">    Ниши крепятся индивидуальной металлической крепью - гидравлические стойки и шарнирные верхняки.</t>
  </si>
  <si>
    <t>Во многих случаях в качестве верхняка применяют шпальный брус. Длина верхняка для крепления над головкой</t>
  </si>
  <si>
    <t>конвейера 3,5 - 4,0 метра.</t>
  </si>
  <si>
    <t xml:space="preserve">  Стойки гидравлические</t>
  </si>
  <si>
    <t xml:space="preserve"> на струговую лаву.  Расчет выполнен по программе strug.xls</t>
  </si>
  <si>
    <t>Уст-ка стоек дер.крепи на комплектах над конвейером, м3</t>
  </si>
  <si>
    <t>Стойки усиления(ремонтины),м3</t>
  </si>
  <si>
    <t>Расход дерева, м3/цикл</t>
  </si>
  <si>
    <t>Стоимость 1 куба крепежного леса,грн</t>
  </si>
  <si>
    <t>Расход дерева, грн/цикл</t>
  </si>
  <si>
    <t>Принятый расход дерева, грн/цикл</t>
  </si>
  <si>
    <t>Применение для крепления ниши только мет. верхняков</t>
  </si>
  <si>
    <t>Дер.верхняки для крепления в месте охраны выработки за головкой конвейера, м3</t>
  </si>
  <si>
    <t>0,36-0,44</t>
  </si>
  <si>
    <t>0,45 и   &gt;</t>
  </si>
  <si>
    <t>следует рассмотреть возможность применения в данных условиях иной схемы проветривания выемочного участка, т.е. системы разработки.</t>
  </si>
  <si>
    <t>При этом следует иметь в виду, что изменение варианта системы разработки окажет влияние на Ваши предыдущие расчеты,</t>
  </si>
  <si>
    <t xml:space="preserve">в частности, на величину нагрузки на лаву по возможностям оборудования (возможно потребуются иные размеры ниш, погашаемость </t>
  </si>
  <si>
    <t>Если применение дегазации пласта и дегазации выработанного пространства, по Вашему мнению, оказались  недостаточными,</t>
  </si>
  <si>
    <t>Вынос головки на вентиляционной выр-ке, м</t>
  </si>
  <si>
    <t>Комбинированная прямой ход, движение воздуха по лаве от транспортной выработки к вентиляционной и далее на выработанное пространство. Вентиляционная выработка проводится за лавой вприсечку к выработанному пространству. Транспортная выработка проведена заранее, за лавой не погашается, участок ее впереди лавы проветривается от фланговой выработки.</t>
  </si>
  <si>
    <t>Промежуточные вычисления производительности струговой установки</t>
  </si>
  <si>
    <t xml:space="preserve">Данные о механизированных крепях, входящих в состав струговых комплексов </t>
  </si>
  <si>
    <t>Максимальная ширина призабойного пространства, поддерживаемого крепью, B max, м</t>
  </si>
  <si>
    <t xml:space="preserve"> Некоторые данные о механизированных крепях струговых комплексов</t>
  </si>
  <si>
    <t>все периодически повторяющиеся технологические перерывы</t>
  </si>
  <si>
    <t>Определение величины  lуст по формуле 72</t>
  </si>
  <si>
    <t>12. При окончательном выборе оборудования следует обратить внимание на длину комбайна, принимая комбайн по возможности меньших размеров.</t>
  </si>
  <si>
    <t>М</t>
  </si>
  <si>
    <t>Е</t>
  </si>
  <si>
    <t>Н</t>
  </si>
  <si>
    <t>2.66-3.00</t>
  </si>
  <si>
    <t>под все стойки</t>
  </si>
  <si>
    <t>до 2м.</t>
  </si>
  <si>
    <t>3.01-3.30</t>
  </si>
  <si>
    <t>под одну стойку</t>
  </si>
  <si>
    <t>2.1-3</t>
  </si>
  <si>
    <t>3.31-3.60</t>
  </si>
  <si>
    <t>3.1-и более</t>
  </si>
  <si>
    <t>3.61-3.90</t>
  </si>
  <si>
    <t>3.91-4.20</t>
  </si>
  <si>
    <t>4.21-4.50</t>
  </si>
  <si>
    <t>значение затрат на поддержание в зоне 2(для 2-й выр-ки)</t>
  </si>
  <si>
    <t>значение затрат на поддержание в зоне 3(для 2-й выр-ки)</t>
  </si>
  <si>
    <t xml:space="preserve">       До начала работы с программой Вам предлагается ответить на ряд вопросов.</t>
  </si>
  <si>
    <t>Норма обслу-жива-ния, чел.смена</t>
  </si>
  <si>
    <t>Попра-вочный коэффи-циент</t>
  </si>
  <si>
    <t>1,26-1,60</t>
  </si>
  <si>
    <t>1,61 и более</t>
  </si>
  <si>
    <t>41,1-46,0</t>
  </si>
  <si>
    <t>до 24</t>
  </si>
  <si>
    <t>25-45</t>
  </si>
  <si>
    <t>46 и &gt;</t>
  </si>
  <si>
    <t>до 0,378</t>
  </si>
  <si>
    <t>Бурение шпуров для нагнетания воды в пласт (для всей лавы)</t>
  </si>
  <si>
    <t xml:space="preserve"> Наличие в угольном пласте включений колчедана или пирита в количестве большем 10 на 100м; или  суммарная мощность прослойков более 10% мощности пласта; или комбайном добыто после капитального ремонта свыше 200 тыс.т</t>
  </si>
  <si>
    <t>Ниже приведена таблица расчета штата рабочих лавы</t>
  </si>
  <si>
    <r>
      <t>средние затраты времени на работы, обусловленные местными обрушениями нижних слоев кровли, с/секция    t</t>
    </r>
    <r>
      <rPr>
        <b/>
        <vertAlign val="subscript"/>
        <sz val="10"/>
        <color indexed="10"/>
        <rFont val="Arial Cyr"/>
        <charset val="204"/>
      </rPr>
      <t>кр</t>
    </r>
    <r>
      <rPr>
        <b/>
        <vertAlign val="superscript"/>
        <sz val="10"/>
        <color indexed="10"/>
        <rFont val="Arial Cyr"/>
        <charset val="204"/>
      </rPr>
      <t>уд</t>
    </r>
  </si>
  <si>
    <r>
      <t>число секций в каждой группе обособленно перемещаемых секций крепи  n</t>
    </r>
    <r>
      <rPr>
        <b/>
        <vertAlign val="subscript"/>
        <sz val="10"/>
        <color indexed="10"/>
        <rFont val="Arial Cyr"/>
        <charset val="204"/>
      </rPr>
      <t>сгр</t>
    </r>
  </si>
  <si>
    <r>
      <t>величина t</t>
    </r>
    <r>
      <rPr>
        <b/>
        <vertAlign val="subscript"/>
        <sz val="10"/>
        <color indexed="10"/>
        <rFont val="Arial Cyr"/>
        <charset val="204"/>
      </rPr>
      <t>кр</t>
    </r>
    <r>
      <rPr>
        <b/>
        <vertAlign val="superscript"/>
        <sz val="10"/>
        <color indexed="10"/>
        <rFont val="Arial Cyr"/>
        <charset val="204"/>
      </rPr>
      <t>уд</t>
    </r>
    <r>
      <rPr>
        <b/>
        <sz val="10"/>
        <color indexed="10"/>
        <rFont val="Arial Cyr"/>
        <charset val="204"/>
      </rPr>
      <t>*n</t>
    </r>
    <r>
      <rPr>
        <b/>
        <vertAlign val="subscript"/>
        <sz val="10"/>
        <color indexed="10"/>
        <rFont val="Arial Cyr"/>
        <charset val="204"/>
      </rPr>
      <t>сгр</t>
    </r>
    <r>
      <rPr>
        <b/>
        <sz val="10"/>
        <color indexed="10"/>
        <rFont val="Arial Cyr"/>
        <charset val="204"/>
      </rPr>
      <t>/60 в формуле 76, мин</t>
    </r>
  </si>
  <si>
    <r>
      <t xml:space="preserve">Средняя скорость передвижки  фронта крепи за подвиганием забоя, м/мин при мехкрепи  </t>
    </r>
    <r>
      <rPr>
        <b/>
        <sz val="12"/>
        <color indexed="10"/>
        <rFont val="Arial Cyr"/>
        <charset val="204"/>
      </rPr>
      <t>v</t>
    </r>
    <r>
      <rPr>
        <b/>
        <vertAlign val="subscript"/>
        <sz val="12"/>
        <color indexed="10"/>
        <rFont val="Arial Cyr"/>
        <charset val="204"/>
      </rPr>
      <t xml:space="preserve">крф  </t>
    </r>
    <r>
      <rPr>
        <b/>
        <sz val="12"/>
        <color indexed="10"/>
        <rFont val="Arial Cyr"/>
        <charset val="204"/>
      </rPr>
      <t xml:space="preserve"> (ф. 76)</t>
    </r>
  </si>
  <si>
    <r>
      <t xml:space="preserve">затраты времени на оформление забоя и установку комплекта индивидуальной крепи, мин (по ЕНВ)  </t>
    </r>
    <r>
      <rPr>
        <b/>
        <sz val="12"/>
        <rFont val="Arial Cyr"/>
        <charset val="204"/>
      </rPr>
      <t xml:space="preserve"> Т</t>
    </r>
    <r>
      <rPr>
        <b/>
        <vertAlign val="subscript"/>
        <sz val="12"/>
        <rFont val="Arial Cyr"/>
        <charset val="204"/>
      </rPr>
      <t>ук</t>
    </r>
    <r>
      <rPr>
        <b/>
        <vertAlign val="superscript"/>
        <sz val="12"/>
        <rFont val="Arial Cyr"/>
        <charset val="204"/>
      </rPr>
      <t>и</t>
    </r>
  </si>
  <si>
    <r>
      <t xml:space="preserve">число комплектов крепи, устанавливаемых одним рабочим на каждом участке  </t>
    </r>
    <r>
      <rPr>
        <b/>
        <sz val="14"/>
        <rFont val="Arial Cyr"/>
        <charset val="204"/>
      </rPr>
      <t>n</t>
    </r>
    <r>
      <rPr>
        <b/>
        <vertAlign val="subscript"/>
        <sz val="14"/>
        <rFont val="Arial Cyr"/>
        <charset val="204"/>
      </rPr>
      <t>к</t>
    </r>
    <r>
      <rPr>
        <b/>
        <vertAlign val="superscript"/>
        <sz val="14"/>
        <rFont val="Arial Cyr"/>
        <charset val="204"/>
      </rPr>
      <t>и</t>
    </r>
  </si>
  <si>
    <t>Допустимая нагрузка на лаву по условиям проветривания вычисляется из условий:</t>
  </si>
  <si>
    <r>
      <t>Вместимость пневмонагнетателя, м</t>
    </r>
    <r>
      <rPr>
        <vertAlign val="superscript"/>
        <sz val="11"/>
        <rFont val="Calibri"/>
        <family val="2"/>
        <charset val="204"/>
      </rPr>
      <t>3</t>
    </r>
  </si>
  <si>
    <t>Принятая трудоемкость, чел/смена</t>
  </si>
  <si>
    <t>Извлечение металлических стоек индивидуальной крепи на комплектах расположенных над головкой конвейера</t>
  </si>
  <si>
    <t>Норма выработки табличная, стоек</t>
  </si>
  <si>
    <t>Поправочные коэффициенты:</t>
  </si>
  <si>
    <t>Стойка после извлечения переносится на расстояние до 1,5м ( 0-нет, 1-да)</t>
  </si>
  <si>
    <t>на относку стоек</t>
  </si>
  <si>
    <t>Масса ВВ в 1 шпуре,кг</t>
  </si>
  <si>
    <t>Расход на цикл, кг</t>
  </si>
  <si>
    <t>Стоимость ВВ, грн/кг</t>
  </si>
  <si>
    <t>Расход ВВ на цикл, грн</t>
  </si>
  <si>
    <t>Принятый расход ВВ на цикл, грн</t>
  </si>
  <si>
    <t>Электродетонаторы</t>
  </si>
  <si>
    <t>Расход на цикл, шт</t>
  </si>
  <si>
    <t>Стоимость ЭД, грн/шт</t>
  </si>
  <si>
    <t>Расход ЭД на цикл, грн</t>
  </si>
  <si>
    <t>Принятый расход ЭД на цикл, грн</t>
  </si>
  <si>
    <t>Резцы для электросверел</t>
  </si>
  <si>
    <t>Норма расхода в месяц, шт</t>
  </si>
  <si>
    <t>Стоимость резца, грн</t>
  </si>
  <si>
    <t>Затраты на резцы грн/цикл</t>
  </si>
  <si>
    <t>Принятые затраты на резцы грн/цикл</t>
  </si>
  <si>
    <t>Пики для отбойных молотков</t>
  </si>
  <si>
    <t xml:space="preserve">Верхняя ниша </t>
  </si>
  <si>
    <t xml:space="preserve">                      Таблица  6  Принятое в проекте оборудования лав по пластам</t>
  </si>
  <si>
    <t>Принятая норма выработки</t>
  </si>
  <si>
    <t>Нормы выработки и нормы обслуживания комплекса при выемке угля комбайном по челноковой схеме и неустойчивой кровле</t>
  </si>
  <si>
    <t>табл. 28 ЕНВ 1993г</t>
  </si>
  <si>
    <t>Среднесуточный расход  основных материалов</t>
  </si>
  <si>
    <t>Шпальный брус, м3</t>
  </si>
  <si>
    <t>Деревянные стойки, м3</t>
  </si>
  <si>
    <t>Ремонтины, м3</t>
  </si>
  <si>
    <t>Гидростойки, т</t>
  </si>
  <si>
    <t>Верхняк металлический, т</t>
  </si>
  <si>
    <t xml:space="preserve">ВВ, кг </t>
  </si>
  <si>
    <t>При прочих равных условиях минимальная необходимая плотности установки крепи с ростом ширины призабойного пространства возрастает - 1, или уменьшается - 2, или остается неизменной - 3?</t>
  </si>
  <si>
    <r>
      <t xml:space="preserve">       g</t>
    </r>
    <r>
      <rPr>
        <i/>
        <vertAlign val="subscript"/>
        <sz val="12"/>
        <rFont val="Arial Cyr"/>
        <charset val="204"/>
      </rPr>
      <t>ст</t>
    </r>
    <r>
      <rPr>
        <i/>
        <sz val="12"/>
        <rFont val="Arial Cyr"/>
        <charset val="204"/>
      </rPr>
      <t xml:space="preserve"> - несущая способность гидростойки, МН  (0,3 МН)</t>
    </r>
  </si>
  <si>
    <t>В каком случае, при прочих равных условиях,  расстояние в посадочном ряду стоек может быть большим? При использовании крепи СПУТНИУ - 1, или при использовании тумб ОКУ - 2</t>
  </si>
  <si>
    <r>
      <t xml:space="preserve">     Минимальная необходимая высота посадочной стойки   </t>
    </r>
    <r>
      <rPr>
        <b/>
        <i/>
        <sz val="12"/>
        <rFont val="Arial Cyr"/>
        <charset val="204"/>
      </rPr>
      <t>H</t>
    </r>
    <r>
      <rPr>
        <b/>
        <i/>
        <vertAlign val="subscript"/>
        <sz val="12"/>
        <rFont val="Arial Cyr"/>
        <charset val="204"/>
      </rPr>
      <t>min</t>
    </r>
    <r>
      <rPr>
        <i/>
        <sz val="12"/>
        <rFont val="Arial Cyr"/>
        <charset val="204"/>
      </rPr>
      <t xml:space="preserve"> =</t>
    </r>
  </si>
  <si>
    <r>
      <t xml:space="preserve">Максимальная необходимая высота посадочной стойки  </t>
    </r>
    <r>
      <rPr>
        <b/>
        <i/>
        <sz val="12"/>
        <rFont val="Arial Cyr"/>
        <charset val="204"/>
      </rPr>
      <t>Н</t>
    </r>
    <r>
      <rPr>
        <b/>
        <i/>
        <vertAlign val="subscript"/>
        <sz val="12"/>
        <rFont val="Arial Cyr"/>
        <charset val="204"/>
      </rPr>
      <t>max</t>
    </r>
    <r>
      <rPr>
        <i/>
        <sz val="12"/>
        <rFont val="Arial Cyr"/>
        <charset val="204"/>
      </rPr>
      <t xml:space="preserve"> =</t>
    </r>
  </si>
  <si>
    <t>Поправочный коэффициент (только на извлечение вручную):</t>
  </si>
  <si>
    <t>на вид арки</t>
  </si>
  <si>
    <t>Применение для крепления ниши металлических  верхняков</t>
  </si>
  <si>
    <t>Комбинированная обратный ход, проветривание от вентиляционной выработки  к транспортной и далее на выработанное пространство. Вентиляционная выработка проведена ранее через целик более  Lоп , за лавой не погашается. Транспортная выработка  проведена ранее и не погашается. Подсвежающая струя - к фланговой выработке.</t>
  </si>
  <si>
    <t xml:space="preserve">                                    </t>
  </si>
  <si>
    <t xml:space="preserve"> Отчет о выполнении расчетов по определению нагрузки </t>
  </si>
  <si>
    <t>по методике ИГД им. А.А.Скочинского</t>
  </si>
  <si>
    <t>Производительность установки относительно сопротивляемости угля резанию, т/мин</t>
  </si>
  <si>
    <t>Вычисленные значения для выбора комплекса</t>
  </si>
  <si>
    <t>Допустимая величина сопротивления поддерживающей части крепи, определяемая по классификации ДонУГИ,    Р, МПа</t>
  </si>
  <si>
    <t>Р</t>
  </si>
  <si>
    <t>При выборе типа скребкового конвейера</t>
  </si>
  <si>
    <t>Количество мешков для литой полосы, шт/м</t>
  </si>
  <si>
    <t>Средняя глубина ведения горных работ, м для расчета нагрузки по вентиляции</t>
  </si>
  <si>
    <t xml:space="preserve">     µ1*  -  коэффициент готовности забоя по группе последовательных перерывов без учета ограничений , обусловленных процессом крепления, совмещенным с очистной выемкой</t>
  </si>
  <si>
    <t>Дробление негабарита</t>
  </si>
  <si>
    <r>
      <t>шаг передвижки секций мехкрепи после подвигания забоя на величину l</t>
    </r>
    <r>
      <rPr>
        <vertAlign val="subscript"/>
        <sz val="11"/>
        <rFont val="Times New Roman Cyr"/>
        <charset val="204"/>
      </rPr>
      <t xml:space="preserve">ш.з </t>
    </r>
    <r>
      <rPr>
        <sz val="11"/>
        <rFont val="Times New Roman Cyr"/>
        <charset val="204"/>
      </rPr>
      <t>, lшс  (по таблице в строке 3104)</t>
    </r>
  </si>
  <si>
    <r>
      <t xml:space="preserve">минимальное время устойчивости нижних слоев кровли, незакрепленной у забоя, мин  </t>
    </r>
    <r>
      <rPr>
        <sz val="12"/>
        <rFont val="Arial Cyr"/>
        <charset val="204"/>
      </rPr>
      <t xml:space="preserve"> t</t>
    </r>
    <r>
      <rPr>
        <vertAlign val="subscript"/>
        <sz val="12"/>
        <rFont val="Arial Cyr"/>
        <charset val="204"/>
      </rPr>
      <t>у</t>
    </r>
  </si>
  <si>
    <t>переходить к выполнению следующих разделов проекта.</t>
  </si>
  <si>
    <t xml:space="preserve">          Согласно инструкции по выполнению курсового проекта детальные вычисления проводятся  только</t>
  </si>
  <si>
    <t xml:space="preserve">для одного из заданных пластов. </t>
  </si>
  <si>
    <t>Укажите индекс пласта, для которого согласно заданию расчеты выполняются детально</t>
  </si>
  <si>
    <t>Минимальная мощность пласта, м</t>
  </si>
  <si>
    <t>Максимальная мощность пласта, м</t>
  </si>
  <si>
    <t>И так, детально вычисления в курсовом проекте выполняются в следующих условиях</t>
  </si>
  <si>
    <t>Нормы выработки и нормы обслуживания комплекса при выемке угля комбайном по челноковой схеме</t>
  </si>
  <si>
    <t>табл. 25 ЕНВ 1993г</t>
  </si>
  <si>
    <t>Нормы выработки и нормы обслуживания комплекса при выемке угля комбайном по односторонней схеме и устойчивой кровле</t>
  </si>
  <si>
    <t>Группа средних рабочихскоростей подачи комбайна</t>
  </si>
  <si>
    <t>2,11 и более</t>
  </si>
  <si>
    <r>
      <t xml:space="preserve">                      Приемная способность, м</t>
    </r>
    <r>
      <rPr>
        <vertAlign val="superscript"/>
        <sz val="10"/>
        <rFont val="Arial Cyr"/>
        <family val="2"/>
        <charset val="204"/>
      </rPr>
      <t>3</t>
    </r>
    <r>
      <rPr>
        <sz val="10"/>
        <rFont val="Arial Cyr"/>
        <charset val="204"/>
      </rPr>
      <t>/мин</t>
    </r>
  </si>
  <si>
    <r>
      <t>Б</t>
    </r>
    <r>
      <rPr>
        <vertAlign val="subscript"/>
        <sz val="10"/>
        <rFont val="Arial Cyr"/>
        <family val="2"/>
        <charset val="204"/>
      </rPr>
      <t>1-2</t>
    </r>
  </si>
  <si>
    <r>
      <t>Б</t>
    </r>
    <r>
      <rPr>
        <vertAlign val="subscript"/>
        <sz val="10"/>
        <rFont val="Arial Cyr"/>
        <family val="2"/>
        <charset val="204"/>
      </rPr>
      <t>3-4</t>
    </r>
  </si>
  <si>
    <r>
      <t>Б</t>
    </r>
    <r>
      <rPr>
        <vertAlign val="subscript"/>
        <sz val="10"/>
        <rFont val="Arial Cyr"/>
        <family val="2"/>
        <charset val="204"/>
      </rPr>
      <t>4-5</t>
    </r>
  </si>
  <si>
    <r>
      <t>Б</t>
    </r>
    <r>
      <rPr>
        <vertAlign val="subscript"/>
        <sz val="10"/>
        <rFont val="Arial Cyr"/>
        <family val="2"/>
        <charset val="204"/>
      </rPr>
      <t>5-4</t>
    </r>
  </si>
  <si>
    <r>
      <t>Б</t>
    </r>
    <r>
      <rPr>
        <vertAlign val="subscript"/>
        <sz val="10"/>
        <rFont val="Arial Cyr"/>
        <family val="2"/>
        <charset val="204"/>
      </rPr>
      <t>5</t>
    </r>
  </si>
  <si>
    <t>1. Высота секции механизированной крепи в сдвинутом состоянии должна быть меньше</t>
  </si>
  <si>
    <t xml:space="preserve"> минимальной мощности пласта;</t>
  </si>
  <si>
    <t xml:space="preserve">2. Величина свободного пространства между корпусом выемочной машины и перекрытием </t>
  </si>
  <si>
    <t xml:space="preserve">           горизонтальную линию - линия глубины подъемного горизонта.</t>
  </si>
  <si>
    <t xml:space="preserve">                        Значение указанных величин в Вашем случае:</t>
  </si>
  <si>
    <t>Угол падения пластов, градус</t>
  </si>
  <si>
    <t>Размер шахтного  поля по падению, м</t>
  </si>
  <si>
    <r>
      <t xml:space="preserve">Горизонтальное расстояние между крайними пластами  </t>
    </r>
    <r>
      <rPr>
        <b/>
        <sz val="12"/>
        <rFont val="Times New Roman"/>
        <family val="1"/>
        <charset val="204"/>
      </rPr>
      <t xml:space="preserve"> L</t>
    </r>
    <r>
      <rPr>
        <b/>
        <vertAlign val="subscript"/>
        <sz val="12"/>
        <rFont val="Times New Roman"/>
        <family val="1"/>
        <charset val="204"/>
      </rPr>
      <t xml:space="preserve">кв, </t>
    </r>
    <r>
      <rPr>
        <sz val="12"/>
        <rFont val="Times New Roman"/>
        <family val="1"/>
        <charset val="204"/>
      </rPr>
      <t>м</t>
    </r>
  </si>
  <si>
    <r>
      <t xml:space="preserve">Глубина  начала работ </t>
    </r>
    <r>
      <rPr>
        <b/>
        <sz val="12"/>
        <rFont val="Times New Roman"/>
        <family val="1"/>
        <charset val="204"/>
      </rPr>
      <t>h</t>
    </r>
    <r>
      <rPr>
        <b/>
        <vertAlign val="subscript"/>
        <sz val="12"/>
        <rFont val="Times New Roman"/>
        <family val="1"/>
        <charset val="204"/>
      </rPr>
      <t>0</t>
    </r>
    <r>
      <rPr>
        <sz val="12"/>
        <rFont val="Times New Roman"/>
        <family val="1"/>
        <charset val="204"/>
      </rPr>
      <t>,  м</t>
    </r>
  </si>
  <si>
    <t xml:space="preserve">действующие,  т.е. лавы, которые работают только одну смену в сутки. </t>
  </si>
  <si>
    <t>Тип конвейера 1 - ЛУ80(1,6), 2 - 1ЛУ80(2), 3 - 1ЛТ80У(1,6), 4 - 1ЛТ80У(2), 5 - 2Л80У(1,6), 6 - 2Л80У(2), 7 -2ЛТ80У(1,6), 8 - 2ДТ80У(2), 9 - 2ЛБ120М(1,6), 10 - 2ЛБ120М(2)</t>
  </si>
  <si>
    <r>
      <t xml:space="preserve">Сопротивление посадочного ряда крепи </t>
    </r>
    <r>
      <rPr>
        <b/>
        <sz val="10"/>
        <color indexed="8"/>
        <rFont val="Times New Roman"/>
        <family val="1"/>
        <charset val="204"/>
      </rPr>
      <t xml:space="preserve"> Рпос</t>
    </r>
    <r>
      <rPr>
        <sz val="10"/>
        <color indexed="8"/>
        <rFont val="Times New Roman"/>
        <family val="1"/>
        <charset val="204"/>
      </rPr>
      <t>, МН/м</t>
    </r>
  </si>
  <si>
    <t>Категория шахты по метану (1, 2, 3, 4 - сверхкатегорная)</t>
  </si>
  <si>
    <t>Средняя плотность породных прослойков в пласте, т/м3</t>
  </si>
  <si>
    <t>К103М</t>
  </si>
  <si>
    <t>КА80</t>
  </si>
  <si>
    <t>ГШ200В</t>
  </si>
  <si>
    <t>1К101У</t>
  </si>
  <si>
    <t>2КД90</t>
  </si>
  <si>
    <t>РКУ10</t>
  </si>
  <si>
    <t>1ГШ68</t>
  </si>
  <si>
    <t>2КД90Т</t>
  </si>
  <si>
    <t xml:space="preserve">  Сущность расчета допустимой нагрузки на лаву по условиям проветривания заключается в </t>
  </si>
  <si>
    <t xml:space="preserve">следующем - максимальная нагрузка на лаву должна быть такой, при которой скорость воздушной </t>
  </si>
  <si>
    <t xml:space="preserve">струи в лаве не превышает допустимую (при нахождении в лаве рабочих это 4 м/с) и при этом </t>
  </si>
  <si>
    <t xml:space="preserve">процентное содержание метана в исходящей из лавы струе воздуха не должно превышать 1%. </t>
  </si>
  <si>
    <t>Суммарная мощность породных прослойков в пласте, м</t>
  </si>
  <si>
    <t>Результаты вычисления  производительности комбайна</t>
  </si>
  <si>
    <t xml:space="preserve">При панельной подготовке, независимо от вида системы разработки,  учитываются затраты на проведение, </t>
  </si>
  <si>
    <t>Число рядов костров у выработки при ее охране, шт</t>
  </si>
  <si>
    <t>Число рядов органной крепи у выработки при охране, шт</t>
  </si>
  <si>
    <t>Число рабочих дней в месяце</t>
  </si>
  <si>
    <t>Способ управления кровлей в проектируемой лаве (1 -полное обрушение, 2 - полная закладка, 3 - плавное опускание, 4 - частичная закладка)</t>
  </si>
  <si>
    <t>Правилами технической эксплуатации шахт предусматривают кроме действующих лав и резервно-</t>
  </si>
  <si>
    <t xml:space="preserve">Транспортная выработка в период эксплуатации, проведена заранее в массиве  </t>
  </si>
  <si>
    <t>Транспортная  выработка, проводится вместе с лавой, примыкает к массиву угля</t>
  </si>
  <si>
    <t>Вентиляционная выработка в период эксплуатации, проведена заранее, от выработанного пространства отделена целиком угля с размером более зоны опорного давления</t>
  </si>
  <si>
    <t>Вычисления по выработке № 5</t>
  </si>
  <si>
    <t>Поправочный коэфициент</t>
  </si>
  <si>
    <t>Угол</t>
  </si>
  <si>
    <t>Поправочный коэффициет</t>
  </si>
  <si>
    <t>Суммарные затраты  5-я выработка  руб/т  (погоризонтная)</t>
  </si>
  <si>
    <t>Стоимость средств охраны,6-я выработка руб/м</t>
  </si>
  <si>
    <t>Стоимость проведения 1 м, руб  6-я выработка</t>
  </si>
  <si>
    <t>затраты на поддерж в 2 зоне, руб  (панельная)</t>
  </si>
  <si>
    <t>затраты на поддерж в 2 зоне, руб  (погоризонтная)</t>
  </si>
  <si>
    <t>Суммарные затраты 6-я выработка, руб/т  (панельная)</t>
  </si>
  <si>
    <t>Суммарные затраты 6-я выработка, руб/т  (погоризонтная)</t>
  </si>
  <si>
    <t>очистные работы в лаве руб/т</t>
  </si>
  <si>
    <t>Стоимость проведения 1 м ходка, руб</t>
  </si>
  <si>
    <t>Стоимость проведения 1 м уклона, руб</t>
  </si>
  <si>
    <t>Стоимость проведения ходков, руб</t>
  </si>
  <si>
    <t>Стоимость проведения уклона, руб</t>
  </si>
  <si>
    <t>Стоимость проведения 1 м3 приемной площадки руб/м3</t>
  </si>
  <si>
    <t>Стоимость проведения 1 м3 лебедочной камеры руб/м3</t>
  </si>
  <si>
    <t>Стоимость проведения приемных площадок, руб</t>
  </si>
  <si>
    <t>Стоимость проведения лебедочных камер, руб</t>
  </si>
  <si>
    <t>Суммарные затраты на комплекс наклонных выработок центральных, руб</t>
  </si>
  <si>
    <t>Суммарные затраты на комплекс наклонных выработок с фланговыми ходками, руб</t>
  </si>
  <si>
    <t>Суммарные затраты на комплекс наклонных выработок с фланговыми ходками, руб/т</t>
  </si>
  <si>
    <t>Суммарные затраты на комплекс наклонных выработок центральных, руб/т</t>
  </si>
  <si>
    <t>стоимость проведения 1 м пластового штрека, руб/м</t>
  </si>
  <si>
    <t>Стоимость проведения пластового магистрального штека, руб</t>
  </si>
  <si>
    <t>Удельные затраты на проведение пластового магистрального штрека, руб/т</t>
  </si>
  <si>
    <t>Суммарные затраты на проведение комплекса магистральнызх и наклонных выработок при панельной подготовке, руб/т</t>
  </si>
  <si>
    <t>Принятое значение, руб/т</t>
  </si>
  <si>
    <t>Средние затраты на поддержание 1 м ходка  в год руб/м.год в 1 зоне с учетом поправочного коэффициента</t>
  </si>
  <si>
    <t>Средние затраты на поддержание 1 м уклона в год руб/м.год в 1 зоне с учетом поправочного коэффициента</t>
  </si>
  <si>
    <t>Средние затраты на поддержание 1 м ходка в год руб/м.год в 4 зоне с учетом поправочного коэффициента</t>
  </si>
  <si>
    <t>Средние затраты на поддержание 1 м уклона в год руб/м.год в 4 зоне с учетом поправочного коэффициента</t>
  </si>
  <si>
    <t>затраты на поддержание наклонных выработок центральных, руб/т.</t>
  </si>
  <si>
    <t>затраты на поддержание наклонных выработок при наличии фланговых, руб/т.</t>
  </si>
  <si>
    <t>суммарные затраты на поддержание магистральных и наклонных выработок, руб/т</t>
  </si>
  <si>
    <t>Тарифная ставка рабочего подземного транспорта, руб/смена Тс</t>
  </si>
  <si>
    <t>Удельные затраты, принятые в расчетах  руб/т</t>
  </si>
  <si>
    <t>удельные затраты при двух лавах в панели с учетом обслуживания фланговых выработок  руб/т</t>
  </si>
  <si>
    <t>удельные затраты при одной лаве в панели руб/т</t>
  </si>
  <si>
    <t>Общие затраты на эксплуатацию одной выработки, руб</t>
  </si>
  <si>
    <t>Удельные затраты на обслуживание одной фланговой выработки, руб/т</t>
  </si>
  <si>
    <t>Удельные затраты на обслуживание всех фланговых выработок панели, руб/т</t>
  </si>
  <si>
    <t>Удельные затраты на транспорт угля по магистральному штреку, руб/т</t>
  </si>
  <si>
    <t>Суммарные затраты на конвейерный транспорт по горизонту, руб/т</t>
  </si>
  <si>
    <t>удельные затраты на вспомогательный транспорт, руб/т</t>
  </si>
  <si>
    <t>Суммарнве улельные затраты при конвейерном транспорте, руб/т</t>
  </si>
  <si>
    <t>Удельные затраты на локомот транспорт с учетом вспомогательного, руб/т</t>
  </si>
  <si>
    <t>Принятая в рвсчетах величина удельных затрат по магистральному транспорту, руб/т</t>
  </si>
  <si>
    <t>Стоимость проведения 1 м полевого штрека, руб</t>
  </si>
  <si>
    <t>Стоимость проведения 1 м пластового штрека, руб</t>
  </si>
  <si>
    <t>Стоимость проведения 1 м дренажного  штрека, руб</t>
  </si>
  <si>
    <t>Стоимость проведения 1 м дренажного ходка, руб</t>
  </si>
  <si>
    <t>Стоимость проведения 1 м угольного уклона, руб/м</t>
  </si>
  <si>
    <t>Стоимость проведения пластовых магистральных штекаов, руб</t>
  </si>
  <si>
    <t>Стоимость проведения полевого магистрального  штрека, руб</t>
  </si>
  <si>
    <t>Стоимость проведения  дренажного  штрека, руб</t>
  </si>
  <si>
    <t>Стоимость проведения дренажного ходка, руб</t>
  </si>
  <si>
    <t>Стоимость проведения угольного уклона, руб</t>
  </si>
  <si>
    <t>Стоимость проведения приемных площадок  (сопряжений), руб</t>
  </si>
  <si>
    <t>Суммарные затраты на комплекс магистральных выработок, наклонных выработок, приемных площадок, руб</t>
  </si>
  <si>
    <t>Суммарные затраты на комплекс магистральных выработок, наклонных выработок, приемных площадок, руб/т</t>
  </si>
  <si>
    <t>Принятое значение, руб</t>
  </si>
  <si>
    <t>Удельные затраты на транспорт угля поквершлагу, руб/т</t>
  </si>
  <si>
    <t>Затраты на транспорт угля по магистральному штреку и квершлагу, руб/т</t>
  </si>
  <si>
    <t>Затраты на перевозку угля по горизонту, руб</t>
  </si>
  <si>
    <t>Удельные затраты на перевоку угля по уклону, руб/т</t>
  </si>
  <si>
    <t>суммарные затраты на транспорт и водоотлив по магистральным и наклонным выработкам руб/т</t>
  </si>
  <si>
    <t>Стоимость 1 м разрезной печи, руб/м  (БВР)</t>
  </si>
  <si>
    <t>Стоимость 1 м разрезной печи, руб/м  (Комбайн)</t>
  </si>
  <si>
    <t>Принятые в расчетах затраты на 1 м, руб</t>
  </si>
  <si>
    <t>Затраты на проведение разрезной печи, руб</t>
  </si>
  <si>
    <t>Удельные затраты руб/т</t>
  </si>
  <si>
    <t>Затраты на монтаж и демонтаж лавы, руб</t>
  </si>
  <si>
    <t>Направление свежей струи вдоль выработки совпадает с направлением подвигания лавы - 1, или направлен в сторону противоположную подвигания лавы - 2?</t>
  </si>
  <si>
    <t xml:space="preserve">       оборудованном механизированным комплексом </t>
  </si>
  <si>
    <t xml:space="preserve"> 2 - если окажется, что в заданных условиях применение механизированного </t>
  </si>
  <si>
    <t>Сумма затрат на поддержание (панельная)</t>
  </si>
  <si>
    <t>Сумма затрат на поддержание (погоризонтная)</t>
  </si>
  <si>
    <t>Сумма затрат на проведение (панельная)</t>
  </si>
  <si>
    <t>Сумма затрат на проведение (погоризонтная)</t>
  </si>
  <si>
    <t>Сумма затрат на охрану (панельная)</t>
  </si>
  <si>
    <t>Сумма затрат на охрану  (погоризонтная)</t>
  </si>
  <si>
    <t>Вычисления по выработке №2</t>
  </si>
  <si>
    <t>Вентиляционная выработка работающей лавы</t>
  </si>
  <si>
    <t>Показатель наличия затрат по проведению</t>
  </si>
  <si>
    <t>Номер образа выр-ки в таб</t>
  </si>
  <si>
    <t>Длина крыла, м</t>
  </si>
  <si>
    <t>Период проведения штреков Т</t>
  </si>
  <si>
    <t>Реальная податливость крепи, мм</t>
  </si>
  <si>
    <t>Размер целика между выработкой и старыми работами, м  (там, где он есть!)</t>
  </si>
  <si>
    <t>Способ присечки к старым работам:2-полная присечка,1-присечка через целик(3-4м)  - Там, где она есть!</t>
  </si>
  <si>
    <t>Способ проведения (1 - комбайн, 2 - БВР)</t>
  </si>
  <si>
    <t>Нормы выработки и нормы обслуживания комплекса при выемке угля двумя комбайнами по односторонней схеме и фронтальной передвижке конвеера</t>
  </si>
  <si>
    <t>Таблица 14 ЕНВ 1993г</t>
  </si>
  <si>
    <t>Стоимость поддерж.1м выр-ки при средних условиях</t>
  </si>
  <si>
    <t>как проведена выр-ка</t>
  </si>
  <si>
    <t>Столбец5</t>
  </si>
  <si>
    <t>Зона подд.</t>
  </si>
  <si>
    <t>Проведена заранее в массиве</t>
  </si>
  <si>
    <t>Проведена заранее в массиве сдвоенно</t>
  </si>
  <si>
    <t>Проведена заранее в массиве сдвоенно -  для следующего столба</t>
  </si>
  <si>
    <t>Проведена заранее в массиве спаренно</t>
  </si>
  <si>
    <t>Проведена заранее в массиве спаренно -  для следующего столба</t>
  </si>
  <si>
    <t>Проводится одновременно с работающей лавой за лавой</t>
  </si>
  <si>
    <t>Пройдена заранее через целик более 60 м</t>
  </si>
  <si>
    <t>Пройдена заранее через целик менее 60 м</t>
  </si>
  <si>
    <t>Пройдена заранее вприсечку к старым работам</t>
  </si>
  <si>
    <t>Проведена заранее сдвоенно</t>
  </si>
  <si>
    <t>Проведена заранее спаренно</t>
  </si>
  <si>
    <t>Проводится за лавой через целик более 60 м</t>
  </si>
  <si>
    <t>Проводится за лавой через целик менее 60 м</t>
  </si>
  <si>
    <t>Проводится за лавой вприсечку</t>
  </si>
  <si>
    <t>Проводится за лавой. Средняя выработка</t>
  </si>
  <si>
    <t xml:space="preserve">    Введите данные о тлщине породных подушек над и по крепью (в указанных пределах)</t>
  </si>
  <si>
    <t>8.8.3</t>
  </si>
  <si>
    <t>8.8.4</t>
  </si>
  <si>
    <t>Наименование систем разработки</t>
  </si>
  <si>
    <t>Если по вентиляционной выработке подается свежая струя, то ее направление совпадает с направлением лавы - 1, не совпадает - 2</t>
  </si>
  <si>
    <t>Условный номер (индекс) системы разработки</t>
  </si>
  <si>
    <t>Порядковый номер системы в списке</t>
  </si>
  <si>
    <t xml:space="preserve">                Расстояние в одном ряду между посадочными стойками определяется как</t>
  </si>
  <si>
    <t>СР70А</t>
  </si>
  <si>
    <t>СР70М</t>
  </si>
  <si>
    <t>1ЛУ80</t>
  </si>
  <si>
    <t>1ЛТ80У</t>
  </si>
  <si>
    <t>2Л80У</t>
  </si>
  <si>
    <t>2ЛТ80У</t>
  </si>
  <si>
    <t xml:space="preserve">  2.  расстояние между рамками крепи должно быть таким, чтобы нагрузка на стойки крепи от веса </t>
  </si>
  <si>
    <t>Сплошная, движение воздуха по лаве от транспортной выработки к вентиляционной, транспортная и вентиляционная выработки проводятся одновременно с лавой, вентиляционная выработка проводится вприсечку к старым работам</t>
  </si>
  <si>
    <t>Сплошная, движение воздуха по лаве от транспортной выработки к вентиляционной, транспортная выработка проводится одновременно с лавой, вентиляционная выработка  - повторно используемая транспортная.</t>
  </si>
  <si>
    <t>Нормы выработки на установку стоек, стойка</t>
  </si>
  <si>
    <t>до 35</t>
  </si>
  <si>
    <t>&gt; 35</t>
  </si>
  <si>
    <t>до 0,6</t>
  </si>
  <si>
    <t>0,61-0,70</t>
  </si>
  <si>
    <t>0,71-0,80</t>
  </si>
  <si>
    <t>0,81-0,90</t>
  </si>
  <si>
    <t>0,91-1,00</t>
  </si>
  <si>
    <t>1,01-1,10</t>
  </si>
  <si>
    <t>1,26-1,40</t>
  </si>
  <si>
    <t>2,01-2,30</t>
  </si>
  <si>
    <t>2,66-3,00</t>
  </si>
  <si>
    <t>3,01-3,30</t>
  </si>
  <si>
    <t>3,31-3,60</t>
  </si>
  <si>
    <t>3,61-3,90</t>
  </si>
  <si>
    <t>3,91-4,20</t>
  </si>
  <si>
    <t>4,21-4,50</t>
  </si>
  <si>
    <t>Выделение воды</t>
  </si>
  <si>
    <t>m&lt;=1</t>
  </si>
  <si>
    <t>ОБРАТНО для лав с индивидуальной крепью</t>
  </si>
  <si>
    <t>данные о применяемой в проекте схеме проветривания участка</t>
  </si>
  <si>
    <t xml:space="preserve">   Таким образом, расчет нагрузки на лаву проведен ! </t>
  </si>
  <si>
    <t>Применена ли в проекте дегазация пласта 1 - Да, 0 - Нет</t>
  </si>
  <si>
    <t>Глубина дегазации пласта, доли единицы</t>
  </si>
  <si>
    <t>Одна стойка под верхняк</t>
  </si>
  <si>
    <t>Две стойки под верхняк</t>
  </si>
  <si>
    <t>Составить проект всрытия шахты, подготовки пласта, системы разработки и технологии очистных работ при разработке уклонной ступени шахтного поля.</t>
  </si>
  <si>
    <t>ВАРИАНТЫ</t>
  </si>
  <si>
    <t>Расстояние между пластами h2 - h3  по нормали, м</t>
  </si>
  <si>
    <t>Расстояние между пластами h3 - h4  по нормали, м</t>
  </si>
  <si>
    <r>
      <t xml:space="preserve">                                               q = 60*m*h*v</t>
    </r>
    <r>
      <rPr>
        <b/>
        <vertAlign val="subscript"/>
        <sz val="14"/>
        <rFont val="Times New Roman Cyr"/>
        <charset val="204"/>
      </rPr>
      <t>c</t>
    </r>
    <r>
      <rPr>
        <b/>
        <sz val="14"/>
        <rFont val="Times New Roman Cyr"/>
        <charset val="204"/>
      </rPr>
      <t>*</t>
    </r>
    <r>
      <rPr>
        <b/>
        <sz val="14"/>
        <rFont val="Sylfaen"/>
        <family val="1"/>
        <charset val="204"/>
      </rPr>
      <t xml:space="preserve">γ    </t>
    </r>
    <r>
      <rPr>
        <b/>
        <sz val="12"/>
        <rFont val="Sylfaen"/>
        <family val="1"/>
        <charset val="204"/>
      </rPr>
      <t>т/мин</t>
    </r>
  </si>
  <si>
    <t>Масса комбайна, т</t>
  </si>
  <si>
    <t>Предельная скорость подачи, м/мин</t>
  </si>
  <si>
    <t>Предельная величина составляющей силы резания, кН/см</t>
  </si>
  <si>
    <t>П</t>
  </si>
  <si>
    <r>
      <t>t</t>
    </r>
    <r>
      <rPr>
        <b/>
        <vertAlign val="subscript"/>
        <sz val="10"/>
        <rFont val="Arial Cyr"/>
        <charset val="204"/>
      </rPr>
      <t>1</t>
    </r>
  </si>
  <si>
    <t>Коэффициент хрупкости угля (вязкий -1, хрупкий - 1,15, очень хрупкий - 1,3)</t>
  </si>
  <si>
    <t>Угол между линией лавы и направлением трещин в кровле пласта, градус</t>
  </si>
  <si>
    <t xml:space="preserve">  Несущая способность почвы, МПа</t>
  </si>
  <si>
    <t>Общая толщина  прослойков в долях мощности пласта</t>
  </si>
  <si>
    <t xml:space="preserve">Сопротивляемость прослойков резанию, кН/см </t>
  </si>
  <si>
    <t>Ширина захвата, м</t>
  </si>
  <si>
    <t>Тип конвейера</t>
  </si>
  <si>
    <t>Производительность, т/мин</t>
  </si>
  <si>
    <t>трудоемкость на 1 комплект крепи</t>
  </si>
  <si>
    <t>время по оформ забоя на 1 комплект</t>
  </si>
  <si>
    <t>кол-во ГРОЗ в зависимости от размера пая</t>
  </si>
  <si>
    <t>С увеличением длины лавы величина коэффициента машинного времени уменьшаетс - 1, возрастает - 2, не изменяется - 3</t>
  </si>
  <si>
    <t>С ростом длины лавы количество выемочных циклов уменьшатся - 1, возрастает - 2</t>
  </si>
  <si>
    <t>Добыча угля в нишах за один выемочный цикл 1 - уменьшается, 2 - сокращается, 3 - не изменяется</t>
  </si>
  <si>
    <t>Длительность одного выемочного цикла с ростом длины лавы 1 - возрастает, 2 - уменьшается</t>
  </si>
  <si>
    <t xml:space="preserve">в 24*60*60   раз меньшее  При этом следует иметь в виду, что выделение метана в течение суток </t>
  </si>
  <si>
    <t>неравномерно, выделение метана при работе выемочной машины во много раз большее, чем в</t>
  </si>
  <si>
    <r>
      <t xml:space="preserve"> ремонтную смену. Следовательно, величину Qc необходимо при вычислениях  увеличить в </t>
    </r>
    <r>
      <rPr>
        <b/>
        <sz val="12"/>
        <rFont val="Times New Roman"/>
        <family val="1"/>
        <charset val="204"/>
      </rPr>
      <t>kн</t>
    </r>
    <r>
      <rPr>
        <sz val="12"/>
        <rFont val="Times New Roman"/>
        <family val="1"/>
        <charset val="204"/>
      </rPr>
      <t xml:space="preserve">  </t>
    </r>
  </si>
  <si>
    <t xml:space="preserve">скорости воздуха и по процентному содержанию метана в струе накладывает ограничения на </t>
  </si>
  <si>
    <t xml:space="preserve"> схемы проветривания лавы, т.е. от системы разработки, принятой на выемочном участке. </t>
  </si>
  <si>
    <t xml:space="preserve">Система разработки влияет так же и на величину утечек воздуха и метана через выработанное </t>
  </si>
  <si>
    <t xml:space="preserve">пространство и на  дегазацию пласта проводимыми заранее подготовительными выработками.        </t>
  </si>
  <si>
    <t>При способе транспортирования угля от погрузочного пункта лавы, не требующем остановки комбайна для обмена составов вагонеток</t>
  </si>
  <si>
    <t xml:space="preserve">Длина лавы 100 - 160 м </t>
  </si>
  <si>
    <t xml:space="preserve">Длина лавы 161 - 220 м </t>
  </si>
  <si>
    <t>Длина лавы 221 - 280 м</t>
  </si>
  <si>
    <t>Длина лавы 281 - 340 м</t>
  </si>
  <si>
    <t>Удельные затраты при всех "средених" знвчениях параметров, д.е./т</t>
  </si>
  <si>
    <t>Податливость крепи, мм</t>
  </si>
  <si>
    <t>Затраты</t>
  </si>
  <si>
    <t>5.  Способ охраны участковой транспортной выработки</t>
  </si>
  <si>
    <t>Бут.полоса с ручной закладкой</t>
  </si>
  <si>
    <t>Бут полоса скреперная</t>
  </si>
  <si>
    <t>Принятый в проекте способ охраны</t>
  </si>
  <si>
    <t>Принятая в проекте податливость крепи, мм</t>
  </si>
  <si>
    <t>Коэффициент извлечения угля из лавы при выемке</t>
  </si>
  <si>
    <t>цикл/сутки</t>
  </si>
  <si>
    <t>дали следующие результаты (таблица)</t>
  </si>
  <si>
    <t>Сменная  нагрузка на лаву, т</t>
  </si>
  <si>
    <t xml:space="preserve">                      Длина лавы, м</t>
  </si>
  <si>
    <t xml:space="preserve">Нормы выработки на крепление очистных забоев </t>
  </si>
  <si>
    <t>гидростойками под металлический верзняк, компл/чел.см</t>
  </si>
  <si>
    <t>норма табл на крепление</t>
  </si>
  <si>
    <t>попр коэф</t>
  </si>
  <si>
    <t>норма принят на крепление</t>
  </si>
  <si>
    <t>Нормы выработки на навеску и снятие мет шарнирных верхняков</t>
  </si>
  <si>
    <t>навеска</t>
  </si>
  <si>
    <t>снятие</t>
  </si>
  <si>
    <t xml:space="preserve">                  до 1,2 м</t>
  </si>
  <si>
    <t>Плотность угля, т/м3</t>
  </si>
  <si>
    <t xml:space="preserve">         % выполнения нормы выработки по лаве при заданной величине пая</t>
  </si>
  <si>
    <t>по кол-ву конвееров</t>
  </si>
  <si>
    <t>Вычисленные  поправочные коэффициенты</t>
  </si>
  <si>
    <t>КМ 87, КМ-88</t>
  </si>
  <si>
    <t>Вычисленные нормы выработки</t>
  </si>
  <si>
    <t>Вычисленные нормы обслуживания комплекса</t>
  </si>
  <si>
    <t>Норма выработки для исследуемого комплекса</t>
  </si>
  <si>
    <t>Доставка лесных материалов к клети</t>
  </si>
  <si>
    <t>Расстояние доставки, м (не более 100м)</t>
  </si>
  <si>
    <t>Количество стоек в нормируемом вагоне</t>
  </si>
  <si>
    <t>объем стойки, м3</t>
  </si>
  <si>
    <t>Доставка сыпучих материалов</t>
  </si>
  <si>
    <t>Погрузка и доставка элементов крепи в вагонетках лебедками</t>
  </si>
  <si>
    <t>Ж/Б шпалы, т</t>
  </si>
  <si>
    <t>Затяжка Ж/Б, т</t>
  </si>
  <si>
    <t>Затяжка-сетка, т</t>
  </si>
  <si>
    <t>этой темы, достаточно ограничиться применением систем разработки, схемы которых показаны ниже.</t>
  </si>
  <si>
    <t xml:space="preserve">                 Размеры комбайна</t>
  </si>
  <si>
    <t>Пласт</t>
  </si>
  <si>
    <t>Количество ленточных конвейеров в цепи</t>
  </si>
  <si>
    <t>3 Крепь</t>
  </si>
  <si>
    <t xml:space="preserve"> Коэффициент готовности индивидуальной крепи  в лаве </t>
  </si>
  <si>
    <t>4 Процесс крепления кровли в лаве</t>
  </si>
  <si>
    <t>над конвейером, кг</t>
  </si>
  <si>
    <t>ЗАТРАТЫ НА ДОСТАВКУ МАТЕРИАЛОВ</t>
  </si>
  <si>
    <t>Нижняя ниша</t>
  </si>
  <si>
    <t>Лесные материалы</t>
  </si>
  <si>
    <t>Применение для крепления деревянных верхняков</t>
  </si>
  <si>
    <t>Принятая норма выработки на установку органки, шт/смена</t>
  </si>
  <si>
    <t>Норма выработки на установку ремонтин, шт</t>
  </si>
  <si>
    <t>Всего трудоемкость под землей, (клетевые)чел/см</t>
  </si>
  <si>
    <t>Всего трудоемкость под землей, (накатные) чел/см</t>
  </si>
  <si>
    <t>Общая трудоемкость (клетевые)</t>
  </si>
  <si>
    <t>Общая трудоемкость (накатные)</t>
  </si>
  <si>
    <t>КОНЕЦ   КОСТРЫ</t>
  </si>
  <si>
    <t xml:space="preserve">   Программа расчета затрат на выкладку бутокостров над штреком</t>
  </si>
  <si>
    <t>Выемка угля в лаве (1- врубовой машиной, 0-  др.способ.)</t>
  </si>
  <si>
    <t>Выкладка бутовой полосы</t>
  </si>
  <si>
    <t>Направление перекидки породы(1 - вниз по падению, 2 - вверх по востанию)</t>
  </si>
  <si>
    <r>
      <t>Обьем породы, м</t>
    </r>
    <r>
      <rPr>
        <vertAlign val="superscript"/>
        <sz val="11"/>
        <color indexed="8"/>
        <rFont val="Calibri"/>
        <family val="2"/>
        <charset val="204"/>
      </rPr>
      <t>3</t>
    </r>
    <r>
      <rPr>
        <sz val="11"/>
        <color indexed="8"/>
        <rFont val="Calibri"/>
        <family val="2"/>
        <charset val="204"/>
      </rPr>
      <t>/костер</t>
    </r>
  </si>
  <si>
    <r>
      <t>Обьем породы, м</t>
    </r>
    <r>
      <rPr>
        <vertAlign val="superscript"/>
        <sz val="11"/>
        <color indexed="8"/>
        <rFont val="Calibri"/>
        <family val="2"/>
        <charset val="204"/>
      </rPr>
      <t>3</t>
    </r>
    <r>
      <rPr>
        <sz val="11"/>
        <color indexed="8"/>
        <rFont val="Calibri"/>
        <family val="2"/>
        <charset val="204"/>
      </rPr>
      <t>/м</t>
    </r>
  </si>
  <si>
    <t>максимум по режиму</t>
  </si>
  <si>
    <t>разница</t>
  </si>
  <si>
    <t xml:space="preserve">коэффициент топтания кровли при механизированной крепи  Кт  </t>
  </si>
  <si>
    <t>чистое время  разгрузки и распора секций крепи  в течение периода подвигания или после подвигания на величину lш.з. , мин   Трс</t>
  </si>
  <si>
    <t>Переходите к строке</t>
  </si>
  <si>
    <t xml:space="preserve">В каких единицах измеряется норма выработки на возведение бутовой  полосы ? 1 - кубический метр,  2 - мощность пласта,  3 - метры полосы, 4 - тонна </t>
  </si>
  <si>
    <t>Какой вид крепи применяется? (2 - механизированная, 1- индивидуальная)</t>
  </si>
  <si>
    <t>Г</t>
  </si>
  <si>
    <t>Комбинированная обратный ход, проветривание от вентиляционной выработки к транспортной штреку и далее на выработанное пространство. Вентиляционная выработка проведена ранее вприсечку к выработанному пространству, за лавой не погашается, Транспортная выработка проведена ранее и не погашается. Участки выработок впереди лавы проветриваются через фланговые выработки. Подсвежающая струя - от центральной выработки.</t>
  </si>
  <si>
    <t>Сплошная, движение воздуха по лаве от транспортной выработки к вентиляционной, транспортная и вентиляционная выработки проводятся одновременно с лавой, вентиляционная выработка проводится через целик менее Lоп</t>
  </si>
  <si>
    <t>Газовыделение из пласта, м3/тсд</t>
  </si>
  <si>
    <t>Коэффициент пучения почвы выработок</t>
  </si>
  <si>
    <t>Способ подрывки породы при ремонте магистральных выработок 1 - вручную, 2 - отбойный молоток, 3 - штрекоподдирочная машина, 4 - с перестилкой пути</t>
  </si>
  <si>
    <t>Переходите для продолжения вычислений</t>
  </si>
  <si>
    <t>2. Студент должен владеть элементарными навыками использования пакета Microsоft Excel</t>
  </si>
  <si>
    <r>
      <t xml:space="preserve">Геологические запасы, млн.т     </t>
    </r>
    <r>
      <rPr>
        <b/>
        <sz val="12"/>
        <rFont val="Times New Roman"/>
        <family val="1"/>
        <charset val="204"/>
      </rPr>
      <t xml:space="preserve"> </t>
    </r>
  </si>
  <si>
    <t xml:space="preserve">Балансовые запасы, млн.т  </t>
  </si>
  <si>
    <t xml:space="preserve">Промышленные запасы, млн.т    </t>
  </si>
  <si>
    <t>значение затрат на поддержание в зоне 3(для 3-й выр-ки)</t>
  </si>
  <si>
    <r>
      <t>м</t>
    </r>
    <r>
      <rPr>
        <vertAlign val="superscript"/>
        <sz val="10"/>
        <rFont val="Arial Cyr"/>
        <charset val="204"/>
      </rPr>
      <t>3</t>
    </r>
    <r>
      <rPr>
        <sz val="10"/>
        <rFont val="Arial Cyr"/>
        <charset val="204"/>
      </rPr>
      <t>/т с.б.м</t>
    </r>
  </si>
  <si>
    <t>но длина лавы существенно влияет величину добычи за один выемочный цикл и, следовательно, на количество</t>
  </si>
  <si>
    <t xml:space="preserve"> выемочных циклов, обеспечивающих эту добычу</t>
  </si>
  <si>
    <r>
      <t xml:space="preserve">           </t>
    </r>
    <r>
      <rPr>
        <b/>
        <sz val="12"/>
        <rFont val="Times New Roman"/>
        <family val="1"/>
        <charset val="204"/>
      </rPr>
      <t>Н</t>
    </r>
    <r>
      <rPr>
        <sz val="12"/>
        <rFont val="Times New Roman"/>
        <family val="1"/>
        <charset val="204"/>
      </rPr>
      <t xml:space="preserve"> - размер шахтного поля по падению, м</t>
    </r>
  </si>
  <si>
    <t>4. От нижнего конца этой линии провести горизонтальную линиб влево - это нижняя техническая граница.</t>
  </si>
  <si>
    <t>Характеристика условий отработки выемочного участка при которых определено газовыделение и нагрузка на лаву  ( 1 -выемочный участок с обеих сторон ограничен угольным массивом и не оконтурен подготовительными выработками, 2 - выемочный участок оконтурен выработками или выработанным пространством, 3 -выемочный участок только с одной стороны ограничен выработанным пространством или пройденной подготовительной выработкой).</t>
  </si>
  <si>
    <t>Мощность пласта минимальная, м</t>
  </si>
  <si>
    <t>Мощность пласта максимальная, м</t>
  </si>
  <si>
    <t>Угол падения пласта</t>
  </si>
  <si>
    <t>Сопротивляемость угля резанию, кН/м</t>
  </si>
  <si>
    <t>Категория пород кровли по обрушаемости (1-А1, 2-А2, 3-А3, 4-А4,5-А41)</t>
  </si>
  <si>
    <t>Категория пород кровли по устойчивости нижнего слоя ( 1-Б1, 2-Б2, 3-Б3, 4-Б4, 5-Б5)</t>
  </si>
  <si>
    <t>Мощность пласта средняя, м</t>
  </si>
  <si>
    <t>Ширина захвата комбайна, м</t>
  </si>
  <si>
    <t>Для определения добычи из ниш необходимо знать их размеры. В свою очередь размер ниши зависит</t>
  </si>
  <si>
    <t xml:space="preserve">     Условный номер этого варианта оборудования</t>
  </si>
  <si>
    <r>
      <t xml:space="preserve">Величина К в формуле расчета </t>
    </r>
    <r>
      <rPr>
        <b/>
        <sz val="12"/>
        <rFont val="Arial Cyr"/>
        <charset val="204"/>
      </rPr>
      <t>µ</t>
    </r>
    <r>
      <rPr>
        <b/>
        <vertAlign val="subscript"/>
        <sz val="12"/>
        <rFont val="Times New Roman Cyr"/>
        <charset val="204"/>
      </rPr>
      <t xml:space="preserve">пкр  </t>
    </r>
    <r>
      <rPr>
        <sz val="12"/>
        <rFont val="Times New Roman Cyr"/>
        <charset val="204"/>
      </rPr>
      <t>(ф. на стр 60)</t>
    </r>
  </si>
  <si>
    <t>Процент породных прослойков в пласте, процент    S*</t>
  </si>
  <si>
    <t>Класс пород по расходу резцов   (таб. 27)</t>
  </si>
  <si>
    <t>группа типовых условий применения выемочных машин  (таб. 27)</t>
  </si>
  <si>
    <t>Из  условия необрушения нижнего слоя кровли между рамками крепи</t>
  </si>
  <si>
    <t xml:space="preserve">Из условия нагрузки на призабойную крепь максимальное расстояние </t>
  </si>
  <si>
    <t>Принятый в проекте шаг установки крепи, м</t>
  </si>
  <si>
    <r>
      <t xml:space="preserve">Средний суммарный расход рабочей жидкости гидроцилиндров, </t>
    </r>
    <r>
      <rPr>
        <sz val="10"/>
        <color indexed="12"/>
        <rFont val="Arial Cyr"/>
        <family val="2"/>
        <charset val="204"/>
      </rPr>
      <t>Qг.п.,</t>
    </r>
    <r>
      <rPr>
        <sz val="10"/>
        <rFont val="Arial Cyr"/>
        <charset val="204"/>
      </rPr>
      <t xml:space="preserve"> л</t>
    </r>
  </si>
  <si>
    <r>
      <t xml:space="preserve">Суммарный расход раб. жидкости при разгрузке и распоре секций, </t>
    </r>
    <r>
      <rPr>
        <sz val="10"/>
        <color indexed="12"/>
        <rFont val="Arial Cyr"/>
        <family val="2"/>
        <charset val="204"/>
      </rPr>
      <t>Q рс, л</t>
    </r>
  </si>
  <si>
    <t>расстоянию между стойками посадочной крепи (d - c).  Ознакомьтесь с принципами выбора и расчета крепи.</t>
  </si>
  <si>
    <t>В лавах с индивидуальной крепью в нишах применяют те же стойки, что и в лаве !</t>
  </si>
  <si>
    <t>В качестве посадочной (режущей) крепи  в лаве применяют тумбы ОКУ или  гидравлическую посадочную крепь СПУТНИК</t>
  </si>
  <si>
    <t>Оборудование для крепления в нишах комплексно механизированных лав</t>
  </si>
  <si>
    <r>
      <t>метров</t>
    </r>
    <r>
      <rPr>
        <sz val="12"/>
        <color indexed="10"/>
        <rFont val="Arial Cyr"/>
        <charset val="204"/>
      </rPr>
      <t xml:space="preserve"> (см. формулу в строке</t>
    </r>
  </si>
  <si>
    <r>
      <t xml:space="preserve">метров   </t>
    </r>
    <r>
      <rPr>
        <sz val="12"/>
        <color indexed="10"/>
        <rFont val="Arial Cyr"/>
        <charset val="204"/>
      </rPr>
      <t>(смотри формулу в строке</t>
    </r>
  </si>
  <si>
    <t>По перепиливанию стоек</t>
  </si>
  <si>
    <t>По углу падения пласта</t>
  </si>
  <si>
    <t>Диаметр стойки, м</t>
  </si>
  <si>
    <t xml:space="preserve">Число рядов стоек органки </t>
  </si>
  <si>
    <t>Количество стоек, шт/м</t>
  </si>
  <si>
    <t>Норма выработки, стойка/смена</t>
  </si>
  <si>
    <t>номер строки в таблице норм установки стоек</t>
  </si>
  <si>
    <t>номер столбца в таблице норм</t>
  </si>
  <si>
    <t>Принятая норма выработки, стойка/смена</t>
  </si>
  <si>
    <t>Трудоемкость выкладки стоек, ч.см/м</t>
  </si>
  <si>
    <t>Расход лесных, м3/м</t>
  </si>
  <si>
    <t>ДОСТАВКА МАТЕРИАЛОВ К МЕСТУ РАБОТЫ</t>
  </si>
  <si>
    <t>Общая трудоемкость</t>
  </si>
  <si>
    <t xml:space="preserve">Ставка горнорабочего подземного </t>
  </si>
  <si>
    <t>Выкладка новых четырехгранных костров</t>
  </si>
  <si>
    <t>Расстояние между осями костров, м</t>
  </si>
  <si>
    <t>Число рядов костров</t>
  </si>
  <si>
    <t>Костер клетевой - 1, костер накатный - 2</t>
  </si>
  <si>
    <t>Производительность струговой установки по приемной способности участковой конвейерной линии, т/мин</t>
  </si>
  <si>
    <t>Толщина стружки,    м</t>
  </si>
  <si>
    <t>Струговая установка   µсу</t>
  </si>
  <si>
    <t>Конвейерная линия  µку</t>
  </si>
  <si>
    <t>Крепь  µкр</t>
  </si>
  <si>
    <t>Процесс крепления    µпкр</t>
  </si>
  <si>
    <t>Процесс проветривания   µпр</t>
  </si>
  <si>
    <t>Сплошная, движение воздуха по лаве от транспортной выработки к вентиляционной, транспортная и вентиляционная выработки проводятся одновременно с лавой, вентиляционная выработка проводится через целик более Lоп</t>
  </si>
  <si>
    <r>
      <t>Т</t>
    </r>
    <r>
      <rPr>
        <b/>
        <i/>
        <vertAlign val="superscript"/>
        <sz val="13"/>
        <rFont val="Times New Roman Cyr"/>
        <charset val="204"/>
      </rPr>
      <t>о</t>
    </r>
    <r>
      <rPr>
        <b/>
        <i/>
        <vertAlign val="subscript"/>
        <sz val="13"/>
        <rFont val="Times New Roman Cyr"/>
        <charset val="204"/>
      </rPr>
      <t>тп</t>
    </r>
    <r>
      <rPr>
        <b/>
        <i/>
        <sz val="13"/>
        <rFont val="Times New Roman Cyr"/>
        <charset val="204"/>
      </rPr>
      <t xml:space="preserve"> </t>
    </r>
    <r>
      <rPr>
        <b/>
        <i/>
        <sz val="10"/>
        <rFont val="Times New Roman Cyr"/>
        <charset val="204"/>
      </rPr>
      <t xml:space="preserve">- </t>
    </r>
    <r>
      <rPr>
        <sz val="10"/>
        <rFont val="Arial"/>
        <family val="2"/>
        <charset val="204"/>
      </rPr>
      <t>затраты времени на реверс струга и суммарная длительность технологических перерывов, связанных с конструкцией струга, мин/м</t>
    </r>
  </si>
  <si>
    <r>
      <t>Т</t>
    </r>
    <r>
      <rPr>
        <b/>
        <i/>
        <vertAlign val="superscript"/>
        <sz val="13"/>
        <rFont val="Times New Roman Cyr"/>
        <charset val="204"/>
      </rPr>
      <t>о</t>
    </r>
    <r>
      <rPr>
        <b/>
        <i/>
        <vertAlign val="subscript"/>
        <sz val="13"/>
        <rFont val="Times New Roman Cyr"/>
        <charset val="204"/>
      </rPr>
      <t>тп</t>
    </r>
    <r>
      <rPr>
        <b/>
        <i/>
        <sz val="13"/>
        <rFont val="Times New Roman Cyr"/>
        <charset val="204"/>
      </rPr>
      <t xml:space="preserve"> = t</t>
    </r>
    <r>
      <rPr>
        <b/>
        <i/>
        <vertAlign val="subscript"/>
        <sz val="13"/>
        <rFont val="Times New Roman Cyr"/>
        <charset val="204"/>
      </rPr>
      <t>рс</t>
    </r>
    <r>
      <rPr>
        <b/>
        <i/>
        <sz val="13"/>
        <rFont val="Times New Roman Cyr"/>
        <charset val="204"/>
      </rPr>
      <t>/h + Т</t>
    </r>
    <r>
      <rPr>
        <b/>
        <i/>
        <vertAlign val="superscript"/>
        <sz val="13"/>
        <rFont val="Times New Roman Cyr"/>
        <charset val="204"/>
      </rPr>
      <t>1</t>
    </r>
    <r>
      <rPr>
        <b/>
        <i/>
        <vertAlign val="subscript"/>
        <sz val="13"/>
        <rFont val="Times New Roman Cyr"/>
        <charset val="204"/>
      </rPr>
      <t>тп</t>
    </r>
  </si>
  <si>
    <r>
      <t>Т</t>
    </r>
    <r>
      <rPr>
        <b/>
        <i/>
        <vertAlign val="superscript"/>
        <sz val="13"/>
        <rFont val="Times New Roman Cyr"/>
        <charset val="204"/>
      </rPr>
      <t>11</t>
    </r>
    <r>
      <rPr>
        <b/>
        <i/>
        <vertAlign val="subscript"/>
        <sz val="13"/>
        <rFont val="Times New Roman Cyr"/>
        <charset val="204"/>
      </rPr>
      <t xml:space="preserve">тп  </t>
    </r>
    <r>
      <rPr>
        <sz val="10"/>
        <rFont val="Times New Roman Cyr"/>
        <charset val="204"/>
      </rPr>
      <t xml:space="preserve">- </t>
    </r>
    <r>
      <rPr>
        <sz val="10"/>
        <rFont val="Arial"/>
        <family val="2"/>
        <charset val="204"/>
      </rPr>
      <t>технологический перерыв, связанный с креплением кровли, мин/м</t>
    </r>
  </si>
  <si>
    <t>комб</t>
  </si>
  <si>
    <t>захват</t>
  </si>
  <si>
    <t>конв</t>
  </si>
  <si>
    <t>гидростой</t>
  </si>
  <si>
    <t>верхняк</t>
  </si>
  <si>
    <t>дли верх</t>
  </si>
  <si>
    <t>посад тип</t>
  </si>
  <si>
    <t>шир захв</t>
  </si>
  <si>
    <t>мехкрепь</t>
  </si>
  <si>
    <t>гидрост в нише</t>
  </si>
  <si>
    <t>верх в нише</t>
  </si>
  <si>
    <t>верх длина</t>
  </si>
  <si>
    <t>неблагоприятными.</t>
  </si>
  <si>
    <t>Количество резервно-действующих и резервных лав по пласту условимся принимать:</t>
  </si>
  <si>
    <t>Сведения о принятом оборудовании лав - тип комбайна и ширина захвата  находятся в таблице строки</t>
  </si>
  <si>
    <t xml:space="preserve">1 По каждому процессу, включая и процессы доставки материалов на участок, </t>
  </si>
  <si>
    <t>Сменная нагрузка на лаву, т/смена</t>
  </si>
  <si>
    <t>Количество смен по добыче угля в лаве</t>
  </si>
  <si>
    <t>Суточная нагрузка на лаву, т/сутки</t>
  </si>
  <si>
    <t>Скребковый конвейер №1</t>
  </si>
  <si>
    <t>Скребковый конвейер №2</t>
  </si>
  <si>
    <t>Скребковый конвейер №3</t>
  </si>
  <si>
    <t>Скребковый конвейер №4</t>
  </si>
  <si>
    <t>Номер в таблице</t>
  </si>
  <si>
    <t>Процесс крепления лавы: 1 - совмещен с работой струговой установки, 2 - не совмещен с работой</t>
  </si>
  <si>
    <t>Исходные и расчетные данные о ленточных конвейерах в транспортной выработке</t>
  </si>
  <si>
    <t>Исходные и расчетные данные о скребковых конвейерах на штреке</t>
  </si>
  <si>
    <t>Исходные данные о струговой установке</t>
  </si>
  <si>
    <t xml:space="preserve"> Информацию о конвейерах находится  в таблице на строке</t>
  </si>
  <si>
    <t>Исходные данные о крепи и процессе крепления</t>
  </si>
  <si>
    <t>Суммарная мощность породных прослойков, м</t>
  </si>
  <si>
    <t xml:space="preserve">   Подготовительно-заключительные операции, мин </t>
  </si>
  <si>
    <t>Индекс условий эксплуатации конвейера в таблице в строке</t>
  </si>
  <si>
    <t>Используемые в расчетах данные о струговых установках</t>
  </si>
  <si>
    <t>Нормы выработки на переноску установки</t>
  </si>
  <si>
    <r>
      <t xml:space="preserve">5,33 </t>
    </r>
    <r>
      <rPr>
        <sz val="10"/>
        <color indexed="8"/>
        <rFont val="Calibri"/>
        <family val="2"/>
        <charset val="204"/>
      </rPr>
      <t>переносок на 2 человека</t>
    </r>
  </si>
  <si>
    <t xml:space="preserve">нормы на бурение по породе </t>
  </si>
  <si>
    <t>длина шпура, м</t>
  </si>
  <si>
    <t>прочность пород по Протодьяконову</t>
  </si>
  <si>
    <t>до 2 м</t>
  </si>
  <si>
    <t>более</t>
  </si>
  <si>
    <t>до 2,5</t>
  </si>
  <si>
    <t>2,6-3,2</t>
  </si>
  <si>
    <t>3,3-3,9</t>
  </si>
  <si>
    <t>4,0 -5,0</t>
  </si>
  <si>
    <t>5,1-6</t>
  </si>
  <si>
    <t>6,1-7,5</t>
  </si>
  <si>
    <t>7,6-9</t>
  </si>
  <si>
    <t>Сут добыча лавы, т</t>
  </si>
  <si>
    <t>ИНДЕКС(обор!G437:G441;'Исх Дан'!C111)</t>
  </si>
  <si>
    <t>2. Величину размера пая в столбцах от  Н  до L  строки</t>
  </si>
  <si>
    <t>установите от 10 до 50 с равным интервалом</t>
  </si>
  <si>
    <t xml:space="preserve">        Укажите сведения, принимаемые Вами в проекте</t>
  </si>
  <si>
    <t>Если лава работает с индивидуальной крепью, тип  и типоразмер стоек и верхняков для крепления ниш</t>
  </si>
  <si>
    <t>применяется такой же, как и в лаве.</t>
  </si>
  <si>
    <t>и категории пород кровли по обрушаемости.</t>
  </si>
  <si>
    <t xml:space="preserve">    Первая от забоя ниши стойка устанавливается на расстоянии 1, 0 м и извлекается при передвижке конвейерной головки.</t>
  </si>
  <si>
    <t>Комбинированная прямой ход,  движение воздуха по лаве от транспортной выработки к вентиляционной и на массив, Вентиляционная выработка - повторно используемая транспортная выработка и за лавой погашается. Транспортная выработка проводится вместе с лавой.</t>
  </si>
  <si>
    <t>Расход лесных, грн/м</t>
  </si>
  <si>
    <t>Цена ВВ, грн/т</t>
  </si>
  <si>
    <t>Расход ВВ, грн/м</t>
  </si>
  <si>
    <t>Вентиляционная выработка это новая выработка - 1, или повторно используемая транспортная выработка ранее отработанной лавы - 2?</t>
  </si>
  <si>
    <t>Вентиляционная выработка за лавой погашается - 1, или сохраняется - 2?</t>
  </si>
  <si>
    <t xml:space="preserve">  При проектировании нагрузки на пласт следует иметь в виду, что суточная добыча с пласта должна обеспечиваться</t>
  </si>
  <si>
    <t xml:space="preserve">при больших размерах шахтного поля. </t>
  </si>
  <si>
    <t>Суммарная мощность электропотребителей лавы, квт</t>
  </si>
  <si>
    <t>4 - 5</t>
  </si>
  <si>
    <t>2 - 3</t>
  </si>
  <si>
    <t>60 - 160</t>
  </si>
  <si>
    <t>0,5 - 1,5</t>
  </si>
  <si>
    <t xml:space="preserve">Определение численности рабочих на одну смену с учетом норм и коэффициентов в струговой лаве для выемке в нишах </t>
  </si>
  <si>
    <t>Индивидуальные поправочные коєффициенты</t>
  </si>
  <si>
    <t>Индивидуальные поправочные коэффициенты</t>
  </si>
  <si>
    <t>Коэффициент угла падения</t>
  </si>
  <si>
    <t>Поправочный коэффициент к нормам по выемке ниш отбойным молотком</t>
  </si>
  <si>
    <t>Коэффициент транспортирования</t>
  </si>
  <si>
    <t>Вспомогательные материалы по креплению</t>
  </si>
  <si>
    <t>Коэффициент волнистости почвы</t>
  </si>
  <si>
    <t>Таблица 64</t>
  </si>
  <si>
    <t xml:space="preserve">При разделении пластов на группы следует иметь в виду, что последовательность разработки пластов:   </t>
  </si>
  <si>
    <t>1. не должна приводить к опасной подработке пласта.</t>
  </si>
  <si>
    <r>
      <t xml:space="preserve">где  </t>
    </r>
    <r>
      <rPr>
        <b/>
        <sz val="14"/>
        <rFont val="Times New Roman"/>
        <family val="1"/>
        <charset val="204"/>
      </rPr>
      <t xml:space="preserve"> m </t>
    </r>
    <r>
      <rPr>
        <sz val="11"/>
        <rFont val="Times New Roman"/>
        <family val="1"/>
        <charset val="204"/>
      </rPr>
      <t>- мощность пласта, м</t>
    </r>
  </si>
  <si>
    <t xml:space="preserve">           КАФЕДРА РАЗРАБОТКИ МЕСТОРОЖДЕНИЙ ПОЛЕЗНЫХ ИСКОПАЕМЫХ</t>
  </si>
  <si>
    <t xml:space="preserve">Расчеты трудоемкости выполняются на основании расчетов объемов </t>
  </si>
  <si>
    <t>СП87П-02</t>
  </si>
  <si>
    <t>СП87П</t>
  </si>
  <si>
    <t>МК67М</t>
  </si>
  <si>
    <t>СП87ПМ-46</t>
  </si>
  <si>
    <t xml:space="preserve">Комбинированная обратный ход,  движение воздуха по лаве от транспортной выработки к вентиляционной и далее на выработанное пространство. Вентиляционная выработка  проводится за лавой через целик менее  Lоп. Транспортная выработка проводится заранее, за лавой не погашается, Участок транспортной выработки за лавой проветривается от фланговой выработки. </t>
  </si>
  <si>
    <t>Категория пород кровли по обрушаемости</t>
  </si>
  <si>
    <t>А1</t>
  </si>
  <si>
    <t>А2</t>
  </si>
  <si>
    <t xml:space="preserve">              от технических возможностей комбайна</t>
  </si>
  <si>
    <t xml:space="preserve">              от    сопротивляемости угля резанию                                      </t>
  </si>
  <si>
    <t xml:space="preserve">  Расчет допустимой нагрузки на лаву по возможностям ее проветривания выполняется в компьютерной </t>
  </si>
  <si>
    <t>Вспом вычисл</t>
  </si>
  <si>
    <t>Определение коэффициентов готовности по группе параллельных перерывов (возникающих с одинаковой вероятностью, как при работе комбойна, так и при его остановке)</t>
  </si>
  <si>
    <t>Коэффициенты увеличения времени простоев  очистного  забоя при наличии факторов, осложняющих поддержание  сопряжения лавы с подготовительной выработкой</t>
  </si>
  <si>
    <t>Скорость передвижения машиниста комбайна, м/мин (текст после ф. 6)</t>
  </si>
  <si>
    <t>трудоемкость</t>
  </si>
  <si>
    <t>Подвигание лавы за смену, м</t>
  </si>
  <si>
    <t>количество домкратов в лаве</t>
  </si>
  <si>
    <t xml:space="preserve">        Для записи типа оборудования необходимо "приравнять" соответствующую ячейку таблицы к ячейке таблицы возможного </t>
  </si>
  <si>
    <t>Комбинированная прямой ход, движение воздуха по лаве от транспортной выработки к вентиляционной и далее на выработанное пространство. Вентиляционная выработка  проведена за лавой через целик менее  Lоп, после прохода лавы не погашается. Транспортная выработка проведена заранее, за лавой не погашается, Участок штрека впереди лавы проветривается от фланговой выработки. Подсвежающая струя - от фланговой выработки.</t>
  </si>
  <si>
    <t>Расчетная производительность установки, т/мин</t>
  </si>
  <si>
    <t>Фактическая производительность струговой лавылавы, т/мин</t>
  </si>
  <si>
    <t>Нормы выработки и нормы обслуживания комплекса при выемке угля комбайном по односторонней схеме и передвижке конвеера участками(вслед за комбайном)</t>
  </si>
  <si>
    <t>Группа средних рабочих скоростей</t>
  </si>
  <si>
    <t>Сменная нагрузка на струговую часть лавы, т/смена</t>
  </si>
  <si>
    <t>Сменная добыча из ниш, т/смена</t>
  </si>
  <si>
    <t>3 Сопротивляемость угля разрушению резанием, которую может преодолеть комбайн, была больше фактической сопротивляемости угля резанию.</t>
  </si>
  <si>
    <t xml:space="preserve">        Указанные параметры для отбора, на основании исходных данных проекта,  внесены в таблицу в строке</t>
  </si>
  <si>
    <t xml:space="preserve">           У Вас есть уже все необходимые данные для вычерчивания технологической </t>
  </si>
  <si>
    <t xml:space="preserve">Комбинированная обратный ход,  движение воздуха по лаве от транспортной выработки к вентиляционной и далее на выработанное пространство. Вентиляционная выработка  проводится за лавой вприсечку . к старым работам. Транспортная выработка проводится заранее, за лавой не погашается, Участок транспортной выработки за лавой проветривается от фланговой выработки. </t>
  </si>
  <si>
    <t xml:space="preserve">Комбинированная обратный ход,  движение воздуха по лаве от транспортной выработки к вентиляционной и далее на выработанное пространство. Подсвежающая струя - от центра к фланговой выработке. Вентиляционная выработка - повторно используемая транспортная выработка. Транспортная выработка проводится заранее, за лавой не погашается, Участок транспортной выработки за лавой проветривается от фланговой выработки. </t>
  </si>
  <si>
    <t xml:space="preserve">   И так,  Вами выполнены все необходимые для составления паспорта крепления и управления кровлей</t>
  </si>
  <si>
    <t xml:space="preserve">  вычисления.  Вам необходимо:</t>
  </si>
  <si>
    <t xml:space="preserve"> Вентиляционная выработка в период эксплуатации, проведена заранее, от выработанного пространства отделена целиком угля с размером менее зоны опорного давления</t>
  </si>
  <si>
    <t xml:space="preserve">Вентиляционная выработка в период эксплуатации, проведена заранее вприсечку к выработанному пространству  </t>
  </si>
  <si>
    <t>Вентиляционная выработка проводится вместе с лавой, от старых работ отделена целиком угля более размера зоны опорного давления</t>
  </si>
  <si>
    <t xml:space="preserve"> Вентиляционная выработка проводится вместе с лавой, от старых работ отделена целиком угля менее  размера зоны опорного давления</t>
  </si>
  <si>
    <t xml:space="preserve">Вентиляционная выработка, проводится вместе с лавой вприсечку к старым работам </t>
  </si>
  <si>
    <t xml:space="preserve">Повторно используемая в качестве вентиляционной транспортная выработка </t>
  </si>
  <si>
    <t xml:space="preserve">Транспортная  выработка, проводится в массиве одновременно с лавой. Опережение более размера зоны опорного давления. </t>
  </si>
  <si>
    <t>Одиночная выработка, проводится в массиве или через целик больший размера зоны опорного давления.</t>
  </si>
  <si>
    <t>3-я высота</t>
  </si>
  <si>
    <t>Мощность пласта</t>
  </si>
  <si>
    <t>Запишите в ячейку столбца В выражение для вычисления геологических запасов пласта с индексом 1</t>
  </si>
  <si>
    <r>
      <t>удельное давление крепи на почву,  Н</t>
    </r>
    <r>
      <rPr>
        <vertAlign val="subscript"/>
        <sz val="10"/>
        <rFont val="Arial Cyr"/>
        <charset val="204"/>
      </rPr>
      <t>кр</t>
    </r>
    <r>
      <rPr>
        <sz val="10"/>
        <rFont val="Arial Cyr"/>
        <charset val="204"/>
      </rPr>
      <t xml:space="preserve">       МПа</t>
    </r>
  </si>
  <si>
    <r>
      <t xml:space="preserve">коэффициент снижения скорости крепления при мех крепи  </t>
    </r>
    <r>
      <rPr>
        <sz val="14"/>
        <rFont val="Arial Cyr"/>
        <charset val="204"/>
      </rPr>
      <t>k</t>
    </r>
    <r>
      <rPr>
        <vertAlign val="subscript"/>
        <sz val="14"/>
        <rFont val="Arial Cyr"/>
        <charset val="204"/>
      </rPr>
      <t>п</t>
    </r>
    <r>
      <rPr>
        <sz val="14"/>
        <rFont val="Arial Cyr"/>
        <charset val="204"/>
      </rPr>
      <t>*</t>
    </r>
    <r>
      <rPr>
        <sz val="10"/>
        <rFont val="Arial Cyr"/>
        <charset val="204"/>
      </rPr>
      <t xml:space="preserve">    (обработка рис. 4)</t>
    </r>
  </si>
  <si>
    <t>Номер в таблице комбайнов и конвейеров</t>
  </si>
  <si>
    <t>Бурение производиться по углю, содержащему валуны, сидериты и крупные линзообразные включения серного колчедана, которые вызывают необходимость перебуривания отдельных шпуров (0-нет, 1-да)</t>
  </si>
  <si>
    <t>на необходимость перебуривания отдельных шпуров</t>
  </si>
  <si>
    <t>весьма неустойчивые и неустойчивые</t>
  </si>
  <si>
    <t>малоустойчивые и средней устойчивости</t>
  </si>
  <si>
    <t xml:space="preserve">     выбора типа комплекса.</t>
  </si>
  <si>
    <t>Комбайн</t>
  </si>
  <si>
    <t>средней устойчивости и устойчивые</t>
  </si>
  <si>
    <t>устойчивые и средней устойчивости</t>
  </si>
  <si>
    <t>устойчивые</t>
  </si>
  <si>
    <r>
      <t>m</t>
    </r>
    <r>
      <rPr>
        <vertAlign val="subscript"/>
        <sz val="10"/>
        <rFont val="Arial Cyr"/>
        <family val="2"/>
        <charset val="204"/>
      </rPr>
      <t>min</t>
    </r>
  </si>
  <si>
    <r>
      <t>Плотность угля, т/м</t>
    </r>
    <r>
      <rPr>
        <vertAlign val="superscript"/>
        <sz val="10"/>
        <rFont val="Arial Cyr"/>
        <family val="2"/>
        <charset val="204"/>
      </rPr>
      <t>3</t>
    </r>
  </si>
  <si>
    <t>Коэффициент готовности крепи</t>
  </si>
  <si>
    <t>Удельное давление на почву, МПа</t>
  </si>
  <si>
    <t>минимум</t>
  </si>
  <si>
    <t>максимум</t>
  </si>
  <si>
    <t>Коэффи-циент готовно-сти</t>
  </si>
  <si>
    <t>Производительность, т/час</t>
  </si>
  <si>
    <t>Коэфф. готовности</t>
  </si>
  <si>
    <t>Скорость цепи, м/с</t>
  </si>
  <si>
    <t>Тип исполнения</t>
  </si>
  <si>
    <t>стационарный</t>
  </si>
  <si>
    <t>полустационарный</t>
  </si>
  <si>
    <t>длина, м</t>
  </si>
  <si>
    <t>Угол падения, градус</t>
  </si>
  <si>
    <t>Выбросоопасность пласта (1-Да, 0-Нет)</t>
  </si>
  <si>
    <t>Комбинированная обратный ход, проветривание от вентиляционной выработки к транспортной и далее на выработанное пространство.  Вентиляционная выработка проведена ранее через целик менее  Lоп , за лавой погашается. Транспортная выработка проведена ранее и не погашается. Подсвежающая струя - к фланговой выработке.</t>
  </si>
  <si>
    <t>Природная метаноносность пласта в действующей лаве, м3/т с.б.м.</t>
  </si>
  <si>
    <t xml:space="preserve">        4.2    Размеры ниш</t>
  </si>
  <si>
    <t>Скорость подачи исходя из пропускной способности конвейерного транспорта, м/мин</t>
  </si>
  <si>
    <t>Стрельников В.И.</t>
  </si>
  <si>
    <t>Производительность комбайна с учетом нажежности работы транспорта, т/мин</t>
  </si>
  <si>
    <t xml:space="preserve">  В таблице (строка</t>
  </si>
  <si>
    <t>Процент площади кровли с затяжкой (при неустойчивых породах)</t>
  </si>
  <si>
    <r>
      <t>v</t>
    </r>
    <r>
      <rPr>
        <vertAlign val="subscript"/>
        <sz val="10"/>
        <rFont val="Arial Cyr"/>
        <family val="2"/>
        <charset val="204"/>
      </rPr>
      <t xml:space="preserve">c </t>
    </r>
    <r>
      <rPr>
        <sz val="10"/>
        <rFont val="Arial Cyr"/>
        <family val="2"/>
        <charset val="204"/>
      </rPr>
      <t>м/с</t>
    </r>
  </si>
  <si>
    <r>
      <t>v</t>
    </r>
    <r>
      <rPr>
        <vertAlign val="subscript"/>
        <sz val="10"/>
        <rFont val="Arial Cyr"/>
        <family val="2"/>
        <charset val="204"/>
      </rPr>
      <t xml:space="preserve">к </t>
    </r>
    <r>
      <rPr>
        <sz val="10"/>
        <rFont val="Arial Cyr"/>
        <family val="2"/>
        <charset val="204"/>
      </rPr>
      <t>м/с</t>
    </r>
  </si>
  <si>
    <r>
      <t>a</t>
    </r>
    <r>
      <rPr>
        <b/>
        <vertAlign val="subscript"/>
        <sz val="10"/>
        <rFont val="Arial Cyr"/>
        <family val="2"/>
        <charset val="204"/>
      </rPr>
      <t>1</t>
    </r>
  </si>
  <si>
    <r>
      <t>a</t>
    </r>
    <r>
      <rPr>
        <b/>
        <vertAlign val="subscript"/>
        <sz val="10"/>
        <rFont val="Arial Cyr"/>
        <family val="2"/>
        <charset val="204"/>
      </rPr>
      <t>2</t>
    </r>
  </si>
  <si>
    <r>
      <t>a</t>
    </r>
    <r>
      <rPr>
        <b/>
        <vertAlign val="subscript"/>
        <sz val="10"/>
        <rFont val="Arial Cyr"/>
        <family val="2"/>
        <charset val="204"/>
      </rPr>
      <t>3</t>
    </r>
  </si>
  <si>
    <r>
      <t xml:space="preserve">Высота струга        </t>
    </r>
    <r>
      <rPr>
        <b/>
        <sz val="10"/>
        <rFont val="Arial Cyr"/>
        <family val="2"/>
        <charset val="204"/>
      </rPr>
      <t>H</t>
    </r>
    <r>
      <rPr>
        <b/>
        <vertAlign val="subscript"/>
        <sz val="10"/>
        <rFont val="Arial Cyr"/>
        <family val="2"/>
        <charset val="204"/>
      </rPr>
      <t>c</t>
    </r>
    <r>
      <rPr>
        <sz val="10"/>
        <rFont val="Arial Cyr"/>
        <charset val="204"/>
      </rPr>
      <t>, м</t>
    </r>
  </si>
  <si>
    <t>Схема передвижки секций механизированной крепи 1 - шахматная, 2 - линейная</t>
  </si>
  <si>
    <r>
      <t>Длительность рабочих процессов на концах лавы, мин/цикл   t</t>
    </r>
    <r>
      <rPr>
        <i/>
        <vertAlign val="subscript"/>
        <sz val="12"/>
        <rFont val="Times New Roman"/>
        <family val="1"/>
        <charset val="204"/>
      </rPr>
      <t>к</t>
    </r>
  </si>
  <si>
    <t xml:space="preserve">               Определение нагрузки на каждый работающий пласт и числа лав</t>
  </si>
  <si>
    <t>После ввода данных о дегазации снова проанализируйте приведенный выше график !!!</t>
  </si>
  <si>
    <t xml:space="preserve">Однако следует иметь в виду, что на выбросоопасном пласте движение лавы должно осуществляться </t>
  </si>
  <si>
    <t>только по падению пласта.</t>
  </si>
  <si>
    <t>При погоризонтной подготовке,  если основной транспортный горизонт расположен на нижней</t>
  </si>
  <si>
    <r>
      <t>величина (1/µ</t>
    </r>
    <r>
      <rPr>
        <b/>
        <vertAlign val="subscript"/>
        <sz val="10"/>
        <color indexed="10"/>
        <rFont val="Arial Cyr"/>
        <charset val="204"/>
      </rPr>
      <t>кр</t>
    </r>
    <r>
      <rPr>
        <b/>
        <sz val="10"/>
        <color indexed="10"/>
        <rFont val="Arial Cyr"/>
        <charset val="204"/>
      </rPr>
      <t xml:space="preserve">-1) </t>
    </r>
  </si>
  <si>
    <r>
      <t>затраты времени на дробление, мин/т   t</t>
    </r>
    <r>
      <rPr>
        <b/>
        <vertAlign val="subscript"/>
        <sz val="10"/>
        <rFont val="Arial Cyr"/>
        <charset val="204"/>
      </rPr>
      <t>др</t>
    </r>
  </si>
  <si>
    <r>
      <t>величина q*(1-Hc/m)*t</t>
    </r>
    <r>
      <rPr>
        <b/>
        <vertAlign val="subscript"/>
        <sz val="10"/>
        <color indexed="10"/>
        <rFont val="Arial Cyr"/>
        <charset val="204"/>
      </rPr>
      <t>др</t>
    </r>
  </si>
  <si>
    <r>
      <t>величина (1/µ</t>
    </r>
    <r>
      <rPr>
        <b/>
        <vertAlign val="subscript"/>
        <sz val="10"/>
        <color indexed="10"/>
        <rFont val="Arial Cyr"/>
        <charset val="204"/>
      </rPr>
      <t>пп</t>
    </r>
    <r>
      <rPr>
        <b/>
        <sz val="10"/>
        <color indexed="10"/>
        <rFont val="Arial Cyr"/>
        <charset val="204"/>
      </rPr>
      <t xml:space="preserve">-1) </t>
    </r>
  </si>
  <si>
    <r>
      <t xml:space="preserve">затраты времени на реверс струга </t>
    </r>
    <r>
      <rPr>
        <sz val="12"/>
        <rFont val="Arial Cyr"/>
        <charset val="204"/>
      </rPr>
      <t xml:space="preserve"> t</t>
    </r>
    <r>
      <rPr>
        <vertAlign val="subscript"/>
        <sz val="12"/>
        <rFont val="Arial Cyr"/>
        <charset val="204"/>
      </rPr>
      <t xml:space="preserve">рс , </t>
    </r>
    <r>
      <rPr>
        <sz val="12"/>
        <rFont val="Arial Cyr"/>
        <charset val="204"/>
      </rPr>
      <t xml:space="preserve"> </t>
    </r>
    <r>
      <rPr>
        <sz val="10"/>
        <rFont val="Arial Cyr"/>
        <charset val="204"/>
      </rPr>
      <t>минуты</t>
    </r>
  </si>
  <si>
    <r>
      <t>Определение величины Ттп</t>
    </r>
    <r>
      <rPr>
        <i/>
        <vertAlign val="superscript"/>
        <sz val="10"/>
        <rFont val="Arial Cyr"/>
        <charset val="204"/>
      </rPr>
      <t>1</t>
    </r>
    <r>
      <rPr>
        <i/>
        <sz val="10"/>
        <rFont val="Arial Cyr"/>
        <charset val="204"/>
      </rPr>
      <t xml:space="preserve"> , мин/м</t>
    </r>
  </si>
  <si>
    <t>Расчетное значение составляющей сил резания в направлении подачи, кН   (обработка таб. А.1)</t>
  </si>
  <si>
    <t>действующая лава на каждые 3 - 4 действующие лавы.  Но в любом случае количество резервно-действующих</t>
  </si>
  <si>
    <t xml:space="preserve"> лав не должно быть менее одной.</t>
  </si>
  <si>
    <t xml:space="preserve">Отнесение условий работы лав к неблагоприятным можно осуществить в зависимости от:   </t>
  </si>
  <si>
    <r>
      <t>1 -колебания мощности пласта (</t>
    </r>
    <r>
      <rPr>
        <b/>
        <sz val="14"/>
        <rFont val="Times New Roman"/>
        <family val="1"/>
        <charset val="204"/>
      </rPr>
      <t>m</t>
    </r>
    <r>
      <rPr>
        <b/>
        <vertAlign val="subscript"/>
        <sz val="14"/>
        <rFont val="Times New Roman"/>
        <family val="1"/>
        <charset val="204"/>
      </rPr>
      <t>max</t>
    </r>
    <r>
      <rPr>
        <sz val="12"/>
        <rFont val="Times New Roman"/>
        <family val="1"/>
        <charset val="204"/>
      </rPr>
      <t xml:space="preserve">  и  </t>
    </r>
    <r>
      <rPr>
        <b/>
        <sz val="14"/>
        <rFont val="Times New Roman"/>
        <family val="1"/>
        <charset val="204"/>
      </rPr>
      <t>m</t>
    </r>
    <r>
      <rPr>
        <b/>
        <vertAlign val="subscript"/>
        <sz val="14"/>
        <rFont val="Times New Roman"/>
        <family val="1"/>
        <charset val="204"/>
      </rPr>
      <t>min</t>
    </r>
    <r>
      <rPr>
        <sz val="12"/>
        <rFont val="Times New Roman"/>
        <family val="1"/>
        <charset val="204"/>
      </rPr>
      <t>) ,</t>
    </r>
  </si>
  <si>
    <r>
      <t xml:space="preserve">2-  категории пород по обрушаемости </t>
    </r>
    <r>
      <rPr>
        <b/>
        <sz val="12"/>
        <rFont val="Times New Roman"/>
        <family val="1"/>
        <charset val="204"/>
      </rPr>
      <t>( A);</t>
    </r>
    <r>
      <rPr>
        <sz val="12"/>
        <rFont val="Times New Roman"/>
        <family val="1"/>
        <charset val="204"/>
      </rPr>
      <t xml:space="preserve"> </t>
    </r>
  </si>
  <si>
    <r>
      <t>3-  категории пород нижнего слоя кровли по устойчивости (</t>
    </r>
    <r>
      <rPr>
        <b/>
        <sz val="12"/>
        <rFont val="Times New Roman"/>
        <family val="1"/>
        <charset val="204"/>
      </rPr>
      <t>Б</t>
    </r>
    <r>
      <rPr>
        <sz val="12"/>
        <rFont val="Times New Roman"/>
        <family val="1"/>
        <charset val="204"/>
      </rPr>
      <t xml:space="preserve">), </t>
    </r>
  </si>
  <si>
    <t>4 - степени нарушенности месторождения.</t>
  </si>
  <si>
    <t>Прямая зарплата рабочих на поверхности, грн</t>
  </si>
  <si>
    <t>Прямая зарплата подземных рабочих, грн</t>
  </si>
  <si>
    <t>вар 861</t>
  </si>
  <si>
    <t>вар 864</t>
  </si>
  <si>
    <t xml:space="preserve">от размеров конвейерных головок и величины выноса их в участковые выработки, а вынос конвейерной </t>
  </si>
  <si>
    <t>головки в выработку определяется видом системы разработки, т.е. погашается ли</t>
  </si>
  <si>
    <t xml:space="preserve">      Могут иметь место следующие схемы увязки этих работ:</t>
  </si>
  <si>
    <t>1 - обе участковые выработки проводятся одновременно с работающей лавой в том же выемочном участке.</t>
  </si>
  <si>
    <t xml:space="preserve">      После прохода лавы обе выработки сохраняются.</t>
  </si>
  <si>
    <t>2 - обе участковые выработки проведены заранее и в работающем участке после прохода лавы погашаются.</t>
  </si>
  <si>
    <t xml:space="preserve">      Обратите внимание на слова "обе выработки"!</t>
  </si>
  <si>
    <r>
      <t xml:space="preserve">     Если выполняются эти условия, то в первом случае систему разработки называю</t>
    </r>
    <r>
      <rPr>
        <b/>
        <sz val="12"/>
        <rFont val="Times New Roman"/>
        <family val="1"/>
        <charset val="204"/>
      </rPr>
      <t>т сплошной,</t>
    </r>
    <r>
      <rPr>
        <sz val="12"/>
        <rFont val="Times New Roman"/>
        <family val="1"/>
        <charset val="204"/>
      </rPr>
      <t xml:space="preserve"> а </t>
    </r>
  </si>
  <si>
    <r>
      <t xml:space="preserve">во втором случае - </t>
    </r>
    <r>
      <rPr>
        <b/>
        <sz val="12"/>
        <rFont val="Times New Roman"/>
        <family val="1"/>
        <charset val="204"/>
      </rPr>
      <t>столбовой.</t>
    </r>
  </si>
  <si>
    <t xml:space="preserve">    Если хотя бы одно условие не выполняется - такая система разработки относится к группе </t>
  </si>
  <si>
    <r>
      <t>комбинированных</t>
    </r>
    <r>
      <rPr>
        <sz val="12"/>
        <rFont val="Times New Roman"/>
        <family val="1"/>
        <charset val="204"/>
      </rPr>
      <t xml:space="preserve"> систем разработки.  Например - транспортная выработка проведена заранее, а вентиляционная </t>
    </r>
  </si>
  <si>
    <t>проводится вместе с лавой,  или выработка проведена заранее, но после прохода лавы не погашается. И таких</t>
  </si>
  <si>
    <t xml:space="preserve">вариантов достаточно много (около 30 вариантов !).  Сказанное иллллюстрируется приведенным рисунком. </t>
  </si>
  <si>
    <r>
      <t xml:space="preserve">Так, нарисунке а - </t>
    </r>
    <r>
      <rPr>
        <b/>
        <sz val="12"/>
        <rFont val="Times New Roman"/>
        <family val="1"/>
        <charset val="204"/>
      </rPr>
      <t>сплошная</t>
    </r>
    <r>
      <rPr>
        <sz val="12"/>
        <rFont val="Times New Roman"/>
        <family val="1"/>
        <charset val="204"/>
      </rPr>
      <t xml:space="preserve"> система разработки, на рис б - </t>
    </r>
    <r>
      <rPr>
        <b/>
        <sz val="12"/>
        <rFont val="Times New Roman"/>
        <family val="1"/>
        <charset val="204"/>
      </rPr>
      <t>столбовая</t>
    </r>
    <r>
      <rPr>
        <sz val="12"/>
        <rFont val="Times New Roman"/>
        <family val="1"/>
        <charset val="204"/>
      </rPr>
      <t xml:space="preserve">, на рисунках в,г,д - </t>
    </r>
    <r>
      <rPr>
        <b/>
        <sz val="12"/>
        <rFont val="Times New Roman"/>
        <family val="1"/>
        <charset val="204"/>
      </rPr>
      <t>комбинированная</t>
    </r>
    <r>
      <rPr>
        <sz val="12"/>
        <rFont val="Times New Roman"/>
        <family val="1"/>
        <charset val="204"/>
      </rPr>
      <t>.</t>
    </r>
  </si>
  <si>
    <t xml:space="preserve">      Естественно возникает вопрос - зачем необходимо применять комбинированные системы разработки?</t>
  </si>
  <si>
    <t xml:space="preserve"> добычи угля.  На газообильном пласте нагрузка на лаву определяется количеством метана, поступающего в лаву </t>
  </si>
  <si>
    <r>
      <t xml:space="preserve">из выработанного пространства (из пластов-спутников).  А это зависит от </t>
    </r>
    <r>
      <rPr>
        <b/>
        <sz val="12"/>
        <rFont val="Times New Roman"/>
        <family val="1"/>
        <charset val="204"/>
      </rPr>
      <t>схемы проветривания</t>
    </r>
    <r>
      <rPr>
        <sz val="12"/>
        <rFont val="Times New Roman"/>
        <family val="1"/>
        <charset val="204"/>
      </rPr>
      <t xml:space="preserve"> участка - от </t>
    </r>
  </si>
  <si>
    <t xml:space="preserve">На приведенном рисунке показаны направления движени свежей и отработанной воздушной струи, направление </t>
  </si>
  <si>
    <t xml:space="preserve">движения метана из выработанного пространства и направление подсвежающей воздушной струи в целях </t>
  </si>
  <si>
    <t>уменьшения концентрации метана.  Это наиболее широко применяемые схемы проветривания выемочного участка.</t>
  </si>
  <si>
    <r>
      <t xml:space="preserve">         -    </t>
    </r>
    <r>
      <rPr>
        <b/>
        <sz val="14"/>
        <rFont val="Times New Roman"/>
        <family val="1"/>
        <charset val="204"/>
      </rPr>
      <t>q</t>
    </r>
    <r>
      <rPr>
        <b/>
        <vertAlign val="subscript"/>
        <sz val="14"/>
        <rFont val="Times New Roman"/>
        <family val="1"/>
        <charset val="204"/>
      </rPr>
      <t>1</t>
    </r>
    <r>
      <rPr>
        <sz val="12"/>
        <rFont val="Times New Roman"/>
        <family val="1"/>
        <charset val="204"/>
      </rPr>
      <t xml:space="preserve">  - газовыделение из пласта</t>
    </r>
  </si>
  <si>
    <t xml:space="preserve">    И так, применение комбинированной системы разработки позволяет применить  схемы проветривания 2-В  и 3-В ,</t>
  </si>
  <si>
    <t xml:space="preserve"> что обеспечит существенно большую нагрузку на лаву.</t>
  </si>
  <si>
    <r>
      <t xml:space="preserve">Здесь -  </t>
    </r>
    <r>
      <rPr>
        <b/>
        <sz val="14"/>
        <rFont val="Times New Roman"/>
        <family val="1"/>
        <charset val="204"/>
      </rPr>
      <t>q</t>
    </r>
    <r>
      <rPr>
        <b/>
        <vertAlign val="subscript"/>
        <sz val="14"/>
        <rFont val="Times New Roman"/>
        <family val="1"/>
        <charset val="204"/>
      </rPr>
      <t>л  -</t>
    </r>
    <r>
      <rPr>
        <b/>
        <sz val="14"/>
        <rFont val="Times New Roman"/>
        <family val="1"/>
        <charset val="204"/>
      </rPr>
      <t xml:space="preserve"> </t>
    </r>
    <r>
      <rPr>
        <sz val="14"/>
        <rFont val="Times New Roman"/>
        <family val="1"/>
        <charset val="204"/>
      </rPr>
      <t>поступающее</t>
    </r>
    <r>
      <rPr>
        <b/>
        <vertAlign val="subscript"/>
        <sz val="14"/>
        <rFont val="Times New Roman"/>
        <family val="1"/>
        <charset val="204"/>
      </rPr>
      <t xml:space="preserve"> </t>
    </r>
    <r>
      <rPr>
        <sz val="12"/>
        <rFont val="Times New Roman"/>
        <family val="1"/>
        <charset val="204"/>
      </rPr>
      <t>в лаву количество метана;</t>
    </r>
  </si>
  <si>
    <t>только некоторыми основными понятиями.   Рассмотрим эти понятия.</t>
  </si>
  <si>
    <t>угол наклона лавы, градус</t>
  </si>
  <si>
    <t>Вынесена конвейереая головка в вентиляционную выработку? (1 - да, 0 - нет)</t>
  </si>
  <si>
    <t xml:space="preserve">    Необходимо знать направление подвигания лавы: по простиранию, по падению или по восстанию.</t>
  </si>
  <si>
    <t>Скорость крепления при последовательной передвижке секций и устойчивых породах, м/мин</t>
  </si>
  <si>
    <t>Комбинированная прямой ход, проветривание от вентиляционного к транспортному штреку и далее на массив. Вентиляционная выработка - повторно используемая транспортная выработка, Транспортная выработка проведена ранее и не погашается. Подсвежающая струя по транспортной выработке направлена   на фланговую выработку.</t>
  </si>
  <si>
    <t>Таблица 69</t>
  </si>
  <si>
    <t xml:space="preserve">до 35 </t>
  </si>
  <si>
    <t>свыше35</t>
  </si>
  <si>
    <t>более 1,2</t>
  </si>
  <si>
    <t>Нормы выработки, м² уложенной затяжки</t>
  </si>
  <si>
    <t>до 0.6</t>
  </si>
  <si>
    <t>угол падения пласта град</t>
  </si>
  <si>
    <t>0.61-0.7</t>
  </si>
  <si>
    <t>69,7 и более</t>
  </si>
  <si>
    <t>21иболее</t>
  </si>
  <si>
    <t>0.71-0.8</t>
  </si>
  <si>
    <t>0.81-0.9</t>
  </si>
  <si>
    <t>0.61-0.8</t>
  </si>
  <si>
    <t>мм</t>
  </si>
  <si>
    <t>м</t>
  </si>
  <si>
    <t>0.91-1.00</t>
  </si>
  <si>
    <t>0.81-1.00</t>
  </si>
  <si>
    <t>1.01-1.10</t>
  </si>
  <si>
    <t>1.01-2.00</t>
  </si>
  <si>
    <t>Норма выработки, стойка (СПУТНИК)</t>
  </si>
  <si>
    <t>1.11-1.25</t>
  </si>
  <si>
    <t>При массе верхняка</t>
  </si>
  <si>
    <t>При угле падения пласта</t>
  </si>
  <si>
    <t>Таблица 70</t>
  </si>
  <si>
    <t>2.01 и более</t>
  </si>
  <si>
    <t>1.26-1.40</t>
  </si>
  <si>
    <t>Масса верхняка. кг.</t>
  </si>
  <si>
    <t>Комбинированная обратный ход, проветривание от вентиляционной выработки  к транспортной и далее на выработанное пространство. Вентиляционная выработка проведена ранее вприсечку к выработанному пространству, за лавой не погашается. Транспортная выработка  проведена ранее и не погашается. Подсвежающая струя - к фланговой выработке.</t>
  </si>
  <si>
    <t xml:space="preserve">   Для проверки степени Вашего владения Excel запишите в ячейку колонки В выражение для вычисления срока службы шахты при типовой проектной мощности 0,6 млн.т и выполните вычисления</t>
  </si>
  <si>
    <t xml:space="preserve"> комплексов, однако  существуют природные, а иногда и экономические, условия, в </t>
  </si>
  <si>
    <t>(для этого в Вашем задании на проектирование задана категория кровли по обрушаемости !)</t>
  </si>
  <si>
    <r>
      <t>слоя.</t>
    </r>
    <r>
      <rPr>
        <i/>
        <sz val="10"/>
        <rFont val="Arial Cyr"/>
        <charset val="204"/>
      </rPr>
      <t xml:space="preserve"> (категория пород кровли по устойчивости задана !)</t>
    </r>
  </si>
  <si>
    <t xml:space="preserve">величины пролеты  незакрепленной кровли, величина которого зависит </t>
  </si>
  <si>
    <t>Комбинированная обратный ход, движение воздуха по лаве от транспортной выработки к вентиляционной и далее на массив. Вентиляционная выработка - повторно используемая транспортная выработка, за лавой погашается. Транспортная выработка проведена заранее, за лавой не погашается.  Угольный поток направлен к фланговой транспортной выработке.</t>
  </si>
  <si>
    <t>Комбинированная прямой ход, движение воздуха по лаве от транспортной выработки к вентиляционной и далее на массив. Вентиляционная выработка  проведена заранее через целик более  Lоп, за лавой не погашается, Транспортная выработка проведена заранее и  за лавой не погашается. Участки выработок впереди лавы проветриваются через фланговые выработки.</t>
  </si>
  <si>
    <t>Нормы выработки и нормы обслуживания комплекса при выемке угля двумя комбайнами по челноковой схеме и фронтальной передвижке конвеера</t>
  </si>
  <si>
    <t>табл.1 ЕНВ 1993г</t>
  </si>
  <si>
    <t>1.4.3</t>
  </si>
  <si>
    <t>1.4.4</t>
  </si>
  <si>
    <t>Номер столбца в таблице норм выработки компл механ лавы</t>
  </si>
  <si>
    <t>Последовательно вычисляются составляющие ф. 68</t>
  </si>
  <si>
    <t>Принятая в проекте ширина скребкового конвейера в нише при проведении транспортной выработки за лавой, м  (0,7 - 1,0)</t>
  </si>
  <si>
    <t>Ширина запасного выхода из ниши  при проведении транспортной выработки за лавой, м  (0,8- 1,0)</t>
  </si>
  <si>
    <t xml:space="preserve">      Размер ниши в направлении подвигания лавы должен быть таким, чтобы обеспечивалось пространство для работ по выемке угля в нише.  Обычно этот размер принимается в пределах 2 - 4 м.</t>
  </si>
  <si>
    <t>Расчет выполняется по методике МакНИИ (Руководство по проектированию вентиляции угольных шахт,</t>
  </si>
  <si>
    <t>Киев, 1994 г., с. - 149 ...153)</t>
  </si>
  <si>
    <t>Природная метаноносность пласта, м3/т с.б.м.</t>
  </si>
  <si>
    <t xml:space="preserve">            На графике представлена указанная зависимость. Примите решение о величине податливости</t>
  </si>
  <si>
    <t xml:space="preserve"> крепи, но не более 1000 мм, и укажите его в таблице</t>
  </si>
  <si>
    <t>Какие способы охраны выработки  необходимо устанавливать  - указано в столбце А таблицы строки</t>
  </si>
  <si>
    <t>Способ охраны участковой транспортной выработки</t>
  </si>
  <si>
    <t>Способ охраны участковой вентиляционной  выработки</t>
  </si>
  <si>
    <t xml:space="preserve">Направление подвигания лавы  (0 - по простиранию или падению, 1 - по восстанию) </t>
  </si>
  <si>
    <t>Схема выемки  (односторонняя - 0, челноковая- 1)</t>
  </si>
  <si>
    <t>Применяется селективная выемка? (Да -1, Нет -0)</t>
  </si>
  <si>
    <t>Размер ниши (бровки) у транспортной выработки, м</t>
  </si>
  <si>
    <t>Размер ниши (бровки) у вентиляционной выработки, м</t>
  </si>
  <si>
    <t>Технология выемки угля в нишах  (БВР -1, без БВР -0)</t>
  </si>
  <si>
    <t>1) Лава-Транспортная выработка</t>
  </si>
  <si>
    <t>Проведена  БВР? (Да -1, 0 - Нет)</t>
  </si>
  <si>
    <t>Пройдена с подрывкой кровли?  (Да -1, 0 - Нет)</t>
  </si>
  <si>
    <t>Используется уже повторно? (Да - 1, 0 - Нет)</t>
  </si>
  <si>
    <t>Проведена за лавой? (Да - 1, 0 - Нет)</t>
  </si>
  <si>
    <t>Проведена посреди лавы?   (Да -1, 0 - Нет)</t>
  </si>
  <si>
    <t>Имеется механизированная крепь сопряжения? (Да -0, 1 -Нет)</t>
  </si>
  <si>
    <t>Категория верхнего слоя почвы по устойсивости (П1-1, П2-2, П3-3)</t>
  </si>
  <si>
    <t>Материал верхняков используемых для крепления ниш (0-дерево, 1-металл)</t>
  </si>
  <si>
    <t>Глубина ниши (опережение забоя ниши забоя лавы), м</t>
  </si>
  <si>
    <t>Блок вычислений</t>
  </si>
  <si>
    <t>установление поправочных коэфициентов</t>
  </si>
  <si>
    <t>Общие поправ коэффициенты</t>
  </si>
  <si>
    <t>обводнённость рабочего места</t>
  </si>
  <si>
    <t>выбросоопасность</t>
  </si>
  <si>
    <t>глубина</t>
  </si>
  <si>
    <t>плотность горной массы</t>
  </si>
  <si>
    <t>вспомогательные вычисления</t>
  </si>
  <si>
    <t>Коэф наличия взрывных работ</t>
  </si>
  <si>
    <t>учитывающ. наличие твёрдых включений</t>
  </si>
  <si>
    <t>общий поправочный коэф.</t>
  </si>
  <si>
    <t xml:space="preserve">Нижняя ниша </t>
  </si>
  <si>
    <t>ВЫЧИСЛЕНИЯ</t>
  </si>
  <si>
    <t>Длина деревянного верхняка индивидуальной крепи в нише, м</t>
  </si>
  <si>
    <t>Объем работ</t>
  </si>
  <si>
    <t>Количество комплектов индивидуальной крепи расположенных над головкой конвейера</t>
  </si>
  <si>
    <t>Количество комплектов индивидуальной крепи расположенных над конвейером</t>
  </si>
  <si>
    <t>Длина перехлеста верхняков индивидуальной крепи над головкой конвейера, м</t>
  </si>
  <si>
    <t>Длина перехлеста верхняков индивидуальной крепи над конвейером, м</t>
  </si>
  <si>
    <t>Применение для крепления ниши только деревянных верхняков</t>
  </si>
  <si>
    <t>Крепление над головкой</t>
  </si>
  <si>
    <t>Установка комплекта индивидуальной крепи 3 стойки под верхняк над головкой конвейера</t>
  </si>
  <si>
    <t>Объем работ, комплект/цикл</t>
  </si>
  <si>
    <t xml:space="preserve">                                               ПРОВОДИТЬ  ФИЛЬТРАЦИЮ  ЧЕРЕЗ   "АВТОФИЛЬТР"  ОТ СТОЛБЦА Е  ДО СТОЛБЦА  R</t>
  </si>
  <si>
    <t xml:space="preserve"> В  правое верхнее окошко вводится величина отбора, указанная в строке </t>
  </si>
  <si>
    <t>Верхний</t>
  </si>
  <si>
    <t>Производительность по техническим возможностям комбайна, т/мин</t>
  </si>
  <si>
    <t>Скорость подачи по скорости крепления, м/мин</t>
  </si>
  <si>
    <t>при индивидуальной крепи</t>
  </si>
  <si>
    <t>при механизированной крепи</t>
  </si>
  <si>
    <r>
      <t>нахождение коэффициента резерва фронтального обнажения кровли  К</t>
    </r>
    <r>
      <rPr>
        <vertAlign val="subscript"/>
        <sz val="11"/>
        <color indexed="10"/>
        <rFont val="Times New Roman Cyr"/>
        <family val="1"/>
        <charset val="204"/>
      </rPr>
      <t>р</t>
    </r>
    <r>
      <rPr>
        <vertAlign val="superscript"/>
        <sz val="11"/>
        <color indexed="10"/>
        <rFont val="Times New Roman Cyr"/>
        <family val="1"/>
        <charset val="204"/>
      </rPr>
      <t xml:space="preserve">обф </t>
    </r>
    <r>
      <rPr>
        <sz val="11"/>
        <color indexed="10"/>
        <rFont val="Times New Roman Cyr"/>
        <family val="1"/>
        <charset val="204"/>
      </rPr>
      <t xml:space="preserve">для формулы </t>
    </r>
    <r>
      <rPr>
        <sz val="11"/>
        <color indexed="10"/>
        <rFont val="Sylfaen"/>
        <family val="1"/>
        <charset val="204"/>
      </rPr>
      <t>μ</t>
    </r>
    <r>
      <rPr>
        <vertAlign val="subscript"/>
        <sz val="11"/>
        <color indexed="10"/>
        <rFont val="Times New Roman Cyr"/>
        <charset val="204"/>
      </rPr>
      <t>п.кр</t>
    </r>
  </si>
  <si>
    <t>Выбор оборудования лавы</t>
  </si>
  <si>
    <t xml:space="preserve">    В очистном забое выполняются следующие основные процессы:</t>
  </si>
  <si>
    <t>1- отбойка угля от массива;</t>
  </si>
  <si>
    <t>2 - транспортировка отбитого угля вдоль лавы;</t>
  </si>
  <si>
    <t>3 - крепление  кровли;</t>
  </si>
  <si>
    <t>4 - управление кровлей.</t>
  </si>
  <si>
    <t xml:space="preserve">  Эти процессы могут выполняться как с использованием механизированного комплекса, </t>
  </si>
  <si>
    <t xml:space="preserve">так и с применением индивидуальной крепи. </t>
  </si>
  <si>
    <t>Комбинированная прямой ход, движение воздуха по лаве от транспортной выработки к вентиляционной и далее на выработанное пространство. Вентиляционная выработка проводится за лавой через целик более  Lоп, Транспортная выработка проведена заранее, за лавой не погашается, участок ее впереди лавы проветривается от фланговой выработки.</t>
  </si>
  <si>
    <t>до 1,0</t>
  </si>
  <si>
    <t>Комбинированная обратный ход, проветривание от вентиляционной выработки к транспортной и далее на выработанное пространство.  Вентиляционная выработка проведена ранее вприсечку к выработанному пространству, за лавой погашается. Транспортная выработка проведена ранее и не погашается. Подсвежающая струя - к фланговой выработке.</t>
  </si>
  <si>
    <r>
      <t>и протяните его до столбца</t>
    </r>
    <r>
      <rPr>
        <b/>
        <sz val="11"/>
        <rFont val="Times New Roman Cyr"/>
        <charset val="204"/>
      </rPr>
      <t xml:space="preserve"> L</t>
    </r>
  </si>
  <si>
    <t>Переходите к строке выбора индивидуальной крепи</t>
  </si>
  <si>
    <t>Нагрузка на лаву по возможностям оборудования (струг), т/сутки</t>
  </si>
  <si>
    <t>Нагрузка на лаву по возможностям оборудования (комбайн), т/сутки</t>
  </si>
  <si>
    <t>Вынос головки конвейера на вентиляционный штрек, м</t>
  </si>
  <si>
    <t>принят вариант системы разработки.</t>
  </si>
  <si>
    <t xml:space="preserve">    Но снижение себестоимости добычи за счет роста нагрузки на лаву при комбинированных системах разработки в</t>
  </si>
  <si>
    <t xml:space="preserve">со столбовой  системой. Поэтому на практике при выборе системы разработки проводят детальные экономическин </t>
  </si>
  <si>
    <t>расчеты (изучабтся в специальном курсе!).</t>
  </si>
  <si>
    <t xml:space="preserve">     И так, рассмотрены выработки работающего выемочного участка и как эти выработки характеризуют систему разработки.</t>
  </si>
  <si>
    <t xml:space="preserve">Более полная картина технологии разработки требует рассмотрения выработок отработанного участка, к которому </t>
  </si>
  <si>
    <t xml:space="preserve">примыкает работающий участок, и выработок на участке, подготавливаемом к выемке - на участке, который будет </t>
  </si>
  <si>
    <t>отрабатываться следующим.</t>
  </si>
  <si>
    <t xml:space="preserve">     Примыкание работающего участка к уже отработанному, в принципе, может осуществляться четырьмя способами;</t>
  </si>
  <si>
    <t xml:space="preserve">     1  через целик больших размеров (больших размера зоны опорного давления от отработанной лавы);</t>
  </si>
  <si>
    <t xml:space="preserve">     3  через целик размером 1 - 4 метра (так называемая проходка вприсечку);</t>
  </si>
  <si>
    <t xml:space="preserve">      2  через целик, но с рамерами меньшими размера зоны опорного давления;</t>
  </si>
  <si>
    <t xml:space="preserve">    4   в качестве вентиляционной выработки работающей лавы используется не погашенная  транспортная выработка</t>
  </si>
  <si>
    <r>
      <t>Размер условного пояса дренирования, м     b</t>
    </r>
    <r>
      <rPr>
        <vertAlign val="subscript"/>
        <sz val="10"/>
        <rFont val="Arial Cyr"/>
        <charset val="204"/>
      </rPr>
      <t>з.д.</t>
    </r>
    <r>
      <rPr>
        <sz val="10"/>
        <rFont val="Arial Cyr"/>
        <charset val="204"/>
      </rPr>
      <t xml:space="preserve">    [по табл. 3.5]</t>
    </r>
  </si>
  <si>
    <t>Bз.д</t>
  </si>
  <si>
    <r>
      <t>Площадь свободного сечения лавы, м</t>
    </r>
    <r>
      <rPr>
        <vertAlign val="superscript"/>
        <sz val="10"/>
        <rFont val="Arial Cyr"/>
        <family val="2"/>
        <charset val="204"/>
      </rPr>
      <t>2</t>
    </r>
    <r>
      <rPr>
        <sz val="10"/>
        <rFont val="Arial Cyr"/>
        <charset val="204"/>
      </rPr>
      <t xml:space="preserve">  </t>
    </r>
  </si>
  <si>
    <t>SL</t>
  </si>
  <si>
    <t>Kср</t>
  </si>
  <si>
    <t>Gуч</t>
  </si>
  <si>
    <t>В результате проведенных вычислений в проекте приняты следующие решения:</t>
  </si>
  <si>
    <t xml:space="preserve">          На этом все вычисления относительно технологии работ на заданном пласте выполнены!</t>
  </si>
  <si>
    <t xml:space="preserve">добычей из не менее чем дух лав, если размер шахтного поля по простиранию менее 5000 - 6000 м, и большим количеством лав </t>
  </si>
  <si>
    <t xml:space="preserve">  Делается вывод о целесообразности одновременной разработки всех пластов или о разделении их на группы.</t>
  </si>
  <si>
    <t xml:space="preserve">    Расчеты количества лав по пластам выполнены в таблицах.  Если принято деление пластов на группы, то</t>
  </si>
  <si>
    <t xml:space="preserve">   Построение схемы вскрытия необходимо начинать с построения геологического разреза.</t>
  </si>
  <si>
    <r>
      <t>7. По линии пласта</t>
    </r>
    <r>
      <rPr>
        <b/>
        <sz val="12"/>
        <rFont val="Times New Roman"/>
        <family val="1"/>
        <charset val="204"/>
      </rPr>
      <t xml:space="preserve"> h</t>
    </r>
    <r>
      <rPr>
        <b/>
        <vertAlign val="subscript"/>
        <sz val="12"/>
        <rFont val="Times New Roman"/>
        <family val="1"/>
        <charset val="204"/>
      </rPr>
      <t>1</t>
    </r>
    <r>
      <rPr>
        <sz val="12"/>
        <rFont val="Times New Roman"/>
        <family val="1"/>
        <charset val="204"/>
      </rPr>
      <t xml:space="preserve"> от верхней его границы отложить расстояние </t>
    </r>
    <r>
      <rPr>
        <b/>
        <sz val="12"/>
        <rFont val="Times New Roman"/>
        <family val="1"/>
        <charset val="204"/>
      </rPr>
      <t>Н</t>
    </r>
    <r>
      <rPr>
        <b/>
        <vertAlign val="subscript"/>
        <sz val="12"/>
        <rFont val="Times New Roman"/>
        <family val="1"/>
        <charset val="204"/>
      </rPr>
      <t>ст</t>
    </r>
    <r>
      <rPr>
        <sz val="12"/>
        <rFont val="Times New Roman"/>
        <family val="1"/>
        <charset val="204"/>
      </rPr>
      <t xml:space="preserve"> (размер первой ступени) и провести</t>
    </r>
  </si>
  <si>
    <t xml:space="preserve">Размер околоствольного двора современной шахты 250 - 350 м. В курсовом проекте </t>
  </si>
  <si>
    <t xml:space="preserve">рекомендуется принять размер околоствольного двора 300 м. </t>
  </si>
  <si>
    <t>двор называется двусторонним или круговым. Если вход груза только с одной стороны, то</t>
  </si>
  <si>
    <t xml:space="preserve">    стволы и вентиляционный квершлаг;</t>
  </si>
  <si>
    <t xml:space="preserve">  Вычертите схему вскрытия и поместите ее в текст пояснительной записки !</t>
  </si>
  <si>
    <t>4. От нижнего конца этой линии провести горизонтальную линию влево - это нижняя техническая граница.</t>
  </si>
  <si>
    <t xml:space="preserve">подъемного горизонта. Размер околоствольного двора совремеенной шахты 250 - 350 м. </t>
  </si>
  <si>
    <t>в двух третей от входа в околоствольный двор. Так, если размер околоствольного двора 300 м,</t>
  </si>
  <si>
    <t>Длительность проведения выработки, год</t>
  </si>
  <si>
    <t>значение затрат на поддержание в зоне 1(для 4-й выр-ки)</t>
  </si>
  <si>
    <t>значение затрат на поддержание в зоне 2(для 4-й выр-ки)</t>
  </si>
  <si>
    <t>значение затрат на поддержание в зоне 3(для 4-й выр-ки)</t>
  </si>
  <si>
    <t>наличие сзади маг вент отработан</t>
  </si>
  <si>
    <t>количество подготавливающих транспортных выработок впереди лавы</t>
  </si>
  <si>
    <t>количество подготавливающих вентиляционных выработок со свежей струей   впереди лавы</t>
  </si>
  <si>
    <t>Нормы выработки и нормы обслуживания комплекса при выемке угля комбайном по односторонней схеме</t>
  </si>
  <si>
    <t>1,91-2,00</t>
  </si>
  <si>
    <t>2,01-2,10</t>
  </si>
  <si>
    <t>Таблица 11    Допустимая нагрузка на лаву по возможностям ее проветривания</t>
  </si>
  <si>
    <t xml:space="preserve">Допустимая нагрузка на лаву по возможностя проветривания, т/сутки </t>
  </si>
  <si>
    <t xml:space="preserve">Допустимая нагрузка на лаву по технической возможности оборудования, т/сутки </t>
  </si>
  <si>
    <t xml:space="preserve">    Указанные Вами размеры будут необходимы при выполнении графической части проекта !!!   Схему выработок выемочного участка необходимо привести в пояснительной записке к проекту!</t>
  </si>
  <si>
    <t xml:space="preserve">                                                                                             Длина, м</t>
  </si>
  <si>
    <r>
      <t xml:space="preserve">удельная длительность всех перерывов, зависящих от конструкции струга,   </t>
    </r>
    <r>
      <rPr>
        <sz val="14"/>
        <color indexed="12"/>
        <rFont val="Arial Cyr"/>
        <charset val="204"/>
      </rPr>
      <t>Т</t>
    </r>
    <r>
      <rPr>
        <vertAlign val="subscript"/>
        <sz val="14"/>
        <color indexed="12"/>
        <rFont val="Arial Cyr"/>
        <charset val="204"/>
      </rPr>
      <t>тп</t>
    </r>
    <r>
      <rPr>
        <vertAlign val="superscript"/>
        <sz val="14"/>
        <color indexed="12"/>
        <rFont val="Arial Cyr"/>
        <charset val="204"/>
      </rPr>
      <t xml:space="preserve">1  </t>
    </r>
    <r>
      <rPr>
        <vertAlign val="superscript"/>
        <sz val="10"/>
        <color indexed="12"/>
        <rFont val="Arial Cyr"/>
        <charset val="204"/>
      </rPr>
      <t xml:space="preserve"> </t>
    </r>
    <r>
      <rPr>
        <sz val="10"/>
        <color indexed="12"/>
        <rFont val="Arial Cyr"/>
        <charset val="204"/>
      </rPr>
      <t>минуты  (таб. 24  среднее знаение)  для индивидуальной крепи</t>
    </r>
  </si>
  <si>
    <r>
      <t xml:space="preserve">удельная длительность всех перерывов, зависящих от конструкции струга,   </t>
    </r>
    <r>
      <rPr>
        <sz val="14"/>
        <color indexed="12"/>
        <rFont val="Arial Cyr"/>
        <charset val="204"/>
      </rPr>
      <t>Т</t>
    </r>
    <r>
      <rPr>
        <vertAlign val="subscript"/>
        <sz val="14"/>
        <color indexed="12"/>
        <rFont val="Arial Cyr"/>
        <charset val="204"/>
      </rPr>
      <t>тп</t>
    </r>
    <r>
      <rPr>
        <vertAlign val="superscript"/>
        <sz val="14"/>
        <color indexed="12"/>
        <rFont val="Arial Cyr"/>
        <charset val="204"/>
      </rPr>
      <t xml:space="preserve">1  </t>
    </r>
    <r>
      <rPr>
        <vertAlign val="superscript"/>
        <sz val="10"/>
        <color indexed="12"/>
        <rFont val="Arial Cyr"/>
        <charset val="204"/>
      </rPr>
      <t xml:space="preserve"> </t>
    </r>
    <r>
      <rPr>
        <sz val="10"/>
        <color indexed="12"/>
        <rFont val="Arial Cyr"/>
        <charset val="204"/>
      </rPr>
      <t>минуты  (таб. 24  среднее значение)  для механизированной крепи</t>
    </r>
  </si>
  <si>
    <t>выработки, согласно ЕНВ, включены в программу расчетов).</t>
  </si>
  <si>
    <t>ПЕРЕХОДИТЕ К СТРОКЕ</t>
  </si>
  <si>
    <t>Струг</t>
  </si>
  <si>
    <t>Какой тип посадочной крепи принят в проекте 1 - ОКУ, 2 - СПУТНИК</t>
  </si>
  <si>
    <t xml:space="preserve">                горно-геологических условиях  и средствах механизации выемки"</t>
  </si>
  <si>
    <r>
      <t xml:space="preserve">Скорость струга  </t>
    </r>
    <r>
      <rPr>
        <b/>
        <sz val="11"/>
        <rFont val="Times New Roman Cyr"/>
        <family val="1"/>
        <charset val="204"/>
      </rPr>
      <t>v</t>
    </r>
    <r>
      <rPr>
        <b/>
        <vertAlign val="subscript"/>
        <sz val="11"/>
        <rFont val="Times New Roman Cyr"/>
        <family val="1"/>
        <charset val="204"/>
      </rPr>
      <t>c</t>
    </r>
    <r>
      <rPr>
        <sz val="10"/>
        <rFont val="Times New Roman Cyr"/>
        <family val="1"/>
        <charset val="204"/>
      </rPr>
      <t xml:space="preserve"> и скорость конвейерной цепи </t>
    </r>
    <r>
      <rPr>
        <b/>
        <sz val="11"/>
        <rFont val="Times New Roman Cyr"/>
        <family val="1"/>
        <charset val="204"/>
      </rPr>
      <t>v</t>
    </r>
    <r>
      <rPr>
        <b/>
        <vertAlign val="subscript"/>
        <sz val="11"/>
        <rFont val="Times New Roman Cyr"/>
        <family val="1"/>
        <charset val="204"/>
      </rPr>
      <t>к</t>
    </r>
    <r>
      <rPr>
        <sz val="10"/>
        <rFont val="Times New Roman Cyr"/>
        <family val="1"/>
        <charset val="204"/>
      </rPr>
      <t xml:space="preserve"> при рабочих режимах установки</t>
    </r>
  </si>
  <si>
    <r>
      <t xml:space="preserve">          v</t>
    </r>
    <r>
      <rPr>
        <vertAlign val="subscript"/>
        <sz val="11"/>
        <rFont val="Times New Roman Cyr"/>
        <family val="1"/>
        <charset val="204"/>
      </rPr>
      <t>c</t>
    </r>
    <r>
      <rPr>
        <sz val="11"/>
        <rFont val="Times New Roman Cyr"/>
        <family val="1"/>
        <charset val="204"/>
      </rPr>
      <t>&lt;v</t>
    </r>
    <r>
      <rPr>
        <vertAlign val="subscript"/>
        <sz val="11"/>
        <rFont val="Times New Roman Cyr"/>
        <family val="1"/>
        <charset val="204"/>
      </rPr>
      <t>к</t>
    </r>
  </si>
  <si>
    <r>
      <t xml:space="preserve">     2v</t>
    </r>
    <r>
      <rPr>
        <vertAlign val="subscript"/>
        <sz val="11"/>
        <rFont val="Times New Roman Cyr"/>
        <family val="1"/>
        <charset val="204"/>
      </rPr>
      <t>к</t>
    </r>
    <r>
      <rPr>
        <sz val="11"/>
        <rFont val="Times New Roman Cyr"/>
        <family val="1"/>
        <charset val="204"/>
      </rPr>
      <t>&lt;v</t>
    </r>
    <r>
      <rPr>
        <vertAlign val="subscript"/>
        <sz val="11"/>
        <rFont val="Times New Roman Cyr"/>
        <family val="1"/>
        <charset val="204"/>
      </rPr>
      <t>c</t>
    </r>
    <r>
      <rPr>
        <sz val="11"/>
        <rFont val="Times New Roman Cyr"/>
        <family val="1"/>
        <charset val="204"/>
      </rPr>
      <t>&lt;=3v</t>
    </r>
    <r>
      <rPr>
        <vertAlign val="subscript"/>
        <sz val="11"/>
        <rFont val="Times New Roman Cyr"/>
        <family val="1"/>
        <charset val="204"/>
      </rPr>
      <t>к</t>
    </r>
  </si>
  <si>
    <t>Кол-во взрываний на концевых участках лавы за сутки</t>
  </si>
  <si>
    <t>Наличие в пласте крупных твёрдых включений(0-нет.1-затр.врем. до 15 мин, 2-до 30, 3-до 45, 4-более 45мин.)</t>
  </si>
  <si>
    <t>Натегория пород по устойчивости нижнего слоя В</t>
  </si>
  <si>
    <t>Кровля (1-устойчивая, 2-неустойчивая)</t>
  </si>
  <si>
    <t>Длина головки конвейера, м</t>
  </si>
  <si>
    <t>Вынос головки конвейера на транспортный штрек, м</t>
  </si>
  <si>
    <r>
      <t xml:space="preserve">Степень нарушенности выемочного участка  </t>
    </r>
    <r>
      <rPr>
        <b/>
        <sz val="12"/>
        <rFont val="Times New Roman"/>
        <family val="1"/>
        <charset val="204"/>
      </rPr>
      <t>(ψ)</t>
    </r>
    <r>
      <rPr>
        <sz val="12"/>
        <rFont val="Times New Roman"/>
        <family val="1"/>
        <charset val="204"/>
      </rPr>
      <t xml:space="preserve">  выражается отношением протяженности зоны </t>
    </r>
  </si>
  <si>
    <t>Показатель отнесения пласта к "неблагоприятные условия" ориентировочно определяется как:</t>
  </si>
  <si>
    <r>
      <t xml:space="preserve">1. если </t>
    </r>
    <r>
      <rPr>
        <sz val="14"/>
        <rFont val="Times New Roman"/>
        <family val="1"/>
        <charset val="204"/>
      </rPr>
      <t>m</t>
    </r>
    <r>
      <rPr>
        <sz val="12"/>
        <rFont val="Times New Roman"/>
        <family val="1"/>
        <charset val="204"/>
      </rPr>
      <t>ср &gt; 1,2*</t>
    </r>
    <r>
      <rPr>
        <sz val="14"/>
        <rFont val="Times New Roman"/>
        <family val="1"/>
        <charset val="204"/>
      </rPr>
      <t>m</t>
    </r>
    <r>
      <rPr>
        <sz val="12"/>
        <rFont val="Times New Roman"/>
        <family val="1"/>
        <charset val="204"/>
      </rPr>
      <t>min тогда показатель 1 (неблагоприятные), в противном случае показатель 0</t>
    </r>
  </si>
  <si>
    <r>
      <t xml:space="preserve">2. если </t>
    </r>
    <r>
      <rPr>
        <sz val="14"/>
        <rFont val="Times New Roman"/>
        <family val="1"/>
        <charset val="204"/>
      </rPr>
      <t>m</t>
    </r>
    <r>
      <rPr>
        <sz val="12"/>
        <rFont val="Times New Roman"/>
        <family val="1"/>
        <charset val="204"/>
      </rPr>
      <t>max &gt; 1,20*</t>
    </r>
    <r>
      <rPr>
        <sz val="14"/>
        <rFont val="Times New Roman"/>
        <family val="1"/>
        <charset val="204"/>
      </rPr>
      <t>m</t>
    </r>
    <r>
      <rPr>
        <sz val="12"/>
        <rFont val="Times New Roman"/>
        <family val="1"/>
        <charset val="204"/>
      </rPr>
      <t>cp тогда показатель 1 (неблагоприятные), в противном случае показатель 0</t>
    </r>
  </si>
  <si>
    <t>3. если номер категории А &gt; 3 тогда показатель 1 (неблагоприятно), в противном случае показатель 0</t>
  </si>
  <si>
    <t>4. если номер категории Б&lt; 3 тогда показатель 1 (неблагоприятно), в противном случае показатель 0</t>
  </si>
  <si>
    <r>
      <t xml:space="preserve">5. если степень нарушенности </t>
    </r>
    <r>
      <rPr>
        <b/>
        <sz val="12"/>
        <rFont val="Arial Cyr"/>
        <charset val="204"/>
      </rPr>
      <t xml:space="preserve">ψ </t>
    </r>
    <r>
      <rPr>
        <b/>
        <sz val="12"/>
        <rFont val="Arial"/>
        <family val="2"/>
        <charset val="204"/>
      </rPr>
      <t>≥</t>
    </r>
    <r>
      <rPr>
        <sz val="12"/>
        <rFont val="Times New Roman"/>
        <family val="1"/>
        <charset val="204"/>
      </rPr>
      <t xml:space="preserve"> 0,2 тогда показатель 1 (неблагоприятные), в противном случае показатель 0.</t>
    </r>
  </si>
  <si>
    <r>
      <t>Нормативная прочность материала тумбы, кН/м</t>
    </r>
    <r>
      <rPr>
        <vertAlign val="superscript"/>
        <sz val="11"/>
        <color indexed="8"/>
        <rFont val="Calibri"/>
        <family val="2"/>
        <charset val="204"/>
      </rPr>
      <t>2</t>
    </r>
  </si>
  <si>
    <r>
      <t>Площадь поперечного сечения тумбы, м</t>
    </r>
    <r>
      <rPr>
        <vertAlign val="superscript"/>
        <sz val="11"/>
        <color indexed="8"/>
        <rFont val="Calibri"/>
        <family val="2"/>
        <charset val="204"/>
      </rPr>
      <t>2</t>
    </r>
  </si>
  <si>
    <t>Толщина плиты БЖБТ, м</t>
  </si>
  <si>
    <t>При применении литой полосы</t>
  </si>
  <si>
    <t>Навеска</t>
  </si>
  <si>
    <t>Вынимаемая мощность пласта</t>
  </si>
  <si>
    <t>угол падения пласта</t>
  </si>
  <si>
    <t>51,3-57</t>
  </si>
  <si>
    <t>,</t>
  </si>
  <si>
    <t xml:space="preserve">Максимальная необходимая высота стойки, мм </t>
  </si>
  <si>
    <t>Сумма затрат времени при  механизиров. крепи, Ттехн  мин/цикл   (ф. 21)</t>
  </si>
  <si>
    <t>Коэффициент готовности  комбайна в реальных условиях   (таб. А.9.)</t>
  </si>
  <si>
    <t>Принятый в расчетах коэф. готовности конвейерной линии</t>
  </si>
  <si>
    <t>Принятый в расчетах коэф. готовности крепи</t>
  </si>
  <si>
    <t>Вычисления для неустойчивых и средней устойчивости кровель</t>
  </si>
  <si>
    <t>Коэффициент готовности забоя по процессу крепления за комбайном для индивидуальной крепи, пласт не опасен по выбросам (рис. 2)</t>
  </si>
  <si>
    <t>Коэффициент готовности забоя по процессу крепления за комбайном для механизированной крепи, пласт не опасен по выбросам (рис. 2)</t>
  </si>
  <si>
    <r>
      <t xml:space="preserve">Высота струга </t>
    </r>
    <r>
      <rPr>
        <b/>
        <sz val="10"/>
        <rFont val="Times New Roman Cyr"/>
        <family val="1"/>
        <charset val="204"/>
      </rPr>
      <t>H</t>
    </r>
    <r>
      <rPr>
        <sz val="10"/>
        <rFont val="Times New Roman Cyr"/>
        <family val="1"/>
        <charset val="204"/>
      </rPr>
      <t>, м</t>
    </r>
  </si>
  <si>
    <r>
      <t>a</t>
    </r>
    <r>
      <rPr>
        <vertAlign val="subscript"/>
        <sz val="11"/>
        <rFont val="Times New Roman Cyr"/>
        <family val="1"/>
        <charset val="204"/>
      </rPr>
      <t>1</t>
    </r>
    <r>
      <rPr>
        <sz val="11"/>
        <rFont val="Times New Roman Cyr"/>
        <family val="1"/>
        <charset val="204"/>
      </rPr>
      <t>=</t>
    </r>
  </si>
  <si>
    <r>
      <t>H</t>
    </r>
    <r>
      <rPr>
        <vertAlign val="subscript"/>
        <sz val="11"/>
        <rFont val="Times New Roman Cyr"/>
        <family val="1"/>
        <charset val="204"/>
      </rPr>
      <t>c1</t>
    </r>
    <r>
      <rPr>
        <sz val="11"/>
        <rFont val="Times New Roman Cyr"/>
        <family val="1"/>
        <charset val="204"/>
      </rPr>
      <t>=</t>
    </r>
  </si>
  <si>
    <r>
      <t>a</t>
    </r>
    <r>
      <rPr>
        <vertAlign val="subscript"/>
        <sz val="11"/>
        <rFont val="Times New Roman Cyr"/>
        <family val="1"/>
        <charset val="204"/>
      </rPr>
      <t>2</t>
    </r>
    <r>
      <rPr>
        <sz val="11"/>
        <rFont val="Times New Roman Cyr"/>
        <family val="1"/>
        <charset val="204"/>
      </rPr>
      <t>=</t>
    </r>
  </si>
  <si>
    <r>
      <t>H</t>
    </r>
    <r>
      <rPr>
        <vertAlign val="subscript"/>
        <sz val="11"/>
        <rFont val="Times New Roman Cyr"/>
        <family val="1"/>
        <charset val="204"/>
      </rPr>
      <t>c2</t>
    </r>
    <r>
      <rPr>
        <sz val="11"/>
        <rFont val="Times New Roman Cyr"/>
        <family val="1"/>
        <charset val="204"/>
      </rPr>
      <t>=</t>
    </r>
  </si>
  <si>
    <r>
      <t>a</t>
    </r>
    <r>
      <rPr>
        <vertAlign val="subscript"/>
        <sz val="11"/>
        <rFont val="Times New Roman Cyr"/>
        <family val="1"/>
        <charset val="204"/>
      </rPr>
      <t>3=</t>
    </r>
  </si>
  <si>
    <r>
      <t>H</t>
    </r>
    <r>
      <rPr>
        <vertAlign val="subscript"/>
        <sz val="11"/>
        <rFont val="Times New Roman Cyr"/>
        <family val="1"/>
        <charset val="204"/>
      </rPr>
      <t>c3</t>
    </r>
    <r>
      <rPr>
        <sz val="11"/>
        <rFont val="Times New Roman Cyr"/>
        <family val="1"/>
        <charset val="204"/>
      </rPr>
      <t>=</t>
    </r>
  </si>
  <si>
    <t>Коэффициент готовности 3-го конвейера   (таб. А.9)</t>
  </si>
  <si>
    <t>Коэффициент готовности 4-го конвейера   (таб. А.9)</t>
  </si>
  <si>
    <t>Индекс условий эксплуатации</t>
  </si>
  <si>
    <t xml:space="preserve">Основные параметры скребковых конвейеров </t>
  </si>
  <si>
    <t>Угольный поток направлен противоположно направлению подвигания лавы - 1, или направлен в сторону подвигания лавы  - 2?</t>
  </si>
  <si>
    <t>трансп</t>
  </si>
  <si>
    <t>вент</t>
  </si>
  <si>
    <t>Порядок установки крепи ( 1- последовательно, 2 - через рамку)</t>
  </si>
  <si>
    <t>Размер металлического шарнирного верхняка, м (1,26м - 1, 1 м - 2, 0,8 м - 3)</t>
  </si>
  <si>
    <t>Способ установки металлического верхняка 1 - линейно, 2 - треугольно</t>
  </si>
  <si>
    <r>
      <t xml:space="preserve">Принятый коэффициент резерва </t>
    </r>
    <r>
      <rPr>
        <sz val="10"/>
        <rFont val="Arial Cyr"/>
        <charset val="204"/>
      </rPr>
      <t>скорости крепления  (ф. 32)</t>
    </r>
  </si>
  <si>
    <t>Принятый коэффициент готовности по процессу крепления  для не выбросоопасных пластов (рис. 2)</t>
  </si>
  <si>
    <t>Отношение суммарной мощности  ложной кровли и породных прослойков к вынимаемой мощности пласта,%</t>
  </si>
  <si>
    <t>46-60</t>
  </si>
  <si>
    <t>&gt; 60</t>
  </si>
  <si>
    <t>Комбинированная обратный ход,  движение воздуха по лаве от транспортной выработки к вентиляционной и далее на выработанное пространство. Вентиляционная выработка  проводится за лавой через целик менее  Lоп. Транспортная выработка проводится заранее и за лавой погашается.</t>
  </si>
  <si>
    <t>Табл. А Коэффициент списочного состава (Бакулин Н. В. МУ к КП по предмету "Управление производством"</t>
  </si>
  <si>
    <t>Погрузка дерев крепи в вагонетки</t>
  </si>
  <si>
    <t>КСС при работе участка</t>
  </si>
  <si>
    <t>(2) Таб 138 стр315</t>
  </si>
  <si>
    <t xml:space="preserve"> Продолжаем работу </t>
  </si>
  <si>
    <t xml:space="preserve">      Таблица удельных затрат, д.е./т </t>
  </si>
  <si>
    <t>Удельные затраты при "средних" значениях параметров технологии</t>
  </si>
  <si>
    <t>Удельные затраты при принятых значениях параметров технологии</t>
  </si>
  <si>
    <t>Выделение воды(2- из почвы, 3- сильный капеж, 4- выделение струями, 1- отсутствует.)</t>
  </si>
  <si>
    <t>Сведения о технологии выемки в лаве и взрывных работах  в лаве</t>
  </si>
  <si>
    <t>Выемка угля (1- врубовой машиной, 0-  др.способ.)</t>
  </si>
  <si>
    <t>Управление кровлей( 1- частичная закладка, 0- другой способ)</t>
  </si>
  <si>
    <t>Ведутся взрывные работы в нишах, в бутовых штреках, на концах лав(0- нет, 1- да)</t>
  </si>
  <si>
    <t>Работы по перепиливанию(обрубке) стоек(1- есть, 0- отсутствуют)</t>
  </si>
  <si>
    <t>Долбление лунок под стойки(1- осуществляется, 0- не осуществляется)</t>
  </si>
  <si>
    <t>Дополнительные исходные данные для каждого способа охраны выработки</t>
  </si>
  <si>
    <t>При применении тумб БЖБТ</t>
  </si>
  <si>
    <t>Потеря гидростоек за цикл при применении мет.верхняков, грн</t>
  </si>
  <si>
    <t>Потеря гидростоек за цикл, грн</t>
  </si>
  <si>
    <t>Верхняк металлический</t>
  </si>
  <si>
    <t>Плановый процент потерь мет.верхняков в месяц (3-5%)</t>
  </si>
  <si>
    <t>Плановый процент потерь мет.верхняков за цикл</t>
  </si>
  <si>
    <t>Суммарная масса используемых верхняков</t>
  </si>
  <si>
    <t>Расчет коэффициента машинного времени</t>
  </si>
  <si>
    <t>Сменный коэффициент машинного времени определяется по графику рис. 5 или по формуле</t>
  </si>
  <si>
    <t>µ1 - коэффициент готовности забоя по группе последовательных перерывов</t>
  </si>
  <si>
    <t>Периодически повторяющиеся технологические перерывы  Ттп</t>
  </si>
  <si>
    <t>механизированная крепь     ф. 76</t>
  </si>
  <si>
    <t>для индивидуальной крепи по ф. 77</t>
  </si>
  <si>
    <t>Три стойки под верхняк</t>
  </si>
  <si>
    <t>Таблица 60 ЕНВ стр.195 1993г.</t>
  </si>
  <si>
    <t>До 0,6</t>
  </si>
  <si>
    <t>До 24,2</t>
  </si>
  <si>
    <t>Комбинированная прямой ход, движение воздуха по лаве от транспортной выработки к вентиляционной и далее на массив. Вентиляционная выработка  проведена заранее через целик менее  Lоп, за лавой не погашается, Транспортная выработка проведена заранее и  за лавой не погашается. Участки выработок впереди лавы проветриваются через фланговые выработки.</t>
  </si>
  <si>
    <t xml:space="preserve">3 - если сумма показателей "неблагоприятности" равна 2 - 1 лава на 4  действующих, т.е количество лав по </t>
  </si>
  <si>
    <t xml:space="preserve">    данному пласту увеличивается с коэффициентом 1/4, т.е. 1+1/4=1,25</t>
  </si>
  <si>
    <t>Установка комплектов крепи и стоек после передвижки конвейера</t>
  </si>
  <si>
    <r>
      <t xml:space="preserve">Минимальное значение категории почвы по устойчивости   </t>
    </r>
    <r>
      <rPr>
        <b/>
        <sz val="10"/>
        <color indexed="8"/>
        <rFont val="Times New Roman"/>
        <family val="1"/>
        <charset val="204"/>
      </rPr>
      <t>П</t>
    </r>
  </si>
  <si>
    <r>
      <t xml:space="preserve">Сопротивление поддерживающей части  крепи  </t>
    </r>
    <r>
      <rPr>
        <b/>
        <sz val="10"/>
        <color indexed="8"/>
        <rFont val="Times New Roman"/>
        <family val="1"/>
        <charset val="204"/>
      </rPr>
      <t>Р</t>
    </r>
    <r>
      <rPr>
        <sz val="10"/>
        <color indexed="8"/>
        <rFont val="Times New Roman"/>
        <family val="1"/>
        <charset val="204"/>
      </rPr>
      <t>, МПа</t>
    </r>
  </si>
  <si>
    <r>
      <t xml:space="preserve">Показатель "неблагоприятности" условий согласно категории пород по устойчивости нижнего слоя                </t>
    </r>
    <r>
      <rPr>
        <sz val="14"/>
        <rFont val="Times New Roman"/>
        <family val="1"/>
        <charset val="204"/>
      </rPr>
      <t xml:space="preserve"> Б&lt; 3</t>
    </r>
  </si>
  <si>
    <r>
      <t xml:space="preserve">Показатель "неблагоприятности" условий согласно нарушенности пласта            </t>
    </r>
    <r>
      <rPr>
        <sz val="14"/>
        <rFont val="Times New Roman"/>
        <family val="1"/>
        <charset val="204"/>
      </rPr>
      <t>ψ ≥ 0,2</t>
    </r>
  </si>
  <si>
    <r>
      <t xml:space="preserve">                                                                          m</t>
    </r>
    <r>
      <rPr>
        <b/>
        <vertAlign val="subscript"/>
        <sz val="12"/>
        <color indexed="10"/>
        <rFont val="Arial"/>
        <family val="2"/>
        <charset val="204"/>
      </rPr>
      <t>ср</t>
    </r>
    <r>
      <rPr>
        <b/>
        <sz val="12"/>
        <color indexed="10"/>
        <rFont val="Arial"/>
        <family val="2"/>
        <charset val="204"/>
      </rPr>
      <t>*k</t>
    </r>
    <r>
      <rPr>
        <b/>
        <vertAlign val="subscript"/>
        <sz val="12"/>
        <color indexed="10"/>
        <rFont val="Arial"/>
        <family val="2"/>
        <charset val="204"/>
      </rPr>
      <t>p</t>
    </r>
  </si>
  <si>
    <t>Выбросоопасность</t>
  </si>
  <si>
    <t>Глубина</t>
  </si>
  <si>
    <t>Плотность горной массы</t>
  </si>
  <si>
    <t>Категория пород Б по устойчивости нижнего слоя кровли (по ДонУГИ) 1-Б1, 2-Б2, 3-Б3, 4-Б4</t>
  </si>
  <si>
    <t>Пласты без включений колчедана или пирита; или суммарная мощность прослойков менее 10% мощности пласта; или комбайном добыто менее 100 тыс.т при двухсменном или трехсменном режимах работы очистного забоя</t>
  </si>
  <si>
    <t xml:space="preserve">                 Условия эксплуатации</t>
  </si>
  <si>
    <t>Во всех остальных случаях</t>
  </si>
  <si>
    <t>до 0,150</t>
  </si>
  <si>
    <t>36,3-41,0</t>
  </si>
  <si>
    <t>0,388-0,448</t>
  </si>
  <si>
    <t>0,151-0,185</t>
  </si>
  <si>
    <t>Н=16111*L^-0,653</t>
  </si>
  <si>
    <t>Н=25667*L^-0,666</t>
  </si>
  <si>
    <t>До 0,60</t>
  </si>
  <si>
    <t>0,449-0,512</t>
  </si>
  <si>
    <t>Какое решение Вы принимаете?  1 - согласиться с результатами проведенных вычислений, 2 - изменить принятый вариант системы разработки</t>
  </si>
  <si>
    <r>
      <t xml:space="preserve">4. Устанавливается в  столбце </t>
    </r>
    <r>
      <rPr>
        <b/>
        <sz val="12"/>
        <rFont val="Times New Roman"/>
        <family val="1"/>
        <charset val="204"/>
      </rPr>
      <t>Н</t>
    </r>
    <r>
      <rPr>
        <sz val="12"/>
        <rFont val="Times New Roman"/>
        <family val="1"/>
        <charset val="204"/>
      </rPr>
      <t xml:space="preserve"> строки        </t>
    </r>
  </si>
  <si>
    <r>
      <t xml:space="preserve">это значение величины пая и ячейка "протягивается" до столбца  </t>
    </r>
    <r>
      <rPr>
        <b/>
        <sz val="12"/>
        <rFont val="Times New Roman"/>
        <family val="1"/>
        <charset val="204"/>
      </rPr>
      <t>L.</t>
    </r>
  </si>
  <si>
    <t xml:space="preserve">    Зависимость возможной нагрузки на струговую лаву от длины лавы</t>
  </si>
  <si>
    <t>Комбинированная прямой ход, движение воздуха по лаве от транспортной выработки к вентиляционной и далее на выработанное пространство. Вентиляционная выработка проводится за лавой через целик менее  Lоп, Транспортная выработка проведена заранее, за лавой не погашается, участок ее впереди лавы проветривается от фланговой выработки.</t>
  </si>
  <si>
    <t>Трудоемкость, чел.см/цикл</t>
  </si>
  <si>
    <t>Навалоотбойка угля</t>
  </si>
  <si>
    <t>Норма выработки табличная,т</t>
  </si>
  <si>
    <t>Доп.вычисления НВ</t>
  </si>
  <si>
    <t>Доп.вычисления 1,5*Lн,м2</t>
  </si>
  <si>
    <t>на площадь обнажения кровли</t>
  </si>
  <si>
    <t>на наличие в пласте твердых включений</t>
  </si>
  <si>
    <t>на навалоотбойку угля в нишах (табличный)</t>
  </si>
  <si>
    <t>При навалоотбойке угля осуществляется разбивка крупных кусков (0-нет, 1-да)</t>
  </si>
  <si>
    <t>на разбивку крупных кусков</t>
  </si>
  <si>
    <t>Отношение мощности породных прослойков и ложной кровли к вынимаемой мощности пласта, %</t>
  </si>
  <si>
    <t>на наличие отбираемых вручнуюи откидываемых в выработанное пространство породных прослойков и ложной кровли, обрушающейся при выемке</t>
  </si>
  <si>
    <t>Длина конвейера наклонных выработок, м</t>
  </si>
  <si>
    <t xml:space="preserve">вентиляционному штреку. Вместе с тем, при некоторых видах системы разработки имеет место проведение </t>
  </si>
  <si>
    <t>дополнительного ходка.</t>
  </si>
  <si>
    <t>Опасность пласта по внезапным выбросам (1 - опасен, 0 - не опасен)</t>
  </si>
  <si>
    <t>изменения коэф готовности по факторам  (табл 26)</t>
  </si>
  <si>
    <t>Исходные данные о технологии работ на участке</t>
  </si>
  <si>
    <t xml:space="preserve">  Как указывалось выше,  на газообильном пласте в зависимости от величины газовыделения из выработанного</t>
  </si>
  <si>
    <t xml:space="preserve"> пространства и газоносности пласта нагрузка на лаву может быть ограничена требованиями Правил </t>
  </si>
  <si>
    <t>Безопасности.</t>
  </si>
  <si>
    <t xml:space="preserve">    Ниже проведены результаты расчета допустимой нагрузки на лаву по возможностям проветривания.</t>
  </si>
  <si>
    <r>
      <t xml:space="preserve">           между пластами </t>
    </r>
    <r>
      <rPr>
        <b/>
        <sz val="12"/>
        <rFont val="Times New Roman"/>
        <family val="1"/>
        <charset val="204"/>
      </rPr>
      <t>h</t>
    </r>
    <r>
      <rPr>
        <b/>
        <vertAlign val="subscript"/>
        <sz val="12"/>
        <rFont val="Times New Roman"/>
        <family val="1"/>
        <charset val="204"/>
      </rPr>
      <t>1</t>
    </r>
    <r>
      <rPr>
        <sz val="12"/>
        <rFont val="Times New Roman"/>
        <family val="1"/>
        <charset val="204"/>
      </rPr>
      <t xml:space="preserve">   и  </t>
    </r>
    <r>
      <rPr>
        <b/>
        <sz val="12"/>
        <rFont val="Times New Roman"/>
        <family val="1"/>
        <charset val="204"/>
      </rPr>
      <t>h</t>
    </r>
    <r>
      <rPr>
        <b/>
        <vertAlign val="subscript"/>
        <sz val="12"/>
        <rFont val="Times New Roman"/>
        <family val="1"/>
        <charset val="204"/>
      </rPr>
      <t xml:space="preserve">2  </t>
    </r>
    <r>
      <rPr>
        <sz val="12"/>
        <rFont val="Times New Roman"/>
        <family val="1"/>
        <charset val="204"/>
      </rPr>
      <t>и провести под углом  α до верхней технической границы жирную линию.</t>
    </r>
  </si>
  <si>
    <r>
      <t xml:space="preserve">3. От  крайней правой точки чертежа под углом </t>
    </r>
    <r>
      <rPr>
        <b/>
        <sz val="12"/>
        <rFont val="Arial Cyr"/>
        <charset val="204"/>
      </rPr>
      <t>α</t>
    </r>
    <r>
      <rPr>
        <b/>
        <sz val="12"/>
        <rFont val="Times New Roman"/>
        <family val="1"/>
        <charset val="204"/>
      </rPr>
      <t xml:space="preserve"> </t>
    </r>
    <r>
      <rPr>
        <sz val="12"/>
        <rFont val="Times New Roman"/>
        <family val="1"/>
        <charset val="204"/>
      </rPr>
      <t xml:space="preserve">провести жирную линию длиной </t>
    </r>
    <r>
      <rPr>
        <b/>
        <sz val="14"/>
        <rFont val="Times New Roman"/>
        <family val="1"/>
        <charset val="204"/>
      </rPr>
      <t>Н</t>
    </r>
    <r>
      <rPr>
        <sz val="12"/>
        <rFont val="Times New Roman"/>
        <family val="1"/>
        <charset val="204"/>
      </rPr>
      <t xml:space="preserve">. Это пласт </t>
    </r>
    <r>
      <rPr>
        <b/>
        <sz val="12"/>
        <rFont val="Times New Roman"/>
        <family val="1"/>
        <charset val="204"/>
      </rPr>
      <t xml:space="preserve"> h</t>
    </r>
    <r>
      <rPr>
        <b/>
        <vertAlign val="subscript"/>
        <sz val="12"/>
        <rFont val="Times New Roman"/>
        <family val="1"/>
        <charset val="204"/>
      </rPr>
      <t>1.</t>
    </r>
  </si>
  <si>
    <r>
      <t xml:space="preserve">           Это пласт </t>
    </r>
    <r>
      <rPr>
        <b/>
        <sz val="12"/>
        <rFont val="Times New Roman"/>
        <family val="1"/>
        <charset val="204"/>
      </rPr>
      <t>h</t>
    </r>
    <r>
      <rPr>
        <b/>
        <vertAlign val="subscript"/>
        <sz val="12"/>
        <rFont val="Times New Roman"/>
        <family val="1"/>
        <charset val="204"/>
      </rPr>
      <t>2</t>
    </r>
    <r>
      <rPr>
        <b/>
        <sz val="12"/>
        <rFont val="Times New Roman"/>
        <family val="1"/>
        <charset val="204"/>
      </rPr>
      <t>.</t>
    </r>
  </si>
  <si>
    <r>
      <t xml:space="preserve">6. Аналогично, откладывая расстояния 2-3 и 3-4 показать на чертеже пласты </t>
    </r>
    <r>
      <rPr>
        <b/>
        <sz val="12"/>
        <rFont val="Times New Roman"/>
        <family val="1"/>
        <charset val="204"/>
      </rPr>
      <t>h</t>
    </r>
    <r>
      <rPr>
        <b/>
        <vertAlign val="subscript"/>
        <sz val="12"/>
        <rFont val="Times New Roman"/>
        <family val="1"/>
        <charset val="204"/>
      </rPr>
      <t>3</t>
    </r>
    <r>
      <rPr>
        <sz val="12"/>
        <rFont val="Times New Roman"/>
        <family val="1"/>
        <charset val="204"/>
      </rPr>
      <t xml:space="preserve"> и   </t>
    </r>
    <r>
      <rPr>
        <b/>
        <sz val="12"/>
        <rFont val="Times New Roman"/>
        <family val="1"/>
        <charset val="204"/>
      </rPr>
      <t>h</t>
    </r>
    <r>
      <rPr>
        <b/>
        <vertAlign val="subscript"/>
        <sz val="12"/>
        <rFont val="Times New Roman"/>
        <family val="1"/>
        <charset val="204"/>
      </rPr>
      <t xml:space="preserve">4 </t>
    </r>
    <r>
      <rPr>
        <sz val="12"/>
        <rFont val="Times New Roman"/>
        <family val="1"/>
        <charset val="204"/>
      </rPr>
      <t>(если они имеются!).</t>
    </r>
  </si>
  <si>
    <t>Возраст струговой установки (от начала работы или от капремонта), год</t>
  </si>
  <si>
    <t>Нормативная годовая добыча лавы, тыс.т</t>
  </si>
  <si>
    <t>Величина в ф. 70</t>
  </si>
  <si>
    <t>проектный коэффициент готовности струговой установки</t>
  </si>
  <si>
    <t>1МКС</t>
  </si>
  <si>
    <t>МКСУ</t>
  </si>
  <si>
    <t>Трудоемкость, чел.см/сутки</t>
  </si>
  <si>
    <t xml:space="preserve"> Установка крепи усиления в выработке, шт</t>
  </si>
  <si>
    <t xml:space="preserve"> Крепление в нише  (все операции)</t>
  </si>
  <si>
    <t>Сооружение средств охраны м/цикл</t>
  </si>
  <si>
    <t>МГВМ</t>
  </si>
  <si>
    <t>ГРОЗ</t>
  </si>
  <si>
    <r>
      <t xml:space="preserve">Размер шахтного поля по простиранию, м  </t>
    </r>
    <r>
      <rPr>
        <b/>
        <sz val="11"/>
        <rFont val="Times New Roman"/>
        <family val="1"/>
        <charset val="204"/>
      </rPr>
      <t>S</t>
    </r>
  </si>
  <si>
    <r>
      <t xml:space="preserve">Размер шахтного поля по падению, м   </t>
    </r>
    <r>
      <rPr>
        <b/>
        <sz val="11"/>
        <rFont val="Times New Roman"/>
        <family val="1"/>
        <charset val="204"/>
      </rPr>
      <t>H</t>
    </r>
  </si>
  <si>
    <t>2 - Один из факторов ограничивает нагрузку на лаву только до определенного размера ее длины.</t>
  </si>
  <si>
    <r>
      <t>Категория кровли по обрушаемости  (1- А</t>
    </r>
    <r>
      <rPr>
        <vertAlign val="subscript"/>
        <sz val="10"/>
        <rFont val="Arial Cyr"/>
        <charset val="204"/>
      </rPr>
      <t>1</t>
    </r>
    <r>
      <rPr>
        <sz val="10"/>
        <rFont val="Arial Cyr"/>
        <charset val="204"/>
      </rPr>
      <t>, 2 - А</t>
    </r>
    <r>
      <rPr>
        <vertAlign val="subscript"/>
        <sz val="10"/>
        <rFont val="Arial Cyr"/>
        <family val="2"/>
        <charset val="204"/>
      </rPr>
      <t>1</t>
    </r>
    <r>
      <rPr>
        <sz val="10"/>
        <rFont val="Arial Cyr"/>
        <charset val="204"/>
      </rPr>
      <t xml:space="preserve"> с периодическими осадками, 3 - А</t>
    </r>
    <r>
      <rPr>
        <vertAlign val="subscript"/>
        <sz val="10"/>
        <rFont val="Arial Cyr"/>
        <family val="2"/>
        <charset val="204"/>
      </rPr>
      <t>2</t>
    </r>
    <r>
      <rPr>
        <sz val="10"/>
        <rFont val="Arial Cyr"/>
        <charset val="204"/>
      </rPr>
      <t>)</t>
    </r>
  </si>
  <si>
    <r>
      <t>Шаг обрушения основной кровли, м  (А</t>
    </r>
    <r>
      <rPr>
        <vertAlign val="subscript"/>
        <sz val="10"/>
        <rFont val="Arial Cyr"/>
        <charset val="204"/>
      </rPr>
      <t>1</t>
    </r>
    <r>
      <rPr>
        <sz val="10"/>
        <rFont val="Arial Cyr"/>
        <charset val="204"/>
      </rPr>
      <t xml:space="preserve"> - 3-5м, А</t>
    </r>
    <r>
      <rPr>
        <vertAlign val="subscript"/>
        <sz val="10"/>
        <rFont val="Arial Cyr"/>
        <charset val="204"/>
      </rPr>
      <t>1</t>
    </r>
    <r>
      <rPr>
        <vertAlign val="superscript"/>
        <sz val="10"/>
        <rFont val="Arial Cyr"/>
        <charset val="204"/>
      </rPr>
      <t>1</t>
    </r>
    <r>
      <rPr>
        <sz val="10"/>
        <rFont val="Arial Cyr"/>
        <charset val="204"/>
      </rPr>
      <t xml:space="preserve"> - 4 - 6м,             А</t>
    </r>
    <r>
      <rPr>
        <vertAlign val="subscript"/>
        <sz val="10"/>
        <rFont val="Arial Cyr"/>
        <charset val="204"/>
      </rPr>
      <t xml:space="preserve">2 </t>
    </r>
    <r>
      <rPr>
        <sz val="10"/>
        <rFont val="Arial Cyr"/>
        <charset val="204"/>
      </rPr>
      <t>- 6-20м)</t>
    </r>
  </si>
  <si>
    <r>
      <t xml:space="preserve">  Несущая способность почвы,    Н</t>
    </r>
    <r>
      <rPr>
        <vertAlign val="subscript"/>
        <sz val="10"/>
        <rFont val="Arial Cyr"/>
        <charset val="204"/>
      </rPr>
      <t>п</t>
    </r>
    <r>
      <rPr>
        <sz val="10"/>
        <rFont val="Arial Cyr"/>
        <family val="2"/>
        <charset val="204"/>
      </rPr>
      <t xml:space="preserve">       МПа</t>
    </r>
  </si>
  <si>
    <r>
      <t>Скорость струга,</t>
    </r>
    <r>
      <rPr>
        <sz val="11"/>
        <rFont val="Times New Roman Cyr"/>
        <family val="1"/>
        <charset val="204"/>
      </rPr>
      <t xml:space="preserve">    м/с</t>
    </r>
  </si>
  <si>
    <t>до 0,65</t>
  </si>
  <si>
    <t>0,66-1,05</t>
  </si>
  <si>
    <t>Трудоемкость установкми ремонтин, чел.см</t>
  </si>
  <si>
    <t>Тарифная ставка ГРОЗ V разряда</t>
  </si>
  <si>
    <t>Коэф списочного состава</t>
  </si>
  <si>
    <t>Начисления на зарплату, %</t>
  </si>
  <si>
    <t>Премии к зарате, %</t>
  </si>
  <si>
    <t>Прямая зарплата, грн/м</t>
  </si>
  <si>
    <t xml:space="preserve">Зарплата с учетом списочного состава </t>
  </si>
  <si>
    <t>Зарплата с учетом ночных</t>
  </si>
  <si>
    <t>Зарплата с учетом премии</t>
  </si>
  <si>
    <t>Зарплата с начислениями, грн/м (без затрат на доставку)</t>
  </si>
  <si>
    <t>Цена лесных материалов, грн/м3</t>
  </si>
  <si>
    <t>Общая трудоемккость крепления ниши за головкой конвейера, чел.см</t>
  </si>
  <si>
    <t>Суммарная трудоемкость при использовании мет.верхняков</t>
  </si>
  <si>
    <t>Погрузка угля на перегрузочном пункте лавы</t>
  </si>
  <si>
    <t xml:space="preserve">Сменная добыча участка (вспомогательные вычисления для нахождения нормы выработки) </t>
  </si>
  <si>
    <t>при погрузке угля на конвейер (табличный)</t>
  </si>
  <si>
    <t>на плотность угля</t>
  </si>
  <si>
    <t>Трудоемкость чел.-см./цикл</t>
  </si>
  <si>
    <t>Интегральный коэффициент</t>
  </si>
  <si>
    <t>Вспом вычисления все кроме крепи и затяжки</t>
  </si>
  <si>
    <t>Вспомогательное вычисление - комбайн (крепь и затяж)</t>
  </si>
  <si>
    <t>Вспомогательное вычисление  БВР (крепь и затяж)</t>
  </si>
  <si>
    <t>поправочный коэффициент к стоимости проведения, зависящей от сечения выработки - КРОМЕ КРЕПИ И ЗАТЯЖКИ</t>
  </si>
  <si>
    <t>вар 1.1.4</t>
  </si>
  <si>
    <t>Способ подготовки 1 - панельный, 2 - погоризонтный</t>
  </si>
  <si>
    <t>Подвигание лаы  1 - по простиранию, 2 -  по падению, 3 - по восстанию</t>
  </si>
  <si>
    <t>Трудоемкость работ за смену</t>
  </si>
  <si>
    <t xml:space="preserve">          из них МГВМ</t>
  </si>
  <si>
    <t xml:space="preserve">           из них ГРОЗ</t>
  </si>
  <si>
    <t>Трудоемкость на 100т</t>
  </si>
  <si>
    <t>Оператор погрузочного пункта</t>
  </si>
  <si>
    <t>Норма выработки для стоек, вагон</t>
  </si>
  <si>
    <t>Обаполы, брус, шпалы, затяжка, м3</t>
  </si>
  <si>
    <t>Заполняемость вагона, доля</t>
  </si>
  <si>
    <t>количество вагонов</t>
  </si>
  <si>
    <t>Норма выработки, вагон</t>
  </si>
  <si>
    <t xml:space="preserve">Комбинированная, обратный ход. Движение воздуха по лаве от транспортной выработки к вентиляционной и далее на выработанное пространство. Вентиляционная выработка  проведена от фланговой выработки вприсечку к старым работам, Подсвежающая струя - на фланговую выработку. Транспортная выработка проведена заранее, за лавой погашается. </t>
  </si>
  <si>
    <t>Комбинированная обратный ход, движение воздуха по лаве от транспортной выработки к вентиляционной и далее на выработанное пространство, Вентиляционная выработка проведена навстречу лаве через целик более  Lоп, за лавой не погашается. Транспортная выработка проведена заранее, за лавой не погашается, участок штрека за лавой проветривается от фланговой выработки. Подсвежающая струя - по вентиляционной выработке на фланговую выработку.</t>
  </si>
  <si>
    <t xml:space="preserve">       Перед каждым использованием программы необходимо:</t>
  </si>
  <si>
    <t>Чило рабочих дней в месяц</t>
  </si>
  <si>
    <t>Установление поправочных коэффициентов</t>
  </si>
  <si>
    <t>Обводненность рабочего места</t>
  </si>
  <si>
    <r>
      <t xml:space="preserve">Коэффициент снижения скорости крепления из-за затяжки кровли в отдельных местах  </t>
    </r>
    <r>
      <rPr>
        <sz val="12"/>
        <rFont val="Arial Cyr"/>
        <charset val="204"/>
      </rPr>
      <t>k</t>
    </r>
    <r>
      <rPr>
        <sz val="10"/>
        <rFont val="Arial Cyr"/>
        <family val="2"/>
        <charset val="204"/>
      </rPr>
      <t>кр  (ф. 38)</t>
    </r>
  </si>
  <si>
    <r>
      <t xml:space="preserve">Коэффициент влияния угла падения пласта на скорость крепления механизированной крепью  </t>
    </r>
    <r>
      <rPr>
        <sz val="11"/>
        <rFont val="Arial Cyr"/>
        <charset val="204"/>
      </rPr>
      <t>k</t>
    </r>
    <r>
      <rPr>
        <sz val="10"/>
        <rFont val="Arial Cyr"/>
        <family val="2"/>
        <charset val="204"/>
      </rPr>
      <t>уп (ф. 34 и 35)</t>
    </r>
  </si>
  <si>
    <r>
      <t xml:space="preserve">Величина  </t>
    </r>
    <r>
      <rPr>
        <sz val="12"/>
        <rFont val="Arial Cyr"/>
        <charset val="204"/>
      </rPr>
      <t>k</t>
    </r>
    <r>
      <rPr>
        <sz val="10"/>
        <rFont val="Arial Cyr"/>
        <family val="2"/>
        <charset val="204"/>
      </rPr>
      <t>п*  (рис. 3)</t>
    </r>
  </si>
  <si>
    <r>
      <t xml:space="preserve">Коэффициент снижения скорости крепления из-за недостаточной несущей способности почвы (расчетный)  </t>
    </r>
    <r>
      <rPr>
        <sz val="12"/>
        <rFont val="Arial Cyr"/>
        <charset val="204"/>
      </rPr>
      <t>k</t>
    </r>
    <r>
      <rPr>
        <sz val="10"/>
        <rFont val="Arial Cyr"/>
        <family val="2"/>
        <charset val="204"/>
      </rPr>
      <t>п  (ф. 37)</t>
    </r>
  </si>
  <si>
    <r>
      <t xml:space="preserve">Суммарная мощность одновременно разрабатываемых пластов, м </t>
    </r>
    <r>
      <rPr>
        <b/>
        <sz val="12"/>
        <rFont val="Times New Roman"/>
        <family val="1"/>
        <charset val="204"/>
      </rPr>
      <t xml:space="preserve"> </t>
    </r>
    <r>
      <rPr>
        <b/>
        <sz val="12"/>
        <rFont val="Arial Cyr"/>
        <charset val="204"/>
      </rPr>
      <t>Σm</t>
    </r>
    <r>
      <rPr>
        <b/>
        <vertAlign val="subscript"/>
        <sz val="12"/>
        <rFont val="Arial Cyr"/>
        <charset val="204"/>
      </rPr>
      <t>ср</t>
    </r>
    <r>
      <rPr>
        <b/>
        <sz val="12"/>
        <rFont val="Arial Cyr"/>
        <charset val="204"/>
      </rPr>
      <t xml:space="preserve"> =</t>
    </r>
  </si>
  <si>
    <t>Самовозгораемость 1 - Да. 0 - нет</t>
  </si>
  <si>
    <t>Выбросоопасность 1 - Да 0 - нет</t>
  </si>
  <si>
    <t>Водообильность 1 - высокая 0 - нет</t>
  </si>
  <si>
    <t>Газовыделение из выработанного пространства, м3/тсд</t>
  </si>
  <si>
    <t xml:space="preserve">        Поочередно устанавливайте показатель возможного параметра в столбце В  строки</t>
  </si>
  <si>
    <t>Какие величины податливости необходимо устанавливать  - указано в столбце А таблицы строки</t>
  </si>
  <si>
    <t xml:space="preserve">     Записывайте в таблицу величину удельных затрат из ячейки столбца В строки </t>
  </si>
  <si>
    <t xml:space="preserve">  После заполнения таблицы установите показатель параметра на "среднем" уровне!</t>
  </si>
  <si>
    <t>пластовая выработка, проведенная повыработанному пространству</t>
  </si>
  <si>
    <t>выработка проведена под разгрузочной лавой.</t>
  </si>
  <si>
    <t>выработка проведена под выработанным пространством</t>
  </si>
  <si>
    <t>номер вент</t>
  </si>
  <si>
    <t>прох 0, пройден 1</t>
  </si>
  <si>
    <t>погаш 0 сохран 1</t>
  </si>
  <si>
    <t>совпад 1 нет 0</t>
  </si>
  <si>
    <t>Впереди вент свежая 1, вент отработанная 2, нет 0</t>
  </si>
  <si>
    <t>Сзади вент свежая 1, вент отработанная -2, нет 0</t>
  </si>
  <si>
    <t>номер мод трансп</t>
  </si>
  <si>
    <t>воздух совпад 1 нет 0</t>
  </si>
  <si>
    <t>уголь совпад 1 нет 0</t>
  </si>
  <si>
    <t>Впереди трансп 1 да, 0 - нет</t>
  </si>
  <si>
    <t xml:space="preserve">Впереди  вент  свежая 1 , вент отработ 2, нет 0 </t>
  </si>
  <si>
    <t>Сзади трансп 1 Нет - 0</t>
  </si>
  <si>
    <t xml:space="preserve">Сзади  вент  свежая 1 , вент отработ 2, нет 0 </t>
  </si>
  <si>
    <t>направление работы лавы 1 - по простиранию, 2 - по падению, 3 по восстанию</t>
  </si>
  <si>
    <t>Номер модуля  сопряжения с транспорт выработкой</t>
  </si>
  <si>
    <t>наличие  впереди магистр трансп</t>
  </si>
  <si>
    <t>наличие  впереди магистр вент  свежих</t>
  </si>
  <si>
    <t>наличие  впереди магистр вент  отработанн</t>
  </si>
  <si>
    <t>наличие сзади магистр трансп</t>
  </si>
  <si>
    <t>наличие сзади магистр вент  свежая</t>
  </si>
  <si>
    <t>наличие сзади магистр вент  отработан</t>
  </si>
  <si>
    <t>Номер модуля  сопряжения с  вент выработкой</t>
  </si>
  <si>
    <t xml:space="preserve">             Данные о мех. крепях смотри в строке</t>
  </si>
  <si>
    <t>Минимальная конструктивная высота крепи 1200 мм, максимальная конструктивная высота крепи 1600 мм. Мощность пласта минимальная составляет 1,4 м, максимадьная 1, 62 м. Можно ли применять эту крепь?  Да - 1, Нет - 0</t>
  </si>
  <si>
    <t xml:space="preserve">  Как построить схему вскрытия? Ниже приведены некоторые рекомендации.</t>
  </si>
  <si>
    <t>Вскрытие с одним подъемным горизонтом</t>
  </si>
  <si>
    <t>Принципиальная схема разреза показана на рисунке</t>
  </si>
  <si>
    <t>1. Провести горизонтальную линию - дневная поверхность.</t>
  </si>
  <si>
    <r>
      <t xml:space="preserve">2. На расстоянии глубины верхней границы </t>
    </r>
    <r>
      <rPr>
        <b/>
        <sz val="14"/>
        <rFont val="Times New Roman"/>
        <family val="1"/>
        <charset val="204"/>
      </rPr>
      <t xml:space="preserve"> h</t>
    </r>
    <r>
      <rPr>
        <b/>
        <vertAlign val="subscript"/>
        <sz val="14"/>
        <rFont val="Times New Roman"/>
        <family val="1"/>
        <charset val="204"/>
      </rPr>
      <t>0</t>
    </r>
    <r>
      <rPr>
        <sz val="12"/>
        <rFont val="Times New Roman"/>
        <family val="1"/>
        <charset val="204"/>
      </rPr>
      <t xml:space="preserve">  провести горизонтальную линию - верхняя техническая граница.</t>
    </r>
  </si>
  <si>
    <r>
      <t xml:space="preserve">   </t>
    </r>
    <r>
      <rPr>
        <sz val="12"/>
        <rFont val="Times New Roman"/>
        <family val="1"/>
        <charset val="204"/>
      </rPr>
      <t xml:space="preserve">Коэффициент резерва лав по отдельным пластам может отличаться . </t>
    </r>
  </si>
  <si>
    <r>
      <t xml:space="preserve"> </t>
    </r>
    <r>
      <rPr>
        <sz val="12"/>
        <rFont val="Times New Roman"/>
        <family val="1"/>
        <charset val="204"/>
      </rPr>
      <t xml:space="preserve">Среднее </t>
    </r>
    <r>
      <rPr>
        <b/>
        <sz val="14"/>
        <rFont val="Times New Roman"/>
        <family val="1"/>
        <charset val="204"/>
      </rPr>
      <t xml:space="preserve"> </t>
    </r>
    <r>
      <rPr>
        <sz val="12"/>
        <rFont val="Times New Roman"/>
        <family val="1"/>
        <charset val="204"/>
      </rPr>
      <t>значение коэффициента резерва лав по шахте определяется по формуле</t>
    </r>
    <r>
      <rPr>
        <b/>
        <sz val="14"/>
        <rFont val="Times New Roman"/>
        <family val="1"/>
        <charset val="204"/>
      </rPr>
      <t xml:space="preserve">   </t>
    </r>
  </si>
  <si>
    <t>Средняя выработка для спаренных лав. Проведена заранее</t>
  </si>
  <si>
    <t>Повторно используется бывшая транспортная выработка</t>
  </si>
  <si>
    <t>Проводится вместе с лавой. Опережение более зоны опорного давления  Lоп</t>
  </si>
  <si>
    <t>Проводится вместе с лавой сдвоенно. Опере-жение более зоны опорного давления  Lоп</t>
  </si>
  <si>
    <t>Проводится вместе славой сдвоено . Опережение более Lоп. Готовится для следующей лавы.</t>
  </si>
  <si>
    <t>Проводится вместе с лавой спаренно.Опережение более зоны опорного давления  Lоп</t>
  </si>
  <si>
    <t xml:space="preserve">  Желательно, что бы Вы имели эскиз принятой системы разработки!!!</t>
  </si>
  <si>
    <t>размер выемочной ступени принимается до 1200 м, при углах падения от 10 градусов до 18 градусов -</t>
  </si>
  <si>
    <t xml:space="preserve">    Природные условия и принцип отнесения условий к "благоприятным" или "не благоприятным"</t>
  </si>
  <si>
    <t xml:space="preserve">                                      Показатели по пластам</t>
  </si>
  <si>
    <t xml:space="preserve"> Размер уклонной ступени, м</t>
  </si>
  <si>
    <t xml:space="preserve">                       Программа, не исправлять, данные не вводить !!!</t>
  </si>
  <si>
    <t>значение затрат на поддержание в зоне 4(для 2-й выр-ки)</t>
  </si>
  <si>
    <t>Мощность "земника" по всей длине лавы, м</t>
  </si>
  <si>
    <t xml:space="preserve">  Относительное метановыделение в призабойное пространство имеет место из трех источников:</t>
  </si>
  <si>
    <r>
      <t xml:space="preserve"> из отбиваемого в лаве угля </t>
    </r>
    <r>
      <rPr>
        <b/>
        <sz val="12"/>
        <rFont val="Times New Roman"/>
        <family val="1"/>
        <charset val="204"/>
      </rPr>
      <t>q1</t>
    </r>
    <r>
      <rPr>
        <sz val="12"/>
        <rFont val="Times New Roman"/>
        <family val="1"/>
        <charset val="204"/>
      </rPr>
      <t xml:space="preserve">, из выработанного пространства (породы, пласты-спутники) </t>
    </r>
    <r>
      <rPr>
        <b/>
        <sz val="12"/>
        <rFont val="Times New Roman"/>
        <family val="1"/>
        <charset val="204"/>
      </rPr>
      <t>q2</t>
    </r>
    <r>
      <rPr>
        <sz val="12"/>
        <rFont val="Times New Roman"/>
        <family val="1"/>
        <charset val="204"/>
      </rPr>
      <t xml:space="preserve">, </t>
    </r>
  </si>
  <si>
    <r>
      <t xml:space="preserve">и из уже отбитого и транспортируемого угля </t>
    </r>
    <r>
      <rPr>
        <b/>
        <sz val="12"/>
        <rFont val="Times New Roman"/>
        <family val="1"/>
        <charset val="204"/>
      </rPr>
      <t>q3.</t>
    </r>
    <r>
      <rPr>
        <sz val="12"/>
        <rFont val="Times New Roman"/>
        <family val="1"/>
        <charset val="204"/>
      </rPr>
      <t xml:space="preserve">   Таким образом, общее количество метана, </t>
    </r>
  </si>
  <si>
    <r>
      <t xml:space="preserve">поступающего в лаву, </t>
    </r>
    <r>
      <rPr>
        <b/>
        <sz val="12"/>
        <rFont val="Times New Roman"/>
        <family val="1"/>
        <charset val="204"/>
      </rPr>
      <t xml:space="preserve">q </t>
    </r>
    <r>
      <rPr>
        <sz val="12"/>
        <rFont val="Times New Roman"/>
        <family val="1"/>
        <charset val="204"/>
      </rPr>
      <t xml:space="preserve">составляет </t>
    </r>
  </si>
  <si>
    <t xml:space="preserve">    Данные о лаве-аналоге Вами уже введены в программу!</t>
  </si>
  <si>
    <t>На графике показана зависимость нагрузки на лаву от ее длины по обом фактрам</t>
  </si>
  <si>
    <t>Конвейерный транспорт по штреку длина лавы более 175 м</t>
  </si>
  <si>
    <t>Добыча угляв лаве не производится и в то время, когда какое-либо звено угледобычи по разным причинам</t>
  </si>
  <si>
    <t xml:space="preserve">не работает (например - произошла поломка, произошло местное обрушение кровли и т.д.). Показателем </t>
  </si>
  <si>
    <t>безотказной работы какого либо звена  называется надежность работы этого звена. Реально надежность</t>
  </si>
  <si>
    <t xml:space="preserve">   Детальное рассмотрение расчета нагрузки на лаву по техническим возможностям оборудования </t>
  </si>
  <si>
    <t>нагрузки на лаву выполняется с использованием специальной компьютерной программы и студенту предлага-</t>
  </si>
  <si>
    <t>ется только проводить анализ результатов таких вычислений.</t>
  </si>
  <si>
    <t>Присечка до 50%, комбайн легкий</t>
  </si>
  <si>
    <t>Нормативы на проходку БВР</t>
  </si>
  <si>
    <t>подрывка до 50%   крепость пород 7-8</t>
  </si>
  <si>
    <t>подрывка  50%-80%   крепость пород 7-8</t>
  </si>
  <si>
    <t>0,8&lt;m&lt;2,2</t>
  </si>
  <si>
    <t>подрывка более 80%   крепость пород 7-8</t>
  </si>
  <si>
    <t>m&lt;0,8</t>
  </si>
  <si>
    <t>подрывка до 50%   крепость пород 9-11</t>
  </si>
  <si>
    <t>подрывка  50% 0 80%  крепость пород 9-11</t>
  </si>
  <si>
    <t>подрывка  более 80%  крепость пород 9-11</t>
  </si>
  <si>
    <t>Поправ коэф на плотность крепи</t>
  </si>
  <si>
    <t>на выбросоопасность</t>
  </si>
  <si>
    <t>селективная выемка - тр-ный ш-к</t>
  </si>
  <si>
    <t>селективная выемка - вент ш-к</t>
  </si>
  <si>
    <t xml:space="preserve">выделение воды из почвы </t>
  </si>
  <si>
    <t>Интегральный коэффициент трансп ш-к</t>
  </si>
  <si>
    <t>Интегральный коэффициент вент.  ш-к</t>
  </si>
  <si>
    <t>Вычисления нормативов на проходку монтажного ходка</t>
  </si>
  <si>
    <t>Сечение ходка в проходке, м2</t>
  </si>
  <si>
    <t>Средняя по забою прочность пород по Протодьяконову</t>
  </si>
  <si>
    <t>Норматив для комбайна (табличный), м/мес</t>
  </si>
  <si>
    <t>номер строки в таблице нормативов</t>
  </si>
  <si>
    <t>номер столбца в таблице нормативов</t>
  </si>
  <si>
    <t>вспом вычисление</t>
  </si>
  <si>
    <t>Норматив для комбайна реальный, м/мес</t>
  </si>
  <si>
    <t>норматив для БВР табличный, м/мес</t>
  </si>
  <si>
    <t>Норматив для БВР реальный, м/мес</t>
  </si>
  <si>
    <t>Таблица соответствия вида узла примыкания к старым работам и узла сопряжения с вентиляционной выработкой</t>
  </si>
  <si>
    <t>&gt;l</t>
  </si>
  <si>
    <t>&lt;L</t>
  </si>
  <si>
    <t>присеч</t>
  </si>
  <si>
    <t>повт</t>
  </si>
  <si>
    <t>проводится вместе с лавой</t>
  </si>
  <si>
    <t>проведена ранее</t>
  </si>
  <si>
    <t>повторноиспользуемая</t>
  </si>
  <si>
    <t>многорядная органная крепь</t>
  </si>
  <si>
    <t>кусты</t>
  </si>
  <si>
    <t>Бутовая полоса при ручной закладке из бутового штрека</t>
  </si>
  <si>
    <t>двусторонняя бутовая полоса</t>
  </si>
  <si>
    <t>пластовая выработка , охраняется целиками размером более зоны опорного давления</t>
  </si>
  <si>
    <t>пластовая выработка , охраняется целиками размером менее зоны опорного давления</t>
  </si>
  <si>
    <t>пластовая выработка, охраняется разгрузочными полосами и угольными целиками</t>
  </si>
  <si>
    <t>пластовая выработка, охраняется бутовыми полосами</t>
  </si>
  <si>
    <t xml:space="preserve"> Пример плана  пласта (уклонная ступень) при погоризонтной подготовке</t>
  </si>
  <si>
    <t>методическими указаниями по выполнению расчетов.</t>
  </si>
  <si>
    <t xml:space="preserve"> Для продолжения работы ответьте на предлагаемые вопросы</t>
  </si>
  <si>
    <t xml:space="preserve">                На эти вопросы Вы можете будете отвечать, перейдя по ссылке</t>
  </si>
  <si>
    <t>по проведению каждой выработки относительно ведения очистных работ.</t>
  </si>
  <si>
    <t>3  Трудоемкость работ по каждому процессу в лаве определяется как</t>
  </si>
  <si>
    <r>
      <t xml:space="preserve">                                  t</t>
    </r>
    <r>
      <rPr>
        <b/>
        <vertAlign val="subscript"/>
        <sz val="14"/>
        <rFont val="Times New Roman"/>
        <family val="1"/>
        <charset val="204"/>
      </rPr>
      <t>i</t>
    </r>
    <r>
      <rPr>
        <b/>
        <sz val="14"/>
        <rFont val="Times New Roman"/>
        <family val="1"/>
        <charset val="204"/>
      </rPr>
      <t xml:space="preserve"> = V</t>
    </r>
    <r>
      <rPr>
        <b/>
        <vertAlign val="subscript"/>
        <sz val="14"/>
        <rFont val="Times New Roman"/>
        <family val="1"/>
        <charset val="204"/>
      </rPr>
      <t>i</t>
    </r>
    <r>
      <rPr>
        <b/>
        <sz val="14"/>
        <rFont val="Times New Roman"/>
        <family val="1"/>
        <charset val="204"/>
      </rPr>
      <t>/N</t>
    </r>
    <r>
      <rPr>
        <b/>
        <vertAlign val="subscript"/>
        <sz val="14"/>
        <rFont val="Times New Roman"/>
        <family val="1"/>
        <charset val="204"/>
      </rPr>
      <t>i</t>
    </r>
  </si>
  <si>
    <t>4  При заданной величине суточной добычи Dсут и заданных параметрах лавы</t>
  </si>
  <si>
    <t>Вычисления по выработке № 4</t>
  </si>
  <si>
    <t>Номер образа выработки</t>
  </si>
  <si>
    <t>Реальная п,Податливость крепи, мм</t>
  </si>
  <si>
    <t>Cпособ проведения (1 - комбайн, 2 - БВР)</t>
  </si>
  <si>
    <t>Способ подрывки породы (1 - штрекоподдирочная машина, 2 -отбойный молоток)</t>
  </si>
  <si>
    <t>Количество анкеров на 1 м выработки</t>
  </si>
  <si>
    <t>Способ погрузки породы (1 - ППМ, 2 - вручную)</t>
  </si>
  <si>
    <t>Способ подрывки породы (1 - штрекоподдирочная машина, 2 - вручную)</t>
  </si>
  <si>
    <t>2 Выберите команду  "Данные" - "Фильтр" - "Автофильтр"</t>
  </si>
  <si>
    <t>наличие впереди магистр вент  свежая</t>
  </si>
  <si>
    <t>наличие впереди магистр вент отработан</t>
  </si>
  <si>
    <t>наличие сзади маг вент свежая</t>
  </si>
  <si>
    <r>
      <t>Т</t>
    </r>
    <r>
      <rPr>
        <b/>
        <i/>
        <vertAlign val="superscript"/>
        <sz val="13"/>
        <rFont val="Times New Roman Cyr"/>
        <charset val="204"/>
      </rPr>
      <t>111</t>
    </r>
    <r>
      <rPr>
        <b/>
        <i/>
        <vertAlign val="subscript"/>
        <sz val="13"/>
        <rFont val="Times New Roman Cyr"/>
        <charset val="204"/>
      </rPr>
      <t xml:space="preserve">тп  </t>
    </r>
    <r>
      <rPr>
        <sz val="10"/>
        <rFont val="Times New Roman Cyr"/>
        <charset val="204"/>
      </rPr>
      <t xml:space="preserve">- </t>
    </r>
    <r>
      <rPr>
        <sz val="10"/>
        <rFont val="Arial"/>
        <family val="2"/>
        <charset val="204"/>
      </rPr>
      <t>технологический перерыв, связанный с посадкой  кровли, мин/м</t>
    </r>
  </si>
  <si>
    <t>Расстояние между пластами h4 - h5  по нормали, м</t>
  </si>
  <si>
    <t>Шаг установки рамок призабойной крепи и посадочной крепи</t>
  </si>
  <si>
    <t xml:space="preserve">    В качестве посадочной крепи применяются тумбы ОКУ или гидравлические посадочные стойки СПУТНИК.</t>
  </si>
  <si>
    <t xml:space="preserve">                Максимальная высота посадочной стойки при ее установке определяется согласно выражению</t>
  </si>
  <si>
    <r>
      <t xml:space="preserve">                                            H</t>
    </r>
    <r>
      <rPr>
        <b/>
        <i/>
        <sz val="10"/>
        <rFont val="Arial Cyr"/>
        <charset val="204"/>
      </rPr>
      <t xml:space="preserve">max = </t>
    </r>
    <r>
      <rPr>
        <b/>
        <i/>
        <sz val="12"/>
        <rFont val="Arial Cyr"/>
        <charset val="204"/>
      </rPr>
      <t>m</t>
    </r>
    <r>
      <rPr>
        <b/>
        <i/>
        <sz val="10"/>
        <rFont val="Arial Cyr"/>
        <charset val="204"/>
      </rPr>
      <t>max</t>
    </r>
    <r>
      <rPr>
        <b/>
        <i/>
        <sz val="12"/>
        <rFont val="Arial Cyr"/>
        <charset val="204"/>
      </rPr>
      <t>(1-a*</t>
    </r>
    <r>
      <rPr>
        <b/>
        <sz val="12"/>
        <rFont val="Sylfaen"/>
        <family val="1"/>
        <charset val="204"/>
      </rPr>
      <t>α</t>
    </r>
    <r>
      <rPr>
        <b/>
        <i/>
        <sz val="12"/>
        <rFont val="Arial Cyr"/>
        <charset val="204"/>
      </rPr>
      <t>)</t>
    </r>
  </si>
  <si>
    <t>Призабойная крепь</t>
  </si>
  <si>
    <t>Посадочная крепь</t>
  </si>
  <si>
    <t>Выемка угля в лаве -</t>
  </si>
  <si>
    <t>Общая длина секции максимальная, мм</t>
  </si>
  <si>
    <t>Длина консоли максимальная, мм</t>
  </si>
  <si>
    <t>Шаг установки крепи , см</t>
  </si>
  <si>
    <t xml:space="preserve">                                               Расчетные   данные   (не фильтровать !)</t>
  </si>
  <si>
    <t xml:space="preserve">)  указаны технические характеристики механизированных комплексов. </t>
  </si>
  <si>
    <t xml:space="preserve">                                                    Всего</t>
  </si>
  <si>
    <t xml:space="preserve">Погрузка сыпучих материалов </t>
  </si>
  <si>
    <t>Баласт, м3</t>
  </si>
  <si>
    <t>коэффициент изменения скорости передвижения рабочего от комплекта к комплекту kc</t>
  </si>
  <si>
    <t>Время, затрачиваемое рабочим на передвижение от одного комплекта к другому и осмотр условий передвижки, мин   Тпр</t>
  </si>
  <si>
    <t>Размер пая, приходящийся на одного рабочего очистного забоя, при индивидуальной крепи,  м Lпая</t>
  </si>
  <si>
    <t>Шаг посадки кровли при индивидуальной крепи, м</t>
  </si>
  <si>
    <t xml:space="preserve">        Результаты вычислений нагрузки на лаву</t>
  </si>
  <si>
    <t>Сопротивляемость угля резанию  Ар, кН/м</t>
  </si>
  <si>
    <t>Мин конструкт высота крепи           hmin,  мм</t>
  </si>
  <si>
    <t>Максимальная конструктивная высота крепи  hmax, мм</t>
  </si>
  <si>
    <t>Предельное значение  категории кровли по обрушаемости    A</t>
  </si>
  <si>
    <t>Минимальное возможное значение категории кровли по устойчивости   Б</t>
  </si>
  <si>
    <t>Минимальное значение категории почвы по устойчивости   П</t>
  </si>
  <si>
    <t>Сопротивление поддерживающей части  крепи  Р, МПа</t>
  </si>
  <si>
    <t>Сопротивление посадочного ряда крепи  Рпос, МН/м</t>
  </si>
  <si>
    <t>Величина свободного пространства под крепью в зоне работы комбайна,   hсвоб</t>
  </si>
  <si>
    <t xml:space="preserve">   Ответьте на указанные ниже вопросы</t>
  </si>
  <si>
    <t>ширина конвейера, мм</t>
  </si>
  <si>
    <t>Норматив чесленности электрослесарей, чел</t>
  </si>
  <si>
    <t>Ширина комплекта крепи (шаг установки), м</t>
  </si>
  <si>
    <t>Число комплектов мех.крепи в лаве, шт</t>
  </si>
  <si>
    <t>Вспомогательные таблицы</t>
  </si>
  <si>
    <t>Нормы выработки табличные</t>
  </si>
  <si>
    <t>норма выр-ки для принятого комплекса</t>
  </si>
  <si>
    <t>поправ коэф для принятого комплекса</t>
  </si>
  <si>
    <t>принятая норма выработки</t>
  </si>
  <si>
    <t>Норма обслуживаия комплекса</t>
  </si>
  <si>
    <t>Норма обслуживания для принятого комплекса</t>
  </si>
  <si>
    <t>Трудоемкость управления комплексом за сутки</t>
  </si>
  <si>
    <t>Рабочие в ремонтную смену</t>
  </si>
  <si>
    <t xml:space="preserve"> МГВМ</t>
  </si>
  <si>
    <t>слесари ремонтные</t>
  </si>
  <si>
    <t>КМ-87 и КМ-88</t>
  </si>
  <si>
    <t xml:space="preserve">             Возможны следующие варианты технологии очистных работ</t>
  </si>
  <si>
    <t>Расстояние между рамами арочной крепи в вентиляционном штреке</t>
  </si>
  <si>
    <t>Высота подготовительной выработки в свету, м</t>
  </si>
  <si>
    <t xml:space="preserve">Величина нагрузки на лаву зависит не только от технических возможностей оборудования </t>
  </si>
  <si>
    <t>выработанного пространства. Дегазация пласта в настоящее время мало эффективна (не более 20%).</t>
  </si>
  <si>
    <t xml:space="preserve">            В Данном курсовом проекте, учитывая, что будет в дальнейшем более глубокое изучение </t>
  </si>
  <si>
    <t>показатель высоты</t>
  </si>
  <si>
    <t>Вентиляционная выработка подготавливаемой лавы от начала проходки до места встречи</t>
  </si>
  <si>
    <t>Показатель наличия затрат по поддержанию выработки</t>
  </si>
  <si>
    <t>Показатель наличия затрат по проведению выработки</t>
  </si>
  <si>
    <t>селективная выемка угля и породы 1- да, 0- нет.</t>
  </si>
  <si>
    <t>значение затрат на поддержание в зоне 1(для 5-й выр-ки)</t>
  </si>
  <si>
    <t xml:space="preserve">   (мощность пласта, длина лавы, размеры ниш, подвигание лавы за один </t>
  </si>
  <si>
    <t>количество подготавливающих вентиляционных выработок с отработаной струей   впереди лавы</t>
  </si>
  <si>
    <t>количество подготавливающих транспортных выработок позади  лавы</t>
  </si>
  <si>
    <t>количество подготавливающих вентиляционных выработок со свежей струей позади   лавы</t>
  </si>
  <si>
    <t>количество подготавливающих  вентиляционных выработок с отработанной струей позади   лавы</t>
  </si>
  <si>
    <t>подготавливающие выработки при погоризонтной подготовке</t>
  </si>
  <si>
    <t>специальный дренажный штрек</t>
  </si>
  <si>
    <t>транспортный уклон</t>
  </si>
  <si>
    <t>дренажный уклон</t>
  </si>
  <si>
    <t>ходок</t>
  </si>
  <si>
    <t>подготавливающие выработки при панельной подготовке</t>
  </si>
  <si>
    <t>уклон</t>
  </si>
  <si>
    <t>ходки</t>
  </si>
  <si>
    <t>Способ охраны наклонных выработок при панельной подготовке: 1-пластовая выработка , охраняется целиками размером более зоны опорного давления, 2-пластовая выработка , охраняется целиками размером менее зоны опорного давления, 3-пластовая выработка, охраняется разгрузочными полосами и угольными целиками, 4-пластовая выработка, охраняется бутовыми полосами, 5-пластовая выработка, проведенная по выработанному пространству, 6-выработка проведена под разгрузочной лавой.</t>
  </si>
  <si>
    <t>1. Комбайновая выемка в лаве с индивидуальной крепью</t>
  </si>
  <si>
    <t>Комбинированная прямой ход, движение воздуха по лаве от транспортной выработки к вентиляционной и далее на выработанное пространство. Вентиляционная выработка - повторно используемая транспортная выработка, после прохода лавы не погашается. Транспортная выработка проведена заранее, за лавой не погашается, Участок ее впереди лавы проветривается от фланговой выработки. Подсвежающая струя - от фланговой выработки.</t>
  </si>
  <si>
    <t>Поправочный коэффициент (установка стоек)</t>
  </si>
  <si>
    <t>Принятая норма выработки, стойки</t>
  </si>
  <si>
    <t xml:space="preserve">Литая полоса </t>
  </si>
  <si>
    <t>Кустовая крепь</t>
  </si>
  <si>
    <t>сколько рядов</t>
  </si>
  <si>
    <t>Костры клетевые</t>
  </si>
  <si>
    <t>Костры накатные</t>
  </si>
  <si>
    <t>Бутокостры</t>
  </si>
  <si>
    <t>Многорядная органка</t>
  </si>
  <si>
    <t>Бутовая полоса из бутового штрека при ручной закладке</t>
  </si>
  <si>
    <t>Бутовая полоса из бутового штрека при скреперной закладке</t>
  </si>
  <si>
    <t>Прогаммы расчета затрат</t>
  </si>
  <si>
    <t>ТУМБЫ</t>
  </si>
  <si>
    <t>Вычисления</t>
  </si>
  <si>
    <t>По выделению воды</t>
  </si>
  <si>
    <t>По выбросоопасности</t>
  </si>
  <si>
    <t>По глубине работ</t>
  </si>
  <si>
    <t>По температуре</t>
  </si>
  <si>
    <t>По взрывным работам</t>
  </si>
  <si>
    <t>В т.ч. по взрыванию в нишах</t>
  </si>
  <si>
    <t>вспомог вычмсление</t>
  </si>
  <si>
    <t>В т.ч. по частичной закладке</t>
  </si>
  <si>
    <t>В т.ч. по работе с вруб.машиной</t>
  </si>
  <si>
    <t>Установка тумб БЖБТ</t>
  </si>
  <si>
    <t>Норма выработки, тумб/смена</t>
  </si>
  <si>
    <t>Принятая норма выработки, тумба/смена</t>
  </si>
  <si>
    <t>Расчетная нагрузка на 1м ряда тумб, кН/м</t>
  </si>
  <si>
    <t>Число тумб БЖБТ на 1м выработки</t>
  </si>
  <si>
    <r>
      <t>Обьем тумбы, м</t>
    </r>
    <r>
      <rPr>
        <vertAlign val="superscript"/>
        <sz val="11"/>
        <color indexed="8"/>
        <rFont val="Calibri"/>
        <family val="2"/>
        <charset val="204"/>
      </rPr>
      <t>3</t>
    </r>
  </si>
  <si>
    <t xml:space="preserve">             Данные о конвейерах смотри в строке</t>
  </si>
  <si>
    <r>
      <t xml:space="preserve">принятый в расчетах коэффициент снижения скорости передвижки фронта крепи при недостаточной несущей способности почвы </t>
    </r>
    <r>
      <rPr>
        <b/>
        <sz val="12"/>
        <color indexed="10"/>
        <rFont val="Arial Cyr"/>
        <charset val="204"/>
      </rPr>
      <t>k</t>
    </r>
    <r>
      <rPr>
        <b/>
        <vertAlign val="subscript"/>
        <sz val="12"/>
        <color indexed="10"/>
        <rFont val="Arial Cyr"/>
        <charset val="204"/>
      </rPr>
      <t>п</t>
    </r>
  </si>
  <si>
    <t xml:space="preserve">      d - максимальное расстояние от посадочной стойки до забоя, м</t>
  </si>
  <si>
    <t xml:space="preserve">Стоимость оборудования одной подъемной установки на наклонной выработке, млн. руб </t>
  </si>
  <si>
    <t>Стоимость концевых учатков монорельсовой дороги, млн руб</t>
  </si>
  <si>
    <t>Стоимость 100 м монорельсовой дороги, тыс.руб</t>
  </si>
  <si>
    <t>Стоимость оборудования откатки и гаража (как вспомогательный участковый транспорт), млн.руб</t>
  </si>
  <si>
    <t>Затраты на оборудование лавы при комбайновой выемке  и инд. крепи , млн руб</t>
  </si>
  <si>
    <t>Затраты на оборудование лавы при комбайновой выемке  и мехкрепи , млн руб</t>
  </si>
  <si>
    <t>Затраты на оборудование лавы при струговой выемке  и инд крепи , млн руб</t>
  </si>
  <si>
    <t>Затраты на оборудование лавы при струговой выемке  и мехкрепи , млн руб</t>
  </si>
  <si>
    <t>Цена штреко-поддирочной машины, руб</t>
  </si>
  <si>
    <t>Стоимость скреперной установки для выкладки бутовой полосы, руб</t>
  </si>
  <si>
    <t>Цена комплекта проходческого оборудования, Цо, млн.руб</t>
  </si>
  <si>
    <t>Стоимость проведения 1 м, руб  1-я выр</t>
  </si>
  <si>
    <t>Стоимость средств охраны, 1-я выр,руб/м</t>
  </si>
  <si>
    <t>затраты на проведение выработки (панельная), руб</t>
  </si>
  <si>
    <t>затраты на проведение выработки (погоризонтная), руб</t>
  </si>
  <si>
    <t>затраты на сооруж средств охраны (панельная), руб</t>
  </si>
  <si>
    <t>затраты на сооруж средств охраны (погоризонтная), руб</t>
  </si>
  <si>
    <t>затраты на поддерж в 1 зоне (панельная), руб</t>
  </si>
  <si>
    <t>затраты на поддерж в 1 зоне (погоризонтная), руб</t>
  </si>
  <si>
    <t>затраты на поддерж в 2 зоне (панельная), руб</t>
  </si>
  <si>
    <t>затраты на поддерж в 2 зоне (погоризонтная), руб</t>
  </si>
  <si>
    <t>затраты на поддерж в 3 зоне (панельная), руб</t>
  </si>
  <si>
    <t>затраты на поддерж в 3 зоне (погоризонтная), руб</t>
  </si>
  <si>
    <t>затраты на поддерж в 4 зоне,(панельная)руб</t>
  </si>
  <si>
    <t>затраты на поддерж в 4 зоне,(погоризонтная) руб</t>
  </si>
  <si>
    <t>Суммарные затраты 1-я выр,(панельная) руб/т</t>
  </si>
  <si>
    <t>Суммарные затраты 1-я выр, (погоризонтная) руб/т</t>
  </si>
  <si>
    <t>Стоимость проведения 2-я выр,руб/м</t>
  </si>
  <si>
    <t>Стоимость средств охраны, 2-я выр,руб/м</t>
  </si>
  <si>
    <t>затраты на проведение выработки, (панельная) руб</t>
  </si>
  <si>
    <t>затраты на проведение выработки, (погоризонтная) руб</t>
  </si>
  <si>
    <t>затраты на сооруж средств охраны, (панельная) руб</t>
  </si>
  <si>
    <t>затраты на сооруж средств охраны, (погоризонтная) руб</t>
  </si>
  <si>
    <t>затраты на поддерж в 1 зоне (панельная подготовка), руб</t>
  </si>
  <si>
    <t>затраты на поддерж в 1 зоне (погоризонтная подготовка), руб</t>
  </si>
  <si>
    <t>затраты на поддерж в 2 зоне,(панельная) руб</t>
  </si>
  <si>
    <t>затраты на поддерж в 2 зоне,(погоризонтная) руб</t>
  </si>
  <si>
    <t>затраты на поддерж в 3 зоне, (панельная)  руб</t>
  </si>
  <si>
    <t>затраты на поддерж в 3 зоне, (погоризонтная)  руб</t>
  </si>
  <si>
    <t>затраты на поддерж в 4 зоне, (панельная) руб</t>
  </si>
  <si>
    <t>затраты на поддерж в 4 зоне, (погоризонтная) руб</t>
  </si>
  <si>
    <t>Суммарные затраты  2-я выр,руб/т (панельная)</t>
  </si>
  <si>
    <t>Суммарные затраты  2-я выр,руб/т (погоризонтная)</t>
  </si>
  <si>
    <t>Стоимость проведения 1 м, руб  3-я выр</t>
  </si>
  <si>
    <t>Стоимость средств охраны,  3-я выр руб/м</t>
  </si>
  <si>
    <t>затраты на проведение выработки, руб (панельная)</t>
  </si>
  <si>
    <t>затраты на проведение выработки, руб (погоризонтная)</t>
  </si>
  <si>
    <t>затраты на сооруж средств охраны, руб (панельная)</t>
  </si>
  <si>
    <t>затраты на сооруж средств охраны, руб (погоризонтная)</t>
  </si>
  <si>
    <t>затраты на поддерж в 1 зоне, руб (панельная)</t>
  </si>
  <si>
    <t>затраты на поддерж в 1 зоне, руб (погоризонтная)</t>
  </si>
  <si>
    <t>затраты на поддерж в 2 зоне, руб (панельная)</t>
  </si>
  <si>
    <t>затраты на поддерж в 2 зоне, руб (погоризонтная)</t>
  </si>
  <si>
    <t>затраты на поддерж в 3 зоне, руб (панельная)</t>
  </si>
  <si>
    <t>затраты на поддерж в 3 зоне, руб (погоризонтная)</t>
  </si>
  <si>
    <t>затраты на поддерж в 4 зоне, руб (панельная)</t>
  </si>
  <si>
    <t>затраты на поддерж в 4 зоне, руб (погоризонтная)</t>
  </si>
  <si>
    <t>Суммарные затраты 3-я выр,руб/т (панельная)</t>
  </si>
  <si>
    <t>Суммарные затраты 3-я выр,руб/т (погоризонтная)</t>
  </si>
  <si>
    <t>Стоимость средств охраны,4-я выр руб/м</t>
  </si>
  <si>
    <t>Стоимость проведения 1 м, руб  4-я выр</t>
  </si>
  <si>
    <t>Суммарные затраты 4-я выработка, руб/т (панельная)</t>
  </si>
  <si>
    <t>Суммарные затраты 4-я выработка, руб/т (погоризонтная)</t>
  </si>
  <si>
    <t>Стоимость проведения 1 м, руб  5-я выр</t>
  </si>
  <si>
    <t>Стоимость средств охраны, 5-я выработка, руб/м</t>
  </si>
  <si>
    <t>затраты на сооруж средств охраны, руб  (панельная)</t>
  </si>
  <si>
    <t>затраты на сооруж средств охраны, руб  (погоризонтная)</t>
  </si>
  <si>
    <t>затраты на поддерж в 1 зоне, руб  (панельная)</t>
  </si>
  <si>
    <t>затраты на поддерж в 1 зоне, руб  (погоризонтная)</t>
  </si>
  <si>
    <t>затраты на поддерж в 3 зоне, руб  (панельная)</t>
  </si>
  <si>
    <t>затраты на поддерж в 3 зоне, руб  (погоризонтная)</t>
  </si>
  <si>
    <t>затраты на поддерж в 4 зоне, руб  (панельная)</t>
  </si>
  <si>
    <t>затраты на поддерж в 4 зоне, руб  (погоризонтная)</t>
  </si>
  <si>
    <t>Суммарные затраты  5-я выработка  руб/т  (панельная)</t>
  </si>
  <si>
    <t>Способ охраны пластового дренажного штрека:
 1-пластовая выработка , охраняется целиками размером более зоны опорного давления, 
2-пластовая выработка , охраняется целиками размером менее зоны опорного давления, 
3-пластовая выработка, охраняется разгрузочными полосами и угольными целиками, 
4-пластовая выработка, охраняется бутовыми полосами, 5-пластовая выработка, проведенная по выработанному пространству</t>
  </si>
  <si>
    <t>Способ охраны угольного уклона при погоризонтной подготовке: 
1-пластовая выработка , охраняется целиками размером более зоны опорного давления, 
2-пластовая выработка , охраняется целиками размером менее зоны опорного давления,
 3-пластовая выработка, охраняется разгрузочными полосами и угольными целиками, 
4-пластовая выработка, охраняется бутовыми полосами,
 5-пластовая выработка, проведенная по выработанному пространству,
6-выработка проведена под разгрузочной лавой.</t>
  </si>
  <si>
    <t>Длина транспортировки породы  при проведении,  км</t>
  </si>
  <si>
    <t>2  Природные и технические условия уклонной выемочной ступени</t>
  </si>
  <si>
    <t xml:space="preserve">Узел сопряжения действующей лавы с вентиляционной выработкой: </t>
  </si>
  <si>
    <t>Размер зоны опорного давления в данных условиях, м  Для сведения !!!</t>
  </si>
  <si>
    <t>Процент транспортировки породы и материалов от добычи, %</t>
  </si>
  <si>
    <t>30 - 40</t>
  </si>
  <si>
    <t>10 - 40</t>
  </si>
  <si>
    <t>300 - 1000</t>
  </si>
  <si>
    <t>Выработка за лавой: погашается - 1, не погашается - 0</t>
  </si>
  <si>
    <t>Комбинированная прямой ход, проветривание от фланговой выработки по вентиляционной  к транспортной и далее на массив. Вентиляционная выработка  проведена ранее вприсечку к выработанному пространству, за лавой не погашается. Транспортная выработка проведена ранее и не погашается. Участки выработок  впереди лавы проветриваются через фланговые выработки.</t>
  </si>
  <si>
    <t>Комбинированная прямой ход,  движение воздуха по лаве от транспортной выработки к вентиляционной и далее на массив. Вентиляционная выработка проведена заранее вприсечку, за лавой не погашается. Транспортная выработка проведена заранее и  за лавой не погашается. Участок ее впереди лавы проветривается на фланговую выработку. Подсвежающая струя  - на фланговую выработку.</t>
  </si>
  <si>
    <t xml:space="preserve">    Программа вычисляет процент выполнения нормы выработки рабочими лавы и указывает его в строке</t>
  </si>
  <si>
    <t xml:space="preserve">    на приведенном ниже рисунке отображается график зависимости  процента выполнения нормы от размера пая.</t>
  </si>
  <si>
    <t>Подземные работы</t>
  </si>
  <si>
    <t xml:space="preserve">Спуск длиномерных материалов </t>
  </si>
  <si>
    <t>Норма выработки (подвеска), т</t>
  </si>
  <si>
    <t>Норма выработки (снятие), т</t>
  </si>
  <si>
    <t>Доставка по горизонтальным горным выработкам электровозной откаткой</t>
  </si>
  <si>
    <t>Длина доставки, м</t>
  </si>
  <si>
    <t>Доставка лесных материалов</t>
  </si>
  <si>
    <t>Всего объем доставки, м3</t>
  </si>
  <si>
    <t xml:space="preserve">ЭЛЕКТРОННОЕ МЕТОДИЧЕСКОЕ ПОСОБИЕ </t>
  </si>
  <si>
    <t>Группа рабочих скоростей комбайна</t>
  </si>
  <si>
    <t>Средние рабочие скорости подачи, м/мин *</t>
  </si>
  <si>
    <t>Комбинированная обратный ход, движение воздуха по лаве от транспортной выработки к вентиляционной и далее на выработанное пространство, Вентиляционная выработка проведена от фланговой выработки вприсечку к выработанному пространству, за лавой не погашается. Транспортная выработка проведена заранее, за лавой не погашается, участок штрека за лавой проветривается от фланговой выработки. Подсвежающая струя - по вентиляционной выработке на фланговую выработку.</t>
  </si>
  <si>
    <t>Наименьшая пропускная способность ленточных конвейеров, т/мин</t>
  </si>
  <si>
    <t>Индивидуальная крепь</t>
  </si>
  <si>
    <t>Механизированная крепь</t>
  </si>
  <si>
    <r>
      <t>Минимальное расстояние от забоя до верхняка индивидуальной крепи, а</t>
    </r>
    <r>
      <rPr>
        <b/>
        <vertAlign val="subscript"/>
        <sz val="12"/>
        <rFont val="Arial Cyr"/>
        <family val="2"/>
        <charset val="204"/>
      </rPr>
      <t>п</t>
    </r>
    <r>
      <rPr>
        <b/>
        <sz val="12"/>
        <rFont val="Arial Cyr"/>
        <family val="2"/>
        <charset val="204"/>
      </rPr>
      <t xml:space="preserve">, м </t>
    </r>
  </si>
  <si>
    <r>
      <t xml:space="preserve">Шаг подвигания очистного забоя, после которого передвигается крепь </t>
    </r>
    <r>
      <rPr>
        <b/>
        <sz val="10"/>
        <color indexed="12"/>
        <rFont val="Arial Cyr"/>
        <family val="2"/>
        <charset val="204"/>
      </rPr>
      <t>l</t>
    </r>
    <r>
      <rPr>
        <b/>
        <vertAlign val="subscript"/>
        <sz val="10"/>
        <color indexed="12"/>
        <rFont val="Arial Cyr"/>
        <family val="2"/>
        <charset val="204"/>
      </rPr>
      <t>ШЗ</t>
    </r>
    <r>
      <rPr>
        <b/>
        <vertAlign val="subscript"/>
        <sz val="10"/>
        <rFont val="Arial Cyr"/>
        <family val="2"/>
        <charset val="204"/>
      </rPr>
      <t xml:space="preserve"> </t>
    </r>
    <r>
      <rPr>
        <b/>
        <sz val="10"/>
        <rFont val="Arial Cyr"/>
        <family val="2"/>
        <charset val="204"/>
      </rPr>
      <t>, м</t>
    </r>
  </si>
  <si>
    <r>
      <t xml:space="preserve">Шаг передвижки секций крепи , </t>
    </r>
    <r>
      <rPr>
        <b/>
        <sz val="10"/>
        <color indexed="12"/>
        <rFont val="Arial Cyr"/>
        <family val="2"/>
        <charset val="204"/>
      </rPr>
      <t>l</t>
    </r>
    <r>
      <rPr>
        <b/>
        <vertAlign val="subscript"/>
        <sz val="10"/>
        <color indexed="12"/>
        <rFont val="Arial Cyr"/>
        <family val="2"/>
        <charset val="204"/>
      </rPr>
      <t>ш.с</t>
    </r>
    <r>
      <rPr>
        <b/>
        <sz val="10"/>
        <rFont val="Arial Cyr"/>
        <family val="2"/>
        <charset val="204"/>
      </rPr>
      <t>., м</t>
    </r>
  </si>
  <si>
    <t>1 - 3</t>
  </si>
  <si>
    <t>Угол наклона магистральной выработки</t>
  </si>
  <si>
    <t>Вид затяжки( 1- дерево, 2 - ЖБ, 3 - метал сетка)</t>
  </si>
  <si>
    <t>Угол наклона выработки, градус</t>
  </si>
  <si>
    <t>Ознакомьтесь с тарифно-ценовыми показателями.</t>
  </si>
  <si>
    <t>Сопротивляемость угля разрушению резанием, КН/см</t>
  </si>
  <si>
    <t>Принятая в расчетах скорость проведения монтажного  ходка, м/мес</t>
  </si>
  <si>
    <t>Необходимое число лав для обеспечения добычи</t>
  </si>
  <si>
    <t>Ширина монтажного ходка, м</t>
  </si>
  <si>
    <t xml:space="preserve">При применении анкерной крепи - количество анкеров на 1 м выработки </t>
  </si>
  <si>
    <t>23.1-29</t>
  </si>
  <si>
    <t>24,3-28,0</t>
  </si>
  <si>
    <t>до 25 без опоры</t>
  </si>
  <si>
    <t>29.1-36</t>
  </si>
  <si>
    <t>до 25 с опорой</t>
  </si>
  <si>
    <t>36.1-45</t>
  </si>
  <si>
    <t>Таблица 71</t>
  </si>
  <si>
    <t>26 и более</t>
  </si>
  <si>
    <t xml:space="preserve">   Отбор вариантов комплектации выемочного комплекса осуществляется </t>
  </si>
  <si>
    <t>в следующей последовательности:</t>
  </si>
  <si>
    <t>отбора ("равно", "больше или равно", "меньше" и т.д.).  Необходимый в данном случае оператор указан в строке</t>
  </si>
  <si>
    <t xml:space="preserve">8  Оставшаяся после сортировки часть таблицы представляет собой таблицу вариантов </t>
  </si>
  <si>
    <t>степень выбросоопасности</t>
  </si>
  <si>
    <t>обводнение</t>
  </si>
  <si>
    <t>m&lt;1</t>
  </si>
  <si>
    <t>m&gt;1</t>
  </si>
  <si>
    <t>Номер столбца в таблицах для определения нормы</t>
  </si>
  <si>
    <t>КМ-87, КМ-88</t>
  </si>
  <si>
    <t>КМТ</t>
  </si>
  <si>
    <t>МК-75</t>
  </si>
  <si>
    <t>Глиник</t>
  </si>
  <si>
    <t>КМК</t>
  </si>
  <si>
    <t>до 700</t>
  </si>
  <si>
    <t>701-900</t>
  </si>
  <si>
    <t>901-1050</t>
  </si>
  <si>
    <t>1051-1200</t>
  </si>
  <si>
    <t>больше 1200</t>
  </si>
  <si>
    <r>
      <t xml:space="preserve">Технологический перерыв, связанный с креплением кровли, </t>
    </r>
    <r>
      <rPr>
        <sz val="12"/>
        <rFont val="Arial Cyr"/>
        <charset val="204"/>
      </rPr>
      <t>Т</t>
    </r>
    <r>
      <rPr>
        <vertAlign val="subscript"/>
        <sz val="12"/>
        <rFont val="Arial Cyr"/>
        <charset val="204"/>
      </rPr>
      <t>тп</t>
    </r>
    <r>
      <rPr>
        <vertAlign val="superscript"/>
        <sz val="12"/>
        <rFont val="Arial Cyr"/>
        <charset val="204"/>
      </rPr>
      <t xml:space="preserve">11  </t>
    </r>
    <r>
      <rPr>
        <sz val="10"/>
        <rFont val="Arial Cyr"/>
        <charset val="204"/>
      </rPr>
      <t>при индивидуальной крепи (зависит от совмещения работ)</t>
    </r>
  </si>
  <si>
    <r>
      <t>Принятая в расчетах величина  Т</t>
    </r>
    <r>
      <rPr>
        <b/>
        <vertAlign val="subscript"/>
        <sz val="11"/>
        <color indexed="10"/>
        <rFont val="Arial Cyr"/>
        <charset val="204"/>
      </rPr>
      <t>тп</t>
    </r>
    <r>
      <rPr>
        <b/>
        <vertAlign val="superscript"/>
        <sz val="11"/>
        <color indexed="10"/>
        <rFont val="Arial Cyr"/>
        <charset val="204"/>
      </rPr>
      <t>11</t>
    </r>
  </si>
  <si>
    <r>
      <t>Планируемые затраты времени на посадку кровли при индивидуальной крепи, мин   Т</t>
    </r>
    <r>
      <rPr>
        <vertAlign val="subscript"/>
        <sz val="10"/>
        <rFont val="Arial Cyr"/>
        <charset val="204"/>
      </rPr>
      <t>п.кр</t>
    </r>
  </si>
  <si>
    <t>при индивидуальной крепи, м/мин</t>
  </si>
  <si>
    <r>
      <t>T = n</t>
    </r>
    <r>
      <rPr>
        <b/>
        <vertAlign val="subscript"/>
        <sz val="14"/>
        <rFont val="Times New Roman"/>
        <family val="1"/>
        <charset val="204"/>
      </rPr>
      <t>ц</t>
    </r>
    <r>
      <rPr>
        <b/>
        <sz val="14"/>
        <rFont val="Times New Roman"/>
        <family val="1"/>
        <charset val="204"/>
      </rPr>
      <t>*</t>
    </r>
    <r>
      <rPr>
        <b/>
        <sz val="14"/>
        <rFont val="Sylfaen"/>
        <family val="1"/>
        <charset val="204"/>
      </rPr>
      <t>∑</t>
    </r>
    <r>
      <rPr>
        <b/>
        <sz val="14"/>
        <rFont val="Times New Roman"/>
        <family val="1"/>
        <charset val="204"/>
      </rPr>
      <t>t</t>
    </r>
    <r>
      <rPr>
        <b/>
        <vertAlign val="subscript"/>
        <sz val="14"/>
        <rFont val="Times New Roman"/>
        <family val="1"/>
        <charset val="204"/>
      </rPr>
      <t>i</t>
    </r>
  </si>
  <si>
    <r>
      <t xml:space="preserve">4  Ранее было вычислено число выкмочных циклов в лаве за сутки  </t>
    </r>
    <r>
      <rPr>
        <b/>
        <sz val="14"/>
        <rFont val="Times New Roman"/>
        <family val="1"/>
        <charset val="204"/>
      </rPr>
      <t>n</t>
    </r>
    <r>
      <rPr>
        <b/>
        <vertAlign val="subscript"/>
        <sz val="14"/>
        <rFont val="Times New Roman"/>
        <family val="1"/>
        <charset val="204"/>
      </rPr>
      <t>ц</t>
    </r>
    <r>
      <rPr>
        <sz val="14"/>
        <rFont val="Times New Roman"/>
        <family val="1"/>
        <charset val="204"/>
      </rPr>
      <t>.</t>
    </r>
  </si>
  <si>
    <t xml:space="preserve">          горные работы</t>
  </si>
  <si>
    <t>Характеристика условий отработки выемочного участка при которых определено газовыделение и нагрузка на лаву                  1 -выемочный участок с обеих сторон ограничен угольным массивом и не оконтурен подготовительными выработками,     2 - выемочный участок оконтурен выработками или выработанным пространством,                                                                3 - выемочный участок только с одной стороны ограничен выработанным пространством или пройденной подготовительной выработкой</t>
  </si>
  <si>
    <t>Выделение воды из почвы (1 - ДА, 0 - НЕТ)</t>
  </si>
  <si>
    <t>Средняя длина анкера, м</t>
  </si>
  <si>
    <t>Высота ходка, м</t>
  </si>
  <si>
    <t>1,   2</t>
  </si>
  <si>
    <t>1,   0</t>
  </si>
  <si>
    <t>Сечение угольного уклона  в эксплуатации, м2</t>
  </si>
  <si>
    <t>Сечение дренажного ходка в эксплуатации, м2</t>
  </si>
  <si>
    <t>Сечение дренажного штрека в эксплуатации, м2</t>
  </si>
  <si>
    <t>6 - 12</t>
  </si>
  <si>
    <t>Номер спецпрофиля (вес кг/м)</t>
  </si>
  <si>
    <t>Тарифно-ценовые показатели</t>
  </si>
  <si>
    <t xml:space="preserve">Процент затрат на монтаж напочвенной дороги от ее стоимости,% </t>
  </si>
  <si>
    <t>Порядок разработки полос для магистральных штреков (1-прямой - от штрека;2-обратный - к штреку)</t>
  </si>
  <si>
    <t>Способ охраны дренажного штрека: 1-пластовая выработка , охраняется целиками размером более зоны опорного давления, 2-пластовая выработка , охраняется целиками размером менее зоны опорного давления, 3-пластовая выработка, охраняется разгрузочными полосами и угольными целиками, 4-пластовая выработка, охраняется бутовыми полосами, 5-пластовая выработка, проведенная по выработанному пространству, 6-выработка проведена под разгрузочной лавой.</t>
  </si>
  <si>
    <t>Тип крепи</t>
  </si>
  <si>
    <t>М103</t>
  </si>
  <si>
    <t>МК98</t>
  </si>
  <si>
    <t>Донбасс80</t>
  </si>
  <si>
    <t>М137</t>
  </si>
  <si>
    <t>М87УМН</t>
  </si>
  <si>
    <t>М87УМП</t>
  </si>
  <si>
    <t>КД90</t>
  </si>
  <si>
    <t>МТ</t>
  </si>
  <si>
    <t>КДД</t>
  </si>
  <si>
    <t>Комбинированная прямой ход, проветривание от фланговой выработки по вентиляционной  к транспортной и далее на массив. Вентиляционная выработка  - повторно используемая транспортная выработка, за лавой не погашается. Транспортная выработка проведена ранее и не погашается. Участки выработок  впереди лавы проветриваются через фланговые выработки.</t>
  </si>
  <si>
    <t>Сопротивляемость угля резанию в массиве, кН/cм</t>
  </si>
  <si>
    <t>Опасность пласта по внезапным выбросам угля и газа</t>
  </si>
  <si>
    <t>2-я высота</t>
  </si>
  <si>
    <t>Область применения комбайнов                  Taблица 1</t>
  </si>
  <si>
    <r>
      <t>k</t>
    </r>
    <r>
      <rPr>
        <b/>
        <i/>
        <vertAlign val="subscript"/>
        <sz val="13"/>
        <rFont val="Arial Cyr"/>
        <charset val="204"/>
      </rPr>
      <t>м</t>
    </r>
    <r>
      <rPr>
        <b/>
        <i/>
        <sz val="13"/>
        <rFont val="Arial Cyr"/>
        <charset val="204"/>
      </rPr>
      <t xml:space="preserve"> = 1/((1/</t>
    </r>
    <r>
      <rPr>
        <b/>
        <sz val="13"/>
        <rFont val="Arial Cyr"/>
        <charset val="204"/>
      </rPr>
      <t>µ</t>
    </r>
    <r>
      <rPr>
        <b/>
        <i/>
        <vertAlign val="subscript"/>
        <sz val="13"/>
        <rFont val="Arial Cyr"/>
        <charset val="204"/>
      </rPr>
      <t>1</t>
    </r>
    <r>
      <rPr>
        <b/>
        <i/>
        <sz val="13"/>
        <rFont val="Arial Cyr"/>
        <charset val="204"/>
      </rPr>
      <t>+(1/</t>
    </r>
    <r>
      <rPr>
        <b/>
        <sz val="13"/>
        <rFont val="Arial Cyr"/>
        <charset val="204"/>
      </rPr>
      <t>µ</t>
    </r>
    <r>
      <rPr>
        <b/>
        <i/>
        <vertAlign val="subscript"/>
        <sz val="13"/>
        <rFont val="Arial Cyr"/>
        <charset val="204"/>
      </rPr>
      <t>2</t>
    </r>
    <r>
      <rPr>
        <b/>
        <i/>
        <sz val="13"/>
        <rFont val="Arial Cyr"/>
        <charset val="204"/>
      </rPr>
      <t>-1)*(1+(1/</t>
    </r>
    <r>
      <rPr>
        <b/>
        <sz val="13"/>
        <rFont val="Arial Cyr"/>
        <charset val="204"/>
      </rPr>
      <t>µ</t>
    </r>
    <r>
      <rPr>
        <b/>
        <i/>
        <vertAlign val="subscript"/>
        <sz val="13"/>
        <rFont val="Arial Cyr"/>
        <charset val="204"/>
      </rPr>
      <t>1</t>
    </r>
    <r>
      <rPr>
        <b/>
        <i/>
        <sz val="13"/>
        <rFont val="Arial Cyr"/>
        <charset val="204"/>
      </rPr>
      <t>-1)/(1/(k</t>
    </r>
    <r>
      <rPr>
        <b/>
        <sz val="13"/>
        <rFont val="Arial Cyr"/>
        <charset val="204"/>
      </rPr>
      <t>µ</t>
    </r>
    <r>
      <rPr>
        <b/>
        <i/>
        <vertAlign val="subscript"/>
        <sz val="13"/>
        <rFont val="Arial Cyr"/>
        <charset val="204"/>
      </rPr>
      <t>2</t>
    </r>
    <r>
      <rPr>
        <b/>
        <i/>
        <sz val="13"/>
        <rFont val="Arial Cyr"/>
        <charset val="204"/>
      </rPr>
      <t>+1))))         (ф. 24)</t>
    </r>
  </si>
  <si>
    <r>
      <t>k= (1/µ</t>
    </r>
    <r>
      <rPr>
        <b/>
        <i/>
        <vertAlign val="subscript"/>
        <sz val="13"/>
        <rFont val="Arial Cyr"/>
        <charset val="204"/>
      </rPr>
      <t>2</t>
    </r>
    <r>
      <rPr>
        <b/>
        <i/>
        <sz val="13"/>
        <rFont val="Arial Cyr"/>
        <charset val="204"/>
      </rPr>
      <t>-1)/(1/µ</t>
    </r>
    <r>
      <rPr>
        <b/>
        <i/>
        <vertAlign val="subscript"/>
        <sz val="13"/>
        <rFont val="Arial Cyr"/>
        <charset val="204"/>
      </rPr>
      <t>1</t>
    </r>
    <r>
      <rPr>
        <b/>
        <i/>
        <sz val="13"/>
        <rFont val="Arial Cyr"/>
        <charset val="204"/>
      </rPr>
      <t>-1)</t>
    </r>
  </si>
  <si>
    <r>
      <t xml:space="preserve"> µ</t>
    </r>
    <r>
      <rPr>
        <b/>
        <i/>
        <vertAlign val="subscript"/>
        <sz val="13"/>
        <rFont val="Arial Cyr"/>
        <charset val="204"/>
      </rPr>
      <t>1</t>
    </r>
    <r>
      <rPr>
        <b/>
        <i/>
        <sz val="13"/>
        <rFont val="Arial Cyr"/>
        <charset val="204"/>
      </rPr>
      <t xml:space="preserve"> = 1/(1/ µ</t>
    </r>
    <r>
      <rPr>
        <b/>
        <i/>
        <vertAlign val="subscript"/>
        <sz val="13"/>
        <rFont val="Arial Cyr"/>
        <charset val="204"/>
      </rPr>
      <t>1</t>
    </r>
    <r>
      <rPr>
        <b/>
        <i/>
        <sz val="13"/>
        <rFont val="Arial Cyr"/>
        <charset val="204"/>
      </rPr>
      <t>*  +  1/ µ</t>
    </r>
    <r>
      <rPr>
        <b/>
        <i/>
        <vertAlign val="subscript"/>
        <sz val="13"/>
        <rFont val="Arial Cyr"/>
        <charset val="204"/>
      </rPr>
      <t>п.кр</t>
    </r>
    <r>
      <rPr>
        <b/>
        <i/>
        <sz val="13"/>
        <rFont val="Arial Cyr"/>
        <charset val="204"/>
      </rPr>
      <t>. -  1)        (ф. 67)</t>
    </r>
  </si>
  <si>
    <t>При комбайновой выемке необходимо установить длину лавы, при которой в лаве выполняется целое число выемочных циклов в сутки и,</t>
  </si>
  <si>
    <t>Ниже приведен отчет о выполненных вычислениях.</t>
  </si>
  <si>
    <t xml:space="preserve">При необходимости Вы можете выделить этот фрагмент </t>
  </si>
  <si>
    <t>программы и послать его на печать !</t>
  </si>
  <si>
    <t>Номер комбайна в таблице 1</t>
  </si>
  <si>
    <t xml:space="preserve">   Ширина захвата, м</t>
  </si>
  <si>
    <r>
      <t>Наличие в пласте твердых крупных включений (</t>
    </r>
    <r>
      <rPr>
        <b/>
        <sz val="12"/>
        <rFont val="Times New Roman"/>
        <family val="1"/>
        <charset val="204"/>
      </rPr>
      <t>0</t>
    </r>
    <r>
      <rPr>
        <sz val="12"/>
        <rFont val="Times New Roman"/>
        <family val="1"/>
        <charset val="204"/>
      </rPr>
      <t>-нет;</t>
    </r>
    <r>
      <rPr>
        <b/>
        <sz val="12"/>
        <rFont val="Times New Roman"/>
        <family val="1"/>
        <charset val="204"/>
      </rPr>
      <t>1</t>
    </r>
    <r>
      <rPr>
        <sz val="12"/>
        <rFont val="Times New Roman"/>
        <family val="1"/>
        <charset val="204"/>
      </rPr>
      <t xml:space="preserve">-потери времени до 15мин; </t>
    </r>
    <r>
      <rPr>
        <b/>
        <sz val="12"/>
        <rFont val="Times New Roman"/>
        <family val="1"/>
        <charset val="204"/>
      </rPr>
      <t>2</t>
    </r>
    <r>
      <rPr>
        <sz val="12"/>
        <rFont val="Times New Roman"/>
        <family val="1"/>
        <charset val="204"/>
      </rPr>
      <t xml:space="preserve">-до 30мин; </t>
    </r>
    <r>
      <rPr>
        <b/>
        <sz val="12"/>
        <rFont val="Times New Roman"/>
        <family val="1"/>
        <charset val="204"/>
      </rPr>
      <t>3</t>
    </r>
    <r>
      <rPr>
        <sz val="12"/>
        <rFont val="Times New Roman"/>
        <family val="1"/>
        <charset val="204"/>
      </rPr>
      <t xml:space="preserve">-до 45мин, </t>
    </r>
    <r>
      <rPr>
        <b/>
        <sz val="12"/>
        <rFont val="Times New Roman"/>
        <family val="1"/>
        <charset val="204"/>
      </rPr>
      <t>4</t>
    </r>
    <r>
      <rPr>
        <sz val="12"/>
        <rFont val="Times New Roman"/>
        <family val="1"/>
        <charset val="204"/>
      </rPr>
      <t xml:space="preserve">-более 45мин) </t>
    </r>
  </si>
  <si>
    <t>Принимаемая в расчетах скорость комбайна</t>
  </si>
  <si>
    <t>Комбинированная прямой ход,  движение воздуха по лаве от транспортной выработки к вентиляционной и на массив, Вентиляционная выработка проводится через целик более   Lоп и за лавой погашается. Транспортная выработка проводится  за лавой.</t>
  </si>
  <si>
    <t>Под каки номером на рисунке Б показана система разработки со схемой проветривания 2-В?</t>
  </si>
  <si>
    <t>1.41-1.60</t>
  </si>
  <si>
    <t>20.1-30</t>
  </si>
  <si>
    <t>21.-30</t>
  </si>
  <si>
    <t xml:space="preserve">Вынимаемая мощность пласта </t>
  </si>
  <si>
    <t>до 1м.</t>
  </si>
  <si>
    <t>1.01-1.40</t>
  </si>
  <si>
    <t>1.41 и более</t>
  </si>
  <si>
    <t>1.61-1.80</t>
  </si>
  <si>
    <t>30.1 и более</t>
  </si>
  <si>
    <t>31 и более</t>
  </si>
  <si>
    <t>1.81-2.00</t>
  </si>
  <si>
    <t>2.01-2.30</t>
  </si>
  <si>
    <t>2.31-2.65</t>
  </si>
  <si>
    <t>При укладке лежней при комплекте крепи из дву-трех стоек</t>
  </si>
  <si>
    <t>При креплении очистных забоев под шпальный брус (круглый лес).</t>
  </si>
  <si>
    <t>интегральный коэффициент при проведении( зависящие от сечения)БВР</t>
  </si>
  <si>
    <t>интегральный коэффициент при проведении( не зависящие от сечения)комбайн</t>
  </si>
  <si>
    <t>интегральный коэффициент при проведении( зависящие от сечения)комбайн</t>
  </si>
  <si>
    <t>Вычисления для наклонных и магистральных выработок</t>
  </si>
  <si>
    <t>Проведение  наклонных и магистральных выработок  при панельной подготовке</t>
  </si>
  <si>
    <t>поправочный коэффициент к стоимости проведения, не зависящей от сечения выработки C1</t>
  </si>
  <si>
    <t>интегральный коэффициент для проходки( зависящий от сечения)КОМБАЙН</t>
  </si>
  <si>
    <t>Время отработки, год</t>
  </si>
  <si>
    <t>Коэффициент времени</t>
  </si>
  <si>
    <t>Коэффициент К</t>
  </si>
  <si>
    <t>Сечение выработки в свету при проведении, м2</t>
  </si>
  <si>
    <t>Скорость проведения, V, м/мес</t>
  </si>
  <si>
    <t>Среднее значение затрат на поддержание в зоне 1</t>
  </si>
  <si>
    <t>Среднее значение затрат на поддержание в зоне 2</t>
  </si>
  <si>
    <t>Среднее значение затрат на поддержание в зоне 3</t>
  </si>
  <si>
    <t>Среднее значение затрат на поддержание в зоне 4</t>
  </si>
  <si>
    <t>Интегр коэф для 1 зоны поддержания</t>
  </si>
  <si>
    <t>Интегр коэф для 2 зоны поддержания</t>
  </si>
  <si>
    <t>Интегр коэф для 3 зоны поддержания</t>
  </si>
  <si>
    <t>Интегр коэф для 4зоны поддержания</t>
  </si>
  <si>
    <t>значение затрат на поддержание в зоне 1(для 1-й выр-ки)</t>
  </si>
  <si>
    <t>значение затрат на поддержание в зоне 2(для 1-й выр-ки)</t>
  </si>
  <si>
    <t>значение затрат на поддержание в зоне 3(для 1-й выр-ки)</t>
  </si>
  <si>
    <t>значение затрат на поддержание в зоне 4(для 1-й выр-ки)</t>
  </si>
  <si>
    <t xml:space="preserve"> стороне выемочной ступени, то такой случай называют " работа по падению", т.е. грузопоток из лавы. </t>
  </si>
  <si>
    <t>направлен вниз. Если транспортные выработки расположены на верхней границе ступени , то такой</t>
  </si>
  <si>
    <t>случай называют "работа по восстанию". Эти понятия равноценны понятиям "прямой ход" и "обратный</t>
  </si>
  <si>
    <t xml:space="preserve"> ход" при панельной подготовке.</t>
  </si>
  <si>
    <t>Выработанное пространство (Выработки)  с двух сторон</t>
  </si>
  <si>
    <t xml:space="preserve">3. Высота свободного пространства для передвижения рабочих по лаве  должна быть не </t>
  </si>
  <si>
    <t>менее 500 мм;</t>
  </si>
  <si>
    <t>Однородный массив монолитных песчаников, известняков, реже сланцев   (7&lt;f&lt;10)</t>
  </si>
  <si>
    <t>Практически не ограничено</t>
  </si>
  <si>
    <t>Пределы применимости комбайна по мощности пласта, м</t>
  </si>
  <si>
    <t>Коэффициент готовности комбайна</t>
  </si>
  <si>
    <t>Постоянные</t>
  </si>
  <si>
    <t>Коэффициент готовности электроснабжения</t>
  </si>
  <si>
    <t>Коэффициент готовности индивидуальной крепи</t>
  </si>
  <si>
    <t>Нижний</t>
  </si>
  <si>
    <t>Коэффициент готовности забоя по процессу крепления за комбайном для индивидуальной крепи, пласт  опасен по выбросам  (ф. 43)</t>
  </si>
  <si>
    <t>Таблица 1 Расчет запасов шахтного поля</t>
  </si>
  <si>
    <t>Время работы комбайна в сутки, мин</t>
  </si>
  <si>
    <t>Длительность цикла, мин</t>
  </si>
  <si>
    <t>Время перегона комбайна, мин/цикл</t>
  </si>
  <si>
    <t xml:space="preserve">    Данные, необходимые для построения планограммы работ в лаве</t>
  </si>
  <si>
    <t>Вычисления по выработке № 6</t>
  </si>
  <si>
    <t>Податливость крепи реальная, мм</t>
  </si>
  <si>
    <t>Количество анкеров на 1 м выработки? Если они есть!</t>
  </si>
  <si>
    <t>Характеристика посадочной крепи СПУТНИК</t>
  </si>
  <si>
    <t>На конце лавы есть механизированная крепь? (Нет - 1, 0 - Да)</t>
  </si>
  <si>
    <t>Вид транспорта в транспортной выработке (1 - рельсовый, 0 - конвейерный)</t>
  </si>
  <si>
    <r>
      <t xml:space="preserve">   выемочный цикл) определяется количество выемочных циклов в сутки </t>
    </r>
    <r>
      <rPr>
        <b/>
        <sz val="14"/>
        <rFont val="Times New Roman"/>
        <family val="1"/>
        <charset val="204"/>
      </rPr>
      <t>n</t>
    </r>
    <r>
      <rPr>
        <b/>
        <vertAlign val="subscript"/>
        <sz val="14"/>
        <rFont val="Times New Roman"/>
        <family val="1"/>
        <charset val="204"/>
      </rPr>
      <t>ц</t>
    </r>
    <r>
      <rPr>
        <sz val="12"/>
        <rFont val="Times New Roman"/>
        <family val="1"/>
        <charset val="204"/>
      </rPr>
      <t>.</t>
    </r>
  </si>
  <si>
    <t>5 Трудоемкость работ в лаве в течение суток определится как</t>
  </si>
  <si>
    <r>
      <t>T = n</t>
    </r>
    <r>
      <rPr>
        <b/>
        <vertAlign val="subscript"/>
        <sz val="14"/>
        <rFont val="Times New Roman"/>
        <family val="1"/>
        <charset val="204"/>
      </rPr>
      <t>i</t>
    </r>
    <r>
      <rPr>
        <b/>
        <sz val="14"/>
        <rFont val="Times New Roman"/>
        <family val="1"/>
        <charset val="204"/>
      </rPr>
      <t>*</t>
    </r>
    <r>
      <rPr>
        <b/>
        <sz val="14"/>
        <rFont val="Sylfaen"/>
        <family val="1"/>
        <charset val="204"/>
      </rPr>
      <t>∑</t>
    </r>
    <r>
      <rPr>
        <b/>
        <sz val="14"/>
        <rFont val="Times New Roman"/>
        <family val="1"/>
        <charset val="204"/>
      </rPr>
      <t>t</t>
    </r>
    <r>
      <rPr>
        <b/>
        <vertAlign val="subscript"/>
        <sz val="14"/>
        <rFont val="Times New Roman"/>
        <family val="1"/>
        <charset val="204"/>
      </rPr>
      <t>i</t>
    </r>
  </si>
  <si>
    <t xml:space="preserve">     До начала работы в программе необходимо правильно ответить на поставленные ниже вопросы!</t>
  </si>
  <si>
    <t>Податливость крепи магистральных выработок  (транспортных, вентиляционных, дренажных), мм</t>
  </si>
  <si>
    <t>И так, Вы получили исходные данные. Проанализируйте их и ответьте правильно на следующие вопросы:</t>
  </si>
  <si>
    <t>Какой размер шахтного поля по простиранию</t>
  </si>
  <si>
    <t xml:space="preserve">  И так, для заданных условий выбрано оборудование! </t>
  </si>
  <si>
    <t>Показатель наличия затрат по поддержанию этой выработки</t>
  </si>
  <si>
    <t>Показатель наличия затрат по проведению этой выработки</t>
  </si>
  <si>
    <t>Длина крыла выемочного участка, м</t>
  </si>
  <si>
    <t>Длительность проведения выработки (панельная), месяц</t>
  </si>
  <si>
    <t>Необходимое сечение в свету после осадки, м2</t>
  </si>
  <si>
    <t>Податливость крепи реальная (с учетом угла наклона), мм</t>
  </si>
  <si>
    <t>Заводская  податливость, мм</t>
  </si>
  <si>
    <t>Размер целика между выработкой и старыми работами, м</t>
  </si>
  <si>
    <t>Способ подрывки породы (1 - штрекоподдирочная машина, 2 - отбойный молоток)</t>
  </si>
  <si>
    <t>Технология проведения (1 - комбайн, 2 - БВР)</t>
  </si>
  <si>
    <t>Количество рельсовых путей в выработке n</t>
  </si>
  <si>
    <t>Возможная в данных условиях скорость проведения штреков, м/мес</t>
  </si>
  <si>
    <t>Количество анкеров на 1 м выработки (если крепь анкерная)</t>
  </si>
  <si>
    <t>Способ погрузки породы (1 - ППМ, 2 - вручную) при проходке БВР</t>
  </si>
  <si>
    <t>Расстояние между арками крепи, a,  м</t>
  </si>
  <si>
    <t>Способ охраны выработки в 3-й зоне поддержания (1 - БЖБТ, 2 - Литая полоса, 3 - многорядная органная крепь, 4 - кусты, 5 - Бутокостры, 6 - костры накатные, 7 - костры клетевые, 8 - Бутовая полоса при скреперной закладке из проводимого штрека, 9 - Бутовая полоса при ручной закладке из бутового штрека), 10 - двусторонняя бутовая полоса</t>
  </si>
  <si>
    <t>интегральный коэффициент для проходки( не зависящий от сечения)БВР</t>
  </si>
  <si>
    <t>интегральный коэффициент для проходки( зависящий от сечения)БВР</t>
  </si>
  <si>
    <t>интегральный коэффициент для проходки( не зависящий от сечения)КОМБАЙН</t>
  </si>
  <si>
    <r>
      <t>Относительное газовыделение в лаву, м</t>
    </r>
    <r>
      <rPr>
        <vertAlign val="superscript"/>
        <sz val="10"/>
        <rFont val="Arial Cyr"/>
        <family val="2"/>
        <charset val="204"/>
      </rPr>
      <t>3</t>
    </r>
    <r>
      <rPr>
        <sz val="10"/>
        <rFont val="Arial Cyr"/>
        <charset val="204"/>
      </rPr>
      <t>/т</t>
    </r>
  </si>
  <si>
    <t>QOZ</t>
  </si>
  <si>
    <r>
      <t>Расчетное количество воздуха, поступающего в лаву, м</t>
    </r>
    <r>
      <rPr>
        <vertAlign val="superscript"/>
        <sz val="10"/>
        <rFont val="Arial Cyr"/>
        <family val="2"/>
        <charset val="204"/>
      </rPr>
      <t>3</t>
    </r>
    <r>
      <rPr>
        <sz val="10"/>
        <rFont val="Arial Cyr"/>
        <charset val="204"/>
      </rPr>
      <t>/мин</t>
    </r>
  </si>
  <si>
    <t>Qуч</t>
  </si>
  <si>
    <t>QR</t>
  </si>
  <si>
    <t>Характеристика условий отработки проектируемого выемочного участка ( 1 -выемочный участок с обеих сторон ограничен угольным массивом и не оконтурен подготовительными выработками, 2 - выемочный участок оконтурен выработками или выработанным пространством, 3 -выемочный участок только с одной стороны ограничен выработанным пространством или пройденной подготовительной выработкой).</t>
  </si>
  <si>
    <t>С.Рпр</t>
  </si>
  <si>
    <t>Доля метана из выработанного пространства, поступающего в лаву</t>
  </si>
  <si>
    <t>KWP</t>
  </si>
  <si>
    <t xml:space="preserve">                   Доля метана из транспортируемого угля, поступающего в лаву из транспортируемого угля   (от 0 до 1)</t>
  </si>
  <si>
    <t>соответствовал углу наклона конкретной лавы.</t>
  </si>
  <si>
    <t xml:space="preserve">    Таким образом, выбирая тип механизированного комплекса для конкретной </t>
  </si>
  <si>
    <t>выработка за лавой или нет, проводится ли выработка вместе с лавой или проводится заранее.</t>
  </si>
  <si>
    <t xml:space="preserve">    Не менее важно знать, каким способом пройдены участковые выработки (комбайн или БВР), </t>
  </si>
  <si>
    <t xml:space="preserve">      При разработке тонких и средней мощности пластов выемочный участок имеет, как правило, две</t>
  </si>
  <si>
    <t xml:space="preserve">участковых подготовительных выработки. Следовательно, речь идет об увязке во времени и пространстве работ </t>
  </si>
  <si>
    <t>3. Податливость крепи участковой транспортной выработки</t>
  </si>
  <si>
    <t xml:space="preserve">     (если выработка за лавой погашается - охрана только клетевые костры !)</t>
  </si>
  <si>
    <t>Какие виды транспорта необходимо устанавливать  - указано в столбце А таблицы строки</t>
  </si>
  <si>
    <t>Укажите в таблице принятый способ транспорта</t>
  </si>
  <si>
    <t>m&lt;2,5м, α&lt;35, (A2,A3), П&gt;=3</t>
  </si>
  <si>
    <t>m&lt;3,5м, α&lt;35, (A1,A2), П-любая</t>
  </si>
  <si>
    <t>m&lt;1,5м, α&lt;18, (A1,A2), П&gt;=3</t>
  </si>
  <si>
    <t>m&lt;2,5м, α&lt;35, (A1,A2), П&gt;=1</t>
  </si>
  <si>
    <t>m&lt;2,5м, α&lt;35, A3, П - любая</t>
  </si>
  <si>
    <t>m&lt;1,3м, α&lt;35, (A2,A3), П - любая</t>
  </si>
  <si>
    <t xml:space="preserve">                   в соответствующие ячейки исходных данных</t>
  </si>
  <si>
    <t xml:space="preserve">                                              Установите значения всех принятых Вами "оптимальных" параметров</t>
  </si>
  <si>
    <t xml:space="preserve">   Таким образом, для заданного пласта принято оборудование, вычислена величина нагрузки на лаву</t>
  </si>
  <si>
    <r>
      <t xml:space="preserve">Принятый в расчетах коэф. готовности крепи в лаве  </t>
    </r>
    <r>
      <rPr>
        <b/>
        <sz val="14"/>
        <color indexed="10"/>
        <rFont val="Arial Cyr"/>
        <charset val="204"/>
      </rPr>
      <t xml:space="preserve"> µ</t>
    </r>
    <r>
      <rPr>
        <b/>
        <vertAlign val="subscript"/>
        <sz val="14"/>
        <color indexed="10"/>
        <rFont val="Arial Cyr"/>
        <charset val="204"/>
      </rPr>
      <t>кр</t>
    </r>
  </si>
  <si>
    <t>Проведение разрезной печи (монтажный ходок)  монтаж оборудования лавы</t>
  </si>
  <si>
    <t>Коэффициент, не независящий от ширины</t>
  </si>
  <si>
    <t>Коэффициент, зависящий от ширины</t>
  </si>
  <si>
    <t>КОМБАЙН</t>
  </si>
  <si>
    <t xml:space="preserve">При выборе типоразмера стойки следует отдавать предпочтение стойкам с автономным (внутренним) </t>
  </si>
  <si>
    <t>4СУГ30</t>
  </si>
  <si>
    <t>5СУГ30</t>
  </si>
  <si>
    <t>6СУГ30</t>
  </si>
  <si>
    <t>7СУГ30</t>
  </si>
  <si>
    <t>8СУГ30</t>
  </si>
  <si>
    <t>9СУГ30</t>
  </si>
  <si>
    <t>10СУГ30</t>
  </si>
  <si>
    <t>11СУГ30</t>
  </si>
  <si>
    <t>питанием - стойки типа СУГ.  Эти типы стоек следует применять и для крепления ниш.</t>
  </si>
  <si>
    <t>Принятые в проекте гидравлические стойки</t>
  </si>
  <si>
    <t xml:space="preserve">Минимальная высота, мм </t>
  </si>
  <si>
    <t>Максимальная высота, мм</t>
  </si>
  <si>
    <t>Длина верхняка, м</t>
  </si>
  <si>
    <t>Длина верхняка в лаве, м</t>
  </si>
  <si>
    <t>А3</t>
  </si>
  <si>
    <t xml:space="preserve">А4 </t>
  </si>
  <si>
    <t>А41</t>
  </si>
  <si>
    <t>Таблица 2</t>
  </si>
  <si>
    <t xml:space="preserve">Допустимая величина сопротивления поддерживающей части </t>
  </si>
  <si>
    <r>
      <t xml:space="preserve">крепи, определяемая по классификации ДонУГИ,    </t>
    </r>
    <r>
      <rPr>
        <b/>
        <sz val="10"/>
        <rFont val="Arial Cyr"/>
        <family val="2"/>
        <charset val="204"/>
      </rPr>
      <t>Р</t>
    </r>
    <r>
      <rPr>
        <sz val="10"/>
        <rFont val="Arial Cyr"/>
        <charset val="204"/>
      </rPr>
      <t>, МПа</t>
    </r>
  </si>
  <si>
    <r>
      <t xml:space="preserve">Средняя мощность пласта  </t>
    </r>
    <r>
      <rPr>
        <b/>
        <sz val="10"/>
        <rFont val="Arial Cyr"/>
        <family val="2"/>
        <charset val="204"/>
      </rPr>
      <t>m</t>
    </r>
    <r>
      <rPr>
        <b/>
        <vertAlign val="subscript"/>
        <sz val="10"/>
        <rFont val="Arial Cyr"/>
        <family val="2"/>
        <charset val="204"/>
      </rPr>
      <t>cp</t>
    </r>
    <r>
      <rPr>
        <sz val="10"/>
        <rFont val="Arial Cyr"/>
        <charset val="204"/>
      </rPr>
      <t>, м</t>
    </r>
  </si>
  <si>
    <r>
      <t>Р</t>
    </r>
    <r>
      <rPr>
        <b/>
        <vertAlign val="subscript"/>
        <sz val="10"/>
        <rFont val="Arial Cyr"/>
        <family val="2"/>
        <charset val="204"/>
      </rPr>
      <t>пос</t>
    </r>
    <r>
      <rPr>
        <sz val="10"/>
        <rFont val="Arial Cyr"/>
        <charset val="204"/>
      </rPr>
      <t>, МН/м</t>
    </r>
  </si>
  <si>
    <r>
      <t>Р</t>
    </r>
    <r>
      <rPr>
        <sz val="10"/>
        <rFont val="Arial Cyr"/>
        <charset val="204"/>
      </rPr>
      <t>, МПа</t>
    </r>
  </si>
  <si>
    <t>до 1м</t>
  </si>
  <si>
    <t>1,01…2,0</t>
  </si>
  <si>
    <t>2,01…3,5</t>
  </si>
  <si>
    <t>А4</t>
  </si>
  <si>
    <t>а максимальная высота больше максимальной рассчитанной величины по приведенной выше таблице стоек принимается их типоразмер.</t>
  </si>
  <si>
    <t>Таблица принятой крепи в нишах</t>
  </si>
  <si>
    <r>
      <t xml:space="preserve">Принятый в расчетах коэф. готовности конвейерной линии   </t>
    </r>
    <r>
      <rPr>
        <b/>
        <sz val="14"/>
        <color indexed="10"/>
        <rFont val="Arial Cyr"/>
        <charset val="204"/>
      </rPr>
      <t>µ</t>
    </r>
    <r>
      <rPr>
        <b/>
        <vertAlign val="subscript"/>
        <sz val="14"/>
        <color indexed="10"/>
        <rFont val="Arial Cyr"/>
        <charset val="204"/>
      </rPr>
      <t>ку</t>
    </r>
  </si>
  <si>
    <r>
      <t>величина (1/ µ</t>
    </r>
    <r>
      <rPr>
        <b/>
        <vertAlign val="subscript"/>
        <sz val="10"/>
        <color indexed="10"/>
        <rFont val="Arial Cyr"/>
        <charset val="204"/>
      </rPr>
      <t>ку</t>
    </r>
    <r>
      <rPr>
        <b/>
        <sz val="10"/>
        <color indexed="10"/>
        <rFont val="Arial Cyr"/>
        <charset val="204"/>
      </rPr>
      <t xml:space="preserve"> -1)</t>
    </r>
  </si>
  <si>
    <r>
      <t xml:space="preserve"> Крепь </t>
    </r>
    <r>
      <rPr>
        <b/>
        <sz val="14"/>
        <rFont val="Arial Cyr"/>
        <charset val="204"/>
      </rPr>
      <t>µ</t>
    </r>
    <r>
      <rPr>
        <b/>
        <vertAlign val="subscript"/>
        <sz val="14"/>
        <rFont val="Arial Cyr"/>
        <charset val="204"/>
      </rPr>
      <t>кр</t>
    </r>
  </si>
  <si>
    <r>
      <t xml:space="preserve">коэффициент ресурса крепи без отказов </t>
    </r>
    <r>
      <rPr>
        <sz val="12"/>
        <rFont val="Arial Cyr"/>
        <charset val="204"/>
      </rPr>
      <t>α</t>
    </r>
    <r>
      <rPr>
        <vertAlign val="subscript"/>
        <sz val="10"/>
        <rFont val="Arial Cyr"/>
        <charset val="204"/>
      </rPr>
      <t>р</t>
    </r>
    <r>
      <rPr>
        <vertAlign val="superscript"/>
        <sz val="10"/>
        <rFont val="Arial Cyr"/>
        <charset val="204"/>
      </rPr>
      <t xml:space="preserve">кр    </t>
    </r>
    <r>
      <rPr>
        <sz val="10"/>
        <rFont val="Arial Cyr"/>
        <charset val="204"/>
      </rPr>
      <t xml:space="preserve">  (стр. 59)</t>
    </r>
  </si>
  <si>
    <r>
      <t xml:space="preserve">коэффициент условий эксплуатации крепи </t>
    </r>
    <r>
      <rPr>
        <sz val="12"/>
        <rFont val="Arial Cyr"/>
        <charset val="204"/>
      </rPr>
      <t>α</t>
    </r>
    <r>
      <rPr>
        <vertAlign val="subscript"/>
        <sz val="10"/>
        <rFont val="Arial Cyr"/>
        <charset val="204"/>
      </rPr>
      <t>у</t>
    </r>
    <r>
      <rPr>
        <vertAlign val="superscript"/>
        <sz val="10"/>
        <rFont val="Arial Cyr"/>
        <charset val="204"/>
      </rPr>
      <t>кр</t>
    </r>
  </si>
  <si>
    <r>
      <t xml:space="preserve">Коэффициент готовности мех. крепи в реальных условиях   </t>
    </r>
    <r>
      <rPr>
        <b/>
        <sz val="12"/>
        <rFont val="Arial Cyr"/>
        <charset val="204"/>
      </rPr>
      <t xml:space="preserve">  µ</t>
    </r>
    <r>
      <rPr>
        <b/>
        <vertAlign val="subscript"/>
        <sz val="10"/>
        <rFont val="Arial Cyr"/>
        <charset val="204"/>
      </rPr>
      <t>кр</t>
    </r>
    <r>
      <rPr>
        <b/>
        <sz val="10"/>
        <rFont val="Arial Cyr"/>
        <charset val="204"/>
      </rPr>
      <t xml:space="preserve">    (ф. 71)</t>
    </r>
  </si>
  <si>
    <t>проходящего по лаве, то общее количество воздуха составит</t>
  </si>
  <si>
    <t xml:space="preserve">                                                 Q = 100*q, м3/т</t>
  </si>
  <si>
    <r>
      <t xml:space="preserve">или                                                         </t>
    </r>
    <r>
      <rPr>
        <b/>
        <sz val="12"/>
        <rFont val="Times New Roman"/>
        <family val="1"/>
        <charset val="204"/>
      </rPr>
      <t xml:space="preserve">   Q</t>
    </r>
    <r>
      <rPr>
        <sz val="12"/>
        <rFont val="Times New Roman"/>
        <family val="1"/>
        <charset val="204"/>
      </rPr>
      <t xml:space="preserve"> = </t>
    </r>
    <r>
      <rPr>
        <b/>
        <sz val="12"/>
        <rFont val="Times New Roman"/>
        <family val="1"/>
        <charset val="204"/>
      </rPr>
      <t>100*q*А</t>
    </r>
    <r>
      <rPr>
        <sz val="12"/>
        <rFont val="Times New Roman"/>
        <family val="1"/>
        <charset val="204"/>
      </rPr>
      <t>, м3/сутки</t>
    </r>
  </si>
  <si>
    <r>
      <t xml:space="preserve">где     </t>
    </r>
    <r>
      <rPr>
        <b/>
        <sz val="12"/>
        <rFont val="Times New Roman"/>
        <family val="1"/>
        <charset val="204"/>
      </rPr>
      <t xml:space="preserve">А </t>
    </r>
    <r>
      <rPr>
        <sz val="12"/>
        <rFont val="Times New Roman"/>
        <family val="1"/>
        <charset val="204"/>
      </rPr>
      <t>- суточная добыча лавы, т/сутки</t>
    </r>
  </si>
  <si>
    <t>Возможная минимальная вынимаемая мощность пласта, м</t>
  </si>
  <si>
    <t>Номер типа комбайна в таблице 1</t>
  </si>
  <si>
    <r>
      <t>Маслостанция (</t>
    </r>
    <r>
      <rPr>
        <b/>
        <sz val="12"/>
        <rFont val="Times New Roman"/>
        <family val="1"/>
        <charset val="204"/>
      </rPr>
      <t xml:space="preserve">1 </t>
    </r>
    <r>
      <rPr>
        <sz val="12"/>
        <rFont val="Times New Roman"/>
        <family val="1"/>
        <charset val="204"/>
      </rPr>
      <t xml:space="preserve">- СНУ5, СНУ5Р, СНУ6; </t>
    </r>
    <r>
      <rPr>
        <b/>
        <sz val="12"/>
        <rFont val="Times New Roman"/>
        <family val="1"/>
        <charset val="204"/>
      </rPr>
      <t>2</t>
    </r>
    <r>
      <rPr>
        <sz val="12"/>
        <rFont val="Times New Roman"/>
        <family val="1"/>
        <charset val="204"/>
      </rPr>
      <t xml:space="preserve"> - СНУ5П, </t>
    </r>
    <r>
      <rPr>
        <b/>
        <sz val="12"/>
        <rFont val="Times New Roman"/>
        <family val="1"/>
        <charset val="204"/>
      </rPr>
      <t>3</t>
    </r>
    <r>
      <rPr>
        <sz val="12"/>
        <rFont val="Times New Roman"/>
        <family val="1"/>
        <charset val="204"/>
      </rPr>
      <t xml:space="preserve"> - СНТ</t>
    </r>
  </si>
  <si>
    <t>Время концевых операций на цик, мин</t>
  </si>
  <si>
    <t>Время приема-сдачи смены, мин</t>
  </si>
  <si>
    <t>Схема работы комбайна (2 - челноковая, 1- одностор)</t>
  </si>
  <si>
    <t>Kатегория пород по устойчивости нижнего слоя В</t>
  </si>
  <si>
    <t>Гипсометрия пласта(1-спокойная, 2-волнистая)</t>
  </si>
  <si>
    <t>наличие кабелеукладчика(1-да, 0-нет)</t>
  </si>
  <si>
    <t xml:space="preserve">Ниже приведена таблица зависимости числа циклов от длины </t>
  </si>
  <si>
    <t xml:space="preserve">лавы для случая, когда ограничивающим фактором длины лавы является </t>
  </si>
  <si>
    <t>2.1.1</t>
  </si>
  <si>
    <t>2.1.2</t>
  </si>
  <si>
    <t>2.1.3</t>
  </si>
  <si>
    <t>2.1.4</t>
  </si>
  <si>
    <t>2.2.1</t>
  </si>
  <si>
    <t>2.2.2</t>
  </si>
  <si>
    <t>2.2.3</t>
  </si>
  <si>
    <t>2.2.4</t>
  </si>
  <si>
    <t>2.3.1</t>
  </si>
  <si>
    <t>2.3.2</t>
  </si>
  <si>
    <t>2.3.3</t>
  </si>
  <si>
    <t>2.3.4</t>
  </si>
  <si>
    <t>2.4.1</t>
  </si>
  <si>
    <t>2.4.2</t>
  </si>
  <si>
    <t>2.4.3</t>
  </si>
  <si>
    <t>2.4.4</t>
  </si>
  <si>
    <t>3.1.1</t>
  </si>
  <si>
    <t>3.1.2</t>
  </si>
  <si>
    <t>3.1.3</t>
  </si>
  <si>
    <t>3.1.4</t>
  </si>
  <si>
    <t>добыча с 1 м при подвигании  lшз, т</t>
  </si>
  <si>
    <t>время на оформление забоя, мин/м</t>
  </si>
  <si>
    <t>время крепления и оформления, мин/компл</t>
  </si>
  <si>
    <t>T, мин/м3</t>
  </si>
  <si>
    <t>m, м</t>
  </si>
  <si>
    <t xml:space="preserve">                         Т           Основное время выемки 1 м3 угля , мин/м3</t>
  </si>
  <si>
    <t>Комбинированная прямой ход, движение воздуха по лаве от транспортной выработки к вентиляционной и далее на выработанное пространство. Вентиляционная выработка  проведена за лавой через целик более  Lоп, после прохода лавы не погашается. Транспортная выработка проведена заранее, за лавой не погашается, Участок штрека впереди лавы проветривается от фланговой выработки. Подсвежающая струя - от фланговой выработки.</t>
  </si>
  <si>
    <t>1,11 и &gt;</t>
  </si>
  <si>
    <t xml:space="preserve">Комбинированная обратный ход,  движение воздуха по лаве от транспортной выработки к вентиляционной и далее на массив. Вентиляционная выработка  проведена от фланговой выработки за работающей лавой вприсечку к выработанному пространству, за лавой погашается. Транспортная выработка  проведена заранее, за лавой не погашается. Участок выработки впереди лавы проветривается от фланговой выработки. Угольный поток направлен от лавы на транспортную фланговую выработку.. </t>
  </si>
  <si>
    <t>При мощности пласта 0,8 м расчетное значение скорости подачи комбайна 5,8 м/мин. Может ли комбайн работать с такой скоростью?  Да - 1, нет - 2</t>
  </si>
  <si>
    <r>
      <t xml:space="preserve">Минимальная площадь сечения забоя, занятая мех. крепью, </t>
    </r>
    <r>
      <rPr>
        <sz val="10"/>
        <color indexed="12"/>
        <rFont val="Arial Cyr"/>
        <family val="2"/>
        <charset val="204"/>
      </rPr>
      <t>Sкр,м2</t>
    </r>
  </si>
  <si>
    <r>
      <t xml:space="preserve">Коэффициент изменения скор. передвижения рабочего, </t>
    </r>
    <r>
      <rPr>
        <sz val="10"/>
        <color indexed="12"/>
        <rFont val="Arial Cyr"/>
        <family val="2"/>
        <charset val="204"/>
      </rPr>
      <t>kc</t>
    </r>
  </si>
  <si>
    <r>
      <t xml:space="preserve">коэффициент использования производительности работающих насосных станций   </t>
    </r>
    <r>
      <rPr>
        <sz val="10"/>
        <color indexed="49"/>
        <rFont val="Arial Cyr"/>
        <charset val="204"/>
      </rPr>
      <t>kн</t>
    </r>
  </si>
  <si>
    <r>
      <t xml:space="preserve">Определение категории разрушения угля стругом </t>
    </r>
    <r>
      <rPr>
        <b/>
        <sz val="14"/>
        <rFont val="Times New Roman Cyr"/>
        <charset val="204"/>
      </rPr>
      <t xml:space="preserve">К </t>
    </r>
    <r>
      <rPr>
        <b/>
        <sz val="11"/>
        <rFont val="Times New Roman Cyr"/>
        <charset val="204"/>
      </rPr>
      <t xml:space="preserve">  при заданной мощности пласта </t>
    </r>
    <r>
      <rPr>
        <b/>
        <sz val="14"/>
        <rFont val="Times New Roman Cyr"/>
        <charset val="204"/>
      </rPr>
      <t>m</t>
    </r>
    <r>
      <rPr>
        <b/>
        <sz val="11"/>
        <rFont val="Times New Roman Cyr"/>
        <charset val="204"/>
      </rPr>
      <t xml:space="preserve">  и времени </t>
    </r>
    <r>
      <rPr>
        <b/>
        <sz val="14"/>
        <rFont val="Times New Roman Cyr"/>
        <charset val="204"/>
      </rPr>
      <t xml:space="preserve">T </t>
    </r>
    <r>
      <rPr>
        <b/>
        <sz val="11"/>
        <rFont val="Times New Roman Cyr"/>
        <charset val="204"/>
      </rPr>
      <t xml:space="preserve"> выемки 1 м3 угля</t>
    </r>
  </si>
  <si>
    <t>Коэффициент, учитывающий влияние отжима угля на сопротивляемость его резанию  (ф. 7)</t>
  </si>
  <si>
    <t>Толщина верхняка, мм</t>
  </si>
  <si>
    <t>Минимальная необходимая высота стойки, мм</t>
  </si>
  <si>
    <t>Комбинированная прямой ход, движение воздуха по лаве от транспортной выработки к вентиляционной и далее на выработанное пространство. Вентиляционная выработка - повторно используемая транспортная выработка.  Транспортная выработка проведена заранее, за лавой не погашается. Участки выработок впереди лавы проветриваются от фланговой выработки.</t>
  </si>
  <si>
    <t>Коэф возраста струговой установки   i5</t>
  </si>
  <si>
    <t>Коэф заштыбованности   i4</t>
  </si>
  <si>
    <t>Коеф угла наклона лавы  i2</t>
  </si>
  <si>
    <t>Коэф длины лавы  i1</t>
  </si>
  <si>
    <t>Коэф возраста крепи    i5</t>
  </si>
  <si>
    <t>Коеф угла наклона лавы   i2</t>
  </si>
  <si>
    <t>Коэф длины лавы   i1</t>
  </si>
  <si>
    <t>Коэф заштыбованности    i4</t>
  </si>
  <si>
    <t>ресурс крепи до капремонта, мес  Тркр</t>
  </si>
  <si>
    <t>коэффициент, учитывающий угол встречи  Кув</t>
  </si>
  <si>
    <t>максимальная ширина незакрепленной призабойной полосы, при которой сохраняется устойчивость lуст</t>
  </si>
  <si>
    <t>Принятая в расчетах производительность установки, т/мин</t>
  </si>
  <si>
    <t>K</t>
  </si>
  <si>
    <t>y = -7,1768Ln(x) + 7,1607</t>
  </si>
  <si>
    <t>y = -7,1764Ln(x) + 6,1602</t>
  </si>
  <si>
    <t>y = -7,1675Ln(x) + 5,1601</t>
  </si>
  <si>
    <t>y = -7,1684Ln(x) + 4,1569</t>
  </si>
  <si>
    <t>Норма выработки табличная (лебедки, кроме ручных)</t>
  </si>
  <si>
    <t>Норма выработки табличная (ручные лебедки)</t>
  </si>
  <si>
    <t>Норма выработки табличная (извлечение арки вручную)</t>
  </si>
  <si>
    <t>Коэффициент готовности забоя по по группе последовательных перерывов µ1</t>
  </si>
  <si>
    <t>Коэффициент готовности по группе параллельных перерывов µ2</t>
  </si>
  <si>
    <t>Нормы выработки на креплении очистных забоев гидравлическими стойками, комплект, стойка</t>
  </si>
  <si>
    <t>Нормы выработки навеска и снятие шарнирных верхняков, верхняк</t>
  </si>
  <si>
    <t>Нормы выработки на извлечение гидравлических стоек, стойка</t>
  </si>
  <si>
    <t>масса верхняка, кг.</t>
  </si>
  <si>
    <t>Вынимаемая мощность пласта, м.</t>
  </si>
  <si>
    <t>норма выработки</t>
  </si>
  <si>
    <t>одна стойка под верхняк</t>
  </si>
  <si>
    <t>две стойки под верхняк</t>
  </si>
  <si>
    <t>три стойки под верхняк</t>
  </si>
  <si>
    <t>до 1,2</t>
  </si>
  <si>
    <t>1,21 и более</t>
  </si>
  <si>
    <t>до 24,2</t>
  </si>
  <si>
    <t xml:space="preserve">           Таблица возможной нагрузки на лаву </t>
  </si>
  <si>
    <t>Оборудование лав для других пластов принимается без детальных вычислений!</t>
  </si>
  <si>
    <t>Примечание:  в незаполненные ячейки внести данные об оборудовании !!!</t>
  </si>
  <si>
    <t>Число циклов в сутки</t>
  </si>
  <si>
    <t>Трудоемкость, (клетевые)чел.см</t>
  </si>
  <si>
    <t>Трудоемкость, (накатные)чел.см</t>
  </si>
  <si>
    <t xml:space="preserve">              от   возможной скорости передвижения машиниста комбайна по лаве                               </t>
  </si>
  <si>
    <t xml:space="preserve">            от  возможной скорости крепления кровли за комбайном</t>
  </si>
  <si>
    <t xml:space="preserve">               (мощность двигателя, тяговое усилие, допустимая скорость подачи и т.д.)</t>
  </si>
  <si>
    <t xml:space="preserve">           (при увеличении сопротивляемости угля резанию в 2 раза скорость подачи комбайна                                                          уменьшается примерно в 1,5 раза)</t>
  </si>
  <si>
    <t xml:space="preserve">Стойки в нишах, выбот типа </t>
  </si>
  <si>
    <t>макс. Высот</t>
  </si>
  <si>
    <t>мин.высот</t>
  </si>
  <si>
    <r>
      <t xml:space="preserve">Шаг подвига-ния очистного забоя, после которого пере-двигается крепь, </t>
    </r>
    <r>
      <rPr>
        <sz val="12"/>
        <color indexed="12"/>
        <rFont val="Arial Cyr"/>
        <family val="2"/>
        <charset val="204"/>
      </rPr>
      <t>l</t>
    </r>
    <r>
      <rPr>
        <vertAlign val="subscript"/>
        <sz val="10"/>
        <color indexed="12"/>
        <rFont val="Arial Cyr"/>
        <family val="2"/>
        <charset val="204"/>
      </rPr>
      <t>шз</t>
    </r>
  </si>
  <si>
    <r>
      <t xml:space="preserve"> Минимальное расстояние от забоя до перекрытия, a</t>
    </r>
    <r>
      <rPr>
        <b/>
        <vertAlign val="subscript"/>
        <sz val="12"/>
        <rFont val="Arial Cyr"/>
        <family val="2"/>
        <charset val="204"/>
      </rPr>
      <t>п</t>
    </r>
    <r>
      <rPr>
        <b/>
        <sz val="12"/>
        <rFont val="Arial Cyr"/>
        <family val="2"/>
        <charset val="204"/>
      </rPr>
      <t>,</t>
    </r>
    <r>
      <rPr>
        <b/>
        <vertAlign val="subscript"/>
        <sz val="12"/>
        <rFont val="Arial Cyr"/>
        <family val="2"/>
        <charset val="204"/>
      </rPr>
      <t xml:space="preserve"> </t>
    </r>
    <r>
      <rPr>
        <b/>
        <sz val="12"/>
        <rFont val="Arial Cyr"/>
        <family val="2"/>
        <charset val="204"/>
      </rPr>
      <t>м</t>
    </r>
  </si>
  <si>
    <r>
      <t xml:space="preserve">Величина </t>
    </r>
    <r>
      <rPr>
        <sz val="12"/>
        <rFont val="Arial Cyr"/>
        <charset val="204"/>
      </rPr>
      <t>α</t>
    </r>
    <r>
      <rPr>
        <vertAlign val="subscript"/>
        <sz val="10"/>
        <rFont val="Arial Cyr"/>
        <charset val="204"/>
      </rPr>
      <t>ур</t>
    </r>
    <r>
      <rPr>
        <vertAlign val="superscript"/>
        <sz val="10"/>
        <rFont val="Arial Cyr"/>
        <charset val="204"/>
      </rPr>
      <t>кр</t>
    </r>
    <r>
      <rPr>
        <sz val="10"/>
        <rFont val="Arial Cyr"/>
        <charset val="204"/>
      </rPr>
      <t>. в ф. 70</t>
    </r>
  </si>
  <si>
    <r>
      <t xml:space="preserve">Шаг установки комплектов крепи вдоль забоя, </t>
    </r>
    <r>
      <rPr>
        <sz val="10"/>
        <color indexed="12"/>
        <rFont val="Arial Cyr"/>
        <family val="2"/>
        <charset val="204"/>
      </rPr>
      <t>lшк</t>
    </r>
    <r>
      <rPr>
        <sz val="10"/>
        <rFont val="Arial Cyr"/>
        <charset val="204"/>
      </rPr>
      <t>, м</t>
    </r>
  </si>
  <si>
    <r>
      <t xml:space="preserve">Число секций, подлежащих передвижке, после подвигания забоя на величину </t>
    </r>
    <r>
      <rPr>
        <sz val="10"/>
        <color indexed="12"/>
        <rFont val="Arial Cyr"/>
        <family val="2"/>
        <charset val="204"/>
      </rPr>
      <t>l ш.з</t>
    </r>
    <r>
      <rPr>
        <sz val="10"/>
        <rFont val="Arial Cyr"/>
        <charset val="204"/>
      </rPr>
      <t>.</t>
    </r>
  </si>
  <si>
    <t>Норма выработки, м3/смена</t>
  </si>
  <si>
    <t>Тяговое усилие, кН  (обработка таб. А.1)</t>
  </si>
  <si>
    <t>Технически  допустимая скорость подачи комбайна, м/мин  (таб. А.1)</t>
  </si>
  <si>
    <t>Категория пород почвы П  (по ДонУГИ)</t>
  </si>
  <si>
    <t>Суммарный расход рабочей жидкости гидроцилиндрами стоек при разгрузке и распоре секций крепи на 100 м лавы, л  Qрс</t>
  </si>
  <si>
    <t>Коэффициент затяжки кровли, %</t>
  </si>
  <si>
    <t>Шаг передвижки крепи минимальный, см</t>
  </si>
  <si>
    <t>Шаг передвижки крепи максимальный, см</t>
  </si>
  <si>
    <t>Расстояние до сечения 1-1  R1, мм</t>
  </si>
  <si>
    <t>Принятая в проекте ширина  конвейерной головки, м</t>
  </si>
  <si>
    <r>
      <t>Волнистость гипсометрии почвы пласта (</t>
    </r>
    <r>
      <rPr>
        <b/>
        <sz val="12"/>
        <rFont val="Times New Roman"/>
        <family val="1"/>
        <charset val="204"/>
      </rPr>
      <t>1</t>
    </r>
    <r>
      <rPr>
        <sz val="12"/>
        <rFont val="Times New Roman"/>
        <family val="1"/>
        <charset val="204"/>
      </rPr>
      <t xml:space="preserve">-не волнистая почва, </t>
    </r>
    <r>
      <rPr>
        <b/>
        <sz val="12"/>
        <rFont val="Times New Roman"/>
        <family val="1"/>
        <charset val="204"/>
      </rPr>
      <t>2</t>
    </r>
    <r>
      <rPr>
        <sz val="12"/>
        <rFont val="Times New Roman"/>
        <family val="1"/>
        <charset val="204"/>
      </rPr>
      <t>-волнистая)</t>
    </r>
  </si>
  <si>
    <t>Укорачивание скребкового конвейера в штреке</t>
  </si>
  <si>
    <t>Поправочные коэф.для каждого типа комплекса</t>
  </si>
  <si>
    <t>КМ-87</t>
  </si>
  <si>
    <t>по ширине захвата</t>
  </si>
  <si>
    <t>учитыв. устойч. боков. пород</t>
  </si>
  <si>
    <t>учитыв. гипсометрию пласта</t>
  </si>
  <si>
    <t>по углу падения</t>
  </si>
  <si>
    <t>конвейеров), т/мин</t>
  </si>
  <si>
    <t>Нормы выработки стругом в комплексно механизированной лаве</t>
  </si>
  <si>
    <t>до 0,75</t>
  </si>
  <si>
    <t>Тип скребкового конвейера (1-одноцепной, 2-двухцепной)</t>
  </si>
  <si>
    <t>Трудоемкость принятая в расчетах</t>
  </si>
  <si>
    <t>Извлечение комплекта арочной крепи в штреке</t>
  </si>
  <si>
    <t>Объем работ, рам</t>
  </si>
  <si>
    <t xml:space="preserve">Комбинированная обратный ход,  движение воздуха по лаве от транспортной выработки к вентиляционной и далее на массив. Вентиляционная выработка  проведена навстречу лаве через целик менее  Lоп, за лавой погашается. Транспортная выработка  проведена заранее, за лавой не погашается. Участок выработки впереди лавы проветривается от фланговой выработки. Угольный поток направлен от лавы на транспортную фланговую выработку. </t>
  </si>
  <si>
    <t>согласно заданных параметров технологии работ в лаве и норм выработки</t>
  </si>
  <si>
    <t xml:space="preserve"> (параметры технологии задаются пользователем (указаны выше), конкретные </t>
  </si>
  <si>
    <t xml:space="preserve">параметры оборудования для каждого вида приведены в программе, нормы </t>
  </si>
  <si>
    <t>При ширине захвата комбайна 0,8 м обычно принимают верхняки длиной 0,8 м, при ширине захвата</t>
  </si>
  <si>
    <t>0,63 м - длина верхняка 1,26 м. При струговой выемке желательно применять верхняки длиной 1 м.</t>
  </si>
  <si>
    <t>ОКУ-01</t>
  </si>
  <si>
    <t>ОКУ-02</t>
  </si>
  <si>
    <t>ОКУ-03</t>
  </si>
  <si>
    <t>ОКУ-04</t>
  </si>
  <si>
    <t>Из этих условий по таблице принимается тип и типоразмер посадочной крепи.</t>
  </si>
  <si>
    <t>СПУТНИК-1</t>
  </si>
  <si>
    <t>СПУТНИК-2</t>
  </si>
  <si>
    <t>СПУТНИК-3</t>
  </si>
  <si>
    <t>СПУТНИК-4</t>
  </si>
  <si>
    <t>Вычисления затрат на очистные работы</t>
  </si>
  <si>
    <t>Суточная нагрузка на лаву, т/сут.</t>
  </si>
  <si>
    <t>Поправочные коэффициенты в формулах стоимости очистных работ</t>
  </si>
  <si>
    <t xml:space="preserve">Ki 1 </t>
  </si>
  <si>
    <t xml:space="preserve">Ki 2 </t>
  </si>
  <si>
    <t xml:space="preserve">Ki 3 </t>
  </si>
  <si>
    <t xml:space="preserve">Ki 4 </t>
  </si>
  <si>
    <t>Справочный материал для промежуточных расчетов</t>
  </si>
  <si>
    <t>Промежуточные вычисления - Затраты на сооружение средств охраны участковых выработок</t>
  </si>
  <si>
    <t>Литая полоса</t>
  </si>
  <si>
    <t>Органная крепь многорядная</t>
  </si>
  <si>
    <t>Кусты</t>
  </si>
  <si>
    <t>Бутовая полоса при скреперной закладке из проводимого штрека</t>
  </si>
  <si>
    <t>бутовая полоса из бутового штреки при ручной закладке</t>
  </si>
  <si>
    <t>Двусторонняя бутовая полоса из бутового штрека и проводимой выр-ки</t>
  </si>
  <si>
    <t>Таблицы коэффициентов к поддержанию участковых выработок  (для 8 видов выработок)</t>
  </si>
  <si>
    <t>ИНТЕГРАЛЬНЫЙ КОЭФФИЦИЕНТ ДЛЯ ПОДДЕРЖАНИЯ</t>
  </si>
  <si>
    <t>Выработка № 1</t>
  </si>
  <si>
    <t>Зоны</t>
  </si>
  <si>
    <t>19   разобраться с С320</t>
  </si>
  <si>
    <t>20   С320</t>
  </si>
  <si>
    <t>21   С320</t>
  </si>
  <si>
    <t>22  С320</t>
  </si>
  <si>
    <t>ЕСЛИ(C$1997=1;0,052*(C$1903/1020000)+0,26;1,25)</t>
  </si>
  <si>
    <t>23   С320</t>
  </si>
  <si>
    <t>25    С320</t>
  </si>
  <si>
    <t>26    С 320</t>
  </si>
  <si>
    <t>Выработка № 2</t>
  </si>
  <si>
    <t>Выработка № 3</t>
  </si>
  <si>
    <t>Выработка № 4</t>
  </si>
  <si>
    <t>Выработка № 5</t>
  </si>
  <si>
    <t>Выработка № 6</t>
  </si>
  <si>
    <t>Выработка № 7</t>
  </si>
  <si>
    <t>Выработка № 8</t>
  </si>
  <si>
    <t xml:space="preserve">   До начала работы с программой необходимо правильно ответить на следующие вопросы:</t>
  </si>
  <si>
    <t>норма на откатку грузов</t>
  </si>
  <si>
    <t>51,3-57,0</t>
  </si>
  <si>
    <t>0,61-0,80</t>
  </si>
  <si>
    <t>0,513-0,590</t>
  </si>
  <si>
    <t>0,236-0,300</t>
  </si>
  <si>
    <t>(1) Таб 80 стр 123</t>
  </si>
  <si>
    <t>57,1-63,0</t>
  </si>
  <si>
    <t>0,81-1,40</t>
  </si>
  <si>
    <t>0,591-0,680</t>
  </si>
  <si>
    <t>0,301-0,345</t>
  </si>
  <si>
    <t>длина</t>
  </si>
  <si>
    <t>63,1-69,6</t>
  </si>
  <si>
    <t>1,41-1,80</t>
  </si>
  <si>
    <t>0,681-0,790</t>
  </si>
  <si>
    <t>0,346-0,385</t>
  </si>
  <si>
    <t>69,7 и &gt;</t>
  </si>
  <si>
    <t>1,81 и более</t>
  </si>
  <si>
    <t>0,791-0,910</t>
  </si>
  <si>
    <t>0,386-0,440</t>
  </si>
  <si>
    <t>0,911-1,060</t>
  </si>
  <si>
    <t>0,441-0,505</t>
  </si>
  <si>
    <t>1,061-1,220</t>
  </si>
  <si>
    <t>0,506-0,580</t>
  </si>
  <si>
    <t>Х</t>
  </si>
  <si>
    <t>Определение нормы выработки и нормы обслуживания комплекса</t>
  </si>
  <si>
    <t>трудоемкость работ за смену, чел.смен</t>
  </si>
  <si>
    <t>трудоемкость работ, чел.смен</t>
  </si>
  <si>
    <t>состав сменной бригады</t>
  </si>
  <si>
    <t>Таблица 1   Область применения струговых установок</t>
  </si>
  <si>
    <t>Способ выемки ниши (1-ОМ, 2-БВР)</t>
  </si>
  <si>
    <t>Трудоемкость выкладки клетевых костров, ч.см/м</t>
  </si>
  <si>
    <t>Трудоемкость выкладки накатных костров, ч.см/м</t>
  </si>
  <si>
    <t>Длина комбайна</t>
  </si>
  <si>
    <t>одностороннее</t>
  </si>
  <si>
    <t>симметричное</t>
  </si>
  <si>
    <r>
      <t>коэффициент резерва скорости передвижки (установки) фронта крепи за подвиганием забоя К</t>
    </r>
    <r>
      <rPr>
        <vertAlign val="subscript"/>
        <sz val="11"/>
        <rFont val="Times New Roman Cyr"/>
        <charset val="204"/>
      </rPr>
      <t>р</t>
    </r>
    <r>
      <rPr>
        <vertAlign val="superscript"/>
        <sz val="11"/>
        <rFont val="Times New Roman Cyr"/>
        <charset val="204"/>
      </rPr>
      <t xml:space="preserve">крф   </t>
    </r>
    <r>
      <rPr>
        <sz val="11"/>
        <rFont val="Times New Roman Cyr"/>
        <charset val="204"/>
      </rPr>
      <t xml:space="preserve">в формуле для </t>
    </r>
    <r>
      <rPr>
        <sz val="11"/>
        <rFont val="Arial Cyr"/>
        <charset val="204"/>
      </rPr>
      <t>µ</t>
    </r>
    <r>
      <rPr>
        <vertAlign val="subscript"/>
        <sz val="11"/>
        <rFont val="Times New Roman Cyr"/>
        <charset val="204"/>
      </rPr>
      <t xml:space="preserve">пкр   </t>
    </r>
    <r>
      <rPr>
        <sz val="11"/>
        <rFont val="Times New Roman Cyr"/>
        <charset val="204"/>
      </rPr>
      <t xml:space="preserve">  (ф. 74)</t>
    </r>
  </si>
  <si>
    <t xml:space="preserve">В каких единицах измеряется норма выработки на возведение деревянной органной кпепи? 1 - число рядов органки, 2 - количество стоек на 1 м,  3 - стойка, 4 - мощность пласта </t>
  </si>
  <si>
    <t>В каких единицах измеряется объем работ по выемке угля комбайном? 1 - количество циклов, 2 -  тонна, 3 - количество стружек, 4 - количестве передвижек крепи)</t>
  </si>
  <si>
    <r>
      <t xml:space="preserve">программа </t>
    </r>
    <r>
      <rPr>
        <b/>
        <i/>
        <sz val="16"/>
        <rFont val="Times New Roman"/>
        <family val="1"/>
        <charset val="204"/>
      </rPr>
      <t>stat.xls</t>
    </r>
  </si>
  <si>
    <t>Донецк 2015</t>
  </si>
  <si>
    <t>от категории устойчивости пород уровли. Каждый тип крепи конструктивно</t>
  </si>
  <si>
    <t xml:space="preserve"> характеризуется определенной величиной  шага установки секций и </t>
  </si>
  <si>
    <t>необходимо, чтобы шаг установки секций не превысил величину этого пролета. .;</t>
  </si>
  <si>
    <t xml:space="preserve"> Эти показатели вычисляются по соответствующим формулам и таблицам. Которые рассматриваются</t>
  </si>
  <si>
    <t>то ли в курсе лекций, то ли в специальных курсах учебных  дисциплин.</t>
  </si>
  <si>
    <t xml:space="preserve">Предельная величина незакрепленного пролета кровли составляет 0,85 м. Можно ли применить крепь с шагом ее установки 1,5 м, если крепь передвигается без подпора? Да - 1, Нет - 2 </t>
  </si>
  <si>
    <t xml:space="preserve">7. Нагрузка на крепь  зависит от мощности пласта m  и класса пород кровли по обрушаемости. </t>
  </si>
  <si>
    <t xml:space="preserve">8. Конструкция крепи и ее механические характеристики рассчитываются на применение </t>
  </si>
  <si>
    <t xml:space="preserve">9.  Если крепь передвигается без подпора, при ее разгрузке появляются определенной </t>
  </si>
  <si>
    <t xml:space="preserve">10.  Необходимо, чтобы допустимый для данного типа крепи угол наклона лавы </t>
  </si>
  <si>
    <t>4  Установление  величины нагрузки на лаву и длины лавы для пласта</t>
  </si>
  <si>
    <t>4.1  Описание принятой системы разработки</t>
  </si>
  <si>
    <t xml:space="preserve">   Система разработки - это порядок ведения очистных и подготовительных работ на выемочном участке,</t>
  </si>
  <si>
    <t>характеризующийся увязкой этих работ во времени и пространстве.</t>
  </si>
  <si>
    <t xml:space="preserve">возможные    исходные данные. Введите их в ячейки стобца B. </t>
  </si>
  <si>
    <t xml:space="preserve">   Напоминаю, Вами  принят способ подготовки пласта </t>
  </si>
  <si>
    <t xml:space="preserve">         Запишите это значение в закрашенную ячейку строки</t>
  </si>
  <si>
    <t xml:space="preserve">Программа предоставляет пользователю возможность  провести исследования влияния </t>
  </si>
  <si>
    <t>отдельных ,параметров технологии  на величину удельных затрат т.е. оптимизирорвать</t>
  </si>
  <si>
    <t xml:space="preserve"> параметры технологии.   Величина удельных затрат вычисляется по разработанным </t>
  </si>
  <si>
    <t xml:space="preserve">в ДонНТУ.стоимостным парамерам </t>
  </si>
  <si>
    <t xml:space="preserve">                                    Установите в столбце В строки</t>
  </si>
  <si>
    <t xml:space="preserve">     показатель технологии проведения "БВР". Значение удельных затрат из строки</t>
  </si>
  <si>
    <t xml:space="preserve">     запишите в соответствующую строку таблицы, расположенной в строке</t>
  </si>
  <si>
    <t xml:space="preserve">     Установите показатель способа проведения на "средний" уровень!</t>
  </si>
  <si>
    <t xml:space="preserve">      Удельные затраты в зависимости от способа проведения выработок</t>
  </si>
  <si>
    <t xml:space="preserve">     Укажите в таблице какой способ проходки Вы принимаете</t>
  </si>
  <si>
    <t xml:space="preserve">  Удельные затраты в зависимости от податливости крепи транспортной выработки</t>
  </si>
  <si>
    <r>
      <t xml:space="preserve">Площадь загрузочного сечения конвейера  </t>
    </r>
    <r>
      <rPr>
        <b/>
        <sz val="10"/>
        <rFont val="Arial Cyr"/>
        <family val="2"/>
        <charset val="204"/>
      </rPr>
      <t>S</t>
    </r>
    <r>
      <rPr>
        <b/>
        <vertAlign val="subscript"/>
        <sz val="10"/>
        <rFont val="Arial Cyr"/>
        <family val="2"/>
        <charset val="204"/>
      </rPr>
      <t>к</t>
    </r>
    <r>
      <rPr>
        <sz val="10"/>
        <rFont val="Arial Cyr"/>
        <charset val="204"/>
      </rPr>
      <t>,  м</t>
    </r>
    <r>
      <rPr>
        <vertAlign val="superscript"/>
        <sz val="10"/>
        <rFont val="Arial Cyr"/>
        <family val="2"/>
        <charset val="204"/>
      </rPr>
      <t>2</t>
    </r>
  </si>
  <si>
    <r>
      <t>α</t>
    </r>
    <r>
      <rPr>
        <vertAlign val="subscript"/>
        <sz val="12"/>
        <rFont val="Arial Cyr"/>
        <charset val="204"/>
      </rPr>
      <t>ур</t>
    </r>
    <r>
      <rPr>
        <vertAlign val="superscript"/>
        <sz val="12"/>
        <rFont val="Arial Cyr"/>
        <charset val="204"/>
      </rPr>
      <t>с.у.</t>
    </r>
  </si>
  <si>
    <r>
      <t>Ресурс до капремонта, тыс.т   Д</t>
    </r>
    <r>
      <rPr>
        <vertAlign val="subscript"/>
        <sz val="10"/>
        <rFont val="Arial Cyr"/>
        <charset val="204"/>
      </rPr>
      <t>р</t>
    </r>
    <r>
      <rPr>
        <vertAlign val="superscript"/>
        <sz val="10"/>
        <rFont val="Arial Cyr"/>
        <charset val="204"/>
      </rPr>
      <t>су</t>
    </r>
  </si>
  <si>
    <t>Способ погрузки породы (1 - ППМ, 2 - вручную)  при проходке БВР</t>
  </si>
  <si>
    <t>Срок отработки</t>
  </si>
  <si>
    <t>значение затрат на поддержание в зоне 1(для 6-й выр-ки)</t>
  </si>
  <si>
    <t>значение затрат на поддержание в зоне 2(для 6-й выр-ки)</t>
  </si>
  <si>
    <t>значение затрат на поддержание в зоне 3(для 6-й выр-ки)</t>
  </si>
  <si>
    <t>значение затрат на поддержание в зоне 4(для 6-й выр-ки)</t>
  </si>
  <si>
    <r>
      <t xml:space="preserve">средняя скорость подвигания очистного забоя </t>
    </r>
    <r>
      <rPr>
        <sz val="12"/>
        <rFont val="Times New Roman Cyr"/>
        <charset val="204"/>
      </rPr>
      <t xml:space="preserve"> v</t>
    </r>
    <r>
      <rPr>
        <vertAlign val="subscript"/>
        <sz val="12"/>
        <rFont val="Times New Roman Cyr"/>
        <charset val="204"/>
      </rPr>
      <t xml:space="preserve">пз    </t>
    </r>
    <r>
      <rPr>
        <sz val="12"/>
        <rFont val="Times New Roman Cyr"/>
        <charset val="204"/>
      </rPr>
      <t>по ф. 75</t>
    </r>
  </si>
  <si>
    <t>Запасы шахтного поля, которые будут освоены в период работы шахты с проектной мощностью  составят</t>
  </si>
  <si>
    <t>электрослесарь по ремонту</t>
  </si>
  <si>
    <t>Доставка материалов</t>
  </si>
  <si>
    <t>НИШИ</t>
  </si>
  <si>
    <t>Длина приводной головки конвейера, м</t>
  </si>
  <si>
    <t>Длина головки конвейера у вент выр-ки, м</t>
  </si>
  <si>
    <t>Вынос приводной головки на конвейерной выр-ке, м</t>
  </si>
  <si>
    <t>Ранее введенные фиксированные данные</t>
  </si>
  <si>
    <t>Прочность пород почвы, Мпа</t>
  </si>
  <si>
    <t>Данные о наклонных (панельных)  выработках</t>
  </si>
  <si>
    <t>Данные, варьируемые при проведении анализа</t>
  </si>
  <si>
    <t>Скорость подвигания лавы, м/мес</t>
  </si>
  <si>
    <t>Расчет нагрузки на лаву по газовому фактору</t>
  </si>
  <si>
    <t>Общая для всех вариантов информация</t>
  </si>
  <si>
    <t>Комбинированная обратный ход, движение воздуха по лаве от транспортной выработки к вентиляционной и далее на выработанное пространство, Вентиляционная выработка - повторно используемая транспортная выработка, за лавой не погашается. Транспортная выработка проведена заранее, за лавой не погашается, участок штрека за лавой проветривается от фланговой выработки. Подсвежающая струя - по вентиляционной выработке на фланговую выработку.</t>
  </si>
  <si>
    <t>4 крепление забоя (одна гидростойка под верхняк)</t>
  </si>
  <si>
    <t>5 Снятие верхняка</t>
  </si>
  <si>
    <t>6 извлечение гидростоек</t>
  </si>
  <si>
    <t>Глубина ведения горных работ, м</t>
  </si>
  <si>
    <t>глубина работ</t>
  </si>
  <si>
    <t>температура в лаве</t>
  </si>
  <si>
    <t>Температура в лаве, °С</t>
  </si>
  <si>
    <t>плотность угля, т/м3</t>
  </si>
  <si>
    <t>Плотность добываемой горной массы, т/м3</t>
  </si>
  <si>
    <t xml:space="preserve">                                 Расчет нагрузки на струговую лаву</t>
  </si>
  <si>
    <t xml:space="preserve">Нормы выработки и нормы обслуживания комплекса при выемке угля одним комбайном по однсторонней схеме и фронтальной передвижке конвеера </t>
  </si>
  <si>
    <t>Таблица 10 ЕНВ 1993г</t>
  </si>
  <si>
    <t>Нормы выработки и нормы обслуживания комплекса при выемке угля одним комбайном по челноковой схеме и фронтальной передвижке конвеера</t>
  </si>
  <si>
    <t>Таблица 11 ЕНВ 1993г</t>
  </si>
  <si>
    <t>Нормы выработки и нормы обслуживания комплекса при выемке угля двумя комбайнами по односторонней схеме и передвижке конвеера участками</t>
  </si>
  <si>
    <t>Таблица 12 ЕНВ 1993г</t>
  </si>
  <si>
    <t>Нормы выработки и нормы обслуживания комплекса при выемке угля двумя комбайнами по челноковой схеме и передвижке конвеера участками</t>
  </si>
  <si>
    <t>Таблица 13 ЕНВ 1993г</t>
  </si>
  <si>
    <t>Нормы выработки, стойка</t>
  </si>
  <si>
    <t>Снятие</t>
  </si>
  <si>
    <t>Комбинированная прямой ход, проветривание от фланговой выработки по вентиляционной выработке через лаву  к транспортной выработке и далее на массив. Вентиляционная выработка - повторно используемая транспортная выработка, за лавой погашается. Транспортная выработка проведена ранее и не погашается. Подсвежающая струя - на фланговую выработку.</t>
  </si>
  <si>
    <t>5. Величина нагрузки на лаву при заданной ее длине будет указана в строке</t>
  </si>
  <si>
    <t>6. Запишите это значение в таблицу  строки</t>
  </si>
  <si>
    <t xml:space="preserve">в столбец, соответствующий заданной длине лавы. </t>
  </si>
  <si>
    <t>Плавное опускание</t>
  </si>
  <si>
    <t>Частичная закладка</t>
  </si>
  <si>
    <t>ориентировочная проверка верности ввода исходных данных о газовыделении</t>
  </si>
  <si>
    <r>
      <t>Возможное кол-во воздуха в лаве, m</t>
    </r>
    <r>
      <rPr>
        <vertAlign val="superscript"/>
        <sz val="10"/>
        <rFont val="Arial Cyr"/>
        <family val="2"/>
        <charset val="204"/>
      </rPr>
      <t>3</t>
    </r>
    <r>
      <rPr>
        <sz val="10"/>
        <rFont val="Arial Cyr"/>
        <charset val="204"/>
      </rPr>
      <t>/min</t>
    </r>
  </si>
  <si>
    <t>Газовыделение в лаву, m3/min</t>
  </si>
  <si>
    <t>Допустимая нагрузка по ПБ, t/tag</t>
  </si>
  <si>
    <t>Abweichung der tatsächlicher  Strebleistung in Anteil von</t>
  </si>
  <si>
    <t>zuläsige  Strebleistung,%</t>
  </si>
  <si>
    <t xml:space="preserve">   на основании задаваемых параметров вычисляется объем работ на один </t>
  </si>
  <si>
    <r>
      <t xml:space="preserve">  выемочный цикл  </t>
    </r>
    <r>
      <rPr>
        <sz val="14"/>
        <rFont val="Times New Roman"/>
        <family val="1"/>
        <charset val="204"/>
      </rPr>
      <t xml:space="preserve"> </t>
    </r>
    <r>
      <rPr>
        <b/>
        <sz val="14"/>
        <rFont val="Times New Roman"/>
        <family val="1"/>
        <charset val="204"/>
      </rPr>
      <t>V</t>
    </r>
    <r>
      <rPr>
        <b/>
        <vertAlign val="subscript"/>
        <sz val="14"/>
        <rFont val="Times New Roman"/>
        <family val="1"/>
        <charset val="204"/>
      </rPr>
      <t>i</t>
    </r>
  </si>
  <si>
    <t>2  По каждому производственному прцессу определяется норма выработки, пре-</t>
  </si>
  <si>
    <r>
      <t>Нормы выработки, м</t>
    </r>
    <r>
      <rPr>
        <b/>
        <vertAlign val="superscript"/>
        <sz val="10"/>
        <color indexed="10"/>
        <rFont val="Arial Cyr"/>
        <family val="2"/>
        <charset val="204"/>
      </rPr>
      <t>3</t>
    </r>
    <r>
      <rPr>
        <b/>
        <sz val="10"/>
        <color indexed="10"/>
        <rFont val="Arial Cyr"/>
        <family val="2"/>
        <charset val="204"/>
      </rPr>
      <t xml:space="preserve"> выложенной бутовой полосы вручную</t>
    </r>
  </si>
  <si>
    <t>Табл.73, стр.213</t>
  </si>
  <si>
    <t>до 6,00</t>
  </si>
  <si>
    <t>6,01-9,00</t>
  </si>
  <si>
    <t>9,01-12,00</t>
  </si>
  <si>
    <t>12,01 и &gt;</t>
  </si>
  <si>
    <t>0,71-0,75</t>
  </si>
  <si>
    <t>0,76-0,85</t>
  </si>
  <si>
    <t>0,86-0,95</t>
  </si>
  <si>
    <t>0,96-1,05</t>
  </si>
  <si>
    <t>1,06-1,15</t>
  </si>
  <si>
    <t>1,16-1,25</t>
  </si>
  <si>
    <t>1,26-1,45</t>
  </si>
  <si>
    <t>1,46 и &gt;</t>
  </si>
  <si>
    <r>
      <t>Нормы выработки, м</t>
    </r>
    <r>
      <rPr>
        <b/>
        <vertAlign val="superscript"/>
        <sz val="10"/>
        <color indexed="10"/>
        <rFont val="Arial Cyr"/>
        <family val="2"/>
        <charset val="204"/>
      </rPr>
      <t>3</t>
    </r>
    <r>
      <rPr>
        <b/>
        <sz val="10"/>
        <color indexed="10"/>
        <rFont val="Arial Cyr"/>
        <family val="2"/>
        <charset val="204"/>
      </rPr>
      <t xml:space="preserve"> выложенной бутовой полосы скрепером (на 2 человека)</t>
    </r>
  </si>
  <si>
    <t>Емкость скрепера, м3</t>
  </si>
  <si>
    <t>0,66-0,85</t>
  </si>
  <si>
    <t>0,86-1,1</t>
  </si>
  <si>
    <t>Комбинированная прямой ход,  движение воздуха по лаве от транспортной выработки к вентиляционной и на выработанное пространство, Вентиляционная выработка проводится вприсечку к старым работам, за лавой не погашается. Подсвежающая струя - на выработанное пространство. Транспортная выработка проводится  за лавой.</t>
  </si>
  <si>
    <t>Комбинированная прямой ход,  движение воздуха по лаве от транспортной выработки к вентиляционной и на выработанное пространство, Вентиляционная выработка - повторно используемая транспортная выработка, за лавой не погашается. Подсвежающая струя - на выработанное пространство.</t>
  </si>
  <si>
    <t>Комбинированная обратный ход,  движение воздуха по лаве от транспортной выработки к вентиляционной и далее на выработанное пространство. Вентиляционная выработка проводится за лавой через целик более  Lоп. Транспортная выработка проводится заранее и за лавой погашается.</t>
  </si>
  <si>
    <t>5. - выбросоопасность пласта</t>
  </si>
  <si>
    <t>Выбросоопасность пласта 1- опасен, 0 - не опасен</t>
  </si>
  <si>
    <t>Показатель "неблагоприятности" условий относительно выбросоопасности пласта</t>
  </si>
  <si>
    <t>ВЫБОР   ИНДИДИВИДУАЛЬНОЙ КРЕПИ   (ПРИЗАБОЙНАЯ И ПОСАДОЧНАЯ)</t>
  </si>
  <si>
    <t>1ГВП</t>
  </si>
  <si>
    <t>2ГВП</t>
  </si>
  <si>
    <t>3ГВП</t>
  </si>
  <si>
    <t>4ГВП</t>
  </si>
  <si>
    <t>5ГВП</t>
  </si>
  <si>
    <t>6ГВП</t>
  </si>
  <si>
    <t>4СУГВ</t>
  </si>
  <si>
    <t>5СУГВ</t>
  </si>
  <si>
    <t>6СУГВ</t>
  </si>
  <si>
    <t>7СУГВ</t>
  </si>
  <si>
    <t>8СУГВ</t>
  </si>
  <si>
    <t>9СУГВ</t>
  </si>
  <si>
    <t>10СУГВ</t>
  </si>
  <si>
    <t>11СУГВ</t>
  </si>
  <si>
    <t>4ГВУ</t>
  </si>
  <si>
    <t>5ГВУ</t>
  </si>
  <si>
    <t>6ГВУ</t>
  </si>
  <si>
    <t>7ГВУ</t>
  </si>
  <si>
    <t>8ГВУ</t>
  </si>
  <si>
    <t>9ГВУ</t>
  </si>
  <si>
    <t>10ГВУ</t>
  </si>
  <si>
    <t>11ГВУ</t>
  </si>
  <si>
    <t>12ГВУ</t>
  </si>
  <si>
    <t>Типоразмер гидравлической стойки</t>
  </si>
  <si>
    <t>Минимальная высота, мм</t>
  </si>
  <si>
    <t xml:space="preserve">Максимальная высота, мм </t>
  </si>
  <si>
    <t xml:space="preserve">     При работе лавы с индивидуальной крепью используются, как правило, гидравлические стойки</t>
  </si>
  <si>
    <t xml:space="preserve">и шарнирные верхняки. Размер верхняка зависит от ширины захвата комбайна. </t>
  </si>
  <si>
    <t>СП48</t>
  </si>
  <si>
    <t>СП63</t>
  </si>
  <si>
    <t xml:space="preserve">В таблицу в строке </t>
  </si>
  <si>
    <t>Комбинированная обратный ход, движение воздуха по лаве от транспортной выработки к вентиляционной и далее на выработанное пространство. Вентиляционная выработка  - повторно используемая транспортная выработка и за лавой не погашается. Транспортная выработка проведена заранее, за лавой не погашается. Участки выработок  за лавой проветриваются на фланговую выработку. Подсвежающая струя - на фланговую выработку.</t>
  </si>
  <si>
    <t xml:space="preserve">Комбинированная, обратный ход. Движение воздуха по лаве от транспортной выработки к вентиляционной и далее на выработанное пространство. Вентиляционная выработка  - повторно используемая транспортная выработка,  за лавой не погашается, Подсвежающая струя - на фланговую выработку. Транспортная выработка проведена заранее, за лавой не погашается. </t>
  </si>
  <si>
    <t>6. если пласт выбросоопасен, тогда показатель 1 (неблагоприятные), в противном случае показатель 0.</t>
  </si>
  <si>
    <t xml:space="preserve">1 - если сумма показателей "неблагоприятности" равна 0 - 1 лава на 6 действующих, т.е количество лав по </t>
  </si>
  <si>
    <t xml:space="preserve">    данному пласту увеличивается с коэффициентом 1/6, т.е. 1+1/6=1,17</t>
  </si>
  <si>
    <t xml:space="preserve">2 - если сумма показателей "неблагоприятности" равна 1 - 1 лава на 5  действующих, т.е количество лав по </t>
  </si>
  <si>
    <t xml:space="preserve">    данному пласту увеличивается с коэффициентом 1/5, т.е. 1+1/5=1,2</t>
  </si>
  <si>
    <r>
      <t xml:space="preserve">Принятое в проекте количество лав по шахте  </t>
    </r>
    <r>
      <rPr>
        <b/>
        <sz val="12"/>
        <rFont val="Times New Roman"/>
        <family val="1"/>
        <charset val="204"/>
      </rPr>
      <t>Nфак</t>
    </r>
  </si>
  <si>
    <t>Типы конвейеров</t>
  </si>
  <si>
    <r>
      <t>Фактический коэффициент резерва лав</t>
    </r>
    <r>
      <rPr>
        <b/>
        <sz val="12"/>
        <rFont val="Times New Roman"/>
        <family val="1"/>
        <charset val="204"/>
      </rPr>
      <t xml:space="preserve">  k</t>
    </r>
    <r>
      <rPr>
        <b/>
        <vertAlign val="subscript"/>
        <sz val="12"/>
        <rFont val="Times New Roman"/>
        <family val="1"/>
        <charset val="204"/>
      </rPr>
      <t>рез</t>
    </r>
    <r>
      <rPr>
        <b/>
        <vertAlign val="superscript"/>
        <sz val="12"/>
        <rFont val="Times New Roman"/>
        <family val="1"/>
        <charset val="204"/>
      </rPr>
      <t xml:space="preserve">фак </t>
    </r>
    <r>
      <rPr>
        <b/>
        <sz val="12"/>
        <rFont val="Times New Roman"/>
        <family val="1"/>
        <charset val="204"/>
      </rPr>
      <t>= Nфак/Nдей</t>
    </r>
  </si>
  <si>
    <t>Коэффициент извлечения угля  при очистных работах (в пределах 0,95 - 0,98)</t>
  </si>
  <si>
    <r>
      <t>k</t>
    </r>
    <r>
      <rPr>
        <b/>
        <vertAlign val="subscript"/>
        <sz val="12"/>
        <rFont val="Arial Cyr"/>
        <charset val="204"/>
      </rPr>
      <t>и</t>
    </r>
    <r>
      <rPr>
        <b/>
        <sz val="12"/>
        <rFont val="Arial Cyr"/>
        <charset val="204"/>
      </rPr>
      <t>=</t>
    </r>
  </si>
  <si>
    <t>На приведенных графиках показана зависимость длины лавы от числа выемочных циклов в сутки при</t>
  </si>
  <si>
    <t xml:space="preserve">ограничивающем факторе "проветривание" (левый рисунок) и при ограничивающем факторе " производительность машин" - </t>
  </si>
  <si>
    <t>правый рисунок.</t>
  </si>
  <si>
    <t>В зависимости от ограничивающего фактора и длины лавы, при которой наступает ограничение определитесь с числом циклов в сутки</t>
  </si>
  <si>
    <t>и соответственно длиной лавы</t>
  </si>
  <si>
    <t xml:space="preserve">    ДОНЕЦКИЙ НАЦИОНАЛЬНЫЙ ТЕХНИЧЕСКИЙ УНИВЕРСИТЕТ</t>
  </si>
  <si>
    <t xml:space="preserve">             Расчет трудоемкости работ в очистном забое, </t>
  </si>
  <si>
    <t>Vд=с1m+c2 - технически допустимая скорость подачи  комбайна, м/мин</t>
  </si>
  <si>
    <t>36,3-41</t>
  </si>
  <si>
    <t>41,1-46</t>
  </si>
  <si>
    <t>46,1-51,2</t>
  </si>
  <si>
    <t>1 ст под верхняк</t>
  </si>
  <si>
    <t>1 ст под ранне уложен верхняк</t>
  </si>
  <si>
    <r>
      <t xml:space="preserve">исходя из приемной способности конвейера </t>
    </r>
    <r>
      <rPr>
        <b/>
        <sz val="11"/>
        <rFont val="Times New Roman Cyr"/>
        <family val="1"/>
        <charset val="204"/>
      </rPr>
      <t>q</t>
    </r>
    <r>
      <rPr>
        <b/>
        <vertAlign val="subscript"/>
        <sz val="11"/>
        <rFont val="Times New Roman Cyr"/>
        <family val="1"/>
        <charset val="204"/>
      </rPr>
      <t>k</t>
    </r>
  </si>
  <si>
    <r>
      <t xml:space="preserve">исходя из сопротивляемости угля резанию  qc  </t>
    </r>
    <r>
      <rPr>
        <b/>
        <sz val="11"/>
        <rFont val="Times New Roman Cyr"/>
        <family val="1"/>
        <charset val="204"/>
      </rPr>
      <t>q</t>
    </r>
    <r>
      <rPr>
        <b/>
        <vertAlign val="subscript"/>
        <sz val="11"/>
        <rFont val="Times New Roman Cyr"/>
        <family val="1"/>
        <charset val="204"/>
      </rPr>
      <t>c</t>
    </r>
  </si>
  <si>
    <t>значение затрат на поддержание в зоне 2(для 5-й выр-ки)</t>
  </si>
  <si>
    <t>значение затрат на поддержание в зоне 3(для 5-й выр-ки)</t>
  </si>
  <si>
    <t>значение затрат на поддержание в зоне 4(для 5-й выр-ки)</t>
  </si>
  <si>
    <t>Мощность породных прослойков и ложной кровли,м</t>
  </si>
  <si>
    <t>Комбинированная обратный ход, проветривание от вентиляционной выработки к транспортной штреку и далее на выработанное пространство. Вентиляционная выработка проведена ранее через целик менее  Lоп , за лавой не погашается, Транспортная выработка проведена ранее и не погашается. Участки выработок впереди лавы проветриваются через фланговые выработки. Подсвежающая струя - от центральной выработки.</t>
  </si>
  <si>
    <r>
      <t xml:space="preserve">       k</t>
    </r>
    <r>
      <rPr>
        <b/>
        <vertAlign val="subscript"/>
        <sz val="12"/>
        <rFont val="Times New Roman Cyr"/>
        <charset val="204"/>
      </rPr>
      <t>м</t>
    </r>
    <r>
      <rPr>
        <sz val="12"/>
        <rFont val="Times New Roman Cyr"/>
        <charset val="204"/>
      </rPr>
      <t xml:space="preserve">   -  сменный коэффициент машинного времени комбайна по выемке угля</t>
    </r>
  </si>
  <si>
    <r>
      <t xml:space="preserve">   Производительность комбайна определяется мощностью пласта </t>
    </r>
    <r>
      <rPr>
        <b/>
        <sz val="14"/>
        <rFont val="Times New Roman Cyr"/>
        <charset val="204"/>
      </rPr>
      <t>m</t>
    </r>
    <r>
      <rPr>
        <sz val="12"/>
        <rFont val="Times New Roman Cyr"/>
        <charset val="204"/>
      </rPr>
      <t xml:space="preserve">, шириной захвата </t>
    </r>
  </si>
  <si>
    <r>
      <t>комбайна r, скоростью подачи комбайна</t>
    </r>
    <r>
      <rPr>
        <b/>
        <sz val="14"/>
        <rFont val="Times New Roman Cyr"/>
        <charset val="204"/>
      </rPr>
      <t xml:space="preserve"> v, </t>
    </r>
    <r>
      <rPr>
        <sz val="12"/>
        <rFont val="Times New Roman Cyr"/>
        <charset val="204"/>
      </rPr>
      <t>плотностью угля</t>
    </r>
    <r>
      <rPr>
        <b/>
        <sz val="14"/>
        <rFont val="Times New Roman Cyr"/>
        <charset val="204"/>
      </rPr>
      <t xml:space="preserve"> γ</t>
    </r>
  </si>
  <si>
    <t>Нормы выработки на бурение шпуров по углю ручными электросверлами в лавах и камерах</t>
  </si>
  <si>
    <t>0,91-1,25</t>
  </si>
  <si>
    <t>28,1-32,0</t>
  </si>
  <si>
    <t>Категория угля по буримости</t>
  </si>
  <si>
    <t>при мех. крепи сопряжения</t>
  </si>
  <si>
    <t>среднее</t>
  </si>
  <si>
    <t>при индивидуаль-ной крепи сопряжения</t>
  </si>
  <si>
    <t>Заряжание и взрывание в нише</t>
  </si>
  <si>
    <t>у конв. в-ки</t>
  </si>
  <si>
    <t>Гипсометрия пласта (1 - спокойная, 2 - волнистая)</t>
  </si>
  <si>
    <t>у вент в-ки</t>
  </si>
  <si>
    <t xml:space="preserve">         Конвейеры скребковые</t>
  </si>
  <si>
    <t>величина (1/ µс.у. -1)</t>
  </si>
  <si>
    <t xml:space="preserve">Расчеты коэффициентов готовности </t>
  </si>
  <si>
    <t>6  Коэффициент готовности системы электроснабжения</t>
  </si>
  <si>
    <t>Коэффициенты для определения тягового усилия                            Fт=d1m+d2 , кН</t>
  </si>
  <si>
    <t>Ширина захвата,м</t>
  </si>
  <si>
    <t>Осмотр секций и конвейера, выравнивание и т.п. ГРОЗ</t>
  </si>
  <si>
    <t>значение затрат на поддержание в зоне 1(для 2-й выр-ки)</t>
  </si>
  <si>
    <t>Тип рельсов, кг/м</t>
  </si>
  <si>
    <t>Селективная выемка угля и породы 1- да, 0- нет.</t>
  </si>
  <si>
    <t>Количество панелей по пласту</t>
  </si>
  <si>
    <t>1, 2, 3</t>
  </si>
  <si>
    <t>0, 1</t>
  </si>
  <si>
    <t>1, 2</t>
  </si>
  <si>
    <t>1800 - 2200</t>
  </si>
  <si>
    <t>1800 -  3000</t>
  </si>
  <si>
    <t>1801 -  3000</t>
  </si>
  <si>
    <t>400  -  600</t>
  </si>
  <si>
    <t xml:space="preserve">40 - 60 </t>
  </si>
  <si>
    <t>Вычисления по выработке №3</t>
  </si>
  <si>
    <t>Заводская податливость, мм</t>
  </si>
  <si>
    <t>Время отработки,год</t>
  </si>
  <si>
    <t>значение затрат на поддержание в зоне 1(для 3-й выр-ки)</t>
  </si>
  <si>
    <t>значение затрат на поддержание в зоне 2(для 3-й выр-ки)</t>
  </si>
  <si>
    <t>Расстояние между комплектами крепи м.</t>
  </si>
  <si>
    <t>Расстояние между стойками крепи м.</t>
  </si>
  <si>
    <t>Объем работ по креплению, рам</t>
  </si>
  <si>
    <t>Масса стойки 29,34*ln(m)+31,4</t>
  </si>
  <si>
    <t xml:space="preserve">Длительность концевых операций, мин/цикл </t>
  </si>
  <si>
    <t>Сменный коэффициент машинного времени</t>
  </si>
  <si>
    <t xml:space="preserve">Основные параметры ленточных конвейеров </t>
  </si>
  <si>
    <t xml:space="preserve">Категория пород кровли по устойчивости  </t>
  </si>
  <si>
    <t>Тип комплекса</t>
  </si>
  <si>
    <t>Тип мехкрепи</t>
  </si>
  <si>
    <r>
      <t xml:space="preserve">Минимальное возможное значение категории кровли по устойчивости  </t>
    </r>
    <r>
      <rPr>
        <b/>
        <sz val="10"/>
        <color indexed="8"/>
        <rFont val="Times New Roman"/>
        <family val="1"/>
        <charset val="204"/>
      </rPr>
      <t xml:space="preserve"> Б</t>
    </r>
  </si>
  <si>
    <t xml:space="preserve">Комбинированная обратный ход,  движение воздуха по лаве от транспортной выработки к вентиляционной и далее на выработанное пространство. Вентиляционная выработка  проводится за лавой через целик более  Lоп. Транспортная выработка проводится заранее, за лавой не погашается, Участок транспортной выработки за лавой проветривается от фланговой выработки. </t>
  </si>
  <si>
    <t>Тип комбайна</t>
  </si>
  <si>
    <t>ПРИЛОЖЕНИЕ К ПРОГРАММАМ   -     РАСЧЕТНЫЙ МАТЕРИАЛ</t>
  </si>
  <si>
    <t>комбайновая выемка в лаве с индивидуальной крепью</t>
  </si>
  <si>
    <t>струговая выемка в лаве с индивидуальной крепью</t>
  </si>
  <si>
    <t>комбайновая выемка в комплексно механизированной лаве</t>
  </si>
  <si>
    <t>струговая выемка в комплексно механизированной лаве</t>
  </si>
  <si>
    <t>длина лавы</t>
  </si>
  <si>
    <t>Длина лавы при  ограничении нагрузки по проветриванию</t>
  </si>
  <si>
    <t>Длина лавы при ограничении нагрузки по возможностям оборудования</t>
  </si>
  <si>
    <t>Расстояние между арками крепи,  м</t>
  </si>
  <si>
    <t>0,5 - 1</t>
  </si>
  <si>
    <t>Процент затрат на монтаж концевых участков монорельсовой дороги от ее стоимости, %</t>
  </si>
  <si>
    <t>10 - 25</t>
  </si>
  <si>
    <t>20 - 80</t>
  </si>
  <si>
    <t>Подготавливающие выработки</t>
  </si>
  <si>
    <t>Кладка новых четырехгранных костров</t>
  </si>
  <si>
    <t>Природная метаноносность пласта на глубине уклонной ступени, м3/т с.б.м.</t>
  </si>
  <si>
    <t>Детально проектировать по пласту с индексом</t>
  </si>
  <si>
    <r>
      <t xml:space="preserve">Размер шахтного поля по простиранию, м  </t>
    </r>
    <r>
      <rPr>
        <b/>
        <sz val="12"/>
        <rFont val="Times New Roman"/>
        <family val="1"/>
        <charset val="204"/>
      </rPr>
      <t>S</t>
    </r>
  </si>
  <si>
    <r>
      <t xml:space="preserve">Размер шахтного поля по падению, м   </t>
    </r>
    <r>
      <rPr>
        <b/>
        <sz val="12"/>
        <rFont val="Times New Roman"/>
        <family val="1"/>
        <charset val="204"/>
      </rPr>
      <t>H</t>
    </r>
  </si>
  <si>
    <r>
      <t xml:space="preserve">Количество угольных пластов  </t>
    </r>
    <r>
      <rPr>
        <b/>
        <sz val="12"/>
        <rFont val="Times New Roman"/>
        <family val="1"/>
        <charset val="204"/>
      </rPr>
      <t>Nпл</t>
    </r>
  </si>
  <si>
    <r>
      <t xml:space="preserve">Угол падения пластов, градус           </t>
    </r>
    <r>
      <rPr>
        <b/>
        <sz val="12"/>
        <rFont val="Times New Roman"/>
        <family val="1"/>
        <charset val="204"/>
      </rPr>
      <t xml:space="preserve"> </t>
    </r>
    <r>
      <rPr>
        <b/>
        <sz val="12"/>
        <rFont val="Sylfaen"/>
        <family val="1"/>
        <charset val="204"/>
      </rPr>
      <t>α</t>
    </r>
  </si>
  <si>
    <r>
      <t xml:space="preserve">Глубина начала работ, м  (по верхнему пласту)        </t>
    </r>
    <r>
      <rPr>
        <b/>
        <sz val="12"/>
        <rFont val="Times New Roman"/>
        <family val="1"/>
        <charset val="204"/>
      </rPr>
      <t>h0</t>
    </r>
  </si>
  <si>
    <r>
      <t>Расстояние между пластами по нормали в направлении снизу - вверх   Индекс нижнего пласта - h</t>
    </r>
    <r>
      <rPr>
        <vertAlign val="subscript"/>
        <sz val="12"/>
        <rFont val="Times New Roman"/>
        <family val="1"/>
        <charset val="204"/>
      </rPr>
      <t>1</t>
    </r>
  </si>
  <si>
    <r>
      <t>Плотность угля, т/м</t>
    </r>
    <r>
      <rPr>
        <vertAlign val="superscript"/>
        <sz val="12"/>
        <rFont val="Times New Roman"/>
        <family val="1"/>
        <charset val="204"/>
      </rPr>
      <t>3</t>
    </r>
  </si>
  <si>
    <r>
      <t xml:space="preserve">    дусмотренная соответствующими таблицами норм выработки, </t>
    </r>
    <r>
      <rPr>
        <b/>
        <sz val="14"/>
        <rFont val="Times New Roman"/>
        <family val="1"/>
        <charset val="204"/>
      </rPr>
      <t>N</t>
    </r>
    <r>
      <rPr>
        <b/>
        <vertAlign val="subscript"/>
        <sz val="14"/>
        <rFont val="Times New Roman"/>
        <family val="1"/>
        <charset val="204"/>
      </rPr>
      <t>таб</t>
    </r>
    <r>
      <rPr>
        <sz val="12"/>
        <rFont val="Times New Roman"/>
        <family val="1"/>
        <charset val="204"/>
      </rPr>
      <t>, поправоч-</t>
    </r>
  </si>
  <si>
    <r>
      <t xml:space="preserve">    ный коэффициент к соответствующей норме выработки </t>
    </r>
    <r>
      <rPr>
        <b/>
        <sz val="14"/>
        <rFont val="Times New Roman"/>
        <family val="1"/>
        <charset val="204"/>
      </rPr>
      <t>k</t>
    </r>
    <r>
      <rPr>
        <b/>
        <vertAlign val="subscript"/>
        <sz val="14"/>
        <rFont val="Times New Roman"/>
        <family val="1"/>
        <charset val="204"/>
      </rPr>
      <t>поп</t>
    </r>
    <r>
      <rPr>
        <sz val="12"/>
        <rFont val="Times New Roman"/>
        <family val="1"/>
        <charset val="204"/>
      </rPr>
      <t xml:space="preserve"> и вычисляется </t>
    </r>
  </si>
  <si>
    <r>
      <t xml:space="preserve">    принятая в расчетах величина нормы выработки</t>
    </r>
    <r>
      <rPr>
        <b/>
        <sz val="14"/>
        <rFont val="Times New Roman"/>
        <family val="1"/>
        <charset val="204"/>
      </rPr>
      <t xml:space="preserve"> N</t>
    </r>
    <r>
      <rPr>
        <b/>
        <vertAlign val="subscript"/>
        <sz val="14"/>
        <rFont val="Times New Roman"/>
        <family val="1"/>
        <charset val="204"/>
      </rPr>
      <t>i</t>
    </r>
  </si>
  <si>
    <r>
      <t>N</t>
    </r>
    <r>
      <rPr>
        <b/>
        <vertAlign val="subscript"/>
        <sz val="14"/>
        <rFont val="Times New Roman"/>
        <family val="1"/>
        <charset val="204"/>
      </rPr>
      <t xml:space="preserve">i </t>
    </r>
    <r>
      <rPr>
        <b/>
        <sz val="14"/>
        <rFont val="Times New Roman"/>
        <family val="1"/>
        <charset val="204"/>
      </rPr>
      <t>= N</t>
    </r>
    <r>
      <rPr>
        <b/>
        <vertAlign val="subscript"/>
        <sz val="14"/>
        <rFont val="Times New Roman"/>
        <family val="1"/>
        <charset val="204"/>
      </rPr>
      <t>таб*</t>
    </r>
    <r>
      <rPr>
        <b/>
        <sz val="14"/>
        <rFont val="Times New Roman"/>
        <family val="1"/>
        <charset val="204"/>
      </rPr>
      <t>k</t>
    </r>
    <r>
      <rPr>
        <b/>
        <vertAlign val="subscript"/>
        <sz val="14"/>
        <rFont val="Times New Roman"/>
        <family val="1"/>
        <charset val="204"/>
      </rPr>
      <t>поп</t>
    </r>
  </si>
  <si>
    <r>
      <t>Остаточная метаноносность угля, м</t>
    </r>
    <r>
      <rPr>
        <vertAlign val="superscript"/>
        <sz val="10"/>
        <rFont val="Arial Cyr"/>
        <family val="2"/>
        <charset val="204"/>
      </rPr>
      <t>3</t>
    </r>
    <r>
      <rPr>
        <sz val="10"/>
        <rFont val="Arial Cyr"/>
        <charset val="204"/>
      </rPr>
      <t>/т c.б.м  ( Если V</t>
    </r>
    <r>
      <rPr>
        <vertAlign val="subscript"/>
        <sz val="10"/>
        <rFont val="Arial Cyr"/>
        <family val="2"/>
        <charset val="204"/>
      </rPr>
      <t>об</t>
    </r>
    <r>
      <rPr>
        <vertAlign val="superscript"/>
        <sz val="10"/>
        <rFont val="Arial Cyr"/>
        <family val="2"/>
        <charset val="204"/>
      </rPr>
      <t xml:space="preserve">daf </t>
    </r>
    <r>
      <rPr>
        <sz val="10"/>
        <rFont val="Arial Cyr"/>
        <charset val="204"/>
      </rPr>
      <t>&gt;165 по [табл 3.1], иначе Xо.г = 0,15*V</t>
    </r>
    <r>
      <rPr>
        <vertAlign val="subscript"/>
        <sz val="10"/>
        <rFont val="Arial Cyr"/>
        <family val="2"/>
        <charset val="204"/>
      </rPr>
      <t>об</t>
    </r>
    <r>
      <rPr>
        <vertAlign val="superscript"/>
        <sz val="10"/>
        <rFont val="Arial Cyr"/>
        <family val="2"/>
        <charset val="204"/>
      </rPr>
      <t>daf</t>
    </r>
    <r>
      <rPr>
        <sz val="10"/>
        <rFont val="Arial Cyr"/>
        <charset val="204"/>
      </rPr>
      <t xml:space="preserve"> - 13,6 [ф. 3.34])</t>
    </r>
  </si>
  <si>
    <t>Хо.г</t>
  </si>
  <si>
    <t>Kг.р.</t>
  </si>
  <si>
    <t>Kут.в</t>
  </si>
  <si>
    <t>Kут.в.з</t>
  </si>
  <si>
    <t>Kо.з</t>
  </si>
  <si>
    <t>Перед выполнениенм расчетов необходимо ответить на ряд вопросов по теме расчетов.</t>
  </si>
  <si>
    <t>Комбинированная прямой ход, движение воздуха по лаве от транспортной выработки к вентиляционной и далее на выработанное пространство. Вентиляционная выработка  проведена за лавой вприсечку к выработанному пространству, после прохода лавы не погашается. Транспортная выработка проведена заранее, за лавой не погашается, Участок выработки  впереди лавы проветривается от фланговой выработки. Подсвежающая струя - от фланговой выработки.</t>
  </si>
  <si>
    <t xml:space="preserve">     уже кем-то использованной программой часть расчетных формул программы будет потеряна </t>
  </si>
  <si>
    <t xml:space="preserve">     и студент будет вынужден начинать все с начала.</t>
  </si>
  <si>
    <t xml:space="preserve">4. Запрещается вводить данные в ячейки программы с красным цветом текста. </t>
  </si>
  <si>
    <t>Коэффициенты для определения составляющей сил резания в направлении подачи                             Fп=b1A2+b2A+b3, кН</t>
  </si>
  <si>
    <t>Коэффициенты для определения технически допустимой скорости подачи                                       Vд=с1m+c2,  м/мин</t>
  </si>
  <si>
    <t>Данные по лаве-аналогу</t>
  </si>
  <si>
    <t xml:space="preserve">Длина лавы, при которой определено газовыделение, м  </t>
  </si>
  <si>
    <t>Выход летучих веществ, процент</t>
  </si>
  <si>
    <t>Обводненность пород кровли</t>
  </si>
  <si>
    <t>1,56 и более</t>
  </si>
  <si>
    <t>Нормы выработки на выемку угля отбойными молотками на пологих пластах с навалкой его на конвейер</t>
  </si>
  <si>
    <t>Вынимаемая мощ-</t>
  </si>
  <si>
    <t>ность пласта, м</t>
  </si>
  <si>
    <t>&lt;0,6</t>
  </si>
  <si>
    <t>0,61-0,9</t>
  </si>
  <si>
    <t>&gt;1,61</t>
  </si>
  <si>
    <t xml:space="preserve">6. Трудоемкость работ вычисляется на основании существующих норм выработки на </t>
  </si>
  <si>
    <t xml:space="preserve">          горные работы [10]</t>
  </si>
  <si>
    <r>
      <t>коэф вариации скорости передвижки (установки) фронта крепи за подвиганием очистного забоя  Кv</t>
    </r>
    <r>
      <rPr>
        <vertAlign val="subscript"/>
        <sz val="11"/>
        <rFont val="Times New Roman Cyr"/>
        <charset val="204"/>
      </rPr>
      <t xml:space="preserve">крф </t>
    </r>
    <r>
      <rPr>
        <sz val="11"/>
        <rFont val="Times New Roman Cyr"/>
        <charset val="204"/>
      </rPr>
      <t>при мех крепи  (ф 78.3 карандаш)</t>
    </r>
  </si>
  <si>
    <t>Обводненность пород кровли: 1 - естественная влажность, 2 - обводнены</t>
  </si>
  <si>
    <r>
      <t xml:space="preserve">  </t>
    </r>
    <r>
      <rPr>
        <b/>
        <sz val="12"/>
        <color indexed="10"/>
        <rFont val="Arial"/>
        <family val="2"/>
        <charset val="204"/>
      </rPr>
      <t xml:space="preserve">   µ</t>
    </r>
    <r>
      <rPr>
        <b/>
        <vertAlign val="subscript"/>
        <sz val="12"/>
        <color indexed="10"/>
        <rFont val="Arial"/>
        <family val="2"/>
        <charset val="204"/>
      </rPr>
      <t>1</t>
    </r>
    <r>
      <rPr>
        <b/>
        <sz val="12"/>
        <color indexed="10"/>
        <rFont val="Arial"/>
        <family val="2"/>
        <charset val="204"/>
      </rPr>
      <t>*</t>
    </r>
    <r>
      <rPr>
        <sz val="12"/>
        <color indexed="10"/>
        <rFont val="Arial"/>
        <family val="2"/>
        <charset val="204"/>
      </rPr>
      <t xml:space="preserve">  -  коэффициент готовности забоя по группе последовательных перерывов без учета ограничений , обусловленных процессом крепления, совмещенным с очистной выемкой (ф.68)</t>
    </r>
  </si>
  <si>
    <r>
      <t xml:space="preserve">          Струговая установка   </t>
    </r>
    <r>
      <rPr>
        <b/>
        <sz val="14"/>
        <rFont val="Arial Cyr"/>
        <charset val="204"/>
      </rPr>
      <t>µ</t>
    </r>
    <r>
      <rPr>
        <b/>
        <vertAlign val="subscript"/>
        <sz val="14"/>
        <rFont val="Arial Cyr"/>
        <charset val="204"/>
      </rPr>
      <t>су</t>
    </r>
  </si>
  <si>
    <r>
      <t xml:space="preserve">коэффициент влияния условий </t>
    </r>
    <r>
      <rPr>
        <sz val="12"/>
        <rFont val="Arial Cyr"/>
        <charset val="204"/>
      </rPr>
      <t>α</t>
    </r>
    <r>
      <rPr>
        <vertAlign val="subscript"/>
        <sz val="11"/>
        <rFont val="Times New Roman Cyr"/>
        <charset val="204"/>
      </rPr>
      <t>гр</t>
    </r>
    <r>
      <rPr>
        <vertAlign val="superscript"/>
        <sz val="11"/>
        <rFont val="Times New Roman Cyr"/>
        <charset val="204"/>
      </rPr>
      <t xml:space="preserve">су   </t>
    </r>
    <r>
      <rPr>
        <sz val="11"/>
        <rFont val="Times New Roman Cyr"/>
        <charset val="204"/>
      </rPr>
      <t xml:space="preserve"> (таб. 26)</t>
    </r>
  </si>
  <si>
    <r>
      <t xml:space="preserve">коэффициент ресурса струг установки </t>
    </r>
    <r>
      <rPr>
        <sz val="12"/>
        <rFont val="Arial Cyr"/>
        <charset val="204"/>
      </rPr>
      <t>α</t>
    </r>
    <r>
      <rPr>
        <vertAlign val="subscript"/>
        <sz val="11"/>
        <rFont val="Times New Roman Cyr"/>
        <charset val="204"/>
      </rPr>
      <t>р</t>
    </r>
    <r>
      <rPr>
        <vertAlign val="superscript"/>
        <sz val="11"/>
        <rFont val="Times New Roman Cyr"/>
        <charset val="204"/>
      </rPr>
      <t xml:space="preserve">су  </t>
    </r>
    <r>
      <rPr>
        <sz val="11"/>
        <rFont val="Times New Roman Cyr"/>
        <charset val="204"/>
      </rPr>
      <t xml:space="preserve"> (стр. 59)</t>
    </r>
  </si>
  <si>
    <r>
      <t>ресурс струговой установки до капремонта, тыс.т      Д</t>
    </r>
    <r>
      <rPr>
        <vertAlign val="subscript"/>
        <sz val="11"/>
        <rFont val="Times New Roman Cyr"/>
        <charset val="204"/>
      </rPr>
      <t>р</t>
    </r>
    <r>
      <rPr>
        <vertAlign val="superscript"/>
        <sz val="11"/>
        <rFont val="Times New Roman Cyr"/>
        <charset val="204"/>
      </rPr>
      <t>су</t>
    </r>
  </si>
  <si>
    <t xml:space="preserve">    На рисунке показана схема расположения индивидуальной крепи в поперечном сечении комбайновой лавы.</t>
  </si>
  <si>
    <t>Проводится вместе славой спарено. Опережение более зоны опорного давления  Lоп. Готовится для следующей лавы.</t>
  </si>
  <si>
    <t>Проводится одиночно в массиве</t>
  </si>
  <si>
    <t>Проводится через целик менее 60 м</t>
  </si>
  <si>
    <t>Проводится вприсечку</t>
  </si>
  <si>
    <t>Проводятся вмассиве сдвоено</t>
  </si>
  <si>
    <t>Проводятся в массиве  спарено</t>
  </si>
  <si>
    <t>Движение основной воздушной струи по выработке: 1 - в сторону выработанного пространства, 2 - в сторону угольного массива</t>
  </si>
  <si>
    <t>Вид подрывки породы в бутовом штреке ((1 - кровля, 2 - почва)</t>
  </si>
  <si>
    <t>Условия оконтуривания участка (табл. 3.1)</t>
  </si>
  <si>
    <t>Условия оконтуривания участка (Табл. 3.1) формулы</t>
  </si>
  <si>
    <t>Условия проектируемого участка</t>
  </si>
  <si>
    <t>Массив - Массив</t>
  </si>
  <si>
    <r>
      <t>µ</t>
    </r>
    <r>
      <rPr>
        <b/>
        <vertAlign val="subscript"/>
        <sz val="10"/>
        <rFont val="Arial"/>
        <family val="2"/>
        <charset val="204"/>
      </rPr>
      <t>пкр</t>
    </r>
    <r>
      <rPr>
        <sz val="10"/>
        <rFont val="Arial"/>
        <family val="2"/>
        <charset val="204"/>
      </rPr>
      <t xml:space="preserve"> - коэффициент готовности забоя по процессу крепления, совмещенному с очистной выемкой</t>
    </r>
  </si>
  <si>
    <r>
      <t>µ</t>
    </r>
    <r>
      <rPr>
        <b/>
        <i/>
        <vertAlign val="subscript"/>
        <sz val="13"/>
        <rFont val="Arial Cyr"/>
        <charset val="204"/>
      </rPr>
      <t>2</t>
    </r>
    <r>
      <rPr>
        <b/>
        <i/>
        <sz val="13"/>
        <rFont val="Arial Cyr"/>
        <charset val="204"/>
      </rPr>
      <t xml:space="preserve"> = (0,88-Т</t>
    </r>
    <r>
      <rPr>
        <b/>
        <i/>
        <vertAlign val="subscript"/>
        <sz val="13"/>
        <rFont val="Arial Cyr"/>
        <charset val="204"/>
      </rPr>
      <t>пз</t>
    </r>
    <r>
      <rPr>
        <b/>
        <i/>
        <sz val="13"/>
        <rFont val="Arial Cyr"/>
        <charset val="204"/>
      </rPr>
      <t>/Т</t>
    </r>
    <r>
      <rPr>
        <b/>
        <i/>
        <vertAlign val="subscript"/>
        <sz val="13"/>
        <rFont val="Arial Cyr"/>
        <charset val="204"/>
      </rPr>
      <t>см</t>
    </r>
    <r>
      <rPr>
        <b/>
        <i/>
        <sz val="13"/>
        <rFont val="Arial Cyr"/>
        <charset val="204"/>
      </rPr>
      <t>)µ</t>
    </r>
    <r>
      <rPr>
        <b/>
        <i/>
        <vertAlign val="subscript"/>
        <sz val="13"/>
        <rFont val="Arial Cyr"/>
        <charset val="204"/>
      </rPr>
      <t>сэ</t>
    </r>
    <r>
      <rPr>
        <b/>
        <i/>
        <sz val="13"/>
        <rFont val="Arial Cyr"/>
        <charset val="204"/>
      </rPr>
      <t>µ</t>
    </r>
    <r>
      <rPr>
        <b/>
        <i/>
        <vertAlign val="subscript"/>
        <sz val="13"/>
        <rFont val="Arial Cyr"/>
        <charset val="204"/>
      </rPr>
      <t>ст</t>
    </r>
    <r>
      <rPr>
        <b/>
        <i/>
        <sz val="13"/>
        <rFont val="Arial Cyr"/>
        <charset val="204"/>
      </rPr>
      <t>µ</t>
    </r>
    <r>
      <rPr>
        <b/>
        <i/>
        <vertAlign val="subscript"/>
        <sz val="13"/>
        <rFont val="Arial Cyr"/>
        <charset val="204"/>
      </rPr>
      <t xml:space="preserve">св     </t>
    </r>
    <r>
      <rPr>
        <b/>
        <i/>
        <sz val="13"/>
        <rFont val="Arial Cyr"/>
        <charset val="204"/>
      </rPr>
      <t xml:space="preserve">   (ф.29)</t>
    </r>
  </si>
  <si>
    <t>Расстояние между комплектами индивидуальной крепи в нише, м</t>
  </si>
  <si>
    <t>Подготовительные выработки</t>
  </si>
  <si>
    <t>Гидрофицированная крепь сопряжения (0 - нет, 1 - да)</t>
  </si>
  <si>
    <t>Тип верхняка над головкой конвейера (1 дерево, 2- стальная балка, 3 - шарнирный верхняк)</t>
  </si>
  <si>
    <t>Материал верхняков используемых для крепления ниши (0-дерево, 1-металл)</t>
  </si>
  <si>
    <t>Способ выемки ниш (1-ОМ, 2-БВР)</t>
  </si>
  <si>
    <t>Плотность расположения шпуров в нише (1,8-2,4), шпур/м2</t>
  </si>
  <si>
    <t>Категория угля по буримости(IV-1,V-2,VI-3,VII-4,VIII-5)</t>
  </si>
  <si>
    <t>Стойки перепиливаются электропилами ( 0-нет, 1-да)</t>
  </si>
  <si>
    <t>Расстояние между стойками индивидуальной крепи в нише, м</t>
  </si>
  <si>
    <t>Комбинированная, обратный ход  движение воздуха по лаве от транспортной выработки к вентиляционной далее на массив.  Вентиляционная выработка проведена заранее через целик менее  Lоп за лавой не погашается, Подсвежающая струя - от фланговой выработки на массив. Транспортная выработка проведена заранее и  за лавой погашается.</t>
  </si>
  <si>
    <t xml:space="preserve">             Последовательность действий указана ниже!</t>
  </si>
  <si>
    <t>Комбайновая проходка</t>
  </si>
  <si>
    <t>Проходка с БВР</t>
  </si>
  <si>
    <t>Принятый в проекте способ проходки</t>
  </si>
  <si>
    <t>Отбойный молоток</t>
  </si>
  <si>
    <t>БВР</t>
  </si>
  <si>
    <t>Приводится таблица оборудования лав по всем  пластам.</t>
  </si>
  <si>
    <t xml:space="preserve">Если по пласту сумма указанных показателей больше 0 - условия работы по данному пласту можно считать </t>
  </si>
  <si>
    <t>Столбовая, движение воздуха по лаве от транспортной выработки к вентиляционной и далее на массив. Вентиляционная выработка проведена через целик более  Lоп, за лавой погашается. Транспортная выработка  проведена заранее, за лавой не погашается.</t>
  </si>
  <si>
    <t>Столбовая, движение воздуха по лаве от транспортной выработки к вентиляционной и далее на массив. Вентиляционная выработка проведена через целик менее  Lоп, за лавой погашается. Транспортная выработка  проведена заранее, за лавой не погашается.</t>
  </si>
  <si>
    <t>Нагрузка на лаву определяется исходя из технических возможностей оборудования очистного забоя и</t>
  </si>
  <si>
    <t>исходя из возможностей его проветривания при соблюдении требований Правил Безопасности.</t>
  </si>
  <si>
    <t xml:space="preserve">     Суточная добыча из лавы складывается из добычи машинной части лавы и добычи из ниш.</t>
  </si>
  <si>
    <r>
      <t xml:space="preserve">      v</t>
    </r>
    <r>
      <rPr>
        <vertAlign val="subscript"/>
        <sz val="11"/>
        <rFont val="Times New Roman Cyr"/>
        <family val="1"/>
        <charset val="204"/>
      </rPr>
      <t>к</t>
    </r>
    <r>
      <rPr>
        <sz val="11"/>
        <rFont val="Times New Roman Cyr"/>
        <family val="1"/>
        <charset val="204"/>
      </rPr>
      <t>&lt;v</t>
    </r>
    <r>
      <rPr>
        <vertAlign val="subscript"/>
        <sz val="11"/>
        <rFont val="Times New Roman Cyr"/>
        <family val="1"/>
        <charset val="204"/>
      </rPr>
      <t>с</t>
    </r>
    <r>
      <rPr>
        <sz val="11"/>
        <rFont val="Times New Roman Cyr"/>
        <family val="1"/>
        <charset val="204"/>
      </rPr>
      <t>&lt;2v</t>
    </r>
    <r>
      <rPr>
        <vertAlign val="subscript"/>
        <sz val="11"/>
        <rFont val="Times New Roman Cyr"/>
        <family val="1"/>
        <charset val="204"/>
      </rPr>
      <t>к</t>
    </r>
  </si>
  <si>
    <r>
      <t>v</t>
    </r>
    <r>
      <rPr>
        <vertAlign val="subscript"/>
        <sz val="11"/>
        <rFont val="Times New Roman Cyr"/>
        <family val="1"/>
        <charset val="204"/>
      </rPr>
      <t>c</t>
    </r>
    <r>
      <rPr>
        <sz val="11"/>
        <rFont val="Times New Roman Cyr"/>
        <family val="1"/>
        <charset val="204"/>
      </rPr>
      <t>, м/с</t>
    </r>
  </si>
  <si>
    <r>
      <t>v</t>
    </r>
    <r>
      <rPr>
        <vertAlign val="subscript"/>
        <sz val="11"/>
        <rFont val="Times New Roman Cyr"/>
        <family val="1"/>
        <charset val="204"/>
      </rPr>
      <t>к</t>
    </r>
    <r>
      <rPr>
        <sz val="11"/>
        <rFont val="Times New Roman Cyr"/>
        <family val="1"/>
        <charset val="204"/>
      </rPr>
      <t>, м/с</t>
    </r>
  </si>
  <si>
    <t>его тип;</t>
  </si>
  <si>
    <t>Табличное значение нормы выработки на извлечение арочной крепи 5 рам/чел.см. Поправочный коэффициент к норме выработки, учитывающий все местные условия, 0,8. Объем работ на 1 выемочный цикл по извлечению арочной крепи составляет 1 рама/цикл. Чему равна трудоемкость этого вида работ?</t>
  </si>
  <si>
    <t>Объем работ по выемке угля комплексом за одну смену составляет 400 тонн, табличное значение нормы выработки в комплексно механизированной лаве 500 тонн, норма обслуживания комплекса 10 чел.смен. Величина поправочного коэффициента к норме выработки 0,8. Какой состав сменного звена ГРОЗ по выемке угля комплексом?</t>
  </si>
  <si>
    <t>Над штреком установлены 2 ряда индивидуальной крепи. Длина деревянного верхняка 3 м, перехлест верхняков над конвейером 1 м. Какой расход верхняков на 1 цикл при величине выемочного цикла 1 м?</t>
  </si>
  <si>
    <t>Объем работ на цикл</t>
  </si>
  <si>
    <t>Объем работ на сутки</t>
  </si>
  <si>
    <t>Табличная норма выработки</t>
  </si>
  <si>
    <t xml:space="preserve">           (на тонких пластах 1,7 -2,3 м/мин при мощности от 0,85 м  до 1,1 м   и 2,3 - 4,5 м/мин при мощности пласта от 1,1 м до 1,3 м)</t>
  </si>
  <si>
    <t>Добыча из машинной части лавы, т/смену</t>
  </si>
  <si>
    <t>Норма выработки на установку органки табличная, шт</t>
  </si>
  <si>
    <t>Вынимаемая мощность пласта, м</t>
  </si>
  <si>
    <t>0,76 - 0,8</t>
  </si>
  <si>
    <t>0,81-0,85</t>
  </si>
  <si>
    <t>0,86-0,90</t>
  </si>
  <si>
    <t>0,91-0,95</t>
  </si>
  <si>
    <t>0,96-1,02</t>
  </si>
  <si>
    <t>1,03-1,07</t>
  </si>
  <si>
    <t>1,08-1,14</t>
  </si>
  <si>
    <t>1,15 и более</t>
  </si>
  <si>
    <t>катег угля</t>
  </si>
  <si>
    <t>Конвейерный транспорт по штреку длина лавы до 175 м</t>
  </si>
  <si>
    <t>Нормы обслуживания стругом в комплексно механизированной лаве</t>
  </si>
  <si>
    <t>КА200</t>
  </si>
  <si>
    <t>УДК300</t>
  </si>
  <si>
    <t>УДК400</t>
  </si>
  <si>
    <t>УДК200-250</t>
  </si>
  <si>
    <t>СП36</t>
  </si>
  <si>
    <t>СП26</t>
  </si>
  <si>
    <t>УДК200-400</t>
  </si>
  <si>
    <t>СПЦ26</t>
  </si>
  <si>
    <t>КДК400</t>
  </si>
  <si>
    <t>КСД26В</t>
  </si>
  <si>
    <t>КДК500</t>
  </si>
  <si>
    <t>КСД36В</t>
  </si>
  <si>
    <t>СПЦ271</t>
  </si>
  <si>
    <t>СП326</t>
  </si>
  <si>
    <t>СП37</t>
  </si>
  <si>
    <t>1КД90Т</t>
  </si>
  <si>
    <t>УКД400</t>
  </si>
  <si>
    <t>УКД300</t>
  </si>
  <si>
    <t>2ДТ</t>
  </si>
  <si>
    <t>1ДТ</t>
  </si>
  <si>
    <t>1КД80</t>
  </si>
  <si>
    <t>ДТ</t>
  </si>
  <si>
    <t>2КДД</t>
  </si>
  <si>
    <t>СП26У</t>
  </si>
  <si>
    <t>2К90Т</t>
  </si>
  <si>
    <t>2КД80</t>
  </si>
  <si>
    <t>ДМ</t>
  </si>
  <si>
    <t>СП163</t>
  </si>
  <si>
    <t>Технические характеристики комбайнов</t>
  </si>
  <si>
    <t>Производительность с при  сопротивлении резанию Ар=100, т/мин</t>
  </si>
  <si>
    <t>Производительность с при  сопротивлении резанию Ар=300, т/мин</t>
  </si>
  <si>
    <t>Суммарная мощность электропривода, квт</t>
  </si>
  <si>
    <t>Максимальная рабочая скорость подачи, м/мин</t>
  </si>
  <si>
    <t>Максимальное тяговое усилие, кН</t>
  </si>
  <si>
    <t>Длина, мм</t>
  </si>
  <si>
    <t>Высота корпуса от опорной поверхности конвейера, мм</t>
  </si>
  <si>
    <t>Односторонний -1, симметричный - 2</t>
  </si>
  <si>
    <t>УКД200-250</t>
  </si>
  <si>
    <t>0,63-0,8</t>
  </si>
  <si>
    <t>УКД200-400</t>
  </si>
  <si>
    <t>0,7-0,8</t>
  </si>
  <si>
    <t>КДК500Ш</t>
  </si>
  <si>
    <t>Ширина захвата, м минимальная</t>
  </si>
  <si>
    <t>Ширина захвата, м максимальная</t>
  </si>
  <si>
    <t>Технические характристики механизированной крепи</t>
  </si>
  <si>
    <t>Мощ пласта мин, м</t>
  </si>
  <si>
    <t>Мощ пласта  макс, м</t>
  </si>
  <si>
    <t>Высота сукции мин, мм</t>
  </si>
  <si>
    <t>Высота сек макс, мм</t>
  </si>
  <si>
    <t xml:space="preserve">Ширина сек,, мм </t>
  </si>
  <si>
    <t>Длина секции, мм</t>
  </si>
  <si>
    <t>Шаг установки, м</t>
  </si>
  <si>
    <t>Масса секции, кг</t>
  </si>
  <si>
    <t>Скорость крепления при последовательной передвижке секций, м/мин</t>
  </si>
  <si>
    <t>2ДМ</t>
  </si>
  <si>
    <t>Техническая характеристика забойных конвейеров</t>
  </si>
  <si>
    <t>Энерговооруженность, кВт</t>
  </si>
  <si>
    <t>Высота боковин рештака, мм</t>
  </si>
  <si>
    <t>Ширина рештака, мм</t>
  </si>
  <si>
    <t>Длина рештака, мм</t>
  </si>
  <si>
    <t>КСД27</t>
  </si>
  <si>
    <t>СП230</t>
  </si>
  <si>
    <t>КСД29</t>
  </si>
  <si>
    <t>В данном курсовом проекте не рассматривается !!!</t>
  </si>
  <si>
    <t xml:space="preserve">2 Если комплекс комбайновый, то какой тип комбайна, какой тип механизированной </t>
  </si>
  <si>
    <t xml:space="preserve">4. Независимо от принятой степени механизации выемки угля в лаве, вам следует </t>
  </si>
  <si>
    <t>лавы, необходимо выполнить все эти условия !!!</t>
  </si>
  <si>
    <t>Необходимые условия для применения комплекса</t>
  </si>
  <si>
    <t>Номер комбайна в таблице</t>
  </si>
  <si>
    <t xml:space="preserve">   Данные о типах комбайнов указаны в таблице</t>
  </si>
  <si>
    <t>НОМЕР ТИПА КРЕПИ</t>
  </si>
  <si>
    <t>На основании анализа таблиц принимайте окончательное решение о типе оборудования !</t>
  </si>
  <si>
    <t xml:space="preserve">Размеры конвейерных головок зависят от типа конвейера и ориентировочно могут быть приняты: </t>
  </si>
  <si>
    <t>2,5 - 3,0</t>
  </si>
  <si>
    <t>1,6 - 1,8</t>
  </si>
  <si>
    <t>2,0 - 2,3</t>
  </si>
  <si>
    <t>3,5 - 3,8</t>
  </si>
  <si>
    <t>Принятое расположение двигателей</t>
  </si>
  <si>
    <t>Перегружатели</t>
  </si>
  <si>
    <t>СПЦ271М</t>
  </si>
  <si>
    <t>КСД27Ш</t>
  </si>
  <si>
    <t>СПЦ230-81</t>
  </si>
  <si>
    <t xml:space="preserve">                                           Номер</t>
  </si>
  <si>
    <t>Тип перегружателя</t>
  </si>
  <si>
    <t xml:space="preserve">       Данные о типах скребковых перегрудателей приведены ниже</t>
  </si>
  <si>
    <t>Примите тип конвейера-перегружателя</t>
  </si>
  <si>
    <t>Укажите его номер в таблице</t>
  </si>
  <si>
    <t xml:space="preserve">Основные параметры ленточных участковых конвейеров  </t>
  </si>
  <si>
    <t>Ширина ленты</t>
  </si>
  <si>
    <t>1ЛТ800К</t>
  </si>
  <si>
    <t>1ЛТП800К</t>
  </si>
  <si>
    <t>2Л100У</t>
  </si>
  <si>
    <t>2ЛТ100У</t>
  </si>
  <si>
    <t>3ЛТ100У</t>
  </si>
  <si>
    <t>1ЛТ1000</t>
  </si>
  <si>
    <t xml:space="preserve">Примите типы ленточных конвейеров, укажите их номера в таблице </t>
  </si>
  <si>
    <t>2ГШ200Б</t>
  </si>
  <si>
    <t>Вычисление площади свободного сечения лавы</t>
  </si>
  <si>
    <t>Ф=Фсв-Фком</t>
  </si>
  <si>
    <t>Фсв=а*m+b</t>
  </si>
  <si>
    <t>Фком</t>
  </si>
  <si>
    <t>Фсв</t>
  </si>
  <si>
    <t xml:space="preserve">   Данные о типах механизированной крепи указаны в таблице</t>
  </si>
  <si>
    <t>Какой тип крепи предлагается в проекте?</t>
  </si>
  <si>
    <t>Сколько типов крепи возможны в данных условиях</t>
  </si>
  <si>
    <t>Его номер в таблице крепей</t>
  </si>
  <si>
    <t>1-вый возможный тип крепи</t>
  </si>
  <si>
    <t>Вес секции, т</t>
  </si>
  <si>
    <t>Скорость передвижкм секции, м/мин</t>
  </si>
  <si>
    <t>Запас раздвижности крепи по максимальной мощности пласта, мм</t>
  </si>
  <si>
    <t>Запас раздвижности крепи по минимальной  мощности пласта, мм</t>
  </si>
  <si>
    <t>Введите в столце С данные о типе крепи и его номере с таблице</t>
  </si>
  <si>
    <t>3 - из возможных типов крепи следует принять тот, который имеет большую скорость передвижки секции</t>
  </si>
  <si>
    <t>Площад сечения лавы (без учета комбайна и конвейера), м2</t>
  </si>
  <si>
    <t>4 - из возможных типов крепи следует принять тот, который имеет большую площадб сводного сечения лавы</t>
  </si>
  <si>
    <t>Сколько типов комбайнов может применяться с принятым выше типом крепи?</t>
  </si>
  <si>
    <t>Введите в столбце данные о типе комбайна и его  номере в таблице комбайнов</t>
  </si>
  <si>
    <t>1-вый возможный тип комбайна</t>
  </si>
  <si>
    <t>Его номер в таблице комбайнов</t>
  </si>
  <si>
    <t>Номер принятого типа крепи в списке</t>
  </si>
  <si>
    <t>3 - из возможных типов комбайнов следует принять тот, который имеет большую скорость подачи</t>
  </si>
  <si>
    <t>3 - из возможных типов комбайнов следует принять тот, который имеет большую производительность</t>
  </si>
  <si>
    <t>Какой комбайн принят в проекте</t>
  </si>
  <si>
    <t>Номер принятого типа комбайна</t>
  </si>
  <si>
    <t xml:space="preserve">   Данные о типах конвейеров указаны в таблице</t>
  </si>
  <si>
    <t>Производительность конвейера, т/мин</t>
  </si>
  <si>
    <t>Какой тип конвейера принят в проекте</t>
  </si>
  <si>
    <t>Его номер в таблице конвейеров</t>
  </si>
  <si>
    <t>1-вый возможный тип ковейера</t>
  </si>
  <si>
    <t>Сколько типов конвейеров возможны в работе с принятым типом комбайна</t>
  </si>
  <si>
    <t>Ширина захвата минимальная, м</t>
  </si>
  <si>
    <t>Ширина захвата максимальная, м</t>
  </si>
  <si>
    <t xml:space="preserve">         Нагрузка на лаву по другим пластам</t>
  </si>
  <si>
    <t xml:space="preserve"> Вычисленная для заданного плата нагрузка на лаву, т/сутки</t>
  </si>
  <si>
    <t>Номер пласта</t>
  </si>
  <si>
    <t>Отклонение максимальной мощности пласта от средней, разы   Кмакс</t>
  </si>
  <si>
    <r>
      <t>Показатель "неблагоприятности" условий по максимальной мощности пласта (если Кмакс</t>
    </r>
    <r>
      <rPr>
        <sz val="14"/>
        <rFont val="Times New Roman"/>
        <family val="1"/>
        <charset val="204"/>
      </rPr>
      <t>&gt; 1,20</t>
    </r>
    <r>
      <rPr>
        <vertAlign val="subscript"/>
        <sz val="14"/>
        <rFont val="Times New Roman"/>
        <family val="1"/>
        <charset val="204"/>
      </rPr>
      <t xml:space="preserve"> </t>
    </r>
    <r>
      <rPr>
        <sz val="14"/>
        <rFont val="Times New Roman"/>
        <family val="1"/>
        <charset val="204"/>
      </rPr>
      <t xml:space="preserve"> </t>
    </r>
    <r>
      <rPr>
        <sz val="12"/>
        <rFont val="Times New Roman"/>
        <family val="1"/>
        <charset val="204"/>
      </rPr>
      <t>тогда</t>
    </r>
    <r>
      <rPr>
        <sz val="14"/>
        <rFont val="Times New Roman"/>
        <family val="1"/>
        <charset val="204"/>
      </rPr>
      <t xml:space="preserve"> 1;0)</t>
    </r>
  </si>
  <si>
    <t>Отклонение минимальной  мощности пласта от средней, разы   Кмин</t>
  </si>
  <si>
    <r>
      <t xml:space="preserve">Показатель "неблагоприятности" условий по минимальной  мощности пласта  ( </t>
    </r>
    <r>
      <rPr>
        <sz val="14"/>
        <rFont val="Times New Roman"/>
        <family val="1"/>
        <charset val="204"/>
      </rPr>
      <t xml:space="preserve"> если Кмин </t>
    </r>
    <r>
      <rPr>
        <sz val="14"/>
        <rFont val="Times New Roman"/>
        <family val="1"/>
        <charset val="204"/>
      </rPr>
      <t>&gt; 1,2</t>
    </r>
    <r>
      <rPr>
        <vertAlign val="subscript"/>
        <sz val="14"/>
        <rFont val="Times New Roman"/>
        <family val="1"/>
        <charset val="204"/>
      </rPr>
      <t xml:space="preserve"> </t>
    </r>
    <r>
      <rPr>
        <sz val="14"/>
        <rFont val="Times New Roman"/>
        <family val="1"/>
        <charset val="204"/>
      </rPr>
      <t>тогда 1 ; 0)</t>
    </r>
  </si>
  <si>
    <t>Ответьте на ряд вопросов:</t>
  </si>
  <si>
    <t>Участковая вентиляционная выработка 1 - -проводится за лавой, 2 - проведена заранее, 3 - это повторно используемая транспортная выработка</t>
  </si>
  <si>
    <t>Его номер</t>
  </si>
  <si>
    <t>Размер выемочного участка в направлении длины лавы определяется как:</t>
  </si>
  <si>
    <t>Размер угольного целика между соседними выемочными участками, м (принять 30 м, если целика нет - размер равен 0)   Lцел</t>
  </si>
  <si>
    <t xml:space="preserve">                    Lуч=Lлав+Вуч.тр+Вуч.вен+Lцел</t>
  </si>
  <si>
    <t>Длина лавы Lлав определена ранее и составляет, м</t>
  </si>
  <si>
    <t xml:space="preserve">   Принятый способ подготовки пласта</t>
  </si>
  <si>
    <t>удалите данные  об удельных затратах!     (кроме данных, указанных красным цветом)</t>
  </si>
  <si>
    <t xml:space="preserve">                                                           В строке </t>
  </si>
  <si>
    <t xml:space="preserve">указаны исходные и расчетные данные, необходимые </t>
  </si>
  <si>
    <t>для выбора комплекса в конкретных условиях</t>
  </si>
  <si>
    <t>М1ДТ</t>
  </si>
  <si>
    <t>М1КД80</t>
  </si>
  <si>
    <t>М1КД90</t>
  </si>
  <si>
    <t>М1КД90Т</t>
  </si>
  <si>
    <t>М1КДД</t>
  </si>
  <si>
    <t>М2ДТ</t>
  </si>
  <si>
    <t>М2КД90Т</t>
  </si>
  <si>
    <t>М2КД90</t>
  </si>
  <si>
    <t>М2КДД</t>
  </si>
  <si>
    <t>М3КД90</t>
  </si>
  <si>
    <t>М3КД90Т</t>
  </si>
  <si>
    <t>МДМ</t>
  </si>
  <si>
    <t>МДТ</t>
  </si>
  <si>
    <t>ВОЗВРАЩАЙТЕСЬ В ЛИСТ   kursovoy</t>
  </si>
  <si>
    <t xml:space="preserve">             Данные о комбайнах смотри в строке</t>
  </si>
  <si>
    <t>Ниже приведено полное описание указанных вариантов системы разработки</t>
  </si>
  <si>
    <t>Вариант</t>
  </si>
  <si>
    <t xml:space="preserve">       Итак,  Вы ознакомились с принципами конструирования системы разработки.</t>
  </si>
  <si>
    <t>определяются несколько упрощенно - пропорционально мощности пласта.</t>
  </si>
  <si>
    <t xml:space="preserve">       Оптимизация параметров технологии</t>
  </si>
  <si>
    <t>Ммин</t>
  </si>
  <si>
    <t>Ммакс</t>
  </si>
  <si>
    <t>Тип Комплекса(мощност до 1,2  КМТ, мощность более 1,2 - КМК)</t>
  </si>
  <si>
    <t>КОМБАЙНЫ</t>
  </si>
  <si>
    <t>КРЕПИ</t>
  </si>
  <si>
    <t>КОНВЕЙЕРЫ</t>
  </si>
  <si>
    <r>
      <t>Тип применяемого скребкового конвейера (</t>
    </r>
    <r>
      <rPr>
        <b/>
        <sz val="12"/>
        <rFont val="Times New Roman"/>
        <family val="1"/>
        <charset val="204"/>
      </rPr>
      <t>1</t>
    </r>
    <r>
      <rPr>
        <sz val="12"/>
        <rFont val="Times New Roman"/>
        <family val="1"/>
        <charset val="204"/>
      </rPr>
      <t xml:space="preserve"> - СПЦ26, КСД26, СП36, ; </t>
    </r>
    <r>
      <rPr>
        <b/>
        <sz val="12"/>
        <rFont val="Times New Roman"/>
        <family val="1"/>
        <charset val="204"/>
      </rPr>
      <t>2</t>
    </r>
    <r>
      <rPr>
        <sz val="12"/>
        <rFont val="Times New Roman"/>
        <family val="1"/>
        <charset val="204"/>
      </rPr>
      <t xml:space="preserve"> - СП251;  </t>
    </r>
    <r>
      <rPr>
        <b/>
        <sz val="12"/>
        <rFont val="Times New Roman"/>
        <family val="1"/>
        <charset val="204"/>
      </rPr>
      <t>3</t>
    </r>
    <r>
      <rPr>
        <sz val="12"/>
        <rFont val="Times New Roman"/>
        <family val="1"/>
        <charset val="204"/>
      </rPr>
      <t xml:space="preserve"> - СП163, КСД26В; </t>
    </r>
    <r>
      <rPr>
        <b/>
        <sz val="12"/>
        <rFont val="Times New Roman"/>
        <family val="1"/>
        <charset val="204"/>
      </rPr>
      <t>4</t>
    </r>
    <r>
      <rPr>
        <sz val="12"/>
        <rFont val="Times New Roman"/>
        <family val="1"/>
        <charset val="204"/>
      </rPr>
      <t xml:space="preserve"> - КСД27, ; </t>
    </r>
    <r>
      <rPr>
        <b/>
        <sz val="12"/>
        <rFont val="Times New Roman"/>
        <family val="1"/>
        <charset val="204"/>
      </rPr>
      <t>5</t>
    </r>
    <r>
      <rPr>
        <sz val="12"/>
        <rFont val="Times New Roman"/>
        <family val="1"/>
        <charset val="204"/>
      </rPr>
      <t xml:space="preserve"> - СП230, СПЦ271, СП250; </t>
    </r>
    <r>
      <rPr>
        <b/>
        <sz val="12"/>
        <rFont val="Times New Roman"/>
        <family val="1"/>
        <charset val="204"/>
      </rPr>
      <t>6</t>
    </r>
    <r>
      <rPr>
        <sz val="12"/>
        <rFont val="Times New Roman"/>
        <family val="1"/>
        <charset val="204"/>
      </rPr>
      <t xml:space="preserve"> - СП37, СП326; </t>
    </r>
    <r>
      <rPr>
        <b/>
        <sz val="12"/>
        <rFont val="Times New Roman"/>
        <family val="1"/>
        <charset val="204"/>
      </rPr>
      <t>7</t>
    </r>
    <r>
      <rPr>
        <sz val="12"/>
        <rFont val="Times New Roman"/>
        <family val="1"/>
        <charset val="204"/>
      </rPr>
      <t xml:space="preserve"> - СП26У, СП26; </t>
    </r>
    <r>
      <rPr>
        <b/>
        <sz val="12"/>
        <rFont val="Times New Roman"/>
        <family val="1"/>
        <charset val="204"/>
      </rPr>
      <t>8</t>
    </r>
    <r>
      <rPr>
        <sz val="12"/>
        <rFont val="Times New Roman"/>
        <family val="1"/>
        <charset val="204"/>
      </rPr>
      <t xml:space="preserve"> - КСД29</t>
    </r>
  </si>
  <si>
    <t>До 6</t>
  </si>
  <si>
    <t>40.1 и более</t>
  </si>
  <si>
    <t>35.1-40</t>
  </si>
  <si>
    <t>30.1-35</t>
  </si>
  <si>
    <t>25.1-30</t>
  </si>
  <si>
    <t>20.1-25</t>
  </si>
  <si>
    <t>15.1-20</t>
  </si>
  <si>
    <t>10.1-15</t>
  </si>
  <si>
    <t>до 10</t>
  </si>
  <si>
    <t>Расстояние передвижки лебедки, м.</t>
  </si>
  <si>
    <t xml:space="preserve">Нормы выработки на звено из двух человек, количество передвижек </t>
  </si>
  <si>
    <t>Передвижка предохранительной лебедки 1ЛГКН</t>
  </si>
  <si>
    <t>Таблица 82</t>
  </si>
  <si>
    <t>61.1 и более</t>
  </si>
  <si>
    <t>Нормы выработки, стойка ОКУ</t>
  </si>
  <si>
    <t>53.1-61</t>
  </si>
  <si>
    <t>46.1-53</t>
  </si>
  <si>
    <t>40.1-46</t>
  </si>
  <si>
    <t>34.1-40</t>
  </si>
  <si>
    <t>28.1-34</t>
  </si>
  <si>
    <t>23.1-28</t>
  </si>
  <si>
    <t>18.6-23</t>
  </si>
  <si>
    <t>14.6-18.5</t>
  </si>
  <si>
    <t>до 14.5</t>
  </si>
  <si>
    <t>Нормы выработки на выбивку и извлечение клиновых стоек, стойка</t>
  </si>
  <si>
    <t>Таблица 68</t>
  </si>
  <si>
    <t>Таблица 67</t>
  </si>
  <si>
    <t>2.01иболее</t>
  </si>
  <si>
    <t>1.81-2.0</t>
  </si>
  <si>
    <t>1.61-1.8</t>
  </si>
  <si>
    <t>1.41-1.6</t>
  </si>
  <si>
    <t>1.26-1.4</t>
  </si>
  <si>
    <t>1.01-1.1</t>
  </si>
  <si>
    <t>0.91-1.0</t>
  </si>
  <si>
    <t>0.51-0.6</t>
  </si>
  <si>
    <t>0.41-0.5</t>
  </si>
  <si>
    <t xml:space="preserve">Одна стойка под ранее уложенный верхняк </t>
  </si>
  <si>
    <t>Три стойки с укладкой верхняка</t>
  </si>
  <si>
    <t>56 иболее</t>
  </si>
  <si>
    <t>Вынимаемая мощность пласта (слоя), м.</t>
  </si>
  <si>
    <t>2,01иболее</t>
  </si>
  <si>
    <t>Две стойки с укладкой верхняка</t>
  </si>
  <si>
    <t>Одна стойка с укладкой верхняка</t>
  </si>
  <si>
    <t>Нормы выработки при деревянной крепи, комплект</t>
  </si>
  <si>
    <t>Таблица 65</t>
  </si>
  <si>
    <t>Две стойки под верхняк.Три стойки под верхняк</t>
  </si>
  <si>
    <t>Наименование комплекта</t>
  </si>
  <si>
    <t>При креплении гидравлическими стойками с внешним питанием</t>
  </si>
  <si>
    <t>2К52МУ</t>
  </si>
  <si>
    <t>КШ1КГ</t>
  </si>
  <si>
    <t>1К103</t>
  </si>
  <si>
    <t>1ГШ68Е</t>
  </si>
  <si>
    <t>РКУ16</t>
  </si>
  <si>
    <t>Мощность двигателей комбайнов</t>
  </si>
  <si>
    <t>мощноть двигателя</t>
  </si>
  <si>
    <t>Стационарными гидродомкратами</t>
  </si>
  <si>
    <t>концевая</t>
  </si>
  <si>
    <t>приводная</t>
  </si>
  <si>
    <t>Вид головки</t>
  </si>
  <si>
    <t>Способ передвижки головок</t>
  </si>
  <si>
    <t>Нормы выработки на передвижку головок, головка</t>
  </si>
  <si>
    <t>стационарные</t>
  </si>
  <si>
    <t>1,26 и более</t>
  </si>
  <si>
    <t>до 1,25</t>
  </si>
  <si>
    <t>Вид Гидродомкратов</t>
  </si>
  <si>
    <t>Нормы выработки на передвижку линейных секций гидродомкратами, м линейных секций</t>
  </si>
  <si>
    <t>29,34*ln(m)+31,4</t>
  </si>
  <si>
    <t>Заменить на  верхнюю</t>
  </si>
  <si>
    <t>(Руководство по управлению кровлей, ДонУГИ 2002г.)</t>
  </si>
  <si>
    <t>Зависимость массы стойки от мощности пласта</t>
  </si>
  <si>
    <t>7-При работе по челноковой схеме заездами, когда при выемке первой полосы комбайн проходит участок по выемке, затем этот же участок по зачистке и снова этот же участок на холостом ходу, а вторую полосу только по выемке и с зарубкой в пласт способом косых заездов)</t>
  </si>
  <si>
    <t>6-При работе по челноковой схеме заездами, когда при выемке первой полосы комбыйн проходит участок по выемке, затем этот же участок по зачистке и снова этот же участок на холостом ходу, а вторую полосу только по выемке и без зарубки в пласт способом косых заездов</t>
  </si>
  <si>
    <t>5-При работе по челноковой схеме заездами, когда при выемке первой и второй полос комбайн проходит участок по выемке, затем этот же участок по зачистке и снова этот же участок на холостом ходу с зарубкой в пласт способом косых заездов</t>
  </si>
  <si>
    <t>4-При работе по челноковой схеме заездами, когда при выемке первой и второй полос комбайн проходит участок по выемке, затем этот же участок по зачистке и снова этот же участок на холостом ходу</t>
  </si>
  <si>
    <t>3-без демонтажа-монтажа погрузочного устройства и зарубкой в пласт способом косых заездов</t>
  </si>
  <si>
    <t>2-с демонтажом-монтажем погрузочного устройства и зарубкой в пласт способом косых заездов,</t>
  </si>
  <si>
    <t>1-без демонтажа-монтажа погрузочного устройства,</t>
  </si>
  <si>
    <t>Способ подготовки комбайна к выемке следующей полосы (1-без демонтажа-монтажа погрузочного устройства, 2-с демонтажом-монтажем погрузочного устройства и зарубкой в пласт способом косых заездов, 3-без демонтажа-монтажа погрузочного устройства и зарубкой в пласт способом косых заездов,4-При работе по челноковой схеме заездами, когда при выемке первой и второй полос комбайн проходит участок по выемке, затем этот же участок по зачистке и снова этот же участок на холостом ходу, 5-При работе по челноковой схеме заездами, когда при выемке первой и второй полос комбайн проходит участок по выемке, затем этот же участок по зачистке и снова этот же участок на холостом ходу с зарубкой в пласт способом косых заездов,6-При работе по челноковой схеме заездами, когда при выемке первой полосы комбыйн проходит участок по выемке, затем этот же участок по зачистке и снова этот же участок на холостом ходу, а вторую полосу только по выемке и без зарубки в пласт способом косых заездов,7-При работе по челноковой схеме заездами, когда при выемке первой полосы комбайн проходит участок по выемке, затем этот же участок по зачистке и снова этот же участок на холостом ходу, а вторую полосу только по выемке и с зарубкой в пласт способом косых заездов)</t>
  </si>
  <si>
    <t>201-300</t>
  </si>
  <si>
    <t>101-200</t>
  </si>
  <si>
    <t>до 100</t>
  </si>
  <si>
    <t>Группа средних рабочих скоростей подачи узкозахватных комбайнов</t>
  </si>
  <si>
    <t>При работе по односторонней схеме с зарубкой в пласт способом косых заездов</t>
  </si>
  <si>
    <t>При работе по односторонней схеме без зарубки в пласт способом косых заездов</t>
  </si>
  <si>
    <t>0,94</t>
  </si>
  <si>
    <t>0,92</t>
  </si>
  <si>
    <t>0,87</t>
  </si>
  <si>
    <t>0,9</t>
  </si>
  <si>
    <t>0,83</t>
  </si>
  <si>
    <t>6 При работе по челноковой схеме заездами, когда при выемке первой полосы комбайн проходит участок по выемке,затем этот же участок по зачистке и снова этот же участок на холостом ходу, а вторую плосу только по выемке и без зарубки в пласт способом косых заездов.</t>
  </si>
  <si>
    <t>5 При работе по челноковой схеме заездами, когда при выемке первой и второй полос комбайн проходит участок по выемке, затем этот же участок по зачистке и снова этот же участок на холостом ходу с зарубкой в пласт способом косых заездов.</t>
  </si>
  <si>
    <t>участок по выемке, затем этот же участок по зачистке и снова этот же участок на холостом ходу.</t>
  </si>
  <si>
    <t>3 При работе по челноковой схеме без демонтажа-монтажа погрузочного устройства и зарубкой в пласт способом косых заездов</t>
  </si>
  <si>
    <t>2 При работе по челноковой схеме с демонтажом-монтажем погрузочного устройства и зарубкой в пласт способом косых заездов</t>
  </si>
  <si>
    <t>4 При работе по челноковой схеме заездами, когда при выемке первой и второй полос комбайн проходит</t>
  </si>
  <si>
    <t>№3</t>
  </si>
  <si>
    <t>№2</t>
  </si>
  <si>
    <t>№6</t>
  </si>
  <si>
    <t>№5</t>
  </si>
  <si>
    <t>№4</t>
  </si>
  <si>
    <t>15</t>
  </si>
  <si>
    <t>14</t>
  </si>
  <si>
    <t>13</t>
  </si>
  <si>
    <t>12</t>
  </si>
  <si>
    <t>11</t>
  </si>
  <si>
    <t>10</t>
  </si>
  <si>
    <t>9</t>
  </si>
  <si>
    <t>8</t>
  </si>
  <si>
    <t>7</t>
  </si>
  <si>
    <t>6</t>
  </si>
  <si>
    <t>21 и более</t>
  </si>
  <si>
    <t>5</t>
  </si>
  <si>
    <t>16-20</t>
  </si>
  <si>
    <t>Группа средних рабочих скоростей подачи узкозахватного комбайна</t>
  </si>
  <si>
    <t>1 При работе по челноковой схеме без демонтажа-монтажа погрузочного устройства</t>
  </si>
  <si>
    <t>При углах падения пласта:</t>
  </si>
  <si>
    <t>№1</t>
  </si>
  <si>
    <t>Длина лавы 201-300 м.</t>
  </si>
  <si>
    <t>Длина лавы 101 - 200 м.</t>
  </si>
  <si>
    <t>Длина лавы до 100 м.</t>
  </si>
  <si>
    <t>2,61 и более</t>
  </si>
  <si>
    <t>2,41-2,60</t>
  </si>
  <si>
    <t>2,00-2,20</t>
  </si>
  <si>
    <t>1,84-1,99</t>
  </si>
  <si>
    <t>1,67-1,83</t>
  </si>
  <si>
    <t>1,53-1,66</t>
  </si>
  <si>
    <t>1,39-1,52</t>
  </si>
  <si>
    <t>1,26-1,38</t>
  </si>
  <si>
    <t>1,15-1,25</t>
  </si>
  <si>
    <t>1,05-1,14</t>
  </si>
  <si>
    <t>0,96-1,04</t>
  </si>
  <si>
    <t>0,79-0,85</t>
  </si>
  <si>
    <t>до 0,78</t>
  </si>
  <si>
    <t>Дина лавы 201-300 м.</t>
  </si>
  <si>
    <t>Длина лавы 101-200м.</t>
  </si>
  <si>
    <t>Нормы выработки на звено из двух человек, т.</t>
  </si>
  <si>
    <t>Таблица 1.</t>
  </si>
  <si>
    <t>амортизация</t>
  </si>
  <si>
    <t>энергия</t>
  </si>
  <si>
    <t>зарплата с начислениями</t>
  </si>
  <si>
    <t>концевые участки</t>
  </si>
  <si>
    <t>Затраты общие лавы</t>
  </si>
  <si>
    <t>Затраты на достаку грн/мес</t>
  </si>
  <si>
    <t>Сумма заработной платы доставщиков с начислениями, грн/т</t>
  </si>
  <si>
    <t>Сумма заработной платы доставщиков с начислениями, грн/цикл</t>
  </si>
  <si>
    <t>Начисления на заработную плату, грн/цикл</t>
  </si>
  <si>
    <t>Сумма заработной платы доставщиков, грн/цикл</t>
  </si>
  <si>
    <t>Размер премии доставщиков, грн/цикл</t>
  </si>
  <si>
    <t>Зарплата  по списочному штату, грн/цикл</t>
  </si>
  <si>
    <t>Коэфициент списочного состава</t>
  </si>
  <si>
    <t>Всего прямая зарплата по явочному составу, грн/цикл</t>
  </si>
  <si>
    <t>Прямая зарплата подземных рабочих, грн/цикл</t>
  </si>
  <si>
    <t>Прямая зарплата рабочих на поверхности, грн/цикл</t>
  </si>
  <si>
    <t>Балка металическая, т</t>
  </si>
  <si>
    <t>Балка металическая, шт</t>
  </si>
  <si>
    <t>Верхняки металлические, шт</t>
  </si>
  <si>
    <t>Стойки (клиновые и гидравлические), т/цикл</t>
  </si>
  <si>
    <t>Стойки (клиновые и гидравлические), шт/цикл</t>
  </si>
  <si>
    <t>Обаполы, брус м3/цикл</t>
  </si>
  <si>
    <t>Стойки деревянные, м3/цикл</t>
  </si>
  <si>
    <t>Номер выбранной схемы крепления в нишах</t>
  </si>
  <si>
    <t>Принятые в расчетах объемы доставляемых материалов</t>
  </si>
  <si>
    <t>Ошибка</t>
  </si>
  <si>
    <t>5. Над головкой и в нише шарнирные верхняки</t>
  </si>
  <si>
    <t>4. Над головкой балка, в нише деревянные верхняки</t>
  </si>
  <si>
    <t>3 В нише шарнирный верхняк, над головкой балка</t>
  </si>
  <si>
    <t>2 Ниша крепится шарнирными верхняками, над головкой брус</t>
  </si>
  <si>
    <t>1. Применение для крепления как головки, так и ниши только деревянных верхняков</t>
  </si>
  <si>
    <t>Материалы, используемые на концевых участках</t>
  </si>
  <si>
    <t>Число циклов за месяц</t>
  </si>
  <si>
    <t>Посадочные стойки типа "Спутник", тонн/цикл</t>
  </si>
  <si>
    <t>Масса стойки "Спунтик" в зависимости от мощности пласта, кг</t>
  </si>
  <si>
    <t>Посадочные стойки типа "Спутник"</t>
  </si>
  <si>
    <t>Посадочные стойки типа ОКУ, тонн/цикл</t>
  </si>
  <si>
    <t>Масса стойки ОКУ в зависимости от мощности пласта, кг</t>
  </si>
  <si>
    <t>Посадочные стойки типа ОКУ</t>
  </si>
  <si>
    <t>Гидростойки для крепления, тонн/цикл</t>
  </si>
  <si>
    <t>Гидростойки для крепления, штук в месяц</t>
  </si>
  <si>
    <t>Верхняк металлический, тонн/цикл</t>
  </si>
  <si>
    <t>Верхняк металлический, штук в мес.</t>
  </si>
  <si>
    <t>Всего, грн/мес</t>
  </si>
  <si>
    <t>Энергия</t>
  </si>
  <si>
    <t>Зарплата с начислениями</t>
  </si>
  <si>
    <t>Затраты на концевом участке лавы у вентиляционного штрека, грн/т</t>
  </si>
  <si>
    <t>Затраты на концевом участке лавы у вентиляционного штрека, грн/мес</t>
  </si>
  <si>
    <t>Общие затраты на электроэнергию, грн/мес</t>
  </si>
  <si>
    <t>Учтенные в расчетах затраты, грн/мес</t>
  </si>
  <si>
    <t>Затраты на энергию в месяц  грн/месяц</t>
  </si>
  <si>
    <t>Рсход электроэнергии за смену, квт час</t>
  </si>
  <si>
    <t>Расход сжатого воздуха ОМ в смену, м3/см</t>
  </si>
  <si>
    <t>Количество одновременно работающих молотков, шт</t>
  </si>
  <si>
    <t>Время непрерывной работы ОМ в смену, час</t>
  </si>
  <si>
    <t>Коэффициент загрузки молотка</t>
  </si>
  <si>
    <t xml:space="preserve">               1000 м3</t>
  </si>
  <si>
    <t>стоим 1 м3 по эл энергии</t>
  </si>
  <si>
    <t>стоим 1 квтчас, грн</t>
  </si>
  <si>
    <t>расход эл энергии на 1 куб воздуха</t>
  </si>
  <si>
    <t>годовая произ станции, м3</t>
  </si>
  <si>
    <t>произв компрессора м3/час</t>
  </si>
  <si>
    <t>произв компр м3/мин</t>
  </si>
  <si>
    <t>число часов работы компр стан в сутки</t>
  </si>
  <si>
    <t>Годов расход энергии</t>
  </si>
  <si>
    <t>коэф загрузки компр системы</t>
  </si>
  <si>
    <t>коэф расхода энергии на собств нужды</t>
  </si>
  <si>
    <t>Коэф расхода энергии на охлаждение</t>
  </si>
  <si>
    <t>коэф загрузки двиг на холост ходу</t>
  </si>
  <si>
    <t>КПД сети</t>
  </si>
  <si>
    <t>КПД привод двигателя</t>
  </si>
  <si>
    <t>число рабочих компрессоров</t>
  </si>
  <si>
    <t>мощность на валу компрессора</t>
  </si>
  <si>
    <t>число раб дней в году</t>
  </si>
  <si>
    <t>Расход пневмоэнергии</t>
  </si>
  <si>
    <t>Затраты на электроэнергию на освещение, грн/месяц</t>
  </si>
  <si>
    <t>Время горения лампы за сутки, час</t>
  </si>
  <si>
    <t>Мощность используемых ламп, Вт</t>
  </si>
  <si>
    <t>Количество ламп на концевом участке</t>
  </si>
  <si>
    <t>Освещение концевого участка</t>
  </si>
  <si>
    <t>Затраты на электроэнергию на бурение</t>
  </si>
  <si>
    <t>Месячные затраты на эл энергию, грн/мес</t>
  </si>
  <si>
    <t>Затраты на электроэнергию на бурение, грн/цикл</t>
  </si>
  <si>
    <t>Стоимость электроэнергии грн/кВтЧас</t>
  </si>
  <si>
    <t>Время бурения одного шпура, мин</t>
  </si>
  <si>
    <t>Потребляемая мощность сверла, кВт/ч</t>
  </si>
  <si>
    <t>Бурение шпуров с помощью электросверел</t>
  </si>
  <si>
    <t>Расход электроэнергии, грн/цикл.</t>
  </si>
  <si>
    <r>
      <t xml:space="preserve">  </t>
    </r>
    <r>
      <rPr>
        <b/>
        <sz val="10"/>
        <color indexed="10"/>
        <rFont val="Arial"/>
        <family val="2"/>
      </rPr>
      <t xml:space="preserve">  Энергия</t>
    </r>
  </si>
  <si>
    <t>В том числе лесные, грн/мес</t>
  </si>
  <si>
    <t>Месячные расходы на материалы, грн/мес</t>
  </si>
  <si>
    <t>Принятые амортизационные отчисления за цикл, грн</t>
  </si>
  <si>
    <t>Амортизационные отчисления за месяц, грн</t>
  </si>
  <si>
    <t>Установленная норма амортизации (месячная),%</t>
  </si>
  <si>
    <t>Балансовая стоимость объекта, грн</t>
  </si>
  <si>
    <t>Коэффициент балансовой стоимости (1,07-1,12)</t>
  </si>
  <si>
    <t>Стоимость приобретения, грн</t>
  </si>
  <si>
    <t>Принятые амортизационные отчисления за месяц, грн</t>
  </si>
  <si>
    <t xml:space="preserve">Эл.сверла ручные </t>
  </si>
  <si>
    <t>Расход материалов длительного пользования</t>
  </si>
  <si>
    <t>Принятые затраты на пики грн/месяц</t>
  </si>
  <si>
    <t>Затраты на резцы грн/месяц</t>
  </si>
  <si>
    <t>Стоимость пики, грн</t>
  </si>
  <si>
    <t>Принятые в расчетах затраты на резцы грн/месяц</t>
  </si>
  <si>
    <t>Принятый в расчетах расход ЭД на месяц, грн</t>
  </si>
  <si>
    <t>Месячные расходы на ЭД, грн/мес</t>
  </si>
  <si>
    <t>Принятый в расчетах расход ВВ за месяц, грн</t>
  </si>
  <si>
    <t>Расход ВВ за месяц, грн/мес</t>
  </si>
  <si>
    <t>Расход ВВ на цикл, грн/цикл</t>
  </si>
  <si>
    <t>Месячные учитываемые затраты на потерю верхняков, грн/мес</t>
  </si>
  <si>
    <t>Цена шарнирного верхняка, грн/шт</t>
  </si>
  <si>
    <t>Месячные потери верхняков, шт</t>
  </si>
  <si>
    <t>Верхняк металлический шарнирный</t>
  </si>
  <si>
    <t>Месячные затраты на балки, грн/мес</t>
  </si>
  <si>
    <t>Стоимость профиля(швеллер№16), грн/т</t>
  </si>
  <si>
    <t>Потери балок за месяц, тонн (швеллер № 16)</t>
  </si>
  <si>
    <t>Потери балок за месяц, шт</t>
  </si>
  <si>
    <t>Плановый процент потерь в месяц</t>
  </si>
  <si>
    <t>балки над головкой конвейера в наличии</t>
  </si>
  <si>
    <t>балки над головкой конвейера</t>
  </si>
  <si>
    <t>Месячные затраты на гидростойки, грн/мес</t>
  </si>
  <si>
    <t>Плановый процент потерь гидростоек за месяц, шт</t>
  </si>
  <si>
    <t>Количество стоек в нише</t>
  </si>
  <si>
    <t>Стойки гидравлические</t>
  </si>
  <si>
    <t>Другие материалы</t>
  </si>
  <si>
    <t>Принятый расход дерева за месяц, грн/месяц</t>
  </si>
  <si>
    <t>Принятый расход дерева, м3/цикл</t>
  </si>
  <si>
    <t>Принятые в расчетах количество шарнирных верхняков шт/мес</t>
  </si>
  <si>
    <t>Принятое колличество верхняков</t>
  </si>
  <si>
    <t>Месячные потери верхняков в шт</t>
  </si>
  <si>
    <t>Количество верхняков в нише, шт</t>
  </si>
  <si>
    <t>Всего расход леса, м3/цикл</t>
  </si>
  <si>
    <t>Дер стойки в месте охраны выработки за конвейером, м3</t>
  </si>
  <si>
    <t>Дер верхняки в месте охраны выработки за головкой, м3</t>
  </si>
  <si>
    <t>Дер.стойки под балкой над головкой конвейера,м3</t>
  </si>
  <si>
    <t>Месячные потери верхняков в шт/мес</t>
  </si>
  <si>
    <t>То же в грн/цикл</t>
  </si>
  <si>
    <t>Дер.верхняки для крепления над головкой конвейера, расход м3</t>
  </si>
  <si>
    <t>Дер.стойки под брусом над головкой конвейера,м3</t>
  </si>
  <si>
    <t>Затраты на лес ,(крепь только деревянная) грн/цикл</t>
  </si>
  <si>
    <t>Расход дерева,(крепь только деревянная)  м3/цикл</t>
  </si>
  <si>
    <t>дер.стойки на головке конвейера и в нише, м3</t>
  </si>
  <si>
    <t>Дер стойки на головке и в нише, шт</t>
  </si>
  <si>
    <t>Дер.верхняки для крепления над конвейером, шт</t>
  </si>
  <si>
    <t>Дер.верхняки для крепления над головкой конвейера, расход шт/цикл</t>
  </si>
  <si>
    <t>Сечение верхняка, м2</t>
  </si>
  <si>
    <t>Толщина, м</t>
  </si>
  <si>
    <t>Ширина, м</t>
  </si>
  <si>
    <t>Дер. Верхняки в нише:</t>
  </si>
  <si>
    <t>РАСЧЕТ ЗАТРАТ ПО  ДРУГИМ СТАТЬЯМ</t>
  </si>
  <si>
    <t>Всего с начислениями на зарплату на концевом участке, грн/месяц</t>
  </si>
  <si>
    <t>Начисления на зарплату, грн/мес</t>
  </si>
  <si>
    <t>Месячная зарплата рабочих в нише (с премией и доплатами), грн/мес</t>
  </si>
  <si>
    <t>Сумма премий, грн/мес</t>
  </si>
  <si>
    <t>Размер премий за выполнение плана, %</t>
  </si>
  <si>
    <t>Зарплата  за месяц по списочному штату добычной бригады, грн</t>
  </si>
  <si>
    <t>Прямая зарплата бригады по добыче за сутки, грн</t>
  </si>
  <si>
    <t>Списочный штат рабочих на конц участке, чел</t>
  </si>
  <si>
    <t>Явочный штат рабочих  на концевом участке, чел</t>
  </si>
  <si>
    <t>Заработная плата ГРОЗ грн/смен</t>
  </si>
  <si>
    <t>Тоже с учетом ночных</t>
  </si>
  <si>
    <t>Тарифная ставка ГРОЗ</t>
  </si>
  <si>
    <t>Расчет зарплаты на концевом участке</t>
  </si>
  <si>
    <t>всего, чел см/смену</t>
  </si>
  <si>
    <t>всего, чел см/цикл</t>
  </si>
  <si>
    <t>Работы на штреке</t>
  </si>
  <si>
    <t>Крепление ниши</t>
  </si>
  <si>
    <t>Выемка угля в нише</t>
  </si>
  <si>
    <t>Общая трудоемкость на нижнем концевом участке,чел см/цикл</t>
  </si>
  <si>
    <t>Итого трудоемкость работ на штреке, чел см/м</t>
  </si>
  <si>
    <t>Извлечение комплекта арочной крепи в  транспортном штреке</t>
  </si>
  <si>
    <t>Принятая трудоемкость выемки ниши, чел см/цикл</t>
  </si>
  <si>
    <t xml:space="preserve">Выемка угля в нише </t>
  </si>
  <si>
    <t>Принятая трудоемкость крепления ниши, чел см/м</t>
  </si>
  <si>
    <t>Шарнирный верхняк</t>
  </si>
  <si>
    <t>Деревянный верхняк</t>
  </si>
  <si>
    <t>Крепление в остальной нише</t>
  </si>
  <si>
    <t>Металлическая балка</t>
  </si>
  <si>
    <t>Итого крепление в нише - трудоемкость чел см/цикл</t>
  </si>
  <si>
    <t>Трудоемкость крепления шарнирными верхняками в нише</t>
  </si>
  <si>
    <t>Объем работ,комплект/цикл</t>
  </si>
  <si>
    <t>5 Установка комплекта индивид.крепи в месте охраны выработки (3 дер.стойки под дер.верхняк) конвейером</t>
  </si>
  <si>
    <t>Номрма выработки табличная</t>
  </si>
  <si>
    <t>4 переустановка стоек при передвижке конвейера</t>
  </si>
  <si>
    <t>При отсутствии работ по переноске</t>
  </si>
  <si>
    <t>При относке</t>
  </si>
  <si>
    <t>По суммарной мощности породных прослойков</t>
  </si>
  <si>
    <t>Определение нормы выработки на извлечение гидравлических стоек</t>
  </si>
  <si>
    <t>3 Извлечение стоек при передвижке конвейера и при погашении лавы, шт</t>
  </si>
  <si>
    <t>При креплении ниш</t>
  </si>
  <si>
    <t>Определение номера строки в табл.66</t>
  </si>
  <si>
    <t xml:space="preserve">Определение нормы выработки на снятие  шарнирных верхняков </t>
  </si>
  <si>
    <t>2 Снятие шарнирных верхняков при погашении лавы, шт</t>
  </si>
  <si>
    <t>Принятая норма выработки для лавы</t>
  </si>
  <si>
    <t>по весу верхняка</t>
  </si>
  <si>
    <t>номер строки в табл 63</t>
  </si>
  <si>
    <t>Масса стойки 13,587Ln(x) + 27,467</t>
  </si>
  <si>
    <t>1 Установка комплектов крепи - стойка под верхняк, шт</t>
  </si>
  <si>
    <t>Крепление в нише шарнирными верхняками</t>
  </si>
  <si>
    <t>Трудоемкость крепления над головкой - мет балка</t>
  </si>
  <si>
    <t>6 Установка комплекта индивид.крепи в месте охраны выработки (3 дер.стойки под дер.верхняк) за головкой конвейера</t>
  </si>
  <si>
    <t>5 Извлечение установленного комплекта (дер.стойки под мет.верхняком в выработ.пространстве) над головкой конвейера</t>
  </si>
  <si>
    <t>4 Установка деревянных стоек индивидуальной крепи на комплектах расположенных над головкой конвейера</t>
  </si>
  <si>
    <t>3 Извлечение металлических стоек индивидуальной крепи на комплектах расположенных над головкой конвейера</t>
  </si>
  <si>
    <t>2. Установка дополнительных стоек индивидуальной крепи на комплектах расположеных над головкой конвейера</t>
  </si>
  <si>
    <t>1 Установка комплекта индивидуальной крепи 3 стойки под верхняк над головкой конвейера</t>
  </si>
  <si>
    <t>Применение для крепления ниши металлических  верхняков (балка над головкой, шарн верхняк в нише)</t>
  </si>
  <si>
    <t>Трудоемкость крепления ниши при дер верхняках</t>
  </si>
  <si>
    <t xml:space="preserve">         4. Установка деревянных стоек индивидуальной крепи на комплектах расположенных над конвейером</t>
  </si>
  <si>
    <t>3 Извлечение металлических стоек индивидуальной крепи на комплектах расположенных над конвейером</t>
  </si>
  <si>
    <t xml:space="preserve">            2. Установка дополнительных стоек индивидуальной крепи на комплектах расположеных над конвейером</t>
  </si>
  <si>
    <t>1 Установка комплекта индивидуальной крепи 3 стойки под верхняк над конвейером</t>
  </si>
  <si>
    <t>Крепление в нише (дерев верхняк, гидростойка)</t>
  </si>
  <si>
    <t>Трудоемкость крепления над головкой</t>
  </si>
  <si>
    <t>4. Установка деревянных стоек индивидуальной крепи на комплектах расположенных над головкой конвейера</t>
  </si>
  <si>
    <t>3. Извлечение металлических стоек индивидуальной крепи на комплектах расположенных над головкой конвейера</t>
  </si>
  <si>
    <t>1. Установка комплекта индивидуальной крепи 3 стойки под верхняк над головкой конвейера</t>
  </si>
  <si>
    <t>Наличие в пласте твердых включений (1 да, 0 - нет)</t>
  </si>
  <si>
    <t>Тип шарнирного верхняка (1 с опорой, 2 - без опоры</t>
  </si>
  <si>
    <t>Тип верхняка в нише (1 - дерево, 2 - шарнирный верхняк)</t>
  </si>
  <si>
    <t>Тип верхняка над головкой конвейера (1 дерево, 2- стальная балка)</t>
  </si>
  <si>
    <t>Длина шарнирного верхняка, м</t>
  </si>
  <si>
    <t>Длина верхней ниши</t>
  </si>
  <si>
    <t>Длина лавы,м</t>
  </si>
  <si>
    <t>Суточная добыча участка, т</t>
  </si>
  <si>
    <t>Устойчивость кровли (0-нет, 1-да)</t>
  </si>
  <si>
    <t>Мощность породных прослойков в пласте и ложной кровли, м</t>
  </si>
  <si>
    <t>Расстояние между рамами арочной крепи в вент штреке, м</t>
  </si>
  <si>
    <t>Расстояние между комплектами индивидуальной крепи, м</t>
  </si>
  <si>
    <t>Всего, грн/т</t>
  </si>
  <si>
    <t>Затраты на концевом участке лавы у транспортного штрека, грн/т</t>
  </si>
  <si>
    <t>Затраты на концевом участке лавы у транспортного штрека, грн/мес</t>
  </si>
  <si>
    <t xml:space="preserve">                      </t>
  </si>
  <si>
    <t>Принятая норма выработки, шт/цикл</t>
  </si>
  <si>
    <t>Норма выработки табличная, шт</t>
  </si>
  <si>
    <t xml:space="preserve">Бурение производиться по углю, содержащему валуны, сидериты и крупные линзообразные включения серного колчедана, которые вызывают необходимость перебуривания отдельных шпуров </t>
  </si>
  <si>
    <t>Принятое количество верхняков</t>
  </si>
  <si>
    <t>Объемы работ</t>
  </si>
  <si>
    <t>Тип верхняка над головкой конвейера (1 дерево, 2- стальная балка, 3-шарнирный верхняк)</t>
  </si>
  <si>
    <t>Устойчивость кровли (0-неустойчива, 1-устойчива)</t>
  </si>
  <si>
    <t>Длина ниши у вент штрека, м</t>
  </si>
  <si>
    <t>Вынос головки конвейера на вент штрек, м</t>
  </si>
  <si>
    <t>Длина головки конвейера у вент штрека, м</t>
  </si>
  <si>
    <t>Вынос приводной головки конвейера, м</t>
  </si>
  <si>
    <t>Затраты общие в центр части лавы</t>
  </si>
  <si>
    <t>Всего материалы в центр части лавы, грн/т</t>
  </si>
  <si>
    <t>Общие затраты на прочие материалы, грн\т</t>
  </si>
  <si>
    <t>с неучтенными ( 5%)</t>
  </si>
  <si>
    <t>Общие затраты на прочие материалы, грн\мес</t>
  </si>
  <si>
    <t>Затраты на самоспасатели, грн\мес</t>
  </si>
  <si>
    <t>Остаточная стоимость, грн</t>
  </si>
  <si>
    <t>Срок службы, мес</t>
  </si>
  <si>
    <t>Общая стоимость, грн</t>
  </si>
  <si>
    <t>Стоимость приобретения , грн</t>
  </si>
  <si>
    <t>Самоспасатель</t>
  </si>
  <si>
    <t>Затраты на светильники, грн\мес</t>
  </si>
  <si>
    <t>Светильник индивидуальный</t>
  </si>
  <si>
    <t>Затраты на респираторы, грн\мес</t>
  </si>
  <si>
    <t>Респиратор</t>
  </si>
  <si>
    <t>Затраты на спецодежду, грн\мес</t>
  </si>
  <si>
    <t>Стоимость приобретения комплекта, грн</t>
  </si>
  <si>
    <t>Спецодежда</t>
  </si>
  <si>
    <t>Затраты на прочие материалы</t>
  </si>
  <si>
    <t>суммарные затраты на материалы разового пользования</t>
  </si>
  <si>
    <t>Затраты на кабель, грн/т</t>
  </si>
  <si>
    <t>Затраты на кабель, грн\мес</t>
  </si>
  <si>
    <t>Стоимость 1 метра кабеля , грн</t>
  </si>
  <si>
    <t>Общая длина,м</t>
  </si>
  <si>
    <t>Кабель электрический</t>
  </si>
  <si>
    <t>Затраты на эмульсию, грн/т</t>
  </si>
  <si>
    <t>Затраты на эмульсию, грн/мес</t>
  </si>
  <si>
    <t>Удельный расход, кг/мес</t>
  </si>
  <si>
    <t>Стоимость приобретения, грн/кг</t>
  </si>
  <si>
    <t>Эмульсия</t>
  </si>
  <si>
    <t>Затраты на материалы разового пользования</t>
  </si>
  <si>
    <t>Затраты на заработную плату электрослесарей ремонтных, грн/т</t>
  </si>
  <si>
    <t>Зарплата с начислениями, грн/мес</t>
  </si>
  <si>
    <t>Начисления на заработную плату, грн/мес</t>
  </si>
  <si>
    <t>Зарплата электрослесарей ремонтных без начислений, грн/мес</t>
  </si>
  <si>
    <t>Размер премии ремонтным электрослесарям, грн/мес</t>
  </si>
  <si>
    <t>Общий списочный состав электрослесарей, чел</t>
  </si>
  <si>
    <t>Прямая тарифная заработная плата электрослесарей ремонтных, грн/мес</t>
  </si>
  <si>
    <t>Тарифная ставка электрослесяря ремонтного, грн/см</t>
  </si>
  <si>
    <t>Перепиливание стоек 1 - электропилой, 0 - нет</t>
  </si>
  <si>
    <t>стойки "Спутник" (реальное количество)</t>
  </si>
  <si>
    <t>стойки "Спутник" (1 шт.)</t>
  </si>
  <si>
    <t>при креплении ниш мет.верхняками</t>
  </si>
  <si>
    <t>при креплении ниш дер.верхняками</t>
  </si>
  <si>
    <t>гидравлические стойки (реальное количество)</t>
  </si>
  <si>
    <t>Затраты на электроэнергию для комбайна, грн/т</t>
  </si>
  <si>
    <t>Затраты на электроэнергию для комбайна в мес, грн</t>
  </si>
  <si>
    <t>Стоимость электроэнергии, грн/кВт-час</t>
  </si>
  <si>
    <t>Расход электроэнергии стругом за месяц, кВт-час.</t>
  </si>
  <si>
    <t>Коэффициент использования по мощности, доли ед.</t>
  </si>
  <si>
    <t>Коэффициент использования по времени, доли ед.</t>
  </si>
  <si>
    <t>Время использования комбайна в сутки, ч.</t>
  </si>
  <si>
    <t>Суммарная мощность двигателей, кВт</t>
  </si>
  <si>
    <t>Затраты на электроэнергию</t>
  </si>
  <si>
    <t>АО по центральной части лавы, грн/т</t>
  </si>
  <si>
    <t>АО за крепь сопряжения, грн/т</t>
  </si>
  <si>
    <t>Амортизационные отчисления за месяц, грн/мес</t>
  </si>
  <si>
    <t>Установленная норма амортизации в год, %</t>
  </si>
  <si>
    <t xml:space="preserve">                                                           Крепь сопряжения</t>
  </si>
  <si>
    <t>АО за скребковый конвейер, грн/т</t>
  </si>
  <si>
    <t>крепь сопряжения ????</t>
  </si>
  <si>
    <t>амортиз компрессора ???</t>
  </si>
  <si>
    <t>Стоимость конвейера в пересчете на длину лавы, грн.</t>
  </si>
  <si>
    <t>Скребковый конвейер в лаве</t>
  </si>
  <si>
    <t>АО за комбайн, грн/т</t>
  </si>
  <si>
    <t>Амортизационные отчисления за месяц, грн/месяц</t>
  </si>
  <si>
    <t>Установленная норма амортизации в год,%</t>
  </si>
  <si>
    <t>Балансовая стоимость,грн</t>
  </si>
  <si>
    <t>Коэффициент балансовой стоиости (1,07-1,12)</t>
  </si>
  <si>
    <t>Стоимость</t>
  </si>
  <si>
    <t>Расход в грн/т</t>
  </si>
  <si>
    <t>Потери за месяц, грн</t>
  </si>
  <si>
    <t>Стоимость стойки грн/шт</t>
  </si>
  <si>
    <t>Потери за месяц в штуках</t>
  </si>
  <si>
    <t>Месячный процент потерь</t>
  </si>
  <si>
    <t>Количество в лаве штуки</t>
  </si>
  <si>
    <t>Стойки Спутник</t>
  </si>
  <si>
    <t>Стоимость  стойки грн/шт</t>
  </si>
  <si>
    <t>Металлические стойки типа ОКУ</t>
  </si>
  <si>
    <t>Стоимость гидравлической стойки грн/шт</t>
  </si>
  <si>
    <t>Гидравлические стойки для крепления</t>
  </si>
  <si>
    <t>Стоимость гидродомкрата грн/шт</t>
  </si>
  <si>
    <t>Гидродомкраты передвижки</t>
  </si>
  <si>
    <t>Стоимость верхняка грн/шт</t>
  </si>
  <si>
    <t>Шарнирные верхняки</t>
  </si>
  <si>
    <t>Расход материалов</t>
  </si>
  <si>
    <t>Затраты по зарплате ИТР (с начислениями), грн/т</t>
  </si>
  <si>
    <t>Всего зарплата с начислениями, грн/мес</t>
  </si>
  <si>
    <t>Начисления на зарплату</t>
  </si>
  <si>
    <t>Зарплата и премия, грн/мес</t>
  </si>
  <si>
    <t>Процент премии, %</t>
  </si>
  <si>
    <t>Затраты на заработную плату ИТР за месяц с учётом ночных</t>
  </si>
  <si>
    <t>Оклад горного мастера, грн/мес</t>
  </si>
  <si>
    <t>Оклад механика участка, грн/мес</t>
  </si>
  <si>
    <t>Оклад пом. нач. участка, грн/мес</t>
  </si>
  <si>
    <t>Оклад зам. нач. участка, грн/мес</t>
  </si>
  <si>
    <t>Оклад начальника участка, грн/мес</t>
  </si>
  <si>
    <t xml:space="preserve">                                                                     Зарплата ИТР</t>
  </si>
  <si>
    <t>Всего с начислениями на зарплату, грн/м</t>
  </si>
  <si>
    <t>Всего расход зарплаты на 1 тонну добычи, грн/т</t>
  </si>
  <si>
    <t>Месячная зарплата рабочих лавы (с премией и доплатами), грн/мес</t>
  </si>
  <si>
    <t>Размер премии ремонтным рабочим, грн/мес</t>
  </si>
  <si>
    <t>Доплата звеньевому ремонтной бригады, грн/мес</t>
  </si>
  <si>
    <t>Зарплата рабочих по ремонту по списочномй штату, грн/мес</t>
  </si>
  <si>
    <t>Доплата звеньевым добыч бригады, грн/мес</t>
  </si>
  <si>
    <t>Доплата бригадиру добыч бригады, грн/мес</t>
  </si>
  <si>
    <t>Средняя зарплата рабочего за месяц, грн</t>
  </si>
  <si>
    <t>Размер доплат звеньевым, %</t>
  </si>
  <si>
    <t>Размер доплат бригадиру, %</t>
  </si>
  <si>
    <t>Списочный штат бригады добычной, чел</t>
  </si>
  <si>
    <t>Зарплата Слесаря дежурного</t>
  </si>
  <si>
    <t>Заработная плата Машинист ГВМ грн/смен</t>
  </si>
  <si>
    <t>Тарифная ставка слесаря дежурного</t>
  </si>
  <si>
    <t>Тарифная ставка Машин.</t>
  </si>
  <si>
    <t xml:space="preserve">Машинист </t>
  </si>
  <si>
    <t xml:space="preserve">Сменная трудоемкость </t>
  </si>
  <si>
    <t>Общая трудоемкость работ в центральной части лавы чел.смен /на цикл - с учетом увлажнения угля</t>
  </si>
  <si>
    <t xml:space="preserve">Норма выработки </t>
  </si>
  <si>
    <t>плотность расположения шпуров</t>
  </si>
  <si>
    <t>Увлажнение угля в массиве</t>
  </si>
  <si>
    <t>Принятая в расчетах трудоемкость предвижки посадочных стоек</t>
  </si>
  <si>
    <t>Трудоемкость передвижки ОКУ</t>
  </si>
  <si>
    <t>по шагу пердвижки</t>
  </si>
  <si>
    <t>Определение строки в таблице 71 = 4,8649Ln(x) + 3,6878</t>
  </si>
  <si>
    <t>Определение нормы выработки при передвижке металлических посадочных стоек типа ОКУ</t>
  </si>
  <si>
    <t>Трудоемкость передвижки Спутник</t>
  </si>
  <si>
    <t>Объём работ по передвижке тумб</t>
  </si>
  <si>
    <t>Для лав с устойчивымы боковыми породами</t>
  </si>
  <si>
    <t>Определение нормы выработки при передвижке посадочной крепи "Спутник"</t>
  </si>
  <si>
    <t>Управление кровлей</t>
  </si>
  <si>
    <t>Трудоемкость крепления лавы, чел.см/цикл</t>
  </si>
  <si>
    <t>Трудоемкость на навеску верхняков чел.смен.на цикл</t>
  </si>
  <si>
    <t xml:space="preserve">Определение нормы выработки навеска  шарнирных верхняков </t>
  </si>
  <si>
    <t>Трудоёмкость челсмен/цикл</t>
  </si>
  <si>
    <t>Объём работ на крепление</t>
  </si>
  <si>
    <t>Определение нормы выработки на крепление очистных забоев гидравлическими стойками, комплект</t>
  </si>
  <si>
    <t>Крепление в лаве</t>
  </si>
  <si>
    <t>Трудоемкость работ  ч/смен на цикл</t>
  </si>
  <si>
    <t xml:space="preserve">По волнистой гипсометрии почвы пласта </t>
  </si>
  <si>
    <t xml:space="preserve">Поправочные коэффициенты </t>
  </si>
  <si>
    <t>Нормы выработки табличные по Стационарному виду домкрата</t>
  </si>
  <si>
    <t>Передвижка изгибающихся конвейеров в очисных забоях с индивидуальной крепью с оформлением забоя</t>
  </si>
  <si>
    <t>Оформление забоя</t>
  </si>
  <si>
    <t>В том числе ГРОЗ</t>
  </si>
  <si>
    <t>В том числе МГВМ</t>
  </si>
  <si>
    <t>Трудоемкость работ по выемке ч/смен на смену</t>
  </si>
  <si>
    <t>Трудоемкость работ по выемке ч/смен на цикл</t>
  </si>
  <si>
    <t>Принятый общий поправочный коэффициент</t>
  </si>
  <si>
    <t>учитывающий ширину захвата</t>
  </si>
  <si>
    <t>Коэффициент учитывающий устойчивость кровли</t>
  </si>
  <si>
    <t>Поправочный коэфициент для определения способа подготовки комбайна к выемке следующей полосы</t>
  </si>
  <si>
    <t>Способ подготовки комбайна к выемке следующей полосы при односторонней схеме</t>
  </si>
  <si>
    <t>Определение строки в таблицах 1-9</t>
  </si>
  <si>
    <t>Вспомогательные вычисления для определения столбца в таблицах1-9.</t>
  </si>
  <si>
    <t>Способ подготовки комбайна к выемке следующей полосы при челноковой схеме</t>
  </si>
  <si>
    <t>Определение столбца в таблице</t>
  </si>
  <si>
    <t>Определение строки в таблице</t>
  </si>
  <si>
    <t>Установление номы выработки на выемку комбайном и подготовки выемки следующей полосы</t>
  </si>
  <si>
    <t xml:space="preserve">Общий поправочный коэфициент </t>
  </si>
  <si>
    <t>Коэффициент наличия в пласте твердых включений</t>
  </si>
  <si>
    <t>Вспомогательные вычисления для плотности</t>
  </si>
  <si>
    <t xml:space="preserve">Выбросоопасность </t>
  </si>
  <si>
    <t>Определение группы скоростей</t>
  </si>
  <si>
    <t>Чистое время работы, мин/смену</t>
  </si>
  <si>
    <t>Выемка угля комбайном</t>
  </si>
  <si>
    <t>Добыча лавы за цикл</t>
  </si>
  <si>
    <t>Сум мощность двигателей в лаве, квт</t>
  </si>
  <si>
    <t>Суммарная мощность двигателей угольного комбайна, кВт</t>
  </si>
  <si>
    <t>труд концевые</t>
  </si>
  <si>
    <t>производ</t>
  </si>
  <si>
    <t>трудоемкость на сутки</t>
  </si>
  <si>
    <t>всего затраты по очистному забою, грн/т</t>
  </si>
  <si>
    <t>размеры деревянного верхняка в нише   толщина, м</t>
  </si>
  <si>
    <t>размеры деревянного верхняка в нише   ширина, м</t>
  </si>
  <si>
    <t>годовая норма амортизации конвейера</t>
  </si>
  <si>
    <t>Суммарная мощность двигателей скребкового конвейера, кВт</t>
  </si>
  <si>
    <t>Стоимость приобретения скребкового конвейере, грн</t>
  </si>
  <si>
    <t>Установленная норма амортизации  комбайна в год,%</t>
  </si>
  <si>
    <t>Стоимость комбайна</t>
  </si>
  <si>
    <t>Проверка применимости комбайна</t>
  </si>
  <si>
    <t>Тип применяемого угольного комбайна(1 - 2ГШ68Б, 2-РКУ10, 3-РКУ13, 4-РКУ16, 5-1ГШ68, 6-1ГШ68Е; 7 - 1К103, 8-КА80; 9 - КШ1КГ, 10-2К52МУ; 11 - 1К101, 12-1К101У; 13 - МК67М.</t>
  </si>
  <si>
    <t>Стоимость стойки  СПУТНИК грн/шт</t>
  </si>
  <si>
    <t>Месячный процент потерь стоек СПУТНИК</t>
  </si>
  <si>
    <t>Стоимость  стойки  ОКУ грн/шт</t>
  </si>
  <si>
    <t>Месячный процент потерь стоек ОКУ</t>
  </si>
  <si>
    <t>Расстояние между гидродамкратами, м</t>
  </si>
  <si>
    <r>
      <t>Способ подготовки комбайна к выемке следующей полосы -</t>
    </r>
    <r>
      <rPr>
        <sz val="12"/>
        <color indexed="10"/>
        <rFont val="Times New Roman"/>
        <family val="1"/>
        <charset val="204"/>
      </rPr>
      <t xml:space="preserve"> смотри таблицу!!!!</t>
    </r>
  </si>
  <si>
    <t>1-При работе по односторонней схеме без зарубки в пласт способом косых заездов, 2-При работе по односторонней схеме с зарубкой в пласт способом косых заездов</t>
  </si>
  <si>
    <t>схема работы комбайна (2 - челноковая, 1- одностор)</t>
  </si>
  <si>
    <t>скорость комбайна при перегоне, м/мин</t>
  </si>
  <si>
    <t>время приема-сдачи смены, мин</t>
  </si>
  <si>
    <t>время концевых операций на цик, мин</t>
  </si>
  <si>
    <t>Расположение верхняков (1-треугольное; 2-прямолинейное)</t>
  </si>
  <si>
    <t>Тип верхняка(1-с опорой,2-без опоры)</t>
  </si>
  <si>
    <t>Тип посадочной крепи(1-Спутник, 2-ОКУ)</t>
  </si>
  <si>
    <t xml:space="preserve">Колличество взрываний на концевых участках лавы </t>
  </si>
  <si>
    <t>Категория пород А по обрушаемости (по ДонУГИ) 1-А1,2-А2,3-А3,4-А4,А5</t>
  </si>
  <si>
    <t>удельный расход эмульсии, кг/месяц</t>
  </si>
  <si>
    <t>Стоимость крепи сопряжения лавы и штрека, грн</t>
  </si>
  <si>
    <t>Месячный процент потерь гидростоек</t>
  </si>
  <si>
    <t>Месячный процент потерь верхняков</t>
  </si>
  <si>
    <t>мощность электросверла, квт</t>
  </si>
  <si>
    <t>коэф  балансовая стоимость оборудования</t>
  </si>
  <si>
    <t>годовая норма амортизации отбойного молотка</t>
  </si>
  <si>
    <t>годовая норма амортизации электросверла</t>
  </si>
  <si>
    <t>срок службы самоспасателя, месяц</t>
  </si>
  <si>
    <t>срок сллужбы светильника, месяц</t>
  </si>
  <si>
    <t>срок службы респиратора, месяц</t>
  </si>
  <si>
    <t>срок службы спецодежды, месяц</t>
  </si>
  <si>
    <t>срок службы кабеля, месяц</t>
  </si>
  <si>
    <t>стоимость самоспасателя, грн</t>
  </si>
  <si>
    <t>стоимость светильника, грн</t>
  </si>
  <si>
    <t>стоимость респиратора, грн</t>
  </si>
  <si>
    <t>Месячный процент потерь гидродомкратов, %</t>
  </si>
  <si>
    <t>Стоимость гидродомкрата передвижки, грн</t>
  </si>
  <si>
    <t>Стоимость верхняка  шарнирного грн/шт</t>
  </si>
  <si>
    <t>Стоимость приобретения отбойного молотка, грн</t>
  </si>
  <si>
    <t>Норма расхода пик для отбойного молотка в месяц, шт</t>
  </si>
  <si>
    <t>Стоимость пики для отбойного молотка, грн</t>
  </si>
  <si>
    <t>Норма расхода резцов для электосверла в месяц, шт</t>
  </si>
  <si>
    <t>Стоимость резца для электросверла, грн/шт</t>
  </si>
  <si>
    <t>Стоимость приобретения электросверла, грн</t>
  </si>
  <si>
    <t>стоимость комплекта спецодежды, грн</t>
  </si>
  <si>
    <t>Стоимость приобретения эмульсии, грн/кг</t>
  </si>
  <si>
    <t>коэф дорлат за работу ночью</t>
  </si>
  <si>
    <t>Численность ГРОЗ в ремонтную смену</t>
  </si>
  <si>
    <t>Плотность расположения шпуров в нише (1,8-2,4), шпур/м2 Только при БВР</t>
  </si>
  <si>
    <t>размеры верхняка-бруса:  толщина, м</t>
  </si>
  <si>
    <t>размеры верхняка-бруса:  ширина, м</t>
  </si>
  <si>
    <t>масса ВВ в шпуре, кг</t>
  </si>
  <si>
    <t>размер заходки при проведении ниши БВР, м</t>
  </si>
  <si>
    <t xml:space="preserve">кол-во взрываний на концевых участках лавы за сутки </t>
  </si>
  <si>
    <t>Способ выемки ниши (1-ОМ, 2-БВР) Если пласт опасен по выбросам - только отбойный молоток</t>
  </si>
  <si>
    <t>Плотность расположения увлажняющих шпуров, шт/м2</t>
  </si>
  <si>
    <t>Длина верхней ниши, м</t>
  </si>
  <si>
    <t>Способ транспотритовки угля от погрузочного пункта ( 1- конвейер, 2- локомотивная откатка)</t>
  </si>
  <si>
    <t xml:space="preserve">Ширина захвата комбайна, м </t>
  </si>
  <si>
    <t>Сут добыча участка</t>
  </si>
  <si>
    <t>Категория угля по буримости(IV-1,V-2,VI-3,VII-4,VIII-5) Только при БВР</t>
  </si>
  <si>
    <t>Показатель устойчивости кровли (1-устойчивая, 2-неустойчивая)</t>
  </si>
  <si>
    <t xml:space="preserve"> 5-При работе по челноковой схеме заездами, когда при выемке первой и второй полос комбайн проходит участок по выемке, затем этот же участок по зачистке и снова этот же участок на холостом ходу с зарубкой в пласт способом косых заездов</t>
  </si>
  <si>
    <t>Волнистость  почвы пласта (1-спокойная, 2-волнистая)</t>
  </si>
  <si>
    <t>4-При работе по челноковой схеме заездами, когда при выемке первой и второй полос комбайн проходит участок по выемке, затем этот же участок по зачистке и снова этот же участок на холостом ходу,</t>
  </si>
  <si>
    <t>Категория пород кровли по устойчивости нижнего слоя (номер категории Б по ДонУГИ)</t>
  </si>
  <si>
    <t>Наличие твердых включений сидерита, колчедана (1-да, 0-нет)</t>
  </si>
  <si>
    <t>2-с демонтажом-монтажем погрузочного устройства и зарубкой в пласт способом косых заездов</t>
  </si>
  <si>
    <t>Плотность угля</t>
  </si>
  <si>
    <t>Суммарная мощность породных прослойков</t>
  </si>
  <si>
    <t>Способ подготовки комбайна к выемке следующей полосы</t>
  </si>
  <si>
    <t>Природные условия</t>
  </si>
  <si>
    <t>Установление удельных затрат по очистным работам  Комбайн и индивидуальная крепь</t>
  </si>
  <si>
    <t>?????</t>
  </si>
  <si>
    <t>Категория пород по устойчивости нижнего слоя В</t>
  </si>
  <si>
    <t xml:space="preserve">Тип комбайна </t>
  </si>
  <si>
    <t>Производительность комбайна  при Ар=100</t>
  </si>
  <si>
    <t>Производительность комбайна  при Ар=300</t>
  </si>
  <si>
    <t>Расположение исполнительных органов 1 - одностороннее  2 - симметричное</t>
  </si>
  <si>
    <t>Ширина захвата,  min, м</t>
  </si>
  <si>
    <t>СП2250</t>
  </si>
  <si>
    <t>Сколько типов комбайнов может применяться в данных условиях</t>
  </si>
  <si>
    <t>Введите в столбце А  данные о типе комбайна и его  номере в таблице комбайнов</t>
  </si>
  <si>
    <t xml:space="preserve">Верхняки типа ВВ30  (длина 0,8 м, 1,0 м, 1,26 м) применяются с опорой, толщина верхняка 40 мм. </t>
  </si>
  <si>
    <t xml:space="preserve"> (смотри формулу в строке</t>
  </si>
  <si>
    <t xml:space="preserve">метра </t>
  </si>
  <si>
    <t xml:space="preserve">Введите в закрашенные ячейки данные о скребковых конвейерах в транспортной цепи участка (до 2 штук) </t>
  </si>
  <si>
    <t>1Л80УК</t>
  </si>
  <si>
    <t xml:space="preserve">       Скорость ленты, м/с</t>
  </si>
  <si>
    <t>Ширина ленты, мм</t>
  </si>
  <si>
    <t xml:space="preserve">Над конвейернй головкой кровля крепится металлическими балками размером, м  </t>
  </si>
  <si>
    <t>При перевидвижке конвейера меллическая индивидуальная крепь за конвейером извлекается и заменяется комплекиами индивидуальной крепи - 3 деревянные стойки под распил динной , м</t>
  </si>
  <si>
    <t>выб</t>
  </si>
  <si>
    <t>мощность</t>
  </si>
  <si>
    <t xml:space="preserve">   Это один из основных вопросов проектирования шахты. Нам выделены запасы, мы определились с величиной </t>
  </si>
  <si>
    <t>производственной мощности шахты.  Но основная задача проектирования - иметь шахту, которая обеспечит</t>
  </si>
  <si>
    <t>наиболее выгодную ее работу, т.е. шахту с наименьшей величиной себестоимости добычи угля.</t>
  </si>
  <si>
    <t>А это может быть достигнуто только при условии выбора наиболее эффективной технологии добычи.</t>
  </si>
  <si>
    <t xml:space="preserve">наиболее эффективная организация работ по добыче угля, наиболее эффетивный способ подготовки пласта и наиболее </t>
  </si>
  <si>
    <t>эффективный вариант вскрытия шахтного поля.</t>
  </si>
  <si>
    <t xml:space="preserve">  Последовательность выполнения этих  требований на первом, ознакомительном, уровне следующая.</t>
  </si>
  <si>
    <t xml:space="preserve">     - решается вопрос оснащения очистных забоев, т.е. выбор выемочной техники (механизированный комбайновый комплекс</t>
  </si>
  <si>
    <t xml:space="preserve">     -  установление при выбранном оборудовании лавы величины суточной добычи лавы и ее длины.</t>
  </si>
  <si>
    <t xml:space="preserve">      - определиться с технологической схемой работ на выемочном участке, т.е. с системой разработки</t>
  </si>
  <si>
    <t xml:space="preserve">     -  установить оптимальные параметры технологической схемы выемочного участка (податливость  крепи выработок, </t>
  </si>
  <si>
    <t xml:space="preserve">     -  вычислить необходимое количество рабочих по профессиям, которые обеспечат получение планируемой добычи.</t>
  </si>
  <si>
    <t xml:space="preserve">             вычертить основные элементы паспорта крепления и управления кровлей в лаве.</t>
  </si>
  <si>
    <t xml:space="preserve">     -  проведенные  вычисления позволят определиться с порядком разработки плавсов, вычислить количество лав, которое</t>
  </si>
  <si>
    <t xml:space="preserve">             обеспечит выполнение проектной мощности шахты.</t>
  </si>
  <si>
    <t xml:space="preserve">     - далее решаются вопросы вскрытоия шахтного поля и его подготовки. Проводятся соответствующие графические построения.</t>
  </si>
  <si>
    <t>Установление удельных затрат по очистным работам  Комбайн и механизированная крепь</t>
  </si>
  <si>
    <t>Выемка угля в нише  (все операции)</t>
  </si>
  <si>
    <t>Трудоемкость, чел см/цикл  (БВР)</t>
  </si>
  <si>
    <t>Номер принятого способа охраны</t>
  </si>
  <si>
    <t>Извлечение комплекта арочной крепи в  вентиляционном   штреке</t>
  </si>
  <si>
    <t>Общая трудоемкость на верхнем концевом участке,чел см/цикл</t>
  </si>
  <si>
    <t>После прохода лавы штрек погашается. Расстояние меду рамками крепи в штреке 1,0 м, ширина захвата комбайна 0.8 м. Сколько комплектов крепи в штреке необходимо извлечь за сутки, если за сутки в лаве выполняется 5 циклов?</t>
  </si>
  <si>
    <t>Номер принятого конвейера</t>
  </si>
  <si>
    <t>Осмотр комбайна, кoнвейера, выравнивание и т.п. ГРОЗ</t>
  </si>
  <si>
    <t>Выемка угля комбайном, т</t>
  </si>
  <si>
    <t>Оформление забоя и передвижка конвейера</t>
  </si>
  <si>
    <t>Крепление в лаве (все операции)</t>
  </si>
  <si>
    <t>Управление кровлей (все операции)</t>
  </si>
  <si>
    <t>Следует иметь в виду, что по данной программе можно вычислить штат рабочих только для комбайновой лавы</t>
  </si>
  <si>
    <t xml:space="preserve">Данные смотрите в строке </t>
  </si>
  <si>
    <t xml:space="preserve">                    Одну из этих таблиц перенесите в текст пояснительной записки !!!</t>
  </si>
  <si>
    <t>расчета штата.   Данные с колонке "В смену принять" вычислите исходя из принятого в проекте числа рабочих смен.</t>
  </si>
  <si>
    <t>Время работы  комбайна в сутки, мин</t>
  </si>
  <si>
    <t xml:space="preserve">                        Исходные данные необходимо перенести в текст пояснительной записки</t>
  </si>
  <si>
    <t xml:space="preserve">                       Рис 5         Совмещенный график влияния длины лавы на величину нагрузки на лаву</t>
  </si>
  <si>
    <t xml:space="preserve">        Вами  уже принято оборудование для лав, система разработки, определена длина лавы и нагрузка на лаву. Теперь необходимо уточнить, т.е. принять наиболее целесообразные параметры технологии работ на выемочном участке.</t>
  </si>
  <si>
    <t xml:space="preserve">           К  исследуемым параметрам относятся:</t>
  </si>
  <si>
    <t>1. Способ проведения участковых выработок (комбайн или БВР)</t>
  </si>
  <si>
    <t xml:space="preserve">    При этом следует иметь в виду, что если транспортная выработка будет использована повторно в качестве вентиляционной, то податливость вентиляционной выработки должна быть равна податливости транспортной выработки.</t>
  </si>
  <si>
    <t xml:space="preserve">           Вычисления выполняются в специальной компьютерной программе "Оптимизация".  Программа содержит необходимые рекомендации по выбору параметров.</t>
  </si>
  <si>
    <t>14.1   Способ проведения участковых подготовительных выработок</t>
  </si>
  <si>
    <t>14.4   Способ охраны участковой транспортной выработки</t>
  </si>
  <si>
    <t>14.5   Способ охраны участковой вентиляционной выработки</t>
  </si>
  <si>
    <t>14.6   Вспомогательный участковый транспорт</t>
  </si>
  <si>
    <t>Все таблицы   и графики перенести в текст пояснительной записки!</t>
  </si>
  <si>
    <t xml:space="preserve">    Таблицу перенести в текст пояснительной записки</t>
  </si>
  <si>
    <t xml:space="preserve">           Штат рабочих лавы вычисляется по специальной компьютерной программе в зависимости от принятого оборудования лавы.   Для пользования программой Вам потребуется правильно ответить на ряд вопросов, касающихся принципов расчета штата.</t>
  </si>
  <si>
    <t xml:space="preserve">          Пользуйтесь указателем - какой из нижеприведенных таблиц  можно пользоваться!</t>
  </si>
  <si>
    <t xml:space="preserve">  -  Размер выемочного участка, м</t>
  </si>
  <si>
    <t xml:space="preserve">     -  Участковые подготовительные выработки</t>
  </si>
  <si>
    <t xml:space="preserve"> -  Подготавливающие выработки</t>
  </si>
  <si>
    <t xml:space="preserve">  -   Направление грузопотоков и воздушной струи по выработкам</t>
  </si>
  <si>
    <t xml:space="preserve"> -  Размер шахтного поля по простиранию, м</t>
  </si>
  <si>
    <t xml:space="preserve">  -   Размер по падению уклонной ступени шахтного поля, м.  На чертеже показывается истинный размер, но изображается проекция на горизонтальную плоскость, поэтому размер на чертеже должен составлять, м</t>
  </si>
  <si>
    <t xml:space="preserve">  -   Способ подготовки пласта</t>
  </si>
  <si>
    <t xml:space="preserve">  -   Количество работающих очистных забоев (действующих и резервнодействующих) по шахте</t>
  </si>
  <si>
    <t xml:space="preserve">   Чертеж выполняется с соблюдением масштабных сотношений. Масштаб - произвольныйи,  графически указывается на чертеже. Горные выработки изображаются одной толстой линией, границы между выемочными участками (полосами) указываются тонкой линией.  Простановка размеров - обязательна!</t>
  </si>
  <si>
    <t xml:space="preserve">                            Порядок работы с программой</t>
  </si>
  <si>
    <t>1. Работа ведется только с листом программы "kursovoy"</t>
  </si>
  <si>
    <t>2. В процессе работы периодически необходимо сохранять файл.</t>
  </si>
  <si>
    <t xml:space="preserve">     о переходе на другую строку</t>
  </si>
  <si>
    <t xml:space="preserve">3. При работе строго следовать указаниям: ссылки на переход к другим разделаам, указания </t>
  </si>
  <si>
    <t xml:space="preserve">4.  Все задание должно быть выполнено до конца.  В конце программы следовать указаниям </t>
  </si>
  <si>
    <t xml:space="preserve">      об открытии файла "Пояснительная записка".  Необходимо возвратиться в начало программы,</t>
  </si>
  <si>
    <t xml:space="preserve">      сохранить файл и открыть файл "Пояснительная записка".</t>
  </si>
  <si>
    <t>5.  В этом файле есть указания о переносе из программы рисунков, таблиц, текста.</t>
  </si>
  <si>
    <t xml:space="preserve">      Переносить требуемое необходимо строго следуя указаниям.</t>
  </si>
  <si>
    <t xml:space="preserve">                    Вам все понятно (1 - да, 2 - нет)</t>
  </si>
  <si>
    <t>ПРОДОЛЖАЕМ РАБОТУ</t>
  </si>
  <si>
    <t>Эту таблицу необходимо перенести в текст пояснительной записки к проекту. (после окончания работы!)</t>
  </si>
  <si>
    <t>в пределах 30 - 40 лет.</t>
  </si>
  <si>
    <t>В общем - это наиболее эффектимная механизация выемки угля, наиболее эффективная система разработки угольных пластов,</t>
  </si>
  <si>
    <t xml:space="preserve">        или угольный комбайн с индивидуальной крепью в лаве).</t>
  </si>
  <si>
    <t xml:space="preserve">         способ охраны участковых выработок, вид вспомогательного транспорта на участке, способ охраны подготавливающих выработок,</t>
  </si>
  <si>
    <t xml:space="preserve">             Эти вычисления позволят Вам графически, с размерами, вычертить как сзему выработок выемочного участка, так и</t>
  </si>
  <si>
    <t>шахтного поля по простиранию (как правило не более 3000 - 4000 м ) и при количестве работающих</t>
  </si>
  <si>
    <t xml:space="preserve">    В данной программе  рассмотрены толькл варианты комбайновой выемки!!!</t>
  </si>
  <si>
    <r>
      <t xml:space="preserve">с помощью компьютерной программы </t>
    </r>
    <r>
      <rPr>
        <b/>
        <i/>
        <sz val="12"/>
        <color indexed="12"/>
        <rFont val="Times New Roman"/>
        <family val="1"/>
        <charset val="204"/>
      </rPr>
      <t xml:space="preserve">komplex.xls.  </t>
    </r>
  </si>
  <si>
    <r>
      <t xml:space="preserve">3. </t>
    </r>
    <r>
      <rPr>
        <b/>
        <sz val="12"/>
        <rFont val="Times New Roman"/>
        <family val="1"/>
        <charset val="204"/>
      </rPr>
      <t>В случае</t>
    </r>
    <r>
      <rPr>
        <sz val="12"/>
        <rFont val="Times New Roman"/>
        <family val="1"/>
        <charset val="204"/>
      </rPr>
      <t xml:space="preserve">, если применение в заданных условиях механизированного комплекса </t>
    </r>
  </si>
  <si>
    <r>
      <t xml:space="preserve">   </t>
    </r>
    <r>
      <rPr>
        <b/>
        <sz val="12"/>
        <rFont val="Times New Roman"/>
        <family val="1"/>
        <charset val="204"/>
      </rPr>
      <t xml:space="preserve"> невозможно</t>
    </r>
    <r>
      <rPr>
        <sz val="12"/>
        <rFont val="Times New Roman"/>
        <family val="1"/>
        <charset val="204"/>
      </rPr>
      <t xml:space="preserve">, следует принять решение о способе выемки угля в лаве с индивидуальной </t>
    </r>
  </si>
  <si>
    <t xml:space="preserve">    крепью, т.е.или выбрать тип комбайна и конвейера.</t>
  </si>
  <si>
    <r>
      <t>1 Возможно ли в данных условиях применение</t>
    </r>
    <r>
      <rPr>
        <b/>
        <sz val="12"/>
        <rFont val="Times New Roman"/>
        <family val="1"/>
        <charset val="204"/>
      </rPr>
      <t xml:space="preserve"> механизированного комплекса</t>
    </r>
    <r>
      <rPr>
        <sz val="12"/>
        <rFont val="Times New Roman"/>
        <family val="1"/>
        <charset val="204"/>
      </rPr>
      <t>? С этого нужно начинать !</t>
    </r>
  </si>
  <si>
    <t xml:space="preserve">       Внимание!!!   В данном варианте программы струговая выемка не рассматривается !!!</t>
  </si>
  <si>
    <r>
      <t xml:space="preserve">Какую технологию выемки угля в лаве вы предлагаете в проекте:  комбайновая - 1, </t>
    </r>
    <r>
      <rPr>
        <b/>
        <sz val="12"/>
        <color rgb="FF0070C0"/>
        <rFont val="Arial Cyr"/>
        <charset val="204"/>
      </rPr>
      <t>или струговая - 2</t>
    </r>
  </si>
  <si>
    <t xml:space="preserve"> удалите записи   от строки</t>
  </si>
  <si>
    <t xml:space="preserve">9. В приведенной ниже таблице "Таблица возможных к применению в заданных условиях комбайнов и конвейеров в лаве " </t>
  </si>
  <si>
    <t>Ответ, в принципе один - получить как можно большую нагрузку на лаву и как можно меньшую себестоимость</t>
  </si>
  <si>
    <t xml:space="preserve">       Схема к расчету размеров ниши</t>
  </si>
  <si>
    <t>Номер в списке</t>
  </si>
  <si>
    <t xml:space="preserve">   Напоминаю, Вами принят комбайн с номером</t>
  </si>
  <si>
    <t>Пр-ность, т/час</t>
  </si>
  <si>
    <t xml:space="preserve">Данные о типах ленточных конвейеров приведены в таблице  </t>
  </si>
  <si>
    <t>Необходимо принять такую длину лавы, чтобы нагрузка на лаву не ограничена факторм ее проветривания!</t>
  </si>
  <si>
    <t xml:space="preserve">Поскольку это количество метана не должно превышать 1% относительно количества воздуха, </t>
  </si>
  <si>
    <r>
      <t xml:space="preserve">раз, где </t>
    </r>
    <r>
      <rPr>
        <b/>
        <sz val="12"/>
        <rFont val="Times New Roman"/>
        <family val="1"/>
        <charset val="204"/>
      </rPr>
      <t>kн</t>
    </r>
    <r>
      <rPr>
        <sz val="12"/>
        <rFont val="Times New Roman"/>
        <family val="1"/>
        <charset val="204"/>
      </rPr>
      <t xml:space="preserve"> - коэффициент неравномерности газовыделения, который, в свою очередь, зависит </t>
    </r>
  </si>
  <si>
    <r>
      <t xml:space="preserve">Понятно, что за каждую секунду через свободное сечение лавы пройдет количество воздуха  </t>
    </r>
    <r>
      <rPr>
        <b/>
        <sz val="12"/>
        <rFont val="Times New Roman"/>
        <family val="1"/>
        <charset val="204"/>
      </rPr>
      <t xml:space="preserve">Qc  </t>
    </r>
  </si>
  <si>
    <r>
      <t>от</t>
    </r>
    <r>
      <rPr>
        <b/>
        <sz val="12"/>
        <rFont val="Times New Roman"/>
        <family val="1"/>
        <charset val="204"/>
      </rPr>
      <t xml:space="preserve"> А</t>
    </r>
    <r>
      <rPr>
        <sz val="12"/>
        <rFont val="Times New Roman"/>
        <family val="1"/>
        <charset val="204"/>
      </rPr>
      <t xml:space="preserve">.  Воздух в количестве </t>
    </r>
    <r>
      <rPr>
        <b/>
        <sz val="12"/>
        <rFont val="Times New Roman"/>
        <family val="1"/>
        <charset val="204"/>
      </rPr>
      <t>Qc*kн</t>
    </r>
    <r>
      <rPr>
        <sz val="12"/>
        <rFont val="Times New Roman"/>
        <family val="1"/>
        <charset val="204"/>
      </rPr>
      <t xml:space="preserve"> пороходит через свободное сечение лавы </t>
    </r>
    <r>
      <rPr>
        <b/>
        <sz val="12"/>
        <rFont val="Times New Roman"/>
        <family val="1"/>
        <charset val="204"/>
      </rPr>
      <t>F</t>
    </r>
    <r>
      <rPr>
        <sz val="12"/>
        <rFont val="Times New Roman"/>
        <family val="1"/>
        <charset val="204"/>
      </rPr>
      <t xml:space="preserve"> и при этом его </t>
    </r>
  </si>
  <si>
    <r>
      <t>скорость</t>
    </r>
    <r>
      <rPr>
        <b/>
        <sz val="12"/>
        <rFont val="Times New Roman"/>
        <family val="1"/>
        <charset val="204"/>
      </rPr>
      <t xml:space="preserve"> V </t>
    </r>
    <r>
      <rPr>
        <sz val="12"/>
        <rFont val="Times New Roman"/>
        <family val="1"/>
        <charset val="204"/>
      </rPr>
      <t xml:space="preserve">не должна превышать 4 м/с.  Из сказанного следует, что соблюдение требований по </t>
    </r>
  </si>
  <si>
    <r>
      <t xml:space="preserve">величину суточной добычи лавы. Поступление метана в лаву из источников </t>
    </r>
    <r>
      <rPr>
        <b/>
        <sz val="12"/>
        <rFont val="Times New Roman"/>
        <family val="1"/>
        <charset val="204"/>
      </rPr>
      <t>q2</t>
    </r>
    <r>
      <rPr>
        <sz val="12"/>
        <rFont val="Times New Roman"/>
        <family val="1"/>
        <charset val="204"/>
      </rPr>
      <t xml:space="preserve">   и   </t>
    </r>
    <r>
      <rPr>
        <b/>
        <sz val="12"/>
        <rFont val="Times New Roman"/>
        <family val="1"/>
        <charset val="204"/>
      </rPr>
      <t>q3</t>
    </r>
    <r>
      <rPr>
        <sz val="12"/>
        <rFont val="Times New Roman"/>
        <family val="1"/>
        <charset val="204"/>
      </rPr>
      <t xml:space="preserve">  зависит от</t>
    </r>
  </si>
  <si>
    <t xml:space="preserve">   Если величина нагрузки на лаву ограничивается возможностями ее проветривания и при этом точка пересечения кривых </t>
  </si>
  <si>
    <t xml:space="preserve"> Учитывая значительные затраты на проведение мероприятий по дегазации пласта или выработанного пространства </t>
  </si>
  <si>
    <t>10 м3/т применение дегазации не эффективно.</t>
  </si>
  <si>
    <t xml:space="preserve">считается, что при газоносности пласта менее 10 м3/т с.б.м или газовыделении из выработанного пространства менее </t>
  </si>
  <si>
    <r>
      <t xml:space="preserve">         Какое решение Вы принимаете?  </t>
    </r>
    <r>
      <rPr>
        <sz val="12"/>
        <color indexed="10"/>
        <rFont val="Arial Cyr"/>
        <charset val="204"/>
      </rPr>
      <t>Имейте в виду</t>
    </r>
    <r>
      <rPr>
        <sz val="12"/>
        <rFont val="Arial Cyr"/>
        <charset val="204"/>
      </rPr>
      <t>, что дегазация пласта возможна не при всех вариантах системы разработки!!!</t>
    </r>
  </si>
  <si>
    <r>
      <t xml:space="preserve">участковых выработок так же влияет на величину нагрузки и др.)  </t>
    </r>
    <r>
      <rPr>
        <b/>
        <i/>
        <sz val="12"/>
        <color indexed="10"/>
        <rFont val="Arial Cyr"/>
        <family val="2"/>
        <charset val="204"/>
      </rPr>
      <t xml:space="preserve"> В этом случае Вам необходимо возвратиться к пункту 3.1 </t>
    </r>
  </si>
  <si>
    <t>от 4.1 до 4.5 и продолжить работу от пункта 3.6 включительно!!!</t>
  </si>
  <si>
    <t xml:space="preserve"> выполнения работы, т.е. к описанию нового варианта системы разработки и выполнить все пункты программы </t>
  </si>
  <si>
    <t xml:space="preserve">                   Примечание:</t>
  </si>
  <si>
    <t>на рисунке соответствует длине лавы меньшей, чем указано выше, возможны следующие пути преодоления этого фактора:</t>
  </si>
  <si>
    <t>Номер принятого способа транспорта</t>
  </si>
  <si>
    <t>Объем работ по выемке угля комбайном  за одну смену составляет 400 тонн, табличное значение нормы выработки  500 тонн,  Величина поправочного коэффициента к норме выработки 0,8. Какая трудоемкось выемки угля?</t>
  </si>
  <si>
    <t>Принятый размер выемочного участка, м</t>
  </si>
  <si>
    <t>Таким образом, размер выемочного участка по длине лавы составляет</t>
  </si>
  <si>
    <t>Участковая транспортная выработка 1 - проводится за лавой, 2 - проведена ранее</t>
  </si>
  <si>
    <t xml:space="preserve">                  Таким образом в проекте принято:</t>
  </si>
  <si>
    <t>Схема подготовки шахтного поля</t>
  </si>
  <si>
    <t>Схема вскрытия</t>
  </si>
  <si>
    <r>
      <t xml:space="preserve">На сколько выемочных ступеней Вы предлагаете разделить шахтное поле? </t>
    </r>
    <r>
      <rPr>
        <b/>
        <sz val="12"/>
        <rFont val="Times New Roman"/>
        <family val="1"/>
        <charset val="204"/>
      </rPr>
      <t xml:space="preserve"> Nст   (не более 4 !!!)</t>
    </r>
  </si>
  <si>
    <t>Данные для вычерчивания схемы вскрытия</t>
  </si>
  <si>
    <t xml:space="preserve"> но на чертеже представить его графически).</t>
  </si>
  <si>
    <t xml:space="preserve">   Эти данные перенести в текст пояснительной записки. Чертеж выполнить в масштабе (произвольном, </t>
  </si>
  <si>
    <t xml:space="preserve">  Формат листа - А4. Последовательность действий указана выше.</t>
  </si>
  <si>
    <t xml:space="preserve"> 1 - если экономические условия не являются определяющими, необходимо прежде всего</t>
  </si>
  <si>
    <t>гидрост</t>
  </si>
  <si>
    <t>верхня</t>
  </si>
  <si>
    <t>дл верх</t>
  </si>
  <si>
    <t>посадоч</t>
  </si>
  <si>
    <t>Условный номер принятого оборудования (1 - индивидуальная крепь, 3 - мехкрепь)</t>
  </si>
  <si>
    <t xml:space="preserve">  Таким образом, исходя из принятой системы разработки, на основании анализа размеров комбайна и расположения исполнительных органов комбайна в проекте приняты следующие параметры ниш</t>
  </si>
  <si>
    <t>Способ выемки угля в нишах</t>
  </si>
  <si>
    <t>Наличие механизированной крепи сопряжения</t>
  </si>
  <si>
    <r>
      <t>Сечение выработки, м</t>
    </r>
    <r>
      <rPr>
        <vertAlign val="superscript"/>
        <sz val="12"/>
        <rFont val="Times New Roman"/>
        <family val="1"/>
        <charset val="204"/>
      </rPr>
      <t>2</t>
    </r>
  </si>
  <si>
    <t xml:space="preserve">    Вентиляционная выработка  1- это повторно используемая транспортная, 2 - вновь проводимая</t>
  </si>
  <si>
    <t>погашаемость вент выр-ки   1 - да   0 - нет</t>
  </si>
  <si>
    <t xml:space="preserve">Удельные затраты, руб./т, </t>
  </si>
  <si>
    <t xml:space="preserve">Удельные затраты, руб/т, </t>
  </si>
  <si>
    <t>Сооружение средств охраны участковых выработок</t>
  </si>
  <si>
    <t xml:space="preserve">   Пример выполнения технологической схемы выемочного участка</t>
  </si>
  <si>
    <t xml:space="preserve">    1. Панельная подготовка</t>
  </si>
  <si>
    <t>2. Погоризонтная подготовка</t>
  </si>
  <si>
    <t xml:space="preserve">                      (это только пример !!!!)</t>
  </si>
  <si>
    <t xml:space="preserve">  Пример положения крепи в комплексно механизированной лаве</t>
  </si>
  <si>
    <t xml:space="preserve">              Пример сопряжения лавы с транспортной выработкой - план</t>
  </si>
  <si>
    <t>Пример сопряжения лавы с транспортной выработкой - разрез</t>
  </si>
  <si>
    <t xml:space="preserve"> 1.     вычертить план лавы с указанием размеров лавы и комбайновых ниш;</t>
  </si>
  <si>
    <t xml:space="preserve"> 3.   вычертить сопряжение лавы с транспортной выработкой в плане и в разрезе;</t>
  </si>
  <si>
    <t>СРАВНИТЬ С РАСЧЕТОМ !!!!!!</t>
  </si>
  <si>
    <t xml:space="preserve">                  Выполненный проект сдается преподавателю для проверки!</t>
  </si>
  <si>
    <t xml:space="preserve">Ниже приведены примеры выполнения планограммы работ </t>
  </si>
  <si>
    <t>1. Механизированная крепь, 2 цикла в смену</t>
  </si>
  <si>
    <t>1. Механизированная крепь, 1  цикл в смену</t>
  </si>
  <si>
    <r>
      <t xml:space="preserve">  В данном случае срезнее значение коэффициента резерва составляет </t>
    </r>
    <r>
      <rPr>
        <b/>
        <sz val="12"/>
        <rFont val="Times New Roman"/>
        <family val="1"/>
        <charset val="204"/>
      </rPr>
      <t>kpcp</t>
    </r>
  </si>
  <si>
    <t>Количество выемочных ступеней в шахтном поле</t>
  </si>
  <si>
    <t>4.3 Технология работ на сопряжении лавы с подготовительными выработками</t>
  </si>
  <si>
    <t>4.7    Параметры технологии работ на выемочном участке</t>
  </si>
  <si>
    <t>5    Технологическая схема выемочного участка</t>
  </si>
  <si>
    <t>6  Очистные работы</t>
  </si>
  <si>
    <t>6.1 Технология очистных работ. Паспорт крепления и управления кровлей</t>
  </si>
  <si>
    <t xml:space="preserve">6.2   Расчет штата рабочих лавы.  </t>
  </si>
  <si>
    <t xml:space="preserve">   6.3    Организация работ в лаве </t>
  </si>
  <si>
    <t>6.4  Мероприятия по безопасному ведению очистных работ</t>
  </si>
  <si>
    <t xml:space="preserve">                7.    Последовательность разработки пластов</t>
  </si>
  <si>
    <t xml:space="preserve"> 7.1   Нагрузка на лаву и количество лав по одновременно разрабатываемым пластам</t>
  </si>
  <si>
    <t xml:space="preserve">       7.2                  Действующие и резервно-действующие лавы</t>
  </si>
  <si>
    <t xml:space="preserve">         8.   Вскрытие шахтного поля</t>
  </si>
  <si>
    <t xml:space="preserve">               9.       Подготовка шахтного поля</t>
  </si>
  <si>
    <t xml:space="preserve">                                             10. Выводы (Заключение)</t>
  </si>
  <si>
    <t>Исследуемый параметр</t>
  </si>
  <si>
    <t>"Среднее" значение</t>
  </si>
  <si>
    <t>Оптимальное значение</t>
  </si>
  <si>
    <t>Способ проведения участковых выработок</t>
  </si>
  <si>
    <t>Податливость крепи транспортной выработки, мм</t>
  </si>
  <si>
    <t>Податливость крепи вентиляцинной  выработки, мм</t>
  </si>
  <si>
    <t>Вид учатсткового вспомогательного транспорта</t>
  </si>
  <si>
    <t>1. Способ проведения участковой выработки.</t>
  </si>
  <si>
    <t xml:space="preserve">    Выработки могут проводиться с помощью комбайна или с использованием БВР. Сущность оптимизации сосотоит </t>
  </si>
  <si>
    <t>составляет амортизация комбайна. Но эта величина зависит от скорости проведения выработки-</t>
  </si>
  <si>
    <t xml:space="preserve">Сущность оптимизации состоит в следующем.  Чем больше подаливость крепи, тем больше сечение выработки, </t>
  </si>
  <si>
    <t xml:space="preserve"> следовательно - больше затраты на проведение выработки. Но, чем больше податливость, тем реже необходимо </t>
  </si>
  <si>
    <t xml:space="preserve">перекреплять выработку (а можез  и обойтись без перекрепления). Это значит, что с увеличением податливости крепи </t>
  </si>
  <si>
    <t xml:space="preserve">затраты на поддержание выработки уменьшаются.  В таком сучае сумма затрат на проведение и поддержание выработки  </t>
  </si>
  <si>
    <t>и есть оптимальная.</t>
  </si>
  <si>
    <t xml:space="preserve"> при определенной величине податливости крепи может быть наименьшей из возможных. Такая величина податливости </t>
  </si>
  <si>
    <t xml:space="preserve">зможно применение </t>
  </si>
  <si>
    <r>
      <t xml:space="preserve">   </t>
    </r>
    <r>
      <rPr>
        <sz val="12"/>
        <rFont val="Arial Cyr"/>
        <charset val="204"/>
      </rPr>
      <t xml:space="preserve">На практике возможно применение  разных способов охраны (тумбыБЖБТ, литая полоса, различные деревянные </t>
    </r>
  </si>
  <si>
    <t xml:space="preserve">конструкции, бутовая полоса). конструкции, бутовая полоса).  Каждый из этих способов в разной степени влияет на величину </t>
  </si>
  <si>
    <t>смещений пород в выработку и, следовательно, на частоту необходимого ремонта выработки, т.е. на стоимость ее поддержания..</t>
  </si>
  <si>
    <t>Но, каждый из способов охраны требует своих затрат на выполнение этого способа охраны.</t>
  </si>
  <si>
    <t xml:space="preserve">Сущность оптимизации состоит в том, что необходимо найти такой, возможный в данных условиях, способ, при котором сумма </t>
  </si>
  <si>
    <t>затрат на поддержание выработки и затрат на сооружение средства охраны наименьшая.</t>
  </si>
  <si>
    <t xml:space="preserve"> в сравнеии затрат на проведение 1 метра выработки. При испльзовании комбайна значительную долю в себестоимости проходки</t>
  </si>
  <si>
    <t xml:space="preserve">  чем больше скорость, тем меньше затраты!  Сравнение стоимости проходки 1 м выработки проводится при уже </t>
  </si>
  <si>
    <t>скорости подвигания лавы.</t>
  </si>
  <si>
    <t xml:space="preserve">принятой скорости проведения выработки. Если выработка проводится за лавой - скорость ее проведения равна </t>
  </si>
  <si>
    <t>вспомогательного транспорта (локомотивная откатка, напочвенная рельсовая дорога,  монорельсовая дорога и др.)</t>
  </si>
  <si>
    <t xml:space="preserve">   В завимости от способа подготовки пласта (направления подвигания лавы) возможно применение различных способов </t>
  </si>
  <si>
    <t xml:space="preserve">Каждый из этих способов требует разной величины капитальных затрат на его сооружение, следовательно - имеет место </t>
  </si>
  <si>
    <t>отчислений зависит от времени отработки выемочного участка, т.е. от скорости подвигания лавы.</t>
  </si>
  <si>
    <t xml:space="preserve">разная величина  амортизационных отчислений в стоимости перевозки 1 тонны угля.  Но величина амортизационных </t>
  </si>
  <si>
    <t>добычи наименьшие.</t>
  </si>
  <si>
    <t xml:space="preserve">Сущность оптимизации состоит в выборе такого способа транспорта, при котором в данных условиях затраты на 1 тонну </t>
  </si>
  <si>
    <t xml:space="preserve">  В данном курсовом проекте необходимо оптимизировать следующие  параметры тезнологии работ на участке:</t>
  </si>
  <si>
    <t xml:space="preserve">                Переходим к выполнению раздела</t>
  </si>
  <si>
    <t xml:space="preserve">           Пример плана лавы при работе с механизированным комплексом и с индивидуальной крепью</t>
  </si>
  <si>
    <t>2.    вычертить положение крепи при работе комбайна в плане</t>
  </si>
  <si>
    <t xml:space="preserve">Заполните таблицу распределения штата рабочих по сменам. Данные в колонке "За сутки по расчету" взять из соответствующей таблицы </t>
  </si>
  <si>
    <t xml:space="preserve">На этом вычисления окончены!. </t>
  </si>
  <si>
    <t xml:space="preserve">      Далее Вам предстоит выполнить текст пояснительной записки.</t>
  </si>
  <si>
    <t>В файле "Пояснительная записка" красным цветом приведены методические указания по выполнению.</t>
  </si>
  <si>
    <t>Когда пояснительная записка выполнена, необходимо эти методические указания удалить, т.е.</t>
  </si>
  <si>
    <t>удалить все, что записано красным цветом!</t>
  </si>
  <si>
    <t xml:space="preserve">   Строки исходных данных с указанием "не вводить" - в пояснительную записку не вводить!</t>
  </si>
  <si>
    <t>расчетов по указанным формулам.</t>
  </si>
  <si>
    <t xml:space="preserve">   Эти данные внесите   в текст пояснительной записки!</t>
  </si>
  <si>
    <t>Таблицу  перенести  текст пояснительной записки !</t>
  </si>
  <si>
    <t>Рисунок  перенести  текст пояснительной записки !</t>
  </si>
  <si>
    <t xml:space="preserve">                                                                                                      ширина головки</t>
  </si>
  <si>
    <t xml:space="preserve">                                                                                                     ширина головки</t>
  </si>
  <si>
    <t>Сечение транспортной выработки, м2  (10,9, 13,4, 16,2, 18,2, 21,0  )</t>
  </si>
  <si>
    <t>Сечение вентиляционной выработки, м2   (10,9, 13,4, 16,2, 18,2, 21,0  )</t>
  </si>
  <si>
    <t>Ширина транспортной выработки, м (ориентировочно можно принять 5 м)</t>
  </si>
  <si>
    <t>Ширина вентиляционной  выработки, м (ориентировочно)</t>
  </si>
  <si>
    <t>Ширина участковой выработки в проходке, м (принята ранее)-  Вуч.тр=Вуч.вен</t>
  </si>
  <si>
    <t>Будет определен в разделе "Подготовка" !!!</t>
  </si>
  <si>
    <t>Размер целика между выемочными участками, м (согласно варианту системы разработки)</t>
  </si>
  <si>
    <t>Размер выемочного участка в направлении длины лавы, м  (вычислить!)</t>
  </si>
  <si>
    <t xml:space="preserve">    Рисунок выполнен в PAINT, его можно править в этом же формате!</t>
  </si>
  <si>
    <t xml:space="preserve">                При вычерчивании можно воспользоваться Планшетом построения чертежа (приведен в формате Paint)</t>
  </si>
  <si>
    <t>1 Случай одновременной разработки всех пластов</t>
  </si>
  <si>
    <t xml:space="preserve">   2    Случай деления пластов на группы по очередности разработки</t>
  </si>
  <si>
    <t xml:space="preserve">нагрузки на пласт число лав большое, тогда необходимо иметь большое число панелей и, следовательно, малый их </t>
  </si>
  <si>
    <t xml:space="preserve">При пальной подготовке  количество лав в одной панели, как правило, только две. Если необходимое с точки зрения </t>
  </si>
  <si>
    <t>размер при ограниченном размере шахтного поля по простиранию. Размер панели менее 2000 м нежелателен!</t>
  </si>
  <si>
    <t xml:space="preserve">   С другой стороны, работать одновременно несколько пластов и иметь по каждому пласту только одну панель</t>
  </si>
  <si>
    <t>в работе также нежелательно.</t>
  </si>
  <si>
    <t xml:space="preserve">  Исходя из этих соображений в проекте желательно рассмотреть последовательность разработки пластов.</t>
  </si>
  <si>
    <t xml:space="preserve">программой. Расчеты проведены согласно "Руководства по проектированию вентиляции угольных шахт",      </t>
  </si>
  <si>
    <t>курсе "Аэрология".  В данном проекте все сложные и громоздкие вычисления выполняются компьютерной</t>
  </si>
  <si>
    <t>на соответствующие инструкции и указания.</t>
  </si>
  <si>
    <t xml:space="preserve">громоздкие вычисления выполняются  компьтерной программой, ссылаясь </t>
  </si>
  <si>
    <t>УДК 622.272(075.8)</t>
  </si>
  <si>
    <t xml:space="preserve">МИНИСТЕРСТВО ОБРАЗОВАНИЯ И НАУКИ </t>
  </si>
  <si>
    <t>ДОНЕЦКОЙ НАРОДНОЙ РЕСПУБЛИКИ</t>
  </si>
  <si>
    <t>ГОСУДАРСТВЕННОЕ ОБРАЗОАТЕЛЬНОЕ УЧРЕЖДЕНИЕ</t>
  </si>
  <si>
    <t>ВЫСШЕГО ПРОФЕССИОНАЛЬНОГО ОБРАЗОВАНИЯ</t>
  </si>
  <si>
    <t>"ДОНЕЦКИЙ НАЦИОНАЛЬНЫЙ ТЕХНИЧЕСКИЙ УНИВЕРСИТЕТ"</t>
  </si>
  <si>
    <t xml:space="preserve">КАФЕДРА "РАЗРАБОТКА МЕСТОРОЖДЕНИЙ ПОЛЕЗНЫХ </t>
  </si>
  <si>
    <t>ИСКОПАЕМЫХ"</t>
  </si>
  <si>
    <t>СИСТЕМА АВТОМАТИЗИРОВАННОГО КУРСОВОГО</t>
  </si>
  <si>
    <t xml:space="preserve"> по дисциплине "Подземная геотехнология"</t>
  </si>
  <si>
    <t>21.05.04 "Горное дело"</t>
  </si>
  <si>
    <t xml:space="preserve">                                 для обучающихся по специальности </t>
  </si>
  <si>
    <t xml:space="preserve">                                                                 разработки месторождений полезных </t>
  </si>
  <si>
    <t xml:space="preserve">                                                                 ископаемых</t>
  </si>
  <si>
    <t xml:space="preserve">                                                                  РАССМОТРЕНО</t>
  </si>
  <si>
    <t xml:space="preserve">                                                                 на зеседании кафедры</t>
  </si>
  <si>
    <t xml:space="preserve">                                                                УТВЕРЖДЕНО</t>
  </si>
  <si>
    <t xml:space="preserve">                                                                на заседании Учебно-издательского </t>
  </si>
  <si>
    <t xml:space="preserve">                                                                совета ДОННТУ</t>
  </si>
  <si>
    <t xml:space="preserve">ДОНЕЦК  </t>
  </si>
  <si>
    <t>(компьютерная программа и методическиеуказания)</t>
  </si>
  <si>
    <t>Рецензенты:</t>
  </si>
  <si>
    <t>Составители:</t>
  </si>
  <si>
    <t xml:space="preserve"> кафедры РМПИ  ГОУВПО "ДОННТУ"</t>
  </si>
  <si>
    <t>кафедры РМПИ ГОУВПО "ДОННТУ"</t>
  </si>
  <si>
    <t>ББК 33.2:973-018я73</t>
  </si>
  <si>
    <t>С40</t>
  </si>
  <si>
    <t xml:space="preserve">ПО КУРСОВОМУ ПРОЕКТИРОВАНИЮ </t>
  </si>
  <si>
    <t xml:space="preserve">             СИСТЕМА АВТОМАТИЗИРОВАННОГО КУРСОВОГО ПРОЕКТИРОВАНИЯ</t>
  </si>
  <si>
    <t xml:space="preserve">             (компьютерная программа и методические указания) по курсовому </t>
  </si>
  <si>
    <r>
      <t xml:space="preserve">            проектированию по дисциплине  "Подземная геотехнология") </t>
    </r>
    <r>
      <rPr>
        <sz val="10"/>
        <rFont val="Times New Roman"/>
        <family val="1"/>
        <charset val="204"/>
      </rPr>
      <t xml:space="preserve">для обуча- </t>
    </r>
  </si>
  <si>
    <r>
      <t xml:space="preserve">            </t>
    </r>
    <r>
      <rPr>
        <sz val="10"/>
        <rFont val="Times New Roman"/>
        <family val="1"/>
        <charset val="204"/>
      </rPr>
      <t xml:space="preserve">ющихся по специальности 21.05.04 "Горное дело"  / ГОУВПО "ДОННТУ", </t>
    </r>
  </si>
  <si>
    <t xml:space="preserve">            каф. разработки месторождений полезных ископаемых;  сост. В.И. Стрельников,</t>
  </si>
  <si>
    <t xml:space="preserve">            И.Н.Шестопалов,  А.Л. Касьяненко. - Донецк: ДОННТУ, 2021. - 4600 КБ </t>
  </si>
  <si>
    <t xml:space="preserve">  После завершения вычислений в программе их результаты пользователь переносит </t>
  </si>
  <si>
    <t xml:space="preserve"> в текстовый файл "Пояснительная записка". Этот файл содержит формы таблиц и </t>
  </si>
  <si>
    <t xml:space="preserve"> рисунков и указания по обоснованию принятых решений.</t>
  </si>
  <si>
    <t xml:space="preserve">С40      (САПР-КП 2021) (электронное методическое пособие </t>
  </si>
  <si>
    <t xml:space="preserve">    Работа в программе исключает необходимость иметь текстовый вариант указанного</t>
  </si>
  <si>
    <t>пособия, что особенно важно при дистанционном обучении и для студенов-заочников.</t>
  </si>
  <si>
    <t>и текстовым файлом  "Пояснительная записка".</t>
  </si>
  <si>
    <r>
      <t xml:space="preserve">          Пособие представлено компьютерной программой САПИ-КП</t>
    </r>
    <r>
      <rPr>
        <i/>
        <sz val="12"/>
        <rFont val="Times New Roman"/>
        <family val="1"/>
        <charset val="204"/>
      </rPr>
      <t>.xls</t>
    </r>
    <r>
      <rPr>
        <sz val="12"/>
        <rFont val="Times New Roman"/>
        <family val="1"/>
        <charset val="204"/>
      </rPr>
      <t xml:space="preserve"> </t>
    </r>
  </si>
  <si>
    <r>
      <t xml:space="preserve">      Работу следует начинать с открытия  листа </t>
    </r>
    <r>
      <rPr>
        <i/>
        <sz val="12"/>
        <rFont val="Times New Roman"/>
        <family val="1"/>
        <charset val="204"/>
      </rPr>
      <t>kursovoy</t>
    </r>
    <r>
      <rPr>
        <sz val="12"/>
        <rFont val="Times New Roman"/>
        <family val="1"/>
        <charset val="204"/>
      </rPr>
      <t>, файл</t>
    </r>
  </si>
  <si>
    <t xml:space="preserve">   Вносить данные можно только в закрашенные ячейки программы, </t>
  </si>
  <si>
    <t>Вы намерены работать в программе? 1 - Да, 2 - Нет</t>
  </si>
  <si>
    <r>
      <t xml:space="preserve">вносить изменения в другие ячейки </t>
    </r>
    <r>
      <rPr>
        <sz val="14"/>
        <color indexed="10"/>
        <rFont val="Times New Roman"/>
        <family val="1"/>
        <charset val="204"/>
      </rPr>
      <t>запрещается !</t>
    </r>
  </si>
  <si>
    <t>Вы сохранили файл под своим именем?   1 - Да, 2 - Нет</t>
  </si>
  <si>
    <t>САПР-КП  2021</t>
  </si>
  <si>
    <t xml:space="preserve">       коррективы в задание в лист "Задание"</t>
  </si>
  <si>
    <t xml:space="preserve">       В программе фиксированно заданы варианты задания. Преподаватель может внести </t>
  </si>
  <si>
    <t xml:space="preserve">  На проверку необходимо представить 2 файла - </t>
  </si>
  <si>
    <t xml:space="preserve">        ПРОГРАММУ и ТЕКСТ ПОЯСНИТЕЛЬНОЙ ЗАПИСКИ !!!</t>
  </si>
  <si>
    <t xml:space="preserve">                  Ваша фамилия</t>
  </si>
  <si>
    <t xml:space="preserve">варианте EXCEL, текстовым файлом "Пояснительная записка", файлами в PAINT </t>
  </si>
  <si>
    <t>"Планшет крепи в нише" и "Планшет сопряжения лавы".  В программу введено</t>
  </si>
  <si>
    <t xml:space="preserve"> современное оборудование для лав и участкового транспорта. Компьютерная программа </t>
  </si>
  <si>
    <t xml:space="preserve">позволяет выполнить все сложныеи громоздкие вычисления и содержит пояснения </t>
  </si>
  <si>
    <t xml:space="preserve">сущности вычислений и методические указания по их выполнению. Перед выполнением </t>
  </si>
  <si>
    <t xml:space="preserve"> каждого раздела проекта студент должен положительно ответить на ряд вопросов (от 5 </t>
  </si>
  <si>
    <t xml:space="preserve">до 20) по теме раздела и  только в этом случае он имеет возможность пользования </t>
  </si>
  <si>
    <t xml:space="preserve"> программой.</t>
  </si>
  <si>
    <t xml:space="preserve"> Пособие представлено компьютерной программой "САПР-КП 2021.xls" в современном </t>
  </si>
  <si>
    <r>
      <rPr>
        <b/>
        <sz val="10"/>
        <rFont val="Times New Roman"/>
        <family val="1"/>
        <charset val="204"/>
      </rPr>
      <t>Скаженик Владимир Борисович</t>
    </r>
    <r>
      <rPr>
        <sz val="10"/>
        <rFont val="Times New Roman"/>
        <family val="1"/>
        <charset val="204"/>
      </rPr>
      <t xml:space="preserve"> - кандидат технических наук, доцент </t>
    </r>
  </si>
  <si>
    <r>
      <rPr>
        <b/>
        <sz val="10"/>
        <rFont val="Times New Roman"/>
        <family val="1"/>
        <charset val="204"/>
      </rPr>
      <t>Подтыкалов Александр Сергеевич</t>
    </r>
    <r>
      <rPr>
        <sz val="10"/>
        <rFont val="Times New Roman"/>
        <family val="1"/>
        <charset val="204"/>
      </rPr>
      <t xml:space="preserve"> - кандидат технических наук, доцент </t>
    </r>
  </si>
  <si>
    <r>
      <rPr>
        <b/>
        <sz val="10"/>
        <rFont val="Times New Roman"/>
        <family val="1"/>
        <charset val="204"/>
      </rPr>
      <t>Стрельников Вадим Иванович</t>
    </r>
    <r>
      <rPr>
        <sz val="10"/>
        <rFont val="Times New Roman"/>
        <family val="1"/>
        <charset val="204"/>
      </rPr>
      <t xml:space="preserve"> - кандидат технических наук, профессор </t>
    </r>
  </si>
  <si>
    <r>
      <rPr>
        <b/>
        <sz val="10"/>
        <rFont val="Times New Roman"/>
        <family val="1"/>
        <charset val="204"/>
      </rPr>
      <t>Шестопалов Иван Николаевич</t>
    </r>
    <r>
      <rPr>
        <sz val="10"/>
        <rFont val="Times New Roman"/>
        <family val="1"/>
        <charset val="204"/>
      </rPr>
      <t xml:space="preserve"> -  кандидат технических наук, доцент</t>
    </r>
  </si>
  <si>
    <r>
      <rPr>
        <b/>
        <sz val="10"/>
        <rFont val="Times New Roman"/>
        <family val="1"/>
        <charset val="204"/>
      </rPr>
      <t>Касьяненко Андрей Леонидович</t>
    </r>
    <r>
      <rPr>
        <sz val="10"/>
        <rFont val="Times New Roman"/>
        <family val="1"/>
        <charset val="204"/>
      </rPr>
      <t xml:space="preserve"> -  кандидат технических наук, доцент </t>
    </r>
  </si>
  <si>
    <t>Вы готовы переносить данные в текст пояснительной записки? 1 - Да, 2 - Нет</t>
  </si>
  <si>
    <t xml:space="preserve">                                              НОМЕР ТИПА КРЕПИ</t>
  </si>
  <si>
    <t xml:space="preserve">   Имейте в виду, что ширина захвата комбайна 0,7 м  в практике применяется редко !!!</t>
  </si>
  <si>
    <t>Применение стругов в программе не предусмотрено!</t>
  </si>
  <si>
    <t>kursovoy!A425</t>
  </si>
  <si>
    <t>параллельгое</t>
  </si>
  <si>
    <t>((B1042+B1119+B1180+B1258+B1327+B1410+B1493+B1574)/B962+B3210)</t>
  </si>
  <si>
    <t>kursovoy!B2185</t>
  </si>
  <si>
    <t>kursovoy!B2322</t>
  </si>
  <si>
    <t>kursovoy!B2324</t>
  </si>
  <si>
    <t>kursovoy!B2319</t>
  </si>
  <si>
    <t>Удельные затраты в пределах выемочного участка, д.е./т</t>
  </si>
  <si>
    <t>2. Если все исходные данные введены,  программа вычислила величину удельных затрат  по выемочному участку</t>
  </si>
  <si>
    <t xml:space="preserve">  Структура затрат в пределах выемочного участка</t>
  </si>
  <si>
    <t>Комбайн с индивидуальной крепью</t>
  </si>
  <si>
    <t>Таблица   20               Таблица расчета коэффициента резерва лав по пластам</t>
  </si>
  <si>
    <t>Таблицу перенести в текст пояснительной записки, номер оборудования не указывать!</t>
  </si>
  <si>
    <t xml:space="preserve">                      Структура удельных затрат в пределах выемочного  учаска   (для ознакомления)</t>
  </si>
  <si>
    <t>Перенос данных в пояснительную записку окончен.   Оформляйте пояснительную записку</t>
  </si>
  <si>
    <r>
      <t>10. Копируйте оставшуюся часть таблицы от столбца А до столбца</t>
    </r>
    <r>
      <rPr>
        <b/>
        <sz val="10"/>
        <rFont val="Arial Cyr"/>
        <charset val="204"/>
      </rPr>
      <t xml:space="preserve"> L</t>
    </r>
    <r>
      <rPr>
        <b/>
        <sz val="12"/>
        <rFont val="Arial Cyr"/>
        <charset val="204"/>
      </rPr>
      <t xml:space="preserve"> </t>
    </r>
    <r>
      <rPr>
        <sz val="10"/>
        <rFont val="Arial Cyr"/>
        <charset val="204"/>
      </rPr>
      <t xml:space="preserve"> и в режиме "Вставка"  - </t>
    </r>
    <r>
      <rPr>
        <b/>
        <sz val="10"/>
        <rFont val="Arial Cyr"/>
        <charset val="204"/>
      </rPr>
      <t>"Специальная вставка</t>
    </r>
    <r>
      <rPr>
        <sz val="10"/>
        <rFont val="Arial Cyr"/>
        <charset val="204"/>
      </rPr>
      <t>" - "</t>
    </r>
    <r>
      <rPr>
        <b/>
        <sz val="10"/>
        <rFont val="Arial Cyr"/>
        <charset val="204"/>
      </rPr>
      <t>значения</t>
    </r>
    <r>
      <rPr>
        <sz val="10"/>
        <rFont val="Arial Cyr"/>
        <charset val="204"/>
      </rPr>
      <t>"</t>
    </r>
  </si>
  <si>
    <t>Стойки СУГ могут применяться с насадками. Проверьте возможность применения насадак и их высоту!</t>
  </si>
  <si>
    <t>ИНДЕКС(Y573:Y585;ПОИСКПОЗ(B558;X573:X585;0));"")</t>
  </si>
  <si>
    <t>2. Вспомогательный участковый транспорт</t>
  </si>
  <si>
    <t>4.  Способ охраны участковой вентиляционной выработки</t>
  </si>
  <si>
    <t>Принятый способ охраны</t>
  </si>
  <si>
    <t>2. Податливость крепи участковых подготовительных выработок (300 мм,              600 мм, 800 мм или 1000 мм)</t>
  </si>
  <si>
    <t>3 Способ озраны участковой вентиляционной выработки.</t>
  </si>
  <si>
    <t>4. Вид вспомогательного транспорта по участковм выработкам.</t>
  </si>
  <si>
    <t>ВНИМАНИЕ !!!</t>
  </si>
  <si>
    <t>При изображении выработок выемочного участка</t>
  </si>
  <si>
    <t>необходимо показать  подготавливающие выработки:</t>
  </si>
  <si>
    <t xml:space="preserve">уклоны,  ходки, магистральные выработки и </t>
  </si>
  <si>
    <t>способы их охраны. В данном курсе этот вопрос (охрана</t>
  </si>
  <si>
    <t>подготавливающих выработок) не рассматривался.</t>
  </si>
  <si>
    <t>В проекте следует принять следующие  способы охраны:</t>
  </si>
  <si>
    <t xml:space="preserve">1. уклоны и ходки - при глубине работ до 600 м - угольные - </t>
  </si>
  <si>
    <t>целики размером 30-40 м, при большей глубине -</t>
  </si>
  <si>
    <t>эти выработки следует проводить полевыми,</t>
  </si>
  <si>
    <t>на  глубине 10 - 12 м под пластом.</t>
  </si>
  <si>
    <t xml:space="preserve">2. магистральные штреки - транспортный магистральный </t>
  </si>
  <si>
    <t xml:space="preserve">штрек проводить полевым, вентиляционный магистральный </t>
  </si>
  <si>
    <t>штрек при глубине работ до 600 м - пластовый с охраной</t>
  </si>
  <si>
    <t xml:space="preserve"> целиками угля  размером 30 - 40 м.</t>
  </si>
  <si>
    <t>Принятая в проекте нагрузка на лаву по пластам, т/сутки (для случая ,  если расчет нагрузки выполнен при применении индивидуальной крепи, а на других пластах  крепь механизированная - по формуле  200+370*m , если расчет выполнен для мехкрепи - пропорционально мощности пласта)</t>
  </si>
  <si>
    <t>30 - 50</t>
  </si>
  <si>
    <t>Возможны ли в данных условия мех. комплексы( 1 - Да, 2 - Нет</t>
  </si>
  <si>
    <r>
      <t xml:space="preserve">Запас раздвижности крепи на разгрузку  </t>
    </r>
    <r>
      <rPr>
        <b/>
        <sz val="10"/>
        <color indexed="10"/>
        <rFont val="Times New Roman"/>
        <family val="1"/>
        <charset val="204"/>
      </rPr>
      <t>h</t>
    </r>
    <r>
      <rPr>
        <b/>
        <vertAlign val="subscript"/>
        <sz val="10"/>
        <color indexed="10"/>
        <rFont val="Times New Roman"/>
        <family val="1"/>
        <charset val="204"/>
      </rPr>
      <t>p</t>
    </r>
    <r>
      <rPr>
        <sz val="10"/>
        <color indexed="10"/>
        <rFont val="Times New Roman"/>
        <family val="1"/>
        <charset val="204"/>
      </rPr>
      <t xml:space="preserve">,  мм  </t>
    </r>
    <r>
      <rPr>
        <sz val="10"/>
        <rFont val="Times New Roman"/>
        <family val="1"/>
        <charset val="204"/>
      </rPr>
      <t xml:space="preserve"> (в экстренных случж можно  принять10 - 14 мм и обосновать)</t>
    </r>
  </si>
  <si>
    <t>9. В таблице "Таблица возможных к применению в заданных условиях типов комплеков"  удалить значащие строки!</t>
  </si>
  <si>
    <t>Возможные типы крепей в данных условиях</t>
  </si>
  <si>
    <t>Основание для принятия решения</t>
  </si>
  <si>
    <t>Скорость передвижки 1 - Да, 2 - Нет</t>
  </si>
  <si>
    <t>Площадь свободного сечения лавы, 1 - Да, 2 - Нет</t>
  </si>
  <si>
    <t>Вес секции  1 - Да, - Нет</t>
  </si>
  <si>
    <t>Основание принятия решения о типе комбайна</t>
  </si>
  <si>
    <t>Основание для выбора типа комбайна</t>
  </si>
  <si>
    <t>Ширина захвата 1 - Да, 2 - Нет</t>
  </si>
  <si>
    <t>Схема работы комбайна 1 - Да, 2 - Нет</t>
  </si>
  <si>
    <t>Производительность комбайна  1 - Да, 2 - Нет</t>
  </si>
  <si>
    <t>Масса комбайна  1 - Да , 2- Нет</t>
  </si>
  <si>
    <t>Основание для выбора типа конвейера</t>
  </si>
  <si>
    <t>Производительность 1 - Да, 2 - Нет</t>
  </si>
  <si>
    <t>Энерговооруженность  1 - Да, 2 - Нет</t>
  </si>
  <si>
    <t>Основание принятия решения о типе конвейера</t>
  </si>
  <si>
    <t>Производительность  1 - Да, 0 - Нет</t>
  </si>
  <si>
    <t>Масса комбайна  1 - Да, 0 - Нет</t>
  </si>
  <si>
    <t>Основания для выбора типа комбайна</t>
  </si>
  <si>
    <t>Энерговооруженность</t>
  </si>
  <si>
    <t>Основания для принятия решения о типе крепи</t>
  </si>
  <si>
    <t>Минимальная высота 1 - Да, 2 - Нет</t>
  </si>
  <si>
    <t>Максимальная высота 1 - Да, 2 - Нет</t>
  </si>
  <si>
    <t>Автономное питание 1 - Да, 2 - Нет</t>
  </si>
  <si>
    <t>Основание принятия решения о типе   крепи</t>
  </si>
  <si>
    <t xml:space="preserve">в этом случае нагрузка на каждый пласт. Вычисленные величины показаны в таблице. </t>
  </si>
  <si>
    <t>Количество лав по пласту  1 - Да, 2 - Нет</t>
  </si>
  <si>
    <t>Малые размеры панели 1 - Да, 2 - Нет</t>
  </si>
  <si>
    <t>ВАР</t>
  </si>
  <si>
    <t>Зона 1</t>
  </si>
  <si>
    <t>Зона 2</t>
  </si>
  <si>
    <t>Зона 3</t>
  </si>
  <si>
    <t>Зона 4</t>
  </si>
  <si>
    <t>Вар</t>
  </si>
  <si>
    <t>Зона1</t>
  </si>
  <si>
    <t>Зона3</t>
  </si>
  <si>
    <t>Зона4</t>
  </si>
  <si>
    <t>Т</t>
  </si>
  <si>
    <t xml:space="preserve">                                     Принимаемый вариант системы разработки</t>
  </si>
  <si>
    <t xml:space="preserve">  В тексте пояснительной записки необходимо привести обоснование выбора системы разработки!</t>
  </si>
  <si>
    <t xml:space="preserve"> дела. Подземная гетехнология"  данный курсовой проект ставит </t>
  </si>
  <si>
    <t>2.    Для заданных в проекте условий выбрать наиболее приемлемое оборудование для ведения очистных работ (комбайновый механизированный комплекс, комбайн конвейер и индивидуальную крепь для комбайновой лавы с индивидуальной крепьюю.</t>
  </si>
  <si>
    <t>3.    Принять решение о варианте системы разработки, возможном в заданных условиях.</t>
  </si>
  <si>
    <t>4.    Установить величину нагрузки на лаву, удовлетворяющую требованиям как производительности оборудования, так и безопасности работ с точки зрения проветривания лавы.</t>
  </si>
  <si>
    <t>5. Для принятого в проекте способа подготовки пласта и системы разработки установить экономически наиболее выгодные параметры (вид транспорта, способ охраны выработок, размеры панели и т.п.)</t>
  </si>
  <si>
    <t>6.    Рассчитать штат рабочих очистного забоя при принятой в проекте технологии работ в лаве.</t>
  </si>
  <si>
    <t>7..  Установить необходимое количество действующих и резервно-действующих очистных забоев по шахте.</t>
  </si>
  <si>
    <t>8. Выбрать схему вскрытия шахты.</t>
  </si>
  <si>
    <t>9. Вычертиь план горных выработок при принятом варианте  подготовки пласта.</t>
  </si>
  <si>
    <t xml:space="preserve">3. Каждый студент открывает  текст программы под своим именем и работает с ней. При работе с </t>
  </si>
  <si>
    <t xml:space="preserve">     Проведенные вычисления показали, что промышленные запасы проектируемой шахты составляют </t>
  </si>
  <si>
    <r>
      <t xml:space="preserve">   </t>
    </r>
    <r>
      <rPr>
        <b/>
        <sz val="12"/>
        <rFont val="Times New Roman"/>
        <family val="1"/>
        <charset val="204"/>
      </rPr>
      <t>Zп</t>
    </r>
    <r>
      <rPr>
        <sz val="12"/>
        <rFont val="Times New Roman"/>
        <family val="1"/>
      </rPr>
      <t xml:space="preserve"> =</t>
    </r>
  </si>
  <si>
    <t xml:space="preserve">Выбор оборудования для очистного забоя  выполняется </t>
  </si>
  <si>
    <t xml:space="preserve">Ознакомьтесь с основными принципами необходимых расчетов для выбора </t>
  </si>
  <si>
    <r>
      <t xml:space="preserve">    В данном пособии все указанные вычисления выполняются в программе </t>
    </r>
    <r>
      <rPr>
        <b/>
        <i/>
        <sz val="10"/>
        <rFont val="Arial Cyr"/>
        <charset val="204"/>
      </rPr>
      <t>Komplex.xls</t>
    </r>
  </si>
  <si>
    <t>типа механизированного комплекса и отвечайте на вопросы!</t>
  </si>
  <si>
    <t>Рассмотрим далее требования к комбайну  - это же и требования к комплексу.</t>
  </si>
  <si>
    <t xml:space="preserve">  1.   Очистить информацию (если она имеется) от строки</t>
  </si>
  <si>
    <r>
      <t xml:space="preserve">    </t>
    </r>
    <r>
      <rPr>
        <b/>
        <sz val="12"/>
        <rFont val="Times New Roman"/>
        <family val="1"/>
        <charset val="204"/>
      </rPr>
      <t xml:space="preserve"> И так, в курсовом проекте принимается один из 9 рассмотренных вариантов системы разработки:</t>
    </r>
  </si>
  <si>
    <t>Внимательно ознакомьтесь с методикой и приготовьтесь отвечать на вопросы!</t>
  </si>
  <si>
    <t xml:space="preserve"> Размеры  конвейерных головок, м</t>
  </si>
  <si>
    <t>Расположение двигателей</t>
  </si>
  <si>
    <t xml:space="preserve"> выхода.  Ширина конвейера-перегружателя 0,8 - 1,0 м, ширина запасного выхода   0,8 м.</t>
  </si>
  <si>
    <t xml:space="preserve">              Принятая в проекте технология работк на концевых участках лавы</t>
  </si>
  <si>
    <t xml:space="preserve">   Ознаккомьтесь с принципом расчетов и приготовьтесь отвечать на вопросы!</t>
  </si>
  <si>
    <t xml:space="preserve">   Ознакомьтесь с принципом вычислений и готовьтесь отвечать на вопросы!</t>
  </si>
  <si>
    <t>Проведенные ранее вычисления возможной нагрузки на лаву по техническим возможностям оборудования</t>
  </si>
  <si>
    <t>2  Податливость крепи участковой выработки</t>
  </si>
  <si>
    <t>3 Способ охраны участковой выработки.</t>
  </si>
  <si>
    <t>4 Вспомогательный участковый транспорт.</t>
  </si>
  <si>
    <t xml:space="preserve">    Ознакомьтесь с методикой и готовтесь отвечать на воприсы!</t>
  </si>
  <si>
    <t xml:space="preserve">    Раздел "Системы разработки" изучается в специальном учебном курсе. В данной работе будем пользоваться</t>
  </si>
  <si>
    <t xml:space="preserve">    Поскольку возможных вариантов систем разработки более чем много  (порядка 128 вариантов), встает вопрос - а как</t>
  </si>
  <si>
    <t>же выбрать наиболее эффективный вариант?</t>
  </si>
  <si>
    <r>
      <t xml:space="preserve">Наиболее </t>
    </r>
    <r>
      <rPr>
        <b/>
        <sz val="12"/>
        <rFont val="Times New Roman"/>
        <family val="1"/>
        <charset val="204"/>
      </rPr>
      <t xml:space="preserve">эффективный вариант </t>
    </r>
    <r>
      <rPr>
        <sz val="12"/>
        <rFont val="Times New Roman"/>
        <family val="1"/>
        <charset val="204"/>
      </rPr>
      <t xml:space="preserve">тот, при котором </t>
    </r>
    <r>
      <rPr>
        <b/>
        <sz val="12"/>
        <rFont val="Times New Roman"/>
        <family val="1"/>
        <charset val="204"/>
      </rPr>
      <t>сумма затрат</t>
    </r>
    <r>
      <rPr>
        <sz val="12"/>
        <rFont val="Times New Roman"/>
        <family val="1"/>
        <charset val="204"/>
      </rPr>
      <t xml:space="preserve"> на проведение выработок, их поддержание, основной и</t>
    </r>
  </si>
  <si>
    <r>
      <t xml:space="preserve"> вспомогательный транспорт, затраты на очистные работы, отнесенная к величине запасов выемочной ступени</t>
    </r>
    <r>
      <rPr>
        <b/>
        <sz val="12"/>
        <rFont val="Times New Roman"/>
        <family val="1"/>
        <charset val="204"/>
      </rPr>
      <t xml:space="preserve"> будет наименьшей.</t>
    </r>
  </si>
  <si>
    <r>
      <t xml:space="preserve">Эти затраты называют </t>
    </r>
    <r>
      <rPr>
        <b/>
        <sz val="12"/>
        <rFont val="Times New Roman"/>
        <family val="1"/>
        <charset val="204"/>
      </rPr>
      <t>удельными затратами.</t>
    </r>
  </si>
  <si>
    <t>Номер принятого варианта системы разработки</t>
  </si>
  <si>
    <t>1. Ниже  приведена таблица исходных данных. В столбце C таблицы красным цветом показаны средние</t>
  </si>
  <si>
    <t>Технология проведения участковых выработок (1 - комбайн, 2 -БВР</t>
  </si>
  <si>
    <t>Вспомогательный участковый транспорт (1 - две напочвенные дороги,2- монорельсовая и напочвенная дороги, 3 - монорельсовая дорога по обоим выработкам)</t>
  </si>
  <si>
    <t xml:space="preserve">  Поскольку на данном этапе студент еще не владеет принципами экономико-математического моделирования,</t>
  </si>
  <si>
    <t xml:space="preserve">без предварительного проведения участковых выработок, при большей мощности пласта желательно применять столбовые </t>
  </si>
  <si>
    <t>выборсистемы разработки определяется ее качественными показателями.</t>
  </si>
  <si>
    <t xml:space="preserve">или комбинированные системы разработки с предварительным проведением участковых выработок. </t>
  </si>
  <si>
    <t xml:space="preserve">подготовительных выработок, то относительная оценка такого варианта будет ниже, чем вариантов без предварительного </t>
  </si>
  <si>
    <t>проведения выработок.</t>
  </si>
  <si>
    <t>выработок на флангах выемочного участка.</t>
  </si>
  <si>
    <t>движение воздушной струи через выработанное пространство.</t>
  </si>
  <si>
    <t xml:space="preserve">2.   Если при конкретном варианте системы разработки требуется проводить придвариательно одну или несколько </t>
  </si>
  <si>
    <t xml:space="preserve"> 1. При мощности пласта до 1,2 м более желательно применять системы разработки сплошные или комбинированные </t>
  </si>
  <si>
    <t>3. Более желателен тот вариант системы разработки, при котором участковые выработки после прохода лавы погашаются.</t>
  </si>
  <si>
    <t xml:space="preserve">4. Более желателен тот вариант системы разработки, который не требует наличия дополнительных подготавливающих </t>
  </si>
  <si>
    <t xml:space="preserve">6. Если уголь пласта склонен к самовозгоранию, более желателен тот вариант системы разработки, при котором отсутствует </t>
  </si>
  <si>
    <t xml:space="preserve">7. Более желателен тот вариант системы разработки,  схема проветривания которого не позволяет метану из транспортируемого угля </t>
  </si>
  <si>
    <t>и метану из выработанного пространства попадать в лаву.  Количество этого метана существенно влияет  на величину нагрузки на лаву.</t>
  </si>
  <si>
    <t>А от этой величины зависит скорость подвигания лавы и, следовательно, затраты на поддержание выработок.</t>
  </si>
  <si>
    <t>где</t>
  </si>
  <si>
    <t>q - газовыделение в лаву, м3/т</t>
  </si>
  <si>
    <t>q1 - газовыделение из отбиваемого в лаве угля, м3/т</t>
  </si>
  <si>
    <t xml:space="preserve">    Метановыделение в лаву, от которого зависит нагрузка на лаву,  можно с достаточной точностью записать как</t>
  </si>
  <si>
    <t>k1  - коэффициент, характеризующий поступление в лаву метана из транспортируемого угля</t>
  </si>
  <si>
    <t xml:space="preserve">       (для каждого варианта системы разработки он имеет свое значение)</t>
  </si>
  <si>
    <t>k2 -  коэффициент, характеризующий поступление в лаву метана из выработанного пространства</t>
  </si>
  <si>
    <t>q2 - газовыделение из выработанного пространства, м3/т</t>
  </si>
  <si>
    <t xml:space="preserve">   Данные  о газовыделении из пласта и из выработанного пространства - известны согласно заданию на курсовой проект.</t>
  </si>
  <si>
    <r>
      <t xml:space="preserve"> В</t>
    </r>
    <r>
      <rPr>
        <sz val="12"/>
        <rFont val="Times New Roman"/>
        <family val="1"/>
        <charset val="204"/>
      </rPr>
      <t>еличины коэффициентов  k1  и  k2   легко определить, рассмотрев схемы проветривания участа   рисунок в строке</t>
    </r>
  </si>
  <si>
    <t xml:space="preserve">   и схемы горных выработок систем разработки, представленные в строке</t>
  </si>
  <si>
    <t xml:space="preserve">             Если Вам понятен изложенный материал, ответьте на вопросы приведенной ниже таблицы!</t>
  </si>
  <si>
    <t>Вариант системы разработки</t>
  </si>
  <si>
    <t>Величина коэффициента k1</t>
  </si>
  <si>
    <t>Величина коэффициента k2</t>
  </si>
  <si>
    <t>Оценка</t>
  </si>
  <si>
    <t xml:space="preserve">                                                              q = 0,9*q1+0,1*q1*k1 +q2*k2, м3/т</t>
  </si>
  <si>
    <t>Мощность пласта (до 1,2 м - 1, более 1, м - 0)</t>
  </si>
  <si>
    <t>Повторное использование участковой выработки c учетом показателя устойчивости выработок при их повторном использовании (если выработка используется повторно и    ε &lt; 0,5  -  1,    в противном случае 0)</t>
  </si>
  <si>
    <t>Наличие  подготовительных выработок, проводимых заранее (1 - отсутствуют, 0,5 - необходимо иметь одну выработку, 0 - необходимо иметь 2 выработки)</t>
  </si>
  <si>
    <t>Поддержание участковой транспортной выработки после прохода лавы (поддерживается - 0, погашается - 1)</t>
  </si>
  <si>
    <t>Наличие  подготавливающих выработок на флангах выемочного участка                   ( отсутствуют - 1, в наличии - 0)</t>
  </si>
  <si>
    <t>Поддержание участковой вентиляционной выработки после прохода лавы (поддерживается - 0, погашается - 1)</t>
  </si>
  <si>
    <t xml:space="preserve">5.. Более желателен тот вариант системы разработки, при котором выработки используются повторно. </t>
  </si>
  <si>
    <t>Повторное использование транспортной выработки в качестве вентиляционной желательно в случае, если выполняется условие  -</t>
  </si>
  <si>
    <t xml:space="preserve">показатель устойчивости почвы выработки     ε=0,025*Н/Ппоч &lt; (0,4…0,5)  где Н - глубина работ, м,  Ппоч - прочность пород </t>
  </si>
  <si>
    <t>почвы, Мпа В данном случае при разработке уклонной ступени шахтного поля этот коэффициент  равен</t>
  </si>
  <si>
    <r>
      <t xml:space="preserve">   </t>
    </r>
    <r>
      <rPr>
        <sz val="12"/>
        <rFont val="Times New Roman"/>
        <family val="1"/>
        <charset val="204"/>
      </rPr>
      <t>Ниже приведены вычисления (без участия студента)</t>
    </r>
  </si>
  <si>
    <t>Возможна  нагрузка на лаву, т (меньшая из двух,выше вычисленных)</t>
  </si>
  <si>
    <t>Таблица 7  Оценка рассматриваемых вариантов системы разработки по показателю - нагрузка на лаву</t>
  </si>
  <si>
    <t>Коэффициент привлекательности варианта системы разработки по нагрузке на лаву    Кнагр</t>
  </si>
  <si>
    <t xml:space="preserve">   Таблица  7а   Оценка рассматриваемых вариантов системы разработки по качественным показателям</t>
  </si>
  <si>
    <t>Среднее значение показателя   Ккач</t>
  </si>
  <si>
    <t>Укажите системы разработки с высоким коэффициентом  целесообразности  (указать номер варианта)</t>
  </si>
  <si>
    <t>Минимальное значение нагрузки   Амин</t>
  </si>
  <si>
    <t>Вохможная нагрузка на лаву по фактору проветривания, т Авен (из условия, что содержание метана в исходящей струе равно 1%, а скорость воздушной струи в лаве 4 м/сек)</t>
  </si>
  <si>
    <t>Нормативная нагрузка, т  Анор  (усредненный показатель для шахт Донбасса)</t>
  </si>
  <si>
    <t>Коэффициент   целесообразности    Кцел=Кнагр+Ккач</t>
  </si>
  <si>
    <t xml:space="preserve">               4.5       Расчет нагрузки на лаву </t>
  </si>
  <si>
    <t>14.2    Податливость укрепи участковой транспортной выработки</t>
  </si>
  <si>
    <t>Таблица  14 7  Прооведенные вычисления проказали следующие результаты</t>
  </si>
  <si>
    <t xml:space="preserve">            Расчетное и принятое число рабочих</t>
  </si>
  <si>
    <t xml:space="preserve">  Таблица 16    Необходимая суточная нагрузка на пласт при одновременной их разработке, т</t>
  </si>
  <si>
    <t xml:space="preserve"> ПРОЕКТИРОВАНИЯ  (САПР-КП  2022)</t>
  </si>
  <si>
    <t>Категорияпород кровли по устойчивости (Б1 - 1, Б2 - 2, Б3 - 3, Б4 - 4)</t>
  </si>
  <si>
    <t>ТИПЫ КРЕПИ</t>
  </si>
  <si>
    <t>Таблица комбайнов  и  мехкрепей</t>
  </si>
  <si>
    <t>Схема выработок  в зависимости от способа подготовки пласта: панельная подготовка - верх; лавы по падению - середина;  лавы по восстанию - нижняя строка</t>
  </si>
  <si>
    <t xml:space="preserve">                         Протокол №  5   от  16.12.2021</t>
  </si>
  <si>
    <t xml:space="preserve">                                                                Протокол №  1  от 20.01.2022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</si>
</sst>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 #,##0.00&quot;гр.&quot;_-;\-* #,##0.00&quot;гр.&quot;_-;_-* &quot;-&quot;??&quot;гр.&quot;_-;_-@_-"/>
    <numFmt numFmtId="165" formatCode="0.0"/>
    <numFmt numFmtId="166" formatCode="0.000"/>
    <numFmt numFmtId="167" formatCode="0.0000"/>
    <numFmt numFmtId="168" formatCode="0.00000"/>
    <numFmt numFmtId="169" formatCode="0.000000"/>
    <numFmt numFmtId="170" formatCode="#,##0.000"/>
    <numFmt numFmtId="171" formatCode="0.0000000"/>
    <numFmt numFmtId="172" formatCode="_-* #,##0.00&quot;гр.&quot;_-;\-* #,##0.00&quot;гр.&quot;_-;_-* \-??&quot;гр.&quot;_-;_-@_-"/>
    <numFmt numFmtId="173" formatCode="0.00000000"/>
  </numFmts>
  <fonts count="470" x14ac:knownFonts="1">
    <font>
      <sz val="10"/>
      <name val="Arial Cyr"/>
      <charset val="204"/>
    </font>
    <font>
      <sz val="10"/>
      <name val="Arial Cyr"/>
      <charset val="204"/>
    </font>
    <font>
      <b/>
      <sz val="10"/>
      <name val="Arial Cyr"/>
      <family val="2"/>
      <charset val="204"/>
    </font>
    <font>
      <sz val="12"/>
      <name val="Arial Cyr"/>
      <family val="2"/>
      <charset val="204"/>
    </font>
    <font>
      <sz val="10"/>
      <color indexed="10"/>
      <name val="Arial Cyr"/>
      <family val="2"/>
      <charset val="204"/>
    </font>
    <font>
      <vertAlign val="superscript"/>
      <sz val="10"/>
      <name val="Arial Cyr"/>
      <family val="2"/>
      <charset val="204"/>
    </font>
    <font>
      <sz val="10"/>
      <name val="Arial Cyr"/>
      <family val="2"/>
      <charset val="204"/>
    </font>
    <font>
      <b/>
      <sz val="12"/>
      <name val="Arial Cyr"/>
      <family val="2"/>
      <charset val="204"/>
    </font>
    <font>
      <sz val="11"/>
      <name val="Arial Cyr"/>
      <family val="2"/>
      <charset val="204"/>
    </font>
    <font>
      <b/>
      <sz val="10"/>
      <color indexed="10"/>
      <name val="Arial Cyr"/>
      <family val="2"/>
      <charset val="204"/>
    </font>
    <font>
      <b/>
      <sz val="12"/>
      <color indexed="10"/>
      <name val="Arial Cyr"/>
      <family val="2"/>
      <charset val="204"/>
    </font>
    <font>
      <sz val="12"/>
      <name val="Arial Cyr"/>
      <charset val="204"/>
    </font>
    <font>
      <b/>
      <sz val="12"/>
      <name val="Arial Cyr"/>
      <charset val="204"/>
    </font>
    <font>
      <b/>
      <sz val="10"/>
      <name val="Arial Cyr"/>
      <charset val="204"/>
    </font>
    <font>
      <sz val="10"/>
      <color indexed="10"/>
      <name val="Arial Cyr"/>
      <charset val="204"/>
    </font>
    <font>
      <sz val="12"/>
      <name val="Times New Roman"/>
      <family val="1"/>
      <charset val="204"/>
    </font>
    <font>
      <sz val="10"/>
      <name val="Times New Roman"/>
      <family val="1"/>
      <charset val="204"/>
    </font>
    <font>
      <i/>
      <sz val="10"/>
      <name val="Arial Cyr"/>
      <charset val="204"/>
    </font>
    <font>
      <b/>
      <i/>
      <sz val="10"/>
      <name val="Arial Cyr"/>
      <charset val="204"/>
    </font>
    <font>
      <b/>
      <sz val="12"/>
      <name val="Times New Roman"/>
      <family val="1"/>
      <charset val="204"/>
    </font>
    <font>
      <sz val="8"/>
      <name val="Arial Cyr"/>
      <charset val="204"/>
    </font>
    <font>
      <b/>
      <sz val="10"/>
      <color indexed="10"/>
      <name val="Arial Cyr"/>
      <charset val="204"/>
    </font>
    <font>
      <u/>
      <sz val="10"/>
      <color indexed="12"/>
      <name val="Arial Cyr"/>
      <charset val="204"/>
    </font>
    <font>
      <b/>
      <i/>
      <sz val="12"/>
      <name val="Arial Cyr"/>
      <charset val="204"/>
    </font>
    <font>
      <b/>
      <i/>
      <sz val="11"/>
      <color indexed="10"/>
      <name val="Arial Cyr"/>
      <charset val="204"/>
    </font>
    <font>
      <b/>
      <sz val="14"/>
      <name val="Arial Cyr"/>
      <charset val="204"/>
    </font>
    <font>
      <b/>
      <i/>
      <sz val="12"/>
      <color indexed="10"/>
      <name val="Arial Cyr"/>
      <charset val="204"/>
    </font>
    <font>
      <vertAlign val="subscript"/>
      <sz val="10"/>
      <name val="Arial Cyr"/>
      <charset val="204"/>
    </font>
    <font>
      <vertAlign val="subscript"/>
      <sz val="10"/>
      <name val="Arial Cyr"/>
      <family val="2"/>
      <charset val="204"/>
    </font>
    <font>
      <sz val="8"/>
      <color indexed="81"/>
      <name val="Tahoma"/>
      <family val="2"/>
      <charset val="204"/>
    </font>
    <font>
      <b/>
      <i/>
      <sz val="12"/>
      <name val="Arial Cyr"/>
      <family val="2"/>
      <charset val="204"/>
    </font>
    <font>
      <b/>
      <vertAlign val="subscript"/>
      <sz val="10"/>
      <name val="Arial Cyr"/>
      <charset val="204"/>
    </font>
    <font>
      <i/>
      <sz val="10"/>
      <color indexed="10"/>
      <name val="Arial Cyr"/>
      <charset val="204"/>
    </font>
    <font>
      <b/>
      <sz val="12"/>
      <color indexed="10"/>
      <name val="Arial Cyr"/>
      <charset val="204"/>
    </font>
    <font>
      <i/>
      <sz val="12"/>
      <color indexed="10"/>
      <name val="Times New Roman"/>
      <family val="1"/>
      <charset val="204"/>
    </font>
    <font>
      <i/>
      <sz val="10"/>
      <color indexed="10"/>
      <name val="Arial Cyr"/>
      <family val="2"/>
      <charset val="204"/>
    </font>
    <font>
      <b/>
      <i/>
      <sz val="10"/>
      <name val="Arial Cyr"/>
      <family val="2"/>
      <charset val="204"/>
    </font>
    <font>
      <sz val="12"/>
      <color indexed="10"/>
      <name val="Arial Cyr"/>
      <charset val="204"/>
    </font>
    <font>
      <sz val="11"/>
      <name val="Arial Cyr"/>
      <charset val="204"/>
    </font>
    <font>
      <b/>
      <sz val="11"/>
      <name val="Arial Cyr"/>
      <family val="2"/>
      <charset val="204"/>
    </font>
    <font>
      <i/>
      <sz val="10"/>
      <name val="Arial Cyr"/>
      <family val="2"/>
      <charset val="204"/>
    </font>
    <font>
      <b/>
      <vertAlign val="subscript"/>
      <sz val="10"/>
      <color indexed="10"/>
      <name val="Arial Cyr"/>
      <charset val="204"/>
    </font>
    <font>
      <b/>
      <sz val="14"/>
      <name val="Arial Cyr"/>
      <family val="2"/>
      <charset val="204"/>
    </font>
    <font>
      <b/>
      <vertAlign val="subscript"/>
      <sz val="10"/>
      <name val="Arial Cyr"/>
      <family val="2"/>
      <charset val="204"/>
    </font>
    <font>
      <b/>
      <vertAlign val="subscript"/>
      <sz val="10"/>
      <color indexed="10"/>
      <name val="Arial Cyr"/>
      <family val="2"/>
      <charset val="204"/>
    </font>
    <font>
      <b/>
      <vertAlign val="superscript"/>
      <sz val="10"/>
      <color indexed="10"/>
      <name val="Arial Cyr"/>
      <family val="2"/>
      <charset val="204"/>
    </font>
    <font>
      <sz val="8"/>
      <name val="Arial Cyr"/>
      <family val="2"/>
      <charset val="204"/>
    </font>
    <font>
      <b/>
      <sz val="14"/>
      <color indexed="10"/>
      <name val="Arial Cyr"/>
      <charset val="204"/>
    </font>
    <font>
      <sz val="11"/>
      <name val="Times New Roman Cyr"/>
      <family val="1"/>
      <charset val="204"/>
    </font>
    <font>
      <b/>
      <vertAlign val="superscript"/>
      <sz val="10"/>
      <color indexed="10"/>
      <name val="Arial Cyr"/>
      <charset val="204"/>
    </font>
    <font>
      <b/>
      <sz val="11"/>
      <color indexed="10"/>
      <name val="Arial Cyr"/>
      <charset val="204"/>
    </font>
    <font>
      <i/>
      <sz val="12"/>
      <name val="Times New Roman Cyr"/>
      <charset val="204"/>
    </font>
    <font>
      <b/>
      <vertAlign val="subscript"/>
      <sz val="11"/>
      <name val="Arial Cyr"/>
      <family val="2"/>
      <charset val="204"/>
    </font>
    <font>
      <sz val="10"/>
      <color indexed="9"/>
      <name val="Arial Cyr"/>
      <charset val="204"/>
    </font>
    <font>
      <sz val="10"/>
      <color indexed="9"/>
      <name val="Arial Cyr"/>
      <family val="2"/>
      <charset val="204"/>
    </font>
    <font>
      <b/>
      <sz val="8"/>
      <name val="Arial Cyr"/>
      <family val="2"/>
      <charset val="204"/>
    </font>
    <font>
      <sz val="8"/>
      <color indexed="10"/>
      <name val="Arial Cyr"/>
      <family val="2"/>
      <charset val="204"/>
    </font>
    <font>
      <sz val="10"/>
      <color indexed="8"/>
      <name val="Times New Roman"/>
      <family val="1"/>
      <charset val="204"/>
    </font>
    <font>
      <sz val="10"/>
      <color indexed="8"/>
      <name val="MS Sans Serif"/>
      <family val="2"/>
      <charset val="204"/>
    </font>
    <font>
      <b/>
      <sz val="10"/>
      <color indexed="8"/>
      <name val="Times New Roman"/>
      <family val="1"/>
      <charset val="204"/>
    </font>
    <font>
      <b/>
      <vertAlign val="subscript"/>
      <sz val="10"/>
      <color indexed="8"/>
      <name val="Times New Roman"/>
      <family val="1"/>
      <charset val="204"/>
    </font>
    <font>
      <sz val="10"/>
      <color indexed="10"/>
      <name val="Times New Roman"/>
      <family val="1"/>
      <charset val="204"/>
    </font>
    <font>
      <b/>
      <sz val="10"/>
      <color indexed="10"/>
      <name val="Times New Roman"/>
      <family val="1"/>
      <charset val="204"/>
    </font>
    <font>
      <b/>
      <vertAlign val="subscript"/>
      <sz val="10"/>
      <color indexed="10"/>
      <name val="Times New Roman"/>
      <family val="1"/>
      <charset val="204"/>
    </font>
    <font>
      <b/>
      <sz val="10"/>
      <name val="Times New Roman"/>
      <family val="1"/>
      <charset val="204"/>
    </font>
    <font>
      <b/>
      <vertAlign val="subscript"/>
      <sz val="10"/>
      <name val="Times New Roman"/>
      <family val="1"/>
      <charset val="204"/>
    </font>
    <font>
      <vertAlign val="subscript"/>
      <sz val="16"/>
      <color indexed="10"/>
      <name val="Times New Roman"/>
      <family val="1"/>
      <charset val="204"/>
    </font>
    <font>
      <sz val="8"/>
      <color indexed="8"/>
      <name val="MS Sans Serif"/>
      <family val="2"/>
      <charset val="204"/>
    </font>
    <font>
      <sz val="8"/>
      <name val="MS Sans Serif"/>
      <family val="2"/>
      <charset val="204"/>
    </font>
    <font>
      <sz val="8"/>
      <color indexed="10"/>
      <name val="MS Sans Serif"/>
      <family val="2"/>
      <charset val="204"/>
    </font>
    <font>
      <sz val="10"/>
      <name val="Arial Cyr"/>
      <charset val="204"/>
    </font>
    <font>
      <b/>
      <sz val="8"/>
      <color indexed="18"/>
      <name val="MS Sans Serif"/>
      <family val="2"/>
      <charset val="204"/>
    </font>
    <font>
      <sz val="14"/>
      <color indexed="10"/>
      <name val="Arial Cyr"/>
      <family val="2"/>
      <charset val="204"/>
    </font>
    <font>
      <sz val="10"/>
      <name val="Arial Cyr"/>
      <charset val="204"/>
    </font>
    <font>
      <sz val="8.5"/>
      <name val="MS Sans Serif"/>
      <family val="2"/>
      <charset val="204"/>
    </font>
    <font>
      <sz val="12"/>
      <color indexed="10"/>
      <name val="Times New Roman"/>
      <family val="1"/>
    </font>
    <font>
      <sz val="12"/>
      <color indexed="48"/>
      <name val="Times New Roman"/>
      <family val="1"/>
    </font>
    <font>
      <sz val="10"/>
      <color indexed="48"/>
      <name val="Arial Cyr"/>
      <charset val="204"/>
    </font>
    <font>
      <sz val="10"/>
      <color indexed="8"/>
      <name val="Calibri"/>
      <family val="2"/>
      <charset val="204"/>
    </font>
    <font>
      <b/>
      <i/>
      <sz val="10"/>
      <color indexed="10"/>
      <name val="Arial Cyr"/>
      <charset val="204"/>
    </font>
    <font>
      <b/>
      <i/>
      <sz val="12"/>
      <color indexed="10"/>
      <name val="Times New Roman"/>
      <family val="1"/>
      <charset val="204"/>
    </font>
    <font>
      <sz val="10"/>
      <name val="Arial"/>
      <family val="2"/>
      <charset val="204"/>
    </font>
    <font>
      <i/>
      <sz val="14"/>
      <name val="Times New Roman"/>
      <family val="1"/>
      <charset val="204"/>
    </font>
    <font>
      <b/>
      <sz val="11"/>
      <name val="Times New Roman"/>
      <family val="1"/>
      <charset val="204"/>
    </font>
    <font>
      <b/>
      <sz val="14"/>
      <name val="Times New Roman"/>
      <family val="1"/>
      <charset val="204"/>
    </font>
    <font>
      <b/>
      <i/>
      <sz val="14"/>
      <name val="Times New Roman"/>
      <family val="1"/>
      <charset val="204"/>
    </font>
    <font>
      <b/>
      <sz val="16"/>
      <name val="Times New Roman Cyr"/>
      <family val="1"/>
      <charset val="204"/>
    </font>
    <font>
      <b/>
      <sz val="12"/>
      <name val="Times New Roman Cyr"/>
      <charset val="204"/>
    </font>
    <font>
      <b/>
      <i/>
      <sz val="14"/>
      <name val="Arial Cyr"/>
      <charset val="204"/>
    </font>
    <font>
      <b/>
      <sz val="14"/>
      <name val="Times New Roman Cyr"/>
      <charset val="204"/>
    </font>
    <font>
      <sz val="12"/>
      <name val="Times New Roman Cyr"/>
      <charset val="204"/>
    </font>
    <font>
      <b/>
      <vertAlign val="subscript"/>
      <sz val="14"/>
      <name val="Times New Roman Cyr"/>
      <charset val="204"/>
    </font>
    <font>
      <b/>
      <vertAlign val="subscript"/>
      <sz val="12"/>
      <name val="Times New Roman Cyr"/>
      <charset val="204"/>
    </font>
    <font>
      <b/>
      <sz val="14"/>
      <name val="Sylfaen"/>
      <family val="1"/>
      <charset val="204"/>
    </font>
    <font>
      <b/>
      <sz val="12"/>
      <name val="Sylfaen"/>
      <family val="1"/>
      <charset val="204"/>
    </font>
    <font>
      <sz val="12"/>
      <name val="Sylfaen"/>
      <family val="1"/>
      <charset val="204"/>
    </font>
    <font>
      <sz val="11"/>
      <name val="Times New Roman"/>
      <family val="1"/>
      <charset val="204"/>
    </font>
    <font>
      <b/>
      <i/>
      <sz val="12"/>
      <color indexed="10"/>
      <name val="Times New Roman Cyr"/>
      <charset val="204"/>
    </font>
    <font>
      <sz val="11"/>
      <name val="Times New Roman Cyr"/>
      <charset val="204"/>
    </font>
    <font>
      <b/>
      <i/>
      <sz val="11"/>
      <color indexed="10"/>
      <name val="Times New Roman Cyr"/>
      <charset val="204"/>
    </font>
    <font>
      <b/>
      <sz val="14"/>
      <color indexed="10"/>
      <name val="Times New Roman Cyr"/>
      <charset val="204"/>
    </font>
    <font>
      <sz val="14"/>
      <name val="Arial Cyr"/>
      <charset val="204"/>
    </font>
    <font>
      <b/>
      <sz val="12"/>
      <color indexed="10"/>
      <name val="Times New Roman Cyr"/>
      <charset val="204"/>
    </font>
    <font>
      <b/>
      <i/>
      <sz val="14"/>
      <color indexed="10"/>
      <name val="Times New Roman Cyr"/>
      <charset val="204"/>
    </font>
    <font>
      <i/>
      <sz val="12"/>
      <name val="Times New Roman"/>
      <family val="1"/>
      <charset val="204"/>
    </font>
    <font>
      <i/>
      <sz val="12"/>
      <color indexed="10"/>
      <name val="Arial Cyr"/>
      <family val="2"/>
      <charset val="204"/>
    </font>
    <font>
      <b/>
      <sz val="12"/>
      <color indexed="10"/>
      <name val="Times New Roman"/>
      <family val="1"/>
      <charset val="204"/>
    </font>
    <font>
      <b/>
      <sz val="12"/>
      <name val="Times New Roman"/>
      <family val="1"/>
    </font>
    <font>
      <b/>
      <sz val="9"/>
      <name val="Arial Cyr"/>
      <charset val="204"/>
    </font>
    <font>
      <b/>
      <i/>
      <sz val="12"/>
      <name val="Times New Roman"/>
      <family val="1"/>
      <charset val="204"/>
    </font>
    <font>
      <sz val="11"/>
      <name val="Sylfaen"/>
      <family val="1"/>
      <charset val="204"/>
    </font>
    <font>
      <b/>
      <sz val="11"/>
      <name val="Times New Roman Cyr"/>
      <family val="1"/>
      <charset val="204"/>
    </font>
    <font>
      <b/>
      <sz val="11"/>
      <name val="Arial Cyr"/>
      <charset val="204"/>
    </font>
    <font>
      <b/>
      <sz val="11"/>
      <name val="Times New Roman Cyr"/>
      <charset val="204"/>
    </font>
    <font>
      <b/>
      <i/>
      <sz val="14"/>
      <color indexed="10"/>
      <name val="Arial Cyr"/>
      <charset val="204"/>
    </font>
    <font>
      <b/>
      <i/>
      <sz val="13"/>
      <color indexed="10"/>
      <name val="Arial Cyr"/>
      <charset val="204"/>
    </font>
    <font>
      <b/>
      <i/>
      <sz val="11"/>
      <name val="Times New Roman Cyr"/>
      <charset val="204"/>
    </font>
    <font>
      <b/>
      <sz val="14"/>
      <color indexed="10"/>
      <name val="Times New Roman"/>
      <family val="1"/>
      <charset val="204"/>
    </font>
    <font>
      <i/>
      <sz val="11"/>
      <color indexed="10"/>
      <name val="Times New Roman Cyr"/>
      <charset val="204"/>
    </font>
    <font>
      <b/>
      <i/>
      <sz val="11"/>
      <name val="Times New Roman"/>
      <family val="1"/>
      <charset val="204"/>
    </font>
    <font>
      <b/>
      <i/>
      <sz val="11"/>
      <name val="Arial Cyr"/>
      <family val="2"/>
      <charset val="204"/>
    </font>
    <font>
      <b/>
      <vertAlign val="subscript"/>
      <sz val="11"/>
      <name val="Times New Roman Cyr"/>
      <family val="1"/>
      <charset val="204"/>
    </font>
    <font>
      <vertAlign val="superscript"/>
      <sz val="10"/>
      <name val="Arial Cyr"/>
      <charset val="204"/>
    </font>
    <font>
      <b/>
      <sz val="14"/>
      <color indexed="12"/>
      <name val="Times New Roman"/>
      <family val="1"/>
      <charset val="204"/>
    </font>
    <font>
      <b/>
      <sz val="14"/>
      <color indexed="12"/>
      <name val="Times New Roman Cyr"/>
      <charset val="204"/>
    </font>
    <font>
      <i/>
      <sz val="11"/>
      <name val="Times New Roman Cyr"/>
      <charset val="204"/>
    </font>
    <font>
      <b/>
      <sz val="11"/>
      <color indexed="10"/>
      <name val="Times New Roman Cyr"/>
      <family val="1"/>
      <charset val="204"/>
    </font>
    <font>
      <sz val="11"/>
      <color indexed="12"/>
      <name val="Times New Roman Cyr"/>
      <family val="1"/>
      <charset val="204"/>
    </font>
    <font>
      <b/>
      <i/>
      <sz val="14"/>
      <color indexed="12"/>
      <name val="Times New Roman Cyr"/>
      <charset val="204"/>
    </font>
    <font>
      <b/>
      <i/>
      <sz val="11"/>
      <color indexed="12"/>
      <name val="Times New Roman Cyr"/>
      <charset val="204"/>
    </font>
    <font>
      <sz val="11"/>
      <color indexed="10"/>
      <name val="Times New Roman Cyr"/>
      <family val="1"/>
      <charset val="204"/>
    </font>
    <font>
      <sz val="11"/>
      <color indexed="10"/>
      <name val="Arial Cyr"/>
      <family val="2"/>
      <charset val="204"/>
    </font>
    <font>
      <b/>
      <sz val="14"/>
      <color indexed="48"/>
      <name val="Times New Roman Cyr"/>
      <family val="1"/>
      <charset val="204"/>
    </font>
    <font>
      <vertAlign val="subscript"/>
      <sz val="11"/>
      <name val="Times New Roman Cyr"/>
      <family val="1"/>
      <charset val="204"/>
    </font>
    <font>
      <sz val="11"/>
      <color indexed="10"/>
      <name val="Times New Roman Cyr"/>
      <charset val="204"/>
    </font>
    <font>
      <b/>
      <sz val="11"/>
      <color indexed="10"/>
      <name val="Times New Roman Cyr"/>
      <charset val="204"/>
    </font>
    <font>
      <vertAlign val="subscript"/>
      <sz val="12"/>
      <name val="Arial Cyr"/>
      <charset val="204"/>
    </font>
    <font>
      <sz val="12"/>
      <name val="Times New Roman Cyr"/>
      <family val="1"/>
      <charset val="204"/>
    </font>
    <font>
      <b/>
      <vertAlign val="superscript"/>
      <sz val="10"/>
      <name val="Arial Cyr"/>
      <family val="2"/>
      <charset val="204"/>
    </font>
    <font>
      <i/>
      <sz val="11"/>
      <name val="Times New Roman Cyr"/>
      <family val="1"/>
      <charset val="204"/>
    </font>
    <font>
      <sz val="10"/>
      <name val="Times New Roman Cyr"/>
      <family val="1"/>
      <charset val="204"/>
    </font>
    <font>
      <b/>
      <sz val="10"/>
      <name val="Times New Roman Cyr"/>
      <family val="1"/>
      <charset val="204"/>
    </font>
    <font>
      <b/>
      <vertAlign val="subscript"/>
      <sz val="10"/>
      <name val="Times New Roman Cyr"/>
      <family val="1"/>
      <charset val="204"/>
    </font>
    <font>
      <vertAlign val="superscript"/>
      <sz val="10"/>
      <name val="Times New Roman Cyr"/>
      <family val="1"/>
      <charset val="204"/>
    </font>
    <font>
      <b/>
      <sz val="12"/>
      <name val="Times New Roman Cyr"/>
      <family val="1"/>
      <charset val="204"/>
    </font>
    <font>
      <b/>
      <vertAlign val="subscript"/>
      <sz val="12"/>
      <name val="Times New Roman Cyr"/>
      <family val="1"/>
      <charset val="204"/>
    </font>
    <font>
      <vertAlign val="subscript"/>
      <sz val="11"/>
      <color indexed="10"/>
      <name val="Times New Roman Cyr"/>
      <family val="1"/>
      <charset val="204"/>
    </font>
    <font>
      <b/>
      <i/>
      <sz val="13"/>
      <name val="Arial Cyr"/>
      <charset val="204"/>
    </font>
    <font>
      <b/>
      <i/>
      <vertAlign val="subscript"/>
      <sz val="13"/>
      <name val="Arial Cyr"/>
      <charset val="204"/>
    </font>
    <font>
      <b/>
      <sz val="13"/>
      <name val="Arial Cyr"/>
      <charset val="204"/>
    </font>
    <font>
      <b/>
      <i/>
      <sz val="13"/>
      <name val="Times New Roman Cyr"/>
      <charset val="204"/>
    </font>
    <font>
      <b/>
      <i/>
      <vertAlign val="subscript"/>
      <sz val="13"/>
      <name val="Times New Roman Cyr"/>
      <charset val="204"/>
    </font>
    <font>
      <b/>
      <i/>
      <vertAlign val="superscript"/>
      <sz val="13"/>
      <name val="Times New Roman Cyr"/>
      <charset val="204"/>
    </font>
    <font>
      <b/>
      <i/>
      <sz val="10"/>
      <name val="Times New Roman Cyr"/>
      <charset val="204"/>
    </font>
    <font>
      <sz val="10"/>
      <name val="Times New Roman Cyr"/>
      <charset val="204"/>
    </font>
    <font>
      <b/>
      <sz val="10"/>
      <name val="Arial"/>
      <family val="2"/>
      <charset val="204"/>
    </font>
    <font>
      <b/>
      <vertAlign val="subscript"/>
      <sz val="10"/>
      <name val="Arial"/>
      <family val="2"/>
      <charset val="204"/>
    </font>
    <font>
      <sz val="12"/>
      <color indexed="10"/>
      <name val="Arial"/>
      <family val="2"/>
      <charset val="204"/>
    </font>
    <font>
      <b/>
      <sz val="12"/>
      <color indexed="10"/>
      <name val="Arial"/>
      <family val="2"/>
      <charset val="204"/>
    </font>
    <font>
      <b/>
      <vertAlign val="subscript"/>
      <sz val="12"/>
      <color indexed="10"/>
      <name val="Arial"/>
      <family val="2"/>
      <charset val="204"/>
    </font>
    <font>
      <sz val="10"/>
      <color indexed="10"/>
      <name val="Arial"/>
      <family val="2"/>
      <charset val="204"/>
    </font>
    <font>
      <b/>
      <vertAlign val="subscript"/>
      <sz val="14"/>
      <name val="Arial Cyr"/>
      <charset val="204"/>
    </font>
    <font>
      <vertAlign val="subscript"/>
      <sz val="11"/>
      <name val="Times New Roman Cyr"/>
      <charset val="204"/>
    </font>
    <font>
      <vertAlign val="superscript"/>
      <sz val="11"/>
      <name val="Times New Roman Cyr"/>
      <charset val="204"/>
    </font>
    <font>
      <b/>
      <vertAlign val="subscript"/>
      <sz val="14"/>
      <color indexed="10"/>
      <name val="Arial Cyr"/>
      <charset val="204"/>
    </font>
    <font>
      <sz val="10"/>
      <color indexed="12"/>
      <name val="Arial Cyr"/>
      <charset val="204"/>
    </font>
    <font>
      <b/>
      <sz val="10"/>
      <color indexed="12"/>
      <name val="Arial Cyr"/>
      <family val="2"/>
      <charset val="204"/>
    </font>
    <font>
      <i/>
      <vertAlign val="superscript"/>
      <sz val="10"/>
      <name val="Arial Cyr"/>
      <charset val="204"/>
    </font>
    <font>
      <sz val="14"/>
      <color indexed="12"/>
      <name val="Arial Cyr"/>
      <charset val="204"/>
    </font>
    <font>
      <vertAlign val="subscript"/>
      <sz val="14"/>
      <color indexed="12"/>
      <name val="Arial Cyr"/>
      <charset val="204"/>
    </font>
    <font>
      <vertAlign val="superscript"/>
      <sz val="14"/>
      <color indexed="12"/>
      <name val="Arial Cyr"/>
      <charset val="204"/>
    </font>
    <font>
      <vertAlign val="superscript"/>
      <sz val="10"/>
      <color indexed="12"/>
      <name val="Arial Cyr"/>
      <charset val="204"/>
    </font>
    <font>
      <vertAlign val="subscript"/>
      <sz val="14"/>
      <name val="Arial Cyr"/>
      <charset val="204"/>
    </font>
    <font>
      <vertAlign val="superscript"/>
      <sz val="14"/>
      <name val="Arial Cyr"/>
      <charset val="204"/>
    </font>
    <font>
      <b/>
      <sz val="12"/>
      <color indexed="10"/>
      <name val="Times New Roman Cyr"/>
      <family val="1"/>
      <charset val="204"/>
    </font>
    <font>
      <b/>
      <vertAlign val="subscript"/>
      <sz val="11"/>
      <color indexed="10"/>
      <name val="Times New Roman Cyr"/>
      <family val="1"/>
      <charset val="204"/>
    </font>
    <font>
      <b/>
      <i/>
      <vertAlign val="subscript"/>
      <sz val="10"/>
      <name val="Arial Cyr"/>
      <charset val="204"/>
    </font>
    <font>
      <b/>
      <i/>
      <vertAlign val="superscript"/>
      <sz val="10"/>
      <name val="Arial Cyr"/>
      <charset val="204"/>
    </font>
    <font>
      <b/>
      <vertAlign val="subscript"/>
      <sz val="12"/>
      <color indexed="10"/>
      <name val="Arial Cyr"/>
      <charset val="204"/>
    </font>
    <font>
      <b/>
      <sz val="10"/>
      <color indexed="12"/>
      <name val="Arial Cyr"/>
      <charset val="204"/>
    </font>
    <font>
      <b/>
      <vertAlign val="subscript"/>
      <sz val="12"/>
      <name val="Arial Cyr"/>
      <charset val="204"/>
    </font>
    <font>
      <b/>
      <vertAlign val="superscript"/>
      <sz val="12"/>
      <name val="Arial Cyr"/>
      <charset val="204"/>
    </font>
    <font>
      <b/>
      <vertAlign val="superscript"/>
      <sz val="14"/>
      <name val="Arial Cyr"/>
      <charset val="204"/>
    </font>
    <font>
      <b/>
      <vertAlign val="subscript"/>
      <sz val="11"/>
      <color indexed="10"/>
      <name val="Arial Cyr"/>
      <charset val="204"/>
    </font>
    <font>
      <vertAlign val="superscript"/>
      <sz val="12"/>
      <name val="Arial Cyr"/>
      <charset val="204"/>
    </font>
    <font>
      <b/>
      <vertAlign val="superscript"/>
      <sz val="11"/>
      <color indexed="10"/>
      <name val="Arial Cyr"/>
      <charset val="204"/>
    </font>
    <font>
      <b/>
      <sz val="10"/>
      <color indexed="10"/>
      <name val="Arial Unicode MS"/>
      <family val="2"/>
      <charset val="204"/>
    </font>
    <font>
      <b/>
      <vertAlign val="superscript"/>
      <sz val="10"/>
      <color indexed="10"/>
      <name val="Arial Unicode MS"/>
      <family val="2"/>
      <charset val="204"/>
    </font>
    <font>
      <i/>
      <vertAlign val="superscript"/>
      <sz val="11"/>
      <name val="Times New Roman Cyr"/>
      <charset val="204"/>
    </font>
    <font>
      <i/>
      <vertAlign val="subscript"/>
      <sz val="11"/>
      <name val="Times New Roman Cyr"/>
      <charset val="204"/>
    </font>
    <font>
      <i/>
      <vertAlign val="superscript"/>
      <sz val="12"/>
      <name val="Times New Roman Cyr"/>
      <charset val="204"/>
    </font>
    <font>
      <i/>
      <vertAlign val="subscript"/>
      <sz val="12"/>
      <name val="Times New Roman Cyr"/>
      <charset val="204"/>
    </font>
    <font>
      <b/>
      <vertAlign val="subscript"/>
      <sz val="12"/>
      <color indexed="10"/>
      <name val="Times New Roman Cyr"/>
      <charset val="204"/>
    </font>
    <font>
      <b/>
      <sz val="12"/>
      <color indexed="12"/>
      <name val="Arial Cyr"/>
      <charset val="204"/>
    </font>
    <font>
      <vertAlign val="subscript"/>
      <sz val="12"/>
      <name val="Times New Roman Cyr"/>
      <charset val="204"/>
    </font>
    <font>
      <vertAlign val="superscript"/>
      <sz val="11"/>
      <color indexed="10"/>
      <name val="Times New Roman Cyr"/>
      <family val="1"/>
      <charset val="204"/>
    </font>
    <font>
      <sz val="11"/>
      <color indexed="10"/>
      <name val="Sylfaen"/>
      <family val="1"/>
      <charset val="204"/>
    </font>
    <font>
      <vertAlign val="subscript"/>
      <sz val="11"/>
      <color indexed="10"/>
      <name val="Times New Roman Cyr"/>
      <charset val="204"/>
    </font>
    <font>
      <b/>
      <vertAlign val="subscript"/>
      <sz val="11"/>
      <name val="Times New Roman Cyr"/>
      <charset val="204"/>
    </font>
    <font>
      <b/>
      <vertAlign val="superscript"/>
      <sz val="11"/>
      <name val="Times New Roman Cyr"/>
      <charset val="204"/>
    </font>
    <font>
      <vertAlign val="subscript"/>
      <sz val="14"/>
      <name val="Times New Roman Cyr"/>
      <charset val="204"/>
    </font>
    <font>
      <b/>
      <sz val="11"/>
      <color indexed="48"/>
      <name val="Times New Roman Cyr"/>
      <charset val="204"/>
    </font>
    <font>
      <b/>
      <sz val="11"/>
      <color indexed="12"/>
      <name val="Times New Roman Cyr"/>
      <charset val="204"/>
    </font>
    <font>
      <b/>
      <vertAlign val="subscript"/>
      <sz val="12"/>
      <name val="Arial Cyr"/>
      <family val="2"/>
      <charset val="204"/>
    </font>
    <font>
      <b/>
      <vertAlign val="subscript"/>
      <sz val="10"/>
      <color indexed="12"/>
      <name val="Arial Cyr"/>
      <family val="2"/>
      <charset val="204"/>
    </font>
    <font>
      <sz val="12"/>
      <color indexed="12"/>
      <name val="Arial Cyr"/>
      <family val="2"/>
      <charset val="204"/>
    </font>
    <font>
      <vertAlign val="subscript"/>
      <sz val="10"/>
      <color indexed="12"/>
      <name val="Arial Cyr"/>
      <family val="2"/>
      <charset val="204"/>
    </font>
    <font>
      <sz val="10"/>
      <color indexed="12"/>
      <name val="Arial Cyr"/>
      <family val="2"/>
      <charset val="204"/>
    </font>
    <font>
      <sz val="10"/>
      <color indexed="49"/>
      <name val="Arial Cyr"/>
      <charset val="204"/>
    </font>
    <font>
      <b/>
      <sz val="11"/>
      <name val="Arial"/>
      <family val="2"/>
      <charset val="204"/>
    </font>
    <font>
      <b/>
      <sz val="8"/>
      <color indexed="81"/>
      <name val="Tahoma"/>
      <family val="2"/>
      <charset val="204"/>
    </font>
    <font>
      <sz val="8"/>
      <color indexed="10"/>
      <name val="Tahoma"/>
      <family val="2"/>
      <charset val="204"/>
    </font>
    <font>
      <b/>
      <sz val="8"/>
      <color indexed="10"/>
      <name val="Tahoma"/>
      <family val="2"/>
      <charset val="204"/>
    </font>
    <font>
      <b/>
      <sz val="16"/>
      <name val="Arial Cyr"/>
      <family val="2"/>
      <charset val="204"/>
    </font>
    <font>
      <b/>
      <i/>
      <sz val="14"/>
      <color indexed="10"/>
      <name val="Times New Roman"/>
      <family val="1"/>
      <charset val="204"/>
    </font>
    <font>
      <b/>
      <sz val="8"/>
      <color indexed="10"/>
      <name val="Tahoma"/>
      <family val="2"/>
    </font>
    <font>
      <sz val="16"/>
      <name val="Times New Roman"/>
      <family val="1"/>
      <charset val="204"/>
    </font>
    <font>
      <sz val="14"/>
      <color indexed="10"/>
      <name val="Arial Cyr"/>
      <charset val="204"/>
    </font>
    <font>
      <sz val="12"/>
      <color indexed="10"/>
      <name val="Times New Roman"/>
      <family val="1"/>
      <charset val="204"/>
    </font>
    <font>
      <i/>
      <sz val="12"/>
      <color indexed="10"/>
      <name val="Arial Cyr"/>
      <charset val="204"/>
    </font>
    <font>
      <i/>
      <sz val="12"/>
      <name val="Arial Cyr"/>
      <charset val="204"/>
    </font>
    <font>
      <i/>
      <sz val="14"/>
      <name val="Arial Cyr"/>
      <charset val="204"/>
    </font>
    <font>
      <b/>
      <sz val="11"/>
      <color indexed="10"/>
      <name val="Arial Cyr"/>
      <family val="2"/>
      <charset val="204"/>
    </font>
    <font>
      <b/>
      <i/>
      <vertAlign val="subscript"/>
      <sz val="12"/>
      <name val="Arial Cyr"/>
      <charset val="204"/>
    </font>
    <font>
      <sz val="12"/>
      <color indexed="12"/>
      <name val="Times New Roman"/>
      <family val="1"/>
      <charset val="204"/>
    </font>
    <font>
      <i/>
      <vertAlign val="superscript"/>
      <sz val="12"/>
      <name val="Arial Cyr"/>
      <charset val="204"/>
    </font>
    <font>
      <i/>
      <vertAlign val="subscript"/>
      <sz val="12"/>
      <name val="Arial Cyr"/>
      <charset val="204"/>
    </font>
    <font>
      <sz val="12"/>
      <name val="Arial"/>
      <family val="2"/>
      <charset val="204"/>
    </font>
    <font>
      <b/>
      <sz val="14"/>
      <color indexed="8"/>
      <name val="Arial Cyr"/>
      <charset val="204"/>
    </font>
    <font>
      <b/>
      <i/>
      <sz val="12"/>
      <color indexed="10"/>
      <name val="Arial Cyr"/>
      <family val="2"/>
      <charset val="204"/>
    </font>
    <font>
      <b/>
      <i/>
      <sz val="12"/>
      <color indexed="12"/>
      <name val="Arial Cyr"/>
      <charset val="204"/>
    </font>
    <font>
      <b/>
      <i/>
      <sz val="14"/>
      <color indexed="12"/>
      <name val="Arial Cyr"/>
      <charset val="204"/>
    </font>
    <font>
      <sz val="11"/>
      <color indexed="10"/>
      <name val="Arial Cyr"/>
      <charset val="204"/>
    </font>
    <font>
      <sz val="10"/>
      <name val="Arial Cyr"/>
      <charset val="204"/>
    </font>
    <font>
      <b/>
      <i/>
      <sz val="10"/>
      <color indexed="48"/>
      <name val="Times New Roman"/>
      <family val="1"/>
    </font>
    <font>
      <b/>
      <sz val="10"/>
      <color indexed="48"/>
      <name val="Times New Roman"/>
      <family val="1"/>
    </font>
    <font>
      <sz val="10"/>
      <color indexed="48"/>
      <name val="Times New Roman"/>
      <family val="1"/>
    </font>
    <font>
      <i/>
      <u/>
      <sz val="10"/>
      <color indexed="12"/>
      <name val="Arial Cyr"/>
      <charset val="204"/>
    </font>
    <font>
      <sz val="14"/>
      <color indexed="10"/>
      <name val="Times New Roman"/>
      <family val="1"/>
      <charset val="204"/>
    </font>
    <font>
      <b/>
      <sz val="18"/>
      <name val="Times New Roman"/>
      <family val="1"/>
      <charset val="204"/>
    </font>
    <font>
      <sz val="18"/>
      <color indexed="54"/>
      <name val="Calibri Light"/>
      <family val="2"/>
      <charset val="204"/>
    </font>
    <font>
      <b/>
      <sz val="15"/>
      <color indexed="54"/>
      <name val="Arial"/>
      <family val="2"/>
      <charset val="204"/>
    </font>
    <font>
      <b/>
      <sz val="13"/>
      <color indexed="54"/>
      <name val="Arial"/>
      <family val="2"/>
      <charset val="204"/>
    </font>
    <font>
      <b/>
      <sz val="11"/>
      <color indexed="54"/>
      <name val="Arial"/>
      <family val="2"/>
      <charset val="204"/>
    </font>
    <font>
      <sz val="12"/>
      <color indexed="17"/>
      <name val="Arial"/>
      <family val="2"/>
      <charset val="204"/>
    </font>
    <font>
      <sz val="12"/>
      <color indexed="20"/>
      <name val="Arial"/>
      <family val="2"/>
      <charset val="204"/>
    </font>
    <font>
      <sz val="12"/>
      <color indexed="60"/>
      <name val="Arial"/>
      <family val="2"/>
      <charset val="204"/>
    </font>
    <font>
      <sz val="12"/>
      <color indexed="62"/>
      <name val="Arial"/>
      <family val="2"/>
      <charset val="204"/>
    </font>
    <font>
      <b/>
      <sz val="12"/>
      <color indexed="63"/>
      <name val="Arial"/>
      <family val="2"/>
      <charset val="204"/>
    </font>
    <font>
      <b/>
      <sz val="12"/>
      <color indexed="52"/>
      <name val="Arial"/>
      <family val="2"/>
      <charset val="204"/>
    </font>
    <font>
      <sz val="12"/>
      <color indexed="52"/>
      <name val="Arial"/>
      <family val="2"/>
      <charset val="204"/>
    </font>
    <font>
      <b/>
      <sz val="12"/>
      <color indexed="9"/>
      <name val="Arial"/>
      <family val="2"/>
      <charset val="204"/>
    </font>
    <font>
      <sz val="12"/>
      <color indexed="10"/>
      <name val="Arial"/>
      <family val="2"/>
      <charset val="204"/>
    </font>
    <font>
      <i/>
      <sz val="12"/>
      <color indexed="23"/>
      <name val="Arial"/>
      <family val="2"/>
      <charset val="204"/>
    </font>
    <font>
      <b/>
      <sz val="12"/>
      <color indexed="8"/>
      <name val="Arial"/>
      <family val="2"/>
      <charset val="204"/>
    </font>
    <font>
      <sz val="12"/>
      <color indexed="9"/>
      <name val="Arial"/>
      <family val="2"/>
      <charset val="204"/>
    </font>
    <font>
      <sz val="12"/>
      <color indexed="8"/>
      <name val="Arial"/>
      <family val="2"/>
      <charset val="204"/>
    </font>
    <font>
      <sz val="14"/>
      <name val="Times New Roman"/>
      <family val="1"/>
      <charset val="204"/>
    </font>
    <font>
      <b/>
      <i/>
      <sz val="14"/>
      <color indexed="12"/>
      <name val="Times New Roman"/>
      <family val="1"/>
      <charset val="204"/>
    </font>
    <font>
      <i/>
      <sz val="14"/>
      <color indexed="12"/>
      <name val="Times New Roman"/>
      <family val="1"/>
      <charset val="204"/>
    </font>
    <font>
      <i/>
      <sz val="12"/>
      <color indexed="12"/>
      <name val="Arial Cyr"/>
      <charset val="204"/>
    </font>
    <font>
      <b/>
      <vertAlign val="subscript"/>
      <sz val="14"/>
      <name val="Times New Roman"/>
      <family val="1"/>
      <charset val="204"/>
    </font>
    <font>
      <sz val="12"/>
      <name val="Times New Roman"/>
      <family val="1"/>
    </font>
    <font>
      <sz val="8"/>
      <name val="Times New Roman"/>
      <family val="1"/>
      <charset val="204"/>
    </font>
    <font>
      <sz val="10"/>
      <color indexed="8"/>
      <name val="Arial Cyr"/>
      <family val="2"/>
      <charset val="204"/>
    </font>
    <font>
      <sz val="10"/>
      <name val="Times New Roman"/>
      <family val="1"/>
    </font>
    <font>
      <sz val="10"/>
      <name val="Arial"/>
      <family val="2"/>
    </font>
    <font>
      <sz val="12"/>
      <color indexed="10"/>
      <name val="Arial Cyr"/>
      <family val="2"/>
      <charset val="204"/>
    </font>
    <font>
      <b/>
      <sz val="16"/>
      <name val="Arial Cyr"/>
      <charset val="204"/>
    </font>
    <font>
      <sz val="12"/>
      <color indexed="57"/>
      <name val="Arial Cyr"/>
      <family val="2"/>
      <charset val="204"/>
    </font>
    <font>
      <b/>
      <sz val="12"/>
      <color indexed="14"/>
      <name val="Times New Roman"/>
      <family val="1"/>
    </font>
    <font>
      <b/>
      <sz val="12"/>
      <color indexed="10"/>
      <name val="Times New Roman"/>
      <family val="1"/>
    </font>
    <font>
      <sz val="12"/>
      <color indexed="14"/>
      <name val="Times New Roman"/>
      <family val="1"/>
    </font>
    <font>
      <sz val="12"/>
      <color indexed="8"/>
      <name val="Times New Roman"/>
      <family val="1"/>
    </font>
    <font>
      <sz val="12"/>
      <color indexed="12"/>
      <name val="Times New Roman"/>
      <family val="1"/>
    </font>
    <font>
      <b/>
      <i/>
      <sz val="12"/>
      <name val="Times New Roman"/>
      <family val="1"/>
    </font>
    <font>
      <b/>
      <i/>
      <u/>
      <sz val="12"/>
      <name val="Times New Roman"/>
      <family val="1"/>
    </font>
    <font>
      <b/>
      <u/>
      <sz val="12"/>
      <name val="Times New Roman"/>
      <family val="1"/>
    </font>
    <font>
      <b/>
      <i/>
      <sz val="12"/>
      <color indexed="10"/>
      <name val="Times New Roman"/>
      <family val="1"/>
    </font>
    <font>
      <b/>
      <sz val="12"/>
      <color indexed="8"/>
      <name val="Times New Roman"/>
      <family val="1"/>
    </font>
    <font>
      <b/>
      <sz val="12"/>
      <color indexed="20"/>
      <name val="Times New Roman"/>
      <family val="1"/>
    </font>
    <font>
      <sz val="12"/>
      <color indexed="57"/>
      <name val="Times New Roman"/>
      <family val="1"/>
    </font>
    <font>
      <sz val="12"/>
      <color indexed="48"/>
      <name val="Arial Cyr"/>
      <family val="2"/>
      <charset val="204"/>
    </font>
    <font>
      <sz val="12"/>
      <color indexed="40"/>
      <name val="Arial Cyr"/>
      <family val="2"/>
      <charset val="204"/>
    </font>
    <font>
      <sz val="12"/>
      <color indexed="21"/>
      <name val="Arial Cyr"/>
      <family val="2"/>
      <charset val="204"/>
    </font>
    <font>
      <sz val="12"/>
      <color indexed="48"/>
      <name val="Arial Cyr"/>
      <charset val="204"/>
    </font>
    <font>
      <b/>
      <sz val="16"/>
      <color indexed="10"/>
      <name val="Arial Cyr"/>
      <charset val="204"/>
    </font>
    <font>
      <b/>
      <sz val="12"/>
      <name val="Arial Cyr"/>
    </font>
    <font>
      <b/>
      <i/>
      <sz val="12"/>
      <name val="Arial"/>
      <family val="2"/>
    </font>
    <font>
      <sz val="10"/>
      <color indexed="10"/>
      <name val="Arial"/>
      <family val="2"/>
    </font>
    <font>
      <sz val="22"/>
      <name val="Arial Cyr"/>
      <charset val="204"/>
    </font>
    <font>
      <sz val="12"/>
      <color indexed="8"/>
      <name val="Times New Roman"/>
      <family val="1"/>
      <charset val="204"/>
    </font>
    <font>
      <b/>
      <sz val="10"/>
      <name val="Arial"/>
      <family val="2"/>
    </font>
    <font>
      <b/>
      <sz val="10"/>
      <color indexed="10"/>
      <name val="Arial"/>
      <family val="2"/>
    </font>
    <font>
      <b/>
      <sz val="10"/>
      <color indexed="14"/>
      <name val="Arial"/>
      <family val="2"/>
    </font>
    <font>
      <sz val="11"/>
      <name val="Arial"/>
      <family val="2"/>
    </font>
    <font>
      <b/>
      <sz val="10"/>
      <color indexed="40"/>
      <name val="Arial"/>
      <family val="2"/>
    </font>
    <font>
      <sz val="12"/>
      <color indexed="11"/>
      <name val="Arial Cyr"/>
      <family val="2"/>
      <charset val="204"/>
    </font>
    <font>
      <i/>
      <sz val="16"/>
      <name val="Times New Roman"/>
      <family val="1"/>
      <charset val="204"/>
    </font>
    <font>
      <sz val="12"/>
      <color indexed="14"/>
      <name val="Times New Roman"/>
      <family val="1"/>
      <charset val="204"/>
    </font>
    <font>
      <sz val="12"/>
      <color indexed="14"/>
      <name val="Arial Cyr"/>
      <charset val="204"/>
    </font>
    <font>
      <b/>
      <i/>
      <u/>
      <sz val="12"/>
      <name val="Arial Cyr"/>
    </font>
    <font>
      <b/>
      <sz val="12"/>
      <color indexed="48"/>
      <name val="Arial Cyr"/>
      <charset val="204"/>
    </font>
    <font>
      <sz val="9"/>
      <name val="Times New Roman"/>
      <family val="1"/>
      <charset val="204"/>
    </font>
    <font>
      <sz val="8"/>
      <name val="Times New Roman"/>
      <family val="1"/>
      <charset val="204"/>
    </font>
    <font>
      <sz val="7"/>
      <name val="Times New Roman"/>
      <family val="1"/>
      <charset val="204"/>
    </font>
    <font>
      <b/>
      <sz val="14"/>
      <color indexed="8"/>
      <name val="Calibri"/>
      <family val="2"/>
      <charset val="204"/>
    </font>
    <font>
      <sz val="10"/>
      <color indexed="8"/>
      <name val="Calibri"/>
      <family val="2"/>
      <charset val="204"/>
    </font>
    <font>
      <sz val="11"/>
      <color indexed="8"/>
      <name val="Calibri"/>
      <family val="2"/>
      <charset val="204"/>
    </font>
    <font>
      <sz val="11"/>
      <color indexed="8"/>
      <name val="Calibri"/>
      <family val="2"/>
      <charset val="204"/>
    </font>
    <font>
      <sz val="11"/>
      <name val="Calibri"/>
      <family val="2"/>
      <charset val="204"/>
    </font>
    <font>
      <b/>
      <u/>
      <sz val="14"/>
      <color indexed="10"/>
      <name val="Calibri"/>
      <family val="2"/>
      <charset val="204"/>
    </font>
    <font>
      <b/>
      <sz val="14"/>
      <color indexed="10"/>
      <name val="Calibri"/>
      <family val="2"/>
      <charset val="204"/>
    </font>
    <font>
      <vertAlign val="superscript"/>
      <sz val="11"/>
      <color indexed="8"/>
      <name val="Calibri"/>
      <family val="2"/>
      <charset val="204"/>
    </font>
    <font>
      <sz val="11"/>
      <name val="Calibri"/>
      <family val="2"/>
      <charset val="204"/>
    </font>
    <font>
      <vertAlign val="superscript"/>
      <sz val="11"/>
      <name val="Calibri"/>
      <family val="2"/>
      <charset val="204"/>
    </font>
    <font>
      <b/>
      <sz val="14"/>
      <name val="Calibri"/>
      <family val="2"/>
      <charset val="204"/>
    </font>
    <font>
      <b/>
      <sz val="14"/>
      <color indexed="8"/>
      <name val="Times New Roman"/>
      <family val="1"/>
      <charset val="204"/>
    </font>
    <font>
      <b/>
      <i/>
      <sz val="14"/>
      <color indexed="8"/>
      <name val="Calibri"/>
      <family val="2"/>
      <charset val="204"/>
    </font>
    <font>
      <b/>
      <i/>
      <sz val="12"/>
      <color indexed="8"/>
      <name val="Calibri"/>
      <family val="2"/>
      <charset val="204"/>
    </font>
    <font>
      <sz val="11"/>
      <color indexed="10"/>
      <name val="Calibri"/>
      <family val="2"/>
      <charset val="204"/>
    </font>
    <font>
      <b/>
      <sz val="11"/>
      <color indexed="10"/>
      <name val="Calibri"/>
      <family val="2"/>
      <charset val="204"/>
    </font>
    <font>
      <b/>
      <sz val="11"/>
      <color indexed="8"/>
      <name val="Calibri"/>
      <family val="2"/>
      <charset val="204"/>
    </font>
    <font>
      <sz val="11"/>
      <color indexed="10"/>
      <name val="Calibri"/>
      <family val="2"/>
      <charset val="204"/>
    </font>
    <font>
      <b/>
      <i/>
      <sz val="12"/>
      <color indexed="8"/>
      <name val="Calibri"/>
      <family val="2"/>
      <charset val="204"/>
    </font>
    <font>
      <sz val="10"/>
      <color indexed="10"/>
      <name val="Calibri"/>
      <family val="2"/>
      <charset val="204"/>
    </font>
    <font>
      <sz val="11"/>
      <color indexed="12"/>
      <name val="Calibri"/>
      <family val="2"/>
      <charset val="204"/>
    </font>
    <font>
      <sz val="10"/>
      <color indexed="48"/>
      <name val="Arial Cyr"/>
      <family val="2"/>
      <charset val="204"/>
    </font>
    <font>
      <sz val="10"/>
      <color indexed="21"/>
      <name val="Arial Cyr"/>
      <family val="2"/>
      <charset val="204"/>
    </font>
    <font>
      <b/>
      <i/>
      <sz val="11"/>
      <color indexed="8"/>
      <name val="Calibri"/>
      <family val="2"/>
      <charset val="204"/>
    </font>
    <font>
      <sz val="11"/>
      <color indexed="10"/>
      <name val="Times New Roman"/>
      <family val="1"/>
      <charset val="204"/>
    </font>
    <font>
      <sz val="11"/>
      <color indexed="12"/>
      <name val="Calibri"/>
      <family val="2"/>
      <charset val="204"/>
    </font>
    <font>
      <sz val="11"/>
      <color indexed="14"/>
      <name val="Calibri"/>
      <family val="2"/>
      <charset val="204"/>
    </font>
    <font>
      <sz val="10"/>
      <color indexed="10"/>
      <name val="Calibri"/>
      <family val="2"/>
      <charset val="204"/>
    </font>
    <font>
      <b/>
      <sz val="14"/>
      <color indexed="8"/>
      <name val="Calibri"/>
      <family val="2"/>
      <charset val="204"/>
    </font>
    <font>
      <sz val="20"/>
      <color indexed="8"/>
      <name val="Calibri"/>
      <family val="2"/>
      <charset val="204"/>
    </font>
    <font>
      <b/>
      <sz val="10"/>
      <color indexed="10"/>
      <name val="Calibri"/>
      <family val="2"/>
      <charset val="204"/>
    </font>
    <font>
      <b/>
      <sz val="12"/>
      <name val="Calibri"/>
      <family val="2"/>
      <charset val="204"/>
    </font>
    <font>
      <sz val="12"/>
      <color indexed="10"/>
      <name val="Calibri"/>
      <family val="2"/>
      <charset val="204"/>
    </font>
    <font>
      <vertAlign val="superscript"/>
      <sz val="11"/>
      <color indexed="10"/>
      <name val="Calibri"/>
      <family val="2"/>
      <charset val="204"/>
    </font>
    <font>
      <b/>
      <sz val="11"/>
      <name val="Calibri"/>
      <family val="2"/>
      <charset val="204"/>
    </font>
    <font>
      <b/>
      <sz val="11"/>
      <color indexed="10"/>
      <name val="Calibri"/>
      <family val="2"/>
      <charset val="204"/>
    </font>
    <font>
      <sz val="10"/>
      <color indexed="30"/>
      <name val="Arial Cyr"/>
      <family val="2"/>
      <charset val="204"/>
    </font>
    <font>
      <sz val="10"/>
      <color indexed="40"/>
      <name val="Arial Cyr"/>
      <family val="2"/>
      <charset val="204"/>
    </font>
    <font>
      <b/>
      <i/>
      <sz val="11"/>
      <color indexed="8"/>
      <name val="Calibri"/>
      <family val="2"/>
      <charset val="204"/>
    </font>
    <font>
      <b/>
      <sz val="12"/>
      <color indexed="8"/>
      <name val="Calibri"/>
      <family val="2"/>
      <charset val="204"/>
    </font>
    <font>
      <b/>
      <sz val="14"/>
      <color indexed="10"/>
      <name val="Calibri"/>
      <family val="2"/>
      <charset val="204"/>
    </font>
    <font>
      <b/>
      <sz val="12"/>
      <color indexed="8"/>
      <name val="Calibri"/>
      <family val="2"/>
      <charset val="204"/>
    </font>
    <font>
      <b/>
      <sz val="10"/>
      <color indexed="8"/>
      <name val="Calibri"/>
      <family val="2"/>
      <charset val="204"/>
    </font>
    <font>
      <b/>
      <sz val="11"/>
      <name val="Calibri"/>
      <family val="2"/>
      <charset val="204"/>
    </font>
    <font>
      <b/>
      <sz val="10"/>
      <color indexed="8"/>
      <name val="Calibri"/>
      <family val="2"/>
      <charset val="204"/>
    </font>
    <font>
      <sz val="10"/>
      <color indexed="8"/>
      <name val="Arial Cyr"/>
      <charset val="204"/>
    </font>
    <font>
      <b/>
      <sz val="16"/>
      <name val="Times New Roman"/>
      <family val="1"/>
      <charset val="204"/>
    </font>
    <font>
      <b/>
      <sz val="18"/>
      <name val="Arial Cyr"/>
      <charset val="204"/>
    </font>
    <font>
      <b/>
      <i/>
      <sz val="12"/>
      <color indexed="12"/>
      <name val="Times New Roman"/>
      <family val="1"/>
      <charset val="204"/>
    </font>
    <font>
      <b/>
      <sz val="20"/>
      <name val="Times New Roman"/>
      <family val="1"/>
      <charset val="204"/>
    </font>
    <font>
      <b/>
      <i/>
      <sz val="16"/>
      <name val="Times New Roman"/>
      <family val="1"/>
      <charset val="204"/>
    </font>
    <font>
      <vertAlign val="subscript"/>
      <sz val="11"/>
      <name val="Times New Roman"/>
      <family val="1"/>
      <charset val="204"/>
    </font>
    <font>
      <vertAlign val="superscript"/>
      <sz val="11"/>
      <name val="Times New Roman"/>
      <family val="1"/>
      <charset val="204"/>
    </font>
    <font>
      <sz val="10"/>
      <color indexed="10"/>
      <name val="Times New Roman"/>
      <family val="1"/>
    </font>
    <font>
      <b/>
      <vertAlign val="subscript"/>
      <sz val="12"/>
      <name val="Times New Roman"/>
      <family val="1"/>
      <charset val="204"/>
    </font>
    <font>
      <b/>
      <sz val="10"/>
      <color indexed="10"/>
      <name val="Times New Roman"/>
      <family val="1"/>
    </font>
    <font>
      <b/>
      <sz val="10"/>
      <name val="Times New Roman"/>
      <family val="1"/>
    </font>
    <font>
      <vertAlign val="subscript"/>
      <sz val="12"/>
      <name val="Times New Roman"/>
      <family val="1"/>
      <charset val="204"/>
    </font>
    <font>
      <b/>
      <i/>
      <sz val="12"/>
      <color indexed="10"/>
      <name val="Arial"/>
      <family val="2"/>
      <charset val="204"/>
    </font>
    <font>
      <b/>
      <vertAlign val="subscript"/>
      <sz val="11"/>
      <name val="Arial Cyr"/>
      <charset val="204"/>
    </font>
    <font>
      <b/>
      <sz val="12"/>
      <name val="Arial"/>
      <family val="2"/>
      <charset val="204"/>
    </font>
    <font>
      <b/>
      <i/>
      <sz val="10"/>
      <name val="Times New Roman"/>
      <family val="1"/>
      <charset val="204"/>
    </font>
    <font>
      <b/>
      <sz val="11"/>
      <name val="Sylfaen"/>
      <family val="1"/>
      <charset val="204"/>
    </font>
    <font>
      <b/>
      <vertAlign val="subscript"/>
      <sz val="11"/>
      <name val="Times New Roman"/>
      <family val="1"/>
      <charset val="204"/>
    </font>
    <font>
      <b/>
      <sz val="12"/>
      <color indexed="10"/>
      <name val="Sylfaen"/>
      <family val="1"/>
      <charset val="204"/>
    </font>
    <font>
      <b/>
      <vertAlign val="subscript"/>
      <sz val="12"/>
      <color indexed="10"/>
      <name val="Times New Roman"/>
      <family val="1"/>
      <charset val="204"/>
    </font>
    <font>
      <b/>
      <i/>
      <sz val="12"/>
      <color indexed="12"/>
      <name val="Arial"/>
      <family val="2"/>
      <charset val="204"/>
    </font>
    <font>
      <b/>
      <sz val="10"/>
      <color indexed="18"/>
      <name val="Arial Cyr"/>
      <charset val="204"/>
    </font>
    <font>
      <vertAlign val="superscript"/>
      <sz val="12"/>
      <name val="Times New Roman"/>
      <family val="1"/>
      <charset val="204"/>
    </font>
    <font>
      <b/>
      <vertAlign val="superscript"/>
      <sz val="12"/>
      <name val="Times New Roman"/>
      <family val="1"/>
      <charset val="204"/>
    </font>
    <font>
      <i/>
      <sz val="12"/>
      <color indexed="12"/>
      <name val="Times New Roman"/>
      <family val="1"/>
      <charset val="204"/>
    </font>
    <font>
      <vertAlign val="subscript"/>
      <sz val="14"/>
      <name val="Times New Roman"/>
      <family val="1"/>
      <charset val="204"/>
    </font>
    <font>
      <i/>
      <sz val="10"/>
      <color indexed="12"/>
      <name val="Arial Cyr"/>
      <charset val="204"/>
    </font>
    <font>
      <b/>
      <i/>
      <sz val="10"/>
      <color indexed="10"/>
      <name val="Times New Roman"/>
      <family val="1"/>
    </font>
    <font>
      <b/>
      <u/>
      <sz val="14"/>
      <name val="Times New Roman"/>
      <family val="1"/>
      <charset val="204"/>
    </font>
    <font>
      <b/>
      <sz val="14"/>
      <name val="Times New Roman"/>
      <family val="1"/>
    </font>
    <font>
      <b/>
      <sz val="9"/>
      <name val="Times New Roman"/>
      <family val="1"/>
      <charset val="204"/>
    </font>
    <font>
      <sz val="10"/>
      <color indexed="12"/>
      <name val="Times New Roman"/>
      <family val="1"/>
    </font>
    <font>
      <b/>
      <sz val="12"/>
      <color indexed="12"/>
      <name val="Times New Roman"/>
      <family val="1"/>
    </font>
    <font>
      <b/>
      <i/>
      <sz val="10"/>
      <name val="Times New Roman"/>
      <family val="1"/>
    </font>
    <font>
      <b/>
      <i/>
      <sz val="10"/>
      <color indexed="10"/>
      <name val="Times New Roman"/>
      <family val="1"/>
      <charset val="204"/>
    </font>
    <font>
      <b/>
      <i/>
      <sz val="10"/>
      <color indexed="12"/>
      <name val="Times New Roman"/>
      <family val="1"/>
      <charset val="204"/>
    </font>
    <font>
      <b/>
      <sz val="10"/>
      <color indexed="12"/>
      <name val="Times New Roman"/>
      <family val="1"/>
      <charset val="204"/>
    </font>
    <font>
      <b/>
      <sz val="14"/>
      <color indexed="10"/>
      <name val="Times New Roman"/>
      <family val="1"/>
    </font>
    <font>
      <i/>
      <sz val="14"/>
      <color indexed="10"/>
      <name val="Times New Roman"/>
      <family val="1"/>
      <charset val="204"/>
    </font>
    <font>
      <b/>
      <sz val="11"/>
      <color indexed="10"/>
      <name val="Times New Roman"/>
      <family val="1"/>
      <charset val="204"/>
    </font>
    <font>
      <b/>
      <i/>
      <sz val="12"/>
      <color indexed="18"/>
      <name val="Times New Roman"/>
      <family val="1"/>
      <charset val="204"/>
    </font>
    <font>
      <i/>
      <sz val="11"/>
      <name val="Arial Cyr"/>
      <charset val="204"/>
    </font>
    <font>
      <sz val="10"/>
      <name val="Arial Cyr"/>
      <charset val="204"/>
    </font>
    <font>
      <i/>
      <vertAlign val="subscript"/>
      <sz val="12"/>
      <name val="Times New Roman"/>
      <family val="1"/>
      <charset val="204"/>
    </font>
    <font>
      <sz val="12"/>
      <color indexed="12"/>
      <name val="Arial Cyr"/>
      <charset val="204"/>
    </font>
    <font>
      <sz val="10"/>
      <color rgb="FFFF0000"/>
      <name val="Arial Cyr"/>
      <charset val="204"/>
    </font>
    <font>
      <b/>
      <sz val="10"/>
      <color rgb="FFFF0000"/>
      <name val="Arial Cyr"/>
      <charset val="204"/>
    </font>
    <font>
      <sz val="12"/>
      <color rgb="FFFF0000"/>
      <name val="Times New Roman"/>
      <family val="1"/>
      <charset val="204"/>
    </font>
    <font>
      <sz val="12"/>
      <color rgb="FFFF0000"/>
      <name val="Arial Cyr"/>
      <charset val="204"/>
    </font>
    <font>
      <sz val="14"/>
      <color rgb="FFFF0000"/>
      <name val="Times New Roman"/>
      <family val="1"/>
      <charset val="204"/>
    </font>
    <font>
      <b/>
      <i/>
      <sz val="12"/>
      <color theme="4"/>
      <name val="Arial Cyr"/>
      <charset val="204"/>
    </font>
    <font>
      <b/>
      <sz val="12"/>
      <color rgb="FFFF0000"/>
      <name val="Times New Roman"/>
      <family val="1"/>
      <charset val="204"/>
    </font>
    <font>
      <sz val="10"/>
      <name val="Arial CYR"/>
      <family val="2"/>
    </font>
    <font>
      <b/>
      <sz val="12"/>
      <name val="Arial Cyr"/>
      <family val="2"/>
    </font>
    <font>
      <b/>
      <sz val="14"/>
      <name val="Arial Cyr"/>
      <family val="2"/>
    </font>
    <font>
      <sz val="16"/>
      <name val="Arial Cyr"/>
      <family val="2"/>
      <charset val="204"/>
    </font>
    <font>
      <sz val="22"/>
      <name val="Arial Cyr"/>
      <family val="2"/>
      <charset val="204"/>
    </font>
    <font>
      <b/>
      <sz val="10"/>
      <name val="Arial Cyr"/>
      <family val="2"/>
    </font>
    <font>
      <sz val="11"/>
      <color indexed="10"/>
      <name val="Times New Roman"/>
      <family val="1"/>
    </font>
    <font>
      <sz val="11"/>
      <name val="Times New Roman"/>
      <family val="1"/>
    </font>
    <font>
      <b/>
      <sz val="10"/>
      <color indexed="9"/>
      <name val="Arial"/>
      <family val="2"/>
    </font>
    <font>
      <sz val="10"/>
      <color indexed="14"/>
      <name val="Arial Cyr"/>
      <family val="2"/>
      <charset val="204"/>
    </font>
    <font>
      <sz val="10"/>
      <color indexed="14"/>
      <name val="Arial"/>
      <family val="2"/>
    </font>
    <font>
      <sz val="10"/>
      <color indexed="14"/>
      <name val="Arial"/>
      <family val="2"/>
      <charset val="204"/>
    </font>
    <font>
      <sz val="10"/>
      <color indexed="8"/>
      <name val="Arial"/>
      <family val="2"/>
      <charset val="204"/>
    </font>
    <font>
      <b/>
      <i/>
      <sz val="10"/>
      <color indexed="10"/>
      <name val="Arial"/>
      <family val="2"/>
    </font>
    <font>
      <b/>
      <sz val="10"/>
      <color indexed="10"/>
      <name val="Arial"/>
      <family val="2"/>
      <charset val="204"/>
    </font>
    <font>
      <b/>
      <sz val="10"/>
      <color indexed="14"/>
      <name val="Arial Cyr"/>
      <family val="2"/>
      <charset val="204"/>
    </font>
    <font>
      <i/>
      <sz val="10"/>
      <color indexed="10"/>
      <name val="Arial"/>
      <family val="2"/>
      <charset val="204"/>
    </font>
    <font>
      <i/>
      <sz val="10"/>
      <color indexed="10"/>
      <name val="Arial"/>
      <family val="2"/>
    </font>
    <font>
      <i/>
      <sz val="10"/>
      <color indexed="12"/>
      <name val="Arial"/>
      <family val="2"/>
    </font>
    <font>
      <sz val="10"/>
      <color indexed="12"/>
      <name val="Arial"/>
      <family val="2"/>
    </font>
    <font>
      <sz val="10"/>
      <color indexed="12"/>
      <name val="Arial"/>
      <family val="2"/>
      <charset val="204"/>
    </font>
    <font>
      <b/>
      <i/>
      <sz val="10"/>
      <color indexed="10"/>
      <name val="Arial Cyr"/>
      <family val="2"/>
      <charset val="204"/>
    </font>
    <font>
      <b/>
      <sz val="12"/>
      <color indexed="10"/>
      <name val="Arial"/>
      <family val="2"/>
    </font>
    <font>
      <b/>
      <i/>
      <sz val="10"/>
      <color indexed="10"/>
      <name val="Arial"/>
      <family val="2"/>
      <charset val="204"/>
    </font>
    <font>
      <sz val="14"/>
      <name val="Arial Cyr"/>
      <family val="2"/>
      <charset val="204"/>
    </font>
    <font>
      <b/>
      <sz val="11"/>
      <color indexed="10"/>
      <name val="Times New Roman"/>
      <family val="1"/>
    </font>
    <font>
      <b/>
      <sz val="11"/>
      <name val="Times New Roman"/>
      <family val="1"/>
    </font>
    <font>
      <u/>
      <sz val="12"/>
      <name val="Times New Roman"/>
      <family val="1"/>
      <charset val="204"/>
    </font>
    <font>
      <u/>
      <sz val="12"/>
      <name val="Times New Roman"/>
      <family val="1"/>
    </font>
    <font>
      <sz val="10"/>
      <name val="@Arial Unicode MS"/>
      <family val="2"/>
      <charset val="204"/>
    </font>
    <font>
      <sz val="11"/>
      <name val="Arial"/>
      <family val="2"/>
      <charset val="204"/>
    </font>
    <font>
      <b/>
      <i/>
      <u/>
      <sz val="14"/>
      <name val="Arial Cyr"/>
      <family val="2"/>
      <charset val="204"/>
    </font>
    <font>
      <sz val="12"/>
      <color rgb="FFFF0000"/>
      <name val="Times New Roman"/>
      <family val="1"/>
    </font>
    <font>
      <sz val="10"/>
      <color rgb="FFFF0000"/>
      <name val="Arial Cyr"/>
      <family val="2"/>
      <charset val="204"/>
    </font>
    <font>
      <sz val="14"/>
      <color rgb="FFFF0000"/>
      <name val="Arial Cyr"/>
      <charset val="204"/>
    </font>
    <font>
      <b/>
      <sz val="12"/>
      <color rgb="FFFF0000"/>
      <name val="Arial Cyr"/>
      <charset val="204"/>
    </font>
    <font>
      <u/>
      <sz val="11"/>
      <color rgb="FFFF0000"/>
      <name val="Arial Cyr"/>
      <charset val="204"/>
    </font>
    <font>
      <i/>
      <sz val="12"/>
      <color rgb="FFFF0000"/>
      <name val="Times New Roman"/>
      <family val="1"/>
      <charset val="204"/>
    </font>
    <font>
      <b/>
      <i/>
      <sz val="14"/>
      <color rgb="FFFF0000"/>
      <name val="Times New Roman"/>
      <family val="1"/>
      <charset val="204"/>
    </font>
    <font>
      <b/>
      <sz val="14"/>
      <color rgb="FFFF0000"/>
      <name val="Times New Roman"/>
      <family val="1"/>
      <charset val="204"/>
    </font>
    <font>
      <sz val="10"/>
      <color rgb="FFFF0000"/>
      <name val="Arial"/>
      <family val="2"/>
      <charset val="204"/>
    </font>
    <font>
      <b/>
      <sz val="12"/>
      <color rgb="FF7030A0"/>
      <name val="Arial Cyr"/>
      <charset val="204"/>
    </font>
    <font>
      <b/>
      <i/>
      <sz val="14"/>
      <color rgb="FF7030A0"/>
      <name val="Times New Roman"/>
      <family val="1"/>
      <charset val="204"/>
    </font>
    <font>
      <b/>
      <sz val="14"/>
      <color rgb="FFFF0000"/>
      <name val="Arial Cyr"/>
      <charset val="204"/>
    </font>
    <font>
      <b/>
      <sz val="12"/>
      <color rgb="FF0070C0"/>
      <name val="Arial Cyr"/>
      <charset val="204"/>
    </font>
    <font>
      <b/>
      <sz val="10"/>
      <color rgb="FFFF0000"/>
      <name val="Arial"/>
      <family val="2"/>
      <charset val="204"/>
    </font>
    <font>
      <b/>
      <i/>
      <sz val="12"/>
      <color theme="1"/>
      <name val="Times New Roman"/>
      <family val="1"/>
      <charset val="204"/>
    </font>
    <font>
      <sz val="16"/>
      <color rgb="FFFF0000"/>
      <name val="Arial Cyr"/>
      <charset val="204"/>
    </font>
    <font>
      <sz val="16"/>
      <color indexed="10"/>
      <name val="Arial Cyr"/>
      <charset val="204"/>
    </font>
    <font>
      <i/>
      <sz val="10"/>
      <color rgb="FFFF0000"/>
      <name val="Arial Cyr"/>
      <charset val="204"/>
    </font>
    <font>
      <b/>
      <i/>
      <sz val="12"/>
      <color rgb="FFFF0000"/>
      <name val="Arial Cyr"/>
      <charset val="204"/>
    </font>
    <font>
      <b/>
      <i/>
      <sz val="12"/>
      <color rgb="FFFF0000"/>
      <name val="Times New Roman"/>
      <family val="1"/>
      <charset val="204"/>
    </font>
    <font>
      <i/>
      <sz val="14"/>
      <color rgb="FFFF0000"/>
      <name val="Times New Roman"/>
      <family val="1"/>
      <charset val="204"/>
    </font>
    <font>
      <b/>
      <sz val="12"/>
      <color rgb="FFFF0000"/>
      <name val="Arial"/>
      <family val="2"/>
      <charset val="204"/>
    </font>
    <font>
      <sz val="10"/>
      <color rgb="FF0070C0"/>
      <name val="Arial Cyr"/>
      <charset val="204"/>
    </font>
    <font>
      <b/>
      <i/>
      <sz val="12"/>
      <name val="Arial"/>
      <family val="2"/>
      <charset val="204"/>
    </font>
    <font>
      <b/>
      <i/>
      <sz val="14"/>
      <color rgb="FFFF0000"/>
      <name val="Arial Cyr"/>
      <charset val="204"/>
    </font>
    <font>
      <b/>
      <u/>
      <sz val="12"/>
      <color rgb="FFFF0000"/>
      <name val="Arial Cyr"/>
      <charset val="204"/>
    </font>
    <font>
      <b/>
      <sz val="11"/>
      <color rgb="FFFF0000"/>
      <name val="Arial Cyr"/>
      <charset val="204"/>
    </font>
    <font>
      <b/>
      <u/>
      <sz val="12"/>
      <name val="Arial Cyr"/>
      <charset val="204"/>
    </font>
    <font>
      <b/>
      <sz val="16"/>
      <color rgb="FFFF0000"/>
      <name val="Times New Roman"/>
      <family val="1"/>
      <charset val="204"/>
    </font>
    <font>
      <b/>
      <i/>
      <u/>
      <sz val="14"/>
      <color indexed="12"/>
      <name val="Arial Cyr"/>
      <charset val="204"/>
    </font>
    <font>
      <sz val="13.5"/>
      <color rgb="FFFF0000"/>
      <name val="MS Sans Serif"/>
      <family val="2"/>
      <charset val="204"/>
    </font>
    <font>
      <b/>
      <sz val="14"/>
      <color rgb="FFFF0000"/>
      <name val="Arial Cyr"/>
      <family val="2"/>
      <charset val="204"/>
    </font>
    <font>
      <i/>
      <sz val="10"/>
      <color rgb="FFFF0000"/>
      <name val="Times New Roman"/>
      <family val="1"/>
      <charset val="204"/>
    </font>
    <font>
      <b/>
      <i/>
      <u/>
      <sz val="12"/>
      <name val="Arial Cyr"/>
      <family val="2"/>
      <charset val="204"/>
    </font>
  </fonts>
  <fills count="69">
    <fill>
      <patternFill patternType="none"/>
    </fill>
    <fill>
      <patternFill patternType="gray125"/>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31"/>
      </patternFill>
    </fill>
    <fill>
      <patternFill patternType="solid">
        <fgColor indexed="42"/>
      </patternFill>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57"/>
      </patternFill>
    </fill>
    <fill>
      <patternFill patternType="solid">
        <fgColor indexed="53"/>
      </patternFill>
    </fill>
    <fill>
      <patternFill patternType="solid">
        <fgColor indexed="55"/>
      </patternFill>
    </fill>
    <fill>
      <patternFill patternType="solid">
        <fgColor indexed="51"/>
      </patternFill>
    </fill>
    <fill>
      <patternFill patternType="solid">
        <fgColor indexed="62"/>
      </patternFill>
    </fill>
    <fill>
      <patternFill patternType="solid">
        <fgColor indexed="45"/>
      </patternFill>
    </fill>
    <fill>
      <patternFill patternType="solid">
        <fgColor indexed="45"/>
        <bgColor indexed="64"/>
      </patternFill>
    </fill>
    <fill>
      <patternFill patternType="solid">
        <fgColor indexed="14"/>
        <bgColor indexed="64"/>
      </patternFill>
    </fill>
    <fill>
      <patternFill patternType="solid">
        <fgColor indexed="13"/>
        <bgColor indexed="64"/>
      </patternFill>
    </fill>
    <fill>
      <patternFill patternType="solid">
        <fgColor indexed="47"/>
        <bgColor indexed="64"/>
      </patternFill>
    </fill>
    <fill>
      <patternFill patternType="solid">
        <fgColor indexed="41"/>
        <bgColor indexed="64"/>
      </patternFill>
    </fill>
    <fill>
      <patternFill patternType="solid">
        <fgColor indexed="43"/>
        <bgColor indexed="64"/>
      </patternFill>
    </fill>
    <fill>
      <patternFill patternType="solid">
        <fgColor indexed="9"/>
        <bgColor indexed="64"/>
      </patternFill>
    </fill>
    <fill>
      <patternFill patternType="solid">
        <fgColor indexed="15"/>
        <bgColor indexed="64"/>
      </patternFill>
    </fill>
    <fill>
      <patternFill patternType="solid">
        <fgColor indexed="40"/>
        <bgColor indexed="64"/>
      </patternFill>
    </fill>
    <fill>
      <patternFill patternType="solid">
        <fgColor indexed="42"/>
        <bgColor indexed="64"/>
      </patternFill>
    </fill>
    <fill>
      <patternFill patternType="solid">
        <fgColor indexed="11"/>
        <bgColor indexed="64"/>
      </patternFill>
    </fill>
    <fill>
      <patternFill patternType="solid">
        <fgColor indexed="44"/>
        <bgColor indexed="64"/>
      </patternFill>
    </fill>
    <fill>
      <patternFill patternType="solid">
        <fgColor indexed="50"/>
        <bgColor indexed="64"/>
      </patternFill>
    </fill>
    <fill>
      <patternFill patternType="solid">
        <fgColor indexed="52"/>
        <bgColor indexed="64"/>
      </patternFill>
    </fill>
    <fill>
      <patternFill patternType="solid">
        <fgColor indexed="51"/>
        <bgColor indexed="64"/>
      </patternFill>
    </fill>
    <fill>
      <patternFill patternType="solid">
        <fgColor indexed="10"/>
        <bgColor indexed="64"/>
      </patternFill>
    </fill>
    <fill>
      <patternFill patternType="solid">
        <fgColor rgb="FFFFFF00"/>
        <bgColor indexed="64"/>
      </patternFill>
    </fill>
    <fill>
      <patternFill patternType="solid">
        <fgColor theme="8" tint="0.79998168889431442"/>
        <bgColor indexed="64"/>
      </patternFill>
    </fill>
    <fill>
      <patternFill patternType="solid">
        <fgColor indexed="13"/>
        <bgColor indexed="34"/>
      </patternFill>
    </fill>
    <fill>
      <patternFill patternType="solid">
        <fgColor indexed="27"/>
        <bgColor indexed="41"/>
      </patternFill>
    </fill>
    <fill>
      <patternFill patternType="solid">
        <fgColor indexed="52"/>
        <bgColor indexed="51"/>
      </patternFill>
    </fill>
    <fill>
      <patternFill patternType="solid">
        <fgColor indexed="42"/>
        <bgColor indexed="27"/>
      </patternFill>
    </fill>
    <fill>
      <patternFill patternType="solid">
        <fgColor indexed="40"/>
        <bgColor indexed="49"/>
      </patternFill>
    </fill>
    <fill>
      <patternFill patternType="solid">
        <fgColor indexed="45"/>
        <bgColor indexed="29"/>
      </patternFill>
    </fill>
    <fill>
      <patternFill patternType="solid">
        <fgColor indexed="51"/>
        <bgColor indexed="13"/>
      </patternFill>
    </fill>
    <fill>
      <patternFill patternType="solid">
        <fgColor indexed="9"/>
        <bgColor indexed="26"/>
      </patternFill>
    </fill>
    <fill>
      <patternFill patternType="solid">
        <fgColor indexed="43"/>
        <bgColor indexed="26"/>
      </patternFill>
    </fill>
    <fill>
      <patternFill patternType="solid">
        <fgColor indexed="22"/>
        <bgColor indexed="31"/>
      </patternFill>
    </fill>
    <fill>
      <patternFill patternType="solid">
        <fgColor indexed="14"/>
        <bgColor indexed="33"/>
      </patternFill>
    </fill>
    <fill>
      <patternFill patternType="solid">
        <fgColor indexed="15"/>
        <bgColor indexed="35"/>
      </patternFill>
    </fill>
    <fill>
      <patternFill patternType="solid">
        <fgColor indexed="50"/>
        <bgColor indexed="51"/>
      </patternFill>
    </fill>
    <fill>
      <patternFill patternType="solid">
        <fgColor indexed="10"/>
        <bgColor indexed="60"/>
      </patternFill>
    </fill>
    <fill>
      <patternFill patternType="solid">
        <fgColor indexed="31"/>
        <bgColor indexed="22"/>
      </patternFill>
    </fill>
    <fill>
      <patternFill patternType="solid">
        <fgColor indexed="59"/>
        <bgColor indexed="63"/>
      </patternFill>
    </fill>
    <fill>
      <patternFill patternType="solid">
        <fgColor indexed="48"/>
        <bgColor indexed="30"/>
      </patternFill>
    </fill>
    <fill>
      <patternFill patternType="solid">
        <fgColor indexed="53"/>
        <bgColor indexed="52"/>
      </patternFill>
    </fill>
    <fill>
      <patternFill patternType="solid">
        <fgColor indexed="47"/>
        <bgColor indexed="22"/>
      </patternFill>
    </fill>
    <fill>
      <patternFill patternType="solid">
        <fgColor indexed="11"/>
        <bgColor indexed="49"/>
      </patternFill>
    </fill>
    <fill>
      <patternFill patternType="solid">
        <fgColor indexed="44"/>
        <bgColor indexed="31"/>
      </patternFill>
    </fill>
    <fill>
      <patternFill patternType="solid">
        <fgColor rgb="FFFFFF00"/>
        <bgColor indexed="34"/>
      </patternFill>
    </fill>
    <fill>
      <patternFill patternType="solid">
        <fgColor rgb="FFFFC00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3" tint="0.79998168889431442"/>
        <bgColor indexed="64"/>
      </patternFill>
    </fill>
  </fills>
  <borders count="142">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thick">
        <color indexed="44"/>
      </bottom>
      <diagonal/>
    </border>
    <border>
      <left/>
      <right/>
      <top/>
      <bottom style="medium">
        <color indexed="44"/>
      </bottom>
      <diagonal/>
    </border>
    <border>
      <left/>
      <right/>
      <top style="thin">
        <color indexed="49"/>
      </top>
      <bottom style="double">
        <color indexed="49"/>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medium">
        <color indexed="64"/>
      </right>
      <top style="medium">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style="medium">
        <color indexed="64"/>
      </right>
      <top/>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top/>
      <bottom/>
      <diagonal/>
    </border>
    <border>
      <left/>
      <right style="thin">
        <color indexed="22"/>
      </right>
      <top style="thin">
        <color indexed="22"/>
      </top>
      <bottom style="thin">
        <color indexed="22"/>
      </bottom>
      <diagonal/>
    </border>
    <border>
      <left style="thin">
        <color indexed="22"/>
      </left>
      <right/>
      <top/>
      <bottom style="thin">
        <color indexed="22"/>
      </bottom>
      <diagonal/>
    </border>
    <border>
      <left style="thin">
        <color indexed="22"/>
      </left>
      <right/>
      <top style="thin">
        <color indexed="22"/>
      </top>
      <bottom style="thin">
        <color indexed="22"/>
      </bottom>
      <diagonal/>
    </border>
    <border>
      <left style="medium">
        <color indexed="64"/>
      </left>
      <right/>
      <top style="medium">
        <color indexed="64"/>
      </top>
      <bottom/>
      <diagonal/>
    </border>
    <border>
      <left/>
      <right style="medium">
        <color indexed="64"/>
      </right>
      <top/>
      <bottom style="medium">
        <color indexed="64"/>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style="thin">
        <color indexed="8"/>
      </bottom>
      <diagonal/>
    </border>
    <border>
      <left style="thin">
        <color indexed="8"/>
      </left>
      <right/>
      <top/>
      <bottom style="thin">
        <color indexed="8"/>
      </bottom>
      <diagonal/>
    </border>
    <border>
      <left/>
      <right style="thin">
        <color indexed="8"/>
      </right>
      <top style="thin">
        <color indexed="8"/>
      </top>
      <bottom/>
      <diagonal/>
    </border>
    <border>
      <left style="thin">
        <color indexed="8"/>
      </left>
      <right/>
      <top style="thin">
        <color indexed="8"/>
      </top>
      <bottom/>
      <diagonal/>
    </border>
    <border>
      <left style="thin">
        <color indexed="8"/>
      </left>
      <right style="thin">
        <color indexed="8"/>
      </right>
      <top/>
      <bottom style="thin">
        <color indexed="8"/>
      </bottom>
      <diagonal/>
    </border>
    <border>
      <left/>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right/>
      <top style="thin">
        <color indexed="8"/>
      </top>
      <bottom/>
      <diagonal/>
    </border>
    <border>
      <left style="thin">
        <color indexed="8"/>
      </left>
      <right style="medium">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medium">
        <color indexed="8"/>
      </left>
      <right style="thin">
        <color indexed="8"/>
      </right>
      <top style="thin">
        <color indexed="8"/>
      </top>
      <bottom style="medium">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medium">
        <color indexed="8"/>
      </top>
      <bottom style="thin">
        <color indexed="8"/>
      </bottom>
      <diagonal/>
    </border>
    <border>
      <left/>
      <right style="medium">
        <color indexed="8"/>
      </right>
      <top style="thin">
        <color indexed="8"/>
      </top>
      <bottom style="medium">
        <color indexed="8"/>
      </bottom>
      <diagonal/>
    </border>
    <border>
      <left style="thin">
        <color indexed="8"/>
      </left>
      <right/>
      <top style="thin">
        <color indexed="8"/>
      </top>
      <bottom style="medium">
        <color indexed="8"/>
      </bottom>
      <diagonal/>
    </border>
    <border>
      <left style="medium">
        <color indexed="8"/>
      </left>
      <right/>
      <top style="medium">
        <color indexed="8"/>
      </top>
      <bottom/>
      <diagonal/>
    </border>
    <border>
      <left/>
      <right style="medium">
        <color indexed="8"/>
      </right>
      <top style="medium">
        <color indexed="8"/>
      </top>
      <bottom/>
      <diagonal/>
    </border>
    <border>
      <left style="thin">
        <color indexed="8"/>
      </left>
      <right/>
      <top/>
      <bottom/>
      <diagonal/>
    </border>
    <border>
      <left style="medium">
        <color indexed="8"/>
      </left>
      <right/>
      <top/>
      <bottom style="medium">
        <color indexed="8"/>
      </bottom>
      <diagonal/>
    </border>
    <border>
      <left/>
      <right style="medium">
        <color indexed="8"/>
      </right>
      <top/>
      <bottom/>
      <diagonal/>
    </border>
    <border>
      <left style="medium">
        <color indexed="8"/>
      </left>
      <right/>
      <top/>
      <bottom/>
      <diagonal/>
    </border>
    <border>
      <left style="medium">
        <color indexed="8"/>
      </left>
      <right style="medium">
        <color indexed="8"/>
      </right>
      <top style="medium">
        <color indexed="8"/>
      </top>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medium">
        <color indexed="8"/>
      </top>
      <bottom style="thin">
        <color indexed="8"/>
      </bottom>
      <diagonal/>
    </border>
    <border>
      <left/>
      <right/>
      <top/>
      <bottom style="medium">
        <color indexed="8"/>
      </bottom>
      <diagonal/>
    </border>
    <border>
      <left style="medium">
        <color indexed="8"/>
      </left>
      <right style="thin">
        <color indexed="8"/>
      </right>
      <top/>
      <bottom style="medium">
        <color indexed="8"/>
      </bottom>
      <diagonal/>
    </border>
    <border>
      <left/>
      <right/>
      <top style="medium">
        <color indexed="8"/>
      </top>
      <bottom/>
      <diagonal/>
    </border>
    <border>
      <left style="thin">
        <color indexed="8"/>
      </left>
      <right style="medium">
        <color indexed="8"/>
      </right>
      <top style="thin">
        <color indexed="8"/>
      </top>
      <bottom/>
      <diagonal/>
    </border>
    <border>
      <left style="medium">
        <color indexed="8"/>
      </left>
      <right style="thin">
        <color indexed="8"/>
      </right>
      <top style="thin">
        <color indexed="8"/>
      </top>
      <bottom/>
      <diagonal/>
    </border>
    <border>
      <left style="medium">
        <color indexed="8"/>
      </left>
      <right style="medium">
        <color indexed="8"/>
      </right>
      <top style="medium">
        <color indexed="8"/>
      </top>
      <bottom style="medium">
        <color indexed="8"/>
      </bottom>
      <diagonal/>
    </border>
    <border>
      <left/>
      <right style="medium">
        <color indexed="8"/>
      </right>
      <top/>
      <bottom style="medium">
        <color indexed="8"/>
      </bottom>
      <diagonal/>
    </border>
    <border>
      <left/>
      <right style="thin">
        <color indexed="8"/>
      </right>
      <top/>
      <bottom/>
      <diagonal/>
    </border>
    <border>
      <left style="medium">
        <color indexed="8"/>
      </left>
      <right style="medium">
        <color indexed="8"/>
      </right>
      <top/>
      <bottom/>
      <diagonal/>
    </border>
    <border>
      <left style="medium">
        <color indexed="8"/>
      </left>
      <right/>
      <top style="thin">
        <color indexed="8"/>
      </top>
      <bottom/>
      <diagonal/>
    </border>
    <border>
      <left style="medium">
        <color indexed="8"/>
      </left>
      <right/>
      <top style="thin">
        <color indexed="8"/>
      </top>
      <bottom style="thin">
        <color indexed="8"/>
      </bottom>
      <diagonal/>
    </border>
    <border>
      <left style="medium">
        <color indexed="8"/>
      </left>
      <right/>
      <top style="medium">
        <color indexed="8"/>
      </top>
      <bottom style="thin">
        <color indexed="8"/>
      </bottom>
      <diagonal/>
    </border>
    <border>
      <left style="medium">
        <color indexed="8"/>
      </left>
      <right style="medium">
        <color indexed="8"/>
      </right>
      <top style="thin">
        <color indexed="8"/>
      </top>
      <bottom style="medium">
        <color indexed="8"/>
      </bottom>
      <diagonal/>
    </border>
    <border>
      <left style="medium">
        <color indexed="8"/>
      </left>
      <right/>
      <top style="thin">
        <color indexed="8"/>
      </top>
      <bottom style="medium">
        <color indexed="8"/>
      </bottom>
      <diagonal/>
    </border>
    <border>
      <left style="medium">
        <color indexed="8"/>
      </left>
      <right style="thin">
        <color indexed="8"/>
      </right>
      <top/>
      <bottom style="thin">
        <color indexed="8"/>
      </bottom>
      <diagonal/>
    </border>
    <border>
      <left style="medium">
        <color indexed="8"/>
      </left>
      <right/>
      <top/>
      <bottom style="thin">
        <color indexed="8"/>
      </bottom>
      <diagonal/>
    </border>
    <border>
      <left/>
      <right style="medium">
        <color indexed="8"/>
      </right>
      <top style="medium">
        <color indexed="8"/>
      </top>
      <bottom style="medium">
        <color indexed="8"/>
      </bottom>
      <diagonal/>
    </border>
    <border>
      <left/>
      <right/>
      <top style="medium">
        <color indexed="8"/>
      </top>
      <bottom style="medium">
        <color indexed="8"/>
      </bottom>
      <diagonal/>
    </border>
    <border>
      <left style="medium">
        <color indexed="8"/>
      </left>
      <right/>
      <top style="medium">
        <color indexed="8"/>
      </top>
      <bottom style="medium">
        <color indexed="8"/>
      </bottom>
      <diagonal/>
    </border>
  </borders>
  <cellStyleXfs count="52">
    <xf numFmtId="0" fontId="0" fillId="0" borderId="0"/>
    <xf numFmtId="0" fontId="256" fillId="2" borderId="0" applyNumberFormat="0" applyBorder="0" applyAlignment="0" applyProtection="0"/>
    <xf numFmtId="0" fontId="256" fillId="3" borderId="0" applyNumberFormat="0" applyBorder="0" applyAlignment="0" applyProtection="0"/>
    <xf numFmtId="0" fontId="256" fillId="4" borderId="0" applyNumberFormat="0" applyBorder="0" applyAlignment="0" applyProtection="0"/>
    <xf numFmtId="0" fontId="256" fillId="5" borderId="0" applyNumberFormat="0" applyBorder="0" applyAlignment="0" applyProtection="0"/>
    <xf numFmtId="0" fontId="256" fillId="6" borderId="0" applyNumberFormat="0" applyBorder="0" applyAlignment="0" applyProtection="0"/>
    <xf numFmtId="0" fontId="256" fillId="7" borderId="0" applyNumberFormat="0" applyBorder="0" applyAlignment="0" applyProtection="0"/>
    <xf numFmtId="0" fontId="256" fillId="8" borderId="0" applyNumberFormat="0" applyBorder="0" applyAlignment="0" applyProtection="0"/>
    <xf numFmtId="0" fontId="256" fillId="3" borderId="0" applyNumberFormat="0" applyBorder="0" applyAlignment="0" applyProtection="0"/>
    <xf numFmtId="0" fontId="256" fillId="9" borderId="0" applyNumberFormat="0" applyBorder="0" applyAlignment="0" applyProtection="0"/>
    <xf numFmtId="0" fontId="256" fillId="10" borderId="0" applyNumberFormat="0" applyBorder="0" applyAlignment="0" applyProtection="0"/>
    <xf numFmtId="0" fontId="256" fillId="8" borderId="0" applyNumberFormat="0" applyBorder="0" applyAlignment="0" applyProtection="0"/>
    <xf numFmtId="0" fontId="256" fillId="10" borderId="0" applyNumberFormat="0" applyBorder="0" applyAlignment="0" applyProtection="0"/>
    <xf numFmtId="0" fontId="255" fillId="8" borderId="0" applyNumberFormat="0" applyBorder="0" applyAlignment="0" applyProtection="0"/>
    <xf numFmtId="0" fontId="255" fillId="3" borderId="0" applyNumberFormat="0" applyBorder="0" applyAlignment="0" applyProtection="0"/>
    <xf numFmtId="0" fontId="255" fillId="9" borderId="0" applyNumberFormat="0" applyBorder="0" applyAlignment="0" applyProtection="0"/>
    <xf numFmtId="0" fontId="255" fillId="10" borderId="0" applyNumberFormat="0" applyBorder="0" applyAlignment="0" applyProtection="0"/>
    <xf numFmtId="0" fontId="255" fillId="11" borderId="0" applyNumberFormat="0" applyBorder="0" applyAlignment="0" applyProtection="0"/>
    <xf numFmtId="0" fontId="255" fillId="12" borderId="0" applyNumberFormat="0" applyBorder="0" applyAlignment="0" applyProtection="0"/>
    <xf numFmtId="0" fontId="255" fillId="11" borderId="0" applyNumberFormat="0" applyBorder="0" applyAlignment="0" applyProtection="0"/>
    <xf numFmtId="0" fontId="255" fillId="13" borderId="0" applyNumberFormat="0" applyBorder="0" applyAlignment="0" applyProtection="0"/>
    <xf numFmtId="0" fontId="255" fillId="14" borderId="0" applyNumberFormat="0" applyBorder="0" applyAlignment="0" applyProtection="0"/>
    <xf numFmtId="0" fontId="255" fillId="15" borderId="0" applyNumberFormat="0" applyBorder="0" applyAlignment="0" applyProtection="0"/>
    <xf numFmtId="0" fontId="255" fillId="16" borderId="0" applyNumberFormat="0" applyBorder="0" applyAlignment="0" applyProtection="0"/>
    <xf numFmtId="0" fontId="255" fillId="12" borderId="0" applyNumberFormat="0" applyBorder="0" applyAlignment="0" applyProtection="0"/>
    <xf numFmtId="0" fontId="247" fillId="3" borderId="1" applyNumberFormat="0" applyAlignment="0" applyProtection="0"/>
    <xf numFmtId="0" fontId="248" fillId="9" borderId="2" applyNumberFormat="0" applyAlignment="0" applyProtection="0"/>
    <xf numFmtId="0" fontId="249" fillId="9" borderId="1" applyNumberFormat="0" applyAlignment="0" applyProtection="0"/>
    <xf numFmtId="0" fontId="22" fillId="0" borderId="0" applyNumberFormat="0" applyFill="0" applyBorder="0" applyAlignment="0" applyProtection="0">
      <alignment vertical="top"/>
      <protection locked="0"/>
    </xf>
    <xf numFmtId="164" fontId="70" fillId="0" borderId="0" applyFont="0" applyFill="0" applyBorder="0" applyAlignment="0" applyProtection="0"/>
    <xf numFmtId="0" fontId="241" fillId="0" borderId="3" applyNumberFormat="0" applyFill="0" applyAlignment="0" applyProtection="0"/>
    <xf numFmtId="0" fontId="242" fillId="0" borderId="4" applyNumberFormat="0" applyFill="0" applyAlignment="0" applyProtection="0"/>
    <xf numFmtId="0" fontId="243" fillId="0" borderId="5" applyNumberFormat="0" applyFill="0" applyAlignment="0" applyProtection="0"/>
    <xf numFmtId="0" fontId="243" fillId="0" borderId="0" applyNumberFormat="0" applyFill="0" applyBorder="0" applyAlignment="0" applyProtection="0"/>
    <xf numFmtId="0" fontId="254" fillId="0" borderId="6" applyNumberFormat="0" applyFill="0" applyAlignment="0" applyProtection="0"/>
    <xf numFmtId="0" fontId="251" fillId="14" borderId="7" applyNumberFormat="0" applyAlignment="0" applyProtection="0"/>
    <xf numFmtId="0" fontId="240" fillId="0" borderId="0" applyNumberFormat="0" applyFill="0" applyBorder="0" applyAlignment="0" applyProtection="0"/>
    <xf numFmtId="0" fontId="246" fillId="10" borderId="0" applyNumberFormat="0" applyBorder="0" applyAlignment="0" applyProtection="0"/>
    <xf numFmtId="0" fontId="81" fillId="0" borderId="0"/>
    <xf numFmtId="0" fontId="70" fillId="0" borderId="0"/>
    <xf numFmtId="0" fontId="70" fillId="0" borderId="0"/>
    <xf numFmtId="0" fontId="70" fillId="0" borderId="0"/>
    <xf numFmtId="0" fontId="58" fillId="0" borderId="0"/>
    <xf numFmtId="0" fontId="58" fillId="0" borderId="0"/>
    <xf numFmtId="0" fontId="245" fillId="17" borderId="0" applyNumberFormat="0" applyBorder="0" applyAlignment="0" applyProtection="0"/>
    <xf numFmtId="0" fontId="253" fillId="0" borderId="0" applyNumberFormat="0" applyFill="0" applyBorder="0" applyAlignment="0" applyProtection="0"/>
    <xf numFmtId="0" fontId="70" fillId="5" borderId="8" applyNumberFormat="0" applyFont="0" applyAlignment="0" applyProtection="0"/>
    <xf numFmtId="0" fontId="250" fillId="0" borderId="9" applyNumberFormat="0" applyFill="0" applyAlignment="0" applyProtection="0"/>
    <xf numFmtId="0" fontId="252" fillId="0" borderId="0" applyNumberFormat="0" applyFill="0" applyBorder="0" applyAlignment="0" applyProtection="0"/>
    <xf numFmtId="0" fontId="244" fillId="7" borderId="0" applyNumberFormat="0" applyBorder="0" applyAlignment="0" applyProtection="0"/>
    <xf numFmtId="0" fontId="6" fillId="0" borderId="0"/>
    <xf numFmtId="172" fontId="6" fillId="0" borderId="0" applyFill="0" applyBorder="0" applyAlignment="0" applyProtection="0"/>
  </cellStyleXfs>
  <cellXfs count="4812">
    <xf numFmtId="0" fontId="0" fillId="0" borderId="0" xfId="0"/>
    <xf numFmtId="0" fontId="0" fillId="0" borderId="0"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18" borderId="0" xfId="0" applyFill="1"/>
    <xf numFmtId="0" fontId="0" fillId="0" borderId="14" xfId="0" applyBorder="1"/>
    <xf numFmtId="0" fontId="0" fillId="0" borderId="0" xfId="0" applyFill="1"/>
    <xf numFmtId="0" fontId="17" fillId="0" borderId="0" xfId="0" applyFont="1" applyProtection="1">
      <protection hidden="1"/>
    </xf>
    <xf numFmtId="0" fontId="12" fillId="0" borderId="0" xfId="0" applyFont="1" applyProtection="1">
      <protection hidden="1"/>
    </xf>
    <xf numFmtId="0" fontId="0" fillId="0" borderId="0" xfId="0" applyProtection="1">
      <protection hidden="1"/>
    </xf>
    <xf numFmtId="0" fontId="14" fillId="0" borderId="0" xfId="0" applyFont="1" applyProtection="1">
      <protection hidden="1"/>
    </xf>
    <xf numFmtId="0" fontId="18" fillId="0" borderId="0" xfId="0" applyFont="1" applyProtection="1">
      <protection hidden="1"/>
    </xf>
    <xf numFmtId="0" fontId="0" fillId="0" borderId="0" xfId="0" applyFill="1" applyBorder="1" applyProtection="1">
      <protection hidden="1"/>
    </xf>
    <xf numFmtId="0" fontId="0" fillId="0" borderId="0" xfId="0" applyBorder="1" applyProtection="1">
      <protection hidden="1"/>
    </xf>
    <xf numFmtId="0" fontId="4" fillId="0" borderId="0" xfId="0" applyFont="1" applyBorder="1" applyProtection="1">
      <protection hidden="1"/>
    </xf>
    <xf numFmtId="0" fontId="0" fillId="0" borderId="13" xfId="0" applyBorder="1" applyProtection="1">
      <protection hidden="1"/>
    </xf>
    <xf numFmtId="0" fontId="0" fillId="0" borderId="15" xfId="0" applyBorder="1" applyProtection="1">
      <protection hidden="1"/>
    </xf>
    <xf numFmtId="0" fontId="0" fillId="19" borderId="0" xfId="0" applyFill="1" applyProtection="1">
      <protection hidden="1"/>
    </xf>
    <xf numFmtId="0" fontId="9" fillId="0" borderId="0" xfId="0" applyFont="1" applyProtection="1">
      <protection hidden="1"/>
    </xf>
    <xf numFmtId="0" fontId="10" fillId="0" borderId="0" xfId="0" applyFont="1" applyProtection="1">
      <protection hidden="1"/>
    </xf>
    <xf numFmtId="0" fontId="1" fillId="0" borderId="0" xfId="0" applyFont="1" applyProtection="1">
      <protection hidden="1"/>
    </xf>
    <xf numFmtId="0" fontId="4" fillId="0" borderId="13" xfId="0" applyFont="1" applyFill="1" applyBorder="1" applyProtection="1">
      <protection hidden="1"/>
    </xf>
    <xf numFmtId="0" fontId="4" fillId="0" borderId="13" xfId="0" applyFont="1" applyBorder="1" applyProtection="1">
      <protection hidden="1"/>
    </xf>
    <xf numFmtId="0" fontId="2" fillId="0" borderId="0" xfId="0" applyFont="1" applyProtection="1">
      <protection hidden="1"/>
    </xf>
    <xf numFmtId="2" fontId="4" fillId="0" borderId="13" xfId="0" applyNumberFormat="1" applyFont="1" applyBorder="1" applyProtection="1">
      <protection hidden="1"/>
    </xf>
    <xf numFmtId="0" fontId="6" fillId="0" borderId="0" xfId="0" applyFont="1" applyProtection="1">
      <protection hidden="1"/>
    </xf>
    <xf numFmtId="0" fontId="0" fillId="18" borderId="0" xfId="0" applyFill="1" applyProtection="1">
      <protection hidden="1"/>
    </xf>
    <xf numFmtId="0" fontId="0" fillId="0" borderId="0" xfId="0" applyFill="1" applyProtection="1">
      <protection hidden="1"/>
    </xf>
    <xf numFmtId="0" fontId="4" fillId="0" borderId="0" xfId="0" applyFont="1" applyProtection="1">
      <protection hidden="1"/>
    </xf>
    <xf numFmtId="0" fontId="7" fillId="0" borderId="0" xfId="0" applyFont="1" applyProtection="1">
      <protection hidden="1"/>
    </xf>
    <xf numFmtId="2" fontId="14" fillId="0" borderId="13" xfId="0" applyNumberFormat="1" applyFont="1" applyFill="1" applyBorder="1" applyProtection="1">
      <protection hidden="1"/>
    </xf>
    <xf numFmtId="0" fontId="0" fillId="0" borderId="16" xfId="0" applyBorder="1" applyProtection="1">
      <protection hidden="1"/>
    </xf>
    <xf numFmtId="0" fontId="22" fillId="0" borderId="0" xfId="28" applyAlignment="1" applyProtection="1">
      <protection hidden="1"/>
    </xf>
    <xf numFmtId="0" fontId="7" fillId="0" borderId="0" xfId="0" applyFont="1" applyFill="1" applyProtection="1">
      <protection hidden="1"/>
    </xf>
    <xf numFmtId="0" fontId="4" fillId="0" borderId="0" xfId="0" applyFont="1" applyFill="1" applyBorder="1" applyProtection="1">
      <protection hidden="1"/>
    </xf>
    <xf numFmtId="2" fontId="4" fillId="0" borderId="0" xfId="0" applyNumberFormat="1" applyFont="1" applyBorder="1" applyProtection="1">
      <protection hidden="1"/>
    </xf>
    <xf numFmtId="0" fontId="21" fillId="0" borderId="0" xfId="0" applyFont="1" applyProtection="1">
      <protection hidden="1"/>
    </xf>
    <xf numFmtId="0" fontId="0" fillId="0" borderId="0" xfId="0" applyBorder="1" applyAlignment="1">
      <alignment wrapText="1"/>
    </xf>
    <xf numFmtId="2" fontId="0" fillId="0" borderId="13" xfId="0" applyNumberFormat="1" applyBorder="1"/>
    <xf numFmtId="0" fontId="0" fillId="0" borderId="0" xfId="0" applyFill="1" applyAlignment="1"/>
    <xf numFmtId="0" fontId="0" fillId="0" borderId="0" xfId="0" applyAlignment="1"/>
    <xf numFmtId="0" fontId="0" fillId="0" borderId="0" xfId="0" applyBorder="1" applyAlignment="1"/>
    <xf numFmtId="0" fontId="2" fillId="0" borderId="0" xfId="0" applyFont="1" applyBorder="1" applyAlignment="1">
      <alignment wrapText="1"/>
    </xf>
    <xf numFmtId="0" fontId="6" fillId="0" borderId="0" xfId="0" applyFont="1" applyAlignment="1"/>
    <xf numFmtId="0" fontId="0" fillId="0" borderId="0" xfId="0" applyFill="1" applyBorder="1" applyAlignment="1"/>
    <xf numFmtId="0" fontId="0" fillId="0" borderId="0" xfId="0" applyBorder="1" applyAlignment="1">
      <alignment horizontal="center"/>
    </xf>
    <xf numFmtId="2" fontId="9" fillId="0" borderId="0" xfId="0" applyNumberFormat="1" applyFont="1" applyBorder="1" applyAlignment="1"/>
    <xf numFmtId="0" fontId="40" fillId="0" borderId="0" xfId="0" applyFont="1" applyAlignment="1"/>
    <xf numFmtId="0" fontId="0" fillId="0" borderId="17" xfId="0" applyBorder="1" applyAlignment="1">
      <alignment textRotation="90"/>
    </xf>
    <xf numFmtId="0" fontId="0" fillId="0" borderId="18" xfId="0" applyBorder="1" applyAlignment="1">
      <alignment textRotation="90"/>
    </xf>
    <xf numFmtId="0" fontId="0" fillId="0" borderId="19" xfId="0" applyBorder="1" applyAlignment="1">
      <alignment textRotation="90"/>
    </xf>
    <xf numFmtId="0" fontId="0" fillId="0" borderId="20" xfId="0" applyBorder="1" applyAlignment="1">
      <alignment textRotation="90"/>
    </xf>
    <xf numFmtId="0" fontId="0" fillId="0" borderId="20" xfId="0" applyBorder="1" applyAlignment="1">
      <alignment horizontal="center"/>
    </xf>
    <xf numFmtId="0" fontId="46" fillId="0" borderId="0" xfId="0" applyFont="1" applyBorder="1" applyAlignment="1"/>
    <xf numFmtId="0" fontId="47" fillId="0" borderId="0" xfId="0" applyFont="1" applyProtection="1">
      <protection hidden="1"/>
    </xf>
    <xf numFmtId="0" fontId="0" fillId="18" borderId="0" xfId="0" applyFill="1" applyBorder="1" applyProtection="1">
      <protection hidden="1"/>
    </xf>
    <xf numFmtId="0" fontId="48" fillId="0" borderId="0" xfId="0" applyFont="1"/>
    <xf numFmtId="0" fontId="0" fillId="0" borderId="0" xfId="0" applyAlignment="1" applyProtection="1">
      <alignment wrapText="1"/>
      <protection hidden="1"/>
    </xf>
    <xf numFmtId="0" fontId="33" fillId="0" borderId="0" xfId="0" applyFont="1" applyAlignment="1" applyProtection="1">
      <alignment horizontal="center"/>
      <protection hidden="1"/>
    </xf>
    <xf numFmtId="0" fontId="13" fillId="0" borderId="0" xfId="0" applyFont="1" applyProtection="1">
      <protection hidden="1"/>
    </xf>
    <xf numFmtId="0" fontId="0" fillId="0" borderId="0" xfId="0" applyAlignment="1" applyProtection="1">
      <protection hidden="1"/>
    </xf>
    <xf numFmtId="0" fontId="18" fillId="0" borderId="0" xfId="0" applyFont="1" applyAlignment="1" applyProtection="1">
      <protection hidden="1"/>
    </xf>
    <xf numFmtId="0" fontId="13" fillId="0" borderId="21" xfId="0" applyFont="1" applyBorder="1" applyAlignment="1" applyProtection="1">
      <alignment horizontal="center"/>
      <protection hidden="1"/>
    </xf>
    <xf numFmtId="0" fontId="0" fillId="0" borderId="13" xfId="0" applyBorder="1" applyAlignment="1" applyProtection="1">
      <protection hidden="1"/>
    </xf>
    <xf numFmtId="0" fontId="7" fillId="0" borderId="0" xfId="0" applyFont="1" applyAlignment="1" applyProtection="1">
      <protection hidden="1"/>
    </xf>
    <xf numFmtId="0" fontId="2" fillId="0" borderId="0" xfId="0" applyFont="1" applyBorder="1" applyAlignment="1" applyProtection="1">
      <alignment wrapText="1"/>
      <protection hidden="1"/>
    </xf>
    <xf numFmtId="0" fontId="2" fillId="0" borderId="0" xfId="0" applyFont="1" applyBorder="1" applyAlignment="1" applyProtection="1">
      <protection hidden="1"/>
    </xf>
    <xf numFmtId="0" fontId="6" fillId="0" borderId="13" xfId="0" applyFont="1" applyBorder="1" applyAlignment="1" applyProtection="1">
      <alignment wrapText="1"/>
      <protection hidden="1"/>
    </xf>
    <xf numFmtId="0" fontId="0" fillId="0" borderId="0" xfId="0" applyBorder="1" applyAlignment="1" applyProtection="1">
      <protection hidden="1"/>
    </xf>
    <xf numFmtId="0" fontId="0" fillId="0" borderId="13" xfId="0" applyFill="1" applyBorder="1" applyProtection="1">
      <protection hidden="1"/>
    </xf>
    <xf numFmtId="0" fontId="6" fillId="0" borderId="0" xfId="0" applyFont="1" applyAlignment="1" applyProtection="1">
      <protection hidden="1"/>
    </xf>
    <xf numFmtId="0" fontId="0" fillId="0" borderId="0" xfId="0" applyFill="1" applyBorder="1" applyAlignment="1" applyProtection="1">
      <protection hidden="1"/>
    </xf>
    <xf numFmtId="0" fontId="2" fillId="0" borderId="0" xfId="0" applyFont="1" applyAlignment="1" applyProtection="1">
      <protection hidden="1"/>
    </xf>
    <xf numFmtId="0" fontId="0" fillId="0" borderId="14" xfId="0" applyBorder="1" applyProtection="1">
      <protection hidden="1"/>
    </xf>
    <xf numFmtId="0" fontId="4" fillId="0" borderId="14" xfId="0" applyFont="1" applyBorder="1" applyProtection="1">
      <protection hidden="1"/>
    </xf>
    <xf numFmtId="2" fontId="4" fillId="0" borderId="14" xfId="0" applyNumberFormat="1" applyFont="1" applyBorder="1" applyAlignment="1" applyProtection="1">
      <protection hidden="1"/>
    </xf>
    <xf numFmtId="2" fontId="4" fillId="0" borderId="13" xfId="0" applyNumberFormat="1" applyFont="1" applyBorder="1" applyAlignment="1" applyProtection="1">
      <protection hidden="1"/>
    </xf>
    <xf numFmtId="2" fontId="0" fillId="0" borderId="14" xfId="0" applyNumberFormat="1" applyBorder="1" applyProtection="1">
      <protection hidden="1"/>
    </xf>
    <xf numFmtId="2" fontId="0" fillId="0" borderId="13" xfId="0" applyNumberFormat="1" applyBorder="1" applyProtection="1">
      <protection hidden="1"/>
    </xf>
    <xf numFmtId="2" fontId="4" fillId="0" borderId="13" xfId="0" applyNumberFormat="1" applyFont="1" applyFill="1" applyBorder="1" applyProtection="1">
      <protection hidden="1"/>
    </xf>
    <xf numFmtId="2" fontId="4" fillId="0" borderId="0" xfId="0" applyNumberFormat="1" applyFont="1" applyFill="1" applyBorder="1" applyProtection="1">
      <protection hidden="1"/>
    </xf>
    <xf numFmtId="0" fontId="36" fillId="0" borderId="0" xfId="0" applyFont="1" applyBorder="1" applyAlignment="1" applyProtection="1">
      <protection hidden="1"/>
    </xf>
    <xf numFmtId="0" fontId="0" fillId="0" borderId="22" xfId="0" applyBorder="1" applyAlignment="1" applyProtection="1">
      <alignment wrapText="1"/>
      <protection hidden="1"/>
    </xf>
    <xf numFmtId="0" fontId="0" fillId="0" borderId="0" xfId="0" applyProtection="1">
      <protection locked="0" hidden="1"/>
    </xf>
    <xf numFmtId="0" fontId="6" fillId="0" borderId="0" xfId="0" applyFont="1" applyFill="1" applyBorder="1" applyAlignment="1" applyProtection="1">
      <protection hidden="1"/>
    </xf>
    <xf numFmtId="0" fontId="0" fillId="0" borderId="0" xfId="0" applyFill="1" applyAlignment="1" applyProtection="1">
      <protection hidden="1"/>
    </xf>
    <xf numFmtId="0" fontId="4" fillId="0" borderId="13" xfId="0" applyFont="1" applyFill="1" applyBorder="1" applyProtection="1">
      <protection locked="0" hidden="1"/>
    </xf>
    <xf numFmtId="0" fontId="6" fillId="0" borderId="0" xfId="0" applyFont="1" applyBorder="1" applyAlignment="1" applyProtection="1">
      <protection hidden="1"/>
    </xf>
    <xf numFmtId="0" fontId="0" fillId="0" borderId="0" xfId="0" applyFill="1" applyAlignment="1" applyProtection="1">
      <alignment wrapText="1"/>
      <protection hidden="1"/>
    </xf>
    <xf numFmtId="0" fontId="0" fillId="0" borderId="0" xfId="0" applyFill="1" applyBorder="1" applyProtection="1">
      <protection locked="0" hidden="1"/>
    </xf>
    <xf numFmtId="0" fontId="6" fillId="0" borderId="0" xfId="0" applyFont="1" applyFill="1" applyProtection="1">
      <protection hidden="1"/>
    </xf>
    <xf numFmtId="0" fontId="2" fillId="0" borderId="0" xfId="0" applyFont="1" applyFill="1" applyProtection="1">
      <protection hidden="1"/>
    </xf>
    <xf numFmtId="0" fontId="6" fillId="0" borderId="0" xfId="0" applyFont="1" applyFill="1" applyBorder="1" applyProtection="1">
      <protection hidden="1"/>
    </xf>
    <xf numFmtId="165" fontId="4" fillId="0" borderId="0" xfId="0" applyNumberFormat="1" applyFont="1" applyBorder="1" applyAlignment="1" applyProtection="1">
      <protection hidden="1"/>
    </xf>
    <xf numFmtId="2" fontId="13" fillId="0" borderId="13" xfId="0" applyNumberFormat="1" applyFont="1" applyBorder="1" applyProtection="1">
      <protection hidden="1"/>
    </xf>
    <xf numFmtId="0" fontId="37" fillId="0" borderId="0" xfId="0" applyFont="1" applyProtection="1">
      <protection hidden="1"/>
    </xf>
    <xf numFmtId="0" fontId="33" fillId="0" borderId="0" xfId="0" applyFont="1" applyAlignment="1" applyProtection="1">
      <protection hidden="1"/>
    </xf>
    <xf numFmtId="0" fontId="9" fillId="0" borderId="0" xfId="0" applyFont="1" applyFill="1" applyAlignment="1" applyProtection="1">
      <protection hidden="1"/>
    </xf>
    <xf numFmtId="2" fontId="6" fillId="0" borderId="13" xfId="0" applyNumberFormat="1" applyFont="1" applyBorder="1" applyProtection="1">
      <protection hidden="1"/>
    </xf>
    <xf numFmtId="0" fontId="6" fillId="18" borderId="0" xfId="0" applyFont="1" applyFill="1" applyProtection="1">
      <protection hidden="1"/>
    </xf>
    <xf numFmtId="0" fontId="23" fillId="0" borderId="0" xfId="0" applyFont="1" applyAlignment="1" applyProtection="1">
      <protection hidden="1"/>
    </xf>
    <xf numFmtId="2" fontId="9" fillId="0" borderId="0" xfId="0" applyNumberFormat="1" applyFont="1" applyProtection="1">
      <protection hidden="1"/>
    </xf>
    <xf numFmtId="2" fontId="14" fillId="0" borderId="13" xfId="0" applyNumberFormat="1" applyFont="1" applyFill="1" applyBorder="1" applyProtection="1">
      <protection locked="0" hidden="1"/>
    </xf>
    <xf numFmtId="166" fontId="4" fillId="0" borderId="0" xfId="0" applyNumberFormat="1" applyFont="1" applyProtection="1">
      <protection hidden="1"/>
    </xf>
    <xf numFmtId="2" fontId="4" fillId="0" borderId="0" xfId="0" applyNumberFormat="1" applyFont="1" applyProtection="1">
      <protection hidden="1"/>
    </xf>
    <xf numFmtId="2" fontId="14" fillId="0" borderId="0" xfId="0" applyNumberFormat="1" applyFont="1" applyFill="1" applyBorder="1" applyProtection="1">
      <protection locked="0" hidden="1"/>
    </xf>
    <xf numFmtId="2" fontId="4" fillId="0" borderId="0" xfId="0" applyNumberFormat="1" applyFont="1" applyFill="1" applyProtection="1">
      <protection hidden="1"/>
    </xf>
    <xf numFmtId="0" fontId="6" fillId="0" borderId="0" xfId="0" applyFont="1" applyFill="1" applyAlignment="1" applyProtection="1">
      <alignment wrapText="1"/>
      <protection hidden="1"/>
    </xf>
    <xf numFmtId="2" fontId="21" fillId="0" borderId="0" xfId="0" applyNumberFormat="1" applyFont="1" applyProtection="1">
      <protection hidden="1"/>
    </xf>
    <xf numFmtId="0" fontId="2" fillId="0" borderId="0" xfId="0" applyFont="1" applyFill="1" applyAlignment="1" applyProtection="1">
      <protection hidden="1"/>
    </xf>
    <xf numFmtId="0" fontId="18" fillId="0" borderId="0" xfId="0" applyFont="1" applyFill="1" applyAlignment="1" applyProtection="1">
      <protection hidden="1"/>
    </xf>
    <xf numFmtId="0" fontId="6" fillId="0" borderId="0" xfId="0" applyFont="1" applyFill="1" applyAlignment="1" applyProtection="1">
      <protection hidden="1"/>
    </xf>
    <xf numFmtId="0" fontId="3" fillId="0" borderId="0" xfId="0" applyFont="1" applyAlignment="1" applyProtection="1">
      <protection hidden="1"/>
    </xf>
    <xf numFmtId="0" fontId="3" fillId="0" borderId="0" xfId="0" applyFont="1" applyProtection="1">
      <protection hidden="1"/>
    </xf>
    <xf numFmtId="0" fontId="39" fillId="0" borderId="0" xfId="0" applyFont="1" applyAlignment="1" applyProtection="1">
      <protection hidden="1"/>
    </xf>
    <xf numFmtId="0" fontId="8" fillId="0" borderId="0" xfId="0" applyFont="1" applyAlignment="1" applyProtection="1">
      <protection hidden="1"/>
    </xf>
    <xf numFmtId="2" fontId="9" fillId="0" borderId="0" xfId="0" applyNumberFormat="1" applyFont="1" applyBorder="1" applyProtection="1">
      <protection hidden="1"/>
    </xf>
    <xf numFmtId="0" fontId="21" fillId="0" borderId="0" xfId="0" applyFont="1" applyAlignment="1" applyProtection="1">
      <protection hidden="1"/>
    </xf>
    <xf numFmtId="0" fontId="21" fillId="0" borderId="0" xfId="0" applyFont="1" applyAlignment="1" applyProtection="1">
      <alignment wrapText="1"/>
      <protection hidden="1"/>
    </xf>
    <xf numFmtId="0" fontId="40" fillId="0" borderId="0" xfId="0" applyFont="1" applyProtection="1">
      <protection hidden="1"/>
    </xf>
    <xf numFmtId="167" fontId="9" fillId="0" borderId="0" xfId="0" applyNumberFormat="1" applyFont="1" applyBorder="1" applyProtection="1">
      <protection hidden="1"/>
    </xf>
    <xf numFmtId="167" fontId="21" fillId="0" borderId="0" xfId="0" applyNumberFormat="1" applyFont="1" applyBorder="1" applyProtection="1">
      <protection hidden="1"/>
    </xf>
    <xf numFmtId="0" fontId="9" fillId="0" borderId="0" xfId="0" applyFont="1" applyBorder="1" applyProtection="1">
      <protection hidden="1"/>
    </xf>
    <xf numFmtId="2" fontId="21" fillId="0" borderId="0" xfId="0" applyNumberFormat="1" applyFont="1" applyBorder="1" applyProtection="1">
      <protection hidden="1"/>
    </xf>
    <xf numFmtId="0" fontId="14" fillId="0" borderId="0" xfId="0" applyFont="1" applyBorder="1" applyProtection="1">
      <protection hidden="1"/>
    </xf>
    <xf numFmtId="1" fontId="4" fillId="0" borderId="0" xfId="0" applyNumberFormat="1" applyFont="1" applyFill="1" applyBorder="1" applyProtection="1">
      <protection hidden="1"/>
    </xf>
    <xf numFmtId="165" fontId="4" fillId="0" borderId="0" xfId="0" applyNumberFormat="1" applyFont="1" applyBorder="1" applyProtection="1">
      <protection hidden="1"/>
    </xf>
    <xf numFmtId="2" fontId="14" fillId="0" borderId="0" xfId="0" applyNumberFormat="1" applyFont="1" applyProtection="1">
      <protection hidden="1"/>
    </xf>
    <xf numFmtId="2" fontId="9" fillId="0" borderId="0" xfId="0" applyNumberFormat="1" applyFont="1" applyFill="1" applyBorder="1" applyProtection="1">
      <protection hidden="1"/>
    </xf>
    <xf numFmtId="0" fontId="21" fillId="19" borderId="0" xfId="0" applyFont="1" applyFill="1" applyProtection="1">
      <protection hidden="1"/>
    </xf>
    <xf numFmtId="0" fontId="6" fillId="19" borderId="0" xfId="0" applyFont="1" applyFill="1" applyProtection="1">
      <protection hidden="1"/>
    </xf>
    <xf numFmtId="2" fontId="21" fillId="19" borderId="0" xfId="0" applyNumberFormat="1" applyFont="1" applyFill="1" applyBorder="1" applyProtection="1">
      <protection hidden="1"/>
    </xf>
    <xf numFmtId="2" fontId="9" fillId="0" borderId="0" xfId="0" applyNumberFormat="1" applyFont="1" applyFill="1" applyBorder="1" applyAlignment="1" applyProtection="1">
      <protection hidden="1"/>
    </xf>
    <xf numFmtId="0" fontId="4" fillId="0" borderId="0" xfId="0" applyFont="1" applyBorder="1" applyAlignment="1" applyProtection="1">
      <protection hidden="1"/>
    </xf>
    <xf numFmtId="0" fontId="13" fillId="0" borderId="0" xfId="0" applyFont="1" applyAlignment="1" applyProtection="1">
      <protection hidden="1"/>
    </xf>
    <xf numFmtId="0" fontId="0" fillId="0" borderId="23" xfId="0" applyBorder="1" applyProtection="1">
      <protection hidden="1"/>
    </xf>
    <xf numFmtId="0" fontId="0" fillId="0" borderId="17" xfId="0" applyBorder="1" applyProtection="1">
      <protection hidden="1"/>
    </xf>
    <xf numFmtId="0" fontId="0" fillId="0" borderId="24" xfId="0" applyBorder="1" applyProtection="1">
      <protection hidden="1"/>
    </xf>
    <xf numFmtId="2" fontId="9" fillId="0" borderId="0" xfId="0" applyNumberFormat="1" applyFont="1" applyBorder="1" applyAlignment="1" applyProtection="1">
      <protection hidden="1"/>
    </xf>
    <xf numFmtId="0" fontId="13" fillId="0" borderId="25" xfId="0" applyFont="1" applyBorder="1" applyAlignment="1" applyProtection="1">
      <alignment horizontal="center"/>
      <protection hidden="1"/>
    </xf>
    <xf numFmtId="0" fontId="13" fillId="0" borderId="26" xfId="0" applyFont="1" applyBorder="1" applyAlignment="1" applyProtection="1">
      <alignment horizontal="center"/>
      <protection hidden="1"/>
    </xf>
    <xf numFmtId="0" fontId="4" fillId="0" borderId="19" xfId="0" applyFont="1" applyFill="1" applyBorder="1" applyProtection="1">
      <protection hidden="1"/>
    </xf>
    <xf numFmtId="0" fontId="4" fillId="0" borderId="27" xfId="0" applyFont="1" applyFill="1" applyBorder="1" applyProtection="1">
      <protection hidden="1"/>
    </xf>
    <xf numFmtId="2" fontId="35" fillId="0" borderId="0" xfId="0" applyNumberFormat="1" applyFont="1" applyBorder="1" applyAlignment="1" applyProtection="1">
      <protection hidden="1"/>
    </xf>
    <xf numFmtId="0" fontId="14" fillId="0" borderId="28" xfId="0" applyFont="1" applyBorder="1" applyProtection="1">
      <protection hidden="1"/>
    </xf>
    <xf numFmtId="0" fontId="32" fillId="0" borderId="13" xfId="0" applyFont="1" applyBorder="1" applyProtection="1">
      <protection hidden="1"/>
    </xf>
    <xf numFmtId="0" fontId="14" fillId="0" borderId="13" xfId="0" applyFont="1" applyBorder="1" applyProtection="1">
      <protection hidden="1"/>
    </xf>
    <xf numFmtId="0" fontId="14" fillId="0" borderId="29" xfId="0" applyFont="1" applyBorder="1" applyProtection="1">
      <protection hidden="1"/>
    </xf>
    <xf numFmtId="0" fontId="40" fillId="0" borderId="30" xfId="0" applyFont="1" applyBorder="1" applyProtection="1">
      <protection hidden="1"/>
    </xf>
    <xf numFmtId="0" fontId="40" fillId="0" borderId="15" xfId="0" applyFont="1" applyBorder="1" applyProtection="1">
      <protection hidden="1"/>
    </xf>
    <xf numFmtId="0" fontId="40" fillId="0" borderId="31" xfId="0" applyFont="1" applyBorder="1" applyProtection="1">
      <protection hidden="1"/>
    </xf>
    <xf numFmtId="0" fontId="0" fillId="0" borderId="23" xfId="0" applyBorder="1" applyAlignment="1" applyProtection="1">
      <alignment wrapText="1"/>
      <protection hidden="1"/>
    </xf>
    <xf numFmtId="0" fontId="0" fillId="0" borderId="17" xfId="0" applyBorder="1" applyAlignment="1" applyProtection="1">
      <alignment wrapText="1"/>
      <protection hidden="1"/>
    </xf>
    <xf numFmtId="0" fontId="0" fillId="0" borderId="32" xfId="0" applyBorder="1" applyAlignment="1" applyProtection="1">
      <alignment textRotation="90"/>
      <protection hidden="1"/>
    </xf>
    <xf numFmtId="0" fontId="0" fillId="0" borderId="33" xfId="0" applyBorder="1" applyAlignment="1" applyProtection="1">
      <alignment textRotation="90"/>
      <protection hidden="1"/>
    </xf>
    <xf numFmtId="0" fontId="0" fillId="0" borderId="27" xfId="0" applyBorder="1" applyProtection="1">
      <protection hidden="1"/>
    </xf>
    <xf numFmtId="0" fontId="4" fillId="0" borderId="34" xfId="0" applyFont="1" applyFill="1" applyBorder="1" applyProtection="1">
      <protection hidden="1"/>
    </xf>
    <xf numFmtId="0" fontId="4" fillId="0" borderId="32" xfId="0" applyFont="1" applyFill="1" applyBorder="1" applyProtection="1">
      <protection hidden="1"/>
    </xf>
    <xf numFmtId="0" fontId="4" fillId="0" borderId="35" xfId="0" applyFont="1" applyFill="1" applyBorder="1" applyProtection="1">
      <protection hidden="1"/>
    </xf>
    <xf numFmtId="0" fontId="4" fillId="0" borderId="36" xfId="0" applyFont="1" applyFill="1" applyBorder="1" applyProtection="1">
      <protection hidden="1"/>
    </xf>
    <xf numFmtId="2" fontId="6" fillId="0" borderId="0" xfId="0" applyNumberFormat="1" applyFont="1" applyBorder="1" applyAlignment="1" applyProtection="1">
      <protection hidden="1"/>
    </xf>
    <xf numFmtId="2" fontId="4" fillId="0" borderId="0" xfId="0" applyNumberFormat="1" applyFont="1" applyBorder="1" applyAlignment="1" applyProtection="1">
      <protection hidden="1"/>
    </xf>
    <xf numFmtId="0" fontId="2" fillId="0" borderId="0" xfId="0" applyFont="1" applyFill="1" applyBorder="1" applyProtection="1">
      <protection locked="0" hidden="1"/>
    </xf>
    <xf numFmtId="0" fontId="0" fillId="18" borderId="0" xfId="0" applyFill="1" applyAlignment="1" applyProtection="1">
      <protection hidden="1"/>
    </xf>
    <xf numFmtId="166" fontId="2" fillId="0" borderId="0" xfId="0" applyNumberFormat="1" applyFont="1" applyProtection="1">
      <protection locked="0" hidden="1"/>
    </xf>
    <xf numFmtId="0" fontId="0" fillId="0" borderId="0" xfId="0" applyFill="1" applyProtection="1">
      <protection locked="0" hidden="1"/>
    </xf>
    <xf numFmtId="0" fontId="42" fillId="0" borderId="0" xfId="0" applyFont="1" applyProtection="1">
      <protection locked="0" hidden="1"/>
    </xf>
    <xf numFmtId="0" fontId="2" fillId="0" borderId="13" xfId="0" applyFont="1" applyBorder="1" applyProtection="1">
      <protection hidden="1"/>
    </xf>
    <xf numFmtId="0" fontId="2" fillId="0" borderId="37" xfId="0" applyFont="1" applyBorder="1" applyProtection="1">
      <protection hidden="1"/>
    </xf>
    <xf numFmtId="0" fontId="2" fillId="0" borderId="27" xfId="0" applyFont="1" applyBorder="1" applyAlignment="1" applyProtection="1">
      <alignment wrapText="1"/>
      <protection hidden="1"/>
    </xf>
    <xf numFmtId="0" fontId="0" fillId="0" borderId="0" xfId="0" applyBorder="1" applyAlignment="1" applyProtection="1">
      <alignment wrapText="1"/>
      <protection hidden="1"/>
    </xf>
    <xf numFmtId="0" fontId="4" fillId="0" borderId="27" xfId="0" applyFont="1" applyBorder="1" applyAlignment="1" applyProtection="1">
      <alignment wrapText="1"/>
      <protection hidden="1"/>
    </xf>
    <xf numFmtId="0" fontId="4" fillId="0" borderId="38" xfId="0" applyFont="1" applyBorder="1" applyAlignment="1" applyProtection="1">
      <alignment wrapText="1"/>
      <protection hidden="1"/>
    </xf>
    <xf numFmtId="0" fontId="0" fillId="0" borderId="13" xfId="0" applyBorder="1" applyAlignment="1" applyProtection="1">
      <alignment horizontal="center"/>
      <protection hidden="1"/>
    </xf>
    <xf numFmtId="0" fontId="0" fillId="0" borderId="39" xfId="0" applyBorder="1" applyAlignment="1" applyProtection="1">
      <alignment textRotation="90"/>
      <protection hidden="1"/>
    </xf>
    <xf numFmtId="0" fontId="0" fillId="0" borderId="17" xfId="0" applyBorder="1" applyAlignment="1" applyProtection="1">
      <alignment textRotation="90"/>
      <protection hidden="1"/>
    </xf>
    <xf numFmtId="0" fontId="0" fillId="0" borderId="15" xfId="0" applyBorder="1" applyAlignment="1" applyProtection="1">
      <alignment textRotation="90"/>
      <protection hidden="1"/>
    </xf>
    <xf numFmtId="0" fontId="0" fillId="0" borderId="18" xfId="0" applyBorder="1" applyAlignment="1" applyProtection="1">
      <alignment textRotation="90"/>
      <protection hidden="1"/>
    </xf>
    <xf numFmtId="0" fontId="0" fillId="0" borderId="40" xfId="0" applyBorder="1" applyAlignment="1" applyProtection="1">
      <alignment textRotation="90"/>
      <protection hidden="1"/>
    </xf>
    <xf numFmtId="0" fontId="0" fillId="0" borderId="19" xfId="0" applyBorder="1" applyAlignment="1" applyProtection="1">
      <alignment textRotation="90"/>
      <protection hidden="1"/>
    </xf>
    <xf numFmtId="0" fontId="0" fillId="0" borderId="20" xfId="0" applyBorder="1" applyAlignment="1" applyProtection="1">
      <alignment textRotation="90"/>
      <protection hidden="1"/>
    </xf>
    <xf numFmtId="0" fontId="0" fillId="0" borderId="41" xfId="0" applyBorder="1" applyAlignment="1" applyProtection="1">
      <alignment wrapText="1"/>
      <protection hidden="1"/>
    </xf>
    <xf numFmtId="0" fontId="0" fillId="0" borderId="42" xfId="0" applyBorder="1" applyProtection="1">
      <protection hidden="1"/>
    </xf>
    <xf numFmtId="0" fontId="0" fillId="0" borderId="43" xfId="0" applyBorder="1" applyAlignment="1" applyProtection="1">
      <alignment wrapText="1"/>
      <protection hidden="1"/>
    </xf>
    <xf numFmtId="2" fontId="0" fillId="0" borderId="16" xfId="0" applyNumberFormat="1" applyBorder="1" applyProtection="1">
      <protection hidden="1"/>
    </xf>
    <xf numFmtId="0" fontId="2" fillId="0" borderId="44" xfId="0" applyFont="1" applyBorder="1" applyAlignment="1" applyProtection="1">
      <protection hidden="1"/>
    </xf>
    <xf numFmtId="0" fontId="2" fillId="0" borderId="13" xfId="0" applyFont="1" applyBorder="1" applyAlignment="1" applyProtection="1">
      <alignment wrapText="1"/>
      <protection hidden="1"/>
    </xf>
    <xf numFmtId="0" fontId="0" fillId="0" borderId="45" xfId="0" applyBorder="1" applyProtection="1">
      <protection hidden="1"/>
    </xf>
    <xf numFmtId="0" fontId="46" fillId="0" borderId="13" xfId="0" applyFont="1" applyBorder="1" applyAlignment="1" applyProtection="1">
      <protection hidden="1"/>
    </xf>
    <xf numFmtId="0" fontId="0" fillId="0" borderId="37" xfId="0" applyBorder="1" applyAlignment="1" applyProtection="1">
      <protection hidden="1"/>
    </xf>
    <xf numFmtId="0" fontId="0" fillId="0" borderId="14" xfId="0" applyBorder="1" applyAlignment="1" applyProtection="1">
      <alignment horizontal="center" vertical="center"/>
      <protection hidden="1"/>
    </xf>
    <xf numFmtId="0" fontId="0" fillId="0" borderId="42"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0" fillId="20" borderId="0" xfId="0" applyFill="1" applyProtection="1">
      <protection hidden="1"/>
    </xf>
    <xf numFmtId="0" fontId="0" fillId="20" borderId="0" xfId="0" applyFill="1" applyAlignment="1" applyProtection="1">
      <protection hidden="1"/>
    </xf>
    <xf numFmtId="0" fontId="0" fillId="0" borderId="0" xfId="0" applyBorder="1" applyAlignment="1" applyProtection="1">
      <alignment horizontal="center"/>
      <protection hidden="1"/>
    </xf>
    <xf numFmtId="0" fontId="48" fillId="0" borderId="0" xfId="0" applyFont="1" applyProtection="1">
      <protection hidden="1"/>
    </xf>
    <xf numFmtId="0" fontId="35" fillId="0" borderId="0" xfId="0" applyFont="1" applyAlignment="1" applyProtection="1">
      <protection hidden="1"/>
    </xf>
    <xf numFmtId="0" fontId="14" fillId="0" borderId="0" xfId="0" applyFont="1" applyFill="1" applyProtection="1">
      <protection hidden="1"/>
    </xf>
    <xf numFmtId="0" fontId="14" fillId="0" borderId="13" xfId="0" applyFont="1" applyFill="1" applyBorder="1" applyProtection="1">
      <protection hidden="1"/>
    </xf>
    <xf numFmtId="0" fontId="0" fillId="0" borderId="45" xfId="0" applyBorder="1" applyAlignment="1" applyProtection="1">
      <protection hidden="1"/>
    </xf>
    <xf numFmtId="0" fontId="0" fillId="0" borderId="46" xfId="0" applyBorder="1" applyAlignment="1" applyProtection="1">
      <alignment wrapText="1"/>
      <protection hidden="1"/>
    </xf>
    <xf numFmtId="0" fontId="48" fillId="19" borderId="0" xfId="0" applyFont="1" applyFill="1" applyProtection="1">
      <protection hidden="1"/>
    </xf>
    <xf numFmtId="0" fontId="0" fillId="21" borderId="0" xfId="0" applyFill="1" applyProtection="1">
      <protection hidden="1"/>
    </xf>
    <xf numFmtId="0" fontId="15" fillId="18" borderId="0" xfId="0" applyFont="1" applyFill="1" applyBorder="1" applyAlignment="1" applyProtection="1">
      <alignment horizontal="left"/>
      <protection hidden="1"/>
    </xf>
    <xf numFmtId="0" fontId="15" fillId="18" borderId="0" xfId="0" applyFont="1" applyFill="1" applyProtection="1">
      <protection hidden="1"/>
    </xf>
    <xf numFmtId="14" fontId="15" fillId="18" borderId="0" xfId="0" applyNumberFormat="1" applyFont="1" applyFill="1" applyProtection="1">
      <protection hidden="1"/>
    </xf>
    <xf numFmtId="0" fontId="1" fillId="0" borderId="0" xfId="0" applyFont="1"/>
    <xf numFmtId="0" fontId="2" fillId="0" borderId="0" xfId="0" applyFont="1"/>
    <xf numFmtId="0" fontId="35" fillId="0" borderId="0" xfId="0" applyFont="1"/>
    <xf numFmtId="0" fontId="14" fillId="0" borderId="0" xfId="0" applyFont="1"/>
    <xf numFmtId="0" fontId="13" fillId="0" borderId="0" xfId="0" applyFont="1"/>
    <xf numFmtId="0" fontId="0" fillId="0" borderId="0" xfId="0" applyProtection="1">
      <protection locked="0"/>
    </xf>
    <xf numFmtId="0" fontId="0" fillId="22" borderId="13" xfId="0" applyFill="1" applyBorder="1" applyProtection="1">
      <protection locked="0"/>
    </xf>
    <xf numFmtId="0" fontId="0" fillId="0" borderId="0" xfId="0" applyAlignment="1">
      <alignment wrapText="1"/>
    </xf>
    <xf numFmtId="0" fontId="2" fillId="0" borderId="0" xfId="0" applyFont="1" applyFill="1"/>
    <xf numFmtId="0" fontId="6" fillId="0" borderId="0" xfId="0" applyFont="1" applyFill="1"/>
    <xf numFmtId="0" fontId="33" fillId="0" borderId="0" xfId="0" applyFont="1" applyAlignment="1"/>
    <xf numFmtId="0" fontId="6" fillId="0" borderId="0" xfId="0" applyFont="1" applyFill="1" applyBorder="1" applyProtection="1">
      <protection locked="0"/>
    </xf>
    <xf numFmtId="0" fontId="13" fillId="0" borderId="0" xfId="0" applyFont="1" applyFill="1"/>
    <xf numFmtId="0" fontId="1" fillId="0" borderId="0" xfId="0" applyFont="1" applyAlignment="1">
      <alignment wrapText="1"/>
    </xf>
    <xf numFmtId="0" fontId="0" fillId="19" borderId="0" xfId="0" applyFill="1"/>
    <xf numFmtId="0" fontId="2" fillId="0" borderId="13" xfId="0" applyFont="1" applyBorder="1"/>
    <xf numFmtId="0" fontId="4" fillId="0" borderId="0" xfId="0" applyFont="1" applyFill="1" applyBorder="1" applyProtection="1">
      <protection locked="0"/>
    </xf>
    <xf numFmtId="0" fontId="4" fillId="0" borderId="0" xfId="0" applyFont="1" applyFill="1" applyBorder="1"/>
    <xf numFmtId="0" fontId="54" fillId="0" borderId="0" xfId="0" applyFont="1" applyProtection="1">
      <protection hidden="1"/>
    </xf>
    <xf numFmtId="0" fontId="4" fillId="0" borderId="0" xfId="0" applyFont="1" applyFill="1"/>
    <xf numFmtId="0" fontId="21" fillId="0" borderId="0" xfId="0" applyFont="1" applyAlignment="1">
      <alignment horizontal="center"/>
    </xf>
    <xf numFmtId="0" fontId="4" fillId="0" borderId="0" xfId="0" applyFont="1"/>
    <xf numFmtId="0" fontId="14" fillId="0" borderId="0" xfId="0" applyFont="1" applyAlignment="1">
      <alignment horizontal="center"/>
    </xf>
    <xf numFmtId="0" fontId="2" fillId="0" borderId="0" xfId="0" applyFont="1" applyAlignment="1">
      <alignment horizontal="right"/>
    </xf>
    <xf numFmtId="0" fontId="9" fillId="0" borderId="0" xfId="0" applyFont="1" applyAlignment="1">
      <alignment horizontal="center"/>
    </xf>
    <xf numFmtId="0" fontId="20" fillId="18" borderId="0" xfId="0" applyFont="1" applyFill="1"/>
    <xf numFmtId="0" fontId="55" fillId="18" borderId="0" xfId="0" applyFont="1" applyFill="1"/>
    <xf numFmtId="0" fontId="20" fillId="0" borderId="0" xfId="0" applyFont="1" applyFill="1"/>
    <xf numFmtId="1" fontId="20" fillId="0" borderId="0" xfId="0" applyNumberFormat="1" applyFont="1" applyFill="1"/>
    <xf numFmtId="0" fontId="0" fillId="0" borderId="0" xfId="0" applyFill="1" applyBorder="1"/>
    <xf numFmtId="0" fontId="56" fillId="0" borderId="0" xfId="0" applyFont="1" applyFill="1" applyAlignment="1">
      <alignment wrapText="1"/>
    </xf>
    <xf numFmtId="0" fontId="13" fillId="0" borderId="0" xfId="0" applyFont="1" applyAlignment="1">
      <alignment horizontal="center"/>
    </xf>
    <xf numFmtId="0" fontId="0" fillId="21" borderId="0" xfId="0" applyFill="1"/>
    <xf numFmtId="0" fontId="13" fillId="18" borderId="0" xfId="0" applyFont="1" applyFill="1"/>
    <xf numFmtId="0" fontId="0" fillId="0" borderId="12" xfId="0" applyBorder="1" applyAlignment="1">
      <alignment horizontal="center"/>
    </xf>
    <xf numFmtId="0" fontId="1" fillId="0" borderId="47" xfId="0" applyFont="1" applyBorder="1" applyAlignment="1">
      <alignment horizontal="center"/>
    </xf>
    <xf numFmtId="0" fontId="0" fillId="0" borderId="15" xfId="0" applyBorder="1"/>
    <xf numFmtId="0" fontId="0" fillId="0" borderId="31" xfId="0" applyBorder="1"/>
    <xf numFmtId="0" fontId="0" fillId="0" borderId="38" xfId="0" applyBorder="1"/>
    <xf numFmtId="0" fontId="0" fillId="0" borderId="48" xfId="0" applyBorder="1"/>
    <xf numFmtId="0" fontId="0" fillId="0" borderId="49" xfId="0" applyBorder="1"/>
    <xf numFmtId="0" fontId="0" fillId="0" borderId="50" xfId="0" applyBorder="1"/>
    <xf numFmtId="0" fontId="13" fillId="0" borderId="38" xfId="0" applyFont="1" applyBorder="1" applyAlignment="1">
      <alignment horizontal="center"/>
    </xf>
    <xf numFmtId="0" fontId="0" fillId="0" borderId="51" xfId="0" applyBorder="1"/>
    <xf numFmtId="0" fontId="13" fillId="0" borderId="0" xfId="0" applyFont="1" applyAlignment="1">
      <alignment horizontal="right"/>
    </xf>
    <xf numFmtId="0" fontId="72" fillId="18" borderId="0" xfId="0" applyFont="1" applyFill="1" applyProtection="1">
      <protection hidden="1"/>
    </xf>
    <xf numFmtId="0" fontId="47" fillId="0" borderId="0" xfId="0" applyFont="1"/>
    <xf numFmtId="0" fontId="4" fillId="0" borderId="14" xfId="0" applyFont="1" applyFill="1" applyBorder="1" applyAlignment="1" applyProtection="1">
      <protection hidden="1"/>
    </xf>
    <xf numFmtId="0" fontId="4" fillId="0" borderId="13" xfId="0" applyFont="1" applyFill="1" applyBorder="1" applyAlignment="1" applyProtection="1">
      <protection hidden="1"/>
    </xf>
    <xf numFmtId="0" fontId="6" fillId="0" borderId="0" xfId="0" applyNumberFormat="1" applyFont="1" applyFill="1" applyBorder="1" applyProtection="1"/>
    <xf numFmtId="0" fontId="0" fillId="0" borderId="0" xfId="0" applyFill="1" applyBorder="1" applyProtection="1">
      <protection locked="0"/>
    </xf>
    <xf numFmtId="0" fontId="0" fillId="0" borderId="13" xfId="0" applyBorder="1" applyProtection="1">
      <protection locked="0"/>
    </xf>
    <xf numFmtId="2" fontId="0" fillId="0" borderId="13" xfId="0" applyNumberFormat="1" applyFill="1" applyBorder="1" applyProtection="1">
      <protection hidden="1"/>
    </xf>
    <xf numFmtId="2" fontId="13" fillId="0" borderId="13" xfId="0" applyNumberFormat="1" applyFont="1" applyFill="1" applyBorder="1" applyProtection="1">
      <protection hidden="1"/>
    </xf>
    <xf numFmtId="0" fontId="9" fillId="0" borderId="0" xfId="0" applyFont="1" applyFill="1" applyProtection="1">
      <protection locked="0"/>
    </xf>
    <xf numFmtId="0" fontId="0" fillId="18" borderId="0" xfId="0" applyFill="1" applyProtection="1">
      <protection locked="0"/>
    </xf>
    <xf numFmtId="0" fontId="57" fillId="0" borderId="13" xfId="42" applyFont="1" applyFill="1" applyBorder="1" applyAlignment="1" applyProtection="1">
      <alignment horizontal="center" vertical="top" wrapText="1"/>
      <protection locked="0"/>
    </xf>
    <xf numFmtId="0" fontId="14" fillId="0" borderId="13" xfId="0" applyFont="1" applyBorder="1" applyAlignment="1" applyProtection="1">
      <alignment horizontal="center" vertical="top" wrapText="1"/>
      <protection locked="0"/>
    </xf>
    <xf numFmtId="0" fontId="61" fillId="0" borderId="13" xfId="0" applyFont="1" applyFill="1" applyBorder="1" applyAlignment="1" applyProtection="1">
      <alignment vertical="top" wrapText="1"/>
      <protection locked="0"/>
    </xf>
    <xf numFmtId="0" fontId="0" fillId="0" borderId="13" xfId="0" applyBorder="1" applyAlignment="1" applyProtection="1">
      <alignment horizontal="center" vertical="top" wrapText="1"/>
      <protection locked="0"/>
    </xf>
    <xf numFmtId="0" fontId="16" fillId="0" borderId="13" xfId="42" applyFont="1" applyFill="1" applyBorder="1" applyAlignment="1" applyProtection="1">
      <alignment horizontal="center" vertical="top" wrapText="1"/>
      <protection locked="0"/>
    </xf>
    <xf numFmtId="1" fontId="57" fillId="0" borderId="13" xfId="42" applyNumberFormat="1" applyFont="1" applyFill="1" applyBorder="1" applyAlignment="1" applyProtection="1">
      <alignment horizontal="center" vertical="top" wrapText="1"/>
      <protection locked="0"/>
    </xf>
    <xf numFmtId="1" fontId="16" fillId="0" borderId="13" xfId="0" applyNumberFormat="1" applyFont="1" applyFill="1" applyBorder="1" applyAlignment="1" applyProtection="1">
      <alignment vertical="top" wrapText="1"/>
      <protection locked="0"/>
    </xf>
    <xf numFmtId="0" fontId="16" fillId="0" borderId="13" xfId="0" applyFont="1" applyFill="1" applyBorder="1" applyAlignment="1" applyProtection="1">
      <alignment vertical="top" wrapText="1"/>
      <protection locked="0"/>
    </xf>
    <xf numFmtId="0" fontId="67" fillId="0" borderId="13" xfId="42" applyFont="1" applyFill="1" applyBorder="1" applyAlignment="1" applyProtection="1">
      <alignment horizontal="left" wrapText="1"/>
      <protection locked="0"/>
    </xf>
    <xf numFmtId="0" fontId="68" fillId="0" borderId="13" xfId="42" applyFont="1" applyFill="1" applyBorder="1" applyAlignment="1" applyProtection="1">
      <alignment horizontal="left" wrapText="1"/>
      <protection locked="0"/>
    </xf>
    <xf numFmtId="1" fontId="67" fillId="0" borderId="52" xfId="42" applyNumberFormat="1" applyFont="1" applyFill="1" applyBorder="1" applyAlignment="1" applyProtection="1">
      <alignment horizontal="right" wrapText="1"/>
      <protection locked="0"/>
    </xf>
    <xf numFmtId="1" fontId="67" fillId="0" borderId="53" xfId="42" applyNumberFormat="1" applyFont="1" applyFill="1" applyBorder="1" applyAlignment="1" applyProtection="1">
      <alignment horizontal="right" wrapText="1"/>
      <protection locked="0"/>
    </xf>
    <xf numFmtId="0" fontId="67" fillId="0" borderId="53" xfId="42" applyFont="1" applyFill="1" applyBorder="1" applyAlignment="1" applyProtection="1">
      <alignment horizontal="right" wrapText="1"/>
      <protection locked="0"/>
    </xf>
    <xf numFmtId="0" fontId="69" fillId="0" borderId="53" xfId="42" applyFont="1" applyFill="1" applyBorder="1" applyAlignment="1" applyProtection="1">
      <alignment horizontal="right" wrapText="1"/>
      <protection locked="0"/>
    </xf>
    <xf numFmtId="1" fontId="4" fillId="0" borderId="0" xfId="0" applyNumberFormat="1" applyFont="1" applyFill="1" applyProtection="1">
      <protection locked="0"/>
    </xf>
    <xf numFmtId="2" fontId="4" fillId="0" borderId="0" xfId="0" applyNumberFormat="1" applyFont="1" applyFill="1" applyBorder="1" applyProtection="1">
      <protection locked="0"/>
    </xf>
    <xf numFmtId="0" fontId="14" fillId="0" borderId="0" xfId="0" applyFont="1" applyFill="1" applyProtection="1">
      <protection locked="0"/>
    </xf>
    <xf numFmtId="0" fontId="69" fillId="0" borderId="54" xfId="42" applyFont="1" applyFill="1" applyBorder="1" applyAlignment="1" applyProtection="1">
      <alignment horizontal="right" wrapText="1"/>
      <protection locked="0"/>
    </xf>
    <xf numFmtId="0" fontId="4" fillId="0" borderId="0" xfId="0" applyFont="1" applyFill="1" applyProtection="1">
      <protection locked="0"/>
    </xf>
    <xf numFmtId="0" fontId="67" fillId="0" borderId="52" xfId="42" applyFont="1" applyFill="1" applyBorder="1" applyAlignment="1" applyProtection="1">
      <alignment horizontal="right" wrapText="1"/>
      <protection locked="0"/>
    </xf>
    <xf numFmtId="1" fontId="67" fillId="0" borderId="0" xfId="43" applyNumberFormat="1" applyFont="1" applyFill="1" applyBorder="1" applyAlignment="1" applyProtection="1">
      <alignment horizontal="right" wrapText="1"/>
      <protection locked="0"/>
    </xf>
    <xf numFmtId="1" fontId="67" fillId="0" borderId="55" xfId="42" applyNumberFormat="1" applyFont="1" applyFill="1" applyBorder="1" applyAlignment="1" applyProtection="1">
      <alignment horizontal="right" wrapText="1"/>
      <protection locked="0"/>
    </xf>
    <xf numFmtId="1" fontId="67" fillId="0" borderId="8" xfId="42" applyNumberFormat="1" applyFont="1" applyFill="1" applyBorder="1" applyAlignment="1" applyProtection="1">
      <alignment horizontal="right" wrapText="1"/>
      <protection locked="0"/>
    </xf>
    <xf numFmtId="0" fontId="67" fillId="0" borderId="8" xfId="42" applyFont="1" applyFill="1" applyBorder="1" applyAlignment="1" applyProtection="1">
      <alignment horizontal="right" wrapText="1"/>
      <protection locked="0"/>
    </xf>
    <xf numFmtId="0" fontId="67" fillId="0" borderId="55" xfId="42" applyFont="1" applyFill="1" applyBorder="1" applyAlignment="1" applyProtection="1">
      <alignment horizontal="right" wrapText="1"/>
      <protection locked="0"/>
    </xf>
    <xf numFmtId="0" fontId="71" fillId="0" borderId="8" xfId="42" applyFont="1" applyFill="1" applyBorder="1" applyAlignment="1" applyProtection="1">
      <alignment horizontal="right" wrapText="1"/>
      <protection locked="0"/>
    </xf>
    <xf numFmtId="1" fontId="1" fillId="0" borderId="0" xfId="0" applyNumberFormat="1" applyFont="1" applyFill="1" applyProtection="1">
      <protection locked="0"/>
    </xf>
    <xf numFmtId="0" fontId="58" fillId="0" borderId="53" xfId="43" applyFont="1" applyFill="1" applyBorder="1" applyAlignment="1" applyProtection="1">
      <alignment horizontal="right" wrapText="1"/>
      <protection locked="0"/>
    </xf>
    <xf numFmtId="0" fontId="70" fillId="0" borderId="0" xfId="0" applyFont="1" applyFill="1" applyProtection="1">
      <protection locked="0"/>
    </xf>
    <xf numFmtId="0" fontId="70" fillId="0" borderId="0" xfId="0" applyFont="1" applyFill="1" applyBorder="1" applyProtection="1">
      <protection locked="0"/>
    </xf>
    <xf numFmtId="0" fontId="73" fillId="0" borderId="0" xfId="0" applyFont="1" applyFill="1" applyBorder="1" applyProtection="1">
      <protection locked="0"/>
    </xf>
    <xf numFmtId="0" fontId="58" fillId="0" borderId="53" xfId="42" applyFont="1" applyFill="1" applyBorder="1" applyAlignment="1" applyProtection="1">
      <alignment horizontal="right" wrapText="1"/>
      <protection locked="0"/>
    </xf>
    <xf numFmtId="1" fontId="70" fillId="0" borderId="0" xfId="0" applyNumberFormat="1" applyFont="1" applyFill="1" applyProtection="1">
      <protection locked="0"/>
    </xf>
    <xf numFmtId="0" fontId="58" fillId="0" borderId="8" xfId="43" applyFont="1" applyFill="1" applyBorder="1" applyAlignment="1" applyProtection="1">
      <alignment horizontal="right" wrapText="1"/>
      <protection locked="0"/>
    </xf>
    <xf numFmtId="0" fontId="58" fillId="0" borderId="8" xfId="42" applyFont="1" applyFill="1" applyBorder="1" applyAlignment="1" applyProtection="1">
      <alignment horizontal="right" wrapText="1"/>
      <protection locked="0"/>
    </xf>
    <xf numFmtId="0" fontId="74" fillId="0" borderId="56" xfId="42" applyFont="1" applyFill="1" applyBorder="1" applyAlignment="1" applyProtection="1">
      <alignment horizontal="left" wrapText="1"/>
      <protection locked="0"/>
    </xf>
    <xf numFmtId="0" fontId="74" fillId="0" borderId="57" xfId="42" applyFont="1" applyFill="1" applyBorder="1" applyAlignment="1" applyProtection="1">
      <alignment horizontal="left" wrapText="1"/>
      <protection locked="0"/>
    </xf>
    <xf numFmtId="0" fontId="13" fillId="21" borderId="0" xfId="0" applyFont="1" applyFill="1"/>
    <xf numFmtId="0" fontId="20" fillId="21" borderId="0" xfId="0" applyFont="1" applyFill="1"/>
    <xf numFmtId="0" fontId="0" fillId="21" borderId="0" xfId="0" applyFill="1" applyProtection="1">
      <protection locked="0"/>
    </xf>
    <xf numFmtId="0" fontId="7" fillId="21" borderId="0" xfId="0" applyFont="1" applyFill="1"/>
    <xf numFmtId="1" fontId="20" fillId="21" borderId="0" xfId="0" applyNumberFormat="1" applyFont="1" applyFill="1"/>
    <xf numFmtId="0" fontId="26" fillId="0" borderId="0" xfId="0" applyFont="1"/>
    <xf numFmtId="0" fontId="25" fillId="0" borderId="0" xfId="0" applyFont="1"/>
    <xf numFmtId="0" fontId="68" fillId="0" borderId="37" xfId="42" applyFont="1" applyFill="1" applyBorder="1" applyAlignment="1" applyProtection="1">
      <alignment horizontal="left" wrapText="1"/>
      <protection locked="0"/>
    </xf>
    <xf numFmtId="0" fontId="9" fillId="0" borderId="0" xfId="0" applyFont="1" applyFill="1" applyProtection="1">
      <protection hidden="1"/>
    </xf>
    <xf numFmtId="0" fontId="15" fillId="0" borderId="0" xfId="0" applyFont="1" applyFill="1" applyBorder="1" applyProtection="1">
      <protection hidden="1"/>
    </xf>
    <xf numFmtId="0" fontId="75" fillId="0" borderId="0" xfId="0" applyFont="1" applyFill="1" applyBorder="1" applyProtection="1">
      <protection hidden="1"/>
    </xf>
    <xf numFmtId="0" fontId="76" fillId="0" borderId="0" xfId="0" applyFont="1" applyFill="1" applyBorder="1" applyProtection="1">
      <protection hidden="1"/>
    </xf>
    <xf numFmtId="0" fontId="0" fillId="0" borderId="45" xfId="0" applyFill="1" applyBorder="1" applyProtection="1">
      <protection hidden="1"/>
    </xf>
    <xf numFmtId="0" fontId="0" fillId="0" borderId="16" xfId="0" applyFill="1" applyBorder="1" applyProtection="1">
      <protection hidden="1"/>
    </xf>
    <xf numFmtId="166" fontId="14" fillId="0" borderId="0" xfId="0" applyNumberFormat="1" applyFont="1" applyFill="1" applyProtection="1">
      <protection hidden="1"/>
    </xf>
    <xf numFmtId="0" fontId="19" fillId="0" borderId="0" xfId="0" applyFont="1" applyFill="1" applyBorder="1" applyAlignment="1" applyProtection="1">
      <alignment wrapText="1"/>
      <protection hidden="1"/>
    </xf>
    <xf numFmtId="0" fontId="14" fillId="0" borderId="0" xfId="0" applyFont="1" applyFill="1" applyAlignment="1" applyProtection="1">
      <alignment wrapText="1"/>
      <protection hidden="1"/>
    </xf>
    <xf numFmtId="0" fontId="9" fillId="21" borderId="0" xfId="0" applyFont="1" applyFill="1" applyProtection="1">
      <protection hidden="1"/>
    </xf>
    <xf numFmtId="0" fontId="21" fillId="0" borderId="0" xfId="0" applyFont="1"/>
    <xf numFmtId="0" fontId="53" fillId="0" borderId="0" xfId="0" applyFont="1" applyProtection="1">
      <protection hidden="1"/>
    </xf>
    <xf numFmtId="0" fontId="9" fillId="0" borderId="0" xfId="0" applyFont="1" applyFill="1" applyAlignment="1" applyProtection="1">
      <alignment wrapText="1"/>
      <protection hidden="1"/>
    </xf>
    <xf numFmtId="0" fontId="34" fillId="0" borderId="0" xfId="0" applyFont="1" applyFill="1" applyBorder="1" applyAlignment="1" applyProtection="1">
      <protection hidden="1"/>
    </xf>
    <xf numFmtId="0" fontId="0" fillId="0" borderId="20" xfId="0" applyFill="1" applyBorder="1" applyAlignment="1" applyProtection="1">
      <protection hidden="1"/>
    </xf>
    <xf numFmtId="2" fontId="0" fillId="0" borderId="0" xfId="0" applyNumberFormat="1" applyFill="1" applyBorder="1" applyAlignment="1" applyProtection="1">
      <protection locked="0" hidden="1"/>
    </xf>
    <xf numFmtId="1" fontId="0" fillId="0" borderId="0" xfId="0" applyNumberFormat="1" applyFill="1" applyAlignment="1" applyProtection="1">
      <protection locked="0" hidden="1"/>
    </xf>
    <xf numFmtId="2" fontId="0" fillId="0" borderId="0" xfId="0" applyNumberFormat="1" applyAlignment="1" applyProtection="1">
      <protection hidden="1"/>
    </xf>
    <xf numFmtId="0" fontId="51" fillId="0" borderId="0" xfId="0" applyFont="1" applyAlignment="1" applyProtection="1">
      <protection hidden="1"/>
    </xf>
    <xf numFmtId="0" fontId="17" fillId="0" borderId="0" xfId="0" applyFont="1" applyAlignment="1"/>
    <xf numFmtId="0" fontId="17" fillId="0" borderId="0" xfId="0" applyFont="1"/>
    <xf numFmtId="0" fontId="0" fillId="22" borderId="13" xfId="0" applyFill="1" applyBorder="1" applyAlignment="1">
      <alignment horizontal="center"/>
    </xf>
    <xf numFmtId="0" fontId="4" fillId="0" borderId="13" xfId="0" applyFont="1" applyFill="1" applyBorder="1" applyProtection="1">
      <protection locked="0"/>
    </xf>
    <xf numFmtId="0" fontId="14" fillId="0" borderId="13" xfId="0" applyFont="1" applyFill="1" applyBorder="1" applyProtection="1">
      <protection locked="0"/>
    </xf>
    <xf numFmtId="0" fontId="50" fillId="0" borderId="0" xfId="0" applyFont="1"/>
    <xf numFmtId="0" fontId="6" fillId="22" borderId="13" xfId="0" applyFont="1" applyFill="1" applyBorder="1" applyAlignment="1" applyProtection="1">
      <alignment horizontal="center"/>
      <protection locked="0"/>
    </xf>
    <xf numFmtId="0" fontId="0" fillId="0" borderId="13" xfId="0" applyFill="1" applyBorder="1" applyProtection="1">
      <protection locked="0"/>
    </xf>
    <xf numFmtId="0" fontId="4" fillId="0" borderId="13" xfId="0" applyNumberFormat="1" applyFont="1" applyFill="1" applyBorder="1" applyProtection="1">
      <protection locked="0"/>
    </xf>
    <xf numFmtId="1" fontId="14" fillId="0" borderId="13" xfId="0" applyNumberFormat="1" applyFont="1" applyFill="1" applyBorder="1" applyProtection="1">
      <protection locked="0"/>
    </xf>
    <xf numFmtId="2" fontId="14" fillId="0" borderId="13" xfId="0" applyNumberFormat="1" applyFont="1" applyFill="1" applyBorder="1" applyProtection="1">
      <protection locked="0"/>
    </xf>
    <xf numFmtId="0" fontId="4" fillId="0" borderId="13" xfId="0" applyFont="1" applyFill="1" applyBorder="1" applyAlignment="1" applyProtection="1">
      <protection locked="0"/>
    </xf>
    <xf numFmtId="0" fontId="14" fillId="0" borderId="13" xfId="0" applyFont="1" applyFill="1" applyBorder="1" applyProtection="1"/>
    <xf numFmtId="0" fontId="4" fillId="0" borderId="13" xfId="0" applyFont="1" applyFill="1" applyBorder="1" applyProtection="1"/>
    <xf numFmtId="0" fontId="4" fillId="0" borderId="37" xfId="0" applyFont="1" applyFill="1" applyBorder="1" applyProtection="1">
      <protection locked="0" hidden="1"/>
    </xf>
    <xf numFmtId="0" fontId="33" fillId="0" borderId="0" xfId="0" applyFont="1"/>
    <xf numFmtId="0" fontId="0" fillId="0" borderId="0" xfId="0" applyAlignment="1">
      <alignment horizontal="center"/>
    </xf>
    <xf numFmtId="0" fontId="33" fillId="0" borderId="0" xfId="0" applyFont="1" applyAlignment="1">
      <alignment horizontal="center"/>
    </xf>
    <xf numFmtId="0" fontId="40" fillId="0" borderId="13" xfId="0" applyFont="1" applyBorder="1" applyAlignment="1">
      <alignment textRotation="90" wrapText="1"/>
    </xf>
    <xf numFmtId="0" fontId="82" fillId="0" borderId="0" xfId="0" applyFont="1"/>
    <xf numFmtId="0" fontId="0" fillId="0" borderId="37" xfId="0" applyBorder="1" applyProtection="1">
      <protection hidden="1"/>
    </xf>
    <xf numFmtId="0" fontId="81" fillId="0" borderId="37" xfId="0" applyFont="1" applyBorder="1"/>
    <xf numFmtId="1" fontId="0" fillId="0" borderId="0" xfId="0" applyNumberFormat="1"/>
    <xf numFmtId="0" fontId="21" fillId="0" borderId="13" xfId="0" applyFont="1" applyBorder="1" applyProtection="1">
      <protection hidden="1"/>
    </xf>
    <xf numFmtId="0" fontId="4" fillId="0" borderId="13" xfId="0" applyFont="1" applyBorder="1" applyAlignment="1">
      <alignment horizontal="center"/>
    </xf>
    <xf numFmtId="0" fontId="0" fillId="0" borderId="35" xfId="0" applyBorder="1"/>
    <xf numFmtId="0" fontId="84" fillId="0" borderId="58" xfId="0" applyFont="1" applyBorder="1"/>
    <xf numFmtId="0" fontId="13" fillId="0" borderId="0" xfId="0" applyFont="1" applyBorder="1"/>
    <xf numFmtId="0" fontId="87" fillId="0" borderId="12" xfId="0" applyFont="1" applyBorder="1" applyProtection="1">
      <protection hidden="1"/>
    </xf>
    <xf numFmtId="0" fontId="0" fillId="0" borderId="47" xfId="0" applyBorder="1"/>
    <xf numFmtId="0" fontId="0" fillId="0" borderId="59" xfId="0" applyBorder="1"/>
    <xf numFmtId="0" fontId="14" fillId="0" borderId="0" xfId="0" applyFont="1" applyFill="1" applyBorder="1" applyProtection="1">
      <protection hidden="1"/>
    </xf>
    <xf numFmtId="0" fontId="14" fillId="0" borderId="0" xfId="0" applyFont="1" applyBorder="1"/>
    <xf numFmtId="0" fontId="12" fillId="0" borderId="0" xfId="0" applyFont="1" applyBorder="1"/>
    <xf numFmtId="0" fontId="1" fillId="0" borderId="0" xfId="0" applyFont="1" applyAlignment="1" applyProtection="1">
      <alignment wrapText="1"/>
      <protection hidden="1"/>
    </xf>
    <xf numFmtId="0" fontId="0" fillId="0" borderId="13" xfId="0" applyBorder="1" applyAlignment="1" applyProtection="1">
      <alignment wrapText="1"/>
      <protection hidden="1"/>
    </xf>
    <xf numFmtId="0" fontId="0" fillId="0" borderId="14" xfId="0" applyBorder="1" applyAlignment="1" applyProtection="1">
      <alignment wrapText="1"/>
      <protection hidden="1"/>
    </xf>
    <xf numFmtId="0" fontId="0" fillId="0" borderId="0" xfId="0" applyAlignment="1" applyProtection="1">
      <alignment horizontal="center" vertical="center" wrapText="1"/>
      <protection hidden="1"/>
    </xf>
    <xf numFmtId="0" fontId="0" fillId="0" borderId="60" xfId="0" applyBorder="1" applyAlignment="1" applyProtection="1">
      <alignment wrapText="1"/>
      <protection hidden="1"/>
    </xf>
    <xf numFmtId="0" fontId="0" fillId="0" borderId="61" xfId="0" applyBorder="1" applyAlignment="1" applyProtection="1">
      <alignment wrapText="1"/>
      <protection hidden="1"/>
    </xf>
    <xf numFmtId="0" fontId="0" fillId="0" borderId="36" xfId="0" applyBorder="1" applyAlignment="1" applyProtection="1">
      <protection hidden="1"/>
    </xf>
    <xf numFmtId="0" fontId="2" fillId="0" borderId="0" xfId="0" applyFont="1" applyAlignment="1" applyProtection="1">
      <alignment wrapText="1"/>
      <protection hidden="1"/>
    </xf>
    <xf numFmtId="0" fontId="17" fillId="0" borderId="0" xfId="0" applyFont="1" applyFill="1" applyAlignment="1" applyProtection="1">
      <alignment wrapText="1"/>
      <protection hidden="1"/>
    </xf>
    <xf numFmtId="0" fontId="0" fillId="0" borderId="0" xfId="0" applyFill="1" applyBorder="1" applyAlignment="1" applyProtection="1">
      <alignment wrapText="1"/>
      <protection hidden="1"/>
    </xf>
    <xf numFmtId="0" fontId="6" fillId="0" borderId="13" xfId="0" applyFont="1" applyBorder="1" applyAlignment="1" applyProtection="1">
      <alignment horizontal="center" wrapText="1"/>
      <protection hidden="1"/>
    </xf>
    <xf numFmtId="0" fontId="13" fillId="0" borderId="13" xfId="0" applyFont="1" applyBorder="1" applyAlignment="1" applyProtection="1">
      <alignment horizontal="center"/>
      <protection hidden="1"/>
    </xf>
    <xf numFmtId="0" fontId="0" fillId="0" borderId="0" xfId="0" applyBorder="1" applyAlignment="1" applyProtection="1">
      <alignment horizontal="center" vertical="center"/>
      <protection hidden="1"/>
    </xf>
    <xf numFmtId="0" fontId="0" fillId="0" borderId="13" xfId="0" applyBorder="1" applyAlignment="1" applyProtection="1">
      <alignment horizontal="center" vertical="center" wrapText="1"/>
      <protection hidden="1"/>
    </xf>
    <xf numFmtId="0" fontId="109" fillId="0" borderId="0" xfId="0" applyFont="1" applyAlignment="1" applyProtection="1">
      <protection hidden="1"/>
    </xf>
    <xf numFmtId="0" fontId="89" fillId="0" borderId="58" xfId="0" applyFont="1" applyBorder="1" applyProtection="1">
      <protection hidden="1"/>
    </xf>
    <xf numFmtId="0" fontId="0" fillId="0" borderId="10" xfId="0" applyBorder="1" applyProtection="1">
      <protection hidden="1"/>
    </xf>
    <xf numFmtId="0" fontId="0" fillId="0" borderId="11" xfId="0" applyBorder="1" applyProtection="1">
      <protection hidden="1"/>
    </xf>
    <xf numFmtId="14" fontId="53" fillId="0" borderId="0" xfId="0" applyNumberFormat="1" applyFont="1" applyFill="1" applyBorder="1" applyProtection="1">
      <protection hidden="1"/>
    </xf>
    <xf numFmtId="0" fontId="53" fillId="0" borderId="0" xfId="0" applyFont="1" applyFill="1" applyBorder="1" applyAlignment="1" applyProtection="1">
      <alignment horizontal="center"/>
      <protection hidden="1"/>
    </xf>
    <xf numFmtId="0" fontId="90" fillId="0" borderId="12" xfId="0" applyFont="1" applyBorder="1" applyProtection="1">
      <protection hidden="1"/>
    </xf>
    <xf numFmtId="0" fontId="0" fillId="0" borderId="51" xfId="0" applyBorder="1" applyProtection="1">
      <protection hidden="1"/>
    </xf>
    <xf numFmtId="0" fontId="89" fillId="0" borderId="12" xfId="0" applyFont="1" applyBorder="1" applyProtection="1">
      <protection hidden="1"/>
    </xf>
    <xf numFmtId="0" fontId="87" fillId="0" borderId="12" xfId="0" applyFont="1" applyFill="1" applyBorder="1" applyProtection="1">
      <protection hidden="1"/>
    </xf>
    <xf numFmtId="0" fontId="14" fillId="0" borderId="0" xfId="0" applyFont="1" applyAlignment="1" applyProtection="1">
      <protection hidden="1"/>
    </xf>
    <xf numFmtId="0" fontId="96" fillId="0" borderId="12" xfId="0" applyFont="1" applyBorder="1"/>
    <xf numFmtId="0" fontId="97" fillId="0" borderId="12" xfId="0" applyFont="1" applyBorder="1" applyProtection="1">
      <protection hidden="1"/>
    </xf>
    <xf numFmtId="0" fontId="98" fillId="0" borderId="12" xfId="0" applyFont="1" applyBorder="1" applyProtection="1">
      <protection hidden="1"/>
    </xf>
    <xf numFmtId="0" fontId="2" fillId="0" borderId="13" xfId="0" applyFont="1" applyBorder="1" applyAlignment="1" applyProtection="1">
      <alignment horizontal="center"/>
      <protection hidden="1"/>
    </xf>
    <xf numFmtId="0" fontId="11" fillId="0" borderId="0" xfId="0" applyFont="1" applyBorder="1" applyProtection="1">
      <protection hidden="1"/>
    </xf>
    <xf numFmtId="0" fontId="17" fillId="0" borderId="0" xfId="0" applyFont="1" applyBorder="1" applyProtection="1">
      <protection hidden="1"/>
    </xf>
    <xf numFmtId="0" fontId="17" fillId="0" borderId="51" xfId="0" applyFont="1" applyBorder="1" applyProtection="1">
      <protection hidden="1"/>
    </xf>
    <xf numFmtId="2" fontId="0" fillId="0" borderId="0" xfId="0" applyNumberFormat="1" applyBorder="1" applyProtection="1">
      <protection hidden="1"/>
    </xf>
    <xf numFmtId="0" fontId="0" fillId="0" borderId="35" xfId="0" applyBorder="1" applyProtection="1">
      <protection hidden="1"/>
    </xf>
    <xf numFmtId="0" fontId="0" fillId="0" borderId="59" xfId="0" applyBorder="1" applyProtection="1">
      <protection hidden="1"/>
    </xf>
    <xf numFmtId="0" fontId="90" fillId="0" borderId="0" xfId="0" applyFont="1" applyProtection="1">
      <protection hidden="1"/>
    </xf>
    <xf numFmtId="0" fontId="102" fillId="0" borderId="0" xfId="0" applyFont="1" applyAlignment="1" applyProtection="1">
      <protection hidden="1"/>
    </xf>
    <xf numFmtId="0" fontId="12" fillId="22" borderId="13" xfId="0" applyFont="1" applyFill="1" applyBorder="1" applyAlignment="1">
      <alignment horizontal="center"/>
    </xf>
    <xf numFmtId="0" fontId="17" fillId="0" borderId="0" xfId="0" applyFont="1" applyAlignment="1" applyProtection="1">
      <protection hidden="1"/>
    </xf>
    <xf numFmtId="0" fontId="103" fillId="0" borderId="0" xfId="0" applyFont="1" applyAlignment="1" applyProtection="1">
      <protection hidden="1"/>
    </xf>
    <xf numFmtId="0" fontId="13" fillId="0" borderId="0" xfId="0" applyFont="1" applyBorder="1" applyAlignment="1" applyProtection="1">
      <alignment horizontal="center"/>
      <protection hidden="1"/>
    </xf>
    <xf numFmtId="0" fontId="13" fillId="0" borderId="0" xfId="0" applyFont="1" applyBorder="1" applyAlignment="1">
      <alignment horizontal="center"/>
    </xf>
    <xf numFmtId="0" fontId="104" fillId="0" borderId="0" xfId="0" applyFont="1" applyFill="1" applyBorder="1" applyAlignment="1" applyProtection="1">
      <protection hidden="1"/>
    </xf>
    <xf numFmtId="0" fontId="0" fillId="0" borderId="44" xfId="0" applyBorder="1" applyAlignment="1" applyProtection="1">
      <alignment wrapText="1"/>
      <protection hidden="1"/>
    </xf>
    <xf numFmtId="0" fontId="26" fillId="0" borderId="0" xfId="0" applyFont="1" applyAlignment="1" applyProtection="1">
      <protection hidden="1"/>
    </xf>
    <xf numFmtId="0" fontId="105" fillId="0" borderId="0" xfId="0" applyFont="1" applyAlignment="1" applyProtection="1">
      <protection hidden="1"/>
    </xf>
    <xf numFmtId="0" fontId="33" fillId="23" borderId="0" xfId="0" applyFont="1" applyFill="1" applyAlignment="1" applyProtection="1">
      <alignment horizontal="center"/>
      <protection hidden="1"/>
    </xf>
    <xf numFmtId="0" fontId="0" fillId="22" borderId="14" xfId="0" applyFill="1" applyBorder="1" applyProtection="1">
      <protection locked="0"/>
    </xf>
    <xf numFmtId="0" fontId="6" fillId="0" borderId="62" xfId="0" applyFont="1" applyBorder="1" applyAlignment="1" applyProtection="1">
      <alignment horizontal="center" vertical="center" wrapText="1"/>
      <protection hidden="1"/>
    </xf>
    <xf numFmtId="0" fontId="6" fillId="0" borderId="38" xfId="0" applyFont="1" applyBorder="1" applyAlignment="1" applyProtection="1">
      <alignment horizontal="center" vertical="center" wrapText="1"/>
      <protection hidden="1"/>
    </xf>
    <xf numFmtId="0" fontId="6" fillId="0" borderId="49" xfId="0" applyFont="1" applyBorder="1" applyAlignment="1" applyProtection="1">
      <alignment horizontal="center" vertical="center" wrapText="1"/>
      <protection hidden="1"/>
    </xf>
    <xf numFmtId="0" fontId="6" fillId="0" borderId="36" xfId="0" applyFont="1" applyBorder="1" applyAlignment="1" applyProtection="1">
      <alignment horizontal="center" vertical="center" wrapText="1"/>
      <protection hidden="1"/>
    </xf>
    <xf numFmtId="0" fontId="6" fillId="0" borderId="27" xfId="0" applyFont="1" applyBorder="1" applyAlignment="1" applyProtection="1">
      <alignment horizontal="center" wrapText="1"/>
      <protection hidden="1"/>
    </xf>
    <xf numFmtId="0" fontId="6" fillId="0" borderId="38" xfId="0" applyFont="1" applyBorder="1" applyAlignment="1" applyProtection="1">
      <alignment horizontal="center" wrapText="1"/>
      <protection hidden="1"/>
    </xf>
    <xf numFmtId="0" fontId="1" fillId="0" borderId="41" xfId="0" applyFont="1" applyBorder="1" applyAlignment="1" applyProtection="1">
      <alignment horizontal="center"/>
      <protection hidden="1"/>
    </xf>
    <xf numFmtId="0" fontId="0" fillId="0" borderId="63" xfId="0" applyBorder="1" applyProtection="1">
      <protection hidden="1"/>
    </xf>
    <xf numFmtId="2" fontId="1" fillId="0" borderId="13" xfId="0" applyNumberFormat="1" applyFont="1" applyBorder="1"/>
    <xf numFmtId="0" fontId="0" fillId="0" borderId="43" xfId="0" applyBorder="1" applyAlignment="1" applyProtection="1">
      <alignment horizontal="center"/>
      <protection hidden="1"/>
    </xf>
    <xf numFmtId="0" fontId="0" fillId="0" borderId="28" xfId="0" applyBorder="1" applyProtection="1">
      <protection hidden="1"/>
    </xf>
    <xf numFmtId="0" fontId="0" fillId="0" borderId="0" xfId="0" applyProtection="1"/>
    <xf numFmtId="0" fontId="0" fillId="0" borderId="0" xfId="0" applyAlignment="1" applyProtection="1"/>
    <xf numFmtId="0" fontId="21" fillId="0" borderId="0" xfId="0" applyFont="1" applyFill="1" applyAlignment="1" applyProtection="1">
      <alignment horizontal="center"/>
      <protection hidden="1"/>
    </xf>
    <xf numFmtId="0" fontId="0" fillId="0" borderId="30" xfId="0" applyBorder="1" applyProtection="1">
      <protection hidden="1"/>
    </xf>
    <xf numFmtId="2" fontId="0" fillId="0" borderId="15" xfId="0" applyNumberFormat="1" applyBorder="1" applyProtection="1">
      <protection hidden="1"/>
    </xf>
    <xf numFmtId="0" fontId="0" fillId="0" borderId="22" xfId="0" applyBorder="1" applyAlignment="1" applyProtection="1">
      <alignment horizontal="center"/>
      <protection hidden="1"/>
    </xf>
    <xf numFmtId="0" fontId="0" fillId="0" borderId="27" xfId="0" applyBorder="1" applyAlignment="1" applyProtection="1">
      <protection hidden="1"/>
    </xf>
    <xf numFmtId="0" fontId="0" fillId="0" borderId="64" xfId="0" applyBorder="1" applyAlignment="1" applyProtection="1">
      <protection hidden="1"/>
    </xf>
    <xf numFmtId="2" fontId="4" fillId="0" borderId="48" xfId="0" applyNumberFormat="1" applyFont="1" applyFill="1" applyBorder="1" applyAlignment="1" applyProtection="1">
      <protection hidden="1"/>
    </xf>
    <xf numFmtId="0" fontId="0" fillId="0" borderId="48" xfId="0" applyBorder="1" applyAlignment="1" applyProtection="1">
      <protection hidden="1"/>
    </xf>
    <xf numFmtId="0" fontId="0" fillId="0" borderId="49" xfId="0" applyBorder="1" applyAlignment="1" applyProtection="1">
      <protection hidden="1"/>
    </xf>
    <xf numFmtId="0" fontId="30" fillId="0" borderId="0" xfId="0" applyFont="1" applyFill="1" applyProtection="1">
      <protection hidden="1"/>
    </xf>
    <xf numFmtId="2" fontId="21" fillId="0" borderId="13" xfId="0" applyNumberFormat="1" applyFont="1" applyBorder="1" applyProtection="1">
      <protection hidden="1"/>
    </xf>
    <xf numFmtId="1" fontId="9" fillId="0" borderId="13" xfId="0" applyNumberFormat="1" applyFont="1" applyBorder="1" applyProtection="1">
      <protection hidden="1"/>
    </xf>
    <xf numFmtId="2" fontId="9" fillId="0" borderId="13" xfId="0" applyNumberFormat="1" applyFont="1" applyBorder="1" applyProtection="1">
      <protection hidden="1"/>
    </xf>
    <xf numFmtId="0" fontId="9" fillId="0" borderId="13" xfId="0" applyFont="1" applyFill="1" applyBorder="1" applyProtection="1">
      <protection locked="0"/>
    </xf>
    <xf numFmtId="0" fontId="106" fillId="0" borderId="0" xfId="0" applyFont="1" applyProtection="1">
      <protection hidden="1"/>
    </xf>
    <xf numFmtId="0" fontId="33" fillId="0" borderId="0" xfId="0" applyFont="1" applyProtection="1">
      <protection hidden="1"/>
    </xf>
    <xf numFmtId="0" fontId="13" fillId="0" borderId="13" xfId="0" applyFont="1" applyBorder="1" applyProtection="1">
      <protection hidden="1"/>
    </xf>
    <xf numFmtId="0" fontId="26" fillId="0" borderId="0" xfId="0" applyFont="1" applyFill="1" applyBorder="1" applyProtection="1">
      <protection hidden="1"/>
    </xf>
    <xf numFmtId="0" fontId="15" fillId="0" borderId="0" xfId="0" applyFont="1" applyBorder="1" applyAlignment="1" applyProtection="1">
      <protection hidden="1"/>
    </xf>
    <xf numFmtId="2" fontId="13" fillId="0" borderId="0" xfId="0" applyNumberFormat="1" applyFont="1" applyBorder="1" applyAlignment="1" applyProtection="1">
      <alignment horizontal="center"/>
      <protection hidden="1"/>
    </xf>
    <xf numFmtId="0" fontId="0" fillId="0" borderId="0" xfId="0" applyBorder="1" applyAlignment="1" applyProtection="1">
      <alignment horizontal="left"/>
      <protection hidden="1"/>
    </xf>
    <xf numFmtId="0" fontId="0" fillId="0" borderId="0" xfId="0" applyAlignment="1" applyProtection="1">
      <alignment horizontal="center"/>
      <protection hidden="1"/>
    </xf>
    <xf numFmtId="0" fontId="15" fillId="20" borderId="0" xfId="0" applyFont="1" applyFill="1" applyBorder="1" applyAlignment="1" applyProtection="1">
      <protection hidden="1"/>
    </xf>
    <xf numFmtId="0" fontId="0" fillId="20" borderId="0" xfId="0" applyFill="1" applyBorder="1" applyProtection="1">
      <protection hidden="1"/>
    </xf>
    <xf numFmtId="2" fontId="13" fillId="20" borderId="0" xfId="0" applyNumberFormat="1" applyFont="1" applyFill="1" applyBorder="1" applyAlignment="1" applyProtection="1">
      <alignment horizontal="center"/>
      <protection hidden="1"/>
    </xf>
    <xf numFmtId="0" fontId="15" fillId="0" borderId="0" xfId="0" applyFont="1" applyBorder="1" applyAlignment="1" applyProtection="1">
      <alignment horizontal="left" wrapText="1"/>
      <protection hidden="1"/>
    </xf>
    <xf numFmtId="2" fontId="0" fillId="0" borderId="0" xfId="0" applyNumberFormat="1" applyBorder="1" applyAlignment="1" applyProtection="1">
      <alignment horizontal="center" wrapText="1"/>
      <protection hidden="1"/>
    </xf>
    <xf numFmtId="0" fontId="0" fillId="22" borderId="37" xfId="0" applyFill="1" applyBorder="1" applyProtection="1">
      <protection locked="0"/>
    </xf>
    <xf numFmtId="0" fontId="72" fillId="0" borderId="0" xfId="0" applyFont="1" applyFill="1" applyProtection="1">
      <protection hidden="1"/>
    </xf>
    <xf numFmtId="0" fontId="0" fillId="0" borderId="0" xfId="0" applyNumberFormat="1" applyAlignment="1" applyProtection="1">
      <protection hidden="1"/>
    </xf>
    <xf numFmtId="2" fontId="4" fillId="0" borderId="0" xfId="0" applyNumberFormat="1" applyFont="1" applyBorder="1" applyAlignment="1"/>
    <xf numFmtId="0" fontId="48" fillId="0" borderId="0" xfId="0" applyFont="1" applyAlignment="1" applyProtection="1">
      <protection hidden="1"/>
    </xf>
    <xf numFmtId="0" fontId="4" fillId="0" borderId="0" xfId="0" applyFont="1" applyFill="1" applyBorder="1" applyAlignment="1"/>
    <xf numFmtId="2" fontId="9" fillId="0" borderId="0" xfId="0" applyNumberFormat="1" applyFont="1" applyFill="1" applyBorder="1" applyAlignment="1"/>
    <xf numFmtId="0" fontId="21" fillId="0" borderId="0" xfId="0" applyFont="1" applyFill="1" applyProtection="1">
      <protection hidden="1"/>
    </xf>
    <xf numFmtId="0" fontId="21" fillId="0" borderId="0" xfId="0" applyFont="1" applyFill="1"/>
    <xf numFmtId="2" fontId="0" fillId="0" borderId="0" xfId="0" applyNumberFormat="1" applyFill="1" applyBorder="1" applyProtection="1">
      <protection locked="0" hidden="1"/>
    </xf>
    <xf numFmtId="0" fontId="48" fillId="0" borderId="0" xfId="0" applyFont="1" applyBorder="1"/>
    <xf numFmtId="0" fontId="87" fillId="0" borderId="58" xfId="0" applyFont="1" applyBorder="1" applyProtection="1">
      <protection hidden="1"/>
    </xf>
    <xf numFmtId="0" fontId="1" fillId="0" borderId="0" xfId="0" applyFont="1" applyBorder="1" applyProtection="1">
      <protection hidden="1"/>
    </xf>
    <xf numFmtId="0" fontId="1" fillId="0" borderId="0" xfId="0" applyFont="1" applyBorder="1"/>
    <xf numFmtId="0" fontId="1" fillId="0" borderId="51" xfId="0" applyFont="1" applyBorder="1" applyProtection="1">
      <protection hidden="1"/>
    </xf>
    <xf numFmtId="0" fontId="110" fillId="0" borderId="12" xfId="0" applyFont="1" applyBorder="1" applyProtection="1">
      <protection hidden="1"/>
    </xf>
    <xf numFmtId="0" fontId="98" fillId="0" borderId="12" xfId="0" applyFont="1" applyBorder="1" applyAlignment="1" applyProtection="1">
      <protection hidden="1"/>
    </xf>
    <xf numFmtId="0" fontId="1" fillId="0" borderId="0" xfId="0" applyFont="1" applyBorder="1" applyAlignment="1"/>
    <xf numFmtId="0" fontId="1" fillId="0" borderId="51" xfId="0" applyFont="1" applyBorder="1" applyAlignment="1"/>
    <xf numFmtId="0" fontId="90" fillId="0" borderId="12" xfId="0" applyFont="1" applyBorder="1" applyAlignment="1" applyProtection="1">
      <protection hidden="1"/>
    </xf>
    <xf numFmtId="0" fontId="48" fillId="0" borderId="0" xfId="0" applyFont="1" applyBorder="1" applyAlignment="1">
      <alignment horizontal="center"/>
    </xf>
    <xf numFmtId="0" fontId="15" fillId="0" borderId="12" xfId="0" applyFont="1" applyBorder="1" applyAlignment="1" applyProtection="1">
      <protection hidden="1"/>
    </xf>
    <xf numFmtId="0" fontId="15" fillId="0" borderId="12" xfId="0" applyFont="1" applyBorder="1" applyProtection="1">
      <protection hidden="1"/>
    </xf>
    <xf numFmtId="0" fontId="0" fillId="0" borderId="51" xfId="0" applyFill="1" applyBorder="1" applyProtection="1">
      <protection hidden="1"/>
    </xf>
    <xf numFmtId="0" fontId="15" fillId="0" borderId="12" xfId="0" applyFont="1" applyBorder="1"/>
    <xf numFmtId="0" fontId="15" fillId="0" borderId="47" xfId="0" applyFont="1" applyBorder="1" applyProtection="1">
      <protection hidden="1"/>
    </xf>
    <xf numFmtId="0" fontId="0" fillId="0" borderId="59" xfId="0" applyFill="1" applyBorder="1" applyProtection="1">
      <protection hidden="1"/>
    </xf>
    <xf numFmtId="0" fontId="15" fillId="0" borderId="0" xfId="0" applyFont="1" applyProtection="1">
      <protection hidden="1"/>
    </xf>
    <xf numFmtId="0" fontId="12" fillId="22" borderId="13" xfId="0" applyFont="1" applyFill="1" applyBorder="1" applyAlignment="1" applyProtection="1">
      <alignment horizontal="center"/>
      <protection hidden="1"/>
    </xf>
    <xf numFmtId="0" fontId="53" fillId="0" borderId="0" xfId="0" applyFont="1" applyAlignment="1" applyProtection="1">
      <protection hidden="1"/>
    </xf>
    <xf numFmtId="0" fontId="103" fillId="0" borderId="0" xfId="0" applyFont="1" applyProtection="1">
      <protection hidden="1"/>
    </xf>
    <xf numFmtId="0" fontId="111" fillId="0" borderId="0" xfId="0" applyFont="1" applyProtection="1">
      <protection hidden="1"/>
    </xf>
    <xf numFmtId="0" fontId="112" fillId="0" borderId="0" xfId="0" applyFont="1" applyFill="1" applyProtection="1">
      <protection hidden="1"/>
    </xf>
    <xf numFmtId="0" fontId="13" fillId="0" borderId="0" xfId="0" applyFont="1" applyFill="1" applyAlignment="1" applyProtection="1">
      <alignment horizontal="center"/>
      <protection hidden="1"/>
    </xf>
    <xf numFmtId="0" fontId="0" fillId="0" borderId="13" xfId="0" applyBorder="1" applyAlignment="1" applyProtection="1">
      <alignment horizontal="center" wrapText="1"/>
      <protection hidden="1"/>
    </xf>
    <xf numFmtId="0" fontId="38" fillId="0" borderId="13" xfId="0" applyFont="1" applyBorder="1" applyAlignment="1" applyProtection="1">
      <alignment horizontal="center"/>
      <protection hidden="1"/>
    </xf>
    <xf numFmtId="0" fontId="0" fillId="0" borderId="0" xfId="0" applyFill="1" applyBorder="1" applyAlignment="1" applyProtection="1">
      <alignment horizontal="center"/>
      <protection hidden="1"/>
    </xf>
    <xf numFmtId="0" fontId="0" fillId="0" borderId="0" xfId="0" applyFill="1" applyBorder="1" applyAlignment="1">
      <alignment horizontal="center"/>
    </xf>
    <xf numFmtId="0" fontId="48" fillId="0" borderId="13" xfId="0" applyFont="1" applyBorder="1" applyAlignment="1" applyProtection="1">
      <alignment horizontal="center"/>
      <protection hidden="1"/>
    </xf>
    <xf numFmtId="0" fontId="48" fillId="0" borderId="31" xfId="0" applyFont="1" applyBorder="1" applyProtection="1">
      <protection hidden="1"/>
    </xf>
    <xf numFmtId="0" fontId="115" fillId="0" borderId="0" xfId="0" applyFont="1" applyFill="1" applyProtection="1">
      <protection hidden="1"/>
    </xf>
    <xf numFmtId="0" fontId="116" fillId="0" borderId="0" xfId="0" applyFont="1" applyProtection="1">
      <protection hidden="1"/>
    </xf>
    <xf numFmtId="0" fontId="113" fillId="0" borderId="0" xfId="0" applyFont="1" applyBorder="1" applyProtection="1">
      <protection hidden="1"/>
    </xf>
    <xf numFmtId="0" fontId="48" fillId="0" borderId="0" xfId="0" applyFont="1" applyFill="1" applyBorder="1" applyAlignment="1" applyProtection="1">
      <protection locked="0" hidden="1"/>
    </xf>
    <xf numFmtId="0" fontId="0" fillId="0" borderId="0" xfId="0" applyBorder="1" applyProtection="1">
      <protection locked="0" hidden="1"/>
    </xf>
    <xf numFmtId="0" fontId="48" fillId="0" borderId="0" xfId="0" applyFont="1" applyProtection="1">
      <protection locked="0" hidden="1"/>
    </xf>
    <xf numFmtId="0" fontId="1" fillId="0" borderId="0" xfId="0" applyFont="1" applyFill="1" applyProtection="1">
      <protection hidden="1"/>
    </xf>
    <xf numFmtId="0" fontId="1" fillId="0" borderId="0" xfId="0" applyFont="1" applyFill="1" applyAlignment="1" applyProtection="1">
      <alignment wrapText="1"/>
      <protection hidden="1"/>
    </xf>
    <xf numFmtId="0" fontId="117" fillId="0" borderId="0" xfId="0" applyFont="1" applyAlignment="1" applyProtection="1">
      <alignment horizontal="center"/>
      <protection hidden="1"/>
    </xf>
    <xf numFmtId="0" fontId="118" fillId="0" borderId="0" xfId="0" applyFont="1" applyProtection="1">
      <protection hidden="1"/>
    </xf>
    <xf numFmtId="0" fontId="100" fillId="0" borderId="0" xfId="0" applyFont="1" applyAlignment="1" applyProtection="1">
      <alignment horizontal="center"/>
      <protection hidden="1"/>
    </xf>
    <xf numFmtId="0" fontId="1" fillId="0" borderId="65" xfId="28" applyFont="1" applyBorder="1" applyAlignment="1" applyProtection="1">
      <protection hidden="1"/>
    </xf>
    <xf numFmtId="0" fontId="1" fillId="0" borderId="60" xfId="0" applyFont="1" applyBorder="1" applyAlignment="1" applyProtection="1">
      <protection hidden="1"/>
    </xf>
    <xf numFmtId="0" fontId="1" fillId="0" borderId="66" xfId="0" applyFont="1" applyBorder="1" applyAlignment="1" applyProtection="1">
      <protection hidden="1"/>
    </xf>
    <xf numFmtId="0" fontId="0" fillId="22" borderId="13" xfId="0" applyFill="1" applyBorder="1" applyProtection="1">
      <protection locked="0" hidden="1"/>
    </xf>
    <xf numFmtId="0" fontId="6" fillId="22" borderId="13" xfId="0" applyFont="1" applyFill="1" applyBorder="1" applyProtection="1">
      <protection locked="0" hidden="1"/>
    </xf>
    <xf numFmtId="0" fontId="13" fillId="0" borderId="0" xfId="0" applyFont="1" applyFill="1" applyBorder="1" applyAlignment="1">
      <alignment horizontal="center"/>
    </xf>
    <xf numFmtId="0" fontId="0" fillId="0" borderId="0" xfId="0" applyBorder="1" applyAlignment="1" applyProtection="1">
      <alignment vertical="center" wrapText="1"/>
      <protection hidden="1"/>
    </xf>
    <xf numFmtId="0" fontId="6" fillId="0" borderId="0" xfId="0" applyFont="1" applyFill="1" applyBorder="1" applyProtection="1">
      <protection locked="0" hidden="1"/>
    </xf>
    <xf numFmtId="0" fontId="0" fillId="0" borderId="0" xfId="0" applyFill="1" applyBorder="1" applyAlignment="1" applyProtection="1">
      <alignment horizontal="center"/>
      <protection locked="0" hidden="1"/>
    </xf>
    <xf numFmtId="0" fontId="0" fillId="22" borderId="37" xfId="0" applyFill="1" applyBorder="1" applyProtection="1">
      <protection locked="0" hidden="1"/>
    </xf>
    <xf numFmtId="0" fontId="6" fillId="0" borderId="0" xfId="0" applyFont="1" applyBorder="1" applyProtection="1">
      <protection hidden="1"/>
    </xf>
    <xf numFmtId="0" fontId="2" fillId="22" borderId="13" xfId="0" applyFont="1" applyFill="1" applyBorder="1" applyProtection="1">
      <protection locked="0" hidden="1"/>
    </xf>
    <xf numFmtId="2" fontId="1" fillId="22" borderId="13" xfId="0" applyNumberFormat="1" applyFont="1" applyFill="1" applyBorder="1" applyProtection="1">
      <protection locked="0" hidden="1"/>
    </xf>
    <xf numFmtId="0" fontId="119" fillId="0" borderId="0" xfId="0" applyFont="1" applyAlignment="1" applyProtection="1">
      <protection hidden="1"/>
    </xf>
    <xf numFmtId="0" fontId="120" fillId="0" borderId="0" xfId="0" applyFont="1" applyAlignment="1" applyProtection="1">
      <protection hidden="1"/>
    </xf>
    <xf numFmtId="0" fontId="8" fillId="0" borderId="0" xfId="0" applyFont="1" applyProtection="1">
      <protection hidden="1"/>
    </xf>
    <xf numFmtId="0" fontId="48" fillId="22" borderId="13" xfId="0" applyFont="1" applyFill="1" applyBorder="1" applyProtection="1">
      <protection locked="0" hidden="1"/>
    </xf>
    <xf numFmtId="0" fontId="48" fillId="0" borderId="0" xfId="0" applyFont="1" applyBorder="1" applyProtection="1">
      <protection hidden="1"/>
    </xf>
    <xf numFmtId="0" fontId="33" fillId="0" borderId="13" xfId="0" applyFont="1" applyBorder="1" applyAlignment="1" applyProtection="1">
      <alignment horizontal="center"/>
      <protection hidden="1"/>
    </xf>
    <xf numFmtId="0" fontId="48" fillId="0" borderId="0" xfId="0" applyFont="1" applyFill="1" applyBorder="1" applyProtection="1">
      <protection hidden="1"/>
    </xf>
    <xf numFmtId="0" fontId="48" fillId="0" borderId="0" xfId="0" applyFont="1" applyFill="1" applyBorder="1" applyProtection="1">
      <protection locked="0" hidden="1"/>
    </xf>
    <xf numFmtId="0" fontId="123" fillId="0" borderId="0" xfId="0" applyFont="1" applyProtection="1">
      <protection hidden="1"/>
    </xf>
    <xf numFmtId="0" fontId="124" fillId="0" borderId="0" xfId="0" applyFont="1" applyProtection="1">
      <protection hidden="1"/>
    </xf>
    <xf numFmtId="0" fontId="80" fillId="0" borderId="0" xfId="0" applyFont="1"/>
    <xf numFmtId="0" fontId="129" fillId="0" borderId="0" xfId="0" applyFont="1" applyProtection="1">
      <protection hidden="1"/>
    </xf>
    <xf numFmtId="0" fontId="130" fillId="0" borderId="0" xfId="0" applyFont="1" applyProtection="1">
      <protection hidden="1"/>
    </xf>
    <xf numFmtId="166" fontId="127" fillId="0" borderId="0" xfId="0" applyNumberFormat="1" applyFont="1" applyProtection="1">
      <protection hidden="1"/>
    </xf>
    <xf numFmtId="0" fontId="131" fillId="0" borderId="0" xfId="0" applyFont="1" applyAlignment="1" applyProtection="1">
      <protection hidden="1"/>
    </xf>
    <xf numFmtId="166" fontId="132" fillId="0" borderId="0" xfId="0" applyNumberFormat="1" applyFont="1" applyBorder="1" applyProtection="1">
      <protection hidden="1"/>
    </xf>
    <xf numFmtId="0" fontId="102" fillId="0" borderId="0" xfId="0" applyFont="1" applyProtection="1">
      <protection hidden="1"/>
    </xf>
    <xf numFmtId="166" fontId="48" fillId="0" borderId="0" xfId="0" applyNumberFormat="1" applyFont="1" applyBorder="1" applyProtection="1">
      <protection hidden="1"/>
    </xf>
    <xf numFmtId="1" fontId="130" fillId="0" borderId="13" xfId="0" applyNumberFormat="1" applyFont="1" applyFill="1" applyBorder="1" applyProtection="1">
      <protection hidden="1"/>
    </xf>
    <xf numFmtId="2" fontId="130" fillId="0" borderId="13" xfId="0" applyNumberFormat="1" applyFont="1" applyFill="1" applyBorder="1" applyProtection="1">
      <protection hidden="1"/>
    </xf>
    <xf numFmtId="166" fontId="130" fillId="0" borderId="13" xfId="0" applyNumberFormat="1" applyFont="1" applyFill="1" applyBorder="1" applyProtection="1">
      <protection hidden="1"/>
    </xf>
    <xf numFmtId="0" fontId="48" fillId="0" borderId="0" xfId="0" applyFont="1" applyBorder="1" applyAlignment="1" applyProtection="1">
      <alignment wrapText="1"/>
      <protection hidden="1"/>
    </xf>
    <xf numFmtId="0" fontId="98" fillId="0" borderId="0" xfId="0" applyFont="1" applyBorder="1" applyProtection="1">
      <protection hidden="1"/>
    </xf>
    <xf numFmtId="1" fontId="134" fillId="0" borderId="13" xfId="0" applyNumberFormat="1" applyFont="1" applyFill="1" applyBorder="1" applyProtection="1">
      <protection hidden="1"/>
    </xf>
    <xf numFmtId="2" fontId="131" fillId="0" borderId="13" xfId="0" applyNumberFormat="1" applyFont="1" applyBorder="1" applyAlignment="1" applyProtection="1">
      <protection hidden="1"/>
    </xf>
    <xf numFmtId="0" fontId="135" fillId="0" borderId="0" xfId="0" applyFont="1" applyProtection="1">
      <protection hidden="1"/>
    </xf>
    <xf numFmtId="0" fontId="126" fillId="0" borderId="0" xfId="0" applyFont="1" applyProtection="1">
      <protection hidden="1"/>
    </xf>
    <xf numFmtId="1" fontId="130" fillId="0" borderId="13" xfId="0" applyNumberFormat="1" applyFont="1" applyBorder="1" applyProtection="1">
      <protection hidden="1"/>
    </xf>
    <xf numFmtId="0" fontId="130" fillId="23" borderId="0" xfId="0" applyFont="1" applyFill="1" applyProtection="1">
      <protection hidden="1"/>
    </xf>
    <xf numFmtId="1" fontId="126" fillId="0" borderId="0" xfId="0" applyNumberFormat="1" applyFont="1" applyFill="1" applyProtection="1">
      <protection hidden="1"/>
    </xf>
    <xf numFmtId="0" fontId="8" fillId="0" borderId="0" xfId="0" applyFont="1" applyFill="1" applyProtection="1">
      <protection hidden="1"/>
    </xf>
    <xf numFmtId="0" fontId="48" fillId="0" borderId="0" xfId="0" applyFont="1" applyFill="1" applyProtection="1">
      <protection hidden="1"/>
    </xf>
    <xf numFmtId="0" fontId="137" fillId="0" borderId="0" xfId="0" applyFont="1" applyProtection="1">
      <protection hidden="1"/>
    </xf>
    <xf numFmtId="0" fontId="0" fillId="20" borderId="0" xfId="0" applyFill="1"/>
    <xf numFmtId="0" fontId="15" fillId="0" borderId="0" xfId="0" applyFont="1" applyFill="1" applyBorder="1" applyAlignment="1" applyProtection="1">
      <alignment horizontal="left"/>
      <protection hidden="1"/>
    </xf>
    <xf numFmtId="0" fontId="15" fillId="0" borderId="0" xfId="0" applyFont="1" applyFill="1" applyProtection="1">
      <protection hidden="1"/>
    </xf>
    <xf numFmtId="14" fontId="15" fillId="0" borderId="0" xfId="0" applyNumberFormat="1" applyFont="1" applyFill="1" applyProtection="1">
      <protection hidden="1"/>
    </xf>
    <xf numFmtId="0" fontId="87" fillId="0" borderId="0" xfId="0" applyFont="1" applyFill="1" applyProtection="1">
      <protection hidden="1"/>
    </xf>
    <xf numFmtId="0" fontId="35" fillId="0" borderId="0" xfId="0" applyFont="1" applyProtection="1">
      <protection hidden="1"/>
    </xf>
    <xf numFmtId="0" fontId="2" fillId="0" borderId="27" xfId="0" applyFont="1" applyBorder="1" applyAlignment="1" applyProtection="1">
      <alignment horizontal="center" vertical="center" textRotation="90"/>
      <protection hidden="1"/>
    </xf>
    <xf numFmtId="0" fontId="2" fillId="0" borderId="27" xfId="0" applyFont="1" applyBorder="1" applyAlignment="1" applyProtection="1">
      <alignment horizontal="center" vertical="center" textRotation="90" wrapText="1"/>
      <protection hidden="1"/>
    </xf>
    <xf numFmtId="0" fontId="2" fillId="0" borderId="48" xfId="0" applyFont="1" applyBorder="1" applyAlignment="1" applyProtection="1">
      <alignment horizontal="center" vertical="center" wrapText="1"/>
      <protection hidden="1"/>
    </xf>
    <xf numFmtId="0" fontId="2" fillId="0" borderId="49" xfId="0" applyFont="1" applyBorder="1" applyAlignment="1" applyProtection="1">
      <alignment horizontal="center" vertical="center" wrapText="1"/>
      <protection hidden="1"/>
    </xf>
    <xf numFmtId="0" fontId="2" fillId="0" borderId="27" xfId="0" applyFont="1" applyBorder="1" applyAlignment="1" applyProtection="1">
      <alignment horizontal="center" vertical="center" wrapText="1"/>
      <protection hidden="1"/>
    </xf>
    <xf numFmtId="0" fontId="6" fillId="0" borderId="14" xfId="0" applyFont="1" applyBorder="1" applyProtection="1">
      <protection hidden="1"/>
    </xf>
    <xf numFmtId="0" fontId="14" fillId="0" borderId="14" xfId="0" applyFont="1" applyFill="1" applyBorder="1" applyProtection="1">
      <protection hidden="1"/>
    </xf>
    <xf numFmtId="0" fontId="14" fillId="0" borderId="67" xfId="0" applyFont="1" applyFill="1" applyBorder="1" applyProtection="1">
      <protection hidden="1"/>
    </xf>
    <xf numFmtId="0" fontId="4" fillId="0" borderId="14" xfId="0" applyFont="1" applyFill="1" applyBorder="1" applyAlignment="1" applyProtection="1">
      <protection locked="0" hidden="1"/>
    </xf>
    <xf numFmtId="0" fontId="4" fillId="0" borderId="42" xfId="0" applyFont="1" applyFill="1" applyBorder="1" applyProtection="1">
      <protection locked="0" hidden="1"/>
    </xf>
    <xf numFmtId="2" fontId="4" fillId="0" borderId="14" xfId="0" applyNumberFormat="1" applyFont="1" applyBorder="1" applyProtection="1">
      <protection hidden="1"/>
    </xf>
    <xf numFmtId="0" fontId="4" fillId="0" borderId="14" xfId="0" applyFont="1" applyFill="1" applyBorder="1" applyProtection="1">
      <protection hidden="1"/>
    </xf>
    <xf numFmtId="0" fontId="6" fillId="0" borderId="13" xfId="0" applyFont="1" applyBorder="1" applyProtection="1">
      <protection hidden="1"/>
    </xf>
    <xf numFmtId="0" fontId="14" fillId="0" borderId="37" xfId="0" applyFont="1" applyFill="1" applyBorder="1" applyProtection="1">
      <protection hidden="1"/>
    </xf>
    <xf numFmtId="0" fontId="4" fillId="0" borderId="13" xfId="0" applyFont="1" applyFill="1" applyBorder="1" applyAlignment="1" applyProtection="1">
      <protection locked="0" hidden="1"/>
    </xf>
    <xf numFmtId="0" fontId="4" fillId="0" borderId="0" xfId="0" applyFont="1" applyAlignment="1" applyProtection="1">
      <alignment horizontal="left"/>
      <protection hidden="1"/>
    </xf>
    <xf numFmtId="0" fontId="2" fillId="0" borderId="34" xfId="0" applyFont="1" applyBorder="1" applyAlignment="1" applyProtection="1">
      <alignment horizontal="center" vertical="center" textRotation="90" wrapText="1"/>
      <protection hidden="1"/>
    </xf>
    <xf numFmtId="0" fontId="2" fillId="0" borderId="32" xfId="0" applyFont="1" applyBorder="1" applyAlignment="1" applyProtection="1">
      <alignment horizontal="center" vertical="center" textRotation="90" wrapText="1"/>
      <protection hidden="1"/>
    </xf>
    <xf numFmtId="0" fontId="2" fillId="0" borderId="32" xfId="0" applyFont="1" applyBorder="1" applyAlignment="1" applyProtection="1">
      <alignment horizontal="center" vertical="center" textRotation="90"/>
      <protection hidden="1"/>
    </xf>
    <xf numFmtId="0" fontId="9" fillId="0" borderId="32" xfId="0" applyFont="1" applyBorder="1" applyAlignment="1" applyProtection="1">
      <alignment horizontal="center" vertical="center" textRotation="90" wrapText="1"/>
      <protection hidden="1"/>
    </xf>
    <xf numFmtId="0" fontId="9" fillId="0" borderId="68" xfId="0" applyFont="1" applyBorder="1" applyAlignment="1" applyProtection="1">
      <alignment horizontal="center" vertical="center" textRotation="90" wrapText="1"/>
      <protection hidden="1"/>
    </xf>
    <xf numFmtId="0" fontId="14" fillId="0" borderId="14" xfId="0" applyFont="1" applyFill="1" applyBorder="1" applyProtection="1">
      <protection locked="0" hidden="1"/>
    </xf>
    <xf numFmtId="0" fontId="87" fillId="0" borderId="0" xfId="0" applyFont="1" applyProtection="1">
      <protection hidden="1"/>
    </xf>
    <xf numFmtId="0" fontId="48" fillId="0" borderId="58" xfId="0" applyFont="1" applyBorder="1" applyProtection="1">
      <protection hidden="1"/>
    </xf>
    <xf numFmtId="0" fontId="139" fillId="0" borderId="10" xfId="0" applyFont="1" applyBorder="1" applyProtection="1">
      <protection hidden="1"/>
    </xf>
    <xf numFmtId="0" fontId="48" fillId="0" borderId="10" xfId="0" applyFont="1" applyBorder="1" applyProtection="1">
      <protection hidden="1"/>
    </xf>
    <xf numFmtId="0" fontId="130" fillId="0" borderId="10" xfId="0" applyFont="1" applyFill="1" applyBorder="1" applyProtection="1">
      <protection hidden="1"/>
    </xf>
    <xf numFmtId="0" fontId="48" fillId="0" borderId="13" xfId="0" applyFont="1" applyBorder="1" applyAlignment="1" applyProtection="1">
      <protection hidden="1"/>
    </xf>
    <xf numFmtId="0" fontId="140" fillId="0" borderId="13" xfId="0" applyFont="1" applyBorder="1" applyAlignment="1" applyProtection="1">
      <protection hidden="1"/>
    </xf>
    <xf numFmtId="0" fontId="48" fillId="0" borderId="28" xfId="0" applyFont="1" applyBorder="1" applyProtection="1">
      <protection hidden="1"/>
    </xf>
    <xf numFmtId="0" fontId="130" fillId="0" borderId="13" xfId="0" applyFont="1" applyFill="1" applyBorder="1" applyProtection="1">
      <protection hidden="1"/>
    </xf>
    <xf numFmtId="0" fontId="96" fillId="0" borderId="0" xfId="0" applyFont="1" applyBorder="1" applyAlignment="1"/>
    <xf numFmtId="0" fontId="48" fillId="0" borderId="13" xfId="0" applyFont="1" applyBorder="1" applyProtection="1">
      <protection hidden="1"/>
    </xf>
    <xf numFmtId="0" fontId="130" fillId="0" borderId="14" xfId="0" applyFont="1" applyFill="1" applyBorder="1" applyAlignment="1" applyProtection="1">
      <alignment wrapText="1"/>
      <protection hidden="1"/>
    </xf>
    <xf numFmtId="0" fontId="48" fillId="0" borderId="51" xfId="0" applyFont="1" applyBorder="1" applyProtection="1">
      <protection hidden="1"/>
    </xf>
    <xf numFmtId="0" fontId="48" fillId="0" borderId="12" xfId="0" applyFont="1" applyBorder="1" applyProtection="1">
      <protection hidden="1"/>
    </xf>
    <xf numFmtId="0" fontId="48" fillId="0" borderId="44" xfId="0" applyFont="1" applyBorder="1" applyProtection="1">
      <protection hidden="1"/>
    </xf>
    <xf numFmtId="0" fontId="48" fillId="0" borderId="69" xfId="0" applyFont="1" applyBorder="1" applyProtection="1">
      <protection hidden="1"/>
    </xf>
    <xf numFmtId="0" fontId="48" fillId="0" borderId="70" xfId="0" applyFont="1" applyBorder="1" applyProtection="1">
      <protection hidden="1"/>
    </xf>
    <xf numFmtId="0" fontId="130" fillId="0" borderId="15" xfId="0" applyFont="1" applyFill="1" applyBorder="1" applyProtection="1">
      <protection hidden="1"/>
    </xf>
    <xf numFmtId="0" fontId="130" fillId="0" borderId="31" xfId="0" applyFont="1" applyFill="1" applyBorder="1" applyProtection="1">
      <protection hidden="1"/>
    </xf>
    <xf numFmtId="0" fontId="48" fillId="0" borderId="71" xfId="0" applyFont="1" applyBorder="1" applyProtection="1">
      <protection hidden="1"/>
    </xf>
    <xf numFmtId="0" fontId="48" fillId="0" borderId="61" xfId="0" applyFont="1" applyFill="1" applyBorder="1" applyProtection="1">
      <protection hidden="1"/>
    </xf>
    <xf numFmtId="2" fontId="130" fillId="0" borderId="61" xfId="0" applyNumberFormat="1" applyFont="1" applyFill="1" applyBorder="1" applyProtection="1">
      <protection hidden="1"/>
    </xf>
    <xf numFmtId="0" fontId="48" fillId="0" borderId="72" xfId="0" applyFont="1" applyFill="1" applyBorder="1" applyProtection="1">
      <protection hidden="1"/>
    </xf>
    <xf numFmtId="0" fontId="48" fillId="0" borderId="73" xfId="0" applyFont="1" applyBorder="1" applyProtection="1">
      <protection hidden="1"/>
    </xf>
    <xf numFmtId="0" fontId="48" fillId="0" borderId="45" xfId="0" applyFont="1" applyFill="1" applyBorder="1" applyProtection="1">
      <protection hidden="1"/>
    </xf>
    <xf numFmtId="2" fontId="130" fillId="0" borderId="45" xfId="0" applyNumberFormat="1" applyFont="1" applyFill="1" applyBorder="1" applyProtection="1">
      <protection hidden="1"/>
    </xf>
    <xf numFmtId="0" fontId="48" fillId="0" borderId="74" xfId="0" applyFont="1" applyFill="1" applyBorder="1" applyProtection="1">
      <protection hidden="1"/>
    </xf>
    <xf numFmtId="0" fontId="48" fillId="0" borderId="47" xfId="0" applyFont="1" applyBorder="1" applyProtection="1">
      <protection hidden="1"/>
    </xf>
    <xf numFmtId="0" fontId="48" fillId="0" borderId="35" xfId="0" applyFont="1" applyBorder="1" applyProtection="1">
      <protection hidden="1"/>
    </xf>
    <xf numFmtId="0" fontId="130" fillId="0" borderId="35" xfId="0" applyFont="1" applyBorder="1" applyProtection="1">
      <protection hidden="1"/>
    </xf>
    <xf numFmtId="0" fontId="48" fillId="0" borderId="59" xfId="0" applyFont="1" applyBorder="1" applyProtection="1">
      <protection hidden="1"/>
    </xf>
    <xf numFmtId="0" fontId="48" fillId="0" borderId="26" xfId="0" applyFont="1" applyBorder="1" applyAlignment="1" applyProtection="1">
      <alignment wrapText="1"/>
      <protection hidden="1"/>
    </xf>
    <xf numFmtId="0" fontId="144" fillId="0" borderId="13" xfId="0" applyFont="1" applyBorder="1" applyAlignment="1" applyProtection="1">
      <alignment textRotation="90" wrapText="1"/>
      <protection hidden="1"/>
    </xf>
    <xf numFmtId="0" fontId="144" fillId="0" borderId="29" xfId="0" applyFont="1" applyBorder="1" applyAlignment="1" applyProtection="1">
      <alignment vertical="justify" textRotation="90"/>
      <protection hidden="1"/>
    </xf>
    <xf numFmtId="166" fontId="130" fillId="0" borderId="28" xfId="0" applyNumberFormat="1" applyFont="1" applyBorder="1" applyProtection="1">
      <protection hidden="1"/>
    </xf>
    <xf numFmtId="166" fontId="130" fillId="0" borderId="13" xfId="0" applyNumberFormat="1" applyFont="1" applyBorder="1" applyProtection="1">
      <protection hidden="1"/>
    </xf>
    <xf numFmtId="166" fontId="130" fillId="0" borderId="13" xfId="0" applyNumberFormat="1" applyFont="1" applyBorder="1" applyAlignment="1" applyProtection="1">
      <protection hidden="1"/>
    </xf>
    <xf numFmtId="166" fontId="130" fillId="0" borderId="29" xfId="0" applyNumberFormat="1" applyFont="1" applyBorder="1" applyAlignment="1" applyProtection="1">
      <protection hidden="1"/>
    </xf>
    <xf numFmtId="166" fontId="130" fillId="0" borderId="30" xfId="0" applyNumberFormat="1" applyFont="1" applyBorder="1" applyProtection="1">
      <protection hidden="1"/>
    </xf>
    <xf numFmtId="166" fontId="130" fillId="0" borderId="15" xfId="0" applyNumberFormat="1" applyFont="1" applyBorder="1" applyProtection="1">
      <protection hidden="1"/>
    </xf>
    <xf numFmtId="166" fontId="130" fillId="0" borderId="15" xfId="0" applyNumberFormat="1" applyFont="1" applyBorder="1" applyAlignment="1" applyProtection="1">
      <protection hidden="1"/>
    </xf>
    <xf numFmtId="166" fontId="130" fillId="0" borderId="31" xfId="0" applyNumberFormat="1" applyFont="1" applyBorder="1" applyAlignment="1" applyProtection="1">
      <protection hidden="1"/>
    </xf>
    <xf numFmtId="0" fontId="48" fillId="0" borderId="13" xfId="0" applyFont="1" applyBorder="1" applyAlignment="1" applyProtection="1">
      <alignment textRotation="90" wrapText="1"/>
      <protection hidden="1"/>
    </xf>
    <xf numFmtId="0" fontId="130" fillId="0" borderId="13" xfId="0" applyFont="1" applyBorder="1" applyProtection="1">
      <protection hidden="1"/>
    </xf>
    <xf numFmtId="166" fontId="130" fillId="0" borderId="0" xfId="0" applyNumberFormat="1" applyFont="1" applyProtection="1">
      <protection hidden="1"/>
    </xf>
    <xf numFmtId="0" fontId="130" fillId="0" borderId="0" xfId="0" applyFont="1" applyBorder="1" applyProtection="1">
      <protection hidden="1"/>
    </xf>
    <xf numFmtId="166" fontId="130" fillId="0" borderId="0" xfId="0" applyNumberFormat="1" applyFont="1" applyBorder="1" applyProtection="1">
      <protection hidden="1"/>
    </xf>
    <xf numFmtId="0" fontId="113" fillId="0" borderId="0" xfId="0" applyFont="1" applyProtection="1">
      <protection hidden="1"/>
    </xf>
    <xf numFmtId="0" fontId="48" fillId="0" borderId="75" xfId="0" applyFont="1" applyBorder="1" applyProtection="1">
      <protection hidden="1"/>
    </xf>
    <xf numFmtId="0" fontId="48" fillId="0" borderId="76" xfId="0" applyFont="1" applyBorder="1" applyProtection="1">
      <protection hidden="1"/>
    </xf>
    <xf numFmtId="0" fontId="48" fillId="0" borderId="77" xfId="0" applyFont="1" applyBorder="1" applyProtection="1">
      <protection hidden="1"/>
    </xf>
    <xf numFmtId="0" fontId="48" fillId="0" borderId="63" xfId="0" applyFont="1" applyBorder="1" applyProtection="1">
      <protection hidden="1"/>
    </xf>
    <xf numFmtId="0" fontId="48" fillId="0" borderId="14" xfId="0" applyFont="1" applyBorder="1" applyProtection="1">
      <protection hidden="1"/>
    </xf>
    <xf numFmtId="0" fontId="48" fillId="0" borderId="50" xfId="0" applyFont="1" applyBorder="1" applyProtection="1">
      <protection hidden="1"/>
    </xf>
    <xf numFmtId="0" fontId="48" fillId="0" borderId="78" xfId="0" applyFont="1" applyBorder="1" applyAlignment="1" applyProtection="1">
      <alignment wrapText="1"/>
      <protection hidden="1"/>
    </xf>
    <xf numFmtId="0" fontId="48" fillId="0" borderId="37" xfId="0" applyFont="1" applyBorder="1" applyProtection="1">
      <protection hidden="1"/>
    </xf>
    <xf numFmtId="0" fontId="130" fillId="0" borderId="28" xfId="0" applyFont="1" applyFill="1" applyBorder="1" applyProtection="1">
      <protection hidden="1"/>
    </xf>
    <xf numFmtId="0" fontId="130" fillId="0" borderId="29" xfId="0" applyFont="1" applyFill="1" applyBorder="1" applyProtection="1">
      <protection hidden="1"/>
    </xf>
    <xf numFmtId="0" fontId="130" fillId="0" borderId="16" xfId="0" applyFont="1" applyFill="1" applyBorder="1" applyProtection="1">
      <protection hidden="1"/>
    </xf>
    <xf numFmtId="0" fontId="130" fillId="0" borderId="30" xfId="0" applyFont="1" applyFill="1" applyBorder="1" applyProtection="1">
      <protection hidden="1"/>
    </xf>
    <xf numFmtId="0" fontId="48" fillId="0" borderId="37" xfId="0" applyFont="1" applyBorder="1" applyAlignment="1" applyProtection="1">
      <alignment wrapText="1"/>
      <protection hidden="1"/>
    </xf>
    <xf numFmtId="0" fontId="130" fillId="0" borderId="63" xfId="0" applyFont="1" applyFill="1" applyBorder="1" applyProtection="1">
      <protection hidden="1"/>
    </xf>
    <xf numFmtId="0" fontId="130" fillId="0" borderId="14" xfId="0" applyFont="1" applyFill="1" applyBorder="1" applyProtection="1">
      <protection hidden="1"/>
    </xf>
    <xf numFmtId="0" fontId="130" fillId="0" borderId="12" xfId="0" applyFont="1" applyFill="1" applyBorder="1" applyProtection="1">
      <protection hidden="1"/>
    </xf>
    <xf numFmtId="0" fontId="130" fillId="0" borderId="0" xfId="0" applyFont="1" applyFill="1" applyBorder="1" applyProtection="1">
      <protection hidden="1"/>
    </xf>
    <xf numFmtId="0" fontId="130" fillId="0" borderId="51" xfId="0" applyFont="1" applyFill="1" applyBorder="1" applyProtection="1">
      <protection hidden="1"/>
    </xf>
    <xf numFmtId="0" fontId="135" fillId="0" borderId="13" xfId="0" applyFont="1" applyFill="1" applyBorder="1" applyProtection="1">
      <protection hidden="1"/>
    </xf>
    <xf numFmtId="0" fontId="130" fillId="0" borderId="47" xfId="0" applyFont="1" applyFill="1" applyBorder="1" applyProtection="1">
      <protection hidden="1"/>
    </xf>
    <xf numFmtId="0" fontId="135" fillId="0" borderId="15" xfId="0" applyFont="1" applyFill="1" applyBorder="1" applyProtection="1">
      <protection hidden="1"/>
    </xf>
    <xf numFmtId="0" fontId="130" fillId="0" borderId="35" xfId="0" applyFont="1" applyFill="1" applyBorder="1" applyProtection="1">
      <protection hidden="1"/>
    </xf>
    <xf numFmtId="0" fontId="130" fillId="0" borderId="59" xfId="0" applyFont="1" applyFill="1" applyBorder="1" applyProtection="1">
      <protection hidden="1"/>
    </xf>
    <xf numFmtId="0" fontId="2" fillId="18" borderId="0" xfId="0" applyFont="1" applyFill="1" applyAlignment="1" applyProtection="1">
      <protection hidden="1"/>
    </xf>
    <xf numFmtId="0" fontId="17" fillId="18" borderId="0" xfId="0" applyFont="1" applyFill="1" applyAlignment="1" applyProtection="1">
      <alignment wrapText="1"/>
      <protection hidden="1"/>
    </xf>
    <xf numFmtId="2" fontId="4" fillId="18" borderId="0" xfId="0" applyNumberFormat="1" applyFont="1" applyFill="1" applyProtection="1">
      <protection hidden="1"/>
    </xf>
    <xf numFmtId="1" fontId="130" fillId="0" borderId="0" xfId="0" applyNumberFormat="1" applyFont="1" applyProtection="1">
      <protection hidden="1"/>
    </xf>
    <xf numFmtId="0" fontId="88" fillId="0" borderId="0" xfId="0" applyFont="1" applyFill="1" applyAlignment="1" applyProtection="1">
      <protection hidden="1"/>
    </xf>
    <xf numFmtId="0" fontId="147" fillId="0" borderId="0" xfId="0" applyFont="1" applyFill="1" applyAlignment="1" applyProtection="1">
      <protection hidden="1"/>
    </xf>
    <xf numFmtId="0" fontId="1" fillId="0" borderId="0" xfId="0" applyFont="1" applyFill="1" applyAlignment="1" applyProtection="1">
      <protection hidden="1"/>
    </xf>
    <xf numFmtId="0" fontId="150" fillId="0" borderId="0" xfId="0" applyFont="1" applyProtection="1">
      <protection hidden="1"/>
    </xf>
    <xf numFmtId="0" fontId="155" fillId="0" borderId="0" xfId="0" applyFont="1" applyProtection="1">
      <protection hidden="1"/>
    </xf>
    <xf numFmtId="0" fontId="13" fillId="0" borderId="0" xfId="0" applyFont="1" applyFill="1" applyAlignment="1" applyProtection="1">
      <protection hidden="1"/>
    </xf>
    <xf numFmtId="2" fontId="0" fillId="0" borderId="0" xfId="0" applyNumberFormat="1" applyBorder="1" applyAlignment="1" applyProtection="1">
      <protection hidden="1"/>
    </xf>
    <xf numFmtId="0" fontId="0" fillId="0" borderId="0" xfId="0" applyNumberFormat="1" applyFill="1" applyBorder="1" applyAlignment="1" applyProtection="1">
      <protection hidden="1"/>
    </xf>
    <xf numFmtId="0" fontId="0" fillId="0" borderId="0" xfId="0" applyNumberFormat="1" applyFill="1" applyBorder="1" applyAlignment="1"/>
    <xf numFmtId="0" fontId="14" fillId="0" borderId="0" xfId="0" applyFont="1" applyBorder="1" applyAlignment="1"/>
    <xf numFmtId="2" fontId="0" fillId="0" borderId="0" xfId="0" applyNumberFormat="1" applyBorder="1" applyAlignment="1"/>
    <xf numFmtId="0" fontId="160" fillId="0" borderId="0" xfId="0" applyFont="1" applyAlignment="1" applyProtection="1">
      <protection hidden="1"/>
    </xf>
    <xf numFmtId="0" fontId="17" fillId="0" borderId="0" xfId="0" applyFont="1" applyFill="1" applyProtection="1">
      <protection hidden="1"/>
    </xf>
    <xf numFmtId="0" fontId="48" fillId="20" borderId="0" xfId="0" applyFont="1" applyFill="1" applyBorder="1" applyProtection="1">
      <protection hidden="1"/>
    </xf>
    <xf numFmtId="0" fontId="48" fillId="20" borderId="0" xfId="0" applyFont="1" applyFill="1" applyProtection="1">
      <protection hidden="1"/>
    </xf>
    <xf numFmtId="0" fontId="21" fillId="0" borderId="0" xfId="0" applyFont="1" applyFill="1" applyBorder="1" applyProtection="1">
      <protection hidden="1"/>
    </xf>
    <xf numFmtId="0" fontId="21" fillId="0" borderId="13" xfId="0" applyFont="1" applyFill="1" applyBorder="1" applyProtection="1">
      <protection hidden="1"/>
    </xf>
    <xf numFmtId="0" fontId="40" fillId="0" borderId="0" xfId="0" applyFont="1" applyFill="1" applyProtection="1">
      <protection hidden="1"/>
    </xf>
    <xf numFmtId="167" fontId="21" fillId="0" borderId="13" xfId="0" applyNumberFormat="1" applyFont="1" applyBorder="1" applyProtection="1">
      <protection hidden="1"/>
    </xf>
    <xf numFmtId="0" fontId="2" fillId="0" borderId="0" xfId="0" applyFont="1" applyBorder="1" applyProtection="1">
      <protection hidden="1"/>
    </xf>
    <xf numFmtId="2" fontId="14" fillId="0" borderId="0" xfId="0" applyNumberFormat="1" applyFont="1" applyFill="1" applyBorder="1" applyProtection="1">
      <protection hidden="1"/>
    </xf>
    <xf numFmtId="0" fontId="165" fillId="0" borderId="0" xfId="0" applyFont="1" applyProtection="1">
      <protection hidden="1"/>
    </xf>
    <xf numFmtId="0" fontId="166" fillId="0" borderId="0" xfId="0" applyFont="1" applyBorder="1" applyProtection="1">
      <protection hidden="1"/>
    </xf>
    <xf numFmtId="2" fontId="14" fillId="0" borderId="0" xfId="0" applyNumberFormat="1" applyFont="1" applyBorder="1" applyProtection="1">
      <protection hidden="1"/>
    </xf>
    <xf numFmtId="0" fontId="1" fillId="20" borderId="0" xfId="0" applyFont="1" applyFill="1" applyAlignment="1" applyProtection="1">
      <alignment wrapText="1"/>
      <protection hidden="1"/>
    </xf>
    <xf numFmtId="0" fontId="0" fillId="20" borderId="0" xfId="0" applyFill="1" applyAlignment="1" applyProtection="1">
      <alignment wrapText="1"/>
      <protection hidden="1"/>
    </xf>
    <xf numFmtId="0" fontId="1" fillId="0" borderId="0" xfId="0" applyFont="1" applyAlignment="1" applyProtection="1">
      <protection hidden="1"/>
    </xf>
    <xf numFmtId="0" fontId="1" fillId="0" borderId="0" xfId="0" applyNumberFormat="1" applyFont="1" applyFill="1" applyBorder="1" applyProtection="1">
      <protection hidden="1"/>
    </xf>
    <xf numFmtId="2" fontId="14" fillId="0" borderId="13" xfId="0" applyNumberFormat="1" applyFont="1" applyBorder="1" applyProtection="1">
      <protection hidden="1"/>
    </xf>
    <xf numFmtId="2" fontId="165" fillId="0" borderId="0" xfId="0" applyNumberFormat="1" applyFont="1" applyBorder="1" applyProtection="1">
      <protection hidden="1"/>
    </xf>
    <xf numFmtId="166" fontId="21" fillId="0" borderId="13" xfId="0" applyNumberFormat="1" applyFont="1" applyBorder="1" applyProtection="1">
      <protection hidden="1"/>
    </xf>
    <xf numFmtId="0" fontId="9" fillId="0" borderId="0" xfId="0" applyFont="1" applyFill="1" applyBorder="1" applyProtection="1">
      <protection hidden="1"/>
    </xf>
    <xf numFmtId="0" fontId="14" fillId="0" borderId="13" xfId="0" applyNumberFormat="1" applyFont="1" applyFill="1" applyBorder="1" applyProtection="1">
      <protection hidden="1"/>
    </xf>
    <xf numFmtId="0" fontId="135" fillId="0" borderId="13" xfId="0" applyFont="1" applyBorder="1" applyProtection="1">
      <protection hidden="1"/>
    </xf>
    <xf numFmtId="167" fontId="130" fillId="0" borderId="0" xfId="0" applyNumberFormat="1" applyFont="1" applyProtection="1">
      <protection hidden="1"/>
    </xf>
    <xf numFmtId="2" fontId="135" fillId="0" borderId="0" xfId="0" applyNumberFormat="1" applyFont="1" applyProtection="1">
      <protection hidden="1"/>
    </xf>
    <xf numFmtId="168" fontId="130" fillId="0" borderId="0" xfId="0" applyNumberFormat="1" applyFont="1" applyProtection="1">
      <protection hidden="1"/>
    </xf>
    <xf numFmtId="2" fontId="1" fillId="0" borderId="0" xfId="0" applyNumberFormat="1" applyFont="1" applyFill="1" applyBorder="1" applyProtection="1">
      <protection hidden="1"/>
    </xf>
    <xf numFmtId="2" fontId="14" fillId="0" borderId="0" xfId="0" applyNumberFormat="1" applyFont="1" applyFill="1" applyBorder="1" applyAlignment="1" applyProtection="1">
      <protection hidden="1"/>
    </xf>
    <xf numFmtId="0" fontId="193" fillId="0" borderId="0" xfId="0" applyFont="1" applyAlignment="1" applyProtection="1">
      <protection hidden="1"/>
    </xf>
    <xf numFmtId="2" fontId="0" fillId="0" borderId="0" xfId="0" applyNumberFormat="1" applyFill="1" applyBorder="1" applyAlignment="1" applyProtection="1">
      <protection hidden="1"/>
    </xf>
    <xf numFmtId="2" fontId="201" fillId="0" borderId="0" xfId="0" applyNumberFormat="1" applyFont="1" applyProtection="1">
      <protection hidden="1"/>
    </xf>
    <xf numFmtId="167" fontId="33" fillId="0" borderId="0" xfId="0" applyNumberFormat="1" applyFont="1" applyBorder="1" applyProtection="1">
      <protection hidden="1"/>
    </xf>
    <xf numFmtId="0" fontId="4" fillId="0" borderId="0" xfId="0" applyFont="1" applyFill="1" applyProtection="1">
      <protection hidden="1"/>
    </xf>
    <xf numFmtId="0" fontId="21" fillId="0" borderId="0" xfId="0" applyFont="1" applyBorder="1" applyProtection="1">
      <protection hidden="1"/>
    </xf>
    <xf numFmtId="0" fontId="18" fillId="0" borderId="65" xfId="0" applyFont="1" applyBorder="1" applyAlignment="1" applyProtection="1">
      <protection hidden="1"/>
    </xf>
    <xf numFmtId="2" fontId="1" fillId="0" borderId="60" xfId="0" applyNumberFormat="1" applyFont="1" applyFill="1" applyBorder="1" applyProtection="1">
      <protection hidden="1"/>
    </xf>
    <xf numFmtId="2" fontId="1" fillId="0" borderId="66" xfId="0" applyNumberFormat="1" applyFont="1" applyFill="1" applyBorder="1" applyProtection="1">
      <protection hidden="1"/>
    </xf>
    <xf numFmtId="0" fontId="1" fillId="0" borderId="20" xfId="0" applyFont="1" applyBorder="1" applyAlignment="1" applyProtection="1">
      <alignment wrapText="1"/>
      <protection hidden="1"/>
    </xf>
    <xf numFmtId="2" fontId="14" fillId="0" borderId="40" xfId="0" applyNumberFormat="1" applyFont="1" applyFill="1" applyBorder="1" applyProtection="1">
      <protection hidden="1"/>
    </xf>
    <xf numFmtId="0" fontId="1" fillId="0" borderId="20" xfId="0" applyFont="1" applyBorder="1" applyAlignment="1" applyProtection="1">
      <protection hidden="1"/>
    </xf>
    <xf numFmtId="0" fontId="1" fillId="0" borderId="67" xfId="0" applyFont="1" applyBorder="1" applyAlignment="1" applyProtection="1">
      <protection hidden="1"/>
    </xf>
    <xf numFmtId="2" fontId="14" fillId="0" borderId="61" xfId="0" applyNumberFormat="1" applyFont="1" applyFill="1" applyBorder="1" applyProtection="1">
      <protection hidden="1"/>
    </xf>
    <xf numFmtId="2" fontId="14" fillId="0" borderId="42" xfId="0" applyNumberFormat="1" applyFont="1" applyFill="1" applyBorder="1" applyProtection="1">
      <protection hidden="1"/>
    </xf>
    <xf numFmtId="0" fontId="130" fillId="0" borderId="13" xfId="0" applyFont="1" applyFill="1" applyBorder="1" applyProtection="1">
      <protection locked="0" hidden="1"/>
    </xf>
    <xf numFmtId="0" fontId="202" fillId="0" borderId="0" xfId="0" applyFont="1" applyProtection="1">
      <protection hidden="1"/>
    </xf>
    <xf numFmtId="2" fontId="130" fillId="0" borderId="0" xfId="0" applyNumberFormat="1" applyFont="1" applyProtection="1">
      <protection hidden="1"/>
    </xf>
    <xf numFmtId="1" fontId="48" fillId="0" borderId="0" xfId="0" applyNumberFormat="1" applyFont="1" applyProtection="1">
      <protection hidden="1"/>
    </xf>
    <xf numFmtId="2" fontId="130" fillId="0" borderId="0" xfId="0" applyNumberFormat="1" applyFont="1" applyBorder="1" applyProtection="1">
      <protection hidden="1"/>
    </xf>
    <xf numFmtId="0" fontId="135" fillId="0" borderId="0" xfId="0" applyFont="1" applyBorder="1" applyProtection="1">
      <protection hidden="1"/>
    </xf>
    <xf numFmtId="0" fontId="202" fillId="0" borderId="0" xfId="0" applyFont="1" applyBorder="1" applyProtection="1">
      <protection hidden="1"/>
    </xf>
    <xf numFmtId="0" fontId="48" fillId="0" borderId="65" xfId="0" applyFont="1" applyBorder="1" applyProtection="1">
      <protection hidden="1"/>
    </xf>
    <xf numFmtId="0" fontId="48" fillId="0" borderId="60" xfId="0" applyFont="1" applyBorder="1" applyProtection="1">
      <protection hidden="1"/>
    </xf>
    <xf numFmtId="0" fontId="48" fillId="0" borderId="66" xfId="0" applyFont="1" applyBorder="1" applyProtection="1">
      <protection hidden="1"/>
    </xf>
    <xf numFmtId="0" fontId="48" fillId="0" borderId="20" xfId="0" applyFont="1" applyBorder="1" applyProtection="1">
      <protection hidden="1"/>
    </xf>
    <xf numFmtId="0" fontId="48" fillId="0" borderId="40" xfId="0" applyFont="1" applyBorder="1" applyProtection="1">
      <protection hidden="1"/>
    </xf>
    <xf numFmtId="0" fontId="21" fillId="0" borderId="67" xfId="0" applyFont="1" applyBorder="1" applyProtection="1">
      <protection hidden="1"/>
    </xf>
    <xf numFmtId="0" fontId="0" fillId="0" borderId="61" xfId="0" applyBorder="1" applyProtection="1">
      <protection hidden="1"/>
    </xf>
    <xf numFmtId="0" fontId="21" fillId="0" borderId="61" xfId="0" applyFont="1" applyBorder="1" applyProtection="1">
      <protection hidden="1"/>
    </xf>
    <xf numFmtId="0" fontId="0" fillId="0" borderId="42" xfId="0" applyBorder="1" applyAlignment="1" applyProtection="1">
      <protection hidden="1"/>
    </xf>
    <xf numFmtId="0" fontId="48" fillId="18" borderId="0" xfId="0" applyFont="1" applyFill="1" applyProtection="1">
      <protection hidden="1"/>
    </xf>
    <xf numFmtId="0" fontId="87" fillId="18" borderId="0" xfId="0" applyFont="1" applyFill="1" applyProtection="1">
      <protection hidden="1"/>
    </xf>
    <xf numFmtId="0" fontId="11" fillId="0" borderId="13" xfId="0" applyFont="1" applyBorder="1" applyProtection="1">
      <protection hidden="1"/>
    </xf>
    <xf numFmtId="0" fontId="7" fillId="0" borderId="0" xfId="0" applyFont="1" applyBorder="1" applyProtection="1">
      <protection hidden="1"/>
    </xf>
    <xf numFmtId="0" fontId="0" fillId="0" borderId="0" xfId="0" applyBorder="1" applyAlignment="1" applyProtection="1">
      <alignment horizontal="center" vertical="center" wrapText="1"/>
      <protection hidden="1"/>
    </xf>
    <xf numFmtId="0" fontId="6" fillId="0" borderId="13" xfId="0" applyFont="1" applyBorder="1" applyAlignment="1" applyProtection="1">
      <alignment horizontal="center" vertical="center"/>
      <protection hidden="1"/>
    </xf>
    <xf numFmtId="0" fontId="6" fillId="0" borderId="13" xfId="0" applyFont="1" applyBorder="1" applyAlignment="1" applyProtection="1">
      <alignment horizontal="center" vertical="center" wrapText="1"/>
      <protection hidden="1"/>
    </xf>
    <xf numFmtId="0" fontId="2" fillId="0" borderId="13" xfId="0" applyFont="1" applyBorder="1" applyAlignment="1" applyProtection="1">
      <alignment horizontal="center" vertical="center"/>
      <protection hidden="1"/>
    </xf>
    <xf numFmtId="0" fontId="2" fillId="0" borderId="0" xfId="0" applyFont="1" applyBorder="1" applyAlignment="1" applyProtection="1">
      <alignment horizontal="center" vertical="center"/>
      <protection hidden="1"/>
    </xf>
    <xf numFmtId="0" fontId="0" fillId="0" borderId="13" xfId="0" applyBorder="1" applyAlignment="1" applyProtection="1">
      <alignment vertical="center"/>
      <protection hidden="1"/>
    </xf>
    <xf numFmtId="0" fontId="36" fillId="0" borderId="0" xfId="0" applyFont="1" applyProtection="1">
      <protection hidden="1"/>
    </xf>
    <xf numFmtId="0" fontId="0" fillId="0" borderId="15" xfId="0" applyFill="1" applyBorder="1" applyAlignment="1" applyProtection="1">
      <protection hidden="1"/>
    </xf>
    <xf numFmtId="0" fontId="0" fillId="0" borderId="32" xfId="0" applyBorder="1" applyAlignment="1" applyProtection="1">
      <protection hidden="1"/>
    </xf>
    <xf numFmtId="0" fontId="48" fillId="0" borderId="68" xfId="0" applyFont="1" applyBorder="1" applyProtection="1">
      <protection hidden="1"/>
    </xf>
    <xf numFmtId="0" fontId="0" fillId="0" borderId="13" xfId="0" applyBorder="1" applyAlignment="1" applyProtection="1">
      <alignment horizontal="center" vertical="center" textRotation="90" wrapText="1"/>
      <protection hidden="1"/>
    </xf>
    <xf numFmtId="0" fontId="0" fillId="0" borderId="13" xfId="0" applyBorder="1" applyAlignment="1" applyProtection="1">
      <alignment vertical="center" textRotation="90" wrapText="1"/>
      <protection hidden="1"/>
    </xf>
    <xf numFmtId="0" fontId="0" fillId="0" borderId="13" xfId="0" applyBorder="1" applyAlignment="1" applyProtection="1">
      <alignment textRotation="90" wrapText="1"/>
      <protection hidden="1"/>
    </xf>
    <xf numFmtId="0" fontId="6" fillId="0" borderId="13" xfId="0" applyFont="1" applyBorder="1" applyAlignment="1" applyProtection="1">
      <protection hidden="1"/>
    </xf>
    <xf numFmtId="0" fontId="207" fillId="0" borderId="13" xfId="0" applyFont="1" applyBorder="1" applyAlignment="1" applyProtection="1">
      <alignment horizontal="center" vertical="center"/>
      <protection hidden="1"/>
    </xf>
    <xf numFmtId="0" fontId="207" fillId="0" borderId="13" xfId="0" applyFont="1" applyBorder="1" applyAlignment="1" applyProtection="1">
      <protection hidden="1"/>
    </xf>
    <xf numFmtId="0" fontId="207" fillId="0" borderId="0" xfId="0" applyFont="1" applyBorder="1" applyAlignment="1" applyProtection="1">
      <protection hidden="1"/>
    </xf>
    <xf numFmtId="0" fontId="207" fillId="0" borderId="13" xfId="0" applyFont="1" applyBorder="1" applyProtection="1">
      <protection hidden="1"/>
    </xf>
    <xf numFmtId="0" fontId="207" fillId="0" borderId="0" xfId="0" applyFont="1" applyBorder="1" applyProtection="1">
      <protection hidden="1"/>
    </xf>
    <xf numFmtId="2" fontId="0" fillId="0" borderId="13" xfId="0" applyNumberFormat="1" applyBorder="1" applyAlignment="1" applyProtection="1">
      <alignment horizontal="left"/>
      <protection hidden="1"/>
    </xf>
    <xf numFmtId="2" fontId="0" fillId="0" borderId="0" xfId="0" applyNumberFormat="1" applyBorder="1" applyAlignment="1" applyProtection="1">
      <alignment horizontal="left"/>
      <protection hidden="1"/>
    </xf>
    <xf numFmtId="0" fontId="48" fillId="20" borderId="0" xfId="0" applyFont="1" applyFill="1"/>
    <xf numFmtId="0" fontId="113" fillId="0" borderId="60" xfId="0" applyFont="1" applyBorder="1" applyProtection="1">
      <protection hidden="1"/>
    </xf>
    <xf numFmtId="0" fontId="113" fillId="0" borderId="37" xfId="0" applyFont="1" applyBorder="1" applyProtection="1">
      <protection hidden="1"/>
    </xf>
    <xf numFmtId="0" fontId="48" fillId="0" borderId="45" xfId="0" applyFont="1" applyBorder="1" applyProtection="1">
      <protection hidden="1"/>
    </xf>
    <xf numFmtId="0" fontId="48" fillId="0" borderId="16" xfId="0" applyFont="1" applyBorder="1" applyProtection="1">
      <protection hidden="1"/>
    </xf>
    <xf numFmtId="0" fontId="48" fillId="0" borderId="60" xfId="0" applyFont="1" applyBorder="1"/>
    <xf numFmtId="0" fontId="48" fillId="0" borderId="66" xfId="0" applyFont="1" applyBorder="1"/>
    <xf numFmtId="0" fontId="113" fillId="0" borderId="65" xfId="0" applyFont="1" applyBorder="1" applyProtection="1">
      <protection hidden="1"/>
    </xf>
    <xf numFmtId="0" fontId="48" fillId="0" borderId="40" xfId="0" applyFont="1" applyBorder="1"/>
    <xf numFmtId="0" fontId="48" fillId="0" borderId="19" xfId="0" applyFont="1" applyBorder="1" applyProtection="1">
      <protection hidden="1"/>
    </xf>
    <xf numFmtId="0" fontId="48" fillId="0" borderId="61" xfId="0" applyFont="1" applyBorder="1" applyProtection="1">
      <protection hidden="1"/>
    </xf>
    <xf numFmtId="0" fontId="48" fillId="0" borderId="42" xfId="0" applyFont="1" applyBorder="1" applyProtection="1">
      <protection hidden="1"/>
    </xf>
    <xf numFmtId="0" fontId="89" fillId="0" borderId="0" xfId="0" applyFont="1" applyBorder="1" applyProtection="1">
      <protection hidden="1"/>
    </xf>
    <xf numFmtId="0" fontId="48" fillId="0" borderId="67" xfId="0" applyFont="1" applyBorder="1" applyProtection="1">
      <protection hidden="1"/>
    </xf>
    <xf numFmtId="0" fontId="130" fillId="0" borderId="61" xfId="0" applyFont="1" applyBorder="1" applyProtection="1">
      <protection hidden="1"/>
    </xf>
    <xf numFmtId="0" fontId="48" fillId="0" borderId="61" xfId="0" applyFont="1" applyBorder="1"/>
    <xf numFmtId="0" fontId="48" fillId="0" borderId="42" xfId="0" applyFont="1" applyBorder="1"/>
    <xf numFmtId="0" fontId="87" fillId="0" borderId="60" xfId="0" applyFont="1" applyBorder="1" applyProtection="1">
      <protection hidden="1"/>
    </xf>
    <xf numFmtId="0" fontId="116" fillId="0" borderId="60" xfId="0" applyFont="1" applyBorder="1" applyProtection="1">
      <protection hidden="1"/>
    </xf>
    <xf numFmtId="0" fontId="113" fillId="0" borderId="0" xfId="0" applyFont="1" applyBorder="1"/>
    <xf numFmtId="0" fontId="113" fillId="0" borderId="40" xfId="0" applyFont="1" applyBorder="1"/>
    <xf numFmtId="0" fontId="113" fillId="0" borderId="20" xfId="0" applyFont="1" applyBorder="1" applyProtection="1">
      <protection hidden="1"/>
    </xf>
    <xf numFmtId="0" fontId="113" fillId="0" borderId="67" xfId="0" applyFont="1" applyBorder="1" applyProtection="1">
      <protection hidden="1"/>
    </xf>
    <xf numFmtId="0" fontId="48" fillId="0" borderId="20" xfId="0" applyFont="1" applyFill="1" applyBorder="1" applyProtection="1">
      <protection hidden="1"/>
    </xf>
    <xf numFmtId="0" fontId="48" fillId="0" borderId="40" xfId="0" applyFont="1" applyFill="1" applyBorder="1" applyProtection="1">
      <protection hidden="1"/>
    </xf>
    <xf numFmtId="0" fontId="113" fillId="0" borderId="10" xfId="0" applyFont="1" applyBorder="1" applyProtection="1">
      <protection hidden="1"/>
    </xf>
    <xf numFmtId="0" fontId="48" fillId="0" borderId="11" xfId="0" applyFont="1" applyBorder="1" applyProtection="1">
      <protection hidden="1"/>
    </xf>
    <xf numFmtId="0" fontId="48" fillId="0" borderId="0" xfId="0" applyFont="1" applyBorder="1" applyAlignment="1" applyProtection="1">
      <alignment horizontal="center"/>
      <protection hidden="1"/>
    </xf>
    <xf numFmtId="0" fontId="48" fillId="0" borderId="51" xfId="0" applyFont="1" applyBorder="1" applyAlignment="1" applyProtection="1">
      <alignment horizontal="center"/>
      <protection hidden="1"/>
    </xf>
    <xf numFmtId="0" fontId="116" fillId="0" borderId="0" xfId="0" applyFont="1" applyBorder="1" applyProtection="1">
      <protection hidden="1"/>
    </xf>
    <xf numFmtId="0" fontId="48" fillId="0" borderId="35" xfId="0" applyFont="1" applyBorder="1" applyAlignment="1" applyProtection="1">
      <alignment horizontal="center"/>
      <protection hidden="1"/>
    </xf>
    <xf numFmtId="0" fontId="113" fillId="0" borderId="58" xfId="0" applyFont="1" applyBorder="1" applyProtection="1">
      <protection hidden="1"/>
    </xf>
    <xf numFmtId="0" fontId="209" fillId="0" borderId="58" xfId="0" applyFont="1" applyBorder="1" applyProtection="1">
      <protection hidden="1"/>
    </xf>
    <xf numFmtId="0" fontId="113" fillId="0" borderId="12" xfId="0" applyFont="1" applyBorder="1" applyProtection="1">
      <protection hidden="1"/>
    </xf>
    <xf numFmtId="0" fontId="48" fillId="0" borderId="28" xfId="0" applyFont="1" applyBorder="1" applyAlignment="1" applyProtection="1">
      <alignment wrapText="1"/>
      <protection hidden="1"/>
    </xf>
    <xf numFmtId="0" fontId="48" fillId="0" borderId="30" xfId="0" applyFont="1" applyBorder="1" applyProtection="1">
      <protection hidden="1"/>
    </xf>
    <xf numFmtId="0" fontId="48" fillId="0" borderId="15" xfId="0" applyFont="1" applyBorder="1" applyProtection="1">
      <protection hidden="1"/>
    </xf>
    <xf numFmtId="0" fontId="213" fillId="0" borderId="0" xfId="0" applyFont="1" applyBorder="1" applyProtection="1">
      <protection hidden="1"/>
    </xf>
    <xf numFmtId="0" fontId="213" fillId="0" borderId="0" xfId="0" applyFont="1" applyProtection="1">
      <protection hidden="1"/>
    </xf>
    <xf numFmtId="0" fontId="214" fillId="0" borderId="0" xfId="0" applyFont="1" applyProtection="1">
      <protection hidden="1"/>
    </xf>
    <xf numFmtId="0" fontId="0" fillId="22" borderId="13" xfId="0" applyFill="1" applyBorder="1" applyAlignment="1" applyProtection="1">
      <alignment horizontal="center" vertical="center"/>
      <protection locked="0"/>
    </xf>
    <xf numFmtId="0" fontId="0" fillId="0" borderId="0" xfId="0" applyFill="1" applyAlignment="1" applyProtection="1">
      <alignment horizontal="center" vertical="center"/>
      <protection hidden="1"/>
    </xf>
    <xf numFmtId="0" fontId="26" fillId="0" borderId="0" xfId="0" applyFont="1" applyProtection="1">
      <protection hidden="1"/>
    </xf>
    <xf numFmtId="0" fontId="42" fillId="0" borderId="0" xfId="0" applyFont="1" applyProtection="1">
      <protection hidden="1"/>
    </xf>
    <xf numFmtId="0" fontId="14" fillId="0" borderId="0" xfId="0" applyFont="1" applyAlignment="1" applyProtection="1">
      <alignment horizontal="center"/>
      <protection hidden="1"/>
    </xf>
    <xf numFmtId="0" fontId="0" fillId="0" borderId="0" xfId="0" applyFill="1" applyBorder="1" applyAlignment="1" applyProtection="1">
      <protection locked="0" hidden="1"/>
    </xf>
    <xf numFmtId="0" fontId="0" fillId="22" borderId="13" xfId="0" applyFill="1" applyBorder="1"/>
    <xf numFmtId="1" fontId="9" fillId="0" borderId="0" xfId="0" applyNumberFormat="1" applyFont="1" applyAlignment="1" applyProtection="1">
      <alignment horizontal="center"/>
      <protection hidden="1"/>
    </xf>
    <xf numFmtId="0" fontId="13" fillId="0" borderId="13" xfId="0" applyFont="1" applyBorder="1" applyAlignment="1">
      <alignment horizontal="center"/>
    </xf>
    <xf numFmtId="1" fontId="9" fillId="0" borderId="0" xfId="0" applyNumberFormat="1" applyFont="1" applyProtection="1">
      <protection hidden="1"/>
    </xf>
    <xf numFmtId="0" fontId="101" fillId="21" borderId="0" xfId="0" applyFont="1" applyFill="1" applyProtection="1">
      <protection hidden="1"/>
    </xf>
    <xf numFmtId="0" fontId="16" fillId="0" borderId="0" xfId="0" applyFont="1" applyProtection="1">
      <protection hidden="1"/>
    </xf>
    <xf numFmtId="0" fontId="12" fillId="0" borderId="0" xfId="0" applyFont="1" applyFill="1" applyProtection="1">
      <protection hidden="1"/>
    </xf>
    <xf numFmtId="166" fontId="4" fillId="0" borderId="13" xfId="0" applyNumberFormat="1" applyFont="1" applyFill="1" applyBorder="1" applyProtection="1">
      <protection hidden="1"/>
    </xf>
    <xf numFmtId="0" fontId="14" fillId="0" borderId="13" xfId="0" applyFont="1" applyFill="1" applyBorder="1" applyProtection="1">
      <protection locked="0" hidden="1"/>
    </xf>
    <xf numFmtId="0" fontId="14" fillId="0" borderId="13" xfId="0" applyFont="1" applyBorder="1"/>
    <xf numFmtId="0" fontId="101" fillId="0" borderId="0" xfId="0" applyFont="1" applyFill="1" applyProtection="1">
      <protection hidden="1"/>
    </xf>
    <xf numFmtId="166" fontId="4" fillId="0" borderId="13" xfId="0" applyNumberFormat="1" applyFont="1" applyBorder="1" applyProtection="1">
      <protection hidden="1"/>
    </xf>
    <xf numFmtId="166" fontId="4" fillId="0" borderId="13" xfId="0" applyNumberFormat="1" applyFont="1" applyBorder="1" applyAlignment="1" applyProtection="1">
      <alignment textRotation="90"/>
      <protection hidden="1"/>
    </xf>
    <xf numFmtId="0" fontId="9" fillId="0" borderId="13" xfId="0" applyFont="1" applyBorder="1" applyProtection="1">
      <protection hidden="1"/>
    </xf>
    <xf numFmtId="0" fontId="53" fillId="0" borderId="0" xfId="0" applyFont="1" applyFill="1" applyProtection="1">
      <protection hidden="1"/>
    </xf>
    <xf numFmtId="0" fontId="0" fillId="0" borderId="0" xfId="0" applyNumberFormat="1"/>
    <xf numFmtId="0" fontId="4" fillId="0" borderId="13" xfId="0" applyFont="1" applyFill="1" applyBorder="1" applyAlignment="1" applyProtection="1">
      <alignment horizontal="center"/>
      <protection locked="0"/>
    </xf>
    <xf numFmtId="0" fontId="14" fillId="0" borderId="13" xfId="0" applyFont="1" applyFill="1" applyBorder="1" applyAlignment="1">
      <alignment horizontal="center"/>
    </xf>
    <xf numFmtId="0" fontId="14" fillId="0" borderId="13" xfId="0" applyFont="1" applyFill="1" applyBorder="1" applyAlignment="1" applyProtection="1">
      <protection locked="0"/>
    </xf>
    <xf numFmtId="0" fontId="33" fillId="0" borderId="0" xfId="0" applyFont="1" applyFill="1" applyAlignment="1" applyProtection="1">
      <alignment horizontal="center"/>
      <protection hidden="1"/>
    </xf>
    <xf numFmtId="2" fontId="130" fillId="0" borderId="13" xfId="0" applyNumberFormat="1" applyFont="1" applyFill="1" applyBorder="1" applyProtection="1">
      <protection locked="0" hidden="1"/>
    </xf>
    <xf numFmtId="1" fontId="14" fillId="0" borderId="37" xfId="0" applyNumberFormat="1" applyFont="1" applyFill="1" applyBorder="1" applyProtection="1">
      <protection locked="0" hidden="1"/>
    </xf>
    <xf numFmtId="0" fontId="4" fillId="0" borderId="37" xfId="0" applyNumberFormat="1" applyFont="1" applyFill="1" applyBorder="1" applyProtection="1">
      <protection locked="0" hidden="1"/>
    </xf>
    <xf numFmtId="0" fontId="14" fillId="0" borderId="37" xfId="0" applyFont="1" applyFill="1" applyBorder="1" applyProtection="1">
      <protection locked="0" hidden="1"/>
    </xf>
    <xf numFmtId="2" fontId="13" fillId="0" borderId="0" xfId="0" applyNumberFormat="1" applyFont="1" applyBorder="1" applyProtection="1">
      <protection hidden="1"/>
    </xf>
    <xf numFmtId="0" fontId="15" fillId="0" borderId="0" xfId="0" applyFont="1"/>
    <xf numFmtId="0" fontId="33" fillId="0" borderId="13" xfId="0" applyFont="1" applyBorder="1" applyAlignment="1">
      <alignment horizontal="center"/>
    </xf>
    <xf numFmtId="1" fontId="9" fillId="0" borderId="0" xfId="0" applyNumberFormat="1" applyFont="1" applyFill="1" applyAlignment="1" applyProtection="1">
      <alignment horizontal="center"/>
      <protection hidden="1"/>
    </xf>
    <xf numFmtId="0" fontId="15" fillId="0" borderId="0" xfId="0" applyFont="1" applyBorder="1"/>
    <xf numFmtId="2" fontId="9" fillId="0" borderId="0" xfId="0" applyNumberFormat="1" applyFont="1" applyAlignment="1" applyProtection="1">
      <alignment horizontal="center"/>
      <protection hidden="1"/>
    </xf>
    <xf numFmtId="0" fontId="2" fillId="0" borderId="0" xfId="0" applyFont="1" applyAlignment="1" applyProtection="1">
      <alignment horizontal="right"/>
      <protection hidden="1"/>
    </xf>
    <xf numFmtId="1" fontId="14" fillId="0" borderId="13" xfId="0" applyNumberFormat="1" applyFont="1" applyFill="1" applyBorder="1" applyProtection="1">
      <protection hidden="1"/>
    </xf>
    <xf numFmtId="0" fontId="15" fillId="0" borderId="0" xfId="0" applyFont="1" applyFill="1" applyBorder="1"/>
    <xf numFmtId="0" fontId="15" fillId="0" borderId="0" xfId="0" applyFont="1" applyBorder="1" applyProtection="1">
      <protection hidden="1"/>
    </xf>
    <xf numFmtId="0" fontId="19" fillId="0" borderId="0" xfId="0" applyFont="1" applyBorder="1" applyProtection="1">
      <protection hidden="1"/>
    </xf>
    <xf numFmtId="0" fontId="14" fillId="22" borderId="13" xfId="0" applyFont="1" applyFill="1" applyBorder="1" applyProtection="1">
      <protection locked="0" hidden="1"/>
    </xf>
    <xf numFmtId="0" fontId="15" fillId="0" borderId="0" xfId="0" applyFont="1" applyFill="1"/>
    <xf numFmtId="0" fontId="6" fillId="0" borderId="0" xfId="0" applyFont="1" applyBorder="1" applyAlignment="1" applyProtection="1">
      <alignment wrapText="1"/>
      <protection hidden="1"/>
    </xf>
    <xf numFmtId="0" fontId="216" fillId="0" borderId="0" xfId="0" applyFont="1" applyAlignment="1">
      <alignment horizontal="justify"/>
    </xf>
    <xf numFmtId="0" fontId="0" fillId="0" borderId="13" xfId="0" applyBorder="1" applyAlignment="1">
      <alignment horizontal="center" wrapText="1"/>
    </xf>
    <xf numFmtId="0" fontId="26" fillId="0" borderId="0" xfId="0" applyFont="1" applyFill="1"/>
    <xf numFmtId="0" fontId="0" fillId="18" borderId="0" xfId="0" applyFill="1" applyBorder="1" applyProtection="1">
      <protection locked="0" hidden="1"/>
    </xf>
    <xf numFmtId="0" fontId="42" fillId="18" borderId="0" xfId="0" applyFont="1" applyFill="1" applyProtection="1">
      <protection locked="0" hidden="1"/>
    </xf>
    <xf numFmtId="0" fontId="0" fillId="18" borderId="0" xfId="0" applyFill="1" applyProtection="1">
      <protection locked="0" hidden="1"/>
    </xf>
    <xf numFmtId="166" fontId="2" fillId="18" borderId="0" xfId="0" applyNumberFormat="1" applyFont="1" applyFill="1" applyProtection="1">
      <protection locked="0" hidden="1"/>
    </xf>
    <xf numFmtId="0" fontId="96" fillId="0" borderId="13" xfId="0" applyFont="1" applyBorder="1" applyAlignment="1">
      <alignment horizontal="center"/>
    </xf>
    <xf numFmtId="0" fontId="1" fillId="0" borderId="13" xfId="0" applyFont="1" applyBorder="1" applyProtection="1">
      <protection hidden="1"/>
    </xf>
    <xf numFmtId="0" fontId="96" fillId="0" borderId="0" xfId="0" applyFont="1" applyBorder="1" applyAlignment="1">
      <alignment horizontal="left"/>
    </xf>
    <xf numFmtId="0" fontId="38" fillId="0" borderId="0" xfId="0" applyFont="1" applyBorder="1"/>
    <xf numFmtId="0" fontId="96" fillId="0" borderId="0" xfId="0" applyFont="1" applyBorder="1" applyAlignment="1">
      <alignment horizontal="center"/>
    </xf>
    <xf numFmtId="2" fontId="0" fillId="0" borderId="0" xfId="0" applyNumberFormat="1" applyBorder="1"/>
    <xf numFmtId="0" fontId="7" fillId="18" borderId="0" xfId="0" applyFont="1" applyFill="1" applyProtection="1">
      <protection hidden="1"/>
    </xf>
    <xf numFmtId="0" fontId="101" fillId="18" borderId="0" xfId="0" applyFont="1" applyFill="1" applyProtection="1">
      <protection hidden="1"/>
    </xf>
    <xf numFmtId="0" fontId="96" fillId="0" borderId="13" xfId="0" applyFont="1" applyBorder="1" applyAlignment="1"/>
    <xf numFmtId="0" fontId="79" fillId="0" borderId="0" xfId="0" applyFont="1"/>
    <xf numFmtId="0" fontId="217" fillId="0" borderId="0" xfId="0" applyFont="1" applyAlignment="1">
      <alignment horizontal="center"/>
    </xf>
    <xf numFmtId="0" fontId="32" fillId="0" borderId="0" xfId="0" applyFont="1"/>
    <xf numFmtId="0" fontId="23" fillId="0" borderId="0" xfId="0" applyFont="1"/>
    <xf numFmtId="0" fontId="13" fillId="0" borderId="0" xfId="0" applyFont="1" applyFill="1" applyAlignment="1">
      <alignment horizontal="center"/>
    </xf>
    <xf numFmtId="0" fontId="14" fillId="0" borderId="13" xfId="0" applyFont="1" applyBorder="1" applyAlignment="1">
      <alignment horizontal="center"/>
    </xf>
    <xf numFmtId="0" fontId="0" fillId="0" borderId="13" xfId="0" applyBorder="1" applyAlignment="1">
      <alignment textRotation="90" wrapText="1"/>
    </xf>
    <xf numFmtId="0" fontId="0" fillId="0" borderId="13" xfId="0" applyBorder="1" applyAlignment="1">
      <alignment horizontal="left" textRotation="90" wrapText="1"/>
    </xf>
    <xf numFmtId="0" fontId="0" fillId="0" borderId="13" xfId="0" applyBorder="1" applyAlignment="1">
      <alignment horizontal="left" vertical="center" textRotation="90" wrapText="1"/>
    </xf>
    <xf numFmtId="0" fontId="47" fillId="21" borderId="0" xfId="0" applyFont="1" applyFill="1"/>
    <xf numFmtId="0" fontId="0" fillId="0" borderId="13" xfId="0" applyFill="1" applyBorder="1"/>
    <xf numFmtId="0" fontId="47" fillId="0" borderId="0" xfId="0" applyFont="1" applyFill="1"/>
    <xf numFmtId="0" fontId="114" fillId="0" borderId="0" xfId="0" applyFont="1" applyFill="1"/>
    <xf numFmtId="0" fontId="70" fillId="0" borderId="0" xfId="0" applyFont="1"/>
    <xf numFmtId="0" fontId="0" fillId="0" borderId="45" xfId="0" applyBorder="1"/>
    <xf numFmtId="0" fontId="21" fillId="0" borderId="13" xfId="0" applyFont="1" applyBorder="1" applyAlignment="1">
      <alignment horizontal="center"/>
    </xf>
    <xf numFmtId="0" fontId="0" fillId="0" borderId="16" xfId="0" applyBorder="1"/>
    <xf numFmtId="0" fontId="0" fillId="0" borderId="16" xfId="0" applyFill="1" applyBorder="1"/>
    <xf numFmtId="0" fontId="101" fillId="22" borderId="13" xfId="0" applyFont="1" applyFill="1" applyBorder="1" applyAlignment="1">
      <alignment horizontal="center"/>
    </xf>
    <xf numFmtId="0" fontId="112" fillId="0" borderId="0" xfId="0" applyFont="1" applyFill="1" applyBorder="1" applyProtection="1">
      <protection hidden="1"/>
    </xf>
    <xf numFmtId="0" fontId="38" fillId="0" borderId="0" xfId="0" applyFont="1" applyBorder="1" applyAlignment="1" applyProtection="1">
      <protection hidden="1"/>
    </xf>
    <xf numFmtId="0" fontId="38" fillId="0" borderId="0" xfId="0" applyFont="1" applyBorder="1" applyProtection="1">
      <protection hidden="1"/>
    </xf>
    <xf numFmtId="0" fontId="38" fillId="0" borderId="0" xfId="0" applyFont="1" applyBorder="1" applyAlignment="1" applyProtection="1">
      <alignment horizontal="center"/>
      <protection hidden="1"/>
    </xf>
    <xf numFmtId="0" fontId="38" fillId="0" borderId="0" xfId="0" applyFont="1" applyFill="1" applyBorder="1" applyAlignment="1" applyProtection="1">
      <alignment horizontal="center"/>
      <protection hidden="1"/>
    </xf>
    <xf numFmtId="0" fontId="38" fillId="0" borderId="0" xfId="0" applyFont="1" applyFill="1" applyBorder="1" applyAlignment="1" applyProtection="1">
      <protection hidden="1"/>
    </xf>
    <xf numFmtId="0" fontId="19" fillId="0" borderId="0" xfId="0" applyFont="1" applyAlignment="1">
      <alignment horizontal="center"/>
    </xf>
    <xf numFmtId="0" fontId="19" fillId="22" borderId="16" xfId="0" applyFont="1" applyFill="1" applyBorder="1" applyAlignment="1">
      <alignment horizontal="center"/>
    </xf>
    <xf numFmtId="0" fontId="15" fillId="0" borderId="13" xfId="0" applyFont="1" applyBorder="1" applyAlignment="1" applyProtection="1">
      <alignment wrapText="1"/>
      <protection hidden="1"/>
    </xf>
    <xf numFmtId="0" fontId="15" fillId="0" borderId="13" xfId="0" applyFont="1" applyBorder="1" applyAlignment="1">
      <alignment wrapText="1"/>
    </xf>
    <xf numFmtId="0" fontId="19" fillId="0" borderId="13" xfId="0" applyFont="1" applyBorder="1" applyAlignment="1">
      <alignment horizontal="center" wrapText="1"/>
    </xf>
    <xf numFmtId="0" fontId="14" fillId="0" borderId="14" xfId="0" applyFont="1" applyFill="1" applyBorder="1" applyProtection="1">
      <protection locked="0"/>
    </xf>
    <xf numFmtId="14" fontId="14" fillId="0" borderId="0" xfId="0" applyNumberFormat="1" applyFont="1" applyFill="1" applyBorder="1" applyProtection="1">
      <protection hidden="1"/>
    </xf>
    <xf numFmtId="0" fontId="14" fillId="0" borderId="0" xfId="0" applyFont="1" applyFill="1" applyBorder="1" applyAlignment="1" applyProtection="1">
      <alignment horizontal="center"/>
      <protection hidden="1"/>
    </xf>
    <xf numFmtId="0" fontId="15" fillId="0" borderId="37" xfId="0" applyFont="1" applyFill="1" applyBorder="1" applyAlignment="1">
      <alignment wrapText="1"/>
    </xf>
    <xf numFmtId="0" fontId="15" fillId="0" borderId="0" xfId="0" applyFont="1" applyBorder="1" applyAlignment="1">
      <alignment wrapText="1"/>
    </xf>
    <xf numFmtId="0" fontId="19" fillId="0" borderId="0" xfId="0" applyFont="1" applyFill="1" applyBorder="1" applyAlignment="1" applyProtection="1">
      <alignment horizontal="center"/>
      <protection locked="0" hidden="1"/>
    </xf>
    <xf numFmtId="0" fontId="15" fillId="0" borderId="0" xfId="0" applyFont="1" applyBorder="1" applyAlignment="1"/>
    <xf numFmtId="0" fontId="15" fillId="0" borderId="0" xfId="0" applyFont="1" applyFill="1" applyBorder="1" applyAlignment="1"/>
    <xf numFmtId="0" fontId="26" fillId="0" borderId="0" xfId="0" applyFont="1" applyFill="1" applyBorder="1"/>
    <xf numFmtId="0" fontId="13" fillId="0" borderId="19" xfId="0" applyFont="1" applyFill="1" applyBorder="1" applyAlignment="1">
      <alignment horizontal="left"/>
    </xf>
    <xf numFmtId="0" fontId="155" fillId="0" borderId="37" xfId="0" applyFont="1" applyBorder="1"/>
    <xf numFmtId="0" fontId="1" fillId="0" borderId="13" xfId="0" applyFont="1" applyFill="1" applyBorder="1" applyAlignment="1" applyProtection="1">
      <alignment wrapText="1"/>
      <protection hidden="1"/>
    </xf>
    <xf numFmtId="0" fontId="1" fillId="0" borderId="13" xfId="0" applyFont="1" applyBorder="1" applyAlignment="1">
      <alignment wrapText="1"/>
    </xf>
    <xf numFmtId="0" fontId="0" fillId="0" borderId="19" xfId="0" applyFill="1" applyBorder="1" applyProtection="1">
      <protection hidden="1"/>
    </xf>
    <xf numFmtId="0" fontId="25" fillId="21" borderId="0" xfId="0" applyFont="1" applyFill="1"/>
    <xf numFmtId="0" fontId="11" fillId="0" borderId="0" xfId="0" applyFont="1"/>
    <xf numFmtId="0" fontId="12" fillId="0" borderId="0" xfId="0" applyFont="1"/>
    <xf numFmtId="0" fontId="22" fillId="0" borderId="0" xfId="28" applyAlignment="1" applyProtection="1"/>
    <xf numFmtId="0" fontId="13" fillId="0" borderId="13" xfId="0" applyFont="1" applyBorder="1"/>
    <xf numFmtId="0" fontId="101" fillId="18" borderId="0" xfId="0" applyFont="1" applyFill="1"/>
    <xf numFmtId="0" fontId="34" fillId="0" borderId="0" xfId="0" applyFont="1"/>
    <xf numFmtId="0" fontId="14" fillId="0" borderId="0" xfId="0" applyFont="1" applyFill="1"/>
    <xf numFmtId="0" fontId="14" fillId="0" borderId="37" xfId="0" applyFont="1" applyFill="1" applyBorder="1"/>
    <xf numFmtId="0" fontId="11" fillId="0" borderId="0" xfId="0" applyFont="1" applyFill="1"/>
    <xf numFmtId="0" fontId="1" fillId="0" borderId="0" xfId="0" applyFont="1" applyFill="1" applyBorder="1" applyAlignment="1" applyProtection="1">
      <alignment wrapText="1"/>
      <protection hidden="1"/>
    </xf>
    <xf numFmtId="0" fontId="1" fillId="0" borderId="0" xfId="0" applyFont="1" applyBorder="1" applyAlignment="1">
      <alignment wrapText="1"/>
    </xf>
    <xf numFmtId="0" fontId="13" fillId="0" borderId="0" xfId="0" applyFont="1" applyFill="1" applyBorder="1" applyAlignment="1" applyProtection="1">
      <alignment horizontal="center"/>
      <protection hidden="1"/>
    </xf>
    <xf numFmtId="0" fontId="0" fillId="0" borderId="37" xfId="0" applyFill="1" applyBorder="1" applyProtection="1">
      <protection hidden="1"/>
    </xf>
    <xf numFmtId="0" fontId="13" fillId="0" borderId="37" xfId="0" applyFont="1" applyFill="1" applyBorder="1" applyAlignment="1" applyProtection="1">
      <alignment horizontal="center"/>
      <protection hidden="1"/>
    </xf>
    <xf numFmtId="0" fontId="2" fillId="18" borderId="0" xfId="0" applyFont="1" applyFill="1" applyAlignment="1">
      <alignment horizontal="right"/>
    </xf>
    <xf numFmtId="0" fontId="23" fillId="18" borderId="0" xfId="0" applyFont="1" applyFill="1"/>
    <xf numFmtId="0" fontId="219" fillId="0" borderId="0" xfId="0" applyFont="1"/>
    <xf numFmtId="0" fontId="70" fillId="0" borderId="0" xfId="0" applyFont="1" applyBorder="1"/>
    <xf numFmtId="0" fontId="70" fillId="0" borderId="0" xfId="0" applyFont="1" applyBorder="1" applyProtection="1">
      <protection hidden="1"/>
    </xf>
    <xf numFmtId="0" fontId="70" fillId="0" borderId="0" xfId="0" applyFont="1" applyFill="1" applyBorder="1" applyProtection="1">
      <protection hidden="1"/>
    </xf>
    <xf numFmtId="0" fontId="70" fillId="0" borderId="45" xfId="0" applyFont="1" applyFill="1" applyBorder="1" applyProtection="1">
      <protection hidden="1"/>
    </xf>
    <xf numFmtId="0" fontId="70" fillId="0" borderId="0" xfId="0" applyFont="1" applyAlignment="1"/>
    <xf numFmtId="0" fontId="13" fillId="0" borderId="0" xfId="0" applyFont="1" applyBorder="1" applyAlignment="1" applyProtection="1">
      <alignment wrapText="1"/>
      <protection hidden="1"/>
    </xf>
    <xf numFmtId="0" fontId="70" fillId="0" borderId="0" xfId="0" applyFont="1" applyBorder="1" applyAlignment="1" applyProtection="1">
      <alignment wrapText="1"/>
      <protection hidden="1"/>
    </xf>
    <xf numFmtId="0" fontId="70" fillId="0" borderId="0" xfId="0" applyFont="1" applyBorder="1" applyAlignment="1" applyProtection="1">
      <protection hidden="1"/>
    </xf>
    <xf numFmtId="0" fontId="220" fillId="0" borderId="0" xfId="0" applyFont="1"/>
    <xf numFmtId="0" fontId="17" fillId="0" borderId="0" xfId="0" applyFont="1" applyAlignment="1">
      <alignment horizontal="right"/>
    </xf>
    <xf numFmtId="0" fontId="17" fillId="0" borderId="0" xfId="0" applyFont="1" applyBorder="1"/>
    <xf numFmtId="0" fontId="0" fillId="0" borderId="13" xfId="0" applyBorder="1" applyAlignment="1">
      <alignment wrapText="1"/>
    </xf>
    <xf numFmtId="0" fontId="17" fillId="0" borderId="0" xfId="0" applyFont="1" applyFill="1" applyBorder="1" applyProtection="1">
      <protection hidden="1"/>
    </xf>
    <xf numFmtId="0" fontId="17" fillId="0" borderId="45" xfId="0" applyFont="1" applyFill="1" applyBorder="1" applyProtection="1">
      <protection hidden="1"/>
    </xf>
    <xf numFmtId="0" fontId="0" fillId="0" borderId="13" xfId="0" applyBorder="1" applyAlignment="1">
      <alignment horizontal="center"/>
    </xf>
    <xf numFmtId="0" fontId="94" fillId="0" borderId="0" xfId="0" applyFont="1"/>
    <xf numFmtId="0" fontId="220" fillId="0" borderId="0" xfId="0" applyFont="1" applyAlignment="1">
      <alignment horizontal="right"/>
    </xf>
    <xf numFmtId="0" fontId="221" fillId="0" borderId="44" xfId="0" applyFont="1" applyBorder="1" applyAlignment="1">
      <alignment horizontal="center"/>
    </xf>
    <xf numFmtId="0" fontId="70" fillId="0" borderId="13" xfId="0" applyFont="1" applyBorder="1" applyProtection="1">
      <protection hidden="1"/>
    </xf>
    <xf numFmtId="0" fontId="33" fillId="0" borderId="0" xfId="0" applyFont="1" applyFill="1" applyBorder="1"/>
    <xf numFmtId="0" fontId="1" fillId="0" borderId="13" xfId="0" applyFont="1" applyBorder="1" applyAlignment="1">
      <alignment horizontal="center"/>
    </xf>
    <xf numFmtId="0" fontId="33" fillId="0" borderId="0" xfId="0" applyFont="1" applyFill="1" applyBorder="1" applyProtection="1">
      <protection hidden="1"/>
    </xf>
    <xf numFmtId="0" fontId="70" fillId="18" borderId="0" xfId="0" applyFont="1" applyFill="1" applyBorder="1" applyAlignment="1" applyProtection="1">
      <alignment wrapText="1"/>
      <protection hidden="1"/>
    </xf>
    <xf numFmtId="0" fontId="70" fillId="18" borderId="0" xfId="0" applyFont="1" applyFill="1" applyBorder="1" applyAlignment="1" applyProtection="1">
      <protection hidden="1"/>
    </xf>
    <xf numFmtId="0" fontId="70" fillId="18" borderId="0" xfId="0" applyFont="1" applyFill="1" applyAlignment="1"/>
    <xf numFmtId="0" fontId="70" fillId="18" borderId="0" xfId="0" applyFont="1" applyFill="1"/>
    <xf numFmtId="0" fontId="56" fillId="0" borderId="13" xfId="0" applyFont="1" applyFill="1" applyBorder="1" applyAlignment="1">
      <alignment wrapText="1"/>
    </xf>
    <xf numFmtId="0" fontId="33" fillId="0" borderId="14" xfId="0" applyFont="1" applyBorder="1" applyAlignment="1" applyProtection="1">
      <alignment horizontal="center" wrapText="1"/>
      <protection hidden="1"/>
    </xf>
    <xf numFmtId="0" fontId="70" fillId="0" borderId="45" xfId="0" applyFont="1" applyBorder="1"/>
    <xf numFmtId="0" fontId="21" fillId="0" borderId="16" xfId="0" applyFont="1" applyBorder="1"/>
    <xf numFmtId="0" fontId="80" fillId="0" borderId="0" xfId="0" applyFont="1" applyFill="1" applyBorder="1" applyAlignment="1"/>
    <xf numFmtId="0" fontId="117" fillId="0" borderId="0" xfId="0" applyFont="1" applyFill="1" applyBorder="1" applyAlignment="1"/>
    <xf numFmtId="0" fontId="21" fillId="0" borderId="0" xfId="0" applyFont="1" applyFill="1" applyAlignment="1">
      <alignment horizontal="center"/>
    </xf>
    <xf numFmtId="0" fontId="19" fillId="0" borderId="0" xfId="0" applyFont="1" applyFill="1" applyBorder="1" applyAlignment="1"/>
    <xf numFmtId="0" fontId="15" fillId="0" borderId="0" xfId="0" applyFont="1" applyFill="1" applyBorder="1" applyAlignment="1">
      <alignment wrapText="1"/>
    </xf>
    <xf numFmtId="0" fontId="14" fillId="0" borderId="13" xfId="0" applyFont="1" applyFill="1" applyBorder="1"/>
    <xf numFmtId="0" fontId="0" fillId="0" borderId="37" xfId="0" applyBorder="1"/>
    <xf numFmtId="1" fontId="9" fillId="0" borderId="13" xfId="0" applyNumberFormat="1" applyFont="1" applyFill="1" applyBorder="1" applyAlignment="1" applyProtection="1">
      <alignment horizontal="center"/>
      <protection hidden="1"/>
    </xf>
    <xf numFmtId="2" fontId="9" fillId="0" borderId="13" xfId="0" applyNumberFormat="1" applyFont="1" applyFill="1" applyBorder="1" applyAlignment="1" applyProtection="1">
      <alignment horizontal="center"/>
      <protection hidden="1"/>
    </xf>
    <xf numFmtId="1" fontId="2" fillId="0" borderId="0" xfId="0" applyNumberFormat="1" applyFont="1" applyFill="1" applyAlignment="1" applyProtection="1">
      <alignment horizontal="left"/>
      <protection hidden="1"/>
    </xf>
    <xf numFmtId="0" fontId="26" fillId="0" borderId="0" xfId="0" applyFont="1" applyAlignment="1" applyProtection="1">
      <alignment horizontal="left"/>
      <protection hidden="1"/>
    </xf>
    <xf numFmtId="0" fontId="26" fillId="0" borderId="13" xfId="0" applyFont="1" applyBorder="1" applyProtection="1">
      <protection hidden="1"/>
    </xf>
    <xf numFmtId="2" fontId="222" fillId="0" borderId="0" xfId="0" applyNumberFormat="1" applyFont="1" applyBorder="1" applyProtection="1">
      <protection hidden="1"/>
    </xf>
    <xf numFmtId="0" fontId="84" fillId="0" borderId="0" xfId="0" applyFont="1" applyBorder="1" applyProtection="1">
      <protection hidden="1"/>
    </xf>
    <xf numFmtId="0" fontId="37" fillId="0" borderId="0" xfId="0" applyFont="1" applyFill="1" applyBorder="1" applyAlignment="1">
      <alignment horizontal="center"/>
    </xf>
    <xf numFmtId="0" fontId="0" fillId="0" borderId="0" xfId="0" applyFill="1" applyBorder="1" applyAlignment="1">
      <alignment wrapText="1"/>
    </xf>
    <xf numFmtId="0" fontId="14" fillId="0" borderId="65" xfId="0" applyFont="1" applyFill="1" applyBorder="1" applyProtection="1">
      <protection locked="0"/>
    </xf>
    <xf numFmtId="0" fontId="0" fillId="0" borderId="60" xfId="0" applyFill="1" applyBorder="1" applyProtection="1">
      <protection locked="0"/>
    </xf>
    <xf numFmtId="0" fontId="6" fillId="0" borderId="60" xfId="0" applyFont="1" applyFill="1" applyBorder="1" applyProtection="1">
      <protection hidden="1"/>
    </xf>
    <xf numFmtId="0" fontId="0" fillId="0" borderId="60" xfId="0" applyBorder="1"/>
    <xf numFmtId="0" fontId="4" fillId="0" borderId="66" xfId="0" applyFont="1" applyBorder="1" applyProtection="1">
      <protection hidden="1"/>
    </xf>
    <xf numFmtId="0" fontId="14" fillId="0" borderId="20" xfId="0" applyFont="1" applyFill="1" applyBorder="1" applyProtection="1">
      <protection locked="0"/>
    </xf>
    <xf numFmtId="0" fontId="4" fillId="0" borderId="40" xfId="0" applyFont="1" applyFill="1" applyBorder="1" applyAlignment="1" applyProtection="1">
      <protection hidden="1"/>
    </xf>
    <xf numFmtId="0" fontId="0" fillId="0" borderId="20" xfId="0" applyFill="1" applyBorder="1" applyProtection="1">
      <protection locked="0"/>
    </xf>
    <xf numFmtId="0" fontId="6" fillId="0" borderId="40" xfId="0" applyFont="1" applyFill="1" applyBorder="1" applyAlignment="1" applyProtection="1">
      <protection hidden="1"/>
    </xf>
    <xf numFmtId="0" fontId="0" fillId="0" borderId="67" xfId="0" applyFill="1" applyBorder="1" applyProtection="1">
      <protection locked="0"/>
    </xf>
    <xf numFmtId="0" fontId="0" fillId="0" borderId="61" xfId="0" applyNumberFormat="1" applyFill="1" applyBorder="1" applyProtection="1">
      <protection locked="0"/>
    </xf>
    <xf numFmtId="0" fontId="0" fillId="0" borderId="61" xfId="0" applyFill="1" applyBorder="1" applyProtection="1">
      <protection locked="0"/>
    </xf>
    <xf numFmtId="0" fontId="6" fillId="0" borderId="61" xfId="0" applyFont="1" applyFill="1" applyBorder="1" applyProtection="1">
      <protection hidden="1"/>
    </xf>
    <xf numFmtId="0" fontId="6" fillId="0" borderId="61" xfId="0" applyFont="1" applyBorder="1" applyProtection="1">
      <protection hidden="1"/>
    </xf>
    <xf numFmtId="0" fontId="6" fillId="0" borderId="42" xfId="0" applyFont="1" applyFill="1" applyBorder="1" applyAlignment="1" applyProtection="1">
      <protection hidden="1"/>
    </xf>
    <xf numFmtId="0" fontId="61" fillId="0" borderId="0" xfId="0" applyFont="1"/>
    <xf numFmtId="0" fontId="17" fillId="0" borderId="13" xfId="0" applyFont="1" applyBorder="1" applyAlignment="1">
      <alignment wrapText="1"/>
    </xf>
    <xf numFmtId="0" fontId="220" fillId="0" borderId="19" xfId="0" applyFont="1" applyBorder="1"/>
    <xf numFmtId="0" fontId="220" fillId="0" borderId="14" xfId="0" applyFont="1" applyBorder="1"/>
    <xf numFmtId="0" fontId="13" fillId="0" borderId="16" xfId="0" applyFont="1" applyBorder="1"/>
    <xf numFmtId="0" fontId="17" fillId="0" borderId="44" xfId="0" applyFont="1" applyBorder="1"/>
    <xf numFmtId="0" fontId="0" fillId="0" borderId="44" xfId="0" applyBorder="1"/>
    <xf numFmtId="0" fontId="2" fillId="0" borderId="13" xfId="0" applyFont="1" applyBorder="1" applyAlignment="1">
      <alignment horizontal="center"/>
    </xf>
    <xf numFmtId="0" fontId="70" fillId="0" borderId="13" xfId="0" applyFont="1" applyBorder="1"/>
    <xf numFmtId="0" fontId="220" fillId="0" borderId="37" xfId="0" applyFont="1" applyBorder="1"/>
    <xf numFmtId="0" fontId="11" fillId="0" borderId="45" xfId="0" applyFont="1" applyBorder="1"/>
    <xf numFmtId="0" fontId="2" fillId="0" borderId="45" xfId="0" applyFont="1" applyBorder="1"/>
    <xf numFmtId="0" fontId="14" fillId="0" borderId="16" xfId="0" applyFont="1" applyBorder="1" applyAlignment="1">
      <alignment horizontal="center"/>
    </xf>
    <xf numFmtId="0" fontId="33" fillId="0" borderId="0" xfId="0" applyFont="1" applyBorder="1" applyAlignment="1" applyProtection="1">
      <alignment horizontal="center" wrapText="1"/>
      <protection hidden="1"/>
    </xf>
    <xf numFmtId="0" fontId="70" fillId="22" borderId="13" xfId="0" applyFont="1" applyFill="1" applyBorder="1"/>
    <xf numFmtId="0" fontId="21" fillId="0" borderId="0" xfId="0" applyFont="1" applyBorder="1" applyAlignment="1">
      <alignment horizontal="center"/>
    </xf>
    <xf numFmtId="0" fontId="220" fillId="0" borderId="0" xfId="0" applyFont="1" applyFill="1" applyBorder="1"/>
    <xf numFmtId="0" fontId="21" fillId="18" borderId="0" xfId="0" applyFont="1" applyFill="1"/>
    <xf numFmtId="0" fontId="70" fillId="0" borderId="13" xfId="0" applyFont="1" applyBorder="1" applyAlignment="1" applyProtection="1">
      <protection hidden="1"/>
    </xf>
    <xf numFmtId="0" fontId="70" fillId="0" borderId="13" xfId="0" applyFont="1" applyBorder="1" applyAlignment="1" applyProtection="1">
      <alignment wrapText="1"/>
      <protection hidden="1"/>
    </xf>
    <xf numFmtId="0" fontId="70" fillId="0" borderId="13" xfId="0" applyFont="1" applyBorder="1" applyAlignment="1" applyProtection="1">
      <alignment horizontal="center"/>
      <protection hidden="1"/>
    </xf>
    <xf numFmtId="0" fontId="70" fillId="0" borderId="13" xfId="0" applyFont="1" applyBorder="1" applyAlignment="1" applyProtection="1">
      <alignment horizontal="center" wrapText="1"/>
      <protection hidden="1"/>
    </xf>
    <xf numFmtId="0" fontId="70" fillId="0" borderId="0" xfId="0" applyFont="1" applyFill="1" applyBorder="1"/>
    <xf numFmtId="0" fontId="70" fillId="0" borderId="13" xfId="0" applyFont="1" applyFill="1" applyBorder="1"/>
    <xf numFmtId="0" fontId="23" fillId="0" borderId="0" xfId="0" applyFont="1" applyBorder="1" applyProtection="1">
      <protection hidden="1"/>
    </xf>
    <xf numFmtId="0" fontId="11" fillId="0" borderId="0" xfId="0" applyFont="1" applyBorder="1" applyAlignment="1" applyProtection="1">
      <protection hidden="1"/>
    </xf>
    <xf numFmtId="0" fontId="12" fillId="18" borderId="0" xfId="0" applyFont="1" applyFill="1"/>
    <xf numFmtId="0" fontId="12" fillId="0" borderId="0" xfId="0" applyFont="1" applyFill="1"/>
    <xf numFmtId="0" fontId="1" fillId="0" borderId="25" xfId="0" applyFont="1" applyBorder="1" applyAlignment="1">
      <alignment horizontal="center"/>
    </xf>
    <xf numFmtId="0" fontId="70" fillId="0" borderId="21" xfId="0" applyFont="1" applyBorder="1" applyProtection="1">
      <protection hidden="1"/>
    </xf>
    <xf numFmtId="0" fontId="0" fillId="0" borderId="10" xfId="0" applyFill="1" applyBorder="1"/>
    <xf numFmtId="0" fontId="1" fillId="0" borderId="28" xfId="0" applyFont="1" applyBorder="1" applyAlignment="1">
      <alignment horizontal="center"/>
    </xf>
    <xf numFmtId="0" fontId="0" fillId="0" borderId="51" xfId="0" applyFill="1" applyBorder="1"/>
    <xf numFmtId="0" fontId="1" fillId="0" borderId="30" xfId="0" applyFont="1" applyBorder="1" applyAlignment="1">
      <alignment horizontal="center"/>
    </xf>
    <xf numFmtId="0" fontId="70" fillId="0" borderId="15" xfId="0" applyFont="1" applyBorder="1" applyProtection="1">
      <protection hidden="1"/>
    </xf>
    <xf numFmtId="0" fontId="0" fillId="0" borderId="35" xfId="0" applyFill="1" applyBorder="1" applyProtection="1">
      <protection hidden="1"/>
    </xf>
    <xf numFmtId="0" fontId="0" fillId="0" borderId="35" xfId="0" applyFill="1" applyBorder="1"/>
    <xf numFmtId="0" fontId="0" fillId="0" borderId="59" xfId="0" applyFill="1" applyBorder="1"/>
    <xf numFmtId="0" fontId="14" fillId="0" borderId="10" xfId="0" applyFont="1" applyFill="1" applyBorder="1" applyProtection="1">
      <protection hidden="1"/>
    </xf>
    <xf numFmtId="0" fontId="14" fillId="0" borderId="11" xfId="0" applyFont="1" applyFill="1" applyBorder="1"/>
    <xf numFmtId="0" fontId="14" fillId="0" borderId="35" xfId="0" applyFont="1" applyFill="1" applyBorder="1" applyProtection="1">
      <protection hidden="1"/>
    </xf>
    <xf numFmtId="2" fontId="21" fillId="0" borderId="13" xfId="0" applyNumberFormat="1" applyFont="1" applyBorder="1" applyAlignment="1">
      <alignment horizontal="center"/>
    </xf>
    <xf numFmtId="2" fontId="21" fillId="0" borderId="13" xfId="0" applyNumberFormat="1" applyFont="1" applyBorder="1" applyAlignment="1" applyProtection="1">
      <alignment horizontal="center"/>
      <protection hidden="1"/>
    </xf>
    <xf numFmtId="0" fontId="13" fillId="22" borderId="13" xfId="0" applyFont="1" applyFill="1" applyBorder="1" applyAlignment="1">
      <alignment horizontal="center"/>
    </xf>
    <xf numFmtId="0" fontId="33" fillId="0" borderId="0" xfId="0" applyFont="1" applyBorder="1"/>
    <xf numFmtId="0" fontId="7" fillId="0" borderId="0" xfId="0" applyFont="1"/>
    <xf numFmtId="0" fontId="114" fillId="0" borderId="0" xfId="0" applyFont="1"/>
    <xf numFmtId="0" fontId="47" fillId="0" borderId="0" xfId="0" applyFont="1" applyAlignment="1">
      <alignment horizontal="center"/>
    </xf>
    <xf numFmtId="0" fontId="37" fillId="0" borderId="37" xfId="0" applyFont="1" applyBorder="1"/>
    <xf numFmtId="0" fontId="23" fillId="0" borderId="0" xfId="0" applyFont="1" applyFill="1"/>
    <xf numFmtId="0" fontId="2" fillId="0" borderId="0" xfId="0" applyFont="1" applyFill="1" applyAlignment="1">
      <alignment horizontal="right"/>
    </xf>
    <xf numFmtId="0" fontId="12" fillId="0" borderId="0" xfId="0" applyFont="1" applyBorder="1" applyProtection="1">
      <protection hidden="1"/>
    </xf>
    <xf numFmtId="0" fontId="37" fillId="0" borderId="45" xfId="0" applyFont="1" applyBorder="1"/>
    <xf numFmtId="0" fontId="33" fillId="0" borderId="0" xfId="0" applyFont="1" applyBorder="1" applyAlignment="1" applyProtection="1">
      <protection hidden="1"/>
    </xf>
    <xf numFmtId="0" fontId="0" fillId="0" borderId="16" xfId="0" applyBorder="1" applyAlignment="1">
      <alignment horizontal="center"/>
    </xf>
    <xf numFmtId="0" fontId="106" fillId="21" borderId="0" xfId="0" applyFont="1" applyFill="1"/>
    <xf numFmtId="0" fontId="14" fillId="21" borderId="0" xfId="0" applyFont="1" applyFill="1" applyProtection="1">
      <protection hidden="1"/>
    </xf>
    <xf numFmtId="0" fontId="220" fillId="0" borderId="0" xfId="0" applyFont="1" applyFill="1"/>
    <xf numFmtId="0" fontId="33" fillId="0" borderId="0" xfId="0" applyFont="1" applyAlignment="1">
      <alignment horizontal="left"/>
    </xf>
    <xf numFmtId="0" fontId="13" fillId="0" borderId="0" xfId="0" applyFont="1" applyFill="1" applyProtection="1">
      <protection hidden="1"/>
    </xf>
    <xf numFmtId="0" fontId="18" fillId="0" borderId="0" xfId="0" applyFont="1"/>
    <xf numFmtId="0" fontId="11" fillId="0" borderId="0" xfId="0" applyFont="1" applyBorder="1" applyAlignment="1"/>
    <xf numFmtId="0" fontId="33" fillId="0" borderId="0" xfId="0" applyFont="1" applyBorder="1" applyAlignment="1" applyProtection="1">
      <alignment horizontal="center"/>
      <protection hidden="1"/>
    </xf>
    <xf numFmtId="0" fontId="227" fillId="0" borderId="0" xfId="0" applyFont="1" applyBorder="1" applyAlignment="1" applyProtection="1">
      <protection hidden="1"/>
    </xf>
    <xf numFmtId="0" fontId="70" fillId="0" borderId="0" xfId="0" applyFont="1" applyFill="1" applyBorder="1" applyAlignment="1" applyProtection="1">
      <protection hidden="1"/>
    </xf>
    <xf numFmtId="0" fontId="70" fillId="0" borderId="0" xfId="0" applyFont="1" applyFill="1" applyAlignment="1"/>
    <xf numFmtId="0" fontId="70" fillId="0" borderId="0" xfId="0" applyFont="1" applyFill="1"/>
    <xf numFmtId="0" fontId="23" fillId="21" borderId="0" xfId="0" applyFont="1" applyFill="1"/>
    <xf numFmtId="0" fontId="70" fillId="21" borderId="0" xfId="0" applyFont="1" applyFill="1" applyBorder="1" applyAlignment="1" applyProtection="1">
      <alignment wrapText="1"/>
      <protection hidden="1"/>
    </xf>
    <xf numFmtId="0" fontId="70" fillId="20" borderId="0" xfId="0" applyFont="1" applyFill="1"/>
    <xf numFmtId="0" fontId="84" fillId="21" borderId="0" xfId="0" applyFont="1" applyFill="1"/>
    <xf numFmtId="0" fontId="0" fillId="21" borderId="0" xfId="0" applyFill="1" applyBorder="1" applyAlignment="1" applyProtection="1">
      <alignment wrapText="1"/>
      <protection hidden="1"/>
    </xf>
    <xf numFmtId="0" fontId="0" fillId="21" borderId="0" xfId="0" applyFill="1" applyBorder="1" applyProtection="1">
      <protection hidden="1"/>
    </xf>
    <xf numFmtId="0" fontId="220" fillId="21" borderId="0" xfId="0" applyFont="1" applyFill="1"/>
    <xf numFmtId="0" fontId="106" fillId="0" borderId="0" xfId="0" applyFont="1" applyBorder="1"/>
    <xf numFmtId="0" fontId="2" fillId="0" borderId="0" xfId="0" applyFont="1" applyBorder="1" applyAlignment="1">
      <alignment horizontal="right"/>
    </xf>
    <xf numFmtId="0" fontId="11" fillId="0" borderId="37" xfId="0" applyFont="1" applyBorder="1"/>
    <xf numFmtId="0" fontId="13" fillId="0" borderId="45" xfId="0" applyFont="1" applyFill="1" applyBorder="1"/>
    <xf numFmtId="0" fontId="101" fillId="0" borderId="0" xfId="0" applyFont="1" applyBorder="1" applyAlignment="1" applyProtection="1">
      <protection hidden="1"/>
    </xf>
    <xf numFmtId="0" fontId="33" fillId="0" borderId="13" xfId="0" applyFont="1" applyBorder="1" applyProtection="1">
      <protection hidden="1"/>
    </xf>
    <xf numFmtId="0" fontId="101" fillId="0" borderId="0" xfId="0" applyFont="1" applyFill="1" applyBorder="1" applyProtection="1">
      <protection hidden="1"/>
    </xf>
    <xf numFmtId="0" fontId="19" fillId="0" borderId="0" xfId="0" applyFont="1" applyBorder="1" applyAlignment="1">
      <alignment wrapText="1"/>
    </xf>
    <xf numFmtId="0" fontId="37" fillId="0" borderId="0" xfId="0" applyFont="1" applyBorder="1"/>
    <xf numFmtId="0" fontId="101" fillId="0" borderId="0" xfId="0" applyFont="1" applyFill="1" applyBorder="1" applyAlignment="1">
      <alignment horizontal="center"/>
    </xf>
    <xf numFmtId="0" fontId="16" fillId="0" borderId="0" xfId="0" applyFont="1" applyBorder="1" applyAlignment="1">
      <alignment wrapText="1"/>
    </xf>
    <xf numFmtId="0" fontId="16" fillId="0" borderId="13" xfId="0" applyFont="1" applyBorder="1" applyAlignment="1">
      <alignment wrapText="1"/>
    </xf>
    <xf numFmtId="0" fontId="0" fillId="0" borderId="60" xfId="0" applyFill="1" applyBorder="1" applyProtection="1">
      <protection hidden="1"/>
    </xf>
    <xf numFmtId="0" fontId="0" fillId="0" borderId="13" xfId="0" applyFill="1" applyBorder="1" applyAlignment="1" applyProtection="1">
      <alignment horizontal="center"/>
      <protection hidden="1"/>
    </xf>
    <xf numFmtId="0" fontId="0" fillId="0" borderId="24" xfId="0" applyBorder="1" applyAlignment="1">
      <alignment textRotation="90"/>
    </xf>
    <xf numFmtId="0" fontId="106" fillId="0" borderId="0" xfId="0" applyFont="1" applyBorder="1" applyAlignment="1"/>
    <xf numFmtId="0" fontId="106" fillId="0" borderId="0" xfId="0" applyFont="1" applyBorder="1" applyAlignment="1">
      <alignment horizontal="center" wrapText="1"/>
    </xf>
    <xf numFmtId="0" fontId="21" fillId="0" borderId="0" xfId="0" applyFont="1" applyFill="1" applyBorder="1" applyAlignment="1" applyProtection="1">
      <alignment horizontal="center"/>
      <protection hidden="1"/>
    </xf>
    <xf numFmtId="0" fontId="220" fillId="18" borderId="0" xfId="0" applyFont="1" applyFill="1"/>
    <xf numFmtId="0" fontId="88" fillId="18" borderId="0" xfId="0" applyFont="1" applyFill="1" applyBorder="1" applyAlignment="1" applyProtection="1">
      <protection hidden="1"/>
    </xf>
    <xf numFmtId="0" fontId="221" fillId="18" borderId="0" xfId="0" applyFont="1" applyFill="1" applyBorder="1" applyProtection="1">
      <protection hidden="1"/>
    </xf>
    <xf numFmtId="0" fontId="17" fillId="18" borderId="0" xfId="0" applyFont="1" applyFill="1"/>
    <xf numFmtId="0" fontId="17" fillId="18" borderId="0" xfId="0" applyFont="1" applyFill="1" applyBorder="1" applyAlignment="1">
      <alignment horizontal="center"/>
    </xf>
    <xf numFmtId="0" fontId="15" fillId="0" borderId="13" xfId="0" applyFont="1" applyBorder="1" applyAlignment="1">
      <alignment horizontal="center" wrapText="1"/>
    </xf>
    <xf numFmtId="0" fontId="15" fillId="0" borderId="13" xfId="0" applyFont="1" applyFill="1" applyBorder="1" applyAlignment="1" applyProtection="1">
      <alignment wrapText="1"/>
      <protection hidden="1"/>
    </xf>
    <xf numFmtId="0" fontId="0" fillId="0" borderId="45" xfId="0" applyFill="1" applyBorder="1" applyAlignment="1">
      <alignment horizontal="center"/>
    </xf>
    <xf numFmtId="0" fontId="11" fillId="0" borderId="0" xfId="0" applyFont="1" applyFill="1" applyBorder="1"/>
    <xf numFmtId="0" fontId="2" fillId="0" borderId="0" xfId="0" applyFont="1" applyFill="1" applyBorder="1"/>
    <xf numFmtId="0" fontId="21" fillId="0" borderId="0" xfId="0" applyFont="1" applyFill="1" applyBorder="1" applyAlignment="1">
      <alignment horizontal="center"/>
    </xf>
    <xf numFmtId="0" fontId="33" fillId="0" borderId="37" xfId="0" applyFont="1" applyBorder="1" applyAlignment="1"/>
    <xf numFmtId="0" fontId="33" fillId="0" borderId="13" xfId="0" applyFont="1" applyFill="1" applyBorder="1" applyAlignment="1">
      <alignment horizontal="center"/>
    </xf>
    <xf numFmtId="0" fontId="114" fillId="0" borderId="0" xfId="0" applyFont="1" applyFill="1" applyBorder="1" applyAlignment="1" applyProtection="1">
      <alignment horizontal="left"/>
      <protection hidden="1"/>
    </xf>
    <xf numFmtId="0" fontId="38" fillId="0" borderId="0" xfId="0" applyFont="1" applyFill="1"/>
    <xf numFmtId="0" fontId="33" fillId="0" borderId="0" xfId="0" applyFont="1" applyFill="1"/>
    <xf numFmtId="0" fontId="7" fillId="0" borderId="0" xfId="0" applyFont="1" applyAlignment="1">
      <alignment horizontal="right"/>
    </xf>
    <xf numFmtId="0" fontId="220" fillId="22" borderId="13" xfId="0" applyFont="1" applyFill="1" applyBorder="1"/>
    <xf numFmtId="0" fontId="70" fillId="22" borderId="13" xfId="0" applyFont="1" applyFill="1" applyBorder="1" applyAlignment="1"/>
    <xf numFmtId="0" fontId="13" fillId="0" borderId="0" xfId="0" applyFont="1" applyBorder="1" applyAlignment="1" applyProtection="1">
      <protection hidden="1"/>
    </xf>
    <xf numFmtId="0" fontId="0" fillId="18" borderId="0" xfId="0" applyFill="1" applyBorder="1" applyAlignment="1">
      <alignment horizontal="center"/>
    </xf>
    <xf numFmtId="0" fontId="228" fillId="18" borderId="0" xfId="0" applyFont="1" applyFill="1" applyBorder="1" applyAlignment="1" applyProtection="1">
      <protection hidden="1"/>
    </xf>
    <xf numFmtId="0" fontId="33" fillId="0" borderId="0" xfId="0" applyFont="1" applyAlignment="1">
      <alignment horizontal="right"/>
    </xf>
    <xf numFmtId="0" fontId="33" fillId="0" borderId="0" xfId="0" applyFont="1" applyFill="1" applyBorder="1" applyAlignment="1">
      <alignment horizontal="left"/>
    </xf>
    <xf numFmtId="0" fontId="114" fillId="0" borderId="0" xfId="0" applyFont="1" applyProtection="1">
      <protection hidden="1"/>
    </xf>
    <xf numFmtId="2" fontId="9" fillId="0" borderId="13" xfId="0" applyNumberFormat="1" applyFont="1" applyFill="1" applyBorder="1" applyProtection="1">
      <protection hidden="1"/>
    </xf>
    <xf numFmtId="0" fontId="109" fillId="0" borderId="13" xfId="0" applyFont="1" applyFill="1" applyBorder="1" applyAlignment="1">
      <alignment wrapText="1"/>
    </xf>
    <xf numFmtId="0" fontId="19" fillId="0" borderId="13" xfId="0" applyFont="1" applyFill="1" applyBorder="1" applyAlignment="1"/>
    <xf numFmtId="0" fontId="19" fillId="0" borderId="13" xfId="0" applyFont="1" applyBorder="1"/>
    <xf numFmtId="0" fontId="214" fillId="0" borderId="0" xfId="0" applyFont="1" applyFill="1" applyBorder="1" applyAlignment="1"/>
    <xf numFmtId="1" fontId="14" fillId="0" borderId="13" xfId="0" applyNumberFormat="1" applyFont="1" applyFill="1" applyBorder="1" applyProtection="1"/>
    <xf numFmtId="0" fontId="229" fillId="23" borderId="37" xfId="0" applyFont="1" applyFill="1" applyBorder="1" applyProtection="1">
      <protection hidden="1"/>
    </xf>
    <xf numFmtId="0" fontId="17" fillId="23" borderId="45" xfId="0" applyFont="1" applyFill="1" applyBorder="1" applyAlignment="1"/>
    <xf numFmtId="0" fontId="17" fillId="23" borderId="45" xfId="0" applyFont="1" applyFill="1" applyBorder="1"/>
    <xf numFmtId="0" fontId="0" fillId="23" borderId="45" xfId="0" applyFill="1" applyBorder="1"/>
    <xf numFmtId="0" fontId="0" fillId="23" borderId="16" xfId="0" applyFill="1" applyBorder="1"/>
    <xf numFmtId="0" fontId="6" fillId="0" borderId="13" xfId="0" applyFont="1" applyFill="1" applyBorder="1" applyProtection="1">
      <protection locked="0"/>
    </xf>
    <xf numFmtId="0" fontId="33" fillId="20" borderId="0" xfId="0" applyFont="1" applyFill="1"/>
    <xf numFmtId="0" fontId="50" fillId="0" borderId="0" xfId="0" applyFont="1" applyAlignment="1">
      <alignment horizontal="center"/>
    </xf>
    <xf numFmtId="0" fontId="230" fillId="0" borderId="0" xfId="0" applyFont="1" applyBorder="1" applyAlignment="1" applyProtection="1">
      <protection hidden="1"/>
    </xf>
    <xf numFmtId="0" fontId="230" fillId="0" borderId="0" xfId="0" applyFont="1"/>
    <xf numFmtId="0" fontId="33" fillId="0" borderId="0" xfId="0" applyFont="1" applyFill="1" applyBorder="1" applyAlignment="1" applyProtection="1">
      <protection hidden="1"/>
    </xf>
    <xf numFmtId="0" fontId="11" fillId="0" borderId="0" xfId="0" applyFont="1" applyFill="1" applyBorder="1" applyProtection="1">
      <protection hidden="1"/>
    </xf>
    <xf numFmtId="0" fontId="88" fillId="18" borderId="0" xfId="0" applyFont="1" applyFill="1"/>
    <xf numFmtId="0" fontId="130" fillId="0" borderId="44" xfId="0" applyFont="1" applyFill="1" applyBorder="1" applyAlignment="1" applyProtection="1">
      <protection locked="0" hidden="1"/>
    </xf>
    <xf numFmtId="0" fontId="13" fillId="0" borderId="13" xfId="0" applyNumberFormat="1" applyFont="1" applyFill="1" applyBorder="1" applyProtection="1">
      <protection locked="0" hidden="1"/>
    </xf>
    <xf numFmtId="0" fontId="14" fillId="0" borderId="13" xfId="0" applyNumberFormat="1" applyFont="1" applyFill="1" applyBorder="1" applyProtection="1">
      <protection locked="0" hidden="1"/>
    </xf>
    <xf numFmtId="2" fontId="1" fillId="0" borderId="13" xfId="0" applyNumberFormat="1" applyFont="1" applyFill="1" applyBorder="1" applyProtection="1">
      <protection locked="0" hidden="1"/>
    </xf>
    <xf numFmtId="0" fontId="8" fillId="0" borderId="13" xfId="0" applyFont="1" applyBorder="1" applyAlignment="1" applyProtection="1">
      <protection hidden="1"/>
    </xf>
    <xf numFmtId="0" fontId="19" fillId="0" borderId="0" xfId="0" applyFont="1" applyProtection="1">
      <protection hidden="1"/>
    </xf>
    <xf numFmtId="0" fontId="135" fillId="0" borderId="0" xfId="0" applyFont="1" applyAlignment="1" applyProtection="1">
      <alignment horizontal="center"/>
      <protection hidden="1"/>
    </xf>
    <xf numFmtId="0" fontId="16" fillId="0" borderId="0" xfId="0" applyFont="1" applyFill="1" applyBorder="1" applyProtection="1">
      <protection hidden="1"/>
    </xf>
    <xf numFmtId="0" fontId="125" fillId="0" borderId="0" xfId="0" applyFont="1" applyProtection="1">
      <protection hidden="1"/>
    </xf>
    <xf numFmtId="0" fontId="135" fillId="0" borderId="0" xfId="0" applyFont="1" applyFill="1" applyBorder="1" applyAlignment="1" applyProtection="1">
      <alignment horizontal="center"/>
      <protection locked="0" hidden="1"/>
    </xf>
    <xf numFmtId="1" fontId="14" fillId="0" borderId="13" xfId="0" applyNumberFormat="1" applyFont="1" applyFill="1" applyBorder="1" applyAlignment="1" applyProtection="1">
      <alignment horizontal="center"/>
      <protection hidden="1"/>
    </xf>
    <xf numFmtId="0" fontId="21" fillId="0" borderId="0" xfId="0" applyFont="1" applyAlignment="1" applyProtection="1">
      <alignment horizontal="center"/>
      <protection hidden="1"/>
    </xf>
    <xf numFmtId="0" fontId="126" fillId="0" borderId="0" xfId="0" applyFont="1" applyAlignment="1" applyProtection="1">
      <alignment horizontal="center"/>
      <protection hidden="1"/>
    </xf>
    <xf numFmtId="0" fontId="131" fillId="21" borderId="0" xfId="0" applyFont="1" applyFill="1" applyAlignment="1" applyProtection="1">
      <protection hidden="1"/>
    </xf>
    <xf numFmtId="0" fontId="48" fillId="21" borderId="0" xfId="0" applyFont="1" applyFill="1" applyProtection="1">
      <protection hidden="1"/>
    </xf>
    <xf numFmtId="0" fontId="24" fillId="0" borderId="0" xfId="0" applyFont="1" applyAlignment="1" applyProtection="1">
      <protection hidden="1"/>
    </xf>
    <xf numFmtId="0" fontId="33" fillId="0" borderId="0" xfId="0" applyFont="1" applyBorder="1" applyAlignment="1">
      <alignment horizontal="center"/>
    </xf>
    <xf numFmtId="2" fontId="33" fillId="0" borderId="0" xfId="0" applyNumberFormat="1" applyFont="1" applyBorder="1" applyAlignment="1">
      <alignment horizontal="center"/>
    </xf>
    <xf numFmtId="0" fontId="39" fillId="0" borderId="13" xfId="0" applyFont="1" applyBorder="1" applyProtection="1">
      <protection hidden="1"/>
    </xf>
    <xf numFmtId="0" fontId="8" fillId="22" borderId="13" xfId="0" applyFont="1" applyFill="1" applyBorder="1" applyAlignment="1" applyProtection="1">
      <protection hidden="1"/>
    </xf>
    <xf numFmtId="0" fontId="15" fillId="0" borderId="13" xfId="0" applyFont="1" applyBorder="1" applyProtection="1">
      <protection hidden="1"/>
    </xf>
    <xf numFmtId="0" fontId="15" fillId="0" borderId="65" xfId="0" applyFont="1" applyBorder="1" applyProtection="1">
      <protection hidden="1"/>
    </xf>
    <xf numFmtId="0" fontId="0" fillId="0" borderId="60" xfId="0" applyBorder="1" applyProtection="1">
      <protection hidden="1"/>
    </xf>
    <xf numFmtId="0" fontId="0" fillId="0" borderId="66" xfId="0" applyBorder="1" applyProtection="1">
      <protection hidden="1"/>
    </xf>
    <xf numFmtId="0" fontId="8" fillId="0" borderId="0" xfId="0" applyFont="1" applyFill="1" applyBorder="1" applyAlignment="1" applyProtection="1">
      <protection hidden="1"/>
    </xf>
    <xf numFmtId="0" fontId="112" fillId="0" borderId="13" xfId="0" applyFont="1" applyBorder="1" applyAlignment="1" applyProtection="1">
      <protection hidden="1"/>
    </xf>
    <xf numFmtId="0" fontId="231" fillId="0" borderId="0" xfId="0" applyFont="1" applyBorder="1" applyProtection="1">
      <protection hidden="1"/>
    </xf>
    <xf numFmtId="2" fontId="232" fillId="0" borderId="13" xfId="0" applyNumberFormat="1" applyFont="1" applyBorder="1" applyProtection="1">
      <protection hidden="1"/>
    </xf>
    <xf numFmtId="0" fontId="233" fillId="0" borderId="13" xfId="0" applyFont="1" applyBorder="1" applyProtection="1">
      <protection hidden="1"/>
    </xf>
    <xf numFmtId="0" fontId="233" fillId="0" borderId="13" xfId="0" applyFont="1" applyFill="1" applyBorder="1" applyProtection="1">
      <protection hidden="1"/>
    </xf>
    <xf numFmtId="0" fontId="11" fillId="0" borderId="0" xfId="0" applyFont="1" applyBorder="1"/>
    <xf numFmtId="0" fontId="16" fillId="21" borderId="0" xfId="0" applyFont="1" applyFill="1" applyProtection="1">
      <protection hidden="1"/>
    </xf>
    <xf numFmtId="0" fontId="15" fillId="0" borderId="13" xfId="0" applyFont="1" applyFill="1" applyBorder="1" applyAlignment="1">
      <alignment wrapText="1"/>
    </xf>
    <xf numFmtId="0" fontId="15" fillId="0" borderId="20" xfId="0" applyFont="1" applyFill="1" applyBorder="1" applyAlignment="1">
      <alignment wrapText="1"/>
    </xf>
    <xf numFmtId="0" fontId="0" fillId="23" borderId="0" xfId="0" applyFill="1"/>
    <xf numFmtId="0" fontId="0" fillId="23" borderId="0" xfId="0" applyFill="1" applyBorder="1"/>
    <xf numFmtId="0" fontId="0" fillId="0" borderId="58" xfId="0" applyBorder="1"/>
    <xf numFmtId="0" fontId="0" fillId="0" borderId="37" xfId="0" applyFill="1" applyBorder="1" applyProtection="1">
      <protection locked="0" hidden="1"/>
    </xf>
    <xf numFmtId="0" fontId="2" fillId="0" borderId="13" xfId="0" applyFont="1" applyFill="1" applyBorder="1" applyProtection="1">
      <protection locked="0" hidden="1"/>
    </xf>
    <xf numFmtId="0" fontId="1" fillId="0" borderId="13" xfId="0" applyFont="1" applyFill="1" applyBorder="1" applyProtection="1">
      <protection locked="0" hidden="1"/>
    </xf>
    <xf numFmtId="165" fontId="130" fillId="0" borderId="13" xfId="0" applyNumberFormat="1" applyFont="1" applyBorder="1" applyProtection="1">
      <protection hidden="1"/>
    </xf>
    <xf numFmtId="0" fontId="234" fillId="0" borderId="0" xfId="0" applyFont="1" applyFill="1" applyBorder="1" applyAlignment="1">
      <alignment wrapText="1"/>
    </xf>
    <xf numFmtId="0" fontId="235" fillId="0" borderId="0" xfId="0" applyFont="1" applyFill="1" applyAlignment="1">
      <alignment wrapText="1"/>
    </xf>
    <xf numFmtId="0" fontId="234" fillId="0" borderId="0" xfId="0" applyFont="1" applyFill="1" applyAlignment="1">
      <alignment wrapText="1"/>
    </xf>
    <xf numFmtId="0" fontId="236" fillId="0" borderId="0" xfId="0" applyFont="1" applyFill="1" applyAlignment="1">
      <alignment wrapText="1"/>
    </xf>
    <xf numFmtId="0" fontId="236" fillId="0" borderId="0" xfId="0" applyNumberFormat="1" applyFont="1" applyFill="1" applyAlignment="1">
      <alignment wrapText="1"/>
    </xf>
    <xf numFmtId="0" fontId="236" fillId="0" borderId="0" xfId="0" applyNumberFormat="1" applyFont="1" applyFill="1" applyBorder="1" applyAlignment="1">
      <alignment wrapText="1"/>
    </xf>
    <xf numFmtId="49" fontId="0" fillId="0" borderId="13" xfId="0" applyNumberFormat="1" applyFont="1" applyBorder="1" applyAlignment="1">
      <alignment horizontal="center"/>
    </xf>
    <xf numFmtId="49" fontId="0" fillId="0" borderId="13" xfId="0" applyNumberFormat="1" applyFont="1" applyFill="1" applyBorder="1" applyAlignment="1">
      <alignment horizontal="center"/>
    </xf>
    <xf numFmtId="49" fontId="0" fillId="0" borderId="0" xfId="0" applyNumberFormat="1" applyFont="1" applyAlignment="1">
      <alignment horizontal="center"/>
    </xf>
    <xf numFmtId="49" fontId="0" fillId="0" borderId="0" xfId="0" applyNumberFormat="1" applyFont="1"/>
    <xf numFmtId="0" fontId="16" fillId="0" borderId="0" xfId="0" applyFont="1"/>
    <xf numFmtId="0" fontId="15" fillId="23" borderId="13" xfId="0" applyFont="1" applyFill="1" applyBorder="1" applyAlignment="1">
      <alignment wrapText="1"/>
    </xf>
    <xf numFmtId="0" fontId="0" fillId="23" borderId="13" xfId="0" applyFill="1" applyBorder="1"/>
    <xf numFmtId="0" fontId="0" fillId="0" borderId="29" xfId="0" applyBorder="1"/>
    <xf numFmtId="0" fontId="14" fillId="0" borderId="10" xfId="0" applyFont="1" applyBorder="1"/>
    <xf numFmtId="0" fontId="218" fillId="0" borderId="10" xfId="0" applyFont="1" applyFill="1" applyBorder="1" applyAlignment="1">
      <alignment wrapText="1"/>
    </xf>
    <xf numFmtId="0" fontId="101" fillId="0" borderId="0" xfId="0" applyFont="1" applyAlignment="1">
      <alignment vertical="center"/>
    </xf>
    <xf numFmtId="0" fontId="14" fillId="0" borderId="0" xfId="0" applyFont="1" applyFill="1" applyBorder="1"/>
    <xf numFmtId="0" fontId="14" fillId="0" borderId="51" xfId="0" applyFont="1" applyFill="1" applyBorder="1"/>
    <xf numFmtId="0" fontId="14" fillId="0" borderId="35" xfId="0" applyFont="1" applyFill="1" applyBorder="1"/>
    <xf numFmtId="0" fontId="14" fillId="0" borderId="59" xfId="0" applyFont="1" applyFill="1" applyBorder="1"/>
    <xf numFmtId="0" fontId="1" fillId="0" borderId="13" xfId="0" applyFont="1" applyFill="1" applyBorder="1" applyProtection="1">
      <protection locked="0"/>
    </xf>
    <xf numFmtId="0" fontId="0" fillId="0" borderId="13" xfId="0" applyFill="1" applyBorder="1" applyProtection="1">
      <protection locked="0" hidden="1"/>
    </xf>
    <xf numFmtId="0" fontId="1" fillId="0" borderId="13" xfId="0" applyNumberFormat="1" applyFont="1" applyFill="1" applyBorder="1" applyProtection="1">
      <protection locked="0" hidden="1"/>
    </xf>
    <xf numFmtId="0" fontId="221" fillId="23" borderId="45" xfId="0" applyFont="1" applyFill="1" applyBorder="1" applyProtection="1">
      <protection hidden="1"/>
    </xf>
    <xf numFmtId="0" fontId="0" fillId="23" borderId="45" xfId="0" applyFill="1" applyBorder="1" applyAlignment="1" applyProtection="1">
      <protection hidden="1"/>
    </xf>
    <xf numFmtId="2" fontId="0" fillId="23" borderId="16" xfId="0" applyNumberFormat="1" applyFill="1" applyBorder="1" applyProtection="1">
      <protection locked="0" hidden="1"/>
    </xf>
    <xf numFmtId="0" fontId="25" fillId="0" borderId="12" xfId="0" applyFont="1" applyBorder="1"/>
    <xf numFmtId="0" fontId="22" fillId="0" borderId="0" xfId="28" applyFont="1" applyFill="1" applyAlignment="1" applyProtection="1"/>
    <xf numFmtId="0" fontId="26" fillId="23" borderId="37" xfId="0" applyFont="1" applyFill="1" applyBorder="1"/>
    <xf numFmtId="0" fontId="0" fillId="0" borderId="44" xfId="0" applyBorder="1" applyAlignment="1">
      <alignment horizontal="center"/>
    </xf>
    <xf numFmtId="0" fontId="214" fillId="0" borderId="0" xfId="0" applyFont="1" applyFill="1" applyProtection="1">
      <protection hidden="1"/>
    </xf>
    <xf numFmtId="0" fontId="2" fillId="0" borderId="0" xfId="0" applyFont="1" applyAlignment="1">
      <alignment horizontal="center"/>
    </xf>
    <xf numFmtId="0" fontId="22" fillId="0" borderId="0" xfId="28" applyAlignment="1" applyProtection="1">
      <alignment horizontal="center"/>
    </xf>
    <xf numFmtId="0" fontId="22" fillId="0" borderId="0" xfId="28" applyFill="1" applyAlignment="1" applyProtection="1">
      <protection hidden="1"/>
    </xf>
    <xf numFmtId="2" fontId="0" fillId="0" borderId="0" xfId="0" applyNumberFormat="1" applyFill="1" applyBorder="1" applyProtection="1">
      <protection hidden="1"/>
    </xf>
    <xf numFmtId="0" fontId="22" fillId="0" borderId="0" xfId="28" applyFill="1" applyAlignment="1" applyProtection="1"/>
    <xf numFmtId="0" fontId="106" fillId="0" borderId="0" xfId="0" applyFont="1"/>
    <xf numFmtId="0" fontId="0" fillId="0" borderId="29" xfId="0" applyBorder="1" applyAlignment="1" applyProtection="1">
      <alignment horizontal="center"/>
      <protection hidden="1"/>
    </xf>
    <xf numFmtId="0" fontId="0" fillId="0" borderId="15" xfId="0" applyBorder="1" applyAlignment="1" applyProtection="1">
      <alignment horizontal="center"/>
      <protection hidden="1"/>
    </xf>
    <xf numFmtId="0" fontId="13" fillId="0" borderId="28" xfId="0" applyFont="1" applyBorder="1" applyAlignment="1">
      <alignment horizontal="center"/>
    </xf>
    <xf numFmtId="0" fontId="37" fillId="0" borderId="28" xfId="0" applyFont="1" applyBorder="1" applyAlignment="1">
      <alignment horizontal="center"/>
    </xf>
    <xf numFmtId="0" fontId="37" fillId="0" borderId="30" xfId="0" applyFont="1" applyBorder="1" applyAlignment="1">
      <alignment horizontal="center"/>
    </xf>
    <xf numFmtId="0" fontId="0" fillId="0" borderId="29" xfId="0" applyFill="1" applyBorder="1" applyAlignment="1" applyProtection="1">
      <alignment horizontal="center"/>
      <protection hidden="1"/>
    </xf>
    <xf numFmtId="0" fontId="33" fillId="0" borderId="37" xfId="0" applyFont="1" applyBorder="1"/>
    <xf numFmtId="0" fontId="26" fillId="0" borderId="0" xfId="0" applyFont="1" applyBorder="1" applyAlignment="1">
      <alignment horizontal="center"/>
    </xf>
    <xf numFmtId="0" fontId="0" fillId="0" borderId="37" xfId="0" applyFill="1" applyBorder="1" applyAlignment="1">
      <alignment horizontal="center"/>
    </xf>
    <xf numFmtId="0" fontId="12" fillId="0" borderId="37" xfId="0" applyFont="1" applyBorder="1"/>
    <xf numFmtId="0" fontId="21" fillId="0" borderId="13" xfId="0" applyFont="1" applyBorder="1" applyAlignment="1" applyProtection="1">
      <alignment horizontal="center"/>
      <protection hidden="1"/>
    </xf>
    <xf numFmtId="0" fontId="11" fillId="0" borderId="0" xfId="0" applyFont="1" applyAlignment="1">
      <alignment horizontal="center"/>
    </xf>
    <xf numFmtId="0" fontId="11" fillId="0" borderId="67" xfId="0" applyFont="1" applyBorder="1"/>
    <xf numFmtId="0" fontId="0" fillId="0" borderId="61" xfId="0" applyBorder="1"/>
    <xf numFmtId="0" fontId="0" fillId="0" borderId="61" xfId="0" applyFill="1" applyBorder="1" applyAlignment="1">
      <alignment horizontal="center"/>
    </xf>
    <xf numFmtId="0" fontId="0" fillId="0" borderId="42" xfId="0" applyBorder="1"/>
    <xf numFmtId="0" fontId="0" fillId="22" borderId="14" xfId="0" applyFill="1" applyBorder="1"/>
    <xf numFmtId="0" fontId="12" fillId="0" borderId="13" xfId="0" applyFont="1" applyBorder="1"/>
    <xf numFmtId="0" fontId="0" fillId="0" borderId="13" xfId="0" applyFill="1" applyBorder="1" applyAlignment="1">
      <alignment horizontal="center"/>
    </xf>
    <xf numFmtId="0" fontId="13" fillId="0" borderId="13" xfId="0" applyFont="1" applyBorder="1" applyAlignment="1">
      <alignment wrapText="1"/>
    </xf>
    <xf numFmtId="0" fontId="1" fillId="0" borderId="0" xfId="0" applyFont="1" applyAlignment="1">
      <alignment horizontal="right"/>
    </xf>
    <xf numFmtId="0" fontId="0" fillId="0" borderId="16" xfId="0" applyFill="1" applyBorder="1" applyProtection="1">
      <protection locked="0" hidden="1"/>
    </xf>
    <xf numFmtId="0" fontId="22" fillId="0" borderId="37" xfId="28" applyFill="1" applyBorder="1" applyAlignment="1" applyProtection="1">
      <protection locked="0" hidden="1"/>
    </xf>
    <xf numFmtId="0" fontId="22" fillId="0" borderId="13" xfId="28" applyFill="1" applyBorder="1" applyAlignment="1" applyProtection="1">
      <protection hidden="1"/>
    </xf>
    <xf numFmtId="0" fontId="22" fillId="0" borderId="13" xfId="28" applyFill="1" applyBorder="1" applyAlignment="1" applyProtection="1">
      <protection locked="0" hidden="1"/>
    </xf>
    <xf numFmtId="0" fontId="3" fillId="0" borderId="45" xfId="0" applyFont="1" applyBorder="1"/>
    <xf numFmtId="0" fontId="3" fillId="0" borderId="37" xfId="0" applyFont="1" applyBorder="1"/>
    <xf numFmtId="0" fontId="3" fillId="0" borderId="61" xfId="0" applyFont="1" applyBorder="1"/>
    <xf numFmtId="0" fontId="7" fillId="0" borderId="37" xfId="0" applyFont="1" applyBorder="1" applyAlignment="1">
      <alignment horizontal="left"/>
    </xf>
    <xf numFmtId="0" fontId="13" fillId="0" borderId="44" xfId="0" applyFont="1" applyBorder="1"/>
    <xf numFmtId="0" fontId="2" fillId="0" borderId="44" xfId="0" applyFont="1" applyBorder="1" applyAlignment="1">
      <alignment horizontal="center"/>
    </xf>
    <xf numFmtId="0" fontId="11" fillId="0" borderId="14" xfId="0" applyFont="1" applyBorder="1"/>
    <xf numFmtId="0" fontId="13" fillId="0" borderId="14" xfId="0" applyFont="1" applyBorder="1"/>
    <xf numFmtId="0" fontId="70" fillId="0" borderId="14" xfId="0" applyFont="1" applyBorder="1"/>
    <xf numFmtId="0" fontId="0" fillId="22" borderId="44" xfId="0" applyFill="1" applyBorder="1"/>
    <xf numFmtId="0" fontId="19" fillId="0" borderId="0" xfId="0" applyFont="1" applyFill="1" applyBorder="1" applyAlignment="1">
      <alignment horizontal="center" wrapText="1"/>
    </xf>
    <xf numFmtId="0" fontId="238" fillId="0" borderId="0" xfId="0" applyFont="1" applyFill="1" applyBorder="1" applyAlignment="1">
      <alignment horizontal="center" wrapText="1"/>
    </xf>
    <xf numFmtId="0" fontId="38" fillId="0" borderId="13" xfId="0" applyFont="1" applyFill="1" applyBorder="1" applyAlignment="1">
      <alignment horizontal="left" wrapText="1"/>
    </xf>
    <xf numFmtId="0" fontId="22" fillId="0" borderId="0" xfId="28" applyFill="1" applyBorder="1" applyAlignment="1" applyProtection="1">
      <protection hidden="1"/>
    </xf>
    <xf numFmtId="0" fontId="15" fillId="0" borderId="0" xfId="0" applyFont="1" applyBorder="1" applyAlignment="1" applyProtection="1">
      <alignment wrapText="1"/>
      <protection hidden="1"/>
    </xf>
    <xf numFmtId="0" fontId="0" fillId="0" borderId="0" xfId="0" applyAlignment="1" applyProtection="1">
      <alignment horizontal="center" wrapText="1"/>
      <protection hidden="1"/>
    </xf>
    <xf numFmtId="0" fontId="2" fillId="0" borderId="0" xfId="0" applyFont="1" applyAlignment="1" applyProtection="1">
      <alignment horizontal="center"/>
      <protection hidden="1"/>
    </xf>
    <xf numFmtId="0" fontId="18" fillId="0" borderId="0" xfId="0" applyFont="1" applyAlignment="1" applyProtection="1">
      <alignment wrapText="1"/>
      <protection hidden="1"/>
    </xf>
    <xf numFmtId="0" fontId="48" fillId="0" borderId="0" xfId="0" applyFont="1" applyAlignment="1" applyProtection="1">
      <alignment wrapText="1"/>
      <protection hidden="1"/>
    </xf>
    <xf numFmtId="0" fontId="126" fillId="0" borderId="0" xfId="0" applyFont="1" applyAlignment="1" applyProtection="1">
      <alignment wrapText="1"/>
      <protection hidden="1"/>
    </xf>
    <xf numFmtId="0" fontId="89" fillId="0" borderId="0" xfId="0" applyFont="1" applyAlignment="1" applyProtection="1">
      <protection hidden="1"/>
    </xf>
    <xf numFmtId="0" fontId="87" fillId="0" borderId="0" xfId="0" applyFont="1" applyAlignment="1" applyProtection="1">
      <alignment horizontal="center"/>
      <protection hidden="1"/>
    </xf>
    <xf numFmtId="0" fontId="48" fillId="0" borderId="0" xfId="0" applyFont="1" applyAlignment="1" applyProtection="1">
      <alignment horizontal="center" wrapText="1"/>
      <protection hidden="1"/>
    </xf>
    <xf numFmtId="0" fontId="137" fillId="0" borderId="0" xfId="0" applyFont="1" applyAlignment="1" applyProtection="1">
      <alignment wrapText="1"/>
      <protection hidden="1"/>
    </xf>
    <xf numFmtId="0" fontId="17" fillId="0" borderId="13" xfId="0" applyFont="1" applyBorder="1" applyAlignment="1"/>
    <xf numFmtId="0" fontId="219" fillId="0" borderId="13" xfId="0" applyFont="1" applyFill="1" applyBorder="1" applyAlignment="1">
      <alignment horizontal="center" wrapText="1"/>
    </xf>
    <xf numFmtId="0" fontId="17" fillId="22" borderId="13" xfId="0" applyFont="1" applyFill="1" applyBorder="1" applyAlignment="1"/>
    <xf numFmtId="0" fontId="0" fillId="0" borderId="0" xfId="0" applyAlignment="1">
      <alignment horizontal="center" wrapText="1"/>
    </xf>
    <xf numFmtId="0" fontId="19" fillId="0" borderId="0" xfId="0" applyFont="1" applyAlignment="1" applyProtection="1">
      <alignment horizontal="left" wrapText="1"/>
      <protection hidden="1"/>
    </xf>
    <xf numFmtId="0" fontId="19" fillId="0" borderId="0" xfId="0" applyFont="1" applyAlignment="1" applyProtection="1">
      <alignment horizontal="center" wrapText="1"/>
      <protection hidden="1"/>
    </xf>
    <xf numFmtId="0" fontId="239" fillId="0" borderId="12" xfId="0" applyFont="1" applyBorder="1"/>
    <xf numFmtId="0" fontId="114" fillId="23" borderId="37" xfId="0" applyFont="1" applyFill="1" applyBorder="1" applyProtection="1">
      <protection hidden="1"/>
    </xf>
    <xf numFmtId="0" fontId="97" fillId="0" borderId="0" xfId="0" applyFont="1" applyAlignment="1" applyProtection="1">
      <alignment horizontal="center"/>
      <protection hidden="1"/>
    </xf>
    <xf numFmtId="0" fontId="214" fillId="0" borderId="0" xfId="0" applyFont="1"/>
    <xf numFmtId="165" fontId="130" fillId="0" borderId="0" xfId="0" applyNumberFormat="1" applyFont="1" applyBorder="1" applyProtection="1">
      <protection hidden="1"/>
    </xf>
    <xf numFmtId="0" fontId="33" fillId="0" borderId="0" xfId="0" applyNumberFormat="1" applyFont="1" applyFill="1" applyBorder="1" applyAlignment="1" applyProtection="1">
      <alignment horizontal="center"/>
      <protection hidden="1"/>
    </xf>
    <xf numFmtId="0" fontId="109" fillId="0" borderId="0" xfId="0" applyFont="1" applyAlignment="1" applyProtection="1">
      <alignment wrapText="1"/>
      <protection hidden="1"/>
    </xf>
    <xf numFmtId="0" fontId="15" fillId="0" borderId="0" xfId="0" applyFont="1" applyAlignment="1" applyProtection="1">
      <alignment wrapText="1"/>
      <protection hidden="1"/>
    </xf>
    <xf numFmtId="0" fontId="119" fillId="0" borderId="0" xfId="0" applyFont="1" applyAlignment="1" applyProtection="1">
      <alignment wrapText="1"/>
      <protection hidden="1"/>
    </xf>
    <xf numFmtId="0" fontId="18" fillId="0" borderId="0" xfId="0" applyFont="1" applyAlignment="1" applyProtection="1">
      <alignment horizontal="center" wrapText="1"/>
      <protection hidden="1"/>
    </xf>
    <xf numFmtId="0" fontId="116" fillId="0" borderId="0" xfId="0" applyFont="1" applyAlignment="1" applyProtection="1">
      <alignment wrapText="1"/>
      <protection hidden="1"/>
    </xf>
    <xf numFmtId="0" fontId="116" fillId="0" borderId="0" xfId="0" applyFont="1" applyAlignment="1" applyProtection="1">
      <alignment horizontal="center" wrapText="1"/>
      <protection hidden="1"/>
    </xf>
    <xf numFmtId="0" fontId="113" fillId="0" borderId="0" xfId="0" applyFont="1" applyAlignment="1" applyProtection="1">
      <alignment horizontal="center" wrapText="1"/>
      <protection hidden="1"/>
    </xf>
    <xf numFmtId="1" fontId="48" fillId="0" borderId="0" xfId="0" applyNumberFormat="1" applyFont="1" applyAlignment="1" applyProtection="1">
      <alignment horizontal="center" wrapText="1"/>
      <protection hidden="1"/>
    </xf>
    <xf numFmtId="0" fontId="47" fillId="0" borderId="0" xfId="0" applyFont="1" applyFill="1" applyBorder="1"/>
    <xf numFmtId="0" fontId="15" fillId="0" borderId="13" xfId="0" applyFont="1" applyFill="1" applyBorder="1" applyAlignment="1">
      <alignment horizontal="left" wrapText="1"/>
    </xf>
    <xf numFmtId="0" fontId="15" fillId="0" borderId="37" xfId="0" applyFont="1" applyFill="1" applyBorder="1" applyAlignment="1">
      <alignment horizontal="left" wrapText="1"/>
    </xf>
    <xf numFmtId="0" fontId="0" fillId="22" borderId="13" xfId="0" applyFill="1" applyBorder="1" applyAlignment="1">
      <alignment wrapText="1"/>
    </xf>
    <xf numFmtId="0" fontId="0" fillId="23" borderId="13" xfId="0" applyFill="1" applyBorder="1" applyProtection="1">
      <protection hidden="1"/>
    </xf>
    <xf numFmtId="0" fontId="1" fillId="0" borderId="0" xfId="0" applyFont="1" applyFill="1" applyAlignment="1">
      <alignment horizontal="right"/>
    </xf>
    <xf numFmtId="0" fontId="1" fillId="0" borderId="0" xfId="0" applyFont="1" applyFill="1"/>
    <xf numFmtId="0" fontId="117" fillId="23" borderId="37" xfId="0" applyFont="1" applyFill="1" applyBorder="1" applyAlignment="1"/>
    <xf numFmtId="0" fontId="19" fillId="23" borderId="45" xfId="0" applyFont="1" applyFill="1" applyBorder="1" applyAlignment="1">
      <alignment wrapText="1"/>
    </xf>
    <xf numFmtId="0" fontId="117" fillId="23" borderId="16" xfId="0" applyFont="1" applyFill="1" applyBorder="1" applyAlignment="1">
      <alignment horizontal="center" wrapText="1"/>
    </xf>
    <xf numFmtId="0" fontId="0" fillId="23" borderId="0" xfId="0" applyFill="1" applyProtection="1">
      <protection hidden="1"/>
    </xf>
    <xf numFmtId="0" fontId="47" fillId="0" borderId="0" xfId="0" applyFont="1" applyBorder="1" applyAlignment="1" applyProtection="1">
      <protection hidden="1"/>
    </xf>
    <xf numFmtId="0" fontId="14" fillId="0" borderId="0" xfId="0" applyFont="1" applyBorder="1" applyAlignment="1">
      <alignment horizontal="center"/>
    </xf>
    <xf numFmtId="0" fontId="14" fillId="0" borderId="0" xfId="0" applyFont="1" applyFill="1" applyBorder="1" applyAlignment="1">
      <alignment horizontal="center"/>
    </xf>
    <xf numFmtId="0" fontId="14" fillId="0" borderId="16" xfId="0" applyFont="1" applyFill="1" applyBorder="1"/>
    <xf numFmtId="0" fontId="13" fillId="0" borderId="13" xfId="0" applyFont="1" applyFill="1" applyBorder="1"/>
    <xf numFmtId="0" fontId="0" fillId="0" borderId="37" xfId="0" applyFill="1" applyBorder="1"/>
    <xf numFmtId="0" fontId="0" fillId="0" borderId="45" xfId="0" applyFill="1" applyBorder="1"/>
    <xf numFmtId="0" fontId="0" fillId="0" borderId="60" xfId="0" applyFill="1" applyBorder="1"/>
    <xf numFmtId="0" fontId="0" fillId="0" borderId="66" xfId="0" applyFill="1" applyBorder="1"/>
    <xf numFmtId="0" fontId="11" fillId="0" borderId="65" xfId="0" applyFont="1" applyFill="1" applyBorder="1"/>
    <xf numFmtId="0" fontId="14" fillId="0" borderId="44" xfId="0" applyFont="1" applyFill="1" applyBorder="1"/>
    <xf numFmtId="0" fontId="0" fillId="0" borderId="67" xfId="0" applyFill="1" applyBorder="1"/>
    <xf numFmtId="0" fontId="0" fillId="0" borderId="61" xfId="0" applyFill="1" applyBorder="1"/>
    <xf numFmtId="0" fontId="14" fillId="0" borderId="42" xfId="0" applyFont="1" applyFill="1" applyBorder="1"/>
    <xf numFmtId="0" fontId="70" fillId="0" borderId="16" xfId="0" applyFont="1" applyBorder="1"/>
    <xf numFmtId="0" fontId="70" fillId="0" borderId="45" xfId="0" applyFont="1" applyBorder="1" applyAlignment="1" applyProtection="1">
      <alignment wrapText="1"/>
      <protection hidden="1"/>
    </xf>
    <xf numFmtId="0" fontId="70" fillId="0" borderId="45" xfId="0" applyFont="1" applyBorder="1" applyAlignment="1" applyProtection="1">
      <protection hidden="1"/>
    </xf>
    <xf numFmtId="0" fontId="70" fillId="0" borderId="16" xfId="0" applyFont="1" applyBorder="1" applyAlignment="1"/>
    <xf numFmtId="0" fontId="70" fillId="0" borderId="13" xfId="0" applyFont="1" applyBorder="1" applyAlignment="1">
      <alignment horizontal="center"/>
    </xf>
    <xf numFmtId="0" fontId="33" fillId="0" borderId="13" xfId="0" applyFont="1" applyBorder="1"/>
    <xf numFmtId="0" fontId="13" fillId="0" borderId="37" xfId="0" applyFont="1" applyBorder="1"/>
    <xf numFmtId="0" fontId="13" fillId="0" borderId="37" xfId="0" applyFont="1" applyFill="1" applyBorder="1"/>
    <xf numFmtId="0" fontId="13" fillId="0" borderId="16" xfId="0" applyFont="1" applyFill="1" applyBorder="1"/>
    <xf numFmtId="0" fontId="37" fillId="0" borderId="37" xfId="0" applyFont="1" applyBorder="1" applyAlignment="1"/>
    <xf numFmtId="0" fontId="13" fillId="0" borderId="67" xfId="0" applyFont="1" applyBorder="1"/>
    <xf numFmtId="0" fontId="21" fillId="0" borderId="14" xfId="0" applyFont="1" applyBorder="1" applyAlignment="1">
      <alignment horizontal="center"/>
    </xf>
    <xf numFmtId="0" fontId="14" fillId="0" borderId="14" xfId="0" applyFont="1" applyBorder="1" applyAlignment="1">
      <alignment horizontal="center"/>
    </xf>
    <xf numFmtId="0" fontId="13" fillId="0" borderId="14" xfId="0" applyFont="1" applyFill="1" applyBorder="1"/>
    <xf numFmtId="0" fontId="14" fillId="0" borderId="14" xfId="0" applyFont="1" applyFill="1" applyBorder="1"/>
    <xf numFmtId="0" fontId="0" fillId="0" borderId="42" xfId="0" applyFill="1" applyBorder="1"/>
    <xf numFmtId="0" fontId="37" fillId="0" borderId="37" xfId="0" applyFont="1" applyFill="1" applyBorder="1"/>
    <xf numFmtId="0" fontId="33" fillId="0" borderId="37" xfId="0" applyFont="1" applyFill="1" applyBorder="1"/>
    <xf numFmtId="0" fontId="21" fillId="0" borderId="13" xfId="0" applyFont="1" applyFill="1" applyBorder="1" applyAlignment="1">
      <alignment horizontal="center"/>
    </xf>
    <xf numFmtId="0" fontId="84" fillId="0" borderId="0" xfId="0" applyFont="1"/>
    <xf numFmtId="0" fontId="33" fillId="0" borderId="0" xfId="0" applyFont="1" applyAlignment="1">
      <alignment wrapText="1"/>
    </xf>
    <xf numFmtId="0" fontId="33" fillId="0" borderId="0" xfId="0" applyFont="1" applyFill="1" applyAlignment="1">
      <alignment horizontal="center"/>
    </xf>
    <xf numFmtId="0" fontId="19" fillId="0" borderId="37" xfId="0" applyFont="1" applyBorder="1" applyAlignment="1">
      <alignment wrapText="1"/>
    </xf>
    <xf numFmtId="0" fontId="214" fillId="0" borderId="0" xfId="0" applyFont="1" applyFill="1" applyBorder="1" applyAlignment="1">
      <alignment horizontal="center"/>
    </xf>
    <xf numFmtId="0" fontId="3" fillId="22" borderId="13" xfId="0" applyFont="1" applyFill="1" applyBorder="1" applyAlignment="1" applyProtection="1">
      <alignment horizontal="center" wrapText="1"/>
      <protection hidden="1"/>
    </xf>
    <xf numFmtId="0" fontId="84" fillId="0" borderId="14" xfId="0" applyFont="1" applyBorder="1"/>
    <xf numFmtId="0" fontId="257" fillId="0" borderId="0" xfId="0" applyFont="1" applyBorder="1"/>
    <xf numFmtId="0" fontId="84" fillId="0" borderId="0" xfId="0" applyFont="1" applyBorder="1"/>
    <xf numFmtId="0" fontId="258" fillId="0" borderId="0" xfId="0" applyFont="1" applyBorder="1"/>
    <xf numFmtId="0" fontId="259" fillId="0" borderId="0" xfId="0" applyFont="1" applyBorder="1"/>
    <xf numFmtId="0" fontId="260" fillId="0" borderId="0" xfId="0" applyFont="1" applyBorder="1"/>
    <xf numFmtId="0" fontId="238" fillId="0" borderId="0" xfId="0" applyFont="1"/>
    <xf numFmtId="0" fontId="16" fillId="22" borderId="13" xfId="0" applyFont="1" applyFill="1" applyBorder="1" applyAlignment="1">
      <alignment horizontal="center"/>
    </xf>
    <xf numFmtId="0" fontId="53" fillId="0" borderId="0" xfId="0" applyFont="1"/>
    <xf numFmtId="0" fontId="16" fillId="22" borderId="13" xfId="0" applyFont="1" applyFill="1" applyBorder="1"/>
    <xf numFmtId="0" fontId="36" fillId="0" borderId="0" xfId="0" applyFont="1" applyFill="1" applyAlignment="1">
      <alignment horizontal="center"/>
    </xf>
    <xf numFmtId="0" fontId="15" fillId="0" borderId="0" xfId="0" applyNumberFormat="1" applyFont="1" applyFill="1" applyBorder="1" applyAlignment="1" applyProtection="1">
      <alignment vertical="top" wrapText="1"/>
    </xf>
    <xf numFmtId="0" fontId="15" fillId="0" borderId="0" xfId="0" applyNumberFormat="1" applyFont="1" applyFill="1" applyBorder="1" applyAlignment="1" applyProtection="1">
      <alignment horizontal="center" vertical="top" wrapText="1"/>
    </xf>
    <xf numFmtId="0" fontId="15" fillId="24" borderId="0" xfId="0" applyFont="1" applyFill="1" applyBorder="1"/>
    <xf numFmtId="0" fontId="19" fillId="0" borderId="13" xfId="0" applyFont="1" applyBorder="1" applyAlignment="1" applyProtection="1">
      <alignment horizontal="center" wrapText="1"/>
      <protection hidden="1"/>
    </xf>
    <xf numFmtId="2" fontId="15" fillId="24" borderId="13" xfId="0" applyNumberFormat="1" applyFont="1" applyFill="1" applyBorder="1" applyAlignment="1" applyProtection="1">
      <alignment wrapText="1"/>
      <protection hidden="1"/>
    </xf>
    <xf numFmtId="0" fontId="15" fillId="24" borderId="13" xfId="0" applyFont="1" applyFill="1" applyBorder="1" applyAlignment="1" applyProtection="1">
      <alignment wrapText="1"/>
      <protection hidden="1"/>
    </xf>
    <xf numFmtId="2" fontId="15" fillId="24" borderId="13" xfId="0" applyNumberFormat="1" applyFont="1" applyFill="1" applyBorder="1" applyAlignment="1" applyProtection="1">
      <alignment horizontal="center"/>
      <protection hidden="1"/>
    </xf>
    <xf numFmtId="1" fontId="15" fillId="24" borderId="13" xfId="0" applyNumberFormat="1" applyFont="1" applyFill="1" applyBorder="1" applyAlignment="1" applyProtection="1">
      <alignment horizontal="center"/>
      <protection hidden="1"/>
    </xf>
    <xf numFmtId="2" fontId="15" fillId="0" borderId="13" xfId="0" applyNumberFormat="1" applyFont="1" applyFill="1" applyBorder="1" applyAlignment="1" applyProtection="1">
      <alignment horizontal="center"/>
      <protection hidden="1"/>
    </xf>
    <xf numFmtId="0" fontId="15" fillId="0" borderId="13" xfId="0" applyFont="1" applyFill="1" applyBorder="1"/>
    <xf numFmtId="1" fontId="15" fillId="0" borderId="13" xfId="0" applyNumberFormat="1" applyFont="1" applyFill="1" applyBorder="1" applyAlignment="1">
      <alignment horizontal="center"/>
    </xf>
    <xf numFmtId="0" fontId="15" fillId="0" borderId="13" xfId="0" applyFont="1" applyFill="1" applyBorder="1" applyAlignment="1">
      <alignment horizontal="center"/>
    </xf>
    <xf numFmtId="2" fontId="15" fillId="0" borderId="13" xfId="0" applyNumberFormat="1" applyFont="1" applyFill="1" applyBorder="1" applyAlignment="1">
      <alignment horizontal="center"/>
    </xf>
    <xf numFmtId="2" fontId="11" fillId="0" borderId="0" xfId="0" applyNumberFormat="1" applyFont="1" applyFill="1" applyBorder="1"/>
    <xf numFmtId="2" fontId="15" fillId="24" borderId="45" xfId="0" applyNumberFormat="1" applyFont="1" applyFill="1" applyBorder="1" applyAlignment="1" applyProtection="1">
      <alignment horizontal="center"/>
      <protection hidden="1"/>
    </xf>
    <xf numFmtId="0" fontId="19" fillId="0" borderId="13" xfId="0" applyFont="1" applyBorder="1" applyProtection="1">
      <protection hidden="1"/>
    </xf>
    <xf numFmtId="2" fontId="19" fillId="24" borderId="16" xfId="0" applyNumberFormat="1" applyFont="1" applyFill="1" applyBorder="1" applyAlignment="1" applyProtection="1">
      <alignment horizontal="center"/>
      <protection hidden="1"/>
    </xf>
    <xf numFmtId="165" fontId="15" fillId="0" borderId="13" xfId="0" applyNumberFormat="1" applyFont="1" applyFill="1" applyBorder="1" applyAlignment="1">
      <alignment horizontal="center"/>
    </xf>
    <xf numFmtId="0" fontId="19" fillId="0" borderId="13" xfId="0" applyFont="1" applyBorder="1" applyAlignment="1" applyProtection="1">
      <alignment horizontal="left"/>
      <protection hidden="1"/>
    </xf>
    <xf numFmtId="0" fontId="0" fillId="0" borderId="45" xfId="0" applyBorder="1" applyAlignment="1" applyProtection="1">
      <alignment horizontal="left"/>
      <protection hidden="1"/>
    </xf>
    <xf numFmtId="2" fontId="19" fillId="0" borderId="16" xfId="0" applyNumberFormat="1" applyFont="1" applyBorder="1" applyAlignment="1" applyProtection="1">
      <alignment horizontal="center"/>
      <protection hidden="1"/>
    </xf>
    <xf numFmtId="2" fontId="19" fillId="24" borderId="13" xfId="0" applyNumberFormat="1" applyFont="1" applyFill="1" applyBorder="1" applyAlignment="1" applyProtection="1">
      <alignment horizontal="center"/>
      <protection hidden="1"/>
    </xf>
    <xf numFmtId="0" fontId="262" fillId="0" borderId="13" xfId="0" applyFont="1" applyFill="1" applyBorder="1" applyAlignment="1" applyProtection="1">
      <alignment wrapText="1"/>
      <protection hidden="1"/>
    </xf>
    <xf numFmtId="2" fontId="19" fillId="0" borderId="13" xfId="0" applyNumberFormat="1" applyFont="1" applyFill="1" applyBorder="1" applyAlignment="1" applyProtection="1">
      <alignment horizontal="center"/>
      <protection hidden="1"/>
    </xf>
    <xf numFmtId="0" fontId="262" fillId="0" borderId="13" xfId="0" applyFont="1" applyFill="1" applyBorder="1" applyAlignment="1" applyProtection="1">
      <alignment horizontal="right" wrapText="1"/>
      <protection hidden="1"/>
    </xf>
    <xf numFmtId="2" fontId="70" fillId="0" borderId="13" xfId="0" applyNumberFormat="1" applyFont="1" applyFill="1" applyBorder="1" applyAlignment="1" applyProtection="1">
      <alignment horizontal="center"/>
      <protection hidden="1"/>
    </xf>
    <xf numFmtId="0" fontId="15" fillId="0" borderId="13" xfId="0" applyFont="1" applyBorder="1" applyAlignment="1" applyProtection="1">
      <alignment horizontal="left"/>
      <protection hidden="1"/>
    </xf>
    <xf numFmtId="0" fontId="19" fillId="0" borderId="13" xfId="0" applyFont="1" applyFill="1" applyBorder="1" applyAlignment="1" applyProtection="1">
      <alignment wrapText="1"/>
      <protection hidden="1"/>
    </xf>
    <xf numFmtId="0" fontId="263" fillId="0" borderId="0" xfId="0" applyNumberFormat="1" applyFont="1" applyFill="1" applyBorder="1" applyAlignment="1" applyProtection="1">
      <alignment vertical="top"/>
    </xf>
    <xf numFmtId="0" fontId="15" fillId="0" borderId="0" xfId="0" applyFont="1" applyBorder="1" applyAlignment="1">
      <alignment horizontal="right"/>
    </xf>
    <xf numFmtId="2" fontId="70" fillId="0" borderId="0" xfId="0" applyNumberFormat="1" applyFont="1" applyFill="1" applyBorder="1" applyAlignment="1">
      <alignment horizontal="center"/>
    </xf>
    <xf numFmtId="0" fontId="15" fillId="0" borderId="0" xfId="0" applyFont="1" applyBorder="1" applyAlignment="1">
      <alignment horizontal="center"/>
    </xf>
    <xf numFmtId="0" fontId="6" fillId="0" borderId="0" xfId="0" applyFont="1" applyFill="1" applyBorder="1"/>
    <xf numFmtId="0" fontId="264" fillId="0" borderId="0" xfId="0" applyFont="1" applyFill="1" applyBorder="1"/>
    <xf numFmtId="1" fontId="262" fillId="0" borderId="0" xfId="0" applyNumberFormat="1" applyFont="1" applyFill="1" applyBorder="1"/>
    <xf numFmtId="0" fontId="262" fillId="0" borderId="0" xfId="0" applyFont="1" applyFill="1" applyBorder="1"/>
    <xf numFmtId="0" fontId="15" fillId="21" borderId="0" xfId="0" applyFont="1" applyFill="1" applyBorder="1"/>
    <xf numFmtId="0" fontId="36" fillId="0" borderId="0" xfId="0" applyFont="1" applyFill="1" applyAlignment="1">
      <alignment horizontal="center" wrapText="1"/>
    </xf>
    <xf numFmtId="0" fontId="4" fillId="0" borderId="13" xfId="0" applyFont="1" applyFill="1" applyBorder="1" applyAlignment="1">
      <alignment horizontal="center"/>
    </xf>
    <xf numFmtId="0" fontId="265" fillId="0" borderId="37" xfId="0" applyFont="1" applyFill="1" applyBorder="1" applyAlignment="1">
      <alignment wrapText="1"/>
    </xf>
    <xf numFmtId="0" fontId="75" fillId="0" borderId="13" xfId="0" applyFont="1" applyFill="1" applyBorder="1" applyAlignment="1">
      <alignment horizontal="center"/>
    </xf>
    <xf numFmtId="0" fontId="64" fillId="0" borderId="0" xfId="0" applyFont="1" applyFill="1" applyBorder="1" applyAlignment="1">
      <alignment horizontal="center" wrapText="1"/>
    </xf>
    <xf numFmtId="0" fontId="15" fillId="0" borderId="0" xfId="0" applyFont="1" applyFill="1" applyBorder="1" applyAlignment="1">
      <alignment horizontal="center"/>
    </xf>
    <xf numFmtId="0" fontId="218" fillId="0" borderId="13" xfId="0" applyFont="1" applyFill="1" applyBorder="1" applyAlignment="1">
      <alignment horizontal="center"/>
    </xf>
    <xf numFmtId="0" fontId="218" fillId="0" borderId="0" xfId="0" applyFont="1" applyFill="1" applyBorder="1" applyAlignment="1">
      <alignment horizontal="center"/>
    </xf>
    <xf numFmtId="0" fontId="6" fillId="22" borderId="13" xfId="0" applyNumberFormat="1" applyFont="1" applyFill="1" applyBorder="1" applyAlignment="1">
      <alignment horizontal="center"/>
    </xf>
    <xf numFmtId="0" fontId="6" fillId="0" borderId="13" xfId="0" applyFont="1" applyFill="1" applyBorder="1" applyAlignment="1">
      <alignment horizontal="center"/>
    </xf>
    <xf numFmtId="49" fontId="15" fillId="0" borderId="37" xfId="0" applyNumberFormat="1" applyFont="1" applyFill="1" applyBorder="1" applyAlignment="1">
      <alignment wrapText="1"/>
    </xf>
    <xf numFmtId="0" fontId="15" fillId="0" borderId="37" xfId="0" applyNumberFormat="1" applyFont="1" applyFill="1" applyBorder="1" applyAlignment="1">
      <alignment wrapText="1"/>
    </xf>
    <xf numFmtId="0" fontId="15" fillId="0" borderId="65" xfId="0" applyFont="1" applyFill="1" applyBorder="1" applyAlignment="1">
      <alignment wrapText="1"/>
    </xf>
    <xf numFmtId="0" fontId="30" fillId="0" borderId="37" xfId="0" applyFont="1" applyFill="1" applyBorder="1" applyAlignment="1">
      <alignment horizontal="center" wrapText="1"/>
    </xf>
    <xf numFmtId="0" fontId="70" fillId="0" borderId="13" xfId="0" applyFont="1" applyFill="1" applyBorder="1" applyAlignment="1">
      <alignment horizontal="center"/>
    </xf>
    <xf numFmtId="0" fontId="0" fillId="0" borderId="0" xfId="0" applyFill="1" applyAlignment="1">
      <alignment wrapText="1"/>
    </xf>
    <xf numFmtId="0" fontId="70" fillId="0" borderId="13" xfId="0" applyFont="1" applyFill="1" applyBorder="1" applyAlignment="1">
      <alignment horizontal="center" wrapText="1"/>
    </xf>
    <xf numFmtId="165" fontId="218" fillId="0" borderId="13" xfId="0" applyNumberFormat="1" applyFont="1" applyFill="1" applyBorder="1" applyAlignment="1">
      <alignment horizontal="center"/>
    </xf>
    <xf numFmtId="0" fontId="15" fillId="0" borderId="13" xfId="0" applyFont="1" applyBorder="1" applyAlignment="1">
      <alignment vertical="top" wrapText="1"/>
    </xf>
    <xf numFmtId="0" fontId="264" fillId="0" borderId="13" xfId="0" applyFont="1" applyFill="1" applyBorder="1" applyAlignment="1">
      <alignment horizontal="center"/>
    </xf>
    <xf numFmtId="166" fontId="14" fillId="0" borderId="0" xfId="0" applyNumberFormat="1" applyFont="1" applyFill="1"/>
    <xf numFmtId="1" fontId="262" fillId="0" borderId="13" xfId="0" applyNumberFormat="1" applyFont="1" applyFill="1" applyBorder="1" applyAlignment="1">
      <alignment horizontal="center"/>
    </xf>
    <xf numFmtId="166" fontId="14" fillId="0" borderId="0" xfId="0" applyNumberFormat="1" applyFont="1" applyFill="1" applyBorder="1"/>
    <xf numFmtId="1" fontId="75" fillId="0" borderId="13" xfId="0" applyNumberFormat="1" applyFont="1" applyFill="1" applyBorder="1" applyAlignment="1">
      <alignment horizontal="center"/>
    </xf>
    <xf numFmtId="0" fontId="15" fillId="22" borderId="0" xfId="0" applyFont="1" applyFill="1" applyBorder="1"/>
    <xf numFmtId="0" fontId="15" fillId="0" borderId="37" xfId="0" applyFont="1" applyFill="1" applyBorder="1" applyAlignment="1">
      <alignment horizontal="center" wrapText="1"/>
    </xf>
    <xf numFmtId="0" fontId="262" fillId="0" borderId="13" xfId="0" applyFont="1" applyFill="1" applyBorder="1" applyAlignment="1">
      <alignment horizontal="center"/>
    </xf>
    <xf numFmtId="0" fontId="266" fillId="0" borderId="37" xfId="0" applyFont="1" applyFill="1" applyBorder="1" applyAlignment="1">
      <alignment wrapText="1"/>
    </xf>
    <xf numFmtId="0" fontId="81" fillId="0" borderId="37" xfId="0" applyFont="1" applyFill="1" applyBorder="1" applyAlignment="1">
      <alignment wrapText="1"/>
    </xf>
    <xf numFmtId="0" fontId="262" fillId="0" borderId="73" xfId="0" applyFont="1" applyFill="1" applyBorder="1" applyAlignment="1">
      <alignment wrapText="1"/>
    </xf>
    <xf numFmtId="0" fontId="19" fillId="0" borderId="0" xfId="0" applyFont="1" applyFill="1" applyBorder="1" applyAlignment="1">
      <alignment wrapText="1"/>
    </xf>
    <xf numFmtId="0" fontId="11" fillId="0" borderId="0" xfId="0" applyFont="1" applyBorder="1" applyAlignment="1">
      <alignment wrapText="1"/>
    </xf>
    <xf numFmtId="165" fontId="11" fillId="0" borderId="0" xfId="0" applyNumberFormat="1" applyFont="1" applyFill="1" applyBorder="1"/>
    <xf numFmtId="0" fontId="11" fillId="18" borderId="0" xfId="0" applyFont="1" applyFill="1" applyBorder="1" applyAlignment="1">
      <alignment wrapText="1"/>
    </xf>
    <xf numFmtId="165" fontId="11" fillId="18" borderId="0" xfId="0" applyNumberFormat="1" applyFont="1" applyFill="1" applyBorder="1"/>
    <xf numFmtId="0" fontId="11" fillId="18" borderId="0" xfId="0" applyFont="1" applyFill="1" applyBorder="1"/>
    <xf numFmtId="0" fontId="15" fillId="18" borderId="0" xfId="0" applyNumberFormat="1" applyFont="1" applyFill="1" applyBorder="1" applyAlignment="1" applyProtection="1">
      <alignment vertical="top" wrapText="1"/>
    </xf>
    <xf numFmtId="0" fontId="15" fillId="18" borderId="0" xfId="0" applyNumberFormat="1" applyFont="1" applyFill="1" applyBorder="1" applyAlignment="1" applyProtection="1">
      <alignment horizontal="center" vertical="top" wrapText="1"/>
    </xf>
    <xf numFmtId="0" fontId="109" fillId="0" borderId="13" xfId="0" applyFont="1" applyBorder="1"/>
    <xf numFmtId="0" fontId="11" fillId="0" borderId="13" xfId="0" applyFont="1" applyBorder="1"/>
    <xf numFmtId="0" fontId="15" fillId="0" borderId="13" xfId="0" applyFont="1" applyBorder="1"/>
    <xf numFmtId="0" fontId="267" fillId="0" borderId="13" xfId="0" applyFont="1" applyFill="1" applyBorder="1"/>
    <xf numFmtId="0" fontId="37" fillId="0" borderId="13" xfId="0" applyFont="1" applyFill="1" applyBorder="1"/>
    <xf numFmtId="0" fontId="0" fillId="0" borderId="37" xfId="0" applyFill="1" applyBorder="1" applyAlignment="1">
      <alignment wrapText="1"/>
    </xf>
    <xf numFmtId="1" fontId="37" fillId="0" borderId="13" xfId="0" applyNumberFormat="1" applyFont="1" applyFill="1" applyBorder="1"/>
    <xf numFmtId="165" fontId="37" fillId="0" borderId="13" xfId="0" applyNumberFormat="1" applyFont="1" applyFill="1" applyBorder="1"/>
    <xf numFmtId="2" fontId="37" fillId="0" borderId="13" xfId="0" applyNumberFormat="1" applyFont="1" applyFill="1" applyBorder="1"/>
    <xf numFmtId="0" fontId="15" fillId="24" borderId="13" xfId="0" applyFont="1" applyFill="1" applyBorder="1"/>
    <xf numFmtId="0" fontId="218" fillId="0" borderId="13" xfId="0" applyFont="1" applyFill="1" applyBorder="1"/>
    <xf numFmtId="0" fontId="268" fillId="20" borderId="13" xfId="0" applyFont="1" applyFill="1" applyBorder="1" applyAlignment="1">
      <alignment wrapText="1"/>
    </xf>
    <xf numFmtId="165" fontId="11" fillId="20" borderId="37" xfId="0" applyNumberFormat="1" applyFont="1" applyFill="1" applyBorder="1"/>
    <xf numFmtId="0" fontId="7" fillId="0" borderId="13" xfId="0" applyFont="1" applyFill="1" applyBorder="1"/>
    <xf numFmtId="0" fontId="11" fillId="0" borderId="37" xfId="0" applyFont="1" applyFill="1" applyBorder="1"/>
    <xf numFmtId="0" fontId="11" fillId="0" borderId="13" xfId="0" applyFont="1" applyFill="1" applyBorder="1"/>
    <xf numFmtId="0" fontId="267" fillId="0" borderId="37" xfId="0" applyFont="1" applyFill="1" applyBorder="1"/>
    <xf numFmtId="0" fontId="267" fillId="0" borderId="0" xfId="0" applyFont="1" applyFill="1" applyBorder="1"/>
    <xf numFmtId="0" fontId="269" fillId="0" borderId="13" xfId="0" applyFont="1" applyFill="1" applyBorder="1"/>
    <xf numFmtId="0" fontId="10" fillId="0" borderId="37" xfId="0" applyFont="1" applyFill="1" applyBorder="1"/>
    <xf numFmtId="0" fontId="10" fillId="0" borderId="0" xfId="0" applyFont="1" applyFill="1" applyBorder="1"/>
    <xf numFmtId="0" fontId="107" fillId="20" borderId="13" xfId="0" applyFont="1" applyFill="1" applyBorder="1"/>
    <xf numFmtId="0" fontId="262" fillId="19" borderId="37" xfId="0" applyFont="1" applyFill="1" applyBorder="1"/>
    <xf numFmtId="0" fontId="262" fillId="19" borderId="0" xfId="0" applyFont="1" applyFill="1" applyBorder="1"/>
    <xf numFmtId="0" fontId="107" fillId="24" borderId="13" xfId="0" applyFont="1" applyFill="1" applyBorder="1"/>
    <xf numFmtId="0" fontId="262" fillId="0" borderId="37" xfId="0" applyFont="1" applyBorder="1"/>
    <xf numFmtId="0" fontId="75" fillId="0" borderId="0" xfId="0" applyFont="1" applyFill="1" applyBorder="1"/>
    <xf numFmtId="0" fontId="262" fillId="0" borderId="13" xfId="0" applyFont="1" applyBorder="1"/>
    <xf numFmtId="0" fontId="262" fillId="25" borderId="37" xfId="0" applyFont="1" applyFill="1" applyBorder="1"/>
    <xf numFmtId="0" fontId="262" fillId="26" borderId="13" xfId="0" applyFont="1" applyFill="1" applyBorder="1"/>
    <xf numFmtId="0" fontId="75" fillId="0" borderId="13" xfId="0" applyFont="1" applyBorder="1" applyAlignment="1">
      <alignment wrapText="1"/>
    </xf>
    <xf numFmtId="0" fontId="75" fillId="0" borderId="37" xfId="0" applyFont="1" applyBorder="1"/>
    <xf numFmtId="49" fontId="75" fillId="0" borderId="13" xfId="0" applyNumberFormat="1" applyFont="1" applyBorder="1" applyAlignment="1">
      <alignment wrapText="1"/>
    </xf>
    <xf numFmtId="165" fontId="75" fillId="24" borderId="37" xfId="0" applyNumberFormat="1" applyFont="1" applyFill="1" applyBorder="1"/>
    <xf numFmtId="165" fontId="75" fillId="0" borderId="37" xfId="0" applyNumberFormat="1" applyFont="1" applyBorder="1"/>
    <xf numFmtId="0" fontId="270" fillId="0" borderId="13" xfId="0" applyFont="1" applyBorder="1" applyAlignment="1">
      <alignment horizontal="center" wrapText="1"/>
    </xf>
    <xf numFmtId="0" fontId="7" fillId="0" borderId="13" xfId="0" applyFont="1" applyBorder="1" applyAlignment="1">
      <alignment horizontal="center"/>
    </xf>
    <xf numFmtId="49" fontId="271" fillId="0" borderId="13" xfId="0" applyNumberFormat="1" applyFont="1" applyBorder="1" applyAlignment="1">
      <alignment wrapText="1"/>
    </xf>
    <xf numFmtId="166" fontId="75" fillId="24" borderId="37" xfId="0" applyNumberFormat="1" applyFont="1" applyFill="1" applyBorder="1"/>
    <xf numFmtId="165" fontId="75" fillId="0" borderId="0" xfId="0" applyNumberFormat="1" applyFont="1" applyFill="1" applyBorder="1"/>
    <xf numFmtId="0" fontId="75" fillId="0" borderId="13" xfId="0" applyFont="1" applyBorder="1"/>
    <xf numFmtId="1" fontId="75" fillId="24" borderId="37" xfId="0" applyNumberFormat="1" applyFont="1" applyFill="1" applyBorder="1"/>
    <xf numFmtId="166" fontId="75" fillId="0" borderId="0" xfId="0" applyNumberFormat="1" applyFont="1" applyFill="1" applyBorder="1"/>
    <xf numFmtId="2" fontId="75" fillId="24" borderId="37" xfId="0" applyNumberFormat="1" applyFont="1" applyFill="1" applyBorder="1"/>
    <xf numFmtId="1" fontId="75" fillId="0" borderId="0" xfId="0" applyNumberFormat="1" applyFont="1" applyFill="1" applyBorder="1"/>
    <xf numFmtId="0" fontId="262" fillId="0" borderId="13" xfId="0" applyFont="1" applyBorder="1" applyAlignment="1">
      <alignment wrapText="1"/>
    </xf>
    <xf numFmtId="2" fontId="262" fillId="24" borderId="37" xfId="0" applyNumberFormat="1" applyFont="1" applyFill="1" applyBorder="1"/>
    <xf numFmtId="2" fontId="75" fillId="0" borderId="0" xfId="0" applyNumberFormat="1" applyFont="1" applyFill="1" applyBorder="1"/>
    <xf numFmtId="0" fontId="271" fillId="0" borderId="13" xfId="0" applyFont="1" applyBorder="1" applyAlignment="1">
      <alignment wrapText="1"/>
    </xf>
    <xf numFmtId="166" fontId="75" fillId="0" borderId="37" xfId="0" applyNumberFormat="1" applyFont="1" applyBorder="1"/>
    <xf numFmtId="2" fontId="262" fillId="0" borderId="0" xfId="0" applyNumberFormat="1" applyFont="1" applyFill="1" applyBorder="1"/>
    <xf numFmtId="1" fontId="75" fillId="0" borderId="37" xfId="0" applyNumberFormat="1" applyFont="1" applyBorder="1"/>
    <xf numFmtId="1" fontId="262" fillId="25" borderId="37" xfId="0" applyNumberFormat="1" applyFont="1" applyFill="1" applyBorder="1"/>
    <xf numFmtId="2" fontId="75" fillId="0" borderId="37" xfId="0" applyNumberFormat="1" applyFont="1" applyBorder="1"/>
    <xf numFmtId="0" fontId="75" fillId="0" borderId="13" xfId="0" applyFont="1" applyBorder="1" applyAlignment="1">
      <alignment horizontal="left" wrapText="1"/>
    </xf>
    <xf numFmtId="165" fontId="262" fillId="24" borderId="37" xfId="0" applyNumberFormat="1" applyFont="1" applyFill="1" applyBorder="1"/>
    <xf numFmtId="165" fontId="262" fillId="0" borderId="0" xfId="0" applyNumberFormat="1" applyFont="1" applyFill="1" applyBorder="1"/>
    <xf numFmtId="0" fontId="107" fillId="27" borderId="13" xfId="0" applyFont="1" applyFill="1" applyBorder="1" applyAlignment="1">
      <alignment horizontal="center" wrapText="1"/>
    </xf>
    <xf numFmtId="49" fontId="262" fillId="0" borderId="13" xfId="0" applyNumberFormat="1" applyFont="1" applyBorder="1" applyAlignment="1">
      <alignment wrapText="1"/>
    </xf>
    <xf numFmtId="2" fontId="75" fillId="0" borderId="37" xfId="0" applyNumberFormat="1" applyFont="1" applyFill="1" applyBorder="1"/>
    <xf numFmtId="2" fontId="262" fillId="0" borderId="37" xfId="0" applyNumberFormat="1" applyFont="1" applyBorder="1"/>
    <xf numFmtId="1" fontId="75" fillId="0" borderId="37" xfId="0" applyNumberFormat="1" applyFont="1" applyFill="1" applyBorder="1"/>
    <xf numFmtId="0" fontId="272" fillId="0" borderId="13" xfId="0" applyFont="1" applyBorder="1" applyAlignment="1">
      <alignment wrapText="1"/>
    </xf>
    <xf numFmtId="166" fontId="272" fillId="0" borderId="37" xfId="0" applyNumberFormat="1" applyFont="1" applyBorder="1"/>
    <xf numFmtId="166" fontId="272" fillId="0" borderId="0" xfId="0" applyNumberFormat="1" applyFont="1" applyFill="1" applyBorder="1"/>
    <xf numFmtId="0" fontId="75" fillId="18" borderId="13" xfId="0" applyFont="1" applyFill="1" applyBorder="1" applyAlignment="1">
      <alignment wrapText="1"/>
    </xf>
    <xf numFmtId="0" fontId="273" fillId="0" borderId="13" xfId="0" applyFont="1" applyBorder="1"/>
    <xf numFmtId="2" fontId="273" fillId="25" borderId="37" xfId="0" applyNumberFormat="1" applyFont="1" applyFill="1" applyBorder="1"/>
    <xf numFmtId="2" fontId="273" fillId="0" borderId="0" xfId="0" applyNumberFormat="1" applyFont="1" applyFill="1" applyBorder="1"/>
    <xf numFmtId="166" fontId="272" fillId="24" borderId="37" xfId="0" applyNumberFormat="1" applyFont="1" applyFill="1" applyBorder="1"/>
    <xf numFmtId="0" fontId="75" fillId="18" borderId="13" xfId="0" applyFont="1" applyFill="1" applyBorder="1"/>
    <xf numFmtId="0" fontId="271" fillId="0" borderId="13" xfId="0" applyFont="1" applyBorder="1"/>
    <xf numFmtId="170" fontId="75" fillId="0" borderId="37" xfId="0" applyNumberFormat="1" applyFont="1" applyBorder="1"/>
    <xf numFmtId="170" fontId="75" fillId="0" borderId="0" xfId="0" applyNumberFormat="1" applyFont="1" applyFill="1" applyBorder="1"/>
    <xf numFmtId="0" fontId="273" fillId="0" borderId="37" xfId="0" applyFont="1" applyBorder="1"/>
    <xf numFmtId="0" fontId="273" fillId="0" borderId="0" xfId="0" applyFont="1" applyFill="1" applyBorder="1"/>
    <xf numFmtId="0" fontId="272" fillId="0" borderId="13" xfId="0" applyFont="1" applyBorder="1"/>
    <xf numFmtId="2" fontId="272" fillId="0" borderId="37" xfId="0" applyNumberFormat="1" applyFont="1" applyBorder="1"/>
    <xf numFmtId="2" fontId="272" fillId="0" borderId="0" xfId="0" applyNumberFormat="1" applyFont="1" applyFill="1" applyBorder="1"/>
    <xf numFmtId="1" fontId="273" fillId="25" borderId="37" xfId="0" applyNumberFormat="1" applyFont="1" applyFill="1" applyBorder="1"/>
    <xf numFmtId="1" fontId="273" fillId="0" borderId="0" xfId="0" applyNumberFormat="1" applyFont="1" applyFill="1" applyBorder="1"/>
    <xf numFmtId="0" fontId="273" fillId="0" borderId="13" xfId="0" applyFont="1" applyBorder="1" applyAlignment="1">
      <alignment wrapText="1"/>
    </xf>
    <xf numFmtId="0" fontId="272" fillId="18" borderId="13" xfId="0" applyFont="1" applyFill="1" applyBorder="1"/>
    <xf numFmtId="166" fontId="272" fillId="19" borderId="0" xfId="0" applyNumberFormat="1" applyFont="1" applyFill="1" applyBorder="1"/>
    <xf numFmtId="0" fontId="11" fillId="19" borderId="0" xfId="0" applyFont="1" applyFill="1" applyBorder="1"/>
    <xf numFmtId="2" fontId="273" fillId="19" borderId="0" xfId="0" applyNumberFormat="1" applyFont="1" applyFill="1" applyBorder="1"/>
    <xf numFmtId="1" fontId="75" fillId="19" borderId="0" xfId="0" applyNumberFormat="1" applyFont="1" applyFill="1" applyBorder="1"/>
    <xf numFmtId="165" fontId="75" fillId="19" borderId="0" xfId="0" applyNumberFormat="1" applyFont="1" applyFill="1" applyBorder="1"/>
    <xf numFmtId="2" fontId="75" fillId="19" borderId="0" xfId="0" applyNumberFormat="1" applyFont="1" applyFill="1" applyBorder="1"/>
    <xf numFmtId="2" fontId="273" fillId="24" borderId="37" xfId="0" applyNumberFormat="1" applyFont="1" applyFill="1" applyBorder="1"/>
    <xf numFmtId="0" fontId="262" fillId="18" borderId="13" xfId="0" applyFont="1" applyFill="1" applyBorder="1"/>
    <xf numFmtId="0" fontId="274" fillId="0" borderId="13" xfId="0" applyFont="1" applyBorder="1"/>
    <xf numFmtId="166" fontId="274" fillId="0" borderId="37" xfId="0" applyNumberFormat="1" applyFont="1" applyBorder="1"/>
    <xf numFmtId="0" fontId="267" fillId="0" borderId="13" xfId="0" applyFont="1" applyBorder="1"/>
    <xf numFmtId="166" fontId="267" fillId="0" borderId="37" xfId="0" applyNumberFormat="1" applyFont="1" applyBorder="1"/>
    <xf numFmtId="166" fontId="267" fillId="0" borderId="0" xfId="0" applyNumberFormat="1" applyFont="1" applyFill="1" applyBorder="1"/>
    <xf numFmtId="0" fontId="274" fillId="0" borderId="13" xfId="0" applyFont="1" applyBorder="1" applyAlignment="1">
      <alignment wrapText="1"/>
    </xf>
    <xf numFmtId="0" fontId="271" fillId="0" borderId="0" xfId="0" applyFont="1"/>
    <xf numFmtId="0" fontId="272" fillId="0" borderId="0" xfId="0" applyFont="1"/>
    <xf numFmtId="0" fontId="75" fillId="0" borderId="0" xfId="0" applyFont="1"/>
    <xf numFmtId="166" fontId="75" fillId="0" borderId="0" xfId="0" applyNumberFormat="1" applyFont="1"/>
    <xf numFmtId="0" fontId="262" fillId="0" borderId="0" xfId="0" applyFont="1" applyAlignment="1">
      <alignment wrapText="1"/>
    </xf>
    <xf numFmtId="1" fontId="75" fillId="0" borderId="0" xfId="0" applyNumberFormat="1" applyFont="1" applyFill="1"/>
    <xf numFmtId="0" fontId="262" fillId="0" borderId="0" xfId="0" applyFont="1"/>
    <xf numFmtId="166" fontId="272" fillId="0" borderId="0" xfId="0" applyNumberFormat="1" applyFont="1"/>
    <xf numFmtId="49" fontId="75" fillId="0" borderId="65" xfId="0" applyNumberFormat="1" applyFont="1" applyBorder="1" applyAlignment="1">
      <alignment wrapText="1"/>
    </xf>
    <xf numFmtId="166" fontId="272" fillId="0" borderId="60" xfId="0" applyNumberFormat="1" applyFont="1" applyBorder="1"/>
    <xf numFmtId="0" fontId="262" fillId="0" borderId="20" xfId="0" applyFont="1" applyBorder="1"/>
    <xf numFmtId="0" fontId="75" fillId="0" borderId="67" xfId="0" applyFont="1" applyBorder="1"/>
    <xf numFmtId="2" fontId="75" fillId="0" borderId="61" xfId="0" applyNumberFormat="1" applyFont="1" applyBorder="1"/>
    <xf numFmtId="49" fontId="75" fillId="0" borderId="0" xfId="0" applyNumberFormat="1" applyFont="1" applyAlignment="1">
      <alignment wrapText="1"/>
    </xf>
    <xf numFmtId="2" fontId="75" fillId="0" borderId="0" xfId="0" applyNumberFormat="1" applyFont="1"/>
    <xf numFmtId="0" fontId="270" fillId="0" borderId="13" xfId="0" applyFont="1" applyBorder="1" applyAlignment="1">
      <alignment wrapText="1"/>
    </xf>
    <xf numFmtId="165" fontId="273" fillId="25" borderId="37" xfId="0" applyNumberFormat="1" applyFont="1" applyFill="1" applyBorder="1"/>
    <xf numFmtId="165" fontId="273" fillId="0" borderId="0" xfId="0" applyNumberFormat="1" applyFont="1" applyFill="1" applyBorder="1"/>
    <xf numFmtId="165" fontId="262" fillId="0" borderId="37" xfId="0" applyNumberFormat="1" applyFont="1" applyBorder="1"/>
    <xf numFmtId="1" fontId="273" fillId="0" borderId="37" xfId="0" applyNumberFormat="1" applyFont="1" applyBorder="1"/>
    <xf numFmtId="2" fontId="273" fillId="0" borderId="37" xfId="0" applyNumberFormat="1" applyFont="1" applyBorder="1"/>
    <xf numFmtId="0" fontId="75" fillId="0" borderId="73" xfId="0" applyFont="1" applyFill="1" applyBorder="1"/>
    <xf numFmtId="0" fontId="75" fillId="0" borderId="73" xfId="0" applyFont="1" applyFill="1" applyBorder="1" applyAlignment="1">
      <alignment wrapText="1"/>
    </xf>
    <xf numFmtId="0" fontId="275" fillId="0" borderId="13" xfId="0" applyFont="1" applyFill="1" applyBorder="1"/>
    <xf numFmtId="165" fontId="75" fillId="0" borderId="37" xfId="0" applyNumberFormat="1" applyFont="1" applyFill="1" applyBorder="1"/>
    <xf numFmtId="0" fontId="276" fillId="28" borderId="20" xfId="0" applyFont="1" applyFill="1" applyBorder="1" applyAlignment="1">
      <alignment horizontal="center"/>
    </xf>
    <xf numFmtId="0" fontId="276" fillId="28" borderId="0" xfId="0" applyFont="1" applyFill="1" applyBorder="1" applyAlignment="1">
      <alignment horizontal="center"/>
    </xf>
    <xf numFmtId="0" fontId="276" fillId="0" borderId="0" xfId="0" applyFont="1" applyFill="1" applyBorder="1" applyAlignment="1">
      <alignment horizontal="center"/>
    </xf>
    <xf numFmtId="0" fontId="107" fillId="0" borderId="75" xfId="0" applyFont="1" applyFill="1" applyBorder="1"/>
    <xf numFmtId="0" fontId="75" fillId="0" borderId="75" xfId="0" applyFont="1" applyFill="1" applyBorder="1"/>
    <xf numFmtId="0" fontId="107" fillId="22" borderId="73" xfId="0" applyFont="1" applyFill="1" applyBorder="1"/>
    <xf numFmtId="0" fontId="262" fillId="22" borderId="73" xfId="0" applyFont="1" applyFill="1" applyBorder="1"/>
    <xf numFmtId="0" fontId="107" fillId="0" borderId="73" xfId="0" applyFont="1" applyBorder="1"/>
    <xf numFmtId="2" fontId="75" fillId="0" borderId="73" xfId="0" applyNumberFormat="1" applyFont="1" applyBorder="1"/>
    <xf numFmtId="2" fontId="75" fillId="0" borderId="0" xfId="0" applyNumberFormat="1" applyFont="1" applyBorder="1"/>
    <xf numFmtId="0" fontId="75" fillId="0" borderId="73" xfId="0" applyFont="1" applyBorder="1"/>
    <xf numFmtId="0" fontId="75" fillId="0" borderId="0" xfId="0" applyFont="1" applyBorder="1"/>
    <xf numFmtId="0" fontId="107" fillId="29" borderId="73" xfId="0" applyFont="1" applyFill="1" applyBorder="1"/>
    <xf numFmtId="0" fontId="262" fillId="29" borderId="73" xfId="0" applyFont="1" applyFill="1" applyBorder="1"/>
    <xf numFmtId="0" fontId="262" fillId="0" borderId="0" xfId="0" applyFont="1" applyFill="1"/>
    <xf numFmtId="0" fontId="275" fillId="0" borderId="73" xfId="0" applyFont="1" applyBorder="1"/>
    <xf numFmtId="0" fontId="75" fillId="0" borderId="73" xfId="0" applyFont="1" applyBorder="1" applyAlignment="1">
      <alignment horizontal="center"/>
    </xf>
    <xf numFmtId="0" fontId="75" fillId="0" borderId="0" xfId="0" applyFont="1" applyBorder="1" applyAlignment="1">
      <alignment horizontal="center"/>
    </xf>
    <xf numFmtId="0" fontId="107" fillId="0" borderId="73" xfId="0" applyFont="1" applyBorder="1" applyAlignment="1">
      <alignment wrapText="1"/>
    </xf>
    <xf numFmtId="0" fontId="262" fillId="0" borderId="0" xfId="0" applyFont="1" applyBorder="1"/>
    <xf numFmtId="0" fontId="107" fillId="0" borderId="70" xfId="0" applyFont="1" applyBorder="1"/>
    <xf numFmtId="0" fontId="75" fillId="0" borderId="70" xfId="0" applyFont="1" applyBorder="1"/>
    <xf numFmtId="0" fontId="107" fillId="0" borderId="47" xfId="0" applyFont="1" applyFill="1" applyBorder="1"/>
    <xf numFmtId="0" fontId="75" fillId="0" borderId="35" xfId="0" applyFont="1" applyFill="1" applyBorder="1"/>
    <xf numFmtId="0" fontId="262" fillId="0" borderId="0" xfId="0" applyFont="1" applyFill="1" applyBorder="1" applyAlignment="1">
      <alignment wrapText="1"/>
    </xf>
    <xf numFmtId="0" fontId="276" fillId="28" borderId="38" xfId="0" applyFont="1" applyFill="1" applyBorder="1" applyAlignment="1">
      <alignment horizontal="left"/>
    </xf>
    <xf numFmtId="0" fontId="276" fillId="28" borderId="48" xfId="0" applyFont="1" applyFill="1" applyBorder="1" applyAlignment="1">
      <alignment horizontal="center"/>
    </xf>
    <xf numFmtId="0" fontId="107" fillId="0" borderId="75" xfId="0" applyFont="1" applyBorder="1" applyAlignment="1">
      <alignment wrapText="1"/>
    </xf>
    <xf numFmtId="0" fontId="75" fillId="0" borderId="75" xfId="0" applyFont="1" applyBorder="1"/>
    <xf numFmtId="0" fontId="262" fillId="0" borderId="73" xfId="0" applyFont="1" applyBorder="1"/>
    <xf numFmtId="0" fontId="277" fillId="0" borderId="73" xfId="0" applyFont="1" applyBorder="1" applyAlignment="1">
      <alignment wrapText="1"/>
    </xf>
    <xf numFmtId="0" fontId="277" fillId="0" borderId="70" xfId="0" applyFont="1" applyBorder="1" applyAlignment="1">
      <alignment wrapText="1"/>
    </xf>
    <xf numFmtId="0" fontId="277" fillId="28" borderId="38" xfId="0" applyFont="1" applyFill="1" applyBorder="1" applyAlignment="1">
      <alignment horizontal="left"/>
    </xf>
    <xf numFmtId="0" fontId="277" fillId="28" borderId="48" xfId="0" applyFont="1" applyFill="1" applyBorder="1" applyAlignment="1">
      <alignment horizontal="center"/>
    </xf>
    <xf numFmtId="0" fontId="277" fillId="0" borderId="0" xfId="0" applyFont="1" applyFill="1" applyBorder="1" applyAlignment="1">
      <alignment horizontal="center"/>
    </xf>
    <xf numFmtId="0" fontId="107" fillId="0" borderId="25" xfId="0" applyFont="1" applyBorder="1"/>
    <xf numFmtId="0" fontId="75" fillId="0" borderId="80" xfId="0" applyFont="1" applyBorder="1"/>
    <xf numFmtId="0" fontId="107" fillId="29" borderId="28" xfId="0" applyFont="1" applyFill="1" applyBorder="1"/>
    <xf numFmtId="0" fontId="262" fillId="29" borderId="37" xfId="0" applyFont="1" applyFill="1" applyBorder="1"/>
    <xf numFmtId="0" fontId="262" fillId="24" borderId="0" xfId="0" applyFont="1" applyFill="1" applyBorder="1"/>
    <xf numFmtId="0" fontId="107" fillId="0" borderId="81" xfId="0" applyFont="1" applyBorder="1"/>
    <xf numFmtId="0" fontId="75" fillId="0" borderId="65" xfId="0" applyFont="1" applyBorder="1"/>
    <xf numFmtId="0" fontId="11" fillId="0" borderId="0" xfId="0" applyFont="1" applyFill="1" applyBorder="1" applyAlignment="1">
      <alignment wrapText="1"/>
    </xf>
    <xf numFmtId="0" fontId="277" fillId="0" borderId="38" xfId="0" applyFont="1" applyFill="1" applyBorder="1" applyAlignment="1">
      <alignment horizontal="center"/>
    </xf>
    <xf numFmtId="0" fontId="107" fillId="0" borderId="48" xfId="0" applyFont="1" applyFill="1" applyBorder="1" applyAlignment="1">
      <alignment horizontal="center"/>
    </xf>
    <xf numFmtId="0" fontId="107" fillId="0" borderId="0" xfId="0" applyFont="1" applyFill="1" applyBorder="1" applyAlignment="1">
      <alignment horizontal="center"/>
    </xf>
    <xf numFmtId="0" fontId="107" fillId="0" borderId="71" xfId="0" applyFont="1" applyFill="1" applyBorder="1"/>
    <xf numFmtId="0" fontId="10" fillId="0" borderId="13" xfId="0" applyFont="1" applyBorder="1" applyAlignment="1">
      <alignment wrapText="1"/>
    </xf>
    <xf numFmtId="0" fontId="271" fillId="0" borderId="37" xfId="0" applyFont="1" applyBorder="1"/>
    <xf numFmtId="0" fontId="271" fillId="0" borderId="0" xfId="0" applyFont="1" applyBorder="1"/>
    <xf numFmtId="166" fontId="75" fillId="0" borderId="0" xfId="0" applyNumberFormat="1" applyFont="1" applyBorder="1"/>
    <xf numFmtId="166" fontId="272" fillId="0" borderId="0" xfId="0" applyNumberFormat="1" applyFont="1" applyBorder="1"/>
    <xf numFmtId="0" fontId="273" fillId="24" borderId="13" xfId="0" applyFont="1" applyFill="1" applyBorder="1" applyAlignment="1">
      <alignment wrapText="1"/>
    </xf>
    <xf numFmtId="2" fontId="273" fillId="24" borderId="0" xfId="0" applyNumberFormat="1" applyFont="1" applyFill="1" applyBorder="1"/>
    <xf numFmtId="166" fontId="75" fillId="24" borderId="0" xfId="0" applyNumberFormat="1" applyFont="1" applyFill="1" applyBorder="1"/>
    <xf numFmtId="165" fontId="75" fillId="24" borderId="0" xfId="0" applyNumberFormat="1" applyFont="1" applyFill="1" applyBorder="1"/>
    <xf numFmtId="0" fontId="11" fillId="0" borderId="16" xfId="0" applyFont="1" applyBorder="1"/>
    <xf numFmtId="2" fontId="75" fillId="24" borderId="0" xfId="0" applyNumberFormat="1" applyFont="1" applyFill="1" applyBorder="1"/>
    <xf numFmtId="49" fontId="272" fillId="0" borderId="13" xfId="0" applyNumberFormat="1" applyFont="1" applyBorder="1" applyAlignment="1">
      <alignment wrapText="1"/>
    </xf>
    <xf numFmtId="2" fontId="272" fillId="24" borderId="37" xfId="0" applyNumberFormat="1" applyFont="1" applyFill="1" applyBorder="1"/>
    <xf numFmtId="2" fontId="272" fillId="24" borderId="0" xfId="0" applyNumberFormat="1" applyFont="1" applyFill="1" applyBorder="1"/>
    <xf numFmtId="166" fontId="273" fillId="24" borderId="37" xfId="0" applyNumberFormat="1" applyFont="1" applyFill="1" applyBorder="1"/>
    <xf numFmtId="166" fontId="273" fillId="24" borderId="0" xfId="0" applyNumberFormat="1" applyFont="1" applyFill="1" applyBorder="1"/>
    <xf numFmtId="0" fontId="271" fillId="28" borderId="13" xfId="0" applyFont="1" applyFill="1" applyBorder="1"/>
    <xf numFmtId="166" fontId="271" fillId="24" borderId="37" xfId="0" applyNumberFormat="1" applyFont="1" applyFill="1" applyBorder="1"/>
    <xf numFmtId="166" fontId="271" fillId="24" borderId="0" xfId="0" applyNumberFormat="1" applyFont="1" applyFill="1" applyBorder="1"/>
    <xf numFmtId="1" fontId="273" fillId="0" borderId="0" xfId="0" applyNumberFormat="1" applyFont="1" applyBorder="1"/>
    <xf numFmtId="0" fontId="107" fillId="26" borderId="13" xfId="0" applyFont="1" applyFill="1" applyBorder="1"/>
    <xf numFmtId="0" fontId="278" fillId="0" borderId="13" xfId="0" applyFont="1" applyBorder="1"/>
    <xf numFmtId="0" fontId="273" fillId="25" borderId="37" xfId="0" applyFont="1" applyFill="1" applyBorder="1"/>
    <xf numFmtId="0" fontId="75" fillId="24" borderId="37" xfId="0" applyFont="1" applyFill="1" applyBorder="1"/>
    <xf numFmtId="0" fontId="273" fillId="24" borderId="37" xfId="0" applyFont="1" applyFill="1" applyBorder="1"/>
    <xf numFmtId="0" fontId="273" fillId="24" borderId="0" xfId="0" applyFont="1" applyFill="1" applyBorder="1"/>
    <xf numFmtId="0" fontId="75" fillId="0" borderId="37" xfId="0" applyFont="1" applyFill="1" applyBorder="1"/>
    <xf numFmtId="167" fontId="75" fillId="24" borderId="37" xfId="0" applyNumberFormat="1" applyFont="1" applyFill="1" applyBorder="1"/>
    <xf numFmtId="167" fontId="75" fillId="24" borderId="0" xfId="0" applyNumberFormat="1" applyFont="1" applyFill="1" applyBorder="1"/>
    <xf numFmtId="167" fontId="75" fillId="0" borderId="37" xfId="0" applyNumberFormat="1" applyFont="1" applyBorder="1"/>
    <xf numFmtId="167" fontId="75" fillId="0" borderId="0" xfId="0" applyNumberFormat="1" applyFont="1" applyBorder="1"/>
    <xf numFmtId="2" fontId="272" fillId="0" borderId="0" xfId="0" applyNumberFormat="1" applyFont="1" applyBorder="1"/>
    <xf numFmtId="166" fontId="273" fillId="0" borderId="0" xfId="0" applyNumberFormat="1" applyFont="1" applyFill="1" applyBorder="1"/>
    <xf numFmtId="0" fontId="75" fillId="24" borderId="13" xfId="0" applyFont="1" applyFill="1" applyBorder="1"/>
    <xf numFmtId="167" fontId="75" fillId="0" borderId="0" xfId="0" applyNumberFormat="1" applyFont="1" applyFill="1" applyBorder="1"/>
    <xf numFmtId="0" fontId="279" fillId="0" borderId="13" xfId="0" applyFont="1" applyBorder="1"/>
    <xf numFmtId="0" fontId="107" fillId="0" borderId="13" xfId="0" applyFont="1" applyBorder="1"/>
    <xf numFmtId="1" fontId="75" fillId="0" borderId="0" xfId="0" applyNumberFormat="1" applyFont="1" applyBorder="1"/>
    <xf numFmtId="167" fontId="273" fillId="24" borderId="37" xfId="0" applyNumberFormat="1" applyFont="1" applyFill="1" applyBorder="1"/>
    <xf numFmtId="167" fontId="273" fillId="0" borderId="0" xfId="0" applyNumberFormat="1" applyFont="1" applyFill="1" applyBorder="1"/>
    <xf numFmtId="2" fontId="262" fillId="25" borderId="37" xfId="0" applyNumberFormat="1" applyFont="1" applyFill="1" applyBorder="1"/>
    <xf numFmtId="0" fontId="11" fillId="0" borderId="66" xfId="0" applyFont="1" applyBorder="1"/>
    <xf numFmtId="0" fontId="11" fillId="0" borderId="44" xfId="0" applyFont="1" applyBorder="1"/>
    <xf numFmtId="2" fontId="11" fillId="0" borderId="37" xfId="0" applyNumberFormat="1" applyFont="1" applyBorder="1"/>
    <xf numFmtId="0" fontId="280" fillId="28" borderId="13" xfId="0" applyFont="1" applyFill="1" applyBorder="1"/>
    <xf numFmtId="2" fontId="11" fillId="30" borderId="37" xfId="0" applyNumberFormat="1" applyFont="1" applyFill="1" applyBorder="1"/>
    <xf numFmtId="0" fontId="11" fillId="30" borderId="0" xfId="0" applyFont="1" applyFill="1" applyBorder="1"/>
    <xf numFmtId="165" fontId="75" fillId="0" borderId="0" xfId="0" applyNumberFormat="1" applyFont="1" applyBorder="1"/>
    <xf numFmtId="0" fontId="270" fillId="21" borderId="13" xfId="0" applyFont="1" applyFill="1" applyBorder="1" applyAlignment="1">
      <alignment wrapText="1"/>
    </xf>
    <xf numFmtId="0" fontId="75" fillId="21" borderId="37" xfId="0" applyFont="1" applyFill="1" applyBorder="1"/>
    <xf numFmtId="0" fontId="75" fillId="24" borderId="0" xfId="0" applyFont="1" applyFill="1" applyBorder="1"/>
    <xf numFmtId="1" fontId="75" fillId="24" borderId="0" xfId="0" applyNumberFormat="1" applyFont="1" applyFill="1" applyBorder="1"/>
    <xf numFmtId="1" fontId="262" fillId="24" borderId="37" xfId="0" applyNumberFormat="1" applyFont="1" applyFill="1" applyBorder="1"/>
    <xf numFmtId="1" fontId="262" fillId="24" borderId="0" xfId="0" applyNumberFormat="1" applyFont="1" applyFill="1" applyBorder="1"/>
    <xf numFmtId="2" fontId="262" fillId="24" borderId="0" xfId="0" applyNumberFormat="1" applyFont="1" applyFill="1" applyBorder="1"/>
    <xf numFmtId="1" fontId="262" fillId="0" borderId="37" xfId="0" applyNumberFormat="1" applyFont="1" applyBorder="1"/>
    <xf numFmtId="1" fontId="262" fillId="0" borderId="0" xfId="0" applyNumberFormat="1" applyFont="1" applyBorder="1"/>
    <xf numFmtId="165" fontId="262" fillId="24" borderId="0" xfId="0" applyNumberFormat="1" applyFont="1" applyFill="1" applyBorder="1"/>
    <xf numFmtId="2" fontId="262" fillId="0" borderId="0" xfId="0" applyNumberFormat="1" applyFont="1" applyBorder="1"/>
    <xf numFmtId="166" fontId="272" fillId="24" borderId="0" xfId="0" applyNumberFormat="1" applyFont="1" applyFill="1" applyBorder="1"/>
    <xf numFmtId="0" fontId="271" fillId="21" borderId="13" xfId="0" applyFont="1" applyFill="1" applyBorder="1"/>
    <xf numFmtId="0" fontId="262" fillId="21" borderId="13" xfId="0" applyFont="1" applyFill="1" applyBorder="1"/>
    <xf numFmtId="0" fontId="75" fillId="0" borderId="20" xfId="0" applyFont="1" applyBorder="1"/>
    <xf numFmtId="0" fontId="272" fillId="21" borderId="13" xfId="0" applyFont="1" applyFill="1" applyBorder="1"/>
    <xf numFmtId="165" fontId="262" fillId="0" borderId="0" xfId="0" applyNumberFormat="1" applyFont="1" applyBorder="1"/>
    <xf numFmtId="2" fontId="273" fillId="0" borderId="0" xfId="0" applyNumberFormat="1" applyFont="1" applyBorder="1"/>
    <xf numFmtId="0" fontId="276" fillId="28" borderId="65" xfId="0" applyFont="1" applyFill="1" applyBorder="1" applyAlignment="1">
      <alignment horizontal="left"/>
    </xf>
    <xf numFmtId="0" fontId="276" fillId="28" borderId="60" xfId="0" applyFont="1" applyFill="1" applyBorder="1" applyAlignment="1">
      <alignment horizontal="left"/>
    </xf>
    <xf numFmtId="0" fontId="276" fillId="0" borderId="0" xfId="0" applyFont="1" applyFill="1" applyBorder="1" applyAlignment="1">
      <alignment horizontal="left"/>
    </xf>
    <xf numFmtId="0" fontId="107" fillId="24" borderId="73" xfId="0" applyFont="1" applyFill="1" applyBorder="1"/>
    <xf numFmtId="168" fontId="75" fillId="0" borderId="37" xfId="0" applyNumberFormat="1" applyFont="1" applyBorder="1"/>
    <xf numFmtId="168" fontId="75" fillId="0" borderId="0" xfId="0" applyNumberFormat="1" applyFont="1" applyBorder="1"/>
    <xf numFmtId="168" fontId="75" fillId="0" borderId="37" xfId="0" applyNumberFormat="1" applyFont="1" applyFill="1" applyBorder="1"/>
    <xf numFmtId="168" fontId="75" fillId="0" borderId="0" xfId="0" applyNumberFormat="1" applyFont="1" applyFill="1" applyBorder="1"/>
    <xf numFmtId="168" fontId="75" fillId="0" borderId="37" xfId="0" applyNumberFormat="1" applyFont="1" applyBorder="1" applyAlignment="1">
      <alignment horizontal="right"/>
    </xf>
    <xf numFmtId="168" fontId="75" fillId="0" borderId="0" xfId="0" applyNumberFormat="1" applyFont="1" applyBorder="1" applyAlignment="1">
      <alignment horizontal="right"/>
    </xf>
    <xf numFmtId="167" fontId="273" fillId="24" borderId="0" xfId="0" applyNumberFormat="1" applyFont="1" applyFill="1" applyBorder="1"/>
    <xf numFmtId="0" fontId="107" fillId="28" borderId="13" xfId="0" applyFont="1" applyFill="1" applyBorder="1"/>
    <xf numFmtId="0" fontId="11" fillId="28" borderId="37" xfId="0" applyFont="1" applyFill="1" applyBorder="1"/>
    <xf numFmtId="0" fontId="281" fillId="0" borderId="13" xfId="0" applyFont="1" applyBorder="1"/>
    <xf numFmtId="166" fontId="267" fillId="0" borderId="0" xfId="0" applyNumberFormat="1" applyFont="1" applyBorder="1"/>
    <xf numFmtId="0" fontId="281" fillId="0" borderId="0" xfId="0" applyFont="1"/>
    <xf numFmtId="0" fontId="267" fillId="0" borderId="37" xfId="0" applyFont="1" applyBorder="1"/>
    <xf numFmtId="0" fontId="267" fillId="0" borderId="0" xfId="0" applyFont="1" applyBorder="1"/>
    <xf numFmtId="0" fontId="3" fillId="0" borderId="0" xfId="0" applyFont="1" applyBorder="1"/>
    <xf numFmtId="0" fontId="107" fillId="0" borderId="13" xfId="0" applyFont="1" applyBorder="1" applyAlignment="1">
      <alignment wrapText="1"/>
    </xf>
    <xf numFmtId="0" fontId="11" fillId="24" borderId="0" xfId="0" applyFont="1" applyFill="1" applyBorder="1"/>
    <xf numFmtId="0" fontId="11" fillId="0" borderId="13" xfId="0" applyFont="1" applyBorder="1" applyAlignment="1">
      <alignment wrapText="1"/>
    </xf>
    <xf numFmtId="0" fontId="205" fillId="0" borderId="13" xfId="0" applyFont="1" applyBorder="1" applyAlignment="1">
      <alignment wrapText="1"/>
    </xf>
    <xf numFmtId="166" fontId="267" fillId="0" borderId="37" xfId="0" applyNumberFormat="1" applyFont="1" applyFill="1" applyBorder="1"/>
    <xf numFmtId="0" fontId="205" fillId="0" borderId="13" xfId="0" applyFont="1" applyBorder="1"/>
    <xf numFmtId="0" fontId="11" fillId="22" borderId="37" xfId="0" applyFont="1" applyFill="1" applyBorder="1"/>
    <xf numFmtId="0" fontId="10" fillId="0" borderId="13" xfId="0" applyFont="1" applyBorder="1"/>
    <xf numFmtId="0" fontId="282" fillId="0" borderId="13" xfId="0" applyFont="1" applyBorder="1"/>
    <xf numFmtId="0" fontId="3" fillId="0" borderId="13" xfId="0" applyFont="1" applyBorder="1"/>
    <xf numFmtId="0" fontId="3" fillId="22" borderId="37" xfId="0" applyFont="1" applyFill="1" applyBorder="1"/>
    <xf numFmtId="0" fontId="3" fillId="0" borderId="0" xfId="0" applyFont="1" applyFill="1" applyBorder="1"/>
    <xf numFmtId="0" fontId="283" fillId="0" borderId="13" xfId="0" applyFont="1" applyBorder="1"/>
    <xf numFmtId="0" fontId="10" fillId="0" borderId="37" xfId="0" applyFont="1" applyBorder="1"/>
    <xf numFmtId="0" fontId="7" fillId="0" borderId="13" xfId="0" applyFont="1" applyBorder="1"/>
    <xf numFmtId="0" fontId="284" fillId="0" borderId="13" xfId="0" applyFont="1" applyBorder="1"/>
    <xf numFmtId="0" fontId="11" fillId="28" borderId="13" xfId="0" applyFont="1" applyFill="1" applyBorder="1"/>
    <xf numFmtId="0" fontId="11" fillId="24" borderId="14" xfId="0" applyFont="1" applyFill="1" applyBorder="1"/>
    <xf numFmtId="166" fontId="11" fillId="24" borderId="67" xfId="0" applyNumberFormat="1" applyFont="1" applyFill="1" applyBorder="1"/>
    <xf numFmtId="166" fontId="11" fillId="0" borderId="0" xfId="0" applyNumberFormat="1" applyFont="1" applyFill="1" applyBorder="1"/>
    <xf numFmtId="0" fontId="12" fillId="28" borderId="13" xfId="0" applyFont="1" applyFill="1" applyBorder="1"/>
    <xf numFmtId="2" fontId="11" fillId="28" borderId="37" xfId="0" applyNumberFormat="1" applyFont="1" applyFill="1" applyBorder="1"/>
    <xf numFmtId="0" fontId="282" fillId="24" borderId="13" xfId="0" applyFont="1" applyFill="1" applyBorder="1"/>
    <xf numFmtId="2" fontId="285" fillId="24" borderId="37" xfId="0" applyNumberFormat="1" applyFont="1" applyFill="1" applyBorder="1"/>
    <xf numFmtId="2" fontId="285" fillId="0" borderId="0" xfId="0" applyNumberFormat="1" applyFont="1" applyFill="1" applyBorder="1"/>
    <xf numFmtId="0" fontId="285" fillId="0" borderId="0" xfId="0" applyFont="1" applyFill="1" applyBorder="1"/>
    <xf numFmtId="0" fontId="12" fillId="0" borderId="13" xfId="0" applyFont="1" applyBorder="1" applyAlignment="1">
      <alignment wrapText="1"/>
    </xf>
    <xf numFmtId="2" fontId="285" fillId="0" borderId="37" xfId="0" applyNumberFormat="1" applyFont="1" applyBorder="1"/>
    <xf numFmtId="0" fontId="11" fillId="0" borderId="13" xfId="0" applyFont="1" applyBorder="1" applyAlignment="1">
      <alignment horizontal="center"/>
    </xf>
    <xf numFmtId="166" fontId="285" fillId="0" borderId="37" xfId="0" applyNumberFormat="1" applyFont="1" applyBorder="1"/>
    <xf numFmtId="166" fontId="285" fillId="0" borderId="0" xfId="0" applyNumberFormat="1" applyFont="1" applyFill="1" applyBorder="1"/>
    <xf numFmtId="0" fontId="282" fillId="24" borderId="0" xfId="0" applyFont="1" applyFill="1" applyBorder="1"/>
    <xf numFmtId="2" fontId="285" fillId="24" borderId="0" xfId="0" applyNumberFormat="1" applyFont="1" applyFill="1" applyBorder="1"/>
    <xf numFmtId="0" fontId="282" fillId="0" borderId="0" xfId="0" applyFont="1" applyFill="1" applyBorder="1"/>
    <xf numFmtId="0" fontId="282" fillId="24" borderId="0" xfId="0" applyFont="1" applyFill="1" applyBorder="1" applyAlignment="1">
      <alignment horizontal="center"/>
    </xf>
    <xf numFmtId="2" fontId="11" fillId="24" borderId="0" xfId="0" applyNumberFormat="1" applyFont="1" applyFill="1" applyBorder="1"/>
    <xf numFmtId="0" fontId="286" fillId="20" borderId="14" xfId="0" applyFont="1" applyFill="1" applyBorder="1"/>
    <xf numFmtId="2" fontId="11" fillId="20" borderId="67" xfId="0" applyNumberFormat="1" applyFont="1" applyFill="1" applyBorder="1"/>
    <xf numFmtId="2" fontId="11" fillId="20" borderId="0" xfId="0" applyNumberFormat="1" applyFont="1" applyFill="1" applyBorder="1"/>
    <xf numFmtId="0" fontId="11" fillId="20" borderId="0" xfId="0" applyFont="1" applyFill="1" applyBorder="1"/>
    <xf numFmtId="0" fontId="11" fillId="24" borderId="13" xfId="0" applyFont="1" applyFill="1" applyBorder="1"/>
    <xf numFmtId="0" fontId="11" fillId="20" borderId="13" xfId="0" applyFont="1" applyFill="1" applyBorder="1" applyAlignment="1">
      <alignment wrapText="1"/>
    </xf>
    <xf numFmtId="0" fontId="11" fillId="20" borderId="13" xfId="0" applyFont="1" applyFill="1" applyBorder="1"/>
    <xf numFmtId="0" fontId="267" fillId="0" borderId="13" xfId="0" applyFont="1" applyBorder="1" applyAlignment="1">
      <alignment wrapText="1"/>
    </xf>
    <xf numFmtId="0" fontId="11" fillId="25" borderId="13" xfId="0" applyFont="1" applyFill="1" applyBorder="1"/>
    <xf numFmtId="0" fontId="11" fillId="24" borderId="44" xfId="0" applyFont="1" applyFill="1" applyBorder="1"/>
    <xf numFmtId="0" fontId="11" fillId="24" borderId="37" xfId="0" applyFont="1" applyFill="1" applyBorder="1"/>
    <xf numFmtId="0" fontId="15" fillId="0" borderId="21" xfId="0" applyNumberFormat="1" applyFont="1" applyFill="1" applyBorder="1" applyAlignment="1" applyProtection="1">
      <alignment horizontal="centerContinuous" vertical="top"/>
    </xf>
    <xf numFmtId="0" fontId="11" fillId="0" borderId="26" xfId="0" applyFont="1" applyBorder="1"/>
    <xf numFmtId="0" fontId="11" fillId="24" borderId="16" xfId="0" applyFont="1" applyFill="1" applyBorder="1"/>
    <xf numFmtId="0" fontId="262" fillId="20" borderId="13" xfId="0" applyFont="1" applyFill="1" applyBorder="1"/>
    <xf numFmtId="0" fontId="11" fillId="0" borderId="29" xfId="0" applyFont="1" applyBorder="1"/>
    <xf numFmtId="0" fontId="262" fillId="20" borderId="13" xfId="0" applyFont="1" applyFill="1" applyBorder="1" applyAlignment="1">
      <alignment wrapText="1"/>
    </xf>
    <xf numFmtId="0" fontId="262" fillId="31" borderId="13" xfId="0" applyFont="1" applyFill="1" applyBorder="1"/>
    <xf numFmtId="0" fontId="15" fillId="0" borderId="28" xfId="0" applyNumberFormat="1" applyFont="1" applyFill="1" applyBorder="1" applyAlignment="1" applyProtection="1">
      <alignment vertical="top"/>
    </xf>
    <xf numFmtId="0" fontId="15" fillId="0" borderId="13" xfId="0" applyNumberFormat="1" applyFont="1" applyFill="1" applyBorder="1" applyAlignment="1" applyProtection="1">
      <alignment vertical="top"/>
    </xf>
    <xf numFmtId="0" fontId="15" fillId="0" borderId="29" xfId="0" applyNumberFormat="1" applyFont="1" applyFill="1" applyBorder="1" applyAlignment="1" applyProtection="1">
      <alignment vertical="top"/>
    </xf>
    <xf numFmtId="0" fontId="11" fillId="24" borderId="45" xfId="0" applyFont="1" applyFill="1" applyBorder="1"/>
    <xf numFmtId="0" fontId="7" fillId="0" borderId="25" xfId="0" applyFont="1" applyBorder="1"/>
    <xf numFmtId="0" fontId="11" fillId="0" borderId="28" xfId="0" applyFont="1" applyBorder="1"/>
    <xf numFmtId="0" fontId="11" fillId="0" borderId="28" xfId="0" applyFont="1" applyFill="1" applyBorder="1"/>
    <xf numFmtId="0" fontId="11" fillId="0" borderId="29" xfId="0" applyFont="1" applyFill="1" applyBorder="1"/>
    <xf numFmtId="0" fontId="11" fillId="0" borderId="30" xfId="0" applyFont="1" applyBorder="1"/>
    <xf numFmtId="0" fontId="11" fillId="0" borderId="31" xfId="0" applyFont="1" applyBorder="1"/>
    <xf numFmtId="0" fontId="11" fillId="0" borderId="15" xfId="0" applyFont="1" applyBorder="1"/>
    <xf numFmtId="0" fontId="11" fillId="22" borderId="0" xfId="0" applyFont="1" applyFill="1"/>
    <xf numFmtId="0" fontId="11" fillId="20" borderId="0" xfId="0" applyFont="1" applyFill="1"/>
    <xf numFmtId="0" fontId="11" fillId="22" borderId="13" xfId="0" applyFont="1" applyFill="1" applyBorder="1" applyAlignment="1">
      <alignment wrapText="1"/>
    </xf>
    <xf numFmtId="0" fontId="11" fillId="22" borderId="13" xfId="0" applyFont="1" applyFill="1" applyBorder="1" applyAlignment="1">
      <alignment horizontal="center" wrapText="1"/>
    </xf>
    <xf numFmtId="0" fontId="11" fillId="27" borderId="13" xfId="0" applyFont="1" applyFill="1" applyBorder="1" applyAlignment="1">
      <alignment horizontal="center"/>
    </xf>
    <xf numFmtId="0" fontId="11" fillId="27" borderId="13" xfId="0" applyFont="1" applyFill="1" applyBorder="1" applyAlignment="1">
      <alignment wrapText="1"/>
    </xf>
    <xf numFmtId="0" fontId="11" fillId="27" borderId="13" xfId="0" applyFont="1" applyFill="1" applyBorder="1"/>
    <xf numFmtId="0" fontId="11" fillId="22" borderId="13" xfId="0" applyFont="1" applyFill="1" applyBorder="1"/>
    <xf numFmtId="0" fontId="11" fillId="27" borderId="13" xfId="0" applyFont="1" applyFill="1" applyBorder="1" applyAlignment="1"/>
    <xf numFmtId="0" fontId="11" fillId="0" borderId="13" xfId="0" applyFont="1" applyFill="1" applyBorder="1" applyAlignment="1">
      <alignment horizontal="center"/>
    </xf>
    <xf numFmtId="0" fontId="287" fillId="0" borderId="0" xfId="0" applyFont="1"/>
    <xf numFmtId="0" fontId="287" fillId="26" borderId="0" xfId="0" applyFont="1" applyFill="1"/>
    <xf numFmtId="0" fontId="11" fillId="26" borderId="0" xfId="0" applyFont="1" applyFill="1"/>
    <xf numFmtId="0" fontId="11" fillId="27" borderId="14" xfId="0" applyFont="1" applyFill="1" applyBorder="1"/>
    <xf numFmtId="0" fontId="11" fillId="26" borderId="37" xfId="0" applyFont="1" applyFill="1" applyBorder="1"/>
    <xf numFmtId="0" fontId="11" fillId="26" borderId="16" xfId="0" applyFont="1" applyFill="1" applyBorder="1"/>
    <xf numFmtId="0" fontId="11" fillId="30" borderId="13" xfId="0" applyFont="1" applyFill="1" applyBorder="1"/>
    <xf numFmtId="0" fontId="11" fillId="32" borderId="13" xfId="0" applyFont="1" applyFill="1" applyBorder="1" applyAlignment="1">
      <alignment wrapText="1"/>
    </xf>
    <xf numFmtId="0" fontId="11" fillId="32" borderId="13" xfId="0" applyFont="1" applyFill="1" applyBorder="1"/>
    <xf numFmtId="0" fontId="262" fillId="0" borderId="13" xfId="0" applyFont="1" applyFill="1" applyBorder="1"/>
    <xf numFmtId="0" fontId="11" fillId="19" borderId="13" xfId="0" applyFont="1" applyFill="1" applyBorder="1"/>
    <xf numFmtId="0" fontId="262" fillId="19" borderId="13" xfId="0" applyFont="1" applyFill="1" applyBorder="1"/>
    <xf numFmtId="0" fontId="76" fillId="0" borderId="0" xfId="0" applyFont="1" applyFill="1" applyBorder="1"/>
    <xf numFmtId="0" fontId="77" fillId="0" borderId="0" xfId="0" applyFont="1" applyFill="1"/>
    <xf numFmtId="0" fontId="0" fillId="30" borderId="0" xfId="0" applyFill="1"/>
    <xf numFmtId="0" fontId="15" fillId="30" borderId="0" xfId="0" applyFont="1" applyFill="1" applyBorder="1"/>
    <xf numFmtId="0" fontId="288" fillId="0" borderId="0" xfId="0" applyFont="1" applyFill="1" applyBorder="1"/>
    <xf numFmtId="0" fontId="4" fillId="0" borderId="37" xfId="0" applyFont="1" applyFill="1" applyBorder="1"/>
    <xf numFmtId="0" fontId="4" fillId="0" borderId="13" xfId="0" applyFont="1" applyFill="1" applyBorder="1"/>
    <xf numFmtId="0" fontId="4" fillId="0" borderId="13" xfId="0" applyFont="1" applyFill="1" applyBorder="1" applyAlignment="1">
      <alignment wrapText="1"/>
    </xf>
    <xf numFmtId="0" fontId="289" fillId="0" borderId="13" xfId="0" applyFont="1" applyFill="1" applyBorder="1" applyAlignment="1">
      <alignment wrapText="1"/>
    </xf>
    <xf numFmtId="0" fontId="0" fillId="0" borderId="13" xfId="0" applyFill="1" applyBorder="1" applyAlignment="1">
      <alignment wrapText="1"/>
    </xf>
    <xf numFmtId="2" fontId="4" fillId="0" borderId="37" xfId="0" applyNumberFormat="1" applyFont="1" applyFill="1" applyBorder="1"/>
    <xf numFmtId="0" fontId="4" fillId="0" borderId="44" xfId="0" applyFont="1" applyFill="1" applyBorder="1"/>
    <xf numFmtId="0" fontId="36" fillId="0" borderId="65" xfId="0" applyFont="1" applyFill="1" applyBorder="1"/>
    <xf numFmtId="0" fontId="0" fillId="0" borderId="65" xfId="0" applyFill="1" applyBorder="1"/>
    <xf numFmtId="2" fontId="4" fillId="0" borderId="0" xfId="0" applyNumberFormat="1" applyFont="1" applyFill="1" applyBorder="1"/>
    <xf numFmtId="0" fontId="0" fillId="0" borderId="20" xfId="0" applyFill="1" applyBorder="1"/>
    <xf numFmtId="0" fontId="2" fillId="0" borderId="20" xfId="0" applyFont="1" applyFill="1" applyBorder="1"/>
    <xf numFmtId="0" fontId="271" fillId="0" borderId="34" xfId="0" applyFont="1" applyFill="1" applyBorder="1"/>
    <xf numFmtId="0" fontId="4" fillId="0" borderId="48" xfId="0" applyFont="1" applyFill="1" applyBorder="1"/>
    <xf numFmtId="0" fontId="7" fillId="0" borderId="0" xfId="0" applyFont="1" applyFill="1"/>
    <xf numFmtId="0" fontId="7" fillId="0" borderId="0" xfId="0" applyFont="1" applyFill="1" applyAlignment="1">
      <alignment horizontal="right"/>
    </xf>
    <xf numFmtId="0" fontId="2" fillId="0" borderId="0" xfId="0" applyFont="1" applyFill="1" applyBorder="1" applyAlignment="1">
      <alignment wrapText="1"/>
    </xf>
    <xf numFmtId="0" fontId="30" fillId="0" borderId="0" xfId="0" applyFont="1" applyFill="1" applyBorder="1" applyAlignment="1">
      <alignment horizontal="center" wrapText="1"/>
    </xf>
    <xf numFmtId="0" fontId="2" fillId="0" borderId="13" xfId="0" applyFont="1" applyFill="1" applyBorder="1"/>
    <xf numFmtId="0" fontId="9" fillId="0" borderId="37" xfId="0" applyFont="1" applyFill="1" applyBorder="1"/>
    <xf numFmtId="0" fontId="6" fillId="0" borderId="65" xfId="0" applyFont="1" applyFill="1" applyBorder="1" applyAlignment="1">
      <alignment wrapText="1"/>
    </xf>
    <xf numFmtId="0" fontId="6" fillId="0" borderId="60" xfId="0" applyFont="1" applyFill="1" applyBorder="1"/>
    <xf numFmtId="0" fontId="6" fillId="0" borderId="20" xfId="0" applyFont="1" applyFill="1" applyBorder="1"/>
    <xf numFmtId="0" fontId="0" fillId="0" borderId="20" xfId="0" applyFill="1" applyBorder="1" applyAlignment="1">
      <alignment wrapText="1"/>
    </xf>
    <xf numFmtId="0" fontId="9" fillId="0" borderId="0" xfId="0" applyFont="1" applyFill="1" applyBorder="1"/>
    <xf numFmtId="0" fontId="36" fillId="0" borderId="12" xfId="0" applyFont="1" applyFill="1" applyBorder="1" applyAlignment="1"/>
    <xf numFmtId="0" fontId="290" fillId="0" borderId="0" xfId="0" applyFont="1" applyFill="1"/>
    <xf numFmtId="0" fontId="0" fillId="0" borderId="16" xfId="0" applyFill="1" applyBorder="1" applyAlignment="1">
      <alignment horizontal="center"/>
    </xf>
    <xf numFmtId="0" fontId="2" fillId="0" borderId="13" xfId="0" applyFont="1" applyFill="1" applyBorder="1" applyAlignment="1">
      <alignment wrapText="1"/>
    </xf>
    <xf numFmtId="0" fontId="0" fillId="0" borderId="14" xfId="0" applyFill="1" applyBorder="1" applyAlignment="1">
      <alignment horizontal="center" wrapText="1"/>
    </xf>
    <xf numFmtId="2" fontId="0" fillId="0" borderId="0" xfId="0" applyNumberFormat="1" applyFill="1"/>
    <xf numFmtId="0" fontId="0" fillId="0" borderId="13" xfId="0" applyFill="1" applyBorder="1" applyAlignment="1"/>
    <xf numFmtId="0" fontId="2" fillId="0" borderId="65" xfId="0" applyFont="1" applyFill="1" applyBorder="1" applyAlignment="1">
      <alignment wrapText="1"/>
    </xf>
    <xf numFmtId="0" fontId="9" fillId="0" borderId="60" xfId="0" applyFont="1" applyFill="1" applyBorder="1"/>
    <xf numFmtId="0" fontId="6" fillId="0" borderId="14" xfId="0" applyFont="1" applyFill="1" applyBorder="1"/>
    <xf numFmtId="0" fontId="4" fillId="0" borderId="67" xfId="0" applyFont="1" applyFill="1" applyBorder="1"/>
    <xf numFmtId="0" fontId="6" fillId="0" borderId="13" xfId="0" applyFont="1" applyFill="1" applyBorder="1"/>
    <xf numFmtId="0" fontId="6" fillId="0" borderId="13" xfId="0" applyFont="1" applyFill="1" applyBorder="1" applyAlignment="1">
      <alignment horizontal="left"/>
    </xf>
    <xf numFmtId="0" fontId="6" fillId="0" borderId="37" xfId="0" applyFont="1" applyFill="1" applyBorder="1" applyAlignment="1">
      <alignment horizontal="left"/>
    </xf>
    <xf numFmtId="0" fontId="6" fillId="0" borderId="44" xfId="0" applyFont="1" applyFill="1" applyBorder="1"/>
    <xf numFmtId="0" fontId="4" fillId="0" borderId="65" xfId="0" applyFont="1" applyFill="1" applyBorder="1"/>
    <xf numFmtId="0" fontId="6" fillId="0" borderId="19" xfId="0" applyFont="1" applyFill="1" applyBorder="1"/>
    <xf numFmtId="0" fontId="4" fillId="0" borderId="20" xfId="0" applyFont="1" applyFill="1" applyBorder="1"/>
    <xf numFmtId="0" fontId="6" fillId="0" borderId="14" xfId="0" applyFont="1" applyFill="1" applyBorder="1" applyAlignment="1">
      <alignment wrapText="1"/>
    </xf>
    <xf numFmtId="0" fontId="4" fillId="20" borderId="0" xfId="0" applyFont="1" applyFill="1" applyBorder="1"/>
    <xf numFmtId="0" fontId="6" fillId="0" borderId="13" xfId="0" applyFont="1" applyFill="1" applyBorder="1" applyAlignment="1">
      <alignment wrapText="1"/>
    </xf>
    <xf numFmtId="0" fontId="218" fillId="0" borderId="44" xfId="0" applyFont="1" applyFill="1" applyBorder="1"/>
    <xf numFmtId="0" fontId="21" fillId="0" borderId="65" xfId="0" applyFont="1" applyFill="1" applyBorder="1"/>
    <xf numFmtId="0" fontId="19" fillId="0" borderId="75" xfId="0" applyFont="1" applyFill="1" applyBorder="1" applyAlignment="1">
      <alignment horizontal="left"/>
    </xf>
    <xf numFmtId="0" fontId="19" fillId="0" borderId="76" xfId="0" applyFont="1" applyFill="1" applyBorder="1" applyAlignment="1">
      <alignment horizontal="center"/>
    </xf>
    <xf numFmtId="0" fontId="15" fillId="0" borderId="12" xfId="0" applyFont="1" applyFill="1" applyBorder="1" applyAlignment="1">
      <alignment wrapText="1"/>
    </xf>
    <xf numFmtId="0" fontId="15" fillId="0" borderId="28" xfId="0" applyFont="1" applyFill="1" applyBorder="1" applyAlignment="1">
      <alignment wrapText="1"/>
    </xf>
    <xf numFmtId="0" fontId="15" fillId="0" borderId="28" xfId="0" applyFont="1" applyFill="1" applyBorder="1" applyAlignment="1">
      <alignment vertical="top" wrapText="1"/>
    </xf>
    <xf numFmtId="0" fontId="15" fillId="0" borderId="37" xfId="0" applyFont="1" applyFill="1" applyBorder="1"/>
    <xf numFmtId="0" fontId="11" fillId="0" borderId="13" xfId="0" applyFont="1" applyFill="1" applyBorder="1" applyAlignment="1">
      <alignment vertical="top" wrapText="1"/>
    </xf>
    <xf numFmtId="0" fontId="6" fillId="0" borderId="0" xfId="0" applyFont="1" applyFill="1" applyBorder="1" applyAlignment="1">
      <alignment horizontal="left"/>
    </xf>
    <xf numFmtId="0" fontId="104" fillId="0" borderId="73" xfId="0" applyFont="1" applyFill="1" applyBorder="1" applyAlignment="1">
      <alignment horizontal="center" vertical="top"/>
    </xf>
    <xf numFmtId="0" fontId="104" fillId="0" borderId="45" xfId="0" applyFont="1" applyFill="1" applyBorder="1" applyAlignment="1">
      <alignment horizontal="center" vertical="top"/>
    </xf>
    <xf numFmtId="0" fontId="218" fillId="0" borderId="28" xfId="0" applyFont="1" applyFill="1" applyBorder="1" applyAlignment="1">
      <alignment vertical="top" wrapText="1"/>
    </xf>
    <xf numFmtId="0" fontId="218" fillId="0" borderId="37" xfId="0" applyFont="1" applyFill="1" applyBorder="1"/>
    <xf numFmtId="0" fontId="291" fillId="0" borderId="37" xfId="0" applyFont="1" applyFill="1" applyBorder="1"/>
    <xf numFmtId="0" fontId="37" fillId="0" borderId="13" xfId="0" applyFont="1" applyFill="1" applyBorder="1" applyAlignment="1">
      <alignment vertical="top" wrapText="1"/>
    </xf>
    <xf numFmtId="1" fontId="218" fillId="0" borderId="37" xfId="0" applyNumberFormat="1" applyFont="1" applyFill="1" applyBorder="1"/>
    <xf numFmtId="0" fontId="34" fillId="0" borderId="28" xfId="0" applyFont="1" applyFill="1" applyBorder="1" applyAlignment="1">
      <alignment vertical="top" wrapText="1"/>
    </xf>
    <xf numFmtId="1" fontId="34" fillId="0" borderId="37" xfId="0" applyNumberFormat="1" applyFont="1" applyFill="1" applyBorder="1"/>
    <xf numFmtId="2" fontId="218" fillId="0" borderId="37" xfId="0" applyNumberFormat="1" applyFont="1" applyFill="1" applyBorder="1"/>
    <xf numFmtId="0" fontId="21" fillId="0" borderId="0" xfId="0" applyFont="1" applyFill="1" applyBorder="1"/>
    <xf numFmtId="0" fontId="218" fillId="0" borderId="81" xfId="0" applyFont="1" applyFill="1" applyBorder="1" applyAlignment="1">
      <alignment vertical="top" wrapText="1"/>
    </xf>
    <xf numFmtId="2" fontId="218" fillId="0" borderId="65" xfId="0" applyNumberFormat="1" applyFont="1" applyFill="1" applyBorder="1"/>
    <xf numFmtId="0" fontId="81" fillId="0" borderId="13" xfId="0" applyFont="1" applyFill="1" applyBorder="1"/>
    <xf numFmtId="0" fontId="289" fillId="0" borderId="37" xfId="0" applyFont="1" applyFill="1" applyBorder="1"/>
    <xf numFmtId="0" fontId="262" fillId="20" borderId="0" xfId="0" applyFont="1" applyFill="1" applyBorder="1"/>
    <xf numFmtId="0" fontId="75" fillId="20" borderId="0" xfId="0" applyFont="1" applyFill="1" applyBorder="1"/>
    <xf numFmtId="1" fontId="218" fillId="0" borderId="0" xfId="0" applyNumberFormat="1" applyFont="1" applyFill="1" applyBorder="1"/>
    <xf numFmtId="0" fontId="0" fillId="0" borderId="67" xfId="0" applyFill="1" applyBorder="1" applyAlignment="1">
      <alignment horizontal="center" wrapText="1"/>
    </xf>
    <xf numFmtId="0" fontId="0" fillId="0" borderId="42" xfId="0" applyFill="1" applyBorder="1" applyAlignment="1">
      <alignment horizontal="center" wrapText="1"/>
    </xf>
    <xf numFmtId="0" fontId="6" fillId="0" borderId="37" xfId="0" applyFont="1" applyFill="1" applyBorder="1" applyAlignment="1">
      <alignment wrapText="1"/>
    </xf>
    <xf numFmtId="0" fontId="106" fillId="0" borderId="0" xfId="0" applyFont="1" applyFill="1" applyBorder="1" applyAlignment="1"/>
    <xf numFmtId="0" fontId="36" fillId="0" borderId="13" xfId="0" applyFont="1" applyFill="1" applyBorder="1" applyAlignment="1">
      <alignment wrapText="1"/>
    </xf>
    <xf numFmtId="0" fontId="70" fillId="0" borderId="37" xfId="0" applyFont="1" applyFill="1" applyBorder="1"/>
    <xf numFmtId="0" fontId="70" fillId="0" borderId="13" xfId="0" applyFont="1" applyFill="1" applyBorder="1" applyAlignment="1">
      <alignment wrapText="1"/>
    </xf>
    <xf numFmtId="0" fontId="266" fillId="0" borderId="0" xfId="0" applyFont="1" applyFill="1"/>
    <xf numFmtId="0" fontId="292" fillId="19" borderId="13" xfId="0" applyFont="1" applyFill="1" applyBorder="1"/>
    <xf numFmtId="2" fontId="292" fillId="19" borderId="37" xfId="0" applyNumberFormat="1" applyFont="1" applyFill="1" applyBorder="1"/>
    <xf numFmtId="2" fontId="292" fillId="0" borderId="0" xfId="0" applyNumberFormat="1" applyFont="1" applyFill="1" applyBorder="1"/>
    <xf numFmtId="2" fontId="293" fillId="0" borderId="0" xfId="0" applyNumberFormat="1" applyFont="1" applyFill="1" applyBorder="1"/>
    <xf numFmtId="0" fontId="292" fillId="0" borderId="13" xfId="0" applyFont="1" applyFill="1" applyBorder="1"/>
    <xf numFmtId="2" fontId="292" fillId="0" borderId="37" xfId="0" applyNumberFormat="1" applyFont="1" applyFill="1" applyBorder="1"/>
    <xf numFmtId="2" fontId="81" fillId="0" borderId="0" xfId="0" applyNumberFormat="1" applyFont="1" applyFill="1" applyBorder="1"/>
    <xf numFmtId="2" fontId="160" fillId="0" borderId="0" xfId="0" applyNumberFormat="1" applyFont="1" applyFill="1" applyBorder="1"/>
    <xf numFmtId="165" fontId="6" fillId="0" borderId="0" xfId="0" applyNumberFormat="1" applyFont="1" applyFill="1" applyBorder="1"/>
    <xf numFmtId="165" fontId="4" fillId="0" borderId="0" xfId="0" applyNumberFormat="1" applyFont="1" applyFill="1" applyBorder="1"/>
    <xf numFmtId="0" fontId="81" fillId="0" borderId="0" xfId="0" applyFont="1" applyFill="1"/>
    <xf numFmtId="0" fontId="266" fillId="0" borderId="13" xfId="0" applyFont="1" applyFill="1" applyBorder="1"/>
    <xf numFmtId="2" fontId="266" fillId="0" borderId="37" xfId="0" applyNumberFormat="1" applyFont="1" applyFill="1" applyBorder="1"/>
    <xf numFmtId="165" fontId="81" fillId="0" borderId="37" xfId="0" applyNumberFormat="1" applyFont="1" applyFill="1" applyBorder="1"/>
    <xf numFmtId="1" fontId="266" fillId="0" borderId="37" xfId="0" applyNumberFormat="1" applyFont="1" applyFill="1" applyBorder="1"/>
    <xf numFmtId="1" fontId="81" fillId="0" borderId="37" xfId="0" applyNumberFormat="1" applyFont="1" applyFill="1" applyBorder="1"/>
    <xf numFmtId="166" fontId="81" fillId="0" borderId="0" xfId="0" applyNumberFormat="1" applyFont="1" applyFill="1" applyBorder="1"/>
    <xf numFmtId="166" fontId="160" fillId="0" borderId="0" xfId="0" applyNumberFormat="1" applyFont="1" applyFill="1" applyBorder="1"/>
    <xf numFmtId="2" fontId="81" fillId="0" borderId="37" xfId="0" applyNumberFormat="1" applyFont="1" applyFill="1" applyBorder="1"/>
    <xf numFmtId="0" fontId="81" fillId="0" borderId="13" xfId="0" applyFont="1" applyFill="1" applyBorder="1" applyAlignment="1">
      <alignment wrapText="1"/>
    </xf>
    <xf numFmtId="0" fontId="266" fillId="0" borderId="13" xfId="0" applyFont="1" applyFill="1" applyBorder="1" applyAlignment="1">
      <alignment wrapText="1"/>
    </xf>
    <xf numFmtId="166" fontId="292" fillId="0" borderId="37" xfId="0" applyNumberFormat="1" applyFont="1" applyFill="1" applyBorder="1"/>
    <xf numFmtId="166" fontId="266" fillId="0" borderId="37" xfId="0" applyNumberFormat="1" applyFont="1" applyFill="1" applyBorder="1"/>
    <xf numFmtId="0" fontId="292" fillId="0" borderId="13" xfId="0" applyFont="1" applyFill="1" applyBorder="1" applyAlignment="1">
      <alignment wrapText="1"/>
    </xf>
    <xf numFmtId="2" fontId="292" fillId="20" borderId="0" xfId="0" applyNumberFormat="1" applyFont="1" applyFill="1" applyBorder="1"/>
    <xf numFmtId="2" fontId="294" fillId="0" borderId="0" xfId="0" applyNumberFormat="1" applyFont="1" applyFill="1" applyBorder="1"/>
    <xf numFmtId="49" fontId="81" fillId="0" borderId="13" xfId="0" applyNumberFormat="1" applyFont="1" applyFill="1" applyBorder="1" applyAlignment="1">
      <alignment wrapText="1"/>
    </xf>
    <xf numFmtId="166" fontId="81" fillId="0" borderId="37" xfId="0" applyNumberFormat="1" applyFont="1" applyFill="1" applyBorder="1"/>
    <xf numFmtId="0" fontId="81" fillId="20" borderId="0" xfId="0" applyFont="1" applyFill="1" applyBorder="1"/>
    <xf numFmtId="0" fontId="81" fillId="0" borderId="0" xfId="0" applyFont="1" applyFill="1" applyBorder="1"/>
    <xf numFmtId="2" fontId="266" fillId="20" borderId="0" xfId="0" applyNumberFormat="1" applyFont="1" applyFill="1" applyBorder="1"/>
    <xf numFmtId="2" fontId="266" fillId="0" borderId="0" xfId="0" applyNumberFormat="1" applyFont="1" applyFill="1" applyBorder="1"/>
    <xf numFmtId="2" fontId="289" fillId="0" borderId="0" xfId="0" applyNumberFormat="1" applyFont="1" applyFill="1" applyBorder="1"/>
    <xf numFmtId="165" fontId="81" fillId="20" borderId="0" xfId="0" applyNumberFormat="1" applyFont="1" applyFill="1" applyBorder="1"/>
    <xf numFmtId="165" fontId="81" fillId="0" borderId="0" xfId="0" applyNumberFormat="1" applyFont="1" applyFill="1" applyBorder="1"/>
    <xf numFmtId="165" fontId="160" fillId="0" borderId="0" xfId="0" applyNumberFormat="1" applyFont="1" applyFill="1" applyBorder="1"/>
    <xf numFmtId="1" fontId="266" fillId="20" borderId="0" xfId="0" applyNumberFormat="1" applyFont="1" applyFill="1" applyBorder="1"/>
    <xf numFmtId="1" fontId="266" fillId="0" borderId="0" xfId="0" applyNumberFormat="1" applyFont="1" applyFill="1" applyBorder="1"/>
    <xf numFmtId="1" fontId="289" fillId="0" borderId="0" xfId="0" applyNumberFormat="1" applyFont="1" applyFill="1" applyBorder="1"/>
    <xf numFmtId="1" fontId="81" fillId="20" borderId="0" xfId="0" applyNumberFormat="1" applyFont="1" applyFill="1" applyBorder="1"/>
    <xf numFmtId="1" fontId="81" fillId="0" borderId="0" xfId="0" applyNumberFormat="1" applyFont="1" applyFill="1" applyBorder="1"/>
    <xf numFmtId="1" fontId="160" fillId="0" borderId="0" xfId="0" applyNumberFormat="1" applyFont="1" applyFill="1" applyBorder="1"/>
    <xf numFmtId="49" fontId="292" fillId="0" borderId="13" xfId="0" applyNumberFormat="1" applyFont="1" applyFill="1" applyBorder="1" applyAlignment="1">
      <alignment wrapText="1"/>
    </xf>
    <xf numFmtId="166" fontId="295" fillId="0" borderId="0" xfId="0" applyNumberFormat="1" applyFont="1" applyFill="1" applyBorder="1"/>
    <xf numFmtId="169" fontId="293" fillId="0" borderId="0" xfId="0" applyNumberFormat="1" applyFont="1" applyFill="1" applyBorder="1"/>
    <xf numFmtId="0" fontId="76" fillId="0" borderId="0" xfId="0" applyFont="1" applyFill="1" applyBorder="1" applyAlignment="1">
      <alignment wrapText="1"/>
    </xf>
    <xf numFmtId="166" fontId="295" fillId="20" borderId="0" xfId="0" applyNumberFormat="1" applyFont="1" applyFill="1" applyBorder="1"/>
    <xf numFmtId="166" fontId="293" fillId="0" borderId="0" xfId="0" applyNumberFormat="1" applyFont="1" applyFill="1" applyBorder="1"/>
    <xf numFmtId="1" fontId="293" fillId="0" borderId="0" xfId="0" applyNumberFormat="1" applyFont="1" applyFill="1" applyBorder="1"/>
    <xf numFmtId="167" fontId="293" fillId="0" borderId="0" xfId="0" applyNumberFormat="1" applyFont="1" applyFill="1" applyBorder="1"/>
    <xf numFmtId="166" fontId="296" fillId="0" borderId="0" xfId="0" applyNumberFormat="1" applyFont="1" applyFill="1" applyBorder="1"/>
    <xf numFmtId="0" fontId="75" fillId="0" borderId="0" xfId="0" applyFont="1" applyFill="1" applyBorder="1" applyAlignment="1">
      <alignment wrapText="1"/>
    </xf>
    <xf numFmtId="0" fontId="75" fillId="0" borderId="0" xfId="0" applyFont="1" applyFill="1" applyBorder="1" applyAlignment="1">
      <alignment horizontal="right" wrapText="1"/>
    </xf>
    <xf numFmtId="0" fontId="75" fillId="0" borderId="61" xfId="0" applyFont="1" applyFill="1" applyBorder="1" applyAlignment="1">
      <alignment horizontal="right" wrapText="1"/>
    </xf>
    <xf numFmtId="0" fontId="75" fillId="0" borderId="61" xfId="0" applyFont="1" applyFill="1" applyBorder="1"/>
    <xf numFmtId="2" fontId="15" fillId="0" borderId="0" xfId="0" applyNumberFormat="1" applyFont="1" applyFill="1" applyBorder="1"/>
    <xf numFmtId="2" fontId="15" fillId="22" borderId="0" xfId="0" applyNumberFormat="1" applyFont="1" applyFill="1" applyBorder="1"/>
    <xf numFmtId="0" fontId="2" fillId="0" borderId="0" xfId="0" applyFont="1" applyFill="1" applyAlignment="1">
      <alignment horizontal="center" wrapText="1"/>
    </xf>
    <xf numFmtId="0" fontId="0" fillId="0" borderId="0" xfId="0" applyFill="1" applyBorder="1" applyAlignment="1">
      <alignment horizontal="center" wrapText="1"/>
    </xf>
    <xf numFmtId="0" fontId="0" fillId="0" borderId="0" xfId="0" applyFill="1" applyAlignment="1">
      <alignment horizontal="center"/>
    </xf>
    <xf numFmtId="0" fontId="0" fillId="0" borderId="0" xfId="0" applyFill="1" applyAlignment="1">
      <alignment horizontal="center" wrapText="1"/>
    </xf>
    <xf numFmtId="0" fontId="2" fillId="0" borderId="0" xfId="0" applyFont="1" applyFill="1" applyAlignment="1">
      <alignment horizontal="center"/>
    </xf>
    <xf numFmtId="0" fontId="0" fillId="0" borderId="38" xfId="0" applyFill="1" applyBorder="1"/>
    <xf numFmtId="0" fontId="0" fillId="0" borderId="48" xfId="0" applyFill="1" applyBorder="1"/>
    <xf numFmtId="0" fontId="11" fillId="0" borderId="20" xfId="0" applyFont="1" applyBorder="1"/>
    <xf numFmtId="0" fontId="220" fillId="0" borderId="13" xfId="0" applyFont="1" applyBorder="1" applyAlignment="1">
      <alignment wrapText="1"/>
    </xf>
    <xf numFmtId="1" fontId="11" fillId="0" borderId="0" xfId="0" applyNumberFormat="1" applyFont="1" applyFill="1" applyBorder="1"/>
    <xf numFmtId="2" fontId="15" fillId="24" borderId="13" xfId="0" applyNumberFormat="1" applyFont="1" applyFill="1" applyBorder="1" applyAlignment="1">
      <alignment wrapText="1"/>
    </xf>
    <xf numFmtId="0" fontId="15" fillId="24" borderId="13" xfId="0" applyFont="1" applyFill="1" applyBorder="1" applyAlignment="1">
      <alignment wrapText="1"/>
    </xf>
    <xf numFmtId="2" fontId="15" fillId="24" borderId="13" xfId="0" applyNumberFormat="1" applyFont="1" applyFill="1" applyBorder="1" applyAlignment="1">
      <alignment horizontal="center"/>
    </xf>
    <xf numFmtId="1" fontId="15" fillId="24" borderId="13" xfId="0" applyNumberFormat="1" applyFont="1" applyFill="1" applyBorder="1" applyAlignment="1">
      <alignment horizontal="center"/>
    </xf>
    <xf numFmtId="2" fontId="15" fillId="0" borderId="0" xfId="0" applyNumberFormat="1" applyFont="1" applyFill="1" applyBorder="1" applyAlignment="1" applyProtection="1">
      <alignment horizontal="center" vertical="top" wrapText="1"/>
    </xf>
    <xf numFmtId="166" fontId="15" fillId="0" borderId="13" xfId="0" applyNumberFormat="1" applyFont="1" applyBorder="1" applyAlignment="1">
      <alignment horizontal="center"/>
    </xf>
    <xf numFmtId="165" fontId="15" fillId="0" borderId="13" xfId="0" applyNumberFormat="1" applyFont="1" applyBorder="1" applyAlignment="1">
      <alignment horizontal="center"/>
    </xf>
    <xf numFmtId="0" fontId="15" fillId="0" borderId="13" xfId="0" applyFont="1" applyBorder="1" applyAlignment="1">
      <alignment horizontal="center"/>
    </xf>
    <xf numFmtId="2" fontId="15" fillId="24" borderId="45" xfId="0" applyNumberFormat="1" applyFont="1" applyFill="1" applyBorder="1" applyAlignment="1">
      <alignment horizontal="center"/>
    </xf>
    <xf numFmtId="0" fontId="16" fillId="0" borderId="0" xfId="0" applyFont="1" applyBorder="1" applyAlignment="1">
      <alignment horizontal="center" wrapText="1"/>
    </xf>
    <xf numFmtId="2" fontId="15" fillId="0" borderId="13" xfId="0" applyNumberFormat="1" applyFont="1" applyBorder="1" applyAlignment="1">
      <alignment horizontal="center"/>
    </xf>
    <xf numFmtId="0" fontId="257" fillId="0" borderId="0" xfId="0" applyFont="1" applyBorder="1" applyAlignment="1">
      <alignment wrapText="1"/>
    </xf>
    <xf numFmtId="2" fontId="19" fillId="24" borderId="16" xfId="0" applyNumberFormat="1" applyFont="1" applyFill="1" applyBorder="1" applyAlignment="1">
      <alignment horizontal="center"/>
    </xf>
    <xf numFmtId="0" fontId="10" fillId="0" borderId="0" xfId="0" applyFont="1" applyBorder="1"/>
    <xf numFmtId="0" fontId="297" fillId="0" borderId="0" xfId="0" applyFont="1" applyBorder="1"/>
    <xf numFmtId="2" fontId="15" fillId="24" borderId="60" xfId="0" applyNumberFormat="1" applyFont="1" applyFill="1" applyBorder="1" applyAlignment="1">
      <alignment horizontal="center"/>
    </xf>
    <xf numFmtId="2" fontId="15" fillId="24" borderId="44" xfId="0" applyNumberFormat="1" applyFont="1" applyFill="1" applyBorder="1" applyAlignment="1">
      <alignment horizontal="center"/>
    </xf>
    <xf numFmtId="165" fontId="15" fillId="0" borderId="44" xfId="0" applyNumberFormat="1" applyFont="1" applyBorder="1" applyAlignment="1">
      <alignment horizontal="center"/>
    </xf>
    <xf numFmtId="2" fontId="15" fillId="0" borderId="44" xfId="0" applyNumberFormat="1" applyFont="1" applyBorder="1" applyAlignment="1">
      <alignment horizontal="center"/>
    </xf>
    <xf numFmtId="0" fontId="15" fillId="0" borderId="44" xfId="0" applyFont="1" applyBorder="1" applyAlignment="1">
      <alignment horizontal="center"/>
    </xf>
    <xf numFmtId="0" fontId="15" fillId="0" borderId="0" xfId="0" applyNumberFormat="1" applyFont="1" applyFill="1" applyBorder="1" applyAlignment="1" applyProtection="1">
      <alignment horizontal="centerContinuous" vertical="top"/>
    </xf>
    <xf numFmtId="0" fontId="19" fillId="0" borderId="44" xfId="0" applyFont="1" applyBorder="1" applyAlignment="1">
      <alignment horizontal="left"/>
    </xf>
    <xf numFmtId="0" fontId="0" fillId="0" borderId="60" xfId="0" applyBorder="1" applyAlignment="1">
      <alignment horizontal="left"/>
    </xf>
    <xf numFmtId="2" fontId="19" fillId="0" borderId="16" xfId="0" applyNumberFormat="1" applyFont="1" applyBorder="1" applyAlignment="1">
      <alignment horizontal="center"/>
    </xf>
    <xf numFmtId="0" fontId="19" fillId="0" borderId="37" xfId="0" applyFont="1" applyBorder="1" applyAlignment="1">
      <alignment horizontal="left"/>
    </xf>
    <xf numFmtId="2" fontId="15" fillId="24" borderId="16" xfId="0" applyNumberFormat="1" applyFont="1" applyFill="1" applyBorder="1" applyAlignment="1">
      <alignment horizontal="center"/>
    </xf>
    <xf numFmtId="2" fontId="19" fillId="24" borderId="13" xfId="0" applyNumberFormat="1" applyFont="1" applyFill="1" applyBorder="1" applyAlignment="1">
      <alignment horizontal="center"/>
    </xf>
    <xf numFmtId="0" fontId="218" fillId="0" borderId="0" xfId="0" applyNumberFormat="1" applyFont="1" applyFill="1" applyBorder="1" applyAlignment="1" applyProtection="1">
      <alignment horizontal="left" vertical="top"/>
    </xf>
    <xf numFmtId="0" fontId="19" fillId="0" borderId="37" xfId="0" applyFont="1" applyBorder="1"/>
    <xf numFmtId="0" fontId="15" fillId="0" borderId="13" xfId="0" applyFont="1" applyBorder="1" applyAlignment="1">
      <alignment horizontal="right"/>
    </xf>
    <xf numFmtId="0" fontId="15" fillId="0" borderId="13" xfId="0" applyFont="1" applyBorder="1" applyAlignment="1">
      <alignment horizontal="right" wrapText="1"/>
    </xf>
    <xf numFmtId="0" fontId="298" fillId="0" borderId="0" xfId="0" applyFont="1"/>
    <xf numFmtId="0" fontId="15" fillId="0" borderId="13" xfId="0" applyFont="1" applyBorder="1" applyAlignment="1">
      <alignment horizontal="left"/>
    </xf>
    <xf numFmtId="165" fontId="15" fillId="0" borderId="45" xfId="0" applyNumberFormat="1" applyFont="1" applyFill="1" applyBorder="1"/>
    <xf numFmtId="165" fontId="15" fillId="0" borderId="16" xfId="0" applyNumberFormat="1" applyFont="1" applyFill="1" applyBorder="1"/>
    <xf numFmtId="2" fontId="19" fillId="0" borderId="16" xfId="0" applyNumberFormat="1" applyFont="1" applyFill="1" applyBorder="1" applyAlignment="1">
      <alignment horizontal="center"/>
    </xf>
    <xf numFmtId="165" fontId="19" fillId="0" borderId="45" xfId="0" applyNumberFormat="1" applyFont="1" applyFill="1" applyBorder="1"/>
    <xf numFmtId="165" fontId="19" fillId="0" borderId="16" xfId="0" applyNumberFormat="1" applyFont="1" applyFill="1" applyBorder="1"/>
    <xf numFmtId="2" fontId="19" fillId="0" borderId="13" xfId="0" applyNumberFormat="1" applyFont="1" applyFill="1" applyBorder="1" applyAlignment="1">
      <alignment horizontal="center"/>
    </xf>
    <xf numFmtId="0" fontId="11" fillId="21" borderId="0" xfId="0" applyFont="1" applyFill="1" applyBorder="1"/>
    <xf numFmtId="0" fontId="15" fillId="21" borderId="0" xfId="0" applyNumberFormat="1" applyFont="1" applyFill="1" applyBorder="1" applyAlignment="1" applyProtection="1">
      <alignment vertical="top" wrapText="1"/>
    </xf>
    <xf numFmtId="0" fontId="15" fillId="21" borderId="0" xfId="0" applyNumberFormat="1" applyFont="1" applyFill="1" applyBorder="1" applyAlignment="1" applyProtection="1">
      <alignment horizontal="center" vertical="top" wrapText="1"/>
    </xf>
    <xf numFmtId="0" fontId="109" fillId="0" borderId="13" xfId="0" applyFont="1" applyBorder="1" applyAlignment="1">
      <alignment horizontal="center" wrapText="1"/>
    </xf>
    <xf numFmtId="0" fontId="15" fillId="22" borderId="13" xfId="0" applyFont="1" applyFill="1" applyBorder="1" applyAlignment="1">
      <alignment horizontal="center"/>
    </xf>
    <xf numFmtId="164" fontId="15" fillId="0" borderId="13" xfId="29" applyFont="1" applyBorder="1" applyAlignment="1">
      <alignment wrapText="1"/>
    </xf>
    <xf numFmtId="0" fontId="214" fillId="0" borderId="13" xfId="0" applyFont="1" applyBorder="1" applyAlignment="1">
      <alignment wrapText="1"/>
    </xf>
    <xf numFmtId="0" fontId="0" fillId="0" borderId="25" xfId="0" applyBorder="1" applyProtection="1">
      <protection hidden="1"/>
    </xf>
    <xf numFmtId="0" fontId="14" fillId="0" borderId="21" xfId="0" applyFont="1" applyFill="1" applyBorder="1" applyProtection="1">
      <protection hidden="1"/>
    </xf>
    <xf numFmtId="0" fontId="57" fillId="0" borderId="25" xfId="42" applyFont="1" applyFill="1" applyBorder="1" applyAlignment="1" applyProtection="1">
      <alignment horizontal="center" vertical="top" wrapText="1"/>
      <protection locked="0"/>
    </xf>
    <xf numFmtId="0" fontId="57" fillId="0" borderId="21" xfId="42" applyFont="1" applyFill="1" applyBorder="1" applyAlignment="1" applyProtection="1">
      <alignment horizontal="center" vertical="top" wrapText="1"/>
      <protection locked="0"/>
    </xf>
    <xf numFmtId="0" fontId="0" fillId="0" borderId="0" xfId="0" applyBorder="1" applyAlignment="1">
      <alignment horizontal="left"/>
    </xf>
    <xf numFmtId="0" fontId="14" fillId="0" borderId="51" xfId="0" applyFont="1" applyBorder="1"/>
    <xf numFmtId="2" fontId="218" fillId="0" borderId="13" xfId="0" applyNumberFormat="1" applyFont="1" applyFill="1" applyBorder="1" applyAlignment="1">
      <alignment horizontal="center"/>
    </xf>
    <xf numFmtId="1" fontId="218" fillId="0" borderId="13" xfId="0" applyNumberFormat="1" applyFont="1" applyFill="1" applyBorder="1" applyAlignment="1">
      <alignment horizontal="center"/>
    </xf>
    <xf numFmtId="0" fontId="14" fillId="0" borderId="15" xfId="0" applyFont="1" applyFill="1" applyBorder="1" applyProtection="1">
      <protection hidden="1"/>
    </xf>
    <xf numFmtId="0" fontId="11" fillId="0" borderId="59" xfId="0" applyFont="1" applyBorder="1"/>
    <xf numFmtId="165" fontId="11" fillId="21" borderId="0" xfId="0" applyNumberFormat="1" applyFont="1" applyFill="1" applyBorder="1"/>
    <xf numFmtId="0" fontId="37" fillId="0" borderId="0" xfId="0" applyFont="1" applyBorder="1" applyAlignment="1">
      <alignment wrapText="1"/>
    </xf>
    <xf numFmtId="165" fontId="37" fillId="0" borderId="0" xfId="0" applyNumberFormat="1" applyFont="1" applyFill="1" applyBorder="1"/>
    <xf numFmtId="0" fontId="218" fillId="0" borderId="13" xfId="0" applyFont="1" applyBorder="1" applyAlignment="1">
      <alignment wrapText="1"/>
    </xf>
    <xf numFmtId="0" fontId="299" fillId="0" borderId="13" xfId="0" applyFont="1" applyBorder="1" applyAlignment="1">
      <alignment wrapText="1"/>
    </xf>
    <xf numFmtId="0" fontId="300" fillId="0" borderId="13" xfId="0" applyFont="1" applyFill="1" applyBorder="1"/>
    <xf numFmtId="0" fontId="268" fillId="20" borderId="13" xfId="0" applyFont="1" applyFill="1" applyBorder="1" applyAlignment="1"/>
    <xf numFmtId="165" fontId="11" fillId="0" borderId="37" xfId="0" applyNumberFormat="1" applyFont="1" applyFill="1" applyBorder="1"/>
    <xf numFmtId="0" fontId="7" fillId="0" borderId="13" xfId="0" applyFont="1" applyFill="1" applyBorder="1" applyAlignment="1">
      <alignment wrapText="1"/>
    </xf>
    <xf numFmtId="0" fontId="7" fillId="0" borderId="13" xfId="0" applyFont="1" applyBorder="1" applyAlignment="1">
      <alignment horizontal="center" wrapText="1"/>
    </xf>
    <xf numFmtId="0" fontId="11" fillId="18" borderId="13" xfId="0" applyFont="1" applyFill="1" applyBorder="1" applyAlignment="1">
      <alignment wrapText="1"/>
    </xf>
    <xf numFmtId="0" fontId="11" fillId="18" borderId="13" xfId="0" applyFont="1" applyFill="1" applyBorder="1"/>
    <xf numFmtId="0" fontId="7" fillId="18" borderId="13" xfId="0" applyFont="1" applyFill="1" applyBorder="1" applyAlignment="1">
      <alignment wrapText="1"/>
    </xf>
    <xf numFmtId="0" fontId="7" fillId="0" borderId="13" xfId="0" applyFont="1" applyFill="1" applyBorder="1" applyAlignment="1">
      <alignment horizontal="center" wrapText="1"/>
    </xf>
    <xf numFmtId="0" fontId="11" fillId="21" borderId="13" xfId="0" applyFont="1" applyFill="1" applyBorder="1" applyAlignment="1">
      <alignment wrapText="1"/>
    </xf>
    <xf numFmtId="0" fontId="7" fillId="21" borderId="13" xfId="0" applyFont="1" applyFill="1" applyBorder="1" applyAlignment="1">
      <alignment wrapText="1"/>
    </xf>
    <xf numFmtId="0" fontId="7" fillId="18" borderId="13" xfId="0" applyFont="1" applyFill="1" applyBorder="1"/>
    <xf numFmtId="0" fontId="11" fillId="0" borderId="13" xfId="0" applyFont="1" applyFill="1" applyBorder="1" applyAlignment="1">
      <alignment wrapText="1"/>
    </xf>
    <xf numFmtId="0" fontId="7" fillId="23" borderId="13" xfId="0" applyFont="1" applyFill="1" applyBorder="1"/>
    <xf numFmtId="0" fontId="267" fillId="23" borderId="37" xfId="0" applyFont="1" applyFill="1" applyBorder="1"/>
    <xf numFmtId="0" fontId="269" fillId="23" borderId="13" xfId="0" applyFont="1" applyFill="1" applyBorder="1"/>
    <xf numFmtId="0" fontId="7" fillId="0" borderId="37" xfId="0" applyFont="1" applyFill="1" applyBorder="1"/>
    <xf numFmtId="0" fontId="7" fillId="0" borderId="0" xfId="0" applyFont="1" applyFill="1" applyBorder="1"/>
    <xf numFmtId="0" fontId="10" fillId="27" borderId="13" xfId="0" applyFont="1" applyFill="1" applyBorder="1"/>
    <xf numFmtId="0" fontId="11" fillId="27" borderId="37" xfId="0" applyFont="1" applyFill="1" applyBorder="1"/>
    <xf numFmtId="0" fontId="267" fillId="27" borderId="37" xfId="0" applyFont="1" applyFill="1" applyBorder="1"/>
    <xf numFmtId="0" fontId="267" fillId="20" borderId="37" xfId="0" applyFont="1" applyFill="1" applyBorder="1"/>
    <xf numFmtId="0" fontId="10" fillId="0" borderId="13" xfId="0" applyFont="1" applyFill="1" applyBorder="1"/>
    <xf numFmtId="0" fontId="10" fillId="0" borderId="13" xfId="0" applyFont="1" applyFill="1" applyBorder="1" applyAlignment="1">
      <alignment wrapText="1"/>
    </xf>
    <xf numFmtId="171" fontId="267" fillId="0" borderId="0" xfId="0" applyNumberFormat="1" applyFont="1" applyFill="1" applyBorder="1"/>
    <xf numFmtId="0" fontId="287" fillId="0" borderId="13" xfId="0" applyFont="1" applyBorder="1"/>
    <xf numFmtId="0" fontId="287" fillId="0" borderId="13" xfId="0" applyFont="1" applyBorder="1" applyAlignment="1">
      <alignment horizontal="left" wrapText="1"/>
    </xf>
    <xf numFmtId="0" fontId="267" fillId="0" borderId="37" xfId="0" applyFont="1" applyBorder="1" applyAlignment="1">
      <alignment horizontal="left"/>
    </xf>
    <xf numFmtId="0" fontId="267" fillId="0" borderId="0" xfId="0" applyFont="1" applyFill="1" applyBorder="1" applyAlignment="1">
      <alignment horizontal="left"/>
    </xf>
    <xf numFmtId="0" fontId="11" fillId="0" borderId="0" xfId="0" applyFont="1" applyFill="1" applyBorder="1" applyAlignment="1">
      <alignment horizontal="left"/>
    </xf>
    <xf numFmtId="0" fontId="11" fillId="0" borderId="0" xfId="0" applyFont="1" applyBorder="1" applyAlignment="1">
      <alignment horizontal="left"/>
    </xf>
    <xf numFmtId="0" fontId="301" fillId="28" borderId="13" xfId="0" applyFont="1" applyFill="1" applyBorder="1" applyAlignment="1">
      <alignment horizontal="left"/>
    </xf>
    <xf numFmtId="0" fontId="267" fillId="0" borderId="37" xfId="0" applyFont="1" applyBorder="1" applyAlignment="1"/>
    <xf numFmtId="0" fontId="267" fillId="0" borderId="0" xfId="0" applyFont="1" applyFill="1" applyBorder="1" applyAlignment="1"/>
    <xf numFmtId="0" fontId="220" fillId="0" borderId="13" xfId="0" applyFont="1" applyBorder="1" applyAlignment="1">
      <alignment vertical="top" wrapText="1"/>
    </xf>
    <xf numFmtId="0" fontId="37" fillId="0" borderId="13" xfId="0" applyFont="1" applyBorder="1" applyAlignment="1">
      <alignment vertical="top" wrapText="1"/>
    </xf>
    <xf numFmtId="0" fontId="37" fillId="24" borderId="37" xfId="0" applyFont="1" applyFill="1" applyBorder="1"/>
    <xf numFmtId="0" fontId="37" fillId="0" borderId="0" xfId="0" applyFont="1" applyFill="1" applyBorder="1"/>
    <xf numFmtId="0" fontId="11" fillId="0" borderId="13" xfId="0" applyFont="1" applyBorder="1" applyAlignment="1">
      <alignment vertical="top" wrapText="1"/>
    </xf>
    <xf numFmtId="1" fontId="37" fillId="24" borderId="37" xfId="0" applyNumberFormat="1" applyFont="1" applyFill="1" applyBorder="1"/>
    <xf numFmtId="1" fontId="37" fillId="0" borderId="0" xfId="0" applyNumberFormat="1" applyFont="1" applyFill="1" applyBorder="1"/>
    <xf numFmtId="0" fontId="219" fillId="0" borderId="13" xfId="0" applyFont="1" applyBorder="1" applyAlignment="1">
      <alignment vertical="top" wrapText="1"/>
    </xf>
    <xf numFmtId="1" fontId="219" fillId="24" borderId="37" xfId="0" applyNumberFormat="1" applyFont="1" applyFill="1" applyBorder="1"/>
    <xf numFmtId="1" fontId="219" fillId="0" borderId="0" xfId="0" applyNumberFormat="1" applyFont="1" applyFill="1" applyBorder="1"/>
    <xf numFmtId="2" fontId="37" fillId="24" borderId="37" xfId="0" applyNumberFormat="1" applyFont="1" applyFill="1" applyBorder="1"/>
    <xf numFmtId="2" fontId="37" fillId="0" borderId="0" xfId="0" applyNumberFormat="1" applyFont="1" applyFill="1" applyBorder="1"/>
    <xf numFmtId="0" fontId="12" fillId="0" borderId="13" xfId="0" applyFont="1" applyBorder="1" applyAlignment="1">
      <alignment vertical="top" wrapText="1"/>
    </xf>
    <xf numFmtId="0" fontId="75" fillId="0" borderId="13" xfId="0" applyFont="1" applyFill="1" applyBorder="1"/>
    <xf numFmtId="0" fontId="285" fillId="0" borderId="13" xfId="0" applyFont="1" applyFill="1" applyBorder="1" applyAlignment="1">
      <alignment horizontal="center"/>
    </xf>
    <xf numFmtId="2" fontId="285" fillId="0" borderId="37" xfId="0" applyNumberFormat="1" applyFont="1" applyFill="1" applyBorder="1"/>
    <xf numFmtId="0" fontId="285" fillId="0" borderId="13" xfId="0" applyFont="1" applyFill="1" applyBorder="1"/>
    <xf numFmtId="2" fontId="302" fillId="0" borderId="37" xfId="0" applyNumberFormat="1" applyFont="1" applyFill="1" applyBorder="1"/>
    <xf numFmtId="2" fontId="302" fillId="0" borderId="0" xfId="0" applyNumberFormat="1" applyFont="1" applyFill="1" applyBorder="1"/>
    <xf numFmtId="2" fontId="11" fillId="0" borderId="37" xfId="0" applyNumberFormat="1" applyFont="1" applyFill="1" applyBorder="1"/>
    <xf numFmtId="0" fontId="282" fillId="0" borderId="13" xfId="0" applyFont="1" applyFill="1" applyBorder="1"/>
    <xf numFmtId="0" fontId="282" fillId="24" borderId="13" xfId="0" applyFont="1" applyFill="1" applyBorder="1" applyAlignment="1">
      <alignment horizontal="center"/>
    </xf>
    <xf numFmtId="2" fontId="11" fillId="24" borderId="37" xfId="0" applyNumberFormat="1" applyFont="1" applyFill="1" applyBorder="1"/>
    <xf numFmtId="0" fontId="286" fillId="20" borderId="13" xfId="0" applyFont="1" applyFill="1" applyBorder="1"/>
    <xf numFmtId="2" fontId="11" fillId="20" borderId="37" xfId="0" applyNumberFormat="1" applyFont="1" applyFill="1" applyBorder="1"/>
    <xf numFmtId="0" fontId="267" fillId="24" borderId="13" xfId="0" applyFont="1" applyFill="1" applyBorder="1"/>
    <xf numFmtId="166" fontId="11" fillId="24" borderId="13" xfId="0" applyNumberFormat="1" applyFont="1" applyFill="1" applyBorder="1"/>
    <xf numFmtId="166" fontId="11" fillId="24" borderId="37" xfId="0" applyNumberFormat="1" applyFont="1" applyFill="1" applyBorder="1"/>
    <xf numFmtId="0" fontId="229" fillId="0" borderId="0" xfId="0" applyFont="1" applyBorder="1"/>
    <xf numFmtId="0" fontId="30" fillId="0" borderId="0" xfId="0" applyFont="1" applyBorder="1"/>
    <xf numFmtId="0" fontId="0" fillId="0" borderId="0" xfId="0" applyBorder="1" applyAlignment="1">
      <alignment horizontal="center" vertical="center"/>
    </xf>
    <xf numFmtId="0" fontId="0" fillId="0" borderId="0" xfId="0" applyBorder="1" applyAlignment="1">
      <alignment horizontal="center" vertical="center" textRotation="90" wrapText="1"/>
    </xf>
    <xf numFmtId="0" fontId="0" fillId="0" borderId="63" xfId="0" applyBorder="1"/>
    <xf numFmtId="0" fontId="0" fillId="0" borderId="28" xfId="0" applyBorder="1"/>
    <xf numFmtId="0" fontId="0" fillId="0" borderId="28" xfId="0" applyBorder="1" applyAlignment="1">
      <alignment horizontal="center" vertical="center"/>
    </xf>
    <xf numFmtId="0" fontId="0" fillId="0" borderId="13" xfId="0" applyBorder="1" applyAlignment="1">
      <alignment horizontal="center" vertical="center"/>
    </xf>
    <xf numFmtId="0" fontId="0" fillId="0" borderId="29" xfId="0" applyBorder="1" applyAlignment="1">
      <alignment horizontal="center" vertical="center"/>
    </xf>
    <xf numFmtId="0" fontId="0" fillId="0" borderId="13" xfId="0" applyBorder="1" applyAlignment="1">
      <alignment horizontal="center" vertical="center" textRotation="90" wrapText="1"/>
    </xf>
    <xf numFmtId="0" fontId="0" fillId="0" borderId="81" xfId="0" applyBorder="1"/>
    <xf numFmtId="0" fontId="0" fillId="0" borderId="69" xfId="0" applyBorder="1"/>
    <xf numFmtId="0" fontId="0" fillId="0" borderId="30" xfId="0" applyBorder="1"/>
    <xf numFmtId="0" fontId="72" fillId="0" borderId="0" xfId="0" applyFont="1"/>
    <xf numFmtId="0" fontId="16" fillId="0" borderId="13" xfId="0" applyFont="1" applyBorder="1" applyAlignment="1">
      <alignment horizontal="center" vertical="center" textRotation="90"/>
    </xf>
    <xf numFmtId="0" fontId="16" fillId="0" borderId="28" xfId="0" applyFont="1" applyBorder="1" applyAlignment="1">
      <alignment horizontal="center"/>
    </xf>
    <xf numFmtId="0" fontId="16" fillId="0" borderId="13" xfId="0" applyFont="1" applyBorder="1" applyAlignment="1">
      <alignment horizontal="center"/>
    </xf>
    <xf numFmtId="0" fontId="16" fillId="0" borderId="29" xfId="0" applyFont="1" applyBorder="1" applyAlignment="1">
      <alignment horizontal="center"/>
    </xf>
    <xf numFmtId="0" fontId="16" fillId="0" borderId="28" xfId="0" applyFont="1" applyBorder="1"/>
    <xf numFmtId="0" fontId="16" fillId="0" borderId="13" xfId="0" applyFont="1" applyBorder="1"/>
    <xf numFmtId="0" fontId="16" fillId="0" borderId="29" xfId="0" applyFont="1" applyBorder="1"/>
    <xf numFmtId="0" fontId="16" fillId="0" borderId="13" xfId="0" applyNumberFormat="1" applyFont="1" applyBorder="1"/>
    <xf numFmtId="0" fontId="16" fillId="0" borderId="30" xfId="0" applyFont="1" applyBorder="1"/>
    <xf numFmtId="0" fontId="16" fillId="0" borderId="15" xfId="0" applyFont="1" applyBorder="1"/>
    <xf numFmtId="0" fontId="16" fillId="0" borderId="31" xfId="0" applyFont="1" applyBorder="1"/>
    <xf numFmtId="0" fontId="16" fillId="0" borderId="13" xfId="0" applyFont="1" applyBorder="1" applyAlignment="1">
      <alignment horizontal="center" vertical="center" textRotation="90" wrapText="1"/>
    </xf>
    <xf numFmtId="0" fontId="10" fillId="0" borderId="0" xfId="0" applyFont="1"/>
    <xf numFmtId="0" fontId="303" fillId="0" borderId="13" xfId="0" applyNumberFormat="1" applyFont="1" applyFill="1" applyBorder="1" applyAlignment="1" applyProtection="1">
      <alignment horizontal="center" vertical="top"/>
      <protection locked="0"/>
    </xf>
    <xf numFmtId="0" fontId="304" fillId="0" borderId="13" xfId="0" applyNumberFormat="1" applyFont="1" applyFill="1" applyBorder="1" applyAlignment="1" applyProtection="1">
      <alignment horizontal="center" vertical="top" wrapText="1"/>
      <protection locked="0"/>
    </xf>
    <xf numFmtId="0" fontId="303" fillId="0" borderId="13" xfId="0" applyNumberFormat="1" applyFont="1" applyFill="1" applyBorder="1" applyAlignment="1" applyProtection="1">
      <alignment horizontal="center" vertical="top"/>
    </xf>
    <xf numFmtId="0" fontId="304" fillId="0" borderId="13" xfId="0" applyNumberFormat="1" applyFont="1" applyFill="1" applyBorder="1" applyAlignment="1" applyProtection="1">
      <alignment horizontal="center" vertical="top"/>
    </xf>
    <xf numFmtId="0" fontId="96" fillId="0" borderId="13" xfId="0" applyNumberFormat="1" applyFont="1" applyFill="1" applyBorder="1" applyAlignment="1" applyProtection="1">
      <alignment horizontal="center" vertical="top"/>
    </xf>
    <xf numFmtId="0" fontId="304" fillId="0" borderId="13" xfId="0" applyNumberFormat="1" applyFont="1" applyFill="1" applyBorder="1" applyAlignment="1" applyProtection="1">
      <alignment horizontal="center" vertical="top" wrapText="1"/>
    </xf>
    <xf numFmtId="0" fontId="303" fillId="0" borderId="13" xfId="0" applyNumberFormat="1" applyFont="1" applyFill="1" applyBorder="1" applyAlignment="1" applyProtection="1">
      <alignment horizontal="left" vertical="top" indent="1"/>
    </xf>
    <xf numFmtId="0" fontId="303" fillId="0" borderId="13" xfId="0" applyNumberFormat="1" applyFont="1" applyFill="1" applyBorder="1" applyAlignment="1" applyProtection="1">
      <alignment horizontal="left" vertical="top"/>
    </xf>
    <xf numFmtId="0" fontId="19" fillId="0" borderId="13" xfId="0" applyFont="1" applyBorder="1" applyAlignment="1">
      <alignment horizontal="center" vertical="center" wrapText="1"/>
    </xf>
    <xf numFmtId="0" fontId="19" fillId="0" borderId="29" xfId="0" applyFont="1" applyBorder="1" applyAlignment="1">
      <alignment horizontal="center" vertical="center" wrapText="1"/>
    </xf>
    <xf numFmtId="0" fontId="305" fillId="0" borderId="13" xfId="0" applyNumberFormat="1" applyFont="1" applyFill="1" applyBorder="1" applyAlignment="1" applyProtection="1">
      <alignment horizontal="center" vertical="top"/>
    </xf>
    <xf numFmtId="0" fontId="15" fillId="0" borderId="13" xfId="0" applyFont="1" applyBorder="1" applyAlignment="1">
      <alignment horizontal="center" vertical="center" wrapText="1"/>
    </xf>
    <xf numFmtId="0" fontId="15" fillId="0" borderId="29" xfId="0" applyFont="1" applyBorder="1" applyAlignment="1">
      <alignment horizontal="center" vertical="center" wrapText="1"/>
    </xf>
    <xf numFmtId="3" fontId="304" fillId="0" borderId="13" xfId="0" applyNumberFormat="1" applyFont="1" applyFill="1" applyBorder="1" applyAlignment="1" applyProtection="1">
      <alignment horizontal="center" vertical="top" wrapText="1"/>
    </xf>
    <xf numFmtId="0" fontId="257" fillId="0" borderId="0" xfId="0" applyFont="1"/>
    <xf numFmtId="0" fontId="11" fillId="0" borderId="20" xfId="0" applyFont="1" applyBorder="1" applyAlignment="1">
      <alignment wrapText="1"/>
    </xf>
    <xf numFmtId="0" fontId="11" fillId="0" borderId="14" xfId="0" applyFont="1" applyBorder="1" applyAlignment="1">
      <alignment wrapText="1"/>
    </xf>
    <xf numFmtId="165" fontId="11" fillId="0" borderId="67" xfId="0" applyNumberFormat="1" applyFont="1" applyFill="1" applyBorder="1"/>
    <xf numFmtId="0" fontId="306" fillId="0" borderId="0" xfId="0" applyFont="1" applyAlignment="1">
      <alignment horizontal="center"/>
    </xf>
    <xf numFmtId="0" fontId="15" fillId="0" borderId="13" xfId="39" applyFont="1" applyBorder="1" applyAlignment="1">
      <alignment horizontal="left" wrapText="1"/>
    </xf>
    <xf numFmtId="0" fontId="14" fillId="0" borderId="13" xfId="39" applyFont="1" applyFill="1" applyBorder="1" applyAlignment="1" applyProtection="1">
      <alignment horizontal="center"/>
      <protection locked="0"/>
    </xf>
    <xf numFmtId="0" fontId="15" fillId="0" borderId="0" xfId="0" applyFont="1" applyAlignment="1">
      <alignment wrapText="1"/>
    </xf>
    <xf numFmtId="0" fontId="61" fillId="0" borderId="13" xfId="0" applyFont="1" applyFill="1" applyBorder="1" applyAlignment="1" applyProtection="1">
      <alignment horizontal="center" wrapText="1" shrinkToFit="1"/>
      <protection locked="0"/>
    </xf>
    <xf numFmtId="0" fontId="15" fillId="0" borderId="13" xfId="40" applyFont="1" applyBorder="1" applyAlignment="1">
      <alignment horizontal="left" wrapText="1"/>
    </xf>
    <xf numFmtId="0" fontId="4" fillId="0" borderId="13" xfId="40" applyFont="1" applyFill="1" applyBorder="1" applyAlignment="1" applyProtection="1">
      <alignment horizontal="center"/>
      <protection locked="0"/>
    </xf>
    <xf numFmtId="0" fontId="291" fillId="0" borderId="13" xfId="0" applyFont="1" applyBorder="1" applyAlignment="1">
      <alignment horizontal="left" wrapText="1"/>
    </xf>
    <xf numFmtId="0" fontId="0" fillId="0" borderId="0" xfId="0" applyFill="1" applyBorder="1" applyAlignment="1" applyProtection="1">
      <alignment horizontal="center"/>
      <protection locked="0"/>
    </xf>
    <xf numFmtId="0" fontId="15" fillId="0" borderId="13" xfId="0" applyFont="1" applyBorder="1" applyAlignment="1">
      <alignment horizontal="left" wrapText="1"/>
    </xf>
    <xf numFmtId="0" fontId="307" fillId="0" borderId="0" xfId="0" applyFont="1" applyAlignment="1">
      <alignment wrapText="1" shrinkToFit="1"/>
    </xf>
    <xf numFmtId="0" fontId="6" fillId="0" borderId="0" xfId="0" applyNumberFormat="1" applyFont="1" applyFill="1" applyBorder="1" applyAlignment="1" applyProtection="1">
      <alignment horizontal="center"/>
      <protection locked="0"/>
    </xf>
    <xf numFmtId="0" fontId="308" fillId="0" borderId="13" xfId="0" applyFont="1" applyFill="1" applyBorder="1" applyAlignment="1">
      <alignment horizontal="left" wrapText="1" shrinkToFit="1"/>
    </xf>
    <xf numFmtId="0" fontId="307" fillId="0" borderId="0" xfId="0" applyFont="1" applyAlignment="1"/>
    <xf numFmtId="0" fontId="309" fillId="0" borderId="0" xfId="0" applyFont="1" applyFill="1" applyBorder="1" applyAlignment="1" applyProtection="1">
      <alignment horizontal="center" wrapText="1" shrinkToFit="1"/>
      <protection locked="0"/>
    </xf>
    <xf numFmtId="0" fontId="6" fillId="0" borderId="13" xfId="40" applyFont="1" applyBorder="1" applyAlignment="1">
      <alignment horizontal="left" wrapText="1"/>
    </xf>
    <xf numFmtId="0" fontId="6" fillId="0" borderId="0" xfId="40" applyFont="1" applyFill="1" applyBorder="1" applyAlignment="1" applyProtection="1">
      <alignment horizontal="center"/>
      <protection locked="0"/>
    </xf>
    <xf numFmtId="0" fontId="117" fillId="0" borderId="0" xfId="0" applyFont="1" applyAlignment="1">
      <alignment wrapText="1"/>
    </xf>
    <xf numFmtId="0" fontId="307" fillId="0" borderId="0" xfId="0" applyFont="1" applyAlignment="1" applyProtection="1">
      <alignment wrapText="1" shrinkToFit="1"/>
      <protection locked="0"/>
    </xf>
    <xf numFmtId="0" fontId="6" fillId="22" borderId="13" xfId="40" applyFont="1" applyFill="1" applyBorder="1" applyAlignment="1" applyProtection="1">
      <alignment horizontal="center"/>
      <protection locked="0"/>
    </xf>
    <xf numFmtId="0" fontId="309" fillId="0" borderId="13" xfId="0" applyFont="1" applyBorder="1" applyAlignment="1">
      <alignment wrapText="1" shrinkToFit="1"/>
    </xf>
    <xf numFmtId="0" fontId="309" fillId="22" borderId="13" xfId="0" applyFont="1" applyFill="1" applyBorder="1" applyAlignment="1" applyProtection="1">
      <alignment horizontal="center" wrapText="1" shrinkToFit="1"/>
      <protection locked="0"/>
    </xf>
    <xf numFmtId="0" fontId="310" fillId="22" borderId="13" xfId="0" applyFont="1" applyFill="1" applyBorder="1" applyAlignment="1" applyProtection="1">
      <alignment horizontal="center" wrapText="1" shrinkToFit="1"/>
      <protection locked="0"/>
    </xf>
    <xf numFmtId="0" fontId="311" fillId="0" borderId="0" xfId="0" applyFont="1" applyAlignment="1">
      <alignment wrapText="1"/>
    </xf>
    <xf numFmtId="0" fontId="312" fillId="0" borderId="0" xfId="0" applyFont="1" applyAlignment="1"/>
    <xf numFmtId="0" fontId="6" fillId="0" borderId="13" xfId="0" applyFont="1" applyBorder="1" applyAlignment="1">
      <alignment horizontal="left" wrapText="1"/>
    </xf>
    <xf numFmtId="0" fontId="0" fillId="0" borderId="13" xfId="0" applyBorder="1" applyAlignment="1">
      <alignment horizontal="left" wrapText="1"/>
    </xf>
    <xf numFmtId="0" fontId="0" fillId="22" borderId="13" xfId="0" applyFill="1" applyBorder="1" applyAlignment="1" applyProtection="1">
      <alignment horizontal="center"/>
      <protection locked="0"/>
    </xf>
    <xf numFmtId="0" fontId="0" fillId="0" borderId="0" xfId="0" applyAlignment="1">
      <alignment wrapText="1" shrinkToFit="1"/>
    </xf>
    <xf numFmtId="0" fontId="314" fillId="0" borderId="13" xfId="0" applyFont="1" applyFill="1" applyBorder="1" applyAlignment="1">
      <alignment wrapText="1" shrinkToFit="1"/>
    </xf>
    <xf numFmtId="0" fontId="312" fillId="0" borderId="0" xfId="0" applyFont="1" applyAlignment="1">
      <alignment wrapText="1" shrinkToFit="1"/>
    </xf>
    <xf numFmtId="0" fontId="0" fillId="0" borderId="0" xfId="0" applyAlignment="1">
      <alignment horizontal="left" wrapText="1"/>
    </xf>
    <xf numFmtId="0" fontId="70" fillId="0" borderId="0" xfId="0" applyFont="1" applyFill="1" applyBorder="1" applyAlignment="1">
      <alignment wrapText="1"/>
    </xf>
    <xf numFmtId="0" fontId="117" fillId="0" borderId="0" xfId="0" applyFont="1" applyAlignment="1">
      <alignment wrapText="1" shrinkToFit="1"/>
    </xf>
    <xf numFmtId="0" fontId="47" fillId="0" borderId="0" xfId="0" applyFont="1" applyFill="1" applyBorder="1" applyAlignment="1">
      <alignment wrapText="1"/>
    </xf>
    <xf numFmtId="0" fontId="117" fillId="0" borderId="0" xfId="0" applyFont="1" applyAlignment="1"/>
    <xf numFmtId="0" fontId="78" fillId="0" borderId="13" xfId="0" applyFont="1" applyFill="1" applyBorder="1" applyAlignment="1">
      <alignment horizontal="left" wrapText="1"/>
    </xf>
    <xf numFmtId="0" fontId="312" fillId="0" borderId="0" xfId="0" applyFont="1" applyFill="1" applyBorder="1" applyAlignment="1">
      <alignment horizontal="left"/>
    </xf>
    <xf numFmtId="0" fontId="78" fillId="0" borderId="0" xfId="0" applyFont="1" applyFill="1" applyBorder="1" applyAlignment="1">
      <alignment horizontal="left" wrapText="1"/>
    </xf>
    <xf numFmtId="0" fontId="78" fillId="0" borderId="0" xfId="0" applyFont="1" applyFill="1" applyBorder="1" applyAlignment="1" applyProtection="1">
      <alignment horizontal="left" wrapText="1"/>
      <protection locked="0"/>
    </xf>
    <xf numFmtId="0" fontId="0" fillId="0" borderId="0" xfId="0" applyFill="1" applyAlignment="1" applyProtection="1">
      <alignment horizontal="center"/>
      <protection locked="0"/>
    </xf>
    <xf numFmtId="0" fontId="84" fillId="0" borderId="13" xfId="0" applyFont="1" applyFill="1" applyBorder="1" applyAlignment="1" applyProtection="1">
      <alignment horizontal="center" wrapText="1"/>
      <protection hidden="1"/>
    </xf>
    <xf numFmtId="0" fontId="316" fillId="0" borderId="44" xfId="0" applyFont="1" applyFill="1" applyBorder="1" applyAlignment="1" applyProtection="1">
      <alignment horizontal="center" vertical="center"/>
      <protection hidden="1"/>
    </xf>
    <xf numFmtId="165" fontId="257" fillId="0" borderId="13" xfId="0" applyNumberFormat="1" applyFont="1" applyFill="1" applyBorder="1" applyAlignment="1" applyProtection="1">
      <alignment horizontal="center"/>
      <protection hidden="1"/>
    </xf>
    <xf numFmtId="0" fontId="316" fillId="0" borderId="44" xfId="0" applyFont="1" applyFill="1" applyBorder="1" applyAlignment="1" applyProtection="1">
      <alignment horizontal="center" vertical="center" wrapText="1"/>
      <protection hidden="1"/>
    </xf>
    <xf numFmtId="0" fontId="14" fillId="0" borderId="0" xfId="0" applyFont="1" applyProtection="1">
      <protection locked="0"/>
    </xf>
    <xf numFmtId="167" fontId="257" fillId="0" borderId="13" xfId="0" applyNumberFormat="1" applyFont="1" applyFill="1" applyBorder="1" applyAlignment="1" applyProtection="1">
      <alignment horizontal="center"/>
      <protection hidden="1"/>
    </xf>
    <xf numFmtId="0" fontId="316" fillId="0" borderId="13" xfId="0" applyFont="1" applyFill="1" applyBorder="1" applyAlignment="1" applyProtection="1">
      <alignment horizontal="center" vertical="center" wrapText="1"/>
      <protection hidden="1"/>
    </xf>
    <xf numFmtId="0" fontId="307" fillId="20" borderId="0" xfId="0" applyFont="1" applyFill="1" applyAlignment="1">
      <alignment wrapText="1" shrinkToFit="1"/>
    </xf>
    <xf numFmtId="0" fontId="317" fillId="0" borderId="0" xfId="0" applyFont="1" applyAlignment="1" applyProtection="1">
      <alignment horizontal="left"/>
      <protection hidden="1"/>
    </xf>
    <xf numFmtId="0" fontId="307" fillId="0" borderId="0" xfId="0" applyFont="1" applyAlignment="1" applyProtection="1">
      <alignment wrapText="1" shrinkToFit="1"/>
      <protection hidden="1"/>
    </xf>
    <xf numFmtId="0" fontId="13" fillId="18" borderId="0" xfId="0" applyFont="1" applyFill="1" applyAlignment="1" applyProtection="1">
      <alignment horizontal="center"/>
      <protection hidden="1"/>
    </xf>
    <xf numFmtId="0" fontId="0" fillId="18" borderId="0" xfId="0" applyFill="1" applyAlignment="1" applyProtection="1">
      <alignment horizontal="center"/>
      <protection hidden="1"/>
    </xf>
    <xf numFmtId="0" fontId="318" fillId="0" borderId="0" xfId="0" applyFont="1" applyBorder="1" applyAlignment="1" applyProtection="1">
      <alignment horizontal="left" wrapText="1"/>
      <protection hidden="1"/>
    </xf>
    <xf numFmtId="0" fontId="319" fillId="0" borderId="0" xfId="0" applyFont="1" applyAlignment="1" applyProtection="1">
      <alignment horizontal="center"/>
      <protection hidden="1"/>
    </xf>
    <xf numFmtId="0" fontId="4" fillId="0" borderId="13" xfId="41" applyFont="1" applyBorder="1" applyAlignment="1" applyProtection="1">
      <alignment horizontal="left" wrapText="1"/>
      <protection hidden="1"/>
    </xf>
    <xf numFmtId="0" fontId="4" fillId="0" borderId="13" xfId="41" applyFont="1" applyFill="1" applyBorder="1" applyAlignment="1" applyProtection="1">
      <alignment horizontal="center"/>
      <protection hidden="1"/>
    </xf>
    <xf numFmtId="0" fontId="14" fillId="0" borderId="13" xfId="41" applyFont="1" applyBorder="1" applyAlignment="1" applyProtection="1">
      <alignment horizontal="center"/>
      <protection hidden="1"/>
    </xf>
    <xf numFmtId="0" fontId="4" fillId="0" borderId="13" xfId="41" applyFont="1" applyBorder="1" applyAlignment="1" applyProtection="1">
      <alignment horizontal="center"/>
      <protection hidden="1"/>
    </xf>
    <xf numFmtId="0" fontId="4" fillId="23" borderId="45" xfId="41" applyFont="1" applyFill="1" applyBorder="1" applyAlignment="1" applyProtection="1">
      <alignment horizontal="left" wrapText="1"/>
      <protection hidden="1"/>
    </xf>
    <xf numFmtId="0" fontId="0" fillId="0" borderId="0" xfId="0" applyFill="1" applyAlignment="1" applyProtection="1">
      <alignment horizontal="center"/>
      <protection hidden="1"/>
    </xf>
    <xf numFmtId="0" fontId="207" fillId="0" borderId="13" xfId="41" applyFont="1" applyBorder="1" applyAlignment="1" applyProtection="1">
      <alignment horizontal="left" wrapText="1"/>
      <protection hidden="1"/>
    </xf>
    <xf numFmtId="0" fontId="4" fillId="0" borderId="13" xfId="41" applyFont="1" applyFill="1" applyBorder="1" applyAlignment="1" applyProtection="1">
      <alignment horizontal="left" wrapText="1"/>
      <protection hidden="1"/>
    </xf>
    <xf numFmtId="0" fontId="320" fillId="0" borderId="13" xfId="0" applyFont="1" applyBorder="1" applyAlignment="1" applyProtection="1">
      <alignment horizontal="center"/>
      <protection hidden="1"/>
    </xf>
    <xf numFmtId="0" fontId="4" fillId="0" borderId="44" xfId="41" applyFont="1" applyFill="1" applyBorder="1" applyAlignment="1" applyProtection="1">
      <alignment horizontal="left" wrapText="1"/>
      <protection hidden="1"/>
    </xf>
    <xf numFmtId="0" fontId="320" fillId="0" borderId="44" xfId="0" applyFont="1" applyBorder="1" applyAlignment="1" applyProtection="1">
      <alignment horizontal="center"/>
      <protection hidden="1"/>
    </xf>
    <xf numFmtId="0" fontId="321" fillId="0" borderId="34" xfId="0" applyFont="1" applyBorder="1" applyAlignment="1" applyProtection="1">
      <alignment horizontal="left"/>
      <protection hidden="1"/>
    </xf>
    <xf numFmtId="0" fontId="321" fillId="0" borderId="32" xfId="0" applyFont="1" applyBorder="1" applyAlignment="1" applyProtection="1">
      <alignment horizontal="center"/>
      <protection hidden="1"/>
    </xf>
    <xf numFmtId="0" fontId="30" fillId="0" borderId="0" xfId="0" applyFont="1" applyBorder="1" applyAlignment="1" applyProtection="1">
      <alignment horizontal="center"/>
      <protection hidden="1"/>
    </xf>
    <xf numFmtId="0" fontId="9" fillId="0" borderId="0" xfId="0" applyFont="1" applyBorder="1" applyAlignment="1" applyProtection="1">
      <alignment horizontal="center"/>
      <protection hidden="1"/>
    </xf>
    <xf numFmtId="0" fontId="6" fillId="0" borderId="13" xfId="0" applyFont="1" applyBorder="1" applyAlignment="1" applyProtection="1">
      <alignment horizontal="left"/>
      <protection hidden="1"/>
    </xf>
    <xf numFmtId="0" fontId="4" fillId="0" borderId="13" xfId="0" applyFont="1" applyFill="1" applyBorder="1" applyAlignment="1" applyProtection="1">
      <alignment horizontal="center"/>
      <protection hidden="1"/>
    </xf>
    <xf numFmtId="0" fontId="322" fillId="0" borderId="0" xfId="0" applyFont="1" applyAlignment="1" applyProtection="1">
      <alignment horizontal="center"/>
      <protection hidden="1"/>
    </xf>
    <xf numFmtId="0" fontId="320" fillId="0" borderId="13" xfId="0" applyFont="1" applyFill="1" applyBorder="1" applyAlignment="1" applyProtection="1">
      <alignment horizontal="left"/>
      <protection hidden="1"/>
    </xf>
    <xf numFmtId="0" fontId="323" fillId="0" borderId="13" xfId="0" applyFont="1" applyBorder="1" applyAlignment="1" applyProtection="1">
      <alignment wrapText="1"/>
      <protection hidden="1"/>
    </xf>
    <xf numFmtId="166" fontId="4" fillId="0" borderId="13" xfId="0" applyNumberFormat="1" applyFont="1" applyFill="1" applyBorder="1" applyAlignment="1" applyProtection="1">
      <alignment horizontal="center"/>
      <protection hidden="1"/>
    </xf>
    <xf numFmtId="0" fontId="0" fillId="0" borderId="13" xfId="0" applyBorder="1" applyAlignment="1" applyProtection="1">
      <alignment horizontal="left" wrapText="1"/>
      <protection hidden="1"/>
    </xf>
    <xf numFmtId="0" fontId="323" fillId="0" borderId="13" xfId="0" applyFont="1" applyFill="1" applyBorder="1" applyAlignment="1" applyProtection="1">
      <alignment horizontal="center"/>
      <protection hidden="1"/>
    </xf>
    <xf numFmtId="0" fontId="0" fillId="0" borderId="13" xfId="0" applyBorder="1" applyAlignment="1" applyProtection="1">
      <alignment horizontal="left"/>
      <protection hidden="1"/>
    </xf>
    <xf numFmtId="0" fontId="320" fillId="0" borderId="13" xfId="0" applyFont="1" applyFill="1" applyBorder="1" applyAlignment="1" applyProtection="1">
      <alignment horizontal="center"/>
      <protection hidden="1"/>
    </xf>
    <xf numFmtId="0" fontId="324" fillId="0" borderId="0" xfId="0" applyFont="1" applyAlignment="1" applyProtection="1">
      <alignment horizontal="left"/>
      <protection hidden="1"/>
    </xf>
    <xf numFmtId="0" fontId="320" fillId="0" borderId="0" xfId="0" applyFont="1" applyBorder="1" applyProtection="1">
      <protection hidden="1"/>
    </xf>
    <xf numFmtId="0" fontId="207" fillId="0" borderId="0" xfId="0" applyFont="1" applyProtection="1">
      <protection hidden="1"/>
    </xf>
    <xf numFmtId="0" fontId="18" fillId="0" borderId="13" xfId="0" applyFont="1" applyBorder="1" applyAlignment="1" applyProtection="1">
      <alignment horizontal="left"/>
      <protection hidden="1"/>
    </xf>
    <xf numFmtId="0" fontId="323" fillId="0" borderId="45" xfId="0" applyFont="1" applyFill="1" applyBorder="1" applyAlignment="1" applyProtection="1">
      <alignment horizontal="center" wrapText="1"/>
      <protection hidden="1"/>
    </xf>
    <xf numFmtId="1" fontId="8" fillId="0" borderId="0" xfId="0" applyNumberFormat="1" applyFont="1" applyFill="1" applyBorder="1" applyProtection="1">
      <protection hidden="1"/>
    </xf>
    <xf numFmtId="0" fontId="325" fillId="0" borderId="13" xfId="0" applyFont="1" applyBorder="1" applyAlignment="1" applyProtection="1">
      <alignment horizontal="left" wrapText="1"/>
      <protection hidden="1"/>
    </xf>
    <xf numFmtId="0" fontId="323" fillId="0" borderId="13" xfId="0" applyFont="1" applyBorder="1" applyAlignment="1" applyProtection="1">
      <alignment horizontal="center" wrapText="1"/>
      <protection hidden="1"/>
    </xf>
    <xf numFmtId="0" fontId="320" fillId="0" borderId="13" xfId="0" applyFont="1" applyBorder="1" applyAlignment="1" applyProtection="1">
      <protection hidden="1"/>
    </xf>
    <xf numFmtId="0" fontId="78" fillId="0" borderId="13" xfId="0" applyFont="1" applyFill="1" applyBorder="1" applyAlignment="1" applyProtection="1">
      <alignment horizontal="left" wrapText="1"/>
      <protection hidden="1"/>
    </xf>
    <xf numFmtId="0" fontId="314" fillId="0" borderId="13" xfId="0" applyFont="1" applyFill="1" applyBorder="1" applyAlignment="1" applyProtection="1">
      <alignment horizontal="center" wrapText="1"/>
      <protection hidden="1"/>
    </xf>
    <xf numFmtId="0" fontId="320" fillId="0" borderId="13" xfId="0" applyFont="1" applyBorder="1" applyAlignment="1" applyProtection="1">
      <alignment wrapText="1" shrinkToFit="1"/>
      <protection hidden="1"/>
    </xf>
    <xf numFmtId="0" fontId="320" fillId="0" borderId="13" xfId="0" applyFont="1" applyFill="1" applyBorder="1" applyAlignment="1" applyProtection="1">
      <alignment horizontal="center" wrapText="1"/>
      <protection hidden="1"/>
    </xf>
    <xf numFmtId="0" fontId="323" fillId="0" borderId="13" xfId="0" applyFont="1" applyBorder="1" applyProtection="1">
      <protection hidden="1"/>
    </xf>
    <xf numFmtId="0" fontId="320" fillId="0" borderId="13" xfId="0" applyFont="1" applyBorder="1" applyAlignment="1" applyProtection="1">
      <alignment horizontal="center" wrapText="1" shrinkToFit="1"/>
      <protection hidden="1"/>
    </xf>
    <xf numFmtId="0" fontId="326" fillId="0" borderId="13" xfId="0" applyFont="1" applyBorder="1" applyAlignment="1" applyProtection="1">
      <alignment wrapText="1"/>
      <protection hidden="1"/>
    </xf>
    <xf numFmtId="0" fontId="326" fillId="0" borderId="13" xfId="0" applyFont="1" applyBorder="1" applyProtection="1">
      <protection hidden="1"/>
    </xf>
    <xf numFmtId="0" fontId="321" fillId="0" borderId="13" xfId="0" applyFont="1" applyBorder="1" applyAlignment="1" applyProtection="1">
      <alignment wrapText="1"/>
      <protection hidden="1"/>
    </xf>
    <xf numFmtId="0" fontId="320" fillId="0" borderId="13" xfId="0" applyFont="1" applyBorder="1" applyProtection="1">
      <protection hidden="1"/>
    </xf>
    <xf numFmtId="0" fontId="309" fillId="0" borderId="0" xfId="0" applyFont="1" applyAlignment="1" applyProtection="1">
      <alignment wrapText="1" shrinkToFit="1"/>
      <protection hidden="1"/>
    </xf>
    <xf numFmtId="0" fontId="39" fillId="0" borderId="0" xfId="0" applyFont="1" applyAlignment="1" applyProtection="1">
      <alignment horizontal="center"/>
      <protection hidden="1"/>
    </xf>
    <xf numFmtId="0" fontId="207" fillId="0" borderId="0" xfId="0" applyFont="1" applyAlignment="1" applyProtection="1">
      <alignment wrapText="1"/>
      <protection hidden="1"/>
    </xf>
    <xf numFmtId="0" fontId="320" fillId="0" borderId="13" xfId="0" applyFont="1" applyFill="1" applyBorder="1" applyProtection="1">
      <protection hidden="1"/>
    </xf>
    <xf numFmtId="0" fontId="327" fillId="0" borderId="0" xfId="0" applyFont="1" applyProtection="1">
      <protection hidden="1"/>
    </xf>
    <xf numFmtId="0" fontId="0" fillId="25" borderId="13" xfId="0" applyFill="1" applyBorder="1" applyProtection="1">
      <protection hidden="1"/>
    </xf>
    <xf numFmtId="0" fontId="4" fillId="0" borderId="13" xfId="0" applyFont="1" applyBorder="1" applyAlignment="1" applyProtection="1">
      <alignment wrapText="1"/>
      <protection hidden="1"/>
    </xf>
    <xf numFmtId="0" fontId="222" fillId="0" borderId="13" xfId="0" applyFont="1" applyBorder="1" applyAlignment="1" applyProtection="1">
      <alignment wrapText="1"/>
      <protection hidden="1"/>
    </xf>
    <xf numFmtId="0" fontId="39" fillId="0" borderId="0" xfId="0" applyFont="1" applyProtection="1">
      <protection hidden="1"/>
    </xf>
    <xf numFmtId="0" fontId="328" fillId="0" borderId="0" xfId="0" applyFont="1" applyProtection="1">
      <protection hidden="1"/>
    </xf>
    <xf numFmtId="0" fontId="222" fillId="0" borderId="13" xfId="0" applyFont="1" applyBorder="1" applyAlignment="1" applyProtection="1">
      <alignment wrapText="1" shrinkToFit="1"/>
      <protection hidden="1"/>
    </xf>
    <xf numFmtId="0" fontId="329" fillId="0" borderId="0" xfId="0" applyFont="1" applyAlignment="1" applyProtection="1">
      <protection hidden="1"/>
    </xf>
    <xf numFmtId="0" fontId="323" fillId="0" borderId="13" xfId="0" applyFont="1" applyFill="1" applyBorder="1" applyAlignment="1" applyProtection="1">
      <alignment horizontal="center" wrapText="1"/>
      <protection hidden="1"/>
    </xf>
    <xf numFmtId="0" fontId="78" fillId="0" borderId="14" xfId="0" applyFont="1" applyFill="1" applyBorder="1" applyAlignment="1" applyProtection="1">
      <alignment horizontal="left" wrapText="1"/>
      <protection hidden="1"/>
    </xf>
    <xf numFmtId="0" fontId="314" fillId="22" borderId="13" xfId="0" applyFont="1" applyFill="1" applyBorder="1" applyAlignment="1" applyProtection="1">
      <alignment horizontal="center" wrapText="1"/>
      <protection hidden="1"/>
    </xf>
    <xf numFmtId="0" fontId="70" fillId="22" borderId="13" xfId="0" applyFont="1" applyFill="1" applyBorder="1" applyProtection="1">
      <protection hidden="1"/>
    </xf>
    <xf numFmtId="0" fontId="18" fillId="0" borderId="67" xfId="0" applyFont="1" applyBorder="1" applyAlignment="1" applyProtection="1">
      <alignment horizontal="left"/>
      <protection hidden="1"/>
    </xf>
    <xf numFmtId="0" fontId="323" fillId="0" borderId="61" xfId="0" applyFont="1" applyFill="1" applyBorder="1" applyAlignment="1" applyProtection="1">
      <alignment horizontal="center" wrapText="1"/>
      <protection hidden="1"/>
    </xf>
    <xf numFmtId="0" fontId="10" fillId="0" borderId="0" xfId="0" applyFont="1" applyAlignment="1" applyProtection="1">
      <alignment horizontal="center"/>
      <protection hidden="1"/>
    </xf>
    <xf numFmtId="0" fontId="320" fillId="0" borderId="0" xfId="0" applyFont="1" applyFill="1" applyBorder="1" applyProtection="1">
      <protection hidden="1"/>
    </xf>
    <xf numFmtId="0" fontId="330" fillId="0" borderId="13" xfId="0" applyFont="1" applyBorder="1" applyAlignment="1" applyProtection="1">
      <alignment horizontal="left" wrapText="1"/>
      <protection hidden="1"/>
    </xf>
    <xf numFmtId="0" fontId="331" fillId="0" borderId="13" xfId="0" applyFont="1" applyBorder="1" applyAlignment="1" applyProtection="1">
      <protection hidden="1"/>
    </xf>
    <xf numFmtId="0" fontId="331" fillId="0" borderId="13" xfId="0" applyFont="1" applyBorder="1" applyAlignment="1" applyProtection="1">
      <alignment horizontal="center"/>
      <protection hidden="1"/>
    </xf>
    <xf numFmtId="0" fontId="330" fillId="0" borderId="13" xfId="0" applyFont="1" applyBorder="1" applyAlignment="1" applyProtection="1">
      <alignment wrapText="1"/>
      <protection hidden="1"/>
    </xf>
    <xf numFmtId="0" fontId="332" fillId="0" borderId="0" xfId="0" applyFont="1" applyProtection="1">
      <protection hidden="1"/>
    </xf>
    <xf numFmtId="0" fontId="333" fillId="0" borderId="13" xfId="0" applyFont="1" applyBorder="1" applyAlignment="1" applyProtection="1">
      <protection hidden="1"/>
    </xf>
    <xf numFmtId="0" fontId="320" fillId="0" borderId="13" xfId="0" applyFont="1" applyBorder="1" applyAlignment="1" applyProtection="1">
      <alignment wrapText="1"/>
      <protection hidden="1"/>
    </xf>
    <xf numFmtId="0" fontId="333" fillId="0" borderId="13" xfId="0" applyFont="1" applyFill="1" applyBorder="1" applyAlignment="1" applyProtection="1">
      <alignment horizontal="left" wrapText="1"/>
      <protection hidden="1"/>
    </xf>
    <xf numFmtId="0" fontId="320" fillId="0" borderId="13" xfId="0" applyFont="1" applyBorder="1" applyAlignment="1" applyProtection="1">
      <alignment horizontal="center" wrapText="1"/>
      <protection hidden="1"/>
    </xf>
    <xf numFmtId="0" fontId="321" fillId="0" borderId="13" xfId="0" applyFont="1" applyBorder="1" applyAlignment="1" applyProtection="1">
      <alignment horizontal="center" wrapText="1"/>
      <protection hidden="1"/>
    </xf>
    <xf numFmtId="0" fontId="321" fillId="0" borderId="13" xfId="0" applyFont="1" applyBorder="1" applyProtection="1">
      <protection hidden="1"/>
    </xf>
    <xf numFmtId="0" fontId="207" fillId="0" borderId="0" xfId="0" applyFont="1" applyAlignment="1" applyProtection="1">
      <protection hidden="1"/>
    </xf>
    <xf numFmtId="0" fontId="323" fillId="0" borderId="13" xfId="0" applyFont="1" applyFill="1" applyBorder="1" applyProtection="1">
      <protection hidden="1"/>
    </xf>
    <xf numFmtId="0" fontId="6" fillId="22" borderId="13" xfId="0" applyFont="1" applyFill="1" applyBorder="1" applyProtection="1">
      <protection hidden="1"/>
    </xf>
    <xf numFmtId="0" fontId="6" fillId="0" borderId="13" xfId="0" applyFont="1" applyBorder="1" applyAlignment="1" applyProtection="1">
      <alignment wrapText="1" shrinkToFit="1"/>
      <protection hidden="1"/>
    </xf>
    <xf numFmtId="0" fontId="334" fillId="18" borderId="0" xfId="0" applyFont="1" applyFill="1" applyAlignment="1" applyProtection="1">
      <alignment wrapText="1" shrinkToFit="1"/>
      <protection hidden="1"/>
    </xf>
    <xf numFmtId="0" fontId="307" fillId="18" borderId="0" xfId="0" applyFont="1" applyFill="1" applyAlignment="1" applyProtection="1">
      <protection hidden="1"/>
    </xf>
    <xf numFmtId="0" fontId="306" fillId="0" borderId="0" xfId="0" applyFont="1" applyAlignment="1" applyProtection="1">
      <alignment horizontal="center" shrinkToFit="1"/>
      <protection hidden="1"/>
    </xf>
    <xf numFmtId="0" fontId="308" fillId="0" borderId="0" xfId="0" applyFont="1" applyAlignment="1" applyProtection="1">
      <alignment horizontal="center"/>
      <protection hidden="1"/>
    </xf>
    <xf numFmtId="0" fontId="308" fillId="0" borderId="0" xfId="0" applyFont="1" applyAlignment="1" applyProtection="1">
      <protection hidden="1"/>
    </xf>
    <xf numFmtId="0" fontId="8" fillId="0" borderId="13" xfId="39" applyFont="1" applyBorder="1" applyAlignment="1" applyProtection="1">
      <alignment horizontal="center" shrinkToFit="1"/>
      <protection hidden="1"/>
    </xf>
    <xf numFmtId="0" fontId="232" fillId="0" borderId="13" xfId="39" applyFont="1" applyFill="1" applyBorder="1" applyAlignment="1" applyProtection="1">
      <alignment horizontal="center"/>
      <protection hidden="1"/>
    </xf>
    <xf numFmtId="0" fontId="38" fillId="0" borderId="13" xfId="39" applyFont="1" applyBorder="1" applyAlignment="1" applyProtection="1">
      <alignment horizontal="center" shrinkToFit="1"/>
      <protection hidden="1"/>
    </xf>
    <xf numFmtId="0" fontId="8" fillId="0" borderId="13" xfId="40" applyFont="1" applyBorder="1" applyAlignment="1" applyProtection="1">
      <alignment horizontal="center" wrapText="1" shrinkToFit="1"/>
      <protection hidden="1"/>
    </xf>
    <xf numFmtId="0" fontId="131" fillId="0" borderId="13" xfId="40" applyFont="1" applyFill="1" applyBorder="1" applyAlignment="1" applyProtection="1">
      <alignment horizontal="center"/>
      <protection hidden="1"/>
    </xf>
    <xf numFmtId="0" fontId="8" fillId="0" borderId="13" xfId="40" applyFont="1" applyBorder="1" applyAlignment="1" applyProtection="1">
      <alignment horizontal="center" shrinkToFit="1"/>
      <protection hidden="1"/>
    </xf>
    <xf numFmtId="0" fontId="309" fillId="0" borderId="13" xfId="0" applyFont="1" applyBorder="1" applyAlignment="1" applyProtection="1">
      <alignment horizontal="center" wrapText="1" shrinkToFit="1"/>
      <protection hidden="1"/>
    </xf>
    <xf numFmtId="0" fontId="308" fillId="0" borderId="13" xfId="0" applyFont="1" applyFill="1" applyBorder="1" applyAlignment="1" applyProtection="1">
      <alignment horizontal="left" wrapText="1" shrinkToFit="1"/>
      <protection hidden="1"/>
    </xf>
    <xf numFmtId="0" fontId="309" fillId="0" borderId="13" xfId="0" applyFont="1" applyBorder="1" applyAlignment="1" applyProtection="1">
      <alignment wrapText="1" shrinkToFit="1"/>
      <protection hidden="1"/>
    </xf>
    <xf numFmtId="0" fontId="314" fillId="0" borderId="13" xfId="0" applyFont="1" applyBorder="1" applyAlignment="1" applyProtection="1">
      <alignment wrapText="1"/>
      <protection hidden="1"/>
    </xf>
    <xf numFmtId="0" fontId="320" fillId="0" borderId="13" xfId="0" applyNumberFormat="1" applyFont="1" applyFill="1" applyBorder="1" applyAlignment="1" applyProtection="1">
      <protection hidden="1"/>
    </xf>
    <xf numFmtId="0" fontId="318" fillId="0" borderId="0" xfId="0" applyFont="1" applyBorder="1" applyAlignment="1" applyProtection="1">
      <alignment horizontal="center" wrapText="1" shrinkToFit="1"/>
      <protection hidden="1"/>
    </xf>
    <xf numFmtId="0" fontId="308" fillId="0" borderId="0" xfId="0" applyFont="1" applyFill="1" applyBorder="1" applyAlignment="1" applyProtection="1">
      <alignment horizontal="center"/>
      <protection hidden="1"/>
    </xf>
    <xf numFmtId="0" fontId="335" fillId="0" borderId="0" xfId="0" applyFont="1" applyAlignment="1" applyProtection="1">
      <protection hidden="1"/>
    </xf>
    <xf numFmtId="0" fontId="319" fillId="0" borderId="0" xfId="0" applyFont="1" applyAlignment="1" applyProtection="1">
      <alignment horizontal="left"/>
      <protection hidden="1"/>
    </xf>
    <xf numFmtId="0" fontId="4" fillId="0" borderId="13" xfId="41" applyFont="1" applyBorder="1" applyAlignment="1" applyProtection="1">
      <alignment horizontal="center" wrapText="1"/>
      <protection hidden="1"/>
    </xf>
    <xf numFmtId="0" fontId="308" fillId="0" borderId="0" xfId="0" applyFont="1" applyFill="1" applyAlignment="1" applyProtection="1">
      <protection hidden="1"/>
    </xf>
    <xf numFmtId="0" fontId="4" fillId="23" borderId="45" xfId="41" applyFont="1" applyFill="1" applyBorder="1" applyAlignment="1" applyProtection="1">
      <alignment horizontal="center" wrapText="1"/>
      <protection hidden="1"/>
    </xf>
    <xf numFmtId="0" fontId="207" fillId="0" borderId="13" xfId="41" applyFont="1" applyBorder="1" applyAlignment="1" applyProtection="1">
      <alignment horizontal="center" wrapText="1"/>
      <protection hidden="1"/>
    </xf>
    <xf numFmtId="0" fontId="4" fillId="0" borderId="13" xfId="41" applyFont="1" applyFill="1" applyBorder="1" applyAlignment="1" applyProtection="1">
      <alignment horizontal="center" wrapText="1"/>
      <protection hidden="1"/>
    </xf>
    <xf numFmtId="0" fontId="4" fillId="0" borderId="44" xfId="41" applyFont="1" applyFill="1" applyBorder="1" applyAlignment="1" applyProtection="1">
      <alignment horizontal="center" wrapText="1"/>
      <protection hidden="1"/>
    </xf>
    <xf numFmtId="0" fontId="321" fillId="0" borderId="34" xfId="0" applyFont="1" applyBorder="1" applyAlignment="1" applyProtection="1">
      <alignment horizontal="center"/>
      <protection hidden="1"/>
    </xf>
    <xf numFmtId="0" fontId="323" fillId="0" borderId="45" xfId="0" applyFont="1" applyFill="1" applyBorder="1" applyAlignment="1" applyProtection="1">
      <alignment horizontal="center"/>
      <protection hidden="1"/>
    </xf>
    <xf numFmtId="0" fontId="323" fillId="0" borderId="13" xfId="0" applyFont="1" applyBorder="1" applyAlignment="1" applyProtection="1">
      <alignment horizontal="center"/>
      <protection hidden="1"/>
    </xf>
    <xf numFmtId="0" fontId="307" fillId="0" borderId="13" xfId="0" applyFont="1" applyBorder="1" applyAlignment="1" applyProtection="1">
      <alignment wrapText="1" shrinkToFit="1"/>
      <protection hidden="1"/>
    </xf>
    <xf numFmtId="0" fontId="336" fillId="0" borderId="13" xfId="0" applyFont="1" applyBorder="1" applyAlignment="1" applyProtection="1">
      <alignment horizontal="center"/>
      <protection hidden="1"/>
    </xf>
    <xf numFmtId="0" fontId="307" fillId="0" borderId="0" xfId="0" applyFont="1" applyAlignment="1" applyProtection="1">
      <protection hidden="1"/>
    </xf>
    <xf numFmtId="0" fontId="337" fillId="0" borderId="0" xfId="0" applyFont="1" applyFill="1" applyBorder="1" applyProtection="1">
      <protection hidden="1"/>
    </xf>
    <xf numFmtId="0" fontId="310" fillId="0" borderId="0" xfId="0" applyFont="1" applyFill="1" applyBorder="1" applyAlignment="1" applyProtection="1">
      <protection hidden="1"/>
    </xf>
    <xf numFmtId="0" fontId="338" fillId="0" borderId="13" xfId="0" applyFont="1" applyFill="1" applyBorder="1" applyProtection="1">
      <protection hidden="1"/>
    </xf>
    <xf numFmtId="0" fontId="323" fillId="0" borderId="13" xfId="0" applyFont="1" applyFill="1" applyBorder="1" applyAlignment="1" applyProtection="1">
      <protection hidden="1"/>
    </xf>
    <xf numFmtId="0" fontId="314" fillId="0" borderId="13" xfId="0" applyFont="1" applyFill="1" applyBorder="1" applyAlignment="1" applyProtection="1">
      <alignment wrapText="1" shrinkToFit="1"/>
      <protection hidden="1"/>
    </xf>
    <xf numFmtId="0" fontId="323" fillId="0" borderId="13" xfId="0" applyFont="1" applyFill="1" applyBorder="1" applyAlignment="1" applyProtection="1">
      <alignment wrapText="1" shrinkToFit="1"/>
      <protection hidden="1"/>
    </xf>
    <xf numFmtId="0" fontId="320" fillId="0" borderId="13" xfId="0" applyFont="1" applyFill="1" applyBorder="1" applyAlignment="1" applyProtection="1">
      <alignment horizontal="left" wrapText="1" shrinkToFit="1"/>
      <protection hidden="1"/>
    </xf>
    <xf numFmtId="0" fontId="333" fillId="0" borderId="13" xfId="0" applyNumberFormat="1" applyFont="1" applyBorder="1" applyAlignment="1" applyProtection="1">
      <protection hidden="1"/>
    </xf>
    <xf numFmtId="0" fontId="340" fillId="0" borderId="0" xfId="0" applyFont="1" applyFill="1" applyBorder="1" applyAlignment="1" applyProtection="1">
      <alignment wrapText="1" shrinkToFit="1"/>
      <protection hidden="1"/>
    </xf>
    <xf numFmtId="0" fontId="310" fillId="0" borderId="0" xfId="0" applyNumberFormat="1" applyFont="1" applyFill="1" applyBorder="1" applyAlignment="1" applyProtection="1">
      <protection hidden="1"/>
    </xf>
    <xf numFmtId="0" fontId="8" fillId="0" borderId="0" xfId="0" applyNumberFormat="1" applyFont="1" applyFill="1" applyBorder="1" applyProtection="1">
      <protection hidden="1"/>
    </xf>
    <xf numFmtId="0" fontId="341" fillId="0" borderId="13" xfId="0" applyFont="1" applyFill="1" applyBorder="1" applyAlignment="1" applyProtection="1">
      <alignment horizontal="left" wrapText="1" shrinkToFit="1"/>
      <protection hidden="1"/>
    </xf>
    <xf numFmtId="0" fontId="310" fillId="0" borderId="13" xfId="0" applyFont="1" applyBorder="1" applyAlignment="1" applyProtection="1">
      <alignment wrapText="1" shrinkToFit="1"/>
      <protection hidden="1"/>
    </xf>
    <xf numFmtId="0" fontId="39" fillId="0" borderId="0" xfId="0" applyNumberFormat="1" applyFont="1" applyAlignment="1" applyProtection="1">
      <alignment horizontal="center"/>
      <protection hidden="1"/>
    </xf>
    <xf numFmtId="0" fontId="4" fillId="0" borderId="13" xfId="0" applyNumberFormat="1" applyFont="1" applyBorder="1" applyAlignment="1" applyProtection="1">
      <protection hidden="1"/>
    </xf>
    <xf numFmtId="0" fontId="14" fillId="0" borderId="13" xfId="0" applyNumberFormat="1" applyFont="1" applyFill="1" applyBorder="1" applyAlignment="1" applyProtection="1">
      <protection hidden="1"/>
    </xf>
    <xf numFmtId="0" fontId="342" fillId="0" borderId="0" xfId="0" applyFont="1" applyProtection="1">
      <protection hidden="1"/>
    </xf>
    <xf numFmtId="0" fontId="9" fillId="0" borderId="13" xfId="0" applyNumberFormat="1" applyFont="1" applyBorder="1" applyAlignment="1" applyProtection="1">
      <protection hidden="1"/>
    </xf>
    <xf numFmtId="0" fontId="46" fillId="0" borderId="0" xfId="0" applyFont="1" applyProtection="1">
      <protection hidden="1"/>
    </xf>
    <xf numFmtId="0" fontId="55" fillId="0" borderId="0" xfId="0" applyFont="1" applyAlignment="1" applyProtection="1">
      <alignment horizontal="center"/>
      <protection hidden="1"/>
    </xf>
    <xf numFmtId="0" fontId="6" fillId="22" borderId="0" xfId="0" applyFont="1" applyFill="1" applyProtection="1">
      <protection hidden="1"/>
    </xf>
    <xf numFmtId="0" fontId="343" fillId="0" borderId="0" xfId="0" applyFont="1" applyProtection="1">
      <protection hidden="1"/>
    </xf>
    <xf numFmtId="0" fontId="9" fillId="0" borderId="0" xfId="0" applyFont="1" applyAlignment="1" applyProtection="1">
      <alignment wrapText="1"/>
      <protection hidden="1"/>
    </xf>
    <xf numFmtId="0" fontId="307" fillId="18" borderId="0" xfId="0" applyFont="1" applyFill="1" applyAlignment="1" applyProtection="1">
      <alignment wrapText="1" shrinkToFit="1"/>
      <protection hidden="1"/>
    </xf>
    <xf numFmtId="0" fontId="334" fillId="0" borderId="0" xfId="0" applyFont="1" applyFill="1" applyAlignment="1" applyProtection="1">
      <alignment wrapText="1" shrinkToFit="1"/>
      <protection hidden="1"/>
    </xf>
    <xf numFmtId="0" fontId="307" fillId="0" borderId="0" xfId="0" applyFont="1" applyFill="1" applyAlignment="1" applyProtection="1">
      <alignment wrapText="1" shrinkToFit="1"/>
      <protection hidden="1"/>
    </xf>
    <xf numFmtId="0" fontId="12" fillId="18" borderId="0" xfId="0" applyFont="1" applyFill="1" applyAlignment="1" applyProtection="1">
      <alignment horizontal="center"/>
      <protection hidden="1"/>
    </xf>
    <xf numFmtId="0" fontId="21" fillId="18" borderId="0" xfId="0" applyFont="1" applyFill="1" applyAlignment="1" applyProtection="1">
      <alignment horizontal="center"/>
      <protection hidden="1"/>
    </xf>
    <xf numFmtId="0" fontId="322" fillId="0" borderId="0" xfId="0" applyFont="1" applyAlignment="1" applyProtection="1">
      <alignment horizontal="center" shrinkToFit="1"/>
      <protection hidden="1"/>
    </xf>
    <xf numFmtId="0" fontId="309" fillId="22" borderId="13" xfId="0" applyFont="1" applyFill="1" applyBorder="1" applyAlignment="1" applyProtection="1">
      <alignment horizontal="center" wrapText="1" shrinkToFit="1"/>
      <protection hidden="1"/>
    </xf>
    <xf numFmtId="1" fontId="320" fillId="0" borderId="0" xfId="0" applyNumberFormat="1" applyFont="1" applyFill="1" applyBorder="1" applyAlignment="1" applyProtection="1">
      <alignment horizontal="center" wrapText="1" shrinkToFit="1"/>
      <protection hidden="1"/>
    </xf>
    <xf numFmtId="0" fontId="70" fillId="0" borderId="13" xfId="39" applyBorder="1" applyAlignment="1" applyProtection="1">
      <alignment horizontal="center"/>
      <protection hidden="1"/>
    </xf>
    <xf numFmtId="0" fontId="14" fillId="0" borderId="13" xfId="39" applyFont="1" applyFill="1" applyBorder="1" applyAlignment="1" applyProtection="1">
      <alignment horizontal="center"/>
      <protection hidden="1"/>
    </xf>
    <xf numFmtId="0" fontId="6" fillId="0" borderId="13" xfId="40" applyFont="1" applyBorder="1" applyAlignment="1" applyProtection="1">
      <alignment horizontal="center"/>
      <protection hidden="1"/>
    </xf>
    <xf numFmtId="0" fontId="4" fillId="0" borderId="13" xfId="40" applyFont="1" applyFill="1" applyBorder="1" applyAlignment="1" applyProtection="1">
      <alignment horizontal="center"/>
      <protection hidden="1"/>
    </xf>
    <xf numFmtId="0" fontId="320" fillId="0" borderId="13" xfId="0" applyFont="1" applyFill="1" applyBorder="1" applyAlignment="1" applyProtection="1">
      <alignment wrapText="1" shrinkToFit="1"/>
      <protection hidden="1"/>
    </xf>
    <xf numFmtId="0" fontId="320" fillId="0" borderId="13" xfId="0" applyFont="1" applyFill="1" applyBorder="1" applyAlignment="1" applyProtection="1">
      <alignment horizontal="center" wrapText="1" shrinkToFit="1"/>
      <protection hidden="1"/>
    </xf>
    <xf numFmtId="0" fontId="78" fillId="0" borderId="13" xfId="0" applyFont="1" applyFill="1" applyBorder="1" applyAlignment="1" applyProtection="1">
      <alignment horizontal="center" wrapText="1"/>
      <protection hidden="1"/>
    </xf>
    <xf numFmtId="0" fontId="85" fillId="18" borderId="0" xfId="0" applyFont="1" applyFill="1" applyAlignment="1" applyProtection="1">
      <protection hidden="1"/>
    </xf>
    <xf numFmtId="0" fontId="15" fillId="18" borderId="0" xfId="0" applyFont="1" applyFill="1" applyAlignment="1" applyProtection="1">
      <protection hidden="1"/>
    </xf>
    <xf numFmtId="0" fontId="15" fillId="0" borderId="0" xfId="0" applyFont="1" applyAlignment="1" applyProtection="1">
      <protection hidden="1"/>
    </xf>
    <xf numFmtId="0" fontId="322" fillId="0" borderId="0" xfId="0" applyFont="1" applyAlignment="1" applyProtection="1">
      <alignment horizontal="left"/>
      <protection hidden="1"/>
    </xf>
    <xf numFmtId="0" fontId="14" fillId="0" borderId="13" xfId="0" applyFont="1" applyFill="1" applyBorder="1" applyAlignment="1" applyProtection="1">
      <alignment horizontal="center"/>
      <protection hidden="1"/>
    </xf>
    <xf numFmtId="0" fontId="6" fillId="0" borderId="13" xfId="40" applyFont="1" applyBorder="1" applyAlignment="1" applyProtection="1">
      <alignment horizontal="center" wrapText="1"/>
      <protection hidden="1"/>
    </xf>
    <xf numFmtId="0" fontId="307" fillId="0" borderId="13" xfId="0" applyFont="1" applyBorder="1" applyAlignment="1" applyProtection="1">
      <alignment horizontal="center" wrapText="1"/>
      <protection hidden="1"/>
    </xf>
    <xf numFmtId="0" fontId="25" fillId="0" borderId="19" xfId="0" applyFont="1" applyFill="1" applyBorder="1" applyProtection="1">
      <protection hidden="1"/>
    </xf>
    <xf numFmtId="0" fontId="321" fillId="0" borderId="34" xfId="0" applyFont="1" applyBorder="1" applyAlignment="1" applyProtection="1">
      <alignment horizontal="center" wrapText="1"/>
      <protection hidden="1"/>
    </xf>
    <xf numFmtId="0" fontId="321" fillId="0" borderId="13" xfId="0" applyFont="1" applyBorder="1" applyAlignment="1" applyProtection="1">
      <alignment horizontal="center"/>
      <protection hidden="1"/>
    </xf>
    <xf numFmtId="0" fontId="320" fillId="0" borderId="0" xfId="0" applyFont="1" applyAlignment="1" applyProtection="1">
      <alignment wrapText="1" shrinkToFit="1"/>
      <protection hidden="1"/>
    </xf>
    <xf numFmtId="0" fontId="0" fillId="0" borderId="0" xfId="0" applyAlignment="1" applyProtection="1">
      <alignment shrinkToFit="1"/>
      <protection hidden="1"/>
    </xf>
    <xf numFmtId="0" fontId="12" fillId="18" borderId="0" xfId="0" applyFont="1" applyFill="1" applyBorder="1" applyAlignment="1" applyProtection="1">
      <alignment horizontal="center"/>
      <protection hidden="1"/>
    </xf>
    <xf numFmtId="0" fontId="12" fillId="0" borderId="0" xfId="0" applyFont="1" applyFill="1" applyBorder="1" applyAlignment="1" applyProtection="1">
      <alignment horizontal="center"/>
      <protection hidden="1"/>
    </xf>
    <xf numFmtId="0" fontId="221" fillId="18" borderId="0" xfId="0" applyFont="1" applyFill="1" applyAlignment="1" applyProtection="1">
      <protection hidden="1"/>
    </xf>
    <xf numFmtId="0" fontId="334" fillId="0" borderId="0" xfId="0" applyFont="1" applyAlignment="1" applyProtection="1">
      <alignment horizontal="center"/>
      <protection hidden="1"/>
    </xf>
    <xf numFmtId="0" fontId="321" fillId="0" borderId="0" xfId="0" applyFont="1" applyProtection="1">
      <protection hidden="1"/>
    </xf>
    <xf numFmtId="0" fontId="309" fillId="0" borderId="0" xfId="0" applyFont="1" applyAlignment="1" applyProtection="1">
      <protection hidden="1"/>
    </xf>
    <xf numFmtId="0" fontId="6" fillId="0" borderId="13" xfId="40" applyFont="1" applyFill="1" applyBorder="1" applyAlignment="1" applyProtection="1">
      <alignment horizontal="center"/>
      <protection hidden="1"/>
    </xf>
    <xf numFmtId="0" fontId="6" fillId="0" borderId="13" xfId="40" applyFont="1" applyBorder="1" applyAlignment="1" applyProtection="1">
      <alignment horizontal="left" wrapText="1"/>
      <protection hidden="1"/>
    </xf>
    <xf numFmtId="0" fontId="25" fillId="0" borderId="0" xfId="40" applyFont="1" applyBorder="1" applyAlignment="1" applyProtection="1">
      <alignment horizontal="center" wrapText="1"/>
      <protection hidden="1"/>
    </xf>
    <xf numFmtId="0" fontId="6" fillId="0" borderId="0" xfId="40" applyFont="1" applyFill="1" applyBorder="1" applyAlignment="1" applyProtection="1">
      <alignment horizontal="center"/>
      <protection hidden="1"/>
    </xf>
    <xf numFmtId="0" fontId="329" fillId="0" borderId="0" xfId="0" applyFont="1" applyFill="1" applyAlignment="1" applyProtection="1">
      <protection hidden="1"/>
    </xf>
    <xf numFmtId="0" fontId="344" fillId="0" borderId="0" xfId="0" applyFont="1" applyFill="1" applyProtection="1">
      <protection hidden="1"/>
    </xf>
    <xf numFmtId="0" fontId="18" fillId="0" borderId="14" xfId="0" applyFont="1" applyBorder="1" applyAlignment="1" applyProtection="1">
      <alignment horizontal="left"/>
      <protection hidden="1"/>
    </xf>
    <xf numFmtId="0" fontId="323" fillId="0" borderId="37" xfId="0" applyFont="1" applyFill="1" applyBorder="1" applyAlignment="1" applyProtection="1">
      <alignment horizontal="center" wrapText="1"/>
      <protection hidden="1"/>
    </xf>
    <xf numFmtId="0" fontId="320" fillId="0" borderId="61" xfId="0" applyFont="1" applyFill="1" applyBorder="1" applyAlignment="1" applyProtection="1">
      <alignment horizontal="center"/>
      <protection hidden="1"/>
    </xf>
    <xf numFmtId="0" fontId="320" fillId="0" borderId="14" xfId="0" applyFont="1" applyFill="1" applyBorder="1" applyAlignment="1" applyProtection="1">
      <alignment horizontal="center"/>
      <protection hidden="1"/>
    </xf>
    <xf numFmtId="0" fontId="331" fillId="0" borderId="13" xfId="0" applyFont="1" applyBorder="1" applyProtection="1">
      <protection hidden="1"/>
    </xf>
    <xf numFmtId="0" fontId="323" fillId="0" borderId="13" xfId="0" applyFont="1" applyBorder="1" applyAlignment="1" applyProtection="1">
      <alignment horizontal="left" wrapText="1"/>
      <protection hidden="1"/>
    </xf>
    <xf numFmtId="0" fontId="0" fillId="18" borderId="0" xfId="0" applyFill="1" applyAlignment="1" applyProtection="1">
      <alignment shrinkToFit="1"/>
      <protection hidden="1"/>
    </xf>
    <xf numFmtId="0" fontId="0" fillId="0" borderId="0" xfId="0" applyFill="1" applyAlignment="1" applyProtection="1">
      <alignment shrinkToFit="1"/>
      <protection hidden="1"/>
    </xf>
    <xf numFmtId="0" fontId="334" fillId="0" borderId="0" xfId="0" applyFont="1" applyAlignment="1" applyProtection="1">
      <alignment wrapText="1" shrinkToFit="1"/>
      <protection hidden="1"/>
    </xf>
    <xf numFmtId="0" fontId="308" fillId="0" borderId="0" xfId="0" applyFont="1" applyAlignment="1" applyProtection="1">
      <alignment horizontal="center" shrinkToFit="1"/>
      <protection hidden="1"/>
    </xf>
    <xf numFmtId="0" fontId="309" fillId="0" borderId="13" xfId="0" applyFont="1" applyBorder="1" applyAlignment="1" applyProtection="1">
      <alignment horizontal="left" wrapText="1" shrinkToFit="1"/>
      <protection hidden="1"/>
    </xf>
    <xf numFmtId="0" fontId="309" fillId="0" borderId="13" xfId="0" applyFont="1" applyFill="1" applyBorder="1" applyAlignment="1" applyProtection="1">
      <alignment horizontal="center" wrapText="1" shrinkToFit="1"/>
      <protection hidden="1"/>
    </xf>
    <xf numFmtId="0" fontId="345" fillId="18" borderId="0" xfId="0" applyFont="1" applyFill="1" applyAlignment="1" applyProtection="1">
      <alignment wrapText="1" shrinkToFit="1"/>
      <protection hidden="1"/>
    </xf>
    <xf numFmtId="0" fontId="346" fillId="18" borderId="0" xfId="0" applyFont="1" applyFill="1" applyProtection="1">
      <protection hidden="1"/>
    </xf>
    <xf numFmtId="0" fontId="344" fillId="0" borderId="0" xfId="0" applyFont="1" applyProtection="1">
      <protection hidden="1"/>
    </xf>
    <xf numFmtId="0" fontId="0" fillId="0" borderId="13" xfId="0" applyBorder="1" applyAlignment="1" applyProtection="1">
      <alignment horizontal="left" wrapText="1" shrinkToFit="1"/>
      <protection hidden="1"/>
    </xf>
    <xf numFmtId="0" fontId="320" fillId="0" borderId="0" xfId="0" applyFont="1" applyFill="1" applyBorder="1" applyAlignment="1" applyProtection="1">
      <alignment horizontal="left" wrapText="1"/>
      <protection hidden="1"/>
    </xf>
    <xf numFmtId="0" fontId="4" fillId="0" borderId="0" xfId="0" applyFont="1" applyFill="1" applyBorder="1" applyAlignment="1" applyProtection="1">
      <alignment horizontal="center"/>
      <protection hidden="1"/>
    </xf>
    <xf numFmtId="0" fontId="341" fillId="0" borderId="0" xfId="0" applyFont="1" applyFill="1" applyBorder="1" applyAlignment="1" applyProtection="1">
      <alignment horizontal="left" wrapText="1"/>
      <protection hidden="1"/>
    </xf>
    <xf numFmtId="0" fontId="347" fillId="0" borderId="0" xfId="0" applyFont="1" applyAlignment="1" applyProtection="1">
      <alignment horizontal="center" wrapText="1"/>
      <protection hidden="1"/>
    </xf>
    <xf numFmtId="0" fontId="348" fillId="0" borderId="0" xfId="0" applyFont="1" applyAlignment="1" applyProtection="1">
      <alignment horizontal="center" wrapText="1"/>
      <protection hidden="1"/>
    </xf>
    <xf numFmtId="0" fontId="78" fillId="0" borderId="13" xfId="0" applyFont="1" applyBorder="1" applyAlignment="1" applyProtection="1">
      <alignment wrapText="1"/>
      <protection hidden="1"/>
    </xf>
    <xf numFmtId="0" fontId="322" fillId="0" borderId="0" xfId="0" applyFont="1" applyAlignment="1" applyProtection="1">
      <alignment wrapText="1"/>
      <protection hidden="1"/>
    </xf>
    <xf numFmtId="0" fontId="310" fillId="0" borderId="13" xfId="0" applyFont="1" applyFill="1" applyBorder="1" applyProtection="1">
      <protection hidden="1"/>
    </xf>
    <xf numFmtId="0" fontId="6" fillId="0" borderId="13" xfId="0" applyFont="1" applyFill="1" applyBorder="1" applyAlignment="1" applyProtection="1">
      <alignment horizontal="center"/>
      <protection hidden="1"/>
    </xf>
    <xf numFmtId="0" fontId="4" fillId="0" borderId="13" xfId="0" applyFont="1" applyBorder="1" applyAlignment="1" applyProtection="1">
      <alignment horizontal="left"/>
      <protection hidden="1"/>
    </xf>
    <xf numFmtId="0" fontId="14" fillId="22" borderId="13" xfId="0" applyFont="1" applyFill="1" applyBorder="1" applyProtection="1">
      <protection hidden="1"/>
    </xf>
    <xf numFmtId="0" fontId="6" fillId="22" borderId="13" xfId="0" applyFont="1" applyFill="1" applyBorder="1" applyAlignment="1" applyProtection="1">
      <alignment horizontal="center"/>
      <protection hidden="1"/>
    </xf>
    <xf numFmtId="0" fontId="13" fillId="18" borderId="0" xfId="0" applyFont="1" applyFill="1" applyProtection="1">
      <protection hidden="1"/>
    </xf>
    <xf numFmtId="0" fontId="13" fillId="20" borderId="0" xfId="0" applyFont="1" applyFill="1" applyProtection="1">
      <protection hidden="1"/>
    </xf>
    <xf numFmtId="0" fontId="307" fillId="20" borderId="0" xfId="0" applyFont="1" applyFill="1" applyAlignment="1" applyProtection="1">
      <alignment wrapText="1" shrinkToFit="1"/>
      <protection hidden="1"/>
    </xf>
    <xf numFmtId="0" fontId="349" fillId="0" borderId="0" xfId="0" applyFont="1" applyFill="1" applyBorder="1" applyAlignment="1" applyProtection="1">
      <alignment horizontal="left"/>
      <protection hidden="1"/>
    </xf>
    <xf numFmtId="0" fontId="0" fillId="0" borderId="0" xfId="0" applyAlignment="1" applyProtection="1">
      <alignment wrapText="1" shrinkToFit="1"/>
      <protection hidden="1"/>
    </xf>
    <xf numFmtId="0" fontId="0" fillId="0" borderId="13" xfId="0" applyBorder="1" applyAlignment="1" applyProtection="1">
      <alignment wrapText="1" shrinkToFit="1"/>
      <protection hidden="1"/>
    </xf>
    <xf numFmtId="0" fontId="321" fillId="0" borderId="13" xfId="0" applyFont="1" applyBorder="1" applyAlignment="1" applyProtection="1">
      <alignment wrapText="1" shrinkToFit="1"/>
      <protection hidden="1"/>
    </xf>
    <xf numFmtId="0" fontId="12" fillId="0" borderId="19" xfId="0" applyFont="1" applyFill="1" applyBorder="1" applyAlignment="1" applyProtection="1">
      <alignment wrapText="1"/>
      <protection hidden="1"/>
    </xf>
    <xf numFmtId="0" fontId="0" fillId="0" borderId="19" xfId="0" applyFill="1" applyBorder="1" applyAlignment="1" applyProtection="1">
      <alignment wrapText="1"/>
      <protection hidden="1"/>
    </xf>
    <xf numFmtId="0" fontId="0" fillId="22" borderId="13" xfId="0" applyFill="1" applyBorder="1" applyProtection="1">
      <protection hidden="1"/>
    </xf>
    <xf numFmtId="0" fontId="4" fillId="22" borderId="13" xfId="0" applyFont="1" applyFill="1" applyBorder="1" applyProtection="1">
      <protection hidden="1"/>
    </xf>
    <xf numFmtId="0" fontId="0" fillId="0" borderId="13" xfId="0" applyFill="1" applyBorder="1" applyAlignment="1" applyProtection="1">
      <protection hidden="1"/>
    </xf>
    <xf numFmtId="0" fontId="321" fillId="0" borderId="13" xfId="0" applyFont="1" applyFill="1" applyBorder="1" applyAlignment="1" applyProtection="1">
      <protection hidden="1"/>
    </xf>
    <xf numFmtId="2" fontId="321" fillId="0" borderId="13" xfId="0" applyNumberFormat="1" applyFont="1" applyBorder="1" applyProtection="1">
      <protection hidden="1"/>
    </xf>
    <xf numFmtId="0" fontId="88" fillId="20" borderId="0" xfId="0" applyFont="1" applyFill="1" applyAlignment="1" applyProtection="1">
      <alignment horizontal="left"/>
      <protection hidden="1"/>
    </xf>
    <xf numFmtId="0" fontId="0" fillId="20" borderId="0" xfId="0" applyFill="1" applyAlignment="1" applyProtection="1">
      <alignment horizontal="center"/>
      <protection hidden="1"/>
    </xf>
    <xf numFmtId="0" fontId="10" fillId="0" borderId="25" xfId="0" applyFont="1" applyBorder="1" applyAlignment="1" applyProtection="1">
      <alignment horizontal="left"/>
      <protection hidden="1"/>
    </xf>
    <xf numFmtId="0" fontId="10" fillId="0" borderId="21" xfId="0" applyFont="1" applyBorder="1" applyAlignment="1" applyProtection="1">
      <alignment horizontal="center"/>
      <protection hidden="1"/>
    </xf>
    <xf numFmtId="0" fontId="10" fillId="0" borderId="26" xfId="0" applyFont="1" applyBorder="1" applyAlignment="1" applyProtection="1">
      <alignment horizontal="center"/>
      <protection hidden="1"/>
    </xf>
    <xf numFmtId="0" fontId="3" fillId="0" borderId="28" xfId="0" applyFont="1" applyBorder="1" applyAlignment="1" applyProtection="1">
      <alignment horizontal="center" wrapText="1" shrinkToFit="1"/>
      <protection hidden="1"/>
    </xf>
    <xf numFmtId="0" fontId="3" fillId="0" borderId="13" xfId="0" applyFont="1" applyBorder="1" applyAlignment="1" applyProtection="1">
      <alignment horizontal="center"/>
      <protection hidden="1"/>
    </xf>
    <xf numFmtId="0" fontId="3" fillId="0" borderId="29" xfId="0" applyFont="1" applyBorder="1" applyAlignment="1" applyProtection="1">
      <alignment horizontal="center"/>
      <protection hidden="1"/>
    </xf>
    <xf numFmtId="0" fontId="3" fillId="0" borderId="28" xfId="0" applyFont="1" applyBorder="1" applyAlignment="1" applyProtection="1">
      <alignment horizontal="center"/>
      <protection hidden="1"/>
    </xf>
    <xf numFmtId="0" fontId="3" fillId="0" borderId="30" xfId="0" applyFont="1" applyBorder="1" applyAlignment="1" applyProtection="1">
      <alignment horizontal="center"/>
      <protection hidden="1"/>
    </xf>
    <xf numFmtId="0" fontId="3" fillId="0" borderId="15" xfId="0" applyFont="1" applyBorder="1" applyAlignment="1" applyProtection="1">
      <alignment horizontal="center"/>
      <protection hidden="1"/>
    </xf>
    <xf numFmtId="0" fontId="3" fillId="0" borderId="31" xfId="0" applyFont="1" applyBorder="1" applyAlignment="1" applyProtection="1">
      <alignment horizontal="center"/>
      <protection hidden="1"/>
    </xf>
    <xf numFmtId="0" fontId="222" fillId="0" borderId="0" xfId="0" applyFont="1" applyBorder="1" applyAlignment="1" applyProtection="1">
      <alignment horizontal="left"/>
      <protection hidden="1"/>
    </xf>
    <xf numFmtId="0" fontId="309" fillId="0" borderId="83" xfId="0" applyFont="1" applyFill="1" applyBorder="1" applyAlignment="1" applyProtection="1">
      <alignment horizontal="center" wrapText="1"/>
      <protection hidden="1"/>
    </xf>
    <xf numFmtId="0" fontId="309" fillId="0" borderId="80" xfId="0" applyFont="1" applyFill="1" applyBorder="1" applyAlignment="1" applyProtection="1">
      <alignment horizontal="center" wrapText="1" shrinkToFit="1"/>
      <protection hidden="1"/>
    </xf>
    <xf numFmtId="0" fontId="309" fillId="0" borderId="77" xfId="0" applyFont="1" applyFill="1" applyBorder="1" applyAlignment="1" applyProtection="1">
      <alignment horizontal="center" wrapText="1" shrinkToFit="1"/>
      <protection hidden="1"/>
    </xf>
    <xf numFmtId="0" fontId="309" fillId="0" borderId="63" xfId="0" applyFont="1" applyFill="1" applyBorder="1" applyAlignment="1" applyProtection="1">
      <alignment horizontal="center" wrapText="1"/>
      <protection hidden="1"/>
    </xf>
    <xf numFmtId="0" fontId="308" fillId="0" borderId="29" xfId="0" applyFont="1" applyFill="1" applyBorder="1" applyAlignment="1" applyProtection="1">
      <alignment horizontal="center"/>
      <protection hidden="1"/>
    </xf>
    <xf numFmtId="0" fontId="308" fillId="0" borderId="28" xfId="0" applyFont="1" applyFill="1" applyBorder="1" applyAlignment="1" applyProtection="1">
      <alignment horizontal="center"/>
      <protection hidden="1"/>
    </xf>
    <xf numFmtId="0" fontId="308" fillId="0" borderId="13" xfId="0" applyFont="1" applyFill="1" applyBorder="1" applyAlignment="1" applyProtection="1">
      <alignment horizontal="center"/>
      <protection hidden="1"/>
    </xf>
    <xf numFmtId="0" fontId="310" fillId="0" borderId="28" xfId="0" applyFont="1" applyFill="1" applyBorder="1" applyAlignment="1" applyProtection="1">
      <alignment horizontal="center"/>
      <protection hidden="1"/>
    </xf>
    <xf numFmtId="0" fontId="308" fillId="0" borderId="30" xfId="0" applyFont="1" applyFill="1" applyBorder="1" applyAlignment="1" applyProtection="1">
      <alignment horizontal="center"/>
      <protection hidden="1"/>
    </xf>
    <xf numFmtId="0" fontId="308" fillId="0" borderId="15" xfId="0" applyFont="1" applyFill="1" applyBorder="1" applyAlignment="1" applyProtection="1">
      <alignment horizontal="center"/>
      <protection hidden="1"/>
    </xf>
    <xf numFmtId="0" fontId="308" fillId="0" borderId="31" xfId="0" applyFont="1" applyFill="1" applyBorder="1" applyAlignment="1" applyProtection="1">
      <alignment horizontal="center"/>
      <protection hidden="1"/>
    </xf>
    <xf numFmtId="0" fontId="0" fillId="0" borderId="25" xfId="0" applyFill="1" applyBorder="1" applyAlignment="1" applyProtection="1">
      <alignment horizontal="center"/>
      <protection hidden="1"/>
    </xf>
    <xf numFmtId="0" fontId="0" fillId="0" borderId="26" xfId="0" applyFill="1" applyBorder="1" applyAlignment="1" applyProtection="1">
      <alignment horizontal="center"/>
      <protection hidden="1"/>
    </xf>
    <xf numFmtId="0" fontId="0" fillId="0" borderId="28" xfId="0" applyFill="1" applyBorder="1" applyAlignment="1" applyProtection="1">
      <alignment horizontal="center"/>
      <protection hidden="1"/>
    </xf>
    <xf numFmtId="0" fontId="6" fillId="0" borderId="12" xfId="40" applyFont="1" applyFill="1" applyBorder="1" applyAlignment="1" applyProtection="1">
      <alignment horizontal="center"/>
      <protection hidden="1"/>
    </xf>
    <xf numFmtId="0" fontId="6" fillId="0" borderId="84" xfId="40" applyFont="1" applyFill="1" applyBorder="1" applyAlignment="1" applyProtection="1">
      <alignment horizontal="center"/>
      <protection hidden="1"/>
    </xf>
    <xf numFmtId="0" fontId="70" fillId="0" borderId="28" xfId="39" applyFill="1" applyBorder="1" applyAlignment="1" applyProtection="1">
      <alignment horizontal="center"/>
      <protection hidden="1"/>
    </xf>
    <xf numFmtId="0" fontId="70" fillId="0" borderId="29" xfId="39" applyFill="1" applyBorder="1" applyAlignment="1" applyProtection="1">
      <alignment horizontal="center"/>
      <protection hidden="1"/>
    </xf>
    <xf numFmtId="0" fontId="6" fillId="0" borderId="28" xfId="40" applyFont="1" applyFill="1" applyBorder="1" applyAlignment="1" applyProtection="1">
      <alignment horizontal="center"/>
      <protection hidden="1"/>
    </xf>
    <xf numFmtId="0" fontId="6" fillId="0" borderId="29" xfId="40" applyFont="1" applyFill="1" applyBorder="1" applyAlignment="1" applyProtection="1">
      <alignment horizontal="center"/>
      <protection hidden="1"/>
    </xf>
    <xf numFmtId="0" fontId="6" fillId="0" borderId="30" xfId="40" applyFont="1" applyFill="1" applyBorder="1" applyAlignment="1" applyProtection="1">
      <alignment horizontal="center"/>
      <protection hidden="1"/>
    </xf>
    <xf numFmtId="0" fontId="6" fillId="0" borderId="31" xfId="40" applyFont="1" applyFill="1" applyBorder="1" applyAlignment="1" applyProtection="1">
      <alignment horizontal="center"/>
      <protection hidden="1"/>
    </xf>
    <xf numFmtId="0" fontId="0" fillId="0" borderId="28" xfId="0" applyBorder="1" applyAlignment="1" applyProtection="1">
      <alignment horizontal="center"/>
      <protection hidden="1"/>
    </xf>
    <xf numFmtId="0" fontId="0" fillId="0" borderId="30" xfId="0" applyBorder="1" applyAlignment="1" applyProtection="1">
      <alignment horizontal="center"/>
      <protection hidden="1"/>
    </xf>
    <xf numFmtId="0" fontId="0" fillId="0" borderId="31" xfId="0" applyBorder="1" applyAlignment="1" applyProtection="1">
      <alignment horizontal="center"/>
      <protection hidden="1"/>
    </xf>
    <xf numFmtId="0" fontId="350" fillId="0" borderId="13" xfId="0" applyFont="1" applyBorder="1" applyAlignment="1" applyProtection="1">
      <protection hidden="1"/>
    </xf>
    <xf numFmtId="0" fontId="350" fillId="0" borderId="0" xfId="0" applyFont="1" applyAlignment="1" applyProtection="1">
      <alignment horizontal="left" wrapText="1" shrinkToFit="1"/>
      <protection hidden="1"/>
    </xf>
    <xf numFmtId="0" fontId="307" fillId="0" borderId="13" xfId="0" applyFont="1" applyBorder="1" applyAlignment="1" applyProtection="1">
      <protection hidden="1"/>
    </xf>
    <xf numFmtId="16" fontId="307" fillId="0" borderId="13" xfId="0" applyNumberFormat="1" applyFont="1" applyBorder="1" applyAlignment="1" applyProtection="1">
      <alignment wrapText="1" shrinkToFit="1"/>
      <protection hidden="1"/>
    </xf>
    <xf numFmtId="0" fontId="351" fillId="0" borderId="13" xfId="0" applyFont="1" applyFill="1" applyBorder="1" applyAlignment="1">
      <alignment horizontal="center"/>
    </xf>
    <xf numFmtId="165" fontId="4" fillId="0" borderId="13" xfId="0" applyNumberFormat="1" applyFont="1" applyFill="1" applyBorder="1" applyAlignment="1">
      <alignment horizontal="center"/>
    </xf>
    <xf numFmtId="2" fontId="15" fillId="24" borderId="45" xfId="0" applyNumberFormat="1" applyFont="1" applyFill="1" applyBorder="1" applyAlignment="1" applyProtection="1">
      <alignment horizontal="left"/>
      <protection hidden="1"/>
    </xf>
    <xf numFmtId="0" fontId="0" fillId="0" borderId="20" xfId="0" applyBorder="1" applyAlignment="1" applyProtection="1">
      <alignment wrapText="1"/>
      <protection hidden="1"/>
    </xf>
    <xf numFmtId="0" fontId="16" fillId="0" borderId="0" xfId="0" applyFont="1" applyFill="1" applyBorder="1"/>
    <xf numFmtId="0" fontId="214" fillId="0" borderId="0" xfId="0" applyFont="1" applyFill="1" applyBorder="1"/>
    <xf numFmtId="0" fontId="117" fillId="0" borderId="0" xfId="0" applyFont="1" applyBorder="1" applyAlignment="1">
      <alignment horizontal="center" wrapText="1"/>
    </xf>
    <xf numFmtId="0" fontId="32" fillId="0" borderId="0" xfId="0" applyFont="1" applyFill="1"/>
    <xf numFmtId="0" fontId="117" fillId="0" borderId="0" xfId="0" applyFont="1" applyFill="1" applyBorder="1" applyAlignment="1">
      <alignment horizontal="center"/>
    </xf>
    <xf numFmtId="0" fontId="33" fillId="0" borderId="0" xfId="0" applyFont="1" applyFill="1" applyBorder="1" applyAlignment="1">
      <alignment horizontal="center" wrapText="1"/>
    </xf>
    <xf numFmtId="0" fontId="117" fillId="0" borderId="0" xfId="0" applyFont="1" applyAlignment="1">
      <alignment horizontal="center"/>
    </xf>
    <xf numFmtId="0" fontId="14" fillId="0" borderId="0" xfId="0" applyFont="1" applyBorder="1" applyAlignment="1" applyProtection="1">
      <protection hidden="1"/>
    </xf>
    <xf numFmtId="2" fontId="13" fillId="0" borderId="0" xfId="0" applyNumberFormat="1" applyFont="1" applyBorder="1" applyAlignment="1" applyProtection="1">
      <alignment horizontal="left"/>
      <protection hidden="1"/>
    </xf>
    <xf numFmtId="0" fontId="0" fillId="0" borderId="0" xfId="0" applyAlignment="1">
      <alignment horizontal="left"/>
    </xf>
    <xf numFmtId="0" fontId="0" fillId="0" borderId="0" xfId="0" applyAlignment="1" applyProtection="1">
      <alignment horizontal="left"/>
      <protection hidden="1"/>
    </xf>
    <xf numFmtId="0" fontId="15" fillId="0" borderId="0" xfId="0" applyFont="1" applyAlignment="1">
      <alignment horizontal="left"/>
    </xf>
    <xf numFmtId="0" fontId="22" fillId="23" borderId="13" xfId="28" applyFill="1" applyBorder="1" applyAlignment="1" applyProtection="1"/>
    <xf numFmtId="0" fontId="84" fillId="0" borderId="12" xfId="0" applyFont="1" applyBorder="1"/>
    <xf numFmtId="14" fontId="53" fillId="0" borderId="0" xfId="0" applyNumberFormat="1" applyFont="1" applyFill="1"/>
    <xf numFmtId="0" fontId="47" fillId="0" borderId="13" xfId="0" applyFont="1" applyFill="1" applyBorder="1" applyProtection="1">
      <protection hidden="1"/>
    </xf>
    <xf numFmtId="0" fontId="3" fillId="0" borderId="0" xfId="0" applyFont="1" applyAlignment="1" applyProtection="1">
      <alignment horizontal="center"/>
      <protection hidden="1"/>
    </xf>
    <xf numFmtId="0" fontId="12" fillId="0" borderId="0" xfId="0" applyFont="1" applyAlignment="1" applyProtection="1">
      <alignment horizontal="left"/>
      <protection hidden="1"/>
    </xf>
    <xf numFmtId="0" fontId="79" fillId="0" borderId="0" xfId="0" applyFont="1" applyFill="1"/>
    <xf numFmtId="0" fontId="22" fillId="23" borderId="0" xfId="28" applyFill="1" applyAlignment="1" applyProtection="1"/>
    <xf numFmtId="0" fontId="7" fillId="0" borderId="0" xfId="0" applyFont="1" applyBorder="1" applyAlignment="1" applyProtection="1">
      <alignment horizontal="left" wrapText="1"/>
      <protection hidden="1"/>
    </xf>
    <xf numFmtId="1" fontId="7" fillId="0" borderId="0" xfId="0" applyNumberFormat="1" applyFont="1" applyBorder="1" applyAlignment="1" applyProtection="1">
      <alignment horizontal="center"/>
      <protection hidden="1"/>
    </xf>
    <xf numFmtId="0" fontId="0" fillId="21" borderId="0" xfId="0" applyFill="1" applyBorder="1"/>
    <xf numFmtId="1" fontId="9" fillId="21" borderId="0" xfId="0" applyNumberFormat="1" applyFont="1" applyFill="1" applyAlignment="1" applyProtection="1">
      <alignment horizontal="center"/>
      <protection hidden="1"/>
    </xf>
    <xf numFmtId="0" fontId="4" fillId="21" borderId="0" xfId="0" applyFont="1" applyFill="1" applyProtection="1">
      <protection hidden="1"/>
    </xf>
    <xf numFmtId="0" fontId="22" fillId="23" borderId="0" xfId="28" applyFont="1" applyFill="1" applyAlignment="1" applyProtection="1">
      <protection hidden="1"/>
    </xf>
    <xf numFmtId="0" fontId="6" fillId="23" borderId="0" xfId="0" applyFont="1" applyFill="1" applyBorder="1" applyProtection="1">
      <protection locked="0" hidden="1"/>
    </xf>
    <xf numFmtId="0" fontId="15" fillId="21" borderId="0" xfId="0" applyFont="1" applyFill="1" applyBorder="1" applyAlignment="1" applyProtection="1">
      <alignment wrapText="1"/>
      <protection hidden="1"/>
    </xf>
    <xf numFmtId="2" fontId="13" fillId="21" borderId="0" xfId="0" applyNumberFormat="1" applyFont="1" applyFill="1" applyBorder="1" applyAlignment="1" applyProtection="1">
      <alignment horizontal="left"/>
      <protection hidden="1"/>
    </xf>
    <xf numFmtId="0" fontId="0" fillId="21" borderId="0" xfId="0" applyFill="1" applyAlignment="1">
      <alignment wrapText="1"/>
    </xf>
    <xf numFmtId="2" fontId="137" fillId="0" borderId="0" xfId="0" applyNumberFormat="1" applyFont="1" applyAlignment="1" applyProtection="1">
      <alignment horizontal="left"/>
      <protection hidden="1"/>
    </xf>
    <xf numFmtId="0" fontId="48" fillId="0" borderId="0" xfId="0" applyFont="1" applyAlignment="1" applyProtection="1">
      <alignment horizontal="left"/>
      <protection hidden="1"/>
    </xf>
    <xf numFmtId="0" fontId="48" fillId="0" borderId="0" xfId="0" applyFont="1" applyFill="1" applyAlignment="1" applyProtection="1">
      <alignment horizontal="left"/>
      <protection hidden="1"/>
    </xf>
    <xf numFmtId="1" fontId="48" fillId="0" borderId="0" xfId="0" applyNumberFormat="1" applyFont="1" applyFill="1" applyAlignment="1" applyProtection="1">
      <alignment horizontal="left"/>
      <protection hidden="1"/>
    </xf>
    <xf numFmtId="2" fontId="48" fillId="0" borderId="0" xfId="0" applyNumberFormat="1" applyFont="1" applyAlignment="1" applyProtection="1">
      <alignment horizontal="left"/>
      <protection hidden="1"/>
    </xf>
    <xf numFmtId="166" fontId="48" fillId="0" borderId="0" xfId="0" applyNumberFormat="1" applyFont="1" applyAlignment="1" applyProtection="1">
      <alignment horizontal="left"/>
      <protection hidden="1"/>
    </xf>
    <xf numFmtId="1" fontId="48" fillId="0" borderId="0" xfId="0" applyNumberFormat="1" applyFont="1" applyAlignment="1" applyProtection="1">
      <alignment horizontal="left"/>
      <protection hidden="1"/>
    </xf>
    <xf numFmtId="0" fontId="19" fillId="0" borderId="0" xfId="0" applyFont="1" applyBorder="1" applyAlignment="1">
      <alignment horizontal="center"/>
    </xf>
    <xf numFmtId="0" fontId="0" fillId="23" borderId="45" xfId="0" applyFill="1" applyBorder="1" applyProtection="1">
      <protection hidden="1"/>
    </xf>
    <xf numFmtId="0" fontId="0" fillId="23" borderId="0" xfId="0" applyFill="1" applyAlignment="1">
      <alignment wrapText="1"/>
    </xf>
    <xf numFmtId="0" fontId="48" fillId="21" borderId="0" xfId="0" applyFont="1" applyFill="1" applyAlignment="1" applyProtection="1">
      <alignment wrapText="1"/>
      <protection hidden="1"/>
    </xf>
    <xf numFmtId="0" fontId="26" fillId="21" borderId="0" xfId="0" applyFont="1" applyFill="1"/>
    <xf numFmtId="0" fontId="47" fillId="21" borderId="0" xfId="0" applyFont="1" applyFill="1" applyBorder="1" applyProtection="1">
      <protection hidden="1"/>
    </xf>
    <xf numFmtId="0" fontId="0" fillId="21" borderId="0" xfId="0" applyFill="1" applyBorder="1" applyAlignment="1">
      <alignment horizontal="center"/>
    </xf>
    <xf numFmtId="0" fontId="47" fillId="21" borderId="0" xfId="0" applyFont="1" applyFill="1" applyAlignment="1">
      <alignment horizontal="center"/>
    </xf>
    <xf numFmtId="0" fontId="12" fillId="0" borderId="0" xfId="0" applyFont="1" applyAlignment="1">
      <alignment horizontal="center"/>
    </xf>
    <xf numFmtId="0" fontId="0" fillId="0" borderId="62" xfId="0" applyBorder="1"/>
    <xf numFmtId="0" fontId="112" fillId="0" borderId="64" xfId="0" applyFont="1" applyBorder="1" applyAlignment="1">
      <alignment horizontal="right"/>
    </xf>
    <xf numFmtId="0" fontId="353" fillId="0" borderId="64" xfId="0" applyFont="1" applyBorder="1" applyAlignment="1">
      <alignment horizontal="center"/>
    </xf>
    <xf numFmtId="0" fontId="0" fillId="0" borderId="64" xfId="0" applyBorder="1"/>
    <xf numFmtId="0" fontId="0" fillId="0" borderId="36" xfId="0" applyBorder="1"/>
    <xf numFmtId="0" fontId="15" fillId="0" borderId="64" xfId="0" applyFont="1" applyBorder="1" applyAlignment="1">
      <alignment horizontal="left" wrapText="1"/>
    </xf>
    <xf numFmtId="0" fontId="15" fillId="0" borderId="64" xfId="0" applyFont="1" applyBorder="1" applyAlignment="1">
      <alignment horizontal="justify"/>
    </xf>
    <xf numFmtId="0" fontId="15" fillId="0" borderId="36" xfId="0" applyFont="1" applyBorder="1" applyAlignment="1">
      <alignment horizontal="justify"/>
    </xf>
    <xf numFmtId="0" fontId="15" fillId="0" borderId="64" xfId="0" applyFont="1" applyBorder="1"/>
    <xf numFmtId="0" fontId="354" fillId="0" borderId="0" xfId="0" applyFont="1" applyFill="1" applyBorder="1" applyAlignment="1">
      <alignment horizontal="center"/>
    </xf>
    <xf numFmtId="2" fontId="9" fillId="0" borderId="0" xfId="0" applyNumberFormat="1" applyFont="1" applyFill="1" applyBorder="1" applyAlignment="1" applyProtection="1">
      <alignment horizontal="left"/>
      <protection hidden="1"/>
    </xf>
    <xf numFmtId="0" fontId="16" fillId="0" borderId="0" xfId="0" applyFont="1" applyBorder="1"/>
    <xf numFmtId="1" fontId="106" fillId="0" borderId="13" xfId="0" applyNumberFormat="1" applyFont="1" applyBorder="1" applyAlignment="1">
      <alignment horizontal="center"/>
    </xf>
    <xf numFmtId="0" fontId="22" fillId="0" borderId="0" xfId="28" applyBorder="1" applyAlignment="1" applyProtection="1"/>
    <xf numFmtId="0" fontId="12" fillId="21" borderId="0" xfId="0" applyFont="1" applyFill="1" applyBorder="1"/>
    <xf numFmtId="0" fontId="0" fillId="21" borderId="0" xfId="0" applyFill="1" applyBorder="1" applyProtection="1">
      <protection locked="0" hidden="1"/>
    </xf>
    <xf numFmtId="0" fontId="83" fillId="0" borderId="12" xfId="0" applyFont="1" applyBorder="1"/>
    <xf numFmtId="0" fontId="355" fillId="0" borderId="63" xfId="0" applyFont="1" applyBorder="1"/>
    <xf numFmtId="0" fontId="355" fillId="0" borderId="12" xfId="0" applyFont="1" applyBorder="1"/>
    <xf numFmtId="0" fontId="352" fillId="0" borderId="0" xfId="0" applyFont="1" applyBorder="1"/>
    <xf numFmtId="0" fontId="11" fillId="0" borderId="47" xfId="0" applyFont="1" applyBorder="1"/>
    <xf numFmtId="0" fontId="257" fillId="0" borderId="35" xfId="0" applyFont="1" applyBorder="1"/>
    <xf numFmtId="0" fontId="11" fillId="0" borderId="35" xfId="0" applyFont="1" applyBorder="1"/>
    <xf numFmtId="0" fontId="258" fillId="0" borderId="58" xfId="0" applyFont="1" applyBorder="1"/>
    <xf numFmtId="0" fontId="259" fillId="0" borderId="10" xfId="0" applyFont="1" applyBorder="1"/>
    <xf numFmtId="0" fontId="260" fillId="0" borderId="10" xfId="0" applyFont="1" applyBorder="1"/>
    <xf numFmtId="0" fontId="260" fillId="0" borderId="11" xfId="0" applyFont="1" applyBorder="1"/>
    <xf numFmtId="0" fontId="258" fillId="0" borderId="12" xfId="0" applyFont="1" applyBorder="1"/>
    <xf numFmtId="0" fontId="260" fillId="0" borderId="51" xfId="0" applyFont="1" applyBorder="1"/>
    <xf numFmtId="0" fontId="16" fillId="0" borderId="51" xfId="0" applyFont="1" applyBorder="1"/>
    <xf numFmtId="0" fontId="258" fillId="0" borderId="47" xfId="0" applyFont="1" applyBorder="1"/>
    <xf numFmtId="0" fontId="259" fillId="0" borderId="35" xfId="0" applyFont="1" applyBorder="1"/>
    <xf numFmtId="0" fontId="260" fillId="0" borderId="35" xfId="0" applyFont="1" applyBorder="1"/>
    <xf numFmtId="0" fontId="260" fillId="0" borderId="59" xfId="0" applyFont="1" applyBorder="1"/>
    <xf numFmtId="0" fontId="109" fillId="0" borderId="0" xfId="0" applyFont="1"/>
    <xf numFmtId="0" fontId="86" fillId="0" borderId="58" xfId="0" applyFont="1" applyBorder="1" applyProtection="1">
      <protection hidden="1"/>
    </xf>
    <xf numFmtId="0" fontId="25" fillId="0" borderId="10" xfId="0" applyFont="1" applyFill="1" applyBorder="1" applyProtection="1">
      <protection hidden="1"/>
    </xf>
    <xf numFmtId="0" fontId="15" fillId="0" borderId="12" xfId="0" applyFont="1" applyFill="1" applyBorder="1"/>
    <xf numFmtId="0" fontId="13" fillId="0" borderId="51" xfId="0" applyFont="1" applyBorder="1"/>
    <xf numFmtId="0" fontId="109" fillId="0" borderId="12" xfId="0" applyFont="1" applyBorder="1"/>
    <xf numFmtId="0" fontId="109" fillId="0" borderId="12" xfId="0" applyFont="1" applyFill="1" applyBorder="1"/>
    <xf numFmtId="0" fontId="13" fillId="0" borderId="0" xfId="0" applyFont="1" applyFill="1" applyBorder="1" applyProtection="1">
      <protection hidden="1"/>
    </xf>
    <xf numFmtId="0" fontId="13" fillId="0" borderId="51" xfId="0" applyFont="1" applyFill="1" applyBorder="1"/>
    <xf numFmtId="0" fontId="109" fillId="0" borderId="47" xfId="0" applyFont="1" applyBorder="1"/>
    <xf numFmtId="0" fontId="13" fillId="0" borderId="35" xfId="0" applyFont="1" applyFill="1" applyBorder="1" applyProtection="1">
      <protection hidden="1"/>
    </xf>
    <xf numFmtId="0" fontId="21" fillId="0" borderId="35" xfId="0" applyFont="1" applyFill="1" applyBorder="1" applyProtection="1">
      <protection hidden="1"/>
    </xf>
    <xf numFmtId="0" fontId="13" fillId="0" borderId="59" xfId="0" applyFont="1" applyFill="1" applyBorder="1"/>
    <xf numFmtId="0" fontId="239" fillId="0" borderId="64" xfId="0" applyFont="1" applyBorder="1" applyAlignment="1">
      <alignment horizontal="center"/>
    </xf>
    <xf numFmtId="0" fontId="88" fillId="0" borderId="64" xfId="0" applyFont="1" applyBorder="1" applyAlignment="1">
      <alignment horizontal="center"/>
    </xf>
    <xf numFmtId="0" fontId="19" fillId="0" borderId="0" xfId="0" applyFont="1"/>
    <xf numFmtId="2" fontId="0" fillId="0" borderId="0" xfId="0" applyNumberFormat="1"/>
    <xf numFmtId="1" fontId="0" fillId="0" borderId="0" xfId="0" applyNumberFormat="1" applyFill="1" applyBorder="1" applyProtection="1">
      <protection hidden="1"/>
    </xf>
    <xf numFmtId="0" fontId="0" fillId="23" borderId="0" xfId="0" applyFill="1" applyBorder="1" applyProtection="1">
      <protection hidden="1"/>
    </xf>
    <xf numFmtId="0" fontId="0" fillId="0" borderId="16" xfId="0" applyBorder="1" applyAlignment="1" applyProtection="1">
      <alignment horizontal="center"/>
      <protection hidden="1"/>
    </xf>
    <xf numFmtId="0" fontId="0" fillId="0" borderId="45" xfId="0" applyBorder="1" applyAlignment="1" applyProtection="1">
      <alignment horizontal="center"/>
      <protection hidden="1"/>
    </xf>
    <xf numFmtId="0" fontId="84" fillId="0" borderId="67" xfId="0" applyFont="1" applyBorder="1" applyAlignment="1">
      <alignment horizontal="center"/>
    </xf>
    <xf numFmtId="0" fontId="84" fillId="0" borderId="61" xfId="0" applyFont="1" applyBorder="1" applyAlignment="1">
      <alignment horizontal="center"/>
    </xf>
    <xf numFmtId="0" fontId="19" fillId="0" borderId="37" xfId="0" applyFont="1" applyBorder="1" applyAlignment="1" applyProtection="1">
      <alignment horizontal="center"/>
      <protection hidden="1"/>
    </xf>
    <xf numFmtId="0" fontId="0" fillId="0" borderId="16" xfId="0" applyBorder="1" applyAlignment="1" applyProtection="1">
      <protection hidden="1"/>
    </xf>
    <xf numFmtId="0" fontId="21" fillId="20" borderId="0" xfId="0" applyFont="1" applyFill="1" applyAlignment="1" applyProtection="1">
      <protection hidden="1"/>
    </xf>
    <xf numFmtId="0" fontId="48" fillId="21" borderId="0" xfId="0" applyFont="1" applyFill="1" applyAlignment="1" applyProtection="1">
      <protection hidden="1"/>
    </xf>
    <xf numFmtId="0" fontId="102" fillId="23" borderId="0" xfId="0" applyFont="1" applyFill="1" applyProtection="1">
      <protection hidden="1"/>
    </xf>
    <xf numFmtId="0" fontId="48" fillId="23" borderId="0" xfId="0" applyFont="1" applyFill="1" applyProtection="1">
      <protection hidden="1"/>
    </xf>
    <xf numFmtId="0" fontId="102" fillId="23" borderId="0" xfId="0" applyFont="1" applyFill="1" applyAlignment="1" applyProtection="1">
      <alignment horizontal="center"/>
      <protection hidden="1"/>
    </xf>
    <xf numFmtId="0" fontId="19" fillId="0" borderId="37" xfId="0" applyFont="1" applyBorder="1" applyAlignment="1">
      <alignment horizontal="center" wrapText="1"/>
    </xf>
    <xf numFmtId="0" fontId="137" fillId="23" borderId="0" xfId="0" applyFont="1" applyFill="1" applyProtection="1">
      <protection hidden="1"/>
    </xf>
    <xf numFmtId="0" fontId="11" fillId="23" borderId="0" xfId="0" applyFont="1" applyFill="1"/>
    <xf numFmtId="0" fontId="218" fillId="0" borderId="13" xfId="0" applyFont="1" applyFill="1" applyBorder="1" applyAlignment="1">
      <alignment wrapText="1"/>
    </xf>
    <xf numFmtId="0" fontId="19" fillId="0" borderId="0" xfId="0" applyFont="1" applyFill="1" applyBorder="1"/>
    <xf numFmtId="0" fontId="19" fillId="0" borderId="13" xfId="0" applyFont="1" applyBorder="1" applyAlignment="1" applyProtection="1">
      <alignment horizontal="center"/>
      <protection hidden="1"/>
    </xf>
    <xf numFmtId="0" fontId="48" fillId="23" borderId="13" xfId="0" applyFont="1" applyFill="1" applyBorder="1" applyProtection="1">
      <protection hidden="1"/>
    </xf>
    <xf numFmtId="0" fontId="0" fillId="0" borderId="16" xfId="0" applyBorder="1" applyAlignment="1"/>
    <xf numFmtId="0" fontId="19" fillId="0" borderId="45" xfId="0" applyFont="1" applyBorder="1" applyAlignment="1">
      <alignment horizontal="center" wrapText="1"/>
    </xf>
    <xf numFmtId="0" fontId="19" fillId="0" borderId="16" xfId="0" applyFont="1" applyBorder="1" applyAlignment="1">
      <alignment horizontal="center" wrapText="1"/>
    </xf>
    <xf numFmtId="0" fontId="0" fillId="0" borderId="45" xfId="0" applyBorder="1" applyAlignment="1">
      <alignment horizontal="center"/>
    </xf>
    <xf numFmtId="0" fontId="19" fillId="0" borderId="37" xfId="0" applyFont="1" applyBorder="1" applyAlignment="1">
      <alignment horizontal="center"/>
    </xf>
    <xf numFmtId="0" fontId="0" fillId="0" borderId="45" xfId="0" applyBorder="1" applyAlignment="1"/>
    <xf numFmtId="0" fontId="19" fillId="0" borderId="0" xfId="0" applyFont="1" applyAlignment="1">
      <alignment horizontal="left"/>
    </xf>
    <xf numFmtId="0" fontId="354" fillId="0" borderId="0" xfId="0" applyFont="1"/>
    <xf numFmtId="0" fontId="218" fillId="0" borderId="0" xfId="0" applyFont="1"/>
    <xf numFmtId="0" fontId="96" fillId="0" borderId="13" xfId="0" applyFont="1" applyBorder="1"/>
    <xf numFmtId="0" fontId="96" fillId="0" borderId="13" xfId="0" applyFont="1" applyFill="1" applyBorder="1" applyProtection="1">
      <protection hidden="1"/>
    </xf>
    <xf numFmtId="0" fontId="96" fillId="0" borderId="13" xfId="0" applyFont="1" applyFill="1" applyBorder="1" applyAlignment="1" applyProtection="1">
      <alignment horizontal="left"/>
      <protection hidden="1"/>
    </xf>
    <xf numFmtId="2" fontId="96" fillId="0" borderId="13" xfId="0" applyNumberFormat="1" applyFont="1" applyFill="1" applyBorder="1" applyAlignment="1" applyProtection="1">
      <alignment wrapText="1"/>
      <protection locked="0" hidden="1"/>
    </xf>
    <xf numFmtId="0" fontId="83" fillId="0" borderId="0" xfId="0" applyFont="1" applyAlignment="1">
      <alignment horizontal="center"/>
    </xf>
    <xf numFmtId="0" fontId="96" fillId="0" borderId="0" xfId="0" applyFont="1" applyAlignment="1" applyProtection="1">
      <alignment wrapText="1"/>
      <protection hidden="1"/>
    </xf>
    <xf numFmtId="0" fontId="359" fillId="0" borderId="13" xfId="0" applyFont="1" applyFill="1" applyBorder="1" applyAlignment="1" applyProtection="1">
      <alignment horizontal="center"/>
      <protection hidden="1"/>
    </xf>
    <xf numFmtId="0" fontId="14" fillId="0" borderId="13" xfId="0" applyFont="1" applyFill="1" applyBorder="1" applyAlignment="1">
      <alignment horizontal="center" wrapText="1"/>
    </xf>
    <xf numFmtId="0" fontId="75" fillId="0" borderId="13" xfId="0" applyFont="1" applyFill="1" applyBorder="1" applyAlignment="1" applyProtection="1">
      <alignment horizontal="center" wrapText="1"/>
      <protection locked="0"/>
    </xf>
    <xf numFmtId="0" fontId="262" fillId="0" borderId="13" xfId="0" applyFont="1" applyBorder="1" applyAlignment="1" applyProtection="1">
      <protection hidden="1"/>
    </xf>
    <xf numFmtId="0" fontId="361" fillId="0" borderId="13" xfId="0" applyFont="1" applyFill="1" applyBorder="1" applyAlignment="1" applyProtection="1">
      <alignment horizontal="center"/>
      <protection locked="0"/>
    </xf>
    <xf numFmtId="0" fontId="361" fillId="0" borderId="0" xfId="0" applyFont="1" applyFill="1" applyBorder="1" applyAlignment="1" applyProtection="1">
      <alignment horizontal="center"/>
      <protection locked="0"/>
    </xf>
    <xf numFmtId="0" fontId="362" fillId="0" borderId="0" xfId="0" applyFont="1" applyFill="1" applyBorder="1" applyAlignment="1" applyProtection="1">
      <alignment horizontal="center"/>
      <protection locked="0"/>
    </xf>
    <xf numFmtId="0" fontId="80" fillId="0" borderId="0" xfId="0" applyFont="1" applyBorder="1" applyAlignment="1" applyProtection="1">
      <protection hidden="1"/>
    </xf>
    <xf numFmtId="0" fontId="107" fillId="0" borderId="0" xfId="0" applyFont="1" applyFill="1" applyBorder="1" applyAlignment="1" applyProtection="1">
      <alignment horizontal="left"/>
      <protection locked="0"/>
    </xf>
    <xf numFmtId="0" fontId="262" fillId="0" borderId="13" xfId="0" applyFont="1" applyBorder="1" applyAlignment="1" applyProtection="1">
      <alignment wrapText="1"/>
      <protection hidden="1"/>
    </xf>
    <xf numFmtId="0" fontId="362" fillId="22" borderId="13" xfId="0" applyFont="1" applyFill="1" applyBorder="1" applyAlignment="1" applyProtection="1">
      <alignment horizontal="center"/>
      <protection locked="0"/>
    </xf>
    <xf numFmtId="0" fontId="262" fillId="0" borderId="0" xfId="0" applyFont="1" applyBorder="1" applyAlignment="1" applyProtection="1">
      <protection hidden="1"/>
    </xf>
    <xf numFmtId="165" fontId="361" fillId="0" borderId="0" xfId="0" applyNumberFormat="1" applyFont="1" applyFill="1" applyBorder="1" applyAlignment="1" applyProtection="1">
      <alignment horizontal="center"/>
      <protection locked="0"/>
    </xf>
    <xf numFmtId="0" fontId="262" fillId="0" borderId="0" xfId="0" applyFont="1" applyBorder="1" applyAlignment="1" applyProtection="1">
      <alignment horizontal="right"/>
      <protection hidden="1"/>
    </xf>
    <xf numFmtId="0" fontId="19" fillId="0" borderId="0" xfId="0" applyFont="1" applyBorder="1" applyAlignment="1" applyProtection="1">
      <protection hidden="1"/>
    </xf>
    <xf numFmtId="0" fontId="262" fillId="0" borderId="13" xfId="0" applyFont="1" applyFill="1" applyBorder="1" applyAlignment="1" applyProtection="1">
      <alignment horizontal="center"/>
      <protection locked="0"/>
    </xf>
    <xf numFmtId="1" fontId="361" fillId="0" borderId="13" xfId="0" applyNumberFormat="1" applyFont="1" applyFill="1" applyBorder="1" applyAlignment="1" applyProtection="1">
      <alignment horizontal="center"/>
      <protection locked="0"/>
    </xf>
    <xf numFmtId="1" fontId="361" fillId="23" borderId="20" xfId="0" applyNumberFormat="1" applyFont="1" applyFill="1" applyBorder="1" applyAlignment="1" applyProtection="1">
      <alignment horizontal="center"/>
      <protection locked="0"/>
    </xf>
    <xf numFmtId="0" fontId="362" fillId="0" borderId="13" xfId="0" applyFont="1" applyFill="1" applyBorder="1" applyAlignment="1" applyProtection="1">
      <alignment horizontal="center"/>
      <protection locked="0"/>
    </xf>
    <xf numFmtId="0" fontId="354" fillId="0" borderId="0" xfId="0" applyFont="1" applyAlignment="1" applyProtection="1">
      <protection hidden="1"/>
    </xf>
    <xf numFmtId="0" fontId="96" fillId="0" borderId="37" xfId="0" applyFont="1" applyFill="1" applyBorder="1" applyAlignment="1" applyProtection="1">
      <alignment horizontal="center"/>
      <protection hidden="1"/>
    </xf>
    <xf numFmtId="0" fontId="158" fillId="0" borderId="0" xfId="0" applyFont="1" applyFill="1" applyAlignment="1" applyProtection="1">
      <protection hidden="1"/>
    </xf>
    <xf numFmtId="0" fontId="25" fillId="0" borderId="0" xfId="0" applyFont="1" applyFill="1"/>
    <xf numFmtId="0" fontId="96" fillId="0" borderId="37" xfId="0" applyFont="1" applyFill="1" applyBorder="1" applyAlignment="1" applyProtection="1">
      <protection hidden="1"/>
    </xf>
    <xf numFmtId="0" fontId="21" fillId="23" borderId="0" xfId="0" applyFont="1" applyFill="1" applyBorder="1"/>
    <xf numFmtId="0" fontId="80" fillId="0" borderId="0" xfId="0" applyFont="1" applyAlignment="1">
      <alignment horizontal="left"/>
    </xf>
    <xf numFmtId="0" fontId="354" fillId="0" borderId="0" xfId="0" applyFont="1" applyAlignment="1">
      <alignment horizontal="left"/>
    </xf>
    <xf numFmtId="1" fontId="14" fillId="0" borderId="0" xfId="0" applyNumberFormat="1" applyFont="1" applyBorder="1"/>
    <xf numFmtId="0" fontId="15" fillId="0" borderId="25" xfId="0" applyFont="1" applyBorder="1" applyAlignment="1">
      <alignment horizontal="center"/>
    </xf>
    <xf numFmtId="0" fontId="15" fillId="0" borderId="28" xfId="0" applyFont="1" applyBorder="1" applyAlignment="1">
      <alignment horizontal="center"/>
    </xf>
    <xf numFmtId="0" fontId="15" fillId="0" borderId="30" xfId="0" applyFont="1" applyBorder="1" applyAlignment="1">
      <alignment horizontal="center"/>
    </xf>
    <xf numFmtId="0" fontId="106" fillId="0" borderId="16" xfId="0" applyFont="1" applyFill="1" applyBorder="1" applyAlignment="1">
      <alignment horizontal="center"/>
    </xf>
    <xf numFmtId="0" fontId="83" fillId="0" borderId="0" xfId="0" applyFont="1" applyFill="1" applyBorder="1" applyAlignment="1">
      <alignment horizontal="center"/>
    </xf>
    <xf numFmtId="0" fontId="96" fillId="0" borderId="0" xfId="0" applyFont="1" applyFill="1" applyBorder="1" applyAlignment="1">
      <alignment horizontal="center"/>
    </xf>
    <xf numFmtId="0" fontId="0" fillId="0" borderId="13" xfId="0" applyBorder="1" applyAlignment="1">
      <alignment horizontal="right"/>
    </xf>
    <xf numFmtId="0" fontId="271" fillId="0" borderId="0" xfId="0" applyFont="1" applyFill="1" applyBorder="1" applyAlignment="1">
      <alignment horizontal="center" wrapText="1"/>
    </xf>
    <xf numFmtId="0" fontId="15" fillId="21" borderId="13" xfId="0" applyFont="1" applyFill="1" applyBorder="1" applyAlignment="1">
      <alignment wrapText="1"/>
    </xf>
    <xf numFmtId="0" fontId="19" fillId="21" borderId="45" xfId="0" applyFont="1" applyFill="1" applyBorder="1" applyAlignment="1">
      <alignment horizontal="center"/>
    </xf>
    <xf numFmtId="0" fontId="83" fillId="21" borderId="0" xfId="0" applyFont="1" applyFill="1" applyBorder="1" applyAlignment="1">
      <alignment horizontal="center"/>
    </xf>
    <xf numFmtId="0" fontId="0" fillId="0" borderId="12" xfId="0" applyBorder="1" applyAlignment="1">
      <alignment horizontal="right"/>
    </xf>
    <xf numFmtId="0" fontId="0" fillId="0" borderId="47" xfId="0" applyBorder="1" applyAlignment="1">
      <alignment horizontal="right"/>
    </xf>
    <xf numFmtId="0" fontId="33" fillId="0" borderId="35" xfId="0" applyFont="1" applyBorder="1" applyAlignment="1">
      <alignment horizontal="center"/>
    </xf>
    <xf numFmtId="0" fontId="0" fillId="22" borderId="14" xfId="0" applyFill="1" applyBorder="1" applyAlignment="1">
      <alignment horizontal="center"/>
    </xf>
    <xf numFmtId="0" fontId="0" fillId="0" borderId="34" xfId="0" applyBorder="1"/>
    <xf numFmtId="0" fontId="0" fillId="0" borderId="32" xfId="0" applyBorder="1" applyAlignment="1">
      <alignment wrapText="1"/>
    </xf>
    <xf numFmtId="0" fontId="0" fillId="0" borderId="0" xfId="0" applyAlignment="1">
      <alignment textRotation="90"/>
    </xf>
    <xf numFmtId="0" fontId="14" fillId="0" borderId="0" xfId="0" applyFont="1" applyAlignment="1" applyProtection="1">
      <alignment wrapText="1"/>
      <protection hidden="1"/>
    </xf>
    <xf numFmtId="0" fontId="1" fillId="0" borderId="0" xfId="28" applyFont="1" applyFill="1" applyAlignment="1" applyProtection="1"/>
    <xf numFmtId="0" fontId="13" fillId="0" borderId="0" xfId="28" applyFont="1" applyFill="1" applyAlignment="1" applyProtection="1"/>
    <xf numFmtId="0" fontId="108" fillId="0" borderId="0" xfId="0" applyFont="1" applyFill="1"/>
    <xf numFmtId="0" fontId="1" fillId="0" borderId="13" xfId="28" applyFont="1" applyFill="1" applyBorder="1" applyAlignment="1" applyProtection="1">
      <alignment textRotation="90" wrapText="1"/>
    </xf>
    <xf numFmtId="0" fontId="0" fillId="0" borderId="13" xfId="0" applyFill="1" applyBorder="1" applyAlignment="1">
      <alignment textRotation="90" wrapText="1"/>
    </xf>
    <xf numFmtId="1" fontId="1" fillId="0" borderId="0" xfId="28" applyNumberFormat="1" applyFont="1" applyFill="1" applyAlignment="1" applyProtection="1"/>
    <xf numFmtId="0" fontId="105" fillId="0" borderId="0" xfId="0" applyFont="1"/>
    <xf numFmtId="0" fontId="3" fillId="0" borderId="0" xfId="0" applyFont="1"/>
    <xf numFmtId="0" fontId="26" fillId="0" borderId="0" xfId="28" applyFont="1" applyFill="1" applyAlignment="1" applyProtection="1"/>
    <xf numFmtId="0" fontId="364" fillId="0" borderId="0" xfId="0" applyFont="1" applyFill="1" applyBorder="1" applyAlignment="1"/>
    <xf numFmtId="0" fontId="12" fillId="0" borderId="0" xfId="28" applyFont="1" applyFill="1" applyAlignment="1" applyProtection="1">
      <alignment horizontal="center"/>
    </xf>
    <xf numFmtId="0" fontId="57" fillId="0" borderId="13" xfId="42" applyFont="1" applyFill="1" applyBorder="1" applyAlignment="1" applyProtection="1">
      <alignment horizontal="center" vertical="center" textRotation="90" wrapText="1"/>
      <protection locked="0"/>
    </xf>
    <xf numFmtId="0" fontId="57" fillId="0" borderId="13" xfId="42" applyFont="1" applyFill="1" applyBorder="1" applyAlignment="1" applyProtection="1">
      <alignment horizontal="left" vertical="center" textRotation="90" wrapText="1"/>
      <protection locked="0"/>
    </xf>
    <xf numFmtId="0" fontId="22" fillId="0" borderId="0" xfId="28" applyFill="1" applyBorder="1" applyAlignment="1" applyProtection="1"/>
    <xf numFmtId="0" fontId="165" fillId="0" borderId="0" xfId="28" applyFont="1" applyFill="1" applyBorder="1" applyAlignment="1" applyProtection="1"/>
    <xf numFmtId="0" fontId="1" fillId="0" borderId="0" xfId="28" applyFont="1" applyFill="1" applyBorder="1" applyAlignment="1" applyProtection="1"/>
    <xf numFmtId="0" fontId="13" fillId="0" borderId="0" xfId="28" applyFont="1" applyFill="1" applyBorder="1" applyAlignment="1" applyProtection="1">
      <alignment horizontal="center"/>
    </xf>
    <xf numFmtId="0" fontId="19" fillId="0" borderId="0" xfId="28" applyFont="1" applyFill="1" applyBorder="1" applyAlignment="1" applyProtection="1">
      <alignment horizontal="center"/>
    </xf>
    <xf numFmtId="1" fontId="14" fillId="0" borderId="13" xfId="0" applyNumberFormat="1" applyFont="1" applyBorder="1"/>
    <xf numFmtId="2" fontId="14" fillId="0" borderId="13" xfId="0" applyNumberFormat="1" applyFont="1" applyBorder="1"/>
    <xf numFmtId="0" fontId="218" fillId="0" borderId="13" xfId="0" applyFont="1" applyBorder="1" applyAlignment="1" applyProtection="1">
      <alignment wrapText="1"/>
      <protection hidden="1"/>
    </xf>
    <xf numFmtId="0" fontId="218" fillId="0" borderId="0" xfId="0" applyFont="1" applyAlignment="1">
      <alignment horizontal="center"/>
    </xf>
    <xf numFmtId="0" fontId="15" fillId="0" borderId="0" xfId="28" applyFont="1" applyFill="1" applyBorder="1" applyAlignment="1" applyProtection="1">
      <alignment horizontal="right"/>
    </xf>
    <xf numFmtId="0" fontId="70" fillId="0" borderId="0" xfId="28" applyFont="1" applyFill="1" applyBorder="1" applyAlignment="1" applyProtection="1"/>
    <xf numFmtId="0" fontId="1" fillId="0" borderId="13" xfId="28" applyFont="1" applyFill="1" applyBorder="1" applyAlignment="1" applyProtection="1"/>
    <xf numFmtId="0" fontId="224" fillId="0" borderId="0" xfId="28" applyFont="1" applyFill="1" applyBorder="1" applyAlignment="1" applyProtection="1"/>
    <xf numFmtId="1" fontId="33" fillId="0" borderId="13" xfId="0" applyNumberFormat="1" applyFont="1" applyFill="1" applyBorder="1" applyAlignment="1">
      <alignment horizontal="center"/>
    </xf>
    <xf numFmtId="0" fontId="218" fillId="0" borderId="13" xfId="28" applyFont="1" applyFill="1" applyBorder="1" applyAlignment="1" applyProtection="1"/>
    <xf numFmtId="1" fontId="19" fillId="0" borderId="0" xfId="28" applyNumberFormat="1" applyFont="1" applyFill="1" applyBorder="1" applyAlignment="1" applyProtection="1"/>
    <xf numFmtId="0" fontId="158" fillId="0" borderId="13" xfId="28" applyFont="1" applyFill="1" applyBorder="1" applyAlignment="1" applyProtection="1"/>
    <xf numFmtId="1" fontId="33" fillId="0" borderId="13" xfId="0" applyNumberFormat="1" applyFont="1" applyBorder="1" applyAlignment="1">
      <alignment horizontal="center"/>
    </xf>
    <xf numFmtId="0" fontId="158" fillId="0" borderId="13" xfId="0" applyFont="1" applyBorder="1" applyAlignment="1">
      <alignment horizontal="center"/>
    </xf>
    <xf numFmtId="0" fontId="117" fillId="0" borderId="0" xfId="28" applyFont="1" applyFill="1" applyBorder="1" applyAlignment="1" applyProtection="1">
      <alignment horizontal="right"/>
    </xf>
    <xf numFmtId="0" fontId="15" fillId="0" borderId="0" xfId="0" applyNumberFormat="1" applyFont="1" applyFill="1" applyBorder="1" applyAlignment="1" applyProtection="1">
      <alignment horizontal="left" vertical="top"/>
    </xf>
    <xf numFmtId="0" fontId="0" fillId="0" borderId="0" xfId="0" applyFill="1" applyAlignment="1">
      <alignment horizontal="left"/>
    </xf>
    <xf numFmtId="0" fontId="263" fillId="0" borderId="0" xfId="0" applyNumberFormat="1" applyFont="1" applyFill="1" applyBorder="1" applyAlignment="1" applyProtection="1">
      <alignment horizontal="left" vertical="top"/>
    </xf>
    <xf numFmtId="2" fontId="15" fillId="0" borderId="45" xfId="0" applyNumberFormat="1" applyFont="1" applyFill="1" applyBorder="1" applyAlignment="1" applyProtection="1">
      <alignment horizontal="center"/>
      <protection hidden="1"/>
    </xf>
    <xf numFmtId="0" fontId="19" fillId="0" borderId="13" xfId="0" applyFont="1" applyFill="1" applyBorder="1"/>
    <xf numFmtId="0" fontId="19" fillId="0" borderId="0" xfId="28" applyFont="1" applyAlignment="1" applyProtection="1"/>
    <xf numFmtId="0" fontId="19" fillId="0" borderId="13" xfId="28" applyFont="1" applyBorder="1" applyAlignment="1" applyProtection="1">
      <alignment horizontal="center"/>
    </xf>
    <xf numFmtId="0" fontId="15" fillId="0" borderId="13" xfId="28" applyFont="1" applyBorder="1" applyAlignment="1" applyProtection="1"/>
    <xf numFmtId="0" fontId="15" fillId="0" borderId="37" xfId="28" applyFont="1" applyBorder="1" applyAlignment="1" applyProtection="1"/>
    <xf numFmtId="0" fontId="75" fillId="0" borderId="0" xfId="0" applyFont="1" applyFill="1" applyBorder="1" applyAlignment="1" applyProtection="1">
      <alignment horizontal="center" wrapText="1"/>
      <protection locked="0"/>
    </xf>
    <xf numFmtId="1" fontId="14" fillId="0" borderId="13" xfId="0" applyNumberFormat="1" applyFont="1" applyBorder="1" applyAlignment="1">
      <alignment horizontal="center"/>
    </xf>
    <xf numFmtId="1" fontId="75" fillId="0" borderId="13" xfId="0" applyNumberFormat="1" applyFont="1" applyFill="1" applyBorder="1" applyAlignment="1" applyProtection="1">
      <alignment horizontal="center" wrapText="1"/>
      <protection locked="0"/>
    </xf>
    <xf numFmtId="0" fontId="106" fillId="23" borderId="37" xfId="0" applyFont="1" applyFill="1" applyBorder="1" applyAlignment="1"/>
    <xf numFmtId="0" fontId="0" fillId="23" borderId="37" xfId="0" applyFill="1" applyBorder="1"/>
    <xf numFmtId="0" fontId="19" fillId="0" borderId="13" xfId="0" applyFont="1" applyFill="1" applyBorder="1" applyAlignment="1">
      <alignment wrapText="1"/>
    </xf>
    <xf numFmtId="0" fontId="19" fillId="0" borderId="0" xfId="0" applyFont="1" applyFill="1" applyBorder="1" applyAlignment="1">
      <alignment horizontal="center"/>
    </xf>
    <xf numFmtId="0" fontId="19" fillId="0" borderId="0" xfId="0" applyFont="1" applyFill="1" applyAlignment="1">
      <alignment horizontal="center"/>
    </xf>
    <xf numFmtId="0" fontId="33" fillId="23" borderId="37" xfId="0" applyFont="1" applyFill="1" applyBorder="1" applyAlignment="1">
      <alignment horizontal="center"/>
    </xf>
    <xf numFmtId="0" fontId="33" fillId="23" borderId="37" xfId="0" applyFont="1" applyFill="1" applyBorder="1"/>
    <xf numFmtId="0" fontId="219" fillId="23" borderId="37" xfId="0" applyFont="1" applyFill="1" applyBorder="1"/>
    <xf numFmtId="0" fontId="218" fillId="0" borderId="75" xfId="0" applyFont="1" applyFill="1" applyBorder="1" applyAlignment="1">
      <alignment wrapText="1"/>
    </xf>
    <xf numFmtId="0" fontId="218" fillId="0" borderId="26" xfId="0" applyFont="1" applyFill="1" applyBorder="1" applyAlignment="1">
      <alignment wrapText="1"/>
    </xf>
    <xf numFmtId="0" fontId="14" fillId="0" borderId="85" xfId="0" applyFont="1" applyBorder="1"/>
    <xf numFmtId="0" fontId="0" fillId="0" borderId="86" xfId="0" applyBorder="1"/>
    <xf numFmtId="0" fontId="218" fillId="0" borderId="12" xfId="0" applyFont="1" applyFill="1" applyBorder="1" applyAlignment="1">
      <alignment wrapText="1"/>
    </xf>
    <xf numFmtId="0" fontId="218" fillId="0" borderId="71" xfId="0" applyFont="1" applyFill="1" applyBorder="1" applyAlignment="1">
      <alignment wrapText="1"/>
    </xf>
    <xf numFmtId="0" fontId="14" fillId="0" borderId="72" xfId="0" applyFont="1" applyFill="1" applyBorder="1"/>
    <xf numFmtId="0" fontId="218" fillId="0" borderId="28" xfId="0" applyFont="1" applyFill="1" applyBorder="1" applyAlignment="1">
      <alignment wrapText="1"/>
    </xf>
    <xf numFmtId="0" fontId="14" fillId="0" borderId="74" xfId="0" applyFont="1" applyBorder="1" applyAlignment="1"/>
    <xf numFmtId="0" fontId="218" fillId="0" borderId="30" xfId="0" applyFont="1" applyFill="1" applyBorder="1" applyAlignment="1">
      <alignment wrapText="1"/>
    </xf>
    <xf numFmtId="0" fontId="14" fillId="0" borderId="87" xfId="0" applyFont="1" applyBorder="1" applyAlignment="1"/>
    <xf numFmtId="0" fontId="19" fillId="0" borderId="14" xfId="0" applyFont="1" applyFill="1" applyBorder="1" applyAlignment="1">
      <alignment wrapText="1"/>
    </xf>
    <xf numFmtId="0" fontId="64" fillId="0" borderId="0" xfId="0" applyFont="1" applyAlignment="1" applyProtection="1">
      <alignment horizontal="center"/>
      <protection hidden="1"/>
    </xf>
    <xf numFmtId="0" fontId="15" fillId="0" borderId="0" xfId="0" applyFont="1" applyBorder="1" applyAlignment="1">
      <alignment horizontal="left"/>
    </xf>
    <xf numFmtId="0" fontId="81" fillId="0" borderId="0" xfId="38" applyBorder="1" applyProtection="1">
      <protection hidden="1"/>
    </xf>
    <xf numFmtId="0" fontId="81" fillId="0" borderId="0" xfId="38" applyNumberFormat="1" applyFill="1" applyBorder="1" applyProtection="1">
      <protection locked="0"/>
    </xf>
    <xf numFmtId="0" fontId="15" fillId="0" borderId="0" xfId="38" applyFont="1" applyBorder="1" applyAlignment="1" applyProtection="1">
      <alignment vertical="center"/>
      <protection hidden="1"/>
    </xf>
    <xf numFmtId="0" fontId="64" fillId="0" borderId="65" xfId="0" applyFont="1" applyFill="1" applyBorder="1" applyAlignment="1">
      <alignment vertical="center" wrapText="1"/>
    </xf>
    <xf numFmtId="0" fontId="367" fillId="0" borderId="66" xfId="0" applyFont="1" applyFill="1" applyBorder="1" applyAlignment="1">
      <alignment wrapText="1"/>
    </xf>
    <xf numFmtId="0" fontId="16" fillId="0" borderId="20" xfId="0" applyFont="1" applyBorder="1" applyAlignment="1">
      <alignment horizontal="right" wrapText="1"/>
    </xf>
    <xf numFmtId="0" fontId="61" fillId="0" borderId="13" xfId="0" applyFont="1" applyFill="1" applyBorder="1"/>
    <xf numFmtId="0" fontId="62" fillId="0" borderId="20" xfId="0" applyFont="1" applyBorder="1" applyAlignment="1">
      <alignment wrapText="1"/>
    </xf>
    <xf numFmtId="0" fontId="62" fillId="0" borderId="13" xfId="0" applyFont="1" applyFill="1" applyBorder="1"/>
    <xf numFmtId="0" fontId="61" fillId="0" borderId="67" xfId="0" applyFont="1" applyBorder="1" applyAlignment="1">
      <alignment wrapText="1"/>
    </xf>
    <xf numFmtId="0" fontId="62" fillId="0" borderId="42" xfId="0" applyFont="1" applyFill="1" applyBorder="1" applyAlignment="1">
      <alignment horizontal="center"/>
    </xf>
    <xf numFmtId="0" fontId="81" fillId="0" borderId="0" xfId="38" applyFont="1" applyBorder="1" applyAlignment="1" applyProtection="1">
      <protection hidden="1"/>
    </xf>
    <xf numFmtId="0" fontId="117" fillId="0" borderId="0" xfId="28" applyFont="1" applyFill="1" applyBorder="1" applyAlignment="1" applyProtection="1"/>
    <xf numFmtId="0" fontId="81" fillId="22" borderId="13" xfId="38" applyFill="1" applyBorder="1" applyProtection="1">
      <protection hidden="1"/>
    </xf>
    <xf numFmtId="0" fontId="21" fillId="23" borderId="0" xfId="0" applyFont="1" applyFill="1"/>
    <xf numFmtId="1" fontId="14" fillId="0" borderId="0" xfId="0" applyNumberFormat="1" applyFont="1"/>
    <xf numFmtId="0" fontId="218" fillId="0" borderId="13" xfId="0" applyFont="1" applyBorder="1"/>
    <xf numFmtId="0" fontId="15" fillId="0" borderId="13" xfId="0" applyFont="1" applyBorder="1" applyAlignment="1"/>
    <xf numFmtId="0" fontId="158" fillId="0" borderId="0" xfId="28" applyFont="1" applyFill="1" applyBorder="1" applyAlignment="1" applyProtection="1"/>
    <xf numFmtId="0" fontId="158" fillId="0" borderId="0" xfId="0" applyFont="1" applyBorder="1" applyAlignment="1">
      <alignment horizontal="center"/>
    </xf>
    <xf numFmtId="0" fontId="372" fillId="0" borderId="0" xfId="0" applyFont="1" applyFill="1" applyBorder="1" applyAlignment="1"/>
    <xf numFmtId="2" fontId="158" fillId="0" borderId="13" xfId="0" applyNumberFormat="1" applyFont="1" applyBorder="1" applyAlignment="1">
      <alignment horizontal="center"/>
    </xf>
    <xf numFmtId="0" fontId="19" fillId="0" borderId="0" xfId="28" applyFont="1" applyFill="1" applyBorder="1" applyAlignment="1" applyProtection="1"/>
    <xf numFmtId="0" fontId="12" fillId="0" borderId="0" xfId="0" applyFont="1" applyAlignment="1">
      <alignment horizontal="right"/>
    </xf>
    <xf numFmtId="0" fontId="373" fillId="0" borderId="0" xfId="0" applyFont="1"/>
    <xf numFmtId="0" fontId="15" fillId="0" borderId="0" xfId="0" applyFont="1" applyAlignment="1"/>
    <xf numFmtId="0" fontId="224" fillId="0" borderId="0" xfId="0" applyFont="1" applyFill="1" applyBorder="1"/>
    <xf numFmtId="0" fontId="158" fillId="0" borderId="20" xfId="0" applyFont="1" applyFill="1" applyBorder="1" applyAlignment="1">
      <alignment horizontal="center"/>
    </xf>
    <xf numFmtId="0" fontId="106" fillId="0" borderId="13" xfId="0" applyFont="1" applyBorder="1" applyAlignment="1">
      <alignment horizontal="center"/>
    </xf>
    <xf numFmtId="0" fontId="106" fillId="0" borderId="13" xfId="0" applyFont="1" applyBorder="1"/>
    <xf numFmtId="0" fontId="232" fillId="0" borderId="0" xfId="0" applyFont="1" applyBorder="1"/>
    <xf numFmtId="0" fontId="106" fillId="0" borderId="0" xfId="0" applyFont="1" applyFill="1" applyBorder="1"/>
    <xf numFmtId="0" fontId="88" fillId="0" borderId="0" xfId="0" applyFont="1" applyFill="1"/>
    <xf numFmtId="165" fontId="4" fillId="0" borderId="0" xfId="0" applyNumberFormat="1" applyFont="1" applyFill="1" applyBorder="1" applyAlignment="1" applyProtection="1">
      <protection hidden="1"/>
    </xf>
    <xf numFmtId="0" fontId="33" fillId="0" borderId="65" xfId="0" applyFont="1" applyBorder="1" applyProtection="1">
      <protection hidden="1"/>
    </xf>
    <xf numFmtId="2" fontId="222" fillId="0" borderId="60" xfId="0" applyNumberFormat="1" applyFont="1" applyBorder="1" applyProtection="1">
      <protection hidden="1"/>
    </xf>
    <xf numFmtId="0" fontId="0" fillId="0" borderId="66" xfId="0" applyFill="1" applyBorder="1" applyProtection="1">
      <protection hidden="1"/>
    </xf>
    <xf numFmtId="0" fontId="0" fillId="0" borderId="40" xfId="0" applyFill="1" applyBorder="1" applyProtection="1">
      <protection hidden="1"/>
    </xf>
    <xf numFmtId="0" fontId="219" fillId="23" borderId="20" xfId="0" applyFont="1" applyFill="1" applyBorder="1"/>
    <xf numFmtId="0" fontId="0" fillId="0" borderId="40" xfId="0" applyBorder="1"/>
    <xf numFmtId="0" fontId="0" fillId="0" borderId="20" xfId="0" applyBorder="1" applyProtection="1">
      <protection hidden="1"/>
    </xf>
    <xf numFmtId="0" fontId="0" fillId="0" borderId="67" xfId="0" applyBorder="1" applyProtection="1">
      <protection hidden="1"/>
    </xf>
    <xf numFmtId="0" fontId="0" fillId="0" borderId="42" xfId="0" applyFill="1" applyBorder="1" applyProtection="1">
      <protection hidden="1"/>
    </xf>
    <xf numFmtId="0" fontId="22" fillId="23" borderId="0" xfId="28" applyFill="1" applyAlignment="1" applyProtection="1">
      <protection hidden="1"/>
    </xf>
    <xf numFmtId="1" fontId="19" fillId="0" borderId="0" xfId="0" applyNumberFormat="1" applyFont="1" applyFill="1" applyBorder="1" applyAlignment="1">
      <alignment horizontal="center"/>
    </xf>
    <xf numFmtId="2" fontId="158" fillId="0" borderId="0" xfId="0" applyNumberFormat="1" applyFont="1" applyBorder="1" applyAlignment="1">
      <alignment horizontal="center"/>
    </xf>
    <xf numFmtId="0" fontId="15" fillId="0" borderId="13" xfId="28" applyFont="1" applyFill="1" applyBorder="1" applyAlignment="1" applyProtection="1">
      <alignment wrapText="1"/>
    </xf>
    <xf numFmtId="0" fontId="15" fillId="0" borderId="13" xfId="28" applyFont="1" applyFill="1" applyBorder="1" applyAlignment="1" applyProtection="1"/>
    <xf numFmtId="0" fontId="32" fillId="0" borderId="0" xfId="0" applyFont="1" applyBorder="1"/>
    <xf numFmtId="0" fontId="117" fillId="0" borderId="0" xfId="38" applyFont="1" applyBorder="1" applyAlignment="1" applyProtection="1">
      <alignment vertical="center"/>
      <protection hidden="1"/>
    </xf>
    <xf numFmtId="0" fontId="160" fillId="0" borderId="0" xfId="38" applyFont="1" applyBorder="1" applyAlignment="1" applyProtection="1">
      <alignment horizontal="center"/>
      <protection hidden="1"/>
    </xf>
    <xf numFmtId="0" fontId="15" fillId="0" borderId="0" xfId="38" applyFont="1" applyBorder="1" applyAlignment="1" applyProtection="1">
      <alignment vertical="center" wrapText="1"/>
      <protection hidden="1"/>
    </xf>
    <xf numFmtId="0" fontId="15" fillId="0" borderId="0" xfId="38" applyFont="1" applyFill="1" applyBorder="1" applyAlignment="1" applyProtection="1">
      <alignment vertical="center"/>
      <protection hidden="1"/>
    </xf>
    <xf numFmtId="0" fontId="19" fillId="0" borderId="13" xfId="38" applyFont="1" applyBorder="1" applyAlignment="1" applyProtection="1">
      <alignment vertical="center"/>
      <protection hidden="1"/>
    </xf>
    <xf numFmtId="0" fontId="81" fillId="0" borderId="13" xfId="38" applyFont="1" applyBorder="1" applyAlignment="1" applyProtection="1">
      <alignment wrapText="1"/>
      <protection hidden="1"/>
    </xf>
    <xf numFmtId="0" fontId="15" fillId="0" borderId="13" xfId="38" applyFont="1" applyBorder="1" applyAlignment="1" applyProtection="1">
      <alignment vertical="center"/>
      <protection hidden="1"/>
    </xf>
    <xf numFmtId="0" fontId="117" fillId="0" borderId="0" xfId="0" applyFont="1"/>
    <xf numFmtId="0" fontId="217" fillId="0" borderId="16" xfId="0" applyFont="1" applyBorder="1" applyAlignment="1"/>
    <xf numFmtId="0" fontId="117" fillId="0" borderId="0" xfId="0" applyFont="1" applyBorder="1" applyAlignment="1" applyProtection="1">
      <protection hidden="1"/>
    </xf>
    <xf numFmtId="0" fontId="117" fillId="0" borderId="0" xfId="0" applyFont="1" applyBorder="1" applyAlignment="1" applyProtection="1">
      <alignment horizontal="center"/>
      <protection hidden="1"/>
    </xf>
    <xf numFmtId="0" fontId="230" fillId="0" borderId="0" xfId="0" applyFont="1" applyFill="1" applyBorder="1" applyAlignment="1">
      <alignment horizontal="left"/>
    </xf>
    <xf numFmtId="0" fontId="19" fillId="0" borderId="0" xfId="28" applyFont="1" applyFill="1" applyAlignment="1" applyProtection="1"/>
    <xf numFmtId="0" fontId="19" fillId="0" borderId="0" xfId="0" applyFont="1" applyAlignment="1">
      <alignment horizontal="right"/>
    </xf>
    <xf numFmtId="0" fontId="1" fillId="0" borderId="61" xfId="28" applyFont="1" applyFill="1" applyBorder="1" applyAlignment="1" applyProtection="1"/>
    <xf numFmtId="1" fontId="1" fillId="0" borderId="61" xfId="28" applyNumberFormat="1" applyFont="1" applyFill="1" applyBorder="1" applyAlignment="1" applyProtection="1"/>
    <xf numFmtId="0" fontId="33" fillId="0" borderId="0" xfId="28" applyFont="1" applyFill="1" applyAlignment="1" applyProtection="1">
      <alignment horizontal="right"/>
    </xf>
    <xf numFmtId="0" fontId="1" fillId="22" borderId="13" xfId="0" applyFont="1" applyFill="1" applyBorder="1" applyAlignment="1">
      <alignment horizontal="center"/>
    </xf>
    <xf numFmtId="0" fontId="376" fillId="0" borderId="0" xfId="0" applyFont="1" applyFill="1" applyBorder="1" applyAlignment="1"/>
    <xf numFmtId="0" fontId="123" fillId="0" borderId="37" xfId="0" applyFont="1" applyFill="1" applyBorder="1" applyAlignment="1">
      <alignment horizontal="center" wrapText="1"/>
    </xf>
    <xf numFmtId="0" fontId="32" fillId="23" borderId="0" xfId="0" applyFont="1" applyFill="1" applyBorder="1"/>
    <xf numFmtId="0" fontId="33" fillId="23" borderId="0" xfId="0" applyFont="1" applyFill="1" applyAlignment="1">
      <alignment horizontal="center"/>
    </xf>
    <xf numFmtId="0" fontId="13" fillId="0" borderId="0" xfId="28" applyFont="1" applyFill="1" applyBorder="1" applyAlignment="1" applyProtection="1"/>
    <xf numFmtId="0" fontId="19" fillId="0" borderId="0" xfId="38" applyFont="1" applyFill="1" applyBorder="1" applyAlignment="1" applyProtection="1">
      <alignment vertical="center"/>
      <protection hidden="1"/>
    </xf>
    <xf numFmtId="0" fontId="80" fillId="0" borderId="0" xfId="0" applyFont="1" applyFill="1" applyBorder="1" applyAlignment="1">
      <alignment horizontal="center"/>
    </xf>
    <xf numFmtId="0" fontId="15" fillId="0" borderId="47" xfId="0" applyFont="1" applyBorder="1"/>
    <xf numFmtId="0" fontId="19" fillId="22" borderId="13" xfId="0" applyFont="1" applyFill="1" applyBorder="1" applyAlignment="1" applyProtection="1">
      <alignment horizontal="center"/>
      <protection locked="0" hidden="1"/>
    </xf>
    <xf numFmtId="0" fontId="354" fillId="0" borderId="13" xfId="0" applyFont="1" applyBorder="1"/>
    <xf numFmtId="0" fontId="104" fillId="0" borderId="13" xfId="0" applyFont="1" applyBorder="1" applyAlignment="1">
      <alignment horizontal="right"/>
    </xf>
    <xf numFmtId="1" fontId="21" fillId="0" borderId="13" xfId="0" applyNumberFormat="1" applyFont="1" applyBorder="1" applyAlignment="1">
      <alignment horizontal="center"/>
    </xf>
    <xf numFmtId="2" fontId="21" fillId="0" borderId="67" xfId="0" applyNumberFormat="1" applyFont="1" applyBorder="1" applyAlignment="1">
      <alignment horizontal="center"/>
    </xf>
    <xf numFmtId="2" fontId="21" fillId="0" borderId="37" xfId="0" applyNumberFormat="1" applyFont="1" applyBorder="1" applyAlignment="1">
      <alignment horizontal="center"/>
    </xf>
    <xf numFmtId="0" fontId="21" fillId="0" borderId="21" xfId="0" applyFont="1" applyBorder="1" applyAlignment="1">
      <alignment horizontal="center"/>
    </xf>
    <xf numFmtId="2" fontId="21" fillId="0" borderId="80" xfId="0" applyNumberFormat="1" applyFont="1" applyBorder="1" applyAlignment="1">
      <alignment horizontal="center"/>
    </xf>
    <xf numFmtId="0" fontId="21" fillId="0" borderId="15" xfId="0" applyFont="1" applyBorder="1" applyAlignment="1">
      <alignment horizontal="center"/>
    </xf>
    <xf numFmtId="0" fontId="0" fillId="0" borderId="88" xfId="0" applyBorder="1" applyAlignment="1">
      <alignment wrapText="1"/>
    </xf>
    <xf numFmtId="0" fontId="34" fillId="0" borderId="13" xfId="0" applyFont="1" applyBorder="1" applyAlignment="1">
      <alignment horizontal="right"/>
    </xf>
    <xf numFmtId="1" fontId="106" fillId="0" borderId="13" xfId="0" applyNumberFormat="1" applyFont="1" applyFill="1" applyBorder="1" applyAlignment="1">
      <alignment horizontal="center"/>
    </xf>
    <xf numFmtId="0" fontId="37" fillId="0" borderId="0" xfId="0" applyFont="1" applyFill="1" applyBorder="1" applyProtection="1">
      <protection hidden="1"/>
    </xf>
    <xf numFmtId="0" fontId="33" fillId="0" borderId="0" xfId="0" applyFont="1" applyFill="1" applyBorder="1" applyAlignment="1">
      <alignment horizontal="center"/>
    </xf>
    <xf numFmtId="0" fontId="26" fillId="23" borderId="0" xfId="0" applyFont="1" applyFill="1"/>
    <xf numFmtId="0" fontId="217" fillId="0" borderId="0" xfId="0" applyFont="1"/>
    <xf numFmtId="0" fontId="14" fillId="0" borderId="0" xfId="0" applyFont="1" applyFill="1" applyAlignment="1">
      <alignment wrapText="1"/>
    </xf>
    <xf numFmtId="0" fontId="15" fillId="0" borderId="0" xfId="28" applyFont="1" applyFill="1" applyBorder="1" applyAlignment="1" applyProtection="1">
      <alignment wrapText="1"/>
    </xf>
    <xf numFmtId="0" fontId="19" fillId="0" borderId="0" xfId="28" applyFont="1" applyFill="1" applyBorder="1" applyAlignment="1" applyProtection="1">
      <alignment horizontal="center" wrapText="1"/>
    </xf>
    <xf numFmtId="0" fontId="106" fillId="0" borderId="0" xfId="0" applyFont="1" applyFill="1" applyBorder="1" applyAlignment="1">
      <alignment horizontal="right"/>
    </xf>
    <xf numFmtId="0" fontId="33" fillId="0" borderId="13" xfId="0" applyFont="1" applyFill="1" applyBorder="1"/>
    <xf numFmtId="2" fontId="158" fillId="0" borderId="13" xfId="0" applyNumberFormat="1" applyFont="1" applyFill="1" applyBorder="1" applyAlignment="1">
      <alignment horizontal="center"/>
    </xf>
    <xf numFmtId="1" fontId="233" fillId="0" borderId="0" xfId="0" applyNumberFormat="1" applyFont="1" applyFill="1"/>
    <xf numFmtId="1" fontId="81" fillId="0" borderId="0" xfId="0" applyNumberFormat="1" applyFont="1" applyBorder="1" applyAlignment="1">
      <alignment horizontal="center"/>
    </xf>
    <xf numFmtId="2" fontId="158" fillId="0" borderId="0" xfId="0" applyNumberFormat="1" applyFont="1" applyFill="1" applyBorder="1" applyAlignment="1">
      <alignment horizontal="center"/>
    </xf>
    <xf numFmtId="2" fontId="33" fillId="0" borderId="13" xfId="0" applyNumberFormat="1" applyFont="1" applyBorder="1"/>
    <xf numFmtId="0" fontId="50" fillId="0" borderId="13" xfId="0" applyFont="1" applyBorder="1"/>
    <xf numFmtId="2" fontId="227" fillId="22" borderId="13" xfId="0" applyNumberFormat="1" applyFont="1" applyFill="1" applyBorder="1" applyAlignment="1">
      <alignment horizontal="center"/>
    </xf>
    <xf numFmtId="1" fontId="160" fillId="0" borderId="13" xfId="38" applyNumberFormat="1" applyFont="1" applyFill="1" applyBorder="1" applyAlignment="1" applyProtection="1">
      <alignment horizontal="center"/>
      <protection hidden="1"/>
    </xf>
    <xf numFmtId="0" fontId="354" fillId="0" borderId="0" xfId="0" applyFont="1" applyFill="1" applyBorder="1" applyAlignment="1" applyProtection="1">
      <alignment horizontal="center"/>
      <protection locked="0" hidden="1"/>
    </xf>
    <xf numFmtId="0" fontId="376" fillId="0" borderId="0" xfId="0" applyFont="1" applyBorder="1" applyAlignment="1"/>
    <xf numFmtId="0" fontId="214" fillId="0" borderId="0" xfId="0" applyFont="1" applyFill="1" applyBorder="1" applyAlignment="1" applyProtection="1">
      <alignment wrapText="1"/>
      <protection hidden="1"/>
    </xf>
    <xf numFmtId="0" fontId="376" fillId="0" borderId="0" xfId="28" applyFont="1" applyFill="1" applyBorder="1" applyAlignment="1" applyProtection="1"/>
    <xf numFmtId="0" fontId="378" fillId="0" borderId="0" xfId="0" applyFont="1"/>
    <xf numFmtId="0" fontId="15" fillId="0" borderId="37" xfId="0" applyFont="1" applyBorder="1" applyAlignment="1">
      <alignment horizontal="left"/>
    </xf>
    <xf numFmtId="0" fontId="376" fillId="0" borderId="13" xfId="0" applyFont="1" applyFill="1" applyBorder="1" applyAlignment="1">
      <alignment wrapText="1"/>
    </xf>
    <xf numFmtId="0" fontId="378" fillId="0" borderId="13" xfId="0" applyFont="1" applyBorder="1" applyAlignment="1">
      <alignment wrapText="1"/>
    </xf>
    <xf numFmtId="0" fontId="376" fillId="0" borderId="13" xfId="0" applyFont="1" applyBorder="1"/>
    <xf numFmtId="0" fontId="354" fillId="0" borderId="13" xfId="0" applyFont="1" applyFill="1" applyBorder="1" applyAlignment="1" applyProtection="1">
      <alignment horizontal="center"/>
      <protection locked="0" hidden="1"/>
    </xf>
    <xf numFmtId="0" fontId="376" fillId="0" borderId="13" xfId="0" applyFont="1" applyBorder="1" applyAlignment="1"/>
    <xf numFmtId="1" fontId="158" fillId="0" borderId="13" xfId="0" applyNumberFormat="1" applyFont="1" applyBorder="1" applyAlignment="1">
      <alignment horizontal="center"/>
    </xf>
    <xf numFmtId="0" fontId="0" fillId="0" borderId="44" xfId="0" applyFill="1" applyBorder="1" applyAlignment="1">
      <alignment wrapText="1"/>
    </xf>
    <xf numFmtId="0" fontId="14" fillId="0" borderId="19" xfId="0" applyFont="1" applyBorder="1"/>
    <xf numFmtId="0" fontId="0" fillId="0" borderId="19" xfId="0" applyBorder="1"/>
    <xf numFmtId="0" fontId="158" fillId="0" borderId="0" xfId="0" applyFont="1" applyFill="1" applyBorder="1" applyAlignment="1">
      <alignment horizontal="center"/>
    </xf>
    <xf numFmtId="0" fontId="14" fillId="0" borderId="0" xfId="0" applyFont="1" applyAlignment="1">
      <alignment wrapText="1"/>
    </xf>
    <xf numFmtId="0" fontId="14" fillId="0" borderId="13" xfId="0" applyFont="1" applyBorder="1" applyAlignment="1">
      <alignment wrapText="1"/>
    </xf>
    <xf numFmtId="0" fontId="15" fillId="0" borderId="0" xfId="0" applyFont="1" applyFill="1" applyBorder="1" applyAlignment="1">
      <alignment horizontal="left"/>
    </xf>
    <xf numFmtId="0" fontId="37" fillId="0" borderId="0" xfId="0" applyFont="1"/>
    <xf numFmtId="1" fontId="158" fillId="0" borderId="0" xfId="0" applyNumberFormat="1" applyFont="1" applyBorder="1" applyAlignment="1">
      <alignment horizontal="center"/>
    </xf>
    <xf numFmtId="1" fontId="158" fillId="0" borderId="0" xfId="0" applyNumberFormat="1" applyFont="1" applyFill="1" applyBorder="1" applyAlignment="1">
      <alignment horizontal="center"/>
    </xf>
    <xf numFmtId="1" fontId="158" fillId="0" borderId="13" xfId="0" applyNumberFormat="1" applyFont="1" applyFill="1" applyBorder="1" applyAlignment="1">
      <alignment horizontal="center"/>
    </xf>
    <xf numFmtId="1" fontId="227" fillId="22" borderId="13" xfId="0" applyNumberFormat="1" applyFont="1" applyFill="1" applyBorder="1" applyAlignment="1">
      <alignment horizontal="center"/>
    </xf>
    <xf numFmtId="1" fontId="0" fillId="22" borderId="13" xfId="0" applyNumberFormat="1" applyFill="1" applyBorder="1"/>
    <xf numFmtId="0" fontId="230" fillId="0" borderId="0" xfId="0" applyFont="1" applyAlignment="1">
      <alignment horizontal="center"/>
    </xf>
    <xf numFmtId="0" fontId="13" fillId="0" borderId="0" xfId="0" applyFont="1" applyAlignment="1">
      <alignment wrapText="1"/>
    </xf>
    <xf numFmtId="0" fontId="81" fillId="0" borderId="0" xfId="38" applyProtection="1">
      <protection hidden="1"/>
    </xf>
    <xf numFmtId="0" fontId="64" fillId="0" borderId="0" xfId="0" applyFont="1" applyAlignment="1">
      <alignment wrapText="1"/>
    </xf>
    <xf numFmtId="0" fontId="61" fillId="23" borderId="0" xfId="0" applyFont="1" applyFill="1" applyBorder="1"/>
    <xf numFmtId="0" fontId="62" fillId="0" borderId="0" xfId="0" applyFont="1" applyFill="1" applyBorder="1"/>
    <xf numFmtId="0" fontId="64" fillId="0" borderId="0" xfId="0" applyFont="1" applyFill="1" applyBorder="1"/>
    <xf numFmtId="0" fontId="106" fillId="23" borderId="0" xfId="0" applyFont="1" applyFill="1" applyAlignment="1"/>
    <xf numFmtId="0" fontId="61" fillId="0" borderId="0" xfId="0" applyFont="1" applyFill="1" applyBorder="1"/>
    <xf numFmtId="0" fontId="271" fillId="0" borderId="0" xfId="0" applyFont="1" applyFill="1" applyAlignment="1">
      <alignment vertical="top"/>
    </xf>
    <xf numFmtId="0" fontId="64" fillId="0" borderId="0" xfId="0" applyFont="1" applyFill="1" applyBorder="1" applyAlignment="1">
      <alignment wrapText="1"/>
    </xf>
    <xf numFmtId="0" fontId="379" fillId="0" borderId="0" xfId="0" applyFont="1" applyFill="1" applyBorder="1" applyAlignment="1">
      <alignment wrapText="1"/>
    </xf>
    <xf numFmtId="0" fontId="367" fillId="0" borderId="0" xfId="0" applyFont="1" applyFill="1" applyBorder="1" applyAlignment="1">
      <alignment horizontal="left"/>
    </xf>
    <xf numFmtId="0" fontId="16" fillId="0" borderId="12" xfId="0" applyFont="1" applyFill="1" applyBorder="1" applyAlignment="1">
      <alignment wrapText="1"/>
    </xf>
    <xf numFmtId="0" fontId="367" fillId="0" borderId="0" xfId="0" applyFont="1" applyFill="1" applyBorder="1" applyAlignment="1"/>
    <xf numFmtId="0" fontId="367" fillId="0" borderId="0" xfId="0" applyFont="1" applyFill="1" applyBorder="1" applyAlignment="1">
      <alignment wrapText="1"/>
    </xf>
    <xf numFmtId="0" fontId="62" fillId="0" borderId="37" xfId="0" applyFont="1" applyFill="1" applyBorder="1" applyAlignment="1"/>
    <xf numFmtId="0" fontId="106" fillId="23" borderId="0" xfId="0" applyFont="1" applyFill="1" applyBorder="1" applyAlignment="1">
      <alignment vertical="center"/>
    </xf>
    <xf numFmtId="0" fontId="367" fillId="23" borderId="0" xfId="0" applyFont="1" applyFill="1" applyBorder="1" applyAlignment="1">
      <alignment wrapText="1"/>
    </xf>
    <xf numFmtId="0" fontId="16" fillId="0" borderId="0" xfId="0" applyFont="1" applyFill="1" applyBorder="1" applyAlignment="1">
      <alignment wrapText="1"/>
    </xf>
    <xf numFmtId="0" fontId="12" fillId="21" borderId="0" xfId="0" applyFont="1" applyFill="1" applyBorder="1" applyAlignment="1"/>
    <xf numFmtId="0" fontId="13" fillId="0" borderId="13" xfId="0" applyFont="1" applyBorder="1" applyAlignment="1"/>
    <xf numFmtId="1" fontId="14" fillId="0" borderId="13" xfId="0" applyNumberFormat="1" applyFont="1" applyFill="1" applyBorder="1"/>
    <xf numFmtId="0" fontId="33" fillId="0" borderId="0" xfId="0" applyNumberFormat="1" applyFont="1" applyAlignment="1"/>
    <xf numFmtId="0" fontId="13" fillId="0" borderId="0" xfId="0" applyFont="1" applyAlignment="1">
      <alignment horizontal="center" wrapText="1"/>
    </xf>
    <xf numFmtId="0" fontId="21" fillId="0" borderId="0" xfId="0" applyFont="1" applyAlignment="1">
      <alignment horizontal="center" wrapText="1"/>
    </xf>
    <xf numFmtId="0" fontId="21" fillId="0" borderId="0" xfId="0" applyFont="1" applyFill="1" applyBorder="1" applyAlignment="1">
      <alignment wrapText="1"/>
    </xf>
    <xf numFmtId="0" fontId="104" fillId="0" borderId="0" xfId="0" applyFont="1" applyAlignment="1">
      <alignment wrapText="1"/>
    </xf>
    <xf numFmtId="0" fontId="380" fillId="0" borderId="0" xfId="0" applyFont="1" applyProtection="1">
      <protection hidden="1"/>
    </xf>
    <xf numFmtId="0" fontId="19" fillId="0" borderId="13" xfId="0" applyFont="1" applyBorder="1" applyAlignment="1" applyProtection="1">
      <alignment horizontal="left" vertical="center" wrapText="1"/>
      <protection hidden="1"/>
    </xf>
    <xf numFmtId="0" fontId="381" fillId="20" borderId="0" xfId="0" applyFont="1" applyFill="1" applyAlignment="1"/>
    <xf numFmtId="0" fontId="382" fillId="0" borderId="0" xfId="0" applyFont="1" applyFill="1" applyAlignment="1">
      <alignment wrapText="1"/>
    </xf>
    <xf numFmtId="0" fontId="64" fillId="0" borderId="20" xfId="0" applyFont="1" applyFill="1" applyBorder="1" applyAlignment="1">
      <alignment vertical="center" wrapText="1"/>
    </xf>
    <xf numFmtId="0" fontId="0" fillId="0" borderId="20" xfId="0" applyBorder="1"/>
    <xf numFmtId="0" fontId="0" fillId="0" borderId="67" xfId="0" applyBorder="1"/>
    <xf numFmtId="0" fontId="13" fillId="0" borderId="65" xfId="0" applyFont="1" applyBorder="1"/>
    <xf numFmtId="0" fontId="381" fillId="21" borderId="0" xfId="0" applyFont="1" applyFill="1" applyBorder="1" applyAlignment="1">
      <alignment horizontal="center" wrapText="1"/>
    </xf>
    <xf numFmtId="0" fontId="0" fillId="22" borderId="0" xfId="0" applyFill="1"/>
    <xf numFmtId="0" fontId="33" fillId="0" borderId="13" xfId="0" applyFont="1" applyBorder="1" applyAlignment="1">
      <alignment wrapText="1"/>
    </xf>
    <xf numFmtId="0" fontId="1" fillId="0" borderId="13" xfId="0" applyFont="1" applyFill="1" applyBorder="1" applyAlignment="1">
      <alignment wrapText="1"/>
    </xf>
    <xf numFmtId="0" fontId="214" fillId="0" borderId="0" xfId="0" applyFont="1" applyBorder="1"/>
    <xf numFmtId="0" fontId="106" fillId="0" borderId="0" xfId="0" applyFont="1" applyFill="1"/>
    <xf numFmtId="0" fontId="117" fillId="0" borderId="0" xfId="0" applyFont="1" applyBorder="1" applyAlignment="1">
      <alignment horizontal="center"/>
    </xf>
    <xf numFmtId="0" fontId="15" fillId="0" borderId="44" xfId="0" applyFont="1" applyFill="1" applyBorder="1" applyAlignment="1">
      <alignment wrapText="1"/>
    </xf>
    <xf numFmtId="0" fontId="14" fillId="0" borderId="13" xfId="0" applyFont="1" applyFill="1" applyBorder="1" applyAlignment="1">
      <alignment wrapText="1"/>
    </xf>
    <xf numFmtId="0" fontId="107" fillId="20" borderId="0" xfId="0" applyFont="1" applyFill="1" applyAlignment="1"/>
    <xf numFmtId="0" fontId="383" fillId="0" borderId="0" xfId="0" applyFont="1" applyFill="1"/>
    <xf numFmtId="0" fontId="107" fillId="22" borderId="0" xfId="0" applyFont="1" applyFill="1" applyAlignment="1">
      <alignment wrapText="1"/>
    </xf>
    <xf numFmtId="1" fontId="75" fillId="0" borderId="0" xfId="0" applyNumberFormat="1" applyFont="1" applyFill="1" applyAlignment="1">
      <alignment wrapText="1"/>
    </xf>
    <xf numFmtId="0" fontId="271" fillId="0" borderId="0" xfId="0" applyFont="1" applyAlignment="1">
      <alignment wrapText="1"/>
    </xf>
    <xf numFmtId="0" fontId="384" fillId="0" borderId="0" xfId="0" applyFont="1" applyAlignment="1">
      <alignment wrapText="1"/>
    </xf>
    <xf numFmtId="0" fontId="362" fillId="0" borderId="0" xfId="0" applyFont="1" applyAlignment="1">
      <alignment wrapText="1"/>
    </xf>
    <xf numFmtId="0" fontId="362" fillId="0" borderId="12" xfId="0" applyFont="1" applyFill="1" applyBorder="1" applyAlignment="1">
      <alignment wrapText="1"/>
    </xf>
    <xf numFmtId="165" fontId="362" fillId="0" borderId="12" xfId="0" applyNumberFormat="1" applyFont="1" applyFill="1" applyBorder="1" applyAlignment="1">
      <alignment wrapText="1"/>
    </xf>
    <xf numFmtId="0" fontId="385" fillId="0" borderId="0" xfId="0" applyFont="1" applyFill="1" applyBorder="1" applyAlignment="1">
      <alignment wrapText="1"/>
    </xf>
    <xf numFmtId="1" fontId="385" fillId="0" borderId="0" xfId="0" applyNumberFormat="1" applyFont="1" applyFill="1" applyBorder="1" applyAlignment="1">
      <alignment wrapText="1"/>
    </xf>
    <xf numFmtId="0" fontId="359" fillId="0" borderId="12" xfId="0" applyFont="1" applyFill="1" applyBorder="1" applyAlignment="1">
      <alignment wrapText="1"/>
    </xf>
    <xf numFmtId="0" fontId="16" fillId="0" borderId="0" xfId="0" applyFont="1" applyAlignment="1">
      <alignment wrapText="1"/>
    </xf>
    <xf numFmtId="0" fontId="359" fillId="0" borderId="0" xfId="0" applyFont="1" applyBorder="1" applyAlignment="1">
      <alignment wrapText="1"/>
    </xf>
    <xf numFmtId="2" fontId="16" fillId="0" borderId="0" xfId="0" applyNumberFormat="1" applyFont="1" applyFill="1" applyBorder="1" applyAlignment="1">
      <alignment wrapText="1"/>
    </xf>
    <xf numFmtId="0" fontId="359" fillId="0" borderId="0" xfId="0" applyFont="1" applyFill="1" applyBorder="1" applyAlignment="1">
      <alignment wrapText="1"/>
    </xf>
    <xf numFmtId="165" fontId="362" fillId="0" borderId="0" xfId="0" applyNumberFormat="1" applyFont="1" applyFill="1" applyBorder="1" applyAlignment="1">
      <alignment wrapText="1"/>
    </xf>
    <xf numFmtId="0" fontId="379" fillId="20" borderId="13" xfId="0" applyFont="1" applyFill="1" applyBorder="1" applyAlignment="1">
      <alignment wrapText="1"/>
    </xf>
    <xf numFmtId="2" fontId="386" fillId="0" borderId="13" xfId="0" applyNumberFormat="1" applyFont="1" applyFill="1" applyBorder="1" applyAlignment="1">
      <alignment wrapText="1"/>
    </xf>
    <xf numFmtId="0" fontId="386" fillId="0" borderId="13" xfId="0" applyFont="1" applyFill="1" applyBorder="1" applyAlignment="1">
      <alignment wrapText="1"/>
    </xf>
    <xf numFmtId="1" fontId="386" fillId="0" borderId="13" xfId="0" applyNumberFormat="1" applyFont="1" applyFill="1" applyBorder="1" applyAlignment="1">
      <alignment wrapText="1"/>
    </xf>
    <xf numFmtId="0" fontId="386" fillId="20" borderId="13" xfId="0" applyFont="1" applyFill="1" applyBorder="1" applyAlignment="1">
      <alignment wrapText="1"/>
    </xf>
    <xf numFmtId="0" fontId="387" fillId="0" borderId="13" xfId="0" applyFont="1" applyFill="1" applyBorder="1" applyAlignment="1">
      <alignment wrapText="1"/>
    </xf>
    <xf numFmtId="0" fontId="387" fillId="0" borderId="15" xfId="0" applyFont="1" applyFill="1" applyBorder="1" applyAlignment="1">
      <alignment wrapText="1"/>
    </xf>
    <xf numFmtId="0" fontId="62" fillId="0" borderId="41" xfId="0" applyFont="1" applyFill="1" applyBorder="1" applyAlignment="1">
      <alignment wrapText="1"/>
    </xf>
    <xf numFmtId="0" fontId="388" fillId="0" borderId="43" xfId="0" applyFont="1" applyFill="1" applyBorder="1" applyAlignment="1">
      <alignment wrapText="1"/>
    </xf>
    <xf numFmtId="0" fontId="62" fillId="0" borderId="64" xfId="0" applyFont="1" applyFill="1" applyBorder="1" applyAlignment="1">
      <alignment wrapText="1"/>
    </xf>
    <xf numFmtId="0" fontId="388" fillId="0" borderId="64" xfId="0" applyFont="1" applyFill="1" applyBorder="1" applyAlignment="1">
      <alignment wrapText="1"/>
    </xf>
    <xf numFmtId="0" fontId="388" fillId="0" borderId="36" xfId="0" applyFont="1" applyFill="1" applyBorder="1" applyAlignment="1">
      <alignment wrapText="1"/>
    </xf>
    <xf numFmtId="0" fontId="62" fillId="30" borderId="0" xfId="0" applyFont="1" applyFill="1" applyAlignment="1">
      <alignment wrapText="1"/>
    </xf>
    <xf numFmtId="0" fontId="388" fillId="30" borderId="0" xfId="0" applyFont="1" applyFill="1" applyAlignment="1">
      <alignment wrapText="1"/>
    </xf>
    <xf numFmtId="2" fontId="106" fillId="0" borderId="0" xfId="0" applyNumberFormat="1" applyFont="1" applyFill="1" applyAlignment="1"/>
    <xf numFmtId="0" fontId="64" fillId="18" borderId="12" xfId="0" applyFont="1" applyFill="1" applyBorder="1" applyAlignment="1">
      <alignment wrapText="1"/>
    </xf>
    <xf numFmtId="0" fontId="61" fillId="0" borderId="12" xfId="0" applyFont="1" applyFill="1" applyBorder="1" applyAlignment="1">
      <alignment wrapText="1"/>
    </xf>
    <xf numFmtId="0" fontId="4" fillId="20" borderId="0" xfId="0" applyFont="1" applyFill="1"/>
    <xf numFmtId="0" fontId="386" fillId="0" borderId="14" xfId="0" applyFont="1" applyFill="1" applyBorder="1" applyAlignment="1">
      <alignment wrapText="1"/>
    </xf>
    <xf numFmtId="0" fontId="362" fillId="0" borderId="0" xfId="0" applyFont="1" applyFill="1" applyBorder="1" applyAlignment="1">
      <alignment wrapText="1"/>
    </xf>
    <xf numFmtId="0" fontId="62" fillId="0" borderId="12" xfId="0" applyNumberFormat="1" applyFont="1" applyFill="1" applyBorder="1" applyAlignment="1"/>
    <xf numFmtId="0" fontId="379" fillId="0" borderId="13" xfId="0" applyFont="1" applyFill="1" applyBorder="1" applyAlignment="1">
      <alignment wrapText="1"/>
    </xf>
    <xf numFmtId="0" fontId="362" fillId="0" borderId="37" xfId="0" applyFont="1" applyBorder="1" applyAlignment="1"/>
    <xf numFmtId="0" fontId="62" fillId="0" borderId="12" xfId="0" applyFont="1" applyFill="1" applyBorder="1" applyAlignment="1">
      <alignment wrapText="1"/>
    </xf>
    <xf numFmtId="0" fontId="359" fillId="22" borderId="0" xfId="0" applyFont="1" applyFill="1" applyBorder="1" applyAlignment="1">
      <alignment wrapText="1"/>
    </xf>
    <xf numFmtId="0" fontId="265" fillId="0" borderId="0" xfId="0" applyFont="1" applyBorder="1" applyAlignment="1">
      <alignment wrapText="1"/>
    </xf>
    <xf numFmtId="0" fontId="386" fillId="20" borderId="14" xfId="0" applyFont="1" applyFill="1" applyBorder="1" applyAlignment="1">
      <alignment wrapText="1"/>
    </xf>
    <xf numFmtId="0" fontId="62" fillId="20" borderId="0" xfId="0" applyFont="1" applyFill="1" applyAlignment="1">
      <alignment wrapText="1"/>
    </xf>
    <xf numFmtId="1" fontId="385" fillId="0" borderId="0" xfId="0" applyNumberFormat="1" applyFont="1" applyFill="1" applyBorder="1" applyAlignment="1">
      <alignment vertical="center" wrapText="1"/>
    </xf>
    <xf numFmtId="0" fontId="385" fillId="0" borderId="0" xfId="0" applyFont="1" applyFill="1" applyBorder="1" applyAlignment="1">
      <alignment vertical="center" wrapText="1"/>
    </xf>
    <xf numFmtId="0" fontId="361" fillId="0" borderId="12" xfId="0" applyFont="1" applyFill="1" applyBorder="1" applyAlignment="1">
      <alignment wrapText="1"/>
    </xf>
    <xf numFmtId="0" fontId="16" fillId="18" borderId="12" xfId="0" applyFont="1" applyFill="1" applyBorder="1" applyAlignment="1">
      <alignment wrapText="1"/>
    </xf>
    <xf numFmtId="0" fontId="16" fillId="20" borderId="0" xfId="0" applyFont="1" applyFill="1"/>
    <xf numFmtId="0" fontId="386" fillId="0" borderId="14" xfId="0" applyFont="1" applyFill="1" applyBorder="1" applyAlignment="1">
      <alignment vertical="center" wrapText="1"/>
    </xf>
    <xf numFmtId="0" fontId="386" fillId="20" borderId="13" xfId="0" applyFont="1" applyFill="1" applyBorder="1" applyAlignment="1">
      <alignment vertical="center" wrapText="1"/>
    </xf>
    <xf numFmtId="0" fontId="386" fillId="0" borderId="13" xfId="0" applyFont="1" applyFill="1" applyBorder="1" applyAlignment="1">
      <alignment vertical="center" wrapText="1"/>
    </xf>
    <xf numFmtId="0" fontId="387" fillId="0" borderId="13" xfId="0" applyFont="1" applyFill="1" applyBorder="1" applyAlignment="1">
      <alignment vertical="center" wrapText="1"/>
    </xf>
    <xf numFmtId="0" fontId="389" fillId="20" borderId="0" xfId="0" applyFont="1" applyFill="1" applyBorder="1" applyAlignment="1">
      <alignment horizontal="left"/>
    </xf>
    <xf numFmtId="0" fontId="62" fillId="0" borderId="0" xfId="0" applyFont="1" applyFill="1" applyBorder="1" applyAlignment="1">
      <alignment wrapText="1"/>
    </xf>
    <xf numFmtId="0" fontId="386" fillId="0" borderId="0" xfId="0" applyFont="1" applyAlignment="1">
      <alignment wrapText="1"/>
    </xf>
    <xf numFmtId="0" fontId="386" fillId="0" borderId="0" xfId="0" applyFont="1" applyBorder="1" applyAlignment="1">
      <alignment wrapText="1"/>
    </xf>
    <xf numFmtId="0" fontId="61" fillId="20" borderId="0" xfId="0" applyFont="1" applyFill="1"/>
    <xf numFmtId="0" fontId="271" fillId="0" borderId="0" xfId="0" applyFont="1" applyFill="1" applyAlignment="1"/>
    <xf numFmtId="0" fontId="64" fillId="0" borderId="13" xfId="0" applyFont="1" applyFill="1" applyBorder="1" applyAlignment="1">
      <alignment wrapText="1"/>
    </xf>
    <xf numFmtId="0" fontId="64" fillId="0" borderId="13" xfId="0" applyFont="1" applyBorder="1" applyAlignment="1">
      <alignment wrapText="1"/>
    </xf>
    <xf numFmtId="0" fontId="16" fillId="18" borderId="0" xfId="0" applyFont="1" applyFill="1"/>
    <xf numFmtId="0" fontId="16" fillId="18" borderId="0" xfId="0" applyFont="1" applyFill="1" applyBorder="1"/>
    <xf numFmtId="0" fontId="381" fillId="0" borderId="0" xfId="0" applyFont="1" applyBorder="1" applyAlignment="1"/>
    <xf numFmtId="0" fontId="61" fillId="0" borderId="0" xfId="0" applyFont="1" applyFill="1" applyAlignment="1">
      <alignment wrapText="1"/>
    </xf>
    <xf numFmtId="0" fontId="61" fillId="18" borderId="0" xfId="0" applyFont="1" applyFill="1"/>
    <xf numFmtId="0" fontId="381" fillId="33" borderId="0" xfId="0" applyFont="1" applyFill="1"/>
    <xf numFmtId="0" fontId="389" fillId="20" borderId="0" xfId="0" applyFont="1" applyFill="1" applyAlignment="1"/>
    <xf numFmtId="0" fontId="327" fillId="0" borderId="0" xfId="0" applyFont="1"/>
    <xf numFmtId="0" fontId="21" fillId="0" borderId="0" xfId="0" applyFont="1" applyAlignment="1">
      <alignment wrapText="1"/>
    </xf>
    <xf numFmtId="2" fontId="0" fillId="0" borderId="0" xfId="0" applyNumberFormat="1" applyAlignment="1">
      <alignment horizontal="center"/>
    </xf>
    <xf numFmtId="1" fontId="0" fillId="0" borderId="0" xfId="0" applyNumberFormat="1" applyAlignment="1">
      <alignment wrapText="1"/>
    </xf>
    <xf numFmtId="0" fontId="84" fillId="20" borderId="0" xfId="0" applyFont="1" applyFill="1" applyBorder="1" applyAlignment="1"/>
    <xf numFmtId="0" fontId="61" fillId="0" borderId="0" xfId="0" applyFont="1" applyFill="1" applyBorder="1" applyAlignment="1">
      <alignment wrapText="1"/>
    </xf>
    <xf numFmtId="0" fontId="109" fillId="0" borderId="13" xfId="0" applyFont="1" applyFill="1" applyBorder="1" applyAlignment="1" applyProtection="1">
      <alignment horizontal="left" wrapText="1"/>
      <protection hidden="1"/>
    </xf>
    <xf numFmtId="0" fontId="109" fillId="0" borderId="0" xfId="0" applyFont="1" applyBorder="1" applyAlignment="1" applyProtection="1">
      <protection hidden="1"/>
    </xf>
    <xf numFmtId="0" fontId="257" fillId="0" borderId="0" xfId="0" applyFont="1" applyBorder="1" applyAlignment="1" applyProtection="1">
      <alignment horizontal="left"/>
      <protection hidden="1"/>
    </xf>
    <xf numFmtId="165" fontId="361" fillId="0" borderId="13" xfId="0" applyNumberFormat="1" applyFont="1" applyFill="1" applyBorder="1" applyAlignment="1" applyProtection="1">
      <alignment horizontal="center"/>
      <protection locked="0"/>
    </xf>
    <xf numFmtId="0" fontId="390" fillId="0" borderId="0" xfId="0" applyFont="1"/>
    <xf numFmtId="0" fontId="390" fillId="0" borderId="0" xfId="0" applyFont="1" applyBorder="1" applyAlignment="1" applyProtection="1">
      <alignment horizontal="left"/>
      <protection hidden="1"/>
    </xf>
    <xf numFmtId="165" fontId="14" fillId="0" borderId="13" xfId="0" applyNumberFormat="1" applyFont="1" applyFill="1" applyBorder="1" applyAlignment="1">
      <alignment horizontal="center"/>
    </xf>
    <xf numFmtId="0" fontId="390" fillId="0" borderId="0" xfId="0" applyFont="1" applyBorder="1" applyAlignment="1" applyProtection="1">
      <alignment wrapText="1"/>
      <protection hidden="1"/>
    </xf>
    <xf numFmtId="0" fontId="257" fillId="0" borderId="13" xfId="0" applyFont="1" applyBorder="1" applyAlignment="1">
      <alignment horizontal="justify" vertical="top" wrapText="1"/>
    </xf>
    <xf numFmtId="0" fontId="390" fillId="0" borderId="0" xfId="0" applyFont="1" applyBorder="1" applyAlignment="1" applyProtection="1">
      <alignment horizontal="left" wrapText="1"/>
      <protection hidden="1"/>
    </xf>
    <xf numFmtId="0" fontId="391" fillId="0" borderId="16" xfId="0" applyFont="1" applyFill="1" applyBorder="1" applyAlignment="1">
      <alignment horizontal="center"/>
    </xf>
    <xf numFmtId="2" fontId="391" fillId="0" borderId="16" xfId="0" applyNumberFormat="1" applyFont="1" applyFill="1" applyBorder="1" applyAlignment="1">
      <alignment horizontal="center"/>
    </xf>
    <xf numFmtId="0" fontId="106" fillId="0" borderId="0" xfId="0" applyFont="1" applyFill="1" applyBorder="1" applyAlignment="1" applyProtection="1">
      <protection hidden="1"/>
    </xf>
    <xf numFmtId="0" fontId="214" fillId="0" borderId="0" xfId="0" applyFont="1" applyBorder="1" applyAlignment="1" applyProtection="1">
      <protection hidden="1"/>
    </xf>
    <xf numFmtId="0" fontId="13" fillId="0" borderId="0" xfId="0" applyFont="1" applyAlignment="1">
      <alignment horizontal="left"/>
    </xf>
    <xf numFmtId="0" fontId="0" fillId="0" borderId="0" xfId="0" applyAlignment="1">
      <alignment horizontal="right"/>
    </xf>
    <xf numFmtId="0" fontId="15" fillId="0" borderId="37" xfId="0" applyFont="1" applyBorder="1"/>
    <xf numFmtId="0" fontId="83" fillId="0" borderId="13" xfId="0" applyFont="1" applyFill="1" applyBorder="1" applyAlignment="1">
      <alignment horizontal="center"/>
    </xf>
    <xf numFmtId="0" fontId="13" fillId="0" borderId="20" xfId="0" applyFont="1" applyFill="1" applyBorder="1" applyAlignment="1">
      <alignment horizontal="center"/>
    </xf>
    <xf numFmtId="0" fontId="15" fillId="0" borderId="37" xfId="0" applyFont="1" applyFill="1" applyBorder="1" applyProtection="1">
      <protection hidden="1"/>
    </xf>
    <xf numFmtId="0" fontId="15" fillId="0" borderId="37" xfId="0" applyFont="1" applyFill="1" applyBorder="1" applyAlignment="1" applyProtection="1">
      <protection hidden="1"/>
    </xf>
    <xf numFmtId="0" fontId="13" fillId="0" borderId="13" xfId="0" applyFont="1" applyFill="1" applyBorder="1" applyAlignment="1">
      <alignment horizontal="center" wrapText="1"/>
    </xf>
    <xf numFmtId="0" fontId="15" fillId="0" borderId="37" xfId="0" applyFont="1" applyFill="1" applyBorder="1" applyAlignment="1" applyProtection="1">
      <alignment horizontal="left"/>
      <protection hidden="1"/>
    </xf>
    <xf numFmtId="0" fontId="15" fillId="0" borderId="37" xfId="0" applyFont="1" applyFill="1" applyBorder="1" applyAlignment="1" applyProtection="1">
      <alignment horizontal="center"/>
      <protection hidden="1"/>
    </xf>
    <xf numFmtId="0" fontId="77" fillId="0" borderId="0" xfId="0" applyFont="1"/>
    <xf numFmtId="2" fontId="83" fillId="0" borderId="13" xfId="0" applyNumberFormat="1" applyFont="1" applyFill="1" applyBorder="1" applyAlignment="1">
      <alignment horizontal="center"/>
    </xf>
    <xf numFmtId="2" fontId="13" fillId="0" borderId="13" xfId="0" applyNumberFormat="1" applyFont="1" applyBorder="1" applyAlignment="1">
      <alignment horizontal="center"/>
    </xf>
    <xf numFmtId="2" fontId="15" fillId="0" borderId="13" xfId="0" applyNumberFormat="1" applyFont="1" applyFill="1" applyBorder="1" applyAlignment="1" applyProtection="1">
      <alignment wrapText="1"/>
      <protection locked="0" hidden="1"/>
    </xf>
    <xf numFmtId="0" fontId="83" fillId="0" borderId="14" xfId="0" applyFont="1" applyFill="1" applyBorder="1" applyAlignment="1">
      <alignment horizontal="center"/>
    </xf>
    <xf numFmtId="0" fontId="19" fillId="0" borderId="13" xfId="0" applyFont="1" applyFill="1" applyBorder="1" applyAlignment="1">
      <alignment horizontal="center"/>
    </xf>
    <xf numFmtId="1" fontId="19" fillId="0" borderId="13" xfId="0" applyNumberFormat="1" applyFont="1" applyFill="1" applyBorder="1" applyAlignment="1">
      <alignment horizontal="center"/>
    </xf>
    <xf numFmtId="0" fontId="64" fillId="0" borderId="13" xfId="0" applyFont="1" applyFill="1" applyBorder="1" applyAlignment="1" applyProtection="1">
      <alignment horizontal="center"/>
      <protection locked="0"/>
    </xf>
    <xf numFmtId="0" fontId="19" fillId="0" borderId="45" xfId="0" applyFont="1" applyFill="1" applyBorder="1" applyAlignment="1">
      <alignment horizontal="center"/>
    </xf>
    <xf numFmtId="0" fontId="19" fillId="0" borderId="13" xfId="0" applyFont="1" applyFill="1" applyBorder="1" applyAlignment="1" applyProtection="1">
      <alignment horizontal="center"/>
      <protection locked="0" hidden="1"/>
    </xf>
    <xf numFmtId="0" fontId="0" fillId="0" borderId="0" xfId="0" applyNumberFormat="1" applyFill="1" applyBorder="1"/>
    <xf numFmtId="0" fontId="15" fillId="0" borderId="13" xfId="0" applyFont="1" applyFill="1" applyBorder="1" applyAlignment="1" applyProtection="1">
      <alignment horizontal="center"/>
      <protection locked="0" hidden="1"/>
    </xf>
    <xf numFmtId="1" fontId="14" fillId="0" borderId="26" xfId="0" applyNumberFormat="1" applyFont="1" applyFill="1" applyBorder="1"/>
    <xf numFmtId="1" fontId="14" fillId="0" borderId="29" xfId="0" applyNumberFormat="1" applyFont="1" applyFill="1" applyBorder="1"/>
    <xf numFmtId="0" fontId="109" fillId="0" borderId="0" xfId="0" applyFont="1" applyFill="1" applyBorder="1" applyAlignment="1" applyProtection="1">
      <alignment horizontal="left" wrapText="1"/>
      <protection hidden="1"/>
    </xf>
    <xf numFmtId="0" fontId="391" fillId="0" borderId="0" xfId="0" applyFont="1" applyFill="1" applyBorder="1" applyAlignment="1">
      <alignment horizontal="center"/>
    </xf>
    <xf numFmtId="0" fontId="392" fillId="0" borderId="0" xfId="0" applyFont="1" applyFill="1" applyBorder="1" applyAlignment="1" applyProtection="1">
      <alignment horizontal="left" wrapText="1"/>
      <protection hidden="1"/>
    </xf>
    <xf numFmtId="0" fontId="106" fillId="0" borderId="13" xfId="0" applyFont="1" applyFill="1" applyBorder="1" applyAlignment="1" applyProtection="1">
      <alignment horizontal="center"/>
      <protection locked="0" hidden="1"/>
    </xf>
    <xf numFmtId="0" fontId="218" fillId="0" borderId="0" xfId="0" applyFont="1" applyBorder="1" applyAlignment="1">
      <alignment horizontal="center"/>
    </xf>
    <xf numFmtId="0" fontId="373" fillId="21" borderId="0" xfId="0" applyFont="1" applyFill="1"/>
    <xf numFmtId="2" fontId="106" fillId="0" borderId="16" xfId="0" applyNumberFormat="1" applyFont="1" applyFill="1" applyBorder="1" applyAlignment="1" applyProtection="1">
      <alignment horizontal="center"/>
      <protection hidden="1"/>
    </xf>
    <xf numFmtId="0" fontId="117" fillId="0" borderId="0" xfId="0" applyFont="1" applyFill="1" applyBorder="1" applyAlignment="1">
      <alignment horizontal="left"/>
    </xf>
    <xf numFmtId="0" fontId="15" fillId="0" borderId="0" xfId="0" applyFont="1" applyFill="1" applyBorder="1" applyAlignment="1">
      <alignment horizontal="left" wrapText="1"/>
    </xf>
    <xf numFmtId="0" fontId="15" fillId="0" borderId="13" xfId="0" applyFont="1" applyFill="1" applyBorder="1" applyAlignment="1">
      <alignment horizontal="center" wrapText="1"/>
    </xf>
    <xf numFmtId="0" fontId="218" fillId="0" borderId="0" xfId="0" applyFont="1" applyFill="1" applyBorder="1" applyAlignment="1">
      <alignment horizontal="left" wrapText="1"/>
    </xf>
    <xf numFmtId="0" fontId="104" fillId="0" borderId="0" xfId="0" applyFont="1" applyFill="1" applyBorder="1" applyAlignment="1"/>
    <xf numFmtId="0" fontId="218" fillId="23" borderId="13" xfId="0" applyFont="1" applyFill="1" applyBorder="1" applyAlignment="1">
      <alignment horizontal="center" wrapText="1"/>
    </xf>
    <xf numFmtId="0" fontId="17" fillId="23" borderId="13" xfId="0" applyFont="1" applyFill="1" applyBorder="1" applyAlignment="1"/>
    <xf numFmtId="0" fontId="14" fillId="23" borderId="0" xfId="0" applyFont="1" applyFill="1"/>
    <xf numFmtId="0" fontId="15" fillId="0" borderId="13" xfId="0" applyFont="1" applyBorder="1" applyAlignment="1">
      <alignment horizontal="justify" vertical="top" wrapText="1"/>
    </xf>
    <xf numFmtId="0" fontId="21" fillId="0" borderId="0" xfId="0" applyFont="1" applyFill="1" applyAlignment="1" applyProtection="1">
      <alignment wrapText="1"/>
      <protection hidden="1"/>
    </xf>
    <xf numFmtId="0" fontId="13" fillId="0" borderId="0" xfId="0" applyFont="1" applyAlignment="1">
      <alignment horizontal="justify"/>
    </xf>
    <xf numFmtId="0" fontId="214" fillId="0" borderId="0" xfId="0" applyFont="1" applyFill="1" applyBorder="1" applyAlignment="1">
      <alignment horizontal="left"/>
    </xf>
    <xf numFmtId="0" fontId="16" fillId="0" borderId="0" xfId="0" applyFont="1" applyFill="1" applyBorder="1" applyAlignment="1" applyProtection="1">
      <alignment wrapText="1"/>
      <protection hidden="1"/>
    </xf>
    <xf numFmtId="0" fontId="16" fillId="0" borderId="13" xfId="0" applyFont="1" applyFill="1" applyBorder="1" applyAlignment="1" applyProtection="1">
      <alignment wrapText="1"/>
      <protection hidden="1"/>
    </xf>
    <xf numFmtId="0" fontId="233" fillId="0" borderId="0" xfId="0" applyFont="1" applyBorder="1" applyProtection="1">
      <protection hidden="1"/>
    </xf>
    <xf numFmtId="0" fontId="233" fillId="0" borderId="51" xfId="0" applyFont="1" applyBorder="1" applyProtection="1">
      <protection hidden="1"/>
    </xf>
    <xf numFmtId="0" fontId="90" fillId="0" borderId="0" xfId="0" applyFont="1" applyBorder="1" applyProtection="1">
      <protection hidden="1"/>
    </xf>
    <xf numFmtId="0" fontId="90" fillId="0" borderId="0" xfId="0" applyFont="1" applyFill="1" applyBorder="1" applyProtection="1">
      <protection hidden="1"/>
    </xf>
    <xf numFmtId="0" fontId="0" fillId="0" borderId="13" xfId="0" applyFill="1" applyBorder="1" applyAlignment="1" applyProtection="1">
      <alignment wrapText="1"/>
      <protection hidden="1"/>
    </xf>
    <xf numFmtId="0" fontId="30" fillId="22" borderId="13" xfId="0" applyFont="1" applyFill="1" applyBorder="1" applyProtection="1">
      <protection hidden="1"/>
    </xf>
    <xf numFmtId="167" fontId="9" fillId="0" borderId="13" xfId="0" applyNumberFormat="1" applyFont="1" applyBorder="1" applyProtection="1">
      <protection hidden="1"/>
    </xf>
    <xf numFmtId="0" fontId="233" fillId="0" borderId="0" xfId="0" applyFont="1" applyFill="1" applyBorder="1" applyProtection="1">
      <protection hidden="1"/>
    </xf>
    <xf numFmtId="2" fontId="232" fillId="0" borderId="0" xfId="0" applyNumberFormat="1" applyFont="1" applyBorder="1" applyProtection="1">
      <protection hidden="1"/>
    </xf>
    <xf numFmtId="0" fontId="260" fillId="0" borderId="0" xfId="0" applyFont="1" applyBorder="1" applyAlignment="1" applyProtection="1">
      <alignment wrapText="1"/>
      <protection hidden="1"/>
    </xf>
    <xf numFmtId="0" fontId="260" fillId="0" borderId="0" xfId="0" applyFont="1" applyBorder="1" applyAlignment="1">
      <alignment wrapText="1"/>
    </xf>
    <xf numFmtId="49" fontId="14" fillId="0" borderId="0" xfId="0" applyNumberFormat="1" applyFont="1"/>
    <xf numFmtId="0" fontId="62" fillId="0" borderId="0" xfId="0" applyFont="1" applyAlignment="1">
      <alignment wrapText="1"/>
    </xf>
    <xf numFmtId="0" fontId="14" fillId="23" borderId="0" xfId="0" applyFont="1" applyFill="1" applyAlignment="1">
      <alignment wrapText="1"/>
    </xf>
    <xf numFmtId="0" fontId="393" fillId="0" borderId="0" xfId="0" applyFont="1"/>
    <xf numFmtId="0" fontId="21" fillId="0" borderId="0" xfId="0" applyFont="1" applyBorder="1" applyAlignment="1">
      <alignment wrapText="1"/>
    </xf>
    <xf numFmtId="0" fontId="1" fillId="0" borderId="0" xfId="0" applyFont="1" applyBorder="1" applyAlignment="1">
      <alignment horizontal="left"/>
    </xf>
    <xf numFmtId="2" fontId="15" fillId="0" borderId="13" xfId="38" applyNumberFormat="1" applyFont="1" applyBorder="1" applyAlignment="1" applyProtection="1">
      <alignment vertical="center"/>
      <protection hidden="1"/>
    </xf>
    <xf numFmtId="0" fontId="37" fillId="0" borderId="0" xfId="28" applyFont="1" applyAlignment="1" applyProtection="1"/>
    <xf numFmtId="0" fontId="11" fillId="0" borderId="0" xfId="28" applyFont="1" applyAlignment="1" applyProtection="1"/>
    <xf numFmtId="2" fontId="12" fillId="0" borderId="13" xfId="0" applyNumberFormat="1" applyFont="1" applyFill="1" applyBorder="1" applyAlignment="1">
      <alignment horizontal="center"/>
    </xf>
    <xf numFmtId="0" fontId="109" fillId="0" borderId="0" xfId="0" applyFont="1" applyFill="1" applyBorder="1" applyAlignment="1"/>
    <xf numFmtId="0" fontId="157" fillId="0" borderId="13" xfId="28" applyFont="1" applyFill="1" applyBorder="1" applyAlignment="1" applyProtection="1"/>
    <xf numFmtId="1" fontId="157" fillId="0" borderId="13" xfId="0" applyNumberFormat="1" applyFont="1" applyFill="1" applyBorder="1" applyAlignment="1">
      <alignment horizontal="center"/>
    </xf>
    <xf numFmtId="2" fontId="157" fillId="0" borderId="13" xfId="0" applyNumberFormat="1" applyFont="1" applyFill="1" applyBorder="1" applyAlignment="1">
      <alignment horizontal="center"/>
    </xf>
    <xf numFmtId="2" fontId="157" fillId="0" borderId="13" xfId="0" applyNumberFormat="1" applyFont="1" applyBorder="1" applyAlignment="1">
      <alignment horizontal="center"/>
    </xf>
    <xf numFmtId="0" fontId="233" fillId="22" borderId="13" xfId="0" applyFont="1" applyFill="1" applyBorder="1"/>
    <xf numFmtId="2" fontId="252" fillId="0" borderId="13" xfId="0" applyNumberFormat="1" applyFont="1" applyFill="1" applyBorder="1" applyAlignment="1">
      <alignment horizontal="center"/>
    </xf>
    <xf numFmtId="1" fontId="233" fillId="22" borderId="13" xfId="0" applyNumberFormat="1" applyFont="1" applyFill="1" applyBorder="1"/>
    <xf numFmtId="1" fontId="394" fillId="0" borderId="13" xfId="0" applyNumberFormat="1" applyFont="1" applyFill="1" applyBorder="1"/>
    <xf numFmtId="0" fontId="394" fillId="0" borderId="13" xfId="0" applyFont="1" applyFill="1" applyBorder="1"/>
    <xf numFmtId="0" fontId="376" fillId="0" borderId="0" xfId="0" applyFont="1"/>
    <xf numFmtId="1" fontId="160" fillId="0" borderId="13" xfId="38" applyNumberFormat="1" applyFont="1" applyFill="1" applyBorder="1" applyProtection="1">
      <protection hidden="1"/>
    </xf>
    <xf numFmtId="0" fontId="160" fillId="0" borderId="13" xfId="38" applyFont="1" applyBorder="1" applyProtection="1">
      <protection hidden="1"/>
    </xf>
    <xf numFmtId="1" fontId="160" fillId="0" borderId="0" xfId="38" applyNumberFormat="1" applyFont="1" applyBorder="1" applyProtection="1">
      <protection hidden="1"/>
    </xf>
    <xf numFmtId="1" fontId="160" fillId="0" borderId="13" xfId="38" applyNumberFormat="1" applyFont="1" applyBorder="1" applyProtection="1">
      <protection hidden="1"/>
    </xf>
    <xf numFmtId="1" fontId="81" fillId="22" borderId="13" xfId="38" applyNumberFormat="1" applyFont="1" applyFill="1" applyBorder="1" applyProtection="1">
      <protection hidden="1"/>
    </xf>
    <xf numFmtId="0" fontId="81" fillId="0" borderId="0" xfId="38" applyFill="1" applyBorder="1" applyProtection="1">
      <protection hidden="1"/>
    </xf>
    <xf numFmtId="0" fontId="160" fillId="0" borderId="13" xfId="38" applyFont="1" applyFill="1" applyBorder="1" applyProtection="1">
      <protection hidden="1"/>
    </xf>
    <xf numFmtId="0" fontId="158" fillId="0" borderId="13" xfId="0" applyFont="1" applyFill="1" applyBorder="1" applyAlignment="1">
      <alignment horizontal="center"/>
    </xf>
    <xf numFmtId="0" fontId="11" fillId="0" borderId="13" xfId="28" applyFont="1" applyBorder="1" applyAlignment="1" applyProtection="1"/>
    <xf numFmtId="0" fontId="160" fillId="0" borderId="0" xfId="38" applyFont="1" applyBorder="1" applyProtection="1">
      <protection hidden="1"/>
    </xf>
    <xf numFmtId="0" fontId="112" fillId="0" borderId="0" xfId="0" applyFont="1" applyAlignment="1">
      <alignment horizontal="center"/>
    </xf>
    <xf numFmtId="0" fontId="218" fillId="0" borderId="0" xfId="0" applyFont="1" applyFill="1" applyBorder="1" applyAlignment="1">
      <alignment horizontal="left"/>
    </xf>
    <xf numFmtId="0" fontId="19" fillId="0" borderId="0" xfId="0" applyFont="1" applyFill="1" applyBorder="1" applyAlignment="1">
      <alignment horizontal="left"/>
    </xf>
    <xf numFmtId="0" fontId="106" fillId="0" borderId="0" xfId="28" applyFont="1" applyFill="1" applyBorder="1" applyAlignment="1" applyProtection="1"/>
    <xf numFmtId="14" fontId="32" fillId="0" borderId="0" xfId="0" applyNumberFormat="1" applyFont="1" applyFill="1"/>
    <xf numFmtId="0" fontId="62" fillId="0" borderId="37" xfId="0" applyFont="1" applyFill="1" applyBorder="1" applyAlignment="1">
      <alignment horizontal="center"/>
    </xf>
    <xf numFmtId="0" fontId="83" fillId="22" borderId="13" xfId="0" applyFont="1" applyFill="1" applyBorder="1" applyAlignment="1">
      <alignment horizontal="center"/>
    </xf>
    <xf numFmtId="2" fontId="37" fillId="0" borderId="13" xfId="0" applyNumberFormat="1" applyFont="1" applyBorder="1" applyAlignment="1">
      <alignment horizontal="center"/>
    </xf>
    <xf numFmtId="0" fontId="38" fillId="0" borderId="13" xfId="0" applyFont="1" applyFill="1" applyBorder="1" applyAlignment="1">
      <alignment horizontal="left"/>
    </xf>
    <xf numFmtId="0" fontId="165" fillId="0" borderId="13" xfId="28" applyFont="1" applyFill="1" applyBorder="1" applyAlignment="1" applyProtection="1"/>
    <xf numFmtId="2" fontId="14" fillId="0" borderId="0" xfId="0" applyNumberFormat="1" applyFont="1"/>
    <xf numFmtId="0" fontId="106" fillId="0" borderId="0" xfId="38" applyFont="1" applyBorder="1" applyAlignment="1" applyProtection="1">
      <alignment vertical="center"/>
      <protection hidden="1"/>
    </xf>
    <xf numFmtId="0" fontId="217" fillId="0" borderId="0" xfId="28" applyFont="1" applyAlignment="1" applyProtection="1">
      <alignment horizontal="center"/>
    </xf>
    <xf numFmtId="0" fontId="218" fillId="0" borderId="0" xfId="0" applyFont="1" applyFill="1" applyBorder="1"/>
    <xf numFmtId="0" fontId="61" fillId="0" borderId="13" xfId="0" applyFont="1" applyFill="1" applyBorder="1" applyAlignment="1" applyProtection="1">
      <alignment wrapText="1"/>
      <protection hidden="1"/>
    </xf>
    <xf numFmtId="0" fontId="0" fillId="0" borderId="0" xfId="0" applyAlignment="1"/>
    <xf numFmtId="0" fontId="0" fillId="0" borderId="0" xfId="0" applyBorder="1" applyAlignment="1">
      <alignment wrapText="1"/>
    </xf>
    <xf numFmtId="0" fontId="0" fillId="0" borderId="13" xfId="0" applyBorder="1" applyAlignment="1">
      <alignment wrapText="1"/>
    </xf>
    <xf numFmtId="0" fontId="0" fillId="0" borderId="0" xfId="0" applyBorder="1" applyAlignment="1" applyProtection="1">
      <alignment wrapText="1"/>
      <protection hidden="1"/>
    </xf>
    <xf numFmtId="0" fontId="6" fillId="0" borderId="0" xfId="0" applyFont="1" applyBorder="1" applyAlignment="1" applyProtection="1">
      <alignment wrapText="1"/>
      <protection hidden="1"/>
    </xf>
    <xf numFmtId="0" fontId="64" fillId="0" borderId="0" xfId="0" applyFont="1" applyFill="1"/>
    <xf numFmtId="0" fontId="16" fillId="0" borderId="0" xfId="0" applyFont="1" applyFill="1"/>
    <xf numFmtId="0" fontId="16" fillId="0" borderId="13" xfId="0" applyFont="1" applyFill="1" applyBorder="1" applyAlignment="1">
      <alignment wrapText="1"/>
    </xf>
    <xf numFmtId="0" fontId="16" fillId="0" borderId="44" xfId="0" applyFont="1" applyFill="1" applyBorder="1" applyAlignment="1">
      <alignment wrapText="1"/>
    </xf>
    <xf numFmtId="0" fontId="397" fillId="0" borderId="0" xfId="0" applyFont="1" applyFill="1" applyBorder="1" applyProtection="1">
      <protection hidden="1"/>
    </xf>
    <xf numFmtId="0" fontId="16" fillId="0" borderId="13" xfId="0" applyFont="1" applyFill="1" applyBorder="1"/>
    <xf numFmtId="2" fontId="16" fillId="0" borderId="13" xfId="0" applyNumberFormat="1" applyFont="1" applyFill="1" applyBorder="1"/>
    <xf numFmtId="0" fontId="397" fillId="0" borderId="13" xfId="0" applyFont="1" applyBorder="1"/>
    <xf numFmtId="0" fontId="67" fillId="0" borderId="0" xfId="42" applyFont="1" applyFill="1" applyBorder="1" applyAlignment="1" applyProtection="1">
      <alignment horizontal="left" wrapText="1"/>
      <protection locked="0"/>
    </xf>
    <xf numFmtId="2" fontId="68" fillId="0" borderId="53" xfId="42" applyNumberFormat="1" applyFont="1" applyFill="1" applyBorder="1" applyAlignment="1" applyProtection="1">
      <alignment horizontal="right" wrapText="1"/>
      <protection locked="0"/>
    </xf>
    <xf numFmtId="0" fontId="0" fillId="0" borderId="0" xfId="0" applyAlignment="1"/>
    <xf numFmtId="0" fontId="1" fillId="0" borderId="0" xfId="0" applyFont="1" applyAlignment="1">
      <alignment wrapText="1"/>
    </xf>
    <xf numFmtId="0" fontId="0" fillId="0" borderId="13" xfId="0" applyBorder="1" applyAlignment="1">
      <alignment wrapText="1"/>
    </xf>
    <xf numFmtId="2" fontId="67" fillId="0" borderId="53" xfId="42" applyNumberFormat="1" applyFont="1" applyFill="1" applyBorder="1" applyAlignment="1" applyProtection="1">
      <alignment horizontal="right" wrapText="1"/>
      <protection locked="0"/>
    </xf>
    <xf numFmtId="0" fontId="0" fillId="0" borderId="0" xfId="0" applyAlignment="1"/>
    <xf numFmtId="0" fontId="0" fillId="0" borderId="65" xfId="0" applyBorder="1" applyAlignment="1" applyProtection="1">
      <alignment horizontal="center" vertical="center" wrapText="1"/>
      <protection hidden="1"/>
    </xf>
    <xf numFmtId="0" fontId="0" fillId="0" borderId="20" xfId="0" applyBorder="1" applyAlignment="1" applyProtection="1">
      <alignment horizontal="center" vertical="center" wrapText="1"/>
      <protection hidden="1"/>
    </xf>
    <xf numFmtId="0" fontId="0" fillId="0" borderId="40" xfId="0" applyBorder="1" applyAlignment="1" applyProtection="1">
      <alignment horizontal="center" vertical="center" wrapText="1"/>
      <protection hidden="1"/>
    </xf>
    <xf numFmtId="0" fontId="0" fillId="0" borderId="0" xfId="0" applyBorder="1" applyAlignment="1"/>
    <xf numFmtId="0" fontId="57" fillId="34" borderId="13" xfId="42" applyFont="1" applyFill="1" applyBorder="1" applyAlignment="1" applyProtection="1">
      <alignment horizontal="center" vertical="top" wrapText="1"/>
      <protection locked="0"/>
    </xf>
    <xf numFmtId="0" fontId="398" fillId="0" borderId="0" xfId="0" applyFont="1"/>
    <xf numFmtId="0" fontId="399" fillId="0" borderId="13" xfId="0" applyFont="1" applyFill="1" applyBorder="1"/>
    <xf numFmtId="0" fontId="19" fillId="0" borderId="0" xfId="0" applyFont="1" applyFill="1"/>
    <xf numFmtId="0" fontId="400" fillId="0" borderId="0" xfId="0" applyFont="1" applyFill="1" applyBorder="1" applyProtection="1">
      <protection hidden="1"/>
    </xf>
    <xf numFmtId="0" fontId="400" fillId="0" borderId="13" xfId="0" applyFont="1" applyBorder="1"/>
    <xf numFmtId="0" fontId="0" fillId="34" borderId="0" xfId="0" applyFill="1"/>
    <xf numFmtId="0" fontId="0" fillId="34" borderId="13" xfId="0" applyFill="1" applyBorder="1" applyProtection="1">
      <protection hidden="1"/>
    </xf>
    <xf numFmtId="0" fontId="0" fillId="34" borderId="13" xfId="0" applyFill="1" applyBorder="1"/>
    <xf numFmtId="0" fontId="0" fillId="0" borderId="13" xfId="0" applyBorder="1" applyAlignment="1">
      <alignment wrapText="1"/>
    </xf>
    <xf numFmtId="0" fontId="38" fillId="0" borderId="0" xfId="0" applyFont="1"/>
    <xf numFmtId="0" fontId="38" fillId="0" borderId="13" xfId="0" applyFont="1" applyBorder="1"/>
    <xf numFmtId="0" fontId="38" fillId="0" borderId="13" xfId="0" applyFont="1" applyBorder="1" applyAlignment="1">
      <alignment horizontal="right"/>
    </xf>
    <xf numFmtId="0" fontId="38" fillId="0" borderId="13" xfId="0" applyFont="1" applyBorder="1" applyAlignment="1"/>
    <xf numFmtId="0" fontId="38" fillId="0" borderId="0" xfId="0" applyFont="1" applyBorder="1" applyAlignment="1">
      <alignment horizontal="left"/>
    </xf>
    <xf numFmtId="0" fontId="38" fillId="0" borderId="13" xfId="0" applyFont="1" applyBorder="1" applyAlignment="1">
      <alignment horizontal="left"/>
    </xf>
    <xf numFmtId="0" fontId="38" fillId="22" borderId="13" xfId="0" applyFont="1" applyFill="1" applyBorder="1"/>
    <xf numFmtId="0" fontId="0" fillId="0" borderId="65" xfId="0" applyBorder="1"/>
    <xf numFmtId="0" fontId="14" fillId="0" borderId="66" xfId="0" applyFont="1" applyBorder="1"/>
    <xf numFmtId="0" fontId="14" fillId="0" borderId="40" xfId="0" applyFont="1" applyBorder="1"/>
    <xf numFmtId="0" fontId="14" fillId="0" borderId="42" xfId="0" applyFont="1" applyBorder="1"/>
    <xf numFmtId="0" fontId="14" fillId="0" borderId="60" xfId="0" applyFont="1" applyBorder="1"/>
    <xf numFmtId="0" fontId="14" fillId="0" borderId="61" xfId="0" applyFont="1" applyBorder="1"/>
    <xf numFmtId="0" fontId="0" fillId="0" borderId="20" xfId="0" applyFill="1" applyBorder="1" applyProtection="1">
      <protection hidden="1"/>
    </xf>
    <xf numFmtId="0" fontId="32" fillId="0" borderId="0" xfId="0" applyFont="1" applyFill="1" applyBorder="1"/>
    <xf numFmtId="0" fontId="0" fillId="0" borderId="13" xfId="0" applyBorder="1" applyAlignment="1" applyProtection="1">
      <alignment textRotation="90"/>
      <protection hidden="1"/>
    </xf>
    <xf numFmtId="0" fontId="0" fillId="0" borderId="13" xfId="0" applyBorder="1" applyAlignment="1">
      <alignment textRotation="90"/>
    </xf>
    <xf numFmtId="0" fontId="218" fillId="0" borderId="13" xfId="0" applyFont="1" applyFill="1" applyBorder="1" applyAlignment="1"/>
    <xf numFmtId="0" fontId="397" fillId="0" borderId="13" xfId="0" applyFont="1" applyFill="1" applyBorder="1" applyAlignment="1">
      <alignment horizontal="center"/>
    </xf>
    <xf numFmtId="0" fontId="0" fillId="0" borderId="19" xfId="0" applyFill="1" applyBorder="1" applyAlignment="1">
      <alignment wrapText="1"/>
    </xf>
    <xf numFmtId="0" fontId="0" fillId="0" borderId="19" xfId="0" applyFill="1" applyBorder="1"/>
    <xf numFmtId="0" fontId="0" fillId="0" borderId="19" xfId="0" applyFill="1" applyBorder="1" applyAlignment="1"/>
    <xf numFmtId="0" fontId="0" fillId="0" borderId="0" xfId="0" applyAlignment="1"/>
    <xf numFmtId="0" fontId="1" fillId="0" borderId="0" xfId="0" applyFont="1" applyAlignment="1">
      <alignment wrapText="1"/>
    </xf>
    <xf numFmtId="0" fontId="0" fillId="0" borderId="13" xfId="0" applyBorder="1" applyAlignment="1">
      <alignment wrapText="1"/>
    </xf>
    <xf numFmtId="0" fontId="0" fillId="0" borderId="65" xfId="0" applyBorder="1" applyProtection="1">
      <protection hidden="1"/>
    </xf>
    <xf numFmtId="0" fontId="0" fillId="0" borderId="44" xfId="0" applyBorder="1" applyProtection="1">
      <protection hidden="1"/>
    </xf>
    <xf numFmtId="0" fontId="397" fillId="0" borderId="0" xfId="0" applyFont="1"/>
    <xf numFmtId="0" fontId="397" fillId="0" borderId="13" xfId="0" applyFont="1" applyBorder="1" applyProtection="1">
      <protection locked="0"/>
    </xf>
    <xf numFmtId="2" fontId="0" fillId="34" borderId="13" xfId="0" applyNumberFormat="1" applyFill="1" applyBorder="1" applyProtection="1">
      <protection hidden="1"/>
    </xf>
    <xf numFmtId="0" fontId="0" fillId="34" borderId="0" xfId="0" applyFill="1" applyProtection="1">
      <protection hidden="1"/>
    </xf>
    <xf numFmtId="0" fontId="2" fillId="34" borderId="0" xfId="0" applyFont="1" applyFill="1" applyProtection="1">
      <protection hidden="1"/>
    </xf>
    <xf numFmtId="0" fontId="397" fillId="0" borderId="0" xfId="0" applyFont="1" applyProtection="1">
      <protection hidden="1"/>
    </xf>
    <xf numFmtId="0" fontId="0" fillId="0" borderId="0" xfId="0" applyBorder="1" applyAlignment="1">
      <alignment wrapText="1"/>
    </xf>
    <xf numFmtId="0" fontId="68" fillId="0" borderId="0" xfId="42" applyFont="1" applyFill="1" applyBorder="1" applyAlignment="1" applyProtection="1">
      <alignment horizontal="left" wrapText="1"/>
      <protection locked="0"/>
    </xf>
    <xf numFmtId="0" fontId="67" fillId="0" borderId="0" xfId="42" applyFont="1" applyFill="1" applyBorder="1" applyAlignment="1" applyProtection="1">
      <alignment horizontal="right" wrapText="1"/>
      <protection locked="0"/>
    </xf>
    <xf numFmtId="1" fontId="67" fillId="0" borderId="0" xfId="42" applyNumberFormat="1" applyFont="1" applyFill="1" applyBorder="1" applyAlignment="1" applyProtection="1">
      <alignment horizontal="right" wrapText="1"/>
      <protection locked="0"/>
    </xf>
    <xf numFmtId="2" fontId="67" fillId="0" borderId="0" xfId="42" applyNumberFormat="1" applyFont="1" applyFill="1" applyBorder="1" applyAlignment="1" applyProtection="1">
      <alignment horizontal="right" wrapText="1"/>
      <protection locked="0"/>
    </xf>
    <xf numFmtId="2" fontId="68" fillId="0" borderId="0" xfId="42" applyNumberFormat="1" applyFont="1" applyFill="1" applyBorder="1" applyAlignment="1" applyProtection="1">
      <alignment horizontal="right" wrapText="1"/>
      <protection locked="0"/>
    </xf>
    <xf numFmtId="0" fontId="69" fillId="0" borderId="0" xfId="42" applyFont="1" applyFill="1" applyBorder="1" applyAlignment="1" applyProtection="1">
      <alignment horizontal="right" wrapText="1"/>
      <protection locked="0"/>
    </xf>
    <xf numFmtId="0" fontId="58" fillId="0" borderId="0" xfId="43" applyFont="1" applyFill="1" applyBorder="1" applyAlignment="1" applyProtection="1">
      <alignment horizontal="right" wrapText="1"/>
      <protection locked="0"/>
    </xf>
    <xf numFmtId="0" fontId="74" fillId="0" borderId="0" xfId="42" applyFont="1" applyFill="1" applyBorder="1" applyAlignment="1" applyProtection="1">
      <alignment horizontal="left" wrapText="1"/>
      <protection locked="0"/>
    </xf>
    <xf numFmtId="0" fontId="58" fillId="0" borderId="0" xfId="42" applyFont="1" applyFill="1" applyBorder="1" applyAlignment="1" applyProtection="1">
      <alignment horizontal="right" wrapText="1"/>
      <protection locked="0"/>
    </xf>
    <xf numFmtId="0" fontId="401" fillId="0" borderId="0" xfId="0" applyFont="1" applyProtection="1">
      <protection locked="0"/>
    </xf>
    <xf numFmtId="0" fontId="67" fillId="0" borderId="44" xfId="42" applyFont="1" applyFill="1" applyBorder="1" applyAlignment="1" applyProtection="1">
      <alignment horizontal="right" wrapText="1"/>
      <protection locked="0"/>
    </xf>
    <xf numFmtId="0" fontId="67" fillId="0" borderId="44" xfId="42" applyFont="1" applyFill="1" applyBorder="1" applyAlignment="1" applyProtection="1">
      <alignment horizontal="left" wrapText="1"/>
      <protection locked="0"/>
    </xf>
    <xf numFmtId="0" fontId="68" fillId="0" borderId="44" xfId="42" applyFont="1" applyFill="1" applyBorder="1" applyAlignment="1" applyProtection="1">
      <alignment horizontal="left" wrapText="1"/>
      <protection locked="0"/>
    </xf>
    <xf numFmtId="0" fontId="0" fillId="35" borderId="13" xfId="0" applyFill="1" applyBorder="1"/>
    <xf numFmtId="0" fontId="2" fillId="35" borderId="13" xfId="0" applyFont="1" applyFill="1" applyBorder="1"/>
    <xf numFmtId="0" fontId="0" fillId="0" borderId="0" xfId="0" applyFont="1" applyAlignment="1">
      <alignment horizontal="right"/>
    </xf>
    <xf numFmtId="0" fontId="0" fillId="35" borderId="13" xfId="0" applyFont="1" applyFill="1" applyBorder="1"/>
    <xf numFmtId="0" fontId="0" fillId="35" borderId="19" xfId="0" applyFont="1" applyFill="1" applyBorder="1"/>
    <xf numFmtId="0" fontId="2" fillId="35" borderId="14" xfId="0" applyFont="1" applyFill="1" applyBorder="1"/>
    <xf numFmtId="0" fontId="0" fillId="0" borderId="13" xfId="0" applyFont="1" applyBorder="1" applyAlignment="1">
      <alignment horizontal="right" wrapText="1"/>
    </xf>
    <xf numFmtId="0" fontId="399" fillId="0" borderId="0" xfId="0" applyFont="1"/>
    <xf numFmtId="0" fontId="397" fillId="0" borderId="13" xfId="0" applyFont="1" applyBorder="1" applyAlignment="1">
      <alignment horizontal="right"/>
    </xf>
    <xf numFmtId="2" fontId="397" fillId="0" borderId="13" xfId="0" applyNumberFormat="1" applyFont="1" applyBorder="1"/>
    <xf numFmtId="0" fontId="401" fillId="0" borderId="0" xfId="0" applyFont="1" applyFill="1" applyBorder="1"/>
    <xf numFmtId="0" fontId="397" fillId="0" borderId="0" xfId="0" applyFont="1" applyAlignment="1">
      <alignment wrapText="1"/>
    </xf>
    <xf numFmtId="0" fontId="400" fillId="0" borderId="0" xfId="0" applyFont="1" applyBorder="1"/>
    <xf numFmtId="0" fontId="16" fillId="0" borderId="40" xfId="0" applyFont="1" applyFill="1" applyBorder="1" applyAlignment="1">
      <alignment wrapText="1"/>
    </xf>
    <xf numFmtId="0" fontId="397" fillId="0" borderId="13" xfId="0" applyFont="1" applyFill="1" applyBorder="1"/>
    <xf numFmtId="0" fontId="17" fillId="0" borderId="13" xfId="0" applyFont="1" applyBorder="1"/>
    <xf numFmtId="0" fontId="399" fillId="0" borderId="13" xfId="0" applyFont="1" applyFill="1" applyBorder="1" applyAlignment="1"/>
    <xf numFmtId="0" fontId="400" fillId="0" borderId="13" xfId="0" applyFont="1" applyFill="1" applyBorder="1" applyAlignment="1">
      <alignment horizontal="center"/>
    </xf>
    <xf numFmtId="0" fontId="47" fillId="0" borderId="13" xfId="0" applyFont="1" applyBorder="1"/>
    <xf numFmtId="0" fontId="0" fillId="0" borderId="13" xfId="0" applyBorder="1" applyAlignment="1">
      <alignment wrapText="1"/>
    </xf>
    <xf numFmtId="0" fontId="0" fillId="0" borderId="0" xfId="0" applyBorder="1" applyAlignment="1"/>
    <xf numFmtId="0" fontId="0" fillId="22" borderId="13" xfId="0" applyFont="1" applyFill="1" applyBorder="1" applyAlignment="1">
      <alignment horizontal="center"/>
    </xf>
    <xf numFmtId="0" fontId="19" fillId="0" borderId="0" xfId="28" applyFont="1" applyFill="1" applyBorder="1" applyAlignment="1" applyProtection="1">
      <alignment wrapText="1"/>
    </xf>
    <xf numFmtId="0" fontId="19" fillId="0" borderId="13" xfId="28" applyFont="1" applyFill="1" applyBorder="1" applyAlignment="1" applyProtection="1">
      <alignment wrapText="1"/>
    </xf>
    <xf numFmtId="1" fontId="15" fillId="0" borderId="13" xfId="0" applyNumberFormat="1" applyFont="1" applyBorder="1" applyAlignment="1"/>
    <xf numFmtId="1" fontId="16" fillId="0" borderId="13" xfId="0" applyNumberFormat="1" applyFont="1" applyFill="1" applyBorder="1" applyAlignment="1"/>
    <xf numFmtId="1" fontId="14" fillId="0" borderId="31" xfId="0" applyNumberFormat="1" applyFont="1" applyFill="1" applyBorder="1"/>
    <xf numFmtId="0" fontId="399" fillId="0" borderId="13" xfId="0" applyFont="1" applyFill="1" applyBorder="1" applyAlignment="1">
      <alignment horizontal="center"/>
    </xf>
    <xf numFmtId="2" fontId="399" fillId="0" borderId="13" xfId="0" applyNumberFormat="1" applyFont="1" applyFill="1" applyBorder="1" applyAlignment="1">
      <alignment horizontal="center"/>
    </xf>
    <xf numFmtId="1" fontId="81" fillId="0" borderId="13" xfId="0" applyNumberFormat="1" applyFont="1" applyBorder="1" applyAlignment="1">
      <alignment horizontal="center"/>
    </xf>
    <xf numFmtId="1" fontId="233" fillId="0" borderId="13" xfId="0" applyNumberFormat="1" applyFont="1" applyFill="1" applyBorder="1"/>
    <xf numFmtId="0" fontId="0" fillId="0" borderId="45" xfId="0" applyBorder="1" applyAlignment="1">
      <alignment horizontal="center" wrapText="1"/>
    </xf>
    <xf numFmtId="0" fontId="0" fillId="0" borderId="13" xfId="0" applyBorder="1" applyAlignment="1">
      <alignment wrapText="1"/>
    </xf>
    <xf numFmtId="0" fontId="15" fillId="0" borderId="13" xfId="0" applyNumberFormat="1" applyFont="1" applyFill="1" applyBorder="1" applyAlignment="1" applyProtection="1">
      <alignment horizontal="center" vertical="top" wrapText="1"/>
    </xf>
    <xf numFmtId="0" fontId="104" fillId="0" borderId="13" xfId="0" applyFont="1" applyBorder="1" applyAlignment="1">
      <alignment wrapText="1"/>
    </xf>
    <xf numFmtId="0" fontId="13" fillId="0" borderId="37" xfId="0" applyFont="1" applyBorder="1" applyAlignment="1">
      <alignment horizontal="center" wrapText="1"/>
    </xf>
    <xf numFmtId="0" fontId="0" fillId="0" borderId="74" xfId="0" applyBorder="1" applyAlignment="1">
      <alignment horizontal="center" wrapText="1"/>
    </xf>
    <xf numFmtId="0" fontId="366" fillId="35" borderId="13" xfId="0" applyFont="1" applyFill="1" applyBorder="1" applyAlignment="1">
      <alignment horizontal="center"/>
    </xf>
    <xf numFmtId="0" fontId="106" fillId="0" borderId="13" xfId="0" applyFont="1" applyBorder="1" applyAlignment="1">
      <alignment wrapText="1"/>
    </xf>
    <xf numFmtId="1" fontId="397" fillId="0" borderId="0" xfId="0" applyNumberFormat="1" applyFont="1"/>
    <xf numFmtId="0" fontId="398" fillId="0" borderId="0" xfId="0" applyFont="1" applyFill="1"/>
    <xf numFmtId="2" fontId="160" fillId="0" borderId="13" xfId="38" applyNumberFormat="1" applyFont="1" applyFill="1" applyBorder="1" applyProtection="1">
      <protection hidden="1"/>
    </xf>
    <xf numFmtId="0" fontId="158" fillId="0" borderId="13" xfId="0" applyFont="1" applyBorder="1" applyAlignment="1">
      <alignment horizontal="left"/>
    </xf>
    <xf numFmtId="0" fontId="402" fillId="0" borderId="0" xfId="0" applyFont="1"/>
    <xf numFmtId="0" fontId="403" fillId="0" borderId="0" xfId="0" applyFont="1"/>
    <xf numFmtId="0" fontId="397" fillId="0" borderId="13" xfId="0" applyFont="1" applyFill="1" applyBorder="1" applyProtection="1">
      <protection hidden="1"/>
    </xf>
    <xf numFmtId="0" fontId="397" fillId="0" borderId="13" xfId="0" applyFont="1" applyFill="1" applyBorder="1" applyProtection="1">
      <protection locked="0" hidden="1"/>
    </xf>
    <xf numFmtId="0" fontId="381" fillId="0" borderId="0" xfId="0" applyFont="1" applyFill="1" applyAlignment="1"/>
    <xf numFmtId="0" fontId="16" fillId="0" borderId="44" xfId="0" applyFont="1" applyFill="1" applyBorder="1"/>
    <xf numFmtId="0" fontId="34" fillId="0" borderId="13" xfId="0" applyFont="1" applyBorder="1" applyAlignment="1">
      <alignment horizontal="center" wrapText="1"/>
    </xf>
    <xf numFmtId="0" fontId="104" fillId="0" borderId="13" xfId="0" applyFont="1" applyBorder="1" applyAlignment="1">
      <alignment horizontal="justify" wrapText="1"/>
    </xf>
    <xf numFmtId="1" fontId="390" fillId="0" borderId="13" xfId="0" applyNumberFormat="1" applyFont="1" applyBorder="1" applyAlignment="1">
      <alignment horizontal="center" wrapText="1"/>
    </xf>
    <xf numFmtId="0" fontId="390" fillId="0" borderId="13" xfId="0" applyFont="1" applyBorder="1" applyAlignment="1">
      <alignment horizontal="center" wrapText="1"/>
    </xf>
    <xf numFmtId="0" fontId="390" fillId="0" borderId="13" xfId="0" applyFont="1" applyBorder="1" applyAlignment="1">
      <alignment horizontal="center"/>
    </xf>
    <xf numFmtId="0" fontId="88" fillId="0" borderId="0" xfId="0" applyFont="1"/>
    <xf numFmtId="1" fontId="399" fillId="0" borderId="13" xfId="0" applyNumberFormat="1" applyFont="1" applyFill="1" applyBorder="1" applyAlignment="1">
      <alignment horizontal="center"/>
    </xf>
    <xf numFmtId="0" fontId="15" fillId="34" borderId="0" xfId="0" applyNumberFormat="1" applyFont="1" applyFill="1" applyBorder="1" applyAlignment="1" applyProtection="1">
      <alignment vertical="top" wrapText="1"/>
    </xf>
    <xf numFmtId="0" fontId="15" fillId="34" borderId="0" xfId="0" applyNumberFormat="1" applyFont="1" applyFill="1" applyBorder="1" applyAlignment="1" applyProtection="1">
      <alignment horizontal="center" vertical="top" wrapText="1"/>
    </xf>
    <xf numFmtId="0" fontId="11" fillId="34" borderId="0" xfId="0" applyFont="1" applyFill="1" applyBorder="1"/>
    <xf numFmtId="0" fontId="67" fillId="0" borderId="16" xfId="42" applyFont="1" applyFill="1" applyBorder="1" applyAlignment="1" applyProtection="1">
      <alignment horizontal="left" wrapText="1"/>
      <protection locked="0"/>
    </xf>
    <xf numFmtId="0" fontId="67" fillId="0" borderId="40" xfId="42" applyFont="1" applyFill="1" applyBorder="1" applyAlignment="1" applyProtection="1">
      <alignment horizontal="left" wrapText="1"/>
      <protection locked="0"/>
    </xf>
    <xf numFmtId="0" fontId="67" fillId="20" borderId="79" xfId="42" applyFont="1" applyFill="1" applyBorder="1" applyAlignment="1" applyProtection="1">
      <alignment horizontal="left" wrapText="1"/>
      <protection locked="0"/>
    </xf>
    <xf numFmtId="0" fontId="16" fillId="0" borderId="66" xfId="0" applyFont="1" applyFill="1" applyBorder="1"/>
    <xf numFmtId="0" fontId="16" fillId="0" borderId="16" xfId="0" applyFont="1" applyFill="1" applyBorder="1"/>
    <xf numFmtId="0" fontId="0" fillId="0" borderId="0" xfId="0" applyAlignment="1"/>
    <xf numFmtId="0" fontId="0" fillId="0" borderId="13" xfId="0" applyBorder="1" applyAlignment="1">
      <alignment wrapText="1"/>
    </xf>
    <xf numFmtId="0" fontId="1" fillId="0" borderId="0" xfId="0" applyFont="1" applyAlignment="1">
      <alignment wrapText="1"/>
    </xf>
    <xf numFmtId="0" fontId="6" fillId="0" borderId="0" xfId="50"/>
    <xf numFmtId="2" fontId="6" fillId="0" borderId="0" xfId="50" applyNumberFormat="1"/>
    <xf numFmtId="0" fontId="81" fillId="0" borderId="0" xfId="50" applyFont="1"/>
    <xf numFmtId="0" fontId="81" fillId="0" borderId="0" xfId="50" applyFont="1" applyFill="1"/>
    <xf numFmtId="0" fontId="81" fillId="36" borderId="0" xfId="50" applyFont="1" applyFill="1"/>
    <xf numFmtId="0" fontId="81" fillId="37" borderId="0" xfId="50" applyFont="1" applyFill="1"/>
    <xf numFmtId="0" fontId="6" fillId="0" borderId="0" xfId="50" applyFill="1"/>
    <xf numFmtId="0" fontId="81" fillId="38" borderId="0" xfId="50" applyFont="1" applyFill="1"/>
    <xf numFmtId="0" fontId="81" fillId="36" borderId="0" xfId="50" applyFont="1" applyFill="1" applyAlignment="1">
      <alignment wrapText="1"/>
    </xf>
    <xf numFmtId="0" fontId="6" fillId="0" borderId="91" xfId="50" applyFont="1" applyBorder="1" applyAlignment="1">
      <alignment horizontal="center"/>
    </xf>
    <xf numFmtId="0" fontId="6" fillId="0" borderId="91" xfId="50" applyFont="1" applyBorder="1"/>
    <xf numFmtId="0" fontId="404" fillId="0" borderId="91" xfId="50" applyFont="1" applyBorder="1"/>
    <xf numFmtId="0" fontId="405" fillId="39" borderId="91" xfId="50" applyFont="1" applyFill="1" applyBorder="1" applyAlignment="1">
      <alignment horizontal="center"/>
    </xf>
    <xf numFmtId="0" fontId="6" fillId="40" borderId="91" xfId="50" applyFill="1" applyBorder="1"/>
    <xf numFmtId="0" fontId="405" fillId="40" borderId="91" xfId="50" applyFont="1" applyFill="1" applyBorder="1" applyAlignment="1"/>
    <xf numFmtId="0" fontId="405" fillId="40" borderId="92" xfId="50" applyFont="1" applyFill="1" applyBorder="1" applyAlignment="1">
      <alignment horizontal="center"/>
    </xf>
    <xf numFmtId="0" fontId="405" fillId="40" borderId="93" xfId="50" applyFont="1" applyFill="1" applyBorder="1" applyAlignment="1">
      <alignment horizontal="center"/>
    </xf>
    <xf numFmtId="0" fontId="405" fillId="40" borderId="94" xfId="50" applyFont="1" applyFill="1" applyBorder="1" applyAlignment="1">
      <alignment horizontal="center"/>
    </xf>
    <xf numFmtId="0" fontId="6" fillId="36" borderId="0" xfId="50" applyFont="1" applyFill="1"/>
    <xf numFmtId="0" fontId="6" fillId="0" borderId="92" xfId="50" applyBorder="1" applyAlignment="1">
      <alignment horizontal="center"/>
    </xf>
    <xf numFmtId="0" fontId="6" fillId="0" borderId="94" xfId="50" applyBorder="1" applyAlignment="1">
      <alignment horizontal="center"/>
    </xf>
    <xf numFmtId="0" fontId="6" fillId="0" borderId="0" xfId="50" applyFill="1" applyBorder="1" applyAlignment="1">
      <alignment horizontal="center" wrapText="1"/>
    </xf>
    <xf numFmtId="0" fontId="6" fillId="39" borderId="91" xfId="50" applyFill="1" applyBorder="1"/>
    <xf numFmtId="0" fontId="6" fillId="39" borderId="95" xfId="50" applyFill="1" applyBorder="1" applyAlignment="1">
      <alignment horizontal="center" wrapText="1"/>
    </xf>
    <xf numFmtId="0" fontId="6" fillId="39" borderId="96" xfId="50" applyFill="1" applyBorder="1" applyAlignment="1">
      <alignment horizontal="center" wrapText="1"/>
    </xf>
    <xf numFmtId="0" fontId="6" fillId="39" borderId="97" xfId="50" applyFill="1" applyBorder="1" applyAlignment="1">
      <alignment horizontal="center" wrapText="1"/>
    </xf>
    <xf numFmtId="0" fontId="6" fillId="39" borderId="98" xfId="50" applyFont="1" applyFill="1" applyBorder="1" applyAlignment="1">
      <alignment horizontal="center" wrapText="1"/>
    </xf>
    <xf numFmtId="0" fontId="6" fillId="40" borderId="0" xfId="50" applyFill="1"/>
    <xf numFmtId="0" fontId="405" fillId="40" borderId="0" xfId="50" applyFont="1" applyFill="1"/>
    <xf numFmtId="0" fontId="405" fillId="0" borderId="0" xfId="50" applyFont="1"/>
    <xf numFmtId="0" fontId="6" fillId="0" borderId="0" xfId="50" applyFill="1" applyAlignment="1">
      <alignment horizontal="center" wrapText="1"/>
    </xf>
    <xf numFmtId="0" fontId="6" fillId="39" borderId="91" xfId="50" applyFont="1" applyFill="1" applyBorder="1" applyAlignment="1">
      <alignment horizontal="center"/>
    </xf>
    <xf numFmtId="0" fontId="6" fillId="39" borderId="91" xfId="50" applyFont="1" applyFill="1" applyBorder="1" applyAlignment="1">
      <alignment horizontal="center" wrapText="1"/>
    </xf>
    <xf numFmtId="0" fontId="405" fillId="40" borderId="0" xfId="50" applyFont="1" applyFill="1" applyBorder="1" applyAlignment="1">
      <alignment horizontal="center" wrapText="1"/>
    </xf>
    <xf numFmtId="0" fontId="6" fillId="39" borderId="91" xfId="50" applyFill="1" applyBorder="1" applyAlignment="1"/>
    <xf numFmtId="0" fontId="6" fillId="39" borderId="91" xfId="50" applyFont="1" applyFill="1" applyBorder="1" applyAlignment="1">
      <alignment wrapText="1"/>
    </xf>
    <xf numFmtId="0" fontId="6" fillId="0" borderId="91" xfId="50" applyFont="1" applyFill="1" applyBorder="1" applyAlignment="1">
      <alignment wrapText="1"/>
    </xf>
    <xf numFmtId="0" fontId="6" fillId="0" borderId="91" xfId="50" applyFont="1" applyFill="1" applyBorder="1" applyAlignment="1">
      <alignment horizontal="center"/>
    </xf>
    <xf numFmtId="0" fontId="405" fillId="40" borderId="0" xfId="50" applyFont="1" applyFill="1" applyAlignment="1"/>
    <xf numFmtId="0" fontId="6" fillId="0" borderId="91" xfId="50" applyFont="1" applyBorder="1" applyAlignment="1">
      <alignment wrapText="1"/>
    </xf>
    <xf numFmtId="0" fontId="6" fillId="0" borderId="91" xfId="50" applyFont="1" applyFill="1" applyBorder="1" applyAlignment="1">
      <alignment horizontal="center" wrapText="1"/>
    </xf>
    <xf numFmtId="0" fontId="6" fillId="39" borderId="99" xfId="50" applyFont="1" applyFill="1" applyBorder="1"/>
    <xf numFmtId="0" fontId="6" fillId="39" borderId="99" xfId="50" applyFont="1" applyFill="1" applyBorder="1" applyAlignment="1">
      <alignment horizontal="center" wrapText="1"/>
    </xf>
    <xf numFmtId="0" fontId="405" fillId="40" borderId="92" xfId="50" applyFont="1" applyFill="1" applyBorder="1" applyAlignment="1">
      <alignment horizontal="center" wrapText="1"/>
    </xf>
    <xf numFmtId="0" fontId="405" fillId="40" borderId="93" xfId="50" applyFont="1" applyFill="1" applyBorder="1" applyAlignment="1">
      <alignment horizontal="center" wrapText="1"/>
    </xf>
    <xf numFmtId="0" fontId="405" fillId="40" borderId="94" xfId="50" applyFont="1" applyFill="1" applyBorder="1" applyAlignment="1">
      <alignment horizontal="center" wrapText="1"/>
    </xf>
    <xf numFmtId="0" fontId="405" fillId="40" borderId="91" xfId="50" applyFont="1" applyFill="1" applyBorder="1" applyAlignment="1">
      <alignment horizontal="center" wrapText="1"/>
    </xf>
    <xf numFmtId="0" fontId="6" fillId="41" borderId="0" xfId="50" applyFill="1"/>
    <xf numFmtId="0" fontId="406" fillId="40" borderId="100" xfId="50" applyFont="1" applyFill="1" applyBorder="1" applyAlignment="1">
      <alignment horizontal="center" wrapText="1"/>
    </xf>
    <xf numFmtId="0" fontId="6" fillId="0" borderId="91" xfId="50" applyFont="1" applyFill="1" applyBorder="1"/>
    <xf numFmtId="0" fontId="405" fillId="37" borderId="92" xfId="50" applyFont="1" applyFill="1" applyBorder="1" applyAlignment="1">
      <alignment horizontal="center"/>
    </xf>
    <xf numFmtId="0" fontId="405" fillId="37" borderId="93" xfId="50" applyFont="1" applyFill="1" applyBorder="1" applyAlignment="1">
      <alignment horizontal="center"/>
    </xf>
    <xf numFmtId="0" fontId="405" fillId="37" borderId="94" xfId="50" applyFont="1" applyFill="1" applyBorder="1" applyAlignment="1">
      <alignment horizontal="center"/>
    </xf>
    <xf numFmtId="0" fontId="6" fillId="42" borderId="91" xfId="50" applyFont="1" applyFill="1" applyBorder="1"/>
    <xf numFmtId="0" fontId="6" fillId="42" borderId="99" xfId="50" applyFill="1" applyBorder="1" applyAlignment="1">
      <alignment horizontal="center" wrapText="1"/>
    </xf>
    <xf numFmtId="0" fontId="6" fillId="42" borderId="92" xfId="50" applyFill="1" applyBorder="1" applyAlignment="1">
      <alignment horizontal="center"/>
    </xf>
    <xf numFmtId="0" fontId="6" fillId="42" borderId="93" xfId="50" applyFill="1" applyBorder="1" applyAlignment="1">
      <alignment horizontal="center"/>
    </xf>
    <xf numFmtId="0" fontId="6" fillId="42" borderId="94" xfId="50" applyFont="1" applyFill="1" applyBorder="1" applyAlignment="1">
      <alignment horizontal="center"/>
    </xf>
    <xf numFmtId="0" fontId="6" fillId="42" borderId="101" xfId="50" applyFont="1" applyFill="1" applyBorder="1" applyAlignment="1">
      <alignment horizontal="center" wrapText="1"/>
    </xf>
    <xf numFmtId="0" fontId="6" fillId="43" borderId="0" xfId="50" applyFill="1" applyBorder="1"/>
    <xf numFmtId="0" fontId="407" fillId="40" borderId="100" xfId="50" applyFont="1" applyFill="1" applyBorder="1" applyAlignment="1">
      <alignment horizontal="center"/>
    </xf>
    <xf numFmtId="0" fontId="407" fillId="40" borderId="96" xfId="50" applyFont="1" applyFill="1" applyBorder="1" applyAlignment="1">
      <alignment horizontal="center"/>
    </xf>
    <xf numFmtId="0" fontId="6" fillId="42" borderId="99" xfId="50" applyFill="1" applyBorder="1"/>
    <xf numFmtId="0" fontId="6" fillId="42" borderId="100" xfId="50" applyFill="1" applyBorder="1"/>
    <xf numFmtId="0" fontId="6" fillId="42" borderId="100" xfId="50" applyFill="1" applyBorder="1" applyAlignment="1">
      <alignment horizontal="center" wrapText="1"/>
    </xf>
    <xf numFmtId="0" fontId="6" fillId="42" borderId="96" xfId="50" applyFont="1" applyFill="1" applyBorder="1" applyAlignment="1">
      <alignment horizontal="center" wrapText="1"/>
    </xf>
    <xf numFmtId="0" fontId="6" fillId="43" borderId="0" xfId="50" applyFill="1" applyBorder="1" applyAlignment="1">
      <alignment horizontal="center"/>
    </xf>
    <xf numFmtId="0" fontId="6" fillId="42" borderId="93" xfId="50" applyFill="1" applyBorder="1"/>
    <xf numFmtId="0" fontId="6" fillId="42" borderId="93" xfId="50" applyFill="1" applyBorder="1" applyAlignment="1">
      <alignment horizontal="center" wrapText="1"/>
    </xf>
    <xf numFmtId="0" fontId="6" fillId="42" borderId="94" xfId="50" applyFont="1" applyFill="1" applyBorder="1" applyAlignment="1">
      <alignment horizontal="center" wrapText="1"/>
    </xf>
    <xf numFmtId="0" fontId="6" fillId="42" borderId="102" xfId="50" applyFill="1" applyBorder="1"/>
    <xf numFmtId="0" fontId="6" fillId="42" borderId="92" xfId="50" applyFill="1" applyBorder="1" applyAlignment="1">
      <alignment horizontal="center" wrapText="1"/>
    </xf>
    <xf numFmtId="0" fontId="6" fillId="42" borderId="92" xfId="50" applyFill="1" applyBorder="1" applyAlignment="1">
      <alignment horizontal="center" wrapText="1" shrinkToFit="1"/>
    </xf>
    <xf numFmtId="0" fontId="6" fillId="42" borderId="93" xfId="50" applyFill="1" applyBorder="1" applyAlignment="1">
      <alignment horizontal="center" wrapText="1" shrinkToFit="1"/>
    </xf>
    <xf numFmtId="0" fontId="6" fillId="42" borderId="94" xfId="50" applyFont="1" applyFill="1" applyBorder="1" applyAlignment="1">
      <alignment horizontal="center" wrapText="1" shrinkToFit="1"/>
    </xf>
    <xf numFmtId="0" fontId="6" fillId="40" borderId="92" xfId="50" applyFill="1" applyBorder="1" applyAlignment="1">
      <alignment horizontal="center" wrapText="1"/>
    </xf>
    <xf numFmtId="0" fontId="6" fillId="40" borderId="93" xfId="50" applyFill="1" applyBorder="1" applyAlignment="1">
      <alignment horizontal="center" wrapText="1"/>
    </xf>
    <xf numFmtId="0" fontId="6" fillId="40" borderId="94" xfId="50" applyFont="1" applyFill="1" applyBorder="1" applyAlignment="1">
      <alignment horizontal="center" wrapText="1"/>
    </xf>
    <xf numFmtId="0" fontId="6" fillId="42" borderId="91" xfId="50" applyFont="1" applyFill="1" applyBorder="1" applyAlignment="1">
      <alignment wrapText="1"/>
    </xf>
    <xf numFmtId="0" fontId="6" fillId="40" borderId="92" xfId="50" applyFill="1" applyBorder="1"/>
    <xf numFmtId="0" fontId="6" fillId="40" borderId="94" xfId="50" applyFont="1" applyFill="1" applyBorder="1"/>
    <xf numFmtId="0" fontId="6" fillId="0" borderId="0" xfId="50" applyBorder="1"/>
    <xf numFmtId="0" fontId="6" fillId="36" borderId="91" xfId="50" applyFont="1" applyFill="1" applyBorder="1"/>
    <xf numFmtId="0" fontId="6" fillId="44" borderId="91" xfId="50" applyFont="1" applyFill="1" applyBorder="1"/>
    <xf numFmtId="0" fontId="6" fillId="39" borderId="99" xfId="50" applyFill="1" applyBorder="1" applyAlignment="1">
      <alignment wrapText="1"/>
    </xf>
    <xf numFmtId="0" fontId="6" fillId="39" borderId="92" xfId="50" applyFill="1" applyBorder="1" applyAlignment="1">
      <alignment horizontal="center"/>
    </xf>
    <xf numFmtId="0" fontId="6" fillId="39" borderId="93" xfId="50" applyFill="1" applyBorder="1" applyAlignment="1">
      <alignment horizontal="center"/>
    </xf>
    <xf numFmtId="0" fontId="6" fillId="39" borderId="94" xfId="50" applyFont="1" applyFill="1" applyBorder="1" applyAlignment="1">
      <alignment horizontal="center"/>
    </xf>
    <xf numFmtId="0" fontId="6" fillId="39" borderId="101" xfId="50" applyFont="1" applyFill="1" applyBorder="1" applyAlignment="1">
      <alignment horizontal="center" wrapText="1"/>
    </xf>
    <xf numFmtId="0" fontId="6" fillId="39" borderId="101" xfId="50" applyFont="1" applyFill="1" applyBorder="1" applyAlignment="1">
      <alignment wrapText="1"/>
    </xf>
    <xf numFmtId="0" fontId="6" fillId="40" borderId="100" xfId="50" applyFont="1" applyFill="1" applyBorder="1" applyAlignment="1">
      <alignment horizontal="center" wrapText="1"/>
    </xf>
    <xf numFmtId="0" fontId="6" fillId="45" borderId="0" xfId="50" applyFill="1"/>
    <xf numFmtId="0" fontId="408" fillId="45" borderId="0" xfId="50" applyFont="1" applyFill="1"/>
    <xf numFmtId="0" fontId="6" fillId="46" borderId="0" xfId="50" applyFill="1"/>
    <xf numFmtId="0" fontId="81" fillId="46" borderId="0" xfId="50" applyFont="1" applyFill="1"/>
    <xf numFmtId="0" fontId="6" fillId="0" borderId="0" xfId="50" applyBorder="1" applyAlignment="1"/>
    <xf numFmtId="0" fontId="6" fillId="43" borderId="0" xfId="50" applyFill="1" applyBorder="1" applyAlignment="1"/>
    <xf numFmtId="0" fontId="6" fillId="0" borderId="0" xfId="50" applyFont="1" applyFill="1" applyBorder="1"/>
    <xf numFmtId="0" fontId="6" fillId="36" borderId="101" xfId="50" applyFill="1" applyBorder="1"/>
    <xf numFmtId="0" fontId="6" fillId="39" borderId="91" xfId="50" applyFont="1" applyFill="1" applyBorder="1" applyAlignment="1">
      <alignment horizontal="left"/>
    </xf>
    <xf numFmtId="0" fontId="405" fillId="40" borderId="100" xfId="50" applyFont="1" applyFill="1" applyBorder="1" applyAlignment="1">
      <alignment horizontal="left"/>
    </xf>
    <xf numFmtId="0" fontId="6" fillId="42" borderId="100" xfId="50" applyFill="1" applyBorder="1" applyAlignment="1">
      <alignment horizontal="center"/>
    </xf>
    <xf numFmtId="0" fontId="6" fillId="42" borderId="96" xfId="50" applyFont="1" applyFill="1" applyBorder="1" applyAlignment="1">
      <alignment horizontal="left"/>
    </xf>
    <xf numFmtId="0" fontId="6" fillId="42" borderId="93" xfId="50" applyFill="1" applyBorder="1" applyAlignment="1">
      <alignment horizontal="left"/>
    </xf>
    <xf numFmtId="0" fontId="6" fillId="42" borderId="94" xfId="50" applyFont="1" applyFill="1" applyBorder="1" applyAlignment="1">
      <alignment horizontal="left"/>
    </xf>
    <xf numFmtId="0" fontId="6" fillId="42" borderId="92" xfId="50" applyFill="1" applyBorder="1" applyAlignment="1">
      <alignment horizontal="left"/>
    </xf>
    <xf numFmtId="0" fontId="6" fillId="40" borderId="97" xfId="50" applyFill="1" applyBorder="1" applyAlignment="1">
      <alignment horizontal="center" wrapText="1"/>
    </xf>
    <xf numFmtId="0" fontId="6" fillId="40" borderId="103" xfId="50" applyFill="1" applyBorder="1" applyAlignment="1">
      <alignment horizontal="center" wrapText="1"/>
    </xf>
    <xf numFmtId="0" fontId="6" fillId="40" borderId="98" xfId="50" applyFont="1" applyFill="1" applyBorder="1" applyAlignment="1">
      <alignment horizontal="left"/>
    </xf>
    <xf numFmtId="0" fontId="6" fillId="40" borderId="91" xfId="50" applyFont="1" applyFill="1" applyBorder="1" applyAlignment="1">
      <alignment horizontal="left"/>
    </xf>
    <xf numFmtId="0" fontId="6" fillId="40" borderId="92" xfId="50" applyFill="1" applyBorder="1" applyAlignment="1">
      <alignment horizontal="center"/>
    </xf>
    <xf numFmtId="0" fontId="6" fillId="40" borderId="94" xfId="50" applyFont="1" applyFill="1" applyBorder="1" applyAlignment="1">
      <alignment horizontal="left"/>
    </xf>
    <xf numFmtId="0" fontId="6" fillId="40" borderId="92" xfId="50" applyFill="1" applyBorder="1" applyAlignment="1">
      <alignment horizontal="left"/>
    </xf>
    <xf numFmtId="0" fontId="262" fillId="0" borderId="0" xfId="50" applyFont="1"/>
    <xf numFmtId="0" fontId="262" fillId="0" borderId="91" xfId="50" applyFont="1" applyBorder="1"/>
    <xf numFmtId="0" fontId="3" fillId="0" borderId="91" xfId="50" applyFont="1" applyBorder="1"/>
    <xf numFmtId="0" fontId="262" fillId="0" borderId="0" xfId="50" applyFont="1" applyAlignment="1">
      <alignment wrapText="1" shrinkToFit="1"/>
    </xf>
    <xf numFmtId="0" fontId="6" fillId="0" borderId="104" xfId="50" applyBorder="1"/>
    <xf numFmtId="0" fontId="6" fillId="0" borderId="105" xfId="50" applyBorder="1" applyAlignment="1">
      <alignment horizontal="center"/>
    </xf>
    <xf numFmtId="0" fontId="6" fillId="0" borderId="105" xfId="50" applyBorder="1" applyAlignment="1">
      <alignment horizontal="center" wrapText="1"/>
    </xf>
    <xf numFmtId="0" fontId="6" fillId="0" borderId="106" xfId="50" applyFont="1" applyBorder="1" applyAlignment="1">
      <alignment horizontal="center" wrapText="1"/>
    </xf>
    <xf numFmtId="0" fontId="6" fillId="0" borderId="107" xfId="50" applyFont="1" applyBorder="1"/>
    <xf numFmtId="0" fontId="6" fillId="0" borderId="108" xfId="50" applyBorder="1" applyAlignment="1">
      <alignment horizontal="center"/>
    </xf>
    <xf numFmtId="0" fontId="6" fillId="0" borderId="107" xfId="50" applyBorder="1" applyAlignment="1">
      <alignment horizontal="center"/>
    </xf>
    <xf numFmtId="0" fontId="6" fillId="0" borderId="108" xfId="50" applyFont="1" applyBorder="1" applyAlignment="1">
      <alignment horizontal="left"/>
    </xf>
    <xf numFmtId="0" fontId="6" fillId="47" borderId="109" xfId="50" applyFill="1" applyBorder="1" applyAlignment="1">
      <alignment horizontal="center"/>
    </xf>
    <xf numFmtId="0" fontId="6" fillId="47" borderId="110" xfId="50" applyFill="1" applyBorder="1" applyAlignment="1">
      <alignment horizontal="center"/>
    </xf>
    <xf numFmtId="0" fontId="6" fillId="47" borderId="111" xfId="50" applyFont="1" applyFill="1" applyBorder="1" applyAlignment="1">
      <alignment horizontal="left"/>
    </xf>
    <xf numFmtId="0" fontId="405" fillId="39" borderId="91" xfId="50" applyFont="1" applyFill="1" applyBorder="1" applyAlignment="1">
      <alignment horizontal="left"/>
    </xf>
    <xf numFmtId="0" fontId="6" fillId="0" borderId="112" xfId="50" applyBorder="1" applyAlignment="1">
      <alignment horizontal="center"/>
    </xf>
    <xf numFmtId="0" fontId="6" fillId="0" borderId="113" xfId="50" applyBorder="1" applyAlignment="1">
      <alignment horizontal="center"/>
    </xf>
    <xf numFmtId="0" fontId="6" fillId="0" borderId="105" xfId="50" applyBorder="1"/>
    <xf numFmtId="0" fontId="6" fillId="0" borderId="106" xfId="50" applyFont="1" applyBorder="1" applyAlignment="1">
      <alignment horizontal="center"/>
    </xf>
    <xf numFmtId="0" fontId="6" fillId="0" borderId="95" xfId="50" applyBorder="1" applyAlignment="1">
      <alignment horizontal="center"/>
    </xf>
    <xf numFmtId="0" fontId="405" fillId="40" borderId="94" xfId="50" applyFont="1" applyFill="1" applyBorder="1" applyAlignment="1">
      <alignment horizontal="left"/>
    </xf>
    <xf numFmtId="0" fontId="6" fillId="0" borderId="97" xfId="50" applyBorder="1" applyAlignment="1">
      <alignment horizontal="center"/>
    </xf>
    <xf numFmtId="0" fontId="6" fillId="47" borderId="109" xfId="50" applyFont="1" applyFill="1" applyBorder="1" applyAlignment="1">
      <alignment horizontal="center" wrapText="1"/>
    </xf>
    <xf numFmtId="0" fontId="6" fillId="47" borderId="110" xfId="50" applyFont="1" applyFill="1" applyBorder="1" applyAlignment="1">
      <alignment horizontal="center" wrapText="1"/>
    </xf>
    <xf numFmtId="0" fontId="6" fillId="0" borderId="91" xfId="50" applyFont="1" applyBorder="1" applyAlignment="1">
      <alignment horizontal="left"/>
    </xf>
    <xf numFmtId="0" fontId="6" fillId="48" borderId="91" xfId="50" applyFill="1" applyBorder="1" applyAlignment="1">
      <alignment horizontal="center"/>
    </xf>
    <xf numFmtId="0" fontId="6" fillId="48" borderId="91" xfId="50" applyFill="1" applyBorder="1"/>
    <xf numFmtId="0" fontId="6" fillId="48" borderId="91" xfId="50" applyFont="1" applyFill="1" applyBorder="1" applyAlignment="1">
      <alignment horizontal="left"/>
    </xf>
    <xf numFmtId="0" fontId="6" fillId="40" borderId="91" xfId="50" applyFill="1" applyBorder="1" applyAlignment="1">
      <alignment horizontal="center"/>
    </xf>
    <xf numFmtId="0" fontId="405" fillId="40" borderId="100" xfId="50" applyFont="1" applyFill="1" applyBorder="1" applyAlignment="1">
      <alignment horizontal="center" wrapText="1" shrinkToFit="1"/>
    </xf>
    <xf numFmtId="0" fontId="405" fillId="40" borderId="100" xfId="50" applyFont="1" applyFill="1" applyBorder="1" applyAlignment="1">
      <alignment horizontal="left" shrinkToFit="1"/>
    </xf>
    <xf numFmtId="0" fontId="405" fillId="40" borderId="91" xfId="50" applyFont="1" applyFill="1" applyBorder="1" applyAlignment="1">
      <alignment horizontal="left"/>
    </xf>
    <xf numFmtId="0" fontId="406" fillId="40" borderId="100" xfId="50" applyFont="1" applyFill="1" applyBorder="1" applyAlignment="1">
      <alignment horizontal="left"/>
    </xf>
    <xf numFmtId="0" fontId="405" fillId="37" borderId="94" xfId="50" applyFont="1" applyFill="1" applyBorder="1" applyAlignment="1">
      <alignment horizontal="left"/>
    </xf>
    <xf numFmtId="0" fontId="6" fillId="49" borderId="0" xfId="50" applyFill="1"/>
    <xf numFmtId="0" fontId="6" fillId="47" borderId="91" xfId="50" applyFont="1" applyFill="1" applyBorder="1"/>
    <xf numFmtId="0" fontId="4" fillId="0" borderId="0" xfId="50" applyFont="1" applyFill="1"/>
    <xf numFmtId="0" fontId="4" fillId="0" borderId="0" xfId="50" applyFont="1"/>
    <xf numFmtId="0" fontId="4" fillId="0" borderId="0" xfId="50" applyNumberFormat="1" applyFont="1"/>
    <xf numFmtId="0" fontId="6" fillId="37" borderId="91" xfId="50" applyFont="1" applyFill="1" applyBorder="1"/>
    <xf numFmtId="0" fontId="6" fillId="0" borderId="0" xfId="50" applyNumberFormat="1"/>
    <xf numFmtId="0" fontId="6" fillId="37" borderId="99" xfId="50" applyFont="1" applyFill="1" applyBorder="1"/>
    <xf numFmtId="0" fontId="6" fillId="37" borderId="99" xfId="50" applyFont="1" applyFill="1" applyBorder="1" applyAlignment="1">
      <alignment wrapText="1"/>
    </xf>
    <xf numFmtId="0" fontId="409" fillId="41" borderId="92" xfId="50" applyFont="1" applyFill="1" applyBorder="1" applyAlignment="1"/>
    <xf numFmtId="0" fontId="409" fillId="41" borderId="93" xfId="50" applyFont="1" applyFill="1" applyBorder="1" applyAlignment="1"/>
    <xf numFmtId="0" fontId="409" fillId="41" borderId="94" xfId="50" applyFont="1" applyFill="1" applyBorder="1" applyAlignment="1"/>
    <xf numFmtId="0" fontId="6" fillId="41" borderId="91" xfId="50" applyFill="1" applyBorder="1"/>
    <xf numFmtId="0" fontId="6" fillId="41" borderId="92" xfId="50" applyFill="1" applyBorder="1" applyAlignment="1">
      <alignment horizontal="center"/>
    </xf>
    <xf numFmtId="0" fontId="6" fillId="41" borderId="93" xfId="50" applyFill="1" applyBorder="1" applyAlignment="1">
      <alignment horizontal="center"/>
    </xf>
    <xf numFmtId="0" fontId="6" fillId="41" borderId="94" xfId="50" applyFont="1" applyFill="1" applyBorder="1" applyAlignment="1">
      <alignment horizontal="left"/>
    </xf>
    <xf numFmtId="0" fontId="6" fillId="41" borderId="92" xfId="50" applyFill="1" applyBorder="1" applyAlignment="1">
      <alignment horizontal="left"/>
    </xf>
    <xf numFmtId="0" fontId="6" fillId="41" borderId="93" xfId="50" applyFill="1" applyBorder="1" applyAlignment="1">
      <alignment horizontal="left"/>
    </xf>
    <xf numFmtId="0" fontId="6" fillId="41" borderId="97" xfId="50" applyFill="1" applyBorder="1" applyAlignment="1">
      <alignment horizontal="center"/>
    </xf>
    <xf numFmtId="0" fontId="6" fillId="41" borderId="103" xfId="50" applyFill="1" applyBorder="1" applyAlignment="1">
      <alignment horizontal="center"/>
    </xf>
    <xf numFmtId="0" fontId="6" fillId="41" borderId="98" xfId="50" applyFont="1" applyFill="1" applyBorder="1" applyAlignment="1">
      <alignment horizontal="left"/>
    </xf>
    <xf numFmtId="2" fontId="6" fillId="37" borderId="91" xfId="50" applyNumberFormat="1" applyFont="1" applyFill="1" applyBorder="1"/>
    <xf numFmtId="0" fontId="6" fillId="0" borderId="0" xfId="50" applyFill="1" applyBorder="1"/>
    <xf numFmtId="0" fontId="409" fillId="41" borderId="91" xfId="50" applyFont="1" applyFill="1" applyBorder="1"/>
    <xf numFmtId="0" fontId="409" fillId="41" borderId="92" xfId="50" applyFont="1" applyFill="1" applyBorder="1" applyAlignment="1">
      <alignment horizontal="center"/>
    </xf>
    <xf numFmtId="0" fontId="409" fillId="41" borderId="93" xfId="50" applyFont="1" applyFill="1" applyBorder="1" applyAlignment="1">
      <alignment horizontal="center"/>
    </xf>
    <xf numFmtId="0" fontId="409" fillId="41" borderId="94" xfId="50" applyFont="1" applyFill="1" applyBorder="1" applyAlignment="1">
      <alignment horizontal="left"/>
    </xf>
    <xf numFmtId="0" fontId="6" fillId="0" borderId="91" xfId="50" applyFont="1" applyBorder="1" applyAlignment="1">
      <alignment textRotation="90"/>
    </xf>
    <xf numFmtId="0" fontId="404" fillId="0" borderId="91" xfId="50" applyFont="1" applyBorder="1" applyAlignment="1">
      <alignment wrapText="1"/>
    </xf>
    <xf numFmtId="0" fontId="409" fillId="0" borderId="0" xfId="50" applyFont="1"/>
    <xf numFmtId="0" fontId="2" fillId="0" borderId="0" xfId="50" applyFont="1"/>
    <xf numFmtId="2" fontId="42" fillId="0" borderId="0" xfId="50" applyNumberFormat="1" applyFont="1"/>
    <xf numFmtId="2" fontId="6" fillId="46" borderId="0" xfId="50" applyNumberFormat="1" applyFill="1"/>
    <xf numFmtId="0" fontId="6" fillId="0" borderId="0" xfId="50" applyProtection="1">
      <protection hidden="1"/>
    </xf>
    <xf numFmtId="2" fontId="6" fillId="0" borderId="0" xfId="50" applyNumberFormat="1" applyProtection="1">
      <protection hidden="1"/>
    </xf>
    <xf numFmtId="2" fontId="6" fillId="0" borderId="91" xfId="50" applyNumberFormat="1" applyBorder="1" applyProtection="1">
      <protection hidden="1"/>
    </xf>
    <xf numFmtId="0" fontId="107" fillId="0" borderId="91" xfId="50" applyFont="1" applyFill="1" applyBorder="1" applyAlignment="1" applyProtection="1">
      <alignment horizontal="center"/>
      <protection hidden="1"/>
    </xf>
    <xf numFmtId="2" fontId="2" fillId="0" borderId="0" xfId="50" applyNumberFormat="1" applyFont="1" applyAlignment="1" applyProtection="1">
      <alignment horizontal="center"/>
      <protection hidden="1"/>
    </xf>
    <xf numFmtId="0" fontId="6" fillId="0" borderId="0" xfId="50" applyFill="1" applyProtection="1">
      <protection hidden="1"/>
    </xf>
    <xf numFmtId="2" fontId="4" fillId="0" borderId="0" xfId="50" applyNumberFormat="1" applyFont="1" applyBorder="1" applyProtection="1">
      <protection hidden="1"/>
    </xf>
    <xf numFmtId="0" fontId="271" fillId="0" borderId="0" xfId="50" applyFont="1" applyBorder="1" applyAlignment="1" applyProtection="1">
      <alignment wrapText="1"/>
      <protection hidden="1"/>
    </xf>
    <xf numFmtId="0" fontId="6" fillId="44" borderId="0" xfId="50" applyFill="1" applyProtection="1">
      <protection hidden="1"/>
    </xf>
    <xf numFmtId="2" fontId="4" fillId="44" borderId="0" xfId="50" applyNumberFormat="1" applyFont="1" applyFill="1" applyBorder="1" applyProtection="1">
      <protection hidden="1"/>
    </xf>
    <xf numFmtId="0" fontId="271" fillId="44" borderId="0" xfId="50" applyFont="1" applyFill="1" applyBorder="1" applyAlignment="1" applyProtection="1">
      <alignment wrapText="1"/>
      <protection hidden="1"/>
    </xf>
    <xf numFmtId="0" fontId="4" fillId="44" borderId="0" xfId="50" applyFont="1" applyFill="1" applyProtection="1">
      <protection hidden="1"/>
    </xf>
    <xf numFmtId="2" fontId="4" fillId="0" borderId="91" xfId="50" applyNumberFormat="1" applyFont="1" applyBorder="1" applyProtection="1">
      <protection hidden="1"/>
    </xf>
    <xf numFmtId="0" fontId="271" fillId="0" borderId="91" xfId="50" applyFont="1" applyBorder="1" applyAlignment="1" applyProtection="1">
      <alignment wrapText="1"/>
      <protection hidden="1"/>
    </xf>
    <xf numFmtId="0" fontId="4" fillId="0" borderId="0" xfId="50" applyFont="1" applyProtection="1">
      <protection hidden="1"/>
    </xf>
    <xf numFmtId="0" fontId="410" fillId="0" borderId="0" xfId="50" applyFont="1" applyAlignment="1" applyProtection="1">
      <alignment wrapText="1"/>
      <protection hidden="1"/>
    </xf>
    <xf numFmtId="2" fontId="4" fillId="0" borderId="0" xfId="50" applyNumberFormat="1" applyFont="1" applyProtection="1">
      <protection hidden="1"/>
    </xf>
    <xf numFmtId="0" fontId="411" fillId="0" borderId="0" xfId="50" applyFont="1" applyAlignment="1" applyProtection="1">
      <alignment wrapText="1"/>
      <protection hidden="1"/>
    </xf>
    <xf numFmtId="0" fontId="6" fillId="0" borderId="0" xfId="50" applyAlignment="1" applyProtection="1">
      <alignment wrapText="1"/>
      <protection hidden="1"/>
    </xf>
    <xf numFmtId="0" fontId="6" fillId="43" borderId="91" xfId="50" applyFont="1" applyFill="1" applyBorder="1" applyAlignment="1" applyProtection="1">
      <alignment wrapText="1"/>
      <protection hidden="1"/>
    </xf>
    <xf numFmtId="0" fontId="4" fillId="0" borderId="91" xfId="50" applyFont="1" applyFill="1" applyBorder="1" applyProtection="1">
      <protection hidden="1"/>
    </xf>
    <xf numFmtId="0" fontId="4" fillId="0" borderId="0" xfId="50" applyFont="1" applyFill="1" applyProtection="1">
      <protection hidden="1"/>
    </xf>
    <xf numFmtId="0" fontId="9" fillId="0" borderId="0" xfId="50" applyFont="1" applyProtection="1">
      <protection hidden="1"/>
    </xf>
    <xf numFmtId="0" fontId="222" fillId="0" borderId="0" xfId="50" applyFont="1" applyProtection="1">
      <protection hidden="1"/>
    </xf>
    <xf numFmtId="0" fontId="6" fillId="0" borderId="0" xfId="50" applyFont="1" applyProtection="1">
      <protection hidden="1"/>
    </xf>
    <xf numFmtId="0" fontId="207" fillId="0" borderId="0" xfId="50" applyFont="1" applyProtection="1">
      <protection hidden="1"/>
    </xf>
    <xf numFmtId="0" fontId="6" fillId="37" borderId="0" xfId="50" applyFont="1" applyFill="1" applyProtection="1">
      <protection hidden="1"/>
    </xf>
    <xf numFmtId="0" fontId="328" fillId="0" borderId="0" xfId="50" applyFont="1" applyProtection="1">
      <protection hidden="1"/>
    </xf>
    <xf numFmtId="0" fontId="39" fillId="0" borderId="0" xfId="50" applyFont="1" applyProtection="1">
      <protection hidden="1"/>
    </xf>
    <xf numFmtId="0" fontId="6" fillId="0" borderId="0" xfId="50" applyBorder="1" applyProtection="1">
      <protection hidden="1"/>
    </xf>
    <xf numFmtId="0" fontId="6" fillId="0" borderId="0" xfId="50" applyFill="1" applyBorder="1" applyProtection="1">
      <protection hidden="1"/>
    </xf>
    <xf numFmtId="0" fontId="6" fillId="37" borderId="91" xfId="50" applyFont="1" applyFill="1" applyBorder="1" applyProtection="1">
      <protection hidden="1"/>
    </xf>
    <xf numFmtId="0" fontId="4" fillId="37" borderId="91" xfId="50" applyFont="1" applyFill="1" applyBorder="1" applyProtection="1">
      <protection hidden="1"/>
    </xf>
    <xf numFmtId="0" fontId="2" fillId="0" borderId="0" xfId="50" applyFont="1" applyBorder="1" applyProtection="1">
      <protection hidden="1"/>
    </xf>
    <xf numFmtId="0" fontId="39" fillId="0" borderId="0" xfId="50" applyFont="1" applyAlignment="1" applyProtection="1">
      <alignment horizontal="center"/>
      <protection hidden="1"/>
    </xf>
    <xf numFmtId="0" fontId="222" fillId="0" borderId="0" xfId="50" applyFont="1" applyAlignment="1" applyProtection="1">
      <alignment wrapText="1"/>
      <protection hidden="1"/>
    </xf>
    <xf numFmtId="0" fontId="4" fillId="0" borderId="0" xfId="50" applyFont="1" applyFill="1" applyBorder="1" applyProtection="1">
      <protection hidden="1"/>
    </xf>
    <xf numFmtId="0" fontId="6" fillId="37" borderId="101" xfId="50" applyFill="1" applyBorder="1" applyProtection="1">
      <protection hidden="1"/>
    </xf>
    <xf numFmtId="168" fontId="4" fillId="0" borderId="91" xfId="50" applyNumberFormat="1" applyFont="1" applyFill="1" applyBorder="1" applyProtection="1">
      <protection hidden="1"/>
    </xf>
    <xf numFmtId="169" fontId="4" fillId="0" borderId="91" xfId="50" applyNumberFormat="1" applyFont="1" applyFill="1" applyBorder="1" applyProtection="1">
      <protection hidden="1"/>
    </xf>
    <xf numFmtId="0" fontId="343" fillId="0" borderId="0" xfId="50" applyFont="1" applyProtection="1">
      <protection hidden="1"/>
    </xf>
    <xf numFmtId="0" fontId="327" fillId="0" borderId="0" xfId="50" applyFont="1" applyProtection="1">
      <protection hidden="1"/>
    </xf>
    <xf numFmtId="0" fontId="6" fillId="0" borderId="114" xfId="50" applyBorder="1" applyProtection="1">
      <protection hidden="1"/>
    </xf>
    <xf numFmtId="167" fontId="4" fillId="0" borderId="91" xfId="50" applyNumberFormat="1" applyFont="1" applyFill="1" applyBorder="1" applyProtection="1">
      <protection hidden="1"/>
    </xf>
    <xf numFmtId="0" fontId="81" fillId="0" borderId="0" xfId="50" applyFont="1" applyProtection="1">
      <protection hidden="1"/>
    </xf>
    <xf numFmtId="0" fontId="207" fillId="0" borderId="0" xfId="50" applyFont="1" applyAlignment="1" applyProtection="1">
      <alignment wrapText="1"/>
      <protection hidden="1"/>
    </xf>
    <xf numFmtId="168" fontId="293" fillId="0" borderId="0" xfId="50" applyNumberFormat="1" applyFont="1" applyBorder="1" applyProtection="1">
      <protection hidden="1"/>
    </xf>
    <xf numFmtId="167" fontId="293" fillId="0" borderId="0" xfId="50" applyNumberFormat="1" applyFont="1" applyBorder="1" applyProtection="1">
      <protection hidden="1"/>
    </xf>
    <xf numFmtId="169" fontId="293" fillId="0" borderId="0" xfId="50" applyNumberFormat="1" applyFont="1" applyBorder="1" applyProtection="1">
      <protection hidden="1"/>
    </xf>
    <xf numFmtId="1" fontId="293" fillId="0" borderId="0" xfId="50" applyNumberFormat="1" applyFont="1" applyBorder="1" applyProtection="1">
      <protection hidden="1"/>
    </xf>
    <xf numFmtId="0" fontId="2" fillId="0" borderId="0" xfId="50" applyFont="1" applyProtection="1">
      <protection hidden="1"/>
    </xf>
    <xf numFmtId="1" fontId="293" fillId="45" borderId="0" xfId="50" applyNumberFormat="1" applyFont="1" applyFill="1" applyBorder="1" applyProtection="1">
      <protection hidden="1"/>
    </xf>
    <xf numFmtId="167" fontId="293" fillId="45" borderId="0" xfId="50" applyNumberFormat="1" applyFont="1" applyFill="1" applyBorder="1" applyProtection="1">
      <protection hidden="1"/>
    </xf>
    <xf numFmtId="0" fontId="9" fillId="45" borderId="0" xfId="50" applyFont="1" applyFill="1" applyProtection="1">
      <protection hidden="1"/>
    </xf>
    <xf numFmtId="167" fontId="412" fillId="0" borderId="0" xfId="50" applyNumberFormat="1" applyFont="1" applyFill="1" applyBorder="1" applyProtection="1">
      <protection hidden="1"/>
    </xf>
    <xf numFmtId="167" fontId="293" fillId="0" borderId="91" xfId="50" applyNumberFormat="1" applyFont="1" applyFill="1" applyBorder="1" applyProtection="1">
      <protection hidden="1"/>
    </xf>
    <xf numFmtId="0" fontId="6" fillId="0" borderId="91" xfId="50" applyBorder="1" applyProtection="1">
      <protection hidden="1"/>
    </xf>
    <xf numFmtId="168" fontId="293" fillId="0" borderId="91" xfId="50" applyNumberFormat="1" applyFont="1" applyFill="1" applyBorder="1" applyProtection="1">
      <protection hidden="1"/>
    </xf>
    <xf numFmtId="169" fontId="9" fillId="0" borderId="91" xfId="50" applyNumberFormat="1" applyFont="1" applyBorder="1" applyProtection="1">
      <protection hidden="1"/>
    </xf>
    <xf numFmtId="1" fontId="293" fillId="0" borderId="91" xfId="50" applyNumberFormat="1" applyFont="1" applyBorder="1" applyProtection="1">
      <protection hidden="1"/>
    </xf>
    <xf numFmtId="167" fontId="412" fillId="0" borderId="91" xfId="50" applyNumberFormat="1" applyFont="1" applyFill="1" applyBorder="1" applyProtection="1">
      <protection hidden="1"/>
    </xf>
    <xf numFmtId="0" fontId="413" fillId="0" borderId="91" xfId="50" applyFont="1" applyBorder="1" applyProtection="1">
      <protection hidden="1"/>
    </xf>
    <xf numFmtId="167" fontId="293" fillId="0" borderId="91" xfId="50" applyNumberFormat="1" applyFont="1" applyBorder="1" applyProtection="1">
      <protection hidden="1"/>
    </xf>
    <xf numFmtId="168" fontId="293" fillId="0" borderId="91" xfId="50" applyNumberFormat="1" applyFont="1" applyBorder="1" applyProtection="1">
      <protection hidden="1"/>
    </xf>
    <xf numFmtId="169" fontId="293" fillId="0" borderId="91" xfId="50" applyNumberFormat="1" applyFont="1" applyBorder="1" applyProtection="1">
      <protection hidden="1"/>
    </xf>
    <xf numFmtId="0" fontId="414" fillId="0" borderId="91" xfId="50" applyFont="1" applyBorder="1" applyAlignment="1" applyProtection="1">
      <alignment wrapText="1"/>
      <protection hidden="1"/>
    </xf>
    <xf numFmtId="166" fontId="293" fillId="0" borderId="91" xfId="50" applyNumberFormat="1" applyFont="1" applyBorder="1" applyProtection="1">
      <protection hidden="1"/>
    </xf>
    <xf numFmtId="0" fontId="413" fillId="0" borderId="91" xfId="50" applyFont="1" applyBorder="1" applyAlignment="1" applyProtection="1">
      <alignment wrapText="1"/>
      <protection hidden="1"/>
    </xf>
    <xf numFmtId="0" fontId="294" fillId="0" borderId="91" xfId="50" applyFont="1" applyBorder="1" applyAlignment="1" applyProtection="1">
      <alignment wrapText="1"/>
      <protection hidden="1"/>
    </xf>
    <xf numFmtId="0" fontId="292" fillId="0" borderId="91" xfId="50" applyFont="1" applyBorder="1" applyProtection="1">
      <protection hidden="1"/>
    </xf>
    <xf numFmtId="2" fontId="160" fillId="0" borderId="91" xfId="50" applyNumberFormat="1" applyFont="1" applyBorder="1" applyProtection="1">
      <protection hidden="1"/>
    </xf>
    <xf numFmtId="0" fontId="4" fillId="0" borderId="91" xfId="50" applyFont="1" applyBorder="1" applyProtection="1">
      <protection hidden="1"/>
    </xf>
    <xf numFmtId="2" fontId="75" fillId="0" borderId="91" xfId="50" applyNumberFormat="1" applyFont="1" applyFill="1" applyBorder="1" applyAlignment="1" applyProtection="1">
      <alignment wrapText="1"/>
      <protection hidden="1"/>
    </xf>
    <xf numFmtId="2" fontId="293" fillId="0" borderId="91" xfId="50" applyNumberFormat="1" applyFont="1" applyBorder="1" applyProtection="1">
      <protection hidden="1"/>
    </xf>
    <xf numFmtId="2" fontId="262" fillId="0" borderId="91" xfId="50" applyNumberFormat="1" applyFont="1" applyFill="1" applyBorder="1" applyAlignment="1" applyProtection="1">
      <alignment wrapText="1"/>
      <protection hidden="1"/>
    </xf>
    <xf numFmtId="2" fontId="289" fillId="0" borderId="91" xfId="50" applyNumberFormat="1" applyFont="1" applyBorder="1" applyProtection="1">
      <protection hidden="1"/>
    </xf>
    <xf numFmtId="2" fontId="293" fillId="0" borderId="0" xfId="50" applyNumberFormat="1" applyFont="1" applyBorder="1" applyProtection="1">
      <protection hidden="1"/>
    </xf>
    <xf numFmtId="169" fontId="289" fillId="0" borderId="91" xfId="50" applyNumberFormat="1" applyFont="1" applyBorder="1" applyProtection="1">
      <protection hidden="1"/>
    </xf>
    <xf numFmtId="0" fontId="107" fillId="0" borderId="91" xfId="50" applyFont="1" applyFill="1" applyBorder="1" applyAlignment="1" applyProtection="1">
      <alignment wrapText="1"/>
      <protection hidden="1"/>
    </xf>
    <xf numFmtId="0" fontId="293" fillId="0" borderId="106" xfId="50" applyFont="1" applyBorder="1" applyProtection="1">
      <protection hidden="1"/>
    </xf>
    <xf numFmtId="0" fontId="293" fillId="0" borderId="108" xfId="50" applyFont="1" applyBorder="1" applyProtection="1">
      <protection hidden="1"/>
    </xf>
    <xf numFmtId="0" fontId="293" fillId="0" borderId="111" xfId="50" applyFont="1" applyBorder="1" applyProtection="1">
      <protection hidden="1"/>
    </xf>
    <xf numFmtId="0" fontId="293" fillId="0" borderId="0" xfId="50" applyFont="1" applyBorder="1" applyProtection="1">
      <protection hidden="1"/>
    </xf>
    <xf numFmtId="1" fontId="293" fillId="0" borderId="105" xfId="50" applyNumberFormat="1" applyFont="1" applyBorder="1" applyProtection="1">
      <protection hidden="1"/>
    </xf>
    <xf numFmtId="1" fontId="293" fillId="0" borderId="107" xfId="50" applyNumberFormat="1" applyFont="1" applyBorder="1" applyProtection="1">
      <protection hidden="1"/>
    </xf>
    <xf numFmtId="1" fontId="293" fillId="0" borderId="94" xfId="50" applyNumberFormat="1" applyFont="1" applyBorder="1" applyProtection="1">
      <protection hidden="1"/>
    </xf>
    <xf numFmtId="2" fontId="81" fillId="0" borderId="115" xfId="50" applyNumberFormat="1" applyFont="1" applyBorder="1" applyProtection="1">
      <protection hidden="1"/>
    </xf>
    <xf numFmtId="2" fontId="81" fillId="0" borderId="110" xfId="50" applyNumberFormat="1" applyFont="1" applyBorder="1" applyProtection="1">
      <protection hidden="1"/>
    </xf>
    <xf numFmtId="2" fontId="81" fillId="0" borderId="0" xfId="50" applyNumberFormat="1" applyFont="1" applyBorder="1" applyProtection="1">
      <protection hidden="1"/>
    </xf>
    <xf numFmtId="2" fontId="81" fillId="0" borderId="101" xfId="50" applyNumberFormat="1" applyFont="1" applyBorder="1" applyProtection="1">
      <protection hidden="1"/>
    </xf>
    <xf numFmtId="0" fontId="293" fillId="0" borderId="101" xfId="50" applyFont="1" applyBorder="1" applyProtection="1">
      <protection hidden="1"/>
    </xf>
    <xf numFmtId="2" fontId="81" fillId="0" borderId="91" xfId="50" applyNumberFormat="1" applyFont="1" applyBorder="1" applyProtection="1">
      <protection hidden="1"/>
    </xf>
    <xf numFmtId="0" fontId="293" fillId="0" borderId="91" xfId="50" applyFont="1" applyBorder="1" applyProtection="1">
      <protection hidden="1"/>
    </xf>
    <xf numFmtId="2" fontId="293" fillId="43" borderId="91" xfId="50" applyNumberFormat="1" applyFont="1" applyFill="1" applyBorder="1" applyProtection="1">
      <protection hidden="1"/>
    </xf>
    <xf numFmtId="0" fontId="293" fillId="0" borderId="91" xfId="50" applyFont="1" applyFill="1" applyBorder="1" applyProtection="1">
      <protection hidden="1"/>
    </xf>
    <xf numFmtId="2" fontId="415" fillId="43" borderId="91" xfId="50" applyNumberFormat="1" applyFont="1" applyFill="1" applyBorder="1" applyProtection="1">
      <protection hidden="1"/>
    </xf>
    <xf numFmtId="0" fontId="415" fillId="0" borderId="91" xfId="50" applyFont="1" applyFill="1" applyBorder="1" applyProtection="1">
      <protection hidden="1"/>
    </xf>
    <xf numFmtId="165" fontId="160" fillId="43" borderId="91" xfId="50" applyNumberFormat="1" applyFont="1" applyFill="1" applyBorder="1" applyProtection="1">
      <protection hidden="1"/>
    </xf>
    <xf numFmtId="0" fontId="160" fillId="0" borderId="91" xfId="50" applyFont="1" applyFill="1" applyBorder="1" applyProtection="1">
      <protection hidden="1"/>
    </xf>
    <xf numFmtId="0" fontId="160" fillId="43" borderId="91" xfId="50" applyFont="1" applyFill="1" applyBorder="1" applyProtection="1">
      <protection hidden="1"/>
    </xf>
    <xf numFmtId="0" fontId="289" fillId="0" borderId="91" xfId="50" applyFont="1" applyFill="1" applyBorder="1" applyProtection="1">
      <protection hidden="1"/>
    </xf>
    <xf numFmtId="0" fontId="81" fillId="37" borderId="91" xfId="50" applyFont="1" applyFill="1" applyBorder="1" applyProtection="1">
      <protection hidden="1"/>
    </xf>
    <xf numFmtId="0" fontId="160" fillId="0" borderId="91" xfId="50" applyFont="1" applyBorder="1" applyProtection="1">
      <protection hidden="1"/>
    </xf>
    <xf numFmtId="0" fontId="81" fillId="0" borderId="91" xfId="50" applyFont="1" applyBorder="1" applyProtection="1">
      <protection hidden="1"/>
    </xf>
    <xf numFmtId="2" fontId="415" fillId="0" borderId="91" xfId="50" applyNumberFormat="1" applyFont="1" applyBorder="1" applyProtection="1">
      <protection hidden="1"/>
    </xf>
    <xf numFmtId="0" fontId="415" fillId="0" borderId="91" xfId="50" applyFont="1" applyBorder="1" applyProtection="1">
      <protection hidden="1"/>
    </xf>
    <xf numFmtId="2" fontId="294" fillId="0" borderId="91" xfId="50" applyNumberFormat="1" applyFont="1" applyBorder="1" applyProtection="1">
      <protection hidden="1"/>
    </xf>
    <xf numFmtId="0" fontId="293" fillId="0" borderId="91" xfId="50" applyFont="1" applyBorder="1" applyAlignment="1" applyProtection="1">
      <alignment wrapText="1"/>
      <protection hidden="1"/>
    </xf>
    <xf numFmtId="2" fontId="160" fillId="43" borderId="91" xfId="50" applyNumberFormat="1" applyFont="1" applyFill="1" applyBorder="1" applyProtection="1">
      <protection hidden="1"/>
    </xf>
    <xf numFmtId="0" fontId="416" fillId="37" borderId="91" xfId="50" applyFont="1" applyFill="1" applyBorder="1" applyProtection="1">
      <protection hidden="1"/>
    </xf>
    <xf numFmtId="0" fontId="416" fillId="0" borderId="91" xfId="50" applyFont="1" applyBorder="1" applyProtection="1">
      <protection hidden="1"/>
    </xf>
    <xf numFmtId="165" fontId="415" fillId="0" borderId="91" xfId="50" applyNumberFormat="1" applyFont="1" applyBorder="1" applyProtection="1">
      <protection hidden="1"/>
    </xf>
    <xf numFmtId="0" fontId="294" fillId="0" borderId="91" xfId="50" applyFont="1" applyBorder="1" applyProtection="1">
      <protection hidden="1"/>
    </xf>
    <xf numFmtId="2" fontId="9" fillId="0" borderId="0" xfId="50" applyNumberFormat="1" applyFont="1" applyProtection="1">
      <protection hidden="1"/>
    </xf>
    <xf numFmtId="0" fontId="293" fillId="0" borderId="102" xfId="50" applyFont="1" applyFill="1" applyBorder="1" applyProtection="1">
      <protection hidden="1"/>
    </xf>
    <xf numFmtId="166" fontId="160" fillId="0" borderId="91" xfId="50" applyNumberFormat="1" applyFont="1" applyBorder="1" applyProtection="1">
      <protection hidden="1"/>
    </xf>
    <xf numFmtId="0" fontId="417" fillId="0" borderId="91" xfId="50" applyFont="1" applyBorder="1" applyProtection="1">
      <protection hidden="1"/>
    </xf>
    <xf numFmtId="167" fontId="160" fillId="0" borderId="91" xfId="50" applyNumberFormat="1" applyFont="1" applyBorder="1" applyProtection="1">
      <protection hidden="1"/>
    </xf>
    <xf numFmtId="0" fontId="160" fillId="50" borderId="91" xfId="50" applyFont="1" applyFill="1" applyBorder="1" applyProtection="1">
      <protection hidden="1"/>
    </xf>
    <xf numFmtId="1" fontId="289" fillId="0" borderId="91" xfId="50" applyNumberFormat="1" applyFont="1" applyFill="1" applyBorder="1" applyProtection="1">
      <protection hidden="1"/>
    </xf>
    <xf numFmtId="2" fontId="289" fillId="0" borderId="91" xfId="50" applyNumberFormat="1" applyFont="1" applyFill="1" applyBorder="1" applyProtection="1">
      <protection hidden="1"/>
    </xf>
    <xf numFmtId="0" fontId="81" fillId="0" borderId="91" xfId="50" applyFont="1" applyFill="1" applyBorder="1" applyProtection="1">
      <protection hidden="1"/>
    </xf>
    <xf numFmtId="2" fontId="75" fillId="0" borderId="91" xfId="50" applyNumberFormat="1" applyFont="1" applyBorder="1" applyProtection="1">
      <protection hidden="1"/>
    </xf>
    <xf numFmtId="0" fontId="75" fillId="0" borderId="91" xfId="50" applyFont="1" applyBorder="1" applyProtection="1">
      <protection hidden="1"/>
    </xf>
    <xf numFmtId="0" fontId="266" fillId="0" borderId="91" xfId="50" applyFont="1" applyBorder="1" applyProtection="1">
      <protection hidden="1"/>
    </xf>
    <xf numFmtId="0" fontId="416" fillId="0" borderId="91" xfId="50" applyFont="1" applyFill="1" applyBorder="1" applyProtection="1">
      <protection hidden="1"/>
    </xf>
    <xf numFmtId="1" fontId="160" fillId="0" borderId="91" xfId="50" applyNumberFormat="1" applyFont="1" applyBorder="1" applyProtection="1">
      <protection hidden="1"/>
    </xf>
    <xf numFmtId="0" fontId="289" fillId="0" borderId="91" xfId="50" applyFont="1" applyBorder="1" applyProtection="1">
      <protection hidden="1"/>
    </xf>
    <xf numFmtId="0" fontId="160" fillId="49" borderId="0" xfId="50" applyFont="1" applyFill="1" applyProtection="1">
      <protection hidden="1"/>
    </xf>
    <xf numFmtId="167" fontId="160" fillId="43" borderId="91" xfId="50" applyNumberFormat="1" applyFont="1" applyFill="1" applyBorder="1" applyProtection="1">
      <protection hidden="1"/>
    </xf>
    <xf numFmtId="166" fontId="289" fillId="43" borderId="91" xfId="50" applyNumberFormat="1" applyFont="1" applyFill="1" applyBorder="1" applyProtection="1">
      <protection hidden="1"/>
    </xf>
    <xf numFmtId="0" fontId="416" fillId="0" borderId="91" xfId="50" applyFont="1" applyBorder="1" applyAlignment="1" applyProtection="1">
      <alignment wrapText="1"/>
      <protection hidden="1"/>
    </xf>
    <xf numFmtId="0" fontId="292" fillId="0" borderId="91" xfId="50" applyFont="1" applyBorder="1" applyAlignment="1" applyProtection="1">
      <alignment wrapText="1"/>
      <protection hidden="1"/>
    </xf>
    <xf numFmtId="0" fontId="160" fillId="49" borderId="91" xfId="50" applyFont="1" applyFill="1" applyBorder="1" applyProtection="1">
      <protection hidden="1"/>
    </xf>
    <xf numFmtId="0" fontId="160" fillId="49" borderId="91" xfId="50" applyFont="1" applyFill="1" applyBorder="1" applyAlignment="1" applyProtection="1">
      <alignment wrapText="1"/>
      <protection hidden="1"/>
    </xf>
    <xf numFmtId="2" fontId="294" fillId="43" borderId="91" xfId="50" applyNumberFormat="1" applyFont="1" applyFill="1" applyBorder="1" applyProtection="1">
      <protection hidden="1"/>
    </xf>
    <xf numFmtId="0" fontId="413" fillId="0" borderId="91" xfId="50" applyFont="1" applyFill="1" applyBorder="1" applyProtection="1">
      <protection hidden="1"/>
    </xf>
    <xf numFmtId="2" fontId="414" fillId="43" borderId="91" xfId="50" applyNumberFormat="1" applyFont="1" applyFill="1" applyBorder="1" applyProtection="1">
      <protection hidden="1"/>
    </xf>
    <xf numFmtId="2" fontId="293" fillId="0" borderId="91" xfId="50" applyNumberFormat="1" applyFont="1" applyBorder="1" applyAlignment="1" applyProtection="1">
      <alignment wrapText="1"/>
      <protection hidden="1"/>
    </xf>
    <xf numFmtId="0" fontId="81" fillId="51" borderId="0" xfId="50" applyFont="1" applyFill="1" applyProtection="1">
      <protection hidden="1"/>
    </xf>
    <xf numFmtId="2" fontId="418" fillId="43" borderId="91" xfId="50" applyNumberFormat="1" applyFont="1" applyFill="1" applyBorder="1" applyProtection="1">
      <protection hidden="1"/>
    </xf>
    <xf numFmtId="2" fontId="418" fillId="0" borderId="91" xfId="50" applyNumberFormat="1" applyFont="1" applyBorder="1" applyAlignment="1" applyProtection="1">
      <alignment wrapText="1"/>
      <protection hidden="1"/>
    </xf>
    <xf numFmtId="2" fontId="289" fillId="0" borderId="91" xfId="50" applyNumberFormat="1" applyFont="1" applyBorder="1" applyAlignment="1" applyProtection="1">
      <alignment wrapText="1"/>
      <protection hidden="1"/>
    </xf>
    <xf numFmtId="0" fontId="419" fillId="0" borderId="91" xfId="50" applyFont="1" applyBorder="1" applyProtection="1">
      <protection hidden="1"/>
    </xf>
    <xf numFmtId="2" fontId="160" fillId="43" borderId="0" xfId="50" applyNumberFormat="1" applyFont="1" applyFill="1" applyBorder="1" applyProtection="1">
      <protection hidden="1"/>
    </xf>
    <xf numFmtId="0" fontId="419" fillId="0" borderId="0" xfId="50" applyFont="1" applyBorder="1" applyProtection="1">
      <protection hidden="1"/>
    </xf>
    <xf numFmtId="2" fontId="160" fillId="0" borderId="91" xfId="50" applyNumberFormat="1" applyFont="1" applyBorder="1" applyAlignment="1" applyProtection="1">
      <alignment wrapText="1"/>
      <protection hidden="1"/>
    </xf>
    <xf numFmtId="0" fontId="419" fillId="0" borderId="91" xfId="50" applyFont="1" applyBorder="1" applyAlignment="1" applyProtection="1">
      <alignment wrapText="1"/>
      <protection hidden="1"/>
    </xf>
    <xf numFmtId="0" fontId="4" fillId="0" borderId="91" xfId="50" applyFont="1" applyBorder="1" applyAlignment="1" applyProtection="1">
      <alignment wrapText="1"/>
      <protection hidden="1"/>
    </xf>
    <xf numFmtId="0" fontId="160" fillId="0" borderId="101" xfId="50" applyFont="1" applyBorder="1" applyAlignment="1" applyProtection="1">
      <alignment wrapText="1"/>
      <protection hidden="1"/>
    </xf>
    <xf numFmtId="0" fontId="160" fillId="0" borderId="91" xfId="50" applyFont="1" applyBorder="1" applyAlignment="1" applyProtection="1">
      <alignment wrapText="1"/>
      <protection hidden="1"/>
    </xf>
    <xf numFmtId="2" fontId="294" fillId="0" borderId="0" xfId="50" applyNumberFormat="1" applyFont="1" applyBorder="1" applyAlignment="1" applyProtection="1">
      <alignment wrapText="1"/>
      <protection hidden="1"/>
    </xf>
    <xf numFmtId="2" fontId="293" fillId="0" borderId="0" xfId="50" applyNumberFormat="1" applyFont="1" applyBorder="1" applyAlignment="1" applyProtection="1">
      <alignment wrapText="1"/>
      <protection hidden="1"/>
    </xf>
    <xf numFmtId="2" fontId="160" fillId="0" borderId="94" xfId="50" applyNumberFormat="1" applyFont="1" applyBorder="1" applyAlignment="1" applyProtection="1">
      <alignment wrapText="1"/>
      <protection hidden="1"/>
    </xf>
    <xf numFmtId="0" fontId="294" fillId="0" borderId="0" xfId="50" applyFont="1" applyBorder="1" applyAlignment="1" applyProtection="1">
      <alignment wrapText="1"/>
      <protection hidden="1"/>
    </xf>
    <xf numFmtId="0" fontId="416" fillId="0" borderId="91" xfId="50" applyFont="1" applyFill="1" applyBorder="1" applyAlignment="1" applyProtection="1">
      <alignment wrapText="1"/>
      <protection hidden="1"/>
    </xf>
    <xf numFmtId="166" fontId="4" fillId="0" borderId="91" xfId="50" applyNumberFormat="1" applyFont="1" applyBorder="1" applyProtection="1">
      <protection hidden="1"/>
    </xf>
    <xf numFmtId="0" fontId="4" fillId="0" borderId="0" xfId="50" applyFont="1" applyAlignment="1" applyProtection="1">
      <alignment wrapText="1"/>
      <protection hidden="1"/>
    </xf>
    <xf numFmtId="0" fontId="81" fillId="0" borderId="0" xfId="50" applyFont="1" applyFill="1" applyProtection="1">
      <protection hidden="1"/>
    </xf>
    <xf numFmtId="166" fontId="160" fillId="43" borderId="91" xfId="50" applyNumberFormat="1" applyFont="1" applyFill="1" applyBorder="1" applyProtection="1">
      <protection hidden="1"/>
    </xf>
    <xf numFmtId="0" fontId="160" fillId="0" borderId="0" xfId="50" applyFont="1" applyBorder="1" applyProtection="1">
      <protection hidden="1"/>
    </xf>
    <xf numFmtId="166" fontId="289" fillId="0" borderId="91" xfId="50" applyNumberFormat="1" applyFont="1" applyFill="1" applyBorder="1" applyProtection="1">
      <protection hidden="1"/>
    </xf>
    <xf numFmtId="0" fontId="266" fillId="0" borderId="0" xfId="50" applyFont="1" applyFill="1" applyBorder="1" applyProtection="1">
      <protection hidden="1"/>
    </xf>
    <xf numFmtId="0" fontId="266" fillId="0" borderId="0" xfId="50" applyFont="1" applyBorder="1" applyProtection="1">
      <protection hidden="1"/>
    </xf>
    <xf numFmtId="0" fontId="266" fillId="0" borderId="91" xfId="50" applyFont="1" applyFill="1" applyBorder="1" applyProtection="1">
      <protection hidden="1"/>
    </xf>
    <xf numFmtId="0" fontId="416" fillId="43" borderId="91" xfId="50" applyFont="1" applyFill="1" applyBorder="1" applyProtection="1">
      <protection hidden="1"/>
    </xf>
    <xf numFmtId="0" fontId="420" fillId="0" borderId="91" xfId="50" applyFont="1" applyBorder="1" applyProtection="1">
      <protection hidden="1"/>
    </xf>
    <xf numFmtId="0" fontId="81" fillId="40" borderId="91" xfId="50" applyFont="1" applyFill="1" applyBorder="1" applyProtection="1">
      <protection hidden="1"/>
    </xf>
    <xf numFmtId="0" fontId="81" fillId="41" borderId="0" xfId="50" applyFont="1" applyFill="1" applyProtection="1">
      <protection hidden="1"/>
    </xf>
    <xf numFmtId="0" fontId="6" fillId="41" borderId="0" xfId="50" applyFill="1" applyProtection="1">
      <protection hidden="1"/>
    </xf>
    <xf numFmtId="0" fontId="9" fillId="43" borderId="91" xfId="50" applyFont="1" applyFill="1" applyBorder="1" applyAlignment="1" applyProtection="1">
      <alignment wrapText="1"/>
      <protection hidden="1"/>
    </xf>
    <xf numFmtId="0" fontId="4" fillId="43" borderId="91" xfId="50" applyFont="1" applyFill="1" applyBorder="1" applyProtection="1">
      <protection hidden="1"/>
    </xf>
    <xf numFmtId="0" fontId="6" fillId="0" borderId="91" xfId="50" applyFont="1" applyFill="1" applyBorder="1" applyProtection="1">
      <protection hidden="1"/>
    </xf>
    <xf numFmtId="0" fontId="4" fillId="43" borderId="91" xfId="50" applyFont="1" applyFill="1" applyBorder="1" applyAlignment="1" applyProtection="1">
      <alignment wrapText="1"/>
      <protection hidden="1"/>
    </xf>
    <xf numFmtId="0" fontId="6" fillId="43" borderId="91" xfId="50" applyFont="1" applyFill="1" applyBorder="1" applyProtection="1">
      <protection hidden="1"/>
    </xf>
    <xf numFmtId="166" fontId="4" fillId="0" borderId="0" xfId="50" applyNumberFormat="1" applyFont="1" applyProtection="1">
      <protection hidden="1"/>
    </xf>
    <xf numFmtId="0" fontId="4" fillId="43" borderId="0" xfId="50" applyFont="1" applyFill="1" applyBorder="1" applyProtection="1">
      <protection hidden="1"/>
    </xf>
    <xf numFmtId="0" fontId="81" fillId="36" borderId="0" xfId="50" applyFont="1" applyFill="1" applyProtection="1">
      <protection hidden="1"/>
    </xf>
    <xf numFmtId="0" fontId="6" fillId="36" borderId="0" xfId="50" applyFill="1" applyProtection="1">
      <protection hidden="1"/>
    </xf>
    <xf numFmtId="0" fontId="2" fillId="36" borderId="0" xfId="50" applyFont="1" applyFill="1" applyProtection="1">
      <protection hidden="1"/>
    </xf>
    <xf numFmtId="0" fontId="6" fillId="46" borderId="0" xfId="50" applyFill="1" applyProtection="1">
      <protection hidden="1"/>
    </xf>
    <xf numFmtId="166" fontId="294" fillId="43" borderId="91" xfId="50" applyNumberFormat="1" applyFont="1" applyFill="1" applyBorder="1" applyProtection="1">
      <protection hidden="1"/>
    </xf>
    <xf numFmtId="165" fontId="160" fillId="0" borderId="91" xfId="50" applyNumberFormat="1" applyFont="1" applyBorder="1" applyProtection="1">
      <protection hidden="1"/>
    </xf>
    <xf numFmtId="166" fontId="415" fillId="0" borderId="91" xfId="50" applyNumberFormat="1" applyFont="1" applyBorder="1" applyProtection="1">
      <protection hidden="1"/>
    </xf>
    <xf numFmtId="166" fontId="272" fillId="0" borderId="0" xfId="50" applyNumberFormat="1" applyFont="1" applyProtection="1">
      <protection hidden="1"/>
    </xf>
    <xf numFmtId="0" fontId="272" fillId="0" borderId="0" xfId="50" applyFont="1" applyProtection="1">
      <protection hidden="1"/>
    </xf>
    <xf numFmtId="166" fontId="75" fillId="0" borderId="0" xfId="50" applyNumberFormat="1" applyFont="1" applyProtection="1">
      <protection hidden="1"/>
    </xf>
    <xf numFmtId="49" fontId="75" fillId="0" borderId="0" xfId="50" applyNumberFormat="1" applyFont="1" applyAlignment="1" applyProtection="1">
      <alignment wrapText="1"/>
      <protection hidden="1"/>
    </xf>
    <xf numFmtId="2" fontId="75" fillId="0" borderId="0" xfId="50" applyNumberFormat="1" applyFont="1" applyProtection="1">
      <protection hidden="1"/>
    </xf>
    <xf numFmtId="2" fontId="75" fillId="0" borderId="95" xfId="50" applyNumberFormat="1" applyFont="1" applyBorder="1" applyProtection="1">
      <protection hidden="1"/>
    </xf>
    <xf numFmtId="2" fontId="75" fillId="0" borderId="100" xfId="50" applyNumberFormat="1" applyFont="1" applyBorder="1" applyProtection="1">
      <protection hidden="1"/>
    </xf>
    <xf numFmtId="0" fontId="75" fillId="0" borderId="96" xfId="50" applyFont="1" applyBorder="1" applyProtection="1">
      <protection hidden="1"/>
    </xf>
    <xf numFmtId="1" fontId="75" fillId="0" borderId="0" xfId="50" applyNumberFormat="1" applyFont="1" applyFill="1" applyBorder="1" applyProtection="1">
      <protection hidden="1"/>
    </xf>
    <xf numFmtId="0" fontId="75" fillId="0" borderId="116" xfId="50" applyFont="1" applyFill="1" applyBorder="1" applyProtection="1">
      <protection hidden="1"/>
    </xf>
    <xf numFmtId="166" fontId="272" fillId="0" borderId="97" xfId="50" applyNumberFormat="1" applyFont="1" applyBorder="1" applyProtection="1">
      <protection hidden="1"/>
    </xf>
    <xf numFmtId="166" fontId="272" fillId="0" borderId="103" xfId="50" applyNumberFormat="1" applyFont="1" applyBorder="1" applyProtection="1">
      <protection hidden="1"/>
    </xf>
    <xf numFmtId="49" fontId="75" fillId="0" borderId="98" xfId="50" applyNumberFormat="1" applyFont="1" applyBorder="1" applyAlignment="1" applyProtection="1">
      <alignment wrapText="1"/>
      <protection hidden="1"/>
    </xf>
    <xf numFmtId="0" fontId="75" fillId="0" borderId="0" xfId="50" applyFont="1" applyProtection="1">
      <protection hidden="1"/>
    </xf>
    <xf numFmtId="0" fontId="262" fillId="0" borderId="0" xfId="50" applyFont="1" applyProtection="1">
      <protection hidden="1"/>
    </xf>
    <xf numFmtId="1" fontId="273" fillId="47" borderId="0" xfId="50" applyNumberFormat="1" applyFont="1" applyFill="1" applyProtection="1">
      <protection hidden="1"/>
    </xf>
    <xf numFmtId="0" fontId="262" fillId="0" borderId="0" xfId="50" applyFont="1" applyAlignment="1" applyProtection="1">
      <alignment wrapText="1"/>
      <protection hidden="1"/>
    </xf>
    <xf numFmtId="0" fontId="271" fillId="0" borderId="0" xfId="50" applyFont="1" applyProtection="1">
      <protection hidden="1"/>
    </xf>
    <xf numFmtId="0" fontId="81" fillId="46" borderId="91" xfId="50" applyFont="1" applyFill="1" applyBorder="1" applyProtection="1">
      <protection hidden="1"/>
    </xf>
    <xf numFmtId="166" fontId="160" fillId="46" borderId="91" xfId="50" applyNumberFormat="1" applyFont="1" applyFill="1" applyBorder="1" applyProtection="1">
      <protection hidden="1"/>
    </xf>
    <xf numFmtId="0" fontId="292" fillId="46" borderId="91" xfId="50" applyFont="1" applyFill="1" applyBorder="1" applyAlignment="1" applyProtection="1">
      <alignment wrapText="1"/>
      <protection hidden="1"/>
    </xf>
    <xf numFmtId="166" fontId="293" fillId="43" borderId="91" xfId="50" applyNumberFormat="1" applyFont="1" applyFill="1" applyBorder="1" applyProtection="1">
      <protection hidden="1"/>
    </xf>
    <xf numFmtId="2" fontId="416" fillId="43" borderId="91" xfId="50" applyNumberFormat="1" applyFont="1" applyFill="1" applyBorder="1" applyProtection="1">
      <protection hidden="1"/>
    </xf>
    <xf numFmtId="0" fontId="289" fillId="0" borderId="91" xfId="50" applyFont="1" applyFill="1" applyBorder="1" applyAlignment="1" applyProtection="1">
      <alignment wrapText="1"/>
      <protection hidden="1"/>
    </xf>
    <xf numFmtId="0" fontId="81" fillId="0" borderId="0" xfId="50" applyFont="1" applyFill="1" applyBorder="1" applyProtection="1">
      <protection hidden="1"/>
    </xf>
    <xf numFmtId="0" fontId="81" fillId="43" borderId="0" xfId="50" applyFont="1" applyFill="1" applyProtection="1">
      <protection hidden="1"/>
    </xf>
    <xf numFmtId="0" fontId="81" fillId="52" borderId="0" xfId="50" applyFont="1" applyFill="1" applyProtection="1">
      <protection hidden="1"/>
    </xf>
    <xf numFmtId="0" fontId="81" fillId="39" borderId="0" xfId="50" applyFont="1" applyFill="1" applyProtection="1">
      <protection hidden="1"/>
    </xf>
    <xf numFmtId="0" fontId="289" fillId="46" borderId="0" xfId="50" applyFont="1" applyFill="1" applyProtection="1">
      <protection hidden="1"/>
    </xf>
    <xf numFmtId="0" fontId="292" fillId="46" borderId="91" xfId="50" applyFont="1" applyFill="1" applyBorder="1" applyProtection="1">
      <protection hidden="1"/>
    </xf>
    <xf numFmtId="0" fontId="289" fillId="0" borderId="91" xfId="50" applyFont="1" applyBorder="1" applyAlignment="1" applyProtection="1">
      <alignment wrapText="1"/>
      <protection hidden="1"/>
    </xf>
    <xf numFmtId="0" fontId="421" fillId="0" borderId="91" xfId="50" applyFont="1" applyBorder="1" applyAlignment="1" applyProtection="1">
      <alignment wrapText="1"/>
      <protection hidden="1"/>
    </xf>
    <xf numFmtId="166" fontId="160" fillId="36" borderId="91" xfId="50" applyNumberFormat="1" applyFont="1" applyFill="1" applyBorder="1" applyProtection="1">
      <protection hidden="1"/>
    </xf>
    <xf numFmtId="0" fontId="293" fillId="36" borderId="91" xfId="50" applyFont="1" applyFill="1" applyBorder="1" applyAlignment="1" applyProtection="1">
      <alignment wrapText="1"/>
      <protection hidden="1"/>
    </xf>
    <xf numFmtId="1" fontId="160" fillId="0" borderId="91" xfId="50" applyNumberFormat="1" applyFont="1" applyFill="1" applyBorder="1" applyProtection="1">
      <protection hidden="1"/>
    </xf>
    <xf numFmtId="0" fontId="81" fillId="0" borderId="91" xfId="50" applyFont="1" applyBorder="1" applyAlignment="1" applyProtection="1">
      <alignment wrapText="1"/>
      <protection hidden="1"/>
    </xf>
    <xf numFmtId="0" fontId="160" fillId="0" borderId="91" xfId="50" applyFont="1" applyFill="1" applyBorder="1" applyAlignment="1" applyProtection="1">
      <alignment wrapText="1"/>
      <protection hidden="1"/>
    </xf>
    <xf numFmtId="49" fontId="293" fillId="0" borderId="102" xfId="50" applyNumberFormat="1" applyFont="1" applyFill="1" applyBorder="1" applyAlignment="1" applyProtection="1">
      <alignment wrapText="1"/>
      <protection hidden="1"/>
    </xf>
    <xf numFmtId="49" fontId="160" fillId="0" borderId="102" xfId="50" applyNumberFormat="1" applyFont="1" applyFill="1" applyBorder="1" applyAlignment="1" applyProtection="1">
      <alignment wrapText="1"/>
      <protection hidden="1"/>
    </xf>
    <xf numFmtId="0" fontId="4" fillId="42" borderId="101" xfId="50" applyFont="1" applyFill="1" applyBorder="1" applyProtection="1">
      <protection hidden="1"/>
    </xf>
    <xf numFmtId="0" fontId="6" fillId="42" borderId="101" xfId="50" applyFont="1" applyFill="1" applyBorder="1" applyAlignment="1" applyProtection="1">
      <alignment wrapText="1"/>
      <protection hidden="1"/>
    </xf>
    <xf numFmtId="0" fontId="6" fillId="0" borderId="91" xfId="50" applyFont="1" applyBorder="1" applyAlignment="1" applyProtection="1">
      <alignment wrapText="1"/>
      <protection hidden="1"/>
    </xf>
    <xf numFmtId="0" fontId="4" fillId="0" borderId="91" xfId="50" applyFont="1" applyFill="1" applyBorder="1" applyAlignment="1" applyProtection="1">
      <alignment wrapText="1"/>
      <protection hidden="1"/>
    </xf>
    <xf numFmtId="0" fontId="6" fillId="0" borderId="91" xfId="50" applyFont="1" applyBorder="1" applyProtection="1">
      <protection hidden="1"/>
    </xf>
    <xf numFmtId="0" fontId="40" fillId="0" borderId="91" xfId="50" applyFont="1" applyBorder="1" applyProtection="1">
      <protection hidden="1"/>
    </xf>
    <xf numFmtId="0" fontId="207" fillId="0" borderId="91" xfId="50" applyFont="1" applyBorder="1" applyProtection="1">
      <protection hidden="1"/>
    </xf>
    <xf numFmtId="0" fontId="4" fillId="42" borderId="91" xfId="50" applyFont="1" applyFill="1" applyBorder="1" applyProtection="1">
      <protection hidden="1"/>
    </xf>
    <xf numFmtId="0" fontId="2" fillId="42" borderId="91" xfId="50" applyFont="1" applyFill="1" applyBorder="1" applyAlignment="1" applyProtection="1">
      <alignment wrapText="1"/>
      <protection hidden="1"/>
    </xf>
    <xf numFmtId="49" fontId="293" fillId="0" borderId="91" xfId="50" applyNumberFormat="1" applyFont="1" applyBorder="1" applyAlignment="1" applyProtection="1">
      <alignment wrapText="1"/>
      <protection hidden="1"/>
    </xf>
    <xf numFmtId="49" fontId="160" fillId="0" borderId="91" xfId="50" applyNumberFormat="1" applyFont="1" applyBorder="1" applyAlignment="1" applyProtection="1">
      <alignment wrapText="1"/>
      <protection hidden="1"/>
    </xf>
    <xf numFmtId="0" fontId="6" fillId="42" borderId="91" xfId="50" applyFont="1" applyFill="1" applyBorder="1" applyAlignment="1" applyProtection="1">
      <alignment wrapText="1"/>
      <protection hidden="1"/>
    </xf>
    <xf numFmtId="0" fontId="6" fillId="0" borderId="91" xfId="50" applyFont="1" applyFill="1" applyBorder="1" applyAlignment="1" applyProtection="1">
      <alignment wrapText="1"/>
      <protection hidden="1"/>
    </xf>
    <xf numFmtId="0" fontId="40" fillId="0" borderId="91" xfId="50" applyFont="1" applyBorder="1" applyAlignment="1" applyProtection="1">
      <alignment wrapText="1"/>
      <protection hidden="1"/>
    </xf>
    <xf numFmtId="0" fontId="81" fillId="37" borderId="0" xfId="50" applyFont="1" applyFill="1" applyProtection="1">
      <protection hidden="1"/>
    </xf>
    <xf numFmtId="0" fontId="264" fillId="0" borderId="91" xfId="50" applyFont="1" applyFill="1" applyBorder="1" applyProtection="1">
      <protection hidden="1"/>
    </xf>
    <xf numFmtId="0" fontId="264" fillId="0" borderId="91" xfId="50" applyFont="1" applyBorder="1" applyProtection="1">
      <protection hidden="1"/>
    </xf>
    <xf numFmtId="165" fontId="4" fillId="0" borderId="91" xfId="50" applyNumberFormat="1" applyFont="1" applyBorder="1" applyProtection="1">
      <protection hidden="1"/>
    </xf>
    <xf numFmtId="1" fontId="160" fillId="43" borderId="91" xfId="50" applyNumberFormat="1" applyFont="1" applyFill="1" applyBorder="1" applyProtection="1">
      <protection hidden="1"/>
    </xf>
    <xf numFmtId="1" fontId="289" fillId="0" borderId="91" xfId="50" applyNumberFormat="1" applyFont="1" applyBorder="1" applyProtection="1">
      <protection hidden="1"/>
    </xf>
    <xf numFmtId="165" fontId="289" fillId="0" borderId="91" xfId="50" applyNumberFormat="1" applyFont="1" applyBorder="1" applyProtection="1">
      <protection hidden="1"/>
    </xf>
    <xf numFmtId="166" fontId="289" fillId="0" borderId="91" xfId="50" applyNumberFormat="1" applyFont="1" applyBorder="1" applyProtection="1">
      <protection hidden="1"/>
    </xf>
    <xf numFmtId="165" fontId="289" fillId="0" borderId="91" xfId="50" applyNumberFormat="1" applyFont="1" applyFill="1" applyBorder="1" applyProtection="1">
      <protection hidden="1"/>
    </xf>
    <xf numFmtId="0" fontId="289" fillId="37" borderId="91" xfId="50" applyFont="1" applyFill="1" applyBorder="1" applyAlignment="1" applyProtection="1">
      <alignment wrapText="1"/>
      <protection hidden="1"/>
    </xf>
    <xf numFmtId="166" fontId="294" fillId="0" borderId="91" xfId="50" applyNumberFormat="1" applyFont="1" applyBorder="1" applyProtection="1">
      <protection hidden="1"/>
    </xf>
    <xf numFmtId="0" fontId="160" fillId="0" borderId="91" xfId="50" applyFont="1" applyBorder="1" applyAlignment="1" applyProtection="1">
      <alignment horizontal="left" wrapText="1"/>
      <protection hidden="1"/>
    </xf>
    <xf numFmtId="49" fontId="81" fillId="0" borderId="91" xfId="50" applyNumberFormat="1" applyFont="1" applyBorder="1" applyAlignment="1" applyProtection="1">
      <alignment wrapText="1"/>
      <protection hidden="1"/>
    </xf>
    <xf numFmtId="49" fontId="289" fillId="0" borderId="91" xfId="50" applyNumberFormat="1" applyFont="1" applyFill="1" applyBorder="1" applyAlignment="1" applyProtection="1">
      <alignment wrapText="1"/>
      <protection hidden="1"/>
    </xf>
    <xf numFmtId="49" fontId="160" fillId="0" borderId="91" xfId="50" applyNumberFormat="1" applyFont="1" applyBorder="1" applyAlignment="1" applyProtection="1">
      <alignment horizontal="left" wrapText="1"/>
      <protection hidden="1"/>
    </xf>
    <xf numFmtId="0" fontId="160" fillId="46" borderId="91" xfId="50" applyFont="1" applyFill="1" applyBorder="1" applyProtection="1">
      <protection hidden="1"/>
    </xf>
    <xf numFmtId="0" fontId="160" fillId="0" borderId="91" xfId="50" applyFont="1" applyBorder="1" applyAlignment="1" applyProtection="1">
      <alignment horizontal="left"/>
      <protection hidden="1"/>
    </xf>
    <xf numFmtId="0" fontId="81" fillId="42" borderId="91" xfId="50" applyFont="1" applyFill="1" applyBorder="1" applyProtection="1">
      <protection hidden="1"/>
    </xf>
    <xf numFmtId="0" fontId="289" fillId="0" borderId="0" xfId="50" applyFont="1" applyProtection="1">
      <protection hidden="1"/>
    </xf>
    <xf numFmtId="0" fontId="75" fillId="0" borderId="91" xfId="50" applyFont="1" applyFill="1" applyBorder="1" applyProtection="1">
      <protection hidden="1"/>
    </xf>
    <xf numFmtId="0" fontId="274" fillId="0" borderId="91" xfId="50" applyFont="1" applyFill="1" applyBorder="1" applyAlignment="1" applyProtection="1">
      <alignment wrapText="1"/>
      <protection hidden="1"/>
    </xf>
    <xf numFmtId="0" fontId="207" fillId="0" borderId="91" xfId="50" applyFont="1" applyBorder="1" applyAlignment="1" applyProtection="1">
      <alignment wrapText="1"/>
      <protection hidden="1"/>
    </xf>
    <xf numFmtId="0" fontId="6" fillId="0" borderId="0" xfId="50" applyFont="1" applyFill="1" applyBorder="1" applyProtection="1">
      <protection hidden="1"/>
    </xf>
    <xf numFmtId="0" fontId="422" fillId="0" borderId="91" xfId="50" applyFont="1" applyBorder="1" applyAlignment="1" applyProtection="1">
      <alignment wrapText="1"/>
      <protection hidden="1"/>
    </xf>
    <xf numFmtId="0" fontId="423" fillId="0" borderId="91" xfId="50" applyFont="1" applyBorder="1" applyAlignment="1" applyProtection="1">
      <alignment wrapText="1"/>
      <protection hidden="1"/>
    </xf>
    <xf numFmtId="0" fontId="423" fillId="0" borderId="91" xfId="50" applyFont="1" applyBorder="1" applyProtection="1">
      <protection hidden="1"/>
    </xf>
    <xf numFmtId="0" fontId="423" fillId="51" borderId="91" xfId="50" applyFont="1" applyFill="1" applyBorder="1" applyProtection="1">
      <protection hidden="1"/>
    </xf>
    <xf numFmtId="0" fontId="207" fillId="51" borderId="91" xfId="50" applyFont="1" applyFill="1" applyBorder="1" applyProtection="1">
      <protection hidden="1"/>
    </xf>
    <xf numFmtId="0" fontId="424" fillId="0" borderId="91" xfId="50" applyFont="1" applyBorder="1" applyAlignment="1" applyProtection="1">
      <alignment wrapText="1"/>
      <protection hidden="1"/>
    </xf>
    <xf numFmtId="0" fontId="424" fillId="0" borderId="91" xfId="50" applyFont="1" applyBorder="1" applyProtection="1">
      <protection hidden="1"/>
    </xf>
    <xf numFmtId="0" fontId="424" fillId="0" borderId="0" xfId="50" applyFont="1" applyProtection="1">
      <protection hidden="1"/>
    </xf>
    <xf numFmtId="0" fontId="424" fillId="43" borderId="91" xfId="50" applyFont="1" applyFill="1" applyBorder="1" applyProtection="1">
      <protection hidden="1"/>
    </xf>
    <xf numFmtId="0" fontId="81" fillId="43" borderId="91" xfId="50" applyFont="1" applyFill="1" applyBorder="1" applyProtection="1">
      <protection hidden="1"/>
    </xf>
    <xf numFmtId="0" fontId="9" fillId="0" borderId="91" xfId="50" applyFont="1" applyBorder="1" applyProtection="1">
      <protection hidden="1"/>
    </xf>
    <xf numFmtId="0" fontId="425" fillId="0" borderId="91" xfId="50" applyFont="1" applyBorder="1" applyAlignment="1" applyProtection="1">
      <alignment wrapText="1"/>
      <protection hidden="1"/>
    </xf>
    <xf numFmtId="0" fontId="6" fillId="46" borderId="0" xfId="50" applyFill="1" applyAlignment="1" applyProtection="1">
      <alignment wrapText="1"/>
      <protection hidden="1"/>
    </xf>
    <xf numFmtId="2" fontId="266" fillId="43" borderId="91" xfId="50" applyNumberFormat="1" applyFont="1" applyFill="1" applyBorder="1" applyProtection="1">
      <protection hidden="1"/>
    </xf>
    <xf numFmtId="0" fontId="426" fillId="50" borderId="91" xfId="50" applyFont="1" applyFill="1" applyBorder="1" applyAlignment="1" applyProtection="1">
      <alignment wrapText="1"/>
      <protection hidden="1"/>
    </xf>
    <xf numFmtId="2" fontId="160" fillId="0" borderId="91" xfId="50" applyNumberFormat="1" applyFont="1" applyFill="1" applyBorder="1" applyProtection="1">
      <protection hidden="1"/>
    </xf>
    <xf numFmtId="0" fontId="81" fillId="0" borderId="99" xfId="50" applyFont="1" applyBorder="1" applyProtection="1">
      <protection hidden="1"/>
    </xf>
    <xf numFmtId="2" fontId="160" fillId="0" borderId="99" xfId="50" applyNumberFormat="1" applyFont="1" applyBorder="1" applyProtection="1">
      <protection hidden="1"/>
    </xf>
    <xf numFmtId="0" fontId="417" fillId="0" borderId="99" xfId="50" applyFont="1" applyBorder="1" applyProtection="1">
      <protection hidden="1"/>
    </xf>
    <xf numFmtId="0" fontId="293" fillId="0" borderId="91" xfId="50" applyFont="1" applyBorder="1" applyAlignment="1" applyProtection="1">
      <alignment horizontal="right"/>
      <protection hidden="1"/>
    </xf>
    <xf numFmtId="0" fontId="413" fillId="0" borderId="0" xfId="50" applyFont="1" applyProtection="1">
      <protection hidden="1"/>
    </xf>
    <xf numFmtId="2" fontId="420" fillId="43" borderId="91" xfId="50" applyNumberFormat="1" applyFont="1" applyFill="1" applyBorder="1" applyProtection="1">
      <protection hidden="1"/>
    </xf>
    <xf numFmtId="2" fontId="427" fillId="0" borderId="91" xfId="50" applyNumberFormat="1" applyFont="1" applyBorder="1" applyAlignment="1" applyProtection="1">
      <alignment wrapText="1"/>
      <protection hidden="1"/>
    </xf>
    <xf numFmtId="0" fontId="266" fillId="37" borderId="0" xfId="50" applyFont="1" applyFill="1" applyBorder="1" applyProtection="1">
      <protection hidden="1"/>
    </xf>
    <xf numFmtId="0" fontId="266" fillId="37" borderId="91" xfId="50" applyFont="1" applyFill="1" applyBorder="1" applyProtection="1">
      <protection hidden="1"/>
    </xf>
    <xf numFmtId="49" fontId="294" fillId="0" borderId="91" xfId="50" applyNumberFormat="1" applyFont="1" applyBorder="1" applyAlignment="1" applyProtection="1">
      <alignment wrapText="1"/>
      <protection hidden="1"/>
    </xf>
    <xf numFmtId="2" fontId="416" fillId="37" borderId="91" xfId="50" applyNumberFormat="1" applyFont="1" applyFill="1" applyBorder="1" applyProtection="1">
      <protection hidden="1"/>
    </xf>
    <xf numFmtId="1" fontId="416" fillId="37" borderId="91" xfId="50" applyNumberFormat="1" applyFont="1" applyFill="1" applyBorder="1" applyProtection="1">
      <protection hidden="1"/>
    </xf>
    <xf numFmtId="166" fontId="272" fillId="0" borderId="91" xfId="50" applyNumberFormat="1" applyFont="1" applyBorder="1" applyProtection="1">
      <protection hidden="1"/>
    </xf>
    <xf numFmtId="0" fontId="272" fillId="0" borderId="91" xfId="50" applyFont="1" applyBorder="1" applyProtection="1">
      <protection hidden="1"/>
    </xf>
    <xf numFmtId="166" fontId="75" fillId="0" borderId="91" xfId="50" applyNumberFormat="1" applyFont="1" applyBorder="1" applyProtection="1">
      <protection hidden="1"/>
    </xf>
    <xf numFmtId="49" fontId="75" fillId="0" borderId="91" xfId="50" applyNumberFormat="1" applyFont="1" applyBorder="1" applyAlignment="1" applyProtection="1">
      <alignment wrapText="1"/>
      <protection hidden="1"/>
    </xf>
    <xf numFmtId="1" fontId="75" fillId="0" borderId="91" xfId="50" applyNumberFormat="1" applyFont="1" applyFill="1" applyBorder="1" applyProtection="1">
      <protection hidden="1"/>
    </xf>
    <xf numFmtId="0" fontId="262" fillId="0" borderId="91" xfId="50" applyFont="1" applyBorder="1" applyProtection="1">
      <protection hidden="1"/>
    </xf>
    <xf numFmtId="1" fontId="273" fillId="47" borderId="91" xfId="50" applyNumberFormat="1" applyFont="1" applyFill="1" applyBorder="1" applyProtection="1">
      <protection hidden="1"/>
    </xf>
    <xf numFmtId="0" fontId="262" fillId="0" borderId="91" xfId="50" applyFont="1" applyBorder="1" applyAlignment="1" applyProtection="1">
      <alignment wrapText="1"/>
      <protection hidden="1"/>
    </xf>
    <xf numFmtId="0" fontId="81" fillId="42" borderId="0" xfId="50" applyFont="1" applyFill="1" applyProtection="1">
      <protection hidden="1"/>
    </xf>
    <xf numFmtId="0" fontId="416" fillId="37" borderId="91" xfId="50" applyFont="1" applyFill="1" applyBorder="1" applyAlignment="1" applyProtection="1">
      <alignment wrapText="1"/>
      <protection hidden="1"/>
    </xf>
    <xf numFmtId="2" fontId="416" fillId="0" borderId="91" xfId="50" applyNumberFormat="1" applyFont="1" applyBorder="1" applyProtection="1">
      <protection hidden="1"/>
    </xf>
    <xf numFmtId="49" fontId="293" fillId="0" borderId="91" xfId="50" applyNumberFormat="1" applyFont="1" applyFill="1" applyBorder="1" applyAlignment="1" applyProtection="1">
      <alignment wrapText="1"/>
      <protection hidden="1"/>
    </xf>
    <xf numFmtId="49" fontId="160" fillId="0" borderId="91" xfId="50" applyNumberFormat="1" applyFont="1" applyFill="1" applyBorder="1" applyAlignment="1" applyProtection="1">
      <alignment wrapText="1"/>
      <protection hidden="1"/>
    </xf>
    <xf numFmtId="0" fontId="6" fillId="37" borderId="91" xfId="50" applyFont="1" applyFill="1" applyBorder="1" applyAlignment="1" applyProtection="1">
      <alignment wrapText="1"/>
      <protection hidden="1"/>
    </xf>
    <xf numFmtId="1" fontId="266" fillId="37" borderId="91" xfId="50" applyNumberFormat="1" applyFont="1" applyFill="1" applyBorder="1" applyProtection="1">
      <protection hidden="1"/>
    </xf>
    <xf numFmtId="165" fontId="81" fillId="0" borderId="91" xfId="50" applyNumberFormat="1" applyFont="1" applyBorder="1" applyProtection="1">
      <protection hidden="1"/>
    </xf>
    <xf numFmtId="1" fontId="81" fillId="37" borderId="91" xfId="50" applyNumberFormat="1" applyFont="1" applyFill="1" applyBorder="1" applyProtection="1">
      <protection hidden="1"/>
    </xf>
    <xf numFmtId="0" fontId="81" fillId="37" borderId="91" xfId="50" applyFont="1" applyFill="1" applyBorder="1" applyAlignment="1" applyProtection="1">
      <alignment wrapText="1"/>
      <protection hidden="1"/>
    </xf>
    <xf numFmtId="2" fontId="81" fillId="43" borderId="91" xfId="50" applyNumberFormat="1" applyFont="1" applyFill="1" applyBorder="1" applyProtection="1">
      <protection hidden="1"/>
    </xf>
    <xf numFmtId="0" fontId="6" fillId="43" borderId="0" xfId="50" applyFill="1" applyBorder="1" applyProtection="1">
      <protection hidden="1"/>
    </xf>
    <xf numFmtId="0" fontId="407" fillId="0" borderId="91" xfId="50" applyFont="1" applyFill="1" applyBorder="1" applyProtection="1">
      <protection hidden="1"/>
    </xf>
    <xf numFmtId="0" fontId="2" fillId="0" borderId="91" xfId="50" applyFont="1" applyBorder="1" applyProtection="1">
      <protection hidden="1"/>
    </xf>
    <xf numFmtId="0" fontId="36" fillId="0" borderId="91" xfId="50" applyFont="1" applyBorder="1" applyAlignment="1" applyProtection="1">
      <alignment wrapText="1"/>
      <protection hidden="1"/>
    </xf>
    <xf numFmtId="0" fontId="4" fillId="0" borderId="94" xfId="50" applyFont="1" applyBorder="1" applyAlignment="1" applyProtection="1">
      <alignment wrapText="1"/>
      <protection hidden="1"/>
    </xf>
    <xf numFmtId="0" fontId="9" fillId="44" borderId="91" xfId="50" applyFont="1" applyFill="1" applyBorder="1" applyProtection="1">
      <protection hidden="1"/>
    </xf>
    <xf numFmtId="0" fontId="428" fillId="42" borderId="91" xfId="50" applyFont="1" applyFill="1" applyBorder="1" applyProtection="1">
      <protection hidden="1"/>
    </xf>
    <xf numFmtId="0" fontId="10" fillId="0" borderId="0" xfId="50" applyFont="1" applyFill="1" applyProtection="1">
      <protection hidden="1"/>
    </xf>
    <xf numFmtId="0" fontId="3" fillId="0" borderId="0" xfId="50" applyFont="1" applyFill="1" applyProtection="1">
      <protection hidden="1"/>
    </xf>
    <xf numFmtId="0" fontId="3" fillId="0" borderId="0" xfId="50" applyFont="1" applyFill="1" applyAlignment="1" applyProtection="1">
      <alignment wrapText="1"/>
      <protection hidden="1"/>
    </xf>
    <xf numFmtId="2" fontId="4" fillId="0" borderId="104" xfId="50" applyNumberFormat="1" applyFont="1" applyFill="1" applyBorder="1" applyProtection="1">
      <protection hidden="1"/>
    </xf>
    <xf numFmtId="2" fontId="4" fillId="0" borderId="105" xfId="50" applyNumberFormat="1" applyFont="1" applyFill="1" applyBorder="1" applyProtection="1">
      <protection hidden="1"/>
    </xf>
    <xf numFmtId="0" fontId="107" fillId="0" borderId="106" xfId="50" applyFont="1" applyFill="1" applyBorder="1" applyAlignment="1" applyProtection="1">
      <alignment horizontal="center"/>
      <protection hidden="1"/>
    </xf>
    <xf numFmtId="2" fontId="4" fillId="0" borderId="107" xfId="50" applyNumberFormat="1" applyFont="1" applyFill="1" applyBorder="1" applyProtection="1">
      <protection hidden="1"/>
    </xf>
    <xf numFmtId="2" fontId="4" fillId="0" borderId="91" xfId="50" applyNumberFormat="1" applyFont="1" applyFill="1" applyBorder="1" applyProtection="1">
      <protection hidden="1"/>
    </xf>
    <xf numFmtId="0" fontId="107" fillId="0" borderId="108" xfId="50" applyFont="1" applyFill="1" applyBorder="1" applyAlignment="1" applyProtection="1">
      <alignment horizontal="center"/>
      <protection hidden="1"/>
    </xf>
    <xf numFmtId="2" fontId="4" fillId="0" borderId="109" xfId="50" applyNumberFormat="1" applyFont="1" applyFill="1" applyBorder="1" applyProtection="1">
      <protection hidden="1"/>
    </xf>
    <xf numFmtId="2" fontId="4" fillId="0" borderId="110" xfId="50" applyNumberFormat="1" applyFont="1" applyFill="1" applyBorder="1" applyProtection="1">
      <protection hidden="1"/>
    </xf>
    <xf numFmtId="0" fontId="107" fillId="0" borderId="111" xfId="50" applyFont="1" applyFill="1" applyBorder="1" applyAlignment="1" applyProtection="1">
      <alignment horizontal="center"/>
      <protection hidden="1"/>
    </xf>
    <xf numFmtId="0" fontId="107" fillId="0" borderId="0" xfId="50" applyFont="1" applyFill="1" applyBorder="1" applyAlignment="1" applyProtection="1">
      <alignment horizontal="center"/>
      <protection hidden="1"/>
    </xf>
    <xf numFmtId="166" fontId="9" fillId="0" borderId="104" xfId="50" applyNumberFormat="1" applyFont="1" applyBorder="1" applyProtection="1">
      <protection hidden="1"/>
    </xf>
    <xf numFmtId="166" fontId="9" fillId="0" borderId="105" xfId="50" applyNumberFormat="1" applyFont="1" applyBorder="1" applyProtection="1">
      <protection hidden="1"/>
    </xf>
    <xf numFmtId="0" fontId="429" fillId="42" borderId="106" xfId="50" applyFont="1" applyFill="1" applyBorder="1" applyProtection="1">
      <protection hidden="1"/>
    </xf>
    <xf numFmtId="166" fontId="106" fillId="0" borderId="107" xfId="50" applyNumberFormat="1" applyFont="1" applyBorder="1" applyProtection="1">
      <protection hidden="1"/>
    </xf>
    <xf numFmtId="166" fontId="106" fillId="0" borderId="91" xfId="50" applyNumberFormat="1" applyFont="1" applyBorder="1" applyProtection="1">
      <protection hidden="1"/>
    </xf>
    <xf numFmtId="0" fontId="106" fillId="43" borderId="108" xfId="50" applyFont="1" applyFill="1" applyBorder="1" applyProtection="1">
      <protection hidden="1"/>
    </xf>
    <xf numFmtId="165" fontId="218" fillId="0" borderId="107" xfId="50" applyNumberFormat="1" applyFont="1" applyBorder="1" applyProtection="1">
      <protection hidden="1"/>
    </xf>
    <xf numFmtId="165" fontId="218" fillId="0" borderId="91" xfId="50" applyNumberFormat="1" applyFont="1" applyBorder="1" applyProtection="1">
      <protection hidden="1"/>
    </xf>
    <xf numFmtId="0" fontId="218" fillId="43" borderId="108" xfId="50" applyFont="1" applyFill="1" applyBorder="1" applyProtection="1">
      <protection hidden="1"/>
    </xf>
    <xf numFmtId="0" fontId="15" fillId="43" borderId="108" xfId="50" applyFont="1" applyFill="1" applyBorder="1" applyProtection="1">
      <protection hidden="1"/>
    </xf>
    <xf numFmtId="2" fontId="4" fillId="0" borderId="107" xfId="50" applyNumberFormat="1" applyFont="1" applyBorder="1" applyProtection="1">
      <protection hidden="1"/>
    </xf>
    <xf numFmtId="0" fontId="19" fillId="43" borderId="108" xfId="50" applyFont="1" applyFill="1" applyBorder="1" applyProtection="1">
      <protection hidden="1"/>
    </xf>
    <xf numFmtId="1" fontId="218" fillId="0" borderId="107" xfId="50" applyNumberFormat="1" applyFont="1" applyBorder="1" applyProtection="1">
      <protection hidden="1"/>
    </xf>
    <xf numFmtId="1" fontId="218" fillId="0" borderId="91" xfId="50" applyNumberFormat="1" applyFont="1" applyBorder="1" applyProtection="1">
      <protection hidden="1"/>
    </xf>
    <xf numFmtId="2" fontId="4" fillId="0" borderId="109" xfId="50" applyNumberFormat="1" applyFont="1" applyBorder="1" applyProtection="1">
      <protection hidden="1"/>
    </xf>
    <xf numFmtId="2" fontId="4" fillId="0" borderId="110" xfId="50" applyNumberFormat="1" applyFont="1" applyBorder="1" applyProtection="1">
      <protection hidden="1"/>
    </xf>
    <xf numFmtId="0" fontId="107" fillId="42" borderId="111" xfId="50" applyFont="1" applyFill="1" applyBorder="1" applyAlignment="1" applyProtection="1">
      <alignment horizontal="center"/>
      <protection hidden="1"/>
    </xf>
    <xf numFmtId="166" fontId="4" fillId="0" borderId="104" xfId="50" applyNumberFormat="1" applyFont="1" applyBorder="1" applyProtection="1">
      <protection hidden="1"/>
    </xf>
    <xf numFmtId="166" fontId="4" fillId="0" borderId="105" xfId="50" applyNumberFormat="1" applyFont="1" applyBorder="1" applyProtection="1">
      <protection hidden="1"/>
    </xf>
    <xf numFmtId="0" fontId="359" fillId="0" borderId="117" xfId="50" applyFont="1" applyFill="1" applyBorder="1" applyProtection="1">
      <protection hidden="1"/>
    </xf>
    <xf numFmtId="0" fontId="359" fillId="0" borderId="108" xfId="50" applyFont="1" applyFill="1" applyBorder="1" applyProtection="1">
      <protection hidden="1"/>
    </xf>
    <xf numFmtId="0" fontId="359" fillId="43" borderId="108" xfId="50" applyFont="1" applyFill="1" applyBorder="1" applyProtection="1">
      <protection hidden="1"/>
    </xf>
    <xf numFmtId="0" fontId="4" fillId="0" borderId="107" xfId="50" applyFont="1" applyBorder="1" applyProtection="1">
      <protection hidden="1"/>
    </xf>
    <xf numFmtId="0" fontId="61" fillId="0" borderId="91" xfId="50" applyFont="1" applyFill="1" applyBorder="1" applyProtection="1">
      <protection hidden="1"/>
    </xf>
    <xf numFmtId="0" fontId="265" fillId="43" borderId="108" xfId="50" applyFont="1" applyFill="1" applyBorder="1" applyProtection="1">
      <protection hidden="1"/>
    </xf>
    <xf numFmtId="0" fontId="359" fillId="0" borderId="107" xfId="50" applyFont="1" applyFill="1" applyBorder="1" applyProtection="1">
      <protection hidden="1"/>
    </xf>
    <xf numFmtId="0" fontId="359" fillId="0" borderId="91" xfId="50" applyFont="1" applyFill="1" applyBorder="1" applyProtection="1">
      <protection hidden="1"/>
    </xf>
    <xf numFmtId="0" fontId="359" fillId="43" borderId="108" xfId="50" applyFont="1" applyFill="1" applyBorder="1" applyAlignment="1" applyProtection="1">
      <alignment vertical="top"/>
      <protection hidden="1"/>
    </xf>
    <xf numFmtId="0" fontId="362" fillId="43" borderId="108" xfId="50" applyFont="1" applyFill="1" applyBorder="1" applyProtection="1">
      <protection hidden="1"/>
    </xf>
    <xf numFmtId="166" fontId="4" fillId="0" borderId="107" xfId="50" applyNumberFormat="1" applyFont="1" applyBorder="1" applyProtection="1">
      <protection hidden="1"/>
    </xf>
    <xf numFmtId="0" fontId="265" fillId="0" borderId="108" xfId="50" applyFont="1" applyFill="1" applyBorder="1" applyProtection="1">
      <protection hidden="1"/>
    </xf>
    <xf numFmtId="0" fontId="4" fillId="0" borderId="118" xfId="50" applyFont="1" applyBorder="1" applyProtection="1">
      <protection hidden="1"/>
    </xf>
    <xf numFmtId="0" fontId="4" fillId="0" borderId="0" xfId="50" applyFont="1" applyBorder="1" applyProtection="1">
      <protection hidden="1"/>
    </xf>
    <xf numFmtId="0" fontId="430" fillId="42" borderId="119" xfId="50" applyFont="1" applyFill="1" applyBorder="1" applyProtection="1">
      <protection hidden="1"/>
    </xf>
    <xf numFmtId="0" fontId="75" fillId="0" borderId="0" xfId="50" applyFont="1" applyFill="1" applyBorder="1" applyProtection="1">
      <protection hidden="1"/>
    </xf>
    <xf numFmtId="0" fontId="9" fillId="0" borderId="0" xfId="50" applyFont="1" applyBorder="1" applyProtection="1">
      <protection hidden="1"/>
    </xf>
    <xf numFmtId="0" fontId="429" fillId="0" borderId="0" xfId="50" applyFont="1" applyFill="1" applyBorder="1" applyAlignment="1" applyProtection="1">
      <alignment wrapText="1"/>
      <protection hidden="1"/>
    </xf>
    <xf numFmtId="0" fontId="106" fillId="0" borderId="105" xfId="50" applyFont="1" applyBorder="1" applyAlignment="1" applyProtection="1">
      <protection hidden="1"/>
    </xf>
    <xf numFmtId="0" fontId="106" fillId="0" borderId="106" xfId="50" applyFont="1" applyBorder="1" applyAlignment="1" applyProtection="1">
      <alignment wrapText="1"/>
      <protection hidden="1"/>
    </xf>
    <xf numFmtId="2" fontId="218" fillId="0" borderId="107" xfId="50" applyNumberFormat="1" applyFont="1" applyFill="1" applyBorder="1" applyAlignment="1" applyProtection="1">
      <protection hidden="1"/>
    </xf>
    <xf numFmtId="2" fontId="218" fillId="0" borderId="91" xfId="50" applyNumberFormat="1" applyFont="1" applyFill="1" applyBorder="1" applyAlignment="1" applyProtection="1">
      <protection hidden="1"/>
    </xf>
    <xf numFmtId="0" fontId="218" fillId="0" borderId="108" xfId="50" applyFont="1" applyBorder="1" applyProtection="1">
      <protection hidden="1"/>
    </xf>
    <xf numFmtId="0" fontId="218" fillId="0" borderId="107" xfId="50" applyFont="1" applyFill="1" applyBorder="1" applyAlignment="1" applyProtection="1">
      <protection hidden="1"/>
    </xf>
    <xf numFmtId="0" fontId="218" fillId="0" borderId="91" xfId="50" applyFont="1" applyFill="1" applyBorder="1" applyAlignment="1" applyProtection="1">
      <protection hidden="1"/>
    </xf>
    <xf numFmtId="0" fontId="218" fillId="0" borderId="108" xfId="50" applyFont="1" applyBorder="1" applyAlignment="1" applyProtection="1">
      <alignment wrapText="1"/>
      <protection hidden="1"/>
    </xf>
    <xf numFmtId="0" fontId="15" fillId="0" borderId="108" xfId="50" applyFont="1" applyBorder="1" applyProtection="1">
      <protection hidden="1"/>
    </xf>
    <xf numFmtId="0" fontId="218" fillId="0" borderId="107" xfId="50" applyFont="1" applyFill="1" applyBorder="1" applyProtection="1">
      <protection hidden="1"/>
    </xf>
    <xf numFmtId="0" fontId="218" fillId="0" borderId="91" xfId="50" applyFont="1" applyFill="1" applyBorder="1" applyProtection="1">
      <protection hidden="1"/>
    </xf>
    <xf numFmtId="0" fontId="15" fillId="0" borderId="108" xfId="50" applyFont="1" applyBorder="1" applyAlignment="1" applyProtection="1">
      <protection hidden="1"/>
    </xf>
    <xf numFmtId="2" fontId="218" fillId="0" borderId="107" xfId="50" applyNumberFormat="1" applyFont="1" applyFill="1" applyBorder="1" applyProtection="1">
      <protection hidden="1"/>
    </xf>
    <xf numFmtId="2" fontId="218" fillId="0" borderId="91" xfId="50" applyNumberFormat="1" applyFont="1" applyFill="1" applyBorder="1" applyProtection="1">
      <protection hidden="1"/>
    </xf>
    <xf numFmtId="0" fontId="218" fillId="0" borderId="108" xfId="50" applyFont="1" applyBorder="1" applyAlignment="1" applyProtection="1">
      <alignment vertical="top" wrapText="1"/>
      <protection hidden="1"/>
    </xf>
    <xf numFmtId="1" fontId="34" fillId="0" borderId="107" xfId="50" applyNumberFormat="1" applyFont="1" applyFill="1" applyBorder="1" applyProtection="1">
      <protection hidden="1"/>
    </xf>
    <xf numFmtId="1" fontId="34" fillId="0" borderId="91" xfId="50" applyNumberFormat="1" applyFont="1" applyFill="1" applyBorder="1" applyProtection="1">
      <protection hidden="1"/>
    </xf>
    <xf numFmtId="0" fontId="34" fillId="0" borderId="108" xfId="50" applyFont="1" applyBorder="1" applyAlignment="1" applyProtection="1">
      <alignment vertical="top" wrapText="1"/>
      <protection hidden="1"/>
    </xf>
    <xf numFmtId="0" fontId="15" fillId="0" borderId="108" xfId="50" applyFont="1" applyBorder="1" applyAlignment="1" applyProtection="1">
      <alignment vertical="top" wrapText="1"/>
      <protection hidden="1"/>
    </xf>
    <xf numFmtId="0" fontId="15" fillId="0" borderId="91" xfId="50" applyFont="1" applyFill="1" applyBorder="1" applyProtection="1">
      <protection hidden="1"/>
    </xf>
    <xf numFmtId="0" fontId="15" fillId="0" borderId="108" xfId="50" applyFont="1" applyFill="1" applyBorder="1" applyAlignment="1" applyProtection="1">
      <alignment vertical="top" wrapText="1"/>
      <protection hidden="1"/>
    </xf>
    <xf numFmtId="0" fontId="291" fillId="0" borderId="107" xfId="50" applyFont="1" applyFill="1" applyBorder="1" applyProtection="1">
      <protection hidden="1"/>
    </xf>
    <xf numFmtId="0" fontId="291" fillId="0" borderId="91" xfId="50" applyFont="1" applyFill="1" applyBorder="1" applyProtection="1">
      <protection hidden="1"/>
    </xf>
    <xf numFmtId="0" fontId="291" fillId="0" borderId="108" xfId="50" applyFont="1" applyBorder="1" applyAlignment="1" applyProtection="1">
      <alignment vertical="top" wrapText="1"/>
      <protection hidden="1"/>
    </xf>
    <xf numFmtId="1" fontId="75" fillId="0" borderId="107" xfId="50" applyNumberFormat="1" applyFont="1" applyFill="1" applyBorder="1" applyProtection="1">
      <protection hidden="1"/>
    </xf>
    <xf numFmtId="1" fontId="218" fillId="0" borderId="107" xfId="50" applyNumberFormat="1" applyFont="1" applyFill="1" applyBorder="1" applyProtection="1">
      <protection hidden="1"/>
    </xf>
    <xf numFmtId="1" fontId="218" fillId="0" borderId="91" xfId="50" applyNumberFormat="1" applyFont="1" applyFill="1" applyBorder="1" applyProtection="1">
      <protection hidden="1"/>
    </xf>
    <xf numFmtId="0" fontId="218" fillId="36" borderId="108" xfId="50" applyFont="1" applyFill="1" applyBorder="1" applyAlignment="1" applyProtection="1">
      <alignment vertical="top" wrapText="1"/>
      <protection hidden="1"/>
    </xf>
    <xf numFmtId="0" fontId="75" fillId="0" borderId="107" xfId="50" applyFont="1" applyFill="1" applyBorder="1" applyProtection="1">
      <protection hidden="1"/>
    </xf>
    <xf numFmtId="0" fontId="15" fillId="0" borderId="108" xfId="50" applyFont="1" applyBorder="1" applyAlignment="1" applyProtection="1">
      <alignment wrapText="1"/>
      <protection hidden="1"/>
    </xf>
    <xf numFmtId="0" fontId="15" fillId="43" borderId="118" xfId="50" applyFont="1" applyFill="1" applyBorder="1" applyProtection="1">
      <protection hidden="1"/>
    </xf>
    <xf numFmtId="0" fontId="15" fillId="43" borderId="0" xfId="50" applyFont="1" applyFill="1" applyBorder="1" applyProtection="1">
      <protection hidden="1"/>
    </xf>
    <xf numFmtId="0" fontId="15" fillId="36" borderId="119" xfId="50" applyFont="1" applyFill="1" applyBorder="1" applyAlignment="1" applyProtection="1">
      <alignment wrapText="1"/>
      <protection hidden="1"/>
    </xf>
    <xf numFmtId="0" fontId="9" fillId="0" borderId="104" xfId="50" applyFont="1" applyBorder="1" applyProtection="1">
      <protection hidden="1"/>
    </xf>
    <xf numFmtId="0" fontId="9" fillId="0" borderId="105" xfId="50" applyFont="1" applyBorder="1" applyProtection="1">
      <protection hidden="1"/>
    </xf>
    <xf numFmtId="0" fontId="429" fillId="0" borderId="106" xfId="50" applyFont="1" applyFill="1" applyBorder="1" applyAlignment="1" applyProtection="1">
      <alignment wrapText="1"/>
      <protection hidden="1"/>
    </xf>
    <xf numFmtId="0" fontId="410" fillId="0" borderId="108" xfId="50" applyFont="1" applyFill="1" applyBorder="1" applyAlignment="1" applyProtection="1">
      <alignment wrapText="1"/>
      <protection hidden="1"/>
    </xf>
    <xf numFmtId="0" fontId="262" fillId="37" borderId="107" xfId="50" applyFont="1" applyFill="1" applyBorder="1" applyProtection="1">
      <protection hidden="1"/>
    </xf>
    <xf numFmtId="0" fontId="262" fillId="37" borderId="91" xfId="50" applyFont="1" applyFill="1" applyBorder="1" applyProtection="1">
      <protection hidden="1"/>
    </xf>
    <xf numFmtId="0" fontId="411" fillId="37" borderId="108" xfId="50" applyFont="1" applyFill="1" applyBorder="1" applyAlignment="1" applyProtection="1">
      <alignment wrapText="1"/>
      <protection hidden="1"/>
    </xf>
    <xf numFmtId="0" fontId="411" fillId="0" borderId="108" xfId="50" applyFont="1" applyFill="1" applyBorder="1" applyAlignment="1" applyProtection="1">
      <alignment wrapText="1"/>
      <protection hidden="1"/>
    </xf>
    <xf numFmtId="0" fontId="430" fillId="0" borderId="108" xfId="50" applyFont="1" applyFill="1" applyBorder="1" applyAlignment="1" applyProtection="1">
      <alignment wrapText="1"/>
      <protection hidden="1"/>
    </xf>
    <xf numFmtId="0" fontId="429" fillId="0" borderId="118" xfId="50" applyFont="1" applyBorder="1" applyProtection="1">
      <protection hidden="1"/>
    </xf>
    <xf numFmtId="0" fontId="429" fillId="0" borderId="0" xfId="50" applyFont="1" applyBorder="1" applyProtection="1">
      <protection hidden="1"/>
    </xf>
    <xf numFmtId="0" fontId="410" fillId="0" borderId="119" xfId="50" applyFont="1" applyFill="1" applyBorder="1" applyProtection="1">
      <protection hidden="1"/>
    </xf>
    <xf numFmtId="0" fontId="429" fillId="0" borderId="105" xfId="50" applyFont="1" applyBorder="1" applyProtection="1">
      <protection hidden="1"/>
    </xf>
    <xf numFmtId="0" fontId="429" fillId="0" borderId="106" xfId="50" applyFont="1" applyFill="1" applyBorder="1" applyProtection="1">
      <protection hidden="1"/>
    </xf>
    <xf numFmtId="0" fontId="410" fillId="0" borderId="108" xfId="50" applyFont="1" applyFill="1" applyBorder="1" applyProtection="1">
      <protection hidden="1"/>
    </xf>
    <xf numFmtId="0" fontId="411" fillId="0" borderId="108" xfId="50" applyFont="1" applyFill="1" applyBorder="1" applyProtection="1">
      <protection hidden="1"/>
    </xf>
    <xf numFmtId="0" fontId="429" fillId="0" borderId="0" xfId="50" applyFont="1" applyBorder="1" applyAlignment="1" applyProtection="1">
      <alignment horizontal="right"/>
      <protection hidden="1"/>
    </xf>
    <xf numFmtId="0" fontId="429" fillId="42" borderId="118" xfId="50" applyFont="1" applyFill="1" applyBorder="1" applyProtection="1">
      <protection hidden="1"/>
    </xf>
    <xf numFmtId="0" fontId="429" fillId="42" borderId="0" xfId="50" applyFont="1" applyFill="1" applyBorder="1" applyProtection="1">
      <protection hidden="1"/>
    </xf>
    <xf numFmtId="0" fontId="430" fillId="42" borderId="119" xfId="50" applyFont="1" applyFill="1" applyBorder="1" applyAlignment="1" applyProtection="1">
      <alignment horizontal="right"/>
      <protection hidden="1"/>
    </xf>
    <xf numFmtId="0" fontId="410" fillId="0" borderId="107" xfId="50" applyFont="1" applyBorder="1" applyProtection="1">
      <protection hidden="1"/>
    </xf>
    <xf numFmtId="0" fontId="410" fillId="0" borderId="91" xfId="50" applyFont="1" applyBorder="1" applyProtection="1">
      <protection hidden="1"/>
    </xf>
    <xf numFmtId="0" fontId="410" fillId="0" borderId="91" xfId="50" applyFont="1" applyFill="1" applyBorder="1" applyProtection="1">
      <protection hidden="1"/>
    </xf>
    <xf numFmtId="0" fontId="6" fillId="49" borderId="0" xfId="50" applyFont="1" applyFill="1" applyProtection="1">
      <protection hidden="1"/>
    </xf>
    <xf numFmtId="0" fontId="410" fillId="0" borderId="107" xfId="50" applyFont="1" applyFill="1" applyBorder="1" applyProtection="1">
      <protection hidden="1"/>
    </xf>
    <xf numFmtId="0" fontId="9" fillId="0" borderId="107" xfId="50" applyFont="1" applyBorder="1" applyProtection="1">
      <protection hidden="1"/>
    </xf>
    <xf numFmtId="0" fontId="271" fillId="0" borderId="108" xfId="50" applyFont="1" applyFill="1" applyBorder="1" applyProtection="1">
      <protection hidden="1"/>
    </xf>
    <xf numFmtId="0" fontId="4" fillId="0" borderId="108" xfId="50" applyFont="1" applyBorder="1" applyAlignment="1" applyProtection="1">
      <alignment wrapText="1"/>
      <protection hidden="1"/>
    </xf>
    <xf numFmtId="0" fontId="4" fillId="0" borderId="107" xfId="50" applyFont="1" applyFill="1" applyBorder="1" applyProtection="1">
      <protection hidden="1"/>
    </xf>
    <xf numFmtId="0" fontId="4" fillId="0" borderId="108" xfId="50" applyFont="1" applyFill="1" applyBorder="1" applyProtection="1">
      <protection hidden="1"/>
    </xf>
    <xf numFmtId="0" fontId="4" fillId="0" borderId="108" xfId="50" applyFont="1" applyBorder="1" applyProtection="1">
      <protection hidden="1"/>
    </xf>
    <xf numFmtId="0" fontId="6" fillId="0" borderId="108" xfId="50" applyFont="1" applyFill="1" applyBorder="1" applyAlignment="1" applyProtection="1">
      <alignment wrapText="1"/>
      <protection hidden="1"/>
    </xf>
    <xf numFmtId="0" fontId="9" fillId="0" borderId="123" xfId="50" applyFont="1" applyBorder="1" applyProtection="1">
      <protection hidden="1"/>
    </xf>
    <xf numFmtId="0" fontId="9" fillId="43" borderId="124" xfId="50" applyFont="1" applyFill="1" applyBorder="1" applyAlignment="1" applyProtection="1">
      <alignment horizontal="right" wrapText="1"/>
      <protection hidden="1"/>
    </xf>
    <xf numFmtId="0" fontId="6" fillId="43" borderId="108" xfId="50" applyFont="1" applyFill="1" applyBorder="1" applyAlignment="1" applyProtection="1">
      <alignment wrapText="1"/>
      <protection hidden="1"/>
    </xf>
    <xf numFmtId="0" fontId="4" fillId="0" borderId="108" xfId="50" applyFont="1" applyFill="1" applyBorder="1" applyAlignment="1" applyProtection="1">
      <alignment wrapText="1"/>
      <protection hidden="1"/>
    </xf>
    <xf numFmtId="0" fontId="6" fillId="42" borderId="108" xfId="50" applyFont="1" applyFill="1" applyBorder="1" applyAlignment="1" applyProtection="1">
      <alignment wrapText="1"/>
      <protection hidden="1"/>
    </xf>
    <xf numFmtId="0" fontId="6" fillId="0" borderId="107" xfId="50" applyFill="1" applyBorder="1" applyProtection="1">
      <protection hidden="1"/>
    </xf>
    <xf numFmtId="0" fontId="6" fillId="42" borderId="102" xfId="50" applyFont="1" applyFill="1" applyBorder="1" applyAlignment="1" applyProtection="1">
      <alignment wrapText="1"/>
      <protection hidden="1"/>
    </xf>
    <xf numFmtId="0" fontId="428" fillId="53" borderId="115" xfId="50" applyFont="1" applyFill="1" applyBorder="1" applyAlignment="1" applyProtection="1">
      <alignment horizontal="center"/>
      <protection hidden="1"/>
    </xf>
    <xf numFmtId="0" fontId="428" fillId="53" borderId="125" xfId="50" applyFont="1" applyFill="1" applyBorder="1" applyAlignment="1" applyProtection="1">
      <alignment horizontal="center"/>
      <protection hidden="1"/>
    </xf>
    <xf numFmtId="0" fontId="428" fillId="53" borderId="114" xfId="50" applyFont="1" applyFill="1" applyBorder="1" applyAlignment="1" applyProtection="1">
      <alignment horizontal="center"/>
      <protection hidden="1"/>
    </xf>
    <xf numFmtId="0" fontId="106" fillId="43" borderId="91" xfId="50" applyFont="1" applyFill="1" applyBorder="1" applyProtection="1">
      <protection hidden="1"/>
    </xf>
    <xf numFmtId="0" fontId="4" fillId="0" borderId="126" xfId="50" applyFont="1" applyBorder="1" applyProtection="1">
      <protection hidden="1"/>
    </xf>
    <xf numFmtId="0" fontId="4" fillId="0" borderId="101" xfId="50" applyFont="1" applyBorder="1" applyProtection="1">
      <protection hidden="1"/>
    </xf>
    <xf numFmtId="0" fontId="6" fillId="43" borderId="127" xfId="50" applyFont="1" applyFill="1" applyBorder="1" applyAlignment="1" applyProtection="1">
      <alignment wrapText="1"/>
      <protection hidden="1"/>
    </xf>
    <xf numFmtId="0" fontId="6" fillId="43" borderId="108" xfId="50" applyFont="1" applyFill="1" applyBorder="1" applyProtection="1">
      <protection hidden="1"/>
    </xf>
    <xf numFmtId="0" fontId="6" fillId="0" borderId="108" xfId="50" applyFont="1" applyFill="1" applyBorder="1" applyProtection="1">
      <protection hidden="1"/>
    </xf>
    <xf numFmtId="0" fontId="4" fillId="0" borderId="109" xfId="50" applyFont="1" applyFill="1" applyBorder="1" applyProtection="1">
      <protection hidden="1"/>
    </xf>
    <xf numFmtId="0" fontId="4" fillId="0" borderId="110" xfId="50" applyFont="1" applyFill="1" applyBorder="1" applyProtection="1">
      <protection hidden="1"/>
    </xf>
    <xf numFmtId="0" fontId="6" fillId="0" borderId="111" xfId="50" applyFont="1" applyFill="1" applyBorder="1" applyProtection="1">
      <protection hidden="1"/>
    </xf>
    <xf numFmtId="0" fontId="6" fillId="42" borderId="91" xfId="50" applyFont="1" applyFill="1" applyBorder="1" applyAlignment="1" applyProtection="1">
      <alignment horizontal="center" wrapText="1"/>
      <protection hidden="1"/>
    </xf>
    <xf numFmtId="0" fontId="6" fillId="42" borderId="91" xfId="50" applyFont="1" applyFill="1" applyBorder="1" applyAlignment="1" applyProtection="1">
      <alignment horizontal="left"/>
      <protection hidden="1"/>
    </xf>
    <xf numFmtId="0" fontId="4" fillId="0" borderId="104" xfId="50" applyFont="1" applyFill="1" applyBorder="1" applyProtection="1">
      <protection hidden="1"/>
    </xf>
    <xf numFmtId="0" fontId="4" fillId="0" borderId="105" xfId="50" applyFont="1" applyFill="1" applyBorder="1" applyProtection="1">
      <protection hidden="1"/>
    </xf>
    <xf numFmtId="0" fontId="6" fillId="0" borderId="106" xfId="50" applyFont="1" applyFill="1" applyBorder="1" applyProtection="1">
      <protection hidden="1"/>
    </xf>
    <xf numFmtId="166" fontId="9" fillId="0" borderId="91" xfId="50" applyNumberFormat="1" applyFont="1" applyBorder="1" applyProtection="1">
      <protection hidden="1"/>
    </xf>
    <xf numFmtId="0" fontId="9" fillId="0" borderId="91" xfId="50" applyFont="1" applyBorder="1" applyAlignment="1" applyProtection="1">
      <alignment wrapText="1"/>
      <protection hidden="1"/>
    </xf>
    <xf numFmtId="166" fontId="160" fillId="54" borderId="91" xfId="50" applyNumberFormat="1" applyFont="1" applyFill="1" applyBorder="1" applyProtection="1">
      <protection hidden="1"/>
    </xf>
    <xf numFmtId="0" fontId="155" fillId="54" borderId="91" xfId="50" applyFont="1" applyFill="1" applyBorder="1" applyProtection="1">
      <protection hidden="1"/>
    </xf>
    <xf numFmtId="0" fontId="155" fillId="0" borderId="91" xfId="50" applyFont="1" applyBorder="1" applyProtection="1">
      <protection hidden="1"/>
    </xf>
    <xf numFmtId="0" fontId="6" fillId="42" borderId="91" xfId="50" applyFont="1" applyFill="1" applyBorder="1" applyProtection="1">
      <protection hidden="1"/>
    </xf>
    <xf numFmtId="0" fontId="9" fillId="43" borderId="91" xfId="50" applyFont="1" applyFill="1" applyBorder="1" applyProtection="1">
      <protection hidden="1"/>
    </xf>
    <xf numFmtId="0" fontId="9" fillId="0" borderId="102" xfId="50" applyFont="1" applyFill="1" applyBorder="1" applyAlignment="1" applyProtection="1">
      <alignment wrapText="1"/>
      <protection hidden="1"/>
    </xf>
    <xf numFmtId="0" fontId="4" fillId="0" borderId="101" xfId="50" applyFont="1" applyFill="1" applyBorder="1" applyProtection="1">
      <protection hidden="1"/>
    </xf>
    <xf numFmtId="0" fontId="6" fillId="40" borderId="101" xfId="50" applyFont="1" applyFill="1" applyBorder="1" applyAlignment="1" applyProtection="1">
      <alignment wrapText="1"/>
      <protection hidden="1"/>
    </xf>
    <xf numFmtId="0" fontId="6" fillId="40" borderId="91" xfId="50" applyFont="1" applyFill="1" applyBorder="1" applyAlignment="1" applyProtection="1">
      <alignment wrapText="1"/>
      <protection hidden="1"/>
    </xf>
    <xf numFmtId="0" fontId="6" fillId="0" borderId="0" xfId="50" applyBorder="1" applyAlignment="1" applyProtection="1">
      <protection hidden="1"/>
    </xf>
    <xf numFmtId="0" fontId="6" fillId="43" borderId="0" xfId="50" applyFill="1" applyBorder="1" applyAlignment="1" applyProtection="1">
      <protection hidden="1"/>
    </xf>
    <xf numFmtId="0" fontId="40" fillId="43" borderId="91" xfId="50" applyFont="1" applyFill="1" applyBorder="1" applyProtection="1">
      <protection hidden="1"/>
    </xf>
    <xf numFmtId="0" fontId="264" fillId="40" borderId="91" xfId="50" applyFont="1" applyFill="1" applyBorder="1" applyProtection="1">
      <protection hidden="1"/>
    </xf>
    <xf numFmtId="165" fontId="4" fillId="0" borderId="99" xfId="50" applyNumberFormat="1" applyFont="1" applyBorder="1" applyProtection="1">
      <protection hidden="1"/>
    </xf>
    <xf numFmtId="0" fontId="6" fillId="0" borderId="99" xfId="50" applyBorder="1" applyProtection="1">
      <protection hidden="1"/>
    </xf>
    <xf numFmtId="0" fontId="42" fillId="53" borderId="129" xfId="50" applyFont="1" applyFill="1" applyBorder="1" applyAlignment="1" applyProtection="1">
      <alignment horizontal="center"/>
      <protection hidden="1"/>
    </xf>
    <xf numFmtId="0" fontId="42" fillId="53" borderId="123" xfId="50" applyFont="1" applyFill="1" applyBorder="1" applyAlignment="1" applyProtection="1">
      <alignment horizontal="center"/>
      <protection hidden="1"/>
    </xf>
    <xf numFmtId="0" fontId="42" fillId="53" borderId="117" xfId="50" applyFont="1" applyFill="1" applyBorder="1" applyAlignment="1" applyProtection="1">
      <alignment horizontal="right"/>
      <protection hidden="1"/>
    </xf>
    <xf numFmtId="0" fontId="6" fillId="43" borderId="130" xfId="50" applyFill="1" applyBorder="1" applyProtection="1">
      <protection hidden="1"/>
    </xf>
    <xf numFmtId="0" fontId="75" fillId="0" borderId="104" xfId="50" applyFont="1" applyBorder="1" applyProtection="1">
      <protection hidden="1"/>
    </xf>
    <xf numFmtId="0" fontId="75" fillId="0" borderId="105" xfId="50" applyFont="1" applyBorder="1" applyProtection="1">
      <protection hidden="1"/>
    </xf>
    <xf numFmtId="0" fontId="431" fillId="0" borderId="106" xfId="50" applyFont="1" applyBorder="1" applyProtection="1">
      <protection hidden="1"/>
    </xf>
    <xf numFmtId="0" fontId="75" fillId="0" borderId="107" xfId="50" applyFont="1" applyBorder="1" applyProtection="1">
      <protection hidden="1"/>
    </xf>
    <xf numFmtId="0" fontId="431" fillId="0" borderId="108" xfId="50" applyFont="1" applyBorder="1" applyProtection="1">
      <protection hidden="1"/>
    </xf>
    <xf numFmtId="0" fontId="262" fillId="0" borderId="108" xfId="50" applyFont="1" applyBorder="1" applyProtection="1">
      <protection hidden="1"/>
    </xf>
    <xf numFmtId="0" fontId="262" fillId="0" borderId="107" xfId="50" applyFont="1" applyBorder="1" applyProtection="1">
      <protection hidden="1"/>
    </xf>
    <xf numFmtId="0" fontId="262" fillId="47" borderId="108" xfId="50" applyFont="1" applyFill="1" applyBorder="1" applyProtection="1">
      <protection hidden="1"/>
    </xf>
    <xf numFmtId="0" fontId="262" fillId="0" borderId="108" xfId="50" applyFont="1" applyBorder="1" applyAlignment="1" applyProtection="1">
      <alignment wrapText="1"/>
      <protection hidden="1"/>
    </xf>
    <xf numFmtId="0" fontId="75" fillId="0" borderId="127" xfId="50" applyFont="1" applyBorder="1" applyProtection="1">
      <protection hidden="1"/>
    </xf>
    <xf numFmtId="0" fontId="262" fillId="0" borderId="132" xfId="50" applyFont="1" applyBorder="1" applyProtection="1">
      <protection hidden="1"/>
    </xf>
    <xf numFmtId="0" fontId="75" fillId="0" borderId="108" xfId="50" applyFont="1" applyBorder="1" applyProtection="1">
      <protection hidden="1"/>
    </xf>
    <xf numFmtId="0" fontId="262" fillId="0" borderId="133" xfId="50" applyFont="1" applyBorder="1" applyProtection="1">
      <protection hidden="1"/>
    </xf>
    <xf numFmtId="0" fontId="262" fillId="0" borderId="133" xfId="50" applyFont="1" applyBorder="1" applyAlignment="1" applyProtection="1">
      <alignment wrapText="1"/>
      <protection hidden="1"/>
    </xf>
    <xf numFmtId="0" fontId="75" fillId="0" borderId="108" xfId="50" applyFont="1" applyFill="1" applyBorder="1" applyProtection="1">
      <protection hidden="1"/>
    </xf>
    <xf numFmtId="0" fontId="75" fillId="56" borderId="108" xfId="50" applyFont="1" applyFill="1" applyBorder="1" applyProtection="1">
      <protection hidden="1"/>
    </xf>
    <xf numFmtId="0" fontId="75" fillId="56" borderId="133" xfId="50" applyFont="1" applyFill="1" applyBorder="1" applyProtection="1">
      <protection hidden="1"/>
    </xf>
    <xf numFmtId="0" fontId="75" fillId="56" borderId="133" xfId="50" applyFont="1" applyFill="1" applyBorder="1" applyAlignment="1" applyProtection="1">
      <alignment wrapText="1" shrinkToFit="1"/>
      <protection hidden="1"/>
    </xf>
    <xf numFmtId="0" fontId="76" fillId="56" borderId="108" xfId="50" applyFont="1" applyFill="1" applyBorder="1" applyProtection="1">
      <protection hidden="1"/>
    </xf>
    <xf numFmtId="0" fontId="76" fillId="56" borderId="133" xfId="50" applyFont="1" applyFill="1" applyBorder="1" applyProtection="1">
      <protection hidden="1"/>
    </xf>
    <xf numFmtId="0" fontId="75" fillId="0" borderId="111" xfId="50" applyFont="1" applyBorder="1" applyProtection="1">
      <protection hidden="1"/>
    </xf>
    <xf numFmtId="0" fontId="262" fillId="0" borderId="134" xfId="50" applyFont="1" applyBorder="1" applyProtection="1">
      <protection hidden="1"/>
    </xf>
    <xf numFmtId="168" fontId="75" fillId="0" borderId="135" xfId="50" applyNumberFormat="1" applyFont="1" applyBorder="1" applyProtection="1">
      <protection hidden="1"/>
    </xf>
    <xf numFmtId="168" fontId="75" fillId="0" borderId="106" xfId="50" applyNumberFormat="1" applyFont="1" applyBorder="1" applyProtection="1">
      <protection hidden="1"/>
    </xf>
    <xf numFmtId="0" fontId="432" fillId="0" borderId="136" xfId="50" applyFont="1" applyBorder="1" applyProtection="1">
      <protection hidden="1"/>
    </xf>
    <xf numFmtId="0" fontId="75" fillId="0" borderId="121" xfId="50" applyFont="1" applyBorder="1" applyProtection="1">
      <protection hidden="1"/>
    </xf>
    <xf numFmtId="0" fontId="76" fillId="56" borderId="121" xfId="50" applyFont="1" applyFill="1" applyBorder="1" applyProtection="1">
      <protection hidden="1"/>
    </xf>
    <xf numFmtId="0" fontId="262" fillId="56" borderId="133" xfId="50" applyFont="1" applyFill="1" applyBorder="1" applyProtection="1">
      <protection hidden="1"/>
    </xf>
    <xf numFmtId="0" fontId="262" fillId="0" borderId="121" xfId="50" applyFont="1" applyBorder="1" applyProtection="1">
      <protection hidden="1"/>
    </xf>
    <xf numFmtId="0" fontId="274" fillId="0" borderId="133" xfId="50" applyFont="1" applyBorder="1" applyProtection="1">
      <protection hidden="1"/>
    </xf>
    <xf numFmtId="0" fontId="75" fillId="0" borderId="122" xfId="50" applyFont="1" applyBorder="1" applyProtection="1">
      <protection hidden="1"/>
    </xf>
    <xf numFmtId="0" fontId="271" fillId="0" borderId="0" xfId="50" applyFont="1" applyFill="1" applyBorder="1" applyProtection="1">
      <protection hidden="1"/>
    </xf>
    <xf numFmtId="0" fontId="4" fillId="0" borderId="129" xfId="50" applyFont="1" applyBorder="1" applyProtection="1">
      <protection hidden="1"/>
    </xf>
    <xf numFmtId="0" fontId="4" fillId="0" borderId="123" xfId="50" applyFont="1" applyBorder="1" applyProtection="1">
      <protection hidden="1"/>
    </xf>
    <xf numFmtId="0" fontId="271" fillId="0" borderId="106" xfId="50" applyFont="1" applyFill="1" applyBorder="1" applyProtection="1">
      <protection hidden="1"/>
    </xf>
    <xf numFmtId="0" fontId="6" fillId="0" borderId="118" xfId="50" applyBorder="1" applyProtection="1">
      <protection hidden="1"/>
    </xf>
    <xf numFmtId="0" fontId="6" fillId="0" borderId="119" xfId="50" applyFont="1" applyBorder="1" applyProtection="1">
      <protection hidden="1"/>
    </xf>
    <xf numFmtId="0" fontId="6" fillId="0" borderId="108" xfId="50" applyBorder="1" applyProtection="1">
      <protection hidden="1"/>
    </xf>
    <xf numFmtId="0" fontId="6" fillId="0" borderId="108" xfId="50" applyFont="1" applyBorder="1" applyAlignment="1" applyProtection="1">
      <alignment wrapText="1"/>
      <protection hidden="1"/>
    </xf>
    <xf numFmtId="0" fontId="6" fillId="0" borderId="107" xfId="50" applyBorder="1" applyProtection="1">
      <protection hidden="1"/>
    </xf>
    <xf numFmtId="0" fontId="36" fillId="0" borderId="108" xfId="50" applyFont="1" applyBorder="1" applyAlignment="1" applyProtection="1">
      <alignment wrapText="1"/>
      <protection hidden="1"/>
    </xf>
    <xf numFmtId="0" fontId="4" fillId="0" borderId="118" xfId="50" applyFont="1" applyFill="1" applyBorder="1" applyProtection="1">
      <protection hidden="1"/>
    </xf>
    <xf numFmtId="0" fontId="4" fillId="43" borderId="108" xfId="50" applyFont="1" applyFill="1" applyBorder="1" applyProtection="1">
      <protection hidden="1"/>
    </xf>
    <xf numFmtId="0" fontId="289" fillId="0" borderId="108" xfId="50" applyFont="1" applyBorder="1" applyAlignment="1" applyProtection="1">
      <alignment wrapText="1"/>
      <protection hidden="1"/>
    </xf>
    <xf numFmtId="0" fontId="4" fillId="0" borderId="111" xfId="50" applyFont="1" applyFill="1" applyBorder="1" applyProtection="1">
      <protection hidden="1"/>
    </xf>
    <xf numFmtId="2" fontId="222" fillId="0" borderId="91" xfId="50" applyNumberFormat="1" applyFont="1" applyBorder="1" applyProtection="1">
      <protection hidden="1"/>
    </xf>
    <xf numFmtId="0" fontId="106" fillId="0" borderId="91" xfId="50" applyFont="1" applyFill="1" applyBorder="1" applyAlignment="1" applyProtection="1">
      <alignment horizontal="left"/>
      <protection hidden="1"/>
    </xf>
    <xf numFmtId="0" fontId="106" fillId="0" borderId="91" xfId="50" applyFont="1" applyBorder="1" applyAlignment="1" applyProtection="1">
      <alignment horizontal="left"/>
      <protection hidden="1"/>
    </xf>
    <xf numFmtId="0" fontId="7" fillId="0" borderId="0" xfId="50" applyFont="1" applyProtection="1">
      <protection hidden="1"/>
    </xf>
    <xf numFmtId="0" fontId="6" fillId="0" borderId="0" xfId="50" applyFont="1" applyBorder="1" applyAlignment="1" applyProtection="1">
      <protection hidden="1"/>
    </xf>
    <xf numFmtId="0" fontId="6" fillId="0" borderId="0" xfId="50" applyFont="1" applyFill="1" applyBorder="1" applyAlignment="1" applyProtection="1">
      <protection hidden="1"/>
    </xf>
    <xf numFmtId="0" fontId="15" fillId="0" borderId="0" xfId="50" applyFont="1" applyFill="1" applyBorder="1" applyAlignment="1" applyProtection="1">
      <alignment horizontal="left"/>
      <protection hidden="1"/>
    </xf>
    <xf numFmtId="0" fontId="15" fillId="0" borderId="91" xfId="50" applyFont="1" applyFill="1" applyBorder="1" applyAlignment="1" applyProtection="1">
      <alignment horizontal="left"/>
      <protection hidden="1"/>
    </xf>
    <xf numFmtId="0" fontId="265" fillId="0" borderId="0" xfId="50" applyFont="1" applyFill="1" applyBorder="1" applyAlignment="1" applyProtection="1">
      <protection hidden="1"/>
    </xf>
    <xf numFmtId="0" fontId="411" fillId="0" borderId="0" xfId="50" applyFont="1" applyFill="1" applyBorder="1" applyAlignment="1" applyProtection="1">
      <alignment horizontal="left"/>
      <protection hidden="1"/>
    </xf>
    <xf numFmtId="0" fontId="411" fillId="43" borderId="108" xfId="50" applyFont="1" applyFill="1" applyBorder="1" applyAlignment="1" applyProtection="1">
      <alignment horizontal="left"/>
      <protection hidden="1"/>
    </xf>
    <xf numFmtId="0" fontId="4" fillId="0" borderId="0" xfId="50" applyFont="1" applyFill="1" applyBorder="1" applyAlignment="1" applyProtection="1">
      <protection hidden="1"/>
    </xf>
    <xf numFmtId="0" fontId="262" fillId="0" borderId="0" xfId="50" applyFont="1" applyFill="1" applyBorder="1" applyAlignment="1" applyProtection="1">
      <protection hidden="1"/>
    </xf>
    <xf numFmtId="0" fontId="6" fillId="0" borderId="127" xfId="50" applyFont="1" applyFill="1" applyBorder="1" applyAlignment="1" applyProtection="1">
      <alignment wrapText="1"/>
      <protection hidden="1"/>
    </xf>
    <xf numFmtId="49" fontId="81" fillId="0" borderId="0" xfId="50" applyNumberFormat="1" applyFont="1" applyFill="1" applyBorder="1" applyAlignment="1" applyProtection="1">
      <protection hidden="1"/>
    </xf>
    <xf numFmtId="49" fontId="81" fillId="0" borderId="108" xfId="50" applyNumberFormat="1" applyFont="1" applyFill="1" applyBorder="1" applyAlignment="1" applyProtection="1">
      <alignment wrapText="1"/>
      <protection hidden="1"/>
    </xf>
    <xf numFmtId="0" fontId="266" fillId="0" borderId="0" xfId="50" applyFont="1" applyFill="1" applyBorder="1" applyAlignment="1" applyProtection="1">
      <protection hidden="1"/>
    </xf>
    <xf numFmtId="0" fontId="266" fillId="0" borderId="137" xfId="50" applyFont="1" applyFill="1" applyBorder="1" applyAlignment="1" applyProtection="1">
      <alignment wrapText="1"/>
      <protection hidden="1"/>
    </xf>
    <xf numFmtId="49" fontId="262" fillId="0" borderId="0" xfId="50" applyNumberFormat="1" applyFont="1" applyFill="1" applyBorder="1" applyAlignment="1" applyProtection="1">
      <alignment vertical="top"/>
      <protection hidden="1"/>
    </xf>
    <xf numFmtId="49" fontId="262" fillId="0" borderId="127" xfId="50" applyNumberFormat="1" applyFont="1" applyFill="1" applyBorder="1" applyAlignment="1" applyProtection="1">
      <alignment vertical="top" wrapText="1"/>
      <protection hidden="1"/>
    </xf>
    <xf numFmtId="0" fontId="262" fillId="0" borderId="108" xfId="50" applyFont="1" applyFill="1" applyBorder="1" applyAlignment="1" applyProtection="1">
      <alignment wrapText="1"/>
      <protection hidden="1"/>
    </xf>
    <xf numFmtId="0" fontId="262" fillId="0" borderId="108" xfId="50" applyFont="1" applyFill="1" applyBorder="1" applyProtection="1">
      <protection hidden="1"/>
    </xf>
    <xf numFmtId="172" fontId="262" fillId="0" borderId="108" xfId="51" applyFont="1" applyFill="1" applyBorder="1" applyAlignment="1" applyProtection="1">
      <protection hidden="1"/>
    </xf>
    <xf numFmtId="0" fontId="6" fillId="0" borderId="137" xfId="50" applyFont="1" applyFill="1" applyBorder="1" applyProtection="1">
      <protection hidden="1"/>
    </xf>
    <xf numFmtId="0" fontId="6" fillId="0" borderId="106" xfId="50" applyFont="1" applyFill="1" applyBorder="1" applyAlignment="1" applyProtection="1">
      <alignment wrapText="1"/>
      <protection hidden="1"/>
    </xf>
    <xf numFmtId="0" fontId="81" fillId="0" borderId="0" xfId="50" applyFont="1" applyFill="1" applyBorder="1" applyAlignment="1" applyProtection="1">
      <protection hidden="1"/>
    </xf>
    <xf numFmtId="0" fontId="81" fillId="0" borderId="108" xfId="50" applyFont="1" applyFill="1" applyBorder="1" applyAlignment="1" applyProtection="1">
      <alignment wrapText="1"/>
      <protection hidden="1"/>
    </xf>
    <xf numFmtId="0" fontId="6" fillId="0" borderId="0" xfId="50" applyFont="1" applyFill="1" applyProtection="1">
      <protection hidden="1"/>
    </xf>
    <xf numFmtId="0" fontId="6" fillId="0" borderId="0" xfId="50" applyFill="1" applyBorder="1" applyAlignment="1" applyProtection="1">
      <protection hidden="1"/>
    </xf>
    <xf numFmtId="0" fontId="6" fillId="0" borderId="111" xfId="50" applyFont="1" applyFill="1" applyBorder="1" applyAlignment="1" applyProtection="1">
      <alignment wrapText="1"/>
      <protection hidden="1"/>
    </xf>
    <xf numFmtId="0" fontId="3" fillId="0" borderId="0" xfId="50" applyFont="1" applyFill="1" applyBorder="1" applyAlignment="1" applyProtection="1">
      <protection hidden="1"/>
    </xf>
    <xf numFmtId="0" fontId="263" fillId="0" borderId="0" xfId="50" applyNumberFormat="1" applyFont="1" applyFill="1" applyBorder="1" applyAlignment="1" applyProtection="1">
      <alignment vertical="top"/>
      <protection hidden="1"/>
    </xf>
    <xf numFmtId="0" fontId="81" fillId="0" borderId="92" xfId="50" applyFont="1" applyFill="1" applyBorder="1" applyProtection="1">
      <protection hidden="1"/>
    </xf>
    <xf numFmtId="0" fontId="265" fillId="0" borderId="0" xfId="50" applyFont="1" applyBorder="1" applyAlignment="1" applyProtection="1">
      <protection hidden="1"/>
    </xf>
    <xf numFmtId="0" fontId="81" fillId="0" borderId="108" xfId="50" applyFont="1" applyFill="1" applyBorder="1" applyProtection="1">
      <protection hidden="1"/>
    </xf>
    <xf numFmtId="0" fontId="81" fillId="0" borderId="127" xfId="50" applyFont="1" applyFill="1" applyBorder="1" applyProtection="1">
      <protection hidden="1"/>
    </xf>
    <xf numFmtId="0" fontId="433" fillId="0" borderId="108" xfId="50" applyFont="1" applyFill="1" applyBorder="1" applyAlignment="1" applyProtection="1">
      <alignment wrapText="1"/>
      <protection hidden="1"/>
    </xf>
    <xf numFmtId="0" fontId="433" fillId="0" borderId="108" xfId="50" applyFont="1" applyFill="1" applyBorder="1" applyProtection="1">
      <protection hidden="1"/>
    </xf>
    <xf numFmtId="0" fontId="289" fillId="0" borderId="108" xfId="50" applyFont="1" applyFill="1" applyBorder="1" applyAlignment="1" applyProtection="1">
      <alignment wrapText="1"/>
      <protection hidden="1"/>
    </xf>
    <xf numFmtId="0" fontId="6" fillId="37" borderId="0" xfId="50" applyFont="1" applyFill="1" applyBorder="1" applyAlignment="1" applyProtection="1">
      <protection hidden="1"/>
    </xf>
    <xf numFmtId="0" fontId="266" fillId="0" borderId="108" xfId="50" applyFont="1" applyFill="1" applyBorder="1" applyAlignment="1" applyProtection="1">
      <alignment wrapText="1"/>
      <protection hidden="1"/>
    </xf>
    <xf numFmtId="0" fontId="6" fillId="37" borderId="0" xfId="50" applyFill="1" applyBorder="1" applyAlignment="1" applyProtection="1">
      <protection hidden="1"/>
    </xf>
    <xf numFmtId="0" fontId="263" fillId="0" borderId="0" xfId="50" applyNumberFormat="1" applyFont="1" applyFill="1" applyBorder="1" applyAlignment="1" applyProtection="1">
      <alignment vertical="top" wrapText="1"/>
      <protection hidden="1"/>
    </xf>
    <xf numFmtId="0" fontId="6" fillId="0" borderId="0" xfId="50" applyFill="1" applyBorder="1" applyAlignment="1" applyProtection="1">
      <alignment vertical="top" wrapText="1"/>
      <protection hidden="1"/>
    </xf>
    <xf numFmtId="0" fontId="6" fillId="0" borderId="0" xfId="50" applyFill="1" applyBorder="1" applyAlignment="1" applyProtection="1">
      <alignment vertical="top"/>
      <protection hidden="1"/>
    </xf>
    <xf numFmtId="0" fontId="263" fillId="0" borderId="0" xfId="50" applyNumberFormat="1" applyFont="1" applyFill="1" applyBorder="1" applyAlignment="1" applyProtection="1">
      <alignment horizontal="center" vertical="top"/>
      <protection hidden="1"/>
    </xf>
    <xf numFmtId="0" fontId="6" fillId="0" borderId="91" xfId="50" applyFont="1" applyBorder="1" applyAlignment="1" applyProtection="1">
      <protection hidden="1"/>
    </xf>
    <xf numFmtId="0" fontId="6" fillId="0" borderId="0" xfId="50" applyFont="1" applyBorder="1" applyAlignment="1" applyProtection="1">
      <alignment vertical="top"/>
      <protection hidden="1"/>
    </xf>
    <xf numFmtId="0" fontId="6" fillId="0" borderId="114" xfId="50" applyFont="1" applyFill="1" applyBorder="1" applyAlignment="1" applyProtection="1">
      <alignment horizontal="left"/>
      <protection hidden="1"/>
    </xf>
    <xf numFmtId="0" fontId="434" fillId="0" borderId="0" xfId="50" applyFont="1" applyFill="1" applyBorder="1" applyAlignment="1" applyProtection="1">
      <protection hidden="1"/>
    </xf>
    <xf numFmtId="0" fontId="411" fillId="0" borderId="0" xfId="50" applyFont="1" applyFill="1" applyBorder="1" applyAlignment="1" applyProtection="1">
      <protection hidden="1"/>
    </xf>
    <xf numFmtId="0" fontId="265" fillId="0" borderId="106" xfId="50" applyFont="1" applyFill="1" applyBorder="1" applyProtection="1">
      <protection hidden="1"/>
    </xf>
    <xf numFmtId="0" fontId="265" fillId="0" borderId="108" xfId="50" applyFont="1" applyFill="1" applyBorder="1" applyAlignment="1" applyProtection="1">
      <alignment wrapText="1"/>
      <protection hidden="1"/>
    </xf>
    <xf numFmtId="0" fontId="266" fillId="0" borderId="108" xfId="50" applyFont="1" applyFill="1" applyBorder="1" applyProtection="1">
      <protection hidden="1"/>
    </xf>
    <xf numFmtId="0" fontId="3" fillId="0" borderId="0" xfId="50" applyFont="1" applyFill="1" applyBorder="1" applyAlignment="1" applyProtection="1">
      <alignment vertical="top"/>
      <protection hidden="1"/>
    </xf>
    <xf numFmtId="172" fontId="3" fillId="0" borderId="0" xfId="51" applyFont="1" applyFill="1" applyBorder="1" applyAlignment="1" applyProtection="1">
      <protection hidden="1"/>
    </xf>
    <xf numFmtId="0" fontId="265" fillId="0" borderId="111" xfId="50" applyFont="1" applyFill="1" applyBorder="1" applyAlignment="1" applyProtection="1">
      <alignment wrapText="1"/>
      <protection hidden="1"/>
    </xf>
    <xf numFmtId="0" fontId="6" fillId="0" borderId="0" xfId="50" applyFont="1" applyBorder="1" applyProtection="1">
      <protection hidden="1"/>
    </xf>
    <xf numFmtId="0" fontId="3" fillId="0" borderId="0" xfId="50" applyFont="1" applyFill="1" applyBorder="1" applyAlignment="1" applyProtection="1">
      <alignment horizontal="center"/>
      <protection hidden="1"/>
    </xf>
    <xf numFmtId="0" fontId="267" fillId="0" borderId="0" xfId="50" applyFont="1" applyFill="1" applyBorder="1" applyAlignment="1" applyProtection="1">
      <protection hidden="1"/>
    </xf>
    <xf numFmtId="0" fontId="81" fillId="0" borderId="106" xfId="50" applyFont="1" applyFill="1" applyBorder="1" applyAlignment="1" applyProtection="1">
      <alignment wrapText="1"/>
      <protection hidden="1"/>
    </xf>
    <xf numFmtId="0" fontId="81" fillId="0" borderId="136" xfId="50" applyFont="1" applyFill="1" applyBorder="1" applyAlignment="1" applyProtection="1">
      <alignment wrapText="1"/>
      <protection hidden="1"/>
    </xf>
    <xf numFmtId="0" fontId="6" fillId="0" borderId="133" xfId="50" applyFont="1" applyFill="1" applyBorder="1" applyAlignment="1" applyProtection="1">
      <alignment wrapText="1"/>
      <protection hidden="1"/>
    </xf>
    <xf numFmtId="0" fontId="6" fillId="0" borderId="93" xfId="50" applyFont="1" applyBorder="1" applyAlignment="1" applyProtection="1">
      <protection hidden="1"/>
    </xf>
    <xf numFmtId="0" fontId="6" fillId="0" borderId="117" xfId="50" applyNumberFormat="1" applyFont="1" applyBorder="1" applyProtection="1">
      <protection hidden="1"/>
    </xf>
    <xf numFmtId="0" fontId="6" fillId="0" borderId="119" xfId="50" applyNumberFormat="1" applyBorder="1" applyProtection="1">
      <protection hidden="1"/>
    </xf>
    <xf numFmtId="0" fontId="81" fillId="0" borderId="133" xfId="50" applyFont="1" applyFill="1" applyBorder="1" applyAlignment="1" applyProtection="1">
      <alignment wrapText="1"/>
      <protection hidden="1"/>
    </xf>
    <xf numFmtId="0" fontId="262" fillId="0" borderId="133" xfId="50" applyFont="1" applyFill="1" applyBorder="1" applyAlignment="1" applyProtection="1">
      <alignment wrapText="1"/>
      <protection hidden="1"/>
    </xf>
    <xf numFmtId="0" fontId="6" fillId="0" borderId="133" xfId="50" applyFont="1" applyFill="1" applyBorder="1" applyProtection="1">
      <protection hidden="1"/>
    </xf>
    <xf numFmtId="0" fontId="6" fillId="0" borderId="132" xfId="50" applyFont="1" applyFill="1" applyBorder="1" applyAlignment="1" applyProtection="1">
      <alignment wrapText="1"/>
      <protection hidden="1"/>
    </xf>
    <xf numFmtId="0" fontId="6" fillId="0" borderId="114" xfId="50" applyNumberFormat="1" applyFont="1" applyBorder="1" applyProtection="1">
      <protection hidden="1"/>
    </xf>
    <xf numFmtId="0" fontId="6" fillId="0" borderId="138" xfId="50" applyFont="1" applyFill="1" applyBorder="1" applyProtection="1">
      <protection hidden="1"/>
    </xf>
    <xf numFmtId="0" fontId="36" fillId="0" borderId="0" xfId="50" applyFont="1" applyAlignment="1" applyProtection="1">
      <alignment horizontal="right"/>
      <protection hidden="1"/>
    </xf>
    <xf numFmtId="0" fontId="36" fillId="0" borderId="0" xfId="50" applyFont="1" applyProtection="1">
      <protection hidden="1"/>
    </xf>
    <xf numFmtId="0" fontId="435" fillId="0" borderId="139" xfId="50" applyFont="1" applyFill="1" applyBorder="1" applyAlignment="1" applyProtection="1">
      <alignment horizontal="left"/>
      <protection hidden="1"/>
    </xf>
    <xf numFmtId="0" fontId="435" fillId="0" borderId="140" xfId="50" applyFont="1" applyFill="1" applyBorder="1" applyAlignment="1" applyProtection="1">
      <alignment horizontal="left"/>
      <protection hidden="1"/>
    </xf>
    <xf numFmtId="0" fontId="6" fillId="34" borderId="0" xfId="50" applyFill="1" applyProtection="1">
      <protection hidden="1"/>
    </xf>
    <xf numFmtId="1" fontId="4" fillId="0" borderId="91" xfId="50" applyNumberFormat="1" applyFont="1" applyFill="1" applyBorder="1" applyProtection="1">
      <protection hidden="1"/>
    </xf>
    <xf numFmtId="165" fontId="11" fillId="34" borderId="0" xfId="0" applyNumberFormat="1" applyFont="1" applyFill="1" applyBorder="1"/>
    <xf numFmtId="0" fontId="6" fillId="57" borderId="0" xfId="50" applyFill="1" applyProtection="1">
      <protection hidden="1"/>
    </xf>
    <xf numFmtId="0" fontId="0" fillId="35" borderId="0" xfId="0" applyFill="1"/>
    <xf numFmtId="0" fontId="0" fillId="0" borderId="14" xfId="0" applyFill="1" applyBorder="1" applyAlignment="1">
      <alignment horizontal="center"/>
    </xf>
    <xf numFmtId="0" fontId="397" fillId="0" borderId="14" xfId="0" applyFont="1" applyFill="1" applyBorder="1" applyAlignment="1">
      <alignment horizontal="center"/>
    </xf>
    <xf numFmtId="0" fontId="0" fillId="0" borderId="0" xfId="0" applyBorder="1" applyAlignment="1">
      <alignment wrapText="1"/>
    </xf>
    <xf numFmtId="0" fontId="0" fillId="0" borderId="0" xfId="0" applyBorder="1" applyAlignment="1"/>
    <xf numFmtId="0" fontId="0" fillId="0" borderId="65" xfId="0" applyBorder="1" applyAlignment="1" applyProtection="1">
      <alignment horizontal="center" vertical="center" wrapText="1"/>
      <protection hidden="1"/>
    </xf>
    <xf numFmtId="0" fontId="0" fillId="0" borderId="20" xfId="0" applyBorder="1" applyAlignment="1" applyProtection="1">
      <alignment horizontal="center" vertical="center" wrapText="1"/>
      <protection hidden="1"/>
    </xf>
    <xf numFmtId="0" fontId="0" fillId="0" borderId="40" xfId="0" applyBorder="1" applyAlignment="1" applyProtection="1">
      <alignment horizontal="center" vertical="center" wrapText="1"/>
      <protection hidden="1"/>
    </xf>
    <xf numFmtId="0" fontId="0" fillId="0" borderId="42" xfId="0" applyBorder="1" applyAlignment="1" applyProtection="1">
      <alignment horizontal="center" vertical="center" wrapText="1"/>
      <protection hidden="1"/>
    </xf>
    <xf numFmtId="0" fontId="0" fillId="0" borderId="12" xfId="0" applyBorder="1" applyAlignment="1">
      <alignment wrapText="1"/>
    </xf>
    <xf numFmtId="0" fontId="0" fillId="0" borderId="51" xfId="0" applyBorder="1" applyAlignment="1">
      <alignment wrapText="1"/>
    </xf>
    <xf numFmtId="0" fontId="0" fillId="0" borderId="47" xfId="0" applyBorder="1" applyAlignment="1">
      <alignment wrapText="1"/>
    </xf>
    <xf numFmtId="0" fontId="0" fillId="0" borderId="35" xfId="0" applyBorder="1" applyAlignment="1">
      <alignment wrapText="1"/>
    </xf>
    <xf numFmtId="0" fontId="0" fillId="0" borderId="59" xfId="0" applyBorder="1" applyAlignment="1">
      <alignment wrapText="1"/>
    </xf>
    <xf numFmtId="0" fontId="67" fillId="0" borderId="19" xfId="42" applyFont="1" applyFill="1" applyBorder="1" applyAlignment="1" applyProtection="1">
      <alignment horizontal="left" wrapText="1"/>
      <protection locked="0"/>
    </xf>
    <xf numFmtId="0" fontId="0" fillId="0" borderId="0" xfId="0" applyBorder="1" applyAlignment="1">
      <alignment textRotation="90" wrapText="1"/>
    </xf>
    <xf numFmtId="0" fontId="13" fillId="0" borderId="13" xfId="0" applyFont="1" applyFill="1" applyBorder="1" applyAlignment="1">
      <alignment horizontal="center"/>
    </xf>
    <xf numFmtId="0" fontId="0" fillId="0" borderId="44" xfId="0" applyFill="1" applyBorder="1" applyAlignment="1" applyProtection="1">
      <alignment wrapText="1"/>
      <protection hidden="1"/>
    </xf>
    <xf numFmtId="0" fontId="397" fillId="0" borderId="13" xfId="0" applyFont="1" applyBorder="1" applyAlignment="1">
      <alignment wrapText="1"/>
    </xf>
    <xf numFmtId="0" fontId="397" fillId="0" borderId="13" xfId="28" applyFont="1" applyBorder="1" applyAlignment="1" applyProtection="1">
      <alignment horizontal="center"/>
    </xf>
    <xf numFmtId="0" fontId="14" fillId="35" borderId="13" xfId="0" applyFont="1" applyFill="1" applyBorder="1"/>
    <xf numFmtId="0" fontId="13" fillId="35" borderId="13" xfId="0" applyFont="1" applyFill="1" applyBorder="1" applyAlignment="1">
      <alignment horizontal="center"/>
    </xf>
    <xf numFmtId="0" fontId="0" fillId="0" borderId="0" xfId="0" applyAlignment="1">
      <alignment wrapText="1"/>
    </xf>
    <xf numFmtId="0" fontId="0" fillId="0" borderId="16" xfId="0" applyBorder="1" applyAlignment="1"/>
    <xf numFmtId="0" fontId="0" fillId="0" borderId="16" xfId="0" applyBorder="1" applyAlignment="1">
      <alignment horizontal="center"/>
    </xf>
    <xf numFmtId="0" fontId="19" fillId="0" borderId="37" xfId="0" applyFont="1" applyBorder="1" applyAlignment="1">
      <alignment wrapText="1"/>
    </xf>
    <xf numFmtId="0" fontId="104" fillId="0" borderId="0" xfId="0" applyFont="1" applyBorder="1" applyAlignment="1">
      <alignment wrapText="1"/>
    </xf>
    <xf numFmtId="0" fontId="400" fillId="0" borderId="0" xfId="0" applyFont="1" applyBorder="1" applyProtection="1">
      <protection hidden="1"/>
    </xf>
    <xf numFmtId="0" fontId="6" fillId="34" borderId="13" xfId="0" applyFont="1" applyFill="1" applyBorder="1" applyAlignment="1" applyProtection="1">
      <alignment wrapText="1"/>
      <protection hidden="1"/>
    </xf>
    <xf numFmtId="0" fontId="0" fillId="0" borderId="0" xfId="0" applyBorder="1" applyAlignment="1" applyProtection="1">
      <alignment textRotation="90"/>
      <protection hidden="1"/>
    </xf>
    <xf numFmtId="0" fontId="0" fillId="0" borderId="0" xfId="0" applyBorder="1" applyAlignment="1">
      <alignment textRotation="90"/>
    </xf>
    <xf numFmtId="0" fontId="46" fillId="34" borderId="13" xfId="0" applyFont="1" applyFill="1" applyBorder="1" applyAlignment="1" applyProtection="1">
      <protection hidden="1"/>
    </xf>
    <xf numFmtId="0" fontId="4" fillId="34" borderId="0" xfId="50" applyFont="1" applyFill="1" applyProtection="1">
      <protection hidden="1"/>
    </xf>
    <xf numFmtId="165" fontId="436" fillId="0" borderId="37" xfId="0" applyNumberFormat="1" applyFont="1" applyFill="1" applyBorder="1"/>
    <xf numFmtId="2" fontId="436" fillId="0" borderId="37" xfId="0" applyNumberFormat="1" applyFont="1" applyFill="1" applyBorder="1"/>
    <xf numFmtId="0" fontId="6" fillId="0" borderId="92" xfId="50" applyFont="1" applyFill="1" applyBorder="1" applyProtection="1">
      <protection hidden="1"/>
    </xf>
    <xf numFmtId="0" fontId="6" fillId="0" borderId="65" xfId="50" applyFill="1" applyBorder="1" applyProtection="1">
      <protection hidden="1"/>
    </xf>
    <xf numFmtId="172" fontId="262" fillId="0" borderId="60" xfId="51" applyFont="1" applyFill="1" applyBorder="1" applyAlignment="1" applyProtection="1">
      <protection hidden="1"/>
    </xf>
    <xf numFmtId="0" fontId="6" fillId="0" borderId="66" xfId="50" applyBorder="1" applyProtection="1">
      <protection hidden="1"/>
    </xf>
    <xf numFmtId="0" fontId="6" fillId="0" borderId="20" xfId="50" applyFill="1" applyBorder="1" applyProtection="1">
      <protection hidden="1"/>
    </xf>
    <xf numFmtId="0" fontId="6" fillId="0" borderId="40" xfId="50" applyBorder="1" applyProtection="1">
      <protection hidden="1"/>
    </xf>
    <xf numFmtId="0" fontId="6" fillId="0" borderId="67" xfId="50" applyFill="1" applyBorder="1" applyProtection="1">
      <protection hidden="1"/>
    </xf>
    <xf numFmtId="0" fontId="262" fillId="0" borderId="61" xfId="50" applyFont="1" applyFill="1" applyBorder="1" applyAlignment="1" applyProtection="1">
      <protection hidden="1"/>
    </xf>
    <xf numFmtId="0" fontId="6" fillId="0" borderId="42" xfId="50" applyBorder="1" applyProtection="1">
      <protection hidden="1"/>
    </xf>
    <xf numFmtId="2" fontId="437" fillId="0" borderId="0" xfId="50" applyNumberFormat="1" applyFont="1" applyProtection="1">
      <protection hidden="1"/>
    </xf>
    <xf numFmtId="173" fontId="289" fillId="0" borderId="91" xfId="50" applyNumberFormat="1" applyFont="1" applyBorder="1" applyProtection="1">
      <protection hidden="1"/>
    </xf>
    <xf numFmtId="0" fontId="0" fillId="35" borderId="13" xfId="0" applyFont="1" applyFill="1" applyBorder="1" applyAlignment="1">
      <alignment horizontal="center"/>
    </xf>
    <xf numFmtId="0" fontId="238" fillId="58" borderId="0" xfId="0" applyFont="1" applyFill="1"/>
    <xf numFmtId="0" fontId="15" fillId="58" borderId="0" xfId="0" applyFont="1" applyFill="1"/>
    <xf numFmtId="0" fontId="84" fillId="58" borderId="0" xfId="0" applyFont="1" applyFill="1"/>
    <xf numFmtId="0" fontId="16" fillId="58" borderId="0" xfId="0" applyFont="1" applyFill="1"/>
    <xf numFmtId="0" fontId="0" fillId="58" borderId="0" xfId="0" applyFill="1"/>
    <xf numFmtId="0" fontId="15" fillId="0" borderId="37" xfId="0" applyFont="1" applyBorder="1" applyAlignment="1">
      <alignment horizontal="left" wrapText="1"/>
    </xf>
    <xf numFmtId="0" fontId="399" fillId="0" borderId="0" xfId="0" applyFont="1" applyBorder="1" applyAlignment="1">
      <alignment horizontal="center"/>
    </xf>
    <xf numFmtId="166" fontId="11" fillId="0" borderId="0" xfId="0" applyNumberFormat="1" applyFont="1" applyBorder="1"/>
    <xf numFmtId="2" fontId="15" fillId="0" borderId="45" xfId="0" applyNumberFormat="1" applyFont="1" applyFill="1" applyBorder="1" applyAlignment="1">
      <alignment horizontal="center"/>
    </xf>
    <xf numFmtId="166" fontId="0" fillId="0" borderId="45" xfId="0" applyNumberFormat="1" applyBorder="1" applyAlignment="1">
      <alignment horizontal="center"/>
    </xf>
    <xf numFmtId="166" fontId="0" fillId="0" borderId="16" xfId="0" applyNumberFormat="1" applyBorder="1" applyAlignment="1">
      <alignment horizontal="center"/>
    </xf>
    <xf numFmtId="0" fontId="16" fillId="34" borderId="0" xfId="0" applyFont="1" applyFill="1" applyBorder="1" applyAlignment="1">
      <alignment wrapText="1"/>
    </xf>
    <xf numFmtId="0" fontId="16" fillId="34" borderId="0" xfId="0" applyFont="1" applyFill="1" applyBorder="1" applyAlignment="1">
      <alignment horizontal="center" wrapText="1"/>
    </xf>
    <xf numFmtId="0" fontId="437" fillId="0" borderId="91" xfId="50" applyFont="1" applyFill="1" applyBorder="1" applyProtection="1">
      <protection hidden="1"/>
    </xf>
    <xf numFmtId="0" fontId="6" fillId="35" borderId="91" xfId="50" applyFont="1" applyFill="1" applyBorder="1" applyProtection="1">
      <protection hidden="1"/>
    </xf>
    <xf numFmtId="0" fontId="6" fillId="58" borderId="0" xfId="50" applyFill="1" applyProtection="1">
      <protection hidden="1"/>
    </xf>
    <xf numFmtId="0" fontId="101" fillId="21" borderId="0" xfId="0" applyFont="1" applyFill="1"/>
    <xf numFmtId="0" fontId="81" fillId="58" borderId="0" xfId="38" applyNumberFormat="1" applyFill="1" applyBorder="1" applyProtection="1">
      <protection locked="0"/>
    </xf>
    <xf numFmtId="0" fontId="21" fillId="58" borderId="0" xfId="0" applyFont="1" applyFill="1"/>
    <xf numFmtId="0" fontId="15" fillId="0" borderId="14" xfId="0" applyFont="1" applyBorder="1"/>
    <xf numFmtId="2" fontId="15" fillId="24" borderId="14" xfId="0" applyNumberFormat="1" applyFont="1" applyFill="1" applyBorder="1" applyAlignment="1">
      <alignment horizontal="center"/>
    </xf>
    <xf numFmtId="166" fontId="11" fillId="0" borderId="13" xfId="0" applyNumberFormat="1" applyFont="1" applyFill="1" applyBorder="1"/>
    <xf numFmtId="166" fontId="15" fillId="0" borderId="13" xfId="0" applyNumberFormat="1" applyFont="1" applyBorder="1" applyAlignment="1">
      <alignment horizontal="center" wrapText="1"/>
    </xf>
    <xf numFmtId="0" fontId="84" fillId="0" borderId="67" xfId="0" applyFont="1" applyBorder="1" applyAlignment="1">
      <alignment horizontal="left"/>
    </xf>
    <xf numFmtId="0" fontId="101" fillId="0" borderId="0" xfId="28" applyFont="1" applyAlignment="1" applyProtection="1"/>
    <xf numFmtId="0" fontId="84" fillId="0" borderId="0" xfId="28" applyFont="1" applyAlignment="1" applyProtection="1"/>
    <xf numFmtId="0" fontId="15" fillId="0" borderId="13" xfId="28" applyFont="1" applyBorder="1" applyAlignment="1" applyProtection="1">
      <alignment wrapText="1"/>
    </xf>
    <xf numFmtId="0" fontId="19" fillId="0" borderId="13" xfId="28" applyFont="1" applyBorder="1" applyAlignment="1" applyProtection="1"/>
    <xf numFmtId="0" fontId="12" fillId="0" borderId="0" xfId="28" applyFont="1" applyAlignment="1" applyProtection="1"/>
    <xf numFmtId="0" fontId="19" fillId="0" borderId="0" xfId="28" applyFont="1" applyAlignment="1" applyProtection="1">
      <alignment horizontal="right"/>
    </xf>
    <xf numFmtId="0" fontId="438" fillId="0" borderId="0" xfId="0" applyFont="1"/>
    <xf numFmtId="2" fontId="15" fillId="0" borderId="13" xfId="28" applyNumberFormat="1" applyFont="1" applyBorder="1" applyAlignment="1" applyProtection="1">
      <alignment horizontal="center"/>
    </xf>
    <xf numFmtId="0" fontId="15" fillId="0" borderId="13" xfId="28" applyFont="1" applyBorder="1" applyAlignment="1" applyProtection="1">
      <alignment horizontal="center"/>
    </xf>
    <xf numFmtId="2" fontId="15" fillId="0" borderId="37" xfId="28" applyNumberFormat="1" applyFont="1" applyBorder="1" applyAlignment="1" applyProtection="1">
      <alignment horizontal="center"/>
    </xf>
    <xf numFmtId="2" fontId="15" fillId="0" borderId="13" xfId="28" applyNumberFormat="1" applyFont="1" applyBorder="1" applyAlignment="1" applyProtection="1">
      <alignment horizontal="left"/>
    </xf>
    <xf numFmtId="0" fontId="439" fillId="0" borderId="0" xfId="28" applyFont="1" applyAlignment="1" applyProtection="1"/>
    <xf numFmtId="0" fontId="440" fillId="34" borderId="0" xfId="28" applyFont="1" applyFill="1" applyAlignment="1" applyProtection="1"/>
    <xf numFmtId="0" fontId="11" fillId="0" borderId="13" xfId="28" applyFont="1" applyBorder="1" applyAlignment="1" applyProtection="1">
      <alignment horizontal="center"/>
    </xf>
    <xf numFmtId="2" fontId="0" fillId="35" borderId="13" xfId="0" applyNumberFormat="1" applyFont="1" applyFill="1" applyBorder="1"/>
    <xf numFmtId="2" fontId="0" fillId="35" borderId="13" xfId="0" applyNumberFormat="1" applyFont="1" applyFill="1" applyBorder="1" applyAlignment="1">
      <alignment horizontal="center"/>
    </xf>
    <xf numFmtId="2" fontId="397" fillId="0" borderId="13" xfId="0" applyNumberFormat="1" applyFont="1" applyFill="1" applyBorder="1" applyAlignment="1">
      <alignment horizontal="center"/>
    </xf>
    <xf numFmtId="0" fontId="390" fillId="0" borderId="13" xfId="0" applyFont="1" applyBorder="1" applyAlignment="1">
      <alignment horizontal="left"/>
    </xf>
    <xf numFmtId="0" fontId="441" fillId="0" borderId="13" xfId="0" applyFont="1" applyBorder="1" applyAlignment="1">
      <alignment horizontal="center" wrapText="1"/>
    </xf>
    <xf numFmtId="0" fontId="442" fillId="0" borderId="0" xfId="0" applyFont="1" applyFill="1" applyBorder="1" applyAlignment="1" applyProtection="1">
      <alignment horizontal="left"/>
      <protection hidden="1"/>
    </xf>
    <xf numFmtId="0" fontId="0" fillId="0" borderId="0" xfId="28" applyFont="1" applyFill="1" applyBorder="1" applyAlignment="1" applyProtection="1"/>
    <xf numFmtId="0" fontId="443" fillId="0" borderId="0" xfId="28" applyFont="1" applyFill="1" applyBorder="1" applyAlignment="1" applyProtection="1">
      <alignment wrapText="1"/>
    </xf>
    <xf numFmtId="0" fontId="0" fillId="22" borderId="13" xfId="0" applyFont="1" applyFill="1" applyBorder="1"/>
    <xf numFmtId="0" fontId="443" fillId="0" borderId="0" xfId="28" applyFont="1" applyAlignment="1" applyProtection="1"/>
    <xf numFmtId="0" fontId="366" fillId="0" borderId="0" xfId="28" applyFont="1" applyFill="1" applyBorder="1" applyAlignment="1" applyProtection="1"/>
    <xf numFmtId="0" fontId="257" fillId="0" borderId="13" xfId="0" applyFont="1" applyBorder="1"/>
    <xf numFmtId="0" fontId="398" fillId="0" borderId="13" xfId="0" applyFont="1" applyBorder="1"/>
    <xf numFmtId="0" fontId="445" fillId="0" borderId="0" xfId="0" applyFont="1"/>
    <xf numFmtId="0" fontId="446" fillId="0" borderId="0" xfId="0" applyFont="1" applyFill="1" applyBorder="1" applyAlignment="1" applyProtection="1">
      <alignment horizontal="left" wrapText="1"/>
      <protection hidden="1"/>
    </xf>
    <xf numFmtId="0" fontId="354" fillId="0" borderId="0" xfId="0" applyFont="1" applyBorder="1" applyAlignment="1" applyProtection="1">
      <alignment horizontal="right"/>
      <protection hidden="1"/>
    </xf>
    <xf numFmtId="0" fontId="0" fillId="0" borderId="13" xfId="0" applyBorder="1" applyAlignment="1">
      <alignment wrapText="1"/>
    </xf>
    <xf numFmtId="0" fontId="0" fillId="0" borderId="40" xfId="0" applyBorder="1" applyAlignment="1" applyProtection="1">
      <alignment horizontal="center" vertical="center" wrapText="1"/>
      <protection hidden="1"/>
    </xf>
    <xf numFmtId="0" fontId="442" fillId="0" borderId="0" xfId="0" applyFont="1" applyBorder="1" applyAlignment="1"/>
    <xf numFmtId="0" fontId="447" fillId="0" borderId="0" xfId="0" applyFont="1" applyFill="1"/>
    <xf numFmtId="0" fontId="22" fillId="0" borderId="13" xfId="28" applyFill="1" applyBorder="1" applyAlignment="1" applyProtection="1">
      <alignment horizontal="center"/>
    </xf>
    <xf numFmtId="0" fontId="47" fillId="0" borderId="0" xfId="0" applyFont="1" applyFill="1" applyAlignment="1">
      <alignment horizontal="center"/>
    </xf>
    <xf numFmtId="0" fontId="0" fillId="0" borderId="0" xfId="0" applyFont="1"/>
    <xf numFmtId="0" fontId="1" fillId="0" borderId="0" xfId="0" applyFont="1" applyFill="1" applyAlignment="1">
      <alignment wrapText="1"/>
    </xf>
    <xf numFmtId="0" fontId="35" fillId="0" borderId="0" xfId="0" applyFont="1" applyFill="1"/>
    <xf numFmtId="0" fontId="22" fillId="0" borderId="0" xfId="28" applyBorder="1" applyAlignment="1" applyProtection="1">
      <alignment horizontal="center"/>
      <protection hidden="1"/>
    </xf>
    <xf numFmtId="0" fontId="0" fillId="0" borderId="37" xfId="0" applyBorder="1" applyAlignment="1" applyProtection="1">
      <alignment horizontal="left"/>
      <protection hidden="1"/>
    </xf>
    <xf numFmtId="0" fontId="0" fillId="0" borderId="44" xfId="0" applyBorder="1" applyAlignment="1" applyProtection="1">
      <alignment horizontal="center"/>
      <protection hidden="1"/>
    </xf>
    <xf numFmtId="1" fontId="9" fillId="0" borderId="0" xfId="0" applyNumberFormat="1" applyFont="1" applyFill="1" applyBorder="1" applyProtection="1">
      <protection hidden="1"/>
    </xf>
    <xf numFmtId="0" fontId="0" fillId="0" borderId="13" xfId="0" applyFont="1" applyFill="1" applyBorder="1"/>
    <xf numFmtId="0" fontId="13" fillId="0" borderId="13" xfId="0" applyFont="1" applyFill="1" applyBorder="1" applyProtection="1">
      <protection hidden="1"/>
    </xf>
    <xf numFmtId="0" fontId="13" fillId="0" borderId="13" xfId="0" applyFont="1" applyBorder="1" applyAlignment="1" applyProtection="1">
      <alignment horizontal="left"/>
      <protection hidden="1"/>
    </xf>
    <xf numFmtId="0" fontId="400" fillId="0" borderId="0" xfId="0" applyFont="1" applyFill="1" applyBorder="1"/>
    <xf numFmtId="0" fontId="11" fillId="0" borderId="0" xfId="0" applyFont="1" applyFill="1" applyBorder="1" applyAlignment="1"/>
    <xf numFmtId="0" fontId="38" fillId="0" borderId="0" xfId="0" applyFont="1" applyFill="1" applyBorder="1"/>
    <xf numFmtId="0" fontId="38" fillId="0" borderId="0" xfId="0" applyFont="1" applyFill="1" applyBorder="1" applyAlignment="1">
      <alignment wrapText="1"/>
    </xf>
    <xf numFmtId="0" fontId="11" fillId="0" borderId="0" xfId="0" applyFont="1" applyProtection="1">
      <protection hidden="1"/>
    </xf>
    <xf numFmtId="0" fontId="11" fillId="0" borderId="0" xfId="0" applyFont="1" applyFill="1" applyProtection="1">
      <protection hidden="1"/>
    </xf>
    <xf numFmtId="0" fontId="3" fillId="0" borderId="0" xfId="0" applyFont="1" applyBorder="1" applyProtection="1">
      <protection hidden="1"/>
    </xf>
    <xf numFmtId="0" fontId="3" fillId="0" borderId="0" xfId="0" applyFont="1" applyFill="1" applyBorder="1" applyProtection="1">
      <protection hidden="1"/>
    </xf>
    <xf numFmtId="0" fontId="26" fillId="0" borderId="0" xfId="0" applyFont="1" applyBorder="1"/>
    <xf numFmtId="0" fontId="37" fillId="0" borderId="0" xfId="0" applyFont="1" applyFill="1" applyBorder="1" applyAlignment="1">
      <alignment horizontal="left"/>
    </xf>
    <xf numFmtId="0" fontId="11" fillId="0" borderId="0" xfId="28" applyFont="1" applyFill="1" applyBorder="1" applyAlignment="1" applyProtection="1"/>
    <xf numFmtId="0" fontId="22" fillId="0" borderId="0" xfId="28" applyBorder="1" applyAlignment="1" applyProtection="1">
      <alignment vertical="center"/>
      <protection hidden="1"/>
    </xf>
    <xf numFmtId="0" fontId="37" fillId="0" borderId="13" xfId="0" applyFont="1" applyBorder="1"/>
    <xf numFmtId="0" fontId="397" fillId="23" borderId="0" xfId="0" applyFont="1" applyFill="1"/>
    <xf numFmtId="0" fontId="22" fillId="21" borderId="0" xfId="28" applyFill="1" applyAlignment="1" applyProtection="1"/>
    <xf numFmtId="0" fontId="21" fillId="0" borderId="13" xfId="0" applyFont="1" applyBorder="1" applyAlignment="1">
      <alignment horizontal="center" wrapText="1"/>
    </xf>
    <xf numFmtId="0" fontId="217" fillId="0" borderId="0" xfId="28" applyFont="1" applyAlignment="1" applyProtection="1"/>
    <xf numFmtId="0" fontId="444" fillId="0" borderId="13" xfId="38" applyFont="1" applyFill="1" applyBorder="1" applyProtection="1">
      <protection hidden="1"/>
    </xf>
    <xf numFmtId="0" fontId="80" fillId="0" borderId="13" xfId="0" applyFont="1" applyBorder="1"/>
    <xf numFmtId="0" fontId="449" fillId="0" borderId="13" xfId="38" applyFont="1" applyBorder="1" applyProtection="1">
      <protection hidden="1"/>
    </xf>
    <xf numFmtId="0" fontId="80" fillId="0" borderId="13" xfId="0" applyFont="1" applyBorder="1" applyAlignment="1">
      <alignment horizontal="center"/>
    </xf>
    <xf numFmtId="0" fontId="450" fillId="0" borderId="0" xfId="0" applyFont="1"/>
    <xf numFmtId="0" fontId="34" fillId="23" borderId="65" xfId="0" applyFont="1" applyFill="1" applyBorder="1" applyAlignment="1"/>
    <xf numFmtId="0" fontId="34" fillId="0" borderId="0" xfId="0" applyFont="1" applyFill="1" applyBorder="1" applyAlignment="1"/>
    <xf numFmtId="0" fontId="19" fillId="0" borderId="0" xfId="0" applyFont="1" applyBorder="1" applyAlignment="1">
      <alignment horizontal="left"/>
    </xf>
    <xf numFmtId="0" fontId="15" fillId="0" borderId="49" xfId="0" applyFont="1" applyBorder="1" applyAlignment="1">
      <alignment horizontal="justify" vertical="center" wrapText="1"/>
    </xf>
    <xf numFmtId="0" fontId="15" fillId="0" borderId="36" xfId="0" applyFont="1" applyBorder="1" applyAlignment="1">
      <alignment horizontal="justify" vertical="center" wrapText="1"/>
    </xf>
    <xf numFmtId="0" fontId="15" fillId="0" borderId="59" xfId="0" applyFont="1" applyBorder="1" applyAlignment="1">
      <alignment horizontal="justify" vertical="center"/>
    </xf>
    <xf numFmtId="0" fontId="0" fillId="0" borderId="13" xfId="0" applyBorder="1" applyAlignment="1">
      <alignment horizontal="center"/>
    </xf>
    <xf numFmtId="0" fontId="0" fillId="0" borderId="13" xfId="0" applyFont="1" applyBorder="1"/>
    <xf numFmtId="0" fontId="399" fillId="0" borderId="13" xfId="0" applyFont="1" applyBorder="1" applyAlignment="1">
      <alignment wrapText="1"/>
    </xf>
    <xf numFmtId="0" fontId="399" fillId="0" borderId="13" xfId="28" applyFont="1" applyFill="1" applyBorder="1" applyAlignment="1" applyProtection="1"/>
    <xf numFmtId="0" fontId="399" fillId="0" borderId="13" xfId="28" applyFont="1" applyFill="1" applyBorder="1" applyAlignment="1" applyProtection="1">
      <alignment wrapText="1"/>
    </xf>
    <xf numFmtId="0" fontId="399" fillId="0" borderId="13" xfId="38" applyFont="1" applyBorder="1" applyAlignment="1" applyProtection="1">
      <alignment vertical="center"/>
      <protection hidden="1"/>
    </xf>
    <xf numFmtId="0" fontId="451" fillId="0" borderId="0" xfId="0" applyFont="1"/>
    <xf numFmtId="0" fontId="452" fillId="0" borderId="0" xfId="0" applyFont="1" applyBorder="1"/>
    <xf numFmtId="0" fontId="217" fillId="0" borderId="0" xfId="0" applyFont="1" applyAlignment="1">
      <alignment horizontal="right"/>
    </xf>
    <xf numFmtId="0" fontId="0" fillId="0" borderId="0" xfId="0" applyBorder="1" applyAlignment="1"/>
    <xf numFmtId="0" fontId="398" fillId="0" borderId="0" xfId="0" applyFont="1" applyBorder="1" applyAlignment="1">
      <alignment horizontal="center"/>
    </xf>
    <xf numFmtId="0" fontId="399" fillId="0" borderId="13" xfId="0" applyFont="1" applyBorder="1" applyAlignment="1">
      <alignment horizontal="left"/>
    </xf>
    <xf numFmtId="0" fontId="32" fillId="0" borderId="13" xfId="0" applyFont="1" applyFill="1" applyBorder="1"/>
    <xf numFmtId="0" fontId="32" fillId="0" borderId="13" xfId="0" applyFont="1" applyBorder="1"/>
    <xf numFmtId="0" fontId="12" fillId="0" borderId="0" xfId="0" applyFont="1" applyFill="1" applyBorder="1"/>
    <xf numFmtId="0" fontId="33" fillId="0" borderId="0" xfId="28" applyFont="1" applyAlignment="1" applyProtection="1"/>
    <xf numFmtId="2" fontId="0" fillId="0" borderId="13" xfId="0" applyNumberFormat="1" applyBorder="1" applyAlignment="1">
      <alignment wrapText="1"/>
    </xf>
    <xf numFmtId="0" fontId="439" fillId="0" borderId="0" xfId="0" applyFont="1"/>
    <xf numFmtId="0" fontId="0" fillId="0" borderId="13" xfId="0" applyBorder="1" applyAlignment="1">
      <alignment wrapText="1"/>
    </xf>
    <xf numFmtId="0" fontId="0" fillId="0" borderId="0" xfId="0" applyBorder="1" applyAlignment="1">
      <alignment wrapText="1"/>
    </xf>
    <xf numFmtId="0" fontId="286" fillId="0" borderId="0" xfId="28" applyFont="1" applyAlignment="1" applyProtection="1"/>
    <xf numFmtId="0" fontId="84" fillId="0" borderId="0" xfId="0" applyFont="1" applyFill="1" applyBorder="1"/>
    <xf numFmtId="0" fontId="19" fillId="0" borderId="0" xfId="38" applyFont="1" applyBorder="1" applyAlignment="1" applyProtection="1">
      <alignment vertical="center"/>
      <protection hidden="1"/>
    </xf>
    <xf numFmtId="0" fontId="286" fillId="0" borderId="0" xfId="0" applyFont="1"/>
    <xf numFmtId="1" fontId="14" fillId="0" borderId="37" xfId="0" applyNumberFormat="1" applyFont="1" applyBorder="1"/>
    <xf numFmtId="0" fontId="453" fillId="0" borderId="12" xfId="0" applyFont="1" applyBorder="1" applyAlignment="1">
      <alignment horizontal="right"/>
    </xf>
    <xf numFmtId="0" fontId="454" fillId="0" borderId="12" xfId="0" applyFont="1" applyBorder="1" applyAlignment="1">
      <alignment horizontal="right"/>
    </xf>
    <xf numFmtId="0" fontId="454" fillId="0" borderId="13" xfId="0" applyFont="1" applyBorder="1" applyAlignment="1">
      <alignment horizontal="right"/>
    </xf>
    <xf numFmtId="0" fontId="398" fillId="34" borderId="0" xfId="0" applyFont="1" applyFill="1" applyAlignment="1">
      <alignment horizontal="left"/>
    </xf>
    <xf numFmtId="0" fontId="19" fillId="35" borderId="13" xfId="0" applyFont="1" applyFill="1" applyBorder="1"/>
    <xf numFmtId="0" fontId="399" fillId="0" borderId="0" xfId="0" applyFont="1" applyBorder="1"/>
    <xf numFmtId="1" fontId="444" fillId="0" borderId="13" xfId="38" applyNumberFormat="1" applyFont="1" applyBorder="1" applyProtection="1">
      <protection hidden="1"/>
    </xf>
    <xf numFmtId="0" fontId="399" fillId="0" borderId="13" xfId="0" applyFont="1" applyBorder="1"/>
    <xf numFmtId="0" fontId="80" fillId="0" borderId="0" xfId="0" applyFont="1" applyBorder="1"/>
    <xf numFmtId="0" fontId="0" fillId="0" borderId="13" xfId="0" applyBorder="1" applyAlignment="1">
      <alignment wrapText="1"/>
    </xf>
    <xf numFmtId="0" fontId="399" fillId="0" borderId="13" xfId="0" applyFont="1" applyBorder="1" applyAlignment="1">
      <alignment horizontal="center"/>
    </xf>
    <xf numFmtId="0" fontId="453" fillId="0" borderId="0" xfId="0" applyFont="1"/>
    <xf numFmtId="0" fontId="455" fillId="0" borderId="0" xfId="0" applyFont="1" applyBorder="1" applyAlignment="1" applyProtection="1">
      <alignment horizontal="left"/>
      <protection hidden="1"/>
    </xf>
    <xf numFmtId="0" fontId="456" fillId="0" borderId="0" xfId="0" applyFont="1" applyBorder="1" applyAlignment="1" applyProtection="1">
      <alignment wrapText="1"/>
      <protection hidden="1"/>
    </xf>
    <xf numFmtId="0" fontId="82" fillId="0" borderId="13" xfId="0" applyFont="1" applyBorder="1" applyAlignment="1" applyProtection="1">
      <alignment wrapText="1"/>
      <protection hidden="1"/>
    </xf>
    <xf numFmtId="0" fontId="442" fillId="0" borderId="0" xfId="0" applyFont="1" applyBorder="1" applyAlignment="1" applyProtection="1">
      <alignment wrapText="1"/>
      <protection hidden="1"/>
    </xf>
    <xf numFmtId="0" fontId="442" fillId="0" borderId="0" xfId="0" applyFont="1" applyBorder="1" applyAlignment="1" applyProtection="1">
      <protection hidden="1"/>
    </xf>
    <xf numFmtId="0" fontId="0" fillId="0" borderId="0" xfId="0" applyBorder="1" applyAlignment="1"/>
    <xf numFmtId="0" fontId="457" fillId="0" borderId="13" xfId="0" applyFont="1" applyFill="1" applyBorder="1" applyAlignment="1">
      <alignment horizontal="center"/>
    </xf>
    <xf numFmtId="0" fontId="458" fillId="0" borderId="0" xfId="0" applyFont="1" applyBorder="1" applyAlignment="1"/>
    <xf numFmtId="1" fontId="457" fillId="0" borderId="13" xfId="0" applyNumberFormat="1" applyFont="1" applyFill="1" applyBorder="1" applyAlignment="1">
      <alignment horizontal="center"/>
    </xf>
    <xf numFmtId="1" fontId="0" fillId="35" borderId="13" xfId="0" applyNumberFormat="1" applyFont="1" applyFill="1" applyBorder="1"/>
    <xf numFmtId="0" fontId="439" fillId="0" borderId="64" xfId="0" applyFont="1" applyBorder="1" applyAlignment="1">
      <alignment horizontal="center"/>
    </xf>
    <xf numFmtId="0" fontId="21" fillId="34" borderId="0" xfId="0" applyFont="1" applyFill="1" applyBorder="1"/>
    <xf numFmtId="0" fontId="397" fillId="35" borderId="0" xfId="0" applyFont="1" applyFill="1"/>
    <xf numFmtId="0" fontId="398" fillId="0" borderId="13" xfId="0" applyFont="1" applyBorder="1" applyAlignment="1">
      <alignment wrapText="1"/>
    </xf>
    <xf numFmtId="0" fontId="117" fillId="0" borderId="37" xfId="0" applyFont="1" applyFill="1" applyBorder="1" applyAlignment="1">
      <alignment horizontal="center" wrapText="1"/>
    </xf>
    <xf numFmtId="0" fontId="114" fillId="0" borderId="0" xfId="0" applyFont="1" applyBorder="1" applyAlignment="1">
      <alignment horizontal="center" wrapText="1"/>
    </xf>
    <xf numFmtId="0" fontId="0" fillId="0" borderId="0" xfId="0" applyAlignment="1"/>
    <xf numFmtId="0" fontId="80" fillId="0" borderId="0" xfId="0" applyFont="1" applyFill="1" applyAlignment="1">
      <alignment wrapText="1"/>
    </xf>
    <xf numFmtId="0" fontId="32" fillId="0" borderId="0" xfId="0" applyFont="1" applyAlignment="1">
      <alignment wrapText="1"/>
    </xf>
    <xf numFmtId="0" fontId="15" fillId="0" borderId="37" xfId="0" applyFont="1" applyFill="1" applyBorder="1" applyAlignment="1" applyProtection="1">
      <alignment horizontal="right" wrapText="1"/>
      <protection hidden="1"/>
    </xf>
    <xf numFmtId="0" fontId="0" fillId="0" borderId="16" xfId="0" applyBorder="1" applyAlignment="1">
      <alignment horizontal="right"/>
    </xf>
    <xf numFmtId="0" fontId="218" fillId="23" borderId="37" xfId="0" applyFont="1" applyFill="1" applyBorder="1" applyAlignment="1">
      <alignment wrapText="1"/>
    </xf>
    <xf numFmtId="0" fontId="0" fillId="0" borderId="16" xfId="0" applyBorder="1" applyAlignment="1"/>
    <xf numFmtId="0" fontId="238" fillId="0" borderId="37" xfId="0" applyFont="1" applyFill="1" applyBorder="1" applyAlignment="1">
      <alignment horizontal="center" wrapText="1"/>
    </xf>
    <xf numFmtId="0" fontId="0" fillId="0" borderId="16" xfId="0" applyBorder="1" applyAlignment="1">
      <alignment horizontal="center"/>
    </xf>
    <xf numFmtId="0" fontId="224" fillId="0" borderId="37" xfId="0" applyFont="1" applyBorder="1" applyAlignment="1">
      <alignment wrapText="1"/>
    </xf>
    <xf numFmtId="0" fontId="0" fillId="0" borderId="37" xfId="0" applyBorder="1" applyAlignment="1">
      <alignment horizontal="right"/>
    </xf>
    <xf numFmtId="0" fontId="106" fillId="0" borderId="37" xfId="0" applyFont="1" applyFill="1" applyBorder="1" applyAlignment="1">
      <alignment horizontal="center" wrapText="1"/>
    </xf>
    <xf numFmtId="0" fontId="13" fillId="0" borderId="16" xfId="0" applyFont="1" applyBorder="1" applyAlignment="1">
      <alignment horizontal="center"/>
    </xf>
    <xf numFmtId="0" fontId="26" fillId="0" borderId="0" xfId="28" applyFont="1" applyFill="1" applyAlignment="1" applyProtection="1">
      <alignment wrapText="1"/>
    </xf>
    <xf numFmtId="0" fontId="0" fillId="0" borderId="0" xfId="0" applyAlignment="1">
      <alignment wrapText="1"/>
    </xf>
    <xf numFmtId="0" fontId="12" fillId="0" borderId="67" xfId="0" applyFont="1" applyFill="1" applyBorder="1" applyAlignment="1">
      <alignment horizontal="center" wrapText="1"/>
    </xf>
    <xf numFmtId="0" fontId="219" fillId="0" borderId="13" xfId="0" applyFont="1" applyFill="1" applyBorder="1" applyAlignment="1">
      <alignment horizontal="left" wrapText="1"/>
    </xf>
    <xf numFmtId="0" fontId="17" fillId="0" borderId="13" xfId="0" applyFont="1" applyBorder="1" applyAlignment="1"/>
    <xf numFmtId="0" fontId="15" fillId="0" borderId="37" xfId="0" applyFont="1" applyFill="1" applyBorder="1" applyAlignment="1">
      <alignment horizontal="left" wrapText="1"/>
    </xf>
    <xf numFmtId="0" fontId="0" fillId="0" borderId="16" xfId="0" applyBorder="1" applyAlignment="1">
      <alignment wrapText="1"/>
    </xf>
    <xf numFmtId="0" fontId="38" fillId="0" borderId="61" xfId="0" applyFont="1" applyFill="1" applyBorder="1" applyAlignment="1">
      <alignment horizontal="left" wrapText="1"/>
    </xf>
    <xf numFmtId="0" fontId="112" fillId="0" borderId="64" xfId="0" applyFont="1" applyBorder="1" applyAlignment="1">
      <alignment horizontal="center"/>
    </xf>
    <xf numFmtId="0" fontId="83" fillId="0" borderId="64" xfId="0" applyFont="1" applyBorder="1" applyAlignment="1">
      <alignment horizontal="center"/>
    </xf>
    <xf numFmtId="0" fontId="64" fillId="0" borderId="64" xfId="0" applyFont="1" applyBorder="1" applyAlignment="1">
      <alignment horizontal="center"/>
    </xf>
    <xf numFmtId="0" fontId="19" fillId="0" borderId="64" xfId="0" applyFont="1" applyBorder="1" applyAlignment="1">
      <alignment horizontal="center"/>
    </xf>
    <xf numFmtId="0" fontId="84" fillId="0" borderId="64" xfId="0" applyFont="1" applyBorder="1" applyAlignment="1">
      <alignment horizontal="center"/>
    </xf>
    <xf numFmtId="0" fontId="64" fillId="0" borderId="62" xfId="0" applyFont="1" applyBorder="1" applyAlignment="1">
      <alignment horizontal="center"/>
    </xf>
    <xf numFmtId="0" fontId="0" fillId="0" borderId="64" xfId="0" applyFont="1" applyBorder="1" applyAlignment="1">
      <alignment horizontal="center"/>
    </xf>
    <xf numFmtId="0" fontId="0" fillId="0" borderId="64" xfId="0" applyFont="1" applyBorder="1" applyAlignment="1">
      <alignment horizontal="left"/>
    </xf>
    <xf numFmtId="0" fontId="16" fillId="0" borderId="64" xfId="0" applyFont="1" applyBorder="1" applyAlignment="1">
      <alignment horizontal="center"/>
    </xf>
    <xf numFmtId="0" fontId="16" fillId="0" borderId="36" xfId="0" applyFont="1" applyBorder="1" applyAlignment="1">
      <alignment horizontal="center"/>
    </xf>
    <xf numFmtId="0" fontId="112" fillId="0" borderId="64" xfId="0" applyFont="1" applyBorder="1"/>
    <xf numFmtId="0" fontId="16" fillId="0" borderId="64" xfId="0" applyFont="1" applyBorder="1" applyAlignment="1">
      <alignment horizontal="left"/>
    </xf>
    <xf numFmtId="0" fontId="16" fillId="0" borderId="64" xfId="0" applyFont="1" applyBorder="1"/>
    <xf numFmtId="0" fontId="64" fillId="0" borderId="64" xfId="0" applyFont="1" applyBorder="1"/>
    <xf numFmtId="0" fontId="16" fillId="0" borderId="0" xfId="0" applyFont="1" applyAlignment="1">
      <alignment horizontal="right"/>
    </xf>
    <xf numFmtId="0" fontId="16" fillId="0" borderId="62" xfId="0" applyFont="1" applyBorder="1"/>
    <xf numFmtId="0" fontId="64" fillId="0" borderId="64" xfId="0" applyFont="1" applyFill="1" applyBorder="1"/>
    <xf numFmtId="0" fontId="16" fillId="0" borderId="64" xfId="0" applyFont="1" applyFill="1" applyBorder="1"/>
    <xf numFmtId="0" fontId="16" fillId="0" borderId="64" xfId="0" applyFont="1" applyFill="1" applyBorder="1" applyAlignment="1">
      <alignment horizontal="left"/>
    </xf>
    <xf numFmtId="0" fontId="16" fillId="0" borderId="64" xfId="0" applyFont="1" applyBorder="1" applyAlignment="1">
      <alignment horizontal="right"/>
    </xf>
    <xf numFmtId="0" fontId="16" fillId="0" borderId="36" xfId="0" applyFont="1" applyBorder="1" applyAlignment="1">
      <alignment horizontal="right"/>
    </xf>
    <xf numFmtId="0" fontId="15" fillId="0" borderId="62" xfId="0" applyFont="1" applyBorder="1"/>
    <xf numFmtId="0" fontId="19" fillId="0" borderId="62" xfId="0" applyFont="1" applyBorder="1" applyAlignment="1">
      <alignment horizontal="center"/>
    </xf>
    <xf numFmtId="0" fontId="15" fillId="0" borderId="36" xfId="0" applyFont="1" applyBorder="1"/>
    <xf numFmtId="0" fontId="403" fillId="0" borderId="0" xfId="0" applyFont="1" applyBorder="1"/>
    <xf numFmtId="0" fontId="400" fillId="0" borderId="0" xfId="28" applyFont="1" applyBorder="1" applyAlignment="1" applyProtection="1"/>
    <xf numFmtId="0" fontId="25" fillId="0" borderId="0" xfId="0" applyFont="1" applyFill="1" applyBorder="1"/>
    <xf numFmtId="0" fontId="25" fillId="22" borderId="13" xfId="0" applyFont="1" applyFill="1" applyBorder="1" applyAlignment="1">
      <alignment horizontal="center"/>
    </xf>
    <xf numFmtId="0" fontId="447" fillId="0" borderId="0" xfId="28" applyFont="1" applyBorder="1" applyAlignment="1" applyProtection="1">
      <alignment horizontal="center"/>
    </xf>
    <xf numFmtId="0" fontId="84" fillId="0" borderId="0" xfId="0" applyFont="1" applyAlignment="1">
      <alignment horizontal="center"/>
    </xf>
    <xf numFmtId="0" fontId="447" fillId="0" borderId="0" xfId="0" applyFont="1"/>
    <xf numFmtId="0" fontId="382" fillId="0" borderId="64" xfId="0" applyFont="1" applyBorder="1" applyAlignment="1">
      <alignment horizontal="left"/>
    </xf>
    <xf numFmtId="0" fontId="0" fillId="59" borderId="13" xfId="0" applyFill="1" applyBorder="1"/>
    <xf numFmtId="0" fontId="15" fillId="0" borderId="13" xfId="0" applyFont="1" applyBorder="1" applyAlignment="1">
      <alignment horizontal="justify" vertical="center" wrapText="1"/>
    </xf>
    <xf numFmtId="0" fontId="439" fillId="0" borderId="0" xfId="0" applyFont="1" applyAlignment="1">
      <alignment horizontal="center"/>
    </xf>
    <xf numFmtId="0" fontId="442" fillId="0" borderId="13" xfId="0" applyFont="1" applyFill="1" applyBorder="1" applyAlignment="1" applyProtection="1">
      <alignment horizontal="left"/>
      <protection hidden="1"/>
    </xf>
    <xf numFmtId="0" fontId="442" fillId="0" borderId="13" xfId="0" applyFont="1" applyBorder="1" applyAlignment="1">
      <alignment horizontal="justify" vertical="top" wrapText="1"/>
    </xf>
    <xf numFmtId="0" fontId="442" fillId="0" borderId="13" xfId="0" applyFont="1" applyBorder="1" applyAlignment="1" applyProtection="1">
      <alignment wrapText="1"/>
      <protection hidden="1"/>
    </xf>
    <xf numFmtId="0" fontId="0" fillId="60" borderId="13" xfId="0" applyFill="1" applyBorder="1"/>
    <xf numFmtId="0" fontId="403" fillId="0" borderId="13" xfId="0" applyFont="1" applyBorder="1" applyAlignment="1" applyProtection="1">
      <alignment wrapText="1"/>
      <protection hidden="1"/>
    </xf>
    <xf numFmtId="0" fontId="22" fillId="0" borderId="0" xfId="28" applyBorder="1" applyAlignment="1" applyProtection="1">
      <alignment wrapText="1"/>
      <protection hidden="1"/>
    </xf>
    <xf numFmtId="0" fontId="455" fillId="0" borderId="13" xfId="0" applyFont="1" applyBorder="1"/>
    <xf numFmtId="0" fontId="459" fillId="0" borderId="13" xfId="0" applyFont="1" applyFill="1" applyBorder="1" applyAlignment="1">
      <alignment wrapText="1"/>
    </xf>
    <xf numFmtId="0" fontId="0" fillId="34" borderId="0" xfId="0" applyFill="1" applyBorder="1" applyAlignment="1">
      <alignment horizontal="center"/>
    </xf>
    <xf numFmtId="0" fontId="85" fillId="0" borderId="13" xfId="0" applyFont="1" applyFill="1" applyBorder="1" applyAlignment="1">
      <alignment horizontal="left" wrapText="1"/>
    </xf>
    <xf numFmtId="0" fontId="15" fillId="0" borderId="0" xfId="0" applyFont="1" applyBorder="1" applyAlignment="1">
      <alignment horizontal="justify" vertical="center"/>
    </xf>
    <xf numFmtId="0" fontId="15" fillId="0" borderId="64" xfId="0" applyFont="1" applyBorder="1" applyAlignment="1">
      <alignment horizontal="justify" vertical="center" wrapText="1"/>
    </xf>
    <xf numFmtId="0" fontId="15" fillId="0" borderId="51" xfId="0" applyFont="1" applyBorder="1" applyAlignment="1">
      <alignment horizontal="justify" vertical="center"/>
    </xf>
    <xf numFmtId="0" fontId="15" fillId="59" borderId="13" xfId="0" applyFont="1" applyFill="1" applyBorder="1" applyAlignment="1">
      <alignment horizontal="justify" vertical="center"/>
    </xf>
    <xf numFmtId="0" fontId="455" fillId="0" borderId="13" xfId="0" applyFont="1" applyBorder="1" applyAlignment="1">
      <alignment horizontal="justify" vertical="center" wrapText="1"/>
    </xf>
    <xf numFmtId="0" fontId="0" fillId="59" borderId="13" xfId="0" applyFont="1" applyFill="1" applyBorder="1"/>
    <xf numFmtId="0" fontId="0" fillId="0" borderId="0" xfId="0" applyBorder="1" applyAlignment="1"/>
    <xf numFmtId="1" fontId="11" fillId="60" borderId="13" xfId="0" applyNumberFormat="1" applyFont="1" applyFill="1" applyBorder="1" applyAlignment="1">
      <alignment horizontal="center"/>
    </xf>
    <xf numFmtId="0" fontId="376" fillId="60" borderId="13" xfId="0" applyFont="1" applyFill="1" applyBorder="1" applyAlignment="1"/>
    <xf numFmtId="0" fontId="354" fillId="60" borderId="13" xfId="0" applyFont="1" applyFill="1" applyBorder="1" applyAlignment="1" applyProtection="1">
      <alignment horizontal="center"/>
      <protection locked="0" hidden="1"/>
    </xf>
    <xf numFmtId="0" fontId="462" fillId="0" borderId="0" xfId="0" applyFont="1"/>
    <xf numFmtId="0" fontId="22" fillId="23" borderId="45" xfId="28" applyFill="1" applyBorder="1" applyAlignment="1" applyProtection="1">
      <protection hidden="1"/>
    </xf>
    <xf numFmtId="0" fontId="22" fillId="63" borderId="13" xfId="28" applyFill="1" applyBorder="1" applyAlignment="1" applyProtection="1"/>
    <xf numFmtId="0" fontId="22" fillId="63" borderId="0" xfId="28" applyFill="1" applyAlignment="1" applyProtection="1"/>
    <xf numFmtId="0" fontId="22" fillId="63" borderId="0" xfId="28" applyFill="1" applyBorder="1" applyAlignment="1" applyProtection="1">
      <alignment wrapText="1"/>
    </xf>
    <xf numFmtId="0" fontId="22" fillId="63" borderId="0" xfId="28" applyFill="1" applyBorder="1" applyAlignment="1" applyProtection="1">
      <alignment wrapText="1"/>
      <protection hidden="1"/>
    </xf>
    <xf numFmtId="0" fontId="13" fillId="60" borderId="13" xfId="0" applyFont="1" applyFill="1" applyBorder="1" applyAlignment="1">
      <alignment horizontal="center"/>
    </xf>
    <xf numFmtId="1" fontId="0" fillId="0" borderId="0" xfId="0" applyNumberFormat="1" applyFont="1"/>
    <xf numFmtId="1" fontId="0" fillId="0" borderId="13" xfId="0" applyNumberFormat="1" applyFont="1" applyBorder="1"/>
    <xf numFmtId="0" fontId="447" fillId="0" borderId="13" xfId="0" applyFont="1" applyFill="1" applyBorder="1"/>
    <xf numFmtId="0" fontId="22" fillId="61" borderId="0" xfId="28" applyFill="1" applyAlignment="1" applyProtection="1"/>
    <xf numFmtId="0" fontId="11" fillId="0" borderId="13" xfId="28" applyFont="1" applyBorder="1" applyAlignment="1" applyProtection="1">
      <alignment wrapText="1"/>
    </xf>
    <xf numFmtId="0" fontId="0" fillId="62" borderId="13" xfId="0" applyFill="1" applyBorder="1"/>
    <xf numFmtId="0" fontId="0" fillId="61" borderId="0" xfId="0" applyFill="1"/>
    <xf numFmtId="0" fontId="464" fillId="0" borderId="0" xfId="0" applyFont="1" applyAlignment="1">
      <alignment horizontal="left"/>
    </xf>
    <xf numFmtId="1" fontId="14" fillId="0" borderId="0" xfId="0" applyNumberFormat="1" applyFont="1" applyFill="1" applyBorder="1"/>
    <xf numFmtId="1" fontId="14" fillId="62" borderId="13" xfId="0" applyNumberFormat="1" applyFont="1" applyFill="1" applyBorder="1"/>
    <xf numFmtId="0" fontId="0" fillId="0" borderId="0" xfId="0" applyBorder="1" applyAlignment="1">
      <alignment horizontal="right"/>
    </xf>
    <xf numFmtId="0" fontId="0" fillId="66" borderId="13" xfId="0" applyFill="1" applyBorder="1"/>
    <xf numFmtId="0" fontId="438" fillId="0" borderId="13" xfId="0" applyFont="1" applyBorder="1" applyAlignment="1">
      <alignment horizontal="right"/>
    </xf>
    <xf numFmtId="0" fontId="15" fillId="0" borderId="0" xfId="28" applyFont="1" applyFill="1" applyBorder="1" applyAlignment="1" applyProtection="1"/>
    <xf numFmtId="0" fontId="84" fillId="0" borderId="13" xfId="28" applyFont="1" applyFill="1" applyBorder="1" applyAlignment="1" applyProtection="1"/>
    <xf numFmtId="0" fontId="401" fillId="0" borderId="13" xfId="0" applyFont="1" applyFill="1" applyBorder="1"/>
    <xf numFmtId="0" fontId="32" fillId="59" borderId="13" xfId="0" applyFont="1" applyFill="1" applyBorder="1" applyAlignment="1">
      <alignment wrapText="1"/>
    </xf>
    <xf numFmtId="0" fontId="447" fillId="0" borderId="13" xfId="0" applyFont="1" applyBorder="1"/>
    <xf numFmtId="0" fontId="399" fillId="59" borderId="13" xfId="0" applyFont="1" applyFill="1" applyBorder="1"/>
    <xf numFmtId="0" fontId="441" fillId="61" borderId="0" xfId="0" applyFont="1" applyFill="1" applyBorder="1"/>
    <xf numFmtId="0" fontId="81" fillId="59" borderId="13" xfId="38" applyFill="1" applyBorder="1" applyProtection="1">
      <protection hidden="1"/>
    </xf>
    <xf numFmtId="0" fontId="442" fillId="0" borderId="13" xfId="0" applyFont="1" applyBorder="1"/>
    <xf numFmtId="0" fontId="22" fillId="63" borderId="0" xfId="28" applyFill="1" applyBorder="1" applyAlignment="1" applyProtection="1">
      <alignment horizontal="left"/>
      <protection hidden="1"/>
    </xf>
    <xf numFmtId="0" fontId="22" fillId="63" borderId="0" xfId="28" applyFill="1" applyBorder="1" applyAlignment="1" applyProtection="1">
      <protection hidden="1"/>
    </xf>
    <xf numFmtId="0" fontId="362" fillId="60" borderId="13" xfId="0" applyFont="1" applyFill="1" applyBorder="1" applyAlignment="1" applyProtection="1">
      <alignment horizontal="center"/>
      <protection locked="0"/>
    </xf>
    <xf numFmtId="0" fontId="22" fillId="65" borderId="0" xfId="28" applyFill="1" applyBorder="1" applyAlignment="1" applyProtection="1">
      <alignment wrapText="1"/>
      <protection hidden="1"/>
    </xf>
    <xf numFmtId="0" fontId="461" fillId="0" borderId="13" xfId="28" applyFont="1" applyFill="1" applyBorder="1" applyAlignment="1" applyProtection="1">
      <alignment wrapText="1"/>
    </xf>
    <xf numFmtId="0" fontId="22" fillId="63" borderId="0" xfId="28" applyFill="1" applyBorder="1" applyAlignment="1" applyProtection="1"/>
    <xf numFmtId="0" fontId="465" fillId="0" borderId="13" xfId="28" applyFont="1" applyFill="1" applyBorder="1" applyAlignment="1" applyProtection="1">
      <alignment wrapText="1"/>
    </xf>
    <xf numFmtId="0" fontId="23" fillId="0" borderId="13" xfId="0" applyFont="1" applyBorder="1" applyAlignment="1">
      <alignment wrapText="1"/>
    </xf>
    <xf numFmtId="0" fontId="399" fillId="0" borderId="0" xfId="28" applyFont="1" applyFill="1" applyBorder="1" applyAlignment="1" applyProtection="1">
      <alignment wrapText="1"/>
    </xf>
    <xf numFmtId="0" fontId="84" fillId="0" borderId="13" xfId="28" applyFont="1" applyFill="1" applyBorder="1" applyAlignment="1" applyProtection="1">
      <alignment wrapText="1"/>
    </xf>
    <xf numFmtId="1" fontId="366" fillId="66" borderId="13" xfId="0" applyNumberFormat="1" applyFont="1" applyFill="1" applyBorder="1" applyAlignment="1">
      <alignment horizontal="center"/>
    </xf>
    <xf numFmtId="0" fontId="22" fillId="65" borderId="0" xfId="28" applyFill="1" applyBorder="1" applyAlignment="1" applyProtection="1">
      <alignment wrapText="1"/>
    </xf>
    <xf numFmtId="0" fontId="22" fillId="64" borderId="0" xfId="28" applyFill="1" applyAlignment="1" applyProtection="1"/>
    <xf numFmtId="0" fontId="22" fillId="64" borderId="0" xfId="28" applyFill="1" applyBorder="1" applyAlignment="1" applyProtection="1">
      <alignment horizontal="left"/>
    </xf>
    <xf numFmtId="1" fontId="366" fillId="59" borderId="13" xfId="0" applyNumberFormat="1" applyFont="1" applyFill="1" applyBorder="1" applyAlignment="1">
      <alignment horizontal="center"/>
    </xf>
    <xf numFmtId="2" fontId="15" fillId="0" borderId="13" xfId="38" applyNumberFormat="1" applyFont="1" applyFill="1" applyBorder="1" applyAlignment="1" applyProtection="1">
      <alignment vertical="center"/>
      <protection hidden="1"/>
    </xf>
    <xf numFmtId="0" fontId="15" fillId="0" borderId="13" xfId="38" applyFont="1" applyFill="1" applyBorder="1" applyAlignment="1" applyProtection="1">
      <alignment vertical="center"/>
      <protection hidden="1"/>
    </xf>
    <xf numFmtId="0" fontId="160" fillId="0" borderId="13" xfId="38" applyFont="1" applyBorder="1" applyAlignment="1" applyProtection="1">
      <alignment horizontal="center"/>
      <protection hidden="1"/>
    </xf>
    <xf numFmtId="0" fontId="160" fillId="59" borderId="13" xfId="38" applyFont="1" applyFill="1" applyBorder="1" applyAlignment="1" applyProtection="1">
      <alignment horizontal="center"/>
      <protection hidden="1"/>
    </xf>
    <xf numFmtId="0" fontId="463" fillId="0" borderId="13" xfId="28" applyFont="1" applyBorder="1" applyAlignment="1" applyProtection="1">
      <alignment wrapText="1"/>
    </xf>
    <xf numFmtId="0" fontId="22" fillId="63" borderId="0" xfId="28" applyFill="1" applyBorder="1" applyAlignment="1" applyProtection="1">
      <alignment horizontal="center"/>
    </xf>
    <xf numFmtId="0" fontId="22" fillId="65" borderId="0" xfId="28" applyFill="1" applyBorder="1" applyAlignment="1" applyProtection="1">
      <alignment horizontal="right"/>
    </xf>
    <xf numFmtId="1" fontId="366" fillId="60" borderId="13" xfId="0" applyNumberFormat="1" applyFont="1" applyFill="1" applyBorder="1" applyAlignment="1">
      <alignment horizontal="center"/>
    </xf>
    <xf numFmtId="0" fontId="22" fillId="61" borderId="0" xfId="28" applyFill="1" applyBorder="1" applyAlignment="1" applyProtection="1"/>
    <xf numFmtId="0" fontId="0" fillId="0" borderId="0" xfId="0" applyBorder="1" applyAlignment="1"/>
    <xf numFmtId="0" fontId="67" fillId="59" borderId="13" xfId="42" applyFont="1" applyFill="1" applyBorder="1" applyAlignment="1" applyProtection="1">
      <alignment horizontal="left" wrapText="1"/>
      <protection locked="0"/>
    </xf>
    <xf numFmtId="0" fontId="401" fillId="0" borderId="13" xfId="42" applyFont="1" applyFill="1" applyBorder="1" applyAlignment="1" applyProtection="1">
      <protection locked="0"/>
    </xf>
    <xf numFmtId="0" fontId="466" fillId="0" borderId="13" xfId="42" applyFont="1" applyFill="1" applyBorder="1" applyAlignment="1" applyProtection="1">
      <alignment horizontal="left" wrapText="1"/>
      <protection locked="0"/>
    </xf>
    <xf numFmtId="0" fontId="0" fillId="22" borderId="13" xfId="0" applyFont="1" applyFill="1" applyBorder="1" applyAlignment="1"/>
    <xf numFmtId="0" fontId="70" fillId="67" borderId="13" xfId="0" applyFont="1" applyFill="1" applyBorder="1" applyAlignment="1"/>
    <xf numFmtId="0" fontId="454" fillId="0" borderId="0" xfId="0" applyFont="1"/>
    <xf numFmtId="0" fontId="13" fillId="35" borderId="13" xfId="0" applyFont="1" applyFill="1" applyBorder="1"/>
    <xf numFmtId="0" fontId="398" fillId="0" borderId="0" xfId="0" applyFont="1" applyFill="1" applyBorder="1"/>
    <xf numFmtId="0" fontId="1" fillId="0" borderId="13" xfId="0" applyFont="1" applyBorder="1"/>
    <xf numFmtId="0" fontId="19" fillId="0" borderId="14" xfId="28" applyFont="1" applyFill="1" applyBorder="1" applyAlignment="1" applyProtection="1">
      <alignment wrapText="1"/>
    </xf>
    <xf numFmtId="1" fontId="366" fillId="62" borderId="14" xfId="0" applyNumberFormat="1" applyFont="1" applyFill="1" applyBorder="1" applyAlignment="1">
      <alignment horizontal="center"/>
    </xf>
    <xf numFmtId="0" fontId="0" fillId="0" borderId="0" xfId="0" applyAlignment="1"/>
    <xf numFmtId="0" fontId="0" fillId="0" borderId="13" xfId="0" applyBorder="1" applyAlignment="1">
      <alignment wrapText="1"/>
    </xf>
    <xf numFmtId="0" fontId="0" fillId="0" borderId="13" xfId="0" applyFill="1" applyBorder="1" applyAlignment="1">
      <alignment wrapText="1"/>
    </xf>
    <xf numFmtId="0" fontId="461" fillId="0" borderId="0" xfId="28" applyFont="1" applyFill="1" applyAlignment="1" applyProtection="1"/>
    <xf numFmtId="0" fontId="0" fillId="0" borderId="13" xfId="0" applyBorder="1" applyAlignment="1">
      <alignment wrapText="1"/>
    </xf>
    <xf numFmtId="0" fontId="0" fillId="0" borderId="0" xfId="0" applyBorder="1" applyAlignment="1">
      <alignment wrapText="1"/>
    </xf>
    <xf numFmtId="0" fontId="0" fillId="0" borderId="16" xfId="0" applyBorder="1" applyAlignment="1">
      <alignment wrapText="1"/>
    </xf>
    <xf numFmtId="0" fontId="12" fillId="0" borderId="0" xfId="0" applyFont="1" applyAlignment="1">
      <alignment wrapText="1"/>
    </xf>
    <xf numFmtId="0" fontId="403" fillId="0" borderId="13" xfId="28" applyFont="1" applyFill="1" applyBorder="1" applyAlignment="1" applyProtection="1">
      <alignment wrapText="1"/>
    </xf>
    <xf numFmtId="2" fontId="366" fillId="59" borderId="13" xfId="0" applyNumberFormat="1" applyFont="1" applyFill="1" applyBorder="1" applyAlignment="1">
      <alignment horizontal="center"/>
    </xf>
    <xf numFmtId="0" fontId="401" fillId="0" borderId="13" xfId="42" applyFont="1" applyFill="1" applyBorder="1" applyAlignment="1" applyProtection="1">
      <alignment horizontal="left" wrapText="1"/>
      <protection locked="0"/>
    </xf>
    <xf numFmtId="0" fontId="38" fillId="0" borderId="0" xfId="0" applyFont="1" applyProtection="1">
      <protection hidden="1"/>
    </xf>
    <xf numFmtId="0" fontId="0" fillId="35" borderId="44" xfId="0" applyFill="1" applyBorder="1"/>
    <xf numFmtId="0" fontId="2" fillId="59" borderId="13" xfId="0" applyFont="1" applyFill="1" applyBorder="1"/>
    <xf numFmtId="0" fontId="2" fillId="59" borderId="13" xfId="0" applyFont="1" applyFill="1" applyBorder="1" applyAlignment="1">
      <alignment horizontal="right"/>
    </xf>
    <xf numFmtId="0" fontId="19" fillId="0" borderId="0" xfId="0" applyFont="1" applyBorder="1"/>
    <xf numFmtId="0" fontId="439" fillId="0" borderId="13" xfId="0" applyFont="1" applyBorder="1"/>
    <xf numFmtId="0" fontId="1" fillId="35" borderId="13" xfId="0" applyFont="1" applyFill="1" applyBorder="1" applyAlignment="1">
      <alignment wrapText="1"/>
    </xf>
    <xf numFmtId="0" fontId="455" fillId="0" borderId="14" xfId="0" applyFont="1" applyFill="1" applyBorder="1" applyAlignment="1"/>
    <xf numFmtId="0" fontId="439" fillId="0" borderId="0" xfId="0" applyFont="1" applyBorder="1"/>
    <xf numFmtId="0" fontId="112" fillId="0" borderId="0" xfId="0" applyFont="1"/>
    <xf numFmtId="0" fontId="0" fillId="0" borderId="13" xfId="0" applyFont="1" applyBorder="1" applyAlignment="1">
      <alignment wrapText="1"/>
    </xf>
    <xf numFmtId="0" fontId="22" fillId="59" borderId="13" xfId="28" applyFill="1" applyBorder="1" applyAlignment="1" applyProtection="1">
      <alignment horizontal="center"/>
    </xf>
    <xf numFmtId="0" fontId="0" fillId="59" borderId="13" xfId="0" applyFill="1" applyBorder="1" applyProtection="1">
      <protection hidden="1"/>
    </xf>
    <xf numFmtId="0" fontId="0" fillId="0" borderId="13" xfId="0" applyFont="1" applyBorder="1" applyAlignment="1" applyProtection="1">
      <alignment wrapText="1"/>
      <protection hidden="1"/>
    </xf>
    <xf numFmtId="0" fontId="70" fillId="59" borderId="13" xfId="0" applyFont="1" applyFill="1" applyBorder="1" applyProtection="1">
      <protection hidden="1"/>
    </xf>
    <xf numFmtId="0" fontId="13" fillId="59" borderId="13" xfId="0" applyFont="1" applyFill="1" applyBorder="1" applyAlignment="1" applyProtection="1">
      <alignment wrapText="1"/>
      <protection hidden="1"/>
    </xf>
    <xf numFmtId="0" fontId="0" fillId="0" borderId="13" xfId="0" applyFont="1" applyFill="1" applyBorder="1" applyAlignment="1" applyProtection="1">
      <alignment wrapText="1"/>
      <protection hidden="1"/>
    </xf>
    <xf numFmtId="0" fontId="70" fillId="59" borderId="13" xfId="0" applyFont="1" applyFill="1" applyBorder="1"/>
    <xf numFmtId="0" fontId="403" fillId="0" borderId="13" xfId="0" applyFont="1" applyFill="1" applyBorder="1"/>
    <xf numFmtId="0" fontId="398" fillId="68" borderId="0" xfId="0" applyFont="1" applyFill="1"/>
    <xf numFmtId="0" fontId="0" fillId="68" borderId="0" xfId="0" applyFill="1"/>
    <xf numFmtId="0" fontId="81" fillId="0" borderId="13" xfId="38" applyBorder="1" applyProtection="1">
      <protection hidden="1"/>
    </xf>
    <xf numFmtId="0" fontId="81" fillId="0" borderId="0" xfId="38" applyFill="1" applyProtection="1">
      <protection hidden="1"/>
    </xf>
    <xf numFmtId="0" fontId="454" fillId="0" borderId="0" xfId="0" applyFont="1" applyFill="1" applyBorder="1" applyAlignment="1">
      <alignment horizontal="left"/>
    </xf>
    <xf numFmtId="0" fontId="22" fillId="61" borderId="13" xfId="28" applyFill="1" applyBorder="1" applyAlignment="1" applyProtection="1"/>
    <xf numFmtId="0" fontId="15" fillId="0" borderId="64" xfId="0" applyFont="1" applyFill="1" applyBorder="1" applyAlignment="1">
      <alignment horizontal="justify"/>
    </xf>
    <xf numFmtId="0" fontId="15" fillId="0" borderId="0" xfId="0" applyFont="1" applyBorder="1" applyAlignment="1">
      <alignment horizontal="justify"/>
    </xf>
    <xf numFmtId="0" fontId="14" fillId="34" borderId="0" xfId="0" applyFont="1" applyFill="1"/>
    <xf numFmtId="0" fontId="447" fillId="0" borderId="0" xfId="0" applyFont="1" applyFill="1" applyBorder="1"/>
    <xf numFmtId="0" fontId="467" fillId="0" borderId="0" xfId="0" applyFont="1" applyBorder="1"/>
    <xf numFmtId="0" fontId="0" fillId="0" borderId="0" xfId="0" applyFont="1" applyBorder="1"/>
    <xf numFmtId="0" fontId="22" fillId="58" borderId="0" xfId="28" applyFont="1" applyFill="1" applyAlignment="1" applyProtection="1"/>
    <xf numFmtId="0" fontId="442" fillId="0" borderId="0" xfId="0" applyFont="1" applyFill="1" applyBorder="1" applyAlignment="1">
      <alignment horizontal="left"/>
    </xf>
    <xf numFmtId="1" fontId="397" fillId="0" borderId="0" xfId="0" applyNumberFormat="1" applyFont="1" applyBorder="1"/>
    <xf numFmtId="1" fontId="397" fillId="0" borderId="13" xfId="0" applyNumberFormat="1" applyFont="1" applyBorder="1"/>
    <xf numFmtId="0" fontId="11" fillId="0" borderId="13" xfId="0" applyFont="1" applyFill="1" applyBorder="1" applyAlignment="1">
      <alignment horizontal="right"/>
    </xf>
    <xf numFmtId="0" fontId="38" fillId="0" borderId="13" xfId="0" applyFont="1" applyBorder="1" applyAlignment="1">
      <alignment wrapText="1"/>
    </xf>
    <xf numFmtId="0" fontId="441" fillId="0" borderId="0" xfId="0" applyFont="1" applyFill="1" applyBorder="1" applyAlignment="1">
      <alignment wrapText="1"/>
    </xf>
    <xf numFmtId="0" fontId="468" fillId="0" borderId="0" xfId="0" applyFont="1" applyFill="1" applyBorder="1" applyAlignment="1" applyProtection="1">
      <alignment wrapText="1"/>
      <protection hidden="1"/>
    </xf>
    <xf numFmtId="0" fontId="460" fillId="0" borderId="0" xfId="0" applyFont="1" applyBorder="1"/>
    <xf numFmtId="0" fontId="460" fillId="0" borderId="0" xfId="0" applyFont="1"/>
    <xf numFmtId="0" fontId="22" fillId="0" borderId="0" xfId="28" applyFill="1" applyBorder="1" applyAlignment="1" applyProtection="1">
      <alignment horizontal="left"/>
    </xf>
    <xf numFmtId="0" fontId="22" fillId="65" borderId="0" xfId="28" applyFill="1" applyBorder="1" applyAlignment="1" applyProtection="1"/>
    <xf numFmtId="0" fontId="469" fillId="0" borderId="141" xfId="50" applyFont="1" applyFill="1" applyBorder="1" applyAlignment="1" applyProtection="1">
      <alignment horizontal="left"/>
      <protection hidden="1"/>
    </xf>
    <xf numFmtId="0" fontId="460" fillId="0" borderId="0" xfId="50" applyFont="1" applyProtection="1">
      <protection hidden="1"/>
    </xf>
    <xf numFmtId="0" fontId="104" fillId="0" borderId="0" xfId="0" applyFont="1" applyFill="1" applyBorder="1" applyAlignment="1">
      <alignment horizontal="left"/>
    </xf>
    <xf numFmtId="0" fontId="82" fillId="0" borderId="0" xfId="0" applyFont="1" applyFill="1" applyBorder="1" applyAlignment="1">
      <alignment horizontal="left"/>
    </xf>
    <xf numFmtId="0" fontId="19" fillId="0" borderId="0" xfId="0" applyFont="1" applyAlignment="1">
      <alignment wrapText="1"/>
    </xf>
    <xf numFmtId="0" fontId="400" fillId="0" borderId="0" xfId="0" applyFont="1" applyBorder="1" applyAlignment="1">
      <alignment wrapText="1"/>
    </xf>
    <xf numFmtId="0" fontId="38" fillId="0" borderId="0" xfId="0" applyFont="1" applyBorder="1" applyAlignment="1"/>
    <xf numFmtId="0" fontId="397" fillId="0" borderId="0" xfId="0" applyFont="1" applyAlignment="1">
      <alignment horizontal="center"/>
    </xf>
    <xf numFmtId="0" fontId="15" fillId="0" borderId="0" xfId="0" applyNumberFormat="1" applyFont="1"/>
    <xf numFmtId="0" fontId="96" fillId="0" borderId="0" xfId="0" applyFont="1" applyAlignment="1"/>
    <xf numFmtId="0" fontId="109" fillId="0" borderId="13" xfId="0" applyFont="1" applyFill="1" applyBorder="1" applyAlignment="1"/>
    <xf numFmtId="0" fontId="109" fillId="0" borderId="13" xfId="0" applyFont="1" applyFill="1" applyBorder="1" applyAlignment="1">
      <alignment horizontal="right"/>
    </xf>
    <xf numFmtId="0" fontId="32" fillId="61" borderId="13" xfId="0" applyFont="1" applyFill="1" applyBorder="1"/>
    <xf numFmtId="0" fontId="0" fillId="61" borderId="13" xfId="0" applyFill="1" applyBorder="1"/>
    <xf numFmtId="0" fontId="15" fillId="0" borderId="13" xfId="0" applyFont="1" applyFill="1" applyBorder="1" applyAlignment="1"/>
    <xf numFmtId="0" fontId="397" fillId="0" borderId="37" xfId="0" applyFont="1" applyBorder="1"/>
    <xf numFmtId="0" fontId="397" fillId="0" borderId="0" xfId="0" applyFont="1" applyBorder="1"/>
    <xf numFmtId="0" fontId="17" fillId="59" borderId="13" xfId="0" applyFont="1" applyFill="1" applyBorder="1"/>
    <xf numFmtId="0" fontId="453" fillId="0" borderId="13" xfId="0" applyFont="1" applyFill="1" applyBorder="1"/>
    <xf numFmtId="0" fontId="397" fillId="0" borderId="0" xfId="0" applyFont="1" applyFill="1" applyBorder="1" applyAlignment="1" applyProtection="1">
      <alignment horizontal="center"/>
      <protection hidden="1"/>
    </xf>
    <xf numFmtId="2" fontId="32" fillId="0" borderId="13" xfId="0" applyNumberFormat="1" applyFont="1" applyFill="1" applyBorder="1"/>
    <xf numFmtId="0" fontId="455" fillId="0" borderId="0" xfId="0" applyFont="1" applyFill="1" applyBorder="1" applyAlignment="1">
      <alignment horizontal="left"/>
    </xf>
    <xf numFmtId="0" fontId="17" fillId="0" borderId="13" xfId="0" applyFont="1" applyFill="1" applyBorder="1"/>
    <xf numFmtId="0" fontId="15" fillId="0" borderId="13" xfId="0" applyFont="1" applyFill="1" applyBorder="1" applyAlignment="1">
      <alignment horizontal="right" wrapText="1"/>
    </xf>
    <xf numFmtId="0" fontId="15" fillId="0" borderId="13" xfId="0" applyFont="1" applyFill="1" applyBorder="1" applyAlignment="1">
      <alignment horizontal="left"/>
    </xf>
    <xf numFmtId="1" fontId="32" fillId="0" borderId="13" xfId="0" applyNumberFormat="1" applyFont="1" applyFill="1" applyBorder="1"/>
    <xf numFmtId="0" fontId="13" fillId="59" borderId="13" xfId="0" applyFont="1" applyFill="1" applyBorder="1"/>
    <xf numFmtId="0" fontId="12" fillId="0" borderId="13" xfId="0" applyFont="1" applyFill="1" applyBorder="1" applyProtection="1">
      <protection locked="0"/>
    </xf>
    <xf numFmtId="0" fontId="85" fillId="0" borderId="13" xfId="0" applyFont="1" applyFill="1" applyBorder="1" applyAlignment="1">
      <alignment horizontal="center"/>
    </xf>
    <xf numFmtId="0" fontId="12" fillId="0" borderId="13" xfId="0" applyFont="1" applyFill="1" applyBorder="1"/>
    <xf numFmtId="0" fontId="403" fillId="0" borderId="13" xfId="0" applyFont="1" applyFill="1" applyBorder="1" applyAlignment="1"/>
    <xf numFmtId="0" fontId="109" fillId="0" borderId="37" xfId="0" applyFont="1" applyFill="1" applyBorder="1" applyAlignment="1">
      <alignment horizontal="left" wrapText="1"/>
    </xf>
    <xf numFmtId="165" fontId="362" fillId="22" borderId="13" xfId="0" applyNumberFormat="1" applyFont="1" applyFill="1" applyBorder="1" applyAlignment="1" applyProtection="1">
      <alignment horizontal="center"/>
      <protection locked="0"/>
    </xf>
    <xf numFmtId="0" fontId="64" fillId="0" borderId="19" xfId="0" applyFont="1" applyFill="1" applyBorder="1"/>
    <xf numFmtId="2" fontId="397" fillId="0" borderId="13" xfId="0" applyNumberFormat="1" applyFont="1" applyFill="1" applyBorder="1"/>
    <xf numFmtId="0" fontId="397" fillId="59" borderId="13" xfId="0" applyFont="1" applyFill="1" applyBorder="1"/>
    <xf numFmtId="0" fontId="15" fillId="0" borderId="0" xfId="0" applyFont="1" applyFill="1" applyBorder="1" applyAlignment="1">
      <alignment horizontal="center" wrapText="1"/>
    </xf>
    <xf numFmtId="0" fontId="6" fillId="0" borderId="38" xfId="0" applyFont="1" applyBorder="1" applyAlignment="1" applyProtection="1">
      <alignment horizontal="center" vertical="center" wrapText="1"/>
      <protection hidden="1"/>
    </xf>
    <xf numFmtId="0" fontId="0" fillId="0" borderId="49" xfId="0" applyBorder="1" applyAlignment="1">
      <alignment horizontal="center" vertical="center" wrapText="1"/>
    </xf>
    <xf numFmtId="0" fontId="397" fillId="34" borderId="20" xfId="0" applyFont="1" applyFill="1" applyBorder="1" applyAlignment="1"/>
    <xf numFmtId="0" fontId="397" fillId="34" borderId="0" xfId="0" applyFont="1" applyFill="1" applyAlignment="1"/>
    <xf numFmtId="0" fontId="0" fillId="0" borderId="0" xfId="0" applyAlignment="1"/>
    <xf numFmtId="0" fontId="214" fillId="0" borderId="67" xfId="0" applyFont="1" applyFill="1" applyBorder="1" applyAlignment="1">
      <alignment horizontal="center" wrapText="1"/>
    </xf>
    <xf numFmtId="0" fontId="0" fillId="0" borderId="42" xfId="0" applyBorder="1" applyAlignment="1">
      <alignment wrapText="1"/>
    </xf>
    <xf numFmtId="0" fontId="0" fillId="0" borderId="13" xfId="0" applyBorder="1" applyAlignment="1" applyProtection="1">
      <alignment wrapText="1"/>
      <protection hidden="1"/>
    </xf>
    <xf numFmtId="0" fontId="0" fillId="0" borderId="37" xfId="0" applyBorder="1" applyAlignment="1" applyProtection="1">
      <alignment horizontal="center" vertical="center"/>
      <protection hidden="1"/>
    </xf>
    <xf numFmtId="0" fontId="0" fillId="0" borderId="45"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0" fillId="0" borderId="13" xfId="0" applyBorder="1" applyAlignment="1">
      <alignment wrapText="1"/>
    </xf>
    <xf numFmtId="0" fontId="0" fillId="0" borderId="37" xfId="0" applyBorder="1" applyAlignment="1" applyProtection="1">
      <alignment wrapText="1"/>
      <protection hidden="1"/>
    </xf>
    <xf numFmtId="0" fontId="0" fillId="0" borderId="45" xfId="0" applyBorder="1" applyAlignment="1" applyProtection="1">
      <alignment wrapText="1"/>
      <protection hidden="1"/>
    </xf>
    <xf numFmtId="0" fontId="0" fillId="0" borderId="16" xfId="0" applyBorder="1" applyAlignment="1" applyProtection="1">
      <alignment wrapText="1"/>
      <protection hidden="1"/>
    </xf>
    <xf numFmtId="0" fontId="2" fillId="0" borderId="44" xfId="0" applyFont="1" applyBorder="1" applyAlignment="1">
      <alignment horizontal="center" vertical="center" wrapText="1"/>
    </xf>
    <xf numFmtId="0" fontId="0" fillId="0" borderId="19" xfId="0" applyBorder="1" applyAlignment="1">
      <alignment horizontal="center" vertical="center" wrapText="1"/>
    </xf>
    <xf numFmtId="0" fontId="0" fillId="0" borderId="14" xfId="0" applyBorder="1" applyAlignment="1">
      <alignment horizontal="center" vertical="center" wrapText="1"/>
    </xf>
    <xf numFmtId="0" fontId="0" fillId="0" borderId="58" xfId="0" applyBorder="1" applyAlignment="1" applyProtection="1">
      <alignment horizontal="center" vertical="center" wrapText="1"/>
      <protection hidden="1"/>
    </xf>
    <xf numFmtId="0" fontId="0" fillId="0" borderId="11" xfId="0" applyBorder="1" applyAlignment="1" applyProtection="1">
      <alignment horizontal="center" vertical="center"/>
      <protection hidden="1"/>
    </xf>
    <xf numFmtId="0" fontId="0" fillId="0" borderId="12" xfId="0" applyBorder="1" applyAlignment="1" applyProtection="1">
      <alignment horizontal="center" vertical="center" wrapText="1"/>
      <protection hidden="1"/>
    </xf>
    <xf numFmtId="0" fontId="0" fillId="0" borderId="51" xfId="0" applyBorder="1" applyAlignment="1" applyProtection="1">
      <alignment horizontal="center" vertical="center"/>
      <protection hidden="1"/>
    </xf>
    <xf numFmtId="0" fontId="0" fillId="0" borderId="47" xfId="0" applyBorder="1" applyAlignment="1" applyProtection="1">
      <alignment horizontal="center" vertical="center" wrapText="1"/>
      <protection hidden="1"/>
    </xf>
    <xf numFmtId="0" fontId="0" fillId="0" borderId="59" xfId="0" applyBorder="1" applyAlignment="1" applyProtection="1">
      <alignment horizontal="center" vertical="center"/>
      <protection hidden="1"/>
    </xf>
    <xf numFmtId="0" fontId="220" fillId="0" borderId="37" xfId="0" applyFont="1" applyBorder="1" applyAlignment="1"/>
    <xf numFmtId="0" fontId="0" fillId="0" borderId="45" xfId="0" applyBorder="1" applyAlignment="1"/>
    <xf numFmtId="0" fontId="0" fillId="0" borderId="16" xfId="0" applyBorder="1" applyAlignment="1"/>
    <xf numFmtId="0" fontId="0" fillId="0" borderId="58" xfId="0" applyBorder="1" applyAlignment="1" applyProtection="1">
      <alignment wrapText="1"/>
      <protection hidden="1"/>
    </xf>
    <xf numFmtId="0" fontId="0" fillId="0" borderId="10" xfId="0" applyBorder="1" applyAlignment="1" applyProtection="1">
      <alignment wrapText="1"/>
      <protection hidden="1"/>
    </xf>
    <xf numFmtId="0" fontId="0" fillId="0" borderId="47" xfId="0" applyBorder="1" applyAlignment="1" applyProtection="1">
      <alignment wrapText="1"/>
      <protection hidden="1"/>
    </xf>
    <xf numFmtId="0" fontId="0" fillId="0" borderId="35" xfId="0" applyBorder="1" applyAlignment="1" applyProtection="1">
      <alignment wrapText="1"/>
      <protection hidden="1"/>
    </xf>
    <xf numFmtId="0" fontId="0" fillId="0" borderId="80" xfId="0" applyNumberFormat="1" applyBorder="1" applyAlignment="1" applyProtection="1">
      <alignment horizontal="center" vertical="center"/>
      <protection hidden="1"/>
    </xf>
    <xf numFmtId="0" fontId="0" fillId="0" borderId="78" xfId="0" applyNumberFormat="1" applyBorder="1" applyAlignment="1" applyProtection="1">
      <alignment horizontal="center" vertical="center"/>
      <protection hidden="1"/>
    </xf>
    <xf numFmtId="0" fontId="0" fillId="0" borderId="80" xfId="0" applyBorder="1" applyAlignment="1" applyProtection="1">
      <alignment horizontal="center" vertical="center"/>
      <protection hidden="1"/>
    </xf>
    <xf numFmtId="0" fontId="0" fillId="0" borderId="76" xfId="0" applyBorder="1" applyAlignment="1" applyProtection="1">
      <alignment horizontal="center" vertical="center"/>
      <protection hidden="1"/>
    </xf>
    <xf numFmtId="0" fontId="0" fillId="0" borderId="0" xfId="0" applyAlignment="1">
      <alignment wrapText="1"/>
    </xf>
    <xf numFmtId="0" fontId="1" fillId="0" borderId="0" xfId="0" applyFont="1" applyAlignment="1">
      <alignment wrapText="1"/>
    </xf>
    <xf numFmtId="0" fontId="0" fillId="0" borderId="0" xfId="0" applyAlignment="1" applyProtection="1">
      <alignment wrapText="1"/>
      <protection hidden="1"/>
    </xf>
    <xf numFmtId="0" fontId="0" fillId="0" borderId="80" xfId="0" applyBorder="1" applyAlignment="1" applyProtection="1">
      <alignment wrapText="1"/>
      <protection hidden="1"/>
    </xf>
    <xf numFmtId="0" fontId="0" fillId="0" borderId="76" xfId="0" applyBorder="1" applyAlignment="1" applyProtection="1">
      <alignment wrapText="1"/>
      <protection hidden="1"/>
    </xf>
    <xf numFmtId="0" fontId="0" fillId="0" borderId="78" xfId="0" applyBorder="1" applyAlignment="1" applyProtection="1">
      <alignment wrapText="1"/>
      <protection hidden="1"/>
    </xf>
    <xf numFmtId="0" fontId="0" fillId="0" borderId="10" xfId="0" applyBorder="1" applyAlignment="1" applyProtection="1">
      <alignment horizontal="center" vertical="center" wrapText="1"/>
      <protection hidden="1"/>
    </xf>
    <xf numFmtId="0" fontId="0" fillId="0" borderId="11" xfId="0"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0" fillId="0" borderId="51" xfId="0" applyBorder="1" applyAlignment="1" applyProtection="1">
      <alignment horizontal="center" vertical="center" wrapText="1"/>
      <protection hidden="1"/>
    </xf>
    <xf numFmtId="0" fontId="0" fillId="0" borderId="35" xfId="0" applyBorder="1" applyAlignment="1" applyProtection="1">
      <alignment horizontal="center" vertical="center" wrapText="1"/>
      <protection hidden="1"/>
    </xf>
    <xf numFmtId="0" fontId="0" fillId="0" borderId="59" xfId="0" applyBorder="1" applyAlignment="1" applyProtection="1">
      <alignment horizontal="center" vertical="center" wrapText="1"/>
      <protection hidden="1"/>
    </xf>
    <xf numFmtId="0" fontId="2" fillId="0" borderId="13" xfId="0" applyFont="1" applyBorder="1" applyAlignment="1">
      <alignment horizontal="center" vertical="center" wrapText="1"/>
    </xf>
    <xf numFmtId="0" fontId="0" fillId="0" borderId="13" xfId="0" applyBorder="1" applyAlignment="1">
      <alignment horizontal="center" vertical="center" wrapText="1"/>
    </xf>
    <xf numFmtId="0" fontId="1" fillId="0" borderId="13" xfId="0" applyFont="1" applyBorder="1" applyAlignment="1">
      <alignment wrapText="1"/>
    </xf>
    <xf numFmtId="0" fontId="0" fillId="0" borderId="0" xfId="0" applyBorder="1" applyAlignment="1">
      <alignment wrapText="1"/>
    </xf>
    <xf numFmtId="0" fontId="0" fillId="0" borderId="0" xfId="0" applyBorder="1" applyAlignment="1"/>
    <xf numFmtId="0" fontId="17" fillId="0" borderId="65" xfId="0" applyFont="1" applyBorder="1" applyAlignment="1">
      <alignment wrapText="1"/>
    </xf>
    <xf numFmtId="0" fontId="17" fillId="0" borderId="66" xfId="0" applyFont="1" applyBorder="1" applyAlignment="1">
      <alignment wrapText="1"/>
    </xf>
    <xf numFmtId="0" fontId="17" fillId="0" borderId="20" xfId="0" applyFont="1" applyBorder="1" applyAlignment="1">
      <alignment wrapText="1"/>
    </xf>
    <xf numFmtId="0" fontId="17" fillId="0" borderId="40" xfId="0" applyFont="1" applyBorder="1" applyAlignment="1">
      <alignment wrapText="1"/>
    </xf>
    <xf numFmtId="0" fontId="17" fillId="0" borderId="67" xfId="0" applyFont="1" applyBorder="1" applyAlignment="1">
      <alignment wrapText="1"/>
    </xf>
    <xf numFmtId="0" fontId="17" fillId="0" borderId="42" xfId="0" applyFont="1" applyBorder="1" applyAlignment="1">
      <alignment wrapText="1"/>
    </xf>
    <xf numFmtId="0" fontId="2" fillId="0" borderId="37" xfId="0" applyFont="1" applyBorder="1" applyAlignment="1">
      <alignment horizontal="center" wrapText="1"/>
    </xf>
    <xf numFmtId="0" fontId="0" fillId="0" borderId="45" xfId="0" applyBorder="1" applyAlignment="1">
      <alignment horizontal="center" wrapText="1"/>
    </xf>
    <xf numFmtId="0" fontId="19" fillId="0" borderId="37" xfId="0" applyFont="1" applyBorder="1" applyAlignment="1">
      <alignment wrapText="1"/>
    </xf>
    <xf numFmtId="0" fontId="19" fillId="0" borderId="45" xfId="0" applyFont="1" applyBorder="1" applyAlignment="1">
      <alignment wrapText="1"/>
    </xf>
    <xf numFmtId="0" fontId="19" fillId="0" borderId="16" xfId="0" applyFont="1" applyBorder="1" applyAlignment="1">
      <alignment wrapText="1"/>
    </xf>
    <xf numFmtId="0" fontId="0" fillId="0" borderId="37" xfId="0" applyNumberFormat="1" applyBorder="1" applyAlignment="1" applyProtection="1">
      <alignment horizontal="center" vertical="center"/>
      <protection hidden="1"/>
    </xf>
    <xf numFmtId="0" fontId="0" fillId="0" borderId="16" xfId="0" applyNumberFormat="1" applyBorder="1" applyAlignment="1" applyProtection="1">
      <alignment horizontal="center" vertical="center"/>
      <protection hidden="1"/>
    </xf>
    <xf numFmtId="0" fontId="0" fillId="0" borderId="44" xfId="0" applyBorder="1" applyAlignment="1">
      <alignment wrapText="1"/>
    </xf>
    <xf numFmtId="0" fontId="0" fillId="0" borderId="14" xfId="0" applyBorder="1" applyAlignment="1"/>
    <xf numFmtId="0" fontId="0" fillId="0" borderId="16" xfId="0" applyBorder="1" applyAlignment="1">
      <alignment horizontal="center" wrapText="1"/>
    </xf>
    <xf numFmtId="0" fontId="0" fillId="0" borderId="13" xfId="0" applyBorder="1" applyAlignment="1"/>
    <xf numFmtId="0" fontId="0" fillId="0" borderId="14" xfId="0" applyBorder="1" applyAlignment="1" applyProtection="1">
      <alignment wrapText="1"/>
      <protection hidden="1"/>
    </xf>
    <xf numFmtId="0" fontId="439" fillId="0" borderId="20" xfId="0" applyFont="1" applyBorder="1" applyAlignment="1">
      <alignment wrapText="1"/>
    </xf>
    <xf numFmtId="0" fontId="12" fillId="0" borderId="0" xfId="0" applyFont="1" applyAlignment="1">
      <alignment wrapText="1"/>
    </xf>
    <xf numFmtId="0" fontId="19" fillId="0" borderId="37" xfId="0" applyFont="1" applyFill="1" applyBorder="1" applyAlignment="1" applyProtection="1">
      <alignment wrapText="1"/>
      <protection hidden="1"/>
    </xf>
    <xf numFmtId="0" fontId="0" fillId="0" borderId="45" xfId="0" applyBorder="1" applyAlignment="1">
      <alignment wrapText="1"/>
    </xf>
    <xf numFmtId="0" fontId="0" fillId="0" borderId="16" xfId="0" applyBorder="1" applyAlignment="1">
      <alignment wrapText="1"/>
    </xf>
    <xf numFmtId="0" fontId="105" fillId="0" borderId="37" xfId="0" applyFont="1" applyBorder="1" applyAlignment="1">
      <alignment wrapText="1"/>
    </xf>
    <xf numFmtId="0" fontId="267" fillId="0" borderId="45" xfId="0" applyFont="1" applyBorder="1" applyAlignment="1">
      <alignment wrapText="1"/>
    </xf>
    <xf numFmtId="0" fontId="267" fillId="0" borderId="16" xfId="0" applyFont="1" applyBorder="1" applyAlignment="1">
      <alignment wrapText="1"/>
    </xf>
    <xf numFmtId="0" fontId="0" fillId="0" borderId="38" xfId="0" applyBorder="1" applyAlignment="1" applyProtection="1">
      <alignment wrapText="1"/>
      <protection hidden="1"/>
    </xf>
    <xf numFmtId="0" fontId="0" fillId="0" borderId="48" xfId="0" applyBorder="1" applyAlignment="1" applyProtection="1">
      <alignment wrapText="1"/>
      <protection hidden="1"/>
    </xf>
    <xf numFmtId="0" fontId="12" fillId="0" borderId="37" xfId="0" applyFont="1" applyBorder="1" applyAlignment="1">
      <alignment wrapText="1"/>
    </xf>
    <xf numFmtId="0" fontId="81" fillId="0" borderId="37" xfId="0" applyFont="1" applyBorder="1" applyAlignment="1">
      <alignment wrapText="1"/>
    </xf>
    <xf numFmtId="0" fontId="0" fillId="0" borderId="41" xfId="0" applyBorder="1" applyAlignment="1" applyProtection="1">
      <alignment horizontal="center" vertical="center" wrapText="1"/>
      <protection hidden="1"/>
    </xf>
    <xf numFmtId="0" fontId="0" fillId="0" borderId="43" xfId="0" applyBorder="1" applyAlignment="1" applyProtection="1">
      <alignment horizontal="center" vertical="center" wrapText="1"/>
      <protection hidden="1"/>
    </xf>
    <xf numFmtId="0" fontId="0" fillId="0" borderId="22" xfId="0" applyBorder="1" applyAlignment="1" applyProtection="1">
      <alignment horizontal="center" vertical="center" wrapText="1"/>
      <protection hidden="1"/>
    </xf>
    <xf numFmtId="0" fontId="0" fillId="0" borderId="11" xfId="0" applyBorder="1" applyAlignment="1" applyProtection="1">
      <alignment wrapText="1"/>
      <protection hidden="1"/>
    </xf>
    <xf numFmtId="0" fontId="0" fillId="0" borderId="59" xfId="0" applyBorder="1" applyAlignment="1" applyProtection="1">
      <alignment wrapText="1"/>
      <protection hidden="1"/>
    </xf>
    <xf numFmtId="0" fontId="0" fillId="0" borderId="37" xfId="0" applyBorder="1" applyAlignment="1">
      <alignment horizontal="center"/>
    </xf>
    <xf numFmtId="0" fontId="0" fillId="0" borderId="16" xfId="0" applyBorder="1" applyAlignment="1">
      <alignment horizontal="center"/>
    </xf>
    <xf numFmtId="0" fontId="0" fillId="0" borderId="0" xfId="0" applyBorder="1" applyAlignment="1" applyProtection="1">
      <alignment wrapText="1"/>
      <protection hidden="1"/>
    </xf>
    <xf numFmtId="0" fontId="99" fillId="0" borderId="12" xfId="0" applyFont="1" applyBorder="1" applyAlignment="1" applyProtection="1">
      <alignment wrapText="1"/>
      <protection hidden="1"/>
    </xf>
    <xf numFmtId="0" fontId="79" fillId="0" borderId="0" xfId="0" applyFont="1" applyBorder="1" applyAlignment="1">
      <alignment wrapText="1"/>
    </xf>
    <xf numFmtId="0" fontId="79" fillId="0" borderId="51" xfId="0" applyFont="1" applyBorder="1" applyAlignment="1">
      <alignment wrapText="1"/>
    </xf>
    <xf numFmtId="0" fontId="97" fillId="0" borderId="12" xfId="0" applyFont="1" applyBorder="1" applyAlignment="1" applyProtection="1">
      <alignment wrapText="1"/>
      <protection hidden="1"/>
    </xf>
    <xf numFmtId="0" fontId="13" fillId="0" borderId="0" xfId="0" applyFont="1" applyBorder="1" applyAlignment="1">
      <alignment wrapText="1"/>
    </xf>
    <xf numFmtId="0" fontId="21" fillId="0" borderId="0" xfId="0" applyFont="1" applyBorder="1" applyAlignment="1">
      <alignment wrapText="1"/>
    </xf>
    <xf numFmtId="0" fontId="21" fillId="0" borderId="51" xfId="0" applyFont="1" applyBorder="1" applyAlignment="1">
      <alignment wrapText="1"/>
    </xf>
    <xf numFmtId="0" fontId="100" fillId="0" borderId="0" xfId="0" applyFont="1" applyAlignment="1" applyProtection="1">
      <alignment horizontal="center" wrapText="1"/>
      <protection hidden="1"/>
    </xf>
    <xf numFmtId="0" fontId="101" fillId="0" borderId="0" xfId="0" applyFont="1" applyAlignment="1">
      <alignment horizontal="center" wrapText="1"/>
    </xf>
    <xf numFmtId="0" fontId="51" fillId="0" borderId="13" xfId="0" applyFont="1" applyBorder="1" applyAlignment="1" applyProtection="1">
      <alignment wrapText="1"/>
      <protection hidden="1"/>
    </xf>
    <xf numFmtId="0" fontId="6" fillId="0" borderId="0" xfId="0" applyFont="1" applyBorder="1" applyAlignment="1" applyProtection="1">
      <alignment wrapText="1"/>
      <protection hidden="1"/>
    </xf>
    <xf numFmtId="0" fontId="1" fillId="0" borderId="0" xfId="0" applyFont="1" applyAlignment="1" applyProtection="1">
      <alignment horizontal="left" wrapText="1"/>
      <protection hidden="1"/>
    </xf>
    <xf numFmtId="0" fontId="6" fillId="0" borderId="0" xfId="0" applyFont="1" applyAlignment="1" applyProtection="1">
      <alignment wrapText="1"/>
      <protection hidden="1"/>
    </xf>
    <xf numFmtId="0" fontId="0" fillId="0" borderId="0" xfId="0" applyBorder="1" applyAlignment="1" applyProtection="1">
      <protection hidden="1"/>
    </xf>
    <xf numFmtId="0" fontId="0" fillId="0" borderId="0" xfId="0" applyAlignment="1" applyProtection="1">
      <protection hidden="1"/>
    </xf>
    <xf numFmtId="0" fontId="6" fillId="0" borderId="37" xfId="0" applyFont="1" applyBorder="1" applyAlignment="1" applyProtection="1">
      <alignment wrapText="1"/>
      <protection hidden="1"/>
    </xf>
    <xf numFmtId="0" fontId="6" fillId="0" borderId="16" xfId="0" applyFont="1" applyBorder="1" applyAlignment="1" applyProtection="1">
      <alignment wrapText="1"/>
      <protection hidden="1"/>
    </xf>
    <xf numFmtId="0" fontId="1" fillId="0" borderId="0" xfId="0" applyFont="1" applyAlignment="1" applyProtection="1">
      <alignment wrapText="1"/>
      <protection hidden="1"/>
    </xf>
    <xf numFmtId="0" fontId="14" fillId="0" borderId="0" xfId="0" applyFont="1" applyAlignment="1" applyProtection="1">
      <alignment wrapText="1"/>
      <protection hidden="1"/>
    </xf>
    <xf numFmtId="0" fontId="0" fillId="0" borderId="48" xfId="0" applyBorder="1" applyAlignment="1">
      <alignment wrapText="1"/>
    </xf>
    <xf numFmtId="0" fontId="0" fillId="0" borderId="49" xfId="0" applyBorder="1" applyAlignment="1">
      <alignment wrapText="1"/>
    </xf>
    <xf numFmtId="0" fontId="0" fillId="0" borderId="58" xfId="0" applyBorder="1" applyAlignment="1">
      <alignment wrapText="1"/>
    </xf>
    <xf numFmtId="0" fontId="0" fillId="0" borderId="10" xfId="0" applyBorder="1" applyAlignment="1">
      <alignment wrapText="1"/>
    </xf>
    <xf numFmtId="0" fontId="0" fillId="0" borderId="11" xfId="0" applyBorder="1" applyAlignment="1">
      <alignment wrapText="1"/>
    </xf>
    <xf numFmtId="0" fontId="0" fillId="0" borderId="0" xfId="0" applyFill="1" applyBorder="1" applyAlignment="1" applyProtection="1">
      <alignment wrapText="1"/>
      <protection hidden="1"/>
    </xf>
    <xf numFmtId="0" fontId="6" fillId="0" borderId="0" xfId="0" applyFont="1" applyFill="1" applyBorder="1" applyAlignment="1" applyProtection="1">
      <alignment wrapText="1"/>
      <protection hidden="1"/>
    </xf>
    <xf numFmtId="0" fontId="0" fillId="0" borderId="0" xfId="0" applyFill="1" applyAlignment="1" applyProtection="1">
      <alignment wrapText="1"/>
      <protection hidden="1"/>
    </xf>
    <xf numFmtId="0" fontId="18" fillId="0" borderId="0" xfId="0" applyFont="1" applyAlignment="1" applyProtection="1">
      <alignment wrapText="1"/>
      <protection hidden="1"/>
    </xf>
    <xf numFmtId="0" fontId="17" fillId="0" borderId="0" xfId="0" applyFont="1" applyFill="1" applyAlignment="1" applyProtection="1">
      <alignment wrapText="1"/>
      <protection hidden="1"/>
    </xf>
    <xf numFmtId="0" fontId="0" fillId="0" borderId="0" xfId="0" applyAlignment="1" applyProtection="1">
      <alignment horizontal="left" wrapText="1"/>
      <protection hidden="1"/>
    </xf>
    <xf numFmtId="0" fontId="6" fillId="0" borderId="0" xfId="0" applyFont="1" applyFill="1" applyAlignment="1" applyProtection="1">
      <alignment wrapText="1"/>
      <protection hidden="1"/>
    </xf>
    <xf numFmtId="0" fontId="13" fillId="0" borderId="0" xfId="0" applyFont="1" applyAlignment="1" applyProtection="1">
      <alignment wrapText="1"/>
      <protection hidden="1"/>
    </xf>
    <xf numFmtId="0" fontId="21" fillId="0" borderId="0" xfId="0" applyFont="1" applyAlignment="1" applyProtection="1">
      <alignment wrapText="1"/>
      <protection hidden="1"/>
    </xf>
    <xf numFmtId="0" fontId="2" fillId="0" borderId="0" xfId="0" applyFont="1" applyAlignment="1" applyProtection="1">
      <alignment wrapText="1"/>
      <protection hidden="1"/>
    </xf>
    <xf numFmtId="0" fontId="0" fillId="0" borderId="41" xfId="0" applyBorder="1" applyAlignment="1" applyProtection="1">
      <alignment textRotation="90" wrapText="1"/>
      <protection hidden="1"/>
    </xf>
    <xf numFmtId="0" fontId="0" fillId="0" borderId="22" xfId="0" applyBorder="1" applyAlignment="1" applyProtection="1">
      <protection hidden="1"/>
    </xf>
    <xf numFmtId="0" fontId="0" fillId="0" borderId="38" xfId="0" applyBorder="1" applyAlignment="1" applyProtection="1">
      <alignment horizontal="center" vertical="center" wrapText="1"/>
      <protection hidden="1"/>
    </xf>
    <xf numFmtId="0" fontId="0" fillId="0" borderId="49" xfId="0" applyBorder="1" applyAlignment="1" applyProtection="1">
      <alignment horizontal="center" vertical="center" wrapText="1"/>
      <protection hidden="1"/>
    </xf>
    <xf numFmtId="0" fontId="0" fillId="0" borderId="14" xfId="0" applyBorder="1" applyAlignment="1" applyProtection="1">
      <protection hidden="1"/>
    </xf>
    <xf numFmtId="0" fontId="0" fillId="0" borderId="13" xfId="0" applyBorder="1" applyAlignment="1" applyProtection="1">
      <protection hidden="1"/>
    </xf>
    <xf numFmtId="0" fontId="0" fillId="0" borderId="41" xfId="0" applyBorder="1" applyAlignment="1" applyProtection="1">
      <alignment textRotation="90"/>
      <protection hidden="1"/>
    </xf>
    <xf numFmtId="0" fontId="0" fillId="0" borderId="22" xfId="0" applyBorder="1" applyAlignment="1" applyProtection="1">
      <alignment textRotation="90"/>
      <protection hidden="1"/>
    </xf>
    <xf numFmtId="0" fontId="0" fillId="0" borderId="22" xfId="0" applyBorder="1" applyAlignment="1" applyProtection="1">
      <alignment wrapText="1"/>
      <protection hidden="1"/>
    </xf>
    <xf numFmtId="0" fontId="0" fillId="0" borderId="48" xfId="0" applyBorder="1" applyAlignment="1" applyProtection="1">
      <alignment horizontal="center" vertical="center" wrapText="1"/>
      <protection hidden="1"/>
    </xf>
    <xf numFmtId="0" fontId="2" fillId="0" borderId="38" xfId="0" applyFont="1" applyBorder="1" applyAlignment="1" applyProtection="1">
      <alignment wrapText="1"/>
      <protection hidden="1"/>
    </xf>
    <xf numFmtId="0" fontId="2" fillId="0" borderId="48" xfId="0" applyFont="1" applyBorder="1" applyAlignment="1" applyProtection="1">
      <alignment wrapText="1"/>
      <protection hidden="1"/>
    </xf>
    <xf numFmtId="0" fontId="0" fillId="0" borderId="62" xfId="0" applyBorder="1" applyAlignment="1" applyProtection="1">
      <alignment textRotation="90" wrapText="1"/>
      <protection hidden="1"/>
    </xf>
    <xf numFmtId="0" fontId="0" fillId="0" borderId="36" xfId="0" applyBorder="1" applyAlignment="1" applyProtection="1">
      <protection hidden="1"/>
    </xf>
    <xf numFmtId="0" fontId="0" fillId="0" borderId="37" xfId="0" applyBorder="1" applyAlignment="1" applyProtection="1">
      <alignment horizontal="center"/>
      <protection hidden="1"/>
    </xf>
    <xf numFmtId="0" fontId="0" fillId="0" borderId="16" xfId="0" applyBorder="1" applyAlignment="1" applyProtection="1">
      <alignment horizontal="center"/>
      <protection hidden="1"/>
    </xf>
    <xf numFmtId="0" fontId="0" fillId="0" borderId="45" xfId="0" applyBorder="1" applyAlignment="1" applyProtection="1">
      <alignment horizontal="center"/>
      <protection hidden="1"/>
    </xf>
    <xf numFmtId="0" fontId="9" fillId="0" borderId="41" xfId="0" applyFont="1" applyBorder="1" applyAlignment="1" applyProtection="1">
      <alignment horizontal="center" vertical="center" wrapText="1"/>
      <protection hidden="1"/>
    </xf>
    <xf numFmtId="0" fontId="4" fillId="0" borderId="22" xfId="0" applyFont="1" applyBorder="1" applyAlignment="1" applyProtection="1">
      <alignment horizontal="center" vertical="center" wrapText="1"/>
      <protection hidden="1"/>
    </xf>
    <xf numFmtId="0" fontId="9" fillId="0" borderId="41" xfId="0" applyFont="1" applyFill="1" applyBorder="1" applyAlignment="1" applyProtection="1">
      <alignment horizontal="center" vertical="center" wrapText="1"/>
      <protection hidden="1"/>
    </xf>
    <xf numFmtId="0" fontId="4" fillId="0" borderId="22" xfId="0" applyFont="1" applyFill="1" applyBorder="1" applyAlignment="1" applyProtection="1">
      <alignment horizontal="center" vertical="center" wrapText="1"/>
      <protection hidden="1"/>
    </xf>
    <xf numFmtId="0" fontId="9" fillId="0" borderId="41" xfId="0" applyFont="1" applyBorder="1" applyAlignment="1" applyProtection="1">
      <alignment wrapText="1"/>
      <protection hidden="1"/>
    </xf>
    <xf numFmtId="0" fontId="9" fillId="0" borderId="22" xfId="0" applyFont="1" applyBorder="1" applyAlignment="1" applyProtection="1">
      <alignment wrapText="1"/>
      <protection hidden="1"/>
    </xf>
    <xf numFmtId="0" fontId="4" fillId="0" borderId="41" xfId="0" applyFont="1" applyBorder="1" applyAlignment="1" applyProtection="1">
      <alignment horizontal="center" vertical="center" wrapText="1"/>
      <protection hidden="1"/>
    </xf>
    <xf numFmtId="0" fontId="4" fillId="0" borderId="41" xfId="0" applyFont="1" applyBorder="1" applyAlignment="1" applyProtection="1">
      <alignment wrapText="1"/>
      <protection hidden="1"/>
    </xf>
    <xf numFmtId="0" fontId="4" fillId="0" borderId="22" xfId="0" applyFont="1" applyBorder="1" applyAlignment="1" applyProtection="1">
      <alignment wrapText="1"/>
      <protection hidden="1"/>
    </xf>
    <xf numFmtId="0" fontId="9" fillId="0" borderId="41" xfId="0" applyFont="1" applyBorder="1" applyAlignment="1">
      <alignment horizontal="center" vertical="center" wrapText="1"/>
    </xf>
    <xf numFmtId="0" fontId="4" fillId="0" borderId="22" xfId="0" applyFont="1" applyBorder="1" applyAlignment="1">
      <alignment horizontal="center" vertical="center" wrapText="1"/>
    </xf>
    <xf numFmtId="0" fontId="0" fillId="0" borderId="0" xfId="0" applyBorder="1" applyAlignment="1">
      <alignment horizontal="center"/>
    </xf>
    <xf numFmtId="0" fontId="4" fillId="0" borderId="34" xfId="0" applyFont="1" applyBorder="1" applyAlignment="1" applyProtection="1">
      <alignment horizontal="center" vertical="center" wrapText="1"/>
      <protection hidden="1"/>
    </xf>
    <xf numFmtId="0" fontId="4" fillId="0" borderId="32" xfId="0" applyFont="1" applyBorder="1" applyAlignment="1" applyProtection="1">
      <alignment horizontal="center" vertical="center" wrapText="1"/>
      <protection hidden="1"/>
    </xf>
    <xf numFmtId="0" fontId="4" fillId="0" borderId="68" xfId="0" applyFont="1" applyBorder="1" applyAlignment="1" applyProtection="1">
      <alignment horizontal="center" vertical="center" wrapText="1"/>
      <protection hidden="1"/>
    </xf>
    <xf numFmtId="0" fontId="9" fillId="0" borderId="62" xfId="0" applyFont="1" applyBorder="1" applyAlignment="1" applyProtection="1">
      <alignment horizontal="center" vertical="center" wrapText="1"/>
      <protection hidden="1"/>
    </xf>
    <xf numFmtId="0" fontId="9" fillId="0" borderId="36" xfId="0" applyFont="1" applyBorder="1" applyAlignment="1" applyProtection="1">
      <alignment horizontal="center" vertical="center" wrapText="1"/>
      <protection hidden="1"/>
    </xf>
    <xf numFmtId="0" fontId="4" fillId="0" borderId="33" xfId="0" applyFont="1" applyBorder="1" applyAlignment="1" applyProtection="1">
      <alignment horizontal="center" vertical="center" wrapText="1"/>
      <protection hidden="1"/>
    </xf>
    <xf numFmtId="0" fontId="4" fillId="0" borderId="89" xfId="0" applyFont="1" applyBorder="1" applyAlignment="1" applyProtection="1">
      <alignment wrapText="1"/>
      <protection hidden="1"/>
    </xf>
    <xf numFmtId="0" fontId="4" fillId="0" borderId="90" xfId="0" applyFont="1" applyBorder="1" applyAlignment="1" applyProtection="1">
      <alignment wrapText="1"/>
      <protection hidden="1"/>
    </xf>
    <xf numFmtId="0" fontId="0" fillId="0" borderId="65" xfId="0" applyBorder="1" applyAlignment="1" applyProtection="1">
      <alignment horizontal="center" vertical="center" wrapText="1"/>
      <protection hidden="1"/>
    </xf>
    <xf numFmtId="0" fontId="0" fillId="0" borderId="66" xfId="0" applyBorder="1" applyAlignment="1" applyProtection="1">
      <alignment horizontal="center" vertical="center" wrapText="1"/>
      <protection hidden="1"/>
    </xf>
    <xf numFmtId="0" fontId="0" fillId="0" borderId="20" xfId="0" applyBorder="1" applyAlignment="1" applyProtection="1">
      <alignment horizontal="center" vertical="center" wrapText="1"/>
      <protection hidden="1"/>
    </xf>
    <xf numFmtId="0" fontId="0" fillId="0" borderId="40" xfId="0" applyBorder="1" applyAlignment="1" applyProtection="1">
      <alignment horizontal="center" vertical="center" wrapText="1"/>
      <protection hidden="1"/>
    </xf>
    <xf numFmtId="0" fontId="0" fillId="0" borderId="67" xfId="0" applyBorder="1" applyAlignment="1" applyProtection="1">
      <alignment horizontal="center" vertical="center" wrapText="1"/>
      <protection hidden="1"/>
    </xf>
    <xf numFmtId="0" fontId="0" fillId="0" borderId="42" xfId="0" applyBorder="1" applyAlignment="1" applyProtection="1">
      <alignment horizontal="center" vertical="center" wrapText="1"/>
      <protection hidden="1"/>
    </xf>
    <xf numFmtId="0" fontId="48" fillId="0" borderId="0" xfId="0" applyFont="1" applyAlignment="1" applyProtection="1">
      <alignment wrapText="1"/>
      <protection hidden="1"/>
    </xf>
    <xf numFmtId="0" fontId="19" fillId="0" borderId="0" xfId="0" applyFont="1" applyAlignment="1" applyProtection="1">
      <alignment wrapText="1"/>
      <protection hidden="1"/>
    </xf>
    <xf numFmtId="0" fontId="126" fillId="0" borderId="0" xfId="0" applyFont="1" applyAlignment="1" applyProtection="1">
      <alignment wrapText="1"/>
      <protection hidden="1"/>
    </xf>
    <xf numFmtId="0" fontId="128" fillId="0" borderId="0" xfId="0" applyFont="1" applyAlignment="1" applyProtection="1">
      <alignment wrapText="1"/>
      <protection hidden="1"/>
    </xf>
    <xf numFmtId="0" fontId="48" fillId="0" borderId="0" xfId="0" applyFont="1" applyBorder="1" applyAlignment="1" applyProtection="1">
      <alignment wrapText="1"/>
      <protection hidden="1"/>
    </xf>
    <xf numFmtId="0" fontId="51" fillId="0" borderId="37" xfId="0" applyFont="1" applyBorder="1" applyAlignment="1" applyProtection="1">
      <alignment wrapText="1"/>
      <protection hidden="1"/>
    </xf>
    <xf numFmtId="0" fontId="17" fillId="0" borderId="45" xfId="0" applyFont="1" applyBorder="1" applyAlignment="1">
      <alignment wrapText="1"/>
    </xf>
    <xf numFmtId="0" fontId="17" fillId="0" borderId="16" xfId="0" applyFont="1" applyBorder="1" applyAlignment="1">
      <alignment wrapText="1"/>
    </xf>
    <xf numFmtId="0" fontId="90" fillId="0" borderId="37" xfId="0" applyFont="1" applyBorder="1" applyAlignment="1" applyProtection="1">
      <alignment wrapText="1"/>
      <protection hidden="1"/>
    </xf>
    <xf numFmtId="0" fontId="35" fillId="0" borderId="0" xfId="0" applyFont="1" applyAlignment="1" applyProtection="1">
      <alignment wrapText="1"/>
      <protection hidden="1"/>
    </xf>
    <xf numFmtId="0" fontId="40" fillId="0" borderId="13" xfId="0" applyFont="1" applyBorder="1" applyAlignment="1" applyProtection="1">
      <alignment vertical="center" wrapText="1"/>
      <protection hidden="1"/>
    </xf>
    <xf numFmtId="0" fontId="0" fillId="0" borderId="13" xfId="0" applyBorder="1" applyAlignment="1" applyProtection="1">
      <alignment vertical="center" wrapText="1"/>
      <protection hidden="1"/>
    </xf>
    <xf numFmtId="0" fontId="1" fillId="0" borderId="13" xfId="28" applyFont="1" applyBorder="1" applyAlignment="1" applyProtection="1">
      <alignment wrapText="1"/>
      <protection hidden="1"/>
    </xf>
    <xf numFmtId="0" fontId="36" fillId="0" borderId="0" xfId="0" applyFont="1" applyBorder="1" applyAlignment="1" applyProtection="1">
      <protection hidden="1"/>
    </xf>
    <xf numFmtId="0" fontId="2" fillId="0" borderId="0" xfId="0" applyFont="1" applyBorder="1" applyAlignment="1" applyProtection="1">
      <protection hidden="1"/>
    </xf>
    <xf numFmtId="0" fontId="0" fillId="0" borderId="40" xfId="0" applyBorder="1" applyAlignment="1">
      <alignment wrapText="1"/>
    </xf>
    <xf numFmtId="0" fontId="98" fillId="0" borderId="13" xfId="0" applyFont="1" applyBorder="1" applyAlignment="1" applyProtection="1">
      <alignment wrapText="1"/>
      <protection hidden="1"/>
    </xf>
    <xf numFmtId="0" fontId="1" fillId="0" borderId="0" xfId="0" applyFont="1" applyFill="1" applyAlignment="1" applyProtection="1">
      <alignment wrapText="1"/>
      <protection hidden="1"/>
    </xf>
    <xf numFmtId="0" fontId="98" fillId="0" borderId="13" xfId="0" applyFont="1" applyBorder="1" applyAlignment="1" applyProtection="1">
      <alignment horizontal="center" wrapText="1"/>
      <protection hidden="1"/>
    </xf>
    <xf numFmtId="0" fontId="0" fillId="0" borderId="13" xfId="0" applyBorder="1" applyAlignment="1" applyProtection="1">
      <alignment horizontal="center" wrapText="1"/>
      <protection hidden="1"/>
    </xf>
    <xf numFmtId="0" fontId="140" fillId="0" borderId="37" xfId="0" applyFont="1" applyBorder="1" applyAlignment="1" applyProtection="1">
      <alignment horizontal="center" wrapText="1"/>
      <protection hidden="1"/>
    </xf>
    <xf numFmtId="0" fontId="140" fillId="0" borderId="45" xfId="0" applyFont="1" applyBorder="1" applyAlignment="1" applyProtection="1">
      <alignment horizontal="center" wrapText="1"/>
      <protection hidden="1"/>
    </xf>
    <xf numFmtId="0" fontId="140" fillId="0" borderId="74" xfId="0" applyFont="1" applyBorder="1" applyAlignment="1" applyProtection="1">
      <alignment horizontal="center" wrapText="1"/>
      <protection hidden="1"/>
    </xf>
    <xf numFmtId="0" fontId="48" fillId="0" borderId="13" xfId="0" applyFont="1" applyBorder="1" applyAlignment="1" applyProtection="1">
      <protection hidden="1"/>
    </xf>
    <xf numFmtId="0" fontId="48" fillId="0" borderId="29" xfId="0" applyFont="1" applyBorder="1" applyAlignment="1" applyProtection="1">
      <protection hidden="1"/>
    </xf>
    <xf numFmtId="0" fontId="4" fillId="0" borderId="13" xfId="0" applyFont="1" applyFill="1" applyBorder="1" applyAlignment="1" applyProtection="1">
      <protection locked="0" hidden="1"/>
    </xf>
    <xf numFmtId="0" fontId="140" fillId="0" borderId="90" xfId="0" applyFont="1" applyBorder="1" applyAlignment="1" applyProtection="1">
      <alignment wrapText="1"/>
      <protection hidden="1"/>
    </xf>
    <xf numFmtId="0" fontId="140" fillId="0" borderId="11" xfId="0" applyFont="1" applyBorder="1" applyAlignment="1" applyProtection="1">
      <alignment wrapText="1"/>
      <protection hidden="1"/>
    </xf>
    <xf numFmtId="0" fontId="140" fillId="0" borderId="67" xfId="0" applyFont="1" applyBorder="1" applyAlignment="1" applyProtection="1">
      <alignment wrapText="1"/>
      <protection hidden="1"/>
    </xf>
    <xf numFmtId="0" fontId="140" fillId="0" borderId="72" xfId="0" applyFont="1" applyBorder="1" applyAlignment="1" applyProtection="1">
      <alignment wrapText="1"/>
      <protection hidden="1"/>
    </xf>
    <xf numFmtId="0" fontId="48" fillId="0" borderId="28" xfId="0" applyFont="1" applyBorder="1" applyAlignment="1" applyProtection="1">
      <protection hidden="1"/>
    </xf>
    <xf numFmtId="0" fontId="4" fillId="0" borderId="14" xfId="0" applyFont="1" applyFill="1" applyBorder="1" applyAlignment="1" applyProtection="1">
      <protection locked="0" hidden="1"/>
    </xf>
    <xf numFmtId="0" fontId="2" fillId="0" borderId="34" xfId="0" applyFont="1" applyBorder="1" applyAlignment="1" applyProtection="1">
      <alignment horizontal="center" vertical="center"/>
      <protection hidden="1"/>
    </xf>
    <xf numFmtId="0" fontId="0" fillId="0" borderId="68" xfId="0" applyBorder="1" applyAlignment="1" applyProtection="1">
      <alignment horizontal="center" vertical="center"/>
      <protection hidden="1"/>
    </xf>
    <xf numFmtId="0" fontId="0" fillId="0" borderId="40" xfId="0" applyBorder="1" applyAlignment="1" applyProtection="1">
      <alignment wrapText="1"/>
      <protection hidden="1"/>
    </xf>
    <xf numFmtId="0" fontId="81" fillId="0" borderId="0" xfId="0" applyFont="1" applyAlignment="1" applyProtection="1">
      <alignment wrapText="1"/>
      <protection hidden="1"/>
    </xf>
    <xf numFmtId="0" fontId="157" fillId="0" borderId="0" xfId="0" applyFont="1" applyAlignment="1" applyProtection="1">
      <alignment wrapText="1"/>
      <protection hidden="1"/>
    </xf>
    <xf numFmtId="0" fontId="165" fillId="0" borderId="0" xfId="0" applyFont="1" applyAlignment="1" applyProtection="1">
      <alignment wrapText="1"/>
      <protection hidden="1"/>
    </xf>
    <xf numFmtId="0" fontId="48" fillId="0" borderId="25" xfId="0" applyFont="1" applyBorder="1" applyAlignment="1" applyProtection="1">
      <alignment vertical="center" wrapText="1"/>
      <protection hidden="1"/>
    </xf>
    <xf numFmtId="0" fontId="48" fillId="0" borderId="28" xfId="0" applyFont="1" applyBorder="1" applyAlignment="1" applyProtection="1">
      <alignment vertical="center" wrapText="1"/>
      <protection hidden="1"/>
    </xf>
    <xf numFmtId="0" fontId="48" fillId="0" borderId="21" xfId="0" applyFont="1" applyBorder="1" applyAlignment="1" applyProtection="1">
      <alignment vertical="center" textRotation="90" wrapText="1"/>
      <protection hidden="1"/>
    </xf>
    <xf numFmtId="0" fontId="48" fillId="0" borderId="13" xfId="0" applyFont="1" applyBorder="1" applyAlignment="1" applyProtection="1">
      <alignment vertical="center" textRotation="90" wrapText="1"/>
      <protection hidden="1"/>
    </xf>
    <xf numFmtId="0" fontId="48" fillId="0" borderId="21" xfId="0" applyFont="1" applyBorder="1" applyAlignment="1" applyProtection="1">
      <alignment wrapText="1"/>
      <protection hidden="1"/>
    </xf>
    <xf numFmtId="0" fontId="48" fillId="0" borderId="26" xfId="0" applyFont="1" applyBorder="1" applyAlignment="1" applyProtection="1">
      <alignment wrapText="1"/>
      <protection hidden="1"/>
    </xf>
    <xf numFmtId="0" fontId="48" fillId="0" borderId="13" xfId="0" applyFont="1" applyBorder="1" applyAlignment="1" applyProtection="1">
      <alignment vertical="center" wrapText="1"/>
      <protection hidden="1"/>
    </xf>
    <xf numFmtId="0" fontId="140" fillId="0" borderId="13" xfId="0" applyFont="1" applyBorder="1" applyAlignment="1" applyProtection="1">
      <alignment wrapText="1"/>
      <protection hidden="1"/>
    </xf>
    <xf numFmtId="0" fontId="48" fillId="0" borderId="13" xfId="0" applyFont="1" applyBorder="1" applyAlignment="1" applyProtection="1">
      <alignment wrapText="1"/>
      <protection hidden="1"/>
    </xf>
    <xf numFmtId="0" fontId="179" fillId="0" borderId="0" xfId="0" applyFont="1" applyFill="1" applyAlignment="1" applyProtection="1">
      <alignment wrapText="1"/>
      <protection hidden="1"/>
    </xf>
    <xf numFmtId="0" fontId="179" fillId="0" borderId="0" xfId="0" applyFont="1" applyAlignment="1" applyProtection="1">
      <alignment wrapText="1"/>
      <protection hidden="1"/>
    </xf>
    <xf numFmtId="0" fontId="21" fillId="0" borderId="0" xfId="0" applyFont="1" applyFill="1" applyAlignment="1" applyProtection="1">
      <alignment wrapText="1"/>
      <protection hidden="1"/>
    </xf>
    <xf numFmtId="0" fontId="135" fillId="0" borderId="0" xfId="0" applyFont="1" applyAlignment="1" applyProtection="1">
      <alignment wrapText="1"/>
      <protection hidden="1"/>
    </xf>
    <xf numFmtId="0" fontId="50" fillId="0" borderId="0" xfId="0" applyFont="1" applyAlignment="1" applyProtection="1">
      <alignment wrapText="1"/>
      <protection hidden="1"/>
    </xf>
    <xf numFmtId="0" fontId="0" fillId="0" borderId="44" xfId="0" applyBorder="1" applyAlignment="1" applyProtection="1">
      <protection hidden="1"/>
    </xf>
    <xf numFmtId="0" fontId="0" fillId="0" borderId="19" xfId="0" applyBorder="1" applyAlignment="1" applyProtection="1">
      <protection hidden="1"/>
    </xf>
    <xf numFmtId="0" fontId="48" fillId="0" borderId="0" xfId="0" applyFont="1" applyAlignment="1" applyProtection="1">
      <alignment wrapText="1" shrinkToFit="1"/>
      <protection hidden="1"/>
    </xf>
    <xf numFmtId="0" fontId="186" fillId="0" borderId="0" xfId="0" applyFont="1" applyAlignment="1" applyProtection="1">
      <alignment wrapText="1"/>
      <protection hidden="1"/>
    </xf>
    <xf numFmtId="0" fontId="0" fillId="0" borderId="65" xfId="0" applyBorder="1" applyAlignment="1" applyProtection="1">
      <alignment wrapText="1"/>
      <protection hidden="1"/>
    </xf>
    <xf numFmtId="0" fontId="0" fillId="0" borderId="66" xfId="0" applyBorder="1" applyAlignment="1" applyProtection="1">
      <alignment wrapText="1"/>
      <protection hidden="1"/>
    </xf>
    <xf numFmtId="0" fontId="0" fillId="0" borderId="20" xfId="0" applyBorder="1" applyAlignment="1" applyProtection="1">
      <alignment wrapText="1"/>
      <protection hidden="1"/>
    </xf>
    <xf numFmtId="0" fontId="0" fillId="0" borderId="67" xfId="0" applyBorder="1" applyAlignment="1" applyProtection="1">
      <alignment wrapText="1"/>
      <protection hidden="1"/>
    </xf>
    <xf numFmtId="0" fontId="0" fillId="0" borderId="42" xfId="0" applyBorder="1" applyAlignment="1" applyProtection="1">
      <alignment wrapText="1"/>
      <protection hidden="1"/>
    </xf>
    <xf numFmtId="0" fontId="8" fillId="0" borderId="44" xfId="0" applyFont="1" applyBorder="1" applyAlignment="1" applyProtection="1">
      <alignment wrapText="1"/>
      <protection hidden="1"/>
    </xf>
    <xf numFmtId="0" fontId="8" fillId="0" borderId="19" xfId="0" applyFont="1" applyBorder="1" applyAlignment="1" applyProtection="1">
      <alignment wrapText="1"/>
      <protection hidden="1"/>
    </xf>
    <xf numFmtId="0" fontId="8" fillId="0" borderId="14" xfId="0" applyFont="1" applyBorder="1" applyAlignment="1" applyProtection="1">
      <alignment wrapText="1"/>
      <protection hidden="1"/>
    </xf>
    <xf numFmtId="0" fontId="8" fillId="0" borderId="65" xfId="0" applyFont="1" applyBorder="1" applyAlignment="1" applyProtection="1">
      <alignment horizontal="center" wrapText="1"/>
      <protection hidden="1"/>
    </xf>
    <xf numFmtId="0" fontId="8" fillId="0" borderId="66" xfId="0" applyFont="1" applyBorder="1" applyAlignment="1" applyProtection="1">
      <alignment horizontal="center" wrapText="1"/>
      <protection hidden="1"/>
    </xf>
    <xf numFmtId="0" fontId="8" fillId="0" borderId="67" xfId="0" applyFont="1" applyBorder="1" applyAlignment="1" applyProtection="1">
      <alignment horizontal="center" wrapText="1"/>
      <protection hidden="1"/>
    </xf>
    <xf numFmtId="0" fontId="8" fillId="0" borderId="42" xfId="0" applyFont="1" applyBorder="1" applyAlignment="1" applyProtection="1">
      <alignment horizontal="center" wrapText="1"/>
      <protection hidden="1"/>
    </xf>
    <xf numFmtId="0" fontId="8" fillId="0" borderId="37" xfId="0" applyFont="1" applyBorder="1" applyAlignment="1" applyProtection="1">
      <alignment horizontal="center" wrapText="1"/>
      <protection hidden="1"/>
    </xf>
    <xf numFmtId="0" fontId="8" fillId="0" borderId="45" xfId="0" applyFont="1" applyBorder="1" applyAlignment="1" applyProtection="1">
      <alignment horizontal="center" wrapText="1"/>
      <protection hidden="1"/>
    </xf>
    <xf numFmtId="0" fontId="8" fillId="0" borderId="16" xfId="0" applyFont="1" applyBorder="1" applyAlignment="1" applyProtection="1">
      <alignment horizontal="center" wrapText="1"/>
      <protection hidden="1"/>
    </xf>
    <xf numFmtId="0" fontId="8" fillId="0" borderId="65" xfId="0" applyFont="1" applyBorder="1" applyAlignment="1" applyProtection="1">
      <alignment wrapText="1"/>
      <protection hidden="1"/>
    </xf>
    <xf numFmtId="0" fontId="8" fillId="0" borderId="60" xfId="0" applyFont="1" applyBorder="1" applyAlignment="1" applyProtection="1">
      <alignment wrapText="1"/>
      <protection hidden="1"/>
    </xf>
    <xf numFmtId="0" fontId="8" fillId="0" borderId="66" xfId="0" applyFont="1" applyBorder="1" applyAlignment="1" applyProtection="1">
      <alignment wrapText="1"/>
      <protection hidden="1"/>
    </xf>
    <xf numFmtId="0" fontId="8" fillId="0" borderId="67" xfId="0" applyFont="1" applyBorder="1" applyAlignment="1" applyProtection="1">
      <alignment wrapText="1"/>
      <protection hidden="1"/>
    </xf>
    <xf numFmtId="0" fontId="8" fillId="0" borderId="61" xfId="0" applyFont="1" applyBorder="1" applyAlignment="1" applyProtection="1">
      <alignment wrapText="1"/>
      <protection hidden="1"/>
    </xf>
    <xf numFmtId="0" fontId="8" fillId="0" borderId="42" xfId="0" applyFont="1" applyBorder="1" applyAlignment="1" applyProtection="1">
      <alignment wrapText="1"/>
      <protection hidden="1"/>
    </xf>
    <xf numFmtId="0" fontId="0" fillId="0" borderId="20" xfId="0" applyBorder="1" applyAlignment="1" applyProtection="1">
      <protection hidden="1"/>
    </xf>
    <xf numFmtId="0" fontId="2" fillId="0" borderId="37" xfId="0" applyFont="1" applyBorder="1" applyAlignment="1" applyProtection="1">
      <alignment horizontal="center" wrapText="1"/>
      <protection hidden="1"/>
    </xf>
    <xf numFmtId="0" fontId="2" fillId="0" borderId="16" xfId="0" applyFont="1" applyBorder="1" applyAlignment="1" applyProtection="1">
      <alignment horizontal="center" wrapText="1"/>
      <protection hidden="1"/>
    </xf>
    <xf numFmtId="0" fontId="0" fillId="0" borderId="13" xfId="0" applyBorder="1" applyAlignment="1" applyProtection="1">
      <alignment horizontal="center" vertical="center" wrapText="1"/>
      <protection hidden="1"/>
    </xf>
    <xf numFmtId="0" fontId="6" fillId="0" borderId="13" xfId="0" applyFont="1" applyBorder="1" applyAlignment="1" applyProtection="1">
      <alignment horizontal="center" vertical="center"/>
      <protection hidden="1"/>
    </xf>
    <xf numFmtId="0" fontId="6" fillId="0" borderId="13" xfId="0" applyFont="1" applyBorder="1" applyAlignment="1" applyProtection="1">
      <alignment horizontal="center" wrapText="1"/>
      <protection hidden="1"/>
    </xf>
    <xf numFmtId="0" fontId="6" fillId="0" borderId="13" xfId="0" applyFont="1" applyBorder="1" applyAlignment="1" applyProtection="1">
      <alignment horizontal="center" vertical="center" wrapText="1"/>
      <protection hidden="1"/>
    </xf>
    <xf numFmtId="0" fontId="6" fillId="0" borderId="13" xfId="0" applyNumberFormat="1" applyFont="1"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0" fillId="0" borderId="38" xfId="0" applyFill="1" applyBorder="1" applyAlignment="1" applyProtection="1">
      <alignment wrapText="1"/>
      <protection hidden="1"/>
    </xf>
    <xf numFmtId="0" fontId="0" fillId="0" borderId="88" xfId="0" applyBorder="1" applyAlignment="1" applyProtection="1">
      <alignment wrapText="1"/>
      <protection hidden="1"/>
    </xf>
    <xf numFmtId="0" fontId="1" fillId="0" borderId="70" xfId="0" applyFont="1" applyFill="1" applyBorder="1" applyAlignment="1" applyProtection="1">
      <alignment wrapText="1"/>
      <protection hidden="1"/>
    </xf>
    <xf numFmtId="0" fontId="0" fillId="0" borderId="79" xfId="0" applyBorder="1" applyAlignment="1" applyProtection="1">
      <alignment wrapText="1"/>
      <protection hidden="1"/>
    </xf>
    <xf numFmtId="0" fontId="104" fillId="0" borderId="37" xfId="0" applyFont="1" applyBorder="1" applyAlignment="1" applyProtection="1">
      <alignment wrapText="1"/>
      <protection hidden="1"/>
    </xf>
    <xf numFmtId="0" fontId="260" fillId="0" borderId="37" xfId="0" applyFont="1" applyBorder="1" applyAlignment="1" applyProtection="1">
      <alignment wrapText="1"/>
      <protection hidden="1"/>
    </xf>
    <xf numFmtId="0" fontId="260" fillId="0" borderId="45" xfId="0" applyFont="1" applyBorder="1" applyAlignment="1">
      <alignment wrapText="1"/>
    </xf>
    <xf numFmtId="0" fontId="260" fillId="0" borderId="16" xfId="0" applyFont="1" applyBorder="1" applyAlignment="1">
      <alignment wrapText="1"/>
    </xf>
    <xf numFmtId="0" fontId="12" fillId="0" borderId="0" xfId="0" applyFont="1" applyAlignment="1" applyProtection="1">
      <alignment wrapText="1"/>
      <protection hidden="1"/>
    </xf>
    <xf numFmtId="0" fontId="0" fillId="0" borderId="0" xfId="0" applyFill="1" applyAlignment="1" applyProtection="1">
      <protection hidden="1"/>
    </xf>
    <xf numFmtId="0" fontId="104" fillId="0" borderId="60" xfId="0" applyFont="1" applyBorder="1" applyAlignment="1" applyProtection="1">
      <alignment wrapText="1"/>
      <protection hidden="1"/>
    </xf>
    <xf numFmtId="0" fontId="17" fillId="0" borderId="60" xfId="0" applyFont="1" applyBorder="1" applyAlignment="1">
      <alignment wrapText="1"/>
    </xf>
    <xf numFmtId="0" fontId="2" fillId="0" borderId="37" xfId="0" applyFont="1" applyBorder="1" applyAlignment="1" applyProtection="1">
      <alignment wrapText="1"/>
      <protection hidden="1"/>
    </xf>
    <xf numFmtId="0" fontId="2" fillId="0" borderId="45" xfId="0" applyFont="1" applyBorder="1" applyAlignment="1" applyProtection="1">
      <alignment wrapText="1"/>
      <protection hidden="1"/>
    </xf>
    <xf numFmtId="0" fontId="2" fillId="0" borderId="16" xfId="0" applyFont="1" applyBorder="1" applyAlignment="1" applyProtection="1">
      <alignment wrapText="1"/>
      <protection hidden="1"/>
    </xf>
    <xf numFmtId="0" fontId="2" fillId="0" borderId="0" xfId="0" applyFont="1" applyAlignment="1" applyProtection="1">
      <alignment horizontal="center"/>
      <protection hidden="1"/>
    </xf>
    <xf numFmtId="0" fontId="0" fillId="0" borderId="0" xfId="0" applyAlignment="1">
      <alignment horizontal="center"/>
    </xf>
    <xf numFmtId="0" fontId="12" fillId="0" borderId="0" xfId="0" applyFont="1" applyAlignment="1"/>
    <xf numFmtId="0" fontId="2" fillId="0" borderId="44" xfId="0" applyFont="1" applyBorder="1" applyAlignment="1" applyProtection="1">
      <alignment textRotation="90" wrapText="1"/>
      <protection hidden="1"/>
    </xf>
    <xf numFmtId="0" fontId="2" fillId="0" borderId="19" xfId="0" applyFont="1" applyBorder="1" applyAlignment="1" applyProtection="1">
      <alignment textRotation="90" wrapText="1"/>
      <protection hidden="1"/>
    </xf>
    <xf numFmtId="0" fontId="2" fillId="0" borderId="14" xfId="0" applyFont="1" applyBorder="1" applyAlignment="1" applyProtection="1">
      <alignment textRotation="90" wrapText="1"/>
      <protection hidden="1"/>
    </xf>
    <xf numFmtId="0" fontId="98" fillId="0" borderId="37" xfId="0" applyFont="1" applyBorder="1" applyAlignment="1" applyProtection="1">
      <alignment horizontal="center" wrapText="1"/>
      <protection hidden="1"/>
    </xf>
    <xf numFmtId="0" fontId="98" fillId="0" borderId="45" xfId="0" applyFont="1" applyBorder="1" applyAlignment="1" applyProtection="1">
      <alignment horizontal="center" wrapText="1"/>
      <protection hidden="1"/>
    </xf>
    <xf numFmtId="0" fontId="98" fillId="0" borderId="16" xfId="0" applyFont="1" applyBorder="1" applyAlignment="1" applyProtection="1">
      <alignment horizontal="center" wrapText="1"/>
      <protection hidden="1"/>
    </xf>
    <xf numFmtId="0" fontId="11" fillId="22" borderId="61" xfId="0" applyFont="1" applyFill="1" applyBorder="1" applyAlignment="1">
      <alignment horizontal="center" wrapText="1"/>
    </xf>
    <xf numFmtId="0" fontId="287" fillId="26" borderId="61" xfId="0" applyFont="1" applyFill="1" applyBorder="1" applyAlignment="1">
      <alignment horizontal="center" wrapText="1"/>
    </xf>
    <xf numFmtId="0" fontId="287" fillId="26" borderId="13" xfId="0" applyFont="1" applyFill="1" applyBorder="1" applyAlignment="1">
      <alignment horizontal="center" wrapText="1"/>
    </xf>
    <xf numFmtId="0" fontId="287" fillId="26" borderId="61" xfId="0" applyFont="1" applyFill="1" applyBorder="1" applyAlignment="1">
      <alignment horizontal="center" wrapText="1" shrinkToFit="1"/>
    </xf>
    <xf numFmtId="0" fontId="15" fillId="0" borderId="25" xfId="0" applyNumberFormat="1" applyFont="1" applyFill="1" applyBorder="1" applyAlignment="1" applyProtection="1">
      <alignment vertical="top" wrapText="1"/>
    </xf>
    <xf numFmtId="0" fontId="15" fillId="0" borderId="28" xfId="0" applyNumberFormat="1" applyFont="1" applyFill="1" applyBorder="1" applyAlignment="1" applyProtection="1">
      <alignment vertical="top" wrapText="1"/>
    </xf>
    <xf numFmtId="0" fontId="15" fillId="0" borderId="13" xfId="0" applyNumberFormat="1" applyFont="1" applyFill="1" applyBorder="1" applyAlignment="1" applyProtection="1">
      <alignment horizontal="center" vertical="top" wrapText="1"/>
    </xf>
    <xf numFmtId="0" fontId="104" fillId="0" borderId="13" xfId="0" applyFont="1" applyBorder="1" applyAlignment="1" applyProtection="1">
      <alignment wrapText="1"/>
      <protection hidden="1"/>
    </xf>
    <xf numFmtId="0" fontId="220" fillId="0" borderId="13" xfId="0" applyFont="1" applyBorder="1" applyAlignment="1" applyProtection="1">
      <alignment wrapText="1"/>
      <protection hidden="1"/>
    </xf>
    <xf numFmtId="0" fontId="17" fillId="0" borderId="13" xfId="0" applyFont="1" applyBorder="1" applyAlignment="1" applyProtection="1">
      <alignment wrapText="1"/>
      <protection hidden="1"/>
    </xf>
    <xf numFmtId="0" fontId="107" fillId="0" borderId="37" xfId="0" applyFont="1" applyFill="1" applyBorder="1" applyAlignment="1" applyProtection="1">
      <alignment horizontal="center" wrapText="1"/>
      <protection hidden="1"/>
    </xf>
    <xf numFmtId="0" fontId="13" fillId="0" borderId="45" xfId="0" applyFont="1" applyBorder="1" applyAlignment="1" applyProtection="1">
      <alignment horizontal="center"/>
      <protection hidden="1"/>
    </xf>
    <xf numFmtId="0" fontId="13" fillId="0" borderId="16" xfId="0" applyFont="1" applyBorder="1" applyAlignment="1" applyProtection="1">
      <alignment horizontal="center"/>
      <protection hidden="1"/>
    </xf>
    <xf numFmtId="0" fontId="19" fillId="0" borderId="37" xfId="0" applyFont="1" applyBorder="1" applyAlignment="1" applyProtection="1">
      <alignment horizontal="center" wrapText="1"/>
      <protection hidden="1"/>
    </xf>
    <xf numFmtId="0" fontId="104" fillId="0" borderId="13" xfId="0" applyFont="1" applyBorder="1" applyAlignment="1">
      <alignment wrapText="1"/>
    </xf>
    <xf numFmtId="0" fontId="11" fillId="0" borderId="13" xfId="0" applyFont="1" applyFill="1" applyBorder="1" applyAlignment="1">
      <alignment horizontal="center"/>
    </xf>
    <xf numFmtId="0" fontId="11" fillId="27" borderId="13" xfId="0" applyFont="1" applyFill="1" applyBorder="1" applyAlignment="1">
      <alignment wrapText="1"/>
    </xf>
    <xf numFmtId="0" fontId="11" fillId="27" borderId="13" xfId="0" applyFont="1" applyFill="1" applyBorder="1" applyAlignment="1"/>
    <xf numFmtId="0" fontId="11" fillId="27" borderId="13" xfId="0" applyFont="1" applyFill="1" applyBorder="1" applyAlignment="1">
      <alignment horizontal="center"/>
    </xf>
    <xf numFmtId="0" fontId="11" fillId="0" borderId="13" xfId="0" applyFont="1" applyBorder="1" applyAlignment="1">
      <alignment horizontal="center"/>
    </xf>
    <xf numFmtId="0" fontId="11" fillId="0" borderId="37" xfId="0" applyFont="1" applyBorder="1" applyAlignment="1">
      <alignment horizontal="center"/>
    </xf>
    <xf numFmtId="0" fontId="11" fillId="0" borderId="16" xfId="0" applyFont="1" applyBorder="1" applyAlignment="1">
      <alignment horizontal="center"/>
    </xf>
    <xf numFmtId="0" fontId="11" fillId="27" borderId="65" xfId="0" applyFont="1" applyFill="1" applyBorder="1" applyAlignment="1">
      <alignment horizontal="center" wrapText="1"/>
    </xf>
    <xf numFmtId="0" fontId="11" fillId="27" borderId="66" xfId="0" applyFont="1" applyFill="1" applyBorder="1" applyAlignment="1">
      <alignment horizontal="center" wrapText="1"/>
    </xf>
    <xf numFmtId="0" fontId="11" fillId="27" borderId="67" xfId="0" applyFont="1" applyFill="1" applyBorder="1" applyAlignment="1">
      <alignment horizontal="center" wrapText="1"/>
    </xf>
    <xf numFmtId="0" fontId="11" fillId="27" borderId="42" xfId="0" applyFont="1" applyFill="1" applyBorder="1" applyAlignment="1">
      <alignment horizontal="center" wrapText="1"/>
    </xf>
    <xf numFmtId="0" fontId="11" fillId="27" borderId="14" xfId="0" applyFont="1" applyFill="1" applyBorder="1" applyAlignment="1">
      <alignment horizontal="center" wrapText="1"/>
    </xf>
    <xf numFmtId="0" fontId="287" fillId="26" borderId="37" xfId="0" applyFont="1" applyFill="1" applyBorder="1" applyAlignment="1">
      <alignment horizontal="center" wrapText="1"/>
    </xf>
    <xf numFmtId="0" fontId="287" fillId="26" borderId="45" xfId="0" applyFont="1" applyFill="1" applyBorder="1" applyAlignment="1">
      <alignment horizontal="center" wrapText="1"/>
    </xf>
    <xf numFmtId="0" fontId="287" fillId="26" borderId="16" xfId="0" applyFont="1" applyFill="1" applyBorder="1" applyAlignment="1">
      <alignment horizontal="center" wrapText="1"/>
    </xf>
    <xf numFmtId="0" fontId="11" fillId="27" borderId="13" xfId="0" applyFont="1" applyFill="1" applyBorder="1" applyAlignment="1">
      <alignment horizontal="center" wrapText="1"/>
    </xf>
    <xf numFmtId="0" fontId="11" fillId="0" borderId="13" xfId="0" applyFont="1" applyFill="1" applyBorder="1" applyAlignment="1">
      <alignment horizontal="center" wrapText="1"/>
    </xf>
    <xf numFmtId="0" fontId="11" fillId="26" borderId="13" xfId="0" applyFont="1" applyFill="1" applyBorder="1" applyAlignment="1">
      <alignment horizontal="center"/>
    </xf>
    <xf numFmtId="0" fontId="287" fillId="26" borderId="0" xfId="0" applyFont="1" applyFill="1" applyBorder="1" applyAlignment="1">
      <alignment horizontal="center" wrapText="1"/>
    </xf>
    <xf numFmtId="0" fontId="11" fillId="26" borderId="13" xfId="0" applyFont="1" applyFill="1" applyBorder="1" applyAlignment="1">
      <alignment horizontal="center" wrapText="1"/>
    </xf>
    <xf numFmtId="0" fontId="11" fillId="30" borderId="13" xfId="0" applyFont="1" applyFill="1" applyBorder="1" applyAlignment="1">
      <alignment horizontal="center"/>
    </xf>
    <xf numFmtId="0" fontId="11" fillId="26" borderId="37" xfId="0" applyFont="1" applyFill="1" applyBorder="1" applyAlignment="1">
      <alignment horizontal="center" wrapText="1"/>
    </xf>
    <xf numFmtId="0" fontId="11" fillId="26" borderId="16" xfId="0" applyFont="1" applyFill="1" applyBorder="1" applyAlignment="1">
      <alignment horizontal="center" wrapText="1"/>
    </xf>
    <xf numFmtId="0" fontId="287" fillId="0" borderId="0" xfId="0" applyFont="1" applyFill="1" applyBorder="1" applyAlignment="1">
      <alignment horizontal="center" wrapText="1"/>
    </xf>
    <xf numFmtId="0" fontId="30" fillId="0" borderId="38" xfId="0" applyFont="1" applyFill="1" applyBorder="1" applyAlignment="1">
      <alignment horizontal="center" wrapText="1"/>
    </xf>
    <xf numFmtId="0" fontId="30" fillId="0" borderId="48" xfId="0" applyFont="1" applyFill="1" applyBorder="1" applyAlignment="1">
      <alignment horizontal="center" wrapText="1"/>
    </xf>
    <xf numFmtId="0" fontId="30" fillId="0" borderId="49" xfId="0" applyFont="1" applyFill="1" applyBorder="1" applyAlignment="1">
      <alignment horizontal="center" wrapText="1"/>
    </xf>
    <xf numFmtId="0" fontId="0" fillId="0" borderId="44" xfId="0" applyFill="1" applyBorder="1" applyAlignment="1">
      <alignment horizontal="center" wrapText="1"/>
    </xf>
    <xf numFmtId="0" fontId="0" fillId="0" borderId="14" xfId="0" applyFill="1" applyBorder="1" applyAlignment="1">
      <alignment horizontal="center" wrapText="1"/>
    </xf>
    <xf numFmtId="0" fontId="0" fillId="0" borderId="61" xfId="0" applyFill="1" applyBorder="1" applyAlignment="1">
      <alignment horizontal="center" wrapText="1"/>
    </xf>
    <xf numFmtId="0" fontId="0" fillId="0" borderId="44" xfId="0" applyFill="1" applyBorder="1" applyAlignment="1">
      <alignment wrapText="1"/>
    </xf>
    <xf numFmtId="0" fontId="0" fillId="0" borderId="14" xfId="0" applyFill="1" applyBorder="1" applyAlignment="1">
      <alignment wrapText="1"/>
    </xf>
    <xf numFmtId="0" fontId="0" fillId="0" borderId="37" xfId="0" applyFill="1" applyBorder="1" applyAlignment="1">
      <alignment horizontal="center"/>
    </xf>
    <xf numFmtId="0" fontId="0" fillId="0" borderId="45" xfId="0" applyFill="1" applyBorder="1" applyAlignment="1">
      <alignment horizontal="center"/>
    </xf>
    <xf numFmtId="0" fontId="0" fillId="0" borderId="16" xfId="0" applyFill="1" applyBorder="1" applyAlignment="1">
      <alignment horizontal="center"/>
    </xf>
    <xf numFmtId="0" fontId="6" fillId="0" borderId="0" xfId="0" applyFont="1" applyFill="1" applyBorder="1" applyAlignment="1">
      <alignment horizontal="center"/>
    </xf>
    <xf numFmtId="0" fontId="0" fillId="0" borderId="37" xfId="0" applyFill="1" applyBorder="1" applyAlignment="1">
      <alignment horizontal="center" wrapText="1"/>
    </xf>
    <xf numFmtId="0" fontId="0" fillId="0" borderId="16" xfId="0" applyFill="1" applyBorder="1" applyAlignment="1">
      <alignment horizontal="center" wrapText="1"/>
    </xf>
    <xf numFmtId="0" fontId="2" fillId="0" borderId="0" xfId="0" applyFont="1" applyFill="1" applyAlignment="1">
      <alignment horizontal="center"/>
    </xf>
    <xf numFmtId="0" fontId="0" fillId="0" borderId="67" xfId="0" applyFill="1" applyBorder="1" applyAlignment="1">
      <alignment horizontal="center" wrapText="1"/>
    </xf>
    <xf numFmtId="0" fontId="0" fillId="0" borderId="42" xfId="0" applyFill="1" applyBorder="1" applyAlignment="1">
      <alignment horizontal="center" wrapText="1"/>
    </xf>
    <xf numFmtId="0" fontId="2" fillId="0" borderId="0" xfId="0" applyFont="1" applyFill="1" applyAlignment="1">
      <alignment horizontal="center" wrapText="1"/>
    </xf>
    <xf numFmtId="0" fontId="0" fillId="0" borderId="0" xfId="0" applyFill="1" applyBorder="1" applyAlignment="1">
      <alignment horizontal="center" wrapText="1"/>
    </xf>
    <xf numFmtId="0" fontId="0" fillId="0" borderId="0" xfId="0" applyFill="1" applyAlignment="1">
      <alignment horizontal="center"/>
    </xf>
    <xf numFmtId="0" fontId="0" fillId="0" borderId="0" xfId="0" applyBorder="1" applyAlignment="1">
      <alignment horizontal="center" textRotation="90" wrapText="1"/>
    </xf>
    <xf numFmtId="0" fontId="104" fillId="0" borderId="0" xfId="0" applyFont="1" applyBorder="1" applyAlignment="1">
      <alignment wrapText="1"/>
    </xf>
    <xf numFmtId="0" fontId="2" fillId="0" borderId="0" xfId="0" applyFont="1" applyBorder="1" applyAlignment="1">
      <alignment horizontal="center" vertical="center" wrapText="1"/>
    </xf>
    <xf numFmtId="0" fontId="220" fillId="0" borderId="13" xfId="0" applyFont="1" applyBorder="1" applyAlignment="1">
      <alignment wrapText="1"/>
    </xf>
    <xf numFmtId="0" fontId="17" fillId="0" borderId="13" xfId="0" applyFont="1" applyBorder="1" applyAlignment="1">
      <alignment wrapText="1"/>
    </xf>
    <xf numFmtId="0" fontId="0" fillId="0" borderId="28" xfId="0" applyBorder="1" applyAlignment="1">
      <alignment horizontal="center" vertical="center"/>
    </xf>
    <xf numFmtId="0" fontId="0" fillId="0" borderId="13" xfId="0" applyBorder="1" applyAlignment="1">
      <alignment horizontal="center" vertical="center"/>
    </xf>
    <xf numFmtId="0" fontId="0" fillId="0" borderId="29" xfId="0" applyBorder="1" applyAlignment="1">
      <alignment horizontal="center" vertical="center"/>
    </xf>
    <xf numFmtId="0" fontId="2" fillId="0" borderId="25"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31" xfId="0" applyFont="1" applyBorder="1" applyAlignment="1">
      <alignment horizontal="center" vertical="center" wrapText="1"/>
    </xf>
    <xf numFmtId="0" fontId="0" fillId="0" borderId="28" xfId="0" applyBorder="1" applyAlignment="1">
      <alignment horizontal="center" textRotation="90" wrapText="1"/>
    </xf>
    <xf numFmtId="0" fontId="0" fillId="0" borderId="13" xfId="0" applyBorder="1" applyAlignment="1">
      <alignment horizontal="center" textRotation="90" wrapText="1"/>
    </xf>
    <xf numFmtId="0" fontId="0" fillId="0" borderId="13" xfId="0" applyBorder="1" applyAlignment="1">
      <alignment horizontal="center"/>
    </xf>
    <xf numFmtId="0" fontId="0" fillId="0" borderId="0" xfId="0" applyBorder="1" applyAlignment="1">
      <alignment horizontal="center" vertical="center"/>
    </xf>
    <xf numFmtId="0" fontId="2" fillId="0" borderId="63"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50" xfId="0" applyFont="1" applyBorder="1" applyAlignment="1">
      <alignment horizontal="center" vertical="center" wrapText="1"/>
    </xf>
    <xf numFmtId="0" fontId="16" fillId="0" borderId="73" xfId="0" applyFont="1" applyBorder="1" applyAlignment="1">
      <alignment horizontal="center" wrapText="1"/>
    </xf>
    <xf numFmtId="0" fontId="16" fillId="0" borderId="45" xfId="0" applyFont="1" applyBorder="1" applyAlignment="1">
      <alignment horizontal="center" wrapText="1"/>
    </xf>
    <xf numFmtId="0" fontId="16" fillId="0" borderId="74" xfId="0" applyFont="1" applyBorder="1" applyAlignment="1">
      <alignment horizontal="center" wrapText="1"/>
    </xf>
    <xf numFmtId="0" fontId="83" fillId="0" borderId="75" xfId="0" applyFont="1" applyBorder="1" applyAlignment="1">
      <alignment horizontal="center" wrapText="1"/>
    </xf>
    <xf numFmtId="0" fontId="83" fillId="0" borderId="76" xfId="0" applyFont="1" applyBorder="1" applyAlignment="1">
      <alignment horizontal="center" wrapText="1"/>
    </xf>
    <xf numFmtId="0" fontId="83" fillId="0" borderId="77" xfId="0" applyFont="1" applyBorder="1" applyAlignment="1">
      <alignment horizontal="center" wrapText="1"/>
    </xf>
    <xf numFmtId="0" fontId="16" fillId="0" borderId="81" xfId="0" applyFont="1" applyBorder="1" applyAlignment="1">
      <alignment horizontal="center" vertical="center" wrapText="1"/>
    </xf>
    <xf numFmtId="0" fontId="16" fillId="0" borderId="82" xfId="0" applyFont="1" applyBorder="1" applyAlignment="1">
      <alignment horizontal="center" vertical="center" wrapText="1"/>
    </xf>
    <xf numFmtId="0" fontId="16" fillId="0" borderId="63"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4" xfId="0" applyFont="1" applyBorder="1" applyAlignment="1">
      <alignment horizontal="center" vertical="center" wrapText="1"/>
    </xf>
    <xf numFmtId="0" fontId="16" fillId="0" borderId="37" xfId="0" applyFont="1" applyBorder="1" applyAlignment="1">
      <alignment horizontal="center"/>
    </xf>
    <xf numFmtId="0" fontId="16" fillId="0" borderId="45" xfId="0" applyFont="1" applyBorder="1" applyAlignment="1">
      <alignment horizontal="center"/>
    </xf>
    <xf numFmtId="0" fontId="16" fillId="0" borderId="16" xfId="0" applyFont="1" applyBorder="1" applyAlignment="1">
      <alignment horizontal="center"/>
    </xf>
    <xf numFmtId="0" fontId="16" fillId="0" borderId="69" xfId="0" applyFont="1" applyBorder="1" applyAlignment="1">
      <alignment horizontal="center" vertical="center"/>
    </xf>
    <xf numFmtId="0" fontId="16" fillId="0" borderId="84" xfId="0" applyFont="1" applyBorder="1" applyAlignment="1">
      <alignment horizontal="center" vertical="center"/>
    </xf>
    <xf numFmtId="0" fontId="16" fillId="0" borderId="50" xfId="0" applyFont="1" applyBorder="1" applyAlignment="1">
      <alignment horizontal="center" vertical="center"/>
    </xf>
    <xf numFmtId="0" fontId="16" fillId="0" borderId="73" xfId="0" applyFont="1" applyBorder="1" applyAlignment="1">
      <alignment horizontal="center"/>
    </xf>
    <xf numFmtId="0" fontId="16" fillId="0" borderId="74" xfId="0" applyFont="1" applyBorder="1" applyAlignment="1">
      <alignment horizontal="center"/>
    </xf>
    <xf numFmtId="0" fontId="0" fillId="0" borderId="14" xfId="0" applyBorder="1" applyAlignment="1">
      <alignment horizontal="center" vertical="center"/>
    </xf>
    <xf numFmtId="0" fontId="83" fillId="0" borderId="73" xfId="0" applyFont="1" applyBorder="1" applyAlignment="1">
      <alignment horizontal="center" wrapText="1"/>
    </xf>
    <xf numFmtId="0" fontId="83" fillId="0" borderId="45" xfId="0" applyFont="1" applyBorder="1" applyAlignment="1">
      <alignment horizontal="center" wrapText="1"/>
    </xf>
    <xf numFmtId="0" fontId="83" fillId="0" borderId="74" xfId="0" applyFont="1" applyBorder="1" applyAlignment="1">
      <alignment horizontal="center" wrapText="1"/>
    </xf>
    <xf numFmtId="0" fontId="19" fillId="0" borderId="75" xfId="0" applyFont="1" applyBorder="1" applyAlignment="1">
      <alignment horizontal="center" vertical="center" wrapText="1"/>
    </xf>
    <xf numFmtId="0" fontId="19" fillId="0" borderId="76" xfId="0" applyFont="1" applyBorder="1" applyAlignment="1">
      <alignment horizontal="center" vertical="center" wrapText="1"/>
    </xf>
    <xf numFmtId="0" fontId="19" fillId="0" borderId="77" xfId="0" applyFont="1" applyBorder="1" applyAlignment="1">
      <alignment horizontal="center" vertical="center" wrapText="1"/>
    </xf>
    <xf numFmtId="0" fontId="16" fillId="0" borderId="69" xfId="0" applyFont="1" applyBorder="1" applyAlignment="1">
      <alignment horizontal="center" vertical="center" wrapText="1"/>
    </xf>
    <xf numFmtId="0" fontId="16" fillId="0" borderId="84" xfId="0" applyFont="1" applyBorder="1" applyAlignment="1">
      <alignment horizontal="center" vertical="center" wrapText="1"/>
    </xf>
    <xf numFmtId="0" fontId="16" fillId="0" borderId="50" xfId="0" applyFont="1" applyBorder="1" applyAlignment="1">
      <alignment horizontal="center" vertical="center" wrapText="1"/>
    </xf>
    <xf numFmtId="0" fontId="16" fillId="0" borderId="73" xfId="0" applyFont="1" applyBorder="1" applyAlignment="1">
      <alignment horizontal="center" vertical="center" wrapText="1"/>
    </xf>
    <xf numFmtId="0" fontId="16" fillId="0" borderId="45" xfId="0" applyFont="1" applyBorder="1" applyAlignment="1">
      <alignment horizontal="center" vertical="center" wrapText="1"/>
    </xf>
    <xf numFmtId="0" fontId="16" fillId="0" borderId="74" xfId="0" applyFont="1" applyBorder="1" applyAlignment="1">
      <alignment horizontal="center" vertical="center" wrapText="1"/>
    </xf>
    <xf numFmtId="0" fontId="19" fillId="0" borderId="75" xfId="0" applyFont="1" applyBorder="1" applyAlignment="1">
      <alignment horizontal="center" wrapText="1"/>
    </xf>
    <xf numFmtId="0" fontId="19" fillId="0" borderId="76" xfId="0" applyFont="1" applyBorder="1" applyAlignment="1">
      <alignment horizontal="center" wrapText="1"/>
    </xf>
    <xf numFmtId="0" fontId="19" fillId="0" borderId="77" xfId="0" applyFont="1" applyBorder="1" applyAlignment="1">
      <alignment horizontal="center" wrapText="1"/>
    </xf>
    <xf numFmtId="0" fontId="19" fillId="0" borderId="58"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72" xfId="0" applyFont="1" applyBorder="1" applyAlignment="1">
      <alignment horizontal="center" vertical="center" wrapText="1"/>
    </xf>
    <xf numFmtId="0" fontId="19" fillId="0" borderId="85"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86" xfId="0" applyFont="1" applyBorder="1" applyAlignment="1">
      <alignment horizontal="center" vertical="center" wrapText="1"/>
    </xf>
    <xf numFmtId="0" fontId="15" fillId="0" borderId="73" xfId="0" applyFont="1" applyBorder="1" applyAlignment="1">
      <alignment horizontal="center" vertical="center" wrapText="1"/>
    </xf>
    <xf numFmtId="0" fontId="15" fillId="0" borderId="45" xfId="0" applyFont="1" applyBorder="1" applyAlignment="1">
      <alignment horizontal="center" vertical="center" wrapText="1"/>
    </xf>
    <xf numFmtId="0" fontId="15" fillId="0" borderId="16" xfId="0" applyFont="1" applyBorder="1" applyAlignment="1">
      <alignment horizontal="center" vertical="center" wrapText="1"/>
    </xf>
    <xf numFmtId="0" fontId="19" fillId="24" borderId="0" xfId="0" applyFont="1" applyFill="1" applyBorder="1" applyAlignment="1">
      <alignment horizontal="center" wrapText="1"/>
    </xf>
    <xf numFmtId="0" fontId="0" fillId="0" borderId="0" xfId="0" applyBorder="1" applyAlignment="1">
      <alignment horizontal="center" wrapText="1"/>
    </xf>
    <xf numFmtId="0" fontId="9" fillId="0" borderId="35" xfId="0" applyFont="1" applyBorder="1" applyAlignment="1" applyProtection="1">
      <alignment horizontal="left"/>
      <protection hidden="1"/>
    </xf>
    <xf numFmtId="0" fontId="308" fillId="0" borderId="83" xfId="0" applyFont="1" applyBorder="1" applyAlignment="1" applyProtection="1">
      <alignment horizontal="center" wrapText="1" shrinkToFit="1"/>
      <protection hidden="1"/>
    </xf>
    <xf numFmtId="0" fontId="308" fillId="0" borderId="63" xfId="0" applyFont="1" applyBorder="1" applyAlignment="1" applyProtection="1">
      <alignment horizontal="center" wrapText="1" shrinkToFit="1"/>
      <protection hidden="1"/>
    </xf>
    <xf numFmtId="0" fontId="0" fillId="0" borderId="21" xfId="0" applyBorder="1" applyAlignment="1" applyProtection="1">
      <alignment horizontal="center"/>
      <protection hidden="1"/>
    </xf>
    <xf numFmtId="0" fontId="0" fillId="0" borderId="26" xfId="0" applyBorder="1" applyAlignment="1" applyProtection="1">
      <alignment horizontal="center"/>
      <protection hidden="1"/>
    </xf>
    <xf numFmtId="0" fontId="84" fillId="0" borderId="13" xfId="0" applyFont="1" applyFill="1" applyBorder="1" applyAlignment="1" applyProtection="1">
      <alignment horizontal="center" wrapText="1"/>
      <protection hidden="1"/>
    </xf>
    <xf numFmtId="0" fontId="9" fillId="0" borderId="0" xfId="0" applyFont="1" applyAlignment="1" applyProtection="1">
      <alignment horizontal="center"/>
      <protection hidden="1"/>
    </xf>
    <xf numFmtId="0" fontId="14" fillId="0" borderId="0" xfId="0" applyFont="1" applyAlignment="1">
      <alignment wrapText="1"/>
    </xf>
    <xf numFmtId="0" fontId="104" fillId="0" borderId="13" xfId="0" applyFont="1" applyFill="1" applyBorder="1" applyAlignment="1">
      <alignment wrapText="1"/>
    </xf>
    <xf numFmtId="0" fontId="0" fillId="0" borderId="13" xfId="0" applyFill="1" applyBorder="1" applyAlignment="1">
      <alignment wrapText="1"/>
    </xf>
    <xf numFmtId="0" fontId="288" fillId="55" borderId="131" xfId="50" applyFont="1" applyFill="1" applyBorder="1" applyAlignment="1" applyProtection="1">
      <alignment horizontal="center"/>
      <protection hidden="1"/>
    </xf>
    <xf numFmtId="0" fontId="7" fillId="55" borderId="120" xfId="50" applyFont="1" applyFill="1" applyBorder="1" applyAlignment="1" applyProtection="1">
      <alignment horizontal="center"/>
      <protection hidden="1"/>
    </xf>
    <xf numFmtId="0" fontId="7" fillId="55" borderId="122" xfId="50" applyFont="1" applyFill="1" applyBorder="1" applyAlignment="1" applyProtection="1">
      <alignment horizontal="center"/>
      <protection hidden="1"/>
    </xf>
    <xf numFmtId="0" fontId="262" fillId="55" borderId="128" xfId="50" applyFont="1" applyFill="1" applyBorder="1" applyAlignment="1" applyProtection="1">
      <alignment horizontal="center" wrapText="1"/>
      <protection hidden="1"/>
    </xf>
    <xf numFmtId="0" fontId="42" fillId="53" borderId="131" xfId="50" applyFont="1" applyFill="1" applyBorder="1" applyAlignment="1" applyProtection="1">
      <alignment horizontal="center"/>
      <protection hidden="1"/>
    </xf>
    <xf numFmtId="0" fontId="107" fillId="55" borderId="122" xfId="50" applyFont="1" applyFill="1" applyBorder="1" applyAlignment="1" applyProtection="1">
      <alignment horizontal="center"/>
      <protection hidden="1"/>
    </xf>
    <xf numFmtId="0" fontId="107" fillId="42" borderId="120" xfId="50" applyFont="1" applyFill="1" applyBorder="1" applyAlignment="1" applyProtection="1">
      <alignment horizontal="center"/>
      <protection hidden="1"/>
    </xf>
    <xf numFmtId="0" fontId="19" fillId="36" borderId="122" xfId="50" applyFont="1" applyFill="1" applyBorder="1" applyAlignment="1" applyProtection="1">
      <alignment horizontal="center"/>
      <protection hidden="1"/>
    </xf>
    <xf numFmtId="0" fontId="104" fillId="0" borderId="121" xfId="50" applyFont="1" applyBorder="1" applyAlignment="1" applyProtection="1">
      <alignment horizontal="center" vertical="top" wrapText="1"/>
      <protection hidden="1"/>
    </xf>
    <xf numFmtId="0" fontId="381" fillId="53" borderId="120" xfId="50" applyFont="1" applyFill="1" applyBorder="1" applyAlignment="1" applyProtection="1">
      <alignment horizontal="center"/>
      <protection hidden="1"/>
    </xf>
    <xf numFmtId="0" fontId="407" fillId="53" borderId="0" xfId="50" applyFont="1" applyFill="1" applyBorder="1" applyAlignment="1" applyProtection="1">
      <alignment horizontal="center"/>
      <protection hidden="1"/>
    </xf>
    <xf numFmtId="0" fontId="6" fillId="0" borderId="0" xfId="50" applyFont="1" applyFill="1" applyBorder="1" applyAlignment="1" applyProtection="1">
      <alignment horizontal="center"/>
      <protection hidden="1"/>
    </xf>
    <xf numFmtId="0" fontId="2" fillId="55" borderId="128" xfId="50" applyFont="1" applyFill="1" applyBorder="1" applyAlignment="1" applyProtection="1">
      <alignment horizontal="center" wrapText="1"/>
      <protection hidden="1"/>
    </xf>
    <xf numFmtId="0" fontId="42" fillId="55" borderId="96" xfId="50" applyFont="1" applyFill="1" applyBorder="1" applyAlignment="1" applyProtection="1">
      <alignment horizontal="center" wrapText="1"/>
      <protection hidden="1"/>
    </xf>
    <xf numFmtId="0" fontId="428" fillId="53" borderId="101" xfId="50" applyFont="1" applyFill="1" applyBorder="1" applyAlignment="1" applyProtection="1">
      <alignment horizontal="left"/>
      <protection hidden="1"/>
    </xf>
    <xf numFmtId="0" fontId="428" fillId="53" borderId="102" xfId="50" applyFont="1" applyFill="1" applyBorder="1" applyAlignment="1" applyProtection="1">
      <alignment horizontal="center"/>
      <protection hidden="1"/>
    </xf>
    <xf numFmtId="0" fontId="2" fillId="42" borderId="122" xfId="50" applyFont="1" applyFill="1" applyBorder="1" applyAlignment="1" applyProtection="1">
      <alignment horizontal="center"/>
      <protection hidden="1"/>
    </xf>
    <xf numFmtId="0" fontId="107" fillId="42" borderId="121" xfId="50" applyFont="1" applyFill="1" applyBorder="1" applyAlignment="1" applyProtection="1">
      <alignment horizontal="center"/>
      <protection hidden="1"/>
    </xf>
    <xf numFmtId="0" fontId="409" fillId="37" borderId="91" xfId="50" applyFont="1" applyFill="1" applyBorder="1" applyAlignment="1">
      <alignment horizontal="center"/>
    </xf>
    <xf numFmtId="0" fontId="409" fillId="0" borderId="91" xfId="50" applyFont="1" applyBorder="1" applyAlignment="1">
      <alignment horizontal="center"/>
    </xf>
    <xf numFmtId="0" fontId="409" fillId="37" borderId="103" xfId="50" applyFont="1" applyFill="1" applyBorder="1" applyAlignment="1">
      <alignment horizontal="center"/>
    </xf>
    <xf numFmtId="0" fontId="409" fillId="37" borderId="0" xfId="50" applyFont="1" applyFill="1" applyBorder="1" applyAlignment="1">
      <alignment horizontal="center"/>
    </xf>
    <xf numFmtId="0" fontId="407" fillId="53" borderId="96" xfId="50" applyFont="1" applyFill="1" applyBorder="1" applyAlignment="1" applyProtection="1">
      <alignment horizontal="center"/>
      <protection hidden="1"/>
    </xf>
    <xf numFmtId="0" fontId="6" fillId="41" borderId="99" xfId="50" applyFont="1" applyFill="1" applyBorder="1" applyAlignment="1">
      <alignment horizontal="left" wrapText="1"/>
    </xf>
    <xf numFmtId="0" fontId="409" fillId="41" borderId="91" xfId="50" applyFont="1" applyFill="1" applyBorder="1" applyAlignment="1">
      <alignment horizontal="center"/>
    </xf>
    <xf numFmtId="0" fontId="6" fillId="41" borderId="91" xfId="50" applyFont="1" applyFill="1" applyBorder="1" applyAlignment="1">
      <alignment horizontal="center" wrapText="1"/>
    </xf>
    <xf numFmtId="0" fontId="6" fillId="40" borderId="100" xfId="50" applyFont="1" applyFill="1" applyBorder="1" applyAlignment="1">
      <alignment horizontal="center" wrapText="1"/>
    </xf>
    <xf numFmtId="0" fontId="6" fillId="39" borderId="91" xfId="50" applyFont="1" applyFill="1" applyBorder="1" applyAlignment="1">
      <alignment wrapText="1"/>
    </xf>
    <xf numFmtId="0" fontId="6" fillId="39" borderId="91" xfId="50" applyFont="1" applyFill="1" applyBorder="1" applyAlignment="1">
      <alignment horizontal="center"/>
    </xf>
    <xf numFmtId="0" fontId="6" fillId="39" borderId="91" xfId="50" applyFont="1" applyFill="1" applyBorder="1" applyAlignment="1">
      <alignment horizontal="center" wrapText="1"/>
    </xf>
    <xf numFmtId="0" fontId="6" fillId="42" borderId="99" xfId="50" applyFont="1" applyFill="1" applyBorder="1" applyAlignment="1">
      <alignment horizontal="center" wrapText="1"/>
    </xf>
    <xf numFmtId="0" fontId="6" fillId="42" borderId="94" xfId="50" applyFont="1" applyFill="1" applyBorder="1" applyAlignment="1">
      <alignment horizontal="center" wrapText="1"/>
    </xf>
    <xf numFmtId="0" fontId="6" fillId="42" borderId="96" xfId="50" applyFont="1" applyFill="1" applyBorder="1" applyAlignment="1">
      <alignment horizontal="center" wrapText="1"/>
    </xf>
    <xf numFmtId="0" fontId="407" fillId="40" borderId="96" xfId="50" applyFont="1" applyFill="1" applyBorder="1" applyAlignment="1">
      <alignment horizontal="center"/>
    </xf>
    <xf numFmtId="0" fontId="3" fillId="0" borderId="91" xfId="50" applyFont="1" applyBorder="1" applyAlignment="1">
      <alignment horizontal="center"/>
    </xf>
    <xf numFmtId="0" fontId="6" fillId="47" borderId="91" xfId="50" applyFont="1" applyFill="1" applyBorder="1" applyAlignment="1">
      <alignment horizontal="center"/>
    </xf>
    <xf numFmtId="0" fontId="6" fillId="40" borderId="91" xfId="50" applyFont="1" applyFill="1" applyBorder="1" applyAlignment="1">
      <alignment horizontal="center" wrapText="1"/>
    </xf>
    <xf numFmtId="0" fontId="6" fillId="40" borderId="101" xfId="50" applyFont="1" applyFill="1" applyBorder="1" applyAlignment="1">
      <alignment horizontal="center" wrapText="1"/>
    </xf>
    <xf numFmtId="0" fontId="6" fillId="42" borderId="91" xfId="50" applyFont="1" applyFill="1" applyBorder="1" applyAlignment="1">
      <alignment horizontal="center" wrapText="1"/>
    </xf>
    <xf numFmtId="0" fontId="6" fillId="42" borderId="91" xfId="50" applyFont="1" applyFill="1" applyBorder="1" applyAlignment="1">
      <alignment horizontal="center" wrapText="1" shrinkToFit="1"/>
    </xf>
    <xf numFmtId="0" fontId="6" fillId="42" borderId="91" xfId="50" applyFont="1" applyFill="1" applyBorder="1" applyAlignment="1">
      <alignment horizontal="left" wrapText="1"/>
    </xf>
    <xf numFmtId="0" fontId="405" fillId="37" borderId="91" xfId="50" applyFont="1" applyFill="1" applyBorder="1" applyAlignment="1">
      <alignment horizontal="center"/>
    </xf>
    <xf numFmtId="0" fontId="6" fillId="43" borderId="0" xfId="50" applyFill="1" applyBorder="1" applyAlignment="1">
      <alignment horizontal="center"/>
    </xf>
    <xf numFmtId="0" fontId="6" fillId="42" borderId="91" xfId="50" applyFont="1" applyFill="1" applyBorder="1" applyAlignment="1">
      <alignment horizontal="center"/>
    </xf>
    <xf numFmtId="0" fontId="6" fillId="0" borderId="91" xfId="50" applyFont="1" applyBorder="1" applyAlignment="1">
      <alignment horizontal="center"/>
    </xf>
    <xf numFmtId="0" fontId="6" fillId="0" borderId="91" xfId="50" applyFont="1" applyFill="1" applyBorder="1" applyAlignment="1">
      <alignment horizontal="center" wrapText="1"/>
    </xf>
    <xf numFmtId="0" fontId="6" fillId="0" borderId="91" xfId="50" applyFont="1" applyFill="1" applyBorder="1" applyAlignment="1">
      <alignment horizontal="center"/>
    </xf>
    <xf numFmtId="0" fontId="405" fillId="40" borderId="91" xfId="50" applyFont="1" applyFill="1" applyBorder="1" applyAlignment="1">
      <alignment horizontal="center" wrapText="1"/>
    </xf>
    <xf numFmtId="0" fontId="6" fillId="39" borderId="99" xfId="50" applyFont="1" applyFill="1" applyBorder="1" applyAlignment="1">
      <alignment horizontal="center" wrapText="1"/>
    </xf>
    <xf numFmtId="0" fontId="406" fillId="40" borderId="100" xfId="50" applyFont="1" applyFill="1" applyBorder="1" applyAlignment="1">
      <alignment horizontal="center" wrapText="1"/>
    </xf>
    <xf numFmtId="0" fontId="405" fillId="40" borderId="91" xfId="50" applyFont="1" applyFill="1" applyBorder="1" applyAlignment="1">
      <alignment horizontal="center"/>
    </xf>
    <xf numFmtId="0" fontId="405" fillId="39" borderId="91" xfId="50" applyFont="1" applyFill="1" applyBorder="1" applyAlignment="1">
      <alignment horizontal="center"/>
    </xf>
    <xf numFmtId="0" fontId="6" fillId="0" borderId="0" xfId="50" applyFont="1" applyFill="1" applyBorder="1" applyAlignment="1">
      <alignment horizontal="center"/>
    </xf>
    <xf numFmtId="0" fontId="405" fillId="40" borderId="0" xfId="50" applyFont="1" applyFill="1" applyBorder="1" applyAlignment="1">
      <alignment horizontal="center" wrapText="1"/>
    </xf>
  </cellXfs>
  <cellStyles count="52">
    <cellStyle name="20% — акцент1" xfId="1"/>
    <cellStyle name="20% — акцент2" xfId="2"/>
    <cellStyle name="20% — акцент3" xfId="3"/>
    <cellStyle name="20% — акцент4" xfId="4"/>
    <cellStyle name="20% — акцент5" xfId="5"/>
    <cellStyle name="20% — акцент6" xfId="6"/>
    <cellStyle name="40% — акцент1" xfId="7"/>
    <cellStyle name="40% — акцент2" xfId="8"/>
    <cellStyle name="40% — акцент3" xfId="9"/>
    <cellStyle name="40% — акцент4" xfId="10"/>
    <cellStyle name="40% — акцент5" xfId="11"/>
    <cellStyle name="40% — акцент6" xfId="12"/>
    <cellStyle name="60% — акцент1" xfId="13"/>
    <cellStyle name="60% — акцент2" xfId="14"/>
    <cellStyle name="60% — акцент3" xfId="15"/>
    <cellStyle name="60% — акцент4" xfId="16"/>
    <cellStyle name="60% — акцент5" xfId="17"/>
    <cellStyle name="60% — акцент6" xfId="1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25" builtinId="20" customBuiltin="1"/>
    <cellStyle name="Вывод" xfId="26" builtinId="21" customBuiltin="1"/>
    <cellStyle name="Вычисление" xfId="27" builtinId="22" customBuiltin="1"/>
    <cellStyle name="Гиперссылка" xfId="28" builtinId="8"/>
    <cellStyle name="Денежный 2" xfId="29"/>
    <cellStyle name="Денежный 3" xfId="51"/>
    <cellStyle name="Заголовок 1" xfId="30" builtinId="16" customBuiltin="1"/>
    <cellStyle name="Заголовок 2" xfId="31" builtinId="17" customBuiltin="1"/>
    <cellStyle name="Заголовок 3" xfId="32" builtinId="18" customBuiltin="1"/>
    <cellStyle name="Заголовок 4" xfId="33" builtinId="19" customBuiltin="1"/>
    <cellStyle name="Итог" xfId="34" builtinId="25" customBuiltin="1"/>
    <cellStyle name="Контрольная ячейка" xfId="35" builtinId="23" customBuiltin="1"/>
    <cellStyle name="Название" xfId="36" builtinId="15" customBuiltin="1"/>
    <cellStyle name="Нейтральный" xfId="37" builtinId="28" customBuiltin="1"/>
    <cellStyle name="Обычный" xfId="0" builtinId="0"/>
    <cellStyle name="Обычный 2" xfId="38"/>
    <cellStyle name="Обычный 3" xfId="39"/>
    <cellStyle name="Обычный 4" xfId="40"/>
    <cellStyle name="Обычный 5" xfId="50"/>
    <cellStyle name="Обычный 6" xfId="41"/>
    <cellStyle name="Обычный_Лист2" xfId="42"/>
    <cellStyle name="Обычный_таблица исходная" xfId="43"/>
    <cellStyle name="Плохой" xfId="44" builtinId="27" customBuiltin="1"/>
    <cellStyle name="Пояснение" xfId="45" builtinId="53" customBuiltin="1"/>
    <cellStyle name="Примечание" xfId="46" builtinId="10" customBuiltin="1"/>
    <cellStyle name="Связанная ячейка" xfId="47" builtinId="24" customBuiltin="1"/>
    <cellStyle name="Текст предупреждения" xfId="48" builtinId="11" customBuiltin="1"/>
    <cellStyle name="Хороший" xfId="49"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5294145718416214"/>
          <c:y val="3.787878787878788E-2"/>
        </c:manualLayout>
      </c:layout>
      <c:overlay val="0"/>
      <c:spPr>
        <a:noFill/>
        <a:ln w="25400">
          <a:noFill/>
        </a:ln>
      </c:spPr>
      <c:txPr>
        <a:bodyPr/>
        <a:lstStyle/>
        <a:p>
          <a:pPr>
            <a:defRPr sz="1400" b="0" i="0" u="none" strike="noStrike" baseline="0">
              <a:solidFill>
                <a:srgbClr val="000000"/>
              </a:solidFill>
              <a:latin typeface="Arial Cyr"/>
              <a:ea typeface="Arial Cyr"/>
              <a:cs typeface="Arial Cyr"/>
            </a:defRPr>
          </a:pPr>
          <a:endParaRPr lang="ru-RU"/>
        </a:p>
      </c:txPr>
    </c:title>
    <c:autoTitleDeleted val="0"/>
    <c:plotArea>
      <c:layout/>
      <c:scatterChart>
        <c:scatterStyle val="smoothMarker"/>
        <c:varyColors val="0"/>
        <c:ser>
          <c:idx val="0"/>
          <c:order val="0"/>
          <c:tx>
            <c:strRef>
              <c:f>стр!$A$143</c:f>
              <c:strCache>
                <c:ptCount val="1"/>
                <c:pt idx="0">
                  <c:v>Нагрузка на лаву, т/сутки</c:v>
                </c:pt>
              </c:strCache>
            </c:strRef>
          </c:tx>
          <c:spPr>
            <a:ln w="25400">
              <a:solidFill>
                <a:srgbClr val="000080"/>
              </a:solidFill>
              <a:prstDash val="solid"/>
            </a:ln>
          </c:spPr>
          <c:marker>
            <c:symbol val="none"/>
          </c:marker>
          <c:xVal>
            <c:numRef>
              <c:f>стр!$B$142:$F$142</c:f>
              <c:numCache>
                <c:formatCode>General</c:formatCode>
                <c:ptCount val="5"/>
                <c:pt idx="0">
                  <c:v>100</c:v>
                </c:pt>
                <c:pt idx="1">
                  <c:v>150</c:v>
                </c:pt>
                <c:pt idx="2">
                  <c:v>200</c:v>
                </c:pt>
                <c:pt idx="3">
                  <c:v>250</c:v>
                </c:pt>
                <c:pt idx="4">
                  <c:v>300</c:v>
                </c:pt>
              </c:numCache>
            </c:numRef>
          </c:xVal>
          <c:yVal>
            <c:numRef>
              <c:f>стр!$B$143:$F$143</c:f>
              <c:numCache>
                <c:formatCode>General</c:formatCode>
                <c:ptCount val="5"/>
              </c:numCache>
            </c:numRef>
          </c:yVal>
          <c:smooth val="1"/>
        </c:ser>
        <c:dLbls>
          <c:showLegendKey val="0"/>
          <c:showVal val="0"/>
          <c:showCatName val="0"/>
          <c:showSerName val="0"/>
          <c:showPercent val="0"/>
          <c:showBubbleSize val="0"/>
        </c:dLbls>
        <c:axId val="96589312"/>
        <c:axId val="96591232"/>
      </c:scatterChart>
      <c:valAx>
        <c:axId val="96589312"/>
        <c:scaling>
          <c:orientation val="minMax"/>
        </c:scaling>
        <c:delete val="0"/>
        <c:axPos val="b"/>
        <c:title>
          <c:tx>
            <c:rich>
              <a:bodyPr/>
              <a:lstStyle/>
              <a:p>
                <a:pPr>
                  <a:defRPr sz="1400" b="1" i="0" u="none" strike="noStrike" baseline="0">
                    <a:solidFill>
                      <a:srgbClr val="000000"/>
                    </a:solidFill>
                    <a:latin typeface="Arial Cyr"/>
                    <a:ea typeface="Arial Cyr"/>
                    <a:cs typeface="Arial Cyr"/>
                  </a:defRPr>
                </a:pPr>
                <a:r>
                  <a:rPr lang="ru-RU"/>
                  <a:t>Длина лавы, м</a:t>
                </a:r>
              </a:p>
            </c:rich>
          </c:tx>
          <c:layout>
            <c:manualLayout>
              <c:xMode val="edge"/>
              <c:yMode val="edge"/>
              <c:x val="0.42246017376170225"/>
              <c:y val="0.8219728783902012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96591232"/>
        <c:crosses val="autoZero"/>
        <c:crossBetween val="midCat"/>
      </c:valAx>
      <c:valAx>
        <c:axId val="9659123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96589312"/>
        <c:crosses val="autoZero"/>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75" b="0" i="0" u="none" strike="noStrike" baseline="0">
                <a:solidFill>
                  <a:srgbClr val="000000"/>
                </a:solidFill>
                <a:latin typeface="Arial Cyr"/>
                <a:ea typeface="Arial Cyr"/>
                <a:cs typeface="Arial Cyr"/>
              </a:defRPr>
            </a:pPr>
            <a:r>
              <a:rPr lang="ru-RU" sz="275" b="0" i="0" u="none" strike="noStrike" baseline="0">
                <a:solidFill>
                  <a:srgbClr val="000000"/>
                </a:solidFill>
                <a:latin typeface="Arial Cyr"/>
                <a:cs typeface="Arial Cyr"/>
              </a:rPr>
              <a:t>Производительность, т/мин</a:t>
            </a:r>
          </a:p>
          <a:p>
            <a:pPr>
              <a:defRPr sz="275" b="0" i="0" u="none" strike="noStrike" baseline="0">
                <a:solidFill>
                  <a:srgbClr val="000000"/>
                </a:solidFill>
                <a:latin typeface="Arial Cyr"/>
                <a:ea typeface="Arial Cyr"/>
                <a:cs typeface="Arial Cyr"/>
              </a:defRPr>
            </a:pPr>
            <a:r>
              <a:rPr lang="ru-RU" sz="275" b="0" i="0" u="none" strike="noStrike" baseline="0">
                <a:solidFill>
                  <a:srgbClr val="000000"/>
                </a:solidFill>
                <a:latin typeface="Arial Cyr"/>
                <a:cs typeface="Arial Cyr"/>
              </a:rPr>
              <a:t>при Ap=1.5 кН/см</a:t>
            </a:r>
          </a:p>
        </c:rich>
      </c:tx>
      <c:overlay val="0"/>
      <c:spPr>
        <a:noFill/>
        <a:ln w="25400">
          <a:noFill/>
        </a:ln>
      </c:spPr>
    </c:title>
    <c:autoTitleDeleted val="0"/>
    <c:plotArea>
      <c:layout/>
      <c:scatterChart>
        <c:scatterStyle val="smoothMarker"/>
        <c:varyColors val="0"/>
        <c:ser>
          <c:idx val="0"/>
          <c:order val="0"/>
          <c:tx>
            <c:v>#ССЫЛКА!</c:v>
          </c:tx>
          <c:spPr>
            <a:ln w="12700">
              <a:solidFill>
                <a:srgbClr val="000080"/>
              </a:solidFill>
              <a:prstDash val="solid"/>
            </a:ln>
          </c:spPr>
          <c:marker>
            <c:symbol val="diamond"/>
            <c:size val="5"/>
            <c:spPr>
              <a:solidFill>
                <a:srgbClr val="000080"/>
              </a:solidFill>
              <a:ln>
                <a:solidFill>
                  <a:srgbClr val="000080"/>
                </a:solidFill>
                <a:prstDash val="solid"/>
              </a:ln>
            </c:spPr>
          </c:marker>
          <c:xVal>
            <c:numLit>
              <c:formatCode>General</c:formatCode>
              <c:ptCount val="1"/>
              <c:pt idx="0">
                <c:v>0</c:v>
              </c:pt>
            </c:numLit>
          </c:xVal>
          <c:yVal>
            <c:numLit>
              <c:formatCode>General</c:formatCode>
              <c:ptCount val="1"/>
              <c:pt idx="0">
                <c:v>0</c:v>
              </c:pt>
            </c:numLit>
          </c:yVal>
          <c:smooth val="1"/>
        </c:ser>
        <c:dLbls>
          <c:showLegendKey val="0"/>
          <c:showVal val="0"/>
          <c:showCatName val="0"/>
          <c:showSerName val="0"/>
          <c:showPercent val="0"/>
          <c:showBubbleSize val="0"/>
        </c:dLbls>
        <c:axId val="45770624"/>
        <c:axId val="45781376"/>
      </c:scatterChart>
      <c:valAx>
        <c:axId val="45770624"/>
        <c:scaling>
          <c:orientation val="minMax"/>
          <c:min val="0.7"/>
        </c:scaling>
        <c:delete val="0"/>
        <c:axPos val="b"/>
        <c:title>
          <c:tx>
            <c:rich>
              <a:bodyPr/>
              <a:lstStyle/>
              <a:p>
                <a:pPr>
                  <a:defRPr sz="250" b="0" i="0" u="none" strike="noStrike" baseline="0">
                    <a:solidFill>
                      <a:srgbClr val="000000"/>
                    </a:solidFill>
                    <a:latin typeface="Arial Cyr"/>
                    <a:ea typeface="Arial Cyr"/>
                    <a:cs typeface="Arial Cyr"/>
                  </a:defRPr>
                </a:pPr>
                <a:r>
                  <a:rPr lang="ru-RU"/>
                  <a:t>Мощность пласта, м</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RU"/>
          </a:p>
        </c:txPr>
        <c:crossAx val="45781376"/>
        <c:crosses val="autoZero"/>
        <c:crossBetween val="midCat"/>
      </c:valAx>
      <c:valAx>
        <c:axId val="4578137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RU"/>
          </a:p>
        </c:txPr>
        <c:crossAx val="45770624"/>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75" b="0" i="0" u="none" strike="noStrike" baseline="0">
                <a:solidFill>
                  <a:srgbClr val="000000"/>
                </a:solidFill>
                <a:latin typeface="Arial Cyr"/>
                <a:ea typeface="Arial Cyr"/>
                <a:cs typeface="Arial Cyr"/>
              </a:defRPr>
            </a:pPr>
            <a:r>
              <a:rPr lang="ru-RU" sz="275" b="0" i="0" u="none" strike="noStrike" baseline="0">
                <a:solidFill>
                  <a:srgbClr val="000000"/>
                </a:solidFill>
                <a:latin typeface="Arial Cyr"/>
                <a:cs typeface="Arial Cyr"/>
              </a:rPr>
              <a:t>Производительность, т/мин</a:t>
            </a:r>
          </a:p>
          <a:p>
            <a:pPr>
              <a:defRPr sz="275" b="0" i="0" u="none" strike="noStrike" baseline="0">
                <a:solidFill>
                  <a:srgbClr val="000000"/>
                </a:solidFill>
                <a:latin typeface="Arial Cyr"/>
                <a:ea typeface="Arial Cyr"/>
                <a:cs typeface="Arial Cyr"/>
              </a:defRPr>
            </a:pPr>
            <a:r>
              <a:rPr lang="ru-RU" sz="275" b="0" i="0" u="none" strike="noStrike" baseline="0">
                <a:solidFill>
                  <a:srgbClr val="000000"/>
                </a:solidFill>
                <a:latin typeface="Arial Cyr"/>
                <a:cs typeface="Arial Cyr"/>
              </a:rPr>
              <a:t>при m=1,2 м</a:t>
            </a:r>
          </a:p>
        </c:rich>
      </c:tx>
      <c:overlay val="0"/>
      <c:spPr>
        <a:noFill/>
        <a:ln w="25400">
          <a:noFill/>
        </a:ln>
      </c:spPr>
    </c:title>
    <c:autoTitleDeleted val="0"/>
    <c:plotArea>
      <c:layout/>
      <c:scatterChart>
        <c:scatterStyle val="smoothMarker"/>
        <c:varyColors val="0"/>
        <c:ser>
          <c:idx val="0"/>
          <c:order val="0"/>
          <c:tx>
            <c:v>#ССЫЛКА!</c:v>
          </c:tx>
          <c:spPr>
            <a:ln w="12700">
              <a:solidFill>
                <a:srgbClr val="000080"/>
              </a:solidFill>
              <a:prstDash val="solid"/>
            </a:ln>
          </c:spPr>
          <c:marker>
            <c:symbol val="diamond"/>
            <c:size val="5"/>
            <c:spPr>
              <a:solidFill>
                <a:srgbClr val="000080"/>
              </a:solidFill>
              <a:ln>
                <a:solidFill>
                  <a:srgbClr val="000080"/>
                </a:solidFill>
                <a:prstDash val="solid"/>
              </a:ln>
            </c:spPr>
          </c:marker>
          <c:xVal>
            <c:numLit>
              <c:formatCode>General</c:formatCode>
              <c:ptCount val="1"/>
              <c:pt idx="0">
                <c:v>0</c:v>
              </c:pt>
            </c:numLit>
          </c:xVal>
          <c:yVal>
            <c:numLit>
              <c:formatCode>General</c:formatCode>
              <c:ptCount val="1"/>
              <c:pt idx="0">
                <c:v>0</c:v>
              </c:pt>
            </c:numLit>
          </c:yVal>
          <c:smooth val="1"/>
        </c:ser>
        <c:dLbls>
          <c:showLegendKey val="0"/>
          <c:showVal val="0"/>
          <c:showCatName val="0"/>
          <c:showSerName val="0"/>
          <c:showPercent val="0"/>
          <c:showBubbleSize val="0"/>
        </c:dLbls>
        <c:axId val="45788544"/>
        <c:axId val="45811200"/>
      </c:scatterChart>
      <c:valAx>
        <c:axId val="457885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RU"/>
          </a:p>
        </c:txPr>
        <c:crossAx val="45811200"/>
        <c:crosses val="autoZero"/>
        <c:crossBetween val="midCat"/>
      </c:valAx>
      <c:valAx>
        <c:axId val="4581120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RU"/>
          </a:p>
        </c:txPr>
        <c:crossAx val="45788544"/>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75" b="1" i="0" u="none" strike="noStrike" baseline="0">
                <a:solidFill>
                  <a:srgbClr val="000000"/>
                </a:solidFill>
                <a:latin typeface="Arial Cyr"/>
                <a:ea typeface="Arial Cyr"/>
                <a:cs typeface="Arial Cyr"/>
              </a:defRPr>
            </a:pPr>
            <a:r>
              <a:rPr lang="de-DE"/>
              <a:t>Verwendungsbereich der Walzschrämladern hinsichtlich der Flözmächtigkeit</a:t>
            </a:r>
          </a:p>
        </c:rich>
      </c:tx>
      <c:overlay val="0"/>
      <c:spPr>
        <a:noFill/>
        <a:ln w="25400">
          <a:noFill/>
        </a:ln>
      </c:spPr>
    </c:title>
    <c:autoTitleDeleted val="0"/>
    <c:view3D>
      <c:rotX val="15"/>
      <c:hPercent val="6"/>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mmin</c:v>
          </c:tx>
          <c:spPr>
            <a:solidFill>
              <a:srgbClr val="9999FF"/>
            </a:solidFill>
            <a:ln w="12700">
              <a:solidFill>
                <a:srgbClr val="000000"/>
              </a:solidFill>
              <a:prstDash val="solid"/>
            </a:ln>
          </c:spPr>
          <c:invertIfNegative val="0"/>
          <c:cat>
            <c:strLit>
              <c:ptCount val="13"/>
              <c:pt idx="0">
                <c:v>1К101У</c:v>
              </c:pt>
              <c:pt idx="1">
                <c:v>К103М</c:v>
              </c:pt>
              <c:pt idx="2">
                <c:v>КА80</c:v>
              </c:pt>
              <c:pt idx="3">
                <c:v>1K101УД</c:v>
              </c:pt>
              <c:pt idx="4">
                <c:v>ГШ200Б</c:v>
              </c:pt>
              <c:pt idx="5">
                <c:v>ГШ200В</c:v>
              </c:pt>
              <c:pt idx="6">
                <c:v>2К52М</c:v>
              </c:pt>
              <c:pt idx="7">
                <c:v>РКУ10</c:v>
              </c:pt>
              <c:pt idx="8">
                <c:v>1ГШ68</c:v>
              </c:pt>
              <c:pt idx="9">
                <c:v>2ГШ68</c:v>
              </c:pt>
              <c:pt idx="10">
                <c:v>РКУ13</c:v>
              </c:pt>
              <c:pt idx="11">
                <c:v>ГШ500</c:v>
              </c:pt>
              <c:pt idx="12">
                <c:v>КШ1КГУ</c:v>
              </c:pt>
            </c:strLit>
          </c:cat>
          <c:val>
            <c:numLit>
              <c:formatCode>General</c:formatCode>
              <c:ptCount val="13"/>
              <c:pt idx="0">
                <c:v>0.8</c:v>
              </c:pt>
              <c:pt idx="1">
                <c:v>0.6</c:v>
              </c:pt>
              <c:pt idx="2">
                <c:v>0.6</c:v>
              </c:pt>
              <c:pt idx="3">
                <c:v>0.95</c:v>
              </c:pt>
              <c:pt idx="4">
                <c:v>0.95</c:v>
              </c:pt>
              <c:pt idx="5">
                <c:v>0.95</c:v>
              </c:pt>
              <c:pt idx="6">
                <c:v>1</c:v>
              </c:pt>
              <c:pt idx="7">
                <c:v>1.1000000000000001</c:v>
              </c:pt>
              <c:pt idx="8">
                <c:v>1.1000000000000001</c:v>
              </c:pt>
              <c:pt idx="9">
                <c:v>1.1000000000000001</c:v>
              </c:pt>
              <c:pt idx="10">
                <c:v>1.35</c:v>
              </c:pt>
              <c:pt idx="11">
                <c:v>1.3</c:v>
              </c:pt>
              <c:pt idx="12">
                <c:v>1.6</c:v>
              </c:pt>
            </c:numLit>
          </c:val>
        </c:ser>
        <c:ser>
          <c:idx val="1"/>
          <c:order val="1"/>
          <c:tx>
            <c:v>mmax</c:v>
          </c:tx>
          <c:spPr>
            <a:solidFill>
              <a:srgbClr val="993366"/>
            </a:solidFill>
            <a:ln w="12700">
              <a:solidFill>
                <a:srgbClr val="000000"/>
              </a:solidFill>
              <a:prstDash val="solid"/>
            </a:ln>
          </c:spPr>
          <c:invertIfNegative val="0"/>
          <c:cat>
            <c:strLit>
              <c:ptCount val="13"/>
              <c:pt idx="0">
                <c:v>1К101У</c:v>
              </c:pt>
              <c:pt idx="1">
                <c:v>К103М</c:v>
              </c:pt>
              <c:pt idx="2">
                <c:v>КА80</c:v>
              </c:pt>
              <c:pt idx="3">
                <c:v>1K101УД</c:v>
              </c:pt>
              <c:pt idx="4">
                <c:v>ГШ200Б</c:v>
              </c:pt>
              <c:pt idx="5">
                <c:v>ГШ200В</c:v>
              </c:pt>
              <c:pt idx="6">
                <c:v>2К52М</c:v>
              </c:pt>
              <c:pt idx="7">
                <c:v>РКУ10</c:v>
              </c:pt>
              <c:pt idx="8">
                <c:v>1ГШ68</c:v>
              </c:pt>
              <c:pt idx="9">
                <c:v>2ГШ68</c:v>
              </c:pt>
              <c:pt idx="10">
                <c:v>РКУ13</c:v>
              </c:pt>
              <c:pt idx="11">
                <c:v>ГШ500</c:v>
              </c:pt>
              <c:pt idx="12">
                <c:v>КШ1КГУ</c:v>
              </c:pt>
            </c:strLit>
          </c:cat>
          <c:val>
            <c:numLit>
              <c:formatCode>General</c:formatCode>
              <c:ptCount val="13"/>
              <c:pt idx="0">
                <c:v>1.2</c:v>
              </c:pt>
              <c:pt idx="1">
                <c:v>1.2</c:v>
              </c:pt>
              <c:pt idx="2">
                <c:v>1.2</c:v>
              </c:pt>
              <c:pt idx="3">
                <c:v>1.3</c:v>
              </c:pt>
              <c:pt idx="4">
                <c:v>1.5</c:v>
              </c:pt>
              <c:pt idx="5">
                <c:v>1.5</c:v>
              </c:pt>
              <c:pt idx="6">
                <c:v>1.7</c:v>
              </c:pt>
              <c:pt idx="7">
                <c:v>1.93</c:v>
              </c:pt>
              <c:pt idx="8">
                <c:v>2.5</c:v>
              </c:pt>
              <c:pt idx="9">
                <c:v>2.5</c:v>
              </c:pt>
              <c:pt idx="10">
                <c:v>2.6</c:v>
              </c:pt>
              <c:pt idx="11">
                <c:v>2.7</c:v>
              </c:pt>
              <c:pt idx="12">
                <c:v>3.2</c:v>
              </c:pt>
            </c:numLit>
          </c:val>
        </c:ser>
        <c:dLbls>
          <c:showLegendKey val="0"/>
          <c:showVal val="0"/>
          <c:showCatName val="0"/>
          <c:showSerName val="0"/>
          <c:showPercent val="0"/>
          <c:showBubbleSize val="0"/>
        </c:dLbls>
        <c:gapWidth val="150"/>
        <c:shape val="box"/>
        <c:axId val="45840640"/>
        <c:axId val="45846528"/>
        <c:axId val="0"/>
      </c:bar3DChart>
      <c:catAx>
        <c:axId val="4584064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RU"/>
          </a:p>
        </c:txPr>
        <c:crossAx val="45846528"/>
        <c:crosses val="autoZero"/>
        <c:auto val="1"/>
        <c:lblAlgn val="ctr"/>
        <c:lblOffset val="100"/>
        <c:tickLblSkip val="1"/>
        <c:tickMarkSkip val="1"/>
        <c:noMultiLvlLbl val="0"/>
      </c:catAx>
      <c:valAx>
        <c:axId val="4584652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RU"/>
          </a:p>
        </c:txPr>
        <c:crossAx val="45840640"/>
        <c:crosses val="autoZero"/>
        <c:crossBetween val="between"/>
        <c:majorUnit val="0.2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Cyr"/>
                <a:ea typeface="Arial Cyr"/>
                <a:cs typeface="Arial Cyr"/>
              </a:defRPr>
            </a:pPr>
            <a:r>
              <a:rPr lang="de-DE"/>
              <a:t>Verwenungsbereich der mechanische Ausbau
hinsichtlich der Flözmächtigkeit</a:t>
            </a:r>
          </a:p>
        </c:rich>
      </c:tx>
      <c:overlay val="0"/>
      <c:spPr>
        <a:noFill/>
        <a:ln w="25400">
          <a:noFill/>
        </a:ln>
      </c:spPr>
    </c:title>
    <c:autoTitleDeleted val="0"/>
    <c:view3D>
      <c:rotX val="15"/>
      <c:hPercent val="5"/>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Gewinnende Flötmächtigkeit, m minimale</c:v>
          </c:tx>
          <c:spPr>
            <a:solidFill>
              <a:srgbClr val="9999FF"/>
            </a:solidFill>
            <a:ln w="12700">
              <a:solidFill>
                <a:srgbClr val="000000"/>
              </a:solidFill>
              <a:prstDash val="solid"/>
            </a:ln>
          </c:spPr>
          <c:invertIfNegative val="0"/>
          <c:cat>
            <c:strLit>
              <c:ptCount val="13"/>
              <c:pt idx="0">
                <c:v>М103</c:v>
              </c:pt>
              <c:pt idx="1">
                <c:v>МК98</c:v>
              </c:pt>
              <c:pt idx="2">
                <c:v>Donbass80</c:v>
              </c:pt>
              <c:pt idx="3">
                <c:v>М137</c:v>
              </c:pt>
              <c:pt idx="4">
                <c:v>М88</c:v>
              </c:pt>
              <c:pt idx="5">
                <c:v>М87УМН</c:v>
              </c:pt>
              <c:pt idx="6">
                <c:v>М87УМП</c:v>
              </c:pt>
              <c:pt idx="7">
                <c:v>КД90</c:v>
              </c:pt>
              <c:pt idx="8">
                <c:v>МТ</c:v>
              </c:pt>
              <c:pt idx="9">
                <c:v>КДД</c:v>
              </c:pt>
              <c:pt idx="10">
                <c:v>МК75</c:v>
              </c:pt>
              <c:pt idx="11">
                <c:v>М138</c:v>
              </c:pt>
              <c:pt idx="12">
                <c:v>1УКП</c:v>
              </c:pt>
            </c:strLit>
          </c:cat>
          <c:val>
            <c:numLit>
              <c:formatCode>General</c:formatCode>
              <c:ptCount val="13"/>
              <c:pt idx="0">
                <c:v>0.75</c:v>
              </c:pt>
              <c:pt idx="1">
                <c:v>0.75</c:v>
              </c:pt>
              <c:pt idx="2">
                <c:v>0.85</c:v>
              </c:pt>
              <c:pt idx="3">
                <c:v>0.8</c:v>
              </c:pt>
              <c:pt idx="4">
                <c:v>0.95</c:v>
              </c:pt>
              <c:pt idx="5">
                <c:v>1.1499999999999999</c:v>
              </c:pt>
              <c:pt idx="6">
                <c:v>1.1499999999999999</c:v>
              </c:pt>
              <c:pt idx="7">
                <c:v>0.8</c:v>
              </c:pt>
              <c:pt idx="8">
                <c:v>1.1499999999999999</c:v>
              </c:pt>
              <c:pt idx="9">
                <c:v>1.35</c:v>
              </c:pt>
              <c:pt idx="10">
                <c:v>1.6</c:v>
              </c:pt>
              <c:pt idx="11">
                <c:v>1.1000000000000001</c:v>
              </c:pt>
              <c:pt idx="12">
                <c:v>1.2</c:v>
              </c:pt>
            </c:numLit>
          </c:val>
        </c:ser>
        <c:ser>
          <c:idx val="1"/>
          <c:order val="1"/>
          <c:tx>
            <c:v>Gewinnende Flötmächtigkeit, m maxima-le</c:v>
          </c:tx>
          <c:spPr>
            <a:solidFill>
              <a:srgbClr val="993366"/>
            </a:solidFill>
            <a:ln w="12700">
              <a:solidFill>
                <a:srgbClr val="000000"/>
              </a:solidFill>
              <a:prstDash val="solid"/>
            </a:ln>
          </c:spPr>
          <c:invertIfNegative val="0"/>
          <c:cat>
            <c:strLit>
              <c:ptCount val="13"/>
              <c:pt idx="0">
                <c:v>М103</c:v>
              </c:pt>
              <c:pt idx="1">
                <c:v>МК98</c:v>
              </c:pt>
              <c:pt idx="2">
                <c:v>Donbass80</c:v>
              </c:pt>
              <c:pt idx="3">
                <c:v>М137</c:v>
              </c:pt>
              <c:pt idx="4">
                <c:v>М88</c:v>
              </c:pt>
              <c:pt idx="5">
                <c:v>М87УМН</c:v>
              </c:pt>
              <c:pt idx="6">
                <c:v>М87УМП</c:v>
              </c:pt>
              <c:pt idx="7">
                <c:v>КД90</c:v>
              </c:pt>
              <c:pt idx="8">
                <c:v>МТ</c:v>
              </c:pt>
              <c:pt idx="9">
                <c:v>КДД</c:v>
              </c:pt>
              <c:pt idx="10">
                <c:v>МК75</c:v>
              </c:pt>
              <c:pt idx="11">
                <c:v>М138</c:v>
              </c:pt>
              <c:pt idx="12">
                <c:v>1УКП</c:v>
              </c:pt>
            </c:strLit>
          </c:cat>
          <c:val>
            <c:numLit>
              <c:formatCode>General</c:formatCode>
              <c:ptCount val="13"/>
              <c:pt idx="0">
                <c:v>0.95</c:v>
              </c:pt>
              <c:pt idx="1">
                <c:v>1.2</c:v>
              </c:pt>
              <c:pt idx="2">
                <c:v>1.2</c:v>
              </c:pt>
              <c:pt idx="3">
                <c:v>1.4</c:v>
              </c:pt>
              <c:pt idx="4">
                <c:v>1.4</c:v>
              </c:pt>
              <c:pt idx="5">
                <c:v>1.95</c:v>
              </c:pt>
              <c:pt idx="6">
                <c:v>1.95</c:v>
              </c:pt>
              <c:pt idx="7">
                <c:v>2</c:v>
              </c:pt>
              <c:pt idx="8">
                <c:v>2</c:v>
              </c:pt>
              <c:pt idx="9">
                <c:v>2</c:v>
              </c:pt>
              <c:pt idx="10">
                <c:v>2.2000000000000002</c:v>
              </c:pt>
              <c:pt idx="11">
                <c:v>2.5</c:v>
              </c:pt>
              <c:pt idx="12">
                <c:v>2.5</c:v>
              </c:pt>
            </c:numLit>
          </c:val>
        </c:ser>
        <c:dLbls>
          <c:showLegendKey val="0"/>
          <c:showVal val="0"/>
          <c:showCatName val="0"/>
          <c:showSerName val="0"/>
          <c:showPercent val="0"/>
          <c:showBubbleSize val="0"/>
        </c:dLbls>
        <c:gapWidth val="150"/>
        <c:shape val="box"/>
        <c:axId val="48050944"/>
        <c:axId val="48052480"/>
        <c:axId val="0"/>
      </c:bar3DChart>
      <c:catAx>
        <c:axId val="4805094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300" b="0" i="0" u="none" strike="noStrike" baseline="0">
                <a:solidFill>
                  <a:srgbClr val="000000"/>
                </a:solidFill>
                <a:latin typeface="Arial Cyr"/>
                <a:ea typeface="Arial Cyr"/>
                <a:cs typeface="Arial Cyr"/>
              </a:defRPr>
            </a:pPr>
            <a:endParaRPr lang="ru-RU"/>
          </a:p>
        </c:txPr>
        <c:crossAx val="48052480"/>
        <c:crosses val="autoZero"/>
        <c:auto val="1"/>
        <c:lblAlgn val="ctr"/>
        <c:lblOffset val="100"/>
        <c:tickLblSkip val="1"/>
        <c:tickMarkSkip val="1"/>
        <c:noMultiLvlLbl val="0"/>
      </c:catAx>
      <c:valAx>
        <c:axId val="4805248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Cyr"/>
                <a:ea typeface="Arial Cyr"/>
                <a:cs typeface="Arial Cyr"/>
              </a:defRPr>
            </a:pPr>
            <a:endParaRPr lang="ru-RU"/>
          </a:p>
        </c:txPr>
        <c:crossAx val="48050944"/>
        <c:crosses val="autoZero"/>
        <c:crossBetween val="between"/>
        <c:majorUnit val="0.2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75" b="1" i="0" u="none" strike="noStrike" baseline="0">
                <a:solidFill>
                  <a:srgbClr val="000000"/>
                </a:solidFill>
                <a:latin typeface="Arial Cyr"/>
                <a:ea typeface="Arial Cyr"/>
                <a:cs typeface="Arial Cyr"/>
              </a:defRPr>
            </a:pPr>
            <a:r>
              <a:rPr lang="de-DE"/>
              <a:t>Verwendungsbereich der Walzschrämladern hinsichtlich der Flözmächtigkeit</a:t>
            </a:r>
          </a:p>
        </c:rich>
      </c:tx>
      <c:overlay val="0"/>
      <c:spPr>
        <a:noFill/>
        <a:ln w="25400">
          <a:noFill/>
        </a:ln>
      </c:spPr>
    </c:title>
    <c:autoTitleDeleted val="0"/>
    <c:view3D>
      <c:rotX val="15"/>
      <c:hPercent val="6"/>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mmin</c:v>
          </c:tx>
          <c:spPr>
            <a:solidFill>
              <a:srgbClr val="9999FF"/>
            </a:solidFill>
            <a:ln w="12700">
              <a:solidFill>
                <a:srgbClr val="000000"/>
              </a:solidFill>
              <a:prstDash val="solid"/>
            </a:ln>
          </c:spPr>
          <c:invertIfNegative val="0"/>
          <c:cat>
            <c:strLit>
              <c:ptCount val="13"/>
              <c:pt idx="0">
                <c:v>1К101У</c:v>
              </c:pt>
              <c:pt idx="1">
                <c:v>К103М</c:v>
              </c:pt>
              <c:pt idx="2">
                <c:v>КА80</c:v>
              </c:pt>
              <c:pt idx="3">
                <c:v>1K101УД</c:v>
              </c:pt>
              <c:pt idx="4">
                <c:v>ГШ200Б</c:v>
              </c:pt>
              <c:pt idx="5">
                <c:v>ГШ200В</c:v>
              </c:pt>
              <c:pt idx="6">
                <c:v>2К52М</c:v>
              </c:pt>
              <c:pt idx="7">
                <c:v>РКУ10</c:v>
              </c:pt>
              <c:pt idx="8">
                <c:v>1ГШ68</c:v>
              </c:pt>
              <c:pt idx="9">
                <c:v>2ГШ68</c:v>
              </c:pt>
              <c:pt idx="10">
                <c:v>РКУ13</c:v>
              </c:pt>
              <c:pt idx="11">
                <c:v>ГШ500</c:v>
              </c:pt>
              <c:pt idx="12">
                <c:v>КШ1КГУ</c:v>
              </c:pt>
            </c:strLit>
          </c:cat>
          <c:val>
            <c:numLit>
              <c:formatCode>General</c:formatCode>
              <c:ptCount val="13"/>
              <c:pt idx="0">
                <c:v>0.8</c:v>
              </c:pt>
              <c:pt idx="1">
                <c:v>0.6</c:v>
              </c:pt>
              <c:pt idx="2">
                <c:v>0.6</c:v>
              </c:pt>
              <c:pt idx="3">
                <c:v>0.95</c:v>
              </c:pt>
              <c:pt idx="4">
                <c:v>0.95</c:v>
              </c:pt>
              <c:pt idx="5">
                <c:v>0.95</c:v>
              </c:pt>
              <c:pt idx="6">
                <c:v>1</c:v>
              </c:pt>
              <c:pt idx="7">
                <c:v>1.1000000000000001</c:v>
              </c:pt>
              <c:pt idx="8">
                <c:v>1.1000000000000001</c:v>
              </c:pt>
              <c:pt idx="9">
                <c:v>1.1000000000000001</c:v>
              </c:pt>
              <c:pt idx="10">
                <c:v>1.35</c:v>
              </c:pt>
              <c:pt idx="11">
                <c:v>1.3</c:v>
              </c:pt>
              <c:pt idx="12">
                <c:v>1.6</c:v>
              </c:pt>
            </c:numLit>
          </c:val>
        </c:ser>
        <c:ser>
          <c:idx val="1"/>
          <c:order val="1"/>
          <c:tx>
            <c:v>mmax</c:v>
          </c:tx>
          <c:spPr>
            <a:solidFill>
              <a:srgbClr val="993366"/>
            </a:solidFill>
            <a:ln w="12700">
              <a:solidFill>
                <a:srgbClr val="000000"/>
              </a:solidFill>
              <a:prstDash val="solid"/>
            </a:ln>
          </c:spPr>
          <c:invertIfNegative val="0"/>
          <c:cat>
            <c:strLit>
              <c:ptCount val="13"/>
              <c:pt idx="0">
                <c:v>1К101У</c:v>
              </c:pt>
              <c:pt idx="1">
                <c:v>К103М</c:v>
              </c:pt>
              <c:pt idx="2">
                <c:v>КА80</c:v>
              </c:pt>
              <c:pt idx="3">
                <c:v>1K101УД</c:v>
              </c:pt>
              <c:pt idx="4">
                <c:v>ГШ200Б</c:v>
              </c:pt>
              <c:pt idx="5">
                <c:v>ГШ200В</c:v>
              </c:pt>
              <c:pt idx="6">
                <c:v>2К52М</c:v>
              </c:pt>
              <c:pt idx="7">
                <c:v>РКУ10</c:v>
              </c:pt>
              <c:pt idx="8">
                <c:v>1ГШ68</c:v>
              </c:pt>
              <c:pt idx="9">
                <c:v>2ГШ68</c:v>
              </c:pt>
              <c:pt idx="10">
                <c:v>РКУ13</c:v>
              </c:pt>
              <c:pt idx="11">
                <c:v>ГШ500</c:v>
              </c:pt>
              <c:pt idx="12">
                <c:v>КШ1КГУ</c:v>
              </c:pt>
            </c:strLit>
          </c:cat>
          <c:val>
            <c:numLit>
              <c:formatCode>General</c:formatCode>
              <c:ptCount val="13"/>
              <c:pt idx="0">
                <c:v>1.2</c:v>
              </c:pt>
              <c:pt idx="1">
                <c:v>1.2</c:v>
              </c:pt>
              <c:pt idx="2">
                <c:v>1.2</c:v>
              </c:pt>
              <c:pt idx="3">
                <c:v>1.3</c:v>
              </c:pt>
              <c:pt idx="4">
                <c:v>1.5</c:v>
              </c:pt>
              <c:pt idx="5">
                <c:v>1.5</c:v>
              </c:pt>
              <c:pt idx="6">
                <c:v>1.7</c:v>
              </c:pt>
              <c:pt idx="7">
                <c:v>1.93</c:v>
              </c:pt>
              <c:pt idx="8">
                <c:v>2.5</c:v>
              </c:pt>
              <c:pt idx="9">
                <c:v>2.5</c:v>
              </c:pt>
              <c:pt idx="10">
                <c:v>2.6</c:v>
              </c:pt>
              <c:pt idx="11">
                <c:v>2.7</c:v>
              </c:pt>
              <c:pt idx="12">
                <c:v>3.2</c:v>
              </c:pt>
            </c:numLit>
          </c:val>
        </c:ser>
        <c:dLbls>
          <c:showLegendKey val="0"/>
          <c:showVal val="0"/>
          <c:showCatName val="0"/>
          <c:showSerName val="0"/>
          <c:showPercent val="0"/>
          <c:showBubbleSize val="0"/>
        </c:dLbls>
        <c:gapWidth val="150"/>
        <c:shape val="box"/>
        <c:axId val="48090112"/>
        <c:axId val="48091904"/>
        <c:axId val="0"/>
      </c:bar3DChart>
      <c:catAx>
        <c:axId val="4809011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RU"/>
          </a:p>
        </c:txPr>
        <c:crossAx val="48091904"/>
        <c:crosses val="autoZero"/>
        <c:auto val="1"/>
        <c:lblAlgn val="ctr"/>
        <c:lblOffset val="100"/>
        <c:tickLblSkip val="1"/>
        <c:tickMarkSkip val="1"/>
        <c:noMultiLvlLbl val="0"/>
      </c:catAx>
      <c:valAx>
        <c:axId val="4809190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RU"/>
          </a:p>
        </c:txPr>
        <c:crossAx val="48090112"/>
        <c:crosses val="autoZero"/>
        <c:crossBetween val="between"/>
        <c:majorUnit val="0.2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none"/>
          </c:marker>
          <c:xVal>
            <c:numRef>
              <c:f>обор!#REF!</c:f>
              <c:numCache>
                <c:formatCode>General</c:formatCode>
                <c:ptCount val="1"/>
                <c:pt idx="0">
                  <c:v>1</c:v>
                </c:pt>
              </c:numCache>
            </c:numRef>
          </c:xVal>
          <c:yVal>
            <c:numRef>
              <c:f>обор!#REF!</c:f>
              <c:numCache>
                <c:formatCode>General</c:formatCode>
                <c:ptCount val="1"/>
                <c:pt idx="0">
                  <c:v>1</c:v>
                </c:pt>
              </c:numCache>
            </c:numRef>
          </c:yVal>
          <c:smooth val="1"/>
        </c:ser>
        <c:dLbls>
          <c:showLegendKey val="0"/>
          <c:showVal val="0"/>
          <c:showCatName val="0"/>
          <c:showSerName val="0"/>
          <c:showPercent val="0"/>
          <c:showBubbleSize val="0"/>
        </c:dLbls>
        <c:axId val="48116096"/>
        <c:axId val="48118016"/>
      </c:scatterChart>
      <c:valAx>
        <c:axId val="48116096"/>
        <c:scaling>
          <c:orientation val="minMax"/>
        </c:scaling>
        <c:delete val="0"/>
        <c:axPos val="b"/>
        <c:title>
          <c:tx>
            <c:rich>
              <a:bodyPr/>
              <a:lstStyle/>
              <a:p>
                <a:pPr>
                  <a:defRPr sz="225" b="1" i="0" u="none" strike="noStrike" baseline="0">
                    <a:solidFill>
                      <a:srgbClr val="000000"/>
                    </a:solidFill>
                    <a:latin typeface="Arial Cyr"/>
                    <a:ea typeface="Arial Cyr"/>
                    <a:cs typeface="Arial Cyr"/>
                  </a:defRPr>
                </a:pPr>
                <a:r>
                  <a:rPr lang="ru-RU"/>
                  <a:t>размер пая, м</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25" b="0" i="0" u="none" strike="noStrike" baseline="0">
                <a:solidFill>
                  <a:srgbClr val="000000"/>
                </a:solidFill>
                <a:latin typeface="Arial Cyr"/>
                <a:ea typeface="Arial Cyr"/>
                <a:cs typeface="Arial Cyr"/>
              </a:defRPr>
            </a:pPr>
            <a:endParaRPr lang="ru-RU"/>
          </a:p>
        </c:txPr>
        <c:crossAx val="48118016"/>
        <c:crosses val="autoZero"/>
        <c:crossBetween val="midCat"/>
      </c:valAx>
      <c:valAx>
        <c:axId val="48118016"/>
        <c:scaling>
          <c:orientation val="minMax"/>
        </c:scaling>
        <c:delete val="0"/>
        <c:axPos val="l"/>
        <c:majorGridlines>
          <c:spPr>
            <a:ln w="3175">
              <a:solidFill>
                <a:srgbClr val="000000"/>
              </a:solidFill>
              <a:prstDash val="solid"/>
            </a:ln>
          </c:spPr>
        </c:majorGridlines>
        <c:title>
          <c:tx>
            <c:rich>
              <a:bodyPr/>
              <a:lstStyle/>
              <a:p>
                <a:pPr>
                  <a:defRPr sz="225" b="1" i="0" u="none" strike="noStrike" baseline="0">
                    <a:solidFill>
                      <a:srgbClr val="000000"/>
                    </a:solidFill>
                    <a:latin typeface="Arial Cyr"/>
                    <a:ea typeface="Arial Cyr"/>
                    <a:cs typeface="Arial Cyr"/>
                  </a:defRPr>
                </a:pPr>
                <a:r>
                  <a:rPr lang="ru-RU"/>
                  <a:t>% выполнения нормы выработки</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25" b="0" i="0" u="none" strike="noStrike" baseline="0">
                <a:solidFill>
                  <a:srgbClr val="000000"/>
                </a:solidFill>
                <a:latin typeface="Arial Cyr"/>
                <a:ea typeface="Arial Cyr"/>
                <a:cs typeface="Arial Cyr"/>
              </a:defRPr>
            </a:pPr>
            <a:endParaRPr lang="ru-RU"/>
          </a:p>
        </c:txPr>
        <c:crossAx val="48116096"/>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Cyr"/>
                <a:ea typeface="Arial Cyr"/>
                <a:cs typeface="Arial Cyr"/>
              </a:defRPr>
            </a:pPr>
            <a:r>
              <a:rPr lang="ru-RU"/>
              <a:t>Норма расхода ВВ</a:t>
            </a:r>
          </a:p>
        </c:rich>
      </c:tx>
      <c:layout>
        <c:manualLayout>
          <c:xMode val="edge"/>
          <c:yMode val="edge"/>
          <c:x val="0.17311609633701447"/>
          <c:y val="4.5454572415736166E-2"/>
        </c:manualLayout>
      </c:layout>
      <c:overlay val="0"/>
      <c:spPr>
        <a:noFill/>
        <a:ln w="25400">
          <a:noFill/>
        </a:ln>
      </c:spPr>
    </c:title>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xVal>
            <c:numLit>
              <c:formatCode>General</c:formatCode>
              <c:ptCount val="8"/>
              <c:pt idx="0">
                <c:v>4</c:v>
              </c:pt>
              <c:pt idx="1">
                <c:v>6</c:v>
              </c:pt>
              <c:pt idx="2">
                <c:v>8</c:v>
              </c:pt>
              <c:pt idx="3">
                <c:v>10</c:v>
              </c:pt>
              <c:pt idx="4">
                <c:v>12</c:v>
              </c:pt>
              <c:pt idx="5">
                <c:v>14</c:v>
              </c:pt>
              <c:pt idx="6">
                <c:v>16</c:v>
              </c:pt>
              <c:pt idx="7">
                <c:v>18</c:v>
              </c:pt>
            </c:numLit>
          </c:xVal>
          <c:yVal>
            <c:numLit>
              <c:formatCode>General</c:formatCode>
              <c:ptCount val="8"/>
              <c:pt idx="0">
                <c:v>7.28</c:v>
              </c:pt>
              <c:pt idx="1">
                <c:v>9.3000000000000007</c:v>
              </c:pt>
              <c:pt idx="2">
                <c:v>11.04</c:v>
              </c:pt>
              <c:pt idx="3">
                <c:v>12.06</c:v>
              </c:pt>
              <c:pt idx="4">
                <c:v>14.04</c:v>
              </c:pt>
              <c:pt idx="5">
                <c:v>15.4</c:v>
              </c:pt>
              <c:pt idx="6">
                <c:v>16.64</c:v>
              </c:pt>
              <c:pt idx="7">
                <c:v>17.82</c:v>
              </c:pt>
            </c:numLit>
          </c:yVal>
          <c:smooth val="1"/>
        </c:ser>
        <c:dLbls>
          <c:showLegendKey val="0"/>
          <c:showVal val="0"/>
          <c:showCatName val="0"/>
          <c:showSerName val="0"/>
          <c:showPercent val="0"/>
          <c:showBubbleSize val="0"/>
        </c:dLbls>
        <c:axId val="48133632"/>
        <c:axId val="48135552"/>
      </c:scatterChart>
      <c:valAx>
        <c:axId val="481336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48135552"/>
        <c:crosses val="autoZero"/>
        <c:crossBetween val="midCat"/>
      </c:valAx>
      <c:valAx>
        <c:axId val="4813555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48133632"/>
        <c:crosses val="autoZero"/>
        <c:crossBetween val="midCat"/>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itle>
    <c:autoTitleDeleted val="0"/>
    <c:plotArea>
      <c:layout/>
      <c:scatterChart>
        <c:scatterStyle val="smoothMarker"/>
        <c:varyColors val="0"/>
        <c:ser>
          <c:idx val="0"/>
          <c:order val="0"/>
          <c:tx>
            <c:v>#ССЫЛКА!</c:v>
          </c:tx>
          <c:marker>
            <c:symbol val="diamond"/>
            <c:size val="7"/>
          </c:marker>
          <c:trendline>
            <c:trendlineType val="power"/>
            <c:dispRSqr val="0"/>
            <c:dispEq val="0"/>
          </c:trendline>
          <c:trendline>
            <c:trendlineType val="linear"/>
            <c:dispRSqr val="0"/>
            <c:dispEq val="1"/>
            <c:trendlineLbl>
              <c:layout>
                <c:manualLayout>
                  <c:x val="0.32871391076115486"/>
                  <c:y val="-9.2950933216681242E-2"/>
                </c:manualLayout>
              </c:layout>
              <c:numFmt formatCode="General" sourceLinked="0"/>
              <c:spPr>
                <a:noFill/>
                <a:ln w="25400">
                  <a:noFill/>
                </a:ln>
              </c:spPr>
            </c:trendlineLbl>
          </c:trendline>
          <c:xVal>
            <c:numLit>
              <c:formatCode>General</c:formatCode>
              <c:ptCount val="1"/>
              <c:pt idx="0">
                <c:v>0</c:v>
              </c:pt>
            </c:numLit>
          </c:xVal>
          <c:yVal>
            <c:numLit>
              <c:formatCode>General</c:formatCode>
              <c:ptCount val="1"/>
              <c:pt idx="0">
                <c:v>0</c:v>
              </c:pt>
            </c:numLit>
          </c:yVal>
          <c:smooth val="1"/>
        </c:ser>
        <c:dLbls>
          <c:showLegendKey val="0"/>
          <c:showVal val="0"/>
          <c:showCatName val="0"/>
          <c:showSerName val="0"/>
          <c:showPercent val="0"/>
          <c:showBubbleSize val="0"/>
        </c:dLbls>
        <c:axId val="48641152"/>
        <c:axId val="48642688"/>
      </c:scatterChart>
      <c:valAx>
        <c:axId val="48641152"/>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ru-RU"/>
          </a:p>
        </c:txPr>
        <c:crossAx val="48642688"/>
        <c:crosses val="autoZero"/>
        <c:crossBetween val="midCat"/>
      </c:valAx>
      <c:valAx>
        <c:axId val="48642688"/>
        <c:scaling>
          <c:orientation val="minMax"/>
        </c:scaling>
        <c:delete val="0"/>
        <c:axPos val="l"/>
        <c:majorGridlines/>
        <c:numFmt formatCode="General" sourceLinked="1"/>
        <c:majorTickMark val="out"/>
        <c:minorTickMark val="none"/>
        <c:tickLblPos val="nextTo"/>
        <c:crossAx val="48641152"/>
        <c:crosses val="autoZero"/>
        <c:crossBetween val="midCat"/>
      </c:valAx>
    </c:plotArea>
    <c:legend>
      <c:legendPos val="r"/>
      <c:overlay val="0"/>
    </c:legend>
    <c:plotVisOnly val="1"/>
    <c:dispBlanksAs val="gap"/>
    <c:showDLblsOverMax val="0"/>
  </c:chart>
  <c:printSettings>
    <c:headerFooter alignWithMargins="0"/>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75" b="1" i="0" u="none" strike="noStrike" baseline="0">
                <a:solidFill>
                  <a:srgbClr val="000000"/>
                </a:solidFill>
                <a:latin typeface="Arial Cyr"/>
                <a:ea typeface="Arial Cyr"/>
                <a:cs typeface="Arial Cyr"/>
              </a:defRPr>
            </a:pPr>
            <a:r>
              <a:rPr lang="de-DE"/>
              <a:t>Verwendungsbereich der Walzschrämladern hinsichtlich der Flözmächtigkeit</a:t>
            </a:r>
          </a:p>
        </c:rich>
      </c:tx>
      <c:overlay val="0"/>
      <c:spPr>
        <a:noFill/>
        <a:ln w="25400">
          <a:noFill/>
        </a:ln>
      </c:spPr>
    </c:title>
    <c:autoTitleDeleted val="0"/>
    <c:view3D>
      <c:rotX val="15"/>
      <c:hPercent val="7"/>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mmin</c:v>
          </c:tx>
          <c:spPr>
            <a:solidFill>
              <a:srgbClr val="9999FF"/>
            </a:solidFill>
            <a:ln w="12700">
              <a:solidFill>
                <a:srgbClr val="000000"/>
              </a:solidFill>
              <a:prstDash val="solid"/>
            </a:ln>
          </c:spPr>
          <c:invertIfNegative val="0"/>
          <c:cat>
            <c:strLit>
              <c:ptCount val="13"/>
              <c:pt idx="0">
                <c:v>1К101У</c:v>
              </c:pt>
              <c:pt idx="1">
                <c:v>К103М</c:v>
              </c:pt>
              <c:pt idx="2">
                <c:v>КА80</c:v>
              </c:pt>
              <c:pt idx="3">
                <c:v>1K101УД</c:v>
              </c:pt>
              <c:pt idx="4">
                <c:v>ГШ200Б</c:v>
              </c:pt>
              <c:pt idx="5">
                <c:v>ГШ200В</c:v>
              </c:pt>
              <c:pt idx="6">
                <c:v>2К52М</c:v>
              </c:pt>
              <c:pt idx="7">
                <c:v>РКУ10</c:v>
              </c:pt>
              <c:pt idx="8">
                <c:v>1ГШ68</c:v>
              </c:pt>
              <c:pt idx="9">
                <c:v>2ГШ68</c:v>
              </c:pt>
              <c:pt idx="10">
                <c:v>РКУ13</c:v>
              </c:pt>
              <c:pt idx="11">
                <c:v>ГШ500</c:v>
              </c:pt>
              <c:pt idx="12">
                <c:v>КШ1КГУ</c:v>
              </c:pt>
            </c:strLit>
          </c:cat>
          <c:val>
            <c:numLit>
              <c:formatCode>General</c:formatCode>
              <c:ptCount val="13"/>
              <c:pt idx="0">
                <c:v>0.8</c:v>
              </c:pt>
              <c:pt idx="1">
                <c:v>0.6</c:v>
              </c:pt>
              <c:pt idx="2">
                <c:v>0.6</c:v>
              </c:pt>
              <c:pt idx="3">
                <c:v>0.95</c:v>
              </c:pt>
              <c:pt idx="4">
                <c:v>0.95</c:v>
              </c:pt>
              <c:pt idx="5">
                <c:v>0.95</c:v>
              </c:pt>
              <c:pt idx="6">
                <c:v>1</c:v>
              </c:pt>
              <c:pt idx="7">
                <c:v>1.1000000000000001</c:v>
              </c:pt>
              <c:pt idx="8">
                <c:v>1.1000000000000001</c:v>
              </c:pt>
              <c:pt idx="9">
                <c:v>1.1000000000000001</c:v>
              </c:pt>
              <c:pt idx="10">
                <c:v>1.35</c:v>
              </c:pt>
              <c:pt idx="11">
                <c:v>1.3</c:v>
              </c:pt>
              <c:pt idx="12">
                <c:v>1.6</c:v>
              </c:pt>
            </c:numLit>
          </c:val>
        </c:ser>
        <c:ser>
          <c:idx val="1"/>
          <c:order val="1"/>
          <c:tx>
            <c:v>mmax</c:v>
          </c:tx>
          <c:spPr>
            <a:solidFill>
              <a:srgbClr val="993366"/>
            </a:solidFill>
            <a:ln w="12700">
              <a:solidFill>
                <a:srgbClr val="000000"/>
              </a:solidFill>
              <a:prstDash val="solid"/>
            </a:ln>
          </c:spPr>
          <c:invertIfNegative val="0"/>
          <c:cat>
            <c:strLit>
              <c:ptCount val="13"/>
              <c:pt idx="0">
                <c:v>1К101У</c:v>
              </c:pt>
              <c:pt idx="1">
                <c:v>К103М</c:v>
              </c:pt>
              <c:pt idx="2">
                <c:v>КА80</c:v>
              </c:pt>
              <c:pt idx="3">
                <c:v>1K101УД</c:v>
              </c:pt>
              <c:pt idx="4">
                <c:v>ГШ200Б</c:v>
              </c:pt>
              <c:pt idx="5">
                <c:v>ГШ200В</c:v>
              </c:pt>
              <c:pt idx="6">
                <c:v>2К52М</c:v>
              </c:pt>
              <c:pt idx="7">
                <c:v>РКУ10</c:v>
              </c:pt>
              <c:pt idx="8">
                <c:v>1ГШ68</c:v>
              </c:pt>
              <c:pt idx="9">
                <c:v>2ГШ68</c:v>
              </c:pt>
              <c:pt idx="10">
                <c:v>РКУ13</c:v>
              </c:pt>
              <c:pt idx="11">
                <c:v>ГШ500</c:v>
              </c:pt>
              <c:pt idx="12">
                <c:v>КШ1КГУ</c:v>
              </c:pt>
            </c:strLit>
          </c:cat>
          <c:val>
            <c:numLit>
              <c:formatCode>General</c:formatCode>
              <c:ptCount val="13"/>
              <c:pt idx="0">
                <c:v>1.2</c:v>
              </c:pt>
              <c:pt idx="1">
                <c:v>1.2</c:v>
              </c:pt>
              <c:pt idx="2">
                <c:v>1.2</c:v>
              </c:pt>
              <c:pt idx="3">
                <c:v>1.3</c:v>
              </c:pt>
              <c:pt idx="4">
                <c:v>1.5</c:v>
              </c:pt>
              <c:pt idx="5">
                <c:v>1.5</c:v>
              </c:pt>
              <c:pt idx="6">
                <c:v>1.7</c:v>
              </c:pt>
              <c:pt idx="7">
                <c:v>1.93</c:v>
              </c:pt>
              <c:pt idx="8">
                <c:v>2.5</c:v>
              </c:pt>
              <c:pt idx="9">
                <c:v>2.5</c:v>
              </c:pt>
              <c:pt idx="10">
                <c:v>2.6</c:v>
              </c:pt>
              <c:pt idx="11">
                <c:v>2.7</c:v>
              </c:pt>
              <c:pt idx="12">
                <c:v>3.2</c:v>
              </c:pt>
            </c:numLit>
          </c:val>
        </c:ser>
        <c:dLbls>
          <c:showLegendKey val="0"/>
          <c:showVal val="0"/>
          <c:showCatName val="0"/>
          <c:showSerName val="0"/>
          <c:showPercent val="0"/>
          <c:showBubbleSize val="0"/>
        </c:dLbls>
        <c:gapWidth val="150"/>
        <c:shape val="box"/>
        <c:axId val="48320896"/>
        <c:axId val="48322432"/>
        <c:axId val="0"/>
      </c:bar3DChart>
      <c:catAx>
        <c:axId val="4832089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RU"/>
          </a:p>
        </c:txPr>
        <c:crossAx val="48322432"/>
        <c:crosses val="autoZero"/>
        <c:auto val="1"/>
        <c:lblAlgn val="ctr"/>
        <c:lblOffset val="100"/>
        <c:tickLblSkip val="1"/>
        <c:tickMarkSkip val="1"/>
        <c:noMultiLvlLbl val="0"/>
      </c:catAx>
      <c:valAx>
        <c:axId val="4832243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RU"/>
          </a:p>
        </c:txPr>
        <c:crossAx val="48320896"/>
        <c:crosses val="autoZero"/>
        <c:crossBetween val="between"/>
        <c:majorUnit val="0.2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Cyr"/>
                <a:ea typeface="Arial Cyr"/>
                <a:cs typeface="Arial Cyr"/>
              </a:defRPr>
            </a:pPr>
            <a:r>
              <a:rPr lang="de-DE"/>
              <a:t>Verwenungsbereich der mechanische Ausbau
hinsichtlich der Flözmächtigkeit</a:t>
            </a:r>
          </a:p>
        </c:rich>
      </c:tx>
      <c:overlay val="0"/>
      <c:spPr>
        <a:noFill/>
        <a:ln w="25400">
          <a:noFill/>
        </a:ln>
      </c:spPr>
    </c:title>
    <c:autoTitleDeleted val="0"/>
    <c:view3D>
      <c:rotX val="15"/>
      <c:hPercent val="5"/>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Gewinnende Flötmächtigkeit, m minimale</c:v>
          </c:tx>
          <c:spPr>
            <a:solidFill>
              <a:srgbClr val="9999FF"/>
            </a:solidFill>
            <a:ln w="12700">
              <a:solidFill>
                <a:srgbClr val="000000"/>
              </a:solidFill>
              <a:prstDash val="solid"/>
            </a:ln>
          </c:spPr>
          <c:invertIfNegative val="0"/>
          <c:cat>
            <c:strLit>
              <c:ptCount val="13"/>
              <c:pt idx="0">
                <c:v>М103</c:v>
              </c:pt>
              <c:pt idx="1">
                <c:v>МК98</c:v>
              </c:pt>
              <c:pt idx="2">
                <c:v>Donbass80</c:v>
              </c:pt>
              <c:pt idx="3">
                <c:v>М137</c:v>
              </c:pt>
              <c:pt idx="4">
                <c:v>М88</c:v>
              </c:pt>
              <c:pt idx="5">
                <c:v>М87УМН</c:v>
              </c:pt>
              <c:pt idx="6">
                <c:v>М87УМП</c:v>
              </c:pt>
              <c:pt idx="7">
                <c:v>КД90</c:v>
              </c:pt>
              <c:pt idx="8">
                <c:v>МТ</c:v>
              </c:pt>
              <c:pt idx="9">
                <c:v>КДД</c:v>
              </c:pt>
              <c:pt idx="10">
                <c:v>МК75</c:v>
              </c:pt>
              <c:pt idx="11">
                <c:v>М138</c:v>
              </c:pt>
              <c:pt idx="12">
                <c:v>1УКП</c:v>
              </c:pt>
            </c:strLit>
          </c:cat>
          <c:val>
            <c:numLit>
              <c:formatCode>General</c:formatCode>
              <c:ptCount val="13"/>
              <c:pt idx="0">
                <c:v>0.75</c:v>
              </c:pt>
              <c:pt idx="1">
                <c:v>0.75</c:v>
              </c:pt>
              <c:pt idx="2">
                <c:v>0.85</c:v>
              </c:pt>
              <c:pt idx="3">
                <c:v>0.8</c:v>
              </c:pt>
              <c:pt idx="4">
                <c:v>0.95</c:v>
              </c:pt>
              <c:pt idx="5">
                <c:v>1.1499999999999999</c:v>
              </c:pt>
              <c:pt idx="6">
                <c:v>1.1499999999999999</c:v>
              </c:pt>
              <c:pt idx="7">
                <c:v>0.8</c:v>
              </c:pt>
              <c:pt idx="8">
                <c:v>1.1499999999999999</c:v>
              </c:pt>
              <c:pt idx="9">
                <c:v>1.35</c:v>
              </c:pt>
              <c:pt idx="10">
                <c:v>1.6</c:v>
              </c:pt>
              <c:pt idx="11">
                <c:v>1.1000000000000001</c:v>
              </c:pt>
              <c:pt idx="12">
                <c:v>1.2</c:v>
              </c:pt>
            </c:numLit>
          </c:val>
        </c:ser>
        <c:ser>
          <c:idx val="1"/>
          <c:order val="1"/>
          <c:tx>
            <c:v>Gewinnende Flötmächtigkeit, m maxima-le</c:v>
          </c:tx>
          <c:spPr>
            <a:solidFill>
              <a:srgbClr val="993366"/>
            </a:solidFill>
            <a:ln w="12700">
              <a:solidFill>
                <a:srgbClr val="000000"/>
              </a:solidFill>
              <a:prstDash val="solid"/>
            </a:ln>
          </c:spPr>
          <c:invertIfNegative val="0"/>
          <c:cat>
            <c:strLit>
              <c:ptCount val="13"/>
              <c:pt idx="0">
                <c:v>М103</c:v>
              </c:pt>
              <c:pt idx="1">
                <c:v>МК98</c:v>
              </c:pt>
              <c:pt idx="2">
                <c:v>Donbass80</c:v>
              </c:pt>
              <c:pt idx="3">
                <c:v>М137</c:v>
              </c:pt>
              <c:pt idx="4">
                <c:v>М88</c:v>
              </c:pt>
              <c:pt idx="5">
                <c:v>М87УМН</c:v>
              </c:pt>
              <c:pt idx="6">
                <c:v>М87УМП</c:v>
              </c:pt>
              <c:pt idx="7">
                <c:v>КД90</c:v>
              </c:pt>
              <c:pt idx="8">
                <c:v>МТ</c:v>
              </c:pt>
              <c:pt idx="9">
                <c:v>КДД</c:v>
              </c:pt>
              <c:pt idx="10">
                <c:v>МК75</c:v>
              </c:pt>
              <c:pt idx="11">
                <c:v>М138</c:v>
              </c:pt>
              <c:pt idx="12">
                <c:v>1УКП</c:v>
              </c:pt>
            </c:strLit>
          </c:cat>
          <c:val>
            <c:numLit>
              <c:formatCode>General</c:formatCode>
              <c:ptCount val="13"/>
              <c:pt idx="0">
                <c:v>0.95</c:v>
              </c:pt>
              <c:pt idx="1">
                <c:v>1.2</c:v>
              </c:pt>
              <c:pt idx="2">
                <c:v>1.2</c:v>
              </c:pt>
              <c:pt idx="3">
                <c:v>1.4</c:v>
              </c:pt>
              <c:pt idx="4">
                <c:v>1.4</c:v>
              </c:pt>
              <c:pt idx="5">
                <c:v>1.95</c:v>
              </c:pt>
              <c:pt idx="6">
                <c:v>1.95</c:v>
              </c:pt>
              <c:pt idx="7">
                <c:v>2</c:v>
              </c:pt>
              <c:pt idx="8">
                <c:v>2</c:v>
              </c:pt>
              <c:pt idx="9">
                <c:v>2</c:v>
              </c:pt>
              <c:pt idx="10">
                <c:v>2.2000000000000002</c:v>
              </c:pt>
              <c:pt idx="11">
                <c:v>2.5</c:v>
              </c:pt>
              <c:pt idx="12">
                <c:v>2.5</c:v>
              </c:pt>
            </c:numLit>
          </c:val>
        </c:ser>
        <c:dLbls>
          <c:showLegendKey val="0"/>
          <c:showVal val="0"/>
          <c:showCatName val="0"/>
          <c:showSerName val="0"/>
          <c:showPercent val="0"/>
          <c:showBubbleSize val="0"/>
        </c:dLbls>
        <c:gapWidth val="150"/>
        <c:shape val="box"/>
        <c:axId val="48339584"/>
        <c:axId val="48357760"/>
        <c:axId val="0"/>
      </c:bar3DChart>
      <c:catAx>
        <c:axId val="4833958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300" b="0" i="0" u="none" strike="noStrike" baseline="0">
                <a:solidFill>
                  <a:srgbClr val="000000"/>
                </a:solidFill>
                <a:latin typeface="Arial Cyr"/>
                <a:ea typeface="Arial Cyr"/>
                <a:cs typeface="Arial Cyr"/>
              </a:defRPr>
            </a:pPr>
            <a:endParaRPr lang="ru-RU"/>
          </a:p>
        </c:txPr>
        <c:crossAx val="48357760"/>
        <c:crosses val="autoZero"/>
        <c:auto val="1"/>
        <c:lblAlgn val="ctr"/>
        <c:lblOffset val="100"/>
        <c:tickLblSkip val="1"/>
        <c:tickMarkSkip val="1"/>
        <c:noMultiLvlLbl val="0"/>
      </c:catAx>
      <c:valAx>
        <c:axId val="4835776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Cyr"/>
                <a:ea typeface="Arial Cyr"/>
                <a:cs typeface="Arial Cyr"/>
              </a:defRPr>
            </a:pPr>
            <a:endParaRPr lang="ru-RU"/>
          </a:p>
        </c:txPr>
        <c:crossAx val="48339584"/>
        <c:crosses val="autoZero"/>
        <c:crossBetween val="between"/>
        <c:majorUnit val="0.2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29866141365885E-2"/>
          <c:y val="0.11392452006081907"/>
          <c:w val="0.81194459524437346"/>
          <c:h val="0.59071973364869157"/>
        </c:manualLayout>
      </c:layout>
      <c:scatterChart>
        <c:scatterStyle val="smoothMarker"/>
        <c:varyColors val="0"/>
        <c:ser>
          <c:idx val="0"/>
          <c:order val="0"/>
          <c:tx>
            <c:strRef>
              <c:f>kursovoy!$A$319</c:f>
              <c:strCache>
                <c:ptCount val="1"/>
                <c:pt idx="0">
                  <c:v>Срок службы шахты при данной проектной мощности, год, вычисленный по формулеычи                                  Тш= Zп/А+0,25То+0,5Тз  </c:v>
                </c:pt>
              </c:strCache>
            </c:strRef>
          </c:tx>
          <c:spPr>
            <a:ln w="25400">
              <a:solidFill>
                <a:srgbClr val="000080"/>
              </a:solidFill>
              <a:prstDash val="solid"/>
            </a:ln>
          </c:spPr>
          <c:marker>
            <c:symbol val="diamond"/>
            <c:size val="7"/>
            <c:spPr>
              <a:solidFill>
                <a:srgbClr val="000080"/>
              </a:solidFill>
              <a:ln>
                <a:solidFill>
                  <a:srgbClr val="000080"/>
                </a:solidFill>
                <a:prstDash val="solid"/>
              </a:ln>
            </c:spPr>
          </c:marker>
          <c:xVal>
            <c:numRef>
              <c:f>kursovoy!$B$315:$J$315</c:f>
              <c:numCache>
                <c:formatCode>General</c:formatCode>
                <c:ptCount val="9"/>
                <c:pt idx="0">
                  <c:v>0.6</c:v>
                </c:pt>
                <c:pt idx="1">
                  <c:v>0.9</c:v>
                </c:pt>
                <c:pt idx="2">
                  <c:v>1.2</c:v>
                </c:pt>
                <c:pt idx="3">
                  <c:v>1.5</c:v>
                </c:pt>
                <c:pt idx="4">
                  <c:v>1.8</c:v>
                </c:pt>
                <c:pt idx="5">
                  <c:v>2.1</c:v>
                </c:pt>
                <c:pt idx="6">
                  <c:v>2.4</c:v>
                </c:pt>
                <c:pt idx="7">
                  <c:v>2.7</c:v>
                </c:pt>
                <c:pt idx="8">
                  <c:v>3</c:v>
                </c:pt>
              </c:numCache>
            </c:numRef>
          </c:xVal>
          <c:yVal>
            <c:numRef>
              <c:f>kursovoy!$B$319:$J$319</c:f>
              <c:numCache>
                <c:formatCode>0</c:formatCode>
                <c:ptCount val="9"/>
                <c:pt idx="0">
                  <c:v>0</c:v>
                </c:pt>
                <c:pt idx="1">
                  <c:v>0</c:v>
                </c:pt>
                <c:pt idx="2">
                  <c:v>0</c:v>
                </c:pt>
                <c:pt idx="3">
                  <c:v>0</c:v>
                </c:pt>
                <c:pt idx="4">
                  <c:v>0</c:v>
                </c:pt>
                <c:pt idx="5">
                  <c:v>0</c:v>
                </c:pt>
                <c:pt idx="6">
                  <c:v>0</c:v>
                </c:pt>
                <c:pt idx="7">
                  <c:v>0</c:v>
                </c:pt>
                <c:pt idx="8">
                  <c:v>0</c:v>
                </c:pt>
              </c:numCache>
            </c:numRef>
          </c:yVal>
          <c:smooth val="1"/>
        </c:ser>
        <c:ser>
          <c:idx val="1"/>
          <c:order val="1"/>
          <c:tx>
            <c:strRef>
              <c:f>kursovoy!$A$317</c:f>
              <c:strCache>
                <c:ptCount val="1"/>
                <c:pt idx="0">
                  <c:v>Рекомендуемый предел срока службы шахты, год</c:v>
                </c:pt>
              </c:strCache>
            </c:strRef>
          </c:tx>
          <c:spPr>
            <a:ln w="25400">
              <a:solidFill>
                <a:srgbClr val="000000"/>
              </a:solidFill>
              <a:prstDash val="solid"/>
            </a:ln>
          </c:spPr>
          <c:marker>
            <c:symbol val="square"/>
            <c:size val="7"/>
            <c:spPr>
              <a:solidFill>
                <a:srgbClr val="FF00FF"/>
              </a:solidFill>
              <a:ln>
                <a:solidFill>
                  <a:srgbClr val="FF00FF"/>
                </a:solidFill>
                <a:prstDash val="solid"/>
              </a:ln>
            </c:spPr>
          </c:marker>
          <c:xVal>
            <c:numRef>
              <c:f>kursovoy!$B$315:$J$315</c:f>
              <c:numCache>
                <c:formatCode>General</c:formatCode>
                <c:ptCount val="9"/>
                <c:pt idx="0">
                  <c:v>0.6</c:v>
                </c:pt>
                <c:pt idx="1">
                  <c:v>0.9</c:v>
                </c:pt>
                <c:pt idx="2">
                  <c:v>1.2</c:v>
                </c:pt>
                <c:pt idx="3">
                  <c:v>1.5</c:v>
                </c:pt>
                <c:pt idx="4">
                  <c:v>1.8</c:v>
                </c:pt>
                <c:pt idx="5">
                  <c:v>2.1</c:v>
                </c:pt>
                <c:pt idx="6">
                  <c:v>2.4</c:v>
                </c:pt>
                <c:pt idx="7">
                  <c:v>2.7</c:v>
                </c:pt>
                <c:pt idx="8">
                  <c:v>3</c:v>
                </c:pt>
              </c:numCache>
            </c:numRef>
          </c:xVal>
          <c:yVal>
            <c:numRef>
              <c:f>kursovoy!$B$317:$J$317</c:f>
              <c:numCache>
                <c:formatCode>General</c:formatCode>
                <c:ptCount val="9"/>
                <c:pt idx="0">
                  <c:v>50</c:v>
                </c:pt>
                <c:pt idx="1">
                  <c:v>50</c:v>
                </c:pt>
                <c:pt idx="2">
                  <c:v>50</c:v>
                </c:pt>
                <c:pt idx="3">
                  <c:v>50</c:v>
                </c:pt>
                <c:pt idx="4">
                  <c:v>50</c:v>
                </c:pt>
                <c:pt idx="5">
                  <c:v>50</c:v>
                </c:pt>
                <c:pt idx="6">
                  <c:v>50</c:v>
                </c:pt>
                <c:pt idx="7">
                  <c:v>50</c:v>
                </c:pt>
                <c:pt idx="8">
                  <c:v>50</c:v>
                </c:pt>
              </c:numCache>
            </c:numRef>
          </c:yVal>
          <c:smooth val="1"/>
        </c:ser>
        <c:ser>
          <c:idx val="2"/>
          <c:order val="2"/>
          <c:tx>
            <c:strRef>
              <c:f>kursovoy!$A$318</c:f>
              <c:strCache>
                <c:ptCount val="1"/>
                <c:pt idx="0">
                  <c:v>Рекомендуемый предел срока службы шахты, год</c:v>
                </c:pt>
              </c:strCache>
            </c:strRef>
          </c:tx>
          <c:spPr>
            <a:ln w="25400">
              <a:solidFill>
                <a:srgbClr val="000000"/>
              </a:solidFill>
              <a:prstDash val="solid"/>
            </a:ln>
          </c:spPr>
          <c:marker>
            <c:symbol val="triangle"/>
            <c:size val="7"/>
            <c:spPr>
              <a:solidFill>
                <a:srgbClr val="FFFF00"/>
              </a:solidFill>
              <a:ln>
                <a:solidFill>
                  <a:srgbClr val="FFFF00"/>
                </a:solidFill>
                <a:prstDash val="solid"/>
              </a:ln>
            </c:spPr>
          </c:marker>
          <c:xVal>
            <c:numRef>
              <c:f>kursovoy!$B$315:$J$315</c:f>
              <c:numCache>
                <c:formatCode>General</c:formatCode>
                <c:ptCount val="9"/>
                <c:pt idx="0">
                  <c:v>0.6</c:v>
                </c:pt>
                <c:pt idx="1">
                  <c:v>0.9</c:v>
                </c:pt>
                <c:pt idx="2">
                  <c:v>1.2</c:v>
                </c:pt>
                <c:pt idx="3">
                  <c:v>1.5</c:v>
                </c:pt>
                <c:pt idx="4">
                  <c:v>1.8</c:v>
                </c:pt>
                <c:pt idx="5">
                  <c:v>2.1</c:v>
                </c:pt>
                <c:pt idx="6">
                  <c:v>2.4</c:v>
                </c:pt>
                <c:pt idx="7">
                  <c:v>2.7</c:v>
                </c:pt>
                <c:pt idx="8">
                  <c:v>3</c:v>
                </c:pt>
              </c:numCache>
            </c:numRef>
          </c:xVal>
          <c:yVal>
            <c:numRef>
              <c:f>kursovoy!$B$318:$J$318</c:f>
              <c:numCache>
                <c:formatCode>General</c:formatCode>
                <c:ptCount val="9"/>
                <c:pt idx="0">
                  <c:v>60</c:v>
                </c:pt>
                <c:pt idx="1">
                  <c:v>60</c:v>
                </c:pt>
                <c:pt idx="2">
                  <c:v>60</c:v>
                </c:pt>
                <c:pt idx="3">
                  <c:v>60</c:v>
                </c:pt>
                <c:pt idx="4">
                  <c:v>60</c:v>
                </c:pt>
                <c:pt idx="5">
                  <c:v>60</c:v>
                </c:pt>
                <c:pt idx="6">
                  <c:v>60</c:v>
                </c:pt>
                <c:pt idx="7">
                  <c:v>60</c:v>
                </c:pt>
                <c:pt idx="8">
                  <c:v>60</c:v>
                </c:pt>
              </c:numCache>
            </c:numRef>
          </c:yVal>
          <c:smooth val="1"/>
        </c:ser>
        <c:dLbls>
          <c:showLegendKey val="0"/>
          <c:showVal val="0"/>
          <c:showCatName val="0"/>
          <c:showSerName val="0"/>
          <c:showPercent val="0"/>
          <c:showBubbleSize val="0"/>
        </c:dLbls>
        <c:axId val="102613376"/>
        <c:axId val="102615680"/>
      </c:scatterChart>
      <c:valAx>
        <c:axId val="102613376"/>
        <c:scaling>
          <c:orientation val="minMax"/>
        </c:scaling>
        <c:delete val="0"/>
        <c:axPos val="b"/>
        <c:title>
          <c:tx>
            <c:rich>
              <a:bodyPr/>
              <a:lstStyle/>
              <a:p>
                <a:pPr>
                  <a:defRPr sz="1000" b="1" i="0" u="none" strike="noStrike" baseline="0">
                    <a:solidFill>
                      <a:srgbClr val="000000"/>
                    </a:solidFill>
                    <a:latin typeface="Arial Cyr"/>
                    <a:ea typeface="Arial Cyr"/>
                    <a:cs typeface="Arial Cyr"/>
                  </a:defRPr>
                </a:pPr>
                <a:r>
                  <a:rPr lang="ru-RU"/>
                  <a:t>Проектная мощность шахты, млн.т/год</a:t>
                </a:r>
              </a:p>
            </c:rich>
          </c:tx>
          <c:layout>
            <c:manualLayout>
              <c:xMode val="edge"/>
              <c:yMode val="edge"/>
              <c:x val="0.33799258581377672"/>
              <c:y val="0.8396659071149258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Cyr"/>
                <a:ea typeface="Arial Cyr"/>
                <a:cs typeface="Arial Cyr"/>
              </a:defRPr>
            </a:pPr>
            <a:endParaRPr lang="ru-RU"/>
          </a:p>
        </c:txPr>
        <c:crossAx val="102615680"/>
        <c:crosses val="autoZero"/>
        <c:crossBetween val="midCat"/>
        <c:majorUnit val="0.3"/>
      </c:valAx>
      <c:valAx>
        <c:axId val="10261568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Cyr"/>
                    <a:ea typeface="Arial Cyr"/>
                    <a:cs typeface="Arial Cyr"/>
                  </a:defRPr>
                </a:pPr>
                <a:r>
                  <a:rPr lang="ru-RU"/>
                  <a:t>Срок службы шахты, год</a:t>
                </a:r>
              </a:p>
            </c:rich>
          </c:tx>
          <c:layout>
            <c:manualLayout>
              <c:xMode val="edge"/>
              <c:yMode val="edge"/>
              <c:x val="2.0330381101580555E-2"/>
              <c:y val="5.9071973364869156E-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Cyr"/>
                <a:ea typeface="Arial Cyr"/>
                <a:cs typeface="Arial Cyr"/>
              </a:defRPr>
            </a:pPr>
            <a:endParaRPr lang="ru-RU"/>
          </a:p>
        </c:txPr>
        <c:crossAx val="102613376"/>
        <c:crosses val="autoZero"/>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5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75" b="1" i="0" u="none" strike="noStrike" baseline="0">
                <a:solidFill>
                  <a:srgbClr val="000000"/>
                </a:solidFill>
                <a:latin typeface="Arial Cyr"/>
                <a:ea typeface="Arial Cyr"/>
                <a:cs typeface="Arial Cyr"/>
              </a:defRPr>
            </a:pPr>
            <a:r>
              <a:rPr lang="de-DE"/>
              <a:t>Verwendungsbereich der Walzschrämladern hinsichtlich der Flözmächtigkeit</a:t>
            </a:r>
          </a:p>
        </c:rich>
      </c:tx>
      <c:overlay val="0"/>
      <c:spPr>
        <a:noFill/>
        <a:ln w="25400">
          <a:noFill/>
        </a:ln>
      </c:spPr>
    </c:title>
    <c:autoTitleDeleted val="0"/>
    <c:view3D>
      <c:rotX val="15"/>
      <c:hPercent val="7"/>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mmin</c:v>
          </c:tx>
          <c:spPr>
            <a:solidFill>
              <a:srgbClr val="9999FF"/>
            </a:solidFill>
            <a:ln w="12700">
              <a:solidFill>
                <a:srgbClr val="000000"/>
              </a:solidFill>
              <a:prstDash val="solid"/>
            </a:ln>
          </c:spPr>
          <c:invertIfNegative val="0"/>
          <c:cat>
            <c:strLit>
              <c:ptCount val="13"/>
              <c:pt idx="0">
                <c:v>1К101У</c:v>
              </c:pt>
              <c:pt idx="1">
                <c:v>К103М</c:v>
              </c:pt>
              <c:pt idx="2">
                <c:v>КА80</c:v>
              </c:pt>
              <c:pt idx="3">
                <c:v>1K101УД</c:v>
              </c:pt>
              <c:pt idx="4">
                <c:v>ГШ200Б</c:v>
              </c:pt>
              <c:pt idx="5">
                <c:v>ГШ200В</c:v>
              </c:pt>
              <c:pt idx="6">
                <c:v>2К52М</c:v>
              </c:pt>
              <c:pt idx="7">
                <c:v>РКУ10</c:v>
              </c:pt>
              <c:pt idx="8">
                <c:v>1ГШ68</c:v>
              </c:pt>
              <c:pt idx="9">
                <c:v>2ГШ68</c:v>
              </c:pt>
              <c:pt idx="10">
                <c:v>РКУ13</c:v>
              </c:pt>
              <c:pt idx="11">
                <c:v>ГШ500</c:v>
              </c:pt>
              <c:pt idx="12">
                <c:v>КШ1КГУ</c:v>
              </c:pt>
            </c:strLit>
          </c:cat>
          <c:val>
            <c:numLit>
              <c:formatCode>General</c:formatCode>
              <c:ptCount val="13"/>
              <c:pt idx="0">
                <c:v>0.8</c:v>
              </c:pt>
              <c:pt idx="1">
                <c:v>0.6</c:v>
              </c:pt>
              <c:pt idx="2">
                <c:v>0.6</c:v>
              </c:pt>
              <c:pt idx="3">
                <c:v>0.95</c:v>
              </c:pt>
              <c:pt idx="4">
                <c:v>0.95</c:v>
              </c:pt>
              <c:pt idx="5">
                <c:v>0.95</c:v>
              </c:pt>
              <c:pt idx="6">
                <c:v>1</c:v>
              </c:pt>
              <c:pt idx="7">
                <c:v>1.1000000000000001</c:v>
              </c:pt>
              <c:pt idx="8">
                <c:v>1.1000000000000001</c:v>
              </c:pt>
              <c:pt idx="9">
                <c:v>1.1000000000000001</c:v>
              </c:pt>
              <c:pt idx="10">
                <c:v>1.35</c:v>
              </c:pt>
              <c:pt idx="11">
                <c:v>1.3</c:v>
              </c:pt>
              <c:pt idx="12">
                <c:v>1.6</c:v>
              </c:pt>
            </c:numLit>
          </c:val>
        </c:ser>
        <c:ser>
          <c:idx val="1"/>
          <c:order val="1"/>
          <c:tx>
            <c:v>mmax</c:v>
          </c:tx>
          <c:spPr>
            <a:solidFill>
              <a:srgbClr val="993366"/>
            </a:solidFill>
            <a:ln w="12700">
              <a:solidFill>
                <a:srgbClr val="000000"/>
              </a:solidFill>
              <a:prstDash val="solid"/>
            </a:ln>
          </c:spPr>
          <c:invertIfNegative val="0"/>
          <c:cat>
            <c:strLit>
              <c:ptCount val="13"/>
              <c:pt idx="0">
                <c:v>1К101У</c:v>
              </c:pt>
              <c:pt idx="1">
                <c:v>К103М</c:v>
              </c:pt>
              <c:pt idx="2">
                <c:v>КА80</c:v>
              </c:pt>
              <c:pt idx="3">
                <c:v>1K101УД</c:v>
              </c:pt>
              <c:pt idx="4">
                <c:v>ГШ200Б</c:v>
              </c:pt>
              <c:pt idx="5">
                <c:v>ГШ200В</c:v>
              </c:pt>
              <c:pt idx="6">
                <c:v>2К52М</c:v>
              </c:pt>
              <c:pt idx="7">
                <c:v>РКУ10</c:v>
              </c:pt>
              <c:pt idx="8">
                <c:v>1ГШ68</c:v>
              </c:pt>
              <c:pt idx="9">
                <c:v>2ГШ68</c:v>
              </c:pt>
              <c:pt idx="10">
                <c:v>РКУ13</c:v>
              </c:pt>
              <c:pt idx="11">
                <c:v>ГШ500</c:v>
              </c:pt>
              <c:pt idx="12">
                <c:v>КШ1КГУ</c:v>
              </c:pt>
            </c:strLit>
          </c:cat>
          <c:val>
            <c:numLit>
              <c:formatCode>General</c:formatCode>
              <c:ptCount val="13"/>
              <c:pt idx="0">
                <c:v>1.2</c:v>
              </c:pt>
              <c:pt idx="1">
                <c:v>1.2</c:v>
              </c:pt>
              <c:pt idx="2">
                <c:v>1.2</c:v>
              </c:pt>
              <c:pt idx="3">
                <c:v>1.3</c:v>
              </c:pt>
              <c:pt idx="4">
                <c:v>1.5</c:v>
              </c:pt>
              <c:pt idx="5">
                <c:v>1.5</c:v>
              </c:pt>
              <c:pt idx="6">
                <c:v>1.7</c:v>
              </c:pt>
              <c:pt idx="7">
                <c:v>1.93</c:v>
              </c:pt>
              <c:pt idx="8">
                <c:v>2.5</c:v>
              </c:pt>
              <c:pt idx="9">
                <c:v>2.5</c:v>
              </c:pt>
              <c:pt idx="10">
                <c:v>2.6</c:v>
              </c:pt>
              <c:pt idx="11">
                <c:v>2.7</c:v>
              </c:pt>
              <c:pt idx="12">
                <c:v>3.2</c:v>
              </c:pt>
            </c:numLit>
          </c:val>
        </c:ser>
        <c:dLbls>
          <c:showLegendKey val="0"/>
          <c:showVal val="0"/>
          <c:showCatName val="0"/>
          <c:showSerName val="0"/>
          <c:showPercent val="0"/>
          <c:showBubbleSize val="0"/>
        </c:dLbls>
        <c:gapWidth val="150"/>
        <c:shape val="box"/>
        <c:axId val="49185920"/>
        <c:axId val="49187456"/>
        <c:axId val="0"/>
      </c:bar3DChart>
      <c:catAx>
        <c:axId val="4918592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RU"/>
          </a:p>
        </c:txPr>
        <c:crossAx val="49187456"/>
        <c:crosses val="autoZero"/>
        <c:auto val="1"/>
        <c:lblAlgn val="ctr"/>
        <c:lblOffset val="100"/>
        <c:tickLblSkip val="1"/>
        <c:tickMarkSkip val="1"/>
        <c:noMultiLvlLbl val="0"/>
      </c:catAx>
      <c:valAx>
        <c:axId val="4918745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RU"/>
          </a:p>
        </c:txPr>
        <c:crossAx val="49185920"/>
        <c:crosses val="autoZero"/>
        <c:crossBetween val="between"/>
        <c:majorUnit val="0.2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v>#ССЫЛКА!</c:v>
          </c:tx>
          <c:spPr>
            <a:ln w="12700">
              <a:solidFill>
                <a:srgbClr val="000080"/>
              </a:solidFill>
              <a:prstDash val="solid"/>
            </a:ln>
          </c:spPr>
          <c:marker>
            <c:symbol val="none"/>
          </c:marker>
          <c:xVal>
            <c:numLit>
              <c:formatCode>General</c:formatCode>
              <c:ptCount val="1"/>
              <c:pt idx="0">
                <c:v>0</c:v>
              </c:pt>
            </c:numLit>
          </c:xVal>
          <c:yVal>
            <c:numLit>
              <c:formatCode>General</c:formatCode>
              <c:ptCount val="1"/>
              <c:pt idx="0">
                <c:v>0</c:v>
              </c:pt>
            </c:numLit>
          </c:yVal>
          <c:smooth val="1"/>
        </c:ser>
        <c:dLbls>
          <c:showLegendKey val="0"/>
          <c:showVal val="0"/>
          <c:showCatName val="0"/>
          <c:showSerName val="0"/>
          <c:showPercent val="0"/>
          <c:showBubbleSize val="0"/>
        </c:dLbls>
        <c:axId val="49211648"/>
        <c:axId val="49213824"/>
      </c:scatterChart>
      <c:valAx>
        <c:axId val="49211648"/>
        <c:scaling>
          <c:orientation val="minMax"/>
        </c:scaling>
        <c:delete val="0"/>
        <c:axPos val="b"/>
        <c:title>
          <c:tx>
            <c:rich>
              <a:bodyPr/>
              <a:lstStyle/>
              <a:p>
                <a:pPr>
                  <a:defRPr sz="300" b="1" i="0" u="none" strike="noStrike" baseline="0">
                    <a:solidFill>
                      <a:srgbClr val="000000"/>
                    </a:solidFill>
                    <a:latin typeface="Arial Cyr"/>
                    <a:ea typeface="Arial Cyr"/>
                    <a:cs typeface="Arial Cyr"/>
                  </a:defRPr>
                </a:pPr>
                <a:r>
                  <a:rPr lang="ru-RU"/>
                  <a:t>Нагрузка на лаву, т/сутки</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350" b="0" i="0" u="none" strike="noStrike" baseline="0">
                <a:solidFill>
                  <a:srgbClr val="000000"/>
                </a:solidFill>
                <a:latin typeface="Arial Cyr"/>
                <a:ea typeface="Arial Cyr"/>
                <a:cs typeface="Arial Cyr"/>
              </a:defRPr>
            </a:pPr>
            <a:endParaRPr lang="ru-RU"/>
          </a:p>
        </c:txPr>
        <c:crossAx val="49213824"/>
        <c:crosses val="autoZero"/>
        <c:crossBetween val="midCat"/>
      </c:valAx>
      <c:valAx>
        <c:axId val="49213824"/>
        <c:scaling>
          <c:orientation val="minMax"/>
        </c:scaling>
        <c:delete val="0"/>
        <c:axPos val="l"/>
        <c:majorGridlines>
          <c:spPr>
            <a:ln w="3175">
              <a:solidFill>
                <a:srgbClr val="000000"/>
              </a:solidFill>
              <a:prstDash val="solid"/>
            </a:ln>
          </c:spPr>
        </c:majorGridlines>
        <c:title>
          <c:tx>
            <c:rich>
              <a:bodyPr/>
              <a:lstStyle/>
              <a:p>
                <a:pPr>
                  <a:defRPr sz="300" b="0" i="0" u="none" strike="noStrike" baseline="0">
                    <a:solidFill>
                      <a:srgbClr val="000000"/>
                    </a:solidFill>
                    <a:latin typeface="Arial Cyr"/>
                    <a:ea typeface="Arial Cyr"/>
                    <a:cs typeface="Arial Cyr"/>
                  </a:defRPr>
                </a:pPr>
                <a:r>
                  <a:rPr lang="ru-RU"/>
                  <a:t>Скорость воздуха, м/с</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350" b="0" i="0" u="none" strike="noStrike" baseline="0">
                <a:solidFill>
                  <a:srgbClr val="000000"/>
                </a:solidFill>
                <a:latin typeface="Arial Cyr"/>
                <a:ea typeface="Arial Cyr"/>
                <a:cs typeface="Arial Cyr"/>
              </a:defRPr>
            </a:pPr>
            <a:endParaRPr lang="ru-RU"/>
          </a:p>
        </c:txPr>
        <c:crossAx val="49211648"/>
        <c:crosses val="autoZero"/>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5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250" b="0" i="0" u="none" strike="noStrike" baseline="0">
              <a:solidFill>
                <a:srgbClr val="000000"/>
              </a:solidFill>
              <a:latin typeface="Arial Cyr"/>
              <a:ea typeface="Arial Cyr"/>
              <a:cs typeface="Arial Cyr"/>
            </a:defRPr>
          </a:pPr>
          <a:endParaRPr lang="ru-RU"/>
        </a:p>
      </c:txPr>
    </c:title>
    <c:autoTitleDeleted val="0"/>
    <c:plotArea>
      <c:layout/>
      <c:scatterChart>
        <c:scatterStyle val="smoothMarker"/>
        <c:varyColors val="0"/>
        <c:ser>
          <c:idx val="0"/>
          <c:order val="0"/>
          <c:tx>
            <c:v>#ССЫЛКА!</c:v>
          </c:tx>
          <c:spPr>
            <a:ln w="12700">
              <a:solidFill>
                <a:srgbClr val="000080"/>
              </a:solidFill>
              <a:prstDash val="solid"/>
            </a:ln>
          </c:spPr>
          <c:marker>
            <c:symbol val="none"/>
          </c:marker>
          <c:xVal>
            <c:numLit>
              <c:formatCode>General</c:formatCode>
              <c:ptCount val="1"/>
              <c:pt idx="0">
                <c:v>0</c:v>
              </c:pt>
            </c:numLit>
          </c:xVal>
          <c:yVal>
            <c:numLit>
              <c:formatCode>General</c:formatCode>
              <c:ptCount val="1"/>
              <c:pt idx="0">
                <c:v>0</c:v>
              </c:pt>
            </c:numLit>
          </c:yVal>
          <c:smooth val="1"/>
        </c:ser>
        <c:dLbls>
          <c:showLegendKey val="0"/>
          <c:showVal val="0"/>
          <c:showCatName val="0"/>
          <c:showSerName val="0"/>
          <c:showPercent val="0"/>
          <c:showBubbleSize val="0"/>
        </c:dLbls>
        <c:axId val="49303552"/>
        <c:axId val="49305088"/>
      </c:scatterChart>
      <c:valAx>
        <c:axId val="49303552"/>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Cyr"/>
                <a:ea typeface="Arial Cyr"/>
                <a:cs typeface="Arial Cyr"/>
              </a:defRPr>
            </a:pPr>
            <a:endParaRPr lang="ru-RU"/>
          </a:p>
        </c:txPr>
        <c:crossAx val="49305088"/>
        <c:crosses val="autoZero"/>
        <c:crossBetween val="midCat"/>
      </c:valAx>
      <c:valAx>
        <c:axId val="4930508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Cyr"/>
                <a:ea typeface="Arial Cyr"/>
                <a:cs typeface="Arial Cyr"/>
              </a:defRPr>
            </a:pPr>
            <a:endParaRPr lang="ru-RU"/>
          </a:p>
        </c:txPr>
        <c:crossAx val="49303552"/>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75" b="0" i="0" u="none" strike="noStrike" baseline="0">
                <a:solidFill>
                  <a:srgbClr val="000000"/>
                </a:solidFill>
                <a:latin typeface="Arial Cyr"/>
                <a:ea typeface="Arial Cyr"/>
                <a:cs typeface="Arial Cyr"/>
              </a:defRPr>
            </a:pPr>
            <a:r>
              <a:rPr lang="ru-RU" sz="275" b="0" i="0" u="none" strike="noStrike" baseline="0">
                <a:solidFill>
                  <a:srgbClr val="000000"/>
                </a:solidFill>
                <a:latin typeface="Arial Cyr"/>
                <a:cs typeface="Arial Cyr"/>
              </a:rPr>
              <a:t>Производительность, т/мин</a:t>
            </a:r>
          </a:p>
          <a:p>
            <a:pPr>
              <a:defRPr sz="275" b="0" i="0" u="none" strike="noStrike" baseline="0">
                <a:solidFill>
                  <a:srgbClr val="000000"/>
                </a:solidFill>
                <a:latin typeface="Arial Cyr"/>
                <a:ea typeface="Arial Cyr"/>
                <a:cs typeface="Arial Cyr"/>
              </a:defRPr>
            </a:pPr>
            <a:r>
              <a:rPr lang="ru-RU" sz="275" b="0" i="0" u="none" strike="noStrike" baseline="0">
                <a:solidFill>
                  <a:srgbClr val="000000"/>
                </a:solidFill>
                <a:latin typeface="Arial Cyr"/>
                <a:cs typeface="Arial Cyr"/>
              </a:rPr>
              <a:t>при Ap=1.5 кН/см</a:t>
            </a:r>
          </a:p>
        </c:rich>
      </c:tx>
      <c:overlay val="0"/>
      <c:spPr>
        <a:noFill/>
        <a:ln w="25400">
          <a:noFill/>
        </a:ln>
      </c:spPr>
    </c:title>
    <c:autoTitleDeleted val="0"/>
    <c:plotArea>
      <c:layout/>
      <c:scatterChart>
        <c:scatterStyle val="smoothMarker"/>
        <c:varyColors val="0"/>
        <c:ser>
          <c:idx val="0"/>
          <c:order val="0"/>
          <c:tx>
            <c:v>#ССЫЛКА!</c:v>
          </c:tx>
          <c:spPr>
            <a:ln w="12700">
              <a:solidFill>
                <a:srgbClr val="000080"/>
              </a:solidFill>
              <a:prstDash val="solid"/>
            </a:ln>
          </c:spPr>
          <c:marker>
            <c:symbol val="diamond"/>
            <c:size val="5"/>
            <c:spPr>
              <a:solidFill>
                <a:srgbClr val="000080"/>
              </a:solidFill>
              <a:ln>
                <a:solidFill>
                  <a:srgbClr val="000080"/>
                </a:solidFill>
                <a:prstDash val="solid"/>
              </a:ln>
            </c:spPr>
          </c:marker>
          <c:xVal>
            <c:numLit>
              <c:formatCode>General</c:formatCode>
              <c:ptCount val="1"/>
              <c:pt idx="0">
                <c:v>0</c:v>
              </c:pt>
            </c:numLit>
          </c:xVal>
          <c:yVal>
            <c:numLit>
              <c:formatCode>General</c:formatCode>
              <c:ptCount val="1"/>
              <c:pt idx="0">
                <c:v>0</c:v>
              </c:pt>
            </c:numLit>
          </c:yVal>
          <c:smooth val="1"/>
        </c:ser>
        <c:dLbls>
          <c:showLegendKey val="0"/>
          <c:showVal val="0"/>
          <c:showCatName val="0"/>
          <c:showSerName val="0"/>
          <c:showPercent val="0"/>
          <c:showBubbleSize val="0"/>
        </c:dLbls>
        <c:axId val="49341184"/>
        <c:axId val="49343488"/>
      </c:scatterChart>
      <c:valAx>
        <c:axId val="49341184"/>
        <c:scaling>
          <c:orientation val="minMax"/>
          <c:min val="0.7"/>
        </c:scaling>
        <c:delete val="0"/>
        <c:axPos val="b"/>
        <c:title>
          <c:tx>
            <c:rich>
              <a:bodyPr/>
              <a:lstStyle/>
              <a:p>
                <a:pPr>
                  <a:defRPr sz="250" b="0" i="0" u="none" strike="noStrike" baseline="0">
                    <a:solidFill>
                      <a:srgbClr val="000000"/>
                    </a:solidFill>
                    <a:latin typeface="Arial Cyr"/>
                    <a:ea typeface="Arial Cyr"/>
                    <a:cs typeface="Arial Cyr"/>
                  </a:defRPr>
                </a:pPr>
                <a:r>
                  <a:rPr lang="ru-RU"/>
                  <a:t>Мощность пласта, м</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RU"/>
          </a:p>
        </c:txPr>
        <c:crossAx val="49343488"/>
        <c:crosses val="autoZero"/>
        <c:crossBetween val="midCat"/>
      </c:valAx>
      <c:valAx>
        <c:axId val="4934348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RU"/>
          </a:p>
        </c:txPr>
        <c:crossAx val="49341184"/>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75" b="0" i="0" u="none" strike="noStrike" baseline="0">
                <a:solidFill>
                  <a:srgbClr val="000000"/>
                </a:solidFill>
                <a:latin typeface="Arial Cyr"/>
                <a:ea typeface="Arial Cyr"/>
                <a:cs typeface="Arial Cyr"/>
              </a:defRPr>
            </a:pPr>
            <a:r>
              <a:rPr lang="ru-RU" sz="275" b="0" i="0" u="none" strike="noStrike" baseline="0">
                <a:solidFill>
                  <a:srgbClr val="000000"/>
                </a:solidFill>
                <a:latin typeface="Arial Cyr"/>
                <a:cs typeface="Arial Cyr"/>
              </a:rPr>
              <a:t>Производительность, т/мин</a:t>
            </a:r>
          </a:p>
          <a:p>
            <a:pPr>
              <a:defRPr sz="275" b="0" i="0" u="none" strike="noStrike" baseline="0">
                <a:solidFill>
                  <a:srgbClr val="000000"/>
                </a:solidFill>
                <a:latin typeface="Arial Cyr"/>
                <a:ea typeface="Arial Cyr"/>
                <a:cs typeface="Arial Cyr"/>
              </a:defRPr>
            </a:pPr>
            <a:r>
              <a:rPr lang="ru-RU" sz="275" b="0" i="0" u="none" strike="noStrike" baseline="0">
                <a:solidFill>
                  <a:srgbClr val="000000"/>
                </a:solidFill>
                <a:latin typeface="Arial Cyr"/>
                <a:cs typeface="Arial Cyr"/>
              </a:rPr>
              <a:t>при m=1,2 м</a:t>
            </a:r>
          </a:p>
        </c:rich>
      </c:tx>
      <c:overlay val="0"/>
      <c:spPr>
        <a:noFill/>
        <a:ln w="25400">
          <a:noFill/>
        </a:ln>
      </c:spPr>
    </c:title>
    <c:autoTitleDeleted val="0"/>
    <c:plotArea>
      <c:layout/>
      <c:scatterChart>
        <c:scatterStyle val="smoothMarker"/>
        <c:varyColors val="0"/>
        <c:ser>
          <c:idx val="0"/>
          <c:order val="0"/>
          <c:tx>
            <c:v>#ССЫЛКА!</c:v>
          </c:tx>
          <c:spPr>
            <a:ln w="12700">
              <a:solidFill>
                <a:srgbClr val="000080"/>
              </a:solidFill>
              <a:prstDash val="solid"/>
            </a:ln>
          </c:spPr>
          <c:marker>
            <c:symbol val="diamond"/>
            <c:size val="5"/>
            <c:spPr>
              <a:solidFill>
                <a:srgbClr val="000080"/>
              </a:solidFill>
              <a:ln>
                <a:solidFill>
                  <a:srgbClr val="000080"/>
                </a:solidFill>
                <a:prstDash val="solid"/>
              </a:ln>
            </c:spPr>
          </c:marker>
          <c:xVal>
            <c:numLit>
              <c:formatCode>General</c:formatCode>
              <c:ptCount val="1"/>
              <c:pt idx="0">
                <c:v>0</c:v>
              </c:pt>
            </c:numLit>
          </c:xVal>
          <c:yVal>
            <c:numLit>
              <c:formatCode>General</c:formatCode>
              <c:ptCount val="1"/>
              <c:pt idx="0">
                <c:v>0</c:v>
              </c:pt>
            </c:numLit>
          </c:yVal>
          <c:smooth val="1"/>
        </c:ser>
        <c:dLbls>
          <c:showLegendKey val="0"/>
          <c:showVal val="0"/>
          <c:showCatName val="0"/>
          <c:showSerName val="0"/>
          <c:showPercent val="0"/>
          <c:showBubbleSize val="0"/>
        </c:dLbls>
        <c:axId val="49367296"/>
        <c:axId val="49389952"/>
      </c:scatterChart>
      <c:valAx>
        <c:axId val="493672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RU"/>
          </a:p>
        </c:txPr>
        <c:crossAx val="49389952"/>
        <c:crosses val="autoZero"/>
        <c:crossBetween val="midCat"/>
      </c:valAx>
      <c:valAx>
        <c:axId val="4938995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RU"/>
          </a:p>
        </c:txPr>
        <c:crossAx val="49367296"/>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75" b="1" i="0" u="none" strike="noStrike" baseline="0">
                <a:solidFill>
                  <a:srgbClr val="000000"/>
                </a:solidFill>
                <a:latin typeface="Arial Cyr"/>
                <a:ea typeface="Arial Cyr"/>
                <a:cs typeface="Arial Cyr"/>
              </a:defRPr>
            </a:pPr>
            <a:r>
              <a:rPr lang="de-DE"/>
              <a:t>Verwendungsbereich der Walzschrämladern hinsichtlich der Flözmächtigkeit</a:t>
            </a:r>
          </a:p>
        </c:rich>
      </c:tx>
      <c:overlay val="0"/>
      <c:spPr>
        <a:noFill/>
        <a:ln w="25400">
          <a:noFill/>
        </a:ln>
      </c:spPr>
    </c:title>
    <c:autoTitleDeleted val="0"/>
    <c:view3D>
      <c:rotX val="15"/>
      <c:hPercent val="7"/>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mmin</c:v>
          </c:tx>
          <c:spPr>
            <a:solidFill>
              <a:srgbClr val="9999FF"/>
            </a:solidFill>
            <a:ln w="12700">
              <a:solidFill>
                <a:srgbClr val="000000"/>
              </a:solidFill>
              <a:prstDash val="solid"/>
            </a:ln>
          </c:spPr>
          <c:invertIfNegative val="0"/>
          <c:cat>
            <c:strLit>
              <c:ptCount val="13"/>
              <c:pt idx="0">
                <c:v>1К101У</c:v>
              </c:pt>
              <c:pt idx="1">
                <c:v>К103М</c:v>
              </c:pt>
              <c:pt idx="2">
                <c:v>КА80</c:v>
              </c:pt>
              <c:pt idx="3">
                <c:v>1K101УД</c:v>
              </c:pt>
              <c:pt idx="4">
                <c:v>ГШ200Б</c:v>
              </c:pt>
              <c:pt idx="5">
                <c:v>ГШ200В</c:v>
              </c:pt>
              <c:pt idx="6">
                <c:v>2К52М</c:v>
              </c:pt>
              <c:pt idx="7">
                <c:v>РКУ10</c:v>
              </c:pt>
              <c:pt idx="8">
                <c:v>1ГШ68</c:v>
              </c:pt>
              <c:pt idx="9">
                <c:v>2ГШ68</c:v>
              </c:pt>
              <c:pt idx="10">
                <c:v>РКУ13</c:v>
              </c:pt>
              <c:pt idx="11">
                <c:v>ГШ500</c:v>
              </c:pt>
              <c:pt idx="12">
                <c:v>КШ1КГУ</c:v>
              </c:pt>
            </c:strLit>
          </c:cat>
          <c:val>
            <c:numLit>
              <c:formatCode>General</c:formatCode>
              <c:ptCount val="13"/>
              <c:pt idx="0">
                <c:v>0.8</c:v>
              </c:pt>
              <c:pt idx="1">
                <c:v>0.6</c:v>
              </c:pt>
              <c:pt idx="2">
                <c:v>0.6</c:v>
              </c:pt>
              <c:pt idx="3">
                <c:v>0.95</c:v>
              </c:pt>
              <c:pt idx="4">
                <c:v>0.95</c:v>
              </c:pt>
              <c:pt idx="5">
                <c:v>0.95</c:v>
              </c:pt>
              <c:pt idx="6">
                <c:v>1</c:v>
              </c:pt>
              <c:pt idx="7">
                <c:v>1.1000000000000001</c:v>
              </c:pt>
              <c:pt idx="8">
                <c:v>1.1000000000000001</c:v>
              </c:pt>
              <c:pt idx="9">
                <c:v>1.1000000000000001</c:v>
              </c:pt>
              <c:pt idx="10">
                <c:v>1.35</c:v>
              </c:pt>
              <c:pt idx="11">
                <c:v>1.3</c:v>
              </c:pt>
              <c:pt idx="12">
                <c:v>1.6</c:v>
              </c:pt>
            </c:numLit>
          </c:val>
        </c:ser>
        <c:ser>
          <c:idx val="1"/>
          <c:order val="1"/>
          <c:tx>
            <c:v>mmax</c:v>
          </c:tx>
          <c:spPr>
            <a:solidFill>
              <a:srgbClr val="993366"/>
            </a:solidFill>
            <a:ln w="12700">
              <a:solidFill>
                <a:srgbClr val="000000"/>
              </a:solidFill>
              <a:prstDash val="solid"/>
            </a:ln>
          </c:spPr>
          <c:invertIfNegative val="0"/>
          <c:cat>
            <c:strLit>
              <c:ptCount val="13"/>
              <c:pt idx="0">
                <c:v>1К101У</c:v>
              </c:pt>
              <c:pt idx="1">
                <c:v>К103М</c:v>
              </c:pt>
              <c:pt idx="2">
                <c:v>КА80</c:v>
              </c:pt>
              <c:pt idx="3">
                <c:v>1K101УД</c:v>
              </c:pt>
              <c:pt idx="4">
                <c:v>ГШ200Б</c:v>
              </c:pt>
              <c:pt idx="5">
                <c:v>ГШ200В</c:v>
              </c:pt>
              <c:pt idx="6">
                <c:v>2К52М</c:v>
              </c:pt>
              <c:pt idx="7">
                <c:v>РКУ10</c:v>
              </c:pt>
              <c:pt idx="8">
                <c:v>1ГШ68</c:v>
              </c:pt>
              <c:pt idx="9">
                <c:v>2ГШ68</c:v>
              </c:pt>
              <c:pt idx="10">
                <c:v>РКУ13</c:v>
              </c:pt>
              <c:pt idx="11">
                <c:v>ГШ500</c:v>
              </c:pt>
              <c:pt idx="12">
                <c:v>КШ1КГУ</c:v>
              </c:pt>
            </c:strLit>
          </c:cat>
          <c:val>
            <c:numLit>
              <c:formatCode>General</c:formatCode>
              <c:ptCount val="13"/>
              <c:pt idx="0">
                <c:v>1.2</c:v>
              </c:pt>
              <c:pt idx="1">
                <c:v>1.2</c:v>
              </c:pt>
              <c:pt idx="2">
                <c:v>1.2</c:v>
              </c:pt>
              <c:pt idx="3">
                <c:v>1.3</c:v>
              </c:pt>
              <c:pt idx="4">
                <c:v>1.5</c:v>
              </c:pt>
              <c:pt idx="5">
                <c:v>1.5</c:v>
              </c:pt>
              <c:pt idx="6">
                <c:v>1.7</c:v>
              </c:pt>
              <c:pt idx="7">
                <c:v>1.93</c:v>
              </c:pt>
              <c:pt idx="8">
                <c:v>2.5</c:v>
              </c:pt>
              <c:pt idx="9">
                <c:v>2.5</c:v>
              </c:pt>
              <c:pt idx="10">
                <c:v>2.6</c:v>
              </c:pt>
              <c:pt idx="11">
                <c:v>2.7</c:v>
              </c:pt>
              <c:pt idx="12">
                <c:v>3.2</c:v>
              </c:pt>
            </c:numLit>
          </c:val>
        </c:ser>
        <c:dLbls>
          <c:showLegendKey val="0"/>
          <c:showVal val="0"/>
          <c:showCatName val="0"/>
          <c:showSerName val="0"/>
          <c:showPercent val="0"/>
          <c:showBubbleSize val="0"/>
        </c:dLbls>
        <c:gapWidth val="150"/>
        <c:shape val="box"/>
        <c:axId val="49746688"/>
        <c:axId val="49748224"/>
        <c:axId val="0"/>
      </c:bar3DChart>
      <c:catAx>
        <c:axId val="4974668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RU"/>
          </a:p>
        </c:txPr>
        <c:crossAx val="49748224"/>
        <c:crosses val="autoZero"/>
        <c:auto val="1"/>
        <c:lblAlgn val="ctr"/>
        <c:lblOffset val="100"/>
        <c:tickLblSkip val="1"/>
        <c:tickMarkSkip val="1"/>
        <c:noMultiLvlLbl val="0"/>
      </c:catAx>
      <c:valAx>
        <c:axId val="4974822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RU"/>
          </a:p>
        </c:txPr>
        <c:crossAx val="49746688"/>
        <c:crosses val="autoZero"/>
        <c:crossBetween val="between"/>
        <c:majorUnit val="0.2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Cyr"/>
                <a:ea typeface="Arial Cyr"/>
                <a:cs typeface="Arial Cyr"/>
              </a:defRPr>
            </a:pPr>
            <a:r>
              <a:rPr lang="de-DE"/>
              <a:t>Verwenungsbereich der mechanische Ausbau
hinsichtlich der Flözmächtigkeit</a:t>
            </a:r>
          </a:p>
        </c:rich>
      </c:tx>
      <c:overlay val="0"/>
      <c:spPr>
        <a:noFill/>
        <a:ln w="25400">
          <a:noFill/>
        </a:ln>
      </c:spPr>
    </c:title>
    <c:autoTitleDeleted val="0"/>
    <c:view3D>
      <c:rotX val="15"/>
      <c:hPercent val="5"/>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Gewinnende Flötmächtigkeit, m minimale</c:v>
          </c:tx>
          <c:spPr>
            <a:solidFill>
              <a:srgbClr val="9999FF"/>
            </a:solidFill>
            <a:ln w="12700">
              <a:solidFill>
                <a:srgbClr val="000000"/>
              </a:solidFill>
              <a:prstDash val="solid"/>
            </a:ln>
          </c:spPr>
          <c:invertIfNegative val="0"/>
          <c:cat>
            <c:strLit>
              <c:ptCount val="13"/>
              <c:pt idx="0">
                <c:v>М103</c:v>
              </c:pt>
              <c:pt idx="1">
                <c:v>МК98</c:v>
              </c:pt>
              <c:pt idx="2">
                <c:v>Donbass80</c:v>
              </c:pt>
              <c:pt idx="3">
                <c:v>М137</c:v>
              </c:pt>
              <c:pt idx="4">
                <c:v>М88</c:v>
              </c:pt>
              <c:pt idx="5">
                <c:v>М87УМН</c:v>
              </c:pt>
              <c:pt idx="6">
                <c:v>М87УМП</c:v>
              </c:pt>
              <c:pt idx="7">
                <c:v>КД90</c:v>
              </c:pt>
              <c:pt idx="8">
                <c:v>МТ</c:v>
              </c:pt>
              <c:pt idx="9">
                <c:v>КДД</c:v>
              </c:pt>
              <c:pt idx="10">
                <c:v>МК75</c:v>
              </c:pt>
              <c:pt idx="11">
                <c:v>М138</c:v>
              </c:pt>
              <c:pt idx="12">
                <c:v>1УКП</c:v>
              </c:pt>
            </c:strLit>
          </c:cat>
          <c:val>
            <c:numLit>
              <c:formatCode>General</c:formatCode>
              <c:ptCount val="13"/>
              <c:pt idx="0">
                <c:v>0.75</c:v>
              </c:pt>
              <c:pt idx="1">
                <c:v>0.75</c:v>
              </c:pt>
              <c:pt idx="2">
                <c:v>0.85</c:v>
              </c:pt>
              <c:pt idx="3">
                <c:v>0.8</c:v>
              </c:pt>
              <c:pt idx="4">
                <c:v>0.95</c:v>
              </c:pt>
              <c:pt idx="5">
                <c:v>1.1499999999999999</c:v>
              </c:pt>
              <c:pt idx="6">
                <c:v>1.1499999999999999</c:v>
              </c:pt>
              <c:pt idx="7">
                <c:v>0.8</c:v>
              </c:pt>
              <c:pt idx="8">
                <c:v>1.1499999999999999</c:v>
              </c:pt>
              <c:pt idx="9">
                <c:v>1.35</c:v>
              </c:pt>
              <c:pt idx="10">
                <c:v>1.6</c:v>
              </c:pt>
              <c:pt idx="11">
                <c:v>1.1000000000000001</c:v>
              </c:pt>
              <c:pt idx="12">
                <c:v>1.2</c:v>
              </c:pt>
            </c:numLit>
          </c:val>
        </c:ser>
        <c:ser>
          <c:idx val="1"/>
          <c:order val="1"/>
          <c:tx>
            <c:v>Gewinnende Flötmächtigkeit, m maxima-le</c:v>
          </c:tx>
          <c:spPr>
            <a:solidFill>
              <a:srgbClr val="993366"/>
            </a:solidFill>
            <a:ln w="12700">
              <a:solidFill>
                <a:srgbClr val="000000"/>
              </a:solidFill>
              <a:prstDash val="solid"/>
            </a:ln>
          </c:spPr>
          <c:invertIfNegative val="0"/>
          <c:cat>
            <c:strLit>
              <c:ptCount val="13"/>
              <c:pt idx="0">
                <c:v>М103</c:v>
              </c:pt>
              <c:pt idx="1">
                <c:v>МК98</c:v>
              </c:pt>
              <c:pt idx="2">
                <c:v>Donbass80</c:v>
              </c:pt>
              <c:pt idx="3">
                <c:v>М137</c:v>
              </c:pt>
              <c:pt idx="4">
                <c:v>М88</c:v>
              </c:pt>
              <c:pt idx="5">
                <c:v>М87УМН</c:v>
              </c:pt>
              <c:pt idx="6">
                <c:v>М87УМП</c:v>
              </c:pt>
              <c:pt idx="7">
                <c:v>КД90</c:v>
              </c:pt>
              <c:pt idx="8">
                <c:v>МТ</c:v>
              </c:pt>
              <c:pt idx="9">
                <c:v>КДД</c:v>
              </c:pt>
              <c:pt idx="10">
                <c:v>МК75</c:v>
              </c:pt>
              <c:pt idx="11">
                <c:v>М138</c:v>
              </c:pt>
              <c:pt idx="12">
                <c:v>1УКП</c:v>
              </c:pt>
            </c:strLit>
          </c:cat>
          <c:val>
            <c:numLit>
              <c:formatCode>General</c:formatCode>
              <c:ptCount val="13"/>
              <c:pt idx="0">
                <c:v>0.95</c:v>
              </c:pt>
              <c:pt idx="1">
                <c:v>1.2</c:v>
              </c:pt>
              <c:pt idx="2">
                <c:v>1.2</c:v>
              </c:pt>
              <c:pt idx="3">
                <c:v>1.4</c:v>
              </c:pt>
              <c:pt idx="4">
                <c:v>1.4</c:v>
              </c:pt>
              <c:pt idx="5">
                <c:v>1.95</c:v>
              </c:pt>
              <c:pt idx="6">
                <c:v>1.95</c:v>
              </c:pt>
              <c:pt idx="7">
                <c:v>2</c:v>
              </c:pt>
              <c:pt idx="8">
                <c:v>2</c:v>
              </c:pt>
              <c:pt idx="9">
                <c:v>2</c:v>
              </c:pt>
              <c:pt idx="10">
                <c:v>2.2000000000000002</c:v>
              </c:pt>
              <c:pt idx="11">
                <c:v>2.5</c:v>
              </c:pt>
              <c:pt idx="12">
                <c:v>2.5</c:v>
              </c:pt>
            </c:numLit>
          </c:val>
        </c:ser>
        <c:dLbls>
          <c:showLegendKey val="0"/>
          <c:showVal val="0"/>
          <c:showCatName val="0"/>
          <c:showSerName val="0"/>
          <c:showPercent val="0"/>
          <c:showBubbleSize val="0"/>
        </c:dLbls>
        <c:gapWidth val="150"/>
        <c:shape val="box"/>
        <c:axId val="49794048"/>
        <c:axId val="49804032"/>
        <c:axId val="0"/>
      </c:bar3DChart>
      <c:catAx>
        <c:axId val="4979404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300" b="0" i="0" u="none" strike="noStrike" baseline="0">
                <a:solidFill>
                  <a:srgbClr val="000000"/>
                </a:solidFill>
                <a:latin typeface="Arial Cyr"/>
                <a:ea typeface="Arial Cyr"/>
                <a:cs typeface="Arial Cyr"/>
              </a:defRPr>
            </a:pPr>
            <a:endParaRPr lang="ru-RU"/>
          </a:p>
        </c:txPr>
        <c:crossAx val="49804032"/>
        <c:crosses val="autoZero"/>
        <c:auto val="1"/>
        <c:lblAlgn val="ctr"/>
        <c:lblOffset val="100"/>
        <c:tickLblSkip val="1"/>
        <c:tickMarkSkip val="1"/>
        <c:noMultiLvlLbl val="0"/>
      </c:catAx>
      <c:valAx>
        <c:axId val="4980403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Cyr"/>
                <a:ea typeface="Arial Cyr"/>
                <a:cs typeface="Arial Cyr"/>
              </a:defRPr>
            </a:pPr>
            <a:endParaRPr lang="ru-RU"/>
          </a:p>
        </c:txPr>
        <c:crossAx val="49794048"/>
        <c:crosses val="autoZero"/>
        <c:crossBetween val="between"/>
        <c:majorUnit val="0.2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75" b="1" i="0" u="none" strike="noStrike" baseline="0">
                <a:solidFill>
                  <a:srgbClr val="000000"/>
                </a:solidFill>
                <a:latin typeface="Arial Cyr"/>
                <a:ea typeface="Arial Cyr"/>
                <a:cs typeface="Arial Cyr"/>
              </a:defRPr>
            </a:pPr>
            <a:r>
              <a:rPr lang="de-DE"/>
              <a:t>Verwendungsbereich der Walzschrämladern hinsichtlich der Flözmächtigkeit</a:t>
            </a:r>
          </a:p>
        </c:rich>
      </c:tx>
      <c:overlay val="0"/>
      <c:spPr>
        <a:noFill/>
        <a:ln w="25400">
          <a:noFill/>
        </a:ln>
      </c:spPr>
    </c:title>
    <c:autoTitleDeleted val="0"/>
    <c:view3D>
      <c:rotX val="15"/>
      <c:hPercent val="7"/>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mmin</c:v>
          </c:tx>
          <c:spPr>
            <a:solidFill>
              <a:srgbClr val="9999FF"/>
            </a:solidFill>
            <a:ln w="12700">
              <a:solidFill>
                <a:srgbClr val="000000"/>
              </a:solidFill>
              <a:prstDash val="solid"/>
            </a:ln>
          </c:spPr>
          <c:invertIfNegative val="0"/>
          <c:cat>
            <c:strLit>
              <c:ptCount val="13"/>
              <c:pt idx="0">
                <c:v>1К101У</c:v>
              </c:pt>
              <c:pt idx="1">
                <c:v>К103М</c:v>
              </c:pt>
              <c:pt idx="2">
                <c:v>КА80</c:v>
              </c:pt>
              <c:pt idx="3">
                <c:v>1K101УД</c:v>
              </c:pt>
              <c:pt idx="4">
                <c:v>ГШ200Б</c:v>
              </c:pt>
              <c:pt idx="5">
                <c:v>ГШ200В</c:v>
              </c:pt>
              <c:pt idx="6">
                <c:v>2К52М</c:v>
              </c:pt>
              <c:pt idx="7">
                <c:v>РКУ10</c:v>
              </c:pt>
              <c:pt idx="8">
                <c:v>1ГШ68</c:v>
              </c:pt>
              <c:pt idx="9">
                <c:v>2ГШ68</c:v>
              </c:pt>
              <c:pt idx="10">
                <c:v>РКУ13</c:v>
              </c:pt>
              <c:pt idx="11">
                <c:v>ГШ500</c:v>
              </c:pt>
              <c:pt idx="12">
                <c:v>КШ1КГУ</c:v>
              </c:pt>
            </c:strLit>
          </c:cat>
          <c:val>
            <c:numLit>
              <c:formatCode>General</c:formatCode>
              <c:ptCount val="13"/>
              <c:pt idx="0">
                <c:v>0.8</c:v>
              </c:pt>
              <c:pt idx="1">
                <c:v>0.6</c:v>
              </c:pt>
              <c:pt idx="2">
                <c:v>0.6</c:v>
              </c:pt>
              <c:pt idx="3">
                <c:v>0.95</c:v>
              </c:pt>
              <c:pt idx="4">
                <c:v>0.95</c:v>
              </c:pt>
              <c:pt idx="5">
                <c:v>0.95</c:v>
              </c:pt>
              <c:pt idx="6">
                <c:v>1</c:v>
              </c:pt>
              <c:pt idx="7">
                <c:v>1.1000000000000001</c:v>
              </c:pt>
              <c:pt idx="8">
                <c:v>1.1000000000000001</c:v>
              </c:pt>
              <c:pt idx="9">
                <c:v>1.1000000000000001</c:v>
              </c:pt>
              <c:pt idx="10">
                <c:v>1.35</c:v>
              </c:pt>
              <c:pt idx="11">
                <c:v>1.3</c:v>
              </c:pt>
              <c:pt idx="12">
                <c:v>1.6</c:v>
              </c:pt>
            </c:numLit>
          </c:val>
        </c:ser>
        <c:ser>
          <c:idx val="1"/>
          <c:order val="1"/>
          <c:tx>
            <c:v>mmax</c:v>
          </c:tx>
          <c:spPr>
            <a:solidFill>
              <a:srgbClr val="993366"/>
            </a:solidFill>
            <a:ln w="12700">
              <a:solidFill>
                <a:srgbClr val="000000"/>
              </a:solidFill>
              <a:prstDash val="solid"/>
            </a:ln>
          </c:spPr>
          <c:invertIfNegative val="0"/>
          <c:cat>
            <c:strLit>
              <c:ptCount val="13"/>
              <c:pt idx="0">
                <c:v>1К101У</c:v>
              </c:pt>
              <c:pt idx="1">
                <c:v>К103М</c:v>
              </c:pt>
              <c:pt idx="2">
                <c:v>КА80</c:v>
              </c:pt>
              <c:pt idx="3">
                <c:v>1K101УД</c:v>
              </c:pt>
              <c:pt idx="4">
                <c:v>ГШ200Б</c:v>
              </c:pt>
              <c:pt idx="5">
                <c:v>ГШ200В</c:v>
              </c:pt>
              <c:pt idx="6">
                <c:v>2К52М</c:v>
              </c:pt>
              <c:pt idx="7">
                <c:v>РКУ10</c:v>
              </c:pt>
              <c:pt idx="8">
                <c:v>1ГШ68</c:v>
              </c:pt>
              <c:pt idx="9">
                <c:v>2ГШ68</c:v>
              </c:pt>
              <c:pt idx="10">
                <c:v>РКУ13</c:v>
              </c:pt>
              <c:pt idx="11">
                <c:v>ГШ500</c:v>
              </c:pt>
              <c:pt idx="12">
                <c:v>КШ1КГУ</c:v>
              </c:pt>
            </c:strLit>
          </c:cat>
          <c:val>
            <c:numLit>
              <c:formatCode>General</c:formatCode>
              <c:ptCount val="13"/>
              <c:pt idx="0">
                <c:v>1.2</c:v>
              </c:pt>
              <c:pt idx="1">
                <c:v>1.2</c:v>
              </c:pt>
              <c:pt idx="2">
                <c:v>1.2</c:v>
              </c:pt>
              <c:pt idx="3">
                <c:v>1.3</c:v>
              </c:pt>
              <c:pt idx="4">
                <c:v>1.5</c:v>
              </c:pt>
              <c:pt idx="5">
                <c:v>1.5</c:v>
              </c:pt>
              <c:pt idx="6">
                <c:v>1.7</c:v>
              </c:pt>
              <c:pt idx="7">
                <c:v>1.93</c:v>
              </c:pt>
              <c:pt idx="8">
                <c:v>2.5</c:v>
              </c:pt>
              <c:pt idx="9">
                <c:v>2.5</c:v>
              </c:pt>
              <c:pt idx="10">
                <c:v>2.6</c:v>
              </c:pt>
              <c:pt idx="11">
                <c:v>2.7</c:v>
              </c:pt>
              <c:pt idx="12">
                <c:v>3.2</c:v>
              </c:pt>
            </c:numLit>
          </c:val>
        </c:ser>
        <c:dLbls>
          <c:showLegendKey val="0"/>
          <c:showVal val="0"/>
          <c:showCatName val="0"/>
          <c:showSerName val="0"/>
          <c:showPercent val="0"/>
          <c:showBubbleSize val="0"/>
        </c:dLbls>
        <c:gapWidth val="150"/>
        <c:shape val="box"/>
        <c:axId val="49440256"/>
        <c:axId val="49441792"/>
        <c:axId val="0"/>
      </c:bar3DChart>
      <c:catAx>
        <c:axId val="4944025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RU"/>
          </a:p>
        </c:txPr>
        <c:crossAx val="49441792"/>
        <c:crosses val="autoZero"/>
        <c:auto val="1"/>
        <c:lblAlgn val="ctr"/>
        <c:lblOffset val="100"/>
        <c:tickLblSkip val="1"/>
        <c:tickMarkSkip val="1"/>
        <c:noMultiLvlLbl val="0"/>
      </c:catAx>
      <c:valAx>
        <c:axId val="494417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RU"/>
          </a:p>
        </c:txPr>
        <c:crossAx val="49440256"/>
        <c:crosses val="autoZero"/>
        <c:crossBetween val="between"/>
        <c:majorUnit val="0.2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none"/>
          </c:marker>
          <c:xVal>
            <c:numLit>
              <c:formatCode>General</c:formatCode>
              <c:ptCount val="1"/>
              <c:pt idx="0">
                <c:v>0</c:v>
              </c:pt>
            </c:numLit>
          </c:xVal>
          <c:yVal>
            <c:numLit>
              <c:formatCode>General</c:formatCode>
              <c:ptCount val="1"/>
              <c:pt idx="0">
                <c:v>0</c:v>
              </c:pt>
            </c:numLit>
          </c:yVal>
          <c:smooth val="1"/>
        </c:ser>
        <c:dLbls>
          <c:showLegendKey val="0"/>
          <c:showVal val="0"/>
          <c:showCatName val="0"/>
          <c:showSerName val="0"/>
          <c:showPercent val="0"/>
          <c:showBubbleSize val="0"/>
        </c:dLbls>
        <c:axId val="49470080"/>
        <c:axId val="49480448"/>
      </c:scatterChart>
      <c:valAx>
        <c:axId val="49470080"/>
        <c:scaling>
          <c:orientation val="minMax"/>
        </c:scaling>
        <c:delete val="0"/>
        <c:axPos val="b"/>
        <c:title>
          <c:tx>
            <c:rich>
              <a:bodyPr/>
              <a:lstStyle/>
              <a:p>
                <a:pPr>
                  <a:defRPr sz="225" b="1" i="0" u="none" strike="noStrike" baseline="0">
                    <a:solidFill>
                      <a:srgbClr val="000000"/>
                    </a:solidFill>
                    <a:latin typeface="Arial Cyr"/>
                    <a:ea typeface="Arial Cyr"/>
                    <a:cs typeface="Arial Cyr"/>
                  </a:defRPr>
                </a:pPr>
                <a:r>
                  <a:rPr lang="ru-RU"/>
                  <a:t>размер пая, м</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25" b="0" i="0" u="none" strike="noStrike" baseline="0">
                <a:solidFill>
                  <a:srgbClr val="000000"/>
                </a:solidFill>
                <a:latin typeface="Arial Cyr"/>
                <a:ea typeface="Arial Cyr"/>
                <a:cs typeface="Arial Cyr"/>
              </a:defRPr>
            </a:pPr>
            <a:endParaRPr lang="ru-RU"/>
          </a:p>
        </c:txPr>
        <c:crossAx val="49480448"/>
        <c:crosses val="autoZero"/>
        <c:crossBetween val="midCat"/>
      </c:valAx>
      <c:valAx>
        <c:axId val="49480448"/>
        <c:scaling>
          <c:orientation val="minMax"/>
        </c:scaling>
        <c:delete val="0"/>
        <c:axPos val="l"/>
        <c:majorGridlines>
          <c:spPr>
            <a:ln w="3175">
              <a:solidFill>
                <a:srgbClr val="000000"/>
              </a:solidFill>
              <a:prstDash val="solid"/>
            </a:ln>
          </c:spPr>
        </c:majorGridlines>
        <c:title>
          <c:tx>
            <c:rich>
              <a:bodyPr/>
              <a:lstStyle/>
              <a:p>
                <a:pPr>
                  <a:defRPr sz="225" b="1" i="0" u="none" strike="noStrike" baseline="0">
                    <a:solidFill>
                      <a:srgbClr val="000000"/>
                    </a:solidFill>
                    <a:latin typeface="Arial Cyr"/>
                    <a:ea typeface="Arial Cyr"/>
                    <a:cs typeface="Arial Cyr"/>
                  </a:defRPr>
                </a:pPr>
                <a:r>
                  <a:rPr lang="ru-RU"/>
                  <a:t>% выполнения нормы выработки</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25" b="0" i="0" u="none" strike="noStrike" baseline="0">
                <a:solidFill>
                  <a:srgbClr val="000000"/>
                </a:solidFill>
                <a:latin typeface="Arial Cyr"/>
                <a:ea typeface="Arial Cyr"/>
                <a:cs typeface="Arial Cyr"/>
              </a:defRPr>
            </a:pPr>
            <a:endParaRPr lang="ru-RU"/>
          </a:p>
        </c:txPr>
        <c:crossAx val="49470080"/>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Cyr"/>
                <a:ea typeface="Arial Cyr"/>
                <a:cs typeface="Arial Cyr"/>
              </a:defRPr>
            </a:pPr>
            <a:r>
              <a:rPr lang="ru-RU"/>
              <a:t>Норма расхода ВВ</a:t>
            </a:r>
          </a:p>
        </c:rich>
      </c:tx>
      <c:layout>
        <c:manualLayout>
          <c:xMode val="edge"/>
          <c:yMode val="edge"/>
          <c:x val="0.17311609633701447"/>
          <c:y val="4.5454572415736166E-2"/>
        </c:manualLayout>
      </c:layout>
      <c:overlay val="0"/>
      <c:spPr>
        <a:noFill/>
        <a:ln w="25400">
          <a:noFill/>
        </a:ln>
      </c:spPr>
    </c:title>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xVal>
            <c:numLit>
              <c:formatCode>General</c:formatCode>
              <c:ptCount val="8"/>
              <c:pt idx="0">
                <c:v>4</c:v>
              </c:pt>
              <c:pt idx="1">
                <c:v>6</c:v>
              </c:pt>
              <c:pt idx="2">
                <c:v>8</c:v>
              </c:pt>
              <c:pt idx="3">
                <c:v>10</c:v>
              </c:pt>
              <c:pt idx="4">
                <c:v>12</c:v>
              </c:pt>
              <c:pt idx="5">
                <c:v>14</c:v>
              </c:pt>
              <c:pt idx="6">
                <c:v>16</c:v>
              </c:pt>
              <c:pt idx="7">
                <c:v>18</c:v>
              </c:pt>
            </c:numLit>
          </c:xVal>
          <c:yVal>
            <c:numLit>
              <c:formatCode>General</c:formatCode>
              <c:ptCount val="8"/>
              <c:pt idx="0">
                <c:v>7.28</c:v>
              </c:pt>
              <c:pt idx="1">
                <c:v>9.3000000000000007</c:v>
              </c:pt>
              <c:pt idx="2">
                <c:v>11.04</c:v>
              </c:pt>
              <c:pt idx="3">
                <c:v>12.06</c:v>
              </c:pt>
              <c:pt idx="4">
                <c:v>14.04</c:v>
              </c:pt>
              <c:pt idx="5">
                <c:v>15.4</c:v>
              </c:pt>
              <c:pt idx="6">
                <c:v>16.64</c:v>
              </c:pt>
              <c:pt idx="7">
                <c:v>17.82</c:v>
              </c:pt>
            </c:numLit>
          </c:yVal>
          <c:smooth val="1"/>
        </c:ser>
        <c:dLbls>
          <c:showLegendKey val="0"/>
          <c:showVal val="0"/>
          <c:showCatName val="0"/>
          <c:showSerName val="0"/>
          <c:showPercent val="0"/>
          <c:showBubbleSize val="0"/>
        </c:dLbls>
        <c:axId val="49508352"/>
        <c:axId val="49510272"/>
      </c:scatterChart>
      <c:valAx>
        <c:axId val="495083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49510272"/>
        <c:crosses val="autoZero"/>
        <c:crossBetween val="midCat"/>
      </c:valAx>
      <c:valAx>
        <c:axId val="4951027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49508352"/>
        <c:crosses val="autoZero"/>
        <c:crossBetween val="midCat"/>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imes New Roman"/>
                <a:ea typeface="Times New Roman"/>
                <a:cs typeface="Times New Roman"/>
              </a:defRPr>
            </a:pPr>
            <a:r>
              <a:rPr lang="ru-RU"/>
              <a:t>Нагрузка на лаву, т/сутки (по производительности оборудования)</a:t>
            </a:r>
          </a:p>
        </c:rich>
      </c:tx>
      <c:layout>
        <c:manualLayout>
          <c:xMode val="edge"/>
          <c:yMode val="edge"/>
          <c:x val="0.13723007243566876"/>
          <c:y val="1.9607918228853511E-2"/>
        </c:manualLayout>
      </c:layout>
      <c:overlay val="0"/>
      <c:spPr>
        <a:noFill/>
        <a:ln w="25400">
          <a:noFill/>
        </a:ln>
      </c:spPr>
    </c:title>
    <c:autoTitleDeleted val="0"/>
    <c:plotArea>
      <c:layout>
        <c:manualLayout>
          <c:layoutTarget val="inner"/>
          <c:xMode val="edge"/>
          <c:yMode val="edge"/>
          <c:x val="4.3202059840858682E-2"/>
          <c:y val="0.28235402249549058"/>
          <c:w val="0.92376169130306651"/>
          <c:h val="0.38823678093129954"/>
        </c:manualLayout>
      </c:layout>
      <c:scatterChart>
        <c:scatterStyle val="smoothMarker"/>
        <c:varyColors val="0"/>
        <c:ser>
          <c:idx val="0"/>
          <c:order val="0"/>
          <c:tx>
            <c:strRef>
              <c:f>kursovoy!$A$990</c:f>
              <c:strCache>
                <c:ptCount val="1"/>
                <c:pt idx="0">
                  <c:v>Нагрузка на лаву, т/сутки (по возможностям оборудования)</c:v>
                </c:pt>
              </c:strCache>
            </c:strRef>
          </c:tx>
          <c:spPr>
            <a:ln w="25400">
              <a:solidFill>
                <a:srgbClr val="000080"/>
              </a:solidFill>
              <a:prstDash val="solid"/>
            </a:ln>
          </c:spPr>
          <c:marker>
            <c:symbol val="none"/>
          </c:marker>
          <c:xVal>
            <c:numRef>
              <c:f>kursovoy!$B$989:$F$989</c:f>
              <c:numCache>
                <c:formatCode>General</c:formatCode>
                <c:ptCount val="5"/>
                <c:pt idx="0">
                  <c:v>100</c:v>
                </c:pt>
                <c:pt idx="1">
                  <c:v>150</c:v>
                </c:pt>
                <c:pt idx="2">
                  <c:v>200</c:v>
                </c:pt>
                <c:pt idx="3">
                  <c:v>250</c:v>
                </c:pt>
                <c:pt idx="4">
                  <c:v>300</c:v>
                </c:pt>
              </c:numCache>
            </c:numRef>
          </c:xVal>
          <c:yVal>
            <c:numRef>
              <c:f>kursovoy!$B$990:$F$990</c:f>
              <c:numCache>
                <c:formatCode>0</c:formatCode>
                <c:ptCount val="5"/>
                <c:pt idx="0">
                  <c:v>0</c:v>
                </c:pt>
                <c:pt idx="1">
                  <c:v>0</c:v>
                </c:pt>
                <c:pt idx="2">
                  <c:v>0</c:v>
                </c:pt>
                <c:pt idx="3">
                  <c:v>0</c:v>
                </c:pt>
                <c:pt idx="4">
                  <c:v>0</c:v>
                </c:pt>
              </c:numCache>
            </c:numRef>
          </c:yVal>
          <c:smooth val="1"/>
        </c:ser>
        <c:dLbls>
          <c:showLegendKey val="0"/>
          <c:showVal val="0"/>
          <c:showCatName val="0"/>
          <c:showSerName val="0"/>
          <c:showPercent val="0"/>
          <c:showBubbleSize val="0"/>
        </c:dLbls>
        <c:axId val="45033728"/>
        <c:axId val="45048192"/>
      </c:scatterChart>
      <c:valAx>
        <c:axId val="45033728"/>
        <c:scaling>
          <c:orientation val="minMax"/>
          <c:min val="100"/>
        </c:scaling>
        <c:delete val="0"/>
        <c:axPos val="b"/>
        <c:title>
          <c:tx>
            <c:rich>
              <a:bodyPr/>
              <a:lstStyle/>
              <a:p>
                <a:pPr>
                  <a:defRPr sz="1200" b="1" i="0" u="none" strike="noStrike" baseline="0">
                    <a:solidFill>
                      <a:srgbClr val="000000"/>
                    </a:solidFill>
                    <a:latin typeface="Arial Cyr"/>
                    <a:ea typeface="Arial Cyr"/>
                    <a:cs typeface="Arial Cyr"/>
                  </a:defRPr>
                </a:pPr>
                <a:r>
                  <a:rPr lang="ru-RU"/>
                  <a:t>Длина лавы, м</a:t>
                </a:r>
              </a:p>
            </c:rich>
          </c:tx>
          <c:layout>
            <c:manualLayout>
              <c:xMode val="edge"/>
              <c:yMode val="edge"/>
              <c:x val="0.42693800313319169"/>
              <c:y val="0.7921598964456818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45048192"/>
        <c:crosses val="autoZero"/>
        <c:crossBetween val="midCat"/>
      </c:valAx>
      <c:valAx>
        <c:axId val="4504819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45033728"/>
        <c:crosses val="autoZero"/>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itle>
    <c:autoTitleDeleted val="0"/>
    <c:plotArea>
      <c:layout/>
      <c:scatterChart>
        <c:scatterStyle val="smoothMarker"/>
        <c:varyColors val="0"/>
        <c:ser>
          <c:idx val="0"/>
          <c:order val="0"/>
          <c:tx>
            <c:v>#ССЫЛКА!</c:v>
          </c:tx>
          <c:marker>
            <c:symbol val="diamond"/>
            <c:size val="7"/>
          </c:marker>
          <c:trendline>
            <c:trendlineType val="power"/>
            <c:dispRSqr val="0"/>
            <c:dispEq val="0"/>
          </c:trendline>
          <c:trendline>
            <c:trendlineType val="linear"/>
            <c:dispRSqr val="0"/>
            <c:dispEq val="1"/>
            <c:trendlineLbl>
              <c:layout>
                <c:manualLayout>
                  <c:x val="0.32871391076115486"/>
                  <c:y val="-9.2950933216681242E-2"/>
                </c:manualLayout>
              </c:layout>
              <c:numFmt formatCode="General" sourceLinked="0"/>
              <c:spPr>
                <a:noFill/>
                <a:ln w="25400">
                  <a:noFill/>
                </a:ln>
              </c:spPr>
            </c:trendlineLbl>
          </c:trendline>
          <c:xVal>
            <c:numLit>
              <c:formatCode>General</c:formatCode>
              <c:ptCount val="1"/>
              <c:pt idx="0">
                <c:v>0</c:v>
              </c:pt>
            </c:numLit>
          </c:xVal>
          <c:yVal>
            <c:numLit>
              <c:formatCode>General</c:formatCode>
              <c:ptCount val="1"/>
              <c:pt idx="0">
                <c:v>0</c:v>
              </c:pt>
            </c:numLit>
          </c:yVal>
          <c:smooth val="1"/>
        </c:ser>
        <c:dLbls>
          <c:showLegendKey val="0"/>
          <c:showVal val="0"/>
          <c:showCatName val="0"/>
          <c:showSerName val="0"/>
          <c:showPercent val="0"/>
          <c:showBubbleSize val="0"/>
        </c:dLbls>
        <c:axId val="49527808"/>
        <c:axId val="49529600"/>
      </c:scatterChart>
      <c:valAx>
        <c:axId val="49527808"/>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ru-RU"/>
          </a:p>
        </c:txPr>
        <c:crossAx val="49529600"/>
        <c:crosses val="autoZero"/>
        <c:crossBetween val="midCat"/>
      </c:valAx>
      <c:valAx>
        <c:axId val="49529600"/>
        <c:scaling>
          <c:orientation val="minMax"/>
        </c:scaling>
        <c:delete val="0"/>
        <c:axPos val="l"/>
        <c:majorGridlines/>
        <c:numFmt formatCode="General" sourceLinked="1"/>
        <c:majorTickMark val="out"/>
        <c:minorTickMark val="none"/>
        <c:tickLblPos val="nextTo"/>
        <c:crossAx val="49527808"/>
        <c:crosses val="autoZero"/>
        <c:crossBetween val="midCat"/>
      </c:valAx>
    </c:plotArea>
    <c:legend>
      <c:legendPos val="r"/>
      <c:overlay val="0"/>
    </c:legend>
    <c:plotVisOnly val="1"/>
    <c:dispBlanksAs val="gap"/>
    <c:showDLblsOverMax val="0"/>
  </c:chart>
  <c:printSettings>
    <c:headerFooter alignWithMargins="0"/>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570091140182283E-2"/>
          <c:y val="3.4158955214097501E-2"/>
          <c:w val="0.88874172185430467"/>
          <c:h val="0.67241379310344829"/>
        </c:manualLayout>
      </c:layout>
      <c:scatterChart>
        <c:scatterStyle val="smoothMarker"/>
        <c:varyColors val="0"/>
        <c:ser>
          <c:idx val="0"/>
          <c:order val="0"/>
          <c:spPr>
            <a:ln w="25400">
              <a:solidFill>
                <a:srgbClr val="000080"/>
              </a:solidFill>
              <a:prstDash val="solid"/>
            </a:ln>
          </c:spPr>
          <c:marker>
            <c:symbol val="none"/>
          </c:marker>
          <c:xVal>
            <c:numRef>
              <c:f>ком!$E$65:$I$65</c:f>
              <c:numCache>
                <c:formatCode>General</c:formatCode>
                <c:ptCount val="5"/>
                <c:pt idx="0">
                  <c:v>100</c:v>
                </c:pt>
                <c:pt idx="1">
                  <c:v>150</c:v>
                </c:pt>
                <c:pt idx="2">
                  <c:v>200</c:v>
                </c:pt>
                <c:pt idx="3">
                  <c:v>250</c:v>
                </c:pt>
                <c:pt idx="4">
                  <c:v>300</c:v>
                </c:pt>
              </c:numCache>
            </c:numRef>
          </c:xVal>
          <c:yVal>
            <c:numRef>
              <c:f>ком!$C$84:$G$84</c:f>
              <c:numCache>
                <c:formatCode>0</c:formatCode>
                <c:ptCount val="5"/>
                <c:pt idx="0">
                  <c:v>0</c:v>
                </c:pt>
                <c:pt idx="1">
                  <c:v>0</c:v>
                </c:pt>
                <c:pt idx="2">
                  <c:v>0</c:v>
                </c:pt>
                <c:pt idx="3">
                  <c:v>0</c:v>
                </c:pt>
                <c:pt idx="4">
                  <c:v>0</c:v>
                </c:pt>
              </c:numCache>
            </c:numRef>
          </c:yVal>
          <c:smooth val="1"/>
        </c:ser>
        <c:dLbls>
          <c:showLegendKey val="0"/>
          <c:showVal val="0"/>
          <c:showCatName val="0"/>
          <c:showSerName val="0"/>
          <c:showPercent val="0"/>
          <c:showBubbleSize val="0"/>
        </c:dLbls>
        <c:axId val="49648384"/>
        <c:axId val="49650304"/>
      </c:scatterChart>
      <c:valAx>
        <c:axId val="49648384"/>
        <c:scaling>
          <c:orientation val="minMax"/>
        </c:scaling>
        <c:delete val="0"/>
        <c:axPos val="b"/>
        <c:title>
          <c:tx>
            <c:rich>
              <a:bodyPr/>
              <a:lstStyle/>
              <a:p>
                <a:pPr>
                  <a:defRPr sz="1000" b="1" i="0" u="none" strike="noStrike" baseline="0">
                    <a:solidFill>
                      <a:srgbClr val="000000"/>
                    </a:solidFill>
                    <a:latin typeface="Arial Cyr"/>
                    <a:ea typeface="Arial Cyr"/>
                    <a:cs typeface="Arial Cyr"/>
                  </a:defRPr>
                </a:pPr>
                <a:r>
                  <a:rPr lang="ru-RU"/>
                  <a:t>Длина лавы, м</a:t>
                </a:r>
              </a:p>
            </c:rich>
          </c:tx>
          <c:layout>
            <c:manualLayout>
              <c:xMode val="edge"/>
              <c:yMode val="edge"/>
              <c:x val="0.45430463576158941"/>
              <c:y val="0.8689655172413792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49650304"/>
        <c:crosses val="autoZero"/>
        <c:crossBetween val="midCat"/>
      </c:valAx>
      <c:valAx>
        <c:axId val="4965030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Cyr"/>
                    <a:ea typeface="Arial Cyr"/>
                    <a:cs typeface="Arial Cyr"/>
                  </a:defRPr>
                </a:pPr>
                <a:r>
                  <a:rPr lang="ru-RU"/>
                  <a:t>Нагрузка на лаву, т/сутки</a:t>
                </a:r>
              </a:p>
            </c:rich>
          </c:tx>
          <c:layout>
            <c:manualLayout>
              <c:xMode val="edge"/>
              <c:yMode val="edge"/>
              <c:x val="1.0693368053402773E-2"/>
              <c:y val="0.13103448778135937"/>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49648384"/>
        <c:crosses val="autoZero"/>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75" b="1" i="0" u="none" strike="noStrike" baseline="0">
                <a:solidFill>
                  <a:srgbClr val="000000"/>
                </a:solidFill>
                <a:latin typeface="Arial Cyr"/>
                <a:ea typeface="Arial Cyr"/>
                <a:cs typeface="Arial Cyr"/>
              </a:defRPr>
            </a:pPr>
            <a:r>
              <a:rPr lang="de-DE"/>
              <a:t>Verwendungsbereich der Walzschrämladern hinsichtlich der Flözmächtigkeit</a:t>
            </a:r>
          </a:p>
        </c:rich>
      </c:tx>
      <c:overlay val="0"/>
      <c:spPr>
        <a:noFill/>
        <a:ln w="25400">
          <a:noFill/>
        </a:ln>
      </c:spPr>
    </c:title>
    <c:autoTitleDeleted val="0"/>
    <c:view3D>
      <c:rotX val="15"/>
      <c:hPercent val="7"/>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mmin</c:v>
          </c:tx>
          <c:spPr>
            <a:solidFill>
              <a:srgbClr val="9999FF"/>
            </a:solidFill>
            <a:ln w="12700">
              <a:solidFill>
                <a:srgbClr val="000000"/>
              </a:solidFill>
              <a:prstDash val="solid"/>
            </a:ln>
          </c:spPr>
          <c:invertIfNegative val="0"/>
          <c:cat>
            <c:strLit>
              <c:ptCount val="13"/>
              <c:pt idx="0">
                <c:v>1К101У</c:v>
              </c:pt>
              <c:pt idx="1">
                <c:v>К103М</c:v>
              </c:pt>
              <c:pt idx="2">
                <c:v>КА80</c:v>
              </c:pt>
              <c:pt idx="3">
                <c:v>1K101УД</c:v>
              </c:pt>
              <c:pt idx="4">
                <c:v>ГШ200Б</c:v>
              </c:pt>
              <c:pt idx="5">
                <c:v>ГШ200В</c:v>
              </c:pt>
              <c:pt idx="6">
                <c:v>2К52М</c:v>
              </c:pt>
              <c:pt idx="7">
                <c:v>РКУ10</c:v>
              </c:pt>
              <c:pt idx="8">
                <c:v>1ГШ68</c:v>
              </c:pt>
              <c:pt idx="9">
                <c:v>2ГШ68</c:v>
              </c:pt>
              <c:pt idx="10">
                <c:v>РКУ13</c:v>
              </c:pt>
              <c:pt idx="11">
                <c:v>ГШ500</c:v>
              </c:pt>
              <c:pt idx="12">
                <c:v>КШ1КГУ</c:v>
              </c:pt>
            </c:strLit>
          </c:cat>
          <c:val>
            <c:numLit>
              <c:formatCode>General</c:formatCode>
              <c:ptCount val="13"/>
              <c:pt idx="0">
                <c:v>0.8</c:v>
              </c:pt>
              <c:pt idx="1">
                <c:v>0.6</c:v>
              </c:pt>
              <c:pt idx="2">
                <c:v>0.6</c:v>
              </c:pt>
              <c:pt idx="3">
                <c:v>0.95</c:v>
              </c:pt>
              <c:pt idx="4">
                <c:v>0.95</c:v>
              </c:pt>
              <c:pt idx="5">
                <c:v>0.95</c:v>
              </c:pt>
              <c:pt idx="6">
                <c:v>1</c:v>
              </c:pt>
              <c:pt idx="7">
                <c:v>1.1000000000000001</c:v>
              </c:pt>
              <c:pt idx="8">
                <c:v>1.1000000000000001</c:v>
              </c:pt>
              <c:pt idx="9">
                <c:v>1.1000000000000001</c:v>
              </c:pt>
              <c:pt idx="10">
                <c:v>1.35</c:v>
              </c:pt>
              <c:pt idx="11">
                <c:v>1.3</c:v>
              </c:pt>
              <c:pt idx="12">
                <c:v>1.6</c:v>
              </c:pt>
            </c:numLit>
          </c:val>
        </c:ser>
        <c:ser>
          <c:idx val="1"/>
          <c:order val="1"/>
          <c:tx>
            <c:v>mmax</c:v>
          </c:tx>
          <c:spPr>
            <a:solidFill>
              <a:srgbClr val="993366"/>
            </a:solidFill>
            <a:ln w="12700">
              <a:solidFill>
                <a:srgbClr val="000000"/>
              </a:solidFill>
              <a:prstDash val="solid"/>
            </a:ln>
          </c:spPr>
          <c:invertIfNegative val="0"/>
          <c:cat>
            <c:strLit>
              <c:ptCount val="13"/>
              <c:pt idx="0">
                <c:v>1К101У</c:v>
              </c:pt>
              <c:pt idx="1">
                <c:v>К103М</c:v>
              </c:pt>
              <c:pt idx="2">
                <c:v>КА80</c:v>
              </c:pt>
              <c:pt idx="3">
                <c:v>1K101УД</c:v>
              </c:pt>
              <c:pt idx="4">
                <c:v>ГШ200Б</c:v>
              </c:pt>
              <c:pt idx="5">
                <c:v>ГШ200В</c:v>
              </c:pt>
              <c:pt idx="6">
                <c:v>2К52М</c:v>
              </c:pt>
              <c:pt idx="7">
                <c:v>РКУ10</c:v>
              </c:pt>
              <c:pt idx="8">
                <c:v>1ГШ68</c:v>
              </c:pt>
              <c:pt idx="9">
                <c:v>2ГШ68</c:v>
              </c:pt>
              <c:pt idx="10">
                <c:v>РКУ13</c:v>
              </c:pt>
              <c:pt idx="11">
                <c:v>ГШ500</c:v>
              </c:pt>
              <c:pt idx="12">
                <c:v>КШ1КГУ</c:v>
              </c:pt>
            </c:strLit>
          </c:cat>
          <c:val>
            <c:numLit>
              <c:formatCode>General</c:formatCode>
              <c:ptCount val="13"/>
              <c:pt idx="0">
                <c:v>1.2</c:v>
              </c:pt>
              <c:pt idx="1">
                <c:v>1.2</c:v>
              </c:pt>
              <c:pt idx="2">
                <c:v>1.2</c:v>
              </c:pt>
              <c:pt idx="3">
                <c:v>1.3</c:v>
              </c:pt>
              <c:pt idx="4">
                <c:v>1.5</c:v>
              </c:pt>
              <c:pt idx="5">
                <c:v>1.5</c:v>
              </c:pt>
              <c:pt idx="6">
                <c:v>1.7</c:v>
              </c:pt>
              <c:pt idx="7">
                <c:v>1.93</c:v>
              </c:pt>
              <c:pt idx="8">
                <c:v>2.5</c:v>
              </c:pt>
              <c:pt idx="9">
                <c:v>2.5</c:v>
              </c:pt>
              <c:pt idx="10">
                <c:v>2.6</c:v>
              </c:pt>
              <c:pt idx="11">
                <c:v>2.7</c:v>
              </c:pt>
              <c:pt idx="12">
                <c:v>3.2</c:v>
              </c:pt>
            </c:numLit>
          </c:val>
        </c:ser>
        <c:dLbls>
          <c:showLegendKey val="0"/>
          <c:showVal val="0"/>
          <c:showCatName val="0"/>
          <c:showSerName val="0"/>
          <c:showPercent val="0"/>
          <c:showBubbleSize val="0"/>
        </c:dLbls>
        <c:gapWidth val="150"/>
        <c:shape val="box"/>
        <c:axId val="48955776"/>
        <c:axId val="48957312"/>
        <c:axId val="0"/>
      </c:bar3DChart>
      <c:catAx>
        <c:axId val="4895577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RU"/>
          </a:p>
        </c:txPr>
        <c:crossAx val="48957312"/>
        <c:crosses val="autoZero"/>
        <c:auto val="1"/>
        <c:lblAlgn val="ctr"/>
        <c:lblOffset val="100"/>
        <c:tickLblSkip val="1"/>
        <c:tickMarkSkip val="1"/>
        <c:noMultiLvlLbl val="0"/>
      </c:catAx>
      <c:valAx>
        <c:axId val="4895731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RU"/>
          </a:p>
        </c:txPr>
        <c:crossAx val="48955776"/>
        <c:crosses val="autoZero"/>
        <c:crossBetween val="between"/>
        <c:majorUnit val="0.2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Cyr"/>
                <a:ea typeface="Arial Cyr"/>
                <a:cs typeface="Arial Cyr"/>
              </a:defRPr>
            </a:pPr>
            <a:r>
              <a:rPr lang="de-DE"/>
              <a:t>Verwenungsbereich der mechanische Ausbau
hinsichtlich der Flözmächtigkeit</a:t>
            </a:r>
          </a:p>
        </c:rich>
      </c:tx>
      <c:overlay val="0"/>
      <c:spPr>
        <a:noFill/>
        <a:ln w="25400">
          <a:noFill/>
        </a:ln>
      </c:spPr>
    </c:title>
    <c:autoTitleDeleted val="0"/>
    <c:view3D>
      <c:rotX val="15"/>
      <c:hPercent val="5"/>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Gewinnende Flötmächtigkeit, m minimale</c:v>
          </c:tx>
          <c:spPr>
            <a:solidFill>
              <a:srgbClr val="9999FF"/>
            </a:solidFill>
            <a:ln w="12700">
              <a:solidFill>
                <a:srgbClr val="000000"/>
              </a:solidFill>
              <a:prstDash val="solid"/>
            </a:ln>
          </c:spPr>
          <c:invertIfNegative val="0"/>
          <c:cat>
            <c:strLit>
              <c:ptCount val="13"/>
              <c:pt idx="0">
                <c:v>М103</c:v>
              </c:pt>
              <c:pt idx="1">
                <c:v>МК98</c:v>
              </c:pt>
              <c:pt idx="2">
                <c:v>Donbass80</c:v>
              </c:pt>
              <c:pt idx="3">
                <c:v>М137</c:v>
              </c:pt>
              <c:pt idx="4">
                <c:v>М88</c:v>
              </c:pt>
              <c:pt idx="5">
                <c:v>М87УМН</c:v>
              </c:pt>
              <c:pt idx="6">
                <c:v>М87УМП</c:v>
              </c:pt>
              <c:pt idx="7">
                <c:v>КД90</c:v>
              </c:pt>
              <c:pt idx="8">
                <c:v>МТ</c:v>
              </c:pt>
              <c:pt idx="9">
                <c:v>КДД</c:v>
              </c:pt>
              <c:pt idx="10">
                <c:v>МК75</c:v>
              </c:pt>
              <c:pt idx="11">
                <c:v>М138</c:v>
              </c:pt>
              <c:pt idx="12">
                <c:v>1УКП</c:v>
              </c:pt>
            </c:strLit>
          </c:cat>
          <c:val>
            <c:numLit>
              <c:formatCode>General</c:formatCode>
              <c:ptCount val="13"/>
              <c:pt idx="0">
                <c:v>0.75</c:v>
              </c:pt>
              <c:pt idx="1">
                <c:v>0.75</c:v>
              </c:pt>
              <c:pt idx="2">
                <c:v>0.85</c:v>
              </c:pt>
              <c:pt idx="3">
                <c:v>0.8</c:v>
              </c:pt>
              <c:pt idx="4">
                <c:v>0.95</c:v>
              </c:pt>
              <c:pt idx="5">
                <c:v>1.1499999999999999</c:v>
              </c:pt>
              <c:pt idx="6">
                <c:v>1.1499999999999999</c:v>
              </c:pt>
              <c:pt idx="7">
                <c:v>0.8</c:v>
              </c:pt>
              <c:pt idx="8">
                <c:v>1.1499999999999999</c:v>
              </c:pt>
              <c:pt idx="9">
                <c:v>1.35</c:v>
              </c:pt>
              <c:pt idx="10">
                <c:v>1.6</c:v>
              </c:pt>
              <c:pt idx="11">
                <c:v>1.1000000000000001</c:v>
              </c:pt>
              <c:pt idx="12">
                <c:v>1.2</c:v>
              </c:pt>
            </c:numLit>
          </c:val>
        </c:ser>
        <c:ser>
          <c:idx val="1"/>
          <c:order val="1"/>
          <c:tx>
            <c:v>Gewinnende Flötmächtigkeit, m maxima-le</c:v>
          </c:tx>
          <c:spPr>
            <a:solidFill>
              <a:srgbClr val="993366"/>
            </a:solidFill>
            <a:ln w="12700">
              <a:solidFill>
                <a:srgbClr val="000000"/>
              </a:solidFill>
              <a:prstDash val="solid"/>
            </a:ln>
          </c:spPr>
          <c:invertIfNegative val="0"/>
          <c:cat>
            <c:strLit>
              <c:ptCount val="13"/>
              <c:pt idx="0">
                <c:v>М103</c:v>
              </c:pt>
              <c:pt idx="1">
                <c:v>МК98</c:v>
              </c:pt>
              <c:pt idx="2">
                <c:v>Donbass80</c:v>
              </c:pt>
              <c:pt idx="3">
                <c:v>М137</c:v>
              </c:pt>
              <c:pt idx="4">
                <c:v>М88</c:v>
              </c:pt>
              <c:pt idx="5">
                <c:v>М87УМН</c:v>
              </c:pt>
              <c:pt idx="6">
                <c:v>М87УМП</c:v>
              </c:pt>
              <c:pt idx="7">
                <c:v>КД90</c:v>
              </c:pt>
              <c:pt idx="8">
                <c:v>МТ</c:v>
              </c:pt>
              <c:pt idx="9">
                <c:v>КДД</c:v>
              </c:pt>
              <c:pt idx="10">
                <c:v>МК75</c:v>
              </c:pt>
              <c:pt idx="11">
                <c:v>М138</c:v>
              </c:pt>
              <c:pt idx="12">
                <c:v>1УКП</c:v>
              </c:pt>
            </c:strLit>
          </c:cat>
          <c:val>
            <c:numLit>
              <c:formatCode>General</c:formatCode>
              <c:ptCount val="13"/>
              <c:pt idx="0">
                <c:v>0.95</c:v>
              </c:pt>
              <c:pt idx="1">
                <c:v>1.2</c:v>
              </c:pt>
              <c:pt idx="2">
                <c:v>1.2</c:v>
              </c:pt>
              <c:pt idx="3">
                <c:v>1.4</c:v>
              </c:pt>
              <c:pt idx="4">
                <c:v>1.4</c:v>
              </c:pt>
              <c:pt idx="5">
                <c:v>1.95</c:v>
              </c:pt>
              <c:pt idx="6">
                <c:v>1.95</c:v>
              </c:pt>
              <c:pt idx="7">
                <c:v>2</c:v>
              </c:pt>
              <c:pt idx="8">
                <c:v>2</c:v>
              </c:pt>
              <c:pt idx="9">
                <c:v>2</c:v>
              </c:pt>
              <c:pt idx="10">
                <c:v>2.2000000000000002</c:v>
              </c:pt>
              <c:pt idx="11">
                <c:v>2.5</c:v>
              </c:pt>
              <c:pt idx="12">
                <c:v>2.5</c:v>
              </c:pt>
            </c:numLit>
          </c:val>
        </c:ser>
        <c:dLbls>
          <c:showLegendKey val="0"/>
          <c:showVal val="0"/>
          <c:showCatName val="0"/>
          <c:showSerName val="0"/>
          <c:showPercent val="0"/>
          <c:showBubbleSize val="0"/>
        </c:dLbls>
        <c:gapWidth val="150"/>
        <c:shape val="box"/>
        <c:axId val="49007232"/>
        <c:axId val="49009024"/>
        <c:axId val="0"/>
      </c:bar3DChart>
      <c:catAx>
        <c:axId val="49007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300" b="0" i="0" u="none" strike="noStrike" baseline="0">
                <a:solidFill>
                  <a:srgbClr val="000000"/>
                </a:solidFill>
                <a:latin typeface="Arial Cyr"/>
                <a:ea typeface="Arial Cyr"/>
                <a:cs typeface="Arial Cyr"/>
              </a:defRPr>
            </a:pPr>
            <a:endParaRPr lang="ru-RU"/>
          </a:p>
        </c:txPr>
        <c:crossAx val="49009024"/>
        <c:crosses val="autoZero"/>
        <c:auto val="1"/>
        <c:lblAlgn val="ctr"/>
        <c:lblOffset val="100"/>
        <c:tickLblSkip val="1"/>
        <c:tickMarkSkip val="1"/>
        <c:noMultiLvlLbl val="0"/>
      </c:catAx>
      <c:valAx>
        <c:axId val="4900902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Cyr"/>
                <a:ea typeface="Arial Cyr"/>
                <a:cs typeface="Arial Cyr"/>
              </a:defRPr>
            </a:pPr>
            <a:endParaRPr lang="ru-RU"/>
          </a:p>
        </c:txPr>
        <c:crossAx val="49007232"/>
        <c:crosses val="autoZero"/>
        <c:crossBetween val="between"/>
        <c:majorUnit val="0.2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75" b="1" i="0" u="none" strike="noStrike" baseline="0">
                <a:solidFill>
                  <a:srgbClr val="000000"/>
                </a:solidFill>
                <a:latin typeface="Arial Cyr"/>
                <a:ea typeface="Arial Cyr"/>
                <a:cs typeface="Arial Cyr"/>
              </a:defRPr>
            </a:pPr>
            <a:r>
              <a:rPr lang="de-DE"/>
              <a:t>Verwendungsbereich der Walzschrämladern hinsichtlich der Flözmächtigkeit</a:t>
            </a:r>
          </a:p>
        </c:rich>
      </c:tx>
      <c:overlay val="0"/>
      <c:spPr>
        <a:noFill/>
        <a:ln w="25400">
          <a:noFill/>
        </a:ln>
      </c:spPr>
    </c:title>
    <c:autoTitleDeleted val="0"/>
    <c:view3D>
      <c:rotX val="15"/>
      <c:hPercent val="7"/>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mmin</c:v>
          </c:tx>
          <c:spPr>
            <a:solidFill>
              <a:srgbClr val="9999FF"/>
            </a:solidFill>
            <a:ln w="12700">
              <a:solidFill>
                <a:srgbClr val="000000"/>
              </a:solidFill>
              <a:prstDash val="solid"/>
            </a:ln>
          </c:spPr>
          <c:invertIfNegative val="0"/>
          <c:cat>
            <c:strLit>
              <c:ptCount val="13"/>
              <c:pt idx="0">
                <c:v>1К101У</c:v>
              </c:pt>
              <c:pt idx="1">
                <c:v>К103М</c:v>
              </c:pt>
              <c:pt idx="2">
                <c:v>КА80</c:v>
              </c:pt>
              <c:pt idx="3">
                <c:v>1K101УД</c:v>
              </c:pt>
              <c:pt idx="4">
                <c:v>ГШ200Б</c:v>
              </c:pt>
              <c:pt idx="5">
                <c:v>ГШ200В</c:v>
              </c:pt>
              <c:pt idx="6">
                <c:v>2К52М</c:v>
              </c:pt>
              <c:pt idx="7">
                <c:v>РКУ10</c:v>
              </c:pt>
              <c:pt idx="8">
                <c:v>1ГШ68</c:v>
              </c:pt>
              <c:pt idx="9">
                <c:v>2ГШ68</c:v>
              </c:pt>
              <c:pt idx="10">
                <c:v>РКУ13</c:v>
              </c:pt>
              <c:pt idx="11">
                <c:v>ГШ500</c:v>
              </c:pt>
              <c:pt idx="12">
                <c:v>КШ1КГУ</c:v>
              </c:pt>
            </c:strLit>
          </c:cat>
          <c:val>
            <c:numLit>
              <c:formatCode>General</c:formatCode>
              <c:ptCount val="13"/>
              <c:pt idx="0">
                <c:v>0.8</c:v>
              </c:pt>
              <c:pt idx="1">
                <c:v>0.6</c:v>
              </c:pt>
              <c:pt idx="2">
                <c:v>0.6</c:v>
              </c:pt>
              <c:pt idx="3">
                <c:v>0.95</c:v>
              </c:pt>
              <c:pt idx="4">
                <c:v>0.95</c:v>
              </c:pt>
              <c:pt idx="5">
                <c:v>0.95</c:v>
              </c:pt>
              <c:pt idx="6">
                <c:v>1</c:v>
              </c:pt>
              <c:pt idx="7">
                <c:v>1.1000000000000001</c:v>
              </c:pt>
              <c:pt idx="8">
                <c:v>1.1000000000000001</c:v>
              </c:pt>
              <c:pt idx="9">
                <c:v>1.1000000000000001</c:v>
              </c:pt>
              <c:pt idx="10">
                <c:v>1.35</c:v>
              </c:pt>
              <c:pt idx="11">
                <c:v>1.3</c:v>
              </c:pt>
              <c:pt idx="12">
                <c:v>1.6</c:v>
              </c:pt>
            </c:numLit>
          </c:val>
        </c:ser>
        <c:ser>
          <c:idx val="1"/>
          <c:order val="1"/>
          <c:tx>
            <c:v>mmax</c:v>
          </c:tx>
          <c:spPr>
            <a:solidFill>
              <a:srgbClr val="993366"/>
            </a:solidFill>
            <a:ln w="12700">
              <a:solidFill>
                <a:srgbClr val="000000"/>
              </a:solidFill>
              <a:prstDash val="solid"/>
            </a:ln>
          </c:spPr>
          <c:invertIfNegative val="0"/>
          <c:cat>
            <c:strLit>
              <c:ptCount val="13"/>
              <c:pt idx="0">
                <c:v>1К101У</c:v>
              </c:pt>
              <c:pt idx="1">
                <c:v>К103М</c:v>
              </c:pt>
              <c:pt idx="2">
                <c:v>КА80</c:v>
              </c:pt>
              <c:pt idx="3">
                <c:v>1K101УД</c:v>
              </c:pt>
              <c:pt idx="4">
                <c:v>ГШ200Б</c:v>
              </c:pt>
              <c:pt idx="5">
                <c:v>ГШ200В</c:v>
              </c:pt>
              <c:pt idx="6">
                <c:v>2К52М</c:v>
              </c:pt>
              <c:pt idx="7">
                <c:v>РКУ10</c:v>
              </c:pt>
              <c:pt idx="8">
                <c:v>1ГШ68</c:v>
              </c:pt>
              <c:pt idx="9">
                <c:v>2ГШ68</c:v>
              </c:pt>
              <c:pt idx="10">
                <c:v>РКУ13</c:v>
              </c:pt>
              <c:pt idx="11">
                <c:v>ГШ500</c:v>
              </c:pt>
              <c:pt idx="12">
                <c:v>КШ1КГУ</c:v>
              </c:pt>
            </c:strLit>
          </c:cat>
          <c:val>
            <c:numLit>
              <c:formatCode>General</c:formatCode>
              <c:ptCount val="13"/>
              <c:pt idx="0">
                <c:v>1.2</c:v>
              </c:pt>
              <c:pt idx="1">
                <c:v>1.2</c:v>
              </c:pt>
              <c:pt idx="2">
                <c:v>1.2</c:v>
              </c:pt>
              <c:pt idx="3">
                <c:v>1.3</c:v>
              </c:pt>
              <c:pt idx="4">
                <c:v>1.5</c:v>
              </c:pt>
              <c:pt idx="5">
                <c:v>1.5</c:v>
              </c:pt>
              <c:pt idx="6">
                <c:v>1.7</c:v>
              </c:pt>
              <c:pt idx="7">
                <c:v>1.93</c:v>
              </c:pt>
              <c:pt idx="8">
                <c:v>2.5</c:v>
              </c:pt>
              <c:pt idx="9">
                <c:v>2.5</c:v>
              </c:pt>
              <c:pt idx="10">
                <c:v>2.6</c:v>
              </c:pt>
              <c:pt idx="11">
                <c:v>2.7</c:v>
              </c:pt>
              <c:pt idx="12">
                <c:v>3.2</c:v>
              </c:pt>
            </c:numLit>
          </c:val>
        </c:ser>
        <c:dLbls>
          <c:showLegendKey val="0"/>
          <c:showVal val="0"/>
          <c:showCatName val="0"/>
          <c:showSerName val="0"/>
          <c:showPercent val="0"/>
          <c:showBubbleSize val="0"/>
        </c:dLbls>
        <c:gapWidth val="150"/>
        <c:shape val="box"/>
        <c:axId val="48714880"/>
        <c:axId val="48716416"/>
        <c:axId val="0"/>
      </c:bar3DChart>
      <c:catAx>
        <c:axId val="4871488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RU"/>
          </a:p>
        </c:txPr>
        <c:crossAx val="48716416"/>
        <c:crosses val="autoZero"/>
        <c:auto val="1"/>
        <c:lblAlgn val="ctr"/>
        <c:lblOffset val="100"/>
        <c:tickLblSkip val="1"/>
        <c:tickMarkSkip val="1"/>
        <c:noMultiLvlLbl val="0"/>
      </c:catAx>
      <c:valAx>
        <c:axId val="4871641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RU"/>
          </a:p>
        </c:txPr>
        <c:crossAx val="48714880"/>
        <c:crosses val="autoZero"/>
        <c:crossBetween val="between"/>
        <c:majorUnit val="0.2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250" b="0" i="0" u="none" strike="noStrike" baseline="0">
              <a:solidFill>
                <a:srgbClr val="000000"/>
              </a:solidFill>
              <a:latin typeface="Arial Cyr"/>
              <a:ea typeface="Arial Cyr"/>
              <a:cs typeface="Arial Cyr"/>
            </a:defRPr>
          </a:pPr>
          <a:endParaRPr lang="ru-RU"/>
        </a:p>
      </c:txPr>
    </c:title>
    <c:autoTitleDeleted val="0"/>
    <c:view3D>
      <c:rotX val="15"/>
      <c:hPercent val="5"/>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Производительность, т/час</c:v>
          </c:tx>
          <c:spPr>
            <a:solidFill>
              <a:srgbClr val="9999FF"/>
            </a:solidFill>
            <a:ln w="12700">
              <a:solidFill>
                <a:srgbClr val="000000"/>
              </a:solidFill>
              <a:prstDash val="solid"/>
            </a:ln>
          </c:spPr>
          <c:invertIfNegative val="0"/>
          <c:cat>
            <c:strLit>
              <c:ptCount val="19"/>
              <c:pt idx="0">
                <c:v>СПМ46</c:v>
              </c:pt>
              <c:pt idx="1">
                <c:v>СП48М</c:v>
              </c:pt>
              <c:pt idx="2">
                <c:v>СПЦ162</c:v>
              </c:pt>
              <c:pt idx="3">
                <c:v>СП202В1</c:v>
              </c:pt>
              <c:pt idx="4">
                <c:v>СП63М</c:v>
              </c:pt>
              <c:pt idx="5">
                <c:v>СП202</c:v>
              </c:pt>
              <c:pt idx="6">
                <c:v>СПМ87МП</c:v>
              </c:pt>
              <c:pt idx="7">
                <c:v>СПМ87МП</c:v>
              </c:pt>
              <c:pt idx="8">
                <c:v>СПЦ273</c:v>
              </c:pt>
              <c:pt idx="9">
                <c:v>СП250</c:v>
              </c:pt>
              <c:pt idx="10">
                <c:v>CУМК75</c:v>
              </c:pt>
              <c:pt idx="11">
                <c:v>СУОКП70</c:v>
              </c:pt>
              <c:pt idx="12">
                <c:v>СП301</c:v>
              </c:pt>
              <c:pt idx="13">
                <c:v>СПЦ261</c:v>
              </c:pt>
              <c:pt idx="14">
                <c:v>СП38Р</c:v>
              </c:pt>
              <c:pt idx="15">
                <c:v>СК38</c:v>
              </c:pt>
              <c:pt idx="16">
                <c:v>С53МУ</c:v>
              </c:pt>
              <c:pt idx="17">
                <c:v>СР70А</c:v>
              </c:pt>
              <c:pt idx="18">
                <c:v>СР70М</c:v>
              </c:pt>
            </c:strLit>
          </c:cat>
          <c:val>
            <c:numLit>
              <c:formatCode>General</c:formatCode>
              <c:ptCount val="19"/>
              <c:pt idx="0">
                <c:v>170</c:v>
              </c:pt>
              <c:pt idx="1">
                <c:v>250</c:v>
              </c:pt>
              <c:pt idx="2">
                <c:v>400</c:v>
              </c:pt>
              <c:pt idx="3">
                <c:v>400</c:v>
              </c:pt>
              <c:pt idx="4">
                <c:v>360</c:v>
              </c:pt>
              <c:pt idx="5">
                <c:v>500</c:v>
              </c:pt>
              <c:pt idx="6">
                <c:v>400</c:v>
              </c:pt>
              <c:pt idx="7">
                <c:v>600</c:v>
              </c:pt>
              <c:pt idx="8">
                <c:v>600</c:v>
              </c:pt>
              <c:pt idx="9">
                <c:v>400</c:v>
              </c:pt>
              <c:pt idx="10">
                <c:v>265</c:v>
              </c:pt>
              <c:pt idx="11">
                <c:v>600</c:v>
              </c:pt>
              <c:pt idx="12">
                <c:v>800</c:v>
              </c:pt>
              <c:pt idx="13">
                <c:v>800</c:v>
              </c:pt>
              <c:pt idx="14">
                <c:v>100</c:v>
              </c:pt>
              <c:pt idx="15">
                <c:v>250</c:v>
              </c:pt>
              <c:pt idx="16">
                <c:v>225</c:v>
              </c:pt>
              <c:pt idx="17">
                <c:v>260</c:v>
              </c:pt>
              <c:pt idx="18">
                <c:v>450</c:v>
              </c:pt>
            </c:numLit>
          </c:val>
        </c:ser>
        <c:dLbls>
          <c:showLegendKey val="0"/>
          <c:showVal val="0"/>
          <c:showCatName val="0"/>
          <c:showSerName val="0"/>
          <c:showPercent val="0"/>
          <c:showBubbleSize val="0"/>
        </c:dLbls>
        <c:gapWidth val="150"/>
        <c:shape val="box"/>
        <c:axId val="48753280"/>
        <c:axId val="49877376"/>
        <c:axId val="0"/>
      </c:bar3DChart>
      <c:catAx>
        <c:axId val="4875328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250" b="0" i="0" u="none" strike="noStrike" baseline="0">
                <a:solidFill>
                  <a:srgbClr val="000000"/>
                </a:solidFill>
                <a:latin typeface="Arial Cyr"/>
                <a:ea typeface="Arial Cyr"/>
                <a:cs typeface="Arial Cyr"/>
              </a:defRPr>
            </a:pPr>
            <a:endParaRPr lang="ru-RU"/>
          </a:p>
        </c:txPr>
        <c:crossAx val="49877376"/>
        <c:crosses val="autoZero"/>
        <c:auto val="1"/>
        <c:lblAlgn val="ctr"/>
        <c:lblOffset val="100"/>
        <c:tickLblSkip val="2"/>
        <c:tickMarkSkip val="1"/>
        <c:noMultiLvlLbl val="0"/>
      </c:catAx>
      <c:valAx>
        <c:axId val="4987737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Cyr"/>
                <a:ea typeface="Arial Cyr"/>
                <a:cs typeface="Arial Cyr"/>
              </a:defRPr>
            </a:pPr>
            <a:endParaRPr lang="ru-RU"/>
          </a:p>
        </c:txPr>
        <c:crossAx val="48753280"/>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75" b="1" i="0" u="none" strike="noStrike" baseline="0">
                <a:solidFill>
                  <a:srgbClr val="000000"/>
                </a:solidFill>
                <a:latin typeface="Arial Cyr"/>
                <a:ea typeface="Arial Cyr"/>
                <a:cs typeface="Arial Cyr"/>
              </a:defRPr>
            </a:pPr>
            <a:r>
              <a:rPr lang="ru-RU"/>
              <a:t>Приемная способность конвейера в полустационарном исполнении</a:t>
            </a:r>
          </a:p>
        </c:rich>
      </c:tx>
      <c:overlay val="0"/>
      <c:spPr>
        <a:noFill/>
        <a:ln w="25400">
          <a:noFill/>
        </a:ln>
      </c:spPr>
    </c:title>
    <c:autoTitleDeleted val="0"/>
    <c:view3D>
      <c:rotX val="15"/>
      <c:hPercent val="5"/>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spPr>
            <a:solidFill>
              <a:srgbClr val="9999FF"/>
            </a:solidFill>
            <a:ln w="12700">
              <a:solidFill>
                <a:srgbClr val="000000"/>
              </a:solidFill>
              <a:prstDash val="solid"/>
            </a:ln>
          </c:spPr>
          <c:invertIfNegative val="0"/>
          <c:cat>
            <c:strLit>
              <c:ptCount val="15"/>
              <c:pt idx="0">
                <c:v>1ЛУ80</c:v>
              </c:pt>
              <c:pt idx="1">
                <c:v>1ЛУ80</c:v>
              </c:pt>
              <c:pt idx="2">
                <c:v>1ЛТ80У</c:v>
              </c:pt>
              <c:pt idx="3">
                <c:v>1ЛТ80У</c:v>
              </c:pt>
              <c:pt idx="4">
                <c:v>2Л80У</c:v>
              </c:pt>
              <c:pt idx="5">
                <c:v>2Л80У</c:v>
              </c:pt>
              <c:pt idx="6">
                <c:v>2ЛТ80У</c:v>
              </c:pt>
              <c:pt idx="7">
                <c:v>2ЛТ80У</c:v>
              </c:pt>
              <c:pt idx="8">
                <c:v>2ЛБ120М</c:v>
              </c:pt>
              <c:pt idx="9">
                <c:v>2ЛБ120М</c:v>
              </c:pt>
              <c:pt idx="10">
                <c:v>1Л100У</c:v>
              </c:pt>
              <c:pt idx="11">
                <c:v>1ЛТ100У</c:v>
              </c:pt>
              <c:pt idx="12">
                <c:v>1ЛТ100У</c:v>
              </c:pt>
              <c:pt idx="13">
                <c:v>1ЛУ100</c:v>
              </c:pt>
              <c:pt idx="14">
                <c:v>2ЛТ100</c:v>
              </c:pt>
            </c:strLit>
          </c:cat>
          <c:val>
            <c:numLit>
              <c:formatCode>General</c:formatCode>
              <c:ptCount val="15"/>
              <c:pt idx="0">
                <c:v>6.5</c:v>
              </c:pt>
              <c:pt idx="1">
                <c:v>8.4</c:v>
              </c:pt>
              <c:pt idx="2">
                <c:v>6.5</c:v>
              </c:pt>
              <c:pt idx="3">
                <c:v>8.4</c:v>
              </c:pt>
              <c:pt idx="4">
                <c:v>6.5</c:v>
              </c:pt>
              <c:pt idx="5">
                <c:v>8.4</c:v>
              </c:pt>
              <c:pt idx="6">
                <c:v>6.5</c:v>
              </c:pt>
              <c:pt idx="7">
                <c:v>8.4</c:v>
              </c:pt>
              <c:pt idx="8">
                <c:v>6.5</c:v>
              </c:pt>
              <c:pt idx="9">
                <c:v>8.4</c:v>
              </c:pt>
              <c:pt idx="11">
                <c:v>10.1</c:v>
              </c:pt>
              <c:pt idx="12">
                <c:v>15.7</c:v>
              </c:pt>
            </c:numLit>
          </c:val>
        </c:ser>
        <c:dLbls>
          <c:showLegendKey val="0"/>
          <c:showVal val="0"/>
          <c:showCatName val="0"/>
          <c:showSerName val="0"/>
          <c:showPercent val="0"/>
          <c:showBubbleSize val="0"/>
        </c:dLbls>
        <c:gapWidth val="150"/>
        <c:shape val="box"/>
        <c:axId val="49901952"/>
        <c:axId val="49903488"/>
        <c:axId val="0"/>
      </c:bar3DChart>
      <c:catAx>
        <c:axId val="4990195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250" b="0" i="0" u="none" strike="noStrike" baseline="0">
                <a:solidFill>
                  <a:srgbClr val="000000"/>
                </a:solidFill>
                <a:latin typeface="Arial Cyr"/>
                <a:ea typeface="Arial Cyr"/>
                <a:cs typeface="Arial Cyr"/>
              </a:defRPr>
            </a:pPr>
            <a:endParaRPr lang="ru-RU"/>
          </a:p>
        </c:txPr>
        <c:crossAx val="49903488"/>
        <c:crosses val="autoZero"/>
        <c:auto val="1"/>
        <c:lblAlgn val="ctr"/>
        <c:lblOffset val="100"/>
        <c:tickLblSkip val="2"/>
        <c:tickMarkSkip val="1"/>
        <c:noMultiLvlLbl val="0"/>
      </c:catAx>
      <c:valAx>
        <c:axId val="4990348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Cyr"/>
                <a:ea typeface="Arial Cyr"/>
                <a:cs typeface="Arial Cyr"/>
              </a:defRPr>
            </a:pPr>
            <a:endParaRPr lang="ru-RU"/>
          </a:p>
        </c:txPr>
        <c:crossAx val="49901952"/>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v>#ССЫЛКА!</c:v>
          </c:tx>
          <c:spPr>
            <a:ln w="12700">
              <a:solidFill>
                <a:srgbClr val="000080"/>
              </a:solidFill>
              <a:prstDash val="solid"/>
            </a:ln>
          </c:spPr>
          <c:marker>
            <c:symbol val="none"/>
          </c:marker>
          <c:xVal>
            <c:numLit>
              <c:formatCode>General</c:formatCode>
              <c:ptCount val="1"/>
              <c:pt idx="0">
                <c:v>1</c:v>
              </c:pt>
            </c:numLit>
          </c:xVal>
          <c:yVal>
            <c:numLit>
              <c:formatCode>General</c:formatCode>
              <c:ptCount val="1"/>
              <c:pt idx="0">
                <c:v>1</c:v>
              </c:pt>
            </c:numLit>
          </c:yVal>
          <c:smooth val="1"/>
        </c:ser>
        <c:dLbls>
          <c:showLegendKey val="0"/>
          <c:showVal val="0"/>
          <c:showCatName val="0"/>
          <c:showSerName val="0"/>
          <c:showPercent val="0"/>
          <c:showBubbleSize val="0"/>
        </c:dLbls>
        <c:axId val="49931776"/>
        <c:axId val="49933696"/>
      </c:scatterChart>
      <c:valAx>
        <c:axId val="49931776"/>
        <c:scaling>
          <c:orientation val="minMax"/>
        </c:scaling>
        <c:delete val="0"/>
        <c:axPos val="b"/>
        <c:title>
          <c:tx>
            <c:rich>
              <a:bodyPr/>
              <a:lstStyle/>
              <a:p>
                <a:pPr>
                  <a:defRPr sz="300" b="1" i="0" u="none" strike="noStrike" baseline="0">
                    <a:solidFill>
                      <a:srgbClr val="000000"/>
                    </a:solidFill>
                    <a:latin typeface="Arial Cyr"/>
                    <a:ea typeface="Arial Cyr"/>
                    <a:cs typeface="Arial Cyr"/>
                  </a:defRPr>
                </a:pPr>
                <a:r>
                  <a:rPr lang="ru-RU"/>
                  <a:t>Нагрузка на лаву, т/сутки</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350" b="0" i="0" u="none" strike="noStrike" baseline="0">
                <a:solidFill>
                  <a:srgbClr val="000000"/>
                </a:solidFill>
                <a:latin typeface="Arial Cyr"/>
                <a:ea typeface="Arial Cyr"/>
                <a:cs typeface="Arial Cyr"/>
              </a:defRPr>
            </a:pPr>
            <a:endParaRPr lang="ru-RU"/>
          </a:p>
        </c:txPr>
        <c:crossAx val="49933696"/>
        <c:crosses val="autoZero"/>
        <c:crossBetween val="midCat"/>
      </c:valAx>
      <c:valAx>
        <c:axId val="49933696"/>
        <c:scaling>
          <c:orientation val="minMax"/>
        </c:scaling>
        <c:delete val="0"/>
        <c:axPos val="l"/>
        <c:majorGridlines>
          <c:spPr>
            <a:ln w="3175">
              <a:solidFill>
                <a:srgbClr val="000000"/>
              </a:solidFill>
              <a:prstDash val="solid"/>
            </a:ln>
          </c:spPr>
        </c:majorGridlines>
        <c:title>
          <c:tx>
            <c:rich>
              <a:bodyPr/>
              <a:lstStyle/>
              <a:p>
                <a:pPr>
                  <a:defRPr sz="300" b="0" i="0" u="none" strike="noStrike" baseline="0">
                    <a:solidFill>
                      <a:srgbClr val="000000"/>
                    </a:solidFill>
                    <a:latin typeface="Arial Cyr"/>
                    <a:ea typeface="Arial Cyr"/>
                    <a:cs typeface="Arial Cyr"/>
                  </a:defRPr>
                </a:pPr>
                <a:r>
                  <a:rPr lang="ru-RU"/>
                  <a:t>Скорость воздуха, м/с</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350" b="0" i="0" u="none" strike="noStrike" baseline="0">
                <a:solidFill>
                  <a:srgbClr val="000000"/>
                </a:solidFill>
                <a:latin typeface="Arial Cyr"/>
                <a:ea typeface="Arial Cyr"/>
                <a:cs typeface="Arial Cyr"/>
              </a:defRPr>
            </a:pPr>
            <a:endParaRPr lang="ru-RU"/>
          </a:p>
        </c:txPr>
        <c:crossAx val="49931776"/>
        <c:crosses val="autoZero"/>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5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250" b="0" i="0" u="none" strike="noStrike" baseline="0">
              <a:solidFill>
                <a:srgbClr val="000000"/>
              </a:solidFill>
              <a:latin typeface="Arial Cyr"/>
              <a:ea typeface="Arial Cyr"/>
              <a:cs typeface="Arial Cyr"/>
            </a:defRPr>
          </a:pPr>
          <a:endParaRPr lang="ru-RU"/>
        </a:p>
      </c:txPr>
    </c:title>
    <c:autoTitleDeleted val="0"/>
    <c:plotArea>
      <c:layout/>
      <c:scatterChart>
        <c:scatterStyle val="smoothMarker"/>
        <c:varyColors val="0"/>
        <c:ser>
          <c:idx val="0"/>
          <c:order val="0"/>
          <c:tx>
            <c:v>#ССЫЛКА!</c:v>
          </c:tx>
          <c:spPr>
            <a:ln w="12700">
              <a:solidFill>
                <a:srgbClr val="000080"/>
              </a:solidFill>
              <a:prstDash val="solid"/>
            </a:ln>
          </c:spPr>
          <c:marker>
            <c:symbol val="none"/>
          </c:marker>
          <c:xVal>
            <c:numLit>
              <c:formatCode>General</c:formatCode>
              <c:ptCount val="1"/>
              <c:pt idx="0">
                <c:v>1</c:v>
              </c:pt>
            </c:numLit>
          </c:xVal>
          <c:yVal>
            <c:numLit>
              <c:formatCode>General</c:formatCode>
              <c:ptCount val="1"/>
              <c:pt idx="0">
                <c:v>1</c:v>
              </c:pt>
            </c:numLit>
          </c:yVal>
          <c:smooth val="1"/>
        </c:ser>
        <c:dLbls>
          <c:showLegendKey val="0"/>
          <c:showVal val="0"/>
          <c:showCatName val="0"/>
          <c:showSerName val="0"/>
          <c:showPercent val="0"/>
          <c:showBubbleSize val="0"/>
        </c:dLbls>
        <c:axId val="49966080"/>
        <c:axId val="49967872"/>
      </c:scatterChart>
      <c:valAx>
        <c:axId val="4996608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Cyr"/>
                <a:ea typeface="Arial Cyr"/>
                <a:cs typeface="Arial Cyr"/>
              </a:defRPr>
            </a:pPr>
            <a:endParaRPr lang="ru-RU"/>
          </a:p>
        </c:txPr>
        <c:crossAx val="49967872"/>
        <c:crosses val="autoZero"/>
        <c:crossBetween val="midCat"/>
      </c:valAx>
      <c:valAx>
        <c:axId val="4996787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Cyr"/>
                <a:ea typeface="Arial Cyr"/>
                <a:cs typeface="Arial Cyr"/>
              </a:defRPr>
            </a:pPr>
            <a:endParaRPr lang="ru-RU"/>
          </a:p>
        </c:txPr>
        <c:crossAx val="49966080"/>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75" b="0" i="0" u="none" strike="noStrike" baseline="0">
                <a:solidFill>
                  <a:srgbClr val="000000"/>
                </a:solidFill>
                <a:latin typeface="Arial Cyr"/>
                <a:ea typeface="Arial Cyr"/>
                <a:cs typeface="Arial Cyr"/>
              </a:defRPr>
            </a:pPr>
            <a:r>
              <a:rPr lang="ru-RU" sz="275" b="0" i="0" u="none" strike="noStrike" baseline="0">
                <a:solidFill>
                  <a:srgbClr val="000000"/>
                </a:solidFill>
                <a:latin typeface="Arial Cyr"/>
                <a:cs typeface="Arial Cyr"/>
              </a:rPr>
              <a:t>Производительность, т/мин</a:t>
            </a:r>
          </a:p>
          <a:p>
            <a:pPr>
              <a:defRPr sz="275" b="0" i="0" u="none" strike="noStrike" baseline="0">
                <a:solidFill>
                  <a:srgbClr val="000000"/>
                </a:solidFill>
                <a:latin typeface="Arial Cyr"/>
                <a:ea typeface="Arial Cyr"/>
                <a:cs typeface="Arial Cyr"/>
              </a:defRPr>
            </a:pPr>
            <a:r>
              <a:rPr lang="ru-RU" sz="275" b="0" i="0" u="none" strike="noStrike" baseline="0">
                <a:solidFill>
                  <a:srgbClr val="000000"/>
                </a:solidFill>
                <a:latin typeface="Arial Cyr"/>
                <a:cs typeface="Arial Cyr"/>
              </a:rPr>
              <a:t>при Ap=1.5 кН/см</a:t>
            </a:r>
          </a:p>
        </c:rich>
      </c:tx>
      <c:overlay val="0"/>
      <c:spPr>
        <a:noFill/>
        <a:ln w="25400">
          <a:noFill/>
        </a:ln>
      </c:spPr>
    </c:title>
    <c:autoTitleDeleted val="0"/>
    <c:plotArea>
      <c:layout/>
      <c:scatterChart>
        <c:scatterStyle val="smoothMarker"/>
        <c:varyColors val="0"/>
        <c:ser>
          <c:idx val="0"/>
          <c:order val="0"/>
          <c:tx>
            <c:v>#ССЫЛКА!</c:v>
          </c:tx>
          <c:spPr>
            <a:ln w="12700">
              <a:solidFill>
                <a:srgbClr val="000080"/>
              </a:solidFill>
              <a:prstDash val="solid"/>
            </a:ln>
          </c:spPr>
          <c:marker>
            <c:symbol val="diamond"/>
            <c:size val="5"/>
            <c:spPr>
              <a:solidFill>
                <a:srgbClr val="000080"/>
              </a:solidFill>
              <a:ln>
                <a:solidFill>
                  <a:srgbClr val="000080"/>
                </a:solidFill>
                <a:prstDash val="solid"/>
              </a:ln>
            </c:spPr>
          </c:marker>
          <c:xVal>
            <c:numLit>
              <c:formatCode>General</c:formatCode>
              <c:ptCount val="1"/>
              <c:pt idx="0">
                <c:v>0</c:v>
              </c:pt>
            </c:numLit>
          </c:xVal>
          <c:yVal>
            <c:numLit>
              <c:formatCode>General</c:formatCode>
              <c:ptCount val="1"/>
              <c:pt idx="0">
                <c:v>0</c:v>
              </c:pt>
            </c:numLit>
          </c:yVal>
          <c:smooth val="1"/>
        </c:ser>
        <c:dLbls>
          <c:showLegendKey val="0"/>
          <c:showVal val="0"/>
          <c:showCatName val="0"/>
          <c:showSerName val="0"/>
          <c:showPercent val="0"/>
          <c:showBubbleSize val="0"/>
        </c:dLbls>
        <c:axId val="49999872"/>
        <c:axId val="50002176"/>
      </c:scatterChart>
      <c:valAx>
        <c:axId val="49999872"/>
        <c:scaling>
          <c:orientation val="minMax"/>
          <c:min val="0.7"/>
        </c:scaling>
        <c:delete val="0"/>
        <c:axPos val="b"/>
        <c:title>
          <c:tx>
            <c:rich>
              <a:bodyPr/>
              <a:lstStyle/>
              <a:p>
                <a:pPr>
                  <a:defRPr sz="250" b="0" i="0" u="none" strike="noStrike" baseline="0">
                    <a:solidFill>
                      <a:srgbClr val="000000"/>
                    </a:solidFill>
                    <a:latin typeface="Arial Cyr"/>
                    <a:ea typeface="Arial Cyr"/>
                    <a:cs typeface="Arial Cyr"/>
                  </a:defRPr>
                </a:pPr>
                <a:r>
                  <a:rPr lang="ru-RU"/>
                  <a:t>Мощность пласта, м</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RU"/>
          </a:p>
        </c:txPr>
        <c:crossAx val="50002176"/>
        <c:crosses val="autoZero"/>
        <c:crossBetween val="midCat"/>
      </c:valAx>
      <c:valAx>
        <c:axId val="5000217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RU"/>
          </a:p>
        </c:txPr>
        <c:crossAx val="49999872"/>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smoothMarker"/>
        <c:varyColors val="0"/>
        <c:ser>
          <c:idx val="0"/>
          <c:order val="0"/>
          <c:tx>
            <c:strRef>
              <c:f>kursovoy!$A$1078</c:f>
              <c:strCache>
                <c:ptCount val="1"/>
                <c:pt idx="0">
                  <c:v>цикл/сутки</c:v>
                </c:pt>
              </c:strCache>
            </c:strRef>
          </c:tx>
          <c:marker>
            <c:symbol val="none"/>
          </c:marker>
          <c:xVal>
            <c:numRef>
              <c:f>kursovoy!$B$1077:$F$1077</c:f>
              <c:numCache>
                <c:formatCode>0</c:formatCode>
                <c:ptCount val="5"/>
                <c:pt idx="0">
                  <c:v>100</c:v>
                </c:pt>
                <c:pt idx="1">
                  <c:v>150</c:v>
                </c:pt>
                <c:pt idx="2">
                  <c:v>200</c:v>
                </c:pt>
                <c:pt idx="3">
                  <c:v>250</c:v>
                </c:pt>
                <c:pt idx="4">
                  <c:v>300</c:v>
                </c:pt>
              </c:numCache>
            </c:numRef>
          </c:xVal>
          <c:yVal>
            <c:numRef>
              <c:f>kursovoy!$B$1078:$F$1078</c:f>
              <c:numCache>
                <c:formatCode>0.00</c:formatCode>
                <c:ptCount val="5"/>
                <c:pt idx="0">
                  <c:v>0</c:v>
                </c:pt>
                <c:pt idx="1">
                  <c:v>0</c:v>
                </c:pt>
                <c:pt idx="2">
                  <c:v>0</c:v>
                </c:pt>
                <c:pt idx="3">
                  <c:v>0</c:v>
                </c:pt>
                <c:pt idx="4">
                  <c:v>0</c:v>
                </c:pt>
              </c:numCache>
            </c:numRef>
          </c:yVal>
          <c:smooth val="1"/>
        </c:ser>
        <c:dLbls>
          <c:showLegendKey val="0"/>
          <c:showVal val="0"/>
          <c:showCatName val="0"/>
          <c:showSerName val="0"/>
          <c:showPercent val="0"/>
          <c:showBubbleSize val="0"/>
        </c:dLbls>
        <c:axId val="45105920"/>
        <c:axId val="45107456"/>
      </c:scatterChart>
      <c:valAx>
        <c:axId val="45105920"/>
        <c:scaling>
          <c:orientation val="minMax"/>
        </c:scaling>
        <c:delete val="0"/>
        <c:axPos val="b"/>
        <c:numFmt formatCode="0" sourceLinked="1"/>
        <c:majorTickMark val="out"/>
        <c:minorTickMark val="none"/>
        <c:tickLblPos val="nextTo"/>
        <c:crossAx val="45107456"/>
        <c:crosses val="autoZero"/>
        <c:crossBetween val="midCat"/>
      </c:valAx>
      <c:valAx>
        <c:axId val="45107456"/>
        <c:scaling>
          <c:orientation val="minMax"/>
        </c:scaling>
        <c:delete val="0"/>
        <c:axPos val="l"/>
        <c:majorGridlines/>
        <c:numFmt formatCode="0.00" sourceLinked="1"/>
        <c:majorTickMark val="out"/>
        <c:minorTickMark val="none"/>
        <c:tickLblPos val="nextTo"/>
        <c:crossAx val="45105920"/>
        <c:crosses val="autoZero"/>
        <c:crossBetween val="midCat"/>
      </c:valAx>
    </c:plotArea>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75" b="0" i="0" u="none" strike="noStrike" baseline="0">
                <a:solidFill>
                  <a:srgbClr val="000000"/>
                </a:solidFill>
                <a:latin typeface="Arial Cyr"/>
                <a:ea typeface="Arial Cyr"/>
                <a:cs typeface="Arial Cyr"/>
              </a:defRPr>
            </a:pPr>
            <a:r>
              <a:rPr lang="ru-RU" sz="275" b="0" i="0" u="none" strike="noStrike" baseline="0">
                <a:solidFill>
                  <a:srgbClr val="000000"/>
                </a:solidFill>
                <a:latin typeface="Arial Cyr"/>
                <a:cs typeface="Arial Cyr"/>
              </a:rPr>
              <a:t>Производительность, т/мин</a:t>
            </a:r>
          </a:p>
          <a:p>
            <a:pPr>
              <a:defRPr sz="275" b="0" i="0" u="none" strike="noStrike" baseline="0">
                <a:solidFill>
                  <a:srgbClr val="000000"/>
                </a:solidFill>
                <a:latin typeface="Arial Cyr"/>
                <a:ea typeface="Arial Cyr"/>
                <a:cs typeface="Arial Cyr"/>
              </a:defRPr>
            </a:pPr>
            <a:r>
              <a:rPr lang="ru-RU" sz="275" b="0" i="0" u="none" strike="noStrike" baseline="0">
                <a:solidFill>
                  <a:srgbClr val="000000"/>
                </a:solidFill>
                <a:latin typeface="Arial Cyr"/>
                <a:cs typeface="Arial Cyr"/>
              </a:rPr>
              <a:t>при m=1,2 м</a:t>
            </a:r>
          </a:p>
        </c:rich>
      </c:tx>
      <c:overlay val="0"/>
      <c:spPr>
        <a:noFill/>
        <a:ln w="25400">
          <a:noFill/>
        </a:ln>
      </c:spPr>
    </c:title>
    <c:autoTitleDeleted val="0"/>
    <c:plotArea>
      <c:layout/>
      <c:scatterChart>
        <c:scatterStyle val="smoothMarker"/>
        <c:varyColors val="0"/>
        <c:ser>
          <c:idx val="0"/>
          <c:order val="0"/>
          <c:tx>
            <c:v>#ССЫЛКА!</c:v>
          </c:tx>
          <c:spPr>
            <a:ln w="12700">
              <a:solidFill>
                <a:srgbClr val="000080"/>
              </a:solidFill>
              <a:prstDash val="solid"/>
            </a:ln>
          </c:spPr>
          <c:marker>
            <c:symbol val="diamond"/>
            <c:size val="5"/>
            <c:spPr>
              <a:solidFill>
                <a:srgbClr val="000080"/>
              </a:solidFill>
              <a:ln>
                <a:solidFill>
                  <a:srgbClr val="000080"/>
                </a:solidFill>
                <a:prstDash val="solid"/>
              </a:ln>
            </c:spPr>
          </c:marker>
          <c:xVal>
            <c:numLit>
              <c:formatCode>General</c:formatCode>
              <c:ptCount val="1"/>
              <c:pt idx="0">
                <c:v>0</c:v>
              </c:pt>
            </c:numLit>
          </c:xVal>
          <c:yVal>
            <c:numLit>
              <c:formatCode>General</c:formatCode>
              <c:ptCount val="1"/>
              <c:pt idx="0">
                <c:v>0</c:v>
              </c:pt>
            </c:numLit>
          </c:yVal>
          <c:smooth val="1"/>
        </c:ser>
        <c:dLbls>
          <c:showLegendKey val="0"/>
          <c:showVal val="0"/>
          <c:showCatName val="0"/>
          <c:showSerName val="0"/>
          <c:showPercent val="0"/>
          <c:showBubbleSize val="0"/>
        </c:dLbls>
        <c:axId val="50030080"/>
        <c:axId val="50032000"/>
      </c:scatterChart>
      <c:valAx>
        <c:axId val="500300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RU"/>
          </a:p>
        </c:txPr>
        <c:crossAx val="50032000"/>
        <c:crosses val="autoZero"/>
        <c:crossBetween val="midCat"/>
      </c:valAx>
      <c:valAx>
        <c:axId val="5003200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RU"/>
          </a:p>
        </c:txPr>
        <c:crossAx val="50030080"/>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75" b="1" i="0" u="none" strike="noStrike" baseline="0">
                <a:solidFill>
                  <a:srgbClr val="000000"/>
                </a:solidFill>
                <a:latin typeface="Arial Cyr"/>
                <a:ea typeface="Arial Cyr"/>
                <a:cs typeface="Arial Cyr"/>
              </a:defRPr>
            </a:pPr>
            <a:r>
              <a:rPr lang="de-DE"/>
              <a:t>Verwendungsbereich der Walzschrämladern hinsichtlich der Flözmächtigkeit</a:t>
            </a:r>
          </a:p>
        </c:rich>
      </c:tx>
      <c:overlay val="0"/>
      <c:spPr>
        <a:noFill/>
        <a:ln w="25400">
          <a:noFill/>
        </a:ln>
      </c:spPr>
    </c:title>
    <c:autoTitleDeleted val="0"/>
    <c:view3D>
      <c:rotX val="15"/>
      <c:hPercent val="7"/>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mmin</c:v>
          </c:tx>
          <c:spPr>
            <a:solidFill>
              <a:srgbClr val="9999FF"/>
            </a:solidFill>
            <a:ln w="12700">
              <a:solidFill>
                <a:srgbClr val="000000"/>
              </a:solidFill>
              <a:prstDash val="solid"/>
            </a:ln>
          </c:spPr>
          <c:invertIfNegative val="0"/>
          <c:cat>
            <c:strLit>
              <c:ptCount val="13"/>
              <c:pt idx="0">
                <c:v>1К101У</c:v>
              </c:pt>
              <c:pt idx="1">
                <c:v>К103М</c:v>
              </c:pt>
              <c:pt idx="2">
                <c:v>КА80</c:v>
              </c:pt>
              <c:pt idx="3">
                <c:v>1K101УД</c:v>
              </c:pt>
              <c:pt idx="4">
                <c:v>ГШ200Б</c:v>
              </c:pt>
              <c:pt idx="5">
                <c:v>ГШ200В</c:v>
              </c:pt>
              <c:pt idx="6">
                <c:v>2К52М</c:v>
              </c:pt>
              <c:pt idx="7">
                <c:v>РКУ10</c:v>
              </c:pt>
              <c:pt idx="8">
                <c:v>1ГШ68</c:v>
              </c:pt>
              <c:pt idx="9">
                <c:v>2ГШ68</c:v>
              </c:pt>
              <c:pt idx="10">
                <c:v>РКУ13</c:v>
              </c:pt>
              <c:pt idx="11">
                <c:v>ГШ500</c:v>
              </c:pt>
              <c:pt idx="12">
                <c:v>КШ1КГУ</c:v>
              </c:pt>
            </c:strLit>
          </c:cat>
          <c:val>
            <c:numLit>
              <c:formatCode>General</c:formatCode>
              <c:ptCount val="13"/>
              <c:pt idx="0">
                <c:v>0.8</c:v>
              </c:pt>
              <c:pt idx="1">
                <c:v>0.6</c:v>
              </c:pt>
              <c:pt idx="2">
                <c:v>0.6</c:v>
              </c:pt>
              <c:pt idx="3">
                <c:v>0.95</c:v>
              </c:pt>
              <c:pt idx="4">
                <c:v>0.95</c:v>
              </c:pt>
              <c:pt idx="5">
                <c:v>0.95</c:v>
              </c:pt>
              <c:pt idx="6">
                <c:v>1</c:v>
              </c:pt>
              <c:pt idx="7">
                <c:v>1.1000000000000001</c:v>
              </c:pt>
              <c:pt idx="8">
                <c:v>1.1000000000000001</c:v>
              </c:pt>
              <c:pt idx="9">
                <c:v>1.1000000000000001</c:v>
              </c:pt>
              <c:pt idx="10">
                <c:v>1.35</c:v>
              </c:pt>
              <c:pt idx="11">
                <c:v>1.3</c:v>
              </c:pt>
              <c:pt idx="12">
                <c:v>1.6</c:v>
              </c:pt>
            </c:numLit>
          </c:val>
        </c:ser>
        <c:ser>
          <c:idx val="1"/>
          <c:order val="1"/>
          <c:tx>
            <c:v>mmax</c:v>
          </c:tx>
          <c:spPr>
            <a:solidFill>
              <a:srgbClr val="993366"/>
            </a:solidFill>
            <a:ln w="12700">
              <a:solidFill>
                <a:srgbClr val="000000"/>
              </a:solidFill>
              <a:prstDash val="solid"/>
            </a:ln>
          </c:spPr>
          <c:invertIfNegative val="0"/>
          <c:cat>
            <c:strLit>
              <c:ptCount val="13"/>
              <c:pt idx="0">
                <c:v>1К101У</c:v>
              </c:pt>
              <c:pt idx="1">
                <c:v>К103М</c:v>
              </c:pt>
              <c:pt idx="2">
                <c:v>КА80</c:v>
              </c:pt>
              <c:pt idx="3">
                <c:v>1K101УД</c:v>
              </c:pt>
              <c:pt idx="4">
                <c:v>ГШ200Б</c:v>
              </c:pt>
              <c:pt idx="5">
                <c:v>ГШ200В</c:v>
              </c:pt>
              <c:pt idx="6">
                <c:v>2К52М</c:v>
              </c:pt>
              <c:pt idx="7">
                <c:v>РКУ10</c:v>
              </c:pt>
              <c:pt idx="8">
                <c:v>1ГШ68</c:v>
              </c:pt>
              <c:pt idx="9">
                <c:v>2ГШ68</c:v>
              </c:pt>
              <c:pt idx="10">
                <c:v>РКУ13</c:v>
              </c:pt>
              <c:pt idx="11">
                <c:v>ГШ500</c:v>
              </c:pt>
              <c:pt idx="12">
                <c:v>КШ1КГУ</c:v>
              </c:pt>
            </c:strLit>
          </c:cat>
          <c:val>
            <c:numLit>
              <c:formatCode>General</c:formatCode>
              <c:ptCount val="13"/>
              <c:pt idx="0">
                <c:v>1.2</c:v>
              </c:pt>
              <c:pt idx="1">
                <c:v>1.2</c:v>
              </c:pt>
              <c:pt idx="2">
                <c:v>1.2</c:v>
              </c:pt>
              <c:pt idx="3">
                <c:v>1.3</c:v>
              </c:pt>
              <c:pt idx="4">
                <c:v>1.5</c:v>
              </c:pt>
              <c:pt idx="5">
                <c:v>1.5</c:v>
              </c:pt>
              <c:pt idx="6">
                <c:v>1.7</c:v>
              </c:pt>
              <c:pt idx="7">
                <c:v>1.93</c:v>
              </c:pt>
              <c:pt idx="8">
                <c:v>2.5</c:v>
              </c:pt>
              <c:pt idx="9">
                <c:v>2.5</c:v>
              </c:pt>
              <c:pt idx="10">
                <c:v>2.6</c:v>
              </c:pt>
              <c:pt idx="11">
                <c:v>2.7</c:v>
              </c:pt>
              <c:pt idx="12">
                <c:v>3.2</c:v>
              </c:pt>
            </c:numLit>
          </c:val>
        </c:ser>
        <c:dLbls>
          <c:showLegendKey val="0"/>
          <c:showVal val="0"/>
          <c:showCatName val="0"/>
          <c:showSerName val="0"/>
          <c:showPercent val="0"/>
          <c:showBubbleSize val="0"/>
        </c:dLbls>
        <c:gapWidth val="150"/>
        <c:shape val="box"/>
        <c:axId val="102633856"/>
        <c:axId val="102635392"/>
        <c:axId val="0"/>
      </c:bar3DChart>
      <c:catAx>
        <c:axId val="10263385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RU"/>
          </a:p>
        </c:txPr>
        <c:crossAx val="102635392"/>
        <c:crosses val="autoZero"/>
        <c:auto val="1"/>
        <c:lblAlgn val="ctr"/>
        <c:lblOffset val="100"/>
        <c:tickLblSkip val="1"/>
        <c:tickMarkSkip val="1"/>
        <c:noMultiLvlLbl val="0"/>
      </c:catAx>
      <c:valAx>
        <c:axId val="1026353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RU"/>
          </a:p>
        </c:txPr>
        <c:crossAx val="102633856"/>
        <c:crosses val="autoZero"/>
        <c:crossBetween val="between"/>
        <c:majorUnit val="0.2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Cyr"/>
                <a:ea typeface="Arial Cyr"/>
                <a:cs typeface="Arial Cyr"/>
              </a:defRPr>
            </a:pPr>
            <a:r>
              <a:rPr lang="de-DE"/>
              <a:t>Verwenungsbereich der mechanische Ausbau
hinsichtlich der Flözmächtigkeit</a:t>
            </a:r>
          </a:p>
        </c:rich>
      </c:tx>
      <c:overlay val="0"/>
      <c:spPr>
        <a:noFill/>
        <a:ln w="25400">
          <a:noFill/>
        </a:ln>
      </c:spPr>
    </c:title>
    <c:autoTitleDeleted val="0"/>
    <c:view3D>
      <c:rotX val="15"/>
      <c:hPercent val="5"/>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Gewinnende Flötmächtigkeit, m minimale</c:v>
          </c:tx>
          <c:spPr>
            <a:solidFill>
              <a:srgbClr val="9999FF"/>
            </a:solidFill>
            <a:ln w="12700">
              <a:solidFill>
                <a:srgbClr val="000000"/>
              </a:solidFill>
              <a:prstDash val="solid"/>
            </a:ln>
          </c:spPr>
          <c:invertIfNegative val="0"/>
          <c:cat>
            <c:strLit>
              <c:ptCount val="13"/>
              <c:pt idx="0">
                <c:v>М103</c:v>
              </c:pt>
              <c:pt idx="1">
                <c:v>МК98</c:v>
              </c:pt>
              <c:pt idx="2">
                <c:v>Donbass80</c:v>
              </c:pt>
              <c:pt idx="3">
                <c:v>М137</c:v>
              </c:pt>
              <c:pt idx="4">
                <c:v>М88</c:v>
              </c:pt>
              <c:pt idx="5">
                <c:v>М87УМН</c:v>
              </c:pt>
              <c:pt idx="6">
                <c:v>М87УМП</c:v>
              </c:pt>
              <c:pt idx="7">
                <c:v>КД90</c:v>
              </c:pt>
              <c:pt idx="8">
                <c:v>МТ</c:v>
              </c:pt>
              <c:pt idx="9">
                <c:v>КДД</c:v>
              </c:pt>
              <c:pt idx="10">
                <c:v>МК75</c:v>
              </c:pt>
              <c:pt idx="11">
                <c:v>М138</c:v>
              </c:pt>
              <c:pt idx="12">
                <c:v>1УКП</c:v>
              </c:pt>
            </c:strLit>
          </c:cat>
          <c:val>
            <c:numLit>
              <c:formatCode>General</c:formatCode>
              <c:ptCount val="13"/>
              <c:pt idx="0">
                <c:v>0.75</c:v>
              </c:pt>
              <c:pt idx="1">
                <c:v>0.75</c:v>
              </c:pt>
              <c:pt idx="2">
                <c:v>0.85</c:v>
              </c:pt>
              <c:pt idx="3">
                <c:v>0.8</c:v>
              </c:pt>
              <c:pt idx="4">
                <c:v>0.95</c:v>
              </c:pt>
              <c:pt idx="5">
                <c:v>1.1499999999999999</c:v>
              </c:pt>
              <c:pt idx="6">
                <c:v>1.1499999999999999</c:v>
              </c:pt>
              <c:pt idx="7">
                <c:v>0.8</c:v>
              </c:pt>
              <c:pt idx="8">
                <c:v>1.1499999999999999</c:v>
              </c:pt>
              <c:pt idx="9">
                <c:v>1.35</c:v>
              </c:pt>
              <c:pt idx="10">
                <c:v>1.6</c:v>
              </c:pt>
              <c:pt idx="11">
                <c:v>1.1000000000000001</c:v>
              </c:pt>
              <c:pt idx="12">
                <c:v>1.2</c:v>
              </c:pt>
            </c:numLit>
          </c:val>
        </c:ser>
        <c:ser>
          <c:idx val="1"/>
          <c:order val="1"/>
          <c:tx>
            <c:v>Gewinnende Flötmächtigkeit, m maxima-le</c:v>
          </c:tx>
          <c:spPr>
            <a:solidFill>
              <a:srgbClr val="993366"/>
            </a:solidFill>
            <a:ln w="12700">
              <a:solidFill>
                <a:srgbClr val="000000"/>
              </a:solidFill>
              <a:prstDash val="solid"/>
            </a:ln>
          </c:spPr>
          <c:invertIfNegative val="0"/>
          <c:cat>
            <c:strLit>
              <c:ptCount val="13"/>
              <c:pt idx="0">
                <c:v>М103</c:v>
              </c:pt>
              <c:pt idx="1">
                <c:v>МК98</c:v>
              </c:pt>
              <c:pt idx="2">
                <c:v>Donbass80</c:v>
              </c:pt>
              <c:pt idx="3">
                <c:v>М137</c:v>
              </c:pt>
              <c:pt idx="4">
                <c:v>М88</c:v>
              </c:pt>
              <c:pt idx="5">
                <c:v>М87УМН</c:v>
              </c:pt>
              <c:pt idx="6">
                <c:v>М87УМП</c:v>
              </c:pt>
              <c:pt idx="7">
                <c:v>КД90</c:v>
              </c:pt>
              <c:pt idx="8">
                <c:v>МТ</c:v>
              </c:pt>
              <c:pt idx="9">
                <c:v>КДД</c:v>
              </c:pt>
              <c:pt idx="10">
                <c:v>МК75</c:v>
              </c:pt>
              <c:pt idx="11">
                <c:v>М138</c:v>
              </c:pt>
              <c:pt idx="12">
                <c:v>1УКП</c:v>
              </c:pt>
            </c:strLit>
          </c:cat>
          <c:val>
            <c:numLit>
              <c:formatCode>General</c:formatCode>
              <c:ptCount val="13"/>
              <c:pt idx="0">
                <c:v>0.95</c:v>
              </c:pt>
              <c:pt idx="1">
                <c:v>1.2</c:v>
              </c:pt>
              <c:pt idx="2">
                <c:v>1.2</c:v>
              </c:pt>
              <c:pt idx="3">
                <c:v>1.4</c:v>
              </c:pt>
              <c:pt idx="4">
                <c:v>1.4</c:v>
              </c:pt>
              <c:pt idx="5">
                <c:v>1.95</c:v>
              </c:pt>
              <c:pt idx="6">
                <c:v>1.95</c:v>
              </c:pt>
              <c:pt idx="7">
                <c:v>2</c:v>
              </c:pt>
              <c:pt idx="8">
                <c:v>2</c:v>
              </c:pt>
              <c:pt idx="9">
                <c:v>2</c:v>
              </c:pt>
              <c:pt idx="10">
                <c:v>2.2000000000000002</c:v>
              </c:pt>
              <c:pt idx="11">
                <c:v>2.5</c:v>
              </c:pt>
              <c:pt idx="12">
                <c:v>2.5</c:v>
              </c:pt>
            </c:numLit>
          </c:val>
        </c:ser>
        <c:dLbls>
          <c:showLegendKey val="0"/>
          <c:showVal val="0"/>
          <c:showCatName val="0"/>
          <c:showSerName val="0"/>
          <c:showPercent val="0"/>
          <c:showBubbleSize val="0"/>
        </c:dLbls>
        <c:gapWidth val="150"/>
        <c:shape val="box"/>
        <c:axId val="102660736"/>
        <c:axId val="102662528"/>
        <c:axId val="0"/>
      </c:bar3DChart>
      <c:catAx>
        <c:axId val="10266073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300" b="0" i="0" u="none" strike="noStrike" baseline="0">
                <a:solidFill>
                  <a:srgbClr val="000000"/>
                </a:solidFill>
                <a:latin typeface="Arial Cyr"/>
                <a:ea typeface="Arial Cyr"/>
                <a:cs typeface="Arial Cyr"/>
              </a:defRPr>
            </a:pPr>
            <a:endParaRPr lang="ru-RU"/>
          </a:p>
        </c:txPr>
        <c:crossAx val="102662528"/>
        <c:crosses val="autoZero"/>
        <c:auto val="1"/>
        <c:lblAlgn val="ctr"/>
        <c:lblOffset val="100"/>
        <c:tickLblSkip val="1"/>
        <c:tickMarkSkip val="1"/>
        <c:noMultiLvlLbl val="0"/>
      </c:catAx>
      <c:valAx>
        <c:axId val="10266252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Cyr"/>
                <a:ea typeface="Arial Cyr"/>
                <a:cs typeface="Arial Cyr"/>
              </a:defRPr>
            </a:pPr>
            <a:endParaRPr lang="ru-RU"/>
          </a:p>
        </c:txPr>
        <c:crossAx val="102660736"/>
        <c:crosses val="autoZero"/>
        <c:crossBetween val="between"/>
        <c:majorUnit val="0.2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75" b="1" i="0" u="none" strike="noStrike" baseline="0">
                <a:solidFill>
                  <a:srgbClr val="000000"/>
                </a:solidFill>
                <a:latin typeface="Arial Cyr"/>
                <a:ea typeface="Arial Cyr"/>
                <a:cs typeface="Arial Cyr"/>
              </a:defRPr>
            </a:pPr>
            <a:r>
              <a:rPr lang="de-DE"/>
              <a:t>Verwendungsbereich der Walzschrämladern hinsichtlich der Flözmächtigkeit</a:t>
            </a:r>
          </a:p>
        </c:rich>
      </c:tx>
      <c:overlay val="0"/>
      <c:spPr>
        <a:noFill/>
        <a:ln w="25400">
          <a:noFill/>
        </a:ln>
      </c:spPr>
    </c:title>
    <c:autoTitleDeleted val="0"/>
    <c:view3D>
      <c:rotX val="15"/>
      <c:hPercent val="7"/>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mmin</c:v>
          </c:tx>
          <c:spPr>
            <a:solidFill>
              <a:srgbClr val="9999FF"/>
            </a:solidFill>
            <a:ln w="12700">
              <a:solidFill>
                <a:srgbClr val="000000"/>
              </a:solidFill>
              <a:prstDash val="solid"/>
            </a:ln>
          </c:spPr>
          <c:invertIfNegative val="0"/>
          <c:cat>
            <c:strLit>
              <c:ptCount val="13"/>
              <c:pt idx="0">
                <c:v>1К101У</c:v>
              </c:pt>
              <c:pt idx="1">
                <c:v>К103М</c:v>
              </c:pt>
              <c:pt idx="2">
                <c:v>КА80</c:v>
              </c:pt>
              <c:pt idx="3">
                <c:v>1K101УД</c:v>
              </c:pt>
              <c:pt idx="4">
                <c:v>ГШ200Б</c:v>
              </c:pt>
              <c:pt idx="5">
                <c:v>ГШ200В</c:v>
              </c:pt>
              <c:pt idx="6">
                <c:v>2К52М</c:v>
              </c:pt>
              <c:pt idx="7">
                <c:v>РКУ10</c:v>
              </c:pt>
              <c:pt idx="8">
                <c:v>1ГШ68</c:v>
              </c:pt>
              <c:pt idx="9">
                <c:v>2ГШ68</c:v>
              </c:pt>
              <c:pt idx="10">
                <c:v>РКУ13</c:v>
              </c:pt>
              <c:pt idx="11">
                <c:v>ГШ500</c:v>
              </c:pt>
              <c:pt idx="12">
                <c:v>КШ1КГУ</c:v>
              </c:pt>
            </c:strLit>
          </c:cat>
          <c:val>
            <c:numLit>
              <c:formatCode>General</c:formatCode>
              <c:ptCount val="13"/>
              <c:pt idx="0">
                <c:v>0.8</c:v>
              </c:pt>
              <c:pt idx="1">
                <c:v>0.6</c:v>
              </c:pt>
              <c:pt idx="2">
                <c:v>0.6</c:v>
              </c:pt>
              <c:pt idx="3">
                <c:v>0.95</c:v>
              </c:pt>
              <c:pt idx="4">
                <c:v>0.95</c:v>
              </c:pt>
              <c:pt idx="5">
                <c:v>0.95</c:v>
              </c:pt>
              <c:pt idx="6">
                <c:v>1</c:v>
              </c:pt>
              <c:pt idx="7">
                <c:v>1.1000000000000001</c:v>
              </c:pt>
              <c:pt idx="8">
                <c:v>1.1000000000000001</c:v>
              </c:pt>
              <c:pt idx="9">
                <c:v>1.1000000000000001</c:v>
              </c:pt>
              <c:pt idx="10">
                <c:v>1.35</c:v>
              </c:pt>
              <c:pt idx="11">
                <c:v>1.3</c:v>
              </c:pt>
              <c:pt idx="12">
                <c:v>1.6</c:v>
              </c:pt>
            </c:numLit>
          </c:val>
        </c:ser>
        <c:ser>
          <c:idx val="1"/>
          <c:order val="1"/>
          <c:tx>
            <c:v>mmax</c:v>
          </c:tx>
          <c:spPr>
            <a:solidFill>
              <a:srgbClr val="993366"/>
            </a:solidFill>
            <a:ln w="12700">
              <a:solidFill>
                <a:srgbClr val="000000"/>
              </a:solidFill>
              <a:prstDash val="solid"/>
            </a:ln>
          </c:spPr>
          <c:invertIfNegative val="0"/>
          <c:cat>
            <c:strLit>
              <c:ptCount val="13"/>
              <c:pt idx="0">
                <c:v>1К101У</c:v>
              </c:pt>
              <c:pt idx="1">
                <c:v>К103М</c:v>
              </c:pt>
              <c:pt idx="2">
                <c:v>КА80</c:v>
              </c:pt>
              <c:pt idx="3">
                <c:v>1K101УД</c:v>
              </c:pt>
              <c:pt idx="4">
                <c:v>ГШ200Б</c:v>
              </c:pt>
              <c:pt idx="5">
                <c:v>ГШ200В</c:v>
              </c:pt>
              <c:pt idx="6">
                <c:v>2К52М</c:v>
              </c:pt>
              <c:pt idx="7">
                <c:v>РКУ10</c:v>
              </c:pt>
              <c:pt idx="8">
                <c:v>1ГШ68</c:v>
              </c:pt>
              <c:pt idx="9">
                <c:v>2ГШ68</c:v>
              </c:pt>
              <c:pt idx="10">
                <c:v>РКУ13</c:v>
              </c:pt>
              <c:pt idx="11">
                <c:v>ГШ500</c:v>
              </c:pt>
              <c:pt idx="12">
                <c:v>КШ1КГУ</c:v>
              </c:pt>
            </c:strLit>
          </c:cat>
          <c:val>
            <c:numLit>
              <c:formatCode>General</c:formatCode>
              <c:ptCount val="13"/>
              <c:pt idx="0">
                <c:v>1.2</c:v>
              </c:pt>
              <c:pt idx="1">
                <c:v>1.2</c:v>
              </c:pt>
              <c:pt idx="2">
                <c:v>1.2</c:v>
              </c:pt>
              <c:pt idx="3">
                <c:v>1.3</c:v>
              </c:pt>
              <c:pt idx="4">
                <c:v>1.5</c:v>
              </c:pt>
              <c:pt idx="5">
                <c:v>1.5</c:v>
              </c:pt>
              <c:pt idx="6">
                <c:v>1.7</c:v>
              </c:pt>
              <c:pt idx="7">
                <c:v>1.93</c:v>
              </c:pt>
              <c:pt idx="8">
                <c:v>2.5</c:v>
              </c:pt>
              <c:pt idx="9">
                <c:v>2.5</c:v>
              </c:pt>
              <c:pt idx="10">
                <c:v>2.6</c:v>
              </c:pt>
              <c:pt idx="11">
                <c:v>2.7</c:v>
              </c:pt>
              <c:pt idx="12">
                <c:v>3.2</c:v>
              </c:pt>
            </c:numLit>
          </c:val>
        </c:ser>
        <c:dLbls>
          <c:showLegendKey val="0"/>
          <c:showVal val="0"/>
          <c:showCatName val="0"/>
          <c:showSerName val="0"/>
          <c:showPercent val="0"/>
          <c:showBubbleSize val="0"/>
        </c:dLbls>
        <c:gapWidth val="150"/>
        <c:shape val="box"/>
        <c:axId val="106316928"/>
        <c:axId val="106318464"/>
        <c:axId val="0"/>
      </c:bar3DChart>
      <c:catAx>
        <c:axId val="10631692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RU"/>
          </a:p>
        </c:txPr>
        <c:crossAx val="106318464"/>
        <c:crosses val="autoZero"/>
        <c:auto val="1"/>
        <c:lblAlgn val="ctr"/>
        <c:lblOffset val="100"/>
        <c:tickLblSkip val="1"/>
        <c:tickMarkSkip val="1"/>
        <c:noMultiLvlLbl val="0"/>
      </c:catAx>
      <c:valAx>
        <c:axId val="10631846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RU"/>
          </a:p>
        </c:txPr>
        <c:crossAx val="106316928"/>
        <c:crosses val="autoZero"/>
        <c:crossBetween val="between"/>
        <c:majorUnit val="0.2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itle>
    <c:autoTitleDeleted val="0"/>
    <c:plotArea>
      <c:layout/>
      <c:scatterChart>
        <c:scatterStyle val="smoothMarker"/>
        <c:varyColors val="0"/>
        <c:ser>
          <c:idx val="0"/>
          <c:order val="0"/>
          <c:tx>
            <c:v>#ССЫЛКА!</c:v>
          </c:tx>
          <c:marker>
            <c:symbol val="diamond"/>
            <c:size val="7"/>
          </c:marker>
          <c:trendline>
            <c:trendlineType val="power"/>
            <c:dispRSqr val="0"/>
            <c:dispEq val="0"/>
          </c:trendline>
          <c:trendline>
            <c:trendlineType val="linear"/>
            <c:dispRSqr val="0"/>
            <c:dispEq val="1"/>
            <c:trendlineLbl>
              <c:layout>
                <c:manualLayout>
                  <c:x val="0.32871391076115486"/>
                  <c:y val="-9.2950933216681242E-2"/>
                </c:manualLayout>
              </c:layout>
              <c:numFmt formatCode="General" sourceLinked="0"/>
              <c:spPr>
                <a:noFill/>
                <a:ln w="25400">
                  <a:noFill/>
                </a:ln>
              </c:spPr>
            </c:trendlineLbl>
          </c:trendline>
          <c:xVal>
            <c:numLit>
              <c:formatCode>General</c:formatCode>
              <c:ptCount val="1"/>
              <c:pt idx="0">
                <c:v>0</c:v>
              </c:pt>
            </c:numLit>
          </c:xVal>
          <c:yVal>
            <c:numLit>
              <c:formatCode>General</c:formatCode>
              <c:ptCount val="1"/>
              <c:pt idx="0">
                <c:v>0</c:v>
              </c:pt>
            </c:numLit>
          </c:yVal>
          <c:smooth val="1"/>
        </c:ser>
        <c:dLbls>
          <c:showLegendKey val="0"/>
          <c:showVal val="0"/>
          <c:showCatName val="0"/>
          <c:showSerName val="0"/>
          <c:showPercent val="0"/>
          <c:showBubbleSize val="0"/>
        </c:dLbls>
        <c:axId val="106348544"/>
        <c:axId val="106350080"/>
      </c:scatterChart>
      <c:valAx>
        <c:axId val="106348544"/>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ru-RU"/>
          </a:p>
        </c:txPr>
        <c:crossAx val="106350080"/>
        <c:crosses val="autoZero"/>
        <c:crossBetween val="midCat"/>
      </c:valAx>
      <c:valAx>
        <c:axId val="106350080"/>
        <c:scaling>
          <c:orientation val="minMax"/>
        </c:scaling>
        <c:delete val="0"/>
        <c:axPos val="l"/>
        <c:majorGridlines/>
        <c:numFmt formatCode="General" sourceLinked="1"/>
        <c:majorTickMark val="out"/>
        <c:minorTickMark val="none"/>
        <c:tickLblPos val="nextTo"/>
        <c:crossAx val="106348544"/>
        <c:crosses val="autoZero"/>
        <c:crossBetween val="midCat"/>
      </c:valAx>
    </c:plotArea>
    <c:legend>
      <c:legendPos val="r"/>
      <c:overlay val="0"/>
    </c:legend>
    <c:plotVisOnly val="1"/>
    <c:dispBlanksAs val="gap"/>
    <c:showDLblsOverMax val="0"/>
  </c:chart>
  <c:printSettings>
    <c:headerFooter alignWithMargins="0"/>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481975967957277"/>
          <c:y val="0.11926605504587157"/>
          <c:w val="0.842456608811749"/>
          <c:h val="0.56422018348623848"/>
        </c:manualLayout>
      </c:layout>
      <c:scatterChart>
        <c:scatterStyle val="smoothMarker"/>
        <c:varyColors val="0"/>
        <c:ser>
          <c:idx val="0"/>
          <c:order val="0"/>
          <c:spPr>
            <a:ln w="25400">
              <a:solidFill>
                <a:srgbClr val="000080"/>
              </a:solidFill>
              <a:prstDash val="solid"/>
            </a:ln>
          </c:spPr>
          <c:marker>
            <c:symbol val="none"/>
          </c:marker>
          <c:xVal>
            <c:numRef>
              <c:f>стр!$H$111:$L$111</c:f>
              <c:numCache>
                <c:formatCode>0.00</c:formatCode>
                <c:ptCount val="5"/>
              </c:numCache>
            </c:numRef>
          </c:xVal>
          <c:yVal>
            <c:numRef>
              <c:f>стр!$H$112:$L$112</c:f>
              <c:numCache>
                <c:formatCode>0.0</c:formatCode>
                <c:ptCount val="5"/>
                <c:pt idx="0">
                  <c:v>0</c:v>
                </c:pt>
                <c:pt idx="1">
                  <c:v>0</c:v>
                </c:pt>
                <c:pt idx="2">
                  <c:v>0</c:v>
                </c:pt>
                <c:pt idx="3">
                  <c:v>0</c:v>
                </c:pt>
                <c:pt idx="4">
                  <c:v>0</c:v>
                </c:pt>
              </c:numCache>
            </c:numRef>
          </c:yVal>
          <c:smooth val="1"/>
        </c:ser>
        <c:dLbls>
          <c:showLegendKey val="0"/>
          <c:showVal val="0"/>
          <c:showCatName val="0"/>
          <c:showSerName val="0"/>
          <c:showPercent val="0"/>
          <c:showBubbleSize val="0"/>
        </c:dLbls>
        <c:axId val="107423232"/>
        <c:axId val="107425152"/>
      </c:scatterChart>
      <c:valAx>
        <c:axId val="107423232"/>
        <c:scaling>
          <c:orientation val="minMax"/>
          <c:min val="0"/>
        </c:scaling>
        <c:delete val="0"/>
        <c:axPos val="b"/>
        <c:title>
          <c:tx>
            <c:rich>
              <a:bodyPr/>
              <a:lstStyle/>
              <a:p>
                <a:pPr>
                  <a:defRPr sz="1000" b="1" i="0" u="none" strike="noStrike" baseline="0">
                    <a:solidFill>
                      <a:srgbClr val="000000"/>
                    </a:solidFill>
                    <a:latin typeface="Arial Cyr"/>
                    <a:ea typeface="Arial Cyr"/>
                    <a:cs typeface="Arial Cyr"/>
                  </a:defRPr>
                </a:pPr>
                <a:r>
                  <a:rPr lang="ru-RU"/>
                  <a:t>размер пая, м</a:t>
                </a:r>
              </a:p>
            </c:rich>
          </c:tx>
          <c:layout>
            <c:manualLayout>
              <c:xMode val="edge"/>
              <c:yMode val="edge"/>
              <c:x val="0.4712950600801068"/>
              <c:y val="0.82568807339449546"/>
            </c:manualLayout>
          </c:layout>
          <c:overlay val="0"/>
          <c:spPr>
            <a:noFill/>
            <a:ln w="25400">
              <a:noFill/>
            </a:ln>
          </c:spPr>
        </c:title>
        <c:numFmt formatCode="0.00"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107425152"/>
        <c:crosses val="autoZero"/>
        <c:crossBetween val="midCat"/>
      </c:valAx>
      <c:valAx>
        <c:axId val="10742515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Cyr"/>
                    <a:ea typeface="Arial Cyr"/>
                    <a:cs typeface="Arial Cyr"/>
                  </a:defRPr>
                </a:pPr>
                <a:r>
                  <a:rPr lang="ru-RU"/>
                  <a:t>Процент выполнения нормы выработки</a:t>
                </a:r>
              </a:p>
            </c:rich>
          </c:tx>
          <c:layout>
            <c:manualLayout>
              <c:xMode val="edge"/>
              <c:yMode val="edge"/>
              <c:x val="2.1361815754339118E-2"/>
              <c:y val="6.4220183486238536E-2"/>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107423232"/>
        <c:crosses val="autoZero"/>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5294145718416214"/>
          <c:y val="3.787878787878788E-2"/>
        </c:manualLayout>
      </c:layout>
      <c:overlay val="0"/>
      <c:spPr>
        <a:noFill/>
        <a:ln w="25400">
          <a:noFill/>
        </a:ln>
      </c:spPr>
      <c:txPr>
        <a:bodyPr/>
        <a:lstStyle/>
        <a:p>
          <a:pPr>
            <a:defRPr sz="1400" b="0" i="0" u="none" strike="noStrike" baseline="0">
              <a:solidFill>
                <a:srgbClr val="000000"/>
              </a:solidFill>
              <a:latin typeface="Arial Cyr"/>
              <a:ea typeface="Arial Cyr"/>
              <a:cs typeface="Arial Cyr"/>
            </a:defRPr>
          </a:pPr>
          <a:endParaRPr lang="ru-RU"/>
        </a:p>
      </c:txPr>
    </c:title>
    <c:autoTitleDeleted val="0"/>
    <c:plotArea>
      <c:layout>
        <c:manualLayout>
          <c:layoutTarget val="inner"/>
          <c:xMode val="edge"/>
          <c:yMode val="edge"/>
          <c:x val="7.3529459763444549E-2"/>
          <c:y val="0.2575767103778645"/>
          <c:w val="0.89171181204031846"/>
          <c:h val="0.44697135036158842"/>
        </c:manualLayout>
      </c:layout>
      <c:scatterChart>
        <c:scatterStyle val="smoothMarker"/>
        <c:varyColors val="0"/>
        <c:ser>
          <c:idx val="0"/>
          <c:order val="0"/>
          <c:tx>
            <c:strRef>
              <c:f>стр!$A$143</c:f>
              <c:strCache>
                <c:ptCount val="1"/>
                <c:pt idx="0">
                  <c:v>Нагрузка на лаву, т/сутки</c:v>
                </c:pt>
              </c:strCache>
            </c:strRef>
          </c:tx>
          <c:spPr>
            <a:ln w="25400">
              <a:solidFill>
                <a:srgbClr val="000080"/>
              </a:solidFill>
              <a:prstDash val="solid"/>
            </a:ln>
          </c:spPr>
          <c:marker>
            <c:symbol val="none"/>
          </c:marker>
          <c:xVal>
            <c:numRef>
              <c:f>стр!$B$142:$F$142</c:f>
              <c:numCache>
                <c:formatCode>General</c:formatCode>
                <c:ptCount val="5"/>
                <c:pt idx="0">
                  <c:v>100</c:v>
                </c:pt>
                <c:pt idx="1">
                  <c:v>150</c:v>
                </c:pt>
                <c:pt idx="2">
                  <c:v>200</c:v>
                </c:pt>
                <c:pt idx="3">
                  <c:v>250</c:v>
                </c:pt>
                <c:pt idx="4">
                  <c:v>300</c:v>
                </c:pt>
              </c:numCache>
            </c:numRef>
          </c:xVal>
          <c:yVal>
            <c:numRef>
              <c:f>стр!$B$143:$F$143</c:f>
              <c:numCache>
                <c:formatCode>General</c:formatCode>
                <c:ptCount val="5"/>
              </c:numCache>
            </c:numRef>
          </c:yVal>
          <c:smooth val="1"/>
        </c:ser>
        <c:dLbls>
          <c:showLegendKey val="0"/>
          <c:showVal val="0"/>
          <c:showCatName val="0"/>
          <c:showSerName val="0"/>
          <c:showPercent val="0"/>
          <c:showBubbleSize val="0"/>
        </c:dLbls>
        <c:axId val="107473920"/>
        <c:axId val="107476096"/>
      </c:scatterChart>
      <c:valAx>
        <c:axId val="107473920"/>
        <c:scaling>
          <c:orientation val="minMax"/>
        </c:scaling>
        <c:delete val="0"/>
        <c:axPos val="b"/>
        <c:title>
          <c:tx>
            <c:rich>
              <a:bodyPr/>
              <a:lstStyle/>
              <a:p>
                <a:pPr>
                  <a:defRPr sz="1400" b="1" i="0" u="none" strike="noStrike" baseline="0">
                    <a:solidFill>
                      <a:srgbClr val="000000"/>
                    </a:solidFill>
                    <a:latin typeface="Arial Cyr"/>
                    <a:ea typeface="Arial Cyr"/>
                    <a:cs typeface="Arial Cyr"/>
                  </a:defRPr>
                </a:pPr>
                <a:r>
                  <a:rPr lang="ru-RU"/>
                  <a:t>Длина лавы, м</a:t>
                </a:r>
              </a:p>
            </c:rich>
          </c:tx>
          <c:layout>
            <c:manualLayout>
              <c:xMode val="edge"/>
              <c:yMode val="edge"/>
              <c:x val="0.42246017376170225"/>
              <c:y val="0.8219728783902012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107476096"/>
        <c:crosses val="autoZero"/>
        <c:crossBetween val="midCat"/>
      </c:valAx>
      <c:valAx>
        <c:axId val="10747609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107473920"/>
        <c:crosses val="autoZero"/>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75" b="1" i="0" u="none" strike="noStrike" baseline="0">
                <a:solidFill>
                  <a:srgbClr val="000000"/>
                </a:solidFill>
                <a:latin typeface="Arial Cyr"/>
                <a:ea typeface="Arial Cyr"/>
                <a:cs typeface="Arial Cyr"/>
              </a:defRPr>
            </a:pPr>
            <a:r>
              <a:rPr lang="de-DE"/>
              <a:t>Verwendungsbereich der Walzschrämladern hinsichtlich der Flözmächtigkeit</a:t>
            </a:r>
          </a:p>
        </c:rich>
      </c:tx>
      <c:overlay val="0"/>
      <c:spPr>
        <a:noFill/>
        <a:ln w="25400">
          <a:noFill/>
        </a:ln>
      </c:spPr>
    </c:title>
    <c:autoTitleDeleted val="0"/>
    <c:view3D>
      <c:rotX val="15"/>
      <c:hPercent val="7"/>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mmin</c:v>
          </c:tx>
          <c:spPr>
            <a:solidFill>
              <a:srgbClr val="9999FF"/>
            </a:solidFill>
            <a:ln w="12700">
              <a:solidFill>
                <a:srgbClr val="000000"/>
              </a:solidFill>
              <a:prstDash val="solid"/>
            </a:ln>
          </c:spPr>
          <c:invertIfNegative val="0"/>
          <c:cat>
            <c:strLit>
              <c:ptCount val="13"/>
              <c:pt idx="0">
                <c:v>1К101У</c:v>
              </c:pt>
              <c:pt idx="1">
                <c:v>К103М</c:v>
              </c:pt>
              <c:pt idx="2">
                <c:v>КА80</c:v>
              </c:pt>
              <c:pt idx="3">
                <c:v>1K101УД</c:v>
              </c:pt>
              <c:pt idx="4">
                <c:v>ГШ200Б</c:v>
              </c:pt>
              <c:pt idx="5">
                <c:v>ГШ200В</c:v>
              </c:pt>
              <c:pt idx="6">
                <c:v>2К52М</c:v>
              </c:pt>
              <c:pt idx="7">
                <c:v>РКУ10</c:v>
              </c:pt>
              <c:pt idx="8">
                <c:v>1ГШ68</c:v>
              </c:pt>
              <c:pt idx="9">
                <c:v>2ГШ68</c:v>
              </c:pt>
              <c:pt idx="10">
                <c:v>РКУ13</c:v>
              </c:pt>
              <c:pt idx="11">
                <c:v>ГШ500</c:v>
              </c:pt>
              <c:pt idx="12">
                <c:v>КШ1КГУ</c:v>
              </c:pt>
            </c:strLit>
          </c:cat>
          <c:val>
            <c:numLit>
              <c:formatCode>General</c:formatCode>
              <c:ptCount val="13"/>
              <c:pt idx="0">
                <c:v>0.8</c:v>
              </c:pt>
              <c:pt idx="1">
                <c:v>0.6</c:v>
              </c:pt>
              <c:pt idx="2">
                <c:v>0.6</c:v>
              </c:pt>
              <c:pt idx="3">
                <c:v>0.95</c:v>
              </c:pt>
              <c:pt idx="4">
                <c:v>0.95</c:v>
              </c:pt>
              <c:pt idx="5">
                <c:v>0.95</c:v>
              </c:pt>
              <c:pt idx="6">
                <c:v>1</c:v>
              </c:pt>
              <c:pt idx="7">
                <c:v>1.1000000000000001</c:v>
              </c:pt>
              <c:pt idx="8">
                <c:v>1.1000000000000001</c:v>
              </c:pt>
              <c:pt idx="9">
                <c:v>1.1000000000000001</c:v>
              </c:pt>
              <c:pt idx="10">
                <c:v>1.35</c:v>
              </c:pt>
              <c:pt idx="11">
                <c:v>1.3</c:v>
              </c:pt>
              <c:pt idx="12">
                <c:v>1.6</c:v>
              </c:pt>
            </c:numLit>
          </c:val>
        </c:ser>
        <c:ser>
          <c:idx val="1"/>
          <c:order val="1"/>
          <c:tx>
            <c:v>mmax</c:v>
          </c:tx>
          <c:spPr>
            <a:solidFill>
              <a:srgbClr val="993366"/>
            </a:solidFill>
            <a:ln w="12700">
              <a:solidFill>
                <a:srgbClr val="000000"/>
              </a:solidFill>
              <a:prstDash val="solid"/>
            </a:ln>
          </c:spPr>
          <c:invertIfNegative val="0"/>
          <c:cat>
            <c:strLit>
              <c:ptCount val="13"/>
              <c:pt idx="0">
                <c:v>1К101У</c:v>
              </c:pt>
              <c:pt idx="1">
                <c:v>К103М</c:v>
              </c:pt>
              <c:pt idx="2">
                <c:v>КА80</c:v>
              </c:pt>
              <c:pt idx="3">
                <c:v>1K101УД</c:v>
              </c:pt>
              <c:pt idx="4">
                <c:v>ГШ200Б</c:v>
              </c:pt>
              <c:pt idx="5">
                <c:v>ГШ200В</c:v>
              </c:pt>
              <c:pt idx="6">
                <c:v>2К52М</c:v>
              </c:pt>
              <c:pt idx="7">
                <c:v>РКУ10</c:v>
              </c:pt>
              <c:pt idx="8">
                <c:v>1ГШ68</c:v>
              </c:pt>
              <c:pt idx="9">
                <c:v>2ГШ68</c:v>
              </c:pt>
              <c:pt idx="10">
                <c:v>РКУ13</c:v>
              </c:pt>
              <c:pt idx="11">
                <c:v>ГШ500</c:v>
              </c:pt>
              <c:pt idx="12">
                <c:v>КШ1КГУ</c:v>
              </c:pt>
            </c:strLit>
          </c:cat>
          <c:val>
            <c:numLit>
              <c:formatCode>General</c:formatCode>
              <c:ptCount val="13"/>
              <c:pt idx="0">
                <c:v>1.2</c:v>
              </c:pt>
              <c:pt idx="1">
                <c:v>1.2</c:v>
              </c:pt>
              <c:pt idx="2">
                <c:v>1.2</c:v>
              </c:pt>
              <c:pt idx="3">
                <c:v>1.3</c:v>
              </c:pt>
              <c:pt idx="4">
                <c:v>1.5</c:v>
              </c:pt>
              <c:pt idx="5">
                <c:v>1.5</c:v>
              </c:pt>
              <c:pt idx="6">
                <c:v>1.7</c:v>
              </c:pt>
              <c:pt idx="7">
                <c:v>1.93</c:v>
              </c:pt>
              <c:pt idx="8">
                <c:v>2.5</c:v>
              </c:pt>
              <c:pt idx="9">
                <c:v>2.5</c:v>
              </c:pt>
              <c:pt idx="10">
                <c:v>2.6</c:v>
              </c:pt>
              <c:pt idx="11">
                <c:v>2.7</c:v>
              </c:pt>
              <c:pt idx="12">
                <c:v>3.2</c:v>
              </c:pt>
            </c:numLit>
          </c:val>
        </c:ser>
        <c:dLbls>
          <c:showLegendKey val="0"/>
          <c:showVal val="0"/>
          <c:showCatName val="0"/>
          <c:showSerName val="0"/>
          <c:showPercent val="0"/>
          <c:showBubbleSize val="0"/>
        </c:dLbls>
        <c:gapWidth val="150"/>
        <c:shape val="box"/>
        <c:axId val="104276736"/>
        <c:axId val="104278272"/>
        <c:axId val="0"/>
      </c:bar3DChart>
      <c:catAx>
        <c:axId val="10427673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RU"/>
          </a:p>
        </c:txPr>
        <c:crossAx val="104278272"/>
        <c:crosses val="autoZero"/>
        <c:auto val="1"/>
        <c:lblAlgn val="ctr"/>
        <c:lblOffset val="100"/>
        <c:tickLblSkip val="1"/>
        <c:tickMarkSkip val="1"/>
        <c:noMultiLvlLbl val="0"/>
      </c:catAx>
      <c:valAx>
        <c:axId val="10427827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RU"/>
          </a:p>
        </c:txPr>
        <c:crossAx val="104276736"/>
        <c:crosses val="autoZero"/>
        <c:crossBetween val="between"/>
        <c:majorUnit val="0.2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Cyr"/>
                <a:ea typeface="Arial Cyr"/>
                <a:cs typeface="Arial Cyr"/>
              </a:defRPr>
            </a:pPr>
            <a:r>
              <a:rPr lang="de-DE"/>
              <a:t>Verwenungsbereich der mechanische Ausbau
hinsichtlich der Flözmächtigkeit</a:t>
            </a:r>
          </a:p>
        </c:rich>
      </c:tx>
      <c:overlay val="0"/>
      <c:spPr>
        <a:noFill/>
        <a:ln w="25400">
          <a:noFill/>
        </a:ln>
      </c:spPr>
    </c:title>
    <c:autoTitleDeleted val="0"/>
    <c:view3D>
      <c:rotX val="15"/>
      <c:hPercent val="5"/>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Gewinnende Flötmächtigkeit, m minimale</c:v>
          </c:tx>
          <c:spPr>
            <a:solidFill>
              <a:srgbClr val="9999FF"/>
            </a:solidFill>
            <a:ln w="12700">
              <a:solidFill>
                <a:srgbClr val="000000"/>
              </a:solidFill>
              <a:prstDash val="solid"/>
            </a:ln>
          </c:spPr>
          <c:invertIfNegative val="0"/>
          <c:cat>
            <c:strLit>
              <c:ptCount val="13"/>
              <c:pt idx="0">
                <c:v>М103</c:v>
              </c:pt>
              <c:pt idx="1">
                <c:v>МК98</c:v>
              </c:pt>
              <c:pt idx="2">
                <c:v>Donbass80</c:v>
              </c:pt>
              <c:pt idx="3">
                <c:v>М137</c:v>
              </c:pt>
              <c:pt idx="4">
                <c:v>М88</c:v>
              </c:pt>
              <c:pt idx="5">
                <c:v>М87УМН</c:v>
              </c:pt>
              <c:pt idx="6">
                <c:v>М87УМП</c:v>
              </c:pt>
              <c:pt idx="7">
                <c:v>КД90</c:v>
              </c:pt>
              <c:pt idx="8">
                <c:v>МТ</c:v>
              </c:pt>
              <c:pt idx="9">
                <c:v>КДД</c:v>
              </c:pt>
              <c:pt idx="10">
                <c:v>МК75</c:v>
              </c:pt>
              <c:pt idx="11">
                <c:v>М138</c:v>
              </c:pt>
              <c:pt idx="12">
                <c:v>1УКП</c:v>
              </c:pt>
            </c:strLit>
          </c:cat>
          <c:val>
            <c:numLit>
              <c:formatCode>General</c:formatCode>
              <c:ptCount val="13"/>
              <c:pt idx="0">
                <c:v>0.75</c:v>
              </c:pt>
              <c:pt idx="1">
                <c:v>0.75</c:v>
              </c:pt>
              <c:pt idx="2">
                <c:v>0.85</c:v>
              </c:pt>
              <c:pt idx="3">
                <c:v>0.8</c:v>
              </c:pt>
              <c:pt idx="4">
                <c:v>0.95</c:v>
              </c:pt>
              <c:pt idx="5">
                <c:v>1.1499999999999999</c:v>
              </c:pt>
              <c:pt idx="6">
                <c:v>1.1499999999999999</c:v>
              </c:pt>
              <c:pt idx="7">
                <c:v>0.8</c:v>
              </c:pt>
              <c:pt idx="8">
                <c:v>1.1499999999999999</c:v>
              </c:pt>
              <c:pt idx="9">
                <c:v>1.35</c:v>
              </c:pt>
              <c:pt idx="10">
                <c:v>1.6</c:v>
              </c:pt>
              <c:pt idx="11">
                <c:v>1.1000000000000001</c:v>
              </c:pt>
              <c:pt idx="12">
                <c:v>1.2</c:v>
              </c:pt>
            </c:numLit>
          </c:val>
        </c:ser>
        <c:ser>
          <c:idx val="1"/>
          <c:order val="1"/>
          <c:tx>
            <c:v>Gewinnende Flötmächtigkeit, m maxima-le</c:v>
          </c:tx>
          <c:spPr>
            <a:solidFill>
              <a:srgbClr val="993366"/>
            </a:solidFill>
            <a:ln w="12700">
              <a:solidFill>
                <a:srgbClr val="000000"/>
              </a:solidFill>
              <a:prstDash val="solid"/>
            </a:ln>
          </c:spPr>
          <c:invertIfNegative val="0"/>
          <c:cat>
            <c:strLit>
              <c:ptCount val="13"/>
              <c:pt idx="0">
                <c:v>М103</c:v>
              </c:pt>
              <c:pt idx="1">
                <c:v>МК98</c:v>
              </c:pt>
              <c:pt idx="2">
                <c:v>Donbass80</c:v>
              </c:pt>
              <c:pt idx="3">
                <c:v>М137</c:v>
              </c:pt>
              <c:pt idx="4">
                <c:v>М88</c:v>
              </c:pt>
              <c:pt idx="5">
                <c:v>М87УМН</c:v>
              </c:pt>
              <c:pt idx="6">
                <c:v>М87УМП</c:v>
              </c:pt>
              <c:pt idx="7">
                <c:v>КД90</c:v>
              </c:pt>
              <c:pt idx="8">
                <c:v>МТ</c:v>
              </c:pt>
              <c:pt idx="9">
                <c:v>КДД</c:v>
              </c:pt>
              <c:pt idx="10">
                <c:v>МК75</c:v>
              </c:pt>
              <c:pt idx="11">
                <c:v>М138</c:v>
              </c:pt>
              <c:pt idx="12">
                <c:v>1УКП</c:v>
              </c:pt>
            </c:strLit>
          </c:cat>
          <c:val>
            <c:numLit>
              <c:formatCode>General</c:formatCode>
              <c:ptCount val="13"/>
              <c:pt idx="0">
                <c:v>0.95</c:v>
              </c:pt>
              <c:pt idx="1">
                <c:v>1.2</c:v>
              </c:pt>
              <c:pt idx="2">
                <c:v>1.2</c:v>
              </c:pt>
              <c:pt idx="3">
                <c:v>1.4</c:v>
              </c:pt>
              <c:pt idx="4">
                <c:v>1.4</c:v>
              </c:pt>
              <c:pt idx="5">
                <c:v>1.95</c:v>
              </c:pt>
              <c:pt idx="6">
                <c:v>1.95</c:v>
              </c:pt>
              <c:pt idx="7">
                <c:v>2</c:v>
              </c:pt>
              <c:pt idx="8">
                <c:v>2</c:v>
              </c:pt>
              <c:pt idx="9">
                <c:v>2</c:v>
              </c:pt>
              <c:pt idx="10">
                <c:v>2.2000000000000002</c:v>
              </c:pt>
              <c:pt idx="11">
                <c:v>2.5</c:v>
              </c:pt>
              <c:pt idx="12">
                <c:v>2.5</c:v>
              </c:pt>
            </c:numLit>
          </c:val>
        </c:ser>
        <c:dLbls>
          <c:showLegendKey val="0"/>
          <c:showVal val="0"/>
          <c:showCatName val="0"/>
          <c:showSerName val="0"/>
          <c:showPercent val="0"/>
          <c:showBubbleSize val="0"/>
        </c:dLbls>
        <c:gapWidth val="150"/>
        <c:shape val="box"/>
        <c:axId val="104311808"/>
        <c:axId val="104313600"/>
        <c:axId val="0"/>
      </c:bar3DChart>
      <c:catAx>
        <c:axId val="10431180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300" b="0" i="0" u="none" strike="noStrike" baseline="0">
                <a:solidFill>
                  <a:srgbClr val="000000"/>
                </a:solidFill>
                <a:latin typeface="Arial Cyr"/>
                <a:ea typeface="Arial Cyr"/>
                <a:cs typeface="Arial Cyr"/>
              </a:defRPr>
            </a:pPr>
            <a:endParaRPr lang="ru-RU"/>
          </a:p>
        </c:txPr>
        <c:crossAx val="104313600"/>
        <c:crosses val="autoZero"/>
        <c:auto val="1"/>
        <c:lblAlgn val="ctr"/>
        <c:lblOffset val="100"/>
        <c:tickLblSkip val="1"/>
        <c:tickMarkSkip val="1"/>
        <c:noMultiLvlLbl val="0"/>
      </c:catAx>
      <c:valAx>
        <c:axId val="10431360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Cyr"/>
                <a:ea typeface="Arial Cyr"/>
                <a:cs typeface="Arial Cyr"/>
              </a:defRPr>
            </a:pPr>
            <a:endParaRPr lang="ru-RU"/>
          </a:p>
        </c:txPr>
        <c:crossAx val="104311808"/>
        <c:crosses val="autoZero"/>
        <c:crossBetween val="between"/>
        <c:majorUnit val="0.2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75" b="1" i="0" u="none" strike="noStrike" baseline="0">
                <a:solidFill>
                  <a:srgbClr val="000000"/>
                </a:solidFill>
                <a:latin typeface="Arial Cyr"/>
                <a:ea typeface="Arial Cyr"/>
                <a:cs typeface="Arial Cyr"/>
              </a:defRPr>
            </a:pPr>
            <a:r>
              <a:rPr lang="de-DE"/>
              <a:t>Verwendungsbereich der Walzschrämladern hinsichtlich der Flözmächtigkeit</a:t>
            </a:r>
          </a:p>
        </c:rich>
      </c:tx>
      <c:overlay val="0"/>
      <c:spPr>
        <a:noFill/>
        <a:ln w="25400">
          <a:noFill/>
        </a:ln>
      </c:spPr>
    </c:title>
    <c:autoTitleDeleted val="0"/>
    <c:view3D>
      <c:rotX val="15"/>
      <c:hPercent val="7"/>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mmin</c:v>
          </c:tx>
          <c:spPr>
            <a:solidFill>
              <a:srgbClr val="9999FF"/>
            </a:solidFill>
            <a:ln w="12700">
              <a:solidFill>
                <a:srgbClr val="000000"/>
              </a:solidFill>
              <a:prstDash val="solid"/>
            </a:ln>
          </c:spPr>
          <c:invertIfNegative val="0"/>
          <c:cat>
            <c:strLit>
              <c:ptCount val="13"/>
              <c:pt idx="0">
                <c:v>1К101У</c:v>
              </c:pt>
              <c:pt idx="1">
                <c:v>К103М</c:v>
              </c:pt>
              <c:pt idx="2">
                <c:v>КА80</c:v>
              </c:pt>
              <c:pt idx="3">
                <c:v>1K101УД</c:v>
              </c:pt>
              <c:pt idx="4">
                <c:v>ГШ200Б</c:v>
              </c:pt>
              <c:pt idx="5">
                <c:v>ГШ200В</c:v>
              </c:pt>
              <c:pt idx="6">
                <c:v>2К52М</c:v>
              </c:pt>
              <c:pt idx="7">
                <c:v>РКУ10</c:v>
              </c:pt>
              <c:pt idx="8">
                <c:v>1ГШ68</c:v>
              </c:pt>
              <c:pt idx="9">
                <c:v>2ГШ68</c:v>
              </c:pt>
              <c:pt idx="10">
                <c:v>РКУ13</c:v>
              </c:pt>
              <c:pt idx="11">
                <c:v>ГШ500</c:v>
              </c:pt>
              <c:pt idx="12">
                <c:v>КШ1КГУ</c:v>
              </c:pt>
            </c:strLit>
          </c:cat>
          <c:val>
            <c:numLit>
              <c:formatCode>General</c:formatCode>
              <c:ptCount val="13"/>
              <c:pt idx="0">
                <c:v>0.8</c:v>
              </c:pt>
              <c:pt idx="1">
                <c:v>0.6</c:v>
              </c:pt>
              <c:pt idx="2">
                <c:v>0.6</c:v>
              </c:pt>
              <c:pt idx="3">
                <c:v>0.95</c:v>
              </c:pt>
              <c:pt idx="4">
                <c:v>0.95</c:v>
              </c:pt>
              <c:pt idx="5">
                <c:v>0.95</c:v>
              </c:pt>
              <c:pt idx="6">
                <c:v>1</c:v>
              </c:pt>
              <c:pt idx="7">
                <c:v>1.1000000000000001</c:v>
              </c:pt>
              <c:pt idx="8">
                <c:v>1.1000000000000001</c:v>
              </c:pt>
              <c:pt idx="9">
                <c:v>1.1000000000000001</c:v>
              </c:pt>
              <c:pt idx="10">
                <c:v>1.35</c:v>
              </c:pt>
              <c:pt idx="11">
                <c:v>1.3</c:v>
              </c:pt>
              <c:pt idx="12">
                <c:v>1.6</c:v>
              </c:pt>
            </c:numLit>
          </c:val>
        </c:ser>
        <c:ser>
          <c:idx val="1"/>
          <c:order val="1"/>
          <c:tx>
            <c:v>mmax</c:v>
          </c:tx>
          <c:spPr>
            <a:solidFill>
              <a:srgbClr val="993366"/>
            </a:solidFill>
            <a:ln w="12700">
              <a:solidFill>
                <a:srgbClr val="000000"/>
              </a:solidFill>
              <a:prstDash val="solid"/>
            </a:ln>
          </c:spPr>
          <c:invertIfNegative val="0"/>
          <c:cat>
            <c:strLit>
              <c:ptCount val="13"/>
              <c:pt idx="0">
                <c:v>1К101У</c:v>
              </c:pt>
              <c:pt idx="1">
                <c:v>К103М</c:v>
              </c:pt>
              <c:pt idx="2">
                <c:v>КА80</c:v>
              </c:pt>
              <c:pt idx="3">
                <c:v>1K101УД</c:v>
              </c:pt>
              <c:pt idx="4">
                <c:v>ГШ200Б</c:v>
              </c:pt>
              <c:pt idx="5">
                <c:v>ГШ200В</c:v>
              </c:pt>
              <c:pt idx="6">
                <c:v>2К52М</c:v>
              </c:pt>
              <c:pt idx="7">
                <c:v>РКУ10</c:v>
              </c:pt>
              <c:pt idx="8">
                <c:v>1ГШ68</c:v>
              </c:pt>
              <c:pt idx="9">
                <c:v>2ГШ68</c:v>
              </c:pt>
              <c:pt idx="10">
                <c:v>РКУ13</c:v>
              </c:pt>
              <c:pt idx="11">
                <c:v>ГШ500</c:v>
              </c:pt>
              <c:pt idx="12">
                <c:v>КШ1КГУ</c:v>
              </c:pt>
            </c:strLit>
          </c:cat>
          <c:val>
            <c:numLit>
              <c:formatCode>General</c:formatCode>
              <c:ptCount val="13"/>
              <c:pt idx="0">
                <c:v>1.2</c:v>
              </c:pt>
              <c:pt idx="1">
                <c:v>1.2</c:v>
              </c:pt>
              <c:pt idx="2">
                <c:v>1.2</c:v>
              </c:pt>
              <c:pt idx="3">
                <c:v>1.3</c:v>
              </c:pt>
              <c:pt idx="4">
                <c:v>1.5</c:v>
              </c:pt>
              <c:pt idx="5">
                <c:v>1.5</c:v>
              </c:pt>
              <c:pt idx="6">
                <c:v>1.7</c:v>
              </c:pt>
              <c:pt idx="7">
                <c:v>1.93</c:v>
              </c:pt>
              <c:pt idx="8">
                <c:v>2.5</c:v>
              </c:pt>
              <c:pt idx="9">
                <c:v>2.5</c:v>
              </c:pt>
              <c:pt idx="10">
                <c:v>2.6</c:v>
              </c:pt>
              <c:pt idx="11">
                <c:v>2.7</c:v>
              </c:pt>
              <c:pt idx="12">
                <c:v>3.2</c:v>
              </c:pt>
            </c:numLit>
          </c:val>
        </c:ser>
        <c:dLbls>
          <c:showLegendKey val="0"/>
          <c:showVal val="0"/>
          <c:showCatName val="0"/>
          <c:showSerName val="0"/>
          <c:showPercent val="0"/>
          <c:showBubbleSize val="0"/>
        </c:dLbls>
        <c:gapWidth val="150"/>
        <c:shape val="box"/>
        <c:axId val="104404480"/>
        <c:axId val="104406016"/>
        <c:axId val="0"/>
      </c:bar3DChart>
      <c:catAx>
        <c:axId val="10440448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RU"/>
          </a:p>
        </c:txPr>
        <c:crossAx val="104406016"/>
        <c:crosses val="autoZero"/>
        <c:auto val="1"/>
        <c:lblAlgn val="ctr"/>
        <c:lblOffset val="100"/>
        <c:tickLblSkip val="1"/>
        <c:tickMarkSkip val="1"/>
        <c:noMultiLvlLbl val="0"/>
      </c:catAx>
      <c:valAx>
        <c:axId val="10440601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RU"/>
          </a:p>
        </c:txPr>
        <c:crossAx val="104404480"/>
        <c:crosses val="autoZero"/>
        <c:crossBetween val="between"/>
        <c:majorUnit val="0.2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1200" b="0">
              <a:latin typeface="Times New Roman" panose="02020603050405020304" pitchFamily="18" charset="0"/>
              <a:cs typeface="Times New Roman" panose="02020603050405020304" pitchFamily="18" charset="0"/>
            </a:defRPr>
          </a:pPr>
          <a:endParaRPr lang="ru-RU"/>
        </a:p>
      </c:txPr>
    </c:title>
    <c:autoTitleDeleted val="0"/>
    <c:plotArea>
      <c:layout/>
      <c:scatterChart>
        <c:scatterStyle val="smoothMarker"/>
        <c:varyColors val="0"/>
        <c:ser>
          <c:idx val="0"/>
          <c:order val="0"/>
          <c:tx>
            <c:strRef>
              <c:f>kursovoy!$B$1146</c:f>
              <c:strCache>
                <c:ptCount val="1"/>
                <c:pt idx="0">
                  <c:v>Удельные затраты, руб/т, </c:v>
                </c:pt>
              </c:strCache>
            </c:strRef>
          </c:tx>
          <c:marker>
            <c:symbol val="none"/>
          </c:marker>
          <c:xVal>
            <c:numRef>
              <c:f>kursovoy!$A$1147:$A$1152</c:f>
              <c:numCache>
                <c:formatCode>General</c:formatCode>
                <c:ptCount val="6"/>
                <c:pt idx="0">
                  <c:v>300</c:v>
                </c:pt>
                <c:pt idx="1">
                  <c:v>400</c:v>
                </c:pt>
                <c:pt idx="2">
                  <c:v>600</c:v>
                </c:pt>
                <c:pt idx="3">
                  <c:v>800</c:v>
                </c:pt>
                <c:pt idx="4">
                  <c:v>1000</c:v>
                </c:pt>
                <c:pt idx="5">
                  <c:v>1200</c:v>
                </c:pt>
              </c:numCache>
            </c:numRef>
          </c:xVal>
          <c:yVal>
            <c:numRef>
              <c:f>kursovoy!$B$1147:$B$1152</c:f>
              <c:numCache>
                <c:formatCode>General</c:formatCode>
                <c:ptCount val="6"/>
                <c:pt idx="0">
                  <c:v>0</c:v>
                </c:pt>
                <c:pt idx="1">
                  <c:v>0</c:v>
                </c:pt>
                <c:pt idx="2">
                  <c:v>0</c:v>
                </c:pt>
                <c:pt idx="3">
                  <c:v>0</c:v>
                </c:pt>
                <c:pt idx="4">
                  <c:v>0</c:v>
                </c:pt>
                <c:pt idx="5">
                  <c:v>0</c:v>
                </c:pt>
              </c:numCache>
            </c:numRef>
          </c:yVal>
          <c:smooth val="1"/>
        </c:ser>
        <c:dLbls>
          <c:showLegendKey val="0"/>
          <c:showVal val="0"/>
          <c:showCatName val="0"/>
          <c:showSerName val="0"/>
          <c:showPercent val="0"/>
          <c:showBubbleSize val="0"/>
        </c:dLbls>
        <c:axId val="45139840"/>
        <c:axId val="45141376"/>
      </c:scatterChart>
      <c:valAx>
        <c:axId val="45139840"/>
        <c:scaling>
          <c:orientation val="minMax"/>
        </c:scaling>
        <c:delete val="0"/>
        <c:axPos val="b"/>
        <c:numFmt formatCode="General" sourceLinked="1"/>
        <c:majorTickMark val="out"/>
        <c:minorTickMark val="none"/>
        <c:tickLblPos val="nextTo"/>
        <c:crossAx val="45141376"/>
        <c:crosses val="autoZero"/>
        <c:crossBetween val="midCat"/>
      </c:valAx>
      <c:valAx>
        <c:axId val="45141376"/>
        <c:scaling>
          <c:orientation val="minMax"/>
        </c:scaling>
        <c:delete val="0"/>
        <c:axPos val="l"/>
        <c:majorGridlines/>
        <c:numFmt formatCode="General" sourceLinked="1"/>
        <c:majorTickMark val="out"/>
        <c:minorTickMark val="none"/>
        <c:tickLblPos val="nextTo"/>
        <c:crossAx val="45139840"/>
        <c:crosses val="autoZero"/>
        <c:crossBetween val="midCat"/>
      </c:valAx>
    </c:plotArea>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250" b="0" i="0" u="none" strike="noStrike" baseline="0">
              <a:solidFill>
                <a:srgbClr val="000000"/>
              </a:solidFill>
              <a:latin typeface="Arial Cyr"/>
              <a:ea typeface="Arial Cyr"/>
              <a:cs typeface="Arial Cyr"/>
            </a:defRPr>
          </a:pPr>
          <a:endParaRPr lang="ru-RU"/>
        </a:p>
      </c:txPr>
    </c:title>
    <c:autoTitleDeleted val="0"/>
    <c:view3D>
      <c:rotX val="15"/>
      <c:hPercent val="5"/>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Производительность, т/час</c:v>
          </c:tx>
          <c:spPr>
            <a:solidFill>
              <a:srgbClr val="9999FF"/>
            </a:solidFill>
            <a:ln w="12700">
              <a:solidFill>
                <a:srgbClr val="000000"/>
              </a:solidFill>
              <a:prstDash val="solid"/>
            </a:ln>
          </c:spPr>
          <c:invertIfNegative val="0"/>
          <c:cat>
            <c:strLit>
              <c:ptCount val="19"/>
              <c:pt idx="0">
                <c:v>СПМ46</c:v>
              </c:pt>
              <c:pt idx="1">
                <c:v>СП48М</c:v>
              </c:pt>
              <c:pt idx="2">
                <c:v>СПЦ162</c:v>
              </c:pt>
              <c:pt idx="3">
                <c:v>СП202В1</c:v>
              </c:pt>
              <c:pt idx="4">
                <c:v>СП63М</c:v>
              </c:pt>
              <c:pt idx="5">
                <c:v>СП202</c:v>
              </c:pt>
              <c:pt idx="6">
                <c:v>СПМ87МП</c:v>
              </c:pt>
              <c:pt idx="7">
                <c:v>СПМ87МП</c:v>
              </c:pt>
              <c:pt idx="8">
                <c:v>СПЦ273</c:v>
              </c:pt>
              <c:pt idx="9">
                <c:v>СП250</c:v>
              </c:pt>
              <c:pt idx="10">
                <c:v>CУМК75</c:v>
              </c:pt>
              <c:pt idx="11">
                <c:v>СУОКП70</c:v>
              </c:pt>
              <c:pt idx="12">
                <c:v>СП301</c:v>
              </c:pt>
              <c:pt idx="13">
                <c:v>СПЦ261</c:v>
              </c:pt>
              <c:pt idx="14">
                <c:v>СП38Р</c:v>
              </c:pt>
              <c:pt idx="15">
                <c:v>СК38</c:v>
              </c:pt>
              <c:pt idx="16">
                <c:v>С53МУ</c:v>
              </c:pt>
              <c:pt idx="17">
                <c:v>СР70А</c:v>
              </c:pt>
              <c:pt idx="18">
                <c:v>СР70М</c:v>
              </c:pt>
            </c:strLit>
          </c:cat>
          <c:val>
            <c:numLit>
              <c:formatCode>General</c:formatCode>
              <c:ptCount val="19"/>
              <c:pt idx="0">
                <c:v>170</c:v>
              </c:pt>
              <c:pt idx="1">
                <c:v>250</c:v>
              </c:pt>
              <c:pt idx="2">
                <c:v>400</c:v>
              </c:pt>
              <c:pt idx="3">
                <c:v>400</c:v>
              </c:pt>
              <c:pt idx="4">
                <c:v>360</c:v>
              </c:pt>
              <c:pt idx="5">
                <c:v>500</c:v>
              </c:pt>
              <c:pt idx="6">
                <c:v>400</c:v>
              </c:pt>
              <c:pt idx="7">
                <c:v>600</c:v>
              </c:pt>
              <c:pt idx="8">
                <c:v>600</c:v>
              </c:pt>
              <c:pt idx="9">
                <c:v>400</c:v>
              </c:pt>
              <c:pt idx="10">
                <c:v>265</c:v>
              </c:pt>
              <c:pt idx="11">
                <c:v>600</c:v>
              </c:pt>
              <c:pt idx="12">
                <c:v>800</c:v>
              </c:pt>
              <c:pt idx="13">
                <c:v>800</c:v>
              </c:pt>
              <c:pt idx="14">
                <c:v>100</c:v>
              </c:pt>
              <c:pt idx="15">
                <c:v>250</c:v>
              </c:pt>
              <c:pt idx="16">
                <c:v>225</c:v>
              </c:pt>
              <c:pt idx="17">
                <c:v>260</c:v>
              </c:pt>
              <c:pt idx="18">
                <c:v>450</c:v>
              </c:pt>
            </c:numLit>
          </c:val>
        </c:ser>
        <c:dLbls>
          <c:showLegendKey val="0"/>
          <c:showVal val="0"/>
          <c:showCatName val="0"/>
          <c:showSerName val="0"/>
          <c:showPercent val="0"/>
          <c:showBubbleSize val="0"/>
        </c:dLbls>
        <c:gapWidth val="150"/>
        <c:shape val="box"/>
        <c:axId val="104430592"/>
        <c:axId val="104448768"/>
        <c:axId val="0"/>
      </c:bar3DChart>
      <c:catAx>
        <c:axId val="10443059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250" b="0" i="0" u="none" strike="noStrike" baseline="0">
                <a:solidFill>
                  <a:srgbClr val="000000"/>
                </a:solidFill>
                <a:latin typeface="Arial Cyr"/>
                <a:ea typeface="Arial Cyr"/>
                <a:cs typeface="Arial Cyr"/>
              </a:defRPr>
            </a:pPr>
            <a:endParaRPr lang="ru-RU"/>
          </a:p>
        </c:txPr>
        <c:crossAx val="104448768"/>
        <c:crosses val="autoZero"/>
        <c:auto val="1"/>
        <c:lblAlgn val="ctr"/>
        <c:lblOffset val="100"/>
        <c:tickLblSkip val="2"/>
        <c:tickMarkSkip val="1"/>
        <c:noMultiLvlLbl val="0"/>
      </c:catAx>
      <c:valAx>
        <c:axId val="10444876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Cyr"/>
                <a:ea typeface="Arial Cyr"/>
                <a:cs typeface="Arial Cyr"/>
              </a:defRPr>
            </a:pPr>
            <a:endParaRPr lang="ru-RU"/>
          </a:p>
        </c:txPr>
        <c:crossAx val="104430592"/>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75" b="1" i="0" u="none" strike="noStrike" baseline="0">
                <a:solidFill>
                  <a:srgbClr val="000000"/>
                </a:solidFill>
                <a:latin typeface="Arial Cyr"/>
                <a:ea typeface="Arial Cyr"/>
                <a:cs typeface="Arial Cyr"/>
              </a:defRPr>
            </a:pPr>
            <a:r>
              <a:rPr lang="ru-RU"/>
              <a:t>Приемная способность конвейера в полустационарном исполнении</a:t>
            </a:r>
          </a:p>
        </c:rich>
      </c:tx>
      <c:overlay val="0"/>
      <c:spPr>
        <a:noFill/>
        <a:ln w="25400">
          <a:noFill/>
        </a:ln>
      </c:spPr>
    </c:title>
    <c:autoTitleDeleted val="0"/>
    <c:view3D>
      <c:rotX val="15"/>
      <c:hPercent val="5"/>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spPr>
            <a:solidFill>
              <a:srgbClr val="9999FF"/>
            </a:solidFill>
            <a:ln w="12700">
              <a:solidFill>
                <a:srgbClr val="000000"/>
              </a:solidFill>
              <a:prstDash val="solid"/>
            </a:ln>
          </c:spPr>
          <c:invertIfNegative val="0"/>
          <c:cat>
            <c:strLit>
              <c:ptCount val="15"/>
              <c:pt idx="0">
                <c:v>1ЛУ80</c:v>
              </c:pt>
              <c:pt idx="1">
                <c:v>1ЛУ80</c:v>
              </c:pt>
              <c:pt idx="2">
                <c:v>1ЛТ80У</c:v>
              </c:pt>
              <c:pt idx="3">
                <c:v>1ЛТ80У</c:v>
              </c:pt>
              <c:pt idx="4">
                <c:v>2Л80У</c:v>
              </c:pt>
              <c:pt idx="5">
                <c:v>2Л80У</c:v>
              </c:pt>
              <c:pt idx="6">
                <c:v>2ЛТ80У</c:v>
              </c:pt>
              <c:pt idx="7">
                <c:v>2ЛТ80У</c:v>
              </c:pt>
              <c:pt idx="8">
                <c:v>2ЛБ120М</c:v>
              </c:pt>
              <c:pt idx="9">
                <c:v>2ЛБ120М</c:v>
              </c:pt>
              <c:pt idx="10">
                <c:v>1Л100У</c:v>
              </c:pt>
              <c:pt idx="11">
                <c:v>1ЛТ100У</c:v>
              </c:pt>
              <c:pt idx="12">
                <c:v>1ЛТ100У</c:v>
              </c:pt>
              <c:pt idx="13">
                <c:v>1ЛУ100</c:v>
              </c:pt>
              <c:pt idx="14">
                <c:v>2ЛТ100</c:v>
              </c:pt>
            </c:strLit>
          </c:cat>
          <c:val>
            <c:numLit>
              <c:formatCode>General</c:formatCode>
              <c:ptCount val="15"/>
              <c:pt idx="0">
                <c:v>6.5</c:v>
              </c:pt>
              <c:pt idx="1">
                <c:v>8.4</c:v>
              </c:pt>
              <c:pt idx="2">
                <c:v>6.5</c:v>
              </c:pt>
              <c:pt idx="3">
                <c:v>8.4</c:v>
              </c:pt>
              <c:pt idx="4">
                <c:v>6.5</c:v>
              </c:pt>
              <c:pt idx="5">
                <c:v>8.4</c:v>
              </c:pt>
              <c:pt idx="6">
                <c:v>6.5</c:v>
              </c:pt>
              <c:pt idx="7">
                <c:v>8.4</c:v>
              </c:pt>
              <c:pt idx="8">
                <c:v>6.5</c:v>
              </c:pt>
              <c:pt idx="9">
                <c:v>8.4</c:v>
              </c:pt>
              <c:pt idx="11">
                <c:v>10.1</c:v>
              </c:pt>
              <c:pt idx="12">
                <c:v>15.7</c:v>
              </c:pt>
            </c:numLit>
          </c:val>
        </c:ser>
        <c:dLbls>
          <c:showLegendKey val="0"/>
          <c:showVal val="0"/>
          <c:showCatName val="0"/>
          <c:showSerName val="0"/>
          <c:showPercent val="0"/>
          <c:showBubbleSize val="0"/>
        </c:dLbls>
        <c:gapWidth val="150"/>
        <c:shape val="box"/>
        <c:axId val="104477440"/>
        <c:axId val="104478976"/>
        <c:axId val="0"/>
      </c:bar3DChart>
      <c:catAx>
        <c:axId val="10447744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250" b="0" i="0" u="none" strike="noStrike" baseline="0">
                <a:solidFill>
                  <a:srgbClr val="000000"/>
                </a:solidFill>
                <a:latin typeface="Arial Cyr"/>
                <a:ea typeface="Arial Cyr"/>
                <a:cs typeface="Arial Cyr"/>
              </a:defRPr>
            </a:pPr>
            <a:endParaRPr lang="ru-RU"/>
          </a:p>
        </c:txPr>
        <c:crossAx val="104478976"/>
        <c:crosses val="autoZero"/>
        <c:auto val="1"/>
        <c:lblAlgn val="ctr"/>
        <c:lblOffset val="100"/>
        <c:tickLblSkip val="2"/>
        <c:tickMarkSkip val="1"/>
        <c:noMultiLvlLbl val="0"/>
      </c:catAx>
      <c:valAx>
        <c:axId val="10447897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Cyr"/>
                <a:ea typeface="Arial Cyr"/>
                <a:cs typeface="Arial Cyr"/>
              </a:defRPr>
            </a:pPr>
            <a:endParaRPr lang="ru-RU"/>
          </a:p>
        </c:txPr>
        <c:crossAx val="104477440"/>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v>#ССЫЛКА!</c:v>
          </c:tx>
          <c:spPr>
            <a:ln w="12700">
              <a:solidFill>
                <a:srgbClr val="000080"/>
              </a:solidFill>
              <a:prstDash val="solid"/>
            </a:ln>
          </c:spPr>
          <c:marker>
            <c:symbol val="none"/>
          </c:marker>
          <c:xVal>
            <c:numLit>
              <c:formatCode>General</c:formatCode>
              <c:ptCount val="1"/>
              <c:pt idx="0">
                <c:v>0</c:v>
              </c:pt>
            </c:numLit>
          </c:xVal>
          <c:yVal>
            <c:numLit>
              <c:formatCode>General</c:formatCode>
              <c:ptCount val="1"/>
              <c:pt idx="0">
                <c:v>0</c:v>
              </c:pt>
            </c:numLit>
          </c:yVal>
          <c:smooth val="1"/>
        </c:ser>
        <c:dLbls>
          <c:showLegendKey val="0"/>
          <c:showVal val="0"/>
          <c:showCatName val="0"/>
          <c:showSerName val="0"/>
          <c:showPercent val="0"/>
          <c:showBubbleSize val="0"/>
        </c:dLbls>
        <c:axId val="104507264"/>
        <c:axId val="104509440"/>
      </c:scatterChart>
      <c:valAx>
        <c:axId val="104507264"/>
        <c:scaling>
          <c:orientation val="minMax"/>
        </c:scaling>
        <c:delete val="0"/>
        <c:axPos val="b"/>
        <c:title>
          <c:tx>
            <c:rich>
              <a:bodyPr/>
              <a:lstStyle/>
              <a:p>
                <a:pPr>
                  <a:defRPr sz="300" b="1" i="0" u="none" strike="noStrike" baseline="0">
                    <a:solidFill>
                      <a:srgbClr val="000000"/>
                    </a:solidFill>
                    <a:latin typeface="Arial Cyr"/>
                    <a:ea typeface="Arial Cyr"/>
                    <a:cs typeface="Arial Cyr"/>
                  </a:defRPr>
                </a:pPr>
                <a:r>
                  <a:rPr lang="ru-RU"/>
                  <a:t>Нагрузка на лаву, т/сутки</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350" b="0" i="0" u="none" strike="noStrike" baseline="0">
                <a:solidFill>
                  <a:srgbClr val="000000"/>
                </a:solidFill>
                <a:latin typeface="Arial Cyr"/>
                <a:ea typeface="Arial Cyr"/>
                <a:cs typeface="Arial Cyr"/>
              </a:defRPr>
            </a:pPr>
            <a:endParaRPr lang="ru-RU"/>
          </a:p>
        </c:txPr>
        <c:crossAx val="104509440"/>
        <c:crosses val="autoZero"/>
        <c:crossBetween val="midCat"/>
      </c:valAx>
      <c:valAx>
        <c:axId val="104509440"/>
        <c:scaling>
          <c:orientation val="minMax"/>
        </c:scaling>
        <c:delete val="0"/>
        <c:axPos val="l"/>
        <c:majorGridlines>
          <c:spPr>
            <a:ln w="3175">
              <a:solidFill>
                <a:srgbClr val="000000"/>
              </a:solidFill>
              <a:prstDash val="solid"/>
            </a:ln>
          </c:spPr>
        </c:majorGridlines>
        <c:title>
          <c:tx>
            <c:rich>
              <a:bodyPr/>
              <a:lstStyle/>
              <a:p>
                <a:pPr>
                  <a:defRPr sz="300" b="0" i="0" u="none" strike="noStrike" baseline="0">
                    <a:solidFill>
                      <a:srgbClr val="000000"/>
                    </a:solidFill>
                    <a:latin typeface="Arial Cyr"/>
                    <a:ea typeface="Arial Cyr"/>
                    <a:cs typeface="Arial Cyr"/>
                  </a:defRPr>
                </a:pPr>
                <a:r>
                  <a:rPr lang="ru-RU"/>
                  <a:t>Скорость воздуха, м/с</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350" b="0" i="0" u="none" strike="noStrike" baseline="0">
                <a:solidFill>
                  <a:srgbClr val="000000"/>
                </a:solidFill>
                <a:latin typeface="Arial Cyr"/>
                <a:ea typeface="Arial Cyr"/>
                <a:cs typeface="Arial Cyr"/>
              </a:defRPr>
            </a:pPr>
            <a:endParaRPr lang="ru-RU"/>
          </a:p>
        </c:txPr>
        <c:crossAx val="104507264"/>
        <c:crosses val="autoZero"/>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5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250" b="0" i="0" u="none" strike="noStrike" baseline="0">
              <a:solidFill>
                <a:srgbClr val="000000"/>
              </a:solidFill>
              <a:latin typeface="Arial Cyr"/>
              <a:ea typeface="Arial Cyr"/>
              <a:cs typeface="Arial Cyr"/>
            </a:defRPr>
          </a:pPr>
          <a:endParaRPr lang="ru-RU"/>
        </a:p>
      </c:txPr>
    </c:title>
    <c:autoTitleDeleted val="0"/>
    <c:plotArea>
      <c:layout/>
      <c:scatterChart>
        <c:scatterStyle val="smoothMarker"/>
        <c:varyColors val="0"/>
        <c:ser>
          <c:idx val="0"/>
          <c:order val="0"/>
          <c:tx>
            <c:v>#ССЫЛКА!</c:v>
          </c:tx>
          <c:spPr>
            <a:ln w="12700">
              <a:solidFill>
                <a:srgbClr val="000080"/>
              </a:solidFill>
              <a:prstDash val="solid"/>
            </a:ln>
          </c:spPr>
          <c:marker>
            <c:symbol val="none"/>
          </c:marker>
          <c:xVal>
            <c:numLit>
              <c:formatCode>General</c:formatCode>
              <c:ptCount val="1"/>
              <c:pt idx="0">
                <c:v>0</c:v>
              </c:pt>
            </c:numLit>
          </c:xVal>
          <c:yVal>
            <c:numLit>
              <c:formatCode>General</c:formatCode>
              <c:ptCount val="1"/>
              <c:pt idx="0">
                <c:v>0</c:v>
              </c:pt>
            </c:numLit>
          </c:yVal>
          <c:smooth val="1"/>
        </c:ser>
        <c:dLbls>
          <c:showLegendKey val="0"/>
          <c:showVal val="0"/>
          <c:showCatName val="0"/>
          <c:showSerName val="0"/>
          <c:showPercent val="0"/>
          <c:showBubbleSize val="0"/>
        </c:dLbls>
        <c:axId val="104525184"/>
        <c:axId val="106177664"/>
      </c:scatterChart>
      <c:valAx>
        <c:axId val="104525184"/>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Cyr"/>
                <a:ea typeface="Arial Cyr"/>
                <a:cs typeface="Arial Cyr"/>
              </a:defRPr>
            </a:pPr>
            <a:endParaRPr lang="ru-RU"/>
          </a:p>
        </c:txPr>
        <c:crossAx val="106177664"/>
        <c:crosses val="autoZero"/>
        <c:crossBetween val="midCat"/>
      </c:valAx>
      <c:valAx>
        <c:axId val="10617766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Cyr"/>
                <a:ea typeface="Arial Cyr"/>
                <a:cs typeface="Arial Cyr"/>
              </a:defRPr>
            </a:pPr>
            <a:endParaRPr lang="ru-RU"/>
          </a:p>
        </c:txPr>
        <c:crossAx val="104525184"/>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75" b="0" i="0" u="none" strike="noStrike" baseline="0">
                <a:solidFill>
                  <a:srgbClr val="000000"/>
                </a:solidFill>
                <a:latin typeface="Arial Cyr"/>
                <a:ea typeface="Arial Cyr"/>
                <a:cs typeface="Arial Cyr"/>
              </a:defRPr>
            </a:pPr>
            <a:r>
              <a:rPr lang="ru-RU" sz="275" b="0" i="0" u="none" strike="noStrike" baseline="0">
                <a:solidFill>
                  <a:srgbClr val="000000"/>
                </a:solidFill>
                <a:latin typeface="Arial Cyr"/>
                <a:cs typeface="Arial Cyr"/>
              </a:rPr>
              <a:t>Производительность, т/мин</a:t>
            </a:r>
          </a:p>
          <a:p>
            <a:pPr>
              <a:defRPr sz="275" b="0" i="0" u="none" strike="noStrike" baseline="0">
                <a:solidFill>
                  <a:srgbClr val="000000"/>
                </a:solidFill>
                <a:latin typeface="Arial Cyr"/>
                <a:ea typeface="Arial Cyr"/>
                <a:cs typeface="Arial Cyr"/>
              </a:defRPr>
            </a:pPr>
            <a:r>
              <a:rPr lang="ru-RU" sz="275" b="0" i="0" u="none" strike="noStrike" baseline="0">
                <a:solidFill>
                  <a:srgbClr val="000000"/>
                </a:solidFill>
                <a:latin typeface="Arial Cyr"/>
                <a:cs typeface="Arial Cyr"/>
              </a:rPr>
              <a:t>при Ap=1.5 кН/см</a:t>
            </a:r>
          </a:p>
        </c:rich>
      </c:tx>
      <c:overlay val="0"/>
      <c:spPr>
        <a:noFill/>
        <a:ln w="25400">
          <a:noFill/>
        </a:ln>
      </c:spPr>
    </c:title>
    <c:autoTitleDeleted val="0"/>
    <c:plotArea>
      <c:layout/>
      <c:scatterChart>
        <c:scatterStyle val="smoothMarker"/>
        <c:varyColors val="0"/>
        <c:ser>
          <c:idx val="0"/>
          <c:order val="0"/>
          <c:tx>
            <c:v>#ССЫЛКА!</c:v>
          </c:tx>
          <c:spPr>
            <a:ln w="12700">
              <a:solidFill>
                <a:srgbClr val="000080"/>
              </a:solidFill>
              <a:prstDash val="solid"/>
            </a:ln>
          </c:spPr>
          <c:marker>
            <c:symbol val="diamond"/>
            <c:size val="5"/>
            <c:spPr>
              <a:solidFill>
                <a:srgbClr val="000080"/>
              </a:solidFill>
              <a:ln>
                <a:solidFill>
                  <a:srgbClr val="000080"/>
                </a:solidFill>
                <a:prstDash val="solid"/>
              </a:ln>
            </c:spPr>
          </c:marker>
          <c:xVal>
            <c:numLit>
              <c:formatCode>General</c:formatCode>
              <c:ptCount val="1"/>
              <c:pt idx="0">
                <c:v>0</c:v>
              </c:pt>
            </c:numLit>
          </c:xVal>
          <c:yVal>
            <c:numLit>
              <c:formatCode>General</c:formatCode>
              <c:ptCount val="1"/>
              <c:pt idx="0">
                <c:v>0</c:v>
              </c:pt>
            </c:numLit>
          </c:yVal>
          <c:smooth val="1"/>
        </c:ser>
        <c:dLbls>
          <c:showLegendKey val="0"/>
          <c:showVal val="0"/>
          <c:showCatName val="0"/>
          <c:showSerName val="0"/>
          <c:showPercent val="0"/>
          <c:showBubbleSize val="0"/>
        </c:dLbls>
        <c:axId val="106205568"/>
        <c:axId val="106207872"/>
      </c:scatterChart>
      <c:valAx>
        <c:axId val="106205568"/>
        <c:scaling>
          <c:orientation val="minMax"/>
          <c:min val="0.7"/>
        </c:scaling>
        <c:delete val="0"/>
        <c:axPos val="b"/>
        <c:title>
          <c:tx>
            <c:rich>
              <a:bodyPr/>
              <a:lstStyle/>
              <a:p>
                <a:pPr>
                  <a:defRPr sz="250" b="0" i="0" u="none" strike="noStrike" baseline="0">
                    <a:solidFill>
                      <a:srgbClr val="000000"/>
                    </a:solidFill>
                    <a:latin typeface="Arial Cyr"/>
                    <a:ea typeface="Arial Cyr"/>
                    <a:cs typeface="Arial Cyr"/>
                  </a:defRPr>
                </a:pPr>
                <a:r>
                  <a:rPr lang="ru-RU"/>
                  <a:t>Мощность пласта, м</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RU"/>
          </a:p>
        </c:txPr>
        <c:crossAx val="106207872"/>
        <c:crosses val="autoZero"/>
        <c:crossBetween val="midCat"/>
      </c:valAx>
      <c:valAx>
        <c:axId val="10620787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RU"/>
          </a:p>
        </c:txPr>
        <c:crossAx val="106205568"/>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75" b="0" i="0" u="none" strike="noStrike" baseline="0">
                <a:solidFill>
                  <a:srgbClr val="000000"/>
                </a:solidFill>
                <a:latin typeface="Arial Cyr"/>
                <a:ea typeface="Arial Cyr"/>
                <a:cs typeface="Arial Cyr"/>
              </a:defRPr>
            </a:pPr>
            <a:r>
              <a:rPr lang="ru-RU" sz="275" b="0" i="0" u="none" strike="noStrike" baseline="0">
                <a:solidFill>
                  <a:srgbClr val="000000"/>
                </a:solidFill>
                <a:latin typeface="Arial Cyr"/>
                <a:cs typeface="Arial Cyr"/>
              </a:rPr>
              <a:t>Производительность, т/мин</a:t>
            </a:r>
          </a:p>
          <a:p>
            <a:pPr>
              <a:defRPr sz="275" b="0" i="0" u="none" strike="noStrike" baseline="0">
                <a:solidFill>
                  <a:srgbClr val="000000"/>
                </a:solidFill>
                <a:latin typeface="Arial Cyr"/>
                <a:ea typeface="Arial Cyr"/>
                <a:cs typeface="Arial Cyr"/>
              </a:defRPr>
            </a:pPr>
            <a:r>
              <a:rPr lang="ru-RU" sz="275" b="0" i="0" u="none" strike="noStrike" baseline="0">
                <a:solidFill>
                  <a:srgbClr val="000000"/>
                </a:solidFill>
                <a:latin typeface="Arial Cyr"/>
                <a:cs typeface="Arial Cyr"/>
              </a:rPr>
              <a:t>при m=1,2 м</a:t>
            </a:r>
          </a:p>
        </c:rich>
      </c:tx>
      <c:overlay val="0"/>
      <c:spPr>
        <a:noFill/>
        <a:ln w="25400">
          <a:noFill/>
        </a:ln>
      </c:spPr>
    </c:title>
    <c:autoTitleDeleted val="0"/>
    <c:plotArea>
      <c:layout/>
      <c:scatterChart>
        <c:scatterStyle val="smoothMarker"/>
        <c:varyColors val="0"/>
        <c:ser>
          <c:idx val="0"/>
          <c:order val="0"/>
          <c:tx>
            <c:v>#ССЫЛКА!</c:v>
          </c:tx>
          <c:spPr>
            <a:ln w="12700">
              <a:solidFill>
                <a:srgbClr val="000080"/>
              </a:solidFill>
              <a:prstDash val="solid"/>
            </a:ln>
          </c:spPr>
          <c:marker>
            <c:symbol val="diamond"/>
            <c:size val="5"/>
            <c:spPr>
              <a:solidFill>
                <a:srgbClr val="000080"/>
              </a:solidFill>
              <a:ln>
                <a:solidFill>
                  <a:srgbClr val="000080"/>
                </a:solidFill>
                <a:prstDash val="solid"/>
              </a:ln>
            </c:spPr>
          </c:marker>
          <c:xVal>
            <c:numLit>
              <c:formatCode>General</c:formatCode>
              <c:ptCount val="1"/>
              <c:pt idx="0">
                <c:v>0</c:v>
              </c:pt>
            </c:numLit>
          </c:xVal>
          <c:yVal>
            <c:numLit>
              <c:formatCode>General</c:formatCode>
              <c:ptCount val="1"/>
              <c:pt idx="0">
                <c:v>0</c:v>
              </c:pt>
            </c:numLit>
          </c:yVal>
          <c:smooth val="1"/>
        </c:ser>
        <c:dLbls>
          <c:showLegendKey val="0"/>
          <c:showVal val="0"/>
          <c:showCatName val="0"/>
          <c:showSerName val="0"/>
          <c:showPercent val="0"/>
          <c:showBubbleSize val="0"/>
        </c:dLbls>
        <c:axId val="106235776"/>
        <c:axId val="106270720"/>
      </c:scatterChart>
      <c:valAx>
        <c:axId val="106235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RU"/>
          </a:p>
        </c:txPr>
        <c:crossAx val="106270720"/>
        <c:crosses val="autoZero"/>
        <c:crossBetween val="midCat"/>
      </c:valAx>
      <c:valAx>
        <c:axId val="1062707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RU"/>
          </a:p>
        </c:txPr>
        <c:crossAx val="106235776"/>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75" b="1" i="0" u="none" strike="noStrike" baseline="0">
                <a:solidFill>
                  <a:srgbClr val="000000"/>
                </a:solidFill>
                <a:latin typeface="Arial Cyr"/>
                <a:ea typeface="Arial Cyr"/>
                <a:cs typeface="Arial Cyr"/>
              </a:defRPr>
            </a:pPr>
            <a:r>
              <a:rPr lang="de-DE"/>
              <a:t>Verwendungsbereich der Walzschrämladern hinsichtlich der Flözmächtigkeit</a:t>
            </a:r>
          </a:p>
        </c:rich>
      </c:tx>
      <c:overlay val="0"/>
      <c:spPr>
        <a:noFill/>
        <a:ln w="25400">
          <a:noFill/>
        </a:ln>
      </c:spPr>
    </c:title>
    <c:autoTitleDeleted val="0"/>
    <c:view3D>
      <c:rotX val="15"/>
      <c:hPercent val="7"/>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mmin</c:v>
          </c:tx>
          <c:spPr>
            <a:solidFill>
              <a:srgbClr val="9999FF"/>
            </a:solidFill>
            <a:ln w="12700">
              <a:solidFill>
                <a:srgbClr val="000000"/>
              </a:solidFill>
              <a:prstDash val="solid"/>
            </a:ln>
          </c:spPr>
          <c:invertIfNegative val="0"/>
          <c:cat>
            <c:strLit>
              <c:ptCount val="13"/>
              <c:pt idx="0">
                <c:v>1К101У</c:v>
              </c:pt>
              <c:pt idx="1">
                <c:v>К103М</c:v>
              </c:pt>
              <c:pt idx="2">
                <c:v>КА80</c:v>
              </c:pt>
              <c:pt idx="3">
                <c:v>1K101УД</c:v>
              </c:pt>
              <c:pt idx="4">
                <c:v>ГШ200Б</c:v>
              </c:pt>
              <c:pt idx="5">
                <c:v>ГШ200В</c:v>
              </c:pt>
              <c:pt idx="6">
                <c:v>2К52М</c:v>
              </c:pt>
              <c:pt idx="7">
                <c:v>РКУ10</c:v>
              </c:pt>
              <c:pt idx="8">
                <c:v>1ГШ68</c:v>
              </c:pt>
              <c:pt idx="9">
                <c:v>2ГШ68</c:v>
              </c:pt>
              <c:pt idx="10">
                <c:v>РКУ13</c:v>
              </c:pt>
              <c:pt idx="11">
                <c:v>ГШ500</c:v>
              </c:pt>
              <c:pt idx="12">
                <c:v>КШ1КГУ</c:v>
              </c:pt>
            </c:strLit>
          </c:cat>
          <c:val>
            <c:numLit>
              <c:formatCode>General</c:formatCode>
              <c:ptCount val="13"/>
              <c:pt idx="0">
                <c:v>0.8</c:v>
              </c:pt>
              <c:pt idx="1">
                <c:v>0.6</c:v>
              </c:pt>
              <c:pt idx="2">
                <c:v>0.6</c:v>
              </c:pt>
              <c:pt idx="3">
                <c:v>0.95</c:v>
              </c:pt>
              <c:pt idx="4">
                <c:v>0.95</c:v>
              </c:pt>
              <c:pt idx="5">
                <c:v>0.95</c:v>
              </c:pt>
              <c:pt idx="6">
                <c:v>1</c:v>
              </c:pt>
              <c:pt idx="7">
                <c:v>1.1000000000000001</c:v>
              </c:pt>
              <c:pt idx="8">
                <c:v>1.1000000000000001</c:v>
              </c:pt>
              <c:pt idx="9">
                <c:v>1.1000000000000001</c:v>
              </c:pt>
              <c:pt idx="10">
                <c:v>1.35</c:v>
              </c:pt>
              <c:pt idx="11">
                <c:v>1.3</c:v>
              </c:pt>
              <c:pt idx="12">
                <c:v>1.6</c:v>
              </c:pt>
            </c:numLit>
          </c:val>
        </c:ser>
        <c:ser>
          <c:idx val="1"/>
          <c:order val="1"/>
          <c:tx>
            <c:v>mmax</c:v>
          </c:tx>
          <c:spPr>
            <a:solidFill>
              <a:srgbClr val="993366"/>
            </a:solidFill>
            <a:ln w="12700">
              <a:solidFill>
                <a:srgbClr val="000000"/>
              </a:solidFill>
              <a:prstDash val="solid"/>
            </a:ln>
          </c:spPr>
          <c:invertIfNegative val="0"/>
          <c:cat>
            <c:strLit>
              <c:ptCount val="13"/>
              <c:pt idx="0">
                <c:v>1К101У</c:v>
              </c:pt>
              <c:pt idx="1">
                <c:v>К103М</c:v>
              </c:pt>
              <c:pt idx="2">
                <c:v>КА80</c:v>
              </c:pt>
              <c:pt idx="3">
                <c:v>1K101УД</c:v>
              </c:pt>
              <c:pt idx="4">
                <c:v>ГШ200Б</c:v>
              </c:pt>
              <c:pt idx="5">
                <c:v>ГШ200В</c:v>
              </c:pt>
              <c:pt idx="6">
                <c:v>2К52М</c:v>
              </c:pt>
              <c:pt idx="7">
                <c:v>РКУ10</c:v>
              </c:pt>
              <c:pt idx="8">
                <c:v>1ГШ68</c:v>
              </c:pt>
              <c:pt idx="9">
                <c:v>2ГШ68</c:v>
              </c:pt>
              <c:pt idx="10">
                <c:v>РКУ13</c:v>
              </c:pt>
              <c:pt idx="11">
                <c:v>ГШ500</c:v>
              </c:pt>
              <c:pt idx="12">
                <c:v>КШ1КГУ</c:v>
              </c:pt>
            </c:strLit>
          </c:cat>
          <c:val>
            <c:numLit>
              <c:formatCode>General</c:formatCode>
              <c:ptCount val="13"/>
              <c:pt idx="0">
                <c:v>1.2</c:v>
              </c:pt>
              <c:pt idx="1">
                <c:v>1.2</c:v>
              </c:pt>
              <c:pt idx="2">
                <c:v>1.2</c:v>
              </c:pt>
              <c:pt idx="3">
                <c:v>1.3</c:v>
              </c:pt>
              <c:pt idx="4">
                <c:v>1.5</c:v>
              </c:pt>
              <c:pt idx="5">
                <c:v>1.5</c:v>
              </c:pt>
              <c:pt idx="6">
                <c:v>1.7</c:v>
              </c:pt>
              <c:pt idx="7">
                <c:v>1.93</c:v>
              </c:pt>
              <c:pt idx="8">
                <c:v>2.5</c:v>
              </c:pt>
              <c:pt idx="9">
                <c:v>2.5</c:v>
              </c:pt>
              <c:pt idx="10">
                <c:v>2.6</c:v>
              </c:pt>
              <c:pt idx="11">
                <c:v>2.7</c:v>
              </c:pt>
              <c:pt idx="12">
                <c:v>3.2</c:v>
              </c:pt>
            </c:numLit>
          </c:val>
        </c:ser>
        <c:dLbls>
          <c:showLegendKey val="0"/>
          <c:showVal val="0"/>
          <c:showCatName val="0"/>
          <c:showSerName val="0"/>
          <c:showPercent val="0"/>
          <c:showBubbleSize val="0"/>
        </c:dLbls>
        <c:gapWidth val="150"/>
        <c:shape val="box"/>
        <c:axId val="106291968"/>
        <c:axId val="106293504"/>
        <c:axId val="0"/>
      </c:bar3DChart>
      <c:catAx>
        <c:axId val="10629196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RU"/>
          </a:p>
        </c:txPr>
        <c:crossAx val="106293504"/>
        <c:crosses val="autoZero"/>
        <c:auto val="1"/>
        <c:lblAlgn val="ctr"/>
        <c:lblOffset val="100"/>
        <c:tickLblSkip val="1"/>
        <c:tickMarkSkip val="1"/>
        <c:noMultiLvlLbl val="0"/>
      </c:catAx>
      <c:valAx>
        <c:axId val="10629350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RU"/>
          </a:p>
        </c:txPr>
        <c:crossAx val="106291968"/>
        <c:crosses val="autoZero"/>
        <c:crossBetween val="between"/>
        <c:majorUnit val="0.2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Cyr"/>
                <a:ea typeface="Arial Cyr"/>
                <a:cs typeface="Arial Cyr"/>
              </a:defRPr>
            </a:pPr>
            <a:r>
              <a:rPr lang="de-DE"/>
              <a:t>Verwenungsbereich der mechanische Ausbau
hinsichtlich der Flözmächtigkeit</a:t>
            </a:r>
          </a:p>
        </c:rich>
      </c:tx>
      <c:overlay val="0"/>
      <c:spPr>
        <a:noFill/>
        <a:ln w="25400">
          <a:noFill/>
        </a:ln>
      </c:spPr>
    </c:title>
    <c:autoTitleDeleted val="0"/>
    <c:view3D>
      <c:rotX val="15"/>
      <c:hPercent val="5"/>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Gewinnende Flötmächtigkeit, m minimale</c:v>
          </c:tx>
          <c:spPr>
            <a:solidFill>
              <a:srgbClr val="9999FF"/>
            </a:solidFill>
            <a:ln w="12700">
              <a:solidFill>
                <a:srgbClr val="000000"/>
              </a:solidFill>
              <a:prstDash val="solid"/>
            </a:ln>
          </c:spPr>
          <c:invertIfNegative val="0"/>
          <c:cat>
            <c:strLit>
              <c:ptCount val="13"/>
              <c:pt idx="0">
                <c:v>М103</c:v>
              </c:pt>
              <c:pt idx="1">
                <c:v>МК98</c:v>
              </c:pt>
              <c:pt idx="2">
                <c:v>Donbass80</c:v>
              </c:pt>
              <c:pt idx="3">
                <c:v>М137</c:v>
              </c:pt>
              <c:pt idx="4">
                <c:v>М88</c:v>
              </c:pt>
              <c:pt idx="5">
                <c:v>М87УМН</c:v>
              </c:pt>
              <c:pt idx="6">
                <c:v>М87УМП</c:v>
              </c:pt>
              <c:pt idx="7">
                <c:v>КД90</c:v>
              </c:pt>
              <c:pt idx="8">
                <c:v>МТ</c:v>
              </c:pt>
              <c:pt idx="9">
                <c:v>КДД</c:v>
              </c:pt>
              <c:pt idx="10">
                <c:v>МК75</c:v>
              </c:pt>
              <c:pt idx="11">
                <c:v>М138</c:v>
              </c:pt>
              <c:pt idx="12">
                <c:v>1УКП</c:v>
              </c:pt>
            </c:strLit>
          </c:cat>
          <c:val>
            <c:numLit>
              <c:formatCode>General</c:formatCode>
              <c:ptCount val="13"/>
              <c:pt idx="0">
                <c:v>0.75</c:v>
              </c:pt>
              <c:pt idx="1">
                <c:v>0.75</c:v>
              </c:pt>
              <c:pt idx="2">
                <c:v>0.85</c:v>
              </c:pt>
              <c:pt idx="3">
                <c:v>0.8</c:v>
              </c:pt>
              <c:pt idx="4">
                <c:v>0.95</c:v>
              </c:pt>
              <c:pt idx="5">
                <c:v>1.1499999999999999</c:v>
              </c:pt>
              <c:pt idx="6">
                <c:v>1.1499999999999999</c:v>
              </c:pt>
              <c:pt idx="7">
                <c:v>0.8</c:v>
              </c:pt>
              <c:pt idx="8">
                <c:v>1.1499999999999999</c:v>
              </c:pt>
              <c:pt idx="9">
                <c:v>1.35</c:v>
              </c:pt>
              <c:pt idx="10">
                <c:v>1.6</c:v>
              </c:pt>
              <c:pt idx="11">
                <c:v>1.1000000000000001</c:v>
              </c:pt>
              <c:pt idx="12">
                <c:v>1.2</c:v>
              </c:pt>
            </c:numLit>
          </c:val>
        </c:ser>
        <c:ser>
          <c:idx val="1"/>
          <c:order val="1"/>
          <c:tx>
            <c:v>Gewinnende Flötmächtigkeit, m maxima-le</c:v>
          </c:tx>
          <c:spPr>
            <a:solidFill>
              <a:srgbClr val="993366"/>
            </a:solidFill>
            <a:ln w="12700">
              <a:solidFill>
                <a:srgbClr val="000000"/>
              </a:solidFill>
              <a:prstDash val="solid"/>
            </a:ln>
          </c:spPr>
          <c:invertIfNegative val="0"/>
          <c:cat>
            <c:strLit>
              <c:ptCount val="13"/>
              <c:pt idx="0">
                <c:v>М103</c:v>
              </c:pt>
              <c:pt idx="1">
                <c:v>МК98</c:v>
              </c:pt>
              <c:pt idx="2">
                <c:v>Donbass80</c:v>
              </c:pt>
              <c:pt idx="3">
                <c:v>М137</c:v>
              </c:pt>
              <c:pt idx="4">
                <c:v>М88</c:v>
              </c:pt>
              <c:pt idx="5">
                <c:v>М87УМН</c:v>
              </c:pt>
              <c:pt idx="6">
                <c:v>М87УМП</c:v>
              </c:pt>
              <c:pt idx="7">
                <c:v>КД90</c:v>
              </c:pt>
              <c:pt idx="8">
                <c:v>МТ</c:v>
              </c:pt>
              <c:pt idx="9">
                <c:v>КДД</c:v>
              </c:pt>
              <c:pt idx="10">
                <c:v>МК75</c:v>
              </c:pt>
              <c:pt idx="11">
                <c:v>М138</c:v>
              </c:pt>
              <c:pt idx="12">
                <c:v>1УКП</c:v>
              </c:pt>
            </c:strLit>
          </c:cat>
          <c:val>
            <c:numLit>
              <c:formatCode>General</c:formatCode>
              <c:ptCount val="13"/>
              <c:pt idx="0">
                <c:v>0.95</c:v>
              </c:pt>
              <c:pt idx="1">
                <c:v>1.2</c:v>
              </c:pt>
              <c:pt idx="2">
                <c:v>1.2</c:v>
              </c:pt>
              <c:pt idx="3">
                <c:v>1.4</c:v>
              </c:pt>
              <c:pt idx="4">
                <c:v>1.4</c:v>
              </c:pt>
              <c:pt idx="5">
                <c:v>1.95</c:v>
              </c:pt>
              <c:pt idx="6">
                <c:v>1.95</c:v>
              </c:pt>
              <c:pt idx="7">
                <c:v>2</c:v>
              </c:pt>
              <c:pt idx="8">
                <c:v>2</c:v>
              </c:pt>
              <c:pt idx="9">
                <c:v>2</c:v>
              </c:pt>
              <c:pt idx="10">
                <c:v>2.2000000000000002</c:v>
              </c:pt>
              <c:pt idx="11">
                <c:v>2.5</c:v>
              </c:pt>
              <c:pt idx="12">
                <c:v>2.5</c:v>
              </c:pt>
            </c:numLit>
          </c:val>
        </c:ser>
        <c:dLbls>
          <c:showLegendKey val="0"/>
          <c:showVal val="0"/>
          <c:showCatName val="0"/>
          <c:showSerName val="0"/>
          <c:showPercent val="0"/>
          <c:showBubbleSize val="0"/>
        </c:dLbls>
        <c:gapWidth val="150"/>
        <c:shape val="box"/>
        <c:axId val="107834368"/>
        <c:axId val="107840256"/>
        <c:axId val="0"/>
      </c:bar3DChart>
      <c:catAx>
        <c:axId val="10783436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300" b="0" i="0" u="none" strike="noStrike" baseline="0">
                <a:solidFill>
                  <a:srgbClr val="000000"/>
                </a:solidFill>
                <a:latin typeface="Arial Cyr"/>
                <a:ea typeface="Arial Cyr"/>
                <a:cs typeface="Arial Cyr"/>
              </a:defRPr>
            </a:pPr>
            <a:endParaRPr lang="ru-RU"/>
          </a:p>
        </c:txPr>
        <c:crossAx val="107840256"/>
        <c:crosses val="autoZero"/>
        <c:auto val="1"/>
        <c:lblAlgn val="ctr"/>
        <c:lblOffset val="100"/>
        <c:tickLblSkip val="1"/>
        <c:tickMarkSkip val="1"/>
        <c:noMultiLvlLbl val="0"/>
      </c:catAx>
      <c:valAx>
        <c:axId val="10784025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Cyr"/>
                <a:ea typeface="Arial Cyr"/>
                <a:cs typeface="Arial Cyr"/>
              </a:defRPr>
            </a:pPr>
            <a:endParaRPr lang="ru-RU"/>
          </a:p>
        </c:txPr>
        <c:crossAx val="107834368"/>
        <c:crosses val="autoZero"/>
        <c:crossBetween val="between"/>
        <c:majorUnit val="0.2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75" b="1" i="0" u="none" strike="noStrike" baseline="0">
                <a:solidFill>
                  <a:srgbClr val="000000"/>
                </a:solidFill>
                <a:latin typeface="Arial Cyr"/>
                <a:ea typeface="Arial Cyr"/>
                <a:cs typeface="Arial Cyr"/>
              </a:defRPr>
            </a:pPr>
            <a:r>
              <a:rPr lang="de-DE"/>
              <a:t>Verwendungsbereich der Walzschrämladern hinsichtlich der Flözmächtigkeit</a:t>
            </a:r>
          </a:p>
        </c:rich>
      </c:tx>
      <c:overlay val="0"/>
      <c:spPr>
        <a:noFill/>
        <a:ln w="25400">
          <a:noFill/>
        </a:ln>
      </c:spPr>
    </c:title>
    <c:autoTitleDeleted val="0"/>
    <c:view3D>
      <c:rotX val="15"/>
      <c:hPercent val="7"/>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mmin</c:v>
          </c:tx>
          <c:spPr>
            <a:solidFill>
              <a:srgbClr val="9999FF"/>
            </a:solidFill>
            <a:ln w="12700">
              <a:solidFill>
                <a:srgbClr val="000000"/>
              </a:solidFill>
              <a:prstDash val="solid"/>
            </a:ln>
          </c:spPr>
          <c:invertIfNegative val="0"/>
          <c:cat>
            <c:strLit>
              <c:ptCount val="13"/>
              <c:pt idx="0">
                <c:v>1К101У</c:v>
              </c:pt>
              <c:pt idx="1">
                <c:v>К103М</c:v>
              </c:pt>
              <c:pt idx="2">
                <c:v>КА80</c:v>
              </c:pt>
              <c:pt idx="3">
                <c:v>1K101УД</c:v>
              </c:pt>
              <c:pt idx="4">
                <c:v>ГШ200Б</c:v>
              </c:pt>
              <c:pt idx="5">
                <c:v>ГШ200В</c:v>
              </c:pt>
              <c:pt idx="6">
                <c:v>2К52М</c:v>
              </c:pt>
              <c:pt idx="7">
                <c:v>РКУ10</c:v>
              </c:pt>
              <c:pt idx="8">
                <c:v>1ГШ68</c:v>
              </c:pt>
              <c:pt idx="9">
                <c:v>2ГШ68</c:v>
              </c:pt>
              <c:pt idx="10">
                <c:v>РКУ13</c:v>
              </c:pt>
              <c:pt idx="11">
                <c:v>ГШ500</c:v>
              </c:pt>
              <c:pt idx="12">
                <c:v>КШ1КГУ</c:v>
              </c:pt>
            </c:strLit>
          </c:cat>
          <c:val>
            <c:numLit>
              <c:formatCode>General</c:formatCode>
              <c:ptCount val="13"/>
              <c:pt idx="0">
                <c:v>0.8</c:v>
              </c:pt>
              <c:pt idx="1">
                <c:v>0.6</c:v>
              </c:pt>
              <c:pt idx="2">
                <c:v>0.6</c:v>
              </c:pt>
              <c:pt idx="3">
                <c:v>0.95</c:v>
              </c:pt>
              <c:pt idx="4">
                <c:v>0.95</c:v>
              </c:pt>
              <c:pt idx="5">
                <c:v>0.95</c:v>
              </c:pt>
              <c:pt idx="6">
                <c:v>1</c:v>
              </c:pt>
              <c:pt idx="7">
                <c:v>1.1000000000000001</c:v>
              </c:pt>
              <c:pt idx="8">
                <c:v>1.1000000000000001</c:v>
              </c:pt>
              <c:pt idx="9">
                <c:v>1.1000000000000001</c:v>
              </c:pt>
              <c:pt idx="10">
                <c:v>1.35</c:v>
              </c:pt>
              <c:pt idx="11">
                <c:v>1.3</c:v>
              </c:pt>
              <c:pt idx="12">
                <c:v>1.6</c:v>
              </c:pt>
            </c:numLit>
          </c:val>
        </c:ser>
        <c:ser>
          <c:idx val="1"/>
          <c:order val="1"/>
          <c:tx>
            <c:v>mmax</c:v>
          </c:tx>
          <c:spPr>
            <a:solidFill>
              <a:srgbClr val="993366"/>
            </a:solidFill>
            <a:ln w="12700">
              <a:solidFill>
                <a:srgbClr val="000000"/>
              </a:solidFill>
              <a:prstDash val="solid"/>
            </a:ln>
          </c:spPr>
          <c:invertIfNegative val="0"/>
          <c:cat>
            <c:strLit>
              <c:ptCount val="13"/>
              <c:pt idx="0">
                <c:v>1К101У</c:v>
              </c:pt>
              <c:pt idx="1">
                <c:v>К103М</c:v>
              </c:pt>
              <c:pt idx="2">
                <c:v>КА80</c:v>
              </c:pt>
              <c:pt idx="3">
                <c:v>1K101УД</c:v>
              </c:pt>
              <c:pt idx="4">
                <c:v>ГШ200Б</c:v>
              </c:pt>
              <c:pt idx="5">
                <c:v>ГШ200В</c:v>
              </c:pt>
              <c:pt idx="6">
                <c:v>2К52М</c:v>
              </c:pt>
              <c:pt idx="7">
                <c:v>РКУ10</c:v>
              </c:pt>
              <c:pt idx="8">
                <c:v>1ГШ68</c:v>
              </c:pt>
              <c:pt idx="9">
                <c:v>2ГШ68</c:v>
              </c:pt>
              <c:pt idx="10">
                <c:v>РКУ13</c:v>
              </c:pt>
              <c:pt idx="11">
                <c:v>ГШ500</c:v>
              </c:pt>
              <c:pt idx="12">
                <c:v>КШ1КГУ</c:v>
              </c:pt>
            </c:strLit>
          </c:cat>
          <c:val>
            <c:numLit>
              <c:formatCode>General</c:formatCode>
              <c:ptCount val="13"/>
              <c:pt idx="0">
                <c:v>1.2</c:v>
              </c:pt>
              <c:pt idx="1">
                <c:v>1.2</c:v>
              </c:pt>
              <c:pt idx="2">
                <c:v>1.2</c:v>
              </c:pt>
              <c:pt idx="3">
                <c:v>1.3</c:v>
              </c:pt>
              <c:pt idx="4">
                <c:v>1.5</c:v>
              </c:pt>
              <c:pt idx="5">
                <c:v>1.5</c:v>
              </c:pt>
              <c:pt idx="6">
                <c:v>1.7</c:v>
              </c:pt>
              <c:pt idx="7">
                <c:v>1.93</c:v>
              </c:pt>
              <c:pt idx="8">
                <c:v>2.5</c:v>
              </c:pt>
              <c:pt idx="9">
                <c:v>2.5</c:v>
              </c:pt>
              <c:pt idx="10">
                <c:v>2.6</c:v>
              </c:pt>
              <c:pt idx="11">
                <c:v>2.7</c:v>
              </c:pt>
              <c:pt idx="12">
                <c:v>3.2</c:v>
              </c:pt>
            </c:numLit>
          </c:val>
        </c:ser>
        <c:dLbls>
          <c:showLegendKey val="0"/>
          <c:showVal val="0"/>
          <c:showCatName val="0"/>
          <c:showSerName val="0"/>
          <c:showPercent val="0"/>
          <c:showBubbleSize val="0"/>
        </c:dLbls>
        <c:gapWidth val="150"/>
        <c:shape val="box"/>
        <c:axId val="107869696"/>
        <c:axId val="107871232"/>
        <c:axId val="0"/>
      </c:bar3DChart>
      <c:catAx>
        <c:axId val="10786969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RU"/>
          </a:p>
        </c:txPr>
        <c:crossAx val="107871232"/>
        <c:crosses val="autoZero"/>
        <c:auto val="1"/>
        <c:lblAlgn val="ctr"/>
        <c:lblOffset val="100"/>
        <c:tickLblSkip val="1"/>
        <c:tickMarkSkip val="1"/>
        <c:noMultiLvlLbl val="0"/>
      </c:catAx>
      <c:valAx>
        <c:axId val="10787123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RU"/>
          </a:p>
        </c:txPr>
        <c:crossAx val="107869696"/>
        <c:crosses val="autoZero"/>
        <c:crossBetween val="between"/>
        <c:majorUnit val="0.2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2700">
              <a:solidFill>
                <a:srgbClr val="000080"/>
              </a:solidFill>
              <a:prstDash val="solid"/>
            </a:ln>
          </c:spPr>
          <c:marker>
            <c:symbol val="none"/>
          </c:marker>
          <c:xVal>
            <c:numLit>
              <c:formatCode>General</c:formatCode>
              <c:ptCount val="5"/>
              <c:pt idx="0">
                <c:v>11</c:v>
              </c:pt>
              <c:pt idx="1">
                <c:v>11</c:v>
              </c:pt>
              <c:pt idx="2">
                <c:v>11</c:v>
              </c:pt>
              <c:pt idx="3">
                <c:v>11</c:v>
              </c:pt>
              <c:pt idx="4">
                <c:v>11</c:v>
              </c:pt>
            </c:numLit>
          </c:xVal>
          <c:yVal>
            <c:numLit>
              <c:formatCode>General</c:formatCode>
              <c:ptCount val="5"/>
              <c:pt idx="0">
                <c:v>79.939763055357588</c:v>
              </c:pt>
              <c:pt idx="1">
                <c:v>79.939763055357588</c:v>
              </c:pt>
              <c:pt idx="2">
                <c:v>79.939763055357588</c:v>
              </c:pt>
              <c:pt idx="3">
                <c:v>79.939763055357588</c:v>
              </c:pt>
              <c:pt idx="4">
                <c:v>79.939763055357588</c:v>
              </c:pt>
            </c:numLit>
          </c:yVal>
          <c:smooth val="1"/>
        </c:ser>
        <c:dLbls>
          <c:showLegendKey val="0"/>
          <c:showVal val="0"/>
          <c:showCatName val="0"/>
          <c:showSerName val="0"/>
          <c:showPercent val="0"/>
          <c:showBubbleSize val="0"/>
        </c:dLbls>
        <c:axId val="114260608"/>
        <c:axId val="114262784"/>
      </c:scatterChart>
      <c:valAx>
        <c:axId val="114260608"/>
        <c:scaling>
          <c:orientation val="minMax"/>
        </c:scaling>
        <c:delete val="0"/>
        <c:axPos val="b"/>
        <c:title>
          <c:tx>
            <c:rich>
              <a:bodyPr/>
              <a:lstStyle/>
              <a:p>
                <a:pPr>
                  <a:defRPr sz="225" b="1" i="0" u="none" strike="noStrike" baseline="0">
                    <a:solidFill>
                      <a:srgbClr val="000000"/>
                    </a:solidFill>
                    <a:latin typeface="Arial Cyr"/>
                    <a:ea typeface="Arial Cyr"/>
                    <a:cs typeface="Arial Cyr"/>
                  </a:defRPr>
                </a:pPr>
                <a:r>
                  <a:rPr lang="ru-RU"/>
                  <a:t>размер пая, м</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25" b="0" i="0" u="none" strike="noStrike" baseline="0">
                <a:solidFill>
                  <a:srgbClr val="000000"/>
                </a:solidFill>
                <a:latin typeface="Arial Cyr"/>
                <a:ea typeface="Arial Cyr"/>
                <a:cs typeface="Arial Cyr"/>
              </a:defRPr>
            </a:pPr>
            <a:endParaRPr lang="ru-RU"/>
          </a:p>
        </c:txPr>
        <c:crossAx val="114262784"/>
        <c:crosses val="autoZero"/>
        <c:crossBetween val="midCat"/>
      </c:valAx>
      <c:valAx>
        <c:axId val="114262784"/>
        <c:scaling>
          <c:orientation val="minMax"/>
        </c:scaling>
        <c:delete val="0"/>
        <c:axPos val="l"/>
        <c:majorGridlines>
          <c:spPr>
            <a:ln w="3175">
              <a:solidFill>
                <a:srgbClr val="000000"/>
              </a:solidFill>
              <a:prstDash val="solid"/>
            </a:ln>
          </c:spPr>
        </c:majorGridlines>
        <c:title>
          <c:tx>
            <c:rich>
              <a:bodyPr/>
              <a:lstStyle/>
              <a:p>
                <a:pPr>
                  <a:defRPr sz="225" b="1" i="0" u="none" strike="noStrike" baseline="0">
                    <a:solidFill>
                      <a:srgbClr val="000000"/>
                    </a:solidFill>
                    <a:latin typeface="Arial Cyr"/>
                    <a:ea typeface="Arial Cyr"/>
                    <a:cs typeface="Arial Cyr"/>
                  </a:defRPr>
                </a:pPr>
                <a:r>
                  <a:rPr lang="ru-RU"/>
                  <a:t>% выполнения нормы выработки</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25" b="0" i="0" u="none" strike="noStrike" baseline="0">
                <a:solidFill>
                  <a:srgbClr val="000000"/>
                </a:solidFill>
                <a:latin typeface="Arial Cyr"/>
                <a:ea typeface="Arial Cyr"/>
                <a:cs typeface="Arial Cyr"/>
              </a:defRPr>
            </a:pPr>
            <a:endParaRPr lang="ru-RU"/>
          </a:p>
        </c:txPr>
        <c:crossAx val="114260608"/>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strRef>
              <c:f>kursovoy!$A$1029</c:f>
              <c:strCache>
                <c:ptCount val="1"/>
                <c:pt idx="0">
                  <c:v>Допустимая нагрузка на лаву, т/сутки (по проветриванию)</c:v>
                </c:pt>
              </c:strCache>
            </c:strRef>
          </c:tx>
          <c:marker>
            <c:symbol val="none"/>
          </c:marker>
          <c:xVal>
            <c:numRef>
              <c:f>kursovoy!$B$1028:$F$1028</c:f>
              <c:numCache>
                <c:formatCode>General</c:formatCode>
                <c:ptCount val="5"/>
                <c:pt idx="0">
                  <c:v>100</c:v>
                </c:pt>
                <c:pt idx="1">
                  <c:v>150</c:v>
                </c:pt>
                <c:pt idx="2">
                  <c:v>200</c:v>
                </c:pt>
                <c:pt idx="3">
                  <c:v>250</c:v>
                </c:pt>
                <c:pt idx="4">
                  <c:v>300</c:v>
                </c:pt>
              </c:numCache>
            </c:numRef>
          </c:xVal>
          <c:yVal>
            <c:numRef>
              <c:f>kursovoy!$B$1029:$F$1029</c:f>
              <c:numCache>
                <c:formatCode>0</c:formatCode>
                <c:ptCount val="5"/>
                <c:pt idx="0">
                  <c:v>0</c:v>
                </c:pt>
                <c:pt idx="1">
                  <c:v>0</c:v>
                </c:pt>
                <c:pt idx="2">
                  <c:v>0</c:v>
                </c:pt>
                <c:pt idx="3">
                  <c:v>0</c:v>
                </c:pt>
                <c:pt idx="4">
                  <c:v>0</c:v>
                </c:pt>
              </c:numCache>
            </c:numRef>
          </c:yVal>
          <c:smooth val="1"/>
        </c:ser>
        <c:dLbls>
          <c:showLegendKey val="0"/>
          <c:showVal val="0"/>
          <c:showCatName val="0"/>
          <c:showSerName val="0"/>
          <c:showPercent val="0"/>
          <c:showBubbleSize val="0"/>
        </c:dLbls>
        <c:axId val="45223296"/>
        <c:axId val="45249664"/>
      </c:scatterChart>
      <c:valAx>
        <c:axId val="45223296"/>
        <c:scaling>
          <c:orientation val="minMax"/>
        </c:scaling>
        <c:delete val="0"/>
        <c:axPos val="b"/>
        <c:numFmt formatCode="General" sourceLinked="1"/>
        <c:majorTickMark val="out"/>
        <c:minorTickMark val="none"/>
        <c:tickLblPos val="nextTo"/>
        <c:crossAx val="45249664"/>
        <c:crosses val="autoZero"/>
        <c:crossBetween val="midCat"/>
      </c:valAx>
      <c:valAx>
        <c:axId val="45249664"/>
        <c:scaling>
          <c:orientation val="minMax"/>
        </c:scaling>
        <c:delete val="0"/>
        <c:axPos val="l"/>
        <c:majorGridlines/>
        <c:numFmt formatCode="0" sourceLinked="1"/>
        <c:majorTickMark val="out"/>
        <c:minorTickMark val="none"/>
        <c:tickLblPos val="nextTo"/>
        <c:crossAx val="45223296"/>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itle>
    <c:autoTitleDeleted val="0"/>
    <c:plotArea>
      <c:layout/>
      <c:scatterChart>
        <c:scatterStyle val="smoothMarker"/>
        <c:varyColors val="0"/>
        <c:ser>
          <c:idx val="0"/>
          <c:order val="0"/>
          <c:tx>
            <c:v>#ССЫЛКА!</c:v>
          </c:tx>
          <c:marker>
            <c:symbol val="diamond"/>
            <c:size val="7"/>
          </c:marker>
          <c:trendline>
            <c:trendlineType val="power"/>
            <c:dispRSqr val="0"/>
            <c:dispEq val="0"/>
          </c:trendline>
          <c:trendline>
            <c:trendlineType val="linear"/>
            <c:dispRSqr val="0"/>
            <c:dispEq val="1"/>
            <c:trendlineLbl>
              <c:layout>
                <c:manualLayout>
                  <c:x val="0.32871391076115486"/>
                  <c:y val="-9.2950933216681242E-2"/>
                </c:manualLayout>
              </c:layout>
              <c:numFmt formatCode="General" sourceLinked="0"/>
              <c:spPr>
                <a:noFill/>
                <a:ln w="25400">
                  <a:noFill/>
                </a:ln>
              </c:spPr>
            </c:trendlineLbl>
          </c:trendline>
          <c:xVal>
            <c:numLit>
              <c:formatCode>General</c:formatCode>
              <c:ptCount val="1"/>
              <c:pt idx="0">
                <c:v>0</c:v>
              </c:pt>
            </c:numLit>
          </c:xVal>
          <c:yVal>
            <c:numLit>
              <c:formatCode>General</c:formatCode>
              <c:ptCount val="1"/>
              <c:pt idx="0">
                <c:v>0</c:v>
              </c:pt>
            </c:numLit>
          </c:yVal>
          <c:smooth val="1"/>
        </c:ser>
        <c:dLbls>
          <c:showLegendKey val="0"/>
          <c:showVal val="0"/>
          <c:showCatName val="0"/>
          <c:showSerName val="0"/>
          <c:showPercent val="0"/>
          <c:showBubbleSize val="0"/>
        </c:dLbls>
        <c:axId val="114296704"/>
        <c:axId val="114298240"/>
      </c:scatterChart>
      <c:valAx>
        <c:axId val="114296704"/>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ru-RU"/>
          </a:p>
        </c:txPr>
        <c:crossAx val="114298240"/>
        <c:crosses val="autoZero"/>
        <c:crossBetween val="midCat"/>
      </c:valAx>
      <c:valAx>
        <c:axId val="114298240"/>
        <c:scaling>
          <c:orientation val="minMax"/>
        </c:scaling>
        <c:delete val="0"/>
        <c:axPos val="l"/>
        <c:majorGridlines/>
        <c:numFmt formatCode="General" sourceLinked="1"/>
        <c:majorTickMark val="out"/>
        <c:minorTickMark val="none"/>
        <c:tickLblPos val="nextTo"/>
        <c:crossAx val="114296704"/>
        <c:crosses val="autoZero"/>
        <c:crossBetween val="midCat"/>
      </c:valAx>
    </c:plotArea>
    <c:legend>
      <c:legendPos val="r"/>
      <c:overlay val="0"/>
    </c:legend>
    <c:plotVisOnly val="1"/>
    <c:dispBlanksAs val="gap"/>
    <c:showDLblsOverMax val="0"/>
  </c:chart>
  <c:printSettings>
    <c:headerFooter alignWithMargins="0"/>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strRef>
              <c:f>вен!$A$87</c:f>
              <c:strCache>
                <c:ptCount val="1"/>
                <c:pt idx="0">
                  <c:v>Нагрузка на лаву по проветриванию, т/сутки</c:v>
                </c:pt>
              </c:strCache>
            </c:strRef>
          </c:tx>
          <c:marker>
            <c:symbol val="none"/>
          </c:marker>
          <c:xVal>
            <c:numRef>
              <c:f>вен!$B$86:$F$86</c:f>
              <c:numCache>
                <c:formatCode>General</c:formatCode>
                <c:ptCount val="5"/>
                <c:pt idx="0">
                  <c:v>100</c:v>
                </c:pt>
                <c:pt idx="1">
                  <c:v>150</c:v>
                </c:pt>
                <c:pt idx="2">
                  <c:v>200</c:v>
                </c:pt>
                <c:pt idx="3">
                  <c:v>250</c:v>
                </c:pt>
                <c:pt idx="4">
                  <c:v>300</c:v>
                </c:pt>
              </c:numCache>
            </c:numRef>
          </c:xVal>
          <c:yVal>
            <c:numRef>
              <c:f>вен!$B$87:$F$87</c:f>
              <c:numCache>
                <c:formatCode>0</c:formatCode>
                <c:ptCount val="5"/>
                <c:pt idx="0">
                  <c:v>0</c:v>
                </c:pt>
                <c:pt idx="1">
                  <c:v>0</c:v>
                </c:pt>
                <c:pt idx="2">
                  <c:v>0</c:v>
                </c:pt>
                <c:pt idx="3">
                  <c:v>0</c:v>
                </c:pt>
                <c:pt idx="4">
                  <c:v>0</c:v>
                </c:pt>
              </c:numCache>
            </c:numRef>
          </c:yVal>
          <c:smooth val="1"/>
        </c:ser>
        <c:ser>
          <c:idx val="1"/>
          <c:order val="1"/>
          <c:tx>
            <c:strRef>
              <c:f>вен!$A$88</c:f>
              <c:strCache>
                <c:ptCount val="1"/>
                <c:pt idx="0">
                  <c:v>Нагрузка на лаву по механизации, т/сутки</c:v>
                </c:pt>
              </c:strCache>
            </c:strRef>
          </c:tx>
          <c:marker>
            <c:symbol val="none"/>
          </c:marker>
          <c:xVal>
            <c:numRef>
              <c:f>вен!$B$86:$F$86</c:f>
              <c:numCache>
                <c:formatCode>General</c:formatCode>
                <c:ptCount val="5"/>
                <c:pt idx="0">
                  <c:v>100</c:v>
                </c:pt>
                <c:pt idx="1">
                  <c:v>150</c:v>
                </c:pt>
                <c:pt idx="2">
                  <c:v>200</c:v>
                </c:pt>
                <c:pt idx="3">
                  <c:v>250</c:v>
                </c:pt>
                <c:pt idx="4">
                  <c:v>300</c:v>
                </c:pt>
              </c:numCache>
            </c:numRef>
          </c:xVal>
          <c:yVal>
            <c:numRef>
              <c:f>вен!$B$88:$F$88</c:f>
              <c:numCache>
                <c:formatCode>0</c:formatCode>
                <c:ptCount val="5"/>
                <c:pt idx="0">
                  <c:v>0</c:v>
                </c:pt>
                <c:pt idx="1">
                  <c:v>0</c:v>
                </c:pt>
                <c:pt idx="2">
                  <c:v>0</c:v>
                </c:pt>
                <c:pt idx="3">
                  <c:v>0</c:v>
                </c:pt>
                <c:pt idx="4">
                  <c:v>0</c:v>
                </c:pt>
              </c:numCache>
            </c:numRef>
          </c:yVal>
          <c:smooth val="1"/>
        </c:ser>
        <c:dLbls>
          <c:showLegendKey val="0"/>
          <c:showVal val="0"/>
          <c:showCatName val="0"/>
          <c:showSerName val="0"/>
          <c:showPercent val="0"/>
          <c:showBubbleSize val="0"/>
        </c:dLbls>
        <c:axId val="114327936"/>
        <c:axId val="114329472"/>
      </c:scatterChart>
      <c:valAx>
        <c:axId val="114327936"/>
        <c:scaling>
          <c:orientation val="minMax"/>
        </c:scaling>
        <c:delete val="0"/>
        <c:axPos val="b"/>
        <c:numFmt formatCode="General" sourceLinked="1"/>
        <c:majorTickMark val="out"/>
        <c:minorTickMark val="none"/>
        <c:tickLblPos val="nextTo"/>
        <c:crossAx val="114329472"/>
        <c:crosses val="autoZero"/>
        <c:crossBetween val="midCat"/>
      </c:valAx>
      <c:valAx>
        <c:axId val="114329472"/>
        <c:scaling>
          <c:orientation val="minMax"/>
        </c:scaling>
        <c:delete val="0"/>
        <c:axPos val="l"/>
        <c:majorGridlines/>
        <c:numFmt formatCode="0" sourceLinked="1"/>
        <c:majorTickMark val="out"/>
        <c:minorTickMark val="none"/>
        <c:tickLblPos val="nextTo"/>
        <c:crossAx val="114327936"/>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75" b="1" i="0" u="none" strike="noStrike" baseline="0">
                <a:solidFill>
                  <a:srgbClr val="000000"/>
                </a:solidFill>
                <a:latin typeface="Arial Cyr"/>
                <a:ea typeface="Arial Cyr"/>
                <a:cs typeface="Arial Cyr"/>
              </a:defRPr>
            </a:pPr>
            <a:r>
              <a:rPr lang="en-US"/>
              <a:t>Verwendungsbereich der Walzschrämladern hinsichtlich der Flözmächtigkeit</a:t>
            </a:r>
          </a:p>
        </c:rich>
      </c:tx>
      <c:overlay val="0"/>
      <c:spPr>
        <a:noFill/>
        <a:ln w="25400">
          <a:noFill/>
        </a:ln>
      </c:spPr>
    </c:title>
    <c:autoTitleDeleted val="0"/>
    <c:view3D>
      <c:rotX val="15"/>
      <c:hPercent val="7"/>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mmin</c:v>
          </c:tx>
          <c:spPr>
            <a:solidFill>
              <a:srgbClr val="9999FF"/>
            </a:solidFill>
            <a:ln w="12700">
              <a:solidFill>
                <a:srgbClr val="000000"/>
              </a:solidFill>
              <a:prstDash val="solid"/>
            </a:ln>
          </c:spPr>
          <c:invertIfNegative val="0"/>
          <c:cat>
            <c:strLit>
              <c:ptCount val="13"/>
              <c:pt idx="0">
                <c:v>1К101У</c:v>
              </c:pt>
              <c:pt idx="1">
                <c:v>К103М</c:v>
              </c:pt>
              <c:pt idx="2">
                <c:v>КА80</c:v>
              </c:pt>
              <c:pt idx="3">
                <c:v>1K101УД</c:v>
              </c:pt>
              <c:pt idx="4">
                <c:v>ГШ200Б</c:v>
              </c:pt>
              <c:pt idx="5">
                <c:v>ГШ200В</c:v>
              </c:pt>
              <c:pt idx="6">
                <c:v>2К52М</c:v>
              </c:pt>
              <c:pt idx="7">
                <c:v>РКУ10</c:v>
              </c:pt>
              <c:pt idx="8">
                <c:v>1ГШ68</c:v>
              </c:pt>
              <c:pt idx="9">
                <c:v>2ГШ68</c:v>
              </c:pt>
              <c:pt idx="10">
                <c:v>РКУ13</c:v>
              </c:pt>
              <c:pt idx="11">
                <c:v>ГШ500</c:v>
              </c:pt>
              <c:pt idx="12">
                <c:v>КШ1КГУ</c:v>
              </c:pt>
            </c:strLit>
          </c:cat>
          <c:val>
            <c:numLit>
              <c:formatCode>General</c:formatCode>
              <c:ptCount val="13"/>
              <c:pt idx="0">
                <c:v>0.8</c:v>
              </c:pt>
              <c:pt idx="1">
                <c:v>0.6</c:v>
              </c:pt>
              <c:pt idx="2">
                <c:v>0.6</c:v>
              </c:pt>
              <c:pt idx="3">
                <c:v>0.95</c:v>
              </c:pt>
              <c:pt idx="4">
                <c:v>0.95</c:v>
              </c:pt>
              <c:pt idx="5">
                <c:v>0.95</c:v>
              </c:pt>
              <c:pt idx="6">
                <c:v>1</c:v>
              </c:pt>
              <c:pt idx="7">
                <c:v>1.1000000000000001</c:v>
              </c:pt>
              <c:pt idx="8">
                <c:v>1.1000000000000001</c:v>
              </c:pt>
              <c:pt idx="9">
                <c:v>1.1000000000000001</c:v>
              </c:pt>
              <c:pt idx="10">
                <c:v>1.35</c:v>
              </c:pt>
              <c:pt idx="11">
                <c:v>1.3</c:v>
              </c:pt>
              <c:pt idx="12">
                <c:v>1.6</c:v>
              </c:pt>
            </c:numLit>
          </c:val>
          <c:extLst xmlns:c16r2="http://schemas.microsoft.com/office/drawing/2015/06/chart">
            <c:ext xmlns:c16="http://schemas.microsoft.com/office/drawing/2014/chart" uri="{C3380CC4-5D6E-409C-BE32-E72D297353CC}">
              <c16:uniqueId val="{00000000-F812-43B3-BBAC-9D7273E3F12C}"/>
            </c:ext>
          </c:extLst>
        </c:ser>
        <c:ser>
          <c:idx val="1"/>
          <c:order val="1"/>
          <c:tx>
            <c:v>mmax</c:v>
          </c:tx>
          <c:spPr>
            <a:solidFill>
              <a:srgbClr val="993366"/>
            </a:solidFill>
            <a:ln w="12700">
              <a:solidFill>
                <a:srgbClr val="000000"/>
              </a:solidFill>
              <a:prstDash val="solid"/>
            </a:ln>
          </c:spPr>
          <c:invertIfNegative val="0"/>
          <c:cat>
            <c:strLit>
              <c:ptCount val="13"/>
              <c:pt idx="0">
                <c:v>1К101У</c:v>
              </c:pt>
              <c:pt idx="1">
                <c:v>К103М</c:v>
              </c:pt>
              <c:pt idx="2">
                <c:v>КА80</c:v>
              </c:pt>
              <c:pt idx="3">
                <c:v>1K101УД</c:v>
              </c:pt>
              <c:pt idx="4">
                <c:v>ГШ200Б</c:v>
              </c:pt>
              <c:pt idx="5">
                <c:v>ГШ200В</c:v>
              </c:pt>
              <c:pt idx="6">
                <c:v>2К52М</c:v>
              </c:pt>
              <c:pt idx="7">
                <c:v>РКУ10</c:v>
              </c:pt>
              <c:pt idx="8">
                <c:v>1ГШ68</c:v>
              </c:pt>
              <c:pt idx="9">
                <c:v>2ГШ68</c:v>
              </c:pt>
              <c:pt idx="10">
                <c:v>РКУ13</c:v>
              </c:pt>
              <c:pt idx="11">
                <c:v>ГШ500</c:v>
              </c:pt>
              <c:pt idx="12">
                <c:v>КШ1КГУ</c:v>
              </c:pt>
            </c:strLit>
          </c:cat>
          <c:val>
            <c:numLit>
              <c:formatCode>General</c:formatCode>
              <c:ptCount val="13"/>
              <c:pt idx="0">
                <c:v>1.2</c:v>
              </c:pt>
              <c:pt idx="1">
                <c:v>1.2</c:v>
              </c:pt>
              <c:pt idx="2">
                <c:v>1.2</c:v>
              </c:pt>
              <c:pt idx="3">
                <c:v>1.3</c:v>
              </c:pt>
              <c:pt idx="4">
                <c:v>1.5</c:v>
              </c:pt>
              <c:pt idx="5">
                <c:v>1.5</c:v>
              </c:pt>
              <c:pt idx="6">
                <c:v>1.7</c:v>
              </c:pt>
              <c:pt idx="7">
                <c:v>1.93</c:v>
              </c:pt>
              <c:pt idx="8">
                <c:v>2.5</c:v>
              </c:pt>
              <c:pt idx="9">
                <c:v>2.5</c:v>
              </c:pt>
              <c:pt idx="10">
                <c:v>2.6</c:v>
              </c:pt>
              <c:pt idx="11">
                <c:v>2.7</c:v>
              </c:pt>
              <c:pt idx="12">
                <c:v>3.2</c:v>
              </c:pt>
            </c:numLit>
          </c:val>
          <c:extLst xmlns:c16r2="http://schemas.microsoft.com/office/drawing/2015/06/chart">
            <c:ext xmlns:c16="http://schemas.microsoft.com/office/drawing/2014/chart" uri="{C3380CC4-5D6E-409C-BE32-E72D297353CC}">
              <c16:uniqueId val="{00000001-F812-43B3-BBAC-9D7273E3F12C}"/>
            </c:ext>
          </c:extLst>
        </c:ser>
        <c:dLbls>
          <c:showLegendKey val="0"/>
          <c:showVal val="0"/>
          <c:showCatName val="0"/>
          <c:showSerName val="0"/>
          <c:showPercent val="0"/>
          <c:showBubbleSize val="0"/>
        </c:dLbls>
        <c:gapWidth val="150"/>
        <c:shape val="box"/>
        <c:axId val="114396544"/>
        <c:axId val="114398336"/>
        <c:axId val="0"/>
      </c:bar3DChart>
      <c:catAx>
        <c:axId val="11439654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RU"/>
          </a:p>
        </c:txPr>
        <c:crossAx val="114398336"/>
        <c:crosses val="autoZero"/>
        <c:auto val="1"/>
        <c:lblAlgn val="ctr"/>
        <c:lblOffset val="100"/>
        <c:tickLblSkip val="1"/>
        <c:tickMarkSkip val="1"/>
        <c:noMultiLvlLbl val="0"/>
      </c:catAx>
      <c:valAx>
        <c:axId val="11439833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RU"/>
          </a:p>
        </c:txPr>
        <c:crossAx val="114396544"/>
        <c:crosses val="autoZero"/>
        <c:crossBetween val="between"/>
        <c:majorUnit val="0.2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Cyr"/>
          <a:ea typeface="Arial Cyr"/>
          <a:cs typeface="Arial Cyr"/>
        </a:defRPr>
      </a:pPr>
      <a:endParaRPr lang="ru-RU"/>
    </a:p>
  </c:txPr>
  <c:printSettings>
    <c:headerFooter alignWithMargins="0"/>
    <c:pageMargins b="1" l="0.75000000000000178" r="0.75000000000000178"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Cyr"/>
                <a:ea typeface="Arial Cyr"/>
                <a:cs typeface="Arial Cyr"/>
              </a:defRPr>
            </a:pPr>
            <a:r>
              <a:rPr lang="en-US"/>
              <a:t>Verwenungsbereich der mechanische Ausbau
hinsichtlich der Flözmächtigkeit</a:t>
            </a:r>
          </a:p>
        </c:rich>
      </c:tx>
      <c:overlay val="0"/>
      <c:spPr>
        <a:noFill/>
        <a:ln w="25400">
          <a:noFill/>
        </a:ln>
      </c:spPr>
    </c:title>
    <c:autoTitleDeleted val="0"/>
    <c:view3D>
      <c:rotX val="15"/>
      <c:hPercent val="5"/>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Gewinnende Flötmächtigkeit, m minimale</c:v>
          </c:tx>
          <c:spPr>
            <a:solidFill>
              <a:srgbClr val="9999FF"/>
            </a:solidFill>
            <a:ln w="12700">
              <a:solidFill>
                <a:srgbClr val="000000"/>
              </a:solidFill>
              <a:prstDash val="solid"/>
            </a:ln>
          </c:spPr>
          <c:invertIfNegative val="0"/>
          <c:cat>
            <c:strLit>
              <c:ptCount val="13"/>
              <c:pt idx="0">
                <c:v>М103</c:v>
              </c:pt>
              <c:pt idx="1">
                <c:v>МК98</c:v>
              </c:pt>
              <c:pt idx="2">
                <c:v>Donbass80</c:v>
              </c:pt>
              <c:pt idx="3">
                <c:v>М137</c:v>
              </c:pt>
              <c:pt idx="4">
                <c:v>М88</c:v>
              </c:pt>
              <c:pt idx="5">
                <c:v>М87УМН</c:v>
              </c:pt>
              <c:pt idx="6">
                <c:v>М87УМП</c:v>
              </c:pt>
              <c:pt idx="7">
                <c:v>КД90</c:v>
              </c:pt>
              <c:pt idx="8">
                <c:v>МТ</c:v>
              </c:pt>
              <c:pt idx="9">
                <c:v>КДД</c:v>
              </c:pt>
              <c:pt idx="10">
                <c:v>МК75</c:v>
              </c:pt>
              <c:pt idx="11">
                <c:v>М138</c:v>
              </c:pt>
              <c:pt idx="12">
                <c:v>1УКП</c:v>
              </c:pt>
            </c:strLit>
          </c:cat>
          <c:val>
            <c:numLit>
              <c:formatCode>General</c:formatCode>
              <c:ptCount val="13"/>
              <c:pt idx="0">
                <c:v>0.75</c:v>
              </c:pt>
              <c:pt idx="1">
                <c:v>0.75</c:v>
              </c:pt>
              <c:pt idx="2">
                <c:v>0.85</c:v>
              </c:pt>
              <c:pt idx="3">
                <c:v>0.8</c:v>
              </c:pt>
              <c:pt idx="4">
                <c:v>0.95</c:v>
              </c:pt>
              <c:pt idx="5">
                <c:v>1.14999999999985</c:v>
              </c:pt>
              <c:pt idx="6">
                <c:v>1.14999999999985</c:v>
              </c:pt>
              <c:pt idx="7">
                <c:v>0.8</c:v>
              </c:pt>
              <c:pt idx="8">
                <c:v>1.14999999999985</c:v>
              </c:pt>
              <c:pt idx="9">
                <c:v>1.35</c:v>
              </c:pt>
              <c:pt idx="10">
                <c:v>1.6</c:v>
              </c:pt>
              <c:pt idx="11">
                <c:v>1.1000000000000001</c:v>
              </c:pt>
              <c:pt idx="12">
                <c:v>1.2</c:v>
              </c:pt>
            </c:numLit>
          </c:val>
          <c:extLst xmlns:c16r2="http://schemas.microsoft.com/office/drawing/2015/06/chart">
            <c:ext xmlns:c16="http://schemas.microsoft.com/office/drawing/2014/chart" uri="{C3380CC4-5D6E-409C-BE32-E72D297353CC}">
              <c16:uniqueId val="{00000000-8194-4AAC-92BD-DF68A5FEF36F}"/>
            </c:ext>
          </c:extLst>
        </c:ser>
        <c:ser>
          <c:idx val="1"/>
          <c:order val="1"/>
          <c:tx>
            <c:v>Gewinnende Flötmächtigkeit, m maxima-le</c:v>
          </c:tx>
          <c:spPr>
            <a:solidFill>
              <a:srgbClr val="993366"/>
            </a:solidFill>
            <a:ln w="12700">
              <a:solidFill>
                <a:srgbClr val="000000"/>
              </a:solidFill>
              <a:prstDash val="solid"/>
            </a:ln>
          </c:spPr>
          <c:invertIfNegative val="0"/>
          <c:cat>
            <c:strLit>
              <c:ptCount val="13"/>
              <c:pt idx="0">
                <c:v>М103</c:v>
              </c:pt>
              <c:pt idx="1">
                <c:v>МК98</c:v>
              </c:pt>
              <c:pt idx="2">
                <c:v>Donbass80</c:v>
              </c:pt>
              <c:pt idx="3">
                <c:v>М137</c:v>
              </c:pt>
              <c:pt idx="4">
                <c:v>М88</c:v>
              </c:pt>
              <c:pt idx="5">
                <c:v>М87УМН</c:v>
              </c:pt>
              <c:pt idx="6">
                <c:v>М87УМП</c:v>
              </c:pt>
              <c:pt idx="7">
                <c:v>КД90</c:v>
              </c:pt>
              <c:pt idx="8">
                <c:v>МТ</c:v>
              </c:pt>
              <c:pt idx="9">
                <c:v>КДД</c:v>
              </c:pt>
              <c:pt idx="10">
                <c:v>МК75</c:v>
              </c:pt>
              <c:pt idx="11">
                <c:v>М138</c:v>
              </c:pt>
              <c:pt idx="12">
                <c:v>1УКП</c:v>
              </c:pt>
            </c:strLit>
          </c:cat>
          <c:val>
            <c:numLit>
              <c:formatCode>General</c:formatCode>
              <c:ptCount val="13"/>
              <c:pt idx="0">
                <c:v>0.95</c:v>
              </c:pt>
              <c:pt idx="1">
                <c:v>1.2</c:v>
              </c:pt>
              <c:pt idx="2">
                <c:v>1.2</c:v>
              </c:pt>
              <c:pt idx="3">
                <c:v>1.4</c:v>
              </c:pt>
              <c:pt idx="4">
                <c:v>1.4</c:v>
              </c:pt>
              <c:pt idx="5">
                <c:v>1.95</c:v>
              </c:pt>
              <c:pt idx="6">
                <c:v>1.95</c:v>
              </c:pt>
              <c:pt idx="7">
                <c:v>2</c:v>
              </c:pt>
              <c:pt idx="8">
                <c:v>2</c:v>
              </c:pt>
              <c:pt idx="9">
                <c:v>2</c:v>
              </c:pt>
              <c:pt idx="10">
                <c:v>2.2000000000000002</c:v>
              </c:pt>
              <c:pt idx="11">
                <c:v>2.5</c:v>
              </c:pt>
              <c:pt idx="12">
                <c:v>2.5</c:v>
              </c:pt>
            </c:numLit>
          </c:val>
          <c:extLst xmlns:c16r2="http://schemas.microsoft.com/office/drawing/2015/06/chart">
            <c:ext xmlns:c16="http://schemas.microsoft.com/office/drawing/2014/chart" uri="{C3380CC4-5D6E-409C-BE32-E72D297353CC}">
              <c16:uniqueId val="{00000001-8194-4AAC-92BD-DF68A5FEF36F}"/>
            </c:ext>
          </c:extLst>
        </c:ser>
        <c:dLbls>
          <c:showLegendKey val="0"/>
          <c:showVal val="0"/>
          <c:showCatName val="0"/>
          <c:showSerName val="0"/>
          <c:showPercent val="0"/>
          <c:showBubbleSize val="0"/>
        </c:dLbls>
        <c:gapWidth val="150"/>
        <c:shape val="box"/>
        <c:axId val="114702976"/>
        <c:axId val="114704768"/>
        <c:axId val="0"/>
      </c:bar3DChart>
      <c:catAx>
        <c:axId val="11470297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300" b="0" i="0" u="none" strike="noStrike" baseline="0">
                <a:solidFill>
                  <a:srgbClr val="000000"/>
                </a:solidFill>
                <a:latin typeface="Arial Cyr"/>
                <a:ea typeface="Arial Cyr"/>
                <a:cs typeface="Arial Cyr"/>
              </a:defRPr>
            </a:pPr>
            <a:endParaRPr lang="ru-RU"/>
          </a:p>
        </c:txPr>
        <c:crossAx val="114704768"/>
        <c:crosses val="autoZero"/>
        <c:auto val="1"/>
        <c:lblAlgn val="ctr"/>
        <c:lblOffset val="100"/>
        <c:tickLblSkip val="1"/>
        <c:tickMarkSkip val="1"/>
        <c:noMultiLvlLbl val="0"/>
      </c:catAx>
      <c:valAx>
        <c:axId val="11470476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Cyr"/>
                <a:ea typeface="Arial Cyr"/>
                <a:cs typeface="Arial Cyr"/>
              </a:defRPr>
            </a:pPr>
            <a:endParaRPr lang="ru-RU"/>
          </a:p>
        </c:txPr>
        <c:crossAx val="114702976"/>
        <c:crosses val="autoZero"/>
        <c:crossBetween val="between"/>
        <c:majorUnit val="0.2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Cyr"/>
          <a:ea typeface="Arial Cyr"/>
          <a:cs typeface="Arial Cyr"/>
        </a:defRPr>
      </a:pPr>
      <a:endParaRPr lang="ru-RU"/>
    </a:p>
  </c:txPr>
  <c:printSettings>
    <c:headerFooter alignWithMargins="0"/>
    <c:pageMargins b="1" l="0.75000000000000178" r="0.75000000000000178"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75" b="1" i="0" u="none" strike="noStrike" baseline="0">
                <a:solidFill>
                  <a:srgbClr val="000000"/>
                </a:solidFill>
                <a:latin typeface="Arial Cyr"/>
                <a:ea typeface="Arial Cyr"/>
                <a:cs typeface="Arial Cyr"/>
              </a:defRPr>
            </a:pPr>
            <a:r>
              <a:rPr lang="en-US"/>
              <a:t>Verwendungsbereich der Walzschrämladern hinsichtlich der Flözmächtigkeit</a:t>
            </a:r>
          </a:p>
        </c:rich>
      </c:tx>
      <c:overlay val="0"/>
      <c:spPr>
        <a:noFill/>
        <a:ln w="25400">
          <a:noFill/>
        </a:ln>
      </c:spPr>
    </c:title>
    <c:autoTitleDeleted val="0"/>
    <c:view3D>
      <c:rotX val="15"/>
      <c:hPercent val="7"/>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mmin</c:v>
          </c:tx>
          <c:spPr>
            <a:solidFill>
              <a:srgbClr val="9999FF"/>
            </a:solidFill>
            <a:ln w="12700">
              <a:solidFill>
                <a:srgbClr val="000000"/>
              </a:solidFill>
              <a:prstDash val="solid"/>
            </a:ln>
          </c:spPr>
          <c:invertIfNegative val="0"/>
          <c:cat>
            <c:strLit>
              <c:ptCount val="13"/>
              <c:pt idx="0">
                <c:v>1К101У</c:v>
              </c:pt>
              <c:pt idx="1">
                <c:v>К103М</c:v>
              </c:pt>
              <c:pt idx="2">
                <c:v>КА80</c:v>
              </c:pt>
              <c:pt idx="3">
                <c:v>1K101УД</c:v>
              </c:pt>
              <c:pt idx="4">
                <c:v>ГШ200Б</c:v>
              </c:pt>
              <c:pt idx="5">
                <c:v>ГШ200В</c:v>
              </c:pt>
              <c:pt idx="6">
                <c:v>2К52М</c:v>
              </c:pt>
              <c:pt idx="7">
                <c:v>РКУ10</c:v>
              </c:pt>
              <c:pt idx="8">
                <c:v>1ГШ68</c:v>
              </c:pt>
              <c:pt idx="9">
                <c:v>2ГШ68</c:v>
              </c:pt>
              <c:pt idx="10">
                <c:v>РКУ13</c:v>
              </c:pt>
              <c:pt idx="11">
                <c:v>ГШ500</c:v>
              </c:pt>
              <c:pt idx="12">
                <c:v>КШ1КГУ</c:v>
              </c:pt>
            </c:strLit>
          </c:cat>
          <c:val>
            <c:numLit>
              <c:formatCode>General</c:formatCode>
              <c:ptCount val="13"/>
              <c:pt idx="0">
                <c:v>0.8</c:v>
              </c:pt>
              <c:pt idx="1">
                <c:v>0.6</c:v>
              </c:pt>
              <c:pt idx="2">
                <c:v>0.6</c:v>
              </c:pt>
              <c:pt idx="3">
                <c:v>0.95</c:v>
              </c:pt>
              <c:pt idx="4">
                <c:v>0.95</c:v>
              </c:pt>
              <c:pt idx="5">
                <c:v>0.95</c:v>
              </c:pt>
              <c:pt idx="6">
                <c:v>1</c:v>
              </c:pt>
              <c:pt idx="7">
                <c:v>1.1000000000000001</c:v>
              </c:pt>
              <c:pt idx="8">
                <c:v>1.1000000000000001</c:v>
              </c:pt>
              <c:pt idx="9">
                <c:v>1.1000000000000001</c:v>
              </c:pt>
              <c:pt idx="10">
                <c:v>1.35</c:v>
              </c:pt>
              <c:pt idx="11">
                <c:v>1.3</c:v>
              </c:pt>
              <c:pt idx="12">
                <c:v>1.6</c:v>
              </c:pt>
            </c:numLit>
          </c:val>
          <c:extLst xmlns:c16r2="http://schemas.microsoft.com/office/drawing/2015/06/chart">
            <c:ext xmlns:c16="http://schemas.microsoft.com/office/drawing/2014/chart" uri="{C3380CC4-5D6E-409C-BE32-E72D297353CC}">
              <c16:uniqueId val="{00000000-28FA-4ADF-93AC-539A1B4593E0}"/>
            </c:ext>
          </c:extLst>
        </c:ser>
        <c:ser>
          <c:idx val="1"/>
          <c:order val="1"/>
          <c:tx>
            <c:v>mmax</c:v>
          </c:tx>
          <c:spPr>
            <a:solidFill>
              <a:srgbClr val="993366"/>
            </a:solidFill>
            <a:ln w="12700">
              <a:solidFill>
                <a:srgbClr val="000000"/>
              </a:solidFill>
              <a:prstDash val="solid"/>
            </a:ln>
          </c:spPr>
          <c:invertIfNegative val="0"/>
          <c:cat>
            <c:strLit>
              <c:ptCount val="13"/>
              <c:pt idx="0">
                <c:v>1К101У</c:v>
              </c:pt>
              <c:pt idx="1">
                <c:v>К103М</c:v>
              </c:pt>
              <c:pt idx="2">
                <c:v>КА80</c:v>
              </c:pt>
              <c:pt idx="3">
                <c:v>1K101УД</c:v>
              </c:pt>
              <c:pt idx="4">
                <c:v>ГШ200Б</c:v>
              </c:pt>
              <c:pt idx="5">
                <c:v>ГШ200В</c:v>
              </c:pt>
              <c:pt idx="6">
                <c:v>2К52М</c:v>
              </c:pt>
              <c:pt idx="7">
                <c:v>РКУ10</c:v>
              </c:pt>
              <c:pt idx="8">
                <c:v>1ГШ68</c:v>
              </c:pt>
              <c:pt idx="9">
                <c:v>2ГШ68</c:v>
              </c:pt>
              <c:pt idx="10">
                <c:v>РКУ13</c:v>
              </c:pt>
              <c:pt idx="11">
                <c:v>ГШ500</c:v>
              </c:pt>
              <c:pt idx="12">
                <c:v>КШ1КГУ</c:v>
              </c:pt>
            </c:strLit>
          </c:cat>
          <c:val>
            <c:numLit>
              <c:formatCode>General</c:formatCode>
              <c:ptCount val="13"/>
              <c:pt idx="0">
                <c:v>1.2</c:v>
              </c:pt>
              <c:pt idx="1">
                <c:v>1.2</c:v>
              </c:pt>
              <c:pt idx="2">
                <c:v>1.2</c:v>
              </c:pt>
              <c:pt idx="3">
                <c:v>1.3</c:v>
              </c:pt>
              <c:pt idx="4">
                <c:v>1.5</c:v>
              </c:pt>
              <c:pt idx="5">
                <c:v>1.5</c:v>
              </c:pt>
              <c:pt idx="6">
                <c:v>1.7</c:v>
              </c:pt>
              <c:pt idx="7">
                <c:v>1.93</c:v>
              </c:pt>
              <c:pt idx="8">
                <c:v>2.5</c:v>
              </c:pt>
              <c:pt idx="9">
                <c:v>2.5</c:v>
              </c:pt>
              <c:pt idx="10">
                <c:v>2.6</c:v>
              </c:pt>
              <c:pt idx="11">
                <c:v>2.7</c:v>
              </c:pt>
              <c:pt idx="12">
                <c:v>3.2</c:v>
              </c:pt>
            </c:numLit>
          </c:val>
          <c:extLst xmlns:c16r2="http://schemas.microsoft.com/office/drawing/2015/06/chart">
            <c:ext xmlns:c16="http://schemas.microsoft.com/office/drawing/2014/chart" uri="{C3380CC4-5D6E-409C-BE32-E72D297353CC}">
              <c16:uniqueId val="{00000001-28FA-4ADF-93AC-539A1B4593E0}"/>
            </c:ext>
          </c:extLst>
        </c:ser>
        <c:dLbls>
          <c:showLegendKey val="0"/>
          <c:showVal val="0"/>
          <c:showCatName val="0"/>
          <c:showSerName val="0"/>
          <c:showPercent val="0"/>
          <c:showBubbleSize val="0"/>
        </c:dLbls>
        <c:gapWidth val="150"/>
        <c:shape val="box"/>
        <c:axId val="114739072"/>
        <c:axId val="114740608"/>
        <c:axId val="0"/>
      </c:bar3DChart>
      <c:catAx>
        <c:axId val="1147390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RU"/>
          </a:p>
        </c:txPr>
        <c:crossAx val="114740608"/>
        <c:crosses val="autoZero"/>
        <c:auto val="1"/>
        <c:lblAlgn val="ctr"/>
        <c:lblOffset val="100"/>
        <c:tickLblSkip val="1"/>
        <c:tickMarkSkip val="1"/>
        <c:noMultiLvlLbl val="0"/>
      </c:catAx>
      <c:valAx>
        <c:axId val="11474060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RU"/>
          </a:p>
        </c:txPr>
        <c:crossAx val="114739072"/>
        <c:crosses val="autoZero"/>
        <c:crossBetween val="between"/>
        <c:majorUnit val="0.2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Cyr"/>
          <a:ea typeface="Arial Cyr"/>
          <a:cs typeface="Arial Cyr"/>
        </a:defRPr>
      </a:pPr>
      <a:endParaRPr lang="ru-RU"/>
    </a:p>
  </c:txPr>
  <c:printSettings>
    <c:headerFooter alignWithMargins="0"/>
    <c:pageMargins b="1" l="0.75000000000000178" r="0.75000000000000178"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smoothMarker"/>
        <c:varyColors val="0"/>
        <c:ser>
          <c:idx val="0"/>
          <c:order val="0"/>
          <c:tx>
            <c:strRef>
              <c:f>вен!$I$162</c:f>
              <c:strCache>
                <c:ptCount val="1"/>
                <c:pt idx="0">
                  <c:v>цикл/сутки</c:v>
                </c:pt>
              </c:strCache>
            </c:strRef>
          </c:tx>
          <c:marker>
            <c:symbol val="none"/>
          </c:marker>
          <c:xVal>
            <c:numRef>
              <c:f>вен!$J$161:$N$161</c:f>
              <c:numCache>
                <c:formatCode>0</c:formatCode>
                <c:ptCount val="5"/>
                <c:pt idx="0">
                  <c:v>100</c:v>
                </c:pt>
                <c:pt idx="1">
                  <c:v>150</c:v>
                </c:pt>
                <c:pt idx="2">
                  <c:v>200</c:v>
                </c:pt>
                <c:pt idx="3">
                  <c:v>250</c:v>
                </c:pt>
                <c:pt idx="4">
                  <c:v>300</c:v>
                </c:pt>
              </c:numCache>
            </c:numRef>
          </c:xVal>
          <c:yVal>
            <c:numRef>
              <c:f>вен!$J$162:$N$162</c:f>
              <c:numCache>
                <c:formatCode>0.00</c:formatCode>
                <c:ptCount val="5"/>
                <c:pt idx="0">
                  <c:v>0</c:v>
                </c:pt>
                <c:pt idx="1">
                  <c:v>0</c:v>
                </c:pt>
                <c:pt idx="2">
                  <c:v>0</c:v>
                </c:pt>
                <c:pt idx="3">
                  <c:v>0</c:v>
                </c:pt>
                <c:pt idx="4">
                  <c:v>0</c:v>
                </c:pt>
              </c:numCache>
            </c:numRef>
          </c:yVal>
          <c:smooth val="1"/>
        </c:ser>
        <c:dLbls>
          <c:showLegendKey val="0"/>
          <c:showVal val="0"/>
          <c:showCatName val="0"/>
          <c:showSerName val="0"/>
          <c:showPercent val="0"/>
          <c:showBubbleSize val="0"/>
        </c:dLbls>
        <c:axId val="114748416"/>
        <c:axId val="114496256"/>
      </c:scatterChart>
      <c:valAx>
        <c:axId val="114748416"/>
        <c:scaling>
          <c:orientation val="minMax"/>
        </c:scaling>
        <c:delete val="0"/>
        <c:axPos val="b"/>
        <c:numFmt formatCode="0" sourceLinked="1"/>
        <c:majorTickMark val="out"/>
        <c:minorTickMark val="none"/>
        <c:tickLblPos val="nextTo"/>
        <c:crossAx val="114496256"/>
        <c:crosses val="autoZero"/>
        <c:crossBetween val="midCat"/>
      </c:valAx>
      <c:valAx>
        <c:axId val="114496256"/>
        <c:scaling>
          <c:orientation val="minMax"/>
        </c:scaling>
        <c:delete val="0"/>
        <c:axPos val="l"/>
        <c:majorGridlines/>
        <c:numFmt formatCode="0.00" sourceLinked="1"/>
        <c:majorTickMark val="out"/>
        <c:minorTickMark val="none"/>
        <c:tickLblPos val="nextTo"/>
        <c:crossAx val="114748416"/>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smoothMarker"/>
        <c:varyColors val="0"/>
        <c:ser>
          <c:idx val="0"/>
          <c:order val="0"/>
          <c:tx>
            <c:strRef>
              <c:f>вен!$B$162</c:f>
              <c:strCache>
                <c:ptCount val="1"/>
                <c:pt idx="0">
                  <c:v>цикл/сутки</c:v>
                </c:pt>
              </c:strCache>
            </c:strRef>
          </c:tx>
          <c:marker>
            <c:symbol val="none"/>
          </c:marker>
          <c:xVal>
            <c:numRef>
              <c:f>вен!$C$161:$G$161</c:f>
              <c:numCache>
                <c:formatCode>0</c:formatCode>
                <c:ptCount val="5"/>
                <c:pt idx="0">
                  <c:v>100</c:v>
                </c:pt>
                <c:pt idx="1">
                  <c:v>150</c:v>
                </c:pt>
                <c:pt idx="2">
                  <c:v>200</c:v>
                </c:pt>
                <c:pt idx="3">
                  <c:v>250</c:v>
                </c:pt>
                <c:pt idx="4">
                  <c:v>300</c:v>
                </c:pt>
              </c:numCache>
            </c:numRef>
          </c:xVal>
          <c:yVal>
            <c:numRef>
              <c:f>вен!$C$162:$G$162</c:f>
              <c:numCache>
                <c:formatCode>0.00</c:formatCode>
                <c:ptCount val="5"/>
                <c:pt idx="0">
                  <c:v>0</c:v>
                </c:pt>
                <c:pt idx="1">
                  <c:v>0</c:v>
                </c:pt>
                <c:pt idx="2">
                  <c:v>0</c:v>
                </c:pt>
                <c:pt idx="3">
                  <c:v>0</c:v>
                </c:pt>
                <c:pt idx="4">
                  <c:v>0</c:v>
                </c:pt>
              </c:numCache>
            </c:numRef>
          </c:yVal>
          <c:smooth val="1"/>
        </c:ser>
        <c:dLbls>
          <c:showLegendKey val="0"/>
          <c:showVal val="0"/>
          <c:showCatName val="0"/>
          <c:showSerName val="0"/>
          <c:showPercent val="0"/>
          <c:showBubbleSize val="0"/>
        </c:dLbls>
        <c:axId val="114537216"/>
        <c:axId val="114538752"/>
      </c:scatterChart>
      <c:valAx>
        <c:axId val="114537216"/>
        <c:scaling>
          <c:orientation val="minMax"/>
        </c:scaling>
        <c:delete val="0"/>
        <c:axPos val="b"/>
        <c:numFmt formatCode="0" sourceLinked="1"/>
        <c:majorTickMark val="out"/>
        <c:minorTickMark val="none"/>
        <c:tickLblPos val="nextTo"/>
        <c:crossAx val="114538752"/>
        <c:crosses val="autoZero"/>
        <c:crossBetween val="midCat"/>
      </c:valAx>
      <c:valAx>
        <c:axId val="114538752"/>
        <c:scaling>
          <c:orientation val="minMax"/>
        </c:scaling>
        <c:delete val="0"/>
        <c:axPos val="l"/>
        <c:majorGridlines/>
        <c:numFmt formatCode="0.00" sourceLinked="1"/>
        <c:majorTickMark val="out"/>
        <c:minorTickMark val="none"/>
        <c:tickLblPos val="nextTo"/>
        <c:crossAx val="114537216"/>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Cyr"/>
                <a:ea typeface="Arial Cyr"/>
                <a:cs typeface="Arial Cyr"/>
              </a:defRPr>
            </a:pPr>
            <a:r>
              <a:rPr lang="de-DE"/>
              <a:t>Verwendungsbereich der Walzschrämladern hinsichtlich der Flözmächtigkeit</a:t>
            </a:r>
          </a:p>
        </c:rich>
      </c:tx>
      <c:overlay val="0"/>
      <c:spPr>
        <a:noFill/>
        <a:ln w="25400">
          <a:noFill/>
        </a:ln>
      </c:spPr>
    </c:title>
    <c:autoTitleDeleted val="0"/>
    <c:view3D>
      <c:rotX val="15"/>
      <c:hPercent val="6"/>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mmin</c:v>
          </c:tx>
          <c:spPr>
            <a:solidFill>
              <a:srgbClr val="9999FF"/>
            </a:solidFill>
            <a:ln w="12700">
              <a:solidFill>
                <a:srgbClr val="000000"/>
              </a:solidFill>
              <a:prstDash val="solid"/>
            </a:ln>
          </c:spPr>
          <c:invertIfNegative val="0"/>
          <c:cat>
            <c:strLit>
              <c:ptCount val="13"/>
            </c:strLit>
          </c:cat>
          <c:val>
            <c:numLit>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Lit>
          </c:val>
        </c:ser>
        <c:ser>
          <c:idx val="1"/>
          <c:order val="1"/>
          <c:tx>
            <c:v>mmax</c:v>
          </c:tx>
          <c:spPr>
            <a:solidFill>
              <a:srgbClr val="993366"/>
            </a:solidFill>
            <a:ln w="12700">
              <a:solidFill>
                <a:srgbClr val="000000"/>
              </a:solidFill>
              <a:prstDash val="solid"/>
            </a:ln>
          </c:spPr>
          <c:invertIfNegative val="0"/>
          <c:cat>
            <c:strLit>
              <c:ptCount val="13"/>
            </c:strLit>
          </c:cat>
          <c:val>
            <c:numLit>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Lit>
          </c:val>
        </c:ser>
        <c:dLbls>
          <c:showLegendKey val="0"/>
          <c:showVal val="0"/>
          <c:showCatName val="0"/>
          <c:showSerName val="0"/>
          <c:showPercent val="0"/>
          <c:showBubbleSize val="0"/>
        </c:dLbls>
        <c:gapWidth val="150"/>
        <c:shape val="box"/>
        <c:axId val="114754304"/>
        <c:axId val="114755840"/>
        <c:axId val="0"/>
      </c:bar3DChart>
      <c:catAx>
        <c:axId val="11475430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114755840"/>
        <c:crosses val="autoZero"/>
        <c:auto val="1"/>
        <c:lblAlgn val="ctr"/>
        <c:lblOffset val="100"/>
        <c:tickLblSkip val="1"/>
        <c:tickMarkSkip val="1"/>
        <c:noMultiLvlLbl val="0"/>
      </c:catAx>
      <c:valAx>
        <c:axId val="11475584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114754304"/>
        <c:crosses val="autoZero"/>
        <c:crossBetween val="between"/>
        <c:majorUnit val="0.2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Cyr"/>
                <a:ea typeface="Arial Cyr"/>
                <a:cs typeface="Arial Cyr"/>
              </a:defRPr>
            </a:pPr>
            <a:r>
              <a:rPr lang="de-DE"/>
              <a:t>Verwenungsbereich der mechanische Ausbau
hinsichtlich der Flözmächtigkeit</a:t>
            </a:r>
          </a:p>
        </c:rich>
      </c:tx>
      <c:overlay val="0"/>
      <c:spPr>
        <a:noFill/>
        <a:ln w="25400">
          <a:noFill/>
        </a:ln>
      </c:spPr>
    </c:title>
    <c:autoTitleDeleted val="0"/>
    <c:view3D>
      <c:rotX val="15"/>
      <c:hPercent val="5"/>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Gewinnende Flötmächtigkeit, m minimale</c:v>
          </c:tx>
          <c:spPr>
            <a:solidFill>
              <a:srgbClr val="9999FF"/>
            </a:solidFill>
            <a:ln w="12700">
              <a:solidFill>
                <a:srgbClr val="000000"/>
              </a:solidFill>
              <a:prstDash val="solid"/>
            </a:ln>
          </c:spPr>
          <c:invertIfNegative val="0"/>
          <c:cat>
            <c:strLit>
              <c:ptCount val="13"/>
            </c:strLit>
          </c:cat>
          <c:val>
            <c:numLit>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Lit>
          </c:val>
        </c:ser>
        <c:ser>
          <c:idx val="1"/>
          <c:order val="1"/>
          <c:tx>
            <c:v>Gewinnende Flötmächtigkeit, m maxima-le</c:v>
          </c:tx>
          <c:spPr>
            <a:solidFill>
              <a:srgbClr val="993366"/>
            </a:solidFill>
            <a:ln w="12700">
              <a:solidFill>
                <a:srgbClr val="000000"/>
              </a:solidFill>
              <a:prstDash val="solid"/>
            </a:ln>
          </c:spPr>
          <c:invertIfNegative val="0"/>
          <c:cat>
            <c:strLit>
              <c:ptCount val="13"/>
            </c:strLit>
          </c:cat>
          <c:val>
            <c:numLit>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Lit>
          </c:val>
        </c:ser>
        <c:dLbls>
          <c:showLegendKey val="0"/>
          <c:showVal val="0"/>
          <c:showCatName val="0"/>
          <c:showSerName val="0"/>
          <c:showPercent val="0"/>
          <c:showBubbleSize val="0"/>
        </c:dLbls>
        <c:gapWidth val="150"/>
        <c:shape val="box"/>
        <c:axId val="114793472"/>
        <c:axId val="114795264"/>
        <c:axId val="0"/>
      </c:bar3DChart>
      <c:catAx>
        <c:axId val="11479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114795264"/>
        <c:crosses val="autoZero"/>
        <c:auto val="1"/>
        <c:lblAlgn val="ctr"/>
        <c:lblOffset val="100"/>
        <c:tickLblSkip val="1"/>
        <c:tickMarkSkip val="1"/>
        <c:noMultiLvlLbl val="0"/>
      </c:catAx>
      <c:valAx>
        <c:axId val="11479526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114793472"/>
        <c:crosses val="autoZero"/>
        <c:crossBetween val="between"/>
        <c:majorUnit val="0.2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Cyr"/>
                <a:ea typeface="Arial Cyr"/>
                <a:cs typeface="Arial Cyr"/>
              </a:defRPr>
            </a:pPr>
            <a:r>
              <a:rPr lang="de-DE"/>
              <a:t>Verwendungsbereich der Walzschrämladern hinsichtlich der Flözmächtigkeit</a:t>
            </a:r>
          </a:p>
        </c:rich>
      </c:tx>
      <c:overlay val="0"/>
      <c:spPr>
        <a:noFill/>
        <a:ln w="25400">
          <a:noFill/>
        </a:ln>
      </c:spPr>
    </c:title>
    <c:autoTitleDeleted val="0"/>
    <c:view3D>
      <c:rotX val="15"/>
      <c:hPercent val="6"/>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mmin</c:v>
          </c:tx>
          <c:spPr>
            <a:solidFill>
              <a:srgbClr val="9999FF"/>
            </a:solidFill>
            <a:ln w="12700">
              <a:solidFill>
                <a:srgbClr val="000000"/>
              </a:solidFill>
              <a:prstDash val="solid"/>
            </a:ln>
          </c:spPr>
          <c:invertIfNegative val="0"/>
          <c:cat>
            <c:strLit>
              <c:ptCount val="13"/>
            </c:strLit>
          </c:cat>
          <c:val>
            <c:numLit>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Lit>
          </c:val>
        </c:ser>
        <c:ser>
          <c:idx val="1"/>
          <c:order val="1"/>
          <c:tx>
            <c:v>mmax</c:v>
          </c:tx>
          <c:spPr>
            <a:solidFill>
              <a:srgbClr val="993366"/>
            </a:solidFill>
            <a:ln w="12700">
              <a:solidFill>
                <a:srgbClr val="000000"/>
              </a:solidFill>
              <a:prstDash val="solid"/>
            </a:ln>
          </c:spPr>
          <c:invertIfNegative val="0"/>
          <c:cat>
            <c:strLit>
              <c:ptCount val="13"/>
            </c:strLit>
          </c:cat>
          <c:val>
            <c:numLit>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Lit>
          </c:val>
        </c:ser>
        <c:dLbls>
          <c:showLegendKey val="0"/>
          <c:showVal val="0"/>
          <c:showCatName val="0"/>
          <c:showSerName val="0"/>
          <c:showPercent val="0"/>
          <c:showBubbleSize val="0"/>
        </c:dLbls>
        <c:gapWidth val="150"/>
        <c:shape val="box"/>
        <c:axId val="114841088"/>
        <c:axId val="114842624"/>
        <c:axId val="0"/>
      </c:bar3DChart>
      <c:catAx>
        <c:axId val="11484108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114842624"/>
        <c:crosses val="autoZero"/>
        <c:auto val="1"/>
        <c:lblAlgn val="ctr"/>
        <c:lblOffset val="100"/>
        <c:tickLblSkip val="1"/>
        <c:tickMarkSkip val="1"/>
        <c:noMultiLvlLbl val="0"/>
      </c:catAx>
      <c:valAx>
        <c:axId val="11484262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114841088"/>
        <c:crosses val="autoZero"/>
        <c:crossBetween val="between"/>
        <c:majorUnit val="0.2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strRef>
              <c:f>kursovoy!$A$1047</c:f>
              <c:strCache>
                <c:ptCount val="1"/>
                <c:pt idx="0">
                  <c:v>Допустимая нагрузка на лаву по возможностя проветривания, т/сутки </c:v>
                </c:pt>
              </c:strCache>
            </c:strRef>
          </c:tx>
          <c:marker>
            <c:symbol val="none"/>
          </c:marker>
          <c:xVal>
            <c:numRef>
              <c:f>kursovoy!$B$1046:$F$1046</c:f>
              <c:numCache>
                <c:formatCode>General</c:formatCode>
                <c:ptCount val="5"/>
                <c:pt idx="0">
                  <c:v>100</c:v>
                </c:pt>
                <c:pt idx="1">
                  <c:v>150</c:v>
                </c:pt>
                <c:pt idx="2">
                  <c:v>200</c:v>
                </c:pt>
                <c:pt idx="3">
                  <c:v>250</c:v>
                </c:pt>
                <c:pt idx="4">
                  <c:v>300</c:v>
                </c:pt>
              </c:numCache>
            </c:numRef>
          </c:xVal>
          <c:yVal>
            <c:numRef>
              <c:f>kursovoy!$B$1047:$F$1047</c:f>
              <c:numCache>
                <c:formatCode>0</c:formatCode>
                <c:ptCount val="5"/>
                <c:pt idx="0">
                  <c:v>0</c:v>
                </c:pt>
                <c:pt idx="1">
                  <c:v>0</c:v>
                </c:pt>
                <c:pt idx="2">
                  <c:v>0</c:v>
                </c:pt>
                <c:pt idx="3">
                  <c:v>0</c:v>
                </c:pt>
                <c:pt idx="4">
                  <c:v>0</c:v>
                </c:pt>
              </c:numCache>
            </c:numRef>
          </c:yVal>
          <c:smooth val="1"/>
        </c:ser>
        <c:ser>
          <c:idx val="1"/>
          <c:order val="1"/>
          <c:tx>
            <c:strRef>
              <c:f>kursovoy!$A$1048</c:f>
              <c:strCache>
                <c:ptCount val="1"/>
                <c:pt idx="0">
                  <c:v>Допустимая нагрузка на лаву по технической возможности оборудования, т/сутки </c:v>
                </c:pt>
              </c:strCache>
            </c:strRef>
          </c:tx>
          <c:marker>
            <c:symbol val="none"/>
          </c:marker>
          <c:xVal>
            <c:numRef>
              <c:f>kursovoy!$B$1046:$F$1046</c:f>
              <c:numCache>
                <c:formatCode>General</c:formatCode>
                <c:ptCount val="5"/>
                <c:pt idx="0">
                  <c:v>100</c:v>
                </c:pt>
                <c:pt idx="1">
                  <c:v>150</c:v>
                </c:pt>
                <c:pt idx="2">
                  <c:v>200</c:v>
                </c:pt>
                <c:pt idx="3">
                  <c:v>250</c:v>
                </c:pt>
                <c:pt idx="4">
                  <c:v>300</c:v>
                </c:pt>
              </c:numCache>
            </c:numRef>
          </c:xVal>
          <c:yVal>
            <c:numRef>
              <c:f>kursovoy!$B$1048:$F$1048</c:f>
              <c:numCache>
                <c:formatCode>0</c:formatCode>
                <c:ptCount val="5"/>
                <c:pt idx="0">
                  <c:v>0</c:v>
                </c:pt>
                <c:pt idx="1">
                  <c:v>0</c:v>
                </c:pt>
                <c:pt idx="2">
                  <c:v>0</c:v>
                </c:pt>
                <c:pt idx="3">
                  <c:v>0</c:v>
                </c:pt>
                <c:pt idx="4">
                  <c:v>0</c:v>
                </c:pt>
              </c:numCache>
            </c:numRef>
          </c:yVal>
          <c:smooth val="1"/>
        </c:ser>
        <c:dLbls>
          <c:showLegendKey val="0"/>
          <c:showVal val="0"/>
          <c:showCatName val="0"/>
          <c:showSerName val="0"/>
          <c:showPercent val="0"/>
          <c:showBubbleSize val="0"/>
        </c:dLbls>
        <c:axId val="45278720"/>
        <c:axId val="45280256"/>
      </c:scatterChart>
      <c:valAx>
        <c:axId val="45278720"/>
        <c:scaling>
          <c:orientation val="minMax"/>
        </c:scaling>
        <c:delete val="0"/>
        <c:axPos val="b"/>
        <c:numFmt formatCode="General" sourceLinked="1"/>
        <c:majorTickMark val="out"/>
        <c:minorTickMark val="none"/>
        <c:tickLblPos val="nextTo"/>
        <c:crossAx val="45280256"/>
        <c:crosses val="autoZero"/>
        <c:crossBetween val="midCat"/>
      </c:valAx>
      <c:valAx>
        <c:axId val="45280256"/>
        <c:scaling>
          <c:orientation val="minMax"/>
        </c:scaling>
        <c:delete val="0"/>
        <c:axPos val="l"/>
        <c:majorGridlines/>
        <c:numFmt formatCode="0" sourceLinked="1"/>
        <c:majorTickMark val="out"/>
        <c:minorTickMark val="none"/>
        <c:tickLblPos val="nextTo"/>
        <c:crossAx val="4527872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5501730103806226"/>
          <c:y val="4.6154077294056961E-2"/>
        </c:manualLayout>
      </c:layout>
      <c:overlay val="0"/>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title>
    <c:autoTitleDeleted val="0"/>
    <c:plotArea>
      <c:layout>
        <c:manualLayout>
          <c:layoutTarget val="inner"/>
          <c:xMode val="edge"/>
          <c:yMode val="edge"/>
          <c:x val="8.3044982698961933E-2"/>
          <c:y val="0.28718092538524331"/>
          <c:w val="0.86505190311418689"/>
          <c:h val="0.4820536961823727"/>
        </c:manualLayout>
      </c:layout>
      <c:scatterChart>
        <c:scatterStyle val="smoothMarker"/>
        <c:varyColors val="0"/>
        <c:ser>
          <c:idx val="0"/>
          <c:order val="0"/>
          <c:tx>
            <c:strRef>
              <c:f>Оптимизация!$B$145</c:f>
              <c:strCache>
                <c:ptCount val="1"/>
                <c:pt idx="0">
                  <c:v>Затраты</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xVal>
            <c:numRef>
              <c:f>Оптимизация!$A$146:$A$152</c:f>
              <c:numCache>
                <c:formatCode>General</c:formatCode>
                <c:ptCount val="7"/>
                <c:pt idx="0">
                  <c:v>300</c:v>
                </c:pt>
                <c:pt idx="1">
                  <c:v>400</c:v>
                </c:pt>
                <c:pt idx="2">
                  <c:v>600</c:v>
                </c:pt>
                <c:pt idx="3">
                  <c:v>800</c:v>
                </c:pt>
                <c:pt idx="4">
                  <c:v>1000</c:v>
                </c:pt>
                <c:pt idx="5">
                  <c:v>1200</c:v>
                </c:pt>
                <c:pt idx="6">
                  <c:v>1400</c:v>
                </c:pt>
              </c:numCache>
            </c:numRef>
          </c:xVal>
          <c:yVal>
            <c:numRef>
              <c:f>Оптимизация!$B$146:$B$152</c:f>
              <c:numCache>
                <c:formatCode>General</c:formatCode>
                <c:ptCount val="7"/>
                <c:pt idx="0">
                  <c:v>0</c:v>
                </c:pt>
              </c:numCache>
            </c:numRef>
          </c:yVal>
          <c:smooth val="1"/>
        </c:ser>
        <c:dLbls>
          <c:showLegendKey val="0"/>
          <c:showVal val="0"/>
          <c:showCatName val="0"/>
          <c:showSerName val="0"/>
          <c:showPercent val="0"/>
          <c:showBubbleSize val="0"/>
        </c:dLbls>
        <c:axId val="115189632"/>
        <c:axId val="115208192"/>
      </c:scatterChart>
      <c:valAx>
        <c:axId val="1151896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115208192"/>
        <c:crosses val="autoZero"/>
        <c:crossBetween val="midCat"/>
      </c:valAx>
      <c:valAx>
        <c:axId val="115208192"/>
        <c:scaling>
          <c:orientation val="minMax"/>
          <c:min val="50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115189632"/>
        <c:crosses val="autoZero"/>
        <c:crossBetween val="midCat"/>
        <c:majorUnit val="10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smoothMarker"/>
        <c:varyColors val="0"/>
        <c:ser>
          <c:idx val="0"/>
          <c:order val="0"/>
          <c:tx>
            <c:strRef>
              <c:f>Оптимизация!$B$112</c:f>
              <c:strCache>
                <c:ptCount val="1"/>
                <c:pt idx="0">
                  <c:v>Затраты</c:v>
                </c:pt>
              </c:strCache>
            </c:strRef>
          </c:tx>
          <c:marker>
            <c:symbol val="none"/>
          </c:marker>
          <c:xVal>
            <c:numRef>
              <c:f>Оптимизация!$A$113:$A$118</c:f>
              <c:numCache>
                <c:formatCode>General</c:formatCode>
                <c:ptCount val="6"/>
                <c:pt idx="0">
                  <c:v>300</c:v>
                </c:pt>
                <c:pt idx="1">
                  <c:v>400</c:v>
                </c:pt>
                <c:pt idx="2">
                  <c:v>600</c:v>
                </c:pt>
                <c:pt idx="3">
                  <c:v>800</c:v>
                </c:pt>
                <c:pt idx="4">
                  <c:v>1000</c:v>
                </c:pt>
                <c:pt idx="5">
                  <c:v>1200</c:v>
                </c:pt>
              </c:numCache>
            </c:numRef>
          </c:xVal>
          <c:yVal>
            <c:numRef>
              <c:f>Оптимизация!$B$113:$B$118</c:f>
              <c:numCache>
                <c:formatCode>General</c:formatCode>
                <c:ptCount val="6"/>
                <c:pt idx="0">
                  <c:v>0</c:v>
                </c:pt>
              </c:numCache>
            </c:numRef>
          </c:yVal>
          <c:smooth val="1"/>
        </c:ser>
        <c:dLbls>
          <c:showLegendKey val="0"/>
          <c:showVal val="0"/>
          <c:showCatName val="0"/>
          <c:showSerName val="0"/>
          <c:showPercent val="0"/>
          <c:showBubbleSize val="0"/>
        </c:dLbls>
        <c:axId val="41667968"/>
        <c:axId val="41833600"/>
      </c:scatterChart>
      <c:valAx>
        <c:axId val="41667968"/>
        <c:scaling>
          <c:orientation val="minMax"/>
        </c:scaling>
        <c:delete val="0"/>
        <c:axPos val="b"/>
        <c:numFmt formatCode="General" sourceLinked="1"/>
        <c:majorTickMark val="out"/>
        <c:minorTickMark val="none"/>
        <c:tickLblPos val="nextTo"/>
        <c:crossAx val="41833600"/>
        <c:crosses val="autoZero"/>
        <c:crossBetween val="midCat"/>
      </c:valAx>
      <c:valAx>
        <c:axId val="41833600"/>
        <c:scaling>
          <c:orientation val="minMax"/>
          <c:min val="1500"/>
        </c:scaling>
        <c:delete val="0"/>
        <c:axPos val="l"/>
        <c:majorGridlines/>
        <c:numFmt formatCode="General" sourceLinked="1"/>
        <c:majorTickMark val="out"/>
        <c:minorTickMark val="none"/>
        <c:tickLblPos val="nextTo"/>
        <c:crossAx val="4166796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649694501018328E-2"/>
          <c:y val="7.8788111943986577E-2"/>
          <c:w val="0.55397148676171082"/>
          <c:h val="0.78485080744202018"/>
        </c:manualLayout>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og"/>
            <c:dispRSqr val="0"/>
            <c:dispEq val="1"/>
            <c:trendlineLbl>
              <c:numFmt formatCode="General" sourceLinked="0"/>
              <c:spPr>
                <a:noFill/>
                <a:ln w="25400">
                  <a:noFill/>
                </a:ln>
              </c:spPr>
              <c:txPr>
                <a:bodyPr/>
                <a:lstStyle/>
                <a:p>
                  <a:pPr algn="l">
                    <a:defRPr sz="1000" b="0" i="0" u="none" strike="noStrike" baseline="0">
                      <a:solidFill>
                        <a:srgbClr val="000000"/>
                      </a:solidFill>
                      <a:latin typeface="Arial Cyr"/>
                      <a:ea typeface="Arial Cyr"/>
                      <a:cs typeface="Arial Cyr"/>
                    </a:defRPr>
                  </a:pPr>
                  <a:endParaRPr lang="ru-RU"/>
                </a:p>
              </c:txPr>
            </c:trendlineLbl>
          </c:trendline>
          <c:xVal>
            <c:strLit>
              <c:ptCount val="36"/>
              <c:pt idx="0">
                <c:v>0,5</c:v>
              </c:pt>
              <c:pt idx="1">
                <c:v>0,65</c:v>
              </c:pt>
              <c:pt idx="2">
                <c:v>0,5</c:v>
              </c:pt>
              <c:pt idx="3">
                <c:v>0,74</c:v>
              </c:pt>
              <c:pt idx="4">
                <c:v>0,56</c:v>
              </c:pt>
              <c:pt idx="5">
                <c:v>0,8</c:v>
              </c:pt>
              <c:pt idx="6">
                <c:v>0,56</c:v>
              </c:pt>
              <c:pt idx="7">
                <c:v>0,84</c:v>
              </c:pt>
              <c:pt idx="8">
                <c:v>0,63</c:v>
              </c:pt>
              <c:pt idx="9">
                <c:v>0,9</c:v>
              </c:pt>
              <c:pt idx="10">
                <c:v>0,63</c:v>
              </c:pt>
              <c:pt idx="11">
                <c:v>0,97</c:v>
              </c:pt>
              <c:pt idx="12">
                <c:v>0,71</c:v>
              </c:pt>
              <c:pt idx="13">
                <c:v>1</c:v>
              </c:pt>
              <c:pt idx="14">
                <c:v>0,8</c:v>
              </c:pt>
              <c:pt idx="15">
                <c:v>1,12</c:v>
              </c:pt>
              <c:pt idx="16">
                <c:v>0,8</c:v>
              </c:pt>
              <c:pt idx="17">
                <c:v>1,2</c:v>
              </c:pt>
              <c:pt idx="18">
                <c:v>0,9</c:v>
              </c:pt>
              <c:pt idx="19">
                <c:v>1,25</c:v>
              </c:pt>
              <c:pt idx="20">
                <c:v>1</c:v>
              </c:pt>
              <c:pt idx="21">
                <c:v>1,4</c:v>
              </c:pt>
              <c:pt idx="22">
                <c:v>1</c:v>
              </c:pt>
              <c:pt idx="23">
                <c:v>1,65</c:v>
              </c:pt>
              <c:pt idx="24">
                <c:v>1,12</c:v>
              </c:pt>
              <c:pt idx="25">
                <c:v>1,6</c:v>
              </c:pt>
            </c:strLit>
          </c:xVal>
          <c:yVal>
            <c:numLit>
              <c:formatCode>General</c:formatCode>
              <c:ptCount val="36"/>
              <c:pt idx="0">
                <c:v>18</c:v>
              </c:pt>
              <c:pt idx="1">
                <c:v>18</c:v>
              </c:pt>
              <c:pt idx="2">
                <c:v>19</c:v>
              </c:pt>
              <c:pt idx="3">
                <c:v>19</c:v>
              </c:pt>
              <c:pt idx="4">
                <c:v>20</c:v>
              </c:pt>
              <c:pt idx="5">
                <c:v>20</c:v>
              </c:pt>
              <c:pt idx="6">
                <c:v>21</c:v>
              </c:pt>
              <c:pt idx="7">
                <c:v>21</c:v>
              </c:pt>
              <c:pt idx="8">
                <c:v>22</c:v>
              </c:pt>
              <c:pt idx="9">
                <c:v>22</c:v>
              </c:pt>
              <c:pt idx="10">
                <c:v>23</c:v>
              </c:pt>
              <c:pt idx="11">
                <c:v>23</c:v>
              </c:pt>
              <c:pt idx="12">
                <c:v>24</c:v>
              </c:pt>
              <c:pt idx="13">
                <c:v>24</c:v>
              </c:pt>
              <c:pt idx="14">
                <c:v>27</c:v>
              </c:pt>
              <c:pt idx="15">
                <c:v>27</c:v>
              </c:pt>
              <c:pt idx="16">
                <c:v>28</c:v>
              </c:pt>
              <c:pt idx="17">
                <c:v>28</c:v>
              </c:pt>
              <c:pt idx="18">
                <c:v>30</c:v>
              </c:pt>
              <c:pt idx="19">
                <c:v>30</c:v>
              </c:pt>
              <c:pt idx="20">
                <c:v>32</c:v>
              </c:pt>
              <c:pt idx="21">
                <c:v>32</c:v>
              </c:pt>
              <c:pt idx="22">
                <c:v>32</c:v>
              </c:pt>
              <c:pt idx="23">
                <c:v>32</c:v>
              </c:pt>
              <c:pt idx="24">
                <c:v>36</c:v>
              </c:pt>
              <c:pt idx="25">
                <c:v>36</c:v>
              </c:pt>
              <c:pt idx="26">
                <c:v>0</c:v>
              </c:pt>
              <c:pt idx="27">
                <c:v>0</c:v>
              </c:pt>
              <c:pt idx="28">
                <c:v>0</c:v>
              </c:pt>
              <c:pt idx="29">
                <c:v>0</c:v>
              </c:pt>
              <c:pt idx="30">
                <c:v>0</c:v>
              </c:pt>
              <c:pt idx="31">
                <c:v>0</c:v>
              </c:pt>
              <c:pt idx="32">
                <c:v>0</c:v>
              </c:pt>
              <c:pt idx="33">
                <c:v>0</c:v>
              </c:pt>
              <c:pt idx="34">
                <c:v>0</c:v>
              </c:pt>
              <c:pt idx="35">
                <c:v>0</c:v>
              </c:pt>
            </c:numLit>
          </c:yVal>
          <c:smooth val="0"/>
        </c:ser>
        <c:dLbls>
          <c:showLegendKey val="0"/>
          <c:showVal val="0"/>
          <c:showCatName val="0"/>
          <c:showSerName val="0"/>
          <c:showPercent val="0"/>
          <c:showBubbleSize val="0"/>
        </c:dLbls>
        <c:axId val="86412288"/>
        <c:axId val="86414080"/>
      </c:scatterChart>
      <c:valAx>
        <c:axId val="8641228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86414080"/>
        <c:crosses val="autoZero"/>
        <c:crossBetween val="midCat"/>
      </c:valAx>
      <c:valAx>
        <c:axId val="8641408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86412288"/>
        <c:crosses val="autoZero"/>
        <c:crossBetween val="midCat"/>
      </c:valAx>
      <c:spPr>
        <a:solidFill>
          <a:srgbClr val="C0C0C0"/>
        </a:solidFill>
        <a:ln w="12700">
          <a:solidFill>
            <a:srgbClr val="808080"/>
          </a:solidFill>
          <a:prstDash val="solid"/>
        </a:ln>
      </c:spPr>
    </c:plotArea>
    <c:legend>
      <c:legendPos val="r"/>
      <c:layout>
        <c:manualLayout>
          <c:xMode val="edge"/>
          <c:yMode val="edge"/>
          <c:x val="0.69042769857433806"/>
          <c:y val="0.35757671200190888"/>
          <c:w val="0.29327902240325865"/>
          <c:h val="0.2272733635568281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Cyr"/>
          <a:ea typeface="Arial Cyr"/>
          <a:cs typeface="Arial Cyr"/>
        </a:defRPr>
      </a:pPr>
      <a:endParaRPr lang="ru-RU"/>
    </a:p>
  </c:txPr>
  <c:printSettings>
    <c:headerFooter alignWithMargins="0"/>
    <c:pageMargins b="1" l="0.75" r="0.75" t="1" header="0.51180555555555551" footer="0.51180555555555551"/>
    <c:pageSetup firstPageNumber="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v>обор!#REF!</c:v>
          </c:tx>
          <c:spPr>
            <a:ln w="12700">
              <a:solidFill>
                <a:srgbClr val="000080"/>
              </a:solidFill>
              <a:prstDash val="solid"/>
            </a:ln>
          </c:spPr>
          <c:marker>
            <c:symbol val="none"/>
          </c:marker>
          <c:xVal>
            <c:numRef>
              <c:f>обор!#REF!</c:f>
              <c:numCache>
                <c:formatCode>General</c:formatCode>
                <c:ptCount val="1"/>
                <c:pt idx="0">
                  <c:v>1</c:v>
                </c:pt>
              </c:numCache>
            </c:numRef>
          </c:xVal>
          <c:yVal>
            <c:numRef>
              <c:f>обор!#REF!</c:f>
              <c:numCache>
                <c:formatCode>General</c:formatCode>
                <c:ptCount val="1"/>
                <c:pt idx="0">
                  <c:v>1</c:v>
                </c:pt>
              </c:numCache>
            </c:numRef>
          </c:yVal>
          <c:smooth val="1"/>
        </c:ser>
        <c:dLbls>
          <c:showLegendKey val="0"/>
          <c:showVal val="0"/>
          <c:showCatName val="0"/>
          <c:showSerName val="0"/>
          <c:showPercent val="0"/>
          <c:showBubbleSize val="0"/>
        </c:dLbls>
        <c:axId val="45411712"/>
        <c:axId val="45520384"/>
      </c:scatterChart>
      <c:valAx>
        <c:axId val="45411712"/>
        <c:scaling>
          <c:orientation val="minMax"/>
        </c:scaling>
        <c:delete val="0"/>
        <c:axPos val="b"/>
        <c:title>
          <c:tx>
            <c:rich>
              <a:bodyPr/>
              <a:lstStyle/>
              <a:p>
                <a:pPr>
                  <a:defRPr sz="300" b="1" i="0" u="none" strike="noStrike" baseline="0">
                    <a:solidFill>
                      <a:srgbClr val="000000"/>
                    </a:solidFill>
                    <a:latin typeface="Arial Cyr"/>
                    <a:ea typeface="Arial Cyr"/>
                    <a:cs typeface="Arial Cyr"/>
                  </a:defRPr>
                </a:pPr>
                <a:r>
                  <a:rPr lang="ru-RU"/>
                  <a:t>Нагрузка на лаву, т/сутки</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350" b="0" i="0" u="none" strike="noStrike" baseline="0">
                <a:solidFill>
                  <a:srgbClr val="000000"/>
                </a:solidFill>
                <a:latin typeface="Arial Cyr"/>
                <a:ea typeface="Arial Cyr"/>
                <a:cs typeface="Arial Cyr"/>
              </a:defRPr>
            </a:pPr>
            <a:endParaRPr lang="ru-RU"/>
          </a:p>
        </c:txPr>
        <c:crossAx val="45520384"/>
        <c:crosses val="autoZero"/>
        <c:crossBetween val="midCat"/>
      </c:valAx>
      <c:valAx>
        <c:axId val="45520384"/>
        <c:scaling>
          <c:orientation val="minMax"/>
        </c:scaling>
        <c:delete val="0"/>
        <c:axPos val="l"/>
        <c:majorGridlines>
          <c:spPr>
            <a:ln w="3175">
              <a:solidFill>
                <a:srgbClr val="000000"/>
              </a:solidFill>
              <a:prstDash val="solid"/>
            </a:ln>
          </c:spPr>
        </c:majorGridlines>
        <c:title>
          <c:tx>
            <c:rich>
              <a:bodyPr/>
              <a:lstStyle/>
              <a:p>
                <a:pPr>
                  <a:defRPr sz="300" b="0" i="0" u="none" strike="noStrike" baseline="0">
                    <a:solidFill>
                      <a:srgbClr val="000000"/>
                    </a:solidFill>
                    <a:latin typeface="Arial Cyr"/>
                    <a:ea typeface="Arial Cyr"/>
                    <a:cs typeface="Arial Cyr"/>
                  </a:defRPr>
                </a:pPr>
                <a:r>
                  <a:rPr lang="ru-RU"/>
                  <a:t>Скорость воздуха, м/с</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350" b="0" i="0" u="none" strike="noStrike" baseline="0">
                <a:solidFill>
                  <a:srgbClr val="000000"/>
                </a:solidFill>
                <a:latin typeface="Arial Cyr"/>
                <a:ea typeface="Arial Cyr"/>
                <a:cs typeface="Arial Cyr"/>
              </a:defRPr>
            </a:pPr>
            <a:endParaRPr lang="ru-RU"/>
          </a:p>
        </c:txPr>
        <c:crossAx val="45411712"/>
        <c:crosses val="autoZero"/>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5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250" b="0" i="0" u="none" strike="noStrike" baseline="0">
              <a:solidFill>
                <a:srgbClr val="000000"/>
              </a:solidFill>
              <a:latin typeface="Arial Cyr"/>
              <a:ea typeface="Arial Cyr"/>
              <a:cs typeface="Arial Cyr"/>
            </a:defRPr>
          </a:pPr>
          <a:endParaRPr lang="ru-RU"/>
        </a:p>
      </c:txPr>
    </c:title>
    <c:autoTitleDeleted val="0"/>
    <c:plotArea>
      <c:layout/>
      <c:scatterChart>
        <c:scatterStyle val="smoothMarker"/>
        <c:varyColors val="0"/>
        <c:ser>
          <c:idx val="0"/>
          <c:order val="0"/>
          <c:tx>
            <c:v>обор!#REF!</c:v>
          </c:tx>
          <c:spPr>
            <a:ln w="12700">
              <a:solidFill>
                <a:srgbClr val="000080"/>
              </a:solidFill>
              <a:prstDash val="solid"/>
            </a:ln>
          </c:spPr>
          <c:marker>
            <c:symbol val="none"/>
          </c:marker>
          <c:xVal>
            <c:numRef>
              <c:f>обор!#REF!</c:f>
              <c:numCache>
                <c:formatCode>General</c:formatCode>
                <c:ptCount val="1"/>
                <c:pt idx="0">
                  <c:v>1</c:v>
                </c:pt>
              </c:numCache>
            </c:numRef>
          </c:xVal>
          <c:yVal>
            <c:numRef>
              <c:f>обор!#REF!</c:f>
              <c:numCache>
                <c:formatCode>General</c:formatCode>
                <c:ptCount val="1"/>
                <c:pt idx="0">
                  <c:v>1</c:v>
                </c:pt>
              </c:numCache>
            </c:numRef>
          </c:yVal>
          <c:smooth val="1"/>
        </c:ser>
        <c:dLbls>
          <c:showLegendKey val="0"/>
          <c:showVal val="0"/>
          <c:showCatName val="0"/>
          <c:showSerName val="0"/>
          <c:showPercent val="0"/>
          <c:showBubbleSize val="0"/>
        </c:dLbls>
        <c:axId val="45536384"/>
        <c:axId val="45537920"/>
      </c:scatterChart>
      <c:valAx>
        <c:axId val="45536384"/>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Cyr"/>
                <a:ea typeface="Arial Cyr"/>
                <a:cs typeface="Arial Cyr"/>
              </a:defRPr>
            </a:pPr>
            <a:endParaRPr lang="ru-RU"/>
          </a:p>
        </c:txPr>
        <c:crossAx val="45537920"/>
        <c:crosses val="autoZero"/>
        <c:crossBetween val="midCat"/>
      </c:valAx>
      <c:valAx>
        <c:axId val="455379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Cyr"/>
                <a:ea typeface="Arial Cyr"/>
                <a:cs typeface="Arial Cyr"/>
              </a:defRPr>
            </a:pPr>
            <a:endParaRPr lang="ru-RU"/>
          </a:p>
        </c:txPr>
        <c:crossAx val="45536384"/>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png"/><Relationship Id="rId39" Type="http://schemas.openxmlformats.org/officeDocument/2006/relationships/image" Target="../media/image34.png"/><Relationship Id="rId21" Type="http://schemas.openxmlformats.org/officeDocument/2006/relationships/image" Target="../media/image20.png"/><Relationship Id="rId34" Type="http://schemas.openxmlformats.org/officeDocument/2006/relationships/image" Target="../media/image31.png"/><Relationship Id="rId42" Type="http://schemas.openxmlformats.org/officeDocument/2006/relationships/image" Target="../media/image37.png"/><Relationship Id="rId47" Type="http://schemas.openxmlformats.org/officeDocument/2006/relationships/image" Target="../media/image42.png"/><Relationship Id="rId50" Type="http://schemas.openxmlformats.org/officeDocument/2006/relationships/image" Target="../media/image45.png"/><Relationship Id="rId55" Type="http://schemas.openxmlformats.org/officeDocument/2006/relationships/image" Target="../media/image50.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image" Target="../media/image24.png"/><Relationship Id="rId33" Type="http://schemas.openxmlformats.org/officeDocument/2006/relationships/image" Target="../media/image30.png"/><Relationship Id="rId38" Type="http://schemas.openxmlformats.org/officeDocument/2006/relationships/chart" Target="../charts/chart7.xml"/><Relationship Id="rId46" Type="http://schemas.openxmlformats.org/officeDocument/2006/relationships/image" Target="../media/image41.png"/><Relationship Id="rId2" Type="http://schemas.openxmlformats.org/officeDocument/2006/relationships/chart" Target="../charts/chart2.xml"/><Relationship Id="rId16" Type="http://schemas.openxmlformats.org/officeDocument/2006/relationships/image" Target="../media/image15.png"/><Relationship Id="rId20" Type="http://schemas.openxmlformats.org/officeDocument/2006/relationships/image" Target="../media/image19.png"/><Relationship Id="rId29" Type="http://schemas.openxmlformats.org/officeDocument/2006/relationships/image" Target="../media/image26.png"/><Relationship Id="rId41" Type="http://schemas.openxmlformats.org/officeDocument/2006/relationships/image" Target="../media/image36.png"/><Relationship Id="rId54" Type="http://schemas.openxmlformats.org/officeDocument/2006/relationships/image" Target="../media/image49.png"/><Relationship Id="rId1" Type="http://schemas.openxmlformats.org/officeDocument/2006/relationships/chart" Target="../charts/chart1.xml"/><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32" Type="http://schemas.openxmlformats.org/officeDocument/2006/relationships/image" Target="../media/image29.png"/><Relationship Id="rId37" Type="http://schemas.openxmlformats.org/officeDocument/2006/relationships/chart" Target="../charts/chart6.xml"/><Relationship Id="rId40" Type="http://schemas.openxmlformats.org/officeDocument/2006/relationships/image" Target="../media/image35.png"/><Relationship Id="rId45" Type="http://schemas.openxmlformats.org/officeDocument/2006/relationships/image" Target="../media/image40.png"/><Relationship Id="rId53" Type="http://schemas.openxmlformats.org/officeDocument/2006/relationships/image" Target="../media/image48.png"/><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chart" Target="../charts/chart5.xml"/><Relationship Id="rId36" Type="http://schemas.openxmlformats.org/officeDocument/2006/relationships/image" Target="../media/image33.png"/><Relationship Id="rId49" Type="http://schemas.openxmlformats.org/officeDocument/2006/relationships/image" Target="../media/image44.png"/><Relationship Id="rId57" Type="http://schemas.openxmlformats.org/officeDocument/2006/relationships/image" Target="../media/image52.png"/><Relationship Id="rId10" Type="http://schemas.openxmlformats.org/officeDocument/2006/relationships/image" Target="../media/image9.png"/><Relationship Id="rId19" Type="http://schemas.openxmlformats.org/officeDocument/2006/relationships/image" Target="../media/image18.png"/><Relationship Id="rId31" Type="http://schemas.openxmlformats.org/officeDocument/2006/relationships/image" Target="../media/image28.png"/><Relationship Id="rId44" Type="http://schemas.openxmlformats.org/officeDocument/2006/relationships/image" Target="../media/image39.png"/><Relationship Id="rId52" Type="http://schemas.openxmlformats.org/officeDocument/2006/relationships/image" Target="../media/image47.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chart" Target="../charts/chart4.xml"/><Relationship Id="rId30" Type="http://schemas.openxmlformats.org/officeDocument/2006/relationships/image" Target="../media/image27.png"/><Relationship Id="rId35" Type="http://schemas.openxmlformats.org/officeDocument/2006/relationships/image" Target="../media/image32.png"/><Relationship Id="rId43" Type="http://schemas.openxmlformats.org/officeDocument/2006/relationships/image" Target="../media/image38.png"/><Relationship Id="rId48" Type="http://schemas.openxmlformats.org/officeDocument/2006/relationships/image" Target="../media/image43.png"/><Relationship Id="rId56" Type="http://schemas.openxmlformats.org/officeDocument/2006/relationships/image" Target="../media/image51.png"/><Relationship Id="rId8" Type="http://schemas.openxmlformats.org/officeDocument/2006/relationships/image" Target="../media/image7.png"/><Relationship Id="rId51" Type="http://schemas.openxmlformats.org/officeDocument/2006/relationships/image" Target="../media/image46.png"/><Relationship Id="rId3" Type="http://schemas.openxmlformats.org/officeDocument/2006/relationships/chart" Target="../charts/chart3.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chart" Target="../charts/chart10.xml"/><Relationship Id="rId7" Type="http://schemas.openxmlformats.org/officeDocument/2006/relationships/chart" Target="../charts/chart14.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11" Type="http://schemas.openxmlformats.org/officeDocument/2006/relationships/image" Target="../media/image53.png"/><Relationship Id="rId5" Type="http://schemas.openxmlformats.org/officeDocument/2006/relationships/chart" Target="../charts/chart12.xml"/><Relationship Id="rId10" Type="http://schemas.openxmlformats.org/officeDocument/2006/relationships/chart" Target="../charts/chart17.xml"/><Relationship Id="rId4" Type="http://schemas.openxmlformats.org/officeDocument/2006/relationships/chart" Target="../charts/chart11.xml"/><Relationship Id="rId9" Type="http://schemas.openxmlformats.org/officeDocument/2006/relationships/chart" Target="../charts/chart16.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5.xml"/><Relationship Id="rId13" Type="http://schemas.openxmlformats.org/officeDocument/2006/relationships/chart" Target="../charts/chart30.xml"/><Relationship Id="rId3" Type="http://schemas.openxmlformats.org/officeDocument/2006/relationships/chart" Target="../charts/chart20.xml"/><Relationship Id="rId7" Type="http://schemas.openxmlformats.org/officeDocument/2006/relationships/chart" Target="../charts/chart24.xml"/><Relationship Id="rId12" Type="http://schemas.openxmlformats.org/officeDocument/2006/relationships/chart" Target="../charts/chart29.xml"/><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chart" Target="../charts/chart23.xml"/><Relationship Id="rId11" Type="http://schemas.openxmlformats.org/officeDocument/2006/relationships/chart" Target="../charts/chart28.xml"/><Relationship Id="rId5" Type="http://schemas.openxmlformats.org/officeDocument/2006/relationships/chart" Target="../charts/chart22.xml"/><Relationship Id="rId10" Type="http://schemas.openxmlformats.org/officeDocument/2006/relationships/chart" Target="../charts/chart27.xml"/><Relationship Id="rId4" Type="http://schemas.openxmlformats.org/officeDocument/2006/relationships/chart" Target="../charts/chart21.xml"/><Relationship Id="rId9" Type="http://schemas.openxmlformats.org/officeDocument/2006/relationships/chart" Target="../charts/chart26.xml"/><Relationship Id="rId14" Type="http://schemas.openxmlformats.org/officeDocument/2006/relationships/chart" Target="../charts/chart31.xml"/></Relationships>
</file>

<file path=xl/drawings/_rels/drawing4.xml.rels><?xml version="1.0" encoding="UTF-8" standalone="yes"?>
<Relationships xmlns="http://schemas.openxmlformats.org/package/2006/relationships"><Relationship Id="rId8" Type="http://schemas.openxmlformats.org/officeDocument/2006/relationships/chart" Target="../charts/chart39.xml"/><Relationship Id="rId13" Type="http://schemas.openxmlformats.org/officeDocument/2006/relationships/chart" Target="../charts/chart44.xml"/><Relationship Id="rId3" Type="http://schemas.openxmlformats.org/officeDocument/2006/relationships/chart" Target="../charts/chart34.xml"/><Relationship Id="rId7" Type="http://schemas.openxmlformats.org/officeDocument/2006/relationships/chart" Target="../charts/chart38.xml"/><Relationship Id="rId12" Type="http://schemas.openxmlformats.org/officeDocument/2006/relationships/chart" Target="../charts/chart43.xml"/><Relationship Id="rId2" Type="http://schemas.openxmlformats.org/officeDocument/2006/relationships/chart" Target="../charts/chart33.xml"/><Relationship Id="rId1" Type="http://schemas.openxmlformats.org/officeDocument/2006/relationships/chart" Target="../charts/chart32.xml"/><Relationship Id="rId6" Type="http://schemas.openxmlformats.org/officeDocument/2006/relationships/chart" Target="../charts/chart37.xml"/><Relationship Id="rId11" Type="http://schemas.openxmlformats.org/officeDocument/2006/relationships/chart" Target="../charts/chart42.xml"/><Relationship Id="rId5" Type="http://schemas.openxmlformats.org/officeDocument/2006/relationships/chart" Target="../charts/chart36.xml"/><Relationship Id="rId15" Type="http://schemas.openxmlformats.org/officeDocument/2006/relationships/chart" Target="../charts/chart46.xml"/><Relationship Id="rId10" Type="http://schemas.openxmlformats.org/officeDocument/2006/relationships/chart" Target="../charts/chart41.xml"/><Relationship Id="rId4" Type="http://schemas.openxmlformats.org/officeDocument/2006/relationships/chart" Target="../charts/chart35.xml"/><Relationship Id="rId9" Type="http://schemas.openxmlformats.org/officeDocument/2006/relationships/chart" Target="../charts/chart40.xml"/><Relationship Id="rId14" Type="http://schemas.openxmlformats.org/officeDocument/2006/relationships/chart" Target="../charts/chart45.xml"/></Relationships>
</file>

<file path=xl/drawings/_rels/drawing5.xml.rels><?xml version="1.0" encoding="UTF-8" standalone="yes"?>
<Relationships xmlns="http://schemas.openxmlformats.org/package/2006/relationships"><Relationship Id="rId8" Type="http://schemas.openxmlformats.org/officeDocument/2006/relationships/chart" Target="../charts/chart54.xml"/><Relationship Id="rId13" Type="http://schemas.openxmlformats.org/officeDocument/2006/relationships/chart" Target="../charts/chart59.xml"/><Relationship Id="rId18" Type="http://schemas.openxmlformats.org/officeDocument/2006/relationships/chart" Target="../charts/chart64.xml"/><Relationship Id="rId3" Type="http://schemas.openxmlformats.org/officeDocument/2006/relationships/chart" Target="../charts/chart49.xml"/><Relationship Id="rId7" Type="http://schemas.openxmlformats.org/officeDocument/2006/relationships/chart" Target="../charts/chart53.xml"/><Relationship Id="rId12" Type="http://schemas.openxmlformats.org/officeDocument/2006/relationships/chart" Target="../charts/chart58.xml"/><Relationship Id="rId17" Type="http://schemas.openxmlformats.org/officeDocument/2006/relationships/chart" Target="../charts/chart63.xml"/><Relationship Id="rId2" Type="http://schemas.openxmlformats.org/officeDocument/2006/relationships/chart" Target="../charts/chart48.xml"/><Relationship Id="rId16" Type="http://schemas.openxmlformats.org/officeDocument/2006/relationships/chart" Target="../charts/chart62.xml"/><Relationship Id="rId20" Type="http://schemas.openxmlformats.org/officeDocument/2006/relationships/chart" Target="../charts/chart66.xml"/><Relationship Id="rId1" Type="http://schemas.openxmlformats.org/officeDocument/2006/relationships/chart" Target="../charts/chart47.xml"/><Relationship Id="rId6" Type="http://schemas.openxmlformats.org/officeDocument/2006/relationships/chart" Target="../charts/chart52.xml"/><Relationship Id="rId11" Type="http://schemas.openxmlformats.org/officeDocument/2006/relationships/chart" Target="../charts/chart57.xml"/><Relationship Id="rId5" Type="http://schemas.openxmlformats.org/officeDocument/2006/relationships/chart" Target="../charts/chart51.xml"/><Relationship Id="rId15" Type="http://schemas.openxmlformats.org/officeDocument/2006/relationships/chart" Target="../charts/chart61.xml"/><Relationship Id="rId10" Type="http://schemas.openxmlformats.org/officeDocument/2006/relationships/chart" Target="../charts/chart56.xml"/><Relationship Id="rId19" Type="http://schemas.openxmlformats.org/officeDocument/2006/relationships/chart" Target="../charts/chart65.xml"/><Relationship Id="rId4" Type="http://schemas.openxmlformats.org/officeDocument/2006/relationships/chart" Target="../charts/chart50.xml"/><Relationship Id="rId9" Type="http://schemas.openxmlformats.org/officeDocument/2006/relationships/chart" Target="../charts/chart55.xml"/><Relationship Id="rId14" Type="http://schemas.openxmlformats.org/officeDocument/2006/relationships/chart" Target="../charts/chart6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s>
</file>

<file path=xl/drawings/_rels/drawing8.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chart" Target="../charts/chart71.xml"/><Relationship Id="rId7" Type="http://schemas.openxmlformats.org/officeDocument/2006/relationships/image" Target="../media/image18.png"/><Relationship Id="rId12" Type="http://schemas.openxmlformats.org/officeDocument/2006/relationships/image" Target="../media/image23.png"/><Relationship Id="rId2" Type="http://schemas.openxmlformats.org/officeDocument/2006/relationships/chart" Target="../charts/chart70.xml"/><Relationship Id="rId1" Type="http://schemas.openxmlformats.org/officeDocument/2006/relationships/image" Target="../media/image54.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s>
</file>

<file path=xl/drawings/_rels/drawing9.xml.rels><?xml version="1.0" encoding="UTF-8" standalone="yes"?>
<Relationships xmlns="http://schemas.openxmlformats.org/package/2006/relationships"><Relationship Id="rId1" Type="http://schemas.openxmlformats.org/officeDocument/2006/relationships/chart" Target="../charts/chart72.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1669</xdr:row>
      <xdr:rowOff>0</xdr:rowOff>
    </xdr:from>
    <xdr:to>
      <xdr:col>4</xdr:col>
      <xdr:colOff>152400</xdr:colOff>
      <xdr:row>1669</xdr:row>
      <xdr:rowOff>0</xdr:rowOff>
    </xdr:to>
    <xdr:graphicFrame macro="">
      <xdr:nvGraphicFramePr>
        <xdr:cNvPr id="28884" name="Диаграмма 2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400050</xdr:colOff>
      <xdr:row>324</xdr:row>
      <xdr:rowOff>95250</xdr:rowOff>
    </xdr:from>
    <xdr:to>
      <xdr:col>4</xdr:col>
      <xdr:colOff>485775</xdr:colOff>
      <xdr:row>335</xdr:row>
      <xdr:rowOff>152400</xdr:rowOff>
    </xdr:to>
    <xdr:graphicFrame macro="">
      <xdr:nvGraphicFramePr>
        <xdr:cNvPr id="28891" name="Диаграмма 2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247650</xdr:colOff>
      <xdr:row>993</xdr:row>
      <xdr:rowOff>47625</xdr:rowOff>
    </xdr:from>
    <xdr:to>
      <xdr:col>4</xdr:col>
      <xdr:colOff>333375</xdr:colOff>
      <xdr:row>1008</xdr:row>
      <xdr:rowOff>47625</xdr:rowOff>
    </xdr:to>
    <xdr:graphicFrame macro="">
      <xdr:nvGraphicFramePr>
        <xdr:cNvPr id="28912" name="Диаграмма 2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xdr:from>
          <xdr:col>0</xdr:col>
          <xdr:colOff>2533650</xdr:colOff>
          <xdr:row>274</xdr:row>
          <xdr:rowOff>180975</xdr:rowOff>
        </xdr:from>
        <xdr:to>
          <xdr:col>0</xdr:col>
          <xdr:colOff>4410075</xdr:colOff>
          <xdr:row>276</xdr:row>
          <xdr:rowOff>28575</xdr:rowOff>
        </xdr:to>
        <xdr:sp macro="" textlink="">
          <xdr:nvSpPr>
            <xdr:cNvPr id="29340" name="Object 668" hidden="1">
              <a:extLst>
                <a:ext uri="{63B3BB69-23CF-44E3-9099-C40C66FF867C}">
                  <a14:compatExt spid="_x0000_s29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2619375</xdr:colOff>
          <xdr:row>276</xdr:row>
          <xdr:rowOff>390525</xdr:rowOff>
        </xdr:from>
        <xdr:to>
          <xdr:col>0</xdr:col>
          <xdr:colOff>4181475</xdr:colOff>
          <xdr:row>278</xdr:row>
          <xdr:rowOff>9525</xdr:rowOff>
        </xdr:to>
        <xdr:sp macro="" textlink="">
          <xdr:nvSpPr>
            <xdr:cNvPr id="29342" name="Object 670" hidden="1">
              <a:extLst>
                <a:ext uri="{63B3BB69-23CF-44E3-9099-C40C66FF867C}">
                  <a14:compatExt spid="_x0000_s29342"/>
                </a:ext>
              </a:extLst>
            </xdr:cNvPr>
            <xdr:cNvSpPr/>
          </xdr:nvSpPr>
          <xdr:spPr>
            <a:xfrm>
              <a:off x="0" y="0"/>
              <a:ext cx="0" cy="0"/>
            </a:xfrm>
            <a:prstGeom prst="rect">
              <a:avLst/>
            </a:prstGeom>
          </xdr:spPr>
        </xdr:sp>
        <xdr:clientData/>
      </xdr:twoCellAnchor>
    </mc:Choice>
    <mc:Fallback/>
  </mc:AlternateContent>
  <xdr:twoCellAnchor editAs="oneCell">
    <xdr:from>
      <xdr:col>0</xdr:col>
      <xdr:colOff>322386</xdr:colOff>
      <xdr:row>1922</xdr:row>
      <xdr:rowOff>123093</xdr:rowOff>
    </xdr:from>
    <xdr:to>
      <xdr:col>1</xdr:col>
      <xdr:colOff>814057</xdr:colOff>
      <xdr:row>1933</xdr:row>
      <xdr:rowOff>24909</xdr:rowOff>
    </xdr:to>
    <xdr:pic>
      <xdr:nvPicPr>
        <xdr:cNvPr id="269568" name="Picture 1280"/>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2386" y="442171016"/>
          <a:ext cx="5502763" cy="18947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523875</xdr:colOff>
      <xdr:row>1940</xdr:row>
      <xdr:rowOff>66675</xdr:rowOff>
    </xdr:from>
    <xdr:to>
      <xdr:col>0</xdr:col>
      <xdr:colOff>4352925</xdr:colOff>
      <xdr:row>1953</xdr:row>
      <xdr:rowOff>142872</xdr:rowOff>
    </xdr:to>
    <xdr:pic>
      <xdr:nvPicPr>
        <xdr:cNvPr id="269570" name="Picture 128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23875" y="351005775"/>
          <a:ext cx="3829050" cy="2676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323850</xdr:colOff>
      <xdr:row>1979</xdr:row>
      <xdr:rowOff>123825</xdr:rowOff>
    </xdr:from>
    <xdr:to>
      <xdr:col>1</xdr:col>
      <xdr:colOff>678996</xdr:colOff>
      <xdr:row>1990</xdr:row>
      <xdr:rowOff>28575</xdr:rowOff>
    </xdr:to>
    <xdr:pic>
      <xdr:nvPicPr>
        <xdr:cNvPr id="269572" name="Picture 1284"/>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23850" y="358882950"/>
          <a:ext cx="5362575" cy="210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409575</xdr:colOff>
      <xdr:row>1969</xdr:row>
      <xdr:rowOff>0</xdr:rowOff>
    </xdr:from>
    <xdr:to>
      <xdr:col>1</xdr:col>
      <xdr:colOff>536121</xdr:colOff>
      <xdr:row>1977</xdr:row>
      <xdr:rowOff>85724</xdr:rowOff>
    </xdr:to>
    <xdr:pic>
      <xdr:nvPicPr>
        <xdr:cNvPr id="269574" name="Picture 128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09575" y="356758875"/>
          <a:ext cx="5133975" cy="1685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319453</xdr:colOff>
      <xdr:row>2041</xdr:row>
      <xdr:rowOff>70338</xdr:rowOff>
    </xdr:from>
    <xdr:to>
      <xdr:col>2</xdr:col>
      <xdr:colOff>47416</xdr:colOff>
      <xdr:row>2054</xdr:row>
      <xdr:rowOff>52025</xdr:rowOff>
    </xdr:to>
    <xdr:pic>
      <xdr:nvPicPr>
        <xdr:cNvPr id="269576" name="Picture 1288"/>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19453" y="461585896"/>
          <a:ext cx="5794131" cy="2223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523875</xdr:colOff>
      <xdr:row>2065</xdr:row>
      <xdr:rowOff>66675</xdr:rowOff>
    </xdr:from>
    <xdr:to>
      <xdr:col>0</xdr:col>
      <xdr:colOff>4352925</xdr:colOff>
      <xdr:row>2078</xdr:row>
      <xdr:rowOff>142875</xdr:rowOff>
    </xdr:to>
    <xdr:pic>
      <xdr:nvPicPr>
        <xdr:cNvPr id="269577" name="Picture 1289"/>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23875" y="373675275"/>
          <a:ext cx="3829050" cy="2676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2092</xdr:row>
      <xdr:rowOff>76200</xdr:rowOff>
    </xdr:from>
    <xdr:to>
      <xdr:col>1</xdr:col>
      <xdr:colOff>193221</xdr:colOff>
      <xdr:row>2102</xdr:row>
      <xdr:rowOff>28573</xdr:rowOff>
    </xdr:to>
    <xdr:pic>
      <xdr:nvPicPr>
        <xdr:cNvPr id="269579" name="Picture 1291"/>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90500" y="379104525"/>
          <a:ext cx="5010150" cy="195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590550</xdr:colOff>
      <xdr:row>2161</xdr:row>
      <xdr:rowOff>0</xdr:rowOff>
    </xdr:from>
    <xdr:to>
      <xdr:col>54</xdr:col>
      <xdr:colOff>266699</xdr:colOff>
      <xdr:row>2169</xdr:row>
      <xdr:rowOff>30167</xdr:rowOff>
    </xdr:to>
    <xdr:pic>
      <xdr:nvPicPr>
        <xdr:cNvPr id="269600" name="Picture 1312"/>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3870900" y="385819650"/>
          <a:ext cx="6991350" cy="2057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2167</xdr:row>
      <xdr:rowOff>47625</xdr:rowOff>
    </xdr:from>
    <xdr:to>
      <xdr:col>2</xdr:col>
      <xdr:colOff>664588</xdr:colOff>
      <xdr:row>2178</xdr:row>
      <xdr:rowOff>66673</xdr:rowOff>
    </xdr:to>
    <xdr:pic>
      <xdr:nvPicPr>
        <xdr:cNvPr id="269602" name="Picture 1314"/>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6675" y="390124950"/>
          <a:ext cx="6657975" cy="2181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597</xdr:row>
      <xdr:rowOff>85725</xdr:rowOff>
    </xdr:from>
    <xdr:to>
      <xdr:col>0</xdr:col>
      <xdr:colOff>4210050</xdr:colOff>
      <xdr:row>606</xdr:row>
      <xdr:rowOff>9525</xdr:rowOff>
    </xdr:to>
    <xdr:pic>
      <xdr:nvPicPr>
        <xdr:cNvPr id="269633" name="Picture 1345"/>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85750" y="109928025"/>
          <a:ext cx="3924300" cy="1724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495300</xdr:colOff>
      <xdr:row>663</xdr:row>
      <xdr:rowOff>76200</xdr:rowOff>
    </xdr:from>
    <xdr:to>
      <xdr:col>1</xdr:col>
      <xdr:colOff>726621</xdr:colOff>
      <xdr:row>679</xdr:row>
      <xdr:rowOff>190502</xdr:rowOff>
    </xdr:to>
    <xdr:pic>
      <xdr:nvPicPr>
        <xdr:cNvPr id="269644" name="Picture 1356"/>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95300" y="139112625"/>
          <a:ext cx="5238750" cy="3314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371475</xdr:colOff>
      <xdr:row>683</xdr:row>
      <xdr:rowOff>47625</xdr:rowOff>
    </xdr:from>
    <xdr:to>
      <xdr:col>1</xdr:col>
      <xdr:colOff>269421</xdr:colOff>
      <xdr:row>698</xdr:row>
      <xdr:rowOff>85723</xdr:rowOff>
    </xdr:to>
    <xdr:pic>
      <xdr:nvPicPr>
        <xdr:cNvPr id="269646" name="Picture 1358"/>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71475" y="143075025"/>
          <a:ext cx="4905375" cy="3038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476250</xdr:colOff>
      <xdr:row>702</xdr:row>
      <xdr:rowOff>0</xdr:rowOff>
    </xdr:from>
    <xdr:to>
      <xdr:col>0</xdr:col>
      <xdr:colOff>4838700</xdr:colOff>
      <xdr:row>714</xdr:row>
      <xdr:rowOff>142874</xdr:rowOff>
    </xdr:to>
    <xdr:pic>
      <xdr:nvPicPr>
        <xdr:cNvPr id="269648" name="Picture 1360"/>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76250" y="146789775"/>
          <a:ext cx="4362450" cy="2543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185058</xdr:colOff>
      <xdr:row>787</xdr:row>
      <xdr:rowOff>96611</xdr:rowOff>
    </xdr:from>
    <xdr:to>
      <xdr:col>2</xdr:col>
      <xdr:colOff>6805</xdr:colOff>
      <xdr:row>787</xdr:row>
      <xdr:rowOff>658586</xdr:rowOff>
    </xdr:to>
    <xdr:pic>
      <xdr:nvPicPr>
        <xdr:cNvPr id="269657" name="Picture 1369"/>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185683" y="179397932"/>
          <a:ext cx="876300"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95249</xdr:colOff>
      <xdr:row>787</xdr:row>
      <xdr:rowOff>66674</xdr:rowOff>
    </xdr:from>
    <xdr:to>
      <xdr:col>2</xdr:col>
      <xdr:colOff>734785</xdr:colOff>
      <xdr:row>787</xdr:row>
      <xdr:rowOff>650630</xdr:rowOff>
    </xdr:to>
    <xdr:pic>
      <xdr:nvPicPr>
        <xdr:cNvPr id="269659" name="Picture 1371"/>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150428" y="179776210"/>
          <a:ext cx="639536" cy="5839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43543</xdr:colOff>
      <xdr:row>787</xdr:row>
      <xdr:rowOff>122464</xdr:rowOff>
    </xdr:from>
    <xdr:to>
      <xdr:col>3</xdr:col>
      <xdr:colOff>700768</xdr:colOff>
      <xdr:row>787</xdr:row>
      <xdr:rowOff>693964</xdr:rowOff>
    </xdr:to>
    <xdr:pic>
      <xdr:nvPicPr>
        <xdr:cNvPr id="269661" name="Picture 1373"/>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901543" y="179832000"/>
          <a:ext cx="6572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81644</xdr:colOff>
      <xdr:row>787</xdr:row>
      <xdr:rowOff>25852</xdr:rowOff>
    </xdr:from>
    <xdr:to>
      <xdr:col>4</xdr:col>
      <xdr:colOff>834119</xdr:colOff>
      <xdr:row>787</xdr:row>
      <xdr:rowOff>740227</xdr:rowOff>
    </xdr:to>
    <xdr:pic>
      <xdr:nvPicPr>
        <xdr:cNvPr id="269663" name="Picture 1375"/>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674430" y="179735388"/>
          <a:ext cx="752475"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89808</xdr:colOff>
      <xdr:row>787</xdr:row>
      <xdr:rowOff>160564</xdr:rowOff>
    </xdr:from>
    <xdr:to>
      <xdr:col>5</xdr:col>
      <xdr:colOff>762001</xdr:colOff>
      <xdr:row>787</xdr:row>
      <xdr:rowOff>608239</xdr:rowOff>
    </xdr:to>
    <xdr:pic>
      <xdr:nvPicPr>
        <xdr:cNvPr id="269665" name="Picture 1377"/>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8614683" y="179870100"/>
          <a:ext cx="672193"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40823</xdr:colOff>
      <xdr:row>787</xdr:row>
      <xdr:rowOff>72116</xdr:rowOff>
    </xdr:from>
    <xdr:to>
      <xdr:col>6</xdr:col>
      <xdr:colOff>748394</xdr:colOff>
      <xdr:row>787</xdr:row>
      <xdr:rowOff>796016</xdr:rowOff>
    </xdr:to>
    <xdr:pic>
      <xdr:nvPicPr>
        <xdr:cNvPr id="269667" name="Picture 1379"/>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9395734" y="179781652"/>
          <a:ext cx="707571"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66676</xdr:colOff>
      <xdr:row>787</xdr:row>
      <xdr:rowOff>91167</xdr:rowOff>
    </xdr:from>
    <xdr:to>
      <xdr:col>7</xdr:col>
      <xdr:colOff>762001</xdr:colOff>
      <xdr:row>787</xdr:row>
      <xdr:rowOff>710292</xdr:rowOff>
    </xdr:to>
    <xdr:pic>
      <xdr:nvPicPr>
        <xdr:cNvPr id="269669" name="Picture 1381"/>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0203997" y="179800703"/>
          <a:ext cx="695325"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69398</xdr:colOff>
      <xdr:row>787</xdr:row>
      <xdr:rowOff>31294</xdr:rowOff>
    </xdr:from>
    <xdr:to>
      <xdr:col>8</xdr:col>
      <xdr:colOff>789216</xdr:colOff>
      <xdr:row>787</xdr:row>
      <xdr:rowOff>745669</xdr:rowOff>
    </xdr:to>
    <xdr:pic>
      <xdr:nvPicPr>
        <xdr:cNvPr id="269671" name="Picture 1383"/>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0975523" y="179740830"/>
          <a:ext cx="719818"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29934</xdr:colOff>
      <xdr:row>786</xdr:row>
      <xdr:rowOff>193221</xdr:rowOff>
    </xdr:from>
    <xdr:to>
      <xdr:col>9</xdr:col>
      <xdr:colOff>748391</xdr:colOff>
      <xdr:row>787</xdr:row>
      <xdr:rowOff>662667</xdr:rowOff>
    </xdr:to>
    <xdr:pic>
      <xdr:nvPicPr>
        <xdr:cNvPr id="269673" name="Picture 1385"/>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1786505" y="179705453"/>
          <a:ext cx="718457"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2181</xdr:row>
      <xdr:rowOff>0</xdr:rowOff>
    </xdr:from>
    <xdr:to>
      <xdr:col>2</xdr:col>
      <xdr:colOff>251838</xdr:colOff>
      <xdr:row>2190</xdr:row>
      <xdr:rowOff>55559</xdr:rowOff>
    </xdr:to>
    <xdr:pic>
      <xdr:nvPicPr>
        <xdr:cNvPr id="51" name="Picture 1316"/>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0" y="351210563"/>
          <a:ext cx="6316663" cy="2119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194303</xdr:colOff>
      <xdr:row>857</xdr:row>
      <xdr:rowOff>39688</xdr:rowOff>
    </xdr:from>
    <xdr:to>
      <xdr:col>7</xdr:col>
      <xdr:colOff>628106</xdr:colOff>
      <xdr:row>863</xdr:row>
      <xdr:rowOff>232024</xdr:rowOff>
    </xdr:to>
    <xdr:pic>
      <xdr:nvPicPr>
        <xdr:cNvPr id="46" name="Рисунок 45"/>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6139491" y="195056126"/>
          <a:ext cx="4499270" cy="3000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1944688</xdr:colOff>
      <xdr:row>1079</xdr:row>
      <xdr:rowOff>65941</xdr:rowOff>
    </xdr:from>
    <xdr:to>
      <xdr:col>1</xdr:col>
      <xdr:colOff>703386</xdr:colOff>
      <xdr:row>1091</xdr:row>
      <xdr:rowOff>65879</xdr:rowOff>
    </xdr:to>
    <xdr:graphicFrame macro="">
      <xdr:nvGraphicFramePr>
        <xdr:cNvPr id="3" name="Диаграм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95249</xdr:colOff>
      <xdr:row>1143</xdr:row>
      <xdr:rowOff>188118</xdr:rowOff>
    </xdr:from>
    <xdr:to>
      <xdr:col>8</xdr:col>
      <xdr:colOff>182561</xdr:colOff>
      <xdr:row>1152</xdr:row>
      <xdr:rowOff>7938</xdr:rowOff>
    </xdr:to>
    <xdr:graphicFrame macro="">
      <xdr:nvGraphicFramePr>
        <xdr:cNvPr id="4" name="Диаграмма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420077</xdr:colOff>
      <xdr:row>1271</xdr:row>
      <xdr:rowOff>9158</xdr:rowOff>
    </xdr:from>
    <xdr:to>
      <xdr:col>1</xdr:col>
      <xdr:colOff>968741</xdr:colOff>
      <xdr:row>1289</xdr:row>
      <xdr:rowOff>85358</xdr:rowOff>
    </xdr:to>
    <xdr:pic>
      <xdr:nvPicPr>
        <xdr:cNvPr id="47" name="Рисунок 46"/>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420077" y="305695716"/>
          <a:ext cx="5552952" cy="36370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1293</xdr:row>
      <xdr:rowOff>127000</xdr:rowOff>
    </xdr:from>
    <xdr:to>
      <xdr:col>1</xdr:col>
      <xdr:colOff>12246</xdr:colOff>
      <xdr:row>1325</xdr:row>
      <xdr:rowOff>149221</xdr:rowOff>
    </xdr:to>
    <xdr:pic>
      <xdr:nvPicPr>
        <xdr:cNvPr id="48" name="Рисунок 47"/>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0" y="289274250"/>
          <a:ext cx="5019675" cy="6372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830263</xdr:colOff>
      <xdr:row>1380</xdr:row>
      <xdr:rowOff>111125</xdr:rowOff>
    </xdr:from>
    <xdr:to>
      <xdr:col>0</xdr:col>
      <xdr:colOff>4821238</xdr:colOff>
      <xdr:row>1398</xdr:row>
      <xdr:rowOff>79375</xdr:rowOff>
    </xdr:to>
    <xdr:pic>
      <xdr:nvPicPr>
        <xdr:cNvPr id="52" name="Рисунок 51"/>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830263" y="314912375"/>
          <a:ext cx="3990975" cy="329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1066800</xdr:colOff>
      <xdr:row>1400</xdr:row>
      <xdr:rowOff>152400</xdr:rowOff>
    </xdr:from>
    <xdr:to>
      <xdr:col>2</xdr:col>
      <xdr:colOff>206375</xdr:colOff>
      <xdr:row>1416</xdr:row>
      <xdr:rowOff>142875</xdr:rowOff>
    </xdr:to>
    <xdr:pic>
      <xdr:nvPicPr>
        <xdr:cNvPr id="53" name="Рисунок 52"/>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066800" y="314286900"/>
          <a:ext cx="5084763" cy="2530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412750</xdr:colOff>
      <xdr:row>1561</xdr:row>
      <xdr:rowOff>103188</xdr:rowOff>
    </xdr:from>
    <xdr:to>
      <xdr:col>1</xdr:col>
      <xdr:colOff>872671</xdr:colOff>
      <xdr:row>1585</xdr:row>
      <xdr:rowOff>17463</xdr:rowOff>
    </xdr:to>
    <xdr:pic>
      <xdr:nvPicPr>
        <xdr:cNvPr id="56" name="Рисунок 55"/>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412750" y="350091376"/>
          <a:ext cx="5467350" cy="396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349250</xdr:colOff>
      <xdr:row>1594</xdr:row>
      <xdr:rowOff>87312</xdr:rowOff>
    </xdr:from>
    <xdr:to>
      <xdr:col>1</xdr:col>
      <xdr:colOff>799646</xdr:colOff>
      <xdr:row>1620</xdr:row>
      <xdr:rowOff>71437</xdr:rowOff>
    </xdr:to>
    <xdr:pic>
      <xdr:nvPicPr>
        <xdr:cNvPr id="58" name="Рисунок 57"/>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349250" y="355631750"/>
          <a:ext cx="5457825" cy="4111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1357</xdr:row>
      <xdr:rowOff>0</xdr:rowOff>
    </xdr:from>
    <xdr:to>
      <xdr:col>3</xdr:col>
      <xdr:colOff>38100</xdr:colOff>
      <xdr:row>1372</xdr:row>
      <xdr:rowOff>106233</xdr:rowOff>
    </xdr:to>
    <xdr:pic>
      <xdr:nvPicPr>
        <xdr:cNvPr id="55" name="Рисунок 54"/>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310559450"/>
          <a:ext cx="6724650" cy="2989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165102</xdr:colOff>
      <xdr:row>1335</xdr:row>
      <xdr:rowOff>171451</xdr:rowOff>
    </xdr:from>
    <xdr:to>
      <xdr:col>1</xdr:col>
      <xdr:colOff>114068</xdr:colOff>
      <xdr:row>1354</xdr:row>
      <xdr:rowOff>152400</xdr:rowOff>
    </xdr:to>
    <xdr:pic>
      <xdr:nvPicPr>
        <xdr:cNvPr id="57" name="Рисунок 56"/>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65102" y="306336701"/>
          <a:ext cx="4959570" cy="3600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718039</xdr:colOff>
      <xdr:row>1030</xdr:row>
      <xdr:rowOff>108439</xdr:rowOff>
    </xdr:from>
    <xdr:to>
      <xdr:col>0</xdr:col>
      <xdr:colOff>4249616</xdr:colOff>
      <xdr:row>1041</xdr:row>
      <xdr:rowOff>131885</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1516674</xdr:colOff>
      <xdr:row>1048</xdr:row>
      <xdr:rowOff>80597</xdr:rowOff>
    </xdr:from>
    <xdr:to>
      <xdr:col>0</xdr:col>
      <xdr:colOff>4674577</xdr:colOff>
      <xdr:row>1058</xdr:row>
      <xdr:rowOff>117232</xdr:rowOff>
    </xdr:to>
    <xdr:graphicFrame macro="">
      <xdr:nvGraphicFramePr>
        <xdr:cNvPr id="5" name="Диаграмма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0</xdr:col>
      <xdr:colOff>353787</xdr:colOff>
      <xdr:row>611</xdr:row>
      <xdr:rowOff>34018</xdr:rowOff>
    </xdr:from>
    <xdr:to>
      <xdr:col>2</xdr:col>
      <xdr:colOff>605519</xdr:colOff>
      <xdr:row>618</xdr:row>
      <xdr:rowOff>6300</xdr:rowOff>
    </xdr:to>
    <xdr:pic>
      <xdr:nvPicPr>
        <xdr:cNvPr id="49" name="Рисунок 48"/>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353787" y="136602107"/>
          <a:ext cx="6313714" cy="13534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210909</xdr:colOff>
      <xdr:row>787</xdr:row>
      <xdr:rowOff>755196</xdr:rowOff>
    </xdr:from>
    <xdr:to>
      <xdr:col>1</xdr:col>
      <xdr:colOff>934810</xdr:colOff>
      <xdr:row>787</xdr:row>
      <xdr:rowOff>1660071</xdr:rowOff>
    </xdr:to>
    <xdr:pic>
      <xdr:nvPicPr>
        <xdr:cNvPr id="44" name="Рисунок 43"/>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5218338" y="179593875"/>
          <a:ext cx="723901"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68036</xdr:colOff>
      <xdr:row>787</xdr:row>
      <xdr:rowOff>741589</xdr:rowOff>
    </xdr:from>
    <xdr:to>
      <xdr:col>2</xdr:col>
      <xdr:colOff>734786</xdr:colOff>
      <xdr:row>787</xdr:row>
      <xdr:rowOff>1741715</xdr:rowOff>
    </xdr:to>
    <xdr:pic>
      <xdr:nvPicPr>
        <xdr:cNvPr id="45" name="Рисунок 44"/>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6130018" y="179580268"/>
          <a:ext cx="666750" cy="1000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770370</xdr:colOff>
      <xdr:row>787</xdr:row>
      <xdr:rowOff>898072</xdr:rowOff>
    </xdr:from>
    <xdr:to>
      <xdr:col>3</xdr:col>
      <xdr:colOff>723969</xdr:colOff>
      <xdr:row>787</xdr:row>
      <xdr:rowOff>1700892</xdr:rowOff>
    </xdr:to>
    <xdr:pic>
      <xdr:nvPicPr>
        <xdr:cNvPr id="50" name="Рисунок 49"/>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6832352" y="179736751"/>
          <a:ext cx="756421" cy="802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27213</xdr:colOff>
      <xdr:row>787</xdr:row>
      <xdr:rowOff>891268</xdr:rowOff>
    </xdr:from>
    <xdr:to>
      <xdr:col>4</xdr:col>
      <xdr:colOff>870857</xdr:colOff>
      <xdr:row>787</xdr:row>
      <xdr:rowOff>1673678</xdr:rowOff>
    </xdr:to>
    <xdr:pic>
      <xdr:nvPicPr>
        <xdr:cNvPr id="54" name="Рисунок 53"/>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7626802" y="179729947"/>
          <a:ext cx="843644" cy="782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108856</xdr:colOff>
      <xdr:row>787</xdr:row>
      <xdr:rowOff>782411</xdr:rowOff>
    </xdr:from>
    <xdr:to>
      <xdr:col>5</xdr:col>
      <xdr:colOff>677634</xdr:colOff>
      <xdr:row>787</xdr:row>
      <xdr:rowOff>1646465</xdr:rowOff>
    </xdr:to>
    <xdr:pic>
      <xdr:nvPicPr>
        <xdr:cNvPr id="59" name="Рисунок 58"/>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8640535" y="179621090"/>
          <a:ext cx="568778" cy="864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40539</xdr:colOff>
      <xdr:row>787</xdr:row>
      <xdr:rowOff>850448</xdr:rowOff>
    </xdr:from>
    <xdr:to>
      <xdr:col>6</xdr:col>
      <xdr:colOff>717094</xdr:colOff>
      <xdr:row>787</xdr:row>
      <xdr:rowOff>1694090</xdr:rowOff>
    </xdr:to>
    <xdr:pic>
      <xdr:nvPicPr>
        <xdr:cNvPr id="60" name="Рисунок 59"/>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9402253" y="179689127"/>
          <a:ext cx="676555" cy="843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5477</xdr:colOff>
      <xdr:row>787</xdr:row>
      <xdr:rowOff>768805</xdr:rowOff>
    </xdr:from>
    <xdr:to>
      <xdr:col>7</xdr:col>
      <xdr:colOff>646341</xdr:colOff>
      <xdr:row>787</xdr:row>
      <xdr:rowOff>1809751</xdr:rowOff>
    </xdr:to>
    <xdr:pic>
      <xdr:nvPicPr>
        <xdr:cNvPr id="61" name="Рисунок 60"/>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0149602" y="179607484"/>
          <a:ext cx="640864" cy="10409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13606</xdr:colOff>
      <xdr:row>787</xdr:row>
      <xdr:rowOff>830035</xdr:rowOff>
    </xdr:from>
    <xdr:to>
      <xdr:col>8</xdr:col>
      <xdr:colOff>805542</xdr:colOff>
      <xdr:row>787</xdr:row>
      <xdr:rowOff>1700892</xdr:rowOff>
    </xdr:to>
    <xdr:pic>
      <xdr:nvPicPr>
        <xdr:cNvPr id="62" name="Рисунок 61"/>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0926535" y="179668714"/>
          <a:ext cx="791936" cy="870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34017</xdr:colOff>
      <xdr:row>787</xdr:row>
      <xdr:rowOff>755197</xdr:rowOff>
    </xdr:from>
    <xdr:to>
      <xdr:col>10</xdr:col>
      <xdr:colOff>17689</xdr:colOff>
      <xdr:row>787</xdr:row>
      <xdr:rowOff>1714501</xdr:rowOff>
    </xdr:to>
    <xdr:pic>
      <xdr:nvPicPr>
        <xdr:cNvPr id="63" name="Рисунок 62"/>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1797392" y="179593876"/>
          <a:ext cx="752476" cy="9593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258537</xdr:colOff>
      <xdr:row>787</xdr:row>
      <xdr:rowOff>1653267</xdr:rowOff>
    </xdr:from>
    <xdr:to>
      <xdr:col>1</xdr:col>
      <xdr:colOff>877661</xdr:colOff>
      <xdr:row>787</xdr:row>
      <xdr:rowOff>2827984</xdr:rowOff>
    </xdr:to>
    <xdr:pic>
      <xdr:nvPicPr>
        <xdr:cNvPr id="64" name="Рисунок 63"/>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5265966" y="180491946"/>
          <a:ext cx="619124" cy="1174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115661</xdr:colOff>
      <xdr:row>787</xdr:row>
      <xdr:rowOff>1707697</xdr:rowOff>
    </xdr:from>
    <xdr:to>
      <xdr:col>2</xdr:col>
      <xdr:colOff>741590</xdr:colOff>
      <xdr:row>787</xdr:row>
      <xdr:rowOff>2694215</xdr:rowOff>
    </xdr:to>
    <xdr:pic>
      <xdr:nvPicPr>
        <xdr:cNvPr id="65" name="Рисунок 64"/>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6177643" y="180546376"/>
          <a:ext cx="625929" cy="9865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761821</xdr:colOff>
      <xdr:row>787</xdr:row>
      <xdr:rowOff>1707696</xdr:rowOff>
    </xdr:from>
    <xdr:to>
      <xdr:col>3</xdr:col>
      <xdr:colOff>669470</xdr:colOff>
      <xdr:row>787</xdr:row>
      <xdr:rowOff>2667000</xdr:rowOff>
    </xdr:to>
    <xdr:pic>
      <xdr:nvPicPr>
        <xdr:cNvPr id="66" name="Рисунок 65"/>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6823803" y="180546375"/>
          <a:ext cx="710471" cy="9593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61233</xdr:colOff>
      <xdr:row>787</xdr:row>
      <xdr:rowOff>1768929</xdr:rowOff>
    </xdr:from>
    <xdr:to>
      <xdr:col>4</xdr:col>
      <xdr:colOff>880383</xdr:colOff>
      <xdr:row>787</xdr:row>
      <xdr:rowOff>2694214</xdr:rowOff>
    </xdr:to>
    <xdr:pic>
      <xdr:nvPicPr>
        <xdr:cNvPr id="67" name="Рисунок 66"/>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7660822" y="180607608"/>
          <a:ext cx="819150" cy="925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88447</xdr:colOff>
      <xdr:row>787</xdr:row>
      <xdr:rowOff>1768929</xdr:rowOff>
    </xdr:from>
    <xdr:to>
      <xdr:col>5</xdr:col>
      <xdr:colOff>707572</xdr:colOff>
      <xdr:row>787</xdr:row>
      <xdr:rowOff>2667001</xdr:rowOff>
    </xdr:to>
    <xdr:pic>
      <xdr:nvPicPr>
        <xdr:cNvPr id="68" name="Рисунок 67"/>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8620126" y="180607608"/>
          <a:ext cx="619125" cy="8980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802820</xdr:colOff>
      <xdr:row>787</xdr:row>
      <xdr:rowOff>1775731</xdr:rowOff>
    </xdr:from>
    <xdr:to>
      <xdr:col>7</xdr:col>
      <xdr:colOff>38099</xdr:colOff>
      <xdr:row>787</xdr:row>
      <xdr:rowOff>2653392</xdr:rowOff>
    </xdr:to>
    <xdr:pic>
      <xdr:nvPicPr>
        <xdr:cNvPr id="69" name="Рисунок 68"/>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9334499" y="180614410"/>
          <a:ext cx="847725" cy="8776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787</xdr:row>
      <xdr:rowOff>1748518</xdr:rowOff>
    </xdr:from>
    <xdr:to>
      <xdr:col>8</xdr:col>
      <xdr:colOff>12246</xdr:colOff>
      <xdr:row>787</xdr:row>
      <xdr:rowOff>2803071</xdr:rowOff>
    </xdr:to>
    <xdr:pic>
      <xdr:nvPicPr>
        <xdr:cNvPr id="70" name="Рисунок 69"/>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0144125" y="180587197"/>
          <a:ext cx="781050" cy="1054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727983</xdr:colOff>
      <xdr:row>787</xdr:row>
      <xdr:rowOff>1721302</xdr:rowOff>
    </xdr:from>
    <xdr:to>
      <xdr:col>9</xdr:col>
      <xdr:colOff>23133</xdr:colOff>
      <xdr:row>787</xdr:row>
      <xdr:rowOff>2803071</xdr:rowOff>
    </xdr:to>
    <xdr:pic>
      <xdr:nvPicPr>
        <xdr:cNvPr id="71" name="Рисунок 70"/>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0872108" y="180559981"/>
          <a:ext cx="914400" cy="10817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802821</xdr:colOff>
      <xdr:row>787</xdr:row>
      <xdr:rowOff>1775732</xdr:rowOff>
    </xdr:from>
    <xdr:to>
      <xdr:col>9</xdr:col>
      <xdr:colOff>733425</xdr:colOff>
      <xdr:row>787</xdr:row>
      <xdr:rowOff>2769053</xdr:rowOff>
    </xdr:to>
    <xdr:pic>
      <xdr:nvPicPr>
        <xdr:cNvPr id="72" name="Рисунок 71"/>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1715750" y="180614411"/>
          <a:ext cx="781050" cy="993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295275</xdr:colOff>
      <xdr:row>1115</xdr:row>
      <xdr:rowOff>0</xdr:rowOff>
    </xdr:from>
    <xdr:to>
      <xdr:col>7</xdr:col>
      <xdr:colOff>276225</xdr:colOff>
      <xdr:row>1115</xdr:row>
      <xdr:rowOff>0</xdr:rowOff>
    </xdr:to>
    <xdr:graphicFrame macro="">
      <xdr:nvGraphicFramePr>
        <xdr:cNvPr id="29889" name="Диаграмма 9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276225</xdr:colOff>
      <xdr:row>1115</xdr:row>
      <xdr:rowOff>0</xdr:rowOff>
    </xdr:from>
    <xdr:to>
      <xdr:col>9</xdr:col>
      <xdr:colOff>142875</xdr:colOff>
      <xdr:row>1115</xdr:row>
      <xdr:rowOff>0</xdr:rowOff>
    </xdr:to>
    <xdr:graphicFrame macro="">
      <xdr:nvGraphicFramePr>
        <xdr:cNvPr id="29890" name="Диаграмма 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171450</xdr:colOff>
      <xdr:row>1115</xdr:row>
      <xdr:rowOff>0</xdr:rowOff>
    </xdr:from>
    <xdr:to>
      <xdr:col>11</xdr:col>
      <xdr:colOff>104775</xdr:colOff>
      <xdr:row>1115</xdr:row>
      <xdr:rowOff>0</xdr:rowOff>
    </xdr:to>
    <xdr:graphicFrame macro="">
      <xdr:nvGraphicFramePr>
        <xdr:cNvPr id="29891" name="Диаграмма 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5</xdr:col>
      <xdr:colOff>361950</xdr:colOff>
      <xdr:row>1115</xdr:row>
      <xdr:rowOff>0</xdr:rowOff>
    </xdr:from>
    <xdr:to>
      <xdr:col>11</xdr:col>
      <xdr:colOff>238125</xdr:colOff>
      <xdr:row>1115</xdr:row>
      <xdr:rowOff>0</xdr:rowOff>
    </xdr:to>
    <xdr:graphicFrame macro="">
      <xdr:nvGraphicFramePr>
        <xdr:cNvPr id="29892" name="Диаграмма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3</xdr:col>
      <xdr:colOff>180975</xdr:colOff>
      <xdr:row>1116</xdr:row>
      <xdr:rowOff>0</xdr:rowOff>
    </xdr:from>
    <xdr:to>
      <xdr:col>12</xdr:col>
      <xdr:colOff>171450</xdr:colOff>
      <xdr:row>1116</xdr:row>
      <xdr:rowOff>0</xdr:rowOff>
    </xdr:to>
    <xdr:graphicFrame macro="">
      <xdr:nvGraphicFramePr>
        <xdr:cNvPr id="29893" name="Диаграмма 10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285750</xdr:colOff>
      <xdr:row>1116</xdr:row>
      <xdr:rowOff>0</xdr:rowOff>
    </xdr:from>
    <xdr:to>
      <xdr:col>12</xdr:col>
      <xdr:colOff>466725</xdr:colOff>
      <xdr:row>1116</xdr:row>
      <xdr:rowOff>0</xdr:rowOff>
    </xdr:to>
    <xdr:graphicFrame macro="">
      <xdr:nvGraphicFramePr>
        <xdr:cNvPr id="29894" name="Диаграмма 10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180975</xdr:colOff>
      <xdr:row>1116</xdr:row>
      <xdr:rowOff>0</xdr:rowOff>
    </xdr:from>
    <xdr:to>
      <xdr:col>12</xdr:col>
      <xdr:colOff>171450</xdr:colOff>
      <xdr:row>1116</xdr:row>
      <xdr:rowOff>0</xdr:rowOff>
    </xdr:to>
    <xdr:graphicFrame macro="">
      <xdr:nvGraphicFramePr>
        <xdr:cNvPr id="29895" name="Диаграмма 1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400050</xdr:colOff>
      <xdr:row>1115</xdr:row>
      <xdr:rowOff>0</xdr:rowOff>
    </xdr:from>
    <xdr:to>
      <xdr:col>8</xdr:col>
      <xdr:colOff>514350</xdr:colOff>
      <xdr:row>1115</xdr:row>
      <xdr:rowOff>0</xdr:rowOff>
    </xdr:to>
    <xdr:graphicFrame macro="">
      <xdr:nvGraphicFramePr>
        <xdr:cNvPr id="29896" name="Диаграмма 30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31</xdr:col>
      <xdr:colOff>19050</xdr:colOff>
      <xdr:row>1151</xdr:row>
      <xdr:rowOff>0</xdr:rowOff>
    </xdr:from>
    <xdr:to>
      <xdr:col>35</xdr:col>
      <xdr:colOff>1619250</xdr:colOff>
      <xdr:row>1151</xdr:row>
      <xdr:rowOff>0</xdr:rowOff>
    </xdr:to>
    <xdr:graphicFrame macro="">
      <xdr:nvGraphicFramePr>
        <xdr:cNvPr id="29900"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85725</xdr:colOff>
      <xdr:row>1151</xdr:row>
      <xdr:rowOff>0</xdr:rowOff>
    </xdr:from>
    <xdr:to>
      <xdr:col>23</xdr:col>
      <xdr:colOff>390525</xdr:colOff>
      <xdr:row>1151</xdr:row>
      <xdr:rowOff>0</xdr:rowOff>
    </xdr:to>
    <xdr:graphicFrame macro="">
      <xdr:nvGraphicFramePr>
        <xdr:cNvPr id="29901"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0</xdr:col>
      <xdr:colOff>200025</xdr:colOff>
      <xdr:row>634</xdr:row>
      <xdr:rowOff>57150</xdr:rowOff>
    </xdr:from>
    <xdr:to>
      <xdr:col>5</xdr:col>
      <xdr:colOff>685800</xdr:colOff>
      <xdr:row>646</xdr:row>
      <xdr:rowOff>19049</xdr:rowOff>
    </xdr:to>
    <xdr:pic>
      <xdr:nvPicPr>
        <xdr:cNvPr id="29912" name="Picture 1089"/>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00025" y="120710325"/>
          <a:ext cx="6105525" cy="2590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180975</xdr:colOff>
      <xdr:row>639</xdr:row>
      <xdr:rowOff>0</xdr:rowOff>
    </xdr:from>
    <xdr:to>
      <xdr:col>12</xdr:col>
      <xdr:colOff>171450</xdr:colOff>
      <xdr:row>639</xdr:row>
      <xdr:rowOff>0</xdr:rowOff>
    </xdr:to>
    <xdr:graphicFrame macro="">
      <xdr:nvGraphicFramePr>
        <xdr:cNvPr id="12466"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639</xdr:row>
      <xdr:rowOff>0</xdr:rowOff>
    </xdr:from>
    <xdr:to>
      <xdr:col>12</xdr:col>
      <xdr:colOff>466725</xdr:colOff>
      <xdr:row>639</xdr:row>
      <xdr:rowOff>0</xdr:rowOff>
    </xdr:to>
    <xdr:graphicFrame macro="">
      <xdr:nvGraphicFramePr>
        <xdr:cNvPr id="12467"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180975</xdr:colOff>
      <xdr:row>639</xdr:row>
      <xdr:rowOff>0</xdr:rowOff>
    </xdr:from>
    <xdr:to>
      <xdr:col>12</xdr:col>
      <xdr:colOff>171450</xdr:colOff>
      <xdr:row>639</xdr:row>
      <xdr:rowOff>0</xdr:rowOff>
    </xdr:to>
    <xdr:graphicFrame macro="">
      <xdr:nvGraphicFramePr>
        <xdr:cNvPr id="12468"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295275</xdr:colOff>
      <xdr:row>218</xdr:row>
      <xdr:rowOff>0</xdr:rowOff>
    </xdr:from>
    <xdr:to>
      <xdr:col>7</xdr:col>
      <xdr:colOff>276225</xdr:colOff>
      <xdr:row>218</xdr:row>
      <xdr:rowOff>0</xdr:rowOff>
    </xdr:to>
    <xdr:graphicFrame macro="">
      <xdr:nvGraphicFramePr>
        <xdr:cNvPr id="12473" name="Диаграмма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276225</xdr:colOff>
      <xdr:row>218</xdr:row>
      <xdr:rowOff>0</xdr:rowOff>
    </xdr:from>
    <xdr:to>
      <xdr:col>9</xdr:col>
      <xdr:colOff>142875</xdr:colOff>
      <xdr:row>218</xdr:row>
      <xdr:rowOff>0</xdr:rowOff>
    </xdr:to>
    <xdr:graphicFrame macro="">
      <xdr:nvGraphicFramePr>
        <xdr:cNvPr id="12474"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171450</xdr:colOff>
      <xdr:row>218</xdr:row>
      <xdr:rowOff>0</xdr:rowOff>
    </xdr:from>
    <xdr:to>
      <xdr:col>11</xdr:col>
      <xdr:colOff>104775</xdr:colOff>
      <xdr:row>218</xdr:row>
      <xdr:rowOff>0</xdr:rowOff>
    </xdr:to>
    <xdr:graphicFrame macro="">
      <xdr:nvGraphicFramePr>
        <xdr:cNvPr id="12475"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twoCellAnchor>
    <xdr:from>
      <xdr:col>5</xdr:col>
      <xdr:colOff>361950</xdr:colOff>
      <xdr:row>218</xdr:row>
      <xdr:rowOff>0</xdr:rowOff>
    </xdr:from>
    <xdr:to>
      <xdr:col>11</xdr:col>
      <xdr:colOff>238125</xdr:colOff>
      <xdr:row>218</xdr:row>
      <xdr:rowOff>0</xdr:rowOff>
    </xdr:to>
    <xdr:graphicFrame macro="">
      <xdr:nvGraphicFramePr>
        <xdr:cNvPr id="12476" name="Диаграмма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twoCellAnchor>
  <xdr:twoCellAnchor>
    <xdr:from>
      <xdr:col>3</xdr:col>
      <xdr:colOff>180975</xdr:colOff>
      <xdr:row>715</xdr:row>
      <xdr:rowOff>0</xdr:rowOff>
    </xdr:from>
    <xdr:to>
      <xdr:col>12</xdr:col>
      <xdr:colOff>171450</xdr:colOff>
      <xdr:row>715</xdr:row>
      <xdr:rowOff>0</xdr:rowOff>
    </xdr:to>
    <xdr:graphicFrame macro="">
      <xdr:nvGraphicFramePr>
        <xdr:cNvPr id="12477" name="Диаграмма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285750</xdr:colOff>
      <xdr:row>715</xdr:row>
      <xdr:rowOff>0</xdr:rowOff>
    </xdr:from>
    <xdr:to>
      <xdr:col>12</xdr:col>
      <xdr:colOff>466725</xdr:colOff>
      <xdr:row>715</xdr:row>
      <xdr:rowOff>0</xdr:rowOff>
    </xdr:to>
    <xdr:graphicFrame macro="">
      <xdr:nvGraphicFramePr>
        <xdr:cNvPr id="12478" name="Диаграмма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180975</xdr:colOff>
      <xdr:row>715</xdr:row>
      <xdr:rowOff>0</xdr:rowOff>
    </xdr:from>
    <xdr:to>
      <xdr:col>12</xdr:col>
      <xdr:colOff>171450</xdr:colOff>
      <xdr:row>715</xdr:row>
      <xdr:rowOff>0</xdr:rowOff>
    </xdr:to>
    <xdr:graphicFrame macro="">
      <xdr:nvGraphicFramePr>
        <xdr:cNvPr id="12479" name="Диаграмма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400050</xdr:colOff>
      <xdr:row>218</xdr:row>
      <xdr:rowOff>0</xdr:rowOff>
    </xdr:from>
    <xdr:to>
      <xdr:col>8</xdr:col>
      <xdr:colOff>514350</xdr:colOff>
      <xdr:row>218</xdr:row>
      <xdr:rowOff>0</xdr:rowOff>
    </xdr:to>
    <xdr:graphicFrame macro="">
      <xdr:nvGraphicFramePr>
        <xdr:cNvPr id="12480" name="Диаграмма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29</xdr:col>
      <xdr:colOff>19050</xdr:colOff>
      <xdr:row>715</xdr:row>
      <xdr:rowOff>0</xdr:rowOff>
    </xdr:from>
    <xdr:to>
      <xdr:col>33</xdr:col>
      <xdr:colOff>1619250</xdr:colOff>
      <xdr:row>715</xdr:row>
      <xdr:rowOff>0</xdr:rowOff>
    </xdr:to>
    <xdr:graphicFrame macro="">
      <xdr:nvGraphicFramePr>
        <xdr:cNvPr id="12484"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85725</xdr:colOff>
      <xdr:row>715</xdr:row>
      <xdr:rowOff>0</xdr:rowOff>
    </xdr:from>
    <xdr:to>
      <xdr:col>21</xdr:col>
      <xdr:colOff>390525</xdr:colOff>
      <xdr:row>715</xdr:row>
      <xdr:rowOff>0</xdr:rowOff>
    </xdr:to>
    <xdr:graphicFrame macro="">
      <xdr:nvGraphicFramePr>
        <xdr:cNvPr id="12485"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636710</xdr:colOff>
      <xdr:row>107</xdr:row>
      <xdr:rowOff>117230</xdr:rowOff>
    </xdr:from>
    <xdr:to>
      <xdr:col>8</xdr:col>
      <xdr:colOff>370010</xdr:colOff>
      <xdr:row>124</xdr:row>
      <xdr:rowOff>13188</xdr:rowOff>
    </xdr:to>
    <xdr:graphicFrame macro="">
      <xdr:nvGraphicFramePr>
        <xdr:cNvPr id="12524" name="Диаграмма 2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180975</xdr:colOff>
      <xdr:row>531</xdr:row>
      <xdr:rowOff>0</xdr:rowOff>
    </xdr:from>
    <xdr:to>
      <xdr:col>12</xdr:col>
      <xdr:colOff>171450</xdr:colOff>
      <xdr:row>531</xdr:row>
      <xdr:rowOff>0</xdr:rowOff>
    </xdr:to>
    <xdr:graphicFrame macro="">
      <xdr:nvGraphicFramePr>
        <xdr:cNvPr id="18580"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531</xdr:row>
      <xdr:rowOff>0</xdr:rowOff>
    </xdr:from>
    <xdr:to>
      <xdr:col>12</xdr:col>
      <xdr:colOff>466725</xdr:colOff>
      <xdr:row>531</xdr:row>
      <xdr:rowOff>0</xdr:rowOff>
    </xdr:to>
    <xdr:graphicFrame macro="">
      <xdr:nvGraphicFramePr>
        <xdr:cNvPr id="18581"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180975</xdr:colOff>
      <xdr:row>531</xdr:row>
      <xdr:rowOff>0</xdr:rowOff>
    </xdr:from>
    <xdr:to>
      <xdr:col>12</xdr:col>
      <xdr:colOff>171450</xdr:colOff>
      <xdr:row>531</xdr:row>
      <xdr:rowOff>0</xdr:rowOff>
    </xdr:to>
    <xdr:graphicFrame macro="">
      <xdr:nvGraphicFramePr>
        <xdr:cNvPr id="1858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295275</xdr:colOff>
      <xdr:row>531</xdr:row>
      <xdr:rowOff>0</xdr:rowOff>
    </xdr:from>
    <xdr:to>
      <xdr:col>10</xdr:col>
      <xdr:colOff>561975</xdr:colOff>
      <xdr:row>531</xdr:row>
      <xdr:rowOff>0</xdr:rowOff>
    </xdr:to>
    <xdr:graphicFrame macro="">
      <xdr:nvGraphicFramePr>
        <xdr:cNvPr id="18585" name="Диаграмма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200025</xdr:colOff>
      <xdr:row>531</xdr:row>
      <xdr:rowOff>0</xdr:rowOff>
    </xdr:from>
    <xdr:to>
      <xdr:col>11</xdr:col>
      <xdr:colOff>228600</xdr:colOff>
      <xdr:row>531</xdr:row>
      <xdr:rowOff>0</xdr:rowOff>
    </xdr:to>
    <xdr:graphicFrame macro="">
      <xdr:nvGraphicFramePr>
        <xdr:cNvPr id="18586" name="Диаграмма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295275</xdr:colOff>
      <xdr:row>382</xdr:row>
      <xdr:rowOff>0</xdr:rowOff>
    </xdr:from>
    <xdr:to>
      <xdr:col>7</xdr:col>
      <xdr:colOff>276225</xdr:colOff>
      <xdr:row>382</xdr:row>
      <xdr:rowOff>0</xdr:rowOff>
    </xdr:to>
    <xdr:graphicFrame macro="">
      <xdr:nvGraphicFramePr>
        <xdr:cNvPr id="18587" name="Диаграмма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276225</xdr:colOff>
      <xdr:row>382</xdr:row>
      <xdr:rowOff>0</xdr:rowOff>
    </xdr:from>
    <xdr:to>
      <xdr:col>9</xdr:col>
      <xdr:colOff>142875</xdr:colOff>
      <xdr:row>382</xdr:row>
      <xdr:rowOff>0</xdr:rowOff>
    </xdr:to>
    <xdr:graphicFrame macro="">
      <xdr:nvGraphicFramePr>
        <xdr:cNvPr id="18588"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171450</xdr:colOff>
      <xdr:row>230</xdr:row>
      <xdr:rowOff>0</xdr:rowOff>
    </xdr:from>
    <xdr:to>
      <xdr:col>11</xdr:col>
      <xdr:colOff>104775</xdr:colOff>
      <xdr:row>230</xdr:row>
      <xdr:rowOff>0</xdr:rowOff>
    </xdr:to>
    <xdr:graphicFrame macro="">
      <xdr:nvGraphicFramePr>
        <xdr:cNvPr id="18589"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twoCellAnchor>
  <xdr:twoCellAnchor>
    <xdr:from>
      <xdr:col>5</xdr:col>
      <xdr:colOff>361950</xdr:colOff>
      <xdr:row>230</xdr:row>
      <xdr:rowOff>0</xdr:rowOff>
    </xdr:from>
    <xdr:to>
      <xdr:col>11</xdr:col>
      <xdr:colOff>238125</xdr:colOff>
      <xdr:row>230</xdr:row>
      <xdr:rowOff>0</xdr:rowOff>
    </xdr:to>
    <xdr:graphicFrame macro="">
      <xdr:nvGraphicFramePr>
        <xdr:cNvPr id="18590" name="Диаграмма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twoCellAnchor>
  <xdr:twoCellAnchor>
    <xdr:from>
      <xdr:col>3</xdr:col>
      <xdr:colOff>180975</xdr:colOff>
      <xdr:row>897</xdr:row>
      <xdr:rowOff>0</xdr:rowOff>
    </xdr:from>
    <xdr:to>
      <xdr:col>12</xdr:col>
      <xdr:colOff>171450</xdr:colOff>
      <xdr:row>897</xdr:row>
      <xdr:rowOff>0</xdr:rowOff>
    </xdr:to>
    <xdr:graphicFrame macro="">
      <xdr:nvGraphicFramePr>
        <xdr:cNvPr id="18591" name="Диаграмма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285750</xdr:colOff>
      <xdr:row>897</xdr:row>
      <xdr:rowOff>0</xdr:rowOff>
    </xdr:from>
    <xdr:to>
      <xdr:col>12</xdr:col>
      <xdr:colOff>466725</xdr:colOff>
      <xdr:row>897</xdr:row>
      <xdr:rowOff>0</xdr:rowOff>
    </xdr:to>
    <xdr:graphicFrame macro="">
      <xdr:nvGraphicFramePr>
        <xdr:cNvPr id="18592" name="Диаграмма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180975</xdr:colOff>
      <xdr:row>897</xdr:row>
      <xdr:rowOff>0</xdr:rowOff>
    </xdr:from>
    <xdr:to>
      <xdr:col>12</xdr:col>
      <xdr:colOff>171450</xdr:colOff>
      <xdr:row>897</xdr:row>
      <xdr:rowOff>0</xdr:rowOff>
    </xdr:to>
    <xdr:graphicFrame macro="">
      <xdr:nvGraphicFramePr>
        <xdr:cNvPr id="18593" name="Диаграмма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85725</xdr:colOff>
      <xdr:row>1176</xdr:row>
      <xdr:rowOff>0</xdr:rowOff>
    </xdr:from>
    <xdr:to>
      <xdr:col>21</xdr:col>
      <xdr:colOff>390525</xdr:colOff>
      <xdr:row>1176</xdr:row>
      <xdr:rowOff>0</xdr:rowOff>
    </xdr:to>
    <xdr:graphicFrame macro="">
      <xdr:nvGraphicFramePr>
        <xdr:cNvPr id="18597"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352425</xdr:colOff>
      <xdr:row>115</xdr:row>
      <xdr:rowOff>114300</xdr:rowOff>
    </xdr:from>
    <xdr:to>
      <xdr:col>8</xdr:col>
      <xdr:colOff>247650</xdr:colOff>
      <xdr:row>126</xdr:row>
      <xdr:rowOff>123825</xdr:rowOff>
    </xdr:to>
    <xdr:graphicFrame macro="">
      <xdr:nvGraphicFramePr>
        <xdr:cNvPr id="18604" name="Диаграмма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247650</xdr:colOff>
      <xdr:row>167</xdr:row>
      <xdr:rowOff>19050</xdr:rowOff>
    </xdr:from>
    <xdr:to>
      <xdr:col>8</xdr:col>
      <xdr:colOff>133350</xdr:colOff>
      <xdr:row>180</xdr:row>
      <xdr:rowOff>114300</xdr:rowOff>
    </xdr:to>
    <xdr:graphicFrame macro="">
      <xdr:nvGraphicFramePr>
        <xdr:cNvPr id="18605" name="Диаграмма 1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180975</xdr:colOff>
      <xdr:row>0</xdr:row>
      <xdr:rowOff>0</xdr:rowOff>
    </xdr:from>
    <xdr:to>
      <xdr:col>12</xdr:col>
      <xdr:colOff>171450</xdr:colOff>
      <xdr:row>0</xdr:row>
      <xdr:rowOff>0</xdr:rowOff>
    </xdr:to>
    <xdr:graphicFrame macro="">
      <xdr:nvGraphicFramePr>
        <xdr:cNvPr id="23651"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0</xdr:row>
      <xdr:rowOff>0</xdr:rowOff>
    </xdr:from>
    <xdr:to>
      <xdr:col>12</xdr:col>
      <xdr:colOff>466725</xdr:colOff>
      <xdr:row>0</xdr:row>
      <xdr:rowOff>0</xdr:rowOff>
    </xdr:to>
    <xdr:graphicFrame macro="">
      <xdr:nvGraphicFramePr>
        <xdr:cNvPr id="2365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180975</xdr:colOff>
      <xdr:row>0</xdr:row>
      <xdr:rowOff>0</xdr:rowOff>
    </xdr:from>
    <xdr:to>
      <xdr:col>12</xdr:col>
      <xdr:colOff>171450</xdr:colOff>
      <xdr:row>0</xdr:row>
      <xdr:rowOff>0</xdr:rowOff>
    </xdr:to>
    <xdr:graphicFrame macro="">
      <xdr:nvGraphicFramePr>
        <xdr:cNvPr id="2365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295275</xdr:colOff>
      <xdr:row>0</xdr:row>
      <xdr:rowOff>0</xdr:rowOff>
    </xdr:from>
    <xdr:to>
      <xdr:col>10</xdr:col>
      <xdr:colOff>561975</xdr:colOff>
      <xdr:row>0</xdr:row>
      <xdr:rowOff>0</xdr:rowOff>
    </xdr:to>
    <xdr:graphicFrame macro="">
      <xdr:nvGraphicFramePr>
        <xdr:cNvPr id="23656" name="Диаграмма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200025</xdr:colOff>
      <xdr:row>0</xdr:row>
      <xdr:rowOff>0</xdr:rowOff>
    </xdr:from>
    <xdr:to>
      <xdr:col>11</xdr:col>
      <xdr:colOff>228600</xdr:colOff>
      <xdr:row>0</xdr:row>
      <xdr:rowOff>0</xdr:rowOff>
    </xdr:to>
    <xdr:graphicFrame macro="">
      <xdr:nvGraphicFramePr>
        <xdr:cNvPr id="23657" name="Диаграмма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295275</xdr:colOff>
      <xdr:row>0</xdr:row>
      <xdr:rowOff>0</xdr:rowOff>
    </xdr:from>
    <xdr:to>
      <xdr:col>7</xdr:col>
      <xdr:colOff>276225</xdr:colOff>
      <xdr:row>0</xdr:row>
      <xdr:rowOff>0</xdr:rowOff>
    </xdr:to>
    <xdr:graphicFrame macro="">
      <xdr:nvGraphicFramePr>
        <xdr:cNvPr id="23658" name="Диаграмма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276225</xdr:colOff>
      <xdr:row>0</xdr:row>
      <xdr:rowOff>0</xdr:rowOff>
    </xdr:from>
    <xdr:to>
      <xdr:col>9</xdr:col>
      <xdr:colOff>142875</xdr:colOff>
      <xdr:row>0</xdr:row>
      <xdr:rowOff>0</xdr:rowOff>
    </xdr:to>
    <xdr:graphicFrame macro="">
      <xdr:nvGraphicFramePr>
        <xdr:cNvPr id="23659"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171450</xdr:colOff>
      <xdr:row>0</xdr:row>
      <xdr:rowOff>0</xdr:rowOff>
    </xdr:from>
    <xdr:to>
      <xdr:col>11</xdr:col>
      <xdr:colOff>104775</xdr:colOff>
      <xdr:row>0</xdr:row>
      <xdr:rowOff>0</xdr:rowOff>
    </xdr:to>
    <xdr:graphicFrame macro="">
      <xdr:nvGraphicFramePr>
        <xdr:cNvPr id="23660"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twoCellAnchor>
  <xdr:twoCellAnchor>
    <xdr:from>
      <xdr:col>5</xdr:col>
      <xdr:colOff>361950</xdr:colOff>
      <xdr:row>0</xdr:row>
      <xdr:rowOff>0</xdr:rowOff>
    </xdr:from>
    <xdr:to>
      <xdr:col>11</xdr:col>
      <xdr:colOff>238125</xdr:colOff>
      <xdr:row>0</xdr:row>
      <xdr:rowOff>0</xdr:rowOff>
    </xdr:to>
    <xdr:graphicFrame macro="">
      <xdr:nvGraphicFramePr>
        <xdr:cNvPr id="23661" name="Диаграмма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twoCellAnchor>
  <xdr:twoCellAnchor>
    <xdr:from>
      <xdr:col>3</xdr:col>
      <xdr:colOff>180975</xdr:colOff>
      <xdr:row>0</xdr:row>
      <xdr:rowOff>0</xdr:rowOff>
    </xdr:from>
    <xdr:to>
      <xdr:col>12</xdr:col>
      <xdr:colOff>171450</xdr:colOff>
      <xdr:row>0</xdr:row>
      <xdr:rowOff>0</xdr:rowOff>
    </xdr:to>
    <xdr:graphicFrame macro="">
      <xdr:nvGraphicFramePr>
        <xdr:cNvPr id="23662" name="Диаграмма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285750</xdr:colOff>
      <xdr:row>0</xdr:row>
      <xdr:rowOff>0</xdr:rowOff>
    </xdr:from>
    <xdr:to>
      <xdr:col>12</xdr:col>
      <xdr:colOff>466725</xdr:colOff>
      <xdr:row>0</xdr:row>
      <xdr:rowOff>0</xdr:rowOff>
    </xdr:to>
    <xdr:graphicFrame macro="">
      <xdr:nvGraphicFramePr>
        <xdr:cNvPr id="23663" name="Диаграмма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180975</xdr:colOff>
      <xdr:row>0</xdr:row>
      <xdr:rowOff>0</xdr:rowOff>
    </xdr:from>
    <xdr:to>
      <xdr:col>12</xdr:col>
      <xdr:colOff>171450</xdr:colOff>
      <xdr:row>0</xdr:row>
      <xdr:rowOff>0</xdr:rowOff>
    </xdr:to>
    <xdr:graphicFrame macro="">
      <xdr:nvGraphicFramePr>
        <xdr:cNvPr id="23664" name="Диаграмма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400050</xdr:colOff>
      <xdr:row>0</xdr:row>
      <xdr:rowOff>0</xdr:rowOff>
    </xdr:from>
    <xdr:to>
      <xdr:col>8</xdr:col>
      <xdr:colOff>514350</xdr:colOff>
      <xdr:row>0</xdr:row>
      <xdr:rowOff>0</xdr:rowOff>
    </xdr:to>
    <xdr:graphicFrame macro="">
      <xdr:nvGraphicFramePr>
        <xdr:cNvPr id="23665" name="Диаграмма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85725</xdr:colOff>
      <xdr:row>0</xdr:row>
      <xdr:rowOff>0</xdr:rowOff>
    </xdr:from>
    <xdr:to>
      <xdr:col>21</xdr:col>
      <xdr:colOff>390525</xdr:colOff>
      <xdr:row>0</xdr:row>
      <xdr:rowOff>0</xdr:rowOff>
    </xdr:to>
    <xdr:graphicFrame macro="">
      <xdr:nvGraphicFramePr>
        <xdr:cNvPr id="23669"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xdr:col>
      <xdr:colOff>314325</xdr:colOff>
      <xdr:row>0</xdr:row>
      <xdr:rowOff>0</xdr:rowOff>
    </xdr:from>
    <xdr:to>
      <xdr:col>5</xdr:col>
      <xdr:colOff>314325</xdr:colOff>
      <xdr:row>0</xdr:row>
      <xdr:rowOff>0</xdr:rowOff>
    </xdr:to>
    <xdr:sp macro="" textlink="">
      <xdr:nvSpPr>
        <xdr:cNvPr id="23676" name="Line 29"/>
        <xdr:cNvSpPr>
          <a:spLocks noChangeShapeType="1"/>
        </xdr:cNvSpPr>
      </xdr:nvSpPr>
      <xdr:spPr bwMode="auto">
        <a:xfrm>
          <a:off x="5934075" y="0"/>
          <a:ext cx="0" cy="0"/>
        </a:xfrm>
        <a:prstGeom prst="line">
          <a:avLst/>
        </a:prstGeom>
        <a:noFill/>
        <a:ln w="5715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314325</xdr:colOff>
      <xdr:row>269</xdr:row>
      <xdr:rowOff>200025</xdr:rowOff>
    </xdr:from>
    <xdr:to>
      <xdr:col>5</xdr:col>
      <xdr:colOff>314325</xdr:colOff>
      <xdr:row>270</xdr:row>
      <xdr:rowOff>723900</xdr:rowOff>
    </xdr:to>
    <xdr:sp macro="" textlink="">
      <xdr:nvSpPr>
        <xdr:cNvPr id="23677" name="Line 32"/>
        <xdr:cNvSpPr>
          <a:spLocks noChangeShapeType="1"/>
        </xdr:cNvSpPr>
      </xdr:nvSpPr>
      <xdr:spPr bwMode="auto">
        <a:xfrm>
          <a:off x="5934075" y="62274450"/>
          <a:ext cx="0" cy="485775"/>
        </a:xfrm>
        <a:prstGeom prst="line">
          <a:avLst/>
        </a:prstGeom>
        <a:noFill/>
        <a:ln w="5715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1736481</xdr:colOff>
      <xdr:row>90</xdr:row>
      <xdr:rowOff>158810</xdr:rowOff>
    </xdr:from>
    <xdr:to>
      <xdr:col>5</xdr:col>
      <xdr:colOff>114789</xdr:colOff>
      <xdr:row>102</xdr:row>
      <xdr:rowOff>87924</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180975</xdr:colOff>
      <xdr:row>421</xdr:row>
      <xdr:rowOff>0</xdr:rowOff>
    </xdr:from>
    <xdr:to>
      <xdr:col>18</xdr:col>
      <xdr:colOff>171450</xdr:colOff>
      <xdr:row>421</xdr:row>
      <xdr:rowOff>0</xdr:rowOff>
    </xdr:to>
    <xdr:graphicFrame macro="">
      <xdr:nvGraphicFramePr>
        <xdr:cNvPr id="21"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xdr:col>
      <xdr:colOff>285750</xdr:colOff>
      <xdr:row>421</xdr:row>
      <xdr:rowOff>0</xdr:rowOff>
    </xdr:from>
    <xdr:to>
      <xdr:col>18</xdr:col>
      <xdr:colOff>466725</xdr:colOff>
      <xdr:row>421</xdr:row>
      <xdr:rowOff>0</xdr:rowOff>
    </xdr:to>
    <xdr:graphicFrame macro="">
      <xdr:nvGraphicFramePr>
        <xdr:cNvPr id="2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180975</xdr:colOff>
      <xdr:row>421</xdr:row>
      <xdr:rowOff>0</xdr:rowOff>
    </xdr:from>
    <xdr:to>
      <xdr:col>18</xdr:col>
      <xdr:colOff>171450</xdr:colOff>
      <xdr:row>421</xdr:row>
      <xdr:rowOff>0</xdr:rowOff>
    </xdr:to>
    <xdr:graphicFrame macro="">
      <xdr:nvGraphicFramePr>
        <xdr:cNvPr id="2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146538</xdr:colOff>
      <xdr:row>162</xdr:row>
      <xdr:rowOff>153866</xdr:rowOff>
    </xdr:from>
    <xdr:to>
      <xdr:col>14</xdr:col>
      <xdr:colOff>553181</xdr:colOff>
      <xdr:row>177</xdr:row>
      <xdr:rowOff>65942</xdr:rowOff>
    </xdr:to>
    <xdr:graphicFrame macro="">
      <xdr:nvGraphicFramePr>
        <xdr:cNvPr id="5" name="Диаграмма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1051413</xdr:colOff>
      <xdr:row>164</xdr:row>
      <xdr:rowOff>51287</xdr:rowOff>
    </xdr:from>
    <xdr:to>
      <xdr:col>3</xdr:col>
      <xdr:colOff>556846</xdr:colOff>
      <xdr:row>178</xdr:row>
      <xdr:rowOff>98184</xdr:rowOff>
    </xdr:to>
    <xdr:graphicFrame macro="">
      <xdr:nvGraphicFramePr>
        <xdr:cNvPr id="6" name="Диаграмма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180975</xdr:colOff>
      <xdr:row>47</xdr:row>
      <xdr:rowOff>0</xdr:rowOff>
    </xdr:from>
    <xdr:to>
      <xdr:col>12</xdr:col>
      <xdr:colOff>171450</xdr:colOff>
      <xdr:row>47</xdr:row>
      <xdr:rowOff>0</xdr:rowOff>
    </xdr:to>
    <xdr:graphicFrame macro="">
      <xdr:nvGraphicFramePr>
        <xdr:cNvPr id="30726"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47</xdr:row>
      <xdr:rowOff>0</xdr:rowOff>
    </xdr:from>
    <xdr:to>
      <xdr:col>12</xdr:col>
      <xdr:colOff>466725</xdr:colOff>
      <xdr:row>47</xdr:row>
      <xdr:rowOff>0</xdr:rowOff>
    </xdr:to>
    <xdr:graphicFrame macro="">
      <xdr:nvGraphicFramePr>
        <xdr:cNvPr id="30727"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180975</xdr:colOff>
      <xdr:row>47</xdr:row>
      <xdr:rowOff>0</xdr:rowOff>
    </xdr:from>
    <xdr:to>
      <xdr:col>12</xdr:col>
      <xdr:colOff>171450</xdr:colOff>
      <xdr:row>47</xdr:row>
      <xdr:rowOff>0</xdr:rowOff>
    </xdr:to>
    <xdr:graphicFrame macro="">
      <xdr:nvGraphicFramePr>
        <xdr:cNvPr id="30728"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67</xdr:row>
      <xdr:rowOff>0</xdr:rowOff>
    </xdr:from>
    <xdr:to>
      <xdr:col>2</xdr:col>
      <xdr:colOff>0</xdr:colOff>
      <xdr:row>67</xdr:row>
      <xdr:rowOff>0</xdr:rowOff>
    </xdr:to>
    <xdr:sp macro="" textlink="">
      <xdr:nvSpPr>
        <xdr:cNvPr id="130049" name="Line 1"/>
        <xdr:cNvSpPr>
          <a:spLocks noChangeShapeType="1"/>
        </xdr:cNvSpPr>
      </xdr:nvSpPr>
      <xdr:spPr bwMode="auto">
        <a:xfrm>
          <a:off x="5591175" y="13706475"/>
          <a:ext cx="0" cy="0"/>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285750</xdr:colOff>
      <xdr:row>67</xdr:row>
      <xdr:rowOff>0</xdr:rowOff>
    </xdr:from>
    <xdr:to>
      <xdr:col>4</xdr:col>
      <xdr:colOff>285750</xdr:colOff>
      <xdr:row>67</xdr:row>
      <xdr:rowOff>0</xdr:rowOff>
    </xdr:to>
    <xdr:sp macro="" textlink="">
      <xdr:nvSpPr>
        <xdr:cNvPr id="130050" name="Line 5"/>
        <xdr:cNvSpPr>
          <a:spLocks noChangeShapeType="1"/>
        </xdr:cNvSpPr>
      </xdr:nvSpPr>
      <xdr:spPr bwMode="auto">
        <a:xfrm>
          <a:off x="7096125" y="13706475"/>
          <a:ext cx="0" cy="0"/>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27</xdr:col>
      <xdr:colOff>285750</xdr:colOff>
      <xdr:row>428</xdr:row>
      <xdr:rowOff>38100</xdr:rowOff>
    </xdr:from>
    <xdr:to>
      <xdr:col>33</xdr:col>
      <xdr:colOff>371475</xdr:colOff>
      <xdr:row>437</xdr:row>
      <xdr:rowOff>460374</xdr:rowOff>
    </xdr:to>
    <xdr:pic>
      <xdr:nvPicPr>
        <xdr:cNvPr id="267066" name="Picture 185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135975" y="110270925"/>
          <a:ext cx="3905250" cy="272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409575</xdr:colOff>
      <xdr:row>156</xdr:row>
      <xdr:rowOff>85725</xdr:rowOff>
    </xdr:from>
    <xdr:to>
      <xdr:col>2</xdr:col>
      <xdr:colOff>685800</xdr:colOff>
      <xdr:row>168</xdr:row>
      <xdr:rowOff>0</xdr:rowOff>
    </xdr:to>
    <xdr:graphicFrame macro="">
      <xdr:nvGraphicFramePr>
        <xdr:cNvPr id="267698" name="Диаграмма 24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1015998</xdr:colOff>
      <xdr:row>120</xdr:row>
      <xdr:rowOff>69056</xdr:rowOff>
    </xdr:from>
    <xdr:to>
      <xdr:col>1</xdr:col>
      <xdr:colOff>261937</xdr:colOff>
      <xdr:row>132</xdr:row>
      <xdr:rowOff>127001</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28575</xdr:colOff>
      <xdr:row>429</xdr:row>
      <xdr:rowOff>76200</xdr:rowOff>
    </xdr:from>
    <xdr:to>
      <xdr:col>8</xdr:col>
      <xdr:colOff>142875</xdr:colOff>
      <xdr:row>429</xdr:row>
      <xdr:rowOff>571500</xdr:rowOff>
    </xdr:to>
    <xdr:pic>
      <xdr:nvPicPr>
        <xdr:cNvPr id="7" name="Picture 1369"/>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696325" y="105002013"/>
          <a:ext cx="725488"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429</xdr:row>
      <xdr:rowOff>104775</xdr:rowOff>
    </xdr:from>
    <xdr:to>
      <xdr:col>9</xdr:col>
      <xdr:colOff>39688</xdr:colOff>
      <xdr:row>429</xdr:row>
      <xdr:rowOff>579437</xdr:rowOff>
    </xdr:to>
    <xdr:pic>
      <xdr:nvPicPr>
        <xdr:cNvPr id="8" name="Picture 1371"/>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278938" y="105030588"/>
          <a:ext cx="650875" cy="474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57151</xdr:colOff>
      <xdr:row>429</xdr:row>
      <xdr:rowOff>85724</xdr:rowOff>
    </xdr:from>
    <xdr:to>
      <xdr:col>9</xdr:col>
      <xdr:colOff>571501</xdr:colOff>
      <xdr:row>429</xdr:row>
      <xdr:rowOff>627061</xdr:rowOff>
    </xdr:to>
    <xdr:pic>
      <xdr:nvPicPr>
        <xdr:cNvPr id="9" name="Picture 1373"/>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947276" y="105011537"/>
          <a:ext cx="514350" cy="5413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429</xdr:row>
      <xdr:rowOff>19050</xdr:rowOff>
    </xdr:from>
    <xdr:to>
      <xdr:col>10</xdr:col>
      <xdr:colOff>547687</xdr:colOff>
      <xdr:row>429</xdr:row>
      <xdr:rowOff>587375</xdr:rowOff>
    </xdr:to>
    <xdr:pic>
      <xdr:nvPicPr>
        <xdr:cNvPr id="10" name="Picture 1375"/>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501313" y="104944863"/>
          <a:ext cx="547687" cy="568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76200</xdr:colOff>
      <xdr:row>429</xdr:row>
      <xdr:rowOff>114300</xdr:rowOff>
    </xdr:from>
    <xdr:to>
      <xdr:col>12</xdr:col>
      <xdr:colOff>0</xdr:colOff>
      <xdr:row>429</xdr:row>
      <xdr:rowOff>611187</xdr:rowOff>
    </xdr:to>
    <xdr:pic>
      <xdr:nvPicPr>
        <xdr:cNvPr id="11" name="Picture 1377"/>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88700" y="105040113"/>
          <a:ext cx="534988" cy="4968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47626</xdr:colOff>
      <xdr:row>429</xdr:row>
      <xdr:rowOff>38100</xdr:rowOff>
    </xdr:from>
    <xdr:to>
      <xdr:col>12</xdr:col>
      <xdr:colOff>515937</xdr:colOff>
      <xdr:row>429</xdr:row>
      <xdr:rowOff>642937</xdr:rowOff>
    </xdr:to>
    <xdr:pic>
      <xdr:nvPicPr>
        <xdr:cNvPr id="12" name="Picture 1379"/>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1771314" y="104963913"/>
          <a:ext cx="468311" cy="6048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609600</xdr:colOff>
      <xdr:row>429</xdr:row>
      <xdr:rowOff>19050</xdr:rowOff>
    </xdr:from>
    <xdr:to>
      <xdr:col>13</xdr:col>
      <xdr:colOff>476250</xdr:colOff>
      <xdr:row>429</xdr:row>
      <xdr:rowOff>698500</xdr:rowOff>
    </xdr:to>
    <xdr:pic>
      <xdr:nvPicPr>
        <xdr:cNvPr id="13" name="Picture 1381"/>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2333288" y="104944863"/>
          <a:ext cx="477837" cy="679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608013</xdr:colOff>
      <xdr:row>429</xdr:row>
      <xdr:rowOff>53975</xdr:rowOff>
    </xdr:from>
    <xdr:to>
      <xdr:col>14</xdr:col>
      <xdr:colOff>563562</xdr:colOff>
      <xdr:row>429</xdr:row>
      <xdr:rowOff>650875</xdr:rowOff>
    </xdr:to>
    <xdr:pic>
      <xdr:nvPicPr>
        <xdr:cNvPr id="14" name="Picture 1383"/>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2942888" y="104979788"/>
          <a:ext cx="566737" cy="596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9525</xdr:colOff>
      <xdr:row>429</xdr:row>
      <xdr:rowOff>57150</xdr:rowOff>
    </xdr:from>
    <xdr:to>
      <xdr:col>15</xdr:col>
      <xdr:colOff>547688</xdr:colOff>
      <xdr:row>429</xdr:row>
      <xdr:rowOff>650875</xdr:rowOff>
    </xdr:to>
    <xdr:pic>
      <xdr:nvPicPr>
        <xdr:cNvPr id="15" name="Picture 1385"/>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3566775" y="104982963"/>
          <a:ext cx="538163" cy="593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26</xdr:col>
      <xdr:colOff>304800</xdr:colOff>
      <xdr:row>839</xdr:row>
      <xdr:rowOff>28575</xdr:rowOff>
    </xdr:from>
    <xdr:to>
      <xdr:col>34</xdr:col>
      <xdr:colOff>104775</xdr:colOff>
      <xdr:row>851</xdr:row>
      <xdr:rowOff>142875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1117</xdr:row>
      <xdr:rowOff>152400</xdr:rowOff>
    </xdr:from>
    <xdr:to>
      <xdr:col>10</xdr:col>
      <xdr:colOff>0</xdr:colOff>
      <xdr:row>1121</xdr:row>
      <xdr:rowOff>57150</xdr:rowOff>
    </xdr:to>
    <xdr:sp macro="" textlink="">
      <xdr:nvSpPr>
        <xdr:cNvPr id="3" name="Строка 11"/>
        <xdr:cNvSpPr>
          <a:spLocks noChangeShapeType="1"/>
        </xdr:cNvSpPr>
      </xdr:nvSpPr>
      <xdr:spPr bwMode="auto">
        <a:xfrm>
          <a:off x="6096000" y="161267775"/>
          <a:ext cx="0" cy="55245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042;&#1072;&#1076;&#1080;&#1084;/Desktop/&#1057;&#1040;&#1055;&#1056;kursovoy2021/&#1057;&#1040;&#1055;&#1056;-&#1050;&#1091;&#1088;&#1089;&#1086;&#1074;&#1086;&#1081;%202022/&#1069;&#1052;&#1052;%20&#1101;&#1082;&#1079;&#1072;&#1084;&#1077;&#1085;/&#1050;%20&#1082;&#1091;&#1088;&#1089;&#1091;%20&#1069;&#1052;&#1052;%20-%20&#1084;&#1086;&#1076;&#1077;&#1083;&#1100;%20&#1086;&#1095;&#1080;&#1089;&#1090;&#1085;&#1086;&#1075;&#1086;%20&#1079;&#1072;&#1073;&#1086;&#1103;%20och_zabo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boy"/>
      <sheetName val="км"/>
      <sheetName val="ки"/>
      <sheetName val="см"/>
      <sheetName val="си"/>
    </sheetNames>
    <sheetDataSet>
      <sheetData sheetId="0">
        <row r="76">
          <cell r="B76">
            <v>0.1</v>
          </cell>
        </row>
        <row r="85">
          <cell r="B85">
            <v>20</v>
          </cell>
        </row>
        <row r="120">
          <cell r="B120">
            <v>6</v>
          </cell>
          <cell r="C120">
            <v>6</v>
          </cell>
          <cell r="D120">
            <v>6</v>
          </cell>
          <cell r="E120">
            <v>6</v>
          </cell>
          <cell r="F120">
            <v>6</v>
          </cell>
          <cell r="G120">
            <v>6</v>
          </cell>
        </row>
        <row r="125">
          <cell r="B125">
            <v>5</v>
          </cell>
          <cell r="C125">
            <v>5</v>
          </cell>
          <cell r="D125">
            <v>5</v>
          </cell>
          <cell r="E125">
            <v>5</v>
          </cell>
          <cell r="F125">
            <v>5</v>
          </cell>
          <cell r="G125">
            <v>5</v>
          </cell>
        </row>
        <row r="126">
          <cell r="B126">
            <v>7</v>
          </cell>
          <cell r="C126">
            <v>7</v>
          </cell>
          <cell r="D126">
            <v>7</v>
          </cell>
          <cell r="E126">
            <v>7</v>
          </cell>
          <cell r="F126">
            <v>7</v>
          </cell>
          <cell r="G126">
            <v>7</v>
          </cell>
        </row>
        <row r="143">
          <cell r="B143">
            <v>2</v>
          </cell>
          <cell r="C143">
            <v>2</v>
          </cell>
          <cell r="D143">
            <v>2</v>
          </cell>
          <cell r="E143">
            <v>2</v>
          </cell>
          <cell r="F143">
            <v>2</v>
          </cell>
          <cell r="G143">
            <v>2</v>
          </cell>
        </row>
        <row r="149">
          <cell r="B149">
            <v>2</v>
          </cell>
          <cell r="C149">
            <v>2</v>
          </cell>
          <cell r="D149">
            <v>2</v>
          </cell>
          <cell r="E149">
            <v>2</v>
          </cell>
          <cell r="F149">
            <v>2</v>
          </cell>
          <cell r="G149">
            <v>2</v>
          </cell>
        </row>
        <row r="150">
          <cell r="B150">
            <v>1</v>
          </cell>
        </row>
        <row r="156">
          <cell r="B156">
            <v>1</v>
          </cell>
          <cell r="C156">
            <v>1</v>
          </cell>
          <cell r="D156">
            <v>1</v>
          </cell>
          <cell r="E156">
            <v>1</v>
          </cell>
          <cell r="F156">
            <v>1</v>
          </cell>
          <cell r="G156">
            <v>1</v>
          </cell>
        </row>
        <row r="165">
          <cell r="B165">
            <v>0.1</v>
          </cell>
          <cell r="C165">
            <v>0.1</v>
          </cell>
          <cell r="D165">
            <v>0.1</v>
          </cell>
          <cell r="E165">
            <v>0.1</v>
          </cell>
          <cell r="F165">
            <v>0.1</v>
          </cell>
          <cell r="G165">
            <v>0.1</v>
          </cell>
        </row>
        <row r="166">
          <cell r="B166">
            <v>0.15</v>
          </cell>
          <cell r="C166">
            <v>0.15</v>
          </cell>
          <cell r="D166">
            <v>0.15</v>
          </cell>
          <cell r="E166">
            <v>0.15</v>
          </cell>
          <cell r="F166">
            <v>0.15</v>
          </cell>
          <cell r="G166">
            <v>0.15</v>
          </cell>
        </row>
        <row r="167">
          <cell r="B167">
            <v>0.03</v>
          </cell>
          <cell r="C167">
            <v>0.03</v>
          </cell>
          <cell r="D167">
            <v>0.03</v>
          </cell>
          <cell r="E167">
            <v>0.03</v>
          </cell>
          <cell r="F167">
            <v>0.03</v>
          </cell>
          <cell r="G167">
            <v>0.03</v>
          </cell>
        </row>
        <row r="168">
          <cell r="B168">
            <v>0.2</v>
          </cell>
          <cell r="C168">
            <v>0.2</v>
          </cell>
          <cell r="D168">
            <v>0.2</v>
          </cell>
          <cell r="E168">
            <v>0.2</v>
          </cell>
          <cell r="F168">
            <v>0.2</v>
          </cell>
          <cell r="G168">
            <v>0.2</v>
          </cell>
        </row>
        <row r="174">
          <cell r="B174">
            <v>5000</v>
          </cell>
          <cell r="C174">
            <v>5000</v>
          </cell>
          <cell r="D174">
            <v>5000</v>
          </cell>
          <cell r="E174">
            <v>5000</v>
          </cell>
          <cell r="F174">
            <v>5000</v>
          </cell>
          <cell r="G174">
            <v>5000</v>
          </cell>
        </row>
        <row r="175">
          <cell r="B175">
            <v>600</v>
          </cell>
          <cell r="C175">
            <v>600</v>
          </cell>
          <cell r="D175">
            <v>600</v>
          </cell>
          <cell r="E175">
            <v>600</v>
          </cell>
          <cell r="F175">
            <v>600</v>
          </cell>
          <cell r="G175">
            <v>600</v>
          </cell>
        </row>
        <row r="176">
          <cell r="B176">
            <v>10000</v>
          </cell>
          <cell r="C176">
            <v>10000</v>
          </cell>
          <cell r="D176">
            <v>10000</v>
          </cell>
          <cell r="E176">
            <v>10000</v>
          </cell>
          <cell r="F176">
            <v>10000</v>
          </cell>
          <cell r="G176">
            <v>10000</v>
          </cell>
        </row>
        <row r="177">
          <cell r="B177">
            <v>800</v>
          </cell>
          <cell r="C177">
            <v>800</v>
          </cell>
          <cell r="D177">
            <v>800</v>
          </cell>
          <cell r="E177">
            <v>800</v>
          </cell>
          <cell r="F177">
            <v>800</v>
          </cell>
          <cell r="G177">
            <v>800</v>
          </cell>
        </row>
        <row r="178">
          <cell r="B178">
            <v>5000</v>
          </cell>
          <cell r="C178">
            <v>5000</v>
          </cell>
          <cell r="D178">
            <v>5000</v>
          </cell>
          <cell r="E178">
            <v>5000</v>
          </cell>
          <cell r="F178">
            <v>5000</v>
          </cell>
          <cell r="G178">
            <v>5000</v>
          </cell>
        </row>
        <row r="179">
          <cell r="B179">
            <v>1.27</v>
          </cell>
          <cell r="C179">
            <v>1.27</v>
          </cell>
          <cell r="D179">
            <v>1.27</v>
          </cell>
          <cell r="E179">
            <v>1.27</v>
          </cell>
          <cell r="F179">
            <v>1.27</v>
          </cell>
          <cell r="G179">
            <v>1.27</v>
          </cell>
        </row>
        <row r="180">
          <cell r="B180">
            <v>1.1000000000000001</v>
          </cell>
          <cell r="C180">
            <v>1.1000000000000001</v>
          </cell>
          <cell r="D180">
            <v>1.1000000000000001</v>
          </cell>
          <cell r="E180">
            <v>1.1000000000000001</v>
          </cell>
          <cell r="F180">
            <v>1.1000000000000001</v>
          </cell>
          <cell r="G180">
            <v>1.1000000000000001</v>
          </cell>
        </row>
        <row r="181">
          <cell r="B181">
            <v>1.4</v>
          </cell>
          <cell r="C181">
            <v>1.4</v>
          </cell>
          <cell r="D181">
            <v>1.4</v>
          </cell>
          <cell r="E181">
            <v>1.4</v>
          </cell>
          <cell r="F181">
            <v>1.4</v>
          </cell>
          <cell r="G181">
            <v>1.4</v>
          </cell>
        </row>
        <row r="182">
          <cell r="B182">
            <v>300</v>
          </cell>
          <cell r="C182">
            <v>300</v>
          </cell>
          <cell r="D182">
            <v>300</v>
          </cell>
          <cell r="E182">
            <v>300</v>
          </cell>
          <cell r="F182">
            <v>300</v>
          </cell>
          <cell r="G182">
            <v>300</v>
          </cell>
        </row>
        <row r="183">
          <cell r="B183">
            <v>10000</v>
          </cell>
          <cell r="C183">
            <v>10000</v>
          </cell>
          <cell r="D183">
            <v>10000</v>
          </cell>
          <cell r="E183">
            <v>10000</v>
          </cell>
          <cell r="F183">
            <v>10000</v>
          </cell>
          <cell r="G183">
            <v>10000</v>
          </cell>
        </row>
        <row r="184">
          <cell r="B184">
            <v>36</v>
          </cell>
          <cell r="C184">
            <v>36</v>
          </cell>
          <cell r="D184">
            <v>36</v>
          </cell>
          <cell r="E184">
            <v>36</v>
          </cell>
          <cell r="F184">
            <v>36</v>
          </cell>
          <cell r="G184">
            <v>36</v>
          </cell>
        </row>
        <row r="185">
          <cell r="B185">
            <v>20</v>
          </cell>
          <cell r="C185">
            <v>20</v>
          </cell>
          <cell r="D185">
            <v>20</v>
          </cell>
          <cell r="E185">
            <v>20</v>
          </cell>
          <cell r="F185">
            <v>20</v>
          </cell>
          <cell r="G185">
            <v>20</v>
          </cell>
        </row>
        <row r="186">
          <cell r="B186">
            <v>10</v>
          </cell>
          <cell r="C186">
            <v>10</v>
          </cell>
          <cell r="D186">
            <v>10</v>
          </cell>
          <cell r="E186">
            <v>10</v>
          </cell>
          <cell r="F186">
            <v>10</v>
          </cell>
          <cell r="G186">
            <v>10</v>
          </cell>
        </row>
        <row r="188">
          <cell r="B188">
            <v>100</v>
          </cell>
          <cell r="C188">
            <v>100</v>
          </cell>
          <cell r="D188">
            <v>100</v>
          </cell>
          <cell r="E188">
            <v>100</v>
          </cell>
          <cell r="F188">
            <v>100</v>
          </cell>
          <cell r="G188">
            <v>100</v>
          </cell>
        </row>
        <row r="189">
          <cell r="B189">
            <v>2000</v>
          </cell>
          <cell r="C189">
            <v>2000</v>
          </cell>
          <cell r="D189">
            <v>2000</v>
          </cell>
          <cell r="E189">
            <v>2000</v>
          </cell>
          <cell r="F189">
            <v>2000</v>
          </cell>
          <cell r="G189">
            <v>2000</v>
          </cell>
        </row>
        <row r="190">
          <cell r="B190">
            <v>100000</v>
          </cell>
          <cell r="C190">
            <v>100000</v>
          </cell>
          <cell r="D190">
            <v>100000</v>
          </cell>
          <cell r="E190">
            <v>100000</v>
          </cell>
          <cell r="F190">
            <v>100000</v>
          </cell>
          <cell r="G190">
            <v>100000</v>
          </cell>
        </row>
        <row r="191">
          <cell r="B191">
            <v>30</v>
          </cell>
          <cell r="C191">
            <v>30</v>
          </cell>
          <cell r="D191">
            <v>30</v>
          </cell>
          <cell r="E191">
            <v>30</v>
          </cell>
          <cell r="F191">
            <v>30</v>
          </cell>
          <cell r="G191">
            <v>30</v>
          </cell>
        </row>
        <row r="192">
          <cell r="B192">
            <v>4000</v>
          </cell>
          <cell r="C192">
            <v>4000</v>
          </cell>
          <cell r="D192">
            <v>4000</v>
          </cell>
          <cell r="E192">
            <v>4000</v>
          </cell>
          <cell r="F192">
            <v>4000</v>
          </cell>
          <cell r="G192">
            <v>4000</v>
          </cell>
        </row>
        <row r="194">
          <cell r="B194">
            <v>20000000</v>
          </cell>
          <cell r="C194">
            <v>20000000</v>
          </cell>
          <cell r="D194">
            <v>20000000</v>
          </cell>
          <cell r="E194">
            <v>20000000</v>
          </cell>
          <cell r="F194">
            <v>20000000</v>
          </cell>
          <cell r="G194">
            <v>20000000</v>
          </cell>
        </row>
        <row r="195">
          <cell r="B195">
            <v>20000000</v>
          </cell>
          <cell r="C195">
            <v>20000000</v>
          </cell>
          <cell r="D195">
            <v>20000000</v>
          </cell>
          <cell r="E195">
            <v>20000000</v>
          </cell>
          <cell r="F195">
            <v>20000000</v>
          </cell>
          <cell r="G195">
            <v>20000000</v>
          </cell>
        </row>
        <row r="197">
          <cell r="B197">
            <v>10</v>
          </cell>
          <cell r="C197">
            <v>10</v>
          </cell>
          <cell r="D197">
            <v>10</v>
          </cell>
          <cell r="E197">
            <v>10</v>
          </cell>
          <cell r="F197">
            <v>10</v>
          </cell>
          <cell r="G197">
            <v>10</v>
          </cell>
        </row>
        <row r="198">
          <cell r="B198">
            <v>20</v>
          </cell>
          <cell r="C198">
            <v>20</v>
          </cell>
          <cell r="D198">
            <v>20</v>
          </cell>
          <cell r="E198">
            <v>20</v>
          </cell>
          <cell r="F198">
            <v>20</v>
          </cell>
          <cell r="G198">
            <v>20</v>
          </cell>
        </row>
        <row r="199">
          <cell r="B199">
            <v>70</v>
          </cell>
          <cell r="C199">
            <v>70</v>
          </cell>
          <cell r="D199">
            <v>70</v>
          </cell>
          <cell r="E199">
            <v>70</v>
          </cell>
          <cell r="F199">
            <v>70</v>
          </cell>
          <cell r="G199">
            <v>70</v>
          </cell>
        </row>
        <row r="200">
          <cell r="B200">
            <v>3000</v>
          </cell>
          <cell r="C200">
            <v>3000</v>
          </cell>
          <cell r="D200">
            <v>3000</v>
          </cell>
          <cell r="E200">
            <v>3000</v>
          </cell>
          <cell r="F200">
            <v>3000</v>
          </cell>
          <cell r="G200">
            <v>3000</v>
          </cell>
        </row>
        <row r="201">
          <cell r="B201">
            <v>1000</v>
          </cell>
          <cell r="C201">
            <v>1000</v>
          </cell>
          <cell r="D201">
            <v>1000</v>
          </cell>
          <cell r="E201">
            <v>1000</v>
          </cell>
          <cell r="F201">
            <v>1000</v>
          </cell>
          <cell r="G201">
            <v>1000</v>
          </cell>
        </row>
        <row r="202">
          <cell r="B202">
            <v>2000</v>
          </cell>
          <cell r="C202">
            <v>2000</v>
          </cell>
          <cell r="D202">
            <v>2000</v>
          </cell>
          <cell r="E202">
            <v>2000</v>
          </cell>
          <cell r="F202">
            <v>2000</v>
          </cell>
          <cell r="G202">
            <v>2000</v>
          </cell>
        </row>
        <row r="203">
          <cell r="B203">
            <v>3</v>
          </cell>
          <cell r="C203">
            <v>3</v>
          </cell>
          <cell r="D203">
            <v>3</v>
          </cell>
          <cell r="E203">
            <v>3</v>
          </cell>
          <cell r="F203">
            <v>3</v>
          </cell>
          <cell r="G203">
            <v>3</v>
          </cell>
        </row>
        <row r="204">
          <cell r="B204">
            <v>0.8</v>
          </cell>
          <cell r="C204">
            <v>0.8</v>
          </cell>
          <cell r="D204">
            <v>0.8</v>
          </cell>
          <cell r="E204">
            <v>0.8</v>
          </cell>
          <cell r="F204">
            <v>0.8</v>
          </cell>
          <cell r="G204">
            <v>0.8</v>
          </cell>
        </row>
        <row r="205">
          <cell r="B205">
            <v>15</v>
          </cell>
          <cell r="C205">
            <v>15</v>
          </cell>
          <cell r="D205">
            <v>15</v>
          </cell>
          <cell r="E205">
            <v>15</v>
          </cell>
          <cell r="F205">
            <v>15</v>
          </cell>
          <cell r="G205">
            <v>15</v>
          </cell>
        </row>
        <row r="206">
          <cell r="B206">
            <v>9</v>
          </cell>
          <cell r="C206">
            <v>9</v>
          </cell>
          <cell r="D206">
            <v>9</v>
          </cell>
          <cell r="E206">
            <v>9</v>
          </cell>
          <cell r="F206">
            <v>9</v>
          </cell>
          <cell r="G206">
            <v>9</v>
          </cell>
        </row>
        <row r="208">
          <cell r="B208">
            <v>300</v>
          </cell>
          <cell r="C208">
            <v>300</v>
          </cell>
          <cell r="D208">
            <v>300</v>
          </cell>
          <cell r="E208">
            <v>300</v>
          </cell>
          <cell r="F208">
            <v>300</v>
          </cell>
          <cell r="G208">
            <v>300</v>
          </cell>
        </row>
        <row r="210">
          <cell r="B210">
            <v>20</v>
          </cell>
          <cell r="C210">
            <v>20</v>
          </cell>
          <cell r="D210">
            <v>20</v>
          </cell>
          <cell r="E210">
            <v>20</v>
          </cell>
          <cell r="F210">
            <v>20</v>
          </cell>
          <cell r="G210">
            <v>20</v>
          </cell>
        </row>
        <row r="211">
          <cell r="B211">
            <v>33</v>
          </cell>
          <cell r="C211">
            <v>33</v>
          </cell>
          <cell r="D211">
            <v>33</v>
          </cell>
          <cell r="E211">
            <v>33</v>
          </cell>
          <cell r="F211">
            <v>33</v>
          </cell>
          <cell r="G211">
            <v>33</v>
          </cell>
        </row>
        <row r="212">
          <cell r="B212">
            <v>33</v>
          </cell>
          <cell r="C212">
            <v>33</v>
          </cell>
          <cell r="D212">
            <v>33</v>
          </cell>
          <cell r="E212">
            <v>33</v>
          </cell>
          <cell r="F212">
            <v>33</v>
          </cell>
          <cell r="G212">
            <v>33</v>
          </cell>
        </row>
        <row r="213">
          <cell r="B213">
            <v>3</v>
          </cell>
          <cell r="C213">
            <v>3</v>
          </cell>
          <cell r="D213">
            <v>3</v>
          </cell>
          <cell r="E213">
            <v>3</v>
          </cell>
          <cell r="F213">
            <v>3</v>
          </cell>
          <cell r="G213">
            <v>3</v>
          </cell>
        </row>
        <row r="214">
          <cell r="B214">
            <v>2</v>
          </cell>
          <cell r="C214">
            <v>2</v>
          </cell>
          <cell r="D214">
            <v>2</v>
          </cell>
          <cell r="E214">
            <v>2</v>
          </cell>
          <cell r="F214">
            <v>2</v>
          </cell>
          <cell r="G214">
            <v>2</v>
          </cell>
        </row>
        <row r="215">
          <cell r="B215">
            <v>80</v>
          </cell>
          <cell r="C215">
            <v>80</v>
          </cell>
          <cell r="D215">
            <v>80</v>
          </cell>
          <cell r="E215">
            <v>80</v>
          </cell>
          <cell r="F215">
            <v>80</v>
          </cell>
          <cell r="G215">
            <v>80</v>
          </cell>
        </row>
        <row r="216">
          <cell r="B216">
            <v>20</v>
          </cell>
          <cell r="C216">
            <v>20</v>
          </cell>
          <cell r="D216">
            <v>20</v>
          </cell>
          <cell r="E216">
            <v>20</v>
          </cell>
          <cell r="F216">
            <v>20</v>
          </cell>
          <cell r="G216">
            <v>20</v>
          </cell>
        </row>
        <row r="218">
          <cell r="B218">
            <v>20</v>
          </cell>
          <cell r="C218">
            <v>20</v>
          </cell>
          <cell r="D218">
            <v>20</v>
          </cell>
          <cell r="E218">
            <v>20</v>
          </cell>
          <cell r="F218">
            <v>20</v>
          </cell>
          <cell r="G218">
            <v>20</v>
          </cell>
        </row>
        <row r="222">
          <cell r="B222">
            <v>10</v>
          </cell>
          <cell r="C222">
            <v>10</v>
          </cell>
          <cell r="D222">
            <v>10</v>
          </cell>
          <cell r="E222">
            <v>10</v>
          </cell>
          <cell r="F222">
            <v>10</v>
          </cell>
          <cell r="G222">
            <v>10</v>
          </cell>
        </row>
        <row r="223">
          <cell r="B223">
            <v>20</v>
          </cell>
          <cell r="C223">
            <v>20</v>
          </cell>
          <cell r="D223">
            <v>20</v>
          </cell>
          <cell r="E223">
            <v>20</v>
          </cell>
          <cell r="F223">
            <v>20</v>
          </cell>
          <cell r="G223">
            <v>20</v>
          </cell>
        </row>
        <row r="224">
          <cell r="B224">
            <v>3</v>
          </cell>
          <cell r="C224">
            <v>3</v>
          </cell>
          <cell r="D224">
            <v>3</v>
          </cell>
          <cell r="E224">
            <v>3</v>
          </cell>
          <cell r="F224">
            <v>3</v>
          </cell>
          <cell r="G224">
            <v>3</v>
          </cell>
        </row>
        <row r="225">
          <cell r="B225">
            <v>5</v>
          </cell>
          <cell r="C225">
            <v>5</v>
          </cell>
          <cell r="D225">
            <v>5</v>
          </cell>
          <cell r="E225">
            <v>5</v>
          </cell>
          <cell r="F225">
            <v>5</v>
          </cell>
          <cell r="G225">
            <v>5</v>
          </cell>
        </row>
        <row r="226">
          <cell r="B226">
            <v>12</v>
          </cell>
          <cell r="C226">
            <v>12</v>
          </cell>
          <cell r="D226">
            <v>12</v>
          </cell>
          <cell r="E226">
            <v>12</v>
          </cell>
          <cell r="F226">
            <v>12</v>
          </cell>
          <cell r="G226">
            <v>12</v>
          </cell>
        </row>
        <row r="227">
          <cell r="B227">
            <v>12</v>
          </cell>
          <cell r="C227">
            <v>12</v>
          </cell>
          <cell r="D227">
            <v>12</v>
          </cell>
          <cell r="E227">
            <v>12</v>
          </cell>
          <cell r="F227">
            <v>12</v>
          </cell>
          <cell r="G227">
            <v>12</v>
          </cell>
        </row>
        <row r="228">
          <cell r="B228">
            <v>24</v>
          </cell>
          <cell r="C228">
            <v>24</v>
          </cell>
          <cell r="D228">
            <v>24</v>
          </cell>
          <cell r="E228">
            <v>24</v>
          </cell>
          <cell r="F228">
            <v>24</v>
          </cell>
          <cell r="G228">
            <v>24</v>
          </cell>
        </row>
        <row r="229">
          <cell r="B229">
            <v>36</v>
          </cell>
          <cell r="C229">
            <v>36</v>
          </cell>
          <cell r="D229">
            <v>36</v>
          </cell>
          <cell r="E229">
            <v>36</v>
          </cell>
          <cell r="F229">
            <v>36</v>
          </cell>
          <cell r="G229">
            <v>36</v>
          </cell>
        </row>
        <row r="230">
          <cell r="B230">
            <v>12</v>
          </cell>
          <cell r="C230">
            <v>12</v>
          </cell>
          <cell r="D230">
            <v>12</v>
          </cell>
          <cell r="E230">
            <v>12</v>
          </cell>
          <cell r="F230">
            <v>12</v>
          </cell>
          <cell r="G230">
            <v>12</v>
          </cell>
        </row>
        <row r="455">
          <cell r="B455">
            <v>200</v>
          </cell>
          <cell r="C455">
            <v>200</v>
          </cell>
          <cell r="D455">
            <v>200</v>
          </cell>
          <cell r="E455">
            <v>200</v>
          </cell>
          <cell r="F455">
            <v>200</v>
          </cell>
          <cell r="G455">
            <v>200</v>
          </cell>
        </row>
      </sheetData>
      <sheetData sheetId="1"/>
      <sheetData sheetId="2"/>
      <sheetData sheetId="3"/>
      <sheetData sheetId="4"/>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w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Y2562"/>
  <sheetViews>
    <sheetView tabSelected="1" topLeftCell="A91" zoomScale="140" zoomScaleNormal="140" workbookViewId="0">
      <selection activeCell="B27" sqref="B27"/>
    </sheetView>
  </sheetViews>
  <sheetFormatPr defaultRowHeight="12.75" x14ac:dyDescent="0.2"/>
  <cols>
    <col min="1" max="1" width="75.140625" customWidth="1"/>
    <col min="2" max="2" width="15.85546875" customWidth="1"/>
    <col min="3" max="3" width="12" customWidth="1"/>
    <col min="4" max="4" width="11" bestFit="1" customWidth="1"/>
    <col min="5" max="5" width="14" customWidth="1"/>
    <col min="6" max="6" width="12.42578125" customWidth="1"/>
    <col min="7" max="7" width="11.7109375" customWidth="1"/>
    <col min="8" max="8" width="11.5703125" customWidth="1"/>
    <col min="9" max="9" width="12.7109375" customWidth="1"/>
    <col min="10" max="10" width="11.5703125" customWidth="1"/>
    <col min="11" max="11" width="10.5703125" customWidth="1"/>
    <col min="12" max="12" width="10.7109375" customWidth="1"/>
    <col min="14" max="14" width="11.28515625" customWidth="1"/>
  </cols>
  <sheetData>
    <row r="1" spans="1:1" x14ac:dyDescent="0.2">
      <c r="A1" s="4132" t="s">
        <v>6687</v>
      </c>
    </row>
    <row r="2" spans="1:1" x14ac:dyDescent="0.2">
      <c r="A2" s="4129" t="s">
        <v>6688</v>
      </c>
    </row>
    <row r="3" spans="1:1" x14ac:dyDescent="0.2">
      <c r="A3" s="4129" t="s">
        <v>6689</v>
      </c>
    </row>
    <row r="4" spans="1:1" x14ac:dyDescent="0.2">
      <c r="A4" s="4129" t="s">
        <v>6690</v>
      </c>
    </row>
    <row r="5" spans="1:1" ht="14.25" x14ac:dyDescent="0.2">
      <c r="A5" s="4128" t="s">
        <v>6691</v>
      </c>
    </row>
    <row r="6" spans="1:1" x14ac:dyDescent="0.2">
      <c r="A6" s="4129"/>
    </row>
    <row r="7" spans="1:1" ht="15.75" x14ac:dyDescent="0.25">
      <c r="A7" s="4130" t="s">
        <v>6692</v>
      </c>
    </row>
    <row r="8" spans="1:1" ht="15.75" x14ac:dyDescent="0.25">
      <c r="A8" s="4130" t="s">
        <v>6693</v>
      </c>
    </row>
    <row r="9" spans="1:1" ht="15" x14ac:dyDescent="0.25">
      <c r="A9" s="2416"/>
    </row>
    <row r="10" spans="1:1" ht="15" x14ac:dyDescent="0.25">
      <c r="A10" s="4127"/>
    </row>
    <row r="11" spans="1:1" ht="15" x14ac:dyDescent="0.25">
      <c r="A11" s="4137"/>
    </row>
    <row r="12" spans="1:1" x14ac:dyDescent="0.2">
      <c r="A12" s="2418"/>
    </row>
    <row r="13" spans="1:1" ht="18.75" x14ac:dyDescent="0.3">
      <c r="A13" s="4131" t="s">
        <v>6694</v>
      </c>
    </row>
    <row r="14" spans="1:1" ht="18.75" x14ac:dyDescent="0.3">
      <c r="A14" s="4131" t="s">
        <v>6940</v>
      </c>
    </row>
    <row r="15" spans="1:1" ht="23.25" x14ac:dyDescent="0.35">
      <c r="A15" s="2417"/>
    </row>
    <row r="16" spans="1:1" ht="15.75" x14ac:dyDescent="0.25">
      <c r="A16" s="4100"/>
    </row>
    <row r="17" spans="1:1" x14ac:dyDescent="0.2">
      <c r="A17" s="2418"/>
    </row>
    <row r="18" spans="1:1" x14ac:dyDescent="0.2">
      <c r="A18" s="2418"/>
    </row>
    <row r="19" spans="1:1" x14ac:dyDescent="0.2">
      <c r="A19" s="4129" t="s">
        <v>4782</v>
      </c>
    </row>
    <row r="20" spans="1:1" x14ac:dyDescent="0.2">
      <c r="A20" s="4129" t="s">
        <v>6706</v>
      </c>
    </row>
    <row r="21" spans="1:1" x14ac:dyDescent="0.2">
      <c r="A21" s="4129" t="s">
        <v>6713</v>
      </c>
    </row>
    <row r="22" spans="1:1" x14ac:dyDescent="0.2">
      <c r="A22" s="4129" t="s">
        <v>6695</v>
      </c>
    </row>
    <row r="24" spans="1:1" x14ac:dyDescent="0.2">
      <c r="A24" s="4139" t="s">
        <v>6697</v>
      </c>
    </row>
    <row r="25" spans="1:1" x14ac:dyDescent="0.2">
      <c r="A25" s="4135" t="s">
        <v>6696</v>
      </c>
    </row>
    <row r="26" spans="1:1" x14ac:dyDescent="0.2">
      <c r="A26" s="4135"/>
    </row>
    <row r="27" spans="1:1" x14ac:dyDescent="0.2">
      <c r="A27" s="4133"/>
    </row>
    <row r="28" spans="1:1" x14ac:dyDescent="0.2">
      <c r="A28" s="4138" t="s">
        <v>6700</v>
      </c>
    </row>
    <row r="29" spans="1:1" x14ac:dyDescent="0.2">
      <c r="A29" s="4138" t="s">
        <v>6701</v>
      </c>
    </row>
    <row r="30" spans="1:1" x14ac:dyDescent="0.2">
      <c r="A30" s="4138" t="s">
        <v>6698</v>
      </c>
    </row>
    <row r="31" spans="1:1" x14ac:dyDescent="0.2">
      <c r="A31" s="4138" t="s">
        <v>6699</v>
      </c>
    </row>
    <row r="32" spans="1:1" x14ac:dyDescent="0.2">
      <c r="A32" s="4135" t="s">
        <v>6945</v>
      </c>
    </row>
    <row r="33" spans="1:1" x14ac:dyDescent="0.2">
      <c r="A33" s="4135"/>
    </row>
    <row r="34" spans="1:1" x14ac:dyDescent="0.2">
      <c r="A34" s="4138" t="s">
        <v>6702</v>
      </c>
    </row>
    <row r="35" spans="1:1" x14ac:dyDescent="0.2">
      <c r="A35" s="4138" t="s">
        <v>6703</v>
      </c>
    </row>
    <row r="36" spans="1:1" x14ac:dyDescent="0.2">
      <c r="A36" s="4138" t="s">
        <v>6704</v>
      </c>
    </row>
    <row r="37" spans="1:1" x14ac:dyDescent="0.2">
      <c r="A37" s="4138" t="s">
        <v>6946</v>
      </c>
    </row>
    <row r="38" spans="1:1" x14ac:dyDescent="0.2">
      <c r="A38" s="4134"/>
    </row>
    <row r="39" spans="1:1" x14ac:dyDescent="0.2">
      <c r="A39" s="4134"/>
    </row>
    <row r="40" spans="1:1" x14ac:dyDescent="0.2">
      <c r="A40" s="4133"/>
    </row>
    <row r="41" spans="1:1" x14ac:dyDescent="0.2">
      <c r="A41" s="4133"/>
    </row>
    <row r="42" spans="1:1" x14ac:dyDescent="0.2">
      <c r="A42" s="4135" t="s">
        <v>6705</v>
      </c>
    </row>
    <row r="43" spans="1:1" ht="13.5" thickBot="1" x14ac:dyDescent="0.25">
      <c r="A43" s="4136">
        <v>2022</v>
      </c>
    </row>
    <row r="44" spans="1:1" ht="13.5" thickBot="1" x14ac:dyDescent="0.25"/>
    <row r="45" spans="1:1" x14ac:dyDescent="0.2">
      <c r="A45" s="4142" t="s">
        <v>6686</v>
      </c>
    </row>
    <row r="46" spans="1:1" x14ac:dyDescent="0.2">
      <c r="A46" s="4139" t="s">
        <v>6711</v>
      </c>
    </row>
    <row r="47" spans="1:1" x14ac:dyDescent="0.2">
      <c r="A47" s="4139" t="s">
        <v>6712</v>
      </c>
    </row>
    <row r="48" spans="1:1" x14ac:dyDescent="0.2">
      <c r="A48" s="4139"/>
    </row>
    <row r="49" spans="1:1" x14ac:dyDescent="0.2">
      <c r="A49" s="4140" t="s">
        <v>6707</v>
      </c>
    </row>
    <row r="50" spans="1:1" x14ac:dyDescent="0.2">
      <c r="A50" s="4139" t="s">
        <v>6748</v>
      </c>
    </row>
    <row r="51" spans="1:1" x14ac:dyDescent="0.2">
      <c r="A51" s="4139" t="s">
        <v>6709</v>
      </c>
    </row>
    <row r="52" spans="1:1" x14ac:dyDescent="0.2">
      <c r="A52" s="4139" t="s">
        <v>6749</v>
      </c>
    </row>
    <row r="53" spans="1:1" x14ac:dyDescent="0.2">
      <c r="A53" s="4139" t="s">
        <v>6709</v>
      </c>
    </row>
    <row r="54" spans="1:1" x14ac:dyDescent="0.2">
      <c r="A54" s="4139"/>
    </row>
    <row r="55" spans="1:1" x14ac:dyDescent="0.2">
      <c r="A55" s="4140" t="s">
        <v>6708</v>
      </c>
    </row>
    <row r="56" spans="1:1" x14ac:dyDescent="0.2">
      <c r="A56" s="4139" t="s">
        <v>6750</v>
      </c>
    </row>
    <row r="57" spans="1:1" x14ac:dyDescent="0.2">
      <c r="A57" s="4139" t="s">
        <v>6710</v>
      </c>
    </row>
    <row r="58" spans="1:1" x14ac:dyDescent="0.2">
      <c r="A58" s="4139" t="s">
        <v>6751</v>
      </c>
    </row>
    <row r="59" spans="1:1" x14ac:dyDescent="0.2">
      <c r="A59" s="4139" t="s">
        <v>6710</v>
      </c>
    </row>
    <row r="60" spans="1:1" x14ac:dyDescent="0.2">
      <c r="A60" s="4139" t="s">
        <v>6752</v>
      </c>
    </row>
    <row r="61" spans="1:1" x14ac:dyDescent="0.2">
      <c r="A61" s="4139" t="s">
        <v>6710</v>
      </c>
    </row>
    <row r="62" spans="1:1" x14ac:dyDescent="0.2">
      <c r="A62" s="2418"/>
    </row>
    <row r="63" spans="1:1" x14ac:dyDescent="0.2">
      <c r="A63" s="4158" t="s">
        <v>6714</v>
      </c>
    </row>
    <row r="64" spans="1:1" x14ac:dyDescent="0.2">
      <c r="A64" s="4140" t="s">
        <v>6723</v>
      </c>
    </row>
    <row r="65" spans="1:1" x14ac:dyDescent="0.2">
      <c r="A65" s="4140" t="s">
        <v>6715</v>
      </c>
    </row>
    <row r="66" spans="1:1" x14ac:dyDescent="0.2">
      <c r="A66" s="4140" t="s">
        <v>6716</v>
      </c>
    </row>
    <row r="67" spans="1:1" x14ac:dyDescent="0.2">
      <c r="A67" s="4143" t="s">
        <v>6717</v>
      </c>
    </row>
    <row r="68" spans="1:1" x14ac:dyDescent="0.2">
      <c r="A68" s="4144" t="s">
        <v>6718</v>
      </c>
    </row>
    <row r="69" spans="1:1" x14ac:dyDescent="0.2">
      <c r="A69" s="4144" t="s">
        <v>6719</v>
      </c>
    </row>
    <row r="70" spans="1:1" x14ac:dyDescent="0.2">
      <c r="A70" s="4144"/>
    </row>
    <row r="71" spans="1:1" x14ac:dyDescent="0.2">
      <c r="A71" s="4145" t="s">
        <v>6747</v>
      </c>
    </row>
    <row r="72" spans="1:1" x14ac:dyDescent="0.2">
      <c r="A72" s="4144" t="s">
        <v>6739</v>
      </c>
    </row>
    <row r="73" spans="1:1" x14ac:dyDescent="0.2">
      <c r="A73" s="4144" t="s">
        <v>6740</v>
      </c>
    </row>
    <row r="74" spans="1:1" x14ac:dyDescent="0.2">
      <c r="A74" s="4144" t="s">
        <v>6741</v>
      </c>
    </row>
    <row r="75" spans="1:1" x14ac:dyDescent="0.2">
      <c r="A75" s="4144" t="s">
        <v>6742</v>
      </c>
    </row>
    <row r="76" spans="1:1" x14ac:dyDescent="0.2">
      <c r="A76" s="4144" t="s">
        <v>6743</v>
      </c>
    </row>
    <row r="77" spans="1:1" x14ac:dyDescent="0.2">
      <c r="A77" s="4144" t="s">
        <v>6744</v>
      </c>
    </row>
    <row r="78" spans="1:1" x14ac:dyDescent="0.2">
      <c r="A78" s="4144" t="s">
        <v>6745</v>
      </c>
    </row>
    <row r="79" spans="1:1" x14ac:dyDescent="0.2">
      <c r="A79" s="4144" t="s">
        <v>6746</v>
      </c>
    </row>
    <row r="80" spans="1:1" x14ac:dyDescent="0.2">
      <c r="A80" s="4144" t="s">
        <v>6724</v>
      </c>
    </row>
    <row r="81" spans="1:1" x14ac:dyDescent="0.2">
      <c r="A81" s="4144" t="s">
        <v>6725</v>
      </c>
    </row>
    <row r="82" spans="1:1" x14ac:dyDescent="0.2">
      <c r="A82" s="4144" t="s">
        <v>6720</v>
      </c>
    </row>
    <row r="83" spans="1:1" x14ac:dyDescent="0.2">
      <c r="A83" s="4144" t="s">
        <v>6721</v>
      </c>
    </row>
    <row r="84" spans="1:1" x14ac:dyDescent="0.2">
      <c r="A84" s="4144" t="s">
        <v>6722</v>
      </c>
    </row>
    <row r="85" spans="1:1" x14ac:dyDescent="0.2">
      <c r="A85" s="4144"/>
    </row>
    <row r="86" spans="1:1" x14ac:dyDescent="0.2">
      <c r="A86" s="4144"/>
    </row>
    <row r="87" spans="1:1" x14ac:dyDescent="0.2">
      <c r="A87" s="4146" t="s">
        <v>6686</v>
      </c>
    </row>
    <row r="88" spans="1:1" ht="13.5" thickBot="1" x14ac:dyDescent="0.25">
      <c r="A88" s="4147" t="s">
        <v>6711</v>
      </c>
    </row>
    <row r="89" spans="1:1" x14ac:dyDescent="0.2">
      <c r="A89" s="4141"/>
    </row>
    <row r="90" spans="1:1" x14ac:dyDescent="0.2">
      <c r="A90" s="4141"/>
    </row>
    <row r="91" spans="1:1" ht="13.5" thickBot="1" x14ac:dyDescent="0.25"/>
    <row r="92" spans="1:1" ht="15.75" x14ac:dyDescent="0.25">
      <c r="A92" s="4148" t="s">
        <v>1383</v>
      </c>
    </row>
    <row r="93" spans="1:1" ht="15.75" x14ac:dyDescent="0.25">
      <c r="A93" s="2423" t="s">
        <v>1384</v>
      </c>
    </row>
    <row r="94" spans="1:1" ht="15.75" x14ac:dyDescent="0.25">
      <c r="A94" s="2423" t="s">
        <v>2070</v>
      </c>
    </row>
    <row r="95" spans="1:1" ht="15.75" x14ac:dyDescent="0.25">
      <c r="A95" s="2423" t="s">
        <v>2071</v>
      </c>
    </row>
    <row r="96" spans="1:1" ht="15.75" x14ac:dyDescent="0.25">
      <c r="A96" s="2423" t="s">
        <v>2072</v>
      </c>
    </row>
    <row r="97" spans="1:1" ht="15.75" x14ac:dyDescent="0.25">
      <c r="A97" s="2423" t="s">
        <v>6840</v>
      </c>
    </row>
    <row r="98" spans="1:1" ht="15.75" x14ac:dyDescent="0.25">
      <c r="A98" s="2423" t="s">
        <v>2073</v>
      </c>
    </row>
    <row r="99" spans="1:1" ht="15.75" x14ac:dyDescent="0.25">
      <c r="A99" s="2423" t="s">
        <v>6685</v>
      </c>
    </row>
    <row r="100" spans="1:1" ht="15.75" x14ac:dyDescent="0.25">
      <c r="A100" s="2423" t="s">
        <v>6684</v>
      </c>
    </row>
    <row r="101" spans="1:1" ht="15.75" x14ac:dyDescent="0.25">
      <c r="A101" s="2421" t="s">
        <v>938</v>
      </c>
    </row>
    <row r="102" spans="1:1" ht="47.25" x14ac:dyDescent="0.25">
      <c r="A102" s="2421" t="s">
        <v>1889</v>
      </c>
    </row>
    <row r="103" spans="1:1" ht="63" x14ac:dyDescent="0.25">
      <c r="A103" s="2420" t="s">
        <v>6841</v>
      </c>
    </row>
    <row r="104" spans="1:1" ht="31.5" x14ac:dyDescent="0.25">
      <c r="A104" s="2421" t="s">
        <v>6842</v>
      </c>
    </row>
    <row r="105" spans="1:1" ht="47.25" x14ac:dyDescent="0.25">
      <c r="A105" s="2421" t="s">
        <v>6843</v>
      </c>
    </row>
    <row r="106" spans="1:1" ht="47.25" x14ac:dyDescent="0.25">
      <c r="A106" s="2421" t="s">
        <v>6844</v>
      </c>
    </row>
    <row r="107" spans="1:1" ht="31.5" x14ac:dyDescent="0.25">
      <c r="A107" s="2421" t="s">
        <v>6845</v>
      </c>
    </row>
    <row r="108" spans="1:1" ht="31.5" x14ac:dyDescent="0.25">
      <c r="A108" s="2421" t="s">
        <v>6846</v>
      </c>
    </row>
    <row r="109" spans="1:1" ht="15.75" x14ac:dyDescent="0.25">
      <c r="A109" s="4283" t="s">
        <v>6847</v>
      </c>
    </row>
    <row r="110" spans="1:1" ht="32.25" thickBot="1" x14ac:dyDescent="0.3">
      <c r="A110" s="2422" t="s">
        <v>6848</v>
      </c>
    </row>
    <row r="111" spans="1:1" ht="15.75" x14ac:dyDescent="0.25">
      <c r="A111" s="4284"/>
    </row>
    <row r="112" spans="1:1" ht="15.75" x14ac:dyDescent="0.25">
      <c r="A112" s="4284"/>
    </row>
    <row r="113" spans="1:1" ht="15.75" x14ac:dyDescent="0.25">
      <c r="A113" s="4284"/>
    </row>
    <row r="115" spans="1:1" ht="15" x14ac:dyDescent="0.2">
      <c r="A115" s="892"/>
    </row>
    <row r="116" spans="1:1" ht="15.75" x14ac:dyDescent="0.25">
      <c r="A116" s="821"/>
    </row>
    <row r="117" spans="1:1" ht="13.5" thickBot="1" x14ac:dyDescent="0.25"/>
    <row r="118" spans="1:1" ht="15.75" x14ac:dyDescent="0.25">
      <c r="A118" s="4149" t="s">
        <v>3188</v>
      </c>
    </row>
    <row r="119" spans="1:1" ht="15.75" x14ac:dyDescent="0.25">
      <c r="A119" s="2423" t="s">
        <v>6727</v>
      </c>
    </row>
    <row r="120" spans="1:1" ht="15.75" x14ac:dyDescent="0.25">
      <c r="A120" s="2423" t="s">
        <v>6726</v>
      </c>
    </row>
    <row r="121" spans="1:1" ht="15.75" x14ac:dyDescent="0.25">
      <c r="A121" s="2423" t="s">
        <v>6728</v>
      </c>
    </row>
    <row r="122" spans="1:1" ht="15.75" x14ac:dyDescent="0.25">
      <c r="A122" s="2423" t="s">
        <v>3189</v>
      </c>
    </row>
    <row r="123" spans="1:1" ht="15.75" x14ac:dyDescent="0.25">
      <c r="A123" s="2423" t="s">
        <v>3190</v>
      </c>
    </row>
    <row r="124" spans="1:1" ht="15.75" x14ac:dyDescent="0.25">
      <c r="A124" s="2423" t="s">
        <v>401</v>
      </c>
    </row>
    <row r="125" spans="1:1" ht="15.75" x14ac:dyDescent="0.25">
      <c r="A125" s="2423" t="s">
        <v>4558</v>
      </c>
    </row>
    <row r="126" spans="1:1" ht="15.75" x14ac:dyDescent="0.25">
      <c r="A126" s="2423" t="s">
        <v>6729</v>
      </c>
    </row>
    <row r="127" spans="1:1" ht="19.5" thickBot="1" x14ac:dyDescent="0.35">
      <c r="A127" s="4150" t="s">
        <v>6731</v>
      </c>
    </row>
    <row r="128" spans="1:1" ht="15.75" x14ac:dyDescent="0.25">
      <c r="A128" s="821"/>
    </row>
    <row r="129" spans="1:24" ht="15.75" x14ac:dyDescent="0.25">
      <c r="A129" s="821" t="s">
        <v>6730</v>
      </c>
      <c r="B129" s="3061"/>
    </row>
    <row r="130" spans="1:24" ht="15.75" x14ac:dyDescent="0.25">
      <c r="A130" s="4151" t="str">
        <f>IF(B129=1,"Сохраните файл под своим именем! Запишите имя ","Закройте программу!. Переходите по ссылке!")</f>
        <v>Закройте программу!. Переходите по ссылке!</v>
      </c>
      <c r="B130" s="3061"/>
    </row>
    <row r="131" spans="1:24" ht="15.75" x14ac:dyDescent="0.25">
      <c r="A131" s="4151"/>
      <c r="B131" s="239"/>
    </row>
    <row r="132" spans="1:24" x14ac:dyDescent="0.2">
      <c r="A132" s="2428" t="str">
        <f>IF(B129=2,"Переходите по ссылке kursovoy!A1","")</f>
        <v/>
      </c>
      <c r="B132" s="239"/>
    </row>
    <row r="133" spans="1:24" ht="15" x14ac:dyDescent="0.2">
      <c r="A133" s="4152" t="s">
        <v>6732</v>
      </c>
      <c r="B133" s="3061"/>
      <c r="C133" t="str">
        <f>IF(AND(B133=1,B130=""),"Неверно!","")</f>
        <v/>
      </c>
    </row>
    <row r="134" spans="1:24" x14ac:dyDescent="0.2">
      <c r="A134" s="214" t="str">
        <f>IF(B133=1,"","Сохраните файл под своим именем")</f>
        <v>Сохраните файл под своим именем</v>
      </c>
      <c r="B134" s="8"/>
    </row>
    <row r="135" spans="1:24" ht="18" x14ac:dyDescent="0.25">
      <c r="A135" s="3041"/>
      <c r="C135" s="4153"/>
      <c r="D135" s="4153"/>
      <c r="E135" s="309"/>
      <c r="F135" s="309"/>
      <c r="G135" s="309"/>
      <c r="H135" s="309"/>
      <c r="I135" s="309"/>
      <c r="J135" s="309"/>
      <c r="K135" s="309"/>
      <c r="L135" s="309"/>
      <c r="M135" s="309"/>
      <c r="N135" s="309"/>
      <c r="O135" s="309"/>
      <c r="P135" s="309"/>
      <c r="Q135" s="309"/>
      <c r="R135" s="309"/>
      <c r="S135" s="309"/>
      <c r="T135" s="309"/>
      <c r="U135" s="309"/>
      <c r="V135" s="309"/>
      <c r="W135" s="309"/>
      <c r="X135" s="309"/>
    </row>
    <row r="136" spans="1:24" ht="18" x14ac:dyDescent="0.25">
      <c r="A136" s="4155" t="str">
        <f>IF(B129=1,"Начинаем работу","")</f>
        <v/>
      </c>
      <c r="C136" s="4153"/>
      <c r="D136" s="4153"/>
      <c r="E136" s="309"/>
      <c r="F136" s="309"/>
      <c r="G136" s="309"/>
      <c r="H136" s="309"/>
      <c r="I136" s="309"/>
      <c r="J136" s="309"/>
      <c r="K136" s="309"/>
      <c r="L136" s="309"/>
      <c r="M136" s="309"/>
      <c r="N136" s="309"/>
      <c r="O136" s="309"/>
      <c r="P136" s="309"/>
      <c r="Q136" s="309"/>
      <c r="R136" s="309"/>
      <c r="S136" s="309"/>
      <c r="T136" s="309"/>
      <c r="U136" s="309"/>
      <c r="V136" s="309"/>
      <c r="W136" s="309"/>
      <c r="X136" s="309"/>
    </row>
    <row r="137" spans="1:24" ht="18" x14ac:dyDescent="0.25">
      <c r="A137" s="4155"/>
      <c r="C137" s="4153"/>
      <c r="D137" s="4153"/>
      <c r="E137" s="309"/>
      <c r="F137" s="309"/>
      <c r="G137" s="309"/>
      <c r="H137" s="309"/>
      <c r="I137" s="309"/>
      <c r="J137" s="309"/>
      <c r="K137" s="309"/>
      <c r="L137" s="309"/>
      <c r="M137" s="309"/>
      <c r="N137" s="309"/>
      <c r="O137" s="309"/>
      <c r="P137" s="309"/>
      <c r="Q137" s="309"/>
      <c r="R137" s="309"/>
      <c r="S137" s="309"/>
      <c r="T137" s="309"/>
      <c r="U137" s="309"/>
      <c r="V137" s="309"/>
      <c r="W137" s="309"/>
      <c r="X137" s="309"/>
    </row>
    <row r="139" spans="1:24" ht="18" x14ac:dyDescent="0.25">
      <c r="A139" s="872" t="s">
        <v>1716</v>
      </c>
      <c r="C139" s="309"/>
      <c r="D139" s="309"/>
      <c r="E139" s="309"/>
      <c r="F139" s="309"/>
      <c r="G139" s="309"/>
      <c r="H139" s="309"/>
      <c r="I139" s="309"/>
      <c r="J139" s="309"/>
      <c r="K139" s="309"/>
      <c r="L139" s="309"/>
      <c r="M139" s="309"/>
      <c r="N139" s="309"/>
      <c r="O139" s="309"/>
      <c r="P139" s="309"/>
      <c r="Q139" s="309"/>
      <c r="R139" s="309"/>
      <c r="S139" s="309"/>
      <c r="T139" s="309"/>
      <c r="U139" s="309"/>
      <c r="V139" s="309"/>
      <c r="W139" s="309"/>
      <c r="X139" s="309"/>
    </row>
    <row r="140" spans="1:24" ht="18" x14ac:dyDescent="0.25">
      <c r="A140" s="2492" t="s">
        <v>1715</v>
      </c>
      <c r="C140" s="309"/>
      <c r="D140" s="309"/>
      <c r="E140" s="309"/>
      <c r="F140" s="309"/>
      <c r="G140" s="309"/>
      <c r="H140" s="309"/>
      <c r="I140" s="309"/>
      <c r="J140" s="309"/>
      <c r="K140" s="309"/>
      <c r="L140" s="309"/>
      <c r="M140" s="309"/>
      <c r="N140" s="309"/>
      <c r="O140" s="309"/>
      <c r="P140" s="309"/>
      <c r="Q140" s="309"/>
      <c r="R140" s="309"/>
      <c r="S140" s="309"/>
      <c r="T140" s="309"/>
      <c r="U140" s="309"/>
      <c r="V140" s="309"/>
      <c r="W140" s="309"/>
      <c r="X140" s="309"/>
    </row>
    <row r="141" spans="1:24" ht="18" x14ac:dyDescent="0.25">
      <c r="A141" s="872" t="s">
        <v>1776</v>
      </c>
      <c r="B141" s="309"/>
      <c r="C141" s="309"/>
      <c r="D141" s="309"/>
      <c r="E141" s="309"/>
      <c r="F141" s="309"/>
      <c r="G141" s="309"/>
      <c r="H141" s="309"/>
      <c r="I141" s="309"/>
      <c r="J141" s="309"/>
      <c r="K141" s="309"/>
      <c r="L141" s="309"/>
      <c r="M141" s="309"/>
      <c r="N141" s="309"/>
      <c r="O141" s="309"/>
      <c r="P141" s="309"/>
      <c r="Q141" s="309"/>
      <c r="R141" s="309"/>
      <c r="S141" s="309"/>
      <c r="T141" s="309"/>
      <c r="U141" s="309"/>
      <c r="V141" s="309"/>
      <c r="W141" s="309"/>
      <c r="X141" s="309"/>
    </row>
    <row r="142" spans="1:24" ht="18" x14ac:dyDescent="0.25">
      <c r="A142" s="2464"/>
      <c r="B142" s="256"/>
      <c r="C142" s="309"/>
      <c r="D142" s="309"/>
      <c r="E142" s="309"/>
      <c r="F142" s="309"/>
      <c r="G142" s="309"/>
      <c r="H142" s="309"/>
      <c r="I142" s="309"/>
      <c r="J142" s="309"/>
      <c r="K142" s="309"/>
      <c r="L142" s="309"/>
      <c r="M142" s="309"/>
      <c r="N142" s="309"/>
      <c r="O142" s="309"/>
      <c r="P142" s="309"/>
      <c r="Q142" s="309"/>
      <c r="R142" s="309"/>
      <c r="S142" s="309"/>
      <c r="T142" s="309"/>
      <c r="U142" s="309"/>
      <c r="V142" s="309"/>
      <c r="W142" s="309"/>
      <c r="X142" s="309"/>
    </row>
    <row r="143" spans="1:24" ht="18" x14ac:dyDescent="0.25">
      <c r="A143" s="345" t="s">
        <v>709</v>
      </c>
      <c r="C143" s="309"/>
      <c r="D143" s="309"/>
      <c r="E143" s="309"/>
      <c r="F143" s="309"/>
      <c r="G143" s="309"/>
      <c r="H143" s="309"/>
      <c r="I143" s="309"/>
      <c r="J143" s="309"/>
      <c r="K143" s="309"/>
      <c r="L143" s="309"/>
      <c r="M143" s="309"/>
      <c r="N143" s="309"/>
      <c r="O143" s="309"/>
      <c r="P143" s="309"/>
      <c r="Q143" s="309"/>
      <c r="R143" s="309"/>
      <c r="S143" s="309"/>
      <c r="T143" s="309"/>
      <c r="U143" s="309"/>
      <c r="V143" s="309"/>
      <c r="W143" s="309"/>
      <c r="X143" s="309"/>
    </row>
    <row r="144" spans="1:24" ht="18" x14ac:dyDescent="0.25">
      <c r="A144" s="345" t="s">
        <v>710</v>
      </c>
      <c r="C144" s="309"/>
      <c r="D144" s="309"/>
      <c r="E144" s="309"/>
      <c r="F144" s="309"/>
      <c r="G144" s="309"/>
      <c r="H144" s="309"/>
      <c r="I144" s="309"/>
      <c r="J144" s="309"/>
      <c r="K144" s="309"/>
      <c r="L144" s="309"/>
      <c r="M144" s="309"/>
      <c r="N144" s="309"/>
      <c r="O144" s="309"/>
      <c r="P144" s="309"/>
      <c r="Q144" s="309"/>
      <c r="R144" s="309"/>
      <c r="S144" s="309"/>
      <c r="T144" s="309"/>
      <c r="U144" s="309"/>
      <c r="V144" s="309"/>
      <c r="W144" s="309"/>
      <c r="X144" s="309"/>
    </row>
    <row r="145" spans="1:24" ht="18" x14ac:dyDescent="0.25">
      <c r="A145" s="345" t="s">
        <v>699</v>
      </c>
      <c r="C145" s="309"/>
      <c r="D145" s="309"/>
      <c r="E145" s="309"/>
      <c r="F145" s="309"/>
      <c r="G145" s="309"/>
      <c r="H145" s="309"/>
      <c r="I145" s="309"/>
      <c r="J145" s="309"/>
      <c r="K145" s="309"/>
      <c r="L145" s="309"/>
      <c r="M145" s="309"/>
      <c r="N145" s="309"/>
      <c r="O145" s="309"/>
      <c r="P145" s="309"/>
      <c r="Q145" s="309"/>
      <c r="R145" s="309"/>
      <c r="S145" s="309"/>
      <c r="T145" s="309"/>
      <c r="U145" s="309"/>
      <c r="V145" s="309"/>
      <c r="W145" s="309"/>
      <c r="X145" s="309"/>
    </row>
    <row r="146" spans="1:24" ht="18" x14ac:dyDescent="0.25">
      <c r="A146" s="345" t="s">
        <v>3772</v>
      </c>
      <c r="C146" s="309"/>
      <c r="D146" s="309"/>
      <c r="E146" s="309"/>
      <c r="F146" s="309"/>
      <c r="G146" s="309"/>
      <c r="H146" s="309"/>
      <c r="I146" s="309"/>
      <c r="J146" s="309"/>
      <c r="K146" s="309"/>
      <c r="L146" s="309"/>
      <c r="M146" s="309"/>
      <c r="N146" s="309"/>
      <c r="O146" s="309"/>
      <c r="P146" s="309"/>
      <c r="Q146" s="309"/>
      <c r="R146" s="309"/>
      <c r="S146" s="309"/>
      <c r="T146" s="309"/>
      <c r="U146" s="309"/>
      <c r="V146" s="309"/>
      <c r="W146" s="309"/>
      <c r="X146" s="309"/>
    </row>
    <row r="147" spans="1:24" ht="18" x14ac:dyDescent="0.25">
      <c r="A147" s="345" t="s">
        <v>6849</v>
      </c>
      <c r="C147" s="309"/>
      <c r="D147" s="309"/>
      <c r="E147" s="309"/>
      <c r="F147" s="309"/>
      <c r="G147" s="309"/>
      <c r="H147" s="309"/>
      <c r="I147" s="309"/>
      <c r="J147" s="309"/>
      <c r="K147" s="309"/>
      <c r="L147" s="309"/>
      <c r="M147" s="309"/>
      <c r="N147" s="309"/>
      <c r="O147" s="309"/>
      <c r="P147" s="309"/>
      <c r="Q147" s="309"/>
      <c r="R147" s="309"/>
      <c r="S147" s="309"/>
      <c r="T147" s="309"/>
      <c r="U147" s="309"/>
      <c r="V147" s="309"/>
      <c r="W147" s="309"/>
      <c r="X147" s="309"/>
    </row>
    <row r="148" spans="1:24" ht="18" x14ac:dyDescent="0.25">
      <c r="A148" s="345" t="s">
        <v>5525</v>
      </c>
      <c r="B148" s="8"/>
      <c r="C148" s="2523"/>
      <c r="D148" s="2523"/>
      <c r="E148" s="2523"/>
      <c r="F148" s="2523"/>
      <c r="G148" s="2523"/>
      <c r="H148" s="309"/>
      <c r="I148" s="309"/>
      <c r="J148" s="309"/>
      <c r="K148" s="309"/>
      <c r="L148" s="309"/>
      <c r="M148" s="309"/>
      <c r="N148" s="309"/>
      <c r="O148" s="309"/>
      <c r="P148" s="309"/>
      <c r="Q148" s="309"/>
      <c r="R148" s="309"/>
      <c r="S148" s="309"/>
      <c r="T148" s="309"/>
      <c r="U148" s="309"/>
      <c r="V148" s="309"/>
      <c r="W148" s="309"/>
      <c r="X148" s="309"/>
    </row>
    <row r="149" spans="1:24" ht="18" x14ac:dyDescent="0.25">
      <c r="A149" s="2522" t="s">
        <v>5526</v>
      </c>
      <c r="B149" s="8"/>
      <c r="C149" s="2523"/>
      <c r="D149" s="2523"/>
      <c r="E149" s="2523"/>
      <c r="F149" s="2523"/>
      <c r="G149" s="2523"/>
      <c r="H149" s="309"/>
      <c r="I149" s="309"/>
      <c r="J149" s="309"/>
      <c r="K149" s="309"/>
      <c r="L149" s="309"/>
      <c r="M149" s="309"/>
      <c r="N149" s="309"/>
      <c r="O149" s="309"/>
      <c r="P149" s="309"/>
      <c r="Q149" s="309"/>
      <c r="R149" s="309"/>
      <c r="S149" s="309"/>
      <c r="T149" s="309"/>
      <c r="U149" s="309"/>
      <c r="V149" s="309"/>
      <c r="W149" s="309"/>
      <c r="X149" s="309"/>
    </row>
    <row r="150" spans="1:24" ht="18" x14ac:dyDescent="0.25">
      <c r="A150" s="2522" t="s">
        <v>5527</v>
      </c>
      <c r="B150" s="8"/>
      <c r="C150" s="2523"/>
      <c r="D150" s="2523"/>
      <c r="E150" s="2523"/>
      <c r="F150" s="2523"/>
      <c r="G150" s="2523"/>
      <c r="H150" s="309"/>
      <c r="I150" s="309"/>
      <c r="J150" s="309"/>
      <c r="K150" s="309"/>
      <c r="L150" s="309"/>
      <c r="M150" s="309"/>
      <c r="N150" s="309"/>
      <c r="O150" s="309"/>
      <c r="P150" s="309"/>
      <c r="Q150" s="309"/>
      <c r="R150" s="309"/>
      <c r="S150" s="309"/>
      <c r="T150" s="309"/>
      <c r="U150" s="309"/>
      <c r="V150" s="309"/>
      <c r="W150" s="309"/>
      <c r="X150" s="309"/>
    </row>
    <row r="151" spans="1:24" ht="18" x14ac:dyDescent="0.25">
      <c r="A151" s="526" t="s">
        <v>2924</v>
      </c>
      <c r="K151" s="309"/>
      <c r="L151" s="309"/>
      <c r="M151" s="309"/>
      <c r="N151" s="309"/>
      <c r="O151" s="309"/>
      <c r="P151" s="309"/>
      <c r="Q151" s="309"/>
      <c r="R151" s="309"/>
      <c r="S151" s="309"/>
      <c r="T151" s="309"/>
      <c r="U151" s="309"/>
      <c r="V151" s="309"/>
      <c r="W151" s="309"/>
      <c r="X151" s="309"/>
    </row>
    <row r="152" spans="1:24" ht="18" x14ac:dyDescent="0.25">
      <c r="A152" s="345" t="s">
        <v>6735</v>
      </c>
      <c r="K152" s="309"/>
      <c r="L152" s="309"/>
      <c r="M152" s="309"/>
      <c r="N152" s="309"/>
      <c r="O152" s="309"/>
      <c r="P152" s="309"/>
      <c r="Q152" s="309"/>
      <c r="R152" s="309"/>
      <c r="S152" s="309"/>
      <c r="T152" s="309"/>
      <c r="U152" s="309"/>
      <c r="V152" s="309"/>
      <c r="W152" s="309"/>
      <c r="X152" s="309"/>
    </row>
    <row r="153" spans="1:24" ht="18" x14ac:dyDescent="0.25">
      <c r="A153" s="345" t="s">
        <v>6734</v>
      </c>
      <c r="K153" s="309"/>
      <c r="L153" s="309"/>
      <c r="M153" s="309"/>
      <c r="N153" s="309"/>
      <c r="O153" s="309"/>
      <c r="P153" s="309"/>
      <c r="Q153" s="309"/>
      <c r="R153" s="309"/>
      <c r="S153" s="309"/>
      <c r="T153" s="309"/>
      <c r="U153" s="309"/>
      <c r="V153" s="309"/>
      <c r="W153" s="309"/>
      <c r="X153" s="309"/>
    </row>
    <row r="154" spans="1:24" ht="18" x14ac:dyDescent="0.25">
      <c r="A154" s="345" t="s">
        <v>6503</v>
      </c>
      <c r="K154" s="309"/>
      <c r="L154" s="309"/>
      <c r="M154" s="309"/>
      <c r="N154" s="309"/>
      <c r="O154" s="309"/>
      <c r="P154" s="309"/>
      <c r="Q154" s="309"/>
      <c r="R154" s="309"/>
      <c r="S154" s="309"/>
      <c r="T154" s="309"/>
      <c r="U154" s="309"/>
      <c r="V154" s="309"/>
      <c r="W154" s="309"/>
      <c r="X154" s="309"/>
    </row>
    <row r="155" spans="1:24" ht="18" x14ac:dyDescent="0.25">
      <c r="A155" s="345" t="s">
        <v>6504</v>
      </c>
      <c r="K155" s="309"/>
      <c r="L155" s="309"/>
      <c r="M155" s="309"/>
      <c r="N155" s="309"/>
      <c r="O155" s="309"/>
      <c r="P155" s="309"/>
      <c r="Q155" s="309"/>
      <c r="R155" s="309"/>
      <c r="S155" s="309"/>
      <c r="T155" s="309"/>
      <c r="U155" s="309"/>
      <c r="V155" s="309"/>
      <c r="W155" s="309"/>
      <c r="X155" s="309"/>
    </row>
    <row r="156" spans="1:24" ht="18" x14ac:dyDescent="0.25">
      <c r="A156" s="345" t="s">
        <v>6505</v>
      </c>
      <c r="K156" s="309"/>
      <c r="L156" s="309"/>
      <c r="M156" s="309"/>
      <c r="N156" s="309"/>
      <c r="O156" s="309"/>
      <c r="P156" s="309"/>
      <c r="Q156" s="309"/>
      <c r="R156" s="309"/>
      <c r="S156" s="309"/>
      <c r="T156" s="309"/>
      <c r="U156" s="309"/>
      <c r="V156" s="309"/>
      <c r="W156" s="309"/>
      <c r="X156" s="309"/>
    </row>
    <row r="157" spans="1:24" ht="18" x14ac:dyDescent="0.25">
      <c r="A157" s="345" t="s">
        <v>6507</v>
      </c>
      <c r="K157" s="309"/>
      <c r="L157" s="309"/>
      <c r="M157" s="309"/>
      <c r="N157" s="309"/>
      <c r="O157" s="309"/>
      <c r="P157" s="309"/>
      <c r="Q157" s="309"/>
      <c r="R157" s="309"/>
      <c r="S157" s="309"/>
      <c r="T157" s="309"/>
      <c r="U157" s="309"/>
      <c r="V157" s="309"/>
      <c r="W157" s="309"/>
      <c r="X157" s="309"/>
    </row>
    <row r="158" spans="1:24" ht="18" x14ac:dyDescent="0.25">
      <c r="A158" s="345" t="s">
        <v>6506</v>
      </c>
      <c r="K158" s="309"/>
      <c r="L158" s="309"/>
      <c r="M158" s="309"/>
      <c r="N158" s="309"/>
      <c r="O158" s="309"/>
      <c r="P158" s="309"/>
      <c r="Q158" s="309"/>
      <c r="R158" s="309"/>
      <c r="S158" s="309"/>
      <c r="T158" s="309"/>
      <c r="U158" s="309"/>
      <c r="V158" s="309"/>
      <c r="W158" s="309"/>
      <c r="X158" s="309"/>
    </row>
    <row r="159" spans="1:24" ht="18" x14ac:dyDescent="0.25">
      <c r="A159" s="345" t="s">
        <v>6508</v>
      </c>
      <c r="K159" s="309"/>
      <c r="L159" s="309"/>
      <c r="M159" s="309"/>
      <c r="N159" s="309"/>
      <c r="O159" s="309"/>
      <c r="P159" s="309"/>
      <c r="Q159" s="309"/>
      <c r="R159" s="309"/>
      <c r="S159" s="309"/>
      <c r="T159" s="309"/>
      <c r="U159" s="309"/>
      <c r="V159" s="309"/>
      <c r="W159" s="309"/>
      <c r="X159" s="309"/>
    </row>
    <row r="160" spans="1:24" ht="18" x14ac:dyDescent="0.25">
      <c r="A160" s="345" t="s">
        <v>6509</v>
      </c>
      <c r="K160" s="309"/>
      <c r="L160" s="309"/>
      <c r="M160" s="309"/>
      <c r="N160" s="309"/>
      <c r="O160" s="309"/>
      <c r="P160" s="309"/>
      <c r="Q160" s="309"/>
      <c r="R160" s="309"/>
      <c r="S160" s="309"/>
      <c r="T160" s="309"/>
      <c r="U160" s="309"/>
      <c r="V160" s="309"/>
      <c r="W160" s="309"/>
      <c r="X160" s="309"/>
    </row>
    <row r="161" spans="1:24" ht="18" x14ac:dyDescent="0.25">
      <c r="A161" s="345" t="s">
        <v>6510</v>
      </c>
      <c r="K161" s="309"/>
      <c r="L161" s="309"/>
      <c r="M161" s="309"/>
      <c r="N161" s="309"/>
      <c r="O161" s="309"/>
      <c r="P161" s="309"/>
      <c r="Q161" s="309"/>
      <c r="R161" s="309"/>
      <c r="S161" s="309"/>
      <c r="T161" s="309"/>
      <c r="U161" s="309"/>
      <c r="V161" s="309"/>
      <c r="W161" s="309"/>
      <c r="X161" s="309"/>
    </row>
    <row r="162" spans="1:24" ht="18" x14ac:dyDescent="0.25">
      <c r="A162" s="345" t="s">
        <v>6511</v>
      </c>
      <c r="K162" s="309"/>
      <c r="L162" s="309"/>
      <c r="M162" s="309"/>
      <c r="N162" s="309"/>
      <c r="O162" s="309"/>
      <c r="P162" s="309"/>
      <c r="Q162" s="309"/>
      <c r="R162" s="309"/>
      <c r="S162" s="309"/>
      <c r="T162" s="309"/>
      <c r="U162" s="309"/>
      <c r="V162" s="309"/>
      <c r="W162" s="309"/>
      <c r="X162" s="309"/>
    </row>
    <row r="163" spans="1:24" ht="18" x14ac:dyDescent="0.25">
      <c r="A163" s="345" t="s">
        <v>6512</v>
      </c>
      <c r="K163" s="309"/>
      <c r="L163" s="309"/>
      <c r="M163" s="309"/>
      <c r="N163" s="309"/>
      <c r="O163" s="309"/>
      <c r="P163" s="309"/>
      <c r="Q163" s="309"/>
      <c r="R163" s="309"/>
      <c r="S163" s="309"/>
      <c r="T163" s="309"/>
      <c r="U163" s="309"/>
      <c r="V163" s="309"/>
      <c r="W163" s="309"/>
      <c r="X163" s="309"/>
    </row>
    <row r="164" spans="1:24" ht="20.25" x14ac:dyDescent="0.3">
      <c r="A164" s="4076" t="s">
        <v>6593</v>
      </c>
      <c r="K164" s="309"/>
      <c r="L164" s="309"/>
      <c r="M164" s="309"/>
      <c r="N164" s="309"/>
      <c r="O164" s="309"/>
      <c r="P164" s="309"/>
      <c r="Q164" s="309"/>
      <c r="R164" s="309"/>
      <c r="S164" s="309"/>
      <c r="T164" s="309"/>
      <c r="U164" s="309"/>
      <c r="V164" s="309"/>
      <c r="W164" s="309"/>
      <c r="X164" s="309"/>
    </row>
    <row r="165" spans="1:24" ht="20.25" x14ac:dyDescent="0.3">
      <c r="A165" s="4076" t="s">
        <v>6736</v>
      </c>
      <c r="K165" s="309"/>
      <c r="L165" s="309"/>
      <c r="M165" s="309"/>
      <c r="N165" s="309"/>
      <c r="O165" s="309"/>
      <c r="P165" s="309"/>
      <c r="Q165" s="309"/>
      <c r="R165" s="309"/>
      <c r="S165" s="309"/>
      <c r="T165" s="309"/>
      <c r="U165" s="309"/>
      <c r="V165" s="309"/>
      <c r="W165" s="309"/>
      <c r="X165" s="309"/>
    </row>
    <row r="166" spans="1:24" ht="18" x14ac:dyDescent="0.25">
      <c r="A166" s="345" t="s">
        <v>6737</v>
      </c>
      <c r="K166" s="309"/>
      <c r="L166" s="309"/>
      <c r="M166" s="309"/>
      <c r="N166" s="309"/>
      <c r="O166" s="309"/>
      <c r="P166" s="309"/>
      <c r="Q166" s="309"/>
      <c r="R166" s="309"/>
      <c r="S166" s="309"/>
      <c r="T166" s="309"/>
      <c r="U166" s="309"/>
      <c r="V166" s="309"/>
      <c r="W166" s="309"/>
      <c r="X166" s="309"/>
    </row>
    <row r="167" spans="1:24" ht="18" x14ac:dyDescent="0.25">
      <c r="A167" s="1284" t="s">
        <v>6513</v>
      </c>
      <c r="B167" s="3061">
        <v>1</v>
      </c>
      <c r="K167" s="309"/>
      <c r="L167" s="309"/>
      <c r="M167" s="309"/>
      <c r="N167" s="309"/>
      <c r="O167" s="309"/>
      <c r="P167" s="309"/>
      <c r="Q167" s="309"/>
      <c r="R167" s="309"/>
      <c r="S167" s="309"/>
      <c r="T167" s="309"/>
      <c r="U167" s="309"/>
      <c r="V167" s="309"/>
      <c r="W167" s="309"/>
      <c r="X167" s="309"/>
    </row>
    <row r="168" spans="1:24" ht="18" x14ac:dyDescent="0.25">
      <c r="A168" s="4006" t="str">
        <f>IF(B167=1,"Начинаем работу!","Еще раз внимательно прочитайте указания!!")</f>
        <v>Начинаем работу!</v>
      </c>
      <c r="K168" s="309"/>
      <c r="L168" s="309"/>
      <c r="M168" s="309"/>
      <c r="N168" s="309"/>
      <c r="O168" s="309"/>
      <c r="P168" s="309"/>
      <c r="Q168" s="309"/>
      <c r="R168" s="309"/>
      <c r="S168" s="309"/>
      <c r="T168" s="309"/>
      <c r="U168" s="309"/>
      <c r="V168" s="309"/>
      <c r="W168" s="309"/>
      <c r="X168" s="309"/>
    </row>
    <row r="170" spans="1:24" ht="18.75" x14ac:dyDescent="0.3">
      <c r="A170" s="1298" t="s">
        <v>6738</v>
      </c>
      <c r="B170" s="3061"/>
      <c r="C170" s="4157" t="str">
        <f>IF(B170="","",IF(B170=B130,"","Неверно !!!"))</f>
        <v/>
      </c>
      <c r="D170" s="309"/>
      <c r="E170" s="309"/>
      <c r="F170" s="309"/>
      <c r="G170" s="309"/>
      <c r="H170" s="309"/>
      <c r="I170" s="309"/>
      <c r="J170" s="309"/>
      <c r="K170" s="309"/>
      <c r="L170" s="309"/>
      <c r="M170" s="309"/>
      <c r="N170" s="309"/>
      <c r="O170" s="309"/>
      <c r="P170" s="309"/>
      <c r="Q170" s="309"/>
      <c r="R170" s="309"/>
      <c r="S170" s="309"/>
      <c r="T170" s="309"/>
      <c r="U170" s="309"/>
      <c r="V170" s="309"/>
      <c r="W170" s="309"/>
      <c r="X170" s="309"/>
    </row>
    <row r="171" spans="1:24" ht="18.75" x14ac:dyDescent="0.3">
      <c r="A171" s="4156" t="s">
        <v>166</v>
      </c>
      <c r="B171" s="4154"/>
      <c r="C171" s="309"/>
      <c r="D171" s="309"/>
      <c r="E171" s="309"/>
      <c r="F171" s="309"/>
      <c r="G171" s="1017"/>
      <c r="H171" s="893"/>
      <c r="I171" s="1017"/>
      <c r="J171" s="309"/>
      <c r="K171" s="309"/>
      <c r="L171" s="309"/>
      <c r="M171" s="309"/>
      <c r="N171" s="309"/>
      <c r="O171" s="309"/>
      <c r="P171" s="309"/>
      <c r="Q171" s="309"/>
      <c r="R171" s="309"/>
      <c r="S171" s="309"/>
      <c r="T171" s="309"/>
      <c r="U171" s="309"/>
      <c r="V171" s="309"/>
      <c r="W171" s="309"/>
      <c r="X171" s="309"/>
    </row>
    <row r="172" spans="1:24" ht="18" x14ac:dyDescent="0.25">
      <c r="A172" s="2876" t="str">
        <f>IF(B2201=1,""," ИСХОДНЫЕ  ДАННЫЕ ДЛЯ ПРОЕКТИРОВАНИЯ ВВЕДЕНЫ СОГЛАСНО ВАШЕГО НОМЕРА В СПИСКЕ")</f>
        <v xml:space="preserve"> ИСХОДНЫЕ  ДАННЫЕ ДЛЯ ПРОЕКТИРОВАНИЯ ВВЕДЕНЫ СОГЛАСНО ВАШЕГО НОМЕРА В СПИСКЕ</v>
      </c>
      <c r="C172" s="309"/>
      <c r="D172" s="309"/>
      <c r="E172" s="309"/>
      <c r="F172" s="309"/>
      <c r="G172" s="309"/>
      <c r="H172" s="309"/>
      <c r="I172" s="309"/>
      <c r="J172" s="309"/>
      <c r="K172" s="309"/>
      <c r="L172" s="309"/>
      <c r="M172" s="309"/>
      <c r="N172" s="309"/>
      <c r="O172" s="309"/>
      <c r="P172" s="309"/>
      <c r="Q172" s="309"/>
      <c r="R172" s="309"/>
      <c r="S172" s="309"/>
      <c r="T172" s="309"/>
      <c r="U172" s="309"/>
      <c r="V172" s="309"/>
      <c r="W172" s="309"/>
      <c r="X172" s="309"/>
    </row>
    <row r="173" spans="1:24" ht="18" x14ac:dyDescent="0.25">
      <c r="A173" s="2876" t="str">
        <f>IF(B2201=1,"Перенесите эту таблицу в текст записки","")</f>
        <v/>
      </c>
      <c r="C173" s="309"/>
      <c r="D173" s="309"/>
      <c r="E173" s="309"/>
      <c r="F173" s="309"/>
      <c r="G173" s="309"/>
      <c r="H173" s="309"/>
      <c r="I173" s="309"/>
      <c r="J173" s="309"/>
      <c r="K173" s="309"/>
      <c r="L173" s="309"/>
      <c r="M173" s="309"/>
      <c r="N173" s="309"/>
      <c r="O173" s="309"/>
      <c r="P173" s="309"/>
      <c r="Q173" s="309"/>
      <c r="R173" s="309"/>
      <c r="S173" s="309"/>
      <c r="T173" s="309"/>
      <c r="U173" s="309"/>
      <c r="V173" s="309"/>
      <c r="W173" s="309"/>
      <c r="X173" s="309"/>
    </row>
    <row r="174" spans="1:24" ht="18" x14ac:dyDescent="0.25">
      <c r="A174" s="214" t="s">
        <v>167</v>
      </c>
      <c r="E174" s="309"/>
      <c r="F174" s="309"/>
      <c r="G174" s="309"/>
      <c r="H174" s="309"/>
      <c r="I174" s="309"/>
      <c r="J174" s="309"/>
      <c r="K174" s="309"/>
      <c r="L174" s="309"/>
      <c r="M174" s="309"/>
      <c r="O174" s="210">
        <v>1</v>
      </c>
      <c r="P174" s="309"/>
      <c r="Q174" s="309"/>
      <c r="R174" s="309"/>
      <c r="S174" s="309"/>
      <c r="T174" s="309"/>
      <c r="U174" s="309"/>
      <c r="V174" s="309"/>
      <c r="W174" s="309"/>
      <c r="X174" s="309"/>
    </row>
    <row r="175" spans="1:24" ht="18" x14ac:dyDescent="0.25">
      <c r="A175" s="2495" t="s">
        <v>4389</v>
      </c>
      <c r="B175" s="2874" t="str">
        <f>IF($B$171="","",INDEX(Задание!$B$5:$U$70,O174,$B$171))</f>
        <v/>
      </c>
      <c r="E175" s="309"/>
      <c r="F175" s="309"/>
      <c r="G175" s="309"/>
      <c r="H175" s="309"/>
      <c r="I175" s="309"/>
      <c r="J175" s="309"/>
      <c r="K175" s="309"/>
      <c r="L175" s="309"/>
      <c r="M175" s="309"/>
      <c r="O175" s="210">
        <v>2</v>
      </c>
      <c r="P175" s="309"/>
      <c r="Q175" s="309"/>
      <c r="R175" s="309"/>
      <c r="S175" s="309"/>
      <c r="T175" s="309"/>
      <c r="U175" s="309"/>
      <c r="V175" s="309"/>
      <c r="W175" s="309"/>
      <c r="X175" s="309"/>
    </row>
    <row r="176" spans="1:24" ht="18" x14ac:dyDescent="0.25">
      <c r="A176" s="2495" t="s">
        <v>4390</v>
      </c>
      <c r="B176" s="2874" t="str">
        <f>IF($B$171="","",INDEX(Задание!$B$5:$U$70,O175,$B$171))</f>
        <v/>
      </c>
      <c r="E176" s="309"/>
      <c r="F176" s="309"/>
      <c r="G176" s="309"/>
      <c r="H176" s="309"/>
      <c r="I176" s="309"/>
      <c r="J176" s="309"/>
      <c r="K176" s="309"/>
      <c r="L176" s="309"/>
      <c r="M176" s="309"/>
      <c r="O176" s="210">
        <v>3</v>
      </c>
      <c r="P176" s="309"/>
      <c r="Q176" s="309"/>
      <c r="R176" s="309"/>
      <c r="S176" s="309"/>
      <c r="T176" s="309"/>
      <c r="U176" s="309"/>
      <c r="V176" s="309"/>
      <c r="W176" s="309"/>
      <c r="X176" s="309"/>
    </row>
    <row r="177" spans="1:24" ht="18" x14ac:dyDescent="0.25">
      <c r="A177" s="2495" t="s">
        <v>2787</v>
      </c>
      <c r="B177" s="2874" t="str">
        <f>IF($B$171="","",INDEX(Задание!$B$5:$U$70,O176,$B$171))</f>
        <v/>
      </c>
      <c r="E177" s="309"/>
      <c r="F177" s="309"/>
      <c r="G177" s="309"/>
      <c r="H177" s="309"/>
      <c r="I177" s="309"/>
      <c r="J177" s="309"/>
      <c r="K177" s="309"/>
      <c r="L177" s="309"/>
      <c r="M177" s="309"/>
      <c r="O177" s="210">
        <v>4</v>
      </c>
      <c r="P177" s="309"/>
      <c r="Q177" s="309"/>
      <c r="R177" s="309"/>
      <c r="S177" s="309"/>
      <c r="T177" s="309"/>
      <c r="U177" s="309"/>
      <c r="V177" s="309"/>
      <c r="W177" s="309"/>
      <c r="X177" s="309"/>
    </row>
    <row r="178" spans="1:24" ht="18" x14ac:dyDescent="0.25">
      <c r="A178" s="2496" t="s">
        <v>2219</v>
      </c>
      <c r="B178" s="232" t="str">
        <f>IF($B$171="","",INDEX(Задание!$B$5:$U$70,O177,$B$171))</f>
        <v/>
      </c>
      <c r="E178" s="309"/>
      <c r="F178" s="309"/>
      <c r="G178" s="309"/>
      <c r="H178" s="309"/>
      <c r="I178" s="309"/>
      <c r="J178" s="309"/>
      <c r="K178" s="309"/>
      <c r="L178" s="309"/>
      <c r="M178" s="309"/>
      <c r="O178" s="210">
        <v>5</v>
      </c>
      <c r="P178" s="309"/>
      <c r="Q178" s="309"/>
      <c r="R178" s="309"/>
      <c r="S178" s="309"/>
      <c r="T178" s="309"/>
      <c r="U178" s="309"/>
      <c r="V178" s="309"/>
      <c r="W178" s="309"/>
      <c r="X178" s="309"/>
    </row>
    <row r="179" spans="1:24" ht="18.75" customHeight="1" x14ac:dyDescent="0.3">
      <c r="A179" s="2496" t="s">
        <v>2220</v>
      </c>
      <c r="B179" s="2874" t="str">
        <f>IF($B$171="","",INDEX(Задание!$B$5:$U$70,O178,$B$171))</f>
        <v/>
      </c>
      <c r="E179" s="309"/>
      <c r="F179" s="309"/>
      <c r="G179" s="309"/>
      <c r="H179" s="309"/>
      <c r="I179" s="309"/>
      <c r="J179" s="309"/>
      <c r="K179" s="309"/>
      <c r="L179" s="309"/>
      <c r="M179" s="309"/>
      <c r="O179" s="210">
        <v>6</v>
      </c>
      <c r="P179" s="309"/>
      <c r="Q179" s="309"/>
      <c r="R179" s="309"/>
      <c r="S179" s="309"/>
      <c r="T179" s="309"/>
      <c r="U179" s="309"/>
      <c r="V179" s="309"/>
      <c r="W179" s="309"/>
      <c r="X179" s="309"/>
    </row>
    <row r="180" spans="1:24" ht="18.75" x14ac:dyDescent="0.3">
      <c r="A180" s="2524" t="s">
        <v>2206</v>
      </c>
      <c r="B180" s="2874"/>
      <c r="E180" s="309"/>
      <c r="F180" s="309"/>
      <c r="G180" s="309"/>
      <c r="H180" s="309"/>
      <c r="I180" s="309"/>
      <c r="J180" s="309"/>
      <c r="K180" s="309"/>
      <c r="L180" s="309"/>
      <c r="M180" s="309"/>
      <c r="O180" s="210">
        <v>7</v>
      </c>
      <c r="P180" s="309"/>
      <c r="Q180" s="309"/>
      <c r="R180" s="309"/>
      <c r="S180" s="309"/>
      <c r="T180" s="309"/>
      <c r="U180" s="309"/>
      <c r="V180" s="309"/>
      <c r="W180" s="309"/>
      <c r="X180" s="309"/>
    </row>
    <row r="181" spans="1:24" ht="18" x14ac:dyDescent="0.25">
      <c r="A181" s="2497" t="s">
        <v>2202</v>
      </c>
      <c r="B181" s="2874" t="str">
        <f>IF($B$171="","",INDEX(Задание!$B$5:$U$70,O180,$B$171))</f>
        <v/>
      </c>
      <c r="E181" s="309"/>
      <c r="F181" s="309"/>
      <c r="G181" s="309"/>
      <c r="H181" s="309"/>
      <c r="I181" s="309"/>
      <c r="J181" s="309"/>
      <c r="K181" s="309"/>
      <c r="L181" s="309"/>
      <c r="M181" s="309"/>
      <c r="O181" s="210">
        <v>8</v>
      </c>
      <c r="P181" s="309"/>
      <c r="Q181" s="309"/>
      <c r="R181" s="309"/>
      <c r="S181" s="309"/>
      <c r="T181" s="309"/>
      <c r="U181" s="309"/>
      <c r="V181" s="309"/>
      <c r="W181" s="309"/>
      <c r="X181" s="309"/>
    </row>
    <row r="182" spans="1:24" ht="18" x14ac:dyDescent="0.25">
      <c r="A182" s="2497" t="str">
        <f>IF(B177&gt;2,"Расстояние между пластами h2 - h3  по нормали, м","Не вводить")</f>
        <v>Расстояние между пластами h2 - h3  по нормали, м</v>
      </c>
      <c r="B182" s="2874" t="str">
        <f>IF($B$171="","",INDEX(Задание!$B$5:$U$70,O181,$B$171))</f>
        <v/>
      </c>
      <c r="E182" s="309"/>
      <c r="F182" s="309"/>
      <c r="G182" s="309"/>
      <c r="H182" s="309"/>
      <c r="I182" s="309"/>
      <c r="J182" s="309"/>
      <c r="K182" s="309"/>
      <c r="L182" s="309"/>
      <c r="M182" s="309"/>
      <c r="O182" s="210">
        <v>9</v>
      </c>
      <c r="P182" s="309"/>
      <c r="Q182" s="309"/>
      <c r="R182" s="309"/>
      <c r="S182" s="309"/>
      <c r="T182" s="309"/>
      <c r="U182" s="309"/>
      <c r="V182" s="309"/>
      <c r="W182" s="309"/>
      <c r="X182" s="309"/>
    </row>
    <row r="183" spans="1:24" ht="18" x14ac:dyDescent="0.25">
      <c r="A183" s="2497" t="str">
        <f>IF(B177&gt;3,"Расстояние между пластами h3 - h4  по нормали, м","Не вводить")</f>
        <v>Расстояние между пластами h3 - h4  по нормали, м</v>
      </c>
      <c r="B183" s="2874" t="str">
        <f>IF($B$171="","",INDEX(Задание!$B$5:$U$70,O182,$B$171))</f>
        <v/>
      </c>
      <c r="E183" s="309"/>
      <c r="F183" s="309"/>
      <c r="G183" s="309"/>
      <c r="H183" s="309"/>
      <c r="I183" s="309"/>
      <c r="J183" s="309"/>
      <c r="K183" s="309"/>
      <c r="L183" s="309"/>
      <c r="M183" s="309"/>
      <c r="O183" s="210">
        <v>10</v>
      </c>
      <c r="P183" s="309"/>
      <c r="Q183" s="309"/>
      <c r="R183" s="309"/>
      <c r="S183" s="309"/>
      <c r="T183" s="309"/>
      <c r="U183" s="309"/>
      <c r="V183" s="309"/>
      <c r="W183" s="309"/>
      <c r="X183" s="309"/>
    </row>
    <row r="184" spans="1:24" ht="18" x14ac:dyDescent="0.25">
      <c r="A184" s="2497" t="str">
        <f>IF(B177&gt;4,"Расстояние между пластами h4 - h5  по нормали, м","Не вводить")</f>
        <v>Расстояние между пластами h4 - h5  по нормали, м</v>
      </c>
      <c r="B184" s="2874" t="str">
        <f>IF($B$171="","",INDEX(Задание!$B$5:$U$70,O183,$B$171))</f>
        <v/>
      </c>
      <c r="E184" s="309"/>
      <c r="F184" s="309"/>
      <c r="G184" s="309"/>
      <c r="H184" s="309"/>
      <c r="I184" s="309"/>
      <c r="J184" s="309"/>
      <c r="K184" s="309"/>
      <c r="L184" s="309"/>
      <c r="M184" s="309"/>
      <c r="O184" s="210">
        <v>11</v>
      </c>
      <c r="P184" s="309"/>
      <c r="Q184" s="309"/>
      <c r="R184" s="309"/>
      <c r="S184" s="309"/>
      <c r="T184" s="309"/>
      <c r="U184" s="309"/>
      <c r="V184" s="309"/>
      <c r="W184" s="309"/>
      <c r="X184" s="309"/>
    </row>
    <row r="185" spans="1:24" ht="18" x14ac:dyDescent="0.25">
      <c r="A185" s="2497" t="str">
        <f>IF(B177&gt;5,"Расстояние между пластами h5 - h6  по нормали, м","Не вводить")</f>
        <v>Расстояние между пластами h5 - h6  по нормали, м</v>
      </c>
      <c r="B185" s="2874" t="str">
        <f>IF($B$171="","",INDEX(Задание!$B$5:$U$70,O184,$B$171))</f>
        <v/>
      </c>
      <c r="E185" s="309"/>
      <c r="F185" s="309"/>
      <c r="G185" s="309"/>
      <c r="H185" s="309"/>
      <c r="I185" s="309"/>
      <c r="J185" s="309"/>
      <c r="K185" s="309"/>
      <c r="L185" s="309"/>
      <c r="M185" s="309"/>
      <c r="O185" s="210">
        <v>12</v>
      </c>
      <c r="P185" s="309"/>
      <c r="Q185" s="309"/>
      <c r="R185" s="309"/>
      <c r="S185" s="309"/>
      <c r="T185" s="309"/>
      <c r="U185" s="309"/>
      <c r="V185" s="309"/>
      <c r="W185" s="309"/>
      <c r="X185" s="309"/>
    </row>
    <row r="186" spans="1:24" ht="18" x14ac:dyDescent="0.25">
      <c r="A186" s="2521" t="s">
        <v>1290</v>
      </c>
      <c r="B186" s="2874"/>
      <c r="E186" s="309"/>
      <c r="F186" s="309"/>
      <c r="G186" s="309"/>
      <c r="H186" s="309"/>
      <c r="I186" s="309"/>
      <c r="J186" s="309"/>
      <c r="K186" s="309"/>
      <c r="L186" s="309"/>
      <c r="M186" s="309"/>
      <c r="O186" s="210">
        <v>13</v>
      </c>
      <c r="P186" s="309"/>
      <c r="Q186" s="309"/>
      <c r="R186" s="309"/>
      <c r="S186" s="309"/>
      <c r="T186" s="309"/>
      <c r="U186" s="309"/>
      <c r="V186" s="309"/>
      <c r="W186" s="309"/>
      <c r="X186" s="309"/>
    </row>
    <row r="187" spans="1:24" ht="18" x14ac:dyDescent="0.25">
      <c r="A187" s="846" t="s">
        <v>2199</v>
      </c>
      <c r="B187" s="2875" t="str">
        <f>IF($B$171="","",INDEX(Задание!$B$5:$U$70,O186,$B$171))</f>
        <v/>
      </c>
      <c r="E187" s="309"/>
      <c r="F187" s="309"/>
      <c r="G187" s="309"/>
      <c r="H187" s="309"/>
      <c r="I187" s="309"/>
      <c r="J187" s="309"/>
      <c r="K187" s="309"/>
      <c r="L187" s="309"/>
      <c r="M187" s="309"/>
      <c r="O187" s="210">
        <v>14</v>
      </c>
      <c r="P187" s="309"/>
      <c r="Q187" s="309"/>
      <c r="R187" s="309"/>
      <c r="S187" s="309"/>
      <c r="T187" s="309"/>
      <c r="U187" s="309"/>
      <c r="V187" s="309"/>
      <c r="W187" s="309"/>
      <c r="X187" s="309"/>
    </row>
    <row r="188" spans="1:24" ht="18" x14ac:dyDescent="0.25">
      <c r="A188" s="846" t="s">
        <v>2200</v>
      </c>
      <c r="B188" s="2875" t="str">
        <f>IF($B$171="","",INDEX(Задание!$B$5:$U$70,O187,$B$171))</f>
        <v/>
      </c>
      <c r="E188" s="309"/>
      <c r="F188" s="309"/>
      <c r="G188" s="309"/>
      <c r="H188" s="309"/>
      <c r="I188" s="309"/>
      <c r="J188" s="309"/>
      <c r="K188" s="309"/>
      <c r="L188" s="309"/>
      <c r="M188" s="309"/>
      <c r="O188" s="210">
        <v>15</v>
      </c>
      <c r="P188" s="309"/>
      <c r="Q188" s="309"/>
      <c r="R188" s="309"/>
      <c r="S188" s="309"/>
      <c r="T188" s="309"/>
      <c r="U188" s="309"/>
      <c r="V188" s="309"/>
      <c r="W188" s="309"/>
      <c r="X188" s="309"/>
    </row>
    <row r="189" spans="1:24" ht="18" x14ac:dyDescent="0.25">
      <c r="A189" s="846" t="s">
        <v>2201</v>
      </c>
      <c r="B189" s="2875" t="str">
        <f>IF($B$171="","",INDEX(Задание!$B$5:$U$70,O188,$B$171))</f>
        <v/>
      </c>
      <c r="E189" s="309"/>
      <c r="F189" s="309"/>
      <c r="G189" s="309"/>
      <c r="H189" s="309"/>
      <c r="I189" s="309"/>
      <c r="J189" s="309"/>
      <c r="K189" s="309"/>
      <c r="L189" s="309"/>
      <c r="M189" s="309"/>
      <c r="O189" s="210">
        <v>16</v>
      </c>
      <c r="P189" s="309"/>
      <c r="Q189" s="309"/>
      <c r="R189" s="309"/>
      <c r="S189" s="309"/>
      <c r="T189" s="309"/>
      <c r="U189" s="309"/>
      <c r="V189" s="309"/>
      <c r="W189" s="309"/>
      <c r="X189" s="309"/>
    </row>
    <row r="190" spans="1:24" ht="18" x14ac:dyDescent="0.25">
      <c r="A190" s="846" t="str">
        <f>IF(B177&gt;1,"Мощность пласта h2 максимальная, м","Не вводить")</f>
        <v>Мощность пласта h2 максимальная, м</v>
      </c>
      <c r="B190" s="2875" t="str">
        <f>IF($B$171="","",INDEX(Задание!$B$5:$U$70,O189,$B$171))</f>
        <v/>
      </c>
      <c r="E190" s="309"/>
      <c r="F190" s="309"/>
      <c r="G190" s="309"/>
      <c r="H190" s="309"/>
      <c r="I190" s="309"/>
      <c r="J190" s="309"/>
      <c r="K190" s="309"/>
      <c r="L190" s="309"/>
      <c r="M190" s="309"/>
      <c r="O190" s="210">
        <v>17</v>
      </c>
      <c r="P190" s="309"/>
      <c r="Q190" s="309"/>
      <c r="R190" s="309"/>
      <c r="S190" s="309"/>
      <c r="T190" s="309"/>
      <c r="U190" s="309"/>
      <c r="V190" s="309"/>
      <c r="W190" s="309"/>
      <c r="X190" s="309"/>
    </row>
    <row r="191" spans="1:24" ht="18" x14ac:dyDescent="0.25">
      <c r="A191" s="846" t="str">
        <f>IF(B177&gt;1,"Мощность пласта h2 минимальная, м","Не вводить")</f>
        <v>Мощность пласта h2 минимальная, м</v>
      </c>
      <c r="B191" s="2875" t="str">
        <f>IF($B$171="","",INDEX(Задание!$B$5:$U$70,O190,$B$171))</f>
        <v/>
      </c>
      <c r="E191" s="309"/>
      <c r="F191" s="309"/>
      <c r="G191" s="309"/>
      <c r="H191" s="309"/>
      <c r="I191" s="309"/>
      <c r="J191" s="309"/>
      <c r="K191" s="309"/>
      <c r="L191" s="309"/>
      <c r="M191" s="309"/>
      <c r="O191" s="210">
        <v>18</v>
      </c>
      <c r="P191" s="309"/>
      <c r="Q191" s="309"/>
      <c r="R191" s="309"/>
      <c r="S191" s="309"/>
      <c r="T191" s="309"/>
      <c r="U191" s="309"/>
      <c r="V191" s="309"/>
      <c r="W191" s="309"/>
      <c r="X191" s="309"/>
    </row>
    <row r="192" spans="1:24" ht="18" x14ac:dyDescent="0.25">
      <c r="A192" s="846" t="str">
        <f>IF(B177&gt;1,"Мощность пласта h2 средняя, м","Не вводить")</f>
        <v>Мощность пласта h2 средняя, м</v>
      </c>
      <c r="B192" s="2875" t="str">
        <f>IF($B$171="","",INDEX(Задание!$B$5:$U$70,O191,$B$171))</f>
        <v/>
      </c>
      <c r="E192" s="309"/>
      <c r="F192" s="309"/>
      <c r="G192" s="309"/>
      <c r="H192" s="309"/>
      <c r="I192" s="309"/>
      <c r="J192" s="309"/>
      <c r="K192" s="309"/>
      <c r="L192" s="309"/>
      <c r="M192" s="309"/>
      <c r="O192" s="210">
        <v>19</v>
      </c>
      <c r="P192" s="309"/>
      <c r="Q192" s="309"/>
      <c r="R192" s="309"/>
      <c r="S192" s="309"/>
      <c r="T192" s="309"/>
      <c r="U192" s="309"/>
      <c r="V192" s="309"/>
      <c r="W192" s="309"/>
      <c r="X192" s="309"/>
    </row>
    <row r="193" spans="1:24" ht="18" x14ac:dyDescent="0.25">
      <c r="A193" s="846" t="str">
        <f>IF(B177&gt;2,"Мощность пласта h3 максимальная, м","Не вводить")</f>
        <v>Мощность пласта h3 максимальная, м</v>
      </c>
      <c r="B193" s="2875" t="str">
        <f>IF($B$171="","",INDEX(Задание!$B$5:$U$70,O192,$B$171))</f>
        <v/>
      </c>
      <c r="E193" s="309"/>
      <c r="F193" s="309"/>
      <c r="G193" s="309"/>
      <c r="H193" s="309"/>
      <c r="I193" s="309"/>
      <c r="J193" s="309"/>
      <c r="K193" s="309"/>
      <c r="L193" s="309"/>
      <c r="M193" s="309"/>
      <c r="O193" s="210">
        <v>20</v>
      </c>
      <c r="P193" s="309"/>
      <c r="Q193" s="309"/>
      <c r="R193" s="309"/>
      <c r="S193" s="309"/>
      <c r="T193" s="309"/>
      <c r="U193" s="309"/>
      <c r="V193" s="309"/>
      <c r="W193" s="309"/>
      <c r="X193" s="309"/>
    </row>
    <row r="194" spans="1:24" ht="18" x14ac:dyDescent="0.25">
      <c r="A194" s="846" t="str">
        <f>IF(B177&gt;2,"Мощность пласта h3  минимальная, м","Не вводить")</f>
        <v>Мощность пласта h3  минимальная, м</v>
      </c>
      <c r="B194" s="2875" t="str">
        <f>IF($B$171="","",INDEX(Задание!$B$5:$U$70,O193,$B$171))</f>
        <v/>
      </c>
      <c r="E194" s="309"/>
      <c r="F194" s="309"/>
      <c r="G194" s="309"/>
      <c r="H194" s="309"/>
      <c r="I194" s="309"/>
      <c r="J194" s="309"/>
      <c r="K194" s="309"/>
      <c r="L194" s="309"/>
      <c r="M194" s="309"/>
      <c r="O194" s="210">
        <v>21</v>
      </c>
      <c r="P194" s="309"/>
      <c r="Q194" s="309"/>
      <c r="R194" s="309"/>
      <c r="S194" s="309"/>
      <c r="T194" s="309"/>
      <c r="U194" s="309"/>
      <c r="V194" s="309"/>
      <c r="W194" s="309"/>
      <c r="X194" s="309"/>
    </row>
    <row r="195" spans="1:24" ht="18" x14ac:dyDescent="0.25">
      <c r="A195" s="846" t="str">
        <f>IF(B177&gt;2,"Мощность пласта h3 средняя, м","Не вводить")</f>
        <v>Мощность пласта h3 средняя, м</v>
      </c>
      <c r="B195" s="2875" t="str">
        <f>IF($B$171="","",INDEX(Задание!$B$5:$U$70,O194,$B$171))</f>
        <v/>
      </c>
      <c r="E195" s="309"/>
      <c r="F195" s="309"/>
      <c r="G195" s="309"/>
      <c r="H195" s="309"/>
      <c r="I195" s="309"/>
      <c r="J195" s="309"/>
      <c r="K195" s="309"/>
      <c r="L195" s="309"/>
      <c r="M195" s="309"/>
      <c r="O195" s="210">
        <v>22</v>
      </c>
      <c r="P195" s="309"/>
      <c r="Q195" s="309"/>
      <c r="R195" s="309"/>
      <c r="S195" s="309"/>
      <c r="T195" s="309"/>
      <c r="U195" s="309"/>
      <c r="V195" s="309"/>
      <c r="W195" s="309"/>
      <c r="X195" s="309"/>
    </row>
    <row r="196" spans="1:24" ht="18" x14ac:dyDescent="0.25">
      <c r="A196" s="846" t="str">
        <f>IF(B177&gt;3,"Мощность пласта h4 максимальная, м","Не вводить")</f>
        <v>Мощность пласта h4 максимальная, м</v>
      </c>
      <c r="B196" s="2875" t="str">
        <f>IF($B$171="","",INDEX(Задание!$B$5:$U$70,O195,$B$171))</f>
        <v/>
      </c>
      <c r="E196" s="309"/>
      <c r="F196" s="309"/>
      <c r="G196" s="309"/>
      <c r="H196" s="309"/>
      <c r="I196" s="309"/>
      <c r="J196" s="309"/>
      <c r="K196" s="309"/>
      <c r="L196" s="309"/>
      <c r="M196" s="309"/>
      <c r="O196" s="210">
        <v>23</v>
      </c>
      <c r="P196" s="309"/>
      <c r="Q196" s="309"/>
      <c r="R196" s="309"/>
      <c r="S196" s="309"/>
      <c r="T196" s="309"/>
      <c r="U196" s="309"/>
      <c r="V196" s="309"/>
      <c r="W196" s="309"/>
      <c r="X196" s="309"/>
    </row>
    <row r="197" spans="1:24" ht="18" x14ac:dyDescent="0.25">
      <c r="A197" s="846" t="str">
        <f>IF(B177&gt;3,"Мощность пласта h4 минимальная, м","Не вводить")</f>
        <v>Мощность пласта h4 минимальная, м</v>
      </c>
      <c r="B197" s="2875" t="str">
        <f>IF($B$171="","",INDEX(Задание!$B$5:$U$70,O196,$B$171))</f>
        <v/>
      </c>
      <c r="E197" s="309"/>
      <c r="F197" s="309"/>
      <c r="G197" s="309"/>
      <c r="H197" s="309"/>
      <c r="I197" s="309"/>
      <c r="J197" s="309"/>
      <c r="K197" s="309"/>
      <c r="L197" s="309"/>
      <c r="M197" s="309"/>
      <c r="O197" s="210">
        <v>24</v>
      </c>
      <c r="P197" s="309"/>
      <c r="Q197" s="309"/>
      <c r="R197" s="309"/>
      <c r="S197" s="309"/>
      <c r="T197" s="309"/>
      <c r="U197" s="309"/>
      <c r="V197" s="309"/>
      <c r="W197" s="309"/>
      <c r="X197" s="309"/>
    </row>
    <row r="198" spans="1:24" ht="18" x14ac:dyDescent="0.25">
      <c r="A198" s="846" t="str">
        <f>IF(B177&gt;3,"Мощность пласта h4 средняя, м","Не вводить")</f>
        <v>Мощность пласта h4 средняя, м</v>
      </c>
      <c r="B198" s="2875" t="str">
        <f>IF($B$171="","",INDEX(Задание!$B$5:$U$70,O197,$B$171))</f>
        <v/>
      </c>
      <c r="E198" s="309"/>
      <c r="F198" s="309"/>
      <c r="G198" s="309"/>
      <c r="H198" s="309"/>
      <c r="I198" s="309"/>
      <c r="J198" s="309"/>
      <c r="K198" s="309"/>
      <c r="L198" s="309"/>
      <c r="M198" s="309"/>
      <c r="O198" s="210">
        <v>25</v>
      </c>
      <c r="P198" s="309"/>
      <c r="Q198" s="309"/>
      <c r="R198" s="309"/>
      <c r="S198" s="309"/>
      <c r="T198" s="309"/>
      <c r="U198" s="309"/>
      <c r="V198" s="309"/>
      <c r="W198" s="309"/>
      <c r="X198" s="309"/>
    </row>
    <row r="199" spans="1:24" ht="18" x14ac:dyDescent="0.25">
      <c r="A199" s="846" t="str">
        <f>IF(B177&gt;4,"Мощность пласта h5 максимальная, м","Не вводить")</f>
        <v>Мощность пласта h5 максимальная, м</v>
      </c>
      <c r="B199" s="2875" t="str">
        <f>IF($B$171="","",INDEX(Задание!$B$5:$U$70,O198,$B$171))</f>
        <v/>
      </c>
      <c r="E199" s="309"/>
      <c r="F199" s="309"/>
      <c r="G199" s="309"/>
      <c r="H199" s="309"/>
      <c r="I199" s="309"/>
      <c r="J199" s="309"/>
      <c r="K199" s="309"/>
      <c r="L199" s="309"/>
      <c r="M199" s="309"/>
      <c r="O199" s="210">
        <v>26</v>
      </c>
      <c r="P199" s="309"/>
      <c r="Q199" s="309"/>
      <c r="R199" s="309"/>
      <c r="S199" s="309"/>
      <c r="T199" s="309"/>
      <c r="U199" s="309"/>
      <c r="V199" s="309"/>
      <c r="W199" s="309"/>
      <c r="X199" s="309"/>
    </row>
    <row r="200" spans="1:24" ht="18" x14ac:dyDescent="0.25">
      <c r="A200" s="846" t="str">
        <f>IF(B177&gt;4,"Мощность пласта h5 минимальная, м","Не вводить")</f>
        <v>Мощность пласта h5 минимальная, м</v>
      </c>
      <c r="B200" s="2875" t="str">
        <f>IF($B$171="","",INDEX(Задание!$B$5:$U$70,O199,$B$171))</f>
        <v/>
      </c>
      <c r="E200" s="309"/>
      <c r="F200" s="309"/>
      <c r="G200" s="309"/>
      <c r="H200" s="309"/>
      <c r="I200" s="309"/>
      <c r="J200" s="309"/>
      <c r="K200" s="309"/>
      <c r="L200" s="309"/>
      <c r="M200" s="309"/>
      <c r="O200" s="210">
        <v>27</v>
      </c>
      <c r="P200" s="309"/>
      <c r="Q200" s="309"/>
      <c r="R200" s="309"/>
      <c r="S200" s="309"/>
      <c r="T200" s="309"/>
      <c r="U200" s="309"/>
      <c r="V200" s="309"/>
      <c r="W200" s="309"/>
      <c r="X200" s="309"/>
    </row>
    <row r="201" spans="1:24" ht="18" x14ac:dyDescent="0.25">
      <c r="A201" s="846" t="str">
        <f>IF(B177&gt;4,"Мощность пласта h5 средняя, м","Не вводить")</f>
        <v>Мощность пласта h5 средняя, м</v>
      </c>
      <c r="B201" s="2875" t="str">
        <f>IF($B$171="","",INDEX(Задание!$B$5:$U$70,O200,$B$171))</f>
        <v/>
      </c>
      <c r="E201" s="309"/>
      <c r="F201" s="309"/>
      <c r="G201" s="309"/>
      <c r="H201" s="309"/>
      <c r="I201" s="309"/>
      <c r="J201" s="309"/>
      <c r="K201" s="309"/>
      <c r="L201" s="309"/>
      <c r="M201" s="309"/>
      <c r="O201" s="210">
        <v>28</v>
      </c>
      <c r="P201" s="309"/>
      <c r="Q201" s="309"/>
      <c r="R201" s="309"/>
      <c r="S201" s="309"/>
      <c r="T201" s="309"/>
      <c r="U201" s="309"/>
      <c r="V201" s="309"/>
      <c r="W201" s="309"/>
      <c r="X201" s="309"/>
    </row>
    <row r="202" spans="1:24" ht="18" x14ac:dyDescent="0.25">
      <c r="A202" s="846" t="str">
        <f>IF(B177&gt;5,"Мощность пласта h6 максимальная, м","Не вводить")</f>
        <v>Мощность пласта h6 максимальная, м</v>
      </c>
      <c r="B202" s="2875" t="str">
        <f>IF($B$171="","",INDEX(Задание!$B$5:$U$70,O201,$B$171))</f>
        <v/>
      </c>
      <c r="E202" s="309"/>
      <c r="F202" s="309"/>
      <c r="G202" s="309"/>
      <c r="H202" s="309"/>
      <c r="I202" s="309"/>
      <c r="J202" s="309"/>
      <c r="K202" s="309"/>
      <c r="L202" s="309"/>
      <c r="M202" s="309"/>
      <c r="O202" s="210">
        <v>29</v>
      </c>
      <c r="P202" s="309"/>
      <c r="Q202" s="309"/>
      <c r="R202" s="309"/>
      <c r="S202" s="309"/>
      <c r="T202" s="309"/>
      <c r="U202" s="309"/>
      <c r="V202" s="309"/>
      <c r="W202" s="309"/>
      <c r="X202" s="309"/>
    </row>
    <row r="203" spans="1:24" ht="18" x14ac:dyDescent="0.25">
      <c r="A203" s="846" t="str">
        <f>IF(B177&gt;5,"Мощность пласта h6 минимальная, м","Не вводить")</f>
        <v>Мощность пласта h6 минимальная, м</v>
      </c>
      <c r="B203" s="2875" t="str">
        <f>IF($B$171="","",INDEX(Задание!$B$5:$U$70,O202,$B$171))</f>
        <v/>
      </c>
      <c r="E203" s="309"/>
      <c r="F203" s="309"/>
      <c r="G203" s="309"/>
      <c r="H203" s="309"/>
      <c r="I203" s="309"/>
      <c r="J203" s="309"/>
      <c r="K203" s="309"/>
      <c r="L203" s="309"/>
      <c r="M203" s="309"/>
      <c r="O203" s="210">
        <v>30</v>
      </c>
      <c r="P203" s="309"/>
      <c r="Q203" s="309"/>
      <c r="R203" s="309"/>
      <c r="S203" s="309"/>
      <c r="T203" s="309"/>
      <c r="U203" s="309"/>
      <c r="V203" s="309"/>
      <c r="W203" s="309"/>
      <c r="X203" s="309"/>
    </row>
    <row r="204" spans="1:24" ht="18" x14ac:dyDescent="0.25">
      <c r="A204" s="846" t="str">
        <f>IF(B177&gt;5,"Мощность пласта h6 средня, м","Не вводить")</f>
        <v>Мощность пласта h6 средня, м</v>
      </c>
      <c r="B204" s="2875" t="str">
        <f>IF($B$171="","",INDEX(Задание!$B$5:$U$70,O203,$B$171))</f>
        <v/>
      </c>
      <c r="E204" s="309"/>
      <c r="F204" s="309"/>
      <c r="G204" s="309"/>
      <c r="H204" s="309"/>
      <c r="I204" s="309"/>
      <c r="J204" s="309"/>
      <c r="K204" s="309"/>
      <c r="L204" s="309"/>
      <c r="M204" s="309"/>
      <c r="O204" s="210">
        <v>31</v>
      </c>
      <c r="P204" s="309"/>
      <c r="Q204" s="309"/>
      <c r="R204" s="309"/>
      <c r="S204" s="309"/>
      <c r="T204" s="309"/>
      <c r="U204" s="309"/>
      <c r="V204" s="309"/>
      <c r="W204" s="309"/>
      <c r="X204" s="309"/>
    </row>
    <row r="205" spans="1:24" ht="18" x14ac:dyDescent="0.25">
      <c r="A205" s="2498" t="s">
        <v>2788</v>
      </c>
      <c r="B205" s="2874" t="str">
        <f>IF($B$171="","",INDEX(Задание!$B$5:$U$70,O204,$B$171))</f>
        <v/>
      </c>
      <c r="C205" s="239"/>
      <c r="E205" s="309"/>
      <c r="F205" s="309"/>
      <c r="G205" s="309"/>
      <c r="H205" s="309"/>
      <c r="I205" s="309"/>
      <c r="J205" s="309"/>
      <c r="K205" s="309"/>
      <c r="L205" s="309"/>
      <c r="M205" s="309"/>
      <c r="O205" s="210">
        <v>32</v>
      </c>
      <c r="P205" s="309"/>
      <c r="Q205" s="309"/>
      <c r="R205" s="309"/>
      <c r="S205" s="309"/>
      <c r="T205" s="309"/>
      <c r="U205" s="309"/>
      <c r="V205" s="309"/>
      <c r="W205" s="309"/>
      <c r="X205" s="309"/>
    </row>
    <row r="206" spans="1:24" ht="22.5" customHeight="1" x14ac:dyDescent="0.25">
      <c r="A206" s="875" t="s">
        <v>3786</v>
      </c>
      <c r="B206" s="2874" t="str">
        <f>IF($B$171="","",INDEX(Задание!$B$5:$U$70,O205,$B$171))</f>
        <v/>
      </c>
      <c r="C206" s="2533"/>
      <c r="E206" s="309"/>
      <c r="F206" s="309"/>
      <c r="G206" s="309"/>
      <c r="H206" s="309"/>
      <c r="I206" s="309"/>
      <c r="J206" s="309"/>
      <c r="K206" s="309"/>
      <c r="L206" s="309"/>
      <c r="M206" s="309"/>
      <c r="O206" s="210">
        <v>33</v>
      </c>
      <c r="P206" s="309"/>
      <c r="Q206" s="309"/>
      <c r="R206" s="309"/>
      <c r="S206" s="309"/>
      <c r="T206" s="309"/>
      <c r="U206" s="309"/>
      <c r="V206" s="309"/>
      <c r="W206" s="309"/>
      <c r="X206" s="309"/>
    </row>
    <row r="207" spans="1:24" ht="18" x14ac:dyDescent="0.25">
      <c r="A207" s="875" t="s">
        <v>3787</v>
      </c>
      <c r="B207" s="2874" t="str">
        <f>IF($B$171="","",INDEX(Задание!$B$5:$U$70,O206,$B$171))</f>
        <v/>
      </c>
      <c r="C207" s="2533"/>
      <c r="E207" s="309"/>
      <c r="F207" s="309"/>
      <c r="G207" s="309"/>
      <c r="H207" s="309"/>
      <c r="I207" s="309"/>
      <c r="J207" s="309"/>
      <c r="K207" s="309"/>
      <c r="L207" s="309"/>
      <c r="M207" s="309"/>
      <c r="O207" s="210">
        <v>34</v>
      </c>
      <c r="P207" s="309"/>
      <c r="Q207" s="309"/>
      <c r="R207" s="309"/>
      <c r="S207" s="309"/>
      <c r="T207" s="309"/>
      <c r="U207" s="309"/>
      <c r="V207" s="309"/>
      <c r="W207" s="309"/>
      <c r="X207" s="309"/>
    </row>
    <row r="208" spans="1:24" ht="15.75" customHeight="1" x14ac:dyDescent="0.25">
      <c r="A208" s="875" t="s">
        <v>6941</v>
      </c>
      <c r="B208" s="2874" t="str">
        <f>IF($B$171="","",INDEX(Задание!$B$5:$U$70,O207,$B$171))</f>
        <v/>
      </c>
      <c r="C208" s="2533"/>
      <c r="E208" s="309"/>
      <c r="F208" s="309"/>
      <c r="G208" s="309"/>
      <c r="H208" s="309"/>
      <c r="I208" s="309"/>
      <c r="J208" s="309"/>
      <c r="K208" s="309"/>
      <c r="L208" s="309"/>
      <c r="M208" s="309"/>
      <c r="O208" s="210">
        <v>35</v>
      </c>
      <c r="P208" s="309"/>
      <c r="Q208" s="309"/>
      <c r="R208" s="309"/>
      <c r="S208" s="309"/>
      <c r="T208" s="309"/>
      <c r="U208" s="309"/>
      <c r="V208" s="309"/>
      <c r="W208" s="309"/>
      <c r="X208" s="309"/>
    </row>
    <row r="209" spans="1:24" ht="18" x14ac:dyDescent="0.25">
      <c r="A209" s="880" t="s">
        <v>1000</v>
      </c>
      <c r="B209" s="2874" t="str">
        <f>IF($B$171="","",INDEX(Задание!$B$5:$U$70,O208,$B$171))</f>
        <v/>
      </c>
      <c r="C209" s="2534"/>
      <c r="E209" s="309"/>
      <c r="F209" s="309"/>
      <c r="G209" s="309"/>
      <c r="H209" s="309"/>
      <c r="I209" s="309"/>
      <c r="J209" s="309"/>
      <c r="K209" s="309"/>
      <c r="L209" s="309"/>
      <c r="M209" s="309"/>
      <c r="O209" s="210">
        <v>36</v>
      </c>
      <c r="P209" s="309"/>
      <c r="Q209" s="309"/>
      <c r="R209" s="309"/>
      <c r="S209" s="309"/>
      <c r="T209" s="309"/>
      <c r="U209" s="309"/>
      <c r="V209" s="309"/>
      <c r="W209" s="309"/>
      <c r="X209" s="309"/>
    </row>
    <row r="210" spans="1:24" ht="18" x14ac:dyDescent="0.25">
      <c r="A210" s="875" t="s">
        <v>5150</v>
      </c>
      <c r="B210" s="2874" t="str">
        <f>IF($B$171="","",INDEX(Задание!$B$5:$U$70,O209,$B$171))</f>
        <v/>
      </c>
      <c r="C210" s="2533"/>
      <c r="E210" s="309"/>
      <c r="F210" s="309"/>
      <c r="G210" s="309"/>
      <c r="H210" s="309"/>
      <c r="I210" s="309"/>
      <c r="J210" s="309"/>
      <c r="K210" s="309"/>
      <c r="L210" s="309"/>
      <c r="M210" s="309"/>
      <c r="O210" s="210">
        <v>37</v>
      </c>
      <c r="P210" s="309"/>
      <c r="Q210" s="309"/>
      <c r="R210" s="309"/>
      <c r="S210" s="309"/>
      <c r="T210" s="309"/>
      <c r="U210" s="309"/>
      <c r="V210" s="309"/>
      <c r="W210" s="309"/>
      <c r="X210" s="309"/>
    </row>
    <row r="211" spans="1:24" ht="18" x14ac:dyDescent="0.25">
      <c r="A211" s="880" t="s">
        <v>998</v>
      </c>
      <c r="B211" s="2874" t="str">
        <f>IF($B$171="","",INDEX(Задание!$B$5:$U$70,O210,$B$171))</f>
        <v/>
      </c>
      <c r="C211" s="2533"/>
      <c r="E211" s="309"/>
      <c r="F211" s="309"/>
      <c r="G211" s="309"/>
      <c r="H211" s="309"/>
      <c r="I211" s="309"/>
      <c r="J211" s="309"/>
      <c r="K211" s="309"/>
      <c r="L211" s="309"/>
      <c r="M211" s="309"/>
      <c r="O211" s="210">
        <v>38</v>
      </c>
      <c r="P211" s="309"/>
      <c r="Q211" s="309"/>
      <c r="R211" s="309"/>
      <c r="S211" s="309"/>
      <c r="T211" s="309"/>
      <c r="U211" s="309"/>
      <c r="V211" s="309"/>
      <c r="W211" s="309"/>
      <c r="X211" s="309"/>
    </row>
    <row r="212" spans="1:24" ht="31.5" x14ac:dyDescent="0.25">
      <c r="A212" s="880" t="s">
        <v>5157</v>
      </c>
      <c r="B212" s="2874" t="str">
        <f>IF($B$171="","",INDEX(Задание!$B$5:$U$70,O211,$B$171))</f>
        <v/>
      </c>
      <c r="C212" s="2533"/>
      <c r="E212" s="309"/>
      <c r="F212" s="309"/>
      <c r="G212" s="309"/>
      <c r="H212" s="309"/>
      <c r="I212" s="309"/>
      <c r="J212" s="309"/>
      <c r="K212" s="309"/>
      <c r="L212" s="309"/>
      <c r="M212" s="309"/>
      <c r="O212" s="210">
        <v>39</v>
      </c>
      <c r="P212" s="309"/>
      <c r="Q212" s="309"/>
      <c r="R212" s="309"/>
      <c r="S212" s="309"/>
      <c r="T212" s="309"/>
      <c r="U212" s="309"/>
      <c r="V212" s="309"/>
      <c r="W212" s="309"/>
      <c r="X212" s="309"/>
    </row>
    <row r="213" spans="1:24" ht="31.5" x14ac:dyDescent="0.25">
      <c r="A213" s="1138" t="s">
        <v>1707</v>
      </c>
      <c r="B213" s="2874" t="str">
        <f>IF($B$171="","",INDEX(Задание!$B$5:$U$70,O212,$B$171))</f>
        <v/>
      </c>
      <c r="C213" s="2533"/>
      <c r="E213" s="309"/>
      <c r="F213" s="309"/>
      <c r="G213" s="309"/>
      <c r="H213" s="309"/>
      <c r="I213" s="309"/>
      <c r="J213" s="309"/>
      <c r="K213" s="309"/>
      <c r="L213" s="309"/>
      <c r="M213" s="309"/>
      <c r="O213" s="210">
        <v>40</v>
      </c>
      <c r="P213" s="309"/>
      <c r="Q213" s="309"/>
      <c r="R213" s="309"/>
      <c r="S213" s="309"/>
      <c r="T213" s="309"/>
      <c r="U213" s="309"/>
      <c r="V213" s="309"/>
      <c r="W213" s="309"/>
      <c r="X213" s="309"/>
    </row>
    <row r="214" spans="1:24" ht="18" x14ac:dyDescent="0.25">
      <c r="A214" s="875" t="s">
        <v>3475</v>
      </c>
      <c r="B214" s="2874" t="str">
        <f>IF($B$171="","",INDEX(Задание!$B$5:$U$70,O213,$B$171))</f>
        <v/>
      </c>
      <c r="C214" s="2533"/>
      <c r="E214" s="309"/>
      <c r="F214" s="309"/>
      <c r="G214" s="309"/>
      <c r="H214" s="309"/>
      <c r="I214" s="309"/>
      <c r="J214" s="309"/>
      <c r="K214" s="309"/>
      <c r="L214" s="309"/>
      <c r="M214" s="309"/>
      <c r="O214" s="210">
        <v>41</v>
      </c>
      <c r="P214" s="309"/>
      <c r="Q214" s="309"/>
      <c r="R214" s="309"/>
      <c r="S214" s="309"/>
      <c r="T214" s="309"/>
      <c r="U214" s="309"/>
      <c r="V214" s="309"/>
      <c r="W214" s="309"/>
      <c r="X214" s="309"/>
    </row>
    <row r="215" spans="1:24" ht="18" x14ac:dyDescent="0.25">
      <c r="A215" s="875" t="s">
        <v>4108</v>
      </c>
      <c r="B215" s="2875" t="str">
        <f>IF($B$171="","",INDEX(Задание!$B$5:$U$70,O214,$B$171))</f>
        <v/>
      </c>
      <c r="C215" s="2533"/>
      <c r="E215" s="309"/>
      <c r="F215" s="309"/>
      <c r="G215" s="309"/>
      <c r="H215" s="309"/>
      <c r="I215" s="309"/>
      <c r="J215" s="309"/>
      <c r="K215" s="309"/>
      <c r="L215" s="309"/>
      <c r="M215" s="309"/>
      <c r="O215" s="210">
        <v>42</v>
      </c>
      <c r="P215" s="309"/>
      <c r="Q215" s="309"/>
      <c r="R215" s="309"/>
      <c r="S215" s="309"/>
      <c r="T215" s="309"/>
      <c r="U215" s="309"/>
      <c r="V215" s="309"/>
      <c r="W215" s="309"/>
      <c r="X215" s="309"/>
    </row>
    <row r="216" spans="1:24" ht="18" x14ac:dyDescent="0.25">
      <c r="A216" s="875" t="s">
        <v>3992</v>
      </c>
      <c r="B216" s="2874" t="str">
        <f>IF($B$171="","",INDEX(Задание!$B$5:$U$70,O215,$B$171))</f>
        <v/>
      </c>
      <c r="C216" s="2533"/>
      <c r="E216" s="309"/>
      <c r="F216" s="309"/>
      <c r="G216" s="309"/>
      <c r="H216" s="309"/>
      <c r="I216" s="309"/>
      <c r="J216" s="309"/>
      <c r="K216" s="309"/>
      <c r="L216" s="309"/>
      <c r="M216" s="309"/>
      <c r="O216" s="210">
        <v>43</v>
      </c>
      <c r="P216" s="309"/>
      <c r="Q216" s="309"/>
      <c r="R216" s="309"/>
      <c r="S216" s="309"/>
      <c r="T216" s="309"/>
      <c r="U216" s="309"/>
      <c r="V216" s="309"/>
      <c r="W216" s="309"/>
      <c r="X216" s="309"/>
    </row>
    <row r="217" spans="1:24" ht="18" x14ac:dyDescent="0.25">
      <c r="A217" s="874" t="s">
        <v>3071</v>
      </c>
      <c r="B217" s="2874" t="str">
        <f>IF($B$171="","",INDEX(Задание!$B$5:$U$70,O216,$B$171))</f>
        <v/>
      </c>
      <c r="C217" s="2533"/>
      <c r="E217" s="309"/>
      <c r="F217" s="309"/>
      <c r="G217" s="309"/>
      <c r="H217" s="309"/>
      <c r="I217" s="309"/>
      <c r="J217" s="309"/>
      <c r="K217" s="309"/>
      <c r="L217" s="309"/>
      <c r="M217" s="309"/>
      <c r="O217" s="210">
        <v>44</v>
      </c>
      <c r="P217" s="309"/>
      <c r="Q217" s="309"/>
      <c r="R217" s="309"/>
      <c r="S217" s="309"/>
      <c r="T217" s="309"/>
      <c r="U217" s="309"/>
      <c r="V217" s="309"/>
      <c r="W217" s="309"/>
      <c r="X217" s="309"/>
    </row>
    <row r="218" spans="1:24" ht="18" x14ac:dyDescent="0.25">
      <c r="A218" s="875" t="s">
        <v>3716</v>
      </c>
      <c r="B218" s="2874" t="str">
        <f>IF($B$171="","",INDEX(Задание!$B$5:$U$70,O217,$B$171))</f>
        <v/>
      </c>
      <c r="C218" s="2533"/>
      <c r="E218" s="309"/>
      <c r="F218" s="309"/>
      <c r="G218" s="309"/>
      <c r="H218" s="309"/>
      <c r="I218" s="309"/>
      <c r="J218" s="309"/>
      <c r="K218" s="309"/>
      <c r="L218" s="309"/>
      <c r="M218" s="309"/>
      <c r="O218" s="210">
        <v>45</v>
      </c>
      <c r="P218" s="309"/>
      <c r="Q218" s="309"/>
      <c r="R218" s="309"/>
      <c r="S218" s="309"/>
      <c r="T218" s="309"/>
      <c r="U218" s="309"/>
      <c r="V218" s="309"/>
      <c r="W218" s="309"/>
      <c r="X218" s="309"/>
    </row>
    <row r="219" spans="1:24" ht="34.5" customHeight="1" x14ac:dyDescent="0.25">
      <c r="A219" s="875" t="s">
        <v>3667</v>
      </c>
      <c r="B219" s="2874" t="str">
        <f>IF($B$171="","",INDEX(Задание!$B$5:$U$70,O218,$B$171))</f>
        <v/>
      </c>
      <c r="C219" s="2533"/>
      <c r="E219" s="309"/>
      <c r="F219" s="309"/>
      <c r="G219" s="309"/>
      <c r="H219" s="309"/>
      <c r="I219" s="309"/>
      <c r="J219" s="309"/>
      <c r="K219" s="309"/>
      <c r="L219" s="309"/>
      <c r="M219" s="309"/>
      <c r="O219" s="210">
        <v>46</v>
      </c>
      <c r="P219" s="309"/>
      <c r="Q219" s="309"/>
      <c r="R219" s="309"/>
      <c r="S219" s="309"/>
      <c r="T219" s="309"/>
      <c r="U219" s="309"/>
      <c r="V219" s="309"/>
      <c r="W219" s="309"/>
      <c r="X219" s="309"/>
    </row>
    <row r="220" spans="1:24" ht="18" x14ac:dyDescent="0.25">
      <c r="A220" s="875" t="s">
        <v>5544</v>
      </c>
      <c r="B220" s="2874" t="str">
        <f>IF($B$171="","",INDEX(Задание!$B$5:$U$70,O219,$B$171))</f>
        <v/>
      </c>
      <c r="C220" s="2533"/>
      <c r="E220" s="309"/>
      <c r="F220" s="309"/>
      <c r="G220" s="309"/>
      <c r="H220" s="309"/>
      <c r="I220" s="309"/>
      <c r="J220" s="309"/>
      <c r="K220" s="309"/>
      <c r="L220" s="309"/>
      <c r="M220" s="309"/>
      <c r="O220" s="210">
        <v>47</v>
      </c>
      <c r="P220" s="309"/>
      <c r="Q220" s="309"/>
      <c r="R220" s="309"/>
      <c r="S220" s="309"/>
      <c r="T220" s="309"/>
      <c r="U220" s="309"/>
      <c r="V220" s="309"/>
      <c r="W220" s="309"/>
      <c r="X220" s="309"/>
    </row>
    <row r="221" spans="1:24" ht="47.25" x14ac:dyDescent="0.25">
      <c r="A221" s="880" t="s">
        <v>1822</v>
      </c>
      <c r="B221" s="2874" t="str">
        <f>IF($B$171="","",INDEX(Задание!$B$5:$U$70,O220,$B$171))</f>
        <v/>
      </c>
      <c r="C221" s="2533"/>
      <c r="E221" s="309"/>
      <c r="F221" s="309"/>
      <c r="G221" s="309"/>
      <c r="H221" s="309"/>
      <c r="I221" s="309"/>
      <c r="J221" s="309"/>
      <c r="K221" s="309"/>
      <c r="L221" s="309"/>
      <c r="M221" s="309"/>
      <c r="O221" s="210">
        <v>48</v>
      </c>
      <c r="P221" s="309"/>
      <c r="Q221" s="309"/>
      <c r="R221" s="309"/>
      <c r="S221" s="309"/>
      <c r="T221" s="309"/>
      <c r="U221" s="309"/>
      <c r="V221" s="309"/>
      <c r="W221" s="309"/>
      <c r="X221" s="309"/>
    </row>
    <row r="222" spans="1:24" ht="18" x14ac:dyDescent="0.25">
      <c r="A222" s="875" t="s">
        <v>4000</v>
      </c>
      <c r="B222" s="2874" t="str">
        <f>IF($B$171="","",INDEX(Задание!$B$5:$U$70,O221,$B$171))</f>
        <v/>
      </c>
      <c r="C222" s="2533"/>
      <c r="E222" s="309"/>
      <c r="F222" s="309"/>
      <c r="G222" s="309"/>
      <c r="H222" s="309"/>
      <c r="I222" s="309"/>
      <c r="J222" s="309"/>
      <c r="K222" s="309"/>
      <c r="L222" s="309"/>
      <c r="M222" s="309"/>
      <c r="O222" s="210">
        <v>49</v>
      </c>
      <c r="P222" s="309"/>
      <c r="Q222" s="309"/>
      <c r="R222" s="309"/>
      <c r="S222" s="309"/>
      <c r="T222" s="309"/>
      <c r="U222" s="309"/>
      <c r="V222" s="309"/>
      <c r="W222" s="309"/>
      <c r="X222" s="309"/>
    </row>
    <row r="223" spans="1:24" ht="45.75" customHeight="1" x14ac:dyDescent="0.25">
      <c r="A223" s="1138" t="s">
        <v>997</v>
      </c>
      <c r="B223" s="2874" t="str">
        <f>IF($B$171="","",INDEX(Задание!$B$5:$U$70,O222,$B$171))</f>
        <v/>
      </c>
      <c r="C223" s="2533"/>
      <c r="E223" s="309"/>
      <c r="F223" s="309"/>
      <c r="G223" s="309"/>
      <c r="H223" s="309"/>
      <c r="I223" s="309"/>
      <c r="J223" s="309"/>
      <c r="K223" s="309"/>
      <c r="L223" s="309"/>
      <c r="M223" s="309"/>
      <c r="O223" s="210">
        <v>50</v>
      </c>
      <c r="P223" s="309"/>
      <c r="Q223" s="309"/>
      <c r="R223" s="309"/>
      <c r="S223" s="309"/>
      <c r="T223" s="309"/>
      <c r="U223" s="309"/>
      <c r="V223" s="309"/>
      <c r="W223" s="309"/>
      <c r="X223" s="309"/>
    </row>
    <row r="224" spans="1:24" ht="31.5" x14ac:dyDescent="0.25">
      <c r="A224" s="875" t="s">
        <v>3668</v>
      </c>
      <c r="B224" s="2874" t="str">
        <f>IF($B$171="","",INDEX(Задание!$B$5:$U$70,O223,$B$171))</f>
        <v/>
      </c>
      <c r="C224" s="2533"/>
      <c r="E224" s="309"/>
      <c r="F224" s="309"/>
      <c r="G224" s="309"/>
      <c r="H224" s="309"/>
      <c r="I224" s="309"/>
      <c r="J224" s="309"/>
      <c r="K224" s="309"/>
      <c r="L224" s="309"/>
      <c r="M224" s="309"/>
      <c r="O224" s="210">
        <v>51</v>
      </c>
      <c r="P224" s="309"/>
      <c r="Q224" s="309"/>
      <c r="R224" s="309"/>
      <c r="S224" s="309"/>
      <c r="T224" s="309"/>
      <c r="U224" s="309"/>
      <c r="V224" s="309"/>
      <c r="W224" s="309"/>
      <c r="X224" s="309"/>
    </row>
    <row r="225" spans="1:24" ht="18" x14ac:dyDescent="0.25">
      <c r="A225" s="875" t="s">
        <v>3489</v>
      </c>
      <c r="B225" s="2874" t="str">
        <f>IF($B$171="","",INDEX(Задание!$B$5:$U$70,O224,$B$171))</f>
        <v/>
      </c>
      <c r="C225" s="2533"/>
      <c r="E225" s="309"/>
      <c r="F225" s="309"/>
      <c r="G225" s="309"/>
      <c r="H225" s="309"/>
      <c r="I225" s="309"/>
      <c r="J225" s="309"/>
      <c r="K225" s="309"/>
      <c r="L225" s="309"/>
      <c r="M225" s="309"/>
      <c r="O225" s="210">
        <v>52</v>
      </c>
      <c r="P225" s="309"/>
      <c r="Q225" s="309"/>
      <c r="R225" s="309"/>
      <c r="S225" s="309"/>
      <c r="T225" s="309"/>
      <c r="U225" s="309"/>
      <c r="V225" s="309"/>
      <c r="W225" s="309"/>
      <c r="X225" s="309"/>
    </row>
    <row r="226" spans="1:24" ht="18" x14ac:dyDescent="0.25">
      <c r="A226" s="875" t="s">
        <v>3671</v>
      </c>
      <c r="B226" s="2874" t="str">
        <f>IF($B$171="","",INDEX(Задание!$B$5:$U$70,O225,$B$171))</f>
        <v/>
      </c>
      <c r="C226" s="2533"/>
      <c r="E226" s="309"/>
      <c r="F226" s="309"/>
      <c r="G226" s="309"/>
      <c r="H226" s="309"/>
      <c r="I226" s="309"/>
      <c r="J226" s="309"/>
      <c r="K226" s="309"/>
      <c r="L226" s="309"/>
      <c r="M226" s="309"/>
      <c r="O226" s="210">
        <v>53</v>
      </c>
      <c r="P226" s="309"/>
      <c r="Q226" s="309"/>
      <c r="R226" s="309"/>
      <c r="S226" s="309"/>
      <c r="T226" s="309"/>
      <c r="U226" s="309"/>
      <c r="V226" s="309"/>
      <c r="W226" s="309"/>
      <c r="X226" s="309"/>
    </row>
    <row r="227" spans="1:24" ht="18" x14ac:dyDescent="0.25">
      <c r="A227" s="875" t="s">
        <v>3476</v>
      </c>
      <c r="B227" s="2874" t="str">
        <f>IF($B$171="","",INDEX(Задание!$B$5:$U$70,O226,$B$171))</f>
        <v/>
      </c>
      <c r="C227" s="2533"/>
      <c r="E227" s="309"/>
      <c r="F227" s="309"/>
      <c r="G227" s="309"/>
      <c r="H227" s="309"/>
      <c r="I227" s="309"/>
      <c r="J227" s="309"/>
      <c r="K227" s="309"/>
      <c r="L227" s="309"/>
      <c r="M227" s="309"/>
      <c r="O227" s="210">
        <v>54</v>
      </c>
      <c r="P227" s="309"/>
      <c r="Q227" s="309"/>
      <c r="R227" s="309"/>
      <c r="S227" s="309"/>
      <c r="T227" s="309"/>
      <c r="U227" s="309"/>
      <c r="V227" s="309"/>
      <c r="W227" s="309"/>
      <c r="X227" s="309"/>
    </row>
    <row r="228" spans="1:24" ht="31.5" x14ac:dyDescent="0.25">
      <c r="A228" s="1138" t="s">
        <v>4875</v>
      </c>
      <c r="B228" s="2874" t="str">
        <f>IF($B$171="","",INDEX(Задание!$B$5:$U$70,O227,$B$171))</f>
        <v/>
      </c>
      <c r="C228" s="2533"/>
      <c r="E228" s="309"/>
      <c r="F228" s="309"/>
      <c r="G228" s="309"/>
      <c r="H228" s="309"/>
      <c r="I228" s="309"/>
      <c r="J228" s="309"/>
      <c r="K228" s="309"/>
      <c r="L228" s="309"/>
      <c r="M228" s="309"/>
      <c r="O228" s="210">
        <v>55</v>
      </c>
      <c r="P228" s="309"/>
      <c r="Q228" s="309"/>
      <c r="R228" s="309"/>
      <c r="S228" s="309"/>
      <c r="T228" s="309"/>
      <c r="U228" s="309"/>
      <c r="V228" s="309"/>
      <c r="W228" s="309"/>
      <c r="X228" s="309"/>
    </row>
    <row r="229" spans="1:24" ht="18" x14ac:dyDescent="0.25">
      <c r="A229" s="876" t="s">
        <v>5530</v>
      </c>
      <c r="B229" s="2874"/>
      <c r="C229" s="2533"/>
      <c r="E229" s="309"/>
      <c r="F229" s="309"/>
      <c r="G229" s="309"/>
      <c r="H229" s="309"/>
      <c r="I229" s="309"/>
      <c r="J229" s="309"/>
      <c r="K229" s="309"/>
      <c r="L229" s="309"/>
      <c r="M229" s="309"/>
      <c r="O229" s="210">
        <v>56</v>
      </c>
      <c r="P229" s="309"/>
      <c r="Q229" s="309"/>
      <c r="R229" s="309"/>
      <c r="S229" s="309"/>
      <c r="T229" s="309"/>
      <c r="U229" s="309"/>
      <c r="V229" s="309"/>
      <c r="W229" s="309"/>
      <c r="X229" s="309"/>
    </row>
    <row r="230" spans="1:24" ht="18" x14ac:dyDescent="0.25">
      <c r="A230" s="874" t="s">
        <v>5602</v>
      </c>
      <c r="B230" s="2874" t="str">
        <f>IF($B$171="","",INDEX(Задание!$B$5:$U$70,O229,$B$171))</f>
        <v/>
      </c>
      <c r="C230" s="2533"/>
      <c r="E230" s="309"/>
      <c r="F230" s="309"/>
      <c r="G230" s="309"/>
      <c r="H230" s="309"/>
      <c r="I230" s="309"/>
      <c r="J230" s="309"/>
      <c r="K230" s="309"/>
      <c r="L230" s="309"/>
      <c r="M230" s="309"/>
      <c r="O230" s="210">
        <v>57</v>
      </c>
      <c r="P230" s="309"/>
      <c r="Q230" s="309"/>
      <c r="R230" s="309"/>
      <c r="S230" s="309"/>
      <c r="T230" s="309"/>
      <c r="U230" s="309"/>
      <c r="V230" s="309"/>
      <c r="W230" s="309"/>
      <c r="X230" s="309"/>
    </row>
    <row r="231" spans="1:24" ht="18" x14ac:dyDescent="0.25">
      <c r="A231" s="874" t="s">
        <v>556</v>
      </c>
      <c r="B231" s="2874" t="str">
        <f>IF($B$171="","",INDEX(Задание!$B$5:$U$70,O230,$B$171))</f>
        <v/>
      </c>
      <c r="C231" s="2533"/>
      <c r="E231" s="309"/>
      <c r="F231" s="309"/>
      <c r="G231" s="309"/>
      <c r="H231" s="309"/>
      <c r="I231" s="309"/>
      <c r="J231" s="309"/>
      <c r="K231" s="309"/>
      <c r="L231" s="309"/>
      <c r="M231" s="309"/>
      <c r="O231" s="210">
        <v>58</v>
      </c>
      <c r="P231" s="309"/>
      <c r="Q231" s="309"/>
      <c r="R231" s="309"/>
      <c r="S231" s="309"/>
      <c r="T231" s="309"/>
      <c r="U231" s="309"/>
      <c r="V231" s="309"/>
      <c r="W231" s="309"/>
      <c r="X231" s="309"/>
    </row>
    <row r="232" spans="1:24" ht="18" x14ac:dyDescent="0.25">
      <c r="A232" s="874" t="s">
        <v>5531</v>
      </c>
      <c r="B232" s="2874" t="str">
        <f>IF($B$171="","",INDEX(Задание!$B$5:$U$70,O231,$B$171))</f>
        <v/>
      </c>
      <c r="C232" s="2533"/>
      <c r="E232" s="309"/>
      <c r="F232" s="309"/>
      <c r="G232" s="309"/>
      <c r="H232" s="309"/>
      <c r="I232" s="309"/>
      <c r="J232" s="309"/>
      <c r="K232" s="309"/>
      <c r="L232" s="309"/>
      <c r="M232" s="309"/>
      <c r="O232" s="210">
        <v>59</v>
      </c>
      <c r="P232" s="309"/>
      <c r="Q232" s="309"/>
      <c r="R232" s="309"/>
      <c r="S232" s="309"/>
      <c r="T232" s="309"/>
      <c r="U232" s="309"/>
      <c r="V232" s="309"/>
      <c r="W232" s="309"/>
      <c r="X232" s="309"/>
    </row>
    <row r="233" spans="1:24" ht="18" x14ac:dyDescent="0.25">
      <c r="A233" s="874" t="s">
        <v>5532</v>
      </c>
      <c r="B233" s="2874" t="str">
        <f>IF($B$171="","",INDEX(Задание!$B$5:$U$70,O232,$B$171))</f>
        <v/>
      </c>
      <c r="C233" s="2533"/>
      <c r="E233" s="309"/>
      <c r="F233" s="309"/>
      <c r="G233" s="309"/>
      <c r="H233" s="309"/>
      <c r="I233" s="309"/>
      <c r="J233" s="309"/>
      <c r="K233" s="309"/>
      <c r="L233" s="309"/>
      <c r="M233" s="309"/>
      <c r="O233" s="210">
        <v>60</v>
      </c>
      <c r="P233" s="309"/>
      <c r="Q233" s="309"/>
      <c r="R233" s="309"/>
      <c r="S233" s="309"/>
      <c r="T233" s="309"/>
      <c r="U233" s="309"/>
      <c r="V233" s="309"/>
      <c r="W233" s="309"/>
      <c r="X233" s="309"/>
    </row>
    <row r="234" spans="1:24" ht="18" x14ac:dyDescent="0.25">
      <c r="A234" s="874" t="s">
        <v>1591</v>
      </c>
      <c r="B234" s="2874" t="str">
        <f>IF($B$171="","",INDEX(Задание!$B$5:$U$70,O233,$B$171))</f>
        <v/>
      </c>
      <c r="C234" s="2533"/>
      <c r="E234" s="309"/>
      <c r="F234" s="309"/>
      <c r="G234" s="309"/>
      <c r="H234" s="309"/>
      <c r="I234" s="309"/>
      <c r="J234" s="309"/>
      <c r="K234" s="309"/>
      <c r="L234" s="309"/>
      <c r="M234" s="309"/>
      <c r="O234" s="210">
        <v>61</v>
      </c>
      <c r="P234" s="309"/>
      <c r="Q234" s="309"/>
      <c r="R234" s="309"/>
      <c r="S234" s="309"/>
      <c r="T234" s="309"/>
      <c r="U234" s="309"/>
      <c r="V234" s="309"/>
      <c r="W234" s="309"/>
      <c r="X234" s="309"/>
    </row>
    <row r="235" spans="1:24" ht="18" x14ac:dyDescent="0.25">
      <c r="A235" s="874" t="s">
        <v>3994</v>
      </c>
      <c r="B235" s="2874" t="str">
        <f>IF($B$171="","",INDEX(Задание!$B$5:$U$70,O234,$B$171))</f>
        <v/>
      </c>
      <c r="C235" s="2533"/>
      <c r="E235" s="309"/>
      <c r="F235" s="309"/>
      <c r="G235" s="309"/>
      <c r="H235" s="309"/>
      <c r="I235" s="309"/>
      <c r="J235" s="309"/>
      <c r="K235" s="309"/>
      <c r="L235" s="309"/>
      <c r="M235" s="309"/>
      <c r="O235" s="210">
        <v>62</v>
      </c>
      <c r="P235" s="309"/>
      <c r="Q235" s="309"/>
      <c r="R235" s="309"/>
      <c r="S235" s="309"/>
      <c r="T235" s="309"/>
      <c r="U235" s="309"/>
      <c r="V235" s="309"/>
      <c r="W235" s="309"/>
      <c r="X235" s="309"/>
    </row>
    <row r="236" spans="1:24" ht="18" x14ac:dyDescent="0.25">
      <c r="A236" s="874" t="s">
        <v>2147</v>
      </c>
      <c r="B236" s="2874" t="str">
        <f>IF($B$171="","",INDEX(Задание!$B$5:$U$70,O235,$B$171))</f>
        <v/>
      </c>
      <c r="C236" s="2533"/>
      <c r="E236" s="309"/>
      <c r="F236" s="309"/>
      <c r="G236" s="309"/>
      <c r="H236" s="309"/>
      <c r="I236" s="309"/>
      <c r="J236" s="309"/>
      <c r="K236" s="309"/>
      <c r="L236" s="309"/>
      <c r="M236" s="309"/>
      <c r="O236" s="210">
        <v>63</v>
      </c>
      <c r="P236" s="309"/>
      <c r="Q236" s="309"/>
      <c r="R236" s="309"/>
      <c r="S236" s="309"/>
      <c r="T236" s="309"/>
      <c r="U236" s="309"/>
      <c r="V236" s="309"/>
      <c r="W236" s="309"/>
      <c r="X236" s="309"/>
    </row>
    <row r="237" spans="1:24" ht="18" x14ac:dyDescent="0.25">
      <c r="A237" s="874" t="s">
        <v>1592</v>
      </c>
      <c r="B237" s="2874" t="str">
        <f>IF($B$171="","",INDEX(Задание!$B$5:$U$70,O236,$B$171))</f>
        <v/>
      </c>
      <c r="C237" s="2533"/>
      <c r="E237" s="309"/>
      <c r="F237" s="309"/>
      <c r="G237" s="309"/>
      <c r="H237" s="309"/>
      <c r="I237" s="309"/>
      <c r="J237" s="309"/>
      <c r="K237" s="309"/>
      <c r="L237" s="309"/>
      <c r="M237" s="309"/>
      <c r="O237" s="210">
        <v>64</v>
      </c>
      <c r="P237" s="309"/>
      <c r="Q237" s="309"/>
      <c r="R237" s="309"/>
      <c r="S237" s="309"/>
      <c r="T237" s="309"/>
      <c r="U237" s="309"/>
      <c r="V237" s="309"/>
      <c r="W237" s="309"/>
      <c r="X237" s="309"/>
    </row>
    <row r="238" spans="1:24" ht="110.25" x14ac:dyDescent="0.25">
      <c r="A238" s="875" t="s">
        <v>3782</v>
      </c>
      <c r="B238" s="2874" t="str">
        <f>IF($B$171="","",INDEX(Задание!$B$5:$U$70,O237,$B$171))</f>
        <v/>
      </c>
      <c r="C238" s="2533"/>
      <c r="E238" s="309"/>
      <c r="F238" s="309"/>
      <c r="G238" s="309"/>
      <c r="H238" s="309"/>
      <c r="I238" s="309"/>
      <c r="J238" s="309"/>
      <c r="K238" s="309"/>
      <c r="L238" s="309"/>
      <c r="M238" s="309"/>
      <c r="O238" s="210">
        <v>65</v>
      </c>
      <c r="P238" s="309"/>
      <c r="Q238" s="309"/>
      <c r="R238" s="309"/>
      <c r="S238" s="309"/>
      <c r="T238" s="309"/>
      <c r="U238" s="309"/>
      <c r="V238" s="309"/>
      <c r="W238" s="309"/>
      <c r="X238" s="309"/>
    </row>
    <row r="239" spans="1:24" ht="18" x14ac:dyDescent="0.25">
      <c r="A239" s="874" t="s">
        <v>2148</v>
      </c>
      <c r="B239" s="2874" t="str">
        <f>IF($B$171="","",INDEX(Задание!$B$5:$U$70,O238,$B$171))</f>
        <v/>
      </c>
      <c r="C239" s="2533"/>
      <c r="E239" s="309"/>
      <c r="F239" s="309"/>
      <c r="G239" s="309"/>
      <c r="H239" s="309"/>
      <c r="I239" s="309"/>
      <c r="J239" s="309"/>
      <c r="K239" s="309"/>
      <c r="L239" s="309"/>
      <c r="M239" s="309"/>
      <c r="O239" s="210">
        <v>66</v>
      </c>
      <c r="P239" s="309"/>
      <c r="Q239" s="309"/>
      <c r="R239" s="309"/>
      <c r="S239" s="309"/>
      <c r="T239" s="309"/>
      <c r="U239" s="309"/>
      <c r="V239" s="309"/>
      <c r="W239" s="309"/>
      <c r="X239" s="309"/>
    </row>
    <row r="240" spans="1:24" ht="31.5" x14ac:dyDescent="0.25">
      <c r="A240" s="2864" t="s">
        <v>3174</v>
      </c>
      <c r="B240" s="2874" t="str">
        <f>IF($B$171="","",INDEX(Задание!$B$5:$U$70,O239,$B$171))</f>
        <v/>
      </c>
      <c r="C240" s="2533"/>
      <c r="E240" s="309"/>
      <c r="F240" s="309"/>
      <c r="G240" s="309"/>
      <c r="H240" s="309"/>
      <c r="I240" s="309"/>
      <c r="J240" s="309"/>
      <c r="K240" s="309"/>
      <c r="L240" s="309"/>
      <c r="M240" s="309"/>
      <c r="O240" s="210"/>
      <c r="P240" s="309"/>
      <c r="Q240" s="309"/>
      <c r="R240" s="309"/>
      <c r="S240" s="309"/>
      <c r="T240" s="309"/>
      <c r="U240" s="309"/>
      <c r="V240" s="309"/>
      <c r="W240" s="309"/>
      <c r="X240" s="309"/>
    </row>
    <row r="241" spans="1:24" ht="19.5" x14ac:dyDescent="0.35">
      <c r="A241" s="3998" t="s">
        <v>6479</v>
      </c>
      <c r="B241" s="2903"/>
      <c r="C241" s="2533"/>
      <c r="E241" s="309"/>
      <c r="F241" s="309"/>
      <c r="G241" s="309"/>
      <c r="H241" s="309"/>
      <c r="I241" s="309"/>
      <c r="J241" s="309"/>
      <c r="K241" s="309"/>
      <c r="L241" s="309"/>
      <c r="M241" s="309"/>
      <c r="O241" s="210"/>
      <c r="P241" s="309"/>
      <c r="Q241" s="309"/>
      <c r="R241" s="309"/>
      <c r="S241" s="309"/>
      <c r="T241" s="309"/>
      <c r="U241" s="309"/>
      <c r="V241" s="309"/>
      <c r="W241" s="309"/>
      <c r="X241" s="309"/>
    </row>
    <row r="242" spans="1:24" ht="19.5" x14ac:dyDescent="0.35">
      <c r="A242" s="3998" t="s">
        <v>6657</v>
      </c>
      <c r="C242" s="2533"/>
      <c r="E242" s="309"/>
      <c r="F242" s="309"/>
      <c r="G242" s="309"/>
      <c r="H242" s="309"/>
      <c r="I242" s="309"/>
      <c r="J242" s="309"/>
      <c r="K242" s="309"/>
      <c r="L242" s="309"/>
      <c r="M242" s="309"/>
      <c r="O242" s="210"/>
      <c r="P242" s="309"/>
      <c r="Q242" s="309"/>
      <c r="R242" s="309"/>
      <c r="S242" s="309"/>
      <c r="T242" s="309"/>
      <c r="U242" s="309"/>
      <c r="V242" s="309"/>
      <c r="W242" s="309"/>
      <c r="X242" s="309"/>
    </row>
    <row r="243" spans="1:24" ht="19.5" x14ac:dyDescent="0.35">
      <c r="A243" s="4162" t="str">
        <f>IF(B2201=1,"Вы перенесли таблицу в текст записки? 1 - Да, 2 - Нет","не вводить!")</f>
        <v>не вводить!</v>
      </c>
      <c r="B243" s="4159"/>
      <c r="C243" s="2533"/>
      <c r="E243" s="309"/>
      <c r="F243" s="309"/>
      <c r="G243" s="309"/>
      <c r="H243" s="309"/>
      <c r="I243" s="309"/>
      <c r="J243" s="309"/>
      <c r="K243" s="309"/>
      <c r="L243" s="309"/>
      <c r="M243" s="309"/>
      <c r="O243" s="210"/>
      <c r="P243" s="309"/>
      <c r="Q243" s="309"/>
      <c r="R243" s="309"/>
      <c r="S243" s="309"/>
      <c r="T243" s="309"/>
      <c r="U243" s="309"/>
      <c r="V243" s="309"/>
      <c r="W243" s="309"/>
      <c r="X243" s="309"/>
    </row>
    <row r="244" spans="1:24" ht="18" x14ac:dyDescent="0.25">
      <c r="A244" s="4211" t="str">
        <f>IF(B243=1,"Переходите по ссылке","")</f>
        <v/>
      </c>
      <c r="C244" s="2533"/>
      <c r="E244" s="309"/>
      <c r="F244" s="309"/>
      <c r="G244" s="309"/>
      <c r="H244" s="309"/>
      <c r="I244" s="309"/>
      <c r="J244" s="309"/>
      <c r="K244" s="309"/>
      <c r="L244" s="309"/>
      <c r="M244" s="309"/>
      <c r="O244" s="210"/>
      <c r="P244" s="309"/>
      <c r="Q244" s="309"/>
      <c r="R244" s="309"/>
      <c r="S244" s="309"/>
      <c r="T244" s="309"/>
      <c r="U244" s="309"/>
      <c r="V244" s="309"/>
      <c r="W244" s="309"/>
      <c r="X244" s="309"/>
    </row>
    <row r="245" spans="1:24" ht="18" x14ac:dyDescent="0.25">
      <c r="C245" s="2533"/>
      <c r="E245" s="309"/>
      <c r="F245" s="309"/>
      <c r="G245" s="309"/>
      <c r="H245" s="309"/>
      <c r="I245" s="309"/>
      <c r="J245" s="309"/>
      <c r="K245" s="309"/>
      <c r="L245" s="309"/>
      <c r="M245" s="309"/>
      <c r="O245" s="210"/>
      <c r="P245" s="309"/>
      <c r="Q245" s="309"/>
      <c r="R245" s="309"/>
      <c r="S245" s="309"/>
      <c r="T245" s="309"/>
      <c r="U245" s="309"/>
      <c r="V245" s="309"/>
      <c r="W245" s="309"/>
      <c r="X245" s="309"/>
    </row>
    <row r="246" spans="1:24" ht="18" x14ac:dyDescent="0.25">
      <c r="A246" s="4161" t="b">
        <f>IF(B2201=1,IF(B246=1,"Переходите по ссылке",""))</f>
        <v>0</v>
      </c>
      <c r="B246" s="2903"/>
      <c r="C246" s="2533"/>
      <c r="E246" s="309"/>
      <c r="F246" s="309"/>
      <c r="G246" s="309"/>
      <c r="H246" s="309"/>
      <c r="I246" s="309"/>
      <c r="J246" s="309"/>
      <c r="K246" s="309"/>
      <c r="L246" s="309"/>
      <c r="M246" s="309"/>
      <c r="O246" s="210"/>
      <c r="P246" s="309"/>
      <c r="Q246" s="309"/>
      <c r="R246" s="309"/>
      <c r="S246" s="309"/>
      <c r="T246" s="309"/>
      <c r="U246" s="309"/>
      <c r="V246" s="309"/>
      <c r="W246" s="309"/>
      <c r="X246" s="309"/>
    </row>
    <row r="247" spans="1:24" ht="18" x14ac:dyDescent="0.25">
      <c r="A247" s="4161"/>
      <c r="B247" s="2903"/>
      <c r="C247" s="2533"/>
      <c r="E247" s="309"/>
      <c r="F247" s="309"/>
      <c r="G247" s="309"/>
      <c r="H247" s="309"/>
      <c r="I247" s="309"/>
      <c r="J247" s="309"/>
      <c r="K247" s="309"/>
      <c r="L247" s="309"/>
      <c r="M247" s="309"/>
      <c r="O247" s="210"/>
      <c r="P247" s="309"/>
      <c r="Q247" s="309"/>
      <c r="R247" s="309"/>
      <c r="S247" s="309"/>
      <c r="T247" s="309"/>
      <c r="U247" s="309"/>
      <c r="V247" s="309"/>
      <c r="W247" s="309"/>
      <c r="X247" s="309"/>
    </row>
    <row r="248" spans="1:24" ht="18" x14ac:dyDescent="0.25">
      <c r="A248" s="2414" t="s">
        <v>6514</v>
      </c>
      <c r="B248" s="2903"/>
      <c r="C248" s="2533"/>
      <c r="E248" s="309"/>
      <c r="F248" s="309"/>
      <c r="G248" s="309"/>
      <c r="H248" s="309"/>
      <c r="I248" s="309"/>
      <c r="J248" s="309"/>
      <c r="K248" s="309"/>
      <c r="L248" s="309"/>
      <c r="M248" s="309"/>
      <c r="O248" s="210"/>
      <c r="P248" s="309"/>
      <c r="Q248" s="309"/>
      <c r="R248" s="309"/>
      <c r="S248" s="309"/>
      <c r="T248" s="309"/>
      <c r="U248" s="309"/>
      <c r="V248" s="309"/>
      <c r="W248" s="309"/>
      <c r="X248" s="309"/>
    </row>
    <row r="249" spans="1:24" ht="18" x14ac:dyDescent="0.25">
      <c r="A249" s="345" t="s">
        <v>2399</v>
      </c>
      <c r="B249" s="2500"/>
      <c r="C249" s="2499"/>
      <c r="D249" s="309"/>
      <c r="E249" s="309"/>
      <c r="F249" s="309"/>
      <c r="G249" s="309"/>
      <c r="H249" s="309"/>
      <c r="I249" s="309"/>
      <c r="J249" s="309"/>
      <c r="K249" s="309"/>
      <c r="L249" s="309"/>
      <c r="M249" s="309"/>
      <c r="N249" s="309"/>
      <c r="O249" s="309"/>
      <c r="P249" s="309"/>
      <c r="Q249" s="309"/>
      <c r="R249" s="309"/>
      <c r="S249" s="309"/>
      <c r="T249" s="309"/>
      <c r="U249" s="309"/>
      <c r="V249" s="309"/>
      <c r="W249" s="309"/>
      <c r="X249" s="309"/>
    </row>
    <row r="250" spans="1:24" ht="18" x14ac:dyDescent="0.25">
      <c r="A250" s="2493"/>
      <c r="B250" s="2500"/>
      <c r="C250" s="2499"/>
      <c r="D250" s="309"/>
      <c r="E250" s="309"/>
      <c r="F250" s="309"/>
      <c r="G250" s="309"/>
      <c r="H250" s="309"/>
      <c r="I250" s="309"/>
      <c r="J250" s="309"/>
      <c r="K250" s="309"/>
      <c r="L250" s="309"/>
      <c r="M250" s="309"/>
      <c r="N250" s="309"/>
      <c r="O250" s="309"/>
      <c r="P250" s="309"/>
      <c r="Q250" s="309"/>
      <c r="R250" s="309"/>
      <c r="S250" s="309"/>
      <c r="T250" s="309"/>
      <c r="U250" s="309"/>
      <c r="V250" s="309"/>
      <c r="W250" s="309"/>
      <c r="X250" s="309"/>
    </row>
    <row r="251" spans="1:24" ht="18" x14ac:dyDescent="0.25">
      <c r="A251" s="1184" t="s">
        <v>1912</v>
      </c>
      <c r="B251" s="2903"/>
      <c r="C251" s="2499"/>
      <c r="D251" s="309"/>
      <c r="E251" s="309"/>
      <c r="F251" s="309"/>
      <c r="G251" s="309"/>
      <c r="H251" s="309"/>
      <c r="I251" s="309"/>
      <c r="J251" s="309"/>
      <c r="K251" s="309"/>
      <c r="L251" s="309"/>
      <c r="M251" s="309"/>
      <c r="N251" s="309"/>
      <c r="O251" s="309"/>
      <c r="P251" s="309"/>
      <c r="Q251" s="309"/>
      <c r="R251" s="309"/>
      <c r="S251" s="309"/>
      <c r="T251" s="309"/>
      <c r="U251" s="309"/>
      <c r="V251" s="309"/>
      <c r="W251" s="309"/>
      <c r="X251" s="309"/>
    </row>
    <row r="252" spans="1:24" ht="31.5" x14ac:dyDescent="0.25">
      <c r="A252" s="2904" t="s">
        <v>4950</v>
      </c>
      <c r="C252" s="2499"/>
      <c r="E252" s="309"/>
      <c r="F252" s="309"/>
      <c r="G252" s="309"/>
      <c r="K252" s="309"/>
      <c r="L252" s="309"/>
      <c r="M252" s="309"/>
      <c r="N252" s="309"/>
      <c r="P252" s="210">
        <f>IF(B253=B175,1,0)</f>
        <v>1</v>
      </c>
      <c r="Q252" s="309">
        <f t="shared" ref="Q252:Q260" si="0">IF(B253="",0,1)</f>
        <v>0</v>
      </c>
      <c r="R252" s="309"/>
      <c r="S252" s="309"/>
      <c r="T252" s="309"/>
      <c r="U252" s="309"/>
      <c r="V252" s="309"/>
      <c r="W252" s="309"/>
      <c r="X252" s="309"/>
    </row>
    <row r="253" spans="1:24" ht="18" x14ac:dyDescent="0.25">
      <c r="A253" s="2864" t="s">
        <v>4951</v>
      </c>
      <c r="B253" s="2971"/>
      <c r="C253" s="2499"/>
      <c r="E253" s="309"/>
      <c r="F253" s="309"/>
      <c r="G253" s="309"/>
      <c r="K253" s="309"/>
      <c r="L253" s="309"/>
      <c r="M253" s="309"/>
      <c r="N253" s="309"/>
      <c r="P253" s="210">
        <f>IF(B254=B176,1,0)</f>
        <v>1</v>
      </c>
      <c r="Q253" s="309">
        <f t="shared" si="0"/>
        <v>0</v>
      </c>
      <c r="R253" s="309"/>
      <c r="S253" s="309"/>
      <c r="T253" s="309"/>
      <c r="U253" s="309"/>
      <c r="V253" s="309"/>
      <c r="W253" s="309"/>
      <c r="X253" s="309"/>
    </row>
    <row r="254" spans="1:24" ht="18" x14ac:dyDescent="0.25">
      <c r="A254" s="2864" t="s">
        <v>1150</v>
      </c>
      <c r="B254" s="2971"/>
      <c r="C254" s="2499"/>
      <c r="E254" s="309"/>
      <c r="F254" s="309"/>
      <c r="G254" s="309"/>
      <c r="K254" s="309"/>
      <c r="L254" s="309"/>
      <c r="M254" s="309"/>
      <c r="N254" s="309"/>
      <c r="P254" s="210">
        <f>IF(B255=B178,1,0)</f>
        <v>1</v>
      </c>
      <c r="Q254" s="309">
        <f t="shared" si="0"/>
        <v>0</v>
      </c>
      <c r="R254" s="309"/>
      <c r="S254" s="309"/>
      <c r="T254" s="309"/>
      <c r="U254" s="309"/>
      <c r="V254" s="309"/>
      <c r="W254" s="309"/>
      <c r="X254" s="309"/>
    </row>
    <row r="255" spans="1:24" ht="18" x14ac:dyDescent="0.25">
      <c r="A255" s="2864" t="s">
        <v>1151</v>
      </c>
      <c r="B255" s="2971"/>
      <c r="C255" s="2499"/>
      <c r="E255" s="309"/>
      <c r="F255" s="309"/>
      <c r="G255" s="309"/>
      <c r="K255" s="309"/>
      <c r="L255" s="309"/>
      <c r="M255" s="309"/>
      <c r="N255" s="309"/>
      <c r="O255">
        <f>IF(B185&gt;0,6,IF(B184&gt;0,5,IF(B183&gt;0,4,IF(B182&gt;0,3,IF(B181&gt;0,2,IF(B180=0,1))))))</f>
        <v>6</v>
      </c>
      <c r="P255" s="210">
        <f>IF(B256=O255,1,0)</f>
        <v>0</v>
      </c>
      <c r="Q255" s="309">
        <f t="shared" si="0"/>
        <v>0</v>
      </c>
      <c r="R255" s="309"/>
      <c r="S255" s="309"/>
      <c r="T255" s="309"/>
      <c r="U255" s="309"/>
      <c r="V255" s="309"/>
      <c r="W255" s="309"/>
      <c r="X255" s="309"/>
    </row>
    <row r="256" spans="1:24" ht="18" x14ac:dyDescent="0.25">
      <c r="A256" s="2864" t="s">
        <v>1152</v>
      </c>
      <c r="B256" s="2971"/>
      <c r="C256" s="2499"/>
      <c r="E256" s="309"/>
      <c r="F256" s="309"/>
      <c r="G256" s="309"/>
      <c r="K256" s="309"/>
      <c r="L256" s="309"/>
      <c r="M256" s="309"/>
      <c r="N256" s="309"/>
      <c r="O256">
        <f>SUM(B181:B185)</f>
        <v>0</v>
      </c>
      <c r="P256" s="210">
        <f>IF(B257=O256,1,0)</f>
        <v>1</v>
      </c>
      <c r="Q256" s="309">
        <f t="shared" si="0"/>
        <v>0</v>
      </c>
      <c r="R256" s="309"/>
      <c r="S256" s="309"/>
      <c r="T256" s="309"/>
      <c r="U256" s="309"/>
      <c r="V256" s="309"/>
      <c r="W256" s="309"/>
      <c r="X256" s="309"/>
    </row>
    <row r="257" spans="1:24" ht="31.5" x14ac:dyDescent="0.25">
      <c r="A257" s="2864" t="s">
        <v>1153</v>
      </c>
      <c r="B257" s="2971"/>
      <c r="C257" s="2499"/>
      <c r="E257" s="309"/>
      <c r="F257" s="309"/>
      <c r="G257" s="309"/>
      <c r="K257" s="309"/>
      <c r="L257" s="309"/>
      <c r="M257" s="309"/>
      <c r="N257" s="309"/>
      <c r="O257">
        <f>IF(B213&gt;0,1,0)</f>
        <v>1</v>
      </c>
      <c r="P257">
        <f>IF(B258=O257,1,0)</f>
        <v>0</v>
      </c>
      <c r="Q257" s="309">
        <f t="shared" si="0"/>
        <v>0</v>
      </c>
      <c r="R257" s="309"/>
      <c r="S257" s="309"/>
      <c r="T257" s="309"/>
      <c r="U257" s="309"/>
      <c r="V257" s="309"/>
      <c r="W257" s="309"/>
      <c r="X257" s="309"/>
    </row>
    <row r="258" spans="1:24" ht="18" x14ac:dyDescent="0.25">
      <c r="A258" s="2864" t="s">
        <v>1157</v>
      </c>
      <c r="B258" s="2971"/>
      <c r="C258" s="2499"/>
      <c r="E258" s="309"/>
      <c r="F258" s="309"/>
      <c r="G258" s="309"/>
      <c r="K258" s="309"/>
      <c r="L258" s="309"/>
      <c r="M258" s="309"/>
      <c r="N258" s="309"/>
      <c r="P258" s="210">
        <f>IF(B259=B214,1,0)</f>
        <v>1</v>
      </c>
      <c r="Q258" s="309">
        <f t="shared" si="0"/>
        <v>0</v>
      </c>
      <c r="R258" s="309"/>
      <c r="S258" s="309"/>
      <c r="T258" s="309"/>
      <c r="U258" s="309"/>
      <c r="V258" s="309"/>
      <c r="W258" s="309"/>
      <c r="X258" s="309"/>
    </row>
    <row r="259" spans="1:24" ht="18" x14ac:dyDescent="0.25">
      <c r="A259" s="2864" t="s">
        <v>1154</v>
      </c>
      <c r="B259" s="2971"/>
      <c r="C259" s="2499"/>
      <c r="E259" s="309"/>
      <c r="F259" s="309"/>
      <c r="G259" s="309"/>
      <c r="K259" s="309"/>
      <c r="L259" s="309"/>
      <c r="M259" s="309"/>
      <c r="N259" s="309"/>
      <c r="P259" s="210">
        <f>IF(B260=B216,1,0)</f>
        <v>1</v>
      </c>
      <c r="Q259" s="309">
        <f t="shared" si="0"/>
        <v>0</v>
      </c>
      <c r="R259" s="309"/>
      <c r="S259" s="309"/>
      <c r="T259" s="309"/>
      <c r="U259" s="309"/>
      <c r="V259" s="309"/>
      <c r="W259" s="309"/>
      <c r="X259" s="309"/>
    </row>
    <row r="260" spans="1:24" ht="18" x14ac:dyDescent="0.25">
      <c r="A260" s="2864" t="s">
        <v>1155</v>
      </c>
      <c r="B260" s="2971"/>
      <c r="C260" s="2499"/>
      <c r="E260" s="309"/>
      <c r="F260" s="309"/>
      <c r="G260" s="309"/>
      <c r="K260" s="309"/>
      <c r="L260" s="309"/>
      <c r="M260" s="309"/>
      <c r="N260" s="309"/>
      <c r="P260" s="210">
        <f>IF(B261=B212,1,0)</f>
        <v>1</v>
      </c>
      <c r="Q260" s="309">
        <f t="shared" si="0"/>
        <v>0</v>
      </c>
      <c r="R260" s="309"/>
      <c r="S260" s="309"/>
      <c r="T260" s="309"/>
      <c r="U260" s="309"/>
      <c r="V260" s="309"/>
      <c r="W260" s="309"/>
      <c r="X260" s="309"/>
    </row>
    <row r="261" spans="1:24" ht="18" x14ac:dyDescent="0.25">
      <c r="A261" s="2864" t="s">
        <v>1156</v>
      </c>
      <c r="B261" s="2971"/>
      <c r="C261" s="2499"/>
      <c r="E261" s="309"/>
      <c r="F261" s="309"/>
      <c r="G261" s="309"/>
      <c r="K261" s="309"/>
      <c r="L261" s="309"/>
      <c r="M261" s="309"/>
      <c r="N261" s="309"/>
      <c r="P261" s="210">
        <f>SUM(P252:P260)</f>
        <v>7</v>
      </c>
      <c r="Q261" s="309">
        <f>SUM(Q252:Q260)</f>
        <v>0</v>
      </c>
      <c r="R261" s="309"/>
      <c r="S261" s="309"/>
      <c r="T261" s="309"/>
      <c r="U261" s="309"/>
      <c r="V261" s="309"/>
      <c r="W261" s="309"/>
      <c r="X261" s="309"/>
    </row>
    <row r="262" spans="1:24" ht="18" x14ac:dyDescent="0.25">
      <c r="A262" s="2902"/>
      <c r="B262" s="2903"/>
      <c r="C262" s="2499"/>
      <c r="D262" s="309"/>
      <c r="E262" s="309"/>
      <c r="F262" s="309"/>
      <c r="G262" s="309"/>
      <c r="H262" s="309"/>
      <c r="I262" s="309"/>
      <c r="J262" s="309"/>
      <c r="K262" s="309"/>
      <c r="L262" s="309"/>
      <c r="M262" s="309"/>
      <c r="N262" s="309"/>
      <c r="O262" s="309"/>
      <c r="P262" s="309"/>
      <c r="Q262" s="309"/>
      <c r="R262" s="309"/>
      <c r="S262" s="309"/>
      <c r="T262" s="309"/>
      <c r="U262" s="309"/>
      <c r="V262" s="309"/>
      <c r="W262" s="309"/>
      <c r="X262" s="309"/>
    </row>
    <row r="263" spans="1:24" ht="19.5" x14ac:dyDescent="0.35">
      <c r="A263" s="4007" t="str">
        <f>IF(Q261&lt;9,"Отвечайте на вопросы",IF(AND(Q261=9,P261=9),"Начинайте работу !"," Вы невнимательны ! Возвращайтесь к началу опроса"))</f>
        <v>Отвечайте на вопросы</v>
      </c>
      <c r="B263" s="2500"/>
      <c r="C263" s="2499"/>
      <c r="D263" s="309"/>
      <c r="E263" s="309"/>
      <c r="F263" s="309"/>
      <c r="G263" s="309"/>
      <c r="H263" s="309"/>
      <c r="I263" s="309"/>
      <c r="J263" s="309"/>
      <c r="K263" s="309"/>
      <c r="L263" s="309"/>
      <c r="M263" s="309"/>
      <c r="N263" s="309"/>
      <c r="O263" s="309"/>
      <c r="P263" s="309"/>
      <c r="Q263" s="309"/>
      <c r="R263" s="309"/>
      <c r="S263" s="309"/>
      <c r="T263" s="309"/>
      <c r="U263" s="309"/>
      <c r="V263" s="309"/>
      <c r="W263" s="309"/>
      <c r="X263" s="309"/>
    </row>
    <row r="264" spans="1:24" ht="18" x14ac:dyDescent="0.25">
      <c r="A264" s="897"/>
      <c r="B264" s="2500"/>
      <c r="C264" s="2499"/>
      <c r="D264" s="309"/>
      <c r="E264" s="309"/>
      <c r="F264" s="309"/>
      <c r="G264" s="309"/>
      <c r="H264" s="309"/>
      <c r="I264" s="309"/>
      <c r="J264" s="309"/>
      <c r="K264" s="309"/>
      <c r="L264" s="309"/>
      <c r="M264" s="309"/>
      <c r="N264" s="309"/>
      <c r="O264" s="309"/>
      <c r="P264" s="309"/>
      <c r="Q264" s="309"/>
      <c r="R264" s="309"/>
      <c r="S264" s="309"/>
      <c r="T264" s="309"/>
      <c r="U264" s="309"/>
      <c r="V264" s="309"/>
      <c r="W264" s="309"/>
      <c r="X264" s="309"/>
    </row>
    <row r="265" spans="1:24" ht="15.75" x14ac:dyDescent="0.25">
      <c r="A265" s="2954"/>
      <c r="C265" s="2507"/>
      <c r="D265" s="239"/>
      <c r="E265" s="239"/>
      <c r="F265" s="239"/>
      <c r="G265" s="239"/>
      <c r="H265" s="239"/>
    </row>
    <row r="266" spans="1:24" ht="18.75" x14ac:dyDescent="0.3">
      <c r="A266" s="2674" t="s">
        <v>1913</v>
      </c>
      <c r="C266" s="2507"/>
      <c r="D266" s="239"/>
      <c r="E266" s="239"/>
      <c r="F266" s="239"/>
      <c r="G266" s="239"/>
      <c r="H266" s="239"/>
    </row>
    <row r="267" spans="1:24" ht="18.75" x14ac:dyDescent="0.3">
      <c r="A267" s="2674" t="s">
        <v>3300</v>
      </c>
      <c r="C267" s="2507"/>
      <c r="D267" s="239"/>
      <c r="E267" s="239"/>
      <c r="F267" s="239"/>
      <c r="G267" s="239"/>
    </row>
    <row r="268" spans="1:24" ht="37.5" x14ac:dyDescent="0.3">
      <c r="A268" s="2873" t="s">
        <v>3964</v>
      </c>
      <c r="B268" s="793"/>
      <c r="C268" s="2507"/>
      <c r="D268" s="239"/>
      <c r="E268" s="239"/>
      <c r="F268" s="239"/>
      <c r="G268" s="239"/>
      <c r="H268" s="239"/>
      <c r="O268" s="1164" t="e">
        <f>B175*B176*B189*B205</f>
        <v>#VALUE!</v>
      </c>
    </row>
    <row r="269" spans="1:24" ht="18.75" x14ac:dyDescent="0.3">
      <c r="A269" s="2674" t="str">
        <f>IF(B268="","",IF(B268=O268,"Продолжайте работу","  !   Вы должны подумать!"))</f>
        <v/>
      </c>
      <c r="C269" s="2507"/>
      <c r="D269" s="239"/>
      <c r="E269" s="239"/>
      <c r="F269" s="239"/>
      <c r="G269" s="239"/>
      <c r="H269" s="239"/>
    </row>
    <row r="270" spans="1:24" ht="18.75" x14ac:dyDescent="0.3">
      <c r="A270" s="2674" t="s">
        <v>1914</v>
      </c>
      <c r="C270" s="2507"/>
      <c r="D270" s="239"/>
      <c r="E270" s="239"/>
      <c r="F270" s="239"/>
      <c r="G270" s="239"/>
      <c r="H270" s="239"/>
    </row>
    <row r="271" spans="1:24" ht="18.75" x14ac:dyDescent="0.3">
      <c r="A271" s="2866" t="str">
        <f>IF(B268="","",IF(B268=O268,"   Запасы шахтного поля вычислены по приведенным в таблице 1 формулам.",""))</f>
        <v/>
      </c>
      <c r="C271" s="2507"/>
      <c r="D271" s="239"/>
      <c r="E271" s="239"/>
      <c r="F271" s="239"/>
      <c r="G271" s="239"/>
      <c r="H271" s="239"/>
    </row>
    <row r="272" spans="1:24" ht="18.75" x14ac:dyDescent="0.3">
      <c r="A272" s="2049" t="str">
        <f>IF(B268="","",IF(B268=O268,"Условные обозначения величин соответствуют таковым в тексте исходных данных.",""))</f>
        <v/>
      </c>
      <c r="C272" s="2507"/>
      <c r="D272" s="239"/>
      <c r="E272" s="239"/>
      <c r="F272" s="239"/>
      <c r="G272" s="239"/>
      <c r="H272" s="239"/>
    </row>
    <row r="273" spans="1:15" ht="18.75" x14ac:dyDescent="0.3">
      <c r="A273" s="2868" t="s">
        <v>2318</v>
      </c>
      <c r="C273" s="1072"/>
      <c r="D273" s="1072"/>
      <c r="E273" s="1072"/>
    </row>
    <row r="274" spans="1:15" ht="18.75" x14ac:dyDescent="0.3">
      <c r="A274" s="2869" t="s">
        <v>6515</v>
      </c>
      <c r="C274" s="2506"/>
      <c r="D274" s="1802"/>
      <c r="E274" s="1802"/>
      <c r="F274" s="1802"/>
      <c r="G274" s="1802"/>
      <c r="H274" s="1802"/>
    </row>
    <row r="275" spans="1:15" ht="15.75" customHeight="1" x14ac:dyDescent="0.25">
      <c r="A275" s="2865" t="s">
        <v>4934</v>
      </c>
      <c r="D275" s="2509"/>
      <c r="F275" s="1164"/>
      <c r="G275" s="2898"/>
      <c r="H275" s="239"/>
      <c r="O275" s="213"/>
    </row>
    <row r="276" spans="1:15" ht="15.75" x14ac:dyDescent="0.25">
      <c r="A276" s="2504" t="s">
        <v>3773</v>
      </c>
      <c r="B276" s="2870" t="str">
        <f>IF(B175="","",(B189+B192+B195+B198+B201+B203)*B175*B176*B205/1000000)</f>
        <v/>
      </c>
      <c r="D276" s="239"/>
      <c r="E276" s="239"/>
      <c r="F276" s="239"/>
      <c r="G276" s="239"/>
      <c r="H276" s="239"/>
      <c r="O276" s="213"/>
    </row>
    <row r="277" spans="1:15" ht="31.5" x14ac:dyDescent="0.25">
      <c r="A277" s="2510" t="s">
        <v>2316</v>
      </c>
      <c r="B277" s="2511"/>
      <c r="D277" s="2483"/>
      <c r="E277" s="239"/>
      <c r="F277" s="1164"/>
      <c r="G277" s="239"/>
      <c r="H277" s="239"/>
      <c r="O277" s="213"/>
    </row>
    <row r="278" spans="1:15" ht="15.75" x14ac:dyDescent="0.25">
      <c r="A278" s="2504" t="s">
        <v>3774</v>
      </c>
      <c r="B278" s="2867" t="str">
        <f>IF(B276="","",B276*(1-B277/100))</f>
        <v/>
      </c>
      <c r="D278" s="239"/>
      <c r="E278" s="239"/>
      <c r="F278" s="239"/>
      <c r="G278" s="239"/>
      <c r="H278" s="239"/>
      <c r="O278" s="213"/>
    </row>
    <row r="279" spans="1:15" ht="31.5" x14ac:dyDescent="0.25">
      <c r="A279" s="2510" t="s">
        <v>2317</v>
      </c>
      <c r="B279" s="2511"/>
      <c r="D279" s="2483"/>
      <c r="E279" s="239"/>
      <c r="F279" s="1164"/>
      <c r="G279" s="239"/>
      <c r="H279" s="239"/>
      <c r="O279" s="213"/>
    </row>
    <row r="280" spans="1:15" ht="15.75" x14ac:dyDescent="0.25">
      <c r="A280" s="2504" t="s">
        <v>3775</v>
      </c>
      <c r="B280" s="2867" t="str">
        <f>IF(B276="","",B278*(1-B279/100))</f>
        <v/>
      </c>
      <c r="D280" s="2483"/>
      <c r="E280" s="239"/>
      <c r="F280" s="1164"/>
      <c r="G280" s="239"/>
      <c r="H280" s="239"/>
      <c r="O280" s="213"/>
    </row>
    <row r="281" spans="1:15" ht="15.75" x14ac:dyDescent="0.25">
      <c r="A281" s="2917" t="s">
        <v>2074</v>
      </c>
      <c r="B281" s="2517" t="str">
        <f>B175</f>
        <v/>
      </c>
      <c r="D281" s="2483"/>
      <c r="E281" s="239"/>
      <c r="F281" s="1164"/>
      <c r="G281" s="239"/>
      <c r="H281" s="239"/>
      <c r="O281" s="213"/>
    </row>
    <row r="282" spans="1:15" ht="15.75" x14ac:dyDescent="0.25">
      <c r="A282" s="2917" t="s">
        <v>2075</v>
      </c>
      <c r="B282" s="2517" t="str">
        <f>B176</f>
        <v/>
      </c>
      <c r="D282" s="2483"/>
      <c r="E282" s="239"/>
      <c r="F282" s="1164"/>
      <c r="G282" s="239"/>
      <c r="H282" s="239"/>
      <c r="O282" s="213"/>
    </row>
    <row r="283" spans="1:15" ht="18.75" customHeight="1" x14ac:dyDescent="0.25">
      <c r="A283" s="2917" t="s">
        <v>2076</v>
      </c>
      <c r="B283" s="2867" t="str">
        <f>B205</f>
        <v/>
      </c>
      <c r="D283" s="2483"/>
      <c r="E283" s="239"/>
      <c r="F283" s="1164"/>
      <c r="G283" s="239"/>
      <c r="H283" s="239"/>
      <c r="O283" s="213"/>
    </row>
    <row r="284" spans="1:15" ht="18.75" x14ac:dyDescent="0.25">
      <c r="A284" s="2917" t="s">
        <v>2077</v>
      </c>
      <c r="B284" s="2972" t="str">
        <f>IF(B175="","",(B189+B192+B195+B198+B201+B204)/B177)</f>
        <v/>
      </c>
      <c r="D284" s="2483"/>
      <c r="E284" s="239"/>
      <c r="F284" s="1164"/>
      <c r="G284" s="239"/>
      <c r="H284" s="239"/>
      <c r="O284" s="213"/>
    </row>
    <row r="285" spans="1:15" ht="19.5" x14ac:dyDescent="0.25">
      <c r="A285" s="4163" t="str">
        <f>IF(B2201=1,"Вы перенесли таблицу в текст записки? 1 - Да, 2 - Нет","не вводить!")</f>
        <v>не вводить!</v>
      </c>
      <c r="B285" s="4179"/>
      <c r="D285" s="2483"/>
      <c r="E285" s="239"/>
      <c r="F285" s="1164"/>
      <c r="G285" s="239"/>
      <c r="H285" s="239"/>
      <c r="O285" s="213"/>
    </row>
    <row r="286" spans="1:15" x14ac:dyDescent="0.2">
      <c r="A286" s="4212" t="str">
        <f>IF(B285=1,"Переходите по ссылке","")</f>
        <v/>
      </c>
      <c r="C286" s="2513"/>
      <c r="D286" s="1802"/>
      <c r="E286" s="1164"/>
      <c r="F286" s="1164"/>
      <c r="G286" s="239"/>
      <c r="H286" s="239"/>
      <c r="O286" s="213"/>
    </row>
    <row r="287" spans="1:15" ht="15.75" x14ac:dyDescent="0.25">
      <c r="A287" s="2512" t="s">
        <v>6850</v>
      </c>
      <c r="G287" s="239"/>
      <c r="H287" s="239"/>
      <c r="O287" s="213"/>
    </row>
    <row r="288" spans="1:15" ht="15.75" x14ac:dyDescent="0.25">
      <c r="B288" s="2514" t="s">
        <v>6851</v>
      </c>
      <c r="C288" s="2867" t="str">
        <f>B280</f>
        <v/>
      </c>
      <c r="D288" s="825" t="s">
        <v>2922</v>
      </c>
      <c r="E288" s="1164"/>
      <c r="F288" s="1164"/>
      <c r="G288" s="239"/>
      <c r="H288" s="239"/>
      <c r="O288" s="213"/>
    </row>
    <row r="289" spans="1:15" ht="15.75" x14ac:dyDescent="0.25">
      <c r="A289" s="4090" t="s">
        <v>306</v>
      </c>
      <c r="C289" s="2513"/>
      <c r="D289" s="825"/>
      <c r="F289" s="1164"/>
      <c r="G289" s="239"/>
      <c r="H289" s="239"/>
      <c r="O289" s="213"/>
    </row>
    <row r="290" spans="1:15" ht="15.75" x14ac:dyDescent="0.25">
      <c r="A290" s="4090" t="s">
        <v>6658</v>
      </c>
      <c r="D290" s="825"/>
      <c r="E290" s="2703"/>
      <c r="F290" s="1164"/>
      <c r="G290" s="239"/>
      <c r="H290" s="239"/>
      <c r="O290" s="213"/>
    </row>
    <row r="291" spans="1:15" ht="15.75" x14ac:dyDescent="0.25">
      <c r="A291" s="4008" t="s">
        <v>817</v>
      </c>
      <c r="C291" s="2703">
        <f>ROW(291:291)</f>
        <v>291</v>
      </c>
      <c r="D291" s="239"/>
      <c r="E291" s="239"/>
      <c r="F291" s="239"/>
      <c r="G291" s="239"/>
      <c r="H291" s="239"/>
    </row>
    <row r="292" spans="1:15" ht="18.75" x14ac:dyDescent="0.3">
      <c r="A292" s="2673" t="s">
        <v>1915</v>
      </c>
      <c r="C292" s="2507"/>
      <c r="D292" s="239"/>
      <c r="E292" s="239"/>
      <c r="F292" s="239"/>
      <c r="G292" s="239"/>
      <c r="H292" s="239"/>
    </row>
    <row r="293" spans="1:15" ht="15.75" x14ac:dyDescent="0.25">
      <c r="A293" s="443" t="s">
        <v>1077</v>
      </c>
      <c r="C293" s="2507"/>
      <c r="D293" s="239"/>
      <c r="E293" s="239"/>
      <c r="F293" s="239"/>
      <c r="G293" s="239"/>
      <c r="H293" s="239"/>
    </row>
    <row r="294" spans="1:15" ht="15.75" x14ac:dyDescent="0.25">
      <c r="A294" s="443" t="s">
        <v>1078</v>
      </c>
      <c r="C294" s="2507"/>
      <c r="D294" s="239"/>
      <c r="E294" s="239"/>
      <c r="F294" s="239"/>
      <c r="G294" s="239"/>
      <c r="H294" s="239"/>
    </row>
    <row r="295" spans="1:15" ht="15.75" x14ac:dyDescent="0.25">
      <c r="A295" s="443" t="s">
        <v>1717</v>
      </c>
      <c r="C295" s="2507"/>
      <c r="D295" s="239"/>
      <c r="E295" s="239"/>
      <c r="F295" s="239"/>
      <c r="G295" s="239"/>
      <c r="H295" s="239"/>
    </row>
    <row r="296" spans="1:15" ht="15.75" x14ac:dyDescent="0.25">
      <c r="A296" s="443" t="s">
        <v>1079</v>
      </c>
      <c r="C296" s="2507"/>
      <c r="D296" s="239"/>
      <c r="E296" s="239"/>
      <c r="F296" s="239"/>
      <c r="G296" s="239"/>
      <c r="H296" s="239"/>
    </row>
    <row r="297" spans="1:15" ht="15.75" x14ac:dyDescent="0.25">
      <c r="A297" s="443" t="s">
        <v>702</v>
      </c>
      <c r="C297" s="2507"/>
      <c r="D297" s="239"/>
      <c r="E297" s="239"/>
      <c r="F297" s="239"/>
      <c r="G297" s="239"/>
      <c r="H297" s="239"/>
    </row>
    <row r="298" spans="1:15" ht="15.75" x14ac:dyDescent="0.25">
      <c r="A298" s="443" t="s">
        <v>5300</v>
      </c>
      <c r="C298" s="2507"/>
      <c r="D298" s="239"/>
      <c r="E298" s="239"/>
      <c r="F298" s="239"/>
      <c r="G298" s="239"/>
      <c r="H298" s="239"/>
    </row>
    <row r="299" spans="1:15" ht="15.75" x14ac:dyDescent="0.25">
      <c r="A299" s="2515" t="s">
        <v>703</v>
      </c>
      <c r="C299" s="2507"/>
      <c r="D299" s="239"/>
      <c r="E299" s="239"/>
      <c r="F299" s="239"/>
      <c r="G299" s="239"/>
      <c r="H299" s="239"/>
    </row>
    <row r="300" spans="1:15" ht="15.75" x14ac:dyDescent="0.25">
      <c r="A300" s="2515" t="s">
        <v>297</v>
      </c>
      <c r="C300" s="2507"/>
      <c r="D300" s="239"/>
      <c r="E300" s="239"/>
      <c r="F300" s="239"/>
      <c r="G300" s="239"/>
      <c r="H300" s="239"/>
    </row>
    <row r="301" spans="1:15" ht="19.5" x14ac:dyDescent="0.35">
      <c r="A301" s="2877" t="s">
        <v>168</v>
      </c>
      <c r="D301" s="239"/>
      <c r="E301" s="239"/>
      <c r="F301" s="239"/>
      <c r="G301" s="239"/>
      <c r="H301" s="239"/>
    </row>
    <row r="302" spans="1:15" ht="15.75" x14ac:dyDescent="0.25">
      <c r="A302" s="874" t="s">
        <v>1861</v>
      </c>
      <c r="B302" s="2511"/>
      <c r="D302" s="239"/>
      <c r="E302" s="239"/>
      <c r="F302" s="239"/>
      <c r="G302" s="239"/>
      <c r="H302" s="239"/>
    </row>
    <row r="303" spans="1:15" ht="15.75" x14ac:dyDescent="0.25">
      <c r="A303" s="874" t="s">
        <v>1076</v>
      </c>
      <c r="B303" s="2511"/>
      <c r="D303" s="239"/>
      <c r="E303" s="239"/>
      <c r="F303" s="239"/>
      <c r="G303" s="239"/>
      <c r="H303" s="239"/>
    </row>
    <row r="304" spans="1:15" ht="15.75" x14ac:dyDescent="0.25">
      <c r="A304" s="1224"/>
      <c r="B304" s="2507"/>
      <c r="D304" s="239"/>
      <c r="E304" s="239"/>
      <c r="F304" s="239"/>
      <c r="G304" s="239"/>
      <c r="H304" s="239"/>
    </row>
    <row r="305" spans="1:15" ht="15.75" x14ac:dyDescent="0.25">
      <c r="A305" s="874" t="str">
        <f>IF(B2201=1,"Вы перенесли таблицу в текст записки? 1 - Да, 2 - Нет","не вводить!")</f>
        <v>не вводить!</v>
      </c>
      <c r="B305" s="4213"/>
      <c r="D305" s="239"/>
      <c r="E305" s="239"/>
      <c r="F305" s="239"/>
      <c r="G305" s="239"/>
      <c r="H305" s="239"/>
    </row>
    <row r="306" spans="1:15" x14ac:dyDescent="0.2">
      <c r="A306" s="4214" t="str">
        <f>IF(B305=1,"Переходите по ссылке","")</f>
        <v/>
      </c>
      <c r="B306" s="2507"/>
      <c r="D306" s="239"/>
      <c r="E306" s="239"/>
      <c r="F306" s="239"/>
      <c r="G306" s="239"/>
      <c r="H306" s="239"/>
    </row>
    <row r="307" spans="1:15" ht="18.75" x14ac:dyDescent="0.3">
      <c r="A307" s="4091" t="s">
        <v>6659</v>
      </c>
      <c r="B307" s="2507"/>
      <c r="E307" s="239"/>
      <c r="F307" s="239"/>
      <c r="G307" s="239"/>
      <c r="H307" s="239"/>
      <c r="O307" s="1164" t="str">
        <f>IF(C288="","",$C$288/0.6+0.25*B302+0.5*B303)</f>
        <v/>
      </c>
    </row>
    <row r="308" spans="1:15" ht="75" x14ac:dyDescent="0.3">
      <c r="A308" s="4092" t="s">
        <v>4090</v>
      </c>
      <c r="B308" s="4333"/>
      <c r="D308" s="239"/>
      <c r="E308" s="239"/>
      <c r="F308" s="239"/>
      <c r="G308" s="239"/>
      <c r="H308" s="239"/>
    </row>
    <row r="309" spans="1:15" ht="18.75" x14ac:dyDescent="0.3">
      <c r="A309" s="2871"/>
      <c r="B309" s="2507"/>
      <c r="D309" s="239"/>
      <c r="E309" s="239"/>
      <c r="F309" s="239"/>
      <c r="G309" s="239"/>
      <c r="H309" s="239"/>
    </row>
    <row r="310" spans="1:15" ht="18.75" x14ac:dyDescent="0.3">
      <c r="A310" s="2871" t="str">
        <f>IF(B308=O307,"Продолжайте работу",CONCATENATE("Освежите Ваши знания в EXCEL,  ",#REF!))</f>
        <v>Продолжайте работу</v>
      </c>
    </row>
    <row r="312" spans="1:15" ht="15.75" x14ac:dyDescent="0.25">
      <c r="A312" s="2508" t="s">
        <v>169</v>
      </c>
      <c r="C312" s="2506"/>
      <c r="D312" s="1802"/>
      <c r="E312" s="1802"/>
      <c r="F312" s="1802"/>
      <c r="G312" s="1802"/>
      <c r="H312" s="1802"/>
    </row>
    <row r="313" spans="1:15" ht="15" x14ac:dyDescent="0.2">
      <c r="A313" s="908" t="s">
        <v>170</v>
      </c>
      <c r="C313" s="2507"/>
      <c r="D313" s="239"/>
      <c r="E313" s="239"/>
      <c r="F313" s="239"/>
      <c r="G313" s="239"/>
      <c r="H313" s="239"/>
    </row>
    <row r="314" spans="1:15" ht="15.75" x14ac:dyDescent="0.25">
      <c r="A314" s="2515" t="str">
        <f>IF(B308=O307,"             Таблица 2  Зависимость срока службы шахты от величины проектной мощности","")</f>
        <v xml:space="preserve">             Таблица 2  Зависимость срока службы шахты от величины проектной мощности</v>
      </c>
    </row>
    <row r="315" spans="1:15" ht="15.75" x14ac:dyDescent="0.25">
      <c r="A315" s="2510" t="str">
        <f>IF(B308=O307,"Типовые значения проектной мощности шахты, млн. т./год   А","")</f>
        <v>Типовые значения проектной мощности шахты, млн. т./год   А</v>
      </c>
      <c r="B315" s="2516">
        <v>0.6</v>
      </c>
      <c r="C315" s="1405">
        <v>0.9</v>
      </c>
      <c r="D315" s="1405">
        <v>1.2</v>
      </c>
      <c r="E315" s="1405">
        <v>1.5</v>
      </c>
      <c r="F315" s="1405">
        <v>1.8</v>
      </c>
      <c r="G315" s="1405">
        <v>2.1</v>
      </c>
      <c r="H315" s="1405">
        <v>2.4</v>
      </c>
      <c r="I315" s="1405">
        <v>2.7</v>
      </c>
      <c r="J315" s="1405">
        <v>3</v>
      </c>
    </row>
    <row r="316" spans="1:15" ht="15.75" x14ac:dyDescent="0.25">
      <c r="A316" s="2510" t="str">
        <f>IF(B308=O307,"Типовые значения суточной добычи  шахты, тыс.т     D","")</f>
        <v>Типовые значения суточной добычи  шахты, тыс.т     D</v>
      </c>
      <c r="B316" s="2516">
        <v>2</v>
      </c>
      <c r="C316" s="346">
        <v>3</v>
      </c>
      <c r="D316" s="2516">
        <v>4</v>
      </c>
      <c r="E316" s="2516">
        <v>5</v>
      </c>
      <c r="F316" s="2516">
        <v>6</v>
      </c>
      <c r="G316" s="2516">
        <v>7</v>
      </c>
      <c r="H316" s="2516">
        <v>8</v>
      </c>
      <c r="I316" s="2516">
        <v>9</v>
      </c>
      <c r="J316" s="2516">
        <v>10</v>
      </c>
    </row>
    <row r="317" spans="1:15" ht="15.75" x14ac:dyDescent="0.25">
      <c r="A317" s="2504" t="str">
        <f>IF(B308=O307,"Рекомендуемый предел срока службы шахты, год","")</f>
        <v>Рекомендуемый предел срока службы шахты, год</v>
      </c>
      <c r="B317" s="2519">
        <v>50</v>
      </c>
      <c r="C317" s="2519">
        <v>50</v>
      </c>
      <c r="D317" s="2519">
        <v>50</v>
      </c>
      <c r="E317" s="2519">
        <v>50</v>
      </c>
      <c r="F317" s="2519">
        <v>50</v>
      </c>
      <c r="G317" s="2519">
        <v>50</v>
      </c>
      <c r="H317" s="2519">
        <v>50</v>
      </c>
      <c r="I317" s="2519">
        <v>50</v>
      </c>
      <c r="J317" s="2519">
        <v>50</v>
      </c>
      <c r="M317" s="2518" t="str">
        <f>IF(B319="","",IF(B319=O317,"","НЕ ВЕРНО !!"))</f>
        <v/>
      </c>
      <c r="O317" s="213" t="e">
        <f>$C$288/B315+0.25*B302+0.5*B303</f>
        <v>#VALUE!</v>
      </c>
    </row>
    <row r="318" spans="1:15" ht="15.75" x14ac:dyDescent="0.25">
      <c r="A318" s="2504" t="str">
        <f>IF(B308=O307,"Рекомендуемый предел срока службы шахты, год","")</f>
        <v>Рекомендуемый предел срока службы шахты, год</v>
      </c>
      <c r="B318" s="2519">
        <v>60</v>
      </c>
      <c r="C318" s="2519">
        <v>60</v>
      </c>
      <c r="D318" s="2519">
        <v>60</v>
      </c>
      <c r="E318" s="2519">
        <v>60</v>
      </c>
      <c r="F318" s="2519">
        <v>60</v>
      </c>
      <c r="G318" s="2519">
        <v>60</v>
      </c>
      <c r="H318" s="2519">
        <v>60</v>
      </c>
      <c r="I318" s="2519">
        <v>60</v>
      </c>
      <c r="J318" s="2519">
        <v>60</v>
      </c>
    </row>
    <row r="319" spans="1:15" ht="31.5" x14ac:dyDescent="0.25">
      <c r="A319" s="2510" t="str">
        <f>IF(B308=O307,"Срок службы шахты при данной проектной мощности, год, вычисленный по формулеычи                                  Тш= Zп/А+0,25То+0,5Тз  ","")</f>
        <v xml:space="preserve">Срок службы шахты при данной проектной мощности, год, вычисленный по формулеычи                                  Тш= Zп/А+0,25То+0,5Тз  </v>
      </c>
      <c r="B319" s="2517" t="str">
        <f>IF($C$288="","",$C$288/B315+0.25*B302+0.5*B303)</f>
        <v/>
      </c>
      <c r="C319" s="2517" t="str">
        <f t="shared" ref="C319:J319" si="1">IF($C$288="","",$C$288/C315+0.25*C301+0.5*C302)</f>
        <v/>
      </c>
      <c r="D319" s="2517" t="str">
        <f t="shared" si="1"/>
        <v/>
      </c>
      <c r="E319" s="2517" t="str">
        <f t="shared" si="1"/>
        <v/>
      </c>
      <c r="F319" s="2517" t="str">
        <f t="shared" si="1"/>
        <v/>
      </c>
      <c r="G319" s="2517" t="str">
        <f t="shared" si="1"/>
        <v/>
      </c>
      <c r="H319" s="2517" t="str">
        <f t="shared" si="1"/>
        <v/>
      </c>
      <c r="I319" s="2517" t="str">
        <f t="shared" si="1"/>
        <v/>
      </c>
      <c r="J319" s="2517" t="str">
        <f t="shared" si="1"/>
        <v/>
      </c>
    </row>
    <row r="320" spans="1:15" ht="19.5" x14ac:dyDescent="0.35">
      <c r="A320" s="4093" t="s">
        <v>6660</v>
      </c>
    </row>
    <row r="321" spans="1:8" ht="19.5" x14ac:dyDescent="0.35">
      <c r="A321" s="4164" t="str">
        <f>IF(B2201=1,"Вы перенесли таблицу в текст записки? 1 - Да, 2 - Нет","не вводить!")</f>
        <v>не вводить!</v>
      </c>
      <c r="B321" s="4165"/>
    </row>
    <row r="322" spans="1:8" x14ac:dyDescent="0.2">
      <c r="A322" s="894" t="str">
        <f>IF(B321=1,"Переходите по ссылке","")</f>
        <v/>
      </c>
      <c r="C322" s="2507"/>
      <c r="D322" s="239"/>
      <c r="E322" s="239"/>
      <c r="F322" s="239"/>
      <c r="G322" s="239"/>
      <c r="H322" s="239"/>
    </row>
    <row r="323" spans="1:8" ht="15.75" x14ac:dyDescent="0.25">
      <c r="A323" s="2515" t="s">
        <v>171</v>
      </c>
      <c r="C323" s="2507"/>
      <c r="D323" s="239"/>
      <c r="E323" s="239"/>
      <c r="F323" s="239"/>
      <c r="G323" s="239"/>
      <c r="H323" s="239"/>
    </row>
    <row r="324" spans="1:8" ht="15.75" x14ac:dyDescent="0.25">
      <c r="A324" s="2512" t="s">
        <v>2923</v>
      </c>
      <c r="C324" s="2507"/>
      <c r="D324" s="239"/>
      <c r="E324" s="239"/>
      <c r="F324" s="239"/>
      <c r="G324" s="239"/>
      <c r="H324" s="239"/>
    </row>
    <row r="325" spans="1:8" ht="15.75" x14ac:dyDescent="0.25">
      <c r="A325" s="2512" t="s">
        <v>6516</v>
      </c>
      <c r="B325" s="2512"/>
      <c r="C325" s="2507"/>
      <c r="D325" s="239"/>
      <c r="E325" s="239"/>
      <c r="F325" s="239"/>
      <c r="G325" s="239"/>
      <c r="H325" s="239"/>
    </row>
    <row r="326" spans="1:8" ht="15.75" x14ac:dyDescent="0.25">
      <c r="B326" s="2512"/>
      <c r="C326" s="2507"/>
      <c r="D326" s="239"/>
      <c r="E326" s="239"/>
      <c r="F326" s="239"/>
      <c r="G326" s="239"/>
      <c r="H326" s="239"/>
    </row>
    <row r="327" spans="1:8" ht="15.75" x14ac:dyDescent="0.25">
      <c r="B327" s="2512"/>
      <c r="C327" s="2507"/>
      <c r="D327" s="239"/>
      <c r="E327" s="239"/>
      <c r="F327" s="239"/>
      <c r="G327" s="239"/>
      <c r="H327" s="239"/>
    </row>
    <row r="328" spans="1:8" ht="15.75" x14ac:dyDescent="0.25">
      <c r="B328" s="2512"/>
      <c r="C328" s="2507"/>
      <c r="D328" s="239"/>
      <c r="E328" s="239"/>
      <c r="F328" s="239"/>
      <c r="G328" s="239"/>
      <c r="H328" s="239"/>
    </row>
    <row r="329" spans="1:8" ht="15.75" x14ac:dyDescent="0.25">
      <c r="B329" s="2512"/>
      <c r="C329" s="2507"/>
      <c r="D329" s="239"/>
      <c r="E329" s="239"/>
      <c r="F329" s="239"/>
      <c r="G329" s="239"/>
      <c r="H329" s="239"/>
    </row>
    <row r="330" spans="1:8" ht="15.75" x14ac:dyDescent="0.25">
      <c r="B330" s="2512"/>
      <c r="C330" s="2507"/>
      <c r="D330" s="239"/>
      <c r="E330" s="239"/>
      <c r="F330" s="239"/>
      <c r="G330" s="239"/>
      <c r="H330" s="239"/>
    </row>
    <row r="331" spans="1:8" ht="15.75" x14ac:dyDescent="0.25">
      <c r="B331" s="2512"/>
      <c r="C331" s="2507"/>
      <c r="D331" s="239"/>
      <c r="E331" s="239"/>
      <c r="F331" s="239"/>
      <c r="G331" s="239"/>
      <c r="H331" s="239"/>
    </row>
    <row r="332" spans="1:8" ht="15.75" x14ac:dyDescent="0.25">
      <c r="B332" s="2512"/>
      <c r="C332" s="2507"/>
      <c r="D332" s="239"/>
      <c r="E332" s="239"/>
      <c r="F332" s="239"/>
      <c r="G332" s="239"/>
      <c r="H332" s="239"/>
    </row>
    <row r="333" spans="1:8" ht="15.75" x14ac:dyDescent="0.25">
      <c r="B333" s="2512"/>
      <c r="C333" s="2507"/>
      <c r="D333" s="239"/>
      <c r="E333" s="239"/>
      <c r="F333" s="239"/>
      <c r="G333" s="239"/>
      <c r="H333" s="239"/>
    </row>
    <row r="334" spans="1:8" ht="15.75" x14ac:dyDescent="0.25">
      <c r="B334" s="2512"/>
      <c r="C334" s="2507"/>
      <c r="D334" s="239"/>
      <c r="E334" s="239"/>
      <c r="F334" s="239"/>
      <c r="G334" s="239"/>
      <c r="H334" s="239"/>
    </row>
    <row r="335" spans="1:8" ht="15.75" x14ac:dyDescent="0.25">
      <c r="B335" s="2512"/>
      <c r="C335" s="2507"/>
      <c r="D335" s="239"/>
      <c r="E335" s="239"/>
      <c r="F335" s="239"/>
      <c r="G335" s="239"/>
      <c r="H335" s="239"/>
    </row>
    <row r="336" spans="1:8" ht="15.75" x14ac:dyDescent="0.25">
      <c r="B336" s="2512"/>
      <c r="C336" s="2507"/>
      <c r="D336" s="239"/>
      <c r="E336" s="239"/>
      <c r="F336" s="239"/>
      <c r="G336" s="239"/>
      <c r="H336" s="239"/>
    </row>
    <row r="337" spans="1:24" ht="24.75" customHeight="1" x14ac:dyDescent="0.2">
      <c r="C337" s="2507"/>
      <c r="D337" s="239"/>
      <c r="E337" s="239"/>
      <c r="F337" s="239"/>
      <c r="G337" s="239"/>
      <c r="H337" s="239"/>
    </row>
    <row r="338" spans="1:24" ht="24.75" customHeight="1" x14ac:dyDescent="0.25">
      <c r="A338" s="443" t="s">
        <v>1593</v>
      </c>
      <c r="C338" s="2507"/>
      <c r="D338" s="239"/>
      <c r="E338" s="239"/>
      <c r="F338" s="239"/>
      <c r="G338" s="239"/>
      <c r="H338" s="239"/>
    </row>
    <row r="339" spans="1:24" ht="24.75" customHeight="1" x14ac:dyDescent="0.35">
      <c r="A339" s="4094" t="s">
        <v>6661</v>
      </c>
      <c r="C339" s="2507"/>
      <c r="D339" s="239"/>
      <c r="E339" s="239"/>
      <c r="F339" s="239"/>
      <c r="G339" s="239"/>
      <c r="H339" s="239"/>
    </row>
    <row r="340" spans="1:24" ht="15.75" x14ac:dyDescent="0.25">
      <c r="A340" s="4166" t="str">
        <f>IF(B2201=1,"Вы перенесли таблицу и рисунок в текст записки? 1 - Да, 2 - Нет","не вводить!")</f>
        <v>не вводить!</v>
      </c>
      <c r="B340" s="4165"/>
      <c r="C340" s="2507"/>
      <c r="D340" s="239"/>
      <c r="E340" s="239"/>
      <c r="F340" s="239"/>
      <c r="G340" s="239"/>
      <c r="H340" s="239"/>
    </row>
    <row r="341" spans="1:24" x14ac:dyDescent="0.2">
      <c r="A341" s="4167" t="str">
        <f>IF(B340=1,"Переходите по ссылке","")</f>
        <v/>
      </c>
      <c r="B341" s="239"/>
      <c r="C341" s="2507"/>
      <c r="D341" s="239"/>
      <c r="E341" s="239"/>
      <c r="F341" s="239"/>
      <c r="G341" s="239"/>
      <c r="H341" s="239"/>
    </row>
    <row r="342" spans="1:24" ht="15" x14ac:dyDescent="0.2">
      <c r="A342" s="850" t="s">
        <v>172</v>
      </c>
      <c r="C342" s="2507"/>
      <c r="D342" s="239"/>
      <c r="E342" s="239"/>
      <c r="F342" s="239"/>
      <c r="G342" s="239"/>
      <c r="H342" s="239"/>
    </row>
    <row r="343" spans="1:24" ht="15.75" x14ac:dyDescent="0.25">
      <c r="A343" s="2512" t="s">
        <v>173</v>
      </c>
      <c r="C343" s="2507"/>
      <c r="D343" s="239"/>
      <c r="E343" s="239"/>
      <c r="F343" s="239"/>
      <c r="G343" s="239"/>
      <c r="H343" s="239"/>
    </row>
    <row r="344" spans="1:24" ht="15.75" x14ac:dyDescent="0.25">
      <c r="A344" s="2512"/>
      <c r="C344" s="2507"/>
      <c r="D344" s="239"/>
      <c r="E344" s="239"/>
      <c r="F344" s="239"/>
      <c r="G344" s="239"/>
      <c r="H344" s="239"/>
    </row>
    <row r="345" spans="1:24" x14ac:dyDescent="0.2">
      <c r="A345" s="2919" t="s">
        <v>3297</v>
      </c>
      <c r="D345" s="239"/>
      <c r="E345" s="239"/>
      <c r="F345" s="239"/>
      <c r="G345" s="239"/>
      <c r="H345" s="239"/>
    </row>
    <row r="346" spans="1:24" ht="18.75" x14ac:dyDescent="0.2">
      <c r="A346" s="2872" t="s">
        <v>3293</v>
      </c>
      <c r="B346" s="1013"/>
      <c r="D346" s="239"/>
      <c r="E346" s="1802"/>
      <c r="F346" s="239"/>
      <c r="G346" s="239"/>
      <c r="O346" s="1164" t="e">
        <f>C288/B346+0.25*B302+0.5*B303</f>
        <v>#VALUE!</v>
      </c>
    </row>
    <row r="347" spans="1:24" ht="18.75" x14ac:dyDescent="0.2">
      <c r="A347" s="2872" t="s">
        <v>3294</v>
      </c>
      <c r="B347" s="2511"/>
      <c r="D347" s="239"/>
      <c r="E347" s="1802"/>
      <c r="F347" s="239"/>
      <c r="G347" s="239"/>
      <c r="O347" s="1164"/>
    </row>
    <row r="348" spans="1:24" ht="37.5" x14ac:dyDescent="0.2">
      <c r="A348" s="2872" t="s">
        <v>3295</v>
      </c>
      <c r="B348" s="2511"/>
      <c r="D348" s="239"/>
      <c r="E348" s="1802"/>
      <c r="F348" s="239"/>
      <c r="G348" s="239"/>
      <c r="O348" s="1164">
        <f>B346*1000000/300</f>
        <v>0</v>
      </c>
    </row>
    <row r="349" spans="1:24" ht="37.5" x14ac:dyDescent="0.25">
      <c r="A349" s="2872" t="s">
        <v>3296</v>
      </c>
      <c r="B349" s="2505" t="str">
        <f>IF(B346="","",B346*1000000/B348)</f>
        <v/>
      </c>
      <c r="C349" s="2499"/>
      <c r="D349" s="309"/>
      <c r="E349" s="309"/>
      <c r="F349" s="309"/>
      <c r="G349" s="309"/>
      <c r="H349" s="309"/>
      <c r="I349" s="309"/>
      <c r="J349" s="309"/>
      <c r="K349" s="309"/>
      <c r="L349" s="309"/>
      <c r="M349" s="309"/>
      <c r="N349" s="309"/>
      <c r="O349" s="309"/>
      <c r="P349" s="309"/>
      <c r="Q349" s="309"/>
      <c r="R349" s="309"/>
      <c r="S349" s="309"/>
      <c r="T349" s="309"/>
      <c r="U349" s="309"/>
      <c r="V349" s="309"/>
      <c r="W349" s="309"/>
      <c r="X349" s="309"/>
    </row>
    <row r="350" spans="1:24" ht="18" x14ac:dyDescent="0.25">
      <c r="A350" s="2520" t="s">
        <v>307</v>
      </c>
      <c r="C350" s="2499"/>
      <c r="D350" s="309"/>
      <c r="E350" s="309"/>
      <c r="F350" s="309"/>
      <c r="G350" s="309"/>
      <c r="H350" s="309"/>
      <c r="I350" s="309"/>
      <c r="J350" s="309"/>
      <c r="K350" s="309"/>
      <c r="L350" s="309"/>
      <c r="M350" s="309"/>
      <c r="N350" s="309"/>
      <c r="O350" s="309"/>
      <c r="P350" s="309"/>
      <c r="Q350" s="309"/>
      <c r="R350" s="309"/>
      <c r="S350" s="309"/>
      <c r="T350" s="309"/>
      <c r="U350" s="309"/>
      <c r="V350" s="309"/>
      <c r="W350" s="309"/>
      <c r="X350" s="309"/>
    </row>
    <row r="351" spans="1:24" ht="15.75" x14ac:dyDescent="0.25">
      <c r="A351" s="2493" t="s">
        <v>708</v>
      </c>
    </row>
    <row r="352" spans="1:24" ht="15.75" x14ac:dyDescent="0.25">
      <c r="A352" s="4168" t="str">
        <f>IF(B2201=1,"Вы перенесли таблицу в текст записки? 1 - Да, 2 - Нет","не вводить!")</f>
        <v>не вводить!</v>
      </c>
      <c r="B352" s="4159"/>
    </row>
    <row r="353" spans="1:1" x14ac:dyDescent="0.2">
      <c r="A353" s="894" t="str">
        <f>IF(B352=1,"Переходите по ссылке","")</f>
        <v/>
      </c>
    </row>
    <row r="354" spans="1:1" ht="15.75" x14ac:dyDescent="0.25">
      <c r="A354" s="818" t="s">
        <v>6445</v>
      </c>
    </row>
    <row r="355" spans="1:1" ht="15.75" x14ac:dyDescent="0.25">
      <c r="A355" s="818" t="s">
        <v>6446</v>
      </c>
    </row>
    <row r="356" spans="1:1" ht="15.75" x14ac:dyDescent="0.25">
      <c r="A356" s="818" t="s">
        <v>6447</v>
      </c>
    </row>
    <row r="357" spans="1:1" ht="15.75" x14ac:dyDescent="0.25">
      <c r="A357" s="818" t="s">
        <v>6448</v>
      </c>
    </row>
    <row r="358" spans="1:1" ht="15.75" x14ac:dyDescent="0.25">
      <c r="A358" s="818" t="s">
        <v>6517</v>
      </c>
    </row>
    <row r="359" spans="1:1" ht="15.75" x14ac:dyDescent="0.25">
      <c r="A359" s="818" t="s">
        <v>6449</v>
      </c>
    </row>
    <row r="360" spans="1:1" ht="15.75" x14ac:dyDescent="0.25">
      <c r="A360" s="818" t="s">
        <v>6450</v>
      </c>
    </row>
    <row r="361" spans="1:1" ht="15.75" x14ac:dyDescent="0.25">
      <c r="A361" s="818" t="s">
        <v>6451</v>
      </c>
    </row>
    <row r="363" spans="1:1" ht="15.75" x14ac:dyDescent="0.25">
      <c r="A363" s="818" t="s">
        <v>6452</v>
      </c>
    </row>
    <row r="364" spans="1:1" ht="15.75" x14ac:dyDescent="0.25">
      <c r="A364" s="818" t="s">
        <v>6518</v>
      </c>
    </row>
    <row r="365" spans="1:1" ht="15.75" x14ac:dyDescent="0.25">
      <c r="A365" s="818" t="s">
        <v>6454</v>
      </c>
    </row>
    <row r="366" spans="1:1" ht="15.75" x14ac:dyDescent="0.25">
      <c r="A366" s="818" t="s">
        <v>6453</v>
      </c>
    </row>
    <row r="367" spans="1:1" ht="15.75" x14ac:dyDescent="0.25">
      <c r="A367" s="818" t="s">
        <v>6455</v>
      </c>
    </row>
    <row r="368" spans="1:1" ht="15.75" x14ac:dyDescent="0.25">
      <c r="A368" s="818" t="s">
        <v>6519</v>
      </c>
    </row>
    <row r="369" spans="1:15" ht="15.75" x14ac:dyDescent="0.25">
      <c r="A369" s="818" t="s">
        <v>6456</v>
      </c>
    </row>
    <row r="370" spans="1:15" ht="15.75" x14ac:dyDescent="0.25">
      <c r="A370" s="818" t="s">
        <v>6520</v>
      </c>
    </row>
    <row r="371" spans="1:15" ht="15.75" x14ac:dyDescent="0.25">
      <c r="A371" s="818" t="s">
        <v>6457</v>
      </c>
    </row>
    <row r="372" spans="1:15" ht="15.75" x14ac:dyDescent="0.25">
      <c r="A372" s="818" t="s">
        <v>6458</v>
      </c>
    </row>
    <row r="373" spans="1:15" ht="15.75" x14ac:dyDescent="0.25">
      <c r="A373" s="818" t="s">
        <v>6459</v>
      </c>
    </row>
    <row r="374" spans="1:15" ht="15.75" x14ac:dyDescent="0.25">
      <c r="A374" s="818" t="s">
        <v>6460</v>
      </c>
    </row>
    <row r="375" spans="1:15" ht="15.75" x14ac:dyDescent="0.25">
      <c r="A375" s="818"/>
    </row>
    <row r="376" spans="1:15" ht="15.75" x14ac:dyDescent="0.25">
      <c r="A376" s="818"/>
    </row>
    <row r="377" spans="1:15" ht="15.75" x14ac:dyDescent="0.25">
      <c r="A377" s="818"/>
    </row>
    <row r="378" spans="1:15" x14ac:dyDescent="0.2">
      <c r="A378" s="1157"/>
      <c r="B378" s="1"/>
      <c r="E378" s="213"/>
      <c r="O378" s="2528"/>
    </row>
    <row r="379" spans="1:15" ht="18.75" x14ac:dyDescent="0.3">
      <c r="A379" s="2371" t="s">
        <v>1916</v>
      </c>
      <c r="B379" s="1"/>
      <c r="E379" s="213"/>
      <c r="O379" s="2528"/>
    </row>
    <row r="380" spans="1:15" ht="15.75" x14ac:dyDescent="0.25">
      <c r="A380" s="883" t="s">
        <v>257</v>
      </c>
      <c r="B380" s="1"/>
      <c r="E380" s="213"/>
      <c r="O380" s="2528"/>
    </row>
    <row r="381" spans="1:15" ht="15.75" x14ac:dyDescent="0.25">
      <c r="A381" s="883" t="s">
        <v>416</v>
      </c>
      <c r="B381" s="1"/>
      <c r="E381" s="213"/>
      <c r="O381" s="2528"/>
    </row>
    <row r="382" spans="1:15" ht="15.75" x14ac:dyDescent="0.25">
      <c r="A382" s="883" t="s">
        <v>417</v>
      </c>
      <c r="B382" s="1"/>
      <c r="E382" s="213"/>
      <c r="O382" s="2528"/>
    </row>
    <row r="383" spans="1:15" ht="15.75" x14ac:dyDescent="0.25">
      <c r="A383" s="883" t="s">
        <v>3299</v>
      </c>
      <c r="B383" s="1"/>
      <c r="E383" s="213"/>
      <c r="O383" s="2528"/>
    </row>
    <row r="384" spans="1:15" ht="15.75" x14ac:dyDescent="0.25">
      <c r="A384" s="883" t="s">
        <v>225</v>
      </c>
      <c r="B384" s="1"/>
      <c r="E384" s="213"/>
      <c r="O384" s="2528"/>
    </row>
    <row r="385" spans="1:24" ht="15.75" x14ac:dyDescent="0.25">
      <c r="A385" s="883" t="s">
        <v>6521</v>
      </c>
      <c r="B385" s="1"/>
      <c r="E385" s="213"/>
      <c r="O385" s="2528"/>
    </row>
    <row r="386" spans="1:24" x14ac:dyDescent="0.2">
      <c r="A386" t="s">
        <v>226</v>
      </c>
      <c r="B386" s="1"/>
      <c r="E386" s="213"/>
      <c r="O386" s="2528"/>
    </row>
    <row r="387" spans="1:24" ht="15.75" x14ac:dyDescent="0.25">
      <c r="A387" s="883" t="s">
        <v>227</v>
      </c>
      <c r="B387" s="1"/>
      <c r="E387" s="213"/>
      <c r="O387" s="2528"/>
    </row>
    <row r="388" spans="1:24" ht="15.75" x14ac:dyDescent="0.25">
      <c r="A388" s="883" t="s">
        <v>228</v>
      </c>
      <c r="B388" s="1"/>
      <c r="E388" s="213"/>
      <c r="O388" s="2528"/>
    </row>
    <row r="389" spans="1:24" ht="15.75" x14ac:dyDescent="0.25">
      <c r="A389" s="883" t="s">
        <v>229</v>
      </c>
      <c r="B389" s="1"/>
      <c r="E389" s="213"/>
      <c r="O389" s="2528"/>
    </row>
    <row r="390" spans="1:24" ht="15.75" x14ac:dyDescent="0.25">
      <c r="A390" s="883" t="s">
        <v>230</v>
      </c>
      <c r="B390" s="1"/>
      <c r="E390" s="213"/>
      <c r="O390" s="2528"/>
    </row>
    <row r="391" spans="1:24" ht="18" x14ac:dyDescent="0.25">
      <c r="A391" s="526" t="s">
        <v>4559</v>
      </c>
      <c r="D391" s="309"/>
      <c r="F391" s="309"/>
      <c r="G391" s="309"/>
      <c r="H391" s="309"/>
      <c r="I391" s="309"/>
      <c r="J391" s="309"/>
      <c r="K391" s="309"/>
      <c r="L391" s="309"/>
      <c r="M391" s="309"/>
      <c r="N391" s="309"/>
      <c r="O391" s="256">
        <f>IF(B392=2,1,0)</f>
        <v>0</v>
      </c>
      <c r="P391" s="309"/>
      <c r="Q391" s="309"/>
      <c r="R391" s="309"/>
      <c r="S391" s="309"/>
      <c r="T391" s="309"/>
      <c r="U391" s="309"/>
      <c r="V391" s="309"/>
      <c r="W391" s="309"/>
      <c r="X391" s="309"/>
    </row>
    <row r="392" spans="1:24" ht="31.5" x14ac:dyDescent="0.25">
      <c r="A392" s="875" t="s">
        <v>174</v>
      </c>
      <c r="B392" s="793"/>
      <c r="D392" s="309"/>
      <c r="F392" s="309"/>
      <c r="G392" s="309"/>
      <c r="H392" s="309"/>
      <c r="I392" s="309"/>
      <c r="J392" s="309"/>
      <c r="K392" s="309"/>
      <c r="L392" s="309"/>
      <c r="M392" s="309"/>
      <c r="N392" s="309"/>
      <c r="O392" s="309">
        <f>IF(B393=3,1,0)</f>
        <v>0</v>
      </c>
      <c r="P392" s="309"/>
      <c r="Q392" s="309"/>
      <c r="R392" s="309"/>
      <c r="S392" s="309"/>
      <c r="T392" s="309"/>
      <c r="U392" s="309"/>
      <c r="V392" s="309"/>
      <c r="W392" s="309"/>
      <c r="X392" s="309"/>
    </row>
    <row r="393" spans="1:24" ht="47.25" x14ac:dyDescent="0.25">
      <c r="A393" s="875" t="s">
        <v>858</v>
      </c>
      <c r="B393" s="793"/>
      <c r="D393" s="309"/>
      <c r="E393" s="309"/>
      <c r="F393" s="309"/>
      <c r="G393" s="309"/>
      <c r="H393" s="309"/>
      <c r="I393" s="309"/>
      <c r="J393" s="309"/>
      <c r="K393" s="309"/>
      <c r="L393" s="309"/>
      <c r="M393" s="309"/>
      <c r="N393" s="309"/>
      <c r="O393" s="309"/>
      <c r="P393" s="309"/>
      <c r="Q393" s="309"/>
      <c r="R393" s="309"/>
      <c r="S393" s="309"/>
      <c r="T393" s="309"/>
      <c r="U393" s="309"/>
      <c r="V393" s="309"/>
      <c r="W393" s="309"/>
      <c r="X393" s="309"/>
    </row>
    <row r="394" spans="1:24" ht="18" x14ac:dyDescent="0.25">
      <c r="A394" s="2906" t="str">
        <f>IF(O391+O392=2,"Продолжайте работу!","Подумайте !!!")</f>
        <v>Подумайте !!!</v>
      </c>
      <c r="D394" s="309"/>
      <c r="E394" s="309"/>
      <c r="F394" s="309"/>
      <c r="G394" s="309"/>
      <c r="H394" s="309"/>
      <c r="I394" s="309"/>
      <c r="J394" s="309"/>
      <c r="K394" s="309"/>
      <c r="L394" s="309"/>
      <c r="M394" s="309"/>
      <c r="N394" s="309"/>
      <c r="O394" s="309"/>
      <c r="P394" s="309"/>
      <c r="Q394" s="309"/>
      <c r="R394" s="309"/>
      <c r="S394" s="309"/>
      <c r="T394" s="309"/>
      <c r="U394" s="309"/>
      <c r="V394" s="309"/>
      <c r="W394" s="309"/>
      <c r="X394" s="309"/>
    </row>
    <row r="395" spans="1:24" ht="43.5" customHeight="1" x14ac:dyDescent="0.25">
      <c r="D395" s="309"/>
      <c r="E395" s="309"/>
      <c r="F395" s="309"/>
      <c r="G395" s="309"/>
      <c r="H395" s="309"/>
      <c r="I395" s="309"/>
      <c r="J395" s="309"/>
      <c r="K395" s="309"/>
      <c r="L395" s="309"/>
      <c r="M395" s="309"/>
      <c r="N395" s="309"/>
      <c r="O395" s="309"/>
      <c r="P395" s="309"/>
      <c r="Q395" s="309"/>
      <c r="R395" s="309"/>
      <c r="S395" s="309"/>
      <c r="T395" s="309"/>
      <c r="U395" s="309"/>
      <c r="V395" s="309"/>
      <c r="W395" s="309"/>
      <c r="X395" s="309"/>
    </row>
    <row r="396" spans="1:24" ht="15.75" x14ac:dyDescent="0.25">
      <c r="A396" s="875" t="str">
        <f>IF(O391+O392=2,"    Какой способ подготовки Вы приняли  1- панельный, 2 - погоризонтный, 3 - этажный","")</f>
        <v/>
      </c>
      <c r="B396" s="2690">
        <v>1</v>
      </c>
      <c r="C396" s="2525" t="str">
        <f>IF(AND(B396=2,B178&lt;=10),"",IF(AND(B396=1,B175&gt;2000),"",IF(AND(B396=3,B175&lt;=3000),"","Будьте внимательнее. Это невозможно!")))</f>
        <v/>
      </c>
      <c r="E396" s="213"/>
      <c r="O396" s="2528"/>
    </row>
    <row r="397" spans="1:24" ht="15.75" x14ac:dyDescent="0.25">
      <c r="A397" s="2493" t="s">
        <v>3446</v>
      </c>
      <c r="B397" s="1"/>
      <c r="E397" s="213"/>
      <c r="O397" s="2528"/>
    </row>
    <row r="398" spans="1:24" ht="15.75" x14ac:dyDescent="0.25">
      <c r="A398" s="2493" t="s">
        <v>3447</v>
      </c>
      <c r="E398" s="213"/>
      <c r="O398" s="2528"/>
    </row>
    <row r="399" spans="1:24" x14ac:dyDescent="0.2">
      <c r="A399" s="2535" t="s">
        <v>355</v>
      </c>
      <c r="B399" s="802" t="str">
        <f>IF(B396="","",IF(B396=1,"Панельный",IF(B396=2,"Погоризонтный",IF(B396=3,"Этажный"))))</f>
        <v>Панельный</v>
      </c>
      <c r="E399" s="213"/>
      <c r="O399" s="2528"/>
    </row>
    <row r="400" spans="1:24" ht="31.5" x14ac:dyDescent="0.25">
      <c r="A400" s="875" t="s">
        <v>3448</v>
      </c>
      <c r="B400" s="2743"/>
      <c r="C400" s="852" t="str">
        <f>CONCATENATE("h",B400)</f>
        <v>h</v>
      </c>
      <c r="D400" s="4285" t="str">
        <f>IF(B400=B240,"","Вы не внимательны !")</f>
        <v/>
      </c>
      <c r="E400" s="213"/>
      <c r="O400" s="2528"/>
    </row>
    <row r="401" spans="1:15" ht="15" x14ac:dyDescent="0.2">
      <c r="A401" s="2675" t="s">
        <v>3451</v>
      </c>
      <c r="B401" s="1"/>
      <c r="D401" s="14"/>
    </row>
    <row r="402" spans="1:15" ht="15.75" x14ac:dyDescent="0.25">
      <c r="A402" s="874" t="s">
        <v>3783</v>
      </c>
      <c r="B402" s="2908" t="str">
        <f>INDEX(B2299:G2299,B400)</f>
        <v/>
      </c>
      <c r="C402" s="14"/>
      <c r="D402" s="14"/>
    </row>
    <row r="403" spans="1:15" s="1" customFormat="1" ht="15.75" x14ac:dyDescent="0.25">
      <c r="A403" s="875" t="s">
        <v>3784</v>
      </c>
      <c r="B403" s="2908" t="str">
        <f>INDEX(B2300:G2300,B400)</f>
        <v/>
      </c>
      <c r="C403" s="14"/>
      <c r="D403" s="14"/>
    </row>
    <row r="404" spans="1:15" s="1" customFormat="1" ht="15.75" x14ac:dyDescent="0.25">
      <c r="A404" s="875" t="s">
        <v>3789</v>
      </c>
      <c r="B404" s="4320" t="str">
        <f>INDEX(B2298:G2298,B400)</f>
        <v/>
      </c>
      <c r="C404" s="14"/>
      <c r="D404" s="14"/>
      <c r="E404" s="15"/>
      <c r="F404" s="14"/>
    </row>
    <row r="405" spans="1:15" s="1" customFormat="1" ht="15.75" x14ac:dyDescent="0.25">
      <c r="A405" s="875" t="s">
        <v>3785</v>
      </c>
      <c r="B405" s="2532" t="str">
        <f>B178</f>
        <v/>
      </c>
      <c r="C405" s="14"/>
      <c r="D405" s="2702"/>
      <c r="E405" s="15"/>
      <c r="F405" s="14"/>
      <c r="O405" s="362"/>
    </row>
    <row r="406" spans="1:15" ht="50.25" customHeight="1" x14ac:dyDescent="0.25">
      <c r="A406" s="884" t="s">
        <v>231</v>
      </c>
    </row>
    <row r="407" spans="1:15" ht="16.5" customHeight="1" x14ac:dyDescent="0.25">
      <c r="A407" s="2725" t="s">
        <v>4625</v>
      </c>
      <c r="B407" s="2726" t="s">
        <v>2527</v>
      </c>
    </row>
    <row r="408" spans="1:15" ht="16.5" customHeight="1" x14ac:dyDescent="0.25">
      <c r="A408" s="2727" t="s">
        <v>4651</v>
      </c>
      <c r="B408" s="2728">
        <v>1</v>
      </c>
    </row>
    <row r="409" spans="1:15" ht="16.5" customHeight="1" x14ac:dyDescent="0.25">
      <c r="A409" s="4180" t="s">
        <v>2099</v>
      </c>
      <c r="B409" s="4181">
        <v>2</v>
      </c>
      <c r="C409" s="4277" t="s">
        <v>5677</v>
      </c>
      <c r="D409" s="4278"/>
      <c r="E409" s="4278"/>
      <c r="F409" s="4278"/>
      <c r="G409" s="4278"/>
    </row>
    <row r="410" spans="1:15" ht="16.5" customHeight="1" x14ac:dyDescent="0.25">
      <c r="A410" s="2729" t="s">
        <v>2100</v>
      </c>
      <c r="B410" s="2728">
        <v>3</v>
      </c>
    </row>
    <row r="411" spans="1:15" ht="16.5" customHeight="1" x14ac:dyDescent="0.25">
      <c r="A411" s="4180" t="s">
        <v>2101</v>
      </c>
      <c r="B411" s="4181">
        <v>4</v>
      </c>
      <c r="C411" s="4277" t="s">
        <v>5677</v>
      </c>
      <c r="D411" s="4278"/>
      <c r="E411" s="4278"/>
      <c r="F411" s="4278"/>
      <c r="G411" s="4278"/>
    </row>
    <row r="412" spans="1:15" ht="16.5" customHeight="1" x14ac:dyDescent="0.35">
      <c r="A412" s="4011" t="s">
        <v>6522</v>
      </c>
      <c r="B412" s="2719"/>
    </row>
    <row r="413" spans="1:15" ht="16.5" customHeight="1" x14ac:dyDescent="0.25">
      <c r="A413" s="2720" t="s">
        <v>6852</v>
      </c>
      <c r="B413" s="2719"/>
    </row>
    <row r="414" spans="1:15" ht="19.5" customHeight="1" x14ac:dyDescent="0.25">
      <c r="A414" s="2720" t="s">
        <v>6523</v>
      </c>
      <c r="B414" s="882"/>
      <c r="D414" s="8"/>
    </row>
    <row r="415" spans="1:15" ht="18" customHeight="1" x14ac:dyDescent="0.25">
      <c r="A415" s="883" t="s">
        <v>2785</v>
      </c>
      <c r="B415" s="882"/>
      <c r="D415" s="8"/>
    </row>
    <row r="416" spans="1:15" ht="13.5" customHeight="1" x14ac:dyDescent="0.25">
      <c r="A416" s="883" t="s">
        <v>6527</v>
      </c>
      <c r="B416" s="882"/>
      <c r="D416" s="8"/>
    </row>
    <row r="417" spans="1:5" ht="15" customHeight="1" x14ac:dyDescent="0.25">
      <c r="A417" s="883" t="s">
        <v>5678</v>
      </c>
      <c r="B417" s="882"/>
      <c r="D417" s="8"/>
    </row>
    <row r="418" spans="1:5" ht="15.75" customHeight="1" x14ac:dyDescent="0.25">
      <c r="A418" s="883" t="s">
        <v>559</v>
      </c>
      <c r="B418" s="882"/>
      <c r="D418" s="8"/>
    </row>
    <row r="419" spans="1:5" ht="15.75" customHeight="1" x14ac:dyDescent="0.25">
      <c r="A419" s="883" t="s">
        <v>6524</v>
      </c>
      <c r="B419" s="882"/>
      <c r="D419" s="8"/>
    </row>
    <row r="420" spans="1:5" ht="15.75" customHeight="1" x14ac:dyDescent="0.25">
      <c r="A420" s="883" t="s">
        <v>6525</v>
      </c>
      <c r="B420" s="882"/>
      <c r="D420" s="8"/>
    </row>
    <row r="421" spans="1:5" ht="15.75" customHeight="1" x14ac:dyDescent="0.25">
      <c r="A421" s="883" t="s">
        <v>6526</v>
      </c>
      <c r="B421" s="882"/>
      <c r="D421" s="8"/>
    </row>
    <row r="422" spans="1:5" ht="15.75" customHeight="1" x14ac:dyDescent="0.25">
      <c r="A422" s="883"/>
      <c r="B422" s="882"/>
      <c r="D422" s="8"/>
    </row>
    <row r="423" spans="1:5" ht="15.75" x14ac:dyDescent="0.25">
      <c r="A423" s="883" t="s">
        <v>5679</v>
      </c>
      <c r="B423" s="8"/>
      <c r="D423" s="8"/>
    </row>
    <row r="424" spans="1:5" ht="15.75" x14ac:dyDescent="0.25">
      <c r="A424" s="884" t="s">
        <v>2153</v>
      </c>
      <c r="B424" s="8"/>
      <c r="D424" s="8"/>
    </row>
    <row r="425" spans="1:5" ht="15.75" x14ac:dyDescent="0.25">
      <c r="A425" s="884" t="s">
        <v>498</v>
      </c>
      <c r="B425" s="8"/>
      <c r="D425" s="8"/>
    </row>
    <row r="426" spans="1:5" ht="15.75" x14ac:dyDescent="0.25">
      <c r="A426" s="884" t="s">
        <v>4560</v>
      </c>
      <c r="B426" s="8"/>
    </row>
    <row r="427" spans="1:5" ht="15.75" x14ac:dyDescent="0.25">
      <c r="A427" s="2688" t="s">
        <v>1096</v>
      </c>
      <c r="B427" s="8"/>
    </row>
    <row r="428" spans="1:5" ht="15.75" x14ac:dyDescent="0.25">
      <c r="A428" s="884"/>
      <c r="B428" s="8"/>
    </row>
    <row r="429" spans="1:5" x14ac:dyDescent="0.2">
      <c r="A429" s="1175" t="s">
        <v>2404</v>
      </c>
      <c r="B429" s="8"/>
    </row>
    <row r="430" spans="1:5" x14ac:dyDescent="0.2">
      <c r="A430" s="1175"/>
      <c r="B430" s="8"/>
    </row>
    <row r="431" spans="1:5" x14ac:dyDescent="0.2">
      <c r="A431" s="4289"/>
      <c r="B431" s="3959"/>
      <c r="C431" s="3959"/>
      <c r="D431" s="3959"/>
      <c r="E431" s="3959"/>
    </row>
    <row r="432" spans="1:5" ht="15.75" x14ac:dyDescent="0.25">
      <c r="A432" s="2676" t="s">
        <v>2102</v>
      </c>
      <c r="D432" s="1300">
        <f>IF(обор!I24=1,ROW(433:433),ROW(kursovoy!468:468))</f>
        <v>468</v>
      </c>
    </row>
    <row r="433" spans="1:16" ht="41.25" customHeight="1" x14ac:dyDescent="0.25">
      <c r="A433" s="2677" t="s">
        <v>2103</v>
      </c>
      <c r="B433" s="4120"/>
      <c r="C433" s="347">
        <f>IF(обор!B193=1,ROW(436:436),ROW(468:468))</f>
        <v>468</v>
      </c>
      <c r="D433" s="4120"/>
    </row>
    <row r="434" spans="1:16" ht="45" x14ac:dyDescent="0.2">
      <c r="A434" s="4119" t="str">
        <f>IF(обор!B193=1,"Вычисления по программе komplex.xls позволяют заключить, что в данных условиях возможно использовать комплексы, см. таблицу в строке","Вычисления по данной программе позволяют заключить, что в данных условиях будет использоваться индивидуальная крепь, см. таблицу в строке")</f>
        <v>Вычисления по данной программе позволяют заключить, что в данных условиях будет использоваться индивидуальная крепь, см. таблицу в строке</v>
      </c>
      <c r="B434" s="8"/>
    </row>
    <row r="435" spans="1:16" x14ac:dyDescent="0.2">
      <c r="A435" s="1175"/>
      <c r="B435" s="8"/>
    </row>
    <row r="436" spans="1:16" x14ac:dyDescent="0.2">
      <c r="A436" s="2549"/>
      <c r="B436" s="222" t="str">
        <f>IF(обор!G378=1,"Таблица 4 Возможные к применению в заданных условиях типов механизированных комплексов ","")</f>
        <v/>
      </c>
    </row>
    <row r="437" spans="1:16" x14ac:dyDescent="0.2">
      <c r="A437" s="1175"/>
      <c r="B437" s="222" t="s">
        <v>300</v>
      </c>
      <c r="E437" s="241"/>
      <c r="F437" s="795" t="s">
        <v>1460</v>
      </c>
      <c r="G437" s="795" t="s">
        <v>1459</v>
      </c>
      <c r="H437" s="795" t="s">
        <v>1460</v>
      </c>
      <c r="I437" s="795" t="s">
        <v>1460</v>
      </c>
      <c r="J437" s="795" t="s">
        <v>1459</v>
      </c>
      <c r="K437" s="795" t="s">
        <v>1459</v>
      </c>
      <c r="L437" s="795" t="s">
        <v>1460</v>
      </c>
      <c r="M437" s="795" t="s">
        <v>1460</v>
      </c>
      <c r="N437" s="795" t="s">
        <v>1460</v>
      </c>
      <c r="O437" s="795" t="s">
        <v>1460</v>
      </c>
      <c r="P437" s="795" t="s">
        <v>1460</v>
      </c>
    </row>
    <row r="438" spans="1:16" x14ac:dyDescent="0.2">
      <c r="A438" s="1175"/>
      <c r="B438" s="2550" t="s">
        <v>299</v>
      </c>
      <c r="F438" s="802" t="str">
        <f>обор!E129</f>
        <v/>
      </c>
      <c r="G438" s="802" t="e">
        <f>обор!F129</f>
        <v>#VALUE!</v>
      </c>
      <c r="H438" s="802" t="e">
        <f>обор!G129</f>
        <v>#VALUE!</v>
      </c>
      <c r="I438" s="802" t="str">
        <f>обор!H129</f>
        <v/>
      </c>
      <c r="J438" s="802" t="str">
        <f>обор!I129</f>
        <v/>
      </c>
      <c r="K438" s="802" t="str">
        <f>обор!J129</f>
        <v/>
      </c>
      <c r="L438" s="802" t="e">
        <f>обор!K129</f>
        <v>#VALUE!</v>
      </c>
      <c r="M438" s="802" t="e">
        <f>обор!L129</f>
        <v>#VALUE!</v>
      </c>
      <c r="N438" s="802" t="str">
        <f>обор!M129</f>
        <v>120…170</v>
      </c>
      <c r="O438" s="802">
        <f>обор!N129</f>
        <v>500</v>
      </c>
      <c r="P438" s="802" t="str">
        <f>обор!O129</f>
        <v>30 - 50</v>
      </c>
    </row>
    <row r="439" spans="1:16" x14ac:dyDescent="0.2">
      <c r="A439" s="1175"/>
      <c r="B439" s="8"/>
      <c r="C439" s="214" t="str">
        <f>IF(обор!B193=1,"Типы механизированных комплексов, возможные в данных условиях","Механизированный комплекс в проекте не применяется !")</f>
        <v>Механизированный комплекс в проекте не применяется !</v>
      </c>
    </row>
    <row r="440" spans="1:16" s="2546" customFormat="1" ht="129" customHeight="1" x14ac:dyDescent="0.2">
      <c r="A440" s="1175"/>
      <c r="B440" s="2551" t="str">
        <f>IF(обор!G378=1,"Тип комплекса","")</f>
        <v/>
      </c>
      <c r="C440" s="2552" t="str">
        <f>IF(обор!G378=1,"Тип конвейера","")</f>
        <v/>
      </c>
      <c r="D440" s="853" t="str">
        <f>IF(обор!G378=1,"Тип комбайна или струга","")</f>
        <v/>
      </c>
      <c r="E440" s="853" t="str">
        <f>IF(обор!G378=1,"Тип мехкрепи","")</f>
        <v/>
      </c>
      <c r="F440" s="853" t="str">
        <f>IF(обор!G378=1,"Сопротивляемость угля резанию  Ар, кН/м","")</f>
        <v/>
      </c>
      <c r="G440" s="853" t="str">
        <f>IF(обор!G378=1,"Мин конструкт высота крепи           hmin,  мм","")</f>
        <v/>
      </c>
      <c r="H440" s="853" t="str">
        <f>IF(обор!G378=1,"Максимальная конструктивная высота крепи  hmax, мм","")</f>
        <v/>
      </c>
      <c r="I440" s="853" t="str">
        <f>IF(обор!G378=1,"Предельное значение  категории кровли по обрушаемости    A","")</f>
        <v/>
      </c>
      <c r="J440" s="853" t="str">
        <f>IF(обор!G378=1,"Минимальное возможное значение категории кровли по устойчивости   Б","")</f>
        <v/>
      </c>
      <c r="K440" s="853" t="str">
        <f>IF(обор!G378=1,"Минимальное значение категории почвы по устойчивости   П","")</f>
        <v/>
      </c>
      <c r="L440" s="853" t="str">
        <f>IF(обор!G378=1,"Сопротивление поддерживающей части  крепи  Р, МПа","")</f>
        <v/>
      </c>
      <c r="M440" s="853" t="str">
        <f>IF(обор!G378=1,"Сопротивление посадочного ряда крепи  Рпос, МН/м","")</f>
        <v/>
      </c>
      <c r="N440" s="853" t="str">
        <f>IF(обор!G378=1,"Величина свободного пространства под крепью в зоне работы комбайна,   hсвоб","")</f>
        <v/>
      </c>
      <c r="O440" s="853" t="str">
        <f>IF(обор!G378=1,"Высота прохода для рабочих    Hл, мм","")</f>
        <v/>
      </c>
      <c r="P440" s="853" t="str">
        <f>IF(обор!G378=1,"Запас раздвижности крепи на разгрузку  hp,  мм","")</f>
        <v/>
      </c>
    </row>
    <row r="441" spans="1:16" ht="15.75" x14ac:dyDescent="0.25">
      <c r="A441" s="2414" t="s">
        <v>3351</v>
      </c>
      <c r="B441" s="2548" t="str">
        <f>IF(обор!$G$378=1,обор!A210,"")</f>
        <v/>
      </c>
      <c r="C441" s="2548" t="str">
        <f>IF(обор!$G$378=1,обор!B210,"")</f>
        <v/>
      </c>
      <c r="D441" s="2548" t="str">
        <f>IF(обор!$G$378=1,обор!C210,"")</f>
        <v/>
      </c>
      <c r="E441" s="2548" t="str">
        <f>IF(обор!$G$378=1,обор!D210,"")</f>
        <v/>
      </c>
      <c r="F441" s="2548" t="str">
        <f>IF(обор!$G$378=1,обор!E210,"")</f>
        <v/>
      </c>
      <c r="G441" s="2548" t="str">
        <f>IF(обор!$G$378=1,обор!F210,"")</f>
        <v/>
      </c>
      <c r="H441" s="2548" t="str">
        <f>IF(обор!$G$378=1,обор!G210,"")</f>
        <v/>
      </c>
      <c r="I441" s="2548" t="str">
        <f>IF(обор!$G$378=1,обор!H210,"")</f>
        <v/>
      </c>
      <c r="J441" s="2548" t="str">
        <f>IF(обор!$G$378=1,обор!I210,"")</f>
        <v/>
      </c>
      <c r="K441" s="2548" t="str">
        <f>IF(обор!$G$378=1,обор!J210,"")</f>
        <v/>
      </c>
      <c r="L441" s="2548" t="str">
        <f>IF(обор!$G$378=1,обор!K210,"")</f>
        <v/>
      </c>
      <c r="M441" s="2548" t="str">
        <f>IF(обор!$G$378=1,обор!L210,"")</f>
        <v/>
      </c>
      <c r="N441" s="2553" t="str">
        <f>IF(обор!$G$378=1,обор!M210,"")</f>
        <v/>
      </c>
      <c r="O441" s="2553" t="str">
        <f>IF(обор!$G$378=1,обор!N210,"")</f>
        <v/>
      </c>
      <c r="P441" s="2553" t="str">
        <f>IF(обор!$G$378=1,обор!O210,"")</f>
        <v/>
      </c>
    </row>
    <row r="442" spans="1:16" ht="15.75" x14ac:dyDescent="0.25">
      <c r="A442" s="2414" t="s">
        <v>3352</v>
      </c>
      <c r="B442" s="2548" t="str">
        <f>IF(обор!$G$378=1,обор!A211,"")</f>
        <v/>
      </c>
      <c r="C442" s="2548" t="str">
        <f>IF(обор!$G$378=1,обор!B211,"")</f>
        <v/>
      </c>
      <c r="D442" s="2548" t="str">
        <f>IF(обор!$G$378=1,обор!C211,"")</f>
        <v/>
      </c>
      <c r="E442" s="2548" t="str">
        <f>IF(обор!$G$378=1,обор!D211,"")</f>
        <v/>
      </c>
      <c r="F442" s="2548" t="str">
        <f>IF(обор!$G$378=1,обор!E211,"")</f>
        <v/>
      </c>
      <c r="G442" s="2548" t="str">
        <f>IF(обор!$G$378=1,обор!F211,"")</f>
        <v/>
      </c>
      <c r="H442" s="2548" t="str">
        <f>IF(обор!$G$378=1,обор!G211,"")</f>
        <v/>
      </c>
      <c r="I442" s="2548" t="str">
        <f>IF(обор!$G$378=1,обор!H211,"")</f>
        <v/>
      </c>
      <c r="J442" s="2548" t="str">
        <f>IF(обор!$G$378=1,обор!I211,"")</f>
        <v/>
      </c>
      <c r="K442" s="2548" t="str">
        <f>IF(обор!$G$378=1,обор!J211,"")</f>
        <v/>
      </c>
      <c r="L442" s="2548" t="str">
        <f>IF(обор!$G$378=1,обор!K211,"")</f>
        <v/>
      </c>
      <c r="M442" s="2548" t="str">
        <f>IF(обор!$G$378=1,обор!L211,"")</f>
        <v/>
      </c>
      <c r="N442" s="2553" t="str">
        <f>IF(обор!$G$378=1,обор!M211,"")</f>
        <v/>
      </c>
      <c r="O442" s="2553" t="str">
        <f>IF(обор!$G$378=1,обор!N211,"")</f>
        <v/>
      </c>
      <c r="P442" s="2553" t="str">
        <f>IF(обор!$G$378=1,обор!O211,"")</f>
        <v/>
      </c>
    </row>
    <row r="443" spans="1:16" ht="15.75" x14ac:dyDescent="0.25">
      <c r="A443" s="2414" t="s">
        <v>5245</v>
      </c>
      <c r="B443" s="2548" t="str">
        <f>IF(обор!$G$378=1,обор!A212,"")</f>
        <v/>
      </c>
      <c r="C443" s="2548" t="str">
        <f>IF(обор!$G$378=1,обор!B212,"")</f>
        <v/>
      </c>
      <c r="D443" s="2548" t="str">
        <f>IF(обор!$G$378=1,обор!C212,"")</f>
        <v/>
      </c>
      <c r="E443" s="2548" t="str">
        <f>IF(обор!$G$378=1,обор!D212,"")</f>
        <v/>
      </c>
      <c r="F443" s="2548" t="str">
        <f>IF(обор!$G$378=1,обор!E212,"")</f>
        <v/>
      </c>
      <c r="G443" s="2548" t="str">
        <f>IF(обор!$G$378=1,обор!F212,"")</f>
        <v/>
      </c>
      <c r="H443" s="2548" t="str">
        <f>IF(обор!$G$378=1,обор!G212,"")</f>
        <v/>
      </c>
      <c r="I443" s="2548" t="str">
        <f>IF(обор!$G$378=1,обор!H212,"")</f>
        <v/>
      </c>
      <c r="J443" s="2548" t="str">
        <f>IF(обор!$G$378=1,обор!I212,"")</f>
        <v/>
      </c>
      <c r="K443" s="2548" t="str">
        <f>IF(обор!$G$378=1,обор!J212,"")</f>
        <v/>
      </c>
      <c r="L443" s="2548" t="str">
        <f>IF(обор!$G$378=1,обор!K212,"")</f>
        <v/>
      </c>
      <c r="M443" s="2548" t="str">
        <f>IF(обор!$G$378=1,обор!L212,"")</f>
        <v/>
      </c>
      <c r="N443" s="2553" t="str">
        <f>IF(обор!$G$378=1,обор!M212,"")</f>
        <v/>
      </c>
      <c r="O443" s="2553" t="str">
        <f>IF(обор!$G$378=1,обор!N212,"")</f>
        <v/>
      </c>
      <c r="P443" s="2553" t="str">
        <f>IF(обор!$G$378=1,обор!O212,"")</f>
        <v/>
      </c>
    </row>
    <row r="444" spans="1:16" ht="15.75" x14ac:dyDescent="0.25">
      <c r="A444" s="2414" t="s">
        <v>2912</v>
      </c>
      <c r="B444" s="2548" t="str">
        <f>IF(обор!$G$378=1,обор!A213,"")</f>
        <v/>
      </c>
      <c r="C444" s="2548" t="str">
        <f>IF(обор!$G$378=1,обор!B213,"")</f>
        <v/>
      </c>
      <c r="D444" s="2548" t="str">
        <f>IF(обор!$G$378=1,обор!C213,"")</f>
        <v/>
      </c>
      <c r="E444" s="2548" t="str">
        <f>IF(обор!$G$378=1,обор!D213,"")</f>
        <v/>
      </c>
      <c r="F444" s="2548" t="str">
        <f>IF(обор!$G$378=1,обор!E213,"")</f>
        <v/>
      </c>
      <c r="G444" s="2548" t="str">
        <f>IF(обор!$G$378=1,обор!F213,"")</f>
        <v/>
      </c>
      <c r="H444" s="2548" t="str">
        <f>IF(обор!$G$378=1,обор!G213,"")</f>
        <v/>
      </c>
      <c r="I444" s="2548" t="str">
        <f>IF(обор!$G$378=1,обор!H213,"")</f>
        <v/>
      </c>
      <c r="J444" s="2548" t="str">
        <f>IF(обор!$G$378=1,обор!I213,"")</f>
        <v/>
      </c>
      <c r="K444" s="2548" t="str">
        <f>IF(обор!$G$378=1,обор!J213,"")</f>
        <v/>
      </c>
      <c r="L444" s="2548" t="str">
        <f>IF(обор!$G$378=1,обор!K213,"")</f>
        <v/>
      </c>
      <c r="M444" s="2548" t="str">
        <f>IF(обор!$G$378=1,обор!L213,"")</f>
        <v/>
      </c>
      <c r="N444" s="2553" t="str">
        <f>IF(обор!$G$378=1,обор!M213,"")</f>
        <v/>
      </c>
      <c r="O444" s="2553" t="str">
        <f>IF(обор!$G$378=1,обор!N213,"")</f>
        <v/>
      </c>
      <c r="P444" s="2553" t="str">
        <f>IF(обор!$G$378=1,обор!O213,"")</f>
        <v/>
      </c>
    </row>
    <row r="445" spans="1:16" ht="15.75" x14ac:dyDescent="0.25">
      <c r="A445" s="2414" t="s">
        <v>3353</v>
      </c>
      <c r="B445" s="2548" t="str">
        <f>IF(обор!$G$378=1,обор!A214,"")</f>
        <v/>
      </c>
      <c r="C445" s="2548" t="str">
        <f>IF(обор!$G$378=1,обор!B214,"")</f>
        <v/>
      </c>
      <c r="D445" s="2548" t="str">
        <f>IF(обор!$G$378=1,обор!C214,"")</f>
        <v/>
      </c>
      <c r="E445" s="2548" t="str">
        <f>IF(обор!$G$378=1,обор!D214,"")</f>
        <v/>
      </c>
      <c r="F445" s="2548" t="str">
        <f>IF(обор!$G$378=1,обор!E214,"")</f>
        <v/>
      </c>
      <c r="G445" s="2548" t="str">
        <f>IF(обор!$G$378=1,обор!F214,"")</f>
        <v/>
      </c>
      <c r="H445" s="2548" t="str">
        <f>IF(обор!$G$378=1,обор!G214,"")</f>
        <v/>
      </c>
      <c r="I445" s="2548" t="str">
        <f>IF(обор!$G$378=1,обор!H214,"")</f>
        <v/>
      </c>
      <c r="J445" s="2548" t="str">
        <f>IF(обор!$G$378=1,обор!I214,"")</f>
        <v/>
      </c>
      <c r="K445" s="2548" t="str">
        <f>IF(обор!$G$378=1,обор!J214,"")</f>
        <v/>
      </c>
      <c r="L445" s="2548" t="str">
        <f>IF(обор!$G$378=1,обор!K214,"")</f>
        <v/>
      </c>
      <c r="M445" s="2548" t="str">
        <f>IF(обор!$G$378=1,обор!L214,"")</f>
        <v/>
      </c>
      <c r="N445" s="2553" t="str">
        <f>IF(обор!$G$378=1,обор!M214,"")</f>
        <v/>
      </c>
      <c r="O445" s="2553" t="str">
        <f>IF(обор!$G$378=1,обор!N214,"")</f>
        <v/>
      </c>
      <c r="P445" s="2553" t="str">
        <f>IF(обор!$G$378=1,обор!O214,"")</f>
        <v/>
      </c>
    </row>
    <row r="446" spans="1:16" ht="15.75" x14ac:dyDescent="0.25">
      <c r="A446" s="2414" t="s">
        <v>1337</v>
      </c>
      <c r="B446" s="2548" t="str">
        <f>IF(обор!$G$378=1,обор!A215,"")</f>
        <v/>
      </c>
      <c r="C446" s="2548" t="str">
        <f>IF(обор!$G$378=1,обор!B215,"")</f>
        <v/>
      </c>
      <c r="D446" s="2548" t="str">
        <f>IF(обор!$G$378=1,обор!C215,"")</f>
        <v/>
      </c>
      <c r="E446" s="2548" t="str">
        <f>IF(обор!$G$378=1,обор!D215,"")</f>
        <v/>
      </c>
      <c r="F446" s="2548" t="str">
        <f>IF(обор!$G$378=1,обор!E215,"")</f>
        <v/>
      </c>
      <c r="G446" s="2548" t="str">
        <f>IF(обор!$G$378=1,обор!F215,"")</f>
        <v/>
      </c>
      <c r="H446" s="2548" t="str">
        <f>IF(обор!$G$378=1,обор!G215,"")</f>
        <v/>
      </c>
      <c r="I446" s="2548" t="str">
        <f>IF(обор!$G$378=1,обор!H215,"")</f>
        <v/>
      </c>
      <c r="J446" s="2548" t="str">
        <f>IF(обор!$G$378=1,обор!I215,"")</f>
        <v/>
      </c>
      <c r="K446" s="2548" t="str">
        <f>IF(обор!$G$378=1,обор!J215,"")</f>
        <v/>
      </c>
      <c r="L446" s="2548" t="str">
        <f>IF(обор!$G$378=1,обор!K215,"")</f>
        <v/>
      </c>
      <c r="M446" s="2548" t="str">
        <f>IF(обор!$G$378=1,обор!L215,"")</f>
        <v/>
      </c>
      <c r="N446" s="2553" t="str">
        <f>IF(обор!$G$378=1,обор!M215,"")</f>
        <v/>
      </c>
      <c r="O446" s="2553" t="str">
        <f>IF(обор!$G$378=1,обор!N215,"")</f>
        <v/>
      </c>
      <c r="P446" s="2553" t="str">
        <f>IF(обор!$G$378=1,обор!O215,"")</f>
        <v/>
      </c>
    </row>
    <row r="447" spans="1:16" ht="15.75" x14ac:dyDescent="0.25">
      <c r="A447" s="2414" t="s">
        <v>1338</v>
      </c>
      <c r="B447" s="2548" t="str">
        <f>IF(обор!$G$378=1,обор!A216,"")</f>
        <v/>
      </c>
      <c r="C447" s="2548" t="str">
        <f>IF(обор!$G$378=1,обор!B216,"")</f>
        <v/>
      </c>
      <c r="D447" s="2548" t="str">
        <f>IF(обор!$G$378=1,обор!C216,"")</f>
        <v/>
      </c>
      <c r="E447" s="2548" t="str">
        <f>IF(обор!$G$378=1,обор!D216,"")</f>
        <v/>
      </c>
      <c r="F447" s="2548" t="str">
        <f>IF(обор!$G$378=1,обор!E216,"")</f>
        <v/>
      </c>
      <c r="G447" s="2548" t="str">
        <f>IF(обор!$G$378=1,обор!F216,"")</f>
        <v/>
      </c>
      <c r="H447" s="2548" t="str">
        <f>IF(обор!$G$378=1,обор!G216,"")</f>
        <v/>
      </c>
      <c r="I447" s="2548" t="str">
        <f>IF(обор!$G$378=1,обор!H216,"")</f>
        <v/>
      </c>
      <c r="J447" s="2548" t="str">
        <f>IF(обор!$G$378=1,обор!I216,"")</f>
        <v/>
      </c>
      <c r="K447" s="2548" t="str">
        <f>IF(обор!$G$378=1,обор!J216,"")</f>
        <v/>
      </c>
      <c r="L447" s="2548" t="str">
        <f>IF(обор!$G$378=1,обор!K216,"")</f>
        <v/>
      </c>
      <c r="M447" s="2548" t="str">
        <f>IF(обор!$G$378=1,обор!L216,"")</f>
        <v/>
      </c>
      <c r="N447" s="2553" t="str">
        <f>IF(обор!$G$378=1,обор!M216,"")</f>
        <v/>
      </c>
      <c r="O447" s="2553" t="str">
        <f>IF(обор!$G$378=1,обор!N216,"")</f>
        <v/>
      </c>
      <c r="P447" s="2553" t="str">
        <f>IF(обор!$G$378=1,обор!O216,"")</f>
        <v/>
      </c>
    </row>
    <row r="448" spans="1:16" ht="15.75" x14ac:dyDescent="0.25">
      <c r="A448" s="2414" t="s">
        <v>1337</v>
      </c>
      <c r="B448" s="2548" t="str">
        <f>IF(обор!$G$378=1,обор!A217,"")</f>
        <v/>
      </c>
      <c r="C448" s="2548" t="str">
        <f>IF(обор!$G$378=1,обор!B217,"")</f>
        <v/>
      </c>
      <c r="D448" s="2548" t="str">
        <f>IF(обор!$G$378=1,обор!C217,"")</f>
        <v/>
      </c>
      <c r="E448" s="2548" t="str">
        <f>IF(обор!$G$378=1,обор!D217,"")</f>
        <v/>
      </c>
      <c r="F448" s="2548" t="str">
        <f>IF(обор!$G$378=1,обор!E217,"")</f>
        <v/>
      </c>
      <c r="G448" s="2548" t="str">
        <f>IF(обор!$G$378=1,обор!F217,"")</f>
        <v/>
      </c>
      <c r="H448" s="2548" t="str">
        <f>IF(обор!$G$378=1,обор!G217,"")</f>
        <v/>
      </c>
      <c r="I448" s="2548" t="str">
        <f>IF(обор!$G$378=1,обор!H217,"")</f>
        <v/>
      </c>
      <c r="J448" s="2548" t="str">
        <f>IF(обор!$G$378=1,обор!I217,"")</f>
        <v/>
      </c>
      <c r="K448" s="2548" t="str">
        <f>IF(обор!$G$378=1,обор!J217,"")</f>
        <v/>
      </c>
      <c r="L448" s="2548" t="str">
        <f>IF(обор!$G$378=1,обор!K217,"")</f>
        <v/>
      </c>
      <c r="M448" s="2548" t="str">
        <f>IF(обор!$G$378=1,обор!L217,"")</f>
        <v/>
      </c>
      <c r="N448" s="2553" t="str">
        <f>IF(обор!$G$378=1,обор!M217,"")</f>
        <v/>
      </c>
      <c r="O448" s="2553" t="str">
        <f>IF(обор!$G$378=1,обор!N217,"")</f>
        <v/>
      </c>
      <c r="P448" s="2553" t="str">
        <f>IF(обор!$G$378=1,обор!O217,"")</f>
        <v/>
      </c>
    </row>
    <row r="449" spans="1:16" ht="15.75" x14ac:dyDescent="0.25">
      <c r="A449" s="2414" t="s">
        <v>3437</v>
      </c>
      <c r="B449" s="2548" t="str">
        <f>IF(обор!$G$378=1,обор!A218,"")</f>
        <v/>
      </c>
      <c r="C449" s="2548" t="str">
        <f>IF(обор!$G$378=1,обор!B218,"")</f>
        <v/>
      </c>
      <c r="D449" s="2548" t="str">
        <f>IF(обор!$G$378=1,обор!C218,"")</f>
        <v/>
      </c>
      <c r="E449" s="2548" t="str">
        <f>IF(обор!$G$378=1,обор!D218,"")</f>
        <v/>
      </c>
      <c r="F449" s="2548" t="str">
        <f>IF(обор!$G$378=1,обор!E218,"")</f>
        <v/>
      </c>
      <c r="G449" s="2548" t="str">
        <f>IF(обор!$G$378=1,обор!F218,"")</f>
        <v/>
      </c>
      <c r="H449" s="2548" t="str">
        <f>IF(обор!$G$378=1,обор!G218,"")</f>
        <v/>
      </c>
      <c r="I449" s="2548" t="str">
        <f>IF(обор!$G$378=1,обор!H218,"")</f>
        <v/>
      </c>
      <c r="J449" s="2548" t="str">
        <f>IF(обор!$G$378=1,обор!I218,"")</f>
        <v/>
      </c>
      <c r="K449" s="2548" t="str">
        <f>IF(обор!$G$378=1,обор!J218,"")</f>
        <v/>
      </c>
      <c r="L449" s="2548" t="str">
        <f>IF(обор!$G$378=1,обор!K218,"")</f>
        <v/>
      </c>
      <c r="M449" s="2548" t="str">
        <f>IF(обор!$G$378=1,обор!L218,"")</f>
        <v/>
      </c>
      <c r="N449" s="2553" t="str">
        <f>IF(обор!$G$378=1,обор!M218,"")</f>
        <v/>
      </c>
      <c r="O449" s="2553" t="str">
        <f>IF(обор!$G$378=1,обор!N218,"")</f>
        <v/>
      </c>
      <c r="P449" s="2553" t="str">
        <f>IF(обор!$G$378=1,обор!O218,"")</f>
        <v/>
      </c>
    </row>
    <row r="450" spans="1:16" ht="15.75" x14ac:dyDescent="0.25">
      <c r="A450" s="2414" t="s">
        <v>1339</v>
      </c>
      <c r="B450" s="2548" t="str">
        <f>IF(обор!$G$378=1,обор!A219,"")</f>
        <v/>
      </c>
      <c r="C450" s="2548" t="str">
        <f>IF(обор!$G$378=1,обор!B219,"")</f>
        <v/>
      </c>
      <c r="D450" s="2548" t="str">
        <f>IF(обор!$G$378=1,обор!C219,"")</f>
        <v/>
      </c>
      <c r="E450" s="2548" t="str">
        <f>IF(обор!$G$378=1,обор!D219,"")</f>
        <v/>
      </c>
      <c r="F450" s="2548" t="str">
        <f>IF(обор!$G$378=1,обор!E219,"")</f>
        <v/>
      </c>
      <c r="G450" s="2548" t="str">
        <f>IF(обор!$G$378=1,обор!F219,"")</f>
        <v/>
      </c>
      <c r="H450" s="2548" t="str">
        <f>IF(обор!$G$378=1,обор!G219,"")</f>
        <v/>
      </c>
      <c r="I450" s="2548" t="str">
        <f>IF(обор!$G$378=1,обор!H219,"")</f>
        <v/>
      </c>
      <c r="J450" s="2548" t="str">
        <f>IF(обор!$G$378=1,обор!I219,"")</f>
        <v/>
      </c>
      <c r="K450" s="2548" t="str">
        <f>IF(обор!$G$378=1,обор!J219,"")</f>
        <v/>
      </c>
      <c r="L450" s="2548" t="str">
        <f>IF(обор!$G$378=1,обор!K219,"")</f>
        <v/>
      </c>
      <c r="M450" s="2548" t="str">
        <f>IF(обор!$G$378=1,обор!L219,"")</f>
        <v/>
      </c>
      <c r="N450" s="2553" t="str">
        <f>IF(обор!$G$378=1,обор!M219,"")</f>
        <v/>
      </c>
      <c r="O450" s="2553" t="str">
        <f>IF(обор!$G$378=1,обор!N219,"")</f>
        <v/>
      </c>
      <c r="P450" s="2553" t="str">
        <f>IF(обор!$G$378=1,обор!O219,"")</f>
        <v/>
      </c>
    </row>
    <row r="451" spans="1:16" ht="15.75" x14ac:dyDescent="0.25">
      <c r="A451" s="2414" t="s">
        <v>1058</v>
      </c>
      <c r="B451" s="2548" t="str">
        <f>IF(обор!$G$378=1,обор!A220,"")</f>
        <v/>
      </c>
      <c r="C451" s="2548" t="str">
        <f>IF(обор!$G$378=1,обор!B220,"")</f>
        <v/>
      </c>
      <c r="D451" s="2548" t="str">
        <f>IF(обор!$G$378=1,обор!C220,"")</f>
        <v/>
      </c>
      <c r="E451" s="2548" t="str">
        <f>IF(обор!$G$378=1,обор!D220,"")</f>
        <v/>
      </c>
      <c r="F451" s="2548" t="str">
        <f>IF(обор!$G$378=1,обор!E220,"")</f>
        <v/>
      </c>
      <c r="G451" s="2548" t="str">
        <f>IF(обор!$G$378=1,обор!F220,"")</f>
        <v/>
      </c>
      <c r="H451" s="2548" t="str">
        <f>IF(обор!$G$378=1,обор!G220,"")</f>
        <v/>
      </c>
      <c r="I451" s="2548" t="str">
        <f>IF(обор!$G$378=1,обор!H220,"")</f>
        <v/>
      </c>
      <c r="J451" s="2548" t="str">
        <f>IF(обор!$G$378=1,обор!I220,"")</f>
        <v/>
      </c>
      <c r="K451" s="2548" t="str">
        <f>IF(обор!$G$378=1,обор!J220,"")</f>
        <v/>
      </c>
      <c r="L451" s="2548" t="str">
        <f>IF(обор!$G$378=1,обор!K220,"")</f>
        <v/>
      </c>
      <c r="M451" s="2548" t="str">
        <f>IF(обор!$G$378=1,обор!L220,"")</f>
        <v/>
      </c>
      <c r="N451" s="2553" t="str">
        <f>IF(обор!$G$378=1,обор!M220,"")</f>
        <v/>
      </c>
      <c r="O451" s="2553" t="str">
        <f>IF(обор!$G$378=1,обор!N220,"")</f>
        <v/>
      </c>
      <c r="P451" s="2553" t="str">
        <f>IF(обор!$G$378=1,обор!O220,"")</f>
        <v/>
      </c>
    </row>
    <row r="452" spans="1:16" ht="15.75" x14ac:dyDescent="0.25">
      <c r="A452" s="2414" t="s">
        <v>2912</v>
      </c>
      <c r="B452" s="2548" t="str">
        <f>IF(обор!$G$378=1,обор!A221,"")</f>
        <v/>
      </c>
      <c r="C452" s="2548" t="str">
        <f>IF(обор!$G$378=1,обор!B221,"")</f>
        <v/>
      </c>
      <c r="D452" s="2548" t="str">
        <f>IF(обор!$G$378=1,обор!C221,"")</f>
        <v/>
      </c>
      <c r="E452" s="2548" t="str">
        <f>IF(обор!$G$378=1,обор!D221,"")</f>
        <v/>
      </c>
      <c r="F452" s="2548" t="str">
        <f>IF(обор!$G$378=1,обор!E221,"")</f>
        <v/>
      </c>
      <c r="G452" s="2548" t="str">
        <f>IF(обор!$G$378=1,обор!F221,"")</f>
        <v/>
      </c>
      <c r="H452" s="2548" t="str">
        <f>IF(обор!$G$378=1,обор!G221,"")</f>
        <v/>
      </c>
      <c r="I452" s="2548" t="str">
        <f>IF(обор!$G$378=1,обор!H221,"")</f>
        <v/>
      </c>
      <c r="J452" s="2548" t="str">
        <f>IF(обор!$G$378=1,обор!I221,"")</f>
        <v/>
      </c>
      <c r="K452" s="2548" t="str">
        <f>IF(обор!$G$378=1,обор!J221,"")</f>
        <v/>
      </c>
      <c r="L452" s="2548" t="str">
        <f>IF(обор!$G$378=1,обор!K221,"")</f>
        <v/>
      </c>
      <c r="M452" s="2548" t="str">
        <f>IF(обор!$G$378=1,обор!L221,"")</f>
        <v/>
      </c>
      <c r="N452" s="2553" t="str">
        <f>IF(обор!$G$378=1,обор!M221,"")</f>
        <v/>
      </c>
      <c r="O452" s="2553" t="str">
        <f>IF(обор!$G$378=1,обор!N221,"")</f>
        <v/>
      </c>
      <c r="P452" s="2553" t="str">
        <f>IF(обор!$G$378=1,обор!O221,"")</f>
        <v/>
      </c>
    </row>
    <row r="453" spans="1:16" ht="15.75" x14ac:dyDescent="0.25">
      <c r="A453" s="2414" t="s">
        <v>3353</v>
      </c>
      <c r="B453" s="2548" t="str">
        <f>IF(обор!$G$378=1,обор!A222,"")</f>
        <v/>
      </c>
      <c r="C453" s="2548" t="str">
        <f>IF(обор!$G$378=1,обор!B222,"")</f>
        <v/>
      </c>
      <c r="D453" s="2548" t="str">
        <f>IF(обор!$G$378=1,обор!C222,"")</f>
        <v/>
      </c>
      <c r="E453" s="2548" t="str">
        <f>IF(обор!$G$378=1,обор!D222,"")</f>
        <v/>
      </c>
      <c r="F453" s="2548" t="str">
        <f>IF(обор!$G$378=1,обор!E222,"")</f>
        <v/>
      </c>
      <c r="G453" s="2548" t="str">
        <f>IF(обор!$G$378=1,обор!F222,"")</f>
        <v/>
      </c>
      <c r="H453" s="2548" t="str">
        <f>IF(обор!$G$378=1,обор!G222,"")</f>
        <v/>
      </c>
      <c r="I453" s="2548" t="str">
        <f>IF(обор!$G$378=1,обор!H222,"")</f>
        <v/>
      </c>
      <c r="J453" s="2548" t="str">
        <f>IF(обор!$G$378=1,обор!I222,"")</f>
        <v/>
      </c>
      <c r="K453" s="2548" t="str">
        <f>IF(обор!$G$378=1,обор!J222,"")</f>
        <v/>
      </c>
      <c r="L453" s="2548" t="str">
        <f>IF(обор!$G$378=1,обор!K222,"")</f>
        <v/>
      </c>
      <c r="M453" s="2548" t="str">
        <f>IF(обор!$G$378=1,обор!L222,"")</f>
        <v/>
      </c>
      <c r="N453" s="2553" t="str">
        <f>IF(обор!$G$378=1,обор!M222,"")</f>
        <v/>
      </c>
      <c r="O453" s="2553" t="str">
        <f>IF(обор!$G$378=1,обор!N222,"")</f>
        <v/>
      </c>
      <c r="P453" s="2553" t="str">
        <f>IF(обор!$G$378=1,обор!O222,"")</f>
        <v/>
      </c>
    </row>
    <row r="454" spans="1:16" ht="15.75" x14ac:dyDescent="0.25">
      <c r="A454" s="2414" t="s">
        <v>3353</v>
      </c>
      <c r="B454" s="2548" t="str">
        <f>IF(обор!$G$378=1,обор!A223,"")</f>
        <v/>
      </c>
      <c r="C454" s="2548" t="str">
        <f>IF(обор!$G$378=1,обор!B223,"")</f>
        <v/>
      </c>
      <c r="D454" s="2548" t="str">
        <f>IF(обор!$G$378=1,обор!C223,"")</f>
        <v/>
      </c>
      <c r="E454" s="2548" t="str">
        <f>IF(обор!$G$378=1,обор!D223,"")</f>
        <v/>
      </c>
      <c r="F454" s="2548" t="str">
        <f>IF(обор!$G$378=1,обор!E223,"")</f>
        <v/>
      </c>
      <c r="G454" s="2548" t="str">
        <f>IF(обор!$G$378=1,обор!F223,"")</f>
        <v/>
      </c>
      <c r="H454" s="2548" t="str">
        <f>IF(обор!$G$378=1,обор!G223,"")</f>
        <v/>
      </c>
      <c r="I454" s="2548" t="str">
        <f>IF(обор!$G$378=1,обор!H223,"")</f>
        <v/>
      </c>
      <c r="J454" s="2548" t="str">
        <f>IF(обор!$G$378=1,обор!I223,"")</f>
        <v/>
      </c>
      <c r="K454" s="2548" t="str">
        <f>IF(обор!$G$378=1,обор!J223,"")</f>
        <v/>
      </c>
      <c r="L454" s="2548" t="str">
        <f>IF(обор!$G$378=1,обор!K223,"")</f>
        <v/>
      </c>
      <c r="M454" s="2548" t="str">
        <f>IF(обор!$G$378=1,обор!L223,"")</f>
        <v/>
      </c>
      <c r="N454" s="2553" t="str">
        <f>IF(обор!$G$378=1,обор!M223,"")</f>
        <v/>
      </c>
      <c r="O454" s="2553" t="str">
        <f>IF(обор!$G$378=1,обор!N223,"")</f>
        <v/>
      </c>
      <c r="P454" s="2553" t="str">
        <f>IF(обор!$G$378=1,обор!O223,"")</f>
        <v/>
      </c>
    </row>
    <row r="455" spans="1:16" ht="15.75" x14ac:dyDescent="0.25">
      <c r="A455" s="2414" t="s">
        <v>2912</v>
      </c>
      <c r="B455" s="2548" t="str">
        <f>IF(обор!$G$378=1,обор!A224,"")</f>
        <v/>
      </c>
      <c r="C455" s="2548" t="str">
        <f>IF(обор!$G$378=1,обор!B224,"")</f>
        <v/>
      </c>
      <c r="D455" s="2548" t="str">
        <f>IF(обор!$G$378=1,обор!C224,"")</f>
        <v/>
      </c>
      <c r="E455" s="2548" t="str">
        <f>IF(обор!$G$378=1,обор!D224,"")</f>
        <v/>
      </c>
      <c r="F455" s="2548" t="str">
        <f>IF(обор!$G$378=1,обор!D225,"")</f>
        <v/>
      </c>
      <c r="G455" s="2548" t="str">
        <f>IF(обор!$G$378=1,обор!F224,"")</f>
        <v/>
      </c>
      <c r="H455" s="2548" t="str">
        <f>IF(обор!$G$378=1,обор!G224,"")</f>
        <v/>
      </c>
      <c r="I455" s="2548" t="str">
        <f>IF(обор!$G$378=1,обор!H224,"")</f>
        <v/>
      </c>
      <c r="J455" s="2548" t="str">
        <f>IF(обор!$G$378=1,обор!I224,"")</f>
        <v/>
      </c>
      <c r="K455" s="2548" t="str">
        <f>IF(обор!$G$378=1,обор!J224,"")</f>
        <v/>
      </c>
      <c r="L455" s="2548" t="str">
        <f>IF(обор!$G$378=1,обор!K224,"")</f>
        <v/>
      </c>
      <c r="M455" s="2548" t="str">
        <f>IF(обор!$G$378=1,обор!L224,"")</f>
        <v/>
      </c>
      <c r="N455" s="2553" t="str">
        <f>IF(обор!$G$378=1,обор!M224,"")</f>
        <v/>
      </c>
      <c r="O455" s="2553" t="str">
        <f>IF(обор!$G$378=1,обор!N224,"")</f>
        <v/>
      </c>
      <c r="P455" s="2553" t="str">
        <f>IF(обор!$G$378=1,обор!O224,"")</f>
        <v/>
      </c>
    </row>
    <row r="456" spans="1:16" ht="15.75" x14ac:dyDescent="0.25">
      <c r="A456" s="2414" t="s">
        <v>1340</v>
      </c>
      <c r="B456" s="2548" t="str">
        <f>IF(обор!$G$378=1,обор!A225,"")</f>
        <v/>
      </c>
      <c r="C456" s="2548" t="str">
        <f>IF(обор!$G$378=1,обор!B225,"")</f>
        <v/>
      </c>
      <c r="D456" s="2548" t="str">
        <f>IF(обор!$G$378=1,обор!C225,"")</f>
        <v/>
      </c>
      <c r="E456" s="2548" t="str">
        <f>IF(обор!$G$378=1,обор!E224,"")</f>
        <v/>
      </c>
      <c r="F456" s="2548" t="str">
        <f>IF(обор!$G$378=1,обор!E225,"")</f>
        <v/>
      </c>
      <c r="G456" s="2548" t="str">
        <f>IF(обор!$G$378=1,обор!F225,"")</f>
        <v/>
      </c>
      <c r="H456" s="2548" t="str">
        <f>IF(обор!$G$378=1,обор!G225,"")</f>
        <v/>
      </c>
      <c r="I456" s="2548" t="str">
        <f>IF(обор!$G$378=1,обор!H225,"")</f>
        <v/>
      </c>
      <c r="J456" s="2548" t="str">
        <f>IF(обор!$G$378=1,обор!I225,"")</f>
        <v/>
      </c>
      <c r="K456" s="2548" t="str">
        <f>IF(обор!$G$378=1,обор!J225,"")</f>
        <v/>
      </c>
      <c r="L456" s="2548" t="str">
        <f>IF(обор!$G$378=1,обор!K225,"")</f>
        <v/>
      </c>
      <c r="M456" s="2548" t="str">
        <f>IF(обор!$G$378=1,обор!L225,"")</f>
        <v/>
      </c>
      <c r="N456" s="2553" t="str">
        <f>IF(обор!$G$378=1,обор!M225,"")</f>
        <v/>
      </c>
      <c r="O456" s="2553" t="str">
        <f>IF(обор!$G$378=1,обор!N225,"")</f>
        <v/>
      </c>
      <c r="P456" s="2553" t="str">
        <f>IF(обор!$G$378=1,обор!O225,"")</f>
        <v/>
      </c>
    </row>
    <row r="457" spans="1:16" ht="15.75" x14ac:dyDescent="0.25">
      <c r="A457" s="2414"/>
      <c r="B457" s="2548" t="str">
        <f>IF(обор!$G$378=1,обор!A226,"")</f>
        <v/>
      </c>
      <c r="C457" s="2548" t="str">
        <f>IF(обор!$G$378=1,обор!B226,"")</f>
        <v/>
      </c>
      <c r="D457" s="2548" t="str">
        <f>IF(обор!$G$378=1,обор!C226,"")</f>
        <v/>
      </c>
      <c r="E457" s="2548" t="str">
        <f>IF(обор!$G$378=1,обор!D226,"")</f>
        <v/>
      </c>
      <c r="F457" s="2548" t="str">
        <f>IF(обор!$G$378=1,обор!E226,"")</f>
        <v/>
      </c>
      <c r="G457" s="2548" t="str">
        <f>IF(обор!$G$378=1,обор!F226,"")</f>
        <v/>
      </c>
      <c r="H457" s="2548" t="str">
        <f>IF(обор!$G$378=1,обор!G226,"")</f>
        <v/>
      </c>
      <c r="I457" s="2548" t="str">
        <f>IF(обор!$G$378=1,обор!H226,"")</f>
        <v/>
      </c>
      <c r="J457" s="2548" t="str">
        <f>IF(обор!$G$378=1,обор!I226,"")</f>
        <v/>
      </c>
      <c r="K457" s="2548" t="str">
        <f>IF(обор!$G$378=1,обор!J226,"")</f>
        <v/>
      </c>
      <c r="L457" s="2548" t="str">
        <f>IF(обор!$G$378=1,обор!K226,"")</f>
        <v/>
      </c>
      <c r="M457" s="2548" t="str">
        <f>IF(обор!$G$378=1,обор!L226,"")</f>
        <v/>
      </c>
      <c r="N457" s="2553" t="str">
        <f>IF(обор!$G$378=1,обор!M226,"")</f>
        <v/>
      </c>
      <c r="O457" s="2553" t="str">
        <f>IF(обор!$G$378=1,обор!N226,"")</f>
        <v/>
      </c>
      <c r="P457" s="2553" t="str">
        <f>IF(обор!$G$378=1,обор!O226,"")</f>
        <v/>
      </c>
    </row>
    <row r="458" spans="1:16" ht="15.75" x14ac:dyDescent="0.25">
      <c r="A458" s="2414" t="s">
        <v>1341</v>
      </c>
      <c r="B458" s="2548" t="str">
        <f>IF(обор!$G$378=1,обор!A227,"")</f>
        <v/>
      </c>
      <c r="C458" s="2548" t="str">
        <f>IF(обор!$G$378=1,обор!B227,"")</f>
        <v/>
      </c>
      <c r="D458" s="2548" t="str">
        <f>IF(обор!$G$378=1,обор!C227,"")</f>
        <v/>
      </c>
      <c r="E458" s="2548" t="str">
        <f>IF(обор!$G$378=1,обор!D227,"")</f>
        <v/>
      </c>
      <c r="F458" s="2548" t="str">
        <f>IF(обор!$G$378=1,обор!E227,"")</f>
        <v/>
      </c>
      <c r="G458" s="2548" t="str">
        <f>IF(обор!$G$378=1,обор!F227,"")</f>
        <v/>
      </c>
      <c r="H458" s="2548" t="str">
        <f>IF(обор!$G$378=1,обор!G227,"")</f>
        <v/>
      </c>
      <c r="I458" s="2548" t="str">
        <f>IF(обор!$G$378=1,обор!H227,"")</f>
        <v/>
      </c>
      <c r="J458" s="2548" t="str">
        <f>IF(обор!$G$378=1,обор!I227,"")</f>
        <v/>
      </c>
      <c r="K458" s="2548" t="str">
        <f>IF(обор!$G$378=1,обор!J227,"")</f>
        <v/>
      </c>
      <c r="L458" s="2548" t="str">
        <f>IF(обор!$G$378=1,обор!K227,"")</f>
        <v/>
      </c>
      <c r="M458" s="2548" t="str">
        <f>IF(обор!$G$378=1,обор!L227,"")</f>
        <v/>
      </c>
      <c r="N458" s="2553" t="str">
        <f>IF(обор!$G$378=1,обор!M227,"")</f>
        <v/>
      </c>
      <c r="O458" s="2553" t="str">
        <f>IF(обор!$G$378=1,обор!N227,"")</f>
        <v/>
      </c>
      <c r="P458" s="2553" t="str">
        <f>IF(обор!$G$378=1,обор!O227,"")</f>
        <v/>
      </c>
    </row>
    <row r="459" spans="1:16" ht="15.75" x14ac:dyDescent="0.25">
      <c r="A459" s="2558" t="s">
        <v>2912</v>
      </c>
      <c r="B459" s="2548" t="str">
        <f>IF(обор!$G$378=1,обор!A228,"")</f>
        <v/>
      </c>
      <c r="C459" s="2548" t="str">
        <f>IF(обор!$G$378=1,обор!B228,"")</f>
        <v/>
      </c>
      <c r="D459" s="2548" t="str">
        <f>IF(обор!$G$378=1,обор!C228,"")</f>
        <v/>
      </c>
      <c r="E459" s="2548" t="str">
        <f>IF(обор!$G$378=1,обор!D228,"")</f>
        <v/>
      </c>
      <c r="F459" s="2548" t="str">
        <f>IF(обор!$G$378=1,обор!E228,"")</f>
        <v/>
      </c>
      <c r="G459" s="2548" t="str">
        <f>IF(обор!$G$378=1,обор!F228,"")</f>
        <v/>
      </c>
      <c r="H459" s="2548" t="str">
        <f>IF(обор!$G$378=1,обор!G228,"")</f>
        <v/>
      </c>
      <c r="I459" s="2548" t="str">
        <f>IF(обор!$G$378=1,обор!H228,"")</f>
        <v/>
      </c>
      <c r="J459" s="2548" t="str">
        <f>IF(обор!$G$378=1,обор!I228,"")</f>
        <v/>
      </c>
      <c r="K459" s="2548" t="str">
        <f>IF(обор!$G$378=1,обор!J228,"")</f>
        <v/>
      </c>
      <c r="L459" s="2548" t="str">
        <f>IF(обор!$G$378=1,обор!K228,"")</f>
        <v/>
      </c>
      <c r="M459" s="2548" t="str">
        <f>IF(обор!$G$378=1,обор!L228,"")</f>
        <v/>
      </c>
      <c r="N459" s="2553" t="str">
        <f>IF(обор!$G$378=1,обор!M228,"")</f>
        <v/>
      </c>
      <c r="O459" s="2553" t="str">
        <f>IF(обор!$G$378=1,обор!N228,"")</f>
        <v/>
      </c>
      <c r="P459" s="2553" t="str">
        <f>IF(обор!$G$378=1,обор!O228,"")</f>
        <v/>
      </c>
    </row>
    <row r="460" spans="1:16" ht="15.75" x14ac:dyDescent="0.25">
      <c r="A460" s="2558" t="s">
        <v>1058</v>
      </c>
      <c r="B460" s="2548" t="str">
        <f>IF(обор!$G$378=1,обор!A229,"")</f>
        <v/>
      </c>
      <c r="C460" s="2548" t="str">
        <f>IF(обор!$G$378=1,обор!B229,"")</f>
        <v/>
      </c>
      <c r="D460" s="2548" t="str">
        <f>IF(обор!$G$378=1,обор!C229,"")</f>
        <v/>
      </c>
      <c r="E460" s="2548" t="str">
        <f>IF(обор!$G$378=1,обор!D229,"")</f>
        <v/>
      </c>
      <c r="F460" s="2548" t="str">
        <f>IF(обор!$G$378=1,обор!E229,"")</f>
        <v/>
      </c>
      <c r="G460" s="2548" t="str">
        <f>IF(обор!$G$378=1,обор!F229,"")</f>
        <v/>
      </c>
      <c r="H460" s="2548" t="str">
        <f>IF(обор!$G$378=1,обор!G229,"")</f>
        <v/>
      </c>
      <c r="I460" s="2548" t="str">
        <f>IF(обор!$G$378=1,обор!H229,"")</f>
        <v/>
      </c>
      <c r="J460" s="2548" t="str">
        <f>IF(обор!$G$378=1,обор!I229,"")</f>
        <v/>
      </c>
      <c r="K460" s="2548" t="str">
        <f>IF(обор!$G$378=1,обор!J229,"")</f>
        <v/>
      </c>
      <c r="L460" s="2548" t="str">
        <f>IF(обор!$G$378=1,обор!K229,"")</f>
        <v/>
      </c>
      <c r="M460" s="2548" t="str">
        <f>IF(обор!$G$378=1,обор!L229,"")</f>
        <v/>
      </c>
      <c r="N460" s="2553" t="str">
        <f>IF(обор!$G$378=1,обор!M229,"")</f>
        <v/>
      </c>
      <c r="O460" s="2553" t="str">
        <f>IF(обор!$G$378=1,обор!N229,"")</f>
        <v/>
      </c>
      <c r="P460" s="2553" t="str">
        <f>IF(обор!$G$378=1,обор!O229,"")</f>
        <v/>
      </c>
    </row>
    <row r="461" spans="1:16" ht="15.75" x14ac:dyDescent="0.25">
      <c r="A461" s="2558" t="s">
        <v>2912</v>
      </c>
      <c r="B461" s="2548" t="str">
        <f>IF(обор!$G$378=1,обор!A238,"")</f>
        <v/>
      </c>
      <c r="C461" s="2548" t="str">
        <f>IF(обор!$G$378=1,обор!B238,"")</f>
        <v/>
      </c>
      <c r="D461" s="2548" t="str">
        <f>IF(обор!$G$378=1,обор!C238,"")</f>
        <v/>
      </c>
      <c r="E461" s="2548" t="str">
        <f>IF(обор!$G$378=1,обор!D238,"")</f>
        <v/>
      </c>
      <c r="F461" s="2548" t="str">
        <f>IF(обор!$G$378=1,обор!E238,"")</f>
        <v/>
      </c>
      <c r="G461" s="2548" t="str">
        <f>IF(обор!$G$378=1,обор!F238,"")</f>
        <v/>
      </c>
      <c r="H461" s="2548" t="str">
        <f>IF(обор!$G$378=1,обор!G238,"")</f>
        <v/>
      </c>
      <c r="I461" s="2548" t="str">
        <f>IF(обор!$G$378=1,обор!H238,"")</f>
        <v/>
      </c>
      <c r="J461" s="2548" t="str">
        <f>IF(обор!$G$378=1,обор!I238,"")</f>
        <v/>
      </c>
      <c r="K461" s="2548" t="str">
        <f>IF(обор!$G$378=1,обор!J238,"")</f>
        <v/>
      </c>
      <c r="L461" s="2548" t="str">
        <f>IF(обор!$G$378=1,обор!K238,"")</f>
        <v/>
      </c>
      <c r="M461" s="2548" t="str">
        <f>IF(обор!$G$378=1,обор!L238,"")</f>
        <v/>
      </c>
      <c r="N461" s="2553" t="str">
        <f>IF(обор!$G$378=1,обор!M238,"")</f>
        <v/>
      </c>
      <c r="O461" s="2553" t="str">
        <f>IF(обор!$G$378=1,обор!N238,"")</f>
        <v/>
      </c>
      <c r="P461" s="2553" t="str">
        <f>IF(обор!$G$378=1,обор!O238,"")</f>
        <v/>
      </c>
    </row>
    <row r="462" spans="1:16" x14ac:dyDescent="0.2">
      <c r="B462" s="2548" t="str">
        <f>IF(обор!$G$378=1,обор!A239,"")</f>
        <v/>
      </c>
      <c r="C462" s="2548" t="str">
        <f>IF(обор!$G$378=1,обор!B239,"")</f>
        <v/>
      </c>
      <c r="D462" s="2548" t="str">
        <f>IF(обор!$G$378=1,обор!C239,"")</f>
        <v/>
      </c>
      <c r="E462" s="2548" t="str">
        <f>IF(обор!$G$378=1,обор!D239,"")</f>
        <v/>
      </c>
      <c r="F462" s="2548" t="str">
        <f>IF(обор!$G$378=1,обор!E239,"")</f>
        <v/>
      </c>
      <c r="G462" s="2548" t="str">
        <f>IF(обор!$G$378=1,обор!F239,"")</f>
        <v/>
      </c>
      <c r="H462" s="2548" t="str">
        <f>IF(обор!$G$378=1,обор!G239,"")</f>
        <v/>
      </c>
      <c r="I462" s="2548" t="str">
        <f>IF(обор!$G$378=1,обор!H239,"")</f>
        <v/>
      </c>
      <c r="J462" s="2548" t="str">
        <f>IF(обор!$G$378=1,обор!I239,"")</f>
        <v/>
      </c>
      <c r="K462" s="2548" t="str">
        <f>IF(обор!$G$378=1,обор!J239,"")</f>
        <v/>
      </c>
      <c r="L462" s="2548" t="str">
        <f>IF(обор!$G$378=1,обор!K239,"")</f>
        <v/>
      </c>
      <c r="M462" s="2548" t="str">
        <f>IF(обор!$G$378=1,обор!L239,"")</f>
        <v/>
      </c>
      <c r="N462" s="2553" t="str">
        <f>IF(обор!$G$378=1,обор!M239,"")</f>
        <v/>
      </c>
      <c r="O462" s="2553" t="str">
        <f>IF(обор!$G$378=1,обор!N239,"")</f>
        <v/>
      </c>
      <c r="P462" s="2553" t="str">
        <f>IF(обор!$G$378=1,обор!O239,"")</f>
        <v/>
      </c>
    </row>
    <row r="463" spans="1:16" x14ac:dyDescent="0.2">
      <c r="A463" s="1175"/>
      <c r="B463" s="2548" t="str">
        <f>IF(обор!$G$378=1,обор!A240,"")</f>
        <v/>
      </c>
      <c r="C463" s="2548" t="str">
        <f>IF(обор!$G$378=1,обор!B240,"")</f>
        <v/>
      </c>
      <c r="D463" s="2548" t="str">
        <f>IF(обор!$G$378=1,обор!C240,"")</f>
        <v/>
      </c>
      <c r="E463" s="2548" t="str">
        <f>IF(обор!$G$378=1,обор!D240,"")</f>
        <v/>
      </c>
      <c r="F463" s="2548" t="str">
        <f>IF(обор!$G$378=1,обор!E240,"")</f>
        <v/>
      </c>
      <c r="G463" s="2548" t="str">
        <f>IF(обор!$G$378=1,обор!F240,"")</f>
        <v/>
      </c>
      <c r="H463" s="2548" t="str">
        <f>IF(обор!$G$378=1,обор!G240,"")</f>
        <v/>
      </c>
      <c r="I463" s="2548" t="str">
        <f>IF(обор!$G$378=1,обор!H240,"")</f>
        <v/>
      </c>
      <c r="J463" s="2548" t="str">
        <f>IF(обор!$G$378=1,обор!I240,"")</f>
        <v/>
      </c>
      <c r="K463" s="2548" t="str">
        <f>IF(обор!$G$378=1,обор!J240,"")</f>
        <v/>
      </c>
      <c r="L463" s="2548" t="str">
        <f>IF(обор!$G$378=1,обор!K240,"")</f>
        <v/>
      </c>
      <c r="M463" s="2548" t="str">
        <f>IF(обор!$G$378=1,обор!L240,"")</f>
        <v/>
      </c>
      <c r="N463" s="2553" t="str">
        <f>IF(обор!$G$378=1,обор!M240,"")</f>
        <v/>
      </c>
      <c r="O463" s="2553" t="str">
        <f>IF(обор!$G$378=1,обор!N240,"")</f>
        <v/>
      </c>
      <c r="P463" s="2553" t="str">
        <f>IF(обор!$G$378=1,обор!O240,"")</f>
        <v/>
      </c>
    </row>
    <row r="464" spans="1:16" x14ac:dyDescent="0.2">
      <c r="A464" s="1175"/>
      <c r="B464" s="2548" t="str">
        <f>IF(обор!$G$378=1,обор!A241,"")</f>
        <v/>
      </c>
      <c r="C464" s="2548" t="str">
        <f>IF(обор!$G$378=1,обор!B241,"")</f>
        <v/>
      </c>
      <c r="D464" s="2548" t="str">
        <f>IF(обор!$G$378=1,обор!C241,"")</f>
        <v/>
      </c>
      <c r="E464" s="2548" t="str">
        <f>IF(обор!$G$378=1,обор!D241,"")</f>
        <v/>
      </c>
      <c r="F464" s="2548" t="str">
        <f>IF(обор!$G$378=1,обор!E241,"")</f>
        <v/>
      </c>
      <c r="G464" s="2548" t="str">
        <f>IF(обор!$G$378=1,обор!F241,"")</f>
        <v/>
      </c>
      <c r="H464" s="2548" t="str">
        <f>IF(обор!$G$378=1,обор!G241,"")</f>
        <v/>
      </c>
      <c r="I464" s="2548" t="str">
        <f>IF(обор!$G$378=1,обор!H241,"")</f>
        <v/>
      </c>
      <c r="J464" s="2548" t="str">
        <f>IF(обор!$G$378=1,обор!I241,"")</f>
        <v/>
      </c>
      <c r="K464" s="2548" t="str">
        <f>IF(обор!$G$378=1,обор!J241,"")</f>
        <v/>
      </c>
      <c r="L464" s="2548" t="str">
        <f>IF(обор!$G$378=1,обор!K241,"")</f>
        <v/>
      </c>
      <c r="M464" s="2548" t="str">
        <f>IF(обор!$G$378=1,обор!L241,"")</f>
        <v/>
      </c>
      <c r="N464" s="2553" t="str">
        <f>IF(обор!$G$378=1,обор!M241,"")</f>
        <v/>
      </c>
      <c r="O464" s="2553" t="str">
        <f>IF(обор!$G$378=1,обор!N241,"")</f>
        <v/>
      </c>
      <c r="P464" s="2553" t="str">
        <f>IF(обор!$G$378=1,обор!O241,"")</f>
        <v/>
      </c>
    </row>
    <row r="465" spans="1:16" ht="15.75" x14ac:dyDescent="0.25">
      <c r="A465" s="1175"/>
      <c r="B465" s="4250" t="str">
        <f>IF(AND(обор!G378=2,обор!K405=1),"             В данных условиях мехкомплексы не применимы!","")</f>
        <v/>
      </c>
      <c r="C465" s="2678"/>
      <c r="D465" s="2678"/>
      <c r="E465" s="2678"/>
      <c r="F465" s="2678"/>
      <c r="G465" s="2678"/>
      <c r="H465" s="2678" t="str">
        <f>IF(обор!$G$378=1,обор!G242,"")</f>
        <v/>
      </c>
      <c r="I465" s="2678" t="str">
        <f>IF(обор!$G$378=1,обор!H242,"")</f>
        <v/>
      </c>
      <c r="J465" s="2678" t="str">
        <f>IF(обор!$G$378=1,обор!I242,"")</f>
        <v/>
      </c>
      <c r="K465" s="2678" t="str">
        <f>IF(обор!$G$378=1,обор!J242,"")</f>
        <v/>
      </c>
      <c r="L465" s="2678" t="str">
        <f>IF(обор!$G$378=1,обор!K242,"")</f>
        <v/>
      </c>
      <c r="M465" s="2678" t="str">
        <f>IF(обор!$G$378=1,обор!L242,"")</f>
        <v/>
      </c>
      <c r="N465" s="2679" t="str">
        <f>IF(обор!$G$378=1,обор!M242,"")</f>
        <v/>
      </c>
      <c r="O465" s="2679" t="str">
        <f>IF(обор!$G$378=1,обор!N242,"")</f>
        <v/>
      </c>
      <c r="P465" s="2679" t="str">
        <f>IF(обор!$G$378=1,обор!O242,"")</f>
        <v/>
      </c>
    </row>
    <row r="466" spans="1:16" ht="15.75" x14ac:dyDescent="0.25">
      <c r="A466" s="1175"/>
      <c r="B466" s="1074" t="str">
        <f>IF(обор!G378=1,ROW(497:497),"-------------")</f>
        <v>-------------</v>
      </c>
      <c r="N466" s="352"/>
      <c r="O466" s="352"/>
      <c r="P466" s="352"/>
    </row>
    <row r="467" spans="1:16" ht="15.75" x14ac:dyDescent="0.25">
      <c r="A467" s="2680" t="str">
        <f>IF(обор!G378=1,"Переходите к строке","-------------------------")</f>
        <v>-------------------------</v>
      </c>
      <c r="B467" s="8"/>
      <c r="N467" s="352"/>
      <c r="O467" s="352"/>
      <c r="P467" s="352"/>
    </row>
    <row r="468" spans="1:16" x14ac:dyDescent="0.2">
      <c r="B468" s="214" t="str">
        <f>IF(AND(обор!B193=2,обор!K405=1),"Таблица возможных к применению в заданных условиях комбайнов и конвейеров в лаве (индивидуальная крепь)","")</f>
        <v/>
      </c>
      <c r="N468" s="352"/>
      <c r="O468" s="352"/>
      <c r="P468" s="352"/>
    </row>
    <row r="469" spans="1:16" x14ac:dyDescent="0.2">
      <c r="A469" s="1175"/>
      <c r="B469" s="214"/>
      <c r="N469" s="352"/>
      <c r="O469" s="352"/>
      <c r="P469" s="352"/>
    </row>
    <row r="470" spans="1:16" x14ac:dyDescent="0.2">
      <c r="A470" s="1175"/>
      <c r="B470" s="222" t="str">
        <f>IF(AND(обор!B193=2,обор!K405=1),"Критерий отбора","")</f>
        <v/>
      </c>
      <c r="D470" s="241" t="str">
        <f>обор!C435</f>
        <v>&lt;</v>
      </c>
      <c r="E470" s="241" t="str">
        <f>обор!D435</f>
        <v>&gt;</v>
      </c>
      <c r="F470" s="241" t="str">
        <f>обор!E435</f>
        <v>&gt;=</v>
      </c>
      <c r="G470" s="241">
        <f>обор!F435</f>
        <v>0</v>
      </c>
      <c r="N470" s="352"/>
      <c r="O470" s="352"/>
      <c r="P470" s="352"/>
    </row>
    <row r="471" spans="1:16" x14ac:dyDescent="0.2">
      <c r="A471" s="1175"/>
      <c r="B471" s="2550" t="str">
        <f>IF(AND(обор!B193=2,обор!K405=1),"Параметры отбора","")</f>
        <v/>
      </c>
      <c r="D471" s="232" t="str">
        <f>обор!C436</f>
        <v/>
      </c>
      <c r="E471" s="232" t="str">
        <f>обор!D436</f>
        <v/>
      </c>
      <c r="F471" s="232" t="str">
        <f>обор!E436</f>
        <v/>
      </c>
      <c r="G471" s="232">
        <v>400</v>
      </c>
      <c r="N471" s="352"/>
      <c r="O471" s="352"/>
      <c r="P471" s="352"/>
    </row>
    <row r="472" spans="1:16" ht="77.25" customHeight="1" x14ac:dyDescent="0.2">
      <c r="A472" s="1175"/>
      <c r="B472" s="2559" t="str">
        <f>IF(AND(обор!G378=2,обор!K405=1),"Тип конвейера","")</f>
        <v/>
      </c>
      <c r="C472" s="2560" t="str">
        <f>IF(AND(обор!G378=2,обор!K405=1),"Тип комбайна ","")</f>
        <v/>
      </c>
      <c r="D472" s="854" t="str">
        <f>IF(AND(обор!G378=2,обор!K405=1),"Минимальная обслуживаемая мощность пласта, м","")</f>
        <v/>
      </c>
      <c r="E472" s="854" t="str">
        <f>IF(AND(обор!G378=2,обор!K405=1),"Максимальная обслуживаемая мощность пласта, м","")</f>
        <v/>
      </c>
      <c r="F472" s="853" t="str">
        <f>IF(AND(обор!G378=2,обор!K405=1),"Сопротивляемость угля резанию, кН/м","")</f>
        <v/>
      </c>
      <c r="G472" s="855" t="str">
        <f>IF(AND(обор!G378=2,обор!K405=1),"Производительность конвейера;","")</f>
        <v/>
      </c>
      <c r="H472" s="855" t="str">
        <f>IF(AND(обор!G378=2,обор!K405=1),"Коэффициент готовности конвейера","")</f>
        <v/>
      </c>
      <c r="I472" s="855" t="str">
        <f>IF(AND(обор!G378=2,обор!K405=1),"Расположение исполнительных органов 1 - одностор  2 - симметр","")</f>
        <v/>
      </c>
      <c r="J472" s="855" t="str">
        <f>IF(AND(обор!G378=2,обор!K405=1),"Длина комбайна, м","")</f>
        <v/>
      </c>
      <c r="K472" s="855" t="str">
        <f>IF(AND(обор!G378=2,обор!K405=1),"Коэф готовности комбайна","")</f>
        <v/>
      </c>
      <c r="N472" s="352"/>
      <c r="O472" s="352"/>
      <c r="P472" s="352"/>
    </row>
    <row r="473" spans="1:16" ht="15.75" x14ac:dyDescent="0.25">
      <c r="A473" s="2558" t="s">
        <v>1295</v>
      </c>
      <c r="B473" s="8" t="str">
        <f>IF(AND(обор!$G$378=2,обор!$K$405=1),обор!A503,"")</f>
        <v/>
      </c>
      <c r="C473" s="8" t="str">
        <f>IF(AND(обор!$G$378=2,обор!$K$405=1),обор!B503,"")</f>
        <v/>
      </c>
      <c r="D473" s="8" t="str">
        <f>IF(AND(обор!$G$378=2,обор!$K$405=1),обор!C503,"")</f>
        <v/>
      </c>
      <c r="E473" s="8" t="str">
        <f>IF(AND(обор!$G$378=2,обор!$K$405=1),обор!D503,"")</f>
        <v/>
      </c>
      <c r="F473" s="8" t="str">
        <f>IF(AND(обор!$G$378=2,обор!$K$405=1),обор!E503,"")</f>
        <v/>
      </c>
      <c r="G473" s="8" t="str">
        <f>IF(AND(обор!$G$378=2,обор!$K$405=1),обор!F503,"")</f>
        <v/>
      </c>
      <c r="H473" s="8" t="str">
        <f>IF(AND(обор!$G$378=2,обор!$K$405=1),обор!G503,"")</f>
        <v/>
      </c>
      <c r="I473" s="8" t="str">
        <f>IF(AND(обор!$G$378=2,обор!$K$405=1),обор!H503,"")</f>
        <v/>
      </c>
      <c r="J473" s="8" t="str">
        <f>IF(AND(обор!$G$378=2,обор!$K$405=1),обор!I503,"")</f>
        <v/>
      </c>
      <c r="K473" s="8" t="str">
        <f>IF(AND(обор!$G$378=2,обор!$K$405=1),обор!J503,"")</f>
        <v/>
      </c>
      <c r="N473" s="352"/>
      <c r="O473" s="352"/>
      <c r="P473" s="352"/>
    </row>
    <row r="474" spans="1:16" ht="15.75" x14ac:dyDescent="0.25">
      <c r="A474" s="2558" t="s">
        <v>1339</v>
      </c>
      <c r="B474" s="8" t="str">
        <f>IF(AND(обор!$G$378=2,обор!$K$405=1),обор!A504,"")</f>
        <v/>
      </c>
      <c r="C474" s="8" t="str">
        <f>IF(AND(обор!$G$378=2,обор!$K$405=1),обор!B504,"")</f>
        <v/>
      </c>
      <c r="D474" s="8" t="str">
        <f>IF(AND(обор!$G$378=2,обор!$K$405=1),обор!C504,"")</f>
        <v/>
      </c>
      <c r="E474" s="8" t="str">
        <f>IF(AND(обор!$G$378=2,обор!$K$405=1),обор!D504,"")</f>
        <v/>
      </c>
      <c r="F474" s="8" t="str">
        <f>IF(AND(обор!$G$378=2,обор!$K$405=1),обор!E504,"")</f>
        <v/>
      </c>
      <c r="G474" s="8" t="str">
        <f>IF(AND(обор!$G$378=2,обор!$K$405=1),обор!F504,"")</f>
        <v/>
      </c>
      <c r="H474" s="8" t="str">
        <f>IF(AND(обор!$G$378=2,обор!$K$405=1),обор!G504,"")</f>
        <v/>
      </c>
      <c r="I474" s="8" t="str">
        <f>IF(AND(обор!$G$378=2,обор!$K$405=1),обор!H504,"")</f>
        <v/>
      </c>
      <c r="J474" s="8" t="str">
        <f>IF(AND(обор!$G$378=2,обор!$K$405=1),обор!I504,"")</f>
        <v/>
      </c>
      <c r="K474" s="8" t="str">
        <f>IF(AND(обор!$G$378=2,обор!$K$405=1),обор!J504,"")</f>
        <v/>
      </c>
      <c r="N474" s="352"/>
      <c r="O474" s="352"/>
      <c r="P474" s="352"/>
    </row>
    <row r="475" spans="1:16" ht="15.75" x14ac:dyDescent="0.25">
      <c r="A475" s="2558" t="s">
        <v>3351</v>
      </c>
      <c r="B475" s="8" t="str">
        <f>IF(AND(обор!$G$378=2,обор!$K$405=1),обор!A505,"")</f>
        <v/>
      </c>
      <c r="C475" s="8" t="str">
        <f>IF(AND(обор!$G$378=2,обор!$K$405=1),обор!B505,"")</f>
        <v/>
      </c>
      <c r="D475" s="8" t="str">
        <f>IF(AND(обор!$G$378=2,обор!$K$405=1),обор!C505,"")</f>
        <v/>
      </c>
      <c r="E475" s="8" t="str">
        <f>IF(AND(обор!$G$378=2,обор!$K$405=1),обор!D505,"")</f>
        <v/>
      </c>
      <c r="F475" s="8" t="str">
        <f>IF(AND(обор!$G$378=2,обор!$K$405=1),обор!E505,"")</f>
        <v/>
      </c>
      <c r="G475" s="8" t="str">
        <f>IF(AND(обор!$G$378=2,обор!$K$405=1),обор!F505,"")</f>
        <v/>
      </c>
      <c r="H475" s="8" t="str">
        <f>IF(AND(обор!$G$378=2,обор!$K$405=1),обор!G505,"")</f>
        <v/>
      </c>
      <c r="I475" s="8" t="str">
        <f>IF(AND(обор!$G$378=2,обор!$K$405=1),обор!H505,"")</f>
        <v/>
      </c>
      <c r="J475" s="8" t="str">
        <f>IF(AND(обор!$G$378=2,обор!$K$405=1),обор!I505,"")</f>
        <v/>
      </c>
      <c r="K475" s="8" t="str">
        <f>IF(AND(обор!$G$378=2,обор!$K$405=1),обор!J505,"")</f>
        <v/>
      </c>
      <c r="N475" s="352"/>
      <c r="O475" s="352"/>
      <c r="P475" s="352"/>
    </row>
    <row r="476" spans="1:16" ht="15.75" x14ac:dyDescent="0.25">
      <c r="A476" s="2558" t="s">
        <v>1061</v>
      </c>
      <c r="B476" s="8" t="str">
        <f>IF(AND(обор!$G$378=2,обор!$K$405=1),обор!A506,"")</f>
        <v/>
      </c>
      <c r="C476" s="8" t="str">
        <f>IF(AND(обор!$G$378=2,обор!$K$405=1),обор!B506,"")</f>
        <v/>
      </c>
      <c r="D476" s="8" t="str">
        <f>IF(AND(обор!$G$378=2,обор!$K$405=1),обор!C506,"")</f>
        <v/>
      </c>
      <c r="E476" s="8" t="str">
        <f>IF(AND(обор!$G$378=2,обор!$K$405=1),обор!D506,"")</f>
        <v/>
      </c>
      <c r="F476" s="8" t="str">
        <f>IF(AND(обор!$G$378=2,обор!$K$405=1),обор!E506,"")</f>
        <v/>
      </c>
      <c r="G476" s="8" t="str">
        <f>IF(AND(обор!$G$378=2,обор!$K$405=1),обор!F506,"")</f>
        <v/>
      </c>
      <c r="H476" s="8" t="str">
        <f>IF(AND(обор!$G$378=2,обор!$K$405=1),обор!G506,"")</f>
        <v/>
      </c>
      <c r="I476" s="8" t="str">
        <f>IF(AND(обор!$G$378=2,обор!$K$405=1),обор!H506,"")</f>
        <v/>
      </c>
      <c r="J476" s="8" t="str">
        <f>IF(AND(обор!$G$378=2,обор!$K$405=1),обор!I506,"")</f>
        <v/>
      </c>
      <c r="K476" s="8" t="str">
        <f>IF(AND(обор!$G$378=2,обор!$K$405=1),обор!J506,"")</f>
        <v/>
      </c>
      <c r="N476" s="352"/>
      <c r="O476" s="352"/>
      <c r="P476" s="352"/>
    </row>
    <row r="477" spans="1:16" ht="15.75" x14ac:dyDescent="0.25">
      <c r="A477" s="2558" t="s">
        <v>2912</v>
      </c>
      <c r="B477" s="8" t="str">
        <f>IF(AND(обор!$G$378=2,обор!$K$405=1),обор!A507,"")</f>
        <v/>
      </c>
      <c r="C477" s="8" t="str">
        <f>IF(AND(обор!$G$378=2,обор!$K$405=1),обор!B507,"")</f>
        <v/>
      </c>
      <c r="D477" s="8" t="str">
        <f>IF(AND(обор!$G$378=2,обор!$K$405=1),обор!C507,"")</f>
        <v/>
      </c>
      <c r="E477" s="8" t="str">
        <f>IF(AND(обор!$G$378=2,обор!$K$405=1),обор!D507,"")</f>
        <v/>
      </c>
      <c r="F477" s="8" t="str">
        <f>IF(AND(обор!$G$378=2,обор!$K$405=1),обор!E507,"")</f>
        <v/>
      </c>
      <c r="G477" s="8" t="str">
        <f>IF(AND(обор!$G$378=2,обор!$K$405=1),обор!F507,"")</f>
        <v/>
      </c>
      <c r="H477" s="8" t="str">
        <f>IF(AND(обор!$G$378=2,обор!$K$405=1),обор!G507,"")</f>
        <v/>
      </c>
      <c r="I477" s="8" t="str">
        <f>IF(AND(обор!$G$378=2,обор!$K$405=1),обор!H507,"")</f>
        <v/>
      </c>
      <c r="J477" s="8" t="str">
        <f>IF(AND(обор!$G$378=2,обор!$K$405=1),обор!I507,"")</f>
        <v/>
      </c>
      <c r="K477" s="8" t="str">
        <f>IF(AND(обор!$G$378=2,обор!$K$405=1),обор!J507,"")</f>
        <v/>
      </c>
      <c r="N477" s="352"/>
      <c r="O477" s="352"/>
      <c r="P477" s="352"/>
    </row>
    <row r="478" spans="1:16" ht="15.75" x14ac:dyDescent="0.25">
      <c r="A478" s="2558" t="s">
        <v>1342</v>
      </c>
      <c r="B478" s="8" t="str">
        <f>IF(AND(обор!$G$378=2,обор!$K$405=1),обор!A508,"")</f>
        <v/>
      </c>
      <c r="C478" s="8" t="str">
        <f>IF(AND(обор!$G$378=2,обор!$K$405=1),обор!B508,"")</f>
        <v/>
      </c>
      <c r="D478" s="8" t="str">
        <f>IF(AND(обор!$G$378=2,обор!$K$405=1),обор!C508,"")</f>
        <v/>
      </c>
      <c r="E478" s="8" t="str">
        <f>IF(AND(обор!$G$378=2,обор!$K$405=1),обор!D508,"")</f>
        <v/>
      </c>
      <c r="F478" s="8" t="str">
        <f>IF(AND(обор!$G$378=2,обор!$K$405=1),обор!E508,"")</f>
        <v/>
      </c>
      <c r="G478" s="8" t="str">
        <f>IF(AND(обор!$G$378=2,обор!$K$405=1),обор!F508,"")</f>
        <v/>
      </c>
      <c r="H478" s="8" t="str">
        <f>IF(AND(обор!$G$378=2,обор!$K$405=1),обор!G508,"")</f>
        <v/>
      </c>
      <c r="I478" s="8" t="str">
        <f>IF(AND(обор!$G$378=2,обор!$K$405=1),обор!H508,"")</f>
        <v/>
      </c>
      <c r="J478" s="8" t="str">
        <f>IF(AND(обор!$G$378=2,обор!$K$405=1),обор!I508,"")</f>
        <v/>
      </c>
      <c r="K478" s="8" t="str">
        <f>IF(AND(обор!$G$378=2,обор!$K$405=1),обор!J508,"")</f>
        <v/>
      </c>
      <c r="N478" s="352"/>
      <c r="O478" s="352"/>
      <c r="P478" s="352"/>
    </row>
    <row r="479" spans="1:16" ht="15.75" x14ac:dyDescent="0.25">
      <c r="A479" s="2558" t="s">
        <v>3353</v>
      </c>
      <c r="B479" s="8" t="str">
        <f>IF(AND(обор!$G$378=2,обор!$K$405=1),обор!A509,"")</f>
        <v/>
      </c>
      <c r="C479" s="8" t="str">
        <f>IF(AND(обор!$G$378=2,обор!$K$405=1),обор!B509,"")</f>
        <v/>
      </c>
      <c r="D479" s="8" t="str">
        <f>IF(AND(обор!$G$378=2,обор!$K$405=1),обор!C509,"")</f>
        <v/>
      </c>
      <c r="E479" s="8" t="str">
        <f>IF(AND(обор!$G$378=2,обор!$K$405=1),обор!D509,"")</f>
        <v/>
      </c>
      <c r="F479" s="8" t="str">
        <f>IF(AND(обор!$G$378=2,обор!$K$405=1),обор!E509,"")</f>
        <v/>
      </c>
      <c r="G479" s="8" t="str">
        <f>IF(AND(обор!$G$378=2,обор!$K$405=1),обор!F509,"")</f>
        <v/>
      </c>
      <c r="H479" s="8" t="str">
        <f>IF(AND(обор!$G$378=2,обор!$K$405=1),обор!G509,"")</f>
        <v/>
      </c>
      <c r="I479" s="8" t="str">
        <f>IF(AND(обор!$G$378=2,обор!$K$405=1),обор!H509,"")</f>
        <v/>
      </c>
      <c r="J479" s="8" t="str">
        <f>IF(AND(обор!$G$378=2,обор!$K$405=1),обор!I509,"")</f>
        <v/>
      </c>
      <c r="K479" s="8" t="str">
        <f>IF(AND(обор!$G$378=2,обор!$K$405=1),обор!J509,"")</f>
        <v/>
      </c>
      <c r="N479" s="352"/>
      <c r="O479" s="352"/>
      <c r="P479" s="352"/>
    </row>
    <row r="480" spans="1:16" ht="15.75" x14ac:dyDescent="0.25">
      <c r="A480" s="2558" t="s">
        <v>1339</v>
      </c>
      <c r="B480" s="8" t="str">
        <f>IF(AND(обор!$G$378=2,обор!$K$405=1),обор!A510,"")</f>
        <v/>
      </c>
      <c r="C480" s="8" t="str">
        <f>IF(AND(обор!$G$378=2,обор!$K$405=1),обор!B510,"")</f>
        <v/>
      </c>
      <c r="D480" s="8" t="str">
        <f>IF(AND(обор!$G$378=2,обор!$K$405=1),обор!C510,"")</f>
        <v/>
      </c>
      <c r="E480" s="8" t="str">
        <f>IF(AND(обор!$G$378=2,обор!$K$405=1),обор!D510,"")</f>
        <v/>
      </c>
      <c r="F480" s="8" t="str">
        <f>IF(AND(обор!$G$378=2,обор!$K$405=1),обор!E510,"")</f>
        <v/>
      </c>
      <c r="G480" s="8" t="str">
        <f>IF(AND(обор!$G$378=2,обор!$K$405=1),обор!F510,"")</f>
        <v/>
      </c>
      <c r="H480" s="8" t="str">
        <f>IF(AND(обор!$G$378=2,обор!$K$405=1),обор!G510,"")</f>
        <v/>
      </c>
      <c r="I480" s="8" t="str">
        <f>IF(AND(обор!$G$378=2,обор!$K$405=1),обор!H510,"")</f>
        <v/>
      </c>
      <c r="J480" s="8" t="str">
        <f>IF(AND(обор!$G$378=2,обор!$K$405=1),обор!I510,"")</f>
        <v/>
      </c>
      <c r="K480" s="8" t="str">
        <f>IF(AND(обор!$G$378=2,обор!$K$405=1),обор!J510,"")</f>
        <v/>
      </c>
      <c r="N480" s="352"/>
      <c r="O480" s="352"/>
      <c r="P480" s="352"/>
    </row>
    <row r="481" spans="1:16" ht="15.75" x14ac:dyDescent="0.25">
      <c r="A481" s="2558" t="s">
        <v>1058</v>
      </c>
      <c r="B481" s="8" t="str">
        <f>IF(AND(обор!$G$378=2,обор!$K$405=1),обор!A511,"")</f>
        <v/>
      </c>
      <c r="C481" s="8" t="str">
        <f>IF(AND(обор!$G$378=2,обор!$K$405=1),обор!B511,"")</f>
        <v/>
      </c>
      <c r="D481" s="8" t="str">
        <f>IF(AND(обор!$G$378=2,обор!$K$405=1),обор!C511,"")</f>
        <v/>
      </c>
      <c r="E481" s="8" t="str">
        <f>IF(AND(обор!$G$378=2,обор!$K$405=1),обор!D511,"")</f>
        <v/>
      </c>
      <c r="F481" s="8" t="str">
        <f>IF(AND(обор!$G$378=2,обор!$K$405=1),обор!E511,"")</f>
        <v/>
      </c>
      <c r="G481" s="8" t="str">
        <f>IF(AND(обор!$G$378=2,обор!$K$405=1),обор!F511,"")</f>
        <v/>
      </c>
      <c r="H481" s="8" t="str">
        <f>IF(AND(обор!$G$378=2,обор!$K$405=1),обор!G511,"")</f>
        <v/>
      </c>
      <c r="I481" s="8" t="str">
        <f>IF(AND(обор!$G$378=2,обор!$K$405=1),обор!H511,"")</f>
        <v/>
      </c>
      <c r="J481" s="8" t="str">
        <f>IF(AND(обор!$G$378=2,обор!$K$405=1),обор!I511,"")</f>
        <v/>
      </c>
      <c r="K481" s="8" t="str">
        <f>IF(AND(обор!$G$378=2,обор!$K$405=1),обор!J511,"")</f>
        <v/>
      </c>
      <c r="N481" s="352"/>
      <c r="O481" s="352"/>
      <c r="P481" s="352"/>
    </row>
    <row r="482" spans="1:16" ht="15.75" x14ac:dyDescent="0.25">
      <c r="A482" s="2558" t="s">
        <v>2912</v>
      </c>
      <c r="B482" s="8" t="str">
        <f>IF(AND(обор!$G$378=2,обор!$K$405=1),обор!A512,"")</f>
        <v/>
      </c>
      <c r="C482" s="8" t="str">
        <f>IF(AND(обор!$G$378=2,обор!$K$405=1),обор!B512,"")</f>
        <v/>
      </c>
      <c r="D482" s="8" t="str">
        <f>IF(AND(обор!$G$378=2,обор!$K$405=1),обор!C512,"")</f>
        <v/>
      </c>
      <c r="E482" s="8" t="str">
        <f>IF(AND(обор!$G$378=2,обор!$K$405=1),обор!D512,"")</f>
        <v/>
      </c>
      <c r="F482" s="8" t="str">
        <f>IF(AND(обор!$G$378=2,обор!$K$405=1),обор!E512,"")</f>
        <v/>
      </c>
      <c r="G482" s="8" t="str">
        <f>IF(AND(обор!$G$378=2,обор!$K$405=1),обор!F512,"")</f>
        <v/>
      </c>
      <c r="H482" s="8" t="str">
        <f>IF(AND(обор!$G$378=2,обор!$K$405=1),обор!G512,"")</f>
        <v/>
      </c>
      <c r="I482" s="8" t="str">
        <f>IF(AND(обор!$G$378=2,обор!$K$405=1),обор!H512,"")</f>
        <v/>
      </c>
      <c r="J482" s="8" t="str">
        <f>IF(AND(обор!$G$378=2,обор!$K$405=1),обор!I512,"")</f>
        <v/>
      </c>
      <c r="K482" s="8" t="str">
        <f>IF(AND(обор!$G$378=2,обор!$K$405=1),обор!J512,"")</f>
        <v/>
      </c>
      <c r="N482" s="352"/>
      <c r="O482" s="352"/>
      <c r="P482" s="352"/>
    </row>
    <row r="483" spans="1:16" ht="15.75" x14ac:dyDescent="0.25">
      <c r="A483" s="2558" t="s">
        <v>1340</v>
      </c>
      <c r="B483" s="8" t="str">
        <f>IF(AND(обор!$G$378=2,обор!$K$405=1),обор!A513,"")</f>
        <v/>
      </c>
      <c r="C483" s="8" t="str">
        <f>IF(AND(обор!$G$378=2,обор!$K$405=1),обор!B513,"")</f>
        <v/>
      </c>
      <c r="D483" s="8" t="str">
        <f>IF(AND(обор!$G$378=2,обор!$K$405=1),обор!C513,"")</f>
        <v/>
      </c>
      <c r="E483" s="8" t="str">
        <f>IF(AND(обор!$G$378=2,обор!$K$405=1),обор!D513,"")</f>
        <v/>
      </c>
      <c r="F483" s="8" t="str">
        <f>IF(AND(обор!$G$378=2,обор!$K$405=1),обор!E513,"")</f>
        <v/>
      </c>
      <c r="G483" s="8" t="str">
        <f>IF(AND(обор!$G$378=2,обор!$K$405=1),обор!F513,"")</f>
        <v/>
      </c>
      <c r="H483" s="8" t="str">
        <f>IF(AND(обор!$G$378=2,обор!$K$405=1),обор!G513,"")</f>
        <v/>
      </c>
      <c r="I483" s="8" t="str">
        <f>IF(AND(обор!$G$378=2,обор!$K$405=1),обор!H513,"")</f>
        <v/>
      </c>
      <c r="J483" s="8" t="str">
        <f>IF(AND(обор!$G$378=2,обор!$K$405=1),обор!I513,"")</f>
        <v/>
      </c>
      <c r="K483" s="8" t="str">
        <f>IF(AND(обор!$G$378=2,обор!$K$405=1),обор!J513,"")</f>
        <v/>
      </c>
      <c r="N483" s="352"/>
      <c r="O483" s="352"/>
      <c r="P483" s="352"/>
    </row>
    <row r="484" spans="1:16" ht="15.75" x14ac:dyDescent="0.25">
      <c r="A484" s="2558"/>
      <c r="B484" s="8" t="str">
        <f>IF(AND(обор!$G$378=2,обор!$K$405=1),обор!A514,"")</f>
        <v/>
      </c>
      <c r="C484" s="8" t="str">
        <f>IF(AND(обор!$G$378=2,обор!$K$405=1),обор!B514,"")</f>
        <v/>
      </c>
      <c r="D484" s="8" t="str">
        <f>IF(AND(обор!$G$378=2,обор!$K$405=1),обор!C514,"")</f>
        <v/>
      </c>
      <c r="E484" s="8" t="str">
        <f>IF(AND(обор!$G$378=2,обор!$K$405=1),обор!D514,"")</f>
        <v/>
      </c>
      <c r="F484" s="8" t="str">
        <f>IF(AND(обор!$G$378=2,обор!$K$405=1),обор!E514,"")</f>
        <v/>
      </c>
      <c r="G484" s="8" t="str">
        <f>IF(AND(обор!$G$378=2,обор!$K$405=1),обор!F514,"")</f>
        <v/>
      </c>
      <c r="H484" s="8" t="str">
        <f>IF(AND(обор!$G$378=2,обор!$K$405=1),обор!G514,"")</f>
        <v/>
      </c>
      <c r="I484" s="8" t="str">
        <f>IF(AND(обор!$G$378=2,обор!$K$405=1),обор!H514,"")</f>
        <v/>
      </c>
      <c r="J484" s="8" t="str">
        <f>IF(AND(обор!$G$378=2,обор!$K$405=1),обор!I514,"")</f>
        <v/>
      </c>
      <c r="K484" s="8" t="str">
        <f>IF(AND(обор!$G$378=2,обор!$K$405=1),обор!J514,"")</f>
        <v/>
      </c>
      <c r="N484" s="352"/>
      <c r="O484" s="352"/>
      <c r="P484" s="352"/>
    </row>
    <row r="485" spans="1:16" ht="15.75" x14ac:dyDescent="0.25">
      <c r="A485" s="2558" t="s">
        <v>1341</v>
      </c>
      <c r="B485" s="8" t="str">
        <f>IF(AND(обор!$G$378=2,обор!$K$405=1),обор!A515,"")</f>
        <v/>
      </c>
      <c r="C485" s="8" t="str">
        <f>IF(AND(обор!$G$378=2,обор!$K$405=1),обор!B515,"")</f>
        <v/>
      </c>
      <c r="D485" s="8" t="str">
        <f>IF(AND(обор!$G$378=2,обор!$K$405=1),обор!C515,"")</f>
        <v/>
      </c>
      <c r="E485" s="8" t="str">
        <f>IF(AND(обор!$G$378=2,обор!$K$405=1),обор!D515,"")</f>
        <v/>
      </c>
      <c r="F485" s="8" t="str">
        <f>IF(AND(обор!$G$378=2,обор!$K$405=1),обор!E515,"")</f>
        <v/>
      </c>
      <c r="G485" s="8" t="str">
        <f>IF(AND(обор!$G$378=2,обор!$K$405=1),обор!F515,"")</f>
        <v/>
      </c>
      <c r="H485" s="8" t="str">
        <f>IF(AND(обор!$G$378=2,обор!$K$405=1),обор!G515,"")</f>
        <v/>
      </c>
      <c r="I485" s="8" t="str">
        <f>IF(AND(обор!$G$378=2,обор!$K$405=1),обор!H515,"")</f>
        <v/>
      </c>
      <c r="J485" s="8" t="str">
        <f>IF(AND(обор!$G$378=2,обор!$K$405=1),обор!I515,"")</f>
        <v/>
      </c>
      <c r="K485" s="8" t="str">
        <f>IF(AND(обор!$G$378=2,обор!$K$405=1),обор!J515,"")</f>
        <v/>
      </c>
      <c r="N485" s="352"/>
      <c r="O485" s="352"/>
      <c r="P485" s="352"/>
    </row>
    <row r="486" spans="1:16" ht="15.75" x14ac:dyDescent="0.25">
      <c r="A486" s="2558" t="s">
        <v>2912</v>
      </c>
      <c r="B486" s="8" t="str">
        <f>IF(AND(обор!$G$378=2,обор!$K$405=1),обор!A516,"")</f>
        <v/>
      </c>
      <c r="C486" s="8" t="str">
        <f>IF(AND(обор!$G$378=2,обор!$K$405=1),обор!B516,"")</f>
        <v/>
      </c>
      <c r="D486" s="8" t="str">
        <f>IF(AND(обор!$G$378=2,обор!$K$405=1),обор!C516,"")</f>
        <v/>
      </c>
      <c r="E486" s="8" t="str">
        <f>IF(AND(обор!$G$378=2,обор!$K$405=1),обор!D516,"")</f>
        <v/>
      </c>
      <c r="F486" s="8" t="str">
        <f>IF(AND(обор!$G$378=2,обор!$K$405=1),обор!E516,"")</f>
        <v/>
      </c>
      <c r="G486" s="8" t="str">
        <f>IF(AND(обор!$G$378=2,обор!$K$405=1),обор!F516,"")</f>
        <v/>
      </c>
      <c r="H486" s="8" t="str">
        <f>IF(AND(обор!$G$378=2,обор!$K$405=1),обор!G516,"")</f>
        <v/>
      </c>
      <c r="I486" s="8" t="str">
        <f>IF(AND(обор!$G$378=2,обор!$K$405=1),обор!H516,"")</f>
        <v/>
      </c>
      <c r="J486" s="8" t="str">
        <f>IF(AND(обор!$G$378=2,обор!$K$405=1),обор!I516,"")</f>
        <v/>
      </c>
      <c r="K486" s="8" t="str">
        <f>IF(AND(обор!$G$378=2,обор!$K$405=1),обор!J516,"")</f>
        <v/>
      </c>
      <c r="N486" s="352"/>
      <c r="O486" s="352"/>
      <c r="P486" s="352"/>
    </row>
    <row r="487" spans="1:16" ht="15.75" x14ac:dyDescent="0.25">
      <c r="A487" s="2558" t="s">
        <v>1058</v>
      </c>
      <c r="B487" s="8" t="str">
        <f>IF(AND(обор!$G$378=2,обор!$K$405=1),обор!A517,"")</f>
        <v/>
      </c>
      <c r="C487" s="8" t="str">
        <f>IF(AND(обор!$G$378=2,обор!$K$405=1),обор!B517,"")</f>
        <v/>
      </c>
      <c r="D487" s="8" t="str">
        <f>IF(AND(обор!$G$378=2,обор!$K$405=1),обор!C517,"")</f>
        <v/>
      </c>
      <c r="E487" s="8" t="str">
        <f>IF(AND(обор!$G$378=2,обор!$K$405=1),обор!D517,"")</f>
        <v/>
      </c>
      <c r="F487" s="8" t="str">
        <f>IF(AND(обор!$G$378=2,обор!$K$405=1),обор!E517,"")</f>
        <v/>
      </c>
      <c r="G487" s="8" t="str">
        <f>IF(AND(обор!$G$378=2,обор!$K$405=1),обор!F517,"")</f>
        <v/>
      </c>
      <c r="H487" s="8" t="str">
        <f>IF(AND(обор!$G$378=2,обор!$K$405=1),обор!G517,"")</f>
        <v/>
      </c>
      <c r="I487" s="8" t="str">
        <f>IF(AND(обор!$G$378=2,обор!$K$405=1),обор!H517,"")</f>
        <v/>
      </c>
      <c r="J487" s="8" t="str">
        <f>IF(AND(обор!$G$378=2,обор!$K$405=1),обор!I517,"")</f>
        <v/>
      </c>
      <c r="K487" s="8" t="str">
        <f>IF(AND(обор!$G$378=2,обор!$K$405=1),обор!J517,"")</f>
        <v/>
      </c>
      <c r="N487" s="352"/>
      <c r="O487" s="352"/>
      <c r="P487" s="352"/>
    </row>
    <row r="488" spans="1:16" ht="15.75" x14ac:dyDescent="0.25">
      <c r="A488" s="2558" t="s">
        <v>2912</v>
      </c>
      <c r="B488" s="8"/>
      <c r="N488" s="352"/>
      <c r="O488" s="352"/>
      <c r="P488" s="352"/>
    </row>
    <row r="489" spans="1:16" x14ac:dyDescent="0.2">
      <c r="B489" s="8"/>
      <c r="N489" s="352"/>
      <c r="O489" s="352"/>
      <c r="P489" s="352"/>
    </row>
    <row r="490" spans="1:16" x14ac:dyDescent="0.2">
      <c r="A490" s="1175"/>
      <c r="B490" s="8"/>
      <c r="N490" s="352"/>
      <c r="O490" s="352"/>
      <c r="P490" s="352"/>
    </row>
    <row r="491" spans="1:16" x14ac:dyDescent="0.2">
      <c r="A491" s="1175"/>
      <c r="B491" s="8"/>
      <c r="N491" s="352"/>
      <c r="O491" s="352"/>
      <c r="P491" s="352"/>
    </row>
    <row r="492" spans="1:16" x14ac:dyDescent="0.2">
      <c r="A492" s="1175"/>
      <c r="B492" s="8"/>
      <c r="N492" s="352"/>
      <c r="O492" s="352"/>
      <c r="P492" s="352"/>
    </row>
    <row r="493" spans="1:16" x14ac:dyDescent="0.2">
      <c r="A493" s="1175"/>
      <c r="B493" s="8"/>
    </row>
    <row r="494" spans="1:16" x14ac:dyDescent="0.2">
      <c r="A494" s="1175"/>
      <c r="B494" s="8"/>
    </row>
    <row r="495" spans="1:16" x14ac:dyDescent="0.2">
      <c r="A495" s="1175"/>
      <c r="B495" s="8"/>
      <c r="C495" s="8"/>
      <c r="D495" s="8"/>
      <c r="E495" s="8"/>
      <c r="F495" s="8"/>
      <c r="G495" s="8"/>
      <c r="H495" s="8"/>
      <c r="I495" s="8"/>
      <c r="J495" s="8"/>
      <c r="K495" s="8"/>
      <c r="L495" s="8"/>
      <c r="M495" s="8"/>
      <c r="N495" s="8"/>
      <c r="O495" s="8"/>
      <c r="P495" s="8"/>
    </row>
    <row r="496" spans="1:16" x14ac:dyDescent="0.2">
      <c r="B496" s="8"/>
      <c r="C496" s="8"/>
      <c r="D496" s="8"/>
      <c r="E496" s="8"/>
      <c r="F496" s="8"/>
      <c r="G496" s="8"/>
      <c r="H496" s="8"/>
      <c r="I496" s="8"/>
      <c r="J496" s="8"/>
      <c r="K496" s="8"/>
      <c r="L496" s="8"/>
      <c r="M496" s="8"/>
      <c r="N496" s="8"/>
      <c r="O496" s="8"/>
      <c r="P496" s="8"/>
    </row>
    <row r="497" spans="1:16" x14ac:dyDescent="0.2">
      <c r="B497" s="8"/>
      <c r="C497" s="8"/>
      <c r="D497" s="8"/>
      <c r="E497" s="8"/>
      <c r="F497" s="8"/>
      <c r="G497" s="8"/>
      <c r="H497" s="8"/>
      <c r="I497" s="8"/>
      <c r="J497" s="8"/>
      <c r="K497" s="8"/>
      <c r="L497" s="8"/>
      <c r="M497" s="8"/>
      <c r="N497" s="8"/>
      <c r="O497" s="8"/>
      <c r="P497" s="8"/>
    </row>
    <row r="498" spans="1:16" ht="18.75" x14ac:dyDescent="0.3">
      <c r="A498" s="940" t="s">
        <v>4952</v>
      </c>
      <c r="B498" s="8"/>
      <c r="C498" s="8"/>
      <c r="D498" s="8"/>
      <c r="E498" s="8"/>
      <c r="F498" s="8"/>
      <c r="G498" s="8"/>
      <c r="H498" s="8"/>
      <c r="I498" s="8"/>
      <c r="J498" s="8"/>
      <c r="K498" s="8"/>
      <c r="L498" s="8"/>
      <c r="M498" s="8"/>
      <c r="N498" s="8"/>
      <c r="O498" s="8"/>
      <c r="P498" s="8"/>
    </row>
    <row r="499" spans="1:16" ht="15.75" x14ac:dyDescent="0.25">
      <c r="A499" s="2424" t="e">
        <f>INDEX(A2390:A2393,B500)</f>
        <v>#VALUE!</v>
      </c>
    </row>
    <row r="500" spans="1:16" ht="18.75" x14ac:dyDescent="0.3">
      <c r="A500" s="940" t="s">
        <v>3792</v>
      </c>
      <c r="B500" s="1074" t="b">
        <f>IF(AND(обор!G378=2,обор!K405=1),1,IF(AND(обор!G378=2,обор!K405=2),2,IF(AND(обор!G378=1,обор!G379=1),3,IF(AND(обор!G378=1,обор!G379=2),4))))</f>
        <v>0</v>
      </c>
      <c r="I500" s="848"/>
    </row>
    <row r="501" spans="1:16" ht="18" x14ac:dyDescent="0.25">
      <c r="A501" s="345" t="s">
        <v>1621</v>
      </c>
      <c r="B501" s="848">
        <f>ROW(406:406)</f>
        <v>406</v>
      </c>
    </row>
    <row r="502" spans="1:16" ht="18.75" x14ac:dyDescent="0.3">
      <c r="A502" s="940" t="s">
        <v>2407</v>
      </c>
      <c r="B502" s="8"/>
    </row>
    <row r="503" spans="1:16" ht="19.5" x14ac:dyDescent="0.35">
      <c r="A503" s="1091"/>
      <c r="B503" s="8"/>
    </row>
    <row r="504" spans="1:16" ht="19.5" x14ac:dyDescent="0.35">
      <c r="A504" s="4329" t="s">
        <v>314</v>
      </c>
      <c r="B504" s="4330" t="s">
        <v>714</v>
      </c>
      <c r="C504" s="1202" t="s">
        <v>1863</v>
      </c>
    </row>
    <row r="505" spans="1:16" ht="19.5" x14ac:dyDescent="0.35">
      <c r="A505" s="1302" t="str">
        <f>IF(B500=1,"1 - комбайновая выемка в лаве с индивидуальной крепью","")</f>
        <v/>
      </c>
    </row>
    <row r="506" spans="1:16" ht="15.75" x14ac:dyDescent="0.25">
      <c r="A506" s="939" t="str">
        <f>IF(B500=1,"Таблица 5 Принятое оборудование при комбайновой выемке в лаве с индивидуальной крепью","")</f>
        <v/>
      </c>
      <c r="L506" t="s">
        <v>3837</v>
      </c>
      <c r="O506" t="s">
        <v>3837</v>
      </c>
    </row>
    <row r="507" spans="1:16" ht="15.75" x14ac:dyDescent="0.25">
      <c r="A507" s="1089" t="str">
        <f>IF(B500=1,"Комбайн","")</f>
        <v/>
      </c>
      <c r="B507" s="1297" t="str">
        <f>обор!H972</f>
        <v/>
      </c>
      <c r="C507" s="862" t="str">
        <f>обор!J972</f>
        <v/>
      </c>
      <c r="L507" t="s">
        <v>3838</v>
      </c>
      <c r="O507" t="s">
        <v>3838</v>
      </c>
    </row>
    <row r="508" spans="1:16" ht="15.75" x14ac:dyDescent="0.25">
      <c r="A508" s="1090" t="str">
        <f>IF(B500=1,"Ширина захвата комбайна, м","")</f>
        <v/>
      </c>
      <c r="B508" s="1297" t="str">
        <f>обор!H973</f>
        <v/>
      </c>
      <c r="C508" s="862"/>
      <c r="L508" t="s">
        <v>3839</v>
      </c>
      <c r="O508" t="s">
        <v>3839</v>
      </c>
    </row>
    <row r="509" spans="1:16" ht="15.75" x14ac:dyDescent="0.25">
      <c r="A509" s="1089" t="str">
        <f>IF(B500=1,"Конвейер","")</f>
        <v/>
      </c>
      <c r="B509" s="1297" t="str">
        <f>обор!H974</f>
        <v/>
      </c>
      <c r="C509" s="862" t="str">
        <f>обор!J974</f>
        <v/>
      </c>
      <c r="L509" t="s">
        <v>6569</v>
      </c>
      <c r="O509" t="s">
        <v>3840</v>
      </c>
    </row>
    <row r="510" spans="1:16" ht="15.75" x14ac:dyDescent="0.25">
      <c r="A510" s="1089" t="str">
        <f>IF(B500=1,"Гидростойка","")</f>
        <v/>
      </c>
      <c r="B510" s="1297" t="str">
        <f>обор!H975</f>
        <v/>
      </c>
      <c r="C510" s="862"/>
      <c r="L510" t="s">
        <v>6570</v>
      </c>
      <c r="O510" t="s">
        <v>3841</v>
      </c>
    </row>
    <row r="511" spans="1:16" ht="15.75" x14ac:dyDescent="0.25">
      <c r="A511" s="1089" t="str">
        <f>IF(B500=1,"Верхняк, тип","")</f>
        <v/>
      </c>
      <c r="B511" s="1297" t="str">
        <f>обор!H976</f>
        <v/>
      </c>
      <c r="C511" s="862"/>
      <c r="L511" t="s">
        <v>6571</v>
      </c>
      <c r="O511" t="s">
        <v>3842</v>
      </c>
    </row>
    <row r="512" spans="1:16" ht="15.75" x14ac:dyDescent="0.25">
      <c r="A512" s="1089" t="str">
        <f>IF(B500=1,"Верхняк длина, м","")</f>
        <v/>
      </c>
      <c r="B512" s="1297" t="str">
        <f>обор!H977</f>
        <v/>
      </c>
      <c r="C512" s="862"/>
      <c r="L512" t="s">
        <v>6572</v>
      </c>
      <c r="O512" t="s">
        <v>3843</v>
      </c>
    </row>
    <row r="513" spans="1:15" ht="15.75" x14ac:dyDescent="0.25">
      <c r="A513" s="1089" t="str">
        <f>IF(B500=1,"Посадочная крепь, тип","")</f>
        <v/>
      </c>
      <c r="B513" s="1297" t="str">
        <f>обор!H978</f>
        <v/>
      </c>
      <c r="C513" s="862"/>
    </row>
    <row r="514" spans="1:15" ht="19.5" x14ac:dyDescent="0.35">
      <c r="A514" s="2920" t="str">
        <f>IF(B500=3,"Таблица 5   Принятое оборудование при комбайновой выемке в комплексно механизированной лаве","")</f>
        <v/>
      </c>
      <c r="B514" s="8"/>
      <c r="O514" s="8" t="s">
        <v>3837</v>
      </c>
    </row>
    <row r="515" spans="1:15" ht="15.75" x14ac:dyDescent="0.25">
      <c r="A515" s="1089" t="str">
        <f>IF(B500=3,"Комбайн","")</f>
        <v/>
      </c>
      <c r="B515" s="810" t="str">
        <f>обор!G955</f>
        <v/>
      </c>
      <c r="C515" s="852" t="str">
        <f>обор!I955</f>
        <v/>
      </c>
      <c r="O515" s="8" t="s">
        <v>3844</v>
      </c>
    </row>
    <row r="516" spans="1:15" ht="15.75" x14ac:dyDescent="0.25">
      <c r="A516" s="1090" t="str">
        <f>IF(B500=3,"Ширина захвата комбайна, м","")</f>
        <v/>
      </c>
      <c r="B516" s="810" t="str">
        <f>обор!G956</f>
        <v/>
      </c>
      <c r="C516" s="852"/>
      <c r="O516" s="8" t="s">
        <v>3839</v>
      </c>
    </row>
    <row r="517" spans="1:15" ht="15.75" x14ac:dyDescent="0.25">
      <c r="A517" s="1089" t="str">
        <f>IF(B500=3,"Конвейер","")</f>
        <v/>
      </c>
      <c r="B517" s="810" t="str">
        <f>обор!G957</f>
        <v/>
      </c>
      <c r="C517" s="852" t="str">
        <f>обор!I957</f>
        <v/>
      </c>
      <c r="O517" s="8" t="s">
        <v>3845</v>
      </c>
    </row>
    <row r="518" spans="1:15" ht="15.75" x14ac:dyDescent="0.25">
      <c r="A518" s="1089" t="str">
        <f>IF(B500=3,"Механизированная крепь","")</f>
        <v/>
      </c>
      <c r="B518" s="810" t="str">
        <f>обор!G958</f>
        <v/>
      </c>
      <c r="C518" s="852" t="str">
        <f>обор!I958</f>
        <v/>
      </c>
      <c r="O518" s="8" t="s">
        <v>3846</v>
      </c>
    </row>
    <row r="519" spans="1:15" ht="15.75" x14ac:dyDescent="0.25">
      <c r="A519" s="1089" t="str">
        <f>IF(B500=3,"Гидростойка в нише","")</f>
        <v/>
      </c>
      <c r="B519" s="810" t="str">
        <f>обор!G959</f>
        <v/>
      </c>
      <c r="C519" s="852"/>
      <c r="O519" s="8" t="s">
        <v>3847</v>
      </c>
    </row>
    <row r="520" spans="1:15" ht="15.75" x14ac:dyDescent="0.25">
      <c r="A520" s="1089" t="str">
        <f>IF(B500=3,"Верхняк в нише, тип","")</f>
        <v/>
      </c>
      <c r="B520" s="232" t="str">
        <f>обор!G960</f>
        <v/>
      </c>
      <c r="C520" s="852"/>
      <c r="O520" s="8" t="s">
        <v>3848</v>
      </c>
    </row>
    <row r="521" spans="1:15" ht="15.75" x14ac:dyDescent="0.25">
      <c r="A521" s="1089" t="str">
        <f>IF(B500=3,"Верхняк в нише длина, м","")</f>
        <v/>
      </c>
      <c r="B521" s="810" t="str">
        <f>обор!G961</f>
        <v/>
      </c>
      <c r="C521" s="852"/>
    </row>
    <row r="522" spans="1:15" ht="15.75" x14ac:dyDescent="0.25">
      <c r="A522" s="942"/>
      <c r="B522" s="1267"/>
      <c r="C522" s="1266"/>
    </row>
    <row r="523" spans="1:15" ht="15.75" x14ac:dyDescent="0.25">
      <c r="A523" s="1089" t="s">
        <v>6801</v>
      </c>
      <c r="B523" s="810">
        <f>обор!C275</f>
        <v>0</v>
      </c>
      <c r="C523" s="852">
        <f>обор!C277</f>
        <v>0</v>
      </c>
      <c r="D523" s="2992">
        <f>обор!C279</f>
        <v>0</v>
      </c>
      <c r="E523" s="2992">
        <f>обор!C281</f>
        <v>0</v>
      </c>
      <c r="F523" s="2992">
        <f>обор!C283</f>
        <v>0</v>
      </c>
    </row>
    <row r="524" spans="1:15" ht="15.75" x14ac:dyDescent="0.25">
      <c r="A524" s="942" t="s">
        <v>6824</v>
      </c>
      <c r="B524" s="1267"/>
      <c r="C524" s="1266"/>
    </row>
    <row r="525" spans="1:15" ht="15.75" x14ac:dyDescent="0.25">
      <c r="A525" s="4331" t="str">
        <f>IF(AND(обор!I24=1,обор!C288=1),"Скорость передвижки",IF(AND(обор!I24=2,обор!C794=1),"Минимальная высота",""))</f>
        <v/>
      </c>
      <c r="B525" s="1267"/>
      <c r="C525" s="1266"/>
    </row>
    <row r="526" spans="1:15" ht="15.75" x14ac:dyDescent="0.25">
      <c r="A526" s="4331" t="str">
        <f>IF(AND(обор!I24=1,обор!E288=1),"Площадь свободного сечения лавы",IF(AND(обор!I24=2,обор!E794=1),"Максимальная высота",""))</f>
        <v/>
      </c>
      <c r="B526" s="1267"/>
      <c r="C526" s="1266"/>
    </row>
    <row r="527" spans="1:15" ht="15.75" x14ac:dyDescent="0.25">
      <c r="A527" s="4331" t="str">
        <f>IF(AND(обор!I24=1,обор!G288=1),"Вес секции",IF(AND(обор!I24=2,обор!G794=1),"Автономность питания стойки",""))</f>
        <v/>
      </c>
      <c r="B527" s="1267"/>
      <c r="C527" s="1266"/>
    </row>
    <row r="528" spans="1:15" ht="15.75" x14ac:dyDescent="0.25">
      <c r="A528" s="893" t="s">
        <v>6806</v>
      </c>
    </row>
    <row r="529" spans="1:2" ht="15.75" x14ac:dyDescent="0.25">
      <c r="A529" s="4263" t="str">
        <f>IF(AND(обор!I24=1,обор!C332=1),"Производительность комбайна",IF(AND(обор!I24=2,обор!C573=1),"Производительность комбайна",""))</f>
        <v/>
      </c>
    </row>
    <row r="530" spans="1:2" ht="15.75" x14ac:dyDescent="0.25">
      <c r="A530" s="1202" t="str">
        <f>IF(AND(обор!I24=1,обор!E332=1),"Масса комбайна",IF(AND(обор!I24=2,обор!E573=1),"Масса комбайна",""))</f>
        <v/>
      </c>
    </row>
    <row r="531" spans="1:2" ht="15.75" x14ac:dyDescent="0.25">
      <c r="A531" s="4263" t="str">
        <f>IF(AND(обор!I24=1,обор!G332=1),"Ширина захвата",IF(AND(обор!I24=2,обор!G573=1),"Ширина захвата",""))</f>
        <v/>
      </c>
    </row>
    <row r="532" spans="1:2" ht="15.75" x14ac:dyDescent="0.25">
      <c r="A532" s="4263" t="str">
        <f>IF(AND(обор!I24=1,обор!I332=1),"Схема работы комбайна",IF(AND(обор!I24=2,обор!I573=1),"Схема работы комбайна",""))</f>
        <v/>
      </c>
    </row>
    <row r="533" spans="1:2" ht="15.75" x14ac:dyDescent="0.25">
      <c r="A533" s="1202" t="s">
        <v>6815</v>
      </c>
    </row>
    <row r="534" spans="1:2" ht="15.75" x14ac:dyDescent="0.25">
      <c r="A534" s="4263" t="str">
        <f>IF(AND(обор!I24=1,обор!D375=1),"Производительность",IF(AND(обор!I24=2,обор!D610=1),"Производительность",""))</f>
        <v/>
      </c>
    </row>
    <row r="535" spans="1:2" ht="15.75" x14ac:dyDescent="0.25">
      <c r="A535" s="4263" t="b">
        <f>IF(AND(обор!I24=1,обор!F375=1),"Энерговооруженность",IF(AND(обор!I24=2,обор!F610=1),"Энерговооруженность;"""))</f>
        <v>0</v>
      </c>
    </row>
    <row r="536" spans="1:2" ht="15.75" x14ac:dyDescent="0.25">
      <c r="A536" s="4266"/>
    </row>
    <row r="537" spans="1:2" ht="15.75" x14ac:dyDescent="0.25">
      <c r="A537" s="4265" t="s">
        <v>6769</v>
      </c>
    </row>
    <row r="538" spans="1:2" ht="18" x14ac:dyDescent="0.25">
      <c r="A538" s="256" t="s">
        <v>2265</v>
      </c>
    </row>
    <row r="539" spans="1:2" ht="15" x14ac:dyDescent="0.2">
      <c r="A539" s="2556" t="s">
        <v>1343</v>
      </c>
    </row>
    <row r="540" spans="1:2" ht="15" x14ac:dyDescent="0.2">
      <c r="A540" s="2557" t="s">
        <v>2104</v>
      </c>
    </row>
    <row r="541" spans="1:2" ht="15" x14ac:dyDescent="0.2">
      <c r="A541" s="2557" t="str">
        <f>обор!G193</f>
        <v/>
      </c>
    </row>
    <row r="542" spans="1:2" ht="15" x14ac:dyDescent="0.2">
      <c r="A542" s="4169" t="str">
        <f>IF(B2201=1,"Вы перенесли все приведенную  таблицу 5  в текст записки? 1 - Да, 2 - Нет","не вводить!")</f>
        <v>не вводить!</v>
      </c>
      <c r="B542" s="4159"/>
    </row>
    <row r="543" spans="1:2" x14ac:dyDescent="0.2">
      <c r="A543" s="4184" t="str">
        <f>IF(B542=1,"Переходите по ссылке","")</f>
        <v/>
      </c>
    </row>
    <row r="544" spans="1:2" ht="15" x14ac:dyDescent="0.2">
      <c r="A544" s="2557"/>
    </row>
    <row r="545" spans="1:10" ht="15" x14ac:dyDescent="0.2">
      <c r="A545" s="2557"/>
      <c r="F545" s="1102"/>
      <c r="G545" s="1102"/>
      <c r="H545" s="1102"/>
    </row>
    <row r="546" spans="1:10" ht="15" x14ac:dyDescent="0.2">
      <c r="A546" s="2635" t="s">
        <v>5130</v>
      </c>
      <c r="F546" s="1102"/>
      <c r="G546" s="1102"/>
      <c r="H546" s="1102"/>
    </row>
    <row r="547" spans="1:10" ht="15" x14ac:dyDescent="0.2">
      <c r="A547" s="1102" t="s">
        <v>4682</v>
      </c>
      <c r="B547" s="2744">
        <f>ROW(2351:2351)</f>
        <v>2351</v>
      </c>
      <c r="F547" s="1102"/>
      <c r="G547" s="1102"/>
      <c r="H547" s="1102"/>
      <c r="J547" s="2744"/>
    </row>
    <row r="548" spans="1:10" ht="15" x14ac:dyDescent="0.2">
      <c r="A548" s="1102" t="s">
        <v>4478</v>
      </c>
      <c r="B548" s="2744">
        <f>ROW(2333:2333)</f>
        <v>2333</v>
      </c>
      <c r="F548" s="1102"/>
      <c r="G548" s="1102"/>
      <c r="H548" s="1102"/>
      <c r="J548" s="2744"/>
    </row>
    <row r="549" spans="1:10" ht="15" x14ac:dyDescent="0.2">
      <c r="A549" s="1102" t="s">
        <v>5779</v>
      </c>
      <c r="B549" s="2744">
        <f>ROW(2316:2316)</f>
        <v>2316</v>
      </c>
      <c r="C549" s="3104"/>
      <c r="E549" s="3104"/>
      <c r="F549" s="1102"/>
      <c r="G549" s="1102"/>
      <c r="H549" s="1102"/>
      <c r="J549" s="2744"/>
    </row>
    <row r="550" spans="1:10" ht="15" x14ac:dyDescent="0.2">
      <c r="A550" s="2635" t="s">
        <v>5582</v>
      </c>
    </row>
    <row r="551" spans="1:10" ht="15.75" x14ac:dyDescent="0.25">
      <c r="A551" s="942" t="s">
        <v>3411</v>
      </c>
    </row>
    <row r="552" spans="1:10" ht="15.75" x14ac:dyDescent="0.25">
      <c r="A552" s="1089" t="s">
        <v>3735</v>
      </c>
      <c r="B552" s="862" t="str">
        <f>IF(B177&gt;=1,"h1","")</f>
        <v>h1</v>
      </c>
      <c r="C552" s="862" t="str">
        <f>IF(B177&gt;1,"h2","")</f>
        <v>h2</v>
      </c>
      <c r="D552" s="862" t="str">
        <f>IF(B177&gt;2,"h3","")</f>
        <v>h3</v>
      </c>
      <c r="E552" s="862" t="str">
        <f>IF(B177&gt;3,"h4","")</f>
        <v>h4</v>
      </c>
      <c r="F552" s="862" t="str">
        <f>IF(B177&gt;4,"h5","")</f>
        <v>h5</v>
      </c>
      <c r="G552" s="862" t="str">
        <f>IF(B177&gt;4,"h6","")</f>
        <v>h6</v>
      </c>
    </row>
    <row r="553" spans="1:10" ht="15.75" x14ac:dyDescent="0.25">
      <c r="A553" s="1089" t="s">
        <v>608</v>
      </c>
      <c r="B553" s="852" t="str">
        <f t="shared" ref="B553:G553" si="2">B2298</f>
        <v/>
      </c>
      <c r="C553" s="852" t="str">
        <f t="shared" si="2"/>
        <v/>
      </c>
      <c r="D553" s="852" t="str">
        <f t="shared" si="2"/>
        <v/>
      </c>
      <c r="E553" s="852" t="str">
        <f t="shared" si="2"/>
        <v/>
      </c>
      <c r="F553" s="852" t="str">
        <f t="shared" si="2"/>
        <v/>
      </c>
      <c r="G553" s="852" t="str">
        <f t="shared" si="2"/>
        <v/>
      </c>
    </row>
    <row r="554" spans="1:10" ht="15.75" x14ac:dyDescent="0.25">
      <c r="A554" s="1089" t="s">
        <v>5488</v>
      </c>
      <c r="B554" s="3082"/>
      <c r="C554" s="3082"/>
      <c r="D554" s="3082"/>
      <c r="E554" s="2681"/>
      <c r="F554" s="2681"/>
      <c r="G554" s="2681"/>
    </row>
    <row r="555" spans="1:10" ht="15.75" x14ac:dyDescent="0.25">
      <c r="A555" s="1089" t="s">
        <v>3672</v>
      </c>
      <c r="B555" s="2681"/>
      <c r="C555" s="3082"/>
      <c r="D555" s="2681"/>
      <c r="E555" s="2681"/>
      <c r="F555" s="2681"/>
      <c r="G555" s="2681"/>
    </row>
    <row r="556" spans="1:10" ht="15.75" x14ac:dyDescent="0.25">
      <c r="A556" s="1089" t="s">
        <v>4851</v>
      </c>
      <c r="B556" s="3082"/>
      <c r="C556" s="3082"/>
      <c r="D556" s="3082"/>
      <c r="E556" s="2681"/>
      <c r="F556" s="2681"/>
      <c r="G556" s="2681"/>
    </row>
    <row r="557" spans="1:10" ht="15.75" x14ac:dyDescent="0.25">
      <c r="A557" s="1089" t="s">
        <v>3673</v>
      </c>
      <c r="B557" s="3082"/>
      <c r="C557" s="3082"/>
      <c r="D557" s="3082"/>
      <c r="E557" s="2681"/>
      <c r="F557" s="2681"/>
      <c r="G557" s="2681"/>
    </row>
    <row r="558" spans="1:10" ht="31.5" x14ac:dyDescent="0.25">
      <c r="A558" s="2595" t="s">
        <v>6573</v>
      </c>
      <c r="B558" s="2681"/>
      <c r="C558" s="2681"/>
      <c r="D558" s="2681"/>
      <c r="E558" s="2681"/>
      <c r="F558" s="2681"/>
      <c r="G558" s="2681"/>
    </row>
    <row r="559" spans="1:10" ht="15" x14ac:dyDescent="0.2">
      <c r="A559" s="2557" t="s">
        <v>5131</v>
      </c>
      <c r="E559" s="214" t="s">
        <v>6943</v>
      </c>
    </row>
    <row r="560" spans="1:10" ht="26.25" x14ac:dyDescent="0.25">
      <c r="A560" s="2557" t="s">
        <v>2228</v>
      </c>
      <c r="E560" s="169" t="s">
        <v>714</v>
      </c>
      <c r="F560" s="169" t="s">
        <v>580</v>
      </c>
      <c r="G560" s="169" t="s">
        <v>581</v>
      </c>
      <c r="H560" s="888" t="s">
        <v>1269</v>
      </c>
      <c r="I560" s="889" t="s">
        <v>1270</v>
      </c>
    </row>
    <row r="561" spans="1:9" ht="15.75" customHeight="1" x14ac:dyDescent="0.25">
      <c r="A561" s="1088" t="str">
        <f>IF(B2201=1,"Вы перенесли  таблицу в текст записки? 1 - Да, 2 - Нет","не вводить!")</f>
        <v>не вводить!</v>
      </c>
      <c r="B561" s="4159"/>
      <c r="D561" s="256"/>
      <c r="E561" s="2990" t="s">
        <v>5651</v>
      </c>
      <c r="F561" s="2990">
        <v>0.85</v>
      </c>
      <c r="G561" s="2990">
        <v>1.3</v>
      </c>
      <c r="H561" s="2027">
        <v>0.63</v>
      </c>
      <c r="I561" s="2990">
        <v>0.8</v>
      </c>
    </row>
    <row r="562" spans="1:9" ht="15" x14ac:dyDescent="0.2">
      <c r="A562" s="4185" t="str">
        <f>IF(B561=1,"Переходите по ссылке","")</f>
        <v/>
      </c>
      <c r="B562" s="900"/>
      <c r="C562" s="892"/>
      <c r="D562" s="892"/>
      <c r="E562" s="2990" t="s">
        <v>5653</v>
      </c>
      <c r="F562" s="2990">
        <v>0.85</v>
      </c>
      <c r="G562" s="2990">
        <v>1.6</v>
      </c>
      <c r="H562" s="2027">
        <v>0.63</v>
      </c>
      <c r="I562" s="2990">
        <v>0.63</v>
      </c>
    </row>
    <row r="563" spans="1:9" ht="18.75" x14ac:dyDescent="0.3">
      <c r="A563" s="940" t="s">
        <v>5272</v>
      </c>
      <c r="B563" s="900"/>
      <c r="C563" s="892"/>
      <c r="D563" s="892"/>
      <c r="E563" s="2990" t="s">
        <v>5631</v>
      </c>
      <c r="F563" s="2990">
        <v>0.85</v>
      </c>
      <c r="G563" s="2991">
        <v>1.5</v>
      </c>
      <c r="H563" s="2027">
        <v>0.7</v>
      </c>
      <c r="I563" s="2990">
        <v>0.7</v>
      </c>
    </row>
    <row r="564" spans="1:9" ht="15.75" x14ac:dyDescent="0.25">
      <c r="A564" s="884" t="s">
        <v>5586</v>
      </c>
      <c r="B564" s="900"/>
      <c r="C564" s="892"/>
      <c r="D564" s="892"/>
      <c r="E564" s="2990" t="s">
        <v>5616</v>
      </c>
      <c r="F564" s="2990">
        <v>0.85</v>
      </c>
      <c r="G564" s="2990">
        <v>1.5</v>
      </c>
      <c r="H564" s="2027">
        <v>0.7</v>
      </c>
      <c r="I564" s="2990">
        <v>0.8</v>
      </c>
    </row>
    <row r="565" spans="1:9" ht="15.75" x14ac:dyDescent="0.25">
      <c r="A565" s="884" t="s">
        <v>5587</v>
      </c>
      <c r="B565" s="900"/>
      <c r="C565" s="892"/>
      <c r="D565" s="892"/>
      <c r="E565" s="2990" t="s">
        <v>3478</v>
      </c>
      <c r="F565" s="2990">
        <v>0.85</v>
      </c>
      <c r="G565" s="2990">
        <v>1.2</v>
      </c>
      <c r="H565" s="2027">
        <v>0.8</v>
      </c>
      <c r="I565" s="2990">
        <v>0.8</v>
      </c>
    </row>
    <row r="566" spans="1:9" ht="15.75" x14ac:dyDescent="0.25">
      <c r="A566" s="884" t="s">
        <v>5588</v>
      </c>
      <c r="B566" s="900"/>
      <c r="C566" s="892"/>
      <c r="D566" s="892"/>
      <c r="E566" s="2990" t="s">
        <v>5614</v>
      </c>
      <c r="F566" s="2990">
        <v>0.85</v>
      </c>
      <c r="G566" s="2990">
        <v>1.2</v>
      </c>
      <c r="H566" s="2027">
        <v>0.8</v>
      </c>
      <c r="I566" s="2990">
        <v>0.8</v>
      </c>
    </row>
    <row r="567" spans="1:9" ht="15.75" x14ac:dyDescent="0.25">
      <c r="A567" s="884" t="s">
        <v>3791</v>
      </c>
      <c r="B567" s="900"/>
      <c r="C567" s="892"/>
      <c r="D567" s="892"/>
      <c r="E567" s="2990" t="s">
        <v>3480</v>
      </c>
      <c r="F567" s="2990">
        <v>1.1499999999999999</v>
      </c>
      <c r="G567" s="2990">
        <v>1.3</v>
      </c>
      <c r="H567" s="2027">
        <v>0.63</v>
      </c>
      <c r="I567" s="2990">
        <v>0.8</v>
      </c>
    </row>
    <row r="568" spans="1:9" ht="15.75" x14ac:dyDescent="0.25">
      <c r="A568" s="884" t="s">
        <v>4032</v>
      </c>
      <c r="B568" s="900"/>
      <c r="C568" s="892"/>
      <c r="D568" s="892"/>
      <c r="E568" s="2990" t="s">
        <v>3483</v>
      </c>
      <c r="F568" s="2990">
        <v>1.25</v>
      </c>
      <c r="G568" s="2990">
        <v>2.5</v>
      </c>
      <c r="H568" s="2027">
        <v>0.63</v>
      </c>
      <c r="I568" s="2990">
        <v>0.8</v>
      </c>
    </row>
    <row r="569" spans="1:9" ht="15.75" x14ac:dyDescent="0.25">
      <c r="A569" s="884" t="s">
        <v>4033</v>
      </c>
      <c r="B569" s="900"/>
      <c r="C569" s="892"/>
      <c r="D569" s="892"/>
      <c r="E569" s="2990" t="s">
        <v>2776</v>
      </c>
      <c r="F569" s="2990">
        <v>1.4</v>
      </c>
      <c r="G569" s="2990">
        <v>2.5</v>
      </c>
      <c r="H569" s="2027">
        <v>0.63</v>
      </c>
      <c r="I569" s="2990">
        <v>0.8</v>
      </c>
    </row>
    <row r="570" spans="1:9" ht="15.75" x14ac:dyDescent="0.25">
      <c r="A570" s="884" t="s">
        <v>4984</v>
      </c>
      <c r="B570" s="8"/>
      <c r="E570" s="2990" t="s">
        <v>3482</v>
      </c>
      <c r="F570" s="2990">
        <v>1.35</v>
      </c>
      <c r="G570" s="2990">
        <v>2.5</v>
      </c>
      <c r="H570" s="2027">
        <v>0.63</v>
      </c>
      <c r="I570" s="2990">
        <v>0.8</v>
      </c>
    </row>
    <row r="571" spans="1:9" ht="15.75" x14ac:dyDescent="0.25">
      <c r="A571" s="884" t="s">
        <v>4985</v>
      </c>
      <c r="B571" s="8"/>
      <c r="E571" s="2990" t="s">
        <v>658</v>
      </c>
      <c r="F571" s="2990">
        <v>1.35</v>
      </c>
      <c r="G571" s="2990">
        <v>2.6</v>
      </c>
      <c r="H571" s="2027">
        <v>0.63</v>
      </c>
      <c r="I571" s="2990">
        <v>0.63</v>
      </c>
    </row>
    <row r="572" spans="1:9" ht="15.75" x14ac:dyDescent="0.25">
      <c r="A572" s="884" t="s">
        <v>2380</v>
      </c>
      <c r="B572" s="8"/>
      <c r="E572" s="2990" t="s">
        <v>5622</v>
      </c>
      <c r="F572" s="2990">
        <v>1.1000000000000001</v>
      </c>
      <c r="G572" s="2990">
        <v>2.1</v>
      </c>
      <c r="H572" s="2027">
        <v>0.63</v>
      </c>
      <c r="I572" s="2990">
        <v>0.8</v>
      </c>
    </row>
    <row r="573" spans="1:9" ht="15.75" x14ac:dyDescent="0.25">
      <c r="A573" s="884" t="s">
        <v>4059</v>
      </c>
      <c r="B573" s="8"/>
      <c r="E573" s="2990" t="s">
        <v>5624</v>
      </c>
      <c r="F573" s="2990">
        <v>1.35</v>
      </c>
      <c r="G573" s="2990">
        <v>3.2</v>
      </c>
      <c r="H573" s="2027">
        <v>0.8</v>
      </c>
      <c r="I573" s="2990">
        <v>0.8</v>
      </c>
    </row>
    <row r="574" spans="1:9" ht="15.75" x14ac:dyDescent="0.25">
      <c r="A574" s="884" t="s">
        <v>1784</v>
      </c>
      <c r="B574" s="8"/>
      <c r="E574" s="2990" t="s">
        <v>5655</v>
      </c>
      <c r="F574" s="2990">
        <v>1.35</v>
      </c>
      <c r="G574" s="2990">
        <v>3.2</v>
      </c>
      <c r="H574" s="2027">
        <v>0.8</v>
      </c>
      <c r="I574" s="2990">
        <v>0.8</v>
      </c>
    </row>
    <row r="575" spans="1:9" ht="15.75" x14ac:dyDescent="0.25">
      <c r="A575" s="884" t="s">
        <v>447</v>
      </c>
      <c r="B575" s="8"/>
      <c r="E575" s="4334" t="s">
        <v>6942</v>
      </c>
    </row>
    <row r="576" spans="1:9" ht="27" x14ac:dyDescent="0.3">
      <c r="A576" s="2373" t="s">
        <v>5273</v>
      </c>
      <c r="B576" s="8"/>
      <c r="E576" s="857" t="s">
        <v>3185</v>
      </c>
      <c r="F576" s="2987" t="s">
        <v>5659</v>
      </c>
      <c r="G576" s="2987" t="s">
        <v>5660</v>
      </c>
    </row>
    <row r="577" spans="1:7" ht="18.75" x14ac:dyDescent="0.3">
      <c r="A577" s="2909" t="s">
        <v>3187</v>
      </c>
      <c r="B577" s="8"/>
      <c r="E577" s="2990" t="s">
        <v>5634</v>
      </c>
      <c r="F577" s="2990">
        <v>0.85</v>
      </c>
      <c r="G577" s="2990">
        <v>1.2</v>
      </c>
    </row>
    <row r="578" spans="1:7" ht="19.5" x14ac:dyDescent="0.35">
      <c r="A578" s="2920" t="s">
        <v>6859</v>
      </c>
      <c r="B578" s="8"/>
      <c r="E578" s="2990" t="s">
        <v>5639</v>
      </c>
      <c r="F578" s="2990">
        <v>1.1000000000000001</v>
      </c>
      <c r="G578" s="2990">
        <v>1.5</v>
      </c>
    </row>
    <row r="579" spans="1:7" ht="15.75" x14ac:dyDescent="0.25">
      <c r="A579" s="4303" t="s">
        <v>5274</v>
      </c>
      <c r="B579" s="8"/>
      <c r="E579" s="2990" t="s">
        <v>2778</v>
      </c>
      <c r="F579" s="2990">
        <v>0.85</v>
      </c>
      <c r="G579" s="2990">
        <v>1.25</v>
      </c>
    </row>
    <row r="580" spans="1:7" ht="15.75" x14ac:dyDescent="0.25">
      <c r="A580" s="2913" t="s">
        <v>5275</v>
      </c>
      <c r="B580" s="8"/>
      <c r="E580" s="2990" t="s">
        <v>3481</v>
      </c>
      <c r="F580" s="2990">
        <v>1.1000000000000001</v>
      </c>
      <c r="G580" s="2990">
        <v>1.5</v>
      </c>
    </row>
    <row r="581" spans="1:7" ht="15.75" x14ac:dyDescent="0.25">
      <c r="A581" s="884" t="s">
        <v>6871</v>
      </c>
      <c r="B581" s="8"/>
      <c r="E581" s="2990" t="s">
        <v>657</v>
      </c>
      <c r="F581" s="2990">
        <v>1.35</v>
      </c>
      <c r="G581" s="2990">
        <v>2</v>
      </c>
    </row>
    <row r="582" spans="1:7" ht="15.75" x14ac:dyDescent="0.25">
      <c r="A582" s="884" t="s">
        <v>4056</v>
      </c>
      <c r="B582" s="8"/>
      <c r="E582" s="2990" t="s">
        <v>5629</v>
      </c>
      <c r="F582" s="2990">
        <v>0.9</v>
      </c>
      <c r="G582" s="2990">
        <v>1.2</v>
      </c>
    </row>
    <row r="583" spans="1:7" ht="15.75" x14ac:dyDescent="0.25">
      <c r="A583" s="2737" t="s">
        <v>4986</v>
      </c>
      <c r="B583" s="8"/>
      <c r="E583" s="2990" t="s">
        <v>3484</v>
      </c>
      <c r="F583" s="2990">
        <v>1.1000000000000001</v>
      </c>
      <c r="G583" s="2990">
        <v>1.5</v>
      </c>
    </row>
    <row r="584" spans="1:7" ht="15.75" x14ac:dyDescent="0.25">
      <c r="A584" s="2737" t="s">
        <v>4987</v>
      </c>
      <c r="B584" s="8"/>
      <c r="E584" s="2990" t="s">
        <v>659</v>
      </c>
      <c r="F584" s="2990">
        <v>1.35</v>
      </c>
      <c r="G584" s="2990">
        <v>2</v>
      </c>
    </row>
    <row r="585" spans="1:7" ht="15.75" x14ac:dyDescent="0.25">
      <c r="A585" s="2737" t="s">
        <v>4561</v>
      </c>
      <c r="B585" s="8"/>
      <c r="E585" s="2990" t="s">
        <v>660</v>
      </c>
      <c r="F585" s="2990">
        <v>1</v>
      </c>
      <c r="G585" s="2990">
        <v>1.6</v>
      </c>
    </row>
    <row r="586" spans="1:7" ht="15.75" x14ac:dyDescent="0.25">
      <c r="A586" s="2737" t="s">
        <v>4034</v>
      </c>
      <c r="B586" s="8"/>
      <c r="E586" s="2990" t="s">
        <v>5636</v>
      </c>
      <c r="F586" s="2990">
        <v>1.35</v>
      </c>
      <c r="G586" s="2990">
        <v>2.4</v>
      </c>
    </row>
    <row r="587" spans="1:7" ht="15.75" x14ac:dyDescent="0.25">
      <c r="A587" s="2737" t="s">
        <v>4035</v>
      </c>
      <c r="B587" s="8"/>
      <c r="E587" s="2990" t="s">
        <v>5640</v>
      </c>
      <c r="F587" s="2990">
        <v>0.85</v>
      </c>
      <c r="G587" s="2990">
        <v>1.5</v>
      </c>
    </row>
    <row r="588" spans="1:7" ht="15.75" x14ac:dyDescent="0.25">
      <c r="A588" s="2737" t="s">
        <v>4036</v>
      </c>
      <c r="B588" s="8"/>
      <c r="E588" s="2990" t="s">
        <v>5668</v>
      </c>
      <c r="F588" s="2990">
        <v>0.95</v>
      </c>
      <c r="G588" s="2990">
        <v>1.75</v>
      </c>
    </row>
    <row r="589" spans="1:7" ht="15.75" x14ac:dyDescent="0.25">
      <c r="A589" s="2737" t="s">
        <v>4037</v>
      </c>
      <c r="B589" s="8"/>
      <c r="E589" s="2990" t="s">
        <v>5635</v>
      </c>
      <c r="F589" s="2990">
        <v>0.95</v>
      </c>
      <c r="G589" s="2990">
        <v>1.5</v>
      </c>
    </row>
    <row r="590" spans="1:7" ht="15.75" x14ac:dyDescent="0.25">
      <c r="A590" s="2966" t="s">
        <v>4038</v>
      </c>
      <c r="B590" s="8"/>
      <c r="E590" s="2990" t="s">
        <v>5633</v>
      </c>
      <c r="F590" s="2990">
        <v>1.1000000000000001</v>
      </c>
      <c r="G590" s="2990">
        <v>1.8</v>
      </c>
    </row>
    <row r="591" spans="1:7" ht="15.75" x14ac:dyDescent="0.25">
      <c r="A591" s="2737" t="s">
        <v>4039</v>
      </c>
      <c r="B591" s="8"/>
      <c r="E591" s="2990" t="s">
        <v>5632</v>
      </c>
      <c r="F591" s="2990">
        <v>1.45</v>
      </c>
      <c r="G591" s="2990">
        <v>2.5</v>
      </c>
    </row>
    <row r="592" spans="1:7" ht="15.75" x14ac:dyDescent="0.25">
      <c r="A592" s="2737" t="s">
        <v>4040</v>
      </c>
      <c r="B592" s="8"/>
    </row>
    <row r="593" spans="1:2" ht="15.75" x14ac:dyDescent="0.25">
      <c r="A593" s="2737" t="s">
        <v>4041</v>
      </c>
      <c r="B593" s="8"/>
    </row>
    <row r="594" spans="1:2" ht="15.75" x14ac:dyDescent="0.25">
      <c r="A594" s="2967" t="s">
        <v>4042</v>
      </c>
      <c r="B594" s="8"/>
    </row>
    <row r="595" spans="1:2" ht="15.75" x14ac:dyDescent="0.25">
      <c r="A595" s="2737" t="s">
        <v>4043</v>
      </c>
      <c r="B595" s="8"/>
    </row>
    <row r="596" spans="1:2" ht="15.75" x14ac:dyDescent="0.25">
      <c r="A596" s="2737" t="s">
        <v>4044</v>
      </c>
      <c r="B596" s="8"/>
    </row>
    <row r="597" spans="1:2" ht="15.75" x14ac:dyDescent="0.25">
      <c r="A597" s="2737" t="s">
        <v>4045</v>
      </c>
      <c r="B597" s="8"/>
    </row>
    <row r="598" spans="1:2" ht="15.75" x14ac:dyDescent="0.25">
      <c r="A598" s="2967"/>
      <c r="B598" s="8"/>
    </row>
    <row r="599" spans="1:2" ht="15.75" x14ac:dyDescent="0.25">
      <c r="A599" s="2967"/>
      <c r="B599" s="8"/>
    </row>
    <row r="600" spans="1:2" ht="15.75" x14ac:dyDescent="0.25">
      <c r="A600" s="2967"/>
      <c r="B600" s="8"/>
    </row>
    <row r="601" spans="1:2" ht="15.75" x14ac:dyDescent="0.25">
      <c r="A601" s="2967"/>
      <c r="B601" s="8"/>
    </row>
    <row r="602" spans="1:2" ht="15.75" x14ac:dyDescent="0.25">
      <c r="A602" s="2967"/>
      <c r="B602" s="8"/>
    </row>
    <row r="603" spans="1:2" ht="15.75" x14ac:dyDescent="0.25">
      <c r="A603" s="2967"/>
      <c r="B603" s="8"/>
    </row>
    <row r="604" spans="1:2" ht="15.75" x14ac:dyDescent="0.25">
      <c r="A604" s="2967"/>
      <c r="B604" s="8"/>
    </row>
    <row r="605" spans="1:2" ht="15.75" x14ac:dyDescent="0.25">
      <c r="A605" s="2967"/>
      <c r="B605" s="8"/>
    </row>
    <row r="606" spans="1:2" ht="15.75" x14ac:dyDescent="0.25">
      <c r="A606" s="2967"/>
      <c r="B606" s="8"/>
    </row>
    <row r="607" spans="1:2" ht="15.75" x14ac:dyDescent="0.25">
      <c r="A607" s="2967"/>
      <c r="B607" s="8"/>
    </row>
    <row r="608" spans="1:2" ht="15.75" x14ac:dyDescent="0.25">
      <c r="A608" s="2737" t="s">
        <v>4046</v>
      </c>
      <c r="B608" s="8"/>
    </row>
    <row r="609" spans="1:2" ht="15.75" x14ac:dyDescent="0.25">
      <c r="A609" s="818" t="s">
        <v>6532</v>
      </c>
      <c r="B609" s="8"/>
    </row>
    <row r="610" spans="1:2" ht="15.75" x14ac:dyDescent="0.25">
      <c r="A610" s="818" t="s">
        <v>4047</v>
      </c>
      <c r="B610" s="8"/>
    </row>
    <row r="611" spans="1:2" ht="15.75" x14ac:dyDescent="0.25">
      <c r="A611" s="818" t="s">
        <v>4048</v>
      </c>
      <c r="B611" s="8"/>
    </row>
    <row r="612" spans="1:2" ht="15.75" x14ac:dyDescent="0.25">
      <c r="A612" s="2737"/>
      <c r="B612" s="8"/>
    </row>
    <row r="613" spans="1:2" ht="15.75" x14ac:dyDescent="0.25">
      <c r="A613" s="2737"/>
      <c r="B613" s="8"/>
    </row>
    <row r="614" spans="1:2" ht="15.75" x14ac:dyDescent="0.25">
      <c r="A614" s="2737"/>
      <c r="B614" s="8"/>
    </row>
    <row r="615" spans="1:2" ht="15.75" x14ac:dyDescent="0.25">
      <c r="A615" s="2737"/>
      <c r="B615" s="8"/>
    </row>
    <row r="616" spans="1:2" ht="15.75" x14ac:dyDescent="0.25">
      <c r="A616" s="2737"/>
      <c r="B616" s="8"/>
    </row>
    <row r="617" spans="1:2" ht="15.75" x14ac:dyDescent="0.25">
      <c r="A617" s="2737"/>
      <c r="B617" s="8"/>
    </row>
    <row r="618" spans="1:2" ht="15.75" x14ac:dyDescent="0.25">
      <c r="A618" s="2737"/>
      <c r="B618" s="8"/>
    </row>
    <row r="619" spans="1:2" ht="15.75" x14ac:dyDescent="0.25">
      <c r="A619" s="2737" t="s">
        <v>4049</v>
      </c>
      <c r="B619" s="8"/>
    </row>
    <row r="620" spans="1:2" ht="15.75" x14ac:dyDescent="0.25">
      <c r="A620" s="818" t="s">
        <v>4050</v>
      </c>
      <c r="B620" s="8"/>
    </row>
    <row r="621" spans="1:2" ht="15.75" x14ac:dyDescent="0.25">
      <c r="A621" s="818" t="s">
        <v>4051</v>
      </c>
      <c r="B621" s="8"/>
    </row>
    <row r="622" spans="1:2" ht="20.25" x14ac:dyDescent="0.35">
      <c r="A622" s="2737" t="s">
        <v>4055</v>
      </c>
      <c r="B622" s="8"/>
    </row>
    <row r="623" spans="1:2" ht="20.25" x14ac:dyDescent="0.35">
      <c r="A623" s="2737" t="s">
        <v>4052</v>
      </c>
      <c r="B623" s="8"/>
    </row>
    <row r="624" spans="1:2" ht="17.25" x14ac:dyDescent="0.3">
      <c r="A624" s="2910" t="s">
        <v>2541</v>
      </c>
      <c r="B624" s="8"/>
    </row>
    <row r="625" spans="1:2" ht="20.25" x14ac:dyDescent="0.35">
      <c r="A625" s="2737" t="s">
        <v>2542</v>
      </c>
      <c r="B625" s="8"/>
    </row>
    <row r="626" spans="1:2" ht="18.75" x14ac:dyDescent="0.3">
      <c r="A626" s="4304" t="s">
        <v>4053</v>
      </c>
      <c r="B626" s="8"/>
    </row>
    <row r="627" spans="1:2" ht="18.75" x14ac:dyDescent="0.3">
      <c r="A627" s="349" t="s">
        <v>4054</v>
      </c>
      <c r="B627" s="8"/>
    </row>
    <row r="628" spans="1:2" ht="15.75" x14ac:dyDescent="0.25">
      <c r="A628" s="2494" t="s">
        <v>3303</v>
      </c>
      <c r="B628" s="8"/>
    </row>
    <row r="629" spans="1:2" ht="15.75" x14ac:dyDescent="0.25">
      <c r="A629" s="2494" t="s">
        <v>3304</v>
      </c>
      <c r="B629" s="8"/>
    </row>
    <row r="630" spans="1:2" ht="15.75" x14ac:dyDescent="0.25">
      <c r="A630" s="2737" t="s">
        <v>4178</v>
      </c>
      <c r="B630" s="8"/>
    </row>
    <row r="631" spans="1:2" ht="15.75" x14ac:dyDescent="0.25">
      <c r="A631" s="2737" t="s">
        <v>2234</v>
      </c>
      <c r="B631" s="8"/>
    </row>
    <row r="632" spans="1:2" ht="15.75" x14ac:dyDescent="0.25">
      <c r="A632" s="2737" t="s">
        <v>4179</v>
      </c>
      <c r="B632" s="8"/>
    </row>
    <row r="633" spans="1:2" ht="15.75" x14ac:dyDescent="0.25">
      <c r="A633" s="2737" t="s">
        <v>4180</v>
      </c>
      <c r="B633" s="8"/>
    </row>
    <row r="634" spans="1:2" ht="15.75" x14ac:dyDescent="0.25">
      <c r="A634" s="2967" t="s">
        <v>4181</v>
      </c>
      <c r="B634" s="8"/>
    </row>
    <row r="635" spans="1:2" ht="15.75" x14ac:dyDescent="0.25">
      <c r="A635" s="2737" t="s">
        <v>4182</v>
      </c>
      <c r="B635" s="8"/>
    </row>
    <row r="636" spans="1:2" ht="15.75" x14ac:dyDescent="0.25">
      <c r="A636" s="2737" t="s">
        <v>4183</v>
      </c>
      <c r="B636" s="8"/>
    </row>
    <row r="637" spans="1:2" ht="15.75" x14ac:dyDescent="0.25">
      <c r="A637" s="2737" t="s">
        <v>4184</v>
      </c>
      <c r="B637" s="8"/>
    </row>
    <row r="638" spans="1:2" ht="15.75" x14ac:dyDescent="0.25">
      <c r="A638" s="2737" t="s">
        <v>4185</v>
      </c>
      <c r="B638" s="8"/>
    </row>
    <row r="639" spans="1:2" ht="15.75" x14ac:dyDescent="0.25">
      <c r="A639" s="2737" t="s">
        <v>4186</v>
      </c>
      <c r="B639" s="8"/>
    </row>
    <row r="640" spans="1:2" ht="15.75" x14ac:dyDescent="0.25">
      <c r="A640" s="2737" t="s">
        <v>4188</v>
      </c>
      <c r="B640" s="8"/>
    </row>
    <row r="641" spans="1:2" ht="15.75" x14ac:dyDescent="0.25">
      <c r="A641" s="2737" t="s">
        <v>4187</v>
      </c>
      <c r="B641" s="8"/>
    </row>
    <row r="642" spans="1:2" ht="15.75" x14ac:dyDescent="0.25">
      <c r="A642" s="2737" t="s">
        <v>4189</v>
      </c>
      <c r="B642" s="8"/>
    </row>
    <row r="643" spans="1:2" ht="15.75" x14ac:dyDescent="0.25">
      <c r="A643" s="2737" t="s">
        <v>3302</v>
      </c>
      <c r="B643" s="8"/>
    </row>
    <row r="644" spans="1:2" ht="15.75" x14ac:dyDescent="0.25">
      <c r="A644" s="2737" t="s">
        <v>6872</v>
      </c>
      <c r="B644" s="8"/>
    </row>
    <row r="645" spans="1:2" ht="15.75" x14ac:dyDescent="0.25">
      <c r="A645" s="2737" t="s">
        <v>6873</v>
      </c>
      <c r="B645" s="8"/>
    </row>
    <row r="646" spans="1:2" ht="15.75" x14ac:dyDescent="0.25">
      <c r="A646" s="2737" t="s">
        <v>6874</v>
      </c>
      <c r="B646" s="8"/>
    </row>
    <row r="647" spans="1:2" ht="15.75" x14ac:dyDescent="0.25">
      <c r="A647" s="2737" t="s">
        <v>6875</v>
      </c>
      <c r="B647" s="8"/>
    </row>
    <row r="648" spans="1:2" ht="15.75" x14ac:dyDescent="0.25">
      <c r="A648" s="2737" t="s">
        <v>6876</v>
      </c>
      <c r="B648" s="8"/>
    </row>
    <row r="649" spans="1:2" ht="15.75" x14ac:dyDescent="0.25">
      <c r="A649" s="2737" t="s">
        <v>2534</v>
      </c>
      <c r="B649" s="8"/>
    </row>
    <row r="650" spans="1:2" ht="15.75" x14ac:dyDescent="0.25">
      <c r="A650" s="2737" t="s">
        <v>2535</v>
      </c>
      <c r="B650" s="8"/>
    </row>
    <row r="651" spans="1:2" ht="15.75" x14ac:dyDescent="0.25">
      <c r="A651" s="2737" t="s">
        <v>2536</v>
      </c>
      <c r="B651" s="8"/>
    </row>
    <row r="652" spans="1:2" ht="15.75" x14ac:dyDescent="0.25">
      <c r="A652" s="2737" t="s">
        <v>4628</v>
      </c>
      <c r="B652" s="8"/>
    </row>
    <row r="653" spans="1:2" ht="15.75" x14ac:dyDescent="0.25">
      <c r="A653" s="2737" t="s">
        <v>2537</v>
      </c>
      <c r="B653" s="8"/>
    </row>
    <row r="654" spans="1:2" ht="15.75" x14ac:dyDescent="0.25">
      <c r="A654" s="2737" t="s">
        <v>2538</v>
      </c>
      <c r="B654" s="8"/>
    </row>
    <row r="655" spans="1:2" ht="15.75" x14ac:dyDescent="0.25">
      <c r="A655" s="2737" t="s">
        <v>4629</v>
      </c>
      <c r="B655" s="8"/>
    </row>
    <row r="656" spans="1:2" ht="15.75" x14ac:dyDescent="0.25">
      <c r="A656" s="2737" t="s">
        <v>2245</v>
      </c>
      <c r="B656" s="8"/>
    </row>
    <row r="657" spans="1:2" ht="15.75" x14ac:dyDescent="0.25">
      <c r="A657" s="2737" t="s">
        <v>2539</v>
      </c>
      <c r="B657" s="8"/>
    </row>
    <row r="658" spans="1:2" ht="15.75" x14ac:dyDescent="0.25">
      <c r="A658" s="2737" t="s">
        <v>2540</v>
      </c>
      <c r="B658" s="8"/>
    </row>
    <row r="659" spans="1:2" ht="15.75" x14ac:dyDescent="0.25">
      <c r="A659" s="2737" t="s">
        <v>2638</v>
      </c>
      <c r="B659" s="8"/>
    </row>
    <row r="660" spans="1:2" ht="15.75" x14ac:dyDescent="0.25">
      <c r="A660" s="2737" t="s">
        <v>2235</v>
      </c>
      <c r="B660" s="8"/>
    </row>
    <row r="661" spans="1:2" ht="15.75" x14ac:dyDescent="0.25">
      <c r="A661" s="2737" t="s">
        <v>4630</v>
      </c>
      <c r="B661" s="8"/>
    </row>
    <row r="662" spans="1:2" ht="15.75" x14ac:dyDescent="0.25">
      <c r="A662" s="2737" t="s">
        <v>3733</v>
      </c>
      <c r="B662" s="8"/>
    </row>
    <row r="663" spans="1:2" ht="15.75" x14ac:dyDescent="0.25">
      <c r="A663" s="2737"/>
      <c r="B663" s="8"/>
    </row>
    <row r="664" spans="1:2" ht="15.75" x14ac:dyDescent="0.25">
      <c r="A664" s="2737"/>
      <c r="B664" s="8"/>
    </row>
    <row r="665" spans="1:2" ht="15.75" x14ac:dyDescent="0.25">
      <c r="A665" s="2737"/>
      <c r="B665" s="8"/>
    </row>
    <row r="666" spans="1:2" ht="15.75" x14ac:dyDescent="0.25">
      <c r="A666" s="2737"/>
      <c r="B666" s="8"/>
    </row>
    <row r="667" spans="1:2" ht="15.75" x14ac:dyDescent="0.25">
      <c r="A667" s="2737"/>
      <c r="B667" s="8"/>
    </row>
    <row r="668" spans="1:2" ht="15.75" x14ac:dyDescent="0.25">
      <c r="A668" s="2737"/>
      <c r="B668" s="8"/>
    </row>
    <row r="669" spans="1:2" ht="15.75" x14ac:dyDescent="0.25">
      <c r="A669" s="2737"/>
      <c r="B669" s="8"/>
    </row>
    <row r="670" spans="1:2" ht="15.75" x14ac:dyDescent="0.25">
      <c r="A670" s="2737"/>
      <c r="B670" s="8"/>
    </row>
    <row r="671" spans="1:2" ht="15.75" x14ac:dyDescent="0.25">
      <c r="A671" s="2737"/>
      <c r="B671" s="8"/>
    </row>
    <row r="672" spans="1:2" ht="15.75" x14ac:dyDescent="0.25">
      <c r="A672" s="2737"/>
      <c r="B672" s="8"/>
    </row>
    <row r="673" spans="1:2" ht="15.75" x14ac:dyDescent="0.25">
      <c r="A673" s="2737"/>
      <c r="B673" s="8"/>
    </row>
    <row r="674" spans="1:2" ht="15.75" x14ac:dyDescent="0.25">
      <c r="A674" s="2737"/>
      <c r="B674" s="8"/>
    </row>
    <row r="675" spans="1:2" ht="15.75" x14ac:dyDescent="0.25">
      <c r="A675" s="2737"/>
      <c r="B675" s="8"/>
    </row>
    <row r="676" spans="1:2" ht="15.75" x14ac:dyDescent="0.25">
      <c r="A676" s="2737"/>
      <c r="B676" s="8"/>
    </row>
    <row r="677" spans="1:2" ht="15.75" x14ac:dyDescent="0.25">
      <c r="A677" s="2737"/>
      <c r="B677" s="8"/>
    </row>
    <row r="678" spans="1:2" ht="15.75" x14ac:dyDescent="0.25">
      <c r="A678" s="2737"/>
      <c r="B678" s="8"/>
    </row>
    <row r="679" spans="1:2" ht="15.75" x14ac:dyDescent="0.25">
      <c r="A679" s="2737"/>
      <c r="B679" s="8"/>
    </row>
    <row r="680" spans="1:2" ht="15.75" x14ac:dyDescent="0.25">
      <c r="A680" s="2737"/>
      <c r="B680" s="8"/>
    </row>
    <row r="681" spans="1:2" ht="15" x14ac:dyDescent="0.25">
      <c r="A681" s="2965" t="s">
        <v>2238</v>
      </c>
      <c r="B681" s="8"/>
    </row>
    <row r="682" spans="1:2" ht="15.75" x14ac:dyDescent="0.25">
      <c r="A682" s="2737"/>
      <c r="B682" s="8"/>
    </row>
    <row r="683" spans="1:2" ht="15.75" x14ac:dyDescent="0.25">
      <c r="A683" s="2737"/>
      <c r="B683" s="8"/>
    </row>
    <row r="684" spans="1:2" ht="15.75" x14ac:dyDescent="0.25">
      <c r="A684" s="2737"/>
      <c r="B684" s="8"/>
    </row>
    <row r="685" spans="1:2" ht="15.75" x14ac:dyDescent="0.25">
      <c r="A685" s="2737"/>
      <c r="B685" s="8"/>
    </row>
    <row r="686" spans="1:2" ht="15.75" x14ac:dyDescent="0.25">
      <c r="A686" s="2737"/>
      <c r="B686" s="8"/>
    </row>
    <row r="687" spans="1:2" ht="15.75" x14ac:dyDescent="0.25">
      <c r="A687" s="2737"/>
      <c r="B687" s="8"/>
    </row>
    <row r="688" spans="1:2" ht="15.75" x14ac:dyDescent="0.25">
      <c r="A688" s="2737"/>
      <c r="B688" s="8"/>
    </row>
    <row r="689" spans="1:2" ht="15.75" x14ac:dyDescent="0.25">
      <c r="A689" s="2737"/>
      <c r="B689" s="8"/>
    </row>
    <row r="690" spans="1:2" ht="15.75" x14ac:dyDescent="0.25">
      <c r="A690" s="2737"/>
      <c r="B690" s="8"/>
    </row>
    <row r="691" spans="1:2" ht="15.75" x14ac:dyDescent="0.25">
      <c r="A691" s="2737"/>
      <c r="B691" s="8"/>
    </row>
    <row r="692" spans="1:2" ht="15.75" x14ac:dyDescent="0.25">
      <c r="A692" s="2737"/>
      <c r="B692" s="8"/>
    </row>
    <row r="693" spans="1:2" ht="15.75" x14ac:dyDescent="0.25">
      <c r="A693" s="2737"/>
      <c r="B693" s="8"/>
    </row>
    <row r="694" spans="1:2" ht="15.75" x14ac:dyDescent="0.25">
      <c r="A694" s="2737"/>
      <c r="B694" s="8"/>
    </row>
    <row r="695" spans="1:2" ht="15.75" x14ac:dyDescent="0.25">
      <c r="A695" s="2737"/>
      <c r="B695" s="8"/>
    </row>
    <row r="696" spans="1:2" ht="15.75" x14ac:dyDescent="0.25">
      <c r="A696" s="2737"/>
      <c r="B696" s="8"/>
    </row>
    <row r="697" spans="1:2" ht="15.75" x14ac:dyDescent="0.25">
      <c r="A697" s="2737"/>
      <c r="B697" s="8"/>
    </row>
    <row r="698" spans="1:2" ht="15.75" x14ac:dyDescent="0.25">
      <c r="A698" s="2737"/>
      <c r="B698" s="8"/>
    </row>
    <row r="699" spans="1:2" ht="15.75" x14ac:dyDescent="0.25">
      <c r="A699" s="2737"/>
      <c r="B699" s="8"/>
    </row>
    <row r="700" spans="1:2" x14ac:dyDescent="0.2">
      <c r="A700" s="241" t="s">
        <v>2239</v>
      </c>
      <c r="B700" s="8"/>
    </row>
    <row r="701" spans="1:2" ht="15.75" x14ac:dyDescent="0.25">
      <c r="A701" s="2737"/>
      <c r="B701" s="8"/>
    </row>
    <row r="702" spans="1:2" ht="15.75" x14ac:dyDescent="0.25">
      <c r="A702" s="2737"/>
      <c r="B702" s="8"/>
    </row>
    <row r="703" spans="1:2" ht="15.75" x14ac:dyDescent="0.25">
      <c r="A703" s="2737"/>
      <c r="B703" s="8"/>
    </row>
    <row r="704" spans="1:2" ht="15.75" x14ac:dyDescent="0.25">
      <c r="A704" s="2737"/>
      <c r="B704" s="8"/>
    </row>
    <row r="705" spans="1:2" ht="15.75" x14ac:dyDescent="0.25">
      <c r="A705" s="2737"/>
      <c r="B705" s="8"/>
    </row>
    <row r="706" spans="1:2" ht="15.75" x14ac:dyDescent="0.25">
      <c r="A706" s="2737"/>
      <c r="B706" s="8"/>
    </row>
    <row r="707" spans="1:2" ht="15.75" x14ac:dyDescent="0.25">
      <c r="A707" s="2737"/>
      <c r="B707" s="8"/>
    </row>
    <row r="708" spans="1:2" ht="15.75" x14ac:dyDescent="0.25">
      <c r="A708" s="2737"/>
      <c r="B708" s="8"/>
    </row>
    <row r="709" spans="1:2" ht="15.75" x14ac:dyDescent="0.25">
      <c r="A709" s="2737"/>
      <c r="B709" s="8"/>
    </row>
    <row r="710" spans="1:2" ht="15.75" x14ac:dyDescent="0.25">
      <c r="A710" s="2737"/>
      <c r="B710" s="8"/>
    </row>
    <row r="711" spans="1:2" ht="15.75" x14ac:dyDescent="0.25">
      <c r="A711" s="2737"/>
      <c r="B711" s="8"/>
    </row>
    <row r="712" spans="1:2" ht="15.75" x14ac:dyDescent="0.25">
      <c r="A712" s="2737"/>
      <c r="B712" s="8"/>
    </row>
    <row r="713" spans="1:2" ht="15.75" x14ac:dyDescent="0.25">
      <c r="A713" s="2737"/>
      <c r="B713" s="8"/>
    </row>
    <row r="714" spans="1:2" ht="15.75" x14ac:dyDescent="0.25">
      <c r="A714" s="2737"/>
      <c r="B714" s="8"/>
    </row>
    <row r="715" spans="1:2" ht="15.75" x14ac:dyDescent="0.25">
      <c r="A715" s="2737"/>
      <c r="B715" s="8"/>
    </row>
    <row r="716" spans="1:2" x14ac:dyDescent="0.2">
      <c r="A716" s="241" t="s">
        <v>2240</v>
      </c>
      <c r="B716" s="8"/>
    </row>
    <row r="717" spans="1:2" ht="15.75" x14ac:dyDescent="0.25">
      <c r="A717" s="2737"/>
    </row>
    <row r="718" spans="1:2" ht="15.75" x14ac:dyDescent="0.25">
      <c r="A718" s="818" t="s">
        <v>4013</v>
      </c>
    </row>
    <row r="719" spans="1:2" ht="15.75" x14ac:dyDescent="0.25">
      <c r="A719" s="818" t="s">
        <v>4918</v>
      </c>
    </row>
    <row r="720" spans="1:2" ht="15.75" x14ac:dyDescent="0.25">
      <c r="A720" s="818" t="s">
        <v>4919</v>
      </c>
    </row>
    <row r="721" spans="1:3" ht="15.75" x14ac:dyDescent="0.25">
      <c r="A721" s="818" t="s">
        <v>4920</v>
      </c>
    </row>
    <row r="722" spans="1:3" ht="15.75" x14ac:dyDescent="0.25">
      <c r="A722" s="818" t="s">
        <v>4921</v>
      </c>
    </row>
    <row r="723" spans="1:3" ht="15.75" x14ac:dyDescent="0.25">
      <c r="A723" s="818" t="s">
        <v>4011</v>
      </c>
    </row>
    <row r="724" spans="1:3" ht="15.75" x14ac:dyDescent="0.25">
      <c r="A724" s="818" t="s">
        <v>4012</v>
      </c>
    </row>
    <row r="725" spans="1:3" ht="15.75" x14ac:dyDescent="0.25">
      <c r="A725" s="818" t="s">
        <v>2236</v>
      </c>
    </row>
    <row r="726" spans="1:3" x14ac:dyDescent="0.2">
      <c r="A726" t="s">
        <v>2237</v>
      </c>
    </row>
    <row r="727" spans="1:3" ht="43.5" customHeight="1" x14ac:dyDescent="0.25">
      <c r="A727" s="4305" t="s">
        <v>5780</v>
      </c>
      <c r="B727" s="892" t="s">
        <v>5781</v>
      </c>
    </row>
    <row r="728" spans="1:3" ht="63" customHeight="1" x14ac:dyDescent="0.2">
      <c r="A728" s="1646" t="str">
        <f>INDEX(C2419:DY2419,1)</f>
        <v>Сплошная, движение воздуха по лаве от транспортной выработки к вентиляционной, транспортная и вентиляционная выработки проводятся одновременно с лавой, вентиляционная выработка проводится через целик менее Lоп</v>
      </c>
      <c r="B728" s="1646">
        <v>1</v>
      </c>
      <c r="C728" s="4306"/>
    </row>
    <row r="729" spans="1:3" ht="69.75" customHeight="1" x14ac:dyDescent="0.2">
      <c r="A729" s="1646" t="str">
        <f>INDEX(C2419:DY2419,4)</f>
        <v>Комбинированная прямой ход,  движение воздуха по лаве от транспортной выработки к вентиляционной и на массив, Вентиляционная выработка проводится через целик более   Lоп и за лавой погашается. Транспортная выработка проводится  за лавой.</v>
      </c>
      <c r="B729" s="1391">
        <v>2</v>
      </c>
      <c r="C729" s="4306"/>
    </row>
    <row r="730" spans="1:3" ht="79.5" customHeight="1" x14ac:dyDescent="0.2">
      <c r="A730" s="1646" t="str">
        <f>INDEX(C2419:DY2419,21)</f>
        <v>Столбовая,  движение воздуха по лаве от транспортной выработки к вентиляционной и далее на массив. Транспортная и вентиляционная выработки за лавой погашаются. Вентиляционная выработка проводится заранее через целик менее  Lоп. Транспортная выработка  проводится заранее.</v>
      </c>
      <c r="B730" s="1391">
        <v>3</v>
      </c>
      <c r="C730" s="4306"/>
    </row>
    <row r="731" spans="1:3" ht="48" customHeight="1" x14ac:dyDescent="0.2">
      <c r="A731" s="1646" t="str">
        <f>INDEX(C2419:DY2419,24)</f>
        <v>Комбинированная, обратный ход  движение воздуха по лаве от транспортной выработки к вентиляционной далее на массив.  Вентиляционная выработка проведена заранее через целик более  Lоп за лавой не погашается, Подсвежающая струя - от фланговой выработки на массив. Транспортная выработка проведена заранее и  за лавой погашается.</v>
      </c>
      <c r="B731" s="1391">
        <v>4</v>
      </c>
      <c r="C731" s="4306"/>
    </row>
    <row r="732" spans="1:3" ht="81" customHeight="1" x14ac:dyDescent="0.2">
      <c r="A732" s="1646" t="str">
        <f>INDEX(C2419:DY2419,16)</f>
        <v>Комбинированная обратный ход,  движение воздуха по лаве от транспортной выработки к вентиляционной и далее на выработанное пространство. Вентиляционная выработка проводится за лавой через целик более  Lоп. Транспортная выработка проводится заранее и за лавой погашается.</v>
      </c>
      <c r="B732" s="1391">
        <v>5</v>
      </c>
      <c r="C732" s="4306"/>
    </row>
    <row r="733" spans="1:3" ht="56.25" customHeight="1" x14ac:dyDescent="0.2">
      <c r="A733" s="1646" t="str">
        <f>INDEX(C2419:DY2419,29)</f>
        <v xml:space="preserve">Комбинированная, обратный ход. Движение воздуха по лаве от транспортной выработки к вентиляционной и далее на выработанное пространство. Вентиляционная выработка  проведена навстречу лаве через целик менее  Lоп и за лавой не погашается, Подсвежающая струя - на фланговую выработку. Транспортная выработка проведена заранее, за лавой погашается. </v>
      </c>
      <c r="B733" s="1391">
        <v>6</v>
      </c>
      <c r="C733" s="4306"/>
    </row>
    <row r="734" spans="1:3" ht="56.25" customHeight="1" x14ac:dyDescent="0.2">
      <c r="A734" s="1646" t="str">
        <f>INDEX(C2419:DY2419,32)</f>
        <v xml:space="preserve">Комбинированная обратный ход,  движение воздуха по лаве от транспортной выработки к вентиляционной и далее на выработанное пространство. Вентиляционная выработка  проводится за лавой через целик более  Lоп. Транспортная выработка проводится заранее, за лавой не погашается, Участок транспортной выработки за лавой проветривается от фланговой выработки. </v>
      </c>
      <c r="B734" s="1391">
        <v>7</v>
      </c>
      <c r="C734" s="4306"/>
    </row>
    <row r="735" spans="1:3" ht="91.5" customHeight="1" x14ac:dyDescent="0.2">
      <c r="A735" s="1646" t="str">
        <f>INDEX(C2419:DY2419,117)</f>
        <v>Комбинированная обратный ход, проветривание от вентиляционной выработки к транспортной и далее на выработанное пространство.  Вентиляционная выработка проведена ранее через целик менее  Lоп , за лавой погашается. Транспортная выработка проведена ранее и не погашается. Подсвежающая струя - к фланговой выработке.</v>
      </c>
      <c r="B735" s="1391">
        <v>8</v>
      </c>
      <c r="C735" s="4306"/>
    </row>
    <row r="736" spans="1:3" ht="105" x14ac:dyDescent="0.2">
      <c r="A736" s="1646" t="str">
        <f>INDEX(C2419:DY2419,120)</f>
        <v>Комбинированная обратный ход, проветривание от вентиляционной выработки к транспортной штреку и далее на выработанное пространство. Вентиляционная выработка проведена ранее через целик более  Lоп , за лавой не погашается, Транспортная выработка проведена ранее и не погашается. Участки выработок впереди лавы проветриваются через фланговые выработки. Подсвежающая струя - от центральной выработки.</v>
      </c>
      <c r="B736" s="1391">
        <v>9</v>
      </c>
      <c r="C736" s="4306"/>
    </row>
    <row r="737" spans="1:9" x14ac:dyDescent="0.2">
      <c r="B737" s="8"/>
    </row>
    <row r="738" spans="1:9" ht="19.5" x14ac:dyDescent="0.35">
      <c r="A738" s="4290" t="s">
        <v>5782</v>
      </c>
      <c r="B738" s="8"/>
    </row>
    <row r="739" spans="1:9" ht="19.5" x14ac:dyDescent="0.35">
      <c r="A739" s="1302" t="s">
        <v>4608</v>
      </c>
    </row>
    <row r="740" spans="1:9" ht="31.5" x14ac:dyDescent="0.25">
      <c r="A740" s="2911" t="s">
        <v>2243</v>
      </c>
      <c r="B740" s="793">
        <v>7</v>
      </c>
      <c r="E740" s="213"/>
      <c r="I740" s="213">
        <f>IF(B740=4,1,0)</f>
        <v>0</v>
      </c>
    </row>
    <row r="741" spans="1:9" ht="31.5" x14ac:dyDescent="0.25">
      <c r="A741" s="2911" t="s">
        <v>4878</v>
      </c>
      <c r="B741" s="793">
        <v>7</v>
      </c>
      <c r="E741" s="213"/>
      <c r="I741" s="213">
        <f>IF(OR(B741=6,B741=7),1,0)</f>
        <v>1</v>
      </c>
    </row>
    <row r="742" spans="1:9" ht="31.5" x14ac:dyDescent="0.25">
      <c r="A742" s="2911" t="s">
        <v>2241</v>
      </c>
      <c r="B742" s="793">
        <v>1</v>
      </c>
      <c r="E742" s="213"/>
      <c r="I742">
        <f>IF(OR(B742=1,B742=2),1,0)</f>
        <v>1</v>
      </c>
    </row>
    <row r="743" spans="1:9" ht="31.5" x14ac:dyDescent="0.25">
      <c r="A743" s="1255" t="s">
        <v>2242</v>
      </c>
      <c r="B743" s="793">
        <v>9</v>
      </c>
      <c r="I743">
        <f>IF(OR(B743=8,B743=9),1,0)</f>
        <v>1</v>
      </c>
    </row>
    <row r="744" spans="1:9" ht="31.5" x14ac:dyDescent="0.25">
      <c r="A744" s="1255" t="s">
        <v>2244</v>
      </c>
      <c r="B744" s="793">
        <v>2</v>
      </c>
      <c r="I744">
        <f>IF(B744=2,1,0)</f>
        <v>1</v>
      </c>
    </row>
    <row r="745" spans="1:9" x14ac:dyDescent="0.2">
      <c r="B745" s="8"/>
      <c r="I745">
        <f>SUM(I740:I744)</f>
        <v>4</v>
      </c>
    </row>
    <row r="746" spans="1:9" ht="15.75" x14ac:dyDescent="0.25">
      <c r="A746" s="2912" t="str">
        <f>IF(I745=5,"Вы правильно ответили на вопросы. Продолжайте дальше",IF(I745=0,"","Отвечайте на вопросы.  Могут быть проблемы!"))</f>
        <v>Отвечайте на вопросы.  Могут быть проблемы!</v>
      </c>
      <c r="B746" s="2372"/>
      <c r="C746" s="2372"/>
      <c r="D746" s="849"/>
    </row>
    <row r="747" spans="1:9" ht="15.75" x14ac:dyDescent="0.25">
      <c r="A747" s="2913" t="str">
        <f>IF(I745=5,"    Если у Вас не возникли неясности по теме Система разработки, приступим к выбору системы разработки ","")</f>
        <v/>
      </c>
      <c r="B747" s="2372"/>
      <c r="C747" s="2372"/>
      <c r="D747" s="849"/>
    </row>
    <row r="748" spans="1:9" ht="15.75" x14ac:dyDescent="0.25">
      <c r="A748" s="2913" t="str">
        <f>IF(I745=5,"     в заданных условиях.","")</f>
        <v/>
      </c>
      <c r="D748" s="849"/>
    </row>
    <row r="749" spans="1:9" ht="15.75" x14ac:dyDescent="0.25">
      <c r="A749" s="1138" t="str">
        <f>IF(I745=5," Ранее Вами принят способ подготовки пласта 1 - панельный, 2 - погоризонтный","")</f>
        <v/>
      </c>
      <c r="B749" s="944">
        <f>B396</f>
        <v>1</v>
      </c>
      <c r="C749" s="2372" t="str">
        <f>IF(B749=1,"панельный","погоризонтный")</f>
        <v>панельный</v>
      </c>
      <c r="D749" s="849"/>
    </row>
    <row r="750" spans="1:9" x14ac:dyDescent="0.2">
      <c r="A750" s="4065" t="str">
        <f>IF(B749=2,"Направление подвигания лавы 1 - по падению, 2 - по восстанию"," Не вводить !")</f>
        <v xml:space="preserve"> Не вводить !</v>
      </c>
      <c r="B750" s="793"/>
      <c r="C750" s="213" t="str">
        <f>IF(B749=1,"",IF(B750=1,"по падению",IF(B750=2,"по восстанию","")))</f>
        <v/>
      </c>
      <c r="D750" s="849"/>
    </row>
    <row r="751" spans="1:9" ht="15.75" x14ac:dyDescent="0.25">
      <c r="A751" s="2913"/>
      <c r="B751" s="2372"/>
      <c r="C751" s="2372"/>
      <c r="D751" s="849"/>
    </row>
    <row r="752" spans="1:9" ht="15.75" x14ac:dyDescent="0.25">
      <c r="A752" s="2944" t="s">
        <v>6858</v>
      </c>
      <c r="B752" s="2372"/>
      <c r="C752" s="2372"/>
      <c r="D752" s="849"/>
    </row>
    <row r="753" spans="1:4" ht="15.75" x14ac:dyDescent="0.25">
      <c r="A753" s="884" t="s">
        <v>6881</v>
      </c>
      <c r="B753" s="2372"/>
      <c r="C753" s="2372"/>
      <c r="D753" s="849"/>
    </row>
    <row r="754" spans="1:4" ht="15.75" x14ac:dyDescent="0.25">
      <c r="A754" s="884" t="s">
        <v>6883</v>
      </c>
      <c r="B754" s="2372"/>
      <c r="C754" s="2372"/>
      <c r="D754" s="849"/>
    </row>
    <row r="755" spans="1:4" ht="15.75" x14ac:dyDescent="0.25">
      <c r="A755" s="818" t="s">
        <v>6890</v>
      </c>
    </row>
    <row r="756" spans="1:4" ht="15.75" x14ac:dyDescent="0.25">
      <c r="A756" s="4309" t="s">
        <v>6882</v>
      </c>
    </row>
    <row r="757" spans="1:4" ht="15.75" x14ac:dyDescent="0.25">
      <c r="A757" s="818" t="s">
        <v>6884</v>
      </c>
    </row>
    <row r="758" spans="1:4" ht="15.75" x14ac:dyDescent="0.25">
      <c r="A758" s="2737" t="s">
        <v>6889</v>
      </c>
      <c r="B758" s="8"/>
    </row>
    <row r="759" spans="1:4" ht="15.75" x14ac:dyDescent="0.25">
      <c r="A759" s="2737" t="s">
        <v>6885</v>
      </c>
      <c r="B759" s="8"/>
    </row>
    <row r="760" spans="1:4" ht="15.75" x14ac:dyDescent="0.25">
      <c r="A760" s="2737" t="s">
        <v>6886</v>
      </c>
      <c r="B760" s="8"/>
    </row>
    <row r="761" spans="1:4" ht="15.75" x14ac:dyDescent="0.25">
      <c r="A761" s="2737" t="s">
        <v>6891</v>
      </c>
      <c r="B761" s="2372"/>
      <c r="C761" s="2372"/>
      <c r="D761" s="849"/>
    </row>
    <row r="762" spans="1:4" ht="15.75" x14ac:dyDescent="0.25">
      <c r="A762" s="2640" t="s">
        <v>6892</v>
      </c>
    </row>
    <row r="763" spans="1:4" ht="15" x14ac:dyDescent="0.25">
      <c r="A763" s="4310" t="s">
        <v>6887</v>
      </c>
    </row>
    <row r="764" spans="1:4" ht="15.75" x14ac:dyDescent="0.25">
      <c r="A764" s="2640" t="s">
        <v>6920</v>
      </c>
      <c r="B764" s="2372"/>
      <c r="C764" s="2372"/>
    </row>
    <row r="765" spans="1:4" ht="15.75" x14ac:dyDescent="0.25">
      <c r="A765" s="2640" t="s">
        <v>6921</v>
      </c>
      <c r="B765" s="2372"/>
      <c r="C765" s="2372"/>
      <c r="D765" s="849"/>
    </row>
    <row r="766" spans="1:4" ht="15.75" x14ac:dyDescent="0.25">
      <c r="A766" s="2640" t="s">
        <v>6922</v>
      </c>
      <c r="B766" s="2372"/>
      <c r="C766" s="2372"/>
      <c r="D766" s="849"/>
    </row>
    <row r="767" spans="1:4" ht="15.75" x14ac:dyDescent="0.25">
      <c r="A767" s="2640" t="s">
        <v>6923</v>
      </c>
      <c r="B767" s="2372"/>
      <c r="C767" s="2372"/>
      <c r="D767" s="849" t="e">
        <f>((SIN(3.14*B178/180)*B176/4)+B179)*0.025/(B210*10)</f>
        <v>#VALUE!</v>
      </c>
    </row>
    <row r="768" spans="1:4" ht="15.75" x14ac:dyDescent="0.25">
      <c r="A768" s="2640" t="s">
        <v>6893</v>
      </c>
    </row>
    <row r="769" spans="1:6" ht="15" x14ac:dyDescent="0.25">
      <c r="A769" s="4310" t="s">
        <v>6888</v>
      </c>
    </row>
    <row r="770" spans="1:6" ht="15.75" x14ac:dyDescent="0.25">
      <c r="A770" s="2737" t="s">
        <v>6894</v>
      </c>
    </row>
    <row r="771" spans="1:6" ht="15.75" x14ac:dyDescent="0.25">
      <c r="A771" s="2640" t="s">
        <v>6895</v>
      </c>
    </row>
    <row r="772" spans="1:6" ht="15.75" x14ac:dyDescent="0.25">
      <c r="A772" s="2737" t="s">
        <v>6896</v>
      </c>
    </row>
    <row r="773" spans="1:6" ht="15.75" x14ac:dyDescent="0.25">
      <c r="A773" s="2640" t="s">
        <v>6900</v>
      </c>
    </row>
    <row r="774" spans="1:6" ht="15.75" x14ac:dyDescent="0.25">
      <c r="A774" s="2944" t="s">
        <v>6913</v>
      </c>
      <c r="B774" s="2372"/>
      <c r="C774" s="2372"/>
      <c r="D774" s="849"/>
    </row>
    <row r="775" spans="1:6" ht="15.75" x14ac:dyDescent="0.25">
      <c r="A775" s="2913" t="s">
        <v>6897</v>
      </c>
      <c r="B775" s="2372"/>
      <c r="C775" s="2372"/>
      <c r="D775" s="849"/>
    </row>
    <row r="776" spans="1:6" ht="15.75" x14ac:dyDescent="0.25">
      <c r="A776" s="2913" t="s">
        <v>6898</v>
      </c>
      <c r="B776" s="2372"/>
      <c r="C776" s="2372"/>
      <c r="D776" s="849"/>
    </row>
    <row r="777" spans="1:6" ht="15.75" x14ac:dyDescent="0.25">
      <c r="A777" s="2913" t="s">
        <v>6899</v>
      </c>
      <c r="B777" s="2372"/>
      <c r="C777" s="2372"/>
      <c r="D777" s="849"/>
    </row>
    <row r="778" spans="1:6" ht="15.75" x14ac:dyDescent="0.25">
      <c r="A778" s="2913" t="s">
        <v>6904</v>
      </c>
      <c r="B778" s="2372"/>
      <c r="C778" s="2372"/>
      <c r="D778" s="849"/>
    </row>
    <row r="779" spans="1:6" ht="15.75" x14ac:dyDescent="0.25">
      <c r="A779" s="2913" t="s">
        <v>6901</v>
      </c>
      <c r="B779" s="2372"/>
      <c r="C779" s="2372"/>
      <c r="D779" s="849"/>
    </row>
    <row r="780" spans="1:6" ht="15.75" x14ac:dyDescent="0.25">
      <c r="A780" s="2913" t="s">
        <v>6902</v>
      </c>
      <c r="B780" s="2372"/>
      <c r="C780" s="2372"/>
      <c r="D780" s="849"/>
    </row>
    <row r="781" spans="1:6" ht="15.75" x14ac:dyDescent="0.25">
      <c r="A781" s="2913" t="s">
        <v>6903</v>
      </c>
      <c r="B781" s="2372"/>
      <c r="C781" s="2372"/>
      <c r="D781" s="849"/>
    </row>
    <row r="782" spans="1:6" ht="15.75" x14ac:dyDescent="0.25">
      <c r="A782" s="2913" t="s">
        <v>6902</v>
      </c>
      <c r="B782" s="2372"/>
      <c r="C782" s="2372"/>
      <c r="D782" s="849"/>
    </row>
    <row r="783" spans="1:6" ht="15.75" x14ac:dyDescent="0.25">
      <c r="A783" s="884" t="s">
        <v>6905</v>
      </c>
      <c r="B783" s="2372"/>
      <c r="C783" s="2372"/>
      <c r="D783" s="849"/>
    </row>
    <row r="784" spans="1:6" ht="15.75" x14ac:dyDescent="0.25">
      <c r="A784" s="2913" t="s">
        <v>6906</v>
      </c>
      <c r="B784" s="2372"/>
      <c r="C784" s="2372"/>
      <c r="D784" s="849"/>
      <c r="F784" s="4308">
        <f>ROW(616:616)</f>
        <v>616</v>
      </c>
    </row>
    <row r="785" spans="1:38" ht="15.75" x14ac:dyDescent="0.25">
      <c r="A785" s="884" t="s">
        <v>6907</v>
      </c>
      <c r="B785" s="2372">
        <f>ROW(788:788)</f>
        <v>788</v>
      </c>
      <c r="C785" s="2372"/>
      <c r="D785" s="849"/>
    </row>
    <row r="786" spans="1:38" ht="15.75" x14ac:dyDescent="0.25">
      <c r="A786" s="2944" t="s">
        <v>6908</v>
      </c>
      <c r="B786" s="2372"/>
      <c r="C786" s="2372"/>
      <c r="D786" s="849"/>
    </row>
    <row r="787" spans="1:38" ht="15.75" x14ac:dyDescent="0.25">
      <c r="A787" s="4315" t="s">
        <v>6909</v>
      </c>
      <c r="B787" s="4323">
        <v>1</v>
      </c>
      <c r="C787" s="4323">
        <v>2</v>
      </c>
      <c r="D787" s="4323">
        <v>3</v>
      </c>
      <c r="E787" s="4323">
        <v>4</v>
      </c>
      <c r="F787" s="4323">
        <v>5</v>
      </c>
      <c r="G787" s="4323">
        <v>6</v>
      </c>
      <c r="H787" s="4323">
        <v>7</v>
      </c>
      <c r="I787" s="4323">
        <v>8</v>
      </c>
      <c r="J787" s="4323">
        <v>9</v>
      </c>
    </row>
    <row r="788" spans="1:38" ht="224.25" customHeight="1" x14ac:dyDescent="0.25">
      <c r="A788" s="4337" t="s">
        <v>6944</v>
      </c>
      <c r="B788" s="5"/>
      <c r="C788" s="5"/>
      <c r="D788" s="5"/>
      <c r="E788" s="5"/>
      <c r="F788" s="5"/>
      <c r="G788" s="5"/>
      <c r="H788" s="5"/>
      <c r="I788" s="5"/>
      <c r="J788" s="5"/>
    </row>
    <row r="789" spans="1:38" ht="15.75" x14ac:dyDescent="0.25">
      <c r="A789" s="4311" t="s">
        <v>6910</v>
      </c>
      <c r="B789" s="4318"/>
      <c r="C789" s="4318"/>
      <c r="D789" s="4318"/>
      <c r="E789" s="4177"/>
      <c r="F789" s="4177"/>
      <c r="G789" s="4177"/>
      <c r="H789" s="4177"/>
      <c r="I789" s="4177"/>
      <c r="J789" s="4177"/>
      <c r="AD789" s="4313">
        <f t="shared" ref="AD789:AJ789" si="3">IF(B789=1,1,0)</f>
        <v>0</v>
      </c>
      <c r="AE789" s="4313">
        <f t="shared" si="3"/>
        <v>0</v>
      </c>
      <c r="AF789" s="4313">
        <f t="shared" si="3"/>
        <v>0</v>
      </c>
      <c r="AG789" s="4313">
        <f t="shared" si="3"/>
        <v>0</v>
      </c>
      <c r="AH789" s="4313">
        <f t="shared" si="3"/>
        <v>0</v>
      </c>
      <c r="AI789" s="4313">
        <f t="shared" si="3"/>
        <v>0</v>
      </c>
      <c r="AJ789" s="4313">
        <f t="shared" si="3"/>
        <v>0</v>
      </c>
      <c r="AK789" s="4313">
        <f>IF(I789=0,1,0)</f>
        <v>1</v>
      </c>
      <c r="AL789" s="4313">
        <f>IF(J789=0,1,0)</f>
        <v>1</v>
      </c>
    </row>
    <row r="790" spans="1:38" ht="15.75" x14ac:dyDescent="0.25">
      <c r="A790" s="4312" t="s">
        <v>6912</v>
      </c>
      <c r="B790" s="3041" t="str">
        <f>IF(SUM(B789:J789)=8.8,"Верно","Внимательнее!")</f>
        <v>Внимательнее!</v>
      </c>
    </row>
    <row r="791" spans="1:38" ht="15.75" x14ac:dyDescent="0.25">
      <c r="A791" s="4311" t="s">
        <v>6911</v>
      </c>
      <c r="B791" s="4318"/>
      <c r="C791" s="4318"/>
      <c r="D791" s="4318"/>
      <c r="E791" s="4177"/>
      <c r="F791" s="4177"/>
      <c r="G791" s="4177"/>
      <c r="H791" s="4177"/>
      <c r="I791" s="4177"/>
      <c r="J791" s="4177"/>
      <c r="AD791" s="4313">
        <f>IF(AND(B78&lt;=0.9,B791&gt;=0.7),1,0)</f>
        <v>0</v>
      </c>
      <c r="AE791" s="4313">
        <f>IF(AND(C78&lt;=0.9,C791&gt;=0.7),1,0)</f>
        <v>0</v>
      </c>
      <c r="AF791" s="4313">
        <f>IF(D791=1,1,0)</f>
        <v>0</v>
      </c>
      <c r="AG791" s="4313">
        <f>IF(E791=1,1,0)</f>
        <v>0</v>
      </c>
      <c r="AH791" s="4314">
        <f>IF(AND(F791&gt;=0,F791&lt;=0.1),1,0)</f>
        <v>1</v>
      </c>
      <c r="AI791" s="4314">
        <f>IF(AND(G791&gt;=0,G791&lt;=0.1),1,0)</f>
        <v>1</v>
      </c>
      <c r="AJ791" s="4314">
        <f>IF(AND(H791&gt;=0,H791&lt;=0.1),1,0)</f>
        <v>1</v>
      </c>
      <c r="AK791" s="4314">
        <f>IF(AND(I791&gt;=0,I791&lt;=0.1),1,0)</f>
        <v>1</v>
      </c>
      <c r="AL791" s="4314">
        <f>IF(AND(J791&gt;=0,J791&lt;=0.1),1,0)</f>
        <v>1</v>
      </c>
    </row>
    <row r="792" spans="1:38" ht="15.75" x14ac:dyDescent="0.25">
      <c r="A792" s="4312" t="s">
        <v>6912</v>
      </c>
      <c r="B792" s="4316" t="str">
        <f>IF(AND(SUM(B791:J791)&gt;=4.1,SUM(B791:J791)&lt;=4.5),"Верно","Внимательнее!")</f>
        <v>Внимательнее!</v>
      </c>
      <c r="C792" s="861"/>
      <c r="D792" s="861"/>
      <c r="E792" s="861"/>
      <c r="F792" s="861"/>
      <c r="G792" s="861"/>
      <c r="H792" s="861"/>
      <c r="I792" s="861"/>
      <c r="J792" s="863"/>
    </row>
    <row r="793" spans="1:38" ht="15.75" x14ac:dyDescent="0.25">
      <c r="A793" s="4322" t="str">
        <f>IF(AND(B790="Верно",B792="Верно"),"Переходим к вычислению показателей целесообразности по возможной нагрузке на лаву","Нужно думать!")</f>
        <v>Нужно думать!</v>
      </c>
      <c r="B793" s="4317"/>
      <c r="C793" s="1"/>
      <c r="D793" s="1"/>
      <c r="E793" s="1"/>
      <c r="F793" s="1"/>
      <c r="G793" s="1"/>
      <c r="H793" s="1"/>
      <c r="I793" s="1"/>
      <c r="J793" s="1"/>
    </row>
    <row r="794" spans="1:38" ht="15.75" x14ac:dyDescent="0.25">
      <c r="A794" s="4322" t="s">
        <v>6924</v>
      </c>
      <c r="B794" s="4317"/>
      <c r="C794" s="1"/>
      <c r="D794" s="1"/>
      <c r="E794" s="1"/>
      <c r="F794" s="1"/>
      <c r="G794" s="1"/>
      <c r="H794" s="1"/>
      <c r="I794" s="1"/>
      <c r="J794" s="1"/>
    </row>
    <row r="795" spans="1:38" ht="15.75" x14ac:dyDescent="0.25">
      <c r="A795" s="2967" t="s">
        <v>6926</v>
      </c>
      <c r="B795" s="4317"/>
      <c r="C795" s="1"/>
      <c r="D795" s="1"/>
      <c r="E795" s="1"/>
      <c r="F795" s="1"/>
      <c r="G795" s="1"/>
      <c r="H795" s="1"/>
      <c r="I795" s="1"/>
      <c r="J795" s="1"/>
    </row>
    <row r="796" spans="1:38" ht="15.75" x14ac:dyDescent="0.25">
      <c r="A796" s="1326" t="str">
        <f>IF(AND(B790="Верно",B792="Верно"),"Газовыделение в лаву  q = 0,9*q1+0,1*q1*k1 +q2*k2, м3/т","Нужно думать!")</f>
        <v>Нужно думать!</v>
      </c>
      <c r="B796" s="2992" t="e">
        <f>0.9*$B$236+0.1*$B$236*B789+$B$237*B791</f>
        <v>#VALUE!</v>
      </c>
      <c r="C796" s="2992" t="e">
        <f t="shared" ref="C796:J796" si="4">0.9*$B$236+0.1*$B$236*C789+$B$237*C791</f>
        <v>#VALUE!</v>
      </c>
      <c r="D796" s="2992" t="e">
        <f t="shared" si="4"/>
        <v>#VALUE!</v>
      </c>
      <c r="E796" s="2992" t="e">
        <f t="shared" si="4"/>
        <v>#VALUE!</v>
      </c>
      <c r="F796" s="2992" t="e">
        <f t="shared" si="4"/>
        <v>#VALUE!</v>
      </c>
      <c r="G796" s="2992" t="e">
        <f t="shared" si="4"/>
        <v>#VALUE!</v>
      </c>
      <c r="H796" s="2992" t="e">
        <f t="shared" si="4"/>
        <v>#VALUE!</v>
      </c>
      <c r="I796" s="2992" t="e">
        <f t="shared" si="4"/>
        <v>#VALUE!</v>
      </c>
      <c r="J796" s="2992" t="e">
        <f t="shared" si="4"/>
        <v>#VALUE!</v>
      </c>
    </row>
    <row r="797" spans="1:38" ht="47.25" x14ac:dyDescent="0.25">
      <c r="A797" s="4324" t="s">
        <v>6932</v>
      </c>
      <c r="B797" s="4292" t="e">
        <f>(4*$B$404*4*0.7*24*60*60)/(100*B796)</f>
        <v>#VALUE!</v>
      </c>
      <c r="C797" s="4292" t="e">
        <f t="shared" ref="C797:J797" si="5">(4*$B$404*4*0.7*24*60*60)/(100*C796)</f>
        <v>#VALUE!</v>
      </c>
      <c r="D797" s="4292" t="e">
        <f t="shared" si="5"/>
        <v>#VALUE!</v>
      </c>
      <c r="E797" s="4292" t="e">
        <f t="shared" si="5"/>
        <v>#VALUE!</v>
      </c>
      <c r="F797" s="4292" t="e">
        <f t="shared" si="5"/>
        <v>#VALUE!</v>
      </c>
      <c r="G797" s="4292" t="e">
        <f t="shared" si="5"/>
        <v>#VALUE!</v>
      </c>
      <c r="H797" s="4292" t="e">
        <f t="shared" si="5"/>
        <v>#VALUE!</v>
      </c>
      <c r="I797" s="4292" t="e">
        <f t="shared" si="5"/>
        <v>#VALUE!</v>
      </c>
      <c r="J797" s="4292" t="e">
        <f t="shared" si="5"/>
        <v>#VALUE!</v>
      </c>
    </row>
    <row r="798" spans="1:38" ht="15.75" x14ac:dyDescent="0.25">
      <c r="A798" s="4325" t="s">
        <v>6933</v>
      </c>
      <c r="B798" s="2992" t="e">
        <f>193+368*$B$404</f>
        <v>#VALUE!</v>
      </c>
      <c r="C798" s="2992"/>
      <c r="D798" s="2992"/>
      <c r="E798" s="2992"/>
      <c r="F798" s="2992"/>
      <c r="G798" s="2992"/>
      <c r="H798" s="2992"/>
      <c r="I798" s="2992"/>
      <c r="J798" s="2992"/>
    </row>
    <row r="799" spans="1:38" ht="15.75" x14ac:dyDescent="0.25">
      <c r="A799" s="4315" t="s">
        <v>6925</v>
      </c>
      <c r="B799" s="4326" t="e">
        <f>IF(B797&lt;$B$798,B797,$B$798)</f>
        <v>#VALUE!</v>
      </c>
      <c r="C799" s="4326" t="e">
        <f>IF(C797&lt;$B$798,C797,$B$798)</f>
        <v>#VALUE!</v>
      </c>
      <c r="D799" s="4326" t="e">
        <f t="shared" ref="D799:J799" si="6">IF(D797&lt;$B$798,D797,$B$798)</f>
        <v>#VALUE!</v>
      </c>
      <c r="E799" s="4326" t="e">
        <f t="shared" si="6"/>
        <v>#VALUE!</v>
      </c>
      <c r="F799" s="4326" t="e">
        <f t="shared" si="6"/>
        <v>#VALUE!</v>
      </c>
      <c r="G799" s="4326" t="e">
        <f t="shared" si="6"/>
        <v>#VALUE!</v>
      </c>
      <c r="H799" s="4326" t="e">
        <f t="shared" si="6"/>
        <v>#VALUE!</v>
      </c>
      <c r="I799" s="4326" t="e">
        <f t="shared" si="6"/>
        <v>#VALUE!</v>
      </c>
      <c r="J799" s="4326" t="e">
        <f t="shared" si="6"/>
        <v>#VALUE!</v>
      </c>
    </row>
    <row r="800" spans="1:38" ht="15.75" x14ac:dyDescent="0.25">
      <c r="A800" s="4315" t="s">
        <v>6931</v>
      </c>
      <c r="B800" s="4319" t="e">
        <f>MIN(B799:J799)</f>
        <v>#VALUE!</v>
      </c>
      <c r="C800" s="4065"/>
      <c r="D800" s="4065"/>
      <c r="E800" s="4065"/>
      <c r="F800" s="4065"/>
      <c r="G800" s="4065"/>
      <c r="H800" s="4065"/>
      <c r="I800" s="4065"/>
      <c r="J800" s="4065"/>
    </row>
    <row r="801" spans="1:10" ht="31.5" x14ac:dyDescent="0.25">
      <c r="A801" s="1138" t="s">
        <v>6927</v>
      </c>
      <c r="B801" s="4321" t="e">
        <f>B799/$B$800</f>
        <v>#VALUE!</v>
      </c>
      <c r="C801" s="4321" t="e">
        <f t="shared" ref="C801:J801" si="7">C799/$B$800</f>
        <v>#VALUE!</v>
      </c>
      <c r="D801" s="4321" t="e">
        <f t="shared" si="7"/>
        <v>#VALUE!</v>
      </c>
      <c r="E801" s="4321" t="e">
        <f t="shared" si="7"/>
        <v>#VALUE!</v>
      </c>
      <c r="F801" s="4321" t="e">
        <f t="shared" si="7"/>
        <v>#VALUE!</v>
      </c>
      <c r="G801" s="4321" t="e">
        <f t="shared" si="7"/>
        <v>#VALUE!</v>
      </c>
      <c r="H801" s="4321" t="e">
        <f t="shared" si="7"/>
        <v>#VALUE!</v>
      </c>
      <c r="I801" s="4321" t="e">
        <f t="shared" si="7"/>
        <v>#VALUE!</v>
      </c>
      <c r="J801" s="4321" t="e">
        <f t="shared" si="7"/>
        <v>#VALUE!</v>
      </c>
    </row>
    <row r="802" spans="1:10" ht="15.75" x14ac:dyDescent="0.25">
      <c r="A802" s="2944"/>
      <c r="B802" s="2372"/>
      <c r="C802" s="2372"/>
      <c r="D802" s="2372"/>
      <c r="E802" s="2372"/>
      <c r="F802" s="2372"/>
      <c r="G802" s="2372"/>
      <c r="H802" s="2372"/>
      <c r="I802" s="2372"/>
      <c r="J802" s="2372"/>
    </row>
    <row r="803" spans="1:10" ht="15.75" x14ac:dyDescent="0.25">
      <c r="A803" s="942" t="s">
        <v>6928</v>
      </c>
      <c r="B803" s="4291"/>
      <c r="C803" s="892"/>
    </row>
    <row r="804" spans="1:10" ht="28.5" customHeight="1" x14ac:dyDescent="0.25">
      <c r="A804" s="4293" t="s">
        <v>5781</v>
      </c>
      <c r="B804" s="1202">
        <v>1</v>
      </c>
      <c r="C804" s="1202">
        <v>2</v>
      </c>
      <c r="D804" s="1202">
        <v>3</v>
      </c>
      <c r="E804" s="1202">
        <v>4</v>
      </c>
      <c r="F804" s="1202">
        <v>5</v>
      </c>
      <c r="G804" s="1202">
        <v>6</v>
      </c>
      <c r="H804" s="1202">
        <v>7</v>
      </c>
      <c r="I804" s="1202">
        <v>8</v>
      </c>
      <c r="J804" s="1202">
        <v>9</v>
      </c>
    </row>
    <row r="805" spans="1:10" ht="15.75" x14ac:dyDescent="0.25">
      <c r="A805" s="1255" t="s">
        <v>6914</v>
      </c>
      <c r="B805" s="4065">
        <f>IF($B$404&lt;1.2,1,0)</f>
        <v>0</v>
      </c>
      <c r="C805" s="4065">
        <f>IF($B$404&lt;1.2,1,0)</f>
        <v>0</v>
      </c>
      <c r="D805" s="4065">
        <f>IF($B$404&lt;1.2,0,1)</f>
        <v>1</v>
      </c>
      <c r="E805" s="4065">
        <f>IF($B$404&lt;1.2,0,1)</f>
        <v>1</v>
      </c>
      <c r="F805" s="4065">
        <f>IF($B$404&lt;1.2,1,0)</f>
        <v>0</v>
      </c>
      <c r="G805" s="4065">
        <f>IF($B$404&lt;1.2,0,1)</f>
        <v>1</v>
      </c>
      <c r="H805" s="4065">
        <f>IF($B$404&lt;1.2,0,1)</f>
        <v>1</v>
      </c>
      <c r="I805" s="4065">
        <f t="shared" ref="I805:J805" si="8">IF($B$404&lt;1.2,0,1)</f>
        <v>1</v>
      </c>
      <c r="J805" s="4065">
        <f t="shared" si="8"/>
        <v>1</v>
      </c>
    </row>
    <row r="806" spans="1:10" ht="47.25" x14ac:dyDescent="0.25">
      <c r="A806" s="1255" t="s">
        <v>6915</v>
      </c>
      <c r="B806" s="4065">
        <v>0</v>
      </c>
      <c r="C806" s="4065">
        <v>0</v>
      </c>
      <c r="D806" s="4066">
        <v>0</v>
      </c>
      <c r="E806" s="2992" t="e">
        <f>IF($D$767&lt;0.5,1,0)</f>
        <v>#VALUE!</v>
      </c>
      <c r="F806" s="2992" t="e">
        <f>IF($D$767&lt;0.5,1,0)</f>
        <v>#VALUE!</v>
      </c>
      <c r="G806" s="2992">
        <v>0</v>
      </c>
      <c r="H806" s="2992" t="e">
        <f>IF($D$767&lt;0.5,1,0)</f>
        <v>#VALUE!</v>
      </c>
      <c r="I806" s="2992">
        <v>0</v>
      </c>
      <c r="J806" s="2992" t="e">
        <f>IF($D$767&lt;0.5,1,0)</f>
        <v>#VALUE!</v>
      </c>
    </row>
    <row r="807" spans="1:10" ht="47.25" x14ac:dyDescent="0.25">
      <c r="A807" s="1255" t="s">
        <v>6916</v>
      </c>
      <c r="B807" s="4065">
        <v>1</v>
      </c>
      <c r="C807" s="4065">
        <v>1</v>
      </c>
      <c r="D807" s="4066">
        <v>0</v>
      </c>
      <c r="E807" s="2992">
        <v>0.5</v>
      </c>
      <c r="F807" s="2992">
        <v>1</v>
      </c>
      <c r="G807" s="2992">
        <v>0</v>
      </c>
      <c r="H807" s="2992">
        <v>0.5</v>
      </c>
      <c r="I807" s="2992">
        <v>0</v>
      </c>
      <c r="J807" s="2992">
        <v>0.5</v>
      </c>
    </row>
    <row r="808" spans="1:10" ht="31.5" x14ac:dyDescent="0.25">
      <c r="A808" s="1255" t="s">
        <v>6919</v>
      </c>
      <c r="B808" s="4065">
        <v>0</v>
      </c>
      <c r="C808" s="4065">
        <v>0</v>
      </c>
      <c r="D808" s="4066">
        <v>1</v>
      </c>
      <c r="E808" s="2992">
        <v>0</v>
      </c>
      <c r="F808" s="2992">
        <v>0</v>
      </c>
      <c r="G808" s="2992">
        <v>0</v>
      </c>
      <c r="H808" s="2992">
        <v>0</v>
      </c>
      <c r="I808" s="2992">
        <v>1</v>
      </c>
      <c r="J808" s="2992">
        <v>1</v>
      </c>
    </row>
    <row r="809" spans="1:10" ht="31.5" x14ac:dyDescent="0.25">
      <c r="A809" s="1255" t="s">
        <v>6917</v>
      </c>
      <c r="B809" s="4065">
        <v>0</v>
      </c>
      <c r="C809" s="4065">
        <v>0</v>
      </c>
      <c r="D809" s="4066">
        <v>1</v>
      </c>
      <c r="E809" s="2992">
        <v>1</v>
      </c>
      <c r="F809" s="2992">
        <v>0</v>
      </c>
      <c r="G809" s="2992">
        <v>1</v>
      </c>
      <c r="H809" s="2992">
        <v>1</v>
      </c>
      <c r="I809" s="2992">
        <v>0</v>
      </c>
      <c r="J809" s="2992">
        <v>0</v>
      </c>
    </row>
    <row r="810" spans="1:10" ht="31.5" x14ac:dyDescent="0.25">
      <c r="A810" s="1255" t="s">
        <v>6918</v>
      </c>
      <c r="B810" s="4065">
        <v>1</v>
      </c>
      <c r="C810" s="4065">
        <v>1</v>
      </c>
      <c r="D810" s="4066">
        <v>1</v>
      </c>
      <c r="E810" s="2992">
        <v>1</v>
      </c>
      <c r="F810" s="2992">
        <v>0</v>
      </c>
      <c r="G810" s="2992">
        <v>0</v>
      </c>
      <c r="H810" s="2992">
        <v>0</v>
      </c>
      <c r="I810" s="2992">
        <v>0</v>
      </c>
      <c r="J810" s="2992">
        <v>0</v>
      </c>
    </row>
    <row r="811" spans="1:10" ht="15.75" x14ac:dyDescent="0.25">
      <c r="A811" s="4315" t="s">
        <v>6929</v>
      </c>
      <c r="B811" s="4321">
        <f>SUM(B805:B810)/6</f>
        <v>0.33333333333333331</v>
      </c>
      <c r="C811" s="4321">
        <f t="shared" ref="C811:J811" si="9">SUM(C805:C810)/6</f>
        <v>0.33333333333333331</v>
      </c>
      <c r="D811" s="4321">
        <f t="shared" si="9"/>
        <v>0.66666666666666663</v>
      </c>
      <c r="E811" s="4321" t="e">
        <f t="shared" si="9"/>
        <v>#VALUE!</v>
      </c>
      <c r="F811" s="4321" t="e">
        <f t="shared" si="9"/>
        <v>#VALUE!</v>
      </c>
      <c r="G811" s="4321">
        <f t="shared" si="9"/>
        <v>0.33333333333333331</v>
      </c>
      <c r="H811" s="4321" t="e">
        <f t="shared" si="9"/>
        <v>#VALUE!</v>
      </c>
      <c r="I811" s="4321">
        <f t="shared" si="9"/>
        <v>0.33333333333333331</v>
      </c>
      <c r="J811" s="4321" t="e">
        <f t="shared" si="9"/>
        <v>#VALUE!</v>
      </c>
    </row>
    <row r="812" spans="1:10" ht="15.75" x14ac:dyDescent="0.25">
      <c r="A812" s="884"/>
      <c r="B812" s="2372"/>
      <c r="C812" s="2372"/>
      <c r="D812" s="849"/>
    </row>
    <row r="813" spans="1:10" ht="15.75" x14ac:dyDescent="0.25">
      <c r="A813" s="4315" t="s">
        <v>6934</v>
      </c>
      <c r="B813" s="4321" t="e">
        <f>B811+B801</f>
        <v>#VALUE!</v>
      </c>
      <c r="C813" s="4321" t="e">
        <f t="shared" ref="C813:J813" si="10">C811+C801</f>
        <v>#VALUE!</v>
      </c>
      <c r="D813" s="4321" t="e">
        <f t="shared" si="10"/>
        <v>#VALUE!</v>
      </c>
      <c r="E813" s="4321" t="e">
        <f t="shared" si="10"/>
        <v>#VALUE!</v>
      </c>
      <c r="F813" s="4321" t="e">
        <f t="shared" si="10"/>
        <v>#VALUE!</v>
      </c>
      <c r="G813" s="4321" t="e">
        <f t="shared" si="10"/>
        <v>#VALUE!</v>
      </c>
      <c r="H813" s="4321" t="e">
        <f t="shared" si="10"/>
        <v>#VALUE!</v>
      </c>
      <c r="I813" s="4321" t="e">
        <f t="shared" si="10"/>
        <v>#VALUE!</v>
      </c>
      <c r="J813" s="4321" t="e">
        <f t="shared" si="10"/>
        <v>#VALUE!</v>
      </c>
    </row>
    <row r="814" spans="1:10" ht="15.75" x14ac:dyDescent="0.25">
      <c r="A814" s="2944"/>
      <c r="B814" s="2372"/>
      <c r="C814" s="2372"/>
      <c r="D814" s="849"/>
    </row>
    <row r="815" spans="1:10" ht="31.5" x14ac:dyDescent="0.25">
      <c r="A815" s="1138" t="s">
        <v>6930</v>
      </c>
      <c r="B815" s="4327"/>
      <c r="C815" s="4327"/>
      <c r="D815" s="4327"/>
      <c r="E815" s="4327"/>
      <c r="F815" s="4327"/>
      <c r="G815" s="4327"/>
    </row>
    <row r="816" spans="1:10" ht="15.75" x14ac:dyDescent="0.25">
      <c r="A816" s="2944"/>
      <c r="B816" s="2372"/>
      <c r="C816" s="2372"/>
      <c r="D816" s="849"/>
    </row>
    <row r="817" spans="1:20" ht="15" x14ac:dyDescent="0.2">
      <c r="A817" s="1391" t="s">
        <v>6838</v>
      </c>
      <c r="B817" s="793"/>
      <c r="C817" s="2372"/>
      <c r="D817" s="849"/>
    </row>
    <row r="818" spans="1:20" ht="17.25" customHeight="1" x14ac:dyDescent="0.2">
      <c r="A818" s="321" t="s">
        <v>840</v>
      </c>
    </row>
    <row r="819" spans="1:20" ht="85.5" customHeight="1" x14ac:dyDescent="0.2">
      <c r="A819" s="2736" t="e">
        <f>INDEX(B2419:DY2419,INDEX(D2250:L2250,B817))</f>
        <v>#VALUE!</v>
      </c>
      <c r="L819" s="857">
        <v>1</v>
      </c>
      <c r="M819" s="857">
        <v>2</v>
      </c>
      <c r="N819" s="857">
        <v>1</v>
      </c>
      <c r="O819" s="857">
        <v>2</v>
      </c>
      <c r="P819" s="857">
        <v>2</v>
      </c>
      <c r="Q819" s="857">
        <v>1</v>
      </c>
      <c r="R819" s="857">
        <v>2</v>
      </c>
      <c r="S819" s="857">
        <v>1</v>
      </c>
      <c r="T819" s="857">
        <v>2</v>
      </c>
    </row>
    <row r="820" spans="1:20" ht="27" customHeight="1" x14ac:dyDescent="0.2">
      <c r="A820" s="4281" t="s">
        <v>6839</v>
      </c>
      <c r="L820" s="239"/>
      <c r="M820" s="239"/>
      <c r="N820" s="239"/>
      <c r="O820" s="239"/>
      <c r="P820" s="239"/>
      <c r="Q820" s="239"/>
      <c r="R820" s="239"/>
      <c r="S820" s="239"/>
      <c r="T820" s="239"/>
    </row>
    <row r="821" spans="1:20" ht="31.5" x14ac:dyDescent="0.25">
      <c r="A821" s="1255" t="s">
        <v>839</v>
      </c>
      <c r="B821" s="793"/>
      <c r="C821" s="4101" t="e">
        <f>IF(INDEX(L819:T819,B817)=B821,"","Думайте!!!")</f>
        <v>#VALUE!</v>
      </c>
    </row>
    <row r="822" spans="1:20" s="8" customFormat="1" x14ac:dyDescent="0.2">
      <c r="A822"/>
      <c r="B822" s="239"/>
      <c r="C822" s="239"/>
      <c r="D822" s="239"/>
      <c r="E822" s="239"/>
      <c r="F822" s="239"/>
      <c r="L822" s="8" t="s">
        <v>6579</v>
      </c>
    </row>
    <row r="823" spans="1:20" ht="15" x14ac:dyDescent="0.2">
      <c r="A823" s="1391" t="str">
        <f>IF(B2201=1,"Вы перенесли  таблицу в текст записки? 1 - Да, 2 - Нет","не вводить!")</f>
        <v>не вводить!</v>
      </c>
      <c r="B823" s="4159"/>
      <c r="L823" s="4065">
        <v>0</v>
      </c>
      <c r="M823" s="4065">
        <v>0</v>
      </c>
      <c r="N823" s="4066">
        <v>1</v>
      </c>
      <c r="O823" s="4066">
        <v>0</v>
      </c>
      <c r="P823" s="4066">
        <v>0</v>
      </c>
      <c r="Q823" s="4066">
        <v>0</v>
      </c>
      <c r="R823" s="4066">
        <v>0</v>
      </c>
      <c r="S823" s="4066">
        <v>1</v>
      </c>
      <c r="T823" s="4066">
        <v>1</v>
      </c>
    </row>
    <row r="824" spans="1:20" x14ac:dyDescent="0.2">
      <c r="A824" s="4282" t="str">
        <f>IF(B823=1,"Переходите по ссылке","")</f>
        <v/>
      </c>
      <c r="B824" s="8"/>
    </row>
    <row r="825" spans="1:20" ht="15.75" x14ac:dyDescent="0.25">
      <c r="A825" s="2682" t="s">
        <v>2848</v>
      </c>
      <c r="B825" s="8"/>
    </row>
    <row r="826" spans="1:20" ht="15.75" x14ac:dyDescent="0.25">
      <c r="A826" s="2682" t="s">
        <v>2849</v>
      </c>
      <c r="B826" s="8"/>
    </row>
    <row r="827" spans="1:20" ht="15.75" x14ac:dyDescent="0.25">
      <c r="A827" s="2682" t="s">
        <v>2381</v>
      </c>
      <c r="B827" s="8"/>
    </row>
    <row r="828" spans="1:20" ht="15.75" x14ac:dyDescent="0.25">
      <c r="A828" s="2682" t="s">
        <v>1380</v>
      </c>
      <c r="B828" s="8"/>
    </row>
    <row r="829" spans="1:20" ht="15.75" x14ac:dyDescent="0.25">
      <c r="A829" s="2682" t="s">
        <v>1377</v>
      </c>
      <c r="B829" s="8"/>
    </row>
    <row r="830" spans="1:20" ht="15.75" x14ac:dyDescent="0.25">
      <c r="A830" s="2682" t="s">
        <v>1381</v>
      </c>
      <c r="B830" s="8"/>
    </row>
    <row r="831" spans="1:20" ht="15.75" x14ac:dyDescent="0.25">
      <c r="A831" s="2682" t="s">
        <v>1378</v>
      </c>
      <c r="B831" s="8"/>
    </row>
    <row r="832" spans="1:20" ht="15.75" x14ac:dyDescent="0.25">
      <c r="A832" s="2682" t="s">
        <v>448</v>
      </c>
      <c r="B832" s="8"/>
    </row>
    <row r="833" spans="1:8" ht="15.75" x14ac:dyDescent="0.25">
      <c r="A833" s="2682" t="s">
        <v>725</v>
      </c>
      <c r="B833" s="8"/>
    </row>
    <row r="834" spans="1:8" ht="15.75" x14ac:dyDescent="0.25">
      <c r="A834" s="2682" t="s">
        <v>726</v>
      </c>
      <c r="B834" s="8"/>
    </row>
    <row r="835" spans="1:8" ht="15.75" x14ac:dyDescent="0.25">
      <c r="A835" s="2682" t="s">
        <v>727</v>
      </c>
      <c r="B835" s="8"/>
    </row>
    <row r="836" spans="1:8" ht="15.75" x14ac:dyDescent="0.25">
      <c r="A836" s="2682" t="s">
        <v>728</v>
      </c>
      <c r="B836" s="8"/>
    </row>
    <row r="837" spans="1:8" ht="15.75" x14ac:dyDescent="0.25">
      <c r="A837" s="2682" t="s">
        <v>730</v>
      </c>
      <c r="B837" s="8"/>
    </row>
    <row r="838" spans="1:8" ht="20.25" customHeight="1" x14ac:dyDescent="0.25">
      <c r="A838" s="2682" t="s">
        <v>729</v>
      </c>
    </row>
    <row r="839" spans="1:8" ht="33.75" customHeight="1" x14ac:dyDescent="0.25">
      <c r="A839" s="2374" t="s">
        <v>3995</v>
      </c>
      <c r="B839" s="4307"/>
      <c r="C839" s="3014"/>
    </row>
    <row r="840" spans="1:8" ht="36.75" customHeight="1" x14ac:dyDescent="0.2">
      <c r="A840" s="4126" t="s">
        <v>5686</v>
      </c>
    </row>
    <row r="841" spans="1:8" ht="41.25" customHeight="1" x14ac:dyDescent="0.2">
      <c r="A841" s="3014"/>
      <c r="B841" s="4294" t="s">
        <v>6861</v>
      </c>
      <c r="C841" s="4294" t="s">
        <v>6860</v>
      </c>
      <c r="D841" s="3003"/>
      <c r="E841" s="3003"/>
      <c r="F841" s="3003"/>
      <c r="G841" s="3003"/>
      <c r="H841" s="3003"/>
    </row>
    <row r="842" spans="1:8" ht="20.25" customHeight="1" x14ac:dyDescent="0.2">
      <c r="A842" s="3016" t="s">
        <v>1761</v>
      </c>
      <c r="B842" s="3015" t="s">
        <v>731</v>
      </c>
      <c r="C842" s="3017" t="s">
        <v>5687</v>
      </c>
      <c r="D842" s="3003"/>
      <c r="E842" s="3003"/>
      <c r="F842" s="46"/>
      <c r="G842" s="3003"/>
      <c r="H842" s="46"/>
    </row>
    <row r="843" spans="1:8" ht="20.25" customHeight="1" x14ac:dyDescent="0.2">
      <c r="A843" s="3016" t="s">
        <v>1761</v>
      </c>
      <c r="B843" s="3015" t="s">
        <v>732</v>
      </c>
      <c r="C843" s="3017" t="s">
        <v>5688</v>
      </c>
      <c r="D843" s="3003"/>
      <c r="E843" s="3003"/>
      <c r="F843" s="3003"/>
      <c r="G843" s="3003"/>
      <c r="H843" s="3003"/>
    </row>
    <row r="844" spans="1:8" ht="20.25" customHeight="1" x14ac:dyDescent="0.2">
      <c r="A844" s="3018" t="s">
        <v>6662</v>
      </c>
      <c r="B844" s="3015" t="s">
        <v>731</v>
      </c>
      <c r="C844" s="3017" t="s">
        <v>5689</v>
      </c>
      <c r="D844" s="3003"/>
      <c r="E844" s="3003"/>
      <c r="F844" s="46"/>
      <c r="G844" s="3003"/>
      <c r="H844" s="46"/>
    </row>
    <row r="845" spans="1:8" ht="20.25" customHeight="1" x14ac:dyDescent="0.2">
      <c r="A845" s="3018" t="s">
        <v>6663</v>
      </c>
      <c r="B845" s="3015" t="s">
        <v>732</v>
      </c>
      <c r="C845" s="3017" t="s">
        <v>5690</v>
      </c>
      <c r="D845" s="3003"/>
      <c r="E845" s="3003"/>
      <c r="F845" s="46"/>
      <c r="G845" s="3003"/>
      <c r="H845" s="46"/>
    </row>
    <row r="846" spans="1:8" ht="20.25" customHeight="1" x14ac:dyDescent="0.2">
      <c r="A846" s="3019" t="s">
        <v>5691</v>
      </c>
      <c r="B846" s="3020" t="s">
        <v>6758</v>
      </c>
      <c r="C846" s="43"/>
      <c r="D846" s="43"/>
      <c r="E846" s="43"/>
      <c r="F846" s="46"/>
      <c r="G846" s="43"/>
      <c r="H846" s="46"/>
    </row>
    <row r="847" spans="1:8" ht="20.25" customHeight="1" x14ac:dyDescent="0.3">
      <c r="A847" s="1222" t="s">
        <v>480</v>
      </c>
      <c r="B847" s="793">
        <v>3</v>
      </c>
      <c r="C847" s="43"/>
      <c r="D847" s="43"/>
      <c r="E847" s="43"/>
      <c r="F847" s="46"/>
      <c r="G847" s="43"/>
      <c r="H847" s="46"/>
    </row>
    <row r="848" spans="1:8" ht="20.25" customHeight="1" x14ac:dyDescent="0.2">
      <c r="A848" s="1222" t="s">
        <v>5156</v>
      </c>
      <c r="B848" s="793">
        <v>2.2000000000000002</v>
      </c>
      <c r="D848" s="47"/>
      <c r="E848" s="47"/>
      <c r="F848" s="47"/>
      <c r="G848" s="47"/>
      <c r="H848" s="47"/>
    </row>
    <row r="849" spans="1:17" ht="20.25" customHeight="1" x14ac:dyDescent="0.2">
      <c r="A849" s="2973" t="s">
        <v>1763</v>
      </c>
      <c r="B849" s="857"/>
      <c r="D849" s="47"/>
      <c r="E849" s="47"/>
      <c r="F849" s="47"/>
      <c r="G849" s="47"/>
      <c r="H849" s="47"/>
    </row>
    <row r="850" spans="1:17" ht="20.25" customHeight="1" x14ac:dyDescent="0.2">
      <c r="A850" s="2973" t="s">
        <v>0</v>
      </c>
      <c r="B850" s="857"/>
      <c r="D850" s="47"/>
      <c r="E850" s="47"/>
      <c r="F850" s="47"/>
      <c r="G850" s="47"/>
      <c r="H850" s="47"/>
    </row>
    <row r="851" spans="1:17" ht="20.25" customHeight="1" x14ac:dyDescent="0.2">
      <c r="A851" s="2973" t="s">
        <v>719</v>
      </c>
      <c r="B851" s="857"/>
      <c r="D851" s="47"/>
      <c r="E851" s="47"/>
      <c r="F851" s="47"/>
      <c r="G851" s="47"/>
      <c r="H851" s="47"/>
    </row>
    <row r="852" spans="1:17" ht="20.25" customHeight="1" x14ac:dyDescent="0.2">
      <c r="A852" s="2973" t="s">
        <v>720</v>
      </c>
      <c r="B852" s="857"/>
      <c r="D852" s="47"/>
      <c r="E852" s="47"/>
      <c r="F852" s="47"/>
      <c r="G852" s="47"/>
      <c r="H852" s="47"/>
    </row>
    <row r="853" spans="1:17" ht="20.25" customHeight="1" x14ac:dyDescent="0.2">
      <c r="A853" s="2973" t="s">
        <v>721</v>
      </c>
      <c r="B853" s="857"/>
      <c r="D853" s="47"/>
      <c r="E853" s="47"/>
      <c r="F853" s="47"/>
      <c r="G853" s="4170"/>
      <c r="H853" s="4170"/>
    </row>
    <row r="854" spans="1:17" ht="20.25" customHeight="1" x14ac:dyDescent="0.2">
      <c r="A854" s="2973" t="s">
        <v>722</v>
      </c>
      <c r="B854" s="857"/>
      <c r="D854" s="47"/>
      <c r="E854" s="47"/>
      <c r="F854" s="47"/>
      <c r="G854" s="47"/>
      <c r="H854" s="47"/>
    </row>
    <row r="855" spans="1:17" ht="20.25" customHeight="1" x14ac:dyDescent="0.2">
      <c r="A855" s="2973" t="s">
        <v>723</v>
      </c>
      <c r="B855" s="857"/>
      <c r="D855" s="47"/>
      <c r="E855" s="47"/>
      <c r="F855" s="47"/>
      <c r="G855" s="47"/>
      <c r="H855" s="47"/>
      <c r="N855" s="3021"/>
      <c r="O855" s="958"/>
      <c r="P855" s="3022"/>
    </row>
    <row r="856" spans="1:17" ht="20.25" customHeight="1" x14ac:dyDescent="0.2">
      <c r="A856" s="2973" t="s">
        <v>724</v>
      </c>
      <c r="B856" s="857"/>
      <c r="D856" s="47"/>
      <c r="E856" s="47"/>
      <c r="F856" s="47"/>
      <c r="G856" s="47"/>
      <c r="H856" s="47"/>
      <c r="N856" s="2777"/>
      <c r="O856" s="1"/>
      <c r="P856" s="3023"/>
    </row>
    <row r="857" spans="1:17" ht="20.25" customHeight="1" x14ac:dyDescent="0.25">
      <c r="A857" s="2973" t="s">
        <v>6862</v>
      </c>
      <c r="D857" s="893" t="s">
        <v>6533</v>
      </c>
      <c r="N857" s="2778"/>
      <c r="O857" s="1198"/>
      <c r="P857" s="3024"/>
    </row>
    <row r="858" spans="1:17" ht="39" customHeight="1" x14ac:dyDescent="0.2">
      <c r="A858" s="1222"/>
      <c r="B858" s="857"/>
      <c r="F858" s="11"/>
    </row>
    <row r="859" spans="1:17" ht="42" customHeight="1" x14ac:dyDescent="0.2">
      <c r="A859" s="4122" t="s">
        <v>1762</v>
      </c>
      <c r="B859" s="4123"/>
      <c r="F859" s="11"/>
      <c r="M859" s="3021"/>
      <c r="N859" s="3025"/>
      <c r="O859" s="3025"/>
      <c r="P859" s="3025"/>
      <c r="Q859" s="3022"/>
    </row>
    <row r="860" spans="1:17" ht="19.5" customHeight="1" x14ac:dyDescent="0.2">
      <c r="A860" s="1235" t="s">
        <v>6535</v>
      </c>
      <c r="B860" s="3041" t="str">
        <f>IF(B500=1,C507,C515)</f>
        <v/>
      </c>
      <c r="F860" s="11"/>
      <c r="M860" s="2777"/>
      <c r="N860" s="3025"/>
      <c r="O860" s="362"/>
      <c r="P860" s="362"/>
      <c r="Q860" s="3023"/>
    </row>
    <row r="861" spans="1:17" ht="39" customHeight="1" x14ac:dyDescent="0.25">
      <c r="A861" s="1235" t="str">
        <f>IF(OR(B500=1,B500=3),"Комбайновая лава   Пользуйтесь рисунком!","-----------------------------------------------")</f>
        <v>-----------------------------------------------</v>
      </c>
      <c r="B861" s="1234"/>
      <c r="D861" s="893"/>
      <c r="F861" s="11"/>
      <c r="M861" s="2777"/>
      <c r="N861" s="3025"/>
      <c r="O861" s="362"/>
      <c r="P861" s="362"/>
      <c r="Q861" s="3023"/>
    </row>
    <row r="862" spans="1:17" ht="33" customHeight="1" x14ac:dyDescent="0.25">
      <c r="A862" s="1255" t="s">
        <v>4103</v>
      </c>
      <c r="B862" s="2781"/>
      <c r="D862" s="893"/>
      <c r="F862" s="11"/>
      <c r="M862" s="2777"/>
      <c r="N862" s="3025"/>
      <c r="O862" s="362"/>
      <c r="P862" s="362"/>
      <c r="Q862" s="3023"/>
    </row>
    <row r="863" spans="1:17" ht="48.75" customHeight="1" x14ac:dyDescent="0.25">
      <c r="A863" s="1255" t="s">
        <v>4104</v>
      </c>
      <c r="B863" s="793"/>
      <c r="F863" s="11"/>
      <c r="M863" s="2777"/>
      <c r="N863" s="3025"/>
      <c r="O863" s="362"/>
      <c r="P863" s="362"/>
      <c r="Q863" s="3023"/>
    </row>
    <row r="864" spans="1:17" ht="30" customHeight="1" x14ac:dyDescent="0.25">
      <c r="A864" s="1255" t="str">
        <f>IF(OR(B500=1,B500=3),"Выносится ли конвейерная головка в транспортную выработку? 1 - Да, 2 - нет","-------------------------------")</f>
        <v>-------------------------------</v>
      </c>
      <c r="B864" s="1236"/>
      <c r="F864" s="11"/>
      <c r="M864" s="2777"/>
      <c r="N864" s="3025"/>
      <c r="O864" s="362"/>
      <c r="P864" s="362"/>
      <c r="Q864" s="3023"/>
    </row>
    <row r="865" spans="1:22" ht="20.25" customHeight="1" x14ac:dyDescent="0.25">
      <c r="A865" s="2914" t="e">
        <f>IF(AND(B2262=1,B864=1),"Но ведь выработки еще нет !!!"," ")</f>
        <v>#VALUE!</v>
      </c>
      <c r="B865" s="2915"/>
      <c r="F865" s="11"/>
      <c r="M865" s="2777"/>
      <c r="N865" s="3025"/>
      <c r="O865" s="362"/>
      <c r="P865" s="362"/>
      <c r="Q865" s="3023"/>
    </row>
    <row r="866" spans="1:22" ht="20.25" customHeight="1" x14ac:dyDescent="0.25">
      <c r="A866" s="1255" t="str">
        <f>IF(AND(B864=1,OR(B500=1,B500=3)),"Размер выноса головки в выработку, м    Lвг","-------------------------------------------------")</f>
        <v>-------------------------------------------------</v>
      </c>
      <c r="B866" s="1236"/>
      <c r="C866" s="8"/>
      <c r="F866" s="11"/>
      <c r="M866" s="2777"/>
      <c r="N866" s="3025"/>
      <c r="O866" s="362"/>
      <c r="P866" s="362"/>
      <c r="Q866" s="3023"/>
    </row>
    <row r="867" spans="1:22" ht="30.75" customHeight="1" x14ac:dyDescent="0.25">
      <c r="A867" s="2914" t="e">
        <f>IF(AND(B2262=1,B864=1),"А Вы совсем не внимательны !",IF(AND(B2262&gt;1,B866&gt;B847),"А не много ли ?",""))</f>
        <v>#VALUE!</v>
      </c>
      <c r="B867" s="2915"/>
      <c r="C867" s="8"/>
      <c r="D867" s="893" t="s">
        <v>3734</v>
      </c>
      <c r="M867" s="2777"/>
      <c r="N867" s="3025"/>
      <c r="O867" s="362"/>
      <c r="P867" s="362"/>
      <c r="Q867" s="3023"/>
    </row>
    <row r="868" spans="1:22" ht="30.75" customHeight="1" x14ac:dyDescent="0.25">
      <c r="A868" s="1255" t="str">
        <f>IF(OR(B500=1,B500=3),"Выносится ли конвейерная головка в вентиляционную выработку? 1 - Да, 2 - нет","-----------------------------------------")</f>
        <v>-----------------------------------------</v>
      </c>
      <c r="B868" s="1236"/>
      <c r="C868" s="8"/>
      <c r="D868" s="875" t="s">
        <v>5488</v>
      </c>
      <c r="E868" s="875" t="s">
        <v>5254</v>
      </c>
      <c r="F868" s="1067" t="s">
        <v>2164</v>
      </c>
      <c r="G868" s="920"/>
      <c r="H868" s="4009" t="s">
        <v>6534</v>
      </c>
      <c r="M868" s="2777"/>
      <c r="N868" s="3025"/>
      <c r="O868" s="362"/>
      <c r="P868" s="362"/>
      <c r="Q868" s="3023"/>
    </row>
    <row r="869" spans="1:22" ht="19.5" customHeight="1" x14ac:dyDescent="0.25">
      <c r="A869" s="2914" t="e">
        <f>IF(AND(B2271=1,B868=1),"Но ведь выработки еще нет !!!"," ")</f>
        <v>#VALUE!</v>
      </c>
      <c r="B869" s="2915"/>
      <c r="C869" s="8"/>
      <c r="D869" s="2990" t="s">
        <v>5651</v>
      </c>
      <c r="E869" s="1067">
        <v>6.1</v>
      </c>
      <c r="F869" s="2632" t="s">
        <v>5256</v>
      </c>
      <c r="G869" s="71">
        <v>2</v>
      </c>
      <c r="H869" s="5">
        <v>1</v>
      </c>
      <c r="M869" s="2777"/>
      <c r="N869" s="3025"/>
      <c r="O869" s="362"/>
      <c r="P869" s="362"/>
      <c r="Q869" s="3023"/>
    </row>
    <row r="870" spans="1:22" ht="19.5" customHeight="1" x14ac:dyDescent="0.25">
      <c r="A870" s="1255" t="str">
        <f>IF(AND(B868=1,OR(B500=1,B500=3)),"Размер выноса головки в вентиляционную выработку, м    Lвг","-------------------------------------------------")</f>
        <v>-------------------------------------------------</v>
      </c>
      <c r="B870" s="1236"/>
      <c r="D870" s="2990" t="s">
        <v>5653</v>
      </c>
      <c r="E870" s="1067">
        <v>6.2</v>
      </c>
      <c r="F870" s="2632" t="s">
        <v>5256</v>
      </c>
      <c r="G870" s="71">
        <v>2</v>
      </c>
      <c r="H870" s="5">
        <v>2</v>
      </c>
      <c r="M870" s="2777"/>
      <c r="N870" s="3025"/>
      <c r="O870" s="362"/>
      <c r="P870" s="362"/>
      <c r="Q870" s="3023"/>
    </row>
    <row r="871" spans="1:22" ht="26.25" customHeight="1" x14ac:dyDescent="0.25">
      <c r="A871" s="2914" t="e">
        <f>IF(AND(B2271=1,B868=1),"А Вы совсем не внимательны !",IF(AND(B2271&gt;1,B870&gt;B847),"А не много ли ?",""))</f>
        <v>#VALUE!</v>
      </c>
      <c r="B871" s="2915"/>
      <c r="C871" s="898"/>
      <c r="D871" s="2990" t="s">
        <v>5631</v>
      </c>
      <c r="E871" s="1067">
        <v>7.8</v>
      </c>
      <c r="F871" s="2632" t="s">
        <v>5256</v>
      </c>
      <c r="G871" s="71">
        <v>2</v>
      </c>
      <c r="H871" s="5">
        <v>3</v>
      </c>
      <c r="M871" s="2778"/>
      <c r="N871" s="3025"/>
      <c r="O871" s="3026"/>
      <c r="P871" s="3026"/>
      <c r="Q871" s="3024"/>
    </row>
    <row r="872" spans="1:22" ht="19.5" customHeight="1" x14ac:dyDescent="0.25">
      <c r="A872" s="1255" t="str">
        <f>IF(OR(B500=1,B500=3),"Размер ниши у транспортной выработки, м   Lн","----------------------------------------")</f>
        <v>----------------------------------------</v>
      </c>
      <c r="B872" s="1236"/>
      <c r="C872" s="898"/>
      <c r="D872" s="2990" t="s">
        <v>5616</v>
      </c>
      <c r="E872" s="1067">
        <v>8</v>
      </c>
      <c r="F872" s="2632" t="s">
        <v>5256</v>
      </c>
      <c r="G872" s="71">
        <v>2</v>
      </c>
      <c r="H872" s="5">
        <v>4</v>
      </c>
      <c r="I872" s="883"/>
      <c r="J872" s="14"/>
    </row>
    <row r="873" spans="1:22" ht="18" customHeight="1" x14ac:dyDescent="0.25">
      <c r="A873" s="1255" t="str">
        <f>IF(OR(B500=1,B500=3),"Размер ниши у вентиляционной выработки, м    Lн","---------------------------------------------------")</f>
        <v>---------------------------------------------------</v>
      </c>
      <c r="B873" s="1236"/>
      <c r="D873" s="2990" t="s">
        <v>3478</v>
      </c>
      <c r="E873" s="1067">
        <v>4</v>
      </c>
      <c r="F873" s="2632" t="s">
        <v>5256</v>
      </c>
      <c r="G873" s="71">
        <v>2</v>
      </c>
      <c r="H873" s="5">
        <v>5</v>
      </c>
    </row>
    <row r="874" spans="1:22" ht="55.5" customHeight="1" x14ac:dyDescent="0.25">
      <c r="A874" s="4121" t="s">
        <v>2008</v>
      </c>
      <c r="B874" s="4125"/>
      <c r="D874" s="2990" t="s">
        <v>5614</v>
      </c>
      <c r="E874" s="1067">
        <v>4.2</v>
      </c>
      <c r="F874" s="2632" t="s">
        <v>5256</v>
      </c>
      <c r="G874" s="71">
        <v>2</v>
      </c>
      <c r="H874" s="5">
        <v>6</v>
      </c>
    </row>
    <row r="875" spans="1:22" ht="47.25" x14ac:dyDescent="0.25">
      <c r="A875" s="4124" t="s">
        <v>4105</v>
      </c>
      <c r="D875" s="2990" t="s">
        <v>3480</v>
      </c>
      <c r="E875" s="1067">
        <v>1.6</v>
      </c>
      <c r="F875" s="2632" t="s">
        <v>5255</v>
      </c>
      <c r="G875" s="71">
        <v>1</v>
      </c>
      <c r="H875" s="5">
        <v>7</v>
      </c>
    </row>
    <row r="876" spans="1:22" ht="15.75" x14ac:dyDescent="0.25">
      <c r="A876" s="1256" t="s">
        <v>1770</v>
      </c>
      <c r="B876" s="1257"/>
      <c r="D876" s="2990" t="s">
        <v>3483</v>
      </c>
      <c r="E876" s="1067">
        <v>9.9</v>
      </c>
      <c r="F876" s="2632" t="s">
        <v>5256</v>
      </c>
      <c r="G876" s="71">
        <v>2</v>
      </c>
      <c r="H876" s="5">
        <v>8</v>
      </c>
    </row>
    <row r="877" spans="1:22" ht="63" customHeight="1" x14ac:dyDescent="0.25">
      <c r="A877" s="1256" t="s">
        <v>1771</v>
      </c>
      <c r="B877" s="1257"/>
      <c r="D877" s="2990" t="s">
        <v>2776</v>
      </c>
      <c r="E877" s="1067">
        <v>9</v>
      </c>
      <c r="F877" s="2632" t="s">
        <v>5256</v>
      </c>
      <c r="G877" s="71">
        <v>2</v>
      </c>
      <c r="H877" s="5">
        <v>9</v>
      </c>
      <c r="S877" s="213"/>
      <c r="T877" s="213"/>
      <c r="U877" s="213"/>
      <c r="V877" s="213"/>
    </row>
    <row r="878" spans="1:22" ht="63" x14ac:dyDescent="0.25">
      <c r="A878" s="4332" t="s">
        <v>6574</v>
      </c>
      <c r="D878" s="2990" t="s">
        <v>3482</v>
      </c>
      <c r="E878" s="1067">
        <v>6.9</v>
      </c>
      <c r="F878" s="2632" t="s">
        <v>5256</v>
      </c>
      <c r="G878" s="71">
        <v>2</v>
      </c>
      <c r="H878" s="5">
        <v>10</v>
      </c>
    </row>
    <row r="879" spans="1:22" ht="15.75" x14ac:dyDescent="0.25">
      <c r="A879" s="1392" t="s">
        <v>1764</v>
      </c>
      <c r="B879" s="2736">
        <f>B866</f>
        <v>0</v>
      </c>
      <c r="D879" s="2990" t="s">
        <v>658</v>
      </c>
      <c r="E879" s="1067">
        <v>6.9</v>
      </c>
      <c r="F879" s="2632" t="s">
        <v>5256</v>
      </c>
      <c r="G879" s="71">
        <v>2</v>
      </c>
      <c r="H879" s="5">
        <v>11</v>
      </c>
    </row>
    <row r="880" spans="1:22" ht="15.75" x14ac:dyDescent="0.25">
      <c r="A880" s="1392" t="s">
        <v>1767</v>
      </c>
      <c r="B880" s="2736">
        <f>B870</f>
        <v>0</v>
      </c>
      <c r="D880" s="2990" t="s">
        <v>5622</v>
      </c>
      <c r="E880" s="1067">
        <v>7.7</v>
      </c>
      <c r="F880" s="2632" t="s">
        <v>5256</v>
      </c>
      <c r="G880" s="71">
        <v>2</v>
      </c>
      <c r="H880" s="5">
        <v>12</v>
      </c>
      <c r="K880" s="1"/>
    </row>
    <row r="881" spans="1:11" ht="15.75" x14ac:dyDescent="0.25">
      <c r="A881" s="1392" t="s">
        <v>1765</v>
      </c>
      <c r="B881" s="2736">
        <f>B872</f>
        <v>0</v>
      </c>
      <c r="D881" s="2990" t="s">
        <v>5624</v>
      </c>
      <c r="E881" s="1067">
        <v>9</v>
      </c>
      <c r="F881" s="2632" t="s">
        <v>5256</v>
      </c>
      <c r="G881" s="71">
        <v>2</v>
      </c>
      <c r="H881" s="5">
        <v>13</v>
      </c>
      <c r="K881" s="1"/>
    </row>
    <row r="882" spans="1:11" ht="15.75" x14ac:dyDescent="0.25">
      <c r="A882" s="1392" t="s">
        <v>1766</v>
      </c>
      <c r="B882" s="2736">
        <f>B873</f>
        <v>0</v>
      </c>
      <c r="K882" s="1"/>
    </row>
    <row r="883" spans="1:11" ht="15.75" x14ac:dyDescent="0.25">
      <c r="A883" s="1392" t="s">
        <v>1768</v>
      </c>
      <c r="B883" s="2736">
        <f>B876</f>
        <v>0</v>
      </c>
      <c r="K883" s="1"/>
    </row>
    <row r="884" spans="1:11" ht="15.75" x14ac:dyDescent="0.25">
      <c r="A884" s="1392" t="s">
        <v>1769</v>
      </c>
      <c r="B884" s="2736">
        <f>B877</f>
        <v>0</v>
      </c>
    </row>
    <row r="885" spans="1:11" ht="19.5" x14ac:dyDescent="0.35">
      <c r="A885" s="4171" t="str">
        <f>IF(B2201=1,"Вы перенесли  таблицу в текст записки? 1 - Да, 2 - Нет","не вводить!")</f>
        <v>не вводить!</v>
      </c>
      <c r="B885" s="4159"/>
    </row>
    <row r="886" spans="1:11" x14ac:dyDescent="0.2">
      <c r="A886" s="4185" t="str">
        <f>IF(B885=1,"Переходите по ссылке","")</f>
        <v/>
      </c>
    </row>
    <row r="887" spans="1:11" ht="25.5" customHeight="1" x14ac:dyDescent="0.3">
      <c r="A887" s="2978" t="s">
        <v>1772</v>
      </c>
      <c r="B887" s="4105"/>
      <c r="C887" s="4106"/>
      <c r="F887" s="11"/>
    </row>
    <row r="888" spans="1:11" ht="57.75" customHeight="1" x14ac:dyDescent="0.35">
      <c r="A888" s="4343" t="s">
        <v>4224</v>
      </c>
      <c r="B888" s="4344"/>
      <c r="F888" s="11"/>
    </row>
    <row r="889" spans="1:11" ht="37.5" x14ac:dyDescent="0.3">
      <c r="A889" s="4104" t="s">
        <v>6599</v>
      </c>
      <c r="B889" s="2672"/>
      <c r="F889" s="11"/>
    </row>
    <row r="890" spans="1:11" ht="18.75" x14ac:dyDescent="0.3">
      <c r="A890" s="2683" t="s">
        <v>3889</v>
      </c>
      <c r="F890" s="11"/>
    </row>
    <row r="891" spans="1:11" ht="15.75" x14ac:dyDescent="0.25">
      <c r="A891" s="1255" t="s">
        <v>2585</v>
      </c>
      <c r="B891" s="793"/>
    </row>
    <row r="892" spans="1:11" x14ac:dyDescent="0.2">
      <c r="A892" s="2613" t="s">
        <v>2586</v>
      </c>
      <c r="B892" s="239"/>
    </row>
    <row r="893" spans="1:11" x14ac:dyDescent="0.2">
      <c r="A893" s="2613" t="s">
        <v>2587</v>
      </c>
    </row>
    <row r="894" spans="1:11" ht="15.75" x14ac:dyDescent="0.25">
      <c r="A894" s="874" t="s">
        <v>2589</v>
      </c>
      <c r="B894" s="793"/>
    </row>
    <row r="895" spans="1:11" ht="27.75" customHeight="1" x14ac:dyDescent="0.25">
      <c r="A895" s="874" t="s">
        <v>4126</v>
      </c>
      <c r="B895" s="793"/>
    </row>
    <row r="896" spans="1:11" ht="32.25" customHeight="1" x14ac:dyDescent="0.25">
      <c r="A896" s="874" t="str">
        <f>IF(OR(B500=3,B500=4),"На конце лавы есть специальные секции механизированной  крепи?  (Нет - 1, 0 - Да)","-------------------------------------------------")</f>
        <v>-------------------------------------------------</v>
      </c>
      <c r="B896" s="793"/>
    </row>
    <row r="897" spans="1:7" ht="15.75" x14ac:dyDescent="0.25">
      <c r="A897" s="1138" t="s">
        <v>6664</v>
      </c>
      <c r="B897" s="793"/>
      <c r="C897" s="8"/>
      <c r="D897" s="239"/>
      <c r="E897" s="239"/>
      <c r="F897" s="239"/>
      <c r="G897" s="8"/>
    </row>
    <row r="898" spans="1:7" ht="18" x14ac:dyDescent="0.25">
      <c r="A898" s="1220" t="s">
        <v>2588</v>
      </c>
      <c r="C898" s="1254"/>
      <c r="D898" s="239"/>
      <c r="E898" s="239"/>
      <c r="F898" s="239"/>
      <c r="G898" s="8"/>
    </row>
    <row r="899" spans="1:7" ht="19.5" customHeight="1" x14ac:dyDescent="0.25">
      <c r="A899" s="874" t="s">
        <v>2590</v>
      </c>
      <c r="B899" s="793"/>
      <c r="C899" s="1254"/>
      <c r="D899" s="239"/>
      <c r="E899" s="239"/>
      <c r="F899" s="239"/>
    </row>
    <row r="900" spans="1:7" ht="15.75" x14ac:dyDescent="0.25">
      <c r="A900" s="874" t="s">
        <v>4126</v>
      </c>
      <c r="B900" s="793"/>
    </row>
    <row r="901" spans="1:7" ht="48" customHeight="1" x14ac:dyDescent="0.25">
      <c r="A901" s="874" t="str">
        <f>IF(OR(B500=3,B500=4),"На конце лавы есть специальные секции механизированной крепи? (Нет - 1, 0 - Да)","-----------------------------------------------")</f>
        <v>-----------------------------------------------</v>
      </c>
      <c r="B901" s="793"/>
    </row>
    <row r="902" spans="1:7" ht="15.75" x14ac:dyDescent="0.25">
      <c r="A902" s="1255" t="s">
        <v>6665</v>
      </c>
      <c r="B902" s="793"/>
    </row>
    <row r="903" spans="1:7" ht="31.5" x14ac:dyDescent="0.25">
      <c r="A903" s="875" t="s">
        <v>309</v>
      </c>
      <c r="B903" s="873"/>
      <c r="C903" s="4047" t="str">
        <f>IF(AND(B903=2,B1637=2),"",IF(AND(B903=3,B1637=2),"",IF(AND(B903=1,B1637=1),"","Будьте внимательнее. Это невозможно!")))</f>
        <v>Будьте внимательнее. Это невозможно!</v>
      </c>
    </row>
    <row r="904" spans="1:7" ht="39" customHeight="1" x14ac:dyDescent="0.25">
      <c r="A904" s="881"/>
      <c r="B904" s="2596"/>
      <c r="C904" s="4048"/>
    </row>
    <row r="905" spans="1:7" ht="15.75" x14ac:dyDescent="0.25">
      <c r="A905" s="4049" t="s">
        <v>6863</v>
      </c>
      <c r="B905" s="2596"/>
      <c r="C905" s="4048"/>
    </row>
    <row r="906" spans="1:7" ht="16.5" thickBot="1" x14ac:dyDescent="0.3">
      <c r="A906" s="875"/>
    </row>
    <row r="907" spans="1:7" ht="37.5" customHeight="1" thickBot="1" x14ac:dyDescent="0.25">
      <c r="A907" s="4051"/>
      <c r="B907" s="4160" t="s">
        <v>3247</v>
      </c>
      <c r="C907" s="4050" t="s">
        <v>1608</v>
      </c>
    </row>
    <row r="908" spans="1:7" ht="32.25" thickBot="1" x14ac:dyDescent="0.25">
      <c r="A908" s="4051" t="s">
        <v>6575</v>
      </c>
      <c r="B908" s="4052" t="str">
        <f>IF(B891=1,"БВР","Отбойный молоток")</f>
        <v>Отбойный молоток</v>
      </c>
      <c r="C908" s="4052" t="str">
        <f>B908</f>
        <v>Отбойный молоток</v>
      </c>
    </row>
    <row r="909" spans="1:7" ht="16.5" thickBot="1" x14ac:dyDescent="0.25">
      <c r="A909" s="4051" t="s">
        <v>6576</v>
      </c>
      <c r="B909" s="4052" t="str">
        <f>IF(B895=0,"имеется","нет")</f>
        <v>имеется</v>
      </c>
      <c r="C909" s="4052" t="str">
        <f>IF(B900=0,"имеется","нет")</f>
        <v>имеется</v>
      </c>
    </row>
    <row r="910" spans="1:7" ht="19.5" thickBot="1" x14ac:dyDescent="0.25">
      <c r="A910" s="4173" t="s">
        <v>6577</v>
      </c>
      <c r="B910" s="4174">
        <f>B897</f>
        <v>0</v>
      </c>
      <c r="C910" s="4052">
        <f>B902</f>
        <v>0</v>
      </c>
    </row>
    <row r="911" spans="1:7" ht="32.25" customHeight="1" x14ac:dyDescent="0.2">
      <c r="A911" s="4176" t="str">
        <f>IF(B2201=1,"Вы перенесли  таблицу в текст записки? 1 - Да, 2 - Нет","не вводить!")</f>
        <v>не вводить!</v>
      </c>
      <c r="B911" s="4175"/>
      <c r="C911" s="4172"/>
    </row>
    <row r="912" spans="1:7" x14ac:dyDescent="0.2">
      <c r="A912" s="4186" t="str">
        <f>IF(B911=1,"Переходите по ссылке","")</f>
        <v/>
      </c>
      <c r="C912" s="3028"/>
    </row>
    <row r="913" spans="1:19" ht="18.75" x14ac:dyDescent="0.3">
      <c r="A913" s="940" t="s">
        <v>1919</v>
      </c>
      <c r="C913" s="2663"/>
    </row>
    <row r="914" spans="1:19" ht="15.75" x14ac:dyDescent="0.25">
      <c r="A914" s="884" t="s">
        <v>1039</v>
      </c>
      <c r="C914" s="2663"/>
    </row>
    <row r="915" spans="1:19" ht="15.75" x14ac:dyDescent="0.25">
      <c r="A915" s="884" t="s">
        <v>2764</v>
      </c>
      <c r="B915" s="8"/>
      <c r="C915" s="2663"/>
    </row>
    <row r="916" spans="1:19" ht="15.75" x14ac:dyDescent="0.25">
      <c r="A916" s="884" t="s">
        <v>1040</v>
      </c>
    </row>
    <row r="917" spans="1:19" ht="31.5" x14ac:dyDescent="0.25">
      <c r="A917" s="943" t="s">
        <v>2591</v>
      </c>
      <c r="B917" s="1303"/>
      <c r="C917" s="2684" t="str">
        <f>IF(AND(B917=1,B903=2),"Студенту иногда нужно думать !",IF(AND(B917=1,B903=3),"Студенту иногда нужно думать !",""))</f>
        <v/>
      </c>
    </row>
    <row r="918" spans="1:19" ht="15.75" x14ac:dyDescent="0.25">
      <c r="A918" s="4295" t="str">
        <f>IF(OR(B500=1,B500=3),"Ранее Вами принят лавный конвейер производительностью т/мин","--------------------")</f>
        <v>--------------------</v>
      </c>
      <c r="B918" s="3078" t="e">
        <f>INDEX(обор!C344:C358,обор!B374)</f>
        <v>#VALUE!</v>
      </c>
      <c r="C918" s="3028"/>
      <c r="Q918">
        <f>1500/60</f>
        <v>25</v>
      </c>
      <c r="S918">
        <f>240/60</f>
        <v>4</v>
      </c>
    </row>
    <row r="919" spans="1:19" ht="15.75" x14ac:dyDescent="0.25">
      <c r="A919" s="884" t="s">
        <v>1036</v>
      </c>
      <c r="B919" s="8"/>
      <c r="C919" s="2663"/>
    </row>
    <row r="920" spans="1:19" ht="15.75" x14ac:dyDescent="0.25">
      <c r="A920" s="884" t="s">
        <v>1037</v>
      </c>
      <c r="C920" s="2663"/>
    </row>
    <row r="921" spans="1:19" ht="15.75" x14ac:dyDescent="0.25">
      <c r="A921" s="3077"/>
      <c r="B921" s="941"/>
      <c r="C921" s="2663"/>
    </row>
    <row r="922" spans="1:19" ht="15.75" x14ac:dyDescent="0.25">
      <c r="A922" s="943" t="s">
        <v>5698</v>
      </c>
    </row>
    <row r="923" spans="1:19" x14ac:dyDescent="0.2">
      <c r="A923" s="5" t="s">
        <v>5696</v>
      </c>
      <c r="B923" s="71">
        <v>1</v>
      </c>
      <c r="C923" s="71">
        <v>2</v>
      </c>
      <c r="D923" s="71">
        <v>3</v>
      </c>
      <c r="E923" s="71">
        <v>4</v>
      </c>
    </row>
    <row r="924" spans="1:19" ht="55.5" x14ac:dyDescent="0.2">
      <c r="A924" s="5" t="s">
        <v>5697</v>
      </c>
      <c r="B924" s="3029" t="s">
        <v>1918</v>
      </c>
      <c r="C924" s="3030" t="s">
        <v>5693</v>
      </c>
      <c r="D924" s="3030" t="s">
        <v>5694</v>
      </c>
      <c r="E924" s="3030" t="s">
        <v>5695</v>
      </c>
    </row>
    <row r="925" spans="1:19" x14ac:dyDescent="0.2">
      <c r="A925" s="5" t="s">
        <v>3674</v>
      </c>
      <c r="B925" s="17">
        <v>15</v>
      </c>
      <c r="C925" s="5">
        <v>21</v>
      </c>
      <c r="D925" s="5">
        <v>21</v>
      </c>
      <c r="E925" s="5">
        <v>25</v>
      </c>
    </row>
    <row r="926" spans="1:19" x14ac:dyDescent="0.2">
      <c r="A926" s="5" t="s">
        <v>745</v>
      </c>
      <c r="B926" s="5">
        <v>0.92</v>
      </c>
      <c r="C926" s="5">
        <v>0.91</v>
      </c>
      <c r="D926" s="5">
        <v>0.91</v>
      </c>
      <c r="E926" s="5">
        <v>0.91</v>
      </c>
    </row>
    <row r="927" spans="1:19" x14ac:dyDescent="0.2">
      <c r="A927" s="1"/>
    </row>
    <row r="928" spans="1:19" x14ac:dyDescent="0.2">
      <c r="A928" s="5" t="s">
        <v>5699</v>
      </c>
      <c r="B928" s="793"/>
      <c r="C928" s="2663"/>
    </row>
    <row r="929" spans="1:12" ht="15.75" x14ac:dyDescent="0.25">
      <c r="A929" s="1138" t="s">
        <v>5700</v>
      </c>
      <c r="B929" s="793"/>
      <c r="C929" s="2663"/>
    </row>
    <row r="930" spans="1:12" ht="15.75" x14ac:dyDescent="0.25">
      <c r="A930" s="3031" t="s">
        <v>1038</v>
      </c>
      <c r="B930" s="944">
        <f>INDEX(B925:E925,B929)</f>
        <v>15</v>
      </c>
      <c r="C930" s="2663"/>
    </row>
    <row r="931" spans="1:12" ht="15.75" x14ac:dyDescent="0.25">
      <c r="B931" s="2685"/>
      <c r="C931" s="2663"/>
    </row>
    <row r="932" spans="1:12" ht="15.75" x14ac:dyDescent="0.25">
      <c r="A932" s="1299" t="str">
        <f>IF(B917=0,"              Желательно применить максимально 3 конвейера","                             Переходите к строке")</f>
        <v xml:space="preserve">              Желательно применить максимально 3 конвейера</v>
      </c>
      <c r="B932" s="230"/>
      <c r="C932" s="2663"/>
    </row>
    <row r="933" spans="1:12" x14ac:dyDescent="0.2">
      <c r="A933" s="321" t="s">
        <v>6537</v>
      </c>
      <c r="B933" s="8"/>
      <c r="C933" s="2663"/>
    </row>
    <row r="934" spans="1:12" ht="15.75" x14ac:dyDescent="0.25">
      <c r="A934" s="943" t="s">
        <v>5709</v>
      </c>
      <c r="C934" s="11"/>
      <c r="D934" s="35" t="s">
        <v>5701</v>
      </c>
      <c r="E934" s="29"/>
      <c r="F934" s="29"/>
      <c r="G934" s="29"/>
      <c r="H934" s="29"/>
      <c r="I934" s="29"/>
      <c r="J934" s="11"/>
      <c r="K934" s="11"/>
    </row>
    <row r="935" spans="1:12" x14ac:dyDescent="0.2">
      <c r="A935" s="5" t="s">
        <v>1820</v>
      </c>
      <c r="B935" s="332"/>
      <c r="C935" s="3001"/>
      <c r="D935" s="3002"/>
      <c r="F935" s="17">
        <v>1</v>
      </c>
      <c r="G935" s="17">
        <v>2</v>
      </c>
      <c r="H935" s="17">
        <v>3</v>
      </c>
      <c r="I935" s="17">
        <v>4</v>
      </c>
      <c r="J935" s="17">
        <v>5</v>
      </c>
      <c r="K935" s="17">
        <v>6</v>
      </c>
      <c r="L935" s="17">
        <v>7</v>
      </c>
    </row>
    <row r="936" spans="1:12" ht="25.5" x14ac:dyDescent="0.2">
      <c r="A936" s="5" t="s">
        <v>1813</v>
      </c>
      <c r="B936" s="852" t="str">
        <f>IF(B935="","",INDEX(F936:L936,B935))</f>
        <v/>
      </c>
      <c r="D936" s="4010"/>
      <c r="E936" s="3000" t="s">
        <v>3987</v>
      </c>
      <c r="F936" s="190" t="s">
        <v>6438</v>
      </c>
      <c r="G936" s="190" t="s">
        <v>5703</v>
      </c>
      <c r="H936" s="190" t="s">
        <v>5704</v>
      </c>
      <c r="I936" s="190" t="s">
        <v>5708</v>
      </c>
      <c r="J936" s="190" t="s">
        <v>5705</v>
      </c>
      <c r="K936" s="190" t="s">
        <v>5706</v>
      </c>
      <c r="L936" s="190" t="s">
        <v>5707</v>
      </c>
    </row>
    <row r="937" spans="1:12" x14ac:dyDescent="0.2">
      <c r="A937" s="5" t="s">
        <v>4225</v>
      </c>
      <c r="B937" s="3032" t="str">
        <f>IF(B935="","",INDEX(F940:L940,B935))</f>
        <v/>
      </c>
      <c r="D937" s="198"/>
      <c r="E937" s="4020" t="s">
        <v>5702</v>
      </c>
      <c r="F937" s="17">
        <v>800</v>
      </c>
      <c r="G937" s="17">
        <v>800</v>
      </c>
      <c r="H937" s="17">
        <v>800</v>
      </c>
      <c r="I937" s="17">
        <v>1000</v>
      </c>
      <c r="J937" s="17">
        <v>1000</v>
      </c>
      <c r="K937" s="17">
        <v>1000</v>
      </c>
      <c r="L937" s="17">
        <v>1000</v>
      </c>
    </row>
    <row r="938" spans="1:12" x14ac:dyDescent="0.2">
      <c r="A938" s="5" t="s">
        <v>1821</v>
      </c>
      <c r="B938" s="332"/>
      <c r="D938" s="4019" t="s">
        <v>3674</v>
      </c>
      <c r="E938" s="863"/>
      <c r="F938" s="3040">
        <v>6</v>
      </c>
      <c r="G938" s="3040">
        <v>11</v>
      </c>
      <c r="H938" s="3040">
        <v>12</v>
      </c>
      <c r="I938" s="3040">
        <v>18</v>
      </c>
      <c r="J938" s="3040">
        <v>14</v>
      </c>
      <c r="K938" s="3040">
        <v>14</v>
      </c>
      <c r="L938" s="3040">
        <v>14</v>
      </c>
    </row>
    <row r="939" spans="1:12" ht="36.75" customHeight="1" x14ac:dyDescent="0.25">
      <c r="A939" s="1138" t="s">
        <v>1814</v>
      </c>
      <c r="B939" s="810" t="str">
        <f>IF(B938="","",INDEX(F936:L936,B938))</f>
        <v/>
      </c>
      <c r="E939" s="5" t="s">
        <v>6536</v>
      </c>
      <c r="F939" s="5">
        <v>360</v>
      </c>
      <c r="G939" s="5">
        <v>660</v>
      </c>
      <c r="H939" s="5">
        <v>720</v>
      </c>
      <c r="I939" s="5">
        <v>1080</v>
      </c>
      <c r="J939" s="5">
        <v>840</v>
      </c>
      <c r="K939" s="5">
        <v>840</v>
      </c>
      <c r="L939" s="5">
        <v>840</v>
      </c>
    </row>
    <row r="940" spans="1:12" x14ac:dyDescent="0.2">
      <c r="A940" s="5" t="s">
        <v>2575</v>
      </c>
      <c r="B940" s="3032" t="str">
        <f>IF(B938="","",INDEX(F940:L940,B938))</f>
        <v/>
      </c>
      <c r="E940" s="4019" t="s">
        <v>3990</v>
      </c>
      <c r="F940" s="17">
        <v>600</v>
      </c>
      <c r="G940" s="17">
        <v>600</v>
      </c>
      <c r="H940" s="17">
        <v>600</v>
      </c>
      <c r="I940" s="17">
        <v>500</v>
      </c>
      <c r="J940" s="17">
        <v>1200</v>
      </c>
      <c r="K940" s="17">
        <v>1200</v>
      </c>
      <c r="L940" s="17">
        <v>1500</v>
      </c>
    </row>
    <row r="941" spans="1:12" x14ac:dyDescent="0.2">
      <c r="A941" s="5" t="s">
        <v>2789</v>
      </c>
      <c r="B941" s="332"/>
    </row>
    <row r="942" spans="1:12" x14ac:dyDescent="0.2">
      <c r="A942" s="5" t="s">
        <v>1815</v>
      </c>
      <c r="B942" s="852" t="str">
        <f>IF(B941="","",INDEX(F936:L936,B941))</f>
        <v/>
      </c>
      <c r="C942" s="2663"/>
    </row>
    <row r="943" spans="1:12" x14ac:dyDescent="0.2">
      <c r="A943" s="5" t="s">
        <v>4225</v>
      </c>
      <c r="B943" s="3032" t="str">
        <f>IF(B941="","",INDEX(F940:L940,B941))</f>
        <v/>
      </c>
      <c r="C943" s="2663"/>
    </row>
    <row r="944" spans="1:12" x14ac:dyDescent="0.2">
      <c r="A944" s="1"/>
      <c r="C944" s="2663"/>
    </row>
    <row r="945" spans="1:3" ht="39" x14ac:dyDescent="0.35">
      <c r="A945" s="2721" t="s">
        <v>2059</v>
      </c>
      <c r="C945" s="2663"/>
    </row>
    <row r="946" spans="1:3" ht="38.25" x14ac:dyDescent="0.2">
      <c r="A946" s="2921" t="s">
        <v>2641</v>
      </c>
      <c r="C946" s="2663"/>
    </row>
    <row r="947" spans="1:3" ht="17.25" customHeight="1" x14ac:dyDescent="0.2">
      <c r="A947" s="2921" t="s">
        <v>2065</v>
      </c>
      <c r="C947" s="2663"/>
    </row>
    <row r="948" spans="1:3" x14ac:dyDescent="0.2">
      <c r="A948" s="4296" t="e">
        <f>A2284</f>
        <v>#N/A</v>
      </c>
      <c r="C948" s="2663"/>
    </row>
    <row r="949" spans="1:3" x14ac:dyDescent="0.2">
      <c r="A949" s="2921"/>
      <c r="C949" s="2663"/>
    </row>
    <row r="950" spans="1:3" x14ac:dyDescent="0.2">
      <c r="A950" s="2921" t="s">
        <v>2642</v>
      </c>
      <c r="C950" s="2663"/>
    </row>
    <row r="951" spans="1:3" ht="31.5" x14ac:dyDescent="0.25">
      <c r="A951" s="318" t="s">
        <v>1528</v>
      </c>
      <c r="C951" s="2663"/>
    </row>
    <row r="952" spans="1:3" x14ac:dyDescent="0.2">
      <c r="A952" s="2922" t="s">
        <v>2555</v>
      </c>
      <c r="B952" s="852">
        <f>B847</f>
        <v>3</v>
      </c>
      <c r="C952" s="2663"/>
    </row>
    <row r="953" spans="1:3" x14ac:dyDescent="0.2">
      <c r="A953" s="2922" t="s">
        <v>2556</v>
      </c>
      <c r="B953" s="852">
        <f>B848</f>
        <v>2.2000000000000002</v>
      </c>
      <c r="C953" s="2663"/>
    </row>
    <row r="954" spans="1:3" x14ac:dyDescent="0.2">
      <c r="A954" s="2922" t="s">
        <v>3166</v>
      </c>
      <c r="B954" s="852" t="e">
        <f>IF(OR(B500=1,B500=3),B872,#REF!)</f>
        <v>#REF!</v>
      </c>
      <c r="C954" s="2663"/>
    </row>
    <row r="955" spans="1:3" x14ac:dyDescent="0.2">
      <c r="A955" s="2922" t="s">
        <v>2557</v>
      </c>
      <c r="B955" s="852" t="e">
        <f>IF(OR(B500=1,B500=3),B873,#REF!)</f>
        <v>#REF!</v>
      </c>
      <c r="C955" s="2663"/>
    </row>
    <row r="956" spans="1:3" x14ac:dyDescent="0.2">
      <c r="A956" s="2922" t="s">
        <v>2558</v>
      </c>
      <c r="B956" s="852">
        <f>B876</f>
        <v>0</v>
      </c>
      <c r="C956" s="2663"/>
    </row>
    <row r="957" spans="1:3" x14ac:dyDescent="0.2">
      <c r="A957" s="2922" t="s">
        <v>2559</v>
      </c>
      <c r="B957" s="802" t="str">
        <f>IF(B917=1,"рельсовый","конвейерный")</f>
        <v>конвейерный</v>
      </c>
      <c r="C957" s="2663"/>
    </row>
    <row r="958" spans="1:3" x14ac:dyDescent="0.2">
      <c r="A958" s="2922" t="s">
        <v>2560</v>
      </c>
      <c r="B958" s="802">
        <f>B928</f>
        <v>0</v>
      </c>
      <c r="C958" s="2663"/>
    </row>
    <row r="959" spans="1:3" x14ac:dyDescent="0.2">
      <c r="A959" s="2979" t="str">
        <f>IF(B917=0,"Тип первого конвейера в транспортной выработке","")</f>
        <v>Тип первого конвейера в транспортной выработке</v>
      </c>
      <c r="B959" s="802" t="str">
        <f>IF(B917=0,B936,"")</f>
        <v/>
      </c>
      <c r="C959" s="2663"/>
    </row>
    <row r="960" spans="1:3" x14ac:dyDescent="0.2">
      <c r="A960" s="2979" t="str">
        <f>IF(B917=0,"Тип второго конвейера в транспортной выработке","")</f>
        <v>Тип второго конвейера в транспортной выработке</v>
      </c>
      <c r="B960" s="802" t="str">
        <f>IF(B917=0,B939,"")</f>
        <v/>
      </c>
      <c r="C960" s="2663"/>
    </row>
    <row r="961" spans="1:3" x14ac:dyDescent="0.2">
      <c r="A961" s="2979" t="str">
        <f>IF(B917=0,"Тип третьего конвейера в транспортной выработке","")</f>
        <v>Тип третьего конвейера в транспортной выработке</v>
      </c>
      <c r="B961" s="802" t="str">
        <f>IF(B917=0,B942,"")</f>
        <v/>
      </c>
      <c r="C961" s="2663"/>
    </row>
    <row r="962" spans="1:3" ht="15.75" x14ac:dyDescent="0.25">
      <c r="A962" s="1342" t="str">
        <f>IF(B2201=1,"Вы перенесли  таблицу в текст записки? 1 - Да, 2 - Нет","не вводить!")</f>
        <v>не вводить!</v>
      </c>
      <c r="B962" s="4177"/>
      <c r="C962" s="2663"/>
    </row>
    <row r="963" spans="1:3" ht="15.75" x14ac:dyDescent="0.25">
      <c r="A963" s="4187" t="str">
        <f>IF(B962=1,"Переходите по ссылке","")</f>
        <v/>
      </c>
      <c r="C963" s="345"/>
    </row>
    <row r="964" spans="1:3" ht="18.75" x14ac:dyDescent="0.3">
      <c r="A964" s="2375" t="s">
        <v>6935</v>
      </c>
      <c r="B964" s="8"/>
    </row>
    <row r="965" spans="1:3" ht="15.75" x14ac:dyDescent="0.25">
      <c r="A965" s="2380" t="s">
        <v>2545</v>
      </c>
      <c r="B965" s="8"/>
    </row>
    <row r="966" spans="1:3" ht="15.75" x14ac:dyDescent="0.25">
      <c r="A966" s="2449" t="s">
        <v>2546</v>
      </c>
      <c r="B966" s="8"/>
    </row>
    <row r="967" spans="1:3" ht="15.75" x14ac:dyDescent="0.25">
      <c r="A967" s="818" t="s">
        <v>823</v>
      </c>
      <c r="B967" s="8"/>
    </row>
    <row r="968" spans="1:3" ht="15.75" x14ac:dyDescent="0.25">
      <c r="A968" s="818" t="s">
        <v>824</v>
      </c>
      <c r="B968" s="8"/>
    </row>
    <row r="969" spans="1:3" ht="15.75" x14ac:dyDescent="0.25">
      <c r="A969" s="818" t="s">
        <v>3931</v>
      </c>
      <c r="B969" s="8"/>
    </row>
    <row r="970" spans="1:3" ht="15.75" x14ac:dyDescent="0.25">
      <c r="A970" s="818" t="s">
        <v>2547</v>
      </c>
      <c r="B970" s="8"/>
    </row>
    <row r="971" spans="1:3" ht="15.75" x14ac:dyDescent="0.25">
      <c r="A971" s="1184" t="s">
        <v>1860</v>
      </c>
    </row>
    <row r="972" spans="1:3" x14ac:dyDescent="0.2">
      <c r="A972" s="2381" t="str">
        <f>IF(OR(B500=1,B500=3),"Переходите к расчету нагрузки на комбайновую лаву","")</f>
        <v/>
      </c>
    </row>
    <row r="973" spans="1:3" x14ac:dyDescent="0.2">
      <c r="A973" s="2381" t="str">
        <f>IF(OR(B500=2,B500=4),"Переходите к расчету нагрузки на струговую лаву","")</f>
        <v/>
      </c>
    </row>
    <row r="974" spans="1:3" x14ac:dyDescent="0.2">
      <c r="A974" s="2561"/>
    </row>
    <row r="975" spans="1:3" ht="15.75" x14ac:dyDescent="0.25">
      <c r="A975" s="2686" t="s">
        <v>2576</v>
      </c>
      <c r="B975" s="2414">
        <f>ROW(975:975)</f>
        <v>975</v>
      </c>
    </row>
    <row r="976" spans="1:3" ht="15" x14ac:dyDescent="0.2">
      <c r="A976" s="4035" t="s">
        <v>481</v>
      </c>
    </row>
    <row r="977" spans="1:9" ht="15" x14ac:dyDescent="0.2">
      <c r="A977" s="4035" t="s">
        <v>822</v>
      </c>
    </row>
    <row r="978" spans="1:9" ht="15" x14ac:dyDescent="0.2">
      <c r="A978" s="4035" t="s">
        <v>490</v>
      </c>
    </row>
    <row r="980" spans="1:9" x14ac:dyDescent="0.2">
      <c r="A980" s="2564" t="s">
        <v>1773</v>
      </c>
    </row>
    <row r="981" spans="1:9" ht="33" customHeight="1" x14ac:dyDescent="0.2">
      <c r="A981" s="5" t="s">
        <v>3315</v>
      </c>
      <c r="B981" s="5">
        <v>100</v>
      </c>
      <c r="C981" s="5">
        <v>150</v>
      </c>
      <c r="D981" s="5">
        <v>200</v>
      </c>
      <c r="E981" s="5">
        <v>250</v>
      </c>
      <c r="F981" s="5">
        <v>300</v>
      </c>
      <c r="I981" s="12"/>
    </row>
    <row r="982" spans="1:9" ht="15.75" x14ac:dyDescent="0.25">
      <c r="A982" s="2568" t="b">
        <f>IF(OR($B$500=2,$B$500=4),"Толщина стружки, м",IF(OR($B$500=1,$B$500=3),"Производительность комбайна мощности двигателя с учетом скорости передвижения машиниста, т/мин"))</f>
        <v>0</v>
      </c>
      <c r="B982" s="2567" t="b">
        <f>IF(OR($B$500=2,$B$500=4),стр!B148,IF(OR($B$500=1,$B$500=3),ком!E67))</f>
        <v>0</v>
      </c>
      <c r="C982" s="2567" t="b">
        <f>IF(OR($B$500=2,$B$500=4),стр!C148,IF(OR($B$500=1,$B$500=3),ком!F67))</f>
        <v>0</v>
      </c>
      <c r="D982" s="2567" t="b">
        <f>IF(OR($B$500=2,$B$500=4),стр!D148,IF(OR($B$500=1,$B$500=3),ком!G67))</f>
        <v>0</v>
      </c>
      <c r="E982" s="2567" t="b">
        <f>IF(OR($B$500=2,$B$500=4),стр!E148,IF(OR($B$500=1,$B$500=3),ком!H67))</f>
        <v>0</v>
      </c>
      <c r="F982" s="2567" t="b">
        <f>IF(OR($B$500=2,$B$500=4),стр!F148,IF(OR($B$500=1,$B$500=3),ком!I67))</f>
        <v>0</v>
      </c>
      <c r="I982" s="12"/>
    </row>
    <row r="983" spans="1:9" ht="15.75" x14ac:dyDescent="0.25">
      <c r="A983" s="2568" t="b">
        <f>IF(OR($B$500=2,$B$500=4),"Производительность установки по сопротивляемости угля резанию, т/мин",IF(OR($B$500=1,$B$500=3),"Производительность комбайна по скорости крепления, т/мин"))</f>
        <v>0</v>
      </c>
      <c r="B983" s="2567" t="b">
        <f>IF(OR($B$500=2,$B$500=4),стр!B149,IF(OR($B$500=1,$B$500=3),ком!E68))</f>
        <v>0</v>
      </c>
      <c r="C983" s="2567" t="b">
        <f>IF(OR($B$500=2,$B$500=4),стр!C149,IF(OR($B$500=1,$B$500=3),ком!F68))</f>
        <v>0</v>
      </c>
      <c r="D983" s="2567" t="b">
        <f>IF(OR($B$500=2,$B$500=4),стр!D149,IF(OR($B$500=1,$B$500=3),ком!G68))</f>
        <v>0</v>
      </c>
      <c r="E983" s="2567" t="b">
        <f>IF(OR($B$500=2,$B$500=4),стр!E149,IF(OR($B$500=1,$B$500=3),ком!H68))</f>
        <v>0</v>
      </c>
      <c r="F983" s="2567" t="b">
        <f>IF(OR($B$500=2,$B$500=4),стр!F149,IF(OR($B$500=1,$B$500=3),ком!I68))</f>
        <v>0</v>
      </c>
      <c r="I983" s="2547"/>
    </row>
    <row r="984" spans="1:9" ht="15.75" x14ac:dyDescent="0.25">
      <c r="A984" s="2568" t="b">
        <f>IF(OR($B$500=2,$B$500=4),"Производительность установки по возможностям конвейера, т/мин",IF(OR($B$500=1,$B$500=3),"Производительность комбайна по возможностям транспорта, т/мин"))</f>
        <v>0</v>
      </c>
      <c r="B984" s="2567" t="b">
        <f>IF(OR($B$500=2,$B$500=4),стр!B150,IF(OR($B$500=1,$B$500=3),ком!E70))</f>
        <v>0</v>
      </c>
      <c r="C984" s="2567" t="b">
        <f>IF(OR($B$500=2,$B$500=4),стр!C150,IF(OR($B$500=1,$B$500=3),ком!F70))</f>
        <v>0</v>
      </c>
      <c r="D984" s="2567" t="b">
        <f>IF(OR($B$500=2,$B$500=4),стр!D150,IF(OR($B$500=1,$B$500=3),ком!G70))</f>
        <v>0</v>
      </c>
      <c r="E984" s="2567" t="b">
        <f>IF(OR($B$500=2,$B$500=4),стр!E150,IF(OR($B$500=1,$B$500=3),ком!H70))</f>
        <v>0</v>
      </c>
      <c r="F984" s="2567" t="b">
        <f>IF(OR($B$500=2,$B$500=4),стр!F150,IF(OR($B$500=1,$B$500=3),ком!I70))</f>
        <v>0</v>
      </c>
      <c r="I984" s="1224"/>
    </row>
    <row r="985" spans="1:9" ht="15.75" x14ac:dyDescent="0.25">
      <c r="A985" s="2568" t="s">
        <v>5481</v>
      </c>
      <c r="B985" s="2567" t="b">
        <f>IF(OR($B$500=2,$B$500=4),стр!B151,IF(OR($B$500=1,$B$500=3),ком!C93))</f>
        <v>0</v>
      </c>
      <c r="C985" s="2567" t="b">
        <f>IF(OR($B$500=2,$B$500=4),стр!C151,IF(OR($B$500=1,$B$500=3),ком!D93))</f>
        <v>0</v>
      </c>
      <c r="D985" s="2567" t="b">
        <f>IF(OR($B$500=2,$B$500=4),стр!D151,IF(OR($B$500=1,$B$500=3),ком!E93))</f>
        <v>0</v>
      </c>
      <c r="E985" s="2567" t="b">
        <f>IF(OR($B$500=2,$B$500=4),стр!E151,IF(OR($B$500=1,$B$500=3),ком!F93))</f>
        <v>0</v>
      </c>
      <c r="F985" s="2567" t="b">
        <f>IF(OR($B$500=2,$B$500=4),стр!F151,IF(OR($B$500=1,$B$500=3),ком!G93))</f>
        <v>0</v>
      </c>
    </row>
    <row r="986" spans="1:9" x14ac:dyDescent="0.2">
      <c r="A986" s="2563"/>
    </row>
    <row r="987" spans="1:9" x14ac:dyDescent="0.2">
      <c r="A987" s="2686" t="s">
        <v>1774</v>
      </c>
    </row>
    <row r="988" spans="1:9" ht="15.75" x14ac:dyDescent="0.25">
      <c r="A988" s="2565" t="b">
        <f>IF(OR(B500=2,B500=4),"Струговая лава",IF(OR(B500=1,B500=3),"Комбайновая лава"))</f>
        <v>0</v>
      </c>
    </row>
    <row r="989" spans="1:9" ht="15" x14ac:dyDescent="0.25">
      <c r="A989" s="1131" t="s">
        <v>3315</v>
      </c>
      <c r="B989" s="4054">
        <v>100</v>
      </c>
      <c r="C989" s="4054">
        <v>150</v>
      </c>
      <c r="D989" s="4054">
        <v>200</v>
      </c>
      <c r="E989" s="4054">
        <v>250</v>
      </c>
      <c r="F989" s="4054">
        <v>300</v>
      </c>
    </row>
    <row r="990" spans="1:9" ht="14.25" x14ac:dyDescent="0.2">
      <c r="A990" s="1110" t="s">
        <v>1204</v>
      </c>
      <c r="B990" s="2566" t="b">
        <f>IF(OR($B$500=2,$B$500=4),стр!B143,IF(OR($B$500=1,$B$500=3),ком!C84))</f>
        <v>0</v>
      </c>
      <c r="C990" s="2566" t="b">
        <f>IF(OR($B$500=2,$B$500=4),стр!C143,IF(OR($B$500=1,$B$500=3),ком!D84))</f>
        <v>0</v>
      </c>
      <c r="D990" s="2566" t="b">
        <f>IF(OR($B$500=2,$B$500=4),стр!D143,IF(OR($B$500=1,$B$500=3),ком!E84))</f>
        <v>0</v>
      </c>
      <c r="E990" s="2566" t="b">
        <f>IF(OR($B$500=2,$B$500=4),стр!E143,IF(OR($B$500=1,$B$500=3),ком!F84))</f>
        <v>0</v>
      </c>
      <c r="F990" s="2566" t="b">
        <f>IF(OR($B$500=2,$B$500=4),стр!F143,IF(OR($B$500=1,$B$500=3),ком!G84))</f>
        <v>0</v>
      </c>
    </row>
    <row r="991" spans="1:9" ht="15.75" x14ac:dyDescent="0.25">
      <c r="A991" s="1126" t="s">
        <v>3705</v>
      </c>
      <c r="B991" s="2566" t="b">
        <f>IF(OR($B$500=2,$B$500=4),стр!B144,IF(OR($B$500=1,$B$500=3),ком!C83))</f>
        <v>0</v>
      </c>
      <c r="C991" s="2566" t="b">
        <f>IF(OR($B$500=2,$B$500=4),стр!C144,IF(OR($B$500=1,$B$500=3),ком!D83))</f>
        <v>0</v>
      </c>
      <c r="D991" s="2566" t="b">
        <f>IF(OR($B$500=2,$B$500=4),стр!D144,IF(OR($B$500=1,$B$500=3),ком!E83))</f>
        <v>0</v>
      </c>
      <c r="E991" s="2566" t="b">
        <f>IF(OR($B$500=2,$B$500=4),стр!E144,IF(OR($B$500=1,$B$500=3),ком!F83))</f>
        <v>0</v>
      </c>
      <c r="F991" s="2566" t="b">
        <f>IF(OR($B$500=2,$B$500=4),стр!F144,IF(OR($B$500=1,$B$500=3),ком!G83))</f>
        <v>0</v>
      </c>
    </row>
    <row r="992" spans="1:9" ht="15.75" x14ac:dyDescent="0.25">
      <c r="A992" s="1126" t="s">
        <v>5600</v>
      </c>
      <c r="B992" s="2566" t="b">
        <f>IF(OR($B$500=2,$B$500=4),стр!B145,IF(OR($B$500=1,$B$500=3),ком!C85))</f>
        <v>0</v>
      </c>
      <c r="C992" s="2566" t="b">
        <f>IF(OR($B$500=2,$B$500=4),стр!C145,IF(OR($B$500=1,$B$500=3),ком!D85))</f>
        <v>0</v>
      </c>
      <c r="D992" s="2566" t="b">
        <f>IF(OR($B$500=2,$B$500=4),стр!D145,IF(OR($B$500=1,$B$500=3),ком!E85))</f>
        <v>0</v>
      </c>
      <c r="E992" s="2566" t="b">
        <f>IF(OR($B$500=2,$B$500=4),стр!E145,IF(OR($B$500=1,$B$500=3),ком!F85))</f>
        <v>0</v>
      </c>
      <c r="F992" s="2566" t="b">
        <f>IF(OR($B$500=2,$B$500=4),стр!F145,IF(OR($B$500=1,$B$500=3),ком!G85))</f>
        <v>0</v>
      </c>
    </row>
    <row r="993" spans="1:6" ht="15.75" x14ac:dyDescent="0.25">
      <c r="A993" s="1126" t="s">
        <v>3159</v>
      </c>
      <c r="B993" s="2566" t="b">
        <f>IF(OR($B$500=2,$B$500=4),стр!B146,IF(OR($B$500=1,$B$500=3),ком!C88*ком!C91))</f>
        <v>0</v>
      </c>
      <c r="C993" s="2566" t="b">
        <f>IF(OR($B$500=2,$B$500=4),стр!C146,IF(OR($B$500=1,$B$500=3),ком!D88*ком!D91))</f>
        <v>0</v>
      </c>
      <c r="D993" s="2566" t="b">
        <f>IF(OR($B$500=2,$B$500=4),стр!D146,IF(OR($B$500=1,$B$500=3),ком!E88*ком!E91))</f>
        <v>0</v>
      </c>
      <c r="E993" s="2566" t="b">
        <f>IF(OR($B$500=2,$B$500=4),стр!E146,IF(OR($B$500=1,$B$500=3),ком!F88*ком!F91))</f>
        <v>0</v>
      </c>
      <c r="F993" s="2566" t="b">
        <f>IF(OR($B$500=2,$B$500=4),стр!F146,IF(OR($B$500=1,$B$500=3),ком!G88*ком!G91))</f>
        <v>0</v>
      </c>
    </row>
    <row r="999" spans="1:6" x14ac:dyDescent="0.2">
      <c r="A999" s="2561"/>
    </row>
    <row r="1000" spans="1:6" x14ac:dyDescent="0.2">
      <c r="A1000" s="2561"/>
    </row>
    <row r="1001" spans="1:6" x14ac:dyDescent="0.2">
      <c r="A1001" s="2561"/>
    </row>
    <row r="1002" spans="1:6" x14ac:dyDescent="0.2">
      <c r="A1002" s="2561"/>
    </row>
    <row r="1003" spans="1:6" x14ac:dyDescent="0.2">
      <c r="A1003" s="2561"/>
    </row>
    <row r="1004" spans="1:6" x14ac:dyDescent="0.2">
      <c r="A1004" s="2561"/>
    </row>
    <row r="1005" spans="1:6" x14ac:dyDescent="0.2">
      <c r="A1005" s="2561"/>
    </row>
    <row r="1006" spans="1:6" x14ac:dyDescent="0.2">
      <c r="A1006" s="2561"/>
    </row>
    <row r="1007" spans="1:6" x14ac:dyDescent="0.2">
      <c r="A1007" s="2561"/>
    </row>
    <row r="1008" spans="1:6" x14ac:dyDescent="0.2">
      <c r="A1008" s="2561"/>
    </row>
    <row r="1009" spans="1:6" x14ac:dyDescent="0.2">
      <c r="A1009" s="2561"/>
    </row>
    <row r="1010" spans="1:6" x14ac:dyDescent="0.2">
      <c r="A1010" s="2561"/>
    </row>
    <row r="1011" spans="1:6" x14ac:dyDescent="0.2">
      <c r="A1011" s="2563" t="s">
        <v>1775</v>
      </c>
    </row>
    <row r="1012" spans="1:6" x14ac:dyDescent="0.2">
      <c r="A1012" s="2561"/>
    </row>
    <row r="1013" spans="1:6" ht="15.75" x14ac:dyDescent="0.25">
      <c r="A1013" s="4215" t="str">
        <f>IF(B2201=1,"Вы перенесли  таблицы  9 и 10 и рисунок  в текст записки? 1 - Да, 2 - Нет","не вводить!")</f>
        <v>не вводить!</v>
      </c>
      <c r="B1013" s="4159"/>
    </row>
    <row r="1014" spans="1:6" x14ac:dyDescent="0.2">
      <c r="A1014" s="4216" t="str">
        <f>IF(B1013=1,"Переходите по ссылке","")</f>
        <v/>
      </c>
    </row>
    <row r="1015" spans="1:6" x14ac:dyDescent="0.2">
      <c r="A1015" s="2561"/>
      <c r="B1015" s="2723"/>
      <c r="C1015" s="2723"/>
      <c r="D1015" s="2723"/>
      <c r="E1015" s="2723"/>
      <c r="F1015" s="2723"/>
    </row>
    <row r="1016" spans="1:6" ht="15.75" x14ac:dyDescent="0.25">
      <c r="A1016" s="2722" t="s">
        <v>1412</v>
      </c>
      <c r="B1016" s="2723"/>
      <c r="C1016" s="2723"/>
      <c r="D1016" s="2723"/>
      <c r="E1016" s="2723"/>
      <c r="F1016" s="2723"/>
    </row>
    <row r="1017" spans="1:6" ht="15.75" x14ac:dyDescent="0.25">
      <c r="A1017" s="2722" t="s">
        <v>3386</v>
      </c>
      <c r="B1017" s="2723"/>
      <c r="C1017" s="2723"/>
      <c r="D1017" s="2723"/>
      <c r="E1017" s="2723"/>
      <c r="F1017" s="2723"/>
    </row>
    <row r="1018" spans="1:6" ht="15.75" x14ac:dyDescent="0.25">
      <c r="A1018" s="2722" t="s">
        <v>1622</v>
      </c>
      <c r="B1018" s="2723"/>
      <c r="C1018" s="2723"/>
      <c r="D1018" s="2723"/>
      <c r="E1018" s="2723"/>
      <c r="F1018" s="2723"/>
    </row>
    <row r="1019" spans="1:6" ht="15.75" x14ac:dyDescent="0.25">
      <c r="A1019" s="2722" t="s">
        <v>1623</v>
      </c>
      <c r="B1019" s="2723"/>
      <c r="C1019" s="2723"/>
      <c r="D1019" s="2723"/>
      <c r="E1019" s="2723"/>
      <c r="F1019" s="2723"/>
    </row>
    <row r="1020" spans="1:6" ht="15.75" x14ac:dyDescent="0.25">
      <c r="A1020" s="2722" t="s">
        <v>2548</v>
      </c>
      <c r="B1020" s="2723"/>
      <c r="C1020" s="2723"/>
      <c r="D1020" s="2723"/>
      <c r="E1020" s="2723"/>
      <c r="F1020" s="2723"/>
    </row>
    <row r="1021" spans="1:6" ht="15.75" x14ac:dyDescent="0.25">
      <c r="A1021" s="2722" t="s">
        <v>1624</v>
      </c>
      <c r="B1021" s="2723"/>
      <c r="C1021" s="2723"/>
      <c r="D1021" s="2723"/>
      <c r="E1021" s="2723"/>
      <c r="F1021" s="2723"/>
    </row>
    <row r="1022" spans="1:6" ht="15.75" x14ac:dyDescent="0.25">
      <c r="A1022" s="2722" t="s">
        <v>1625</v>
      </c>
      <c r="C1022" s="818"/>
    </row>
    <row r="1023" spans="1:6" ht="15.75" x14ac:dyDescent="0.25">
      <c r="A1023" s="2570" t="s">
        <v>1626</v>
      </c>
      <c r="B1023" s="2569" t="e">
        <f>INDEX(вен!T98:W98,вен!I286)</f>
        <v>#VALUE!</v>
      </c>
      <c r="C1023" s="818"/>
    </row>
    <row r="1024" spans="1:6" ht="15.75" x14ac:dyDescent="0.25">
      <c r="A1024" s="2570" t="s">
        <v>1627</v>
      </c>
      <c r="B1024" s="2494" t="str">
        <f>IF(вен!F133=1,"применяется","не применяется")</f>
        <v>не применяется</v>
      </c>
      <c r="C1024" s="818"/>
    </row>
    <row r="1025" spans="1:6" ht="15.75" x14ac:dyDescent="0.25">
      <c r="A1025" s="2570" t="s">
        <v>1628</v>
      </c>
      <c r="B1025" s="2494" t="str">
        <f>IF(вен!F135=1,"применяется","не применяется")</f>
        <v>не применяется</v>
      </c>
    </row>
    <row r="1026" spans="1:6" x14ac:dyDescent="0.2">
      <c r="A1026" s="2571" t="s">
        <v>612</v>
      </c>
    </row>
    <row r="1027" spans="1:6" x14ac:dyDescent="0.2">
      <c r="A1027" s="2564" t="s">
        <v>4221</v>
      </c>
    </row>
    <row r="1028" spans="1:6" x14ac:dyDescent="0.2">
      <c r="A1028" s="2572" t="s">
        <v>3315</v>
      </c>
      <c r="B1028" s="4054">
        <v>100</v>
      </c>
      <c r="C1028" s="4054">
        <v>150</v>
      </c>
      <c r="D1028" s="4054">
        <v>200</v>
      </c>
      <c r="E1028" s="4054">
        <v>250</v>
      </c>
      <c r="F1028" s="4054">
        <v>300</v>
      </c>
    </row>
    <row r="1029" spans="1:6" x14ac:dyDescent="0.2">
      <c r="A1029" s="2572" t="s">
        <v>2086</v>
      </c>
      <c r="B1029" s="2566" t="e">
        <f>вен!B87</f>
        <v>#VALUE!</v>
      </c>
      <c r="C1029" s="2566" t="e">
        <f>вен!C87</f>
        <v>#VALUE!</v>
      </c>
      <c r="D1029" s="2566" t="e">
        <f>вен!D87</f>
        <v>#VALUE!</v>
      </c>
      <c r="E1029" s="2566" t="e">
        <f>вен!E87</f>
        <v>#VALUE!</v>
      </c>
      <c r="F1029" s="2566" t="e">
        <f>вен!F87</f>
        <v>#VALUE!</v>
      </c>
    </row>
    <row r="1030" spans="1:6" x14ac:dyDescent="0.2">
      <c r="A1030" s="2563"/>
      <c r="B1030" s="2528"/>
      <c r="C1030" s="2528"/>
      <c r="D1030" s="2528"/>
      <c r="E1030" s="2528"/>
      <c r="F1030" s="2528"/>
    </row>
    <row r="1031" spans="1:6" x14ac:dyDescent="0.2">
      <c r="A1031" s="2563"/>
      <c r="B1031" s="2528"/>
      <c r="C1031" s="2528"/>
      <c r="D1031" s="2528"/>
      <c r="E1031" s="2528"/>
      <c r="F1031" s="2528"/>
    </row>
    <row r="1032" spans="1:6" x14ac:dyDescent="0.2">
      <c r="A1032" s="2563"/>
      <c r="B1032" s="2528"/>
      <c r="C1032" s="2528"/>
      <c r="D1032" s="2528"/>
      <c r="E1032" s="2528"/>
      <c r="F1032" s="2528"/>
    </row>
    <row r="1033" spans="1:6" x14ac:dyDescent="0.2">
      <c r="A1033" s="2563"/>
      <c r="B1033" s="2528"/>
      <c r="C1033" s="2528"/>
      <c r="D1033" s="2528"/>
      <c r="E1033" s="2528"/>
      <c r="F1033" s="2528"/>
    </row>
    <row r="1034" spans="1:6" x14ac:dyDescent="0.2">
      <c r="A1034" s="2563"/>
      <c r="B1034" s="2528"/>
      <c r="C1034" s="2528"/>
      <c r="D1034" s="2528"/>
      <c r="E1034" s="2528"/>
      <c r="F1034" s="2528"/>
    </row>
    <row r="1035" spans="1:6" x14ac:dyDescent="0.2">
      <c r="A1035" s="2563"/>
      <c r="B1035" s="2528"/>
      <c r="C1035" s="2528"/>
      <c r="D1035" s="2528"/>
      <c r="E1035" s="2528"/>
      <c r="F1035" s="2528"/>
    </row>
    <row r="1036" spans="1:6" x14ac:dyDescent="0.2">
      <c r="A1036" s="2563"/>
      <c r="B1036" s="2528"/>
      <c r="C1036" s="2528"/>
      <c r="D1036" s="2528"/>
      <c r="E1036" s="2528"/>
      <c r="F1036" s="2528"/>
    </row>
    <row r="1037" spans="1:6" x14ac:dyDescent="0.2">
      <c r="A1037" s="2563"/>
      <c r="B1037" s="2528"/>
      <c r="C1037" s="2528"/>
      <c r="D1037" s="2528"/>
      <c r="E1037" s="2528"/>
      <c r="F1037" s="2528"/>
    </row>
    <row r="1038" spans="1:6" x14ac:dyDescent="0.2">
      <c r="A1038" s="2563"/>
      <c r="B1038" s="2528"/>
      <c r="C1038" s="2528"/>
      <c r="D1038" s="2528"/>
      <c r="E1038" s="2528"/>
      <c r="F1038" s="2528"/>
    </row>
    <row r="1039" spans="1:6" x14ac:dyDescent="0.2">
      <c r="A1039" s="2563"/>
      <c r="B1039" s="2528"/>
      <c r="C1039" s="2528"/>
      <c r="D1039" s="2528"/>
      <c r="E1039" s="2528"/>
      <c r="F1039" s="2528"/>
    </row>
    <row r="1040" spans="1:6" x14ac:dyDescent="0.2">
      <c r="A1040" s="2563"/>
      <c r="B1040" s="2528"/>
      <c r="C1040" s="2528"/>
      <c r="D1040" s="2528"/>
      <c r="E1040" s="2528"/>
      <c r="F1040" s="2528"/>
    </row>
    <row r="1041" spans="1:6" x14ac:dyDescent="0.2">
      <c r="A1041" s="2563"/>
      <c r="B1041" s="2528"/>
      <c r="C1041" s="2528"/>
      <c r="D1041" s="2528"/>
      <c r="E1041" s="2528"/>
      <c r="F1041" s="2528"/>
    </row>
    <row r="1042" spans="1:6" x14ac:dyDescent="0.2">
      <c r="A1042" s="2563"/>
    </row>
    <row r="1043" spans="1:6" x14ac:dyDescent="0.2">
      <c r="A1043" s="2563" t="s">
        <v>1030</v>
      </c>
    </row>
    <row r="1044" spans="1:6" x14ac:dyDescent="0.2">
      <c r="A1044" s="2562"/>
    </row>
    <row r="1045" spans="1:6" x14ac:dyDescent="0.2">
      <c r="A1045" s="2562"/>
    </row>
    <row r="1046" spans="1:6" x14ac:dyDescent="0.2">
      <c r="A1046" s="2572" t="s">
        <v>3315</v>
      </c>
      <c r="B1046" s="802">
        <v>100</v>
      </c>
      <c r="C1046" s="802">
        <v>150</v>
      </c>
      <c r="D1046" s="802">
        <v>200</v>
      </c>
      <c r="E1046" s="802">
        <v>250</v>
      </c>
      <c r="F1046" s="802">
        <v>300</v>
      </c>
    </row>
    <row r="1047" spans="1:6" x14ac:dyDescent="0.2">
      <c r="A1047" s="2572" t="s">
        <v>4222</v>
      </c>
      <c r="B1047" s="2566" t="e">
        <f>вен!B87</f>
        <v>#VALUE!</v>
      </c>
      <c r="C1047" s="2566" t="e">
        <f>вен!C87</f>
        <v>#VALUE!</v>
      </c>
      <c r="D1047" s="2566" t="e">
        <f>вен!D87</f>
        <v>#VALUE!</v>
      </c>
      <c r="E1047" s="2566" t="e">
        <f>вен!E87</f>
        <v>#VALUE!</v>
      </c>
      <c r="F1047" s="2566" t="e">
        <f>вен!F87</f>
        <v>#VALUE!</v>
      </c>
    </row>
    <row r="1048" spans="1:6" x14ac:dyDescent="0.2">
      <c r="A1048" s="2974" t="s">
        <v>4223</v>
      </c>
      <c r="B1048" s="2566" t="b">
        <f>B990</f>
        <v>0</v>
      </c>
      <c r="C1048" s="2566" t="b">
        <f>C990</f>
        <v>0</v>
      </c>
      <c r="D1048" s="2566" t="b">
        <f>D990</f>
        <v>0</v>
      </c>
      <c r="E1048" s="2566" t="b">
        <f>E990</f>
        <v>0</v>
      </c>
      <c r="F1048" s="2566" t="b">
        <f>F990</f>
        <v>0</v>
      </c>
    </row>
    <row r="1049" spans="1:6" x14ac:dyDescent="0.2">
      <c r="A1049" s="2562"/>
    </row>
    <row r="1050" spans="1:6" x14ac:dyDescent="0.2">
      <c r="A1050" s="2562"/>
    </row>
    <row r="1051" spans="1:6" x14ac:dyDescent="0.2">
      <c r="A1051" s="2562"/>
    </row>
    <row r="1052" spans="1:6" x14ac:dyDescent="0.2">
      <c r="A1052" s="2562"/>
    </row>
    <row r="1053" spans="1:6" x14ac:dyDescent="0.2">
      <c r="A1053" s="2562"/>
    </row>
    <row r="1054" spans="1:6" x14ac:dyDescent="0.2">
      <c r="A1054" s="2562"/>
    </row>
    <row r="1055" spans="1:6" x14ac:dyDescent="0.2">
      <c r="A1055" s="2562"/>
    </row>
    <row r="1056" spans="1:6" x14ac:dyDescent="0.2">
      <c r="A1056" s="2562"/>
    </row>
    <row r="1057" spans="1:2" x14ac:dyDescent="0.2">
      <c r="A1057" s="2561"/>
    </row>
    <row r="1058" spans="1:2" x14ac:dyDescent="0.2">
      <c r="A1058" s="2561"/>
    </row>
    <row r="1059" spans="1:2" x14ac:dyDescent="0.2">
      <c r="A1059" s="2561"/>
    </row>
    <row r="1060" spans="1:2" x14ac:dyDescent="0.2">
      <c r="A1060" s="3999" t="s">
        <v>6480</v>
      </c>
    </row>
    <row r="1061" spans="1:2" x14ac:dyDescent="0.2">
      <c r="A1061" s="2561"/>
    </row>
    <row r="1063" spans="1:2" x14ac:dyDescent="0.2">
      <c r="A1063" s="2561"/>
    </row>
    <row r="1064" spans="1:2" ht="31.5" x14ac:dyDescent="0.25">
      <c r="A1064" s="2707" t="s">
        <v>940</v>
      </c>
      <c r="B1064" s="2631" t="str">
        <f>IF(вен!B152=1,"производительность оборудования лавы","возможность проветривания лавы")</f>
        <v>возможность проветривания лавы</v>
      </c>
    </row>
    <row r="1065" spans="1:2" x14ac:dyDescent="0.2">
      <c r="A1065" s="2561"/>
      <c r="B1065" s="213" t="s">
        <v>1031</v>
      </c>
    </row>
    <row r="1066" spans="1:2" x14ac:dyDescent="0.2">
      <c r="A1066" s="2561"/>
      <c r="B1066" s="213"/>
    </row>
    <row r="1067" spans="1:2" ht="18.75" x14ac:dyDescent="0.3">
      <c r="A1067" s="4217" t="str">
        <f>IF(B2201=1,"Вы перенесли  таблицу 11 и рисунк  в текст записки? 1 - Да, 2 - Нет","не вводить!")</f>
        <v>не вводить!</v>
      </c>
      <c r="B1067" s="4177"/>
    </row>
    <row r="1068" spans="1:2" x14ac:dyDescent="0.2">
      <c r="A1068" s="2561" t="str">
        <f>IF(B1067=1,"Переходите по ссылке","")</f>
        <v/>
      </c>
      <c r="B1068" s="213"/>
    </row>
    <row r="1070" spans="1:2" ht="18.75" x14ac:dyDescent="0.3">
      <c r="A1070" s="2580" t="str">
        <f>IF(OR(B500=1,B500=3),"Определение количества выемочных циклов в сутки","Поскольку лава струговая - переходите к строке")</f>
        <v>Поскольку лава струговая - переходите к строке</v>
      </c>
      <c r="B1070" s="1284">
        <f>IF(OR(B500=1,B500=3),"",ROW(1095:1095))</f>
        <v>1095</v>
      </c>
    </row>
    <row r="1071" spans="1:2" ht="15.75" x14ac:dyDescent="0.25">
      <c r="A1071" s="2573" t="s">
        <v>941</v>
      </c>
    </row>
    <row r="1072" spans="1:2" ht="15.75" x14ac:dyDescent="0.25">
      <c r="A1072" s="2573" t="s">
        <v>5055</v>
      </c>
    </row>
    <row r="1073" spans="1:6" ht="15.75" x14ac:dyDescent="0.25">
      <c r="A1073" s="2573" t="s">
        <v>5056</v>
      </c>
      <c r="B1073" s="213" t="str">
        <f>B1064</f>
        <v>возможность проветривания лавы</v>
      </c>
    </row>
    <row r="1074" spans="1:6" ht="15.75" x14ac:dyDescent="0.25">
      <c r="A1074" s="2573" t="s">
        <v>2826</v>
      </c>
    </row>
    <row r="1075" spans="1:6" ht="15.75" x14ac:dyDescent="0.25">
      <c r="A1075" s="893" t="s">
        <v>1033</v>
      </c>
      <c r="B1075" s="2576" t="str">
        <f>IF(вен!B152=2,вен!B159,вен!I159)</f>
        <v>Длина лавы при ограничении нагрузки по возможностям оборудования</v>
      </c>
    </row>
    <row r="1077" spans="1:6" ht="15.75" x14ac:dyDescent="0.25">
      <c r="A1077" s="2575" t="str">
        <f>вен!B161</f>
        <v>длина лавы</v>
      </c>
      <c r="B1077" s="2566">
        <f>вен!C161</f>
        <v>100</v>
      </c>
      <c r="C1077" s="2566">
        <f>вен!D161</f>
        <v>150</v>
      </c>
      <c r="D1077" s="2566">
        <f>вен!E161</f>
        <v>200</v>
      </c>
      <c r="E1077" s="2566">
        <f>вен!F161</f>
        <v>250</v>
      </c>
      <c r="F1077" s="2566">
        <f>вен!G161</f>
        <v>300</v>
      </c>
    </row>
    <row r="1078" spans="1:6" ht="15.75" x14ac:dyDescent="0.25">
      <c r="A1078" s="2575" t="str">
        <f>вен!B162</f>
        <v>цикл/сутки</v>
      </c>
      <c r="B1078" s="2567" t="e">
        <f>IF(вен!$B$152=2,вен!C162,вен!J162)</f>
        <v>#VALUE!</v>
      </c>
      <c r="C1078" s="2567" t="e">
        <f>IF(вен!$B$152=2,вен!D162,вен!K162)</f>
        <v>#VALUE!</v>
      </c>
      <c r="D1078" s="2567" t="e">
        <f>IF(вен!$B$152=2,вен!E162,вен!L162)</f>
        <v>#VALUE!</v>
      </c>
      <c r="E1078" s="2567" t="e">
        <f>IF(вен!$B$152=2,вен!F162,вен!M162)</f>
        <v>#VALUE!</v>
      </c>
      <c r="F1078" s="2567" t="e">
        <f>IF(вен!$B$152=2,вен!G162,вен!N162)</f>
        <v>#VALUE!</v>
      </c>
    </row>
    <row r="1080" spans="1:6" ht="15.75" x14ac:dyDescent="0.25">
      <c r="A1080" s="2573"/>
    </row>
    <row r="1081" spans="1:6" ht="15.75" x14ac:dyDescent="0.25">
      <c r="A1081" s="2573"/>
    </row>
    <row r="1082" spans="1:6" ht="15.75" x14ac:dyDescent="0.25">
      <c r="A1082" s="2573"/>
    </row>
    <row r="1083" spans="1:6" ht="15.75" x14ac:dyDescent="0.25">
      <c r="A1083" s="2573"/>
    </row>
    <row r="1084" spans="1:6" ht="15.75" x14ac:dyDescent="0.25">
      <c r="A1084" s="2573"/>
    </row>
    <row r="1085" spans="1:6" ht="15.75" x14ac:dyDescent="0.25">
      <c r="A1085" s="2573"/>
    </row>
    <row r="1086" spans="1:6" ht="15.75" x14ac:dyDescent="0.25">
      <c r="A1086" s="2573"/>
    </row>
    <row r="1087" spans="1:6" ht="15.75" x14ac:dyDescent="0.25">
      <c r="A1087" s="2573"/>
    </row>
    <row r="1088" spans="1:6" ht="15.75" x14ac:dyDescent="0.25">
      <c r="A1088" s="2573"/>
    </row>
    <row r="1089" spans="1:3" ht="15.75" x14ac:dyDescent="0.25">
      <c r="A1089" s="2573"/>
    </row>
    <row r="1090" spans="1:3" ht="15.75" x14ac:dyDescent="0.25">
      <c r="A1090" s="2573"/>
    </row>
    <row r="1091" spans="1:3" ht="15.75" x14ac:dyDescent="0.25">
      <c r="A1091" s="2573"/>
    </row>
    <row r="1092" spans="1:3" ht="15.75" x14ac:dyDescent="0.25">
      <c r="A1092" s="2573"/>
    </row>
    <row r="1093" spans="1:3" ht="15.75" x14ac:dyDescent="0.25">
      <c r="A1093" s="2573"/>
    </row>
    <row r="1094" spans="1:3" ht="15.75" x14ac:dyDescent="0.25">
      <c r="A1094" s="2573" t="s">
        <v>1032</v>
      </c>
    </row>
    <row r="1096" spans="1:3" ht="15" x14ac:dyDescent="0.2">
      <c r="A1096" s="4218" t="str">
        <f>IF(B2201=1,"Вы перенесли  таблицу 12 и рисунк  в текст записки? 1 - Да, 2 - Нет","не вводить!")</f>
        <v>не вводить!</v>
      </c>
      <c r="B1096" s="4200"/>
    </row>
    <row r="1097" spans="1:3" x14ac:dyDescent="0.2">
      <c r="A1097" s="4223" t="str">
        <f>IF(B1096=1,"Переходите по ссылке","")</f>
        <v/>
      </c>
    </row>
    <row r="1099" spans="1:3" ht="15.75" x14ac:dyDescent="0.25">
      <c r="A1099" s="818" t="s">
        <v>2006</v>
      </c>
    </row>
    <row r="1100" spans="1:3" ht="15.75" x14ac:dyDescent="0.25">
      <c r="A1100" s="818" t="s">
        <v>2007</v>
      </c>
    </row>
    <row r="1101" spans="1:3" ht="15.75" x14ac:dyDescent="0.25">
      <c r="A1101" s="2464" t="s">
        <v>2034</v>
      </c>
      <c r="C1101" s="8"/>
    </row>
    <row r="1102" spans="1:3" ht="15.75" x14ac:dyDescent="0.25">
      <c r="A1102" s="4055" t="e">
        <f>INDEX(A2424:A2427,B500)</f>
        <v>#VALUE!</v>
      </c>
      <c r="B1102" s="2578" t="e">
        <f>вен!B192</f>
        <v>#VALUE!</v>
      </c>
      <c r="C1102" s="8"/>
    </row>
    <row r="1103" spans="1:3" ht="15.75" x14ac:dyDescent="0.25">
      <c r="A1103" s="4055" t="s">
        <v>3315</v>
      </c>
      <c r="B1103" s="2578">
        <f>вен!B191</f>
        <v>0</v>
      </c>
      <c r="C1103" s="8"/>
    </row>
    <row r="1104" spans="1:3" ht="15.75" x14ac:dyDescent="0.25">
      <c r="A1104" s="4056" t="str">
        <f>IF(OR(B500=1,B500=3),"Число выемочных циклов в сутки","")</f>
        <v/>
      </c>
      <c r="B1104" s="2579" t="str">
        <f>IF(OR(B500=1,B500=3),вен!B187,"")</f>
        <v/>
      </c>
      <c r="C1104" s="8"/>
    </row>
    <row r="1105" spans="1:7" ht="15.75" x14ac:dyDescent="0.25">
      <c r="A1105" s="4057" t="s">
        <v>3653</v>
      </c>
      <c r="B1105" s="2730">
        <f>вен!F133</f>
        <v>0</v>
      </c>
      <c r="C1105" s="8"/>
    </row>
    <row r="1106" spans="1:7" ht="15.75" x14ac:dyDescent="0.25">
      <c r="A1106" s="4057" t="s">
        <v>3654</v>
      </c>
      <c r="B1106" s="2636">
        <f>вен!F134</f>
        <v>0</v>
      </c>
      <c r="C1106" s="8"/>
    </row>
    <row r="1107" spans="1:7" ht="31.5" x14ac:dyDescent="0.25">
      <c r="A1107" s="4057" t="s">
        <v>1307</v>
      </c>
      <c r="B1107" s="2730">
        <f>вен!F135</f>
        <v>0</v>
      </c>
      <c r="C1107" s="8"/>
    </row>
    <row r="1108" spans="1:7" ht="15.75" x14ac:dyDescent="0.25">
      <c r="A1108" s="4057" t="s">
        <v>1308</v>
      </c>
      <c r="B1108" s="2636">
        <f>вен!F136</f>
        <v>0</v>
      </c>
      <c r="C1108" s="8"/>
    </row>
    <row r="1109" spans="1:7" ht="15.75" x14ac:dyDescent="0.25">
      <c r="A1109" s="4219"/>
      <c r="B1109" s="2660"/>
      <c r="C1109" s="8"/>
    </row>
    <row r="1110" spans="1:7" ht="18.75" x14ac:dyDescent="0.3">
      <c r="A1110" s="4220" t="str">
        <f>IF(B2201=1,"Вы перенесли  таблицу 13  в текст записки? 1 - Да, 2 - Нет","не вводить!")</f>
        <v>не вводить!</v>
      </c>
      <c r="B1110" s="4221"/>
      <c r="C1110" s="8"/>
    </row>
    <row r="1111" spans="1:7" ht="15.75" x14ac:dyDescent="0.25">
      <c r="A1111" s="4222" t="str">
        <f>IF(B1110=1,"Переходите по ссылке","")</f>
        <v/>
      </c>
      <c r="B1111" s="2660"/>
      <c r="C1111" s="8"/>
    </row>
    <row r="1112" spans="1:7" ht="15.75" x14ac:dyDescent="0.25">
      <c r="A1112" s="2707"/>
      <c r="B1112" s="2660"/>
      <c r="C1112" s="8"/>
    </row>
    <row r="1113" spans="1:7" ht="15.75" x14ac:dyDescent="0.25">
      <c r="A1113" s="3083" t="s">
        <v>5746</v>
      </c>
      <c r="B1113" s="2660"/>
      <c r="C1113" s="8"/>
    </row>
    <row r="1114" spans="1:7" ht="15.75" x14ac:dyDescent="0.25">
      <c r="A1114" s="3083"/>
      <c r="B1114" s="2660"/>
      <c r="C1114" s="8"/>
      <c r="D1114" s="352"/>
    </row>
    <row r="1115" spans="1:7" ht="15.75" x14ac:dyDescent="0.25">
      <c r="A1115" s="3083"/>
    </row>
    <row r="1116" spans="1:7" ht="15.75" x14ac:dyDescent="0.25">
      <c r="A1116" s="3084" t="s">
        <v>5748</v>
      </c>
      <c r="B1116" s="3085">
        <v>1</v>
      </c>
      <c r="C1116" s="3086">
        <v>2</v>
      </c>
      <c r="D1116" s="3085">
        <v>3</v>
      </c>
      <c r="E1116" s="3086">
        <v>4</v>
      </c>
      <c r="F1116" s="3085">
        <v>5</v>
      </c>
      <c r="G1116" s="3086">
        <v>6</v>
      </c>
    </row>
    <row r="1117" spans="1:7" ht="15.75" x14ac:dyDescent="0.25">
      <c r="A1117" s="3084" t="s">
        <v>608</v>
      </c>
      <c r="B1117" s="2636" t="str">
        <f t="shared" ref="B1117:G1117" si="11">B553</f>
        <v/>
      </c>
      <c r="C1117" s="2636" t="str">
        <f t="shared" si="11"/>
        <v/>
      </c>
      <c r="D1117" s="2636" t="str">
        <f t="shared" si="11"/>
        <v/>
      </c>
      <c r="E1117" s="2636" t="str">
        <f t="shared" si="11"/>
        <v/>
      </c>
      <c r="F1117" s="2636" t="str">
        <f t="shared" si="11"/>
        <v/>
      </c>
      <c r="G1117" s="2636" t="str">
        <f t="shared" si="11"/>
        <v/>
      </c>
    </row>
    <row r="1118" spans="1:7" ht="15.75" x14ac:dyDescent="0.25">
      <c r="A1118" s="3084" t="s">
        <v>5747</v>
      </c>
      <c r="B1118" s="2636" t="str">
        <f t="shared" ref="B1118:G1118" si="12">IF(B1116=$B$240,$B$1102,"")</f>
        <v/>
      </c>
      <c r="C1118" s="2636" t="str">
        <f t="shared" si="12"/>
        <v/>
      </c>
      <c r="D1118" s="2636" t="str">
        <f t="shared" si="12"/>
        <v/>
      </c>
      <c r="E1118" s="2636" t="str">
        <f t="shared" si="12"/>
        <v/>
      </c>
      <c r="F1118" s="2636" t="str">
        <f t="shared" si="12"/>
        <v/>
      </c>
      <c r="G1118" s="2636" t="str">
        <f t="shared" si="12"/>
        <v/>
      </c>
    </row>
    <row r="1119" spans="1:7" ht="15.75" x14ac:dyDescent="0.25">
      <c r="A1119" s="4255" t="str">
        <f>IF(AND(обор!G378=2,обор!K405=1),"Нагрузка  вычислена для индивидуальной крепи","Нагрузка выполнена для мехкрепи")</f>
        <v>Нагрузка выполнена для мехкрепи</v>
      </c>
      <c r="B1119" s="2636"/>
      <c r="C1119" s="2636"/>
      <c r="D1119" s="2636"/>
      <c r="E1119" s="2636"/>
      <c r="F1119" s="2636"/>
      <c r="G1119" s="2636"/>
    </row>
    <row r="1120" spans="1:7" ht="78.75" x14ac:dyDescent="0.25">
      <c r="A1120" s="3084" t="s">
        <v>6796</v>
      </c>
      <c r="B1120" s="4256"/>
      <c r="C1120" s="4256"/>
      <c r="D1120" s="4256"/>
      <c r="E1120" s="4256"/>
      <c r="F1120" s="4256"/>
      <c r="G1120" s="4256"/>
    </row>
    <row r="1121" spans="1:15" ht="15.75" x14ac:dyDescent="0.25">
      <c r="A1121" s="4245" t="str">
        <f>IF(B2201=1,"Вы перенесли  таблицу 13  в текст записки? 1 - Да, 2 - Нет","не вводить!")</f>
        <v>не вводить!</v>
      </c>
      <c r="B1121" s="4246"/>
      <c r="C1121" s="2660"/>
      <c r="D1121" s="2660"/>
      <c r="E1121" s="2660"/>
      <c r="F1121" s="2660"/>
      <c r="G1121" s="2660"/>
    </row>
    <row r="1122" spans="1:15" ht="15.75" x14ac:dyDescent="0.25">
      <c r="A1122" s="4222" t="str">
        <f>IF(B1121=1,"Переходите по ссылке","")</f>
        <v/>
      </c>
      <c r="B1122" s="2660"/>
      <c r="C1122" s="8"/>
      <c r="D1122" s="8"/>
      <c r="E1122" s="8"/>
      <c r="F1122" s="8"/>
      <c r="G1122" s="8"/>
      <c r="H1122" s="8"/>
    </row>
    <row r="1123" spans="1:15" ht="37.5" x14ac:dyDescent="0.3">
      <c r="A1123" s="4000" t="s">
        <v>6600</v>
      </c>
      <c r="B1123" s="2660"/>
      <c r="C1123" s="8"/>
    </row>
    <row r="1124" spans="1:15" ht="63" x14ac:dyDescent="0.25">
      <c r="A1124" s="2707" t="s">
        <v>6481</v>
      </c>
      <c r="B1124" s="2660"/>
      <c r="C1124" s="8"/>
    </row>
    <row r="1125" spans="1:15" ht="15.75" x14ac:dyDescent="0.25">
      <c r="A1125" s="2707" t="s">
        <v>6482</v>
      </c>
      <c r="B1125" s="2660"/>
      <c r="C1125" s="8"/>
    </row>
    <row r="1126" spans="1:15" ht="15.75" x14ac:dyDescent="0.25">
      <c r="A1126" s="2707" t="s">
        <v>6483</v>
      </c>
      <c r="B1126" s="2660"/>
      <c r="C1126" s="8"/>
    </row>
    <row r="1127" spans="1:15" ht="31.5" x14ac:dyDescent="0.25">
      <c r="A1127" s="2707" t="s">
        <v>6778</v>
      </c>
      <c r="B1127" s="2660"/>
      <c r="C1127" s="8"/>
    </row>
    <row r="1128" spans="1:15" ht="63" x14ac:dyDescent="0.25">
      <c r="A1128" s="2707" t="s">
        <v>6484</v>
      </c>
      <c r="B1128" s="2660"/>
      <c r="C1128" s="8"/>
    </row>
    <row r="1129" spans="1:15" ht="15.75" x14ac:dyDescent="0.25">
      <c r="A1129" s="2707" t="s">
        <v>6779</v>
      </c>
      <c r="B1129" s="2660"/>
      <c r="C1129" s="8"/>
    </row>
    <row r="1130" spans="1:15" ht="15.75" x14ac:dyDescent="0.25">
      <c r="A1130" s="2707" t="s">
        <v>6780</v>
      </c>
      <c r="B1130" s="2660"/>
      <c r="C1130" s="8"/>
    </row>
    <row r="1131" spans="1:15" ht="47.25" x14ac:dyDescent="0.25">
      <c r="A1131" s="2707" t="s">
        <v>6485</v>
      </c>
      <c r="B1131" s="2660"/>
      <c r="C1131" s="8"/>
    </row>
    <row r="1132" spans="1:15" ht="18.75" customHeight="1" x14ac:dyDescent="0.25">
      <c r="A1132" s="2707"/>
      <c r="D1132" s="3081"/>
      <c r="E1132" s="3081"/>
      <c r="F1132" s="3081"/>
      <c r="G1132" s="3081"/>
      <c r="H1132" s="3081"/>
      <c r="I1132" s="3081"/>
      <c r="O1132" s="213"/>
    </row>
    <row r="1133" spans="1:15" ht="18.75" customHeight="1" x14ac:dyDescent="0.25">
      <c r="A1133" s="526"/>
      <c r="D1133" s="43"/>
      <c r="E1133" s="43"/>
      <c r="F1133" s="43"/>
      <c r="G1133" s="43"/>
      <c r="H1133" s="43"/>
      <c r="I1133" s="43"/>
      <c r="O1133" s="213"/>
    </row>
    <row r="1134" spans="1:15" ht="20.25" customHeight="1" x14ac:dyDescent="0.2">
      <c r="A1134" s="4036" t="s">
        <v>958</v>
      </c>
      <c r="B1134" s="2626"/>
      <c r="C1134" s="43"/>
      <c r="D1134" s="43"/>
      <c r="E1134" s="43"/>
      <c r="F1134" s="43"/>
      <c r="G1134" s="43"/>
      <c r="H1134" s="43"/>
      <c r="I1134" s="43"/>
      <c r="O1134" s="213"/>
    </row>
    <row r="1135" spans="1:15" ht="21.75" customHeight="1" x14ac:dyDescent="0.2">
      <c r="B1135" s="2626"/>
      <c r="C1135" s="43"/>
      <c r="D1135" s="43"/>
      <c r="E1135" s="43"/>
      <c r="F1135" s="43"/>
      <c r="G1135" s="43"/>
      <c r="H1135" s="43"/>
      <c r="I1135" s="43"/>
      <c r="O1135" s="213"/>
    </row>
    <row r="1136" spans="1:15" ht="21.75" customHeight="1" x14ac:dyDescent="0.2">
      <c r="A1136" s="2687" t="s">
        <v>4196</v>
      </c>
      <c r="B1136" s="2626"/>
      <c r="C1136" s="43"/>
      <c r="D1136" s="43"/>
      <c r="E1136" s="43"/>
      <c r="F1136" s="43"/>
      <c r="G1136" s="43"/>
      <c r="H1136" s="43"/>
      <c r="I1136" s="43"/>
      <c r="O1136" s="213"/>
    </row>
    <row r="1137" spans="1:15" ht="15.75" x14ac:dyDescent="0.2">
      <c r="A1137" s="2667"/>
      <c r="B1137" s="2626"/>
      <c r="C1137" s="43"/>
      <c r="D1137" s="46"/>
      <c r="E1137" s="43"/>
      <c r="F1137" s="43"/>
      <c r="G1137" s="43"/>
      <c r="H1137" s="43"/>
      <c r="I1137" s="43"/>
      <c r="O1137" s="213"/>
    </row>
    <row r="1138" spans="1:15" ht="15.75" x14ac:dyDescent="0.2">
      <c r="A1138" s="2617" t="s">
        <v>6486</v>
      </c>
      <c r="C1138" s="43"/>
      <c r="D1138" s="43"/>
      <c r="E1138" s="43"/>
      <c r="F1138" s="43"/>
      <c r="G1138" s="43"/>
      <c r="H1138" s="43"/>
      <c r="I1138" s="43"/>
      <c r="O1138" s="213"/>
    </row>
    <row r="1139" spans="1:15" ht="25.5" x14ac:dyDescent="0.2">
      <c r="A1139" s="2668" t="s">
        <v>2420</v>
      </c>
      <c r="B1139" s="2669" t="s">
        <v>6581</v>
      </c>
      <c r="C1139" s="43"/>
      <c r="D1139" s="43"/>
      <c r="E1139" s="43"/>
      <c r="F1139" s="43"/>
      <c r="G1139" s="43"/>
      <c r="H1139" s="43"/>
      <c r="I1139" s="43"/>
      <c r="O1139" s="213"/>
    </row>
    <row r="1140" spans="1:15" ht="18" customHeight="1" x14ac:dyDescent="0.2">
      <c r="A1140" s="2670" t="str">
        <f>Оптимизация!A84</f>
        <v>Комбайновая проходка</v>
      </c>
      <c r="B1140" s="4058">
        <f>Оптимизация!B84</f>
        <v>0</v>
      </c>
      <c r="C1140" s="43"/>
      <c r="D1140" s="43"/>
      <c r="E1140" s="43"/>
      <c r="F1140" s="43"/>
      <c r="G1140" s="43"/>
      <c r="H1140" s="43"/>
      <c r="I1140" s="43"/>
      <c r="O1140" s="213"/>
    </row>
    <row r="1141" spans="1:15" ht="18.75" customHeight="1" x14ac:dyDescent="0.2">
      <c r="A1141" s="2670" t="str">
        <f>Оптимизация!A85</f>
        <v>Проходка с БВР</v>
      </c>
      <c r="B1141" s="4058">
        <f>Оптимизация!B85</f>
        <v>0</v>
      </c>
      <c r="C1141" s="43"/>
      <c r="D1141" s="43"/>
      <c r="E1141" s="43"/>
      <c r="F1141" s="43"/>
      <c r="G1141" s="43"/>
      <c r="H1141" s="43"/>
      <c r="I1141" s="43"/>
      <c r="O1141" s="213"/>
    </row>
    <row r="1142" spans="1:15" ht="18.75" customHeight="1" x14ac:dyDescent="0.2">
      <c r="A1142" s="2670" t="str">
        <f>Оптимизация!A86</f>
        <v>Принятый в проекте способ проходки</v>
      </c>
      <c r="B1142" s="4058">
        <f>Оптимизация!B86</f>
        <v>0</v>
      </c>
      <c r="C1142" s="43"/>
      <c r="D1142" s="43"/>
      <c r="E1142" s="43"/>
      <c r="F1142" s="43"/>
      <c r="G1142" s="43"/>
      <c r="H1142" s="43"/>
      <c r="I1142" s="43"/>
      <c r="O1142" s="213"/>
    </row>
    <row r="1143" spans="1:15" ht="18.75" customHeight="1" x14ac:dyDescent="0.2">
      <c r="A1143" s="2666"/>
      <c r="B1143" s="2626"/>
      <c r="C1143" s="43"/>
      <c r="D1143" s="46"/>
      <c r="E1143" s="43"/>
      <c r="F1143" s="43"/>
      <c r="G1143" s="43"/>
      <c r="H1143" s="43"/>
      <c r="I1143" s="43"/>
      <c r="O1143" s="213"/>
    </row>
    <row r="1144" spans="1:15" ht="15.75" x14ac:dyDescent="0.2">
      <c r="A1144" s="2666"/>
      <c r="B1144" s="2626"/>
    </row>
    <row r="1145" spans="1:15" ht="15.75" x14ac:dyDescent="0.2">
      <c r="A1145" s="2666" t="s">
        <v>6936</v>
      </c>
      <c r="C1145" s="8"/>
    </row>
    <row r="1146" spans="1:15" ht="26.25" x14ac:dyDescent="0.25">
      <c r="A1146" s="1917" t="s">
        <v>2421</v>
      </c>
      <c r="B1146" s="2669" t="s">
        <v>6581</v>
      </c>
    </row>
    <row r="1147" spans="1:15" ht="15.75" x14ac:dyDescent="0.25">
      <c r="A1147" s="1892">
        <f>Оптимизация!A113</f>
        <v>300</v>
      </c>
      <c r="B1147" s="4088">
        <f>Оптимизация!B113</f>
        <v>0</v>
      </c>
    </row>
    <row r="1148" spans="1:15" ht="15.75" x14ac:dyDescent="0.25">
      <c r="A1148" s="1892">
        <f>Оптимизация!A114</f>
        <v>400</v>
      </c>
      <c r="B1148" s="4088">
        <f>Оптимизация!B114</f>
        <v>0</v>
      </c>
    </row>
    <row r="1149" spans="1:15" ht="15.75" x14ac:dyDescent="0.25">
      <c r="A1149" s="1892">
        <f>Оптимизация!A115</f>
        <v>600</v>
      </c>
      <c r="B1149" s="4088">
        <f>Оптимизация!B115</f>
        <v>0</v>
      </c>
    </row>
    <row r="1150" spans="1:15" ht="15.75" x14ac:dyDescent="0.25">
      <c r="A1150" s="1892">
        <f>Оптимизация!A116</f>
        <v>800</v>
      </c>
      <c r="B1150" s="4088">
        <f>Оптимизация!B116</f>
        <v>0</v>
      </c>
    </row>
    <row r="1151" spans="1:15" ht="15.75" x14ac:dyDescent="0.25">
      <c r="A1151" s="1892">
        <f>Оптимизация!A117</f>
        <v>1000</v>
      </c>
      <c r="B1151" s="4088">
        <f>Оптимизация!B117</f>
        <v>0</v>
      </c>
    </row>
    <row r="1152" spans="1:15" ht="15.75" x14ac:dyDescent="0.25">
      <c r="A1152" s="1892">
        <f>Оптимизация!A118</f>
        <v>1200</v>
      </c>
      <c r="B1152" s="4088">
        <f>Оптимизация!B118</f>
        <v>0</v>
      </c>
    </row>
    <row r="1153" spans="1:2" ht="15.75" x14ac:dyDescent="0.25">
      <c r="A1153" s="1892" t="str">
        <f>Оптимизация!A119</f>
        <v>Принятая в проекте податливость крепи, мм</v>
      </c>
      <c r="B1153" s="4088">
        <f>Оптимизация!B119</f>
        <v>0</v>
      </c>
    </row>
    <row r="1154" spans="1:2" ht="15.75" x14ac:dyDescent="0.25">
      <c r="A1154" s="2614"/>
    </row>
    <row r="1155" spans="1:2" ht="15.75" x14ac:dyDescent="0.25">
      <c r="A1155" s="4049" t="str">
        <f>Оптимизация!A140</f>
        <v>Продолжайте далее. Таблицу не заполнять</v>
      </c>
    </row>
    <row r="1156" spans="1:2" ht="26.25" x14ac:dyDescent="0.25">
      <c r="A1156" s="1917" t="s">
        <v>2421</v>
      </c>
      <c r="B1156" s="2669" t="s">
        <v>6581</v>
      </c>
    </row>
    <row r="1157" spans="1:2" x14ac:dyDescent="0.2">
      <c r="A1157" s="852">
        <v>300</v>
      </c>
      <c r="B1157" s="802">
        <f>D1081</f>
        <v>0</v>
      </c>
    </row>
    <row r="1158" spans="1:2" x14ac:dyDescent="0.2">
      <c r="A1158" s="4053">
        <v>400</v>
      </c>
      <c r="B1158" s="5"/>
    </row>
    <row r="1159" spans="1:2" x14ac:dyDescent="0.2">
      <c r="A1159" s="4053">
        <v>600</v>
      </c>
      <c r="B1159" s="5"/>
    </row>
    <row r="1160" spans="1:2" x14ac:dyDescent="0.2">
      <c r="A1160" s="4053">
        <v>800</v>
      </c>
      <c r="B1160" s="5"/>
    </row>
    <row r="1161" spans="1:2" x14ac:dyDescent="0.2">
      <c r="A1161" s="4053">
        <v>1000</v>
      </c>
      <c r="B1161" s="5"/>
    </row>
    <row r="1162" spans="1:2" x14ac:dyDescent="0.2">
      <c r="A1162" s="4053">
        <v>1200</v>
      </c>
      <c r="B1162" s="5"/>
    </row>
    <row r="1163" spans="1:2" x14ac:dyDescent="0.2">
      <c r="A1163" s="4053">
        <v>1400</v>
      </c>
      <c r="B1163" s="5"/>
    </row>
    <row r="1164" spans="1:2" x14ac:dyDescent="0.2">
      <c r="A1164" s="795" t="str">
        <f>IF(kursovoy!B1951=1,"Принятая подаливость креи, мм","")</f>
        <v/>
      </c>
    </row>
    <row r="1165" spans="1:2" x14ac:dyDescent="0.2">
      <c r="A1165" s="4063" t="str">
        <f>IF(kursovoy!B1951=1,"","Принятая подаливость креи, мм")</f>
        <v>Принятая подаливость креи, мм</v>
      </c>
      <c r="B1165" s="3041">
        <f>IF(kursovoy!B1951=1,"",B1153)</f>
        <v>0</v>
      </c>
    </row>
    <row r="1166" spans="1:2" ht="15.75" x14ac:dyDescent="0.25">
      <c r="A1166" s="1346"/>
      <c r="B1166" s="1346"/>
    </row>
    <row r="1167" spans="1:2" ht="15.75" x14ac:dyDescent="0.25">
      <c r="A1167" s="1346"/>
    </row>
    <row r="1168" spans="1:2" ht="15.75" x14ac:dyDescent="0.25">
      <c r="A1168" s="2614" t="s">
        <v>6487</v>
      </c>
    </row>
    <row r="1169" spans="1:2" ht="26.25" x14ac:dyDescent="0.25">
      <c r="A1169" s="1917" t="s">
        <v>2422</v>
      </c>
      <c r="B1169" s="2669" t="s">
        <v>6581</v>
      </c>
    </row>
    <row r="1170" spans="1:2" ht="15.75" x14ac:dyDescent="0.25">
      <c r="A1170" s="1917" t="str">
        <f>Оптимизация!A204</f>
        <v>БЖБТ</v>
      </c>
      <c r="B1170" s="4064">
        <f>Оптимизация!B204</f>
        <v>0</v>
      </c>
    </row>
    <row r="1171" spans="1:2" ht="15.75" x14ac:dyDescent="0.25">
      <c r="A1171" s="1917" t="str">
        <f>Оптимизация!A205</f>
        <v>Литая полоса</v>
      </c>
      <c r="B1171" s="4064">
        <f>Оптимизация!B205</f>
        <v>0</v>
      </c>
    </row>
    <row r="1172" spans="1:2" ht="15.75" x14ac:dyDescent="0.25">
      <c r="A1172" s="1917" t="str">
        <f>Оптимизация!A206</f>
        <v>Кустовая крепь</v>
      </c>
      <c r="B1172" s="4064">
        <f>Оптимизация!B206</f>
        <v>0</v>
      </c>
    </row>
    <row r="1173" spans="1:2" ht="15.75" x14ac:dyDescent="0.25">
      <c r="A1173" s="1917" t="str">
        <f>Оптимизация!A207</f>
        <v>Костры клетевые</v>
      </c>
      <c r="B1173" s="4064">
        <f>Оптимизация!B207</f>
        <v>0</v>
      </c>
    </row>
    <row r="1174" spans="1:2" ht="15.75" x14ac:dyDescent="0.25">
      <c r="A1174" s="1917" t="str">
        <f>Оптимизация!A208</f>
        <v>Костры накатные</v>
      </c>
      <c r="B1174" s="4064">
        <f>Оптимизация!B208</f>
        <v>0</v>
      </c>
    </row>
    <row r="1175" spans="1:2" ht="15.75" x14ac:dyDescent="0.25">
      <c r="A1175" s="1917" t="str">
        <f>Оптимизация!A209</f>
        <v>Бутокостры</v>
      </c>
      <c r="B1175" s="4064">
        <f>Оптимизация!B209</f>
        <v>0</v>
      </c>
    </row>
    <row r="1176" spans="1:2" ht="15.75" x14ac:dyDescent="0.25">
      <c r="A1176" s="1917" t="str">
        <f>Оптимизация!A210</f>
        <v>Многорядная органка</v>
      </c>
      <c r="B1176" s="4064">
        <f>Оптимизация!B210</f>
        <v>0</v>
      </c>
    </row>
    <row r="1177" spans="1:2" ht="15.75" x14ac:dyDescent="0.25">
      <c r="A1177" s="1917" t="str">
        <f>Оптимизация!A211</f>
        <v>Бут.полоса с ручной закладкой</v>
      </c>
      <c r="B1177" s="4064">
        <f>Оптимизация!B211</f>
        <v>0</v>
      </c>
    </row>
    <row r="1178" spans="1:2" ht="15.75" x14ac:dyDescent="0.25">
      <c r="A1178" s="1917" t="str">
        <f>Оптимизация!A212</f>
        <v>Бут полоса скреперная</v>
      </c>
      <c r="B1178" s="4064">
        <f>Оптимизация!B212</f>
        <v>0</v>
      </c>
    </row>
    <row r="1179" spans="1:2" ht="15.75" x14ac:dyDescent="0.25">
      <c r="A1179" s="1917" t="str">
        <f>Оптимизация!A213</f>
        <v>Принятый в проекте способ охраны</v>
      </c>
      <c r="B1179" s="4064">
        <f>Оптимизация!B213</f>
        <v>0</v>
      </c>
    </row>
    <row r="1180" spans="1:2" ht="15.75" x14ac:dyDescent="0.25">
      <c r="A1180" s="1917" t="s">
        <v>6464</v>
      </c>
      <c r="B1180" s="4064">
        <f>Оптимизация!B214</f>
        <v>0</v>
      </c>
    </row>
    <row r="1181" spans="1:2" ht="15.75" x14ac:dyDescent="0.25">
      <c r="A1181" s="2614"/>
      <c r="B1181" s="2614"/>
    </row>
    <row r="1182" spans="1:2" ht="15.75" x14ac:dyDescent="0.25">
      <c r="A1182" s="2614"/>
    </row>
    <row r="1183" spans="1:2" ht="15.75" x14ac:dyDescent="0.25">
      <c r="A1183" s="2614" t="s">
        <v>6488</v>
      </c>
    </row>
    <row r="1184" spans="1:2" ht="26.25" x14ac:dyDescent="0.25">
      <c r="A1184" s="1917" t="s">
        <v>2422</v>
      </c>
      <c r="B1184" s="2669" t="s">
        <v>6581</v>
      </c>
    </row>
    <row r="1185" spans="1:2" ht="15.75" x14ac:dyDescent="0.25">
      <c r="A1185" s="1917" t="str">
        <f>Оптимизация!A184</f>
        <v>БЖБТ</v>
      </c>
      <c r="B1185" s="4064">
        <f>Оптимизация!B184</f>
        <v>0</v>
      </c>
    </row>
    <row r="1186" spans="1:2" ht="15.75" x14ac:dyDescent="0.25">
      <c r="A1186" s="1917" t="str">
        <f>Оптимизация!A185</f>
        <v>Литая полоса</v>
      </c>
      <c r="B1186" s="4064">
        <f>Оптимизация!B185</f>
        <v>0</v>
      </c>
    </row>
    <row r="1187" spans="1:2" ht="15.75" x14ac:dyDescent="0.25">
      <c r="A1187" s="1917" t="str">
        <f>Оптимизация!A186</f>
        <v>Кустовая крепь</v>
      </c>
      <c r="B1187" s="4064">
        <f>Оптимизация!B186</f>
        <v>0</v>
      </c>
    </row>
    <row r="1188" spans="1:2" ht="15.75" x14ac:dyDescent="0.25">
      <c r="A1188" s="1917" t="str">
        <f>Оптимизация!A187</f>
        <v>Костры клетевые</v>
      </c>
      <c r="B1188" s="4064">
        <f>Оптимизация!B187</f>
        <v>0</v>
      </c>
    </row>
    <row r="1189" spans="1:2" ht="15.75" x14ac:dyDescent="0.25">
      <c r="A1189" s="1917" t="str">
        <f>Оптимизация!A188</f>
        <v>Костры накатные</v>
      </c>
      <c r="B1189" s="4064">
        <f>Оптимизация!B188</f>
        <v>0</v>
      </c>
    </row>
    <row r="1190" spans="1:2" ht="15.75" x14ac:dyDescent="0.25">
      <c r="A1190" s="1917" t="str">
        <f>Оптимизация!A189</f>
        <v>Бутокостры</v>
      </c>
      <c r="B1190" s="4064">
        <f>Оптимизация!B189</f>
        <v>0</v>
      </c>
    </row>
    <row r="1191" spans="1:2" ht="15.75" x14ac:dyDescent="0.25">
      <c r="A1191" s="1917" t="str">
        <f>Оптимизация!A190</f>
        <v>Многорядная органка</v>
      </c>
      <c r="B1191" s="4064">
        <f>Оптимизация!B190</f>
        <v>0</v>
      </c>
    </row>
    <row r="1192" spans="1:2" ht="15.75" x14ac:dyDescent="0.25">
      <c r="A1192" s="1917" t="str">
        <f>Оптимизация!A191</f>
        <v>Бут.полоса с ручной закладкой</v>
      </c>
      <c r="B1192" s="4064">
        <f>Оптимизация!B191</f>
        <v>0</v>
      </c>
    </row>
    <row r="1193" spans="1:2" ht="15.75" x14ac:dyDescent="0.25">
      <c r="A1193" s="1917" t="str">
        <f>Оптимизация!A192</f>
        <v>Бут полоса скреперная</v>
      </c>
      <c r="B1193" s="4064">
        <f>Оптимизация!B192</f>
        <v>0</v>
      </c>
    </row>
    <row r="1194" spans="1:2" ht="15.75" x14ac:dyDescent="0.25">
      <c r="A1194" s="1917" t="str">
        <f>Оптимизация!A193</f>
        <v>Принятый способ охраны</v>
      </c>
      <c r="B1194" s="4064">
        <f>Оптимизация!B193</f>
        <v>0</v>
      </c>
    </row>
    <row r="1195" spans="1:2" ht="15.75" x14ac:dyDescent="0.25">
      <c r="A1195" s="1917" t="s">
        <v>6464</v>
      </c>
      <c r="B1195" s="4064">
        <f>Оптимизация!B194</f>
        <v>0</v>
      </c>
    </row>
    <row r="1196" spans="1:2" ht="15.75" x14ac:dyDescent="0.25">
      <c r="B1196" s="2614"/>
    </row>
    <row r="1197" spans="1:2" ht="15.75" x14ac:dyDescent="0.25">
      <c r="A1197" s="2614"/>
    </row>
    <row r="1198" spans="1:2" ht="15.75" x14ac:dyDescent="0.25">
      <c r="A1198" s="2614" t="s">
        <v>6489</v>
      </c>
    </row>
    <row r="1199" spans="1:2" ht="26.25" x14ac:dyDescent="0.25">
      <c r="A1199" s="1917" t="s">
        <v>2423</v>
      </c>
      <c r="B1199" s="2669" t="s">
        <v>6580</v>
      </c>
    </row>
    <row r="1200" spans="1:2" ht="15.75" x14ac:dyDescent="0.25">
      <c r="A1200" s="1917" t="str">
        <f>Оптимизация!A97</f>
        <v>Напочвенная дорога по обоим выработкам</v>
      </c>
      <c r="B1200" s="4064">
        <f>Оптимизация!B97</f>
        <v>0</v>
      </c>
    </row>
    <row r="1201" spans="1:3" ht="15.75" x14ac:dyDescent="0.25">
      <c r="A1201" s="1917" t="str">
        <f>Оптимизация!A100</f>
        <v>Монорельсовая дорога по обоим выработкам</v>
      </c>
      <c r="B1201" s="4064">
        <f>Оптимизация!B100</f>
        <v>0</v>
      </c>
    </row>
    <row r="1202" spans="1:3" ht="15.75" x14ac:dyDescent="0.25">
      <c r="A1202" s="1917" t="str">
        <f>Оптимизация!A98</f>
        <v>Монорельсовая и напочвенная дорога</v>
      </c>
      <c r="B1202" s="4064">
        <f>Оптимизация!B98</f>
        <v>0</v>
      </c>
    </row>
    <row r="1203" spans="1:3" ht="15.75" x14ac:dyDescent="0.25">
      <c r="A1203" s="1917" t="str">
        <f>Оптимизация!A95</f>
        <v>Локомотивный транспорт по обоим выработкам</v>
      </c>
      <c r="B1203" s="4064">
        <f>Оптимизация!B95</f>
        <v>0</v>
      </c>
    </row>
    <row r="1204" spans="1:3" ht="15.75" x14ac:dyDescent="0.25">
      <c r="A1204" s="1917" t="str">
        <f>Оптимизация!A96</f>
        <v>Напочвенная дорога и локомотивный транспорт</v>
      </c>
      <c r="B1204" s="4064">
        <f>Оптимизация!B96</f>
        <v>0</v>
      </c>
    </row>
    <row r="1205" spans="1:3" ht="15.75" x14ac:dyDescent="0.25">
      <c r="A1205" s="1917" t="str">
        <f>Оптимизация!A99</f>
        <v>Монорельсовая дорога и локомотивный транспорт</v>
      </c>
      <c r="B1205" s="4064">
        <f>Оптимизация!B99</f>
        <v>0</v>
      </c>
    </row>
    <row r="1206" spans="1:3" ht="15.75" x14ac:dyDescent="0.25">
      <c r="A1206" s="1917" t="str">
        <f>Оптимизация!A101</f>
        <v>Принятый в проекте способ вспомогательного транспорта</v>
      </c>
      <c r="B1206" s="4064">
        <f>Оптимизация!B101</f>
        <v>0</v>
      </c>
    </row>
    <row r="1207" spans="1:3" ht="15.75" x14ac:dyDescent="0.25">
      <c r="A1207" s="2614"/>
    </row>
    <row r="1208" spans="1:3" ht="15.75" x14ac:dyDescent="0.25">
      <c r="A1208" s="4064" t="str">
        <f>IF(B2201=1,"Вы перенесли втаблицы14.1 - 14.6  в текст записки? 1 - Да, 2 - Нет","не вводить!")</f>
        <v>не вводить!</v>
      </c>
      <c r="B1208" s="4165"/>
    </row>
    <row r="1209" spans="1:3" x14ac:dyDescent="0.2">
      <c r="A1209" s="4224" t="str">
        <f>IF(B1208=1,"Переходите по ссылке","")</f>
        <v/>
      </c>
    </row>
    <row r="1210" spans="1:3" x14ac:dyDescent="0.2">
      <c r="A1210" s="4299"/>
    </row>
    <row r="1211" spans="1:3" ht="15.75" x14ac:dyDescent="0.25">
      <c r="A1211" s="4049" t="s">
        <v>6937</v>
      </c>
    </row>
    <row r="1212" spans="1:3" ht="26.25" x14ac:dyDescent="0.25">
      <c r="A1212" s="1917" t="s">
        <v>6613</v>
      </c>
      <c r="B1212" s="4087" t="s">
        <v>6614</v>
      </c>
      <c r="C1212" s="4087" t="s">
        <v>6615</v>
      </c>
    </row>
    <row r="1213" spans="1:3" ht="26.25" x14ac:dyDescent="0.25">
      <c r="A1213" s="1917" t="s">
        <v>6616</v>
      </c>
      <c r="B1213" s="4087" t="str">
        <f>A1140</f>
        <v>Комбайновая проходка</v>
      </c>
      <c r="C1213" s="4087">
        <f>B1142</f>
        <v>0</v>
      </c>
    </row>
    <row r="1214" spans="1:3" ht="15.75" x14ac:dyDescent="0.25">
      <c r="A1214" s="1917" t="s">
        <v>6617</v>
      </c>
      <c r="B1214" s="4087">
        <f>A1147</f>
        <v>300</v>
      </c>
      <c r="C1214" s="4087">
        <f>B1153</f>
        <v>0</v>
      </c>
    </row>
    <row r="1215" spans="1:3" ht="15.75" x14ac:dyDescent="0.25">
      <c r="A1215" s="1917" t="s">
        <v>6618</v>
      </c>
      <c r="B1215" s="4087">
        <f>A1157</f>
        <v>300</v>
      </c>
      <c r="C1215" s="4087">
        <f>B1165</f>
        <v>0</v>
      </c>
    </row>
    <row r="1216" spans="1:3" ht="15.75" x14ac:dyDescent="0.25">
      <c r="A1216" s="1917" t="s">
        <v>4112</v>
      </c>
      <c r="B1216" s="4087" t="str">
        <f>A1170</f>
        <v>БЖБТ</v>
      </c>
      <c r="C1216" s="4087">
        <f>B1179</f>
        <v>0</v>
      </c>
    </row>
    <row r="1217" spans="1:3" ht="15.75" x14ac:dyDescent="0.25">
      <c r="A1217" s="1917" t="s">
        <v>931</v>
      </c>
      <c r="B1217" s="4087" t="str">
        <f>A1185</f>
        <v>БЖБТ</v>
      </c>
      <c r="C1217" s="4087">
        <f>B1194</f>
        <v>0</v>
      </c>
    </row>
    <row r="1218" spans="1:3" ht="39" x14ac:dyDescent="0.25">
      <c r="A1218" s="1917" t="s">
        <v>6619</v>
      </c>
      <c r="B1218" s="4087" t="str">
        <f>A1200</f>
        <v>Напочвенная дорога по обоим выработкам</v>
      </c>
      <c r="C1218" s="4087">
        <f>B1206</f>
        <v>0</v>
      </c>
    </row>
    <row r="1219" spans="1:3" ht="15.75" x14ac:dyDescent="0.25">
      <c r="A1219" s="1138" t="s">
        <v>4295</v>
      </c>
      <c r="B1219" s="4087">
        <f>Оптимизация!B66</f>
        <v>0</v>
      </c>
      <c r="C1219" s="4087">
        <f>Оптимизация!B222</f>
        <v>0</v>
      </c>
    </row>
    <row r="1220" spans="1:3" ht="15.75" x14ac:dyDescent="0.25">
      <c r="A1220" s="2614"/>
    </row>
    <row r="1221" spans="1:3" ht="15.75" x14ac:dyDescent="0.25">
      <c r="A1221" s="1917" t="str">
        <f>IF(B2201=1,"Вы перенесли  таблицу   в текст записки? 1 - Да, 2 - Нет","не вводить!")</f>
        <v>не вводить!</v>
      </c>
      <c r="B1221" s="4225"/>
      <c r="C1221" s="8"/>
    </row>
    <row r="1222" spans="1:3" s="239" customFormat="1" x14ac:dyDescent="0.2">
      <c r="A1222" s="4222" t="str">
        <f>IF(B1221=1,"Переходите по ссылке","")</f>
        <v/>
      </c>
      <c r="B1222" s="2665"/>
      <c r="C1222" s="43"/>
    </row>
    <row r="1223" spans="1:3" s="239" customFormat="1" ht="18.75" x14ac:dyDescent="0.2">
      <c r="A1223" s="2664" t="s">
        <v>6770</v>
      </c>
      <c r="B1223" s="2665"/>
      <c r="C1223" s="43"/>
    </row>
    <row r="1224" spans="1:3" s="239" customFormat="1" ht="15.75" x14ac:dyDescent="0.2">
      <c r="A1224" s="2617" t="s">
        <v>6766</v>
      </c>
      <c r="C1224" s="43"/>
    </row>
    <row r="1225" spans="1:3" s="239" customFormat="1" ht="15.75" x14ac:dyDescent="0.2">
      <c r="A1225" s="2670" t="str">
        <f>Оптимизация!A297</f>
        <v>Проведение участковых выработок</v>
      </c>
      <c r="B1225" s="2940" t="e">
        <f>Оптимизация!B297</f>
        <v>#VALUE!</v>
      </c>
      <c r="C1225" s="43"/>
    </row>
    <row r="1226" spans="1:3" s="239" customFormat="1" ht="15.75" x14ac:dyDescent="0.2">
      <c r="A1226" s="2670" t="str">
        <f>Оптимизация!A298</f>
        <v>Поддержание участковых выработок</v>
      </c>
      <c r="B1226" s="2940" t="e">
        <f>Оптимизация!B298</f>
        <v>#VALUE!</v>
      </c>
      <c r="C1226" s="43"/>
    </row>
    <row r="1227" spans="1:3" s="239" customFormat="1" ht="15.75" x14ac:dyDescent="0.2">
      <c r="A1227" s="2670" t="str">
        <f>Оптимизация!A299</f>
        <v>Сооружение средств охраны участковых выработок</v>
      </c>
      <c r="B1227" s="2940" t="e">
        <f>Оптимизация!B299</f>
        <v>#VALUE!</v>
      </c>
      <c r="C1227" s="43"/>
    </row>
    <row r="1228" spans="1:3" s="239" customFormat="1" ht="15.75" x14ac:dyDescent="0.2">
      <c r="A1228" s="2670" t="str">
        <f>Оптимизация!A300</f>
        <v>Участковый транспорт</v>
      </c>
      <c r="B1228" s="2940">
        <f>Оптимизация!B300</f>
        <v>0</v>
      </c>
      <c r="C1228" s="43"/>
    </row>
    <row r="1229" spans="1:3" s="239" customFormat="1" ht="15.75" x14ac:dyDescent="0.2">
      <c r="A1229" s="2670" t="str">
        <f>Оптимизация!A301</f>
        <v>Очистные работы</v>
      </c>
      <c r="B1229" s="2940" t="e">
        <f>Оптимизация!B301</f>
        <v>#VALUE!</v>
      </c>
      <c r="C1229" s="43"/>
    </row>
    <row r="1230" spans="1:3" s="239" customFormat="1" ht="15.75" x14ac:dyDescent="0.2">
      <c r="A1230" s="2670" t="str">
        <f>Оптимизация!A302</f>
        <v>Всего участковые затраты</v>
      </c>
      <c r="B1230" s="2940" t="e">
        <f>Оптимизация!B302</f>
        <v>#VALUE!</v>
      </c>
      <c r="C1230" s="43"/>
    </row>
    <row r="1231" spans="1:3" s="239" customFormat="1" ht="15.75" x14ac:dyDescent="0.2">
      <c r="A1231" s="2670"/>
      <c r="B1231" s="2940"/>
      <c r="C1231" s="43"/>
    </row>
    <row r="1232" spans="1:3" s="239" customFormat="1" ht="18" x14ac:dyDescent="0.25">
      <c r="A1232" s="4191"/>
      <c r="B1232" s="4226"/>
      <c r="C1232" s="43"/>
    </row>
    <row r="1233" spans="1:3" s="239" customFormat="1" ht="15.75" x14ac:dyDescent="0.2">
      <c r="A1233" s="4227"/>
      <c r="B1233" s="4226"/>
      <c r="C1233" s="43"/>
    </row>
    <row r="1234" spans="1:3" s="239" customFormat="1" x14ac:dyDescent="0.2">
      <c r="C1234" s="43"/>
    </row>
    <row r="1235" spans="1:3" s="239" customFormat="1" ht="15.75" x14ac:dyDescent="0.2">
      <c r="A1235" s="2976" t="s">
        <v>6490</v>
      </c>
      <c r="C1235" s="43"/>
    </row>
    <row r="1236" spans="1:3" s="239" customFormat="1" ht="15.75" x14ac:dyDescent="0.2">
      <c r="A1236" s="2617"/>
      <c r="B1236" s="2617"/>
      <c r="C1236" s="43"/>
    </row>
    <row r="1237" spans="1:3" s="239" customFormat="1" x14ac:dyDescent="0.2">
      <c r="B1237" s="2665"/>
      <c r="C1237" s="43"/>
    </row>
    <row r="1238" spans="1:3" x14ac:dyDescent="0.2">
      <c r="A1238" s="239"/>
    </row>
    <row r="1239" spans="1:3" ht="20.25" x14ac:dyDescent="0.3">
      <c r="A1239" s="4073" t="s">
        <v>6601</v>
      </c>
    </row>
    <row r="1240" spans="1:3" ht="15" x14ac:dyDescent="0.2">
      <c r="A1240" s="2941" t="s">
        <v>3949</v>
      </c>
    </row>
    <row r="1241" spans="1:3" ht="15" x14ac:dyDescent="0.2">
      <c r="A1241" s="2941" t="s">
        <v>2035</v>
      </c>
    </row>
    <row r="1242" spans="1:3" ht="15" x14ac:dyDescent="0.2">
      <c r="A1242" s="2941" t="s">
        <v>2036</v>
      </c>
    </row>
    <row r="1243" spans="1:3" ht="15" x14ac:dyDescent="0.2">
      <c r="A1243" s="2941" t="s">
        <v>3035</v>
      </c>
    </row>
    <row r="1244" spans="1:3" ht="15" x14ac:dyDescent="0.2">
      <c r="A1244" s="2941" t="s">
        <v>3036</v>
      </c>
    </row>
    <row r="1245" spans="1:3" ht="15" x14ac:dyDescent="0.2">
      <c r="A1245" s="2941" t="s">
        <v>3037</v>
      </c>
    </row>
    <row r="1246" spans="1:3" ht="15" x14ac:dyDescent="0.2">
      <c r="A1246" s="2941" t="s">
        <v>2053</v>
      </c>
    </row>
    <row r="1247" spans="1:3" ht="15" x14ac:dyDescent="0.2">
      <c r="A1247" s="2941" t="s">
        <v>2054</v>
      </c>
    </row>
    <row r="1248" spans="1:3" ht="15" x14ac:dyDescent="0.2">
      <c r="A1248" s="2941" t="s">
        <v>2055</v>
      </c>
    </row>
    <row r="1249" spans="1:22" ht="15" x14ac:dyDescent="0.2">
      <c r="A1249" s="2942" t="s">
        <v>932</v>
      </c>
    </row>
    <row r="1250" spans="1:22" ht="15.75" x14ac:dyDescent="0.25">
      <c r="A1250" s="2588" t="s">
        <v>2037</v>
      </c>
      <c r="B1250" s="5" t="s">
        <v>2038</v>
      </c>
    </row>
    <row r="1251" spans="1:22" ht="15.75" x14ac:dyDescent="0.25">
      <c r="A1251" s="2588" t="s">
        <v>3315</v>
      </c>
      <c r="B1251" s="2566">
        <f>B1103</f>
        <v>0</v>
      </c>
    </row>
    <row r="1252" spans="1:22" ht="15.75" x14ac:dyDescent="0.25">
      <c r="A1252" s="2588" t="s">
        <v>6666</v>
      </c>
      <c r="B1252" s="3064"/>
    </row>
    <row r="1253" spans="1:22" ht="15.75" x14ac:dyDescent="0.25">
      <c r="A1253" s="2588" t="s">
        <v>6667</v>
      </c>
      <c r="B1253" s="802">
        <f>B1252</f>
        <v>0</v>
      </c>
      <c r="C1253" s="3041" t="e">
        <f>IF(B1254=INDEX(N1253:V1253,B817),"","Нужно подумать!")</f>
        <v>#VALUE!</v>
      </c>
      <c r="N1253">
        <v>30</v>
      </c>
      <c r="O1253">
        <v>0</v>
      </c>
      <c r="P1253">
        <v>30</v>
      </c>
      <c r="Q1253">
        <v>0</v>
      </c>
      <c r="R1253">
        <v>0</v>
      </c>
      <c r="S1253">
        <v>30</v>
      </c>
      <c r="T1253">
        <v>0</v>
      </c>
      <c r="U1253">
        <v>30</v>
      </c>
      <c r="V1253">
        <v>0</v>
      </c>
    </row>
    <row r="1254" spans="1:22" ht="31.5" x14ac:dyDescent="0.25">
      <c r="A1254" s="3981" t="s">
        <v>6670</v>
      </c>
      <c r="B1254" s="3064"/>
    </row>
    <row r="1255" spans="1:22" ht="15.75" x14ac:dyDescent="0.25">
      <c r="A1255" s="2588" t="s">
        <v>6671</v>
      </c>
      <c r="B1255" s="4099"/>
      <c r="C1255" s="3041" t="str">
        <f>IF(B1255=(B1251+B1252+IF(B1254=0,0,B1253)+B1254),"","Неверно!")</f>
        <v/>
      </c>
    </row>
    <row r="1256" spans="1:22" ht="15.75" x14ac:dyDescent="0.25">
      <c r="A1256" s="2588" t="s">
        <v>4112</v>
      </c>
      <c r="B1256" s="2566">
        <f>B1179</f>
        <v>0</v>
      </c>
    </row>
    <row r="1257" spans="1:22" ht="15.75" x14ac:dyDescent="0.25">
      <c r="A1257" s="2588" t="s">
        <v>931</v>
      </c>
      <c r="B1257" s="2566">
        <f>C1217</f>
        <v>0</v>
      </c>
    </row>
    <row r="1258" spans="1:22" ht="15.75" x14ac:dyDescent="0.25">
      <c r="A1258" s="2588" t="s">
        <v>929</v>
      </c>
      <c r="B1258" s="2566">
        <f>B1153</f>
        <v>0</v>
      </c>
    </row>
    <row r="1259" spans="1:22" ht="15.75" x14ac:dyDescent="0.25">
      <c r="A1259" s="2588" t="s">
        <v>930</v>
      </c>
      <c r="B1259" s="802">
        <f>B1165</f>
        <v>0</v>
      </c>
    </row>
    <row r="1260" spans="1:22" ht="15.75" x14ac:dyDescent="0.25">
      <c r="A1260" s="2588" t="str">
        <f>IF(B396=1,"Расстояние между панельными наклонными выработками, м","-----------------------------------")</f>
        <v>Расстояние между панельными наклонными выработками, м</v>
      </c>
      <c r="B1260" s="802">
        <f>IF(B396=1,30,"------------------------")</f>
        <v>30</v>
      </c>
    </row>
    <row r="1261" spans="1:22" s="239" customFormat="1" x14ac:dyDescent="0.2">
      <c r="A1261" s="2990" t="s">
        <v>6557</v>
      </c>
      <c r="B1261" s="4228" t="e">
        <f>IF(B396=1,B2156/2,B2124)</f>
        <v>#VALUE!</v>
      </c>
      <c r="C1261" s="4097" t="s">
        <v>6669</v>
      </c>
    </row>
    <row r="1262" spans="1:22" s="239" customFormat="1" ht="15.75" x14ac:dyDescent="0.25">
      <c r="A1262" s="928" t="s">
        <v>6491</v>
      </c>
      <c r="B1262" s="2665"/>
      <c r="C1262" s="4062"/>
    </row>
    <row r="1263" spans="1:22" s="239" customFormat="1" ht="15.75" x14ac:dyDescent="0.25">
      <c r="A1263" s="2710" t="str">
        <f>IF(B2201=1,"Вы перенесли  таблицу в текст записки? 1 - Да, 2 - Нет","не вводить!")</f>
        <v>не вводить!</v>
      </c>
      <c r="B1263" s="4229"/>
      <c r="C1263" s="4178"/>
    </row>
    <row r="1264" spans="1:22" s="239" customFormat="1" x14ac:dyDescent="0.2">
      <c r="A1264" s="4300" t="str">
        <f>IF(B1263=1,"Переходите по ссылке","")</f>
        <v/>
      </c>
      <c r="B1264" s="2665"/>
      <c r="C1264" s="4178"/>
    </row>
    <row r="1265" spans="1:5" s="239" customFormat="1" ht="15.75" x14ac:dyDescent="0.25">
      <c r="A1265" s="928"/>
      <c r="B1265" s="2665"/>
      <c r="C1265" s="4178"/>
    </row>
    <row r="1266" spans="1:5" s="239" customFormat="1" ht="15.75" x14ac:dyDescent="0.25">
      <c r="A1266" s="928"/>
      <c r="B1266" s="2665"/>
      <c r="C1266" s="4062"/>
    </row>
    <row r="1267" spans="1:5" s="239" customFormat="1" ht="15.75" x14ac:dyDescent="0.25">
      <c r="A1267" s="4067" t="s">
        <v>6583</v>
      </c>
      <c r="B1267" s="2665"/>
      <c r="C1267" s="4062"/>
    </row>
    <row r="1268" spans="1:5" s="239" customFormat="1" ht="15.75" x14ac:dyDescent="0.25">
      <c r="A1268" s="928" t="s">
        <v>6586</v>
      </c>
      <c r="B1268" s="2665"/>
      <c r="C1268" s="4095"/>
    </row>
    <row r="1269" spans="1:5" s="239" customFormat="1" ht="15.75" x14ac:dyDescent="0.25">
      <c r="A1269" s="928" t="s">
        <v>6672</v>
      </c>
      <c r="B1269" s="2665"/>
      <c r="C1269" s="4095"/>
    </row>
    <row r="1270" spans="1:5" s="239" customFormat="1" ht="15.75" x14ac:dyDescent="0.25">
      <c r="A1270" s="928"/>
      <c r="B1270" s="2665"/>
      <c r="C1270" s="4062"/>
    </row>
    <row r="1271" spans="1:5" s="239" customFormat="1" ht="15.75" x14ac:dyDescent="0.25">
      <c r="A1271" s="4067" t="s">
        <v>6584</v>
      </c>
      <c r="B1271" s="2665"/>
      <c r="C1271" s="4235"/>
      <c r="E1271" s="4243" t="s">
        <v>6781</v>
      </c>
    </row>
    <row r="1272" spans="1:5" s="239" customFormat="1" ht="15.75" x14ac:dyDescent="0.25">
      <c r="A1272" s="928"/>
      <c r="B1272" s="2665"/>
      <c r="C1272" s="1070" t="s">
        <v>6782</v>
      </c>
    </row>
    <row r="1273" spans="1:5" s="239" customFormat="1" ht="15.75" x14ac:dyDescent="0.25">
      <c r="A1273" s="928"/>
      <c r="B1273" s="2665"/>
      <c r="C1273" s="1070" t="s">
        <v>6783</v>
      </c>
    </row>
    <row r="1274" spans="1:5" s="239" customFormat="1" ht="15.75" x14ac:dyDescent="0.25">
      <c r="A1274" s="928"/>
      <c r="B1274" s="2665"/>
      <c r="C1274" s="1070" t="s">
        <v>6784</v>
      </c>
    </row>
    <row r="1275" spans="1:5" s="239" customFormat="1" ht="15.75" x14ac:dyDescent="0.25">
      <c r="A1275" s="928"/>
      <c r="B1275" s="2665"/>
      <c r="C1275" s="1070" t="s">
        <v>6785</v>
      </c>
    </row>
    <row r="1276" spans="1:5" s="239" customFormat="1" ht="15.75" x14ac:dyDescent="0.25">
      <c r="A1276" s="928"/>
      <c r="B1276" s="2665"/>
      <c r="C1276" s="1070" t="s">
        <v>6786</v>
      </c>
    </row>
    <row r="1277" spans="1:5" s="239" customFormat="1" ht="15.75" x14ac:dyDescent="0.25">
      <c r="A1277" s="928"/>
      <c r="B1277" s="2665"/>
      <c r="C1277" s="1070" t="s">
        <v>6787</v>
      </c>
    </row>
    <row r="1278" spans="1:5" s="239" customFormat="1" ht="15.75" x14ac:dyDescent="0.25">
      <c r="A1278" s="928"/>
      <c r="B1278" s="2665"/>
      <c r="C1278" s="1070" t="s">
        <v>6788</v>
      </c>
    </row>
    <row r="1279" spans="1:5" s="239" customFormat="1" ht="15.75" x14ac:dyDescent="0.25">
      <c r="A1279" s="928"/>
      <c r="B1279" s="2665"/>
      <c r="C1279" s="1070" t="s">
        <v>6789</v>
      </c>
    </row>
    <row r="1280" spans="1:5" s="239" customFormat="1" ht="15.75" x14ac:dyDescent="0.25">
      <c r="A1280" s="928"/>
      <c r="B1280" s="2665"/>
      <c r="C1280" s="1070" t="s">
        <v>6790</v>
      </c>
    </row>
    <row r="1281" spans="1:3" s="239" customFormat="1" ht="15.75" x14ac:dyDescent="0.25">
      <c r="A1281" s="928"/>
      <c r="B1281" s="2665"/>
      <c r="C1281" s="1070" t="s">
        <v>6791</v>
      </c>
    </row>
    <row r="1282" spans="1:3" s="239" customFormat="1" ht="15.75" x14ac:dyDescent="0.25">
      <c r="A1282" s="928"/>
      <c r="B1282" s="2665"/>
      <c r="C1282" s="1070"/>
    </row>
    <row r="1283" spans="1:3" s="239" customFormat="1" ht="15.75" x14ac:dyDescent="0.25">
      <c r="A1283" s="928"/>
      <c r="B1283" s="2665"/>
      <c r="C1283" s="1070" t="s">
        <v>6792</v>
      </c>
    </row>
    <row r="1284" spans="1:3" s="239" customFormat="1" ht="15.75" x14ac:dyDescent="0.25">
      <c r="A1284" s="928"/>
      <c r="B1284" s="2665"/>
      <c r="C1284" s="1070" t="s">
        <v>6793</v>
      </c>
    </row>
    <row r="1285" spans="1:3" s="239" customFormat="1" ht="15.75" x14ac:dyDescent="0.25">
      <c r="A1285" s="928"/>
      <c r="B1285" s="2665"/>
      <c r="C1285" s="1070" t="s">
        <v>6794</v>
      </c>
    </row>
    <row r="1286" spans="1:3" s="239" customFormat="1" ht="15.75" x14ac:dyDescent="0.25">
      <c r="A1286" s="928"/>
      <c r="B1286" s="2665"/>
      <c r="C1286" s="1070" t="s">
        <v>6795</v>
      </c>
    </row>
    <row r="1287" spans="1:3" s="239" customFormat="1" ht="15.75" x14ac:dyDescent="0.25">
      <c r="A1287" s="928"/>
      <c r="B1287" s="2665"/>
      <c r="C1287" s="4062"/>
    </row>
    <row r="1288" spans="1:3" s="239" customFormat="1" ht="15.75" x14ac:dyDescent="0.25">
      <c r="A1288" s="928"/>
      <c r="B1288" s="2665"/>
      <c r="C1288" s="4062"/>
    </row>
    <row r="1289" spans="1:3" s="239" customFormat="1" ht="15.75" x14ac:dyDescent="0.25">
      <c r="A1289" s="928"/>
      <c r="B1289" s="2665"/>
      <c r="C1289" s="4062"/>
    </row>
    <row r="1290" spans="1:3" s="239" customFormat="1" ht="15.75" x14ac:dyDescent="0.25">
      <c r="A1290" s="928"/>
      <c r="B1290" s="2665"/>
      <c r="C1290" s="4062"/>
    </row>
    <row r="1291" spans="1:3" s="239" customFormat="1" ht="15.75" x14ac:dyDescent="0.25">
      <c r="A1291" s="928"/>
      <c r="B1291" s="2665"/>
      <c r="C1291" s="4062"/>
    </row>
    <row r="1292" spans="1:3" s="239" customFormat="1" ht="15.75" x14ac:dyDescent="0.25">
      <c r="A1292" s="928"/>
      <c r="B1292" s="2665"/>
      <c r="C1292" s="4062"/>
    </row>
    <row r="1293" spans="1:3" s="239" customFormat="1" ht="15.75" x14ac:dyDescent="0.25">
      <c r="A1293" s="4067" t="s">
        <v>6585</v>
      </c>
      <c r="B1293" s="2665"/>
      <c r="C1293" s="4062"/>
    </row>
    <row r="1294" spans="1:3" s="239" customFormat="1" ht="15.75" x14ac:dyDescent="0.25">
      <c r="A1294" s="928"/>
      <c r="B1294" s="2665"/>
      <c r="C1294" s="4062"/>
    </row>
    <row r="1295" spans="1:3" s="239" customFormat="1" ht="15.75" x14ac:dyDescent="0.25">
      <c r="A1295" s="928"/>
      <c r="B1295" s="2665"/>
      <c r="C1295" s="4062"/>
    </row>
    <row r="1296" spans="1:3" s="239" customFormat="1" ht="15.75" x14ac:dyDescent="0.25">
      <c r="A1296" s="928"/>
      <c r="B1296" s="2665"/>
      <c r="C1296" s="4062"/>
    </row>
    <row r="1297" spans="1:3" s="239" customFormat="1" ht="15.75" x14ac:dyDescent="0.25">
      <c r="A1297" s="928"/>
      <c r="B1297" s="2665"/>
      <c r="C1297" s="4062"/>
    </row>
    <row r="1298" spans="1:3" s="239" customFormat="1" ht="15.75" x14ac:dyDescent="0.25">
      <c r="A1298" s="928"/>
      <c r="B1298" s="2665"/>
      <c r="C1298" s="4062"/>
    </row>
    <row r="1299" spans="1:3" s="239" customFormat="1" ht="15.75" x14ac:dyDescent="0.25">
      <c r="A1299" s="928"/>
      <c r="B1299" s="2665"/>
      <c r="C1299" s="4062"/>
    </row>
    <row r="1300" spans="1:3" s="239" customFormat="1" ht="15.75" x14ac:dyDescent="0.25">
      <c r="A1300" s="928"/>
      <c r="B1300" s="2665"/>
      <c r="C1300" s="4062"/>
    </row>
    <row r="1301" spans="1:3" s="239" customFormat="1" ht="15.75" x14ac:dyDescent="0.25">
      <c r="A1301" s="928"/>
      <c r="B1301" s="2665"/>
      <c r="C1301" s="4062"/>
    </row>
    <row r="1302" spans="1:3" s="239" customFormat="1" ht="15.75" x14ac:dyDescent="0.25">
      <c r="A1302" s="928"/>
      <c r="B1302" s="2665"/>
      <c r="C1302" s="4062"/>
    </row>
    <row r="1303" spans="1:3" s="239" customFormat="1" ht="15.75" x14ac:dyDescent="0.25">
      <c r="A1303" s="928"/>
      <c r="B1303" s="2665"/>
      <c r="C1303" s="4062"/>
    </row>
    <row r="1304" spans="1:3" s="239" customFormat="1" ht="15.75" x14ac:dyDescent="0.25">
      <c r="A1304" s="928"/>
      <c r="B1304" s="2665"/>
      <c r="C1304" s="4062"/>
    </row>
    <row r="1305" spans="1:3" s="239" customFormat="1" ht="15.75" x14ac:dyDescent="0.25">
      <c r="A1305" s="928"/>
      <c r="B1305" s="2665"/>
      <c r="C1305" s="4062"/>
    </row>
    <row r="1306" spans="1:3" s="239" customFormat="1" ht="15.75" x14ac:dyDescent="0.25">
      <c r="A1306" s="928"/>
      <c r="B1306" s="2665"/>
      <c r="C1306" s="4062"/>
    </row>
    <row r="1307" spans="1:3" s="239" customFormat="1" ht="15.75" x14ac:dyDescent="0.25">
      <c r="A1307" s="928"/>
      <c r="B1307" s="2665"/>
      <c r="C1307" s="4062"/>
    </row>
    <row r="1308" spans="1:3" s="239" customFormat="1" ht="15.75" x14ac:dyDescent="0.25">
      <c r="A1308" s="928"/>
      <c r="B1308" s="2665"/>
      <c r="C1308" s="4062"/>
    </row>
    <row r="1309" spans="1:3" s="239" customFormat="1" ht="15.75" x14ac:dyDescent="0.25">
      <c r="A1309" s="928"/>
      <c r="B1309" s="2665"/>
      <c r="C1309" s="4062"/>
    </row>
    <row r="1310" spans="1:3" s="239" customFormat="1" ht="15.75" x14ac:dyDescent="0.25">
      <c r="A1310" s="928"/>
      <c r="B1310" s="2665"/>
      <c r="C1310" s="4062"/>
    </row>
    <row r="1311" spans="1:3" s="239" customFormat="1" ht="15.75" x14ac:dyDescent="0.25">
      <c r="A1311" s="928"/>
      <c r="B1311" s="2665"/>
      <c r="C1311" s="4062"/>
    </row>
    <row r="1312" spans="1:3" s="239" customFormat="1" ht="15.75" x14ac:dyDescent="0.25">
      <c r="A1312" s="928"/>
      <c r="B1312" s="2665"/>
      <c r="C1312" s="4062"/>
    </row>
    <row r="1313" spans="1:3" s="239" customFormat="1" ht="15.75" x14ac:dyDescent="0.25">
      <c r="A1313" s="928"/>
      <c r="B1313" s="2665"/>
      <c r="C1313" s="4062"/>
    </row>
    <row r="1314" spans="1:3" s="239" customFormat="1" ht="15.75" x14ac:dyDescent="0.25">
      <c r="A1314" s="928"/>
      <c r="B1314" s="2665"/>
      <c r="C1314" s="4062"/>
    </row>
    <row r="1315" spans="1:3" s="239" customFormat="1" ht="15.75" x14ac:dyDescent="0.25">
      <c r="A1315" s="928"/>
      <c r="B1315" s="2665"/>
      <c r="C1315" s="4062"/>
    </row>
    <row r="1316" spans="1:3" s="239" customFormat="1" ht="15.75" x14ac:dyDescent="0.25">
      <c r="A1316" s="928"/>
      <c r="B1316" s="2665"/>
      <c r="C1316" s="4062"/>
    </row>
    <row r="1317" spans="1:3" s="239" customFormat="1" ht="15.75" x14ac:dyDescent="0.25">
      <c r="A1317" s="928"/>
      <c r="B1317" s="2665"/>
      <c r="C1317" s="4062"/>
    </row>
    <row r="1318" spans="1:3" s="239" customFormat="1" ht="15.75" x14ac:dyDescent="0.25">
      <c r="A1318" s="928"/>
      <c r="B1318" s="2665"/>
      <c r="C1318" s="4062"/>
    </row>
    <row r="1319" spans="1:3" s="239" customFormat="1" ht="15.75" x14ac:dyDescent="0.25">
      <c r="A1319" s="928"/>
      <c r="B1319" s="2665"/>
      <c r="C1319" s="4062"/>
    </row>
    <row r="1320" spans="1:3" s="239" customFormat="1" ht="15.75" x14ac:dyDescent="0.25">
      <c r="A1320" s="928"/>
      <c r="B1320" s="2665"/>
      <c r="C1320" s="4062"/>
    </row>
    <row r="1321" spans="1:3" s="239" customFormat="1" ht="15.75" x14ac:dyDescent="0.25">
      <c r="A1321" s="928"/>
      <c r="B1321" s="2665"/>
      <c r="C1321" s="4062"/>
    </row>
    <row r="1322" spans="1:3" s="239" customFormat="1" ht="15.75" x14ac:dyDescent="0.25">
      <c r="A1322" s="928"/>
      <c r="B1322" s="2665"/>
      <c r="C1322" s="4062"/>
    </row>
    <row r="1323" spans="1:3" s="239" customFormat="1" ht="15.75" x14ac:dyDescent="0.25">
      <c r="A1323" s="928"/>
      <c r="B1323" s="2665"/>
      <c r="C1323" s="4062"/>
    </row>
    <row r="1324" spans="1:3" s="239" customFormat="1" ht="15.75" x14ac:dyDescent="0.25">
      <c r="A1324" s="928"/>
      <c r="B1324" s="2665"/>
      <c r="C1324" s="4062"/>
    </row>
    <row r="1325" spans="1:3" s="239" customFormat="1" ht="15.75" x14ac:dyDescent="0.25">
      <c r="A1325" s="928"/>
      <c r="B1325" s="2665"/>
      <c r="C1325" s="4062"/>
    </row>
    <row r="1326" spans="1:3" s="239" customFormat="1" ht="15.75" x14ac:dyDescent="0.25">
      <c r="A1326" s="928"/>
      <c r="B1326" s="2665"/>
      <c r="C1326" s="4062"/>
    </row>
    <row r="1327" spans="1:3" s="239" customFormat="1" ht="15.75" x14ac:dyDescent="0.25">
      <c r="A1327" s="928"/>
      <c r="B1327" s="2665"/>
      <c r="C1327" s="43"/>
    </row>
    <row r="1328" spans="1:3" s="239" customFormat="1" x14ac:dyDescent="0.2">
      <c r="B1328" s="2665"/>
      <c r="C1328" s="43"/>
    </row>
    <row r="1329" spans="1:3" s="239" customFormat="1" ht="18.75" x14ac:dyDescent="0.3">
      <c r="A1329" s="4074" t="s">
        <v>6602</v>
      </c>
      <c r="B1329" s="2665"/>
      <c r="C1329" s="43"/>
    </row>
    <row r="1330" spans="1:3" ht="15.75" x14ac:dyDescent="0.2">
      <c r="A1330" s="4075" t="s">
        <v>6603</v>
      </c>
    </row>
    <row r="1331" spans="1:3" ht="15" x14ac:dyDescent="0.2">
      <c r="A1331" s="2941" t="s">
        <v>3952</v>
      </c>
    </row>
    <row r="1332" spans="1:3" ht="15" x14ac:dyDescent="0.2">
      <c r="A1332" s="2941" t="s">
        <v>3953</v>
      </c>
    </row>
    <row r="1333" spans="1:3" ht="15.75" x14ac:dyDescent="0.25">
      <c r="A1333" s="4068" t="s">
        <v>6590</v>
      </c>
    </row>
    <row r="1334" spans="1:3" ht="15" x14ac:dyDescent="0.2">
      <c r="A1334" s="2942" t="s">
        <v>6649</v>
      </c>
    </row>
    <row r="1335" spans="1:3" x14ac:dyDescent="0.2">
      <c r="A1335" s="3041" t="s">
        <v>6672</v>
      </c>
    </row>
    <row r="1336" spans="1:3" ht="15" x14ac:dyDescent="0.2">
      <c r="A1336" s="2941"/>
    </row>
    <row r="1337" spans="1:3" ht="15" x14ac:dyDescent="0.2">
      <c r="A1337" s="2941"/>
    </row>
    <row r="1338" spans="1:3" ht="15" x14ac:dyDescent="0.2">
      <c r="A1338" s="2941"/>
    </row>
    <row r="1339" spans="1:3" ht="15" x14ac:dyDescent="0.2">
      <c r="A1339" s="2941"/>
    </row>
    <row r="1340" spans="1:3" ht="15" x14ac:dyDescent="0.2">
      <c r="A1340" s="2941"/>
    </row>
    <row r="1341" spans="1:3" ht="15" x14ac:dyDescent="0.2">
      <c r="A1341" s="2941"/>
    </row>
    <row r="1342" spans="1:3" ht="15" x14ac:dyDescent="0.2">
      <c r="A1342" s="2941"/>
    </row>
    <row r="1343" spans="1:3" ht="15" x14ac:dyDescent="0.2">
      <c r="A1343" s="2941"/>
    </row>
    <row r="1344" spans="1:3" ht="15" x14ac:dyDescent="0.2">
      <c r="A1344" s="2941"/>
    </row>
    <row r="1345" spans="1:1" ht="15" x14ac:dyDescent="0.2">
      <c r="A1345" s="2941"/>
    </row>
    <row r="1346" spans="1:1" ht="15" x14ac:dyDescent="0.2">
      <c r="A1346" s="2941"/>
    </row>
    <row r="1347" spans="1:1" ht="15" x14ac:dyDescent="0.2">
      <c r="A1347" s="2941"/>
    </row>
    <row r="1348" spans="1:1" ht="15" x14ac:dyDescent="0.2">
      <c r="A1348" s="2941"/>
    </row>
    <row r="1349" spans="1:1" ht="15" x14ac:dyDescent="0.2">
      <c r="A1349" s="2941"/>
    </row>
    <row r="1350" spans="1:1" ht="15" x14ac:dyDescent="0.2">
      <c r="A1350" s="2941"/>
    </row>
    <row r="1351" spans="1:1" ht="15" x14ac:dyDescent="0.2">
      <c r="A1351" s="2941"/>
    </row>
    <row r="1352" spans="1:1" ht="15" x14ac:dyDescent="0.2">
      <c r="A1352" s="2941"/>
    </row>
    <row r="1353" spans="1:1" ht="15" x14ac:dyDescent="0.2">
      <c r="A1353" s="2941"/>
    </row>
    <row r="1354" spans="1:1" ht="15" x14ac:dyDescent="0.2">
      <c r="A1354" s="2941"/>
    </row>
    <row r="1355" spans="1:1" ht="15" x14ac:dyDescent="0.2">
      <c r="A1355" s="2941"/>
    </row>
    <row r="1356" spans="1:1" ht="15" x14ac:dyDescent="0.2">
      <c r="A1356" s="2941"/>
    </row>
    <row r="1357" spans="1:1" ht="15.75" x14ac:dyDescent="0.25">
      <c r="A1357" s="4068" t="s">
        <v>6650</v>
      </c>
    </row>
    <row r="1358" spans="1:1" x14ac:dyDescent="0.2">
      <c r="A1358" s="3041" t="s">
        <v>6672</v>
      </c>
    </row>
    <row r="1359" spans="1:1" ht="15.75" x14ac:dyDescent="0.25">
      <c r="A1359" s="4068"/>
    </row>
    <row r="1360" spans="1:1" ht="15" x14ac:dyDescent="0.2">
      <c r="A1360" s="2941"/>
    </row>
    <row r="1361" spans="1:1" ht="15.75" x14ac:dyDescent="0.25">
      <c r="A1361" s="3983" t="s">
        <v>6587</v>
      </c>
    </row>
    <row r="1362" spans="1:1" ht="15" x14ac:dyDescent="0.2">
      <c r="A1362" s="2941"/>
    </row>
    <row r="1363" spans="1:1" ht="15" x14ac:dyDescent="0.2">
      <c r="A1363" s="2941"/>
    </row>
    <row r="1364" spans="1:1" ht="15" x14ac:dyDescent="0.2">
      <c r="A1364" s="2941"/>
    </row>
    <row r="1365" spans="1:1" ht="15" x14ac:dyDescent="0.2">
      <c r="A1365" s="2941"/>
    </row>
    <row r="1366" spans="1:1" ht="15" x14ac:dyDescent="0.2">
      <c r="A1366" s="2941"/>
    </row>
    <row r="1367" spans="1:1" ht="15" x14ac:dyDescent="0.2">
      <c r="A1367" s="2941"/>
    </row>
    <row r="1368" spans="1:1" ht="15" x14ac:dyDescent="0.2">
      <c r="A1368" s="2941"/>
    </row>
    <row r="1369" spans="1:1" ht="15" x14ac:dyDescent="0.2">
      <c r="A1369" s="2941"/>
    </row>
    <row r="1370" spans="1:1" ht="15" x14ac:dyDescent="0.2">
      <c r="A1370" s="2941"/>
    </row>
    <row r="1371" spans="1:1" ht="15" x14ac:dyDescent="0.2">
      <c r="A1371" s="2941"/>
    </row>
    <row r="1372" spans="1:1" ht="15" x14ac:dyDescent="0.2">
      <c r="A1372" s="2941"/>
    </row>
    <row r="1373" spans="1:1" ht="15" x14ac:dyDescent="0.2">
      <c r="A1373" s="2941"/>
    </row>
    <row r="1374" spans="1:1" ht="15" x14ac:dyDescent="0.2">
      <c r="A1374" s="2941"/>
    </row>
    <row r="1375" spans="1:1" ht="15" x14ac:dyDescent="0.2">
      <c r="A1375" s="2941"/>
    </row>
    <row r="1376" spans="1:1" ht="15.75" x14ac:dyDescent="0.25">
      <c r="A1376" s="4068" t="s">
        <v>6591</v>
      </c>
    </row>
    <row r="1377" spans="1:1" x14ac:dyDescent="0.2">
      <c r="A1377" s="4089" t="s">
        <v>6673</v>
      </c>
    </row>
    <row r="1378" spans="1:1" ht="15" x14ac:dyDescent="0.2">
      <c r="A1378" s="2941"/>
    </row>
    <row r="1379" spans="1:1" ht="15" x14ac:dyDescent="0.2">
      <c r="A1379" s="2941"/>
    </row>
    <row r="1380" spans="1:1" ht="15.75" x14ac:dyDescent="0.25">
      <c r="A1380" s="3983" t="s">
        <v>6588</v>
      </c>
    </row>
    <row r="1381" spans="1:1" ht="15" x14ac:dyDescent="0.2">
      <c r="A1381" s="2941"/>
    </row>
    <row r="1382" spans="1:1" ht="15" x14ac:dyDescent="0.2">
      <c r="A1382" s="2941"/>
    </row>
    <row r="1383" spans="1:1" ht="15" x14ac:dyDescent="0.2">
      <c r="A1383" s="2941"/>
    </row>
    <row r="1384" spans="1:1" ht="15" x14ac:dyDescent="0.2">
      <c r="A1384" s="2941"/>
    </row>
    <row r="1385" spans="1:1" ht="15" x14ac:dyDescent="0.2">
      <c r="A1385" s="2941"/>
    </row>
    <row r="1386" spans="1:1" ht="15" x14ac:dyDescent="0.2">
      <c r="A1386" s="2941"/>
    </row>
    <row r="1387" spans="1:1" ht="15" x14ac:dyDescent="0.2">
      <c r="A1387" s="2941"/>
    </row>
    <row r="1388" spans="1:1" ht="15" x14ac:dyDescent="0.2">
      <c r="A1388" s="2941"/>
    </row>
    <row r="1389" spans="1:1" ht="15" x14ac:dyDescent="0.2">
      <c r="A1389" s="2941"/>
    </row>
    <row r="1390" spans="1:1" ht="15" x14ac:dyDescent="0.2">
      <c r="A1390" s="2941"/>
    </row>
    <row r="1391" spans="1:1" ht="15" x14ac:dyDescent="0.2">
      <c r="A1391" s="2941"/>
    </row>
    <row r="1392" spans="1:1" ht="15" x14ac:dyDescent="0.2">
      <c r="A1392" s="2941"/>
    </row>
    <row r="1393" spans="1:1" ht="15" x14ac:dyDescent="0.2">
      <c r="A1393" s="2941"/>
    </row>
    <row r="1394" spans="1:1" ht="15" x14ac:dyDescent="0.2">
      <c r="A1394" s="2941"/>
    </row>
    <row r="1400" spans="1:1" ht="15.75" x14ac:dyDescent="0.25">
      <c r="A1400" s="893" t="s">
        <v>6589</v>
      </c>
    </row>
    <row r="1401" spans="1:1" x14ac:dyDescent="0.2">
      <c r="A1401" s="4089" t="s">
        <v>6673</v>
      </c>
    </row>
    <row r="1420" spans="1:2" ht="15" x14ac:dyDescent="0.2">
      <c r="A1420" s="2941"/>
      <c r="B1420" s="239"/>
    </row>
    <row r="1421" spans="1:2" ht="18.75" x14ac:dyDescent="0.3">
      <c r="A1421" s="2375" t="s">
        <v>6604</v>
      </c>
      <c r="B1421" s="239"/>
    </row>
    <row r="1422" spans="1:2" ht="31.5" x14ac:dyDescent="0.25">
      <c r="A1422" s="943" t="s">
        <v>6474</v>
      </c>
      <c r="B1422" s="239"/>
    </row>
    <row r="1423" spans="1:2" ht="63" x14ac:dyDescent="0.25">
      <c r="A1423" s="943" t="s">
        <v>6492</v>
      </c>
    </row>
    <row r="1425" spans="1:8" x14ac:dyDescent="0.2">
      <c r="A1425" s="2388" t="str">
        <f>IF(B500=3,"ПЕРЕХОДИТЕ К РАСЧЕТУ ШТАТА РАБОЧИХ ЛАВЫ","")</f>
        <v/>
      </c>
    </row>
    <row r="1426" spans="1:8" x14ac:dyDescent="0.2">
      <c r="A1426" s="2388" t="str">
        <f>IF(B500=1,"ПЕРЕХОДИТЕ К РАСЧЕТУ ШТАТА РАБОЧИХ ЛАВЫ","")</f>
        <v/>
      </c>
    </row>
    <row r="1427" spans="1:8" x14ac:dyDescent="0.2">
      <c r="A1427" s="894"/>
    </row>
    <row r="1428" spans="1:8" ht="15.75" x14ac:dyDescent="0.25">
      <c r="A1428" s="2586" t="s">
        <v>3379</v>
      </c>
    </row>
    <row r="1429" spans="1:8" ht="18.75" x14ac:dyDescent="0.3">
      <c r="A1429" s="4002" t="s">
        <v>6493</v>
      </c>
    </row>
    <row r="1430" spans="1:8" ht="15.75" x14ac:dyDescent="0.25">
      <c r="A1430" s="2586"/>
    </row>
    <row r="1431" spans="1:8" ht="18" x14ac:dyDescent="0.25">
      <c r="A1431" s="3984" t="s">
        <v>6475</v>
      </c>
      <c r="B1431" s="3985">
        <f>IF(B500=1,ROW(1471:1471),ROW(1431:1431))</f>
        <v>1431</v>
      </c>
    </row>
    <row r="1432" spans="1:8" ht="15.75" x14ac:dyDescent="0.25">
      <c r="A1432" s="3983" t="str">
        <f>IF(B500=3,'шт-кмех'!A52,"")</f>
        <v/>
      </c>
    </row>
    <row r="1433" spans="1:8" ht="63" x14ac:dyDescent="0.25">
      <c r="A1433" s="2587"/>
      <c r="B1433" s="1319" t="str">
        <f>'шт-кмех'!B53</f>
        <v>Объем работ на цикл</v>
      </c>
      <c r="C1433" s="1319" t="str">
        <f>'шт-кмех'!C53</f>
        <v>Объем работ на сутки</v>
      </c>
      <c r="D1433" s="1319" t="str">
        <f>'шт-кмех'!D53</f>
        <v>Таблич-ная норма выработки</v>
      </c>
      <c r="E1433" s="1319" t="str">
        <f>'шт-кмех'!E53</f>
        <v>Норма обслуживания, чел.смена</v>
      </c>
      <c r="F1433" s="1319" t="str">
        <f>'шт-кмех'!F53</f>
        <v>Попра-вочный коэффи-циент</v>
      </c>
      <c r="G1433" s="1319" t="str">
        <f>'шт-кмех'!G53</f>
        <v>Приня-тая норма выработки</v>
      </c>
      <c r="H1433" s="1319" t="str">
        <f>'шт-кмех'!H53</f>
        <v>Трудоемкость, чел.см/сутки</v>
      </c>
    </row>
    <row r="1434" spans="1:8" ht="15.75" x14ac:dyDescent="0.25">
      <c r="A1434" s="2464" t="str">
        <f>'шт-кмех'!A54</f>
        <v/>
      </c>
    </row>
    <row r="1435" spans="1:8" ht="15.75" x14ac:dyDescent="0.25">
      <c r="A1435" s="2588" t="str">
        <f>'шт-кмех'!A55</f>
        <v/>
      </c>
      <c r="B1435" s="3986"/>
      <c r="C1435" s="3986"/>
      <c r="D1435" s="3986"/>
      <c r="E1435" s="3986"/>
      <c r="F1435" s="3986"/>
      <c r="G1435" s="3986"/>
      <c r="H1435" s="3986" t="e">
        <f>'шт-кмех'!H55</f>
        <v>#VALUE!</v>
      </c>
    </row>
    <row r="1436" spans="1:8" ht="15.75" x14ac:dyDescent="0.25">
      <c r="A1436" s="2588" t="str">
        <f>'шт-кмех'!A56</f>
        <v/>
      </c>
      <c r="B1436" s="3986" t="e">
        <f>'шт-кмех'!B56</f>
        <v>#VALUE!</v>
      </c>
      <c r="C1436" s="3986" t="e">
        <f>'шт-кмех'!C56</f>
        <v>#VALUE!</v>
      </c>
      <c r="D1436" s="3986" t="e">
        <f>'шт-кмех'!D56</f>
        <v>#VALUE!</v>
      </c>
      <c r="E1436" s="3986"/>
      <c r="F1436" s="3986">
        <f>'шт-кмех'!F56</f>
        <v>1.7249999999999999</v>
      </c>
      <c r="G1436" s="3986" t="e">
        <f>'шт-кмех'!G56</f>
        <v>#VALUE!</v>
      </c>
      <c r="H1436" s="3986" t="e">
        <f>'шт-кмех'!H56</f>
        <v>#VALUE!</v>
      </c>
    </row>
    <row r="1437" spans="1:8" ht="15.75" x14ac:dyDescent="0.25">
      <c r="A1437" s="2588" t="e">
        <f>'шт-кмех'!A57</f>
        <v>#VALUE!</v>
      </c>
      <c r="B1437" s="3986" t="e">
        <f>'шт-кмех'!B57</f>
        <v>#VALUE!</v>
      </c>
      <c r="C1437" s="3986" t="e">
        <f>'шт-кмех'!C57</f>
        <v>#VALUE!</v>
      </c>
      <c r="D1437" s="3986" t="e">
        <f>'шт-кмех'!D57</f>
        <v>#VALUE!</v>
      </c>
      <c r="E1437" s="3986"/>
      <c r="F1437" s="3986" t="e">
        <f>'шт-кмех'!F57</f>
        <v>#VALUE!</v>
      </c>
      <c r="G1437" s="3986" t="e">
        <f>'шт-кмех'!G57</f>
        <v>#VALUE!</v>
      </c>
      <c r="H1437" s="3986" t="e">
        <f>'шт-кмех'!H57</f>
        <v>#VALUE!</v>
      </c>
    </row>
    <row r="1438" spans="1:8" ht="15.75" x14ac:dyDescent="0.25">
      <c r="A1438" s="2588" t="str">
        <f>'шт-кмех'!A58</f>
        <v>Извлечение и установка ножки арочной крепи, шт</v>
      </c>
      <c r="B1438" s="3986" t="e">
        <f>'шт-кмех'!B58</f>
        <v>#VALUE!</v>
      </c>
      <c r="C1438" s="3986" t="e">
        <f>'шт-кмех'!C58</f>
        <v>#VALUE!</v>
      </c>
      <c r="D1438" s="3986" t="e">
        <f>'шт-кмех'!D58</f>
        <v>#VALUE!</v>
      </c>
      <c r="E1438" s="3986"/>
      <c r="F1438" s="3986" t="e">
        <f>'шт-кмех'!F58</f>
        <v>#VALUE!</v>
      </c>
      <c r="G1438" s="3986" t="e">
        <f>'шт-кмех'!G58</f>
        <v>#VALUE!</v>
      </c>
      <c r="H1438" s="3986" t="e">
        <f>'шт-кмех'!H58</f>
        <v>#VALUE!</v>
      </c>
    </row>
    <row r="1439" spans="1:8" ht="15.75" x14ac:dyDescent="0.25">
      <c r="A1439" s="2588" t="str">
        <f>'шт-кмех'!A59</f>
        <v/>
      </c>
      <c r="B1439" s="3986" t="str">
        <f>'шт-кмех'!B59</f>
        <v/>
      </c>
      <c r="C1439" s="3986" t="e">
        <f>'шт-кмех'!C59</f>
        <v>#VALUE!</v>
      </c>
      <c r="D1439" s="3986">
        <f>'шт-кмех'!D59</f>
        <v>4.6399999999999997</v>
      </c>
      <c r="E1439" s="3986"/>
      <c r="F1439" s="3986" t="e">
        <f>'шт-кмех'!F59</f>
        <v>#VALUE!</v>
      </c>
      <c r="G1439" s="3986" t="e">
        <f>'шт-кмех'!G59</f>
        <v>#VALUE!</v>
      </c>
      <c r="H1439" s="3986" t="e">
        <f>'шт-кмех'!H59</f>
        <v>#VALUE!</v>
      </c>
    </row>
    <row r="1440" spans="1:8" ht="15.75" x14ac:dyDescent="0.25">
      <c r="A1440" s="2588" t="str">
        <f>'шт-кмех'!A60</f>
        <v xml:space="preserve"> Выемка угля отбойным молотком, т</v>
      </c>
      <c r="B1440" s="3986" t="e">
        <f>'шт-кмех'!B60</f>
        <v>#VALUE!</v>
      </c>
      <c r="C1440" s="3986" t="e">
        <f>'шт-кмех'!C60</f>
        <v>#VALUE!</v>
      </c>
      <c r="D1440" s="3986">
        <f>'шт-кмех'!D60</f>
        <v>11.83</v>
      </c>
      <c r="E1440" s="3986"/>
      <c r="F1440" s="3986" t="e">
        <f>'шт-кмех'!F60</f>
        <v>#VALUE!</v>
      </c>
      <c r="G1440" s="3986" t="e">
        <f>'шт-кмех'!G60</f>
        <v>#VALUE!</v>
      </c>
      <c r="H1440" s="3986" t="e">
        <f>'шт-кмех'!H60</f>
        <v>#VALUE!</v>
      </c>
    </row>
    <row r="1441" spans="1:9" ht="15.75" x14ac:dyDescent="0.25">
      <c r="A1441" s="2588" t="str">
        <f>'шт-кмех'!A61</f>
        <v xml:space="preserve"> Бурение шпуров при применении БВР, м</v>
      </c>
      <c r="B1441" s="3986" t="str">
        <f>'шт-кмех'!B61</f>
        <v/>
      </c>
      <c r="C1441" s="3986" t="str">
        <f>'шт-кмех'!C61</f>
        <v/>
      </c>
      <c r="D1441" s="3986" t="str">
        <f>'шт-кмех'!D61</f>
        <v/>
      </c>
      <c r="E1441" s="3986"/>
      <c r="F1441" s="3986" t="str">
        <f>'шт-кмех'!F61</f>
        <v/>
      </c>
      <c r="G1441" s="3986" t="str">
        <f>'шт-кмех'!G61</f>
        <v/>
      </c>
      <c r="H1441" s="3986" t="str">
        <f>'шт-кмех'!H61</f>
        <v/>
      </c>
    </row>
    <row r="1442" spans="1:9" ht="15.75" x14ac:dyDescent="0.25">
      <c r="A1442" s="2588" t="str">
        <f>'шт-кмех'!A62</f>
        <v/>
      </c>
      <c r="B1442" s="3986" t="e">
        <f>'шт-кмех'!B62</f>
        <v>#VALUE!</v>
      </c>
      <c r="C1442" s="3986" t="e">
        <f>'шт-кмех'!C62</f>
        <v>#VALUE!</v>
      </c>
      <c r="D1442" s="3986">
        <f>'шт-кмех'!D62</f>
        <v>22.4</v>
      </c>
      <c r="E1442" s="3986"/>
      <c r="F1442" s="3986" t="e">
        <f>'шт-кмех'!F62</f>
        <v>#VALUE!</v>
      </c>
      <c r="G1442" s="3986" t="e">
        <f>'шт-кмех'!G62</f>
        <v>#VALUE!</v>
      </c>
      <c r="H1442" s="3986" t="e">
        <f>'шт-кмех'!H62</f>
        <v>#VALUE!</v>
      </c>
    </row>
    <row r="1443" spans="1:9" ht="15.75" x14ac:dyDescent="0.25">
      <c r="A1443" s="2588" t="str">
        <f>'шт-кмех'!A63</f>
        <v>Сооружение средств охраны м/цикл</v>
      </c>
      <c r="B1443" s="3989" t="e">
        <f>'шт-кмех'!B63</f>
        <v>#VALUE!</v>
      </c>
      <c r="C1443" s="3986"/>
      <c r="D1443" s="3986"/>
      <c r="E1443" s="3986"/>
      <c r="F1443" s="3986"/>
      <c r="G1443" s="3986"/>
      <c r="H1443" s="3986" t="e">
        <f>'шт-кмех'!H63</f>
        <v>#VALUE!</v>
      </c>
    </row>
    <row r="1444" spans="1:9" ht="15.75" x14ac:dyDescent="0.25">
      <c r="A1444" s="2588" t="str">
        <f>'шт-кмех'!A64</f>
        <v/>
      </c>
      <c r="B1444" s="3986"/>
      <c r="C1444" s="3986"/>
      <c r="D1444" s="3986"/>
      <c r="E1444" s="3986"/>
      <c r="F1444" s="3986"/>
      <c r="G1444" s="3986"/>
      <c r="H1444" s="3986" t="e">
        <f>'шт-кмех'!H64</f>
        <v>#VALUE!</v>
      </c>
    </row>
    <row r="1445" spans="1:9" ht="15.75" x14ac:dyDescent="0.25">
      <c r="A1445" s="2586" t="str">
        <f>'шт-кмех'!A65</f>
        <v/>
      </c>
      <c r="B1445" s="2860"/>
      <c r="C1445" s="2860"/>
      <c r="D1445" s="2860"/>
      <c r="E1445" s="2860"/>
      <c r="F1445" s="2860"/>
      <c r="G1445" s="2860"/>
      <c r="H1445" s="2860"/>
    </row>
    <row r="1446" spans="1:9" ht="15.75" x14ac:dyDescent="0.25">
      <c r="A1446" s="2588" t="str">
        <f>'шт-кмех'!A66</f>
        <v xml:space="preserve"> Крепление в нише  (все операции)</v>
      </c>
      <c r="B1446" s="3986"/>
      <c r="C1446" s="3986"/>
      <c r="D1446" s="3986"/>
      <c r="E1446" s="3986"/>
      <c r="F1446" s="3986"/>
      <c r="G1446" s="3986"/>
      <c r="H1446" s="3986" t="e">
        <f>'шт-кмех'!H66</f>
        <v>#VALUE!</v>
      </c>
    </row>
    <row r="1447" spans="1:9" ht="15.75" x14ac:dyDescent="0.25">
      <c r="A1447" s="2588" t="str">
        <f>'шт-кмех'!A67</f>
        <v>Извлечение арочной крепи, шт</v>
      </c>
      <c r="B1447" s="3986" t="e">
        <f>'шт-кмех'!B67</f>
        <v>#VALUE!</v>
      </c>
      <c r="C1447" s="3986" t="e">
        <f>'шт-кмех'!C67</f>
        <v>#VALUE!</v>
      </c>
      <c r="D1447" s="3986" t="e">
        <f>'шт-кмех'!D67</f>
        <v>#VALUE!</v>
      </c>
      <c r="E1447" s="3986"/>
      <c r="F1447" s="3986" t="e">
        <f>'шт-кмех'!F67</f>
        <v>#VALUE!</v>
      </c>
      <c r="G1447" s="3986" t="e">
        <f>'шт-кмех'!G67</f>
        <v>#VALUE!</v>
      </c>
      <c r="H1447" s="3986" t="e">
        <f>'шт-кмех'!H67</f>
        <v>#VALUE!</v>
      </c>
    </row>
    <row r="1448" spans="1:9" ht="15.75" x14ac:dyDescent="0.25">
      <c r="A1448" s="2588" t="e">
        <f>'шт-кмех'!A68</f>
        <v>#VALUE!</v>
      </c>
      <c r="B1448" s="3986" t="e">
        <f>'шт-кмех'!B68</f>
        <v>#VALUE!</v>
      </c>
      <c r="C1448" s="3986" t="e">
        <f>'шт-кмех'!C68</f>
        <v>#VALUE!</v>
      </c>
      <c r="D1448" s="3986" t="e">
        <f>'шт-кмех'!D68</f>
        <v>#VALUE!</v>
      </c>
      <c r="E1448" s="3986"/>
      <c r="F1448" s="3986" t="e">
        <f>'шт-кмех'!F68</f>
        <v>#VALUE!</v>
      </c>
      <c r="G1448" s="3986" t="e">
        <f>'шт-кмех'!G68</f>
        <v>#VALUE!</v>
      </c>
      <c r="H1448" s="3986" t="e">
        <f>'шт-кмех'!H68</f>
        <v>#VALUE!</v>
      </c>
    </row>
    <row r="1449" spans="1:9" ht="15.75" x14ac:dyDescent="0.25">
      <c r="A1449" s="2588" t="str">
        <f>'шт-кмех'!A69</f>
        <v xml:space="preserve"> Выемка угля отбойным молотком, т</v>
      </c>
      <c r="B1449" s="3986" t="e">
        <f>'шт-кмех'!B69</f>
        <v>#VALUE!</v>
      </c>
      <c r="C1449" s="3986">
        <f>'шт-кмех'!C69</f>
        <v>11.83</v>
      </c>
      <c r="D1449" s="3986">
        <f>'шт-кмех'!D69</f>
        <v>11.83</v>
      </c>
      <c r="E1449" s="3986"/>
      <c r="F1449" s="3986" t="e">
        <f>'шт-кмех'!F69</f>
        <v>#VALUE!</v>
      </c>
      <c r="G1449" s="3986" t="e">
        <f>'шт-кмех'!G69</f>
        <v>#VALUE!</v>
      </c>
      <c r="H1449" s="3986" t="e">
        <f>'шт-кмех'!H69</f>
        <v>#VALUE!</v>
      </c>
    </row>
    <row r="1450" spans="1:9" ht="15.75" x14ac:dyDescent="0.25">
      <c r="A1450" s="2588" t="str">
        <f>'шт-кмех'!A70</f>
        <v xml:space="preserve"> Бурение шпуров при применении БВР, м</v>
      </c>
      <c r="B1450" s="3986" t="str">
        <f>'шт-кмех'!B70</f>
        <v/>
      </c>
      <c r="C1450" s="3986" t="str">
        <f>'шт-кмех'!C70</f>
        <v/>
      </c>
      <c r="D1450" s="3986" t="str">
        <f>'шт-кмех'!D70</f>
        <v/>
      </c>
      <c r="E1450" s="3986"/>
      <c r="F1450" s="3986" t="str">
        <f>'шт-кмех'!F70</f>
        <v/>
      </c>
      <c r="G1450" s="3986" t="str">
        <f>'шт-кмех'!G70</f>
        <v/>
      </c>
      <c r="H1450" s="3986" t="str">
        <f>'шт-кмех'!H70</f>
        <v/>
      </c>
    </row>
    <row r="1451" spans="1:9" ht="15.75" x14ac:dyDescent="0.25">
      <c r="A1451" s="2588" t="str">
        <f>'шт-кмех'!A71</f>
        <v xml:space="preserve"> Установка крепи усиления в выработке, шт</v>
      </c>
      <c r="B1451" s="3986" t="e">
        <f>'шт-кмех'!B71</f>
        <v>#VALUE!</v>
      </c>
      <c r="C1451" s="3986" t="e">
        <f>'шт-кмех'!C71</f>
        <v>#VALUE!</v>
      </c>
      <c r="D1451" s="3986">
        <f>'шт-кмех'!D71</f>
        <v>22.4</v>
      </c>
      <c r="E1451" s="3986"/>
      <c r="F1451" s="3986" t="e">
        <f>'шт-кмех'!F71</f>
        <v>#VALUE!</v>
      </c>
      <c r="G1451" s="3986" t="e">
        <f>'шт-кмех'!G71</f>
        <v>#VALUE!</v>
      </c>
      <c r="H1451" s="3986" t="e">
        <f>'шт-кмех'!H71</f>
        <v>#VALUE!</v>
      </c>
    </row>
    <row r="1452" spans="1:9" ht="15.75" x14ac:dyDescent="0.25">
      <c r="A1452" s="2588" t="str">
        <f>'шт-кмех'!A72</f>
        <v>Сооружение средств охраны м/цикл</v>
      </c>
      <c r="B1452" s="3989" t="e">
        <f>'шт-кмех'!B72</f>
        <v>#VALUE!</v>
      </c>
      <c r="C1452" s="3986"/>
      <c r="D1452" s="3986"/>
      <c r="E1452" s="3986"/>
      <c r="F1452" s="3986"/>
      <c r="G1452" s="3986"/>
      <c r="H1452" s="3986" t="e">
        <f>'шт-кмех'!H72</f>
        <v>#VALUE!</v>
      </c>
    </row>
    <row r="1453" spans="1:9" ht="15.75" x14ac:dyDescent="0.25">
      <c r="A1453" s="2588" t="str">
        <f>'шт-кмех'!A73</f>
        <v/>
      </c>
      <c r="B1453" s="3986"/>
      <c r="C1453" s="3986"/>
      <c r="D1453" s="3986"/>
      <c r="E1453" s="3986"/>
      <c r="F1453" s="3986"/>
      <c r="G1453" s="3986"/>
      <c r="H1453" s="3986" t="e">
        <f>'шт-кмех'!H73</f>
        <v>#VALUE!</v>
      </c>
      <c r="I1453" s="2465"/>
    </row>
    <row r="1454" spans="1:9" ht="15.75" x14ac:dyDescent="0.25">
      <c r="A1454" s="2588" t="str">
        <f>'шт-кмех'!A74</f>
        <v/>
      </c>
      <c r="B1454" s="3986"/>
      <c r="C1454" s="3986"/>
      <c r="D1454" s="3986"/>
      <c r="E1454" s="3986"/>
      <c r="F1454" s="3986"/>
      <c r="G1454" s="3986"/>
      <c r="H1454" s="3986" t="e">
        <f>'шт-кмех'!H74</f>
        <v>#VALUE!</v>
      </c>
    </row>
    <row r="1455" spans="1:9" ht="15.75" x14ac:dyDescent="0.25">
      <c r="A1455" s="2586" t="str">
        <f>'шт-кмех'!A75</f>
        <v/>
      </c>
      <c r="B1455" s="2860"/>
      <c r="C1455" s="2860"/>
      <c r="D1455" s="2860"/>
      <c r="E1455" s="2860"/>
      <c r="F1455" s="2860"/>
      <c r="G1455" s="2860"/>
      <c r="H1455" s="2860"/>
    </row>
    <row r="1456" spans="1:9" ht="15.75" x14ac:dyDescent="0.25">
      <c r="A1456" s="2588" t="str">
        <f>'шт-кмех'!A76</f>
        <v>Управление механизированным комплексом, т</v>
      </c>
      <c r="B1456" s="3986" t="e">
        <f>'шт-кмех'!B76</f>
        <v>#VALUE!</v>
      </c>
      <c r="C1456" s="3986" t="e">
        <f>'шт-кмех'!C76</f>
        <v>#VALUE!</v>
      </c>
      <c r="D1456" s="3986" t="e">
        <f>'шт-кмех'!D76</f>
        <v>#VALUE!</v>
      </c>
      <c r="E1456" s="3986" t="e">
        <f>'шт-кмех'!E76</f>
        <v>#VALUE!</v>
      </c>
      <c r="F1456" s="3986" t="e">
        <f>'шт-кмех'!F76</f>
        <v>#VALUE!</v>
      </c>
      <c r="G1456" s="3986" t="e">
        <f>'шт-кмех'!G76</f>
        <v>#VALUE!</v>
      </c>
      <c r="H1456" s="3986" t="e">
        <f>'шт-кмех'!H76</f>
        <v>#VALUE!</v>
      </c>
    </row>
    <row r="1457" spans="1:9" ht="15.75" x14ac:dyDescent="0.25">
      <c r="A1457" s="2588" t="str">
        <f>'шт-кмех'!A77</f>
        <v>из них                                машинист ГВМ</v>
      </c>
      <c r="B1457" s="3986"/>
      <c r="C1457" s="3986"/>
      <c r="D1457" s="3986"/>
      <c r="E1457" s="3986"/>
      <c r="F1457" s="3986"/>
      <c r="G1457" s="3986"/>
      <c r="H1457" s="3986">
        <f>'шт-кмех'!H77</f>
        <v>3</v>
      </c>
    </row>
    <row r="1458" spans="1:9" ht="15.75" x14ac:dyDescent="0.25">
      <c r="A1458" s="2588" t="str">
        <f>'шт-кмех'!A78</f>
        <v xml:space="preserve">                                             ГРОЗ</v>
      </c>
      <c r="B1458" s="3986"/>
      <c r="C1458" s="3986"/>
      <c r="D1458" s="3986"/>
      <c r="E1458" s="3986"/>
      <c r="F1458" s="3986"/>
      <c r="G1458" s="3986"/>
      <c r="H1458" s="3986" t="e">
        <f>'шт-кмех'!H78</f>
        <v>#VALUE!</v>
      </c>
    </row>
    <row r="1459" spans="1:9" ht="15.75" x14ac:dyDescent="0.25">
      <c r="A1459" s="2588" t="str">
        <f>'шт-кмех'!A79</f>
        <v>Дежурный электрослесарь</v>
      </c>
      <c r="B1459" s="3986"/>
      <c r="C1459" s="3986"/>
      <c r="D1459" s="3986"/>
      <c r="E1459" s="3986"/>
      <c r="F1459" s="3986"/>
      <c r="G1459" s="3986"/>
      <c r="H1459" s="3986" t="e">
        <f>'шт-кмех'!H79</f>
        <v>#VALUE!</v>
      </c>
      <c r="I1459" s="2465"/>
    </row>
    <row r="1460" spans="1:9" ht="15.75" x14ac:dyDescent="0.25">
      <c r="A1460" s="2588" t="str">
        <f>'шт-кмех'!A80</f>
        <v/>
      </c>
      <c r="B1460" s="3986"/>
      <c r="C1460" s="3986"/>
      <c r="D1460" s="3986"/>
      <c r="E1460" s="3986"/>
      <c r="F1460" s="3986"/>
      <c r="G1460" s="3986"/>
      <c r="H1460" s="3986" t="e">
        <f>'шт-кмех'!H80</f>
        <v>#VALUE!</v>
      </c>
    </row>
    <row r="1461" spans="1:9" ht="15.75" x14ac:dyDescent="0.25">
      <c r="A1461" s="2586" t="str">
        <f>'шт-кмех'!A81</f>
        <v/>
      </c>
      <c r="B1461" s="2860"/>
      <c r="C1461" s="2860"/>
      <c r="D1461" s="2860"/>
      <c r="E1461" s="2860"/>
      <c r="F1461" s="2860"/>
      <c r="G1461" s="2860"/>
      <c r="H1461" s="2860"/>
    </row>
    <row r="1462" spans="1:9" ht="15.75" x14ac:dyDescent="0.25">
      <c r="A1462" s="2589" t="str">
        <f>'шт-кмех'!A82</f>
        <v xml:space="preserve">                                          машинист ГВМ</v>
      </c>
      <c r="B1462" s="3988"/>
      <c r="C1462" s="3988"/>
      <c r="D1462" s="3988"/>
      <c r="E1462" s="3988"/>
      <c r="F1462" s="3988"/>
      <c r="G1462" s="3988"/>
      <c r="H1462" s="3988">
        <f>'шт-кмех'!H82</f>
        <v>1</v>
      </c>
    </row>
    <row r="1463" spans="1:9" ht="15.75" x14ac:dyDescent="0.25">
      <c r="A1463" s="2589" t="str">
        <f>'шт-кмех'!A83</f>
        <v>Осмотр секций и кoнвейера, выравнивание и т.п. ГРОЗ</v>
      </c>
      <c r="B1463" s="3988"/>
      <c r="C1463" s="3988"/>
      <c r="D1463" s="3988"/>
      <c r="E1463" s="3988"/>
      <c r="F1463" s="3988"/>
      <c r="G1463" s="3988"/>
      <c r="H1463" s="3988">
        <f>'шт-кмех'!H83</f>
        <v>8</v>
      </c>
    </row>
    <row r="1464" spans="1:9" ht="15.75" x14ac:dyDescent="0.25">
      <c r="A1464" s="2589" t="str">
        <f>'шт-кмех'!A84</f>
        <v xml:space="preserve">                                         слесарь по ремонту</v>
      </c>
      <c r="B1464" s="3988"/>
      <c r="C1464" s="3988"/>
      <c r="D1464" s="3988"/>
      <c r="E1464" s="3988"/>
      <c r="F1464" s="3988"/>
      <c r="G1464" s="3988"/>
      <c r="H1464" s="3988" t="e">
        <f>'шт-кмех'!H84</f>
        <v>#VALUE!</v>
      </c>
    </row>
    <row r="1465" spans="1:9" ht="15.75" x14ac:dyDescent="0.25">
      <c r="A1465" s="2589" t="str">
        <f>'шт-кмех'!A85</f>
        <v xml:space="preserve"> Бурение скважин по лаве  для увлажнения угля, м</v>
      </c>
      <c r="B1465" s="3988" t="e">
        <f>'шт-кмех'!B85</f>
        <v>#VALUE!</v>
      </c>
      <c r="C1465" s="3988" t="e">
        <f>'шт-кмех'!C85</f>
        <v>#VALUE!</v>
      </c>
      <c r="D1465" s="3988">
        <f>'шт-кмех'!D85</f>
        <v>158</v>
      </c>
      <c r="E1465" s="3988"/>
      <c r="F1465" s="3988" t="e">
        <f>'шт-кмех'!F85</f>
        <v>#VALUE!</v>
      </c>
      <c r="G1465" s="3988" t="e">
        <f>'шт-кмех'!G85</f>
        <v>#VALUE!</v>
      </c>
      <c r="H1465" s="3988" t="e">
        <f>'шт-кмех'!H85</f>
        <v>#VALUE!</v>
      </c>
    </row>
    <row r="1466" spans="1:9" ht="15.75" x14ac:dyDescent="0.25">
      <c r="A1466" s="2589" t="str">
        <f>'шт-кмех'!A86</f>
        <v>Доставка материалов</v>
      </c>
      <c r="B1466" s="3988"/>
      <c r="C1466" s="3988"/>
      <c r="D1466" s="3988"/>
      <c r="E1466" s="3988"/>
      <c r="F1466" s="3988"/>
      <c r="G1466" s="3988"/>
      <c r="H1466" s="3988" t="e">
        <f>'шт-кмех'!H86</f>
        <v>#VALUE!</v>
      </c>
      <c r="I1466" s="2465"/>
    </row>
    <row r="1467" spans="1:9" ht="15.75" x14ac:dyDescent="0.25">
      <c r="A1467" s="2589" t="str">
        <f>'шт-кмех'!A87</f>
        <v/>
      </c>
      <c r="B1467" s="3988"/>
      <c r="C1467" s="3988"/>
      <c r="D1467" s="3988"/>
      <c r="E1467" s="3988"/>
      <c r="F1467" s="3988"/>
      <c r="G1467" s="3988"/>
      <c r="H1467" s="3988" t="e">
        <f>'шт-кмех'!H87</f>
        <v>#VALUE!</v>
      </c>
    </row>
    <row r="1468" spans="1:9" ht="15.75" x14ac:dyDescent="0.25">
      <c r="A1468" s="2589" t="str">
        <f>'шт-кмех'!A88</f>
        <v/>
      </c>
      <c r="B1468" s="3988"/>
      <c r="C1468" s="3988"/>
      <c r="D1468" s="3988"/>
      <c r="E1468" s="3988"/>
      <c r="F1468" s="3988"/>
      <c r="G1468" s="3988"/>
      <c r="H1468" s="3988" t="e">
        <f>'шт-кмех'!H88</f>
        <v>#VALUE!</v>
      </c>
    </row>
    <row r="1469" spans="1:9" ht="15.75" x14ac:dyDescent="0.25">
      <c r="A1469" s="2589" t="str">
        <f>'шт-кмех'!A89</f>
        <v/>
      </c>
      <c r="B1469" s="3988"/>
      <c r="C1469" s="3988"/>
      <c r="D1469" s="3988"/>
      <c r="E1469" s="3988"/>
      <c r="F1469" s="3988"/>
      <c r="G1469" s="3988"/>
      <c r="H1469" s="3988" t="e">
        <f>'шт-кмех'!H89</f>
        <v>#VALUE!</v>
      </c>
    </row>
    <row r="1470" spans="1:9" x14ac:dyDescent="0.2">
      <c r="A1470" s="894"/>
    </row>
    <row r="1471" spans="1:9" ht="14.25" x14ac:dyDescent="0.2">
      <c r="A1471" s="3991" t="str">
        <f>IF(B500=3,ROW(1518:1518),"")</f>
        <v/>
      </c>
    </row>
    <row r="1472" spans="1:9" ht="63" customHeight="1" x14ac:dyDescent="0.3">
      <c r="A1472" s="3980" t="str">
        <f>IF(B500=1,'шт-кинд'!A49,"")</f>
        <v/>
      </c>
      <c r="B1472" s="893" t="s">
        <v>6767</v>
      </c>
    </row>
    <row r="1473" spans="1:8" ht="63" x14ac:dyDescent="0.25">
      <c r="A1473" s="2588"/>
      <c r="B1473" s="3981" t="str">
        <f>'шт-кинд'!B50</f>
        <v>Объем работ на цикл</v>
      </c>
      <c r="C1473" s="3981" t="str">
        <f>'шт-кинд'!C50</f>
        <v>Объем работ на сутки</v>
      </c>
      <c r="D1473" s="3981" t="str">
        <f>'шт-кинд'!D50</f>
        <v>Таблич-ная норма выработки</v>
      </c>
      <c r="E1473" s="4069" t="str">
        <f>E1433</f>
        <v>Норма обслуживания, чел.смена</v>
      </c>
      <c r="F1473" s="3981" t="str">
        <f>'шт-кинд'!E50</f>
        <v>Попра-вочный коэффи-циент</v>
      </c>
      <c r="G1473" s="3981" t="str">
        <f>'шт-кинд'!F50</f>
        <v>Приня-тая норма выработки</v>
      </c>
      <c r="H1473" s="3981" t="str">
        <f>'шт-кинд'!G50</f>
        <v>Трудоемкость, чел.см/сутки</v>
      </c>
    </row>
    <row r="1474" spans="1:8" ht="15.75" x14ac:dyDescent="0.25">
      <c r="A1474" s="3982" t="str">
        <f>'шт-кинд'!A51</f>
        <v/>
      </c>
      <c r="B1474" s="1392"/>
      <c r="C1474" s="1392"/>
      <c r="D1474" s="1392"/>
      <c r="E1474" s="5"/>
      <c r="F1474" s="1392"/>
      <c r="G1474" s="1392"/>
      <c r="H1474" s="1392"/>
    </row>
    <row r="1475" spans="1:8" ht="15.75" x14ac:dyDescent="0.25">
      <c r="A1475" s="2588" t="str">
        <f>'шт-кинд'!A52</f>
        <v>Выемка угля в нише  (все операции)</v>
      </c>
      <c r="B1475" s="3986" t="e">
        <f>'шт-кинд'!B52</f>
        <v>#VALUE!</v>
      </c>
      <c r="C1475" s="3986" t="e">
        <f>'шт-кинд'!C52</f>
        <v>#VALUE!</v>
      </c>
      <c r="D1475" s="3986"/>
      <c r="E1475" s="5"/>
      <c r="F1475" s="3986"/>
      <c r="G1475" s="3986"/>
      <c r="H1475" s="3986" t="e">
        <f>'шт-кинд'!G52</f>
        <v>#VALUE!</v>
      </c>
    </row>
    <row r="1476" spans="1:8" ht="15.75" x14ac:dyDescent="0.25">
      <c r="A1476" s="2588" t="str">
        <f>'шт-кинд'!A53</f>
        <v/>
      </c>
      <c r="B1476" s="3986"/>
      <c r="C1476" s="3986"/>
      <c r="D1476" s="3986"/>
      <c r="E1476" s="5"/>
      <c r="F1476" s="3986"/>
      <c r="G1476" s="3986"/>
      <c r="H1476" s="3986" t="e">
        <f>'шт-кинд'!G53</f>
        <v>#VALUE!</v>
      </c>
    </row>
    <row r="1477" spans="1:8" ht="15.75" x14ac:dyDescent="0.25">
      <c r="A1477" s="2588" t="str">
        <f>'шт-кинд'!A54</f>
        <v/>
      </c>
      <c r="B1477" s="3986" t="e">
        <f>'шт-кинд'!B54</f>
        <v>#VALUE!</v>
      </c>
      <c r="C1477" s="3986" t="e">
        <f>'шт-кинд'!C54</f>
        <v>#VALUE!</v>
      </c>
      <c r="D1477" s="3986" t="e">
        <f>'шт-кинд'!D54</f>
        <v>#VALUE!</v>
      </c>
      <c r="E1477" s="5"/>
      <c r="F1477" s="3986" t="e">
        <f>'шт-кинд'!E54</f>
        <v>#VALUE!</v>
      </c>
      <c r="G1477" s="3986" t="e">
        <f>'шт-кинд'!F54</f>
        <v>#VALUE!</v>
      </c>
      <c r="H1477" s="3986" t="e">
        <f>'шт-кинд'!G54</f>
        <v>#VALUE!</v>
      </c>
    </row>
    <row r="1478" spans="1:8" ht="15.75" x14ac:dyDescent="0.25">
      <c r="A1478" s="2588" t="e">
        <f>'шт-кинд'!A55</f>
        <v>#VALUE!</v>
      </c>
      <c r="B1478" s="3986" t="e">
        <f>'шт-кинд'!B55</f>
        <v>#VALUE!</v>
      </c>
      <c r="C1478" s="3986">
        <f>'шт-кинд'!C55</f>
        <v>0</v>
      </c>
      <c r="D1478" s="3986" t="e">
        <f>'шт-кинд'!D55</f>
        <v>#VALUE!</v>
      </c>
      <c r="E1478" s="5"/>
      <c r="F1478" s="3986">
        <f>'шт-кинд'!E55</f>
        <v>0</v>
      </c>
      <c r="G1478" s="3986" t="e">
        <f>'шт-кинд'!F55</f>
        <v>#VALUE!</v>
      </c>
      <c r="H1478" s="3986" t="e">
        <f>'шт-кинд'!G55</f>
        <v>#VALUE!</v>
      </c>
    </row>
    <row r="1479" spans="1:8" ht="15.75" x14ac:dyDescent="0.25">
      <c r="A1479" s="2588" t="e">
        <f>'шт-кинд'!A56</f>
        <v>#VALUE!</v>
      </c>
      <c r="B1479" s="3986" t="e">
        <f>'шт-кинд'!B56</f>
        <v>#VALUE!</v>
      </c>
      <c r="C1479" s="3986" t="e">
        <f>'шт-кинд'!C56</f>
        <v>#VALUE!</v>
      </c>
      <c r="D1479" s="3986">
        <f>'шт-кинд'!D56</f>
        <v>12.8</v>
      </c>
      <c r="E1479" s="5"/>
      <c r="F1479" s="3986" t="e">
        <f>'шт-кинд'!E56</f>
        <v>#VALUE!</v>
      </c>
      <c r="G1479" s="3986" t="e">
        <f>'шт-кинд'!F56</f>
        <v>#VALUE!</v>
      </c>
      <c r="H1479" s="3986" t="e">
        <f>'шт-кинд'!G56</f>
        <v>#VALUE!</v>
      </c>
    </row>
    <row r="1480" spans="1:8" ht="15.75" x14ac:dyDescent="0.25">
      <c r="A1480" s="2588" t="str">
        <f>'шт-кинд'!A57</f>
        <v/>
      </c>
      <c r="B1480" s="3986" t="b">
        <f>'шт-кинд'!B57</f>
        <v>0</v>
      </c>
      <c r="C1480" s="3986" t="e">
        <f>'шт-кинд'!C57</f>
        <v>#VALUE!</v>
      </c>
      <c r="D1480" s="3986">
        <f>'шт-кинд'!D57</f>
        <v>4.6399999999999997</v>
      </c>
      <c r="E1480" s="5"/>
      <c r="F1480" s="3986" t="e">
        <f>'шт-кинд'!E57</f>
        <v>#VALUE!</v>
      </c>
      <c r="G1480" s="3986" t="e">
        <f>'шт-кинд'!F57</f>
        <v>#VALUE!</v>
      </c>
      <c r="H1480" s="3986" t="e">
        <f>'шт-кинд'!G57</f>
        <v>#VALUE!</v>
      </c>
    </row>
    <row r="1481" spans="1:8" ht="15.75" x14ac:dyDescent="0.25">
      <c r="A1481" s="2588" t="str">
        <f>'шт-кинд'!A58</f>
        <v/>
      </c>
      <c r="B1481" s="3986">
        <f>'шт-кинд'!B58</f>
        <v>0</v>
      </c>
      <c r="C1481" s="3986" t="e">
        <f>'шт-кинд'!C58</f>
        <v>#VALUE!</v>
      </c>
      <c r="D1481" s="3986">
        <f>'шт-кинд'!D58</f>
        <v>18.899999999999999</v>
      </c>
      <c r="E1481" s="5"/>
      <c r="F1481" s="3986" t="e">
        <f>'шт-кинд'!E58</f>
        <v>#VALUE!</v>
      </c>
      <c r="G1481" s="3986" t="e">
        <f>'шт-кинд'!F58</f>
        <v>#VALUE!</v>
      </c>
      <c r="H1481" s="3986" t="e">
        <f>'шт-кинд'!G58</f>
        <v>#VALUE!</v>
      </c>
    </row>
    <row r="1482" spans="1:8" ht="15.75" x14ac:dyDescent="0.25">
      <c r="A1482" s="2588" t="str">
        <f>'шт-кинд'!A59</f>
        <v>Сооружение средств охраны м/цикл</v>
      </c>
      <c r="B1482" s="3986" t="b">
        <f>'шт-кинд'!B59</f>
        <v>0</v>
      </c>
      <c r="C1482" s="3986" t="e">
        <f>'шт-кинд'!C59</f>
        <v>#VALUE!</v>
      </c>
      <c r="D1482" s="3986"/>
      <c r="E1482" s="5"/>
      <c r="F1482" s="3986"/>
      <c r="G1482" s="3986"/>
      <c r="H1482" s="3986" t="e">
        <f>'шт-кинд'!G59</f>
        <v>#VALUE!</v>
      </c>
    </row>
    <row r="1483" spans="1:8" ht="15.75" x14ac:dyDescent="0.25">
      <c r="A1483" s="3982" t="str">
        <f>'шт-кинд'!A60</f>
        <v/>
      </c>
      <c r="B1483" s="3986"/>
      <c r="C1483" s="3986"/>
      <c r="D1483" s="3986"/>
      <c r="E1483" s="5"/>
      <c r="F1483" s="3986"/>
      <c r="G1483" s="3986"/>
      <c r="H1483" s="3986" t="e">
        <f>'шт-кинд'!G60</f>
        <v>#VALUE!</v>
      </c>
    </row>
    <row r="1484" spans="1:8" ht="15.75" x14ac:dyDescent="0.25">
      <c r="A1484" s="3982" t="str">
        <f>'шт-кинд'!A61</f>
        <v/>
      </c>
      <c r="B1484" s="1895"/>
      <c r="C1484" s="1895"/>
      <c r="D1484" s="1895"/>
      <c r="E1484" s="5"/>
      <c r="F1484" s="1895"/>
      <c r="G1484" s="1895"/>
      <c r="H1484" s="1895"/>
    </row>
    <row r="1485" spans="1:8" ht="15.75" x14ac:dyDescent="0.25">
      <c r="A1485" s="2588" t="str">
        <f>'шт-кинд'!A62</f>
        <v>Выемка угля в нише  (все операции)</v>
      </c>
      <c r="B1485" s="3986" t="e">
        <f>'шт-кинд'!B62</f>
        <v>#VALUE!</v>
      </c>
      <c r="C1485" s="3986" t="e">
        <f>'шт-кинд'!C62</f>
        <v>#VALUE!</v>
      </c>
      <c r="D1485" s="3986"/>
      <c r="E1485" s="5"/>
      <c r="F1485" s="3986"/>
      <c r="G1485" s="3986"/>
      <c r="H1485" s="3986" t="e">
        <f>'шт-кинд'!G62</f>
        <v>#VALUE!</v>
      </c>
    </row>
    <row r="1486" spans="1:8" ht="15.75" x14ac:dyDescent="0.25">
      <c r="A1486" s="2588" t="str">
        <f>'шт-кинд'!A63</f>
        <v xml:space="preserve"> Крепление в нише  (все операции)</v>
      </c>
      <c r="B1486" s="3986"/>
      <c r="C1486" s="3986"/>
      <c r="D1486" s="3986"/>
      <c r="E1486" s="5"/>
      <c r="F1486" s="3986"/>
      <c r="G1486" s="3986"/>
      <c r="H1486" s="3986" t="e">
        <f>'шт-кинд'!G63</f>
        <v>#VALUE!</v>
      </c>
    </row>
    <row r="1487" spans="1:8" ht="15.75" x14ac:dyDescent="0.25">
      <c r="A1487" s="2588" t="e">
        <f>'шт-кинд'!A64</f>
        <v>#VALUE!</v>
      </c>
      <c r="B1487" s="3986" t="e">
        <f>'шт-кинд'!B64</f>
        <v>#VALUE!</v>
      </c>
      <c r="C1487" s="3986" t="e">
        <f>'шт-кинд'!C64</f>
        <v>#VALUE!</v>
      </c>
      <c r="D1487" s="3986" t="e">
        <f>'шт-кинд'!D64</f>
        <v>#VALUE!</v>
      </c>
      <c r="E1487" s="5"/>
      <c r="F1487" s="3986" t="e">
        <f>'шт-кинд'!E64</f>
        <v>#VALUE!</v>
      </c>
      <c r="G1487" s="3986" t="e">
        <f>'шт-кинд'!F64</f>
        <v>#VALUE!</v>
      </c>
      <c r="H1487" s="3986" t="e">
        <f>'шт-кинд'!G64</f>
        <v>#VALUE!</v>
      </c>
    </row>
    <row r="1488" spans="1:8" ht="15.75" x14ac:dyDescent="0.25">
      <c r="A1488" s="2588" t="e">
        <f>'шт-кинд'!A65</f>
        <v>#VALUE!</v>
      </c>
      <c r="B1488" s="3986" t="e">
        <f>'шт-кинд'!B65</f>
        <v>#VALUE!</v>
      </c>
      <c r="C1488" s="3986">
        <f>'шт-кинд'!C65</f>
        <v>0</v>
      </c>
      <c r="D1488" s="3986" t="e">
        <f>'шт-кинд'!D65</f>
        <v>#VALUE!</v>
      </c>
      <c r="E1488" s="5"/>
      <c r="F1488" s="3986" t="e">
        <f>'шт-кинд'!E65</f>
        <v>#VALUE!</v>
      </c>
      <c r="G1488" s="3986" t="e">
        <f>'шт-кинд'!F65</f>
        <v>#VALUE!</v>
      </c>
      <c r="H1488" s="3986" t="e">
        <f>'шт-кинд'!G65</f>
        <v>#VALUE!</v>
      </c>
    </row>
    <row r="1489" spans="1:8" ht="15.75" x14ac:dyDescent="0.25">
      <c r="A1489" s="2588" t="str">
        <f>'шт-кинд'!A66</f>
        <v xml:space="preserve"> Установка крепи усиления в выработке, шт</v>
      </c>
      <c r="B1489" s="3986">
        <f>'шт-кинд'!B66</f>
        <v>0</v>
      </c>
      <c r="C1489" s="3986" t="e">
        <f>'шт-кинд'!C66</f>
        <v>#VALUE!</v>
      </c>
      <c r="D1489" s="3986" t="e">
        <f>'шт-кинд'!D66</f>
        <v>#VALUE!</v>
      </c>
      <c r="E1489" s="5"/>
      <c r="F1489" s="3986">
        <f>'шт-кинд'!E66</f>
        <v>0</v>
      </c>
      <c r="G1489" s="3986" t="e">
        <f>'шт-кинд'!F66</f>
        <v>#VALUE!</v>
      </c>
      <c r="H1489" s="3986" t="e">
        <f>'шт-кинд'!G66</f>
        <v>#VALUE!</v>
      </c>
    </row>
    <row r="1490" spans="1:8" ht="15.75" x14ac:dyDescent="0.25">
      <c r="A1490" s="2588" t="str">
        <f>'шт-кинд'!A67</f>
        <v>Сооружение средств охраны м/цикл</v>
      </c>
      <c r="B1490" s="3986" t="b">
        <f>'шт-кинд'!B67</f>
        <v>0</v>
      </c>
      <c r="C1490" s="3986" t="e">
        <f>'шт-кинд'!C67</f>
        <v>#VALUE!</v>
      </c>
      <c r="D1490" s="3986"/>
      <c r="E1490" s="5"/>
      <c r="F1490" s="3986"/>
      <c r="G1490" s="3986"/>
      <c r="H1490" s="3986" t="e">
        <f>'шт-кинд'!G67</f>
        <v>#VALUE!</v>
      </c>
    </row>
    <row r="1491" spans="1:8" ht="15.75" x14ac:dyDescent="0.25">
      <c r="A1491" s="3982" t="str">
        <f>'шт-кинд'!A68</f>
        <v/>
      </c>
      <c r="B1491" s="3986"/>
      <c r="C1491" s="3986"/>
      <c r="D1491" s="3986"/>
      <c r="E1491" s="5"/>
      <c r="F1491" s="3986"/>
      <c r="G1491" s="3986"/>
      <c r="H1491" s="3986" t="e">
        <f>'шт-кинд'!G68</f>
        <v>#VALUE!</v>
      </c>
    </row>
    <row r="1492" spans="1:8" ht="15.75" x14ac:dyDescent="0.25">
      <c r="A1492" s="3982" t="str">
        <f>'шт-кинд'!A69</f>
        <v/>
      </c>
      <c r="B1492" s="3986"/>
      <c r="C1492" s="3986"/>
      <c r="D1492" s="3986"/>
      <c r="E1492" s="5"/>
      <c r="F1492" s="3986"/>
      <c r="G1492" s="3986"/>
      <c r="H1492" s="3986" t="e">
        <f>'шт-кинд'!G69</f>
        <v>#VALUE!</v>
      </c>
    </row>
    <row r="1493" spans="1:8" ht="15.75" x14ac:dyDescent="0.25">
      <c r="A1493" s="3982" t="str">
        <f>'шт-кинд'!A70</f>
        <v/>
      </c>
      <c r="B1493" s="3986"/>
      <c r="C1493" s="3986"/>
      <c r="D1493" s="3986"/>
      <c r="E1493" s="5"/>
      <c r="F1493" s="3986"/>
      <c r="G1493" s="3986"/>
      <c r="H1493" s="3986">
        <f>'шт-кинд'!G70</f>
        <v>0</v>
      </c>
    </row>
    <row r="1494" spans="1:8" ht="15.75" x14ac:dyDescent="0.25">
      <c r="A1494" s="2588" t="str">
        <f>'шт-кинд'!A71</f>
        <v>Выемка угля комбайном, т</v>
      </c>
      <c r="B1494" s="3986" t="e">
        <f>'шт-кинд'!B71</f>
        <v>#VALUE!</v>
      </c>
      <c r="C1494" s="3986" t="e">
        <f>'шт-кинд'!C71</f>
        <v>#VALUE!</v>
      </c>
      <c r="D1494" s="3986" t="e">
        <f>'шт-кинд'!D71</f>
        <v>#VALUE!</v>
      </c>
      <c r="E1494" s="5"/>
      <c r="F1494" s="3986" t="e">
        <f>'шт-кинд'!E71</f>
        <v>#VALUE!</v>
      </c>
      <c r="G1494" s="3986" t="e">
        <f>'шт-кинд'!F71</f>
        <v>#VALUE!</v>
      </c>
      <c r="H1494" s="3986" t="e">
        <f>'шт-кинд'!G71</f>
        <v>#VALUE!</v>
      </c>
    </row>
    <row r="1495" spans="1:8" ht="15.75" x14ac:dyDescent="0.25">
      <c r="A1495" s="2588" t="str">
        <f>'шт-кинд'!A72</f>
        <v>МГВМ</v>
      </c>
      <c r="B1495" s="3986"/>
      <c r="C1495" s="3986"/>
      <c r="D1495" s="3986"/>
      <c r="E1495" s="5"/>
      <c r="F1495" s="3986"/>
      <c r="G1495" s="3986"/>
      <c r="H1495" s="3986">
        <f>'шт-кинд'!G72</f>
        <v>2</v>
      </c>
    </row>
    <row r="1496" spans="1:8" ht="15.75" x14ac:dyDescent="0.25">
      <c r="A1496" s="2588" t="str">
        <f>'шт-кинд'!A73</f>
        <v>ГРОЗ</v>
      </c>
      <c r="B1496" s="3986"/>
      <c r="C1496" s="3986"/>
      <c r="D1496" s="3986"/>
      <c r="E1496" s="5"/>
      <c r="F1496" s="3986"/>
      <c r="G1496" s="3986"/>
      <c r="H1496" s="3986" t="e">
        <f>'шт-кинд'!G73</f>
        <v>#VALUE!</v>
      </c>
    </row>
    <row r="1497" spans="1:8" ht="15.75" x14ac:dyDescent="0.25">
      <c r="A1497" s="2588" t="str">
        <f>'шт-кинд'!A74</f>
        <v>Оформление забоя и передвижка конвейера</v>
      </c>
      <c r="B1497" s="3986" t="e">
        <f>'шт-кинд'!B74</f>
        <v>#VALUE!</v>
      </c>
      <c r="C1497" s="3986" t="e">
        <f>'шт-кинд'!C74</f>
        <v>#VALUE!</v>
      </c>
      <c r="D1497" s="3986">
        <f>'шт-кинд'!D74</f>
        <v>223</v>
      </c>
      <c r="E1497" s="5"/>
      <c r="F1497" s="3986" t="e">
        <f>'шт-кинд'!E74</f>
        <v>#VALUE!</v>
      </c>
      <c r="G1497" s="3986" t="e">
        <f>'шт-кинд'!F74</f>
        <v>#VALUE!</v>
      </c>
      <c r="H1497" s="3986" t="e">
        <f>'шт-кинд'!G74</f>
        <v>#VALUE!</v>
      </c>
    </row>
    <row r="1498" spans="1:8" ht="15.75" x14ac:dyDescent="0.25">
      <c r="A1498" s="2588" t="str">
        <f>'шт-кинд'!A75</f>
        <v>Крепление в лаве (все операции)</v>
      </c>
      <c r="B1498" s="3986"/>
      <c r="C1498" s="3986"/>
      <c r="D1498" s="3986"/>
      <c r="E1498" s="5"/>
      <c r="F1498" s="3986"/>
      <c r="G1498" s="3986"/>
      <c r="H1498" s="3986" t="e">
        <f>'шт-кинд'!G75</f>
        <v>#VALUE!</v>
      </c>
    </row>
    <row r="1499" spans="1:8" ht="15.75" x14ac:dyDescent="0.25">
      <c r="A1499" s="2588" t="str">
        <f>'шт-кинд'!A76</f>
        <v>Управление кровлей (все операции)</v>
      </c>
      <c r="B1499" s="3986"/>
      <c r="C1499" s="3986"/>
      <c r="D1499" s="3986"/>
      <c r="E1499" s="5"/>
      <c r="F1499" s="3986"/>
      <c r="G1499" s="3986"/>
      <c r="H1499" s="3986" t="e">
        <f>'шт-кинд'!G76</f>
        <v>#VALUE!</v>
      </c>
    </row>
    <row r="1500" spans="1:8" ht="15.75" x14ac:dyDescent="0.25">
      <c r="A1500" s="2588" t="str">
        <f>'шт-кинд'!A77</f>
        <v>Дежурный электрослесарь</v>
      </c>
      <c r="B1500" s="3986"/>
      <c r="C1500" s="3986"/>
      <c r="D1500" s="3986"/>
      <c r="E1500" s="5"/>
      <c r="F1500" s="3986"/>
      <c r="G1500" s="3986"/>
      <c r="H1500" s="3986">
        <f>'шт-кинд'!G77</f>
        <v>2</v>
      </c>
    </row>
    <row r="1501" spans="1:8" ht="15.75" x14ac:dyDescent="0.25">
      <c r="A1501" s="3982" t="str">
        <f>'шт-кинд'!A78</f>
        <v/>
      </c>
      <c r="B1501" s="3986"/>
      <c r="C1501" s="3986"/>
      <c r="D1501" s="3986"/>
      <c r="E1501" s="5"/>
      <c r="F1501" s="3986"/>
      <c r="G1501" s="3986"/>
      <c r="H1501" s="3986" t="e">
        <f>'шт-кинд'!G78</f>
        <v>#VALUE!</v>
      </c>
    </row>
    <row r="1502" spans="1:8" ht="15.75" x14ac:dyDescent="0.25">
      <c r="A1502" s="2588" t="str">
        <f>'шт-кинд'!A79</f>
        <v>из них                                машинист ГВМ</v>
      </c>
      <c r="B1502" s="3986"/>
      <c r="C1502" s="3986"/>
      <c r="D1502" s="3986"/>
      <c r="E1502" s="5"/>
      <c r="F1502" s="3986"/>
      <c r="G1502" s="3986"/>
      <c r="H1502" s="3986">
        <f>'шт-кинд'!G79</f>
        <v>2</v>
      </c>
    </row>
    <row r="1503" spans="1:8" ht="15.75" x14ac:dyDescent="0.25">
      <c r="A1503" s="2588" t="str">
        <f>'шт-кинд'!A80</f>
        <v xml:space="preserve">                                             ГРОЗ</v>
      </c>
      <c r="B1503" s="3986"/>
      <c r="C1503" s="3986"/>
      <c r="D1503" s="3986"/>
      <c r="E1503" s="5"/>
      <c r="F1503" s="3986"/>
      <c r="G1503" s="3986"/>
      <c r="H1503" s="3986" t="e">
        <f>'шт-кинд'!G80</f>
        <v>#VALUE!</v>
      </c>
    </row>
    <row r="1504" spans="1:8" ht="15.75" x14ac:dyDescent="0.25">
      <c r="A1504" s="2588" t="str">
        <f>'шт-кинд'!A81</f>
        <v>Дежурный электрослесарь</v>
      </c>
      <c r="B1504" s="3986"/>
      <c r="C1504" s="3986"/>
      <c r="D1504" s="3986"/>
      <c r="E1504" s="5"/>
      <c r="F1504" s="3986"/>
      <c r="G1504" s="3986"/>
      <c r="H1504" s="3986">
        <f>'шт-кинд'!G81</f>
        <v>2</v>
      </c>
    </row>
    <row r="1505" spans="1:8" ht="15.75" x14ac:dyDescent="0.25">
      <c r="A1505" s="3982" t="str">
        <f>'шт-кинд'!A82</f>
        <v/>
      </c>
      <c r="B1505" s="3986"/>
      <c r="C1505" s="3986"/>
      <c r="D1505" s="3986"/>
      <c r="E1505" s="5"/>
      <c r="F1505" s="3986"/>
      <c r="G1505" s="3986"/>
      <c r="H1505" s="3986">
        <f>'шт-кинд'!G82</f>
        <v>0</v>
      </c>
    </row>
    <row r="1506" spans="1:8" ht="15.75" x14ac:dyDescent="0.25">
      <c r="A1506" s="2588" t="str">
        <f>'шт-кинд'!A83</f>
        <v xml:space="preserve">                                          машинист ГВМ</v>
      </c>
      <c r="B1506" s="3986"/>
      <c r="C1506" s="3986"/>
      <c r="D1506" s="3986"/>
      <c r="E1506" s="5"/>
      <c r="F1506" s="3986"/>
      <c r="G1506" s="3986"/>
      <c r="H1506" s="3986">
        <f>'шт-кинд'!G83</f>
        <v>1</v>
      </c>
    </row>
    <row r="1507" spans="1:8" ht="15.75" x14ac:dyDescent="0.25">
      <c r="A1507" s="2588" t="str">
        <f>'шт-кинд'!A84</f>
        <v>Осмотр комбайна, кoнвейера, выравнивание и т.п. ГРОЗ</v>
      </c>
      <c r="B1507" s="3986"/>
      <c r="C1507" s="3986"/>
      <c r="D1507" s="3986"/>
      <c r="E1507" s="5"/>
      <c r="F1507" s="3986"/>
      <c r="G1507" s="3986"/>
      <c r="H1507" s="3986">
        <f>'шт-кинд'!G84</f>
        <v>4</v>
      </c>
    </row>
    <row r="1508" spans="1:8" ht="15.75" x14ac:dyDescent="0.25">
      <c r="A1508" s="2588" t="str">
        <f>'шт-кинд'!A85</f>
        <v xml:space="preserve">                                         слесарь по ремонту</v>
      </c>
      <c r="B1508" s="3986"/>
      <c r="C1508" s="3986"/>
      <c r="D1508" s="3986"/>
      <c r="E1508" s="5"/>
      <c r="F1508" s="3986"/>
      <c r="G1508" s="3986"/>
      <c r="H1508" s="3986" t="e">
        <f>'шт-кинд'!G85</f>
        <v>#VALUE!</v>
      </c>
    </row>
    <row r="1509" spans="1:8" ht="15.75" x14ac:dyDescent="0.25">
      <c r="A1509" s="2588" t="str">
        <f>'шт-кинд'!A86</f>
        <v/>
      </c>
      <c r="B1509" s="3986" t="str">
        <f>'шт-кинд'!B86</f>
        <v/>
      </c>
      <c r="C1509" s="3986"/>
      <c r="D1509" s="3986"/>
      <c r="E1509" s="5"/>
      <c r="F1509" s="3986"/>
      <c r="G1509" s="3986" t="str">
        <f>'шт-кинд'!F86</f>
        <v/>
      </c>
      <c r="H1509" s="3986">
        <f>'шт-кинд'!G86</f>
        <v>0</v>
      </c>
    </row>
    <row r="1510" spans="1:8" ht="15.75" x14ac:dyDescent="0.25">
      <c r="A1510" s="2588" t="str">
        <f>'шт-кинд'!A87</f>
        <v>Доставка материалов</v>
      </c>
      <c r="B1510" s="3986" t="e">
        <f>'шт-кинд'!B87</f>
        <v>#VALUE!</v>
      </c>
      <c r="C1510" s="3986" t="e">
        <f>'шт-кинд'!C87</f>
        <v>#VALUE!</v>
      </c>
      <c r="D1510" s="3986"/>
      <c r="E1510" s="5"/>
      <c r="F1510" s="3986"/>
      <c r="G1510" s="3986"/>
      <c r="H1510" s="3986" t="e">
        <f>'шт-кинд'!G87</f>
        <v>#VALUE!</v>
      </c>
    </row>
    <row r="1511" spans="1:8" ht="15.75" x14ac:dyDescent="0.25">
      <c r="A1511" s="3982" t="str">
        <f>'шт-кинд'!A88</f>
        <v/>
      </c>
      <c r="B1511" s="3987"/>
      <c r="C1511" s="3987"/>
      <c r="D1511" s="3987"/>
      <c r="E1511" s="5"/>
      <c r="F1511" s="3987"/>
      <c r="G1511" s="3987"/>
      <c r="H1511" s="3986" t="e">
        <f>'шт-кинд'!G88</f>
        <v>#VALUE!</v>
      </c>
    </row>
    <row r="1512" spans="1:8" ht="15.75" x14ac:dyDescent="0.25">
      <c r="A1512" s="3982" t="str">
        <f>'шт-кинд'!A89</f>
        <v/>
      </c>
      <c r="B1512" s="3987"/>
      <c r="C1512" s="3987"/>
      <c r="D1512" s="3987"/>
      <c r="E1512" s="5"/>
      <c r="F1512" s="3987"/>
      <c r="G1512" s="3987"/>
      <c r="H1512" s="3986" t="e">
        <f>'шт-кинд'!G89</f>
        <v>#VALUE!</v>
      </c>
    </row>
    <row r="1513" spans="1:8" ht="15.75" x14ac:dyDescent="0.25">
      <c r="A1513" s="2588" t="str">
        <f>'шт-кинд'!A90</f>
        <v/>
      </c>
      <c r="B1513" s="3987"/>
      <c r="C1513" s="3987"/>
      <c r="D1513" s="3987"/>
      <c r="E1513" s="5"/>
      <c r="F1513" s="3987"/>
      <c r="G1513" s="3987"/>
      <c r="H1513" s="3986" t="e">
        <f>'шт-кинд'!G90</f>
        <v>#VALUE!</v>
      </c>
    </row>
    <row r="1514" spans="1:8" x14ac:dyDescent="0.2">
      <c r="A1514" s="894"/>
    </row>
    <row r="1515" spans="1:8" ht="15.75" x14ac:dyDescent="0.25">
      <c r="A1515" s="3990" t="s">
        <v>6476</v>
      </c>
    </row>
    <row r="1516" spans="1:8" ht="15.75" x14ac:dyDescent="0.25">
      <c r="A1516" s="4230" t="str">
        <f>IF(B2201=1,"Вы перенесли  таблицу штата рабочих  в текст записки? 1 - Да, 2 - Нет","не вводить!")</f>
        <v>не вводить!</v>
      </c>
      <c r="B1516" s="4165"/>
    </row>
    <row r="1517" spans="1:8" x14ac:dyDescent="0.2">
      <c r="A1517" s="4192" t="str">
        <f>IF(B1516=1,"Переходите по ссылке","")</f>
        <v/>
      </c>
    </row>
    <row r="1518" spans="1:8" ht="18" x14ac:dyDescent="0.25">
      <c r="A1518" s="2977"/>
    </row>
    <row r="1519" spans="1:8" ht="18" x14ac:dyDescent="0.25">
      <c r="A1519" s="3979" t="s">
        <v>6605</v>
      </c>
    </row>
    <row r="1520" spans="1:8" ht="15" x14ac:dyDescent="0.2">
      <c r="A1520" s="2941" t="s">
        <v>1064</v>
      </c>
    </row>
    <row r="1521" spans="1:12" ht="15" x14ac:dyDescent="0.2">
      <c r="A1521" s="2941" t="s">
        <v>6651</v>
      </c>
    </row>
    <row r="1522" spans="1:12" ht="15" x14ac:dyDescent="0.2">
      <c r="A1522" s="2941" t="s">
        <v>6477</v>
      </c>
    </row>
    <row r="1523" spans="1:12" ht="15.75" x14ac:dyDescent="0.25">
      <c r="A1523" s="2941"/>
      <c r="B1523" s="4070" t="str">
        <f>IF(B500=3,"Комплексно механизированная лава","Лава с индивидуальной крепью")</f>
        <v>Лава с индивидуальной крепью</v>
      </c>
    </row>
    <row r="1524" spans="1:12" ht="15" x14ac:dyDescent="0.2">
      <c r="A1524" s="2942" t="s">
        <v>6938</v>
      </c>
    </row>
    <row r="1525" spans="1:12" ht="25.5" x14ac:dyDescent="0.2">
      <c r="A1525" s="3992" t="s">
        <v>1803</v>
      </c>
      <c r="B1525" s="920" t="s">
        <v>1804</v>
      </c>
      <c r="C1525" s="920" t="s">
        <v>1802</v>
      </c>
      <c r="D1525" s="920" t="s">
        <v>1805</v>
      </c>
    </row>
    <row r="1526" spans="1:12" ht="15" x14ac:dyDescent="0.2">
      <c r="A1526" s="2963" t="s">
        <v>1800</v>
      </c>
      <c r="B1526" s="3954"/>
      <c r="C1526" s="3993"/>
      <c r="D1526" s="3064"/>
    </row>
    <row r="1527" spans="1:12" ht="15" x14ac:dyDescent="0.2">
      <c r="A1527" s="2963" t="s">
        <v>1801</v>
      </c>
      <c r="B1527" s="3954"/>
      <c r="C1527" s="3993"/>
      <c r="D1527" s="3993"/>
    </row>
    <row r="1528" spans="1:12" ht="15" x14ac:dyDescent="0.2">
      <c r="A1528" s="2963" t="s">
        <v>1798</v>
      </c>
      <c r="B1528" s="3994"/>
      <c r="C1528" s="3993"/>
      <c r="D1528" s="3064"/>
    </row>
    <row r="1529" spans="1:12" ht="15" x14ac:dyDescent="0.2">
      <c r="A1529" s="2963" t="s">
        <v>1799</v>
      </c>
      <c r="B1529" s="3994"/>
      <c r="C1529" s="3993"/>
      <c r="D1529" s="3993"/>
      <c r="F1529" s="2465"/>
      <c r="G1529" s="2465"/>
    </row>
    <row r="1530" spans="1:12" ht="15" x14ac:dyDescent="0.2">
      <c r="A1530" s="2963" t="s">
        <v>2026</v>
      </c>
      <c r="B1530" s="3994"/>
      <c r="C1530" s="3993"/>
      <c r="D1530" s="3064"/>
    </row>
    <row r="1531" spans="1:12" ht="15" x14ac:dyDescent="0.2">
      <c r="A1531" s="2963" t="s">
        <v>1797</v>
      </c>
      <c r="B1531" s="3994"/>
      <c r="C1531" s="3993"/>
      <c r="D1531" s="3993"/>
      <c r="K1531" s="2465">
        <f>IF(B500=3,H1468,0)</f>
        <v>0</v>
      </c>
      <c r="L1531" s="2465">
        <f>IF(B500=1,H1512,0)</f>
        <v>0</v>
      </c>
    </row>
    <row r="1532" spans="1:12" ht="15" x14ac:dyDescent="0.2">
      <c r="A1532" s="2963" t="s">
        <v>2120</v>
      </c>
      <c r="B1532" s="3995">
        <v>43.5</v>
      </c>
      <c r="C1532" s="2567">
        <f>SUM(C1526:C1531)</f>
        <v>0</v>
      </c>
      <c r="D1532" s="802">
        <f>SUM(D1526:D1531)</f>
        <v>0</v>
      </c>
      <c r="K1532" s="3041" t="s">
        <v>6592</v>
      </c>
    </row>
    <row r="1533" spans="1:12" ht="15" x14ac:dyDescent="0.2">
      <c r="A1533" s="2963" t="s">
        <v>1806</v>
      </c>
      <c r="B1533" s="40"/>
      <c r="C1533" s="5"/>
      <c r="D1533" s="2567" t="e">
        <f>(B1532/D1532-1)*100</f>
        <v>#DIV/0!</v>
      </c>
    </row>
    <row r="1534" spans="1:12" ht="15" x14ac:dyDescent="0.2">
      <c r="A1534" s="2941"/>
    </row>
    <row r="1535" spans="1:12" ht="15" x14ac:dyDescent="0.2">
      <c r="A1535" s="2941" t="s">
        <v>1807</v>
      </c>
    </row>
    <row r="1536" spans="1:12" ht="15" x14ac:dyDescent="0.2">
      <c r="A1536" s="4193" t="str">
        <f>IF(B2201=1,"Вы перенесли  таблицу  в текст записки? 1 - Да, 2 - Нет","не вводить!")</f>
        <v>не вводить!</v>
      </c>
      <c r="B1536" s="4177"/>
    </row>
    <row r="1537" spans="1:2" x14ac:dyDescent="0.2">
      <c r="A1537" s="4192" t="str">
        <f>IF(B1536=1,"Переходите по ссылке","")</f>
        <v/>
      </c>
    </row>
    <row r="1538" spans="1:2" ht="15" x14ac:dyDescent="0.2">
      <c r="A1538" s="2941" t="s">
        <v>1065</v>
      </c>
    </row>
    <row r="1539" spans="1:2" ht="15" x14ac:dyDescent="0.2">
      <c r="A1539" s="2941"/>
    </row>
    <row r="1540" spans="1:2" ht="15" x14ac:dyDescent="0.2">
      <c r="A1540" s="892" t="s">
        <v>4938</v>
      </c>
    </row>
    <row r="1541" spans="1:2" ht="15.75" x14ac:dyDescent="0.25">
      <c r="A1541" s="3095" t="s">
        <v>3166</v>
      </c>
      <c r="B1541" s="3110">
        <f>B872</f>
        <v>0</v>
      </c>
    </row>
    <row r="1542" spans="1:2" ht="15.75" x14ac:dyDescent="0.25">
      <c r="A1542" s="3095" t="s">
        <v>2166</v>
      </c>
      <c r="B1542" s="3110">
        <f>B873</f>
        <v>0</v>
      </c>
    </row>
    <row r="1543" spans="1:2" ht="18.75" x14ac:dyDescent="0.3">
      <c r="A1543" s="3111" t="s">
        <v>3315</v>
      </c>
      <c r="B1543" s="3112">
        <f>B1103</f>
        <v>0</v>
      </c>
    </row>
    <row r="1544" spans="1:2" ht="18.75" x14ac:dyDescent="0.3">
      <c r="A1544" s="3095" t="s">
        <v>2039</v>
      </c>
      <c r="B1544" s="3113">
        <f>ком!C94</f>
        <v>3</v>
      </c>
    </row>
    <row r="1545" spans="1:2" ht="21" customHeight="1" x14ac:dyDescent="0.3">
      <c r="A1545" s="3111" t="s">
        <v>2040</v>
      </c>
      <c r="B1545" s="3113" t="str">
        <f>B1104</f>
        <v/>
      </c>
    </row>
    <row r="1546" spans="1:2" ht="21" customHeight="1" x14ac:dyDescent="0.3">
      <c r="A1546" s="3111" t="s">
        <v>2041</v>
      </c>
      <c r="B1546" s="3114" t="str">
        <f>IF(ком!G227=0,"односторонняя","челноковая")</f>
        <v>односторонняя</v>
      </c>
    </row>
    <row r="1547" spans="1:2" ht="18.75" x14ac:dyDescent="0.3">
      <c r="A1547" s="3111" t="str">
        <f>IF(ком!G227=0,"Движение комбайна  при выемке угля","------------------------------------")</f>
        <v>Движение комбайна  при выемке угля</v>
      </c>
      <c r="B1547" s="3996" t="str">
        <f>IF(AND(ком!G227=0,B216=0),"от транспортной выработки","от вентиляционной выработки")</f>
        <v>от вентиляционной выработки</v>
      </c>
    </row>
    <row r="1548" spans="1:2" x14ac:dyDescent="0.2">
      <c r="A1548" s="5" t="s">
        <v>4935</v>
      </c>
      <c r="B1548" s="2566">
        <f>B1544*6*60</f>
        <v>1080</v>
      </c>
    </row>
    <row r="1549" spans="1:2" ht="15.75" x14ac:dyDescent="0.25">
      <c r="A1549" s="3095" t="s">
        <v>1496</v>
      </c>
      <c r="B1549" s="3997">
        <f>ком!G229</f>
        <v>20</v>
      </c>
    </row>
    <row r="1550" spans="1:2" x14ac:dyDescent="0.2">
      <c r="A1550" s="5" t="s">
        <v>1495</v>
      </c>
      <c r="B1550" s="2566">
        <f>B1549*B1544</f>
        <v>60</v>
      </c>
    </row>
    <row r="1551" spans="1:2" x14ac:dyDescent="0.2">
      <c r="A1551" s="5" t="s">
        <v>6478</v>
      </c>
      <c r="B1551" s="2566">
        <f>B1548-B1550</f>
        <v>1020</v>
      </c>
    </row>
    <row r="1552" spans="1:2" x14ac:dyDescent="0.2">
      <c r="A1552" s="5" t="s">
        <v>4936</v>
      </c>
      <c r="B1552" s="2566" t="e">
        <f>B1551/B1545</f>
        <v>#VALUE!</v>
      </c>
    </row>
    <row r="1553" spans="1:2" ht="18.75" x14ac:dyDescent="0.35">
      <c r="A1553" s="3111" t="s">
        <v>4008</v>
      </c>
      <c r="B1553" s="3110">
        <v>20</v>
      </c>
    </row>
    <row r="1554" spans="1:2" x14ac:dyDescent="0.2">
      <c r="A1554" s="5" t="s">
        <v>4937</v>
      </c>
      <c r="B1554" s="2566">
        <f>IF(B1546="односторонняя",B1543/6,0)</f>
        <v>0</v>
      </c>
    </row>
    <row r="1555" spans="1:2" ht="15.75" x14ac:dyDescent="0.25">
      <c r="A1555" s="3095" t="s">
        <v>2042</v>
      </c>
      <c r="B1555" s="2566" t="e">
        <f>B1552-B1554-B1553</f>
        <v>#VALUE!</v>
      </c>
    </row>
    <row r="1557" spans="1:2" ht="15" x14ac:dyDescent="0.2">
      <c r="A1557" s="2941" t="s">
        <v>1796</v>
      </c>
    </row>
    <row r="1558" spans="1:2" x14ac:dyDescent="0.2">
      <c r="A1558" s="895" t="str">
        <f>IF(B2201=1,"Вы перенесли  таблицу  в текст записки? 1 - Да, 2 - Нет","не вводить!")</f>
        <v>не вводить!</v>
      </c>
      <c r="B1558" s="4194"/>
    </row>
    <row r="1559" spans="1:2" x14ac:dyDescent="0.2">
      <c r="A1559" s="4192" t="str">
        <f>IF(B1558=1,"Переходите по ссылке","")</f>
        <v/>
      </c>
    </row>
    <row r="1560" spans="1:2" ht="18.75" x14ac:dyDescent="0.3">
      <c r="A1560" s="1298" t="s">
        <v>6594</v>
      </c>
    </row>
    <row r="1561" spans="1:2" ht="18.75" x14ac:dyDescent="0.3">
      <c r="A1561" s="1298" t="s">
        <v>6596</v>
      </c>
    </row>
    <row r="1562" spans="1:2" ht="18.75" x14ac:dyDescent="0.3">
      <c r="A1562" s="1298"/>
    </row>
    <row r="1563" spans="1:2" ht="18.75" x14ac:dyDescent="0.3">
      <c r="A1563" s="1298"/>
    </row>
    <row r="1564" spans="1:2" ht="18.75" x14ac:dyDescent="0.3">
      <c r="A1564" s="1298"/>
    </row>
    <row r="1592" spans="1:1" x14ac:dyDescent="0.2">
      <c r="A1592">
        <v>2</v>
      </c>
    </row>
    <row r="1593" spans="1:1" ht="18.75" x14ac:dyDescent="0.3">
      <c r="A1593" s="1298" t="s">
        <v>6595</v>
      </c>
    </row>
    <row r="1624" spans="1:1" ht="15" x14ac:dyDescent="0.2">
      <c r="A1624" s="892" t="s">
        <v>1066</v>
      </c>
    </row>
    <row r="1627" spans="1:1" ht="18" x14ac:dyDescent="0.25">
      <c r="A1627" s="4041" t="s">
        <v>6606</v>
      </c>
    </row>
    <row r="1629" spans="1:1" x14ac:dyDescent="0.2">
      <c r="A1629" s="214" t="s">
        <v>1497</v>
      </c>
    </row>
    <row r="1631" spans="1:1" ht="15" x14ac:dyDescent="0.2">
      <c r="A1631" s="2942" t="s">
        <v>4197</v>
      </c>
    </row>
    <row r="1634" spans="1:24" ht="15.75" x14ac:dyDescent="0.25">
      <c r="A1634" s="2941" t="s">
        <v>2056</v>
      </c>
      <c r="B1634" s="2660"/>
      <c r="C1634" s="8"/>
    </row>
    <row r="1635" spans="1:24" ht="18" x14ac:dyDescent="0.25">
      <c r="A1635" s="3083"/>
      <c r="B1635" s="1"/>
      <c r="D1635" s="309"/>
      <c r="E1635" s="309"/>
      <c r="F1635" s="309"/>
      <c r="G1635" s="309"/>
      <c r="H1635" s="309"/>
      <c r="I1635" s="309"/>
      <c r="J1635" s="309"/>
      <c r="K1635" s="309"/>
      <c r="L1635" s="309"/>
      <c r="M1635" s="309"/>
      <c r="N1635" s="309"/>
      <c r="O1635" s="309"/>
      <c r="P1635" s="309"/>
      <c r="Q1635" s="309"/>
      <c r="R1635" s="309"/>
      <c r="S1635" s="309"/>
      <c r="T1635" s="309"/>
      <c r="U1635" s="309"/>
      <c r="V1635" s="309"/>
      <c r="W1635" s="309"/>
      <c r="X1635" s="309"/>
    </row>
    <row r="1636" spans="1:24" ht="20.25" x14ac:dyDescent="0.3">
      <c r="A1636" s="4196" t="s">
        <v>6607</v>
      </c>
      <c r="D1636" s="309"/>
      <c r="E1636" s="309"/>
      <c r="F1636" s="309"/>
      <c r="G1636" s="309"/>
      <c r="H1636" s="309"/>
      <c r="I1636" s="309"/>
      <c r="J1636" s="309"/>
      <c r="K1636" s="309"/>
      <c r="L1636" s="309"/>
      <c r="M1636" s="309"/>
      <c r="N1636" s="309"/>
      <c r="O1636" s="309"/>
      <c r="P1636" s="309"/>
      <c r="Q1636" s="309"/>
      <c r="R1636" s="309"/>
      <c r="S1636" s="309"/>
      <c r="T1636" s="309"/>
      <c r="U1636" s="309"/>
      <c r="V1636" s="309"/>
      <c r="W1636" s="309"/>
      <c r="X1636" s="309"/>
    </row>
    <row r="1637" spans="1:24" ht="31.5" x14ac:dyDescent="0.25">
      <c r="A1637" s="875" t="s">
        <v>224</v>
      </c>
      <c r="B1637" s="2905">
        <f>B396</f>
        <v>1</v>
      </c>
      <c r="C1637" s="2525" t="str">
        <f>IF(B1637=1,"панельный",IF(B1637=2,"погоризонтный",IF(B1637=3,"этажный")))</f>
        <v>панельный</v>
      </c>
      <c r="D1637" s="309"/>
      <c r="E1637" s="309"/>
      <c r="F1637" s="309"/>
      <c r="G1637" s="309"/>
      <c r="H1637" s="309"/>
      <c r="I1637" s="309"/>
      <c r="J1637" s="309"/>
      <c r="K1637" s="309"/>
      <c r="L1637" s="309"/>
      <c r="M1637" s="309"/>
      <c r="N1637" s="309"/>
      <c r="O1637" s="309"/>
      <c r="P1637" s="309"/>
      <c r="Q1637" s="309"/>
      <c r="R1637" s="309"/>
      <c r="S1637" s="309"/>
      <c r="T1637" s="309"/>
      <c r="U1637" s="309"/>
      <c r="V1637" s="309"/>
      <c r="W1637" s="309"/>
      <c r="X1637" s="309"/>
    </row>
    <row r="1638" spans="1:24" ht="18" x14ac:dyDescent="0.25">
      <c r="A1638" s="2493" t="s">
        <v>704</v>
      </c>
      <c r="C1638" s="2499"/>
      <c r="D1638" s="309"/>
      <c r="E1638" s="309"/>
      <c r="F1638" s="309"/>
      <c r="G1638" s="309"/>
      <c r="H1638" s="309"/>
      <c r="I1638" s="309"/>
      <c r="J1638" s="309"/>
      <c r="K1638" s="309"/>
      <c r="L1638" s="309"/>
      <c r="M1638" s="309"/>
      <c r="N1638" s="309"/>
      <c r="O1638" s="309"/>
      <c r="P1638" s="309"/>
      <c r="Q1638" s="309"/>
      <c r="R1638" s="309"/>
      <c r="S1638" s="309"/>
      <c r="T1638" s="309"/>
      <c r="U1638" s="309"/>
      <c r="V1638" s="309"/>
      <c r="W1638" s="309"/>
      <c r="X1638" s="309"/>
    </row>
    <row r="1639" spans="1:24" ht="19.5" x14ac:dyDescent="0.35">
      <c r="A1639" s="2493" t="s">
        <v>3298</v>
      </c>
      <c r="C1639" s="2499"/>
      <c r="D1639" s="309"/>
      <c r="E1639" s="309"/>
      <c r="F1639" s="309"/>
      <c r="G1639" s="309"/>
      <c r="H1639" s="309"/>
      <c r="I1639" s="309"/>
      <c r="J1639" s="309"/>
      <c r="K1639" s="309"/>
      <c r="L1639" s="309"/>
      <c r="M1639" s="309"/>
      <c r="N1639" s="309"/>
      <c r="O1639" s="309"/>
      <c r="P1639" s="309"/>
      <c r="Q1639" s="309"/>
      <c r="R1639" s="309"/>
      <c r="S1639" s="309"/>
      <c r="T1639" s="309"/>
      <c r="U1639" s="309"/>
      <c r="V1639" s="309"/>
      <c r="W1639" s="309"/>
      <c r="X1639" s="309"/>
    </row>
    <row r="1640" spans="1:24" ht="18" x14ac:dyDescent="0.25">
      <c r="A1640" s="2493" t="s">
        <v>6677</v>
      </c>
      <c r="C1640" s="2499"/>
      <c r="D1640" s="309"/>
      <c r="E1640" s="309"/>
      <c r="F1640" s="309"/>
      <c r="G1640" s="309"/>
      <c r="H1640" s="309"/>
      <c r="I1640" s="309"/>
      <c r="J1640" s="309"/>
      <c r="K1640" s="309"/>
      <c r="L1640" s="309"/>
      <c r="M1640" s="309"/>
      <c r="N1640" s="309"/>
      <c r="O1640" s="309"/>
      <c r="P1640" s="309"/>
      <c r="Q1640" s="309"/>
      <c r="R1640" s="309"/>
      <c r="S1640" s="309"/>
      <c r="T1640" s="309"/>
      <c r="U1640" s="309"/>
      <c r="V1640" s="309"/>
      <c r="W1640" s="309"/>
      <c r="X1640" s="309"/>
    </row>
    <row r="1641" spans="1:24" ht="18" x14ac:dyDescent="0.25">
      <c r="A1641" s="2493" t="s">
        <v>6676</v>
      </c>
      <c r="C1641" s="2499"/>
      <c r="D1641" s="309"/>
      <c r="E1641" s="309"/>
      <c r="F1641" s="309"/>
      <c r="G1641" s="309"/>
      <c r="H1641" s="309"/>
      <c r="I1641" s="309"/>
      <c r="J1641" s="309"/>
      <c r="K1641" s="309"/>
      <c r="L1641" s="309"/>
      <c r="M1641" s="309"/>
      <c r="N1641" s="309"/>
      <c r="O1641" s="309"/>
      <c r="P1641" s="309"/>
      <c r="Q1641" s="309"/>
      <c r="R1641" s="309"/>
      <c r="S1641" s="309"/>
      <c r="T1641" s="309"/>
      <c r="U1641" s="309"/>
      <c r="V1641" s="309"/>
      <c r="W1641" s="309"/>
      <c r="X1641" s="309"/>
    </row>
    <row r="1642" spans="1:24" ht="18" x14ac:dyDescent="0.25">
      <c r="A1642" s="2493" t="s">
        <v>6678</v>
      </c>
      <c r="C1642" s="2499"/>
      <c r="D1642" s="309"/>
      <c r="E1642" s="309"/>
      <c r="F1642" s="309"/>
      <c r="G1642" s="309"/>
      <c r="H1642" s="309"/>
      <c r="I1642" s="309"/>
      <c r="J1642" s="309"/>
      <c r="K1642" s="309"/>
      <c r="L1642" s="309"/>
      <c r="M1642" s="309"/>
      <c r="N1642" s="309"/>
      <c r="O1642" s="309"/>
      <c r="P1642" s="309"/>
      <c r="Q1642" s="309"/>
      <c r="R1642" s="309"/>
      <c r="S1642" s="309"/>
      <c r="T1642" s="309"/>
      <c r="U1642" s="309"/>
      <c r="V1642" s="309"/>
      <c r="W1642" s="309"/>
      <c r="X1642" s="309"/>
    </row>
    <row r="1643" spans="1:24" ht="18" x14ac:dyDescent="0.25">
      <c r="A1643" s="2493" t="s">
        <v>6679</v>
      </c>
      <c r="C1643" s="2499"/>
      <c r="D1643" s="309"/>
      <c r="E1643" s="309"/>
      <c r="F1643" s="309"/>
      <c r="G1643" s="309"/>
      <c r="H1643" s="309"/>
      <c r="I1643" s="309"/>
      <c r="J1643" s="309"/>
      <c r="K1643" s="309"/>
      <c r="L1643" s="309"/>
      <c r="M1643" s="309"/>
      <c r="N1643" s="309"/>
      <c r="O1643" s="309"/>
      <c r="P1643" s="309"/>
      <c r="Q1643" s="309"/>
      <c r="R1643" s="309"/>
      <c r="S1643" s="309"/>
      <c r="T1643" s="309"/>
      <c r="U1643" s="309"/>
      <c r="V1643" s="309"/>
      <c r="W1643" s="309"/>
      <c r="X1643" s="309"/>
    </row>
    <row r="1644" spans="1:24" ht="18" x14ac:dyDescent="0.25">
      <c r="A1644" s="2493" t="s">
        <v>6680</v>
      </c>
      <c r="C1644" s="2499"/>
      <c r="D1644" s="309"/>
      <c r="E1644" s="309"/>
      <c r="F1644" s="309"/>
      <c r="G1644" s="309"/>
      <c r="H1644" s="309"/>
      <c r="I1644" s="309"/>
      <c r="J1644" s="309"/>
      <c r="K1644" s="309"/>
      <c r="L1644" s="309"/>
      <c r="M1644" s="309"/>
      <c r="N1644" s="309"/>
      <c r="O1644" s="309"/>
      <c r="P1644" s="309"/>
      <c r="Q1644" s="309"/>
      <c r="R1644" s="309"/>
      <c r="S1644" s="309"/>
      <c r="T1644" s="309"/>
      <c r="U1644" s="309"/>
      <c r="V1644" s="309"/>
      <c r="W1644" s="309"/>
      <c r="X1644" s="309"/>
    </row>
    <row r="1645" spans="1:24" ht="18" x14ac:dyDescent="0.25">
      <c r="A1645" s="2493" t="s">
        <v>6681</v>
      </c>
      <c r="C1645" s="2499"/>
      <c r="D1645" s="309"/>
      <c r="E1645" s="309"/>
      <c r="F1645" s="309"/>
      <c r="G1645" s="309"/>
      <c r="H1645" s="309"/>
      <c r="I1645" s="309"/>
      <c r="J1645" s="309"/>
      <c r="K1645" s="309"/>
      <c r="L1645" s="309"/>
      <c r="M1645" s="309"/>
      <c r="N1645" s="309"/>
      <c r="O1645" s="309"/>
      <c r="P1645" s="309"/>
      <c r="Q1645" s="309"/>
      <c r="R1645" s="309"/>
      <c r="S1645" s="309"/>
      <c r="T1645" s="309"/>
      <c r="U1645" s="309"/>
      <c r="V1645" s="309"/>
      <c r="W1645" s="309"/>
      <c r="X1645" s="309"/>
    </row>
    <row r="1646" spans="1:24" ht="18" x14ac:dyDescent="0.25">
      <c r="A1646" s="2493" t="s">
        <v>2549</v>
      </c>
      <c r="C1646" s="2499"/>
      <c r="D1646" s="309"/>
      <c r="E1646" s="309"/>
      <c r="F1646" s="309"/>
      <c r="G1646" s="309"/>
      <c r="H1646" s="309"/>
      <c r="I1646" s="309"/>
      <c r="J1646" s="309"/>
      <c r="K1646" s="309"/>
      <c r="L1646" s="309"/>
      <c r="M1646" s="309"/>
      <c r="N1646" s="309"/>
      <c r="O1646" s="309"/>
      <c r="P1646" s="309"/>
      <c r="Q1646" s="309"/>
      <c r="R1646" s="309"/>
      <c r="S1646" s="309"/>
      <c r="T1646" s="309"/>
      <c r="U1646" s="309"/>
      <c r="V1646" s="309"/>
      <c r="W1646" s="309"/>
      <c r="X1646" s="309"/>
    </row>
    <row r="1647" spans="1:24" ht="18" x14ac:dyDescent="0.25">
      <c r="A1647" s="2493" t="s">
        <v>6825</v>
      </c>
      <c r="C1647" s="2499"/>
      <c r="D1647" s="309"/>
      <c r="E1647" s="309"/>
      <c r="F1647" s="2523"/>
      <c r="G1647" s="309"/>
      <c r="H1647" s="309"/>
      <c r="I1647" s="309"/>
      <c r="J1647" s="309"/>
      <c r="K1647" s="309"/>
      <c r="L1647" s="309"/>
      <c r="M1647" s="309"/>
      <c r="N1647" s="309"/>
      <c r="O1647" s="309"/>
      <c r="P1647" s="309"/>
      <c r="Q1647" s="309"/>
      <c r="R1647" s="309"/>
      <c r="S1647" s="309"/>
      <c r="T1647" s="309"/>
      <c r="U1647" s="309"/>
      <c r="V1647" s="309"/>
      <c r="W1647" s="309"/>
      <c r="X1647" s="309"/>
    </row>
    <row r="1648" spans="1:24" ht="18" x14ac:dyDescent="0.25">
      <c r="A1648" s="2493"/>
      <c r="C1648" s="2499"/>
      <c r="D1648" s="309"/>
      <c r="E1648" s="309"/>
      <c r="F1648" s="2523"/>
      <c r="G1648" s="309"/>
      <c r="H1648" s="309"/>
      <c r="I1648" s="309"/>
      <c r="J1648" s="309"/>
      <c r="K1648" s="309"/>
      <c r="L1648" s="309"/>
      <c r="M1648" s="309"/>
      <c r="N1648" s="309"/>
      <c r="O1648" s="309"/>
      <c r="P1648" s="309"/>
      <c r="Q1648" s="309"/>
      <c r="R1648" s="309"/>
      <c r="S1648" s="309"/>
      <c r="T1648" s="309"/>
      <c r="U1648" s="309"/>
      <c r="V1648" s="309"/>
      <c r="W1648" s="309"/>
      <c r="X1648" s="309"/>
    </row>
    <row r="1649" spans="1:24" ht="18" x14ac:dyDescent="0.25">
      <c r="A1649" s="2493"/>
      <c r="C1649" s="2499"/>
      <c r="D1649" s="309"/>
      <c r="E1649" s="309"/>
      <c r="F1649" s="2523"/>
      <c r="G1649" s="309"/>
      <c r="H1649" s="309"/>
      <c r="I1649" s="309"/>
      <c r="J1649" s="309"/>
      <c r="K1649" s="309"/>
      <c r="L1649" s="309"/>
      <c r="M1649" s="309"/>
      <c r="N1649" s="309"/>
      <c r="O1649" s="309"/>
      <c r="P1649" s="309"/>
      <c r="Q1649" s="309"/>
      <c r="R1649" s="309"/>
      <c r="S1649" s="309"/>
      <c r="T1649" s="309"/>
      <c r="U1649" s="309"/>
      <c r="V1649" s="309"/>
      <c r="W1649" s="309"/>
      <c r="X1649" s="309"/>
    </row>
    <row r="1650" spans="1:24" ht="18" x14ac:dyDescent="0.25">
      <c r="A1650" s="2449" t="s">
        <v>6674</v>
      </c>
      <c r="C1650" s="2499"/>
      <c r="D1650" s="309"/>
      <c r="E1650" s="309"/>
      <c r="F1650" s="2523"/>
      <c r="G1650" s="309"/>
      <c r="H1650" s="309"/>
      <c r="I1650" s="309"/>
      <c r="J1650" s="309"/>
      <c r="K1650" s="309"/>
      <c r="L1650" s="309"/>
      <c r="M1650" s="309"/>
      <c r="N1650" s="309"/>
      <c r="O1650" s="309"/>
      <c r="P1650" s="309"/>
      <c r="Q1650" s="309"/>
      <c r="R1650" s="309"/>
      <c r="S1650" s="309"/>
      <c r="T1650" s="309"/>
      <c r="U1650" s="309"/>
      <c r="V1650" s="309"/>
      <c r="W1650" s="309"/>
      <c r="X1650" s="309"/>
    </row>
    <row r="1651" spans="1:24" ht="15.75" x14ac:dyDescent="0.25">
      <c r="A1651" s="2493"/>
      <c r="E1651" s="898"/>
      <c r="L1651" t="e">
        <f>IF(B1652=O1651,"",CONCATENATE(#REF!,",","Будьте внимательнее!"))</f>
        <v>#VALUE!</v>
      </c>
      <c r="O1651" s="213" t="b">
        <f>IF(B177=1,B189,IF(B177=2,B189+B192,IF(B177=3,B189+B192+B195,IF(B177=4,B189+B192+B195+B198,IF(B177=5,B189+B192+B195+B198+B201,IF(B177=6,B189+B192+B195+B198+B201+B204))))))</f>
        <v>0</v>
      </c>
    </row>
    <row r="1652" spans="1:24" ht="18.75" x14ac:dyDescent="0.35">
      <c r="A1652" s="2724" t="s">
        <v>4444</v>
      </c>
      <c r="B1652" s="810" t="e">
        <f>B189+B192+B195+B198</f>
        <v>#VALUE!</v>
      </c>
      <c r="C1652" s="1164"/>
      <c r="E1652" s="898"/>
      <c r="O1652" s="213"/>
    </row>
    <row r="1653" spans="1:24" ht="15.75" x14ac:dyDescent="0.25">
      <c r="A1653" s="2526" t="s">
        <v>2550</v>
      </c>
    </row>
    <row r="1654" spans="1:24" ht="15.75" x14ac:dyDescent="0.25">
      <c r="A1654" s="2526"/>
    </row>
    <row r="1655" spans="1:24" ht="16.5" thickBot="1" x14ac:dyDescent="0.3">
      <c r="A1655" s="2492" t="s">
        <v>6939</v>
      </c>
      <c r="E1655" s="898"/>
      <c r="O1655" s="2528" t="e">
        <f>$B$349*B189/$B$1652</f>
        <v>#VALUE!</v>
      </c>
    </row>
    <row r="1656" spans="1:24" ht="18.75" x14ac:dyDescent="0.35">
      <c r="A1656" s="2529" t="s">
        <v>2207</v>
      </c>
      <c r="B1656" s="2900" t="e">
        <f>$B$349*B189/$B$1652</f>
        <v>#VALUE!</v>
      </c>
      <c r="E1656" s="898"/>
      <c r="O1656" s="2528" t="e">
        <f>IF(B177&gt;1,$B$349*B192/$B$1652,"")</f>
        <v>#VALUE!</v>
      </c>
    </row>
    <row r="1657" spans="1:24" ht="15.75" x14ac:dyDescent="0.25">
      <c r="A1657" s="2530" t="str">
        <f>IF(B177&gt;1,"Нагрузка на пласт c  индексом 2  D2=m2*D/(Σmср)","")</f>
        <v>Нагрузка на пласт c  индексом 2  D2=m2*D/(Σmср)</v>
      </c>
      <c r="B1657" s="2901" t="e">
        <f>IF(B177&gt;1,$B$349*B192/$B$1652,"")</f>
        <v>#VALUE!</v>
      </c>
      <c r="E1657" s="898"/>
      <c r="O1657" s="2528" t="e">
        <f>IF(B177&gt;2,$B$349*B195/$B$1652,"")</f>
        <v>#VALUE!</v>
      </c>
    </row>
    <row r="1658" spans="1:24" ht="15.75" x14ac:dyDescent="0.25">
      <c r="A1658" s="2530" t="str">
        <f>IF(B177&gt;2,"Нагрузка на пласт c  индексом 3  D3=m3*D/(Σmср)","")</f>
        <v>Нагрузка на пласт c  индексом 3  D3=m3*D/(Σmср)</v>
      </c>
      <c r="B1658" s="2901" t="e">
        <f>IF(B177&gt;2,$B$349*B195/$B$1652,"")</f>
        <v>#VALUE!</v>
      </c>
      <c r="E1658" s="898"/>
      <c r="O1658" s="2528" t="e">
        <f>IF(B177&gt;3,$B$349*B198/$B$1652,"")</f>
        <v>#VALUE!</v>
      </c>
    </row>
    <row r="1659" spans="1:24" ht="15.75" x14ac:dyDescent="0.25">
      <c r="A1659" s="2530" t="str">
        <f>IF(B177&gt;3,"Нагрузка на пласт c  индексом 4  D4=m4*D/(Σmср)","")</f>
        <v>Нагрузка на пласт c  индексом 4  D4=m4*D/(Σmср)</v>
      </c>
      <c r="B1659" s="2901" t="e">
        <f>IF(B177&gt;3,$B$349*B198/$B$1652,"")</f>
        <v>#VALUE!</v>
      </c>
      <c r="E1659" s="898"/>
      <c r="O1659" s="2528" t="e">
        <f>IF(B177&gt;4,$B$349*B201/$B$1652,"")</f>
        <v>#VALUE!</v>
      </c>
    </row>
    <row r="1660" spans="1:24" ht="15.75" x14ac:dyDescent="0.25">
      <c r="A1660" s="2530" t="str">
        <f>IF(B177&gt;4,"Нагрузка на пласт c  индексом 5  D5=m5*D/(Σmср)","")</f>
        <v>Нагрузка на пласт c  индексом 5  D5=m5*D/(Σmср)</v>
      </c>
      <c r="B1660" s="2901" t="e">
        <f>IF(B177&gt;4,$B$349*B201/$B$1652,"")</f>
        <v>#VALUE!</v>
      </c>
      <c r="E1660" s="898"/>
      <c r="O1660" s="2528" t="e">
        <f>IF(B177&gt;5,$B$349*B204/$B$1652,"")</f>
        <v>#VALUE!</v>
      </c>
    </row>
    <row r="1661" spans="1:24" ht="16.5" thickBot="1" x14ac:dyDescent="0.3">
      <c r="A1661" s="2531" t="str">
        <f>IF(B177&gt;5,"Нагрузка на пласт c  индексом 6  D6=m6*D/(Σmср)","")</f>
        <v>Нагрузка на пласт c  индексом 6  D6=m6*D/(Σmср)</v>
      </c>
      <c r="B1661" s="3087" t="e">
        <f>IF(B177&gt;5,$B$349*B204/$B$1652,"")</f>
        <v>#VALUE!</v>
      </c>
      <c r="E1661" s="213"/>
      <c r="O1661" s="2528" t="e">
        <f>SUM(O1655:O1660)</f>
        <v>#VALUE!</v>
      </c>
    </row>
    <row r="1662" spans="1:24" ht="15.75" x14ac:dyDescent="0.25">
      <c r="A1662" s="1346"/>
      <c r="B1662" s="4197"/>
      <c r="E1662" s="213"/>
      <c r="O1662" s="2528"/>
    </row>
    <row r="1663" spans="1:24" ht="15.75" x14ac:dyDescent="0.25">
      <c r="A1663" s="4088" t="str">
        <f>IF(B2201=1,"Вы перенесли  таблицу в текст записки? 1 - Да, 2 - Нет","не вводить!")</f>
        <v>не вводить!</v>
      </c>
      <c r="B1663" s="4198"/>
      <c r="E1663" s="213"/>
      <c r="O1663" s="2528"/>
    </row>
    <row r="1664" spans="1:24" x14ac:dyDescent="0.2">
      <c r="A1664" s="4231" t="str">
        <f>IF(B1663=1,"Переходите по ссылке","")</f>
        <v/>
      </c>
      <c r="B1664" s="4197"/>
      <c r="E1664" s="213"/>
      <c r="O1664" s="2528"/>
    </row>
    <row r="1665" spans="1:15" ht="15.75" x14ac:dyDescent="0.25">
      <c r="A1665" s="1357"/>
      <c r="B1665" s="4197"/>
      <c r="E1665" s="213"/>
      <c r="O1665" s="2528"/>
    </row>
    <row r="1666" spans="1:15" x14ac:dyDescent="0.2">
      <c r="B1666" s="1"/>
      <c r="E1666" s="213"/>
      <c r="O1666" s="2528"/>
    </row>
    <row r="1667" spans="1:15" ht="15.75" x14ac:dyDescent="0.25">
      <c r="A1667" s="2493" t="s">
        <v>3900</v>
      </c>
      <c r="B1667" s="1"/>
      <c r="E1667" s="213"/>
      <c r="O1667" s="2528"/>
    </row>
    <row r="1668" spans="1:15" ht="15.75" x14ac:dyDescent="0.25">
      <c r="A1668" s="2493" t="s">
        <v>4198</v>
      </c>
      <c r="B1668" s="1"/>
      <c r="E1668" s="213"/>
      <c r="O1668" s="2528"/>
    </row>
    <row r="1669" spans="1:15" ht="15.75" x14ac:dyDescent="0.25">
      <c r="A1669" s="2493" t="s">
        <v>3901</v>
      </c>
      <c r="B1669" s="1"/>
      <c r="E1669" s="213"/>
      <c r="O1669" s="2528"/>
    </row>
    <row r="1670" spans="1:15" ht="15.75" x14ac:dyDescent="0.25">
      <c r="A1670" s="2493" t="s">
        <v>2551</v>
      </c>
      <c r="B1670" s="1"/>
      <c r="E1670" s="213"/>
      <c r="O1670" s="2528"/>
    </row>
    <row r="1671" spans="1:15" ht="15.75" x14ac:dyDescent="0.25">
      <c r="A1671" s="2464" t="s">
        <v>378</v>
      </c>
      <c r="B1671" s="1"/>
      <c r="E1671" s="213"/>
      <c r="O1671" s="2528"/>
    </row>
    <row r="1672" spans="1:15" ht="15.75" x14ac:dyDescent="0.25">
      <c r="A1672" s="2493"/>
      <c r="B1672" s="1"/>
      <c r="E1672" s="213"/>
      <c r="O1672" s="2528"/>
    </row>
    <row r="1673" spans="1:15" ht="15.75" x14ac:dyDescent="0.25">
      <c r="A1673" s="2464" t="s">
        <v>379</v>
      </c>
      <c r="J1673" s="3047"/>
      <c r="O1673" s="2528"/>
    </row>
    <row r="1674" spans="1:15" ht="39" x14ac:dyDescent="0.25">
      <c r="A1674" s="2691"/>
      <c r="B1674" s="5" t="s">
        <v>2198</v>
      </c>
      <c r="C1674" s="920" t="s">
        <v>608</v>
      </c>
      <c r="D1674" s="920" t="s">
        <v>1120</v>
      </c>
      <c r="E1674" s="920" t="s">
        <v>1979</v>
      </c>
      <c r="F1674" s="920" t="str">
        <f>IF($B$1637=1,"Необходимое количество панелей","")</f>
        <v>Необходимое количество панелей</v>
      </c>
      <c r="G1674" s="920" t="str">
        <f>IF($B$1637=1,"Средний размер панели ","")</f>
        <v xml:space="preserve">Средний размер панели </v>
      </c>
      <c r="J1674" s="362"/>
      <c r="O1674" s="2528"/>
    </row>
    <row r="1675" spans="1:15" ht="15.75" x14ac:dyDescent="0.25">
      <c r="A1675" s="2700" t="s">
        <v>1119</v>
      </c>
      <c r="B1675" s="852">
        <v>1</v>
      </c>
      <c r="C1675" s="862" t="str">
        <f>B2298</f>
        <v/>
      </c>
      <c r="D1675" s="2693" t="e">
        <f>B1656</f>
        <v>#VALUE!</v>
      </c>
      <c r="E1675" s="1011" t="e">
        <f>D1675/B1120</f>
        <v>#VALUE!</v>
      </c>
      <c r="F1675" s="802" t="e">
        <f t="shared" ref="F1675:F1681" si="13">IF($B$1637=1,IF(D1675="","",ROUNDUP(E1675/2,0)),"")</f>
        <v>#VALUE!</v>
      </c>
      <c r="G1675" s="802" t="e">
        <f>IF($B$1637=1,IF(D1675="","",$B$175/F1675),"")</f>
        <v>#VALUE!</v>
      </c>
      <c r="J1675" s="362"/>
      <c r="O1675" s="2528"/>
    </row>
    <row r="1676" spans="1:15" ht="15.75" x14ac:dyDescent="0.25">
      <c r="A1676" s="2700" t="str">
        <f>IF(B177&gt;1,"Пласт h2","")</f>
        <v>Пласт h2</v>
      </c>
      <c r="B1676" s="852">
        <f>IF(B177&gt;1,2,"")</f>
        <v>2</v>
      </c>
      <c r="C1676" s="862" t="str">
        <f>C2298</f>
        <v/>
      </c>
      <c r="D1676" s="2693" t="e">
        <f>B1657</f>
        <v>#VALUE!</v>
      </c>
      <c r="E1676" s="1011" t="e">
        <f>D1676/C1120</f>
        <v>#VALUE!</v>
      </c>
      <c r="F1676" s="802" t="e">
        <f t="shared" si="13"/>
        <v>#VALUE!</v>
      </c>
      <c r="G1676" s="802" t="e">
        <f>IF($B$1637=1,IF(D1676="","",$B$175/F1676),"")</f>
        <v>#VALUE!</v>
      </c>
      <c r="J1676" s="362"/>
      <c r="O1676" s="2528"/>
    </row>
    <row r="1677" spans="1:15" ht="15.75" x14ac:dyDescent="0.25">
      <c r="A1677" s="2700" t="str">
        <f>IF(B177&gt;2,"Пласт h3","")</f>
        <v>Пласт h3</v>
      </c>
      <c r="B1677" s="852">
        <f>IF(B177&gt;2,3,"")</f>
        <v>3</v>
      </c>
      <c r="C1677" s="862" t="str">
        <f>D2298</f>
        <v/>
      </c>
      <c r="D1677" s="2693" t="e">
        <f>B1658</f>
        <v>#VALUE!</v>
      </c>
      <c r="E1677" s="1011" t="e">
        <f>IF(D1677="","",D1677/B1658)</f>
        <v>#VALUE!</v>
      </c>
      <c r="F1677" s="802" t="e">
        <f t="shared" si="13"/>
        <v>#VALUE!</v>
      </c>
      <c r="G1677" s="802" t="e">
        <f>IF($B$1637=1,IF(D1677="","",$B$175/F1677),"")</f>
        <v>#VALUE!</v>
      </c>
      <c r="J1677" s="362"/>
      <c r="O1677" s="2528"/>
    </row>
    <row r="1678" spans="1:15" ht="15.75" x14ac:dyDescent="0.25">
      <c r="A1678" s="2700" t="str">
        <f>IF(B177&gt;3,"Пласт h4","")</f>
        <v>Пласт h4</v>
      </c>
      <c r="B1678" s="852">
        <f>IF(B177&gt;3,4,"")</f>
        <v>4</v>
      </c>
      <c r="C1678" s="862" t="str">
        <f>E2298</f>
        <v/>
      </c>
      <c r="D1678" s="2693" t="e">
        <f>B1659</f>
        <v>#VALUE!</v>
      </c>
      <c r="E1678" s="1011" t="e">
        <f>IF(D1678="","",D1678/B1659)</f>
        <v>#VALUE!</v>
      </c>
      <c r="F1678" s="802" t="e">
        <f t="shared" si="13"/>
        <v>#VALUE!</v>
      </c>
      <c r="G1678" s="802" t="e">
        <f>IF($B$1637=1,IF(D1678="","",$B$175/F1678),"")</f>
        <v>#VALUE!</v>
      </c>
      <c r="J1678" s="362"/>
      <c r="O1678" s="2528"/>
    </row>
    <row r="1679" spans="1:15" ht="15.75" x14ac:dyDescent="0.25">
      <c r="A1679" s="2692" t="str">
        <f>IF(B177&gt;4,"Пласт h5","")</f>
        <v>Пласт h5</v>
      </c>
      <c r="B1679" s="5">
        <f>IF(B177&gt;4,5,"")</f>
        <v>5</v>
      </c>
      <c r="C1679" s="862" t="str">
        <f>F2298</f>
        <v/>
      </c>
      <c r="D1679" s="2693" t="e">
        <f>B1660</f>
        <v>#VALUE!</v>
      </c>
      <c r="E1679" s="1011" t="e">
        <f>IF(D1679="","",D1679/B1660)</f>
        <v>#VALUE!</v>
      </c>
      <c r="F1679" s="802" t="e">
        <f t="shared" si="13"/>
        <v>#VALUE!</v>
      </c>
      <c r="G1679" s="802" t="e">
        <f>IF($B$1637=1,IF(D1679="","",$B$175/F1679),"")</f>
        <v>#VALUE!</v>
      </c>
      <c r="J1679" s="362"/>
      <c r="O1679" s="2528"/>
    </row>
    <row r="1680" spans="1:15" ht="15.75" x14ac:dyDescent="0.25">
      <c r="A1680" s="2692"/>
      <c r="B1680" s="5"/>
      <c r="C1680" s="862"/>
      <c r="D1680" s="2693"/>
      <c r="E1680" s="1011"/>
      <c r="F1680" s="802"/>
      <c r="G1680" s="802"/>
      <c r="J1680" s="362"/>
      <c r="O1680" s="2528"/>
    </row>
    <row r="1681" spans="1:15" ht="15.75" x14ac:dyDescent="0.25">
      <c r="A1681" s="2692" t="str">
        <f>IF(B177&gt;5,"Пласт h6","")</f>
        <v>Пласт h6</v>
      </c>
      <c r="B1681" s="5">
        <f>IF(B177&gt;5,6,"")</f>
        <v>6</v>
      </c>
      <c r="C1681" s="862" t="str">
        <f>G2298</f>
        <v/>
      </c>
      <c r="D1681" s="2693" t="e">
        <f>B1661</f>
        <v>#VALUE!</v>
      </c>
      <c r="E1681" s="1011" t="e">
        <f>IF(D1681="","",D1681/B1661)</f>
        <v>#VALUE!</v>
      </c>
      <c r="F1681" s="802" t="e">
        <f t="shared" si="13"/>
        <v>#VALUE!</v>
      </c>
      <c r="G1681" s="802" t="e">
        <f>IF($B$1637=1,IF(D1681="","",$B$175/F1681),"")</f>
        <v>#VALUE!</v>
      </c>
      <c r="O1681" s="2528"/>
    </row>
    <row r="1682" spans="1:15" ht="15.75" x14ac:dyDescent="0.25">
      <c r="A1682" s="2493"/>
      <c r="B1682" s="1"/>
      <c r="E1682" s="213"/>
      <c r="F1682" s="8"/>
      <c r="O1682" s="2528"/>
    </row>
    <row r="1683" spans="1:15" ht="15.75" x14ac:dyDescent="0.25">
      <c r="A1683" s="4168" t="str">
        <f>IF(B2201=1,"Вы перенесли  таблицу в текст записки? 1 - Да, 2 - Нет","не вводить!")</f>
        <v>не вводить!</v>
      </c>
      <c r="B1683" s="3064"/>
      <c r="E1683" s="213"/>
      <c r="F1683" s="8"/>
      <c r="O1683" s="2528"/>
    </row>
    <row r="1684" spans="1:15" x14ac:dyDescent="0.2">
      <c r="A1684" s="4185" t="str">
        <f>IF(B1683=1,"Переходите по ссылке","")</f>
        <v/>
      </c>
      <c r="B1684" s="1"/>
      <c r="E1684" s="213"/>
      <c r="F1684" s="8"/>
      <c r="O1684" s="2528"/>
    </row>
    <row r="1685" spans="1:15" ht="15.75" x14ac:dyDescent="0.25">
      <c r="A1685" s="2493" t="s">
        <v>380</v>
      </c>
      <c r="B1685" s="1"/>
      <c r="E1685" s="213"/>
      <c r="F1685" s="8"/>
      <c r="O1685" s="2528"/>
    </row>
    <row r="1686" spans="1:15" ht="15.75" x14ac:dyDescent="0.25">
      <c r="A1686" s="2493" t="s">
        <v>2552</v>
      </c>
      <c r="B1686" s="1"/>
      <c r="E1686" s="213"/>
      <c r="F1686" s="8"/>
      <c r="O1686" s="2528"/>
    </row>
    <row r="1687" spans="1:15" ht="15.75" x14ac:dyDescent="0.25">
      <c r="A1687" s="2493" t="s">
        <v>2553</v>
      </c>
      <c r="B1687" s="1"/>
      <c r="E1687" s="213"/>
      <c r="F1687" s="8"/>
      <c r="O1687" s="2528"/>
    </row>
    <row r="1688" spans="1:15" ht="15.75" x14ac:dyDescent="0.25">
      <c r="A1688" s="2449" t="s">
        <v>6675</v>
      </c>
      <c r="B1688" s="1"/>
      <c r="E1688" s="213"/>
      <c r="F1688" s="8"/>
      <c r="O1688" s="2528"/>
    </row>
    <row r="1689" spans="1:15" ht="15.75" x14ac:dyDescent="0.25">
      <c r="A1689" s="2493" t="s">
        <v>381</v>
      </c>
    </row>
    <row r="1690" spans="1:15" ht="15.75" x14ac:dyDescent="0.25">
      <c r="A1690" s="2493" t="s">
        <v>3916</v>
      </c>
    </row>
    <row r="1691" spans="1:15" ht="15.75" x14ac:dyDescent="0.25">
      <c r="A1691" s="2493" t="s">
        <v>3917</v>
      </c>
    </row>
    <row r="1692" spans="1:15" ht="15.75" x14ac:dyDescent="0.25">
      <c r="A1692" s="2493" t="s">
        <v>2196</v>
      </c>
    </row>
    <row r="1693" spans="1:15" ht="15.75" x14ac:dyDescent="0.25">
      <c r="A1693" s="2527" t="s">
        <v>2208</v>
      </c>
    </row>
    <row r="1694" spans="1:15" ht="15.75" x14ac:dyDescent="0.25">
      <c r="A1694" s="2527" t="s">
        <v>2169</v>
      </c>
    </row>
    <row r="1695" spans="1:15" ht="15.75" x14ac:dyDescent="0.25">
      <c r="A1695" s="2527"/>
    </row>
    <row r="1696" spans="1:15" ht="15.75" x14ac:dyDescent="0.25">
      <c r="A1696" s="2527"/>
    </row>
    <row r="1697" spans="1:16" ht="27" thickBot="1" x14ac:dyDescent="0.3">
      <c r="A1697" s="2464" t="s">
        <v>382</v>
      </c>
      <c r="H1697" s="4072"/>
      <c r="I1697" s="4072"/>
      <c r="N1697" s="2731" t="s">
        <v>3932</v>
      </c>
    </row>
    <row r="1698" spans="1:16" ht="51.75" thickBot="1" x14ac:dyDescent="0.25">
      <c r="A1698" s="2544"/>
      <c r="B1698" s="2545" t="s">
        <v>2198</v>
      </c>
      <c r="C1698" s="2545" t="s">
        <v>608</v>
      </c>
      <c r="D1698" s="2545" t="s">
        <v>2209</v>
      </c>
      <c r="E1698" s="2699" t="s">
        <v>1979</v>
      </c>
      <c r="F1698" s="4071" t="str">
        <f>IF($B$1637=1,"Необходимое количество панелей","")</f>
        <v>Необходимое количество панелей</v>
      </c>
      <c r="G1698" s="4071" t="str">
        <f>IF($B$1637=1,"Средний размер панели ","")</f>
        <v xml:space="preserve">Средний размер панели </v>
      </c>
      <c r="H1698" s="1"/>
      <c r="I1698" s="1"/>
    </row>
    <row r="1699" spans="1:16" x14ac:dyDescent="0.2">
      <c r="A1699" t="s">
        <v>384</v>
      </c>
      <c r="H1699" s="362"/>
      <c r="I1699" s="2528"/>
      <c r="N1699" s="2732" t="str">
        <f t="shared" ref="N1699:N1704" si="14">IF(B1700="","",INDEX($B$558:$G$558,B1700))</f>
        <v/>
      </c>
      <c r="O1699" s="213">
        <f>IF(OR(B1700=B400,B1701=B400,B1702=B400,B1703=B400,B1704=B400),1,0)</f>
        <v>1</v>
      </c>
      <c r="P1699" t="s">
        <v>560</v>
      </c>
    </row>
    <row r="1700" spans="1:16" ht="15" x14ac:dyDescent="0.2">
      <c r="A1700" s="4079" t="str">
        <f>IF(B1700="","",CONCATENATE("Пласт    ","h",B1700))</f>
        <v/>
      </c>
      <c r="B1700" s="2543"/>
      <c r="C1700" s="1290" t="str">
        <f>IF(B1700="","",INDEX($B$2298:$G$2298,B1700))</f>
        <v/>
      </c>
      <c r="D1700" s="2694" t="str">
        <f>IF(C1700="","",$B$349*C1700/$C$1705)</f>
        <v/>
      </c>
      <c r="E1700" s="1011" t="str">
        <f>IF(D1700="","",D1700/INDEX($B$1120:$G$1120,B1700))</f>
        <v/>
      </c>
      <c r="F1700" s="802" t="str">
        <f>IF($B$1637=1,IF(D1700="","",ROUNDUP(E1700/2,0)),"")</f>
        <v/>
      </c>
      <c r="G1700" s="2566" t="str">
        <f>IF($B$1637=1,IF(D1700="","",$B$175/F1700),"")</f>
        <v/>
      </c>
      <c r="H1700" s="362"/>
      <c r="I1700" s="2528"/>
      <c r="N1700" s="2732" t="str">
        <f t="shared" si="14"/>
        <v/>
      </c>
      <c r="O1700" s="213"/>
    </row>
    <row r="1701" spans="1:16" x14ac:dyDescent="0.2">
      <c r="A1701" s="4078" t="str">
        <f>IF(B1701="","",CONCATENATE("Пласт    ","h",B1701))</f>
        <v/>
      </c>
      <c r="B1701" s="332"/>
      <c r="C1701" s="862" t="str">
        <f>IF(B1701="","",INDEX($B$2298:$G$2298,B1701))</f>
        <v/>
      </c>
      <c r="D1701" s="2695" t="str">
        <f>IF(C1701="","",$B$349*C1701/$C$1705)</f>
        <v/>
      </c>
      <c r="E1701" s="1011" t="str">
        <f>IF(D1701="","",D1701/INDEX($B$1120:$G$1120,B1701))</f>
        <v/>
      </c>
      <c r="F1701" s="802" t="str">
        <f>IF($B$1637=1,IF(D1701="","",ROUNDUP(E1701/2,0)),"")</f>
        <v/>
      </c>
      <c r="G1701" s="2566" t="str">
        <f>IF($B$1637=1,IF(D1701="","",$B$175/F1701),"")</f>
        <v/>
      </c>
      <c r="H1701" s="362"/>
      <c r="I1701" s="2528"/>
      <c r="N1701" s="2732" t="str">
        <f t="shared" si="14"/>
        <v/>
      </c>
      <c r="O1701" s="213"/>
    </row>
    <row r="1702" spans="1:16" x14ac:dyDescent="0.2">
      <c r="A1702" s="4078" t="str">
        <f>IF(B1702="","",CONCATENATE("Пласт    ","h",B1702))</f>
        <v/>
      </c>
      <c r="B1702" s="332"/>
      <c r="C1702" s="862" t="str">
        <f>IF(B1702="","",INDEX($B$2298:$G$2298,B1702))</f>
        <v/>
      </c>
      <c r="D1702" s="2695" t="str">
        <f>IF(C1702="","",$B$349*C1702/$C$1705)</f>
        <v/>
      </c>
      <c r="E1702" s="1011" t="str">
        <f>IF(D1702="","",D1702/INDEX($B$1120:$G$1120,B1702))</f>
        <v/>
      </c>
      <c r="F1702" s="802" t="str">
        <f>IF($B$1637=1,IF(D1702="","",ROUNDUP(E1702/2,0)),"")</f>
        <v/>
      </c>
      <c r="G1702" s="2566" t="str">
        <f>IF($B$1637=1,IF(D1702="","",$B$175/F1702),"")</f>
        <v/>
      </c>
      <c r="H1702" s="362"/>
      <c r="I1702" s="2528"/>
      <c r="N1702" s="2732" t="str">
        <f t="shared" si="14"/>
        <v/>
      </c>
      <c r="O1702" s="213"/>
    </row>
    <row r="1703" spans="1:16" x14ac:dyDescent="0.2">
      <c r="A1703" s="4078" t="str">
        <f>IF(B1703="","",CONCATENATE("Пласт    ","h",B1703))</f>
        <v/>
      </c>
      <c r="B1703" s="332"/>
      <c r="C1703" s="862" t="str">
        <f>IF(B1703="","",INDEX($B$2298:$G$2298,B1703))</f>
        <v/>
      </c>
      <c r="D1703" s="2695" t="str">
        <f>IF(C1703="","",$B$349*C1703/$C$1705)</f>
        <v/>
      </c>
      <c r="E1703" s="1011" t="str">
        <f>IF(D1703="","",D1703/INDEX($B$1120:$G$1120,B1703))</f>
        <v/>
      </c>
      <c r="F1703" s="802" t="str">
        <f>IF($B$1637=1,IF(D1703="","",ROUNDUP(E1703/2,0)),"")</f>
        <v/>
      </c>
      <c r="G1703" s="2566" t="str">
        <f>IF($B$1637=1,IF(D1703="","",$B$175/F1703),"")</f>
        <v/>
      </c>
      <c r="H1703" s="362"/>
      <c r="I1703" s="2528"/>
      <c r="N1703" s="2732" t="str">
        <f t="shared" si="14"/>
        <v/>
      </c>
      <c r="O1703" s="213"/>
    </row>
    <row r="1704" spans="1:16" x14ac:dyDescent="0.2">
      <c r="A1704" s="4078" t="str">
        <f>IF(B1704="","",CONCATENATE("Пласт    ","h",B1704))</f>
        <v/>
      </c>
      <c r="B1704" s="332"/>
      <c r="C1704" s="862" t="str">
        <f>IF(B1704="","",INDEX($B$2298:$G$2298,B1704))</f>
        <v/>
      </c>
      <c r="D1704" s="2695" t="str">
        <f>IF(C1704="","",$B$349*C1704/$C$1705)</f>
        <v/>
      </c>
      <c r="E1704" s="1011" t="str">
        <f>IF(D1704="","",D1704/INDEX($B$1120:$G$1120,B1704))</f>
        <v/>
      </c>
      <c r="F1704" s="802" t="str">
        <f>IF($B$1637=1,IF(D1704="","",ROUNDUP(E1704/2,0)),"")</f>
        <v/>
      </c>
      <c r="G1704" s="2566" t="str">
        <f>IF($B$1637=1,IF(D1704="","",$B$175/F1704),"")</f>
        <v/>
      </c>
      <c r="H1704" s="362"/>
      <c r="I1704" s="2528"/>
      <c r="N1704" s="2733" t="str">
        <f t="shared" si="14"/>
        <v/>
      </c>
      <c r="O1704" s="213"/>
    </row>
    <row r="1705" spans="1:16" ht="16.5" thickBot="1" x14ac:dyDescent="0.3">
      <c r="A1705" s="2540" t="s">
        <v>2197</v>
      </c>
      <c r="B1705" s="47"/>
      <c r="C1705" s="1122">
        <f>SUM(C1700:C1704)</f>
        <v>0</v>
      </c>
      <c r="D1705" s="1122">
        <f>SUM(D1700:D1704)</f>
        <v>0</v>
      </c>
      <c r="E1705" s="2698"/>
      <c r="F1705" s="802"/>
      <c r="G1705" s="4077"/>
      <c r="H1705" s="1"/>
      <c r="I1705" s="1"/>
    </row>
    <row r="1706" spans="1:16" ht="13.5" thickBot="1" x14ac:dyDescent="0.25">
      <c r="A1706" t="s">
        <v>385</v>
      </c>
      <c r="G1706" s="4077" t="str">
        <f t="shared" ref="G1706:G1711" si="15">IF($B$1637=1,IF(D1706="","",$B$175/F1706),"")</f>
        <v/>
      </c>
      <c r="H1706" s="362"/>
      <c r="I1706" s="2528"/>
      <c r="N1706" s="2732" t="str">
        <f>IF(B1707="","",INDEX($B$558:$G$558,B1707))</f>
        <v/>
      </c>
      <c r="O1706" s="213">
        <f>IF(OR(B1707=B400,B1708=B400,B1709=B400,B1710=B400,B1711=B400),1,0)</f>
        <v>1</v>
      </c>
      <c r="P1706" t="s">
        <v>560</v>
      </c>
    </row>
    <row r="1707" spans="1:16" ht="15" x14ac:dyDescent="0.2">
      <c r="A1707" s="4080" t="str">
        <f>IF(B1707="","",CONCATENATE("Пласт    ","h",B1707))</f>
        <v/>
      </c>
      <c r="B1707" s="332"/>
      <c r="C1707" s="2696" t="str">
        <f>IF(B1707="","",INDEX($B$2298:$G$2298,B1707))</f>
        <v/>
      </c>
      <c r="D1707" s="2697" t="str">
        <f>IF(C1707="","",$B$349*C1707/$C$1712)</f>
        <v/>
      </c>
      <c r="E1707" s="1011" t="str">
        <f>IF(D1707="","",D1707/INDEX($B$1120:$G$1120,B1707))</f>
        <v/>
      </c>
      <c r="F1707" s="802" t="str">
        <f>IF($B$1637=1,IF(D1707="","",ROUNDUP(E1707/2,0)),"")</f>
        <v/>
      </c>
      <c r="G1707" s="2566" t="str">
        <f t="shared" si="15"/>
        <v/>
      </c>
      <c r="H1707" s="362"/>
      <c r="I1707" s="2528"/>
      <c r="N1707" s="2732" t="str">
        <f>IF(B1708="","",INDEX($B$558:$G$558,B1708))</f>
        <v/>
      </c>
      <c r="O1707" s="213"/>
    </row>
    <row r="1708" spans="1:16" ht="15" x14ac:dyDescent="0.2">
      <c r="A1708" s="4080" t="str">
        <f>IF(B1708="","",CONCATENATE("Пласт    ","h",B1708))</f>
        <v/>
      </c>
      <c r="B1708" s="332"/>
      <c r="C1708" s="862" t="str">
        <f>IF(B1708="","",INDEX($B$2298:$G$2298,B1708))</f>
        <v/>
      </c>
      <c r="D1708" s="2695" t="str">
        <f>IF(C1708="","",$B$349*C1708/$C$1712)</f>
        <v/>
      </c>
      <c r="E1708" s="1011" t="str">
        <f>IF(D1708="","",D1708/INDEX($B$1120:$G$1120,B1708))</f>
        <v/>
      </c>
      <c r="F1708" s="802" t="str">
        <f>IF($B$1637=1,IF(D1708="","",ROUNDUP(E1708/2,0)),"")</f>
        <v/>
      </c>
      <c r="G1708" s="2566" t="str">
        <f t="shared" si="15"/>
        <v/>
      </c>
      <c r="H1708" s="362"/>
      <c r="I1708" s="2528"/>
      <c r="N1708" s="2732" t="str">
        <f>IF(B1709="","",INDEX($B$558:$G$558,B1709))</f>
        <v/>
      </c>
      <c r="O1708" s="213"/>
    </row>
    <row r="1709" spans="1:16" ht="15" x14ac:dyDescent="0.2">
      <c r="A1709" s="4080" t="str">
        <f>IF(B1709="","",CONCATENATE("Пласт    ","h",B1709))</f>
        <v/>
      </c>
      <c r="B1709" s="332"/>
      <c r="C1709" s="862" t="str">
        <f>IF(B1709="","",INDEX($B$2298:$G$2298,B1709))</f>
        <v/>
      </c>
      <c r="D1709" s="2695" t="str">
        <f>IF(C1709="","",$B$349*C1709/$C$1712)</f>
        <v/>
      </c>
      <c r="E1709" s="1011" t="str">
        <f>IF(D1709="","",D1709/INDEX($B$1120:$G$1120,B1709))</f>
        <v/>
      </c>
      <c r="F1709" s="802" t="str">
        <f>IF($B$1637=1,IF(D1709="","",ROUNDUP(E1709/2,0)),"")</f>
        <v/>
      </c>
      <c r="G1709" s="2566" t="str">
        <f t="shared" si="15"/>
        <v/>
      </c>
      <c r="H1709" s="362"/>
      <c r="I1709" s="2528"/>
      <c r="N1709" s="2732" t="str">
        <f>IF(B1710="","",INDEX($B$558:$G$558,B1710))</f>
        <v/>
      </c>
      <c r="O1709" s="213"/>
    </row>
    <row r="1710" spans="1:16" ht="15" x14ac:dyDescent="0.2">
      <c r="A1710" s="4080" t="str">
        <f>IF(B1710="","",CONCATENATE("Пласт    ","h",B1710))</f>
        <v/>
      </c>
      <c r="B1710" s="332"/>
      <c r="C1710" s="862" t="str">
        <f>IF(B1710="","",INDEX($B$2298:$G$2298,B1710))</f>
        <v/>
      </c>
      <c r="D1710" s="2695" t="str">
        <f>IF(C1710="","",$B$349*C1710/$C$1712)</f>
        <v/>
      </c>
      <c r="E1710" s="1011" t="str">
        <f>IF(D1710="","",D1710/INDEX($B$1120:$G$11708,B1710))</f>
        <v/>
      </c>
      <c r="F1710" s="802" t="str">
        <f>IF($B$1637=1,IF(D1710="","",ROUNDUP(E1710/2,0)),"")</f>
        <v/>
      </c>
      <c r="G1710" s="2566" t="str">
        <f t="shared" si="15"/>
        <v/>
      </c>
      <c r="H1710" s="362"/>
      <c r="I1710" s="362"/>
      <c r="N1710" s="2732" t="str">
        <f>IF(B1711="","",INDEX($B$558:$G$558,B1711))</f>
        <v/>
      </c>
      <c r="O1710" s="213"/>
    </row>
    <row r="1711" spans="1:16" ht="15" x14ac:dyDescent="0.2">
      <c r="A1711" s="4080" t="str">
        <f>IF(B1711="","",CONCATENATE("Пласт    ","h",B1711))</f>
        <v/>
      </c>
      <c r="B1711" s="332"/>
      <c r="C1711" s="862" t="str">
        <f>IF(B1711="","",INDEX($B$2298:$G$2298,B1711))</f>
        <v/>
      </c>
      <c r="D1711" s="2695" t="str">
        <f>IF(C1711="","",$B$349*C1711/$C$1712)</f>
        <v/>
      </c>
      <c r="E1711" s="1011" t="str">
        <f>IF(D1711="","",D1711/INDEX($B$1120:$G$1120,B1711))</f>
        <v/>
      </c>
      <c r="F1711" s="802" t="str">
        <f>IF($B$1637=1,IF(D1711="","",ROUNDUP(E1711/2,0)),"")</f>
        <v/>
      </c>
      <c r="G1711" s="2566" t="str">
        <f t="shared" si="15"/>
        <v/>
      </c>
      <c r="H1711" s="1"/>
      <c r="I1711" s="1"/>
      <c r="N1711" s="7"/>
      <c r="O1711" s="213" t="e">
        <f>IF(O1699=1,MATCH(B400,B1700:B1704,1),MATCH(B400,B1707:B1711,1))</f>
        <v>#N/A</v>
      </c>
      <c r="P1711" t="s">
        <v>561</v>
      </c>
    </row>
    <row r="1712" spans="1:16" ht="16.5" thickBot="1" x14ac:dyDescent="0.3">
      <c r="A1712" s="2541" t="s">
        <v>383</v>
      </c>
      <c r="B1712" s="355"/>
      <c r="C1712" s="2542">
        <f>SUM(C1707:C1711)</f>
        <v>0</v>
      </c>
      <c r="D1712" s="2542">
        <f>SUM(D1707:D1711)</f>
        <v>0</v>
      </c>
      <c r="E1712" s="2698"/>
      <c r="F1712" s="5"/>
      <c r="G1712" s="5"/>
      <c r="O1712" s="213" t="e">
        <f>IF(O1699=1,INDEX(D1700:D1704,O1711),INDEX(D1707:D1711,O1711))</f>
        <v>#N/A</v>
      </c>
      <c r="P1712" t="s">
        <v>562</v>
      </c>
    </row>
    <row r="1713" spans="1:15" ht="15.75" x14ac:dyDescent="0.25">
      <c r="A1713" s="4199"/>
      <c r="B1713" s="1"/>
      <c r="C1713" s="1122"/>
      <c r="D1713" s="1122"/>
      <c r="E1713" s="985"/>
      <c r="F1713" s="1"/>
      <c r="G1713" s="1"/>
      <c r="O1713" s="213"/>
    </row>
    <row r="1714" spans="1:15" ht="18" x14ac:dyDescent="0.25">
      <c r="A1714" s="4201" t="str">
        <f>IF(B2201=1,"Вы перенесли  таблицу в текст записки? 1 - Да, 2 - Нет","не вводить!")</f>
        <v>не вводить!</v>
      </c>
      <c r="B1714" s="4165"/>
      <c r="C1714" s="1122"/>
      <c r="D1714" s="1122"/>
      <c r="E1714" s="985"/>
      <c r="F1714" s="1"/>
      <c r="G1714" s="1"/>
      <c r="O1714" s="213"/>
    </row>
    <row r="1715" spans="1:15" ht="15.75" x14ac:dyDescent="0.25">
      <c r="A1715" s="4232" t="str">
        <f>IF(B1714=1,"Переходите по ссылке","")</f>
        <v/>
      </c>
      <c r="B1715" s="1"/>
      <c r="C1715" s="1122"/>
      <c r="D1715" s="1122"/>
      <c r="E1715" s="985"/>
      <c r="F1715" s="1"/>
      <c r="G1715" s="1"/>
      <c r="O1715" s="213"/>
    </row>
    <row r="1716" spans="1:15" ht="15.75" x14ac:dyDescent="0.25">
      <c r="A1716" s="2493" t="s">
        <v>1704</v>
      </c>
      <c r="B1716" s="1"/>
      <c r="E1716" s="213"/>
      <c r="O1716" s="2528"/>
    </row>
    <row r="1717" spans="1:15" ht="15.75" x14ac:dyDescent="0.25">
      <c r="A1717" s="2493" t="s">
        <v>3445</v>
      </c>
      <c r="B1717" s="1"/>
      <c r="E1717" s="213"/>
      <c r="O1717" s="2528"/>
    </row>
    <row r="1718" spans="1:15" ht="15.75" x14ac:dyDescent="0.25">
      <c r="A1718" s="2493" t="s">
        <v>1264</v>
      </c>
      <c r="B1718" s="1"/>
      <c r="E1718" s="213"/>
      <c r="O1718" s="2528"/>
    </row>
    <row r="1719" spans="1:15" ht="15.75" x14ac:dyDescent="0.25">
      <c r="A1719" s="2493" t="s">
        <v>1265</v>
      </c>
      <c r="E1719" s="213"/>
      <c r="O1719" s="2528"/>
    </row>
    <row r="1720" spans="1:15" ht="31.5" x14ac:dyDescent="0.25">
      <c r="A1720" s="875" t="s">
        <v>815</v>
      </c>
      <c r="B1720" s="1219"/>
      <c r="C1720" s="213" t="str">
        <f>IF(B1720=1,"Одновременная разработка всех пластов","Деление пластов на группы")</f>
        <v>Деление пластов на группы</v>
      </c>
    </row>
    <row r="1721" spans="1:15" ht="51.75" x14ac:dyDescent="0.25">
      <c r="A1721" s="2585" t="s">
        <v>6802</v>
      </c>
      <c r="B1721" s="4253" t="s">
        <v>6826</v>
      </c>
      <c r="C1721" s="4159">
        <v>1</v>
      </c>
      <c r="D1721" s="4251" t="s">
        <v>6827</v>
      </c>
      <c r="E1721" s="4159"/>
    </row>
    <row r="1722" spans="1:15" ht="15.75" x14ac:dyDescent="0.25">
      <c r="A1722" s="4276" t="str">
        <f>IF(C1721=1,"Количество лав по пласту","")</f>
        <v>Количество лав по пласту</v>
      </c>
      <c r="B1722" s="4252"/>
      <c r="C1722" s="239"/>
      <c r="D1722" s="954"/>
      <c r="E1722" s="239"/>
    </row>
    <row r="1723" spans="1:15" ht="15.75" x14ac:dyDescent="0.25">
      <c r="A1723" s="4276" t="str">
        <f>IF(E1721=1,"Малые размеры панели","")</f>
        <v/>
      </c>
      <c r="B1723" s="4252"/>
      <c r="C1723" s="239"/>
      <c r="D1723" s="954"/>
      <c r="E1723" s="239"/>
    </row>
    <row r="1724" spans="1:15" ht="15.75" x14ac:dyDescent="0.25">
      <c r="A1724" s="2520" t="s">
        <v>705</v>
      </c>
    </row>
    <row r="1725" spans="1:15" ht="15.75" x14ac:dyDescent="0.25">
      <c r="A1725" s="2493" t="s">
        <v>1714</v>
      </c>
      <c r="B1725" s="2660"/>
      <c r="C1725" s="8"/>
    </row>
    <row r="1726" spans="1:15" ht="15.75" x14ac:dyDescent="0.25">
      <c r="A1726" s="2493" t="s">
        <v>4199</v>
      </c>
      <c r="B1726" s="2660"/>
      <c r="C1726" s="8"/>
    </row>
    <row r="1727" spans="1:15" ht="15.75" x14ac:dyDescent="0.25">
      <c r="A1727" s="2708" t="s">
        <v>563</v>
      </c>
    </row>
    <row r="1728" spans="1:15" ht="18.75" x14ac:dyDescent="0.3">
      <c r="A1728" s="2627" t="s">
        <v>6608</v>
      </c>
    </row>
    <row r="1729" spans="1:10" ht="15.75" x14ac:dyDescent="0.25">
      <c r="A1729" s="526" t="s">
        <v>2066</v>
      </c>
      <c r="B1729" s="345" t="str">
        <f>C1720</f>
        <v>Деление пластов на группы</v>
      </c>
    </row>
    <row r="1730" spans="1:10" ht="15.75" x14ac:dyDescent="0.25">
      <c r="A1730" s="526" t="s">
        <v>2554</v>
      </c>
    </row>
    <row r="1731" spans="1:10" ht="15.75" x14ac:dyDescent="0.25">
      <c r="A1731" s="526" t="s">
        <v>4009</v>
      </c>
    </row>
    <row r="1732" spans="1:10" ht="15.75" x14ac:dyDescent="0.25">
      <c r="A1732" s="526" t="s">
        <v>813</v>
      </c>
    </row>
    <row r="1733" spans="1:10" ht="15.75" x14ac:dyDescent="0.25">
      <c r="A1733" s="2449" t="s">
        <v>814</v>
      </c>
    </row>
    <row r="1734" spans="1:10" ht="15.75" x14ac:dyDescent="0.25">
      <c r="A1734" s="2449" t="s">
        <v>5783</v>
      </c>
    </row>
    <row r="1735" spans="1:10" ht="15.75" x14ac:dyDescent="0.25">
      <c r="A1735" s="2944" t="s">
        <v>3851</v>
      </c>
      <c r="E1735" s="321">
        <f>ROW(550:550)</f>
        <v>550</v>
      </c>
    </row>
    <row r="1736" spans="1:10" ht="15.75" x14ac:dyDescent="0.25">
      <c r="A1736" s="2449" t="s">
        <v>4200</v>
      </c>
      <c r="F1736" s="345" t="str">
        <f>C400</f>
        <v>h</v>
      </c>
    </row>
    <row r="1737" spans="1:10" ht="15.75" x14ac:dyDescent="0.25">
      <c r="A1737" s="2449" t="s">
        <v>816</v>
      </c>
      <c r="F1737" s="1"/>
      <c r="G1737" s="2639"/>
    </row>
    <row r="1738" spans="1:10" ht="15.75" x14ac:dyDescent="0.25">
      <c r="A1738" s="2709" t="s">
        <v>817</v>
      </c>
      <c r="B1738" s="345">
        <f>IF(B1720=1,ROW(1739:1739),ROW(1753:1753))</f>
        <v>1753</v>
      </c>
      <c r="E1738" s="2716"/>
    </row>
    <row r="1739" spans="1:10" ht="15.75" x14ac:dyDescent="0.25">
      <c r="B1739" s="2634"/>
      <c r="C1739" s="8"/>
      <c r="I1739" s="213"/>
    </row>
    <row r="1740" spans="1:10" ht="15.75" x14ac:dyDescent="0.25">
      <c r="A1740" s="2464" t="str">
        <f>IF(B1720=2,"","       Таблица 19 Нагрузки на лаву по разрабатываемым пластам  и количество лав  при одновременной разработке всех пластов")</f>
        <v xml:space="preserve">       Таблица 19 Нагрузки на лаву по разрабатываемым пластам  и количество лав  при одновременной разработке всех пластов</v>
      </c>
    </row>
    <row r="1741" spans="1:10" ht="15.75" x14ac:dyDescent="0.25">
      <c r="A1741" s="2662" t="str">
        <f>IF(B1720=2,"","Пласт")</f>
        <v>Пласт</v>
      </c>
      <c r="B1741" s="2579" t="str">
        <f>IF(A1741="","",B552)</f>
        <v>h1</v>
      </c>
      <c r="C1741" s="2579" t="str">
        <f>IF(A1741="","",C552)</f>
        <v>h2</v>
      </c>
      <c r="D1741" s="2579" t="str">
        <f>IF(A1741="","",D552)</f>
        <v>h3</v>
      </c>
      <c r="E1741" s="2579" t="str">
        <f>IF(A1741="","",E552)</f>
        <v>h4</v>
      </c>
      <c r="F1741" s="2579" t="str">
        <f>IF(A1741="","",F552)</f>
        <v>h5</v>
      </c>
      <c r="G1741" s="2579" t="str">
        <f>IF(A1741="","",G552)</f>
        <v>h6</v>
      </c>
    </row>
    <row r="1742" spans="1:10" ht="15.75" x14ac:dyDescent="0.25">
      <c r="A1742" s="2662" t="str">
        <f>IF(B1720=2,"","Средняя мощность, м ")</f>
        <v xml:space="preserve">Средняя мощность, м </v>
      </c>
      <c r="B1742" s="2579" t="str">
        <f t="shared" ref="B1742:G1742" si="16">IF($A$1742="","",B553)</f>
        <v/>
      </c>
      <c r="C1742" s="2579" t="str">
        <f t="shared" si="16"/>
        <v/>
      </c>
      <c r="D1742" s="2579" t="str">
        <f t="shared" si="16"/>
        <v/>
      </c>
      <c r="E1742" s="2579" t="str">
        <f t="shared" si="16"/>
        <v/>
      </c>
      <c r="F1742" s="2579" t="str">
        <f t="shared" si="16"/>
        <v/>
      </c>
      <c r="G1742" s="2579" t="str">
        <f t="shared" si="16"/>
        <v/>
      </c>
    </row>
    <row r="1743" spans="1:10" ht="18" x14ac:dyDescent="0.25">
      <c r="A1743" s="2662" t="str">
        <f>IF(B1720=2,"","Принятая в проекте нагрузка на лаву, т/сутки")</f>
        <v>Принятая в проекте нагрузка на лаву, т/сутки</v>
      </c>
      <c r="B1743" s="2730">
        <f t="shared" ref="B1743:G1743" si="17">IF($A$1743="","",B1120)</f>
        <v>0</v>
      </c>
      <c r="C1743" s="2730">
        <f t="shared" si="17"/>
        <v>0</v>
      </c>
      <c r="D1743" s="2730">
        <f t="shared" si="17"/>
        <v>0</v>
      </c>
      <c r="E1743" s="2730">
        <f t="shared" si="17"/>
        <v>0</v>
      </c>
      <c r="F1743" s="2730">
        <f t="shared" si="17"/>
        <v>0</v>
      </c>
      <c r="G1743" s="2730">
        <f t="shared" si="17"/>
        <v>0</v>
      </c>
      <c r="J1743" s="2705"/>
    </row>
    <row r="1744" spans="1:10" ht="15.75" x14ac:dyDescent="0.25">
      <c r="A1744" s="2662" t="str">
        <f>IF(B1720=2,"","Принятая ранее нагрузка на пласт, т/сутки  ")</f>
        <v xml:space="preserve">Принятая ранее нагрузка на пласт, т/сутки  </v>
      </c>
      <c r="B1744" s="2427" t="e">
        <f>IF($A$1744="","",B1656)</f>
        <v>#VALUE!</v>
      </c>
      <c r="C1744" s="2427" t="e">
        <f>IF($A$1744="","",B1657)</f>
        <v>#VALUE!</v>
      </c>
      <c r="D1744" s="2427" t="e">
        <f>IF($A$1744="","",B1658)</f>
        <v>#VALUE!</v>
      </c>
      <c r="E1744" s="2427" t="e">
        <f>IF($A$1744="","",B1659)</f>
        <v>#VALUE!</v>
      </c>
      <c r="F1744" s="2427" t="e">
        <f>IF($A$1744="","",B1660)</f>
        <v>#VALUE!</v>
      </c>
      <c r="G1744" s="2427" t="e">
        <f>IF($A$1744="","",B1661)</f>
        <v>#VALUE!</v>
      </c>
      <c r="H1744" s="893"/>
    </row>
    <row r="1745" spans="1:11" ht="18.75" x14ac:dyDescent="0.35">
      <c r="A1745" s="2662" t="str">
        <f>IF(B1720=2,"","Среднее расчетное  количество лав по пласту в год  ")</f>
        <v xml:space="preserve">Среднее расчетное  количество лав по пласту в год  </v>
      </c>
      <c r="B1745" s="2711" t="e">
        <f t="shared" ref="B1745:G1745" si="18">IF(B1744="","",B1744/B1743)</f>
        <v>#VALUE!</v>
      </c>
      <c r="C1745" s="2711" t="e">
        <f t="shared" si="18"/>
        <v>#VALUE!</v>
      </c>
      <c r="D1745" s="2711" t="e">
        <f t="shared" si="18"/>
        <v>#VALUE!</v>
      </c>
      <c r="E1745" s="2711" t="e">
        <f t="shared" si="18"/>
        <v>#VALUE!</v>
      </c>
      <c r="F1745" s="2711" t="e">
        <f t="shared" si="18"/>
        <v>#VALUE!</v>
      </c>
      <c r="G1745" s="2711" t="e">
        <f t="shared" si="18"/>
        <v>#VALUE!</v>
      </c>
      <c r="H1745" s="893"/>
      <c r="J1745" s="2638" t="s">
        <v>5417</v>
      </c>
      <c r="K1745" s="2643">
        <f>ком!G55</f>
        <v>0.98</v>
      </c>
    </row>
    <row r="1746" spans="1:11" ht="15.75" x14ac:dyDescent="0.25">
      <c r="A1746" s="2662" t="str">
        <f>IF(B1720=2,"","Принятое среднее количество лав по пласту в год")</f>
        <v>Принятое среднее количество лав по пласту в год</v>
      </c>
      <c r="B1746" s="2943">
        <v>2</v>
      </c>
      <c r="C1746" s="2943" t="e">
        <f t="shared" ref="C1746:G1746" si="19">IF(C1745="","",ROUNDUP(C1745,0))</f>
        <v>#VALUE!</v>
      </c>
      <c r="D1746" s="2943" t="e">
        <f t="shared" si="19"/>
        <v>#VALUE!</v>
      </c>
      <c r="E1746" s="2943" t="e">
        <f t="shared" si="19"/>
        <v>#VALUE!</v>
      </c>
      <c r="F1746" s="2943" t="e">
        <f t="shared" si="19"/>
        <v>#VALUE!</v>
      </c>
      <c r="G1746" s="2943" t="e">
        <f t="shared" si="19"/>
        <v>#VALUE!</v>
      </c>
      <c r="H1746" s="893"/>
    </row>
    <row r="1747" spans="1:11" ht="15.75" x14ac:dyDescent="0.25">
      <c r="A1747" s="2662" t="str">
        <f>IF(B1720=2,"","Расчетная нагрузка на пласт, т/сутки  ")</f>
        <v xml:space="preserve">Расчетная нагрузка на пласт, т/сутки  </v>
      </c>
      <c r="B1747" s="2741">
        <f t="shared" ref="B1747:D1747" si="20">IF(B1743="","",B1743*B1746)</f>
        <v>0</v>
      </c>
      <c r="C1747" s="2741" t="e">
        <f t="shared" si="20"/>
        <v>#VALUE!</v>
      </c>
      <c r="D1747" s="2741" t="e">
        <f t="shared" si="20"/>
        <v>#VALUE!</v>
      </c>
      <c r="E1747" s="2741" t="str">
        <f>IF(E1743=0,"",E1743*E1746)</f>
        <v/>
      </c>
      <c r="F1747" s="2741" t="str">
        <f>IF(F1743=0,"",F1743*F1746)</f>
        <v/>
      </c>
      <c r="G1747" s="2741" t="str">
        <f>IF(G1743=0,"",G1743*G1746)</f>
        <v/>
      </c>
    </row>
    <row r="1748" spans="1:11" ht="15.75" x14ac:dyDescent="0.25">
      <c r="A1748" s="2945" t="str">
        <f>IF(B1720=2,"","Принятое число постоянно действующих лав по  шахте")</f>
        <v>Принятое число постоянно действующих лав по  шахте</v>
      </c>
      <c r="B1748" s="2636" t="e">
        <f>IF(B1720=2,"",SUM(B1746:G1746))</f>
        <v>#VALUE!</v>
      </c>
    </row>
    <row r="1749" spans="1:11" ht="15.75" x14ac:dyDescent="0.25">
      <c r="A1749" s="2575" t="str">
        <f>IF(B1720=2,"","Ранее принятая суточная добыча шахты, т/сутки")</f>
        <v>Ранее принятая суточная добыча шахты, т/сутки</v>
      </c>
      <c r="B1749" s="819" t="e">
        <f>IF(B1720=2,"",SUM(B1744:G1744))</f>
        <v>#VALUE!</v>
      </c>
    </row>
    <row r="1750" spans="1:11" ht="31.5" x14ac:dyDescent="0.25">
      <c r="A1750" s="2661" t="str">
        <f>IF(B1720=2,"","Возможная суточная добычашахты при бесперебойной работе всех лав, т/сутки")</f>
        <v>Возможная суточная добычашахты при бесперебойной работе всех лав, т/сутки</v>
      </c>
      <c r="B1750" s="2730" t="e">
        <f>IF(B1720=2,"",SUM(B1747:G1747))</f>
        <v>#VALUE!</v>
      </c>
      <c r="C1750" s="8"/>
    </row>
    <row r="1751" spans="1:11" ht="15.75" x14ac:dyDescent="0.25">
      <c r="A1751" s="1392" t="str">
        <f>IF(B1720=2,"","Планируемый резерв добычи, %")</f>
        <v>Планируемый резерв добычи, %</v>
      </c>
      <c r="B1751" s="2578" t="e">
        <f>IF(B1720=2,"",100*B1750/B1749-100)</f>
        <v>#VALUE!</v>
      </c>
      <c r="C1751" s="8"/>
    </row>
    <row r="1752" spans="1:11" x14ac:dyDescent="0.2">
      <c r="C1752" s="8"/>
    </row>
    <row r="1753" spans="1:11" ht="15.75" x14ac:dyDescent="0.25">
      <c r="A1753" s="2707" t="str">
        <f>IF(B1720=2,"","   Переходите к строке")</f>
        <v xml:space="preserve">   Переходите к строке</v>
      </c>
      <c r="B1753" s="2739">
        <f>IF(B1720=2,"",ROW(1775:1775))</f>
        <v>1775</v>
      </c>
      <c r="F1753" s="347"/>
      <c r="G1753" s="2639"/>
    </row>
    <row r="1754" spans="1:11" ht="32.25" customHeight="1" x14ac:dyDescent="0.25">
      <c r="A1754" s="1813" t="str">
        <f>IF(B1720=1,"","   В этом случае детально рассматривается группа пластов, в которую входит пласт")</f>
        <v xml:space="preserve">   В этом случае детально рассматривается группа пластов, в которую входит пласт</v>
      </c>
      <c r="C1754" s="347" t="str">
        <f>IF(A1754="","",C400)</f>
        <v>h</v>
      </c>
      <c r="D1754" s="8"/>
      <c r="E1754" s="8"/>
      <c r="F1754" s="1300"/>
      <c r="G1754" s="2907"/>
    </row>
    <row r="1755" spans="1:11" ht="44.25" customHeight="1" x14ac:dyDescent="0.25">
      <c r="A1755" s="1138" t="str">
        <f>IF(B1720=2,"В проекте принято решение о делении пластов на группы. Заданный для детальных расчетов пласт находится в группе","--------------------------")</f>
        <v>--------------------------</v>
      </c>
      <c r="B1755" s="2644" t="str">
        <f>IF(B1720=2,IF(OR(B1700=B400,B1701=B400,B1702=B400,B1703=B400,B1704=B400),1,2),"-----")</f>
        <v>-----</v>
      </c>
      <c r="F1755" s="347"/>
      <c r="G1755" s="2639"/>
    </row>
    <row r="1756" spans="1:11" ht="15.75" x14ac:dyDescent="0.25">
      <c r="A1756" s="2709"/>
      <c r="B1756" s="2660"/>
      <c r="C1756" s="8"/>
    </row>
    <row r="1757" spans="1:11" ht="15.75" x14ac:dyDescent="0.25">
      <c r="A1757" s="2637"/>
      <c r="C1757" s="8"/>
    </row>
    <row r="1758" spans="1:11" ht="15.75" x14ac:dyDescent="0.25">
      <c r="A1758" s="2633" t="str">
        <f>IF(B1720=1,"","                                                                Группа пластов")</f>
        <v xml:space="preserve">                                                                Группа пластов</v>
      </c>
      <c r="B1758" s="2660" t="str">
        <f>IF(B1720=1,"",IF(B1755=1,"первая","вторая"))</f>
        <v>вторая</v>
      </c>
      <c r="C1758" s="2712"/>
      <c r="D1758" s="2713"/>
      <c r="E1758" s="2712"/>
      <c r="F1758" s="2713"/>
      <c r="G1758" s="2712"/>
    </row>
    <row r="1759" spans="1:11" ht="15.75" x14ac:dyDescent="0.25">
      <c r="A1759" s="4003" t="str">
        <f>IF(B1720=1,"","       Таблица 19   Нагрузки на лаву по разрабатываемым пластам  при делении пластов на группы")</f>
        <v xml:space="preserve">       Таблица 19   Нагрузки на лаву по разрабатываемым пластам  при делении пластов на группы</v>
      </c>
    </row>
    <row r="1760" spans="1:11" ht="15.75" x14ac:dyDescent="0.25">
      <c r="A1760" s="2662" t="str">
        <f>IF(B1720=1,"","Номер пласта")</f>
        <v>Номер пласта</v>
      </c>
      <c r="B1760" s="3090">
        <v>1</v>
      </c>
      <c r="C1760" s="3091">
        <v>2</v>
      </c>
      <c r="D1760" s="3090">
        <v>3</v>
      </c>
      <c r="E1760" s="3091">
        <v>4</v>
      </c>
      <c r="F1760" s="3090">
        <v>5</v>
      </c>
      <c r="G1760" s="3091">
        <v>6</v>
      </c>
    </row>
    <row r="1761" spans="1:11" ht="15.75" x14ac:dyDescent="0.25">
      <c r="A1761" s="2662" t="str">
        <f>IF(B1720=1,"","Пласт")</f>
        <v>Пласт</v>
      </c>
      <c r="B1761" s="2636" t="str">
        <f>IF(A1761="","",IF(B1758="первая",IF(OR(B1700=1,B1701=1,B1702=1,B1703=1,B1704=1),"h1",""),IF(OR(B1707=1,B1708=1,B1702=1,B1709=1,B1710=1),"h1","")))</f>
        <v/>
      </c>
      <c r="C1761" s="2710" t="str">
        <f>IF(A1761="","",IF(B1758="первая",IF(OR(B1700=2,B1701=2,B1702=2,B1703=2,B1704=2),"h2",""),IF(OR(B1707=2,B1708=2,B1709=2,B1710=2,B1711=2),"h2","")))</f>
        <v/>
      </c>
      <c r="D1761" s="1284" t="str">
        <f>IF(A1761="","",IF(B1758="первая",IF(OR(B1700=3,B1701=3,B1702=3,B1703=3,B1704=3),"h3",""),IF(OR(B1707=3,B1708=3,B1709=3,B1710=3,B1711=3),"h3","")))</f>
        <v/>
      </c>
      <c r="E1761" s="1284" t="str">
        <f>IF(A1761="","",IF(B1758="первая",IF(OR(B1700=4,B1701=4,B1702=4,B1703=4,B1704=4),"h4",""),IF(OR(B1707=4,B1708=4,B1709=4,B1710=4,B1711=4),"h4","")))</f>
        <v/>
      </c>
      <c r="F1761" s="1284" t="str">
        <f>IF(A1761="","",IF(B1758="первая",IF(OR(B1700=5,B1701=5,B1702=5,B1703=5,B1704=5),"h5",""),IF(OR(B1707=5,B1708=5,B1709=5,B1710=5,B1711=5),"h5","")))</f>
        <v/>
      </c>
      <c r="G1761" s="1284" t="str">
        <f>IF(A1761="","",IF(B1758="первая",IF(OR(B1700=6,B1701=6,B1702=6,B1703=6,B1704=6),"h6",""),IF(OR(B1707=6,B1708=6,B1709=6,B1710=6,B1711=6),"h6","")))</f>
        <v/>
      </c>
    </row>
    <row r="1762" spans="1:11" ht="18.75" x14ac:dyDescent="0.35">
      <c r="A1762" s="2662" t="str">
        <f>IF(B1720=1,"","Средняя мощность, м  ")</f>
        <v xml:space="preserve">Средняя мощность, м  </v>
      </c>
      <c r="B1762" s="2948" t="str">
        <f>IF(A1762="","",IF(B1761="","",INDEX($C$1675:$C$1681,B1760)))</f>
        <v/>
      </c>
      <c r="C1762" s="2948" t="str">
        <f>IF(A1762="","",IF(C1761="","",INDEX($C$1675:$C$1681,C1760)))</f>
        <v/>
      </c>
      <c r="D1762" s="2948" t="str">
        <f>IF(A1762="","",IF(D1761="","",INDEX($C$1675:$C$1681,D1760)))</f>
        <v/>
      </c>
      <c r="E1762" s="2948" t="str">
        <f>IF(A1762="","",IF(E1761="","",INDEX($C$1675:$C$1681,E1760)))</f>
        <v/>
      </c>
      <c r="F1762" s="2948" t="str">
        <f>IF(A1762="","",IF(F1761="","",INDEX($C$1675:$C$1681,F1760)))</f>
        <v/>
      </c>
      <c r="G1762" s="2948" t="str">
        <f>IF(A1762="","",IF(G1761="","",INDEX($C$1675:$C$1681,G1760)))</f>
        <v/>
      </c>
      <c r="J1762" s="2638" t="s">
        <v>5417</v>
      </c>
      <c r="K1762" s="2643">
        <f>ком!G55</f>
        <v>0.98</v>
      </c>
    </row>
    <row r="1763" spans="1:11" ht="15.75" x14ac:dyDescent="0.25">
      <c r="A1763" s="2662" t="str">
        <f>IF(B1720=1,"","Принятая в проекте нагрузка на лаву, т/сутки")</f>
        <v>Принятая в проекте нагрузка на лаву, т/сутки</v>
      </c>
      <c r="B1763" s="2946" t="str">
        <f>IF(A1763="","",IF(B1761="","",IF(B1741=$C$400,$B$1102,B1120)))</f>
        <v/>
      </c>
      <c r="C1763" s="2946" t="str">
        <f>IF(A1763="","",IF(C1761="","",IF(C1741=$C$400,$B$1102,C1120)))</f>
        <v/>
      </c>
      <c r="D1763" s="2946" t="str">
        <f>IF(A1763="","",IF(D1761="","",IF(D1741=$C$400,$B$1102,D1120)))</f>
        <v/>
      </c>
      <c r="E1763" s="2946" t="str">
        <f>IF(A1763="","",IF(E1761="","",IF(E1741=$C$400,$B$1102,E1120)))</f>
        <v/>
      </c>
      <c r="F1763" s="2946" t="str">
        <f>IF(A1763="","",IF(F1761="","",IF(F1741=$C$400,$B$1102,F1120)))</f>
        <v/>
      </c>
      <c r="G1763" s="2946" t="str">
        <f>IF(A1763="","",IF(G1761="","",IF(G1741=$C$400,$B$1102,G1120)))</f>
        <v/>
      </c>
      <c r="H1763" s="893"/>
    </row>
    <row r="1764" spans="1:11" ht="15.75" x14ac:dyDescent="0.25">
      <c r="A1764" s="2662" t="str">
        <f>IF(B1720=1,"","Принятая ранее нагрузка на пласт, т/сутки    (таблица 18) ")</f>
        <v xml:space="preserve">Принятая ранее нагрузка на пласт, т/сутки    (таблица 18) </v>
      </c>
      <c r="B1764" s="2717"/>
      <c r="C1764" s="2949"/>
      <c r="D1764" s="2949"/>
      <c r="E1764" s="2949"/>
      <c r="F1764" s="2949"/>
      <c r="G1764" s="2949"/>
      <c r="H1764" s="893"/>
    </row>
    <row r="1765" spans="1:11" ht="15.75" x14ac:dyDescent="0.25">
      <c r="A1765" s="2662" t="str">
        <f>IF(B1720=1,"","Среднее расчетное  количество лав по пласту в год   ")</f>
        <v xml:space="preserve">Среднее расчетное  количество лав по пласту в год   </v>
      </c>
      <c r="B1765" s="2950" t="str">
        <f>IF(A1765="","",IF(B1761="","",B1764/B1763))</f>
        <v/>
      </c>
      <c r="C1765" s="2950" t="str">
        <f>IF(A1765="","",IF(C1761="","",C1764/C1763))</f>
        <v/>
      </c>
      <c r="D1765" s="2950" t="str">
        <f>IF(A1765="","",IF(D1761="","",D1764/D1763))</f>
        <v/>
      </c>
      <c r="E1765" s="2950" t="str">
        <f>IF(A1765="","",IF(E1761="","",E1764/E1763))</f>
        <v/>
      </c>
      <c r="F1765" s="2950" t="str">
        <f>IF(A1765="","",IF(F1761="","",F1764/F1763))</f>
        <v/>
      </c>
      <c r="G1765" s="2950" t="str">
        <f>IF(A1765="","",IF(G1761="","",G1764/G1763))</f>
        <v/>
      </c>
      <c r="H1765" s="893"/>
    </row>
    <row r="1766" spans="1:11" ht="15.75" x14ac:dyDescent="0.25">
      <c r="A1766" s="2662" t="str">
        <f>IF(B1720=1,"","Принятое среднее количество лав по пласту в год")</f>
        <v>Принятое среднее количество лав по пласту в год</v>
      </c>
      <c r="B1766" s="2742"/>
      <c r="C1766" s="2951"/>
      <c r="D1766" s="2951"/>
      <c r="E1766" s="2951"/>
      <c r="F1766" s="2949"/>
      <c r="G1766" s="2949"/>
      <c r="H1766" s="893"/>
    </row>
    <row r="1767" spans="1:11" ht="15.75" x14ac:dyDescent="0.25">
      <c r="A1767" s="2662" t="str">
        <f>IF(B1720=1,"","Расчетная нагрузка на пласт, т/сутки  ")</f>
        <v xml:space="preserve">Расчетная нагрузка на пласт, т/сутки  </v>
      </c>
      <c r="B1767" s="2950" t="str">
        <f>IF(A1767="","",IF(B1761="","",B1763*B1766))</f>
        <v/>
      </c>
      <c r="C1767" s="2950" t="str">
        <f>IF(A1767="","",IF(C1761="","",C1763*C1766))</f>
        <v/>
      </c>
      <c r="D1767" s="2950" t="str">
        <f>IF(A1767="","",IF(D1761="","",D1763*D1766))</f>
        <v/>
      </c>
      <c r="E1767" s="2950" t="str">
        <f>IF(A1767="","",IF(E1761="","",E1763*E1766))</f>
        <v/>
      </c>
      <c r="F1767" s="2950" t="str">
        <f>IF(A1767="","",IF(F1761="","",F1763*F1766))</f>
        <v/>
      </c>
      <c r="G1767" s="2950" t="str">
        <f>IF(A1767="","",IF(G1761="","",G1763*G1766))</f>
        <v/>
      </c>
      <c r="H1767" s="893"/>
    </row>
    <row r="1768" spans="1:11" ht="15.75" x14ac:dyDescent="0.25">
      <c r="A1768" s="2945" t="str">
        <f>IF(A1761="","",IF(B1738=2,"","Принятое  число постоянно действующих лав по  шахте"))</f>
        <v>Принятое  число постоянно действующих лав по  шахте</v>
      </c>
      <c r="B1768" s="2950">
        <f>IF(A1761="","",IF(B1738=2,"",SUM(B1766:G1766)))</f>
        <v>0</v>
      </c>
      <c r="C1768" s="2952"/>
      <c r="D1768" s="2952"/>
      <c r="E1768" s="2952"/>
      <c r="F1768" s="2953"/>
      <c r="G1768" s="2953"/>
      <c r="H1768" s="893"/>
    </row>
    <row r="1769" spans="1:11" ht="32.25" customHeight="1" x14ac:dyDescent="0.25">
      <c r="A1769" s="2575" t="str">
        <f>IF(A1761="","",IF(B1738=2,"","Ранее принятая суточная добыча шахты, т/сутки"))</f>
        <v>Ранее принятая суточная добыча шахты, т/сутки</v>
      </c>
      <c r="B1769" s="2947">
        <f>IF(A1761="","",SUM(B1764:G1764))</f>
        <v>0</v>
      </c>
      <c r="C1769" s="2714"/>
      <c r="D1769" s="2740"/>
      <c r="E1769" s="2741"/>
      <c r="F1769" s="2714"/>
      <c r="G1769" s="2714"/>
    </row>
    <row r="1770" spans="1:11" ht="31.5" x14ac:dyDescent="0.25">
      <c r="A1770" s="2661" t="str">
        <f>IF(A1761="","",IF(B1738=2,"","Возможная суточная добычашахты при бесперебойной работе всех лав, т/сутки"))</f>
        <v>Возможная суточная добычашахты при бесперебойной работе всех лав, т/сутки</v>
      </c>
      <c r="B1770" s="2715">
        <f>IF(A1761="","",SUM(B1767:G1767))</f>
        <v>0</v>
      </c>
      <c r="E1770" s="1"/>
    </row>
    <row r="1771" spans="1:11" ht="15.75" x14ac:dyDescent="0.25">
      <c r="A1771" s="2662" t="str">
        <f>IF(A1761="","","Планируемый резерв добычи, %")</f>
        <v>Планируемый резерв добычи, %</v>
      </c>
      <c r="B1771" s="2636" t="e">
        <f>IF(A1761="","",100*B1770/B1769-100)</f>
        <v>#DIV/0!</v>
      </c>
      <c r="C1771" s="8"/>
    </row>
    <row r="1772" spans="1:11" ht="15.75" x14ac:dyDescent="0.25">
      <c r="A1772" s="4202"/>
      <c r="B1772" s="2660"/>
      <c r="C1772" s="8"/>
    </row>
    <row r="1773" spans="1:11" ht="18.75" x14ac:dyDescent="0.3">
      <c r="A1773" s="4203" t="str">
        <f>IF(B2201=1,"Вы перенесли  таблицу в текст записки? 1 - Да, 2 - Нет","не вводить!")</f>
        <v>не вводить!</v>
      </c>
      <c r="B1773" s="4233"/>
      <c r="C1773" s="8"/>
    </row>
    <row r="1774" spans="1:11" ht="15.75" x14ac:dyDescent="0.25">
      <c r="A1774" s="4234" t="str">
        <f>IF(B1773=1,"Переходите по ссылке","")</f>
        <v/>
      </c>
      <c r="B1774" s="2660"/>
      <c r="C1774" s="8"/>
    </row>
    <row r="1775" spans="1:11" ht="15.75" x14ac:dyDescent="0.25">
      <c r="A1775" s="2633"/>
      <c r="B1775" s="2634"/>
      <c r="C1775" s="8"/>
    </row>
    <row r="1776" spans="1:11" ht="15.75" x14ac:dyDescent="0.25">
      <c r="A1776" s="2633" t="s">
        <v>6609</v>
      </c>
      <c r="B1776" s="2634"/>
      <c r="C1776" s="8"/>
    </row>
    <row r="1777" spans="1:3" ht="15.75" x14ac:dyDescent="0.25">
      <c r="A1777" s="825" t="s">
        <v>3496</v>
      </c>
      <c r="B1777" s="2634"/>
      <c r="C1777" s="8"/>
    </row>
    <row r="1778" spans="1:3" ht="15.75" x14ac:dyDescent="0.25">
      <c r="A1778" s="818" t="s">
        <v>3472</v>
      </c>
      <c r="B1778" s="2634"/>
      <c r="C1778" s="8"/>
    </row>
    <row r="1779" spans="1:3" ht="15.75" x14ac:dyDescent="0.25">
      <c r="A1779" s="818" t="s">
        <v>818</v>
      </c>
      <c r="B1779" s="2634"/>
      <c r="C1779" s="8"/>
    </row>
    <row r="1780" spans="1:3" ht="15.75" x14ac:dyDescent="0.25">
      <c r="A1780" s="818" t="s">
        <v>1653</v>
      </c>
      <c r="B1780" s="2634"/>
      <c r="C1780" s="8"/>
    </row>
    <row r="1781" spans="1:3" ht="15.75" x14ac:dyDescent="0.25">
      <c r="A1781" s="818" t="s">
        <v>1654</v>
      </c>
      <c r="B1781" s="2634"/>
      <c r="C1781" s="8"/>
    </row>
    <row r="1782" spans="1:3" ht="15.75" x14ac:dyDescent="0.25">
      <c r="A1782" s="818" t="s">
        <v>4021</v>
      </c>
      <c r="B1782" s="2634"/>
      <c r="C1782" s="8"/>
    </row>
    <row r="1783" spans="1:3" ht="15.75" x14ac:dyDescent="0.25">
      <c r="A1783" s="818" t="s">
        <v>4022</v>
      </c>
      <c r="B1783" s="2634"/>
      <c r="C1783" s="8"/>
    </row>
    <row r="1784" spans="1:3" ht="15.75" x14ac:dyDescent="0.25">
      <c r="A1784" s="818" t="s">
        <v>4023</v>
      </c>
      <c r="B1784" s="2634"/>
      <c r="C1784" s="8"/>
    </row>
    <row r="1785" spans="1:3" ht="20.25" x14ac:dyDescent="0.35">
      <c r="A1785" s="818" t="s">
        <v>4024</v>
      </c>
      <c r="B1785" s="2634"/>
      <c r="C1785" s="8"/>
    </row>
    <row r="1786" spans="1:3" ht="15.75" x14ac:dyDescent="0.25">
      <c r="A1786" s="818" t="s">
        <v>4025</v>
      </c>
      <c r="B1786" s="2634"/>
      <c r="C1786" s="8"/>
    </row>
    <row r="1787" spans="1:3" ht="15.75" x14ac:dyDescent="0.25">
      <c r="A1787" s="2640" t="s">
        <v>4026</v>
      </c>
      <c r="B1787" s="2634"/>
      <c r="C1787" s="8"/>
    </row>
    <row r="1788" spans="1:3" ht="15.75" x14ac:dyDescent="0.25">
      <c r="A1788" s="2640" t="s">
        <v>4027</v>
      </c>
      <c r="B1788" s="2634"/>
      <c r="C1788" s="8"/>
    </row>
    <row r="1789" spans="1:3" ht="15.75" x14ac:dyDescent="0.25">
      <c r="A1789" s="2640" t="s">
        <v>4242</v>
      </c>
      <c r="B1789" s="2634"/>
      <c r="C1789" s="8"/>
    </row>
    <row r="1790" spans="1:3" ht="15.75" x14ac:dyDescent="0.25">
      <c r="A1790" s="2640" t="s">
        <v>1708</v>
      </c>
      <c r="B1790" s="2634"/>
      <c r="C1790" s="8"/>
    </row>
    <row r="1791" spans="1:3" ht="15.75" x14ac:dyDescent="0.25">
      <c r="A1791" s="2640" t="s">
        <v>5371</v>
      </c>
      <c r="B1791" s="2634"/>
      <c r="C1791" s="8"/>
    </row>
    <row r="1792" spans="1:3" ht="15.75" x14ac:dyDescent="0.25">
      <c r="A1792" s="818" t="s">
        <v>4243</v>
      </c>
      <c r="B1792" s="2634"/>
      <c r="C1792" s="8"/>
    </row>
    <row r="1793" spans="1:3" ht="18.75" x14ac:dyDescent="0.3">
      <c r="A1793" s="818" t="s">
        <v>4244</v>
      </c>
      <c r="B1793" s="2634"/>
      <c r="C1793" s="8"/>
    </row>
    <row r="1794" spans="1:3" ht="18.75" x14ac:dyDescent="0.3">
      <c r="A1794" s="818" t="s">
        <v>4245</v>
      </c>
      <c r="B1794" s="2634"/>
      <c r="C1794" s="8"/>
    </row>
    <row r="1795" spans="1:3" ht="15.75" x14ac:dyDescent="0.25">
      <c r="A1795" s="825" t="s">
        <v>4246</v>
      </c>
      <c r="B1795" s="2634"/>
      <c r="C1795" s="8"/>
    </row>
    <row r="1796" spans="1:3" ht="15.75" x14ac:dyDescent="0.25">
      <c r="A1796" s="825" t="s">
        <v>4247</v>
      </c>
      <c r="B1796" s="2634"/>
      <c r="C1796" s="8"/>
    </row>
    <row r="1797" spans="1:3" ht="15.75" x14ac:dyDescent="0.25">
      <c r="A1797" s="825" t="s">
        <v>4248</v>
      </c>
      <c r="B1797" s="2634"/>
      <c r="C1797" s="8"/>
    </row>
    <row r="1798" spans="1:3" ht="15.75" x14ac:dyDescent="0.25">
      <c r="A1798" s="825" t="s">
        <v>5408</v>
      </c>
      <c r="B1798" s="2634"/>
      <c r="C1798" s="8"/>
    </row>
    <row r="1799" spans="1:3" ht="15.75" x14ac:dyDescent="0.25">
      <c r="A1799" s="825" t="s">
        <v>5583</v>
      </c>
      <c r="B1799" s="2634"/>
      <c r="C1799" s="8"/>
    </row>
    <row r="1800" spans="1:3" ht="15.75" x14ac:dyDescent="0.25">
      <c r="A1800" s="825" t="s">
        <v>3849</v>
      </c>
      <c r="B1800" s="2634"/>
      <c r="C1800" s="8"/>
    </row>
    <row r="1801" spans="1:3" ht="15.75" x14ac:dyDescent="0.25">
      <c r="A1801" s="825" t="s">
        <v>3850</v>
      </c>
      <c r="B1801" s="2634"/>
      <c r="C1801" s="8"/>
    </row>
    <row r="1802" spans="1:3" ht="15.75" x14ac:dyDescent="0.25">
      <c r="A1802" s="825" t="s">
        <v>5409</v>
      </c>
      <c r="B1802" s="2634"/>
      <c r="C1802" s="8"/>
    </row>
    <row r="1803" spans="1:3" ht="15.75" x14ac:dyDescent="0.25">
      <c r="A1803" s="825" t="s">
        <v>5410</v>
      </c>
      <c r="B1803" s="2634"/>
      <c r="C1803" s="8"/>
    </row>
    <row r="1804" spans="1:3" ht="15.75" x14ac:dyDescent="0.25">
      <c r="A1804" s="825" t="s">
        <v>5411</v>
      </c>
      <c r="B1804" s="2634"/>
      <c r="C1804" s="8"/>
    </row>
    <row r="1805" spans="1:3" ht="15.75" x14ac:dyDescent="0.25">
      <c r="A1805" s="825" t="s">
        <v>5412</v>
      </c>
      <c r="B1805" s="2634"/>
      <c r="C1805" s="8"/>
    </row>
    <row r="1806" spans="1:3" ht="15.75" x14ac:dyDescent="0.25">
      <c r="A1806" s="825" t="s">
        <v>4323</v>
      </c>
      <c r="B1806" s="2634"/>
      <c r="C1806" s="8"/>
    </row>
    <row r="1807" spans="1:3" ht="15.75" x14ac:dyDescent="0.25">
      <c r="A1807" s="825" t="s">
        <v>4324</v>
      </c>
      <c r="B1807" s="2634"/>
      <c r="C1807" s="8"/>
    </row>
    <row r="1808" spans="1:3" ht="15.75" x14ac:dyDescent="0.25">
      <c r="A1808" s="825" t="s">
        <v>1705</v>
      </c>
      <c r="B1808" s="2634"/>
      <c r="C1808" s="8"/>
    </row>
    <row r="1809" spans="1:9" ht="15.75" x14ac:dyDescent="0.25">
      <c r="A1809" s="825" t="s">
        <v>1706</v>
      </c>
      <c r="B1809" s="2634"/>
      <c r="C1809" s="8"/>
    </row>
    <row r="1810" spans="1:9" ht="15.75" x14ac:dyDescent="0.25">
      <c r="A1810" s="825"/>
      <c r="B1810" s="2634"/>
      <c r="C1810" s="8"/>
    </row>
    <row r="1811" spans="1:9" ht="15.75" x14ac:dyDescent="0.25">
      <c r="A1811" s="2641"/>
      <c r="B1811" s="2634"/>
      <c r="C1811" s="8"/>
    </row>
    <row r="1812" spans="1:9" ht="15.75" x14ac:dyDescent="0.25">
      <c r="A1812" s="825"/>
      <c r="B1812" s="2634"/>
      <c r="C1812" s="8"/>
    </row>
    <row r="1813" spans="1:9" ht="15.75" x14ac:dyDescent="0.25">
      <c r="A1813" s="2637" t="s">
        <v>6768</v>
      </c>
    </row>
    <row r="1814" spans="1:9" ht="15.75" x14ac:dyDescent="0.25">
      <c r="A1814" s="1392" t="s">
        <v>1709</v>
      </c>
      <c r="B1814" s="2579" t="str">
        <f t="shared" ref="B1814:G1814" si="21">IF($B$1720=1,B1741,B1761)</f>
        <v/>
      </c>
      <c r="C1814" s="2579" t="str">
        <f t="shared" si="21"/>
        <v/>
      </c>
      <c r="D1814" s="2579" t="str">
        <f t="shared" si="21"/>
        <v/>
      </c>
      <c r="E1814" s="2579" t="str">
        <f t="shared" si="21"/>
        <v/>
      </c>
      <c r="F1814" s="2579" t="str">
        <f t="shared" si="21"/>
        <v/>
      </c>
      <c r="G1814" s="2579" t="str">
        <f t="shared" si="21"/>
        <v/>
      </c>
    </row>
    <row r="1815" spans="1:9" ht="31.5" x14ac:dyDescent="0.25">
      <c r="A1815" s="943" t="s">
        <v>4495</v>
      </c>
      <c r="B1815" t="s">
        <v>4496</v>
      </c>
      <c r="I1815" s="2642"/>
    </row>
    <row r="1816" spans="1:9" ht="15.75" x14ac:dyDescent="0.25">
      <c r="A1816" s="1392" t="s">
        <v>2602</v>
      </c>
      <c r="B1816" s="2636" t="str">
        <f t="shared" ref="B1816:G1816" si="22">IF($B$1720=1,B1742,B1762)</f>
        <v/>
      </c>
      <c r="C1816" s="2636" t="str">
        <f t="shared" si="22"/>
        <v/>
      </c>
      <c r="D1816" s="2636" t="str">
        <f t="shared" si="22"/>
        <v/>
      </c>
      <c r="E1816" s="2636" t="str">
        <f t="shared" si="22"/>
        <v/>
      </c>
      <c r="F1816" s="2636" t="str">
        <f t="shared" si="22"/>
        <v/>
      </c>
      <c r="G1816" s="2636" t="str">
        <f t="shared" si="22"/>
        <v/>
      </c>
    </row>
    <row r="1817" spans="1:9" ht="15.75" x14ac:dyDescent="0.25">
      <c r="A1817" s="874" t="s">
        <v>2603</v>
      </c>
      <c r="B1817" s="2636" t="str">
        <f>IF(B1816="","",B2299)</f>
        <v/>
      </c>
      <c r="C1817" s="2636" t="str">
        <f>IF(C1816="","",C2299)</f>
        <v/>
      </c>
      <c r="D1817" s="2636" t="str">
        <f>IF(D1816="","",D2299)</f>
        <v/>
      </c>
      <c r="E1817" s="2636" t="str">
        <f>IF(E1816="","",E2299)</f>
        <v/>
      </c>
      <c r="F1817" s="2636" t="str">
        <f>F2299</f>
        <v/>
      </c>
      <c r="G1817" s="2636" t="str">
        <f>G2299</f>
        <v/>
      </c>
    </row>
    <row r="1818" spans="1:9" ht="15.75" x14ac:dyDescent="0.25">
      <c r="A1818" s="874" t="s">
        <v>2604</v>
      </c>
      <c r="B1818" s="2636" t="str">
        <f t="shared" ref="B1818:G1818" si="23">IF(B1816="","",B2300)</f>
        <v/>
      </c>
      <c r="C1818" s="2636" t="str">
        <f t="shared" si="23"/>
        <v/>
      </c>
      <c r="D1818" s="2636" t="str">
        <f t="shared" si="23"/>
        <v/>
      </c>
      <c r="E1818" s="2636" t="str">
        <f t="shared" si="23"/>
        <v/>
      </c>
      <c r="F1818" s="2636" t="str">
        <f t="shared" si="23"/>
        <v/>
      </c>
      <c r="G1818" s="2636" t="str">
        <f t="shared" si="23"/>
        <v/>
      </c>
    </row>
    <row r="1819" spans="1:9" ht="15.75" x14ac:dyDescent="0.25">
      <c r="A1819" s="874" t="s">
        <v>5749</v>
      </c>
      <c r="B1819" s="2636" t="str">
        <f>IF(B1816="","",B1818/B1816)</f>
        <v/>
      </c>
      <c r="C1819" s="2636" t="str">
        <f>IF(C1816="","",C1818/C1816)</f>
        <v/>
      </c>
      <c r="D1819" s="2636" t="str">
        <f t="shared" ref="D1819:G1819" si="24">IF(D1816="","",D1818/D1816)</f>
        <v/>
      </c>
      <c r="E1819" s="2636" t="str">
        <f t="shared" si="24"/>
        <v/>
      </c>
      <c r="F1819" s="2636" t="str">
        <f t="shared" si="24"/>
        <v/>
      </c>
      <c r="G1819" s="2636" t="str">
        <f t="shared" si="24"/>
        <v/>
      </c>
    </row>
    <row r="1820" spans="1:9" ht="36" x14ac:dyDescent="0.35">
      <c r="A1820" s="874" t="s">
        <v>5750</v>
      </c>
      <c r="B1820" s="3088" t="str">
        <f>IF(B1816="","",IF(B1819&gt;=1.2,1,0))</f>
        <v/>
      </c>
      <c r="C1820" s="3088" t="str">
        <f t="shared" ref="C1820:G1820" si="25">IF(C1816="","",IF(C1819&gt;=1.2,1,0))</f>
        <v/>
      </c>
      <c r="D1820" s="3088" t="str">
        <f t="shared" si="25"/>
        <v/>
      </c>
      <c r="E1820" s="3088" t="str">
        <f t="shared" si="25"/>
        <v/>
      </c>
      <c r="F1820" s="3088" t="str">
        <f t="shared" si="25"/>
        <v/>
      </c>
      <c r="G1820" s="3088" t="str">
        <f t="shared" si="25"/>
        <v/>
      </c>
    </row>
    <row r="1821" spans="1:9" ht="15.75" x14ac:dyDescent="0.25">
      <c r="A1821" s="874" t="s">
        <v>5751</v>
      </c>
      <c r="B1821" s="3089" t="str">
        <f>IF(B1816="","",B1816/B1817)</f>
        <v/>
      </c>
      <c r="C1821" s="3089" t="str">
        <f t="shared" ref="C1821:G1821" si="26">IF(C1816="","",C1816/C1817)</f>
        <v/>
      </c>
      <c r="D1821" s="3089" t="str">
        <f t="shared" si="26"/>
        <v/>
      </c>
      <c r="E1821" s="3089" t="str">
        <f t="shared" si="26"/>
        <v/>
      </c>
      <c r="F1821" s="3089" t="str">
        <f t="shared" si="26"/>
        <v/>
      </c>
      <c r="G1821" s="3089" t="str">
        <f t="shared" si="26"/>
        <v/>
      </c>
    </row>
    <row r="1822" spans="1:9" ht="36" x14ac:dyDescent="0.35">
      <c r="A1822" s="874" t="s">
        <v>5752</v>
      </c>
      <c r="B1822" s="3088" t="str">
        <f>IF(B1816="","",IF(B1821&gt;=1.2,1,0))</f>
        <v/>
      </c>
      <c r="C1822" s="3088" t="str">
        <f t="shared" ref="C1822:G1822" si="27">IF(C1816="","",IF(C1821&gt;=1.2,1,0))</f>
        <v/>
      </c>
      <c r="D1822" s="3088" t="str">
        <f t="shared" si="27"/>
        <v/>
      </c>
      <c r="E1822" s="3088" t="str">
        <f t="shared" si="27"/>
        <v/>
      </c>
      <c r="F1822" s="3088" t="str">
        <f t="shared" si="27"/>
        <v/>
      </c>
      <c r="G1822" s="3088" t="str">
        <f t="shared" si="27"/>
        <v/>
      </c>
    </row>
    <row r="1823" spans="1:9" ht="39" x14ac:dyDescent="0.35">
      <c r="A1823" s="1138" t="s">
        <v>1344</v>
      </c>
      <c r="B1823" s="2579" t="str">
        <f t="shared" ref="B1823:G1823" si="28">IF(B1814="","",$B$207)</f>
        <v/>
      </c>
      <c r="C1823" s="2579" t="str">
        <f t="shared" si="28"/>
        <v/>
      </c>
      <c r="D1823" s="2579" t="str">
        <f t="shared" si="28"/>
        <v/>
      </c>
      <c r="E1823" s="2579" t="str">
        <f t="shared" si="28"/>
        <v/>
      </c>
      <c r="F1823" s="2579" t="str">
        <f t="shared" si="28"/>
        <v/>
      </c>
      <c r="G1823" s="2579" t="str">
        <f t="shared" si="28"/>
        <v/>
      </c>
    </row>
    <row r="1824" spans="1:9" ht="31.5" x14ac:dyDescent="0.25">
      <c r="A1824" s="1138" t="s">
        <v>1345</v>
      </c>
      <c r="B1824" s="3088" t="str">
        <f>IF(B1814="","",IF(B1823&gt;3,1,0))</f>
        <v/>
      </c>
      <c r="C1824" s="3088" t="str">
        <f t="shared" ref="C1824:G1824" si="29">IF(C1814="","",IF(C1823&gt;3,1,0))</f>
        <v/>
      </c>
      <c r="D1824" s="3088" t="str">
        <f t="shared" si="29"/>
        <v/>
      </c>
      <c r="E1824" s="3088" t="str">
        <f t="shared" si="29"/>
        <v/>
      </c>
      <c r="F1824" s="3088" t="str">
        <f t="shared" si="29"/>
        <v/>
      </c>
      <c r="G1824" s="3088" t="str">
        <f t="shared" si="29"/>
        <v/>
      </c>
    </row>
    <row r="1825" spans="1:7" ht="31.5" x14ac:dyDescent="0.25">
      <c r="A1825" s="1138" t="s">
        <v>2605</v>
      </c>
      <c r="B1825" s="2579" t="str">
        <f t="shared" ref="B1825:G1825" si="30">IF(B1814="","",$B$208)</f>
        <v/>
      </c>
      <c r="C1825" s="2579" t="str">
        <f t="shared" si="30"/>
        <v/>
      </c>
      <c r="D1825" s="2579" t="str">
        <f t="shared" si="30"/>
        <v/>
      </c>
      <c r="E1825" s="2579" t="str">
        <f t="shared" si="30"/>
        <v/>
      </c>
      <c r="F1825" s="2579" t="str">
        <f t="shared" si="30"/>
        <v/>
      </c>
      <c r="G1825" s="2579" t="str">
        <f t="shared" si="30"/>
        <v/>
      </c>
    </row>
    <row r="1826" spans="1:7" ht="34.5" x14ac:dyDescent="0.3">
      <c r="A1826" s="1138" t="s">
        <v>4328</v>
      </c>
      <c r="B1826" s="3088" t="str">
        <f>IF(B1814="","",IF(B1825&lt;3,1,0))</f>
        <v/>
      </c>
      <c r="C1826" s="3088" t="str">
        <f t="shared" ref="C1826:G1826" si="31">IF(C1814="","",IF(C1825&lt;3,1,0))</f>
        <v/>
      </c>
      <c r="D1826" s="3088" t="str">
        <f t="shared" si="31"/>
        <v/>
      </c>
      <c r="E1826" s="3088" t="str">
        <f t="shared" si="31"/>
        <v/>
      </c>
      <c r="F1826" s="3088" t="str">
        <f t="shared" si="31"/>
        <v/>
      </c>
      <c r="G1826" s="3088" t="str">
        <f t="shared" si="31"/>
        <v/>
      </c>
    </row>
    <row r="1827" spans="1:7" ht="15.75" x14ac:dyDescent="0.25">
      <c r="A1827" s="1138" t="s">
        <v>2606</v>
      </c>
      <c r="B1827" s="2579" t="str">
        <f t="shared" ref="B1827:G1827" si="32">IF(B1814="","",$B$213/1000)</f>
        <v/>
      </c>
      <c r="C1827" s="2579" t="str">
        <f t="shared" si="32"/>
        <v/>
      </c>
      <c r="D1827" s="2579" t="str">
        <f t="shared" si="32"/>
        <v/>
      </c>
      <c r="E1827" s="2579" t="str">
        <f t="shared" si="32"/>
        <v/>
      </c>
      <c r="F1827" s="2579" t="str">
        <f t="shared" si="32"/>
        <v/>
      </c>
      <c r="G1827" s="2579" t="str">
        <f t="shared" si="32"/>
        <v/>
      </c>
    </row>
    <row r="1828" spans="1:7" ht="34.5" x14ac:dyDescent="0.3">
      <c r="A1828" s="1138" t="s">
        <v>4329</v>
      </c>
      <c r="B1828" s="3088" t="str">
        <f>IF(B1814="","",IF(B1827&gt;=0.2,1,0))</f>
        <v/>
      </c>
      <c r="C1828" s="3088" t="str">
        <f t="shared" ref="C1828:G1828" si="33">IF(C1814="","",IF(C1827&gt;=0.2,1,0))</f>
        <v/>
      </c>
      <c r="D1828" s="3088" t="str">
        <f t="shared" si="33"/>
        <v/>
      </c>
      <c r="E1828" s="3088" t="str">
        <f t="shared" si="33"/>
        <v/>
      </c>
      <c r="F1828" s="3088" t="str">
        <f t="shared" si="33"/>
        <v/>
      </c>
      <c r="G1828" s="3088" t="str">
        <f t="shared" si="33"/>
        <v/>
      </c>
    </row>
    <row r="1829" spans="1:7" ht="15.75" x14ac:dyDescent="0.25">
      <c r="A1829" s="1138" t="s">
        <v>5372</v>
      </c>
      <c r="B1829" s="1358" t="str">
        <f t="shared" ref="B1829:G1829" si="34">IF(B1828="","",$B$216)</f>
        <v/>
      </c>
      <c r="C1829" s="1358" t="str">
        <f t="shared" si="34"/>
        <v/>
      </c>
      <c r="D1829" s="1358" t="str">
        <f t="shared" si="34"/>
        <v/>
      </c>
      <c r="E1829" s="1358" t="str">
        <f t="shared" si="34"/>
        <v/>
      </c>
      <c r="F1829" s="1358" t="str">
        <f t="shared" si="34"/>
        <v/>
      </c>
      <c r="G1829" s="1358" t="str">
        <f t="shared" si="34"/>
        <v/>
      </c>
    </row>
    <row r="1830" spans="1:7" ht="31.5" x14ac:dyDescent="0.25">
      <c r="A1830" s="1138" t="s">
        <v>5373</v>
      </c>
      <c r="B1830" s="3088" t="str">
        <f>IF(B1814="","",IF(B1829=1,1,0))</f>
        <v/>
      </c>
      <c r="C1830" s="3088" t="str">
        <f t="shared" ref="C1830:G1830" si="35">IF(C1814="","",IF(C1829=1,1,0))</f>
        <v/>
      </c>
      <c r="D1830" s="3088" t="str">
        <f t="shared" si="35"/>
        <v/>
      </c>
      <c r="E1830" s="3088" t="str">
        <f t="shared" si="35"/>
        <v/>
      </c>
      <c r="F1830" s="3088" t="str">
        <f t="shared" si="35"/>
        <v/>
      </c>
      <c r="G1830" s="3088" t="str">
        <f t="shared" si="35"/>
        <v/>
      </c>
    </row>
    <row r="1831" spans="1:7" ht="15.75" x14ac:dyDescent="0.25">
      <c r="A1831" s="2568" t="s">
        <v>2607</v>
      </c>
      <c r="B1831" s="2579" t="str">
        <f t="shared" ref="B1831:G1831" si="36">IF(B1814="","",B1820+B1822+B1824+B1826+B1828)</f>
        <v/>
      </c>
      <c r="C1831" s="2579" t="str">
        <f t="shared" si="36"/>
        <v/>
      </c>
      <c r="D1831" s="2579" t="str">
        <f t="shared" si="36"/>
        <v/>
      </c>
      <c r="E1831" s="2579" t="str">
        <f t="shared" si="36"/>
        <v/>
      </c>
      <c r="F1831" s="2579" t="str">
        <f t="shared" si="36"/>
        <v/>
      </c>
      <c r="G1831" s="2579" t="str">
        <f t="shared" si="36"/>
        <v/>
      </c>
    </row>
    <row r="1832" spans="1:7" ht="15.75" x14ac:dyDescent="0.25">
      <c r="A1832" s="1400" t="s">
        <v>1783</v>
      </c>
      <c r="B1832" s="2579" t="str">
        <f t="shared" ref="B1832:G1832" si="37">IF(B1814="","",IF(B1831&gt;0,1,0))</f>
        <v/>
      </c>
      <c r="C1832" s="2579" t="str">
        <f t="shared" si="37"/>
        <v/>
      </c>
      <c r="D1832" s="2579" t="str">
        <f t="shared" si="37"/>
        <v/>
      </c>
      <c r="E1832" s="2579" t="str">
        <f t="shared" si="37"/>
        <v/>
      </c>
      <c r="F1832" s="2579" t="str">
        <f t="shared" si="37"/>
        <v/>
      </c>
      <c r="G1832" s="2579" t="str">
        <f t="shared" si="37"/>
        <v/>
      </c>
    </row>
    <row r="1833" spans="1:7" ht="17.25" x14ac:dyDescent="0.3">
      <c r="A1833" s="1400" t="s">
        <v>819</v>
      </c>
      <c r="B1833" s="2579" t="str">
        <f t="shared" ref="B1833:G1833" si="38">IF(B1814="","",IF(B1831=0,1.17,IF(B1831=1,1.2,IF(B1831=2,1.25,IF(B1831&gt;2,1.33)))))</f>
        <v/>
      </c>
      <c r="C1833" s="2579" t="str">
        <f t="shared" si="38"/>
        <v/>
      </c>
      <c r="D1833" s="2579" t="str">
        <f t="shared" si="38"/>
        <v/>
      </c>
      <c r="E1833" s="2579" t="str">
        <f t="shared" si="38"/>
        <v/>
      </c>
      <c r="F1833" s="2579" t="str">
        <f t="shared" si="38"/>
        <v/>
      </c>
      <c r="G1833" s="2579" t="str">
        <f t="shared" si="38"/>
        <v/>
      </c>
    </row>
    <row r="1834" spans="1:7" ht="18.75" x14ac:dyDescent="0.35">
      <c r="A1834" s="2577" t="s">
        <v>4330</v>
      </c>
      <c r="B1834" s="2579" t="str">
        <f t="shared" ref="B1834:G1834" si="39">IF(B1814="","",B1816*B1833)</f>
        <v/>
      </c>
      <c r="C1834" s="2579" t="str">
        <f t="shared" si="39"/>
        <v/>
      </c>
      <c r="D1834" s="2579" t="str">
        <f t="shared" si="39"/>
        <v/>
      </c>
      <c r="E1834" s="2579" t="str">
        <f t="shared" si="39"/>
        <v/>
      </c>
      <c r="F1834" s="2579" t="str">
        <f t="shared" si="39"/>
        <v/>
      </c>
      <c r="G1834" s="2579" t="str">
        <f t="shared" si="39"/>
        <v/>
      </c>
    </row>
    <row r="1835" spans="1:7" ht="15.75" x14ac:dyDescent="0.25">
      <c r="A1835" s="2968" t="s">
        <v>4485</v>
      </c>
      <c r="B1835" s="2634"/>
      <c r="C1835" s="2634"/>
      <c r="D1835" s="2634"/>
      <c r="E1835" s="2634"/>
      <c r="F1835" s="2634"/>
      <c r="G1835" s="2634"/>
    </row>
    <row r="1836" spans="1:7" ht="18.75" x14ac:dyDescent="0.3">
      <c r="A1836" s="1298" t="s">
        <v>4486</v>
      </c>
      <c r="B1836" s="362"/>
    </row>
    <row r="1837" spans="1:7" ht="22.5" x14ac:dyDescent="0.35">
      <c r="A1837" s="309" t="s">
        <v>820</v>
      </c>
      <c r="B1837" s="213"/>
    </row>
    <row r="1838" spans="1:7" ht="19.5" x14ac:dyDescent="0.3">
      <c r="A1838" s="818" t="s">
        <v>821</v>
      </c>
    </row>
    <row r="1839" spans="1:7" ht="15.75" x14ac:dyDescent="0.25">
      <c r="A1839" s="818" t="s">
        <v>6597</v>
      </c>
      <c r="B1839" s="1074" t="e">
        <f>(SUM(B1834:G1834)/(SUM(B1816:G1816)))</f>
        <v>#DIV/0!</v>
      </c>
    </row>
    <row r="1840" spans="1:7" ht="15.75" x14ac:dyDescent="0.25">
      <c r="A1840" s="829" t="s">
        <v>2069</v>
      </c>
      <c r="B1840" s="2962" t="e">
        <f>IF(B1720=2,B1768*(B1839-1),B1748*(B1839-1))</f>
        <v>#VALUE!</v>
      </c>
    </row>
    <row r="1841" spans="1:38" ht="15.75" x14ac:dyDescent="0.25">
      <c r="A1841" s="825" t="s">
        <v>2097</v>
      </c>
      <c r="B1841" s="793"/>
    </row>
    <row r="1842" spans="1:38" ht="15.75" x14ac:dyDescent="0.25">
      <c r="A1842" s="829" t="s">
        <v>5413</v>
      </c>
      <c r="B1842" s="2962" t="e">
        <f>IF(B1720=2,B1768,B1748)+B1841</f>
        <v>#VALUE!</v>
      </c>
    </row>
    <row r="1843" spans="1:38" ht="19.5" x14ac:dyDescent="0.3">
      <c r="A1843" s="829" t="s">
        <v>5415</v>
      </c>
      <c r="B1843" s="2711" t="e">
        <f>B1842/IF(B1720=2,B1768,B1748)</f>
        <v>#VALUE!</v>
      </c>
    </row>
    <row r="1844" spans="1:38" ht="15.75" x14ac:dyDescent="0.25">
      <c r="B1844" s="2734"/>
      <c r="C1844" s="8"/>
      <c r="D1844" s="8"/>
    </row>
    <row r="1845" spans="1:38" ht="32.25" customHeight="1" x14ac:dyDescent="0.3">
      <c r="A1845" s="4204" t="str">
        <f>IF(B2201=1,"Вы перенесли  таблицы в текст записки? 1 - Да, 2 - Нет","не вводить!")</f>
        <v>не вводить!</v>
      </c>
      <c r="B1845" s="4205"/>
      <c r="C1845" s="4108"/>
      <c r="D1845" s="4108"/>
    </row>
    <row r="1846" spans="1:38" ht="21" customHeight="1" x14ac:dyDescent="0.2">
      <c r="A1846" s="4185" t="str">
        <f>IF(B1845=1,"Переходите по ссылке","")</f>
        <v/>
      </c>
      <c r="B1846" s="4108"/>
      <c r="C1846" s="4108"/>
      <c r="D1846" s="4108"/>
    </row>
    <row r="1847" spans="1:38" ht="57.75" customHeight="1" x14ac:dyDescent="0.25">
      <c r="A1847" s="4107" t="s">
        <v>2577</v>
      </c>
      <c r="D1847" s="3081"/>
      <c r="E1847" s="3081"/>
      <c r="F1847" s="3081"/>
      <c r="G1847" s="3081"/>
      <c r="H1847" s="3081"/>
      <c r="I1847" s="3081"/>
      <c r="O1847" s="213"/>
    </row>
    <row r="1848" spans="1:38" ht="15.75" x14ac:dyDescent="0.25">
      <c r="A1848" s="526"/>
      <c r="B1848" s="2634"/>
      <c r="C1848" s="8"/>
    </row>
    <row r="1849" spans="1:38" ht="18.75" x14ac:dyDescent="0.3">
      <c r="A1849" s="2671" t="s">
        <v>6610</v>
      </c>
      <c r="C1849" s="8"/>
    </row>
    <row r="1850" spans="1:38" ht="18.75" x14ac:dyDescent="0.3">
      <c r="A1850" s="4004" t="s">
        <v>5760</v>
      </c>
      <c r="B1850" s="3103" t="str">
        <f>IF(B396=1,"панельный",IF(B396=2,"погоризонтный",IF(B396=3,"этажный")))</f>
        <v>панельный</v>
      </c>
      <c r="C1850" s="8"/>
    </row>
    <row r="1851" spans="1:38" ht="31.5" customHeight="1" x14ac:dyDescent="0.3">
      <c r="A1851" s="4004" t="s">
        <v>928</v>
      </c>
      <c r="B1851" s="2579" t="s">
        <v>5755</v>
      </c>
      <c r="C1851" s="8"/>
    </row>
    <row r="1852" spans="1:38" ht="15.75" x14ac:dyDescent="0.25">
      <c r="A1852" s="3099" t="e">
        <f>A2284</f>
        <v>#N/A</v>
      </c>
      <c r="B1852" s="2579">
        <f>B817</f>
        <v>0</v>
      </c>
      <c r="C1852" s="8"/>
    </row>
    <row r="1853" spans="1:38" ht="18.75" x14ac:dyDescent="0.3">
      <c r="A1853" s="2070"/>
      <c r="B1853" s="2634"/>
      <c r="C1853" s="8"/>
      <c r="AD1853">
        <v>1</v>
      </c>
      <c r="AE1853">
        <v>2</v>
      </c>
      <c r="AF1853">
        <v>3</v>
      </c>
      <c r="AG1853">
        <v>4</v>
      </c>
      <c r="AH1853">
        <v>5</v>
      </c>
      <c r="AI1853">
        <v>6</v>
      </c>
      <c r="AJ1853">
        <v>7</v>
      </c>
      <c r="AK1853">
        <v>8</v>
      </c>
      <c r="AL1853">
        <v>9</v>
      </c>
    </row>
    <row r="1854" spans="1:38" ht="15.75" x14ac:dyDescent="0.25">
      <c r="A1854" s="2056" t="s">
        <v>5753</v>
      </c>
      <c r="R1854">
        <v>1</v>
      </c>
      <c r="S1854">
        <v>1</v>
      </c>
      <c r="T1854">
        <v>2</v>
      </c>
      <c r="U1854">
        <v>2</v>
      </c>
      <c r="V1854">
        <v>1</v>
      </c>
      <c r="W1854">
        <v>2</v>
      </c>
      <c r="X1854">
        <v>2</v>
      </c>
      <c r="Y1854">
        <v>2</v>
      </c>
      <c r="Z1854">
        <v>2</v>
      </c>
      <c r="AD1854">
        <v>1</v>
      </c>
      <c r="AE1854">
        <v>1</v>
      </c>
      <c r="AF1854">
        <v>2</v>
      </c>
      <c r="AG1854">
        <v>2</v>
      </c>
      <c r="AH1854">
        <v>1</v>
      </c>
      <c r="AI1854">
        <v>2</v>
      </c>
      <c r="AJ1854">
        <v>2</v>
      </c>
      <c r="AK1854">
        <v>2</v>
      </c>
      <c r="AL1854">
        <v>2</v>
      </c>
    </row>
    <row r="1855" spans="1:38" ht="31.5" x14ac:dyDescent="0.25">
      <c r="A1855" s="875" t="s">
        <v>6559</v>
      </c>
      <c r="B1855" s="3098"/>
      <c r="C1855" s="3101" t="e">
        <f>IF(B1855=INDEX(R1854:Z1854,B1852),"","А если подумать?")</f>
        <v>#VALUE!</v>
      </c>
      <c r="R1855">
        <v>1</v>
      </c>
      <c r="S1855">
        <v>3</v>
      </c>
      <c r="T1855">
        <v>2</v>
      </c>
      <c r="U1855">
        <v>3</v>
      </c>
      <c r="V1855">
        <v>3</v>
      </c>
      <c r="W1855">
        <v>2</v>
      </c>
      <c r="X1855">
        <v>3</v>
      </c>
      <c r="Y1855">
        <v>2</v>
      </c>
      <c r="Z1855">
        <v>3</v>
      </c>
      <c r="AD1855">
        <v>1</v>
      </c>
      <c r="AE1855">
        <v>3</v>
      </c>
      <c r="AF1855">
        <v>2</v>
      </c>
      <c r="AG1855">
        <v>3</v>
      </c>
      <c r="AH1855">
        <v>3</v>
      </c>
      <c r="AI1855">
        <v>2</v>
      </c>
      <c r="AJ1855">
        <v>3</v>
      </c>
      <c r="AK1855">
        <v>2</v>
      </c>
      <c r="AL1855">
        <v>3</v>
      </c>
    </row>
    <row r="1856" spans="1:38" ht="47.25" x14ac:dyDescent="0.25">
      <c r="A1856" s="875" t="s">
        <v>5754</v>
      </c>
      <c r="B1856" s="3098"/>
      <c r="C1856" s="3101" t="e">
        <f>IF(B1856=INDEX(R1855:Z1855,B1852),"","А если подумать?")</f>
        <v>#VALUE!</v>
      </c>
      <c r="Q1856">
        <v>30</v>
      </c>
      <c r="R1856">
        <v>0</v>
      </c>
      <c r="S1856">
        <v>30</v>
      </c>
      <c r="T1856">
        <v>0</v>
      </c>
      <c r="U1856">
        <v>0</v>
      </c>
      <c r="V1856">
        <v>30</v>
      </c>
      <c r="W1856">
        <v>0</v>
      </c>
      <c r="X1856">
        <v>30</v>
      </c>
      <c r="Y1856">
        <v>0</v>
      </c>
      <c r="AD1856">
        <v>30</v>
      </c>
      <c r="AE1856">
        <v>0</v>
      </c>
      <c r="AF1856">
        <v>30</v>
      </c>
      <c r="AG1856">
        <v>0</v>
      </c>
      <c r="AH1856">
        <v>0</v>
      </c>
      <c r="AI1856">
        <v>30</v>
      </c>
      <c r="AJ1856">
        <v>0</v>
      </c>
      <c r="AK1856">
        <v>30</v>
      </c>
      <c r="AL1856">
        <v>0</v>
      </c>
    </row>
    <row r="1857" spans="1:15" ht="31.5" x14ac:dyDescent="0.25">
      <c r="A1857" s="875" t="s">
        <v>5757</v>
      </c>
      <c r="B1857" s="3098"/>
      <c r="C1857" s="3101" t="e">
        <f>IF(B1857=INDEX(Q1856:Y1856,B1852),"","А если подумать?")</f>
        <v>#VALUE!</v>
      </c>
    </row>
    <row r="1858" spans="1:15" ht="31.5" x14ac:dyDescent="0.25">
      <c r="A1858" s="875" t="s">
        <v>6668</v>
      </c>
      <c r="B1858" s="4096">
        <f>B1252</f>
        <v>0</v>
      </c>
      <c r="C1858" s="8"/>
    </row>
    <row r="1859" spans="1:15" ht="15.75" x14ac:dyDescent="0.25">
      <c r="A1859" s="2056" t="s">
        <v>5756</v>
      </c>
      <c r="B1859" s="2634"/>
      <c r="C1859" s="8"/>
    </row>
    <row r="1860" spans="1:15" ht="15.75" x14ac:dyDescent="0.25">
      <c r="A1860" s="2056" t="s">
        <v>5758</v>
      </c>
      <c r="C1860" s="8"/>
    </row>
    <row r="1861" spans="1:15" ht="15.75" x14ac:dyDescent="0.25">
      <c r="A1861" s="875" t="s">
        <v>5759</v>
      </c>
      <c r="B1861" s="2730">
        <f>B1103</f>
        <v>0</v>
      </c>
      <c r="C1861" s="3101" t="str">
        <f>IF(B1862="","",IF(B1862=H1861,"","Стоит подумать!!!"))</f>
        <v/>
      </c>
      <c r="H1861" s="3100">
        <f>B1861+IF(B1855=2,B1858,0)+IF(B1856=2,B1858,0)+B1857</f>
        <v>0</v>
      </c>
    </row>
    <row r="1862" spans="1:15" ht="15.75" x14ac:dyDescent="0.25">
      <c r="A1862" s="875" t="s">
        <v>6558</v>
      </c>
      <c r="B1862" s="4098">
        <f>B1255</f>
        <v>0</v>
      </c>
      <c r="C1862" s="2616"/>
      <c r="F1862" s="8"/>
      <c r="O1862" s="213"/>
    </row>
    <row r="1863" spans="1:15" ht="15.75" x14ac:dyDescent="0.25">
      <c r="A1863" s="818" t="s">
        <v>1370</v>
      </c>
      <c r="B1863" s="2615"/>
      <c r="C1863" s="2616"/>
      <c r="F1863" s="8"/>
      <c r="O1863" s="213"/>
    </row>
    <row r="1864" spans="1:15" ht="15.75" x14ac:dyDescent="0.25">
      <c r="A1864" s="818" t="s">
        <v>1371</v>
      </c>
      <c r="B1864" s="2615"/>
      <c r="C1864" s="2616"/>
      <c r="F1864" s="8"/>
      <c r="O1864" s="213"/>
    </row>
    <row r="1865" spans="1:15" ht="15.75" x14ac:dyDescent="0.25">
      <c r="A1865" s="818" t="s">
        <v>1887</v>
      </c>
      <c r="B1865" s="2615"/>
      <c r="C1865" s="2616"/>
      <c r="F1865" s="8"/>
      <c r="O1865" s="213"/>
    </row>
    <row r="1866" spans="1:15" ht="15.75" x14ac:dyDescent="0.25">
      <c r="A1866" s="818" t="s">
        <v>4494</v>
      </c>
      <c r="B1866" s="2615"/>
      <c r="C1866" s="2616"/>
      <c r="F1866" s="8"/>
      <c r="O1866" s="213"/>
    </row>
    <row r="1867" spans="1:15" ht="15.75" x14ac:dyDescent="0.25">
      <c r="A1867" s="818" t="s">
        <v>1888</v>
      </c>
      <c r="B1867" s="2615"/>
      <c r="C1867" s="2616"/>
      <c r="F1867" s="8"/>
      <c r="O1867" s="213"/>
    </row>
    <row r="1868" spans="1:15" ht="15.75" x14ac:dyDescent="0.25">
      <c r="A1868" s="818" t="s">
        <v>2218</v>
      </c>
      <c r="C1868" s="2616"/>
      <c r="F1868" s="8"/>
      <c r="O1868" s="213"/>
    </row>
    <row r="1869" spans="1:15" ht="15.75" x14ac:dyDescent="0.25">
      <c r="A1869" s="818" t="s">
        <v>933</v>
      </c>
      <c r="B1869" s="2956" t="str">
        <f>B178</f>
        <v/>
      </c>
      <c r="C1869" s="2616"/>
      <c r="F1869" s="8"/>
      <c r="O1869" s="213"/>
    </row>
    <row r="1870" spans="1:15" ht="15.75" x14ac:dyDescent="0.25">
      <c r="A1870" s="1917" t="s">
        <v>3469</v>
      </c>
      <c r="B1870" s="2956" t="str">
        <f>B176</f>
        <v/>
      </c>
      <c r="F1870" s="8"/>
      <c r="O1870" s="213"/>
    </row>
    <row r="1871" spans="1:15" ht="31.5" x14ac:dyDescent="0.25">
      <c r="A1871" s="875" t="s">
        <v>6563</v>
      </c>
      <c r="B1871" s="2628"/>
      <c r="C1871" s="3005" t="b">
        <f>IF(B1871=2,"Одногоризонтное вскрытие",IF(B1871&gt;2,"Многогоризонтное вскрытие"))</f>
        <v>0</v>
      </c>
      <c r="F1871" s="8"/>
      <c r="O1871" s="213"/>
    </row>
    <row r="1872" spans="1:15" ht="18" customHeight="1" x14ac:dyDescent="0.25">
      <c r="A1872" s="875" t="str">
        <f>IF(B396=1,"Количество выемочных участков по падению пласта","-------------------------")</f>
        <v>Количество выемочных участков по падению пласта</v>
      </c>
      <c r="B1872" s="3102" t="e">
        <f>IF(B396=1,B1870/B1862,"------")</f>
        <v>#VALUE!</v>
      </c>
      <c r="C1872" s="4340" t="str">
        <f>IF(B396=1,"размер самого нижнего выемочного участка","")</f>
        <v>размер самого нижнего выемочного участка</v>
      </c>
      <c r="D1872" s="4341"/>
      <c r="E1872" s="4341"/>
      <c r="F1872" s="4342"/>
      <c r="G1872" s="4081" t="e">
        <f>IF(B396=1,IF(B1873=ROUNDDOWN(B1873,0),B1862*(B1872-B1873)+B1862,IF(B1873=ROUNDUP(B1872,0),B1862-B1862*(B1873-B1872))),"")</f>
        <v>#VALUE!</v>
      </c>
      <c r="O1872" s="213"/>
    </row>
    <row r="1873" spans="1:15" ht="15.75" x14ac:dyDescent="0.25">
      <c r="A1873" s="875" t="str">
        <f>IF(B396=1,"Примите ближайшее целое число выемочных участков","--------------------")</f>
        <v>Примите ближайшее целое число выемочных участков</v>
      </c>
      <c r="B1873" s="2628"/>
      <c r="F1873" s="8"/>
      <c r="O1873" s="213"/>
    </row>
    <row r="1874" spans="1:15" x14ac:dyDescent="0.2">
      <c r="A1874" s="5" t="str">
        <f>IF(B396=1,"Количество выемочных участков в первой ступени","--------------------------")</f>
        <v>Количество выемочных участков в первой ступени</v>
      </c>
      <c r="B1874" s="2628"/>
      <c r="C1874" s="2616"/>
      <c r="F1874" s="8"/>
      <c r="O1874" s="213"/>
    </row>
    <row r="1875" spans="1:15" ht="15.75" x14ac:dyDescent="0.25">
      <c r="A1875" s="875" t="str">
        <f>IF(B396=1,"Размер  первой   ступени, м","--------------------------")</f>
        <v>Размер  первой   ступени, м</v>
      </c>
      <c r="B1875" s="2961">
        <f>IF(B396=1,B1255*B1874,"----------------")</f>
        <v>0</v>
      </c>
      <c r="C1875" s="2616"/>
      <c r="F1875" s="8"/>
      <c r="O1875" s="213"/>
    </row>
    <row r="1876" spans="1:15" x14ac:dyDescent="0.2">
      <c r="A1876" s="5" t="str">
        <f>IF(AND(B396=1,B1871=2),"Количество выемочных участков во второй ступени","--------------------")</f>
        <v>--------------------</v>
      </c>
      <c r="B1876" s="3075" t="str">
        <f>IF(AND(B396=1,B1871=2),B1873-B1874,"----------")</f>
        <v>----------</v>
      </c>
      <c r="C1876" s="2616"/>
      <c r="F1876" s="8"/>
      <c r="O1876" s="213"/>
    </row>
    <row r="1877" spans="1:15" ht="15.75" x14ac:dyDescent="0.25">
      <c r="A1877" s="875" t="str">
        <f>IF(AND(B396=1,B1871=2),"Размер второй  ступени, м","---------------------")</f>
        <v>---------------------</v>
      </c>
      <c r="B1877" s="4042" t="str">
        <f>IF(AND(B396=1,B1871=2),B1870-B1875,"-------")</f>
        <v>-------</v>
      </c>
      <c r="C1877" s="2616"/>
      <c r="D1877" s="3010"/>
      <c r="E1877" s="3010"/>
      <c r="F1877" s="3010"/>
      <c r="G1877" s="3010"/>
      <c r="O1877" s="213"/>
    </row>
    <row r="1878" spans="1:15" x14ac:dyDescent="0.2">
      <c r="A1878" t="str">
        <f>IF(AND(B396=1,B1871&gt;2),"Количество выемочных участков во второй  ступени","-----------------")</f>
        <v>-----------------</v>
      </c>
      <c r="B1878" s="3908"/>
      <c r="C1878" s="2616"/>
      <c r="F1878" s="8"/>
      <c r="O1878" s="213"/>
    </row>
    <row r="1879" spans="1:15" x14ac:dyDescent="0.2">
      <c r="A1879" t="str">
        <f>IF(AND(B396=1,B1871&gt;2),"Размер второй выемочной ступени","-----------------")</f>
        <v>-----------------</v>
      </c>
      <c r="B1879" s="3041">
        <f>IF(AND(B396=1,B1871&gt;2),B1878*B1862,0)</f>
        <v>0</v>
      </c>
      <c r="C1879" s="2616"/>
      <c r="F1879" s="8"/>
      <c r="O1879" s="213"/>
    </row>
    <row r="1880" spans="1:15" ht="15.75" x14ac:dyDescent="0.25">
      <c r="A1880" s="5" t="str">
        <f>IF(AND(B1871&gt;3,B396=1),"Количество выемочных участков в третьей ступени","---------------------")</f>
        <v>---------------------</v>
      </c>
      <c r="B1880" s="4082"/>
      <c r="C1880" s="2616"/>
      <c r="F1880" s="8"/>
      <c r="O1880" s="213"/>
    </row>
    <row r="1881" spans="1:15" x14ac:dyDescent="0.2">
      <c r="A1881" s="5" t="str">
        <f>IF(AND(B1871&gt;3,B396=1),"размер третьей выемочной ступени, м","---------------------")</f>
        <v>---------------------</v>
      </c>
      <c r="B1881" s="4005">
        <f>IF(AND(B1871&gt;3,B396=1),B1880*B1862,0)</f>
        <v>0</v>
      </c>
      <c r="C1881" s="2616"/>
      <c r="F1881" s="8"/>
      <c r="O1881" s="213"/>
    </row>
    <row r="1882" spans="1:15" x14ac:dyDescent="0.2">
      <c r="A1882" s="5" t="str">
        <f>IF(AND(B1871&gt;3,B396=1),"Размер четвертой выемочной ступени, м","------------------")</f>
        <v>------------------</v>
      </c>
      <c r="B1882" s="4005" t="str">
        <f>IF(AND(B1871&gt;3,B396=1),B1870-B1875-B1879-B1881,"----------")</f>
        <v>----------</v>
      </c>
      <c r="C1882" s="2616"/>
      <c r="F1882" s="8"/>
      <c r="O1882" s="213"/>
    </row>
    <row r="1883" spans="1:15" x14ac:dyDescent="0.2">
      <c r="A1883" s="5" t="str">
        <f>IF(B396=1,"Размер самой нижней ступени, м","----------------------")</f>
        <v>Размер самой нижней ступени, м</v>
      </c>
      <c r="B1883" s="4005" t="e">
        <f>IF(B396=1,B1870-B1875-B1879-B1881,"------")</f>
        <v>#VALUE!</v>
      </c>
      <c r="C1883" s="2616"/>
      <c r="F1883" s="8"/>
      <c r="O1883" s="213"/>
    </row>
    <row r="1884" spans="1:15" x14ac:dyDescent="0.2">
      <c r="A1884" s="5" t="str">
        <f>IF(B396=2,"Размер первой ступени","-------------------------")</f>
        <v>-------------------------</v>
      </c>
      <c r="B1884" s="3061"/>
      <c r="C1884" s="2616"/>
      <c r="F1884" s="8"/>
      <c r="O1884" s="213"/>
    </row>
    <row r="1885" spans="1:15" x14ac:dyDescent="0.2">
      <c r="A1885" s="5" t="str">
        <f>IF(AND(B396=2,B1871&gt;=2),"Размер второй ступени, м","------------------")</f>
        <v>------------------</v>
      </c>
      <c r="B1885" s="3061"/>
      <c r="C1885" s="2616"/>
      <c r="F1885" s="8"/>
      <c r="O1885" s="213"/>
    </row>
    <row r="1886" spans="1:15" x14ac:dyDescent="0.2">
      <c r="A1886" s="5" t="str">
        <f>IF(AND(B396=2,B1871&gt;3),"Размер третьей ступени, м","------------------")</f>
        <v>------------------</v>
      </c>
      <c r="B1886" s="3061"/>
      <c r="C1886" s="2616"/>
      <c r="F1886" s="8"/>
      <c r="O1886" s="213"/>
    </row>
    <row r="1887" spans="1:15" x14ac:dyDescent="0.2">
      <c r="A1887" s="5" t="str">
        <f>IF(B396=2,"Размер самой нижней ступени, м","--------------")</f>
        <v>--------------</v>
      </c>
      <c r="B1887" s="2992" t="str">
        <f>IF(B396=2,B1870-B1884-B1885-B1886,"")</f>
        <v/>
      </c>
      <c r="C1887" s="2616"/>
      <c r="F1887" s="8"/>
      <c r="O1887" s="213"/>
    </row>
    <row r="1888" spans="1:15" x14ac:dyDescent="0.2">
      <c r="C1888" s="2616"/>
      <c r="F1888" s="8"/>
      <c r="O1888" s="213"/>
    </row>
    <row r="1889" spans="1:15" ht="18" x14ac:dyDescent="0.25">
      <c r="A1889" s="4206"/>
      <c r="B1889" s="3061"/>
      <c r="C1889" s="2616"/>
      <c r="F1889" s="8"/>
      <c r="O1889" s="213"/>
    </row>
    <row r="1890" spans="1:15" x14ac:dyDescent="0.2">
      <c r="A1890" s="4195" t="str">
        <f>IF(B1889=1,"Переходите по ссылке","")</f>
        <v/>
      </c>
      <c r="C1890" s="2616"/>
      <c r="F1890" s="8"/>
      <c r="O1890" s="213"/>
    </row>
    <row r="1891" spans="1:15" x14ac:dyDescent="0.2">
      <c r="C1891" s="2616"/>
      <c r="F1891" s="8"/>
      <c r="O1891" s="213"/>
    </row>
    <row r="1892" spans="1:15" x14ac:dyDescent="0.2">
      <c r="B1892" s="2960"/>
      <c r="C1892" s="2616"/>
      <c r="F1892" s="8"/>
      <c r="O1892" s="213"/>
    </row>
    <row r="1893" spans="1:15" ht="15.75" x14ac:dyDescent="0.25">
      <c r="A1893" s="881"/>
      <c r="B1893" s="2960"/>
      <c r="C1893" s="2616"/>
      <c r="F1893" s="8"/>
      <c r="O1893" s="213"/>
    </row>
    <row r="1894" spans="1:15" ht="15.75" x14ac:dyDescent="0.25">
      <c r="A1894" s="881"/>
      <c r="B1894" s="2615"/>
      <c r="C1894" s="2616"/>
      <c r="F1894" s="8"/>
      <c r="O1894" s="213"/>
    </row>
    <row r="1895" spans="1:15" ht="15.75" x14ac:dyDescent="0.25">
      <c r="A1895" s="3105" t="s">
        <v>4480</v>
      </c>
      <c r="C1895" s="2616"/>
      <c r="F1895" s="8"/>
      <c r="O1895" s="213"/>
    </row>
    <row r="1896" spans="1:15" ht="15.75" x14ac:dyDescent="0.25">
      <c r="A1896" s="2483" t="s">
        <v>1640</v>
      </c>
      <c r="B1896" s="345">
        <f>IF(B1871=2,ROW(1897:1897),ROW(1997:1997))</f>
        <v>1997</v>
      </c>
      <c r="C1896" s="2616"/>
      <c r="F1896" s="8"/>
      <c r="O1896" s="213"/>
    </row>
    <row r="1897" spans="1:15" x14ac:dyDescent="0.2">
      <c r="B1897" s="2615"/>
      <c r="C1897" s="2616"/>
      <c r="F1897" s="8"/>
      <c r="O1897" s="213"/>
    </row>
    <row r="1898" spans="1:15" ht="15.75" x14ac:dyDescent="0.25">
      <c r="A1898" s="872" t="s">
        <v>4481</v>
      </c>
      <c r="B1898" s="2615"/>
      <c r="C1898" s="2616"/>
      <c r="F1898" s="8"/>
      <c r="O1898" s="213"/>
    </row>
    <row r="1899" spans="1:15" ht="15.75" x14ac:dyDescent="0.25">
      <c r="A1899" s="818" t="s">
        <v>4201</v>
      </c>
      <c r="B1899" s="2615"/>
      <c r="C1899" s="2616"/>
      <c r="F1899" s="8"/>
      <c r="O1899" s="213"/>
    </row>
    <row r="1900" spans="1:15" ht="15.75" x14ac:dyDescent="0.25">
      <c r="A1900" s="818" t="s">
        <v>4482</v>
      </c>
      <c r="B1900" s="2615"/>
      <c r="C1900" s="2616"/>
      <c r="F1900" s="8"/>
      <c r="O1900" s="213"/>
    </row>
    <row r="1901" spans="1:15" ht="15.75" x14ac:dyDescent="0.25">
      <c r="A1901" s="818" t="s">
        <v>4483</v>
      </c>
      <c r="B1901" s="2615"/>
      <c r="C1901" s="2616"/>
      <c r="F1901" s="8"/>
      <c r="O1901" s="213"/>
    </row>
    <row r="1902" spans="1:15" ht="20.25" x14ac:dyDescent="0.35">
      <c r="A1902" s="818" t="s">
        <v>4484</v>
      </c>
      <c r="B1902" s="2615"/>
      <c r="C1902" s="2616"/>
      <c r="F1902" s="8"/>
      <c r="O1902" s="213"/>
    </row>
    <row r="1903" spans="1:15" ht="18.75" x14ac:dyDescent="0.3">
      <c r="A1903" s="818" t="s">
        <v>4374</v>
      </c>
      <c r="B1903" s="2615"/>
      <c r="C1903" s="2616"/>
      <c r="F1903" s="8"/>
      <c r="O1903" s="213"/>
    </row>
    <row r="1904" spans="1:15" ht="15.75" x14ac:dyDescent="0.25">
      <c r="A1904" s="818" t="s">
        <v>3780</v>
      </c>
      <c r="B1904" s="2615"/>
      <c r="C1904" s="2616"/>
      <c r="F1904" s="8"/>
      <c r="O1904" s="213"/>
    </row>
    <row r="1905" spans="1:15" ht="15.75" x14ac:dyDescent="0.25">
      <c r="A1905" s="818" t="s">
        <v>3781</v>
      </c>
      <c r="B1905" s="2615"/>
      <c r="C1905" s="2616"/>
      <c r="F1905" s="8"/>
      <c r="O1905" s="213"/>
    </row>
    <row r="1906" spans="1:15" ht="15.75" x14ac:dyDescent="0.25">
      <c r="A1906" s="818" t="s">
        <v>2468</v>
      </c>
      <c r="B1906" s="2615"/>
      <c r="C1906" s="2616"/>
      <c r="F1906" s="8"/>
      <c r="O1906" s="213"/>
    </row>
    <row r="1907" spans="1:15" ht="17.25" x14ac:dyDescent="0.3">
      <c r="A1907" s="818" t="s">
        <v>4373</v>
      </c>
      <c r="B1907" s="2615"/>
      <c r="C1907" s="2616"/>
      <c r="F1907" s="8"/>
      <c r="O1907" s="213"/>
    </row>
    <row r="1908" spans="1:15" ht="17.25" x14ac:dyDescent="0.3">
      <c r="A1908" s="818" t="s">
        <v>4375</v>
      </c>
      <c r="B1908" s="2615"/>
      <c r="C1908" s="2616"/>
      <c r="F1908" s="8"/>
      <c r="O1908" s="213"/>
    </row>
    <row r="1909" spans="1:15" ht="17.25" x14ac:dyDescent="0.3">
      <c r="A1909" s="818" t="s">
        <v>4376</v>
      </c>
      <c r="B1909" s="2615"/>
      <c r="C1909" s="2616"/>
      <c r="F1909" s="8"/>
      <c r="O1909" s="213"/>
    </row>
    <row r="1910" spans="1:15" ht="17.25" x14ac:dyDescent="0.3">
      <c r="A1910" s="818" t="s">
        <v>4202</v>
      </c>
      <c r="B1910" s="2615"/>
      <c r="C1910" s="2616"/>
      <c r="F1910" s="8"/>
      <c r="O1910" s="213"/>
    </row>
    <row r="1911" spans="1:15" ht="15.75" x14ac:dyDescent="0.25">
      <c r="A1911" s="818" t="s">
        <v>3466</v>
      </c>
      <c r="B1911" s="2615"/>
      <c r="C1911" s="2616"/>
      <c r="F1911" s="8"/>
      <c r="O1911" s="213"/>
    </row>
    <row r="1912" spans="1:15" ht="15.75" x14ac:dyDescent="0.25">
      <c r="A1912" s="818" t="s">
        <v>3467</v>
      </c>
      <c r="C1912" s="2616"/>
      <c r="F1912" s="8"/>
      <c r="O1912" s="213"/>
    </row>
    <row r="1913" spans="1:15" ht="17.25" x14ac:dyDescent="0.3">
      <c r="A1913" s="1392" t="s">
        <v>3471</v>
      </c>
      <c r="B1913" s="2956" t="str">
        <f>B179</f>
        <v/>
      </c>
      <c r="C1913" s="2616"/>
      <c r="F1913" s="8"/>
      <c r="O1913" s="213"/>
    </row>
    <row r="1914" spans="1:15" ht="15.75" x14ac:dyDescent="0.25">
      <c r="A1914" s="1392" t="s">
        <v>3468</v>
      </c>
      <c r="B1914" s="2956" t="str">
        <f>B178</f>
        <v/>
      </c>
      <c r="C1914" s="2616"/>
      <c r="F1914" s="8"/>
      <c r="O1914" s="213"/>
    </row>
    <row r="1915" spans="1:15" ht="17.25" x14ac:dyDescent="0.3">
      <c r="A1915" s="1392" t="s">
        <v>1641</v>
      </c>
      <c r="B1915" s="2958">
        <f>C2301</f>
        <v>0</v>
      </c>
      <c r="C1915" s="2616"/>
      <c r="F1915" s="8"/>
      <c r="O1915" s="213"/>
    </row>
    <row r="1916" spans="1:15" ht="17.25" x14ac:dyDescent="0.3">
      <c r="A1916" s="1392" t="s">
        <v>1642</v>
      </c>
      <c r="B1916" s="2958">
        <f>D2301</f>
        <v>0</v>
      </c>
      <c r="C1916" s="2616"/>
      <c r="F1916" s="8"/>
      <c r="O1916" s="213"/>
    </row>
    <row r="1917" spans="1:15" ht="17.25" x14ac:dyDescent="0.3">
      <c r="A1917" s="1392" t="s">
        <v>1643</v>
      </c>
      <c r="B1917" s="2958">
        <f>E2301</f>
        <v>0</v>
      </c>
      <c r="C1917" s="2616"/>
      <c r="F1917" s="8"/>
      <c r="O1917" s="213"/>
    </row>
    <row r="1918" spans="1:15" ht="17.25" x14ac:dyDescent="0.3">
      <c r="A1918" s="1392" t="s">
        <v>3470</v>
      </c>
      <c r="B1918" s="2958">
        <f>B2302</f>
        <v>0</v>
      </c>
      <c r="C1918" s="2616"/>
      <c r="F1918" s="8"/>
      <c r="O1918" s="213"/>
    </row>
    <row r="1919" spans="1:15" ht="36.75" customHeight="1" x14ac:dyDescent="0.25">
      <c r="A1919" s="1392" t="str">
        <f>IF(B396=1," Принятый размер бремсберговой панели, м","-------------------------------")</f>
        <v xml:space="preserve"> Принятый размер бремсберговой панели, м</v>
      </c>
      <c r="B1919" s="2958">
        <f>IF(B396=1,B1875,"--------")</f>
        <v>0</v>
      </c>
      <c r="C1919" s="2616"/>
      <c r="F1919" s="8"/>
      <c r="O1919" s="213"/>
    </row>
    <row r="1920" spans="1:15" ht="15.75" x14ac:dyDescent="0.25">
      <c r="A1920" s="875" t="str">
        <f>IF(B396=2,"   Какой размер первой (бремсберговой) выемочной ступении Вы предлагаете?","Не вводить !")</f>
        <v>Не вводить !</v>
      </c>
      <c r="B1920" s="2959"/>
      <c r="C1920" s="2616"/>
      <c r="F1920" s="8"/>
      <c r="O1920" s="213"/>
    </row>
    <row r="1921" spans="1:15" ht="15.75" x14ac:dyDescent="0.25">
      <c r="A1921" s="1392" t="s">
        <v>4497</v>
      </c>
      <c r="B1921" s="2958">
        <f>IF(B396=1,(B1873-B1874)*B1255,B1870-B1920)</f>
        <v>0</v>
      </c>
      <c r="C1921" s="2616"/>
      <c r="F1921" s="8"/>
      <c r="O1921" s="213"/>
    </row>
    <row r="1922" spans="1:15" ht="15.75" x14ac:dyDescent="0.25">
      <c r="A1922" s="818"/>
      <c r="B1922" s="2615"/>
      <c r="C1922" s="2616"/>
      <c r="F1922" s="8"/>
      <c r="O1922" s="213"/>
    </row>
    <row r="1923" spans="1:15" ht="15.75" x14ac:dyDescent="0.25">
      <c r="A1923" s="818"/>
      <c r="B1923" s="2615"/>
      <c r="C1923" s="2616"/>
      <c r="F1923" s="8"/>
      <c r="O1923" s="213"/>
    </row>
    <row r="1924" spans="1:15" ht="15.75" x14ac:dyDescent="0.25">
      <c r="A1924" s="818"/>
      <c r="B1924" s="2615"/>
      <c r="C1924" s="2616"/>
      <c r="F1924" s="8"/>
      <c r="O1924" s="213"/>
    </row>
    <row r="1925" spans="1:15" ht="15.75" x14ac:dyDescent="0.25">
      <c r="A1925" s="818"/>
      <c r="B1925" s="2615"/>
      <c r="C1925" s="2616"/>
      <c r="F1925" s="8"/>
      <c r="O1925" s="213"/>
    </row>
    <row r="1926" spans="1:15" ht="15.75" x14ac:dyDescent="0.25">
      <c r="A1926" s="818"/>
      <c r="B1926" s="2615"/>
      <c r="C1926" s="2616"/>
      <c r="F1926" s="8"/>
      <c r="O1926" s="213"/>
    </row>
    <row r="1927" spans="1:15" ht="15.75" x14ac:dyDescent="0.25">
      <c r="A1927" s="818"/>
      <c r="B1927" s="2615"/>
      <c r="C1927" s="2616"/>
      <c r="F1927" s="8"/>
      <c r="O1927" s="213"/>
    </row>
    <row r="1928" spans="1:15" ht="15.75" x14ac:dyDescent="0.25">
      <c r="A1928" s="818"/>
      <c r="B1928" s="2615"/>
      <c r="C1928" s="2616"/>
      <c r="F1928" s="8"/>
      <c r="O1928" s="213"/>
    </row>
    <row r="1929" spans="1:15" x14ac:dyDescent="0.2">
      <c r="B1929" s="2615"/>
      <c r="C1929" s="2616"/>
      <c r="F1929" s="8"/>
      <c r="O1929" s="213"/>
    </row>
    <row r="1930" spans="1:15" x14ac:dyDescent="0.2">
      <c r="B1930" s="2615"/>
      <c r="C1930" s="2616"/>
      <c r="F1930" s="8"/>
      <c r="O1930" s="213"/>
    </row>
    <row r="1931" spans="1:15" x14ac:dyDescent="0.2">
      <c r="B1931" s="2615"/>
      <c r="C1931" s="2616"/>
      <c r="F1931" s="8"/>
      <c r="O1931" s="213"/>
    </row>
    <row r="1932" spans="1:15" x14ac:dyDescent="0.2">
      <c r="B1932" s="2615"/>
      <c r="C1932" s="2616"/>
      <c r="F1932" s="8"/>
      <c r="O1932" s="213"/>
    </row>
    <row r="1933" spans="1:15" x14ac:dyDescent="0.2">
      <c r="B1933" s="2615"/>
      <c r="C1933" s="2616"/>
      <c r="F1933" s="8"/>
      <c r="O1933" s="213"/>
    </row>
    <row r="1934" spans="1:15" x14ac:dyDescent="0.2">
      <c r="B1934" s="2615"/>
      <c r="C1934" s="2616"/>
      <c r="F1934" s="8"/>
      <c r="O1934" s="213"/>
    </row>
    <row r="1937" spans="1:15" ht="17.25" x14ac:dyDescent="0.3">
      <c r="A1937" s="818" t="s">
        <v>2504</v>
      </c>
      <c r="B1937" s="2957"/>
      <c r="C1937" s="2616"/>
      <c r="F1937" s="8"/>
      <c r="O1937" s="213"/>
    </row>
    <row r="1938" spans="1:15" ht="15.75" x14ac:dyDescent="0.25">
      <c r="A1938" s="818" t="s">
        <v>4203</v>
      </c>
      <c r="B1938" s="2957"/>
      <c r="C1938" s="2616"/>
      <c r="F1938" s="8"/>
      <c r="O1938" s="213"/>
    </row>
    <row r="1939" spans="1:15" ht="15.75" x14ac:dyDescent="0.25">
      <c r="A1939" s="818" t="s">
        <v>4204</v>
      </c>
      <c r="B1939" s="2957"/>
      <c r="C1939" s="2616"/>
      <c r="F1939" s="8"/>
      <c r="O1939" s="213"/>
    </row>
    <row r="1940" spans="1:15" ht="15.75" x14ac:dyDescent="0.25">
      <c r="A1940" s="818" t="s">
        <v>2505</v>
      </c>
      <c r="B1940" s="2957"/>
      <c r="C1940" s="2616"/>
      <c r="F1940" s="8"/>
      <c r="O1940" s="213"/>
    </row>
    <row r="1941" spans="1:15" ht="15.75" x14ac:dyDescent="0.25">
      <c r="A1941" s="818"/>
      <c r="B1941" s="2957"/>
      <c r="C1941" s="2616"/>
      <c r="F1941" s="8"/>
      <c r="O1941" s="213"/>
    </row>
    <row r="1942" spans="1:15" ht="15.75" x14ac:dyDescent="0.25">
      <c r="A1942" s="818"/>
      <c r="B1942" s="2957"/>
      <c r="C1942" s="2616"/>
      <c r="E1942" t="s">
        <v>3231</v>
      </c>
      <c r="F1942" s="8"/>
      <c r="O1942" s="213"/>
    </row>
    <row r="1943" spans="1:15" ht="15.75" x14ac:dyDescent="0.25">
      <c r="A1943" s="818"/>
      <c r="B1943" s="2957"/>
      <c r="C1943" s="2616"/>
      <c r="F1943" s="8"/>
      <c r="O1943" s="213"/>
    </row>
    <row r="1944" spans="1:15" ht="15.75" x14ac:dyDescent="0.25">
      <c r="A1944" s="818"/>
      <c r="B1944" s="2957"/>
      <c r="C1944" s="2616"/>
      <c r="F1944" s="8"/>
      <c r="O1944" s="213"/>
    </row>
    <row r="1945" spans="1:15" ht="15.75" x14ac:dyDescent="0.25">
      <c r="A1945" s="818"/>
      <c r="B1945" s="2957"/>
      <c r="C1945" s="2616"/>
      <c r="F1945" s="8"/>
      <c r="O1945" s="213"/>
    </row>
    <row r="1946" spans="1:15" ht="15.75" x14ac:dyDescent="0.25">
      <c r="A1946" s="818"/>
      <c r="B1946" s="2957"/>
      <c r="C1946" s="2616"/>
      <c r="F1946" s="8"/>
      <c r="O1946" s="213"/>
    </row>
    <row r="1947" spans="1:15" ht="15.75" x14ac:dyDescent="0.25">
      <c r="A1947" s="818"/>
      <c r="B1947" s="2957"/>
      <c r="C1947" s="2616"/>
      <c r="F1947" s="8"/>
      <c r="O1947" s="213"/>
    </row>
    <row r="1948" spans="1:15" ht="15.75" x14ac:dyDescent="0.25">
      <c r="A1948" s="818"/>
      <c r="B1948" s="2957"/>
      <c r="C1948" s="2616"/>
      <c r="F1948" s="8"/>
      <c r="O1948" s="213"/>
    </row>
    <row r="1949" spans="1:15" ht="15.75" x14ac:dyDescent="0.25">
      <c r="A1949" s="818"/>
      <c r="B1949" s="2957"/>
      <c r="C1949" s="2616"/>
      <c r="F1949" s="8"/>
      <c r="O1949" s="213"/>
    </row>
    <row r="1950" spans="1:15" ht="15.75" x14ac:dyDescent="0.25">
      <c r="A1950" s="818"/>
      <c r="B1950" s="2957"/>
      <c r="C1950" s="2616"/>
      <c r="F1950" s="8"/>
      <c r="O1950" s="213"/>
    </row>
    <row r="1951" spans="1:15" ht="15.75" x14ac:dyDescent="0.25">
      <c r="A1951" s="818"/>
      <c r="B1951" s="2957"/>
      <c r="C1951" s="2616"/>
      <c r="F1951" s="8"/>
      <c r="O1951" s="213"/>
    </row>
    <row r="1952" spans="1:15" ht="15.75" x14ac:dyDescent="0.25">
      <c r="A1952" s="818"/>
      <c r="B1952" s="2957"/>
      <c r="C1952" s="2616"/>
      <c r="F1952" s="8"/>
      <c r="O1952" s="213"/>
    </row>
    <row r="1953" spans="1:15" ht="15.75" x14ac:dyDescent="0.25">
      <c r="A1953" s="818"/>
      <c r="B1953" s="2957"/>
      <c r="C1953" s="2616"/>
      <c r="F1953" s="8"/>
      <c r="O1953" s="213"/>
    </row>
    <row r="1954" spans="1:15" ht="15.75" x14ac:dyDescent="0.25">
      <c r="A1954" s="818"/>
      <c r="B1954" s="2957"/>
      <c r="C1954" s="2616"/>
      <c r="F1954" s="8"/>
      <c r="O1954" s="213"/>
    </row>
    <row r="1955" spans="1:15" ht="15.75" x14ac:dyDescent="0.25">
      <c r="A1955" s="818" t="s">
        <v>2506</v>
      </c>
      <c r="B1955" s="2957"/>
      <c r="C1955" s="2616"/>
      <c r="F1955" s="8"/>
      <c r="O1955" s="213"/>
    </row>
    <row r="1956" spans="1:15" ht="15.75" x14ac:dyDescent="0.25">
      <c r="A1956" s="818" t="s">
        <v>4205</v>
      </c>
      <c r="B1956" s="2957"/>
      <c r="C1956" s="2616"/>
      <c r="F1956" s="8"/>
      <c r="O1956" s="213"/>
    </row>
    <row r="1957" spans="1:15" ht="15.75" x14ac:dyDescent="0.25">
      <c r="A1957" s="818" t="s">
        <v>2507</v>
      </c>
      <c r="B1957" s="2957"/>
      <c r="C1957" s="2616"/>
      <c r="F1957" s="8"/>
      <c r="O1957" s="213"/>
    </row>
    <row r="1958" spans="1:15" ht="15.75" x14ac:dyDescent="0.25">
      <c r="A1958" s="818" t="s">
        <v>1652</v>
      </c>
      <c r="B1958" s="2957"/>
      <c r="C1958" s="2616"/>
      <c r="F1958" s="8"/>
      <c r="O1958" s="213"/>
    </row>
    <row r="1959" spans="1:15" ht="17.25" x14ac:dyDescent="0.3">
      <c r="A1959" s="818" t="s">
        <v>2508</v>
      </c>
      <c r="B1959" s="2957"/>
      <c r="C1959" s="2616"/>
      <c r="F1959" s="8"/>
      <c r="O1959" s="213"/>
    </row>
    <row r="1960" spans="1:15" ht="15.75" x14ac:dyDescent="0.25">
      <c r="A1960" s="818" t="s">
        <v>2509</v>
      </c>
      <c r="B1960" s="2957"/>
      <c r="C1960" s="2616"/>
      <c r="F1960" s="8"/>
      <c r="O1960" s="213"/>
    </row>
    <row r="1961" spans="1:15" ht="15.75" x14ac:dyDescent="0.25">
      <c r="A1961" s="818" t="s">
        <v>2510</v>
      </c>
      <c r="B1961" s="2957"/>
      <c r="C1961" s="2616"/>
      <c r="F1961" s="8"/>
      <c r="O1961" s="213"/>
    </row>
    <row r="1962" spans="1:15" ht="15.75" x14ac:dyDescent="0.25">
      <c r="A1962" s="818" t="s">
        <v>2511</v>
      </c>
      <c r="B1962" s="2615"/>
      <c r="C1962" s="2616"/>
      <c r="F1962" s="8"/>
      <c r="O1962" s="213"/>
    </row>
    <row r="1963" spans="1:15" ht="15.75" x14ac:dyDescent="0.25">
      <c r="A1963" s="818" t="s">
        <v>2512</v>
      </c>
      <c r="B1963" s="2615"/>
      <c r="C1963" s="2616"/>
      <c r="F1963" s="8"/>
      <c r="O1963" s="213"/>
    </row>
    <row r="1964" spans="1:15" ht="15.75" x14ac:dyDescent="0.25">
      <c r="A1964" s="818" t="s">
        <v>1636</v>
      </c>
      <c r="B1964" s="2615"/>
      <c r="C1964" s="2616"/>
      <c r="F1964" s="8"/>
      <c r="O1964" s="213"/>
    </row>
    <row r="1965" spans="1:15" ht="15.75" x14ac:dyDescent="0.25">
      <c r="A1965" s="818" t="s">
        <v>1637</v>
      </c>
      <c r="B1965" s="2615"/>
      <c r="C1965" s="2616"/>
      <c r="F1965" s="8"/>
      <c r="O1965" s="213"/>
    </row>
    <row r="1966" spans="1:15" ht="15.75" x14ac:dyDescent="0.25">
      <c r="A1966" s="818" t="s">
        <v>1638</v>
      </c>
      <c r="B1966" s="2615"/>
      <c r="C1966" s="2616"/>
      <c r="F1966" s="8"/>
      <c r="O1966" s="213"/>
    </row>
    <row r="1967" spans="1:15" ht="15.75" x14ac:dyDescent="0.25">
      <c r="A1967" s="818" t="s">
        <v>4206</v>
      </c>
      <c r="B1967" s="2615"/>
      <c r="C1967" s="2616"/>
      <c r="F1967" s="8"/>
      <c r="O1967" s="213"/>
    </row>
    <row r="1968" spans="1:15" ht="15.75" x14ac:dyDescent="0.25">
      <c r="A1968" s="818" t="s">
        <v>1639</v>
      </c>
      <c r="B1968" s="2615"/>
      <c r="C1968" s="2616"/>
      <c r="F1968" s="8"/>
      <c r="O1968" s="213"/>
    </row>
    <row r="1969" spans="1:15" ht="15.75" x14ac:dyDescent="0.25">
      <c r="A1969" s="818"/>
      <c r="B1969" s="2615"/>
      <c r="C1969" s="2616"/>
      <c r="F1969" s="8"/>
      <c r="O1969" s="213"/>
    </row>
    <row r="1970" spans="1:15" ht="15.75" x14ac:dyDescent="0.25">
      <c r="A1970" s="818"/>
      <c r="B1970" s="2615"/>
      <c r="C1970" s="2616"/>
      <c r="F1970" s="8"/>
      <c r="O1970" s="213"/>
    </row>
    <row r="1971" spans="1:15" ht="15.75" x14ac:dyDescent="0.25">
      <c r="A1971" s="818"/>
      <c r="B1971" s="2615"/>
      <c r="C1971" s="2616"/>
      <c r="F1971" s="8"/>
      <c r="O1971" s="213"/>
    </row>
    <row r="1972" spans="1:15" ht="15.75" x14ac:dyDescent="0.25">
      <c r="A1972" s="818"/>
      <c r="B1972" s="2615"/>
      <c r="C1972" s="2616"/>
      <c r="F1972" s="8"/>
      <c r="O1972" s="213"/>
    </row>
    <row r="1973" spans="1:15" ht="15.75" x14ac:dyDescent="0.25">
      <c r="A1973" s="818"/>
      <c r="B1973" s="2615"/>
      <c r="C1973" s="2616"/>
      <c r="F1973" s="8"/>
      <c r="O1973" s="213"/>
    </row>
    <row r="1974" spans="1:15" ht="15.75" x14ac:dyDescent="0.25">
      <c r="A1974" s="818"/>
      <c r="B1974" s="2615"/>
      <c r="C1974" s="2616"/>
      <c r="F1974" s="8"/>
      <c r="O1974" s="213"/>
    </row>
    <row r="1975" spans="1:15" ht="15.75" x14ac:dyDescent="0.25">
      <c r="A1975" s="818"/>
      <c r="B1975" s="2615"/>
      <c r="C1975" s="2616"/>
      <c r="F1975" s="8"/>
      <c r="O1975" s="213"/>
    </row>
    <row r="1976" spans="1:15" ht="15.75" x14ac:dyDescent="0.25">
      <c r="A1976" s="818"/>
      <c r="B1976" s="2615"/>
      <c r="C1976" s="2616"/>
      <c r="F1976" s="8"/>
      <c r="O1976" s="213"/>
    </row>
    <row r="1977" spans="1:15" ht="15.75" x14ac:dyDescent="0.25">
      <c r="A1977" s="818"/>
      <c r="B1977" s="2615"/>
      <c r="C1977" s="2616"/>
      <c r="F1977" s="8"/>
      <c r="O1977" s="213"/>
    </row>
    <row r="1978" spans="1:15" ht="15.75" x14ac:dyDescent="0.25">
      <c r="A1978" s="818"/>
      <c r="B1978" s="2615"/>
      <c r="C1978" s="2616"/>
      <c r="F1978" s="8"/>
      <c r="O1978" s="213"/>
    </row>
    <row r="1979" spans="1:15" ht="15.75" x14ac:dyDescent="0.25">
      <c r="A1979" s="818" t="s">
        <v>1634</v>
      </c>
      <c r="B1979" s="2615"/>
      <c r="C1979" s="2616"/>
      <c r="F1979" s="8"/>
      <c r="O1979" s="213"/>
    </row>
    <row r="1980" spans="1:15" ht="15.75" x14ac:dyDescent="0.25">
      <c r="A1980" s="818"/>
      <c r="B1980" s="2615"/>
      <c r="C1980" s="2616"/>
      <c r="F1980" s="8"/>
      <c r="O1980" s="213"/>
    </row>
    <row r="1981" spans="1:15" ht="15.75" x14ac:dyDescent="0.25">
      <c r="A1981" s="818"/>
      <c r="B1981" s="2615"/>
      <c r="C1981" s="2616"/>
      <c r="F1981" s="8"/>
      <c r="O1981" s="213"/>
    </row>
    <row r="1982" spans="1:15" ht="15.75" x14ac:dyDescent="0.25">
      <c r="A1982" s="818"/>
      <c r="B1982" s="2615"/>
      <c r="C1982" s="2616"/>
      <c r="F1982" s="8"/>
      <c r="O1982" s="213"/>
    </row>
    <row r="1983" spans="1:15" ht="15.75" x14ac:dyDescent="0.25">
      <c r="A1983" s="818"/>
      <c r="B1983" s="2615"/>
      <c r="C1983" s="2616"/>
      <c r="F1983" s="8"/>
      <c r="O1983" s="213"/>
    </row>
    <row r="1984" spans="1:15" ht="15.75" x14ac:dyDescent="0.25">
      <c r="A1984" s="818"/>
      <c r="B1984" s="2615"/>
      <c r="C1984" s="2616"/>
      <c r="F1984" s="8"/>
      <c r="O1984" s="213"/>
    </row>
    <row r="1985" spans="1:15" ht="15.75" x14ac:dyDescent="0.25">
      <c r="A1985" s="818"/>
      <c r="B1985" s="2615"/>
      <c r="C1985" s="2616"/>
      <c r="F1985" s="8"/>
      <c r="O1985" s="213"/>
    </row>
    <row r="1986" spans="1:15" ht="15.75" x14ac:dyDescent="0.25">
      <c r="A1986" s="818"/>
      <c r="B1986" s="2615"/>
      <c r="C1986" s="2616"/>
      <c r="F1986" s="8"/>
      <c r="O1986" s="213"/>
    </row>
    <row r="1987" spans="1:15" ht="15.75" x14ac:dyDescent="0.25">
      <c r="A1987" s="818"/>
      <c r="B1987" s="2615"/>
      <c r="C1987" s="2616"/>
      <c r="F1987" s="8"/>
      <c r="O1987" s="213"/>
    </row>
    <row r="1988" spans="1:15" ht="15.75" x14ac:dyDescent="0.25">
      <c r="A1988" s="818"/>
      <c r="B1988" s="2615"/>
      <c r="C1988" s="2616"/>
      <c r="F1988" s="8"/>
      <c r="O1988" s="213"/>
    </row>
    <row r="1989" spans="1:15" ht="15.75" x14ac:dyDescent="0.25">
      <c r="A1989" s="818"/>
      <c r="B1989" s="2615"/>
      <c r="C1989" s="2616"/>
      <c r="F1989" s="8"/>
      <c r="O1989" s="213"/>
    </row>
    <row r="1990" spans="1:15" ht="15.75" x14ac:dyDescent="0.25">
      <c r="A1990" s="818"/>
      <c r="B1990" s="2615"/>
      <c r="C1990" s="2616"/>
      <c r="F1990" s="8"/>
      <c r="O1990" s="213"/>
    </row>
    <row r="1991" spans="1:15" ht="15.75" x14ac:dyDescent="0.25">
      <c r="A1991" s="818"/>
      <c r="B1991" s="2615"/>
      <c r="C1991" s="2616"/>
      <c r="F1991" s="8"/>
      <c r="O1991" s="213"/>
    </row>
    <row r="1992" spans="1:15" ht="15.75" x14ac:dyDescent="0.25">
      <c r="A1992" s="818" t="s">
        <v>1635</v>
      </c>
      <c r="B1992" s="2615"/>
      <c r="C1992" s="2616"/>
      <c r="F1992" s="8"/>
      <c r="O1992" s="213"/>
    </row>
    <row r="1993" spans="1:15" x14ac:dyDescent="0.2">
      <c r="B1993" s="2615"/>
      <c r="C1993" s="2616"/>
      <c r="F1993" s="8"/>
      <c r="O1993" s="213"/>
    </row>
    <row r="1994" spans="1:15" ht="15.75" x14ac:dyDescent="0.25">
      <c r="A1994" s="526" t="s">
        <v>4207</v>
      </c>
      <c r="B1994" s="2615"/>
      <c r="C1994" s="2616"/>
      <c r="F1994" s="8"/>
      <c r="O1994" s="213"/>
    </row>
    <row r="1995" spans="1:15" ht="15.75" x14ac:dyDescent="0.25">
      <c r="A1995" s="818"/>
      <c r="C1995" s="2616"/>
      <c r="F1995" s="8"/>
      <c r="O1995" s="213"/>
    </row>
    <row r="1996" spans="1:15" ht="15.75" x14ac:dyDescent="0.25">
      <c r="A1996" s="1184" t="s">
        <v>1640</v>
      </c>
      <c r="B1996" s="2964">
        <f>ROW(2136:2136)</f>
        <v>2136</v>
      </c>
      <c r="C1996" s="2616"/>
      <c r="F1996" s="8"/>
      <c r="O1996" s="213"/>
    </row>
    <row r="1997" spans="1:15" ht="15.75" x14ac:dyDescent="0.25">
      <c r="A1997" s="818"/>
      <c r="B1997" s="2615"/>
      <c r="C1997" s="2616"/>
      <c r="F1997" s="8"/>
      <c r="O1997" s="213"/>
    </row>
    <row r="1998" spans="1:15" ht="15.75" x14ac:dyDescent="0.25">
      <c r="A1998" s="872" t="s">
        <v>1649</v>
      </c>
      <c r="B1998" s="2615"/>
      <c r="C1998" s="2616"/>
      <c r="F1998" s="8"/>
      <c r="O1998" s="213"/>
    </row>
    <row r="1999" spans="1:15" ht="15.75" x14ac:dyDescent="0.25">
      <c r="A1999" s="818" t="s">
        <v>4201</v>
      </c>
      <c r="B1999" s="2615"/>
      <c r="C1999" s="2616"/>
      <c r="F1999" s="8"/>
      <c r="O1999" s="213"/>
    </row>
    <row r="2000" spans="1:15" ht="15.75" x14ac:dyDescent="0.25">
      <c r="A2000" s="818" t="s">
        <v>4483</v>
      </c>
      <c r="B2000" s="2615"/>
      <c r="C2000" s="2616"/>
      <c r="F2000" s="8"/>
      <c r="O2000" s="213"/>
    </row>
    <row r="2001" spans="1:15" ht="20.25" x14ac:dyDescent="0.35">
      <c r="A2001" s="818" t="s">
        <v>4484</v>
      </c>
      <c r="B2001" s="2615"/>
      <c r="C2001" s="2616"/>
      <c r="F2001" s="8"/>
      <c r="O2001" s="213"/>
    </row>
    <row r="2002" spans="1:15" ht="18.75" x14ac:dyDescent="0.3">
      <c r="A2002" s="818" t="s">
        <v>4374</v>
      </c>
      <c r="B2002" s="2615"/>
      <c r="C2002" s="2616"/>
      <c r="F2002" s="8"/>
      <c r="O2002" s="213"/>
    </row>
    <row r="2003" spans="1:15" ht="15.75" x14ac:dyDescent="0.25">
      <c r="A2003" s="818" t="s">
        <v>3780</v>
      </c>
      <c r="B2003" s="2615"/>
      <c r="C2003" s="2616"/>
      <c r="F2003" s="8"/>
      <c r="O2003" s="213"/>
    </row>
    <row r="2004" spans="1:15" ht="15.75" x14ac:dyDescent="0.25">
      <c r="A2004" s="818" t="s">
        <v>4208</v>
      </c>
      <c r="B2004" s="2615"/>
      <c r="C2004" s="2616"/>
      <c r="F2004" s="8"/>
      <c r="O2004" s="213"/>
    </row>
    <row r="2005" spans="1:15" ht="15.75" x14ac:dyDescent="0.25">
      <c r="A2005" s="818" t="s">
        <v>2468</v>
      </c>
      <c r="B2005" s="2615"/>
      <c r="C2005" s="2616"/>
      <c r="F2005" s="8"/>
      <c r="O2005" s="213"/>
    </row>
    <row r="2006" spans="1:15" ht="17.25" x14ac:dyDescent="0.3">
      <c r="A2006" s="818" t="s">
        <v>4373</v>
      </c>
      <c r="B2006" s="2615"/>
      <c r="C2006" s="2616"/>
      <c r="F2006" s="8"/>
      <c r="O2006" s="213"/>
    </row>
    <row r="2007" spans="1:15" ht="17.25" x14ac:dyDescent="0.3">
      <c r="A2007" s="818" t="s">
        <v>4375</v>
      </c>
      <c r="B2007" s="2615"/>
      <c r="C2007" s="2616"/>
      <c r="F2007" s="8"/>
      <c r="O2007" s="213"/>
    </row>
    <row r="2008" spans="1:15" ht="17.25" x14ac:dyDescent="0.3">
      <c r="A2008" s="818" t="s">
        <v>4376</v>
      </c>
      <c r="B2008" s="2615"/>
      <c r="C2008" s="2616"/>
      <c r="F2008" s="8"/>
      <c r="O2008" s="213"/>
    </row>
    <row r="2009" spans="1:15" ht="17.25" x14ac:dyDescent="0.3">
      <c r="A2009" s="818" t="s">
        <v>1644</v>
      </c>
      <c r="B2009" s="2615"/>
      <c r="C2009" s="2616"/>
      <c r="F2009" s="8"/>
      <c r="O2009" s="213"/>
    </row>
    <row r="2010" spans="1:15" ht="15.75" x14ac:dyDescent="0.25">
      <c r="A2010" s="818" t="s">
        <v>1645</v>
      </c>
      <c r="B2010" s="2615"/>
      <c r="C2010" s="2616"/>
      <c r="F2010" s="8"/>
      <c r="O2010" s="213"/>
    </row>
    <row r="2011" spans="1:15" ht="17.25" x14ac:dyDescent="0.3">
      <c r="A2011" s="818" t="s">
        <v>1646</v>
      </c>
      <c r="B2011" s="2615"/>
      <c r="C2011" s="2616"/>
      <c r="F2011" s="8"/>
      <c r="O2011" s="213"/>
    </row>
    <row r="2012" spans="1:15" ht="15.75" x14ac:dyDescent="0.25">
      <c r="A2012" s="818" t="s">
        <v>1647</v>
      </c>
      <c r="B2012" s="2615"/>
      <c r="C2012" s="2616"/>
      <c r="F2012" s="8"/>
      <c r="O2012" s="213"/>
    </row>
    <row r="2013" spans="1:15" ht="15.75" x14ac:dyDescent="0.25">
      <c r="A2013" s="818" t="s">
        <v>3467</v>
      </c>
      <c r="C2013" s="2616"/>
      <c r="F2013" s="8"/>
      <c r="O2013" s="213"/>
    </row>
    <row r="2014" spans="1:15" ht="17.25" x14ac:dyDescent="0.3">
      <c r="A2014" s="1392" t="s">
        <v>3471</v>
      </c>
      <c r="B2014" s="2956" t="str">
        <f>B179</f>
        <v/>
      </c>
      <c r="C2014" s="2616"/>
      <c r="F2014" s="8"/>
      <c r="O2014" s="213"/>
    </row>
    <row r="2015" spans="1:15" ht="15.75" x14ac:dyDescent="0.25">
      <c r="A2015" s="1392" t="s">
        <v>3468</v>
      </c>
      <c r="B2015" s="2956" t="str">
        <f>B178</f>
        <v/>
      </c>
      <c r="C2015" s="2616"/>
      <c r="F2015" s="8"/>
      <c r="O2015" s="213"/>
    </row>
    <row r="2016" spans="1:15" ht="15.75" x14ac:dyDescent="0.25">
      <c r="A2016" s="1917" t="s">
        <v>3469</v>
      </c>
      <c r="B2016" s="2956" t="str">
        <f>B176</f>
        <v/>
      </c>
      <c r="C2016" s="2616"/>
      <c r="F2016" s="8"/>
      <c r="O2016" s="213"/>
    </row>
    <row r="2017" spans="1:15" ht="17.25" x14ac:dyDescent="0.3">
      <c r="A2017" s="1392" t="s">
        <v>1641</v>
      </c>
      <c r="B2017" s="2958">
        <f>C2301</f>
        <v>0</v>
      </c>
      <c r="C2017" s="2616"/>
      <c r="F2017" s="8"/>
      <c r="O2017" s="213"/>
    </row>
    <row r="2018" spans="1:15" ht="17.25" x14ac:dyDescent="0.3">
      <c r="A2018" s="1392" t="s">
        <v>1642</v>
      </c>
      <c r="B2018" s="2958">
        <f>D2301</f>
        <v>0</v>
      </c>
      <c r="C2018" s="2616"/>
      <c r="F2018" s="8"/>
      <c r="O2018" s="213"/>
    </row>
    <row r="2019" spans="1:15" ht="17.25" x14ac:dyDescent="0.3">
      <c r="A2019" s="1392" t="s">
        <v>1643</v>
      </c>
      <c r="B2019" s="2958">
        <f>E2301</f>
        <v>0</v>
      </c>
      <c r="C2019" s="2616"/>
      <c r="F2019" s="8"/>
      <c r="O2019" s="213"/>
    </row>
    <row r="2020" spans="1:15" ht="17.25" x14ac:dyDescent="0.3">
      <c r="A2020" s="1392" t="s">
        <v>3470</v>
      </c>
      <c r="B2020" s="2958">
        <f>B2302</f>
        <v>0</v>
      </c>
      <c r="C2020" s="2616"/>
      <c r="F2020" s="8"/>
      <c r="O2020" s="213"/>
    </row>
    <row r="2021" spans="1:15" ht="15.75" x14ac:dyDescent="0.25">
      <c r="A2021" s="4085" t="s">
        <v>6598</v>
      </c>
      <c r="B2021" s="4084">
        <f>B1871</f>
        <v>0</v>
      </c>
      <c r="C2021" s="2616"/>
      <c r="F2021" s="8"/>
      <c r="O2021" s="213"/>
    </row>
    <row r="2022" spans="1:15" ht="15.75" x14ac:dyDescent="0.25">
      <c r="A2022" s="4085" t="str">
        <f>IF(B396=1,"Количество выемочных участков по падению пласта","-------------------------")</f>
        <v>Количество выемочных участков по падению пласта</v>
      </c>
      <c r="B2022" s="4085">
        <f t="shared" ref="B2022:B2036" si="40">B1873</f>
        <v>0</v>
      </c>
      <c r="C2022" s="2616"/>
      <c r="F2022" s="8"/>
      <c r="O2022" s="213"/>
    </row>
    <row r="2023" spans="1:15" ht="15.75" x14ac:dyDescent="0.25">
      <c r="A2023" s="4085" t="str">
        <f t="shared" ref="A2023:A2036" si="41">A1874</f>
        <v>Количество выемочных участков в первой ступени</v>
      </c>
      <c r="B2023" s="4085">
        <f t="shared" si="40"/>
        <v>0</v>
      </c>
      <c r="C2023" s="2616"/>
      <c r="F2023" s="8"/>
      <c r="O2023" s="213"/>
    </row>
    <row r="2024" spans="1:15" ht="15.75" x14ac:dyDescent="0.25">
      <c r="A2024" s="4085" t="str">
        <f t="shared" si="41"/>
        <v>Размер  первой   ступени, м</v>
      </c>
      <c r="B2024" s="4085">
        <f t="shared" si="40"/>
        <v>0</v>
      </c>
      <c r="C2024" s="2616"/>
      <c r="F2024" s="8"/>
      <c r="O2024" s="213"/>
    </row>
    <row r="2025" spans="1:15" ht="15.75" x14ac:dyDescent="0.25">
      <c r="A2025" s="4085" t="str">
        <f t="shared" si="41"/>
        <v>--------------------</v>
      </c>
      <c r="B2025" s="4085" t="str">
        <f t="shared" si="40"/>
        <v>----------</v>
      </c>
      <c r="C2025" s="2616"/>
      <c r="F2025" s="8"/>
      <c r="O2025" s="213"/>
    </row>
    <row r="2026" spans="1:15" ht="15.75" x14ac:dyDescent="0.25">
      <c r="A2026" s="4085" t="str">
        <f t="shared" si="41"/>
        <v>---------------------</v>
      </c>
      <c r="B2026" s="4085" t="str">
        <f t="shared" si="40"/>
        <v>-------</v>
      </c>
      <c r="C2026" s="2616"/>
      <c r="F2026" s="8"/>
      <c r="O2026" s="213"/>
    </row>
    <row r="2027" spans="1:15" ht="15.75" x14ac:dyDescent="0.25">
      <c r="A2027" s="4085" t="str">
        <f t="shared" si="41"/>
        <v>-----------------</v>
      </c>
      <c r="B2027" s="4085">
        <f t="shared" si="40"/>
        <v>0</v>
      </c>
      <c r="C2027" s="2616"/>
      <c r="F2027" s="8"/>
      <c r="O2027" s="213"/>
    </row>
    <row r="2028" spans="1:15" ht="15.75" x14ac:dyDescent="0.25">
      <c r="A2028" s="4085" t="str">
        <f t="shared" si="41"/>
        <v>-----------------</v>
      </c>
      <c r="B2028" s="4085">
        <f t="shared" si="40"/>
        <v>0</v>
      </c>
      <c r="C2028" s="2616"/>
      <c r="F2028" s="8"/>
      <c r="O2028" s="213"/>
    </row>
    <row r="2029" spans="1:15" ht="15.75" x14ac:dyDescent="0.25">
      <c r="A2029" s="4085" t="str">
        <f t="shared" si="41"/>
        <v>---------------------</v>
      </c>
      <c r="B2029" s="4085">
        <f t="shared" si="40"/>
        <v>0</v>
      </c>
      <c r="C2029" s="2616"/>
      <c r="F2029" s="8"/>
      <c r="O2029" s="213"/>
    </row>
    <row r="2030" spans="1:15" ht="15.75" x14ac:dyDescent="0.25">
      <c r="A2030" s="4085" t="str">
        <f t="shared" si="41"/>
        <v>---------------------</v>
      </c>
      <c r="B2030" s="4085">
        <f t="shared" si="40"/>
        <v>0</v>
      </c>
      <c r="C2030" s="2616"/>
      <c r="F2030" s="8"/>
      <c r="O2030" s="213"/>
    </row>
    <row r="2031" spans="1:15" ht="15.75" x14ac:dyDescent="0.25">
      <c r="A2031" s="4085" t="str">
        <f t="shared" si="41"/>
        <v>------------------</v>
      </c>
      <c r="B2031" s="4085" t="str">
        <f t="shared" si="40"/>
        <v>----------</v>
      </c>
      <c r="C2031" s="2616"/>
      <c r="F2031" s="8"/>
      <c r="O2031" s="213"/>
    </row>
    <row r="2032" spans="1:15" ht="15.75" x14ac:dyDescent="0.25">
      <c r="A2032" s="4085" t="str">
        <f t="shared" si="41"/>
        <v>Размер самой нижней ступени, м</v>
      </c>
      <c r="B2032" s="4085" t="e">
        <f t="shared" si="40"/>
        <v>#VALUE!</v>
      </c>
      <c r="C2032" s="2616"/>
      <c r="F2032" s="8"/>
      <c r="O2032" s="213"/>
    </row>
    <row r="2033" spans="1:15" ht="15.75" x14ac:dyDescent="0.25">
      <c r="A2033" s="4085" t="str">
        <f t="shared" si="41"/>
        <v>-------------------------</v>
      </c>
      <c r="B2033" s="4085">
        <f t="shared" si="40"/>
        <v>0</v>
      </c>
      <c r="C2033" s="2616"/>
      <c r="F2033" s="8"/>
      <c r="O2033" s="213"/>
    </row>
    <row r="2034" spans="1:15" ht="15.75" x14ac:dyDescent="0.25">
      <c r="A2034" s="4085" t="str">
        <f t="shared" si="41"/>
        <v>------------------</v>
      </c>
      <c r="B2034" s="4085">
        <f t="shared" si="40"/>
        <v>0</v>
      </c>
      <c r="C2034" s="2616"/>
      <c r="F2034" s="8"/>
      <c r="O2034" s="213"/>
    </row>
    <row r="2035" spans="1:15" ht="15.75" x14ac:dyDescent="0.25">
      <c r="A2035" s="4085" t="str">
        <f t="shared" si="41"/>
        <v>------------------</v>
      </c>
      <c r="B2035" s="4085">
        <f t="shared" si="40"/>
        <v>0</v>
      </c>
      <c r="C2035" s="2616"/>
      <c r="F2035" s="8"/>
      <c r="O2035" s="213"/>
    </row>
    <row r="2036" spans="1:15" ht="15.75" x14ac:dyDescent="0.25">
      <c r="A2036" s="4085" t="str">
        <f t="shared" si="41"/>
        <v>--------------</v>
      </c>
      <c r="B2036" s="4085" t="str">
        <f t="shared" si="40"/>
        <v/>
      </c>
      <c r="C2036" s="2616"/>
      <c r="F2036" s="8"/>
      <c r="O2036" s="213"/>
    </row>
    <row r="2037" spans="1:15" ht="15.75" x14ac:dyDescent="0.25">
      <c r="A2037" s="1090" t="str">
        <f>IF(B2201=1,"Вы перенесли  таблицу в текст записки? 1 - Да, 2 - Нет","не вводить!")</f>
        <v>не вводить!</v>
      </c>
      <c r="B2037" s="4207"/>
      <c r="C2037" s="2616"/>
      <c r="F2037" s="8"/>
      <c r="O2037" s="213"/>
    </row>
    <row r="2038" spans="1:15" ht="15.75" x14ac:dyDescent="0.25">
      <c r="A2038" s="4208" t="str">
        <f>IF(B2037=1,"Переходите по ссылке","")</f>
        <v/>
      </c>
      <c r="B2038" s="4083"/>
      <c r="C2038" s="2616"/>
      <c r="F2038" s="8"/>
      <c r="O2038" s="213"/>
    </row>
    <row r="2039" spans="1:15" x14ac:dyDescent="0.2">
      <c r="B2039" s="2615"/>
      <c r="C2039" s="2616"/>
      <c r="F2039" s="8"/>
      <c r="O2039" s="213"/>
    </row>
    <row r="2040" spans="1:15" ht="15.75" x14ac:dyDescent="0.25">
      <c r="A2040" s="818" t="s">
        <v>4482</v>
      </c>
      <c r="B2040" s="2615"/>
      <c r="C2040" s="2616"/>
      <c r="F2040" s="8"/>
      <c r="O2040" s="213"/>
    </row>
    <row r="2041" spans="1:15" ht="15.75" x14ac:dyDescent="0.25">
      <c r="A2041" s="818"/>
      <c r="B2041" s="2615"/>
      <c r="C2041" s="2616"/>
      <c r="F2041" s="8"/>
      <c r="O2041" s="213"/>
    </row>
    <row r="2042" spans="1:15" ht="15.75" x14ac:dyDescent="0.25">
      <c r="A2042" s="818"/>
      <c r="B2042" s="2615"/>
      <c r="C2042" s="2616"/>
      <c r="F2042" s="8"/>
      <c r="O2042" s="213"/>
    </row>
    <row r="2043" spans="1:15" ht="15.75" x14ac:dyDescent="0.25">
      <c r="A2043" s="818"/>
      <c r="B2043" s="2615"/>
      <c r="C2043" s="2616"/>
      <c r="F2043" s="8"/>
      <c r="O2043" s="213"/>
    </row>
    <row r="2044" spans="1:15" ht="15.75" x14ac:dyDescent="0.25">
      <c r="A2044" s="818"/>
      <c r="B2044" s="2615"/>
      <c r="C2044" s="2616"/>
      <c r="F2044" s="8"/>
      <c r="O2044" s="213"/>
    </row>
    <row r="2045" spans="1:15" ht="15.75" x14ac:dyDescent="0.25">
      <c r="A2045" s="818"/>
      <c r="B2045" s="2615"/>
      <c r="C2045" s="2616"/>
      <c r="F2045" s="8"/>
      <c r="O2045" s="213"/>
    </row>
    <row r="2056" spans="1:15" ht="15.75" x14ac:dyDescent="0.25">
      <c r="A2056" s="818" t="s">
        <v>1648</v>
      </c>
      <c r="B2056" s="2615"/>
      <c r="C2056" s="2616"/>
      <c r="F2056" s="8"/>
      <c r="O2056" s="213"/>
    </row>
    <row r="2057" spans="1:15" ht="15.75" x14ac:dyDescent="0.25">
      <c r="A2057" s="818" t="s">
        <v>3232</v>
      </c>
      <c r="B2057" s="2615"/>
      <c r="C2057" s="2616"/>
      <c r="F2057" s="8"/>
      <c r="O2057" s="213"/>
    </row>
    <row r="2058" spans="1:15" ht="15.75" x14ac:dyDescent="0.25">
      <c r="A2058" s="818" t="s">
        <v>1650</v>
      </c>
      <c r="B2058" s="2615"/>
      <c r="C2058" s="2616"/>
      <c r="F2058" s="8"/>
      <c r="O2058" s="213"/>
    </row>
    <row r="2059" spans="1:15" ht="15.75" x14ac:dyDescent="0.25">
      <c r="A2059" s="818" t="s">
        <v>1651</v>
      </c>
      <c r="B2059" s="2615"/>
      <c r="C2059" s="2616"/>
      <c r="F2059" s="8"/>
      <c r="O2059" s="213"/>
    </row>
    <row r="2060" spans="1:15" ht="15.75" x14ac:dyDescent="0.25">
      <c r="A2060" s="818" t="s">
        <v>3233</v>
      </c>
      <c r="B2060" s="2615"/>
      <c r="C2060" s="2616"/>
      <c r="F2060" s="8"/>
      <c r="O2060" s="213"/>
    </row>
    <row r="2061" spans="1:15" ht="15.75" x14ac:dyDescent="0.25">
      <c r="A2061" s="818" t="s">
        <v>4209</v>
      </c>
      <c r="B2061" s="2615"/>
      <c r="C2061" s="2616"/>
      <c r="F2061" s="8"/>
      <c r="O2061" s="213"/>
    </row>
    <row r="2062" spans="1:15" ht="15.75" x14ac:dyDescent="0.25">
      <c r="A2062" s="818" t="s">
        <v>3234</v>
      </c>
      <c r="B2062" s="2615"/>
      <c r="C2062" s="2616"/>
      <c r="F2062" s="8"/>
      <c r="O2062" s="213"/>
    </row>
    <row r="2063" spans="1:15" ht="15.75" x14ac:dyDescent="0.25">
      <c r="A2063" s="818" t="s">
        <v>2505</v>
      </c>
      <c r="B2063" s="2615"/>
      <c r="C2063" s="2616"/>
      <c r="F2063" s="8"/>
      <c r="O2063" s="213"/>
    </row>
    <row r="2064" spans="1:15" ht="15.75" x14ac:dyDescent="0.25">
      <c r="A2064" s="818"/>
      <c r="B2064" s="2615"/>
      <c r="C2064" s="2616"/>
      <c r="F2064" s="8"/>
      <c r="O2064" s="213"/>
    </row>
    <row r="2065" spans="1:15" ht="15.75" x14ac:dyDescent="0.25">
      <c r="A2065" s="818"/>
      <c r="B2065" s="2615"/>
      <c r="C2065" s="2616"/>
      <c r="F2065" s="8"/>
      <c r="O2065" s="213"/>
    </row>
    <row r="2066" spans="1:15" ht="15.75" x14ac:dyDescent="0.25">
      <c r="A2066" s="818"/>
      <c r="B2066" s="2615"/>
      <c r="C2066" s="2616"/>
      <c r="F2066" s="8"/>
      <c r="O2066" s="213"/>
    </row>
    <row r="2067" spans="1:15" ht="15.75" x14ac:dyDescent="0.25">
      <c r="A2067" s="818"/>
      <c r="B2067" s="2615"/>
      <c r="C2067" s="2616"/>
      <c r="F2067" s="8"/>
      <c r="O2067" s="213"/>
    </row>
    <row r="2068" spans="1:15" ht="15.75" x14ac:dyDescent="0.25">
      <c r="A2068" s="818"/>
      <c r="B2068" s="2615"/>
      <c r="C2068" s="2616"/>
      <c r="F2068" s="8"/>
      <c r="O2068" s="213"/>
    </row>
    <row r="2069" spans="1:15" ht="15.75" x14ac:dyDescent="0.25">
      <c r="A2069" s="818"/>
      <c r="B2069" s="2615"/>
      <c r="C2069" s="2616"/>
      <c r="F2069" s="8"/>
      <c r="O2069" s="213"/>
    </row>
    <row r="2070" spans="1:15" ht="15.75" x14ac:dyDescent="0.25">
      <c r="A2070" s="818"/>
      <c r="B2070" s="2615"/>
      <c r="C2070" s="2616"/>
      <c r="F2070" s="8"/>
      <c r="O2070" s="213"/>
    </row>
    <row r="2071" spans="1:15" ht="15.75" x14ac:dyDescent="0.25">
      <c r="A2071" s="818"/>
      <c r="B2071" s="2615"/>
      <c r="C2071" s="2616"/>
      <c r="F2071" s="8"/>
      <c r="O2071" s="213"/>
    </row>
    <row r="2072" spans="1:15" ht="15.75" x14ac:dyDescent="0.25">
      <c r="A2072" s="818"/>
      <c r="B2072" s="2615"/>
      <c r="C2072" s="2616"/>
      <c r="F2072" s="8"/>
      <c r="O2072" s="213"/>
    </row>
    <row r="2073" spans="1:15" ht="15.75" x14ac:dyDescent="0.25">
      <c r="A2073" s="818"/>
      <c r="B2073" s="2615"/>
      <c r="C2073" s="2616"/>
      <c r="F2073" s="8"/>
      <c r="O2073" s="213"/>
    </row>
    <row r="2074" spans="1:15" ht="15.75" x14ac:dyDescent="0.25">
      <c r="A2074" s="818"/>
      <c r="B2074" s="2615"/>
      <c r="C2074" s="2616"/>
      <c r="F2074" s="8"/>
      <c r="O2074" s="213"/>
    </row>
    <row r="2075" spans="1:15" ht="15.75" x14ac:dyDescent="0.25">
      <c r="A2075" s="818"/>
      <c r="B2075" s="2615"/>
      <c r="C2075" s="2616"/>
      <c r="F2075" s="8"/>
      <c r="O2075" s="213"/>
    </row>
    <row r="2076" spans="1:15" ht="15.75" x14ac:dyDescent="0.25">
      <c r="A2076" s="818"/>
      <c r="B2076" s="2615"/>
      <c r="C2076" s="2616"/>
      <c r="F2076" s="8"/>
      <c r="O2076" s="213"/>
    </row>
    <row r="2077" spans="1:15" ht="15.75" x14ac:dyDescent="0.25">
      <c r="A2077" s="818"/>
      <c r="B2077" s="2615"/>
      <c r="C2077" s="2616"/>
      <c r="F2077" s="8"/>
      <c r="O2077" s="213"/>
    </row>
    <row r="2078" spans="1:15" ht="15.75" x14ac:dyDescent="0.25">
      <c r="A2078" s="818"/>
      <c r="B2078" s="2615"/>
      <c r="C2078" s="2616"/>
      <c r="F2078" s="8"/>
      <c r="O2078" s="213"/>
    </row>
    <row r="2079" spans="1:15" ht="15.75" x14ac:dyDescent="0.25">
      <c r="A2079" s="818"/>
      <c r="B2079" s="2615"/>
      <c r="C2079" s="2616"/>
      <c r="F2079" s="8"/>
      <c r="O2079" s="213"/>
    </row>
    <row r="2080" spans="1:15" ht="15.75" x14ac:dyDescent="0.25">
      <c r="A2080" s="818" t="s">
        <v>2506</v>
      </c>
      <c r="B2080" s="2615"/>
      <c r="C2080" s="2616"/>
      <c r="F2080" s="8"/>
      <c r="O2080" s="213"/>
    </row>
    <row r="2081" spans="1:15" ht="15.75" x14ac:dyDescent="0.25">
      <c r="A2081" s="818" t="s">
        <v>4205</v>
      </c>
      <c r="B2081" s="2615"/>
      <c r="C2081" s="2616"/>
      <c r="F2081" s="8"/>
      <c r="O2081" s="213"/>
    </row>
    <row r="2082" spans="1:15" ht="15.75" x14ac:dyDescent="0.25">
      <c r="A2082" s="818" t="s">
        <v>2507</v>
      </c>
      <c r="B2082" s="2615"/>
      <c r="C2082" s="2616"/>
      <c r="F2082" s="8"/>
      <c r="O2082" s="213"/>
    </row>
    <row r="2083" spans="1:15" ht="15.75" x14ac:dyDescent="0.25">
      <c r="A2083" s="818" t="s">
        <v>4210</v>
      </c>
      <c r="B2083" s="2615"/>
      <c r="C2083" s="2616"/>
      <c r="F2083" s="8"/>
      <c r="O2083" s="213"/>
    </row>
    <row r="2084" spans="1:15" ht="17.25" x14ac:dyDescent="0.3">
      <c r="A2084" s="818" t="s">
        <v>2508</v>
      </c>
      <c r="B2084" s="2615"/>
      <c r="C2084" s="2616"/>
      <c r="D2084" s="8"/>
      <c r="F2084" s="8"/>
      <c r="O2084" s="213"/>
    </row>
    <row r="2085" spans="1:15" ht="15.75" x14ac:dyDescent="0.25">
      <c r="A2085" s="818" t="s">
        <v>2509</v>
      </c>
      <c r="B2085" s="2615"/>
      <c r="C2085" s="2616"/>
      <c r="D2085" s="8"/>
      <c r="F2085" s="8"/>
      <c r="O2085" s="213"/>
    </row>
    <row r="2086" spans="1:15" ht="15.75" x14ac:dyDescent="0.25">
      <c r="A2086" s="818" t="s">
        <v>2510</v>
      </c>
      <c r="B2086" s="2615"/>
      <c r="C2086" s="2616"/>
      <c r="D2086" s="8"/>
      <c r="F2086" s="8"/>
      <c r="O2086" s="213"/>
    </row>
    <row r="2087" spans="1:15" ht="15.75" x14ac:dyDescent="0.25">
      <c r="A2087" s="818" t="s">
        <v>2511</v>
      </c>
      <c r="B2087" s="2615"/>
      <c r="C2087" s="2616"/>
      <c r="D2087" s="8"/>
      <c r="F2087" s="8"/>
      <c r="O2087" s="213"/>
    </row>
    <row r="2088" spans="1:15" ht="15.75" x14ac:dyDescent="0.25">
      <c r="A2088" s="818" t="s">
        <v>3235</v>
      </c>
      <c r="B2088" s="2615"/>
      <c r="C2088" s="2616"/>
      <c r="F2088" s="8"/>
      <c r="O2088" s="213"/>
    </row>
    <row r="2089" spans="1:15" ht="15.75" x14ac:dyDescent="0.25">
      <c r="A2089" s="818" t="s">
        <v>3237</v>
      </c>
      <c r="B2089" s="2615"/>
      <c r="C2089" s="2616"/>
      <c r="F2089" s="8"/>
      <c r="O2089" s="213"/>
    </row>
    <row r="2090" spans="1:15" ht="15.75" x14ac:dyDescent="0.25">
      <c r="A2090" s="818" t="s">
        <v>3236</v>
      </c>
      <c r="B2090" s="2615"/>
      <c r="C2090" s="2616"/>
      <c r="F2090" s="8"/>
      <c r="O2090" s="213"/>
    </row>
    <row r="2091" spans="1:15" ht="15.75" x14ac:dyDescent="0.25">
      <c r="A2091" s="818" t="s">
        <v>3238</v>
      </c>
      <c r="B2091" s="2615"/>
      <c r="C2091" s="2616"/>
      <c r="F2091" s="8"/>
      <c r="O2091" s="213"/>
    </row>
    <row r="2092" spans="1:15" ht="15.75" x14ac:dyDescent="0.25">
      <c r="A2092" s="818"/>
      <c r="B2092" s="2615"/>
      <c r="C2092" s="2616"/>
      <c r="F2092" s="8"/>
      <c r="O2092" s="213"/>
    </row>
    <row r="2093" spans="1:15" ht="15.75" x14ac:dyDescent="0.25">
      <c r="A2093" s="818"/>
      <c r="B2093" s="2615"/>
      <c r="C2093" s="2616"/>
      <c r="F2093" s="8"/>
      <c r="O2093" s="213"/>
    </row>
    <row r="2094" spans="1:15" ht="15.75" x14ac:dyDescent="0.25">
      <c r="A2094" s="818"/>
      <c r="B2094" s="2615"/>
      <c r="C2094" s="2616"/>
      <c r="F2094" s="8"/>
      <c r="O2094" s="213"/>
    </row>
    <row r="2095" spans="1:15" ht="15.75" x14ac:dyDescent="0.25">
      <c r="A2095" s="818"/>
      <c r="B2095" s="2615"/>
      <c r="C2095" s="2616"/>
      <c r="F2095" s="8"/>
      <c r="O2095" s="213"/>
    </row>
    <row r="2096" spans="1:15" ht="15.75" x14ac:dyDescent="0.25">
      <c r="A2096" s="818"/>
      <c r="B2096" s="2615"/>
      <c r="C2096" s="2616"/>
      <c r="F2096" s="8"/>
      <c r="O2096" s="213"/>
    </row>
    <row r="2097" spans="1:15" ht="15.75" x14ac:dyDescent="0.25">
      <c r="A2097" s="818"/>
      <c r="B2097" s="2615"/>
      <c r="C2097" s="2616"/>
      <c r="F2097" s="8"/>
      <c r="O2097" s="213"/>
    </row>
    <row r="2098" spans="1:15" ht="15.75" x14ac:dyDescent="0.25">
      <c r="A2098" s="818"/>
      <c r="B2098" s="2615"/>
      <c r="C2098" s="2616"/>
      <c r="F2098" s="8"/>
      <c r="O2098" s="213"/>
    </row>
    <row r="2099" spans="1:15" ht="15.75" x14ac:dyDescent="0.25">
      <c r="A2099" s="818"/>
      <c r="B2099" s="2615"/>
      <c r="C2099" s="2616"/>
      <c r="F2099" s="8"/>
      <c r="O2099" s="213"/>
    </row>
    <row r="2100" spans="1:15" ht="15.75" x14ac:dyDescent="0.25">
      <c r="A2100" s="818"/>
      <c r="B2100" s="2615"/>
      <c r="C2100" s="2616"/>
      <c r="F2100" s="8"/>
      <c r="O2100" s="213"/>
    </row>
    <row r="2101" spans="1:15" ht="15.75" x14ac:dyDescent="0.25">
      <c r="A2101" s="818"/>
      <c r="B2101" s="2615"/>
      <c r="C2101" s="2616"/>
      <c r="F2101" s="8"/>
      <c r="O2101" s="213"/>
    </row>
    <row r="2102" spans="1:15" ht="15.75" x14ac:dyDescent="0.25">
      <c r="A2102" s="818"/>
      <c r="B2102" s="2615"/>
      <c r="C2102" s="2616"/>
      <c r="F2102" s="8"/>
      <c r="O2102" s="213"/>
    </row>
    <row r="2103" spans="1:15" ht="15.75" x14ac:dyDescent="0.25">
      <c r="A2103" s="818"/>
      <c r="B2103" s="2615"/>
      <c r="C2103" s="2616"/>
      <c r="F2103" s="8"/>
      <c r="O2103" s="213"/>
    </row>
    <row r="2104" spans="1:15" ht="15.75" x14ac:dyDescent="0.25">
      <c r="A2104" s="526" t="s">
        <v>4207</v>
      </c>
      <c r="B2104" s="2615"/>
      <c r="C2104" s="2616"/>
      <c r="F2104" s="8"/>
      <c r="O2104" s="213"/>
    </row>
    <row r="2105" spans="1:15" ht="15.75" x14ac:dyDescent="0.25">
      <c r="A2105" s="526" t="s">
        <v>6560</v>
      </c>
      <c r="C2105" s="2616"/>
      <c r="F2105" s="8"/>
      <c r="O2105" s="213"/>
    </row>
    <row r="2106" spans="1:15" ht="15.75" x14ac:dyDescent="0.25">
      <c r="A2106" s="4045" t="s">
        <v>6564</v>
      </c>
      <c r="B2106" s="4044"/>
      <c r="C2106" s="2616"/>
      <c r="F2106" s="8"/>
      <c r="O2106" s="213"/>
    </row>
    <row r="2107" spans="1:15" ht="15.75" x14ac:dyDescent="0.25">
      <c r="A2107" s="4043" t="s">
        <v>6561</v>
      </c>
      <c r="B2107" s="4044" t="str">
        <f>IF(B396=1,"Панельная","Погоризонтная")</f>
        <v>Панельная</v>
      </c>
      <c r="C2107" s="2616"/>
      <c r="F2107" s="8"/>
      <c r="O2107" s="213"/>
    </row>
    <row r="2108" spans="1:15" ht="15.75" x14ac:dyDescent="0.25">
      <c r="A2108" s="4043" t="s">
        <v>6562</v>
      </c>
      <c r="B2108" s="4044" t="str">
        <f>IF(B1871=2,"Одногоризонтная","Многогоризонтная")</f>
        <v>Многогоризонтная</v>
      </c>
      <c r="C2108" s="2616"/>
      <c r="F2108" s="8"/>
      <c r="O2108" s="213"/>
    </row>
    <row r="2109" spans="1:15" ht="15.75" x14ac:dyDescent="0.25">
      <c r="A2109" s="4043" t="str">
        <f t="shared" ref="A2109:B2131" si="42">A2014</f>
        <v>Глубина  начала работ h0,  м</v>
      </c>
      <c r="B2109" s="4043" t="str">
        <f t="shared" si="42"/>
        <v/>
      </c>
      <c r="C2109" s="2616"/>
      <c r="F2109" s="8"/>
      <c r="O2109" s="213"/>
    </row>
    <row r="2110" spans="1:15" ht="15.75" x14ac:dyDescent="0.25">
      <c r="A2110" s="4043" t="str">
        <f t="shared" si="42"/>
        <v>Угол падения пластов, градус</v>
      </c>
      <c r="B2110" s="4043" t="str">
        <f t="shared" si="42"/>
        <v/>
      </c>
      <c r="C2110" s="2616"/>
      <c r="F2110" s="8"/>
      <c r="O2110" s="213"/>
    </row>
    <row r="2111" spans="1:15" ht="15.75" x14ac:dyDescent="0.25">
      <c r="A2111" s="4043" t="str">
        <f t="shared" si="42"/>
        <v>Размер шахтного  поля по падению, м</v>
      </c>
      <c r="B2111" s="4043" t="str">
        <f t="shared" si="42"/>
        <v/>
      </c>
      <c r="C2111" s="2616"/>
      <c r="F2111" s="8"/>
      <c r="O2111" s="213"/>
    </row>
    <row r="2112" spans="1:15" ht="15.75" x14ac:dyDescent="0.25">
      <c r="A2112" s="4043" t="str">
        <f t="shared" si="42"/>
        <v>Расстояние горизонтальное между пластами h1   -  h2, м</v>
      </c>
      <c r="B2112" s="4043">
        <f t="shared" si="42"/>
        <v>0</v>
      </c>
      <c r="C2112" s="2616"/>
      <c r="F2112" s="8"/>
      <c r="O2112" s="213"/>
    </row>
    <row r="2113" spans="1:15" ht="15.75" x14ac:dyDescent="0.25">
      <c r="A2113" s="4043" t="str">
        <f t="shared" si="42"/>
        <v>Расстояние горизонтальное между пластами h2   -  h3, м</v>
      </c>
      <c r="B2113" s="4043">
        <f t="shared" si="42"/>
        <v>0</v>
      </c>
      <c r="C2113" s="2616"/>
      <c r="F2113" s="8"/>
      <c r="O2113" s="213"/>
    </row>
    <row r="2114" spans="1:15" ht="15.75" x14ac:dyDescent="0.25">
      <c r="A2114" s="4043" t="str">
        <f t="shared" si="42"/>
        <v>Расстояние горизонтальное между пластами h3  -  h4, м</v>
      </c>
      <c r="B2114" s="4043">
        <f t="shared" si="42"/>
        <v>0</v>
      </c>
      <c r="C2114" s="2616"/>
      <c r="F2114" s="8"/>
      <c r="O2114" s="213"/>
    </row>
    <row r="2115" spans="1:15" ht="15.75" x14ac:dyDescent="0.25">
      <c r="A2115" s="4043" t="str">
        <f t="shared" si="42"/>
        <v>Горизонтальное расстояние между крайними пластами   Lкв, м</v>
      </c>
      <c r="B2115" s="4043">
        <f t="shared" si="42"/>
        <v>0</v>
      </c>
      <c r="C2115" s="2616"/>
      <c r="F2115" s="8"/>
      <c r="O2115" s="213"/>
    </row>
    <row r="2116" spans="1:15" ht="32.25" customHeight="1" x14ac:dyDescent="0.25">
      <c r="A2116" s="4043" t="str">
        <f t="shared" si="42"/>
        <v>Количество выемочных ступеней в шахтном поле</v>
      </c>
      <c r="B2116" s="4043">
        <f t="shared" si="42"/>
        <v>0</v>
      </c>
      <c r="C2116" s="2616"/>
      <c r="F2116" s="8"/>
      <c r="O2116" s="213"/>
    </row>
    <row r="2117" spans="1:15" ht="15.75" x14ac:dyDescent="0.25">
      <c r="A2117" s="4043" t="str">
        <f t="shared" si="42"/>
        <v>Количество выемочных участков по падению пласта</v>
      </c>
      <c r="B2117" s="4043">
        <f t="shared" si="42"/>
        <v>0</v>
      </c>
      <c r="C2117" s="2616"/>
      <c r="F2117" s="8"/>
      <c r="O2117" s="213"/>
    </row>
    <row r="2118" spans="1:15" ht="15.75" x14ac:dyDescent="0.25">
      <c r="A2118" s="4043" t="str">
        <f t="shared" si="42"/>
        <v>Количество выемочных участков в первой ступени</v>
      </c>
      <c r="B2118" s="4043">
        <f t="shared" si="42"/>
        <v>0</v>
      </c>
      <c r="C2118" s="2616"/>
      <c r="F2118" s="8"/>
      <c r="O2118" s="213"/>
    </row>
    <row r="2119" spans="1:15" ht="15.75" x14ac:dyDescent="0.25">
      <c r="A2119" s="4043" t="str">
        <f t="shared" si="42"/>
        <v>Размер  первой   ступени, м</v>
      </c>
      <c r="B2119" s="4043">
        <f t="shared" si="42"/>
        <v>0</v>
      </c>
      <c r="C2119" s="2616"/>
      <c r="F2119" s="8"/>
      <c r="O2119" s="213"/>
    </row>
    <row r="2120" spans="1:15" ht="15.75" x14ac:dyDescent="0.25">
      <c r="A2120" s="4043" t="str">
        <f t="shared" si="42"/>
        <v>--------------------</v>
      </c>
      <c r="B2120" s="4043" t="str">
        <f t="shared" si="42"/>
        <v>----------</v>
      </c>
      <c r="C2120" s="2616"/>
      <c r="F2120" s="8"/>
      <c r="O2120" s="213"/>
    </row>
    <row r="2121" spans="1:15" ht="15.75" x14ac:dyDescent="0.25">
      <c r="A2121" s="4043" t="str">
        <f t="shared" si="42"/>
        <v>---------------------</v>
      </c>
      <c r="B2121" s="4043" t="str">
        <f t="shared" si="42"/>
        <v>-------</v>
      </c>
      <c r="C2121" s="2616"/>
      <c r="F2121" s="8"/>
      <c r="O2121" s="213"/>
    </row>
    <row r="2122" spans="1:15" ht="15.75" x14ac:dyDescent="0.25">
      <c r="A2122" s="4043" t="str">
        <f t="shared" si="42"/>
        <v>-----------------</v>
      </c>
      <c r="B2122" s="4043">
        <f t="shared" si="42"/>
        <v>0</v>
      </c>
      <c r="C2122" s="2616"/>
      <c r="F2122" s="8"/>
      <c r="O2122" s="213"/>
    </row>
    <row r="2123" spans="1:15" ht="15.75" x14ac:dyDescent="0.25">
      <c r="A2123" s="4043" t="str">
        <f t="shared" si="42"/>
        <v>-----------------</v>
      </c>
      <c r="B2123" s="4043">
        <f t="shared" si="42"/>
        <v>0</v>
      </c>
      <c r="C2123" s="2616"/>
      <c r="F2123" s="8"/>
      <c r="O2123" s="213"/>
    </row>
    <row r="2124" spans="1:15" ht="15.75" x14ac:dyDescent="0.25">
      <c r="A2124" s="4043" t="str">
        <f t="shared" si="42"/>
        <v>---------------------</v>
      </c>
      <c r="B2124" s="4043">
        <f t="shared" si="42"/>
        <v>0</v>
      </c>
      <c r="C2124" s="2616"/>
      <c r="F2124" s="8"/>
      <c r="O2124" s="213"/>
    </row>
    <row r="2125" spans="1:15" ht="15.75" x14ac:dyDescent="0.25">
      <c r="A2125" s="4043" t="str">
        <f t="shared" si="42"/>
        <v>---------------------</v>
      </c>
      <c r="B2125" s="4043">
        <f t="shared" si="42"/>
        <v>0</v>
      </c>
      <c r="C2125" s="2616"/>
      <c r="F2125" s="8"/>
      <c r="O2125" s="213"/>
    </row>
    <row r="2126" spans="1:15" ht="15.75" x14ac:dyDescent="0.25">
      <c r="A2126" s="4043" t="str">
        <f t="shared" si="42"/>
        <v>------------------</v>
      </c>
      <c r="B2126" s="4043" t="str">
        <f t="shared" si="42"/>
        <v>----------</v>
      </c>
      <c r="C2126" s="2616"/>
      <c r="F2126" s="8"/>
      <c r="O2126" s="213"/>
    </row>
    <row r="2127" spans="1:15" ht="15.75" x14ac:dyDescent="0.25">
      <c r="A2127" s="4043" t="str">
        <f t="shared" si="42"/>
        <v>Размер самой нижней ступени, м</v>
      </c>
      <c r="B2127" s="4043" t="e">
        <f t="shared" si="42"/>
        <v>#VALUE!</v>
      </c>
      <c r="C2127" s="2616"/>
      <c r="F2127" s="8"/>
      <c r="O2127" s="213"/>
    </row>
    <row r="2128" spans="1:15" ht="15.75" x14ac:dyDescent="0.25">
      <c r="A2128" s="4043" t="str">
        <f t="shared" si="42"/>
        <v>-------------------------</v>
      </c>
      <c r="B2128" s="4043">
        <f t="shared" si="42"/>
        <v>0</v>
      </c>
      <c r="C2128" s="2616"/>
      <c r="F2128" s="8"/>
      <c r="O2128" s="213"/>
    </row>
    <row r="2129" spans="1:15" ht="15.75" x14ac:dyDescent="0.25">
      <c r="A2129" s="4043" t="str">
        <f t="shared" si="42"/>
        <v>------------------</v>
      </c>
      <c r="B2129" s="4043">
        <f t="shared" si="42"/>
        <v>0</v>
      </c>
      <c r="C2129" s="2616"/>
      <c r="F2129" s="8"/>
      <c r="O2129" s="213"/>
    </row>
    <row r="2130" spans="1:15" ht="15.75" x14ac:dyDescent="0.25">
      <c r="A2130" s="4043" t="str">
        <f t="shared" si="42"/>
        <v>------------------</v>
      </c>
      <c r="B2130" s="4043">
        <f t="shared" si="42"/>
        <v>0</v>
      </c>
      <c r="C2130" s="2616"/>
      <c r="F2130" s="8"/>
      <c r="O2130" s="213"/>
    </row>
    <row r="2131" spans="1:15" ht="15.75" x14ac:dyDescent="0.25">
      <c r="A2131" s="4043" t="str">
        <f t="shared" si="42"/>
        <v>--------------</v>
      </c>
      <c r="B2131" s="4043" t="str">
        <f t="shared" si="42"/>
        <v/>
      </c>
      <c r="C2131" s="2616"/>
      <c r="F2131" s="8"/>
      <c r="O2131" s="213"/>
    </row>
    <row r="2132" spans="1:15" ht="15.75" x14ac:dyDescent="0.25">
      <c r="A2132" s="4043"/>
      <c r="B2132" s="4043"/>
      <c r="C2132" s="2616"/>
      <c r="F2132" s="8"/>
      <c r="O2132" s="213"/>
    </row>
    <row r="2133" spans="1:15" ht="15.75" x14ac:dyDescent="0.25">
      <c r="A2133" s="4086"/>
      <c r="B2133" s="2615"/>
      <c r="C2133" s="2616"/>
      <c r="F2133" s="8"/>
      <c r="O2133" s="213"/>
    </row>
    <row r="2134" spans="1:15" ht="15.75" x14ac:dyDescent="0.25">
      <c r="A2134" s="4046" t="s">
        <v>6566</v>
      </c>
      <c r="B2134" s="2615"/>
      <c r="C2134" s="2616"/>
      <c r="F2134" s="8"/>
      <c r="O2134" s="213"/>
    </row>
    <row r="2135" spans="1:15" ht="18.75" customHeight="1" x14ac:dyDescent="0.25">
      <c r="A2135" s="4046" t="s">
        <v>6565</v>
      </c>
      <c r="D2135" s="3081"/>
      <c r="E2135" s="3081"/>
      <c r="F2135" s="3081"/>
      <c r="G2135" s="3081"/>
      <c r="H2135" s="3081"/>
      <c r="I2135" s="3081"/>
      <c r="O2135" s="213"/>
    </row>
    <row r="2136" spans="1:15" ht="15.75" x14ac:dyDescent="0.25">
      <c r="A2136" s="4046" t="s">
        <v>6567</v>
      </c>
      <c r="B2136" s="2615"/>
      <c r="C2136" s="2616"/>
      <c r="F2136" s="8"/>
      <c r="O2136" s="213"/>
    </row>
    <row r="2137" spans="1:15" ht="15.75" x14ac:dyDescent="0.25">
      <c r="A2137" s="4046"/>
      <c r="B2137" s="2615"/>
      <c r="C2137" s="2616"/>
      <c r="F2137" s="8"/>
      <c r="O2137" s="213"/>
    </row>
    <row r="2138" spans="1:15" ht="19.5" x14ac:dyDescent="0.35">
      <c r="A2138" s="4210" t="str">
        <f>IF(B2201=1,"Вы перенесли  таблицу в текст записки? 1 - Да, 2 - Нет","не вводить!")</f>
        <v>не вводить!</v>
      </c>
      <c r="B2138" s="4209"/>
      <c r="C2138" s="2616"/>
      <c r="F2138" s="8"/>
      <c r="O2138" s="213"/>
    </row>
    <row r="2139" spans="1:15" x14ac:dyDescent="0.2">
      <c r="A2139" s="4192" t="str">
        <f>IF(B2138=1,"Переходите по ссылке","")</f>
        <v/>
      </c>
      <c r="B2139" s="2615"/>
      <c r="C2139" s="2616"/>
      <c r="F2139" s="8"/>
      <c r="O2139" s="213"/>
    </row>
    <row r="2140" spans="1:15" ht="15.75" x14ac:dyDescent="0.25">
      <c r="A2140" s="4046"/>
      <c r="B2140" s="2615"/>
      <c r="C2140" s="2616"/>
      <c r="F2140" s="8"/>
      <c r="O2140" s="213"/>
    </row>
    <row r="2141" spans="1:15" ht="18.75" x14ac:dyDescent="0.3">
      <c r="A2141" s="2671" t="s">
        <v>6611</v>
      </c>
      <c r="B2141" s="2615"/>
      <c r="C2141" s="2616"/>
      <c r="F2141" s="8"/>
      <c r="O2141" s="213"/>
    </row>
    <row r="2142" spans="1:15" ht="15.75" x14ac:dyDescent="0.25">
      <c r="A2142" s="818" t="s">
        <v>1146</v>
      </c>
      <c r="B2142" s="2615"/>
      <c r="C2142" s="2616"/>
      <c r="F2142" s="8"/>
      <c r="O2142" s="213"/>
    </row>
    <row r="2143" spans="1:15" ht="15.75" x14ac:dyDescent="0.25">
      <c r="A2143" s="818" t="s">
        <v>1147</v>
      </c>
      <c r="B2143" s="2615"/>
      <c r="C2143" s="2616"/>
      <c r="F2143" s="8"/>
      <c r="O2143" s="213"/>
    </row>
    <row r="2144" spans="1:15" ht="15.75" x14ac:dyDescent="0.25">
      <c r="A2144" s="818" t="s">
        <v>1148</v>
      </c>
      <c r="B2144" s="2615"/>
      <c r="C2144" s="2616"/>
      <c r="F2144" s="8"/>
      <c r="O2144" s="213"/>
    </row>
    <row r="2145" spans="1:15" ht="15.75" x14ac:dyDescent="0.25">
      <c r="A2145" s="818" t="s">
        <v>1149</v>
      </c>
      <c r="B2145" s="2615"/>
      <c r="C2145" s="2616"/>
      <c r="F2145" s="8"/>
      <c r="O2145" s="213"/>
    </row>
    <row r="2146" spans="1:15" ht="15.75" x14ac:dyDescent="0.25">
      <c r="A2146" s="818" t="s">
        <v>261</v>
      </c>
      <c r="C2146" s="2616"/>
      <c r="F2146" s="8"/>
      <c r="O2146" s="213"/>
    </row>
    <row r="2147" spans="1:15" ht="15.75" x14ac:dyDescent="0.25">
      <c r="A2147" s="1392" t="s">
        <v>6498</v>
      </c>
      <c r="B2147" s="2956" t="str">
        <f>B175</f>
        <v/>
      </c>
      <c r="C2147" s="2616"/>
      <c r="F2147" s="8"/>
      <c r="O2147" s="213"/>
    </row>
    <row r="2148" spans="1:15" ht="63" x14ac:dyDescent="0.25">
      <c r="A2148" s="875" t="s">
        <v>6499</v>
      </c>
      <c r="B2148" s="2956">
        <f>IF(B1871=2,B1921,B2033)</f>
        <v>0</v>
      </c>
      <c r="C2148" s="2616"/>
      <c r="F2148" s="8"/>
      <c r="O2148" s="213"/>
    </row>
    <row r="2149" spans="1:15" ht="15.75" x14ac:dyDescent="0.25">
      <c r="A2149" s="875" t="s">
        <v>6500</v>
      </c>
      <c r="B2149" s="2956" t="str">
        <f>IF(B396=1,"панельный",IF(B396=2,"погоризонтный","этажный"))</f>
        <v>панельный</v>
      </c>
      <c r="C2149" s="2616"/>
      <c r="F2149" s="8"/>
      <c r="O2149" s="213"/>
    </row>
    <row r="2150" spans="1:15" ht="31.5" x14ac:dyDescent="0.25">
      <c r="A2150" s="875" t="s">
        <v>6501</v>
      </c>
      <c r="B2150" s="2956" t="e">
        <f>B1842</f>
        <v>#VALUE!</v>
      </c>
      <c r="C2150" s="2616"/>
      <c r="F2150" s="8"/>
      <c r="O2150" s="213"/>
    </row>
    <row r="2151" spans="1:15" ht="15.75" x14ac:dyDescent="0.25">
      <c r="A2151" s="875" t="str">
        <f>IF(B396=1,"    В одной панели желательно иметь не более 2-х лав.","----------------------------")</f>
        <v xml:space="preserve">    В одной панели желательно иметь не более 2-х лав.</v>
      </c>
      <c r="B2151" s="2956"/>
      <c r="C2151" s="2616"/>
      <c r="F2151" s="8"/>
      <c r="O2151" s="213"/>
    </row>
    <row r="2152" spans="1:15" ht="15.75" x14ac:dyDescent="0.25">
      <c r="A2152" s="1392" t="str">
        <f>IF(B396=1," -   Необходимое минимальное  число панелей","-----------------------------------------------")</f>
        <v xml:space="preserve"> -   Необходимое минимальное  число панелей</v>
      </c>
      <c r="B2152" s="2956" t="e">
        <f>IF(B396=1,ROUNDUP(B2150/2,0),"-----------")</f>
        <v>#VALUE!</v>
      </c>
      <c r="C2152" s="2616"/>
      <c r="F2152" s="8"/>
      <c r="O2152" s="213"/>
    </row>
    <row r="2153" spans="1:15" ht="15.75" x14ac:dyDescent="0.25">
      <c r="A2153" s="875" t="str">
        <f>IF(B396=1," -  Размер панели по простиранию, м","----------------------------")</f>
        <v xml:space="preserve"> -  Размер панели по простиранию, м</v>
      </c>
      <c r="B2153" s="2956" t="e">
        <f>IF(B396=1,B2147/B2152,"---------")</f>
        <v>#VALUE!</v>
      </c>
      <c r="C2153" s="2616"/>
      <c r="F2153" s="8"/>
      <c r="O2153" s="213"/>
    </row>
    <row r="2154" spans="1:15" ht="15.75" x14ac:dyDescent="0.25">
      <c r="A2154" s="1392" t="str">
        <f>IF(B396=1," -  Принятое в проекте число панелей","Не вводить !")</f>
        <v xml:space="preserve"> -  Принятое в проекте число панелей</v>
      </c>
      <c r="B2154" s="793"/>
      <c r="C2154" s="2616"/>
      <c r="F2154" s="8"/>
      <c r="O2154" s="213"/>
    </row>
    <row r="2155" spans="1:15" ht="31.5" x14ac:dyDescent="0.25">
      <c r="A2155" s="2056" t="str">
        <f>IF(B396=1,"Размер панели по простиранию обычно находится в пределах от 2000 м до 3000 м.","----------------------------")</f>
        <v>Размер панели по простиранию обычно находится в пределах от 2000 м до 3000 м.</v>
      </c>
      <c r="B2155" s="8"/>
      <c r="C2155" s="2616"/>
      <c r="F2155" s="8"/>
      <c r="O2155" s="213"/>
    </row>
    <row r="2156" spans="1:15" ht="15.75" x14ac:dyDescent="0.25">
      <c r="A2156" s="1392" t="str">
        <f>IF(B396=1,"Принятый в проекте размер панели, м","------------------------------------")</f>
        <v>Принятый в проекте размер панели, м</v>
      </c>
      <c r="B2156" s="2566" t="e">
        <f>IF(B396=1,B175/B2154,"-----------")</f>
        <v>#VALUE!</v>
      </c>
      <c r="C2156" s="2616"/>
      <c r="F2156" s="8"/>
      <c r="O2156" s="213"/>
    </row>
    <row r="2157" spans="1:15" ht="15.75" x14ac:dyDescent="0.25">
      <c r="A2157" s="875" t="s">
        <v>6494</v>
      </c>
      <c r="B2157" s="2958">
        <f>B1255</f>
        <v>0</v>
      </c>
      <c r="C2157" s="2616"/>
      <c r="F2157" s="8"/>
      <c r="O2157" s="213"/>
    </row>
    <row r="2158" spans="1:15" ht="15.75" x14ac:dyDescent="0.25">
      <c r="A2158" s="875" t="str">
        <f>IF(B396=1,"-   Количество выемочных участков, на которые делится ступень"," -  Количество выемочных полос, на которые делится ступень ")</f>
        <v>-   Количество выемочных участков, на которые делится ступень</v>
      </c>
      <c r="B2158" s="2956">
        <f>IF(B396=1,IF(B1871=2,B1873-B1874,B2024),INT(B175/B1255))</f>
        <v>0</v>
      </c>
      <c r="F2158" s="8"/>
      <c r="O2158" s="213"/>
    </row>
    <row r="2159" spans="1:15" ht="15.75" x14ac:dyDescent="0.25">
      <c r="A2159" s="2056" t="s">
        <v>6495</v>
      </c>
      <c r="B2159" s="2964"/>
      <c r="C2159" s="2616"/>
      <c r="F2159" s="8"/>
      <c r="O2159" s="213"/>
    </row>
    <row r="2160" spans="1:15" ht="15.75" x14ac:dyDescent="0.25">
      <c r="A2160" s="818" t="s">
        <v>6496</v>
      </c>
      <c r="C2160" s="2616"/>
      <c r="F2160" s="8"/>
      <c r="O2160" s="213"/>
    </row>
    <row r="2161" spans="1:15" ht="15.75" x14ac:dyDescent="0.25">
      <c r="A2161" s="818" t="s">
        <v>6497</v>
      </c>
      <c r="C2161" s="2616"/>
      <c r="F2161" s="8"/>
      <c r="O2161" s="213"/>
    </row>
    <row r="2162" spans="1:15" x14ac:dyDescent="0.2">
      <c r="B2162" s="2615"/>
      <c r="C2162" s="2616"/>
      <c r="F2162" s="8"/>
      <c r="O2162" s="213"/>
    </row>
    <row r="2163" spans="1:15" ht="78.75" x14ac:dyDescent="0.25">
      <c r="A2163" s="2056" t="s">
        <v>6502</v>
      </c>
      <c r="B2163" s="2615"/>
      <c r="C2163" s="2616"/>
      <c r="F2163" s="8"/>
      <c r="O2163" s="213"/>
    </row>
    <row r="2164" spans="1:15" ht="15.75" x14ac:dyDescent="0.25">
      <c r="A2164" s="818" t="s">
        <v>262</v>
      </c>
      <c r="B2164" s="2615"/>
      <c r="C2164" s="2616"/>
      <c r="F2164" s="8"/>
      <c r="O2164" s="213"/>
    </row>
    <row r="2165" spans="1:15" ht="15.75" x14ac:dyDescent="0.25">
      <c r="A2165" s="818" t="s">
        <v>263</v>
      </c>
      <c r="B2165" s="2615"/>
      <c r="C2165" s="2616"/>
      <c r="F2165" s="8"/>
      <c r="O2165" s="213"/>
    </row>
    <row r="2166" spans="1:15" ht="15.75" x14ac:dyDescent="0.25">
      <c r="A2166" s="818"/>
      <c r="B2166" s="2615"/>
      <c r="C2166" s="2616"/>
      <c r="F2166" s="8"/>
      <c r="O2166" s="213"/>
    </row>
    <row r="2167" spans="1:15" ht="15.75" x14ac:dyDescent="0.25">
      <c r="A2167" s="818"/>
      <c r="B2167" s="2615"/>
      <c r="C2167" s="2616"/>
      <c r="F2167" s="8"/>
      <c r="O2167" s="213"/>
    </row>
    <row r="2168" spans="1:15" ht="15.75" x14ac:dyDescent="0.25">
      <c r="A2168" s="818"/>
      <c r="B2168" s="2615"/>
      <c r="C2168" s="2616"/>
      <c r="F2168" s="8"/>
      <c r="O2168" s="213"/>
    </row>
    <row r="2169" spans="1:15" ht="15.75" x14ac:dyDescent="0.25">
      <c r="A2169" s="818"/>
      <c r="B2169" s="2615"/>
      <c r="C2169" s="2616"/>
      <c r="F2169" s="8"/>
      <c r="O2169" s="213"/>
    </row>
    <row r="2170" spans="1:15" x14ac:dyDescent="0.2">
      <c r="B2170" s="2615"/>
      <c r="C2170" s="2616"/>
      <c r="F2170" s="8"/>
      <c r="O2170" s="213"/>
    </row>
    <row r="2171" spans="1:15" ht="15.75" x14ac:dyDescent="0.25">
      <c r="A2171" s="818"/>
      <c r="B2171" s="2615"/>
      <c r="C2171" s="2616"/>
      <c r="F2171" s="8"/>
      <c r="O2171" s="213"/>
    </row>
    <row r="2172" spans="1:15" ht="15.75" x14ac:dyDescent="0.25">
      <c r="A2172" s="818"/>
      <c r="B2172" s="2615"/>
      <c r="C2172" s="2616"/>
      <c r="F2172" s="8"/>
      <c r="O2172" s="213"/>
    </row>
    <row r="2173" spans="1:15" ht="15.75" x14ac:dyDescent="0.25">
      <c r="A2173" s="818"/>
      <c r="B2173" s="2615"/>
      <c r="C2173" s="2616"/>
      <c r="F2173" s="8"/>
      <c r="O2173" s="213"/>
    </row>
    <row r="2174" spans="1:15" ht="15.75" x14ac:dyDescent="0.25">
      <c r="A2174" s="818"/>
      <c r="B2174" s="2615"/>
      <c r="C2174" s="2616"/>
      <c r="F2174" s="8"/>
      <c r="O2174" s="213"/>
    </row>
    <row r="2175" spans="1:15" ht="15.75" x14ac:dyDescent="0.25">
      <c r="A2175" s="818"/>
      <c r="B2175" s="2615"/>
      <c r="C2175" s="2616"/>
      <c r="F2175" s="8"/>
      <c r="O2175" s="213"/>
    </row>
    <row r="2176" spans="1:15" ht="15.75" x14ac:dyDescent="0.25">
      <c r="A2176" s="818"/>
      <c r="B2176" s="2615"/>
      <c r="C2176" s="2616"/>
      <c r="F2176" s="8"/>
      <c r="O2176" s="213"/>
    </row>
    <row r="2177" spans="1:15" ht="15.75" x14ac:dyDescent="0.25">
      <c r="A2177" s="818"/>
      <c r="B2177" s="2615"/>
      <c r="C2177" s="2616"/>
      <c r="F2177" s="8"/>
      <c r="O2177" s="213"/>
    </row>
    <row r="2178" spans="1:15" ht="15.75" x14ac:dyDescent="0.25">
      <c r="A2178" s="818"/>
      <c r="B2178" s="2615"/>
      <c r="C2178" s="2616"/>
      <c r="F2178" s="8"/>
      <c r="O2178" s="213"/>
    </row>
    <row r="2179" spans="1:15" ht="15.75" x14ac:dyDescent="0.25">
      <c r="A2179" s="818"/>
      <c r="B2179" s="2615"/>
      <c r="C2179" s="2616"/>
      <c r="F2179" s="8"/>
      <c r="O2179" s="213"/>
    </row>
    <row r="2180" spans="1:15" ht="15.75" x14ac:dyDescent="0.25">
      <c r="A2180" s="818" t="s">
        <v>264</v>
      </c>
      <c r="B2180" s="2615"/>
      <c r="C2180" s="2616"/>
      <c r="F2180" s="8"/>
      <c r="O2180" s="213"/>
    </row>
    <row r="2181" spans="1:15" ht="15.75" x14ac:dyDescent="0.25">
      <c r="A2181" s="818"/>
      <c r="B2181" s="2615"/>
      <c r="C2181" s="2616"/>
      <c r="F2181" s="8"/>
      <c r="O2181" s="213"/>
    </row>
    <row r="2182" spans="1:15" x14ac:dyDescent="0.2">
      <c r="B2182" s="2615"/>
      <c r="C2182" s="2616"/>
      <c r="F2182" s="8"/>
      <c r="O2182" s="213"/>
    </row>
    <row r="2183" spans="1:15" ht="18.75" x14ac:dyDescent="0.3">
      <c r="A2183" s="1310"/>
      <c r="B2183" s="2615"/>
      <c r="C2183" s="2616"/>
      <c r="F2183" s="8"/>
      <c r="O2183" s="213"/>
    </row>
    <row r="2184" spans="1:15" ht="18.75" x14ac:dyDescent="0.3">
      <c r="A2184" s="1310"/>
      <c r="B2184" s="2615"/>
      <c r="C2184" s="2616"/>
      <c r="F2184" s="8"/>
      <c r="O2184" s="213"/>
    </row>
    <row r="2185" spans="1:15" ht="18.75" x14ac:dyDescent="0.3">
      <c r="A2185" s="1310"/>
      <c r="B2185" s="2615"/>
      <c r="C2185" s="2616"/>
      <c r="F2185" s="8"/>
      <c r="O2185" s="213"/>
    </row>
    <row r="2186" spans="1:15" ht="18.75" x14ac:dyDescent="0.3">
      <c r="A2186" s="1310"/>
      <c r="B2186" s="2615"/>
      <c r="C2186" s="2616"/>
      <c r="F2186" s="8"/>
      <c r="O2186" s="213"/>
    </row>
    <row r="2187" spans="1:15" ht="18.75" x14ac:dyDescent="0.3">
      <c r="A2187" s="1310"/>
      <c r="B2187" s="2615"/>
      <c r="C2187" s="2616"/>
      <c r="F2187" s="8"/>
      <c r="O2187" s="213"/>
    </row>
    <row r="2188" spans="1:15" ht="18.75" x14ac:dyDescent="0.3">
      <c r="A2188" s="1310"/>
      <c r="B2188" s="2615"/>
      <c r="C2188" s="2616"/>
      <c r="F2188" s="8"/>
      <c r="O2188" s="213"/>
    </row>
    <row r="2189" spans="1:15" ht="18.75" x14ac:dyDescent="0.3">
      <c r="A2189" s="1310"/>
      <c r="B2189" s="2615"/>
      <c r="C2189" s="2616"/>
      <c r="F2189" s="8"/>
      <c r="O2189" s="213"/>
    </row>
    <row r="2190" spans="1:15" ht="18.75" x14ac:dyDescent="0.3">
      <c r="A2190" s="1310"/>
      <c r="B2190" s="2615"/>
      <c r="C2190" s="2616"/>
      <c r="F2190" s="8"/>
      <c r="O2190" s="213"/>
    </row>
    <row r="2191" spans="1:15" ht="15.75" x14ac:dyDescent="0.25">
      <c r="A2191" s="818" t="s">
        <v>4557</v>
      </c>
    </row>
    <row r="2192" spans="1:15" x14ac:dyDescent="0.2">
      <c r="B2192" s="2615"/>
      <c r="C2192" s="2616"/>
      <c r="F2192" s="8"/>
      <c r="O2192" s="213"/>
    </row>
    <row r="2193" spans="1:15" ht="18.75" x14ac:dyDescent="0.3">
      <c r="A2193" s="2049" t="s">
        <v>6612</v>
      </c>
      <c r="B2193" s="2615"/>
      <c r="C2193" s="2616"/>
      <c r="F2193" s="8"/>
      <c r="O2193" s="213"/>
    </row>
    <row r="2194" spans="1:15" ht="18.75" x14ac:dyDescent="0.3">
      <c r="A2194" s="1310"/>
      <c r="B2194" s="2615"/>
      <c r="C2194" s="2616"/>
      <c r="F2194" s="8"/>
      <c r="O2194" s="213"/>
    </row>
    <row r="2195" spans="1:15" ht="18.75" x14ac:dyDescent="0.3">
      <c r="A2195" s="1310" t="s">
        <v>6652</v>
      </c>
      <c r="B2195" s="2615"/>
      <c r="C2195" s="2616"/>
      <c r="F2195" s="8"/>
      <c r="O2195" s="213"/>
    </row>
    <row r="2196" spans="1:15" x14ac:dyDescent="0.2">
      <c r="A2196" t="s">
        <v>6653</v>
      </c>
      <c r="B2196" s="2615"/>
      <c r="C2196" s="2616"/>
      <c r="F2196" s="8"/>
      <c r="O2196" s="213"/>
    </row>
    <row r="2197" spans="1:15" x14ac:dyDescent="0.2">
      <c r="A2197" t="s">
        <v>6654</v>
      </c>
    </row>
    <row r="2198" spans="1:15" x14ac:dyDescent="0.2">
      <c r="A2198" t="s">
        <v>6655</v>
      </c>
    </row>
    <row r="2199" spans="1:15" x14ac:dyDescent="0.2">
      <c r="A2199" t="s">
        <v>6656</v>
      </c>
    </row>
    <row r="2201" spans="1:15" x14ac:dyDescent="0.2">
      <c r="A2201" s="5" t="s">
        <v>6753</v>
      </c>
      <c r="B2201" s="4159"/>
    </row>
    <row r="2204" spans="1:15" x14ac:dyDescent="0.2">
      <c r="A2204" s="894" t="str">
        <f>IF(B2201=1,"Перейдите по ссылке к началу программы  и откройте файл Пояснительная записка","")</f>
        <v/>
      </c>
    </row>
    <row r="2206" spans="1:15" x14ac:dyDescent="0.2">
      <c r="A2206" s="894" t="s">
        <v>6771</v>
      </c>
    </row>
    <row r="2244" spans="1:13" x14ac:dyDescent="0.2">
      <c r="C2244" s="2616"/>
      <c r="D2244" s="460"/>
      <c r="F2244" s="8"/>
      <c r="G2244" s="213"/>
    </row>
    <row r="2245" spans="1:13" x14ac:dyDescent="0.2">
      <c r="C2245" s="2616"/>
      <c r="D2245" s="460"/>
    </row>
    <row r="2246" spans="1:13" x14ac:dyDescent="0.2">
      <c r="A2246" t="s">
        <v>6733</v>
      </c>
      <c r="C2246" s="2616"/>
      <c r="D2246" s="460"/>
    </row>
    <row r="2247" spans="1:13" x14ac:dyDescent="0.2">
      <c r="C2247" s="3972"/>
      <c r="D2247" s="3973"/>
      <c r="E2247" s="3959"/>
      <c r="F2247" s="3959"/>
      <c r="G2247" s="3959"/>
      <c r="H2247" s="3959"/>
    </row>
    <row r="2248" spans="1:13" ht="18" x14ac:dyDescent="0.25">
      <c r="A2248" s="3971" t="s">
        <v>4498</v>
      </c>
      <c r="B2248" s="3959"/>
      <c r="C2248" s="2616"/>
      <c r="D2248" s="460"/>
      <c r="E2248" s="8"/>
      <c r="F2248" s="8"/>
      <c r="G2248" s="8"/>
      <c r="H2248" s="8"/>
    </row>
    <row r="2249" spans="1:13" ht="31.5" x14ac:dyDescent="0.25">
      <c r="A2249" s="943" t="s">
        <v>6441</v>
      </c>
      <c r="B2249" s="3064">
        <v>4</v>
      </c>
      <c r="C2249" s="2616"/>
      <c r="D2249" s="460"/>
      <c r="E2249" s="8"/>
      <c r="F2249" s="8"/>
      <c r="G2249" s="8"/>
      <c r="H2249" s="8"/>
    </row>
    <row r="2250" spans="1:13" ht="47.25" x14ac:dyDescent="0.25">
      <c r="A2250" s="943" t="s">
        <v>6442</v>
      </c>
      <c r="B2250" s="3954">
        <v>2.2000000000000002</v>
      </c>
      <c r="C2250" s="849"/>
      <c r="D2250">
        <v>1</v>
      </c>
      <c r="E2250">
        <v>4</v>
      </c>
      <c r="F2250">
        <v>21</v>
      </c>
      <c r="G2250">
        <v>24</v>
      </c>
      <c r="H2250">
        <v>16</v>
      </c>
      <c r="I2250">
        <v>29</v>
      </c>
      <c r="J2250">
        <v>32</v>
      </c>
      <c r="K2250">
        <v>117</v>
      </c>
      <c r="L2250">
        <v>120</v>
      </c>
      <c r="M2250" s="213" t="e">
        <f>INDEX(D2250:L2250,B817)</f>
        <v>#VALUE!</v>
      </c>
    </row>
    <row r="2251" spans="1:13" ht="15.75" x14ac:dyDescent="0.25">
      <c r="A2251" s="939"/>
      <c r="B2251" s="8"/>
      <c r="D2251" t="s">
        <v>1523</v>
      </c>
      <c r="E2251" t="s">
        <v>1522</v>
      </c>
      <c r="F2251" t="s">
        <v>1521</v>
      </c>
      <c r="G2251" t="s">
        <v>1524</v>
      </c>
      <c r="H2251" t="s">
        <v>1525</v>
      </c>
      <c r="I2251" t="s">
        <v>1526</v>
      </c>
      <c r="J2251" t="s">
        <v>1527</v>
      </c>
      <c r="K2251" t="s">
        <v>4030</v>
      </c>
      <c r="L2251" t="s">
        <v>4031</v>
      </c>
    </row>
    <row r="2252" spans="1:13" ht="15.75" x14ac:dyDescent="0.25">
      <c r="A2252" s="942" t="s">
        <v>1826</v>
      </c>
      <c r="B2252" s="8"/>
      <c r="D2252">
        <v>1</v>
      </c>
      <c r="E2252">
        <v>2</v>
      </c>
      <c r="F2252">
        <v>3</v>
      </c>
      <c r="G2252">
        <v>4</v>
      </c>
      <c r="H2252">
        <v>5</v>
      </c>
      <c r="I2252">
        <v>6</v>
      </c>
      <c r="J2252">
        <v>7</v>
      </c>
      <c r="K2252">
        <v>8</v>
      </c>
      <c r="L2252">
        <v>9</v>
      </c>
    </row>
    <row r="2253" spans="1:13" ht="15.75" x14ac:dyDescent="0.25">
      <c r="A2253" s="942" t="s">
        <v>1510</v>
      </c>
      <c r="D2253">
        <v>1</v>
      </c>
      <c r="E2253">
        <v>1</v>
      </c>
      <c r="F2253">
        <v>1</v>
      </c>
      <c r="G2253">
        <v>1</v>
      </c>
      <c r="H2253">
        <v>1</v>
      </c>
      <c r="I2253">
        <v>1</v>
      </c>
      <c r="J2253">
        <v>1</v>
      </c>
      <c r="K2253">
        <v>2</v>
      </c>
      <c r="L2253">
        <v>2</v>
      </c>
    </row>
    <row r="2254" spans="1:13" ht="47.25" x14ac:dyDescent="0.25">
      <c r="A2254" s="1138" t="s">
        <v>2267</v>
      </c>
      <c r="B2254" s="810" t="e">
        <f>INDEX(D2253:L2253,$B$817)</f>
        <v>#VALUE!</v>
      </c>
    </row>
    <row r="2255" spans="1:13" ht="15.75" x14ac:dyDescent="0.25">
      <c r="A2255" s="1158"/>
      <c r="B2255" s="810"/>
      <c r="D2255">
        <v>1</v>
      </c>
      <c r="E2255">
        <v>1</v>
      </c>
      <c r="F2255">
        <v>2</v>
      </c>
      <c r="G2255">
        <v>2</v>
      </c>
      <c r="H2255">
        <v>1</v>
      </c>
      <c r="I2255">
        <v>2</v>
      </c>
      <c r="J2255">
        <v>2</v>
      </c>
      <c r="K2255">
        <v>2</v>
      </c>
      <c r="L2255">
        <v>2</v>
      </c>
    </row>
    <row r="2256" spans="1:13" ht="31.5" x14ac:dyDescent="0.25">
      <c r="A2256" s="2595" t="s">
        <v>2854</v>
      </c>
      <c r="B2256" s="810" t="e">
        <f>INDEX(D2255:L2255,$B$817)</f>
        <v>#VALUE!</v>
      </c>
      <c r="D2256">
        <v>1</v>
      </c>
      <c r="E2256">
        <v>1</v>
      </c>
      <c r="F2256">
        <v>2</v>
      </c>
      <c r="H2256">
        <v>1</v>
      </c>
      <c r="I2256">
        <v>1</v>
      </c>
      <c r="J2256">
        <v>1</v>
      </c>
    </row>
    <row r="2257" spans="1:12" ht="15.75" x14ac:dyDescent="0.25">
      <c r="A2257" s="1138" t="e">
        <f>IF(B2256=1,"Выр-ка проводиться;1-за лавой,2-с опережением","не вводить!")</f>
        <v>#VALUE!</v>
      </c>
      <c r="B2257" s="810" t="e">
        <f>INDEX(D2256:L2256,$B$817)</f>
        <v>#VALUE!</v>
      </c>
      <c r="D2257">
        <v>1</v>
      </c>
      <c r="E2257">
        <v>1</v>
      </c>
      <c r="F2257">
        <v>2</v>
      </c>
      <c r="G2257">
        <v>1</v>
      </c>
      <c r="H2257">
        <v>1</v>
      </c>
      <c r="I2257">
        <v>2</v>
      </c>
      <c r="J2257">
        <v>1</v>
      </c>
      <c r="K2257">
        <v>1</v>
      </c>
      <c r="L2257">
        <v>1</v>
      </c>
    </row>
    <row r="2258" spans="1:12" ht="31.5" x14ac:dyDescent="0.25">
      <c r="A2258" s="1138" t="s">
        <v>3028</v>
      </c>
      <c r="B2258" s="810" t="e">
        <f>INDEX(D2257:L2257,$B$817)</f>
        <v>#VALUE!</v>
      </c>
      <c r="D2258">
        <v>1</v>
      </c>
      <c r="E2258">
        <v>1</v>
      </c>
      <c r="F2258">
        <v>2</v>
      </c>
      <c r="G2258">
        <v>2</v>
      </c>
      <c r="H2258">
        <v>1</v>
      </c>
      <c r="I2258">
        <v>2</v>
      </c>
      <c r="J2258">
        <v>2</v>
      </c>
      <c r="K2258">
        <v>2</v>
      </c>
      <c r="L2258">
        <v>2</v>
      </c>
    </row>
    <row r="2259" spans="1:12" ht="47.25" x14ac:dyDescent="0.25">
      <c r="A2259" s="1138" t="s">
        <v>3574</v>
      </c>
      <c r="B2259" s="810" t="e">
        <f>INDEX(D2258:L2258,$B$817)</f>
        <v>#VALUE!</v>
      </c>
      <c r="D2259">
        <v>1</v>
      </c>
      <c r="E2259">
        <v>1</v>
      </c>
      <c r="F2259">
        <v>2</v>
      </c>
      <c r="G2259">
        <v>2</v>
      </c>
      <c r="H2259">
        <v>1</v>
      </c>
      <c r="I2259">
        <v>2</v>
      </c>
      <c r="J2259">
        <v>2</v>
      </c>
      <c r="K2259">
        <v>2</v>
      </c>
      <c r="L2259">
        <v>2</v>
      </c>
    </row>
    <row r="2260" spans="1:12" ht="31.5" x14ac:dyDescent="0.25">
      <c r="A2260" s="1138" t="s">
        <v>4277</v>
      </c>
      <c r="B2260" s="810" t="e">
        <f>INDEX(D2259:L2259,$B$817)</f>
        <v>#VALUE!</v>
      </c>
    </row>
    <row r="2261" spans="1:12" ht="15.75" x14ac:dyDescent="0.25">
      <c r="A2261" s="2593" t="e">
        <f>IF(SUM(B2409:B2416)=1,"","Введенные данные о транспортной выработке несовместимы между собой")</f>
        <v>#VALUE!</v>
      </c>
      <c r="B2261" s="810"/>
      <c r="D2261">
        <v>1</v>
      </c>
      <c r="E2261">
        <v>1</v>
      </c>
      <c r="F2261">
        <v>2</v>
      </c>
      <c r="G2261">
        <v>2</v>
      </c>
      <c r="H2261">
        <v>1</v>
      </c>
      <c r="I2261">
        <v>2</v>
      </c>
      <c r="J2261">
        <v>2</v>
      </c>
      <c r="K2261" s="3010">
        <v>8</v>
      </c>
      <c r="L2261">
        <v>8</v>
      </c>
    </row>
    <row r="2262" spans="1:12" ht="31.5" x14ac:dyDescent="0.25">
      <c r="A2262" s="1138" t="s">
        <v>1375</v>
      </c>
      <c r="B2262" s="810" t="e">
        <f>INDEX(D2261:L2261,$B$817)</f>
        <v>#VALUE!</v>
      </c>
    </row>
    <row r="2263" spans="1:12" x14ac:dyDescent="0.2">
      <c r="A2263" s="2594" t="e">
        <f>IF(AND(B2254=1,B2262=B2396),"",IF(AND(B2254=2,B2262=B2397),"","Модуль указан неверно !"))</f>
        <v>#VALUE!</v>
      </c>
      <c r="B2263" s="1097"/>
    </row>
    <row r="2264" spans="1:12" ht="39.75" customHeight="1" x14ac:dyDescent="0.25">
      <c r="A2264" s="2596" t="s">
        <v>1511</v>
      </c>
      <c r="B2264" s="239"/>
      <c r="D2264">
        <v>1</v>
      </c>
      <c r="E2264">
        <v>2</v>
      </c>
      <c r="F2264">
        <v>3</v>
      </c>
      <c r="G2264">
        <v>4</v>
      </c>
      <c r="H2264">
        <v>5</v>
      </c>
      <c r="I2264">
        <v>6</v>
      </c>
      <c r="J2264">
        <v>7</v>
      </c>
      <c r="K2264">
        <v>8</v>
      </c>
      <c r="L2264">
        <v>9</v>
      </c>
    </row>
    <row r="2265" spans="1:12" ht="15.75" x14ac:dyDescent="0.25">
      <c r="A2265" s="4117" t="e">
        <f>IF(B2254=1,"Вами уже принято, что воздух по лаве движется в направлении от транспортной выработки к вентиляционной !","Вами уже принято, что воздух по лаве движется в направлении от вентиляционной  выработки к транспортной !")</f>
        <v>#VALUE!</v>
      </c>
      <c r="B2265" s="4118"/>
      <c r="D2265">
        <v>1</v>
      </c>
      <c r="E2265">
        <v>2</v>
      </c>
      <c r="F2265">
        <v>2</v>
      </c>
      <c r="G2265">
        <v>2</v>
      </c>
      <c r="H2265">
        <v>2</v>
      </c>
      <c r="I2265">
        <v>2</v>
      </c>
      <c r="J2265">
        <v>2</v>
      </c>
      <c r="K2265">
        <v>2</v>
      </c>
      <c r="L2265">
        <v>2</v>
      </c>
    </row>
    <row r="2266" spans="1:12" ht="31.5" x14ac:dyDescent="0.25">
      <c r="A2266" s="2612" t="s">
        <v>1520</v>
      </c>
      <c r="B2266" s="3910" t="e">
        <f>INDEX(D2265:L2265,$B$817)</f>
        <v>#VALUE!</v>
      </c>
      <c r="D2266">
        <v>2</v>
      </c>
      <c r="E2266">
        <v>2</v>
      </c>
      <c r="F2266">
        <v>1</v>
      </c>
      <c r="G2266">
        <v>1</v>
      </c>
      <c r="H2266">
        <v>2</v>
      </c>
      <c r="I2266">
        <v>2</v>
      </c>
      <c r="J2266">
        <v>2</v>
      </c>
      <c r="K2266">
        <v>1</v>
      </c>
      <c r="L2266">
        <v>1</v>
      </c>
    </row>
    <row r="2267" spans="1:12" ht="15.75" x14ac:dyDescent="0.25">
      <c r="A2267" s="1138" t="s">
        <v>3899</v>
      </c>
      <c r="B2267" s="3910" t="e">
        <f>INDEX(D2266:L2266,$B$817)</f>
        <v>#VALUE!</v>
      </c>
      <c r="D2267" s="3010">
        <v>2</v>
      </c>
      <c r="E2267" s="3010">
        <v>2</v>
      </c>
      <c r="F2267" s="3010">
        <v>2</v>
      </c>
      <c r="G2267" s="3010">
        <v>2</v>
      </c>
      <c r="H2267">
        <v>2</v>
      </c>
      <c r="I2267">
        <v>2</v>
      </c>
      <c r="J2267">
        <v>2</v>
      </c>
      <c r="K2267">
        <v>2</v>
      </c>
      <c r="L2267">
        <v>2</v>
      </c>
    </row>
    <row r="2268" spans="1:12" ht="31.5" x14ac:dyDescent="0.25">
      <c r="A2268" s="1139" t="s">
        <v>3618</v>
      </c>
      <c r="B2268" s="3910" t="e">
        <f>INDEX(D2267:L2267,$B$817)</f>
        <v>#VALUE!</v>
      </c>
      <c r="D2268">
        <v>1</v>
      </c>
      <c r="E2268">
        <v>1</v>
      </c>
      <c r="F2268">
        <v>2</v>
      </c>
      <c r="G2268">
        <v>2</v>
      </c>
      <c r="H2268">
        <v>1</v>
      </c>
      <c r="I2268">
        <v>1</v>
      </c>
      <c r="J2268">
        <v>1</v>
      </c>
      <c r="K2268">
        <v>1</v>
      </c>
      <c r="L2268">
        <v>1</v>
      </c>
    </row>
    <row r="2269" spans="1:12" ht="31.5" x14ac:dyDescent="0.25">
      <c r="A2269" s="1138" t="s">
        <v>3027</v>
      </c>
      <c r="B2269" s="3910" t="e">
        <f>INDEX(D2268:L2268,$B$817)</f>
        <v>#VALUE!</v>
      </c>
    </row>
    <row r="2270" spans="1:12" ht="15.75" x14ac:dyDescent="0.25">
      <c r="A2270" s="2599" t="e">
        <f>IF(SUM(C2409:C2416)=1,"","Ввведенные данные о вентиляционной выработке несовместимы между собой!")</f>
        <v>#VALUE!</v>
      </c>
      <c r="B2270" s="3909"/>
      <c r="D2270" s="3908">
        <v>1</v>
      </c>
      <c r="E2270" s="3908">
        <v>1</v>
      </c>
      <c r="F2270" s="3908">
        <v>2</v>
      </c>
      <c r="G2270" s="3908">
        <v>2</v>
      </c>
      <c r="H2270" s="3908">
        <v>4</v>
      </c>
      <c r="I2270" s="3908">
        <v>4</v>
      </c>
      <c r="J2270" s="3908">
        <v>4</v>
      </c>
      <c r="K2270" s="3908">
        <v>6</v>
      </c>
      <c r="L2270" s="3908">
        <v>6</v>
      </c>
    </row>
    <row r="2271" spans="1:12" ht="31.5" x14ac:dyDescent="0.25">
      <c r="A2271" s="1138" t="s">
        <v>1374</v>
      </c>
      <c r="B2271" s="3910" t="e">
        <f>INDEX(D2270:L2270,$B$817)</f>
        <v>#VALUE!</v>
      </c>
    </row>
    <row r="2272" spans="1:12" ht="15.75" x14ac:dyDescent="0.25">
      <c r="A2272" s="2598" t="e">
        <f>IF(AND(B2254=1,B2271=B2400),"",IF(AND(B2254=2,B2271=B2401),"","Номер модуля указан неверно  !"))</f>
        <v>#VALUE!</v>
      </c>
      <c r="B2272" s="3909"/>
    </row>
    <row r="2273" spans="1:12" x14ac:dyDescent="0.2">
      <c r="B2273" s="3909"/>
    </row>
    <row r="2274" spans="1:12" ht="15.75" x14ac:dyDescent="0.25">
      <c r="A2274" s="2597" t="s">
        <v>1372</v>
      </c>
      <c r="B2274" s="3909"/>
      <c r="C2274" s="213" t="e">
        <f>IF(B2275=B821,"","Ранее было принято повторное использование !")</f>
        <v>#VALUE!</v>
      </c>
      <c r="D2274">
        <v>1</v>
      </c>
      <c r="E2274">
        <v>2</v>
      </c>
      <c r="F2274">
        <v>1</v>
      </c>
      <c r="G2274">
        <v>2</v>
      </c>
      <c r="H2274">
        <v>2</v>
      </c>
      <c r="I2274">
        <v>1</v>
      </c>
      <c r="J2274">
        <v>2</v>
      </c>
      <c r="K2274">
        <v>1</v>
      </c>
      <c r="L2274">
        <v>2</v>
      </c>
    </row>
    <row r="2275" spans="1:12" ht="60" customHeight="1" x14ac:dyDescent="0.25">
      <c r="A2275" s="1138" t="s">
        <v>3898</v>
      </c>
      <c r="B2275" s="3910" t="e">
        <f>INDEX(D2270:L2270,$B$817)</f>
        <v>#VALUE!</v>
      </c>
      <c r="D2275">
        <v>2</v>
      </c>
      <c r="F2275">
        <v>2</v>
      </c>
      <c r="I2275">
        <v>2</v>
      </c>
      <c r="K2275">
        <v>2</v>
      </c>
    </row>
    <row r="2276" spans="1:12" ht="58.5" customHeight="1" x14ac:dyDescent="0.25">
      <c r="A2276" s="1138" t="e">
        <f>IF(B2275=1,"Если вентиляционная выработка новая, то она пройдена через целик больший зоны опорного давления - 1, через целик меньший размера зоны опорного давления - 2, пройдена вприсечку - 3","------------------------")</f>
        <v>#VALUE!</v>
      </c>
      <c r="B2276" s="3910" t="e">
        <f>INDEX(D2274:L2274,$B$817)</f>
        <v>#VALUE!</v>
      </c>
      <c r="D2276">
        <v>2</v>
      </c>
      <c r="E2276">
        <v>4</v>
      </c>
      <c r="F2276">
        <v>2</v>
      </c>
      <c r="G2276">
        <v>4</v>
      </c>
      <c r="H2276">
        <v>4</v>
      </c>
      <c r="I2276">
        <v>2</v>
      </c>
      <c r="J2276">
        <v>4</v>
      </c>
      <c r="K2276">
        <v>2</v>
      </c>
      <c r="L2276">
        <v>4</v>
      </c>
    </row>
    <row r="2277" spans="1:12" ht="47.25" x14ac:dyDescent="0.25">
      <c r="A2277" s="1138" t="s">
        <v>1373</v>
      </c>
      <c r="B2277" s="3910" t="e">
        <f>INDEX(D2276:L2276,$B$817)</f>
        <v>#VALUE!</v>
      </c>
    </row>
    <row r="2278" spans="1:12" ht="15" x14ac:dyDescent="0.2">
      <c r="A2278" s="2600" t="e">
        <f>IF(B2277=B2394,"","Номер модуля примыкания  к старым работам указан неверно !")</f>
        <v>#VALUE!</v>
      </c>
      <c r="B2278" s="3910"/>
    </row>
    <row r="2279" spans="1:12" ht="89.25" customHeight="1" x14ac:dyDescent="0.25">
      <c r="A2279" s="2479" t="s">
        <v>12</v>
      </c>
      <c r="B2279" s="3910"/>
      <c r="C2279" s="2629" t="e">
        <f>IF(B2280=INDEX(B2428:DY2428,H2406),"","Не соответствует системе разработки !")</f>
        <v>#VALUE!</v>
      </c>
      <c r="D2279">
        <v>1</v>
      </c>
      <c r="E2279">
        <v>3</v>
      </c>
      <c r="F2279">
        <v>2</v>
      </c>
      <c r="G2279">
        <v>2</v>
      </c>
      <c r="H2279">
        <v>3</v>
      </c>
      <c r="I2279">
        <v>2</v>
      </c>
      <c r="J2279">
        <v>2</v>
      </c>
      <c r="K2279">
        <v>2</v>
      </c>
      <c r="L2279">
        <v>2</v>
      </c>
    </row>
    <row r="2280" spans="1:12" ht="24" customHeight="1" x14ac:dyDescent="0.2">
      <c r="A2280" s="1740" t="s">
        <v>3029</v>
      </c>
      <c r="B2280" s="3910" t="e">
        <f>INDEX(D2279:L2279,$B$817)</f>
        <v>#VALUE!</v>
      </c>
      <c r="C2280" s="2704" t="e">
        <f>IF(B2281=kursovoy!T2406,"","                  Внимательнее рассмотрите принятую Вами систему разработки !")</f>
        <v>#VALUE!</v>
      </c>
      <c r="D2280" s="8">
        <v>1</v>
      </c>
      <c r="E2280">
        <v>1</v>
      </c>
      <c r="F2280">
        <v>2</v>
      </c>
      <c r="G2280">
        <v>2</v>
      </c>
      <c r="H2280">
        <v>3</v>
      </c>
      <c r="I2280">
        <v>3</v>
      </c>
      <c r="J2280">
        <v>3</v>
      </c>
      <c r="K2280">
        <v>4</v>
      </c>
      <c r="L2280">
        <v>4</v>
      </c>
    </row>
    <row r="2281" spans="1:12" ht="15.75" x14ac:dyDescent="0.25">
      <c r="A2281" s="1740" t="s">
        <v>3030</v>
      </c>
      <c r="B2281" s="3910" t="e">
        <f>INDEX(D2280:L2280,$B$817)</f>
        <v>#VALUE!</v>
      </c>
      <c r="C2281" s="345" t="e">
        <f>IF(B2282=INDEX(B2430:DY2430,H2406),"","Не соответствует системе разработки !")</f>
        <v>#VALUE!</v>
      </c>
      <c r="D2281" s="8">
        <v>1</v>
      </c>
      <c r="E2281">
        <v>1</v>
      </c>
      <c r="F2281">
        <v>1</v>
      </c>
      <c r="G2281">
        <v>1</v>
      </c>
      <c r="H2281">
        <v>1</v>
      </c>
      <c r="I2281">
        <v>1</v>
      </c>
      <c r="J2281">
        <v>1</v>
      </c>
      <c r="K2281">
        <v>0</v>
      </c>
      <c r="L2281">
        <v>0</v>
      </c>
    </row>
    <row r="2282" spans="1:12" ht="30.75" customHeight="1" x14ac:dyDescent="0.25">
      <c r="A2282" s="1740" t="s">
        <v>3031</v>
      </c>
      <c r="B2282" s="3910" t="e">
        <f>INDEX(D2281:L2281,$B$817)</f>
        <v>#VALUE!</v>
      </c>
      <c r="E2282" s="2705" t="s">
        <v>1401</v>
      </c>
    </row>
    <row r="2283" spans="1:12" ht="87.75" customHeight="1" x14ac:dyDescent="0.25">
      <c r="A2283" s="876" t="s">
        <v>1007</v>
      </c>
      <c r="B2283" s="819" t="e">
        <f>CONCATENATE(B2262,".",B2271,".",B2277)</f>
        <v>#VALUE!</v>
      </c>
    </row>
    <row r="2284" spans="1:12" ht="15.75" x14ac:dyDescent="0.25">
      <c r="A2284" s="4115" t="e">
        <f>INDEX(B2419:DY2419,H2406)</f>
        <v>#N/A</v>
      </c>
      <c r="B2284" s="4112"/>
    </row>
    <row r="2288" spans="1:12" ht="15.75" x14ac:dyDescent="0.25">
      <c r="A2288" s="2631" t="s">
        <v>603</v>
      </c>
      <c r="B2288" s="2955" t="e">
        <f>B176/B1871</f>
        <v>#VALUE!</v>
      </c>
    </row>
    <row r="2289" spans="1:24" x14ac:dyDescent="0.2">
      <c r="A2289" s="802" t="b">
        <f>IF(B1871=2,"Глубина подъемного горизонта, м  =Lcт*sinα+h0",IF(B1871&gt;2,"Глубина первого подъемного горизонта, м    =Lcт*sinα+h0   "))</f>
        <v>0</v>
      </c>
      <c r="B2289" s="2955" t="e">
        <f>B2288*SIN(3.14*B178/180)+B179</f>
        <v>#VALUE!</v>
      </c>
    </row>
    <row r="2290" spans="1:24" x14ac:dyDescent="0.2">
      <c r="A2290" s="802" t="str">
        <f>IF(B1871=3,"Глубина второго подъемного горизонта, м             =2Lcт*sinα+h0","----------------")</f>
        <v>----------------</v>
      </c>
      <c r="B2290" s="2955" t="str">
        <f>IF(B1871=3,2*B2288*SIN(3.14*B178/180)+B179,"------------")</f>
        <v>------------</v>
      </c>
    </row>
    <row r="2291" spans="1:24" ht="33.75" x14ac:dyDescent="0.35">
      <c r="A2291" s="1944" t="s">
        <v>3135</v>
      </c>
      <c r="B2291" s="2955" t="e">
        <f>(B176-B2288/2)*SIN(3.14*B178/180)+B179</f>
        <v>#VALUE!</v>
      </c>
    </row>
    <row r="2292" spans="1:24" x14ac:dyDescent="0.2">
      <c r="A2292" s="5" t="s">
        <v>934</v>
      </c>
      <c r="B2292" s="2718">
        <f>B2302</f>
        <v>0</v>
      </c>
    </row>
    <row r="2293" spans="1:24" ht="15.75" x14ac:dyDescent="0.25">
      <c r="A2293" s="1138" t="s">
        <v>2209</v>
      </c>
      <c r="B2293" s="2701" t="e">
        <f>IF(B1720=1,INDEX(D1675:D1681,B400),O1712)</f>
        <v>#N/A</v>
      </c>
    </row>
    <row r="2294" spans="1:24" ht="13.5" customHeight="1" x14ac:dyDescent="0.2">
      <c r="J2294" s="8"/>
      <c r="V2294">
        <v>1</v>
      </c>
      <c r="W2294">
        <v>2</v>
      </c>
      <c r="X2294">
        <v>3</v>
      </c>
    </row>
    <row r="2295" spans="1:24" ht="15.75" x14ac:dyDescent="0.25">
      <c r="A2295" s="4109" t="s">
        <v>2205</v>
      </c>
      <c r="B2295" s="4110"/>
      <c r="C2295" s="2501" t="str">
        <f>IF(B177&gt;1,"h1-h2","")</f>
        <v>h1-h2</v>
      </c>
      <c r="D2295" s="2501" t="str">
        <f>IF(B177&gt;2,"h2-h3","")</f>
        <v>h2-h3</v>
      </c>
      <c r="E2295" s="2501" t="str">
        <f>IF(B177&gt;3,"h3-h4","")</f>
        <v>h3-h4</v>
      </c>
      <c r="F2295" s="2501" t="str">
        <f>IF(B177&gt;4,"h4-h5","")</f>
        <v>h4-h5</v>
      </c>
      <c r="G2295" s="2501" t="str">
        <f>IF(B177&gt;5,"h5-h6","")</f>
        <v>h5-h6</v>
      </c>
      <c r="J2295" s="8"/>
      <c r="U2295">
        <v>1</v>
      </c>
      <c r="V2295" s="5">
        <v>1</v>
      </c>
      <c r="W2295" s="5">
        <v>2</v>
      </c>
      <c r="X2295" s="5">
        <v>2</v>
      </c>
    </row>
    <row r="2296" spans="1:24" ht="15.75" x14ac:dyDescent="0.25">
      <c r="A2296" s="4116" t="s">
        <v>2204</v>
      </c>
      <c r="B2296" s="4110"/>
      <c r="C2296" s="852" t="str">
        <f>IF(B177&gt;1,B181,"")</f>
        <v/>
      </c>
      <c r="D2296" s="852" t="str">
        <f>IF(B177&gt;2,B182,"")</f>
        <v/>
      </c>
      <c r="E2296" s="852" t="str">
        <f>IF(B177&gt;3,B183,"")</f>
        <v/>
      </c>
      <c r="F2296" s="852" t="str">
        <f>IF(B177&gt;4,B184,"")</f>
        <v/>
      </c>
      <c r="G2296" s="852" t="str">
        <f>IF(B177&gt;5,B185,"")</f>
        <v/>
      </c>
      <c r="J2296" s="2536"/>
    </row>
    <row r="2297" spans="1:24" ht="15.75" x14ac:dyDescent="0.25">
      <c r="A2297" s="2535" t="s">
        <v>2198</v>
      </c>
      <c r="B2297" s="2502" t="str">
        <f>IF(B177&gt;0,"h1","")</f>
        <v>h1</v>
      </c>
      <c r="C2297" s="2502" t="str">
        <f>IF(B177&gt;1,"h2","")</f>
        <v>h2</v>
      </c>
      <c r="D2297" s="2502" t="str">
        <f>IF(B177&gt;2,"h3","")</f>
        <v>h3</v>
      </c>
      <c r="E2297" s="2502" t="str">
        <f>IF(B177&gt;3,"h4","")</f>
        <v>h4</v>
      </c>
      <c r="F2297" s="2502" t="str">
        <f>IF(B177&gt;4,"h5","")</f>
        <v>h5</v>
      </c>
      <c r="G2297" s="852" t="str">
        <f>IF(B177&gt;5,"h6","")</f>
        <v>h6</v>
      </c>
      <c r="J2297" s="2536"/>
    </row>
    <row r="2298" spans="1:24" ht="15.75" x14ac:dyDescent="0.25">
      <c r="A2298" s="2535" t="s">
        <v>2203</v>
      </c>
      <c r="B2298" s="2503" t="str">
        <f>B189</f>
        <v/>
      </c>
      <c r="C2298" s="2503" t="str">
        <f>IF(B177&gt;1,B192,"")</f>
        <v/>
      </c>
      <c r="D2298" s="2503" t="str">
        <f>IF(B177&gt;2,B195,"")</f>
        <v/>
      </c>
      <c r="E2298" s="2503" t="str">
        <f>IF(B177&gt;3,B198,"")</f>
        <v/>
      </c>
      <c r="F2298" s="2503" t="str">
        <f>IF(B177&gt;4,B201,"")</f>
        <v/>
      </c>
      <c r="G2298" s="852" t="str">
        <f>IF(B177&gt;5,B204,"")</f>
        <v/>
      </c>
      <c r="J2298" s="2536"/>
    </row>
    <row r="2299" spans="1:24" ht="15.75" x14ac:dyDescent="0.25">
      <c r="A2299" s="2535" t="s">
        <v>3449</v>
      </c>
      <c r="B2299" s="2503" t="str">
        <f>B188</f>
        <v/>
      </c>
      <c r="C2299" s="2503" t="str">
        <f>IF(B177&gt;1,B191,"")</f>
        <v/>
      </c>
      <c r="D2299" s="2503" t="str">
        <f>IF(B177&gt;2,B194,"")</f>
        <v/>
      </c>
      <c r="E2299" s="2503" t="str">
        <f>IF(B177&gt;3,B197,"")</f>
        <v/>
      </c>
      <c r="F2299" s="2503" t="str">
        <f>IF(B177&gt;4,B200,"")</f>
        <v/>
      </c>
      <c r="G2299" s="852" t="str">
        <f>IF(B177&gt;5,B203,"")</f>
        <v/>
      </c>
      <c r="J2299" s="2536"/>
    </row>
    <row r="2300" spans="1:24" ht="15.75" x14ac:dyDescent="0.25">
      <c r="A2300" s="2535" t="s">
        <v>3450</v>
      </c>
      <c r="B2300" s="2503" t="str">
        <f>B187</f>
        <v/>
      </c>
      <c r="C2300" s="2503" t="str">
        <f>IF(B177&gt;1,B190,"")</f>
        <v/>
      </c>
      <c r="D2300" s="2503" t="str">
        <f>IF(B177&gt;2,B193,"")</f>
        <v/>
      </c>
      <c r="E2300" s="2503" t="str">
        <f>IF(B177&gt;3,B196,"")</f>
        <v/>
      </c>
      <c r="F2300" s="2503" t="str">
        <f>IF(B177&gt;4,B199,"")</f>
        <v/>
      </c>
      <c r="G2300" s="852" t="str">
        <f>IF(B177&gt;5,B202,"")</f>
        <v/>
      </c>
      <c r="I2300" s="352"/>
      <c r="J2300" s="2536"/>
    </row>
    <row r="2301" spans="1:24" ht="15.75" x14ac:dyDescent="0.25">
      <c r="A2301" s="2535" t="s">
        <v>3072</v>
      </c>
      <c r="B2301" s="852"/>
      <c r="C2301" s="2591">
        <f>IF(C2296="",0,C2296/SIN(3.14*B178/180))</f>
        <v>0</v>
      </c>
      <c r="D2301" s="2591">
        <f>IF(D2296="",0,D2296/SIN(3.14*B178/180))</f>
        <v>0</v>
      </c>
      <c r="E2301" s="2591">
        <f>IF(E2296="",0,E2296/SIN(3.14*B178/180))</f>
        <v>0</v>
      </c>
      <c r="F2301" s="2591">
        <f>IF(F2296="",0,F2296/SIN(3.14*B178/180))</f>
        <v>0</v>
      </c>
      <c r="G2301" s="2591">
        <f>IF(G2296="",0,G2296/SIN(3.14*B178/180))</f>
        <v>0</v>
      </c>
      <c r="J2301" s="2536"/>
    </row>
    <row r="2302" spans="1:24" ht="15.75" x14ac:dyDescent="0.25">
      <c r="A2302" s="2535" t="s">
        <v>3073</v>
      </c>
      <c r="B2302" s="2592">
        <f>SUM(B2301:G2301)</f>
        <v>0</v>
      </c>
      <c r="C2302" s="2590"/>
      <c r="D2302" s="2590"/>
      <c r="E2302" s="2590"/>
      <c r="F2302" s="2590"/>
      <c r="G2302" s="1266"/>
    </row>
    <row r="2304" spans="1:24" ht="18" x14ac:dyDescent="0.25">
      <c r="F2304" s="891"/>
    </row>
    <row r="2305" spans="1:29" ht="42.75" customHeight="1" x14ac:dyDescent="0.25">
      <c r="A2305" s="2537" t="s">
        <v>3440</v>
      </c>
      <c r="B2305" s="2538" t="e">
        <f>0.75*B176*SIN(3.14*B178/180)+B179</f>
        <v>#VALUE!</v>
      </c>
      <c r="C2305" s="2539"/>
      <c r="D2305" s="891"/>
      <c r="E2305" s="891"/>
    </row>
    <row r="2306" spans="1:29" ht="15.75" x14ac:dyDescent="0.25">
      <c r="A2306" s="4111" t="str">
        <f>IF(B216=1,"Примечание:  Имейте в виду, что если выработка проводится вместе с лавой и ее забой опережает забой лавы, то опережение должно быть не менее 100 м.","")</f>
        <v/>
      </c>
      <c r="B2306" s="4112"/>
      <c r="E2306" s="242"/>
    </row>
    <row r="2307" spans="1:29" ht="54" customHeight="1" x14ac:dyDescent="0.25">
      <c r="A2307" s="943" t="e">
        <f>IF(B2256=1,"Породный забой транспортной выработки опережает забой лавы? 1 - да, 2 - нет","Транспортная выработка имеет сплошной угольный забой с лавой !")</f>
        <v>#VALUE!</v>
      </c>
      <c r="B2307" s="1293" t="e">
        <f>B2257</f>
        <v>#VALUE!</v>
      </c>
      <c r="E2307" s="242"/>
    </row>
    <row r="2308" spans="1:29" ht="14.25" customHeight="1" x14ac:dyDescent="0.25">
      <c r="A2308" s="943" t="e">
        <f>IF(B2307=1,"Опережение транспортной выработкой забоя лавы, м","-------------------------------------------")</f>
        <v>#VALUE!</v>
      </c>
      <c r="B2308" s="1219"/>
      <c r="E2308" s="242"/>
    </row>
    <row r="2309" spans="1:29" ht="31.5" customHeight="1" x14ac:dyDescent="0.3">
      <c r="A2309" s="4113" t="e">
        <f>IF(B2307=2,"",IF(AND(B216=1,B2308&lt;100),"Опережение недостаточно !","-----------------------------"))</f>
        <v>#VALUE!</v>
      </c>
      <c r="B2309" s="4114"/>
      <c r="E2309" s="242"/>
    </row>
    <row r="2310" spans="1:29" ht="15.75" x14ac:dyDescent="0.25">
      <c r="A2310" s="943" t="e">
        <f>IF(AND(B2266=1,B2275=1,B2276=1),"Породный забой вентиляционной выработки опережает забой лавы? 1 - да, 2 - нет","------------------------------------")</f>
        <v>#VALUE!</v>
      </c>
      <c r="B2310" s="793">
        <v>1</v>
      </c>
      <c r="E2310" s="242"/>
    </row>
    <row r="2311" spans="1:29" ht="15.75" x14ac:dyDescent="0.25">
      <c r="A2311" s="943" t="str">
        <f>IF(B2310=1,"Опережение транспортной выработкой забоя лавы, м","-------------------------------------------")</f>
        <v>Опережение транспортной выработкой забоя лавы, м</v>
      </c>
      <c r="B2311" s="793">
        <v>101</v>
      </c>
      <c r="E2311" s="242"/>
    </row>
    <row r="2312" spans="1:29" ht="18.75" x14ac:dyDescent="0.3">
      <c r="A2312" s="1221" t="str">
        <f>IF(B2310=2,"",IF(AND(B216=1,B2311&lt;100),"Опережение недостаточно !","-----------------------------"))</f>
        <v>-----------------------------</v>
      </c>
      <c r="B2312" s="239"/>
      <c r="E2312" s="242"/>
    </row>
    <row r="2314" spans="1:29" x14ac:dyDescent="0.2">
      <c r="P2314" s="6"/>
      <c r="Q2314" s="6"/>
      <c r="R2314" s="6"/>
      <c r="S2314" s="6"/>
      <c r="T2314" s="6"/>
      <c r="U2314" s="6"/>
      <c r="V2314" s="6"/>
      <c r="W2314" s="6"/>
      <c r="X2314" s="6"/>
      <c r="Y2314" s="6"/>
      <c r="Z2314" s="6"/>
      <c r="AA2314" s="6"/>
      <c r="AB2314" s="6"/>
      <c r="AC2314" s="6"/>
    </row>
    <row r="2315" spans="1:29" s="8" customFormat="1" x14ac:dyDescent="0.2">
      <c r="A2315" s="6"/>
      <c r="B2315" s="6"/>
      <c r="C2315" s="6"/>
      <c r="D2315" s="6"/>
      <c r="E2315" s="6"/>
      <c r="F2315" s="6"/>
      <c r="G2315" s="6"/>
      <c r="H2315" s="6"/>
      <c r="I2315" s="6"/>
      <c r="J2315" s="6"/>
      <c r="K2315" s="6"/>
      <c r="L2315" s="6"/>
      <c r="M2315" s="6"/>
      <c r="N2315" s="6"/>
      <c r="O2315" s="6"/>
    </row>
    <row r="2316" spans="1:29" s="8" customFormat="1" ht="15.75" x14ac:dyDescent="0.25">
      <c r="A2316" s="3007" t="s">
        <v>5642</v>
      </c>
      <c r="B2316" s="2986"/>
      <c r="C2316" s="2986"/>
      <c r="D2316" s="2986"/>
      <c r="E2316" s="2986"/>
      <c r="F2316" s="2986"/>
      <c r="G2316" s="2986"/>
      <c r="H2316" s="2986"/>
      <c r="I2316" s="2986"/>
      <c r="J2316" s="222"/>
      <c r="L2316"/>
      <c r="M2316" s="14"/>
      <c r="N2316"/>
      <c r="O2316"/>
    </row>
    <row r="2317" spans="1:29" s="8" customFormat="1" ht="102" x14ac:dyDescent="0.2">
      <c r="A2317" s="2987" t="s">
        <v>5488</v>
      </c>
      <c r="B2317" s="2988" t="s">
        <v>3449</v>
      </c>
      <c r="C2317" s="2988" t="s">
        <v>3450</v>
      </c>
      <c r="D2317" s="2988" t="s">
        <v>5643</v>
      </c>
      <c r="E2317" s="2988" t="s">
        <v>5644</v>
      </c>
      <c r="F2317" s="2988" t="s">
        <v>5645</v>
      </c>
      <c r="G2317" s="2988" t="s">
        <v>5646</v>
      </c>
      <c r="H2317" s="2988" t="s">
        <v>5647</v>
      </c>
      <c r="I2317" s="2988" t="s">
        <v>5648</v>
      </c>
      <c r="J2317" s="2988" t="s">
        <v>5649</v>
      </c>
      <c r="K2317" s="2988" t="s">
        <v>3662</v>
      </c>
      <c r="L2317" s="2987" t="s">
        <v>5656</v>
      </c>
      <c r="M2317" s="2987" t="s">
        <v>5657</v>
      </c>
      <c r="N2317" s="2927" t="s">
        <v>5650</v>
      </c>
      <c r="O2317" s="2987" t="s">
        <v>5682</v>
      </c>
    </row>
    <row r="2318" spans="1:29" s="8" customFormat="1" ht="15.75" x14ac:dyDescent="0.25">
      <c r="A2318" s="2990" t="s">
        <v>5651</v>
      </c>
      <c r="B2318" s="2990">
        <v>0.85</v>
      </c>
      <c r="C2318" s="2990">
        <v>1.3</v>
      </c>
      <c r="D2318" s="2990">
        <v>5.5</v>
      </c>
      <c r="E2318" s="2990">
        <v>3.3</v>
      </c>
      <c r="F2318" s="2990">
        <v>330</v>
      </c>
      <c r="G2318" s="2990">
        <v>5</v>
      </c>
      <c r="H2318" s="2990">
        <v>200</v>
      </c>
      <c r="I2318" s="2990">
        <v>5870</v>
      </c>
      <c r="J2318" s="2990">
        <v>630</v>
      </c>
      <c r="K2318" s="2990">
        <v>14.8</v>
      </c>
      <c r="L2318" s="2027">
        <v>0.63</v>
      </c>
      <c r="M2318" s="2990">
        <v>0.8</v>
      </c>
      <c r="N2318" s="71">
        <v>2</v>
      </c>
      <c r="O2318" s="3006">
        <v>1</v>
      </c>
    </row>
    <row r="2319" spans="1:29" s="8" customFormat="1" ht="15.75" x14ac:dyDescent="0.25">
      <c r="A2319" s="2990" t="s">
        <v>5653</v>
      </c>
      <c r="B2319" s="2990">
        <v>0.85</v>
      </c>
      <c r="C2319" s="2990">
        <v>1.6</v>
      </c>
      <c r="D2319" s="2990">
        <v>6</v>
      </c>
      <c r="E2319" s="2990">
        <v>4</v>
      </c>
      <c r="F2319" s="2990">
        <v>510</v>
      </c>
      <c r="G2319" s="2990">
        <v>5</v>
      </c>
      <c r="H2319" s="2990">
        <v>250</v>
      </c>
      <c r="I2319" s="2990">
        <v>5880</v>
      </c>
      <c r="J2319" s="2990">
        <v>625</v>
      </c>
      <c r="K2319" s="2990">
        <v>16.5</v>
      </c>
      <c r="L2319" s="2027">
        <v>0.63</v>
      </c>
      <c r="M2319" s="2990">
        <v>0.63</v>
      </c>
      <c r="N2319" s="71">
        <v>2</v>
      </c>
      <c r="O2319" s="3006">
        <v>2</v>
      </c>
    </row>
    <row r="2320" spans="1:29" s="8" customFormat="1" ht="15.75" x14ac:dyDescent="0.25">
      <c r="A2320" s="2990" t="s">
        <v>5631</v>
      </c>
      <c r="B2320" s="2990">
        <v>0.85</v>
      </c>
      <c r="C2320" s="2991">
        <v>1.5</v>
      </c>
      <c r="D2320" s="2990">
        <v>10</v>
      </c>
      <c r="E2320" s="2990">
        <v>4.5</v>
      </c>
      <c r="F2320" s="2990">
        <v>420</v>
      </c>
      <c r="G2320" s="2990">
        <v>12</v>
      </c>
      <c r="H2320" s="2990">
        <v>300</v>
      </c>
      <c r="I2320" s="2990">
        <v>7440</v>
      </c>
      <c r="J2320" s="2990">
        <v>705</v>
      </c>
      <c r="K2320" s="2990">
        <v>21</v>
      </c>
      <c r="L2320" s="2027">
        <v>0.7</v>
      </c>
      <c r="M2320" s="2990">
        <v>0.7</v>
      </c>
      <c r="N2320" s="71">
        <v>2</v>
      </c>
      <c r="O2320" s="3006">
        <v>3</v>
      </c>
    </row>
    <row r="2321" spans="1:15" s="8" customFormat="1" ht="15.75" x14ac:dyDescent="0.25">
      <c r="A2321" s="2990" t="s">
        <v>5616</v>
      </c>
      <c r="B2321" s="2990">
        <v>0.85</v>
      </c>
      <c r="C2321" s="2990">
        <v>1.5</v>
      </c>
      <c r="D2321" s="2990">
        <v>12</v>
      </c>
      <c r="E2321" s="2990">
        <v>5</v>
      </c>
      <c r="F2321" s="2990">
        <v>460</v>
      </c>
      <c r="G2321" s="2990">
        <v>12</v>
      </c>
      <c r="H2321" s="2990">
        <v>300</v>
      </c>
      <c r="I2321" s="2990">
        <v>7650</v>
      </c>
      <c r="J2321" s="2990">
        <v>560</v>
      </c>
      <c r="K2321" s="2990">
        <v>21</v>
      </c>
      <c r="L2321" s="2027">
        <v>0.7</v>
      </c>
      <c r="M2321" s="2990">
        <v>0.8</v>
      </c>
      <c r="N2321" s="71">
        <v>2</v>
      </c>
      <c r="O2321" s="3006">
        <v>4</v>
      </c>
    </row>
    <row r="2322" spans="1:15" s="8" customFormat="1" ht="15.75" x14ac:dyDescent="0.25">
      <c r="A2322" s="2990" t="s">
        <v>3478</v>
      </c>
      <c r="B2322" s="2990">
        <v>0.85</v>
      </c>
      <c r="C2322" s="2990">
        <v>1.2</v>
      </c>
      <c r="D2322" s="2990">
        <v>3.3</v>
      </c>
      <c r="E2322" s="2990">
        <v>2.2000000000000002</v>
      </c>
      <c r="F2322" s="2990">
        <v>290</v>
      </c>
      <c r="G2322" s="2990">
        <v>5</v>
      </c>
      <c r="H2322" s="2990">
        <v>200</v>
      </c>
      <c r="I2322" s="2990">
        <v>3530</v>
      </c>
      <c r="J2322" s="2990">
        <v>536</v>
      </c>
      <c r="K2322" s="2990">
        <v>12.33</v>
      </c>
      <c r="L2322" s="2027">
        <v>0.8</v>
      </c>
      <c r="M2322" s="2990">
        <v>0.8</v>
      </c>
      <c r="N2322" s="71">
        <v>2</v>
      </c>
      <c r="O2322" s="3006">
        <v>5</v>
      </c>
    </row>
    <row r="2323" spans="1:15" s="8" customFormat="1" ht="15.75" x14ac:dyDescent="0.25">
      <c r="A2323" s="2990" t="s">
        <v>5614</v>
      </c>
      <c r="B2323" s="2990">
        <v>0.85</v>
      </c>
      <c r="C2323" s="2990">
        <v>1.2</v>
      </c>
      <c r="D2323" s="2990">
        <v>3.3</v>
      </c>
      <c r="E2323" s="2990">
        <v>2.2000000000000002</v>
      </c>
      <c r="F2323" s="2990">
        <v>290</v>
      </c>
      <c r="G2323" s="2990">
        <v>5</v>
      </c>
      <c r="H2323" s="2990">
        <v>200</v>
      </c>
      <c r="I2323" s="2990">
        <v>3730</v>
      </c>
      <c r="J2323" s="2990">
        <v>546</v>
      </c>
      <c r="K2323" s="2990">
        <v>12.85</v>
      </c>
      <c r="L2323" s="2027">
        <v>0.8</v>
      </c>
      <c r="M2323" s="2990">
        <v>0.8</v>
      </c>
      <c r="N2323" s="71">
        <v>2</v>
      </c>
      <c r="O2323" s="3006">
        <v>6</v>
      </c>
    </row>
    <row r="2324" spans="1:15" s="8" customFormat="1" ht="15.75" x14ac:dyDescent="0.25">
      <c r="A2324" s="2990" t="s">
        <v>3480</v>
      </c>
      <c r="B2324" s="2990">
        <v>1.1499999999999999</v>
      </c>
      <c r="C2324" s="2990">
        <v>1.3</v>
      </c>
      <c r="D2324" s="2990">
        <v>3</v>
      </c>
      <c r="E2324" s="2990">
        <v>1.8</v>
      </c>
      <c r="F2324" s="2990">
        <v>230</v>
      </c>
      <c r="G2324" s="2990">
        <v>4.5</v>
      </c>
      <c r="H2324" s="2990">
        <v>250</v>
      </c>
      <c r="I2324" s="2990">
        <v>1450</v>
      </c>
      <c r="J2324" s="2990">
        <v>750</v>
      </c>
      <c r="K2324" s="2990">
        <v>10.35</v>
      </c>
      <c r="L2324" s="2027">
        <v>0.63</v>
      </c>
      <c r="M2324" s="2990">
        <v>0.8</v>
      </c>
      <c r="N2324" s="71">
        <v>1</v>
      </c>
      <c r="O2324" s="3006">
        <v>7</v>
      </c>
    </row>
    <row r="2325" spans="1:15" s="8" customFormat="1" ht="15.75" x14ac:dyDescent="0.25">
      <c r="A2325" s="2990" t="s">
        <v>3483</v>
      </c>
      <c r="B2325" s="2990">
        <v>1.25</v>
      </c>
      <c r="C2325" s="2990">
        <v>2.5</v>
      </c>
      <c r="D2325" s="2990">
        <v>5</v>
      </c>
      <c r="E2325" s="2990">
        <v>4.3</v>
      </c>
      <c r="F2325" s="2990">
        <v>300</v>
      </c>
      <c r="G2325" s="2990">
        <v>4.4000000000000004</v>
      </c>
      <c r="H2325" s="2990">
        <v>250</v>
      </c>
      <c r="I2325" s="2990">
        <v>9600</v>
      </c>
      <c r="J2325" s="2990">
        <v>950</v>
      </c>
      <c r="K2325" s="2990">
        <v>19.100000000000001</v>
      </c>
      <c r="L2325" s="2027">
        <v>0.63</v>
      </c>
      <c r="M2325" s="2990">
        <v>0.8</v>
      </c>
      <c r="N2325" s="71">
        <v>2</v>
      </c>
      <c r="O2325" s="3006">
        <v>8</v>
      </c>
    </row>
    <row r="2326" spans="1:15" s="8" customFormat="1" ht="15.75" x14ac:dyDescent="0.25">
      <c r="A2326" s="2990" t="s">
        <v>2776</v>
      </c>
      <c r="B2326" s="2990">
        <v>1.4</v>
      </c>
      <c r="C2326" s="2990">
        <v>2.5</v>
      </c>
      <c r="D2326" s="2990">
        <v>5</v>
      </c>
      <c r="E2326" s="2990">
        <v>4.3</v>
      </c>
      <c r="F2326" s="2990">
        <v>370</v>
      </c>
      <c r="G2326" s="2990">
        <v>6</v>
      </c>
      <c r="H2326" s="2990">
        <v>300</v>
      </c>
      <c r="I2326" s="2990">
        <v>8820</v>
      </c>
      <c r="J2326" s="2990">
        <v>950</v>
      </c>
      <c r="K2326" s="2990">
        <v>21</v>
      </c>
      <c r="L2326" s="2027">
        <v>0.63</v>
      </c>
      <c r="M2326" s="2990">
        <v>0.8</v>
      </c>
      <c r="N2326" s="71">
        <v>2</v>
      </c>
      <c r="O2326" s="3006">
        <v>9</v>
      </c>
    </row>
    <row r="2327" spans="1:15" s="8" customFormat="1" ht="15.75" x14ac:dyDescent="0.25">
      <c r="A2327" s="2990" t="s">
        <v>3482</v>
      </c>
      <c r="B2327" s="2990">
        <v>1.35</v>
      </c>
      <c r="C2327" s="2990">
        <v>2.5</v>
      </c>
      <c r="D2327" s="2990">
        <v>7</v>
      </c>
      <c r="E2327" s="2990">
        <v>5</v>
      </c>
      <c r="F2327" s="2990">
        <v>400</v>
      </c>
      <c r="G2327" s="2990">
        <v>10</v>
      </c>
      <c r="H2327" s="2990">
        <v>250</v>
      </c>
      <c r="I2327" s="2990">
        <v>6570</v>
      </c>
      <c r="J2327" s="2990">
        <v>800</v>
      </c>
      <c r="K2327" s="2990">
        <v>1.89</v>
      </c>
      <c r="L2327" s="2027">
        <v>0.63</v>
      </c>
      <c r="M2327" s="2990">
        <v>0.8</v>
      </c>
      <c r="N2327" s="71">
        <v>2</v>
      </c>
      <c r="O2327" s="3006">
        <v>10</v>
      </c>
    </row>
    <row r="2328" spans="1:15" s="8" customFormat="1" ht="15.75" x14ac:dyDescent="0.25">
      <c r="A2328" s="2990" t="s">
        <v>658</v>
      </c>
      <c r="B2328" s="2990">
        <v>1.35</v>
      </c>
      <c r="C2328" s="2990">
        <v>2.6</v>
      </c>
      <c r="D2328" s="2990">
        <v>7</v>
      </c>
      <c r="E2328" s="2990">
        <v>5</v>
      </c>
      <c r="F2328" s="2990">
        <v>400</v>
      </c>
      <c r="G2328" s="2990">
        <v>10</v>
      </c>
      <c r="H2328" s="2990">
        <v>250</v>
      </c>
      <c r="I2328" s="2990">
        <v>6570</v>
      </c>
      <c r="J2328" s="2990">
        <v>950</v>
      </c>
      <c r="K2328" s="2990">
        <v>23.85</v>
      </c>
      <c r="L2328" s="2027">
        <v>0.63</v>
      </c>
      <c r="M2328" s="2990">
        <v>0.63</v>
      </c>
      <c r="N2328" s="71">
        <v>2</v>
      </c>
      <c r="O2328" s="3006">
        <v>11</v>
      </c>
    </row>
    <row r="2329" spans="1:15" s="8" customFormat="1" ht="15.75" x14ac:dyDescent="0.25">
      <c r="A2329" s="2990" t="s">
        <v>5622</v>
      </c>
      <c r="B2329" s="2990">
        <v>1.1000000000000001</v>
      </c>
      <c r="C2329" s="2990">
        <v>2.1</v>
      </c>
      <c r="D2329" s="2990">
        <v>11</v>
      </c>
      <c r="E2329" s="2990">
        <v>7</v>
      </c>
      <c r="F2329" s="2990">
        <v>467</v>
      </c>
      <c r="G2329" s="2990">
        <v>14</v>
      </c>
      <c r="H2329" s="2990">
        <v>360</v>
      </c>
      <c r="I2329" s="2990">
        <v>7200</v>
      </c>
      <c r="J2329" s="2990">
        <v>770</v>
      </c>
      <c r="K2329" s="2990">
        <v>21.5</v>
      </c>
      <c r="L2329" s="2027">
        <v>0.63</v>
      </c>
      <c r="M2329" s="2990">
        <v>0.8</v>
      </c>
      <c r="N2329" s="71">
        <v>2</v>
      </c>
      <c r="O2329" s="3006">
        <v>12</v>
      </c>
    </row>
    <row r="2330" spans="1:15" s="8" customFormat="1" ht="15.75" x14ac:dyDescent="0.25">
      <c r="A2330" s="2990" t="s">
        <v>5624</v>
      </c>
      <c r="B2330" s="2990">
        <v>1.35</v>
      </c>
      <c r="C2330" s="2990">
        <v>3.2</v>
      </c>
      <c r="D2330" s="2990">
        <v>18</v>
      </c>
      <c r="E2330" s="2990">
        <v>8</v>
      </c>
      <c r="F2330" s="2990">
        <v>697</v>
      </c>
      <c r="G2330" s="2990">
        <v>20</v>
      </c>
      <c r="H2330" s="2990">
        <v>450</v>
      </c>
      <c r="I2330" s="2990">
        <v>8620</v>
      </c>
      <c r="J2330" s="2990">
        <v>1150</v>
      </c>
      <c r="K2330" s="2990">
        <v>33.5</v>
      </c>
      <c r="L2330" s="2027">
        <v>0.8</v>
      </c>
      <c r="M2330" s="2990">
        <v>0.8</v>
      </c>
      <c r="N2330" s="71">
        <v>2</v>
      </c>
      <c r="O2330" s="3006">
        <v>13</v>
      </c>
    </row>
    <row r="2331" spans="1:15" s="8" customFormat="1" ht="15.75" x14ac:dyDescent="0.25">
      <c r="A2331" s="2990" t="s">
        <v>5655</v>
      </c>
      <c r="B2331" s="2990">
        <v>1.35</v>
      </c>
      <c r="C2331" s="2990">
        <v>3.2</v>
      </c>
      <c r="D2331" s="2990">
        <v>18</v>
      </c>
      <c r="E2331" s="2990">
        <v>8</v>
      </c>
      <c r="F2331" s="2990">
        <v>697</v>
      </c>
      <c r="G2331" s="2990">
        <v>20</v>
      </c>
      <c r="H2331" s="2990">
        <v>450</v>
      </c>
      <c r="I2331" s="2990">
        <v>9420</v>
      </c>
      <c r="J2331" s="2990">
        <v>1150</v>
      </c>
      <c r="K2331" s="2990">
        <v>34.5</v>
      </c>
      <c r="L2331" s="2027">
        <v>0.8</v>
      </c>
      <c r="M2331" s="2990">
        <v>0.8</v>
      </c>
      <c r="N2331" s="71">
        <v>2</v>
      </c>
      <c r="O2331" s="3006">
        <v>14</v>
      </c>
    </row>
    <row r="2332" spans="1:15" s="8" customFormat="1" x14ac:dyDescent="0.2"/>
    <row r="2333" spans="1:15" s="8" customFormat="1" ht="18.75" x14ac:dyDescent="0.3">
      <c r="A2333" s="14"/>
      <c r="B2333" s="222" t="s">
        <v>5658</v>
      </c>
      <c r="C2333" s="2647"/>
      <c r="K2333" s="222"/>
    </row>
    <row r="2334" spans="1:15" s="8" customFormat="1" ht="102" x14ac:dyDescent="0.2">
      <c r="A2334" s="14" t="s">
        <v>5684</v>
      </c>
      <c r="B2334" s="857"/>
      <c r="C2334" s="2987" t="s">
        <v>5659</v>
      </c>
      <c r="D2334" s="2987" t="s">
        <v>5660</v>
      </c>
      <c r="E2334" s="2987" t="s">
        <v>5661</v>
      </c>
      <c r="F2334" s="2987" t="s">
        <v>5662</v>
      </c>
      <c r="G2334" s="2987" t="s">
        <v>5663</v>
      </c>
      <c r="H2334" s="2987" t="s">
        <v>5664</v>
      </c>
      <c r="I2334" s="2987" t="s">
        <v>5665</v>
      </c>
      <c r="J2334" s="2987" t="s">
        <v>5666</v>
      </c>
      <c r="K2334" s="2987" t="s">
        <v>5667</v>
      </c>
    </row>
    <row r="2335" spans="1:15" s="8" customFormat="1" ht="15" x14ac:dyDescent="0.2">
      <c r="A2335" s="3008">
        <v>1</v>
      </c>
      <c r="B2335" s="2990" t="s">
        <v>5634</v>
      </c>
      <c r="C2335" s="2990">
        <v>0.85</v>
      </c>
      <c r="D2335" s="2990">
        <v>1.2</v>
      </c>
      <c r="E2335" s="2990">
        <v>580</v>
      </c>
      <c r="F2335" s="2990">
        <v>1090</v>
      </c>
      <c r="G2335" s="2990">
        <v>1300</v>
      </c>
      <c r="H2335" s="2990">
        <v>4800</v>
      </c>
      <c r="I2335" s="2990">
        <v>1.35</v>
      </c>
      <c r="J2335" s="2990">
        <v>5250</v>
      </c>
      <c r="K2335" s="2990">
        <v>3</v>
      </c>
    </row>
    <row r="2336" spans="1:15" s="8" customFormat="1" ht="15" x14ac:dyDescent="0.2">
      <c r="A2336" s="3008">
        <v>2</v>
      </c>
      <c r="B2336" s="2990" t="s">
        <v>5639</v>
      </c>
      <c r="C2336" s="2990">
        <v>1.1000000000000001</v>
      </c>
      <c r="D2336" s="2990">
        <v>1.5</v>
      </c>
      <c r="E2336" s="2990">
        <v>710</v>
      </c>
      <c r="F2336" s="2990">
        <v>1450</v>
      </c>
      <c r="G2336" s="2990">
        <v>1300</v>
      </c>
      <c r="H2336" s="2990">
        <v>4900</v>
      </c>
      <c r="I2336" s="2990">
        <v>1.35</v>
      </c>
      <c r="J2336" s="2990">
        <v>5400</v>
      </c>
      <c r="K2336" s="2990">
        <v>3</v>
      </c>
    </row>
    <row r="2337" spans="1:11" s="8" customFormat="1" ht="15" x14ac:dyDescent="0.2">
      <c r="A2337" s="3008">
        <v>3</v>
      </c>
      <c r="B2337" s="2990" t="s">
        <v>2778</v>
      </c>
      <c r="C2337" s="2990">
        <v>0.85</v>
      </c>
      <c r="D2337" s="2990">
        <v>1.25</v>
      </c>
      <c r="E2337" s="2990">
        <v>600</v>
      </c>
      <c r="F2337" s="2990">
        <v>1230</v>
      </c>
      <c r="G2337" s="2990">
        <v>1420</v>
      </c>
      <c r="H2337" s="2990">
        <v>5000</v>
      </c>
      <c r="I2337" s="2990">
        <v>1.5</v>
      </c>
      <c r="J2337" s="2990">
        <v>6550</v>
      </c>
      <c r="K2337" s="2990">
        <v>3</v>
      </c>
    </row>
    <row r="2338" spans="1:11" s="8" customFormat="1" ht="15" x14ac:dyDescent="0.2">
      <c r="A2338" s="3008">
        <v>4</v>
      </c>
      <c r="B2338" s="2990" t="s">
        <v>3481</v>
      </c>
      <c r="C2338" s="2990">
        <v>1.1000000000000001</v>
      </c>
      <c r="D2338" s="2990">
        <v>1.5</v>
      </c>
      <c r="E2338" s="2990">
        <v>710</v>
      </c>
      <c r="F2338" s="2990">
        <v>1450</v>
      </c>
      <c r="G2338" s="2990">
        <v>1420</v>
      </c>
      <c r="H2338" s="2990">
        <v>5100</v>
      </c>
      <c r="I2338" s="2990">
        <v>1.5</v>
      </c>
      <c r="J2338" s="2990">
        <v>5500</v>
      </c>
      <c r="K2338" s="2990">
        <v>3</v>
      </c>
    </row>
    <row r="2339" spans="1:11" s="8" customFormat="1" ht="15" x14ac:dyDescent="0.2">
      <c r="A2339" s="3008">
        <v>5</v>
      </c>
      <c r="B2339" s="2990" t="s">
        <v>657</v>
      </c>
      <c r="C2339" s="2990">
        <v>1.35</v>
      </c>
      <c r="D2339" s="2990">
        <v>2</v>
      </c>
      <c r="E2339" s="2990">
        <v>1000</v>
      </c>
      <c r="F2339" s="2990">
        <v>2000</v>
      </c>
      <c r="G2339" s="2990">
        <v>1420</v>
      </c>
      <c r="H2339" s="2990">
        <v>5200</v>
      </c>
      <c r="I2339" s="2990">
        <v>1.5</v>
      </c>
      <c r="J2339" s="2990">
        <v>7200</v>
      </c>
      <c r="K2339" s="2990">
        <v>3</v>
      </c>
    </row>
    <row r="2340" spans="1:11" s="8" customFormat="1" ht="15" x14ac:dyDescent="0.2">
      <c r="A2340" s="3008">
        <v>6</v>
      </c>
      <c r="B2340" s="2990" t="s">
        <v>5629</v>
      </c>
      <c r="C2340" s="2990">
        <v>0.9</v>
      </c>
      <c r="D2340" s="2990">
        <v>1.2</v>
      </c>
      <c r="E2340" s="2990">
        <v>640</v>
      </c>
      <c r="F2340" s="2990">
        <v>1180</v>
      </c>
      <c r="G2340" s="2990">
        <v>1420</v>
      </c>
      <c r="H2340" s="2990">
        <v>5000</v>
      </c>
      <c r="I2340" s="2990">
        <v>1.5</v>
      </c>
      <c r="J2340" s="2990">
        <v>8250</v>
      </c>
      <c r="K2340" s="2990">
        <v>3</v>
      </c>
    </row>
    <row r="2341" spans="1:11" s="8" customFormat="1" ht="15" x14ac:dyDescent="0.2">
      <c r="A2341" s="3008">
        <v>7</v>
      </c>
      <c r="B2341" s="2990" t="s">
        <v>3484</v>
      </c>
      <c r="C2341" s="2990">
        <v>1.1000000000000001</v>
      </c>
      <c r="D2341" s="2990">
        <v>1.5</v>
      </c>
      <c r="E2341" s="2990">
        <v>700</v>
      </c>
      <c r="F2341" s="2990">
        <v>1450</v>
      </c>
      <c r="G2341" s="2990">
        <v>1420</v>
      </c>
      <c r="H2341" s="2990">
        <v>5000</v>
      </c>
      <c r="I2341" s="2990">
        <v>1.5</v>
      </c>
      <c r="J2341" s="2990">
        <v>8500</v>
      </c>
      <c r="K2341" s="2990">
        <v>3</v>
      </c>
    </row>
    <row r="2342" spans="1:11" s="8" customFormat="1" ht="15" x14ac:dyDescent="0.2">
      <c r="A2342" s="3008">
        <v>8</v>
      </c>
      <c r="B2342" s="2990" t="s">
        <v>659</v>
      </c>
      <c r="C2342" s="2990">
        <v>1.35</v>
      </c>
      <c r="D2342" s="2990">
        <v>2</v>
      </c>
      <c r="E2342" s="2990">
        <v>1000</v>
      </c>
      <c r="F2342" s="2990">
        <v>2030</v>
      </c>
      <c r="G2342" s="2990">
        <v>1420</v>
      </c>
      <c r="H2342" s="2990">
        <v>5000</v>
      </c>
      <c r="I2342" s="2990">
        <v>1.5</v>
      </c>
      <c r="J2342" s="2990">
        <v>9200</v>
      </c>
      <c r="K2342" s="2990">
        <v>3</v>
      </c>
    </row>
    <row r="2343" spans="1:11" s="8" customFormat="1" ht="15" x14ac:dyDescent="0.2">
      <c r="A2343" s="3008">
        <v>9</v>
      </c>
      <c r="B2343" s="2990" t="s">
        <v>660</v>
      </c>
      <c r="C2343" s="2990">
        <v>1</v>
      </c>
      <c r="D2343" s="2990">
        <v>1.6</v>
      </c>
      <c r="E2343" s="2990">
        <v>740</v>
      </c>
      <c r="F2343" s="2990">
        <v>1600</v>
      </c>
      <c r="G2343" s="2990">
        <v>1410</v>
      </c>
      <c r="H2343" s="2990">
        <v>4840</v>
      </c>
      <c r="I2343" s="2990">
        <v>1.5</v>
      </c>
      <c r="J2343" s="2990">
        <v>7900</v>
      </c>
      <c r="K2343" s="2990">
        <v>3</v>
      </c>
    </row>
    <row r="2344" spans="1:11" s="8" customFormat="1" ht="15" x14ac:dyDescent="0.2">
      <c r="A2344" s="3008">
        <v>10</v>
      </c>
      <c r="B2344" s="2990" t="s">
        <v>5636</v>
      </c>
      <c r="C2344" s="2990">
        <v>1.35</v>
      </c>
      <c r="D2344" s="2990">
        <v>2.4</v>
      </c>
      <c r="E2344" s="2990">
        <v>1115</v>
      </c>
      <c r="F2344" s="2990">
        <v>2400</v>
      </c>
      <c r="G2344" s="2990">
        <v>1410</v>
      </c>
      <c r="H2344" s="2990">
        <v>5110</v>
      </c>
      <c r="I2344" s="2990">
        <v>1.5</v>
      </c>
      <c r="J2344" s="2990">
        <v>8600</v>
      </c>
      <c r="K2344" s="2990">
        <v>3</v>
      </c>
    </row>
    <row r="2345" spans="1:11" s="8" customFormat="1" ht="15" x14ac:dyDescent="0.2">
      <c r="A2345" s="3008">
        <v>11</v>
      </c>
      <c r="B2345" s="2990" t="s">
        <v>5640</v>
      </c>
      <c r="C2345" s="2990">
        <v>0.85</v>
      </c>
      <c r="D2345" s="2990">
        <v>1.5</v>
      </c>
      <c r="E2345" s="2990">
        <v>610</v>
      </c>
      <c r="F2345" s="2990">
        <v>1500</v>
      </c>
      <c r="G2345" s="2990">
        <v>1440</v>
      </c>
      <c r="H2345" s="2990">
        <v>4700</v>
      </c>
      <c r="I2345" s="2990">
        <v>1.5</v>
      </c>
      <c r="J2345" s="2990">
        <v>7400</v>
      </c>
      <c r="K2345" s="2990">
        <v>2.6</v>
      </c>
    </row>
    <row r="2346" spans="1:11" s="8" customFormat="1" ht="15" x14ac:dyDescent="0.2">
      <c r="A2346" s="3008">
        <v>12</v>
      </c>
      <c r="B2346" s="2990" t="s">
        <v>5668</v>
      </c>
      <c r="C2346" s="2990">
        <v>0.95</v>
      </c>
      <c r="D2346" s="2990">
        <v>1.75</v>
      </c>
      <c r="E2346" s="2990">
        <v>730</v>
      </c>
      <c r="F2346" s="2990">
        <v>1750</v>
      </c>
      <c r="G2346" s="2990">
        <v>1440</v>
      </c>
      <c r="H2346" s="2990">
        <v>4800</v>
      </c>
      <c r="I2346" s="2990">
        <v>1.5</v>
      </c>
      <c r="J2346" s="2990">
        <v>7700</v>
      </c>
      <c r="K2346" s="2990">
        <v>2.6</v>
      </c>
    </row>
    <row r="2347" spans="1:11" s="8" customFormat="1" ht="15" x14ac:dyDescent="0.2">
      <c r="A2347" s="3008">
        <v>13</v>
      </c>
      <c r="B2347" s="2990" t="s">
        <v>5635</v>
      </c>
      <c r="C2347" s="2990">
        <v>0.95</v>
      </c>
      <c r="D2347" s="2990">
        <v>1.5</v>
      </c>
      <c r="E2347" s="2990">
        <v>720</v>
      </c>
      <c r="F2347" s="2990">
        <v>1520</v>
      </c>
      <c r="G2347" s="2990">
        <v>1440</v>
      </c>
      <c r="H2347" s="2990">
        <v>5150</v>
      </c>
      <c r="I2347" s="2990">
        <v>1.5</v>
      </c>
      <c r="J2347" s="2990">
        <v>8400</v>
      </c>
      <c r="K2347" s="2990">
        <v>2.6</v>
      </c>
    </row>
    <row r="2348" spans="1:11" s="8" customFormat="1" ht="15" x14ac:dyDescent="0.2">
      <c r="A2348" s="3008">
        <v>14</v>
      </c>
      <c r="B2348" s="2990" t="s">
        <v>5633</v>
      </c>
      <c r="C2348" s="2990">
        <v>1.1000000000000001</v>
      </c>
      <c r="D2348" s="2990">
        <v>1.8</v>
      </c>
      <c r="E2348" s="2990">
        <v>880</v>
      </c>
      <c r="F2348" s="2990">
        <v>1800</v>
      </c>
      <c r="G2348" s="2990">
        <v>1440</v>
      </c>
      <c r="H2348" s="2990">
        <v>5030</v>
      </c>
      <c r="I2348" s="2990">
        <v>1.5</v>
      </c>
      <c r="J2348" s="2990">
        <v>9500</v>
      </c>
      <c r="K2348" s="2990">
        <v>2.6</v>
      </c>
    </row>
    <row r="2349" spans="1:11" s="8" customFormat="1" ht="15" x14ac:dyDescent="0.2">
      <c r="A2349" s="3008">
        <v>15</v>
      </c>
      <c r="B2349" s="2990" t="s">
        <v>5632</v>
      </c>
      <c r="C2349" s="2990">
        <v>1.45</v>
      </c>
      <c r="D2349" s="2990">
        <v>2.5</v>
      </c>
      <c r="E2349" s="2990">
        <v>1175</v>
      </c>
      <c r="F2349" s="2990">
        <v>2500</v>
      </c>
      <c r="G2349" s="2990">
        <v>1440</v>
      </c>
      <c r="H2349" s="2990">
        <v>5170</v>
      </c>
      <c r="I2349" s="2990">
        <v>1.5</v>
      </c>
      <c r="J2349" s="2990">
        <v>10100</v>
      </c>
      <c r="K2349" s="2990">
        <v>2.6</v>
      </c>
    </row>
    <row r="2350" spans="1:11" s="8" customFormat="1" x14ac:dyDescent="0.2"/>
    <row r="2351" spans="1:11" s="8" customFormat="1" ht="18.75" x14ac:dyDescent="0.3">
      <c r="A2351" s="14"/>
      <c r="B2351" s="900" t="s">
        <v>5669</v>
      </c>
      <c r="C2351" s="2647"/>
    </row>
    <row r="2352" spans="1:11" s="8" customFormat="1" ht="38.25" x14ac:dyDescent="0.2">
      <c r="A2352" s="5" t="s">
        <v>649</v>
      </c>
      <c r="B2352" s="3080" t="s">
        <v>3673</v>
      </c>
      <c r="C2352" s="3080" t="s">
        <v>3674</v>
      </c>
      <c r="D2352" s="3080" t="s">
        <v>5670</v>
      </c>
      <c r="E2352" s="3080" t="s">
        <v>5671</v>
      </c>
      <c r="F2352" s="3080" t="s">
        <v>5672</v>
      </c>
      <c r="G2352" s="3080" t="s">
        <v>5673</v>
      </c>
    </row>
    <row r="2353" spans="1:7" s="8" customFormat="1" ht="15" x14ac:dyDescent="0.2">
      <c r="A2353" s="3009">
        <v>1</v>
      </c>
      <c r="B2353" s="5" t="s">
        <v>5619</v>
      </c>
      <c r="C2353" s="5">
        <v>8</v>
      </c>
      <c r="D2353" s="5">
        <v>320</v>
      </c>
      <c r="E2353" s="5">
        <v>190</v>
      </c>
      <c r="F2353" s="5">
        <v>642</v>
      </c>
      <c r="G2353" s="5">
        <v>1500</v>
      </c>
    </row>
    <row r="2354" spans="1:7" s="8" customFormat="1" ht="15" x14ac:dyDescent="0.2">
      <c r="A2354" s="3009">
        <v>2</v>
      </c>
      <c r="B2354" s="5" t="s">
        <v>5637</v>
      </c>
      <c r="C2354" s="5">
        <v>8</v>
      </c>
      <c r="D2354" s="5">
        <v>320</v>
      </c>
      <c r="E2354" s="5">
        <v>190</v>
      </c>
      <c r="F2354" s="5">
        <v>642</v>
      </c>
      <c r="G2354" s="5">
        <v>1500</v>
      </c>
    </row>
    <row r="2355" spans="1:7" s="8" customFormat="1" ht="15" x14ac:dyDescent="0.2">
      <c r="A2355" s="3009">
        <v>3</v>
      </c>
      <c r="B2355" s="5" t="s">
        <v>152</v>
      </c>
      <c r="C2355" s="5">
        <v>8</v>
      </c>
      <c r="D2355" s="5">
        <v>220</v>
      </c>
      <c r="E2355" s="5">
        <v>190</v>
      </c>
      <c r="F2355" s="5">
        <v>642</v>
      </c>
      <c r="G2355" s="5">
        <v>1350</v>
      </c>
    </row>
    <row r="2356" spans="1:7" s="8" customFormat="1" ht="15" x14ac:dyDescent="0.2">
      <c r="A2356" s="3009">
        <v>4</v>
      </c>
      <c r="B2356" s="5" t="s">
        <v>1918</v>
      </c>
      <c r="C2356" s="5">
        <v>10</v>
      </c>
      <c r="D2356" s="5">
        <v>220</v>
      </c>
      <c r="E2356" s="5">
        <v>190</v>
      </c>
      <c r="F2356" s="5">
        <v>643</v>
      </c>
      <c r="G2356" s="5">
        <v>1900</v>
      </c>
    </row>
    <row r="2357" spans="1:7" s="8" customFormat="1" ht="15" x14ac:dyDescent="0.2">
      <c r="A2357" s="3009">
        <v>5</v>
      </c>
      <c r="B2357" s="5" t="s">
        <v>5621</v>
      </c>
      <c r="C2357" s="5">
        <v>8.6</v>
      </c>
      <c r="D2357" s="5">
        <v>320</v>
      </c>
      <c r="E2357" s="5">
        <v>192</v>
      </c>
      <c r="F2357" s="5">
        <v>642</v>
      </c>
      <c r="G2357" s="5">
        <v>1500</v>
      </c>
    </row>
    <row r="2358" spans="1:7" s="8" customFormat="1" ht="15" x14ac:dyDescent="0.2">
      <c r="A2358" s="3009">
        <v>6</v>
      </c>
      <c r="B2358" s="5" t="s">
        <v>1917</v>
      </c>
      <c r="C2358" s="5">
        <v>8.6</v>
      </c>
      <c r="D2358" s="5">
        <v>320</v>
      </c>
      <c r="E2358" s="5">
        <v>192</v>
      </c>
      <c r="F2358" s="5">
        <v>642</v>
      </c>
      <c r="G2358" s="5">
        <v>1500</v>
      </c>
    </row>
    <row r="2359" spans="1:7" s="8" customFormat="1" ht="15" x14ac:dyDescent="0.2">
      <c r="A2359" s="3009">
        <v>7</v>
      </c>
      <c r="B2359" s="5" t="s">
        <v>5641</v>
      </c>
      <c r="C2359" s="5">
        <v>9.3000000000000007</v>
      </c>
      <c r="D2359" s="5">
        <v>400</v>
      </c>
      <c r="E2359" s="5">
        <v>192</v>
      </c>
      <c r="F2359" s="5">
        <v>642</v>
      </c>
      <c r="G2359" s="5">
        <v>1500</v>
      </c>
    </row>
    <row r="2360" spans="1:7" s="8" customFormat="1" ht="15" x14ac:dyDescent="0.2">
      <c r="A2360" s="3009">
        <v>8</v>
      </c>
      <c r="B2360" s="5" t="s">
        <v>5623</v>
      </c>
      <c r="C2360" s="5">
        <v>13</v>
      </c>
      <c r="D2360" s="5">
        <v>320</v>
      </c>
      <c r="E2360" s="5">
        <v>230</v>
      </c>
      <c r="F2360" s="5">
        <v>642</v>
      </c>
      <c r="G2360" s="5">
        <v>1500</v>
      </c>
    </row>
    <row r="2361" spans="1:7" s="8" customFormat="1" ht="15" x14ac:dyDescent="0.2">
      <c r="A2361" s="3009">
        <v>9</v>
      </c>
      <c r="B2361" s="5" t="s">
        <v>5626</v>
      </c>
      <c r="C2361" s="5">
        <v>13</v>
      </c>
      <c r="D2361" s="5">
        <v>320</v>
      </c>
      <c r="E2361" s="5">
        <v>230</v>
      </c>
      <c r="F2361" s="5">
        <v>636</v>
      </c>
      <c r="G2361" s="5">
        <v>1500</v>
      </c>
    </row>
    <row r="2362" spans="1:7" s="8" customFormat="1" ht="15" x14ac:dyDescent="0.2">
      <c r="A2362" s="3009">
        <v>10</v>
      </c>
      <c r="B2362" s="5" t="s">
        <v>5618</v>
      </c>
      <c r="C2362" s="5">
        <v>10</v>
      </c>
      <c r="D2362" s="5">
        <v>400</v>
      </c>
      <c r="E2362" s="5">
        <v>245</v>
      </c>
      <c r="F2362" s="5">
        <v>620</v>
      </c>
      <c r="G2362" s="5">
        <v>1500</v>
      </c>
    </row>
    <row r="2363" spans="1:7" s="8" customFormat="1" ht="15" x14ac:dyDescent="0.2">
      <c r="A2363" s="3009">
        <v>11</v>
      </c>
      <c r="B2363" s="5" t="s">
        <v>5628</v>
      </c>
      <c r="C2363" s="5">
        <v>14</v>
      </c>
      <c r="D2363" s="5">
        <v>400</v>
      </c>
      <c r="E2363" s="5">
        <v>245</v>
      </c>
      <c r="F2363" s="5">
        <v>754</v>
      </c>
      <c r="G2363" s="5">
        <v>1500</v>
      </c>
    </row>
    <row r="2364" spans="1:7" s="8" customFormat="1" ht="15" x14ac:dyDescent="0.2">
      <c r="A2364" s="3009">
        <v>12</v>
      </c>
      <c r="B2364" s="5" t="s">
        <v>5627</v>
      </c>
      <c r="C2364" s="5">
        <v>14.3</v>
      </c>
      <c r="D2364" s="5">
        <v>320</v>
      </c>
      <c r="E2364" s="5">
        <v>245</v>
      </c>
      <c r="F2364" s="5">
        <v>754</v>
      </c>
      <c r="G2364" s="5">
        <v>1500</v>
      </c>
    </row>
    <row r="2365" spans="1:7" s="8" customFormat="1" ht="15" x14ac:dyDescent="0.2">
      <c r="A2365" s="3009">
        <v>13</v>
      </c>
      <c r="B2365" s="5" t="s">
        <v>5674</v>
      </c>
      <c r="C2365" s="5">
        <v>19</v>
      </c>
      <c r="D2365" s="5">
        <v>500</v>
      </c>
      <c r="E2365" s="5">
        <v>255</v>
      </c>
      <c r="F2365" s="5">
        <v>754</v>
      </c>
      <c r="G2365" s="5">
        <v>1500</v>
      </c>
    </row>
    <row r="2366" spans="1:7" s="8" customFormat="1" ht="15" x14ac:dyDescent="0.2">
      <c r="A2366" s="3009">
        <v>14</v>
      </c>
      <c r="B2366" s="5" t="s">
        <v>5675</v>
      </c>
      <c r="C2366" s="5">
        <v>20</v>
      </c>
      <c r="D2366" s="5">
        <v>500</v>
      </c>
      <c r="E2366" s="5">
        <v>255</v>
      </c>
      <c r="F2366" s="5">
        <v>754</v>
      </c>
      <c r="G2366" s="5">
        <v>1500</v>
      </c>
    </row>
    <row r="2367" spans="1:7" s="8" customFormat="1" ht="15" x14ac:dyDescent="0.2">
      <c r="A2367" s="3009">
        <v>15</v>
      </c>
      <c r="B2367" s="5" t="s">
        <v>5676</v>
      </c>
      <c r="C2367" s="5">
        <v>21</v>
      </c>
      <c r="D2367" s="5">
        <v>720</v>
      </c>
      <c r="E2367" s="5">
        <v>255</v>
      </c>
      <c r="F2367" s="5">
        <v>834</v>
      </c>
      <c r="G2367" s="5">
        <v>1500</v>
      </c>
    </row>
    <row r="2368" spans="1:7" s="8" customFormat="1" x14ac:dyDescent="0.2"/>
    <row r="2369" spans="1:20" s="8" customFormat="1" x14ac:dyDescent="0.2"/>
    <row r="2370" spans="1:20" x14ac:dyDescent="0.2">
      <c r="A2370" s="8"/>
    </row>
    <row r="2372" spans="1:20" x14ac:dyDescent="0.2">
      <c r="B2372" s="1159">
        <v>7</v>
      </c>
      <c r="C2372" s="1159">
        <v>7</v>
      </c>
      <c r="D2372" s="1159">
        <v>5</v>
      </c>
      <c r="E2372" s="1159">
        <v>2</v>
      </c>
      <c r="F2372" s="1159">
        <v>1</v>
      </c>
      <c r="G2372" s="1159">
        <v>1</v>
      </c>
      <c r="H2372" s="1159">
        <v>3</v>
      </c>
      <c r="I2372" s="1159">
        <v>8</v>
      </c>
      <c r="J2372" s="1159">
        <v>5</v>
      </c>
      <c r="K2372" s="1159">
        <v>4</v>
      </c>
      <c r="L2372" s="1159">
        <v>6</v>
      </c>
      <c r="M2372" s="1159">
        <v>6</v>
      </c>
      <c r="N2372" s="1258">
        <v>4</v>
      </c>
      <c r="O2372" s="1159">
        <v>5</v>
      </c>
      <c r="P2372" s="1159">
        <v>7</v>
      </c>
      <c r="Q2372" s="1159">
        <v>7</v>
      </c>
      <c r="R2372" s="1159">
        <v>7</v>
      </c>
      <c r="S2372" s="1159">
        <v>8</v>
      </c>
      <c r="T2372" s="1159">
        <v>8</v>
      </c>
    </row>
    <row r="2373" spans="1:20" ht="15.75" x14ac:dyDescent="0.25">
      <c r="A2373" s="11"/>
      <c r="B2373" s="844" t="s">
        <v>4276</v>
      </c>
      <c r="C2373" s="28"/>
      <c r="D2373" s="28"/>
      <c r="E2373" s="28"/>
      <c r="F2373" s="28"/>
      <c r="G2373" s="28"/>
      <c r="H2373" s="11"/>
      <c r="I2373" s="11"/>
      <c r="J2373" s="11"/>
      <c r="K2373" s="11"/>
      <c r="L2373" s="11"/>
      <c r="M2373" s="11"/>
      <c r="O2373" s="11"/>
      <c r="P2373" s="11"/>
      <c r="Q2373" s="15" t="s">
        <v>5692</v>
      </c>
    </row>
    <row r="2374" spans="1:20" x14ac:dyDescent="0.2">
      <c r="A2374" s="175" t="s">
        <v>1863</v>
      </c>
      <c r="B2374" s="17">
        <v>1</v>
      </c>
      <c r="C2374" s="17">
        <v>2</v>
      </c>
      <c r="D2374" s="17">
        <v>3</v>
      </c>
      <c r="E2374" s="17">
        <v>4</v>
      </c>
      <c r="F2374" s="17">
        <v>5</v>
      </c>
      <c r="G2374" s="17">
        <v>6</v>
      </c>
      <c r="H2374" s="17">
        <v>7</v>
      </c>
      <c r="I2374" s="17">
        <v>8</v>
      </c>
      <c r="J2374" s="17">
        <v>9</v>
      </c>
      <c r="K2374" s="17">
        <v>10</v>
      </c>
      <c r="L2374" s="17">
        <v>11</v>
      </c>
      <c r="M2374" s="17">
        <v>12</v>
      </c>
      <c r="N2374" s="17">
        <v>13</v>
      </c>
      <c r="O2374" s="17">
        <v>14</v>
      </c>
      <c r="P2374" s="350">
        <v>15</v>
      </c>
      <c r="Q2374" s="3027">
        <v>16</v>
      </c>
      <c r="R2374" s="3027">
        <v>17</v>
      </c>
      <c r="S2374" s="3027">
        <v>18</v>
      </c>
      <c r="T2374" s="3027">
        <v>19</v>
      </c>
    </row>
    <row r="2375" spans="1:20" ht="56.25" thickBot="1" x14ac:dyDescent="0.25">
      <c r="A2375" s="15"/>
      <c r="B2375" s="176" t="s">
        <v>5619</v>
      </c>
      <c r="C2375" s="177" t="s">
        <v>5637</v>
      </c>
      <c r="D2375" s="177" t="s">
        <v>152</v>
      </c>
      <c r="E2375" s="177" t="s">
        <v>1918</v>
      </c>
      <c r="F2375" s="177" t="s">
        <v>5621</v>
      </c>
      <c r="G2375" s="177" t="s">
        <v>1917</v>
      </c>
      <c r="H2375" s="177" t="s">
        <v>5641</v>
      </c>
      <c r="I2375" s="178" t="s">
        <v>5625</v>
      </c>
      <c r="J2375" s="177" t="s">
        <v>5626</v>
      </c>
      <c r="K2375" s="179" t="s">
        <v>5618</v>
      </c>
      <c r="L2375" s="176" t="s">
        <v>5628</v>
      </c>
      <c r="M2375" s="177" t="s">
        <v>5627</v>
      </c>
      <c r="N2375" s="177" t="s">
        <v>5674</v>
      </c>
      <c r="O2375" s="177" t="s">
        <v>5675</v>
      </c>
      <c r="P2375" s="177" t="s">
        <v>5676</v>
      </c>
      <c r="Q2375" s="177" t="s">
        <v>1918</v>
      </c>
      <c r="R2375" s="50" t="s">
        <v>5693</v>
      </c>
      <c r="S2375" s="50" t="s">
        <v>5694</v>
      </c>
      <c r="T2375" s="51" t="s">
        <v>5695</v>
      </c>
    </row>
    <row r="2376" spans="1:20" ht="13.5" thickBot="1" x14ac:dyDescent="0.25">
      <c r="A2376" s="15"/>
    </row>
    <row r="2377" spans="1:20" x14ac:dyDescent="0.2">
      <c r="A2377" s="183" t="s">
        <v>3674</v>
      </c>
      <c r="B2377" s="184">
        <v>8</v>
      </c>
      <c r="C2377" s="75">
        <v>8</v>
      </c>
      <c r="D2377" s="75">
        <v>8</v>
      </c>
      <c r="E2377" s="75">
        <v>10</v>
      </c>
      <c r="F2377" s="75">
        <v>8.6</v>
      </c>
      <c r="G2377" s="75">
        <v>8.6</v>
      </c>
      <c r="H2377" s="75">
        <v>9.3000000000000007</v>
      </c>
      <c r="I2377" s="75">
        <v>13</v>
      </c>
      <c r="J2377" s="75">
        <v>13</v>
      </c>
      <c r="K2377" s="75">
        <v>10</v>
      </c>
      <c r="L2377" s="184">
        <v>14</v>
      </c>
      <c r="M2377" s="75">
        <v>14.3</v>
      </c>
      <c r="N2377" s="75">
        <v>19</v>
      </c>
      <c r="O2377" s="75">
        <v>20</v>
      </c>
      <c r="P2377" s="75">
        <v>31</v>
      </c>
      <c r="Q2377" s="75">
        <v>15</v>
      </c>
      <c r="R2377" s="7">
        <v>21</v>
      </c>
      <c r="S2377" s="7">
        <v>21</v>
      </c>
      <c r="T2377" s="7">
        <v>25</v>
      </c>
    </row>
    <row r="2378" spans="1:20" x14ac:dyDescent="0.2">
      <c r="A2378" s="185" t="s">
        <v>3985</v>
      </c>
      <c r="B2378" s="33">
        <v>0.94</v>
      </c>
      <c r="C2378" s="17">
        <v>0.85</v>
      </c>
      <c r="D2378" s="17">
        <v>0.94</v>
      </c>
      <c r="E2378" s="17">
        <v>0.87</v>
      </c>
      <c r="F2378" s="17">
        <v>0.85</v>
      </c>
      <c r="G2378" s="17">
        <v>0.94</v>
      </c>
      <c r="H2378" s="17">
        <v>0.85</v>
      </c>
      <c r="I2378" s="17">
        <v>0.85</v>
      </c>
      <c r="J2378" s="17">
        <v>0.94</v>
      </c>
      <c r="K2378" s="17">
        <v>0.85</v>
      </c>
      <c r="L2378" s="33">
        <v>0.85</v>
      </c>
      <c r="M2378" s="17">
        <v>0.92</v>
      </c>
      <c r="N2378" s="17">
        <v>0.94</v>
      </c>
      <c r="O2378" s="17">
        <v>0.94</v>
      </c>
      <c r="P2378" s="17">
        <v>0.85</v>
      </c>
      <c r="Q2378" s="17">
        <v>0.9</v>
      </c>
      <c r="R2378" s="17">
        <v>0.9</v>
      </c>
      <c r="S2378" s="17">
        <v>0.9</v>
      </c>
      <c r="T2378" s="17">
        <v>0.9</v>
      </c>
    </row>
    <row r="2379" spans="1:20" ht="13.5" thickBot="1" x14ac:dyDescent="0.25">
      <c r="A2379" s="84" t="s">
        <v>3986</v>
      </c>
      <c r="B2379" s="186">
        <v>0.8</v>
      </c>
      <c r="C2379" s="80">
        <v>1.1200000000000001</v>
      </c>
      <c r="D2379" s="80">
        <v>1.25</v>
      </c>
      <c r="E2379" s="80">
        <v>1.25</v>
      </c>
      <c r="F2379" s="80">
        <v>1.1200000000000001</v>
      </c>
      <c r="G2379" s="80">
        <v>1.25</v>
      </c>
      <c r="H2379" s="80">
        <v>1.1200000000000001</v>
      </c>
      <c r="I2379" s="17">
        <v>1.25</v>
      </c>
      <c r="J2379" s="80">
        <v>1.25</v>
      </c>
      <c r="K2379" s="80">
        <v>1</v>
      </c>
      <c r="L2379" s="186">
        <v>0.9</v>
      </c>
      <c r="M2379" s="80">
        <v>1.1000000000000001</v>
      </c>
      <c r="N2379" s="80">
        <v>1.25</v>
      </c>
      <c r="O2379" s="80">
        <v>1.4</v>
      </c>
      <c r="P2379" s="80">
        <v>0.64</v>
      </c>
      <c r="Q2379" s="80"/>
      <c r="R2379" s="40"/>
      <c r="S2379" s="40"/>
      <c r="T2379" s="40"/>
    </row>
    <row r="2381" spans="1:20" x14ac:dyDescent="0.2">
      <c r="J2381" s="11"/>
      <c r="K2381" s="11"/>
      <c r="L2381" s="11"/>
      <c r="M2381" s="11"/>
      <c r="N2381" s="11"/>
      <c r="O2381" s="11"/>
      <c r="P2381" s="11"/>
      <c r="Q2381" s="11"/>
    </row>
    <row r="2382" spans="1:20" x14ac:dyDescent="0.2">
      <c r="J2382" s="17"/>
    </row>
    <row r="2383" spans="1:20" x14ac:dyDescent="0.2">
      <c r="J2383" s="190"/>
      <c r="K2383" s="190"/>
      <c r="L2383" s="190"/>
      <c r="M2383" s="190"/>
      <c r="N2383" s="190"/>
      <c r="O2383" s="190"/>
      <c r="P2383" s="190"/>
      <c r="Q2383" s="190"/>
    </row>
    <row r="2384" spans="1:20" x14ac:dyDescent="0.2">
      <c r="J2384" s="17"/>
      <c r="K2384" s="17"/>
      <c r="L2384" s="17"/>
      <c r="M2384" s="175"/>
      <c r="N2384" s="175"/>
      <c r="O2384" s="11"/>
      <c r="P2384" s="175"/>
      <c r="Q2384" s="175"/>
    </row>
    <row r="2385" spans="1:17" x14ac:dyDescent="0.2">
      <c r="J2385" s="17"/>
      <c r="K2385" s="17"/>
      <c r="L2385" s="17"/>
      <c r="M2385" s="191"/>
      <c r="N2385" s="17"/>
      <c r="O2385" s="17"/>
      <c r="P2385" s="11"/>
      <c r="Q2385" s="65"/>
    </row>
    <row r="2386" spans="1:17" x14ac:dyDescent="0.2">
      <c r="J2386" s="17"/>
      <c r="K2386" s="17"/>
      <c r="L2386" s="17"/>
      <c r="M2386" s="65"/>
      <c r="N2386" s="17"/>
      <c r="O2386" s="17"/>
      <c r="P2386" s="65"/>
      <c r="Q2386" s="65"/>
    </row>
    <row r="2390" spans="1:17" x14ac:dyDescent="0.2">
      <c r="A2390" t="s">
        <v>5490</v>
      </c>
    </row>
    <row r="2391" spans="1:17" x14ac:dyDescent="0.2">
      <c r="A2391" t="s">
        <v>5491</v>
      </c>
    </row>
    <row r="2392" spans="1:17" x14ac:dyDescent="0.2">
      <c r="A2392" t="s">
        <v>5492</v>
      </c>
    </row>
    <row r="2393" spans="1:17" ht="13.5" thickBot="1" x14ac:dyDescent="0.25">
      <c r="A2393" t="s">
        <v>5493</v>
      </c>
    </row>
    <row r="2394" spans="1:17" ht="15.75" x14ac:dyDescent="0.25">
      <c r="A2394" s="2601" t="s">
        <v>1376</v>
      </c>
      <c r="B2394" s="2602" t="e">
        <f>IF(B2275=2,4,B2276)</f>
        <v>#VALUE!</v>
      </c>
    </row>
    <row r="2395" spans="1:17" x14ac:dyDescent="0.2">
      <c r="A2395" s="2603" t="s">
        <v>2853</v>
      </c>
      <c r="B2395" s="2604"/>
    </row>
    <row r="2396" spans="1:17" ht="15.75" x14ac:dyDescent="0.25">
      <c r="A2396" s="2605" t="s">
        <v>2850</v>
      </c>
      <c r="B2396" s="1165" t="e">
        <f>IF(AND(B2256=1,B2258=1,B2259=1,B2260=1),1,IF(AND(B2256=2,B2258=2,B2259=2,B2260=2),2,IF(AND(B2256=2,B2258=1,B2259=1,B2260=2),3,IF(AND(B2256=2,B2258=1,B2259=1,B2260=1),4,IF(AND(B2256=2,B2258=1,B2259=2,B2260=2),5,IF(AND(B2256=2,B2258=1,B2259=2,B2260=1),6))))))</f>
        <v>#VALUE!</v>
      </c>
    </row>
    <row r="2397" spans="1:17" ht="15.75" x14ac:dyDescent="0.25">
      <c r="A2397" s="2605" t="s">
        <v>2851</v>
      </c>
      <c r="B2397" s="1165" t="e">
        <f>IF(AND(B2256=2,B2258=1,B2259=1,B2260=1),7,IF(AND(B2256=2,B2258=1,B2259=2,B2260=2),8))</f>
        <v>#VALUE!</v>
      </c>
    </row>
    <row r="2398" spans="1:17" ht="15.75" x14ac:dyDescent="0.25">
      <c r="A2398" s="2606" t="s">
        <v>2852</v>
      </c>
      <c r="B2398" s="2607" t="e">
        <f>IF(B2254=1,B2396,B2397)</f>
        <v>#VALUE!</v>
      </c>
    </row>
    <row r="2399" spans="1:17" ht="15.75" x14ac:dyDescent="0.25">
      <c r="A2399" s="2608" t="s">
        <v>2855</v>
      </c>
      <c r="B2399" s="2609"/>
    </row>
    <row r="2400" spans="1:17" ht="15.75" x14ac:dyDescent="0.25">
      <c r="A2400" s="2608" t="s">
        <v>3201</v>
      </c>
      <c r="B2400" s="2609" t="e">
        <f>IF(AND(B2266=1,B2267=2,B2269=1),1,IF(AND(B2266=2,B2267=1,B2269=2),2,IF(AND(B2266=2,B2267=2,B2269=2),3,IF(AND(B2266=2,B2267=2,B2269=1),4))))</f>
        <v>#VALUE!</v>
      </c>
    </row>
    <row r="2401" spans="1:23" ht="15.75" x14ac:dyDescent="0.25">
      <c r="A2401" s="2608" t="s">
        <v>3202</v>
      </c>
      <c r="B2401" s="2609" t="e">
        <f>IF(AND(B2266=1,B2267=2),5,IF(AND(B2266=2,B2267=1,B2268=2),6,IF(AND(B2266=2,B2267=2,B2268=2),7,IF(AND(B2266=2,B2267=2,B2268=1),8))))</f>
        <v>#VALUE!</v>
      </c>
    </row>
    <row r="2402" spans="1:23" ht="16.5" thickBot="1" x14ac:dyDescent="0.3">
      <c r="A2402" s="2610" t="s">
        <v>2852</v>
      </c>
      <c r="B2402" s="2611" t="e">
        <f>IF(B2254=1,B2400,B2401)</f>
        <v>#VALUE!</v>
      </c>
    </row>
    <row r="2404" spans="1:23" ht="13.5" thickBot="1" x14ac:dyDescent="0.25"/>
    <row r="2405" spans="1:23" ht="15.75" x14ac:dyDescent="0.25">
      <c r="A2405" s="1142"/>
      <c r="B2405" s="1161" t="s">
        <v>3619</v>
      </c>
      <c r="C2405" s="2"/>
      <c r="D2405" s="2"/>
      <c r="E2405" s="2"/>
      <c r="F2405" s="2"/>
      <c r="G2405" s="2"/>
      <c r="H2405" s="1162" t="e">
        <f>CONCATENATE(MATCH(1,B2409:B2416,0),".",MATCH(1,C2409:C2416,0),".",IF(B2275=2,4,B2276))</f>
        <v>#N/A</v>
      </c>
      <c r="I2405" s="2"/>
      <c r="J2405" s="2"/>
      <c r="K2405" s="2"/>
      <c r="L2405" s="2"/>
      <c r="M2405" s="3"/>
      <c r="R2405" t="s">
        <v>1210</v>
      </c>
    </row>
    <row r="2406" spans="1:23" x14ac:dyDescent="0.2">
      <c r="A2406" s="4"/>
      <c r="B2406" s="362" t="s">
        <v>3620</v>
      </c>
      <c r="C2406" s="1"/>
      <c r="D2406" s="1"/>
      <c r="E2406" s="1"/>
      <c r="F2406" s="1"/>
      <c r="G2406" s="1"/>
      <c r="H2406" s="362" t="e">
        <f>MATCH(H2405,B2417:DY2417,0)</f>
        <v>#N/A</v>
      </c>
      <c r="I2406" s="1"/>
      <c r="J2406" s="1"/>
      <c r="K2406" s="1"/>
      <c r="L2406" s="1"/>
      <c r="M2406" s="253"/>
      <c r="O2406" t="s">
        <v>1211</v>
      </c>
      <c r="Q2406" s="213" t="e">
        <f>MATCH(1,B2409:B2416,0)</f>
        <v>#N/A</v>
      </c>
      <c r="S2406" t="s">
        <v>1213</v>
      </c>
      <c r="T2406" s="213" t="e">
        <f>INDEX(P2409:W2416,Q2406,Q2407)</f>
        <v>#N/A</v>
      </c>
    </row>
    <row r="2407" spans="1:23" ht="13.5" thickBot="1" x14ac:dyDescent="0.25">
      <c r="A2407" s="4"/>
      <c r="B2407" s="1"/>
      <c r="C2407" s="1"/>
      <c r="D2407" s="1"/>
      <c r="E2407" s="1"/>
      <c r="F2407" s="1"/>
      <c r="G2407" s="1"/>
      <c r="H2407" s="1"/>
      <c r="I2407" s="1"/>
      <c r="J2407" s="1"/>
      <c r="K2407" s="1"/>
      <c r="L2407" s="1"/>
      <c r="M2407" s="253"/>
      <c r="O2407" t="s">
        <v>1212</v>
      </c>
      <c r="Q2407" s="213" t="e">
        <f>MATCH(1,C2409:C2416,0)</f>
        <v>#N/A</v>
      </c>
    </row>
    <row r="2408" spans="1:23" x14ac:dyDescent="0.2">
      <c r="A2408" s="1142" t="s">
        <v>586</v>
      </c>
      <c r="B2408" s="2" t="s">
        <v>4278</v>
      </c>
      <c r="C2408" s="3" t="s">
        <v>4279</v>
      </c>
      <c r="D2408" s="1"/>
      <c r="E2408" s="1142"/>
      <c r="F2408" s="2">
        <v>1</v>
      </c>
      <c r="G2408" s="2">
        <v>2</v>
      </c>
      <c r="H2408" s="2">
        <v>3</v>
      </c>
      <c r="I2408" s="2">
        <v>4</v>
      </c>
      <c r="J2408" s="2">
        <v>5</v>
      </c>
      <c r="K2408" s="2">
        <v>6</v>
      </c>
      <c r="L2408" s="2">
        <v>7</v>
      </c>
      <c r="M2408" s="3">
        <v>8</v>
      </c>
      <c r="O2408" s="1142"/>
      <c r="P2408" s="2">
        <v>1</v>
      </c>
      <c r="Q2408" s="2">
        <v>2</v>
      </c>
      <c r="R2408" s="2">
        <v>3</v>
      </c>
      <c r="S2408" s="2">
        <v>4</v>
      </c>
      <c r="T2408" s="2">
        <v>5</v>
      </c>
      <c r="U2408" s="2">
        <v>6</v>
      </c>
      <c r="V2408" s="2">
        <v>7</v>
      </c>
      <c r="W2408" s="3">
        <v>8</v>
      </c>
    </row>
    <row r="2409" spans="1:23" x14ac:dyDescent="0.2">
      <c r="A2409" s="4">
        <v>1</v>
      </c>
      <c r="B2409" s="1164" t="e">
        <f>IF(AND(B2254=1,B2256=1,B2258=1,B2259=1,B2260=1),1,0)</f>
        <v>#VALUE!</v>
      </c>
      <c r="C2409" s="1165" t="e">
        <f>IF(AND(B2254=1,B2266=1,B2267=2,B2269=1),1,0)</f>
        <v>#VALUE!</v>
      </c>
      <c r="D2409" s="1"/>
      <c r="E2409" s="4">
        <v>1</v>
      </c>
      <c r="F2409" s="5">
        <v>1</v>
      </c>
      <c r="G2409" s="5">
        <v>1</v>
      </c>
      <c r="H2409" s="5">
        <v>1</v>
      </c>
      <c r="I2409" s="5">
        <v>1</v>
      </c>
      <c r="J2409" s="5"/>
      <c r="K2409" s="5"/>
      <c r="L2409" s="5"/>
      <c r="M2409" s="1160"/>
      <c r="O2409" s="4">
        <v>1</v>
      </c>
      <c r="P2409" s="5">
        <v>1</v>
      </c>
      <c r="Q2409" s="5">
        <v>2</v>
      </c>
      <c r="R2409" s="5">
        <v>2</v>
      </c>
      <c r="S2409" s="5">
        <v>3</v>
      </c>
      <c r="T2409" s="5"/>
      <c r="U2409" s="5"/>
      <c r="V2409" s="5"/>
      <c r="W2409" s="1160"/>
    </row>
    <row r="2410" spans="1:23" x14ac:dyDescent="0.2">
      <c r="A2410" s="4">
        <v>2</v>
      </c>
      <c r="B2410" s="1164" t="e">
        <f>IF(AND(B2254=1,B2256=2,B2258=2,B2259=2,B2260=2),1,0)</f>
        <v>#VALUE!</v>
      </c>
      <c r="C2410" s="1165" t="e">
        <f>IF(AND(B2254=1,B2266=2,B2267=1,B2269=2),1,0)</f>
        <v>#VALUE!</v>
      </c>
      <c r="D2410" s="1"/>
      <c r="E2410" s="4">
        <v>2</v>
      </c>
      <c r="F2410" s="5">
        <v>1</v>
      </c>
      <c r="G2410" s="5">
        <v>1</v>
      </c>
      <c r="H2410" s="5">
        <v>1</v>
      </c>
      <c r="I2410" s="5">
        <v>1</v>
      </c>
      <c r="J2410" s="5"/>
      <c r="K2410" s="5"/>
      <c r="L2410" s="5"/>
      <c r="M2410" s="1160"/>
      <c r="O2410" s="4">
        <v>2</v>
      </c>
      <c r="P2410" s="5">
        <v>1</v>
      </c>
      <c r="Q2410" s="5">
        <v>2</v>
      </c>
      <c r="R2410" s="5">
        <v>2</v>
      </c>
      <c r="S2410" s="5">
        <v>3</v>
      </c>
      <c r="T2410" s="5"/>
      <c r="U2410" s="5"/>
      <c r="V2410" s="5"/>
      <c r="W2410" s="1160"/>
    </row>
    <row r="2411" spans="1:23" x14ac:dyDescent="0.2">
      <c r="A2411" s="4">
        <v>3</v>
      </c>
      <c r="B2411" s="1164" t="e">
        <f>IF(AND(B2254=1,B2256=2,B2258=1,B2259=1,B2260=2),1,0)</f>
        <v>#VALUE!</v>
      </c>
      <c r="C2411" s="1165" t="e">
        <f>IF(AND(B2254=1,B2266=2,B2267=2,B2269=2),1,0)</f>
        <v>#VALUE!</v>
      </c>
      <c r="D2411" s="1"/>
      <c r="E2411" s="4">
        <v>3</v>
      </c>
      <c r="F2411" s="5">
        <v>1</v>
      </c>
      <c r="G2411" s="5">
        <v>1</v>
      </c>
      <c r="H2411" s="5">
        <v>1</v>
      </c>
      <c r="I2411" s="5">
        <v>1</v>
      </c>
      <c r="J2411" s="5"/>
      <c r="K2411" s="5"/>
      <c r="L2411" s="5"/>
      <c r="M2411" s="1160"/>
      <c r="O2411" s="4">
        <v>3</v>
      </c>
      <c r="P2411" s="5">
        <v>1</v>
      </c>
      <c r="Q2411" s="5">
        <v>2</v>
      </c>
      <c r="R2411" s="5">
        <v>2</v>
      </c>
      <c r="S2411" s="5">
        <v>3</v>
      </c>
      <c r="T2411" s="5"/>
      <c r="U2411" s="5"/>
      <c r="V2411" s="5"/>
      <c r="W2411" s="1160"/>
    </row>
    <row r="2412" spans="1:23" x14ac:dyDescent="0.2">
      <c r="A2412" s="4">
        <v>4</v>
      </c>
      <c r="B2412" s="1164" t="e">
        <f>IF(AND(B2254=1,B2256=2,B2258=1,B2259=1,B2260=1),1,0)</f>
        <v>#VALUE!</v>
      </c>
      <c r="C2412" s="1165" t="e">
        <f>IF(AND(B2254=1,B2266=2,B2267=2,B2269=1),1,0)</f>
        <v>#VALUE!</v>
      </c>
      <c r="D2412" s="1"/>
      <c r="E2412" s="4">
        <v>4</v>
      </c>
      <c r="F2412" s="5">
        <v>1</v>
      </c>
      <c r="G2412" s="5">
        <v>1</v>
      </c>
      <c r="H2412" s="5">
        <v>1</v>
      </c>
      <c r="I2412" s="5">
        <v>1</v>
      </c>
      <c r="J2412" s="5"/>
      <c r="K2412" s="5"/>
      <c r="L2412" s="5"/>
      <c r="M2412" s="1160"/>
      <c r="O2412" s="4">
        <v>4</v>
      </c>
      <c r="P2412" s="5">
        <v>1</v>
      </c>
      <c r="Q2412" s="5">
        <v>2</v>
      </c>
      <c r="R2412" s="5">
        <v>2</v>
      </c>
      <c r="S2412" s="5">
        <v>3</v>
      </c>
      <c r="T2412" s="5"/>
      <c r="U2412" s="5"/>
      <c r="V2412" s="5"/>
      <c r="W2412" s="1160"/>
    </row>
    <row r="2413" spans="1:23" x14ac:dyDescent="0.2">
      <c r="A2413" s="4">
        <v>5</v>
      </c>
      <c r="B2413" s="1164" t="e">
        <f>IF(AND(B2254=1,B2256=2,B2258=1,B2259=2,B2260=2),1,0)</f>
        <v>#VALUE!</v>
      </c>
      <c r="C2413" s="1165" t="e">
        <f>IF(AND(B2254=2,B2266=1,B2267=2,B2268=1),1,0)</f>
        <v>#VALUE!</v>
      </c>
      <c r="D2413" s="1"/>
      <c r="E2413" s="4">
        <v>5</v>
      </c>
      <c r="F2413" s="5">
        <v>1</v>
      </c>
      <c r="G2413" s="5">
        <v>1</v>
      </c>
      <c r="H2413" s="5">
        <v>1</v>
      </c>
      <c r="I2413" s="5">
        <v>1</v>
      </c>
      <c r="J2413" s="5"/>
      <c r="K2413" s="5"/>
      <c r="L2413" s="5"/>
      <c r="M2413" s="1160"/>
      <c r="O2413" s="4">
        <v>5</v>
      </c>
      <c r="P2413" s="5">
        <v>1</v>
      </c>
      <c r="Q2413" s="5">
        <v>2</v>
      </c>
      <c r="R2413" s="5">
        <v>2</v>
      </c>
      <c r="S2413" s="5">
        <v>3</v>
      </c>
      <c r="T2413" s="5"/>
      <c r="U2413" s="5"/>
      <c r="V2413" s="5"/>
      <c r="W2413" s="1160"/>
    </row>
    <row r="2414" spans="1:23" x14ac:dyDescent="0.2">
      <c r="A2414" s="4">
        <v>6</v>
      </c>
      <c r="B2414" s="1164" t="e">
        <f>IF(AND(B2254=1,B2256=2,B2258=1,B2259=2,B2260=1),1,0)</f>
        <v>#VALUE!</v>
      </c>
      <c r="C2414" s="1165" t="e">
        <f>IF(AND(B2254=2,B2266=2,B2267=1,B2268=2),1,0)</f>
        <v>#VALUE!</v>
      </c>
      <c r="D2414" s="1"/>
      <c r="E2414" s="4">
        <v>6</v>
      </c>
      <c r="F2414" s="5">
        <v>1</v>
      </c>
      <c r="G2414" s="5">
        <v>1</v>
      </c>
      <c r="H2414" s="5">
        <v>1</v>
      </c>
      <c r="I2414" s="5">
        <v>1</v>
      </c>
      <c r="J2414" s="5"/>
      <c r="K2414" s="5"/>
      <c r="L2414" s="5"/>
      <c r="M2414" s="1160"/>
      <c r="O2414" s="4">
        <v>6</v>
      </c>
      <c r="P2414" s="5">
        <v>1</v>
      </c>
      <c r="Q2414" s="5">
        <v>2</v>
      </c>
      <c r="R2414" s="5">
        <v>2</v>
      </c>
      <c r="S2414" s="5">
        <v>3</v>
      </c>
      <c r="T2414" s="5"/>
      <c r="U2414" s="5"/>
      <c r="V2414" s="5"/>
      <c r="W2414" s="1160"/>
    </row>
    <row r="2415" spans="1:23" x14ac:dyDescent="0.2">
      <c r="A2415" s="4">
        <v>7</v>
      </c>
      <c r="B2415" s="1164" t="e">
        <f>IF(AND(B2254=2,B2256=2,B2258=1,B2259=2,B2260=1),1,0)</f>
        <v>#VALUE!</v>
      </c>
      <c r="C2415" s="1165" t="e">
        <f>IF(AND(B2254=2,B2266=2,B2267=2,B2268=2),1,0)</f>
        <v>#VALUE!</v>
      </c>
      <c r="D2415" s="1"/>
      <c r="E2415" s="4">
        <v>7</v>
      </c>
      <c r="F2415" s="5"/>
      <c r="G2415" s="5"/>
      <c r="H2415" s="5"/>
      <c r="I2415" s="5"/>
      <c r="J2415" s="5">
        <v>1</v>
      </c>
      <c r="K2415" s="5">
        <v>1</v>
      </c>
      <c r="L2415" s="5">
        <v>1</v>
      </c>
      <c r="M2415" s="1160">
        <v>1</v>
      </c>
      <c r="O2415" s="4">
        <v>7</v>
      </c>
      <c r="P2415" s="5"/>
      <c r="Q2415" s="5"/>
      <c r="R2415" s="5"/>
      <c r="S2415" s="5"/>
      <c r="T2415" s="5">
        <v>1</v>
      </c>
      <c r="U2415" s="5">
        <v>1</v>
      </c>
      <c r="V2415" s="5">
        <v>1</v>
      </c>
      <c r="W2415" s="1160">
        <v>1</v>
      </c>
    </row>
    <row r="2416" spans="1:23" ht="13.5" thickBot="1" x14ac:dyDescent="0.25">
      <c r="A2416" s="359">
        <v>8</v>
      </c>
      <c r="B2416" s="1166" t="e">
        <f>IF(AND(B2254=2,B2256=2,B2258=1,B2259=2,B2260=2),1,0)</f>
        <v>#VALUE!</v>
      </c>
      <c r="C2416" s="1167" t="e">
        <f>IF(AND(B2254=2,B2266=2,B2267=2,B2268=1),1,0)</f>
        <v>#VALUE!</v>
      </c>
      <c r="D2416" s="355"/>
      <c r="E2416" s="359">
        <v>8</v>
      </c>
      <c r="F2416" s="246"/>
      <c r="G2416" s="246"/>
      <c r="H2416" s="246"/>
      <c r="I2416" s="246"/>
      <c r="J2416" s="246">
        <v>1</v>
      </c>
      <c r="K2416" s="246">
        <v>1</v>
      </c>
      <c r="L2416" s="246">
        <v>1</v>
      </c>
      <c r="M2416" s="247">
        <v>1</v>
      </c>
      <c r="O2416" s="359">
        <v>8</v>
      </c>
      <c r="P2416" s="246"/>
      <c r="Q2416" s="246"/>
      <c r="R2416" s="246"/>
      <c r="S2416" s="246"/>
      <c r="T2416" s="246">
        <v>4</v>
      </c>
      <c r="U2416" s="246">
        <v>4</v>
      </c>
      <c r="V2416" s="246">
        <v>4</v>
      </c>
      <c r="W2416" s="247">
        <v>4</v>
      </c>
    </row>
    <row r="2417" spans="1:129" x14ac:dyDescent="0.2">
      <c r="B2417" s="1153" t="s">
        <v>3079</v>
      </c>
      <c r="C2417" s="1153" t="s">
        <v>2350</v>
      </c>
      <c r="D2417" s="1153" t="s">
        <v>2351</v>
      </c>
      <c r="E2417" s="1153" t="s">
        <v>2352</v>
      </c>
      <c r="F2417" s="1153" t="s">
        <v>2353</v>
      </c>
      <c r="G2417" s="1153" t="s">
        <v>2354</v>
      </c>
      <c r="H2417" s="1153" t="s">
        <v>2355</v>
      </c>
      <c r="I2417" s="1153" t="s">
        <v>2356</v>
      </c>
      <c r="J2417" s="1153" t="s">
        <v>2357</v>
      </c>
      <c r="K2417" s="1153" t="s">
        <v>2358</v>
      </c>
      <c r="L2417" s="1153" t="s">
        <v>2860</v>
      </c>
      <c r="M2417" s="1154" t="s">
        <v>2861</v>
      </c>
      <c r="N2417" s="1153" t="s">
        <v>2862</v>
      </c>
      <c r="O2417" s="1153" t="s">
        <v>2863</v>
      </c>
      <c r="P2417" s="1153" t="s">
        <v>4099</v>
      </c>
      <c r="Q2417" s="1153" t="s">
        <v>4100</v>
      </c>
      <c r="R2417" s="1155" t="s">
        <v>5057</v>
      </c>
      <c r="S2417" s="1155" t="s">
        <v>5058</v>
      </c>
      <c r="T2417" s="1155" t="s">
        <v>5059</v>
      </c>
      <c r="U2417" s="1155" t="s">
        <v>5060</v>
      </c>
      <c r="V2417" s="1153" t="s">
        <v>5061</v>
      </c>
      <c r="W2417" s="1153" t="s">
        <v>5062</v>
      </c>
      <c r="X2417" s="1153" t="s">
        <v>5063</v>
      </c>
      <c r="Y2417" s="1153" t="s">
        <v>5064</v>
      </c>
      <c r="Z2417" s="1155" t="s">
        <v>5065</v>
      </c>
      <c r="AA2417" s="1155" t="s">
        <v>5066</v>
      </c>
      <c r="AB2417" s="1155" t="s">
        <v>5067</v>
      </c>
      <c r="AC2417" s="1155" t="s">
        <v>5068</v>
      </c>
      <c r="AD2417" s="1155" t="s">
        <v>5069</v>
      </c>
      <c r="AE2417" s="1155" t="s">
        <v>5070</v>
      </c>
      <c r="AF2417" s="1155" t="s">
        <v>5071</v>
      </c>
      <c r="AG2417" s="1155" t="s">
        <v>5072</v>
      </c>
      <c r="AH2417" s="1156" t="s">
        <v>5073</v>
      </c>
      <c r="AI2417" s="1156" t="s">
        <v>5074</v>
      </c>
      <c r="AJ2417" s="1156" t="s">
        <v>5075</v>
      </c>
      <c r="AK2417" s="1156" t="s">
        <v>5076</v>
      </c>
      <c r="AL2417" s="1155" t="s">
        <v>2701</v>
      </c>
      <c r="AM2417" s="1155" t="s">
        <v>2702</v>
      </c>
      <c r="AN2417" s="1155" t="s">
        <v>2703</v>
      </c>
      <c r="AO2417" s="1155" t="s">
        <v>2704</v>
      </c>
      <c r="AP2417" s="1155" t="s">
        <v>2705</v>
      </c>
      <c r="AQ2417" s="1155" t="s">
        <v>2706</v>
      </c>
      <c r="AR2417" s="1155" t="s">
        <v>2707</v>
      </c>
      <c r="AS2417" s="1155" t="s">
        <v>2708</v>
      </c>
      <c r="AT2417" s="1155" t="s">
        <v>2709</v>
      </c>
      <c r="AU2417" s="1155" t="s">
        <v>180</v>
      </c>
      <c r="AV2417" s="1155" t="s">
        <v>181</v>
      </c>
      <c r="AW2417" s="1155" t="s">
        <v>182</v>
      </c>
      <c r="AX2417" s="1156" t="s">
        <v>183</v>
      </c>
      <c r="AY2417" s="1156" t="s">
        <v>184</v>
      </c>
      <c r="AZ2417" s="1156" t="s">
        <v>185</v>
      </c>
      <c r="BA2417" s="1156" t="s">
        <v>186</v>
      </c>
      <c r="BB2417" s="1155" t="s">
        <v>187</v>
      </c>
      <c r="BC2417" s="1155" t="s">
        <v>188</v>
      </c>
      <c r="BD2417" s="1155" t="s">
        <v>189</v>
      </c>
      <c r="BE2417" s="1155" t="s">
        <v>190</v>
      </c>
      <c r="BF2417" s="1155" t="s">
        <v>191</v>
      </c>
      <c r="BG2417" s="1155" t="s">
        <v>192</v>
      </c>
      <c r="BH2417" s="1155" t="s">
        <v>193</v>
      </c>
      <c r="BI2417" s="1155" t="s">
        <v>194</v>
      </c>
      <c r="BJ2417" s="1155" t="s">
        <v>195</v>
      </c>
      <c r="BK2417" s="1155" t="s">
        <v>196</v>
      </c>
      <c r="BL2417" s="1155" t="s">
        <v>197</v>
      </c>
      <c r="BM2417" s="1155" t="s">
        <v>198</v>
      </c>
      <c r="BN2417" s="1156" t="s">
        <v>867</v>
      </c>
      <c r="BO2417" s="1156" t="s">
        <v>868</v>
      </c>
      <c r="BP2417" s="1156" t="s">
        <v>869</v>
      </c>
      <c r="BQ2417" s="1156" t="s">
        <v>870</v>
      </c>
      <c r="BR2417" s="1155" t="s">
        <v>871</v>
      </c>
      <c r="BS2417" s="1155" t="s">
        <v>872</v>
      </c>
      <c r="BT2417" s="1155" t="s">
        <v>873</v>
      </c>
      <c r="BU2417" s="1155" t="s">
        <v>874</v>
      </c>
      <c r="BV2417" s="1155" t="s">
        <v>875</v>
      </c>
      <c r="BW2417" s="1155" t="s">
        <v>876</v>
      </c>
      <c r="BX2417" s="1155" t="s">
        <v>877</v>
      </c>
      <c r="BY2417" s="1155" t="s">
        <v>878</v>
      </c>
      <c r="BZ2417" s="1155" t="s">
        <v>879</v>
      </c>
      <c r="CA2417" s="1155" t="s">
        <v>880</v>
      </c>
      <c r="CB2417" s="1155" t="s">
        <v>881</v>
      </c>
      <c r="CC2417" s="1155" t="s">
        <v>882</v>
      </c>
      <c r="CD2417" s="1156" t="s">
        <v>883</v>
      </c>
      <c r="CE2417" s="1156" t="s">
        <v>884</v>
      </c>
      <c r="CF2417" s="1156" t="s">
        <v>885</v>
      </c>
      <c r="CG2417" s="1156" t="s">
        <v>886</v>
      </c>
      <c r="CH2417" s="1155" t="s">
        <v>887</v>
      </c>
      <c r="CI2417" s="1155" t="s">
        <v>888</v>
      </c>
      <c r="CJ2417" s="1155" t="s">
        <v>889</v>
      </c>
      <c r="CK2417" s="1155" t="s">
        <v>890</v>
      </c>
      <c r="CL2417" s="1155" t="s">
        <v>891</v>
      </c>
      <c r="CM2417" s="1155" t="s">
        <v>892</v>
      </c>
      <c r="CN2417" s="1155" t="s">
        <v>893</v>
      </c>
      <c r="CO2417" s="1155" t="s">
        <v>894</v>
      </c>
      <c r="CP2417" s="1155" t="s">
        <v>895</v>
      </c>
      <c r="CQ2417" s="1155" t="s">
        <v>896</v>
      </c>
      <c r="CR2417" s="1155" t="s">
        <v>897</v>
      </c>
      <c r="CS2417" s="1155" t="s">
        <v>898</v>
      </c>
      <c r="CT2417" s="1155" t="s">
        <v>899</v>
      </c>
      <c r="CU2417" s="1155" t="s">
        <v>900</v>
      </c>
      <c r="CV2417" s="1155" t="s">
        <v>901</v>
      </c>
      <c r="CW2417" s="1155" t="s">
        <v>902</v>
      </c>
      <c r="CX2417" s="1155" t="s">
        <v>903</v>
      </c>
      <c r="CY2417" s="1155" t="s">
        <v>904</v>
      </c>
      <c r="CZ2417" s="1155" t="s">
        <v>905</v>
      </c>
      <c r="DA2417" s="1155" t="s">
        <v>906</v>
      </c>
      <c r="DB2417" s="1155" t="s">
        <v>907</v>
      </c>
      <c r="DC2417" s="1155" t="s">
        <v>908</v>
      </c>
      <c r="DD2417" s="1155" t="s">
        <v>909</v>
      </c>
      <c r="DE2417" s="1155" t="s">
        <v>910</v>
      </c>
      <c r="DF2417" s="1155" t="s">
        <v>911</v>
      </c>
      <c r="DG2417" s="1155" t="s">
        <v>912</v>
      </c>
      <c r="DH2417" s="1155" t="s">
        <v>913</v>
      </c>
      <c r="DI2417" s="1155" t="s">
        <v>914</v>
      </c>
      <c r="DJ2417" s="1155" t="s">
        <v>915</v>
      </c>
      <c r="DK2417" s="1155" t="s">
        <v>916</v>
      </c>
      <c r="DL2417" s="1155" t="s">
        <v>917</v>
      </c>
      <c r="DM2417" s="1155" t="s">
        <v>918</v>
      </c>
      <c r="DN2417" s="1155" t="s">
        <v>919</v>
      </c>
      <c r="DO2417" s="1155" t="s">
        <v>920</v>
      </c>
      <c r="DP2417" s="1155" t="s">
        <v>921</v>
      </c>
      <c r="DQ2417" s="1155" t="s">
        <v>922</v>
      </c>
      <c r="DR2417" s="1155" t="s">
        <v>923</v>
      </c>
      <c r="DS2417" s="1155" t="s">
        <v>924</v>
      </c>
      <c r="DT2417" s="1155" t="s">
        <v>925</v>
      </c>
      <c r="DU2417" s="1155" t="s">
        <v>926</v>
      </c>
      <c r="DV2417" s="1155" t="s">
        <v>927</v>
      </c>
      <c r="DW2417" s="1155" t="s">
        <v>235</v>
      </c>
      <c r="DX2417" s="1155" t="s">
        <v>3615</v>
      </c>
      <c r="DY2417" s="1155" t="s">
        <v>3616</v>
      </c>
    </row>
    <row r="2418" spans="1:129" x14ac:dyDescent="0.2">
      <c r="B2418" s="1157">
        <v>1</v>
      </c>
      <c r="C2418" s="1157">
        <v>2</v>
      </c>
      <c r="D2418" s="1157">
        <v>3</v>
      </c>
      <c r="E2418" s="1157">
        <v>4</v>
      </c>
      <c r="F2418" s="1157">
        <v>5</v>
      </c>
      <c r="G2418" s="1157">
        <v>6</v>
      </c>
      <c r="H2418" s="1157">
        <v>7</v>
      </c>
      <c r="I2418" s="1157">
        <v>8</v>
      </c>
      <c r="J2418" s="1157">
        <v>9</v>
      </c>
      <c r="K2418" s="1157">
        <v>10</v>
      </c>
      <c r="L2418" s="1157">
        <v>11</v>
      </c>
      <c r="M2418" s="1157">
        <v>12</v>
      </c>
      <c r="N2418" s="1157">
        <v>13</v>
      </c>
      <c r="O2418" s="1157">
        <v>14</v>
      </c>
      <c r="P2418" s="1157">
        <v>15</v>
      </c>
      <c r="Q2418" s="1157">
        <v>16</v>
      </c>
      <c r="R2418" s="1157">
        <v>17</v>
      </c>
      <c r="S2418" s="1157">
        <v>18</v>
      </c>
      <c r="T2418" s="1157">
        <v>19</v>
      </c>
      <c r="U2418" s="1157">
        <v>20</v>
      </c>
      <c r="V2418" s="1157">
        <v>21</v>
      </c>
      <c r="W2418" s="1157">
        <v>22</v>
      </c>
      <c r="X2418" s="1157">
        <v>23</v>
      </c>
      <c r="Y2418" s="1157">
        <v>24</v>
      </c>
      <c r="Z2418" s="1157">
        <v>25</v>
      </c>
      <c r="AA2418" s="1157">
        <v>26</v>
      </c>
      <c r="AB2418" s="1157">
        <v>27</v>
      </c>
      <c r="AC2418" s="1157">
        <v>28</v>
      </c>
      <c r="AD2418" s="1157">
        <v>29</v>
      </c>
      <c r="AE2418" s="1157">
        <v>30</v>
      </c>
      <c r="AF2418" s="1157">
        <v>31</v>
      </c>
      <c r="AG2418" s="1157">
        <v>32</v>
      </c>
      <c r="AH2418" s="1157">
        <v>33</v>
      </c>
      <c r="AI2418" s="1157">
        <v>34</v>
      </c>
      <c r="AJ2418" s="1157">
        <v>35</v>
      </c>
      <c r="AK2418" s="1157">
        <v>36</v>
      </c>
      <c r="AL2418" s="1157">
        <v>37</v>
      </c>
      <c r="AM2418" s="1157">
        <v>38</v>
      </c>
      <c r="AN2418" s="1157">
        <v>39</v>
      </c>
      <c r="AO2418" s="1157">
        <v>40</v>
      </c>
      <c r="AP2418" s="1157">
        <v>41</v>
      </c>
      <c r="AQ2418" s="1157">
        <v>42</v>
      </c>
      <c r="AR2418" s="1157">
        <v>43</v>
      </c>
      <c r="AS2418" s="1157">
        <v>44</v>
      </c>
      <c r="AT2418" s="1157">
        <v>45</v>
      </c>
      <c r="AU2418" s="1157">
        <v>46</v>
      </c>
      <c r="AV2418" s="1157">
        <v>47</v>
      </c>
      <c r="AW2418" s="1157">
        <v>48</v>
      </c>
      <c r="AX2418" s="1157">
        <v>49</v>
      </c>
      <c r="AY2418" s="1157">
        <v>50</v>
      </c>
      <c r="AZ2418" s="1157">
        <v>51</v>
      </c>
      <c r="BA2418" s="1157">
        <v>52</v>
      </c>
      <c r="BB2418" s="1157">
        <v>53</v>
      </c>
      <c r="BC2418" s="1157">
        <v>54</v>
      </c>
      <c r="BD2418" s="1157">
        <v>55</v>
      </c>
      <c r="BE2418" s="1157">
        <v>56</v>
      </c>
      <c r="BF2418" s="1157">
        <v>57</v>
      </c>
      <c r="BG2418" s="1157">
        <v>58</v>
      </c>
      <c r="BH2418" s="1157">
        <v>59</v>
      </c>
      <c r="BI2418" s="1157">
        <v>60</v>
      </c>
      <c r="BJ2418" s="1157">
        <v>61</v>
      </c>
      <c r="BK2418" s="1157">
        <v>62</v>
      </c>
      <c r="BL2418" s="1157">
        <v>63</v>
      </c>
      <c r="BM2418" s="1157">
        <v>64</v>
      </c>
      <c r="BN2418" s="1157">
        <v>65</v>
      </c>
      <c r="BO2418" s="1157">
        <v>66</v>
      </c>
      <c r="BP2418" s="1157">
        <v>67</v>
      </c>
      <c r="BQ2418" s="1157">
        <v>68</v>
      </c>
      <c r="BR2418" s="1157">
        <v>69</v>
      </c>
      <c r="BS2418" s="1157">
        <v>70</v>
      </c>
      <c r="BT2418" s="1157">
        <v>71</v>
      </c>
      <c r="BU2418" s="1157">
        <v>72</v>
      </c>
      <c r="BV2418" s="1157">
        <v>73</v>
      </c>
      <c r="BW2418" s="1157">
        <v>74</v>
      </c>
      <c r="BX2418" s="1157">
        <v>75</v>
      </c>
      <c r="BY2418" s="1157">
        <v>76</v>
      </c>
      <c r="BZ2418" s="1157">
        <v>77</v>
      </c>
      <c r="CA2418" s="1157">
        <v>78</v>
      </c>
      <c r="CB2418" s="1157">
        <v>79</v>
      </c>
      <c r="CC2418" s="1157">
        <v>80</v>
      </c>
      <c r="CD2418" s="1157">
        <v>81</v>
      </c>
      <c r="CE2418" s="1157">
        <v>82</v>
      </c>
      <c r="CF2418" s="1157">
        <v>83</v>
      </c>
      <c r="CG2418" s="1157">
        <v>84</v>
      </c>
      <c r="CH2418" s="1157">
        <v>85</v>
      </c>
      <c r="CI2418" s="1157">
        <v>86</v>
      </c>
      <c r="CJ2418" s="1157">
        <v>87</v>
      </c>
      <c r="CK2418" s="1157">
        <v>88</v>
      </c>
      <c r="CL2418" s="1157">
        <v>89</v>
      </c>
      <c r="CM2418" s="1157">
        <v>90</v>
      </c>
      <c r="CN2418" s="1157">
        <v>91</v>
      </c>
      <c r="CO2418" s="1157">
        <v>92</v>
      </c>
      <c r="CP2418" s="1157">
        <v>93</v>
      </c>
      <c r="CQ2418" s="1157">
        <v>94</v>
      </c>
      <c r="CR2418" s="1157">
        <v>95</v>
      </c>
      <c r="CS2418" s="1157">
        <v>96</v>
      </c>
      <c r="CT2418" s="1157">
        <v>97</v>
      </c>
      <c r="CU2418" s="1157">
        <v>98</v>
      </c>
      <c r="CV2418" s="1157">
        <v>99</v>
      </c>
      <c r="CW2418" s="1157">
        <v>100</v>
      </c>
      <c r="CX2418" s="1157">
        <v>101</v>
      </c>
      <c r="CY2418" s="1157">
        <v>102</v>
      </c>
      <c r="CZ2418" s="1157">
        <v>103</v>
      </c>
      <c r="DA2418" s="1157">
        <v>104</v>
      </c>
      <c r="DB2418" s="1157">
        <v>105</v>
      </c>
      <c r="DC2418" s="1157">
        <v>106</v>
      </c>
      <c r="DD2418" s="1157">
        <v>107</v>
      </c>
      <c r="DE2418" s="1157">
        <v>108</v>
      </c>
      <c r="DF2418" s="1157">
        <v>109</v>
      </c>
      <c r="DG2418" s="1157">
        <v>110</v>
      </c>
      <c r="DH2418" s="1157">
        <v>111</v>
      </c>
      <c r="DI2418" s="1157">
        <v>112</v>
      </c>
      <c r="DJ2418" s="1157">
        <v>113</v>
      </c>
      <c r="DK2418" s="1157">
        <v>114</v>
      </c>
      <c r="DL2418" s="1157">
        <v>115</v>
      </c>
      <c r="DM2418" s="1157">
        <v>116</v>
      </c>
      <c r="DN2418" s="1157">
        <v>117</v>
      </c>
      <c r="DO2418" s="1157">
        <v>118</v>
      </c>
      <c r="DP2418" s="1157">
        <v>119</v>
      </c>
      <c r="DQ2418" s="1157">
        <v>120</v>
      </c>
      <c r="DR2418" s="1157">
        <v>121</v>
      </c>
      <c r="DS2418" s="1157">
        <v>122</v>
      </c>
      <c r="DT2418" s="1157">
        <v>123</v>
      </c>
      <c r="DU2418" s="1157">
        <v>124</v>
      </c>
      <c r="DV2418" s="1157">
        <v>125</v>
      </c>
      <c r="DW2418" s="1157">
        <v>126</v>
      </c>
      <c r="DX2418" s="1157">
        <v>127</v>
      </c>
      <c r="DY2418" s="1157">
        <v>128</v>
      </c>
    </row>
    <row r="2419" spans="1:129" ht="408.75" customHeight="1" x14ac:dyDescent="0.25">
      <c r="B2419" s="1147" t="s">
        <v>3833</v>
      </c>
      <c r="C2419" s="1147" t="s">
        <v>3767</v>
      </c>
      <c r="D2419" s="1147" t="s">
        <v>3629</v>
      </c>
      <c r="E2419" s="1147" t="s">
        <v>3630</v>
      </c>
      <c r="F2419" s="1148" t="s">
        <v>4877</v>
      </c>
      <c r="G2419" s="1148" t="s">
        <v>1110</v>
      </c>
      <c r="H2419" s="1148" t="s">
        <v>1111</v>
      </c>
      <c r="I2419" s="1148" t="s">
        <v>3894</v>
      </c>
      <c r="J2419" s="1148" t="s">
        <v>1777</v>
      </c>
      <c r="K2419" s="1148" t="s">
        <v>1778</v>
      </c>
      <c r="L2419" s="1148" t="s">
        <v>1673</v>
      </c>
      <c r="M2419" s="1148" t="s">
        <v>1114</v>
      </c>
      <c r="N2419" s="1148" t="s">
        <v>2382</v>
      </c>
      <c r="O2419" s="1148" t="s">
        <v>2383</v>
      </c>
      <c r="P2419" s="1148" t="s">
        <v>5368</v>
      </c>
      <c r="Q2419" s="1148" t="s">
        <v>5369</v>
      </c>
      <c r="R2419" s="1148" t="s">
        <v>5370</v>
      </c>
      <c r="S2419" s="1148" t="s">
        <v>4288</v>
      </c>
      <c r="T2419" s="1148" t="s">
        <v>2266</v>
      </c>
      <c r="U2419" s="1148" t="s">
        <v>1298</v>
      </c>
      <c r="V2419" s="1147" t="s">
        <v>1299</v>
      </c>
      <c r="W2419" s="1147" t="s">
        <v>1300</v>
      </c>
      <c r="X2419" s="1149" t="s">
        <v>2167</v>
      </c>
      <c r="Y2419" s="1149" t="s">
        <v>295</v>
      </c>
      <c r="Z2419" s="1150" t="s">
        <v>296</v>
      </c>
      <c r="AA2419" s="1150" t="s">
        <v>5575</v>
      </c>
      <c r="AB2419" s="1150" t="s">
        <v>2780</v>
      </c>
      <c r="AC2419" s="1150" t="s">
        <v>1248</v>
      </c>
      <c r="AD2419" s="1150" t="s">
        <v>2002</v>
      </c>
      <c r="AE2419" s="1150" t="s">
        <v>2</v>
      </c>
      <c r="AF2419" s="1150" t="s">
        <v>4434</v>
      </c>
      <c r="AG2419" s="1150" t="s">
        <v>5407</v>
      </c>
      <c r="AH2419" s="1150" t="s">
        <v>5487</v>
      </c>
      <c r="AI2419" s="1150" t="s">
        <v>3925</v>
      </c>
      <c r="AJ2419" s="1150" t="s">
        <v>3950</v>
      </c>
      <c r="AK2419" s="1150" t="s">
        <v>3951</v>
      </c>
      <c r="AL2419" s="1150" t="s">
        <v>3026</v>
      </c>
      <c r="AM2419" s="1150" t="s">
        <v>1107</v>
      </c>
      <c r="AN2419" s="1150" t="s">
        <v>2439</v>
      </c>
      <c r="AO2419" s="1150" t="s">
        <v>160</v>
      </c>
      <c r="AP2419" s="1150" t="s">
        <v>2158</v>
      </c>
      <c r="AQ2419" s="1150" t="s">
        <v>2159</v>
      </c>
      <c r="AR2419" s="1150" t="s">
        <v>1959</v>
      </c>
      <c r="AS2419" s="1150" t="s">
        <v>2268</v>
      </c>
      <c r="AT2419" s="1150" t="s">
        <v>4435</v>
      </c>
      <c r="AU2419" s="1150" t="s">
        <v>163</v>
      </c>
      <c r="AV2419" s="1150" t="s">
        <v>4785</v>
      </c>
      <c r="AW2419" s="1150" t="s">
        <v>5314</v>
      </c>
      <c r="AX2419" s="1150" t="s">
        <v>1208</v>
      </c>
      <c r="AY2419" s="1150" t="s">
        <v>2767</v>
      </c>
      <c r="AZ2419" s="1150" t="s">
        <v>3310</v>
      </c>
      <c r="BA2419" s="1150" t="s">
        <v>1859</v>
      </c>
      <c r="BB2419" s="1150" t="s">
        <v>1020</v>
      </c>
      <c r="BC2419" s="1150" t="s">
        <v>5172</v>
      </c>
      <c r="BD2419" s="1150" t="s">
        <v>5085</v>
      </c>
      <c r="BE2419" s="1150" t="s">
        <v>937</v>
      </c>
      <c r="BF2419" s="1150" t="s">
        <v>3191</v>
      </c>
      <c r="BG2419" s="1150" t="s">
        <v>3192</v>
      </c>
      <c r="BH2419" s="1150" t="s">
        <v>4771</v>
      </c>
      <c r="BI2419" s="1150" t="s">
        <v>2674</v>
      </c>
      <c r="BJ2419" s="1150" t="s">
        <v>5083</v>
      </c>
      <c r="BK2419" s="1150" t="s">
        <v>3940</v>
      </c>
      <c r="BL2419" s="1150" t="s">
        <v>5524</v>
      </c>
      <c r="BM2419" s="1150" t="s">
        <v>4652</v>
      </c>
      <c r="BN2419" s="1150" t="s">
        <v>2210</v>
      </c>
      <c r="BO2419" s="1150" t="s">
        <v>3080</v>
      </c>
      <c r="BP2419" s="1150" t="s">
        <v>3081</v>
      </c>
      <c r="BQ2419" s="1150" t="s">
        <v>935</v>
      </c>
      <c r="BR2419" s="1150" t="s">
        <v>5584</v>
      </c>
      <c r="BS2419" s="1150" t="s">
        <v>5585</v>
      </c>
      <c r="BT2419" s="1150" t="s">
        <v>3160</v>
      </c>
      <c r="BU2419" s="1150" t="s">
        <v>2403</v>
      </c>
      <c r="BV2419" s="1150" t="s">
        <v>3194</v>
      </c>
      <c r="BW2419" s="1150" t="s">
        <v>438</v>
      </c>
      <c r="BX2419" s="1150" t="s">
        <v>1382</v>
      </c>
      <c r="BY2419" s="1150" t="s">
        <v>2047</v>
      </c>
      <c r="BZ2419" s="1150" t="s">
        <v>2454</v>
      </c>
      <c r="CA2419" s="1150" t="s">
        <v>2227</v>
      </c>
      <c r="CB2419" s="1150" t="s">
        <v>1819</v>
      </c>
      <c r="CC2419" s="1150" t="s">
        <v>5406</v>
      </c>
      <c r="CD2419" s="1150" t="s">
        <v>4169</v>
      </c>
      <c r="CE2419" s="1150" t="s">
        <v>4350</v>
      </c>
      <c r="CF2419" s="1150" t="s">
        <v>3343</v>
      </c>
      <c r="CG2419" s="1150" t="s">
        <v>5094</v>
      </c>
      <c r="CH2419" s="1150" t="s">
        <v>788</v>
      </c>
      <c r="CI2419" s="1150" t="s">
        <v>3312</v>
      </c>
      <c r="CJ2419" s="1150" t="s">
        <v>1017</v>
      </c>
      <c r="CK2419" s="1150" t="s">
        <v>4095</v>
      </c>
      <c r="CL2419" s="1150" t="s">
        <v>4096</v>
      </c>
      <c r="CM2419" s="1150" t="s">
        <v>4322</v>
      </c>
      <c r="CN2419" s="1150" t="s">
        <v>582</v>
      </c>
      <c r="CO2419" s="1150" t="s">
        <v>161</v>
      </c>
      <c r="CP2419" s="1150" t="s">
        <v>162</v>
      </c>
      <c r="CQ2419" s="1150" t="s">
        <v>557</v>
      </c>
      <c r="CR2419" s="1150" t="s">
        <v>558</v>
      </c>
      <c r="CS2419" s="1150" t="s">
        <v>759</v>
      </c>
      <c r="CT2419" s="1150" t="s">
        <v>1837</v>
      </c>
      <c r="CU2419" s="1151" t="s">
        <v>3049</v>
      </c>
      <c r="CV2419" s="1150" t="s">
        <v>3050</v>
      </c>
      <c r="CW2419" s="1150" t="s">
        <v>4061</v>
      </c>
      <c r="CX2419" s="1150" t="s">
        <v>2320</v>
      </c>
      <c r="CY2419" s="1150" t="s">
        <v>2321</v>
      </c>
      <c r="CZ2419" s="1150" t="s">
        <v>2004</v>
      </c>
      <c r="DA2419" s="1150" t="s">
        <v>5335</v>
      </c>
      <c r="DB2419" s="1150" t="s">
        <v>2884</v>
      </c>
      <c r="DC2419" s="1150" t="s">
        <v>841</v>
      </c>
      <c r="DD2419" s="1152" t="s">
        <v>842</v>
      </c>
      <c r="DE2419" s="1150" t="s">
        <v>1950</v>
      </c>
      <c r="DF2419" s="1150" t="s">
        <v>2920</v>
      </c>
      <c r="DG2419" s="1151" t="s">
        <v>1097</v>
      </c>
      <c r="DH2419" s="1150" t="s">
        <v>4770</v>
      </c>
      <c r="DI2419" s="1150" t="s">
        <v>4861</v>
      </c>
      <c r="DJ2419" s="1150" t="s">
        <v>1529</v>
      </c>
      <c r="DK2419" s="1150" t="s">
        <v>1530</v>
      </c>
      <c r="DL2419" s="1151" t="s">
        <v>1531</v>
      </c>
      <c r="DM2419" s="1150" t="s">
        <v>1532</v>
      </c>
      <c r="DN2419" s="1150" t="s">
        <v>164</v>
      </c>
      <c r="DO2419" s="1150" t="s">
        <v>3993</v>
      </c>
      <c r="DP2419" s="1150" t="s">
        <v>4171</v>
      </c>
      <c r="DQ2419" s="1150" t="s">
        <v>525</v>
      </c>
      <c r="DR2419" s="1150" t="s">
        <v>2341</v>
      </c>
      <c r="DS2419" s="1150" t="s">
        <v>5437</v>
      </c>
      <c r="DT2419" s="1150" t="s">
        <v>3766</v>
      </c>
      <c r="DU2419" s="1150" t="s">
        <v>308</v>
      </c>
      <c r="DV2419" s="1150" t="s">
        <v>3430</v>
      </c>
      <c r="DW2419" s="1150" t="s">
        <v>2398</v>
      </c>
      <c r="DX2419" s="1150" t="s">
        <v>4089</v>
      </c>
      <c r="DY2419" s="1150" t="s">
        <v>3078</v>
      </c>
    </row>
    <row r="2420" spans="1:129" ht="74.25" customHeight="1" x14ac:dyDescent="0.2">
      <c r="A2420" s="1163" t="s">
        <v>3617</v>
      </c>
    </row>
    <row r="2424" spans="1:129" x14ac:dyDescent="0.2">
      <c r="A2424" t="s">
        <v>1296</v>
      </c>
    </row>
    <row r="2425" spans="1:129" x14ac:dyDescent="0.2">
      <c r="A2425" t="s">
        <v>743</v>
      </c>
    </row>
    <row r="2426" spans="1:129" x14ac:dyDescent="0.2">
      <c r="A2426" t="s">
        <v>1067</v>
      </c>
      <c r="D2426" s="213"/>
    </row>
    <row r="2427" spans="1:129" x14ac:dyDescent="0.2">
      <c r="A2427" t="s">
        <v>936</v>
      </c>
    </row>
    <row r="2428" spans="1:129" ht="76.5" x14ac:dyDescent="0.2">
      <c r="A2428" s="2706" t="s">
        <v>3029</v>
      </c>
      <c r="B2428" s="333">
        <v>1</v>
      </c>
      <c r="C2428" s="333">
        <v>1</v>
      </c>
      <c r="D2428" s="333">
        <v>3</v>
      </c>
      <c r="E2428" s="333">
        <v>3</v>
      </c>
      <c r="F2428" s="333">
        <v>1</v>
      </c>
      <c r="G2428" s="333">
        <v>3</v>
      </c>
      <c r="H2428" s="333">
        <v>3</v>
      </c>
      <c r="I2428" s="333">
        <v>3</v>
      </c>
      <c r="J2428" s="333">
        <v>2</v>
      </c>
      <c r="K2428" s="333">
        <v>2</v>
      </c>
      <c r="L2428" s="333">
        <v>2</v>
      </c>
      <c r="M2428" s="333">
        <v>2</v>
      </c>
      <c r="N2428" s="333">
        <v>3</v>
      </c>
      <c r="O2428" s="333">
        <v>3</v>
      </c>
      <c r="P2428" s="333">
        <v>3</v>
      </c>
      <c r="Q2428" s="333">
        <v>3</v>
      </c>
      <c r="R2428" s="333">
        <v>3</v>
      </c>
      <c r="S2428" s="333">
        <v>2</v>
      </c>
      <c r="T2428" s="333">
        <v>2</v>
      </c>
      <c r="U2428" s="333">
        <v>2</v>
      </c>
      <c r="V2428" s="333">
        <v>2</v>
      </c>
      <c r="W2428" s="333">
        <v>2</v>
      </c>
      <c r="X2428" s="333">
        <v>2</v>
      </c>
      <c r="Y2428" s="333">
        <v>2</v>
      </c>
      <c r="Z2428" s="2621">
        <v>2</v>
      </c>
      <c r="AA2428" s="2621">
        <v>2</v>
      </c>
      <c r="AB2428" s="2621">
        <v>2</v>
      </c>
      <c r="AC2428" s="2621">
        <v>2</v>
      </c>
      <c r="AD2428" s="2621">
        <v>2</v>
      </c>
      <c r="AE2428" s="2621">
        <v>2</v>
      </c>
      <c r="AF2428" s="2621">
        <v>2</v>
      </c>
      <c r="AG2428" s="2621">
        <v>2</v>
      </c>
      <c r="AH2428" s="333">
        <v>3</v>
      </c>
      <c r="AI2428" s="333">
        <v>2</v>
      </c>
      <c r="AJ2428" s="333">
        <v>2</v>
      </c>
      <c r="AK2428" s="333">
        <v>2</v>
      </c>
      <c r="AL2428" s="333">
        <v>2</v>
      </c>
      <c r="AM2428" s="333">
        <v>2</v>
      </c>
      <c r="AN2428" s="333">
        <v>2</v>
      </c>
      <c r="AO2428" s="333">
        <v>2</v>
      </c>
      <c r="AP2428" s="2621">
        <v>2</v>
      </c>
      <c r="AQ2428" s="2621">
        <v>2</v>
      </c>
      <c r="AR2428" s="2621">
        <v>2</v>
      </c>
      <c r="AS2428" s="2621">
        <v>2</v>
      </c>
      <c r="AT2428" s="2621">
        <v>2</v>
      </c>
      <c r="AU2428" s="2621">
        <v>2</v>
      </c>
      <c r="AV2428" s="2621">
        <v>2</v>
      </c>
      <c r="AW2428" s="2621">
        <v>2</v>
      </c>
      <c r="AX2428" s="333">
        <v>3</v>
      </c>
      <c r="AY2428" s="333">
        <v>2</v>
      </c>
      <c r="AZ2428" s="333">
        <v>2</v>
      </c>
      <c r="BA2428" s="333">
        <v>2</v>
      </c>
      <c r="BB2428" s="333">
        <v>2</v>
      </c>
      <c r="BC2428" s="333">
        <v>2</v>
      </c>
      <c r="BD2428" s="333">
        <v>2</v>
      </c>
      <c r="BE2428" s="333">
        <v>2</v>
      </c>
      <c r="BF2428" s="2621">
        <v>2</v>
      </c>
      <c r="BG2428" s="2621">
        <v>2</v>
      </c>
      <c r="BH2428" s="2621">
        <v>2</v>
      </c>
      <c r="BI2428" s="2621">
        <v>2</v>
      </c>
      <c r="BJ2428" s="2621">
        <v>2</v>
      </c>
      <c r="BK2428" s="2621">
        <v>2</v>
      </c>
      <c r="BL2428" s="2621">
        <v>2</v>
      </c>
      <c r="BM2428" s="2621">
        <v>2</v>
      </c>
      <c r="BN2428" s="333">
        <v>3</v>
      </c>
      <c r="BO2428" s="333">
        <v>2</v>
      </c>
      <c r="BP2428" s="333">
        <v>2</v>
      </c>
      <c r="BQ2428" s="333">
        <v>2</v>
      </c>
      <c r="BR2428" s="333">
        <v>2</v>
      </c>
      <c r="BS2428" s="333">
        <v>2</v>
      </c>
      <c r="BT2428" s="333">
        <v>2</v>
      </c>
      <c r="BU2428" s="333">
        <v>2</v>
      </c>
      <c r="BV2428" s="2621">
        <v>2</v>
      </c>
      <c r="BW2428" s="2621">
        <v>2</v>
      </c>
      <c r="BX2428" s="2621">
        <v>2</v>
      </c>
      <c r="BY2428" s="2621">
        <v>2</v>
      </c>
      <c r="BZ2428" s="2621">
        <v>2</v>
      </c>
      <c r="CA2428" s="2621">
        <v>2</v>
      </c>
      <c r="CB2428" s="2621">
        <v>2</v>
      </c>
      <c r="CC2428" s="2621">
        <v>2</v>
      </c>
      <c r="CD2428" s="333">
        <v>3</v>
      </c>
      <c r="CE2428" s="333">
        <v>3</v>
      </c>
      <c r="CF2428" s="333">
        <v>3</v>
      </c>
      <c r="CG2428" s="333">
        <v>2</v>
      </c>
      <c r="CH2428" s="2621">
        <v>2</v>
      </c>
      <c r="CI2428" s="2621">
        <v>2</v>
      </c>
      <c r="CJ2428" s="2621">
        <v>2</v>
      </c>
      <c r="CK2428" s="2621">
        <v>2</v>
      </c>
      <c r="CL2428" s="2621">
        <v>2</v>
      </c>
      <c r="CM2428" s="2621">
        <v>2</v>
      </c>
      <c r="CN2428" s="2621">
        <v>2</v>
      </c>
      <c r="CO2428" s="2621">
        <v>2</v>
      </c>
      <c r="CP2428" s="2621">
        <v>2</v>
      </c>
      <c r="CQ2428" s="2621">
        <v>2</v>
      </c>
      <c r="CR2428" s="2621">
        <v>2</v>
      </c>
      <c r="CS2428" s="2621">
        <v>2</v>
      </c>
      <c r="CT2428" s="2621">
        <v>3</v>
      </c>
      <c r="CU2428" s="2621">
        <v>2</v>
      </c>
      <c r="CV2428" s="2621">
        <v>2</v>
      </c>
      <c r="CW2428" s="2621">
        <v>2</v>
      </c>
      <c r="CX2428" s="2621">
        <v>2</v>
      </c>
      <c r="CY2428" s="2621">
        <v>2</v>
      </c>
      <c r="CZ2428" s="2621">
        <v>2</v>
      </c>
      <c r="DA2428" s="2621">
        <v>2</v>
      </c>
      <c r="DB2428" s="2621">
        <v>2</v>
      </c>
      <c r="DC2428" s="2621">
        <v>2</v>
      </c>
      <c r="DD2428" s="2621">
        <v>2</v>
      </c>
      <c r="DE2428" s="2621">
        <v>2</v>
      </c>
      <c r="DF2428" s="2621">
        <v>2</v>
      </c>
      <c r="DG2428" s="2621">
        <v>2</v>
      </c>
      <c r="DH2428" s="2621">
        <v>2</v>
      </c>
      <c r="DI2428" s="2621">
        <v>2</v>
      </c>
      <c r="DJ2428" s="2621">
        <v>3</v>
      </c>
      <c r="DK2428" s="2621">
        <v>3</v>
      </c>
      <c r="DL2428" s="2621">
        <v>2</v>
      </c>
      <c r="DM2428" s="2621">
        <v>2</v>
      </c>
      <c r="DN2428" s="2621">
        <v>2</v>
      </c>
      <c r="DO2428" s="2621">
        <v>2</v>
      </c>
      <c r="DP2428" s="2621">
        <v>2</v>
      </c>
      <c r="DQ2428" s="2621">
        <v>2</v>
      </c>
      <c r="DR2428" s="2621">
        <v>2</v>
      </c>
      <c r="DS2428" s="2621">
        <v>2</v>
      </c>
      <c r="DT2428" s="2621">
        <v>2</v>
      </c>
      <c r="DU2428" s="2621">
        <v>2</v>
      </c>
      <c r="DV2428" s="2621">
        <v>2</v>
      </c>
      <c r="DW2428" s="2621">
        <v>2</v>
      </c>
      <c r="DX2428" s="2621">
        <v>2</v>
      </c>
      <c r="DY2428" s="2621">
        <v>2</v>
      </c>
    </row>
    <row r="2429" spans="1:129" x14ac:dyDescent="0.2">
      <c r="A2429" s="2706" t="s">
        <v>3030</v>
      </c>
      <c r="B2429" s="333">
        <v>1</v>
      </c>
      <c r="C2429" s="333">
        <v>1</v>
      </c>
      <c r="D2429" s="333">
        <v>1</v>
      </c>
      <c r="E2429" s="333">
        <v>1</v>
      </c>
      <c r="F2429" s="333">
        <v>2</v>
      </c>
      <c r="G2429" s="333">
        <v>2</v>
      </c>
      <c r="H2429" s="333">
        <v>2</v>
      </c>
      <c r="I2429" s="333">
        <v>2</v>
      </c>
      <c r="J2429" s="2621">
        <v>2</v>
      </c>
      <c r="K2429" s="2621">
        <v>2</v>
      </c>
      <c r="L2429" s="2621">
        <v>2</v>
      </c>
      <c r="M2429" s="2621">
        <v>2</v>
      </c>
      <c r="N2429" s="2621">
        <v>3</v>
      </c>
      <c r="O2429" s="2621">
        <v>3</v>
      </c>
      <c r="P2429" s="2621">
        <v>3</v>
      </c>
      <c r="Q2429" s="2621">
        <v>3</v>
      </c>
      <c r="R2429" s="2621">
        <v>1</v>
      </c>
      <c r="S2429" s="2621">
        <v>1</v>
      </c>
      <c r="T2429" s="2621">
        <v>1</v>
      </c>
      <c r="U2429" s="2621">
        <v>3</v>
      </c>
      <c r="V2429" s="333">
        <v>2</v>
      </c>
      <c r="W2429" s="333">
        <v>2</v>
      </c>
      <c r="X2429" s="333">
        <v>2</v>
      </c>
      <c r="Y2429" s="333">
        <v>2</v>
      </c>
      <c r="Z2429" s="2621">
        <v>2</v>
      </c>
      <c r="AA2429" s="2621">
        <v>2</v>
      </c>
      <c r="AB2429" s="2621">
        <v>2</v>
      </c>
      <c r="AC2429" s="2621">
        <v>2</v>
      </c>
      <c r="AD2429" s="2621">
        <v>3</v>
      </c>
      <c r="AE2429" s="2621">
        <v>3</v>
      </c>
      <c r="AF2429" s="2621">
        <v>3</v>
      </c>
      <c r="AG2429" s="2621">
        <v>3</v>
      </c>
      <c r="AH2429" s="2621">
        <v>1</v>
      </c>
      <c r="AI2429" s="2621">
        <v>1</v>
      </c>
      <c r="AJ2429" s="2621">
        <v>1</v>
      </c>
      <c r="AK2429" s="2621">
        <v>3</v>
      </c>
      <c r="AL2429" s="2621">
        <v>2</v>
      </c>
      <c r="AM2429" s="2621">
        <v>2</v>
      </c>
      <c r="AN2429" s="2621">
        <v>2</v>
      </c>
      <c r="AO2429" s="2621">
        <v>2</v>
      </c>
      <c r="AP2429" s="2621">
        <v>2</v>
      </c>
      <c r="AQ2429" s="2621">
        <v>2</v>
      </c>
      <c r="AR2429" s="2621">
        <v>2</v>
      </c>
      <c r="AS2429" s="2621">
        <v>2</v>
      </c>
      <c r="AT2429" s="2621">
        <v>3</v>
      </c>
      <c r="AU2429" s="2621">
        <v>3</v>
      </c>
      <c r="AV2429" s="2621">
        <v>3</v>
      </c>
      <c r="AW2429" s="2621">
        <v>3</v>
      </c>
      <c r="AX2429" s="2621">
        <v>1</v>
      </c>
      <c r="AY2429" s="2621">
        <v>1</v>
      </c>
      <c r="AZ2429" s="2621">
        <v>1</v>
      </c>
      <c r="BA2429" s="2621">
        <v>3</v>
      </c>
      <c r="BB2429" s="2621">
        <v>2</v>
      </c>
      <c r="BC2429" s="2621">
        <v>2</v>
      </c>
      <c r="BD2429" s="2621">
        <v>2</v>
      </c>
      <c r="BE2429" s="2621">
        <v>2</v>
      </c>
      <c r="BF2429" s="2621">
        <v>2</v>
      </c>
      <c r="BG2429" s="2621">
        <v>2</v>
      </c>
      <c r="BH2429" s="2621">
        <v>2</v>
      </c>
      <c r="BI2429" s="2621">
        <v>2</v>
      </c>
      <c r="BJ2429" s="2621">
        <v>3</v>
      </c>
      <c r="BK2429" s="2621">
        <v>3</v>
      </c>
      <c r="BL2429" s="2621">
        <v>3</v>
      </c>
      <c r="BM2429" s="2621">
        <v>3</v>
      </c>
      <c r="BN2429" s="2621">
        <v>1</v>
      </c>
      <c r="BO2429" s="2621">
        <v>1</v>
      </c>
      <c r="BP2429" s="2621">
        <v>1</v>
      </c>
      <c r="BQ2429" s="2621">
        <v>3</v>
      </c>
      <c r="BR2429" s="2621">
        <v>2</v>
      </c>
      <c r="BS2429" s="2621">
        <v>2</v>
      </c>
      <c r="BT2429" s="2621">
        <v>2</v>
      </c>
      <c r="BU2429" s="2621">
        <v>2</v>
      </c>
      <c r="BV2429" s="2621">
        <v>2</v>
      </c>
      <c r="BW2429" s="2621">
        <v>2</v>
      </c>
      <c r="BX2429" s="2621">
        <v>2</v>
      </c>
      <c r="BY2429" s="2621">
        <v>2</v>
      </c>
      <c r="BZ2429" s="2621">
        <v>3</v>
      </c>
      <c r="CA2429" s="2621">
        <v>3</v>
      </c>
      <c r="CB2429" s="2621">
        <v>3</v>
      </c>
      <c r="CC2429" s="2621">
        <v>3</v>
      </c>
      <c r="CD2429" s="2621">
        <v>1</v>
      </c>
      <c r="CE2429" s="2621">
        <v>1</v>
      </c>
      <c r="CF2429" s="2621">
        <v>1</v>
      </c>
      <c r="CG2429" s="2621">
        <v>3</v>
      </c>
      <c r="CH2429" s="2621">
        <v>2</v>
      </c>
      <c r="CI2429" s="2621">
        <v>2</v>
      </c>
      <c r="CJ2429" s="2621">
        <v>2</v>
      </c>
      <c r="CK2429" s="2621">
        <v>2</v>
      </c>
      <c r="CL2429" s="2621">
        <v>2</v>
      </c>
      <c r="CM2429" s="2621">
        <v>2</v>
      </c>
      <c r="CN2429" s="2621">
        <v>2</v>
      </c>
      <c r="CO2429" s="2621">
        <v>2</v>
      </c>
      <c r="CP2429" s="2621">
        <v>3</v>
      </c>
      <c r="CQ2429" s="2621">
        <v>3</v>
      </c>
      <c r="CR2429" s="2621">
        <v>3</v>
      </c>
      <c r="CS2429" s="2621">
        <v>3</v>
      </c>
      <c r="CT2429" s="2621">
        <v>2</v>
      </c>
      <c r="CU2429" s="2621">
        <v>2</v>
      </c>
      <c r="CV2429" s="2621">
        <v>2</v>
      </c>
      <c r="CW2429" s="2621">
        <v>2</v>
      </c>
      <c r="CX2429" s="2621">
        <v>2</v>
      </c>
      <c r="CY2429" s="2621">
        <v>2</v>
      </c>
      <c r="CZ2429" s="2621">
        <v>2</v>
      </c>
      <c r="DA2429" s="2621">
        <v>2</v>
      </c>
      <c r="DB2429" s="2621">
        <v>2</v>
      </c>
      <c r="DC2429" s="2621">
        <v>2</v>
      </c>
      <c r="DD2429" s="2621">
        <v>2</v>
      </c>
      <c r="DE2429" s="2621">
        <v>2</v>
      </c>
      <c r="DF2429" s="2621">
        <v>2</v>
      </c>
      <c r="DG2429" s="2621">
        <v>2</v>
      </c>
      <c r="DH2429" s="2621">
        <v>2</v>
      </c>
      <c r="DI2429" s="2621">
        <v>2</v>
      </c>
      <c r="DJ2429" s="2621">
        <v>4</v>
      </c>
      <c r="DK2429" s="2621">
        <v>4</v>
      </c>
      <c r="DL2429" s="2621">
        <v>4</v>
      </c>
      <c r="DM2429" s="2621">
        <v>4</v>
      </c>
      <c r="DN2429" s="2621">
        <v>4</v>
      </c>
      <c r="DO2429" s="2621">
        <v>4</v>
      </c>
      <c r="DP2429" s="2621">
        <v>4</v>
      </c>
      <c r="DQ2429" s="2621">
        <v>4</v>
      </c>
      <c r="DR2429" s="2621">
        <v>4</v>
      </c>
      <c r="DS2429" s="2621">
        <v>4</v>
      </c>
      <c r="DT2429" s="2621">
        <v>4</v>
      </c>
      <c r="DU2429" s="2621">
        <v>4</v>
      </c>
      <c r="DV2429" s="2621">
        <v>4</v>
      </c>
      <c r="DW2429" s="2621">
        <v>4</v>
      </c>
      <c r="DX2429" s="2621">
        <v>4</v>
      </c>
      <c r="DY2429" s="2621">
        <v>4</v>
      </c>
    </row>
    <row r="2430" spans="1:129" x14ac:dyDescent="0.2">
      <c r="A2430" s="2706" t="s">
        <v>3031</v>
      </c>
      <c r="B2430" s="1737">
        <v>1</v>
      </c>
      <c r="C2430" s="1737">
        <v>1</v>
      </c>
      <c r="D2430" s="1737">
        <v>1</v>
      </c>
      <c r="E2430" s="1737">
        <v>1</v>
      </c>
      <c r="F2430" s="1737">
        <v>1</v>
      </c>
      <c r="G2430" s="1737">
        <v>1</v>
      </c>
      <c r="H2430" s="1737">
        <v>1</v>
      </c>
      <c r="I2430" s="1737">
        <v>1</v>
      </c>
      <c r="J2430" s="2621">
        <v>1</v>
      </c>
      <c r="K2430" s="2621">
        <v>1</v>
      </c>
      <c r="L2430" s="2621">
        <v>1</v>
      </c>
      <c r="M2430" s="2621">
        <v>1</v>
      </c>
      <c r="N2430" s="2621">
        <v>1</v>
      </c>
      <c r="O2430" s="2621">
        <v>1</v>
      </c>
      <c r="P2430" s="2621">
        <v>1</v>
      </c>
      <c r="Q2430" s="2621">
        <v>1</v>
      </c>
      <c r="R2430" s="2621">
        <v>1</v>
      </c>
      <c r="S2430" s="2621">
        <v>1</v>
      </c>
      <c r="T2430" s="2621">
        <v>1</v>
      </c>
      <c r="U2430" s="2621">
        <v>1</v>
      </c>
      <c r="V2430" s="1737">
        <v>1</v>
      </c>
      <c r="W2430" s="1737">
        <v>1</v>
      </c>
      <c r="X2430" s="1737">
        <v>1</v>
      </c>
      <c r="Y2430" s="1737">
        <v>1</v>
      </c>
      <c r="Z2430" s="2621">
        <v>1</v>
      </c>
      <c r="AA2430" s="2621">
        <v>1</v>
      </c>
      <c r="AB2430" s="2621">
        <v>1</v>
      </c>
      <c r="AC2430" s="2621">
        <v>1</v>
      </c>
      <c r="AD2430" s="2621">
        <v>1</v>
      </c>
      <c r="AE2430" s="2621">
        <v>1</v>
      </c>
      <c r="AF2430" s="2621">
        <v>1</v>
      </c>
      <c r="AG2430" s="2621">
        <v>1</v>
      </c>
      <c r="AH2430" s="2621">
        <v>1</v>
      </c>
      <c r="AI2430" s="2621">
        <v>1</v>
      </c>
      <c r="AJ2430" s="2621">
        <v>1</v>
      </c>
      <c r="AK2430" s="2621">
        <v>1</v>
      </c>
      <c r="AL2430" s="2621">
        <v>0</v>
      </c>
      <c r="AM2430" s="2621">
        <v>0</v>
      </c>
      <c r="AN2430" s="2621">
        <v>0</v>
      </c>
      <c r="AO2430" s="2621">
        <v>0</v>
      </c>
      <c r="AP2430" s="2621">
        <v>0</v>
      </c>
      <c r="AQ2430" s="2621">
        <v>0</v>
      </c>
      <c r="AR2430" s="2621">
        <v>0</v>
      </c>
      <c r="AS2430" s="2621">
        <v>0</v>
      </c>
      <c r="AT2430" s="2621">
        <v>1</v>
      </c>
      <c r="AU2430" s="2621">
        <v>1</v>
      </c>
      <c r="AV2430" s="2621">
        <v>1</v>
      </c>
      <c r="AW2430" s="2621">
        <v>1</v>
      </c>
      <c r="AX2430" s="2621">
        <v>0</v>
      </c>
      <c r="AY2430" s="2621">
        <v>0</v>
      </c>
      <c r="AZ2430" s="2621">
        <v>0</v>
      </c>
      <c r="BA2430" s="2621">
        <v>0</v>
      </c>
      <c r="BB2430" s="2621">
        <v>1</v>
      </c>
      <c r="BC2430" s="2621">
        <v>1</v>
      </c>
      <c r="BD2430" s="2621">
        <v>1</v>
      </c>
      <c r="BE2430" s="2621">
        <v>1</v>
      </c>
      <c r="BF2430" s="2621">
        <v>1</v>
      </c>
      <c r="BG2430" s="2621">
        <v>1</v>
      </c>
      <c r="BH2430" s="2621">
        <v>1</v>
      </c>
      <c r="BI2430" s="2621">
        <v>1</v>
      </c>
      <c r="BJ2430" s="2621">
        <v>1</v>
      </c>
      <c r="BK2430" s="2621">
        <v>1</v>
      </c>
      <c r="BL2430" s="2621">
        <v>1</v>
      </c>
      <c r="BM2430" s="2621">
        <v>1</v>
      </c>
      <c r="BN2430" s="2621">
        <v>1</v>
      </c>
      <c r="BO2430" s="2621">
        <v>1</v>
      </c>
      <c r="BP2430" s="2621">
        <v>1</v>
      </c>
      <c r="BQ2430" s="2621">
        <v>0</v>
      </c>
      <c r="BR2430" s="2621">
        <v>1</v>
      </c>
      <c r="BS2430" s="2621">
        <v>1</v>
      </c>
      <c r="BT2430" s="2621">
        <v>1</v>
      </c>
      <c r="BU2430" s="2621">
        <v>1</v>
      </c>
      <c r="BV2430" s="2621">
        <v>1</v>
      </c>
      <c r="BW2430" s="2621">
        <v>1</v>
      </c>
      <c r="BX2430" s="2621">
        <v>1</v>
      </c>
      <c r="BY2430" s="2621">
        <v>1</v>
      </c>
      <c r="BZ2430" s="2621">
        <v>1</v>
      </c>
      <c r="CA2430" s="2621">
        <v>1</v>
      </c>
      <c r="CB2430" s="2621">
        <v>1</v>
      </c>
      <c r="CC2430" s="2621">
        <v>1</v>
      </c>
      <c r="CD2430" s="2621">
        <v>0</v>
      </c>
      <c r="CE2430" s="2621">
        <v>0</v>
      </c>
      <c r="CF2430" s="2621">
        <v>0</v>
      </c>
      <c r="CG2430" s="2621">
        <v>0</v>
      </c>
      <c r="CH2430" s="2621">
        <v>0</v>
      </c>
      <c r="CI2430" s="2621">
        <v>0</v>
      </c>
      <c r="CJ2430" s="2621">
        <v>0</v>
      </c>
      <c r="CK2430" s="2621">
        <v>0</v>
      </c>
      <c r="CL2430" s="2621">
        <v>0</v>
      </c>
      <c r="CM2430" s="2621">
        <v>0</v>
      </c>
      <c r="CN2430" s="2621">
        <v>0</v>
      </c>
      <c r="CO2430" s="2621">
        <v>0</v>
      </c>
      <c r="CP2430" s="2621">
        <v>0</v>
      </c>
      <c r="CQ2430" s="2621">
        <v>0</v>
      </c>
      <c r="CR2430" s="2621">
        <v>0</v>
      </c>
      <c r="CS2430" s="2621">
        <v>0</v>
      </c>
      <c r="CT2430" s="2621">
        <v>0</v>
      </c>
      <c r="CU2430" s="2621">
        <v>0</v>
      </c>
      <c r="CV2430" s="2621">
        <v>0</v>
      </c>
      <c r="CW2430" s="2621">
        <v>0</v>
      </c>
      <c r="CX2430" s="2621">
        <v>0</v>
      </c>
      <c r="CY2430" s="2621">
        <v>0</v>
      </c>
      <c r="CZ2430" s="2621">
        <v>0</v>
      </c>
      <c r="DA2430" s="2621">
        <v>0</v>
      </c>
      <c r="DB2430" s="2621">
        <v>0</v>
      </c>
      <c r="DC2430" s="2621">
        <v>0</v>
      </c>
      <c r="DD2430" s="2621">
        <v>0</v>
      </c>
      <c r="DE2430" s="2621">
        <v>0</v>
      </c>
      <c r="DF2430" s="2621">
        <v>0</v>
      </c>
      <c r="DG2430" s="2621">
        <v>0</v>
      </c>
      <c r="DH2430" s="2621">
        <v>0</v>
      </c>
      <c r="DI2430" s="2621">
        <v>0</v>
      </c>
      <c r="DJ2430" s="2621">
        <v>0</v>
      </c>
      <c r="DK2430" s="2621">
        <v>0</v>
      </c>
      <c r="DL2430" s="2621">
        <v>0</v>
      </c>
      <c r="DM2430" s="2621">
        <v>0</v>
      </c>
      <c r="DN2430" s="2621">
        <v>0</v>
      </c>
      <c r="DO2430" s="2621">
        <v>0</v>
      </c>
      <c r="DP2430" s="2621">
        <v>0</v>
      </c>
      <c r="DQ2430" s="2621">
        <v>0</v>
      </c>
      <c r="DR2430" s="2621">
        <v>0</v>
      </c>
      <c r="DS2430" s="2621">
        <v>0</v>
      </c>
      <c r="DT2430" s="2621">
        <v>0</v>
      </c>
      <c r="DU2430" s="2621">
        <v>0</v>
      </c>
      <c r="DV2430" s="2621">
        <v>0</v>
      </c>
      <c r="DW2430" s="2621">
        <v>0</v>
      </c>
      <c r="DX2430" s="2621">
        <v>0</v>
      </c>
      <c r="DY2430" s="2621">
        <v>0</v>
      </c>
    </row>
    <row r="2433" spans="1:9" x14ac:dyDescent="0.2">
      <c r="A2433" s="242"/>
      <c r="B2433" s="242"/>
      <c r="C2433" s="242"/>
      <c r="D2433" s="242"/>
    </row>
    <row r="2434" spans="1:9" x14ac:dyDescent="0.2">
      <c r="A2434" t="s">
        <v>3963</v>
      </c>
      <c r="B2434" s="213" t="str">
        <f>B404</f>
        <v/>
      </c>
      <c r="D2434" s="242"/>
    </row>
    <row r="2435" spans="1:9" x14ac:dyDescent="0.2">
      <c r="A2435" t="s">
        <v>3038</v>
      </c>
      <c r="B2435" s="213" t="str">
        <f>B178</f>
        <v/>
      </c>
      <c r="D2435" s="242"/>
    </row>
    <row r="2436" spans="1:9" x14ac:dyDescent="0.2">
      <c r="A2436" t="s">
        <v>3162</v>
      </c>
      <c r="B2436" s="2630" t="e">
        <f>B2291</f>
        <v>#VALUE!</v>
      </c>
      <c r="D2436" s="242"/>
    </row>
    <row r="2437" spans="1:9" x14ac:dyDescent="0.2">
      <c r="A2437" t="s">
        <v>3039</v>
      </c>
      <c r="B2437" s="213" t="e">
        <f>B210*10</f>
        <v>#VALUE!</v>
      </c>
      <c r="D2437" s="242"/>
    </row>
    <row r="2438" spans="1:9" x14ac:dyDescent="0.2">
      <c r="D2438" s="242"/>
    </row>
    <row r="2439" spans="1:9" x14ac:dyDescent="0.2">
      <c r="A2439" t="s">
        <v>4445</v>
      </c>
      <c r="B2439" s="213" t="str">
        <f>B217</f>
        <v/>
      </c>
      <c r="D2439" s="242"/>
    </row>
    <row r="2440" spans="1:9" x14ac:dyDescent="0.2">
      <c r="A2440" t="s">
        <v>4446</v>
      </c>
      <c r="B2440" s="213" t="str">
        <f>B216</f>
        <v/>
      </c>
      <c r="D2440" s="242"/>
    </row>
    <row r="2441" spans="1:9" x14ac:dyDescent="0.2">
      <c r="A2441" t="s">
        <v>4447</v>
      </c>
      <c r="B2441" s="213">
        <f>IF(B220=1,0,1)</f>
        <v>1</v>
      </c>
      <c r="D2441" s="242"/>
    </row>
    <row r="2442" spans="1:9" x14ac:dyDescent="0.2">
      <c r="A2442" s="217" t="s">
        <v>4448</v>
      </c>
      <c r="B2442" s="213" t="str">
        <f>B237</f>
        <v/>
      </c>
      <c r="D2442" s="242"/>
    </row>
    <row r="2443" spans="1:9" x14ac:dyDescent="0.2">
      <c r="A2443" t="s">
        <v>3768</v>
      </c>
      <c r="B2443" s="213" t="str">
        <f>B236</f>
        <v/>
      </c>
      <c r="D2443" s="242"/>
    </row>
    <row r="2444" spans="1:9" x14ac:dyDescent="0.2">
      <c r="D2444" s="242"/>
    </row>
    <row r="2445" spans="1:9" ht="13.5" thickBot="1" x14ac:dyDescent="0.25">
      <c r="A2445" s="213" t="s">
        <v>3769</v>
      </c>
      <c r="B2445" s="213" t="e">
        <f>0.025*B2436/B2437</f>
        <v>#VALUE!</v>
      </c>
      <c r="D2445" s="242"/>
    </row>
    <row r="2446" spans="1:9" ht="13.5" thickBot="1" x14ac:dyDescent="0.25">
      <c r="A2446" s="242"/>
      <c r="B2446" s="242"/>
      <c r="C2446" s="242"/>
      <c r="D2446" s="242"/>
      <c r="F2446" s="412" t="s">
        <v>4851</v>
      </c>
      <c r="G2446" s="4338" t="s">
        <v>5602</v>
      </c>
      <c r="H2446" s="4339"/>
      <c r="I2446" s="62"/>
    </row>
    <row r="2447" spans="1:9" ht="13.5" thickBot="1" x14ac:dyDescent="0.25">
      <c r="F2447" s="415"/>
      <c r="G2447" s="416" t="s">
        <v>3981</v>
      </c>
      <c r="H2447" s="417" t="s">
        <v>3982</v>
      </c>
      <c r="I2447" s="418"/>
    </row>
    <row r="2448" spans="1:9" x14ac:dyDescent="0.2">
      <c r="F2448" s="419" t="s">
        <v>4852</v>
      </c>
      <c r="G2448" s="79">
        <v>0.75</v>
      </c>
      <c r="H2448" s="420">
        <v>0.95</v>
      </c>
      <c r="I2448" s="421"/>
    </row>
    <row r="2449" spans="2:21" x14ac:dyDescent="0.2">
      <c r="F2449" s="422" t="s">
        <v>4853</v>
      </c>
      <c r="G2449" s="80">
        <v>0.75</v>
      </c>
      <c r="H2449" s="420">
        <v>1.3</v>
      </c>
      <c r="I2449" s="421"/>
    </row>
    <row r="2450" spans="2:21" x14ac:dyDescent="0.2">
      <c r="F2450" s="422" t="s">
        <v>4854</v>
      </c>
      <c r="G2450" s="80">
        <v>0.85</v>
      </c>
      <c r="H2450" s="420">
        <v>1.2</v>
      </c>
      <c r="I2450" s="421"/>
    </row>
    <row r="2451" spans="2:21" x14ac:dyDescent="0.2">
      <c r="F2451" s="422" t="s">
        <v>4855</v>
      </c>
      <c r="G2451" s="80">
        <v>0.8</v>
      </c>
      <c r="H2451" s="420">
        <v>1.1000000000000001</v>
      </c>
      <c r="I2451" s="421"/>
    </row>
    <row r="2452" spans="2:21" x14ac:dyDescent="0.2">
      <c r="F2452" s="422" t="s">
        <v>2777</v>
      </c>
      <c r="G2452" s="80">
        <v>0.95</v>
      </c>
      <c r="H2452" s="420">
        <v>1.3</v>
      </c>
      <c r="I2452" s="421"/>
    </row>
    <row r="2453" spans="2:21" x14ac:dyDescent="0.2">
      <c r="F2453" s="422" t="s">
        <v>4856</v>
      </c>
      <c r="G2453" s="80">
        <v>1.1499999999999999</v>
      </c>
      <c r="H2453" s="420">
        <v>1.95</v>
      </c>
      <c r="I2453" s="421"/>
    </row>
    <row r="2454" spans="2:21" x14ac:dyDescent="0.2">
      <c r="F2454" s="422" t="s">
        <v>4857</v>
      </c>
      <c r="G2454" s="80">
        <v>1.1499999999999999</v>
      </c>
      <c r="H2454" s="420">
        <v>1.95</v>
      </c>
      <c r="I2454" s="421"/>
    </row>
    <row r="2455" spans="2:21" x14ac:dyDescent="0.2">
      <c r="F2455" s="422" t="s">
        <v>4858</v>
      </c>
      <c r="G2455" s="80">
        <v>0.8</v>
      </c>
      <c r="H2455" s="420">
        <v>2</v>
      </c>
      <c r="I2455" s="421"/>
    </row>
    <row r="2456" spans="2:21" x14ac:dyDescent="0.2">
      <c r="F2456" s="422" t="s">
        <v>4859</v>
      </c>
      <c r="G2456" s="80">
        <v>1.1499999999999999</v>
      </c>
      <c r="H2456" s="420">
        <v>2</v>
      </c>
      <c r="I2456" s="421"/>
    </row>
    <row r="2457" spans="2:21" x14ac:dyDescent="0.2">
      <c r="F2457" s="422" t="s">
        <v>4860</v>
      </c>
      <c r="G2457" s="80">
        <v>1.35</v>
      </c>
      <c r="H2457" s="420">
        <v>2.5</v>
      </c>
      <c r="I2457" s="421"/>
    </row>
    <row r="2458" spans="2:21" x14ac:dyDescent="0.2">
      <c r="F2458" s="422" t="s">
        <v>2060</v>
      </c>
      <c r="G2458" s="80">
        <v>1.6</v>
      </c>
      <c r="H2458" s="420">
        <v>2.2000000000000002</v>
      </c>
      <c r="I2458" s="421"/>
    </row>
    <row r="2459" spans="2:21" x14ac:dyDescent="0.2">
      <c r="F2459" s="422" t="s">
        <v>712</v>
      </c>
      <c r="G2459" s="80">
        <v>1.1000000000000001</v>
      </c>
      <c r="H2459" s="420">
        <v>2.35</v>
      </c>
      <c r="I2459" s="421"/>
    </row>
    <row r="2460" spans="2:21" ht="13.5" thickBot="1" x14ac:dyDescent="0.25">
      <c r="F2460" s="426" t="s">
        <v>524</v>
      </c>
      <c r="G2460" s="427">
        <v>1.2</v>
      </c>
      <c r="H2460" s="420">
        <v>4.5</v>
      </c>
      <c r="I2460" s="428"/>
    </row>
    <row r="2463" spans="2:21" x14ac:dyDescent="0.2">
      <c r="B2463" s="2878"/>
      <c r="C2463" s="346"/>
      <c r="D2463" s="346"/>
      <c r="E2463" s="346"/>
      <c r="F2463" s="346"/>
      <c r="G2463" s="346"/>
      <c r="H2463" s="346"/>
      <c r="I2463" s="346"/>
      <c r="J2463" s="346"/>
      <c r="K2463" s="346"/>
      <c r="L2463" s="346"/>
      <c r="M2463" s="346"/>
      <c r="N2463" s="346"/>
      <c r="O2463" s="346"/>
      <c r="P2463" s="346"/>
      <c r="Q2463" s="346"/>
      <c r="R2463" s="346"/>
      <c r="S2463" s="346"/>
      <c r="T2463" s="346"/>
      <c r="U2463" s="346"/>
    </row>
    <row r="2464" spans="2:21" x14ac:dyDescent="0.2">
      <c r="B2464" s="795"/>
      <c r="C2464" s="795"/>
      <c r="D2464" s="795"/>
      <c r="E2464" s="795"/>
      <c r="F2464" s="795"/>
      <c r="G2464" s="795"/>
      <c r="H2464" s="795"/>
      <c r="I2464" s="795"/>
      <c r="J2464" s="795"/>
      <c r="K2464" s="795"/>
      <c r="L2464" s="795"/>
      <c r="M2464" s="795"/>
      <c r="N2464" s="795"/>
      <c r="O2464" s="795"/>
      <c r="P2464" s="795"/>
      <c r="Q2464" s="795"/>
      <c r="R2464" s="795"/>
      <c r="S2464" s="795"/>
      <c r="T2464" s="795"/>
      <c r="U2464" s="795"/>
    </row>
    <row r="2465" spans="1:23" x14ac:dyDescent="0.2">
      <c r="A2465" s="2879"/>
      <c r="B2465" s="241"/>
      <c r="C2465" s="241"/>
      <c r="D2465" s="241"/>
      <c r="E2465" s="241"/>
      <c r="F2465" s="241"/>
      <c r="G2465" s="241"/>
      <c r="H2465" s="241"/>
      <c r="I2465" s="241"/>
      <c r="J2465" s="241"/>
      <c r="K2465" s="241"/>
      <c r="L2465" s="241"/>
      <c r="M2465" s="241"/>
      <c r="N2465" s="241"/>
      <c r="O2465" s="241"/>
      <c r="P2465" s="241"/>
      <c r="Q2465" s="241"/>
      <c r="R2465" s="241"/>
      <c r="S2465" s="241"/>
      <c r="T2465" s="241"/>
      <c r="U2465" s="241"/>
    </row>
    <row r="2466" spans="1:23" ht="14.25" x14ac:dyDescent="0.2">
      <c r="B2466" s="2881"/>
      <c r="C2466" s="795"/>
      <c r="D2466" s="795"/>
      <c r="E2466" s="795"/>
      <c r="F2466" s="795"/>
      <c r="G2466" s="795"/>
      <c r="H2466" s="795"/>
      <c r="I2466" s="795"/>
      <c r="J2466" s="795"/>
      <c r="K2466" s="795"/>
      <c r="L2466" s="795"/>
      <c r="M2466" s="795"/>
      <c r="N2466" s="795"/>
      <c r="O2466" s="795"/>
      <c r="P2466" s="795"/>
      <c r="Q2466" s="795"/>
      <c r="R2466" s="795"/>
      <c r="S2466" s="795"/>
      <c r="T2466" s="795"/>
      <c r="U2466" s="795"/>
      <c r="W2466" s="2882"/>
    </row>
    <row r="2467" spans="1:23" ht="15.75" x14ac:dyDescent="0.25">
      <c r="A2467" s="2880"/>
      <c r="B2467" s="2881"/>
      <c r="C2467" s="795"/>
      <c r="D2467" s="2881"/>
      <c r="E2467" s="795"/>
      <c r="F2467" s="2881"/>
      <c r="G2467" s="795"/>
      <c r="H2467" s="2881"/>
      <c r="I2467" s="795"/>
      <c r="J2467" s="2881"/>
      <c r="K2467" s="795"/>
      <c r="L2467" s="2881"/>
      <c r="M2467" s="795"/>
      <c r="N2467" s="2881"/>
      <c r="O2467" s="795"/>
      <c r="P2467" s="2881"/>
      <c r="Q2467" s="795"/>
      <c r="R2467" s="2881"/>
      <c r="S2467" s="795"/>
      <c r="T2467" s="2881"/>
      <c r="U2467" s="795"/>
    </row>
    <row r="2468" spans="1:23" ht="15.75" x14ac:dyDescent="0.25">
      <c r="A2468" s="2880"/>
      <c r="B2468" s="2881"/>
      <c r="C2468" s="795"/>
      <c r="D2468" s="2881"/>
      <c r="E2468" s="2881"/>
      <c r="F2468" s="795"/>
      <c r="G2468" s="2881"/>
      <c r="H2468" s="2881"/>
      <c r="I2468" s="795"/>
      <c r="J2468" s="2881"/>
      <c r="K2468" s="2881"/>
      <c r="L2468" s="795"/>
      <c r="M2468" s="2881"/>
      <c r="N2468" s="2881"/>
      <c r="O2468" s="795"/>
      <c r="P2468" s="2881"/>
      <c r="Q2468" s="2881"/>
      <c r="R2468" s="795"/>
      <c r="S2468" s="2881"/>
      <c r="T2468" s="2881"/>
      <c r="U2468" s="795"/>
      <c r="V2468" s="2533"/>
      <c r="W2468" s="2882"/>
    </row>
    <row r="2469" spans="1:23" ht="15.75" x14ac:dyDescent="0.25">
      <c r="A2469" s="2880"/>
      <c r="B2469" s="2881"/>
      <c r="C2469" s="795"/>
      <c r="D2469" s="2881"/>
      <c r="E2469" s="795"/>
      <c r="F2469" s="2881"/>
      <c r="G2469" s="795"/>
      <c r="H2469" s="2881"/>
      <c r="I2469" s="795"/>
      <c r="J2469" s="2881"/>
      <c r="K2469" s="795"/>
      <c r="L2469" s="2881"/>
      <c r="M2469" s="795"/>
      <c r="N2469" s="2881"/>
      <c r="O2469" s="795"/>
      <c r="P2469" s="2881"/>
      <c r="Q2469" s="795"/>
      <c r="R2469" s="2881"/>
      <c r="S2469" s="795"/>
      <c r="T2469" s="2881"/>
      <c r="U2469" s="795"/>
    </row>
    <row r="2470" spans="1:23" ht="15.75" x14ac:dyDescent="0.25">
      <c r="A2470" s="2883"/>
      <c r="B2470" s="2881"/>
      <c r="C2470" s="795"/>
      <c r="D2470" s="2881"/>
      <c r="E2470" s="795"/>
      <c r="F2470" s="2881"/>
      <c r="G2470" s="795"/>
      <c r="H2470" s="2881"/>
      <c r="I2470" s="795"/>
      <c r="J2470" s="2881"/>
      <c r="K2470" s="795"/>
      <c r="L2470" s="2881"/>
      <c r="M2470" s="795"/>
      <c r="N2470" s="2881"/>
      <c r="O2470" s="795"/>
      <c r="P2470" s="2881"/>
      <c r="Q2470" s="795"/>
      <c r="R2470" s="2881"/>
      <c r="S2470" s="795"/>
      <c r="T2470" s="2881"/>
      <c r="U2470" s="795"/>
      <c r="W2470" s="2882"/>
    </row>
    <row r="2471" spans="1:23" ht="15.75" x14ac:dyDescent="0.25">
      <c r="A2471" s="2883"/>
      <c r="B2471" s="2885"/>
      <c r="C2471" s="795"/>
      <c r="D2471" s="795"/>
      <c r="E2471" s="795"/>
      <c r="F2471" s="795"/>
      <c r="G2471" s="795"/>
      <c r="H2471" s="795"/>
      <c r="I2471" s="795"/>
      <c r="J2471" s="795"/>
      <c r="K2471" s="795"/>
      <c r="L2471" s="795"/>
      <c r="M2471" s="795"/>
      <c r="N2471" s="795"/>
      <c r="O2471" s="795"/>
      <c r="P2471" s="795"/>
      <c r="Q2471" s="795"/>
      <c r="R2471" s="795"/>
      <c r="S2471" s="795"/>
      <c r="T2471" s="795"/>
      <c r="U2471" s="795"/>
    </row>
    <row r="2472" spans="1:23" ht="15.75" x14ac:dyDescent="0.25">
      <c r="A2472" s="2884"/>
    </row>
    <row r="2549" spans="1:2" ht="13.5" x14ac:dyDescent="0.25">
      <c r="B2549" s="2619"/>
    </row>
    <row r="2550" spans="1:2" x14ac:dyDescent="0.2">
      <c r="A2550" s="2618"/>
      <c r="B2550" s="2621"/>
    </row>
    <row r="2551" spans="1:2" x14ac:dyDescent="0.2">
      <c r="A2551" s="2620"/>
      <c r="B2551" s="2623"/>
    </row>
    <row r="2552" spans="1:2" x14ac:dyDescent="0.2">
      <c r="A2552" s="2622"/>
      <c r="B2552" s="2625"/>
    </row>
    <row r="2553" spans="1:2" ht="13.5" x14ac:dyDescent="0.25">
      <c r="A2553" s="2624"/>
      <c r="B2553" s="2619"/>
    </row>
    <row r="2554" spans="1:2" ht="13.5" x14ac:dyDescent="0.25">
      <c r="A2554" s="2618"/>
      <c r="B2554" s="2619"/>
    </row>
    <row r="2555" spans="1:2" ht="13.5" x14ac:dyDescent="0.25">
      <c r="A2555" s="2618"/>
      <c r="B2555" s="2619"/>
    </row>
    <row r="2556" spans="1:2" ht="13.5" x14ac:dyDescent="0.25">
      <c r="A2556" s="2618"/>
      <c r="B2556" s="2619"/>
    </row>
    <row r="2557" spans="1:2" ht="13.5" x14ac:dyDescent="0.25">
      <c r="A2557" s="2618"/>
      <c r="B2557" s="2619"/>
    </row>
    <row r="2558" spans="1:2" ht="13.5" x14ac:dyDescent="0.25">
      <c r="A2558" s="2618"/>
      <c r="B2558" s="2619"/>
    </row>
    <row r="2559" spans="1:2" ht="13.5" x14ac:dyDescent="0.25">
      <c r="A2559" s="2618"/>
      <c r="B2559" s="2619"/>
    </row>
    <row r="2560" spans="1:2" ht="13.5" x14ac:dyDescent="0.25">
      <c r="A2560" s="2618"/>
      <c r="B2560" s="2619"/>
    </row>
    <row r="2561" spans="1:2" ht="13.5" x14ac:dyDescent="0.25">
      <c r="A2561" s="2618"/>
      <c r="B2561" s="2619"/>
    </row>
    <row r="2562" spans="1:2" x14ac:dyDescent="0.2">
      <c r="A2562" s="2618"/>
    </row>
  </sheetData>
  <mergeCells count="3">
    <mergeCell ref="G2446:H2446"/>
    <mergeCell ref="C1872:F1872"/>
    <mergeCell ref="A888:B888"/>
  </mergeCells>
  <phoneticPr fontId="20" type="noConversion"/>
  <dataValidations count="4">
    <dataValidation allowBlank="1" showInputMessage="1" showErrorMessage="1" error="Внимательнее !!!!" sqref="V2429:Y2429 B2429:I2429"/>
    <dataValidation type="decimal" allowBlank="1" showInputMessage="1" showErrorMessage="1" sqref="V2430:Y2430 B2430:I2430">
      <formula1>0</formula1>
      <formula2>1</formula2>
    </dataValidation>
    <dataValidation allowBlank="1" showInputMessage="1" showErrorMessage="1" error="Думай, Вася, думай!!!" sqref="D316:J316 B315:B316 B347:B349 C322:C344 C312:C313 C292:C300 D275 C274 C265:C272 B277:B283 B302:B309 B317:J319 C286 C288:C289"/>
    <dataValidation type="whole" allowBlank="1" showInputMessage="1" showErrorMessage="1" sqref="C2159:C2190 C2136:C2157 C2192:C2196 C2244:C2249 C1862:C1869 C1874:C1934 C1937:C2045 C2056:C2134">
      <formula1>0</formula1>
      <formula2>1</formula2>
    </dataValidation>
  </dataValidations>
  <hyperlinks>
    <hyperlink ref="A429" location="обор!A1" display="ВЫБОР ОБОРУДОВАНИЯ ЛАВЫ"/>
    <hyperlink ref="A972" location="ком!A1" display="ком!A1"/>
    <hyperlink ref="A973" location="стр!A1" display="стр!A1"/>
    <hyperlink ref="A1426" location="'шт-кинд'!A1" display="'шт-кинд'!A1"/>
    <hyperlink ref="A1134" location="Оптимизация!A1" display="          Переходите к выбору параметров технологии"/>
    <hyperlink ref="A2204" location="kursovoy!A170" display="kursovoy!A170"/>
    <hyperlink ref="A1425" location="'шт-кмех'!A1" display="'шт-кмех'!A1"/>
    <hyperlink ref="A132" location="kursovoy!A1" display="kursovoy!A1"/>
    <hyperlink ref="A244" location="kursovoy!A271" display="kursovoy!A271"/>
    <hyperlink ref="A286" location="kursovoy!A307" display="kursovoy!A307"/>
    <hyperlink ref="A322" location="kursovoy!A335" display="kursovoy!A335"/>
    <hyperlink ref="A341" location="kursovoy!A341" display="kursovoy!A341"/>
    <hyperlink ref="A353" location="kursovoy!A432" display="kursovoy!A432"/>
    <hyperlink ref="A543" location="kursovoy!A532" display="kursovoy!A532"/>
    <hyperlink ref="A562" location="kursovoy!A855" display="kursovoy!A855"/>
    <hyperlink ref="A886" location="kursovoy!A960" display="kursovoy!A960"/>
    <hyperlink ref="A912" location="kursovoy!A1006" display="kursovoy!A1006"/>
    <hyperlink ref="A963" location="kursovoy!A1035" display="kursovoy!A1035"/>
    <hyperlink ref="A306" location="kursovoy!A310" display="kursovoy!A310"/>
    <hyperlink ref="A1014" location="kursovoy!A1082" display="kursovoy!A1082"/>
    <hyperlink ref="A1068" location="kursovoy!A1130" display="kursovoy!A1130"/>
    <hyperlink ref="A1097" location="kursovoy!A1156" display="kursovoy!A1156"/>
    <hyperlink ref="A1111" location="kursovoy!A1171" display="kursovoy!A1171"/>
    <hyperlink ref="A1122" location="kursovoy!A1195" display="kursovoy!A1195"/>
    <hyperlink ref="A1209" location="kursovoy!A1273" display="kursovoy!A1273"/>
    <hyperlink ref="A1222" location="kursovoy!A1311" display="kursovoy!A1311"/>
    <hyperlink ref="A1264" location="kursovoy!A1494" display="kursovoy!A1494"/>
    <hyperlink ref="A1517" location="kursovoy!A1586" display="kursovoy!A1586"/>
    <hyperlink ref="A1537" location="kursovoy!A1602" display="kursovoy!A1602"/>
    <hyperlink ref="A1559" location="kursovoy!A1717" display="kursovoy!A1717"/>
    <hyperlink ref="A1664" location="kursovoy!A1735" display="kursovoy!A1735"/>
    <hyperlink ref="A1684" location="kursovoy!A1759" display="kursovoy!A1759"/>
    <hyperlink ref="A1715" location="kursovoy!A1819" display="kursovoy!A1819"/>
    <hyperlink ref="A1774" location="kursovoy!A1873" display="kursovoy!A1873"/>
    <hyperlink ref="A1846" location="kursovoy!A2160" display="kursovoy!A2160"/>
    <hyperlink ref="A2139" location="kursovoy!A2260" display="kursovoy!A2260"/>
    <hyperlink ref="A2206" location="kursovoy!A1" display="Перенос данных в пояснительную записку окончен.   Оформляйте пояснительную записку"/>
    <hyperlink ref="A824" location="kursovoy!A965" display="kursovoy!A965"/>
  </hyperlinks>
  <pageMargins left="0.75" right="0.75" top="1" bottom="1" header="0.5" footer="0.5"/>
  <pageSetup paperSize="9" orientation="portrait" horizontalDpi="300" r:id="rId1"/>
  <headerFooter alignWithMargins="0"/>
  <drawing r:id="rId2"/>
  <legacyDrawing r:id="rId3"/>
  <oleObjects>
    <mc:AlternateContent xmlns:mc="http://schemas.openxmlformats.org/markup-compatibility/2006">
      <mc:Choice Requires="x14">
        <oleObject progId="Equation.3" shapeId="29340" r:id="rId4">
          <objectPr defaultSize="0" autoPict="0" r:id="rId5">
            <anchor moveWithCells="1" sizeWithCells="1">
              <from>
                <xdr:col>0</xdr:col>
                <xdr:colOff>2533650</xdr:colOff>
                <xdr:row>274</xdr:row>
                <xdr:rowOff>180975</xdr:rowOff>
              </from>
              <to>
                <xdr:col>0</xdr:col>
                <xdr:colOff>4410075</xdr:colOff>
                <xdr:row>276</xdr:row>
                <xdr:rowOff>28575</xdr:rowOff>
              </to>
            </anchor>
          </objectPr>
        </oleObject>
      </mc:Choice>
      <mc:Fallback>
        <oleObject progId="Equation.3" shapeId="29340" r:id="rId4"/>
      </mc:Fallback>
    </mc:AlternateContent>
    <mc:AlternateContent xmlns:mc="http://schemas.openxmlformats.org/markup-compatibility/2006">
      <mc:Choice Requires="x14">
        <oleObject progId="Equation.3" shapeId="29342" r:id="rId6">
          <objectPr defaultSize="0" autoPict="0" r:id="rId7">
            <anchor moveWithCells="1" sizeWithCells="1">
              <from>
                <xdr:col>0</xdr:col>
                <xdr:colOff>2619375</xdr:colOff>
                <xdr:row>276</xdr:row>
                <xdr:rowOff>390525</xdr:rowOff>
              </from>
              <to>
                <xdr:col>0</xdr:col>
                <xdr:colOff>4181475</xdr:colOff>
                <xdr:row>278</xdr:row>
                <xdr:rowOff>9525</xdr:rowOff>
              </to>
            </anchor>
          </objectPr>
        </oleObject>
      </mc:Choice>
      <mc:Fallback>
        <oleObject progId="Equation.3" shapeId="29342" r:id="rId6"/>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3452"/>
  <sheetViews>
    <sheetView zoomScale="120" workbookViewId="0">
      <selection activeCell="D51" sqref="D51"/>
    </sheetView>
  </sheetViews>
  <sheetFormatPr defaultRowHeight="12.75" x14ac:dyDescent="0.2"/>
  <cols>
    <col min="1" max="1" width="67.140625" customWidth="1"/>
    <col min="2" max="2" width="11.28515625" customWidth="1"/>
    <col min="3" max="3" width="13.28515625" customWidth="1"/>
    <col min="4" max="4" width="10.7109375" bestFit="1" customWidth="1"/>
    <col min="29" max="29" width="11.5703125" customWidth="1"/>
  </cols>
  <sheetData>
    <row r="1" spans="1:1" ht="18.75" x14ac:dyDescent="0.3">
      <c r="A1" s="4298"/>
    </row>
    <row r="2" spans="1:1" ht="18" x14ac:dyDescent="0.25">
      <c r="A2" s="309" t="s">
        <v>5784</v>
      </c>
    </row>
    <row r="3" spans="1:1" ht="15.75" x14ac:dyDescent="0.25">
      <c r="A3" s="2464" t="s">
        <v>6647</v>
      </c>
    </row>
    <row r="4" spans="1:1" ht="15.75" x14ac:dyDescent="0.25">
      <c r="A4" s="345" t="s">
        <v>6620</v>
      </c>
    </row>
    <row r="5" spans="1:1" ht="15.75" x14ac:dyDescent="0.25">
      <c r="A5" s="818" t="s">
        <v>6621</v>
      </c>
    </row>
    <row r="6" spans="1:1" ht="15.75" x14ac:dyDescent="0.25">
      <c r="A6" s="818" t="s">
        <v>6636</v>
      </c>
    </row>
    <row r="7" spans="1:1" ht="15" x14ac:dyDescent="0.2">
      <c r="A7" s="892" t="s">
        <v>6622</v>
      </c>
    </row>
    <row r="8" spans="1:1" ht="15" x14ac:dyDescent="0.2">
      <c r="A8" s="892" t="s">
        <v>6637</v>
      </c>
    </row>
    <row r="9" spans="1:1" ht="15" x14ac:dyDescent="0.2">
      <c r="A9" s="892" t="s">
        <v>6639</v>
      </c>
    </row>
    <row r="10" spans="1:1" ht="15" x14ac:dyDescent="0.2">
      <c r="A10" s="892" t="s">
        <v>6638</v>
      </c>
    </row>
    <row r="11" spans="1:1" ht="15.75" x14ac:dyDescent="0.25">
      <c r="A11" s="345" t="s">
        <v>6867</v>
      </c>
    </row>
    <row r="12" spans="1:1" ht="15" x14ac:dyDescent="0.2">
      <c r="A12" s="892" t="s">
        <v>6623</v>
      </c>
    </row>
    <row r="13" spans="1:1" ht="15" x14ac:dyDescent="0.2">
      <c r="A13" s="892" t="s">
        <v>6624</v>
      </c>
    </row>
    <row r="14" spans="1:1" ht="15" x14ac:dyDescent="0.2">
      <c r="A14" s="892" t="s">
        <v>6625</v>
      </c>
    </row>
    <row r="15" spans="1:1" ht="15" x14ac:dyDescent="0.2">
      <c r="A15" s="892" t="s">
        <v>6626</v>
      </c>
    </row>
    <row r="16" spans="1:1" ht="15" x14ac:dyDescent="0.2">
      <c r="A16" s="892" t="s">
        <v>6628</v>
      </c>
    </row>
    <row r="17" spans="1:1" ht="15" x14ac:dyDescent="0.2">
      <c r="A17" s="892" t="s">
        <v>6627</v>
      </c>
    </row>
    <row r="18" spans="1:1" ht="15.75" x14ac:dyDescent="0.25">
      <c r="A18" s="345" t="s">
        <v>6868</v>
      </c>
    </row>
    <row r="19" spans="1:1" ht="15.75" x14ac:dyDescent="0.25">
      <c r="A19" s="345" t="s">
        <v>6630</v>
      </c>
    </row>
    <row r="20" spans="1:1" ht="15" x14ac:dyDescent="0.2">
      <c r="A20" s="892" t="s">
        <v>6631</v>
      </c>
    </row>
    <row r="21" spans="1:1" ht="15" x14ac:dyDescent="0.2">
      <c r="A21" s="892" t="s">
        <v>6632</v>
      </c>
    </row>
    <row r="22" spans="1:1" ht="15" x14ac:dyDescent="0.2">
      <c r="A22" s="892" t="s">
        <v>6633</v>
      </c>
    </row>
    <row r="23" spans="1:1" ht="15" x14ac:dyDescent="0.2">
      <c r="A23" s="892" t="s">
        <v>6634</v>
      </c>
    </row>
    <row r="24" spans="1:1" ht="15" x14ac:dyDescent="0.2">
      <c r="A24" s="892" t="s">
        <v>6635</v>
      </c>
    </row>
    <row r="25" spans="1:1" ht="15.75" x14ac:dyDescent="0.25">
      <c r="A25" s="345" t="s">
        <v>6869</v>
      </c>
    </row>
    <row r="26" spans="1:1" ht="15" x14ac:dyDescent="0.2">
      <c r="A26" s="892" t="s">
        <v>6641</v>
      </c>
    </row>
    <row r="27" spans="1:1" ht="15" x14ac:dyDescent="0.2">
      <c r="A27" s="892" t="s">
        <v>6640</v>
      </c>
    </row>
    <row r="28" spans="1:1" ht="15" x14ac:dyDescent="0.2">
      <c r="A28" s="892" t="s">
        <v>6642</v>
      </c>
    </row>
    <row r="29" spans="1:1" ht="15" x14ac:dyDescent="0.2">
      <c r="A29" s="892" t="s">
        <v>6644</v>
      </c>
    </row>
    <row r="30" spans="1:1" ht="15" x14ac:dyDescent="0.2">
      <c r="A30" s="892" t="s">
        <v>6643</v>
      </c>
    </row>
    <row r="31" spans="1:1" ht="15" x14ac:dyDescent="0.2">
      <c r="A31" s="892" t="s">
        <v>6646</v>
      </c>
    </row>
    <row r="32" spans="1:1" ht="15" x14ac:dyDescent="0.2">
      <c r="A32" s="892" t="s">
        <v>6645</v>
      </c>
    </row>
    <row r="33" spans="1:5" ht="15.75" x14ac:dyDescent="0.25">
      <c r="A33" s="345"/>
    </row>
    <row r="34" spans="1:5" ht="15.75" x14ac:dyDescent="0.25">
      <c r="A34" s="4070" t="s">
        <v>6648</v>
      </c>
    </row>
    <row r="35" spans="1:5" s="8" customFormat="1" ht="15.75" x14ac:dyDescent="0.25">
      <c r="A35" s="829" t="s">
        <v>5000</v>
      </c>
    </row>
    <row r="36" spans="1:5" s="8" customFormat="1" ht="15.75" x14ac:dyDescent="0.25">
      <c r="A36" s="829" t="s">
        <v>4177</v>
      </c>
    </row>
    <row r="37" spans="1:5" s="8" customFormat="1" ht="15.75" x14ac:dyDescent="0.25">
      <c r="A37" s="829" t="s">
        <v>3134</v>
      </c>
    </row>
    <row r="38" spans="1:5" ht="18.75" x14ac:dyDescent="0.3">
      <c r="A38" s="3115" t="s">
        <v>4493</v>
      </c>
    </row>
    <row r="39" spans="1:5" ht="18" x14ac:dyDescent="0.25">
      <c r="A39" s="1284" t="s">
        <v>6877</v>
      </c>
      <c r="C39" s="3079">
        <f>kursovoy!B817</f>
        <v>0</v>
      </c>
      <c r="E39" s="321"/>
    </row>
    <row r="40" spans="1:5" x14ac:dyDescent="0.2">
      <c r="A40" s="214" t="s">
        <v>1303</v>
      </c>
    </row>
    <row r="41" spans="1:5" ht="25.5" x14ac:dyDescent="0.2">
      <c r="A41" s="1204" t="s">
        <v>6578</v>
      </c>
      <c r="B41" s="4188"/>
    </row>
    <row r="42" spans="1:5" x14ac:dyDescent="0.2">
      <c r="A42" s="321" t="s">
        <v>6878</v>
      </c>
      <c r="B42" s="230"/>
    </row>
    <row r="43" spans="1:5" x14ac:dyDescent="0.2">
      <c r="A43" s="3005" t="s">
        <v>5276</v>
      </c>
      <c r="B43" s="230"/>
    </row>
    <row r="44" spans="1:5" ht="29.25" customHeight="1" x14ac:dyDescent="0.2">
      <c r="A44" s="4037" t="s">
        <v>5277</v>
      </c>
      <c r="B44" s="4040" t="str">
        <f>IF(kursovoy!B396=1,"Панельный",IF(kursovoy!B396=2,"Погоризонтный",IF(kursovoy!B396=3,"Этажный")))</f>
        <v>Панельный</v>
      </c>
      <c r="C44" s="852">
        <f>kursovoy!B396</f>
        <v>1</v>
      </c>
    </row>
    <row r="45" spans="1:5" x14ac:dyDescent="0.2">
      <c r="A45" s="362"/>
      <c r="B45" s="230"/>
    </row>
    <row r="46" spans="1:5" x14ac:dyDescent="0.2">
      <c r="A46" s="241" t="s">
        <v>1413</v>
      </c>
      <c r="C46" s="213" t="s">
        <v>116</v>
      </c>
    </row>
    <row r="47" spans="1:5" x14ac:dyDescent="0.2">
      <c r="A47" s="217" t="s">
        <v>6879</v>
      </c>
      <c r="B47" s="793"/>
      <c r="C47" s="802">
        <v>1</v>
      </c>
    </row>
    <row r="48" spans="1:5" x14ac:dyDescent="0.2">
      <c r="A48" s="2768" t="s">
        <v>1304</v>
      </c>
      <c r="C48" s="213"/>
    </row>
    <row r="50" spans="1:8" ht="38.25" x14ac:dyDescent="0.2">
      <c r="A50" s="920" t="s">
        <v>6880</v>
      </c>
      <c r="B50" s="793"/>
      <c r="C50" s="802">
        <v>1</v>
      </c>
      <c r="D50" s="213"/>
    </row>
    <row r="52" spans="1:8" x14ac:dyDescent="0.2">
      <c r="A52" s="2768" t="s">
        <v>673</v>
      </c>
      <c r="C52" s="213"/>
    </row>
    <row r="53" spans="1:8" ht="63.75" x14ac:dyDescent="0.2">
      <c r="A53" s="920" t="s">
        <v>2033</v>
      </c>
      <c r="B53" s="793"/>
      <c r="C53" s="802">
        <v>1</v>
      </c>
      <c r="D53" s="213" t="str">
        <f>IF(kursovoy!B396=2,"Можно не вводить !","")</f>
        <v/>
      </c>
    </row>
    <row r="55" spans="1:8" x14ac:dyDescent="0.2">
      <c r="A55" s="241" t="s">
        <v>439</v>
      </c>
      <c r="C55" s="213"/>
    </row>
    <row r="57" spans="1:8" x14ac:dyDescent="0.2">
      <c r="A57" s="920" t="s">
        <v>2233</v>
      </c>
      <c r="B57" s="793"/>
      <c r="C57" s="802">
        <v>300</v>
      </c>
    </row>
    <row r="58" spans="1:8" x14ac:dyDescent="0.2">
      <c r="A58" s="920" t="s">
        <v>388</v>
      </c>
      <c r="B58" s="793"/>
      <c r="C58" s="802">
        <v>300</v>
      </c>
      <c r="D58" s="4038" t="str">
        <f>IF(kursovoy!B821=2,"Значение податливости устанавливать равным податливости крепи транспортной выработки !","")</f>
        <v/>
      </c>
    </row>
    <row r="59" spans="1:8" ht="60" customHeight="1" x14ac:dyDescent="0.2">
      <c r="A59" s="920" t="s">
        <v>564</v>
      </c>
      <c r="B59" s="793"/>
      <c r="C59" s="802">
        <v>1</v>
      </c>
      <c r="D59" s="213" t="e">
        <f>IF(B435=1,"Выработка за лавой сохраняется!","Выработка за лавой погашается!")</f>
        <v>#VALUE!</v>
      </c>
      <c r="H59" s="4241" t="e">
        <f>IF(AND(B435=1,B59=4),"Это невозможно!","")</f>
        <v>#VALUE!</v>
      </c>
    </row>
    <row r="60" spans="1:8" ht="51.75" customHeight="1" x14ac:dyDescent="0.2">
      <c r="A60" s="920" t="s">
        <v>1217</v>
      </c>
      <c r="B60" s="793"/>
      <c r="C60" s="802">
        <v>1</v>
      </c>
      <c r="D60" s="213" t="e">
        <f>IF(B443=1,"Выработка за лавой сохраняется!","Выработка за лавой погашается!")</f>
        <v>#VALUE!</v>
      </c>
      <c r="H60" s="4241" t="e">
        <f>IF(AND(B443=1,B60=4),"Это невозможно!","")</f>
        <v>#VALUE!</v>
      </c>
    </row>
    <row r="62" spans="1:8" x14ac:dyDescent="0.2">
      <c r="A62" s="214" t="s">
        <v>6765</v>
      </c>
    </row>
    <row r="64" spans="1:8" ht="31.5" x14ac:dyDescent="0.25">
      <c r="A64" s="2782" t="s">
        <v>6764</v>
      </c>
      <c r="B64" s="2715" t="e">
        <f>B302</f>
        <v>#VALUE!</v>
      </c>
    </row>
    <row r="65" spans="1:5" ht="14.25" x14ac:dyDescent="0.2">
      <c r="A65" s="2937" t="s">
        <v>5278</v>
      </c>
      <c r="B65" s="232">
        <f>ROW(66:66)</f>
        <v>66</v>
      </c>
    </row>
    <row r="66" spans="1:5" ht="15" x14ac:dyDescent="0.2">
      <c r="A66" s="1269" t="s">
        <v>3694</v>
      </c>
      <c r="B66" s="1716"/>
    </row>
    <row r="68" spans="1:5" ht="15.75" x14ac:dyDescent="0.25">
      <c r="A68" s="214" t="s">
        <v>389</v>
      </c>
      <c r="B68" s="347">
        <f>ROW(83:83)</f>
        <v>83</v>
      </c>
      <c r="C68" s="214" t="s">
        <v>442</v>
      </c>
      <c r="D68" s="347">
        <f>ROW(102:102)</f>
        <v>102</v>
      </c>
      <c r="E68" s="214"/>
    </row>
    <row r="69" spans="1:5" ht="15.75" x14ac:dyDescent="0.25">
      <c r="A69" s="214" t="s">
        <v>5761</v>
      </c>
      <c r="B69" s="347"/>
      <c r="C69" s="214"/>
      <c r="D69" s="347"/>
      <c r="E69" s="214"/>
    </row>
    <row r="71" spans="1:5" ht="15" x14ac:dyDescent="0.2">
      <c r="A71" s="2738" t="s">
        <v>5279</v>
      </c>
    </row>
    <row r="72" spans="1:5" ht="15" x14ac:dyDescent="0.2">
      <c r="A72" s="2738" t="s">
        <v>5280</v>
      </c>
    </row>
    <row r="73" spans="1:5" ht="15" x14ac:dyDescent="0.2">
      <c r="A73" s="2738" t="s">
        <v>5281</v>
      </c>
    </row>
    <row r="74" spans="1:5" ht="15" x14ac:dyDescent="0.2">
      <c r="A74" s="2738" t="s">
        <v>5282</v>
      </c>
    </row>
    <row r="76" spans="1:5" ht="15.75" x14ac:dyDescent="0.25">
      <c r="A76" s="893" t="s">
        <v>5576</v>
      </c>
    </row>
    <row r="77" spans="1:5" x14ac:dyDescent="0.2">
      <c r="A77" s="214" t="s">
        <v>2799</v>
      </c>
    </row>
    <row r="78" spans="1:5" x14ac:dyDescent="0.2">
      <c r="A78" s="2879" t="s">
        <v>5283</v>
      </c>
      <c r="B78" s="213">
        <f>ROW(47:47)</f>
        <v>47</v>
      </c>
    </row>
    <row r="79" spans="1:5" x14ac:dyDescent="0.2">
      <c r="A79" t="s">
        <v>5284</v>
      </c>
      <c r="D79" s="213">
        <f>ROW(64:64)</f>
        <v>64</v>
      </c>
    </row>
    <row r="80" spans="1:5" x14ac:dyDescent="0.2">
      <c r="A80" t="s">
        <v>5285</v>
      </c>
      <c r="C80" s="213">
        <f>ROW(83:83)</f>
        <v>83</v>
      </c>
    </row>
    <row r="81" spans="1:6" x14ac:dyDescent="0.2">
      <c r="A81" t="s">
        <v>5286</v>
      </c>
    </row>
    <row r="82" spans="1:6" x14ac:dyDescent="0.2">
      <c r="A82" t="s">
        <v>5288</v>
      </c>
      <c r="F82" s="213"/>
    </row>
    <row r="83" spans="1:6" x14ac:dyDescent="0.2">
      <c r="A83" s="214" t="s">
        <v>5287</v>
      </c>
    </row>
    <row r="84" spans="1:6" x14ac:dyDescent="0.2">
      <c r="A84" s="802" t="s">
        <v>5577</v>
      </c>
      <c r="B84" s="802">
        <f>B66</f>
        <v>0</v>
      </c>
    </row>
    <row r="85" spans="1:6" x14ac:dyDescent="0.2">
      <c r="A85" s="5" t="s">
        <v>5578</v>
      </c>
      <c r="B85" s="3061"/>
    </row>
    <row r="86" spans="1:6" x14ac:dyDescent="0.2">
      <c r="A86" s="5" t="s">
        <v>5579</v>
      </c>
      <c r="B86" s="3061"/>
    </row>
    <row r="87" spans="1:6" x14ac:dyDescent="0.2">
      <c r="A87" s="1"/>
      <c r="B87" s="1"/>
    </row>
    <row r="88" spans="1:6" x14ac:dyDescent="0.2">
      <c r="A88" s="214" t="s">
        <v>6775</v>
      </c>
    </row>
    <row r="89" spans="1:6" x14ac:dyDescent="0.2">
      <c r="A89" t="s">
        <v>4449</v>
      </c>
      <c r="D89" s="213">
        <f>IF(C44=1,ROW(53:53),ROW(50:50))</f>
        <v>53</v>
      </c>
    </row>
    <row r="90" spans="1:6" x14ac:dyDescent="0.2">
      <c r="A90" s="210" t="s">
        <v>4990</v>
      </c>
      <c r="D90" s="213">
        <f>ROW(94:94)</f>
        <v>94</v>
      </c>
    </row>
    <row r="91" spans="1:6" x14ac:dyDescent="0.2">
      <c r="A91" t="s">
        <v>4451</v>
      </c>
      <c r="D91" s="213">
        <f>ROW(64:64)</f>
        <v>64</v>
      </c>
    </row>
    <row r="92" spans="1:6" x14ac:dyDescent="0.2">
      <c r="A92" t="s">
        <v>4452</v>
      </c>
    </row>
    <row r="93" spans="1:6" x14ac:dyDescent="0.2">
      <c r="A93" s="210" t="s">
        <v>4991</v>
      </c>
    </row>
    <row r="94" spans="1:6" x14ac:dyDescent="0.2">
      <c r="A94" s="923" t="s">
        <v>2678</v>
      </c>
      <c r="B94" s="5" t="s">
        <v>3696</v>
      </c>
      <c r="C94" t="s">
        <v>1863</v>
      </c>
    </row>
    <row r="95" spans="1:6" x14ac:dyDescent="0.2">
      <c r="A95" s="5" t="str">
        <f>IF(C44=1,"Локомотивный транспорт по обоим выработкам","------------------------------------")</f>
        <v>Локомотивный транспорт по обоим выработкам</v>
      </c>
      <c r="B95" s="4335">
        <f>B66</f>
        <v>0</v>
      </c>
      <c r="C95">
        <v>1</v>
      </c>
    </row>
    <row r="96" spans="1:6" x14ac:dyDescent="0.2">
      <c r="A96" s="5" t="str">
        <f>IF(C44=1,"Напочвенная дорога и локомотивный транспорт","-----------------------------")</f>
        <v>Напочвенная дорога и локомотивный транспорт</v>
      </c>
      <c r="B96" s="3061"/>
      <c r="C96">
        <v>2</v>
      </c>
    </row>
    <row r="97" spans="1:5" x14ac:dyDescent="0.2">
      <c r="A97" s="5" t="s">
        <v>2675</v>
      </c>
      <c r="B97" s="4336"/>
      <c r="C97">
        <v>3</v>
      </c>
    </row>
    <row r="98" spans="1:5" x14ac:dyDescent="0.2">
      <c r="A98" s="5" t="s">
        <v>2677</v>
      </c>
      <c r="B98" s="3061"/>
      <c r="C98">
        <v>4</v>
      </c>
    </row>
    <row r="99" spans="1:5" x14ac:dyDescent="0.2">
      <c r="A99" s="5" t="str">
        <f>IF(C44=1,"Монорельсовая дорога и локомотивный транспорт","-----------------------")</f>
        <v>Монорельсовая дорога и локомотивный транспорт</v>
      </c>
      <c r="B99" s="3061"/>
      <c r="C99">
        <v>5</v>
      </c>
    </row>
    <row r="100" spans="1:5" x14ac:dyDescent="0.2">
      <c r="A100" s="5" t="s">
        <v>2676</v>
      </c>
      <c r="B100" s="3061"/>
      <c r="C100">
        <v>6</v>
      </c>
    </row>
    <row r="101" spans="1:5" x14ac:dyDescent="0.2">
      <c r="A101" s="895" t="s">
        <v>2679</v>
      </c>
      <c r="B101" s="5"/>
    </row>
    <row r="102" spans="1:5" x14ac:dyDescent="0.2">
      <c r="A102" s="895" t="s">
        <v>6555</v>
      </c>
      <c r="B102" s="3061"/>
    </row>
    <row r="104" spans="1:5" x14ac:dyDescent="0.2">
      <c r="A104" s="1"/>
      <c r="B104" s="1"/>
    </row>
    <row r="105" spans="1:5" x14ac:dyDescent="0.2">
      <c r="A105" s="1"/>
      <c r="B105" s="1"/>
    </row>
    <row r="106" spans="1:5" x14ac:dyDescent="0.2">
      <c r="A106" s="214" t="s">
        <v>4988</v>
      </c>
    </row>
    <row r="107" spans="1:5" x14ac:dyDescent="0.2">
      <c r="A107" t="s">
        <v>4449</v>
      </c>
      <c r="D107" s="213">
        <f>ROW(57:57)</f>
        <v>57</v>
      </c>
    </row>
    <row r="108" spans="1:5" x14ac:dyDescent="0.2">
      <c r="A108" s="210" t="s">
        <v>4450</v>
      </c>
      <c r="E108" s="213">
        <f>ROW(111:111)</f>
        <v>111</v>
      </c>
    </row>
    <row r="109" spans="1:5" x14ac:dyDescent="0.2">
      <c r="A109" t="s">
        <v>4451</v>
      </c>
      <c r="D109" s="213">
        <f>ROW(64:64)</f>
        <v>64</v>
      </c>
    </row>
    <row r="110" spans="1:5" x14ac:dyDescent="0.2">
      <c r="A110" t="s">
        <v>4452</v>
      </c>
    </row>
    <row r="111" spans="1:5" x14ac:dyDescent="0.2">
      <c r="A111" s="214" t="s">
        <v>5289</v>
      </c>
    </row>
    <row r="112" spans="1:5" x14ac:dyDescent="0.2">
      <c r="A112" s="923" t="s">
        <v>3695</v>
      </c>
      <c r="B112" s="5" t="s">
        <v>3696</v>
      </c>
    </row>
    <row r="113" spans="1:2" x14ac:dyDescent="0.2">
      <c r="A113" s="852">
        <v>300</v>
      </c>
      <c r="B113" s="802">
        <f>B66</f>
        <v>0</v>
      </c>
    </row>
    <row r="114" spans="1:2" x14ac:dyDescent="0.2">
      <c r="A114" s="923">
        <v>400</v>
      </c>
      <c r="B114" s="3061"/>
    </row>
    <row r="115" spans="1:2" x14ac:dyDescent="0.2">
      <c r="A115" s="923">
        <v>600</v>
      </c>
      <c r="B115" s="3061"/>
    </row>
    <row r="116" spans="1:2" x14ac:dyDescent="0.2">
      <c r="A116" s="923">
        <v>800</v>
      </c>
      <c r="B116" s="3061"/>
    </row>
    <row r="117" spans="1:2" x14ac:dyDescent="0.2">
      <c r="A117" s="923">
        <v>1000</v>
      </c>
      <c r="B117" s="3061"/>
    </row>
    <row r="118" spans="1:2" x14ac:dyDescent="0.2">
      <c r="A118" s="923">
        <v>1200</v>
      </c>
      <c r="B118" s="3061"/>
    </row>
    <row r="119" spans="1:2" x14ac:dyDescent="0.2">
      <c r="A119" s="795" t="s">
        <v>3701</v>
      </c>
      <c r="B119" s="3061"/>
    </row>
    <row r="120" spans="1:2" x14ac:dyDescent="0.2">
      <c r="A120" s="405"/>
      <c r="B120" s="1"/>
    </row>
    <row r="121" spans="1:2" x14ac:dyDescent="0.2">
      <c r="A121" s="405"/>
      <c r="B121" s="1"/>
    </row>
    <row r="122" spans="1:2" x14ac:dyDescent="0.2">
      <c r="A122" s="405"/>
      <c r="B122" s="1"/>
    </row>
    <row r="123" spans="1:2" x14ac:dyDescent="0.2">
      <c r="A123" s="405"/>
      <c r="B123" s="1"/>
    </row>
    <row r="124" spans="1:2" x14ac:dyDescent="0.2">
      <c r="A124" s="405"/>
      <c r="B124" s="1"/>
    </row>
    <row r="125" spans="1:2" x14ac:dyDescent="0.2">
      <c r="A125" s="405"/>
      <c r="B125" s="1"/>
    </row>
    <row r="126" spans="1:2" x14ac:dyDescent="0.2">
      <c r="A126" s="405"/>
      <c r="B126" s="1"/>
    </row>
    <row r="127" spans="1:2" x14ac:dyDescent="0.2">
      <c r="A127" s="405"/>
      <c r="B127" s="1"/>
    </row>
    <row r="128" spans="1:2" x14ac:dyDescent="0.2">
      <c r="A128" s="405"/>
      <c r="B128" s="1"/>
    </row>
    <row r="129" spans="1:5" x14ac:dyDescent="0.2">
      <c r="A129" s="405"/>
      <c r="B129" s="1"/>
    </row>
    <row r="130" spans="1:5" x14ac:dyDescent="0.2">
      <c r="A130" s="405"/>
      <c r="B130" s="1"/>
    </row>
    <row r="131" spans="1:5" x14ac:dyDescent="0.2">
      <c r="A131" s="405"/>
      <c r="B131" s="1"/>
    </row>
    <row r="132" spans="1:5" x14ac:dyDescent="0.2">
      <c r="A132" s="405"/>
      <c r="B132" s="1"/>
    </row>
    <row r="133" spans="1:5" x14ac:dyDescent="0.2">
      <c r="A133" s="405"/>
      <c r="B133" s="1"/>
    </row>
    <row r="134" spans="1:5" x14ac:dyDescent="0.2">
      <c r="A134" s="405"/>
      <c r="B134" s="1"/>
    </row>
    <row r="135" spans="1:5" x14ac:dyDescent="0.2">
      <c r="A135" s="2939" t="s">
        <v>4109</v>
      </c>
      <c r="B135" s="1"/>
    </row>
    <row r="136" spans="1:5" x14ac:dyDescent="0.2">
      <c r="A136" s="405" t="s">
        <v>4110</v>
      </c>
      <c r="B136" s="1"/>
    </row>
    <row r="137" spans="1:5" x14ac:dyDescent="0.2">
      <c r="A137" s="213" t="e">
        <f>IF(B429=18," Так как транспортная выработка  будет использоваться для новой лавы в качестве вентиляционной,","----------------------")</f>
        <v>#VALUE!</v>
      </c>
    </row>
    <row r="138" spans="1:5" x14ac:dyDescent="0.2">
      <c r="A138" s="213" t="e">
        <f>IF(B429=18,"данные о пдатливости крепи вентиляционной выработки установите в том же размере, что и для транспортной!","---------------------------------")</f>
        <v>#VALUE!</v>
      </c>
    </row>
    <row r="139" spans="1:5" ht="20.25" x14ac:dyDescent="0.3">
      <c r="A139" s="4061" t="e">
        <f>IF(B429=18,"Переходите к строке","")</f>
        <v>#VALUE!</v>
      </c>
      <c r="B139" s="4060" t="e">
        <f>IF(B429=18,ROW(196:196),"")</f>
        <v>#VALUE!</v>
      </c>
    </row>
    <row r="140" spans="1:5" ht="20.25" x14ac:dyDescent="0.3">
      <c r="A140" s="214" t="str">
        <f>IF(kursovoy!B821=1,"4. Податливость крепи участковой вентиляционной выработки ","Продолжайте далее. Таблицу не заполнять")</f>
        <v>Продолжайте далее. Таблицу не заполнять</v>
      </c>
      <c r="B140" s="4059">
        <f>ROW(196:196)</f>
        <v>196</v>
      </c>
    </row>
    <row r="141" spans="1:5" x14ac:dyDescent="0.2">
      <c r="A141" t="s">
        <v>4449</v>
      </c>
      <c r="D141" s="213">
        <f>ROW(58:58)</f>
        <v>58</v>
      </c>
    </row>
    <row r="142" spans="1:5" x14ac:dyDescent="0.2">
      <c r="A142" s="210" t="s">
        <v>4450</v>
      </c>
      <c r="E142" s="213">
        <f>ROW(145:145)</f>
        <v>145</v>
      </c>
    </row>
    <row r="143" spans="1:5" x14ac:dyDescent="0.2">
      <c r="A143" t="s">
        <v>4451</v>
      </c>
      <c r="D143" s="213">
        <f>ROW(64:64)</f>
        <v>64</v>
      </c>
    </row>
    <row r="144" spans="1:5" x14ac:dyDescent="0.2">
      <c r="A144" t="s">
        <v>4452</v>
      </c>
    </row>
    <row r="145" spans="1:2" x14ac:dyDescent="0.2">
      <c r="A145" s="923" t="s">
        <v>3695</v>
      </c>
      <c r="B145" s="5" t="s">
        <v>3696</v>
      </c>
    </row>
    <row r="146" spans="1:2" x14ac:dyDescent="0.2">
      <c r="A146" s="852">
        <v>300</v>
      </c>
      <c r="B146" s="802">
        <f>B66</f>
        <v>0</v>
      </c>
    </row>
    <row r="147" spans="1:2" x14ac:dyDescent="0.2">
      <c r="A147" s="923">
        <v>400</v>
      </c>
      <c r="B147" s="3061"/>
    </row>
    <row r="148" spans="1:2" x14ac:dyDescent="0.2">
      <c r="A148" s="923">
        <v>600</v>
      </c>
      <c r="B148" s="3061"/>
    </row>
    <row r="149" spans="1:2" x14ac:dyDescent="0.2">
      <c r="A149" s="923">
        <v>800</v>
      </c>
      <c r="B149" s="3061"/>
    </row>
    <row r="150" spans="1:2" x14ac:dyDescent="0.2">
      <c r="A150" s="923">
        <v>1000</v>
      </c>
      <c r="B150" s="3061"/>
    </row>
    <row r="151" spans="1:2" x14ac:dyDescent="0.2">
      <c r="A151" s="923">
        <v>1200</v>
      </c>
      <c r="B151" s="3061"/>
    </row>
    <row r="152" spans="1:2" x14ac:dyDescent="0.2">
      <c r="A152" s="923">
        <v>1400</v>
      </c>
      <c r="B152" s="3061"/>
    </row>
    <row r="153" spans="1:2" x14ac:dyDescent="0.2">
      <c r="A153" s="795" t="str">
        <f>IF(kursovoy!B821=1,"Принятая подаливость креи, мм","")</f>
        <v/>
      </c>
      <c r="B153" s="3908"/>
    </row>
    <row r="154" spans="1:2" x14ac:dyDescent="0.2">
      <c r="A154" s="4063" t="str">
        <f>IF(kursovoy!B821=1,"","Принятая подаливость креи, мм")</f>
        <v>Принятая подаливость креи, мм</v>
      </c>
      <c r="B154" s="4102">
        <f>IF(kursovoy!B821=1,"",B119)</f>
        <v>0</v>
      </c>
    </row>
    <row r="155" spans="1:2" x14ac:dyDescent="0.2">
      <c r="A155" s="405"/>
    </row>
    <row r="156" spans="1:2" x14ac:dyDescent="0.2">
      <c r="A156" s="405"/>
    </row>
    <row r="157" spans="1:2" x14ac:dyDescent="0.2">
      <c r="A157" s="405"/>
    </row>
    <row r="158" spans="1:2" x14ac:dyDescent="0.2">
      <c r="A158" s="405"/>
    </row>
    <row r="159" spans="1:2" x14ac:dyDescent="0.2">
      <c r="A159" s="405"/>
    </row>
    <row r="160" spans="1:2" x14ac:dyDescent="0.2">
      <c r="A160" s="405"/>
    </row>
    <row r="161" spans="1:2" x14ac:dyDescent="0.2">
      <c r="A161" s="405"/>
    </row>
    <row r="162" spans="1:2" x14ac:dyDescent="0.2">
      <c r="A162" s="405"/>
    </row>
    <row r="163" spans="1:2" x14ac:dyDescent="0.2">
      <c r="A163" s="405"/>
    </row>
    <row r="164" spans="1:2" x14ac:dyDescent="0.2">
      <c r="A164" s="405"/>
    </row>
    <row r="165" spans="1:2" x14ac:dyDescent="0.2">
      <c r="A165" s="405"/>
    </row>
    <row r="166" spans="1:2" x14ac:dyDescent="0.2">
      <c r="A166" s="405"/>
    </row>
    <row r="167" spans="1:2" x14ac:dyDescent="0.2">
      <c r="A167" s="405"/>
    </row>
    <row r="168" spans="1:2" x14ac:dyDescent="0.2">
      <c r="A168" s="405"/>
    </row>
    <row r="169" spans="1:2" x14ac:dyDescent="0.2">
      <c r="A169" s="405"/>
    </row>
    <row r="170" spans="1:2" x14ac:dyDescent="0.2">
      <c r="A170" s="2939" t="s">
        <v>4109</v>
      </c>
    </row>
    <row r="171" spans="1:2" x14ac:dyDescent="0.2">
      <c r="A171" s="405" t="s">
        <v>4110</v>
      </c>
    </row>
    <row r="172" spans="1:2" x14ac:dyDescent="0.2">
      <c r="A172" s="405"/>
    </row>
    <row r="173" spans="1:2" x14ac:dyDescent="0.2">
      <c r="A173" s="214" t="s">
        <v>6776</v>
      </c>
    </row>
    <row r="174" spans="1:2" x14ac:dyDescent="0.2">
      <c r="A174" s="213" t="s">
        <v>4989</v>
      </c>
    </row>
    <row r="175" spans="1:2" x14ac:dyDescent="0.2">
      <c r="A175" s="321" t="e">
        <f>IF(INDEX(kursovoy!L823:T823,kursovoy!B817)=1,"В Вашем случае выработка за лавой погашается","В вашем случае выработка за лавой не погашается")</f>
        <v>#VALUE!</v>
      </c>
    </row>
    <row r="176" spans="1:2" x14ac:dyDescent="0.2">
      <c r="A176" s="3005" t="e">
        <f>IF(INDEX(kursovoy!L823:T823,kursovoy!B817)=1,"Охрана - клетевые костры. Переходите к строке","")</f>
        <v>#VALUE!</v>
      </c>
      <c r="B176" s="3005" t="e">
        <f>IF(INDEX(kursovoy!L823:T823,kursovoy!B817)=1,ROW(88:88),"")</f>
        <v>#VALUE!</v>
      </c>
    </row>
    <row r="177" spans="1:6" x14ac:dyDescent="0.2">
      <c r="A177" s="213"/>
    </row>
    <row r="178" spans="1:6" x14ac:dyDescent="0.2">
      <c r="A178" s="213"/>
    </row>
    <row r="179" spans="1:6" x14ac:dyDescent="0.2">
      <c r="A179" t="s">
        <v>4449</v>
      </c>
      <c r="D179" s="213">
        <f>ROW(59:59)</f>
        <v>59</v>
      </c>
    </row>
    <row r="180" spans="1:6" x14ac:dyDescent="0.2">
      <c r="A180" s="210" t="s">
        <v>4111</v>
      </c>
      <c r="E180" s="213">
        <f>ROW(183:183)</f>
        <v>183</v>
      </c>
      <c r="F180" s="213"/>
    </row>
    <row r="181" spans="1:6" x14ac:dyDescent="0.2">
      <c r="A181" t="s">
        <v>4451</v>
      </c>
      <c r="D181" s="213">
        <f>ROW(64:64)</f>
        <v>64</v>
      </c>
    </row>
    <row r="182" spans="1:6" x14ac:dyDescent="0.2">
      <c r="A182" t="s">
        <v>4452</v>
      </c>
    </row>
    <row r="183" spans="1:6" x14ac:dyDescent="0.2">
      <c r="A183" s="346" t="s">
        <v>4113</v>
      </c>
      <c r="B183" t="s">
        <v>3696</v>
      </c>
      <c r="C183" t="s">
        <v>1863</v>
      </c>
    </row>
    <row r="184" spans="1:6" x14ac:dyDescent="0.2">
      <c r="A184" s="802" t="s">
        <v>499</v>
      </c>
      <c r="B184" s="802">
        <f>B66</f>
        <v>0</v>
      </c>
      <c r="C184" s="5">
        <v>1</v>
      </c>
    </row>
    <row r="185" spans="1:6" x14ac:dyDescent="0.2">
      <c r="A185" s="5" t="s">
        <v>5196</v>
      </c>
      <c r="B185" s="3061"/>
      <c r="C185" s="5">
        <v>2</v>
      </c>
    </row>
    <row r="186" spans="1:6" x14ac:dyDescent="0.2">
      <c r="A186" s="5" t="s">
        <v>4656</v>
      </c>
      <c r="B186" s="3061"/>
      <c r="C186" s="5">
        <v>3</v>
      </c>
    </row>
    <row r="187" spans="1:6" x14ac:dyDescent="0.2">
      <c r="A187" s="5" t="s">
        <v>4658</v>
      </c>
      <c r="B187" s="3061"/>
      <c r="C187" s="5">
        <v>4</v>
      </c>
    </row>
    <row r="188" spans="1:6" x14ac:dyDescent="0.2">
      <c r="A188" s="5" t="s">
        <v>4659</v>
      </c>
      <c r="B188" s="3061"/>
      <c r="C188" s="5">
        <v>5</v>
      </c>
    </row>
    <row r="189" spans="1:6" x14ac:dyDescent="0.2">
      <c r="A189" s="5" t="s">
        <v>4660</v>
      </c>
      <c r="B189" s="3061"/>
      <c r="C189" s="5">
        <v>6</v>
      </c>
    </row>
    <row r="190" spans="1:6" x14ac:dyDescent="0.2">
      <c r="A190" s="5" t="s">
        <v>4661</v>
      </c>
      <c r="B190" s="3061"/>
      <c r="C190" s="5">
        <v>7</v>
      </c>
    </row>
    <row r="191" spans="1:6" x14ac:dyDescent="0.2">
      <c r="A191" s="5" t="s">
        <v>3698</v>
      </c>
      <c r="B191" s="3061"/>
      <c r="C191" s="5">
        <v>8</v>
      </c>
    </row>
    <row r="192" spans="1:6" x14ac:dyDescent="0.2">
      <c r="A192" s="5" t="s">
        <v>3699</v>
      </c>
      <c r="B192" s="3061"/>
      <c r="C192" s="5">
        <v>9</v>
      </c>
    </row>
    <row r="193" spans="1:7" x14ac:dyDescent="0.2">
      <c r="A193" s="895" t="s">
        <v>6777</v>
      </c>
      <c r="B193" s="4242"/>
    </row>
    <row r="194" spans="1:7" x14ac:dyDescent="0.2">
      <c r="A194" s="895" t="s">
        <v>6464</v>
      </c>
      <c r="B194" s="3061"/>
    </row>
    <row r="195" spans="1:7" x14ac:dyDescent="0.2">
      <c r="A195" s="405"/>
    </row>
    <row r="196" spans="1:7" x14ac:dyDescent="0.2">
      <c r="A196" s="214" t="s">
        <v>3697</v>
      </c>
      <c r="G196" t="s">
        <v>6629</v>
      </c>
    </row>
    <row r="197" spans="1:7" x14ac:dyDescent="0.2">
      <c r="A197" s="213" t="s">
        <v>4989</v>
      </c>
    </row>
    <row r="198" spans="1:7" x14ac:dyDescent="0.2">
      <c r="A198" s="213" t="e">
        <f>IF(B443=1,"Выработка за лавой сохраняется","Выработка за лавой погашается")</f>
        <v>#VALUE!</v>
      </c>
    </row>
    <row r="199" spans="1:7" x14ac:dyDescent="0.2">
      <c r="A199" t="s">
        <v>4449</v>
      </c>
      <c r="D199" s="213">
        <f>ROW(60:60)</f>
        <v>60</v>
      </c>
    </row>
    <row r="200" spans="1:7" x14ac:dyDescent="0.2">
      <c r="A200" s="210" t="s">
        <v>4111</v>
      </c>
      <c r="F200" s="213">
        <f>ROW(203:203)</f>
        <v>203</v>
      </c>
    </row>
    <row r="201" spans="1:7" x14ac:dyDescent="0.2">
      <c r="A201" t="s">
        <v>4451</v>
      </c>
      <c r="D201" s="213">
        <f>ROW(64:64)</f>
        <v>64</v>
      </c>
    </row>
    <row r="202" spans="1:7" x14ac:dyDescent="0.2">
      <c r="A202" t="s">
        <v>4452</v>
      </c>
    </row>
    <row r="203" spans="1:7" x14ac:dyDescent="0.2">
      <c r="A203" s="923" t="s">
        <v>4112</v>
      </c>
      <c r="B203" s="5" t="s">
        <v>3696</v>
      </c>
      <c r="C203" t="s">
        <v>1863</v>
      </c>
    </row>
    <row r="204" spans="1:7" x14ac:dyDescent="0.2">
      <c r="A204" s="802" t="s">
        <v>499</v>
      </c>
      <c r="B204" s="802">
        <f>B66</f>
        <v>0</v>
      </c>
      <c r="C204" s="5">
        <v>1</v>
      </c>
    </row>
    <row r="205" spans="1:7" x14ac:dyDescent="0.2">
      <c r="A205" s="5" t="s">
        <v>5196</v>
      </c>
      <c r="B205" s="3061"/>
      <c r="C205" s="5">
        <v>2</v>
      </c>
    </row>
    <row r="206" spans="1:7" x14ac:dyDescent="0.2">
      <c r="A206" s="5" t="s">
        <v>4656</v>
      </c>
      <c r="B206" s="3061"/>
      <c r="C206" s="5">
        <v>3</v>
      </c>
    </row>
    <row r="207" spans="1:7" x14ac:dyDescent="0.2">
      <c r="A207" s="5" t="s">
        <v>4658</v>
      </c>
      <c r="B207" s="3061"/>
      <c r="C207" s="5">
        <v>4</v>
      </c>
    </row>
    <row r="208" spans="1:7" x14ac:dyDescent="0.2">
      <c r="A208" s="5" t="s">
        <v>4659</v>
      </c>
      <c r="B208" s="3061"/>
      <c r="C208" s="5">
        <v>5</v>
      </c>
    </row>
    <row r="209" spans="1:3" x14ac:dyDescent="0.2">
      <c r="A209" s="5" t="s">
        <v>4660</v>
      </c>
      <c r="B209" s="3061"/>
      <c r="C209" s="5">
        <v>6</v>
      </c>
    </row>
    <row r="210" spans="1:3" x14ac:dyDescent="0.2">
      <c r="A210" s="5" t="s">
        <v>4661</v>
      </c>
      <c r="B210" s="3061"/>
      <c r="C210" s="5">
        <v>7</v>
      </c>
    </row>
    <row r="211" spans="1:3" x14ac:dyDescent="0.2">
      <c r="A211" s="5" t="s">
        <v>3698</v>
      </c>
      <c r="B211" s="3061"/>
      <c r="C211" s="5">
        <v>8</v>
      </c>
    </row>
    <row r="212" spans="1:3" x14ac:dyDescent="0.2">
      <c r="A212" s="5" t="s">
        <v>3699</v>
      </c>
      <c r="B212" s="3061"/>
      <c r="C212" s="5">
        <v>9</v>
      </c>
    </row>
    <row r="213" spans="1:3" x14ac:dyDescent="0.2">
      <c r="A213" s="895" t="s">
        <v>3700</v>
      </c>
      <c r="B213" s="3061"/>
    </row>
    <row r="214" spans="1:3" x14ac:dyDescent="0.2">
      <c r="A214" s="895" t="s">
        <v>6464</v>
      </c>
      <c r="B214" s="3061"/>
    </row>
    <row r="215" spans="1:3" x14ac:dyDescent="0.2">
      <c r="A215" s="357"/>
      <c r="B215" s="1"/>
    </row>
    <row r="216" spans="1:3" x14ac:dyDescent="0.2">
      <c r="A216" s="2938"/>
      <c r="B216" s="362"/>
    </row>
    <row r="217" spans="1:3" ht="18.75" x14ac:dyDescent="0.3">
      <c r="A217" s="2786" t="s">
        <v>4293</v>
      </c>
    </row>
    <row r="218" spans="1:3" ht="18.75" x14ac:dyDescent="0.3">
      <c r="A218" s="2786" t="s">
        <v>4999</v>
      </c>
    </row>
    <row r="219" spans="1:3" ht="18.75" x14ac:dyDescent="0.3">
      <c r="A219" s="2786" t="s">
        <v>4998</v>
      </c>
    </row>
    <row r="220" spans="1:3" ht="15.75" x14ac:dyDescent="0.25">
      <c r="A220" s="2464" t="s">
        <v>4294</v>
      </c>
    </row>
    <row r="221" spans="1:3" x14ac:dyDescent="0.2">
      <c r="A221" s="889" t="s">
        <v>4295</v>
      </c>
      <c r="B221" s="4177"/>
    </row>
    <row r="222" spans="1:3" x14ac:dyDescent="0.2">
      <c r="A222" s="2783" t="s">
        <v>4296</v>
      </c>
      <c r="B222" s="4177"/>
    </row>
    <row r="223" spans="1:3" ht="19.5" x14ac:dyDescent="0.35">
      <c r="A223" s="2784" t="s">
        <v>1419</v>
      </c>
    </row>
    <row r="224" spans="1:3" x14ac:dyDescent="0.2">
      <c r="A224" s="8"/>
    </row>
    <row r="225" spans="1:1" ht="15.75" x14ac:dyDescent="0.25">
      <c r="A225" s="2785" t="s">
        <v>1420</v>
      </c>
    </row>
    <row r="228" spans="1:1" x14ac:dyDescent="0.2">
      <c r="A228" s="4039" t="s">
        <v>3771</v>
      </c>
    </row>
    <row r="262" spans="4:5" x14ac:dyDescent="0.2">
      <c r="D262" s="213"/>
      <c r="E262" s="8"/>
    </row>
    <row r="263" spans="4:5" x14ac:dyDescent="0.2">
      <c r="D263" s="213"/>
      <c r="E263" s="8"/>
    </row>
    <row r="264" spans="4:5" x14ac:dyDescent="0.2">
      <c r="D264" s="213"/>
      <c r="E264" s="8"/>
    </row>
    <row r="265" spans="4:5" x14ac:dyDescent="0.2">
      <c r="D265" s="213"/>
      <c r="E265" s="8"/>
    </row>
    <row r="266" spans="4:5" x14ac:dyDescent="0.2">
      <c r="D266" s="213"/>
      <c r="E266" s="8"/>
    </row>
    <row r="267" spans="4:5" x14ac:dyDescent="0.2">
      <c r="D267" s="213"/>
      <c r="E267" s="8"/>
    </row>
    <row r="268" spans="4:5" x14ac:dyDescent="0.2">
      <c r="D268" s="213"/>
      <c r="E268" s="8"/>
    </row>
    <row r="269" spans="4:5" x14ac:dyDescent="0.2">
      <c r="D269" s="213"/>
      <c r="E269" s="8"/>
    </row>
    <row r="270" spans="4:5" x14ac:dyDescent="0.2">
      <c r="D270" s="213"/>
      <c r="E270" s="8"/>
    </row>
    <row r="271" spans="4:5" x14ac:dyDescent="0.2">
      <c r="D271" s="213"/>
      <c r="E271" s="8"/>
    </row>
    <row r="272" spans="4:5" x14ac:dyDescent="0.2">
      <c r="D272" s="213"/>
      <c r="E272" s="8"/>
    </row>
    <row r="287" spans="1:11" x14ac:dyDescent="0.2">
      <c r="A287" s="3010"/>
      <c r="B287" s="3010"/>
      <c r="C287" s="3010"/>
      <c r="D287" s="3010"/>
      <c r="E287" s="3010"/>
      <c r="F287" s="3010"/>
      <c r="G287" s="3010"/>
      <c r="H287" s="3010"/>
      <c r="I287" s="3010"/>
      <c r="J287" s="3010"/>
      <c r="K287" s="3010"/>
    </row>
    <row r="289" spans="1:11" ht="31.5" customHeight="1" x14ac:dyDescent="0.2">
      <c r="A289" s="920" t="e">
        <f>IF(SUM(#REF!)=15,"Порядок разработки полосы при погоризонтной подготовке (1- по восстанию;2 - по падению)","")</f>
        <v>#REF!</v>
      </c>
      <c r="B289" s="793">
        <v>1</v>
      </c>
      <c r="C289" s="802">
        <v>1</v>
      </c>
      <c r="D289" s="213"/>
    </row>
    <row r="290" spans="1:11" x14ac:dyDescent="0.2">
      <c r="A290" s="920" t="s">
        <v>2232</v>
      </c>
      <c r="B290" s="793">
        <v>1</v>
      </c>
      <c r="C290" s="802">
        <v>1</v>
      </c>
      <c r="D290" s="2916" t="str">
        <f>IF(AND(kursovoy!B216=1,Оптимизация!B290=2),"Пласт выбросоопасен, применение БВР не желательно !","")</f>
        <v/>
      </c>
    </row>
    <row r="291" spans="1:11" ht="111.75" customHeight="1" x14ac:dyDescent="0.2">
      <c r="A291" s="920" t="s">
        <v>2231</v>
      </c>
      <c r="B291" s="2781">
        <v>1</v>
      </c>
      <c r="C291" s="802">
        <v>1</v>
      </c>
      <c r="D291" s="213" t="str">
        <f>IF(kursovoy!B396=2,"Можно не вводить !","")</f>
        <v/>
      </c>
      <c r="F291" s="3010"/>
      <c r="G291" s="3010"/>
      <c r="H291" s="3010"/>
    </row>
    <row r="292" spans="1:11" ht="117" customHeight="1" x14ac:dyDescent="0.2">
      <c r="A292" s="920" t="s">
        <v>1305</v>
      </c>
      <c r="B292" s="793">
        <v>1</v>
      </c>
      <c r="C292" s="802">
        <v>1</v>
      </c>
      <c r="D292" s="213"/>
      <c r="E292" s="3010"/>
      <c r="F292" s="3010"/>
      <c r="G292" s="3010"/>
      <c r="H292" s="3010"/>
    </row>
    <row r="293" spans="1:11" x14ac:dyDescent="0.2">
      <c r="A293" s="242"/>
      <c r="B293" s="242"/>
      <c r="C293" s="242"/>
      <c r="D293" s="242"/>
      <c r="E293" s="242"/>
      <c r="F293" s="242"/>
      <c r="G293" s="242"/>
      <c r="H293" s="242"/>
    </row>
    <row r="295" spans="1:11" ht="15.75" x14ac:dyDescent="0.25">
      <c r="A295" s="2464" t="s">
        <v>117</v>
      </c>
    </row>
    <row r="296" spans="1:11" ht="15.75" x14ac:dyDescent="0.25">
      <c r="A296" s="875" t="s">
        <v>663</v>
      </c>
      <c r="C296">
        <v>1</v>
      </c>
      <c r="D296">
        <v>2</v>
      </c>
      <c r="E296">
        <v>3</v>
      </c>
      <c r="F296">
        <v>4</v>
      </c>
      <c r="G296">
        <v>5</v>
      </c>
      <c r="H296">
        <v>6</v>
      </c>
      <c r="I296">
        <v>7</v>
      </c>
      <c r="J296">
        <v>8</v>
      </c>
      <c r="K296">
        <v>9</v>
      </c>
    </row>
    <row r="297" spans="1:11" ht="15.75" x14ac:dyDescent="0.25">
      <c r="A297" s="1138" t="s">
        <v>667</v>
      </c>
      <c r="B297" t="e">
        <f>IF($B$635=1,B795,B806)*B386</f>
        <v>#VALUE!</v>
      </c>
    </row>
    <row r="298" spans="1:11" ht="15.75" x14ac:dyDescent="0.25">
      <c r="A298" s="1138" t="s">
        <v>95</v>
      </c>
      <c r="B298" t="e">
        <f>IF($B$635=1,B796,B807)*B386</f>
        <v>#VALUE!</v>
      </c>
    </row>
    <row r="299" spans="1:11" ht="15.75" x14ac:dyDescent="0.25">
      <c r="A299" s="1138" t="s">
        <v>6582</v>
      </c>
      <c r="B299" t="e">
        <f>IF($B$635=1,B797,B808)*B386</f>
        <v>#VALUE!</v>
      </c>
    </row>
    <row r="300" spans="1:11" ht="15.75" x14ac:dyDescent="0.25">
      <c r="A300" s="1138" t="s">
        <v>56</v>
      </c>
      <c r="B300">
        <f>IF($B$635=1,B798,B809)*B386*B386</f>
        <v>0</v>
      </c>
    </row>
    <row r="301" spans="1:11" ht="15.75" x14ac:dyDescent="0.25">
      <c r="A301" s="1138" t="s">
        <v>476</v>
      </c>
      <c r="B301" t="e">
        <f>IF($B$635=1,B799,B810)*B386</f>
        <v>#VALUE!</v>
      </c>
    </row>
    <row r="302" spans="1:11" ht="15.75" x14ac:dyDescent="0.25">
      <c r="A302" s="1138" t="s">
        <v>57</v>
      </c>
      <c r="B302" t="e">
        <f>B297+B298+B299+B300+B301</f>
        <v>#VALUE!</v>
      </c>
      <c r="C302">
        <v>2724</v>
      </c>
      <c r="D302">
        <v>2184</v>
      </c>
      <c r="E302">
        <v>3067</v>
      </c>
      <c r="F302">
        <v>2679</v>
      </c>
      <c r="G302">
        <v>2214</v>
      </c>
      <c r="H302">
        <v>3073</v>
      </c>
      <c r="I302">
        <v>2975</v>
      </c>
      <c r="J302">
        <v>3085</v>
      </c>
      <c r="K302">
        <v>2985</v>
      </c>
    </row>
    <row r="303" spans="1:11" ht="15.75" x14ac:dyDescent="0.25">
      <c r="A303" s="1138" t="s">
        <v>664</v>
      </c>
      <c r="B303" t="e">
        <f>IF($B$635=1,B792,B803)*B386</f>
        <v>#VALUE!</v>
      </c>
    </row>
    <row r="304" spans="1:11" ht="15.75" x14ac:dyDescent="0.25">
      <c r="A304" s="1138" t="s">
        <v>665</v>
      </c>
      <c r="B304" t="e">
        <f>IF($B$635=1,B793,B804)*B386</f>
        <v>#VALUE!</v>
      </c>
    </row>
    <row r="305" spans="1:11" ht="15.75" x14ac:dyDescent="0.25">
      <c r="A305" s="1138" t="s">
        <v>666</v>
      </c>
      <c r="B305" t="e">
        <f>IF($B$635=1,B794,B805)*B386</f>
        <v>#VALUE!</v>
      </c>
    </row>
    <row r="306" spans="1:11" ht="15.75" x14ac:dyDescent="0.25">
      <c r="A306" s="1138" t="s">
        <v>58</v>
      </c>
      <c r="B306" t="e">
        <f>B303+B304+B305</f>
        <v>#VALUE!</v>
      </c>
    </row>
    <row r="307" spans="1:11" ht="15.75" x14ac:dyDescent="0.25">
      <c r="A307" s="2787" t="s">
        <v>59</v>
      </c>
      <c r="B307" t="e">
        <f>IF($B$635=1,B800,B811)</f>
        <v>#VALUE!</v>
      </c>
      <c r="C307">
        <v>2804</v>
      </c>
      <c r="D307">
        <v>2305</v>
      </c>
      <c r="E307">
        <v>3067</v>
      </c>
      <c r="F307">
        <v>2800</v>
      </c>
      <c r="G307">
        <v>2335</v>
      </c>
      <c r="H307">
        <v>3153</v>
      </c>
      <c r="I307">
        <v>3096</v>
      </c>
      <c r="J307">
        <v>3165</v>
      </c>
      <c r="K307">
        <v>3106</v>
      </c>
    </row>
    <row r="311" spans="1:11" x14ac:dyDescent="0.2">
      <c r="A311" t="s">
        <v>108</v>
      </c>
    </row>
    <row r="312" spans="1:11" ht="114.75" x14ac:dyDescent="0.2">
      <c r="A312" s="920" t="s">
        <v>4759</v>
      </c>
      <c r="B312" s="793">
        <v>1</v>
      </c>
      <c r="C312" s="213">
        <v>1</v>
      </c>
    </row>
    <row r="313" spans="1:11" ht="25.5" x14ac:dyDescent="0.2">
      <c r="A313" s="920" t="s">
        <v>1655</v>
      </c>
      <c r="B313" s="793">
        <v>1</v>
      </c>
      <c r="C313" s="213"/>
    </row>
    <row r="314" spans="1:11" ht="25.5" x14ac:dyDescent="0.2">
      <c r="A314" s="920" t="s">
        <v>2064</v>
      </c>
      <c r="B314" s="793">
        <v>2</v>
      </c>
      <c r="C314" s="213"/>
    </row>
    <row r="315" spans="1:11" x14ac:dyDescent="0.2">
      <c r="A315" s="920" t="s">
        <v>2466</v>
      </c>
      <c r="B315" s="793">
        <v>40</v>
      </c>
      <c r="C315" s="213"/>
    </row>
    <row r="316" spans="1:11" x14ac:dyDescent="0.2">
      <c r="A316" s="920" t="s">
        <v>351</v>
      </c>
      <c r="B316" s="793">
        <v>2</v>
      </c>
      <c r="C316" s="213"/>
    </row>
    <row r="317" spans="1:11" x14ac:dyDescent="0.2">
      <c r="A317" s="920" t="s">
        <v>652</v>
      </c>
      <c r="B317" s="793">
        <v>1</v>
      </c>
      <c r="C317" s="213" t="s">
        <v>5465</v>
      </c>
    </row>
    <row r="318" spans="1:11" x14ac:dyDescent="0.2">
      <c r="A318" s="920" t="s">
        <v>547</v>
      </c>
      <c r="B318" s="793">
        <v>1</v>
      </c>
      <c r="C318" s="213" t="s">
        <v>5465</v>
      </c>
    </row>
    <row r="319" spans="1:11" ht="127.5" x14ac:dyDescent="0.2">
      <c r="A319" s="920" t="s">
        <v>4760</v>
      </c>
      <c r="B319" s="793">
        <v>2</v>
      </c>
      <c r="C319" s="213"/>
    </row>
    <row r="320" spans="1:11" x14ac:dyDescent="0.2">
      <c r="A320" s="920" t="s">
        <v>1676</v>
      </c>
      <c r="B320" s="793">
        <v>0</v>
      </c>
      <c r="C320" s="213"/>
    </row>
    <row r="321" spans="1:3" x14ac:dyDescent="0.2">
      <c r="A321" s="920" t="s">
        <v>1494</v>
      </c>
      <c r="B321" s="793"/>
      <c r="C321" s="213"/>
    </row>
    <row r="322" spans="1:3" x14ac:dyDescent="0.2">
      <c r="A322" s="920" t="s">
        <v>1493</v>
      </c>
      <c r="B322" s="793">
        <v>1</v>
      </c>
      <c r="C322" s="213"/>
    </row>
    <row r="323" spans="1:3" ht="25.5" x14ac:dyDescent="0.2">
      <c r="A323" s="920" t="s">
        <v>346</v>
      </c>
      <c r="B323" s="793">
        <v>2</v>
      </c>
      <c r="C323" s="213" t="s">
        <v>1094</v>
      </c>
    </row>
    <row r="324" spans="1:3" x14ac:dyDescent="0.2">
      <c r="A324" s="920" t="s">
        <v>2067</v>
      </c>
      <c r="B324" s="793">
        <v>7</v>
      </c>
      <c r="C324" s="213"/>
    </row>
    <row r="325" spans="1:3" x14ac:dyDescent="0.2">
      <c r="A325" s="920" t="s">
        <v>106</v>
      </c>
      <c r="B325" s="793">
        <v>1</v>
      </c>
      <c r="C325" s="213" t="s">
        <v>1095</v>
      </c>
    </row>
    <row r="326" spans="1:3" x14ac:dyDescent="0.2">
      <c r="A326" s="920" t="s">
        <v>4846</v>
      </c>
      <c r="B326" s="793">
        <v>27</v>
      </c>
      <c r="C326" s="213" t="s">
        <v>1689</v>
      </c>
    </row>
    <row r="327" spans="1:3" ht="25.5" x14ac:dyDescent="0.2">
      <c r="A327" s="920" t="s">
        <v>1489</v>
      </c>
      <c r="B327" s="793"/>
      <c r="C327" s="213"/>
    </row>
    <row r="328" spans="1:3" x14ac:dyDescent="0.2">
      <c r="A328" s="920" t="s">
        <v>1490</v>
      </c>
      <c r="B328" s="793">
        <v>8</v>
      </c>
      <c r="C328" s="213" t="s">
        <v>1695</v>
      </c>
    </row>
    <row r="329" spans="1:3" x14ac:dyDescent="0.2">
      <c r="A329" s="920" t="s">
        <v>1491</v>
      </c>
      <c r="B329" s="793">
        <v>8</v>
      </c>
      <c r="C329" s="213" t="s">
        <v>1695</v>
      </c>
    </row>
    <row r="330" spans="1:3" x14ac:dyDescent="0.2">
      <c r="A330" s="920" t="s">
        <v>4842</v>
      </c>
      <c r="B330" s="793">
        <v>8</v>
      </c>
      <c r="C330" s="213" t="s">
        <v>4845</v>
      </c>
    </row>
    <row r="331" spans="1:3" x14ac:dyDescent="0.2">
      <c r="A331" s="920" t="s">
        <v>1702</v>
      </c>
      <c r="B331" s="793">
        <v>80</v>
      </c>
      <c r="C331" s="213" t="s">
        <v>1696</v>
      </c>
    </row>
    <row r="332" spans="1:3" ht="25.5" x14ac:dyDescent="0.2">
      <c r="A332" s="920" t="s">
        <v>3164</v>
      </c>
      <c r="B332" s="793">
        <v>2</v>
      </c>
      <c r="C332" s="213" t="s">
        <v>1093</v>
      </c>
    </row>
    <row r="333" spans="1:3" x14ac:dyDescent="0.2">
      <c r="A333" s="920" t="s">
        <v>4801</v>
      </c>
      <c r="B333" s="793">
        <v>5</v>
      </c>
      <c r="C333" s="213"/>
    </row>
    <row r="334" spans="1:3" ht="38.25" x14ac:dyDescent="0.2">
      <c r="A334" s="920" t="s">
        <v>1088</v>
      </c>
      <c r="B334" s="793">
        <v>3</v>
      </c>
      <c r="C334" s="213" t="s">
        <v>5463</v>
      </c>
    </row>
    <row r="335" spans="1:3" ht="25.5" x14ac:dyDescent="0.2">
      <c r="A335" s="920" t="s">
        <v>4949</v>
      </c>
      <c r="B335" s="793">
        <v>300</v>
      </c>
      <c r="C335" s="213" t="s">
        <v>1697</v>
      </c>
    </row>
    <row r="336" spans="1:3" x14ac:dyDescent="0.2">
      <c r="A336" s="920" t="s">
        <v>3163</v>
      </c>
      <c r="B336" s="793">
        <v>300</v>
      </c>
      <c r="C336" s="213" t="s">
        <v>4768</v>
      </c>
    </row>
    <row r="337" spans="1:3" x14ac:dyDescent="0.2">
      <c r="A337" s="920" t="s">
        <v>1681</v>
      </c>
      <c r="B337" s="793">
        <v>1</v>
      </c>
      <c r="C337" s="213" t="s">
        <v>5465</v>
      </c>
    </row>
    <row r="338" spans="1:3" ht="25.5" x14ac:dyDescent="0.2">
      <c r="A338" s="920" t="s">
        <v>3040</v>
      </c>
      <c r="B338" s="793">
        <v>2</v>
      </c>
      <c r="C338" s="213"/>
    </row>
    <row r="339" spans="1:3" x14ac:dyDescent="0.2">
      <c r="A339" s="920" t="s">
        <v>4794</v>
      </c>
      <c r="B339" s="793">
        <v>3</v>
      </c>
      <c r="C339" s="213" t="s">
        <v>5463</v>
      </c>
    </row>
    <row r="340" spans="1:3" x14ac:dyDescent="0.2">
      <c r="A340" s="920" t="s">
        <v>376</v>
      </c>
      <c r="B340" s="793">
        <v>300</v>
      </c>
      <c r="C340" s="213" t="s">
        <v>1692</v>
      </c>
    </row>
    <row r="341" spans="1:3" x14ac:dyDescent="0.2">
      <c r="A341" s="920" t="s">
        <v>1687</v>
      </c>
      <c r="B341" s="793">
        <v>40</v>
      </c>
      <c r="C341" s="213"/>
    </row>
    <row r="342" spans="1:3" ht="25.5" x14ac:dyDescent="0.2">
      <c r="A342" s="920" t="s">
        <v>1685</v>
      </c>
      <c r="B342" s="793">
        <v>40</v>
      </c>
      <c r="C342" s="213"/>
    </row>
    <row r="343" spans="1:3" ht="25.5" x14ac:dyDescent="0.2">
      <c r="A343" s="920" t="s">
        <v>1686</v>
      </c>
      <c r="B343" s="793">
        <v>40</v>
      </c>
      <c r="C343" s="213"/>
    </row>
    <row r="344" spans="1:3" ht="25.5" x14ac:dyDescent="0.2">
      <c r="A344" s="920" t="s">
        <v>374</v>
      </c>
      <c r="B344" s="793"/>
      <c r="C344" s="213"/>
    </row>
    <row r="345" spans="1:3" x14ac:dyDescent="0.2">
      <c r="A345" s="920" t="s">
        <v>4844</v>
      </c>
      <c r="B345" s="793">
        <v>8</v>
      </c>
      <c r="C345" s="213" t="s">
        <v>1695</v>
      </c>
    </row>
    <row r="346" spans="1:3" x14ac:dyDescent="0.2">
      <c r="A346" s="920" t="s">
        <v>4843</v>
      </c>
      <c r="B346" s="793">
        <v>6</v>
      </c>
      <c r="C346" s="213" t="s">
        <v>1695</v>
      </c>
    </row>
    <row r="347" spans="1:3" x14ac:dyDescent="0.2">
      <c r="A347" s="920" t="s">
        <v>1679</v>
      </c>
      <c r="B347" s="793">
        <v>3</v>
      </c>
      <c r="C347" s="213" t="s">
        <v>5463</v>
      </c>
    </row>
    <row r="348" spans="1:3" x14ac:dyDescent="0.2">
      <c r="A348" s="920" t="s">
        <v>343</v>
      </c>
      <c r="B348" s="793">
        <v>1</v>
      </c>
      <c r="C348" s="213" t="s">
        <v>5465</v>
      </c>
    </row>
    <row r="349" spans="1:3" x14ac:dyDescent="0.2">
      <c r="A349" s="920" t="s">
        <v>5461</v>
      </c>
      <c r="B349" s="793">
        <v>0</v>
      </c>
      <c r="C349" s="213" t="s">
        <v>5464</v>
      </c>
    </row>
    <row r="350" spans="1:3" x14ac:dyDescent="0.2">
      <c r="A350" s="920" t="s">
        <v>106</v>
      </c>
      <c r="B350" s="793">
        <v>1</v>
      </c>
      <c r="C350" s="213" t="s">
        <v>1698</v>
      </c>
    </row>
    <row r="351" spans="1:3" x14ac:dyDescent="0.2">
      <c r="A351" s="920" t="s">
        <v>5497</v>
      </c>
      <c r="B351" s="793">
        <v>1</v>
      </c>
      <c r="C351" s="213" t="s">
        <v>1699</v>
      </c>
    </row>
    <row r="352" spans="1:3" ht="38.25" x14ac:dyDescent="0.2">
      <c r="A352" s="920" t="s">
        <v>3770</v>
      </c>
      <c r="B352" s="793">
        <v>1</v>
      </c>
      <c r="C352" s="213"/>
    </row>
    <row r="353" spans="1:3" ht="25.5" x14ac:dyDescent="0.2">
      <c r="A353" s="920" t="s">
        <v>1124</v>
      </c>
      <c r="B353" s="793"/>
      <c r="C353" s="213"/>
    </row>
    <row r="354" spans="1:3" x14ac:dyDescent="0.2">
      <c r="A354" s="920" t="s">
        <v>1091</v>
      </c>
      <c r="B354" s="793">
        <v>8</v>
      </c>
      <c r="C354" s="213"/>
    </row>
    <row r="355" spans="1:3" x14ac:dyDescent="0.2">
      <c r="A355" s="920" t="s">
        <v>1092</v>
      </c>
      <c r="B355" s="793">
        <v>8</v>
      </c>
      <c r="C355" s="213"/>
    </row>
    <row r="356" spans="1:3" x14ac:dyDescent="0.2">
      <c r="A356" s="920" t="s">
        <v>2397</v>
      </c>
      <c r="B356" s="793">
        <v>200</v>
      </c>
      <c r="C356" s="213" t="s">
        <v>1700</v>
      </c>
    </row>
    <row r="357" spans="1:3" x14ac:dyDescent="0.2">
      <c r="A357" s="920" t="s">
        <v>340</v>
      </c>
      <c r="B357" s="793">
        <v>1800</v>
      </c>
      <c r="C357" s="213" t="s">
        <v>5466</v>
      </c>
    </row>
    <row r="358" spans="1:3" x14ac:dyDescent="0.2">
      <c r="A358" s="920" t="s">
        <v>341</v>
      </c>
      <c r="B358" s="793">
        <v>2000</v>
      </c>
      <c r="C358" s="213" t="s">
        <v>5467</v>
      </c>
    </row>
    <row r="359" spans="1:3" x14ac:dyDescent="0.2">
      <c r="A359" s="920" t="s">
        <v>342</v>
      </c>
      <c r="B359" s="793">
        <v>1800</v>
      </c>
      <c r="C359" s="213" t="s">
        <v>5468</v>
      </c>
    </row>
    <row r="360" spans="1:3" ht="38.25" x14ac:dyDescent="0.2">
      <c r="A360" s="920" t="s">
        <v>1492</v>
      </c>
      <c r="B360" s="793">
        <v>2</v>
      </c>
      <c r="C360" s="213">
        <v>1.2</v>
      </c>
    </row>
    <row r="361" spans="1:3" x14ac:dyDescent="0.2">
      <c r="A361" s="920" t="s">
        <v>1681</v>
      </c>
      <c r="B361" s="793">
        <v>1</v>
      </c>
      <c r="C361" s="213" t="s">
        <v>4840</v>
      </c>
    </row>
    <row r="362" spans="1:3" x14ac:dyDescent="0.2">
      <c r="A362" s="920" t="s">
        <v>4837</v>
      </c>
      <c r="B362" s="793">
        <v>0</v>
      </c>
      <c r="C362" s="213" t="s">
        <v>4841</v>
      </c>
    </row>
    <row r="363" spans="1:3" x14ac:dyDescent="0.2">
      <c r="A363" s="920" t="s">
        <v>5460</v>
      </c>
      <c r="B363" s="793">
        <v>33</v>
      </c>
      <c r="C363" s="213">
        <v>33</v>
      </c>
    </row>
    <row r="364" spans="1:3" x14ac:dyDescent="0.2">
      <c r="A364" s="920" t="s">
        <v>4761</v>
      </c>
      <c r="B364" s="793">
        <v>2</v>
      </c>
      <c r="C364" s="213" t="s">
        <v>1691</v>
      </c>
    </row>
    <row r="365" spans="1:3" ht="25.5" x14ac:dyDescent="0.2">
      <c r="A365" s="920" t="s">
        <v>2960</v>
      </c>
      <c r="B365" s="793"/>
      <c r="C365" s="213"/>
    </row>
    <row r="366" spans="1:3" x14ac:dyDescent="0.2">
      <c r="A366" s="920" t="s">
        <v>4800</v>
      </c>
      <c r="B366" s="793">
        <v>5</v>
      </c>
      <c r="C366" s="213" t="s">
        <v>3903</v>
      </c>
    </row>
    <row r="367" spans="1:3" x14ac:dyDescent="0.2">
      <c r="A367" s="920" t="s">
        <v>4839</v>
      </c>
      <c r="B367" s="793">
        <v>2.5</v>
      </c>
      <c r="C367" s="213" t="s">
        <v>3904</v>
      </c>
    </row>
    <row r="368" spans="1:3" x14ac:dyDescent="0.2">
      <c r="A368" s="920" t="s">
        <v>4798</v>
      </c>
      <c r="B368" s="793">
        <v>140</v>
      </c>
      <c r="C368" s="213" t="s">
        <v>3905</v>
      </c>
    </row>
    <row r="369" spans="1:3" x14ac:dyDescent="0.2">
      <c r="A369" s="920" t="s">
        <v>2765</v>
      </c>
      <c r="B369" s="793">
        <v>1</v>
      </c>
      <c r="C369" s="213" t="s">
        <v>3906</v>
      </c>
    </row>
    <row r="370" spans="1:3" x14ac:dyDescent="0.2">
      <c r="A370" s="920" t="s">
        <v>111</v>
      </c>
      <c r="B370" s="793">
        <v>1.5</v>
      </c>
      <c r="C370" s="213" t="s">
        <v>4792</v>
      </c>
    </row>
    <row r="371" spans="1:3" x14ac:dyDescent="0.2">
      <c r="A371" s="920" t="s">
        <v>4838</v>
      </c>
      <c r="B371" s="793">
        <v>2</v>
      </c>
      <c r="C371" s="213" t="s">
        <v>3904</v>
      </c>
    </row>
    <row r="372" spans="1:3" x14ac:dyDescent="0.2">
      <c r="A372" s="920" t="s">
        <v>4765</v>
      </c>
      <c r="B372" s="793">
        <v>30</v>
      </c>
      <c r="C372" s="213" t="s">
        <v>4767</v>
      </c>
    </row>
    <row r="373" spans="1:3" ht="38.25" x14ac:dyDescent="0.2">
      <c r="A373" s="920" t="s">
        <v>3473</v>
      </c>
      <c r="B373" s="793">
        <v>10</v>
      </c>
      <c r="C373" s="213"/>
    </row>
    <row r="374" spans="1:3" x14ac:dyDescent="0.2">
      <c r="A374" s="920" t="s">
        <v>4363</v>
      </c>
      <c r="B374" s="793">
        <v>1000</v>
      </c>
      <c r="C374" s="213" t="s">
        <v>544</v>
      </c>
    </row>
    <row r="375" spans="1:3" x14ac:dyDescent="0.2">
      <c r="A375" s="920" t="s">
        <v>103</v>
      </c>
      <c r="B375" s="793">
        <v>600</v>
      </c>
      <c r="C375" s="213"/>
    </row>
    <row r="376" spans="1:3" x14ac:dyDescent="0.2">
      <c r="A376" s="920" t="s">
        <v>3902</v>
      </c>
      <c r="B376" s="793">
        <v>400</v>
      </c>
      <c r="C376" s="213" t="s">
        <v>5469</v>
      </c>
    </row>
    <row r="377" spans="1:3" x14ac:dyDescent="0.2">
      <c r="A377" s="920" t="s">
        <v>2942</v>
      </c>
      <c r="B377" s="793">
        <v>0.95</v>
      </c>
      <c r="C377" s="213" t="s">
        <v>2961</v>
      </c>
    </row>
    <row r="378" spans="1:3" ht="25.5" x14ac:dyDescent="0.2">
      <c r="A378" s="920" t="s">
        <v>115</v>
      </c>
      <c r="B378" s="793">
        <v>1</v>
      </c>
      <c r="C378" s="213" t="s">
        <v>5465</v>
      </c>
    </row>
    <row r="379" spans="1:3" x14ac:dyDescent="0.2">
      <c r="A379" s="920" t="s">
        <v>5558</v>
      </c>
      <c r="B379" s="793">
        <v>1</v>
      </c>
      <c r="C379" s="213" t="s">
        <v>5465</v>
      </c>
    </row>
    <row r="380" spans="1:3" x14ac:dyDescent="0.2">
      <c r="A380" s="920" t="s">
        <v>2140</v>
      </c>
      <c r="B380" s="793">
        <v>2.5</v>
      </c>
      <c r="C380" s="213" t="s">
        <v>1693</v>
      </c>
    </row>
    <row r="381" spans="1:3" x14ac:dyDescent="0.2">
      <c r="A381" s="920" t="s">
        <v>104</v>
      </c>
      <c r="B381" s="793">
        <v>2</v>
      </c>
      <c r="C381" s="213">
        <v>2</v>
      </c>
    </row>
    <row r="382" spans="1:3" x14ac:dyDescent="0.2">
      <c r="A382" s="920" t="s">
        <v>3492</v>
      </c>
      <c r="B382" s="793">
        <v>2</v>
      </c>
      <c r="C382" s="213" t="s">
        <v>1694</v>
      </c>
    </row>
    <row r="383" spans="1:3" x14ac:dyDescent="0.2">
      <c r="A383" s="920" t="s">
        <v>4796</v>
      </c>
      <c r="B383" s="793"/>
      <c r="C383" s="213"/>
    </row>
    <row r="384" spans="1:3" x14ac:dyDescent="0.2">
      <c r="A384" s="2765" t="s">
        <v>1677</v>
      </c>
      <c r="B384" s="793"/>
      <c r="C384" s="213"/>
    </row>
    <row r="385" spans="1:3" x14ac:dyDescent="0.2">
      <c r="A385" s="1204" t="s">
        <v>4847</v>
      </c>
      <c r="B385" s="793"/>
      <c r="C385" s="213"/>
    </row>
    <row r="386" spans="1:3" x14ac:dyDescent="0.2">
      <c r="A386" s="1204" t="s">
        <v>3273</v>
      </c>
      <c r="B386" s="793">
        <v>2.5</v>
      </c>
      <c r="C386" s="213"/>
    </row>
    <row r="387" spans="1:3" x14ac:dyDescent="0.2">
      <c r="A387" s="920" t="s">
        <v>3274</v>
      </c>
      <c r="B387" s="793">
        <v>750</v>
      </c>
      <c r="C387" s="213" t="s">
        <v>1361</v>
      </c>
    </row>
    <row r="388" spans="1:3" x14ac:dyDescent="0.2">
      <c r="A388" s="920" t="s">
        <v>2613</v>
      </c>
      <c r="B388" s="793">
        <v>1.26</v>
      </c>
      <c r="C388" s="213" t="s">
        <v>2964</v>
      </c>
    </row>
    <row r="389" spans="1:3" x14ac:dyDescent="0.2">
      <c r="A389" s="920" t="s">
        <v>1701</v>
      </c>
      <c r="B389" s="793">
        <v>36</v>
      </c>
      <c r="C389" s="213" t="s">
        <v>4766</v>
      </c>
    </row>
    <row r="390" spans="1:3" x14ac:dyDescent="0.2">
      <c r="A390" s="920" t="s">
        <v>3494</v>
      </c>
      <c r="B390" s="793">
        <v>21</v>
      </c>
      <c r="C390" s="213" t="s">
        <v>2962</v>
      </c>
    </row>
    <row r="391" spans="1:3" ht="25.5" x14ac:dyDescent="0.2">
      <c r="A391" s="920" t="s">
        <v>3275</v>
      </c>
      <c r="B391" s="793">
        <v>2</v>
      </c>
      <c r="C391" s="213" t="s">
        <v>1362</v>
      </c>
    </row>
    <row r="392" spans="1:3" x14ac:dyDescent="0.2">
      <c r="A392" s="920" t="s">
        <v>3276</v>
      </c>
      <c r="B392" s="793">
        <v>2</v>
      </c>
      <c r="C392" s="213" t="s">
        <v>2963</v>
      </c>
    </row>
    <row r="393" spans="1:3" x14ac:dyDescent="0.2">
      <c r="A393" s="920" t="s">
        <v>3277</v>
      </c>
      <c r="B393" s="793">
        <v>2</v>
      </c>
      <c r="C393" s="213" t="s">
        <v>1362</v>
      </c>
    </row>
    <row r="394" spans="1:3" x14ac:dyDescent="0.2">
      <c r="A394" s="920" t="s">
        <v>3278</v>
      </c>
      <c r="B394" s="793">
        <v>750</v>
      </c>
      <c r="C394" s="213" t="s">
        <v>1363</v>
      </c>
    </row>
    <row r="395" spans="1:3" x14ac:dyDescent="0.2">
      <c r="A395" s="920" t="s">
        <v>3279</v>
      </c>
      <c r="B395" s="793">
        <v>900</v>
      </c>
      <c r="C395" s="213" t="s">
        <v>1364</v>
      </c>
    </row>
    <row r="396" spans="1:3" x14ac:dyDescent="0.2">
      <c r="A396" s="920" t="s">
        <v>3280</v>
      </c>
      <c r="B396" s="793">
        <v>60</v>
      </c>
      <c r="C396" s="213" t="s">
        <v>1365</v>
      </c>
    </row>
    <row r="397" spans="1:3" x14ac:dyDescent="0.2">
      <c r="A397" s="920" t="s">
        <v>3281</v>
      </c>
      <c r="B397" s="793">
        <v>800</v>
      </c>
      <c r="C397" s="213" t="s">
        <v>1366</v>
      </c>
    </row>
    <row r="398" spans="1:3" x14ac:dyDescent="0.2">
      <c r="A398" s="920" t="s">
        <v>3282</v>
      </c>
      <c r="B398" s="793">
        <v>100</v>
      </c>
      <c r="C398" s="213" t="s">
        <v>2303</v>
      </c>
    </row>
    <row r="399" spans="1:3" x14ac:dyDescent="0.2">
      <c r="A399" s="920" t="s">
        <v>3283</v>
      </c>
      <c r="B399" s="793">
        <v>60</v>
      </c>
      <c r="C399" s="213" t="s">
        <v>2304</v>
      </c>
    </row>
    <row r="400" spans="1:3" x14ac:dyDescent="0.2">
      <c r="A400" s="920" t="s">
        <v>3284</v>
      </c>
      <c r="B400" s="793">
        <v>200</v>
      </c>
      <c r="C400" s="213" t="s">
        <v>2305</v>
      </c>
    </row>
    <row r="401" spans="1:3" x14ac:dyDescent="0.2">
      <c r="A401" s="920" t="s">
        <v>3285</v>
      </c>
      <c r="B401" s="793">
        <v>3</v>
      </c>
      <c r="C401" s="2934" t="s">
        <v>2306</v>
      </c>
    </row>
    <row r="402" spans="1:3" x14ac:dyDescent="0.2">
      <c r="A402" s="920" t="s">
        <v>3286</v>
      </c>
      <c r="B402" s="793">
        <v>600</v>
      </c>
      <c r="C402" s="213" t="s">
        <v>2307</v>
      </c>
    </row>
    <row r="403" spans="1:3" x14ac:dyDescent="0.2">
      <c r="A403" s="920" t="s">
        <v>3287</v>
      </c>
      <c r="B403" s="793">
        <v>5000</v>
      </c>
      <c r="C403" s="213" t="s">
        <v>1690</v>
      </c>
    </row>
    <row r="404" spans="1:3" x14ac:dyDescent="0.2">
      <c r="A404" s="920" t="s">
        <v>3288</v>
      </c>
      <c r="B404" s="793">
        <v>2</v>
      </c>
      <c r="C404" s="213" t="s">
        <v>2308</v>
      </c>
    </row>
    <row r="405" spans="1:3" x14ac:dyDescent="0.2">
      <c r="A405" s="920" t="s">
        <v>3289</v>
      </c>
      <c r="B405" s="793">
        <v>6</v>
      </c>
      <c r="C405" s="2934" t="s">
        <v>2309</v>
      </c>
    </row>
    <row r="406" spans="1:3" x14ac:dyDescent="0.2">
      <c r="A406" s="920" t="s">
        <v>3290</v>
      </c>
      <c r="B406" s="793">
        <v>2</v>
      </c>
      <c r="C406" s="213" t="s">
        <v>2310</v>
      </c>
    </row>
    <row r="407" spans="1:3" x14ac:dyDescent="0.2">
      <c r="A407" s="920" t="s">
        <v>3291</v>
      </c>
      <c r="B407" s="793">
        <v>0.5</v>
      </c>
      <c r="C407" s="213" t="s">
        <v>2311</v>
      </c>
    </row>
    <row r="408" spans="1:3" x14ac:dyDescent="0.2">
      <c r="A408" s="920" t="s">
        <v>545</v>
      </c>
      <c r="B408" s="793">
        <v>30</v>
      </c>
      <c r="C408" s="213" t="s">
        <v>546</v>
      </c>
    </row>
    <row r="409" spans="1:3" x14ac:dyDescent="0.2">
      <c r="A409" s="920" t="s">
        <v>4848</v>
      </c>
      <c r="B409" s="793">
        <v>40</v>
      </c>
      <c r="C409" s="213" t="s">
        <v>5470</v>
      </c>
    </row>
    <row r="410" spans="1:3" x14ac:dyDescent="0.2">
      <c r="A410" s="920" t="s">
        <v>3292</v>
      </c>
      <c r="B410" s="793">
        <v>3</v>
      </c>
      <c r="C410" s="213" t="s">
        <v>2312</v>
      </c>
    </row>
    <row r="411" spans="1:3" ht="25.5" x14ac:dyDescent="0.2">
      <c r="A411" s="920" t="s">
        <v>4685</v>
      </c>
      <c r="B411" s="793">
        <v>2</v>
      </c>
      <c r="C411" s="2934" t="s">
        <v>2313</v>
      </c>
    </row>
    <row r="412" spans="1:3" x14ac:dyDescent="0.2">
      <c r="A412" s="920" t="s">
        <v>3041</v>
      </c>
      <c r="B412" s="793">
        <v>40</v>
      </c>
      <c r="C412" s="213" t="s">
        <v>543</v>
      </c>
    </row>
    <row r="413" spans="1:3" x14ac:dyDescent="0.2">
      <c r="A413" s="920" t="s">
        <v>4686</v>
      </c>
      <c r="B413" s="793">
        <v>0.75</v>
      </c>
      <c r="C413" s="213" t="s">
        <v>5498</v>
      </c>
    </row>
    <row r="414" spans="1:3" x14ac:dyDescent="0.2">
      <c r="A414" s="920" t="s">
        <v>4687</v>
      </c>
      <c r="B414" s="793">
        <v>20</v>
      </c>
      <c r="C414" s="213" t="s">
        <v>5500</v>
      </c>
    </row>
    <row r="415" spans="1:3" ht="25.5" x14ac:dyDescent="0.2">
      <c r="A415" s="920" t="s">
        <v>5499</v>
      </c>
      <c r="B415" s="793">
        <v>50</v>
      </c>
      <c r="C415" s="213" t="s">
        <v>5501</v>
      </c>
    </row>
    <row r="416" spans="1:3" ht="25.5" x14ac:dyDescent="0.2">
      <c r="A416" s="920" t="s">
        <v>4688</v>
      </c>
      <c r="B416" s="793">
        <v>2.5</v>
      </c>
      <c r="C416" s="213"/>
    </row>
    <row r="417" spans="1:134" ht="25.5" x14ac:dyDescent="0.2">
      <c r="A417" s="920" t="s">
        <v>377</v>
      </c>
      <c r="B417" s="793">
        <v>20</v>
      </c>
      <c r="C417" s="213"/>
    </row>
    <row r="418" spans="1:134" ht="25.5" x14ac:dyDescent="0.2">
      <c r="A418" s="920" t="s">
        <v>4689</v>
      </c>
      <c r="B418" s="793">
        <v>8</v>
      </c>
      <c r="C418" s="2934" t="s">
        <v>2309</v>
      </c>
    </row>
    <row r="419" spans="1:134" ht="25.5" x14ac:dyDescent="0.2">
      <c r="A419" s="920" t="s">
        <v>4690</v>
      </c>
      <c r="B419" s="793">
        <v>50</v>
      </c>
      <c r="C419" s="2934" t="s">
        <v>2314</v>
      </c>
    </row>
    <row r="420" spans="1:134" ht="25.5" x14ac:dyDescent="0.2">
      <c r="A420" s="920" t="s">
        <v>4691</v>
      </c>
      <c r="B420" s="793">
        <v>8</v>
      </c>
      <c r="C420" s="2934" t="s">
        <v>2315</v>
      </c>
    </row>
    <row r="421" spans="1:134" ht="25.5" x14ac:dyDescent="0.2">
      <c r="A421" s="920" t="s">
        <v>4692</v>
      </c>
      <c r="B421" s="793">
        <v>50</v>
      </c>
      <c r="C421" s="2934" t="s">
        <v>2314</v>
      </c>
    </row>
    <row r="422" spans="1:134" x14ac:dyDescent="0.2">
      <c r="A422" s="5"/>
      <c r="B422" s="793"/>
    </row>
    <row r="425" spans="1:134" x14ac:dyDescent="0.2">
      <c r="A425" s="2768" t="s">
        <v>602</v>
      </c>
    </row>
    <row r="426" spans="1:134" ht="15.75" x14ac:dyDescent="0.25">
      <c r="A426" s="818" t="e">
        <f>IF(SUM(#REF!)=15,"Теперь необходимо определиться, на каких стадиях существования находятся выработки принятого варианта","")</f>
        <v>#REF!</v>
      </c>
      <c r="B426" s="2746"/>
      <c r="C426" s="2746"/>
      <c r="D426" s="2746"/>
      <c r="E426" s="2746"/>
      <c r="F426" s="2746"/>
      <c r="G426" s="2746"/>
      <c r="H426" s="2746"/>
      <c r="I426" s="2746"/>
      <c r="J426" s="2746"/>
      <c r="K426" s="2746"/>
      <c r="L426" s="2746"/>
    </row>
    <row r="427" spans="1:134" ht="15.75" x14ac:dyDescent="0.25">
      <c r="A427" s="818" t="e">
        <f>IF(SUM(#REF!)=15,"системы разработки и в каких условиях поддерживаются подготовительные выработки на каждой стадии.","")</f>
        <v>#REF!</v>
      </c>
      <c r="B427" s="2746"/>
      <c r="C427" s="2746"/>
      <c r="H427" s="2372">
        <v>1</v>
      </c>
      <c r="I427" s="2372">
        <v>2</v>
      </c>
      <c r="J427" s="2372">
        <v>3</v>
      </c>
      <c r="K427" s="2372">
        <v>4</v>
      </c>
      <c r="L427" s="2372">
        <v>5</v>
      </c>
      <c r="M427" s="2372">
        <v>6</v>
      </c>
      <c r="N427" s="2372">
        <v>7</v>
      </c>
      <c r="O427" s="2372">
        <v>8</v>
      </c>
      <c r="P427" s="2372">
        <v>9</v>
      </c>
    </row>
    <row r="428" spans="1:134" x14ac:dyDescent="0.2">
      <c r="B428" s="2746"/>
      <c r="C428" s="2746"/>
      <c r="H428" s="2969" t="s">
        <v>1512</v>
      </c>
      <c r="I428" s="2372" t="s">
        <v>4421</v>
      </c>
      <c r="J428" s="849" t="s">
        <v>1513</v>
      </c>
      <c r="K428" s="849" t="s">
        <v>1514</v>
      </c>
      <c r="L428" s="849" t="s">
        <v>1515</v>
      </c>
      <c r="M428" s="849" t="s">
        <v>1516</v>
      </c>
      <c r="N428" s="849" t="s">
        <v>1517</v>
      </c>
      <c r="O428" s="849" t="s">
        <v>1518</v>
      </c>
      <c r="P428" s="849" t="s">
        <v>1519</v>
      </c>
    </row>
    <row r="429" spans="1:134" x14ac:dyDescent="0.2">
      <c r="A429" s="2747" t="e">
        <f>IF(SUM(#REF!)=15,"Номер образа вентиляционной  выработки  работатающей лавы (смотри таблицу образов горной выработки)","")</f>
        <v>#REF!</v>
      </c>
      <c r="B429" s="2970" t="e">
        <f>INDEX(H429:P429,$C$39)</f>
        <v>#VALUE!</v>
      </c>
      <c r="C429" s="2748" t="e">
        <f>IF(AND(B607=1,B429=12),"",IF(AND(B607=1,B429=7),"",IF(AND(B607=2,B429=13),"",IF(AND(B607=2,B429=8),"",IF(AND(B607=3,B429=14),"",IF(AND(B607=4,B429=18),"","Будьте внимательнее !"))))))</f>
        <v>#VALUE!</v>
      </c>
      <c r="H429">
        <v>12</v>
      </c>
      <c r="I429">
        <v>18</v>
      </c>
      <c r="J429">
        <v>7</v>
      </c>
      <c r="K429">
        <v>18</v>
      </c>
      <c r="L429">
        <v>18</v>
      </c>
      <c r="M429">
        <v>7</v>
      </c>
      <c r="N429">
        <v>18</v>
      </c>
      <c r="O429" s="2750">
        <v>7</v>
      </c>
      <c r="P429" s="2750">
        <v>18</v>
      </c>
      <c r="S429" s="2749"/>
      <c r="T429" s="2749"/>
      <c r="U429" s="2749"/>
      <c r="V429" s="2749"/>
      <c r="W429" s="2749"/>
      <c r="X429" s="2749"/>
      <c r="Y429" s="2749"/>
      <c r="Z429" s="2749"/>
      <c r="AA429" s="2749"/>
      <c r="AB429" s="2749"/>
      <c r="AC429" s="2749"/>
      <c r="AD429" s="2749"/>
      <c r="AE429" s="2749"/>
      <c r="AF429" s="2749"/>
      <c r="AG429" s="2749"/>
      <c r="AH429" s="2749"/>
      <c r="AI429" s="2749"/>
      <c r="AJ429" s="2749"/>
      <c r="AK429" s="2749"/>
      <c r="AL429" s="2749"/>
      <c r="AM429" s="2749"/>
      <c r="AN429" s="2749"/>
      <c r="AO429" s="2749"/>
      <c r="AP429" s="2749"/>
      <c r="AQ429" s="2749"/>
      <c r="AR429" s="2749"/>
      <c r="AS429" s="2749"/>
      <c r="AT429" s="2749"/>
      <c r="AU429" s="2749"/>
      <c r="AV429" s="2749"/>
      <c r="AW429" s="2749"/>
      <c r="AX429" s="2749"/>
      <c r="AY429" s="2749"/>
      <c r="AZ429" s="2749"/>
      <c r="BA429" s="2749"/>
      <c r="BB429" s="2749"/>
      <c r="BC429" s="2749"/>
      <c r="BD429" s="2749"/>
      <c r="BE429" s="2749"/>
      <c r="BF429" s="2749"/>
      <c r="BG429" s="2749"/>
      <c r="BH429" s="2749"/>
      <c r="BI429" s="2749"/>
      <c r="BJ429" s="2749"/>
      <c r="BK429" s="2749"/>
      <c r="BL429" s="2749"/>
      <c r="BM429" s="2749"/>
      <c r="BN429" s="2749"/>
      <c r="BO429" s="2749"/>
      <c r="BP429" s="2749"/>
      <c r="BQ429" s="2749"/>
      <c r="BR429" s="2749"/>
      <c r="BS429" s="2749"/>
      <c r="BT429" s="2749"/>
      <c r="BU429" s="2749"/>
      <c r="BV429" s="2749"/>
      <c r="BW429" s="2749"/>
      <c r="BX429" s="2749"/>
      <c r="BY429" s="2749"/>
      <c r="BZ429" s="2749"/>
      <c r="CA429" s="2749"/>
      <c r="CB429" s="2749"/>
      <c r="CC429" s="2749"/>
      <c r="CD429" s="2749"/>
      <c r="CE429" s="2749"/>
      <c r="CF429" s="2749"/>
      <c r="CG429" s="2749"/>
      <c r="CH429" s="2749"/>
      <c r="CI429" s="2749"/>
      <c r="CJ429" s="2749"/>
      <c r="CK429" s="2749"/>
      <c r="CL429" s="2749"/>
      <c r="CM429" s="2749"/>
      <c r="CN429" s="2749"/>
      <c r="CO429" s="2749"/>
      <c r="CP429" s="2749"/>
      <c r="CQ429" s="2749"/>
      <c r="CR429" s="2749"/>
      <c r="CS429" s="2749"/>
      <c r="CT429" s="2749"/>
      <c r="CU429" s="2749"/>
      <c r="CV429" s="2749"/>
      <c r="CW429" s="2749"/>
      <c r="CX429" s="2749"/>
      <c r="CY429" s="2749"/>
      <c r="CZ429" s="2749"/>
      <c r="DA429" s="2749"/>
      <c r="DB429" s="2749"/>
      <c r="DC429" s="2749"/>
      <c r="DD429" s="2749"/>
      <c r="DE429" s="2749"/>
      <c r="DF429" s="2749"/>
      <c r="DG429" s="2749"/>
      <c r="DH429" s="2749"/>
      <c r="DI429" s="2749"/>
      <c r="DJ429" s="2749"/>
      <c r="DK429" s="2749"/>
      <c r="DL429" s="2749"/>
      <c r="DM429" s="2749"/>
      <c r="DN429" s="2749"/>
      <c r="DO429" s="2749"/>
      <c r="DP429" s="2749"/>
      <c r="DQ429" s="2749"/>
      <c r="DR429" s="2749"/>
      <c r="DS429" s="2749"/>
      <c r="DT429" s="2749"/>
      <c r="DU429" s="2749"/>
      <c r="DV429" s="2749"/>
      <c r="DW429" s="2749"/>
      <c r="DX429" s="2749"/>
      <c r="DY429" s="2749"/>
      <c r="DZ429" s="214"/>
      <c r="EA429" s="214"/>
      <c r="EB429" s="214"/>
      <c r="EC429" s="214"/>
      <c r="ED429" s="2750"/>
    </row>
    <row r="430" spans="1:134" ht="56.25" customHeight="1" x14ac:dyDescent="0.2">
      <c r="A430" s="2935" t="e">
        <f>IF(SUM(#REF!)=15,INDEX(Y444:Y456,MATCH(B429,X444:X456,0)),"")</f>
        <v>#REF!</v>
      </c>
      <c r="B430" s="2970"/>
      <c r="C430" s="2748"/>
      <c r="H430" s="2372"/>
      <c r="I430" s="2372"/>
      <c r="J430" s="2372"/>
      <c r="K430" s="2372"/>
      <c r="L430" s="2372"/>
      <c r="M430" s="2372"/>
      <c r="N430" s="2372"/>
      <c r="O430" s="2372"/>
      <c r="P430" s="2372"/>
      <c r="S430" s="2749"/>
      <c r="T430" s="2749"/>
      <c r="U430" s="2749"/>
      <c r="V430" s="2749"/>
      <c r="W430" s="2749"/>
      <c r="X430" s="2749"/>
      <c r="Y430" s="2749"/>
      <c r="Z430" s="2749"/>
      <c r="AA430" s="2749"/>
      <c r="AB430" s="2749"/>
      <c r="AC430" s="2749"/>
      <c r="AD430" s="2749"/>
      <c r="AE430" s="2749"/>
      <c r="AF430" s="2749"/>
      <c r="AG430" s="2749"/>
      <c r="AH430" s="2749"/>
      <c r="AI430" s="2749"/>
      <c r="AJ430" s="2749"/>
      <c r="AK430" s="2749"/>
      <c r="AL430" s="2749"/>
      <c r="AM430" s="2749"/>
      <c r="AN430" s="2749"/>
      <c r="AO430" s="2749"/>
      <c r="AP430" s="2749"/>
      <c r="AQ430" s="2749"/>
      <c r="AR430" s="2749"/>
      <c r="AS430" s="2749"/>
      <c r="AT430" s="2749"/>
      <c r="AU430" s="2749"/>
      <c r="AV430" s="2749"/>
      <c r="AW430" s="2749"/>
      <c r="AX430" s="2749"/>
      <c r="AY430" s="2749"/>
      <c r="AZ430" s="2749"/>
      <c r="BA430" s="2749"/>
      <c r="BB430" s="2749"/>
      <c r="BC430" s="2749"/>
      <c r="BD430" s="2749"/>
      <c r="BE430" s="2749"/>
      <c r="BF430" s="2749"/>
      <c r="BG430" s="2749"/>
      <c r="BH430" s="2749"/>
      <c r="BI430" s="2749"/>
      <c r="BJ430" s="2749"/>
      <c r="BK430" s="2749"/>
      <c r="BL430" s="2749"/>
      <c r="BM430" s="2749"/>
      <c r="BN430" s="2749"/>
      <c r="BO430" s="2749"/>
      <c r="BP430" s="2749"/>
      <c r="BQ430" s="2749"/>
      <c r="BR430" s="2749"/>
      <c r="BS430" s="2749"/>
      <c r="BT430" s="2749"/>
      <c r="BU430" s="2749"/>
      <c r="BV430" s="2749"/>
      <c r="BW430" s="2749"/>
      <c r="BX430" s="2749"/>
      <c r="BY430" s="2749"/>
      <c r="BZ430" s="2749"/>
      <c r="CA430" s="2749"/>
      <c r="CB430" s="2749"/>
      <c r="CC430" s="2749"/>
      <c r="CD430" s="2749"/>
      <c r="CE430" s="2749"/>
      <c r="CF430" s="2749"/>
      <c r="CG430" s="2749"/>
      <c r="CH430" s="2749"/>
      <c r="CI430" s="2749"/>
      <c r="CJ430" s="2749"/>
      <c r="CK430" s="2749"/>
      <c r="CL430" s="2749"/>
      <c r="CM430" s="2749"/>
      <c r="CN430" s="2749"/>
      <c r="CO430" s="2749"/>
      <c r="CP430" s="2749"/>
      <c r="CQ430" s="2749"/>
      <c r="CR430" s="2749"/>
      <c r="CS430" s="2749"/>
      <c r="CT430" s="2749"/>
      <c r="CU430" s="2749"/>
      <c r="CV430" s="2749"/>
      <c r="CW430" s="2749"/>
      <c r="CX430" s="2749"/>
      <c r="CY430" s="2749"/>
      <c r="CZ430" s="2749"/>
      <c r="DA430" s="2749"/>
      <c r="DB430" s="2749"/>
      <c r="DC430" s="2749"/>
      <c r="DD430" s="2749"/>
      <c r="DE430" s="2749"/>
      <c r="DF430" s="2749"/>
      <c r="DG430" s="2749"/>
      <c r="DH430" s="2749"/>
      <c r="DI430" s="2749"/>
      <c r="DJ430" s="2749"/>
      <c r="DK430" s="2749"/>
      <c r="DL430" s="2749"/>
      <c r="DM430" s="2749"/>
      <c r="DN430" s="2749"/>
      <c r="DO430" s="2749"/>
      <c r="DP430" s="2749"/>
      <c r="DQ430" s="2749"/>
      <c r="DR430" s="2749"/>
      <c r="DS430" s="2749"/>
      <c r="DT430" s="2749"/>
      <c r="DU430" s="2749"/>
      <c r="DV430" s="2749"/>
      <c r="DW430" s="2749"/>
      <c r="DX430" s="2749"/>
      <c r="DY430" s="2749"/>
      <c r="DZ430" s="214"/>
      <c r="EA430" s="214"/>
      <c r="EB430" s="214"/>
      <c r="EC430" s="214"/>
      <c r="ED430" s="2750"/>
    </row>
    <row r="431" spans="1:134" ht="15.75" x14ac:dyDescent="0.25">
      <c r="A431" s="2751" t="e">
        <f>IF(AND(B610=1,B429&lt;12),V431,IF(AND(B610=1,B429&gt;14),V431,IF(AND(B610=2,B429&lt;7),V431,IF(AND(B610=2,B429&gt;9),V431,IF(AND(B610=3,B429&lt;&gt;18),V431,V432)))))</f>
        <v>#VALUE!</v>
      </c>
      <c r="B431" s="2970"/>
      <c r="C431" s="2748"/>
      <c r="H431" s="2752"/>
      <c r="I431" s="2752"/>
      <c r="J431" s="2752"/>
      <c r="K431" s="2752"/>
      <c r="L431" s="2752"/>
      <c r="N431" s="2752"/>
      <c r="O431" s="2752"/>
      <c r="P431" s="2752"/>
      <c r="S431" s="2752"/>
      <c r="T431" s="2752"/>
      <c r="U431" s="2752"/>
      <c r="V431" s="2756" t="s">
        <v>348</v>
      </c>
      <c r="W431" s="2752"/>
      <c r="Y431" s="2752"/>
      <c r="Z431" s="2752"/>
      <c r="AA431" s="2752"/>
      <c r="AB431" s="2752"/>
      <c r="AC431" s="2752"/>
      <c r="AD431" s="2752"/>
      <c r="AE431" s="2752"/>
      <c r="AF431" s="2752"/>
      <c r="AG431" s="2752"/>
      <c r="AH431" s="2752"/>
      <c r="AI431" s="2752"/>
      <c r="AJ431" s="2752"/>
      <c r="AK431" s="2752"/>
      <c r="AL431" s="2752"/>
      <c r="AM431" s="2752"/>
      <c r="AN431" s="2752"/>
      <c r="AO431" s="2752"/>
      <c r="AP431" s="2752"/>
      <c r="AQ431" s="2752"/>
      <c r="AR431" s="2752"/>
      <c r="AS431" s="2752"/>
      <c r="AT431" s="2752"/>
      <c r="AU431" s="2752"/>
      <c r="AV431" s="2752"/>
      <c r="AW431" s="2752"/>
      <c r="AX431" s="2752"/>
      <c r="AY431" s="2752"/>
      <c r="AZ431" s="2752"/>
      <c r="BA431" s="2752"/>
      <c r="BB431" s="2752"/>
      <c r="BC431" s="2752"/>
      <c r="BD431" s="2752"/>
      <c r="BE431" s="2752"/>
      <c r="BF431" s="2752"/>
      <c r="BG431" s="2752"/>
      <c r="BH431" s="2752"/>
      <c r="BI431" s="2752"/>
      <c r="BJ431" s="2752"/>
      <c r="BK431" s="2752"/>
      <c r="BL431" s="2752"/>
      <c r="BM431" s="2752"/>
      <c r="BN431" s="2752"/>
      <c r="BO431" s="2752"/>
      <c r="BP431" s="2752"/>
      <c r="BQ431" s="2752"/>
      <c r="BR431" s="2752"/>
      <c r="BS431" s="2752"/>
      <c r="BT431" s="2752"/>
      <c r="BU431" s="2752"/>
      <c r="BV431" s="2752"/>
      <c r="BW431" s="2752"/>
      <c r="BX431" s="2752"/>
      <c r="BY431" s="2752"/>
      <c r="BZ431" s="2752"/>
      <c r="CA431" s="2752"/>
      <c r="CB431" s="2752"/>
      <c r="CC431" s="2752"/>
      <c r="CD431" s="2752"/>
      <c r="CE431" s="2752"/>
      <c r="CF431" s="2752"/>
      <c r="CG431" s="2752"/>
      <c r="CH431" s="2752"/>
      <c r="CI431" s="2752"/>
      <c r="CJ431" s="2752"/>
      <c r="CK431" s="2752"/>
      <c r="CL431" s="2752"/>
      <c r="CM431" s="2752"/>
      <c r="CN431" s="2752"/>
      <c r="CO431" s="2752"/>
      <c r="CP431" s="2752"/>
      <c r="CQ431" s="2752"/>
      <c r="CR431" s="2752"/>
      <c r="CS431" s="2752"/>
      <c r="CT431" s="2752"/>
      <c r="CU431" s="2752"/>
      <c r="CV431" s="2752"/>
      <c r="CW431" s="2752"/>
      <c r="CX431" s="2752"/>
      <c r="CY431" s="2752"/>
      <c r="CZ431" s="2752"/>
      <c r="DA431" s="2752"/>
      <c r="DB431" s="2752"/>
      <c r="DC431" s="2752"/>
      <c r="DD431" s="2752"/>
      <c r="DE431" s="2752"/>
      <c r="DF431" s="2752"/>
      <c r="DG431" s="2752"/>
      <c r="DH431" s="2752"/>
      <c r="DI431" s="2752"/>
      <c r="DJ431" s="2752"/>
      <c r="DK431" s="2752"/>
      <c r="DL431" s="2752"/>
      <c r="DM431" s="2752"/>
      <c r="DN431" s="2752"/>
      <c r="DO431" s="2752"/>
      <c r="DP431" s="2752"/>
      <c r="DQ431" s="2752"/>
      <c r="DR431" s="2752"/>
      <c r="DS431" s="2752"/>
      <c r="DT431" s="2752"/>
      <c r="DU431" s="2752"/>
      <c r="DV431" s="2752"/>
      <c r="DW431" s="2752"/>
      <c r="DX431" s="2752"/>
      <c r="DY431" s="2752"/>
      <c r="ED431" s="2369"/>
    </row>
    <row r="432" spans="1:134" ht="15.75" x14ac:dyDescent="0.25">
      <c r="A432" s="2753" t="e">
        <f>IF(SUM(#REF!)=15,"Параметры поддержания вентиляционной выработки работающей лавы","")</f>
        <v>#REF!</v>
      </c>
      <c r="B432" s="2970"/>
      <c r="C432" s="2755"/>
      <c r="G432" t="s">
        <v>6833</v>
      </c>
      <c r="H432" s="2752">
        <v>1</v>
      </c>
      <c r="I432" s="2752">
        <v>2</v>
      </c>
      <c r="J432" s="2752">
        <v>3</v>
      </c>
      <c r="K432" s="2752">
        <v>4</v>
      </c>
      <c r="L432" s="2752">
        <v>5</v>
      </c>
      <c r="M432" s="2752">
        <v>6</v>
      </c>
      <c r="N432" s="2752">
        <v>7</v>
      </c>
      <c r="O432" s="2752">
        <v>8</v>
      </c>
      <c r="P432" s="2752">
        <v>9</v>
      </c>
      <c r="S432" s="2752"/>
      <c r="T432" s="2752"/>
      <c r="U432" s="2752"/>
      <c r="V432" s="2758" t="s">
        <v>349</v>
      </c>
      <c r="W432" s="2752"/>
      <c r="Y432" s="2752"/>
      <c r="Z432" s="2752"/>
      <c r="AA432" s="2752"/>
      <c r="AB432" s="2752"/>
      <c r="AC432" s="2752"/>
      <c r="AD432" s="2752"/>
      <c r="AE432" s="2752"/>
      <c r="AF432" s="2752"/>
      <c r="AG432" s="2752"/>
      <c r="AH432" s="2752"/>
      <c r="AI432" s="2752"/>
      <c r="AJ432" s="2752"/>
      <c r="AK432" s="2752"/>
      <c r="AL432" s="2752"/>
      <c r="AM432" s="2752"/>
      <c r="AN432" s="2752"/>
      <c r="AO432" s="2752"/>
      <c r="AP432" s="2752"/>
      <c r="AQ432" s="2752"/>
      <c r="AR432" s="2752"/>
      <c r="AS432" s="2752"/>
      <c r="AT432" s="2752"/>
      <c r="AU432" s="2752"/>
      <c r="AV432" s="2752"/>
      <c r="AW432" s="2752"/>
      <c r="AX432" s="2752"/>
      <c r="AY432" s="2752"/>
      <c r="AZ432" s="2752"/>
      <c r="BA432" s="2752"/>
      <c r="BB432" s="2752"/>
      <c r="BC432" s="2752"/>
      <c r="BD432" s="2752"/>
      <c r="BE432" s="2752"/>
      <c r="BF432" s="2752"/>
      <c r="BG432" s="2752"/>
      <c r="BH432" s="2752"/>
      <c r="BI432" s="2752"/>
      <c r="BJ432" s="2752"/>
      <c r="BK432" s="2752"/>
      <c r="BL432" s="2752"/>
      <c r="BM432" s="2752"/>
      <c r="BN432" s="2752"/>
      <c r="BO432" s="2752"/>
      <c r="BP432" s="2752"/>
      <c r="BQ432" s="2752"/>
      <c r="BR432" s="2752"/>
      <c r="BS432" s="2752"/>
      <c r="BT432" s="2752"/>
      <c r="BU432" s="2752"/>
      <c r="BV432" s="2752"/>
      <c r="BW432" s="2752"/>
      <c r="BX432" s="2752"/>
      <c r="BY432" s="2752"/>
      <c r="BZ432" s="2752"/>
      <c r="CA432" s="2752"/>
      <c r="CB432" s="2752"/>
      <c r="CC432" s="2752"/>
      <c r="CD432" s="2752"/>
      <c r="CE432" s="2752"/>
      <c r="CF432" s="2752"/>
      <c r="CG432" s="2752"/>
      <c r="CH432" s="2752"/>
      <c r="CI432" s="2752"/>
      <c r="CJ432" s="2752"/>
      <c r="CK432" s="2752"/>
      <c r="CL432" s="2752"/>
      <c r="CM432" s="2752"/>
      <c r="CN432" s="2752"/>
      <c r="CO432" s="2752"/>
      <c r="CP432" s="2752"/>
      <c r="CQ432" s="2752"/>
      <c r="CR432" s="2752"/>
      <c r="CS432" s="2752"/>
      <c r="CT432" s="2752"/>
      <c r="CU432" s="2752"/>
      <c r="CV432" s="2752"/>
      <c r="CW432" s="2752"/>
      <c r="CX432" s="2752"/>
      <c r="CY432" s="2752"/>
      <c r="CZ432" s="2752"/>
      <c r="DA432" s="2752"/>
      <c r="DB432" s="2752"/>
      <c r="DC432" s="2752"/>
      <c r="DD432" s="2752"/>
      <c r="DE432" s="2752"/>
      <c r="DF432" s="2752"/>
      <c r="DG432" s="2752"/>
      <c r="DH432" s="2752"/>
      <c r="DI432" s="2752"/>
      <c r="DJ432" s="2752"/>
      <c r="DK432" s="2752"/>
      <c r="DL432" s="2752"/>
      <c r="DM432" s="2752"/>
      <c r="DN432" s="2752"/>
      <c r="DO432" s="2752"/>
      <c r="DP432" s="2752"/>
      <c r="DQ432" s="2752"/>
      <c r="DR432" s="2752"/>
      <c r="DS432" s="2752"/>
      <c r="DT432" s="2752"/>
      <c r="DU432" s="2752"/>
      <c r="DV432" s="2752"/>
      <c r="DW432" s="2752"/>
      <c r="DX432" s="2752"/>
      <c r="DY432" s="2752"/>
      <c r="ED432" s="2369"/>
    </row>
    <row r="433" spans="1:134" ht="13.5" x14ac:dyDescent="0.25">
      <c r="A433" s="2757" t="e">
        <f>IF(SUM(#REF!)=15,"наличие 1-й зоны поддержания;1-да,0-нет","")</f>
        <v>#REF!</v>
      </c>
      <c r="B433" s="2970" t="e">
        <f>INDEX(H433:P433,$C$39)</f>
        <v>#VALUE!</v>
      </c>
      <c r="C433" s="2755"/>
      <c r="G433" t="s">
        <v>6834</v>
      </c>
      <c r="H433" s="2621"/>
      <c r="I433" s="2621">
        <v>1</v>
      </c>
      <c r="J433" s="2990">
        <v>1</v>
      </c>
      <c r="K433" s="2990">
        <v>1</v>
      </c>
      <c r="L433" s="2990">
        <v>1</v>
      </c>
      <c r="M433" s="2990">
        <v>1</v>
      </c>
      <c r="N433" s="2990">
        <v>1</v>
      </c>
      <c r="O433" s="2990">
        <v>1</v>
      </c>
      <c r="P433" s="2990">
        <v>1</v>
      </c>
      <c r="Q433" t="s">
        <v>1058</v>
      </c>
      <c r="S433" s="2752"/>
      <c r="T433" s="2752"/>
      <c r="U433" s="2752"/>
      <c r="V433" s="2752"/>
      <c r="W433" s="2752"/>
      <c r="Y433" s="2752"/>
      <c r="Z433" s="2752"/>
      <c r="AA433" s="2752"/>
      <c r="AB433" s="2752"/>
      <c r="AC433" s="2752"/>
      <c r="AD433" s="2752"/>
      <c r="AE433" s="2752"/>
      <c r="AF433" s="2752"/>
      <c r="AG433" s="2752"/>
      <c r="AH433" s="2752"/>
      <c r="AI433" s="2752"/>
      <c r="AJ433" s="2752"/>
      <c r="AK433" s="2752"/>
      <c r="AL433" s="2752"/>
      <c r="AM433" s="2752"/>
      <c r="AN433" s="2752"/>
      <c r="AO433" s="2752"/>
      <c r="AP433" s="2752"/>
      <c r="AQ433" s="2752"/>
      <c r="AR433" s="2752"/>
      <c r="AS433" s="2752"/>
      <c r="AT433" s="2752"/>
      <c r="AU433" s="2752"/>
      <c r="AV433" s="2752"/>
      <c r="AW433" s="2752"/>
      <c r="AX433" s="2752"/>
      <c r="AY433" s="2752"/>
      <c r="AZ433" s="2752"/>
      <c r="BA433" s="2752"/>
      <c r="BB433" s="2752"/>
      <c r="BC433" s="2752"/>
      <c r="BD433" s="2752"/>
      <c r="BE433" s="2752"/>
      <c r="BF433" s="2752"/>
      <c r="BG433" s="2752"/>
      <c r="BH433" s="2752"/>
      <c r="BI433" s="2752"/>
      <c r="BJ433" s="2752"/>
      <c r="BK433" s="2752"/>
      <c r="BL433" s="2752"/>
      <c r="BM433" s="2752"/>
      <c r="BN433" s="2752"/>
      <c r="BO433" s="2752"/>
      <c r="BP433" s="2752"/>
      <c r="BQ433" s="2752"/>
      <c r="BR433" s="2752"/>
      <c r="BS433" s="2752"/>
      <c r="BT433" s="2752"/>
      <c r="BU433" s="2752"/>
      <c r="BV433" s="2752"/>
      <c r="BW433" s="2752"/>
      <c r="BX433" s="2752"/>
      <c r="BY433" s="2752"/>
      <c r="BZ433" s="2752"/>
      <c r="CA433" s="2752"/>
      <c r="CB433" s="2752"/>
      <c r="CC433" s="2752"/>
      <c r="CD433" s="2752"/>
      <c r="CE433" s="2752"/>
      <c r="CF433" s="2752"/>
      <c r="CG433" s="2752"/>
      <c r="CH433" s="2752"/>
      <c r="CI433" s="2752"/>
      <c r="CJ433" s="2752"/>
      <c r="CK433" s="2752"/>
      <c r="CL433" s="2752"/>
      <c r="CM433" s="2752"/>
      <c r="CN433" s="2752"/>
      <c r="CO433" s="2752"/>
      <c r="CP433" s="2752"/>
      <c r="CQ433" s="2752"/>
      <c r="CR433" s="2752"/>
      <c r="CS433" s="2752"/>
      <c r="CT433" s="2752"/>
      <c r="CU433" s="2752"/>
      <c r="CV433" s="2752"/>
      <c r="CW433" s="2752"/>
      <c r="CX433" s="2752"/>
      <c r="CY433" s="2752"/>
      <c r="CZ433" s="2752"/>
      <c r="DA433" s="2752"/>
      <c r="DB433" s="2752"/>
      <c r="DC433" s="2752"/>
      <c r="DD433" s="2752"/>
      <c r="DE433" s="2752"/>
      <c r="DF433" s="2752"/>
      <c r="DG433" s="2752"/>
      <c r="DH433" s="2752"/>
      <c r="DI433" s="2752"/>
      <c r="DJ433" s="2752"/>
      <c r="DK433" s="2752"/>
      <c r="DL433" s="2752"/>
      <c r="DM433" s="2752"/>
      <c r="DN433" s="2752"/>
      <c r="DO433" s="2752"/>
      <c r="DP433" s="2752"/>
      <c r="DQ433" s="2752"/>
      <c r="DR433" s="2752"/>
      <c r="DS433" s="2752"/>
      <c r="DT433" s="2752"/>
      <c r="DU433" s="2752"/>
      <c r="DV433" s="2752"/>
      <c r="DW433" s="2752"/>
      <c r="DX433" s="2752"/>
      <c r="DY433" s="2752"/>
      <c r="ED433" s="2369"/>
    </row>
    <row r="434" spans="1:134" x14ac:dyDescent="0.2">
      <c r="A434" s="2757" t="e">
        <f>IF(SUM(#REF!)=15,"наличие 2-й зоны поддержания;1-да,0-нет","")</f>
        <v>#REF!</v>
      </c>
      <c r="B434" s="2970" t="e">
        <f>INDEX(H434:P434,$C$39)</f>
        <v>#VALUE!</v>
      </c>
      <c r="G434" t="s">
        <v>6830</v>
      </c>
      <c r="H434" s="2621"/>
      <c r="I434" s="2621"/>
      <c r="J434" s="2990">
        <v>1</v>
      </c>
      <c r="K434" s="2990">
        <v>1</v>
      </c>
      <c r="L434" s="2990">
        <v>1</v>
      </c>
      <c r="M434" s="2990">
        <v>1</v>
      </c>
      <c r="N434" s="2990">
        <v>1</v>
      </c>
      <c r="O434" s="2990">
        <v>1</v>
      </c>
      <c r="P434" s="2990">
        <v>1</v>
      </c>
      <c r="Q434" t="s">
        <v>3352</v>
      </c>
      <c r="S434" s="2752"/>
      <c r="T434" s="2752"/>
      <c r="U434" s="2752"/>
      <c r="V434" s="2752"/>
      <c r="W434" s="2752"/>
      <c r="X434" s="2752"/>
      <c r="Y434" s="2752"/>
      <c r="Z434" s="2752"/>
      <c r="AA434" s="2752"/>
      <c r="AB434" s="2752"/>
      <c r="AC434" s="2752"/>
      <c r="AD434" s="2752"/>
      <c r="AE434" s="2752"/>
      <c r="AF434" s="2752"/>
      <c r="AG434" s="2752"/>
      <c r="AH434" s="2752"/>
      <c r="AI434" s="2752"/>
      <c r="AJ434" s="2752"/>
      <c r="AK434" s="2752"/>
      <c r="AL434" s="2752"/>
      <c r="AM434" s="2752"/>
      <c r="AN434" s="2752"/>
      <c r="AO434" s="2752"/>
      <c r="AP434" s="2752"/>
      <c r="AQ434" s="2752"/>
      <c r="AR434" s="2752"/>
      <c r="AS434" s="2752"/>
      <c r="AT434" s="2752"/>
      <c r="AU434" s="2752"/>
      <c r="AV434" s="2752"/>
      <c r="AW434" s="2752"/>
      <c r="AX434" s="2752"/>
      <c r="AY434" s="2752"/>
      <c r="AZ434" s="2752"/>
      <c r="BA434" s="2752"/>
      <c r="BB434" s="2752"/>
      <c r="BC434" s="2752"/>
      <c r="BD434" s="2752"/>
      <c r="BE434" s="2752"/>
      <c r="BF434" s="2752"/>
      <c r="BG434" s="2752"/>
      <c r="BH434" s="2752"/>
      <c r="BI434" s="2752"/>
      <c r="BJ434" s="2752"/>
      <c r="BK434" s="2752"/>
      <c r="BL434" s="2752"/>
      <c r="BM434" s="2752"/>
      <c r="BN434" s="2752"/>
      <c r="BO434" s="2752"/>
      <c r="BP434" s="2752"/>
      <c r="BQ434" s="2752"/>
      <c r="BR434" s="2752"/>
      <c r="BS434" s="2752"/>
      <c r="BT434" s="2752"/>
      <c r="BU434" s="2752"/>
      <c r="BV434" s="2752"/>
      <c r="BW434" s="2752"/>
      <c r="BX434" s="2752"/>
      <c r="BY434" s="2752"/>
      <c r="BZ434" s="2752"/>
      <c r="CA434" s="2752"/>
      <c r="CB434" s="2752"/>
      <c r="CC434" s="2752"/>
      <c r="CD434" s="2752"/>
      <c r="CE434" s="2752"/>
      <c r="CF434" s="2752"/>
      <c r="CG434" s="2752"/>
      <c r="CH434" s="2752"/>
      <c r="CI434" s="2752"/>
      <c r="CJ434" s="2752"/>
      <c r="CK434" s="2752"/>
      <c r="CL434" s="2752"/>
      <c r="CM434" s="2752"/>
      <c r="CN434" s="2752"/>
      <c r="CO434" s="2752"/>
      <c r="CP434" s="2752"/>
      <c r="CQ434" s="2752"/>
      <c r="CR434" s="2752"/>
      <c r="CS434" s="2752"/>
      <c r="CT434" s="2752"/>
      <c r="CU434" s="2752"/>
      <c r="CV434" s="2752"/>
      <c r="CW434" s="2752"/>
      <c r="CX434" s="2752"/>
      <c r="CY434" s="2752"/>
      <c r="CZ434" s="2752"/>
      <c r="DA434" s="2752"/>
      <c r="DB434" s="2752"/>
      <c r="DC434" s="2752"/>
      <c r="DD434" s="2752"/>
      <c r="DE434" s="2752"/>
      <c r="DF434" s="2752"/>
      <c r="DG434" s="2752"/>
      <c r="DH434" s="2752"/>
      <c r="DI434" s="2752"/>
      <c r="DJ434" s="2752"/>
      <c r="DK434" s="2752"/>
      <c r="DL434" s="2752"/>
      <c r="DM434" s="2752"/>
      <c r="DN434" s="2752"/>
      <c r="DO434" s="2752"/>
      <c r="DP434" s="2752"/>
      <c r="DQ434" s="2752"/>
      <c r="DR434" s="2752"/>
      <c r="DS434" s="2752"/>
      <c r="DT434" s="2752"/>
      <c r="DU434" s="2752"/>
      <c r="DV434" s="2752"/>
      <c r="DW434" s="2752"/>
      <c r="DX434" s="2752"/>
      <c r="DY434" s="2752"/>
      <c r="ED434" s="2369"/>
    </row>
    <row r="435" spans="1:134" x14ac:dyDescent="0.2">
      <c r="A435" s="2757" t="e">
        <f>IF(SUM(#REF!)=15,"наличие 3-й зоны поддержания;1-да,0-нет","")</f>
        <v>#REF!</v>
      </c>
      <c r="B435" s="2970" t="e">
        <f>INDEX(H435:P435,$C$39)</f>
        <v>#VALUE!</v>
      </c>
      <c r="G435" t="s">
        <v>6835</v>
      </c>
      <c r="H435" s="2990">
        <v>1</v>
      </c>
      <c r="I435" s="2990">
        <v>1</v>
      </c>
      <c r="J435" s="2621"/>
      <c r="K435" s="2990"/>
      <c r="L435" s="2990">
        <v>1</v>
      </c>
      <c r="M435" s="2990"/>
      <c r="N435" s="2990">
        <v>1</v>
      </c>
      <c r="O435" s="2990"/>
      <c r="P435" s="2990">
        <v>1</v>
      </c>
      <c r="Q435" t="s">
        <v>3353</v>
      </c>
      <c r="S435" s="2752"/>
      <c r="T435" s="2752"/>
      <c r="U435" s="2752"/>
      <c r="V435" s="2752"/>
      <c r="W435" s="2752"/>
      <c r="X435" s="2752"/>
      <c r="Y435" s="2752"/>
      <c r="Z435" s="2752"/>
      <c r="AA435" s="2752"/>
      <c r="AB435" s="2752"/>
      <c r="AC435" s="2752"/>
      <c r="AD435" s="2752"/>
      <c r="AE435" s="2752"/>
      <c r="AF435" s="2752"/>
      <c r="AG435" s="2752"/>
      <c r="AH435" s="2752"/>
      <c r="AI435" s="2752"/>
      <c r="AJ435" s="2752"/>
      <c r="AK435" s="2752"/>
      <c r="AL435" s="2752"/>
      <c r="AM435" s="2752"/>
      <c r="AN435" s="2752"/>
      <c r="AO435" s="2752"/>
      <c r="AP435" s="2752"/>
      <c r="AQ435" s="2752"/>
      <c r="AR435" s="2752"/>
      <c r="AS435" s="2752"/>
      <c r="AT435" s="2752"/>
      <c r="AU435" s="2752"/>
      <c r="AV435" s="2752"/>
      <c r="AW435" s="2752"/>
      <c r="AX435" s="2752"/>
      <c r="AY435" s="2752"/>
      <c r="AZ435" s="2752"/>
      <c r="BA435" s="2752"/>
      <c r="BB435" s="2752"/>
      <c r="BC435" s="2752"/>
      <c r="BD435" s="2752"/>
      <c r="BE435" s="2752"/>
      <c r="BF435" s="2752"/>
      <c r="BG435" s="2752"/>
      <c r="BH435" s="2752"/>
      <c r="BI435" s="2752"/>
      <c r="BJ435" s="2752"/>
      <c r="BK435" s="2752"/>
      <c r="BL435" s="2752"/>
      <c r="BM435" s="2752"/>
      <c r="BN435" s="2752"/>
      <c r="BO435" s="2752"/>
      <c r="BP435" s="2752"/>
      <c r="BQ435" s="2752"/>
      <c r="BR435" s="2752"/>
      <c r="BS435" s="2752"/>
      <c r="BT435" s="2752"/>
      <c r="BU435" s="2752"/>
      <c r="BV435" s="2752"/>
      <c r="BW435" s="2752"/>
      <c r="BX435" s="2752"/>
      <c r="BY435" s="2752"/>
      <c r="BZ435" s="2752"/>
      <c r="CA435" s="2752"/>
      <c r="CB435" s="2752"/>
      <c r="CC435" s="2752"/>
      <c r="CD435" s="2752"/>
      <c r="CE435" s="2752"/>
      <c r="CF435" s="2752"/>
      <c r="CG435" s="2752"/>
      <c r="CH435" s="2752"/>
      <c r="CI435" s="2752"/>
      <c r="CJ435" s="2752"/>
      <c r="CK435" s="2752"/>
      <c r="CL435" s="2752"/>
      <c r="CM435" s="2752"/>
      <c r="CN435" s="2752"/>
      <c r="CO435" s="2752"/>
      <c r="CP435" s="2752"/>
      <c r="CQ435" s="2752"/>
      <c r="CR435" s="2752"/>
      <c r="CS435" s="2752"/>
      <c r="CT435" s="2752"/>
      <c r="CU435" s="2752"/>
      <c r="CV435" s="2752"/>
      <c r="CW435" s="2752"/>
      <c r="CX435" s="2752"/>
      <c r="CY435" s="2752"/>
      <c r="CZ435" s="2752"/>
      <c r="DA435" s="2752"/>
      <c r="DB435" s="2752"/>
      <c r="DC435" s="2752"/>
      <c r="DD435" s="2752"/>
      <c r="DE435" s="2752"/>
      <c r="DF435" s="2752"/>
      <c r="DG435" s="2752"/>
      <c r="DH435" s="2752"/>
      <c r="DI435" s="2752"/>
      <c r="DJ435" s="2752"/>
      <c r="DK435" s="2752"/>
      <c r="DL435" s="2752"/>
      <c r="DM435" s="2752"/>
      <c r="DN435" s="2752"/>
      <c r="DO435" s="2752"/>
      <c r="DP435" s="2752"/>
      <c r="DQ435" s="2752"/>
      <c r="DR435" s="2752"/>
      <c r="DS435" s="2752"/>
      <c r="DT435" s="2752"/>
      <c r="DU435" s="2752"/>
      <c r="DV435" s="2752"/>
      <c r="DW435" s="2752"/>
      <c r="DX435" s="2752"/>
      <c r="DY435" s="2752"/>
      <c r="ED435" s="2369"/>
    </row>
    <row r="436" spans="1:134" x14ac:dyDescent="0.2">
      <c r="A436" s="2757" t="e">
        <f>IF(SUM(#REF!)=15,"наличие 4-й зоны поддержания;1-да,0-нет","")</f>
        <v>#REF!</v>
      </c>
      <c r="B436" s="2970" t="e">
        <f>INDEX(H436:P436,$C$39)</f>
        <v>#VALUE!</v>
      </c>
      <c r="G436" t="s">
        <v>6836</v>
      </c>
      <c r="H436" s="2990">
        <v>1</v>
      </c>
      <c r="I436" s="2990">
        <v>1</v>
      </c>
      <c r="J436" s="2621"/>
      <c r="K436" s="2990"/>
      <c r="L436" s="2990">
        <v>1</v>
      </c>
      <c r="M436" s="2990">
        <v>1</v>
      </c>
      <c r="N436" s="2990">
        <v>1</v>
      </c>
      <c r="O436" s="2990"/>
      <c r="P436" s="2990"/>
      <c r="Q436" t="s">
        <v>6837</v>
      </c>
      <c r="S436" s="2752"/>
      <c r="T436" s="2752"/>
      <c r="U436" s="2752"/>
      <c r="V436" s="2752"/>
      <c r="W436" s="2752"/>
      <c r="X436" s="2752"/>
      <c r="Y436" s="2752"/>
      <c r="Z436" s="2752"/>
      <c r="AA436" s="2752"/>
      <c r="AB436" s="2752"/>
      <c r="AC436" s="2752"/>
      <c r="AD436" s="2752"/>
      <c r="AE436" s="2752"/>
      <c r="AF436" s="2752"/>
      <c r="AG436" s="2752"/>
      <c r="AH436" s="2752"/>
      <c r="AI436" s="2752"/>
      <c r="AJ436" s="2752"/>
      <c r="AK436" s="2752"/>
      <c r="AL436" s="2752"/>
      <c r="AM436" s="2752"/>
      <c r="AN436" s="2752"/>
      <c r="AO436" s="2752"/>
      <c r="AP436" s="2752"/>
      <c r="AQ436" s="2752"/>
      <c r="AR436" s="2752"/>
      <c r="AS436" s="2752"/>
      <c r="AT436" s="2752"/>
      <c r="AU436" s="2752"/>
      <c r="AV436" s="2752"/>
      <c r="AW436" s="2752"/>
      <c r="AX436" s="2752"/>
      <c r="AY436" s="2752"/>
      <c r="AZ436" s="2752"/>
      <c r="BA436" s="2752"/>
      <c r="BB436" s="2752"/>
      <c r="BC436" s="2752"/>
      <c r="BD436" s="2752"/>
      <c r="BE436" s="2752"/>
      <c r="BF436" s="2752"/>
      <c r="BG436" s="2752"/>
      <c r="BH436" s="2752"/>
      <c r="BI436" s="2752"/>
      <c r="BJ436" s="2752"/>
      <c r="BK436" s="2752"/>
      <c r="BL436" s="2752"/>
      <c r="BM436" s="2752"/>
      <c r="BN436" s="2752"/>
      <c r="BO436" s="2752"/>
      <c r="BP436" s="2752"/>
      <c r="BQ436" s="2752"/>
      <c r="BR436" s="2752"/>
      <c r="BS436" s="2752"/>
      <c r="BT436" s="2752"/>
      <c r="BU436" s="2752"/>
      <c r="BV436" s="2752"/>
      <c r="BW436" s="2752"/>
      <c r="BX436" s="2752"/>
      <c r="BY436" s="2752"/>
      <c r="BZ436" s="2752"/>
      <c r="CA436" s="2752"/>
      <c r="CB436" s="2752"/>
      <c r="CC436" s="2752"/>
      <c r="CD436" s="2752"/>
      <c r="CE436" s="2752"/>
      <c r="CF436" s="2752"/>
      <c r="CG436" s="2752"/>
      <c r="CH436" s="2752"/>
      <c r="CI436" s="2752"/>
      <c r="CJ436" s="2752"/>
      <c r="CK436" s="2752"/>
      <c r="CL436" s="2752"/>
      <c r="CM436" s="2752"/>
      <c r="CN436" s="2752"/>
      <c r="CO436" s="2752"/>
      <c r="CP436" s="2752"/>
      <c r="CQ436" s="2752"/>
      <c r="CR436" s="2752"/>
      <c r="CS436" s="2752"/>
      <c r="CT436" s="2752"/>
      <c r="CU436" s="2752"/>
      <c r="CV436" s="2752"/>
      <c r="CW436" s="2752"/>
      <c r="CX436" s="2752"/>
      <c r="CY436" s="2752"/>
      <c r="CZ436" s="2752"/>
      <c r="DA436" s="2752"/>
      <c r="DB436" s="2752"/>
      <c r="DC436" s="2752"/>
      <c r="DD436" s="2752"/>
      <c r="DE436" s="2752"/>
      <c r="DF436" s="2752"/>
      <c r="DG436" s="2752"/>
      <c r="DH436" s="2752"/>
      <c r="DI436" s="2752"/>
      <c r="DJ436" s="2752"/>
      <c r="DK436" s="2752"/>
      <c r="DL436" s="2752"/>
      <c r="DM436" s="2752"/>
      <c r="DN436" s="2752"/>
      <c r="DO436" s="2752"/>
      <c r="DP436" s="2752"/>
      <c r="DQ436" s="2752"/>
      <c r="DR436" s="2752"/>
      <c r="DS436" s="2752"/>
      <c r="DT436" s="2752"/>
      <c r="DU436" s="2752"/>
      <c r="DV436" s="2752"/>
      <c r="DW436" s="2752"/>
      <c r="DX436" s="2752"/>
      <c r="DY436" s="2752"/>
      <c r="ED436" s="2369"/>
    </row>
    <row r="437" spans="1:134" ht="29.25" customHeight="1" x14ac:dyDescent="0.25">
      <c r="A437" s="2747" t="e">
        <f>IF(SUM(#REF!)=15," Номер образа транспортной выработки  работающей лавы  (смотри таблицу образов горной выработки)","")</f>
        <v>#REF!</v>
      </c>
      <c r="B437" s="2970" t="e">
        <f>INDEX(H437:P437,$C$39)</f>
        <v>#VALUE!</v>
      </c>
      <c r="C437" s="2759"/>
      <c r="H437" s="2746">
        <v>6</v>
      </c>
      <c r="I437" s="2746">
        <v>6</v>
      </c>
      <c r="J437" s="2746">
        <v>1</v>
      </c>
      <c r="K437" s="2746">
        <v>1</v>
      </c>
      <c r="L437" s="2746">
        <v>6</v>
      </c>
      <c r="M437" s="2746">
        <v>1</v>
      </c>
      <c r="N437" s="2752">
        <v>1</v>
      </c>
      <c r="O437" s="2746">
        <v>1</v>
      </c>
      <c r="P437" s="2746">
        <v>1</v>
      </c>
      <c r="Q437" s="4280"/>
    </row>
    <row r="438" spans="1:134" ht="36" customHeight="1" x14ac:dyDescent="0.25">
      <c r="A438" s="2760" t="e">
        <f>A430</f>
        <v>#REF!</v>
      </c>
      <c r="B438" s="2970"/>
      <c r="C438" s="2759"/>
      <c r="G438" t="s">
        <v>6774</v>
      </c>
      <c r="H438" s="2746"/>
      <c r="I438" s="2746"/>
      <c r="J438" s="2746"/>
      <c r="K438" s="2746"/>
      <c r="L438" s="2746"/>
      <c r="M438" s="2746"/>
    </row>
    <row r="439" spans="1:134" ht="15.75" x14ac:dyDescent="0.25">
      <c r="A439" s="2761" t="e">
        <f>IF(AND(B617=1,B780=1),"Продолжайте ввод данных",IF(AND(B617=2,B781=1),"Продолжайте ввод данных","Номер образа выработки не соответствует заданным Вами условиям"))</f>
        <v>#VALUE!</v>
      </c>
      <c r="B439" s="2970"/>
      <c r="C439" s="2762"/>
      <c r="H439" s="2746"/>
      <c r="I439" s="2746"/>
      <c r="J439" s="2746"/>
      <c r="K439" s="2746"/>
      <c r="L439" s="2746"/>
      <c r="M439" s="2746"/>
    </row>
    <row r="440" spans="1:134" ht="15.75" x14ac:dyDescent="0.25">
      <c r="A440" s="2753" t="s">
        <v>1656</v>
      </c>
      <c r="B440" s="2970"/>
      <c r="C440" s="2759"/>
      <c r="G440" t="s">
        <v>6828</v>
      </c>
      <c r="H440" s="4279">
        <v>1</v>
      </c>
      <c r="I440" s="4279">
        <v>2</v>
      </c>
      <c r="J440" s="4279">
        <v>3</v>
      </c>
      <c r="K440" s="4279">
        <v>4</v>
      </c>
      <c r="L440" s="4279">
        <v>5</v>
      </c>
      <c r="M440" s="4279">
        <v>6</v>
      </c>
      <c r="N440" s="4279">
        <v>7</v>
      </c>
      <c r="O440" s="4279">
        <v>8</v>
      </c>
      <c r="P440" s="4279">
        <v>9</v>
      </c>
    </row>
    <row r="441" spans="1:134" ht="13.5" x14ac:dyDescent="0.25">
      <c r="A441" s="2763" t="s">
        <v>112</v>
      </c>
      <c r="B441" s="2970" t="e">
        <f>INDEX(H441:P441,$C$39)</f>
        <v>#VALUE!</v>
      </c>
      <c r="C441" s="2759"/>
      <c r="G441" t="s">
        <v>6829</v>
      </c>
      <c r="H441" s="4279"/>
      <c r="I441" s="4279"/>
      <c r="J441" s="4279">
        <v>1</v>
      </c>
      <c r="K441" s="4279">
        <v>1</v>
      </c>
      <c r="L441" s="4279"/>
      <c r="M441" s="4279">
        <v>1</v>
      </c>
      <c r="N441" s="4279">
        <v>1</v>
      </c>
      <c r="O441" s="4279">
        <v>1</v>
      </c>
      <c r="P441" s="4279">
        <v>1</v>
      </c>
      <c r="Q441" t="s">
        <v>6837</v>
      </c>
    </row>
    <row r="442" spans="1:134" ht="13.5" x14ac:dyDescent="0.25">
      <c r="A442" s="2763" t="s">
        <v>113</v>
      </c>
      <c r="B442" s="2970" t="e">
        <f>INDEX(H442:P442,$C$39)</f>
        <v>#VALUE!</v>
      </c>
      <c r="C442" s="2759"/>
      <c r="G442" t="s">
        <v>6830</v>
      </c>
      <c r="H442" s="4279"/>
      <c r="I442" s="4279"/>
      <c r="J442" s="4279">
        <v>1</v>
      </c>
      <c r="K442" s="4279">
        <v>1</v>
      </c>
      <c r="L442" s="4279"/>
      <c r="M442" s="4279">
        <v>1</v>
      </c>
      <c r="N442" s="4279">
        <v>1</v>
      </c>
      <c r="O442" s="4279">
        <v>1</v>
      </c>
      <c r="P442" s="4279">
        <v>1</v>
      </c>
      <c r="Q442" t="s">
        <v>3437</v>
      </c>
    </row>
    <row r="443" spans="1:134" ht="15.75" x14ac:dyDescent="0.25">
      <c r="A443" s="2763" t="s">
        <v>3042</v>
      </c>
      <c r="B443" s="2970" t="e">
        <f>INDEX(H443:P443,$C$39)</f>
        <v>#VALUE!</v>
      </c>
      <c r="C443" s="2759"/>
      <c r="G443" t="s">
        <v>6831</v>
      </c>
      <c r="H443" s="4279">
        <v>1</v>
      </c>
      <c r="I443" s="4279">
        <v>1</v>
      </c>
      <c r="J443" s="4279"/>
      <c r="K443" s="4279">
        <v>1</v>
      </c>
      <c r="L443" s="5">
        <v>1</v>
      </c>
      <c r="M443" s="5"/>
      <c r="N443" s="5">
        <v>1</v>
      </c>
      <c r="O443" s="5"/>
      <c r="P443" s="5">
        <v>1</v>
      </c>
      <c r="Q443" t="s">
        <v>2912</v>
      </c>
      <c r="Y443" s="893" t="s">
        <v>1400</v>
      </c>
    </row>
    <row r="444" spans="1:134" ht="13.5" x14ac:dyDescent="0.25">
      <c r="A444" s="2763" t="s">
        <v>3043</v>
      </c>
      <c r="B444" s="2970" t="e">
        <f>INDEX(H444:P444,$C$39)</f>
        <v>#VALUE!</v>
      </c>
      <c r="C444" s="2759"/>
      <c r="G444" t="s">
        <v>6832</v>
      </c>
      <c r="H444" s="4279">
        <v>1</v>
      </c>
      <c r="I444" s="4279">
        <v>1</v>
      </c>
      <c r="J444" s="4279"/>
      <c r="K444" s="4279"/>
      <c r="L444" s="5">
        <v>1</v>
      </c>
      <c r="M444" s="5"/>
      <c r="N444" s="5"/>
      <c r="O444" s="5">
        <v>1</v>
      </c>
      <c r="P444" s="5">
        <v>1</v>
      </c>
      <c r="Q444" t="s">
        <v>3353</v>
      </c>
      <c r="X444">
        <v>1</v>
      </c>
      <c r="Y444" t="s">
        <v>3497</v>
      </c>
    </row>
    <row r="445" spans="1:134" ht="15.75" x14ac:dyDescent="0.25">
      <c r="A445" s="2764" t="e">
        <f>IF(SUM(#REF!)=22,"Харатеристика участковых выработок подготавливаемого участка","")</f>
        <v>#REF!</v>
      </c>
      <c r="B445" s="242"/>
      <c r="X445">
        <v>6</v>
      </c>
      <c r="Y445" t="s">
        <v>3498</v>
      </c>
    </row>
    <row r="446" spans="1:134" x14ac:dyDescent="0.2">
      <c r="A446" s="2735" t="e">
        <f>IF(B617=1,"В Вашем случае заблаговременно проводить транспортную выработку новой лавы не нужно ! Переходите к строке -",IF(B617=2,"В Вашем случае в период работы лавы необходимо проводить транспортную выработку следующего выемочного участка !"))</f>
        <v>#VALUE!</v>
      </c>
      <c r="B446" s="898" t="e">
        <f>IF(B617=1,ROW(455:455),"")</f>
        <v>#VALUE!</v>
      </c>
      <c r="H446" s="8"/>
      <c r="I446" s="8"/>
      <c r="J446" s="8"/>
      <c r="K446" s="8"/>
      <c r="L446">
        <v>1</v>
      </c>
      <c r="X446">
        <v>7</v>
      </c>
      <c r="Y446" t="s">
        <v>3499</v>
      </c>
    </row>
    <row r="447" spans="1:134" x14ac:dyDescent="0.2">
      <c r="A447" s="2745" t="e">
        <f>IF(SUM(#REF!)=22,"Транспортная выработка подготавливаемого участка","")</f>
        <v>#REF!</v>
      </c>
      <c r="X447">
        <v>8</v>
      </c>
      <c r="Y447" t="s">
        <v>3954</v>
      </c>
    </row>
    <row r="448" spans="1:134" x14ac:dyDescent="0.2">
      <c r="A448" s="217" t="s">
        <v>3301</v>
      </c>
      <c r="B448" s="213" t="e">
        <f>IF(INDEX(H449:P449,$C$39)&gt;0,1,0)</f>
        <v>#VALUE!</v>
      </c>
      <c r="Y448" t="s">
        <v>3955</v>
      </c>
    </row>
    <row r="449" spans="1:25" x14ac:dyDescent="0.2">
      <c r="A449" s="920" t="e">
        <f>IF(B617=1,"Не вводить !","Номер образа транспортной участковой выработки в период ее проведения (см. таблицу образов выработки)")</f>
        <v>#VALUE!</v>
      </c>
      <c r="B449" s="944" t="e">
        <f>INDEX(H449:P449,$C$39)</f>
        <v>#VALUE!</v>
      </c>
      <c r="J449">
        <v>24</v>
      </c>
      <c r="K449">
        <v>24</v>
      </c>
      <c r="M449">
        <v>24</v>
      </c>
      <c r="N449">
        <v>24</v>
      </c>
      <c r="O449">
        <v>24</v>
      </c>
      <c r="P449">
        <v>24</v>
      </c>
      <c r="X449">
        <v>12</v>
      </c>
      <c r="Y449" t="s">
        <v>3956</v>
      </c>
    </row>
    <row r="450" spans="1:25" ht="44.25" customHeight="1" x14ac:dyDescent="0.2">
      <c r="A450" s="920" t="e">
        <f>IF(A449="Не вводить !","",INDEX(Y444:Y456,MATCH(B449,X444:X454,0)))</f>
        <v>#VALUE!</v>
      </c>
      <c r="B450" s="944"/>
      <c r="X450">
        <v>13</v>
      </c>
      <c r="Y450" t="s">
        <v>3957</v>
      </c>
    </row>
    <row r="451" spans="1:25" x14ac:dyDescent="0.2">
      <c r="A451" s="920" t="e">
        <f>IF(A449="Не вводить !","Не вводить !","наличие 1-й зоны поддержания;1-да,0-нет")</f>
        <v>#VALUE!</v>
      </c>
      <c r="B451" s="944" t="e">
        <f>INDEX(H451:P451,$C$39)</f>
        <v>#VALUE!</v>
      </c>
      <c r="J451">
        <v>1</v>
      </c>
      <c r="K451">
        <v>1</v>
      </c>
      <c r="M451">
        <v>1</v>
      </c>
      <c r="N451">
        <v>1</v>
      </c>
      <c r="O451">
        <v>1</v>
      </c>
      <c r="P451">
        <v>1</v>
      </c>
      <c r="X451">
        <v>14</v>
      </c>
      <c r="Y451" t="s">
        <v>3958</v>
      </c>
    </row>
    <row r="452" spans="1:25" x14ac:dyDescent="0.2">
      <c r="A452" s="920" t="e">
        <f>IF(A449="Не вводить !","Не вводить !","наличие 2-й зоны поддержания;1-да,0-нет")</f>
        <v>#VALUE!</v>
      </c>
      <c r="B452" s="944" t="e">
        <f>INDEX(H452:P452,$C$39)</f>
        <v>#VALUE!</v>
      </c>
      <c r="X452">
        <v>18</v>
      </c>
      <c r="Y452" t="s">
        <v>3959</v>
      </c>
    </row>
    <row r="453" spans="1:25" x14ac:dyDescent="0.2">
      <c r="A453" s="920" t="e">
        <f>IF(A449="Не вводить !","Не вводить !","наличие 3-й зоны поддержания;1-да,0-нет")</f>
        <v>#VALUE!</v>
      </c>
      <c r="B453" s="944" t="e">
        <f>INDEX(H453:P453,$C$39)</f>
        <v>#VALUE!</v>
      </c>
      <c r="X453">
        <v>19</v>
      </c>
      <c r="Y453" t="s">
        <v>3960</v>
      </c>
    </row>
    <row r="454" spans="1:25" x14ac:dyDescent="0.2">
      <c r="A454" s="920" t="e">
        <f>IF(A449="Не вводить !","Не вводить !","наличие 4-й зоны поддержания;1-да,0-нет")</f>
        <v>#VALUE!</v>
      </c>
      <c r="B454" s="944" t="e">
        <f>INDEX(H454:P454,$C$39)</f>
        <v>#VALUE!</v>
      </c>
      <c r="X454">
        <v>24</v>
      </c>
      <c r="Y454" t="s">
        <v>3961</v>
      </c>
    </row>
    <row r="455" spans="1:25" x14ac:dyDescent="0.2">
      <c r="A455" s="2735" t="e">
        <f>IF(OR(B607=4,B614=1),"В Вашем случае заблаговременно готовить вентиляционную выработку новой лавы не нужно!  Переходите к строке  ","В Вашем случае в период работы лавы необходимо  проводить вентиляционную выработку новой лавы ! ")</f>
        <v>#VALUE!</v>
      </c>
      <c r="B455" s="898" t="e">
        <f>IF(OR(B607=4,B614=1),ROW(469:469),"")</f>
        <v>#VALUE!</v>
      </c>
      <c r="X455">
        <v>25</v>
      </c>
      <c r="Y455" t="s">
        <v>3033</v>
      </c>
    </row>
    <row r="456" spans="1:25" ht="27" customHeight="1" x14ac:dyDescent="0.2">
      <c r="A456" s="2745" t="s">
        <v>681</v>
      </c>
      <c r="X456">
        <v>26</v>
      </c>
      <c r="Y456" t="s">
        <v>3034</v>
      </c>
    </row>
    <row r="457" spans="1:25" x14ac:dyDescent="0.2">
      <c r="A457" s="2745" t="s">
        <v>680</v>
      </c>
    </row>
    <row r="458" spans="1:25" ht="39" customHeight="1" x14ac:dyDescent="0.2">
      <c r="A458" s="2936" t="e">
        <f>IF(B607=1,"Вентиляционная выработка подготавливаемой лавы проводится на всю длину не встречаясь с лавой","")</f>
        <v>#VALUE!</v>
      </c>
    </row>
    <row r="459" spans="1:25" ht="17.25" customHeight="1" x14ac:dyDescent="0.2">
      <c r="A459" s="2706" t="s">
        <v>3301</v>
      </c>
      <c r="B459" t="e">
        <f>IF(INDEX(H449:P449,$C$39)&gt;0,1,0)</f>
        <v>#VALUE!</v>
      </c>
    </row>
    <row r="460" spans="1:25" x14ac:dyDescent="0.2">
      <c r="A460" s="920" t="e">
        <f>IF(B607=2,"Не вводить !","Номер выработки в таблице")</f>
        <v>#VALUE!</v>
      </c>
      <c r="B460" t="e">
        <f>INDEX(H449:P449,$C$39)</f>
        <v>#VALUE!</v>
      </c>
      <c r="J460">
        <v>24</v>
      </c>
      <c r="M460">
        <v>24</v>
      </c>
      <c r="O460">
        <v>24</v>
      </c>
    </row>
    <row r="461" spans="1:25" ht="38.25" customHeight="1" x14ac:dyDescent="0.2">
      <c r="A461" s="1204" t="e">
        <f>IF(A460="Не вводить !","",INDEX(Y444:Y456,MATCH(B456:X460,0)))</f>
        <v>#VALUE!</v>
      </c>
      <c r="B461" s="857"/>
    </row>
    <row r="462" spans="1:25" ht="31.5" customHeight="1" x14ac:dyDescent="0.2">
      <c r="A462" s="920" t="e">
        <f>IF(B607=2,"Не вводить !","Выр-ка проводиться;1-за лавой,  2-самостоятельно")</f>
        <v>#VALUE!</v>
      </c>
      <c r="B462" s="857">
        <v>2</v>
      </c>
      <c r="J462">
        <v>2</v>
      </c>
      <c r="M462">
        <v>2</v>
      </c>
      <c r="O462">
        <v>2</v>
      </c>
    </row>
    <row r="463" spans="1:25" x14ac:dyDescent="0.2">
      <c r="A463" s="920" t="e">
        <f>IF(B607=2,"Не вводить !","Размер целика между выработкой и старыми работами, м")</f>
        <v>#VALUE!</v>
      </c>
      <c r="B463" s="857">
        <v>60</v>
      </c>
      <c r="J463">
        <v>60</v>
      </c>
      <c r="M463">
        <v>60</v>
      </c>
      <c r="O463">
        <v>60</v>
      </c>
    </row>
    <row r="464" spans="1:25" x14ac:dyDescent="0.2">
      <c r="A464" s="920" t="e">
        <f>IF(B607=2,"Не вводить !","наличие 1-й зоны поддержания;1-да,0-нет")</f>
        <v>#VALUE!</v>
      </c>
      <c r="B464" s="857">
        <v>1</v>
      </c>
      <c r="J464">
        <v>1</v>
      </c>
      <c r="M464">
        <v>1</v>
      </c>
      <c r="O464">
        <v>1</v>
      </c>
    </row>
    <row r="465" spans="1:13" x14ac:dyDescent="0.2">
      <c r="A465" s="920" t="e">
        <f>IF(B607=2,"Не вводить !","наличие 2-й зоны поддержания;1-да,0-нет")</f>
        <v>#VALUE!</v>
      </c>
      <c r="B465" s="857"/>
    </row>
    <row r="466" spans="1:13" x14ac:dyDescent="0.2">
      <c r="A466" s="920" t="e">
        <f>IF(B607=2,"Не вводить !","наличие 3-й зоны поддержания;1-да,0-нет")</f>
        <v>#VALUE!</v>
      </c>
      <c r="B466" s="857"/>
    </row>
    <row r="467" spans="1:13" x14ac:dyDescent="0.2">
      <c r="A467" s="920" t="e">
        <f>IF(B607=2,"Не вводить !","наличие 4-й зоны поддержания;1-да,0 - нет")</f>
        <v>#VALUE!</v>
      </c>
      <c r="B467" s="857"/>
    </row>
    <row r="468" spans="1:13" x14ac:dyDescent="0.2">
      <c r="A468" s="920" t="e">
        <f>IF(B607=2,"Не вводить !","0-Выработка ранее проведена,1-проводиться")</f>
        <v>#VALUE!</v>
      </c>
      <c r="B468" s="857">
        <v>1</v>
      </c>
      <c r="J468">
        <v>1</v>
      </c>
      <c r="M468">
        <v>1</v>
      </c>
    </row>
    <row r="469" spans="1:13" ht="15.75" x14ac:dyDescent="0.25">
      <c r="A469" s="2767" t="e">
        <f>IF(AND(OR(B607&lt;4,B623&gt;1),B607=2),"В данном случае проводимая вентиляционная выработка до точки встречи ее забоя с работающей лавой проводится в массиве, а далее - под влиянием выработанного пространства. Введите данные о каждой из этих стадий","Ввод характеристик выработок окончен. Переходите к строке -")</f>
        <v>#VALUE!</v>
      </c>
    </row>
    <row r="470" spans="1:13" x14ac:dyDescent="0.2">
      <c r="A470" s="2398" t="e">
        <f>IF(A469="Ввод характеристик выработок окончен. Переходите к строке -","","Вентиляционная выработка подготавливаемой лавы от начала проходки до места встречи")</f>
        <v>#VALUE!</v>
      </c>
      <c r="B470" s="242"/>
    </row>
    <row r="471" spans="1:13" x14ac:dyDescent="0.2">
      <c r="A471" s="2736" t="e">
        <f>IF(A469="Ввод характеристик выработок окончен. Переходите к строке -","Не вводить","Номер выработки в таблице")</f>
        <v>#VALUE!</v>
      </c>
      <c r="B471" s="857"/>
    </row>
    <row r="472" spans="1:13" ht="32.25" customHeight="1" x14ac:dyDescent="0.2">
      <c r="A472" s="2736" t="str">
        <f>IF(B471="","",INDEX(Y444:Y456,MATCH(B471,X444:X456,0)))</f>
        <v/>
      </c>
      <c r="B472" s="857"/>
    </row>
    <row r="473" spans="1:13" x14ac:dyDescent="0.2">
      <c r="A473" s="2736" t="e">
        <f>IF(A469="Ввод характеристик выработок окончен. Переходите к строке -","Не вводить","наличие 1-й зоны поддержания;1-да,0-нет")</f>
        <v>#VALUE!</v>
      </c>
      <c r="B473" s="857"/>
    </row>
    <row r="474" spans="1:13" x14ac:dyDescent="0.2">
      <c r="A474" s="2736" t="e">
        <f>IF(A469="Ввод характеристик выработок окончен. Переходите к строке -","Не вводить","наличие 2-й зоны поддержания;1-да,0-нет")</f>
        <v>#VALUE!</v>
      </c>
      <c r="B474" s="857"/>
    </row>
    <row r="475" spans="1:13" x14ac:dyDescent="0.2">
      <c r="A475" s="2736" t="e">
        <f>IF(A469="Ввод характеристик выработок окончен. Переходите к строке -","Не вводить","наличие 3-й зоны поддержания;1-да,0-нет")</f>
        <v>#VALUE!</v>
      </c>
      <c r="B475" s="857"/>
    </row>
    <row r="476" spans="1:13" x14ac:dyDescent="0.2">
      <c r="A476" s="2736" t="e">
        <f>IF(A469="Ввод характеристик выработок окончен. Переходите к строке -","Не вводить","наличие 4-й зоны поддержания;1-да,0нет")</f>
        <v>#VALUE!</v>
      </c>
      <c r="B476" s="857"/>
    </row>
    <row r="477" spans="1:13" x14ac:dyDescent="0.2">
      <c r="A477" s="2736" t="e">
        <f>IF(A469="Ввод характеристик выработок окончен. Переходите к строке -","Не вводить","0-Выработка ранее проведена,  проводиться  1")</f>
        <v>#VALUE!</v>
      </c>
      <c r="B477" s="857"/>
    </row>
    <row r="478" spans="1:13" x14ac:dyDescent="0.2">
      <c r="A478" s="217"/>
      <c r="B478" s="8"/>
    </row>
    <row r="479" spans="1:13" ht="24.75" customHeight="1" x14ac:dyDescent="0.2">
      <c r="A479" s="2398" t="e">
        <f>IF(A469="Ввод характеристик выработок окончен. Переходите к строке -","","Вентиляционная выработка на участке от точки встречи с лавой до конца проходки")</f>
        <v>#VALUE!</v>
      </c>
      <c r="B479" s="8"/>
    </row>
    <row r="480" spans="1:13" x14ac:dyDescent="0.2">
      <c r="A480" s="2736" t="e">
        <f>IF(A469="Ввод характеристик выработок окончен. Переходите к строке -","Не вводить","номер ВЫР-КИ В ТАБЛИЦЕ")</f>
        <v>#VALUE!</v>
      </c>
      <c r="B480" s="857"/>
    </row>
    <row r="481" spans="1:2" ht="36.75" customHeight="1" x14ac:dyDescent="0.2">
      <c r="A481" s="2736" t="str">
        <f>IF(B480="","",INDEX(Y444:Y456,MATCH(B480,X444:X456,0)))</f>
        <v/>
      </c>
      <c r="B481" s="857"/>
    </row>
    <row r="482" spans="1:2" x14ac:dyDescent="0.2">
      <c r="A482" s="2736" t="e">
        <f>IF(A469="Ввод характеристик выработок окончен. Переходите к строке -","Не вводить","наличие 1-й зоны поддержания;1-да,0-нет")</f>
        <v>#VALUE!</v>
      </c>
      <c r="B482" s="857"/>
    </row>
    <row r="483" spans="1:2" x14ac:dyDescent="0.2">
      <c r="A483" s="2736" t="e">
        <f>IF(A469="Ввод характеристик выработок окончен. Переходите к строке -","Не вводить","наличие 2-й зоны поддержания;1-да,0-нет")</f>
        <v>#VALUE!</v>
      </c>
      <c r="B483" s="857"/>
    </row>
    <row r="484" spans="1:2" x14ac:dyDescent="0.2">
      <c r="A484" s="2736" t="e">
        <f>IF(A469="Ввод характеристик выработок окончен. Переходите к строке -","Не вводить","наличие 3-й зоны поддержания;1-да,0-нет")</f>
        <v>#VALUE!</v>
      </c>
      <c r="B484" s="857"/>
    </row>
    <row r="485" spans="1:2" x14ac:dyDescent="0.2">
      <c r="A485" s="2736" t="e">
        <f>IF(A469="Ввод характеристик выработок окончен. Переходите к строке -","Не вводить","наличие 4-й зоны поддержания;1-да,0нет")</f>
        <v>#VALUE!</v>
      </c>
      <c r="B485" s="857"/>
    </row>
    <row r="486" spans="1:2" x14ac:dyDescent="0.2">
      <c r="A486" s="2736" t="e">
        <f>IF(A469="Ввод характеристик выработок окончен. Переходите к строке -","Не вводить","0-проведена ранее,1-проводиться")</f>
        <v>#VALUE!</v>
      </c>
      <c r="B486" s="857"/>
    </row>
    <row r="487" spans="1:2" x14ac:dyDescent="0.2">
      <c r="A487" s="2768" t="s">
        <v>679</v>
      </c>
      <c r="B487" s="8"/>
    </row>
    <row r="488" spans="1:2" ht="38.25" x14ac:dyDescent="0.2">
      <c r="A488" s="920" t="s">
        <v>3113</v>
      </c>
      <c r="B488" s="857">
        <v>0</v>
      </c>
    </row>
    <row r="489" spans="1:2" x14ac:dyDescent="0.2">
      <c r="A489" s="2736" t="str">
        <f>IF(B488=1,"Вводите данные об этой выработке","                                                  Переходите к строке")</f>
        <v xml:space="preserve">                                                  Переходите к строке</v>
      </c>
      <c r="B489" s="944">
        <f>ROW(492:492)</f>
        <v>492</v>
      </c>
    </row>
    <row r="490" spans="1:2" x14ac:dyDescent="0.2">
      <c r="A490" s="2736" t="str">
        <f>IF(B488=1,"Номер образа выработки в таблице","Не вводить")</f>
        <v>Не вводить</v>
      </c>
      <c r="B490" s="857"/>
    </row>
    <row r="491" spans="1:2" x14ac:dyDescent="0.2">
      <c r="A491" s="217"/>
    </row>
    <row r="492" spans="1:2" x14ac:dyDescent="0.2">
      <c r="A492" s="2768" t="s">
        <v>5502</v>
      </c>
    </row>
    <row r="493" spans="1:2" x14ac:dyDescent="0.2">
      <c r="A493" s="42" t="s">
        <v>3491</v>
      </c>
    </row>
    <row r="494" spans="1:2" x14ac:dyDescent="0.2">
      <c r="A494" s="42" t="s">
        <v>350</v>
      </c>
    </row>
    <row r="495" spans="1:2" x14ac:dyDescent="0.2">
      <c r="A495" s="42" t="s">
        <v>4364</v>
      </c>
    </row>
    <row r="496" spans="1:2" x14ac:dyDescent="0.2">
      <c r="A496" s="42" t="s">
        <v>4365</v>
      </c>
    </row>
    <row r="497" spans="1:16" x14ac:dyDescent="0.2">
      <c r="A497" s="42" t="s">
        <v>2608</v>
      </c>
    </row>
    <row r="498" spans="1:16" x14ac:dyDescent="0.2">
      <c r="A498" s="42" t="s">
        <v>2609</v>
      </c>
    </row>
    <row r="499" spans="1:16" x14ac:dyDescent="0.2">
      <c r="A499" s="42" t="s">
        <v>2610</v>
      </c>
    </row>
    <row r="500" spans="1:16" x14ac:dyDescent="0.2">
      <c r="A500" s="42" t="s">
        <v>2611</v>
      </c>
    </row>
    <row r="501" spans="1:16" x14ac:dyDescent="0.2">
      <c r="A501" s="42" t="s">
        <v>2612</v>
      </c>
    </row>
    <row r="502" spans="1:16" x14ac:dyDescent="0.2">
      <c r="A502" s="42" t="s">
        <v>1682</v>
      </c>
    </row>
    <row r="503" spans="1:16" x14ac:dyDescent="0.2">
      <c r="A503" s="42" t="s">
        <v>1683</v>
      </c>
    </row>
    <row r="504" spans="1:16" x14ac:dyDescent="0.2">
      <c r="A504" s="42" t="s">
        <v>1684</v>
      </c>
    </row>
    <row r="505" spans="1:16" x14ac:dyDescent="0.2">
      <c r="A505" s="42" t="s">
        <v>4423</v>
      </c>
      <c r="H505" s="849">
        <f>IF(kursovoy!B749=1,1,IF(AND(kursovoy!B749=2,kursovoy!B750=1),2,IF(AND(kursovoy!B749=2,kursovoy!B750=2),3)))</f>
        <v>1</v>
      </c>
      <c r="I505" s="2372"/>
      <c r="K505" s="849"/>
      <c r="L505" s="849"/>
      <c r="M505" s="849"/>
      <c r="N505" s="849"/>
      <c r="O505" s="849"/>
      <c r="P505" s="849"/>
    </row>
    <row r="506" spans="1:16" x14ac:dyDescent="0.2">
      <c r="A506" s="42" t="s">
        <v>4422</v>
      </c>
      <c r="C506" s="213">
        <f>kursovoy!B396</f>
        <v>1</v>
      </c>
      <c r="H506" s="2969"/>
      <c r="I506" s="2372"/>
      <c r="J506" s="849"/>
      <c r="K506" s="849"/>
      <c r="L506" s="849"/>
      <c r="M506" s="849"/>
      <c r="N506" s="849"/>
      <c r="O506" s="849"/>
      <c r="P506" s="849"/>
    </row>
    <row r="507" spans="1:16" x14ac:dyDescent="0.2">
      <c r="A507" s="2769" t="s">
        <v>678</v>
      </c>
      <c r="H507" s="2969" t="s">
        <v>1512</v>
      </c>
      <c r="I507" s="2372" t="s">
        <v>4421</v>
      </c>
      <c r="J507" s="849" t="s">
        <v>1513</v>
      </c>
      <c r="K507" s="849" t="s">
        <v>1514</v>
      </c>
      <c r="L507" s="849" t="s">
        <v>1515</v>
      </c>
      <c r="M507" s="849" t="s">
        <v>1516</v>
      </c>
      <c r="N507" s="849" t="s">
        <v>1517</v>
      </c>
      <c r="O507" s="849" t="s">
        <v>1518</v>
      </c>
      <c r="P507" s="849" t="s">
        <v>1519</v>
      </c>
    </row>
    <row r="508" spans="1:16" ht="21.75" customHeight="1" x14ac:dyDescent="0.2">
      <c r="A508" s="920" t="str">
        <f>IF(B635=1,"Наличие фланговой наклонной выработки на крыле панели 1 - да, 0 - нет","Можно не вводить")</f>
        <v>Наличие фланговой наклонной выработки на крыле панели 1 - да, 0 - нет</v>
      </c>
      <c r="B508" s="944">
        <v>1</v>
      </c>
      <c r="L508">
        <f>IF(C506=2,0,1)</f>
        <v>1</v>
      </c>
      <c r="N508">
        <f>IF(C506=2,0,1)</f>
        <v>1</v>
      </c>
      <c r="O508">
        <f>IF(C506=2,0,1)</f>
        <v>1</v>
      </c>
      <c r="P508">
        <f>IF(C506=2,0,1)</f>
        <v>1</v>
      </c>
    </row>
    <row r="509" spans="1:16" ht="28.5" customHeight="1" x14ac:dyDescent="0.2">
      <c r="A509" s="920" t="str">
        <f>IF(B635=2,"Количество пластовых магистральных вентиляционнх  штреков при погоризонтной подготовке","Можно не вводить")</f>
        <v>Можно не вводить</v>
      </c>
      <c r="B509" s="944"/>
      <c r="H509">
        <f>IF(C506=1,0,1)</f>
        <v>0</v>
      </c>
      <c r="I509">
        <f>IF(C506=1,0,1)</f>
        <v>0</v>
      </c>
      <c r="J509">
        <f>IF(C506=1,0,1)</f>
        <v>0</v>
      </c>
      <c r="K509">
        <f>IF(C506=1,0,1)</f>
        <v>0</v>
      </c>
      <c r="L509">
        <f>IF(C506=1,0,2)</f>
        <v>0</v>
      </c>
      <c r="M509">
        <f>IF(C506=1,0,2)</f>
        <v>0</v>
      </c>
      <c r="N509">
        <f>IF(C506=1,0,2)</f>
        <v>0</v>
      </c>
      <c r="O509">
        <f>IF(C506=1,0,2)</f>
        <v>0</v>
      </c>
      <c r="P509">
        <f>IF(C506=1,0,2)</f>
        <v>0</v>
      </c>
    </row>
    <row r="510" spans="1:16" ht="27" customHeight="1" x14ac:dyDescent="0.2">
      <c r="A510" s="920" t="str">
        <f>IF(B635=2,"Количество полевых магистральных транспортных штреков при погоризонтной подготовке","Можно не  вводить")</f>
        <v>Можно не  вводить</v>
      </c>
      <c r="B510" s="944"/>
      <c r="H510">
        <f t="shared" ref="H510:P511" si="0">IF($C$506=1,0,1)</f>
        <v>0</v>
      </c>
      <c r="I510">
        <f t="shared" si="0"/>
        <v>0</v>
      </c>
      <c r="J510">
        <f t="shared" si="0"/>
        <v>0</v>
      </c>
      <c r="K510">
        <f t="shared" si="0"/>
        <v>0</v>
      </c>
      <c r="L510">
        <f t="shared" si="0"/>
        <v>0</v>
      </c>
      <c r="M510">
        <f t="shared" si="0"/>
        <v>0</v>
      </c>
      <c r="N510">
        <f t="shared" si="0"/>
        <v>0</v>
      </c>
      <c r="O510">
        <f t="shared" si="0"/>
        <v>0</v>
      </c>
      <c r="P510">
        <f t="shared" si="0"/>
        <v>0</v>
      </c>
    </row>
    <row r="511" spans="1:16" x14ac:dyDescent="0.2">
      <c r="A511" s="920" t="str">
        <f>IF(B635=2,"Количество дренажных ходков при погоризонтной подготовке","Можно не  вводить")</f>
        <v>Можно не  вводить</v>
      </c>
      <c r="B511" s="944"/>
      <c r="H511">
        <f t="shared" si="0"/>
        <v>0</v>
      </c>
      <c r="I511">
        <f t="shared" si="0"/>
        <v>0</v>
      </c>
      <c r="J511">
        <f t="shared" si="0"/>
        <v>0</v>
      </c>
      <c r="K511">
        <f t="shared" si="0"/>
        <v>0</v>
      </c>
      <c r="L511">
        <f t="shared" si="0"/>
        <v>0</v>
      </c>
      <c r="M511">
        <f t="shared" si="0"/>
        <v>0</v>
      </c>
      <c r="N511">
        <f t="shared" si="0"/>
        <v>0</v>
      </c>
      <c r="O511">
        <f t="shared" si="0"/>
        <v>0</v>
      </c>
      <c r="P511">
        <f t="shared" si="0"/>
        <v>0</v>
      </c>
    </row>
    <row r="512" spans="1:16" x14ac:dyDescent="0.2">
      <c r="A512" s="920" t="str">
        <f>IF(B635=2,"Наличие транспортного уклона 1 - да, 0 - нет","Можно не вводить")</f>
        <v>Можно не вводить</v>
      </c>
      <c r="B512" s="944"/>
      <c r="H512" t="str">
        <f>IF(C506=1,"",IF($H$505=2,0,1))</f>
        <v/>
      </c>
      <c r="I512" t="str">
        <f>IF(C506=1,"",IF($H$505=2,0,1))</f>
        <v/>
      </c>
      <c r="J512" t="str">
        <f>IF(C506=1,"",IF($H$505=2,1,0))</f>
        <v/>
      </c>
      <c r="K512" t="str">
        <f>IF(C506=1,"",IF($H$505=2,1,0))</f>
        <v/>
      </c>
      <c r="L512" t="str">
        <f>IF(C506=1,"",IF($H$505=2,0,1))</f>
        <v/>
      </c>
      <c r="M512" t="str">
        <f>IF(C506=1,"",IF($H$505=2,1,0))</f>
        <v/>
      </c>
      <c r="N512" t="str">
        <f>IF(C506=1,"",IF($H$505=2,1,0))</f>
        <v/>
      </c>
      <c r="O512" t="str">
        <f>IF(C506=1,"",IF($H$505=2,1,0))</f>
        <v/>
      </c>
      <c r="P512" t="str">
        <f>IF(C506=1,"",IF($H$505=2,1,0))</f>
        <v/>
      </c>
    </row>
    <row r="513" spans="1:16" x14ac:dyDescent="0.2">
      <c r="A513" s="920" t="str">
        <f>IF(B635=2,"Наличие дренажного уклона 1 - да, 0 - нет","Можно не вводить")</f>
        <v>Можно не вводить</v>
      </c>
      <c r="B513" s="944"/>
      <c r="H513" t="str">
        <f>H512</f>
        <v/>
      </c>
      <c r="I513" t="str">
        <f t="shared" ref="I513:P513" si="1">I512</f>
        <v/>
      </c>
      <c r="J513" t="str">
        <f t="shared" si="1"/>
        <v/>
      </c>
      <c r="K513" t="str">
        <f t="shared" si="1"/>
        <v/>
      </c>
      <c r="L513" t="str">
        <f t="shared" si="1"/>
        <v/>
      </c>
      <c r="M513" t="str">
        <f t="shared" si="1"/>
        <v/>
      </c>
      <c r="N513" t="str">
        <f t="shared" si="1"/>
        <v/>
      </c>
      <c r="O513" t="str">
        <f t="shared" si="1"/>
        <v/>
      </c>
      <c r="P513" t="str">
        <f t="shared" si="1"/>
        <v/>
      </c>
    </row>
    <row r="514" spans="1:16" x14ac:dyDescent="0.2">
      <c r="A514" s="920" t="str">
        <f>IF(B635=2,"Наличие ходка при уклоне 1 - да, 0 - нет","Можно не вводить")</f>
        <v>Можно не вводить</v>
      </c>
      <c r="B514" s="944"/>
      <c r="H514" t="str">
        <f>H512</f>
        <v/>
      </c>
      <c r="I514" t="str">
        <f t="shared" ref="I514:P514" si="2">I512</f>
        <v/>
      </c>
      <c r="J514" t="str">
        <f t="shared" si="2"/>
        <v/>
      </c>
      <c r="K514" t="str">
        <f t="shared" si="2"/>
        <v/>
      </c>
      <c r="L514" t="str">
        <f t="shared" si="2"/>
        <v/>
      </c>
      <c r="M514" t="str">
        <f t="shared" si="2"/>
        <v/>
      </c>
      <c r="N514" t="str">
        <f t="shared" si="2"/>
        <v/>
      </c>
      <c r="O514" t="str">
        <f t="shared" si="2"/>
        <v/>
      </c>
      <c r="P514" t="str">
        <f t="shared" si="2"/>
        <v/>
      </c>
    </row>
    <row r="515" spans="1:16" x14ac:dyDescent="0.2">
      <c r="A515" s="2768"/>
    </row>
    <row r="516" spans="1:16" ht="72" customHeight="1" x14ac:dyDescent="0.2">
      <c r="A516" s="4755" t="e">
        <f>IF(SUM(#REF!)=22,kursovoy!A2284,"")</f>
        <v>#REF!</v>
      </c>
      <c r="B516" s="4373"/>
      <c r="C516" s="4373"/>
      <c r="D516" s="4373"/>
      <c r="E516" s="4373"/>
      <c r="F516" s="4373"/>
      <c r="G516" s="4373"/>
    </row>
    <row r="517" spans="1:16" ht="15.75" x14ac:dyDescent="0.25">
      <c r="A517" s="345" t="s">
        <v>675</v>
      </c>
    </row>
    <row r="518" spans="1:16" ht="15.75" x14ac:dyDescent="0.25">
      <c r="A518" s="345" t="s">
        <v>676</v>
      </c>
    </row>
    <row r="519" spans="1:16" ht="15.75" x14ac:dyDescent="0.25">
      <c r="A519" s="345" t="s">
        <v>677</v>
      </c>
    </row>
    <row r="520" spans="1:16" x14ac:dyDescent="0.2">
      <c r="A520" s="214" t="s">
        <v>674</v>
      </c>
    </row>
    <row r="521" spans="1:16" ht="15.75" x14ac:dyDescent="0.25">
      <c r="A521" s="1392" t="s">
        <v>3114</v>
      </c>
      <c r="B521" s="802" t="str">
        <f>IF(B635=1,"панельный","погоризонтный")</f>
        <v>панельный</v>
      </c>
    </row>
    <row r="522" spans="1:16" ht="15.75" x14ac:dyDescent="0.25">
      <c r="A522" s="1324" t="s">
        <v>3115</v>
      </c>
      <c r="B522" s="802" t="e">
        <f>B761</f>
        <v>#VALUE!</v>
      </c>
    </row>
    <row r="523" spans="1:16" ht="15.75" x14ac:dyDescent="0.25">
      <c r="A523" s="1392" t="s">
        <v>3116</v>
      </c>
      <c r="B523" s="802" t="e">
        <f>ROUNDUP(B522*kursovoy!B1839,0)</f>
        <v>#VALUE!</v>
      </c>
    </row>
    <row r="524" spans="1:16" ht="15.75" x14ac:dyDescent="0.25">
      <c r="A524" s="1392" t="s">
        <v>3117</v>
      </c>
      <c r="B524" s="802" t="e">
        <f>IF(B635=1,ROUNDUP(B523/2,0),"")</f>
        <v>#VALUE!</v>
      </c>
    </row>
    <row r="525" spans="1:16" ht="15.75" x14ac:dyDescent="0.25">
      <c r="A525" s="1392" t="s">
        <v>3118</v>
      </c>
      <c r="B525" s="802" t="e">
        <f>IF(B635=1,(kursovoy!B175/B524)/2,"")</f>
        <v>#VALUE!</v>
      </c>
    </row>
    <row r="526" spans="1:16" x14ac:dyDescent="0.2">
      <c r="A526" s="2768"/>
    </row>
    <row r="527" spans="1:16" x14ac:dyDescent="0.2">
      <c r="A527" s="2768"/>
    </row>
    <row r="528" spans="1:16" x14ac:dyDescent="0.2">
      <c r="A528" s="2768"/>
    </row>
    <row r="529" spans="1:1" x14ac:dyDescent="0.2">
      <c r="A529" s="2768"/>
    </row>
    <row r="530" spans="1:1" x14ac:dyDescent="0.2">
      <c r="A530" s="2768"/>
    </row>
    <row r="531" spans="1:1" x14ac:dyDescent="0.2">
      <c r="A531" s="2768"/>
    </row>
    <row r="532" spans="1:1" x14ac:dyDescent="0.2">
      <c r="A532" s="2768"/>
    </row>
    <row r="533" spans="1:1" x14ac:dyDescent="0.2">
      <c r="A533" s="2768"/>
    </row>
    <row r="534" spans="1:1" x14ac:dyDescent="0.2">
      <c r="A534" s="2768"/>
    </row>
    <row r="535" spans="1:1" x14ac:dyDescent="0.2">
      <c r="A535" s="2768"/>
    </row>
    <row r="536" spans="1:1" x14ac:dyDescent="0.2">
      <c r="A536" s="2768"/>
    </row>
    <row r="537" spans="1:1" x14ac:dyDescent="0.2">
      <c r="A537" s="2768"/>
    </row>
    <row r="538" spans="1:1" x14ac:dyDescent="0.2">
      <c r="A538" s="2768"/>
    </row>
    <row r="539" spans="1:1" x14ac:dyDescent="0.2">
      <c r="A539" s="2768"/>
    </row>
    <row r="540" spans="1:1" x14ac:dyDescent="0.2">
      <c r="A540" s="2768"/>
    </row>
    <row r="541" spans="1:1" x14ac:dyDescent="0.2">
      <c r="A541" s="2768"/>
    </row>
    <row r="542" spans="1:1" x14ac:dyDescent="0.2">
      <c r="A542" s="2768"/>
    </row>
    <row r="543" spans="1:1" x14ac:dyDescent="0.2">
      <c r="A543" s="2768"/>
    </row>
    <row r="544" spans="1:1" x14ac:dyDescent="0.2">
      <c r="A544" s="2768"/>
    </row>
    <row r="545" spans="1:4" x14ac:dyDescent="0.2">
      <c r="A545" s="2768"/>
    </row>
    <row r="546" spans="1:4" x14ac:dyDescent="0.2">
      <c r="A546" s="2768"/>
    </row>
    <row r="547" spans="1:4" x14ac:dyDescent="0.2">
      <c r="A547" s="2768"/>
    </row>
    <row r="548" spans="1:4" x14ac:dyDescent="0.2">
      <c r="A548" s="2768"/>
    </row>
    <row r="549" spans="1:4" x14ac:dyDescent="0.2">
      <c r="A549" s="2768"/>
    </row>
    <row r="550" spans="1:4" x14ac:dyDescent="0.2">
      <c r="A550" s="2768"/>
    </row>
    <row r="551" spans="1:4" x14ac:dyDescent="0.2">
      <c r="A551" s="2768"/>
    </row>
    <row r="552" spans="1:4" x14ac:dyDescent="0.2">
      <c r="A552" s="2768"/>
    </row>
    <row r="553" spans="1:4" x14ac:dyDescent="0.2">
      <c r="A553" s="2768"/>
    </row>
    <row r="554" spans="1:4" x14ac:dyDescent="0.2">
      <c r="A554" s="2768"/>
    </row>
    <row r="555" spans="1:4" x14ac:dyDescent="0.2">
      <c r="A555" s="2768"/>
    </row>
    <row r="556" spans="1:4" x14ac:dyDescent="0.2">
      <c r="A556" s="2768"/>
    </row>
    <row r="557" spans="1:4" x14ac:dyDescent="0.2">
      <c r="A557" s="2768"/>
    </row>
    <row r="558" spans="1:4" x14ac:dyDescent="0.2">
      <c r="A558" t="s">
        <v>3270</v>
      </c>
      <c r="B558" t="s">
        <v>3271</v>
      </c>
      <c r="C558" t="s">
        <v>3272</v>
      </c>
      <c r="D558" t="s">
        <v>3665</v>
      </c>
    </row>
    <row r="559" spans="1:4" x14ac:dyDescent="0.2">
      <c r="A559" s="2975" t="str">
        <f>kursovoy!B404</f>
        <v/>
      </c>
      <c r="B559" s="213" t="str">
        <f>kursovoy!B178</f>
        <v/>
      </c>
      <c r="C559" s="213" t="str">
        <f>kursovoy!B207</f>
        <v/>
      </c>
      <c r="D559" s="213" t="str">
        <f>kursovoy!B210</f>
        <v/>
      </c>
    </row>
    <row r="560" spans="1:4" x14ac:dyDescent="0.2">
      <c r="A560" t="s">
        <v>4994</v>
      </c>
      <c r="D560" s="1140" t="str">
        <f>IF(OR(A559&gt;1.51,B559&gt;19,C559&gt;2,D559&lt;3),"В заданных условиях неприменим1","")</f>
        <v>В заданных условиях неприменим1</v>
      </c>
    </row>
    <row r="561" spans="1:4" x14ac:dyDescent="0.2">
      <c r="A561" t="s">
        <v>4992</v>
      </c>
      <c r="D561" s="1140" t="str">
        <f>IF(OR(A559&gt;2.51,B559&gt;35,C559&gt;3,D559&lt;3),"В заданных условиях неприменим1","")</f>
        <v>В заданных условиях неприменим1</v>
      </c>
    </row>
    <row r="562" spans="1:4" x14ac:dyDescent="0.2">
      <c r="A562" t="s">
        <v>4995</v>
      </c>
      <c r="D562" s="1140" t="str">
        <f>IF(OR(A559&gt;2.51,B559&gt;35,C559&gt;2,D559&lt;1),"В заданных условиях неприменим1","")</f>
        <v>В заданных условиях неприменим1</v>
      </c>
    </row>
    <row r="563" spans="1:4" x14ac:dyDescent="0.2">
      <c r="A563" t="s">
        <v>4993</v>
      </c>
      <c r="D563" s="1140" t="str">
        <f>IF(OR(A559&gt;3.51,B559&gt;35,C559&gt;2,D559&lt;1),"В заданных условиях неприменим1","")</f>
        <v>В заданных условиях неприменим1</v>
      </c>
    </row>
    <row r="564" spans="1:4" x14ac:dyDescent="0.2">
      <c r="A564" t="s">
        <v>4993</v>
      </c>
      <c r="D564" s="1140" t="str">
        <f>IF(OR(A559&gt;3.51,B559&gt;35,C559&gt;3,D559&lt;1),"В заданных условиях неприменим1","")</f>
        <v>В заданных условиях неприменим1</v>
      </c>
    </row>
    <row r="565" spans="1:4" x14ac:dyDescent="0.2">
      <c r="A565" t="s">
        <v>4996</v>
      </c>
      <c r="D565" s="1140" t="str">
        <f>IF(OR(A559&gt;2.51,B559&gt;35,C559&gt;2,D559&lt;1),"В заданных условиях неприменим1","")</f>
        <v>В заданных условиях неприменим1</v>
      </c>
    </row>
    <row r="566" spans="1:4" x14ac:dyDescent="0.2">
      <c r="A566" t="s">
        <v>4995</v>
      </c>
      <c r="D566" s="1140" t="str">
        <f>IF(OR(A559&gt;2.51,B559&gt;35,C559&gt;2,D559&lt;1),"В заданных условиях неприменим1","")</f>
        <v>В заданных условиях неприменим1</v>
      </c>
    </row>
    <row r="567" spans="1:4" x14ac:dyDescent="0.2">
      <c r="A567" t="s">
        <v>4997</v>
      </c>
      <c r="D567" s="1140" t="str">
        <f>IF(OR(A559&gt;1.35,B559&gt;35,C559&gt;3,D559&lt;1),"В заданных условиях неприменим1","")</f>
        <v>В заданных условиях неприменим1</v>
      </c>
    </row>
    <row r="568" spans="1:4" x14ac:dyDescent="0.2">
      <c r="A568" t="s">
        <v>4997</v>
      </c>
      <c r="D568" s="1140" t="str">
        <f>IF(OR(A559&gt;1.35,B559&gt;35,C559&gt;3,D559&lt;1),"В заданных условиях неприменим1","")</f>
        <v>В заданных условиях неприменим1</v>
      </c>
    </row>
    <row r="570" spans="1:4" ht="76.5" x14ac:dyDescent="0.2">
      <c r="A570" s="920" t="s">
        <v>672</v>
      </c>
      <c r="B570" s="793">
        <v>1</v>
      </c>
      <c r="C570" s="802">
        <v>1</v>
      </c>
      <c r="D570" s="213" t="str">
        <f>IF(kursovoy!B396=1,"Можно не вводить !","")</f>
        <v>Можно не вводить !</v>
      </c>
    </row>
    <row r="571" spans="1:4" ht="13.5" thickBot="1" x14ac:dyDescent="0.25"/>
    <row r="572" spans="1:4" ht="13.5" thickBot="1" x14ac:dyDescent="0.25">
      <c r="A572" s="217" t="s">
        <v>2467</v>
      </c>
      <c r="B572" s="413">
        <v>0.8</v>
      </c>
    </row>
    <row r="573" spans="1:4" ht="13.5" thickBot="1" x14ac:dyDescent="0.25">
      <c r="A573" s="217"/>
      <c r="B573" s="158"/>
    </row>
    <row r="574" spans="1:4" x14ac:dyDescent="0.2">
      <c r="A574" s="217" t="s">
        <v>102</v>
      </c>
    </row>
    <row r="575" spans="1:4" x14ac:dyDescent="0.2">
      <c r="A575" s="217" t="s">
        <v>101</v>
      </c>
      <c r="B575" s="213" t="str">
        <f>kursovoy!$B$232</f>
        <v/>
      </c>
    </row>
    <row r="576" spans="1:4" x14ac:dyDescent="0.2">
      <c r="A576" s="217" t="s">
        <v>100</v>
      </c>
      <c r="B576" s="213" t="str">
        <f>kursovoy!$B$233</f>
        <v/>
      </c>
    </row>
    <row r="577" spans="1:3" x14ac:dyDescent="0.2">
      <c r="A577" s="217" t="s">
        <v>99</v>
      </c>
      <c r="B577" s="213" t="str">
        <f>kursovoy!$B$234</f>
        <v/>
      </c>
    </row>
    <row r="578" spans="1:3" x14ac:dyDescent="0.2">
      <c r="A578" s="217" t="s">
        <v>98</v>
      </c>
      <c r="B578" s="213" t="str">
        <f>kursovoy!$B$235</f>
        <v/>
      </c>
    </row>
    <row r="579" spans="1:3" ht="25.5" x14ac:dyDescent="0.2">
      <c r="A579" s="217" t="s">
        <v>97</v>
      </c>
      <c r="B579" s="213" t="str">
        <f>kursovoy!$B$236</f>
        <v/>
      </c>
    </row>
    <row r="580" spans="1:3" ht="25.5" x14ac:dyDescent="0.2">
      <c r="A580" s="217" t="s">
        <v>96</v>
      </c>
      <c r="B580" s="213" t="str">
        <f>kursovoy!$B$237</f>
        <v/>
      </c>
    </row>
    <row r="581" spans="1:3" ht="89.25" x14ac:dyDescent="0.2">
      <c r="A581" s="217" t="s">
        <v>4836</v>
      </c>
      <c r="B581" s="213" t="str">
        <f>kursovoy!$B$238</f>
        <v/>
      </c>
    </row>
    <row r="582" spans="1:3" x14ac:dyDescent="0.2">
      <c r="A582" s="217" t="s">
        <v>2148</v>
      </c>
      <c r="B582" s="213" t="str">
        <f>kursovoy!$B$239</f>
        <v/>
      </c>
    </row>
    <row r="583" spans="1:3" x14ac:dyDescent="0.2">
      <c r="A583" s="217" t="s">
        <v>4762</v>
      </c>
      <c r="B583" s="213"/>
    </row>
    <row r="584" spans="1:3" x14ac:dyDescent="0.2">
      <c r="A584" s="217" t="s">
        <v>608</v>
      </c>
      <c r="B584" s="213" t="str">
        <f>kursovoy!$B$404</f>
        <v/>
      </c>
    </row>
    <row r="585" spans="1:3" x14ac:dyDescent="0.2">
      <c r="A585" s="217" t="s">
        <v>3489</v>
      </c>
      <c r="B585" s="213" t="str">
        <f>kursovoy!$B$225</f>
        <v/>
      </c>
    </row>
    <row r="586" spans="1:3" x14ac:dyDescent="0.2">
      <c r="A586" s="217" t="s">
        <v>1082</v>
      </c>
      <c r="B586" s="213" t="str">
        <f>kursovoy!B178</f>
        <v/>
      </c>
    </row>
    <row r="587" spans="1:3" x14ac:dyDescent="0.2">
      <c r="A587" s="217" t="s">
        <v>686</v>
      </c>
      <c r="B587" s="4189">
        <v>600</v>
      </c>
      <c r="C587" t="s">
        <v>6761</v>
      </c>
    </row>
    <row r="588" spans="1:3" x14ac:dyDescent="0.2">
      <c r="A588" s="217" t="s">
        <v>4797</v>
      </c>
      <c r="B588" s="213" t="e">
        <f>kursovoy!$B$206/100</f>
        <v>#VALUE!</v>
      </c>
    </row>
    <row r="589" spans="1:3" x14ac:dyDescent="0.2">
      <c r="A589" s="217" t="s">
        <v>1089</v>
      </c>
      <c r="B589" s="213" t="str">
        <f>kursovoy!$B$177</f>
        <v/>
      </c>
    </row>
    <row r="590" spans="1:3" x14ac:dyDescent="0.2">
      <c r="A590" s="217" t="s">
        <v>3716</v>
      </c>
      <c r="B590" s="213" t="str">
        <f>kursovoy!$B$205</f>
        <v/>
      </c>
    </row>
    <row r="591" spans="1:3" x14ac:dyDescent="0.2">
      <c r="A591" s="217" t="s">
        <v>685</v>
      </c>
      <c r="B591" s="213" t="str">
        <f>kursovoy!$B$215</f>
        <v/>
      </c>
    </row>
    <row r="592" spans="1:3" x14ac:dyDescent="0.2">
      <c r="A592" s="217" t="s">
        <v>345</v>
      </c>
      <c r="B592" s="213" t="str">
        <f>kursovoy!$B$216</f>
        <v/>
      </c>
    </row>
    <row r="593" spans="1:2" x14ac:dyDescent="0.2">
      <c r="A593" s="217"/>
      <c r="B593" s="213"/>
    </row>
    <row r="594" spans="1:2" x14ac:dyDescent="0.2">
      <c r="A594" s="217" t="s">
        <v>3071</v>
      </c>
      <c r="B594" s="213" t="str">
        <f>kursovoy!$B$217</f>
        <v/>
      </c>
    </row>
    <row r="595" spans="1:2" x14ac:dyDescent="0.2">
      <c r="A595" s="217" t="s">
        <v>110</v>
      </c>
      <c r="B595" s="213">
        <f>IF(kursovoy!$B$220=1,1,2)</f>
        <v>2</v>
      </c>
    </row>
    <row r="596" spans="1:2" x14ac:dyDescent="0.2">
      <c r="A596" s="217" t="s">
        <v>1680</v>
      </c>
      <c r="B596" s="213">
        <f>IF(B595&lt;=1,0,1)</f>
        <v>1</v>
      </c>
    </row>
    <row r="597" spans="1:2" x14ac:dyDescent="0.2">
      <c r="A597" s="217" t="s">
        <v>1674</v>
      </c>
      <c r="B597" s="213" t="b">
        <f>IF(kursovoy!$B$219=1,1,IF(kursovoy!$B$219=1.15,2,IF(kursovoy!$B$219=1.3,3)))</f>
        <v>0</v>
      </c>
    </row>
    <row r="598" spans="1:2" x14ac:dyDescent="0.2">
      <c r="A598" s="217"/>
      <c r="B598" s="213"/>
    </row>
    <row r="599" spans="1:2" ht="25.5" x14ac:dyDescent="0.2">
      <c r="A599" s="217" t="s">
        <v>684</v>
      </c>
      <c r="B599" s="213" t="str">
        <f>kursovoy!$B$231</f>
        <v/>
      </c>
    </row>
    <row r="600" spans="1:2" x14ac:dyDescent="0.2">
      <c r="A600" s="217" t="s">
        <v>683</v>
      </c>
      <c r="B600" s="213" t="e">
        <f>kursovoy!$B$208*10</f>
        <v>#VALUE!</v>
      </c>
    </row>
    <row r="601" spans="1:2" ht="25.5" x14ac:dyDescent="0.2">
      <c r="A601" s="217" t="s">
        <v>2396</v>
      </c>
      <c r="B601" s="213" t="str">
        <f>kursovoy!$B$208</f>
        <v/>
      </c>
    </row>
    <row r="602" spans="1:2" x14ac:dyDescent="0.2">
      <c r="A602" s="217" t="s">
        <v>1675</v>
      </c>
      <c r="B602" s="213" t="str">
        <f>kursovoy!$B$210</f>
        <v/>
      </c>
    </row>
    <row r="603" spans="1:2" ht="25.5" x14ac:dyDescent="0.2">
      <c r="A603" s="217" t="s">
        <v>682</v>
      </c>
      <c r="B603" s="213">
        <f>IF(kursovoy!$B$207&lt;3,1,IF(kursovoy!$B$207&lt;4,3,2))</f>
        <v>2</v>
      </c>
    </row>
    <row r="604" spans="1:2" x14ac:dyDescent="0.2">
      <c r="A604" s="217" t="s">
        <v>4764</v>
      </c>
      <c r="B604" s="213" t="e">
        <f>250*((B587*B584)^0.5)*((1+1/B599)/(90+B599^2))*IF(B603=1,0.6,IF(B603=2,1,IF(B603=3,0.8)))</f>
        <v>#VALUE!</v>
      </c>
    </row>
    <row r="605" spans="1:2" x14ac:dyDescent="0.2">
      <c r="A605" t="s">
        <v>1688</v>
      </c>
    </row>
    <row r="606" spans="1:2" ht="38.25" x14ac:dyDescent="0.2">
      <c r="A606" s="217" t="s">
        <v>1090</v>
      </c>
      <c r="B606" s="213" t="e">
        <f>kursovoy!B2254</f>
        <v>#VALUE!</v>
      </c>
    </row>
    <row r="607" spans="1:2" ht="63.75" x14ac:dyDescent="0.2">
      <c r="A607" s="217" t="s">
        <v>2057</v>
      </c>
      <c r="B607" s="213" t="e">
        <f>kursovoy!B2277</f>
        <v>#VALUE!</v>
      </c>
    </row>
    <row r="608" spans="1:2" x14ac:dyDescent="0.2">
      <c r="A608" s="214" t="s">
        <v>3045</v>
      </c>
    </row>
    <row r="609" spans="1:11" x14ac:dyDescent="0.2">
      <c r="A609" s="214" t="s">
        <v>4763</v>
      </c>
    </row>
    <row r="610" spans="1:11" ht="25.5" x14ac:dyDescent="0.2">
      <c r="A610" s="217" t="s">
        <v>347</v>
      </c>
      <c r="B610" s="213" t="e">
        <f>IF(B607=4,3,kursovoy!B2266)</f>
        <v>#VALUE!</v>
      </c>
      <c r="D610" s="549"/>
      <c r="E610" s="549"/>
      <c r="F610" s="549"/>
      <c r="G610" s="549"/>
      <c r="H610" s="549"/>
    </row>
    <row r="611" spans="1:11" x14ac:dyDescent="0.2">
      <c r="A611" s="217" t="s">
        <v>4769</v>
      </c>
      <c r="B611" s="213" t="e">
        <f>IF(kursovoy!B2267=1,1,0)</f>
        <v>#VALUE!</v>
      </c>
    </row>
    <row r="612" spans="1:11" ht="25.5" x14ac:dyDescent="0.2">
      <c r="A612" s="217" t="s">
        <v>5557</v>
      </c>
      <c r="B612" s="213" t="e">
        <f>kursovoy!B2269</f>
        <v>#VALUE!</v>
      </c>
    </row>
    <row r="613" spans="1:11" x14ac:dyDescent="0.2">
      <c r="A613" s="213" t="e">
        <f>IF(OR(B774&lt;1,B774&gt;8)," Заданные условия не реальны !! Будьте внимательнее !!","")</f>
        <v>#VALUE!</v>
      </c>
    </row>
    <row r="614" spans="1:11" ht="25.5" x14ac:dyDescent="0.2">
      <c r="A614" s="920" t="s">
        <v>430</v>
      </c>
      <c r="B614" s="944" t="e">
        <f>kursovoy!B2271</f>
        <v>#VALUE!</v>
      </c>
    </row>
    <row r="615" spans="1:11" x14ac:dyDescent="0.2">
      <c r="A615" t="e">
        <f>IF(B614=B774,"Продолжайте ввод данных","Введенные данные не соответствуют заданному Вами номеру модуля !!")</f>
        <v>#VALUE!</v>
      </c>
      <c r="H615" s="242"/>
      <c r="I615" s="242"/>
      <c r="J615" s="242"/>
      <c r="K615" s="242"/>
    </row>
    <row r="616" spans="1:11" x14ac:dyDescent="0.2">
      <c r="A616" s="214" t="s">
        <v>431</v>
      </c>
    </row>
    <row r="617" spans="1:11" ht="25.5" x14ac:dyDescent="0.2">
      <c r="A617" s="920" t="s">
        <v>449</v>
      </c>
      <c r="B617" s="802" t="e">
        <f>kursovoy!B2256</f>
        <v>#VALUE!</v>
      </c>
    </row>
    <row r="618" spans="1:11" x14ac:dyDescent="0.2">
      <c r="A618" s="802" t="e">
        <f>IF(B617=1,"Выр-ка проводиться;1-за лавой,2-с опережением","не вводить!")</f>
        <v>#VALUE!</v>
      </c>
      <c r="B618" s="802" t="e">
        <f>kursovoy!B2257</f>
        <v>#VALUE!</v>
      </c>
    </row>
    <row r="619" spans="1:11" ht="25.5" x14ac:dyDescent="0.2">
      <c r="A619" s="920" t="s">
        <v>450</v>
      </c>
      <c r="B619" s="802" t="e">
        <f>IF(kursovoy!B2258=2,0,1)</f>
        <v>#VALUE!</v>
      </c>
    </row>
    <row r="620" spans="1:11" ht="25.5" x14ac:dyDescent="0.2">
      <c r="A620" s="920" t="s">
        <v>451</v>
      </c>
      <c r="B620" s="802" t="e">
        <f>IF(kursovoy!B2259=1,1,2)</f>
        <v>#VALUE!</v>
      </c>
    </row>
    <row r="621" spans="1:11" ht="25.5" x14ac:dyDescent="0.2">
      <c r="A621" s="920" t="s">
        <v>452</v>
      </c>
      <c r="B621" s="802" t="e">
        <f>IF(kursovoy!B2260=2,1,2)</f>
        <v>#VALUE!</v>
      </c>
    </row>
    <row r="622" spans="1:11" x14ac:dyDescent="0.2">
      <c r="A622" t="e">
        <f>IF(OR(B775&lt;1,B775&gt;8)," Заданные условия не реальны !! Будьте внимательнее !!","")</f>
        <v>#VALUE!</v>
      </c>
      <c r="F622" s="242"/>
      <c r="G622" s="242"/>
      <c r="H622" s="242"/>
    </row>
    <row r="623" spans="1:11" ht="25.5" x14ac:dyDescent="0.2">
      <c r="A623" s="920" t="s">
        <v>453</v>
      </c>
      <c r="B623" s="802" t="e">
        <f>kursovoy!B2262</f>
        <v>#VALUE!</v>
      </c>
    </row>
    <row r="624" spans="1:11" x14ac:dyDescent="0.2">
      <c r="A624" s="213" t="e">
        <f>IF(B623=B777,"Продолжайте ввод данных","Введенные данные не соответствуют заданному Вами номеру модуля !!")</f>
        <v>#VALUE!</v>
      </c>
      <c r="H624" s="242"/>
      <c r="I624" s="242"/>
      <c r="J624" s="242"/>
    </row>
    <row r="625" spans="1:3" ht="15" x14ac:dyDescent="0.2">
      <c r="A625" s="308" t="s">
        <v>454</v>
      </c>
    </row>
    <row r="626" spans="1:3" ht="15" x14ac:dyDescent="0.2">
      <c r="A626" s="308" t="s">
        <v>455</v>
      </c>
    </row>
    <row r="627" spans="1:3" ht="89.25" x14ac:dyDescent="0.2">
      <c r="A627" s="920" t="s">
        <v>3029</v>
      </c>
      <c r="B627" s="802" t="e">
        <f>kursovoy!B2280</f>
        <v>#VALUE!</v>
      </c>
    </row>
    <row r="628" spans="1:3" ht="25.5" x14ac:dyDescent="0.2">
      <c r="A628" s="920" t="s">
        <v>3030</v>
      </c>
      <c r="B628" s="802" t="e">
        <f>kursovoy!B2281</f>
        <v>#VALUE!</v>
      </c>
    </row>
    <row r="629" spans="1:3" x14ac:dyDescent="0.2">
      <c r="A629" s="920" t="s">
        <v>3031</v>
      </c>
      <c r="B629" s="802" t="e">
        <f>kursovoy!B2282</f>
        <v>#VALUE!</v>
      </c>
    </row>
    <row r="632" spans="1:3" x14ac:dyDescent="0.2">
      <c r="A632" s="920" t="s">
        <v>1402</v>
      </c>
      <c r="B632" s="802" t="str">
        <f>kursovoy!$B$175</f>
        <v/>
      </c>
    </row>
    <row r="633" spans="1:3" ht="25.5" x14ac:dyDescent="0.2">
      <c r="A633" s="920" t="s">
        <v>1403</v>
      </c>
      <c r="B633" s="802">
        <f>kursovoy!B2302/2</f>
        <v>0</v>
      </c>
    </row>
    <row r="634" spans="1:3" x14ac:dyDescent="0.2">
      <c r="A634" s="920" t="s">
        <v>1404</v>
      </c>
      <c r="B634" s="4190">
        <v>3000</v>
      </c>
      <c r="C634" t="s">
        <v>6762</v>
      </c>
    </row>
    <row r="635" spans="1:3" x14ac:dyDescent="0.2">
      <c r="A635" s="920" t="s">
        <v>1405</v>
      </c>
      <c r="B635" s="802">
        <f>kursovoy!B1637</f>
        <v>1</v>
      </c>
    </row>
    <row r="636" spans="1:3" x14ac:dyDescent="0.2">
      <c r="A636" s="920" t="s">
        <v>1406</v>
      </c>
      <c r="B636" s="4190">
        <v>900</v>
      </c>
      <c r="C636" t="s">
        <v>6763</v>
      </c>
    </row>
    <row r="637" spans="1:3" x14ac:dyDescent="0.2">
      <c r="A637" s="2745" t="s">
        <v>1407</v>
      </c>
    </row>
    <row r="638" spans="1:3" x14ac:dyDescent="0.2">
      <c r="A638" s="920" t="s">
        <v>1408</v>
      </c>
      <c r="B638" s="944">
        <f>вен!F133</f>
        <v>0</v>
      </c>
    </row>
    <row r="639" spans="1:3" x14ac:dyDescent="0.2">
      <c r="A639" s="920" t="s">
        <v>1409</v>
      </c>
      <c r="B639" s="944">
        <f>вен!F135</f>
        <v>0</v>
      </c>
    </row>
    <row r="640" spans="1:3" x14ac:dyDescent="0.2">
      <c r="A640" s="920" t="s">
        <v>1410</v>
      </c>
      <c r="B640" s="944">
        <f>вен!F134</f>
        <v>0</v>
      </c>
    </row>
    <row r="641" spans="1:4" ht="25.5" x14ac:dyDescent="0.2">
      <c r="A641" s="920" t="s">
        <v>2650</v>
      </c>
      <c r="B641" s="944">
        <f>вен!F136</f>
        <v>0</v>
      </c>
    </row>
    <row r="642" spans="1:4" x14ac:dyDescent="0.2">
      <c r="A642" s="920" t="s">
        <v>2651</v>
      </c>
      <c r="B642" s="2766">
        <f>kursovoy!B1103</f>
        <v>0</v>
      </c>
    </row>
    <row r="643" spans="1:4" ht="25.5" x14ac:dyDescent="0.2">
      <c r="A643" s="920" t="s">
        <v>2652</v>
      </c>
      <c r="B643" s="944" t="b">
        <f>kursovoy!B500</f>
        <v>0</v>
      </c>
    </row>
    <row r="644" spans="1:4" ht="25.5" x14ac:dyDescent="0.2">
      <c r="A644" s="920" t="s">
        <v>2653</v>
      </c>
      <c r="B644" s="944">
        <f>IF(B643&gt;2,0,1)</f>
        <v>0</v>
      </c>
    </row>
    <row r="645" spans="1:4" ht="25.5" x14ac:dyDescent="0.2">
      <c r="A645" s="920" t="s">
        <v>2654</v>
      </c>
      <c r="B645" s="944" t="str">
        <f>kursovoy!C518</f>
        <v/>
      </c>
    </row>
    <row r="646" spans="1:4" x14ac:dyDescent="0.2">
      <c r="A646" s="920" t="s">
        <v>2655</v>
      </c>
      <c r="B646" s="944" t="e">
        <f>kursovoy!#REF!</f>
        <v>#REF!</v>
      </c>
    </row>
    <row r="647" spans="1:4" x14ac:dyDescent="0.2">
      <c r="A647" s="920" t="s">
        <v>2656</v>
      </c>
      <c r="B647" s="944" t="str">
        <f>kursovoy!C515</f>
        <v/>
      </c>
    </row>
    <row r="648" spans="1:4" x14ac:dyDescent="0.2">
      <c r="A648" s="920" t="s">
        <v>2657</v>
      </c>
      <c r="B648" s="944" t="str">
        <f>kursovoy!C517</f>
        <v/>
      </c>
    </row>
    <row r="649" spans="1:4" ht="38.25" x14ac:dyDescent="0.2">
      <c r="A649" s="920" t="s">
        <v>2732</v>
      </c>
      <c r="B649" s="944"/>
    </row>
    <row r="650" spans="1:4" ht="25.5" x14ac:dyDescent="0.2">
      <c r="A650" s="920" t="s">
        <v>2032</v>
      </c>
      <c r="B650" s="944">
        <f>kursovoy!B864</f>
        <v>0</v>
      </c>
      <c r="D650" s="242"/>
    </row>
    <row r="651" spans="1:4" x14ac:dyDescent="0.2">
      <c r="A651" s="920" t="s">
        <v>3165</v>
      </c>
      <c r="B651" s="944">
        <f>kursovoy!B866</f>
        <v>0</v>
      </c>
      <c r="D651" s="242"/>
    </row>
    <row r="652" spans="1:4" x14ac:dyDescent="0.2">
      <c r="A652" s="920" t="s">
        <v>3166</v>
      </c>
      <c r="B652" s="944">
        <f>kursovoy!B872</f>
        <v>0</v>
      </c>
      <c r="D652" s="242"/>
    </row>
    <row r="653" spans="1:4" ht="25.5" x14ac:dyDescent="0.2">
      <c r="A653" s="920" t="s">
        <v>4058</v>
      </c>
      <c r="B653" s="944">
        <f>kursovoy!B868</f>
        <v>0</v>
      </c>
      <c r="D653" s="242"/>
    </row>
    <row r="654" spans="1:4" x14ac:dyDescent="0.2">
      <c r="A654" s="920" t="s">
        <v>2165</v>
      </c>
      <c r="B654" s="944">
        <f>kursovoy!B870</f>
        <v>0</v>
      </c>
      <c r="D654" s="242"/>
    </row>
    <row r="655" spans="1:4" x14ac:dyDescent="0.2">
      <c r="A655" s="920" t="s">
        <v>2166</v>
      </c>
      <c r="B655" s="944">
        <f>kursovoy!B873</f>
        <v>0</v>
      </c>
      <c r="D655" s="242"/>
    </row>
    <row r="659" spans="1:1" ht="15.75" x14ac:dyDescent="0.25">
      <c r="A659" s="2771"/>
    </row>
    <row r="714" spans="1:5" ht="18.75" x14ac:dyDescent="0.3">
      <c r="A714" s="2772" t="s">
        <v>751</v>
      </c>
    </row>
    <row r="715" spans="1:5" ht="15.75" x14ac:dyDescent="0.25">
      <c r="A715" s="2484"/>
    </row>
    <row r="716" spans="1:5" ht="15.75" x14ac:dyDescent="0.25">
      <c r="A716" s="1333" t="s">
        <v>2921</v>
      </c>
      <c r="B716" t="e">
        <f>B3087</f>
        <v>#VALUE!</v>
      </c>
      <c r="E716" s="242"/>
    </row>
    <row r="717" spans="1:5" ht="15.75" x14ac:dyDescent="0.25">
      <c r="A717" s="1333" t="s">
        <v>3315</v>
      </c>
      <c r="B717" s="352">
        <f>$B$642</f>
        <v>0</v>
      </c>
      <c r="E717" s="242"/>
    </row>
    <row r="718" spans="1:5" ht="15.75" x14ac:dyDescent="0.25">
      <c r="A718" s="1330" t="s">
        <v>752</v>
      </c>
      <c r="B718" t="e">
        <f>B913</f>
        <v>#VALUE!</v>
      </c>
      <c r="E718" s="242"/>
    </row>
    <row r="719" spans="1:5" ht="15.75" x14ac:dyDescent="0.25">
      <c r="A719" s="1333" t="s">
        <v>753</v>
      </c>
      <c r="B719" t="e">
        <f>B2543</f>
        <v>#VALUE!</v>
      </c>
      <c r="E719" s="242"/>
    </row>
    <row r="720" spans="1:5" ht="15.75" x14ac:dyDescent="0.25">
      <c r="A720" s="1333" t="s">
        <v>754</v>
      </c>
      <c r="B720" t="e">
        <f>B2544</f>
        <v>#VALUE!</v>
      </c>
      <c r="E720" s="242"/>
    </row>
    <row r="721" spans="1:5" ht="15.75" x14ac:dyDescent="0.25">
      <c r="A721" s="1333" t="s">
        <v>755</v>
      </c>
      <c r="B721" t="e">
        <f>B719*B720</f>
        <v>#VALUE!</v>
      </c>
      <c r="E721" s="242"/>
    </row>
    <row r="723" spans="1:5" ht="18.75" x14ac:dyDescent="0.3">
      <c r="A723" s="2772" t="s">
        <v>751</v>
      </c>
    </row>
    <row r="724" spans="1:5" ht="15.75" x14ac:dyDescent="0.2">
      <c r="A724" s="2773" t="s">
        <v>2921</v>
      </c>
      <c r="B724" t="e">
        <f>B3087</f>
        <v>#VALUE!</v>
      </c>
      <c r="E724" s="242"/>
    </row>
    <row r="725" spans="1:5" ht="15.75" x14ac:dyDescent="0.2">
      <c r="A725" s="2773" t="s">
        <v>3315</v>
      </c>
      <c r="B725" s="352">
        <f>B642</f>
        <v>0</v>
      </c>
      <c r="E725" s="242"/>
    </row>
    <row r="726" spans="1:5" ht="15.75" x14ac:dyDescent="0.2">
      <c r="A726" s="2773" t="s">
        <v>756</v>
      </c>
      <c r="B726" t="e">
        <f>B913</f>
        <v>#VALUE!</v>
      </c>
      <c r="E726" s="242"/>
    </row>
    <row r="727" spans="1:5" ht="15.75" x14ac:dyDescent="0.2">
      <c r="A727" s="2773" t="s">
        <v>757</v>
      </c>
      <c r="B727" t="e">
        <f>B2758</f>
        <v>#VALUE!</v>
      </c>
      <c r="E727" s="242"/>
    </row>
    <row r="728" spans="1:5" ht="15.75" x14ac:dyDescent="0.2">
      <c r="A728" s="2773" t="s">
        <v>758</v>
      </c>
      <c r="B728" t="e">
        <f>B2759</f>
        <v>#VALUE!</v>
      </c>
      <c r="E728" s="242"/>
    </row>
    <row r="729" spans="1:5" ht="15.75" x14ac:dyDescent="0.2">
      <c r="A729" s="2773" t="s">
        <v>404</v>
      </c>
      <c r="B729" t="e">
        <f>B727*B728</f>
        <v>#VALUE!</v>
      </c>
      <c r="E729" s="242"/>
    </row>
    <row r="732" spans="1:5" ht="18.75" x14ac:dyDescent="0.3">
      <c r="A732" s="2774" t="s">
        <v>405</v>
      </c>
    </row>
    <row r="733" spans="1:5" ht="25.5" x14ac:dyDescent="0.2">
      <c r="A733" s="920" t="s">
        <v>2229</v>
      </c>
      <c r="B733" s="4001">
        <v>1000</v>
      </c>
      <c r="C733" s="213"/>
    </row>
    <row r="734" spans="1:5" x14ac:dyDescent="0.2">
      <c r="A734" s="2736" t="s">
        <v>2230</v>
      </c>
      <c r="B734" s="213" t="e">
        <f>B760</f>
        <v>#VALUE!</v>
      </c>
      <c r="C734" s="213"/>
    </row>
    <row r="735" spans="1:5" ht="18.75" x14ac:dyDescent="0.3">
      <c r="A735" s="3108"/>
    </row>
    <row r="737" spans="1:3" x14ac:dyDescent="0.2">
      <c r="A737" s="2768" t="s">
        <v>548</v>
      </c>
    </row>
    <row r="738" spans="1:3" ht="25.5" x14ac:dyDescent="0.2">
      <c r="A738" s="217" t="s">
        <v>2058</v>
      </c>
      <c r="B738" s="213">
        <f>IF(B592=1,2,1)</f>
        <v>1</v>
      </c>
    </row>
    <row r="739" spans="1:3" x14ac:dyDescent="0.2">
      <c r="A739" s="217" t="str">
        <f>IF(B469="Ввод характеристик выработок окончен. Переходите к строке -","Не вводить","Расстояние между арками крепи, a,  м")</f>
        <v>Расстояние между арками крепи, a,  м</v>
      </c>
      <c r="B739" s="213">
        <f>B572</f>
        <v>0.8</v>
      </c>
    </row>
    <row r="740" spans="1:3" x14ac:dyDescent="0.2">
      <c r="A740" s="217" t="str">
        <f>IF(B469="Ввод характеристик выработок окончен. Переходите к строке -","Не вводить","Расстояние между арками крепи, a,  м")</f>
        <v>Расстояние между арками крепи, a,  м</v>
      </c>
      <c r="B740" s="213">
        <f>B572</f>
        <v>0.8</v>
      </c>
    </row>
    <row r="741" spans="1:3" x14ac:dyDescent="0.2">
      <c r="A741" s="217" t="s">
        <v>1678</v>
      </c>
      <c r="B741" s="213">
        <f>B374</f>
        <v>1000</v>
      </c>
    </row>
    <row r="742" spans="1:3" x14ac:dyDescent="0.2">
      <c r="A742" s="217" t="s">
        <v>1086</v>
      </c>
      <c r="B742" s="213">
        <f>IF(B635=1,0,B586)</f>
        <v>0</v>
      </c>
    </row>
    <row r="743" spans="1:3" ht="25.5" x14ac:dyDescent="0.2">
      <c r="A743" s="217" t="s">
        <v>2068</v>
      </c>
      <c r="B743" s="213">
        <v>2</v>
      </c>
    </row>
    <row r="744" spans="1:3" ht="25.5" x14ac:dyDescent="0.2">
      <c r="A744" s="217" t="s">
        <v>2969</v>
      </c>
      <c r="B744" s="213">
        <f>IF(B762=1,2,IF(B762=2,1))</f>
        <v>1</v>
      </c>
    </row>
    <row r="745" spans="1:3" ht="25.5" x14ac:dyDescent="0.2">
      <c r="A745" s="217" t="s">
        <v>2965</v>
      </c>
      <c r="B745" s="213">
        <v>1</v>
      </c>
    </row>
    <row r="746" spans="1:3" x14ac:dyDescent="0.2">
      <c r="A746" s="217" t="s">
        <v>375</v>
      </c>
      <c r="B746" s="213">
        <v>6</v>
      </c>
    </row>
    <row r="747" spans="1:3" x14ac:dyDescent="0.2">
      <c r="A747" s="217" t="s">
        <v>3044</v>
      </c>
      <c r="B747" s="213">
        <f>IF(B338=1,2,IF(B338=2,2,IF(B338=3,1,IF(B338=4,2))))</f>
        <v>2</v>
      </c>
    </row>
    <row r="748" spans="1:3" x14ac:dyDescent="0.2">
      <c r="A748" s="217" t="s">
        <v>5462</v>
      </c>
      <c r="B748" s="213">
        <f>B759</f>
        <v>2</v>
      </c>
    </row>
    <row r="749" spans="1:3" x14ac:dyDescent="0.2">
      <c r="A749" s="217" t="s">
        <v>107</v>
      </c>
      <c r="B749" s="213" t="e">
        <f>B586+1</f>
        <v>#VALUE!</v>
      </c>
    </row>
    <row r="750" spans="1:3" ht="25.5" x14ac:dyDescent="0.2">
      <c r="A750" s="217" t="s">
        <v>1158</v>
      </c>
      <c r="B750" s="213" t="b">
        <f>kursovoy!B500</f>
        <v>0</v>
      </c>
      <c r="C750" s="8"/>
    </row>
    <row r="751" spans="1:3" ht="25.5" x14ac:dyDescent="0.2">
      <c r="A751" s="217" t="s">
        <v>105</v>
      </c>
      <c r="B751" s="213">
        <f>IF(B750&gt;2,0,1)</f>
        <v>0</v>
      </c>
      <c r="C751" s="8"/>
    </row>
    <row r="752" spans="1:3" x14ac:dyDescent="0.2">
      <c r="A752" s="217" t="s">
        <v>344</v>
      </c>
      <c r="B752" s="213">
        <f>IF(B47=2,1,IF(B584&gt;0.8,1,0))</f>
        <v>1</v>
      </c>
      <c r="C752" s="8"/>
    </row>
    <row r="753" spans="1:3" x14ac:dyDescent="0.2">
      <c r="A753" s="217" t="s">
        <v>4795</v>
      </c>
      <c r="B753" s="213"/>
      <c r="C753" s="8"/>
    </row>
    <row r="754" spans="1:3" x14ac:dyDescent="0.2">
      <c r="A754" s="217"/>
      <c r="B754" s="213"/>
      <c r="C754" s="8"/>
    </row>
    <row r="755" spans="1:3" x14ac:dyDescent="0.2">
      <c r="A755" s="217" t="s">
        <v>1159</v>
      </c>
      <c r="B755" s="213" t="e">
        <f>IF(B47=1,B3207,B3210)</f>
        <v>#VALUE!</v>
      </c>
      <c r="C755" s="549"/>
    </row>
    <row r="756" spans="1:3" x14ac:dyDescent="0.2">
      <c r="A756" s="217" t="s">
        <v>3493</v>
      </c>
      <c r="B756" s="213" t="e">
        <f>ROUNDUP((2.4*B584^2-5.4*B584+6)*IF(B603=2,1.5,IF(B603=1,1,IF(B603=3,1.25))),0)</f>
        <v>#VALUE!</v>
      </c>
      <c r="C756" s="8"/>
    </row>
    <row r="757" spans="1:3" x14ac:dyDescent="0.2">
      <c r="A757" s="217" t="s">
        <v>4693</v>
      </c>
      <c r="B757" s="213">
        <f>B401*1000000</f>
        <v>3000000</v>
      </c>
      <c r="C757" s="8"/>
    </row>
    <row r="758" spans="1:3" x14ac:dyDescent="0.2">
      <c r="A758" s="217" t="s">
        <v>4694</v>
      </c>
      <c r="B758" s="213">
        <f>B402*1000</f>
        <v>600000</v>
      </c>
      <c r="C758" s="8"/>
    </row>
    <row r="759" spans="1:3" x14ac:dyDescent="0.2">
      <c r="A759" s="217" t="s">
        <v>109</v>
      </c>
      <c r="B759" s="4189">
        <v>2</v>
      </c>
      <c r="C759" s="8" t="s">
        <v>6760</v>
      </c>
    </row>
    <row r="760" spans="1:3" x14ac:dyDescent="0.2">
      <c r="A760" s="217" t="s">
        <v>1703</v>
      </c>
      <c r="B760" s="213" t="e">
        <f>(B632/B759)/2</f>
        <v>#VALUE!</v>
      </c>
      <c r="C760" s="8"/>
    </row>
    <row r="761" spans="1:3" x14ac:dyDescent="0.2">
      <c r="A761" s="217" t="s">
        <v>4799</v>
      </c>
      <c r="B761" s="213" t="e">
        <f>B634/kursovoy!B1102</f>
        <v>#VALUE!</v>
      </c>
      <c r="C761" s="8"/>
    </row>
    <row r="762" spans="1:3" ht="25.5" x14ac:dyDescent="0.2">
      <c r="A762" s="217" t="s">
        <v>4849</v>
      </c>
      <c r="B762" s="213">
        <f>IF(B289=2,1,2)</f>
        <v>2</v>
      </c>
      <c r="C762" s="8"/>
    </row>
    <row r="763" spans="1:3" ht="25.5" x14ac:dyDescent="0.2">
      <c r="A763" s="217" t="s">
        <v>3495</v>
      </c>
      <c r="B763" s="213">
        <v>1</v>
      </c>
      <c r="C763" s="8"/>
    </row>
    <row r="764" spans="1:3" ht="89.25" x14ac:dyDescent="0.2">
      <c r="A764" s="217" t="s">
        <v>4850</v>
      </c>
      <c r="B764" s="213">
        <f>B312</f>
        <v>1</v>
      </c>
      <c r="C764" s="8"/>
    </row>
    <row r="765" spans="1:3" x14ac:dyDescent="0.2">
      <c r="A765" s="217" t="s">
        <v>4793</v>
      </c>
      <c r="B765" s="213">
        <v>0</v>
      </c>
      <c r="C765" s="8"/>
    </row>
    <row r="766" spans="1:3" x14ac:dyDescent="0.2">
      <c r="A766" s="2768" t="s">
        <v>114</v>
      </c>
    </row>
    <row r="768" spans="1:3" x14ac:dyDescent="0.2">
      <c r="A768" s="2754" t="s">
        <v>406</v>
      </c>
      <c r="B768" s="802">
        <f>IF(B289=2,0,1)</f>
        <v>1</v>
      </c>
    </row>
    <row r="769" spans="1:2" x14ac:dyDescent="0.2">
      <c r="A769" s="2754" t="s">
        <v>407</v>
      </c>
      <c r="B769" s="802">
        <f>IF(B289=2,1,0)</f>
        <v>0</v>
      </c>
    </row>
    <row r="770" spans="1:2" x14ac:dyDescent="0.2">
      <c r="A770" s="2775" t="s">
        <v>408</v>
      </c>
      <c r="B770" s="802">
        <f>B511+B769</f>
        <v>0</v>
      </c>
    </row>
    <row r="771" spans="1:2" x14ac:dyDescent="0.2">
      <c r="A771" s="2775" t="s">
        <v>409</v>
      </c>
      <c r="B771" s="802">
        <f>B509+B510+B768</f>
        <v>1</v>
      </c>
    </row>
    <row r="772" spans="1:2" x14ac:dyDescent="0.2">
      <c r="A772" s="2618" t="s">
        <v>2830</v>
      </c>
      <c r="B772" s="802"/>
    </row>
    <row r="773" spans="1:2" x14ac:dyDescent="0.2">
      <c r="A773" s="2620" t="s">
        <v>2831</v>
      </c>
      <c r="B773" s="802" t="e">
        <f>IF(OR(B610=2,B610=3),2,B610)</f>
        <v>#VALUE!</v>
      </c>
    </row>
    <row r="774" spans="1:2" x14ac:dyDescent="0.2">
      <c r="A774" s="2622" t="s">
        <v>2832</v>
      </c>
      <c r="B774" s="802" t="e">
        <f>IF(B775="ЛОЖЬ","ЛОЖЬ",IF(B606=1,B775,B775+4))</f>
        <v>#VALUE!</v>
      </c>
    </row>
    <row r="775" spans="1:2" x14ac:dyDescent="0.2">
      <c r="A775" s="2624" t="s">
        <v>2833</v>
      </c>
      <c r="B775" s="802" t="e">
        <f>IF(AND(B773=1,B611=0,B612=1),1,IF(AND(B773=2,B611=1,B612=2),2,IF(AND(B773=2,B611=0,B612=2),3,IF(AND(B773=2,B611=0,B612=1),4,10))))</f>
        <v>#VALUE!</v>
      </c>
    </row>
    <row r="776" spans="1:2" x14ac:dyDescent="0.2">
      <c r="A776" s="2618" t="s">
        <v>410</v>
      </c>
      <c r="B776" s="802"/>
    </row>
    <row r="777" spans="1:2" x14ac:dyDescent="0.2">
      <c r="A777" s="2776" t="s">
        <v>411</v>
      </c>
      <c r="B777" s="802" t="e">
        <f>IF(B606=1,B778,B779)</f>
        <v>#VALUE!</v>
      </c>
    </row>
    <row r="778" spans="1:2" x14ac:dyDescent="0.2">
      <c r="A778" s="2777" t="s">
        <v>412</v>
      </c>
      <c r="B778" s="802" t="e">
        <f>IF(AND(B617=1,B619=1,B620=1,B621=2),1,IF(AND(B617=2,B619=0,B620=2,B621=1),2,IF(AND(B617=2,B619=1,B620=1,B621=1),3,IF(AND(B617=2,B619=1,B620=1,B621=2),4,IF(AND(B617=2,B619=1,B620=2,B621=1),5,IF(AND(B617=2,B619=1,B620=2,B621=2),6))))))</f>
        <v>#VALUE!</v>
      </c>
    </row>
    <row r="779" spans="1:2" x14ac:dyDescent="0.2">
      <c r="A779" s="2777"/>
      <c r="B779" s="802" t="e">
        <f>IF(AND(B617=2,B619=1,B620=1,B621=2),7,IF(AND(B617=2,B619=1,B620=2,B621=1),8))</f>
        <v>#VALUE!</v>
      </c>
    </row>
    <row r="780" spans="1:2" x14ac:dyDescent="0.2">
      <c r="A780" s="2777" t="s">
        <v>413</v>
      </c>
      <c r="B780" s="802" t="e">
        <f>IF(OR(B437=6,B437=19,B437=20,B437=21,B437=22,B437=23),1,0)</f>
        <v>#VALUE!</v>
      </c>
    </row>
    <row r="781" spans="1:2" x14ac:dyDescent="0.2">
      <c r="A781" s="2778" t="s">
        <v>414</v>
      </c>
      <c r="B781" s="802" t="e">
        <f>IF(B437&lt;6,1,0)</f>
        <v>#VALUE!</v>
      </c>
    </row>
    <row r="782" spans="1:2" x14ac:dyDescent="0.2">
      <c r="A782" s="2779" t="s">
        <v>415</v>
      </c>
    </row>
    <row r="783" spans="1:2" ht="25.5" x14ac:dyDescent="0.2">
      <c r="A783" s="2788" t="s">
        <v>2947</v>
      </c>
      <c r="B783" s="802" t="e">
        <f>IF(B629=1,0.85,IF(B629=2,1,0))</f>
        <v>#VALUE!</v>
      </c>
    </row>
    <row r="784" spans="1:2" ht="25.5" x14ac:dyDescent="0.2">
      <c r="A784" s="2788" t="s">
        <v>2052</v>
      </c>
      <c r="B784" s="802" t="e">
        <f>IF(B629=1,0.95,IF(B629=2,1,0.05))</f>
        <v>#VALUE!</v>
      </c>
    </row>
    <row r="785" spans="1:6" ht="25.5" x14ac:dyDescent="0.2">
      <c r="A785" s="2788" t="s">
        <v>1302</v>
      </c>
      <c r="B785" s="802" t="e">
        <f>IF($B$594=1,B784,B783)</f>
        <v>#VALUE!</v>
      </c>
    </row>
    <row r="789" spans="1:6" ht="18.75" x14ac:dyDescent="0.3">
      <c r="A789" s="2780"/>
    </row>
    <row r="790" spans="1:6" ht="15.75" x14ac:dyDescent="0.25">
      <c r="A790" s="2789" t="s">
        <v>60</v>
      </c>
    </row>
    <row r="791" spans="1:6" x14ac:dyDescent="0.2">
      <c r="A791" s="1157"/>
    </row>
    <row r="792" spans="1:6" x14ac:dyDescent="0.2">
      <c r="A792" s="2790" t="s">
        <v>61</v>
      </c>
      <c r="B792" t="e">
        <f>B2564</f>
        <v>#VALUE!</v>
      </c>
      <c r="E792" s="242"/>
    </row>
    <row r="793" spans="1:6" x14ac:dyDescent="0.2">
      <c r="A793" s="2790" t="s">
        <v>62</v>
      </c>
      <c r="B793" t="e">
        <f>B2597</f>
        <v>#VALUE!</v>
      </c>
      <c r="E793" s="242"/>
    </row>
    <row r="794" spans="1:6" x14ac:dyDescent="0.2">
      <c r="A794" s="2790" t="s">
        <v>63</v>
      </c>
      <c r="B794" t="e">
        <f>B2724+B2733</f>
        <v>#VALUE!</v>
      </c>
      <c r="E794" s="242"/>
    </row>
    <row r="795" spans="1:6" x14ac:dyDescent="0.2">
      <c r="A795" s="2790" t="s">
        <v>64</v>
      </c>
      <c r="B795" t="e">
        <f>((B897+B974+B1035+B1113+B1182+B1265+B1348+B1429)/B817+B3065)</f>
        <v>#VALUE!</v>
      </c>
      <c r="E795" s="242"/>
    </row>
    <row r="796" spans="1:6" x14ac:dyDescent="0.2">
      <c r="A796" s="2790" t="s">
        <v>65</v>
      </c>
      <c r="B796" t="e">
        <f>(B895+B972+B1033+B1111+B1180+B1263)/B817</f>
        <v>#VALUE!</v>
      </c>
      <c r="E796" s="242"/>
      <c r="F796" t="s">
        <v>6759</v>
      </c>
    </row>
    <row r="797" spans="1:6" x14ac:dyDescent="0.2">
      <c r="A797" s="2790" t="s">
        <v>66</v>
      </c>
      <c r="B797" t="e">
        <f>(B899+B976+B1037+B1115+B1184+B1267+B1350+B1431)/B817</f>
        <v>#VALUE!</v>
      </c>
      <c r="E797" s="242"/>
    </row>
    <row r="798" spans="1:6" x14ac:dyDescent="0.2">
      <c r="A798" s="2790" t="s">
        <v>67</v>
      </c>
      <c r="B798">
        <f>B2662</f>
        <v>0</v>
      </c>
      <c r="E798" s="242"/>
    </row>
    <row r="799" spans="1:6" x14ac:dyDescent="0.2">
      <c r="A799" s="2790" t="s">
        <v>68</v>
      </c>
      <c r="B799" t="e">
        <f>B1441+B3068</f>
        <v>#VALUE!</v>
      </c>
      <c r="E799" s="242"/>
    </row>
    <row r="800" spans="1:6" x14ac:dyDescent="0.2">
      <c r="A800" s="2790" t="s">
        <v>69</v>
      </c>
      <c r="B800" t="e">
        <f>SUM(B792:B799)*B386</f>
        <v>#VALUE!</v>
      </c>
      <c r="E800" s="242"/>
    </row>
    <row r="801" spans="1:5" x14ac:dyDescent="0.2">
      <c r="A801" s="2790"/>
    </row>
    <row r="802" spans="1:5" ht="15.75" x14ac:dyDescent="0.25">
      <c r="A802" s="2789" t="s">
        <v>1138</v>
      </c>
    </row>
    <row r="803" spans="1:5" x14ac:dyDescent="0.2">
      <c r="A803" s="2790" t="s">
        <v>1139</v>
      </c>
      <c r="B803" t="e">
        <f>B2776</f>
        <v>#VALUE!</v>
      </c>
      <c r="E803" s="242"/>
    </row>
    <row r="804" spans="1:5" x14ac:dyDescent="0.2">
      <c r="A804" s="2790" t="s">
        <v>1140</v>
      </c>
      <c r="B804" t="e">
        <f>B2935</f>
        <v>#VALUE!</v>
      </c>
      <c r="E804" s="242"/>
    </row>
    <row r="805" spans="1:5" x14ac:dyDescent="0.2">
      <c r="A805" s="2790" t="s">
        <v>1141</v>
      </c>
      <c r="B805" t="e">
        <f>B3052</f>
        <v>#VALUE!</v>
      </c>
      <c r="E805" s="242"/>
    </row>
    <row r="806" spans="1:5" x14ac:dyDescent="0.2">
      <c r="A806" s="2790" t="s">
        <v>64</v>
      </c>
      <c r="B806" t="e">
        <f>((B898+B975+B1036+B1114+B1183+B1266+B1349+B1430)/B816+B3065)</f>
        <v>#VALUE!</v>
      </c>
      <c r="E806" s="242"/>
    </row>
    <row r="807" spans="1:5" x14ac:dyDescent="0.2">
      <c r="A807" s="2790" t="s">
        <v>65</v>
      </c>
      <c r="B807" t="e">
        <f>(B888+B890+B892+B894+B965+B967+B969+B971)/B816</f>
        <v>#VALUE!</v>
      </c>
      <c r="E807" s="242"/>
    </row>
    <row r="808" spans="1:5" x14ac:dyDescent="0.2">
      <c r="A808" s="2790" t="s">
        <v>66</v>
      </c>
      <c r="B808" t="e">
        <f>(B900+B977+B1038+B1116+B1185+B1268+B1351+B1432)/B816</f>
        <v>#VALUE!</v>
      </c>
      <c r="E808" s="242"/>
    </row>
    <row r="809" spans="1:5" x14ac:dyDescent="0.2">
      <c r="A809" s="2790" t="s">
        <v>67</v>
      </c>
      <c r="B809">
        <f>B2973</f>
        <v>0</v>
      </c>
      <c r="E809" s="242"/>
    </row>
    <row r="810" spans="1:5" x14ac:dyDescent="0.2">
      <c r="A810" s="2790" t="s">
        <v>68</v>
      </c>
      <c r="B810" t="e">
        <f>B1441+B3068</f>
        <v>#VALUE!</v>
      </c>
      <c r="E810" s="242"/>
    </row>
    <row r="811" spans="1:5" x14ac:dyDescent="0.2">
      <c r="A811" s="2790" t="s">
        <v>69</v>
      </c>
      <c r="B811" t="e">
        <f>SUM(B803:B810)*B386</f>
        <v>#VALUE!</v>
      </c>
      <c r="E811" s="242"/>
    </row>
    <row r="812" spans="1:5" ht="31.5" x14ac:dyDescent="0.25">
      <c r="A812" s="2791" t="s">
        <v>1142</v>
      </c>
    </row>
    <row r="813" spans="1:5" ht="31.5" x14ac:dyDescent="0.25">
      <c r="A813" s="2792" t="s">
        <v>1143</v>
      </c>
      <c r="B813" t="e">
        <f>IF(B635=1,B3175*B734/(B3175+B3089),B3175*B636/(B3175+B3089))</f>
        <v>#VALUE!</v>
      </c>
      <c r="E813" s="242"/>
    </row>
    <row r="814" spans="1:5" ht="15.75" x14ac:dyDescent="0.25">
      <c r="A814" s="2793" t="s">
        <v>1144</v>
      </c>
      <c r="B814" t="e">
        <f>B2758</f>
        <v>#VALUE!</v>
      </c>
      <c r="E814" s="242"/>
    </row>
    <row r="815" spans="1:5" ht="15.75" x14ac:dyDescent="0.25">
      <c r="A815" s="2793" t="s">
        <v>1145</v>
      </c>
      <c r="B815" t="e">
        <f>((10+B642)/B814)*B377</f>
        <v>#VALUE!</v>
      </c>
      <c r="E815" s="242"/>
    </row>
    <row r="816" spans="1:5" ht="15.75" x14ac:dyDescent="0.25">
      <c r="A816" s="2794" t="s">
        <v>3136</v>
      </c>
      <c r="B816" t="e">
        <f>($B$636*B814*B590*B584*B815)</f>
        <v>#VALUE!</v>
      </c>
      <c r="E816" s="242"/>
    </row>
    <row r="817" spans="1:5" ht="15.75" x14ac:dyDescent="0.25">
      <c r="A817" s="2793" t="s">
        <v>3137</v>
      </c>
      <c r="B817" t="e">
        <f>($B$760*B814*B590*B584*B815)</f>
        <v>#VALUE!</v>
      </c>
      <c r="E817" s="242"/>
    </row>
    <row r="818" spans="1:5" ht="15.75" x14ac:dyDescent="0.25">
      <c r="A818" s="2793" t="s">
        <v>3138</v>
      </c>
      <c r="B818" t="e">
        <f>B817*2</f>
        <v>#VALUE!</v>
      </c>
      <c r="E818" s="242"/>
    </row>
    <row r="819" spans="1:5" ht="31.5" x14ac:dyDescent="0.25">
      <c r="A819" s="2794" t="s">
        <v>3139</v>
      </c>
      <c r="B819" t="e">
        <f>B816*B2759</f>
        <v>#VALUE!</v>
      </c>
      <c r="E819" s="242"/>
    </row>
    <row r="820" spans="1:5" ht="15.75" x14ac:dyDescent="0.25">
      <c r="A820" s="2793" t="s">
        <v>3140</v>
      </c>
      <c r="B820" t="e">
        <f>B2607*$B$759</f>
        <v>#VALUE!</v>
      </c>
      <c r="E820" s="242"/>
    </row>
    <row r="821" spans="1:5" ht="15.75" x14ac:dyDescent="0.25">
      <c r="A821" s="893" t="s">
        <v>3141</v>
      </c>
    </row>
    <row r="822" spans="1:5" ht="15.75" x14ac:dyDescent="0.25">
      <c r="A822" s="2793" t="s">
        <v>3142</v>
      </c>
    </row>
    <row r="823" spans="1:5" x14ac:dyDescent="0.2">
      <c r="A823" s="2795" t="str">
        <f>A440</f>
        <v>Параметры поддержания транспортной выработки  работающей лавы</v>
      </c>
    </row>
    <row r="824" spans="1:5" x14ac:dyDescent="0.2">
      <c r="A824" s="2795" t="s">
        <v>4953</v>
      </c>
      <c r="B824">
        <v>1</v>
      </c>
    </row>
    <row r="825" spans="1:5" x14ac:dyDescent="0.2">
      <c r="A825" s="2795" t="s">
        <v>4954</v>
      </c>
      <c r="B825" t="e">
        <f>IF(OR(B617=1,B617=2),1,0)</f>
        <v>#VALUE!</v>
      </c>
    </row>
    <row r="826" spans="1:5" x14ac:dyDescent="0.2">
      <c r="A826" s="2796" t="s">
        <v>4955</v>
      </c>
      <c r="B826" t="e">
        <f>IF(B635=1,B760,IF(B635=2,B636))</f>
        <v>#VALUE!</v>
      </c>
    </row>
    <row r="827" spans="1:5" x14ac:dyDescent="0.2">
      <c r="A827" s="2796"/>
    </row>
    <row r="828" spans="1:5" x14ac:dyDescent="0.2">
      <c r="A828" s="2797" t="s">
        <v>4956</v>
      </c>
      <c r="B828" t="e">
        <f>IF(OR(B437=6,B437=12,B437=13,B437=14,B437=15),B826/B3078,B826/B841)</f>
        <v>#VALUE!</v>
      </c>
    </row>
    <row r="829" spans="1:5" x14ac:dyDescent="0.2">
      <c r="A829" s="2797"/>
    </row>
    <row r="830" spans="1:5" ht="13.5" x14ac:dyDescent="0.25">
      <c r="A830" s="2798" t="s">
        <v>4957</v>
      </c>
      <c r="B830" t="e">
        <f>B3108</f>
        <v>#VALUE!</v>
      </c>
    </row>
    <row r="831" spans="1:5" ht="13.5" x14ac:dyDescent="0.25">
      <c r="A831" s="2799" t="s">
        <v>4958</v>
      </c>
      <c r="B831" t="e">
        <f>IF($B$635=1,B832*(1-B586/90),B832)</f>
        <v>#VALUE!</v>
      </c>
    </row>
    <row r="832" spans="1:5" ht="13.5" x14ac:dyDescent="0.25">
      <c r="A832" s="2798" t="s">
        <v>4959</v>
      </c>
      <c r="B832">
        <f>IF($B$3128=0,$B$57,B3111)</f>
        <v>0</v>
      </c>
    </row>
    <row r="834" spans="1:2" x14ac:dyDescent="0.2">
      <c r="A834" s="2800" t="s">
        <v>4960</v>
      </c>
      <c r="B834">
        <v>60</v>
      </c>
    </row>
    <row r="835" spans="1:2" ht="25.5" x14ac:dyDescent="0.2">
      <c r="A835" s="2800" t="s">
        <v>2965</v>
      </c>
      <c r="B835" t="e">
        <f>IF(OR(B437=9,B437=14,B437=26),B745,"")</f>
        <v>#VALUE!</v>
      </c>
    </row>
    <row r="836" spans="1:2" ht="25.5" x14ac:dyDescent="0.2">
      <c r="A836" s="2757" t="s">
        <v>4961</v>
      </c>
      <c r="B836">
        <f>B747</f>
        <v>2</v>
      </c>
    </row>
    <row r="837" spans="1:2" x14ac:dyDescent="0.2">
      <c r="A837" s="2757" t="s">
        <v>4962</v>
      </c>
      <c r="B837">
        <f>B47</f>
        <v>0</v>
      </c>
    </row>
    <row r="838" spans="1:2" x14ac:dyDescent="0.2">
      <c r="A838" s="2801" t="s">
        <v>4963</v>
      </c>
      <c r="B838">
        <f>B325</f>
        <v>1</v>
      </c>
    </row>
    <row r="839" spans="1:2" x14ac:dyDescent="0.2">
      <c r="A839" s="2802" t="e">
        <f>IF(OR(B437=6,B437=12,B437=13,B437=14,B437=15,B437&gt;18),"селективная выемка угля и породы 1- да, 0- нет.","Не вводить")</f>
        <v>#VALUE!</v>
      </c>
      <c r="B839" t="e">
        <f>IF(OR(B437=6,B437=12,B437=13,B437=14,B437=15,B437&gt;18),B752,"")</f>
        <v>#VALUE!</v>
      </c>
    </row>
    <row r="840" spans="1:2" x14ac:dyDescent="0.2">
      <c r="A840" s="2802" t="e">
        <f>IF(OR(B437=6,B437=12,B437=13,B437=14,B437=15,B437&gt;18),"Погрузка породы при проходке 2 - в вагонетки, 1- на конвейер","НЕ вводить")</f>
        <v>#VALUE!</v>
      </c>
      <c r="B840" t="e">
        <f>IF(OR(B437=6,B437=12,B437=13,B437=14,B437=15,B437&gt;18),B361,"")</f>
        <v>#VALUE!</v>
      </c>
    </row>
    <row r="841" spans="1:2" x14ac:dyDescent="0.2">
      <c r="A841" s="2803" t="s">
        <v>4964</v>
      </c>
      <c r="B841" t="e">
        <f>IF(OR(B437=6,B437=12,B437=13,B437=14,B437=26),B3089,B3174)</f>
        <v>#VALUE!</v>
      </c>
    </row>
    <row r="842" spans="1:2" ht="25.5" x14ac:dyDescent="0.2">
      <c r="A842" s="2763" t="s">
        <v>346</v>
      </c>
      <c r="B842">
        <f>B323</f>
        <v>2</v>
      </c>
    </row>
    <row r="843" spans="1:2" x14ac:dyDescent="0.2">
      <c r="A843" s="2804" t="s">
        <v>4965</v>
      </c>
      <c r="B843">
        <f>B324</f>
        <v>7</v>
      </c>
    </row>
    <row r="844" spans="1:2" x14ac:dyDescent="0.2">
      <c r="A844" s="2763" t="s">
        <v>4794</v>
      </c>
      <c r="B844">
        <f>B339</f>
        <v>3</v>
      </c>
    </row>
    <row r="845" spans="1:2" x14ac:dyDescent="0.2">
      <c r="A845" s="2804" t="s">
        <v>4966</v>
      </c>
      <c r="B845" t="str">
        <f>IF(B47=2,B322,"")</f>
        <v/>
      </c>
    </row>
    <row r="846" spans="1:2" x14ac:dyDescent="0.2">
      <c r="A846" s="2763" t="s">
        <v>4795</v>
      </c>
      <c r="B846">
        <f>B3079</f>
        <v>0</v>
      </c>
    </row>
    <row r="847" spans="1:2" x14ac:dyDescent="0.2">
      <c r="A847" s="2763" t="s">
        <v>4967</v>
      </c>
      <c r="B847">
        <f>B572</f>
        <v>0.8</v>
      </c>
    </row>
    <row r="848" spans="1:2" ht="63.75" x14ac:dyDescent="0.2">
      <c r="A848" s="2763" t="s">
        <v>4968</v>
      </c>
      <c r="B848" t="e">
        <f>IF(B443=0,7,B60)</f>
        <v>#VALUE!</v>
      </c>
    </row>
    <row r="849" spans="1:2" x14ac:dyDescent="0.2">
      <c r="A849" s="2805"/>
    </row>
    <row r="850" spans="1:2" x14ac:dyDescent="0.2">
      <c r="A850" s="2805"/>
    </row>
    <row r="851" spans="1:2" ht="13.5" x14ac:dyDescent="0.25">
      <c r="A851" s="2806" t="s">
        <v>4969</v>
      </c>
      <c r="B851" t="e">
        <f>(0.18/(B841/120)+0.82)*((0.0007*B846)+1)*(0.36/(B572/0.8)+0.64)*((0.25*B838)+0.75)*1*(IF(B840=1,1.03,1))*(IF(B323&lt;=2,B852,B853))*(IF(B339=1,(0.1*(B397/300)+0.98),IF(B339=2,(0.1*(B395/500)+0.91),(0.04*(B396/20)+0.96))))*(IF(B334=1,2.55,IF(B334=2,1.17,1.84)))</f>
        <v>#VALUE!</v>
      </c>
    </row>
    <row r="852" spans="1:2" x14ac:dyDescent="0.2">
      <c r="A852" s="229" t="s">
        <v>1329</v>
      </c>
      <c r="B852">
        <f>IF(B323=1,1,IF(B323=2,1.002))</f>
        <v>1.002</v>
      </c>
    </row>
    <row r="853" spans="1:2" x14ac:dyDescent="0.2">
      <c r="A853" s="229" t="s">
        <v>1329</v>
      </c>
      <c r="B853" t="b">
        <f>IF(B323=3,(0.19*B324+0.65)*(0.18*(B400/70)+0.82),IF(B323&gt;=4,(0.19*B324+1)*(0.18*(B400/70)+0.82)))</f>
        <v>0</v>
      </c>
    </row>
    <row r="854" spans="1:2" ht="13.5" x14ac:dyDescent="0.25">
      <c r="A854" s="2806" t="s">
        <v>4970</v>
      </c>
      <c r="B854" t="e">
        <f>1*((0.0007*B846)+1)*(0.44/(B572/0.8)+0.56)*1*IF(B839=1,0.93,1)*(IF(B840=1,0.94,1))*(IF(B323&lt;=2,B855,B856))*(IF(B339=1,(0.12*(B397/300)+1.02),IF(B339=2,(0.1*(B395/500)+0.92),(0.04*(B396/20)+0.96))))*(IF(B334=1,2.55,IF(B334=2,1.17,1.84)))</f>
        <v>#VALUE!</v>
      </c>
    </row>
    <row r="855" spans="1:2" x14ac:dyDescent="0.2">
      <c r="A855" s="229" t="s">
        <v>1329</v>
      </c>
      <c r="B855">
        <f>IF(B323=1,1,IF(B323=2,1.004))</f>
        <v>1.004</v>
      </c>
    </row>
    <row r="856" spans="1:2" x14ac:dyDescent="0.2">
      <c r="A856" s="229" t="s">
        <v>1329</v>
      </c>
      <c r="B856" t="b">
        <f>IF(B323=3,(0.28*B324+0.57)*(0.18*(B400/70)+0.82),IF(B323&gt;=4,(0.28*B324+1)*(0.18*(B400/70)+0.82)))</f>
        <v>0</v>
      </c>
    </row>
    <row r="857" spans="1:2" ht="27" x14ac:dyDescent="0.25">
      <c r="A857" s="2806" t="s">
        <v>4971</v>
      </c>
      <c r="B857" t="e">
        <f>(0.27/(B841/120)+0.73)*(IF(B846&lt;=12,1,1.01)*(0.34/(B572/0.8)+0.66)*((0.24*B838)+0.76)*1*(IF(B840=1,1.03,1))*(IF(B323&lt;=2,B858,B859))*(IF(B339=1,(0.14*(B397/300)+0.95),IF(B339=2,(0.2*(B395/500)+0.81),(0.05*(B396/20)+0.95))))*(IF(B334=1,2.55,IF(B334=2,1.17,1.84))))</f>
        <v>#VALUE!</v>
      </c>
    </row>
    <row r="858" spans="1:2" x14ac:dyDescent="0.2">
      <c r="A858" s="229" t="s">
        <v>1329</v>
      </c>
      <c r="B858">
        <f>IF(B323=1,1,1.002)</f>
        <v>1.002</v>
      </c>
    </row>
    <row r="859" spans="1:2" x14ac:dyDescent="0.2">
      <c r="A859" s="229" t="s">
        <v>1329</v>
      </c>
      <c r="B859" t="b">
        <f>IF(B323=3,(0.18*B324+0.68)*(0.13*(B400/70)+0.87),IF(B323&gt;=4,(0.18*B324+1)*(0.13*(B400/70)+0.87)))</f>
        <v>0</v>
      </c>
    </row>
    <row r="860" spans="1:2" ht="27" x14ac:dyDescent="0.25">
      <c r="A860" s="2806" t="s">
        <v>4900</v>
      </c>
      <c r="B860" t="e">
        <f>((1-0.0005/(B841/120))*(IF(B846&lt;=12,1,1.014)*(0.51/(B572/0.8)+0.49)*1*1*(IF(B840=1,0.94,1))*(IF(B323&lt;=2,B861,B862))*(IF(B339=1,(0.15*(B397/300)+1),IF(B339=2,(0.2*(B395/500)+0.82),(0.05*(B396/20)+0.95))))*(IF(B334=1,2.55,IF(B334=2,1.17,1.84)))))</f>
        <v>#VALUE!</v>
      </c>
    </row>
    <row r="861" spans="1:2" x14ac:dyDescent="0.2">
      <c r="A861" s="229" t="s">
        <v>1329</v>
      </c>
      <c r="B861">
        <f>IF(B323=1,1,IF(B323=2,1.005))</f>
        <v>1.0049999999999999</v>
      </c>
    </row>
    <row r="862" spans="1:2" x14ac:dyDescent="0.2">
      <c r="A862" s="229" t="s">
        <v>1329</v>
      </c>
      <c r="B862" t="b">
        <f>IF(B323=3,(0.32*B324+0.55)*(0.13*(B400/70)+0.87),IF(B323&gt;=4,(0.32*B324+1.05)*(0.13*(B400/70)+0.87)))</f>
        <v>0</v>
      </c>
    </row>
    <row r="863" spans="1:2" ht="13.5" x14ac:dyDescent="0.25">
      <c r="A863" s="2807" t="s">
        <v>4901</v>
      </c>
      <c r="B863" t="e">
        <f>IF(B618=1,B826/(B3078*12),B826/(B867*12))</f>
        <v>#VALUE!</v>
      </c>
    </row>
    <row r="864" spans="1:2" ht="13.5" x14ac:dyDescent="0.25">
      <c r="A864" s="2808" t="s">
        <v>4902</v>
      </c>
      <c r="B864" t="e">
        <f>IF(B437&lt;19,1,IF(B437=25,0.77,IF(B437=26,0.3,IF(B437=22,2.53,IF(B437=23,2.53,IF(B437=28,2.53,2.525))))))</f>
        <v>#VALUE!</v>
      </c>
    </row>
    <row r="865" spans="1:2" ht="13.5" x14ac:dyDescent="0.25">
      <c r="A865" s="2808" t="s">
        <v>4903</v>
      </c>
      <c r="B865" t="e">
        <f>1+B864/B828</f>
        <v>#VALUE!</v>
      </c>
    </row>
    <row r="866" spans="1:2" ht="13.5" x14ac:dyDescent="0.25">
      <c r="A866" s="2808" t="s">
        <v>4904</v>
      </c>
      <c r="B866" t="e">
        <f>B830+(0.073*B326+0.004*B832-1.49)</f>
        <v>#VALUE!</v>
      </c>
    </row>
    <row r="867" spans="1:2" ht="13.5" x14ac:dyDescent="0.25">
      <c r="A867" s="2809" t="s">
        <v>4905</v>
      </c>
      <c r="B867" t="e">
        <f>IF(B618=1,B3078,B841)</f>
        <v>#VALUE!</v>
      </c>
    </row>
    <row r="868" spans="1:2" ht="13.5" x14ac:dyDescent="0.25">
      <c r="A868" s="2808" t="s">
        <v>4695</v>
      </c>
      <c r="B868">
        <f>IF(B47=1,B392,B393)</f>
        <v>2</v>
      </c>
    </row>
    <row r="869" spans="1:2" ht="13.5" x14ac:dyDescent="0.25">
      <c r="A869" s="2810" t="s">
        <v>4696</v>
      </c>
      <c r="B869" t="e">
        <f>IF(B47=1,((3323.7*B2524*B857)+(113.7*B866*B860*B2525)),((3108.4*B2522*B851)+(129.54*B2523*B866*B854)))</f>
        <v>#VALUE!</v>
      </c>
    </row>
    <row r="870" spans="1:2" ht="13.5" x14ac:dyDescent="0.25">
      <c r="A870" s="2808" t="s">
        <v>4697</v>
      </c>
      <c r="B870" t="e">
        <f>IF(B848=10,INDEX(B1452:B1461,B848)*(0.57*(B830/12)+0.43),INDEX(B1452:B1461,B848))</f>
        <v>#VALUE!</v>
      </c>
    </row>
    <row r="871" spans="1:2" ht="13.5" x14ac:dyDescent="0.25">
      <c r="A871" s="2808" t="s">
        <v>4906</v>
      </c>
      <c r="B871" t="e">
        <f>INDEX($B$2403:$B$2514,(B437-1)*4+1)*(IF(B437&lt;19,1,B865))</f>
        <v>#VALUE!</v>
      </c>
    </row>
    <row r="872" spans="1:2" ht="13.5" x14ac:dyDescent="0.25">
      <c r="A872" s="2808" t="s">
        <v>4907</v>
      </c>
      <c r="B872" t="e">
        <f>INDEX($B$2403:$B$2514,(B437-1)*4+2)</f>
        <v>#VALUE!</v>
      </c>
    </row>
    <row r="873" spans="1:2" ht="13.5" x14ac:dyDescent="0.25">
      <c r="A873" s="2808" t="s">
        <v>4908</v>
      </c>
      <c r="B873" t="e">
        <f>INDEX($B$2403:$B$2514,(B437-1)*4+3)</f>
        <v>#VALUE!</v>
      </c>
    </row>
    <row r="874" spans="1:2" ht="13.5" x14ac:dyDescent="0.25">
      <c r="A874" s="2808" t="s">
        <v>4909</v>
      </c>
      <c r="B874" t="e">
        <f>INDEX($B$2403:$B$2514,(B437-1)*4+4)</f>
        <v>#VALUE!</v>
      </c>
    </row>
    <row r="875" spans="1:2" ht="13.5" x14ac:dyDescent="0.25">
      <c r="A875" s="2808" t="s">
        <v>4910</v>
      </c>
      <c r="B875" t="e">
        <f>INDEX(B1470:B1581,(B437-1)*4+1)*1.17</f>
        <v>#VALUE!</v>
      </c>
    </row>
    <row r="876" spans="1:2" ht="13.5" x14ac:dyDescent="0.25">
      <c r="A876" s="2808" t="s">
        <v>4911</v>
      </c>
      <c r="B876" t="e">
        <f>INDEX(B1470:B1581,(B437-1)*4+2)*1.17</f>
        <v>#VALUE!</v>
      </c>
    </row>
    <row r="877" spans="1:2" ht="13.5" x14ac:dyDescent="0.25">
      <c r="A877" s="2808" t="s">
        <v>4912</v>
      </c>
      <c r="B877" t="e">
        <f>INDEX(B1470:B1581,(B437-1)*4+3)*1.17</f>
        <v>#VALUE!</v>
      </c>
    </row>
    <row r="878" spans="1:2" ht="13.5" x14ac:dyDescent="0.25">
      <c r="A878" s="2808" t="s">
        <v>4913</v>
      </c>
      <c r="B878" t="e">
        <f>INDEX(B1470:B1581,(B437-1)*4+4)*1.17</f>
        <v>#VALUE!</v>
      </c>
    </row>
    <row r="879" spans="1:2" ht="13.5" x14ac:dyDescent="0.25">
      <c r="A879" s="2808" t="s">
        <v>4914</v>
      </c>
      <c r="B879" t="e">
        <f>B871*B875</f>
        <v>#VALUE!</v>
      </c>
    </row>
    <row r="880" spans="1:2" ht="13.5" x14ac:dyDescent="0.25">
      <c r="A880" s="2808" t="s">
        <v>4915</v>
      </c>
      <c r="B880" t="e">
        <f>B872*B876</f>
        <v>#VALUE!</v>
      </c>
    </row>
    <row r="881" spans="1:2" ht="13.5" x14ac:dyDescent="0.25">
      <c r="A881" s="2808" t="s">
        <v>4916</v>
      </c>
      <c r="B881" t="e">
        <f>B873*B877</f>
        <v>#VALUE!</v>
      </c>
    </row>
    <row r="882" spans="1:2" ht="13.5" x14ac:dyDescent="0.25">
      <c r="A882" s="2808" t="s">
        <v>4917</v>
      </c>
      <c r="B882" t="e">
        <f>B874*B878</f>
        <v>#VALUE!</v>
      </c>
    </row>
    <row r="883" spans="1:2" ht="13.5" x14ac:dyDescent="0.25">
      <c r="A883" s="2808" t="s">
        <v>4698</v>
      </c>
      <c r="B883" t="e">
        <f>B869*B826</f>
        <v>#VALUE!</v>
      </c>
    </row>
    <row r="884" spans="1:2" ht="13.5" x14ac:dyDescent="0.25">
      <c r="A884" s="2811" t="s">
        <v>4699</v>
      </c>
      <c r="B884" t="e">
        <f>B869*$B$636</f>
        <v>#VALUE!</v>
      </c>
    </row>
    <row r="885" spans="1:2" ht="13.5" x14ac:dyDescent="0.25">
      <c r="A885" s="2808" t="s">
        <v>4700</v>
      </c>
      <c r="B885" t="e">
        <f>IF(B437&gt;23,0,IF(B443=1,B870*B826,B826*B1458))</f>
        <v>#VALUE!</v>
      </c>
    </row>
    <row r="886" spans="1:2" ht="13.5" x14ac:dyDescent="0.25">
      <c r="A886" s="2811" t="s">
        <v>4701</v>
      </c>
      <c r="B886" t="e">
        <f>IF(B437&gt;23,0,IF(B443=1,B870*$B$636,$B$636*B1458))</f>
        <v>#VALUE!</v>
      </c>
    </row>
    <row r="887" spans="1:2" ht="13.5" x14ac:dyDescent="0.25">
      <c r="A887" s="2808" t="s">
        <v>4702</v>
      </c>
      <c r="B887" t="e">
        <f>(B879*B441*(B826)^2/(2*B3078*12))</f>
        <v>#VALUE!</v>
      </c>
    </row>
    <row r="888" spans="1:2" ht="13.5" x14ac:dyDescent="0.25">
      <c r="A888" s="2811" t="s">
        <v>4703</v>
      </c>
      <c r="B888" t="e">
        <f>(B879*B441*($B$636)^2/(2*B3078*12))*(((B832/600)^-0.74)/((B831/600)^-0.74))</f>
        <v>#VALUE!</v>
      </c>
    </row>
    <row r="889" spans="1:2" ht="13.5" x14ac:dyDescent="0.25">
      <c r="A889" s="2808" t="s">
        <v>4704</v>
      </c>
      <c r="B889" t="e">
        <f>B880*B442*B826</f>
        <v>#VALUE!</v>
      </c>
    </row>
    <row r="890" spans="1:2" ht="13.5" x14ac:dyDescent="0.25">
      <c r="A890" s="2811" t="s">
        <v>4705</v>
      </c>
      <c r="B890" t="e">
        <f>(B880*B442*$B$636)*(((B832/600)^-0.74)/((B831/600)^-0.74))</f>
        <v>#VALUE!</v>
      </c>
    </row>
    <row r="891" spans="1:2" ht="13.5" x14ac:dyDescent="0.25">
      <c r="A891" s="2808" t="s">
        <v>4706</v>
      </c>
      <c r="B891" t="e">
        <f>B881*B443*B826</f>
        <v>#VALUE!</v>
      </c>
    </row>
    <row r="892" spans="1:2" ht="13.5" x14ac:dyDescent="0.25">
      <c r="A892" s="2811" t="s">
        <v>4707</v>
      </c>
      <c r="B892" t="e">
        <f>(B881*B443*$B$636)*(((B832/600)^-0.74)/((B831/600)^-0.74))</f>
        <v>#VALUE!</v>
      </c>
    </row>
    <row r="893" spans="1:2" ht="13.5" x14ac:dyDescent="0.25">
      <c r="A893" s="2808" t="s">
        <v>4708</v>
      </c>
      <c r="B893" t="e">
        <f>B882*B444*B826^2/(2*B3078*12)</f>
        <v>#VALUE!</v>
      </c>
    </row>
    <row r="894" spans="1:2" ht="14.25" thickBot="1" x14ac:dyDescent="0.3">
      <c r="A894" s="2812" t="s">
        <v>4709</v>
      </c>
      <c r="B894" t="e">
        <f>(B882*B444*$B$636^2/(2*B3078*12))</f>
        <v>#VALUE!</v>
      </c>
    </row>
    <row r="895" spans="1:2" x14ac:dyDescent="0.2">
      <c r="A895" s="2813" t="s">
        <v>3577</v>
      </c>
      <c r="B895" t="e">
        <f>IF(B824=0,0,B887+B889+B891+B893)</f>
        <v>#VALUE!</v>
      </c>
    </row>
    <row r="896" spans="1:2" x14ac:dyDescent="0.2">
      <c r="A896" s="2814" t="s">
        <v>3578</v>
      </c>
      <c r="B896" t="e">
        <f>IF(B824=0,0,B888+B890+B892+B894)</f>
        <v>#VALUE!</v>
      </c>
    </row>
    <row r="897" spans="1:2" x14ac:dyDescent="0.2">
      <c r="A897" s="2815" t="s">
        <v>3579</v>
      </c>
      <c r="B897" t="e">
        <f>IF(B825=0,0,B883)</f>
        <v>#VALUE!</v>
      </c>
    </row>
    <row r="898" spans="1:2" x14ac:dyDescent="0.2">
      <c r="A898" s="2816" t="s">
        <v>3580</v>
      </c>
      <c r="B898" t="e">
        <f>IF(B825=0,0,B884)</f>
        <v>#VALUE!</v>
      </c>
    </row>
    <row r="899" spans="1:2" x14ac:dyDescent="0.2">
      <c r="A899" s="2815" t="s">
        <v>3581</v>
      </c>
      <c r="B899" t="e">
        <f>IF(B824=0,0,B885)</f>
        <v>#VALUE!</v>
      </c>
    </row>
    <row r="900" spans="1:2" ht="13.5" thickBot="1" x14ac:dyDescent="0.25">
      <c r="A900" s="2817" t="s">
        <v>3582</v>
      </c>
      <c r="B900" t="e">
        <f>IF(B824=0,0,B886)</f>
        <v>#VALUE!</v>
      </c>
    </row>
    <row r="901" spans="1:2" x14ac:dyDescent="0.2">
      <c r="A901" s="2818" t="s">
        <v>4710</v>
      </c>
      <c r="B901" t="e">
        <f>(B893+B891+B889+B887+B885+B883)/B817</f>
        <v>#VALUE!</v>
      </c>
    </row>
    <row r="902" spans="1:2" x14ac:dyDescent="0.2">
      <c r="A902" s="2819" t="s">
        <v>4711</v>
      </c>
      <c r="B902" t="e">
        <f>(B894+B892+B890+B888+B886+B884)/B816</f>
        <v>#VALUE!</v>
      </c>
    </row>
    <row r="903" spans="1:2" x14ac:dyDescent="0.2">
      <c r="A903" s="2795" t="s">
        <v>3583</v>
      </c>
    </row>
    <row r="904" spans="1:2" ht="15.75" x14ac:dyDescent="0.25">
      <c r="A904" s="2820" t="s">
        <v>3584</v>
      </c>
    </row>
    <row r="905" spans="1:2" x14ac:dyDescent="0.2">
      <c r="A905" s="2795" t="s">
        <v>4953</v>
      </c>
      <c r="B905">
        <v>1</v>
      </c>
    </row>
    <row r="906" spans="1:2" x14ac:dyDescent="0.2">
      <c r="A906" s="2795" t="s">
        <v>3585</v>
      </c>
      <c r="B906" t="e">
        <f>IF(B610=3,0,1)</f>
        <v>#VALUE!</v>
      </c>
    </row>
    <row r="907" spans="1:2" x14ac:dyDescent="0.2">
      <c r="A907" s="2821" t="s">
        <v>3586</v>
      </c>
      <c r="B907" t="e">
        <f>$B$429</f>
        <v>#VALUE!</v>
      </c>
    </row>
    <row r="908" spans="1:2" x14ac:dyDescent="0.2">
      <c r="A908" s="2796" t="s">
        <v>3587</v>
      </c>
      <c r="B908" t="e">
        <f>B826</f>
        <v>#VALUE!</v>
      </c>
    </row>
    <row r="909" spans="1:2" x14ac:dyDescent="0.2">
      <c r="A909" s="2796" t="s">
        <v>3588</v>
      </c>
      <c r="B909" t="e">
        <f>IF(OR(B907=6,B907=12,B907=13,B907=14,B907=15),B908/B3078,B908/B919)</f>
        <v>#VALUE!</v>
      </c>
    </row>
    <row r="910" spans="1:2" ht="13.5" x14ac:dyDescent="0.25">
      <c r="A910" s="2798" t="s">
        <v>4957</v>
      </c>
      <c r="B910" t="e">
        <f>B3123</f>
        <v>#VALUE!</v>
      </c>
    </row>
    <row r="911" spans="1:2" ht="13.5" x14ac:dyDescent="0.25">
      <c r="A911" s="2799" t="s">
        <v>3589</v>
      </c>
      <c r="B911" t="e">
        <f>IF($B$635=1,B912*(1-B586/90),B912)</f>
        <v>#VALUE!</v>
      </c>
    </row>
    <row r="912" spans="1:2" ht="13.5" x14ac:dyDescent="0.25">
      <c r="A912" s="2798" t="s">
        <v>4959</v>
      </c>
      <c r="B912">
        <f>IF($B$3128=0,$B$58,B3126)</f>
        <v>0</v>
      </c>
    </row>
    <row r="913" spans="1:2" x14ac:dyDescent="0.2">
      <c r="A913" s="2800" t="s">
        <v>3590</v>
      </c>
      <c r="B913" t="e">
        <f>IF(OR(B907=3,B907=8,B907=10,B907=11,B907=13,B907=21,B907=25),B315,IF(OR(B907=7,B907=12,B907=24),60,IF(OR(B907=9,B907=14,B907=26),4,0)))</f>
        <v>#VALUE!</v>
      </c>
    </row>
    <row r="914" spans="1:2" ht="25.5" x14ac:dyDescent="0.2">
      <c r="A914" s="2800" t="s">
        <v>3591</v>
      </c>
      <c r="B914" t="e">
        <f>IF(OR(B907=9,B907=14,B907=26),B745,"")</f>
        <v>#VALUE!</v>
      </c>
    </row>
    <row r="915" spans="1:2" x14ac:dyDescent="0.2">
      <c r="A915" s="2757" t="s">
        <v>3592</v>
      </c>
      <c r="B915">
        <f>B47</f>
        <v>0</v>
      </c>
    </row>
    <row r="916" spans="1:2" ht="25.5" x14ac:dyDescent="0.2">
      <c r="A916" s="2757" t="s">
        <v>4961</v>
      </c>
      <c r="B916">
        <f>B747</f>
        <v>2</v>
      </c>
    </row>
    <row r="917" spans="1:2" x14ac:dyDescent="0.2">
      <c r="A917" s="2802" t="str">
        <f>IF(OR(B432=6,B432=12,B432=13,B432=14,B432=15,B432&gt;18),"селективная выемка угля и породы 1- да, 0- нет.","Не вводить")</f>
        <v>Не вводить</v>
      </c>
      <c r="B917" t="e">
        <f>IF(OR(B907=6,B907=12,B907=13,B907=14,B907=15,B907&gt;18),B752,"")</f>
        <v>#VALUE!</v>
      </c>
    </row>
    <row r="918" spans="1:2" x14ac:dyDescent="0.2">
      <c r="A918" s="2802" t="e">
        <f>IF(OR(B907=6,B907=12,B907=13,B907=14,B907=15,B907&gt;18),"Погрузка породы при проходке 2 - в вагонетки, 1- на конвейер","НЕ вводить")</f>
        <v>#VALUE!</v>
      </c>
    </row>
    <row r="919" spans="1:2" x14ac:dyDescent="0.2">
      <c r="A919" s="2757" t="s">
        <v>4964</v>
      </c>
      <c r="B919" t="e">
        <f>IF(OR(B907=6,B907=12,B907=13,B907=14,B907=26,B907=18,B907=7,B907=8,B907=9,B907=10,B907=11),B3089,B3175)</f>
        <v>#VALUE!</v>
      </c>
    </row>
    <row r="920" spans="1:2" ht="25.5" x14ac:dyDescent="0.2">
      <c r="A920" s="2757" t="s">
        <v>346</v>
      </c>
      <c r="B920">
        <f>B323</f>
        <v>2</v>
      </c>
    </row>
    <row r="921" spans="1:2" x14ac:dyDescent="0.2">
      <c r="A921" s="2822" t="s">
        <v>4965</v>
      </c>
      <c r="B921">
        <f>B324</f>
        <v>7</v>
      </c>
    </row>
    <row r="922" spans="1:2" x14ac:dyDescent="0.2">
      <c r="A922" s="2801" t="s">
        <v>4963</v>
      </c>
      <c r="B922">
        <f>B325</f>
        <v>1</v>
      </c>
    </row>
    <row r="923" spans="1:2" x14ac:dyDescent="0.2">
      <c r="A923" s="2757" t="s">
        <v>4794</v>
      </c>
      <c r="B923">
        <f>B339</f>
        <v>3</v>
      </c>
    </row>
    <row r="924" spans="1:2" x14ac:dyDescent="0.2">
      <c r="A924" s="2800" t="s">
        <v>4966</v>
      </c>
      <c r="B924" t="str">
        <f>IF(B915=2,B322,"")</f>
        <v/>
      </c>
    </row>
    <row r="925" spans="1:2" x14ac:dyDescent="0.2">
      <c r="A925" s="2757" t="s">
        <v>4795</v>
      </c>
      <c r="B925">
        <f>B3079</f>
        <v>0</v>
      </c>
    </row>
    <row r="926" spans="1:2" x14ac:dyDescent="0.2">
      <c r="A926" s="2757" t="s">
        <v>4967</v>
      </c>
      <c r="B926">
        <f>B572</f>
        <v>0.8</v>
      </c>
    </row>
    <row r="927" spans="1:2" ht="63.75" x14ac:dyDescent="0.2">
      <c r="A927" s="2757" t="s">
        <v>2274</v>
      </c>
      <c r="B927">
        <f>B59</f>
        <v>0</v>
      </c>
    </row>
    <row r="928" spans="1:2" ht="13.5" x14ac:dyDescent="0.25">
      <c r="A928" s="2806" t="s">
        <v>4969</v>
      </c>
      <c r="B928" t="e">
        <f>(0.18/(B919/120)+0.82)*((0.0007*B925)+1)*(0.36/(B926/0.8)+0.64)*((0.25*B922)+0.75)*1*(IF(B918=1,1.03,1))*(IF(B920&lt;=2,B929,B930))*(IF(B923=1,(0.1*(B397/300)+0.98),IF(B339=2,(0.1*(B395/500)+0.91),(0.04*(B396/20)+0.96))))*(IF(B334=1,2.55,IF(B334=2,1.17,1.84)))</f>
        <v>#VALUE!</v>
      </c>
    </row>
    <row r="929" spans="1:2" x14ac:dyDescent="0.2">
      <c r="A929" s="2823" t="s">
        <v>1329</v>
      </c>
      <c r="B929">
        <f>IF(B920=1,1,IF(B920=2,1.002))</f>
        <v>1.002</v>
      </c>
    </row>
    <row r="930" spans="1:2" x14ac:dyDescent="0.2">
      <c r="A930" s="2823" t="s">
        <v>1329</v>
      </c>
      <c r="B930" t="b">
        <f>IF(B920=3,(0.19*B921+0.65)*(0.18*(B400/70)+0.82),IF(B920&gt;=4,(0.19*B921+1)*(0.18*(B400/70)+0.82)))</f>
        <v>0</v>
      </c>
    </row>
    <row r="931" spans="1:2" ht="13.5" x14ac:dyDescent="0.25">
      <c r="A931" s="2806" t="s">
        <v>4970</v>
      </c>
      <c r="B931" t="e">
        <f>1*((0.0007*B925)+1)*(0.44/(B926/0.8)+0.56)*1*IF(B917=1,0.93,1)*(IF(B918=1,0.94,1))*(IF(B920&lt;=2,B932,B933))*(IF(B923=1,(0.12*(B397/300)+1.02),IF(B923=2,(0.1*(B395/500)+0.92),(0.04*(B396/20)+0.96))))*(IF(B334=1,2.55,IF(B334=2,1.17,1.84)))</f>
        <v>#VALUE!</v>
      </c>
    </row>
    <row r="932" spans="1:2" x14ac:dyDescent="0.2">
      <c r="A932" s="2823" t="s">
        <v>1329</v>
      </c>
      <c r="B932">
        <f>IF(B920=1,1,IF(B920=2,1.004))</f>
        <v>1.004</v>
      </c>
    </row>
    <row r="933" spans="1:2" x14ac:dyDescent="0.2">
      <c r="A933" s="2823" t="s">
        <v>1329</v>
      </c>
      <c r="B933" t="b">
        <f>IF(B920=3,(0.28*B921+0.57)*(0.18*(B400/70)+0.82),IF(B920&gt;=4,(0.28*B921+1)*(0.18*(B400/70)+0.82)))</f>
        <v>0</v>
      </c>
    </row>
    <row r="934" spans="1:2" ht="27" x14ac:dyDescent="0.25">
      <c r="A934" s="2806" t="s">
        <v>4971</v>
      </c>
      <c r="B934" t="e">
        <f>(0.27/(B919/120)+0.73)*(IF(B925&lt;=12,1,1.01)*(0.34/(B926/0.8)+0.66)*((0.24*B922)+0.76)*1*(IF(B918=1,1.03,1))*(IF(B920&lt;=2,B935,B936))*(IF(B923=1,(0.14*(B397/300)+0.95),IF(B923=2,(0.2*(B395/500)+0.81),(0.05*(B396/20)+0.95))))*(IF(B334=1,2.55,IF(B334=2,1.17,1.84))))</f>
        <v>#VALUE!</v>
      </c>
    </row>
    <row r="935" spans="1:2" x14ac:dyDescent="0.2">
      <c r="A935" s="2823" t="s">
        <v>1329</v>
      </c>
      <c r="B935">
        <f>IF(B920=1,1,1.002)</f>
        <v>1.002</v>
      </c>
    </row>
    <row r="936" spans="1:2" x14ac:dyDescent="0.2">
      <c r="A936" s="2823" t="s">
        <v>1329</v>
      </c>
      <c r="B936" t="b">
        <f>IF(B920=3,(0.18*B921+0.68)*(0.13*(B400/70)+0.87),IF(B920&gt;=4,(0.18*B921+1)*(0.13*(B400/70)+0.87)))</f>
        <v>0</v>
      </c>
    </row>
    <row r="937" spans="1:2" ht="27" x14ac:dyDescent="0.25">
      <c r="A937" s="2806" t="s">
        <v>4900</v>
      </c>
      <c r="B937" t="e">
        <f>((1-0.0005)/(B919/120))*(IF(B925&lt;=12,1,1.014)*(0.51/(B926/0.8)+0.49)*1*1*(IF(B918=1,0.94,1))*(IF(B920&lt;=2,B938,B939))*(IF(B923=1,(0.15*(B397/300)+1),IF(B923=2,(0.2*(B395/500)+0.82),(0.05*(B396/20)+0.95))))*(IF(B334=1,2.55,IF(B334=2,1.17,1.84))))</f>
        <v>#VALUE!</v>
      </c>
    </row>
    <row r="938" spans="1:2" x14ac:dyDescent="0.2">
      <c r="A938" s="2823" t="s">
        <v>1329</v>
      </c>
      <c r="B938">
        <f>IF(B920=1,1,IF(B920=2,1.005))</f>
        <v>1.0049999999999999</v>
      </c>
    </row>
    <row r="939" spans="1:2" x14ac:dyDescent="0.2">
      <c r="A939" s="2823" t="s">
        <v>1329</v>
      </c>
      <c r="B939" t="b">
        <f>IF(B920=3,(0.32*B921+0.55)*(0.13*(B400/70)+0.87),IF(B920&gt;=4,(0.32*B921+1.05)*(0.13*(B400/70)+0.87)))</f>
        <v>0</v>
      </c>
    </row>
    <row r="940" spans="1:2" ht="13.5" x14ac:dyDescent="0.25">
      <c r="A940" s="2824" t="s">
        <v>4901</v>
      </c>
      <c r="B940" t="e">
        <f>IF(B610=1,B760/(B3078*12),B760/(B944*12))</f>
        <v>#VALUE!</v>
      </c>
    </row>
    <row r="941" spans="1:2" ht="13.5" x14ac:dyDescent="0.25">
      <c r="A941" s="2808" t="s">
        <v>4902</v>
      </c>
      <c r="B941" t="e">
        <f>IF(B907&lt;19,1,IF(B907=25,0.77,IF(B907=26,0.3,IF(B907=22,2.53,IF(B907=23,2.53,IF(B907=28,2.53,2.525))))))</f>
        <v>#VALUE!</v>
      </c>
    </row>
    <row r="942" spans="1:2" ht="13.5" x14ac:dyDescent="0.25">
      <c r="A942" s="2808" t="s">
        <v>4903</v>
      </c>
      <c r="B942" t="e">
        <f>1+B941/B909</f>
        <v>#VALUE!</v>
      </c>
    </row>
    <row r="943" spans="1:2" ht="13.5" x14ac:dyDescent="0.25">
      <c r="A943" s="2808" t="s">
        <v>4904</v>
      </c>
      <c r="B943" t="e">
        <f>B910+(0.073*B326+0.004*B912-1.49)</f>
        <v>#VALUE!</v>
      </c>
    </row>
    <row r="944" spans="1:2" ht="13.5" x14ac:dyDescent="0.25">
      <c r="A944" s="2808" t="s">
        <v>4905</v>
      </c>
      <c r="B944" t="e">
        <f>IF(B610=1,B3078,B919)</f>
        <v>#VALUE!</v>
      </c>
    </row>
    <row r="945" spans="1:2" ht="13.5" x14ac:dyDescent="0.25">
      <c r="A945" s="2808" t="s">
        <v>4695</v>
      </c>
      <c r="B945">
        <f>IF(B915=1,B392,B393)</f>
        <v>2</v>
      </c>
    </row>
    <row r="946" spans="1:2" ht="13.5" x14ac:dyDescent="0.25">
      <c r="A946" s="2810" t="s">
        <v>4712</v>
      </c>
      <c r="B946" t="e">
        <f>IF(B915=1,((3323.7*B2524*B934)+(113.7*B937*B943*B2525)),((3108.4*B2522*B928)+(129.54*B2523*B943*B931)))</f>
        <v>#VALUE!</v>
      </c>
    </row>
    <row r="947" spans="1:2" ht="13.5" x14ac:dyDescent="0.25">
      <c r="A947" s="2808" t="s">
        <v>4713</v>
      </c>
      <c r="B947" t="e">
        <f>IF(B927=10,INDEX(B1452:B1461,B927)*(0.57*(B910/12)+0.43),INDEX(B1452:B1461,B927))</f>
        <v>#VALUE!</v>
      </c>
    </row>
    <row r="948" spans="1:2" ht="13.5" x14ac:dyDescent="0.25">
      <c r="A948" s="2808" t="s">
        <v>5459</v>
      </c>
      <c r="B948" t="e">
        <f>B952*B956</f>
        <v>#VALUE!</v>
      </c>
    </row>
    <row r="949" spans="1:2" ht="13.5" x14ac:dyDescent="0.25">
      <c r="A949" s="2808" t="s">
        <v>3365</v>
      </c>
      <c r="B949" t="e">
        <f>B953*B957</f>
        <v>#VALUE!</v>
      </c>
    </row>
    <row r="950" spans="1:2" ht="13.5" x14ac:dyDescent="0.25">
      <c r="A950" s="2808" t="s">
        <v>3366</v>
      </c>
      <c r="B950" t="e">
        <f>B954*B958</f>
        <v>#VALUE!</v>
      </c>
    </row>
    <row r="951" spans="1:2" ht="13.5" x14ac:dyDescent="0.25">
      <c r="A951" s="2808" t="s">
        <v>4499</v>
      </c>
      <c r="B951" t="e">
        <f>B955*B959</f>
        <v>#VALUE!</v>
      </c>
    </row>
    <row r="952" spans="1:2" ht="13.5" x14ac:dyDescent="0.25">
      <c r="A952" s="2808" t="s">
        <v>4906</v>
      </c>
      <c r="B952" t="e">
        <f>INDEX(B2403:B2514,(B907-1)*4+1)*(IF(B907&lt;19,1,B942))</f>
        <v>#VALUE!</v>
      </c>
    </row>
    <row r="953" spans="1:2" ht="13.5" x14ac:dyDescent="0.25">
      <c r="A953" s="2808" t="s">
        <v>4907</v>
      </c>
      <c r="B953" t="e">
        <f>INDEX($B$2403:$B$2514,(B907-1)*4+2)</f>
        <v>#VALUE!</v>
      </c>
    </row>
    <row r="954" spans="1:2" ht="13.5" x14ac:dyDescent="0.25">
      <c r="A954" s="2808" t="s">
        <v>4908</v>
      </c>
      <c r="B954" t="e">
        <f>INDEX($B$2403:$B$2514,(B907-1)*4+3)</f>
        <v>#VALUE!</v>
      </c>
    </row>
    <row r="955" spans="1:2" ht="13.5" x14ac:dyDescent="0.25">
      <c r="A955" s="2808" t="s">
        <v>4909</v>
      </c>
      <c r="B955" t="e">
        <f>INDEX($B$2403:$B$2514,(B907-1)*4+4)</f>
        <v>#VALUE!</v>
      </c>
    </row>
    <row r="956" spans="1:2" ht="13.5" x14ac:dyDescent="0.25">
      <c r="A956" s="2808" t="s">
        <v>4910</v>
      </c>
      <c r="B956" t="e">
        <f>INDEX(B1586:B1697,B907*4-3)*1.17</f>
        <v>#VALUE!</v>
      </c>
    </row>
    <row r="957" spans="1:2" ht="13.5" x14ac:dyDescent="0.25">
      <c r="A957" s="2808" t="s">
        <v>4911</v>
      </c>
      <c r="B957" t="e">
        <f>INDEX(B1586:B1697,(B907-1)*4+2)*1.17</f>
        <v>#VALUE!</v>
      </c>
    </row>
    <row r="958" spans="1:2" ht="13.5" x14ac:dyDescent="0.25">
      <c r="A958" s="2808" t="s">
        <v>4912</v>
      </c>
      <c r="B958" t="e">
        <f>INDEX(B1586:B1697,(B907-1)*4+3)*1.17</f>
        <v>#VALUE!</v>
      </c>
    </row>
    <row r="959" spans="1:2" ht="13.5" x14ac:dyDescent="0.25">
      <c r="A959" s="2808" t="s">
        <v>4913</v>
      </c>
      <c r="B959" t="e">
        <f>INDEX(B1586:B1697,(B907-1)*4+4)*1.17</f>
        <v>#VALUE!</v>
      </c>
    </row>
    <row r="960" spans="1:2" ht="13.5" x14ac:dyDescent="0.25">
      <c r="A960" s="2808" t="s">
        <v>4714</v>
      </c>
      <c r="B960" t="e">
        <f>B946*B908</f>
        <v>#VALUE!</v>
      </c>
    </row>
    <row r="961" spans="1:2" ht="13.5" x14ac:dyDescent="0.25">
      <c r="A961" s="2811" t="s">
        <v>4715</v>
      </c>
      <c r="B961" t="e">
        <f>B946*$B$636</f>
        <v>#VALUE!</v>
      </c>
    </row>
    <row r="962" spans="1:2" ht="13.5" x14ac:dyDescent="0.25">
      <c r="A962" s="2808" t="s">
        <v>4716</v>
      </c>
      <c r="B962" t="e">
        <f>IF(B907&gt;22,0,IF(B435=1,B947*B908,B908*B1458))</f>
        <v>#VALUE!</v>
      </c>
    </row>
    <row r="963" spans="1:2" ht="13.5" x14ac:dyDescent="0.25">
      <c r="A963" s="2811" t="s">
        <v>4717</v>
      </c>
      <c r="B963" t="e">
        <f>IF(B907&gt;22,0,IF(B435=1,B947*$B$636,$B$636*B1458))</f>
        <v>#VALUE!</v>
      </c>
    </row>
    <row r="964" spans="1:2" ht="13.5" x14ac:dyDescent="0.25">
      <c r="A964" s="2808" t="s">
        <v>4718</v>
      </c>
      <c r="B964" t="e">
        <f>B948*B433*B760^2/(2*B3078*12)</f>
        <v>#VALUE!</v>
      </c>
    </row>
    <row r="965" spans="1:2" ht="13.5" x14ac:dyDescent="0.25">
      <c r="A965" s="2811" t="s">
        <v>4719</v>
      </c>
      <c r="B965" t="e">
        <f>(B948*B433*$B$636^2/(2*B3078*12))*(((B912/600)^-0.74)/((B911/600)^-0.74))</f>
        <v>#VALUE!</v>
      </c>
    </row>
    <row r="966" spans="1:2" ht="13.5" x14ac:dyDescent="0.25">
      <c r="A966" s="2808" t="s">
        <v>4720</v>
      </c>
      <c r="B966" t="e">
        <f>B949*B434*B760</f>
        <v>#VALUE!</v>
      </c>
    </row>
    <row r="967" spans="1:2" ht="13.5" x14ac:dyDescent="0.25">
      <c r="A967" s="2811" t="s">
        <v>4721</v>
      </c>
      <c r="B967" t="e">
        <f>B949*B434*$B$636*(((B912/600)^-0.74)/((B911/600)^-0.74))</f>
        <v>#VALUE!</v>
      </c>
    </row>
    <row r="968" spans="1:2" ht="13.5" x14ac:dyDescent="0.25">
      <c r="A968" s="2808" t="s">
        <v>4722</v>
      </c>
      <c r="B968" t="e">
        <f>B950*B435*B760</f>
        <v>#VALUE!</v>
      </c>
    </row>
    <row r="969" spans="1:2" ht="13.5" x14ac:dyDescent="0.25">
      <c r="A969" s="2811" t="s">
        <v>4723</v>
      </c>
      <c r="B969" t="e">
        <f>B950*B435*$B$636*(((B912/600)^-0.74)/((B911/600)^-0.74))</f>
        <v>#VALUE!</v>
      </c>
    </row>
    <row r="970" spans="1:2" ht="13.5" x14ac:dyDescent="0.25">
      <c r="A970" s="2808" t="s">
        <v>4724</v>
      </c>
      <c r="B970" t="e">
        <f>B951*B436*B760^2/(2*B3078*12)</f>
        <v>#VALUE!</v>
      </c>
    </row>
    <row r="971" spans="1:2" ht="14.25" thickBot="1" x14ac:dyDescent="0.3">
      <c r="A971" s="2811" t="s">
        <v>4725</v>
      </c>
      <c r="B971" t="e">
        <f>B951*B436*$B$636^2/(2*B3078*12)</f>
        <v>#VALUE!</v>
      </c>
    </row>
    <row r="972" spans="1:2" x14ac:dyDescent="0.2">
      <c r="A972" s="2813" t="s">
        <v>3577</v>
      </c>
      <c r="B972" t="e">
        <f>IF(B905=0,0,B964+B966+B968+B970)</f>
        <v>#VALUE!</v>
      </c>
    </row>
    <row r="973" spans="1:2" x14ac:dyDescent="0.2">
      <c r="A973" s="2814" t="s">
        <v>3578</v>
      </c>
      <c r="B973" t="e">
        <f>IF(B905=0,0,B965+B967+B969+B971)</f>
        <v>#VALUE!</v>
      </c>
    </row>
    <row r="974" spans="1:2" x14ac:dyDescent="0.2">
      <c r="A974" s="2815" t="s">
        <v>3579</v>
      </c>
      <c r="B974" t="e">
        <f>IF(B906=0,0,B960)</f>
        <v>#VALUE!</v>
      </c>
    </row>
    <row r="975" spans="1:2" x14ac:dyDescent="0.2">
      <c r="A975" s="2816" t="s">
        <v>3580</v>
      </c>
      <c r="B975" t="e">
        <f>IF(B906=0,0,B961)</f>
        <v>#VALUE!</v>
      </c>
    </row>
    <row r="976" spans="1:2" x14ac:dyDescent="0.2">
      <c r="A976" s="2815" t="s">
        <v>3581</v>
      </c>
      <c r="B976" t="e">
        <f>IF(B905=0,0,B962)</f>
        <v>#VALUE!</v>
      </c>
    </row>
    <row r="977" spans="1:8" ht="13.5" thickBot="1" x14ac:dyDescent="0.25">
      <c r="A977" s="2817" t="s">
        <v>3582</v>
      </c>
      <c r="B977" t="e">
        <f>IF(B905=0,0,B963)</f>
        <v>#VALUE!</v>
      </c>
    </row>
    <row r="978" spans="1:8" x14ac:dyDescent="0.2">
      <c r="A978" s="2818" t="s">
        <v>4726</v>
      </c>
      <c r="B978" t="e">
        <f>(B970+B968+B966+B964+B962+B960)/B817</f>
        <v>#VALUE!</v>
      </c>
    </row>
    <row r="979" spans="1:8" x14ac:dyDescent="0.2">
      <c r="A979" s="2819" t="s">
        <v>4727</v>
      </c>
      <c r="B979" t="e">
        <f>(B971+B969+B967+B965+B963+B961)/B816</f>
        <v>#VALUE!</v>
      </c>
      <c r="D979" s="242"/>
      <c r="E979" s="242"/>
      <c r="F979" s="242"/>
      <c r="G979" s="242"/>
      <c r="H979" s="242"/>
    </row>
    <row r="980" spans="1:8" x14ac:dyDescent="0.2">
      <c r="A980" s="2825" t="s">
        <v>5471</v>
      </c>
    </row>
    <row r="981" spans="1:8" x14ac:dyDescent="0.2">
      <c r="A981" s="2795" t="e">
        <f>A447</f>
        <v>#REF!</v>
      </c>
      <c r="B981" t="e">
        <f>B449</f>
        <v>#VALUE!</v>
      </c>
    </row>
    <row r="982" spans="1:8" x14ac:dyDescent="0.2">
      <c r="A982" s="2795" t="s">
        <v>4953</v>
      </c>
      <c r="B982" t="e">
        <f>B448</f>
        <v>#VALUE!</v>
      </c>
    </row>
    <row r="983" spans="1:8" x14ac:dyDescent="0.2">
      <c r="A983" s="2795" t="s">
        <v>4954</v>
      </c>
      <c r="B983" t="e">
        <f>B448</f>
        <v>#VALUE!</v>
      </c>
    </row>
    <row r="984" spans="1:8" x14ac:dyDescent="0.2">
      <c r="A984" s="2796" t="s">
        <v>3587</v>
      </c>
      <c r="B984" t="e">
        <f>B826</f>
        <v>#VALUE!</v>
      </c>
    </row>
    <row r="985" spans="1:8" x14ac:dyDescent="0.2">
      <c r="A985" s="2796" t="s">
        <v>3588</v>
      </c>
      <c r="B985" t="e">
        <f>IF(OR(B449=6,B437=12,B449=13,B449=14,B449=15),B984/B3078,B984/B1053)</f>
        <v>#VALUE!</v>
      </c>
    </row>
    <row r="986" spans="1:8" ht="13.5" x14ac:dyDescent="0.25">
      <c r="A986" s="2798" t="s">
        <v>4957</v>
      </c>
      <c r="B986" t="e">
        <f>B830</f>
        <v>#VALUE!</v>
      </c>
    </row>
    <row r="987" spans="1:8" ht="13.5" x14ac:dyDescent="0.25">
      <c r="A987" s="2799" t="s">
        <v>3589</v>
      </c>
      <c r="B987" t="e">
        <f>B831</f>
        <v>#VALUE!</v>
      </c>
    </row>
    <row r="988" spans="1:8" ht="13.5" x14ac:dyDescent="0.25">
      <c r="A988" s="2798" t="s">
        <v>5472</v>
      </c>
      <c r="B988">
        <f>B832</f>
        <v>0</v>
      </c>
    </row>
    <row r="989" spans="1:8" ht="13.5" x14ac:dyDescent="0.25">
      <c r="A989" s="2806" t="s">
        <v>4969</v>
      </c>
      <c r="B989" t="e">
        <f>(0.18/(B1053/120)+0.82)*((0.0007*B1062)+1)*(0.36/(B1063/0.8)+0.64)*((0.25*B1057)+0.75)*1*(IF(B1059=1,1.03,1))*(IF(B1055&lt;=2,B990,B991))*(IF(B1060=1,(0.1*(B397/300)+0.98),IF(B1060=2,(0.1*(B395/500)+0.91),(0.04*(B396/20)+0.96))))*(IF(B334=1,2.55,IF(B334=2,1.17,1.84)))</f>
        <v>#VALUE!</v>
      </c>
    </row>
    <row r="990" spans="1:8" x14ac:dyDescent="0.2">
      <c r="A990" s="2823" t="s">
        <v>1329</v>
      </c>
      <c r="B990">
        <f>IF(B1055=1,1,IF(B1055=2,1.002))</f>
        <v>1.002</v>
      </c>
    </row>
    <row r="991" spans="1:8" x14ac:dyDescent="0.2">
      <c r="A991" s="2823" t="s">
        <v>1329</v>
      </c>
      <c r="B991" t="b">
        <f>IF(B1055=3,(0.19*B1056+0.65)*(0.18*(B400/70)+0.82),IF(B1055&gt;=4,(0.19*B1056+1)*(0.18*(B400/70)+0.82)))</f>
        <v>0</v>
      </c>
    </row>
    <row r="992" spans="1:8" ht="13.5" x14ac:dyDescent="0.25">
      <c r="A992" s="2806" t="s">
        <v>4970</v>
      </c>
      <c r="B992">
        <f>1*((0.0007*B1062)+1)*(0.44/(B1063/0.8)+0.56)*1*IF(B1058=1,0.93,1)*(IF(B1059=1,0.94,1))*(IF(B1055&lt;=2,B993,B994))*(IF(B1060=1,(0.12*(B397/300)+1.02),IF(B1060=2,(0.1*(B395/500)+0.92),(0.04*(B396/20)+0.96))))*(IF(B334=1,2.55,IF(B334=2,1.17,1.84)))</f>
        <v>1.8754398720000003</v>
      </c>
    </row>
    <row r="993" spans="1:2" x14ac:dyDescent="0.2">
      <c r="A993" s="2823" t="s">
        <v>1329</v>
      </c>
      <c r="B993">
        <f>IF(B1055=1,1,IF(B1055=2,1.004))</f>
        <v>1.004</v>
      </c>
    </row>
    <row r="994" spans="1:2" x14ac:dyDescent="0.2">
      <c r="A994" s="2823" t="s">
        <v>1329</v>
      </c>
      <c r="B994" t="b">
        <f>IF(B1055=3,(0.28*B1056+0.57)*(0.18*(B400/70)+0.82),IF(B1055&gt;=4,(0.28*B1056+1)*(0.18*(B400/70)+0.82)))</f>
        <v>0</v>
      </c>
    </row>
    <row r="995" spans="1:2" ht="27" x14ac:dyDescent="0.25">
      <c r="A995" s="2806" t="s">
        <v>4971</v>
      </c>
      <c r="B995" t="e">
        <f>(0.27/(B1053/120)+0.73)*(IF(B1062&lt;=12,1,1.01)*(0.34/(B1063/0.8)+0.66)*((0.24*B1057)+0.76)*1*(IF(B1059=1,1.03,1))*(IF(B1055&lt;=2,B996,B997))*(IF(B1060=1,(0.14*(B397/300)+0.95),IF(B1060=2,(0.2*(B395/500)+0.81),(0.05*(B396/20)+0.95))))*(IF(B334=1,2.55,IF(B334=2,1.17,1.84))))</f>
        <v>#VALUE!</v>
      </c>
    </row>
    <row r="996" spans="1:2" x14ac:dyDescent="0.2">
      <c r="A996" s="2823" t="s">
        <v>1329</v>
      </c>
      <c r="B996">
        <f>IF(B1055=1,1,1.002)</f>
        <v>1.002</v>
      </c>
    </row>
    <row r="997" spans="1:2" x14ac:dyDescent="0.2">
      <c r="A997" s="2823" t="s">
        <v>1329</v>
      </c>
      <c r="B997" t="b">
        <f>IF(B1055=3,(0.18*B1056+0.68)*(0.13*(B400/70)+0.87),IF(B1055&gt;=4,(0.18*B1056+1)*(0.13*(B400/70)+0.87)))</f>
        <v>0</v>
      </c>
    </row>
    <row r="998" spans="1:2" ht="27" x14ac:dyDescent="0.25">
      <c r="A998" s="2806" t="s">
        <v>4900</v>
      </c>
      <c r="B998" t="e">
        <f>((1-0.0005)/(B1053/120))*(IF(B1062&lt;=12,1,1.014)*(0.51/(B1063/0.8)+0.49)*1*1*(IF(B1059=1,0.94,1))*(IF(B1055&lt;=2,B999,B1000))*(IF(B1060=1,(0.15*(B397/300)+1),IF(B1060=2,(0.2*(B395/500)+0.82),(0.05*(B396/20)+0.95))))*(IF(B334=1,2.55,IF(B334=2,1.17,1.84))))</f>
        <v>#VALUE!</v>
      </c>
    </row>
    <row r="999" spans="1:2" x14ac:dyDescent="0.2">
      <c r="A999" s="2823" t="s">
        <v>1329</v>
      </c>
      <c r="B999">
        <f>IF(B1055=1,1,IF(B1055=2,1.005))</f>
        <v>1.0049999999999999</v>
      </c>
    </row>
    <row r="1000" spans="1:2" x14ac:dyDescent="0.2">
      <c r="A1000" s="2823" t="s">
        <v>1329</v>
      </c>
      <c r="B1000" t="b">
        <f>IF(B1055=3,(0.32*B1056+0.55)*(0.13*(B400/70)+0.87),IF(B1055&gt;=4,(0.32*B1056+1.05)*(0.13*(B400/70)+0.87)))</f>
        <v>0</v>
      </c>
    </row>
    <row r="1001" spans="1:2" ht="13.5" x14ac:dyDescent="0.25">
      <c r="A1001" s="2810" t="s">
        <v>4728</v>
      </c>
      <c r="B1001" t="e">
        <f>IF(B47=1,((3323.7*B2524*B995)+(113.7*B1007*B998*B2525)),((3108.4*B2522*B989)+(129.54*B2523*B1007*B992)))</f>
        <v>#VALUE!</v>
      </c>
    </row>
    <row r="1002" spans="1:2" ht="13.5" x14ac:dyDescent="0.25">
      <c r="A1002" s="2808" t="s">
        <v>4902</v>
      </c>
      <c r="B1002" t="e">
        <f>IF(B449&lt;19,1,IF(B449=25,0.77,IF(B449=26,0.3,IF(B449=22,2.53,IF(B449=23,2.53,IF(B449=28,2.53,2.525))))))</f>
        <v>#VALUE!</v>
      </c>
    </row>
    <row r="1003" spans="1:2" ht="13.5" x14ac:dyDescent="0.25">
      <c r="A1003" s="2808" t="s">
        <v>4903</v>
      </c>
      <c r="B1003" t="e">
        <f>1+B1002/B985</f>
        <v>#VALUE!</v>
      </c>
    </row>
    <row r="1004" spans="1:2" ht="13.5" x14ac:dyDescent="0.25">
      <c r="A1004" s="2808" t="s">
        <v>4905</v>
      </c>
      <c r="B1004" t="e">
        <f>B3174</f>
        <v>#VALUE!</v>
      </c>
    </row>
    <row r="1005" spans="1:2" ht="13.5" x14ac:dyDescent="0.25">
      <c r="A1005" s="2808" t="s">
        <v>4695</v>
      </c>
      <c r="B1005">
        <f>IF(B1052=1,B392,B393)</f>
        <v>2</v>
      </c>
    </row>
    <row r="1006" spans="1:2" ht="13.5" x14ac:dyDescent="0.25">
      <c r="A1006" s="2808" t="s">
        <v>4729</v>
      </c>
      <c r="B1006">
        <v>0</v>
      </c>
    </row>
    <row r="1007" spans="1:2" ht="13.5" x14ac:dyDescent="0.25">
      <c r="A1007" s="2808" t="s">
        <v>4904</v>
      </c>
      <c r="B1007" t="e">
        <f>B986+(0.073*B326+0.004*B988-1.49)</f>
        <v>#VALUE!</v>
      </c>
    </row>
    <row r="1008" spans="1:2" ht="13.5" x14ac:dyDescent="0.25">
      <c r="A1008" s="2808" t="s">
        <v>5473</v>
      </c>
      <c r="B1008" t="e">
        <f>B826/(B1004*12)</f>
        <v>#VALUE!</v>
      </c>
    </row>
    <row r="1009" spans="1:2" ht="13.5" x14ac:dyDescent="0.25">
      <c r="A1009" s="2808" t="s">
        <v>5474</v>
      </c>
      <c r="B1009" t="e">
        <f>B1013*B1017</f>
        <v>#VALUE!</v>
      </c>
    </row>
    <row r="1010" spans="1:2" ht="13.5" x14ac:dyDescent="0.25">
      <c r="A1010" s="2808" t="s">
        <v>5475</v>
      </c>
      <c r="B1010" t="e">
        <f>B1014*B1018</f>
        <v>#VALUE!</v>
      </c>
    </row>
    <row r="1011" spans="1:2" ht="13.5" x14ac:dyDescent="0.25">
      <c r="A1011" s="2808" t="s">
        <v>3776</v>
      </c>
      <c r="B1011" t="e">
        <f>B1015*B1019</f>
        <v>#VALUE!</v>
      </c>
    </row>
    <row r="1012" spans="1:2" ht="13.5" x14ac:dyDescent="0.25">
      <c r="A1012" s="2808" t="s">
        <v>3776</v>
      </c>
      <c r="B1012" t="e">
        <f>B1016*B1020</f>
        <v>#VALUE!</v>
      </c>
    </row>
    <row r="1013" spans="1:2" ht="13.5" x14ac:dyDescent="0.25">
      <c r="A1013" s="2808" t="s">
        <v>4906</v>
      </c>
      <c r="B1013" t="e">
        <f>INDEX($B$2403:$B$2514,(B449-1)*4+1)*(IF(B981&lt;19,1,B1003))</f>
        <v>#VALUE!</v>
      </c>
    </row>
    <row r="1014" spans="1:2" ht="13.5" x14ac:dyDescent="0.25">
      <c r="A1014" s="2808" t="s">
        <v>4907</v>
      </c>
      <c r="B1014" t="e">
        <f>INDEX($B$2403:$B$2514,(B981-1)*4+2)</f>
        <v>#VALUE!</v>
      </c>
    </row>
    <row r="1015" spans="1:2" ht="13.5" x14ac:dyDescent="0.25">
      <c r="A1015" s="2808" t="s">
        <v>4908</v>
      </c>
      <c r="B1015" t="e">
        <f>INDEX($B$2403:$B$2514,(B981-1)*4+3)</f>
        <v>#VALUE!</v>
      </c>
    </row>
    <row r="1016" spans="1:2" ht="13.5" x14ac:dyDescent="0.25">
      <c r="A1016" s="2808" t="s">
        <v>4909</v>
      </c>
      <c r="B1016" t="e">
        <f>INDEX($B$2403:$B$2514,(B981-1)*4+4)</f>
        <v>#VALUE!</v>
      </c>
    </row>
    <row r="1017" spans="1:2" ht="13.5" x14ac:dyDescent="0.25">
      <c r="A1017" s="2808" t="s">
        <v>4910</v>
      </c>
      <c r="B1017" t="e">
        <f>INDEX(B1704:B1815,(B981-1)*4+1)*1.17</f>
        <v>#VALUE!</v>
      </c>
    </row>
    <row r="1018" spans="1:2" ht="13.5" x14ac:dyDescent="0.25">
      <c r="A1018" s="2808" t="s">
        <v>4911</v>
      </c>
      <c r="B1018" t="e">
        <f>INDEX(B1704:B1815,(B981-1)*4+2)*1.17</f>
        <v>#VALUE!</v>
      </c>
    </row>
    <row r="1019" spans="1:2" ht="13.5" x14ac:dyDescent="0.25">
      <c r="A1019" s="2808" t="s">
        <v>4912</v>
      </c>
      <c r="B1019" t="e">
        <f>INDEX(B1704:B1815,(B981-1)*4+3)*1.17</f>
        <v>#VALUE!</v>
      </c>
    </row>
    <row r="1020" spans="1:2" ht="13.5" x14ac:dyDescent="0.25">
      <c r="A1020" s="2808" t="s">
        <v>4913</v>
      </c>
      <c r="B1020" t="e">
        <f>INDEX(B1704:B1815,(B981-1)*4+4)*1.17</f>
        <v>#VALUE!</v>
      </c>
    </row>
    <row r="1021" spans="1:2" ht="13.5" x14ac:dyDescent="0.25">
      <c r="A1021" s="2808" t="s">
        <v>4730</v>
      </c>
      <c r="B1021" t="e">
        <f>B1001*B984*B982</f>
        <v>#VALUE!</v>
      </c>
    </row>
    <row r="1022" spans="1:2" ht="13.5" x14ac:dyDescent="0.25">
      <c r="A1022" s="2811" t="s">
        <v>4731</v>
      </c>
      <c r="B1022" t="e">
        <f>B1001*$B$636*B982</f>
        <v>#VALUE!</v>
      </c>
    </row>
    <row r="1023" spans="1:2" ht="13.5" x14ac:dyDescent="0.25">
      <c r="A1023" s="2808" t="s">
        <v>4732</v>
      </c>
      <c r="B1023" t="e">
        <f>IF(B983=0,0,IF(B449&gt;22,0,IF(B453=1,B1006*B760,B760*B1458)))</f>
        <v>#VALUE!</v>
      </c>
    </row>
    <row r="1024" spans="1:2" ht="13.5" x14ac:dyDescent="0.25">
      <c r="A1024" s="2811" t="s">
        <v>4733</v>
      </c>
      <c r="B1024" t="e">
        <f>IF(B983=0,0,IF(B449&gt;22,0,IF(B453=1,B1006*$B$636,$B$636*B1458)))</f>
        <v>#VALUE!</v>
      </c>
    </row>
    <row r="1025" spans="1:2" ht="13.5" x14ac:dyDescent="0.25">
      <c r="A1025" s="2808" t="s">
        <v>4734</v>
      </c>
      <c r="B1025" t="e">
        <f>B1009*B451*B760^2/(2*B3078*12)</f>
        <v>#VALUE!</v>
      </c>
    </row>
    <row r="1026" spans="1:2" ht="13.5" x14ac:dyDescent="0.25">
      <c r="A1026" s="2811" t="s">
        <v>4735</v>
      </c>
      <c r="B1026" t="e">
        <f>(B1009*B451*$B$636^2/(2*B3078*12))*(((B988/600)^-0.74)/((B987/600)^-0.74))</f>
        <v>#VALUE!</v>
      </c>
    </row>
    <row r="1027" spans="1:2" ht="13.5" x14ac:dyDescent="0.25">
      <c r="A1027" s="2808" t="s">
        <v>4736</v>
      </c>
      <c r="B1027" t="e">
        <f>B1010*B452*B760</f>
        <v>#VALUE!</v>
      </c>
    </row>
    <row r="1028" spans="1:2" ht="13.5" x14ac:dyDescent="0.25">
      <c r="A1028" s="2811" t="s">
        <v>4737</v>
      </c>
      <c r="B1028" t="e">
        <f>B1010*B452*$B$636*(((B988/600)^-0.74)/((B987/600)^-0.74))</f>
        <v>#VALUE!</v>
      </c>
    </row>
    <row r="1029" spans="1:2" ht="13.5" x14ac:dyDescent="0.25">
      <c r="A1029" s="2808" t="s">
        <v>4738</v>
      </c>
      <c r="B1029" t="e">
        <f>B1011*B453*B760</f>
        <v>#VALUE!</v>
      </c>
    </row>
    <row r="1030" spans="1:2" ht="13.5" x14ac:dyDescent="0.25">
      <c r="A1030" s="2811" t="s">
        <v>4739</v>
      </c>
      <c r="B1030" t="e">
        <f>B1011*B453*$B$636*(((B988/600)^-0.74)/((B987/600)^-0.74))</f>
        <v>#VALUE!</v>
      </c>
    </row>
    <row r="1031" spans="1:2" ht="13.5" x14ac:dyDescent="0.25">
      <c r="A1031" s="2808" t="s">
        <v>4740</v>
      </c>
      <c r="B1031" t="e">
        <f>B1012*B454*B760^2/(2*B3078*12)</f>
        <v>#VALUE!</v>
      </c>
    </row>
    <row r="1032" spans="1:2" ht="14.25" thickBot="1" x14ac:dyDescent="0.3">
      <c r="A1032" s="2811" t="s">
        <v>4741</v>
      </c>
      <c r="B1032" t="e">
        <f>B1012*B454*$B$636^2/(2*B3078*12)</f>
        <v>#VALUE!</v>
      </c>
    </row>
    <row r="1033" spans="1:2" x14ac:dyDescent="0.2">
      <c r="A1033" s="2813" t="s">
        <v>3577</v>
      </c>
      <c r="B1033" t="e">
        <f>IF(B982=0,0,B1025+B1027+B1029+B1031)</f>
        <v>#VALUE!</v>
      </c>
    </row>
    <row r="1034" spans="1:2" x14ac:dyDescent="0.2">
      <c r="A1034" s="2814" t="s">
        <v>3578</v>
      </c>
      <c r="B1034" t="e">
        <f>IF(B982=0,0,B1026+B1028+B1030+B1032)</f>
        <v>#VALUE!</v>
      </c>
    </row>
    <row r="1035" spans="1:2" x14ac:dyDescent="0.2">
      <c r="A1035" s="2815" t="s">
        <v>3579</v>
      </c>
      <c r="B1035" t="e">
        <f>IF(B983=0,0,B1021)</f>
        <v>#VALUE!</v>
      </c>
    </row>
    <row r="1036" spans="1:2" x14ac:dyDescent="0.2">
      <c r="A1036" s="2816" t="s">
        <v>3580</v>
      </c>
      <c r="B1036" t="e">
        <f>IF(B983=0,0,B1022)</f>
        <v>#VALUE!</v>
      </c>
    </row>
    <row r="1037" spans="1:2" x14ac:dyDescent="0.2">
      <c r="A1037" s="2815" t="s">
        <v>3581</v>
      </c>
      <c r="B1037" t="e">
        <f>IF(B983=0,0,B1023)</f>
        <v>#VALUE!</v>
      </c>
    </row>
    <row r="1038" spans="1:2" ht="13.5" thickBot="1" x14ac:dyDescent="0.25">
      <c r="A1038" s="2817" t="s">
        <v>3582</v>
      </c>
      <c r="B1038" t="e">
        <f>IF(B983=0,0,B1024)</f>
        <v>#VALUE!</v>
      </c>
    </row>
    <row r="1039" spans="1:2" x14ac:dyDescent="0.2">
      <c r="A1039" s="2818" t="s">
        <v>4742</v>
      </c>
      <c r="B1039" t="e">
        <f>B982*(B1031+B1029+B1027+B1025+B1023+B1021)/B817</f>
        <v>#VALUE!</v>
      </c>
    </row>
    <row r="1040" spans="1:2" x14ac:dyDescent="0.2">
      <c r="A1040" s="2819" t="s">
        <v>4743</v>
      </c>
      <c r="B1040" t="e">
        <f>B982*(B1032+B1030+B1028+B1026+B1024+B1022)/B816</f>
        <v>#VALUE!</v>
      </c>
    </row>
    <row r="1041" spans="1:2" x14ac:dyDescent="0.2">
      <c r="A1041" s="2825" t="s">
        <v>4565</v>
      </c>
    </row>
    <row r="1042" spans="1:2" x14ac:dyDescent="0.2">
      <c r="A1042" s="2795" t="str">
        <f>A456</f>
        <v>Вентиляционная выработка подготавливаемого участка</v>
      </c>
      <c r="B1042">
        <f>B458</f>
        <v>0</v>
      </c>
    </row>
    <row r="1043" spans="1:2" x14ac:dyDescent="0.2">
      <c r="A1043" s="2795" t="s">
        <v>4566</v>
      </c>
      <c r="B1043" t="e">
        <f>B460</f>
        <v>#VALUE!</v>
      </c>
    </row>
    <row r="1044" spans="1:2" x14ac:dyDescent="0.2">
      <c r="A1044" s="2795" t="s">
        <v>4953</v>
      </c>
      <c r="B1044" t="e">
        <f>B459</f>
        <v>#VALUE!</v>
      </c>
    </row>
    <row r="1045" spans="1:2" x14ac:dyDescent="0.2">
      <c r="A1045" s="2795" t="s">
        <v>4954</v>
      </c>
      <c r="B1045" t="e">
        <f>B459</f>
        <v>#VALUE!</v>
      </c>
    </row>
    <row r="1046" spans="1:2" x14ac:dyDescent="0.2">
      <c r="A1046" s="2796" t="s">
        <v>3587</v>
      </c>
      <c r="B1046" t="e">
        <f>B760</f>
        <v>#VALUE!</v>
      </c>
    </row>
    <row r="1047" spans="1:2" x14ac:dyDescent="0.2">
      <c r="A1047" s="2796" t="s">
        <v>3588</v>
      </c>
      <c r="B1047" t="e">
        <f>IF(OR(B1043&lt;&gt;6,B1043=12,B1043=13,B1043=14,B1043=15),B1046/B3078,B1046/B1205)</f>
        <v>#VALUE!</v>
      </c>
    </row>
    <row r="1048" spans="1:2" x14ac:dyDescent="0.2">
      <c r="A1048" s="2826" t="e">
        <f>IF(OR(B1043=6,B1043=12,B1043=13,B1043=14,B1043=15),"Вырка проводиться;1-за лавой,2-с опережением","не вводить!")</f>
        <v>#VALUE!</v>
      </c>
      <c r="B1048" t="e">
        <f>IF(B458="нет","нет",INDEX($B$2403:$B$2514,(B1043-1)*4+1))</f>
        <v>#VALUE!</v>
      </c>
    </row>
    <row r="1049" spans="1:2" ht="13.5" x14ac:dyDescent="0.25">
      <c r="A1049" s="2798" t="s">
        <v>4957</v>
      </c>
      <c r="B1049" t="e">
        <f>B910</f>
        <v>#VALUE!</v>
      </c>
    </row>
    <row r="1050" spans="1:2" ht="13.5" x14ac:dyDescent="0.25">
      <c r="A1050" s="2799" t="s">
        <v>4567</v>
      </c>
      <c r="B1050" t="e">
        <f>B911</f>
        <v>#VALUE!</v>
      </c>
    </row>
    <row r="1051" spans="1:2" ht="13.5" x14ac:dyDescent="0.25">
      <c r="A1051" s="2798" t="s">
        <v>5472</v>
      </c>
      <c r="B1051">
        <f>B912</f>
        <v>0</v>
      </c>
    </row>
    <row r="1052" spans="1:2" x14ac:dyDescent="0.2">
      <c r="A1052" s="2757" t="s">
        <v>4568</v>
      </c>
      <c r="B1052">
        <f>B47</f>
        <v>0</v>
      </c>
    </row>
    <row r="1053" spans="1:2" x14ac:dyDescent="0.2">
      <c r="A1053" s="2757" t="s">
        <v>4964</v>
      </c>
      <c r="B1053" t="e">
        <f>IF(OR(B449=6,B449=12,B449=13,B449=14,B449=26),B3089,B3174)</f>
        <v>#VALUE!</v>
      </c>
    </row>
    <row r="1054" spans="1:2" ht="25.5" x14ac:dyDescent="0.2">
      <c r="A1054" s="2757" t="s">
        <v>4569</v>
      </c>
      <c r="B1054">
        <f>B747</f>
        <v>2</v>
      </c>
    </row>
    <row r="1055" spans="1:2" ht="25.5" x14ac:dyDescent="0.2">
      <c r="A1055" s="2757" t="s">
        <v>346</v>
      </c>
      <c r="B1055">
        <f>B323</f>
        <v>2</v>
      </c>
    </row>
    <row r="1056" spans="1:2" x14ac:dyDescent="0.2">
      <c r="A1056" s="2822" t="s">
        <v>4570</v>
      </c>
      <c r="B1056">
        <f>B324</f>
        <v>7</v>
      </c>
    </row>
    <row r="1057" spans="1:2" x14ac:dyDescent="0.2">
      <c r="A1057" s="2801" t="s">
        <v>4963</v>
      </c>
      <c r="B1057">
        <f>B325</f>
        <v>1</v>
      </c>
    </row>
    <row r="1058" spans="1:2" x14ac:dyDescent="0.2">
      <c r="A1058" s="2802" t="e">
        <f>IF(OR(B449=6,B449=12,B449=13,B449=14,B449=15,B449&gt;18),"селективная выемка угля и породы 1- да, 0- нет.","Не вводить")</f>
        <v>#VALUE!</v>
      </c>
      <c r="B1058">
        <v>0</v>
      </c>
    </row>
    <row r="1059" spans="1:2" x14ac:dyDescent="0.2">
      <c r="A1059" s="2802" t="e">
        <f>IF(OR(B449=6,B449=12,B449=13,B449=14,B449=15,B449&gt;18),"Погрузка породы при проходке 2 - в вагонетки, 1- на конвейер","НЕ вводить")</f>
        <v>#VALUE!</v>
      </c>
      <c r="B1059">
        <f>B361</f>
        <v>1</v>
      </c>
    </row>
    <row r="1060" spans="1:2" x14ac:dyDescent="0.2">
      <c r="A1060" s="2757" t="s">
        <v>4794</v>
      </c>
      <c r="B1060">
        <f>B339</f>
        <v>3</v>
      </c>
    </row>
    <row r="1061" spans="1:2" x14ac:dyDescent="0.2">
      <c r="A1061" s="2800" t="s">
        <v>4571</v>
      </c>
      <c r="B1061" t="str">
        <f>IF(B1052=2,B322,"")</f>
        <v/>
      </c>
    </row>
    <row r="1062" spans="1:2" x14ac:dyDescent="0.2">
      <c r="A1062" s="2757" t="s">
        <v>4795</v>
      </c>
      <c r="B1062">
        <f>B3079</f>
        <v>0</v>
      </c>
    </row>
    <row r="1063" spans="1:2" x14ac:dyDescent="0.2">
      <c r="A1063" s="2757" t="s">
        <v>4967</v>
      </c>
      <c r="B1063">
        <f>B572</f>
        <v>0.8</v>
      </c>
    </row>
    <row r="1064" spans="1:2" x14ac:dyDescent="0.2">
      <c r="A1064" s="2800" t="s">
        <v>4960</v>
      </c>
      <c r="B1064" t="e">
        <f>IF(OR(B460=3,B907=8,B460=10,B460=11,B460=13,B460=21,B460=25),B315,IF(OR(B460=7,B460=12,B460=24),60,IF(OR(B460=9,B460=14,B460=26),4,0)))</f>
        <v>#VALUE!</v>
      </c>
    </row>
    <row r="1065" spans="1:2" ht="25.5" x14ac:dyDescent="0.2">
      <c r="A1065" s="2800" t="s">
        <v>2965</v>
      </c>
      <c r="B1065" t="e">
        <f>IF(OR(B460=9,B460=14,B460=26),B745,"")</f>
        <v>#VALUE!</v>
      </c>
    </row>
    <row r="1066" spans="1:2" x14ac:dyDescent="0.2">
      <c r="A1066" s="2757" t="s">
        <v>4572</v>
      </c>
      <c r="B1066">
        <f>B747</f>
        <v>2</v>
      </c>
    </row>
    <row r="1067" spans="1:2" ht="13.5" x14ac:dyDescent="0.25">
      <c r="A1067" s="2806" t="s">
        <v>4969</v>
      </c>
      <c r="B1067" t="e">
        <f>(0.18/(B1205/120)+0.82)*((0.0007*B1214)+1)*(0.36/(B1215/0.8)+0.64)*((0.25*B1209)+0.75)*1*(IF(B1211=1,1.03,1))*(IF(B1206&lt;=2,B1068,B1069))*(IF(B1212=1,(0.1*(B397/300)+0.98),IF(B1212=2,(0.1*(B395/500)+0.91),(0.04*(B396/20)+0.96))))*(IF(B334=1,2.55,IF(B334=2,1.17,1.84)))</f>
        <v>#VALUE!</v>
      </c>
    </row>
    <row r="1068" spans="1:2" x14ac:dyDescent="0.2">
      <c r="A1068" s="2823" t="s">
        <v>1329</v>
      </c>
      <c r="B1068">
        <f>IF(B1206=1,1,IF(B1206=2,1.002))</f>
        <v>1.002</v>
      </c>
    </row>
    <row r="1069" spans="1:2" x14ac:dyDescent="0.2">
      <c r="A1069" s="2823" t="s">
        <v>1329</v>
      </c>
      <c r="B1069" t="b">
        <f>IF(B1206=3,(0.19*B333+0.65)*(0.18*(B400/70)+0.82),IF(B1206&gt;=4,(0.19*B333+1)*(0.18*(B400/70)+0.82)))</f>
        <v>0</v>
      </c>
    </row>
    <row r="1070" spans="1:2" ht="13.5" x14ac:dyDescent="0.25">
      <c r="A1070" s="2806" t="s">
        <v>4970</v>
      </c>
      <c r="B1070" t="e">
        <f>1*((0.0007*B1214)+1)*(0.44/(B1215/0.8)+0.56)*1*IF(B1210=1,0.93,1)*(IF(B1211=1,0.94,1))*(IF(B1206&lt;=2,B1071,B1072))*(IF(B1212=1,(0.12*(B397/300)+1.02),IF(B1212=2,(0.1*(B395/500)+0.92),(0.04*(B396/20)+0.96))))*(IF(B334=1,2.55,IF(B334=2,1.17,1.84)))</f>
        <v>#VALUE!</v>
      </c>
    </row>
    <row r="1071" spans="1:2" x14ac:dyDescent="0.2">
      <c r="A1071" s="2823" t="s">
        <v>1329</v>
      </c>
      <c r="B1071">
        <f>IF(B1206=1,1,IF(B1206=2,1.004))</f>
        <v>1.004</v>
      </c>
    </row>
    <row r="1072" spans="1:2" x14ac:dyDescent="0.2">
      <c r="A1072" s="2823" t="s">
        <v>1329</v>
      </c>
      <c r="B1072" t="b">
        <f>IF(B1206=3,(0.28*B333+0.57)*(0.18*(B400/70)+0.82),IF(B1206&gt;=4,(0.28*B333+1)*(0.18*(B400/70)+0.82)))</f>
        <v>0</v>
      </c>
    </row>
    <row r="1073" spans="1:2" ht="27" x14ac:dyDescent="0.25">
      <c r="A1073" s="2806" t="s">
        <v>4971</v>
      </c>
      <c r="B1073" t="e">
        <f>(0.27/(B1205/120)+0.73)*(IF(B1214&lt;=12,1,1.01)*(0.34/(B1215/0.8)+0.66)*((0.24*B1209)+0.76)*1*(IF(B1211=1,1.03,1))*(IF(B1206&lt;=2,B1074,B1075))*(IF(B1212=1,(0.14*(B397/300)+0.95),IF(B1212=2,(0.2*(B395/500)+0.81),(0.05*(B396/20)+0.95))))*(IF(B334=1,2.55,IF(B334=2,1.17,1.84))))</f>
        <v>#VALUE!</v>
      </c>
    </row>
    <row r="1074" spans="1:2" x14ac:dyDescent="0.2">
      <c r="A1074" s="2823" t="s">
        <v>1329</v>
      </c>
      <c r="B1074">
        <f>IF(B1206=1,1,1.002)</f>
        <v>1.002</v>
      </c>
    </row>
    <row r="1075" spans="1:2" x14ac:dyDescent="0.2">
      <c r="A1075" s="2823" t="s">
        <v>1329</v>
      </c>
      <c r="B1075" t="b">
        <f>IF(B1206=3,(0.18*B333+0.68)*(0.13*(B400/70)+0.87),IF(B1206&gt;=4,(0.18*B333+1)*(0.13*(B400/70)+0.87)))</f>
        <v>0</v>
      </c>
    </row>
    <row r="1076" spans="1:2" ht="27" x14ac:dyDescent="0.25">
      <c r="A1076" s="2806" t="s">
        <v>4900</v>
      </c>
      <c r="B1076" t="e">
        <f>((1-0.0005)/(B1205/120))*(IF(B1214&lt;=12,1,1.014)*(0.51/(B1215/0.8)+0.49)*1*1*(IF(B1211=1,0.94,1))*(IF(B1206&lt;=2,B1077,B1078))*(IF(B1212=1,(0.15*(B397/300)+1),IF(B1212=2,(0.2*(B395/500)+0.82),(0.05*(B396/20)+0.95))))*(IF(B334=1,2.55,IF(B334=2,1.17,1.84))))</f>
        <v>#VALUE!</v>
      </c>
    </row>
    <row r="1077" spans="1:2" x14ac:dyDescent="0.2">
      <c r="A1077" s="2823" t="s">
        <v>1329</v>
      </c>
      <c r="B1077">
        <f>IF(B1206=1,1,IF(B1206=2,1.005))</f>
        <v>1.0049999999999999</v>
      </c>
    </row>
    <row r="1078" spans="1:2" x14ac:dyDescent="0.2">
      <c r="A1078" s="2823" t="s">
        <v>1329</v>
      </c>
      <c r="B1078" t="b">
        <f>IF(B1206=3,(0.32*B333+0.55)*(0.13*(B400/70)+0.87),IF(B1206&gt;=4,(0.32*B333+1.05)*(0.13*(B400/70)+0.87)))</f>
        <v>0</v>
      </c>
    </row>
    <row r="1079" spans="1:2" ht="13.5" x14ac:dyDescent="0.25">
      <c r="A1079" s="2808" t="s">
        <v>4744</v>
      </c>
      <c r="B1079" t="e">
        <f>IF(B59=10,INDEX(B1452:B1461,B59)*(0.57*(B1049/12)+0.43),INDEX(B1452:B1461,B59))</f>
        <v>#VALUE!</v>
      </c>
    </row>
    <row r="1080" spans="1:2" ht="13.5" x14ac:dyDescent="0.25">
      <c r="A1080" s="2810" t="s">
        <v>4745</v>
      </c>
      <c r="B1080" t="e">
        <f>IF(B47=1,((3323.7*B2524*B1073)+(113.7*B1076*B1085*B2525)),((3108.4*B2522*B1067)+(129.54*B2523*B1085*B1070)))*B468</f>
        <v>#VALUE!</v>
      </c>
    </row>
    <row r="1081" spans="1:2" ht="13.5" x14ac:dyDescent="0.25">
      <c r="A1081" s="2808" t="s">
        <v>4902</v>
      </c>
      <c r="B1081" t="e">
        <f>IF(B981&lt;19,1,IF(B981=25,0.77,IF(B981=26,0.3,IF(B981=22,2.53,IF(B981=23,2.53,IF(B981=28,2.53,2.525))))))</f>
        <v>#VALUE!</v>
      </c>
    </row>
    <row r="1082" spans="1:2" ht="13.5" x14ac:dyDescent="0.25">
      <c r="A1082" s="2808" t="s">
        <v>4903</v>
      </c>
      <c r="B1082" t="e">
        <f>1+B1081/B1047</f>
        <v>#VALUE!</v>
      </c>
    </row>
    <row r="1083" spans="1:2" ht="13.5" x14ac:dyDescent="0.25">
      <c r="A1083" s="2808" t="s">
        <v>4905</v>
      </c>
      <c r="B1083" t="e">
        <f>IF(B462=1,B3089,B3175)</f>
        <v>#VALUE!</v>
      </c>
    </row>
    <row r="1084" spans="1:2" ht="13.5" x14ac:dyDescent="0.25">
      <c r="A1084" s="2808" t="s">
        <v>4695</v>
      </c>
      <c r="B1084">
        <f>IF(B1204=1,B392,B393)</f>
        <v>2</v>
      </c>
    </row>
    <row r="1085" spans="1:2" ht="13.5" x14ac:dyDescent="0.25">
      <c r="A1085" s="2808" t="s">
        <v>4904</v>
      </c>
      <c r="B1085" t="e">
        <f>B1049+(0.073*B326+0.004*B1051-1.49)</f>
        <v>#VALUE!</v>
      </c>
    </row>
    <row r="1086" spans="1:2" ht="13.5" x14ac:dyDescent="0.25">
      <c r="A1086" s="2827" t="s">
        <v>4211</v>
      </c>
      <c r="B1086" t="e">
        <f>IF(B462=1,B760/(B3078*12),B760/(B1083*12))</f>
        <v>#VALUE!</v>
      </c>
    </row>
    <row r="1087" spans="1:2" ht="13.5" x14ac:dyDescent="0.25">
      <c r="A1087" s="2808" t="s">
        <v>4212</v>
      </c>
      <c r="B1087" t="e">
        <f>B1091*B1095</f>
        <v>#VALUE!</v>
      </c>
    </row>
    <row r="1088" spans="1:2" ht="13.5" x14ac:dyDescent="0.25">
      <c r="A1088" s="2808" t="s">
        <v>4213</v>
      </c>
      <c r="B1088" t="e">
        <f>B1092*B1096</f>
        <v>#VALUE!</v>
      </c>
    </row>
    <row r="1089" spans="1:2" ht="13.5" x14ac:dyDescent="0.25">
      <c r="A1089" s="2808" t="s">
        <v>4214</v>
      </c>
      <c r="B1089" t="e">
        <f>B1093*B1097</f>
        <v>#VALUE!</v>
      </c>
    </row>
    <row r="1090" spans="1:2" ht="13.5" x14ac:dyDescent="0.25">
      <c r="A1090" s="2808" t="s">
        <v>4214</v>
      </c>
      <c r="B1090" t="e">
        <f>B1094*B1098</f>
        <v>#VALUE!</v>
      </c>
    </row>
    <row r="1091" spans="1:2" ht="13.5" x14ac:dyDescent="0.25">
      <c r="A1091" s="2808" t="s">
        <v>4906</v>
      </c>
      <c r="B1091" t="e">
        <f>INDEX($B$2403:$B$2514,(B981-1)*4+1)*(IF(B981&lt;19,1,B1082))</f>
        <v>#VALUE!</v>
      </c>
    </row>
    <row r="1092" spans="1:2" ht="13.5" x14ac:dyDescent="0.25">
      <c r="A1092" s="2808" t="s">
        <v>4907</v>
      </c>
      <c r="B1092" t="e">
        <f>INDEX($B$2403:$B$2514,(B981-1)*4+2)</f>
        <v>#VALUE!</v>
      </c>
    </row>
    <row r="1093" spans="1:2" ht="13.5" x14ac:dyDescent="0.25">
      <c r="A1093" s="2808" t="s">
        <v>4908</v>
      </c>
      <c r="B1093" t="e">
        <f>INDEX($B$2403:$B$2514,(B981-1)*4+3)</f>
        <v>#VALUE!</v>
      </c>
    </row>
    <row r="1094" spans="1:2" ht="13.5" x14ac:dyDescent="0.25">
      <c r="A1094" s="2808" t="s">
        <v>4909</v>
      </c>
      <c r="B1094" t="e">
        <f>INDEX($B$2403:$B$2514,(B981-1)*4+4)</f>
        <v>#VALUE!</v>
      </c>
    </row>
    <row r="1095" spans="1:2" ht="13.5" x14ac:dyDescent="0.25">
      <c r="A1095" s="2808" t="s">
        <v>4910</v>
      </c>
      <c r="B1095" t="e">
        <f>INDEX(B1820:B1931,(B981-1)*4+1)*1.17</f>
        <v>#VALUE!</v>
      </c>
    </row>
    <row r="1096" spans="1:2" ht="13.5" x14ac:dyDescent="0.25">
      <c r="A1096" s="2808" t="s">
        <v>4911</v>
      </c>
      <c r="B1096" t="e">
        <f>INDEX(B1820:B1931,(B981-1)*4+2)*1.17</f>
        <v>#VALUE!</v>
      </c>
    </row>
    <row r="1097" spans="1:2" ht="13.5" x14ac:dyDescent="0.25">
      <c r="A1097" s="2808" t="s">
        <v>4912</v>
      </c>
      <c r="B1097" t="e">
        <f>INDEX(B1820:B1931,(B981-1)*4+3)*1.17</f>
        <v>#VALUE!</v>
      </c>
    </row>
    <row r="1098" spans="1:2" ht="13.5" x14ac:dyDescent="0.25">
      <c r="A1098" s="2808" t="s">
        <v>4913</v>
      </c>
      <c r="B1098" t="e">
        <f>INDEX(B1820:B1931,(B981-1)*4+4)*1.17</f>
        <v>#VALUE!</v>
      </c>
    </row>
    <row r="1099" spans="1:2" ht="13.5" x14ac:dyDescent="0.25">
      <c r="A1099" s="2808" t="s">
        <v>4730</v>
      </c>
      <c r="B1099" t="e">
        <f>B1080*B1046</f>
        <v>#VALUE!</v>
      </c>
    </row>
    <row r="1100" spans="1:2" ht="13.5" x14ac:dyDescent="0.25">
      <c r="A1100" s="2811" t="s">
        <v>4731</v>
      </c>
      <c r="B1100" t="e">
        <f>B1080*$B$636</f>
        <v>#VALUE!</v>
      </c>
    </row>
    <row r="1101" spans="1:2" ht="13.5" x14ac:dyDescent="0.25">
      <c r="A1101" s="2808" t="s">
        <v>4732</v>
      </c>
      <c r="B1101" t="e">
        <f>IF(B1045=0,0,IF(B981&gt;22,0,IF(B466=1,B1079*B760,B760*B1458)))</f>
        <v>#VALUE!</v>
      </c>
    </row>
    <row r="1102" spans="1:2" ht="13.5" x14ac:dyDescent="0.25">
      <c r="A1102" s="2811" t="s">
        <v>4733</v>
      </c>
      <c r="B1102" t="e">
        <f>IF(B1045=0,0,IF(B981&gt;22,0,IF(B466=1,B1079*$B$636,$B$636*B1458)))</f>
        <v>#VALUE!</v>
      </c>
    </row>
    <row r="1103" spans="1:2" ht="13.5" x14ac:dyDescent="0.25">
      <c r="A1103" s="2808" t="s">
        <v>4734</v>
      </c>
      <c r="B1103" t="e">
        <f>IF(B1044=0,0,B1087*B464*B1046^2/(2*B3078*12))</f>
        <v>#VALUE!</v>
      </c>
    </row>
    <row r="1104" spans="1:2" ht="13.5" x14ac:dyDescent="0.25">
      <c r="A1104" s="2811" t="s">
        <v>4735</v>
      </c>
      <c r="B1104" t="e">
        <f>IF(B1044=0,0,(B1087*B464*B1046^2/(2*B3078*12)))*(((B1051/600)^-0.74)/((B1050/600)^-0.74))</f>
        <v>#VALUE!</v>
      </c>
    </row>
    <row r="1105" spans="1:2" ht="13.5" x14ac:dyDescent="0.25">
      <c r="A1105" s="2808" t="s">
        <v>4736</v>
      </c>
      <c r="B1105" t="e">
        <f>B1088*B465*B760</f>
        <v>#VALUE!</v>
      </c>
    </row>
    <row r="1106" spans="1:2" ht="13.5" x14ac:dyDescent="0.25">
      <c r="A1106" s="2811" t="s">
        <v>4737</v>
      </c>
      <c r="B1106" t="e">
        <f>B1088*B465*$B$636*(((B1051/600)^-0.74)/((B1050/600)^-0.74))</f>
        <v>#VALUE!</v>
      </c>
    </row>
    <row r="1107" spans="1:2" ht="13.5" x14ac:dyDescent="0.25">
      <c r="A1107" s="2808" t="s">
        <v>4738</v>
      </c>
      <c r="B1107" t="e">
        <f>B1089*B466*B760</f>
        <v>#VALUE!</v>
      </c>
    </row>
    <row r="1108" spans="1:2" ht="13.5" x14ac:dyDescent="0.25">
      <c r="A1108" s="2811" t="s">
        <v>4739</v>
      </c>
      <c r="B1108" t="e">
        <f>B1089*B466*$B$636*(((B1051/600)^-0.74)/((B1050/600)^-0.74))</f>
        <v>#VALUE!</v>
      </c>
    </row>
    <row r="1109" spans="1:2" ht="13.5" x14ac:dyDescent="0.25">
      <c r="A1109" s="2808" t="s">
        <v>4740</v>
      </c>
      <c r="B1109" t="e">
        <f>B1090*B467*B760^2/(2*B3078*12)</f>
        <v>#VALUE!</v>
      </c>
    </row>
    <row r="1110" spans="1:2" ht="14.25" thickBot="1" x14ac:dyDescent="0.3">
      <c r="A1110" s="2811" t="s">
        <v>4741</v>
      </c>
      <c r="B1110" t="e">
        <f>B1090*B467*$B$636^2/(2*B3078*12)</f>
        <v>#VALUE!</v>
      </c>
    </row>
    <row r="1111" spans="1:2" x14ac:dyDescent="0.2">
      <c r="A1111" s="2813" t="s">
        <v>3577</v>
      </c>
      <c r="B1111" t="e">
        <f>IF(B1044=0,0,B1103+B1105+B1107+B1109)</f>
        <v>#VALUE!</v>
      </c>
    </row>
    <row r="1112" spans="1:2" x14ac:dyDescent="0.2">
      <c r="A1112" s="2814" t="s">
        <v>3578</v>
      </c>
      <c r="B1112" t="e">
        <f>IF(B1044=0,0,B1104+B1106+B1108+B1110)</f>
        <v>#VALUE!</v>
      </c>
    </row>
    <row r="1113" spans="1:2" x14ac:dyDescent="0.2">
      <c r="A1113" s="2815" t="s">
        <v>3579</v>
      </c>
      <c r="B1113" t="e">
        <f>IF(B1045=0,0,B1099)</f>
        <v>#VALUE!</v>
      </c>
    </row>
    <row r="1114" spans="1:2" x14ac:dyDescent="0.2">
      <c r="A1114" s="2816" t="s">
        <v>3580</v>
      </c>
      <c r="B1114" t="e">
        <f>IF(B1045=0,0,B1100)</f>
        <v>#VALUE!</v>
      </c>
    </row>
    <row r="1115" spans="1:2" x14ac:dyDescent="0.2">
      <c r="A1115" s="2815" t="s">
        <v>3581</v>
      </c>
      <c r="B1115" t="e">
        <f>IF(B1044=0,0,B1101)</f>
        <v>#VALUE!</v>
      </c>
    </row>
    <row r="1116" spans="1:2" ht="13.5" thickBot="1" x14ac:dyDescent="0.25">
      <c r="A1116" s="2817" t="s">
        <v>3582</v>
      </c>
      <c r="B1116" t="e">
        <f>IF(B1044=0,0,B1102)</f>
        <v>#VALUE!</v>
      </c>
    </row>
    <row r="1117" spans="1:2" x14ac:dyDescent="0.2">
      <c r="A1117" s="2818" t="s">
        <v>4746</v>
      </c>
      <c r="B1117" t="e">
        <f>(B1109+B1107+B1105+B1103+B1101+B1099)/B817</f>
        <v>#VALUE!</v>
      </c>
    </row>
    <row r="1118" spans="1:2" x14ac:dyDescent="0.2">
      <c r="A1118" s="2819" t="s">
        <v>4747</v>
      </c>
      <c r="B1118" t="e">
        <f>(B1110+B1108+B1106+B1104+B1102+B1100)/B816</f>
        <v>#VALUE!</v>
      </c>
    </row>
    <row r="1120" spans="1:2" x14ac:dyDescent="0.2">
      <c r="A1120" s="2795" t="s">
        <v>3500</v>
      </c>
    </row>
    <row r="1121" spans="1:2" x14ac:dyDescent="0.2">
      <c r="A1121" s="2828" t="s">
        <v>4632</v>
      </c>
    </row>
    <row r="1122" spans="1:2" x14ac:dyDescent="0.2">
      <c r="A1122" s="2795" t="s">
        <v>4633</v>
      </c>
      <c r="B1122" t="e">
        <f>IF(A471="Не вводить",0,1)</f>
        <v>#VALUE!</v>
      </c>
    </row>
    <row r="1123" spans="1:2" x14ac:dyDescent="0.2">
      <c r="A1123" s="2795" t="s">
        <v>4634</v>
      </c>
      <c r="B1123">
        <v>0</v>
      </c>
    </row>
    <row r="1124" spans="1:2" x14ac:dyDescent="0.2">
      <c r="A1124" s="2796" t="s">
        <v>3587</v>
      </c>
      <c r="B1124" t="e">
        <f>B813</f>
        <v>#VALUE!</v>
      </c>
    </row>
    <row r="1125" spans="1:2" x14ac:dyDescent="0.2">
      <c r="A1125" s="2796" t="s">
        <v>3588</v>
      </c>
      <c r="B1125" t="e">
        <f>IF(OR(B471=6,B471=12,B471=13,B471=14,B471=15),B1124/B3078,B1124/B1296)</f>
        <v>#VALUE!</v>
      </c>
    </row>
    <row r="1126" spans="1:2" ht="13.5" x14ac:dyDescent="0.25">
      <c r="A1126" s="2799" t="s">
        <v>3589</v>
      </c>
      <c r="B1126" t="e">
        <f>B911</f>
        <v>#VALUE!</v>
      </c>
    </row>
    <row r="1127" spans="1:2" ht="13.5" x14ac:dyDescent="0.25">
      <c r="A1127" s="2798" t="s">
        <v>5472</v>
      </c>
      <c r="B1127">
        <f>B912</f>
        <v>0</v>
      </c>
    </row>
    <row r="1128" spans="1:2" ht="13.5" x14ac:dyDescent="0.25">
      <c r="A1128" s="2798" t="s">
        <v>4957</v>
      </c>
      <c r="B1128" t="e">
        <f>B910</f>
        <v>#VALUE!</v>
      </c>
    </row>
    <row r="1129" spans="1:2" x14ac:dyDescent="0.2">
      <c r="A1129" s="2829" t="str">
        <f>IF(OR(B471=6,B471=12,B471=13,B471=14,B471=15),"Вырка проводиться;1-за лавой,2-с опережением","не вводить!")</f>
        <v>не вводить!</v>
      </c>
    </row>
    <row r="1130" spans="1:2" x14ac:dyDescent="0.2">
      <c r="A1130" s="2800" t="s">
        <v>4960</v>
      </c>
      <c r="B1130" t="str">
        <f>IF(OR(B471=3,B471=8,B471=9,B471=10,B471=13,B471=21,B471=25),B315,"")</f>
        <v/>
      </c>
    </row>
    <row r="1131" spans="1:2" x14ac:dyDescent="0.2">
      <c r="A1131" s="2800" t="str">
        <f>IF(OR(B471=9,B471=14,B471=26),"Способ присечки к старым работам:2-полная присечка,1-присечка через целик(3-4м)","Не вводить")</f>
        <v>Не вводить</v>
      </c>
    </row>
    <row r="1132" spans="1:2" x14ac:dyDescent="0.2">
      <c r="A1132" s="2830" t="s">
        <v>4635</v>
      </c>
      <c r="B1132">
        <v>0</v>
      </c>
    </row>
    <row r="1133" spans="1:2" x14ac:dyDescent="0.2">
      <c r="A1133" s="2831" t="s">
        <v>1681</v>
      </c>
      <c r="B1133">
        <f>B361</f>
        <v>1</v>
      </c>
    </row>
    <row r="1134" spans="1:2" x14ac:dyDescent="0.2">
      <c r="A1134" s="2757" t="s">
        <v>4794</v>
      </c>
      <c r="B1134">
        <f>B339</f>
        <v>3</v>
      </c>
    </row>
    <row r="1135" spans="1:2" x14ac:dyDescent="0.2">
      <c r="A1135" s="2800" t="s">
        <v>4966</v>
      </c>
      <c r="B1135">
        <f>B322</f>
        <v>1</v>
      </c>
    </row>
    <row r="1136" spans="1:2" ht="13.5" x14ac:dyDescent="0.25">
      <c r="A1136" s="2806" t="s">
        <v>4969</v>
      </c>
      <c r="B1136" t="e">
        <f>(0.18/(B1296/120)+0.82)*((0.0007*B1300)+1)*(0.36/(B739/0.8)+0.64)*((0.25*B1299)+0.75)*1*(IF(B1133=1,1.03,1))*(IF(B1297&lt;=2,B1137,B1138))*(IF(B1134=1,(0.1*(B397/300)+0.98),IF(B1134=2,(0.1*(B395/500)+0.91),(0.04*(B396/20)+0.96))))*(IF(B334=1,2.55,IF(B334=2,1.17,1.84)))</f>
        <v>#DIV/0!</v>
      </c>
    </row>
    <row r="1137" spans="1:2" x14ac:dyDescent="0.2">
      <c r="A1137" s="2823" t="s">
        <v>1329</v>
      </c>
      <c r="B1137" t="b">
        <f>IF(B1297=1,1,IF(B1297=2,1.002))</f>
        <v>0</v>
      </c>
    </row>
    <row r="1138" spans="1:2" x14ac:dyDescent="0.2">
      <c r="A1138" s="2823" t="s">
        <v>1329</v>
      </c>
      <c r="B1138" t="b">
        <f>IF(B1297=3,(0.19*B1298+0.65)*(0.18*(B400/70)+0.82),IF(B1297&gt;=4,(0.19*B1298+1)*(0.18*(B400/70)+0.82)))</f>
        <v>0</v>
      </c>
    </row>
    <row r="1139" spans="1:2" ht="13.5" x14ac:dyDescent="0.25">
      <c r="A1139" s="2806" t="s">
        <v>4970</v>
      </c>
      <c r="B1139">
        <f>1*((0.0007*B1300)+1)*(0.44/(B739/0.8)+0.56)*1*IF(B1132=1,0.93,1)*(IF(B1133=1,0.94,1))*(IF(B1297&lt;=2,B1140,B1141))*(IF(B1134=1,(0.12*(B397/300)+1.02),IF(B1134=2,(0.1*(B395/500)+0.92),(0.04*(B396/20)+0.96))))*(IF(B334=1,2.55,IF(B334=2,1.17,1.84)))</f>
        <v>0</v>
      </c>
    </row>
    <row r="1140" spans="1:2" x14ac:dyDescent="0.2">
      <c r="A1140" s="2823" t="s">
        <v>1329</v>
      </c>
      <c r="B1140" t="b">
        <f>IF(B1297=1,1,IF(B1297=2,1.004))</f>
        <v>0</v>
      </c>
    </row>
    <row r="1141" spans="1:2" x14ac:dyDescent="0.2">
      <c r="A1141" s="2823" t="s">
        <v>1329</v>
      </c>
      <c r="B1141" t="b">
        <f>IF(B1297=3,(0.28*B1298+0.57)*(0.18*(B400/70)+0.82),IF(B1297&gt;=4,(0.28*B1298+1)*(0.18*(B400/70)+0.82)))</f>
        <v>0</v>
      </c>
    </row>
    <row r="1142" spans="1:2" ht="27" x14ac:dyDescent="0.25">
      <c r="A1142" s="2806" t="s">
        <v>4971</v>
      </c>
      <c r="B1142" t="e">
        <f>(0.27/(B1296/120)+0.73)*(IF(B1300&lt;=12,1,1.01)*(0.34/(B739/0.8)+0.66)*((0.24*B1299)+0.76)*1*(IF(B1133=1,1.03,1))*(IF(B1297&lt;=2,B1143,B1144))*(IF(B1134=1,(0.14*(B397/300)+0.95),IF(B1134=2,(0.2*(B395/500)+0.81),(0.05*(B396/20)+0.95))))*(IF(B334=1,2.55,IF(B334=2,1.17,1.84))))</f>
        <v>#DIV/0!</v>
      </c>
    </row>
    <row r="1143" spans="1:2" x14ac:dyDescent="0.2">
      <c r="A1143" s="2823" t="s">
        <v>1329</v>
      </c>
      <c r="B1143">
        <f>IF(B1297=1,1,1.002)</f>
        <v>1.002</v>
      </c>
    </row>
    <row r="1144" spans="1:2" x14ac:dyDescent="0.2">
      <c r="A1144" s="2823" t="s">
        <v>1329</v>
      </c>
      <c r="B1144" t="b">
        <f>IF(B1297=3,(0.18*B1298+0.68)*(0.13*(B400/70)+0.87),IF(B1297&gt;=4,(0.18*B1298+1)*(0.13*(B400/70)+0.87)))</f>
        <v>0</v>
      </c>
    </row>
    <row r="1145" spans="1:2" ht="27" x14ac:dyDescent="0.25">
      <c r="A1145" s="2806" t="s">
        <v>4900</v>
      </c>
      <c r="B1145" t="e">
        <f>((1-0.0005)/(B1296/120))*(IF(B1300&lt;=12,1,1.014)*(0.51/(B739/0.8)+0.49)*1*1*(IF(B1133=1,0.94,1))*(IF(B1297&lt;=2,B1146,B1147))*(IF(B1134=1,(0.15*(B397/300)+1),IF(B1134=2,(0.2*(B395/500)+0.82),(0.05*(B396/20)+0.95))))*(IF(B334=1,2.55,IF(B334=2,1.17,1.84))))</f>
        <v>#DIV/0!</v>
      </c>
    </row>
    <row r="1146" spans="1:2" x14ac:dyDescent="0.2">
      <c r="A1146" s="2823" t="s">
        <v>1329</v>
      </c>
      <c r="B1146" t="b">
        <f>IF(B1297=1,1,IF(B1297=2,1.005))</f>
        <v>0</v>
      </c>
    </row>
    <row r="1147" spans="1:2" x14ac:dyDescent="0.2">
      <c r="A1147" s="2823" t="s">
        <v>1329</v>
      </c>
      <c r="B1147" t="b">
        <f>IF(B1297=3,(0.32*B1298+0.55)*(0.13*(B400/70)+0.87),IF(B1297&gt;=4,(0.32*B1298+1.05)*(0.13*(B400/70)+0.87)))</f>
        <v>0</v>
      </c>
    </row>
    <row r="1148" spans="1:2" ht="13.5" x14ac:dyDescent="0.25">
      <c r="A1148" s="2832" t="s">
        <v>4748</v>
      </c>
      <c r="B1148" t="e">
        <f>IF(B47=1,((3323.7*B2524*B1142)+(113.7*B1153*B1145*B2525)),((3108.4*B2522*B1136)+(129.54*B2523*B1139*B1153)))*B477</f>
        <v>#VALUE!</v>
      </c>
    </row>
    <row r="1149" spans="1:2" ht="13.5" x14ac:dyDescent="0.25">
      <c r="A1149" s="2808" t="s">
        <v>4902</v>
      </c>
      <c r="B1149">
        <f>IF(B471&lt;19,1,IF(B471=25,0.77,IF(B471=26,0.3,IF(B471=22,2.53,IF(B471=23,2.53,IF(B471=28,2.53,2.525))))))</f>
        <v>1</v>
      </c>
    </row>
    <row r="1150" spans="1:2" ht="13.5" x14ac:dyDescent="0.25">
      <c r="A1150" s="2808" t="s">
        <v>4903</v>
      </c>
      <c r="B1150" t="e">
        <f>1+B1149/B1125</f>
        <v>#VALUE!</v>
      </c>
    </row>
    <row r="1151" spans="1:2" ht="13.5" x14ac:dyDescent="0.25">
      <c r="A1151" s="2808" t="s">
        <v>4905</v>
      </c>
      <c r="B1151">
        <f>IF(B1129=1,B3078,B1296)</f>
        <v>0</v>
      </c>
    </row>
    <row r="1152" spans="1:2" ht="13.5" x14ac:dyDescent="0.25">
      <c r="A1152" s="2808" t="s">
        <v>4695</v>
      </c>
      <c r="B1152">
        <f>IF(B1295=1,B392,B393)</f>
        <v>2</v>
      </c>
    </row>
    <row r="1153" spans="1:2" ht="13.5" x14ac:dyDescent="0.25">
      <c r="A1153" s="2808" t="s">
        <v>4904</v>
      </c>
      <c r="B1153" t="e">
        <f>B1128+(0.073*B326+0.004*B1127-1.49)</f>
        <v>#VALUE!</v>
      </c>
    </row>
    <row r="1154" spans="1:2" ht="13.5" x14ac:dyDescent="0.25">
      <c r="A1154" s="2808" t="str">
        <f>IF(B477=1,"Длительность проведения выработки, год","")</f>
        <v/>
      </c>
      <c r="B1154" t="e">
        <f>IF(B1129=1,B760/(B3078*12),B760/(B1151*12))</f>
        <v>#VALUE!</v>
      </c>
    </row>
    <row r="1155" spans="1:2" ht="13.5" x14ac:dyDescent="0.25">
      <c r="A1155" s="2808" t="s">
        <v>4749</v>
      </c>
      <c r="B1155" t="e">
        <f>IF(B1122="",0,IF(B59=10,INDEX(B1452:B1461,B59)*(0.57*(B1128/12)+0.43),INDEX(B1452:B1461,B59)))</f>
        <v>#VALUE!</v>
      </c>
    </row>
    <row r="1156" spans="1:2" ht="13.5" x14ac:dyDescent="0.25">
      <c r="A1156" s="2808" t="s">
        <v>4636</v>
      </c>
      <c r="B1156" t="e">
        <f>B1160*B1164</f>
        <v>#VALUE!</v>
      </c>
    </row>
    <row r="1157" spans="1:2" ht="13.5" x14ac:dyDescent="0.25">
      <c r="A1157" s="2808" t="s">
        <v>5433</v>
      </c>
      <c r="B1157" t="e">
        <f>B1161*B1165</f>
        <v>#VALUE!</v>
      </c>
    </row>
    <row r="1158" spans="1:2" ht="13.5" x14ac:dyDescent="0.25">
      <c r="A1158" s="2808" t="s">
        <v>5434</v>
      </c>
      <c r="B1158" t="e">
        <f>B1162*B1166</f>
        <v>#VALUE!</v>
      </c>
    </row>
    <row r="1159" spans="1:2" ht="13.5" x14ac:dyDescent="0.25">
      <c r="A1159" s="2808" t="s">
        <v>5435</v>
      </c>
      <c r="B1159" t="e">
        <f>B1163*B1167</f>
        <v>#VALUE!</v>
      </c>
    </row>
    <row r="1160" spans="1:2" ht="13.5" x14ac:dyDescent="0.25">
      <c r="A1160" s="2808" t="s">
        <v>4906</v>
      </c>
      <c r="B1160" t="e">
        <f>INDEX($B$2403:$B$2514,(B471-1)*4+1)*(IF(B471&lt;19,1,B1150))</f>
        <v>#VALUE!</v>
      </c>
    </row>
    <row r="1161" spans="1:2" ht="13.5" x14ac:dyDescent="0.25">
      <c r="A1161" s="2808" t="s">
        <v>4907</v>
      </c>
      <c r="B1161" t="e">
        <f>INDEX($B$2403:$B$2514,(B471-1)*4+2)</f>
        <v>#VALUE!</v>
      </c>
    </row>
    <row r="1162" spans="1:2" ht="13.5" x14ac:dyDescent="0.25">
      <c r="A1162" s="2808" t="s">
        <v>4908</v>
      </c>
      <c r="B1162" t="e">
        <f>INDEX($B$2403:$B$2514,(B471-1)*4+3)</f>
        <v>#VALUE!</v>
      </c>
    </row>
    <row r="1163" spans="1:2" ht="13.5" x14ac:dyDescent="0.25">
      <c r="A1163" s="2808" t="s">
        <v>4909</v>
      </c>
      <c r="B1163" t="e">
        <f>INDEX($B$2403:$B$2514,(B471-1)*4+4)</f>
        <v>#VALUE!</v>
      </c>
    </row>
    <row r="1164" spans="1:2" ht="13.5" x14ac:dyDescent="0.25">
      <c r="A1164" s="2808" t="s">
        <v>4910</v>
      </c>
      <c r="B1164" t="e">
        <f>INDEX(B1936:B2047,(B471-1)*4+1)*1.17</f>
        <v>#VALUE!</v>
      </c>
    </row>
    <row r="1165" spans="1:2" ht="13.5" x14ac:dyDescent="0.25">
      <c r="A1165" s="2808" t="s">
        <v>4911</v>
      </c>
      <c r="B1165" t="e">
        <f>INDEX(B1936:B2047,(B471-1)*4+2)*1.17</f>
        <v>#VALUE!</v>
      </c>
    </row>
    <row r="1166" spans="1:2" ht="13.5" x14ac:dyDescent="0.25">
      <c r="A1166" s="2808" t="s">
        <v>4912</v>
      </c>
      <c r="B1166" t="e">
        <f>INDEX(B1936:B2047,(B471-1)*4+3)*1.17</f>
        <v>#VALUE!</v>
      </c>
    </row>
    <row r="1167" spans="1:2" ht="13.5" x14ac:dyDescent="0.25">
      <c r="A1167" s="2808" t="s">
        <v>4913</v>
      </c>
      <c r="B1167" t="e">
        <f>INDEX(B1936:B2047,(B471-1)*4+4)*1.17</f>
        <v>#VALUE!</v>
      </c>
    </row>
    <row r="1168" spans="1:2" ht="13.5" x14ac:dyDescent="0.25">
      <c r="A1168" s="2808" t="s">
        <v>4730</v>
      </c>
      <c r="B1168">
        <f>IF(B1123=0,0,B1148*B760)</f>
        <v>0</v>
      </c>
    </row>
    <row r="1169" spans="1:2" ht="13.5" x14ac:dyDescent="0.25">
      <c r="A1169" s="2811" t="s">
        <v>4731</v>
      </c>
      <c r="B1169">
        <f>IF(B1123=0,0,B1148*$B$636)</f>
        <v>0</v>
      </c>
    </row>
    <row r="1170" spans="1:2" ht="13.5" x14ac:dyDescent="0.25">
      <c r="A1170" s="2808" t="s">
        <v>4750</v>
      </c>
      <c r="B1170" t="e">
        <f>IF(B1122=0,0,IF(B471&gt;22,0,IF(B475=1,B1155*B760,B760*B1458)))</f>
        <v>#VALUE!</v>
      </c>
    </row>
    <row r="1171" spans="1:2" ht="13.5" x14ac:dyDescent="0.25">
      <c r="A1171" s="2811" t="s">
        <v>4751</v>
      </c>
      <c r="B1171">
        <f>IF(B1132=0,0,IF(B471&gt;22,0,IF(B475=1,B1155*$C$636,$C$636*B1458)))</f>
        <v>0</v>
      </c>
    </row>
    <row r="1172" spans="1:2" ht="13.5" x14ac:dyDescent="0.25">
      <c r="A1172" s="2808" t="s">
        <v>4752</v>
      </c>
      <c r="B1172" t="e">
        <f>B1156*B473*B1124^2/(2*B3078*12)</f>
        <v>#VALUE!</v>
      </c>
    </row>
    <row r="1173" spans="1:2" ht="13.5" x14ac:dyDescent="0.25">
      <c r="A1173" s="2811" t="s">
        <v>4753</v>
      </c>
      <c r="B1173" t="e">
        <f>(B1156*B473*B1124^2/(2*B3078*12))*(((B1127/600)^-0.74)/((B1126/600)^-0.74))</f>
        <v>#VALUE!</v>
      </c>
    </row>
    <row r="1174" spans="1:2" ht="13.5" x14ac:dyDescent="0.25">
      <c r="A1174" s="2808" t="s">
        <v>4736</v>
      </c>
      <c r="B1174" t="e">
        <f>B1157*B474*B1124</f>
        <v>#VALUE!</v>
      </c>
    </row>
    <row r="1175" spans="1:2" ht="13.5" x14ac:dyDescent="0.25">
      <c r="A1175" s="2811" t="s">
        <v>4737</v>
      </c>
      <c r="B1175" t="e">
        <f>B1157*B474*B1124*(((B1127/600)^-0.74)/((B1126/600)^-0.74))</f>
        <v>#VALUE!</v>
      </c>
    </row>
    <row r="1176" spans="1:2" ht="13.5" x14ac:dyDescent="0.25">
      <c r="A1176" s="2808" t="s">
        <v>4754</v>
      </c>
      <c r="B1176" t="e">
        <f>B1158*B475*B1124</f>
        <v>#VALUE!</v>
      </c>
    </row>
    <row r="1177" spans="1:2" ht="13.5" x14ac:dyDescent="0.25">
      <c r="A1177" s="2811" t="s">
        <v>4755</v>
      </c>
      <c r="B1177" t="e">
        <f>B1158*B475*B1124*(((B1127/600)^-0.74)/((B1126/600)^-0.74))</f>
        <v>#VALUE!</v>
      </c>
    </row>
    <row r="1178" spans="1:2" ht="13.5" x14ac:dyDescent="0.25">
      <c r="A1178" s="2808" t="s">
        <v>4756</v>
      </c>
      <c r="B1178" t="e">
        <f>B1159*B476*B1124^2/(2*B3078*12)</f>
        <v>#VALUE!</v>
      </c>
    </row>
    <row r="1179" spans="1:2" ht="14.25" thickBot="1" x14ac:dyDescent="0.3">
      <c r="A1179" s="2811" t="s">
        <v>4757</v>
      </c>
      <c r="B1179" t="e">
        <f>B1159*B476*B1124^2/(2*B3078*12)</f>
        <v>#VALUE!</v>
      </c>
    </row>
    <row r="1180" spans="1:2" x14ac:dyDescent="0.2">
      <c r="A1180" s="2813" t="s">
        <v>3577</v>
      </c>
      <c r="B1180" t="e">
        <f>IF(B1122=0,0,B1172+B1174+B1176+B1178)</f>
        <v>#VALUE!</v>
      </c>
    </row>
    <row r="1181" spans="1:2" x14ac:dyDescent="0.2">
      <c r="A1181" s="2814" t="s">
        <v>3578</v>
      </c>
      <c r="B1181" t="e">
        <f>IF(B1122=0,0,B1173+B1175+B1177+B1179)</f>
        <v>#VALUE!</v>
      </c>
    </row>
    <row r="1182" spans="1:2" x14ac:dyDescent="0.2">
      <c r="A1182" s="2815" t="s">
        <v>3579</v>
      </c>
      <c r="B1182">
        <f>IF(B1123=0,0,B1168)</f>
        <v>0</v>
      </c>
    </row>
    <row r="1183" spans="1:2" x14ac:dyDescent="0.2">
      <c r="A1183" s="2816" t="s">
        <v>3580</v>
      </c>
      <c r="B1183">
        <f>IF(B1123=0,0,B1169)</f>
        <v>0</v>
      </c>
    </row>
    <row r="1184" spans="1:2" x14ac:dyDescent="0.2">
      <c r="A1184" s="2815" t="s">
        <v>3581</v>
      </c>
      <c r="B1184">
        <f>IF(B1123=0,0,B1170)</f>
        <v>0</v>
      </c>
    </row>
    <row r="1185" spans="1:2" ht="13.5" thickBot="1" x14ac:dyDescent="0.25">
      <c r="A1185" s="2817" t="s">
        <v>3582</v>
      </c>
      <c r="B1185">
        <f>IF(B1123=0,0,B1171)</f>
        <v>0</v>
      </c>
    </row>
    <row r="1186" spans="1:2" x14ac:dyDescent="0.2">
      <c r="A1186" s="2818" t="s">
        <v>4758</v>
      </c>
      <c r="B1186" t="e">
        <f>B1122*(B1178+B1176+B1174+B1172+B1170+B1168)/B817</f>
        <v>#VALUE!</v>
      </c>
    </row>
    <row r="1187" spans="1:2" x14ac:dyDescent="0.2">
      <c r="A1187" s="2819" t="s">
        <v>3504</v>
      </c>
      <c r="B1187" t="e">
        <f>(B1179+B1177+B1175+B1173+B1171+B1169)/B816</f>
        <v>#VALUE!</v>
      </c>
    </row>
    <row r="1188" spans="1:2" x14ac:dyDescent="0.2">
      <c r="A1188" s="2833"/>
    </row>
    <row r="1189" spans="1:2" x14ac:dyDescent="0.2">
      <c r="A1189" s="2795" t="s">
        <v>4939</v>
      </c>
    </row>
    <row r="1190" spans="1:2" x14ac:dyDescent="0.2">
      <c r="A1190" s="2795" t="s">
        <v>4953</v>
      </c>
      <c r="B1190" t="e">
        <f>IF(A480="Не вводить",0,1)</f>
        <v>#VALUE!</v>
      </c>
    </row>
    <row r="1191" spans="1:2" x14ac:dyDescent="0.2">
      <c r="A1191" s="2795" t="s">
        <v>4954</v>
      </c>
      <c r="B1191">
        <v>0</v>
      </c>
    </row>
    <row r="1192" spans="1:2" x14ac:dyDescent="0.2">
      <c r="A1192" s="2796" t="s">
        <v>3587</v>
      </c>
      <c r="B1192" t="e">
        <f>IF(B635=1,B734-B813,B636-B813)</f>
        <v>#VALUE!</v>
      </c>
    </row>
    <row r="1193" spans="1:2" x14ac:dyDescent="0.2">
      <c r="A1193" s="2796" t="s">
        <v>3588</v>
      </c>
      <c r="B1193" t="e">
        <f>IF(OR(B480=6,B480=12,B480=13,B480=14,B480=15),B1192/B3078,B1192/B1379)</f>
        <v>#VALUE!</v>
      </c>
    </row>
    <row r="1194" spans="1:2" ht="13.5" x14ac:dyDescent="0.2">
      <c r="A1194" s="2834" t="s">
        <v>4940</v>
      </c>
      <c r="B1194" t="e">
        <f>B911</f>
        <v>#VALUE!</v>
      </c>
    </row>
    <row r="1195" spans="1:2" ht="13.5" x14ac:dyDescent="0.2">
      <c r="A1195" s="2835" t="s">
        <v>5472</v>
      </c>
      <c r="B1195">
        <f>B912</f>
        <v>0</v>
      </c>
    </row>
    <row r="1196" spans="1:2" ht="13.5" x14ac:dyDescent="0.2">
      <c r="A1196" s="2835" t="s">
        <v>4957</v>
      </c>
      <c r="B1196" t="e">
        <f>B910</f>
        <v>#VALUE!</v>
      </c>
    </row>
    <row r="1197" spans="1:2" x14ac:dyDescent="0.2">
      <c r="A1197" s="2836" t="str">
        <f>IF(OR(B480=6,B480=12,B480=13,B480=14,B480=15),"Вырка проводиться;1-за лавой,2-с опережением","не вводить!")</f>
        <v>не вводить!</v>
      </c>
    </row>
    <row r="1198" spans="1:2" x14ac:dyDescent="0.2">
      <c r="A1198" s="2800" t="s">
        <v>4960</v>
      </c>
    </row>
    <row r="1199" spans="1:2" x14ac:dyDescent="0.2">
      <c r="A1199" s="2800" t="str">
        <f>IF(OR(B480=9,B480=14,B480=26),"Способ присечки к старым работам:2-полная присечка,1-присечка через целик(3-4м)","Не вводить")</f>
        <v>Не вводить</v>
      </c>
    </row>
    <row r="1200" spans="1:2" x14ac:dyDescent="0.2">
      <c r="A1200" s="2802" t="str">
        <f>IF(OR(B480=6,B480=12,B480=13,B480=14,B480=15,B480&gt;18),"селективная выемка угля и породы 1- да, 0- нет.","Не вводить")</f>
        <v>Не вводить</v>
      </c>
    </row>
    <row r="1201" spans="1:2" x14ac:dyDescent="0.2">
      <c r="A1201" s="2802" t="str">
        <f>IF(OR(B480=6,B480=12,B480=13,B480=14,B480=15,B480&gt;18),"Погрузка породы при проходке 2 - в вагонетки, 1- на конвейер","НЕ вводить")</f>
        <v>НЕ вводить</v>
      </c>
      <c r="B1201">
        <f>B361</f>
        <v>1</v>
      </c>
    </row>
    <row r="1202" spans="1:2" x14ac:dyDescent="0.2">
      <c r="A1202" s="2757" t="s">
        <v>4794</v>
      </c>
      <c r="B1202">
        <f>B339</f>
        <v>3</v>
      </c>
    </row>
    <row r="1203" spans="1:2" x14ac:dyDescent="0.2">
      <c r="A1203" s="2800" t="str">
        <f>IF(B1377=2,"Способ погрузки породы (1 - ППМ, 2 - вручную)","Не  вводить")</f>
        <v>Не  вводить</v>
      </c>
      <c r="B1203">
        <f>B322</f>
        <v>1</v>
      </c>
    </row>
    <row r="1204" spans="1:2" x14ac:dyDescent="0.2">
      <c r="A1204" s="2837" t="s">
        <v>4568</v>
      </c>
      <c r="B1204">
        <f>B47</f>
        <v>0</v>
      </c>
    </row>
    <row r="1205" spans="1:2" x14ac:dyDescent="0.2">
      <c r="A1205" s="2757" t="s">
        <v>4964</v>
      </c>
      <c r="B1205" t="e">
        <f>IF(OR(B460=6,B460=12,B460=13,B460=14,B460=26),B3089,B3175)</f>
        <v>#VALUE!</v>
      </c>
    </row>
    <row r="1206" spans="1:2" ht="25.5" x14ac:dyDescent="0.2">
      <c r="A1206" s="2757" t="s">
        <v>346</v>
      </c>
      <c r="B1206">
        <f>B323</f>
        <v>2</v>
      </c>
    </row>
    <row r="1207" spans="1:2" x14ac:dyDescent="0.2">
      <c r="A1207" s="2750"/>
    </row>
    <row r="1208" spans="1:2" x14ac:dyDescent="0.2">
      <c r="A1208" s="2822" t="s">
        <v>4941</v>
      </c>
      <c r="B1208">
        <f>B324</f>
        <v>7</v>
      </c>
    </row>
    <row r="1209" spans="1:2" x14ac:dyDescent="0.2">
      <c r="A1209" s="2801" t="s">
        <v>4963</v>
      </c>
      <c r="B1209">
        <f>B325</f>
        <v>1</v>
      </c>
    </row>
    <row r="1210" spans="1:2" x14ac:dyDescent="0.2">
      <c r="A1210" s="2802" t="e">
        <f>IF(OR(#REF!=6,#REF!=12,#REF!=13,#REF!=14,#REF!=15,#REF!&gt;18),"селективная выемка угля и породы 1- да, 0- нет.","Не вводить")</f>
        <v>#REF!</v>
      </c>
      <c r="B1210" t="e">
        <f>IF(OR(B460=6,B460=12,B460=13,B460=14,B460=15,B460&gt;18),B752,"")</f>
        <v>#VALUE!</v>
      </c>
    </row>
    <row r="1211" spans="1:2" x14ac:dyDescent="0.2">
      <c r="A1211" s="2802" t="e">
        <f>IF(OR(#REF!=6,#REF!=12,#REF!=13,#REF!=14,#REF!=15,#REF!&gt;18),"Погрузка породы при проходке 2 - в вагонетки, 1- на конвейер","НЕ вводить")</f>
        <v>#REF!</v>
      </c>
      <c r="B1211" t="e">
        <f>IF(OR(B460=6,B460=12,B460=13,B460=14,B460&gt;18),B361,"")</f>
        <v>#VALUE!</v>
      </c>
    </row>
    <row r="1212" spans="1:2" x14ac:dyDescent="0.2">
      <c r="A1212" s="2757" t="s">
        <v>4794</v>
      </c>
      <c r="B1212">
        <f>B339</f>
        <v>3</v>
      </c>
    </row>
    <row r="1213" spans="1:2" x14ac:dyDescent="0.2">
      <c r="A1213" s="2800" t="s">
        <v>5293</v>
      </c>
      <c r="B1213" t="str">
        <f>IF(B1204=2,B322,"")</f>
        <v/>
      </c>
    </row>
    <row r="1214" spans="1:2" x14ac:dyDescent="0.2">
      <c r="A1214" s="2757" t="s">
        <v>4795</v>
      </c>
      <c r="B1214">
        <f>B3079</f>
        <v>0</v>
      </c>
    </row>
    <row r="1215" spans="1:2" x14ac:dyDescent="0.2">
      <c r="A1215" s="2757" t="s">
        <v>4967</v>
      </c>
      <c r="B1215">
        <f>B572</f>
        <v>0.8</v>
      </c>
    </row>
    <row r="1217" spans="1:2" x14ac:dyDescent="0.2">
      <c r="A1217" s="2838"/>
    </row>
    <row r="1218" spans="1:2" x14ac:dyDescent="0.2">
      <c r="A1218" s="2757" t="s">
        <v>4572</v>
      </c>
      <c r="B1218">
        <f>B747</f>
        <v>2</v>
      </c>
    </row>
    <row r="1219" spans="1:2" ht="13.5" x14ac:dyDescent="0.25">
      <c r="A1219" s="2806" t="s">
        <v>4969</v>
      </c>
      <c r="B1219" t="e">
        <f>(0.18/(B1205/120)+0.82)*((0.0007*B1214)+1)*(0.36/(B740/0.8)+0.64)*((0.25*B1209)+0.75)*1*(IF(B1201=1,1.03,1))*(IF(B1206&lt;=2,B1220,B1221))*(IF(B1202=1,(0.1*(B397/300)+0.98),IF(B1202=2,(0.1*(B395/500)+0.91),(0.04*(B396/20)+0.96))))*(IF(B334=1,2.55,IF(B334=2,1.17,1.84)))</f>
        <v>#VALUE!</v>
      </c>
    </row>
    <row r="1220" spans="1:2" x14ac:dyDescent="0.2">
      <c r="A1220" s="2823" t="s">
        <v>1329</v>
      </c>
      <c r="B1220">
        <f>IF(B1206=1,1,IF(B1206=2,1.002))</f>
        <v>1.002</v>
      </c>
    </row>
    <row r="1221" spans="1:2" x14ac:dyDescent="0.2">
      <c r="A1221" s="2823" t="s">
        <v>1329</v>
      </c>
      <c r="B1221" t="b">
        <f>IF(B1206=3,(0.19*B1206+0.65)*(0.18*(B400/70)+0.82),IF(B1206&gt;=4,(0.19*B1206+1)*(0.18*(B400/70)+0.82)))</f>
        <v>0</v>
      </c>
    </row>
    <row r="1222" spans="1:2" ht="13.5" x14ac:dyDescent="0.25">
      <c r="A1222" s="2806" t="s">
        <v>4970</v>
      </c>
      <c r="B1222">
        <f>1*((0.0007*B1294)+1)*(0.44/(B740/0.8)+0.56)*1*IF(B1200=1,0.93,1)*(IF(B1201=1,0.94,1))*(IF(B1380&lt;=2,B1223,B1224))*(IF(B1202=1,(0.12*(B397/300)+1.02),IF(B1202=2,(0.1*(B395/500)+0.92),(0.04*(B396/20)+0.96))))*(IF(B334=1,2.55,IF(B334=2,1.17,1.84)))</f>
        <v>0</v>
      </c>
    </row>
    <row r="1223" spans="1:2" x14ac:dyDescent="0.2">
      <c r="A1223" s="2823" t="s">
        <v>1329</v>
      </c>
      <c r="B1223" t="b">
        <f>IF(B1380=1,1,IF(B1380=2,1.004))</f>
        <v>0</v>
      </c>
    </row>
    <row r="1224" spans="1:2" x14ac:dyDescent="0.2">
      <c r="A1224" s="2823" t="s">
        <v>1329</v>
      </c>
      <c r="B1224" t="b">
        <f>IF(B1380=3,(0.28*B1381+0.57)*(0.18*(B400/70)+0.82),IF(B1380&gt;=4,(0.28*B1381+1)*(0.18*(B400/70)+0.82)))</f>
        <v>0</v>
      </c>
    </row>
    <row r="1225" spans="1:2" ht="27" x14ac:dyDescent="0.25">
      <c r="A1225" s="2806" t="s">
        <v>4971</v>
      </c>
      <c r="B1225" t="e">
        <f>(0.27/(B1379/120)+0.73)*(IF(B1294&lt;=12,1,1.01)*(0.34/(B740/0.8)+0.66)*((0.24*B1382)+0.76)*1*(IF(B1201=1,1.03,1))*(IF(B1380&lt;=2,B1226,B1227))*(IF(B1202=1,(0.14*(B397/300)+0.95),IF(B1202=2,(0.2*(B395/500)+0.81),(0.05*(B396/20)+0.95))))*(IF(B334=1,2.55,IF(B334=2,1.17,1.84))))</f>
        <v>#DIV/0!</v>
      </c>
    </row>
    <row r="1226" spans="1:2" x14ac:dyDescent="0.2">
      <c r="A1226" s="2823" t="s">
        <v>1329</v>
      </c>
      <c r="B1226">
        <f>IF(B1380=1,1,1.002)</f>
        <v>1.002</v>
      </c>
    </row>
    <row r="1227" spans="1:2" x14ac:dyDescent="0.2">
      <c r="A1227" s="2823" t="s">
        <v>1329</v>
      </c>
      <c r="B1227" t="b">
        <f>IF(B1380=3,(0.18*B1381+0.68)*(0.13*(B400/70)+0.87),IF(B1380&gt;=4,(0.18*B1381+1)*(0.13*(B400/70)+0.87)))</f>
        <v>0</v>
      </c>
    </row>
    <row r="1228" spans="1:2" ht="27" x14ac:dyDescent="0.25">
      <c r="A1228" s="2806" t="s">
        <v>4900</v>
      </c>
      <c r="B1228" t="e">
        <f>((1-0.0005)/(B1379/120))*(IF(B1294&lt;=12,1,1.014)*(0.51/(B740/0.8)+0.49)*1*1*(IF(B1201=1,0.94,1))*(IF(B1380&lt;=2,B1229,B1230))*(IF(B1202=1,(0.15*(B397/300)+1),IF(B1202=2,(0.2*(B395/500)+0.82),(0.05*(B396/20)+0.95))))*(IF(B334=1,2.55,IF(B334=2,1.17,1.84))))</f>
        <v>#DIV/0!</v>
      </c>
    </row>
    <row r="1229" spans="1:2" x14ac:dyDescent="0.2">
      <c r="A1229" s="2823" t="s">
        <v>1329</v>
      </c>
      <c r="B1229" t="b">
        <f>IF(B1380=1,1,IF(B1380=2,1.005))</f>
        <v>0</v>
      </c>
    </row>
    <row r="1230" spans="1:2" x14ac:dyDescent="0.2">
      <c r="A1230" s="2823" t="s">
        <v>1329</v>
      </c>
      <c r="B1230" t="b">
        <f>IF(B1380=3,(0.32*B1381+0.55)*(0.13*(B400/70)+0.87),IF(B1380&gt;=4,(0.32*B1381+1.05)*(0.13*(B400/70)+0.87)))</f>
        <v>0</v>
      </c>
    </row>
    <row r="1231" spans="1:2" ht="13.5" x14ac:dyDescent="0.2">
      <c r="A1231" s="2839" t="s">
        <v>3505</v>
      </c>
      <c r="B1231" t="e">
        <f>IF(B1190=0,0,IF(B59=10,INDEX(B1452:B1461,B59)*(0.57*(B1277/12)+0.43),INDEX(B1452:B1461,B59)))</f>
        <v>#VALUE!</v>
      </c>
    </row>
    <row r="1232" spans="1:2" ht="13.5" x14ac:dyDescent="0.25">
      <c r="A1232" s="2808" t="s">
        <v>4902</v>
      </c>
      <c r="B1232">
        <f>IF(B480&lt;19,1,IF(B480=25,0.77,IF(B480=26,0.3,IF(B480=22,2.53,IF(B480=23,2.53,IF(B480=28,2.53,2.525))))))</f>
        <v>1</v>
      </c>
    </row>
    <row r="1233" spans="1:2" ht="13.5" x14ac:dyDescent="0.25">
      <c r="A1233" s="2808" t="s">
        <v>4903</v>
      </c>
      <c r="B1233" t="e">
        <f>1+B1232/B1193</f>
        <v>#VALUE!</v>
      </c>
    </row>
    <row r="1234" spans="1:2" ht="13.5" x14ac:dyDescent="0.2">
      <c r="A1234" s="2840" t="s">
        <v>3506</v>
      </c>
      <c r="B1234" t="e">
        <f>IF(B47=1,((3323.7*B2524*B1225)+(113.7*B1228*B1237*B2525)),((3108.4*B2522*B1219)+(129.54*B2523*B1222*B1237)))*B486</f>
        <v>#VALUE!</v>
      </c>
    </row>
    <row r="1235" spans="1:2" ht="13.5" x14ac:dyDescent="0.2">
      <c r="A1235" s="2841" t="s">
        <v>4905</v>
      </c>
      <c r="B1235">
        <f>IF(B1197=1,B3078,B1379)</f>
        <v>0</v>
      </c>
    </row>
    <row r="1236" spans="1:2" ht="13.5" x14ac:dyDescent="0.2">
      <c r="A1236" s="2841" t="s">
        <v>4695</v>
      </c>
      <c r="B1236">
        <f>IF(B1378=1,B392,B393)</f>
        <v>2</v>
      </c>
    </row>
    <row r="1237" spans="1:2" ht="13.5" x14ac:dyDescent="0.2">
      <c r="A1237" s="2841" t="s">
        <v>4904</v>
      </c>
      <c r="B1237" t="e">
        <f>B1196+(0.073*B326+0.004*B1195-1.49)</f>
        <v>#VALUE!</v>
      </c>
    </row>
    <row r="1238" spans="1:2" ht="13.5" x14ac:dyDescent="0.2">
      <c r="A1238" s="2841" t="s">
        <v>5294</v>
      </c>
      <c r="B1238" t="e">
        <f>IF(B1197=1,B760/(B3078*12),B760/(B1235*12))</f>
        <v>#VALUE!</v>
      </c>
    </row>
    <row r="1239" spans="1:2" ht="13.5" x14ac:dyDescent="0.2">
      <c r="A1239" s="2841" t="s">
        <v>5295</v>
      </c>
      <c r="B1239" t="e">
        <f>B1243*B1247</f>
        <v>#VALUE!</v>
      </c>
    </row>
    <row r="1240" spans="1:2" ht="13.5" x14ac:dyDescent="0.2">
      <c r="A1240" s="2841" t="s">
        <v>5296</v>
      </c>
      <c r="B1240" t="e">
        <f>B1244*B1248</f>
        <v>#VALUE!</v>
      </c>
    </row>
    <row r="1241" spans="1:2" ht="13.5" x14ac:dyDescent="0.2">
      <c r="A1241" s="2841" t="s">
        <v>5297</v>
      </c>
      <c r="B1241" t="e">
        <f>B1245*B1249</f>
        <v>#VALUE!</v>
      </c>
    </row>
    <row r="1242" spans="1:2" ht="13.5" x14ac:dyDescent="0.2">
      <c r="A1242" s="2841" t="s">
        <v>5298</v>
      </c>
      <c r="B1242" t="e">
        <f>B1246*B1250</f>
        <v>#VALUE!</v>
      </c>
    </row>
    <row r="1243" spans="1:2" ht="13.5" x14ac:dyDescent="0.2">
      <c r="A1243" s="2841" t="s">
        <v>4906</v>
      </c>
      <c r="B1243" t="e">
        <f>INDEX($B$2403:$B$2514,(B480-1)*4+1)*(IF(B480&lt;19,1,B1233))</f>
        <v>#VALUE!</v>
      </c>
    </row>
    <row r="1244" spans="1:2" ht="13.5" x14ac:dyDescent="0.2">
      <c r="A1244" s="2841" t="s">
        <v>4907</v>
      </c>
      <c r="B1244" t="e">
        <f>INDEX($B$2403:$B$2514,(B480-1)*4+2)</f>
        <v>#VALUE!</v>
      </c>
    </row>
    <row r="1245" spans="1:2" ht="13.5" x14ac:dyDescent="0.2">
      <c r="A1245" s="2841" t="s">
        <v>4908</v>
      </c>
      <c r="B1245" t="e">
        <f>INDEX($B$2403:$B$2514,(B480-1)*4+3)</f>
        <v>#VALUE!</v>
      </c>
    </row>
    <row r="1246" spans="1:2" ht="13.5" x14ac:dyDescent="0.2">
      <c r="A1246" s="2841" t="s">
        <v>4909</v>
      </c>
      <c r="B1246" t="e">
        <f>INDEX($B$2403:$B$2514,(B480-1)*4+4)</f>
        <v>#VALUE!</v>
      </c>
    </row>
    <row r="1247" spans="1:2" ht="13.5" x14ac:dyDescent="0.2">
      <c r="A1247" s="2841" t="s">
        <v>4910</v>
      </c>
      <c r="B1247" t="e">
        <f>INDEX(B2053:B2164,(B480-1)*4+1)*1.17</f>
        <v>#VALUE!</v>
      </c>
    </row>
    <row r="1248" spans="1:2" ht="13.5" x14ac:dyDescent="0.2">
      <c r="A1248" s="2841" t="s">
        <v>4911</v>
      </c>
      <c r="B1248" t="e">
        <f>INDEX(B2053:B2164,(B480-1)*4+2)*1.17</f>
        <v>#VALUE!</v>
      </c>
    </row>
    <row r="1249" spans="1:2" ht="13.5" x14ac:dyDescent="0.2">
      <c r="A1249" s="2841" t="s">
        <v>4912</v>
      </c>
      <c r="B1249" t="e">
        <f>INDEX(B2053:B2164,(B480-1)*4+3)*1.17</f>
        <v>#VALUE!</v>
      </c>
    </row>
    <row r="1250" spans="1:2" ht="13.5" x14ac:dyDescent="0.2">
      <c r="A1250" s="2841" t="s">
        <v>4913</v>
      </c>
      <c r="B1250" t="e">
        <f>INDEX(B2053:B2164,(B480-1)*4+4)*1.17</f>
        <v>#VALUE!</v>
      </c>
    </row>
    <row r="1251" spans="1:2" ht="13.5" x14ac:dyDescent="0.2">
      <c r="A1251" s="2841" t="s">
        <v>4730</v>
      </c>
      <c r="B1251">
        <f>IF(B1191=0,0,B1234*B760)</f>
        <v>0</v>
      </c>
    </row>
    <row r="1252" spans="1:2" ht="13.5" x14ac:dyDescent="0.2">
      <c r="A1252" s="2842" t="s">
        <v>4731</v>
      </c>
      <c r="B1252">
        <f>IF(B1191=0,0,B1234*$B$636)</f>
        <v>0</v>
      </c>
    </row>
    <row r="1253" spans="1:2" ht="13.5" x14ac:dyDescent="0.2">
      <c r="A1253" s="2841" t="s">
        <v>4750</v>
      </c>
      <c r="B1253" t="e">
        <f>IF(B480&gt;22,0,IF(B484=1,B1231*B760,B760*B1458))</f>
        <v>#VALUE!</v>
      </c>
    </row>
    <row r="1254" spans="1:2" ht="13.5" x14ac:dyDescent="0.2">
      <c r="A1254" s="2842" t="s">
        <v>4751</v>
      </c>
      <c r="B1254" t="e">
        <f>IF(B480&gt;22,0,IF(B484=1,B1231*B1192,B1192*B1458))</f>
        <v>#VALUE!</v>
      </c>
    </row>
    <row r="1255" spans="1:2" ht="13.5" x14ac:dyDescent="0.2">
      <c r="A1255" s="2841" t="s">
        <v>4752</v>
      </c>
      <c r="B1255" t="e">
        <f>B1239*B482*B1192^2/(2*B3078*12)</f>
        <v>#VALUE!</v>
      </c>
    </row>
    <row r="1256" spans="1:2" ht="13.5" x14ac:dyDescent="0.2">
      <c r="A1256" s="2842" t="s">
        <v>4753</v>
      </c>
      <c r="B1256" t="e">
        <f>(B1239*B482*B1192^2/(2*B3078*12))*(((B1195/600)^-0.74)/((B1194/600)^-0.74))</f>
        <v>#VALUE!</v>
      </c>
    </row>
    <row r="1257" spans="1:2" ht="13.5" x14ac:dyDescent="0.2">
      <c r="A1257" s="2841" t="s">
        <v>3507</v>
      </c>
      <c r="B1257" t="e">
        <f>B1240*B483*B760</f>
        <v>#VALUE!</v>
      </c>
    </row>
    <row r="1258" spans="1:2" ht="13.5" x14ac:dyDescent="0.2">
      <c r="A1258" s="2842" t="s">
        <v>3508</v>
      </c>
      <c r="B1258" t="e">
        <f>B1240*B483*$B$636*(((B1195/600)^-0.74)/((B1194/600)^-0.74))</f>
        <v>#VALUE!</v>
      </c>
    </row>
    <row r="1259" spans="1:2" ht="13.5" x14ac:dyDescent="0.2">
      <c r="A1259" s="2841" t="s">
        <v>4754</v>
      </c>
      <c r="B1259" t="e">
        <f>B1241*B484*B760</f>
        <v>#VALUE!</v>
      </c>
    </row>
    <row r="1260" spans="1:2" ht="13.5" x14ac:dyDescent="0.2">
      <c r="A1260" s="2842" t="s">
        <v>4755</v>
      </c>
      <c r="B1260" t="e">
        <f>B1241*B484*$B$636*(((B1195/600)^-0.74)/((B1194/600)^-0.74))</f>
        <v>#VALUE!</v>
      </c>
    </row>
    <row r="1261" spans="1:2" ht="13.5" x14ac:dyDescent="0.2">
      <c r="A1261" s="2841" t="s">
        <v>4756</v>
      </c>
      <c r="B1261" t="e">
        <f>B1242*B485*B760^2/(2*B3078*12)</f>
        <v>#VALUE!</v>
      </c>
    </row>
    <row r="1262" spans="1:2" ht="14.25" thickBot="1" x14ac:dyDescent="0.25">
      <c r="A1262" s="2842" t="s">
        <v>4757</v>
      </c>
      <c r="B1262" t="e">
        <f>B1242*B485*$B$636^2/(2*B3078*12)</f>
        <v>#VALUE!</v>
      </c>
    </row>
    <row r="1263" spans="1:2" x14ac:dyDescent="0.2">
      <c r="A1263" s="2813" t="s">
        <v>3577</v>
      </c>
      <c r="B1263" t="e">
        <f>IF(B1190=0,0,B1255+B1257+B1259+B1261)</f>
        <v>#VALUE!</v>
      </c>
    </row>
    <row r="1264" spans="1:2" x14ac:dyDescent="0.2">
      <c r="A1264" s="2814" t="s">
        <v>3578</v>
      </c>
      <c r="B1264" t="e">
        <f>IF(B1190=0,0,B1256+B1258+B1260+B1262)</f>
        <v>#VALUE!</v>
      </c>
    </row>
    <row r="1265" spans="1:2" x14ac:dyDescent="0.2">
      <c r="A1265" s="2815" t="s">
        <v>3579</v>
      </c>
      <c r="B1265">
        <f>IF(B1191=0,0,B1251)</f>
        <v>0</v>
      </c>
    </row>
    <row r="1266" spans="1:2" x14ac:dyDescent="0.2">
      <c r="A1266" s="2816" t="s">
        <v>3580</v>
      </c>
      <c r="B1266">
        <f>IF(B1191=0,0,B1252)</f>
        <v>0</v>
      </c>
    </row>
    <row r="1267" spans="1:2" x14ac:dyDescent="0.2">
      <c r="A1267" s="2815" t="s">
        <v>3581</v>
      </c>
      <c r="B1267">
        <f>IF(B1191=0,0,B1253)</f>
        <v>0</v>
      </c>
    </row>
    <row r="1268" spans="1:2" ht="13.5" thickBot="1" x14ac:dyDescent="0.25">
      <c r="A1268" s="2817" t="s">
        <v>3582</v>
      </c>
      <c r="B1268">
        <f>IF(B1191=0,0,B1254)</f>
        <v>0</v>
      </c>
    </row>
    <row r="1269" spans="1:2" x14ac:dyDescent="0.2">
      <c r="A1269" s="2818" t="s">
        <v>3509</v>
      </c>
      <c r="B1269" t="e">
        <f>B1190*(B1261+B1259+B1257+B1255)/B817</f>
        <v>#VALUE!</v>
      </c>
    </row>
    <row r="1270" spans="1:2" x14ac:dyDescent="0.2">
      <c r="A1270" s="2819" t="s">
        <v>3510</v>
      </c>
      <c r="B1270" t="e">
        <f>(B1262+B1260+B1258+B1256)/B816</f>
        <v>#VALUE!</v>
      </c>
    </row>
    <row r="1438" spans="1:2" ht="18.75" x14ac:dyDescent="0.3">
      <c r="A1438" s="2843" t="s">
        <v>5187</v>
      </c>
    </row>
    <row r="1439" spans="1:2" x14ac:dyDescent="0.2">
      <c r="A1439" s="2844" t="s">
        <v>5188</v>
      </c>
      <c r="B1439" s="213" t="e">
        <f>B2609</f>
        <v>#VALUE!</v>
      </c>
    </row>
    <row r="1440" spans="1:2" x14ac:dyDescent="0.2">
      <c r="A1440" s="2801"/>
      <c r="B1440" s="213"/>
    </row>
    <row r="1441" spans="1:2" ht="15.75" x14ac:dyDescent="0.25">
      <c r="A1441" s="2793" t="s">
        <v>3511</v>
      </c>
      <c r="B1441" s="213" t="e">
        <f>(IF(B643=1,(31.91*(B1439/600)^-0.62*B1443),(IF(B643=2,(33.06*(B1439/600)^-0.56*B1444),(IF(B643=3,(39.85*(B1439/600)^-0.76*B1445),(39.61*(B1439/600)^-0.76*B1446)))))))</f>
        <v>#VALUE!</v>
      </c>
    </row>
    <row r="1442" spans="1:2" ht="31.5" x14ac:dyDescent="0.25">
      <c r="A1442" s="2793" t="s">
        <v>5189</v>
      </c>
      <c r="B1442" s="213"/>
    </row>
    <row r="1443" spans="1:2" ht="13.5" x14ac:dyDescent="0.25">
      <c r="A1443" s="2845" t="s">
        <v>5190</v>
      </c>
      <c r="B1443" s="213" t="e">
        <f>(-0.14*(B642/180)^3+0.64*(B642/180)^2-0.89*(B642/180)+1.39)*(B584/1.2)^-0.26*(-0.009*((B652+B655)/8)+1.009)*(0.14*(B418/4)+0.86)*(0.666*(B387/90)+0.334)*(0.13*(B376/440)+0.87)*(0.126*(B404/0.45)+0.874)*(0.082*(B587/800)+0.918)*(0.063*(B388/1.17)+0.937)*(IF(B592=0,1,(IF(B738=1,1.02,(IF(B738=2,1.03,1.05))))))*(IF(B601=1,1,(IF(B601=2,0.97,(IF(B601=3,0.974,0.975))))))*(IF(B317=1,1,1.05))*(IF(B318=1,1,1.097))*1.17</f>
        <v>#VALUE!</v>
      </c>
    </row>
    <row r="1444" spans="1:2" ht="13.5" x14ac:dyDescent="0.25">
      <c r="A1444" s="2846" t="s">
        <v>5191</v>
      </c>
      <c r="B1444" s="213" t="e">
        <f>(-0.2*(B642/180)^3+0.88*(B642/180)^2-1.275*(B642/180)+1.59)*(B584/1.2)^-0.2715*(0.06*((B652+B655)/8)+0.94)*(0.19*(B419/3.6)+0.81)*(0.55*(B387/90)+0.45)*(0.18*(B376/600)+0.82)*(0.19*(B404/0.45)+0.81)*(0.06*(B587/800)+0.94)*(0.04*(B388/1.17)+0.96)*(IF(B592=0,1,(IF(B738=1,1.014,(IF(B738=2,1.048,1.068))))))*(IF(B601=1,"не подходит по обрушаемости кровли",(IF(B601=2,0.97,(IF(B601=3,0.974,0.975))))))*(IF(B317=1,1,1))*(IF(B318=1,1,1.092))*1.17</f>
        <v>#VALUE!</v>
      </c>
    </row>
    <row r="1445" spans="1:2" ht="13.5" x14ac:dyDescent="0.25">
      <c r="A1445" s="2846" t="s">
        <v>5192</v>
      </c>
      <c r="B1445" s="213" t="e">
        <f>(0.1511*(B642/180)^2-0.0652*(B642/180)+0.917)*(0.14*(B584/1.2)^2-0.08*(B584/1.2)+0.94)*(0.06*((B652+B655)/8)+0.94)*(0.47*(B420/20)+0.53)*(0.29*(B387/90)+0.71)*(0.18*(B376/440)+0.82)*(0.177*(B404/0.45)+0.823)*(0.07*(B587/800)^3-0.19*(B587/800)^2+0.21*(B587/800)+0.91)*(0.26*(B388/1.17)+0.74)*(IF(B592=0,1,(IF(B738=1,1.006,(IF(B738=2,1.04,1.05))))))*(IF(B601=1,"не подходит по обрушаемости кровли",(IF(B601=2,0.99,(IF(B601=3,0.99,0.99))))))*(IF(B318=1,1,1.01))*1.17*(IF(B290=1,1,1.01))</f>
        <v>#VALUE!</v>
      </c>
    </row>
    <row r="1446" spans="1:2" ht="13.5" x14ac:dyDescent="0.25">
      <c r="A1446" s="2845" t="s">
        <v>5193</v>
      </c>
      <c r="B1446" s="213" t="e">
        <f>(0.14*(B642/180)^2-0.08*(B642/180)+0.94)*(0.17*(B584/1.2)^2-0.14*(B584/1.2)+0.97)*(0.06*((B652+B655)/8)+0.94)*(0.42*(B421/18)+0.58)*(0.42*(B387/90)+0.58)*(0.032*(B376/440)+0.968)*(0.1*(B404/0.45)+0.9)*(0.02*(B587/800)+0.98)*(0.032*(B388/1.17)+0.968)*(IF(B592=0,1,(IF(B738=1,1.01,(IF(B738=2,1.04,1.05))))))*(IF(B601=1,"не подходит по обрушаемости кровли",(IF(B601=2,0.99,(IF(B601=3,0.99,0.99))))))*(IF(B318=1,1,1.009))*1.17*(IF(B290=1,1,1.01))</f>
        <v>#VALUE!</v>
      </c>
    </row>
    <row r="1447" spans="1:2" x14ac:dyDescent="0.2">
      <c r="A1447" s="2847"/>
    </row>
    <row r="1450" spans="1:2" ht="15.75" x14ac:dyDescent="0.25">
      <c r="A1450" s="2848" t="s">
        <v>5194</v>
      </c>
    </row>
    <row r="1451" spans="1:2" ht="18.75" x14ac:dyDescent="0.3">
      <c r="A1451" s="2774" t="s">
        <v>5195</v>
      </c>
    </row>
    <row r="1452" spans="1:2" x14ac:dyDescent="0.2">
      <c r="A1452" s="2849" t="s">
        <v>499</v>
      </c>
      <c r="B1452" s="213" t="e">
        <f>IF(B334=1,1.84,1.17)*(0.16*B387/90+0.84)*(0.75*B399/15+0.25)*(0.55*(B584/1.2)^2+0.47*B584/1.2-0.02)*1836.75</f>
        <v>#VALUE!</v>
      </c>
    </row>
    <row r="1453" spans="1:2" x14ac:dyDescent="0.2">
      <c r="A1453" s="2849" t="s">
        <v>5196</v>
      </c>
      <c r="B1453" s="213" t="e">
        <f>IF(B334=1,1.84,1.17)*(0.16*B387/90+0.84)*(0.76*B398/30+0.24)*(0.9*B584/1.2+0.1)*1100.85</f>
        <v>#VALUE!</v>
      </c>
    </row>
    <row r="1454" spans="1:2" x14ac:dyDescent="0.2">
      <c r="A1454" s="2849" t="s">
        <v>5197</v>
      </c>
      <c r="B1454" s="213" t="e">
        <f>IF(B334=1,1.84,1.17)*B756*(0.49*B387/90+0.51)*(0.51*B397/300+0.49)*(0.05*(B584/1.2)^2+0.12*B584/1.2+0.83)*59.91</f>
        <v>#VALUE!</v>
      </c>
    </row>
    <row r="1455" spans="1:2" x14ac:dyDescent="0.2">
      <c r="A1455" s="2849" t="s">
        <v>5198</v>
      </c>
      <c r="B1455" s="213" t="e">
        <f>IF(B334=1,1.84,1.17)*B382*(0.43*B387/90+0.57)*(0.57*B397/300+0.43)*(0.27*B584/1.2+0.73)*53.85</f>
        <v>#VALUE!</v>
      </c>
    </row>
    <row r="1456" spans="1:2" x14ac:dyDescent="0.2">
      <c r="A1456" s="2849" t="s">
        <v>4660</v>
      </c>
      <c r="B1456" s="213" t="e">
        <f>IF(B334=1,1.84,1.17)*B382*(0.13*(B381/1.5)^2-0.03*B381/1.5+0.9)*(0.14*B387/90+0.86)*(0.64*B397/300+0.36)*(0.33*(B584/1.2)^2+0.5*B584/1.2+0.17)*114.42</f>
        <v>#VALUE!</v>
      </c>
    </row>
    <row r="1457" spans="1:3" x14ac:dyDescent="0.2">
      <c r="A1457" s="2849" t="s">
        <v>4659</v>
      </c>
      <c r="B1457" s="213" t="e">
        <f>IF(B334=1,1.84,1.17)*(0.92*B381/1.5+0.08)*(0.12*B387/90+0.88)*(0.88*B397/300+0.12)*(0.98*B584/1.2+0.02)*482.55</f>
        <v>#VALUE!</v>
      </c>
    </row>
    <row r="1458" spans="1:3" x14ac:dyDescent="0.2">
      <c r="A1458" s="2850" t="s">
        <v>4658</v>
      </c>
      <c r="B1458" s="213" t="e">
        <f>IF(B334=1,1.84,1.17)*89.94*B382*(0.21/B381+0.86)*(0.2*B387/90+0.8)*(0.82*B397/300+0.18)*B584^1.33</f>
        <v>#VALUE!</v>
      </c>
    </row>
    <row r="1459" spans="1:3" x14ac:dyDescent="0.2">
      <c r="A1459" s="2850" t="s">
        <v>5199</v>
      </c>
      <c r="B1459" s="213" t="e">
        <f>IF(B334=2,1.17,1.84)*(0.13*(B3078/80)^2-0.41*B3078/80+1.28)*(0.07*B758/200000+0.93)*(0.072*(B587/800)^2-0.036*B587/800+0.96)*(0.88*B387/90+0.12)*(0.67*(B584/1.2)^2-0.13*B584/1.2+0.46)*609.4</f>
        <v>#VALUE!</v>
      </c>
    </row>
    <row r="1460" spans="1:3" x14ac:dyDescent="0.2">
      <c r="A1460" s="2850" t="s">
        <v>5200</v>
      </c>
      <c r="B1460" s="213" t="e">
        <f>IF(B334=1,1.17,1.84)*(1.32-0.32*B380/2.5)*(0.35*B397/300+0.65)*(0.27*B587/800+0.73)*(0.59*B387/90+0.41)*IF(B379=1,1,1.39)*IF(B378=1,0.89,1)*EXP(2.1*B584/1.2)*80.15</f>
        <v>#VALUE!</v>
      </c>
    </row>
    <row r="1461" spans="1:3" x14ac:dyDescent="0.2">
      <c r="A1461" s="2850" t="s">
        <v>5201</v>
      </c>
      <c r="B1461" s="213" t="e">
        <f>IF(B334=1,1.17,1.84)*1184*(0.52*(B584/1.2)^2-1.25*(B584/1.2)+1.73)*((0.8*B387/90)+0.82)*(0.07*(B758/200000)+0.93)*(0.13*(B3078/80)^2-0.41*(B3078/80)+1.28)*(0.1*(B397/300)+0.9)</f>
        <v>#VALUE!</v>
      </c>
    </row>
    <row r="1462" spans="1:3" x14ac:dyDescent="0.2">
      <c r="A1462" s="2838"/>
    </row>
    <row r="1463" spans="1:3" x14ac:dyDescent="0.2">
      <c r="A1463" s="2851"/>
    </row>
    <row r="1464" spans="1:3" x14ac:dyDescent="0.2">
      <c r="A1464" s="2851"/>
    </row>
    <row r="1465" spans="1:3" x14ac:dyDescent="0.2">
      <c r="B1465" t="s">
        <v>5202</v>
      </c>
    </row>
    <row r="1467" spans="1:3" x14ac:dyDescent="0.2">
      <c r="B1467" t="s">
        <v>5203</v>
      </c>
    </row>
    <row r="1468" spans="1:3" x14ac:dyDescent="0.2">
      <c r="A1468" t="s">
        <v>5204</v>
      </c>
    </row>
    <row r="1469" spans="1:3" x14ac:dyDescent="0.2">
      <c r="A1469" t="s">
        <v>5205</v>
      </c>
      <c r="C1469" t="s">
        <v>4566</v>
      </c>
    </row>
    <row r="1470" spans="1:3" x14ac:dyDescent="0.2">
      <c r="A1470">
        <v>1</v>
      </c>
      <c r="B1470" t="e">
        <f>(1.07*(B587/800)^-0.7)*(0.98*((B600+B$3071)/(100))^-1.12+0.02)*(0.6*(B$3073/90)+0.4)*(0.03/(B340/250)+0.97)*(0.61*(B326/27)+0.39)*IF(B747=1,0.99,1)*(0.61*(B403/3750)+0.39)*IF(B339=1,(0.066*(B397/220)+1.034),IF(B339=3,(0.09*(B396/20)+0.91),IF(B339=2,(0.36*(B395/385)+1.08))))*(0.11*(B584/1.2)+0.89)*(0.99/B572+0.01)*IF(B747=1,0.92,1.03)*((B831/600)^-0.74)*(0.96*(B830/12)+0.04)</f>
        <v>#VALUE!</v>
      </c>
      <c r="C1470">
        <v>1</v>
      </c>
    </row>
    <row r="1471" spans="1:3" x14ac:dyDescent="0.2">
      <c r="A1471">
        <v>2</v>
      </c>
      <c r="B1471" t="e">
        <f>(1.55*(B587/800)-0.4*(B587/800)^2-0.15)*(1-0.44*LN((B600+B$3071)/(100)))*(0.6*(B$3073/90)+0.4)*(0.1/(B340/250)+0.9)*(0.61*(B326/27)+0.39)*(0.4/B572+0.6)*IF(B747=1,0.92,1.03)*IF(B603=1,0.6,IF(B603=2,1.2,1))*(0.61*(B403/3750)+0.39)*IF(B339=1,(0.066*(B397/220)+1.034),IF(B339=3,(0.09*(B396/20)+0.91),IF(B339=2,(0.36*(B395/385)+1.08))))*(0.04*(B584/1.2)+0.96)*(0.97*(B830/12)+0.03)*((B831/600)^-0.74)</f>
        <v>#VALUE!</v>
      </c>
    </row>
    <row r="1472" spans="1:3" x14ac:dyDescent="0.2">
      <c r="A1472">
        <v>3</v>
      </c>
      <c r="B1472" t="e">
        <f>(0.07*(B587/800)+0.93)*(1-0.041*LN((B600+B$3071)/100))*(0.6*(B$3073/90)+0.4)*(0.1/(B340/250)+0.9)*(0.63*(B326/27)+0.07)*(1.02/B572-0.02)*IF(B747=1,0.95,1.02)*IF(B603=1,0.6,IF(B603=2,1.2,1))*(0.64*(B403/3750)+0.36)*IF(B339=1,(0.066*(B397/220)+1.034),IF(B339=3,(0.07*(B396/20)+0.93),IF(B339=2,(0.36*(B395/385)+1.08))))*(0.93*(B584/1.2)+0.07)*((B831/600)^-0.76)*IF(B848=2,1,IF(B848=1,1.49,IF(B848=3,1.98,IF(B848=7,5.91,IF(B848=10,1,3.95)))))</f>
        <v>#VALUE!</v>
      </c>
    </row>
    <row r="1473" spans="1:3" x14ac:dyDescent="0.2">
      <c r="A1473">
        <v>4</v>
      </c>
      <c r="B1473" t="e">
        <f>(0.07*(B587/800)+0.93)*(1-0.49*LN((B$3071/50)))*((0.86*(B$3073/90)+0.14))*(1/(B340/250))*IF(B747=1,(0.052*(B757/1020000)+0.26),1.25)*IF(B603=1,0.6,IF(B603=2,1.2,1))*(0.05*(B584/1.2)+0.95)*((0.9*(B830/12))+0.1)</f>
        <v>#VALUE!</v>
      </c>
    </row>
    <row r="1474" spans="1:3" x14ac:dyDescent="0.2">
      <c r="A1474">
        <v>1</v>
      </c>
      <c r="B1474" t="e">
        <f>(1.07*(B587/800)^-0.7)*(0.98*((B600+B$3071)/(100))^-1.12+0.02)*(0.6*(B$3073/90)+0.4)*(0.03/(B340/250)+0.97)*(0.61*(B326/27)+0.39)*(0.99/B572+0.01)*IF(B747=1,0.92,1.03)*(0.61*(B403/3750)+0.39)*IF(B339=1,(0.066*(B397/220)+1.034),IF(B339=3,(0.09*(B396/20)+0.91),IF(B339=2,(0.36*(B395/385)+1.08))))*(0.11*(B584/1.2)+0.89)*(0.96*(B830/12)+0.04)*((B831/600)^-0.74)</f>
        <v>#VALUE!</v>
      </c>
      <c r="C1474">
        <v>2</v>
      </c>
    </row>
    <row r="1475" spans="1:3" x14ac:dyDescent="0.2">
      <c r="A1475">
        <v>2</v>
      </c>
      <c r="B1475" t="e">
        <f>(1.55*(B587/800)-0.4*(B587/800)^2-0.15)*(1-0.44*LN((B600+B$3071)/(100)))*(0.6*(B$3073/90)+0.4)*(0.1/(B340/250)+0.9)*(0.61*(B326/27)+0.39)*(0.99/B572+0.01)*IF(B747=1,0.92,1.03)*IF(B603=1,0.6,IF(B603=2,1.2,1))*(0.61*(B403/3750)+0.39)*IF(B339=1,(0.066*(B397/220)+1.034),IF(B339=3,(0.09*(B396/20)+0.91),IF(B339=2,(0.36*(B395/385)+1.08))))*(0.04*(B584/1.2)+0.96)*((0.97*(B830/12))+0.03)*((B831/600)^-0.74)</f>
        <v>#VALUE!</v>
      </c>
    </row>
    <row r="1476" spans="1:3" x14ac:dyDescent="0.2">
      <c r="A1476">
        <v>3</v>
      </c>
      <c r="B1476" t="e">
        <f>(0.07*(B587/800)+0.93)*(1-0.041*LN((B600+B$3071)/100))*(0.6*(B$3073/90)+0.4)*(0.1/(B340/250)+0.9)*(0.63*(B326/27)+0.37)*(1.1/B572+0.1)*IF(B747=1,0.95,1.02)*IF(B603=1,0.6,IF(B603=2,1.2,1))*(0.64*(B403/3750)+0.36)*(0.93*(B584/1.2)+0.07)*IF(B339=1,(0.066*(B397/220)+1.034),IF(B339=3,(0.09*(B396/20)+0.91),IF(B339=2,(0.36*(B395/385)+1.09))))*((B831/600)^-0.82)*IF(B848=2,1,IF(B848=1,1.49,IF(B848=3,1.98,IF(B848=7,5.91,IF(B848=10,1,3.95)))))</f>
        <v>#VALUE!</v>
      </c>
    </row>
    <row r="1477" spans="1:3" x14ac:dyDescent="0.2">
      <c r="A1477">
        <v>4</v>
      </c>
      <c r="B1477" t="e">
        <f>(0.07*(B587/800)+0.93)*(1-0.52*LN((B$3071/50)))*(0.86*(B$3073/90)+0.14)*(1/(B340/250))*IF(B747=1,0.31,1.25)*IF(B603=1,0.6,IF(B603=2,1.2,1))*(0.05*(B584/1.2)+0.95)*((0.9*(B830/12))+0.1)</f>
        <v>#VALUE!</v>
      </c>
    </row>
    <row r="1478" spans="1:3" x14ac:dyDescent="0.2">
      <c r="A1478">
        <v>1</v>
      </c>
      <c r="B1478" t="e">
        <f>(1.07*(B587/800)^-0.7)*(0.98*((B600+B$3071)/(100))^-1.12+0.02)*(0.99/B572+0.01)*(0.03/(B340/250)+0.97)*(0.61*(B326/27)+0.39)*(0.4/(B572/1)+0.6)*IF(B747=1,0.92,1.03)*(0.61*(B403/3750)+0.39)*IF(B339=1,(0.066*(B397/220)+1.034),IF(B339=3,(0.09*(B396/20)+0.91),IF(B339=2,(0.36*(B395/385)+1.08))))*(0.11*(B584/1.2)+0.89)*(0.96*(B830/12)+0.04)*((B831/600)^-0.74)*(0.47*(B834/30)^2-2.07*(B834/30)+2.6)</f>
        <v>#VALUE!</v>
      </c>
      <c r="C1478">
        <v>3</v>
      </c>
    </row>
    <row r="1479" spans="1:3" x14ac:dyDescent="0.2">
      <c r="A1479">
        <v>2</v>
      </c>
      <c r="B1479" t="e">
        <f>(0.94*(B587/800)^2-0.52*(B587/800)+0.58)*(((B600+B$3071)/(100))^-0.75)*(0.6*(B$3073/90)+0.4)*(0.03/(B340/250)+0.97)*(0.61*(B326/27)+0.39)*(0.99/B572+0.01)*IF(B747=1,0.92,1.03)*IF(B603=1,0.6,IF(B603=2,1.2,1))*(0.69*(B403/3750)+0.31)*IF(B339=1,(0.066*(B397/220)+1.034),IF(B339=3,(0.09*(B396/20)+0.91),IF(B339=2,(0.36*(B395/385)+1.08))))*(0.04*(B584/1.2)+0.96)*((0.97*(B830/12))+0.03)*((B831/600)^-0.74)*(1-0.98*LN(B834/30))</f>
        <v>#VALUE!</v>
      </c>
    </row>
    <row r="1480" spans="1:3" x14ac:dyDescent="0.2">
      <c r="A1480">
        <v>3</v>
      </c>
      <c r="B1480" t="e">
        <f>(0.18*EXP(1.59*(B587/800)))*((B600+B$3071)/100)^-0.96*(0.6*(B$3073/90)+0.4)*1*(0.63*(B326/27)+0.37)*(1.1/B572+0.1)*IF(B747=1,0.99,1)*IF(B603=1,0.6,IF(B603=2,1.2,1))*(0.68*(B403/3750)+0.32)*IF(B339=1,1.01,IF(B339=3,(0.09*(B396/20)+0.91),IF(B339=2,(0.39*(B395/385)+1.1))))*(0.93*(B584/1.2)+0.07)*((B831/600)^-0.82)*(1-0.5*LN(B834/30))</f>
        <v>#VALUE!</v>
      </c>
    </row>
    <row r="1481" spans="1:3" x14ac:dyDescent="0.2">
      <c r="A1481">
        <v>4</v>
      </c>
      <c r="B1481" t="e">
        <f>(1.37*LN(B587/800)+1)*(1-0.88*LN((B$3071/50)))*(0.86*(B$3073/90)+0.14)*(0.05*(B326/27)+0.95)*(1/(B340/250))*IF(B747=1,(0.052*(B757/1020000)+0.26),1.25)*IF(B603=1,0.6,IF(B603=2,1.2,1))*(0.1*(B584/1.2)+0.9)*((1.01*(B830/12))-0.01)*(1.78-0.78*(B834/30))</f>
        <v>#VALUE!</v>
      </c>
    </row>
    <row r="1482" spans="1:3" x14ac:dyDescent="0.2">
      <c r="A1482">
        <v>1</v>
      </c>
      <c r="B1482" t="e">
        <f>(1.07*(B587/800)^-0.7)*(0.98*((B600+B$3071)/(100))^-1.12+0.02)*(0.6*(B$3073/90)+0.4)*(0.03/(B340/250)+0.97)*(0.61*(B326/27)+0.39)*(0.99/B572+0.01)*IF(B747=1,0.92,1.03)*(0.61*(B403/3750)+0.39)*IF(B339=1,(0.066*(B397/220)+1.034),IF(B339=3,(0.09*(B396/20)+0.91),IF(B339=2,(0.36*(B395/385)+1.08))))*(0.11*(B584/1.2)+0.89)*(0.96*(B830/12)+0.04)*((B831/600)^-0.74)</f>
        <v>#VALUE!</v>
      </c>
      <c r="C1482">
        <v>4</v>
      </c>
    </row>
    <row r="1483" spans="1:3" x14ac:dyDescent="0.2">
      <c r="A1483">
        <v>2</v>
      </c>
      <c r="B1483" t="e">
        <f>(1.55*(B587/800)-0.4*(B587/800)^2-0.15)*(1-0.44*LN((B600+B$3071)/(100)))*(0.6*(B$3073/90)+0.4)*(0.1/(B340/250)+0.9)*(0.61*(B326/27)+0.39)*(0.99/B572+0.01)*IF(B747=1,0.92,1.03)*IF(B603=1,0.6,IF(B603=2,1.2,1))*(0.61*(B403/3750)+0.39)*IF(B339=1,(0.066*(B397/220)+1.034),IF(B339=3,(0.09*(B396/20)+0.91),IF(B339=2,(0.36*(B395/385)+1.08))))*(0.04*(B584/1.2)+0.96)*(0.97*(B830/12)+0.03)*((B831/600)^-0.74)</f>
        <v>#VALUE!</v>
      </c>
    </row>
    <row r="1484" spans="1:3" x14ac:dyDescent="0.2">
      <c r="A1484">
        <v>3</v>
      </c>
      <c r="B1484" t="e">
        <f>(0.07*(B587/800)+0.93)*(1-0.041*LN((B600+B$3071)/100))*(0.6*(B$3073/90)+0.4)*(0.1/(B340/250)+0.9)*(0.63*(B326/27)+0.37)*(1.02/B572+0.02)*IF(B747=1,0.95,1.02)*IF(B603=1,0.6,IF(B603=2,1.2,1))*(0.64*(B403/3750)+0.36)*IF(B339=1,(0.066*(B397/220)+1.034),IF(B339=3,(0.09*(B396/20)+0.91),IF(B339=2,(0.36*(B395/385)+1.08))))*(0.93*(B584/1.2)+0.07)*((B831/600)^-0.82)*IF(B848=2,1,IF(B848=1,1.49,IF(B848=3,1.98,IF(B848=7,5.91,IF(B848=10,3.16,3.95)))))</f>
        <v>#VALUE!</v>
      </c>
    </row>
    <row r="1485" spans="1:3" x14ac:dyDescent="0.2">
      <c r="A1485">
        <v>4</v>
      </c>
      <c r="B1485" t="e">
        <f>(0.86*(B587/800)+0.14)*(1-0.52*LN((B$3071/50)))*(0.86*(B$3073/90)+0.14)*(1/(B340/250))*IF(B747=1,0.95,1.03)*IF(B603=1,0.6,IF(B603=2,1.2,1))*(0.05*(B584/1.2)+0.95)*((0.9*(B830/12))+0.1)</f>
        <v>#VALUE!</v>
      </c>
    </row>
    <row r="1486" spans="1:3" x14ac:dyDescent="0.2">
      <c r="A1486">
        <v>1</v>
      </c>
      <c r="B1486" t="e">
        <f>(2*(B587/800)^2 -1.94*(B587/800)+0.94)*(0.98*((B600+B$3071)/(100))^-1.12+0.02)*(0.6*(B$3073/90)+0.4)*(0.03/(B340/250)+0.97)*(0.61*(B326/27)+0.39)*(0.99/B572+0.01)*IF(B747=1,0.92,1.03)*IF(B603=1,0.36,IF(B603=2,1.42,1))*(0.61*(B403/3750)+0.39)*IF(B339=1,(0.066*(B397/220)+1.034),IF(B339=3,(0.09*(B396/20)+0.91),IF(B339=2,(0.36*(B395/385)+1.08))))*(0.11*(B584/1.2)+0.89)*(0.87*(B830/12)+0.13)*((B831/600)^-0.74)</f>
        <v>#VALUE!</v>
      </c>
      <c r="C1486">
        <v>5</v>
      </c>
    </row>
    <row r="1487" spans="1:3" x14ac:dyDescent="0.2">
      <c r="A1487">
        <v>2</v>
      </c>
      <c r="B1487" t="e">
        <f>(1.55*(B587/800)-0.4*(B587/800)^2-0.15)*(1-0.44*LN((B600+B$3071)/(100)))*(0.6*(B$3073/90)+0.4)*(0.1/(B340/250)+0.9)*(0.61*(B326/27)+0.39)*(0.99/B572+0.01)*IF(B747=1,0.92,1.03)*IF(B603=1,0.6,IF(B603=2,1.2,1))*(0.61*(B403/3750)+0.39)*IF(B339=1,(0.066*(B397/220)+1.034),IF(B339=3,(0.09*(B396/20)+0.91),IF(B339=2,(0.36*(B395/385)+1.08))))*(0.04*(B584/1.2)+0.96)*((0.97*(B830/12))+0.03)*((B831/600)^-0.74)</f>
        <v>#VALUE!</v>
      </c>
    </row>
    <row r="1488" spans="1:3" x14ac:dyDescent="0.2">
      <c r="A1488">
        <v>3</v>
      </c>
      <c r="B1488" t="e">
        <f>(0.07*(B587/800)+0.93)*(1-0.041*LN((B600+B$3071)/100))*(0.6*(B$3073/90)+0.4)*(0.1/(B340/250)+0.9)*(0.63*(B326/27)+0.37)*(1.02/B572+0.02)*IF(B747=1,0.95,1.02)*IF(B603=1,0.6,IF(B603=2,1.2,1))*(0.64*(B403/3750)+0.36)*IF(B339=1,(0.066*(B397/220)+1.034),IF(B339=3,(0.09*(B396/20)+0.91),IF(B339=2,(0.36*(B395/385)+1.08))))*(0.93*(B584/1.2)+0.07)*((B831/600)^-0.76)</f>
        <v>#VALUE!</v>
      </c>
    </row>
    <row r="1489" spans="1:3" x14ac:dyDescent="0.2">
      <c r="A1489">
        <v>4</v>
      </c>
      <c r="B1489" t="e">
        <f>(0.86*(B587/800)-0.14)*(1-0.52*LN((B$3071/50)))*(0.86*(B$3073/90)+0.14)*(1/(B340/250))*IF(B747=1,(0.052*(B757/1020000)+0.26),1.25)*IF(B603=1,0.6,IF(B603=2,1.2,1))*(0.05*(B584/1.2)+0.95)*((0.9*(B830/12))+0.1)</f>
        <v>#VALUE!</v>
      </c>
    </row>
    <row r="1490" spans="1:3" x14ac:dyDescent="0.2">
      <c r="A1490">
        <v>1</v>
      </c>
      <c r="B1490">
        <f>1</f>
        <v>1</v>
      </c>
      <c r="C1490">
        <v>6</v>
      </c>
    </row>
    <row r="1491" spans="1:3" x14ac:dyDescent="0.2">
      <c r="A1491">
        <v>2</v>
      </c>
      <c r="B1491">
        <f>1</f>
        <v>1</v>
      </c>
    </row>
    <row r="1492" spans="1:3" x14ac:dyDescent="0.2">
      <c r="A1492">
        <v>3</v>
      </c>
      <c r="B1492" t="e">
        <f>(0.45*(B587/800)+0.55)*(1-0.27*LN((B600+B$3071)/100))*(0.76*(B$3073/90)+0.24)*(0.66/(B340/250)+0.34)*(0.35*(B326/27)+0.65)*(0.56/B572+0.44)*IF(B747=1,0.66,1.12)*(0.35*(B403/3750)+0.65)*IF(B339=1,(0.035*(B397/220)+0.97),IF(B339=3,(0.09*(B396/20)+0.91),IF(B339=2,(0.2*(B395/385)+1.05))))*(1.04*(B584/1.2)-0.04)*(0.95*((B830/12))+0.05)*((B831/600)^-0.42)*IF(B848=2,1,IF(B848=1,1.49,IF(B848=3,1.98,IF(B848=7,5.91,IF(B848=10,1.43,3.95)))))</f>
        <v>#VALUE!</v>
      </c>
    </row>
    <row r="1493" spans="1:3" x14ac:dyDescent="0.2">
      <c r="A1493">
        <v>4</v>
      </c>
      <c r="B1493" t="e">
        <f>(0.86*(B587/800)+0.14)*(1-0.52*LN((B$3071)/100))*(0.86*(B$3073/90)+0.14)*(1/(B340/250))*IF(B747=1,(0.052*(B757/1020000)+0.26),1.25)*IF(B603=1,0.36,IF(B603=2,1.42,1))*(0.05*(B584/1.2)+0.95)*((0.9*(B830/12))+0.1)</f>
        <v>#VALUE!</v>
      </c>
    </row>
    <row r="1494" spans="1:3" x14ac:dyDescent="0.2">
      <c r="A1494">
        <v>1</v>
      </c>
      <c r="B1494" t="e">
        <f>(1.07*(B587/800)^1.98-0.07)*(0.98*((B600+B$3071)/(100))^-1.12+0.02)*(0.6*(B$3073/90)+0.4)*(0.03/(B340/250)+0.97)*(0.61*(B326/27)+0.39)*(0.99/B572+0.01)*IF(B747=1,0.92,1.03)*(0.61*(B403/3750)+0.39)*IF(B339=1,(0.066*(B397/220)+1.034),IF(B339=3,(0.09*(B396/20)+0.91),IF(B339=2,(0.36*(B395/385)+1.08))))*(0.11*(B584/1.2)+0.89)*(0.96*(B830/12)+0.04)*((B831/600)^-0.74)</f>
        <v>#VALUE!</v>
      </c>
      <c r="C1494">
        <v>7</v>
      </c>
    </row>
    <row r="1495" spans="1:3" x14ac:dyDescent="0.2">
      <c r="A1495">
        <v>2</v>
      </c>
      <c r="B1495" t="e">
        <f>(1.55*(B587/800)-0.4*(B587/800)^2-0.15)*(1-0.44*LN((B600+B$3071)/(100)))*(0.6*(B$3073/90)+0.4)*(0.1/(B340/250)+0.9)*(0.61*(B326/27)+0.39)*(0.99/B572+0.01)*IF(B747=1,0.92,1.03)*IF(B603=1,0.6,IF(B603=2,1.2,1))*(0.61*(B403/3750)+0.39)*IF(B339=1,(0.066*(B397/220)+1.034),IF(B339=3,(0.09*(B396/20)+0.91),IF(B339=2,(0.36*(B395/385)+1.08))))*(0.04*(B584/1.2)+0.96)*((0.97*(B830/12))+0.03)*((B831/600)^-0.74)</f>
        <v>#VALUE!</v>
      </c>
    </row>
    <row r="1496" spans="1:3" x14ac:dyDescent="0.2">
      <c r="A1496">
        <v>3</v>
      </c>
      <c r="B1496" t="e">
        <f>(0.07*(B587/800)+0.93)*(1-0.041*LN((B600+B$3071)/100))*(0.6*(B$3073/90)+0.4)*(0.1/(B340/250)+0.9)*(0.63*(B326/27)+0.37)*(1.02/B572-0.02)*IF(B747=1,0.99,1)*IF(B603=1,0.6,IF(B603=2,1.2,1))*(0.64*(B403/3750)+0.36)*IF(B339=1,(0.066*(B397/220)+1.034),IF(B339=3,(0.09*(B396/20)+0.91),IF(B339=2,(0.36*(B395/385)+1.08))))*(0.93*(B584/1.2)+0.07)*IF(B747=1,0.95,1.02)*((B831/600)^-0.74)*IF(B848=2,1,IF(B848=1,1.49,IF(B848=3,1.98,IF(B848=7,5.91,IF(B848=10,1,3.95)))))</f>
        <v>#VALUE!</v>
      </c>
    </row>
    <row r="1497" spans="1:3" x14ac:dyDescent="0.2">
      <c r="A1497">
        <v>4</v>
      </c>
      <c r="B1497" t="e">
        <f>(0.86*(B587/800)+0.15)*(1-0.52*LN((B$3071/50)))*(0.86*(B$3073/90)+0.14)*(1/(B340/250))*IF(B603=1,0.6,IF(B603=2,1.2,1))*(0.05*(B584/1.2)+0.95)*IF(B747=1,(0.052*(B757/1020000)+0.26),1.25)*((0.9*(B830/12))+0.1)</f>
        <v>#VALUE!</v>
      </c>
    </row>
    <row r="1498" spans="1:3" x14ac:dyDescent="0.2">
      <c r="A1498">
        <v>1</v>
      </c>
      <c r="B1498" t="e">
        <f>(1.38*LN(B587/800)+1)*(1-0.88*LN((B600+B$3071)/100))*(0.86*(B$3073/90)+0.14)*(1/(B340/250))*IF(B747=1,0.052*(B757/1020000)+0.26,1.25)*IF(B603=1,0.6,IF(B603=2,1.2,1))*(0.09*(B584/1.2)+0.91)*(0.9*(B830/12)+0.1)*((B831/600)^-0.74)*(1.79-0.79*(B834/30))</f>
        <v>#VALUE!</v>
      </c>
      <c r="C1498">
        <v>8</v>
      </c>
    </row>
    <row r="1499" spans="1:3" x14ac:dyDescent="0.2">
      <c r="A1499">
        <v>2</v>
      </c>
      <c r="B1499" t="e">
        <f>(0.94*((B587/800)^2-0.52*(B587/800)+0.58))*(((B600+B$3071)/(100))^-0.75)*(0.6*(B$3073/90)+0.4)*(0.03/(B340/250)+0.97)*(0.61*(B326/27)+0.39)*(0.99/B572+0.01)*IF(B747=1,0.92,1.03)*IF(B603=1,0.6,IF(B603=2,1.2,1))*(0.61*(B403/3750)+0.39)*IF(B339=1,(0.066*(B397/220)+1.034),IF(B339=3,(0.09*(B396/20)+0.91),IF(B339=2,(0.36*(B395/385)+1.08))))*(0.07*(B584/1.2)+0.93)*((0.97*(B830/12))+0.03)*((B831/600)^-0.74)*(1-1.14*LN(B834/30))</f>
        <v>#VALUE!</v>
      </c>
    </row>
    <row r="1500" spans="1:3" x14ac:dyDescent="0.2">
      <c r="A1500">
        <v>3</v>
      </c>
      <c r="B1500" t="e">
        <f>(0.07*(B587/800)+0.93)*(((B600+B$3071)/100)^-0.05)*(0.6*(B$3073/90)+0.4)*(0.1/(B340/250)+0.9)*(0.65*(B326/27)+0.35)*(1.05/B572-0.05)*IF(B747=1,0.96,1.01)*IF(B603=1,0.6,IF(B603=2,1.2,1))*(0.65*(B403/3750)+0.35)*IF(B339=1,(0.063*(B397/220)+0.94),IF(B339=3,(0.09*(B396/20)+0.91),IF(B339=2,(0.39*(B395/385)+1.1))))*(0.95*(B584/1.2)+0.05)*((B831/600)^-0.78)*(1.044-0.044*(B834/30))*IF(B848=2,1,IF(B848=1,1.49,IF(B848=3,1.98,IF(B848=7,5.91,IF(B848=10,1,3.95)))))</f>
        <v>#VALUE!</v>
      </c>
    </row>
    <row r="1501" spans="1:3" x14ac:dyDescent="0.2">
      <c r="A1501">
        <v>4</v>
      </c>
      <c r="B1501" t="e">
        <f>(1.37*LN(B587/800)+1)*(1-0.88*LN(B$3071/50))*1*(1/(B340/250))*IF(B747=1,0.052*(B757/1020000)+0.26,1.25)*IF(B603=1,0.6,IF(B603=2,1.2,1))*(0.1*(B584/1.2)+0.9)*((0.9*(B830/12))+0.1)*(1.78-0.78*(B834/30))</f>
        <v>#VALUE!</v>
      </c>
    </row>
    <row r="1502" spans="1:3" x14ac:dyDescent="0.2">
      <c r="A1502">
        <v>1</v>
      </c>
      <c r="B1502" t="e">
        <f>(0.79*(B587/800)+0.21)*(1-0.48*LN((B600+B$3071)/100))*(0.6*(B$3073/90)+0.4)*(0.1/(B340/250)+0.9)*(0.61*(B326/27)+0.39)*(0.99/B572+0.01)*IF(B747=1,0.92,1.03)*IF(B339=1,(0.066*(B397/220)+1.034),IF(B339=3,(0.09*(B396/20)+0.91),IF(B339=2,(0.36*(B395/385)+1.08))))*(0.05*(B584/1.2)+0.95)*(0.61*(B403/3750)+0.39)*((0.97*(B830/12))+0.03)*((B831/600)^-0.74)</f>
        <v>#VALUE!</v>
      </c>
      <c r="C1502">
        <v>9</v>
      </c>
    </row>
    <row r="1503" spans="1:3" x14ac:dyDescent="0.2">
      <c r="A1503">
        <v>2</v>
      </c>
      <c r="B1503" t="e">
        <f>(0.93*(B587/800)+0.07)*(1-0.561*LN((B600+B$3071)/100))*(0.6*(B$3073/90)+0.4)*(0.07/(B340/250)+0.93)*(0.61*(B326/27)+0.39)*(0.99/B572+0.01)*IF(B747=1,0.92,1.03)*IF(B603=1,0.6,IF(B603=2,1.2,1))*(0.61*(B403/3750)+0.39)*IF(B339=1,(0.066*(B397/220)+1.034),IF(B339=3,(0.09*(B396/20)+0.91),IF(B339=2,(0.36*(B395/385)+1.08))))*(0.06*(B584/1.2)+0.94)*(IF(B835=2,1.43,1))*(0.97*(B830/12)+0.03)*((B831/600)^-0.82)</f>
        <v>#VALUE!</v>
      </c>
    </row>
    <row r="1504" spans="1:3" x14ac:dyDescent="0.2">
      <c r="A1504">
        <v>3</v>
      </c>
      <c r="B1504" t="e">
        <f>(0.07*(B587/800)+0.93)*(1-0.04*LN((B600+B$3071)/100))*1*1*1*1*1*(0.93*(B584/1.2)+0.07)*(0.63*(B326/27)+0.37)*(0.64*(B403/3750)+0.36)*IF(B339=1,(0.066*(B397/220)+1.034),IF(B339=3,(0.09*(B396/20)+0.91),IF(B339=2,(0.36*(B395/385)+1.09))))*IF(B603=1,0.6,IF(B603=2,1.2,1))*IF(B747=1,0.95,1.02)*(1.02/B572-0.02)*IF(B848=2,1,IF(B848=1,1.49,IF(B848=3,1.98,IF(B848=7,5.91,IF(B848=10,1,3.95)))))*((B831/600)^-0.76)</f>
        <v>#VALUE!</v>
      </c>
    </row>
    <row r="1505" spans="1:3" x14ac:dyDescent="0.2">
      <c r="A1505">
        <v>4</v>
      </c>
      <c r="B1505" t="e">
        <f>(0.79*(B587/800)+0.21)*(1-0.48*LN(B$3071/50))*1*1*1*(0.05*(B584/1.2)+0.95)*IF(B603=1,0.6,IF(B603=2,1.2,1))*IF(B747=1,0.052*(B757/1020000)+0.26,1.25)*((0.9*(B830/12))+0.1)</f>
        <v>#VALUE!</v>
      </c>
    </row>
    <row r="1506" spans="1:3" x14ac:dyDescent="0.2">
      <c r="A1506">
        <v>1</v>
      </c>
      <c r="B1506" t="e">
        <f>(1.38*LN(B587/800)+1)*(1-0.88*LN((B600+B$3071)/100))*(0.86*(B$3073/90)+0.14)*(1/(B340/250))*IF(B747=1,0.052*(B757/1020000)+0.26,1.25)*IF(B603=1,0.6,IF(B603=2,1.2,1))*(0.09*(B584/1.2)+0.91)*((0.9*(B830/12))+0.1)*(1.79-0.79*LN(B834/30))</f>
        <v>#VALUE!</v>
      </c>
      <c r="C1506">
        <v>10</v>
      </c>
    </row>
    <row r="1507" spans="1:3" x14ac:dyDescent="0.2">
      <c r="A1507">
        <v>2</v>
      </c>
      <c r="B1507" t="e">
        <f>(0.94*(B587/800)^2-0.52*(B587/800)+0.58)*(((B600+B$3071)/(100))^-0.75)*(0.6*(B$3073/90)+0.4)*(0.03/(B340/250)+0.97)*(0.61*(B326/27)+0.39)*(0.99/B572+0.01)*IF(B747=1,0.92,1.03)*IF(B603=1,0.6,IF(B603=2,1.2,1))*(0.61*(B403/3750)+0.39)*IF(B339=1,(0.066*(B397/220)+1.034),IF(B339=3,(0.09*(B396/20)+0.91),IF(B339=2,(0.36*(B395/385)+1.08))))*(0.07*(B584/1.2)+0.93)*((0.97*(B830/12))+0.03)*((B831/600)^-0.74)*(1-1.14*LN(B834/30))</f>
        <v>#VALUE!</v>
      </c>
    </row>
    <row r="1508" spans="1:3" x14ac:dyDescent="0.2">
      <c r="A1508">
        <v>3</v>
      </c>
      <c r="B1508" t="e">
        <f>(0.078*LN(B587/800)+1)*(((B600+B$3071)/(100))^-0.05)*1*(0.6*(B$3073/90)+0.4)*(0.1/(B340/250)+0.9)*(0.65*(B326/27)+0.35)*(1.05/B572-0.05)*IF(B603=1,0.6,IF(B603=2,1.2,1))*(0.65*(B403/3750)+0.35)*IF(B339=1,(0.066*(B397/220)+1.034),IF(B339=3,(0.09*(B396/20)+0.91),IF(B339=2,(0.39*(B395/385)+1.1))))*(0.95*(B584/1.2)+0.05)*IF(B747=1,0.96,1.01)*((B831/600)^-0.42)*(1.044-0.044*(B834/30))*IF(B848=2,1,IF(B848=1,1.49,IF(B848=3,1.98,IF(B848=7,5.91,IF(B848=10,1,3.95)))))</f>
        <v>#VALUE!</v>
      </c>
    </row>
    <row r="1509" spans="1:3" x14ac:dyDescent="0.2">
      <c r="A1509">
        <v>4</v>
      </c>
      <c r="B1509" t="e">
        <f>(1.37*LN(B587/800)+1)*(1-0.88*LN(B$3071/50))*1*(0.87*(B$3073/90)+0.13)*(1/(B340/250))*IF(B747=1,0.31,1.25)*IF(B603=1,0.6,IF(B603=2,1.2,1))*(0.1*(B584/1.2)+0.9)*((0.97*(B830/12))+0.03)*(1.78-0.78*(B834/30))</f>
        <v>#VALUE!</v>
      </c>
    </row>
    <row r="1510" spans="1:3" x14ac:dyDescent="0.2">
      <c r="A1510">
        <v>1</v>
      </c>
      <c r="B1510" t="e">
        <f>(0.896*(B587/800)+0.11)*(1-0.521*LN((B600+B$3071)/100))*(0.86*(B$3073/90)+0.14)*(1/(B340/250))*IF(B747=1,0.31,1.25)*IF(B603=1,0.6,IF(B603=2,1.2,1))*(0.05*(B584/1.2)+0.95)*((0.9*(B830/12))+0.1)</f>
        <v>#VALUE!</v>
      </c>
      <c r="C1510">
        <v>11</v>
      </c>
    </row>
    <row r="1511" spans="1:3" x14ac:dyDescent="0.2">
      <c r="A1511">
        <v>2</v>
      </c>
      <c r="B1511" t="e">
        <f>(1.55*(B587/800)-0.4*(B587/800)^2-0.15)*(1-0.44*LN((B600+B$3071)/(100)))*(0.6*(B$3073/90)+0.4)*(0.1/(B340/250)+0.9)*(0.61*(B326/27)+0.39)*(0.99/B572+0.01)*IF(B747=1,0.93,1)*IF(B603=1,0.6,IF(B603=2,1.2,1))*(0.61*(B403/3750)+0.39)*IF(B339=1,(0.066*(B397/220)+1.034),IF(B339=3,(0.09*(B396/20)+0.91),IF(B339=2,(0.36*(B395/385)+1.08))))*(0.04*(B584/1.2)+0.96)*(0.97*(B830/12)+0.03)*((B831/600)^-0.74)</f>
        <v>#VALUE!</v>
      </c>
    </row>
    <row r="1512" spans="1:3" x14ac:dyDescent="0.2">
      <c r="A1512">
        <v>3</v>
      </c>
      <c r="B1512" t="e">
        <f>(0.07*(B587/800)+0.93)*(1-0.44*LN((B600+B$3071)/(100)))*(0.6*(B$3073/90)+0.4)*(0.1/(B340/250)+0.9)*(0.63*(B326/27)+0.37)*(1.02/B572-0.02)*IF(B747=1,0.92,1.03)*IF(B603=1,0.6,IF(B603=2,1.2,1))*(0.64*(B403/3750)+0.36)*IF(B339=1,(0.066*(B397/220)+1.034),IF(B339=3,(0.09*(B396/20)+0.91),IF(B339=2,(0.39*(B395/385)+1.1))))*(0.93*(B584/1.2)+0.07)*((B831/600)^-0.76)*IF(B848=2,1,IF(B848=1,1.49,IF(B848=3,1.98,IF(B848=7,5.91,IF(B848=10,3.16,3.95)))))</f>
        <v>#VALUE!</v>
      </c>
    </row>
    <row r="1513" spans="1:3" x14ac:dyDescent="0.2">
      <c r="A1513">
        <v>4</v>
      </c>
      <c r="B1513" t="e">
        <f>(0.86*(B587/800)+0.14)*(1-0.52*LN(B$3071/50))*(0.87*(B$3073/90)+0.13)*(1/(B340/250))*IF(B747=1,0.052*(B757/1020000)+0.26,1.25)*IF(B603=1,0.6,IF(B603=2,1.2,1))*(0.05*(B584/1.2)+0.95)*((0.9*(B830/12))+0.1)</f>
        <v>#VALUE!</v>
      </c>
    </row>
    <row r="1514" spans="1:3" x14ac:dyDescent="0.2">
      <c r="A1514">
        <v>1</v>
      </c>
      <c r="B1514">
        <f>1</f>
        <v>1</v>
      </c>
      <c r="C1514">
        <v>12</v>
      </c>
    </row>
    <row r="1515" spans="1:3" x14ac:dyDescent="0.2">
      <c r="A1515">
        <v>2</v>
      </c>
      <c r="B1515">
        <f>1</f>
        <v>1</v>
      </c>
    </row>
    <row r="1516" spans="1:3" x14ac:dyDescent="0.2">
      <c r="A1516">
        <v>3</v>
      </c>
      <c r="B1516" t="e">
        <f>(0.45*(B587/800)+0.55)*(1-0.271*LN((B600+B$3071)/(100)))*(0.76*(B$3073/90)+0.24)*(0.66/(B340/250)+0.34)*(0.35*(B326/27)+0.65)*(0.56/B572+0.44)*IF(B747=1,0.66,1.12)*(0.35*(B403/3750)+0.65)*IF(B339=1,(0.035*(B397/220)+0.97),IF(B339=3,(0.06*(B396/20)+0.94),IF(B339=2,(0.2*(B395/385)+1.05))))*(1.04*(B584/1.2)-0.04)*((0.95*(B830/12))+0.05)*((B831/600)^-0.42)*IF(B848=2,1,IF(B848=1,1.49,IF(B848=3,1.98,IF(B848=7,5.91,IF(B848=10,1,3.95)))))</f>
        <v>#VALUE!</v>
      </c>
    </row>
    <row r="1517" spans="1:3" x14ac:dyDescent="0.2">
      <c r="A1517">
        <v>4</v>
      </c>
      <c r="B1517" t="e">
        <f>(0.86*(B587/800)+0.14)*(1-0.521*LN(B$3071/50))*(0.86*(B$3073/90)+0.14)*(1/(B340/250))*IF(B747=1,0.052*(B757/1020000)+0.26,1.25)*IF(B603=1,0.35,IF(B603=2,1.42,1))*(0.05*(B584/1.2)+0.95)*IF(B603=1,0.6,IF(B603=2,1.2,1))</f>
        <v>#VALUE!</v>
      </c>
    </row>
    <row r="1518" spans="1:3" x14ac:dyDescent="0.2">
      <c r="A1518">
        <v>1</v>
      </c>
      <c r="B1518">
        <f>1</f>
        <v>1</v>
      </c>
      <c r="C1518">
        <v>13</v>
      </c>
    </row>
    <row r="1519" spans="1:3" x14ac:dyDescent="0.2">
      <c r="A1519">
        <v>2</v>
      </c>
      <c r="B1519">
        <v>1</v>
      </c>
    </row>
    <row r="1520" spans="1:3" x14ac:dyDescent="0.2">
      <c r="A1520">
        <v>3</v>
      </c>
      <c r="B1520" t="e">
        <f>(0.45*(B587/800)+0.55)*(1-0.271*LN((B600+B$3071)/(100)))*(0.76*(B$3073/90)+0.24)*(0.68/(B340/250)+0.32)*(0.56/B572+0.44)*IF(B747=1,0.66,1.05)*(0.35*(B403/3750)+0.65)*IF(B339=1,(0.035*(B397/220)+0.97),IF(B339=3,(0.06*(B396/20)+0.94),IF(B339=2,(0.2*(B395/385)+1.05))))*(1.04*(B584/1.2)-0.04)*(0.35*(B326/27)+0.65)*(0.95*((B830/12))+0.05)*((B831/600)^-0.42)*IF(B848=2,1,IF(B848=1,1.49,IF(B848=3,1.98,IF(B848=7,5.91,IF(B848=10,1,3.95)))))</f>
        <v>#VALUE!</v>
      </c>
    </row>
    <row r="1521" spans="1:3" x14ac:dyDescent="0.2">
      <c r="A1521">
        <v>4</v>
      </c>
      <c r="B1521" t="e">
        <f>(1.37*LN(B587/800)+1)*(1-0.88*LN(B$3071/50))*(0.87*(B$3073/90)+0.13)*(1/(B340/250))*IF(B747=1,0.052*(B757/1020000)+0.26,1.25)*IF(B603=1,0.367,IF(B603=2,1.44,1))*(0.1*(B584/1.2)+0.9)*IF(B603=1,0.6,IF(B603=2,1.2,1))*(0.06*(B831/600)+0.94)*(1.78-0.78*(B834/30))</f>
        <v>#VALUE!</v>
      </c>
    </row>
    <row r="1522" spans="1:3" x14ac:dyDescent="0.2">
      <c r="A1522">
        <v>1</v>
      </c>
      <c r="B1522">
        <f>1</f>
        <v>1</v>
      </c>
      <c r="C1522">
        <v>14</v>
      </c>
    </row>
    <row r="1523" spans="1:3" x14ac:dyDescent="0.2">
      <c r="A1523">
        <v>2</v>
      </c>
      <c r="B1523">
        <f>1</f>
        <v>1</v>
      </c>
    </row>
    <row r="1524" spans="1:3" x14ac:dyDescent="0.2">
      <c r="A1524">
        <v>3</v>
      </c>
      <c r="B1524" t="e">
        <f>(0.45*(B587/800)+0.55)*(1-0.271*LN((B600+B$3071)/(100)))*(0.76*(B$3073/90)+0.24)*(0.66/(B340/250)+0.34)*(0.35*(B326/27)+0.65)*(0.56/B572+0.44)*IF(B747=1,0.66,1.12)*(0.35*(B403/3750)+0.65)*IF(B339=1,(0.035*(B397/220)+0.97),IF(B339=3,(0.06*(B396/20)+0.94),IF(B339=2,(0.2*(B395/385)+1.05))))*(1.04*(B584/1.2)-0.04)*(0.95*((B830/12))+0.05)*((B831/600)^-0.42)*IF(B848=2,1,IF(B848=1,1.49,IF(B848=3,1.98,IF(B848=7,5.91,IF(B848=10,1.43,3.95)))))</f>
        <v>#VALUE!</v>
      </c>
    </row>
    <row r="1525" spans="1:3" x14ac:dyDescent="0.2">
      <c r="A1525">
        <v>4</v>
      </c>
      <c r="B1525" t="e">
        <f>(0.79*(B587/800)+0.21)*(1-0.48*LN(B$3071/50))*(0.86*(B$3073/90)+0.14)*(1/(B340/250))*(0.61*(B326/27)+0.39)*IF(B747=1,0.92,1.03)*(0.05*(B584/1.2)+0.95)*IF(B339=1,(0.066*(B397/220)+1.034),IF(B339=3,(0.09*(B396/20)+0.91),IF(B339=2,(0.36*(B395/385)+1.08))))*(0.61*(B403/3750)+0.39)*(0.98/B572+0.02)*((0.9*(B830/12))+0.1)*((B831/600)^-0.73)*(IF(B835=2,1.43,1))</f>
        <v>#VALUE!</v>
      </c>
    </row>
    <row r="1526" spans="1:3" x14ac:dyDescent="0.2">
      <c r="A1526">
        <v>1</v>
      </c>
      <c r="B1526">
        <f>1</f>
        <v>1</v>
      </c>
      <c r="C1526">
        <v>15</v>
      </c>
    </row>
    <row r="1527" spans="1:3" x14ac:dyDescent="0.2">
      <c r="A1527">
        <v>2</v>
      </c>
      <c r="B1527">
        <f>1</f>
        <v>1</v>
      </c>
    </row>
    <row r="1528" spans="1:3" x14ac:dyDescent="0.2">
      <c r="A1528">
        <v>3</v>
      </c>
      <c r="B1528" t="e">
        <f>(0.45*(B587/800)+0.55)*(1-0.271*LN((B600+B$3071)/(100)))*(0.76*(B$3073/90)+0.24)*(0.66/(B340/250)+0.34)*(0.35*(B326/27)+0.65)*(0.56/B572+0.44)*IF(B747=1,0.66,1.12)*IF(B339=1,(0.066*(B397/220)+1.034),IF(B339=3,(0.06*(B396/20)+0.94),IF(B339=2,(0.2*(B395/385)+1.05))))*(1.04*(B584/1.2)-0.04)*(0.35*(B403/3750)+0.65)*(0.95*((B830/12))+0.05)*((B831/600)^-0.42)*IF(B848=2,1,IF(B848=1,1.49,IF(B848=3,1.98,IF(B848=7,5.91,IF(B848=10,1,3.95)))))</f>
        <v>#VALUE!</v>
      </c>
    </row>
    <row r="1529" spans="1:3" x14ac:dyDescent="0.2">
      <c r="A1529">
        <v>4</v>
      </c>
      <c r="B1529" t="e">
        <f>(0.45*(B587/800)+0.55)*(1-0.521*LN(B$3071/50))*(0.86*(B$3073/90)+0.14)*(1/(B340/250))*IF(B747=1,0.052*(B757/1020000)+0.26,1.25)*IF(B603=1,0.6,IF(B603=2,1.2,1))*(0.05*(B584/1.2)+0.95)*((0.9*(B830/12))+0.1)</f>
        <v>#VALUE!</v>
      </c>
    </row>
    <row r="1530" spans="1:3" x14ac:dyDescent="0.2">
      <c r="A1530">
        <v>1</v>
      </c>
      <c r="B1530" t="e">
        <f>(0.15*EXP(1.8*B587/800))*(0.98*((B600+B$3071)/(100))^-1.12+0.02)*1*(0.6*(B$3073/90)+0.4)*(0.03/(B340/250)+0.97)*(0.61*(B326/27)+0.39)*(0.99/B572+0.01)*IF(B747=1,0.92,1.03)*(0.61*(B403/3750)+0.39)*IF(B339=1,(0.066*(B397/220)+1.034),IF(B339=3,(0.09*(B396/20)+0.91),IF(B339=2,(0.36*(B395/385)+1.08))))*(0.11*(B584/1.2)+0.89)*(0.96*((B830/12))+0.04)*((B831/600)^-0.74)</f>
        <v>#VALUE!</v>
      </c>
      <c r="C1530">
        <v>16</v>
      </c>
    </row>
    <row r="1531" spans="1:3" x14ac:dyDescent="0.2">
      <c r="A1531">
        <v>2</v>
      </c>
      <c r="B1531" t="e">
        <f>(1.55*(B587/800)-0.4*(B587/800)^2-0.15)*(1-0.44*LN((B600+B$3071)/(100)))*1*(0.6*(B$3073/90)+0.4)*(0.1/(B340/250)+0.9)*(0.61*(B326/27)+0.39)*(0.99/B572+0.01)*IF(B747=1,0.92,1.03)*(0.61*(B403/3750)+0.39)*IF(B339=1,(0.066*(B397/220)+1.034),IF(B339=3,(0.09*(B396/20)+0.91),IF(B339=2,(0.36*(B395/385)+1.08))))*(0.04*(B584/1.2)+0.96)*(0.97*((B830/12))+0.03)*((B831/600)^-0.74)</f>
        <v>#VALUE!</v>
      </c>
    </row>
    <row r="1532" spans="1:3" x14ac:dyDescent="0.2">
      <c r="A1532">
        <v>3</v>
      </c>
      <c r="B1532" t="e">
        <f>(0.45*(B587/800)+0.55)*(1-0.27*LN((B600+B$3071)/(100)))*(0.6*(B3073/90)+0.4)*(0.1/(B340/250)+0.9)*(0.35*(B326/27)+0.65)*(0.56/B572+0.44)*IF(B747=1,0.66,1.12)*(0.35*(B403/3750)+0.65)*IF(B339=1,(0.035*(B397/220)+0.97),IF(B339=3,(0.06*(B396/20)+0.94),IF(B339=2,(0.2*(B395/385)+1.05))))*(1.04*(B584/1.2)-0.04)*(0.95*((B830/12))+0.05)*((B831/600)^-0.42)*IF(B848=2,1,IF(B848=1,1.49,IF(B848=3,1.98,IF(B848=7,5.91,IF(B848=10,3.16,3.95)))))</f>
        <v>#VALUE!</v>
      </c>
    </row>
    <row r="1533" spans="1:3" x14ac:dyDescent="0.2">
      <c r="A1533">
        <v>4</v>
      </c>
      <c r="B1533" t="e">
        <f>(0.86*(B587/800)+0.14)*(1-0.52*LN(B$3071/50))*(0.86*(B$3073/90)+0.14)*(1/(B340/250))*IF(B747=1,0.052*(B757/1020000)+0.26,1.25)*IF(B603=1,0.6,IF(B603=2,1.2,1))*(0.05*(B584/1.2)+0.95)*((0.9*(B830/12))+0.1)</f>
        <v>#VALUE!</v>
      </c>
    </row>
    <row r="1534" spans="1:3" x14ac:dyDescent="0.2">
      <c r="A1534">
        <v>1</v>
      </c>
      <c r="B1534" t="e">
        <f>(0.15*EXP(1.8*B587/800))*(0.98*((B600+B$3071)/(100))^-1.12+0.02)*(0.6*(B$3073/90)+0.4)*(0.03/(B340/250)+0.97)*(0.61*(B326/27)+0.39)*(0.99/B572+0.01)*IF(B747=1,0.92,1.03)*(0.61*(B403/3750)+0.39)*IF(B339=1,(0.066*(B397/220)+1.034),IF(B339=3,(0.09*(B396/20)+0.91),IF(B339=2,(0.36*(B395/385)+1.08))))*(0.11*(B584/1.2)+0.89)*(0.96*(B830/12)+0.04)*((B$831/600)^-0.74)</f>
        <v>#VALUE!</v>
      </c>
      <c r="C1534">
        <v>17</v>
      </c>
    </row>
    <row r="1535" spans="1:3" x14ac:dyDescent="0.2">
      <c r="A1535">
        <v>2</v>
      </c>
      <c r="B1535" t="e">
        <f>(1.55*(B587/800)-0.4*(B587/800)^2-0.15)*(1-0.44*LN((B600+B$3071)/(100)))*(0.6*(B$3073/90)+0.4)*(0.1/(B340/250)+0.9)*(0.61*(B326/27)+0.39)*(0.99/B572+0.01)*IF(B747=1,0.92,1.03)*IF(B603=1,0.58,IF(B603=2,1.22,1))*(0.61*(B403/3750)+0.39)*IF(B339=1,(0.066*(B397/220)+1.034),IF(B339=3,(0.09*(B396/20)+0.91),IF(B339=2,(0.36*(B395/385)+1.08))))*(0.04*(B584/1.2)+0.96)*((0.97*(B830/12))+0.03)*((B831/600)^-0.74)</f>
        <v>#VALUE!</v>
      </c>
    </row>
    <row r="1536" spans="1:3" x14ac:dyDescent="0.2">
      <c r="A1536">
        <v>3</v>
      </c>
      <c r="B1536" t="e">
        <f>(1.34*(B587/800)-0.34*(B587/800)^2)*(1-0.38*LN((B600+B$3071)/(100)))*(0.6*(B$3073/90)+0.4)*(0.002/(B340/250)+0.998)*(0.68*(B326/27)+0.32)*(1.02/B572-0.02)*IF(B747=1,0.99,1.03)*IF(B603=1,0.6,IF(B603=2,1.2,1))*(0.68*(B403/3750)+0.32)*IF(B339=1,(0.066*(B397/220)+0.934),IF(B339=3,(0.09*(B396/20)+0.91),IF(B339=2,(0.39*(B395/385)+1.1))))*(0.17*(B584/1.2)+0.83)*((B831/600)^-0.82)*IF(B848=2,1,IF(B848=1,1.49,IF(B848=3,1.98,IF(B848=7,5.91,IF(B848=10,1.29,3.95)))))</f>
        <v>#VALUE!</v>
      </c>
    </row>
    <row r="1537" spans="1:3" x14ac:dyDescent="0.2">
      <c r="A1537">
        <v>4</v>
      </c>
      <c r="B1537" t="e">
        <f>(0.86*(B587/800)+0.14)*(1-0.52*LN(B$3071/50))*1*(1/(B340/250))*IF(B747=1,0.052*(B757/1020000)+0.26,1.25)*IF(B603=1,0.6,IF(B603=2,1.2,1))*(0.05*(B584/1.2)+0.95)*((0.9*(B830/12))+0.1)</f>
        <v>#VALUE!</v>
      </c>
    </row>
    <row r="1538" spans="1:3" x14ac:dyDescent="0.2">
      <c r="A1538">
        <v>1</v>
      </c>
      <c r="B1538" t="e">
        <f>(0.85*(B587/800)+0.15)*(1-0.521*LN((B600+B$3071)/100))*(0.86*(B$3073/90)+0.14)*(1/(B340/250))*IF(B747=1,0.052*(B757/1020000)+0.95,1.25)*IF(B603=1,0.6,IF(B603=2,1.2,1))*IF(B339=2,(0.204*(B395/385)+0.596),1)*(0.05*(B584/1.2)+0.95)*(0.9*(B830/12)+0.1)</f>
        <v>#VALUE!</v>
      </c>
      <c r="C1538">
        <v>18</v>
      </c>
    </row>
    <row r="1539" spans="1:3" x14ac:dyDescent="0.2">
      <c r="A1539">
        <v>2</v>
      </c>
      <c r="B1539" t="e">
        <f>(-0.4*(B587/800)^2+1.55*(B587/800)-0.15)*(1-0.44*LN((B600+B$3071)/(100)))*(0.6*(B$3073/90)+0.4)*(0.1/(B340/250)+0.9)*(0.61*(B326/27)+0.39)*(0.99/B572+0.01)*IF(B747=1,0.92,1.03)*IF(B603=1,0.6,IF(B603=2,1.2,1))*(0.61*(B403/3750)+0.39)*IF(B339=1,(0.066*(B397/220)+1.034),IF(B339=3,(0.09*(B396/20)+0.91),IF(B339=2,(0.36*(B395/385)+1.08))))*(0.04*(B584/1.2)+0.96)*((0.97*(B830/12))+0.03)*((B831/600)^-0.74)</f>
        <v>#VALUE!</v>
      </c>
    </row>
    <row r="1540" spans="1:3" x14ac:dyDescent="0.2">
      <c r="A1540">
        <v>3</v>
      </c>
      <c r="B1540" t="e">
        <f>(0.07*(B587/800)+0.93)*(1-0.38*LN((B600+B$3071)/(100)))*(0.6*(B$3073/90)+0.4)*(0.1/(B340/250)+0.9)*(0.68*(B326/27)+0.32)*(1.02/B572-0.02)*IF(B747=1,0.95,1.02)*IF(B603=1,0.6,IF(B603=2,1.2,1))*(0.64*(B403/3750)+0.36)*IF(B339=1,(0.066*(B397/220)+1.034),IF(B339=3,(0.09*(B396/20)+0.91),IF(B339=2,(0.36*(B395/385)+1.08))))*(0.93*(B584/1.2)+0.07)*((B831/600)^-0.76)*IF(B848=2,1,IF(B848=1,1.49,IF(B848=3,1.98,IF(B848=7,5.91,IF(B848=10,3.18,3.95)))))</f>
        <v>#VALUE!</v>
      </c>
    </row>
    <row r="1541" spans="1:3" x14ac:dyDescent="0.2">
      <c r="A1541">
        <v>4</v>
      </c>
      <c r="B1541" t="e">
        <f>(0.86*(B587/800)+0.14)*(1-0.52*LN((B$3071)/(100)))*(0.86*(B$3073/90)+0.14)*(1/(B340/250))*IF(B747=1,0.052*(B757/1020000)+0.26,1.25)*IF(B603=1,0.6,IF(B603=2,1.2,1))*(0.05*(B584/1.2)+0.95)*((0.9*(B830/12))+0.1)</f>
        <v>#VALUE!</v>
      </c>
    </row>
    <row r="1542" spans="1:3" x14ac:dyDescent="0.2">
      <c r="A1542">
        <v>1</v>
      </c>
      <c r="B1542" t="e">
        <f>(1.07*(B587/800)^2-0.32*(B587/800)+0.26)*(1-1.13*LN((B600+B$3071)/100))*(0.6*(B$3073/90)+0.4)*(0.03/(B340/250)+0.97)*(0.61*(B326/27)+0.39)*(0.99/B572+0.01)*IF(B747=1,0.92,1.03)*(0.61*(B403/3750)+0.39)*IF(B339=1,(0.066*(B397/220)+1.034),IF(B339=3,(0.09*(B396/20)+0.91),IF(B339=2,(0.36*(B395/385)+1.08))))*(0.1*(B584/1.2)+0.9)*((0.28/B863)+0.72)*((0.96*(B830/12))+0.04)*((B831/600)^-0.74)</f>
        <v>#VALUE!</v>
      </c>
      <c r="C1542" t="s">
        <v>5206</v>
      </c>
    </row>
    <row r="1543" spans="1:3" x14ac:dyDescent="0.2">
      <c r="A1543">
        <v>2</v>
      </c>
      <c r="B1543" t="e">
        <f>(-0.4*(B587/800)^2+1.55*(B587/800)-0.15)*(1-0.44*LN((B600+B$3071)/(100)))*(0.61*(B$3073/90)+0.39)*(0.1/(B340/250)+0.9)*(0.61*(B326/27)+0.39)*(0.99/B572+0.01)*IF(B747=1,0.92,1.03)*IF(B603=1,0.6,IF(B603=2,1.2,1))*(0.61*(B403/3750)+0.39)*IF(B339=1,(0.066*(B397/220)+1.034),IF(B339=3,(0.09*(B396/20)+0.91),IF(B339=2,(0.36*(B395/385)+1.08))))*(0.04*(B584/1.2)+0.96)*((0.97*(B830/12))+0.03)*((B831/600)^-0.74)</f>
        <v>#VALUE!</v>
      </c>
    </row>
    <row r="1544" spans="1:3" x14ac:dyDescent="0.2">
      <c r="A1544">
        <v>3</v>
      </c>
      <c r="B1544" t="e">
        <f>(0.07*(B587/800)+0.93)*(1-0.04*LN((B600+B$3071)/(100)))*(0.6*(B$3073/90)+0.4)*(0.02/(B340/250)+0.98)*(0.63*(B326/27)+0.37)*(1.02/B572-0.02)*IF(B747=1,0.95,1.02)*IF(B603=1,0.6,IF(B603=2,1.2,1))*(0.35*(B403/3750)+0.65)*IF(B339=1,(0.066*(B397/220)+1.034),IF(B339=3,(0.09*(B396/20)+0.91),IF(B339=2,(0.36*(B395/385)+1.08))))*(0.93*(B584/1.2)+0.07)*((B831/600)^-0.76)*IF(B848=2,1,IF(B848=1,1.49,IF(B848=3,1.98,IF(B848=7,5.91,IF(B848=10,1,3.95)))))</f>
        <v>#VALUE!</v>
      </c>
    </row>
    <row r="1545" spans="1:3" x14ac:dyDescent="0.2">
      <c r="A1545">
        <v>4</v>
      </c>
      <c r="B1545" t="e">
        <f>(0.86*(B587/800)+0.14)*(1-0.52*LN((B$3071)/(100)))*(0.86*(B$3073/90)+0.14)*(1/(B340/250))*IF(B747=1,0.052*(B757/1020000)+0.26,1.25)*IF(B603=1,0.6,IF(B603=2,1.2,1))*(0.05*(B584/1.2)+0.95)*((0.9*(B830/12))+0.1)</f>
        <v>#VALUE!</v>
      </c>
    </row>
    <row r="1546" spans="1:3" x14ac:dyDescent="0.2">
      <c r="A1546">
        <v>1</v>
      </c>
      <c r="B1546" t="e">
        <f>(0.93*(B587/800)^2.1+0.07)*(1-1.13*LN((B600+B$3071)/100))*(0.6*(B$3073/90)+0.4)*(0.03/(B340/250)+0.97)*(0.61*(B326/27)+0.39)*(0.99/B572+0.01)*IF(B747=1,0.92,1.03)*(0.66*(B403/3750)+0.34)*IF(B339=1,(0.066*(B397/220)+1.034),IF(B339=3,(0.09*(B396/20)+0.91),IF(B339=2,(0.36*(B395/385)+1.08))))*(0.1*(B584/1.2)+0.9)*((0.28/B863)+0.72)*(0.96*(B830/12)+0.04)*((B831/600)^-0.74)</f>
        <v>#VALUE!</v>
      </c>
      <c r="C1546" t="s">
        <v>5207</v>
      </c>
    </row>
    <row r="1547" spans="1:3" x14ac:dyDescent="0.2">
      <c r="A1547">
        <v>2</v>
      </c>
      <c r="B1547" t="e">
        <f>(-0.4*(B587/800)^2+1.55*(B587/800)-0.15)*(1-0.44*LN((B600+B$3071)/(100)))*(0.61*(B$3073/90)+0.39)*(0.1/(B340/250)+0.9)*(0.61*(B326/27)+0.39)*(1.11/B572-0.11)*IF(B747=1,1,1)*IF(B603=1,0.6,IF(B603=2,1.2,1))*(0.69*(B403/3750)+0.31)*IF(B339=1,(0.066*(B397/220)+1.034),IF(B339=3,(0.1*(B396/20)+0.9),IF(B339=2,(0.4*(B395/385)+1.09))))*(0.04*(B584/1.2)+0.96)*((0.98*(B830/12))+0.02)*((B831/600)^-0.82)</f>
        <v>#VALUE!</v>
      </c>
    </row>
    <row r="1548" spans="1:3" x14ac:dyDescent="0.2">
      <c r="A1548">
        <v>3</v>
      </c>
      <c r="B1548" t="e">
        <f>(0.07*(B587/800)+0.93)*(1-0.04*LN((B600+B$3071)/(100)))*(0.6*(B$3073/90)+0.4)*(0.02/(B340/250)+0.98)*(0.63*(B326/27)+0.37)*(1.02/B572-0.02)*IF(B747=1,0.95,1.02)*IF(B603=1,0.6,IF(B603=2,1.2,1))*(0.64*(B403/3750)+0.36)*IF(B339=1,(0.066*(B397/220)+1.034),IF(B339=3,(0.09*(B396/20)+0.91),IF(B339=2,(0.36*(B395/385)+1.08))))*(0.93*(B584/1.2)+0.07)*((B831/600)^-0.76)*IF(B848=2,1,IF(B848=1,1.49,IF(B848=3,1.98,IF(B848=7,5.91,IF(B848=10,1,3.95)))))</f>
        <v>#VALUE!</v>
      </c>
    </row>
    <row r="1549" spans="1:3" x14ac:dyDescent="0.2">
      <c r="A1549">
        <v>4</v>
      </c>
      <c r="B1549" t="e">
        <f>(0.86*(B587/800)+0.14)*(1-0.52*LN((B$3071)/(100)))*(0.86*(B$3073/90)+0.14)*(1/(B340/250))*IF(B747=1,0.052*(B757/1020000)+0.26,1.25)*(0.05*(B584/1.2)+0.95)*IF(B603=1,0.6,IF(B603=2,1.2,1))*((0.9*(B830/12))+0.1)</f>
        <v>#VALUE!</v>
      </c>
    </row>
    <row r="1550" spans="1:3" x14ac:dyDescent="0.2">
      <c r="A1550">
        <v>1</v>
      </c>
      <c r="B1550" t="e">
        <f>(1.07*(B587/800)^2-0.32*(B587/800)+0.26)*(1-1.13*LN((B600+B$3071)/100))*(0.6*(B$3073/90)+0.4)*(0.03/(B340/250)+0.97)*(0.61*(B326/27)+0.39)*(0.99/B572+0.01)*IF(B747=1,0.92,1.03)*(0.61*(B403/3750)+0.39)*IF(B339=1,(0.066*(B397/220)+1.034),IF(B339=3,(0.09*(B396/20)+0.91),IF(B339=2,(0.36*(B395/385)+1.08))))*(0.1*(B584/1.2)+0.9)*((0.28/B863)+0.72)*(0.96*(B830/12)+0.04)*((B831/600)^-0.74)</f>
        <v>#VALUE!</v>
      </c>
      <c r="C1550" t="s">
        <v>5208</v>
      </c>
    </row>
    <row r="1551" spans="1:3" x14ac:dyDescent="0.2">
      <c r="A1551">
        <v>2</v>
      </c>
      <c r="B1551" t="e">
        <f>(0.94*(B587/800)^-0.52*(B587/800)+0.58)*(((B600+B$3071)/(100))^-0.75)*(0.61*(B$3073/90)+0.39)*(0.03/(B340/250)+0.97)*(0.61*(B326/27)+0.39)*(0.99/B572+0.01)*IF(B747=1,0.92,1.03)*IF(B603=1,0.6,IF(B603=2,1.2,1))*(0.61*(B403/3750)+0.39)*IF(B339=1,(0.066*(B397/220)+1.034),IF(B339=3,(0.09*(B396/20)+0.91),IF(B339=2,(0.36*(B395/385)+1.08))))*(0.07*(B584/1.2)+0.93)*((0.97*(B830/12))+0.03)*((B831/600)^-0.74)*(1.98-0.98*LN(B834/30))</f>
        <v>#VALUE!</v>
      </c>
    </row>
    <row r="1552" spans="1:3" x14ac:dyDescent="0.2">
      <c r="A1552">
        <v>3</v>
      </c>
      <c r="B1552" t="e">
        <f>(1.17*(B587/800)-0.17)*((B600+B$3071)/(100))^-0.96*(0.6*(B$3073/90)+0.4)*1*(0.63*(B326/27)+0.37)*IF(B747=1,0.99,1)*IF(B603=1,0.6,IF(B603=2,1.2,1))*(0.68*(B403/3750)+0.32)*IF(B339=1,(0.066*(B397/220)+1.034),IF(B339=3,(0.09*(B396/20)+0.91),IF(B339=2,(0.39*(B395/385)+1.1))))*(0.1*(B584/1.2)+0.9)*(1.1/B572-0.1)*((B831/600)^-0.82)*(1.47-0.47*(B834/30))</f>
        <v>#VALUE!</v>
      </c>
    </row>
    <row r="1553" spans="1:3" x14ac:dyDescent="0.2">
      <c r="A1553">
        <v>4</v>
      </c>
      <c r="B1553" t="e">
        <f>(-0.38*(B587/800)^2+2.2*(B587/800)-0.82)*(1-0.88*LN((B$3071)/(100)))*(0.86*(B$3073/90)+0.14)*(1/(B340/250))*(0.05*(B326/27)+0.95)*IF(B747=1,0.052*(B757/1020000)+0.26,1.25)*IF(B603=1,0.6,IF(B603=2,1.2,1))*IF(B603=1,0.36,IF(B603=2,1.42,1))*(0.1*(B584/1.2)+0.9)*((0.9*(B830/12))+0.1)*(1.78-0.78*(B834/30))</f>
        <v>#VALUE!</v>
      </c>
    </row>
    <row r="1554" spans="1:3" x14ac:dyDescent="0.2">
      <c r="A1554">
        <v>1</v>
      </c>
      <c r="B1554" t="e">
        <f>(0.67*(B587/800)^2+0.2*(B587/800)+0.13)*(1-1.13*LN((B600+B$3071)/100))*(0.6*(B$3073/90)+0.4)*(0.03/(B340/250)+0.97)*(0.61*(B326/27)+0.39)*(0.99/B572+0.01)*IF(B747=1,0.92,1.03)*(0.61*(B403/3750)+0.39)*IF(B339=1,(0.066*(B397/220)+1.034),IF(B339=3,(0.09*(B396/20)+0.91),IF(B339=2,(0.36*(B395/385)+1.08))))*(0.1*(B584/1.2)+0.9)*((0.28/B863)+0.72)*(0.96*(B830/12)+0.04)*((B831/600)^-0.74)</f>
        <v>#VALUE!</v>
      </c>
      <c r="C1554" t="s">
        <v>5209</v>
      </c>
    </row>
    <row r="1555" spans="1:3" x14ac:dyDescent="0.2">
      <c r="A1555">
        <v>2</v>
      </c>
      <c r="B1555" t="e">
        <f>(1.55*(B587/800)-0.4*(B587/800)^2-0.15)*(1-0.44*LN((B600+B$3071)/(100)))*(0.6*(B$3073/90)+0.4)*(0.1/(B340/250)+0.9)*(0.61*(B326/27)+0.39)*(0.99/B572+0.01)*IF(B747=1,0.92,1.03)*IF(B603=1,0.6,IF(B603=2,1.2,1))*(0.61*(B403/3750)+0.39)*IF(B339=1,(0.066*(B397/220)+1.034),IF(B339=3,(0.09*(B396/20)+0.91),IF(B339=2,(0.36*(B395/385)+1.08))))*(0.04*(B584/1.2)+0.96)*(0.97*(B830/12)+0.03)*((B831/600)^-0.74)</f>
        <v>#VALUE!</v>
      </c>
      <c r="C1555" t="s">
        <v>5210</v>
      </c>
    </row>
    <row r="1556" spans="1:3" x14ac:dyDescent="0.2">
      <c r="A1556">
        <v>3</v>
      </c>
      <c r="B1556" t="e">
        <f>(0.07*(B587/800)+0.93)*(1-0.04*LN((B600+B$3071)/(100)))*(0.59*(B$3073/90)+0.41)*(0.02/(B340/250)+0.98)*(0.67*(B326/27)+0.33)*(1.02/B572-0.02)*IF(B747=1,0.95,1.02)*IF(B603=1,0.6,IF(B603=2,1.2,1))*(0.64*(B403/3750)+0.36)*IF(B339=1,(0.066*(B397/220)+1.034),IF(B339=3,(0.06*(B396/20)+0.94),IF(B339=2,(0.36*(B395/385)+1.08))))*(0.93*(B584/1.2)+0.07)*((B831/600)^-0.76)*IF(B848=2,1,IF(B848=1,1.49,IF(B848=3,1.98,IF(B848=7,5.91,IF(B848=10,1,3.95)))))</f>
        <v>#VALUE!</v>
      </c>
    </row>
    <row r="1557" spans="1:3" x14ac:dyDescent="0.2">
      <c r="A1557">
        <v>4</v>
      </c>
      <c r="B1557" t="e">
        <f>(0.86*(B587/800)+0.14)*(1-0.52*LN((B$3071)/(100)))*(0.86*(B$3073/90)+0.14)*(1/(B340/250))*IF(B747=1,0.052*(B757/1020000)+0.26,1.25)*IF(B603=1,0.6,IF(B603=2,1.2,1))*(0.05*(B584/1.2)+0.95)*((0.9*(B830/12))+0.1)</f>
        <v>#VALUE!</v>
      </c>
    </row>
    <row r="1558" spans="1:3" x14ac:dyDescent="0.2">
      <c r="A1558">
        <v>1</v>
      </c>
      <c r="B1558" t="e">
        <f>(1.07*(B587/800)^2-0.32*(B587/800)+0.26)*(1-1.13*LN((B600+B$3071)/100))*(0.6*(B$3073/90)+0.4)*1*(0.61*(B326/27)+0.39)*(0.99/B572+0.01)*IF(B747=1,0.92,1.03)*IF(B603=1,0.36,IF(B603=2,1.42,1))*(0.61*(B403/3750)+0.39)*IF(B339=1,(0.066*(B397/220)+1.034),IF(B339=3,(0.09*(B396/20)+0.91),IF(B339=2,(0.36*(B395/385)+1.08))))*(0.1*(B584/1.2)+0.9)*((0.28/B863)+0.72)*(0.96*(B830/12)+0.04)*((B831/600)^-0.74)</f>
        <v>#VALUE!</v>
      </c>
      <c r="C1558" t="s">
        <v>5211</v>
      </c>
    </row>
    <row r="1559" spans="1:3" x14ac:dyDescent="0.2">
      <c r="A1559">
        <v>2</v>
      </c>
      <c r="B1559" t="e">
        <f>(1.55*(B587/800)-0.4*(B587/800)^2-0.15)*(1-0.44*LN((B600+B$3071)/(100)))*(0.6*(B$3073/90)+0.4)*(0.1/(B340/250)+0.9)*(0.61*(B326/27)+0.39)*(0.99/B572+0.01)*IF(B747=1,0.92,1.03)*IF(B603=1,0.6,IF(B603=2,1.2,1))*(0.61*(B403/3750)+0.39)*IF(B339=1,(0.066*(B397/220)+1.034),IF(B339=3,(0.09*(B396/20)+0.91),IF(B339=2,(0.36*(B395/385)+1.08))))*(0.04*(B584/1.2)+0.96)*((0.97*(B830/12))+0.03)*((B831/600)^-0.74)</f>
        <v>#VALUE!</v>
      </c>
    </row>
    <row r="1560" spans="1:3" x14ac:dyDescent="0.2">
      <c r="A1560">
        <v>3</v>
      </c>
      <c r="B1560" t="e">
        <f>(0.07*(B587/800)+0.93)*(1-0.44*LN((B600+B$3071)/(100)))*(0.6*(B$3073/90)+0.4)*(0.1/(B340/250)+0.9)*(0.67*(B326/27)+0.33)*(1.02/B572-0.02)*IF(B747=1,0.95,1.02)*IF(B603=1,0.6,IF(B603=2,1.2,1))*(0.64*(B403/3750)+0.36)*IF(B339=1,(0.066*(B397/220)+1.034),IF(B339=3,(0.09*(B396/20)+0.91),IF(B339=2,(0.36*(B395/385)+1.08))))*(0.93*(B584/1.2)+0.07)*((B831/600)^-0.76)</f>
        <v>#VALUE!</v>
      </c>
    </row>
    <row r="1561" spans="1:3" x14ac:dyDescent="0.2">
      <c r="A1561">
        <v>4</v>
      </c>
      <c r="B1561" t="e">
        <f>(0.86*(B587/800)+0.14)*(1-0.52*LN((B$3071)/(100)))*(0.86*(B$3073/90)+0.14)*(1/(B340/250))*IF(B747=1,0.052*(B757/1020000)+0.26,1.25)*IF(B603=1,0.6,IF(B603=2,1.2,1))*(0.05*(B584/1.2)+0.95)*(0.9*(B830/12)+0.1)</f>
        <v>#VALUE!</v>
      </c>
    </row>
    <row r="1562" spans="1:3" x14ac:dyDescent="0.2">
      <c r="A1562">
        <v>1</v>
      </c>
      <c r="B1562" t="e">
        <f>(1.07*(B587/800)^2-0.32*(B587/800)+0.26)*(1-1.13*LN((B600+B$3071)/100))*(0.6*(B$3073/90)+0.4)*(1/(B340/250))*(0.61*(B326/27)+0.39)*(0.99/B572+0.01)*IF(B747=1,0.92,1.03)*(0.61*(B403/3750)+0.39)*IF(B339=1,(0.066*(B397/220)+1.034),IF(B339=3,(0.09*(B396/20)+0.91),IF(B339=2,(0.36*(B395/385)+1.08))))*(0.1*(B584/1.2)+0.9)*((0.72/B863)+0.28)*(0.96*(B830/12)+0.04)*((B831/600)^-0.74)</f>
        <v>#VALUE!</v>
      </c>
      <c r="C1562">
        <v>24</v>
      </c>
    </row>
    <row r="1563" spans="1:3" x14ac:dyDescent="0.2">
      <c r="A1563">
        <v>2</v>
      </c>
      <c r="B1563">
        <f>1</f>
        <v>1</v>
      </c>
    </row>
    <row r="1564" spans="1:3" x14ac:dyDescent="0.2">
      <c r="A1564">
        <v>3</v>
      </c>
      <c r="B1564">
        <f>1</f>
        <v>1</v>
      </c>
    </row>
    <row r="1565" spans="1:3" x14ac:dyDescent="0.2">
      <c r="A1565">
        <v>4</v>
      </c>
      <c r="B1565">
        <f>1</f>
        <v>1</v>
      </c>
    </row>
    <row r="1566" spans="1:3" x14ac:dyDescent="0.2">
      <c r="A1566">
        <v>1</v>
      </c>
      <c r="B1566" t="e">
        <f>(1.64*(B587/800)-0.64)*(1-0.98*LN((B600+B$3071)/100))*(0.6*(B$3073/90)+0.4)*(0.04/(B340/250)+0.96)*(0.61*(B326/27)+0.39)*(0.99/B572+0.01)*IF(B747=1,0.92,1.03)*(0.61*(B403/3750)+0.39)*IF(B339=1,(0.066*(B397/220)+1.034),IF(B339=3,(0.09*(B396/20)+0.91),IF(B339=2,(0.36*(B395/385)+1.08))))*(0.1*(B584/1.2)+0.9)*((0.72/B863)+0.28)*((0.96*(B830/12))+0.04)*((B831/600)^-0.74)*(1.44-0.44*(B834/30))</f>
        <v>#VALUE!</v>
      </c>
      <c r="C1566" t="s">
        <v>5212</v>
      </c>
    </row>
    <row r="1567" spans="1:3" x14ac:dyDescent="0.2">
      <c r="A1567">
        <v>2</v>
      </c>
      <c r="B1567">
        <f>1</f>
        <v>1</v>
      </c>
    </row>
    <row r="1568" spans="1:3" x14ac:dyDescent="0.2">
      <c r="A1568">
        <v>3</v>
      </c>
      <c r="B1568">
        <f>1</f>
        <v>1</v>
      </c>
    </row>
    <row r="1569" spans="1:3" x14ac:dyDescent="0.2">
      <c r="A1569">
        <v>4</v>
      </c>
      <c r="B1569">
        <f>1</f>
        <v>1</v>
      </c>
    </row>
    <row r="1570" spans="1:3" x14ac:dyDescent="0.2">
      <c r="A1570">
        <v>1</v>
      </c>
      <c r="B1570" t="e">
        <f>(0.85*(B587/800)+0.15)*(1-0.54*LN((B600+B$3071)/100))*(0.6*(B$3073/90)+0.4)*(0.04/(B340/250)+0.96)*(0.61*(B326/27)+0.39)*(0.99/B572+0.01)*IF(B747=1,0.92,1.03)*IF(B339=1,(0.066*(B397/220)+1.034),IF(B339=3,(0.09*(B396/20)+0.91),IF(B339=2,(0.36*(B395/385)+1.08))))*(0.05*(B584/1.2)+0.95)*(0.61*(B403/3750)+0.39)*((0.97*(B830/12))+0.03)*((B831/600)^-0.74)*((0.72/B863)+0.28)*(IF(B835=2,1.43,1))</f>
        <v>#VALUE!</v>
      </c>
      <c r="C1570" t="s">
        <v>5213</v>
      </c>
    </row>
    <row r="1571" spans="1:3" x14ac:dyDescent="0.2">
      <c r="A1571">
        <v>2</v>
      </c>
      <c r="B1571">
        <v>1</v>
      </c>
    </row>
    <row r="1572" spans="1:3" x14ac:dyDescent="0.2">
      <c r="A1572">
        <v>3</v>
      </c>
      <c r="B1572">
        <v>1</v>
      </c>
    </row>
    <row r="1573" spans="1:3" x14ac:dyDescent="0.2">
      <c r="A1573">
        <v>4</v>
      </c>
      <c r="B1573">
        <v>1</v>
      </c>
    </row>
    <row r="1574" spans="1:3" x14ac:dyDescent="0.2">
      <c r="A1574">
        <v>1</v>
      </c>
      <c r="B1574" t="e">
        <f>(1.07*(B587/800)^2-0.32*(B587/800)+0.26)*(1-1.13*LN((B600+B$3071)/100))*(0.6*(B$3073/90)+0.4)*(1/(B340/250))*(0.61*(B326/27)+0.39)*IF(B747=1,0.92,1.03)*(0.61*(B403/3750)+0.39)*IF(B339=1,(0.066*(B397/220)+1.034),IF(B339=3,(0.09*(B396/20)+0.91),IF(B339=2,(0.36*(B395/385)+1.08))))*(0.1*(B584/1.2)+0.9)*(0.99/B572+0.01)*((0.96*(B830/12))+0.04)*((B831/600)^-0.74)*((0.72/B863)+0.28)</f>
        <v>#VALUE!</v>
      </c>
      <c r="C1574">
        <v>27</v>
      </c>
    </row>
    <row r="1575" spans="1:3" x14ac:dyDescent="0.2">
      <c r="A1575">
        <v>2</v>
      </c>
      <c r="B1575">
        <v>1</v>
      </c>
    </row>
    <row r="1576" spans="1:3" x14ac:dyDescent="0.2">
      <c r="A1576">
        <v>3</v>
      </c>
      <c r="B1576">
        <v>1</v>
      </c>
    </row>
    <row r="1577" spans="1:3" x14ac:dyDescent="0.2">
      <c r="A1577">
        <v>4</v>
      </c>
      <c r="B1577">
        <v>1</v>
      </c>
    </row>
    <row r="1578" spans="1:3" x14ac:dyDescent="0.2">
      <c r="A1578">
        <v>1</v>
      </c>
      <c r="B1578" t="e">
        <f>(1.07*(B587/800)^2-0.32*(B587/800)+0.26)*(1-1.13*LN((B600+B$3071)/100))*(0.6*(B$3073/90)+0.4)*(1/(B340/250))*(0.61*(B326/27)+0.39)*IF(B747=1,0.92,1.03)*(0.61*(B403/3750)+0.39)*IF(B339=1,(0.066*(B397/220)+1.034),IF(B339=3,(0.09*(B396/20)+0.91),IF(B339=2,(0.36*(B395/385)+1.08))))*(0.1*(B584/1.2)+0.9)*(0.99/B572+0.01)*((0.96*(B830/12))+0.04)*((B831/600)^-0.74)*((0.72/B863)+0.28)</f>
        <v>#VALUE!</v>
      </c>
      <c r="C1578">
        <v>28</v>
      </c>
    </row>
    <row r="1579" spans="1:3" x14ac:dyDescent="0.2">
      <c r="A1579">
        <v>2</v>
      </c>
      <c r="B1579">
        <v>1</v>
      </c>
    </row>
    <row r="1580" spans="1:3" x14ac:dyDescent="0.2">
      <c r="A1580">
        <v>3</v>
      </c>
      <c r="B1580">
        <v>1</v>
      </c>
    </row>
    <row r="1581" spans="1:3" x14ac:dyDescent="0.2">
      <c r="A1581">
        <v>4</v>
      </c>
      <c r="B1581">
        <v>1</v>
      </c>
    </row>
    <row r="1583" spans="1:3" x14ac:dyDescent="0.2">
      <c r="A1583" t="s">
        <v>5203</v>
      </c>
    </row>
    <row r="1584" spans="1:3" x14ac:dyDescent="0.2">
      <c r="A1584" t="s">
        <v>5214</v>
      </c>
    </row>
    <row r="1585" spans="1:3" x14ac:dyDescent="0.2">
      <c r="A1585" t="s">
        <v>5205</v>
      </c>
      <c r="C1585" t="s">
        <v>4566</v>
      </c>
    </row>
    <row r="1586" spans="1:3" x14ac:dyDescent="0.2">
      <c r="A1586">
        <v>1</v>
      </c>
      <c r="B1586" t="e">
        <f>(1.07*(B587/800)^-0.7)*(0.98*((B600+B$3071)/(100))^-1.12+0.02)*(0.6*(B$3073/90)+0.4)*(0.03/(B340/250)+0.97)*(0.61*(B326/27)+0.39)*IF(B747=1,0.99,1)*(0.61*(B403/3750)+0.39)*IF(B339=1,(0.066*(B397/220)+1.034),IF(B339=3,(0.09*(B396/20)+0.91),IF(B339=2,(0.36*(B395/385)+1.08))))*(0.11*(B584/1.2)+0.89)*(0.99/B572+0.01)*IF(B747=1,0.92,1.03)*((B911/600)^-0.74)*(0.96*(B910/12)+0.04)</f>
        <v>#VALUE!</v>
      </c>
      <c r="C1586">
        <v>1</v>
      </c>
    </row>
    <row r="1587" spans="1:3" x14ac:dyDescent="0.2">
      <c r="A1587">
        <v>2</v>
      </c>
      <c r="B1587" t="e">
        <f>(1.55*(B587/800)-0.4*(B587/800)^2-0.15)*(1-0.44*LN((B600+B$3071)/(100)))*(0.6*(B$3073/90)+0.4)*(0.1/(B340/250)+0.9)*(0.61*(B326/27)+0.39)*(0.4/B572+0.6)*IF(B747=1,0.92,1.03)*IF(B603=1,0.6,IF(B603=2,1.2,1))*(0.61*(B403/3750)+0.39)*IF(B339=1,(0.066*(B397/220)+1.034),IF(B339=3,(0.09*(B396/20)+0.91),IF(B339=2,(0.36*(B395/385)+1.08))))*(0.04*(B584/1.2)+0.96)*(0.97*(B910/12)+0.03)*((B911/600)^-0.74)</f>
        <v>#VALUE!</v>
      </c>
    </row>
    <row r="1588" spans="1:3" x14ac:dyDescent="0.2">
      <c r="A1588">
        <v>3</v>
      </c>
      <c r="B1588" t="e">
        <f>(0.07*(B587/800)+0.93)*(1-0.041*LN((B600+B$3071)/100))*(0.6*(B$3073/90)+0.4)*(0.1/(B340/250)+0.9)*(0.63*(B326/27)+0.07)*(1.02/B572-0.02)*IF(B747=1,0.95,1.02)*IF(B603=1,0.6,IF(B603=2,1.2,1))*(0.64*(B403/3750)+0.36)*IF(B339=1,(0.066*(B397/220)+1.034),IF(B339=3,(0.07*(B396/20)+0.93),IF(B339=2,(0.36*(B395/385)+1.08))))*(0.93*(B584/1.2)+0.07)*((B911/600)^-0.76)*IF(B927=2,1,IF(B927=1,1.49,IF(B927=3,1.98,IF(B927=7,5.91,IF(B927=10,1,3.95)))))</f>
        <v>#VALUE!</v>
      </c>
    </row>
    <row r="1589" spans="1:3" x14ac:dyDescent="0.2">
      <c r="A1589">
        <v>4</v>
      </c>
      <c r="B1589" t="e">
        <f>(0.07*(B587/800)+0.93)*(1-0.49*LN((B$3071/50)))*((0.86*(B$3073/90)+0.14))*(1/(B340/250))*IF(B747=1,(0.052*(B757/1020000)+0.26),1.25)*IF(B603=1,0.6,IF(B603=2,1.2,1))*(0.05*(B584/1.2)+0.95)*((0.9*(B910/12))+0.1)</f>
        <v>#VALUE!</v>
      </c>
    </row>
    <row r="1590" spans="1:3" x14ac:dyDescent="0.2">
      <c r="A1590">
        <v>1</v>
      </c>
      <c r="B1590" t="e">
        <f>(1.07*(B587/800)^-0.7)*(0.98*((B600+B$3071)/(100))^-1.12+0.02)*(0.6*(B$3073/90)+0.4)*(0.03/(B340/250)+0.97)*(0.61*(B326/27)+0.39)*(0.99/B572+0.01)*IF(B747=1,0.92,1.03)*(0.61*(B403/3750)+0.39)*IF(B339=1,(0.066*(B397/220)+1.034),IF(B339=3,(0.09*(B396/20)+0.91),IF(B339=2,(0.36*(B395/385)+1.08))))*(0.11*(B584/1.2)+0.89)*(0.96*(B910/12)+0.04)*((B911/600)^-0.74)</f>
        <v>#VALUE!</v>
      </c>
      <c r="C1590">
        <v>2</v>
      </c>
    </row>
    <row r="1591" spans="1:3" x14ac:dyDescent="0.2">
      <c r="A1591">
        <v>2</v>
      </c>
      <c r="B1591" t="e">
        <f>(1.55*(B587/800)-0.4*(B587/800)^2-0.15)*(1-0.44*LN((B600+B$3071)/(100)))*(0.6*(B$3073/90)+0.4)*(0.1/(B340/250)+0.9)*(0.61*(B326/27)+0.39)*(0.99/B572+0.01)*IF(B747=1,0.92,1.03)*IF(B603=1,0.6,IF(B603=2,1.2,1))*(0.61*(B403/3750)+0.39)*IF(B339=1,(0.066*(B397/220)+1.034),IF(B339=3,(0.09*(B396/20)+0.91),IF(B339=2,(0.36*(B395/385)+1.08))))*(0.04*(B584/1.2)+0.96)*((0.97*(B910/12))+0.03)*((B911/600)^-0.74)</f>
        <v>#VALUE!</v>
      </c>
    </row>
    <row r="1592" spans="1:3" x14ac:dyDescent="0.2">
      <c r="A1592">
        <v>3</v>
      </c>
      <c r="B1592" t="e">
        <f>(0.07*(B587/800)+0.93)*(1-0.041*LN((B600+B$3071)/100))*(0.6*(B$3073/90)+0.4)*(0.1/(B340/250)+0.9)*(0.63*(B326/27)+0.37)*(1.1/B572+0.1)*IF(B747=1,0.95,1.02)*IF(B603=1,0.6,IF(B603=2,1.2,1))*(0.64*(B403/3750)+0.36)*(0.93*(B584/1.2)+0.07)*IF(B339=1,(0.066*(B397/220)+1.034),IF(B339=3,(0.09*(B396/20)+0.91),IF(B339=2,(0.36*(B395/385)+1.09))))*((B911/600)^-0.82)*IF(B927=2,1,IF(B927=1,1.49,IF(B927=3,1.98,IF(B927=7,5.91,IF(B927=10,1,3.95)))))</f>
        <v>#VALUE!</v>
      </c>
    </row>
    <row r="1593" spans="1:3" x14ac:dyDescent="0.2">
      <c r="A1593">
        <v>4</v>
      </c>
      <c r="B1593" t="e">
        <f>(0.07*(B587/800)+0.93)*(1-0.52*LN((B$3071/50)))*(0.86*(B$3073/90)+0.14)*(1/(B340/250))*IF(B747=1,0.31,1.25)*IF(B603=1,0.6,IF(B603=2,1.2,1))*(0.05*(B584/1.2)+0.95)*((0.9*(B910/12))+0.1)</f>
        <v>#VALUE!</v>
      </c>
    </row>
    <row r="1594" spans="1:3" x14ac:dyDescent="0.2">
      <c r="A1594">
        <v>1</v>
      </c>
      <c r="B1594" t="e">
        <f>(1.07*(B587/800)^-0.7)*(0.98*((B600+B$3071)/(100))^-1.12+0.02)*(0.99/B572+0.01)*(0.03/(B340/250)+0.97)*(0.61*(B326/27)+0.39)*(0.4/(B572/1)+0.6)*IF(B747=1,0.92,1.03)*(0.61*(B403/3750)+0.39)*IF(B339=1,(0.066*(B397/220)+1.034),IF(B339=3,(0.09*(B396/20)+0.91),IF(B339=2,(0.36*(B395/385)+1.08))))*(0.11*(B584/1.2)+0.89)*(0.96*(B910/12)+0.04)*((B911/600)^-0.74)*(0.47*(B913/30)^2-2.07*(B913/30)+2.6)</f>
        <v>#VALUE!</v>
      </c>
      <c r="C1594">
        <v>3</v>
      </c>
    </row>
    <row r="1595" spans="1:3" x14ac:dyDescent="0.2">
      <c r="A1595">
        <v>2</v>
      </c>
      <c r="B1595" t="e">
        <f>(0.94*(B587/800)^2-0.52*(B587/800)+0.58)*(((B600+B$3071)/(100))^-0.75)*(0.6*(B$3073/90)+0.4)*(0.03/(B340/250)+0.97)*(0.61*(B326/27)+0.39)*(0.99/B572+0.01)*IF(B747=1,0.92,1.03)*IF(B603=1,0.6,IF(B603=2,1.2,1))*(0.69*(B403/3750)+0.31)*IF(B339=1,(0.066*(B397/220)+1.034),IF(B339=3,(0.09*(B396/20)+0.91),IF(B339=2,(0.36*(B395/385)+1.08))))*(0.04*(B584/1.2)+0.96)*((0.97*(B910/12))+0.03)*((B911/600)^-0.74)*IF(B913&gt;0,(1-0.98*LN(B913/30)),1)</f>
        <v>#VALUE!</v>
      </c>
    </row>
    <row r="1596" spans="1:3" x14ac:dyDescent="0.2">
      <c r="A1596">
        <v>3</v>
      </c>
      <c r="B1596" t="e">
        <f>(0.18*EXP(1.59*(B587/800)))*((B600+B$3071)/100)^-0.96*(0.6*(B$3073/90)+0.4)*1*(0.63*(B326/27)+0.37)*(1.1/B572+0.1)*IF(B747=1,0.99,1)*IF(B603=1,0.6,IF(B603=2,1.2,1))*(0.68*(B403/3750)+0.32)*IF(B339=1,1.01,IF(B339=3,(0.09*(B396/20)+0.91),IF(B339=2,(0.39*(B395/385)+1.1))))*(0.93*(B584/1.2)+0.07)*((B911/600)^-0.82)*IF(B913&gt;0,(1-0.5*LN(B913/30)),1)</f>
        <v>#VALUE!</v>
      </c>
    </row>
    <row r="1597" spans="1:3" x14ac:dyDescent="0.2">
      <c r="A1597">
        <v>4</v>
      </c>
      <c r="B1597" t="e">
        <f>(1.37*LN(B587/800)+1)*(1-0.88*LN((B$3071/50)))*(0.86*(B$3073/90)+0.14)*(0.05*(B326/27)+0.95)*(1/(B340/250))*IF(B747=1,(0.052*(B757/1020000)+0.26),1.25)*IF(B603=1,0.6,IF(B603=2,1.2,1))*(0.1*(B584/1.2)+0.9)*((1.01*(B910/12))-0.01)*(1.78-0.78*(B913/30))</f>
        <v>#VALUE!</v>
      </c>
    </row>
    <row r="1598" spans="1:3" x14ac:dyDescent="0.2">
      <c r="A1598">
        <v>1</v>
      </c>
      <c r="B1598" t="e">
        <f>(1.07*(B587/800)^-0.7)*(0.98*((B600+B$3071)/(100))^-1.12+0.02)*(0.6*(B$3073/90)+0.4)*(0.03/(B340/250)+0.97)*(0.61*(B326/27)+0.39)*(0.99/B572+0.01)*IF(B747=1,0.92,1.03)*(0.61*(B403/3750)+0.39)*IF(B339=1,(0.066*(B397/220)+1.034),IF(B339=3,(0.09*(B396/20)+0.91),IF(B339=2,(0.36*(B395/385)+1.08))))*(0.11*(B584/1.2)+0.89)*(0.96*(B910/12)+0.04)*((B911/600)^-0.74)</f>
        <v>#VALUE!</v>
      </c>
      <c r="C1598">
        <v>4</v>
      </c>
    </row>
    <row r="1599" spans="1:3" x14ac:dyDescent="0.2">
      <c r="A1599">
        <v>2</v>
      </c>
      <c r="B1599" t="e">
        <f>(1.55*(B587/800)-0.4*(B587/800)^2-0.15)*(1-0.44*LN((B600+B$3071)/(100)))*(0.6*(B$3073/90)+0.4)*(0.1/(B340/250)+0.9)*(0.61*(B326/27)+0.39)*(0.99/B572+0.01)*IF(B747=1,0.92,1.03)*IF(B603=1,0.6,IF(B603=2,1.2,1))*(0.61*(B403/3750)+0.39)*IF(B339=1,(0.066*(B397/220)+1.034),IF(B339=3,(0.09*(B396/20)+0.91),IF(B339=2,(0.36*(B395/385)+1.08))))*(0.04*(B584/1.2)+0.96)*(0.97*(B910/12)+0.03)*((B911/600)^-0.74)</f>
        <v>#VALUE!</v>
      </c>
    </row>
    <row r="1600" spans="1:3" x14ac:dyDescent="0.2">
      <c r="A1600">
        <v>3</v>
      </c>
      <c r="B1600" t="e">
        <f>(0.07*(B587/800)+0.93)*(1-0.041*LN((B600+B$3071)/100))*(0.6*(B$3073/90)+0.4)*(0.1/(B340/250)+0.9)*(0.63*(B326/27)+0.37)*(1.02/B572+0.02)*IF(B747=1,0.95,1.02)*IF(B603=1,0.6,IF(B603=2,1.2,1))*(0.64*(B403/3750)+0.36)*IF(B339=1,(0.066*(B397/220)+1.034),IF(B339=3,(0.09*(B396/20)+0.91),IF(B339=2,(0.36*(B395/385)+1.08))))*(0.93*(B584/1.2)+0.07)*((B911/600)^-0.82)*IF(B927=2,1,IF(B927=1,1.49,IF(B927=3,1.98,IF(B927=7,5.91,IF(B927=10,3.16,3.95)))))</f>
        <v>#VALUE!</v>
      </c>
    </row>
    <row r="1601" spans="1:3" x14ac:dyDescent="0.2">
      <c r="A1601">
        <v>4</v>
      </c>
      <c r="B1601" t="e">
        <f>(0.86*(B587/800)+0.14)*(1-0.52*LN((B$3071/50)))*(0.86*(B$3073/90)+0.14)*(1/(B340/250))*IF(B747=1,0.95,1.03)*IF(B603=1,0.6,IF(B603=2,1.2,1))*(0.05*(B584/1.2)+0.95)*((0.9*(B910/12))+0.1)</f>
        <v>#VALUE!</v>
      </c>
    </row>
    <row r="1602" spans="1:3" x14ac:dyDescent="0.2">
      <c r="A1602">
        <v>1</v>
      </c>
      <c r="B1602" t="e">
        <f>(2*(B587/800)^2 -1.94*(B587/800)+0.94)*(0.98*((B600+B$3071)/(100))^-1.12+0.02)*(0.6*(B$3073/90)+0.4)*(0.03/(B340/250)+0.97)*(0.61*(B326/27)+0.39)*(0.99/B572+0.01)*IF(B747=1,0.92,1.03)*IF(B603=1,0.36,IF(B603=2,1.42,1))*(0.61*(B403/3750)+0.39)*IF(B339=1,(0.066*(B397/220)+1.034),IF(B339=3,(0.09*(B396/20)+0.91),IF(B339=2,(0.36*(B395/385)+1.08))))*(0.11*(B584/1.2)+0.89)*(0.87*(B910/12)+0.13)*((B911/600)^-0.74)</f>
        <v>#VALUE!</v>
      </c>
      <c r="C1602">
        <v>5</v>
      </c>
    </row>
    <row r="1603" spans="1:3" x14ac:dyDescent="0.2">
      <c r="A1603">
        <v>2</v>
      </c>
      <c r="B1603" t="e">
        <f>(1.55*(B587/800)-0.4*(B587/800)^2-0.15)*(1-0.44*LN((B600+B$3071)/(100)))*(0.6*(B$3073/90)+0.4)*(0.1/(B340/250)+0.9)*(0.61*(B326/27)+0.39)*(0.99/B572+0.01)*IF(B747=1,0.92,1.03)*IF(B603=1,0.6,IF(B603=2,1.2,1))*(0.61*(B403/3750)+0.39)*IF(B339=1,(0.066*(B397/220)+1.034),IF(B339=3,(0.09*(B396/20)+0.91),IF(B339=2,(0.36*(B395/385)+1.08))))*(0.04*(B584/1.2)+0.96)*((0.97*(B910/12))+0.03)*((B911/600)^-0.74)</f>
        <v>#VALUE!</v>
      </c>
    </row>
    <row r="1604" spans="1:3" x14ac:dyDescent="0.2">
      <c r="A1604">
        <v>3</v>
      </c>
      <c r="B1604" t="e">
        <f>(0.07*(B587/800)+0.93)*(1-0.041*LN((B600+B$3071)/100))*(0.6*(B$3073/90)+0.4)*(0.1/(B340/250)+0.9)*(0.63*(B326/27)+0.37)*(1.02/B572+0.02)*IF(B747=1,0.95,1.02)*IF(B603=1,0.6,IF(B603=2,1.2,1))*(0.64*(B403/3750)+0.36)*IF(B339=1,(0.066*(B397/220)+1.034),IF(B339=3,(0.09*(B396/20)+0.91),IF(B339=2,(0.36*(B395/385)+1.08))))*(0.93*(B584/1.2)+0.07)*((B911/600)^-0.76)</f>
        <v>#VALUE!</v>
      </c>
    </row>
    <row r="1605" spans="1:3" x14ac:dyDescent="0.2">
      <c r="A1605">
        <v>4</v>
      </c>
      <c r="B1605" t="e">
        <f>(0.86*(B587/800)-0.14)*(1-0.52*LN((B$3071/50)))*(0.86*(B$3073/90)+0.14)*(1/(B340/250))*IF(B747=1,(0.052*(B757/1020000)+0.26),1.25)*IF(B603=1,0.6,IF(B603=2,1.2,1))*(0.05*(B584/1.2)+0.95)*((0.9*(B910/12))+0.1)</f>
        <v>#VALUE!</v>
      </c>
    </row>
    <row r="1606" spans="1:3" x14ac:dyDescent="0.2">
      <c r="A1606">
        <v>1</v>
      </c>
      <c r="B1606">
        <f>1</f>
        <v>1</v>
      </c>
      <c r="C1606">
        <v>6</v>
      </c>
    </row>
    <row r="1607" spans="1:3" x14ac:dyDescent="0.2">
      <c r="A1607">
        <v>2</v>
      </c>
      <c r="B1607">
        <f>1</f>
        <v>1</v>
      </c>
    </row>
    <row r="1608" spans="1:3" x14ac:dyDescent="0.2">
      <c r="A1608">
        <v>3</v>
      </c>
      <c r="B1608" t="e">
        <f>(0.45*(B587/800)+0.55)*(1-0.27*LN((B600+B$3071)/100))*(0.76*(B$3073/90)+0.24)*(0.66/(B340/250)+0.34)*(0.35*(B326/27)+0.65)*(0.56/B572+0.44)*IF(B747=1,0.66,1.12)*(0.35*(B403/3750)+0.65)*IF(B339=1,(0.035*(B397/220)+0.97),IF(B339=3,(0.09*(B396/20)+0.91),IF(B339=2,(0.2*(B395/385)+1.05))))*(1.04*(B584/1.2)-0.04)*(0.95*((B910/12))+0.05)*((B911/600)^-0.42)*IF(B927=2,1,IF(B927=1,1.49,IF(B927=3,1.98,IF(B927=7,5.91,IF(B927=10,1.43,3.95)))))</f>
        <v>#VALUE!</v>
      </c>
    </row>
    <row r="1609" spans="1:3" x14ac:dyDescent="0.2">
      <c r="A1609">
        <v>4</v>
      </c>
      <c r="B1609" t="e">
        <f>(0.86*(B587/800)+0.14)*(1-0.52*LN((B$3071)/100))*(0.86*(B$3073/90)+0.14)*(1/(B340/250))*IF(B747=1,(0.052*(B757/1020000)+0.26),1.25)*IF(B603=1,0.36,IF(B603=2,1.42,1))*(0.05*(B584/1.2)+0.95)*((0.9*(B910/12))+0.1)</f>
        <v>#VALUE!</v>
      </c>
    </row>
    <row r="1610" spans="1:3" x14ac:dyDescent="0.2">
      <c r="A1610">
        <v>1</v>
      </c>
      <c r="B1610" t="e">
        <f>(1.07*(B587/800)^1.98-0.07)*(0.98*((B600+B$3071)/(100))^-1.12+0.02)*(0.6*(B$3073/90)+0.4)*(0.03/(B340/250)+0.97)*(0.61*(B326/27)+0.39)*(0.99/B572+0.01)*IF(B747=1,0.92,1.03)*(0.61*(B403/3750)+0.39)*IF(B339=1,(0.066*(B397/220)+1.034),IF(B339=3,(0.09*(B396/20)+0.91),IF(B339=2,(0.36*(B395/385)+1.08))))*(0.11*(B584/1.2)+0.89)*(0.96*(B910/12)+0.04)*((B911/600)^-0.74)</f>
        <v>#VALUE!</v>
      </c>
      <c r="C1610">
        <v>7</v>
      </c>
    </row>
    <row r="1611" spans="1:3" x14ac:dyDescent="0.2">
      <c r="A1611">
        <v>2</v>
      </c>
      <c r="B1611" t="e">
        <f>(1.55*(B587/800)-0.4*(B587/800)^2-0.15)*(1-0.44*LN((B600+B$3071)/(100)))*(0.6*(B$3073/90)+0.4)*(0.1/(B340/250)+0.9)*(0.61*(B326/27)+0.39)*(0.99/B572+0.01)*IF(B747=1,0.92,1.03)*IF(B603=1,0.6,IF(B603=2,1.2,1))*(0.61*(B403/3750)+0.39)*IF(B339=1,(0.066*(B397/220)+1.034),IF(B339=3,(0.09*(B396/20)+0.91),IF(B339=2,(0.36*(B395/385)+1.08))))*(0.04*(B584/1.2)+0.96)*((0.97*(B910/12))+0.03)*((B911/600)^-0.74)</f>
        <v>#VALUE!</v>
      </c>
    </row>
    <row r="1612" spans="1:3" x14ac:dyDescent="0.2">
      <c r="A1612">
        <v>3</v>
      </c>
      <c r="B1612" t="e">
        <f>(0.07*(B587/800)+0.93)*(1-0.041*LN((B600+B$3071)/100))*(0.6*(B$3073/90)+0.4)*(0.1/(B340/250)+0.9)*(0.63*(B326/27)+0.37)*(1.02/B572-0.02)*IF(B747=1,0.99,1)*IF(B603=1,0.6,IF(B603=2,1.2,1))*(0.64*(B403/3750)+0.36)*IF(B339=1,(0.066*(B397/220)+1.034),IF(B339=3,(0.09*(B396/20)+0.91),IF(B339=2,(0.36*(B395/385)+1.08))))*(0.93*(B584/1.2)+0.07)*IF(B747=1,0.95,1.02)*((B911/600)^-0.74)*IF(B927=2,1,IF(B927=1,1.49,IF(B927=3,1.98,IF(B927=7,5.91,IF(B927=10,1,3.95)))))</f>
        <v>#VALUE!</v>
      </c>
    </row>
    <row r="1613" spans="1:3" x14ac:dyDescent="0.2">
      <c r="A1613">
        <v>4</v>
      </c>
      <c r="B1613" t="e">
        <f>(0.86*(B587/800)+0.15)*(1-0.52*LN((B$3071/50)))*(0.86*(B$3073/90)+0.14)*(1/(B340/250))*IF(B603=1,0.6,IF(B603=2,1.2,1))*(0.05*(B584/1.2)+0.95)*IF(B747=1,(0.052*(B757/1020000)+0.26),1.25)*((0.9*(B910/12))+0.1)</f>
        <v>#VALUE!</v>
      </c>
    </row>
    <row r="1614" spans="1:3" x14ac:dyDescent="0.2">
      <c r="A1614">
        <v>1</v>
      </c>
      <c r="B1614" t="e">
        <f>(1.38*LN(B587/800)+1)*(1-0.88*LN((B600+B$3071)/100))*(0.86*(B$3073/90)+0.14)*(1/(B340/250))*IF(B747=1,0.052*(B757/1020000)+0.26,1.25)*IF(B603=1,0.6,IF(B603=2,1.2,1))*(0.09*(B584/1.2)+0.91)*(0.9*(B910/12)+0.1)*((B911/600)^-0.74)*(1.79-0.79*(B913/30))</f>
        <v>#VALUE!</v>
      </c>
      <c r="C1614">
        <v>8</v>
      </c>
    </row>
    <row r="1615" spans="1:3" x14ac:dyDescent="0.2">
      <c r="A1615">
        <v>2</v>
      </c>
      <c r="B1615" t="e">
        <f>(0.94*((B587/800)^2-0.52*(B587/800)+0.58))*(((B600+B$3071)/(100))^-0.75)*(0.6*(B$3073/90)+0.4)*(0.03/(B340/250)+0.97)*(0.61*(B326/27)+0.39)*(0.99/B572+0.01)*IF(B747=1,0.92,1.03)*IF(B603=1,0.6,IF(B603=2,1.2,1))*(0.61*(B403/3750)+0.39)*IF(B339=1,(0.066*(B397/220)+1.034),IF(B339=3,(0.09*(B396/20)+0.91),IF(B339=2,(0.36*(B395/385)+1.08))))*(0.07*(B584/1.2)+0.93)*((0.97*(B910/12))+0.03)*((B911/600)^-0.74)*IF(B913&gt;0,(1-1.14*LN(B913/30)),1)</f>
        <v>#VALUE!</v>
      </c>
    </row>
    <row r="1616" spans="1:3" x14ac:dyDescent="0.2">
      <c r="A1616">
        <v>3</v>
      </c>
      <c r="B1616" t="e">
        <f>(0.07*(B587/800)+0.93)*(((B600+B$3071)/100)^-0.05)*(0.6*(B$3073/90)+0.4)*(0.1/(B340/250)+0.9)*(0.65*(B326/27)+0.35)*(1.05/B572-0.05)*IF(B747=1,0.96,1.01)*IF(B603=1,0.6,IF(B603=2,1.2,1))*(0.65*(B403/3750)+0.35)*IF(B339=1,(0.063*(B397/220)+0.94),IF(B339=3,(0.09*(B396/20)+0.91),IF(B339=2,(0.39*(B395/385)+1.1))))*(0.95*(B584/1.2)+0.05)*((B911/600)^-0.78)*(1.044-0.044*(B913/30))*IF(B927=2,1,IF(B927=1,1.49,IF(B927=3,1.98,IF(B927=7,5.91,IF(B927=10,1,3.95)))))</f>
        <v>#VALUE!</v>
      </c>
    </row>
    <row r="1617" spans="1:3" x14ac:dyDescent="0.2">
      <c r="A1617">
        <v>4</v>
      </c>
      <c r="B1617" t="e">
        <f>(1.37*LN(B587/800)+1)*(1-0.88*LN(B$3071/50))*1*(1/(B340/250))*IF(B747=1,0.052*(B757/1020000)+0.26,1.25)*IF(B603=1,0.6,IF(B603=2,1.2,1))*(0.1*(B584/1.2)+0.9)*((0.9*(B910/12))+0.1)*(1.78-0.78*(B913/30))</f>
        <v>#VALUE!</v>
      </c>
    </row>
    <row r="1618" spans="1:3" x14ac:dyDescent="0.2">
      <c r="A1618">
        <v>1</v>
      </c>
      <c r="B1618" t="e">
        <f>(0.79*(B587/800)+0.21)*(1-0.48*LN((B600+B$3071)/100))*(0.6*(B$3073/90)+0.4)*(0.1/(B340/250)+0.9)*(0.61*(B326/27)+0.39)*(0.99/B572+0.01)*IF(B747=1,0.92,1.03)*IF(B339=1,(0.066*(B397/220)+1.034),IF(B339=3,(0.09*(B396/20)+0.91),IF(B339=2,(0.36*(B395/385)+1.08))))*(0.05*(B584/1.2)+0.95)*(0.61*(B403/3750)+0.39)*((0.97*(B910/12))+0.03)*((B911/600)^-0.74)</f>
        <v>#VALUE!</v>
      </c>
      <c r="C1618">
        <v>9</v>
      </c>
    </row>
    <row r="1619" spans="1:3" x14ac:dyDescent="0.2">
      <c r="A1619">
        <v>2</v>
      </c>
      <c r="B1619" t="e">
        <f>(0.93*(B587/800)+0.07)*(1-0.561*LN((B600+B$3071)/100))*(0.6*(B$3073/90)+0.4)*(0.07/(B340/250)+0.93)*(0.61*(B326/27)+0.39)*(0.99/B572+0.01)*IF(B747=1,0.92,1.03)*IF(B603=1,0.6,IF(B603=2,1.2,1))*(0.61*(B403/3750)+0.39)*IF(B339=1,(0.066*(B397/220)+1.034),IF(B339=3,(0.09*(B396/20)+0.91),IF(B339=2,(0.36*(B395/385)+1.08))))*(0.06*(B584/1.2)+0.94)*(IF(B914=2,1.43,1))*(0.97*(B910/12)+0.03)*((B911/600)^-0.82)</f>
        <v>#VALUE!</v>
      </c>
    </row>
    <row r="1620" spans="1:3" x14ac:dyDescent="0.2">
      <c r="A1620">
        <v>3</v>
      </c>
      <c r="B1620" t="e">
        <f>(0.07*(B587/800)+0.93)*(1-0.04*LN((B600+B$3071)/100))*1*1*1*1*1*(0.93*(B584/1.2)+0.07)*(0.63*(B326/27)+0.37)*(0.64*(B403/3750)+0.36)*IF(B339=1,(0.066*(B397/220)+1.034),IF(B339=3,(0.09*(B396/20)+0.91),IF(B339=2,(0.36*(B395/385)+1.09))))*IF(B603=1,0.6,IF(B603=2,1.2,1))*IF(B747=1,0.95,1.02)*(1.02/B572-0.02)*IF(B927=2,1,IF(B927=1,1.49,IF(B927=3,1.98,IF(B927=7,5.91,IF(B927=10,1,3.95)))))*((B911/600)^-0.76)</f>
        <v>#VALUE!</v>
      </c>
    </row>
    <row r="1621" spans="1:3" x14ac:dyDescent="0.2">
      <c r="A1621">
        <v>4</v>
      </c>
      <c r="B1621" t="e">
        <f>(0.79*(B587/800)+0.21)*(1-0.48*LN(B$3071/50))*1*1*1*(0.05*(B584/1.2)+0.95)*IF(B603=1,0.6,IF(B603=2,1.2,1))*IF(B747=1,0.052*(B757/1020000)+0.26,1.25)*((0.9*(B910/12))+0.1)</f>
        <v>#VALUE!</v>
      </c>
    </row>
    <row r="1622" spans="1:3" x14ac:dyDescent="0.2">
      <c r="A1622">
        <v>1</v>
      </c>
      <c r="B1622" t="e">
        <f>(1.38*LN(B587/800)+1)*(1-0.88*LN((B600+B$3071)/100))*(0.86*(B$3073/90)+0.14)*(1/(B340/250))*IF(B747=1,0.052*(B757/1020000)+0.26,1.25)*IF(B603=1,0.6,IF(B603=2,1.2,1))*(0.09*(B584/1.2)+0.91)*((0.9*(B910/12))+0.1)*IF(B913&gt;0,(1.79-0.79*LN(B913/30)),1)</f>
        <v>#VALUE!</v>
      </c>
      <c r="C1622">
        <v>10</v>
      </c>
    </row>
    <row r="1623" spans="1:3" x14ac:dyDescent="0.2">
      <c r="A1623">
        <v>2</v>
      </c>
      <c r="B1623" t="e">
        <f>(0.94*(B587/800)^2-0.52*(B587/800)+0.58)*(((B600+B$3071)/(100))^-0.75)*(0.6*(B$3073/90)+0.4)*(0.03/(B340/250)+0.97)*(0.61*(B326/27)+0.39)*(0.99/B572+0.01)*IF(B747=1,0.92,1.03)*IF(B603=1,0.6,IF(B603=2,1.2,1))*(0.61*(B403/3750)+0.39)*IF(B339=1,(0.066*(B397/220)+1.034),IF(B339=3,(0.09*(B396/20)+0.91),IF(B339=2,(0.36*(B395/385)+1.08))))*(0.07*(B584/1.2)+0.93)*((0.97*(B910/12))+0.03)*((B911/600)^-0.74)*IF(B913&gt;0,(1-1.14*LN(B913/30)),1)</f>
        <v>#VALUE!</v>
      </c>
    </row>
    <row r="1624" spans="1:3" x14ac:dyDescent="0.2">
      <c r="A1624">
        <v>3</v>
      </c>
      <c r="B1624" t="e">
        <f>(0.078*LN(B587/800)+1)*(((B600+B$3071)/(100))^-0.05)*1*(0.6*(B$3073/90)+0.4)*(0.1/(B340/250)+0.9)*(0.65*(B326/27)+0.35)*(1.05/B572-0.05)*IF(B603=1,0.6,IF(B603=2,1.2,1))*(0.65*(B403/3750)+0.35)*IF(B339=1,(0.066*(B397/220)+1.034),IF(B339=3,(0.09*(B396/20)+0.91),IF(B339=2,(0.39*(B395/385)+1.1))))*(0.95*(B584/1.2)+0.05)*IF(B747=1,0.96,1.01)*((B911/600)^-0.42)*(1.044-0.044*(B913/30))*IF(B927=2,1,IF(B927=1,1.49,IF(B927=3,1.98,IF(B927=7,5.91,IF(B927=10,1,3.95)))))</f>
        <v>#VALUE!</v>
      </c>
    </row>
    <row r="1625" spans="1:3" x14ac:dyDescent="0.2">
      <c r="A1625">
        <v>4</v>
      </c>
      <c r="B1625" t="e">
        <f>(1.37*LN(B587/800)+1)*(1-0.88*LN(B$3071/50))*1*(0.87*(B$3073/90)+0.13)*(1/(B340/250))*IF(B747=1,0.31,1.25)*IF(B603=1,0.6,IF(B603=2,1.2,1))*(0.1*(B584/1.2)+0.9)*((0.97*(B910/12))+0.03)*(1.78-0.78*(B913/30))</f>
        <v>#VALUE!</v>
      </c>
    </row>
    <row r="1626" spans="1:3" x14ac:dyDescent="0.2">
      <c r="A1626">
        <v>1</v>
      </c>
      <c r="B1626" t="e">
        <f>(0.896*(B587/800)+0.11)*(1-0.521*LN((B600+B$3071)/100))*(0.86*(B$3073/90)+0.14)*(1/(B340/250))*IF(B747=1,0.31,1.25)*IF(B603=1,0.6,IF(B603=2,1.2,1))*(0.05*(B584/1.2)+0.95)*((0.9*(B910/12))+0.1)</f>
        <v>#VALUE!</v>
      </c>
      <c r="C1626">
        <v>11</v>
      </c>
    </row>
    <row r="1627" spans="1:3" x14ac:dyDescent="0.2">
      <c r="A1627">
        <v>2</v>
      </c>
      <c r="B1627" t="e">
        <f>(1.55*(B587/800)-0.4*(B587/800)^2-0.15)*(1-0.44*LN((B600+B$3071)/(100)))*(0.6*(B$3073/90)+0.4)*(0.1/(B340/250)+0.9)*(0.61*(B326/27)+0.39)*(0.99/B572+0.01)*IF(B747=1,0.93,1)*IF(B603=1,0.6,IF(B603=2,1.2,1))*(0.61*(B403/3750)+0.39)*IF(B339=1,(0.066*(B397/220)+1.034),IF(B339=3,(0.09*(B396/20)+0.91),IF(B339=2,(0.36*(B395/385)+1.08))))*(0.04*(B584/1.2)+0.96)*(0.97*(B910/12)+0.03)*((B911/600)^-0.74)</f>
        <v>#VALUE!</v>
      </c>
    </row>
    <row r="1628" spans="1:3" x14ac:dyDescent="0.2">
      <c r="A1628">
        <v>3</v>
      </c>
      <c r="B1628" t="e">
        <f>(0.07*(B587/800)+0.93)*(1-0.44*LN((B600+B$3071)/(100)))*(0.6*(B$3073/90)+0.4)*(0.1/(B340/250)+0.9)*(0.63*(B326/27)+0.37)*(1.02/B572-0.02)*IF(B747=1,0.92,1.03)*IF(B603=1,0.6,IF(B603=2,1.2,1))*(0.64*(B403/3750)+0.36)*IF(B339=1,(0.066*(B397/220)+1.034),IF(B339=3,(0.09*(B396/20)+0.91),IF(B339=2,(0.39*(B395/385)+1.1))))*(0.93*(B584/1.2)+0.07)*((B911/600)^-0.76)*IF(B927=2,1,IF(B927=1,1.49,IF(B927=3,1.98,IF(B927=7,5.91,IF(B927=10,3.16,3.95)))))</f>
        <v>#VALUE!</v>
      </c>
    </row>
    <row r="1629" spans="1:3" x14ac:dyDescent="0.2">
      <c r="A1629">
        <v>4</v>
      </c>
      <c r="B1629" t="e">
        <f>(0.86*(B587/800)+0.14)*(1-0.52*LN(B$3071/50))*(0.87*(B$3073/90)+0.13)*(1/(B340/250))*IF(B747=1,0.052*(B757/1020000)+0.26,1.25)*IF(B603=1,0.6,IF(B603=2,1.2,1))*(0.05*(B584/1.2)+0.95)*((0.9*(B910/12))+0.1)</f>
        <v>#VALUE!</v>
      </c>
    </row>
    <row r="1630" spans="1:3" x14ac:dyDescent="0.2">
      <c r="A1630">
        <v>1</v>
      </c>
      <c r="B1630">
        <f>1</f>
        <v>1</v>
      </c>
      <c r="C1630">
        <v>12</v>
      </c>
    </row>
    <row r="1631" spans="1:3" x14ac:dyDescent="0.2">
      <c r="A1631">
        <v>2</v>
      </c>
      <c r="B1631">
        <f>1</f>
        <v>1</v>
      </c>
    </row>
    <row r="1632" spans="1:3" x14ac:dyDescent="0.2">
      <c r="A1632">
        <v>3</v>
      </c>
      <c r="B1632" t="e">
        <f>(0.45*(B587/800)+0.55)*(1-0.271*LN((B600+B$3071)/(100)))*(0.76*(B$3073/90)+0.24)*(0.66/(B340/250)+0.34)*(0.35*(B326/27)+0.65)*(0.56/B572+0.44)*IF(B747=1,0.66,1.12)*(0.35*(B403/3750)+0.65)*IF(B339=1,(0.035*(B397/220)+0.97),IF(B339=3,(0.06*(B396/20)+0.94),IF(B339=2,(0.2*(B395/385)+1.05))))*(1.04*(B584/1.2)-0.04)*((0.95*(B910/12))+0.05)*((B911/600)^-0.42)*IF(B927=2,1,IF(B927=1,1.49,IF(B927=3,1.98,IF(B927=7,5.91,IF(B927=10,1,3.95)))))</f>
        <v>#VALUE!</v>
      </c>
    </row>
    <row r="1633" spans="1:3" x14ac:dyDescent="0.2">
      <c r="A1633">
        <v>4</v>
      </c>
      <c r="B1633" t="e">
        <f>(0.86*(B587/800)+0.14)*(1-0.521*LN(B$3071/50))*(0.86*(B$3073/90)+0.14)*(1/(B340/250))*IF(B747=1,0.052*(B757/1020000)+0.26,1.25)*IF(B603=1,0.35,IF(B603=2,1.42,1))*(0.05*(B584/1.2)+0.95)*IF(B603=1,0.6,IF(B603=2,1.2,1))</f>
        <v>#VALUE!</v>
      </c>
    </row>
    <row r="1634" spans="1:3" x14ac:dyDescent="0.2">
      <c r="A1634">
        <v>1</v>
      </c>
      <c r="B1634">
        <f>1</f>
        <v>1</v>
      </c>
      <c r="C1634">
        <v>13</v>
      </c>
    </row>
    <row r="1635" spans="1:3" x14ac:dyDescent="0.2">
      <c r="A1635">
        <v>2</v>
      </c>
      <c r="B1635">
        <v>1</v>
      </c>
    </row>
    <row r="1636" spans="1:3" x14ac:dyDescent="0.2">
      <c r="A1636">
        <v>3</v>
      </c>
      <c r="B1636" t="e">
        <f>(0.45*(B587/800)+0.55)*(1-0.271*LN((B600+B$3071)/(100)))*(0.76*(B$3073/90)+0.24)*(0.68/(B340/250)+0.32)*(0.56/B572+0.44)*IF(B747=1,0.66,1.05)*(0.35*(B403/3750)+0.65)*IF(B339=1,(0.035*(B397/220)+0.97),IF(B339=3,(0.06*(B396/20)+0.94),IF(B339=2,(0.2*(B395/385)+1.05))))*(1.04*(B584/1.2)-0.04)*(0.35*(B326/27)+0.65)*(0.95*((B910/12))+0.05)*((B911/600)^-0.42)*IF(B927=2,1,IF(B927=1,1.49,IF(B927=3,1.98,IF(B927=7,5.91,IF(B927=10,1,3.95)))))</f>
        <v>#VALUE!</v>
      </c>
    </row>
    <row r="1637" spans="1:3" x14ac:dyDescent="0.2">
      <c r="A1637">
        <v>4</v>
      </c>
      <c r="B1637" t="e">
        <f>(1.37*LN(B587/800)+1)*(1-0.88*LN(B$3071/50))*(0.87*(B$3073/90)+0.13)*(1/(B340/250))*IF(B747=1,0.052*(B757/1020000)+0.26,1.25)*IF(B603=1,0.367,IF(B603=2,1.44,1))*(0.1*(B584/1.2)+0.9)*IF(B603=1,0.6,IF(B603=2,1.2,1))*(0.06*(B911/600)+0.94)*(1.78-0.78*(B913/30))</f>
        <v>#VALUE!</v>
      </c>
    </row>
    <row r="1638" spans="1:3" x14ac:dyDescent="0.2">
      <c r="A1638">
        <v>1</v>
      </c>
      <c r="B1638">
        <f>1</f>
        <v>1</v>
      </c>
      <c r="C1638">
        <v>14</v>
      </c>
    </row>
    <row r="1639" spans="1:3" x14ac:dyDescent="0.2">
      <c r="A1639">
        <v>2</v>
      </c>
      <c r="B1639">
        <f>1</f>
        <v>1</v>
      </c>
    </row>
    <row r="1640" spans="1:3" x14ac:dyDescent="0.2">
      <c r="A1640">
        <v>3</v>
      </c>
      <c r="B1640" t="e">
        <f>(0.45*(B587/800)+0.55)*(1-0.271*LN((B600+B$3071)/(100)))*(0.76*(B$3073/90)+0.24)*(0.66/(B340/250)+0.34)*(0.35*(B326/27)+0.65)*(0.56/B572+0.44)*IF(B747=1,0.66,1.12)*(0.35*(B403/3750)+0.65)*IF(B339=1,(0.035*(B397/220)+0.97),IF(B339=3,(0.06*(B396/20)+0.94),IF(B339=2,(0.2*(B395/385)+1.05))))*(1.04*(B584/1.2)-0.04)*(0.95*((B910/12))+0.05)*((B911/600)^-0.42)*IF(B927=2,1,IF(B927=1,1.49,IF(B927=3,1.98,IF(B927=7,5.91,IF(B927=10,1.43,3.95)))))</f>
        <v>#VALUE!</v>
      </c>
    </row>
    <row r="1641" spans="1:3" x14ac:dyDescent="0.2">
      <c r="A1641">
        <v>4</v>
      </c>
      <c r="B1641" t="e">
        <f>(0.79*(B587/800)+0.21)*(1-0.48*LN(B$3071/50))*(0.86*(B$3073/90)+0.14)*(1/(B340/250))*(0.61*(B326/27)+0.39)*IF(B747=1,0.92,1.03)*(0.05*(B584/1.2)+0.95)*IF(B339=1,(0.066*(B397/220)+1.034),IF(B339=3,(0.09*(B396/20)+0.91),IF(B339=2,(0.36*(B395/385)+1.08))))*(0.61*(B403/3750)+0.39)*(0.98/B572+0.02)*((0.9*(B910/12))+0.1)*((B911/600)^-0.73)*(IF(B914=2,1.43,1))</f>
        <v>#VALUE!</v>
      </c>
    </row>
    <row r="1642" spans="1:3" x14ac:dyDescent="0.2">
      <c r="A1642">
        <v>1</v>
      </c>
      <c r="B1642">
        <f>1</f>
        <v>1</v>
      </c>
      <c r="C1642">
        <v>15</v>
      </c>
    </row>
    <row r="1643" spans="1:3" x14ac:dyDescent="0.2">
      <c r="A1643">
        <v>2</v>
      </c>
      <c r="B1643">
        <f>1</f>
        <v>1</v>
      </c>
    </row>
    <row r="1644" spans="1:3" x14ac:dyDescent="0.2">
      <c r="A1644">
        <v>3</v>
      </c>
      <c r="B1644" t="e">
        <f>(0.45*(B587/800)+0.55)*(1-0.271*LN((B600+B$3071)/(100)))*(0.76*(B$3073/90)+0.24)*(0.66/(B340/250)+0.34)*(0.35*(B326/27)+0.65)*(0.56/B572+0.44)*IF(B747=1,0.66,1.12)*IF(B339=1,(0.066*(B397/220)+1.034),IF(B339=3,(0.06*(B396/20)+0.94),IF(B339=2,(0.2*(B395/385)+1.05))))*(1.04*(B584/1.2)-0.04)*(0.35*(B403/3750)+0.65)*(0.95*((B910/12))+0.05)*((B911/600)^-0.42)*IF(B927=2,1,IF(B927=1,1.49,IF(B927=3,1.98,IF(B927=7,5.91,IF(B927=10,1,3.95)))))</f>
        <v>#VALUE!</v>
      </c>
    </row>
    <row r="1645" spans="1:3" x14ac:dyDescent="0.2">
      <c r="A1645">
        <v>4</v>
      </c>
      <c r="B1645" t="e">
        <f>(0.45*(B587/800)+0.55)*(1-0.521*LN(B$3071/50))*(0.86*(B$3073/90)+0.14)*(1/(B340/250))*IF(B747=1,0.052*(B757/1020000)+0.26,1.25)*IF(B603=1,0.6,IF(B603=2,1.2,1))*(0.05*(B584/1.2)+0.95)*((0.9*(B910/12))+0.1)</f>
        <v>#VALUE!</v>
      </c>
    </row>
    <row r="1646" spans="1:3" x14ac:dyDescent="0.2">
      <c r="A1646">
        <v>1</v>
      </c>
      <c r="B1646" t="e">
        <f>(0.15*EXP(1.8*B587/800))*(0.98*((B600+B$3071)/(100))^-1.12+0.02)*1*(0.6*(B$3073/90)+0.4)*(0.03/(B340/250)+0.97)*(0.61*(B326/27)+0.39)*(0.99/B572+0.01)*IF(B747=1,0.92,1.03)*(0.61*(B403/3750)+0.39)*IF(B339=1,(0.066*(B397/220)+1.034),IF(B339=3,(0.09*(B396/20)+0.91),IF(B339=2,(0.36*(B395/385)+1.08))))*(0.11*(B584/1.2)+0.89)*(0.96*((B910/12))+0.04)*((B911/600)^-0.74)</f>
        <v>#VALUE!</v>
      </c>
      <c r="C1646">
        <v>16</v>
      </c>
    </row>
    <row r="1647" spans="1:3" x14ac:dyDescent="0.2">
      <c r="A1647">
        <v>2</v>
      </c>
      <c r="B1647" t="e">
        <f>(1.55*(B587/800)-0.4*(B587/800)^2-0.15)*(1-0.44*LN((B600+B$3071)/(100)))*1*(0.6*(B$3073/90)+0.4)*(0.1/(B340/250)+0.9)*(0.61*(B326/27)+0.39)*(0.99/B572+0.01)*IF(B747=1,0.92,1.03)*(0.61*(B403/3750)+0.39)*IF(B339=1,(0.066*(B397/220)+1.034),IF(B339=3,(0.09*(B396/20)+0.91),IF(B339=2,(0.36*(B395/385)+1.08))))*(0.04*(B584/1.2)+0.96)*(0.97*((B910/12))+0.03)*((B911/600)^-0.74)</f>
        <v>#VALUE!</v>
      </c>
    </row>
    <row r="1648" spans="1:3" x14ac:dyDescent="0.2">
      <c r="A1648">
        <v>3</v>
      </c>
      <c r="B1648" t="e">
        <f>(0.45*(B587/800)+0.55)*(1-0.27*LN((B600+B$3071)/(100)))*(0.6*(B315/90)+0.4)*(0.1/(B340/250)+0.9)*(0.35*(B326/27)+0.65)*(0.56/B572+0.44)*IF(B747=1,0.66,1.12)*(0.35*(B403/3750)+0.65)*IF(B339=1,(0.035*(B397/220)+0.97),IF(B339=3,(0.06*(B396/20)+0.94),IF(B339=2,(0.2*(B395/385)+1.05))))*(1.04*(B584/1.2)-0.04)*(0.95*((B910/12))+0.05)*((B911/600)^-0.42)*IF(B927=2,1,IF(B927=1,1.49,IF(B927=3,1.98,IF(B927=7,5.91,IF(B927=10,3.16,3.95)))))</f>
        <v>#VALUE!</v>
      </c>
    </row>
    <row r="1649" spans="1:3" x14ac:dyDescent="0.2">
      <c r="A1649">
        <v>4</v>
      </c>
      <c r="B1649" t="e">
        <f>(0.86*(B587/800)+0.14)*(1-0.52*LN(B$3071/50))*(0.86*(B$3073/90)+0.14)*(1/(B340/250))*IF(B747=1,0.052*(B757/1020000)+0.26,1.25)*IF(B603=1,0.6,IF(B603=2,1.2,1))*(0.05*(B584/1.2)+0.95)*((0.9*(B910/12))+0.1)</f>
        <v>#VALUE!</v>
      </c>
    </row>
    <row r="1650" spans="1:3" x14ac:dyDescent="0.2">
      <c r="A1650">
        <v>1</v>
      </c>
      <c r="B1650" t="e">
        <f>(0.15*EXP(1.8*B587/800))*(0.98*((B600+B$3071)/(100))^-1.12+0.02)*(0.6*(B$3073/90)+0.4)*(0.03/(B340/250)+0.97)*(0.61*(B326/27)+0.39)*(0.99/B572+0.01)*IF(B747=1,0.92,1.03)*(0.61*(B403/3750)+0.39)*IF(B339=1,(0.066*(B397/220)+1.034),IF(B339=3,(0.09*(B396/20)+0.91),IF(B339=2,(0.36*(B395/385)+1.08))))*(0.11*(B584/1.2)+0.89)*(0.96*(B910/12)+0.04)*((B911/600)^-0.74)</f>
        <v>#VALUE!</v>
      </c>
      <c r="C1650">
        <v>17</v>
      </c>
    </row>
    <row r="1651" spans="1:3" x14ac:dyDescent="0.2">
      <c r="A1651">
        <v>2</v>
      </c>
      <c r="B1651" t="e">
        <f>(1.55*(B587/800)-0.4*(B587/800)^2-0.15)*(1-0.44*LN((B600+B$3071)/(100)))*(0.6*(B$3073/90)+0.4)*(0.1/(B340/250)+0.9)*(0.61*(B326/27)+0.39)*(0.99/B572+0.01)*IF(B747=1,0.92,1.03)*IF(B603=1,0.58,IF(B603=2,1.22,1))*(0.61*(B403/3750)+0.39)*IF(B339=1,(0.066*(B397/220)+1.034),IF(B339=3,(0.09*(B396/20)+0.91),IF(B339=2,(0.36*(B395/385)+1.08))))*(0.04*(B584/1.2)+0.96)*((0.97*(B910/12))+0.03)*((B911/600)^-0.74)</f>
        <v>#VALUE!</v>
      </c>
    </row>
    <row r="1652" spans="1:3" x14ac:dyDescent="0.2">
      <c r="A1652">
        <v>3</v>
      </c>
      <c r="B1652" t="e">
        <f>(1.34*(B587/800)-0.34*(B587/800)^2)*(1-0.38*LN((B600+B$3071)/(100)))*(0.6*(B$3073/90)+0.4)*(0.002/(B340/250)+0.998)*(0.68*(B326/27)+0.32)*(1.02/B572-0.02)*IF(B747=1,0.99,1.03)*IF(B603=1,0.6,IF(B603=2,1.2,1))*(0.68*(B403/3750)+0.32)*IF(B339=1,(0.066*(B397/220)+0.934),IF(B339=3,(0.09*(B396/20)+0.91),IF(B339=2,(0.39*(B395/385)+1.1))))*(0.17*(B584/1.2)+0.83)*((B911/600)^-0.82)*IF(B927=2,1,IF(B927=1,1.49,IF(B927=3,1.98,IF(B927=7,5.91,IF(B927=10,1.29,3.95)))))</f>
        <v>#VALUE!</v>
      </c>
    </row>
    <row r="1653" spans="1:3" x14ac:dyDescent="0.2">
      <c r="A1653">
        <v>4</v>
      </c>
      <c r="B1653" t="e">
        <f>(0.86*(B587/800)+0.14)*(1-0.52*LN(B$3071/50))*1*(1/(B340/250))*IF(B747=1,0.052*(B757/1020000)+0.26,1.25)*IF(B603=1,0.6,IF(B603=2,1.2,1))*(0.05*(B584/1.2)+0.95)*((0.9*(B910/12))+0.1)</f>
        <v>#VALUE!</v>
      </c>
    </row>
    <row r="1654" spans="1:3" x14ac:dyDescent="0.2">
      <c r="A1654">
        <v>1</v>
      </c>
      <c r="B1654" t="e">
        <f>(0.85*(B587/800)+0.15)*(1-0.521*LN((B600+B$3071)/100))*(0.86*(B$3073/90)+0.14)*(1/(B340/250))*IF(B747=1,0.052*(B757/1020000)+0.95,1.25)*IF(B603=1,0.6,IF(B603=2,1.2,1))*IF(B339=2,(0.204*(B395/385)+0.596),1)*(0.05*(B584/1.2)+0.95)*(0.9*(B910/12)+0.1)</f>
        <v>#VALUE!</v>
      </c>
      <c r="C1654">
        <v>18</v>
      </c>
    </row>
    <row r="1655" spans="1:3" x14ac:dyDescent="0.2">
      <c r="A1655">
        <v>2</v>
      </c>
      <c r="B1655" t="e">
        <f>(-0.4*(B587/800)^2+1.55*(B587/800)-0.15)*(1-0.44*LN((B600+B$3071)/(100)))*(0.6*(B$3073/90)+0.4)*(0.1/(B340/250)+0.9)*(0.61*(B326/27)+0.39)*(0.99/B572+0.01)*IF(B747=1,0.92,1.03)*IF(B603=1,0.6,IF(B603=2,1.2,1))*(0.61*(B403/3750)+0.39)*IF(B339=1,(0.066*(B397/220)+1.034),IF(B339=3,(0.09*(B396/20)+0.91),IF(B339=2,(0.36*(B395/385)+1.08))))*(0.04*(B584/1.2)+0.96)*((0.97*(B910/12))+0.03)*((B911/600)^-0.74)</f>
        <v>#VALUE!</v>
      </c>
    </row>
    <row r="1656" spans="1:3" x14ac:dyDescent="0.2">
      <c r="A1656">
        <v>3</v>
      </c>
      <c r="B1656" t="e">
        <f>(0.07*(B587/800)+0.93)*(1-0.38*LN((B600+B$3071)/(100)))*(0.6*(B$3073/90)+0.4)*(0.1/(B340/250)+0.9)*(0.68*(B326/27)+0.32)*(1.02/B572-0.02)*IF(B747=1,0.95,1.02)*IF(B603=1,0.6,IF(B603=2,1.2,1))*(0.64*(B403/3750)+0.36)*IF(B339=1,(0.066*(B397/220)+1.034),IF(B339=3,(0.09*(B396/20)+0.91),IF(B339=2,(0.36*(B395/385)+1.08))))*(0.93*(B584/1.2)+0.07)*((B911/600)^-0.76)*IF(B927=2,1,IF(B927=1,1.49,IF(B927=3,1.98,IF(B927=7,5.91,IF(B927=10,3.18,3.95)))))</f>
        <v>#VALUE!</v>
      </c>
    </row>
    <row r="1657" spans="1:3" x14ac:dyDescent="0.2">
      <c r="A1657">
        <v>4</v>
      </c>
      <c r="B1657" t="e">
        <f>(0.86*(B587/800)+0.14)*(1-0.52*LN((B$3071)/(100)))*(0.86*(B$3073/90)+0.14)*(1/(B340/250))*IF(B747=1,0.052*(B757/1020000)+0.26,1.25)*IF(B603=1,0.6,IF(B603=2,1.2,1))*(0.05*(B584/1.2)+0.95)*((0.9*(B910/12))+0.1)</f>
        <v>#VALUE!</v>
      </c>
    </row>
    <row r="1658" spans="1:3" x14ac:dyDescent="0.2">
      <c r="A1658">
        <v>1</v>
      </c>
      <c r="B1658" t="e">
        <f>(1.07*(B587/800)^2-0.32*(B587/800)+0.26)*(1-1.13*LN((B600+B$3071)/100))*(0.6*(B$3073/90)+0.4)*(0.03/(B340/250)+0.97)*(0.61*(B326/27)+0.39)*(0.99/B572+0.01)*IF(B747=1,0.92,1.03)*(0.61*(B403/3750)+0.39)*IF(B339=1,(0.066*(B397/220)+1.034),IF(B339=3,(0.09*(B396/20)+0.91),IF(B339=2,(0.36*(B395/385)+1.08))))*(0.1*(B584/1.2)+0.9)*((0.28/B940)+0.72)*((0.96*(B910/12))+0.04)*((B911/600)^-0.74)</f>
        <v>#VALUE!</v>
      </c>
      <c r="C1658">
        <v>19</v>
      </c>
    </row>
    <row r="1659" spans="1:3" x14ac:dyDescent="0.2">
      <c r="A1659">
        <v>2</v>
      </c>
      <c r="B1659" t="e">
        <f>(-0.4*(B587/800)^2+1.55*(B587/800)-0.15)*(1-0.44*LN((B600+B$3071)/(100)))*(0.61*(B$3073/90)+0.39)*(0.1/(B340/250)+0.9)*(0.61*(B326/27)+0.39)*(0.99/B572+0.01)*IF(B747=1,0.92,1.03)*IF(B603=1,0.6,IF(B603=2,1.2,1))*(0.61*(B403/3750)+0.39)*IF(B339=1,(0.066*(B397/220)+1.034),IF(B339=3,(0.09*(B396/20)+0.91),IF(B339=2,(0.36*(B395/385)+1.08))))*(0.04*(B584/1.2)+0.96)*((0.97*(B910/12))+0.03)*((B911/600)^-0.74)</f>
        <v>#VALUE!</v>
      </c>
    </row>
    <row r="1660" spans="1:3" x14ac:dyDescent="0.2">
      <c r="A1660">
        <v>3</v>
      </c>
      <c r="B1660" t="e">
        <f>(0.07*(B587/800)+0.93)*(1-0.04*LN((B600+B$3071)/(100)))*(0.6*(B$3073/90)+0.4)*(0.02/(B340/250)+0.98)*(0.63*(B326/27)+0.37)*(1.02/B572-0.02)*IF(B747=1,0.95,1.02)*IF(B603=1,0.6,IF(B603=2,1.2,1))*(0.35*(B403/3750)+0.65)*IF(B339=1,(0.066*(B397/220)+1.034),IF(B339=3,(0.09*(B396/20)+0.91),IF(B339=2,(0.36*(B395/385)+1.08))))*(0.93*(B584/1.2)+0.07)*((B911/600)^-0.76)*IF(B927=2,1,IF(B927=1,1.49,IF(B927=3,1.98,IF(B927=7,5.91,IF(B927=10,1,3.95)))))</f>
        <v>#VALUE!</v>
      </c>
    </row>
    <row r="1661" spans="1:3" x14ac:dyDescent="0.2">
      <c r="A1661">
        <v>4</v>
      </c>
      <c r="B1661" t="e">
        <f>(0.86*(B587/800)+0.14)*(1-0.52*LN((B$3071)/(100)))*(0.86*(B$3073/90)+0.14)*(1/(B340/250))*IF(B747=1,0.052*(B757/1020000)+0.26,1.25)*IF(B603=1,0.6,IF(B603=2,1.2,1))*(0.05*(B584/1.2)+0.95)*((0.9*(B910/12))+0.1)</f>
        <v>#VALUE!</v>
      </c>
    </row>
    <row r="1662" spans="1:3" x14ac:dyDescent="0.2">
      <c r="A1662">
        <v>1</v>
      </c>
      <c r="B1662" t="e">
        <f>(0.93*(B587/800)^2.1+0.07)*(1-1.13*LN((B600+B$3071)/100))*(0.6*(B$3073/90)+0.4)*(0.03/(B340/250)+0.97)*(0.61*(B326/27)+0.39)*(0.99/B572+0.01)*IF(B747=1,0.92,1.03)*(0.66*(B403/3750)+0.34)*IF(B339=1,(0.066*(B397/220)+1.034),IF(B339=3,(0.09*(B396/20)+0.91),IF(B339=2,(0.36*(B395/385)+1.08))))*(0.1*(B584/1.2)+0.9)*((0.28/B940)+0.72)*(0.96*(B910/12)+0.04)*((B911/600)^-0.74)</f>
        <v>#VALUE!</v>
      </c>
      <c r="C1662">
        <v>20</v>
      </c>
    </row>
    <row r="1663" spans="1:3" x14ac:dyDescent="0.2">
      <c r="A1663">
        <v>2</v>
      </c>
      <c r="B1663" t="e">
        <f>(-0.4*(B587/800)^2+1.55*(B587/800)-0.15)*(1-0.44*LN((B600+B$3071)/(100)))*(0.61*(B$3073/90)+0.39)*(0.1/(B340/250)+0.9)*(0.61*(B326/27)+0.39)*(1.11/B572-0.11)*IF(B747=1,1,1)*IF(B603=1,0.6,IF(B603=2,1.2,1))*(0.69*(B403/3750)+0.31)*IF(B339=1,(0.066*(B397/220)+1.034),IF(B339=3,(0.1*(B396/20)+0.9),IF(B339=2,(0.4*(B395/385)+1.09))))*(0.04*(B584/1.2)+0.96)*((0.98*(B910/12))+0.02)*((B911/600)^-0.82)</f>
        <v>#VALUE!</v>
      </c>
    </row>
    <row r="1664" spans="1:3" x14ac:dyDescent="0.2">
      <c r="A1664">
        <v>3</v>
      </c>
      <c r="B1664" t="e">
        <f>(0.07*(B587/800)+0.93)*(1-0.04*LN((B600+B$3071)/(100)))*(0.6*(B$3073/90)+0.4)*(0.02/(B340/250)+0.98)*(0.63*(B326/27)+0.37)*(1.02/B572-0.02)*IF(B747=1,0.95,1.02)*IF(B603=1,0.6,IF(B603=2,1.2,1))*(0.64*(B403/3750)+0.36)*IF(B339=1,(0.066*(B397/220)+1.034),IF(B339=3,(0.09*(B396/20)+0.91),IF(B339=2,(0.36*(B395/385)+1.08))))*(0.93*(B584/1.2)+0.07)*((B911/600)^-0.76)*IF(B927=2,1,IF(B927=1,1.49,IF(B927=3,1.98,IF(B927=7,5.91,IF(B927=10,1,3.95)))))</f>
        <v>#VALUE!</v>
      </c>
    </row>
    <row r="1665" spans="1:3" x14ac:dyDescent="0.2">
      <c r="A1665">
        <v>4</v>
      </c>
      <c r="B1665" t="e">
        <f>(0.86*(B587/800)+0.14)*(1-0.52*LN((B$3071)/(100)))*(0.86*(B$3073/90)+0.14)*(1/(B340/250))*IF(B747=1,0.052*(B757/1020000)+0.26,1.25)*(0.05*(B584/1.2)+0.95)*IF(B603=1,0.6,IF(B603=2,1.2,1))*((0.9*(B910/12))+0.1)</f>
        <v>#VALUE!</v>
      </c>
    </row>
    <row r="1666" spans="1:3" x14ac:dyDescent="0.2">
      <c r="A1666">
        <v>1</v>
      </c>
      <c r="B1666" t="e">
        <f>(1.07*(B587/800)^2-0.32*(B587/800)+0.26)*(1-1.13*LN((B600+B$3071)/100))*(0.6*(B$3073/90)+0.4)*(0.03/(B340/250)+0.97)*(0.61*(B326/27)+0.39)*(0.99/B572+0.01)*IF(B747=1,0.92,1.03)*(0.61*(B403/3750)+0.39)*IF(B339=1,(0.066*(B397/220)+1.034),IF(B339=3,(0.09*(B396/20)+0.91),IF(B339=2,(0.36*(B395/385)+1.08))))*(0.1*(B584/1.2)+0.9)*((0.28/B940)+0.72)*(0.96*(B910/12)+0.04)*((B911/600)^-0.74)</f>
        <v>#VALUE!</v>
      </c>
      <c r="C1666">
        <v>21</v>
      </c>
    </row>
    <row r="1667" spans="1:3" x14ac:dyDescent="0.2">
      <c r="A1667">
        <v>2</v>
      </c>
      <c r="B1667" t="e">
        <f>(0.94*(B587/800)^-0.52*(B587/800)+0.58)*(((B600+B$3071)/(100))^-0.75)*(0.61*(B$3073/90)+0.39)*(0.03/(B340/250)+0.97)*(0.61*(B326/27)+0.39)*(0.99/B572+0.01)*IF(B747=1,0.92,1.03)*IF(B603=1,0.6,IF(B603=2,1.2,1))*(0.61*(B403/3750)+0.39)*IF(B339=1,(0.066*(B397/220)+1.034),IF(B339=3,(0.09*(B396/20)+0.91),IF(B339=2,(0.36*(B395/385)+1.08))))*(0.07*(B584/1.2)+0.93)*((0.97*(B910/12))+0.03)*((B911/600)^-0.74)*IF(B913&gt;0,(1.98-0.98*LN(B913/30)),1)</f>
        <v>#VALUE!</v>
      </c>
    </row>
    <row r="1668" spans="1:3" x14ac:dyDescent="0.2">
      <c r="A1668">
        <v>3</v>
      </c>
      <c r="B1668" t="e">
        <f>(1.17*(B587/800)-0.17)*((B600+B$3071)/(100))^-0.96*(0.6*(B$3073/90)+0.4)*1*(0.63*(B326/27)+0.37)*IF(B747=1,0.99,1)*IF(B603=1,0.6,IF(B603=2,1.2,1))*(0.68*(B403/3750)+0.32)*IF(B339=1,(0.066*(B397/220)+1.034),IF(B339=3,(0.09*(B396/20)+0.91),IF(B339=2,(0.39*(B395/385)+1.1))))*(0.1*(B584/1.2)+0.9)*(1.1/B572-0.1)*((B911/600)^-0.82)*(1.47-0.47*(B913/30))</f>
        <v>#VALUE!</v>
      </c>
    </row>
    <row r="1669" spans="1:3" x14ac:dyDescent="0.2">
      <c r="A1669">
        <v>4</v>
      </c>
      <c r="B1669" t="e">
        <f>(-0.38*(B587/800)^2+2.2*(B587/800)-0.82)*(1-0.88*LN((B$3071)/(100)))*(0.86*(B$3073/90)+0.14)*(1/(B340/250))*(0.05*(B326/27)+0.95)*IF(B747=1,0.052*(B757/1020000)+0.26,1.25)*IF(B603=1,0.6,IF(B603=2,1.2,1))*IF(B603=1,0.36,IF(B603=2,1.42,1))*(0.1*(B584/1.2)+0.9)*((0.9*(B910/12))+0.1)*(1.78-0.78*(B913/30))</f>
        <v>#VALUE!</v>
      </c>
    </row>
    <row r="1670" spans="1:3" x14ac:dyDescent="0.2">
      <c r="A1670">
        <v>1</v>
      </c>
      <c r="B1670" t="e">
        <f>(0.67*(B587/800)^2+0.2*(B587/800)+0.13)*(1-1.13*LN((B600+B$3071)/100))*(0.6*(B$3073/90)+0.4)*(0.03/(B340/250)+0.97)*(0.61*(B326/27)+0.39)*(0.99/B572+0.01)*IF(B747=1,0.92,1.03)*(0.61*(B403/3750)+0.39)*IF(B339=1,(0.066*(B397/220)+1.034),IF(B339=3,(0.09*(B396/20)+0.91),IF(B339=2,(0.36*(B395/385)+1.08))))*(0.1*(B584/1.2)+0.9)*((0.28/B940)+0.72)*(0.96*(B910/12)+0.04)*((B911/600)^-0.74)</f>
        <v>#VALUE!</v>
      </c>
      <c r="C1670">
        <v>22</v>
      </c>
    </row>
    <row r="1671" spans="1:3" x14ac:dyDescent="0.2">
      <c r="A1671">
        <v>2</v>
      </c>
      <c r="B1671" t="e">
        <f>(1.55*(B587/800)-0.4*(B587/800)^2-0.15)*(1-0.44*LN((B600+B$3071)/(100)))*(0.6*(B$3073/90)+0.4)*(0.1/(B340/250)+0.9)*(0.61*(B326/27)+0.39)*(0.99/B572+0.01)*IF(B747=1,0.92,1.03)*IF(B603=1,0.6,IF(B603=2,1.2,1))*(0.61*(B403/3750)+0.39)*IF(B339=1,(0.066*(B397/220)+1.034),IF(B339=3,(0.09*(B396/20)+0.91),IF(B339=2,(0.36*(B395/385)+1.08))))*(0.04*(B584/1.2)+0.96)*(0.97*(B910/12)+0.03)*((B911/600)^-0.74)</f>
        <v>#VALUE!</v>
      </c>
    </row>
    <row r="1672" spans="1:3" x14ac:dyDescent="0.2">
      <c r="A1672">
        <v>3</v>
      </c>
      <c r="B1672" t="e">
        <f>(0.07*(B587/800)+0.93)*(1-0.04*LN((B600+B$3071)/(100)))*(0.59*(B$3073/90)+0.41)*(0.02/(B340/250)+0.98)*(0.67*(B326/27)+0.33)*(1.02/B572-0.02)*IF(B747=1,0.95,1.02)*IF(B603=1,0.6,IF(B603=2,1.2,1))*(0.64*(B403/3750)+0.36)*IF(B339=1,(0.066*(B397/220)+1.034),IF(B339=3,(0.06*(B396/20)+0.94),IF(B339=2,(0.36*(B395/385)+1.08))))*(0.93*(B584/1.2)+0.07)*((B911/600)^-0.76)*IF(B927=2,1,IF(B927=1,1.49,IF(B927=3,1.98,IF(B927=7,5.91,IF(B927=10,1,3.95)))))</f>
        <v>#VALUE!</v>
      </c>
    </row>
    <row r="1673" spans="1:3" x14ac:dyDescent="0.2">
      <c r="A1673">
        <v>4</v>
      </c>
      <c r="B1673" t="e">
        <f>(0.86*(B587/800)+0.14)*(1-0.52*LN((B$3071)/(100)))*(0.86*(B$3073/90)+0.14)*(1/(B340/250))*IF(B747=1,0.052*(B757/1020000)+0.26,1.25)*IF(B603=1,0.6,IF(B603=2,1.2,1))*(0.05*(B584/1.2)+0.95)*((0.9*(B910/12))+0.1)</f>
        <v>#VALUE!</v>
      </c>
    </row>
    <row r="1674" spans="1:3" x14ac:dyDescent="0.2">
      <c r="A1674">
        <v>1</v>
      </c>
      <c r="B1674" t="e">
        <f>(1.07*(B587/800)^2-0.32*(B587/800)+0.26)*(1-1.13*LN((B600+B$3071)/100))*(0.6*(B$3073/90)+0.4)*1*(0.61*(B326/27)+0.39)*(0.99/B572+0.01)*IF(B747=1,0.92,1.03)*IF(B603=1,0.36,IF(B603=2,1.42,1))*(0.61*(B403/3750)+0.39)*IF(B339=1,(0.066*(B397/220)+1.034),IF(B339=3,(0.09*(B396/20)+0.91),IF(B339=2,(0.36*(B395/385)+1.08))))*(0.1*(B584/1.2)+0.9)*((0.28/B940)+0.72)*(0.96*(B910/12)+0.04)*((B911/600)^-0.74)</f>
        <v>#VALUE!</v>
      </c>
      <c r="C1674">
        <v>23</v>
      </c>
    </row>
    <row r="1675" spans="1:3" x14ac:dyDescent="0.2">
      <c r="A1675">
        <v>2</v>
      </c>
      <c r="B1675" t="e">
        <f>(1.55*(B587/800)-0.4*(B587/800)^2-0.15)*(1-0.44*LN((B600+B$3071)/(100)))*(0.6*(B$3073/90)+0.4)*(0.1/(B340/250)+0.9)*(0.61*(B326/27)+0.39)*(0.99/B572+0.01)*IF(B747=1,0.92,1.03)*IF(B603=1,0.6,IF(B603=2,1.2,1))*(0.61*(B403/3750)+0.39)*IF(B339=1,(0.066*(B397/220)+1.034),IF(B339=3,(0.09*(B396/20)+0.91),IF(B339=2,(0.36*(B395/385)+1.08))))*(0.04*(B584/1.2)+0.96)*((0.97*(B910/12))+0.03)*((B911/600)^-0.74)</f>
        <v>#VALUE!</v>
      </c>
    </row>
    <row r="1676" spans="1:3" x14ac:dyDescent="0.2">
      <c r="A1676">
        <v>3</v>
      </c>
      <c r="B1676" t="e">
        <f>(0.07*(B587/800)+0.93)*(1-0.44*LN((B600+B$3071)/(100)))*(0.6*(B$3073/90)+0.4)*(0.1/(B340/250)+0.9)*(0.67*(B326/27)+0.33)*(1.02/B572-0.02)*IF(B747=1,0.95,1.02)*IF(B603=1,0.6,IF(B603=2,1.2,1))*(0.64*(B403/3750)+0.36)*IF(B339=1,(0.066*(B397/220)+1.034),IF(B339=3,(0.09*(B396/20)+0.91),IF(B339=2,(0.36*(B395/385)+1.08))))*(0.93*(B584/1.2)+0.07)*((B911/600)^-0.76)</f>
        <v>#VALUE!</v>
      </c>
    </row>
    <row r="1677" spans="1:3" x14ac:dyDescent="0.2">
      <c r="A1677">
        <v>4</v>
      </c>
      <c r="B1677" t="e">
        <f>(0.86*(B587/800)+0.14)*(1-0.52*LN((B$3071)/(100)))*(0.86*(B$3073/90)+0.14)*(1/(B340/250))*IF(B747=1,0.052*(B757/1020000)+0.26,1.25)*IF(B603=1,0.6,IF(B603=2,1.2,1))*(0.05*(B584/1.2)+0.95)*(0.9*(B910/12)+0.1)</f>
        <v>#VALUE!</v>
      </c>
    </row>
    <row r="1678" spans="1:3" x14ac:dyDescent="0.2">
      <c r="A1678">
        <v>1</v>
      </c>
      <c r="B1678" t="e">
        <f>(1.07*(B587/800)^2-0.32*(B587/800)+0.26)*(1-1.13*LN((B600+B$3071)/100))*(0.6*(B$3073/90)+0.4)*(1/(B340/250))*(0.61*(B326/27)+0.39)*(0.99/B572+0.01)*IF(B747=1,0.92,1.03)*(0.61*(B403/3750)+0.39)*IF(B339=1,(0.066*(B397/220)+1.034),IF(B339=3,(0.09*(B396/20)+0.91),IF(B339=2,(0.36*(B395/385)+1.08))))*(0.1*(B584/1.2)+0.9)*((0.72/B940)+0.28)*(0.96*(B910/12)+0.04)*((B911/600)^-0.74)</f>
        <v>#VALUE!</v>
      </c>
      <c r="C1678">
        <v>24</v>
      </c>
    </row>
    <row r="1679" spans="1:3" x14ac:dyDescent="0.2">
      <c r="A1679">
        <v>2</v>
      </c>
      <c r="B1679">
        <f>1</f>
        <v>1</v>
      </c>
    </row>
    <row r="1680" spans="1:3" x14ac:dyDescent="0.2">
      <c r="A1680">
        <v>3</v>
      </c>
      <c r="B1680">
        <f>1</f>
        <v>1</v>
      </c>
    </row>
    <row r="1681" spans="1:3" x14ac:dyDescent="0.2">
      <c r="A1681">
        <v>4</v>
      </c>
      <c r="B1681">
        <f>1</f>
        <v>1</v>
      </c>
    </row>
    <row r="1682" spans="1:3" x14ac:dyDescent="0.2">
      <c r="A1682">
        <v>1</v>
      </c>
      <c r="B1682" t="e">
        <f>(1.64*(B587/800)-0.64)*(1-0.98*LN((B600+B$3071)/100))*(0.6*(B$3073/90)+0.4)*(0.04/(B340/250)+0.96)*(0.61*(B326/27)+0.39)*(0.99/B572+0.01)*IF(B747=1,0.92,1.03)*(0.61*(B403/3750)+0.39)*IF(B339=1,(0.066*(B397/220)+1.034),IF(B339=3,(0.09*(B396/20)+0.91),IF(B339=2,(0.36*(B395/385)+1.08))))*(0.1*(B584/1.2)+0.9)*((0.72/B940)+0.28)*((0.96*(B910/12))+0.04)*((B911/600)^-0.74)*(1.44-0.44*(B913/30))</f>
        <v>#VALUE!</v>
      </c>
      <c r="C1682">
        <v>25</v>
      </c>
    </row>
    <row r="1683" spans="1:3" x14ac:dyDescent="0.2">
      <c r="A1683">
        <v>2</v>
      </c>
      <c r="B1683">
        <f>1</f>
        <v>1</v>
      </c>
    </row>
    <row r="1684" spans="1:3" x14ac:dyDescent="0.2">
      <c r="A1684">
        <v>3</v>
      </c>
      <c r="B1684">
        <f>1</f>
        <v>1</v>
      </c>
    </row>
    <row r="1685" spans="1:3" x14ac:dyDescent="0.2">
      <c r="A1685">
        <v>4</v>
      </c>
      <c r="B1685">
        <f>1</f>
        <v>1</v>
      </c>
    </row>
    <row r="1686" spans="1:3" x14ac:dyDescent="0.2">
      <c r="A1686">
        <v>1</v>
      </c>
      <c r="B1686" t="e">
        <f>(0.85*(B587/800)+0.15)*(1-0.54*LN((B600+B$3071)/100))*(0.6*(B$3073/90)+0.4)*(0.04/(B340/250)+0.96)*(0.61*(B326/27)+0.39)*(0.99/B572+0.01)*IF(B747=1,0.92,1.03)*IF(B339=1,(0.066*(B397/220)+1.034),IF(B339=3,(0.09*(B396/20)+0.91),IF(B339=2,(0.36*(B395/385)+1.08))))*(0.05*(B584/1.2)+0.95)*(0.61*(B403/3750)+0.39)*((0.97*(B910/12))+0.03)*((B911/600)^-0.74)*((0.72/B940)+0.28)*(IF(B914=2,1.43,1))</f>
        <v>#VALUE!</v>
      </c>
      <c r="C1686">
        <v>26</v>
      </c>
    </row>
    <row r="1687" spans="1:3" x14ac:dyDescent="0.2">
      <c r="A1687">
        <v>2</v>
      </c>
      <c r="B1687">
        <v>1</v>
      </c>
    </row>
    <row r="1688" spans="1:3" x14ac:dyDescent="0.2">
      <c r="A1688">
        <v>3</v>
      </c>
      <c r="B1688">
        <v>1</v>
      </c>
    </row>
    <row r="1689" spans="1:3" x14ac:dyDescent="0.2">
      <c r="A1689">
        <v>4</v>
      </c>
      <c r="B1689">
        <v>1</v>
      </c>
    </row>
    <row r="1690" spans="1:3" x14ac:dyDescent="0.2">
      <c r="A1690">
        <v>1</v>
      </c>
      <c r="B1690" t="e">
        <f>(1.07*(B587/800)^2-0.32*(B587/800)+0.26)*(1-1.13*LN((B600+B$3071)/100))*(0.6*(B$3073/90)+0.4)*(1/(B340/250))*(0.61*(B326/27)+0.39)*IF(B747=1,0.92,1.03)*(0.61*(B403/3750)+0.39)*IF(B339=1,(0.066*(B397/220)+1.034),IF(B339=3,(0.09*(B396/20)+0.91),IF(B339=2,(0.36*(B395/385)+1.08))))*(0.1*(B584/1.2)+0.9)*(0.99/B572+0.01)*((0.96*(B910/12))+0.04)*((B911/600)^-0.74)*((0.72/B940)+0.28)</f>
        <v>#VALUE!</v>
      </c>
      <c r="C1690">
        <v>27</v>
      </c>
    </row>
    <row r="1691" spans="1:3" x14ac:dyDescent="0.2">
      <c r="A1691">
        <v>2</v>
      </c>
      <c r="B1691">
        <v>1</v>
      </c>
    </row>
    <row r="1692" spans="1:3" x14ac:dyDescent="0.2">
      <c r="A1692">
        <v>3</v>
      </c>
      <c r="B1692">
        <v>1</v>
      </c>
    </row>
    <row r="1693" spans="1:3" x14ac:dyDescent="0.2">
      <c r="A1693">
        <v>4</v>
      </c>
      <c r="B1693">
        <v>1</v>
      </c>
    </row>
    <row r="1694" spans="1:3" x14ac:dyDescent="0.2">
      <c r="A1694">
        <v>1</v>
      </c>
      <c r="B1694" t="e">
        <f>(1.07*(B587/800)^2-0.32*(B587/800)+0.26)*(1-1.13*LN((B600+B$3071)/100))*(0.6*(B$3073/90)+0.4)*(1/(B340/250))*(0.61*(B326/27)+0.39)*IF(B747=1,0.92,1.03)*(0.61*(B403/3750)+0.39)*IF(B339=1,(0.066*(B397/220)+1.034),IF(B339=3,(0.09*(B396/20)+0.91),IF(B339=2,(0.36*(B395/385)+1.08))))*(0.1*(B584/1.2)+0.9)*(0.99/B572+0.01)*((0.96*(B910/12))+0.04)*((B911/600)^-0.74)*((0.72/B940)+0.28)</f>
        <v>#VALUE!</v>
      </c>
      <c r="C1694">
        <v>28</v>
      </c>
    </row>
    <row r="1695" spans="1:3" x14ac:dyDescent="0.2">
      <c r="A1695">
        <v>2</v>
      </c>
      <c r="B1695">
        <v>1</v>
      </c>
    </row>
    <row r="1696" spans="1:3" x14ac:dyDescent="0.2">
      <c r="A1696">
        <v>3</v>
      </c>
      <c r="B1696">
        <v>1</v>
      </c>
    </row>
    <row r="1697" spans="1:3" x14ac:dyDescent="0.2">
      <c r="A1697">
        <v>4</v>
      </c>
      <c r="B1697">
        <v>1</v>
      </c>
    </row>
    <row r="1701" spans="1:3" x14ac:dyDescent="0.2">
      <c r="A1701" t="s">
        <v>5203</v>
      </c>
    </row>
    <row r="1702" spans="1:3" x14ac:dyDescent="0.2">
      <c r="A1702" t="s">
        <v>5215</v>
      </c>
    </row>
    <row r="1703" spans="1:3" x14ac:dyDescent="0.2">
      <c r="A1703" t="s">
        <v>5205</v>
      </c>
      <c r="C1703" t="s">
        <v>4566</v>
      </c>
    </row>
    <row r="1704" spans="1:3" x14ac:dyDescent="0.2">
      <c r="A1704">
        <v>1</v>
      </c>
      <c r="B1704" t="e">
        <f>(1.07*(B587/800)^-0.7)*(0.98*((B600+B$3071)/(100))^-1.12+0.02)*(0.6*(B$3073/90)+0.4)*(0.03/(B340/250)+0.97)*(0.61*(B326/27)+0.39)*IF(B747=1,0.99,1)*(0.61*(B403/3750)+0.39)*IF(B339=1,(0.066*(B397/220)+1.034),IF(B339=3,(0.09*(B396/20)+0.91),IF(B339=2,(0.36*(B395/385)+1.08))))*(0.11*(B584/1.2)+0.89)*(0.99/B572+0.01)*IF(B747=1,0.92,1.03)*((B987/600)^-0.74)*(0.96*(B986/12)+0.04)</f>
        <v>#VALUE!</v>
      </c>
      <c r="C1704">
        <v>1</v>
      </c>
    </row>
    <row r="1705" spans="1:3" x14ac:dyDescent="0.2">
      <c r="A1705">
        <v>2</v>
      </c>
      <c r="B1705" t="e">
        <f>(1.55*(B587/800)-0.4*(B587/800)^2-0.15)*(1-0.44*LN((B600+B$3071)/(100)))*(0.6*(B$3073/90)+0.4)*(0.1/(B340/250)+0.9)*(0.61*(B326/27)+0.39)*(0.4/B572+0.6)*IF(B747=1,0.92,1.03)*IF(B603=1,0.6,IF(B603=2,1.2,1))*(0.61*(B403/3750)+0.39)*IF(B339=1,(0.066*(B397/220)+1.034),IF(B339=3,(0.09*(B396/20)+0.91),IF(B339=2,(0.36*(B395/385)+1.08))))*(0.04*(B584/1.2)+0.96)*(0.97*(B986/12)+0.03)*((B987/600)^-0.74)</f>
        <v>#VALUE!</v>
      </c>
    </row>
    <row r="1706" spans="1:3" x14ac:dyDescent="0.2">
      <c r="A1706">
        <v>3</v>
      </c>
      <c r="B1706" t="e">
        <f>(0.07*(B587/800)+0.93)*(1-0.041*LN((B600+B$3071)/100))*(0.6*(B$3073/90)+0.4)*(0.1/(B340/250)+0.9)*(0.63*(B326/27)+0.07)*(1.02/B572-0.02)*IF(B747=1,0.95,1.02)*IF(B603=1,0.6,IF(B603=2,1.2,1))*(0.64*(B403/3750)+0.36)*IF(B339=1,(0.066*(B397/220)+1.034),IF(B339=3,(0.07*(B396/20)+0.93),IF(B339=2,(0.36*(B395/385)+1.08))))*(0.93*(B584/1.2)+0.07)*((B987/600)^-0.76)*IF(#REF!=2,1,IF(#REF!=1,1.49,IF(#REF!=3,1.98,IF(#REF!=7,5.91,IF(#REF!=10,1,3.95)))))</f>
        <v>#VALUE!</v>
      </c>
    </row>
    <row r="1707" spans="1:3" x14ac:dyDescent="0.2">
      <c r="A1707">
        <v>4</v>
      </c>
      <c r="B1707" t="e">
        <f>(0.07*(B587/800)+0.93)*(1-0.49*LN((B$3071/50)))*((0.86*(B$3073/90)+0.14))*(1/(B340/250))*IF(B747=1,(0.052*(B757/1020000)+0.26),1.25)*IF(B603=1,0.6,IF(B603=2,1.2,1))*(0.05*(B584/1.2)+0.95)*((0.9*(B986/12))+0.1)</f>
        <v>#VALUE!</v>
      </c>
    </row>
    <row r="1708" spans="1:3" x14ac:dyDescent="0.2">
      <c r="A1708">
        <v>1</v>
      </c>
      <c r="B1708" t="e">
        <f>(1.07*(B587/800)^-0.7)*(0.98*((B600+B$3071)/(100))^-1.12+0.02)*(0.6*(B$3073/90)+0.4)*(0.03/(B340/250)+0.97)*(0.61*(B326/27)+0.39)*(0.99/B572+0.01)*IF(B747=1,0.92,1.03)*(0.61*(B403/3750)+0.39)*IF(B339=1,(0.066*(B397/220)+1.034),IF(B339=3,(0.09*(B396/20)+0.91),IF(B339=2,(0.36*(B395/385)+1.08))))*(0.11*(B584/1.2)+0.89)*(0.96*(B986/12)+0.04)*((B987/600)^-0.74)</f>
        <v>#VALUE!</v>
      </c>
      <c r="C1708">
        <v>2</v>
      </c>
    </row>
    <row r="1709" spans="1:3" x14ac:dyDescent="0.2">
      <c r="A1709">
        <v>2</v>
      </c>
      <c r="B1709" t="e">
        <f>(1.55*(B587/800)-0.4*(B587/800)^2-0.15)*(1-0.44*LN((B600+B$3071)/(100)))*(0.6*(B$3073/90)+0.4)*(0.1/(B340/250)+0.9)*(0.61*(B326/27)+0.39)*(0.99/B572+0.01)*IF(B747=1,0.92,1.03)*IF(B603=1,0.6,IF(B603=2,1.2,1))*(0.61*(B403/3750)+0.39)*IF(B339=1,(0.066*(B397/220)+1.034),IF(B339=3,(0.09*(B396/20)+0.91),IF(B339=2,(0.36*(B395/385)+1.08))))*(0.04*(B584/1.2)+0.96)*((0.97*(B986/12))+0.03)*((B987/600)^-0.74)</f>
        <v>#VALUE!</v>
      </c>
    </row>
    <row r="1710" spans="1:3" x14ac:dyDescent="0.2">
      <c r="A1710">
        <v>3</v>
      </c>
      <c r="B1710" t="e">
        <f>(0.07*(B587/800)+0.93)*(1-0.041*LN((B600+B$3071)/100))*(0.6*(B$3073/90)+0.4)*(0.1/(B340/250)+0.9)*(0.63*(B326/27)+0.37)*(1.1/B572+0.1)*IF(B747=1,0.95,1.02)*IF(B603=1,0.6,IF(B603=2,1.2,1))*(0.64*(B403/3750)+0.36)*(0.93*(B584/1.2)+0.07)*IF(B339=1,(0.066*(B397/220)+1.034),IF(B339=3,(0.09*(B396/20)+0.91),IF(B339=2,(0.36*(B395/385)+1.09))))*((B987/600)^-0.82)*IF(#REF!=2,1,IF(#REF!=1,1.49,IF(#REF!=3,1.98,IF(#REF!=7,5.91,IF(#REF!=10,1,3.95)))))</f>
        <v>#VALUE!</v>
      </c>
    </row>
    <row r="1711" spans="1:3" x14ac:dyDescent="0.2">
      <c r="A1711">
        <v>4</v>
      </c>
      <c r="B1711" t="e">
        <f>(0.07*(B587/800)+0.93)*(1-0.52*LN((B$3071/50)))*(0.86*(B$3073/90)+0.14)*(1/(B340/250))*IF(B747=1,0.31,1.25)*IF(B603=1,0.6,IF(B603=2,1.2,1))*(0.05*(B584/1.2)+0.95)*((0.9*(B986/12))+0.1)</f>
        <v>#VALUE!</v>
      </c>
    </row>
    <row r="1712" spans="1:3" x14ac:dyDescent="0.2">
      <c r="A1712">
        <v>1</v>
      </c>
      <c r="B1712" t="e">
        <f>(1.07*(B587/800)^-0.7)*(0.98*((B600+B$3071)/(100))^-1.12+0.02)*(0.99/B572+0.01)*(0.03/(B340/250)+0.97)*(0.61*(B326/27)+0.39)*(0.4/(B572/1)+0.6)*IF(B747=1,0.92,1.03)*(0.61*(B403/3750)+0.39)*IF(B339=1,(0.066*(B397/220)+1.034),IF(B339=3,(0.09*(B396/20)+0.91),IF(B339=2,(0.36*(B395/385)+1.08))))*(0.11*(B584/1.2)+0.89)*(0.96*(B986/12)+0.04)*((B987/600)^-0.74)*(0.47*(#REF!/30)^2-2.07*(#REF!/30)+2.6)</f>
        <v>#VALUE!</v>
      </c>
      <c r="C1712">
        <v>3</v>
      </c>
    </row>
    <row r="1713" spans="1:3" x14ac:dyDescent="0.2">
      <c r="A1713">
        <v>2</v>
      </c>
      <c r="B1713" t="e">
        <f>(0.94*(B587/800)^2-0.52*(B587/800)+0.58)*(((B600+B$3071)/(100))^-0.75)*(0.6*(B$3073/90)+0.4)*(0.03/(B340/250)+0.97)*(0.61*(B326/27)+0.39)*(0.99/B572+0.01)*IF(B747=1,0.92,1.03)*IF(B603=1,0.6,IF(B603=2,1.2,1))*(0.69*(B403/3750)+0.31)*IF(B339=1,(0.066*(B397/220)+1.034),IF(B339=3,(0.09*(B396/20)+0.91),IF(B339=2,(0.36*(B395/385)+1.08))))*(0.04*(B584/1.2)+0.96)*((0.97*(B986/12))+0.03)*((B987/600)^-0.74)*IF(#REF!&gt;0,(1-0.98*LN(#REF!/30)),1)</f>
        <v>#VALUE!</v>
      </c>
    </row>
    <row r="1714" spans="1:3" x14ac:dyDescent="0.2">
      <c r="A1714">
        <v>3</v>
      </c>
      <c r="B1714" t="e">
        <f>(0.18*EXP(1.59*(B587/800)))*((B600+B$3071)/100)^-0.96*(0.6*(B$3073/90)+0.4)*1*(0.63*(B326/27)+0.37)*(1.1/B572+0.1)*IF(B747=1,0.99,1)*IF(B603=1,0.6,IF(B603=2,1.2,1))*(0.68*(B403/3750)+0.32)*IF(B339=1,1.01,IF(B339=3,(0.09*(B396/20)+0.91),IF(B339=2,(0.39*(B395/385)+1.1))))*(0.93*(B584/1.2)+0.07)*((B987/600)^-0.82)*IF(#REF!&gt;0,(1-0.5*LN(#REF!/30)),1)</f>
        <v>#VALUE!</v>
      </c>
    </row>
    <row r="1715" spans="1:3" x14ac:dyDescent="0.2">
      <c r="A1715">
        <v>4</v>
      </c>
      <c r="B1715" t="e">
        <f>(1.37*LN(B587/800)+1)*(1-0.88*LN((B$3071/50)))*(0.86*(B$3073/90)+0.14)*(0.05*(B326/27)+0.95)*(1/(B340/250))*IF(B747=1,(0.052*(B757/1020000)+0.26),1.25)*IF(B603=1,0.6,IF(B603=2,1.2,1))*(0.1*(B584/1.2)+0.9)*((1.01*(B986/12))-0.01)*(1.78-0.78*(#REF!/30))</f>
        <v>#VALUE!</v>
      </c>
    </row>
    <row r="1716" spans="1:3" x14ac:dyDescent="0.2">
      <c r="A1716">
        <v>1</v>
      </c>
      <c r="B1716" t="e">
        <f>(1.07*(B587/800)^-0.7)*(0.98*((B600+B$3071)/(100))^-1.12+0.02)*(0.6*(B$3073/90)+0.4)*(0.03/(B340/250)+0.97)*(0.61*(B326/27)+0.39)*(0.99/B572+0.01)*IF(B747=1,0.92,1.03)*(0.61*(B403/3750)+0.39)*IF(B339=1,(0.066*(B397/220)+1.034),IF(B339=3,(0.09*(B396/20)+0.91),IF(B339=2,(0.36*(B395/385)+1.08))))*(0.11*(B584/1.2)+0.89)*(0.96*(B986/12)+0.04)*((B987/600)^-0.74)</f>
        <v>#VALUE!</v>
      </c>
      <c r="C1716">
        <v>4</v>
      </c>
    </row>
    <row r="1717" spans="1:3" x14ac:dyDescent="0.2">
      <c r="A1717">
        <v>2</v>
      </c>
      <c r="B1717" t="e">
        <f>(1.55*(B587/800)-0.4*(B587/800)^2-0.15)*(1-0.44*LN((B600+B$3071)/(100)))*(0.6*(B$3073/90)+0.4)*(0.1/(B340/250)+0.9)*(0.61*(B326/27)+0.39)*(0.99/B572+0.01)*IF(B747=1,0.92,1.03)*IF(B603=1,0.6,IF(B603=2,1.2,1))*(0.61*(B403/3750)+0.39)*IF(B339=1,(0.066*(B397/220)+1.034),IF(B339=3,(0.09*(B396/20)+0.91),IF(B339=2,(0.36*(B395/385)+1.08))))*(0.04*(B584/1.2)+0.96)*(0.97*(B986/12)+0.03)*((B987/600)^-0.74)</f>
        <v>#VALUE!</v>
      </c>
    </row>
    <row r="1718" spans="1:3" x14ac:dyDescent="0.2">
      <c r="A1718">
        <v>3</v>
      </c>
      <c r="B1718" t="e">
        <f>(0.07*(B587/800)+0.93)*(1-0.041*LN((B600+B$3071)/100))*(0.6*(B$3073/90)+0.4)*(0.1/(B340/250)+0.9)*(0.63*(B326/27)+0.37)*(1.02/B572+0.02)*IF(B747=1,0.95,1.02)*IF(B603=1,0.6,IF(B603=2,1.2,1))*(0.64*(B403/3750)+0.36)*IF(B339=1,(0.066*(B397/220)+1.034),IF(B339=3,(0.09*(B396/20)+0.91),IF(B339=2,(0.36*(B395/385)+1.08))))*(0.93*(B584/1.2)+0.07)*((B987/600)^-0.82)*IF(#REF!=2,1,IF(#REF!=1,1.49,IF(#REF!=3,1.98,IF(#REF!=7,5.91,IF(#REF!=10,3.16,3.95)))))</f>
        <v>#VALUE!</v>
      </c>
    </row>
    <row r="1719" spans="1:3" x14ac:dyDescent="0.2">
      <c r="A1719">
        <v>4</v>
      </c>
      <c r="B1719" t="e">
        <f>(0.86*(B587/800)+0.14)*(1-0.52*LN((B$3071/50)))*(0.86*(B$3073/90)+0.14)*(1/(B340/250))*IF(B747=1,0.95,1.03)*IF(B603=1,0.6,IF(B603=2,1.2,1))*(0.05*(B584/1.2)+0.95)*((0.9*(B986/12))+0.1)</f>
        <v>#VALUE!</v>
      </c>
    </row>
    <row r="1720" spans="1:3" x14ac:dyDescent="0.2">
      <c r="A1720">
        <v>1</v>
      </c>
      <c r="B1720" t="e">
        <f>(2*(B587/800)^2 -1.94*(B587/800)+0.94)*(0.98*((B600+B$3071)/(100))^-1.12+0.02)*(0.6*(B$3073/90)+0.4)*(0.03/(B340/250)+0.97)*(0.61*(B326/27)+0.39)*(0.99/B572+0.01)*IF(B747=1,0.92,1.03)*IF(B603=1,0.36,IF(B603=2,1.42,1))*(0.61*(B403/3750)+0.39)*IF(B339=1,(0.066*(B397/220)+1.034),IF(B339=3,(0.09*(B396/20)+0.91),IF(B339=2,(0.36*(B395/385)+1.08))))*(0.11*(B584/1.2)+0.89)*(0.87*(B986/12)+0.13)*((B987/600)^-0.74)</f>
        <v>#VALUE!</v>
      </c>
      <c r="C1720">
        <v>5</v>
      </c>
    </row>
    <row r="1721" spans="1:3" x14ac:dyDescent="0.2">
      <c r="A1721">
        <v>2</v>
      </c>
      <c r="B1721" t="e">
        <f>(1.55*(B587/800)-0.4*(B587/800)^2-0.15)*(1-0.44*LN((B600+B$3071)/(100)))*(0.6*(B$3073/90)+0.4)*(0.1/(B340/250)+0.9)*(0.61*(B326/27)+0.39)*(0.99/B572+0.01)*IF(B747=1,0.92,1.03)*IF(B603=1,0.6,IF(B603=2,1.2,1))*(0.61*(B403/3750)+0.39)*IF(B339=1,(0.066*(B397/220)+1.034),IF(B339=3,(0.09*(B396/20)+0.91),IF(B339=2,(0.36*(B395/385)+1.08))))*(0.04*(B584/1.2)+0.96)*((0.97*(B986/12))+0.03)*((B987/600)^-0.74)</f>
        <v>#VALUE!</v>
      </c>
    </row>
    <row r="1722" spans="1:3" x14ac:dyDescent="0.2">
      <c r="A1722">
        <v>3</v>
      </c>
      <c r="B1722" t="e">
        <f>(0.07*(B587/800)+0.93)*(1-0.041*LN((B600+B$3071)/100))*(0.6*(B$3073/90)+0.4)*(0.1/(B340/250)+0.9)*(0.63*(B326/27)+0.37)*(1.02/B572+0.02)*IF(B747=1,0.95,1.02)*IF(B603=1,0.6,IF(B603=2,1.2,1))*(0.64*(B403/3750)+0.36)*IF(B339=1,(0.066*(B397/220)+1.034),IF(B339=3,(0.09*(B396/20)+0.91),IF(B339=2,(0.36*(B395/385)+1.08))))*(0.93*(B584/1.2)+0.07)*((B987/600)^-0.76)</f>
        <v>#VALUE!</v>
      </c>
    </row>
    <row r="1723" spans="1:3" x14ac:dyDescent="0.2">
      <c r="A1723">
        <v>4</v>
      </c>
      <c r="B1723" t="e">
        <f>(0.86*(B587/800)-0.14)*(1-0.52*LN((B$3071/50)))*(0.86*(B$3073/90)+0.14)*(1/(B340/250))*IF(B747=1,(0.052*(B757/1020000)+0.26),1.25)*IF(B603=1,0.6,IF(B603=2,1.2,1))*(0.05*(B584/1.2)+0.95)*((0.9*(B986/12))+0.1)</f>
        <v>#VALUE!</v>
      </c>
    </row>
    <row r="1724" spans="1:3" x14ac:dyDescent="0.2">
      <c r="A1724">
        <v>1</v>
      </c>
      <c r="B1724">
        <f>1</f>
        <v>1</v>
      </c>
      <c r="C1724">
        <v>6</v>
      </c>
    </row>
    <row r="1725" spans="1:3" x14ac:dyDescent="0.2">
      <c r="A1725">
        <v>2</v>
      </c>
      <c r="B1725">
        <f>1</f>
        <v>1</v>
      </c>
    </row>
    <row r="1726" spans="1:3" x14ac:dyDescent="0.2">
      <c r="A1726">
        <v>3</v>
      </c>
      <c r="B1726" t="e">
        <f>(0.45*(B587/800)+0.55)*(1-0.27*LN((B600+B$3071)/100))*(0.76*(B$3073/90)+0.24)*(0.66/(B340/250)+0.34)*(0.35*(B326/27)+0.65)*(0.56/B572+0.44)*IF(B747=1,0.66,1.12)*(0.35*(B403/3750)+0.65)*IF(B339=1,(0.035*(B397/220)+0.97),IF(B339=3,(0.09*(B396/20)+0.91),IF(B339=2,(0.2*(B395/385)+1.05))))*(1.04*(B584/1.2)-0.04)*(0.95*((B986/12))+0.05)*((B987/600)^-0.42)*IF(#REF!=2,1,IF(#REF!=1,1.49,IF(#REF!=3,1.98,IF(#REF!=7,5.91,IF(#REF!=10,1.43,3.95)))))</f>
        <v>#VALUE!</v>
      </c>
    </row>
    <row r="1727" spans="1:3" x14ac:dyDescent="0.2">
      <c r="A1727">
        <v>4</v>
      </c>
      <c r="B1727" t="e">
        <f>(0.86*(B587/800)+0.14)*(1-0.52*LN((B$3071)/100))*(0.86*(B$3073/90)+0.14)*(1/(B340/250))*IF(B747=1,(0.052*(B757/1020000)+0.26),1.25)*IF(B603=1,0.36,IF(B603=2,1.42,1))*(0.05*(B584/1.2)+0.95)*((0.9*(B986/12))+0.1)</f>
        <v>#VALUE!</v>
      </c>
    </row>
    <row r="1728" spans="1:3" x14ac:dyDescent="0.2">
      <c r="A1728">
        <v>1</v>
      </c>
      <c r="B1728" t="e">
        <f>(1.07*(B587/800)^1.98-0.07)*(0.98*((B600+B$3071)/(100))^-1.12+0.02)*(0.6*(B$3073/90)+0.4)*(0.03/(B340/250)+0.97)*(0.61*(B326/27)+0.39)*(0.99/B572+0.01)*IF(B747=1,0.92,1.03)*(0.61*(B403/3750)+0.39)*IF(B339=1,(0.066*(B397/220)+1.034),IF(B339=3,(0.09*(B396/20)+0.91),IF(B339=2,(0.36*(B395/385)+1.08))))*(0.11*(B584/1.2)+0.89)*(0.96*(B986/12)+0.04)*((B987/600)^-0.74)</f>
        <v>#VALUE!</v>
      </c>
      <c r="C1728">
        <v>7</v>
      </c>
    </row>
    <row r="1729" spans="1:3" x14ac:dyDescent="0.2">
      <c r="A1729">
        <v>2</v>
      </c>
      <c r="B1729" t="e">
        <f>(1.55*(B587/800)-0.4*(B587/800)^2-0.15)*(1-0.44*LN((B600+B$3071)/(100)))*(0.6*(B$3073/90)+0.4)*(0.1/(B340/250)+0.9)*(0.61*(B326/27)+0.39)*(0.99/B572+0.01)*IF(B747=1,0.92,1.03)*IF(B603=1,0.6,IF(B603=2,1.2,1))*(0.61*(B403/3750)+0.39)*IF(B339=1,(0.066*(B397/220)+1.034),IF(B339=3,(0.09*(B396/20)+0.91),IF(B339=2,(0.36*(B395/385)+1.08))))*(0.04*(B584/1.2)+0.96)*((0.97*(B986/12))+0.03)*((B987/600)^-0.74)</f>
        <v>#VALUE!</v>
      </c>
    </row>
    <row r="1730" spans="1:3" x14ac:dyDescent="0.2">
      <c r="A1730">
        <v>3</v>
      </c>
      <c r="B1730" t="e">
        <f>(0.07*(B587/800)+0.93)*(1-0.041*LN((B600+B$3071)/100))*(0.6*(B$3073/90)+0.4)*(0.1/(B340/250)+0.9)*(0.63*(B326/27)+0.37)*(1.02/B572-0.02)*IF(B747=1,0.99,1)*IF(B603=1,0.6,IF(B603=2,1.2,1))*(0.64*(B403/3750)+0.36)*IF(B339=1,(0.066*(B397/220)+1.034),IF(B339=3,(0.09*(B396/20)+0.91),IF(B339=2,(0.36*(B395/385)+1.08))))*(0.93*(B584/1.2)+0.07)*IF(B747=1,0.95,1.02)*((B987/600)^-0.74)*IF(#REF!=2,1,IF(#REF!=1,1.49,IF(#REF!=3,1.98,IF(#REF!=7,5.91,IF(#REF!=10,1,3.95)))))</f>
        <v>#VALUE!</v>
      </c>
    </row>
    <row r="1731" spans="1:3" x14ac:dyDescent="0.2">
      <c r="A1731">
        <v>4</v>
      </c>
      <c r="B1731" t="e">
        <f>(0.86*(B587/800)+0.15)*(1-0.52*LN((B$3071/50)))*(0.86*(B$3073/90)+0.14)*(1/(B340/250))*IF(B603=1,0.6,IF(B603=2,1.2,1))*(0.05*(B584/1.2)+0.95)*IF(B747=1,(0.052*(B757/1020000)+0.26),1.25)*((0.9*(B986/12))+0.1)</f>
        <v>#VALUE!</v>
      </c>
    </row>
    <row r="1732" spans="1:3" x14ac:dyDescent="0.2">
      <c r="A1732">
        <v>1</v>
      </c>
      <c r="B1732" t="e">
        <f>(1.38*LN(B587/800)+1)*(1-0.88*LN((B600+B$3071)/100))*(0.86*(B$3073/90)+0.14)*(1/(B340/250))*IF(B747=1,0.052*(B757/1020000)+0.26,1.25)*IF(B603=1,0.6,IF(B603=2,1.2,1))*(0.09*(B584/1.2)+0.91)*(0.9*(B986/12)+0.1)*((B987/600)^-0.74)*(1.79-0.79*(#REF!/30))</f>
        <v>#VALUE!</v>
      </c>
      <c r="C1732">
        <v>8</v>
      </c>
    </row>
    <row r="1733" spans="1:3" x14ac:dyDescent="0.2">
      <c r="A1733">
        <v>2</v>
      </c>
      <c r="B1733" t="e">
        <f>(0.94*((B587/800)^2-0.52*(B587/800)+0.58))*(((B600+B$3071)/(100))^-0.75)*(0.6*(B$3073/90)+0.4)*(0.03/(B340/250)+0.97)*(0.61*(B326/27)+0.39)*(0.99/B572+0.01)*IF(B747=1,0.92,1.03)*IF(B603=1,0.6,IF(B603=2,1.2,1))*(0.61*(B403/3750)+0.39)*IF(B339=1,(0.066*(B397/220)+1.034),IF(B339=3,(0.09*(B396/20)+0.91),IF(B339=2,(0.36*(B395/385)+1.08))))*(0.07*(B584/1.2)+0.93)*((0.97*(B986/12))+0.03)*((B987/600)^-0.74)*IF(#REF!&gt;0,(1-1.14*LN(#REF!/30)),1)</f>
        <v>#VALUE!</v>
      </c>
    </row>
    <row r="1734" spans="1:3" x14ac:dyDescent="0.2">
      <c r="A1734">
        <v>3</v>
      </c>
      <c r="B1734" t="e">
        <f>(0.07*(B587/800)+0.93)*(((B600+B$3071)/100)^-0.05)*(0.6*(B$3073/90)+0.4)*(0.1/(B340/250)+0.9)*(0.65*(B326/27)+0.35)*(1.05/B572-0.05)*IF(B747=1,0.96,1.01)*IF(B603=1,0.6,IF(B603=2,1.2,1))*(0.65*(B403/3750)+0.35)*IF(B339=1,(0.063*(B397/220)+0.94),IF(B339=3,(0.09*(B396/20)+0.91),IF(B339=2,(0.39*(B395/385)+1.1))))*(0.95*(B584/1.2)+0.05)*((B987/600)^-0.78)*(1.044-0.044*(#REF!/30))*IF(#REF!=2,1,IF(#REF!=1,1.49,IF(#REF!=3,1.98,IF(#REF!=7,5.91,IF(#REF!=10,1,3.95)))))</f>
        <v>#VALUE!</v>
      </c>
    </row>
    <row r="1735" spans="1:3" x14ac:dyDescent="0.2">
      <c r="A1735">
        <v>4</v>
      </c>
      <c r="B1735" t="e">
        <f>(1.37*LN(B587/800)+1)*(1-0.88*LN(B$3071/50))*1*(1/(B340/250))*IF(B747=1,0.052*(B757/1020000)+0.26,1.25)*IF(B603=1,0.6,IF(B603=2,1.2,1))*(0.1*(B584/1.2)+0.9)*((0.9*(B986/12))+0.1)*(1.78-0.78*(#REF!/30))</f>
        <v>#VALUE!</v>
      </c>
    </row>
    <row r="1736" spans="1:3" x14ac:dyDescent="0.2">
      <c r="A1736">
        <v>1</v>
      </c>
      <c r="B1736" t="e">
        <f>(0.79*(B587/800)+0.21)*(1-0.48*LN((B600+B$3071)/100))*(0.6*(B$3073/90)+0.4)*(0.1/(B340/250)+0.9)*(0.61*(B326/27)+0.39)*(0.99/B572+0.01)*IF(B747=1,0.92,1.03)*IF(B339=1,(0.066*(B397/220)+1.034),IF(B339=3,(0.09*(B396/20)+0.91),IF(B339=2,(0.36*(B395/385)+1.08))))*(0.05*(B584/1.2)+0.95)*(0.61*(B403/3750)+0.39)*((0.97*(B986/12))+0.03)*((B987/600)^-0.74)</f>
        <v>#VALUE!</v>
      </c>
      <c r="C1736">
        <v>9</v>
      </c>
    </row>
    <row r="1737" spans="1:3" x14ac:dyDescent="0.2">
      <c r="A1737">
        <v>2</v>
      </c>
      <c r="B1737" t="e">
        <f>(0.93*(B587/800)+0.07)*(1-0.561*LN((B600+B$3071)/100))*(0.6*(B$3073/90)+0.4)*(0.07/(B340/250)+0.93)*(0.61*(B326/27)+0.39)*(0.99/B572+0.01)*IF(B747=1,0.92,1.03)*IF(B603=1,0.6,IF(B603=2,1.2,1))*(0.61*(B403/3750)+0.39)*IF(B339=1,(0.066*(B397/220)+1.034),IF(B339=3,(0.09*(B396/20)+0.91),IF(B339=2,(0.36*(B395/385)+1.08))))*(0.06*(B584/1.2)+0.94)*(IF(B1199=2,1.43,1))*(0.97*(B986/12)+0.03)*((B987/600)^-0.82)</f>
        <v>#VALUE!</v>
      </c>
    </row>
    <row r="1738" spans="1:3" x14ac:dyDescent="0.2">
      <c r="A1738">
        <v>3</v>
      </c>
      <c r="B1738" t="e">
        <f>(0.07*(B587/800)+0.93)*(1-0.04*LN((B600+B$3071)/100))*1*1*1*1*1*(0.93*(B584/1.2)+0.07)*(0.63*(B326/27)+0.37)*(0.64*(B403/3750)+0.36)*IF(B339=1,(0.066*(B397/220)+1.034),IF(B339=3,(0.09*(B396/20)+0.91),IF(B339=2,(0.36*(B395/385)+1.09))))*IF(B603=1,0.6,IF(B603=2,1.2,1))*IF(B747=1,0.95,1.02)*(1.02/B572-0.02)*IF(#REF!=2,1,IF(#REF!=1,1.49,IF(#REF!=3,1.98,IF(#REF!=7,5.91,IF(#REF!=10,1,3.95)))))*((B987/600)^-0.76)</f>
        <v>#VALUE!</v>
      </c>
    </row>
    <row r="1739" spans="1:3" x14ac:dyDescent="0.2">
      <c r="A1739">
        <v>4</v>
      </c>
      <c r="B1739" t="e">
        <f>(0.79*(B587/800)+0.21)*(1-0.48*LN(B$3071/50))*1*1*1*(0.05*(B584/1.2)+0.95)*IF(B603=1,0.6,IF(B603=2,1.2,1))*IF(B747=1,0.052*(B757/1020000)+0.26,1.25)*((0.9*(B986/12))+0.1)</f>
        <v>#VALUE!</v>
      </c>
    </row>
    <row r="1740" spans="1:3" x14ac:dyDescent="0.2">
      <c r="A1740">
        <v>1</v>
      </c>
      <c r="B1740" t="e">
        <f>(1.38*LN(B587/800)+1)*(1-0.88*LN((B600+B$3071)/100))*(0.86*(B$3073/90)+0.14)*(1/(B340/250))*IF(B747=1,0.052*(B757/1020000)+0.26,1.25)*IF(B603=1,0.6,IF(B603=2,1.2,1))*(0.09*(B584/1.2)+0.91)*((0.9*(B986/12))+0.1)*IF(#REF!&gt;0,(1.79-0.79*LN(#REF!/30)),1)</f>
        <v>#VALUE!</v>
      </c>
      <c r="C1740">
        <v>10</v>
      </c>
    </row>
    <row r="1741" spans="1:3" x14ac:dyDescent="0.2">
      <c r="A1741">
        <v>2</v>
      </c>
      <c r="B1741" t="e">
        <f>(0.94*(B587/800)^2-0.52*(B587/800)+0.58)*(((B600+B$3071)/(100))^-0.75)*(0.6*(B$3073/90)+0.4)*(0.03/(B340/250)+0.97)*(0.61*(B326/27)+0.39)*(0.99/B572+0.01)*IF(B747=1,0.92,1.03)*IF(B603=1,0.6,IF(B603=2,1.2,1))*(0.61*(B403/3750)+0.39)*IF(B339=1,(0.066*(B397/220)+1.034),IF(B339=3,(0.09*(B396/20)+0.91),IF(B339=2,(0.36*(B395/385)+1.08))))*(0.07*(B584/1.2)+0.93)*((0.97*(B986/12))+0.03)*((B987/600)^-0.74)*IF(#REF!&gt;0,(1-1.14*LN(#REF!/30)),1)</f>
        <v>#VALUE!</v>
      </c>
    </row>
    <row r="1742" spans="1:3" x14ac:dyDescent="0.2">
      <c r="A1742">
        <v>3</v>
      </c>
      <c r="B1742" t="e">
        <f>(0.078*LN(B587/800)+1)*(((B600+B$3071)/(100))^-0.05)*1*(0.6*(B$3073/90)+0.4)*(0.1/(B340/250)+0.9)*(0.65*(B326/27)+0.35)*(1.05/B572-0.05)*IF(B603=1,0.6,IF(B603=2,1.2,1))*(0.65*(B403/3750)+0.35)*IF(B339=1,(0.066*(B397/220)+1.034),IF(B339=3,(0.09*(B396/20)+0.91),IF(B339=2,(0.39*(B395/385)+1.1))))*(0.95*(B584/1.2)+0.05)*IF(B747=1,0.96,1.01)*((B987/600)^-0.42)*(1.044-0.044*(#REF!/30))*IF(#REF!=2,1,IF(#REF!=1,1.49,IF(#REF!=3,1.98,IF(#REF!=7,5.91,IF(#REF!=10,1,3.95)))))</f>
        <v>#VALUE!</v>
      </c>
    </row>
    <row r="1743" spans="1:3" x14ac:dyDescent="0.2">
      <c r="A1743">
        <v>4</v>
      </c>
      <c r="B1743" t="e">
        <f>(1.37*LN(B587/800)+1)*(1-0.88*LN(B$3071/50))*1*(0.87*(B$3073/90)+0.13)*(1/(B340/250))*IF(B747=1,0.31,1.25)*IF(B603=1,0.6,IF(B603=2,1.2,1))*(0.1*(B584/1.2)+0.9)*((0.97*(B986/12))+0.03)*(1.78-0.78*(#REF!/30))</f>
        <v>#VALUE!</v>
      </c>
    </row>
    <row r="1744" spans="1:3" x14ac:dyDescent="0.2">
      <c r="A1744">
        <v>1</v>
      </c>
      <c r="B1744" t="e">
        <f>(0.896*(B587/800)+0.11)*(1-0.521*LN((B600+B$3071)/100))*(0.86*(B$3073/90)+0.14)*(1/(B340/250))*IF(B747=1,0.31,1.25)*IF(B603=1,0.6,IF(B603=2,1.2,1))*(0.05*(B584/1.2)+0.95)*((0.9*(B986/12))+0.1)</f>
        <v>#VALUE!</v>
      </c>
      <c r="C1744">
        <v>11</v>
      </c>
    </row>
    <row r="1745" spans="1:3" x14ac:dyDescent="0.2">
      <c r="A1745">
        <v>2</v>
      </c>
      <c r="B1745" t="e">
        <f>(1.55*(B587/800)-0.4*(B587/800)^2-0.15)*(1-0.44*LN((B600+B$3071)/(100)))*(0.6*(B$3073/90)+0.4)*(0.1/(B340/250)+0.9)*(0.61*(B326/27)+0.39)*(0.99/B572+0.01)*IF(B747=1,0.93,1)*IF(B603=1,0.6,IF(B603=2,1.2,1))*(0.61*(B403/3750)+0.39)*IF(B339=1,(0.066*(B397/220)+1.034),IF(B339=3,(0.09*(B396/20)+0.91),IF(B339=2,(0.36*(B395/385)+1.08))))*(0.04*(B584/1.2)+0.96)*(0.97*(B986/12)+0.03)*((B987/600)^-0.74)</f>
        <v>#VALUE!</v>
      </c>
    </row>
    <row r="1746" spans="1:3" x14ac:dyDescent="0.2">
      <c r="A1746">
        <v>3</v>
      </c>
      <c r="B1746" t="e">
        <f>(0.07*(B587/800)+0.93)*(1-0.44*LN((B600+B$3071)/(100)))*(0.6*(B$3073/90)+0.4)*(0.1/(B340/250)+0.9)*(0.63*(B326/27)+0.37)*(1.02/B572-0.02)*IF(B747=1,0.92,1.03)*IF(B603=1,0.6,IF(B603=2,1.2,1))*(0.64*(B403/3750)+0.36)*IF(B339=1,(0.066*(B397/220)+1.034),IF(B339=3,(0.09*(B396/20)+0.91),IF(B339=2,(0.39*(B395/385)+1.1))))*(0.93*(B584/1.2)+0.07)*((B987/600)^-0.76)*IF(#REF!=2,1,IF(#REF!=1,1.49,IF(#REF!=3,1.98,IF(#REF!=7,5.91,IF(#REF!=10,3.16,3.95)))))</f>
        <v>#VALUE!</v>
      </c>
    </row>
    <row r="1747" spans="1:3" x14ac:dyDescent="0.2">
      <c r="A1747">
        <v>4</v>
      </c>
      <c r="B1747" t="e">
        <f>(0.86*(B587/800)+0.14)*(1-0.52*LN(B$3071/50))*(0.87*(B$3073/90)+0.13)*(1/(B340/250))*IF(B747=1,0.052*(B757/1020000)+0.26,1.25)*IF(B603=1,0.6,IF(B603=2,1.2,1))*(0.05*(B584/1.2)+0.95)*((0.9*(B986/12))+0.1)</f>
        <v>#VALUE!</v>
      </c>
    </row>
    <row r="1748" spans="1:3" x14ac:dyDescent="0.2">
      <c r="A1748">
        <v>1</v>
      </c>
      <c r="B1748">
        <f>1</f>
        <v>1</v>
      </c>
      <c r="C1748">
        <v>12</v>
      </c>
    </row>
    <row r="1749" spans="1:3" x14ac:dyDescent="0.2">
      <c r="A1749">
        <v>2</v>
      </c>
      <c r="B1749">
        <f>1</f>
        <v>1</v>
      </c>
    </row>
    <row r="1750" spans="1:3" x14ac:dyDescent="0.2">
      <c r="A1750">
        <v>3</v>
      </c>
      <c r="B1750" t="e">
        <f>(0.45*(B587/800)+0.55)*(1-0.271*LN((B600+B$3071)/(100)))*(0.76*(B$3073/90)+0.24)*(0.66/(B340/250)+0.34)*(0.35*(B326/27)+0.65)*(0.56/B572+0.44)*IF(B747=1,0.66,1.12)*(0.35*(B403/3750)+0.65)*IF(B339=1,(0.035*(B397/220)+0.97),IF(B339=3,(0.06*(B396/20)+0.94),IF(B339=2,(0.2*(B395/385)+1.05))))*(1.04*(B584/1.2)-0.04)*((0.95*(B986/12))+0.05)*((B987/600)^-0.42)*IF(#REF!=2,1,IF(#REF!=1,1.49,IF(#REF!=3,1.98,IF(#REF!=7,5.91,IF(#REF!=10,1,3.95)))))</f>
        <v>#VALUE!</v>
      </c>
    </row>
    <row r="1751" spans="1:3" x14ac:dyDescent="0.2">
      <c r="A1751">
        <v>4</v>
      </c>
      <c r="B1751" t="e">
        <f>(0.86*(B587/800)+0.14)*(1-0.521*LN(B$3071/50))*(0.86*(B$3073/90)+0.14)*(1/(B340/250))*IF(B747=1,0.052*(B757/1020000)+0.26,1.25)*IF(B603=1,0.35,IF(B603=2,1.42,1))*(0.05*(B584/1.2)+0.95)*IF(B603=1,0.6,IF(B603=2,1.2,1))</f>
        <v>#VALUE!</v>
      </c>
    </row>
    <row r="1752" spans="1:3" x14ac:dyDescent="0.2">
      <c r="A1752">
        <v>1</v>
      </c>
      <c r="B1752">
        <f>1</f>
        <v>1</v>
      </c>
      <c r="C1752">
        <v>13</v>
      </c>
    </row>
    <row r="1753" spans="1:3" x14ac:dyDescent="0.2">
      <c r="A1753">
        <v>2</v>
      </c>
      <c r="B1753">
        <v>1</v>
      </c>
    </row>
    <row r="1754" spans="1:3" x14ac:dyDescent="0.2">
      <c r="A1754">
        <v>3</v>
      </c>
      <c r="B1754" t="e">
        <f>(0.45*(B587/800)+0.55)*(1-0.271*LN((B600+B$3071)/(100)))*(0.76*(B$3073/90)+0.24)*(0.68/(B340/250)+0.32)*(0.56/B572+0.44)*IF(B747=1,0.66,1.05)*(0.35*(B403/3750)+0.65)*IF(B339=1,(0.035*(B397/220)+0.97),IF(B339=3,(0.06*(B396/20)+0.94),IF(B339=2,(0.2*(B395/385)+1.05))))*(1.04*(B584/1.2)-0.04)*(0.35*(B326/27)+0.65)*(0.95*((B986/12))+0.05)*((B987/600)^-0.42)*IF(#REF!=2,1,IF(#REF!=1,1.49,IF(#REF!=3,1.98,IF(#REF!=7,5.91,IF(#REF!=10,1,3.95)))))</f>
        <v>#VALUE!</v>
      </c>
    </row>
    <row r="1755" spans="1:3" x14ac:dyDescent="0.2">
      <c r="A1755">
        <v>4</v>
      </c>
      <c r="B1755" t="e">
        <f>(1.37*LN(B587/800)+1)*(1-0.88*LN(B$3071/50))*(0.87*(B$3073/90)+0.13)*(1/(B340/250))*IF(B747=1,0.052*(B757/1020000)+0.26,1.25)*IF(B603=1,0.367,IF(B603=2,1.44,1))*(0.1*(B584/1.2)+0.9)*IF(B603=1,0.6,IF(B603=2,1.2,1))*(0.06*(B987/600)+0.94)*(1.78-0.78*(#REF!/30))</f>
        <v>#VALUE!</v>
      </c>
    </row>
    <row r="1756" spans="1:3" x14ac:dyDescent="0.2">
      <c r="A1756">
        <v>1</v>
      </c>
      <c r="B1756">
        <f>1</f>
        <v>1</v>
      </c>
      <c r="C1756">
        <v>14</v>
      </c>
    </row>
    <row r="1757" spans="1:3" x14ac:dyDescent="0.2">
      <c r="A1757">
        <v>2</v>
      </c>
      <c r="B1757">
        <f>1</f>
        <v>1</v>
      </c>
    </row>
    <row r="1758" spans="1:3" x14ac:dyDescent="0.2">
      <c r="A1758">
        <v>3</v>
      </c>
      <c r="B1758" t="e">
        <f>(0.45*(B587/800)+0.55)*(1-0.271*LN((B600+B$3071)/(100)))*(0.76*(B$3073/90)+0.24)*(0.66/(B340/250)+0.34)*(0.35*(B326/27)+0.65)*(0.56/B572+0.44)*IF(B747=1,0.66,1.12)*(0.35*(B403/3750)+0.65)*IF(B339=1,(0.035*(B397/220)+0.97),IF(B339=3,(0.06*(B396/20)+0.94),IF(B339=2,(0.2*(B395/385)+1.05))))*(1.04*(B584/1.2)-0.04)*(0.95*((B986/12))+0.05)*((B987/600)^-0.42)*IF(#REF!=2,1,IF(#REF!=1,1.49,IF(#REF!=3,1.98,IF(#REF!=7,5.91,IF(#REF!=10,1.43,3.95)))))</f>
        <v>#VALUE!</v>
      </c>
    </row>
    <row r="1759" spans="1:3" x14ac:dyDescent="0.2">
      <c r="A1759">
        <v>4</v>
      </c>
      <c r="B1759" t="e">
        <f>(0.79*(B587/800)+0.21)*(1-0.48*LN(B$3071/50))*(0.86*(B$3073/90)+0.14)*(1/(B340/250))*(0.61*(B326/27)+0.39)*IF(B747=1,0.92,1.03)*(0.05*(B584/1.2)+0.95)*IF(B339=1,(0.066*(B397/220)+1.034),IF(B339=3,(0.09*(B396/20)+0.91),IF(B339=2,(0.36*(B395/385)+1.08))))*(0.61*(B403/3750)+0.39)*(0.98/B572+0.02)*((0.9*(B986/12))+0.1)*((B987/600)^-0.73)*(IF(B1199=2,1.43,1))</f>
        <v>#VALUE!</v>
      </c>
    </row>
    <row r="1760" spans="1:3" x14ac:dyDescent="0.2">
      <c r="A1760">
        <v>1</v>
      </c>
      <c r="B1760">
        <f>1</f>
        <v>1</v>
      </c>
      <c r="C1760">
        <v>15</v>
      </c>
    </row>
    <row r="1761" spans="1:3" x14ac:dyDescent="0.2">
      <c r="A1761">
        <v>2</v>
      </c>
      <c r="B1761">
        <f>1</f>
        <v>1</v>
      </c>
    </row>
    <row r="1762" spans="1:3" x14ac:dyDescent="0.2">
      <c r="A1762">
        <v>3</v>
      </c>
      <c r="B1762" t="e">
        <f>(0.45*(B587/800)+0.55)*(1-0.271*LN((B600+B$3071)/(100)))*(0.76*(B$3073/90)+0.24)*(0.66/(B340/250)+0.34)*(0.35*(B326/27)+0.65)*(0.56/B572+0.44)*IF(B747=1,0.66,1.12)*IF(B339=1,(0.066*(B397/220)+1.034),IF(B339=3,(0.06*(B396/20)+0.94),IF(B339=2,(0.2*(B395/385)+1.05))))*(1.04*(B584/1.2)-0.04)*(0.35*(B403/3750)+0.65)*(0.95*((B986/12))+0.05)*((B987/600)^-0.42)*IF(#REF!=2,1,IF(#REF!=1,1.49,IF(#REF!=3,1.98,IF(#REF!=7,5.91,IF(#REF!=10,1,3.95)))))</f>
        <v>#VALUE!</v>
      </c>
    </row>
    <row r="1763" spans="1:3" x14ac:dyDescent="0.2">
      <c r="A1763">
        <v>4</v>
      </c>
      <c r="B1763" t="e">
        <f>(0.45*(B587/800)+0.55)*(1-0.521*LN(B$3071/50))*(0.86*(B$3073/90)+0.14)*(1/(B340/250))*IF(B747=1,0.052*(B757/1020000)+0.26,1.25)*IF(B603=1,0.6,IF(B603=2,1.2,1))*(0.05*(B584/1.2)+0.95)*((0.9*(B986/12))+0.1)</f>
        <v>#VALUE!</v>
      </c>
    </row>
    <row r="1764" spans="1:3" x14ac:dyDescent="0.2">
      <c r="A1764">
        <v>1</v>
      </c>
      <c r="B1764" t="e">
        <f>(0.15*EXP(1.8*B587/800))*(0.98*((B600+B$3071)/(100))^-1.12+0.02)*1*(0.6*(B$3073/90)+0.4)*(0.03/(B340/250)+0.97)*(0.61*(B326/27)+0.39)*(0.99/B572+0.01)*IF(B747=1,0.92,1.03)*(0.61*(B403/3750)+0.39)*IF(B339=1,(0.066*(B397/220)+1.034),IF(B339=3,(0.09*(B396/20)+0.91),IF(B339=2,(0.36*(B395/385)+1.08))))*(0.11*(B584/1.2)+0.89)*(0.96*((B986/12))+0.04)*((B987/600)^-0.74)</f>
        <v>#VALUE!</v>
      </c>
      <c r="C1764">
        <v>16</v>
      </c>
    </row>
    <row r="1765" spans="1:3" x14ac:dyDescent="0.2">
      <c r="A1765">
        <v>2</v>
      </c>
      <c r="B1765" t="e">
        <f>(1.55*(B587/800)-0.4*(B587/800)^2-0.15)*(1-0.44*LN((B600+B$3071)/(100)))*1*(0.6*(B$3073/90)+0.4)*(0.1/(B340/250)+0.9)*(0.61*(B326/27)+0.39)*(0.99/B572+0.01)*IF(B747=1,0.92,1.03)*(0.61*(B403/3750)+0.39)*IF(B339=1,(0.066*(B397/220)+1.034),IF(B339=3,(0.09*(B396/20)+0.91),IF(B339=2,(0.36*(B395/385)+1.08))))*(0.04*(B584/1.2)+0.96)*(0.97*((B986/12))+0.03)*((B987/600)^-0.74)</f>
        <v>#VALUE!</v>
      </c>
    </row>
    <row r="1766" spans="1:3" x14ac:dyDescent="0.2">
      <c r="A1766">
        <v>3</v>
      </c>
      <c r="B1766" t="e">
        <f>(0.45*(B587/800)+0.55)*(1-0.27*LN((B600+B$3071)/(100)))*(0.6*(#REF!/90)+0.4)*(0.1/(B340/250)+0.9)*(0.35*(B326/27)+0.65)*(0.56/B572+0.44)*IF(B747=1,0.66,1.12)*(0.35*(B403/3750)+0.65)*IF(B339=1,(0.035*(B397/220)+0.97),IF(B339=3,(0.06*(B396/20)+0.94),IF(B339=2,(0.2*(B395/385)+1.05))))*(1.04*(B584/1.2)-0.04)*(0.95*((B986/12))+0.05)*((B987/600)^-0.42)*IF(#REF!=2,1,IF(#REF!=1,1.49,IF(#REF!=3,1.98,IF(#REF!=7,5.91,IF(#REF!=10,3.16,3.95)))))</f>
        <v>#VALUE!</v>
      </c>
    </row>
    <row r="1767" spans="1:3" x14ac:dyDescent="0.2">
      <c r="A1767">
        <v>4</v>
      </c>
      <c r="B1767" t="e">
        <f>(0.86*(B587/800)+0.14)*(1-0.52*LN(B$3071/50))*(0.86*(B$3073/90)+0.14)*(1/(B340/250))*IF(B747=1,0.052*(B757/1020000)+0.26,1.25)*IF(B603=1,0.6,IF(B603=2,1.2,1))*(0.05*(B584/1.2)+0.95)*((0.9*(B986/12))+0.1)</f>
        <v>#VALUE!</v>
      </c>
    </row>
    <row r="1768" spans="1:3" x14ac:dyDescent="0.2">
      <c r="A1768">
        <v>1</v>
      </c>
      <c r="B1768" t="e">
        <f>(0.15*EXP(1.8*B587/800))*(0.98*((B600+B$3071)/(100))^-1.12+0.02)*(0.6*(B$3073/90)+0.4)*(0.03/(B340/250)+0.97)*(0.61*(B326/27)+0.39)*(0.99/B572+0.01)*IF(B747=1,0.92,1.03)*(0.61*(B403/3750)+0.39)*IF(B339=1,(0.066*(B397/220)+1.034),IF(B339=3,(0.09*(B396/20)+0.91),IF(B339=2,(0.36*(B395/385)+1.08))))*(0.11*(B584/1.2)+0.89)*(0.96*(B986/12)+0.04)*((B987/600)^-0.74)</f>
        <v>#VALUE!</v>
      </c>
      <c r="C1768">
        <v>17</v>
      </c>
    </row>
    <row r="1769" spans="1:3" x14ac:dyDescent="0.2">
      <c r="A1769">
        <v>2</v>
      </c>
      <c r="B1769" t="e">
        <f>(1.55*(B587/800)-0.4*(B587/800)^2-0.15)*(1-0.44*LN((B600+B$3071)/(100)))*(0.6*(B$3073/90)+0.4)*(0.1/(B340/250)+0.9)*(0.61*(B326/27)+0.39)*(0.99/B572+0.01)*IF(B747=1,0.92,1.03)*IF(B603=1,0.58,IF(B603=2,1.22,1))*(0.61*(B403/3750)+0.39)*IF(B339=1,(0.066*(B397/220)+1.034),IF(B339=3,(0.09*(B396/20)+0.91),IF(B339=2,(0.36*(B395/385)+1.08))))*(0.04*(B584/1.2)+0.96)*((0.97*(B986/12))+0.03)*((B987/600)^-0.74)</f>
        <v>#VALUE!</v>
      </c>
    </row>
    <row r="1770" spans="1:3" x14ac:dyDescent="0.2">
      <c r="A1770">
        <v>3</v>
      </c>
      <c r="B1770" t="e">
        <f>(1.34*(B587/800)-0.34*(B587/800)^2)*(1-0.38*LN((B600+B$3071)/(100)))*(0.6*(B$3073/90)+0.4)*(0.002/(B340/250)+0.998)*(0.68*(B326/27)+0.32)*(1.02/B572-0.02)*IF(B747=1,0.99,1.03)*IF(B603=1,0.6,IF(B603=2,1.2,1))*(0.68*(B403/3750)+0.32)*IF(B339=1,(0.066*(B397/220)+0.934),IF(B339=3,(0.09*(B396/20)+0.91),IF(B339=2,(0.39*(B395/385)+1.1))))*(0.17*(B584/1.2)+0.83)*((B987/600)^-0.82)*IF(#REF!=2,1,IF(#REF!=1,1.49,IF(#REF!=3,1.98,IF(#REF!=7,5.91,IF(#REF!=10,1.29,3.95)))))</f>
        <v>#VALUE!</v>
      </c>
    </row>
    <row r="1771" spans="1:3" x14ac:dyDescent="0.2">
      <c r="A1771">
        <v>4</v>
      </c>
      <c r="B1771" t="e">
        <f>(0.86*(B587/800)+0.14)*(1-0.52*LN(B$3071/50))*1*(1/(B340/250))*IF(B747=1,0.052*(B757/1020000)+0.26,1.25)*IF(B603=1,0.6,IF(B603=2,1.2,1))*(0.05*(B584/1.2)+0.95)*((0.9*(B986/12))+0.1)</f>
        <v>#VALUE!</v>
      </c>
    </row>
    <row r="1772" spans="1:3" x14ac:dyDescent="0.2">
      <c r="A1772">
        <v>1</v>
      </c>
      <c r="B1772" t="e">
        <f>(0.85*(B587/800)+0.15)*(1-0.521*LN((B600+B$3071)/100))*(0.86*(B$3073/90)+0.14)*(1/(B340/250))*IF(B747=1,0.052*(B757/1020000)+0.95,1.25)*IF(B603=1,0.6,IF(B603=2,1.2,1))*IF(B339=2,(0.204*(B395/385)+0.596),1)*(0.05*(B584/1.2)+0.95)*(0.9*(B986/12)+0.1)</f>
        <v>#VALUE!</v>
      </c>
      <c r="C1772">
        <v>18</v>
      </c>
    </row>
    <row r="1773" spans="1:3" x14ac:dyDescent="0.2">
      <c r="A1773">
        <v>2</v>
      </c>
      <c r="B1773" t="e">
        <f>(-0.4*(B587/800)^2+1.55*(B587/800)-0.15)*(1-0.44*LN((B600+B$3071)/(100)))*(0.6*(B$3073/90)+0.4)*(0.1/(B340/250)+0.9)*(0.61*(B326/27)+0.39)*(0.99/B572+0.01)*IF(B747=1,0.92,1.03)*IF(B603=1,0.6,IF(B603=2,1.2,1))*(0.61*(B403/3750)+0.39)*IF(B339=1,(0.066*(B397/220)+1.034),IF(B339=3,(0.09*(B396/20)+0.91),IF(B339=2,(0.36*(B395/385)+1.08))))*(0.04*(B584/1.2)+0.96)*((0.97*(B986/12))+0.03)*((B987/600)^-0.74)</f>
        <v>#VALUE!</v>
      </c>
    </row>
    <row r="1774" spans="1:3" x14ac:dyDescent="0.2">
      <c r="A1774">
        <v>3</v>
      </c>
      <c r="B1774" t="e">
        <f>(0.07*(B587/800)+0.93)*(1-0.38*LN((B600+B$3071)/(100)))*(0.6*(B$3073/90)+0.4)*(0.1/(B340/250)+0.9)*(0.68*(B326/27)+0.32)*(1.02/B572-0.02)*IF(B747=1,0.95,1.02)*IF(B603=1,0.6,IF(B603=2,1.2,1))*(0.64*(B403/3750)+0.36)*IF(B339=1,(0.066*(B397/220)+1.034),IF(B339=3,(0.09*(B396/20)+0.91),IF(B339=2,(0.36*(B395/385)+1.08))))*(0.93*(B584/1.2)+0.07)*((B987/600)^-0.76)*IF(#REF!=2,1,IF(#REF!=1,1.49,IF(#REF!=3,1.98,IF(#REF!=7,5.91,IF(#REF!=10,3.18,3.95)))))</f>
        <v>#VALUE!</v>
      </c>
    </row>
    <row r="1775" spans="1:3" x14ac:dyDescent="0.2">
      <c r="A1775">
        <v>4</v>
      </c>
      <c r="B1775" t="e">
        <f>(0.86*(B587/800)+0.14)*(1-0.52*LN((B$3071)/(100)))*(0.86*(B$3073/90)+0.14)*(1/(B340/250))*IF(B747=1,0.052*(B757/1020000)+0.26,1.25)*IF(B603=1,0.6,IF(B603=2,1.2,1))*(0.05*(B584/1.2)+0.95)*((0.9*(B986/12))+0.1)</f>
        <v>#VALUE!</v>
      </c>
    </row>
    <row r="1776" spans="1:3" x14ac:dyDescent="0.2">
      <c r="A1776">
        <v>1</v>
      </c>
      <c r="B1776" t="e">
        <f>(1.07*(B587/800)^2-0.32*(B587/800)+0.26)*(1-1.13*LN((B600+B$3071)/100))*(0.6*(B$3073/90)+0.4)*(0.03/(B340/250)+0.97)*(0.61*(B326/27)+0.39)*(0.99/B572+0.01)*IF(B747=1,0.92,1.03)*(0.61*(B403/3750)+0.39)*IF(B339=1,(0.066*(B397/220)+1.034),IF(B339=3,(0.09*(B396/20)+0.91),IF(B339=2,(0.36*(B395/385)+1.08))))*(0.1*(B584/1.2)+0.9)*((0.28/B1002)+0.72)*((0.96*(B986/12))+0.04)*((B987/600)^-0.74)</f>
        <v>#VALUE!</v>
      </c>
      <c r="C1776">
        <v>19</v>
      </c>
    </row>
    <row r="1777" spans="1:3" x14ac:dyDescent="0.2">
      <c r="A1777">
        <v>2</v>
      </c>
      <c r="B1777" t="e">
        <f>(-0.4*(B587/800)^2+1.55*(B587/800)-0.15)*(1-0.44*LN((B600+B$3071)/(100)))*(0.61*(B$3073/90)+0.39)*(0.1/(B340/250)+0.9)*(0.61*(B326/27)+0.39)*(0.99/B572+0.01)*IF(B747=1,0.92,1.03)*IF(B603=1,0.6,IF(B603=2,1.2,1))*(0.61*(B403/3750)+0.39)*IF(B339=1,(0.066*(B397/220)+1.034),IF(B339=3,(0.09*(B396/20)+0.91),IF(B339=2,(0.36*(B395/385)+1.08))))*(0.04*(B584/1.2)+0.96)*((0.97*(B986/12))+0.03)*((B987/600)^-0.74)</f>
        <v>#VALUE!</v>
      </c>
    </row>
    <row r="1778" spans="1:3" x14ac:dyDescent="0.2">
      <c r="A1778">
        <v>3</v>
      </c>
      <c r="B1778" t="e">
        <f>(0.07*(B587/800)+0.93)*(1-0.04*LN((B600+B$3071)/(100)))*(0.6*(B$3073/90)+0.4)*(0.02/(B340/250)+0.98)*(0.63*(B326/27)+0.37)*(1.02/B572-0.02)*IF(B747=1,0.95,1.02)*IF(B603=1,0.6,IF(B603=2,1.2,1))*(0.35*(B403/3750)+0.65)*IF(B339=1,(0.066*(B397/220)+1.034),IF(B339=3,(0.09*(B396/20)+0.91),IF(B339=2,(0.36*(B395/385)+1.08))))*(0.93*(B584/1.2)+0.07)*((B987/600)^-0.76)*IF(#REF!=2,1,IF(#REF!=1,1.49,IF(#REF!=3,1.98,IF(#REF!=7,5.91,IF(#REF!=10,1,3.95)))))</f>
        <v>#VALUE!</v>
      </c>
    </row>
    <row r="1779" spans="1:3" x14ac:dyDescent="0.2">
      <c r="A1779">
        <v>4</v>
      </c>
      <c r="B1779" t="e">
        <f>(0.86*(B587/800)+0.14)*(1-0.52*LN((B$3071)/(100)))*(0.86*(B$3073/90)+0.14)*(1/(B340/250))*IF(B747=1,0.052*(B757/1020000)+0.26,1.25)*IF(B603=1,0.6,IF(B603=2,1.2,1))*(0.05*(B584/1.2)+0.95)*((0.9*(B986/12))+0.1)</f>
        <v>#VALUE!</v>
      </c>
    </row>
    <row r="1780" spans="1:3" x14ac:dyDescent="0.2">
      <c r="A1780">
        <v>1</v>
      </c>
      <c r="B1780" t="e">
        <f>(0.93*(B587/800)^2.1+0.07)*(1-1.13*LN((B600+B$3071)/100))*(0.6*(B$3073/90)+0.4)*(0.03/(B340/250)+0.97)*(0.61*(B326/27)+0.39)*(0.99/B572+0.01)*IF(B747=1,0.92,1.03)*(0.66*(B403/3750)+0.34)*IF(B339=1,(0.066*(B397/220)+1.034),IF(B339=3,(0.09*(B396/20)+0.91),IF(B339=2,(0.36*(B395/385)+1.08))))*(0.1*(B584/1.2)+0.9)*((0.28/B1002)+0.72)*(0.96*(B986/12)+0.04)*((B987/600)^-0.74)</f>
        <v>#VALUE!</v>
      </c>
      <c r="C1780">
        <v>20</v>
      </c>
    </row>
    <row r="1781" spans="1:3" x14ac:dyDescent="0.2">
      <c r="A1781">
        <v>2</v>
      </c>
      <c r="B1781" t="e">
        <f>(-0.4*(B587/800)^2+1.55*(B587/800)-0.15)*(1-0.44*LN((B600+B$3071)/(100)))*(0.61*(B$3073/90)+0.39)*(0.1/(B340/250)+0.9)*(0.61*(B326/27)+0.39)*(1.11/B572-0.11)*IF(B747=1,1,1)*IF(B603=1,0.6,IF(B603=2,1.2,1))*(0.69*(B403/3750)+0.31)*IF(B339=1,(0.066*(B397/220)+1.034),IF(B339=3,(0.1*(B396/20)+0.9),IF(B339=2,(0.4*(B395/385)+1.09))))*(0.04*(B584/1.2)+0.96)*((0.98*(B986/12))+0.02)*((B987/600)^-0.82)</f>
        <v>#VALUE!</v>
      </c>
    </row>
    <row r="1782" spans="1:3" x14ac:dyDescent="0.2">
      <c r="A1782">
        <v>3</v>
      </c>
      <c r="B1782" t="e">
        <f>(0.07*(B587/800)+0.93)*(1-0.04*LN((B600+B$3071)/(100)))*(0.6*(B$3073/90)+0.4)*(0.02/(B340/250)+0.98)*(0.63*(B326/27)+0.37)*(1.02/B572-0.02)*IF(B747=1,0.95,1.02)*IF(B603=1,0.6,IF(B603=2,1.2,1))*(0.64*(B403/3750)+0.36)*IF(B339=1,(0.066*(B397/220)+1.034),IF(B339=3,(0.09*(B396/20)+0.91),IF(B339=2,(0.36*(B395/385)+1.08))))*(0.93*(B584/1.2)+0.07)*((B987/600)^-0.76)*IF(#REF!=2,1,IF(#REF!=1,1.49,IF(#REF!=3,1.98,IF(#REF!=7,5.91,IF(#REF!=10,1,3.95)))))</f>
        <v>#VALUE!</v>
      </c>
    </row>
    <row r="1783" spans="1:3" x14ac:dyDescent="0.2">
      <c r="A1783">
        <v>4</v>
      </c>
      <c r="B1783" t="e">
        <f>(0.86*(B587/800)+0.14)*(1-0.52*LN((B$3071)/(100)))*(0.86*(B$3073/90)+0.14)*(1/(B340/250))*IF(B747=1,0.052*(B757/1020000)+0.26,1.25)*(0.05*(B584/1.2)+0.95)*IF(B603=1,0.6,IF(B603=2,1.2,1))*((0.9*(B986/12))+0.1)</f>
        <v>#VALUE!</v>
      </c>
    </row>
    <row r="1784" spans="1:3" x14ac:dyDescent="0.2">
      <c r="A1784">
        <v>1</v>
      </c>
      <c r="B1784" t="e">
        <f>(1.07*(B587/800)^2-0.32*(B587/800)+0.26)*(1-1.13*LN((B600+B$3071)/100))*(0.6*(B$3073/90)+0.4)*(0.03/(B340/250)+0.97)*(0.61*(B326/27)+0.39)*(0.99/B572+0.01)*IF(B747=1,0.92,1.03)*(0.61*(B403/3750)+0.39)*IF(B339=1,(0.066*(B397/220)+1.034),IF(B339=3,(0.09*(B396/20)+0.91),IF(B339=2,(0.36*(B395/385)+1.08))))*(0.1*(B584/1.2)+0.9)*((0.28/B1002)+0.72)*(0.96*(B986/12)+0.04)*((B987/600)^-0.74)</f>
        <v>#VALUE!</v>
      </c>
      <c r="C1784">
        <v>21</v>
      </c>
    </row>
    <row r="1785" spans="1:3" x14ac:dyDescent="0.2">
      <c r="A1785">
        <v>2</v>
      </c>
      <c r="B1785" t="e">
        <f>(0.94*(B587/800)^-0.52*(B587/800)+0.58)*(((B600+B$3071)/(100))^-0.75)*(0.61*(B$3073/90)+0.39)*(0.03/(B340/250)+0.97)*(0.61*(B326/27)+0.39)*(0.99/B572+0.01)*IF(B747=1,0.92,1.03)*IF(B603=1,0.6,IF(B603=2,1.2,1))*(0.61*(B403/3750)+0.39)*IF(B339=1,(0.066*(B397/220)+1.034),IF(B339=3,(0.09*(B396/20)+0.91),IF(B339=2,(0.36*(B395/385)+1.08))))*(0.07*(B584/1.2)+0.93)*((0.97*(B986/12))+0.03)*((B987/600)^-0.74)*IF(#REF!&gt;0,(1.98-0.98*LN(#REF!/30)),1)</f>
        <v>#VALUE!</v>
      </c>
    </row>
    <row r="1786" spans="1:3" x14ac:dyDescent="0.2">
      <c r="A1786">
        <v>3</v>
      </c>
      <c r="B1786" t="e">
        <f>(1.17*(B587/800)-0.17)*((B600+B$3071)/(100))^-0.96*(0.6*(B$3073/90)+0.4)*1*(0.63*(B326/27)+0.37)*IF(B747=1,0.99,1)*IF(B603=1,0.6,IF(B603=2,1.2,1))*(0.68*(B403/3750)+0.32)*IF(B339=1,(0.066*(B397/220)+1.034),IF(B339=3,(0.09*(B396/20)+0.91),IF(B339=2,(0.39*(B395/385)+1.1))))*(0.1*(B584/1.2)+0.9)*(1.1/B572-0.1)*((B987/600)^-0.82)*(1.47-0.47*(#REF!/30))</f>
        <v>#VALUE!</v>
      </c>
    </row>
    <row r="1787" spans="1:3" x14ac:dyDescent="0.2">
      <c r="A1787">
        <v>4</v>
      </c>
      <c r="B1787" t="e">
        <f>(-0.38*(B587/800)^2+2.2*(B587/800)-0.82)*(1-0.88*LN((B$3071)/(100)))*(0.86*(B$3073/90)+0.14)*(1/(B340/250))*(0.05*(B326/27)+0.95)*IF(B747=1,0.052*(B757/1020000)+0.26,1.25)*IF(B603=1,0.6,IF(B603=2,1.2,1))*IF(B603=1,0.36,IF(B603=2,1.42,1))*(0.1*(B584/1.2)+0.9)*((0.9*(B986/12))+0.1)*(1.78-0.78*(#REF!/30))</f>
        <v>#VALUE!</v>
      </c>
    </row>
    <row r="1788" spans="1:3" x14ac:dyDescent="0.2">
      <c r="A1788">
        <v>1</v>
      </c>
      <c r="B1788" t="e">
        <f>(0.67*(B587/800)^2+0.2*(B587/800)+0.13)*(1-1.13*LN((B600+B$3071)/100))*(0.6*(B$3073/90)+0.4)*(0.03/(B340/250)+0.97)*(0.61*(B326/27)+0.39)*(0.99/B572+0.01)*IF(B747=1,0.92,1.03)*(0.61*(B403/3750)+0.39)*IF(B339=1,(0.066*(B397/220)+1.034),IF(B339=3,(0.09*(B396/20)+0.91),IF(B339=2,(0.36*(B395/385)+1.08))))*(0.1*(B584/1.2)+0.9)*((0.28/B1002)+0.72)*(0.96*(B986/12)+0.04)*((B987/600)^-0.74)</f>
        <v>#VALUE!</v>
      </c>
      <c r="C1788">
        <v>22</v>
      </c>
    </row>
    <row r="1789" spans="1:3" x14ac:dyDescent="0.2">
      <c r="A1789">
        <v>2</v>
      </c>
      <c r="B1789" t="e">
        <f>(1.55*(B587/800)-0.4*(B587/800)^2-0.15)*(1-0.44*LN((B600+B$3071)/(100)))*(0.6*(B$3073/90)+0.4)*(0.1/(B340/250)+0.9)*(0.61*(B326/27)+0.39)*(0.99/B572+0.01)*IF(B747=1,0.92,1.03)*IF(B603=1,0.6,IF(B603=2,1.2,1))*(0.61*(B403/3750)+0.39)*IF(B339=1,(0.066*(B397/220)+1.034),IF(B339=3,(0.09*(B396/20)+0.91),IF(B339=2,(0.36*(B395/385)+1.08))))*(0.04*(B584/1.2)+0.96)*(0.97*(B986/12)+0.03)*((B987/600)^-0.74)</f>
        <v>#VALUE!</v>
      </c>
    </row>
    <row r="1790" spans="1:3" x14ac:dyDescent="0.2">
      <c r="A1790">
        <v>3</v>
      </c>
      <c r="B1790" t="e">
        <f>(0.07*(B587/800)+0.93)*(1-0.04*LN((B600+B$3071)/(100)))*(0.59*(B$3073/90)+0.41)*(0.02/(B340/250)+0.98)*(0.67*(B326/27)+0.33)*(1.02/B572-0.02)*IF(B747=1,0.95,1.02)*IF(B603=1,0.6,IF(B603=2,1.2,1))*(0.64*(B403/3750)+0.36)*IF(B339=1,(0.066*(B397/220)+1.034),IF(B339=3,(0.06*(B396/20)+0.94),IF(B339=2,(0.36*(B395/385)+1.08))))*(0.93*(B584/1.2)+0.07)*((B987/600)^-0.76)*IF(#REF!=2,1,IF(#REF!=1,1.49,IF(#REF!=3,1.98,IF(#REF!=7,5.91,IF(#REF!=10,1,3.95)))))</f>
        <v>#VALUE!</v>
      </c>
    </row>
    <row r="1791" spans="1:3" x14ac:dyDescent="0.2">
      <c r="A1791">
        <v>4</v>
      </c>
      <c r="B1791" t="e">
        <f>(0.86*(B587/800)+0.14)*(1-0.52*LN((B$3071)/(100)))*(0.86*(B$3073/90)+0.14)*(1/(B340/250))*IF(B747=1,0.052*(B757/1020000)+0.26,1.25)*IF(B603=1,0.6,IF(B603=2,1.2,1))*(0.05*(B584/1.2)+0.95)*((0.9*(B986/12))+0.1)</f>
        <v>#VALUE!</v>
      </c>
    </row>
    <row r="1792" spans="1:3" x14ac:dyDescent="0.2">
      <c r="A1792">
        <v>1</v>
      </c>
      <c r="B1792" t="e">
        <f>(1.07*(B587/800)^2-0.32*(B587/800)+0.26)*(1-1.13*LN((B600+B$3071)/100))*(0.6*(B$3073/90)+0.4)*1*(0.61*(B326/27)+0.39)*(0.99/B572+0.01)*IF(B747=1,0.92,1.03)*IF(B603=1,0.36,IF(B603=2,1.42,1))*(0.61*(B403/3750)+0.39)*IF(B339=1,(0.066*(B397/220)+1.034),IF(B339=3,(0.09*(B396/20)+0.91),IF(B339=2,(0.36*(B395/385)+1.08))))*(0.1*(B584/1.2)+0.9)*((0.28/B1002)+0.72)*(0.96*(B986/12)+0.04)*((B987/600)^-0.74)</f>
        <v>#VALUE!</v>
      </c>
      <c r="C1792">
        <v>23</v>
      </c>
    </row>
    <row r="1793" spans="1:3" x14ac:dyDescent="0.2">
      <c r="A1793">
        <v>2</v>
      </c>
      <c r="B1793" t="e">
        <f>(1.55*(B587/800)-0.4*(B587/800)^2-0.15)*(1-0.44*LN((B600+B$3071)/(100)))*(0.6*(B$3073/90)+0.4)*(0.1/(B340/250)+0.9)*(0.61*(B326/27)+0.39)*(0.99/B572+0.01)*IF(B747=1,0.92,1.03)*IF(B603=1,0.6,IF(B603=2,1.2,1))*(0.61*(B403/3750)+0.39)*IF(B339=1,(0.066*(B397/220)+1.034),IF(B339=3,(0.09*(B396/20)+0.91),IF(B339=2,(0.36*(B395/385)+1.08))))*(0.04*(B584/1.2)+0.96)*((0.97*(B986/12))+0.03)*((B987/600)^-0.74)</f>
        <v>#VALUE!</v>
      </c>
    </row>
    <row r="1794" spans="1:3" x14ac:dyDescent="0.2">
      <c r="A1794">
        <v>3</v>
      </c>
      <c r="B1794" t="e">
        <f>(0.07*(B587/800)+0.93)*(1-0.44*LN((B600+B$3071)/(100)))*(0.6*(B$3073/90)+0.4)*(0.1/(B340/250)+0.9)*(0.67*(B326/27)+0.33)*(1.02/B572-0.02)*IF(B747=1,0.95,1.02)*IF(B603=1,0.6,IF(B603=2,1.2,1))*(0.64*(B403/3750)+0.36)*IF(B339=1,(0.066*(B397/220)+1.034),IF(B339=3,(0.09*(B396/20)+0.91),IF(B339=2,(0.36*(B395/385)+1.08))))*(0.93*(B584/1.2)+0.07)*((B987/600)^-0.76)</f>
        <v>#VALUE!</v>
      </c>
    </row>
    <row r="1795" spans="1:3" x14ac:dyDescent="0.2">
      <c r="A1795">
        <v>4</v>
      </c>
      <c r="B1795" t="e">
        <f>(0.86*(B587/800)+0.14)*(1-0.52*LN((B$3071)/(100)))*(0.86*(B$3073/90)+0.14)*(1/(B340/250))*IF(B747=1,0.052*(B757/1020000)+0.26,1.25)*IF(B603=1,0.6,IF(B603=2,1.2,1))*(0.05*(B584/1.2)+0.95)*(0.9*(B986/12)+0.1)</f>
        <v>#VALUE!</v>
      </c>
    </row>
    <row r="1796" spans="1:3" x14ac:dyDescent="0.2">
      <c r="A1796">
        <v>1</v>
      </c>
      <c r="B1796" t="e">
        <f>(1.07*(B587/800)^2-0.32*(B587/800)+0.26)*(1-1.13*LN((B600+B$3071)/100))*(0.6*(B$3073/90)+0.4)*(1/(B340/250))*(0.61*(B326/27)+0.39)*(0.99/B572+0.01)*IF(B747=1,0.92,1.03)*(0.61*(B403/3750)+0.39)*IF(B339=1,(0.066*(B397/220)+1.034),IF(B339=3,(0.09*(B396/20)+0.91),IF(B339=2,(0.36*(B395/385)+1.08))))*(0.1*(B584/1.2)+0.9)*((0.72/B1002)+0.28)*(0.96*(B986/12)+0.04)*((B987/600)^-0.74)</f>
        <v>#VALUE!</v>
      </c>
      <c r="C1796">
        <v>24</v>
      </c>
    </row>
    <row r="1797" spans="1:3" x14ac:dyDescent="0.2">
      <c r="A1797">
        <v>2</v>
      </c>
      <c r="B1797">
        <f>1</f>
        <v>1</v>
      </c>
    </row>
    <row r="1798" spans="1:3" x14ac:dyDescent="0.2">
      <c r="A1798">
        <v>3</v>
      </c>
      <c r="B1798">
        <f>1</f>
        <v>1</v>
      </c>
    </row>
    <row r="1799" spans="1:3" x14ac:dyDescent="0.2">
      <c r="A1799">
        <v>4</v>
      </c>
      <c r="B1799">
        <f>1</f>
        <v>1</v>
      </c>
    </row>
    <row r="1800" spans="1:3" x14ac:dyDescent="0.2">
      <c r="A1800">
        <v>1</v>
      </c>
      <c r="B1800" t="e">
        <f>(1.64*(B587/800)-0.64)*(1-0.98*LN((B600+B$3071)/100))*(0.6*(B$3073/90)+0.4)*(0.04/(B340/250)+0.96)*(0.61*(B326/27)+0.39)*(0.99/B572+0.01)*IF(B747=1,0.92,1.03)*(0.61*(B403/3750)+0.39)*IF(B339=1,(0.066*(B397/220)+1.034),IF(B339=3,(0.09*(B396/20)+0.91),IF(B339=2,(0.36*(B395/385)+1.08))))*(0.1*(B584/1.2)+0.9)*((0.72/B1002)+0.28)*((0.96*(B986/12))+0.04)*((B987/600)^-0.74)*(1.44-0.44*(#REF!/30))</f>
        <v>#VALUE!</v>
      </c>
      <c r="C1800">
        <v>25</v>
      </c>
    </row>
    <row r="1801" spans="1:3" x14ac:dyDescent="0.2">
      <c r="A1801">
        <v>2</v>
      </c>
      <c r="B1801">
        <f>1</f>
        <v>1</v>
      </c>
    </row>
    <row r="1802" spans="1:3" x14ac:dyDescent="0.2">
      <c r="A1802">
        <v>3</v>
      </c>
      <c r="B1802">
        <f>1</f>
        <v>1</v>
      </c>
    </row>
    <row r="1803" spans="1:3" x14ac:dyDescent="0.2">
      <c r="A1803">
        <v>4</v>
      </c>
      <c r="B1803">
        <f>1</f>
        <v>1</v>
      </c>
    </row>
    <row r="1804" spans="1:3" x14ac:dyDescent="0.2">
      <c r="A1804">
        <v>1</v>
      </c>
      <c r="B1804" t="e">
        <f>(0.85*(B587/800)+0.15)*(1-0.54*LN((B600+B$3071)/100))*(0.6*(B$3073/90)+0.4)*(0.04/(B340/250)+0.96)*(0.61*(B326/27)+0.39)*(0.99/B572+0.01)*IF(B747=1,0.92,1.03)*IF(B339=1,(0.066*(B397/220)+1.034),IF(B339=3,(0.09*(B396/20)+0.91),IF(B339=2,(0.36*(B395/385)+1.08))))*(0.05*(B584/1.2)+0.95)*(0.61*(B403/3750)+0.39)*((0.97*(B986/12))+0.03)*((B987/600)^-0.74)*((0.72/B1002)+0.28)*(IF(B1199=2,1.43,1))</f>
        <v>#VALUE!</v>
      </c>
      <c r="C1804">
        <v>26</v>
      </c>
    </row>
    <row r="1805" spans="1:3" x14ac:dyDescent="0.2">
      <c r="A1805">
        <v>2</v>
      </c>
      <c r="B1805">
        <v>1</v>
      </c>
    </row>
    <row r="1806" spans="1:3" x14ac:dyDescent="0.2">
      <c r="A1806">
        <v>3</v>
      </c>
      <c r="B1806">
        <v>1</v>
      </c>
    </row>
    <row r="1807" spans="1:3" x14ac:dyDescent="0.2">
      <c r="A1807">
        <v>4</v>
      </c>
      <c r="B1807">
        <v>1</v>
      </c>
    </row>
    <row r="1808" spans="1:3" x14ac:dyDescent="0.2">
      <c r="A1808">
        <v>1</v>
      </c>
      <c r="B1808" t="e">
        <f>(1.07*(B587/800)^2-0.32*(B587/800)+0.26)*(1-1.13*LN((B600+B$3071)/100))*(0.6*(B$3073/90)+0.4)*(1/(B340/250))*(0.61*(B326/27)+0.39)*IF(B747=1,0.92,1.03)*(0.61*(B403/3750)+0.39)*IF(B339=1,(0.066*(B397/220)+1.034),IF(B339=3,(0.09*(B396/20)+0.91),IF(B339=2,(0.36*(B395/385)+1.08))))*(0.1*(B584/1.2)+0.9)*(0.99/B572+0.01)*((0.96*(B986/12))+0.04)*((B987/600)^-0.74)*((0.72/B1002)+0.28)</f>
        <v>#VALUE!</v>
      </c>
      <c r="C1808">
        <v>27</v>
      </c>
    </row>
    <row r="1809" spans="1:3" x14ac:dyDescent="0.2">
      <c r="A1809">
        <v>2</v>
      </c>
      <c r="B1809">
        <v>1</v>
      </c>
    </row>
    <row r="1810" spans="1:3" x14ac:dyDescent="0.2">
      <c r="A1810">
        <v>3</v>
      </c>
      <c r="B1810">
        <v>1</v>
      </c>
    </row>
    <row r="1811" spans="1:3" x14ac:dyDescent="0.2">
      <c r="A1811">
        <v>4</v>
      </c>
      <c r="B1811">
        <v>1</v>
      </c>
    </row>
    <row r="1812" spans="1:3" x14ac:dyDescent="0.2">
      <c r="A1812">
        <v>1</v>
      </c>
      <c r="B1812" t="e">
        <f>(1.07*(B587/800)^2-0.32*(B587/800)+0.26)*(1-1.13*LN((B600+B$3071)/100))*(0.6*(B$3073/90)+0.4)*(1/(B340/250))*(0.61*(B326/27)+0.39)*IF(B747=1,0.92,1.03)*(0.61*(B403/3750)+0.39)*IF(B339=1,(0.066*(B397/220)+1.034),IF(B339=3,(0.09*(B396/20)+0.91),IF(B339=2,(0.36*(B395/385)+1.08))))*(0.1*(B584/1.2)+0.9)*(0.99/B572+0.01)*((0.96*(B986/12))+0.04)*((B987/600)^-0.74)*((0.72/B1002)+0.28)</f>
        <v>#VALUE!</v>
      </c>
      <c r="C1812">
        <v>28</v>
      </c>
    </row>
    <row r="1813" spans="1:3" x14ac:dyDescent="0.2">
      <c r="A1813">
        <v>2</v>
      </c>
      <c r="B1813">
        <v>1</v>
      </c>
    </row>
    <row r="1814" spans="1:3" x14ac:dyDescent="0.2">
      <c r="A1814">
        <v>3</v>
      </c>
      <c r="B1814">
        <v>1</v>
      </c>
    </row>
    <row r="1815" spans="1:3" x14ac:dyDescent="0.2">
      <c r="A1815">
        <v>4</v>
      </c>
      <c r="B1815">
        <v>1</v>
      </c>
    </row>
    <row r="1817" spans="1:3" x14ac:dyDescent="0.2">
      <c r="A1817" t="s">
        <v>5203</v>
      </c>
    </row>
    <row r="1818" spans="1:3" x14ac:dyDescent="0.2">
      <c r="A1818" t="s">
        <v>5216</v>
      </c>
    </row>
    <row r="1819" spans="1:3" x14ac:dyDescent="0.2">
      <c r="A1819" t="s">
        <v>5205</v>
      </c>
      <c r="C1819" t="s">
        <v>4566</v>
      </c>
    </row>
    <row r="1820" spans="1:3" x14ac:dyDescent="0.2">
      <c r="A1820">
        <v>1</v>
      </c>
      <c r="B1820" t="e">
        <f>(1.07*(B587/800)^-0.7)*(0.98*((B600+B$3071)/(100))^-1.12+0.02)*(0.6*(B$3073/90)+0.4)*(0.03/(B340/250)+0.97)*(0.61*(B326/27)+0.39)*IF(B747=1,0.99,1)*(0.61*(B403/3750)+0.39)*IF(B339=1,(0.066*(B397/220)+1.034),IF(B339=3,(0.09*(B396/20)+0.91),IF(B339=2,(0.36*(B395/385)+1.08))))*(0.11*(B584/1.2)+0.89)*(0.99/B572+0.01)*IF(B747=1,0.92,1.03)*((B1050/600)^-0.74)*(0.96*(B1049/12)+0.04)</f>
        <v>#VALUE!</v>
      </c>
      <c r="C1820">
        <v>1</v>
      </c>
    </row>
    <row r="1821" spans="1:3" x14ac:dyDescent="0.2">
      <c r="A1821">
        <v>2</v>
      </c>
      <c r="B1821" t="e">
        <f>(1.55*(B587/800)-0.4*(B587/800)^2-0.15)*(1-0.44*LN((B600+B$3071)/(100)))*(0.6*(B$3073/90)+0.4)*(0.1/(B340/250)+0.9)*(0.61*(B326/27)+0.39)*(0.4/B572+0.6)*IF(B747=1,0.92,1.03)*IF(B603=1,0.6,IF(B603=2,1.2,1))*(0.61*(B403/3750)+0.39)*IF(B339=1,(0.066*(B397/220)+1.034),IF(B339=3,(0.09*(B396/20)+0.91),IF(B339=2,(0.36*(B395/385)+1.08))))*(0.04*(B584/1.2)+0.96)*(0.97*(B1049/12)+0.03)*((B1050/600)^-0.74)</f>
        <v>#VALUE!</v>
      </c>
    </row>
    <row r="1822" spans="1:3" x14ac:dyDescent="0.2">
      <c r="A1822">
        <v>3</v>
      </c>
      <c r="B1822" t="e">
        <f>(0.07*(B587/800)+0.93)*(1-0.041*LN((B600+B$3071)/100))*(0.6*(B$3073/90)+0.4)*(0.1/(B340/250)+0.9)*(0.63*(B326/27)+0.07)*(1.02/B572-0.02)*IF(B747=1,0.95,1.02)*IF(B603=1,0.6,IF(B603=2,1.2,1))*(0.64*(B403/3750)+0.36)*IF(B339=1,(0.066*(B397/220)+1.034),IF(B339=3,(0.07*(B396/20)+0.93),IF(B339=2,(0.36*(B395/385)+1.08))))*(0.93*(B584/1.2)+0.07)*((B1050/600)^-0.76)*IF(#REF!=2,1,IF(#REF!=1,1.49,IF(#REF!=3,1.98,IF(#REF!=7,5.91,IF(#REF!=10,1,3.95)))))</f>
        <v>#VALUE!</v>
      </c>
    </row>
    <row r="1823" spans="1:3" x14ac:dyDescent="0.2">
      <c r="A1823">
        <v>4</v>
      </c>
      <c r="B1823" t="e">
        <f>(0.07*(B587/800)+0.93)*(1-0.49*LN((B$3071/50)))*((0.86*(B$3073/90)+0.14))*(1/(B340/250))*IF(B747=1,(0.052*(B757/1020000)+0.26),1.25)*IF(B603=1,0.6,IF(B603=2,1.2,1))*(0.05*(B584/1.2)+0.95)*((0.9*(B1049/12))+0.1)</f>
        <v>#VALUE!</v>
      </c>
    </row>
    <row r="1824" spans="1:3" x14ac:dyDescent="0.2">
      <c r="A1824">
        <v>1</v>
      </c>
      <c r="B1824" t="e">
        <f>(1.07*(B587/800)^-0.7)*(0.98*((B600+B$3071)/(100))^-1.12+0.02)*(0.6*(B$3073/90)+0.4)*(0.03/(B340/250)+0.97)*(0.61*(B326/27)+0.39)*(0.99/B572+0.01)*IF(B747=1,0.92,1.03)*(0.61*(B403/3750)+0.39)*IF(B339=1,(0.066*(B397/220)+1.034),IF(B339=3,(0.09*(B396/20)+0.91),IF(B339=2,(0.36*(B395/385)+1.08))))*(0.11*(B584/1.2)+0.89)*(0.96*(B1049/12)+0.04)*((B1050/600)^-0.74)</f>
        <v>#VALUE!</v>
      </c>
      <c r="C1824">
        <v>2</v>
      </c>
    </row>
    <row r="1825" spans="1:3" x14ac:dyDescent="0.2">
      <c r="A1825">
        <v>2</v>
      </c>
      <c r="B1825" t="e">
        <f>(1.55*(B587/800)-0.4*(B587/800)^2-0.15)*(1-0.44*LN((B600+B$3071)/(100)))*(0.6*(B$3073/90)+0.4)*(0.1/(B340/250)+0.9)*(0.61*(B326/27)+0.39)*(0.99/B572+0.01)*IF(B747=1,0.92,1.03)*IF(B603=1,0.6,IF(B603=2,1.2,1))*(0.61*(B403/3750)+0.39)*IF(B339=1,(0.066*(B397/220)+1.034),IF(B339=3,(0.09*(B396/20)+0.91),IF(B339=2,(0.36*(B395/385)+1.08))))*(0.04*(B584/1.2)+0.96)*((0.97*(B1049/12))+0.03)*((B1050/600)^-0.74)</f>
        <v>#VALUE!</v>
      </c>
    </row>
    <row r="1826" spans="1:3" x14ac:dyDescent="0.2">
      <c r="A1826">
        <v>3</v>
      </c>
      <c r="B1826" t="e">
        <f>(0.07*(B587/800)+0.93)*(1-0.041*LN((B600+B$3071)/100))*(0.6*(B$3073/90)+0.4)*(0.1/(B340/250)+0.9)*(0.63*(B326/27)+0.37)*(1.1/B572+0.1)*IF(B747=1,0.95,1.02)*IF(B603=1,0.6,IF(B603=2,1.2,1))*(0.64*(B403/3750)+0.36)*(0.93*(B584/1.2)+0.07)*IF(B339=1,(0.066*(B397/220)+1.034),IF(B339=3,(0.09*(B396/20)+0.91),IF(B339=2,(0.36*(B395/385)+1.09))))*((B1050/600)^-0.82)*IF(#REF!=2,1,IF(#REF!=1,1.49,IF(#REF!=3,1.98,IF(#REF!=7,5.91,IF(#REF!=10,1,3.95)))))</f>
        <v>#VALUE!</v>
      </c>
    </row>
    <row r="1827" spans="1:3" x14ac:dyDescent="0.2">
      <c r="A1827">
        <v>4</v>
      </c>
      <c r="B1827" t="e">
        <f>(0.07*(B587/800)+0.93)*(1-0.52*LN((B$3071/50)))*(0.86*(B$3073/90)+0.14)*(1/(B340/250))*IF(B747=1,0.31,1.25)*IF(B603=1,0.6,IF(B603=2,1.2,1))*(0.05*(B584/1.2)+0.95)*((0.9*(B1049/12))+0.1)</f>
        <v>#VALUE!</v>
      </c>
    </row>
    <row r="1828" spans="1:3" x14ac:dyDescent="0.2">
      <c r="A1828">
        <v>1</v>
      </c>
      <c r="B1828" t="e">
        <f>(1.07*(B587/800)^-0.7)*(0.98*((B600+B$3071)/(100))^-1.12+0.02)*(0.99/B572+0.01)*(0.03/(B340/250)+0.97)*(0.61*(B326/27)+0.39)*(0.4/(B572/1)+0.6)*IF(B747=1,0.92,1.03)*(0.61*(B403/3750)+0.39)*IF(B339=1,(0.066*(B397/220)+1.034),IF(B339=3,(0.09*(B396/20)+0.91),IF(B339=2,(0.36*(B395/385)+1.08))))*(0.11*(B584/1.2)+0.89)*(0.96*(B1049/12)+0.04)*((B1050/600)^-0.74)*(0.47*(B1064/30)^2-2.07*(B1064/30)+2.6)</f>
        <v>#VALUE!</v>
      </c>
      <c r="C1828">
        <v>3</v>
      </c>
    </row>
    <row r="1829" spans="1:3" x14ac:dyDescent="0.2">
      <c r="A1829">
        <v>2</v>
      </c>
      <c r="B1829" t="e">
        <f>(0.94*(B587/800)^2-0.52*(B587/800)+0.58)*(((B600+B$3071)/(100))^-0.75)*(0.6*(B$3073/90)+0.4)*(0.03/(B340/250)+0.97)*(0.61*(B326/27)+0.39)*(0.99/B572+0.01)*IF(B747=1,0.92,1.03)*IF(B603=1,0.6,IF(B603=2,1.2,1))*(0.69*(B403/3750)+0.31)*IF(B339=1,(0.066*(B397/220)+1.034),IF(B339=3,(0.09*(B396/20)+0.91),IF(B339=2,(0.36*(B395/385)+1.08))))*(0.04*(B584/1.2)+0.96)*((0.97*(B1049/12))+0.03)*((B1050/600)^-0.74)*IF(B1064&gt;0,(1-0.98*LN(B1064/30)),1)</f>
        <v>#VALUE!</v>
      </c>
    </row>
    <row r="1830" spans="1:3" x14ac:dyDescent="0.2">
      <c r="A1830">
        <v>3</v>
      </c>
      <c r="B1830" t="e">
        <f>(0.18*EXP(1.59*(B587/800)))*((B600+B$3071)/100)^-0.96*(0.6*(B$3073/90)+0.4)*1*(0.63*(B326/27)+0.37)*(1.1/B572+0.1)*IF(B747=1,0.99,1)*IF(B603=1,0.6,IF(B603=2,1.2,1))*(0.68*(B403/3750)+0.32)*IF(B339=1,1.01,IF(B339=3,(0.09*(B396/20)+0.91),IF(B339=2,(0.39*(B395/385)+1.1))))*(0.93*(B584/1.2)+0.07)*((B1050/600)^-0.82)*IF(B1064&gt;0,(1-0.5*LN(B1064/30)),1)</f>
        <v>#VALUE!</v>
      </c>
    </row>
    <row r="1831" spans="1:3" x14ac:dyDescent="0.2">
      <c r="A1831">
        <v>4</v>
      </c>
      <c r="B1831" t="e">
        <f>(1.37*LN(B587/800)+1)*(1-0.88*LN((B$3071/50)))*(0.86*(B$3073/90)+0.14)*(0.05*(B326/27)+0.95)*(1/(B340/250))*IF(B747=1,(0.052*(B757/1020000)+0.26),1.25)*IF(B603=1,0.6,IF(B603=2,1.2,1))*(0.1*(B584/1.2)+0.9)*((1.01*(B1049/12))-0.01)*(1.78-0.78*(B1064/30))</f>
        <v>#VALUE!</v>
      </c>
    </row>
    <row r="1832" spans="1:3" x14ac:dyDescent="0.2">
      <c r="A1832">
        <v>1</v>
      </c>
      <c r="B1832" t="e">
        <f>(1.07*(B587/800)^-0.7)*(0.98*((B600+B$3071)/(100))^-1.12+0.02)*(0.6*(B$3073/90)+0.4)*(0.03/(B340/250)+0.97)*(0.61*(B326/27)+0.39)*(0.99/B572+0.01)*IF(B747=1,0.92,1.03)*(0.61*(B403/3750)+0.39)*IF(B339=1,(0.066*(B397/220)+1.034),IF(B339=3,(0.09*(B396/20)+0.91),IF(B339=2,(0.36*(B395/385)+1.08))))*(0.11*(B584/1.2)+0.89)*(0.96*(B1049/12)+0.04)*((B1050/600)^-0.74)</f>
        <v>#VALUE!</v>
      </c>
      <c r="C1832">
        <v>4</v>
      </c>
    </row>
    <row r="1833" spans="1:3" x14ac:dyDescent="0.2">
      <c r="A1833">
        <v>2</v>
      </c>
      <c r="B1833" t="e">
        <f>(1.55*(B587/800)-0.4*(B587/800)^2-0.15)*(1-0.44*LN((B600+B$3071)/(100)))*(0.6*(B$3073/90)+0.4)*(0.1/(B340/250)+0.9)*(0.61*(B326/27)+0.39)*(0.99/B572+0.01)*IF(B747=1,0.92,1.03)*IF(B603=1,0.6,IF(B603=2,1.2,1))*(0.61*(B403/3750)+0.39)*IF(B339=1,(0.066*(B397/220)+1.034),IF(B339=3,(0.09*(B396/20)+0.91),IF(B339=2,(0.36*(B395/385)+1.08))))*(0.04*(B584/1.2)+0.96)*(0.97*(B1049/12)+0.03)*((B1050/600)^-0.74)</f>
        <v>#VALUE!</v>
      </c>
    </row>
    <row r="1834" spans="1:3" x14ac:dyDescent="0.2">
      <c r="A1834">
        <v>3</v>
      </c>
      <c r="B1834" t="e">
        <f>(0.07*(B587/800)+0.93)*(1-0.041*LN((B600+B$3071)/100))*(0.6*(B$3073/90)+0.4)*(0.1/(B340/250)+0.9)*(0.63*(B326/27)+0.37)*(1.02/B572+0.02)*IF(B747=1,0.95,1.02)*IF(B603=1,0.6,IF(B603=2,1.2,1))*(0.64*(B403/3750)+0.36)*IF(B339=1,(0.066*(B397/220)+1.034),IF(B339=3,(0.09*(B396/20)+0.91),IF(B339=2,(0.36*(B395/385)+1.08))))*(0.93*(B584/1.2)+0.07)*((B1050/600)^-0.82)*IF(#REF!=2,1,IF(#REF!=1,1.49,IF(#REF!=3,1.98,IF(#REF!=7,5.91,IF(#REF!=10,3.16,3.95)))))</f>
        <v>#VALUE!</v>
      </c>
    </row>
    <row r="1835" spans="1:3" x14ac:dyDescent="0.2">
      <c r="A1835">
        <v>4</v>
      </c>
      <c r="B1835" t="e">
        <f>(0.86*(B587/800)+0.14)*(1-0.52*LN((B$3071/50)))*(0.86*(B$3073/90)+0.14)*(1/(B340/250))*IF(B747=1,0.95,1.03)*IF(B603=1,0.6,IF(B603=2,1.2,1))*(0.05*(B584/1.2)+0.95)*((0.9*(B1049/12))+0.1)</f>
        <v>#VALUE!</v>
      </c>
    </row>
    <row r="1836" spans="1:3" x14ac:dyDescent="0.2">
      <c r="A1836">
        <v>1</v>
      </c>
      <c r="B1836" t="e">
        <f>(2*(B587/800)^2 -1.94*(B587/800)+0.94)*(0.98*((B600+B$3071)/(100))^-1.12+0.02)*(0.6*(B$3073/90)+0.4)*(0.03/(B340/250)+0.97)*(0.61*(B326/27)+0.39)*(0.99/B572+0.01)*IF(B747=1,0.92,1.03)*IF(B603=1,0.36,IF(B603=2,1.42,1))*(0.61*(B403/3750)+0.39)*IF(B339=1,(0.066*(B397/220)+1.034),IF(B339=3,(0.09*(B396/20)+0.91),IF(B339=2,(0.36*(B395/385)+1.08))))*(0.11*(B584/1.2)+0.89)*(0.87*(B1049/12)+0.13)*((B1050/600)^-0.74)</f>
        <v>#VALUE!</v>
      </c>
      <c r="C1836">
        <v>5</v>
      </c>
    </row>
    <row r="1837" spans="1:3" x14ac:dyDescent="0.2">
      <c r="A1837">
        <v>2</v>
      </c>
      <c r="B1837" t="e">
        <f>(1.55*(B587/800)-0.4*(B587/800)^2-0.15)*(1-0.44*LN((B600+B$3071)/(100)))*(0.6*(B$3073/90)+0.4)*(0.1/(B340/250)+0.9)*(0.61*(B326/27)+0.39)*(0.99/B572+0.01)*IF(B747=1,0.92,1.03)*IF(B603=1,0.6,IF(B603=2,1.2,1))*(0.61*(B403/3750)+0.39)*IF(B339=1,(0.066*(B397/220)+1.034),IF(B339=3,(0.09*(B396/20)+0.91),IF(B339=2,(0.36*(B395/385)+1.08))))*(0.04*(B584/1.2)+0.96)*((0.97*(B1049/12))+0.03)*((B1050/600)^-0.74)</f>
        <v>#VALUE!</v>
      </c>
    </row>
    <row r="1838" spans="1:3" x14ac:dyDescent="0.2">
      <c r="A1838">
        <v>3</v>
      </c>
      <c r="B1838" t="e">
        <f>(0.07*(B587/800)+0.93)*(1-0.041*LN((B600+B$3071)/100))*(0.6*(B$3073/90)+0.4)*(0.1/(B340/250)+0.9)*(0.63*(B326/27)+0.37)*(1.02/B572+0.02)*IF(B747=1,0.95,1.02)*IF(B603=1,0.6,IF(B603=2,1.2,1))*(0.64*(B403/3750)+0.36)*IF(B339=1,(0.066*(B397/220)+1.034),IF(B339=3,(0.09*(B396/20)+0.91),IF(B339=2,(0.36*(B395/385)+1.08))))*(0.93*(B584/1.2)+0.07)*((B1050/600)^-0.76)</f>
        <v>#VALUE!</v>
      </c>
    </row>
    <row r="1839" spans="1:3" x14ac:dyDescent="0.2">
      <c r="A1839">
        <v>4</v>
      </c>
      <c r="B1839" t="e">
        <f>(0.86*(B587/800)-0.14)*(1-0.52*LN((B$3071/50)))*(0.86*(B$3073/90)+0.14)*(1/(B340/250))*IF(B747=1,(0.052*(B757/1020000)+0.26),1.25)*IF(B603=1,0.6,IF(B603=2,1.2,1))*(0.05*(B584/1.2)+0.95)*((0.9*(B1049/12))+0.1)</f>
        <v>#VALUE!</v>
      </c>
    </row>
    <row r="1840" spans="1:3" x14ac:dyDescent="0.2">
      <c r="A1840">
        <v>1</v>
      </c>
      <c r="B1840">
        <f>1</f>
        <v>1</v>
      </c>
      <c r="C1840">
        <v>6</v>
      </c>
    </row>
    <row r="1841" spans="1:3" x14ac:dyDescent="0.2">
      <c r="A1841">
        <v>2</v>
      </c>
      <c r="B1841">
        <f>1</f>
        <v>1</v>
      </c>
    </row>
    <row r="1842" spans="1:3" x14ac:dyDescent="0.2">
      <c r="A1842">
        <v>3</v>
      </c>
      <c r="B1842" t="e">
        <f>(0.45*(B587/800)+0.55)*(1-0.27*LN((B600+B$3071)/100))*(0.76*(B$3073/90)+0.24)*(0.66/(B340/250)+0.34)*(0.35*(B326/27)+0.65)*(0.56/B572+0.44)*IF(B747=1,0.66,1.12)*(0.35*(B403/3750)+0.65)*IF(B339=1,(0.035*(B397/220)+0.97),IF(B339=3,(0.09*(B396/20)+0.91),IF(B339=2,(0.2*(B395/385)+1.05))))*(1.04*(B584/1.2)-0.04)*(0.95*((B1049/12))+0.05)*((B1050/600)^-0.42)*IF(#REF!=2,1,IF(#REF!=1,1.49,IF(#REF!=3,1.98,IF(#REF!=7,5.91,IF(#REF!=10,1.43,3.95)))))</f>
        <v>#VALUE!</v>
      </c>
    </row>
    <row r="1843" spans="1:3" x14ac:dyDescent="0.2">
      <c r="A1843">
        <v>4</v>
      </c>
      <c r="B1843" t="e">
        <f>(0.86*(B587/800)+0.14)*(1-0.52*LN((B$3071)/100))*(0.86*(B$3073/90)+0.14)*(1/(B340/250))*IF(B747=1,(0.052*(B757/1020000)+0.26),1.25)*IF(B603=1,0.36,IF(B603=2,1.42,1))*(0.05*(B584/1.2)+0.95)*((0.9*(B1049/12))+0.1)</f>
        <v>#VALUE!</v>
      </c>
    </row>
    <row r="1844" spans="1:3" x14ac:dyDescent="0.2">
      <c r="A1844">
        <v>1</v>
      </c>
      <c r="B1844" t="e">
        <f>(1.07*(B587/800)^1.98-0.07)*(0.98*((B600+B$3071)/(100))^-1.12+0.02)*(0.6*(B$3073/90)+0.4)*(0.03/(B340/250)+0.97)*(0.61*(B326/27)+0.39)*(0.99/B572+0.01)*IF(B747=1,0.92,1.03)*(0.61*(B403/3750)+0.39)*IF(B339=1,(0.066*(B397/220)+1.034),IF(B339=3,(0.09*(B396/20)+0.91),IF(B339=2,(0.36*(B395/385)+1.08))))*(0.11*(B584/1.2)+0.89)*(0.96*(B1049/12)+0.04)*((B1050/600)^-0.74)</f>
        <v>#VALUE!</v>
      </c>
      <c r="C1844">
        <v>7</v>
      </c>
    </row>
    <row r="1845" spans="1:3" x14ac:dyDescent="0.2">
      <c r="A1845">
        <v>2</v>
      </c>
      <c r="B1845" t="e">
        <f>(1.55*(B587/800)-0.4*(B587/800)^2-0.15)*(1-0.44*LN((B600+B$3071)/(100)))*(0.6*(B$3073/90)+0.4)*(0.1/(B340/250)+0.9)*(0.61*(B326/27)+0.39)*(0.99/B572+0.01)*IF(B747=1,0.92,1.03)*IF(B603=1,0.6,IF(B603=2,1.2,1))*(0.61*(B403/3750)+0.39)*IF(B339=1,(0.066*(B397/220)+1.034),IF(B339=3,(0.09*(B396/20)+0.91),IF(B339=2,(0.36*(B395/385)+1.08))))*(0.04*(B584/1.2)+0.96)*((0.97*(B1049/12))+0.03)*((B1050/600)^-0.74)</f>
        <v>#VALUE!</v>
      </c>
    </row>
    <row r="1846" spans="1:3" x14ac:dyDescent="0.2">
      <c r="A1846">
        <v>3</v>
      </c>
      <c r="B1846" t="e">
        <f>(0.07*(B587/800)+0.93)*(1-0.041*LN((B600+B$3071)/100))*(0.6*(B$3073/90)+0.4)*(0.1/(B340/250)+0.9)*(0.63*(B326/27)+0.37)*(1.02/B572-0.02)*IF(B747=1,0.99,1)*IF(B603=1,0.6,IF(B603=2,1.2,1))*(0.64*(B403/3750)+0.36)*IF(B339=1,(0.066*(B397/220)+1.034),IF(B339=3,(0.09*(B396/20)+0.91),IF(B339=2,(0.36*(B395/385)+1.08))))*(0.93*(B584/1.2)+0.07)*IF(B747=1,0.95,1.02)*((B1050/600)^-0.74)*IF(#REF!=2,1,IF(#REF!=1,1.49,IF(#REF!=3,1.98,IF(#REF!=7,5.91,IF(#REF!=10,1,3.95)))))</f>
        <v>#VALUE!</v>
      </c>
    </row>
    <row r="1847" spans="1:3" x14ac:dyDescent="0.2">
      <c r="A1847">
        <v>4</v>
      </c>
      <c r="B1847" t="e">
        <f>(0.86*(B587/800)+0.15)*(1-0.52*LN((B$3071/50)))*(0.86*(B$3073/90)+0.14)*(1/(B340/250))*IF(B603=1,0.6,IF(B603=2,1.2,1))*(0.05*(B584/1.2)+0.95)*IF(B747=1,(0.052*(B757/1020000)+0.26),1.25)*((0.9*(B1049/12))+0.1)</f>
        <v>#VALUE!</v>
      </c>
    </row>
    <row r="1848" spans="1:3" x14ac:dyDescent="0.2">
      <c r="A1848">
        <v>1</v>
      </c>
      <c r="B1848" t="e">
        <f>(1.38*LN(B587/800)+1)*(1-0.88*LN((B600+B$3071)/100))*(0.86*(B$3073/90)+0.14)*(1/(B340/250))*IF(B747=1,0.052*(B757/1020000)+0.26,1.25)*IF(B603=1,0.6,IF(B603=2,1.2,1))*(0.09*(B584/1.2)+0.91)*(0.9*(B1049/12)+0.1)*((B1050/600)^-0.74)*(1.79-0.79*(B1064/30))</f>
        <v>#VALUE!</v>
      </c>
      <c r="C1848">
        <v>8</v>
      </c>
    </row>
    <row r="1849" spans="1:3" x14ac:dyDescent="0.2">
      <c r="A1849">
        <v>2</v>
      </c>
      <c r="B1849" t="e">
        <f>(0.94*((B587/800)^2-0.52*(B587/800)+0.58))*(((B600+B$3071)/(100))^-0.75)*(0.6*(B$3073/90)+0.4)*(0.03/(B340/250)+0.97)*(0.61*(B326/27)+0.39)*(0.99/B572+0.01)*IF(B747=1,0.92,1.03)*IF(B603=1,0.6,IF(B603=2,1.2,1))*(0.61*(B403/3750)+0.39)*IF(B339=1,(0.066*(B397/220)+1.034),IF(B339=3,(0.09*(B396/20)+0.91),IF(B339=2,(0.36*(B395/385)+1.08))))*(0.07*(B584/1.2)+0.93)*((0.97*(B1049/12))+0.03)*((B1050/600)^-0.74)*IF(B1064&gt;0,(1-1.14*LN(B1064/30)),1)</f>
        <v>#VALUE!</v>
      </c>
    </row>
    <row r="1850" spans="1:3" x14ac:dyDescent="0.2">
      <c r="A1850">
        <v>3</v>
      </c>
      <c r="B1850" t="e">
        <f>(0.07*(B587/800)+0.93)*(((B600+B$3071)/100)^-0.05)*(0.6*(B$3073/90)+0.4)*(0.1/(B340/250)+0.9)*(0.65*(B326/27)+0.35)*(1.05/B572-0.05)*IF(B747=1,0.96,1.01)*IF(B603=1,0.6,IF(B603=2,1.2,1))*(0.65*(B403/3750)+0.35)*IF(B339=1,(0.063*(B397/220)+0.94),IF(B339=3,(0.09*(B396/20)+0.91),IF(B339=2,(0.39*(B395/385)+1.1))))*(0.95*(B584/1.2)+0.05)*((B1050/600)^-0.78)*(1.044-0.044*(B1064/30))*IF(#REF!=2,1,IF(#REF!=1,1.49,IF(#REF!=3,1.98,IF(#REF!=7,5.91,IF(#REF!=10,1,3.95)))))</f>
        <v>#VALUE!</v>
      </c>
    </row>
    <row r="1851" spans="1:3" x14ac:dyDescent="0.2">
      <c r="A1851">
        <v>4</v>
      </c>
      <c r="B1851" t="e">
        <f>(1.37*LN(B587/800)+1)*(1-0.88*LN(B$3071/50))*1*(1/(B340/250))*IF(B747=1,0.052*(B757/1020000)+0.26,1.25)*IF(B603=1,0.6,IF(B603=2,1.2,1))*(0.1*(B584/1.2)+0.9)*((0.9*(B1049/12))+0.1)*(1.78-0.78*(B1064/30))</f>
        <v>#VALUE!</v>
      </c>
    </row>
    <row r="1852" spans="1:3" x14ac:dyDescent="0.2">
      <c r="A1852">
        <v>1</v>
      </c>
      <c r="B1852" t="e">
        <f>(0.79*(B587/800)+0.21)*(1-0.48*LN((B600+B$3071)/100))*(0.6*(B$3073/90)+0.4)*(0.1/(B340/250)+0.9)*(0.61*(B326/27)+0.39)*(0.99/B572+0.01)*IF(B747=1,0.92,1.03)*IF(B339=1,(0.066*(B397/220)+1.034),IF(B339=3,(0.09*(B396/20)+0.91),IF(B339=2,(0.36*(B395/385)+1.08))))*(0.05*(B584/1.2)+0.95)*(0.61*(B403/3750)+0.39)*((0.97*(B1049/12))+0.03)*((B1050/600)^-0.74)</f>
        <v>#VALUE!</v>
      </c>
      <c r="C1852">
        <v>9</v>
      </c>
    </row>
    <row r="1853" spans="1:3" x14ac:dyDescent="0.2">
      <c r="A1853">
        <v>2</v>
      </c>
      <c r="B1853" t="e">
        <f>(0.93*(B587/800)+0.07)*(1-0.561*LN((B600+B$3071)/100))*(0.6*(B$3073/90)+0.4)*(0.07/(B340/250)+0.93)*(0.61*(B326/27)+0.39)*(0.99/B572+0.01)*IF(B747=1,0.92,1.03)*IF(B603=1,0.6,IF(B603=2,1.2,1))*(0.61*(B403/3750)+0.39)*IF(B339=1,(0.066*(B397/220)+1.034),IF(B339=3,(0.09*(B396/20)+0.91),IF(B339=2,(0.36*(B395/385)+1.08))))*(0.06*(B584/1.2)+0.94)*(IF(B1065=2,1.43,1))*(0.97*(B1049/12)+0.03)*((B1050/600)^-0.82)</f>
        <v>#VALUE!</v>
      </c>
    </row>
    <row r="1854" spans="1:3" x14ac:dyDescent="0.2">
      <c r="A1854">
        <v>3</v>
      </c>
      <c r="B1854" t="e">
        <f>(0.07*(B587/800)+0.93)*(1-0.04*LN((B600+B$3071)/100))*1*1*1*1*1*(0.93*(B584/1.2)+0.07)*(0.63*(B326/27)+0.37)*(0.64*(B403/3750)+0.36)*IF(B339=1,(0.066*(B397/220)+1.034),IF(B339=3,(0.09*(B396/20)+0.91),IF(B339=2,(0.36*(B395/385)+1.09))))*IF(B603=1,0.6,IF(B603=2,1.2,1))*IF(B747=1,0.95,1.02)*(1.02/B572-0.02)*IF(#REF!=2,1,IF(#REF!=1,1.49,IF(#REF!=3,1.98,IF(#REF!=7,5.91,IF(#REF!=10,1,3.95)))))*((B1050/600)^-0.76)</f>
        <v>#VALUE!</v>
      </c>
    </row>
    <row r="1855" spans="1:3" x14ac:dyDescent="0.2">
      <c r="A1855">
        <v>4</v>
      </c>
      <c r="B1855" t="e">
        <f>(0.79*(B587/800)+0.21)*(1-0.48*LN(B$3071/50))*1*1*1*(0.05*(B584/1.2)+0.95)*IF(B603=1,0.6,IF(B603=2,1.2,1))*IF(B747=1,0.052*(B757/1020000)+0.26,1.25)*((0.9*(B1049/12))+0.1)</f>
        <v>#VALUE!</v>
      </c>
    </row>
    <row r="1856" spans="1:3" x14ac:dyDescent="0.2">
      <c r="A1856">
        <v>1</v>
      </c>
      <c r="B1856" t="e">
        <f>(1.38*LN(B587/800)+1)*(1-0.88*LN((B600+B$3071)/100))*(0.86*(B$3073/90)+0.14)*(1/(B340/250))*IF(B747=1,0.052*(B757/1020000)+0.26,1.25)*IF(B603=1,0.6,IF(B603=2,1.2,1))*(0.09*(B584/1.2)+0.91)*((0.9*(B1049/12))+0.1)*IF(B1064&gt;0,(1.79-0.79*LN(B1064/30)),1)</f>
        <v>#VALUE!</v>
      </c>
      <c r="C1856">
        <v>10</v>
      </c>
    </row>
    <row r="1857" spans="1:3" x14ac:dyDescent="0.2">
      <c r="A1857">
        <v>2</v>
      </c>
      <c r="B1857" t="e">
        <f>(0.94*(B587/800)^2-0.52*(B587/800)+0.58)*(((B600+B$3071)/(100))^-0.75)*(0.6*(B$3073/90)+0.4)*(0.03/(B340/250)+0.97)*(0.61*(B326/27)+0.39)*(0.99/B572+0.01)*IF(B747=1,0.92,1.03)*IF(B603=1,0.6,IF(B603=2,1.2,1))*(0.61*(B403/3750)+0.39)*IF(B339=1,(0.066*(B397/220)+1.034),IF(B339=3,(0.09*(B396/20)+0.91),IF(B339=2,(0.36*(B395/385)+1.08))))*(0.07*(B584/1.2)+0.93)*((0.97*(B1049/12))+0.03)*((B1050/600)^-0.74)*IF(B1064&gt;0,(1-1.14*LN(B1064/30)),1)</f>
        <v>#VALUE!</v>
      </c>
    </row>
    <row r="1858" spans="1:3" x14ac:dyDescent="0.2">
      <c r="A1858">
        <v>3</v>
      </c>
      <c r="B1858" t="e">
        <f>(0.078*LN(B587/800)+1)*(((B600+B$3071)/(100))^-0.05)*1*(0.6*(B$3073/90)+0.4)*(0.1/(B340/250)+0.9)*(0.65*(B326/27)+0.35)*(1.05/B572-0.05)*IF(B603=1,0.6,IF(B603=2,1.2,1))*(0.65*(B403/3750)+0.35)*IF(B339=1,(0.066*(B397/220)+1.034),IF(B339=3,(0.09*(B396/20)+0.91),IF(B339=2,(0.39*(B395/385)+1.1))))*(0.95*(B584/1.2)+0.05)*IF(B747=1,0.96,1.01)*((B1050/600)^-0.42)*(1.044-0.044*(B1064/30))*IF(#REF!=2,1,IF(#REF!=1,1.49,IF(#REF!=3,1.98,IF(#REF!=7,5.91,IF(#REF!=10,1,3.95)))))</f>
        <v>#VALUE!</v>
      </c>
    </row>
    <row r="1859" spans="1:3" x14ac:dyDescent="0.2">
      <c r="A1859">
        <v>4</v>
      </c>
      <c r="B1859" t="e">
        <f>(1.37*LN(B587/800)+1)*(1-0.88*LN(B$3071/50))*1*(0.87*(B$3073/90)+0.13)*(1/(B340/250))*IF(B747=1,0.31,1.25)*IF(B603=1,0.6,IF(B603=2,1.2,1))*(0.1*(B584/1.2)+0.9)*((0.97*(B1049/12))+0.03)*(1.78-0.78*(B1064/30))</f>
        <v>#VALUE!</v>
      </c>
    </row>
    <row r="1860" spans="1:3" x14ac:dyDescent="0.2">
      <c r="A1860">
        <v>1</v>
      </c>
      <c r="B1860" t="e">
        <f>(0.896*(B587/800)+0.11)*(1-0.521*LN((B600+B$3071)/100))*(0.86*(B$3073/90)+0.14)*(1/(B340/250))*IF(B747=1,0.31,1.25)*IF(B603=1,0.6,IF(B603=2,1.2,1))*(0.05*(B584/1.2)+0.95)*((0.9*(B1049/12))+0.1)</f>
        <v>#VALUE!</v>
      </c>
      <c r="C1860">
        <v>11</v>
      </c>
    </row>
    <row r="1861" spans="1:3" x14ac:dyDescent="0.2">
      <c r="A1861">
        <v>2</v>
      </c>
      <c r="B1861" t="e">
        <f>(1.55*(B587/800)-0.4*(B587/800)^2-0.15)*(1-0.44*LN((B600+B$3071)/(100)))*(0.6*(B$3073/90)+0.4)*(0.1/(B340/250)+0.9)*(0.61*(B326/27)+0.39)*(0.99/B572+0.01)*IF(B747=1,0.93,1)*IF(B603=1,0.6,IF(B603=2,1.2,1))*(0.61*(B403/3750)+0.39)*IF(B339=1,(0.066*(B397/220)+1.034),IF(B339=3,(0.09*(B396/20)+0.91),IF(B339=2,(0.36*(B395/385)+1.08))))*(0.04*(B584/1.2)+0.96)*(0.97*(B1049/12)+0.03)*((B1050/600)^-0.74)</f>
        <v>#VALUE!</v>
      </c>
    </row>
    <row r="1862" spans="1:3" x14ac:dyDescent="0.2">
      <c r="A1862">
        <v>3</v>
      </c>
      <c r="B1862" t="e">
        <f>(0.07*(B587/800)+0.93)*(1-0.44*LN((B600+B$3071)/(100)))*(0.6*(B$3073/90)+0.4)*(0.1/(B340/250)+0.9)*(0.63*(B326/27)+0.37)*(1.02/B572-0.02)*IF(B747=1,0.92,1.03)*IF(B603=1,0.6,IF(B603=2,1.2,1))*(0.64*(B403/3750)+0.36)*IF(B339=1,(0.066*(B397/220)+1.034),IF(B339=3,(0.09*(B396/20)+0.91),IF(B339=2,(0.39*(B395/385)+1.1))))*(0.93*(B584/1.2)+0.07)*((B1050/600)^-0.76)*IF(#REF!=2,1,IF(#REF!=1,1.49,IF(#REF!=3,1.98,IF(#REF!=7,5.91,IF(#REF!=10,3.16,3.95)))))</f>
        <v>#VALUE!</v>
      </c>
    </row>
    <row r="1863" spans="1:3" x14ac:dyDescent="0.2">
      <c r="A1863">
        <v>4</v>
      </c>
      <c r="B1863" t="e">
        <f>(0.86*(B587/800)+0.14)*(1-0.52*LN(B$3071/50))*(0.87*(B$3073/90)+0.13)*(1/(B340/250))*IF(B747=1,0.052*(B757/1020000)+0.26,1.25)*IF(B603=1,0.6,IF(B603=2,1.2,1))*(0.05*(B584/1.2)+0.95)*((0.9*(B1049/12))+0.1)</f>
        <v>#VALUE!</v>
      </c>
    </row>
    <row r="1864" spans="1:3" x14ac:dyDescent="0.2">
      <c r="A1864">
        <v>1</v>
      </c>
      <c r="B1864">
        <f>1</f>
        <v>1</v>
      </c>
      <c r="C1864">
        <v>12</v>
      </c>
    </row>
    <row r="1865" spans="1:3" x14ac:dyDescent="0.2">
      <c r="A1865">
        <v>2</v>
      </c>
      <c r="B1865">
        <f>1</f>
        <v>1</v>
      </c>
    </row>
    <row r="1866" spans="1:3" x14ac:dyDescent="0.2">
      <c r="A1866">
        <v>3</v>
      </c>
      <c r="B1866" t="e">
        <f>(0.45*(B587/800)+0.55)*(1-0.271*LN((B600+B$3071)/(100)))*(0.76*(B$3073/90)+0.24)*(0.66/(B340/250)+0.34)*(0.35*(B326/27)+0.65)*(0.56/B572+0.44)*IF(B747=1,0.66,1.12)*(0.35*(B403/3750)+0.65)*IF(B339=1,(0.035*(B397/220)+0.97),IF(B339=3,(0.06*(B396/20)+0.94),IF(B339=2,(0.2*(B395/385)+1.05))))*(1.04*(B584/1.2)-0.04)*((0.95*(B1049/12))+0.05)*((B1050/600)^-0.42)*IF(#REF!=2,1,IF(#REF!=1,1.49,IF(#REF!=3,1.98,IF(#REF!=7,5.91,IF(#REF!=10,1,3.95)))))</f>
        <v>#VALUE!</v>
      </c>
    </row>
    <row r="1867" spans="1:3" x14ac:dyDescent="0.2">
      <c r="A1867">
        <v>4</v>
      </c>
      <c r="B1867" t="e">
        <f>(0.86*(B587/800)+0.14)*(1-0.521*LN(B$3071/50))*(0.86*(B$3073/90)+0.14)*(1/(B340/250))*IF(B747=1,0.052*(B757/1020000)+0.26,1.25)*IF(B603=1,0.35,IF(B603=2,1.42,1))*(0.05*(B584/1.2)+0.95)*IF(B603=1,0.6,IF(B603=2,1.2,1))</f>
        <v>#VALUE!</v>
      </c>
    </row>
    <row r="1868" spans="1:3" x14ac:dyDescent="0.2">
      <c r="A1868">
        <v>1</v>
      </c>
      <c r="B1868">
        <f>1</f>
        <v>1</v>
      </c>
      <c r="C1868">
        <v>13</v>
      </c>
    </row>
    <row r="1869" spans="1:3" x14ac:dyDescent="0.2">
      <c r="A1869">
        <v>2</v>
      </c>
      <c r="B1869">
        <v>1</v>
      </c>
    </row>
    <row r="1870" spans="1:3" x14ac:dyDescent="0.2">
      <c r="A1870">
        <v>3</v>
      </c>
      <c r="B1870" t="e">
        <f>(0.45*(B587/800)+0.55)*(1-0.271*LN((B600+B$3071)/(100)))*(0.76*(B$3073/90)+0.24)*(0.68/(B340/250)+0.32)*(0.56/B572+0.44)*IF(B747=1,0.66,1.05)*(0.35*(B403/3750)+0.65)*IF(B339=1,(0.035*(B397/220)+0.97),IF(B339=3,(0.06*(B396/20)+0.94),IF(B339=2,(0.2*(B395/385)+1.05))))*(1.04*(B584/1.2)-0.04)*(0.35*(B326/27)+0.65)*(0.95*((B1049/12))+0.05)*((B1050/600)^-0.42)*IF(#REF!=2,1,IF(#REF!=1,1.49,IF(#REF!=3,1.98,IF(#REF!=7,5.91,IF(#REF!=10,1,3.95)))))</f>
        <v>#VALUE!</v>
      </c>
    </row>
    <row r="1871" spans="1:3" x14ac:dyDescent="0.2">
      <c r="A1871">
        <v>4</v>
      </c>
      <c r="B1871" t="e">
        <f>(1.37*LN(B587/800)+1)*(1-0.88*LN(B$3071/50))*(0.87*(B$3073/90)+0.13)*(1/(B340/250))*IF(B747=1,0.052*(B757/1020000)+0.26,1.25)*IF(B603=1,0.367,IF(B603=2,1.44,1))*(0.1*(B584/1.2)+0.9)*IF(B603=1,0.6,IF(B603=2,1.2,1))*(0.06*(B1050/600)+0.94)*(1.78-0.78*(B1064/30))</f>
        <v>#VALUE!</v>
      </c>
    </row>
    <row r="1872" spans="1:3" x14ac:dyDescent="0.2">
      <c r="A1872">
        <v>1</v>
      </c>
      <c r="B1872">
        <f>1</f>
        <v>1</v>
      </c>
      <c r="C1872">
        <v>14</v>
      </c>
    </row>
    <row r="1873" spans="1:3" x14ac:dyDescent="0.2">
      <c r="A1873">
        <v>2</v>
      </c>
      <c r="B1873">
        <f>1</f>
        <v>1</v>
      </c>
    </row>
    <row r="1874" spans="1:3" x14ac:dyDescent="0.2">
      <c r="A1874">
        <v>3</v>
      </c>
      <c r="B1874" t="e">
        <f>(0.45*(B587/800)+0.55)*(1-0.271*LN((B600+B$3071)/(100)))*(0.76*(B$3073/90)+0.24)*(0.66/(B340/250)+0.34)*(0.35*(B326/27)+0.65)*(0.56/B572+0.44)*IF(B747=1,0.66,1.12)*(0.35*(B403/3750)+0.65)*IF(B339=1,(0.035*(B397/220)+0.97),IF(B339=3,(0.06*(B396/20)+0.94),IF(B339=2,(0.2*(B395/385)+1.05))))*(1.04*(B584/1.2)-0.04)*(0.95*((B1049/12))+0.05)*((B1050/600)^-0.42)*IF(#REF!=2,1,IF(#REF!=1,1.49,IF(#REF!=3,1.98,IF(#REF!=7,5.91,IF(#REF!=10,1.43,3.95)))))</f>
        <v>#VALUE!</v>
      </c>
    </row>
    <row r="1875" spans="1:3" x14ac:dyDescent="0.2">
      <c r="A1875">
        <v>4</v>
      </c>
      <c r="B1875" t="e">
        <f>(0.79*(B587/800)+0.21)*(1-0.48*LN(B$3071/50))*(0.86*(B$3073/90)+0.14)*(1/(B340/250))*(0.61*(B326/27)+0.39)*IF(B747=1,0.92,1.03)*(0.05*(B584/1.2)+0.95)*IF(B339=1,(0.066*(B397/220)+1.034),IF(B339=3,(0.09*(B396/20)+0.91),IF(B339=2,(0.36*(B395/385)+1.08))))*(0.61*(B403/3750)+0.39)*(0.98/B572+0.02)*((0.9*(B1049/12))+0.1)*((B1050/600)^-0.73)*(IF(B1065=2,1.43,1))</f>
        <v>#VALUE!</v>
      </c>
    </row>
    <row r="1876" spans="1:3" x14ac:dyDescent="0.2">
      <c r="A1876">
        <v>1</v>
      </c>
      <c r="B1876">
        <f>1</f>
        <v>1</v>
      </c>
      <c r="C1876">
        <v>15</v>
      </c>
    </row>
    <row r="1877" spans="1:3" x14ac:dyDescent="0.2">
      <c r="A1877">
        <v>2</v>
      </c>
      <c r="B1877">
        <f>1</f>
        <v>1</v>
      </c>
    </row>
    <row r="1878" spans="1:3" x14ac:dyDescent="0.2">
      <c r="A1878">
        <v>3</v>
      </c>
      <c r="B1878" t="e">
        <f>(0.45*(B587/800)+0.55)*(1-0.271*LN((B600+B$3071)/(100)))*(0.76*(B$3073/90)+0.24)*(0.66/(B340/250)+0.34)*(0.35*(B326/27)+0.65)*(0.56/B572+0.44)*IF(B747=1,0.66,1.12)*IF(B339=1,(0.066*(B397/220)+1.034),IF(B339=3,(0.06*(B396/20)+0.94),IF(B339=2,(0.2*(B395/385)+1.05))))*(1.04*(B584/1.2)-0.04)*(0.35*(B403/3750)+0.65)*(0.95*((B1049/12))+0.05)*((B1050/600)^-0.42)*IF(#REF!=2,1,IF(#REF!=1,1.49,IF(#REF!=3,1.98,IF(#REF!=7,5.91,IF(#REF!=10,1,3.95)))))</f>
        <v>#VALUE!</v>
      </c>
    </row>
    <row r="1879" spans="1:3" x14ac:dyDescent="0.2">
      <c r="A1879">
        <v>4</v>
      </c>
      <c r="B1879" t="e">
        <f>(0.45*(B587/800)+0.55)*(1-0.521*LN(B$3071/50))*(0.86*(B$3073/90)+0.14)*(1/(B340/250))*IF(B747=1,0.052*(B757/1020000)+0.26,1.25)*IF(B603=1,0.6,IF(B603=2,1.2,1))*(0.05*(B584/1.2)+0.95)*((0.9*(B1049/12))+0.1)</f>
        <v>#VALUE!</v>
      </c>
    </row>
    <row r="1880" spans="1:3" x14ac:dyDescent="0.2">
      <c r="A1880">
        <v>1</v>
      </c>
      <c r="B1880" t="e">
        <f>(0.15*EXP(1.8*B587/800))*(0.98*((B600+B$3071)/(100))^-1.12+0.02)*1*(0.6*(B$3073/90)+0.4)*(0.03/(B340/250)+0.97)*(0.61*(B326/27)+0.39)*(0.99/B572+0.01)*IF(B747=1,0.92,1.03)*(0.61*(B403/3750)+0.39)*IF(B339=1,(0.066*(B397/220)+1.034),IF(B339=3,(0.09*(B396/20)+0.91),IF(B339=2,(0.36*(B395/385)+1.08))))*(0.11*(B584/1.2)+0.89)*(0.96*((B1049/12))+0.04)*((B1050/600)^-0.74)</f>
        <v>#VALUE!</v>
      </c>
      <c r="C1880">
        <v>16</v>
      </c>
    </row>
    <row r="1881" spans="1:3" x14ac:dyDescent="0.2">
      <c r="A1881">
        <v>2</v>
      </c>
      <c r="B1881" t="e">
        <f>(1.55*(B587/800)-0.4*(B587/800)^2-0.15)*(1-0.44*LN((B600+B$3071)/(100)))*1*(0.6*(B$3073/90)+0.4)*(0.1/(B340/250)+0.9)*(0.61*(B326/27)+0.39)*(0.99/B572+0.01)*IF(B747=1,0.92,1.03)*(0.61*(B403/3750)+0.39)*IF(B339=1,(0.066*(B397/220)+1.034),IF(B339=3,(0.09*(B396/20)+0.91),IF(B339=2,(0.36*(B395/385)+1.08))))*(0.04*(B584/1.2)+0.96)*(0.97*((B1049/12))+0.03)*((B1050/600)^-0.74)</f>
        <v>#VALUE!</v>
      </c>
    </row>
    <row r="1882" spans="1:3" x14ac:dyDescent="0.2">
      <c r="A1882">
        <v>3</v>
      </c>
      <c r="B1882" t="e">
        <f>(0.45*(B587/800)+0.55)*(1-0.27*LN((B600+B$3071)/(100)))*(0.6*(B2156/90)+0.4)*(0.1/(B340/250)+0.9)*(0.35*(B326/27)+0.65)*(0.56/B572+0.44)*IF(B747=1,0.66,1.12)*(0.35*(B403/3750)+0.65)*IF(B339=1,(0.035*(B397/220)+0.97),IF(B339=3,(0.06*(B396/20)+0.94),IF(B339=2,(0.2*(B395/385)+1.05))))*(1.04*(B584/1.2)-0.04)*(0.95*((B1049/12))+0.05)*((B1050/600)^-0.42)*IF(#REF!=2,1,IF(#REF!=1,1.49,IF(#REF!=3,1.98,IF(#REF!=7,5.91,IF(#REF!=10,3.16,3.95)))))</f>
        <v>#VALUE!</v>
      </c>
    </row>
    <row r="1883" spans="1:3" x14ac:dyDescent="0.2">
      <c r="A1883">
        <v>4</v>
      </c>
      <c r="B1883" t="e">
        <f>(0.86*(B587/800)+0.14)*(1-0.52*LN(B$3071/50))*(0.86*(B$3073/90)+0.14)*(1/(B340/250))*IF(B747=1,0.052*(B757/1020000)+0.26,1.25)*IF(B603=1,0.6,IF(B603=2,1.2,1))*(0.05*(B584/1.2)+0.95)*((0.9*(B1049/12))+0.1)</f>
        <v>#VALUE!</v>
      </c>
    </row>
    <row r="1884" spans="1:3" x14ac:dyDescent="0.2">
      <c r="A1884">
        <v>1</v>
      </c>
      <c r="B1884" t="e">
        <f>(0.15*EXP(1.8*B587/800))*(0.98*((B600+B$3071)/(100))^-1.12+0.02)*(0.6*(B$3073/90)+0.4)*(0.03/(B340/250)+0.97)*(0.61*(B326/27)+0.39)*(0.99/B572+0.01)*IF(B747=1,0.92,1.03)*(0.61*(B403/3750)+0.39)*IF(B339=1,(0.066*(B397/220)+1.034),IF(B339=3,(0.09*(B396/20)+0.91),IF(B339=2,(0.36*(B395/385)+1.08))))*(0.11*(B584/1.2)+0.89)*(0.96*(B1049/12)+0.04)*((B1050/600)^-0.74)</f>
        <v>#VALUE!</v>
      </c>
      <c r="C1884">
        <v>17</v>
      </c>
    </row>
    <row r="1885" spans="1:3" x14ac:dyDescent="0.2">
      <c r="A1885">
        <v>2</v>
      </c>
      <c r="B1885" t="e">
        <f>(1.55*(B587/800)-0.4*(B587/800)^2-0.15)*(1-0.44*LN((B600+B$3071)/(100)))*(0.6*(B$3073/90)+0.4)*(0.1/(B340/250)+0.9)*(0.61*(B326/27)+0.39)*(0.99/B572+0.01)*IF(B747=1,0.92,1.03)*IF(B603=1,0.58,IF(B603=2,1.22,1))*(0.61*(B403/3750)+0.39)*IF(B339=1,(0.066*(B397/220)+1.034),IF(B339=3,(0.09*(B396/20)+0.91),IF(B339=2,(0.36*(B395/385)+1.08))))*(0.04*(B584/1.2)+0.96)*((0.97*(B1049/12))+0.03)*((B1050/600)^-0.74)</f>
        <v>#VALUE!</v>
      </c>
    </row>
    <row r="1886" spans="1:3" x14ac:dyDescent="0.2">
      <c r="A1886">
        <v>3</v>
      </c>
      <c r="B1886" t="e">
        <f>(1.34*(B587/800)-0.34*(B587/800)^2)*(1-0.38*LN((B600+B$3071)/(100)))*(0.6*(B$3073/90)+0.4)*(0.002/(B340/250)+0.998)*(0.68*(B326/27)+0.32)*(1.02/B572-0.02)*IF(B747=1,0.99,1.03)*IF(B603=1,0.6,IF(B603=2,1.2,1))*(0.68*(B403/3750)+0.32)*IF(B339=1,(0.066*(B397/220)+0.934),IF(B339=3,(0.09*(B396/20)+0.91),IF(B339=2,(0.39*(B395/385)+1.1))))*(0.17*(B584/1.2)+0.83)*((B1050/600)^-0.82)*IF(#REF!=2,1,IF(#REF!=1,1.49,IF(#REF!=3,1.98,IF(#REF!=7,5.91,IF(#REF!=10,1.29,3.95)))))</f>
        <v>#VALUE!</v>
      </c>
    </row>
    <row r="1887" spans="1:3" x14ac:dyDescent="0.2">
      <c r="A1887">
        <v>4</v>
      </c>
      <c r="B1887" t="e">
        <f>(0.86*(B587/800)+0.14)*(1-0.52*LN(B$3071/50))*1*(1/(B340/250))*IF(B747=1,0.052*(B757/1020000)+0.26,1.25)*IF(B603=1,0.6,IF(B603=2,1.2,1))*(0.05*(B584/1.2)+0.95)*((0.9*(B1049/12))+0.1)</f>
        <v>#VALUE!</v>
      </c>
    </row>
    <row r="1888" spans="1:3" x14ac:dyDescent="0.2">
      <c r="A1888">
        <v>1</v>
      </c>
      <c r="B1888" t="e">
        <f>(0.85*(B587/800)+0.15)*(1-0.521*LN((B600+B$3071)/100))*(0.86*(B$3073/90)+0.14)*(1/(B340/250))*IF(B747=1,0.052*(B757/1020000)+0.95,1.25)*IF(B603=1,0.6,IF(B603=2,1.2,1))*IF(B339=2,(0.204*(B395/385)+0.596),1)*(0.05*(B584/1.2)+0.95)*(0.9*(B1049/12)+0.1)</f>
        <v>#VALUE!</v>
      </c>
      <c r="C1888">
        <v>18</v>
      </c>
    </row>
    <row r="1889" spans="1:3" x14ac:dyDescent="0.2">
      <c r="A1889">
        <v>2</v>
      </c>
      <c r="B1889" t="e">
        <f>(-0.4*(B587/800)^2+1.55*(B587/800)-0.15)*(1-0.44*LN((B600+B$3071)/(100)))*(0.6*(B$3073/90)+0.4)*(0.1/(B340/250)+0.9)*(0.61*(B326/27)+0.39)*(0.99/B572+0.01)*IF(B747=1,0.92,1.03)*IF(B603=1,0.6,IF(B603=2,1.2,1))*(0.61*(B403/3750)+0.39)*IF(B339=1,(0.066*(B397/220)+1.034),IF(B339=3,(0.09*(B396/20)+0.91),IF(B339=2,(0.36*(B395/385)+1.08))))*(0.04*(B584/1.2)+0.96)*((0.97*(B1049/12))+0.03)*((B1050/600)^-0.74)</f>
        <v>#VALUE!</v>
      </c>
    </row>
    <row r="1890" spans="1:3" x14ac:dyDescent="0.2">
      <c r="A1890">
        <v>3</v>
      </c>
      <c r="B1890" t="e">
        <f>(0.07*(B587/800)+0.93)*(1-0.38*LN((B600+B$3071)/(100)))*(0.6*(B$3073/90)+0.4)*(0.1/(B340/250)+0.9)*(0.68*(B326/27)+0.32)*(1.02/B572-0.02)*IF(B747=1,0.95,1.02)*IF(B603=1,0.6,IF(B603=2,1.2,1))*(0.64*(B403/3750)+0.36)*IF(B339=1,(0.066*(B397/220)+1.034),IF(B339=3,(0.09*(B396/20)+0.91),IF(B339=2,(0.36*(B395/385)+1.08))))*(0.93*(B584/1.2)+0.07)*((B1050/600)^-0.76)*IF(#REF!=2,1,IF(#REF!=1,1.49,IF(#REF!=3,1.98,IF(#REF!=7,5.91,IF(#REF!=10,3.18,3.95)))))</f>
        <v>#VALUE!</v>
      </c>
    </row>
    <row r="1891" spans="1:3" x14ac:dyDescent="0.2">
      <c r="A1891">
        <v>4</v>
      </c>
      <c r="B1891" t="e">
        <f>(0.86*(B587/800)+0.14)*(1-0.52*LN((B$3071)/(100)))*(0.86*(B$3073/90)+0.14)*(1/(B340/250))*IF(B747=1,0.052*(B757/1020000)+0.26,1.25)*IF(B603=1,0.6,IF(B603=2,1.2,1))*(0.05*(B584/1.2)+0.95)*((0.9*(B1049/12))+0.1)</f>
        <v>#VALUE!</v>
      </c>
    </row>
    <row r="1892" spans="1:3" x14ac:dyDescent="0.2">
      <c r="A1892">
        <v>1</v>
      </c>
      <c r="B1892" t="e">
        <f>(1.07*(B587/800)^2-0.32*(B587/800)+0.26)*(1-1.13*LN((B600+B$3071)/100))*(0.6*(B$3073/90)+0.4)*(0.03/(B340/250)+0.97)*(0.61*(B326/27)+0.39)*(0.99/B572+0.01)*IF(B747=1,0.92,1.03)*(0.61*(B403/3750)+0.39)*IF(B339=1,(0.066*(B397/220)+1.034),IF(B339=3,(0.09*(B396/20)+0.91),IF(B339=2,(0.36*(B395/385)+1.08))))*(0.1*(B584/1.2)+0.9)*((0.28/B1081)+0.72)*((0.96*(B1049/12))+0.04)*((B1050/600)^-0.74)</f>
        <v>#VALUE!</v>
      </c>
      <c r="C1892">
        <v>19</v>
      </c>
    </row>
    <row r="1893" spans="1:3" x14ac:dyDescent="0.2">
      <c r="A1893">
        <v>2</v>
      </c>
      <c r="B1893" t="e">
        <f>(-0.4*(B587/800)^2+1.55*(B587/800)-0.15)*(1-0.44*LN((B600+B$3071)/(100)))*(0.61*(B$3073/90)+0.39)*(0.1/(B340/250)+0.9)*(0.61*(B326/27)+0.39)*(0.99/B572+0.01)*IF(B747=1,0.92,1.03)*IF(B603=1,0.6,IF(B603=2,1.2,1))*(0.61*(B403/3750)+0.39)*IF(B339=1,(0.066*(B397/220)+1.034),IF(B339=3,(0.09*(B396/20)+0.91),IF(B339=2,(0.36*(B395/385)+1.08))))*(0.04*(B584/1.2)+0.96)*((0.97*(B1049/12))+0.03)*((B1050/600)^-0.74)</f>
        <v>#VALUE!</v>
      </c>
    </row>
    <row r="1894" spans="1:3" x14ac:dyDescent="0.2">
      <c r="A1894">
        <v>3</v>
      </c>
      <c r="B1894" t="e">
        <f>(0.07*(B587/800)+0.93)*(1-0.04*LN((B600+B$3071)/(100)))*(0.6*(B$3073/90)+0.4)*(0.02/(B340/250)+0.98)*(0.63*(B326/27)+0.37)*(1.02/B572-0.02)*IF(B747=1,0.95,1.02)*IF(B603=1,0.6,IF(B603=2,1.2,1))*(0.35*(B403/3750)+0.65)*IF(B339=1,(0.066*(B397/220)+1.034),IF(B339=3,(0.09*(B396/20)+0.91),IF(B339=2,(0.36*(B395/385)+1.08))))*(0.93*(B584/1.2)+0.07)*((B1050/600)^-0.76)*IF(#REF!=2,1,IF(#REF!=1,1.49,IF(#REF!=3,1.98,IF(#REF!=7,5.91,IF(#REF!=10,1,3.95)))))</f>
        <v>#VALUE!</v>
      </c>
    </row>
    <row r="1895" spans="1:3" x14ac:dyDescent="0.2">
      <c r="A1895">
        <v>4</v>
      </c>
      <c r="B1895" t="e">
        <f>(0.86*(B587/800)+0.14)*(1-0.52*LN((B$3071)/(100)))*(0.86*(B$3073/90)+0.14)*(1/(B340/250))*IF(B747=1,0.052*(B757/1020000)+0.26,1.25)*IF(B603=1,0.6,IF(B603=2,1.2,1))*(0.05*(B584/1.2)+0.95)*((0.9*(B1049/12))+0.1)</f>
        <v>#VALUE!</v>
      </c>
    </row>
    <row r="1896" spans="1:3" x14ac:dyDescent="0.2">
      <c r="A1896">
        <v>1</v>
      </c>
      <c r="B1896" t="e">
        <f>(0.93*(B587/800)^2.1+0.07)*(1-1.13*LN((B600+B$3071)/100))*(0.6*(B$3073/90)+0.4)*(0.03/(B340/250)+0.97)*(0.61*(B326/27)+0.39)*(0.99/B572+0.01)*IF(B747=1,0.92,1.03)*(0.66*(B403/3750)+0.34)*IF(B339=1,(0.066*(B397/220)+1.034),IF(B339=3,(0.09*(B396/20)+0.91),IF(B339=2,(0.36*(B395/385)+1.08))))*(0.1*(B584/1.2)+0.9)*((0.28/B1081)+0.72)*(0.96*(B1049/12)+0.04)*((B1050/600)^-0.74)</f>
        <v>#VALUE!</v>
      </c>
      <c r="C1896">
        <v>20</v>
      </c>
    </row>
    <row r="1897" spans="1:3" x14ac:dyDescent="0.2">
      <c r="A1897">
        <v>2</v>
      </c>
      <c r="B1897" t="e">
        <f>(-0.4*(B587/800)^2+1.55*(B587/800)-0.15)*(1-0.44*LN((B600+B$3071)/(100)))*(0.61*(B$3073/90)+0.39)*(0.1/(B340/250)+0.9)*(0.61*(B326/27)+0.39)*(1.11/B572-0.11)*IF(B747=1,1,1)*IF(B603=1,0.6,IF(B603=2,1.2,1))*(0.69*(B403/3750)+0.31)*IF(B339=1,(0.066*(B397/220)+1.034),IF(B339=3,(0.1*(B396/20)+0.9),IF(B339=2,(0.4*(B395/385)+1.09))))*(0.04*(B584/1.2)+0.96)*((0.98*(B1049/12))+0.02)*((B1050/600)^-0.82)</f>
        <v>#VALUE!</v>
      </c>
    </row>
    <row r="1898" spans="1:3" x14ac:dyDescent="0.2">
      <c r="A1898">
        <v>3</v>
      </c>
      <c r="B1898" t="e">
        <f>(0.07*(B587/800)+0.93)*(1-0.04*LN((B600+B$3071)/(100)))*(0.6*(B$3073/90)+0.4)*(0.02/(B340/250)+0.98)*(0.63*(B326/27)+0.37)*(1.02/B572-0.02)*IF(B747=1,0.95,1.02)*IF(B603=1,0.6,IF(B603=2,1.2,1))*(0.64*(B403/3750)+0.36)*IF(B339=1,(0.066*(B397/220)+1.034),IF(B339=3,(0.09*(B396/20)+0.91),IF(B339=2,(0.36*(B395/385)+1.08))))*(0.93*(B584/1.2)+0.07)*((B1050/600)^-0.76)*IF(#REF!=2,1,IF(#REF!=1,1.49,IF(#REF!=3,1.98,IF(#REF!=7,5.91,IF(#REF!=10,1,3.95)))))</f>
        <v>#VALUE!</v>
      </c>
    </row>
    <row r="1899" spans="1:3" x14ac:dyDescent="0.2">
      <c r="A1899">
        <v>4</v>
      </c>
      <c r="B1899" t="e">
        <f>(0.86*(B587/800)+0.14)*(1-0.52*LN((B$3071)/(100)))*(0.86*(B$3073/90)+0.14)*(1/(B340/250))*IF(B747=1,0.052*(B757/1020000)+0.26,1.25)*(0.05*(B584/1.2)+0.95)*IF(B603=1,0.6,IF(B603=2,1.2,1))*((0.9*(B1049/12))+0.1)</f>
        <v>#VALUE!</v>
      </c>
    </row>
    <row r="1900" spans="1:3" x14ac:dyDescent="0.2">
      <c r="A1900">
        <v>1</v>
      </c>
      <c r="B1900" t="e">
        <f>(1.07*(B587/800)^2-0.32*(B587/800)+0.26)*(1-1.13*LN((B600+B$3071)/100))*(0.6*(B$3073/90)+0.4)*(0.03/(B340/250)+0.97)*(0.61*(B326/27)+0.39)*(0.99/B572+0.01)*IF(B747=1,0.92,1.03)*(0.61*(B403/3750)+0.39)*IF(B339=1,(0.066*(B397/220)+1.034),IF(B339=3,(0.09*(B396/20)+0.91),IF(B339=2,(0.36*(B395/385)+1.08))))*(0.1*(B584/1.2)+0.9)*((0.28/B1081)+0.72)*(0.96*(B1049/12)+0.04)*((B1050/600)^-0.74)</f>
        <v>#VALUE!</v>
      </c>
      <c r="C1900">
        <v>21</v>
      </c>
    </row>
    <row r="1901" spans="1:3" x14ac:dyDescent="0.2">
      <c r="A1901">
        <v>2</v>
      </c>
      <c r="B1901" t="e">
        <f>(0.94*(B587/800)^-0.52*(B587/800)+0.58)*(((B600+B$3071)/(100))^-0.75)*(0.61*(B$3073/90)+0.39)*(0.03/(B340/250)+0.97)*(0.61*(B326/27)+0.39)*(0.99/B572+0.01)*IF(B747=1,0.92,1.03)*IF(B603=1,0.6,IF(B603=2,1.2,1))*(0.61*(B403/3750)+0.39)*IF(B339=1,(0.066*(B397/220)+1.034),IF(B339=3,(0.09*(B396/20)+0.91),IF(B339=2,(0.36*(B395/385)+1.08))))*(0.07*(B584/1.2)+0.93)*((0.97*(B1049/12))+0.03)*((B1050/600)^-0.74)*IF(B1064&gt;0,(1.98-0.98*LN(B1064/30)),1)</f>
        <v>#VALUE!</v>
      </c>
    </row>
    <row r="1902" spans="1:3" x14ac:dyDescent="0.2">
      <c r="A1902">
        <v>3</v>
      </c>
      <c r="B1902" t="e">
        <f>(1.17*(B587/800)-0.17)*((B600+B$3071)/(100))^-0.96*(0.6*(B$3073/90)+0.4)*1*(0.63*(B326/27)+0.37)*IF(B747=1,0.99,1)*IF(B603=1,0.6,IF(B603=2,1.2,1))*(0.68*(B403/3750)+0.32)*IF(B339=1,(0.066*(B397/220)+1.034),IF(B339=3,(0.09*(B396/20)+0.91),IF(B339=2,(0.39*(B395/385)+1.1))))*(0.1*(B584/1.2)+0.9)*(1.1/B572-0.1)*((B1050/600)^-0.82)*(1.47-0.47*(B1064/30))</f>
        <v>#VALUE!</v>
      </c>
    </row>
    <row r="1903" spans="1:3" x14ac:dyDescent="0.2">
      <c r="A1903">
        <v>4</v>
      </c>
      <c r="B1903" t="e">
        <f>(-0.38*(B587/800)^2+2.2*(B587/800)-0.82)*(1-0.88*LN((B$3071)/(100)))*(0.86*(B$3073/90)+0.14)*(1/(B340/250))*(0.05*(B326/27)+0.95)*IF(B747=1,0.052*(B757/1020000)+0.26,1.25)*IF(B603=1,0.6,IF(B603=2,1.2,1))*IF(B603=1,0.36,IF(B603=2,1.42,1))*(0.1*(B584/1.2)+0.9)*((0.9*(B1049/12))+0.1)*(1.78-0.78*(B1064/30))</f>
        <v>#VALUE!</v>
      </c>
    </row>
    <row r="1904" spans="1:3" x14ac:dyDescent="0.2">
      <c r="A1904">
        <v>1</v>
      </c>
      <c r="B1904" t="e">
        <f>(0.67*(B587/800)^2+0.2*(B587/800)+0.13)*(1-1.13*LN((B600+B$3071)/100))*(0.6*(B$3073/90)+0.4)*(0.03/(B340/250)+0.97)*(0.61*(B326/27)+0.39)*(0.99/B572+0.01)*IF(B747=1,0.92,1.03)*(0.61*(B403/3750)+0.39)*IF(B339=1,(0.066*(B397/220)+1.034),IF(B339=3,(0.09*(B396/20)+0.91),IF(B339=2,(0.36*(B395/385)+1.08))))*(0.1*(B584/1.2)+0.9)*((0.28/B1081)+0.72)*(0.96*(B1049/12)+0.04)*((B1050/600)^-0.74)</f>
        <v>#VALUE!</v>
      </c>
      <c r="C1904">
        <v>22</v>
      </c>
    </row>
    <row r="1905" spans="1:3" x14ac:dyDescent="0.2">
      <c r="A1905">
        <v>2</v>
      </c>
      <c r="B1905" t="e">
        <f>(1.55*(B587/800)-0.4*(B587/800)^2-0.15)*(1-0.44*LN((B600+B$3071)/(100)))*(0.6*(B$3073/90)+0.4)*(0.1/(B340/250)+0.9)*(0.61*(B326/27)+0.39)*(0.99/B572+0.01)*IF(B747=1,0.92,1.03)*IF(B603=1,0.6,IF(B603=2,1.2,1))*(0.61*(B403/3750)+0.39)*IF(B339=1,(0.066*(B397/220)+1.034),IF(B339=3,(0.09*(B396/20)+0.91),IF(B339=2,(0.36*(B395/385)+1.08))))*(0.04*(B584/1.2)+0.96)*(0.97*(B1049/12)+0.03)*((B1050/600)^-0.74)</f>
        <v>#VALUE!</v>
      </c>
    </row>
    <row r="1906" spans="1:3" x14ac:dyDescent="0.2">
      <c r="A1906">
        <v>3</v>
      </c>
      <c r="B1906" t="e">
        <f>(0.07*(B587/800)+0.93)*(1-0.04*LN((B600+B$3071)/(100)))*(0.59*(B$3073/90)+0.41)*(0.02/(B340/250)+0.98)*(0.67*(B326/27)+0.33)*(1.02/B572-0.02)*IF(B747=1,0.95,1.02)*IF(B603=1,0.6,IF(B603=2,1.2,1))*(0.64*(B403/3750)+0.36)*IF(B339=1,(0.066*(B397/220)+1.034),IF(B339=3,(0.06*(B396/20)+0.94),IF(B339=2,(0.36*(B395/385)+1.08))))*(0.93*(B584/1.2)+0.07)*((B1050/600)^-0.76)*IF(#REF!=2,1,IF(#REF!=1,1.49,IF(#REF!=3,1.98,IF(#REF!=7,5.91,IF(#REF!=10,1,3.95)))))</f>
        <v>#VALUE!</v>
      </c>
    </row>
    <row r="1907" spans="1:3" x14ac:dyDescent="0.2">
      <c r="A1907">
        <v>4</v>
      </c>
      <c r="B1907" t="e">
        <f>(0.86*(B587/800)+0.14)*(1-0.52*LN((B$3071)/(100)))*(0.86*(B$3073/90)+0.14)*(1/(B340/250))*IF(B747=1,0.052*(B757/1020000)+0.26,1.25)*IF(B603=1,0.6,IF(B603=2,1.2,1))*(0.05*(B584/1.2)+0.95)*((0.9*(B1049/12))+0.1)</f>
        <v>#VALUE!</v>
      </c>
    </row>
    <row r="1908" spans="1:3" x14ac:dyDescent="0.2">
      <c r="A1908">
        <v>1</v>
      </c>
      <c r="B1908" t="e">
        <f>(1.07*(B587/800)^2-0.32*(B587/800)+0.26)*(1-1.13*LN((B600+B$3071)/100))*(0.6*(B$3073/90)+0.4)*1*(0.61*(B326/27)+0.39)*(0.99/B572+0.01)*IF(B747=1,0.92,1.03)*IF(B603=1,0.36,IF(B603=2,1.42,1))*(0.61*(B403/3750)+0.39)*IF(B339=1,(0.066*(B397/220)+1.034),IF(B339=3,(0.09*(B396/20)+0.91),IF(B339=2,(0.36*(B395/385)+1.08))))*(0.1*(B584/1.2)+0.9)*((0.28/B1081)+0.72)*(0.96*(B1049/12)+0.04)*((B1050/600)^-0.74)</f>
        <v>#VALUE!</v>
      </c>
      <c r="C1908">
        <v>23</v>
      </c>
    </row>
    <row r="1909" spans="1:3" x14ac:dyDescent="0.2">
      <c r="A1909">
        <v>2</v>
      </c>
      <c r="B1909" t="e">
        <f>(1.55*(B587/800)-0.4*(B587/800)^2-0.15)*(1-0.44*LN((B600+B$3071)/(100)))*(0.6*(B$3073/90)+0.4)*(0.1/(B340/250)+0.9)*(0.61*(B326/27)+0.39)*(0.99/B572+0.01)*IF(B747=1,0.92,1.03)*IF(B603=1,0.6,IF(B603=2,1.2,1))*(0.61*(B403/3750)+0.39)*IF(B339=1,(0.066*(B397/220)+1.034),IF(B339=3,(0.09*(B396/20)+0.91),IF(B339=2,(0.36*(B395/385)+1.08))))*(0.04*(B584/1.2)+0.96)*((0.97*(B1049/12))+0.03)*((B1050/600)^-0.74)</f>
        <v>#VALUE!</v>
      </c>
    </row>
    <row r="1910" spans="1:3" x14ac:dyDescent="0.2">
      <c r="A1910">
        <v>3</v>
      </c>
      <c r="B1910" t="e">
        <f>(0.07*(B587/800)+0.93)*(1-0.44*LN((B600+B$3071)/(100)))*(0.6*(B$3073/90)+0.4)*(0.1/(B340/250)+0.9)*(0.67*(B326/27)+0.33)*(1.02/B572-0.02)*IF(B747=1,0.95,1.02)*IF(B603=1,0.6,IF(B603=2,1.2,1))*(0.64*(B403/3750)+0.36)*IF(B339=1,(0.066*(B397/220)+1.034),IF(B339=3,(0.09*(B396/20)+0.91),IF(B339=2,(0.36*(B395/385)+1.08))))*(0.93*(B584/1.2)+0.07)*((B1050/600)^-0.76)</f>
        <v>#VALUE!</v>
      </c>
    </row>
    <row r="1911" spans="1:3" x14ac:dyDescent="0.2">
      <c r="A1911">
        <v>4</v>
      </c>
      <c r="B1911" t="e">
        <f>(0.86*(B587/800)+0.14)*(1-0.52*LN((B$3071)/(100)))*(0.86*(B$3073/90)+0.14)*(1/(B340/250))*IF(B747=1,0.052*(B757/1020000)+0.26,1.25)*IF(B603=1,0.6,IF(B603=2,1.2,1))*(0.05*(B584/1.2)+0.95)*(0.9*(B1049/12)+0.1)</f>
        <v>#VALUE!</v>
      </c>
    </row>
    <row r="1912" spans="1:3" x14ac:dyDescent="0.2">
      <c r="A1912">
        <v>1</v>
      </c>
      <c r="B1912" t="e">
        <f>(1.07*(B587/800)^2-0.32*(B587/800)+0.26)*(1-1.13*LN((B600+B$3071)/100))*(0.6*(B$3073/90)+0.4)*(1/(B340/250))*(0.61*(B326/27)+0.39)*(0.99/B572+0.01)*IF(B747=1,0.92,1.03)*(0.61*(B403/3750)+0.39)*IF(B339=1,(0.066*(B397/220)+1.034),IF(B339=3,(0.09*(B396/20)+0.91),IF(B339=2,(0.36*(B395/385)+1.08))))*(0.1*(B584/1.2)+0.9)*((0.72/B1081)+0.28)*(0.96*(B1049/12)+0.04)*((B1050/600)^-0.74)</f>
        <v>#VALUE!</v>
      </c>
      <c r="C1912">
        <v>24</v>
      </c>
    </row>
    <row r="1913" spans="1:3" x14ac:dyDescent="0.2">
      <c r="A1913">
        <v>2</v>
      </c>
      <c r="B1913">
        <f>1</f>
        <v>1</v>
      </c>
    </row>
    <row r="1914" spans="1:3" x14ac:dyDescent="0.2">
      <c r="A1914">
        <v>3</v>
      </c>
      <c r="B1914">
        <f>1</f>
        <v>1</v>
      </c>
    </row>
    <row r="1915" spans="1:3" x14ac:dyDescent="0.2">
      <c r="A1915">
        <v>4</v>
      </c>
      <c r="B1915">
        <f>1</f>
        <v>1</v>
      </c>
    </row>
    <row r="1916" spans="1:3" x14ac:dyDescent="0.2">
      <c r="A1916">
        <v>1</v>
      </c>
      <c r="B1916" t="e">
        <f>(1.64*(B587/800)-0.64)*(1-0.98*LN((B600+B$3071)/100))*(0.6*(B$3073/90)+0.4)*(0.04/(B340/250)+0.96)*(0.61*(B326/27)+0.39)*(0.99/B572+0.01)*IF(B747=1,0.92,1.03)*(0.61*(B403/3750)+0.39)*IF(B339=1,(0.066*(B397/220)+1.034),IF(B339=3,(0.09*(B396/20)+0.91),IF(B339=2,(0.36*(B395/385)+1.08))))*(0.1*(B584/1.2)+0.9)*((0.72/B1081)+0.28)*((0.96*(B1049/12))+0.04)*((B1050/600)^-0.74)*(1.44-0.44*(B1064/30))</f>
        <v>#VALUE!</v>
      </c>
      <c r="C1916">
        <v>25</v>
      </c>
    </row>
    <row r="1917" spans="1:3" x14ac:dyDescent="0.2">
      <c r="A1917">
        <v>2</v>
      </c>
      <c r="B1917">
        <f>1</f>
        <v>1</v>
      </c>
    </row>
    <row r="1918" spans="1:3" x14ac:dyDescent="0.2">
      <c r="A1918">
        <v>3</v>
      </c>
      <c r="B1918">
        <f>1</f>
        <v>1</v>
      </c>
    </row>
    <row r="1919" spans="1:3" x14ac:dyDescent="0.2">
      <c r="A1919">
        <v>4</v>
      </c>
      <c r="B1919">
        <f>1</f>
        <v>1</v>
      </c>
    </row>
    <row r="1920" spans="1:3" x14ac:dyDescent="0.2">
      <c r="A1920">
        <v>1</v>
      </c>
      <c r="B1920" t="e">
        <f>(0.85*(B587/800)+0.15)*(1-0.54*LN((B600+B$3071)/100))*(0.6*(B$3073/90)+0.4)*(0.04/(B340/250)+0.96)*(0.61*(B326/27)+0.39)*(0.99/B572+0.01)*IF(B747=1,0.92,1.03)*IF(B339=1,(0.066*(B397/220)+1.034),IF(B339=3,(0.09*(B396/20)+0.91),IF(B339=2,(0.36*(B395/385)+1.08))))*(0.05*(B584/1.2)+0.95)*(0.61*(B403/3750)+0.39)*((0.97*(B1049/12))+0.03)*((B1050/600)^-0.74)*((0.72/B1081)+0.28)*(IF(B1065=2,1.43,1))</f>
        <v>#VALUE!</v>
      </c>
      <c r="C1920">
        <v>26</v>
      </c>
    </row>
    <row r="1921" spans="1:3" x14ac:dyDescent="0.2">
      <c r="A1921">
        <v>2</v>
      </c>
      <c r="B1921">
        <v>1</v>
      </c>
    </row>
    <row r="1922" spans="1:3" x14ac:dyDescent="0.2">
      <c r="A1922">
        <v>3</v>
      </c>
      <c r="B1922">
        <v>1</v>
      </c>
    </row>
    <row r="1923" spans="1:3" x14ac:dyDescent="0.2">
      <c r="A1923">
        <v>4</v>
      </c>
      <c r="B1923">
        <v>1</v>
      </c>
    </row>
    <row r="1924" spans="1:3" x14ac:dyDescent="0.2">
      <c r="A1924">
        <v>1</v>
      </c>
      <c r="B1924" t="e">
        <f>(1.07*(B587/800)^2-0.32*(B587/800)+0.26)*(1-1.13*LN((B600+B$3071)/100))*(0.6*(B$3073/90)+0.4)*(1/(B340/250))*(0.61*(B326/27)+0.39)*IF(B747=1,0.92,1.03)*(0.61*(B403/3750)+0.39)*IF(B339=1,(0.066*(B397/220)+1.034),IF(B339=3,(0.09*(B396/20)+0.91),IF(B339=2,(0.36*(B395/385)+1.08))))*(0.1*(B584/1.2)+0.9)*(0.99/B572+0.01)*((0.96*(B1049/12))+0.04)*((B1050/600)^-0.74)*((0.72/B1081)+0.28)</f>
        <v>#VALUE!</v>
      </c>
      <c r="C1924">
        <v>27</v>
      </c>
    </row>
    <row r="1925" spans="1:3" x14ac:dyDescent="0.2">
      <c r="A1925">
        <v>2</v>
      </c>
      <c r="B1925">
        <v>1</v>
      </c>
    </row>
    <row r="1926" spans="1:3" x14ac:dyDescent="0.2">
      <c r="A1926">
        <v>3</v>
      </c>
      <c r="B1926">
        <v>1</v>
      </c>
    </row>
    <row r="1927" spans="1:3" x14ac:dyDescent="0.2">
      <c r="A1927">
        <v>4</v>
      </c>
      <c r="B1927">
        <v>1</v>
      </c>
    </row>
    <row r="1928" spans="1:3" x14ac:dyDescent="0.2">
      <c r="A1928">
        <v>1</v>
      </c>
      <c r="B1928" t="e">
        <f>(1.07*(B587/800)^2-0.32*(B587/800)+0.26)*(1-1.13*LN((B600+B$3071)/100))*(0.6*(B$3073/90)+0.4)*(1/(B340/250))*(0.61*(B326/27)+0.39)*IF(B747=1,0.92,1.03)*(0.61*(B403/3750)+0.39)*IF(B339=1,(0.066*(B397/220)+1.034),IF(B339=3,(0.09*(B396/20)+0.91),IF(B339=2,(0.36*(B395/385)+1.08))))*(0.1*(B584/1.2)+0.9)*(0.99/B572+0.01)*((0.96*(B1049/12))+0.04)*((B1050/600)^-0.74)*((0.72/B1081)+0.28)</f>
        <v>#VALUE!</v>
      </c>
      <c r="C1928">
        <v>28</v>
      </c>
    </row>
    <row r="1929" spans="1:3" x14ac:dyDescent="0.2">
      <c r="A1929">
        <v>2</v>
      </c>
      <c r="B1929">
        <v>1</v>
      </c>
    </row>
    <row r="1930" spans="1:3" x14ac:dyDescent="0.2">
      <c r="A1930">
        <v>3</v>
      </c>
      <c r="B1930">
        <v>1</v>
      </c>
    </row>
    <row r="1931" spans="1:3" x14ac:dyDescent="0.2">
      <c r="A1931">
        <v>4</v>
      </c>
      <c r="B1931">
        <v>1</v>
      </c>
    </row>
    <row r="1933" spans="1:3" x14ac:dyDescent="0.2">
      <c r="A1933" t="s">
        <v>5203</v>
      </c>
    </row>
    <row r="1934" spans="1:3" x14ac:dyDescent="0.2">
      <c r="A1934" t="s">
        <v>5217</v>
      </c>
    </row>
    <row r="1935" spans="1:3" x14ac:dyDescent="0.2">
      <c r="A1935" t="s">
        <v>5205</v>
      </c>
      <c r="C1935" t="s">
        <v>4566</v>
      </c>
    </row>
    <row r="1936" spans="1:3" x14ac:dyDescent="0.2">
      <c r="A1936">
        <v>1</v>
      </c>
      <c r="B1936" t="e">
        <f>(1.07*(B587/800)^-0.7)*(0.98*((B600+B$3071)/(100))^-1.12+0.02)*(0.6*(B$3073/90)+0.4)*(0.03/(B340/250)+0.97)*(0.61*(B326/27)+0.39)*IF(B747=1,0.99,1)*(0.61*(B403/3750)+0.39)*IF(B339=1,(0.066*(B397/220)+1.034),IF(B339=3,(0.09*(B396/20)+0.91),IF(B339=2,(0.36*(B395/385)+1.08))))*(0.11*(B584/1.2)+0.89)*(0.99/B572+0.01)*IF(B747=1,0.92,1.03)*((B1126/600)^-0.74)*(0.96*(B1128/12)+0.04)</f>
        <v>#VALUE!</v>
      </c>
      <c r="C1936">
        <v>1</v>
      </c>
    </row>
    <row r="1937" spans="1:3" x14ac:dyDescent="0.2">
      <c r="A1937">
        <v>2</v>
      </c>
      <c r="B1937" t="e">
        <f>(1.55*(B587/800)-0.4*(B587/800)^2-0.15)*(1-0.44*LN((B600+B$3071)/(100)))*(0.6*(B$3073/90)+0.4)*(0.1/(B340/250)+0.9)*(0.61*(B326/27)+0.39)*(0.4/B572+0.6)*IF(B747=1,0.92,1.03)*IF(B603=1,0.6,IF(B603=2,1.2,1))*(0.61*(B403/3750)+0.39)*IF(B339=1,(0.066*(B397/220)+1.034),IF(B339=3,(0.09*(B396/20)+0.91),IF(B339=2,(0.36*(B395/385)+1.08))))*(0.04*(B584/1.2)+0.96)*(0.97*(B1128/12)+0.03)*((B1126/600)^-0.74)</f>
        <v>#VALUE!</v>
      </c>
    </row>
    <row r="1938" spans="1:3" x14ac:dyDescent="0.2">
      <c r="A1938">
        <v>3</v>
      </c>
      <c r="B1938" t="e">
        <f>(0.07*(B587/800)+0.93)*(1-0.041*LN((B600+B$3071)/100))*(0.6*(B$3073/90)+0.4)*(0.1/(B340/250)+0.9)*(0.63*(B326/27)+0.07)*(1.02/B572-0.02)*IF(B747=1,0.95,1.02)*IF(B603=1,0.6,IF(B603=2,1.2,1))*(0.64*(B403/3750)+0.36)*IF(B339=1,(0.066*(B397/220)+1.034),IF(B339=3,(0.07*(B396/20)+0.93),IF(B339=2,(0.36*(B395/385)+1.08))))*(0.93*(B584/1.2)+0.07)*((B1126/600)^-0.76)*IF(#REF!=2,1,IF(#REF!=1,1.49,IF(#REF!=3,1.98,IF(#REF!=7,5.91,IF(#REF!=10,1,3.95)))))</f>
        <v>#VALUE!</v>
      </c>
    </row>
    <row r="1939" spans="1:3" x14ac:dyDescent="0.2">
      <c r="A1939">
        <v>4</v>
      </c>
      <c r="B1939" t="e">
        <f>(0.07*(B587/800)+0.93)*(1-0.49*LN((B$3071/50)))*((0.86*(B$3073/90)+0.14))*(1/(B340/250))*IF(B747=1,(0.052*(B757/1020000)+0.26),1.25)*IF(B603=1,0.6,IF(B603=2,1.2,1))*(0.05*(B584/1.2)+0.95)*((0.9*(B1128/12))+0.1)</f>
        <v>#VALUE!</v>
      </c>
    </row>
    <row r="1940" spans="1:3" x14ac:dyDescent="0.2">
      <c r="A1940">
        <v>1</v>
      </c>
      <c r="B1940" t="e">
        <f>(1.07*(B587/800)^-0.7)*(0.98*((B600+B$3071)/(100))^-1.12+0.02)*(0.6*(B$3073/90)+0.4)*(0.03/(B340/250)+0.97)*(0.61*(B326/27)+0.39)*(0.99/B572+0.01)*IF(B747=1,0.92,1.03)*(0.61*(B403/3750)+0.39)*IF(B339=1,(0.066*(B397/220)+1.034),IF(B339=3,(0.09*(B396/20)+0.91),IF(B339=2,(0.36*(B395/385)+1.08))))*(0.11*(B584/1.2)+0.89)*(0.96*(B1128/12)+0.04)*((B1126/600)^-0.74)</f>
        <v>#VALUE!</v>
      </c>
      <c r="C1940">
        <v>2</v>
      </c>
    </row>
    <row r="1941" spans="1:3" x14ac:dyDescent="0.2">
      <c r="A1941">
        <v>2</v>
      </c>
      <c r="B1941" t="e">
        <f>(1.55*(B587/800)-0.4*(B587/800)^2-0.15)*(1-0.44*LN((B600+B$3071)/(100)))*(0.6*(B$3073/90)+0.4)*(0.1/(B340/250)+0.9)*(0.61*(B326/27)+0.39)*(0.99/B572+0.01)*IF(B747=1,0.92,1.03)*IF(B603=1,0.6,IF(B603=2,1.2,1))*(0.61*(B403/3750)+0.39)*IF(B339=1,(0.066*(B397/220)+1.034),IF(B339=3,(0.09*(B396/20)+0.91),IF(B339=2,(0.36*(B395/385)+1.08))))*(0.04*(B584/1.2)+0.96)*((0.97*(B1128/12))+0.03)*((B1126/600)^-0.74)</f>
        <v>#VALUE!</v>
      </c>
    </row>
    <row r="1942" spans="1:3" x14ac:dyDescent="0.2">
      <c r="A1942">
        <v>3</v>
      </c>
      <c r="B1942" t="e">
        <f>(0.07*(B587/800)+0.93)*(1-0.041*LN((B600+B$3071)/100))*(0.6*(B$3073/90)+0.4)*(0.1/(B340/250)+0.9)*(0.63*(B326/27)+0.37)*(1.1/B572+0.1)*IF(B747=1,0.95,1.02)*IF(B603=1,0.6,IF(B603=2,1.2,1))*(0.64*(B403/3750)+0.36)*(0.93*(B584/1.2)+0.07)*IF(B339=1,(0.066*(B397/220)+1.034),IF(B339=3,(0.09*(B396/20)+0.91),IF(B339=2,(0.36*(B395/385)+1.09))))*((B1126/600)^-0.82)*IF(#REF!=2,1,IF(#REF!=1,1.49,IF(#REF!=3,1.98,IF(#REF!=7,5.91,IF(#REF!=10,1,3.95)))))</f>
        <v>#VALUE!</v>
      </c>
    </row>
    <row r="1943" spans="1:3" x14ac:dyDescent="0.2">
      <c r="A1943">
        <v>4</v>
      </c>
      <c r="B1943" t="e">
        <f>(0.07*(B587/800)+0.93)*(1-0.52*LN((B$3071/50)))*(0.86*(B$3073/90)+0.14)*(1/(B340/250))*IF(B747=1,0.31,1.25)*IF(B603=1,0.6,IF(B603=2,1.2,1))*(0.05*(B584/1.2)+0.95)*((0.9*(B1128/12))+0.1)</f>
        <v>#VALUE!</v>
      </c>
    </row>
    <row r="1944" spans="1:3" x14ac:dyDescent="0.2">
      <c r="A1944">
        <v>1</v>
      </c>
      <c r="B1944" t="e">
        <f>(1.07*(B587/800)^-0.7)*(0.98*((B600+B$3071)/(100))^-1.12+0.02)*(0.99/B572+0.01)*(0.03/(B340/250)+0.97)*(0.61*(B326/27)+0.39)*(0.4/(B572/1)+0.6)*IF(B747=1,0.92,1.03)*(0.61*(B403/3750)+0.39)*IF(B339=1,(0.066*(B397/220)+1.034),IF(B339=3,(0.09*(B396/20)+0.91),IF(B339=2,(0.36*(B395/385)+1.08))))*(0.11*(B584/1.2)+0.89)*(0.96*(B1128/12)+0.04)*((B1126/600)^-0.74)*(0.47*(B1130/30)^2-2.07*(B1130/30)+2.6)</f>
        <v>#VALUE!</v>
      </c>
      <c r="C1944">
        <v>3</v>
      </c>
    </row>
    <row r="1945" spans="1:3" x14ac:dyDescent="0.2">
      <c r="A1945">
        <v>2</v>
      </c>
      <c r="B1945" t="e">
        <f>(0.94*(B587/800)^2-0.52*(B587/800)+0.58)*(((B600+B$3071)/(100))^-0.75)*(0.6*(B$3073/90)+0.4)*(0.03/(B340/250)+0.97)*(0.61*(B326/27)+0.39)*(0.99/B572+0.01)*IF(B747=1,0.92,1.03)*IF(B603=1,0.6,IF(B603=2,1.2,1))*(0.69*(B403/3750)+0.31)*IF(B339=1,(0.066*(B397/220)+1.034),IF(B339=3,(0.09*(B396/20)+0.91),IF(B339=2,(0.36*(B395/385)+1.08))))*(0.04*(B584/1.2)+0.96)*((0.97*(B1128/12))+0.03)*((B1126/600)^-0.74)*IF(B1130&gt;0,(1-0.98*LN(B1130/30)),1)</f>
        <v>#VALUE!</v>
      </c>
    </row>
    <row r="1946" spans="1:3" x14ac:dyDescent="0.2">
      <c r="A1946">
        <v>3</v>
      </c>
      <c r="B1946" t="e">
        <f>(0.18*EXP(1.59*(B587/800)))*((B600+B$3071)/100)^-0.96*(0.6*(B$3073/90)+0.4)*1*(0.63*(B326/27)+0.37)*(1.1/B572+0.1)*IF(B747=1,0.99,1)*IF(B603=1,0.6,IF(B603=2,1.2,1))*(0.68*(B403/3750)+0.32)*IF(B339=1,1.01,IF(B339=3,(0.09*(B396/20)+0.91),IF(B339=2,(0.39*(B395/385)+1.1))))*(0.93*(B584/1.2)+0.07)*((B1126/600)^-0.82)*IF(B1130&gt;0,(1-0.5*LN(B1130/30)),1)</f>
        <v>#VALUE!</v>
      </c>
    </row>
    <row r="1947" spans="1:3" x14ac:dyDescent="0.2">
      <c r="A1947">
        <v>4</v>
      </c>
      <c r="B1947" t="e">
        <f>(1.37*LN(B587/800)+1)*(1-0.88*LN((B$3071/50)))*(0.86*(B$3073/90)+0.14)*(0.05*(B326/27)+0.95)*(1/(B340/250))*IF(B747=1,(0.052*(B757/1020000)+0.26),1.25)*IF(B603=1,0.6,IF(B603=2,1.2,1))*(0.1*(B584/1.2)+0.9)*((1.01*(B1128/12))-0.01)*(1.78-0.78*(B1130/30))</f>
        <v>#VALUE!</v>
      </c>
    </row>
    <row r="1948" spans="1:3" x14ac:dyDescent="0.2">
      <c r="A1948">
        <v>1</v>
      </c>
      <c r="B1948" t="e">
        <f>(1.07*(B587/800)^-0.7)*(0.98*((B600+B$3071)/(100))^-1.12+0.02)*(0.6*(B$3073/90)+0.4)*(0.03/(B340/250)+0.97)*(0.61*(B326/27)+0.39)*(0.99/B572+0.01)*IF(B747=1,0.92,1.03)*(0.61*(B403/3750)+0.39)*IF(B339=1,(0.066*(B397/220)+1.034),IF(B339=3,(0.09*(B396/20)+0.91),IF(B339=2,(0.36*(B395/385)+1.08))))*(0.11*(B584/1.2)+0.89)*(0.96*(B1128/12)+0.04)*((B1126/600)^-0.74)</f>
        <v>#VALUE!</v>
      </c>
      <c r="C1948">
        <v>4</v>
      </c>
    </row>
    <row r="1949" spans="1:3" x14ac:dyDescent="0.2">
      <c r="A1949">
        <v>2</v>
      </c>
      <c r="B1949" t="e">
        <f>(1.55*(B587/800)-0.4*(B587/800)^2-0.15)*(1-0.44*LN((B600+B$3071)/(100)))*(0.6*(B$3073/90)+0.4)*(0.1/(B340/250)+0.9)*(0.61*(B326/27)+0.39)*(0.99/B572+0.01)*IF(B747=1,0.92,1.03)*IF(B603=1,0.6,IF(B603=2,1.2,1))*(0.61*(B403/3750)+0.39)*IF(B339=1,(0.066*(B397/220)+1.034),IF(B339=3,(0.09*(B396/20)+0.91),IF(B339=2,(0.36*(B395/385)+1.08))))*(0.04*(B584/1.2)+0.96)*(0.97*(B1128/12)+0.03)*((B1126/600)^-0.74)</f>
        <v>#VALUE!</v>
      </c>
    </row>
    <row r="1950" spans="1:3" x14ac:dyDescent="0.2">
      <c r="A1950">
        <v>3</v>
      </c>
      <c r="B1950" t="e">
        <f>(0.07*(B587/800)+0.93)*(1-0.041*LN((B600+B$3071)/100))*(0.6*(B$3073/90)+0.4)*(0.1/(B340/250)+0.9)*(0.63*(B326/27)+0.37)*(1.02/B572+0.02)*IF(B747=1,0.95,1.02)*IF(B603=1,0.6,IF(B603=2,1.2,1))*(0.64*(B403/3750)+0.36)*IF(B339=1,(0.066*(B397/220)+1.034),IF(B339=3,(0.09*(B396/20)+0.91),IF(B339=2,(0.36*(B395/385)+1.08))))*(0.93*(B584/1.2)+0.07)*((B1126/600)^-0.82)*IF(#REF!=2,1,IF(#REF!=1,1.49,IF(#REF!=3,1.98,IF(#REF!=7,5.91,IF(#REF!=10,3.16,3.95)))))</f>
        <v>#VALUE!</v>
      </c>
    </row>
    <row r="1951" spans="1:3" x14ac:dyDescent="0.2">
      <c r="A1951">
        <v>4</v>
      </c>
      <c r="B1951" t="e">
        <f>(0.86*(B587/800)+0.14)*(1-0.52*LN((B$3071/50)))*(0.86*(B$3073/90)+0.14)*(1/(B340/250))*IF(B747=1,0.95,1.03)*IF(B603=1,0.6,IF(B603=2,1.2,1))*(0.05*(B584/1.2)+0.95)*((0.9*(B1128/12))+0.1)</f>
        <v>#VALUE!</v>
      </c>
    </row>
    <row r="1952" spans="1:3" x14ac:dyDescent="0.2">
      <c r="A1952">
        <v>1</v>
      </c>
      <c r="B1952" t="e">
        <f>(2*(B587/800)^2 -1.94*(B587/800)+0.94)*(0.98*((B600+B$3071)/(100))^-1.12+0.02)*(0.6*(B$3073/90)+0.4)*(0.03/(B340/250)+0.97)*(0.61*(B326/27)+0.39)*(0.99/B572+0.01)*IF(B747=1,0.92,1.03)*IF(B603=1,0.36,IF(B603=2,1.42,1))*(0.61*(B403/3750)+0.39)*IF(B339=1,(0.066*(B397/220)+1.034),IF(B339=3,(0.09*(B396/20)+0.91),IF(B339=2,(0.36*(B395/385)+1.08))))*(0.11*(B584/1.2)+0.89)*(0.87*(B1128/12)+0.13)*((B1126/600)^-0.74)</f>
        <v>#VALUE!</v>
      </c>
      <c r="C1952">
        <v>5</v>
      </c>
    </row>
    <row r="1953" spans="1:3" x14ac:dyDescent="0.2">
      <c r="A1953">
        <v>2</v>
      </c>
      <c r="B1953" t="e">
        <f>(1.55*(B587/800)-0.4*(B587/800)^2-0.15)*(1-0.44*LN((B600+B$3071)/(100)))*(0.6*(B$3073/90)+0.4)*(0.1/(B340/250)+0.9)*(0.61*(B326/27)+0.39)*(0.99/B572+0.01)*IF(B747=1,0.92,1.03)*IF(B603=1,0.6,IF(B603=2,1.2,1))*(0.61*(B403/3750)+0.39)*IF(B339=1,(0.066*(B397/220)+1.034),IF(B339=3,(0.09*(B396/20)+0.91),IF(B339=2,(0.36*(B395/385)+1.08))))*(0.04*(B584/1.2)+0.96)*((0.97*(B1128/12))+0.03)*((B1126/600)^-0.74)</f>
        <v>#VALUE!</v>
      </c>
    </row>
    <row r="1954" spans="1:3" x14ac:dyDescent="0.2">
      <c r="A1954">
        <v>3</v>
      </c>
      <c r="B1954" t="e">
        <f>(0.07*(B587/800)+0.93)*(1-0.041*LN((B600+B$3071)/100))*(0.6*(B$3073/90)+0.4)*(0.1/(B340/250)+0.9)*(0.63*(B326/27)+0.37)*(1.02/B572+0.02)*IF(B747=1,0.95,1.02)*IF(B603=1,0.6,IF(B603=2,1.2,1))*(0.64*(B403/3750)+0.36)*IF(B339=1,(0.066*(B397/220)+1.034),IF(B339=3,(0.09*(B396/20)+0.91),IF(B339=2,(0.36*(B395/385)+1.08))))*(0.93*(B584/1.2)+0.07)*((B1126/600)^-0.76)</f>
        <v>#VALUE!</v>
      </c>
    </row>
    <row r="1955" spans="1:3" x14ac:dyDescent="0.2">
      <c r="A1955">
        <v>4</v>
      </c>
      <c r="B1955" t="e">
        <f>(0.86*(B587/800)-0.14)*(1-0.52*LN((B$3071/50)))*(0.86*(B$3073/90)+0.14)*(1/(B340/250))*IF(B747=1,(0.052*(B757/1020000)+0.26),1.25)*IF(B603=1,0.6,IF(B603=2,1.2,1))*(0.05*(B584/1.2)+0.95)*((0.9*(B1128/12))+0.1)</f>
        <v>#VALUE!</v>
      </c>
    </row>
    <row r="1956" spans="1:3" x14ac:dyDescent="0.2">
      <c r="A1956">
        <v>1</v>
      </c>
      <c r="B1956">
        <f>1</f>
        <v>1</v>
      </c>
      <c r="C1956">
        <v>6</v>
      </c>
    </row>
    <row r="1957" spans="1:3" x14ac:dyDescent="0.2">
      <c r="A1957">
        <v>2</v>
      </c>
      <c r="B1957">
        <f>1</f>
        <v>1</v>
      </c>
    </row>
    <row r="1958" spans="1:3" x14ac:dyDescent="0.2">
      <c r="A1958">
        <v>3</v>
      </c>
      <c r="B1958" t="e">
        <f>(0.45*(B587/800)+0.55)*(1-0.27*LN((B600+B$3071)/100))*(0.76*(B$3073/90)+0.24)*(0.66/(B340/250)+0.34)*(0.35*(B326/27)+0.65)*(0.56/B572+0.44)*IF(B747=1,0.66,1.12)*(0.35*(B403/3750)+0.65)*IF(B339=1,(0.035*(B397/220)+0.97),IF(B339=3,(0.09*(B396/20)+0.91),IF(B339=2,(0.2*(B395/385)+1.05))))*(1.04*(B584/1.2)-0.04)*(0.95*((B1128/12))+0.05)*((B1126/600)^-0.42)*IF(#REF!=2,1,IF(#REF!=1,1.49,IF(#REF!=3,1.98,IF(#REF!=7,5.91,IF(#REF!=10,1.43,3.95)))))</f>
        <v>#VALUE!</v>
      </c>
    </row>
    <row r="1959" spans="1:3" x14ac:dyDescent="0.2">
      <c r="A1959">
        <v>4</v>
      </c>
      <c r="B1959" t="e">
        <f>(0.86*(B587/800)+0.14)*(1-0.52*LN((B$3071)/100))*(0.86*(B$3073/90)+0.14)*(1/(B340/250))*IF(B747=1,(0.052*(B757/1020000)+0.26),1.25)*IF(B603=1,0.36,IF(B603=2,1.42,1))*(0.05*(B584/1.2)+0.95)*((0.9*(B1128/12))+0.1)</f>
        <v>#VALUE!</v>
      </c>
    </row>
    <row r="1960" spans="1:3" x14ac:dyDescent="0.2">
      <c r="A1960">
        <v>1</v>
      </c>
      <c r="B1960" t="e">
        <f>(1.07*(B587/800)^1.98-0.07)*(0.98*((B600+B$3071)/(100))^-1.12+0.02)*(0.6*(B$3073/90)+0.4)*(0.03/(B340/250)+0.97)*(0.61*(B326/27)+0.39)*(0.99/B572+0.01)*IF(B747=1,0.92,1.03)*(0.61*(B403/3750)+0.39)*IF(B339=1,(0.066*(B397/220)+1.034),IF(B339=3,(0.09*(B396/20)+0.91),IF(B339=2,(0.36*(B395/385)+1.08))))*(0.11*(B584/1.2)+0.89)*(0.96*(B1128/12)+0.04)*((B1126/600)^-0.74)</f>
        <v>#VALUE!</v>
      </c>
      <c r="C1960">
        <v>7</v>
      </c>
    </row>
    <row r="1961" spans="1:3" x14ac:dyDescent="0.2">
      <c r="A1961">
        <v>2</v>
      </c>
      <c r="B1961" t="e">
        <f>(1.55*(B587/800)-0.4*(B587/800)^2-0.15)*(1-0.44*LN((B600+B$3071)/(100)))*(0.6*(B$3073/90)+0.4)*(0.1/(B340/250)+0.9)*(0.61*(B326/27)+0.39)*(0.99/B572+0.01)*IF(B747=1,0.92,1.03)*IF(B603=1,0.6,IF(B603=2,1.2,1))*(0.61*(B403/3750)+0.39)*IF(B339=1,(0.066*(B397/220)+1.034),IF(B339=3,(0.09*(B396/20)+0.91),IF(B339=2,(0.36*(B395/385)+1.08))))*(0.04*(B584/1.2)+0.96)*((0.97*(B1128/12))+0.03)*((B1126/600)^-0.74)</f>
        <v>#VALUE!</v>
      </c>
    </row>
    <row r="1962" spans="1:3" x14ac:dyDescent="0.2">
      <c r="A1962">
        <v>3</v>
      </c>
      <c r="B1962" t="e">
        <f>(0.07*(B587/800)+0.93)*(1-0.041*LN((B600+B$3071)/100))*(0.6*(B$3073/90)+0.4)*(0.1/(B340/250)+0.9)*(0.63*(B326/27)+0.37)*(1.02/B572-0.02)*IF(B747=1,0.99,1)*IF(B603=1,0.6,IF(B603=2,1.2,1))*(0.64*(B403/3750)+0.36)*IF(B339=1,(0.066*(B397/220)+1.034),IF(B339=3,(0.09*(B396/20)+0.91),IF(B339=2,(0.36*(B395/385)+1.08))))*(0.93*(B584/1.2)+0.07)*IF(B747=1,0.95,1.02)*((B1126/600)^-0.74)*IF(#REF!=2,1,IF(#REF!=1,1.49,IF(#REF!=3,1.98,IF(#REF!=7,5.91,IF(#REF!=10,1,3.95)))))</f>
        <v>#VALUE!</v>
      </c>
    </row>
    <row r="1963" spans="1:3" x14ac:dyDescent="0.2">
      <c r="A1963">
        <v>4</v>
      </c>
      <c r="B1963" t="e">
        <f>(0.86*(B587/800)+0.15)*(1-0.52*LN((B$3071/50)))*(0.86*(B$3073/90)+0.14)*(1/(B340/250))*IF(B603=1,0.6,IF(B603=2,1.2,1))*(0.05*(B584/1.2)+0.95)*IF(B747=1,(0.052*(B757/1020000)+0.26),1.25)*((0.9*(B1128/12))+0.1)</f>
        <v>#VALUE!</v>
      </c>
    </row>
    <row r="1964" spans="1:3" x14ac:dyDescent="0.2">
      <c r="A1964">
        <v>1</v>
      </c>
      <c r="B1964" t="e">
        <f>(1.38*LN(B587/800)+1)*(1-0.88*LN((B600+B$3071)/100))*(0.86*(B$3073/90)+0.14)*(1/(B340/250))*IF(B747=1,0.052*(B757/1020000)+0.26,1.25)*IF(B603=1,0.6,IF(B603=2,1.2,1))*(0.09*(B584/1.2)+0.91)*(0.9*(B1128/12)+0.1)*((B1126/600)^-0.74)*(1.79-0.79*(B1130/30))</f>
        <v>#VALUE!</v>
      </c>
      <c r="C1964">
        <v>8</v>
      </c>
    </row>
    <row r="1965" spans="1:3" x14ac:dyDescent="0.2">
      <c r="A1965">
        <v>2</v>
      </c>
      <c r="B1965" t="e">
        <f>(0.94*((B587/800)^2-0.52*(B587/800)+0.58))*(((B600+B$3071)/(100))^-0.75)*(0.6*(B$3073/90)+0.4)*(0.03/(B340/250)+0.97)*(0.61*(B326/27)+0.39)*(0.99/B572+0.01)*IF(B747=1,0.92,1.03)*IF(B603=1,0.6,IF(B603=2,1.2,1))*(0.61*(B403/3750)+0.39)*IF(B339=1,(0.066*(B397/220)+1.034),IF(B339=3,(0.09*(B396/20)+0.91),IF(B339=2,(0.36*(B395/385)+1.08))))*(0.07*(B584/1.2)+0.93)*((0.97*(B1128/12))+0.03)*((B1126/600)^-0.74)*IF(B1130&gt;0,(1-1.14*LN(B1130/30)),1)</f>
        <v>#VALUE!</v>
      </c>
    </row>
    <row r="1966" spans="1:3" x14ac:dyDescent="0.2">
      <c r="A1966">
        <v>3</v>
      </c>
      <c r="B1966" t="e">
        <f>(0.07*(B587/800)+0.93)*(((B600+B$3071)/100)^-0.05)*(0.6*(B$3073/90)+0.4)*(0.1/(B340/250)+0.9)*(0.65*(B326/27)+0.35)*(1.05/B572-0.05)*IF(B747=1,0.96,1.01)*IF(B603=1,0.6,IF(B603=2,1.2,1))*(0.65*(B403/3750)+0.35)*IF(B339=1,(0.063*(B397/220)+0.94),IF(B339=3,(0.09*(B396/20)+0.91),IF(B339=2,(0.39*(B395/385)+1.1))))*(0.95*(B584/1.2)+0.05)*((B1126/600)^-0.78)*(1.044-0.044*(B1130/30))*IF(#REF!=2,1,IF(#REF!=1,1.49,IF(#REF!=3,1.98,IF(#REF!=7,5.91,IF(#REF!=10,1,3.95)))))</f>
        <v>#VALUE!</v>
      </c>
    </row>
    <row r="1967" spans="1:3" x14ac:dyDescent="0.2">
      <c r="A1967">
        <v>4</v>
      </c>
      <c r="B1967" t="e">
        <f>(1.37*LN(B587/800)+1)*(1-0.88*LN(B$3071/50))*1*(1/(B340/250))*IF(B747=1,0.052*(B757/1020000)+0.26,1.25)*IF(B603=1,0.6,IF(B603=2,1.2,1))*(0.1*(B584/1.2)+0.9)*((0.9*(B1128/12))+0.1)*(1.78-0.78*(B1130/30))</f>
        <v>#VALUE!</v>
      </c>
    </row>
    <row r="1968" spans="1:3" x14ac:dyDescent="0.2">
      <c r="A1968">
        <v>1</v>
      </c>
      <c r="B1968" t="e">
        <f>(0.79*(B587/800)+0.21)*(1-0.48*LN((B600+B$3071)/100))*(0.6*(B$3073/90)+0.4)*(0.1/(B340/250)+0.9)*(0.61*(B326/27)+0.39)*(0.99/B572+0.01)*IF(B747=1,0.92,1.03)*IF(B339=1,(0.066*(B397/220)+1.034),IF(B339=3,(0.09*(B396/20)+0.91),IF(B339=2,(0.36*(B395/385)+1.08))))*(0.05*(B584/1.2)+0.95)*(0.61*(B403/3750)+0.39)*((0.97*(B1128/12))+0.03)*((B1126/600)^-0.74)</f>
        <v>#VALUE!</v>
      </c>
      <c r="C1968">
        <v>9</v>
      </c>
    </row>
    <row r="1969" spans="1:3" x14ac:dyDescent="0.2">
      <c r="A1969">
        <v>2</v>
      </c>
      <c r="B1969" t="e">
        <f>(0.93*(B587/800)+0.07)*(1-0.561*LN((B600+B$3071)/100))*(0.6*(B$3073/90)+0.4)*(0.07/(B340/250)+0.93)*(0.61*(B326/27)+0.39)*(0.99/B572+0.01)*IF(B747=1,0.92,1.03)*IF(B603=1,0.6,IF(B603=2,1.2,1))*(0.61*(B403/3750)+0.39)*IF(B339=1,(0.066*(B397/220)+1.034),IF(B339=3,(0.09*(B396/20)+0.91),IF(B339=2,(0.36*(B395/385)+1.08))))*(0.06*(B584/1.2)+0.94)*(IF(B1131=2,1.43,1))*(0.97*(B1128/12)+0.03)*((B1126/600)^-0.82)</f>
        <v>#VALUE!</v>
      </c>
    </row>
    <row r="1970" spans="1:3" x14ac:dyDescent="0.2">
      <c r="A1970">
        <v>3</v>
      </c>
      <c r="B1970" t="e">
        <f>(0.07*(B587/800)+0.93)*(1-0.04*LN((B600+B$3071)/100))*1*1*1*1*1*(0.93*(B584/1.2)+0.07)*(0.63*(B326/27)+0.37)*(0.64*(B403/3750)+0.36)*IF(B339=1,(0.066*(B397/220)+1.034),IF(B339=3,(0.09*(B396/20)+0.91),IF(B339=2,(0.36*(B395/385)+1.09))))*IF(B603=1,0.6,IF(B603=2,1.2,1))*IF(B747=1,0.95,1.02)*(1.02/B572-0.02)*IF(#REF!=2,1,IF(#REF!=1,1.49,IF(#REF!=3,1.98,IF(#REF!=7,5.91,IF(#REF!=10,1,3.95)))))*((B1126/600)^-0.76)</f>
        <v>#VALUE!</v>
      </c>
    </row>
    <row r="1971" spans="1:3" x14ac:dyDescent="0.2">
      <c r="A1971">
        <v>4</v>
      </c>
      <c r="B1971" t="e">
        <f>(0.79*(B587/800)+0.21)*(1-0.48*LN(B$3071/50))*1*1*1*(0.05*(B584/1.2)+0.95)*IF(B603=1,0.6,IF(B603=2,1.2,1))*IF(B747=1,0.052*(B757/1020000)+0.26,1.25)*((0.9*(B1128/12))+0.1)</f>
        <v>#VALUE!</v>
      </c>
    </row>
    <row r="1972" spans="1:3" x14ac:dyDescent="0.2">
      <c r="A1972">
        <v>1</v>
      </c>
      <c r="B1972" t="e">
        <f>(1.38*LN(B587/800)+1)*(1-0.88*LN((B600+B$3071)/100))*(0.86*(B$3073/90)+0.14)*(1/(B340/250))*IF(B747=1,0.052*(B757/1020000)+0.26,1.25)*IF(B603=1,0.6,IF(B603=2,1.2,1))*(0.09*(B584/1.2)+0.91)*((0.9*(B1128/12))+0.1)*IF(B1130&gt;0,(1.79-0.79*LN(B1130/30)),1)</f>
        <v>#VALUE!</v>
      </c>
      <c r="C1972">
        <v>10</v>
      </c>
    </row>
    <row r="1973" spans="1:3" x14ac:dyDescent="0.2">
      <c r="A1973">
        <v>2</v>
      </c>
      <c r="B1973" t="e">
        <f>(0.94*(B587/800)^2-0.52*(B587/800)+0.58)*(((B600+B$3071)/(100))^-0.75)*(0.6*(B$3073/90)+0.4)*(0.03/(B340/250)+0.97)*(0.61*(B326/27)+0.39)*(0.99/B572+0.01)*IF(B747=1,0.92,1.03)*IF(B603=1,0.6,IF(B603=2,1.2,1))*(0.61*(B403/3750)+0.39)*IF(B339=1,(0.066*(B397/220)+1.034),IF(B339=3,(0.09*(B396/20)+0.91),IF(B339=2,(0.36*(B395/385)+1.08))))*(0.07*(B584/1.2)+0.93)*((0.97*(B1128/12))+0.03)*((B1126/600)^-0.74)*IF(B1130&gt;0,(1-1.14*LN(B1130/30)),1)</f>
        <v>#VALUE!</v>
      </c>
    </row>
    <row r="1974" spans="1:3" x14ac:dyDescent="0.2">
      <c r="A1974">
        <v>3</v>
      </c>
      <c r="B1974" t="e">
        <f>(0.078*LN(B587/800)+1)*(((B600+B$3071)/(100))^-0.05)*1*(0.6*(B$3073/90)+0.4)*(0.1/(B340/250)+0.9)*(0.65*(B326/27)+0.35)*(1.05/B572-0.05)*IF(B603=1,0.6,IF(B603=2,1.2,1))*(0.65*(B403/3750)+0.35)*IF(B339=1,(0.066*(B397/220)+1.034),IF(B339=3,(0.09*(B396/20)+0.91),IF(B339=2,(0.39*(B395/385)+1.1))))*(0.95*(B584/1.2)+0.05)*IF(B747=1,0.96,1.01)*((B1126/600)^-0.42)*(1.044-0.044*(B1130/30))*IF(#REF!=2,1,IF(#REF!=1,1.49,IF(#REF!=3,1.98,IF(#REF!=7,5.91,IF(#REF!=10,1,3.95)))))</f>
        <v>#VALUE!</v>
      </c>
    </row>
    <row r="1975" spans="1:3" x14ac:dyDescent="0.2">
      <c r="A1975">
        <v>4</v>
      </c>
      <c r="B1975" t="e">
        <f>(1.37*LN(B587/800)+1)*(1-0.88*LN(B$3071/50))*1*(0.87*(B$3073/90)+0.13)*(1/(B340/250))*IF(B747=1,0.31,1.25)*IF(B603=1,0.6,IF(B603=2,1.2,1))*(0.1*(B584/1.2)+0.9)*((0.97*(B1128/12))+0.03)*(1.78-0.78*(B1130/30))</f>
        <v>#VALUE!</v>
      </c>
    </row>
    <row r="1976" spans="1:3" x14ac:dyDescent="0.2">
      <c r="A1976">
        <v>1</v>
      </c>
      <c r="B1976" t="e">
        <f>(0.896*(B587/800)+0.11)*(1-0.521*LN((B600+B$3071)/100))*(0.86*(B$3073/90)+0.14)*(1/(B340/250))*IF(B747=1,0.31,1.25)*IF(B603=1,0.6,IF(B603=2,1.2,1))*(0.05*(B584/1.2)+0.95)*((0.9*(B1128/12))+0.1)</f>
        <v>#VALUE!</v>
      </c>
      <c r="C1976">
        <v>11</v>
      </c>
    </row>
    <row r="1977" spans="1:3" x14ac:dyDescent="0.2">
      <c r="A1977">
        <v>2</v>
      </c>
      <c r="B1977" t="e">
        <f>(1.55*(B587/800)-0.4*(B587/800)^2-0.15)*(1-0.44*LN((B600+B$3071)/(100)))*(0.6*(B$3073/90)+0.4)*(0.1/(B340/250)+0.9)*(0.61*(B326/27)+0.39)*(0.99/B572+0.01)*IF(B747=1,0.93,1)*IF(B603=1,0.6,IF(B603=2,1.2,1))*(0.61*(B403/3750)+0.39)*IF(B339=1,(0.066*(B397/220)+1.034),IF(B339=3,(0.09*(B396/20)+0.91),IF(B339=2,(0.36*(B395/385)+1.08))))*(0.04*(B584/1.2)+0.96)*(0.97*(B1128/12)+0.03)*((B1126/600)^-0.74)</f>
        <v>#VALUE!</v>
      </c>
    </row>
    <row r="1978" spans="1:3" x14ac:dyDescent="0.2">
      <c r="A1978">
        <v>3</v>
      </c>
      <c r="B1978" t="e">
        <f>(0.07*(B587/800)+0.93)*(1-0.44*LN((B600+B$3071)/(100)))*(0.6*(B$3073/90)+0.4)*(0.1/(B340/250)+0.9)*(0.63*(B326/27)+0.37)*(1.02/B572-0.02)*IF(B747=1,0.92,1.03)*IF(B603=1,0.6,IF(B603=2,1.2,1))*(0.64*(B403/3750)+0.36)*IF(B339=1,(0.066*(B397/220)+1.034),IF(B339=3,(0.09*(B396/20)+0.91),IF(B339=2,(0.39*(B395/385)+1.1))))*(0.93*(B584/1.2)+0.07)*((B1126/600)^-0.76)*IF(#REF!=2,1,IF(#REF!=1,1.49,IF(#REF!=3,1.98,IF(#REF!=7,5.91,IF(#REF!=10,3.16,3.95)))))</f>
        <v>#VALUE!</v>
      </c>
    </row>
    <row r="1979" spans="1:3" x14ac:dyDescent="0.2">
      <c r="A1979">
        <v>4</v>
      </c>
      <c r="B1979" t="e">
        <f>(0.86*(B587/800)+0.14)*(1-0.52*LN(B$3071/50))*(0.87*(B$3073/90)+0.13)*(1/(B340/250))*IF(B747=1,0.052*(B757/1020000)+0.26,1.25)*IF(B603=1,0.6,IF(B603=2,1.2,1))*(0.05*(B584/1.2)+0.95)*((0.9*(B1128/12))+0.1)</f>
        <v>#VALUE!</v>
      </c>
    </row>
    <row r="1980" spans="1:3" x14ac:dyDescent="0.2">
      <c r="A1980">
        <v>1</v>
      </c>
      <c r="B1980">
        <f>1</f>
        <v>1</v>
      </c>
      <c r="C1980">
        <v>12</v>
      </c>
    </row>
    <row r="1981" spans="1:3" x14ac:dyDescent="0.2">
      <c r="A1981">
        <v>2</v>
      </c>
      <c r="B1981">
        <f>1</f>
        <v>1</v>
      </c>
    </row>
    <row r="1982" spans="1:3" x14ac:dyDescent="0.2">
      <c r="A1982">
        <v>3</v>
      </c>
      <c r="B1982" t="e">
        <f>(0.45*(B587/800)+0.55)*(1-0.271*LN((B600+B$3071)/(100)))*(0.76*(B$3073/90)+0.24)*(0.66/(B340/250)+0.34)*(0.35*(B326/27)+0.65)*(0.56/B572+0.44)*IF(B747=1,0.66,1.12)*(0.35*(B403/3750)+0.65)*IF(B339=1,(0.035*(B397/220)+0.97),IF(B339=3,(0.06*(B396/20)+0.94),IF(B339=2,(0.2*(B395/385)+1.05))))*(1.04*(B584/1.2)-0.04)*((0.95*(B1128/12))+0.05)*((B1126/600)^-0.42)*IF(#REF!=2,1,IF(#REF!=1,1.49,IF(#REF!=3,1.98,IF(#REF!=7,5.91,IF(#REF!=10,1,3.95)))))</f>
        <v>#VALUE!</v>
      </c>
    </row>
    <row r="1983" spans="1:3" x14ac:dyDescent="0.2">
      <c r="A1983">
        <v>4</v>
      </c>
      <c r="B1983" t="e">
        <f>(0.86*(B587/800)+0.14)*(1-0.521*LN(B$3071/50))*(0.86*(B$3073/90)+0.14)*(1/(B340/250))*IF(B747=1,0.052*(B757/1020000)+0.26,1.25)*IF(B603=1,0.35,IF(B603=2,1.42,1))*(0.05*(B584/1.2)+0.95)*IF(B603=1,0.6,IF(B603=2,1.2,1))</f>
        <v>#VALUE!</v>
      </c>
    </row>
    <row r="1984" spans="1:3" x14ac:dyDescent="0.2">
      <c r="A1984">
        <v>1</v>
      </c>
      <c r="B1984">
        <f>1</f>
        <v>1</v>
      </c>
      <c r="C1984">
        <v>13</v>
      </c>
    </row>
    <row r="1985" spans="1:3" x14ac:dyDescent="0.2">
      <c r="A1985">
        <v>2</v>
      </c>
      <c r="B1985">
        <v>1</v>
      </c>
    </row>
    <row r="1986" spans="1:3" x14ac:dyDescent="0.2">
      <c r="A1986">
        <v>3</v>
      </c>
      <c r="B1986" t="e">
        <f>(0.45*(B587/800)+0.55)*(1-0.271*LN((B600+B$3071)/(100)))*(0.76*(B$3073/90)+0.24)*(0.68/(B340/250)+0.32)*(0.56/B572+0.44)*IF(B747=1,0.66,1.05)*(0.35*(B403/3750)+0.65)*IF(B339=1,(0.035*(B397/220)+0.97),IF(B339=3,(0.06*(B396/20)+0.94),IF(B339=2,(0.2*(B395/385)+1.05))))*(1.04*(B584/1.2)-0.04)*(0.35*(B326/27)+0.65)*(0.95*((B1128/12))+0.05)*((B1126/600)^-0.42)*IF(#REF!=2,1,IF(#REF!=1,1.49,IF(#REF!=3,1.98,IF(#REF!=7,5.91,IF(#REF!=10,1,3.95)))))</f>
        <v>#VALUE!</v>
      </c>
    </row>
    <row r="1987" spans="1:3" x14ac:dyDescent="0.2">
      <c r="A1987">
        <v>4</v>
      </c>
      <c r="B1987" t="e">
        <f>(1.37*LN(B587/800)+1)*(1-0.88*LN(B$3071/50))*(0.87*(B$3073/90)+0.13)*(1/(B340/250))*IF(B747=1,0.052*(B757/1020000)+0.26,1.25)*IF(B603=1,0.367,IF(B603=2,1.44,1))*(0.1*(B584/1.2)+0.9)*IF(B603=1,0.6,IF(B603=2,1.2,1))*(0.06*(B1126/600)+0.94)*(1.78-0.78*(B1130/30))</f>
        <v>#VALUE!</v>
      </c>
    </row>
    <row r="1988" spans="1:3" x14ac:dyDescent="0.2">
      <c r="A1988">
        <v>1</v>
      </c>
      <c r="B1988">
        <f>1</f>
        <v>1</v>
      </c>
      <c r="C1988">
        <v>14</v>
      </c>
    </row>
    <row r="1989" spans="1:3" x14ac:dyDescent="0.2">
      <c r="A1989">
        <v>2</v>
      </c>
      <c r="B1989">
        <f>1</f>
        <v>1</v>
      </c>
    </row>
    <row r="1990" spans="1:3" x14ac:dyDescent="0.2">
      <c r="A1990">
        <v>3</v>
      </c>
      <c r="B1990" t="e">
        <f>(0.45*(B587/800)+0.55)*(1-0.271*LN((B600+B$3071)/(100)))*(0.76*(B$3073/90)+0.24)*(0.66/(B340/250)+0.34)*(0.35*(B326/27)+0.65)*(0.56/B572+0.44)*IF(B747=1,0.66,1.12)*(0.35*(B403/3750)+0.65)*IF(B339=1,(0.035*(B397/220)+0.97),IF(B339=3,(0.06*(B396/20)+0.94),IF(B339=2,(0.2*(B395/385)+1.05))))*(1.04*(B584/1.2)-0.04)*(0.95*((B1128/12))+0.05)*((B1126/600)^-0.42)*IF(#REF!=2,1,IF(#REF!=1,1.49,IF(#REF!=3,1.98,IF(#REF!=7,5.91,IF(#REF!=10,1.43,3.95)))))</f>
        <v>#VALUE!</v>
      </c>
    </row>
    <row r="1991" spans="1:3" x14ac:dyDescent="0.2">
      <c r="A1991">
        <v>4</v>
      </c>
      <c r="B1991" t="e">
        <f>(0.79*(B587/800)+0.21)*(1-0.48*LN(B$3071/50))*(0.86*(B$3073/90)+0.14)*(1/(B340/250))*(0.61*(B326/27)+0.39)*IF(B747=1,0.92,1.03)*(0.05*(B584/1.2)+0.95)*IF(B339=1,(0.066*(B397/220)+1.034),IF(B339=3,(0.09*(B396/20)+0.91),IF(B339=2,(0.36*(B395/385)+1.08))))*(0.61*(B403/3750)+0.39)*(0.98/B572+0.02)*((0.9*(B1128/12))+0.1)*((B1126/600)^-0.73)*(IF(B1131=2,1.43,1))</f>
        <v>#VALUE!</v>
      </c>
    </row>
    <row r="1992" spans="1:3" x14ac:dyDescent="0.2">
      <c r="A1992">
        <v>1</v>
      </c>
      <c r="B1992">
        <f>1</f>
        <v>1</v>
      </c>
      <c r="C1992">
        <v>15</v>
      </c>
    </row>
    <row r="1993" spans="1:3" x14ac:dyDescent="0.2">
      <c r="A1993">
        <v>2</v>
      </c>
      <c r="B1993">
        <f>1</f>
        <v>1</v>
      </c>
    </row>
    <row r="1994" spans="1:3" x14ac:dyDescent="0.2">
      <c r="A1994">
        <v>3</v>
      </c>
      <c r="B1994" t="e">
        <f>(0.45*(B587/800)+0.55)*(1-0.271*LN((B600+B$3071)/(100)))*(0.76*(B$3073/90)+0.24)*(0.66/(B340/250)+0.34)*(0.35*(B326/27)+0.65)*(0.56/B572+0.44)*IF(B747=1,0.66,1.12)*IF(B339=1,(0.066*(B397/220)+1.034),IF(B339=3,(0.06*(B396/20)+0.94),IF(B339=2,(0.2*(B395/385)+1.05))))*(1.04*(B584/1.2)-0.04)*(0.35*(B403/3750)+0.65)*(0.95*((B1128/12))+0.05)*((B1126/600)^-0.42)*IF(#REF!=2,1,IF(#REF!=1,1.49,IF(#REF!=3,1.98,IF(#REF!=7,5.91,IF(#REF!=10,1,3.95)))))</f>
        <v>#VALUE!</v>
      </c>
    </row>
    <row r="1995" spans="1:3" x14ac:dyDescent="0.2">
      <c r="A1995">
        <v>4</v>
      </c>
      <c r="B1995" t="e">
        <f>(0.45*(B587/800)+0.55)*(1-0.521*LN(B$3071/50))*(0.86*(B$3073/90)+0.14)*(1/(B340/250))*IF(B747=1,0.052*(B757/1020000)+0.26,1.25)*IF(B603=1,0.6,IF(B603=2,1.2,1))*(0.05*(B584/1.2)+0.95)*((0.9*(B1128/12))+0.1)</f>
        <v>#VALUE!</v>
      </c>
    </row>
    <row r="1996" spans="1:3" x14ac:dyDescent="0.2">
      <c r="A1996">
        <v>1</v>
      </c>
      <c r="B1996" t="e">
        <f>(0.15*EXP(1.8*B587/800))*(0.98*((B600+B$3071)/(100))^-1.12+0.02)*1*(0.6*(B$3073/90)+0.4)*(0.03/(B340/250)+0.97)*(0.61*(B326/27)+0.39)*(0.99/B572+0.01)*IF(B747=1,0.92,1.03)*(0.61*(B403/3750)+0.39)*IF(B339=1,(0.066*(B397/220)+1.034),IF(B339=3,(0.09*(B396/20)+0.91),IF(B339=2,(0.36*(B395/385)+1.08))))*(0.11*(B584/1.2)+0.89)*(0.96*((B1128/12))+0.04)*((B1126/600)^-0.74)</f>
        <v>#VALUE!</v>
      </c>
      <c r="C1996">
        <v>16</v>
      </c>
    </row>
    <row r="1997" spans="1:3" x14ac:dyDescent="0.2">
      <c r="A1997">
        <v>2</v>
      </c>
      <c r="B1997" t="e">
        <f>(1.55*(B587/800)-0.4*(B587/800)^2-0.15)*(1-0.44*LN((B600+B$3071)/(100)))*1*(0.6*(B$3073/90)+0.4)*(0.1/(B340/250)+0.9)*(0.61*(B326/27)+0.39)*(0.99/B572+0.01)*IF(B747=1,0.92,1.03)*(0.61*(B403/3750)+0.39)*IF(B339=1,(0.066*(B397/220)+1.034),IF(B339=3,(0.09*(B396/20)+0.91),IF(B339=2,(0.36*(B395/385)+1.08))))*(0.04*(B584/1.2)+0.96)*(0.97*((B1128/12))+0.03)*((B1126/600)^-0.74)</f>
        <v>#VALUE!</v>
      </c>
    </row>
    <row r="1998" spans="1:3" x14ac:dyDescent="0.2">
      <c r="A1998">
        <v>3</v>
      </c>
      <c r="B1998" t="e">
        <f>(0.45*(B587/800)+0.55)*(1-0.27*LN((B600+B$3071)/(100)))*(0.6*(B2272/90)+0.4)*(0.1/(B340/250)+0.9)*(0.35*(B326/27)+0.65)*(0.56/B572+0.44)*IF(B747=1,0.66,1.12)*(0.35*(B403/3750)+0.65)*IF(B339=1,(0.035*(B397/220)+0.97),IF(B339=3,(0.06*(B396/20)+0.94),IF(B339=2,(0.2*(B395/385)+1.05))))*(1.04*(B584/1.2)-0.04)*(0.95*((B1128/12))+0.05)*((B1126/600)^-0.42)*IF(#REF!=2,1,IF(#REF!=1,1.49,IF(#REF!=3,1.98,IF(#REF!=7,5.91,IF(#REF!=10,3.16,3.95)))))</f>
        <v>#VALUE!</v>
      </c>
    </row>
    <row r="1999" spans="1:3" x14ac:dyDescent="0.2">
      <c r="A1999">
        <v>4</v>
      </c>
      <c r="B1999" t="e">
        <f>(0.86*(B587/800)+0.14)*(1-0.52*LN(B$3071/50))*(0.86*(B$3073/90)+0.14)*(1/(B340/250))*IF(B747=1,0.052*(B757/1020000)+0.26,1.25)*IF(B603=1,0.6,IF(B603=2,1.2,1))*(0.05*(B584/1.2)+0.95)*((0.9*(B1128/12))+0.1)</f>
        <v>#VALUE!</v>
      </c>
    </row>
    <row r="2000" spans="1:3" x14ac:dyDescent="0.2">
      <c r="A2000">
        <v>1</v>
      </c>
      <c r="B2000" t="e">
        <f>(0.15*EXP(1.8*B587/800))*(0.98*((B600+B$3071)/(100))^-1.12+0.02)*(0.6*(B$3073/90)+0.4)*(0.03/(B340/250)+0.97)*(0.61*(B326/27)+0.39)*(0.99/B572+0.01)*IF(B747=1,0.92,1.03)*(0.61*(B403/3750)+0.39)*IF(B339=1,(0.066*(B397/220)+1.034),IF(B339=3,(0.09*(B396/20)+0.91),IF(B339=2,(0.36*(B395/385)+1.08))))*(0.11*(B584/1.2)+0.89)*(0.96*(B1128/12)+0.04)*((B1126/600)^-0.74)</f>
        <v>#VALUE!</v>
      </c>
      <c r="C2000">
        <v>17</v>
      </c>
    </row>
    <row r="2001" spans="1:3" x14ac:dyDescent="0.2">
      <c r="A2001">
        <v>2</v>
      </c>
      <c r="B2001" t="e">
        <f>(1.55*(B587/800)-0.4*(B587/800)^2-0.15)*(1-0.44*LN((B600+B$3071)/(100)))*(0.6*(B$3073/90)+0.4)*(0.1/(B340/250)+0.9)*(0.61*(B326/27)+0.39)*(0.99/B572+0.01)*IF(B747=1,0.92,1.03)*IF(B603=1,0.58,IF(B603=2,1.22,1))*(0.61*(B403/3750)+0.39)*IF(B339=1,(0.066*(B397/220)+1.034),IF(B339=3,(0.09*(B396/20)+0.91),IF(B339=2,(0.36*(B395/385)+1.08))))*(0.04*(B584/1.2)+0.96)*((0.97*(B1128/12))+0.03)*((B1126/600)^-0.74)</f>
        <v>#VALUE!</v>
      </c>
    </row>
    <row r="2002" spans="1:3" x14ac:dyDescent="0.2">
      <c r="A2002">
        <v>3</v>
      </c>
      <c r="B2002" t="e">
        <f>(1.34*(B587/800)-0.34*(B587/800)^2)*(1-0.38*LN((B600+B$3071)/(100)))*(0.6*(B$3073/90)+0.4)*(0.002/(B340/250)+0.998)*(0.68*(B326/27)+0.32)*(1.02/B572-0.02)*IF(B747=1,0.99,1.03)*IF(B603=1,0.6,IF(B603=2,1.2,1))*(0.68*(B403/3750)+0.32)*IF(B339=1,(0.066*(B397/220)+0.934),IF(B339=3,(0.09*(B396/20)+0.91),IF(B339=2,(0.39*(B395/385)+1.1))))*(0.17*(B584/1.2)+0.83)*((B1126/600)^-0.82)*IF(#REF!=2,1,IF(#REF!=1,1.49,IF(#REF!=3,1.98,IF(#REF!=7,5.91,IF(#REF!=10,1.29,3.95)))))</f>
        <v>#VALUE!</v>
      </c>
    </row>
    <row r="2003" spans="1:3" x14ac:dyDescent="0.2">
      <c r="A2003">
        <v>4</v>
      </c>
      <c r="B2003" t="e">
        <f>(0.86*(B587/800)+0.14)*(1-0.52*LN(B$3071/50))*1*(1/(B340/250))*IF(B747=1,0.052*(B757/1020000)+0.26,1.25)*IF(B603=1,0.6,IF(B603=2,1.2,1))*(0.05*(B584/1.2)+0.95)*((0.9*(B1128/12))+0.1)</f>
        <v>#VALUE!</v>
      </c>
    </row>
    <row r="2004" spans="1:3" x14ac:dyDescent="0.2">
      <c r="A2004">
        <v>1</v>
      </c>
      <c r="B2004" t="e">
        <f>(0.85*(B587/800)+0.15)*(1-0.521*LN((B600+B$3071)/100))*(0.86*(B$3073/90)+0.14)*(1/(B340/250))*IF(B747=1,0.052*(B757/1020000)+0.95,1.25)*IF(B603=1,0.6,IF(B603=2,1.2,1))*IF(B339=2,(0.204*(B395/385)+0.596),1)*(0.05*(B584/1.2)+0.95)*(0.9*(B1128/12)+0.1)</f>
        <v>#VALUE!</v>
      </c>
      <c r="C2004">
        <v>18</v>
      </c>
    </row>
    <row r="2005" spans="1:3" x14ac:dyDescent="0.2">
      <c r="A2005">
        <v>2</v>
      </c>
      <c r="B2005" t="e">
        <f>(-0.4*(B587/800)^2+1.55*(B587/800)-0.15)*(1-0.44*LN((B600+B$3071)/(100)))*(0.6*(B$3073/90)+0.4)*(0.1/(B340/250)+0.9)*(0.61*(B326/27)+0.39)*(0.99/B572+0.01)*IF(B747=1,0.92,1.03)*IF(B603=1,0.6,IF(B603=2,1.2,1))*(0.61*(B403/3750)+0.39)*IF(B339=1,(0.066*(B397/220)+1.034),IF(B339=3,(0.09*(B396/20)+0.91),IF(B339=2,(0.36*(B395/385)+1.08))))*(0.04*(B584/1.2)+0.96)*((0.97*(B1128/12))+0.03)*((B1126/600)^-0.74)</f>
        <v>#VALUE!</v>
      </c>
    </row>
    <row r="2006" spans="1:3" x14ac:dyDescent="0.2">
      <c r="A2006">
        <v>3</v>
      </c>
      <c r="B2006" t="e">
        <f>(0.07*(B587/800)+0.93)*(1-0.38*LN((B600+B$3071)/(100)))*(0.6*(B$3073/90)+0.4)*(0.1/(B340/250)+0.9)*(0.68*(B326/27)+0.32)*(1.02/B572-0.02)*IF(B747=1,0.95,1.02)*IF(B603=1,0.6,IF(B603=2,1.2,1))*(0.64*(B403/3750)+0.36)*IF(B339=1,(0.066*(B397/220)+1.034),IF(B339=3,(0.09*(B396/20)+0.91),IF(B339=2,(0.36*(B395/385)+1.08))))*(0.93*(B584/1.2)+0.07)*((B1126/600)^-0.76)*IF(#REF!=2,1,IF(#REF!=1,1.49,IF(#REF!=3,1.98,IF(#REF!=7,5.91,IF(#REF!=10,3.18,3.95)))))</f>
        <v>#VALUE!</v>
      </c>
    </row>
    <row r="2007" spans="1:3" x14ac:dyDescent="0.2">
      <c r="A2007">
        <v>4</v>
      </c>
      <c r="B2007" t="e">
        <f>(0.86*(B587/800)+0.14)*(1-0.52*LN((B$3071)/(100)))*(0.86*(B$3073/90)+0.14)*(1/(B340/250))*IF(B747=1,0.052*(B757/1020000)+0.26,1.25)*IF(B603=1,0.6,IF(B603=2,1.2,1))*(0.05*(B584/1.2)+0.95)*((0.9*(B1128/12))+0.1)</f>
        <v>#VALUE!</v>
      </c>
    </row>
    <row r="2008" spans="1:3" x14ac:dyDescent="0.2">
      <c r="A2008">
        <v>1</v>
      </c>
      <c r="B2008" t="e">
        <f>(1.07*(B587/800)^2-0.32*(B587/800)+0.26)*(1-1.13*LN((B600+B$3071)/100))*(0.6*(B$3073/90)+0.4)*(0.03/(B340/250)+0.97)*(0.61*(B326/27)+0.39)*(0.99/B572+0.01)*IF(B747=1,0.92,1.03)*(0.61*(B403/3750)+0.39)*IF(B339=1,(0.066*(B397/220)+1.034),IF(B339=3,(0.09*(B396/20)+0.91),IF(B339=2,(0.36*(B395/385)+1.08))))*(0.1*(B584/1.2)+0.9)*((0.28/B1149)+0.72)*((0.96*(B1128/12))+0.04)*((B1126/600)^-0.74)</f>
        <v>#VALUE!</v>
      </c>
      <c r="C2008">
        <v>19</v>
      </c>
    </row>
    <row r="2009" spans="1:3" x14ac:dyDescent="0.2">
      <c r="A2009">
        <v>2</v>
      </c>
      <c r="B2009" t="e">
        <f>(-0.4*(B587/800)^2+1.55*(B587/800)-0.15)*(1-0.44*LN((B600+B$3071)/(100)))*(0.61*(B$3073/90)+0.39)*(0.1/(B340/250)+0.9)*(0.61*(B326/27)+0.39)*(0.99/B572+0.01)*IF(B747=1,0.92,1.03)*IF(B603=1,0.6,IF(B603=2,1.2,1))*(0.61*(B403/3750)+0.39)*IF(B339=1,(0.066*(B397/220)+1.034),IF(B339=3,(0.09*(B396/20)+0.91),IF(B339=2,(0.36*(B395/385)+1.08))))*(0.04*(B584/1.2)+0.96)*((0.97*(B1128/12))+0.03)*((B1126/600)^-0.74)</f>
        <v>#VALUE!</v>
      </c>
    </row>
    <row r="2010" spans="1:3" x14ac:dyDescent="0.2">
      <c r="A2010">
        <v>3</v>
      </c>
      <c r="B2010" t="e">
        <f>(0.07*(B587/800)+0.93)*(1-0.04*LN((B600+B$3071)/(100)))*(0.6*(B$3073/90)+0.4)*(0.02/(B340/250)+0.98)*(0.63*(B326/27)+0.37)*(1.02/B572-0.02)*IF(B747=1,0.95,1.02)*IF(B603=1,0.6,IF(B603=2,1.2,1))*(0.35*(B403/3750)+0.65)*IF(B339=1,(0.066*(B397/220)+1.034),IF(B339=3,(0.09*(B396/20)+0.91),IF(B339=2,(0.36*(B395/385)+1.08))))*(0.93*(B584/1.2)+0.07)*((B1126/600)^-0.76)*IF(#REF!=2,1,IF(#REF!=1,1.49,IF(#REF!=3,1.98,IF(#REF!=7,5.91,IF(#REF!=10,1,3.95)))))</f>
        <v>#VALUE!</v>
      </c>
    </row>
    <row r="2011" spans="1:3" x14ac:dyDescent="0.2">
      <c r="A2011">
        <v>4</v>
      </c>
      <c r="B2011" t="e">
        <f>(0.86*(B587/800)+0.14)*(1-0.52*LN((B$3071)/(100)))*(0.86*(B$3073/90)+0.14)*(1/(B340/250))*IF(B747=1,0.052*(B757/1020000)+0.26,1.25)*IF(B603=1,0.6,IF(B603=2,1.2,1))*(0.05*(B584/1.2)+0.95)*((0.9*(B1128/12))+0.1)</f>
        <v>#VALUE!</v>
      </c>
    </row>
    <row r="2012" spans="1:3" x14ac:dyDescent="0.2">
      <c r="A2012">
        <v>1</v>
      </c>
      <c r="B2012" t="e">
        <f>(0.93*(B587/800)^2.1+0.07)*(1-1.13*LN((B600+B$3071)/100))*(0.6*(B$3073/90)+0.4)*(0.03/(B340/250)+0.97)*(0.61*(B326/27)+0.39)*(0.99/B572+0.01)*IF(B747=1,0.92,1.03)*(0.66*(B403/3750)+0.34)*IF(B339=1,(0.066*(B397/220)+1.034),IF(B339=3,(0.09*(B396/20)+0.91),IF(B339=2,(0.36*(B395/385)+1.08))))*(0.1*(B584/1.2)+0.9)*((0.28/B1149)+0.72)*(0.96*(B1128/12)+0.04)*((B1126/600)^-0.74)</f>
        <v>#VALUE!</v>
      </c>
      <c r="C2012">
        <v>20</v>
      </c>
    </row>
    <row r="2013" spans="1:3" x14ac:dyDescent="0.2">
      <c r="A2013">
        <v>2</v>
      </c>
      <c r="B2013" t="e">
        <f>(-0.4*(B587/800)^2+1.55*(B587/800)-0.15)*(1-0.44*LN((B600+B$3071)/(100)))*(0.61*(B$3073/90)+0.39)*(0.1/(B340/250)+0.9)*(0.61*(B326/27)+0.39)*(1.11/B572-0.11)*IF(B747=1,1,1)*IF(B603=1,0.6,IF(B603=2,1.2,1))*(0.69*(B403/3750)+0.31)*IF(B339=1,(0.066*(B397/220)+1.034),IF(B339=3,(0.1*(B396/20)+0.9),IF(B339=2,(0.4*(B395/385)+1.09))))*(0.04*(B584/1.2)+0.96)*((0.98*(B1128/12))+0.02)*((B1126/600)^-0.82)</f>
        <v>#VALUE!</v>
      </c>
    </row>
    <row r="2014" spans="1:3" x14ac:dyDescent="0.2">
      <c r="A2014">
        <v>3</v>
      </c>
      <c r="B2014" t="e">
        <f>(0.07*(B587/800)+0.93)*(1-0.04*LN((B600+B$3071)/(100)))*(0.6*(B$3073/90)+0.4)*(0.02/(B340/250)+0.98)*(0.63*(B326/27)+0.37)*(1.02/B572-0.02)*IF(B747=1,0.95,1.02)*IF(B603=1,0.6,IF(B603=2,1.2,1))*(0.64*(B403/3750)+0.36)*IF(B339=1,(0.066*(B397/220)+1.034),IF(B339=3,(0.09*(B396/20)+0.91),IF(B339=2,(0.36*(B395/385)+1.08))))*(0.93*(B584/1.2)+0.07)*((B1126/600)^-0.76)*IF(#REF!=2,1,IF(#REF!=1,1.49,IF(#REF!=3,1.98,IF(#REF!=7,5.91,IF(#REF!=10,1,3.95)))))</f>
        <v>#VALUE!</v>
      </c>
    </row>
    <row r="2015" spans="1:3" x14ac:dyDescent="0.2">
      <c r="A2015">
        <v>4</v>
      </c>
      <c r="B2015" t="e">
        <f>(0.86*(B587/800)+0.14)*(1-0.52*LN((B$3071)/(100)))*(0.86*(B$3073/90)+0.14)*(1/(B340/250))*IF(B747=1,0.052*(B757/1020000)+0.26,1.25)*(0.05*(B584/1.2)+0.95)*IF(B603=1,0.6,IF(B603=2,1.2,1))*((0.9*(B1128/12))+0.1)</f>
        <v>#VALUE!</v>
      </c>
    </row>
    <row r="2016" spans="1:3" x14ac:dyDescent="0.2">
      <c r="A2016">
        <v>1</v>
      </c>
      <c r="B2016" t="e">
        <f>(1.07*(B587/800)^2-0.32*(B587/800)+0.26)*(1-1.13*LN((B600+B$3071)/100))*(0.6*(B$3073/90)+0.4)*(0.03/(B340/250)+0.97)*(0.61*(B326/27)+0.39)*(0.99/B572+0.01)*IF(B747=1,0.92,1.03)*(0.61*(B403/3750)+0.39)*IF(B339=1,(0.066*(B397/220)+1.034),IF(B339=3,(0.09*(B396/20)+0.91),IF(B339=2,(0.36*(B395/385)+1.08))))*(0.1*(B584/1.2)+0.9)*((0.28/B1149)+0.72)*(0.96*(B1128/12)+0.04)*((B1126/600)^-0.74)</f>
        <v>#VALUE!</v>
      </c>
      <c r="C2016">
        <v>21</v>
      </c>
    </row>
    <row r="2017" spans="1:3" x14ac:dyDescent="0.2">
      <c r="A2017">
        <v>2</v>
      </c>
      <c r="B2017" t="e">
        <f>(0.94*(B587/800)^-0.52*(B587/800)+0.58)*(((B600+B$3071)/(100))^-0.75)*(0.61*(B$3073/90)+0.39)*(0.03/(B340/250)+0.97)*(0.61*(B326/27)+0.39)*(0.99/B572+0.01)*IF(B747=1,0.92,1.03)*IF(B603=1,0.6,IF(B603=2,1.2,1))*(0.61*(B403/3750)+0.39)*IF(B339=1,(0.066*(B397/220)+1.034),IF(B339=3,(0.09*(B396/20)+0.91),IF(B339=2,(0.36*(B395/385)+1.08))))*(0.07*(B584/1.2)+0.93)*((0.97*(B1128/12))+0.03)*((B1126/600)^-0.74)*IF(B1130&gt;0,(1.98-0.98*LN(B1130/30)),1)</f>
        <v>#VALUE!</v>
      </c>
    </row>
    <row r="2018" spans="1:3" x14ac:dyDescent="0.2">
      <c r="A2018">
        <v>3</v>
      </c>
      <c r="B2018" t="e">
        <f>(1.17*(B587/800)-0.17)*((B600+B$3071)/(100))^-0.96*(0.6*(B$3073/90)+0.4)*1*(0.63*(B326/27)+0.37)*IF(B747=1,0.99,1)*IF(B603=1,0.6,IF(B603=2,1.2,1))*(0.68*(B403/3750)+0.32)*IF(B339=1,(0.066*(B397/220)+1.034),IF(B339=3,(0.09*(B396/20)+0.91),IF(B339=2,(0.39*(B395/385)+1.1))))*(0.1*(B584/1.2)+0.9)*(1.1/B572-0.1)*((B1126/600)^-0.82)*(1.47-0.47*(B1130/30))</f>
        <v>#VALUE!</v>
      </c>
    </row>
    <row r="2019" spans="1:3" x14ac:dyDescent="0.2">
      <c r="A2019">
        <v>4</v>
      </c>
      <c r="B2019" t="e">
        <f>(-0.38*(B587/800)^2+2.2*(B587/800)-0.82)*(1-0.88*LN((B$3071)/(100)))*(0.86*(B$3073/90)+0.14)*(1/(B340/250))*(0.05*(B326/27)+0.95)*IF(B747=1,0.052*(B757/1020000)+0.26,1.25)*IF(B603=1,0.6,IF(B603=2,1.2,1))*IF(B603=1,0.36,IF(B603=2,1.42,1))*(0.1*(B584/1.2)+0.9)*((0.9*(B1128/12))+0.1)*(1.78-0.78*(B1130/30))</f>
        <v>#VALUE!</v>
      </c>
    </row>
    <row r="2020" spans="1:3" x14ac:dyDescent="0.2">
      <c r="A2020">
        <v>1</v>
      </c>
      <c r="B2020" t="e">
        <f>(0.67*(B587/800)^2+0.2*(B587/800)+0.13)*(1-1.13*LN((B600+B$3071)/100))*(0.6*(B$3073/90)+0.4)*(0.03/(B340/250)+0.97)*(0.61*(B326/27)+0.39)*(0.99/B572+0.01)*IF(B747=1,0.92,1.03)*(0.61*(B403/3750)+0.39)*IF(B339=1,(0.066*(B397/220)+1.034),IF(B339=3,(0.09*(B396/20)+0.91),IF(B339=2,(0.36*(B395/385)+1.08))))*(0.1*(B584/1.2)+0.9)*((0.28/B1149)+0.72)*(0.96*(B1128/12)+0.04)*((B1126/600)^-0.74)</f>
        <v>#VALUE!</v>
      </c>
      <c r="C2020">
        <v>22</v>
      </c>
    </row>
    <row r="2021" spans="1:3" x14ac:dyDescent="0.2">
      <c r="A2021">
        <v>2</v>
      </c>
      <c r="B2021" t="e">
        <f>(1.55*(B587/800)-0.4*(B587/800)^2-0.15)*(1-0.44*LN((B600+B$3071)/(100)))*(0.6*(B$3073/90)+0.4)*(0.1/(B340/250)+0.9)*(0.61*(B326/27)+0.39)*(0.99/B572+0.01)*IF(B747=1,0.92,1.03)*IF(B603=1,0.6,IF(B603=2,1.2,1))*(0.61*(B403/3750)+0.39)*IF(B339=1,(0.066*(B397/220)+1.034),IF(B339=3,(0.09*(B396/20)+0.91),IF(B339=2,(0.36*(B395/385)+1.08))))*(0.04*(B584/1.2)+0.96)*(0.97*(B1128/12)+0.03)*((B1126/600)^-0.74)</f>
        <v>#VALUE!</v>
      </c>
    </row>
    <row r="2022" spans="1:3" x14ac:dyDescent="0.2">
      <c r="A2022">
        <v>3</v>
      </c>
      <c r="B2022" t="e">
        <f>(0.07*(B587/800)+0.93)*(1-0.04*LN((B600+B$3071)/(100)))*(0.59*(B$3073/90)+0.41)*(0.02/(B340/250)+0.98)*(0.67*(B326/27)+0.33)*(1.02/B572-0.02)*IF(B747=1,0.95,1.02)*IF(B603=1,0.6,IF(B603=2,1.2,1))*(0.64*(B403/3750)+0.36)*IF(B339=1,(0.066*(B397/220)+1.034),IF(B339=3,(0.06*(B396/20)+0.94),IF(B339=2,(0.36*(B395/385)+1.08))))*(0.93*(B584/1.2)+0.07)*((B1126/600)^-0.76)*IF(#REF!=2,1,IF(#REF!=1,1.49,IF(#REF!=3,1.98,IF(#REF!=7,5.91,IF(#REF!=10,1,3.95)))))</f>
        <v>#VALUE!</v>
      </c>
    </row>
    <row r="2023" spans="1:3" x14ac:dyDescent="0.2">
      <c r="A2023">
        <v>4</v>
      </c>
      <c r="B2023" t="e">
        <f>(0.86*(B587/800)+0.14)*(1-0.52*LN((B$3071)/(100)))*(0.86*(B$3073/90)+0.14)*(1/(B340/250))*IF(B747=1,0.052*(B757/1020000)+0.26,1.25)*IF(B603=1,0.6,IF(B603=2,1.2,1))*(0.05*(B584/1.2)+0.95)*((0.9*(B1128/12))+0.1)</f>
        <v>#VALUE!</v>
      </c>
    </row>
    <row r="2024" spans="1:3" x14ac:dyDescent="0.2">
      <c r="A2024">
        <v>1</v>
      </c>
      <c r="B2024" t="e">
        <f>(1.07*(B587/800)^2-0.32*(B587/800)+0.26)*(1-1.13*LN((B600+B$3071)/100))*(0.6*(B$3073/90)+0.4)*1*(0.61*(B326/27)+0.39)*(0.99/B572+0.01)*IF(B747=1,0.92,1.03)*IF(B603=1,0.36,IF(B603=2,1.42,1))*(0.61*(B403/3750)+0.39)*IF(B339=1,(0.066*(B397/220)+1.034),IF(B339=3,(0.09*(B396/20)+0.91),IF(B339=2,(0.36*(B395/385)+1.08))))*(0.1*(B584/1.2)+0.9)*((0.28/B1149)+0.72)*(0.96*(B1128/12)+0.04)*((B1126/600)^-0.74)</f>
        <v>#VALUE!</v>
      </c>
      <c r="C2024">
        <v>23</v>
      </c>
    </row>
    <row r="2025" spans="1:3" x14ac:dyDescent="0.2">
      <c r="A2025">
        <v>2</v>
      </c>
      <c r="B2025" t="e">
        <f>(1.55*(B587/800)-0.4*(B587/800)^2-0.15)*(1-0.44*LN((B600+B$3071)/(100)))*(0.6*(B$3073/90)+0.4)*(0.1/(B340/250)+0.9)*(0.61*(B326/27)+0.39)*(0.99/B572+0.01)*IF(B747=1,0.92,1.03)*IF(B603=1,0.6,IF(B603=2,1.2,1))*(0.61*(B403/3750)+0.39)*IF(B339=1,(0.066*(B397/220)+1.034),IF(B339=3,(0.09*(B396/20)+0.91),IF(B339=2,(0.36*(B395/385)+1.08))))*(0.04*(B584/1.2)+0.96)*((0.97*(B1128/12))+0.03)*((B1126/600)^-0.74)</f>
        <v>#VALUE!</v>
      </c>
    </row>
    <row r="2026" spans="1:3" x14ac:dyDescent="0.2">
      <c r="A2026">
        <v>3</v>
      </c>
      <c r="B2026" t="e">
        <f>(0.07*(B587/800)+0.93)*(1-0.44*LN((B600+B$3071)/(100)))*(0.6*(B$3073/90)+0.4)*(0.1/(B340/250)+0.9)*(0.67*(B326/27)+0.33)*(1.02/B572-0.02)*IF(B747=1,0.95,1.02)*IF(B603=1,0.6,IF(B603=2,1.2,1))*(0.64*(B403/3750)+0.36)*IF(B339=1,(0.066*(B397/220)+1.034),IF(B339=3,(0.09*(B396/20)+0.91),IF(B339=2,(0.36*(B395/385)+1.08))))*(0.93*(B584/1.2)+0.07)*((B1126/600)^-0.76)</f>
        <v>#VALUE!</v>
      </c>
    </row>
    <row r="2027" spans="1:3" x14ac:dyDescent="0.2">
      <c r="A2027">
        <v>4</v>
      </c>
      <c r="B2027" t="e">
        <f>(0.86*(B587/800)+0.14)*(1-0.52*LN((B$3071)/(100)))*(0.86*(B$3073/90)+0.14)*(1/(B340/250))*IF(B747=1,0.052*(B757/1020000)+0.26,1.25)*IF(B603=1,0.6,IF(B603=2,1.2,1))*(0.05*(B584/1.2)+0.95)*(0.9*(B1128/12)+0.1)</f>
        <v>#VALUE!</v>
      </c>
    </row>
    <row r="2028" spans="1:3" x14ac:dyDescent="0.2">
      <c r="A2028">
        <v>1</v>
      </c>
      <c r="B2028" t="e">
        <f>(1.07*(B587/800)^2-0.32*(B587/800)+0.26)*(1-1.13*LN((B600+B$3071)/100))*(0.6*(B$3073/90)+0.4)*(1/(B340/250))*(0.61*(B326/27)+0.39)*(0.99/B572+0.01)*IF(B747=1,0.92,1.03)*(0.61*(B403/3750)+0.39)*IF(B339=1,(0.066*(B397/220)+1.034),IF(B339=3,(0.09*(B396/20)+0.91),IF(B339=2,(0.36*(B395/385)+1.08))))*(0.1*(B584/1.2)+0.9)*((0.72/B1149)+0.28)*(0.96*(B1128/12)+0.04)*((B1126/600)^-0.74)</f>
        <v>#VALUE!</v>
      </c>
      <c r="C2028">
        <v>24</v>
      </c>
    </row>
    <row r="2029" spans="1:3" x14ac:dyDescent="0.2">
      <c r="A2029">
        <v>2</v>
      </c>
      <c r="B2029">
        <f>1</f>
        <v>1</v>
      </c>
    </row>
    <row r="2030" spans="1:3" x14ac:dyDescent="0.2">
      <c r="A2030">
        <v>3</v>
      </c>
      <c r="B2030">
        <f>1</f>
        <v>1</v>
      </c>
    </row>
    <row r="2031" spans="1:3" x14ac:dyDescent="0.2">
      <c r="A2031">
        <v>4</v>
      </c>
      <c r="B2031">
        <f>1</f>
        <v>1</v>
      </c>
    </row>
    <row r="2032" spans="1:3" x14ac:dyDescent="0.2">
      <c r="A2032">
        <v>1</v>
      </c>
      <c r="B2032" t="e">
        <f>(1.64*(B587/800)-0.64)*(1-0.98*LN((B600+B$3071)/100))*(0.6*(B$3073/90)+0.4)*(0.04/(B340/250)+0.96)*(0.61*(B326/27)+0.39)*(0.99/B572+0.01)*IF(B747=1,0.92,1.03)*(0.61*(B403/3750)+0.39)*IF(B339=1,(0.066*(B397/220)+1.034),IF(B339=3,(0.09*(B396/20)+0.91),IF(B339=2,(0.36*(B395/385)+1.08))))*(0.1*(B584/1.2)+0.9)*((0.72/B1149)+0.28)*((0.96*(B1128/12))+0.04)*((B1126/600)^-0.74)*(1.44-0.44*(B1130/30))</f>
        <v>#VALUE!</v>
      </c>
      <c r="C2032">
        <v>25</v>
      </c>
    </row>
    <row r="2033" spans="1:3" x14ac:dyDescent="0.2">
      <c r="A2033">
        <v>2</v>
      </c>
      <c r="B2033">
        <f>1</f>
        <v>1</v>
      </c>
    </row>
    <row r="2034" spans="1:3" x14ac:dyDescent="0.2">
      <c r="A2034">
        <v>3</v>
      </c>
      <c r="B2034">
        <f>1</f>
        <v>1</v>
      </c>
    </row>
    <row r="2035" spans="1:3" x14ac:dyDescent="0.2">
      <c r="A2035">
        <v>4</v>
      </c>
      <c r="B2035">
        <f>1</f>
        <v>1</v>
      </c>
    </row>
    <row r="2036" spans="1:3" x14ac:dyDescent="0.2">
      <c r="A2036">
        <v>1</v>
      </c>
      <c r="B2036" t="e">
        <f>(0.85*(B587/800)+0.15)*(1-0.54*LN((B600+B$3071)/100))*(0.6*(B$3073/90)+0.4)*(0.04/(B340/250)+0.96)*(0.61*(B326/27)+0.39)*(0.99/B572+0.01)*IF(B747=1,0.92,1.03)*IF(B339=1,(0.066*(B397/220)+1.034),IF(B339=3,(0.09*(B396/20)+0.91),IF(B339=2,(0.36*(B395/385)+1.08))))*(0.05*(B584/1.2)+0.95)*(0.61*(B403/3750)+0.39)*((0.97*(B1128/12))+0.03)*((B1126/600)^-0.74)*((0.72/B1149)+0.28)*(IF(B1131=2,1.43,1))</f>
        <v>#VALUE!</v>
      </c>
      <c r="C2036">
        <v>26</v>
      </c>
    </row>
    <row r="2037" spans="1:3" x14ac:dyDescent="0.2">
      <c r="A2037">
        <v>2</v>
      </c>
      <c r="B2037">
        <v>1</v>
      </c>
    </row>
    <row r="2038" spans="1:3" x14ac:dyDescent="0.2">
      <c r="A2038">
        <v>3</v>
      </c>
      <c r="B2038">
        <v>1</v>
      </c>
    </row>
    <row r="2039" spans="1:3" x14ac:dyDescent="0.2">
      <c r="A2039">
        <v>4</v>
      </c>
      <c r="B2039">
        <v>1</v>
      </c>
    </row>
    <row r="2040" spans="1:3" x14ac:dyDescent="0.2">
      <c r="A2040">
        <v>1</v>
      </c>
      <c r="B2040" t="e">
        <f>(1.07*(B587/800)^2-0.32*(B587/800)+0.26)*(1-1.13*LN((B600+B$3071)/100))*(0.6*(B$3073/90)+0.4)*(1/(B340/250))*(0.61*(B326/27)+0.39)*IF(B747=1,0.92,1.03)*(0.61*(B403/3750)+0.39)*IF(B339=1,(0.066*(B397/220)+1.034),IF(B339=3,(0.09*(B396/20)+0.91),IF(B339=2,(0.36*(B395/385)+1.08))))*(0.1*(B584/1.2)+0.9)*(0.99/B572+0.01)*((0.96*(B1128/12))+0.04)*((B1126/600)^-0.74)*((0.72/B1149)+0.28)</f>
        <v>#VALUE!</v>
      </c>
      <c r="C2040">
        <v>27</v>
      </c>
    </row>
    <row r="2041" spans="1:3" x14ac:dyDescent="0.2">
      <c r="A2041">
        <v>2</v>
      </c>
      <c r="B2041">
        <v>1</v>
      </c>
    </row>
    <row r="2042" spans="1:3" x14ac:dyDescent="0.2">
      <c r="A2042">
        <v>3</v>
      </c>
      <c r="B2042">
        <v>1</v>
      </c>
    </row>
    <row r="2043" spans="1:3" x14ac:dyDescent="0.2">
      <c r="A2043">
        <v>4</v>
      </c>
      <c r="B2043">
        <v>1</v>
      </c>
    </row>
    <row r="2044" spans="1:3" x14ac:dyDescent="0.2">
      <c r="A2044">
        <v>1</v>
      </c>
      <c r="B2044" t="e">
        <f>(1.07*(B587/800)^2-0.32*(B587/800)+0.26)*(1-1.13*LN((B600+B$3071)/100))*(0.6*(B$3073/90)+0.4)*(1/(B340/250))*(0.61*(B326/27)+0.39)*IF(B747=1,0.92,1.03)*(0.61*(B403/3750)+0.39)*IF(B339=1,(0.066*(B397/220)+1.034),IF(B339=3,(0.09*(B396/20)+0.91),IF(B339=2,(0.36*(B395/385)+1.08))))*(0.1*(B584/1.2)+0.9)*(0.99/B572+0.01)*((0.96*(B1128/12))+0.04)*((B1126/600)^-0.74)*((0.72/B1149)+0.28)</f>
        <v>#VALUE!</v>
      </c>
      <c r="C2044">
        <v>28</v>
      </c>
    </row>
    <row r="2045" spans="1:3" x14ac:dyDescent="0.2">
      <c r="A2045">
        <v>2</v>
      </c>
      <c r="B2045">
        <v>1</v>
      </c>
    </row>
    <row r="2046" spans="1:3" x14ac:dyDescent="0.2">
      <c r="A2046">
        <v>3</v>
      </c>
      <c r="B2046">
        <v>1</v>
      </c>
    </row>
    <row r="2047" spans="1:3" x14ac:dyDescent="0.2">
      <c r="A2047">
        <v>4</v>
      </c>
      <c r="B2047">
        <v>1</v>
      </c>
    </row>
    <row r="2050" spans="1:3" x14ac:dyDescent="0.2">
      <c r="A2050" t="s">
        <v>5203</v>
      </c>
    </row>
    <row r="2051" spans="1:3" x14ac:dyDescent="0.2">
      <c r="A2051" t="s">
        <v>5218</v>
      </c>
    </row>
    <row r="2052" spans="1:3" x14ac:dyDescent="0.2">
      <c r="A2052" t="s">
        <v>5205</v>
      </c>
      <c r="C2052" t="s">
        <v>4566</v>
      </c>
    </row>
    <row r="2053" spans="1:3" x14ac:dyDescent="0.2">
      <c r="A2053">
        <v>1</v>
      </c>
      <c r="B2053" t="e">
        <f>(1.07*(B587/800)^-0.7)*(0.98*((B600+B$3071)/(100))^-1.12+0.02)*(0.6*(B$3073/90)+0.4)*(0.03/(B340/250)+0.97)*(0.61*(B326/27)+0.39)*IF(B747=1,0.99,1)*(0.61*(B403/3750)+0.39)*IF(B339=1,(0.066*(B397/220)+1.034),IF(B339=3,(0.09*(B396/20)+0.91),IF(B339=2,(0.36*(B395/385)+1.08))))*(0.11*(B584/1.2)+0.89)*(0.99/B572+0.01)*IF(B747=1,0.92,1.03)*((B1194/600)^-0.74)*(0.96*(B1196/12)+0.04)</f>
        <v>#VALUE!</v>
      </c>
      <c r="C2053">
        <v>1</v>
      </c>
    </row>
    <row r="2054" spans="1:3" x14ac:dyDescent="0.2">
      <c r="A2054">
        <v>2</v>
      </c>
      <c r="B2054" t="e">
        <f>(1.55*(B587/800)-0.4*(B587/800)^2-0.15)*(1-0.44*LN((B600+B$3071)/(100)))*(0.6*(B$3073/90)+0.4)*(0.1/(B340/250)+0.9)*(0.61*(B326/27)+0.39)*(0.4/B572+0.6)*IF(B747=1,0.92,1.03)*IF(B603=1,0.6,IF(B603=2,1.2,1))*(0.61*(B403/3750)+0.39)*IF(B339=1,(0.066*(B397/220)+1.034),IF(B339=3,(0.09*(B396/20)+0.91),IF(B339=2,(0.36*(B395/385)+1.08))))*(0.04*(B584/1.2)+0.96)*(0.97*(B1196/12)+0.03)*((B1194/600)^-0.74)</f>
        <v>#VALUE!</v>
      </c>
    </row>
    <row r="2055" spans="1:3" x14ac:dyDescent="0.2">
      <c r="A2055">
        <v>3</v>
      </c>
      <c r="B2055" t="e">
        <f>(0.07*(B587/800)+0.93)*(1-0.041*LN((B600+B$3071)/100))*(0.6*(B$3073/90)+0.4)*(0.1/(B340/250)+0.9)*(0.63*(B326/27)+0.07)*(1.02/B572-0.02)*IF(B747=1,0.95,1.02)*IF(B603=1,0.6,IF(B603=2,1.2,1))*(0.64*(B403/3750)+0.36)*IF(B339=1,(0.066*(B397/220)+1.034),IF(B339=3,(0.07*(B396/20)+0.93),IF(B339=2,(0.36*(B395/385)+1.08))))*(0.93*(B584/1.2)+0.07)*((B1194/600)^-0.76)*IF(#REF!=2,1,IF(#REF!=1,1.49,IF(#REF!=3,1.98,IF(#REF!=7,5.91,IF(#REF!=10,1,3.95)))))</f>
        <v>#VALUE!</v>
      </c>
    </row>
    <row r="2056" spans="1:3" x14ac:dyDescent="0.2">
      <c r="A2056">
        <v>4</v>
      </c>
      <c r="B2056" t="e">
        <f>(0.07*(B587/800)+0.93)*(1-0.49*LN((B$3071/50)))*((0.86*(B$3073/90)+0.14))*(1/(B340/250))*IF(B747=1,(0.052*(B757/1020000)+0.26),1.25)*IF(B603=1,0.6,IF(B603=2,1.2,1))*(0.05*(B584/1.2)+0.95)*((0.9*(B1196/12))+0.1)</f>
        <v>#VALUE!</v>
      </c>
    </row>
    <row r="2057" spans="1:3" x14ac:dyDescent="0.2">
      <c r="A2057">
        <v>1</v>
      </c>
      <c r="B2057" t="e">
        <f>(1.07*(B587/800)^-0.7)*(0.98*((B600+B$3071)/(100))^-1.12+0.02)*(0.6*(B$3073/90)+0.4)*(0.03/(B340/250)+0.97)*(0.61*(B326/27)+0.39)*(0.99/B572+0.01)*IF(B747=1,0.92,1.03)*(0.61*(B403/3750)+0.39)*IF(B339=1,(0.066*(B397/220)+1.034),IF(B339=3,(0.09*(B396/20)+0.91),IF(B339=2,(0.36*(B395/385)+1.08))))*(0.11*(B584/1.2)+0.89)*(0.96*(B1196/12)+0.04)*((B1194/600)^-0.74)</f>
        <v>#VALUE!</v>
      </c>
      <c r="C2057">
        <v>2</v>
      </c>
    </row>
    <row r="2058" spans="1:3" x14ac:dyDescent="0.2">
      <c r="A2058">
        <v>2</v>
      </c>
      <c r="B2058" t="e">
        <f>(1.55*(B587/800)-0.4*(B587/800)^2-0.15)*(1-0.44*LN((B600+B$3071)/(100)))*(0.6*(B$3073/90)+0.4)*(0.1/(B340/250)+0.9)*(0.61*(B326/27)+0.39)*(0.99/B572+0.01)*IF(B747=1,0.92,1.03)*IF(B603=1,0.6,IF(B603=2,1.2,1))*(0.61*(B403/3750)+0.39)*IF(B339=1,(0.066*(B397/220)+1.034),IF(B339=3,(0.09*(B396/20)+0.91),IF(B339=2,(0.36*(B395/385)+1.08))))*(0.04*(B584/1.2)+0.96)*((0.97*(B1196/12))+0.03)*((B1194/600)^-0.74)</f>
        <v>#VALUE!</v>
      </c>
    </row>
    <row r="2059" spans="1:3" x14ac:dyDescent="0.2">
      <c r="A2059">
        <v>3</v>
      </c>
      <c r="B2059" t="e">
        <f>(0.07*(B587/800)+0.93)*(1-0.041*LN((B600+B$3071)/100))*(0.6*(B$3073/90)+0.4)*(0.1/(B340/250)+0.9)*(0.63*(B326/27)+0.37)*(1.1/B572+0.1)*IF(B747=1,0.95,1.02)*IF(B603=1,0.6,IF(B603=2,1.2,1))*(0.64*(B403/3750)+0.36)*(0.93*(B584/1.2)+0.07)*IF(B339=1,(0.066*(B397/220)+1.034),IF(B339=3,(0.09*(B396/20)+0.91),IF(B339=2,(0.36*(B395/385)+1.09))))*((B1194/600)^-0.82)*IF(#REF!=2,1,IF(#REF!=1,1.49,IF(#REF!=3,1.98,IF(#REF!=7,5.91,IF(#REF!=10,1,3.95)))))</f>
        <v>#VALUE!</v>
      </c>
    </row>
    <row r="2060" spans="1:3" x14ac:dyDescent="0.2">
      <c r="A2060">
        <v>4</v>
      </c>
      <c r="B2060" t="e">
        <f>(0.07*(B587/800)+0.93)*(1-0.52*LN((B$3071/50)))*(0.86*(B$3073/90)+0.14)*(1/(B340/250))*IF(B747=1,0.31,1.25)*IF(B603=1,0.6,IF(B603=2,1.2,1))*(0.05*(B584/1.2)+0.95)*((0.9*(B1196/12))+0.1)</f>
        <v>#VALUE!</v>
      </c>
    </row>
    <row r="2061" spans="1:3" x14ac:dyDescent="0.2">
      <c r="A2061">
        <v>1</v>
      </c>
      <c r="B2061" t="e">
        <f>(1.07*(B587/800)^-0.7)*(0.98*((B600+B$3071)/(100))^-1.12+0.02)*(0.99/B572+0.01)*(0.03/(B340/250)+0.97)*(0.61*(B326/27)+0.39)*(0.4/(B572/1)+0.6)*IF(B747=1,0.92,1.03)*(0.61*(B403/3750)+0.39)*IF(B339=1,(0.066*(B397/220)+1.034),IF(B339=3,(0.09*(B396/20)+0.91),IF(B339=2,(0.36*(B395/385)+1.08))))*(0.11*(B584/1.2)+0.89)*(0.96*(B1196/12)+0.04)*((B1194/600)^-0.74)*(0.47*(B1198/30)^2-2.07*(B1198/30)+2.6)</f>
        <v>#VALUE!</v>
      </c>
      <c r="C2061">
        <v>3</v>
      </c>
    </row>
    <row r="2062" spans="1:3" x14ac:dyDescent="0.2">
      <c r="A2062">
        <v>2</v>
      </c>
      <c r="B2062" t="e">
        <f>(0.94*(B587/800)^2-0.52*(B587/800)+0.58)*(((B600+B$3071)/(100))^-0.75)*(0.6*(B$3073/90)+0.4)*(0.03/(B340/250)+0.97)*(0.61*(B326/27)+0.39)*(0.99/B572+0.01)*IF(B747=1,0.92,1.03)*IF(B603=1,0.6,IF(B603=2,1.2,1))*(0.69*(B403/3750)+0.31)*IF(B339=1,(0.066*(B397/220)+1.034),IF(B339=3,(0.09*(B396/20)+0.91),IF(B339=2,(0.36*(B395/385)+1.08))))*(0.04*(B584/1.2)+0.96)*((0.97*(B1196/12))+0.03)*((B1194/600)^-0.74)*IF(B1198&gt;0,(1-0.98*LN(B1198/30)),1)</f>
        <v>#VALUE!</v>
      </c>
    </row>
    <row r="2063" spans="1:3" x14ac:dyDescent="0.2">
      <c r="A2063">
        <v>3</v>
      </c>
      <c r="B2063" t="e">
        <f>(0.18*EXP(1.59*(B587/800)))*((B600+B$3071)/100)^-0.96*(0.6*(B$3073/90)+0.4)*1*(0.63*(B326/27)+0.37)*(1.1/B572+0.1)*IF(B747=1,0.99,1)*IF(B603=1,0.6,IF(B603=2,1.2,1))*(0.68*(B403/3750)+0.32)*IF(B339=1,1.01,IF(B339=3,(0.09*(B396/20)+0.91),IF(B339=2,(0.39*(B395/385)+1.1))))*(0.93*(B584/1.2)+0.07)*((B1194/600)^-0.82)*IF(B1198&gt;0,(1-0.5*LN(B1198/30)),1)</f>
        <v>#VALUE!</v>
      </c>
    </row>
    <row r="2064" spans="1:3" x14ac:dyDescent="0.2">
      <c r="A2064">
        <v>4</v>
      </c>
      <c r="B2064" t="e">
        <f>(1.37*LN(B587/800)+1)*(1-0.88*LN((B$3071/50)))*(0.86*(B$3073/90)+0.14)*(0.05*(B326/27)+0.95)*(1/(B340/250))*IF(B747=1,(0.052*(B757/1020000)+0.26),1.25)*IF(B603=1,0.6,IF(B603=2,1.2,1))*(0.1*(B584/1.2)+0.9)*((1.01*(B1196/12))-0.01)*(1.78-0.78*(B1198/30))</f>
        <v>#VALUE!</v>
      </c>
    </row>
    <row r="2065" spans="1:3" x14ac:dyDescent="0.2">
      <c r="A2065">
        <v>1</v>
      </c>
      <c r="B2065" t="e">
        <f>(1.07*(B587/800)^-0.7)*(0.98*((B600+B$3071)/(100))^-1.12+0.02)*(0.6*(B$3073/90)+0.4)*(0.03/(B340/250)+0.97)*(0.61*(B326/27)+0.39)*(0.99/B572+0.01)*IF(B747=1,0.92,1.03)*(0.61*(B403/3750)+0.39)*IF(B339=1,(0.066*(B397/220)+1.034),IF(B339=3,(0.09*(B396/20)+0.91),IF(B339=2,(0.36*(B395/385)+1.08))))*(0.11*(B584/1.2)+0.89)*(0.96*(B1196/12)+0.04)*((B1194/600)^-0.74)</f>
        <v>#VALUE!</v>
      </c>
      <c r="C2065">
        <v>4</v>
      </c>
    </row>
    <row r="2066" spans="1:3" x14ac:dyDescent="0.2">
      <c r="A2066">
        <v>2</v>
      </c>
      <c r="B2066" t="e">
        <f>(1.55*(B587/800)-0.4*(B587/800)^2-0.15)*(1-0.44*LN((B600+B$3071)/(100)))*(0.6*(B$3073/90)+0.4)*(0.1/(B340/250)+0.9)*(0.61*(B326/27)+0.39)*(0.99/B572+0.01)*IF(B747=1,0.92,1.03)*IF(B603=1,0.6,IF(B603=2,1.2,1))*(0.61*(B403/3750)+0.39)*IF(B339=1,(0.066*(B397/220)+1.034),IF(B339=3,(0.09*(B396/20)+0.91),IF(B339=2,(0.36*(B395/385)+1.08))))*(0.04*(B584/1.2)+0.96)*(0.97*(B1196/12)+0.03)*((B1194/600)^-0.74)</f>
        <v>#VALUE!</v>
      </c>
    </row>
    <row r="2067" spans="1:3" x14ac:dyDescent="0.2">
      <c r="A2067">
        <v>3</v>
      </c>
      <c r="B2067" t="e">
        <f>(0.07*(B587/800)+0.93)*(1-0.041*LN((B600+B$3071)/100))*(0.6*(B$3073/90)+0.4)*(0.1/(B340/250)+0.9)*(0.63*(B326/27)+0.37)*(1.02/B572+0.02)*IF(B747=1,0.95,1.02)*IF(B603=1,0.6,IF(B603=2,1.2,1))*(0.64*(B403/3750)+0.36)*IF(B339=1,(0.066*(B397/220)+1.034),IF(B339=3,(0.09*(B396/20)+0.91),IF(B339=2,(0.36*(B395/385)+1.08))))*(0.93*(B584/1.2)+0.07)*((B1194/600)^-0.82)*IF(#REF!=2,1,IF(#REF!=1,1.49,IF(#REF!=3,1.98,IF(#REF!=7,5.91,IF(#REF!=10,3.16,3.95)))))</f>
        <v>#VALUE!</v>
      </c>
    </row>
    <row r="2068" spans="1:3" x14ac:dyDescent="0.2">
      <c r="A2068">
        <v>4</v>
      </c>
      <c r="B2068" t="e">
        <f>(0.86*(B587/800)+0.14)*(1-0.52*LN((B$3071/50)))*(0.86*(B$3073/90)+0.14)*(1/(B340/250))*IF(B747=1,0.95,1.03)*IF(B603=1,0.6,IF(B603=2,1.2,1))*(0.05*(B584/1.2)+0.95)*((0.9*(B1196/12))+0.1)</f>
        <v>#VALUE!</v>
      </c>
    </row>
    <row r="2069" spans="1:3" x14ac:dyDescent="0.2">
      <c r="A2069">
        <v>1</v>
      </c>
      <c r="B2069" t="e">
        <f>(2*(B587/800)^2 -1.94*(B587/800)+0.94)*(0.98*((B600+B$3071)/(100))^-1.12+0.02)*(0.6*(B$3073/90)+0.4)*(0.03/(B340/250)+0.97)*(0.61*(B326/27)+0.39)*(0.99/B572+0.01)*IF(B747=1,0.92,1.03)*IF(B603=1,0.36,IF(B603=2,1.42,1))*(0.61*(B403/3750)+0.39)*IF(B339=1,(0.066*(B397/220)+1.034),IF(B339=3,(0.09*(B396/20)+0.91),IF(B339=2,(0.36*(B395/385)+1.08))))*(0.11*(B584/1.2)+0.89)*(0.87*(B1196/12)+0.13)*((B1194/600)^-0.74)</f>
        <v>#VALUE!</v>
      </c>
      <c r="C2069">
        <v>5</v>
      </c>
    </row>
    <row r="2070" spans="1:3" x14ac:dyDescent="0.2">
      <c r="A2070">
        <v>2</v>
      </c>
      <c r="B2070" t="e">
        <f>(1.55*(B587/800)-0.4*(B587/800)^2-0.15)*(1-0.44*LN((B600+B$3071)/(100)))*(0.6*(B$3073/90)+0.4)*(0.1/(B340/250)+0.9)*(0.61*(B326/27)+0.39)*(0.99/B572+0.01)*IF(B747=1,0.92,1.03)*IF(B603=1,0.6,IF(B603=2,1.2,1))*(0.61*(B403/3750)+0.39)*IF(B339=1,(0.066*(B397/220)+1.034),IF(B339=3,(0.09*(B396/20)+0.91),IF(B339=2,(0.36*(B395/385)+1.08))))*(0.04*(B584/1.2)+0.96)*((0.97*(B1196/12))+0.03)*((B1194/600)^-0.74)</f>
        <v>#VALUE!</v>
      </c>
    </row>
    <row r="2071" spans="1:3" x14ac:dyDescent="0.2">
      <c r="A2071">
        <v>3</v>
      </c>
      <c r="B2071" t="e">
        <f>(0.07*(B587/800)+0.93)*(1-0.041*LN((B600+B$3071)/100))*(0.6*(B$3073/90)+0.4)*(0.1/(B340/250)+0.9)*(0.63*(B326/27)+0.37)*(1.02/B572+0.02)*IF(B747=1,0.95,1.02)*IF(B603=1,0.6,IF(B603=2,1.2,1))*(0.64*(B403/3750)+0.36)*IF(B339=1,(0.066*(B397/220)+1.034),IF(B339=3,(0.09*(B396/20)+0.91),IF(B339=2,(0.36*(B395/385)+1.08))))*(0.93*(B584/1.2)+0.07)*((B1194/600)^-0.76)</f>
        <v>#VALUE!</v>
      </c>
    </row>
    <row r="2072" spans="1:3" x14ac:dyDescent="0.2">
      <c r="A2072">
        <v>4</v>
      </c>
      <c r="B2072" t="e">
        <f>(0.86*(B587/800)-0.14)*(1-0.52*LN((B$3071/50)))*(0.86*(B$3073/90)+0.14)*(1/(B340/250))*IF(B747=1,(0.052*(B757/1020000)+0.26),1.25)*IF(B603=1,0.6,IF(B603=2,1.2,1))*(0.05*(B584/1.2)+0.95)*((0.9*(B1196/12))+0.1)</f>
        <v>#VALUE!</v>
      </c>
    </row>
    <row r="2073" spans="1:3" x14ac:dyDescent="0.2">
      <c r="A2073">
        <v>1</v>
      </c>
      <c r="B2073">
        <f>1</f>
        <v>1</v>
      </c>
      <c r="C2073">
        <v>6</v>
      </c>
    </row>
    <row r="2074" spans="1:3" x14ac:dyDescent="0.2">
      <c r="A2074">
        <v>2</v>
      </c>
      <c r="B2074">
        <f>1</f>
        <v>1</v>
      </c>
    </row>
    <row r="2075" spans="1:3" x14ac:dyDescent="0.2">
      <c r="A2075">
        <v>3</v>
      </c>
      <c r="B2075" t="e">
        <f>(0.45*(B587/800)+0.55)*(1-0.27*LN((B600+B$3071)/100))*(0.76*(B$3073/90)+0.24)*(0.66/(B340/250)+0.34)*(0.35*(B326/27)+0.65)*(0.56/B572+0.44)*IF(B747=1,0.66,1.12)*(0.35*(B403/3750)+0.65)*IF(B339=1,(0.035*(B397/220)+0.97),IF(B339=3,(0.09*(B396/20)+0.91),IF(B339=2,(0.2*(B395/385)+1.05))))*(1.04*(B584/1.2)-0.04)*(0.95*((B1196/12))+0.05)*((B1194/600)^-0.42)*IF(#REF!=2,1,IF(#REF!=1,1.49,IF(#REF!=3,1.98,IF(#REF!=7,5.91,IF(#REF!=10,1.43,3.95)))))</f>
        <v>#VALUE!</v>
      </c>
    </row>
    <row r="2076" spans="1:3" x14ac:dyDescent="0.2">
      <c r="A2076">
        <v>4</v>
      </c>
      <c r="B2076" t="e">
        <f>(0.86*(B587/800)+0.14)*(1-0.52*LN((B$3071)/100))*(0.86*(B$3073/90)+0.14)*(1/(B340/250))*IF(B747=1,(0.052*(B757/1020000)+0.26),1.25)*IF(B603=1,0.36,IF(B603=2,1.42,1))*(0.05*(B584/1.2)+0.95)*((0.9*(B1196/12))+0.1)</f>
        <v>#VALUE!</v>
      </c>
    </row>
    <row r="2077" spans="1:3" x14ac:dyDescent="0.2">
      <c r="A2077">
        <v>1</v>
      </c>
      <c r="B2077" t="e">
        <f>(1.07*(B587/800)^1.98-0.07)*(0.98*((B600+B$3071)/(100))^-1.12+0.02)*(0.6*(B$3073/90)+0.4)*(0.03/(B340/250)+0.97)*(0.61*(B326/27)+0.39)*(0.99/B572+0.01)*IF(B747=1,0.92,1.03)*(0.61*(B403/3750)+0.39)*IF(B339=1,(0.066*(B397/220)+1.034),IF(B339=3,(0.09*(B396/20)+0.91),IF(B339=2,(0.36*(B395/385)+1.08))))*(0.11*(B584/1.2)+0.89)*(0.96*(B1196/12)+0.04)*((B1194/600)^-0.74)</f>
        <v>#VALUE!</v>
      </c>
      <c r="C2077">
        <v>7</v>
      </c>
    </row>
    <row r="2078" spans="1:3" x14ac:dyDescent="0.2">
      <c r="A2078">
        <v>2</v>
      </c>
      <c r="B2078" t="e">
        <f>(1.55*(B587/800)-0.4*(B587/800)^2-0.15)*(1-0.44*LN((B600+B$3071)/(100)))*(0.6*(B$3073/90)+0.4)*(0.1/(B340/250)+0.9)*(0.61*(B326/27)+0.39)*(0.99/B572+0.01)*IF(B747=1,0.92,1.03)*IF(B603=1,0.6,IF(B603=2,1.2,1))*(0.61*(B403/3750)+0.39)*IF(B339=1,(0.066*(B397/220)+1.034),IF(B339=3,(0.09*(B396/20)+0.91),IF(B339=2,(0.36*(B395/385)+1.08))))*(0.04*(B584/1.2)+0.96)*((0.97*(B1196/12))+0.03)*((B1194/600)^-0.74)</f>
        <v>#VALUE!</v>
      </c>
    </row>
    <row r="2079" spans="1:3" x14ac:dyDescent="0.2">
      <c r="A2079">
        <v>3</v>
      </c>
      <c r="B2079" t="e">
        <f>(0.07*(B587/800)+0.93)*(1-0.041*LN((B600+B$3071)/100))*(0.6*(B$3073/90)+0.4)*(0.1/(B340/250)+0.9)*(0.63*(B326/27)+0.37)*(1.02/B572-0.02)*IF(B747=1,0.99,1)*IF(B603=1,0.6,IF(B603=2,1.2,1))*(0.64*(B403/3750)+0.36)*IF(B339=1,(0.066*(B397/220)+1.034),IF(B339=3,(0.09*(B396/20)+0.91),IF(B339=2,(0.36*(B395/385)+1.08))))*(0.93*(B584/1.2)+0.07)*IF(B747=1,0.95,1.02)*((B1194/600)^-0.74)*IF(#REF!=2,1,IF(#REF!=1,1.49,IF(#REF!=3,1.98,IF(#REF!=7,5.91,IF(#REF!=10,1,3.95)))))</f>
        <v>#VALUE!</v>
      </c>
    </row>
    <row r="2080" spans="1:3" x14ac:dyDescent="0.2">
      <c r="A2080">
        <v>4</v>
      </c>
      <c r="B2080" t="e">
        <f>(0.86*(B587/800)+0.15)*(1-0.52*LN((B$3071/50)))*(0.86*(B$3073/90)+0.14)*(1/(B340/250))*IF(B603=1,0.6,IF(B603=2,1.2,1))*(0.05*(B584/1.2)+0.95)*IF(B747=1,(0.052*(B757/1020000)+0.26),1.25)*((0.9*(B1196/12))+0.1)</f>
        <v>#VALUE!</v>
      </c>
    </row>
    <row r="2081" spans="1:3" x14ac:dyDescent="0.2">
      <c r="A2081">
        <v>1</v>
      </c>
      <c r="B2081" t="e">
        <f>(1.38*LN(B587/800)+1)*(1-0.88*LN((B600+B$3071)/100))*(0.86*(B$3073/90)+0.14)*(1/(B340/250))*IF(B747=1,0.052*(B757/1020000)+0.26,1.25)*IF(B603=1,0.6,IF(B603=2,1.2,1))*(0.09*(B584/1.2)+0.91)*(0.9*(B1196/12)+0.1)*((B1194/600)^-0.74)*(1.79-0.79*(B1198/30))</f>
        <v>#VALUE!</v>
      </c>
      <c r="C2081">
        <v>8</v>
      </c>
    </row>
    <row r="2082" spans="1:3" x14ac:dyDescent="0.2">
      <c r="A2082">
        <v>2</v>
      </c>
      <c r="B2082" t="e">
        <f>(0.94*((B587/800)^2-0.52*(B587/800)+0.58))*(((B600+B$3071)/(100))^-0.75)*(0.6*(B$3073/90)+0.4)*(0.03/(B340/250)+0.97)*(0.61*(B326/27)+0.39)*(0.99/B572+0.01)*IF(B747=1,0.92,1.03)*IF(B603=1,0.6,IF(B603=2,1.2,1))*(0.61*(B403/3750)+0.39)*IF(B339=1,(0.066*(B397/220)+1.034),IF(B339=3,(0.09*(B396/20)+0.91),IF(B339=2,(0.36*(B395/385)+1.08))))*(0.07*(B584/1.2)+0.93)*((0.97*(B1196/12))+0.03)*((B1194/600)^-0.74)*IF(B1198&gt;0,(1-1.14*LN(B1198/30)),1)</f>
        <v>#VALUE!</v>
      </c>
    </row>
    <row r="2083" spans="1:3" x14ac:dyDescent="0.2">
      <c r="A2083">
        <v>3</v>
      </c>
      <c r="B2083" t="e">
        <f>(0.07*(B587/800)+0.93)*(((B600+B$3071)/100)^-0.05)*(0.6*(B$3073/90)+0.4)*(0.1/(B340/250)+0.9)*(0.65*(B326/27)+0.35)*(1.05/B572-0.05)*IF(B747=1,0.96,1.01)*IF(B603=1,0.6,IF(B603=2,1.2,1))*(0.65*(B403/3750)+0.35)*IF(B339=1,(0.063*(B397/220)+0.94),IF(B339=3,(0.09*(B396/20)+0.91),IF(B339=2,(0.39*(B395/385)+1.1))))*(0.95*(B584/1.2)+0.05)*((B1194/600)^-0.78)*(1.044-0.044*(B1198/30))*IF(#REF!=2,1,IF(#REF!=1,1.49,IF(#REF!=3,1.98,IF(#REF!=7,5.91,IF(#REF!=10,1,3.95)))))</f>
        <v>#VALUE!</v>
      </c>
    </row>
    <row r="2084" spans="1:3" x14ac:dyDescent="0.2">
      <c r="A2084">
        <v>4</v>
      </c>
      <c r="B2084" t="e">
        <f>(1.37*LN(B587/800)+1)*(1-0.88*LN(B$3071/50))*1*(1/(B340/250))*IF(B747=1,0.052*(B757/1020000)+0.26,1.25)*IF(B603=1,0.6,IF(B603=2,1.2,1))*(0.1*(B584/1.2)+0.9)*((0.9*(B1196/12))+0.1)*(1.78-0.78*(B1198/30))</f>
        <v>#VALUE!</v>
      </c>
    </row>
    <row r="2085" spans="1:3" x14ac:dyDescent="0.2">
      <c r="A2085">
        <v>1</v>
      </c>
      <c r="B2085" t="e">
        <f>(0.79*(B587/800)+0.21)*(1-0.48*LN((B600+B$3071)/100))*(0.6*(B$3073/90)+0.4)*(0.1/(B340/250)+0.9)*(0.61*(B326/27)+0.39)*(0.99/B572+0.01)*IF(B747=1,0.92,1.03)*IF(B339=1,(0.066*(B397/220)+1.034),IF(B339=3,(0.09*(B396/20)+0.91),IF(B339=2,(0.36*(B395/385)+1.08))))*(0.05*(B584/1.2)+0.95)*(0.61*(B403/3750)+0.39)*((0.97*(B1196/12))+0.03)*((B1194/600)^-0.74)</f>
        <v>#VALUE!</v>
      </c>
      <c r="C2085">
        <v>9</v>
      </c>
    </row>
    <row r="2086" spans="1:3" x14ac:dyDescent="0.2">
      <c r="A2086">
        <v>2</v>
      </c>
      <c r="B2086" t="e">
        <f>(0.93*(B587/800)+0.07)*(1-0.561*LN((B600+B$3071)/100))*(0.6*(B$3073/90)+0.4)*(0.07/(B340/250)+0.93)*(0.61*(B326/27)+0.39)*(0.99/B572+0.01)*IF(B747=1,0.92,1.03)*IF(B603=1,0.6,IF(B603=2,1.2,1))*(0.61*(B403/3750)+0.39)*IF(B339=1,(0.066*(B397/220)+1.034),IF(B339=3,(0.09*(B396/20)+0.91),IF(B339=2,(0.36*(B395/385)+1.08))))*(0.06*(B584/1.2)+0.94)*(IF(B1199=2,1.43,1))*(0.97*(B1196/12)+0.03)*((B1194/600)^-0.82)</f>
        <v>#VALUE!</v>
      </c>
    </row>
    <row r="2087" spans="1:3" x14ac:dyDescent="0.2">
      <c r="A2087">
        <v>3</v>
      </c>
      <c r="B2087" t="e">
        <f>(0.07*(B587/800)+0.93)*(1-0.04*LN((B600+B$3071)/100))*1*1*1*1*1*(0.93*(B584/1.2)+0.07)*(0.63*(B326/27)+0.37)*(0.64*(B403/3750)+0.36)*IF(B339=1,(0.066*(B397/220)+1.034),IF(B339=3,(0.09*(B396/20)+0.91),IF(B339=2,(0.36*(B395/385)+1.09))))*IF(B603=1,0.6,IF(B603=2,1.2,1))*IF(B747=1,0.95,1.02)*(1.02/B572-0.02)*IF(#REF!=2,1,IF(#REF!=1,1.49,IF(#REF!=3,1.98,IF(#REF!=7,5.91,IF(#REF!=10,1,3.95)))))*((B1194/600)^-0.76)</f>
        <v>#VALUE!</v>
      </c>
    </row>
    <row r="2088" spans="1:3" x14ac:dyDescent="0.2">
      <c r="A2088">
        <v>4</v>
      </c>
      <c r="B2088" t="e">
        <f>(0.79*(B587/800)+0.21)*(1-0.48*LN(B$3071/50))*1*1*1*(0.05*(B584/1.2)+0.95)*IF(B603=1,0.6,IF(B603=2,1.2,1))*IF(B747=1,0.052*(B757/1020000)+0.26,1.25)*((0.9*(B1196/12))+0.1)</f>
        <v>#VALUE!</v>
      </c>
    </row>
    <row r="2089" spans="1:3" x14ac:dyDescent="0.2">
      <c r="A2089">
        <v>1</v>
      </c>
      <c r="B2089" t="e">
        <f>(1.38*LN(B587/800)+1)*(1-0.88*LN((B600+B$3071)/100))*(0.86*(B$3073/90)+0.14)*(1/(B340/250))*IF(B747=1,0.052*(B757/1020000)+0.26,1.25)*IF(B603=1,0.6,IF(B603=2,1.2,1))*(0.09*(B584/1.2)+0.91)*((0.9*(B1196/12))+0.1)*IF(B1198&gt;0,(1.79-0.79*LN(B1198/30)),1)</f>
        <v>#VALUE!</v>
      </c>
      <c r="C2089">
        <v>10</v>
      </c>
    </row>
    <row r="2090" spans="1:3" x14ac:dyDescent="0.2">
      <c r="A2090">
        <v>2</v>
      </c>
      <c r="B2090" t="e">
        <f>(0.94*(B587/800)^2-0.52*(B587/800)+0.58)*(((B600+B$3071)/(100))^-0.75)*(0.6*(B$3073/90)+0.4)*(0.03/(B340/250)+0.97)*(0.61*(B326/27)+0.39)*(0.99/B572+0.01)*IF(B747=1,0.92,1.03)*IF(B603=1,0.6,IF(B603=2,1.2,1))*(0.61*(B403/3750)+0.39)*IF(B339=1,(0.066*(B397/220)+1.034),IF(B339=3,(0.09*(B396/20)+0.91),IF(B339=2,(0.36*(B395/385)+1.08))))*(0.07*(B584/1.2)+0.93)*((0.97*(B1196/12))+0.03)*((B1194/600)^-0.74)*IF(B1198&gt;0,(1-1.14*LN(B1198/30)),1)</f>
        <v>#VALUE!</v>
      </c>
    </row>
    <row r="2091" spans="1:3" x14ac:dyDescent="0.2">
      <c r="A2091">
        <v>3</v>
      </c>
      <c r="B2091" t="e">
        <f>(0.078*LN(B587/800)+1)*(((B600+B$3071)/(100))^-0.05)*1*(0.6*(B$3073/90)+0.4)*(0.1/(B340/250)+0.9)*(0.65*(B326/27)+0.35)*(1.05/B572-0.05)*IF(B603=1,0.6,IF(B603=2,1.2,1))*(0.65*(B403/3750)+0.35)*IF(B339=1,(0.066*(B397/220)+1.034),IF(B339=3,(0.09*(B396/20)+0.91),IF(B339=2,(0.39*(B395/385)+1.1))))*(0.95*(B584/1.2)+0.05)*IF(B747=1,0.96,1.01)*((B1194/600)^-0.42)*(1.044-0.044*(B1198/30))*IF(#REF!=2,1,IF(#REF!=1,1.49,IF(#REF!=3,1.98,IF(#REF!=7,5.91,IF(#REF!=10,1,3.95)))))</f>
        <v>#VALUE!</v>
      </c>
    </row>
    <row r="2092" spans="1:3" x14ac:dyDescent="0.2">
      <c r="A2092">
        <v>4</v>
      </c>
      <c r="B2092" t="e">
        <f>(1.37*LN(B587/800)+1)*(1-0.88*LN(B$3071/50))*1*(0.87*(B$3073/90)+0.13)*(1/(B340/250))*IF(B747=1,0.31,1.25)*IF(B603=1,0.6,IF(B603=2,1.2,1))*(0.1*(B584/1.2)+0.9)*((0.97*(B1196/12))+0.03)*(1.78-0.78*(B1198/30))</f>
        <v>#VALUE!</v>
      </c>
    </row>
    <row r="2093" spans="1:3" x14ac:dyDescent="0.2">
      <c r="A2093">
        <v>1</v>
      </c>
      <c r="B2093" t="e">
        <f>(0.896*(B587/800)+0.11)*(1-0.521*LN((B600+B$3071)/100))*(0.86*(B$3073/90)+0.14)*(1/(B340/250))*IF(B747=1,0.31,1.25)*IF(B603=1,0.6,IF(B603=2,1.2,1))*(0.05*(B584/1.2)+0.95)*((0.9*(B1196/12))+0.1)</f>
        <v>#VALUE!</v>
      </c>
      <c r="C2093">
        <v>11</v>
      </c>
    </row>
    <row r="2094" spans="1:3" x14ac:dyDescent="0.2">
      <c r="A2094">
        <v>2</v>
      </c>
      <c r="B2094" t="e">
        <f>(1.55*(B587/800)-0.4*(B587/800)^2-0.15)*(1-0.44*LN((B600+B$3071)/(100)))*(0.6*(B$3073/90)+0.4)*(0.1/(B340/250)+0.9)*(0.61*(B326/27)+0.39)*(0.99/B572+0.01)*IF(B747=1,0.93,1)*IF(B603=1,0.6,IF(B603=2,1.2,1))*(0.61*(B403/3750)+0.39)*IF(B339=1,(0.066*(B397/220)+1.034),IF(B339=3,(0.09*(B396/20)+0.91),IF(B339=2,(0.36*(B395/385)+1.08))))*(0.04*(B584/1.2)+0.96)*(0.97*(B1196/12)+0.03)*((B1194/600)^-0.74)</f>
        <v>#VALUE!</v>
      </c>
    </row>
    <row r="2095" spans="1:3" x14ac:dyDescent="0.2">
      <c r="A2095">
        <v>3</v>
      </c>
      <c r="B2095" t="e">
        <f>(0.07*(B587/800)+0.93)*(1-0.44*LN((B600+B$3071)/(100)))*(0.6*(B$3073/90)+0.4)*(0.1/(B340/250)+0.9)*(0.63*(B326/27)+0.37)*(1.02/B572-0.02)*IF(B747=1,0.92,1.03)*IF(B603=1,0.6,IF(B603=2,1.2,1))*(0.64*(B403/3750)+0.36)*IF(B339=1,(0.066*(B397/220)+1.034),IF(B339=3,(0.09*(B396/20)+0.91),IF(B339=2,(0.39*(B395/385)+1.1))))*(0.93*(B584/1.2)+0.07)*((B1194/600)^-0.76)*IF(#REF!=2,1,IF(#REF!=1,1.49,IF(#REF!=3,1.98,IF(#REF!=7,5.91,IF(#REF!=10,3.16,3.95)))))</f>
        <v>#VALUE!</v>
      </c>
    </row>
    <row r="2096" spans="1:3" x14ac:dyDescent="0.2">
      <c r="A2096">
        <v>4</v>
      </c>
      <c r="B2096" t="e">
        <f>(0.86*(B587/800)+0.14)*(1-0.52*LN(B$3071/50))*(0.87*(B$3073/90)+0.13)*(1/(B340/250))*IF(B747=1,0.052*(B757/1020000)+0.26,1.25)*IF(B603=1,0.6,IF(B603=2,1.2,1))*(0.05*(B584/1.2)+0.95)*((0.9*(B1196/12))+0.1)</f>
        <v>#VALUE!</v>
      </c>
    </row>
    <row r="2097" spans="1:3" x14ac:dyDescent="0.2">
      <c r="A2097">
        <v>1</v>
      </c>
      <c r="B2097">
        <f>1</f>
        <v>1</v>
      </c>
      <c r="C2097">
        <v>12</v>
      </c>
    </row>
    <row r="2098" spans="1:3" x14ac:dyDescent="0.2">
      <c r="A2098">
        <v>2</v>
      </c>
      <c r="B2098">
        <f>1</f>
        <v>1</v>
      </c>
    </row>
    <row r="2099" spans="1:3" x14ac:dyDescent="0.2">
      <c r="A2099">
        <v>3</v>
      </c>
      <c r="B2099" t="e">
        <f>(0.45*(B587/800)+0.55)*(1-0.271*LN((B600+B$3071)/(100)))*(0.76*(B$3073/90)+0.24)*(0.66/(B340/250)+0.34)*(0.35*(B326/27)+0.65)*(0.56/B572+0.44)*IF(B747=1,0.66,1.12)*(0.35*(B403/3750)+0.65)*IF(B339=1,(0.035*(B397/220)+0.97),IF(B339=3,(0.06*(B396/20)+0.94),IF(B339=2,(0.2*(B395/385)+1.05))))*(1.04*(B584/1.2)-0.04)*((0.95*(B1196/12))+0.05)*((B1194/600)^-0.42)*IF(#REF!=2,1,IF(#REF!=1,1.49,IF(#REF!=3,1.98,IF(#REF!=7,5.91,IF(#REF!=10,1,3.95)))))</f>
        <v>#VALUE!</v>
      </c>
    </row>
    <row r="2100" spans="1:3" x14ac:dyDescent="0.2">
      <c r="A2100">
        <v>4</v>
      </c>
      <c r="B2100" t="e">
        <f>(0.86*(B587/800)+0.14)*(1-0.521*LN(B$3071/50))*(0.86*(B$3073/90)+0.14)*(1/(B340/250))*IF(B747=1,0.052*(B757/1020000)+0.26,1.25)*IF(B603=1,0.35,IF(B603=2,1.42,1))*(0.05*(B584/1.2)+0.95)*IF(B603=1,0.6,IF(B603=2,1.2,1))</f>
        <v>#VALUE!</v>
      </c>
    </row>
    <row r="2101" spans="1:3" x14ac:dyDescent="0.2">
      <c r="A2101">
        <v>1</v>
      </c>
      <c r="B2101">
        <f>1</f>
        <v>1</v>
      </c>
      <c r="C2101">
        <v>13</v>
      </c>
    </row>
    <row r="2102" spans="1:3" x14ac:dyDescent="0.2">
      <c r="A2102">
        <v>2</v>
      </c>
      <c r="B2102">
        <v>1</v>
      </c>
    </row>
    <row r="2103" spans="1:3" x14ac:dyDescent="0.2">
      <c r="A2103">
        <v>3</v>
      </c>
      <c r="B2103" t="e">
        <f>(0.45*(B587/800)+0.55)*(1-0.271*LN((B600+B$3071)/(100)))*(0.76*(B$3073/90)+0.24)*(0.68/(B340/250)+0.32)*(0.56/B572+0.44)*IF(B747=1,0.66,1.05)*(0.35*(B403/3750)+0.65)*IF(B339=1,(0.035*(B397/220)+0.97),IF(B339=3,(0.06*(B396/20)+0.94),IF(B339=2,(0.2*(B395/385)+1.05))))*(1.04*(B584/1.2)-0.04)*(0.35*(B326/27)+0.65)*(0.95*((B1196/12))+0.05)*((B1194/600)^-0.42)*IF(#REF!=2,1,IF(#REF!=1,1.49,IF(#REF!=3,1.98,IF(#REF!=7,5.91,IF(#REF!=10,1,3.95)))))</f>
        <v>#VALUE!</v>
      </c>
    </row>
    <row r="2104" spans="1:3" x14ac:dyDescent="0.2">
      <c r="A2104">
        <v>4</v>
      </c>
      <c r="B2104" t="e">
        <f>(1.37*LN(B587/800)+1)*(1-0.88*LN(B$3071/50))*(0.87*(B$3073/90)+0.13)*(1/(B340/250))*IF(B747=1,0.052*(B757/1020000)+0.26,1.25)*IF(B603=1,0.367,IF(B603=2,1.44,1))*(0.1*(B584/1.2)+0.9)*IF(B603=1,0.6,IF(B603=2,1.2,1))*(0.06*(B1194/600)+0.94)*(1.78-0.78*(B1198/30))</f>
        <v>#VALUE!</v>
      </c>
    </row>
    <row r="2105" spans="1:3" x14ac:dyDescent="0.2">
      <c r="A2105">
        <v>1</v>
      </c>
      <c r="B2105">
        <f>1</f>
        <v>1</v>
      </c>
      <c r="C2105">
        <v>14</v>
      </c>
    </row>
    <row r="2106" spans="1:3" x14ac:dyDescent="0.2">
      <c r="A2106">
        <v>2</v>
      </c>
      <c r="B2106">
        <f>1</f>
        <v>1</v>
      </c>
    </row>
    <row r="2107" spans="1:3" x14ac:dyDescent="0.2">
      <c r="A2107">
        <v>3</v>
      </c>
      <c r="B2107" t="e">
        <f>(0.45*(B587/800)+0.55)*(1-0.271*LN((B600+B$3071)/(100)))*(0.76*(B$3073/90)+0.24)*(0.66/(B340/250)+0.34)*(0.35*(B326/27)+0.65)*(0.56/B572+0.44)*IF(B747=1,0.66,1.12)*(0.35*(B403/3750)+0.65)*IF(B339=1,(0.035*(B397/220)+0.97),IF(B339=3,(0.06*(B396/20)+0.94),IF(B339=2,(0.2*(B395/385)+1.05))))*(1.04*(B584/1.2)-0.04)*(0.95*((B1196/12))+0.05)*((B1194/600)^-0.42)*IF(#REF!=2,1,IF(#REF!=1,1.49,IF(#REF!=3,1.98,IF(#REF!=7,5.91,IF(#REF!=10,1.43,3.95)))))</f>
        <v>#VALUE!</v>
      </c>
    </row>
    <row r="2108" spans="1:3" x14ac:dyDescent="0.2">
      <c r="A2108">
        <v>4</v>
      </c>
      <c r="B2108" t="e">
        <f>(0.79*(B587/800)+0.21)*(1-0.48*LN(B$3071/50))*(0.86*(B$3073/90)+0.14)*(1/(B340/250))*(0.61*(B326/27)+0.39)*IF(B747=1,0.92,1.03)*(0.05*(B584/1.2)+0.95)*IF(B339=1,(0.066*(B397/220)+1.034),IF(B339=3,(0.09*(B396/20)+0.91),IF(B339=2,(0.36*(B395/385)+1.08))))*(0.61*(B403/3750)+0.39)*(0.98/B572+0.02)*((0.9*(B1196/12))+0.1)*((B1194/600)^-0.73)*(IF(B1199=2,1.43,1))</f>
        <v>#VALUE!</v>
      </c>
    </row>
    <row r="2109" spans="1:3" x14ac:dyDescent="0.2">
      <c r="A2109">
        <v>1</v>
      </c>
      <c r="B2109">
        <f>1</f>
        <v>1</v>
      </c>
      <c r="C2109">
        <v>15</v>
      </c>
    </row>
    <row r="2110" spans="1:3" x14ac:dyDescent="0.2">
      <c r="A2110">
        <v>2</v>
      </c>
      <c r="B2110">
        <f>1</f>
        <v>1</v>
      </c>
    </row>
    <row r="2111" spans="1:3" x14ac:dyDescent="0.2">
      <c r="A2111">
        <v>3</v>
      </c>
      <c r="B2111" t="e">
        <f>(0.45*(B587/800)+0.55)*(1-0.271*LN((B600+B$3071)/(100)))*(0.76*(B$3073/90)+0.24)*(0.66/(B340/250)+0.34)*(0.35*(B326/27)+0.65)*(0.56/B572+0.44)*IF(B747=1,0.66,1.12)*IF(B339=1,(0.066*(B397/220)+1.034),IF(B339=3,(0.06*(B396/20)+0.94),IF(B339=2,(0.2*(B395/385)+1.05))))*(1.04*(B584/1.2)-0.04)*(0.35*(B403/3750)+0.65)*(0.95*((B1196/12))+0.05)*((B1194/600)^-0.42)*IF(#REF!=2,1,IF(#REF!=1,1.49,IF(#REF!=3,1.98,IF(#REF!=7,5.91,IF(#REF!=10,1,3.95)))))</f>
        <v>#VALUE!</v>
      </c>
    </row>
    <row r="2112" spans="1:3" x14ac:dyDescent="0.2">
      <c r="A2112">
        <v>4</v>
      </c>
      <c r="B2112" t="e">
        <f>(0.45*(B587/800)+0.55)*(1-0.521*LN(B$3071/50))*(0.86*(B$3073/90)+0.14)*(1/(B340/250))*IF(B747=1,0.052*(B757/1020000)+0.26,1.25)*IF(B603=1,0.6,IF(B603=2,1.2,1))*(0.05*(B584/1.2)+0.95)*((0.9*(B1196/12))+0.1)</f>
        <v>#VALUE!</v>
      </c>
    </row>
    <row r="2113" spans="1:3" x14ac:dyDescent="0.2">
      <c r="A2113">
        <v>1</v>
      </c>
      <c r="B2113" t="e">
        <f>(0.15*EXP(1.8*B587/800))*(0.98*((B600+B$3071)/(100))^-1.12+0.02)*1*(0.6*(B$3073/90)+0.4)*(0.03/(B340/250)+0.97)*(0.61*(B326/27)+0.39)*(0.99/B572+0.01)*IF(B747=1,0.92,1.03)*(0.61*(B403/3750)+0.39)*IF(B339=1,(0.066*(B397/220)+1.034),IF(B339=3,(0.09*(B396/20)+0.91),IF(B339=2,(0.36*(B395/385)+1.08))))*(0.11*(B584/1.2)+0.89)*(0.96*((B1196/12))+0.04)*((B1194/600)^-0.74)</f>
        <v>#VALUE!</v>
      </c>
      <c r="C2113">
        <v>16</v>
      </c>
    </row>
    <row r="2114" spans="1:3" x14ac:dyDescent="0.2">
      <c r="A2114">
        <v>2</v>
      </c>
      <c r="B2114" t="e">
        <f>(1.55*(B587/800)-0.4*(B587/800)^2-0.15)*(1-0.44*LN((B600+B$3071)/(100)))*1*(0.6*(B$3073/90)+0.4)*(0.1/(B340/250)+0.9)*(0.61*(B326/27)+0.39)*(0.99/B572+0.01)*IF(B747=1,0.92,1.03)*(0.61*(B403/3750)+0.39)*IF(B339=1,(0.066*(B397/220)+1.034),IF(B339=3,(0.09*(B396/20)+0.91),IF(B339=2,(0.36*(B395/385)+1.08))))*(0.04*(B584/1.2)+0.96)*(0.97*((B1196/12))+0.03)*((B1194/600)^-0.74)</f>
        <v>#VALUE!</v>
      </c>
    </row>
    <row r="2115" spans="1:3" x14ac:dyDescent="0.2">
      <c r="A2115">
        <v>3</v>
      </c>
      <c r="B2115" t="e">
        <f>(0.45*(B587/800)+0.55)*(1-0.27*LN((B600+B$3071)/(100)))*(0.6*(B2389/90)+0.4)*(0.1/(B340/250)+0.9)*(0.35*(B326/27)+0.65)*(0.56/B572+0.44)*IF(B747=1,0.66,1.12)*(0.35*(B403/3750)+0.65)*IF(B339=1,(0.035*(B397/220)+0.97),IF(B339=3,(0.06*(B396/20)+0.94),IF(B339=2,(0.2*(B395/385)+1.05))))*(1.04*(B584/1.2)-0.04)*(0.95*((B1196/12))+0.05)*((B1194/600)^-0.42)*IF(#REF!=2,1,IF(#REF!=1,1.49,IF(#REF!=3,1.98,IF(#REF!=7,5.91,IF(#REF!=10,3.16,3.95)))))</f>
        <v>#VALUE!</v>
      </c>
    </row>
    <row r="2116" spans="1:3" x14ac:dyDescent="0.2">
      <c r="A2116">
        <v>4</v>
      </c>
      <c r="B2116" t="e">
        <f>(0.86*(B587/800)+0.14)*(1-0.52*LN(B$3071/50))*(0.86*(B$3073/90)+0.14)*(1/(B340/250))*IF(B747=1,0.052*(B757/1020000)+0.26,1.25)*IF(B603=1,0.6,IF(B603=2,1.2,1))*(0.05*(B584/1.2)+0.95)*((0.9*(B1196/12))+0.1)</f>
        <v>#VALUE!</v>
      </c>
    </row>
    <row r="2117" spans="1:3" x14ac:dyDescent="0.2">
      <c r="A2117">
        <v>1</v>
      </c>
      <c r="B2117" t="e">
        <f>(0.15*EXP(1.8*B587/800))*(0.98*((B600+B$3071)/(100))^-1.12+0.02)*(0.6*(B$3073/90)+0.4)*(0.03/(B340/250)+0.97)*(0.61*(B326/27)+0.39)*(0.99/B572+0.01)*IF(B747=1,0.92,1.03)*(0.61*(B403/3750)+0.39)*IF(B339=1,(0.066*(B397/220)+1.034),IF(B339=3,(0.09*(B396/20)+0.91),IF(B339=2,(0.36*(B395/385)+1.08))))*(0.11*(B584/1.2)+0.89)*(0.96*(B1196/12)+0.04)*((B1194/600)^-0.74)</f>
        <v>#VALUE!</v>
      </c>
      <c r="C2117">
        <v>17</v>
      </c>
    </row>
    <row r="2118" spans="1:3" x14ac:dyDescent="0.2">
      <c r="A2118">
        <v>2</v>
      </c>
      <c r="B2118" t="e">
        <f>(1.55*(B587/800)-0.4*(B587/800)^2-0.15)*(1-0.44*LN((B600+B$3071)/(100)))*(0.6*(B$3073/90)+0.4)*(0.1/(B340/250)+0.9)*(0.61*(B326/27)+0.39)*(0.99/B572+0.01)*IF(B747=1,0.92,1.03)*IF(B603=1,0.58,IF(B603=2,1.22,1))*(0.61*(B403/3750)+0.39)*IF(B339=1,(0.066*(B397/220)+1.034),IF(B339=3,(0.09*(B396/20)+0.91),IF(B339=2,(0.36*(B395/385)+1.08))))*(0.04*(B584/1.2)+0.96)*((0.97*(B1196/12))+0.03)*((B1194/600)^-0.74)</f>
        <v>#VALUE!</v>
      </c>
    </row>
    <row r="2119" spans="1:3" x14ac:dyDescent="0.2">
      <c r="A2119">
        <v>3</v>
      </c>
      <c r="B2119" t="e">
        <f>(1.34*(B587/800)-0.34*(B587/800)^2)*(1-0.38*LN((B600+B$3071)/(100)))*(0.6*(B$3073/90)+0.4)*(0.002/(B340/250)+0.998)*(0.68*(B326/27)+0.32)*(1.02/B572-0.02)*IF(B747=1,0.99,1.03)*IF(B603=1,0.6,IF(B603=2,1.2,1))*(0.68*(B403/3750)+0.32)*IF(B339=1,(0.066*(B397/220)+0.934),IF(B339=3,(0.09*(B396/20)+0.91),IF(B339=2,(0.39*(B395/385)+1.1))))*(0.17*(B584/1.2)+0.83)*((B1194/600)^-0.82)*IF(#REF!=2,1,IF(#REF!=1,1.49,IF(#REF!=3,1.98,IF(#REF!=7,5.91,IF(#REF!=10,1.29,3.95)))))</f>
        <v>#VALUE!</v>
      </c>
    </row>
    <row r="2120" spans="1:3" x14ac:dyDescent="0.2">
      <c r="A2120">
        <v>4</v>
      </c>
      <c r="B2120" t="e">
        <f>(0.86*(B587/800)+0.14)*(1-0.52*LN(B$3071/50))*1*(1/(B340/250))*IF(B747=1,0.052*(B757/1020000)+0.26,1.25)*IF(B603=1,0.6,IF(B603=2,1.2,1))*(0.05*(B584/1.2)+0.95)*((0.9*(B1196/12))+0.1)</f>
        <v>#VALUE!</v>
      </c>
    </row>
    <row r="2121" spans="1:3" x14ac:dyDescent="0.2">
      <c r="A2121">
        <v>1</v>
      </c>
      <c r="B2121" t="e">
        <f>(0.85*(B587/800)+0.15)*(1-0.521*LN((B600+B$3071)/100))*(0.86*(B$3073/90)+0.14)*(1/(B340/250))*IF(B747=1,0.052*(B757/1020000)+0.95,1.25)*IF(B603=1,0.6,IF(B603=2,1.2,1))*IF(B339=2,(0.204*(B395/385)+0.596),1)*(0.05*(B584/1.2)+0.95)*(0.9*(B1196/12)+0.1)</f>
        <v>#VALUE!</v>
      </c>
      <c r="C2121">
        <v>18</v>
      </c>
    </row>
    <row r="2122" spans="1:3" x14ac:dyDescent="0.2">
      <c r="A2122">
        <v>2</v>
      </c>
      <c r="B2122" t="e">
        <f>(-0.4*(B587/800)^2+1.55*(B587/800)-0.15)*(1-0.44*LN((B600+B$3071)/(100)))*(0.6*(B$3073/90)+0.4)*(0.1/(B340/250)+0.9)*(0.61*(B326/27)+0.39)*(0.99/B572+0.01)*IF(B747=1,0.92,1.03)*IF(B603=1,0.6,IF(B603=2,1.2,1))*(0.61*(B403/3750)+0.39)*IF(B339=1,(0.066*(B397/220)+1.034),IF(B339=3,(0.09*(B396/20)+0.91),IF(B339=2,(0.36*(B395/385)+1.08))))*(0.04*(B584/1.2)+0.96)*((0.97*(B1196/12))+0.03)*((B1194/600)^-0.74)</f>
        <v>#VALUE!</v>
      </c>
    </row>
    <row r="2123" spans="1:3" x14ac:dyDescent="0.2">
      <c r="A2123">
        <v>3</v>
      </c>
      <c r="B2123" t="e">
        <f>(0.07*(B587/800)+0.93)*(1-0.38*LN((B600+B$3071)/(100)))*(0.6*(B$3073/90)+0.4)*(0.1/(B340/250)+0.9)*(0.68*(B326/27)+0.32)*(1.02/B572-0.02)*IF(B747=1,0.95,1.02)*IF(B603=1,0.6,IF(B603=2,1.2,1))*(0.64*(B403/3750)+0.36)*IF(B339=1,(0.066*(B397/220)+1.034),IF(B339=3,(0.09*(B396/20)+0.91),IF(B339=2,(0.36*(B395/385)+1.08))))*(0.93*(B584/1.2)+0.07)*((B1194/600)^-0.76)*IF(#REF!=2,1,IF(#REF!=1,1.49,IF(#REF!=3,1.98,IF(#REF!=7,5.91,IF(#REF!=10,3.18,3.95)))))</f>
        <v>#VALUE!</v>
      </c>
    </row>
    <row r="2124" spans="1:3" x14ac:dyDescent="0.2">
      <c r="A2124">
        <v>4</v>
      </c>
      <c r="B2124" t="e">
        <f>(0.86*(B587/800)+0.14)*(1-0.52*LN((B$3071)/(100)))*(0.86*(B$3073/90)+0.14)*(1/(B340/250))*IF(B747=1,0.052*(B757/1020000)+0.26,1.25)*IF(B603=1,0.6,IF(B603=2,1.2,1))*(0.05*(B584/1.2)+0.95)*((0.9*(B1196/12))+0.1)</f>
        <v>#VALUE!</v>
      </c>
    </row>
    <row r="2125" spans="1:3" x14ac:dyDescent="0.2">
      <c r="A2125">
        <v>1</v>
      </c>
      <c r="B2125" t="e">
        <f>(1.07*(B587/800)^2-0.32*(B587/800)+0.26)*(1-1.13*LN((B600+B$3071)/100))*(0.6*(B$3073/90)+0.4)*(0.03/(B340/250)+0.97)*(0.61*(B326/27)+0.39)*(0.99/B572+0.01)*IF(B747=1,0.92,1.03)*(0.61*(B403/3750)+0.39)*IF(B339=1,(0.066*(B397/220)+1.034),IF(B339=3,(0.09*(B396/20)+0.91),IF(B339=2,(0.36*(B395/385)+1.08))))*(0.1*(B584/1.2)+0.9)*((0.28/B1232)+0.72)*((0.96*(B1196/12))+0.04)*((B1194/600)^-0.74)</f>
        <v>#VALUE!</v>
      </c>
      <c r="C2125">
        <v>19</v>
      </c>
    </row>
    <row r="2126" spans="1:3" x14ac:dyDescent="0.2">
      <c r="A2126">
        <v>2</v>
      </c>
      <c r="B2126" t="e">
        <f>(-0.4*(B587/800)^2+1.55*(B587/800)-0.15)*(1-0.44*LN((B600+B$3071)/(100)))*(0.61*(B$3073/90)+0.39)*(0.1/(B340/250)+0.9)*(0.61*(B326/27)+0.39)*(0.99/B572+0.01)*IF(B747=1,0.92,1.03)*IF(B603=1,0.6,IF(B603=2,1.2,1))*(0.61*(B403/3750)+0.39)*IF(B339=1,(0.066*(B397/220)+1.034),IF(B339=3,(0.09*(B396/20)+0.91),IF(B339=2,(0.36*(B395/385)+1.08))))*(0.04*(B584/1.2)+0.96)*((0.97*(B1196/12))+0.03)*((B1194/600)^-0.74)</f>
        <v>#VALUE!</v>
      </c>
    </row>
    <row r="2127" spans="1:3" x14ac:dyDescent="0.2">
      <c r="A2127">
        <v>3</v>
      </c>
      <c r="B2127" t="e">
        <f>(0.07*(B587/800)+0.93)*(1-0.04*LN((B600+B$3071)/(100)))*(0.6*(B$3073/90)+0.4)*(0.02/(B340/250)+0.98)*(0.63*(B326/27)+0.37)*(1.02/B572-0.02)*IF(B747=1,0.95,1.02)*IF(B603=1,0.6,IF(B603=2,1.2,1))*(0.35*(B403/3750)+0.65)*IF(B339=1,(0.066*(B397/220)+1.034),IF(B339=3,(0.09*(B396/20)+0.91),IF(B339=2,(0.36*(B395/385)+1.08))))*(0.93*(B584/1.2)+0.07)*((B1194/600)^-0.76)*IF(#REF!=2,1,IF(#REF!=1,1.49,IF(#REF!=3,1.98,IF(#REF!=7,5.91,IF(#REF!=10,1,3.95)))))</f>
        <v>#VALUE!</v>
      </c>
    </row>
    <row r="2128" spans="1:3" x14ac:dyDescent="0.2">
      <c r="A2128">
        <v>4</v>
      </c>
      <c r="B2128" t="e">
        <f>(0.86*(B587/800)+0.14)*(1-0.52*LN((B$3071)/(100)))*(0.86*(B$3073/90)+0.14)*(1/(B340/250))*IF(B747=1,0.052*(B757/1020000)+0.26,1.25)*IF(B603=1,0.6,IF(B603=2,1.2,1))*(0.05*(B584/1.2)+0.95)*((0.9*(B1196/12))+0.1)</f>
        <v>#VALUE!</v>
      </c>
    </row>
    <row r="2129" spans="1:3" x14ac:dyDescent="0.2">
      <c r="A2129">
        <v>1</v>
      </c>
      <c r="B2129" t="e">
        <f>(0.93*(B587/800)^2.1+0.07)*(1-1.13*LN((B600+B$3071)/100))*(0.6*(B$3073/90)+0.4)*(0.03/(B340/250)+0.97)*(0.61*(B326/27)+0.39)*(0.99/B572+0.01)*IF(B747=1,0.92,1.03)*(0.66*(B403/3750)+0.34)*IF(B339=1,(0.066*(B397/220)+1.034),IF(B339=3,(0.09*(B396/20)+0.91),IF(B339=2,(0.36*(B395/385)+1.08))))*(0.1*(B584/1.2)+0.9)*((0.28/B1232)+0.72)*(0.96*(B1196/12)+0.04)*((B1194/600)^-0.74)</f>
        <v>#VALUE!</v>
      </c>
      <c r="C2129">
        <v>20</v>
      </c>
    </row>
    <row r="2130" spans="1:3" x14ac:dyDescent="0.2">
      <c r="A2130">
        <v>2</v>
      </c>
      <c r="B2130" t="e">
        <f>(-0.4*(B587/800)^2+1.55*(B587/800)-0.15)*(1-0.44*LN((B600+B$3071)/(100)))*(0.61*(B$3073/90)+0.39)*(0.1/(B340/250)+0.9)*(0.61*(B326/27)+0.39)*(1.11/B572-0.11)*IF(B747=1,1,1)*IF(B603=1,0.6,IF(B603=2,1.2,1))*(0.69*(B403/3750)+0.31)*IF(B339=1,(0.066*(B397/220)+1.034),IF(B339=3,(0.1*(B396/20)+0.9),IF(B339=2,(0.4*(B395/385)+1.09))))*(0.04*(B584/1.2)+0.96)*((0.98*(B1196/12))+0.02)*((B1194/600)^-0.82)</f>
        <v>#VALUE!</v>
      </c>
    </row>
    <row r="2131" spans="1:3" x14ac:dyDescent="0.2">
      <c r="A2131">
        <v>3</v>
      </c>
      <c r="B2131" t="e">
        <f>(0.07*(B587/800)+0.93)*(1-0.04*LN((B600+B$3071)/(100)))*(0.6*(B$3073/90)+0.4)*(0.02/(B340/250)+0.98)*(0.63*(B326/27)+0.37)*(1.02/B572-0.02)*IF(B747=1,0.95,1.02)*IF(B603=1,0.6,IF(B603=2,1.2,1))*(0.64*(B403/3750)+0.36)*IF(B339=1,(0.066*(B397/220)+1.034),IF(B339=3,(0.09*(B396/20)+0.91),IF(B339=2,(0.36*(B395/385)+1.08))))*(0.93*(B584/1.2)+0.07)*((B1194/600)^-0.76)*IF(#REF!=2,1,IF(#REF!=1,1.49,IF(#REF!=3,1.98,IF(#REF!=7,5.91,IF(#REF!=10,1,3.95)))))</f>
        <v>#VALUE!</v>
      </c>
    </row>
    <row r="2132" spans="1:3" x14ac:dyDescent="0.2">
      <c r="A2132">
        <v>4</v>
      </c>
      <c r="B2132" t="e">
        <f>(0.86*(B587/800)+0.14)*(1-0.52*LN((B$3071)/(100)))*(0.86*(B$3073/90)+0.14)*(1/(B340/250))*IF(B747=1,0.052*(B757/1020000)+0.26,1.25)*(0.05*(B584/1.2)+0.95)*IF(B603=1,0.6,IF(B603=2,1.2,1))*((0.9*(B1196/12))+0.1)</f>
        <v>#VALUE!</v>
      </c>
    </row>
    <row r="2133" spans="1:3" x14ac:dyDescent="0.2">
      <c r="A2133">
        <v>1</v>
      </c>
      <c r="B2133" t="e">
        <f>(1.07*(B587/800)^2-0.32*(B587/800)+0.26)*(1-1.13*LN((B600+B$3071)/100))*(0.6*(B$3073/90)+0.4)*(0.03/(B340/250)+0.97)*(0.61*(B326/27)+0.39)*(0.99/B572+0.01)*IF(B747=1,0.92,1.03)*(0.61*(B403/3750)+0.39)*IF(B339=1,(0.066*(B397/220)+1.034),IF(B339=3,(0.09*(B396/20)+0.91),IF(B339=2,(0.36*(B395/385)+1.08))))*(0.1*(B584/1.2)+0.9)*((0.28/B1232)+0.72)*(0.96*(B1196/12)+0.04)*((B1194/600)^-0.74)</f>
        <v>#VALUE!</v>
      </c>
      <c r="C2133">
        <v>21</v>
      </c>
    </row>
    <row r="2134" spans="1:3" x14ac:dyDescent="0.2">
      <c r="A2134">
        <v>2</v>
      </c>
      <c r="B2134" t="e">
        <f>(0.94*(B587/800)^-0.52*(B587/800)+0.58)*(((B600+B$3071)/(100))^-0.75)*(0.61*(B$3073/90)+0.39)*(0.03/(B340/250)+0.97)*(0.61*(B326/27)+0.39)*(0.99/B572+0.01)*IF(B747=1,0.92,1.03)*IF(B603=1,0.6,IF(B603=2,1.2,1))*(0.61*(B403/3750)+0.39)*IF(B339=1,(0.066*(B397/220)+1.034),IF(B339=3,(0.09*(B396/20)+0.91),IF(B339=2,(0.36*(B395/385)+1.08))))*(0.07*(B584/1.2)+0.93)*((0.97*(B1196/12))+0.03)*((B1194/600)^-0.74)*IF(B1198&gt;0,(1.98-0.98*LN(B1198/30)),1)</f>
        <v>#VALUE!</v>
      </c>
    </row>
    <row r="2135" spans="1:3" x14ac:dyDescent="0.2">
      <c r="A2135">
        <v>3</v>
      </c>
      <c r="B2135" t="e">
        <f>(1.17*(B587/800)-0.17)*((B600+B$3071)/(100))^-0.96*(0.6*(B$3073/90)+0.4)*1*(0.63*(B326/27)+0.37)*IF(B747=1,0.99,1)*IF(B603=1,0.6,IF(B603=2,1.2,1))*(0.68*(B403/3750)+0.32)*IF(B339=1,(0.066*(B397/220)+1.034),IF(B339=3,(0.09*(B396/20)+0.91),IF(B339=2,(0.39*(B395/385)+1.1))))*(0.1*(B584/1.2)+0.9)*(1.1/B572-0.1)*((B1194/600)^-0.82)*(1.47-0.47*(B1198/30))</f>
        <v>#VALUE!</v>
      </c>
    </row>
    <row r="2136" spans="1:3" x14ac:dyDescent="0.2">
      <c r="A2136">
        <v>4</v>
      </c>
      <c r="B2136" t="e">
        <f>(-0.38*(B587/800)^2+2.2*(B587/800)-0.82)*(1-0.88*LN((B$3071)/(100)))*(0.86*(B$3073/90)+0.14)*(1/(B340/250))*(0.05*(B326/27)+0.95)*IF(B747=1,0.052*(B757/1020000)+0.26,1.25)*IF(B603=1,0.6,IF(B603=2,1.2,1))*IF(B603=1,0.36,IF(B603=2,1.42,1))*(0.1*(B584/1.2)+0.9)*((0.9*(B1196/12))+0.1)*(1.78-0.78*(B1198/30))</f>
        <v>#VALUE!</v>
      </c>
    </row>
    <row r="2137" spans="1:3" x14ac:dyDescent="0.2">
      <c r="A2137">
        <v>1</v>
      </c>
      <c r="B2137" t="e">
        <f>(0.67*(B587/800)^2+0.2*(B587/800)+0.13)*(1-1.13*LN((B600+B$3071)/100))*(0.6*(B$3073/90)+0.4)*(0.03/(B340/250)+0.97)*(0.61*(B326/27)+0.39)*(0.99/B572+0.01)*IF(B747=1,0.92,1.03)*(0.61*(B403/3750)+0.39)*IF(B339=1,(0.066*(B397/220)+1.034),IF(B339=3,(0.09*(B396/20)+0.91),IF(B339=2,(0.36*(B395/385)+1.08))))*(0.1*(B584/1.2)+0.9)*((0.28/B1232)+0.72)*(0.96*(B1196/12)+0.04)*((B1194/600)^-0.74)</f>
        <v>#VALUE!</v>
      </c>
      <c r="C2137">
        <v>22</v>
      </c>
    </row>
    <row r="2138" spans="1:3" x14ac:dyDescent="0.2">
      <c r="A2138">
        <v>2</v>
      </c>
      <c r="B2138" t="e">
        <f>(1.55*(B587/800)-0.4*(B587/800)^2-0.15)*(1-0.44*LN((B600+B$3071)/(100)))*(0.6*(B$3073/90)+0.4)*(0.1/(B340/250)+0.9)*(0.61*(B326/27)+0.39)*(0.99/B572+0.01)*IF(B747=1,0.92,1.03)*IF(B603=1,0.6,IF(B603=2,1.2,1))*(0.61*(B403/3750)+0.39)*IF(B339=1,(0.066*(B397/220)+1.034),IF(B339=3,(0.09*(B396/20)+0.91),IF(B339=2,(0.36*(B395/385)+1.08))))*(0.04*(B584/1.2)+0.96)*(0.97*(B1196/12)+0.03)*((B1194/600)^-0.74)</f>
        <v>#VALUE!</v>
      </c>
    </row>
    <row r="2139" spans="1:3" x14ac:dyDescent="0.2">
      <c r="A2139">
        <v>3</v>
      </c>
      <c r="B2139" t="e">
        <f>(0.07*(B587/800)+0.93)*(1-0.04*LN((B600+B$3071)/(100)))*(0.59*(B$3073/90)+0.41)*(0.02/(B340/250)+0.98)*(0.67*(B326/27)+0.33)*(1.02/B572-0.02)*IF(B747=1,0.95,1.02)*IF(B603=1,0.6,IF(B603=2,1.2,1))*(0.64*(B403/3750)+0.36)*IF(B339=1,(0.066*(B397/220)+1.034),IF(B339=3,(0.06*(B396/20)+0.94),IF(B339=2,(0.36*(B395/385)+1.08))))*(0.93*(B584/1.2)+0.07)*((B1194/600)^-0.76)*IF(#REF!=2,1,IF(#REF!=1,1.49,IF(#REF!=3,1.98,IF(#REF!=7,5.91,IF(#REF!=10,1,3.95)))))</f>
        <v>#VALUE!</v>
      </c>
    </row>
    <row r="2140" spans="1:3" x14ac:dyDescent="0.2">
      <c r="A2140">
        <v>4</v>
      </c>
      <c r="B2140" t="e">
        <f>(0.86*(B587/800)+0.14)*(1-0.52*LN((B$3071)/(100)))*(0.86*(B$3073/90)+0.14)*(1/(B340/250))*IF(B747=1,0.052*(B757/1020000)+0.26,1.25)*IF(B603=1,0.6,IF(B603=2,1.2,1))*(0.05*(B584/1.2)+0.95)*((0.9*(B1196/12))+0.1)</f>
        <v>#VALUE!</v>
      </c>
    </row>
    <row r="2141" spans="1:3" x14ac:dyDescent="0.2">
      <c r="A2141">
        <v>1</v>
      </c>
      <c r="B2141" t="e">
        <f>(1.07*(B587/800)^2-0.32*(B587/800)+0.26)*(1-1.13*LN((B600+B$3071)/100))*(0.6*(B$3073/90)+0.4)*1*(0.61*(B326/27)+0.39)*(0.99/B572+0.01)*IF(B747=1,0.92,1.03)*IF(B603=1,0.36,IF(B603=2,1.42,1))*(0.61*(B403/3750)+0.39)*IF(B339=1,(0.066*(B397/220)+1.034),IF(B339=3,(0.09*(B396/20)+0.91),IF(B339=2,(0.36*(B395/385)+1.08))))*(0.1*(B584/1.2)+0.9)*((0.28/B1232)+0.72)*(0.96*(B1196/12)+0.04)*((B1194/600)^-0.74)</f>
        <v>#VALUE!</v>
      </c>
      <c r="C2141">
        <v>23</v>
      </c>
    </row>
    <row r="2142" spans="1:3" x14ac:dyDescent="0.2">
      <c r="A2142">
        <v>2</v>
      </c>
      <c r="B2142" t="e">
        <f>(1.55*(B587/800)-0.4*(B587/800)^2-0.15)*(1-0.44*LN((B600+B$3071)/(100)))*(0.6*(B$3073/90)+0.4)*(0.1/(B340/250)+0.9)*(0.61*(B326/27)+0.39)*(0.99/B572+0.01)*IF(B747=1,0.92,1.03)*IF(B603=1,0.6,IF(B603=2,1.2,1))*(0.61*(B403/3750)+0.39)*IF(B339=1,(0.066*(B397/220)+1.034),IF(B339=3,(0.09*(B396/20)+0.91),IF(B339=2,(0.36*(B395/385)+1.08))))*(0.04*(B584/1.2)+0.96)*((0.97*(B1196/12))+0.03)*((B1194/600)^-0.74)</f>
        <v>#VALUE!</v>
      </c>
    </row>
    <row r="2143" spans="1:3" x14ac:dyDescent="0.2">
      <c r="A2143">
        <v>3</v>
      </c>
      <c r="B2143" t="e">
        <f>(0.07*(B587/800)+0.93)*(1-0.44*LN((B600+B$3071)/(100)))*(0.6*(B$3073/90)+0.4)*(0.1/(B340/250)+0.9)*(0.67*(B326/27)+0.33)*(1.02/B572-0.02)*IF(B747=1,0.95,1.02)*IF(B603=1,0.6,IF(B603=2,1.2,1))*(0.64*(B403/3750)+0.36)*IF(B339=1,(0.066*(B397/220)+1.034),IF(B339=3,(0.09*(B396/20)+0.91),IF(B339=2,(0.36*(B395/385)+1.08))))*(0.93*(B584/1.2)+0.07)*((B1194/600)^-0.76)</f>
        <v>#VALUE!</v>
      </c>
    </row>
    <row r="2144" spans="1:3" x14ac:dyDescent="0.2">
      <c r="A2144">
        <v>4</v>
      </c>
      <c r="B2144" t="e">
        <f>(0.86*(B587/800)+0.14)*(1-0.52*LN((B$3071)/(100)))*(0.86*(B$3073/90)+0.14)*(1/(B340/250))*IF(B747=1,0.052*(B757/1020000)+0.26,1.25)*IF(B603=1,0.6,IF(B603=2,1.2,1))*(0.05*(B584/1.2)+0.95)*(0.9*(B1196/12)+0.1)</f>
        <v>#VALUE!</v>
      </c>
    </row>
    <row r="2145" spans="1:3" x14ac:dyDescent="0.2">
      <c r="A2145">
        <v>1</v>
      </c>
      <c r="B2145" t="e">
        <f>(1.07*(B587/800)^2-0.32*(B587/800)+0.26)*(1-1.13*LN((B600+B$3071)/100))*(0.6*(B$3073/90)+0.4)*(1/(B340/250))*(0.61*(B326/27)+0.39)*(0.99/B572+0.01)*IF(B747=1,0.92,1.03)*(0.61*(B403/3750)+0.39)*IF(B339=1,(0.066*(B397/220)+1.034),IF(B339=3,(0.09*(B396/20)+0.91),IF(B339=2,(0.36*(B395/385)+1.08))))*(0.1*(B584/1.2)+0.9)*((0.72/B1232)+0.28)*(0.96*(B1196/12)+0.04)*((B1194/600)^-0.74)</f>
        <v>#VALUE!</v>
      </c>
      <c r="C2145">
        <v>24</v>
      </c>
    </row>
    <row r="2146" spans="1:3" x14ac:dyDescent="0.2">
      <c r="A2146">
        <v>2</v>
      </c>
      <c r="B2146">
        <f>1</f>
        <v>1</v>
      </c>
    </row>
    <row r="2147" spans="1:3" x14ac:dyDescent="0.2">
      <c r="A2147">
        <v>3</v>
      </c>
      <c r="B2147">
        <f>1</f>
        <v>1</v>
      </c>
    </row>
    <row r="2148" spans="1:3" x14ac:dyDescent="0.2">
      <c r="A2148">
        <v>4</v>
      </c>
      <c r="B2148">
        <f>1</f>
        <v>1</v>
      </c>
    </row>
    <row r="2149" spans="1:3" x14ac:dyDescent="0.2">
      <c r="A2149">
        <v>1</v>
      </c>
      <c r="B2149" t="e">
        <f>(1.64*(B587/800)-0.64)*(1-0.98*LN((B600+B$3071)/100))*(0.6*(B$3073/90)+0.4)*(0.04/(B340/250)+0.96)*(0.61*(B326/27)+0.39)*(0.99/B572+0.01)*IF(B747=1,0.92,1.03)*(0.61*(B403/3750)+0.39)*IF(B339=1,(0.066*(B397/220)+1.034),IF(B339=3,(0.09*(B396/20)+0.91),IF(B339=2,(0.36*(B395/385)+1.08))))*(0.1*(B584/1.2)+0.9)*((0.72/B1232)+0.28)*((0.96*(B1196/12))+0.04)*((B1194/600)^-0.74)*(1.44-0.44*(B1198/30))</f>
        <v>#VALUE!</v>
      </c>
      <c r="C2149">
        <v>25</v>
      </c>
    </row>
    <row r="2150" spans="1:3" x14ac:dyDescent="0.2">
      <c r="A2150">
        <v>2</v>
      </c>
      <c r="B2150">
        <f>1</f>
        <v>1</v>
      </c>
    </row>
    <row r="2151" spans="1:3" x14ac:dyDescent="0.2">
      <c r="A2151">
        <v>3</v>
      </c>
      <c r="B2151">
        <f>1</f>
        <v>1</v>
      </c>
    </row>
    <row r="2152" spans="1:3" x14ac:dyDescent="0.2">
      <c r="A2152">
        <v>4</v>
      </c>
      <c r="B2152">
        <f>1</f>
        <v>1</v>
      </c>
    </row>
    <row r="2153" spans="1:3" x14ac:dyDescent="0.2">
      <c r="A2153">
        <v>1</v>
      </c>
      <c r="B2153" t="e">
        <f>(0.85*(B587/800)+0.15)*(1-0.54*LN((B600+B$3071)/100))*(0.6*(B$3073/90)+0.4)*(0.04/(B340/250)+0.96)*(0.61*(B326/27)+0.39)*(0.99/B572+0.01)*IF(B747=1,0.92,1.03)*IF(B339=1,(0.066*(B397/220)+1.034),IF(B339=3,(0.09*(B396/20)+0.91),IF(B339=2,(0.36*(B395/385)+1.08))))*(0.05*(B584/1.2)+0.95)*(0.61*(B403/3750)+0.39)*((0.97*(B1196/12))+0.03)*((B1194/600)^-0.74)*((0.72/B1232)+0.28)*(IF(B1199=2,1.43,1))</f>
        <v>#VALUE!</v>
      </c>
      <c r="C2153">
        <v>26</v>
      </c>
    </row>
    <row r="2154" spans="1:3" x14ac:dyDescent="0.2">
      <c r="A2154">
        <v>2</v>
      </c>
      <c r="B2154">
        <v>1</v>
      </c>
    </row>
    <row r="2155" spans="1:3" x14ac:dyDescent="0.2">
      <c r="A2155">
        <v>3</v>
      </c>
      <c r="B2155">
        <v>1</v>
      </c>
    </row>
    <row r="2156" spans="1:3" x14ac:dyDescent="0.2">
      <c r="A2156">
        <v>4</v>
      </c>
      <c r="B2156">
        <v>1</v>
      </c>
    </row>
    <row r="2157" spans="1:3" x14ac:dyDescent="0.2">
      <c r="A2157">
        <v>1</v>
      </c>
      <c r="B2157" t="e">
        <f>(1.07*(B587/800)^2-0.32*(B587/800)+0.26)*(1-1.13*LN((B600+B$3071)/100))*(0.6*(B$3073/90)+0.4)*(1/(B340/250))*(0.61*(B326/27)+0.39)*IF(B747=1,0.92,1.03)*(0.61*(B403/3750)+0.39)*IF(B339=1,(0.066*(B397/220)+1.034),IF(B339=3,(0.09*(B396/20)+0.91),IF(B339=2,(0.36*(B395/385)+1.08))))*(0.1*(B584/1.2)+0.9)*(0.99/B572+0.01)*((0.96*(B1196/12))+0.04)*((B1194/600)^-0.74)*((0.72/B1232)+0.28)</f>
        <v>#VALUE!</v>
      </c>
      <c r="C2157">
        <v>27</v>
      </c>
    </row>
    <row r="2158" spans="1:3" x14ac:dyDescent="0.2">
      <c r="A2158">
        <v>2</v>
      </c>
      <c r="B2158">
        <v>1</v>
      </c>
    </row>
    <row r="2159" spans="1:3" x14ac:dyDescent="0.2">
      <c r="A2159">
        <v>3</v>
      </c>
      <c r="B2159">
        <v>1</v>
      </c>
    </row>
    <row r="2160" spans="1:3" x14ac:dyDescent="0.2">
      <c r="A2160">
        <v>4</v>
      </c>
      <c r="B2160">
        <v>1</v>
      </c>
    </row>
    <row r="2161" spans="1:3" x14ac:dyDescent="0.2">
      <c r="A2161">
        <v>1</v>
      </c>
      <c r="B2161" t="e">
        <f>(1.07*(B587/800)^2-0.32*(B587/800)+0.26)*(1-1.13*LN((B600+B$3071)/100))*(0.6*(B$3073/90)+0.4)*(1/(B340/250))*(0.61*(B326/27)+0.39)*IF(B747=1,0.92,1.03)*(0.61*(B403/3750)+0.39)*IF(B339=1,(0.066*(B397/220)+1.034),IF(B339=3,(0.09*(B396/20)+0.91),IF(B339=2,(0.36*(B395/385)+1.08))))*(0.1*(B584/1.2)+0.9)*(0.99/B572+0.01)*((0.96*(B1196/12))+0.04)*((B1194/600)^-0.74)*((0.72/B1232)+0.28)</f>
        <v>#VALUE!</v>
      </c>
      <c r="C2161">
        <v>28</v>
      </c>
    </row>
    <row r="2162" spans="1:3" x14ac:dyDescent="0.2">
      <c r="A2162">
        <v>2</v>
      </c>
      <c r="B2162">
        <v>1</v>
      </c>
    </row>
    <row r="2163" spans="1:3" x14ac:dyDescent="0.2">
      <c r="A2163">
        <v>3</v>
      </c>
      <c r="B2163">
        <v>1</v>
      </c>
    </row>
    <row r="2164" spans="1:3" x14ac:dyDescent="0.2">
      <c r="A2164">
        <v>4</v>
      </c>
      <c r="B2164">
        <v>1</v>
      </c>
    </row>
    <row r="2167" spans="1:3" x14ac:dyDescent="0.2">
      <c r="A2167" t="s">
        <v>5219</v>
      </c>
    </row>
    <row r="2168" spans="1:3" x14ac:dyDescent="0.2">
      <c r="A2168" t="s">
        <v>5205</v>
      </c>
      <c r="C2168" t="s">
        <v>4566</v>
      </c>
    </row>
    <row r="2169" spans="1:3" x14ac:dyDescent="0.2">
      <c r="A2169">
        <v>1</v>
      </c>
      <c r="B2169" t="e">
        <f>(1.07*(B587/800)^-0.7)*(0.98*((B600+B$3071)/(100))^-1.12+0.02)*(0.6*(B$3073/90)+0.4)*(0.03/(B340/250)+0.97)*(0.61*(B326/27)+0.39)*IF(B747=1,0.99,1)*(0.61*(B403/3750)+0.39)*IF(B339=1,(0.066*(B397/220)+1.034),IF(B339=3,(0.09*(B396/20)+0.91),IF(B339=2,(0.36*(B395/385)+1.08))))*(0.11*(B584/1.2)+0.89)*(0.99/B572+0.01)*IF(B747=1,0.92,1.03)*((B1278/600)^-0.74)*(0.96*(B1277/12)+0.04)</f>
        <v>#VALUE!</v>
      </c>
      <c r="C2169">
        <v>1</v>
      </c>
    </row>
    <row r="2170" spans="1:3" x14ac:dyDescent="0.2">
      <c r="A2170">
        <v>2</v>
      </c>
      <c r="B2170" t="e">
        <f>(1.55*(B587/800)-0.4*(B587/800)^2-0.15)*(1-0.44*LN((B600+B$3071)/(100)))*(0.6*(B$3073/90)+0.4)*(0.1/(B340/250)+0.9)*(0.61*(B326/27)+0.39)*(0.4/B572+0.6)*IF(B747=1,0.92,1.03)*IF(B603=1,0.6,IF(B603=2,1.2,1))*(0.61*(B403/3750)+0.39)*IF(B339=1,(0.066*(B397/220)+1.034),IF(B339=3,(0.09*(B396/20)+0.91),IF(B339=2,(0.36*(B395/385)+1.08))))*(0.04*(B584/1.2)+0.96)*(0.97*(B1277/12)+0.03)*((B1278/600)^-0.74)</f>
        <v>#VALUE!</v>
      </c>
    </row>
    <row r="2171" spans="1:3" x14ac:dyDescent="0.2">
      <c r="A2171">
        <v>3</v>
      </c>
      <c r="B2171" t="e">
        <f>(0.07*(B587/800)+0.93)*(1-0.041*LN((B600+B$3071)/100))*(0.6*(B$3073/90)+0.4)*(0.1/(B340/250)+0.9)*(0.63*(B326/27)+0.07)*(1.02/B572-0.02)*IF(B747=1,0.95,1.02)*IF(B603=1,0.6,IF(B603=2,1.2,1))*(0.64*(B403/3750)+0.36)*IF(B339=1,(0.066*(B397/220)+1.034),IF(B339=3,(0.07*(B396/20)+0.93),IF(B339=2,(0.36*(B395/385)+1.08))))*(0.93*(B584/1.2)+0.07)*((B1278/600)^-0.76)*IF(B3377=2,1,IF(B3377=1,1.49,IF(B3377=3,1.98,IF(B3377=7,5.91,IF(B3377=10,1,3.95)))))</f>
        <v>#VALUE!</v>
      </c>
    </row>
    <row r="2172" spans="1:3" x14ac:dyDescent="0.2">
      <c r="A2172">
        <v>4</v>
      </c>
      <c r="B2172" t="e">
        <f>(0.07*(B587/800)+0.93)*(1-0.49*LN((B$3071/50)))*((0.86*(B$3073/90)+0.14))*(1/(B340/250))*IF(B747=1,(0.052*(B757/1020000)+0.26),1.25)*IF(B603=1,0.6,IF(B603=2,1.2,1))*(0.05*(B584/1.2)+0.95)*((0.9*(B1277/12))+0.1)</f>
        <v>#VALUE!</v>
      </c>
    </row>
    <row r="2173" spans="1:3" x14ac:dyDescent="0.2">
      <c r="A2173">
        <v>1</v>
      </c>
      <c r="B2173" t="e">
        <f>(1.07*(B587/800)^-0.7)*(0.98*((B600+B$3071)/(100))^-1.12+0.02)*(0.6*(B$3073/90)+0.4)*(0.03/(B340/250)+0.97)*(0.61*(B326/27)+0.39)*(0.99/B572+0.01)*IF(B747=1,0.92,1.03)*(0.61*(B403/3750)+0.39)*IF(B339=1,(0.066*(B397/220)+1.034),IF(B339=3,(0.09*(B396/20)+0.91),IF(B339=2,(0.36*(B395/385)+1.08))))*(0.11*(B584/1.2)+0.89)*(0.96*(B1277/12)+0.04)*((B1278/600)^-0.74)</f>
        <v>#VALUE!</v>
      </c>
      <c r="C2173">
        <v>2</v>
      </c>
    </row>
    <row r="2174" spans="1:3" x14ac:dyDescent="0.2">
      <c r="A2174">
        <v>2</v>
      </c>
      <c r="B2174" t="e">
        <f>(1.55*(B587/800)-0.4*(B587/800)^2-0.15)*(1-0.44*LN((B600+B$3071)/(100)))*(0.6*(B$3073/90)+0.4)*(0.1/(B340/250)+0.9)*(0.61*(B326/27)+0.39)*(0.99/B572+0.01)*IF(B747=1,0.92,1.03)*IF(B603=1,0.6,IF(B603=2,1.2,1))*(0.61*(B403/3750)+0.39)*IF(B339=1,(0.066*(B397/220)+1.034),IF(B339=3,(0.09*(B396/20)+0.91),IF(B339=2,(0.36*(B395/385)+1.08))))*(0.04*(B584/1.2)+0.96)*((0.97*(B1277/12))+0.03)*((B1278/600)^-0.74)</f>
        <v>#VALUE!</v>
      </c>
    </row>
    <row r="2175" spans="1:3" x14ac:dyDescent="0.2">
      <c r="A2175">
        <v>3</v>
      </c>
      <c r="B2175" t="e">
        <f>(0.07*(B587/800)+0.93)*(1-0.041*LN((B600+B$3071)/100))*(0.6*(B$3073/90)+0.4)*(0.1/(B340/250)+0.9)*(0.63*(B326/27)+0.37)*(1.1/B572+0.1)*IF(B747=1,0.95,1.02)*IF(B603=1,0.6,IF(B603=2,1.2,1))*(0.64*(B403/3750)+0.36)*(0.93*(B584/1.2)+0.07)*IF(B339=1,(0.066*(B397/220)+1.034),IF(B339=3,(0.09*(B396/20)+0.91),IF(B339=2,(0.36*(B395/385)+1.09))))*((B1278/600)^-0.82)*IF(B3377=2,1,IF(B3377=1,1.49,IF(B3377=3,1.98,IF(B3377=7,5.91,IF(B3377=10,1,3.95)))))</f>
        <v>#VALUE!</v>
      </c>
    </row>
    <row r="2176" spans="1:3" x14ac:dyDescent="0.2">
      <c r="A2176">
        <v>4</v>
      </c>
      <c r="B2176" t="e">
        <f>(0.07*(B587/800)+0.93)*(1-0.52*LN((B$3071/50)))*(0.86*(B$3073/90)+0.14)*(1/(B340/250))*IF(B747=1,0.31,1.25)*IF(B603=1,0.6,IF(B603=2,1.2,1))*(0.05*(B584/1.2)+0.95)*((0.9*(B1277/12))+0.1)</f>
        <v>#VALUE!</v>
      </c>
    </row>
    <row r="2177" spans="1:3" x14ac:dyDescent="0.2">
      <c r="A2177">
        <v>1</v>
      </c>
      <c r="B2177" t="e">
        <f>(1.07*(B587/800)^-0.7)*(0.98*((B600+B$3071)/(100))^-1.12+0.02)*(0.99/B572+0.01)*(0.03/(B340/250)+0.97)*(0.61*(B326/27)+0.39)*(0.4/(B572/1)+0.6)*IF(B747=1,0.92,1.03)*(0.61*(B403/3750)+0.39)*IF(B339=1,(0.066*(B397/220)+1.034),IF(B339=3,(0.09*(B396/20)+0.91),IF(B339=2,(0.36*(B395/385)+1.08))))*(0.11*(B584/1.2)+0.89)*(0.96*(B1277/12)+0.04)*((B1278/600)^-0.74)*(0.47*(B1281/30)^2-2.07*(B1281/30)+2.6)</f>
        <v>#VALUE!</v>
      </c>
      <c r="C2177">
        <v>3</v>
      </c>
    </row>
    <row r="2178" spans="1:3" x14ac:dyDescent="0.2">
      <c r="A2178">
        <v>2</v>
      </c>
      <c r="B2178" t="e">
        <f>(0.94*(B587/800)^2-0.52*(B587/800)+0.58)*(((B600+B$3071)/(100))^-0.75)*(0.6*(B$3073/90)+0.4)*(0.03/(B340/250)+0.97)*(0.61*(B326/27)+0.39)*(0.99/B572+0.01)*IF(B747=1,0.92,1.03)*IF(B603=1,0.6,IF(B603=2,1.2,1))*(0.69*(B403/3750)+0.31)*IF(B339=1,(0.066*(B397/220)+1.034),IF(B339=3,(0.09*(B396/20)+0.91),IF(B339=2,(0.36*(B395/385)+1.08))))*(0.04*(B584/1.2)+0.96)*((0.97*(B1277/12))+0.03)*((B1278/600)^-0.74)*IF(B1281&gt;0,(1-0.98*LN(B1281/30)),1)</f>
        <v>#VALUE!</v>
      </c>
    </row>
    <row r="2179" spans="1:3" x14ac:dyDescent="0.2">
      <c r="A2179">
        <v>3</v>
      </c>
      <c r="B2179" t="e">
        <f>(0.18*EXP(1.59*(B587/800)))*((B600+B$3071)/100)^-0.96*(0.6*(B$3073/90)+0.4)*1*(0.63*(B326/27)+0.37)*(1.1/B572+0.1)*IF(B747=1,0.99,1)*IF(B603=1,0.6,IF(B603=2,1.2,1))*(0.68*(B403/3750)+0.32)*IF(B339=1,1.01,IF(B339=3,(0.09*(B396/20)+0.91),IF(B339=2,(0.39*(B395/385)+1.1))))*(0.93*(B584/1.2)+0.07)*((B1278/600)^-0.82)*IF(B1281&gt;0,(1-0.5*LN(B1281/30)),1)</f>
        <v>#VALUE!</v>
      </c>
    </row>
    <row r="2180" spans="1:3" x14ac:dyDescent="0.2">
      <c r="A2180">
        <v>4</v>
      </c>
      <c r="B2180" t="e">
        <f>(1.37*LN(B587/800)+1)*(1-0.88*LN((B$3071/50)))*(0.86*(B$3073/90)+0.14)*(0.05*(B326/27)+0.95)*(1/(B340/250))*IF(B747=1,(0.052*(B757/1020000)+0.26),1.25)*IF(B603=1,0.6,IF(B603=2,1.2,1))*(0.1*(B584/1.2)+0.9)*((1.01*(B1277/12))-0.01)*(1.78-0.78*(B1281/30))</f>
        <v>#VALUE!</v>
      </c>
    </row>
    <row r="2181" spans="1:3" x14ac:dyDescent="0.2">
      <c r="A2181">
        <v>1</v>
      </c>
      <c r="B2181" t="e">
        <f>(1.07*(B587/800)^-0.7)*(0.98*((B600+B$3071)/(100))^-1.12+0.02)*(0.6*(B$3073/90)+0.4)*(0.03/(B340/250)+0.97)*(0.61*(B326/27)+0.39)*(0.99/B572+0.01)*IF(B747=1,0.92,1.03)*(0.61*(B403/3750)+0.39)*IF(B339=1,(0.066*(B397/220)+1.034),IF(B339=3,(0.09*(B396/20)+0.91),IF(B339=2,(0.36*(B395/385)+1.08))))*(0.11*(B584/1.2)+0.89)*(0.96*(B1277/12)+0.04)*((B1278/600)^-0.74)</f>
        <v>#VALUE!</v>
      </c>
      <c r="C2181">
        <v>4</v>
      </c>
    </row>
    <row r="2182" spans="1:3" x14ac:dyDescent="0.2">
      <c r="A2182">
        <v>2</v>
      </c>
      <c r="B2182" t="e">
        <f>(1.55*(B587/800)-0.4*(B587/800)^2-0.15)*(1-0.44*LN((B600+B$3071)/(100)))*(0.6*(B$3073/90)+0.4)*(0.1/(B340/250)+0.9)*(0.61*(B326/27)+0.39)*(0.99/B572+0.01)*IF(B747=1,0.92,1.03)*IF(B603=1,0.6,IF(B603=2,1.2,1))*(0.61*(B403/3750)+0.39)*IF(B339=1,(0.066*(B397/220)+1.034),IF(B339=3,(0.09*(B396/20)+0.91),IF(B339=2,(0.36*(B395/385)+1.08))))*(0.04*(B584/1.2)+0.96)*(0.97*(B1277/12)+0.03)*((B1278/600)^-0.74)</f>
        <v>#VALUE!</v>
      </c>
    </row>
    <row r="2183" spans="1:3" x14ac:dyDescent="0.2">
      <c r="A2183">
        <v>3</v>
      </c>
      <c r="B2183" t="e">
        <f>(0.07*(B587/800)+0.93)*(1-0.041*LN((B600+B$3071)/100))*(0.6*(B$3073/90)+0.4)*(0.1/(B340/250)+0.9)*(0.63*(B326/27)+0.37)*(1.02/B572+0.02)*IF(B747=1,0.95,1.02)*IF(B603=1,0.6,IF(B603=2,1.2,1))*(0.64*(B403/3750)+0.36)*IF(B339=1,(0.066*(B397/220)+1.034),IF(B339=3,(0.09*(B396/20)+0.91),IF(B339=2,(0.36*(B395/385)+1.08))))*(0.93*(B584/1.2)+0.07)*((B1278/600)^-0.82)*IF(B3377=2,1,IF(B3377=1,1.49,IF(B3377=3,1.98,IF(B3377=7,5.91,IF(B3377=10,3.16,3.95)))))</f>
        <v>#VALUE!</v>
      </c>
    </row>
    <row r="2184" spans="1:3" x14ac:dyDescent="0.2">
      <c r="A2184">
        <v>4</v>
      </c>
      <c r="B2184" t="e">
        <f>(0.86*(B587/800)+0.14)*(1-0.52*LN((B$3071/50)))*(0.86*(B$3073/90)+0.14)*(1/(B340/250))*IF(B747=1,0.95,1.03)*IF(B603=1,0.6,IF(B603=2,1.2,1))*(0.05*(B584/1.2)+0.95)*((0.9*(B1277/12))+0.1)</f>
        <v>#VALUE!</v>
      </c>
    </row>
    <row r="2185" spans="1:3" x14ac:dyDescent="0.2">
      <c r="A2185">
        <v>1</v>
      </c>
      <c r="B2185" t="e">
        <f>(2*(B587/800)^2 -1.94*(B587/800)+0.94)*(0.98*((B600+B$3071)/(100))^-1.12+0.02)*(0.6*(B$3073/90)+0.4)*(0.03/(B340/250)+0.97)*(0.61*(B326/27)+0.39)*(0.99/B572+0.01)*IF(B747=1,0.92,1.03)*IF(B603=1,0.36,IF(B603=2,1.42,1))*(0.61*(B403/3750)+0.39)*IF(B339=1,(0.066*(B397/220)+1.034),IF(B339=3,(0.09*(B396/20)+0.91),IF(B339=2,(0.36*(B395/385)+1.08))))*(0.11*(B584/1.2)+0.89)*(0.87*(B1277/12)+0.13)*((B1278/600)^-0.74)</f>
        <v>#VALUE!</v>
      </c>
      <c r="C2185">
        <v>5</v>
      </c>
    </row>
    <row r="2186" spans="1:3" x14ac:dyDescent="0.2">
      <c r="A2186">
        <v>2</v>
      </c>
      <c r="B2186" t="e">
        <f>(1.55*(B587/800)-0.4*(B587/800)^2-0.15)*(1-0.44*LN((B600+B$3071)/(100)))*(0.6*(B$3073/90)+0.4)*(0.1/(B340/250)+0.9)*(0.61*(B326/27)+0.39)*(0.99/B572+0.01)*IF(B747=1,0.92,1.03)*IF(B603=1,0.6,IF(B603=2,1.2,1))*(0.61*(B403/3750)+0.39)*IF(B339=1,(0.066*(B397/220)+1.034),IF(B339=3,(0.09*(B396/20)+0.91),IF(B339=2,(0.36*(B395/385)+1.08))))*(0.04*(B584/1.2)+0.96)*((0.97*(B1277/12))+0.03)*((B1278/600)^-0.74)</f>
        <v>#VALUE!</v>
      </c>
    </row>
    <row r="2187" spans="1:3" x14ac:dyDescent="0.2">
      <c r="A2187">
        <v>3</v>
      </c>
      <c r="B2187" t="e">
        <f>(0.07*(B587/800)+0.93)*(1-0.041*LN((B600+B$3071)/100))*(0.6*(B$3073/90)+0.4)*(0.1/(B340/250)+0.9)*(0.63*(B326/27)+0.37)*(1.02/B572+0.02)*IF(B747=1,0.95,1.02)*IF(B603=1,0.6,IF(B603=2,1.2,1))*(0.64*(B403/3750)+0.36)*IF(B339=1,(0.066*(B397/220)+1.034),IF(B339=3,(0.09*(B396/20)+0.91),IF(B339=2,(0.36*(B395/385)+1.08))))*(0.93*(B584/1.2)+0.07)*((B1278/600)^-0.76)</f>
        <v>#VALUE!</v>
      </c>
    </row>
    <row r="2188" spans="1:3" x14ac:dyDescent="0.2">
      <c r="A2188">
        <v>4</v>
      </c>
      <c r="B2188" t="e">
        <f>(0.86*(B587/800)-0.14)*(1-0.52*LN((B$3071/50)))*(0.86*(B$3073/90)+0.14)*(1/(B340/250))*IF(B747=1,(0.052*(B757/1020000)+0.26),1.25)*IF(B603=1,0.6,IF(B603=2,1.2,1))*(0.05*(B584/1.2)+0.95)*((0.9*(B1277/12))+0.1)</f>
        <v>#VALUE!</v>
      </c>
    </row>
    <row r="2189" spans="1:3" x14ac:dyDescent="0.2">
      <c r="A2189">
        <v>1</v>
      </c>
      <c r="B2189">
        <f>1</f>
        <v>1</v>
      </c>
      <c r="C2189">
        <v>6</v>
      </c>
    </row>
    <row r="2190" spans="1:3" x14ac:dyDescent="0.2">
      <c r="A2190">
        <v>2</v>
      </c>
      <c r="B2190">
        <f>1</f>
        <v>1</v>
      </c>
    </row>
    <row r="2191" spans="1:3" x14ac:dyDescent="0.2">
      <c r="A2191">
        <v>3</v>
      </c>
      <c r="B2191" t="e">
        <f>(0.45*(B587/800)+0.55)*(1-0.27*LN((B600+B$3071)/100))*(0.76*(B$3073/90)+0.24)*(0.66/(B340/250)+0.34)*(0.35*(B326/27)+0.65)*(0.56/B572+0.44)*IF(B747=1,0.66,1.12)*(0.35*(B403/3750)+0.65)*IF(B339=1,(0.035*(B397/220)+0.97),IF(B339=3,(0.09*(B396/20)+0.91),IF(B339=2,(0.2*(B395/385)+1.05))))*(1.04*(B584/1.2)-0.04)*(0.95*((B1277/12))+0.05)*((B1278/600)^-0.42)*IF(B3377=2,1,IF(B3377=1,1.49,IF(B3377=3,1.98,IF(B3377=7,5.91,IF(B3377=10,1.43,3.95)))))</f>
        <v>#VALUE!</v>
      </c>
    </row>
    <row r="2192" spans="1:3" x14ac:dyDescent="0.2">
      <c r="A2192">
        <v>4</v>
      </c>
      <c r="B2192" t="e">
        <f>(0.86*(B587/800)+0.14)*(1-0.52*LN((B$3071)/100))*(0.86*(B$3073/90)+0.14)*(1/(B340/250))*IF(B747=1,(0.052*(B757/1020000)+0.26),1.25)*IF(B603=1,0.36,IF(B603=2,1.42,1))*(0.05*(B584/1.2)+0.95)*((0.9*(B1277/12))+0.1)</f>
        <v>#VALUE!</v>
      </c>
    </row>
    <row r="2193" spans="1:3" x14ac:dyDescent="0.2">
      <c r="A2193">
        <v>1</v>
      </c>
      <c r="B2193" t="e">
        <f>(1.07*(B587/800)^1.98-0.07)*(0.98*((B600+B$3071)/(100))^-1.12+0.02)*(0.6*(B$3073/90)+0.4)*(0.03/(B340/250)+0.97)*(0.61*(B326/27)+0.39)*(0.99/B572+0.01)*IF(B747=1,0.92,1.03)*(0.61*(B403/3750)+0.39)*IF(B339=1,(0.066*(B397/220)+1.034),IF(B339=3,(0.09*(B396/20)+0.91),IF(B339=2,(0.36*(B395/385)+1.08))))*(0.11*(B584/1.2)+0.89)*(0.96*(B1277/12)+0.04)*((B1278/600)^-0.74)</f>
        <v>#VALUE!</v>
      </c>
      <c r="C2193">
        <v>7</v>
      </c>
    </row>
    <row r="2194" spans="1:3" x14ac:dyDescent="0.2">
      <c r="A2194">
        <v>2</v>
      </c>
      <c r="B2194" t="e">
        <f>(1.55*(B587/800)-0.4*(B587/800)^2-0.15)*(1-0.44*LN((B600+B$3071)/(100)))*(0.6*(B$3073/90)+0.4)*(0.1/(B340/250)+0.9)*(0.61*(B326/27)+0.39)*(0.99/B572+0.01)*IF(B747=1,0.92,1.03)*IF(B603=1,0.6,IF(B603=2,1.2,1))*(0.61*(B403/3750)+0.39)*IF(B339=1,(0.066*(B397/220)+1.034),IF(B339=3,(0.09*(B396/20)+0.91),IF(B339=2,(0.36*(B395/385)+1.08))))*(0.04*(B584/1.2)+0.96)*((0.97*(B1277/12))+0.03)*((B1278/600)^-0.74)</f>
        <v>#VALUE!</v>
      </c>
    </row>
    <row r="2195" spans="1:3" x14ac:dyDescent="0.2">
      <c r="A2195">
        <v>3</v>
      </c>
      <c r="B2195" t="e">
        <f>(0.07*(B587/800)+0.93)*(1-0.041*LN((B600+B$3071)/100))*(0.6*(B$3073/90)+0.4)*(0.1/(B340/250)+0.9)*(0.63*(B326/27)+0.37)*(1.02/B572-0.02)*IF(B747=1,0.99,1)*IF(B603=1,0.6,IF(B603=2,1.2,1))*(0.64*(B403/3750)+0.36)*IF(B339=1,(0.066*(B397/220)+1.034),IF(B339=3,(0.09*(B396/20)+0.91),IF(B339=2,(0.36*(B395/385)+1.08))))*(0.93*(B584/1.2)+0.07)*IF(B747=1,0.95,1.02)*((B1278/600)^-0.74)*IF(B3377=2,1,IF(B3377=1,1.49,IF(B3377=3,1.98,IF(B3377=7,5.91,IF(B3377=10,1,3.95)))))</f>
        <v>#VALUE!</v>
      </c>
    </row>
    <row r="2196" spans="1:3" x14ac:dyDescent="0.2">
      <c r="A2196">
        <v>4</v>
      </c>
      <c r="B2196" t="e">
        <f>(0.86*(B587/800)+0.15)*(1-0.52*LN((B$3071/50)))*(0.86*(B$3073/90)+0.14)*(1/(B340/250))*IF(B603=1,0.6,IF(B603=2,1.2,1))*(0.05*(B584/1.2)+0.95)*IF(B747=1,(0.052*(B757/1020000)+0.26),1.25)*((0.9*(B1277/12))+0.1)</f>
        <v>#VALUE!</v>
      </c>
    </row>
    <row r="2197" spans="1:3" x14ac:dyDescent="0.2">
      <c r="A2197">
        <v>1</v>
      </c>
      <c r="B2197" t="e">
        <f>(1.38*LN(B587/800)+1)*(1-0.88*LN((B600+B$3071)/100))*(0.86*(B$3073/90)+0.14)*(1/(B340/250))*IF(B747=1,0.052*(B757/1020000)+0.26,1.25)*IF(B603=1,0.6,IF(B603=2,1.2,1))*(0.09*(B584/1.2)+0.91)*(0.9*(B1277/12)+0.1)*((B1278/600)^-0.74)*(1.79-0.79*(B1281/30))</f>
        <v>#VALUE!</v>
      </c>
      <c r="C2197">
        <v>8</v>
      </c>
    </row>
    <row r="2198" spans="1:3" x14ac:dyDescent="0.2">
      <c r="A2198">
        <v>2</v>
      </c>
      <c r="B2198" t="e">
        <f>(0.94*((B587/800)^2-0.52*(B587/800)+0.58))*(((B600+B$3071)/(100))^-0.75)*(0.6*(B$3073/90)+0.4)*(0.03/(B340/250)+0.97)*(0.61*(B326/27)+0.39)*(0.99/B572+0.01)*IF(B747=1,0.92,1.03)*IF(B603=1,0.6,IF(B603=2,1.2,1))*(0.61*(B403/3750)+0.39)*IF(B339=1,(0.066*(B397/220)+1.034),IF(B339=3,(0.09*(B396/20)+0.91),IF(B339=2,(0.36*(B395/385)+1.08))))*(0.07*(B584/1.2)+0.93)*((0.97*(B1277/12))+0.03)*((B1278/600)^-0.74)*IF(B1281&gt;0,(1-1.14*LN(B1281/30)),1)</f>
        <v>#VALUE!</v>
      </c>
    </row>
    <row r="2199" spans="1:3" x14ac:dyDescent="0.2">
      <c r="A2199">
        <v>3</v>
      </c>
      <c r="B2199" t="e">
        <f>(0.07*(B587/800)+0.93)*(((B600+B$3071)/100)^-0.05)*(0.6*(B$3073/90)+0.4)*(0.1/(B340/250)+0.9)*(0.65*(B326/27)+0.35)*(1.05/B572-0.05)*IF(B747=1,0.96,1.01)*IF(B603=1,0.6,IF(B603=2,1.2,1))*(0.65*(B403/3750)+0.35)*IF(B339=1,(0.063*(B397/220)+0.94),IF(B339=3,(0.09*(B396/20)+0.91),IF(B339=2,(0.39*(B395/385)+1.1))))*(0.95*(B584/1.2)+0.05)*((B1278/600)^-0.78)*(1.044-0.044*(B1281/30))*IF(B3377=2,1,IF(B3377=1,1.49,IF(B3377=3,1.98,IF(B3377=7,5.91,IF(B3377=10,1,3.95)))))</f>
        <v>#VALUE!</v>
      </c>
    </row>
    <row r="2200" spans="1:3" x14ac:dyDescent="0.2">
      <c r="A2200">
        <v>4</v>
      </c>
      <c r="B2200" t="e">
        <f>(1.37*LN(B587/800)+1)*(1-0.88*LN(B$3071/50))*1*(1/(B340/250))*IF(B747=1,0.052*(B757/1020000)+0.26,1.25)*IF(B603=1,0.6,IF(B603=2,1.2,1))*(0.1*(B584/1.2)+0.9)*((0.9*(B1277/12))+0.1)*(1.78-0.78*(B1281/30))</f>
        <v>#VALUE!</v>
      </c>
    </row>
    <row r="2201" spans="1:3" x14ac:dyDescent="0.2">
      <c r="A2201">
        <v>1</v>
      </c>
      <c r="B2201" t="e">
        <f>(0.79*(B587/800)+0.21)*(1-0.48*LN((B600+B$3071)/100))*(0.6*(B$3073/90)+0.4)*(0.1/(B340/250)+0.9)*(0.61*(B326/27)+0.39)*(0.99/B572+0.01)*IF(B747=1,0.92,1.03)*IF(B339=1,(0.066*(B397/220)+1.034),IF(B339=3,(0.09*(B396/20)+0.91),IF(B339=2,(0.36*(B395/385)+1.08))))*(0.05*(B584/1.2)+0.95)*(0.61*(B403/3750)+0.39)*((0.97*(B1277/12))+0.03)*((B1278/600)^-0.74)</f>
        <v>#VALUE!</v>
      </c>
      <c r="C2201">
        <v>9</v>
      </c>
    </row>
    <row r="2202" spans="1:3" x14ac:dyDescent="0.2">
      <c r="A2202">
        <v>2</v>
      </c>
      <c r="B2202" t="e">
        <f>(0.93*(B587/800)+0.07)*(1-0.561*LN((B600+B$3071)/100))*(0.6*(B$3073/90)+0.4)*(0.07/(B340/250)+0.93)*(0.61*(B326/27)+0.39)*(0.99/B572+0.01)*IF(B747=1,0.92,1.03)*IF(B603=1,0.6,IF(B603=2,1.2,1))*(0.61*(B403/3750)+0.39)*IF(B339=1,(0.066*(B397/220)+1.034),IF(B339=3,(0.09*(B396/20)+0.91),IF(B339=2,(0.36*(B395/385)+1.08))))*(0.06*(B584/1.2)+0.94)*(IF(B1282=2,1.43,1))*(0.97*(B1277/12)+0.03)*((B1278/600)^-0.82)</f>
        <v>#VALUE!</v>
      </c>
    </row>
    <row r="2203" spans="1:3" x14ac:dyDescent="0.2">
      <c r="A2203">
        <v>3</v>
      </c>
      <c r="B2203" t="e">
        <f>(0.07*(B587/800)+0.93)*(1-0.04*LN((B600+B$3071)/100))*1*1*1*1*1*(0.93*(B584/1.2)+0.07)*(0.63*(B326/27)+0.37)*(0.64*(B403/3750)+0.36)*IF(B339=1,(0.066*(B397/220)+1.034),IF(B339=3,(0.09*(B396/20)+0.91),IF(B339=2,(0.36*(B395/385)+1.09))))*IF(B603=1,0.6,IF(B603=2,1.2,1))*IF(B747=1,0.95,1.02)*(1.02/B572-0.02)*IF(B3377=2,1,IF(B3377=1,1.49,IF(B3377=3,1.98,IF(B3377=7,5.91,IF(B3377=10,1,3.95)))))*((B1278/600)^-0.76)</f>
        <v>#VALUE!</v>
      </c>
    </row>
    <row r="2204" spans="1:3" x14ac:dyDescent="0.2">
      <c r="A2204">
        <v>4</v>
      </c>
      <c r="B2204" t="e">
        <f>(0.79*(B587/800)+0.21)*(1-0.48*LN(B$3071/50))*1*1*1*(0.05*(B584/1.2)+0.95)*IF(B603=1,0.6,IF(B603=2,1.2,1))*IF(B747=1,0.052*(B757/1020000)+0.26,1.25)*((0.9*(B1277/12))+0.1)</f>
        <v>#VALUE!</v>
      </c>
    </row>
    <row r="2205" spans="1:3" x14ac:dyDescent="0.2">
      <c r="A2205">
        <v>1</v>
      </c>
      <c r="B2205" t="e">
        <f>(1.38*LN(B587/800)+1)*(1-0.88*LN((B600+B$3071)/100))*(0.86*(B$3073/90)+0.14)*(1/(B340/250))*IF(B747=1,0.052*(B757/1020000)+0.26,1.25)*IF(B603=1,0.6,IF(B603=2,1.2,1))*(0.09*(B584/1.2)+0.91)*((0.9*(B1277/12))+0.1)*IF(B1281&gt;0,(1.79-0.79*LN(B1281/30)),1)</f>
        <v>#VALUE!</v>
      </c>
      <c r="C2205">
        <v>10</v>
      </c>
    </row>
    <row r="2206" spans="1:3" x14ac:dyDescent="0.2">
      <c r="A2206">
        <v>2</v>
      </c>
      <c r="B2206" t="e">
        <f>(0.94*(B587/800)^2-0.52*(B587/800)+0.58)*(((B600+B$3071)/(100))^-0.75)*(0.6*(B$3073/90)+0.4)*(0.03/(B340/250)+0.97)*(0.61*(B326/27)+0.39)*(0.99/B572+0.01)*IF(B747=1,0.92,1.03)*IF(B603=1,0.6,IF(B603=2,1.2,1))*(0.61*(B403/3750)+0.39)*IF(B339=1,(0.066*(B397/220)+1.034),IF(B339=3,(0.09*(B396/20)+0.91),IF(B339=2,(0.36*(B395/385)+1.08))))*(0.07*(B584/1.2)+0.93)*((0.97*(B1277/12))+0.03)*((B1278/600)^-0.74)*IF(B1281&gt;0,(1-1.14*LN(B1281/30)),1)</f>
        <v>#VALUE!</v>
      </c>
    </row>
    <row r="2207" spans="1:3" x14ac:dyDescent="0.2">
      <c r="A2207">
        <v>3</v>
      </c>
      <c r="B2207" t="e">
        <f>(0.078*LN(B587/800)+1)*(((B600+B$3071)/(100))^-0.05)*1*(0.6*(B$3073/90)+0.4)*(0.1/(B340/250)+0.9)*(0.65*(B326/27)+0.35)*(1.05/B572-0.05)*IF(B603=1,0.6,IF(B603=2,1.2,1))*(0.65*(B403/3750)+0.35)*IF(B339=1,(0.066*(B397/220)+1.034),IF(B339=3,(0.09*(B396/20)+0.91),IF(B339=2,(0.39*(B395/385)+1.1))))*(0.95*(B584/1.2)+0.05)*IF(B747=1,0.96,1.01)*((B1278/600)^-0.42)*(1.044-0.044*(B1281/30))*IF(B3377=2,1,IF(B3377=1,1.49,IF(B3377=3,1.98,IF(B3377=7,5.91,IF(B3377=10,1,3.95)))))</f>
        <v>#VALUE!</v>
      </c>
    </row>
    <row r="2208" spans="1:3" x14ac:dyDescent="0.2">
      <c r="A2208">
        <v>4</v>
      </c>
      <c r="B2208" t="e">
        <f>(1.37*LN(B587/800)+1)*(1-0.88*LN(B$3071/50))*1*(0.87*(B$3073/90)+0.13)*(1/(B340/250))*IF(B747=1,0.31,1.25)*IF(B603=1,0.6,IF(B603=2,1.2,1))*(0.1*(B584/1.2)+0.9)*((0.97*(B1277/12))+0.03)*(1.78-0.78*(B1281/30))</f>
        <v>#VALUE!</v>
      </c>
    </row>
    <row r="2209" spans="1:3" x14ac:dyDescent="0.2">
      <c r="A2209">
        <v>1</v>
      </c>
      <c r="B2209" t="e">
        <f>(0.896*(B587/800)+0.11)*(1-0.521*LN((B600+B$3071)/100))*(0.86*(B$3073/90)+0.14)*(1/(B340/250))*IF(B747=1,0.31,1.25)*IF(B603=1,0.6,IF(B603=2,1.2,1))*(0.05*(B584/1.2)+0.95)*((0.9*(B1277/12))+0.1)</f>
        <v>#VALUE!</v>
      </c>
      <c r="C2209">
        <v>11</v>
      </c>
    </row>
    <row r="2210" spans="1:3" x14ac:dyDescent="0.2">
      <c r="A2210">
        <v>2</v>
      </c>
      <c r="B2210" t="e">
        <f>(1.55*(B587/800)-0.4*(B587/800)^2-0.15)*(1-0.44*LN((B600+B$3071)/(100)))*(0.6*(B$3073/90)+0.4)*(0.1/(B340/250)+0.9)*(0.61*(B326/27)+0.39)*(0.99/B572+0.01)*IF(B747=1,0.93,1)*IF(B603=1,0.6,IF(B603=2,1.2,1))*(0.61*(B403/3750)+0.39)*IF(B339=1,(0.066*(B397/220)+1.034),IF(B339=3,(0.09*(B396/20)+0.91),IF(B339=2,(0.36*(B395/385)+1.08))))*(0.04*(B584/1.2)+0.96)*(0.97*(B1277/12)+0.03)*((B1278/600)^-0.74)</f>
        <v>#VALUE!</v>
      </c>
    </row>
    <row r="2211" spans="1:3" x14ac:dyDescent="0.2">
      <c r="A2211">
        <v>3</v>
      </c>
      <c r="B2211" t="e">
        <f>(0.07*(B587/800)+0.93)*(1-0.44*LN((B600+B$3071)/(100)))*(0.6*(B$3073/90)+0.4)*(0.1/(B340/250)+0.9)*(0.63*(B326/27)+0.37)*(1.02/B572-0.02)*IF(B747=1,0.92,1.03)*IF(B603=1,0.6,IF(B603=2,1.2,1))*(0.64*(B403/3750)+0.36)*IF(B339=1,(0.066*(B397/220)+1.034),IF(B339=3,(0.09*(B396/20)+0.91),IF(B339=2,(0.39*(B395/385)+1.1))))*(0.93*(B584/1.2)+0.07)*((B1278/600)^-0.76)*IF(B3377=2,1,IF(B3377=1,1.49,IF(B3377=3,1.98,IF(B3377=7,5.91,IF(B3377=10,3.16,3.95)))))</f>
        <v>#VALUE!</v>
      </c>
    </row>
    <row r="2212" spans="1:3" x14ac:dyDescent="0.2">
      <c r="A2212">
        <v>4</v>
      </c>
      <c r="B2212" t="e">
        <f>(0.86*(B587/800)+0.14)*(1-0.52*LN(B$3071/50))*(0.87*(B$3073/90)+0.13)*(1/(B340/250))*IF(B747=1,0.052*(B757/1020000)+0.26,1.25)*IF(B603=1,0.6,IF(B603=2,1.2,1))*(0.05*(B584/1.2)+0.95)*((0.9*(B1277/12))+0.1)</f>
        <v>#VALUE!</v>
      </c>
    </row>
    <row r="2213" spans="1:3" x14ac:dyDescent="0.2">
      <c r="A2213">
        <v>1</v>
      </c>
      <c r="B2213">
        <f>1</f>
        <v>1</v>
      </c>
      <c r="C2213">
        <v>12</v>
      </c>
    </row>
    <row r="2214" spans="1:3" x14ac:dyDescent="0.2">
      <c r="A2214">
        <v>2</v>
      </c>
      <c r="B2214">
        <f>1</f>
        <v>1</v>
      </c>
    </row>
    <row r="2215" spans="1:3" x14ac:dyDescent="0.2">
      <c r="A2215">
        <v>3</v>
      </c>
      <c r="B2215" t="e">
        <f>(0.45*(B587/800)+0.55)*(1-0.271*LN((B600+B$3071)/(100)))*(0.76*(B$3073/90)+0.24)*(0.66/(B340/250)+0.34)*(0.35*(B326/27)+0.65)*(0.56/B572+0.44)*IF(B747=1,0.66,1.12)*(0.35*(B403/3750)+0.65)*IF(B339=1,(0.035*(B397/220)+0.97),IF(B339=3,(0.06*(B396/20)+0.94),IF(B339=2,(0.2*(B395/385)+1.05))))*(1.04*(B584/1.2)-0.04)*((0.95*(B1277/12))+0.05)*((B1278/600)^-0.42)*IF(B3377=2,1,IF(B3377=1,1.49,IF(B3377=3,1.98,IF(B3377=7,5.91,IF(B3377=10,1,3.95)))))</f>
        <v>#VALUE!</v>
      </c>
    </row>
    <row r="2216" spans="1:3" x14ac:dyDescent="0.2">
      <c r="A2216">
        <v>4</v>
      </c>
      <c r="B2216" t="e">
        <f>(0.86*(B587/800)+0.14)*(1-0.521*LN(B$3071/50))*(0.86*(B$3073/90)+0.14)*(1/(B340/250))*IF(B747=1,0.052*(B757/1020000)+0.26,1.25)*IF(B603=1,0.35,IF(B603=2,1.42,1))*(0.05*(B584/1.2)+0.95)*IF(B603=1,0.6,IF(B603=2,1.2,1))</f>
        <v>#VALUE!</v>
      </c>
    </row>
    <row r="2217" spans="1:3" x14ac:dyDescent="0.2">
      <c r="A2217">
        <v>1</v>
      </c>
      <c r="B2217">
        <f>1</f>
        <v>1</v>
      </c>
      <c r="C2217">
        <v>13</v>
      </c>
    </row>
    <row r="2218" spans="1:3" x14ac:dyDescent="0.2">
      <c r="A2218">
        <v>2</v>
      </c>
      <c r="B2218">
        <v>1</v>
      </c>
    </row>
    <row r="2219" spans="1:3" x14ac:dyDescent="0.2">
      <c r="A2219">
        <v>3</v>
      </c>
      <c r="B2219" t="e">
        <f>(0.45*(B587/800)+0.55)*(1-0.271*LN((B600+B$3071)/(100)))*(0.76*(B$3073/90)+0.24)*(0.68/(B340/250)+0.32)*(0.56/B572+0.44)*IF(B747=1,0.66,1.05)*(0.35*(B403/3750)+0.65)*IF(B339=1,(0.035*(B397/220)+0.97),IF(B339=3,(0.06*(B396/20)+0.94),IF(B339=2,(0.2*(B395/385)+1.05))))*(1.04*(B584/1.2)-0.04)*(0.35*(B326/27)+0.65)*(0.95*((B1277/12))+0.05)*((B1278/600)^-0.42)*IF(B3377=2,1,IF(B3377=1,1.49,IF(B3377=3,1.98,IF(B3377=7,5.91,IF(B3377=10,1,3.95)))))</f>
        <v>#VALUE!</v>
      </c>
    </row>
    <row r="2220" spans="1:3" x14ac:dyDescent="0.2">
      <c r="A2220">
        <v>4</v>
      </c>
      <c r="B2220" t="e">
        <f>(1.37*LN(B587/800)+1)*(1-0.88*LN(B$3071/50))*(0.87*(B$3073/90)+0.13)*(1/(B340/250))*IF(B747=1,0.052*(B757/1020000)+0.26,1.25)*IF(B603=1,0.367,IF(B603=2,1.44,1))*(0.1*(B584/1.2)+0.9)*IF(B603=1,0.6,IF(B603=2,1.2,1))*(0.06*(B1278/600)+0.94)*(1.78-0.78*(B1281/30))</f>
        <v>#VALUE!</v>
      </c>
    </row>
    <row r="2221" spans="1:3" x14ac:dyDescent="0.2">
      <c r="A2221">
        <v>1</v>
      </c>
      <c r="B2221">
        <f>1</f>
        <v>1</v>
      </c>
      <c r="C2221">
        <v>14</v>
      </c>
    </row>
    <row r="2222" spans="1:3" x14ac:dyDescent="0.2">
      <c r="A2222">
        <v>2</v>
      </c>
      <c r="B2222">
        <f>1</f>
        <v>1</v>
      </c>
    </row>
    <row r="2223" spans="1:3" x14ac:dyDescent="0.2">
      <c r="A2223">
        <v>3</v>
      </c>
      <c r="B2223" t="e">
        <f>(0.45*(B587/800)+0.55)*(1-0.271*LN((B600+B$3071)/(100)))*(0.76*(B$3073/90)+0.24)*(0.66/(B340/250)+0.34)*(0.35*(B326/27)+0.65)*(0.56/B572+0.44)*IF(B747=1,0.66,1.12)*(0.35*(B403/3750)+0.65)*IF(B339=1,(0.035*(B397/220)+0.97),IF(B339=3,(0.06*(B396/20)+0.94),IF(B339=2,(0.2*(B395/385)+1.05))))*(1.04*(B584/1.2)-0.04)*(0.95*((B1277/12))+0.05)*((B1278/600)^-0.42)*IF(B3377=2,1,IF(B3377=1,1.49,IF(B3377=3,1.98,IF(B3377=7,5.91,IF(B3377=10,1.43,3.95)))))</f>
        <v>#VALUE!</v>
      </c>
    </row>
    <row r="2224" spans="1:3" x14ac:dyDescent="0.2">
      <c r="A2224">
        <v>4</v>
      </c>
      <c r="B2224" t="e">
        <f>(0.79*(B587/800)+0.21)*(1-0.48*LN(B$3071/50))*(0.86*(B$3073/90)+0.14)*(1/(B340/250))*(0.61*(B326/27)+0.39)*IF(B747=1,0.92,1.03)*(0.05*(B584/1.2)+0.95)*IF(B339=1,(0.066*(B397/220)+1.034),IF(B339=3,(0.09*(B396/20)+0.91),IF(B339=2,(0.36*(B395/385)+1.08))))*(0.61*(B403/3750)+0.39)*(0.98/B572+0.02)*((0.9*(B1277/12))+0.1)*((B1278/600)^-0.73)*(IF(B1282=2,1.43,1))</f>
        <v>#VALUE!</v>
      </c>
    </row>
    <row r="2225" spans="1:3" x14ac:dyDescent="0.2">
      <c r="A2225">
        <v>1</v>
      </c>
      <c r="B2225">
        <f>1</f>
        <v>1</v>
      </c>
      <c r="C2225">
        <v>15</v>
      </c>
    </row>
    <row r="2226" spans="1:3" x14ac:dyDescent="0.2">
      <c r="A2226">
        <v>2</v>
      </c>
      <c r="B2226">
        <f>1</f>
        <v>1</v>
      </c>
    </row>
    <row r="2227" spans="1:3" x14ac:dyDescent="0.2">
      <c r="A2227">
        <v>3</v>
      </c>
      <c r="B2227" t="e">
        <f>(0.45*(B587/800)+0.55)*(1-0.271*LN((B600+B$3071)/(100)))*(0.76*(B$3073/90)+0.24)*(0.66/(B340/250)+0.34)*(0.35*(B326/27)+0.65)*(0.56/B572+0.44)*IF(B747=1,0.66,1.12)*IF(B339=1,(0.066*(B397/220)+1.034),IF(B339=3,(0.06*(B396/20)+0.94),IF(B339=2,(0.2*(B395/385)+1.05))))*(1.04*(B584/1.2)-0.04)*(0.35*(B403/3750)+0.65)*(0.95*((B1277/12))+0.05)*((B1278/600)^-0.42)*IF(B3377=2,1,IF(B3377=1,1.49,IF(B3377=3,1.98,IF(B3377=7,5.91,IF(B3377=10,1,3.95)))))</f>
        <v>#VALUE!</v>
      </c>
    </row>
    <row r="2228" spans="1:3" x14ac:dyDescent="0.2">
      <c r="A2228">
        <v>4</v>
      </c>
      <c r="B2228" t="e">
        <f>(0.45*(B587/800)+0.55)*(1-0.521*LN(B$3071/50))*(0.86*(B$3073/90)+0.14)*(1/(B340/250))*IF(B747=1,0.052*(B757/1020000)+0.26,1.25)*IF(B603=1,0.6,IF(B603=2,1.2,1))*(0.05*(B584/1.2)+0.95)*((0.9*(B1277/12))+0.1)</f>
        <v>#VALUE!</v>
      </c>
    </row>
    <row r="2229" spans="1:3" x14ac:dyDescent="0.2">
      <c r="A2229">
        <v>1</v>
      </c>
      <c r="B2229" t="e">
        <f>(0.15*EXP(1.8*B587/800))*(0.98*((B600+B$3071)/(100))^-1.12+0.02)*1*(0.6*(B$3073/90)+0.4)*(0.03/(B340/250)+0.97)*(0.61*(B326/27)+0.39)*(0.99/B572+0.01)*IF(B747=1,0.92,1.03)*(0.61*(B403/3750)+0.39)*IF(B339=1,(0.066*(B397/220)+1.034),IF(B339=3,(0.09*(B396/20)+0.91),IF(B339=2,(0.36*(B395/385)+1.08))))*(0.11*(B584/1.2)+0.89)*(0.96*((B1277/12))+0.04)*((B1278/600)^-0.74)</f>
        <v>#VALUE!</v>
      </c>
      <c r="C2229">
        <v>16</v>
      </c>
    </row>
    <row r="2230" spans="1:3" x14ac:dyDescent="0.2">
      <c r="A2230">
        <v>2</v>
      </c>
      <c r="B2230" t="e">
        <f>(1.55*(B587/800)-0.4*(B587/800)^2-0.15)*(1-0.44*LN((B600+B$3071)/(100)))*1*(0.6*(B$3073/90)+0.4)*(0.1/(B340/250)+0.9)*(0.61*(B326/27)+0.39)*(0.99/B572+0.01)*IF(B747=1,0.92,1.03)*(0.61*(B403/3750)+0.39)*IF(B339=1,(0.066*(B397/220)+1.034),IF(B339=3,(0.09*(B396/20)+0.91),IF(B339=2,(0.36*(B395/385)+1.08))))*(0.04*(B584/1.2)+0.96)*(0.97*((B1277/12))+0.03)*((B1278/600)^-0.74)</f>
        <v>#VALUE!</v>
      </c>
    </row>
    <row r="2231" spans="1:3" x14ac:dyDescent="0.2">
      <c r="A2231">
        <v>3</v>
      </c>
      <c r="B2231" t="e">
        <f>(0.45*(B587/800)+0.55)*(1-0.27*LN((B600+B$3071)/(100)))*(0.6*(B2505/90)+0.4)*(0.1/(B340/250)+0.9)*(0.35*(B326/27)+0.65)*(0.56/B572+0.44)*IF(B747=1,0.66,1.12)*(0.35*(B403/3750)+0.65)*IF(B339=1,(0.035*(B397/220)+0.97),IF(B339=3,(0.06*(B396/20)+0.94),IF(B339=2,(0.2*(B395/385)+1.05))))*(1.04*(B584/1.2)-0.04)*(0.95*((B1277/12))+0.05)*((B1278/600)^-0.42)*IF(B3377=2,1,IF(B3377=1,1.49,IF(B3377=3,1.98,IF(B3377=7,5.91,IF(B3377=10,3.16,3.95)))))</f>
        <v>#VALUE!</v>
      </c>
    </row>
    <row r="2232" spans="1:3" x14ac:dyDescent="0.2">
      <c r="A2232">
        <v>4</v>
      </c>
      <c r="B2232" t="e">
        <f>(0.86*(B587/800)+0.14)*(1-0.52*LN(B$3071/50))*(0.86*(B$3073/90)+0.14)*(1/(B340/250))*IF(B747=1,0.052*(B757/1020000)+0.26,1.25)*IF(B603=1,0.6,IF(B603=2,1.2,1))*(0.05*(B584/1.2)+0.95)*((0.9*(B1277/12))+0.1)</f>
        <v>#VALUE!</v>
      </c>
    </row>
    <row r="2233" spans="1:3" x14ac:dyDescent="0.2">
      <c r="A2233">
        <v>1</v>
      </c>
      <c r="B2233" t="e">
        <f>(0.15*EXP(1.8*B587/800))*(0.98*((B600+B$3071)/(100))^-1.12+0.02)*(0.6*(B$3073/90)+0.4)*(0.03/(B340/250)+0.97)*(0.61*(B326/27)+0.39)*(0.99/B572+0.01)*IF(B747=1,0.92,1.03)*(0.61*(B403/3750)+0.39)*IF(B339=1,(0.066*(B397/220)+1.034),IF(B339=3,(0.09*(B396/20)+0.91),IF(B339=2,(0.36*(B395/385)+1.08))))*(0.11*(B584/1.2)+0.89)*(0.96*(B1277/12)+0.04)*((B1278/600)^-0.74)</f>
        <v>#VALUE!</v>
      </c>
      <c r="C2233">
        <v>17</v>
      </c>
    </row>
    <row r="2234" spans="1:3" x14ac:dyDescent="0.2">
      <c r="A2234">
        <v>2</v>
      </c>
      <c r="B2234" t="e">
        <f>(1.55*(B587/800)-0.4*(B587/800)^2-0.15)*(1-0.44*LN((B600+B$3071)/(100)))*(0.6*(B$3073/90)+0.4)*(0.1/(B340/250)+0.9)*(0.61*(B326/27)+0.39)*(0.99/B572+0.01)*IF(B747=1,0.92,1.03)*IF(B603=1,0.58,IF(B603=2,1.22,1))*(0.61*(B403/3750)+0.39)*IF(B339=1,(0.066*(B397/220)+1.034),IF(B339=3,(0.09*(B396/20)+0.91),IF(B339=2,(0.36*(B395/385)+1.08))))*(0.04*(B584/1.2)+0.96)*((0.97*(B1277/12))+0.03)*((B1278/600)^-0.74)</f>
        <v>#VALUE!</v>
      </c>
    </row>
    <row r="2235" spans="1:3" x14ac:dyDescent="0.2">
      <c r="A2235">
        <v>3</v>
      </c>
      <c r="B2235" t="e">
        <f>(1.34*(B587/800)-0.34*(B587/800)^2)*(1-0.38*LN((B600+B$3071)/(100)))*(0.6*(B$3073/90)+0.4)*(0.002/(B340/250)+0.998)*(0.68*(B326/27)+0.32)*(1.02/B572-0.02)*IF(B747=1,0.99,1.03)*IF(B603=1,0.6,IF(B603=2,1.2,1))*(0.68*(B403/3750)+0.32)*IF(B339=1,(0.066*(B397/220)+0.934),IF(B339=3,(0.09*(B396/20)+0.91),IF(B339=2,(0.39*(B395/385)+1.1))))*(0.17*(B584/1.2)+0.83)*((B1278/600)^-0.82)*IF(B3377=2,1,IF(B3377=1,1.49,IF(B3377=3,1.98,IF(B3377=7,5.91,IF(B3377=10,1.29,3.95)))))</f>
        <v>#VALUE!</v>
      </c>
    </row>
    <row r="2236" spans="1:3" x14ac:dyDescent="0.2">
      <c r="A2236">
        <v>4</v>
      </c>
      <c r="B2236" t="e">
        <f>(0.86*(B587/800)+0.14)*(1-0.52*LN(B$3071/50))*1*(1/(B340/250))*IF(B747=1,0.052*(B757/1020000)+0.26,1.25)*IF(B603=1,0.6,IF(B603=2,1.2,1))*(0.05*(B584/1.2)+0.95)*((0.9*(B1277/12))+0.1)</f>
        <v>#VALUE!</v>
      </c>
    </row>
    <row r="2237" spans="1:3" x14ac:dyDescent="0.2">
      <c r="A2237">
        <v>1</v>
      </c>
      <c r="B2237" t="e">
        <f>(0.85*(B587/800)+0.15)*(1-0.521*LN((B600+B$3071)/100))*(0.86*(B$3073/90)+0.14)*(1/(B340/250))*IF(B747=1,0.052*(B757/1020000)+0.95,1.25)*IF(B603=1,0.6,IF(B603=2,1.2,1))*IF(B339=2,(0.204*(B395/385)+0.596),1)*(0.05*(B584/1.2)+0.95)*(0.9*(B1277/12)+0.1)</f>
        <v>#VALUE!</v>
      </c>
      <c r="C2237">
        <v>18</v>
      </c>
    </row>
    <row r="2238" spans="1:3" x14ac:dyDescent="0.2">
      <c r="A2238">
        <v>2</v>
      </c>
      <c r="B2238" t="e">
        <f>(-0.4*(B587/800)^2+1.55*(B587/800)-0.15)*(1-0.44*LN((B600+B$3071)/(100)))*(0.6*(B$3073/90)+0.4)*(0.1/(B340/250)+0.9)*(0.61*(B326/27)+0.39)*(0.99/B572+0.01)*IF(B747=1,0.92,1.03)*IF(B603=1,0.6,IF(B603=2,1.2,1))*(0.61*(B403/3750)+0.39)*IF(B339=1,(0.066*(B397/220)+1.034),IF(B339=3,(0.09*(B396/20)+0.91),IF(B339=2,(0.36*(B395/385)+1.08))))*(0.04*(B584/1.2)+0.96)*((0.97*(B1277/12))+0.03)*((B1278/600)^-0.74)</f>
        <v>#VALUE!</v>
      </c>
    </row>
    <row r="2239" spans="1:3" x14ac:dyDescent="0.2">
      <c r="A2239">
        <v>3</v>
      </c>
      <c r="B2239" t="e">
        <f>(0.07*(B587/800)+0.93)*(1-0.38*LN((B600+B$3071)/(100)))*(0.6*(B$3073/90)+0.4)*(0.1/(B340/250)+0.9)*(0.68*(B326/27)+0.32)*(1.02/B572-0.02)*IF(B747=1,0.95,1.02)*IF(B603=1,0.6,IF(B603=2,1.2,1))*(0.64*(B403/3750)+0.36)*IF(B339=1,(0.066*(B397/220)+1.034),IF(B339=3,(0.09*(B396/20)+0.91),IF(B339=2,(0.36*(B395/385)+1.08))))*(0.93*(B584/1.2)+0.07)*((B1278/600)^-0.76)*IF(B3377=2,1,IF(B3377=1,1.49,IF(B3377=3,1.98,IF(B3377=7,5.91,IF(B3377=10,3.18,3.95)))))</f>
        <v>#VALUE!</v>
      </c>
    </row>
    <row r="2240" spans="1:3" x14ac:dyDescent="0.2">
      <c r="A2240">
        <v>4</v>
      </c>
      <c r="B2240" t="e">
        <f>(0.86*(B587/800)+0.14)*(1-0.52*LN((B$3071)/(100)))*(0.86*(B$3073/90)+0.14)*(1/(B340/250))*IF(B747=1,0.052*(B757/1020000)+0.26,1.25)*IF(B603=1,0.6,IF(B603=2,1.2,1))*(0.05*(B584/1.2)+0.95)*((0.9*(B1277/12))+0.1)</f>
        <v>#VALUE!</v>
      </c>
    </row>
    <row r="2241" spans="1:3" x14ac:dyDescent="0.2">
      <c r="A2241">
        <v>1</v>
      </c>
      <c r="B2241" t="e">
        <f>(1.07*(B587/800)^2-0.32*(B587/800)+0.26)*(1-1.13*LN((B600+B$3071)/100))*(0.6*(B$3073/90)+0.4)*(0.03/(B340/250)+0.97)*(0.61*(B326/27)+0.39)*(0.99/B572+0.01)*IF(B747=1,0.92,1.03)*(0.61*(B403/3750)+0.39)*IF(B339=1,(0.066*(B397/220)+1.034),IF(B339=3,(0.09*(B396/20)+0.91),IF(B339=2,(0.36*(B395/385)+1.08))))*(0.1*(B584/1.2)+0.9)*((0.28/B1315)+0.72)*((0.96*(B1277/12))+0.04)*((B1278/600)^-0.74)</f>
        <v>#VALUE!</v>
      </c>
      <c r="C2241">
        <v>19</v>
      </c>
    </row>
    <row r="2242" spans="1:3" x14ac:dyDescent="0.2">
      <c r="A2242">
        <v>2</v>
      </c>
      <c r="B2242" t="e">
        <f>(-0.4*(B587/800)^2+1.55*(B587/800)-0.15)*(1-0.44*LN((B600+B$3071)/(100)))*(0.61*(B$3073/90)+0.39)*(0.1/(B340/250)+0.9)*(0.61*(B326/27)+0.39)*(0.99/B572+0.01)*IF(B747=1,0.92,1.03)*IF(B603=1,0.6,IF(B603=2,1.2,1))*(0.61*(B403/3750)+0.39)*IF(B339=1,(0.066*(B397/220)+1.034),IF(B339=3,(0.09*(B396/20)+0.91),IF(B339=2,(0.36*(B395/385)+1.08))))*(0.04*(B584/1.2)+0.96)*((0.97*(B1277/12))+0.03)*((B1278/600)^-0.74)</f>
        <v>#VALUE!</v>
      </c>
    </row>
    <row r="2243" spans="1:3" x14ac:dyDescent="0.2">
      <c r="A2243">
        <v>3</v>
      </c>
      <c r="B2243" t="e">
        <f>(0.07*(B587/800)+0.93)*(1-0.04*LN((B600+B$3071)/(100)))*(0.6*(B$3073/90)+0.4)*(0.02/(B340/250)+0.98)*(0.63*(B326/27)+0.37)*(1.02/B572-0.02)*IF(B747=1,0.95,1.02)*IF(B603=1,0.6,IF(B603=2,1.2,1))*(0.35*(B403/3750)+0.65)*IF(B339=1,(0.066*(B397/220)+1.034),IF(B339=3,(0.09*(B396/20)+0.91),IF(B339=2,(0.36*(B395/385)+1.08))))*(0.93*(B584/1.2)+0.07)*((B1278/600)^-0.76)*IF(B3377=2,1,IF(B3377=1,1.49,IF(B3377=3,1.98,IF(B3377=7,5.91,IF(B3377=10,1,3.95)))))</f>
        <v>#VALUE!</v>
      </c>
    </row>
    <row r="2244" spans="1:3" x14ac:dyDescent="0.2">
      <c r="A2244">
        <v>4</v>
      </c>
      <c r="B2244" t="e">
        <f>(0.86*(B587/800)+0.14)*(1-0.52*LN((B$3071)/(100)))*(0.86*(B$3073/90)+0.14)*(1/(B340/250))*IF(B747=1,0.052*(B757/1020000)+0.26,1.25)*IF(B603=1,0.6,IF(B603=2,1.2,1))*(0.05*(B584/1.2)+0.95)*((0.9*(B1277/12))+0.1)</f>
        <v>#VALUE!</v>
      </c>
    </row>
    <row r="2245" spans="1:3" x14ac:dyDescent="0.2">
      <c r="A2245">
        <v>1</v>
      </c>
      <c r="B2245" t="e">
        <f>(0.93*(B587/800)^2.1+0.07)*(1-1.13*LN((B600+B$3071)/100))*(0.6*(B$3073/90)+0.4)*(0.03/(B340/250)+0.97)*(0.61*(B326/27)+0.39)*(0.99/B572+0.01)*IF(B747=1,0.92,1.03)*(0.66*(B403/3750)+0.34)*IF(B339=1,(0.066*(B397/220)+1.034),IF(B339=3,(0.09*(B396/20)+0.91),IF(B339=2,(0.36*(B395/385)+1.08))))*(0.1*(B584/1.2)+0.9)*((0.28/B1315)+0.72)*(0.96*(B1277/12)+0.04)*((B1278/600)^-0.74)</f>
        <v>#VALUE!</v>
      </c>
      <c r="C2245">
        <v>20</v>
      </c>
    </row>
    <row r="2246" spans="1:3" x14ac:dyDescent="0.2">
      <c r="A2246">
        <v>2</v>
      </c>
      <c r="B2246" t="e">
        <f>(-0.4*(B587/800)^2+1.55*(B587/800)-0.15)*(1-0.44*LN((B600+B$3071)/(100)))*(0.61*(B$3073/90)+0.39)*(0.1/(B340/250)+0.9)*(0.61*(B326/27)+0.39)*(1.11/B572-0.11)*IF(B747=1,1,1)*IF(B603=1,0.6,IF(B603=2,1.2,1))*(0.69*(B403/3750)+0.31)*IF(B339=1,(0.066*(B397/220)+1.034),IF(B339=3,(0.1*(B396/20)+0.9),IF(B339=2,(0.4*(B395/385)+1.09))))*(0.04*(B584/1.2)+0.96)*((0.98*(B1277/12))+0.02)*((B1278/600)^-0.82)</f>
        <v>#VALUE!</v>
      </c>
    </row>
    <row r="2247" spans="1:3" x14ac:dyDescent="0.2">
      <c r="A2247">
        <v>3</v>
      </c>
      <c r="B2247" t="e">
        <f>(0.07*(B587/800)+0.93)*(1-0.04*LN((B600+B$3071)/(100)))*(0.6*(B$3073/90)+0.4)*(0.02/(B340/250)+0.98)*(0.63*(B326/27)+0.37)*(1.02/B572-0.02)*IF(B747=1,0.95,1.02)*IF(B603=1,0.6,IF(B603=2,1.2,1))*(0.64*(B403/3750)+0.36)*IF(B339=1,(0.066*(B397/220)+1.034),IF(B339=3,(0.09*(B396/20)+0.91),IF(B339=2,(0.36*(B395/385)+1.08))))*(0.93*(B584/1.2)+0.07)*((B1278/600)^-0.76)*IF(B3377=2,1,IF(B3377=1,1.49,IF(B3377=3,1.98,IF(B3377=7,5.91,IF(B3377=10,1,3.95)))))</f>
        <v>#VALUE!</v>
      </c>
    </row>
    <row r="2248" spans="1:3" x14ac:dyDescent="0.2">
      <c r="A2248">
        <v>4</v>
      </c>
      <c r="B2248" t="e">
        <f>(0.86*(B587/800)+0.14)*(1-0.52*LN((B$3071)/(100)))*(0.86*(B$3073/90)+0.14)*(1/(B340/250))*IF(B747=1,0.052*(B757/1020000)+0.26,1.25)*(0.05*(B584/1.2)+0.95)*IF(B603=1,0.6,IF(B603=2,1.2,1))*((0.9*(B1277/12))+0.1)</f>
        <v>#VALUE!</v>
      </c>
    </row>
    <row r="2249" spans="1:3" x14ac:dyDescent="0.2">
      <c r="A2249">
        <v>1</v>
      </c>
      <c r="B2249" t="e">
        <f>(1.07*(B587/800)^2-0.32*(B587/800)+0.26)*(1-1.13*LN((B600+B$3071)/100))*(0.6*(B$3073/90)+0.4)*(0.03/(B340/250)+0.97)*(0.61*(B326/27)+0.39)*(0.99/B572+0.01)*IF(B747=1,0.92,1.03)*(0.61*(B403/3750)+0.39)*IF(B339=1,(0.066*(B397/220)+1.034),IF(B339=3,(0.09*(B396/20)+0.91),IF(B339=2,(0.36*(B395/385)+1.08))))*(0.1*(B584/1.2)+0.9)*((0.28/B1315)+0.72)*(0.96*(B1277/12)+0.04)*((B1278/600)^-0.74)</f>
        <v>#VALUE!</v>
      </c>
      <c r="C2249">
        <v>21</v>
      </c>
    </row>
    <row r="2250" spans="1:3" x14ac:dyDescent="0.2">
      <c r="A2250">
        <v>2</v>
      </c>
      <c r="B2250" t="e">
        <f>(0.94*(B587/800)^-0.52*(B587/800)+0.58)*(((B600+B$3071)/(100))^-0.75)*(0.61*(B$3073/90)+0.39)*(0.03/(B340/250)+0.97)*(0.61*(B326/27)+0.39)*(0.99/B572+0.01)*IF(B747=1,0.92,1.03)*IF(B603=1,0.6,IF(B603=2,1.2,1))*(0.61*(B403/3750)+0.39)*IF(B339=1,(0.066*(B397/220)+1.034),IF(B339=3,(0.09*(B396/20)+0.91),IF(B339=2,(0.36*(B395/385)+1.08))))*(0.07*(B584/1.2)+0.93)*((0.97*(B1277/12))+0.03)*((B1278/600)^-0.74)*IF(B1281&gt;0,(1.98-0.98*LN(B1281/30)),1)</f>
        <v>#VALUE!</v>
      </c>
    </row>
    <row r="2251" spans="1:3" x14ac:dyDescent="0.2">
      <c r="A2251">
        <v>3</v>
      </c>
      <c r="B2251" t="e">
        <f>(1.17*(B587/800)-0.17)*((B600+B$3071)/(100))^-0.96*(0.6*(B$3073/90)+0.4)*1*(0.63*(B326/27)+0.37)*IF(B747=1,0.99,1)*IF(B603=1,0.6,IF(B603=2,1.2,1))*(0.68*(B403/3750)+0.32)*IF(B339=1,(0.066*(B397/220)+1.034),IF(B339=3,(0.09*(B396/20)+0.91),IF(B339=2,(0.39*(B395/385)+1.1))))*(0.1*(B584/1.2)+0.9)*(1.1/B572-0.1)*((B1278/600)^-0.82)*(1.47-0.47*(B1281/30))</f>
        <v>#VALUE!</v>
      </c>
    </row>
    <row r="2252" spans="1:3" x14ac:dyDescent="0.2">
      <c r="A2252">
        <v>4</v>
      </c>
      <c r="B2252" t="e">
        <f>(-0.38*(B587/800)^2+2.2*(B587/800)-0.82)*(1-0.88*LN((B$3071)/(100)))*(0.86*(B$3073/90)+0.14)*(1/(B340/250))*(0.05*(B326/27)+0.95)*IF(B747=1,0.052*(B757/1020000)+0.26,1.25)*IF(B603=1,0.6,IF(B603=2,1.2,1))*IF(B603=1,0.36,IF(B603=2,1.42,1))*(0.1*(B584/1.2)+0.9)*((0.9*(B1277/12))+0.1)*(1.78-0.78*(B1281/30))</f>
        <v>#VALUE!</v>
      </c>
    </row>
    <row r="2253" spans="1:3" x14ac:dyDescent="0.2">
      <c r="A2253">
        <v>1</v>
      </c>
      <c r="B2253" t="e">
        <f>(0.67*(B587/800)^2+0.2*(B587/800)+0.13)*(1-1.13*LN((B600+B$3071)/100))*(0.6*(B$3073/90)+0.4)*(0.03/(B340/250)+0.97)*(0.61*(B326/27)+0.39)*(0.99/B572+0.01)*IF(B747=1,0.92,1.03)*(0.61*(B403/3750)+0.39)*IF(B339=1,(0.066*(B397/220)+1.034),IF(B339=3,(0.09*(B396/20)+0.91),IF(B339=2,(0.36*(B395/385)+1.08))))*(0.1*(B584/1.2)+0.9)*((0.28/B1315)+0.72)*(0.96*(B1277/12)+0.04)*((B1278/600)^-0.74)</f>
        <v>#VALUE!</v>
      </c>
      <c r="C2253">
        <v>22</v>
      </c>
    </row>
    <row r="2254" spans="1:3" x14ac:dyDescent="0.2">
      <c r="A2254">
        <v>2</v>
      </c>
      <c r="B2254" t="e">
        <f>(1.55*(B587/800)-0.4*(B587/800)^2-0.15)*(1-0.44*LN((B600+B$3071)/(100)))*(0.6*(B$3073/90)+0.4)*(0.1/(B340/250)+0.9)*(0.61*(B326/27)+0.39)*(0.99/B572+0.01)*IF(B747=1,0.92,1.03)*IF(B603=1,0.6,IF(B603=2,1.2,1))*(0.61*(B403/3750)+0.39)*IF(B339=1,(0.066*(B397/220)+1.034),IF(B339=3,(0.09*(B396/20)+0.91),IF(B339=2,(0.36*(B395/385)+1.08))))*(0.04*(B584/1.2)+0.96)*(0.97*(B1277/12)+0.03)*((B1278/600)^-0.74)</f>
        <v>#VALUE!</v>
      </c>
    </row>
    <row r="2255" spans="1:3" x14ac:dyDescent="0.2">
      <c r="A2255">
        <v>3</v>
      </c>
      <c r="B2255" t="e">
        <f>(0.07*(B587/800)+0.93)*(1-0.04*LN((B600+B$3071)/(100)))*(0.59*(B$3073/90)+0.41)*(0.02/(B340/250)+0.98)*(0.67*(B326/27)+0.33)*(1.02/B572-0.02)*IF(B747=1,0.95,1.02)*IF(B603=1,0.6,IF(B603=2,1.2,1))*(0.64*(B403/3750)+0.36)*IF(B339=1,(0.066*(B397/220)+1.034),IF(B339=3,(0.06*(B396/20)+0.94),IF(B339=2,(0.36*(B395/385)+1.08))))*(0.93*(B584/1.2)+0.07)*((B1278/600)^-0.76)*IF(B3377=2,1,IF(B3377=1,1.49,IF(B3377=3,1.98,IF(B3377=7,5.91,IF(B3377=10,1,3.95)))))</f>
        <v>#VALUE!</v>
      </c>
    </row>
    <row r="2256" spans="1:3" x14ac:dyDescent="0.2">
      <c r="A2256">
        <v>4</v>
      </c>
      <c r="B2256" t="e">
        <f>(0.86*(B587/800)+0.14)*(1-0.52*LN((B$3071)/(100)))*(0.86*(B$3073/90)+0.14)*(1/(B340/250))*IF(B747=1,0.052*(B757/1020000)+0.26,1.25)*IF(B603=1,0.6,IF(B603=2,1.2,1))*(0.05*(B584/1.2)+0.95)*((0.9*(B1277/12))+0.1)</f>
        <v>#VALUE!</v>
      </c>
    </row>
    <row r="2257" spans="1:3" x14ac:dyDescent="0.2">
      <c r="A2257">
        <v>1</v>
      </c>
      <c r="B2257" t="e">
        <f>(1.07*(B587/800)^2-0.32*(B587/800)+0.26)*(1-1.13*LN((B600+B$3071)/100))*(0.6*(B$3073/90)+0.4)*1*(0.61*(B326/27)+0.39)*(0.99/B572+0.01)*IF(B747=1,0.92,1.03)*IF(B603=1,0.36,IF(B603=2,1.42,1))*(0.61*(B403/3750)+0.39)*IF(B339=1,(0.066*(B397/220)+1.034),IF(B339=3,(0.09*(B396/20)+0.91),IF(B339=2,(0.36*(B395/385)+1.08))))*(0.1*(B584/1.2)+0.9)*((0.28/B1315)+0.72)*(0.96*(B1277/12)+0.04)*((B1278/600)^-0.74)</f>
        <v>#VALUE!</v>
      </c>
      <c r="C2257">
        <v>23</v>
      </c>
    </row>
    <row r="2258" spans="1:3" x14ac:dyDescent="0.2">
      <c r="A2258">
        <v>2</v>
      </c>
      <c r="B2258" t="e">
        <f>(1.55*(B587/800)-0.4*(B587/800)^2-0.15)*(1-0.44*LN((B600+B$3071)/(100)))*(0.6*(B$3073/90)+0.4)*(0.1/(B340/250)+0.9)*(0.61*(B326/27)+0.39)*(0.99/B572+0.01)*IF(B747=1,0.92,1.03)*IF(B603=1,0.6,IF(B603=2,1.2,1))*(0.61*(B403/3750)+0.39)*IF(B339=1,(0.066*(B397/220)+1.034),IF(B339=3,(0.09*(B396/20)+0.91),IF(B339=2,(0.36*(B395/385)+1.08))))*(0.04*(B584/1.2)+0.96)*((0.97*(B1277/12))+0.03)*((B1278/600)^-0.74)</f>
        <v>#VALUE!</v>
      </c>
    </row>
    <row r="2259" spans="1:3" x14ac:dyDescent="0.2">
      <c r="A2259">
        <v>3</v>
      </c>
      <c r="B2259" t="e">
        <f>(0.07*(B587/800)+0.93)*(1-0.44*LN((B600+B$3071)/(100)))*(0.6*(B$3073/90)+0.4)*(0.1/(B340/250)+0.9)*(0.67*(B326/27)+0.33)*(1.02/B572-0.02)*IF(B747=1,0.95,1.02)*IF(B603=1,0.6,IF(B603=2,1.2,1))*(0.64*(B403/3750)+0.36)*IF(B339=1,(0.066*(B397/220)+1.034),IF(B339=3,(0.09*(B396/20)+0.91),IF(B339=2,(0.36*(B395/385)+1.08))))*(0.93*(B584/1.2)+0.07)*((B1278/600)^-0.76)</f>
        <v>#VALUE!</v>
      </c>
    </row>
    <row r="2260" spans="1:3" x14ac:dyDescent="0.2">
      <c r="A2260">
        <v>4</v>
      </c>
      <c r="B2260" t="e">
        <f>(0.86*(B587/800)+0.14)*(1-0.52*LN((B$3071)/(100)))*(0.86*(B$3073/90)+0.14)*(1/(B340/250))*IF(B747=1,0.052*(B757/1020000)+0.26,1.25)*IF(B603=1,0.6,IF(B603=2,1.2,1))*(0.05*(B584/1.2)+0.95)*(0.9*(B1277/12)+0.1)</f>
        <v>#VALUE!</v>
      </c>
    </row>
    <row r="2261" spans="1:3" x14ac:dyDescent="0.2">
      <c r="A2261">
        <v>1</v>
      </c>
      <c r="B2261" t="e">
        <f>(1.07*(B587/800)^2-0.32*(B587/800)+0.26)*(1-1.13*LN((B600+B$3071)/100))*(0.6*(B$3073/90)+0.4)*(1/(B340/250))*(0.61*(B326/27)+0.39)*(0.99/B572+0.01)*IF(B747=1,0.92,1.03)*(0.61*(B403/3750)+0.39)*IF(B339=1,(0.066*(B397/220)+1.034),IF(B339=3,(0.09*(B396/20)+0.91),IF(B339=2,(0.36*(B395/385)+1.08))))*(0.1*(B584/1.2)+0.9)*((0.72/B1315)+0.28)*(0.96*(B1277/12)+0.04)*((B1278/600)^-0.74)</f>
        <v>#VALUE!</v>
      </c>
      <c r="C2261">
        <v>24</v>
      </c>
    </row>
    <row r="2262" spans="1:3" x14ac:dyDescent="0.2">
      <c r="A2262">
        <v>2</v>
      </c>
      <c r="B2262">
        <f>1</f>
        <v>1</v>
      </c>
    </row>
    <row r="2263" spans="1:3" x14ac:dyDescent="0.2">
      <c r="A2263">
        <v>3</v>
      </c>
      <c r="B2263">
        <f>1</f>
        <v>1</v>
      </c>
    </row>
    <row r="2264" spans="1:3" x14ac:dyDescent="0.2">
      <c r="A2264">
        <v>4</v>
      </c>
      <c r="B2264">
        <f>1</f>
        <v>1</v>
      </c>
    </row>
    <row r="2265" spans="1:3" x14ac:dyDescent="0.2">
      <c r="A2265">
        <v>1</v>
      </c>
      <c r="B2265" t="e">
        <f>(1.64*(B587/800)-0.64)*(1-0.98*LN((B600+B$3071)/100))*(0.6*(B$3073/90)+0.4)*(0.04/(B340/250)+0.96)*(0.61*(B326/27)+0.39)*(0.99/B572+0.01)*IF(B747=1,0.92,1.03)*(0.61*(B403/3750)+0.39)*IF(B339=1,(0.066*(B397/220)+1.034),IF(B339=3,(0.09*(B396/20)+0.91),IF(B339=2,(0.36*(B395/385)+1.08))))*(0.1*(B584/1.2)+0.9)*((0.72/B1315)+0.28)*((0.96*(B1277/12))+0.04)*((B1278/600)^-0.74)*(1.44-0.44*(B1281/30))</f>
        <v>#VALUE!</v>
      </c>
      <c r="C2265">
        <v>25</v>
      </c>
    </row>
    <row r="2266" spans="1:3" x14ac:dyDescent="0.2">
      <c r="A2266">
        <v>2</v>
      </c>
      <c r="B2266">
        <f>1</f>
        <v>1</v>
      </c>
    </row>
    <row r="2267" spans="1:3" x14ac:dyDescent="0.2">
      <c r="A2267">
        <v>3</v>
      </c>
      <c r="B2267">
        <f>1</f>
        <v>1</v>
      </c>
    </row>
    <row r="2268" spans="1:3" x14ac:dyDescent="0.2">
      <c r="A2268">
        <v>4</v>
      </c>
      <c r="B2268">
        <f>1</f>
        <v>1</v>
      </c>
    </row>
    <row r="2269" spans="1:3" x14ac:dyDescent="0.2">
      <c r="A2269">
        <v>1</v>
      </c>
      <c r="B2269" t="e">
        <f>(0.85*(B587/800)+0.15)*(1-0.54*LN((B600+B$3071)/100))*(0.6*(B$3073/90)+0.4)*(0.04/(B340/250)+0.96)*(0.61*(B326/27)+0.39)*(0.99/B572+0.01)*IF(B747=1,0.92,1.03)*IF(B339=1,(0.066*(B397/220)+1.034),IF(B339=3,(0.09*(B396/20)+0.91),IF(B339=2,(0.36*(B395/385)+1.08))))*(0.05*(B584/1.2)+0.95)*(0.61*(B403/3750)+0.39)*((0.97*(B1277/12))+0.03)*((B1278/600)^-0.74)*((0.72/B1315)+0.28)*(IF(B1282=2,1.43,1))</f>
        <v>#VALUE!</v>
      </c>
      <c r="C2269">
        <v>26</v>
      </c>
    </row>
    <row r="2270" spans="1:3" x14ac:dyDescent="0.2">
      <c r="A2270">
        <v>2</v>
      </c>
      <c r="B2270">
        <v>1</v>
      </c>
    </row>
    <row r="2271" spans="1:3" x14ac:dyDescent="0.2">
      <c r="A2271">
        <v>3</v>
      </c>
      <c r="B2271">
        <v>1</v>
      </c>
    </row>
    <row r="2272" spans="1:3" x14ac:dyDescent="0.2">
      <c r="A2272">
        <v>4</v>
      </c>
      <c r="B2272">
        <v>1</v>
      </c>
    </row>
    <row r="2273" spans="1:3" x14ac:dyDescent="0.2">
      <c r="A2273">
        <v>1</v>
      </c>
      <c r="B2273" t="e">
        <f>(1.07*(B587/800)^2-0.32*(B587/800)+0.26)*(1-1.13*LN((B600+B$3071)/100))*(0.6*(B$3073/90)+0.4)*(1/(B340/250))*(0.61*(B326/27)+0.39)*IF(B747=1,0.92,1.03)*(0.61*(B403/3750)+0.39)*IF(B339=1,(0.066*(B397/220)+1.034),IF(B339=3,(0.09*(B396/20)+0.91),IF(B339=2,(0.36*(B395/385)+1.08))))*(0.1*(B584/1.2)+0.9)*(0.99/B572+0.01)*((0.96*(B1277/12))+0.04)*((B1278/600)^-0.74)*((0.72/B1315)+0.28)</f>
        <v>#VALUE!</v>
      </c>
      <c r="C2273">
        <v>27</v>
      </c>
    </row>
    <row r="2274" spans="1:3" x14ac:dyDescent="0.2">
      <c r="A2274">
        <v>2</v>
      </c>
      <c r="B2274">
        <v>1</v>
      </c>
    </row>
    <row r="2275" spans="1:3" x14ac:dyDescent="0.2">
      <c r="A2275">
        <v>3</v>
      </c>
      <c r="B2275">
        <v>1</v>
      </c>
    </row>
    <row r="2276" spans="1:3" x14ac:dyDescent="0.2">
      <c r="A2276">
        <v>4</v>
      </c>
      <c r="B2276">
        <v>1</v>
      </c>
    </row>
    <row r="2277" spans="1:3" x14ac:dyDescent="0.2">
      <c r="A2277">
        <v>1</v>
      </c>
      <c r="B2277" t="e">
        <f>(1.07*(B587/800)^2-0.32*(B587/800)+0.26)*(1-1.13*LN((B600+B$3071)/100))*(0.6*(B$3073/90)+0.4)*(1/(B340/250))*(0.61*(B326/27)+0.39)*IF(B747=1,0.92,1.03)*(0.61*(B403/3750)+0.39)*IF(B339=1,(0.066*(B397/220)+1.034),IF(B339=3,(0.09*(B396/20)+0.91),IF(B339=2,(0.36*(B395/385)+1.08))))*(0.1*(B584/1.2)+0.9)*(0.99/B572+0.01)*((0.96*(B1277/12))+0.04)*((B1278/600)^-0.74)*((0.72/B1315)+0.28)</f>
        <v>#VALUE!</v>
      </c>
      <c r="C2277">
        <v>28</v>
      </c>
    </row>
    <row r="2278" spans="1:3" x14ac:dyDescent="0.2">
      <c r="A2278">
        <v>2</v>
      </c>
      <c r="B2278">
        <v>1</v>
      </c>
    </row>
    <row r="2279" spans="1:3" x14ac:dyDescent="0.2">
      <c r="A2279">
        <v>3</v>
      </c>
      <c r="B2279">
        <v>1</v>
      </c>
    </row>
    <row r="2280" spans="1:3" x14ac:dyDescent="0.2">
      <c r="A2280">
        <v>4</v>
      </c>
      <c r="B2280">
        <v>1</v>
      </c>
    </row>
    <row r="2283" spans="1:3" x14ac:dyDescent="0.2">
      <c r="A2283" t="s">
        <v>5203</v>
      </c>
    </row>
    <row r="2284" spans="1:3" x14ac:dyDescent="0.2">
      <c r="A2284" t="s">
        <v>5220</v>
      </c>
    </row>
    <row r="2285" spans="1:3" x14ac:dyDescent="0.2">
      <c r="A2285" t="s">
        <v>5205</v>
      </c>
      <c r="C2285" t="s">
        <v>4566</v>
      </c>
    </row>
    <row r="2286" spans="1:3" x14ac:dyDescent="0.2">
      <c r="A2286">
        <v>1</v>
      </c>
      <c r="B2286" t="e">
        <f>(1.07*(B587/800)^-0.7)*(0.98*((B600+B$3071)/(100))^-1.12+0.02)*(0.6*(B$3073/90)+0.4)*(0.03/(B340/250)+0.97)*(0.61*(B326/27)+0.39)*IF(B747=1,0.99,1)*(0.61*(B403/3750)+0.39)*IF(B339=1,(0.066*(B397/220)+1.034),IF(B339=3,(0.09*(B396/20)+0.91),IF(B339=2,(0.36*(B395/385)+1.08))))*(0.11*(B584/1.2)+0.89)*(0.99/B572+0.01)*IF(B747=1,0.92,1.03)*((B1361/600)^-0.74)*(0.96*(B1360/12)+0.04)</f>
        <v>#VALUE!</v>
      </c>
      <c r="C2286">
        <v>1</v>
      </c>
    </row>
    <row r="2287" spans="1:3" x14ac:dyDescent="0.2">
      <c r="A2287">
        <v>2</v>
      </c>
      <c r="B2287" t="e">
        <f>(1.55*(B587/800)-0.4*(B587/800)^2-0.15)*(1-0.44*LN((B600+B$3071)/(100)))*(0.6*(B$3073/90)+0.4)*(0.1/(B340/250)+0.9)*(0.61*(B326/27)+0.39)*(0.4/B572+0.6)*IF(B747=1,0.92,1.03)*IF(B603=1,0.6,IF(B603=2,1.2,1))*(0.61*(B403/3750)+0.39)*IF(B339=1,(0.066*(B397/220)+1.034),IF(B339=3,(0.09*(B396/20)+0.91),IF(B339=2,(0.36*(B395/385)+1.08))))*(0.04*(B584/1.2)+0.96)*(0.97*(B1360/12)+0.03)*((B1361/600)^-0.74)</f>
        <v>#VALUE!</v>
      </c>
    </row>
    <row r="2288" spans="1:3" x14ac:dyDescent="0.2">
      <c r="A2288">
        <v>3</v>
      </c>
      <c r="B2288" t="e">
        <f>(0.07*(B587/800)+0.93)*(1-0.041*LN((B600+B$3071)/100))*(0.6*(B$3073/90)+0.4)*(0.1/(B340/250)+0.9)*(0.63*(B326/27)+0.07)*(1.02/B572-0.02)*IF(B747=1,0.95,1.02)*IF(B603=1,0.6,IF(B603=2,1.2,1))*(0.64*(B403/3750)+0.36)*IF(B339=1,(0.066*(B397/220)+1.034),IF(B339=3,(0.07*(B396/20)+0.93),IF(B339=2,(0.36*(B395/385)+1.08))))*(0.93*(B584/1.2)+0.07)*((B1361/600)^-0.76)*IF(B3387=2,1,IF(B3387=1,1.49,IF(B3387=3,1.98,IF(B3387=7,5.91,IF(B3387=10,1,3.95)))))</f>
        <v>#VALUE!</v>
      </c>
    </row>
    <row r="2289" spans="1:3" x14ac:dyDescent="0.2">
      <c r="A2289">
        <v>4</v>
      </c>
      <c r="B2289" t="e">
        <f>(0.07*(B587/800)+0.93)*(1-0.49*LN((B$3071/50)))*((0.86*(B$3073/90)+0.14))*(1/(B340/250))*IF(B747=1,(0.052*(B757/1020000)+0.26),1.25)*IF(B603=1,0.6,IF(B603=2,1.2,1))*(0.05*(B584/1.2)+0.95)*((0.9*(B1360/12))+0.1)</f>
        <v>#VALUE!</v>
      </c>
    </row>
    <row r="2290" spans="1:3" x14ac:dyDescent="0.2">
      <c r="A2290">
        <v>1</v>
      </c>
      <c r="B2290" t="e">
        <f>(1.07*(B587/800)^-0.7)*(0.98*((B600+B$3071)/(100))^-1.12+0.02)*(0.6*(B$3073/90)+0.4)*(0.03/(B340/250)+0.97)*(0.61*(B326/27)+0.39)*(0.99/B572+0.01)*IF(B747=1,0.92,1.03)*(0.61*(B403/3750)+0.39)*IF(B339=1,(0.066*(B397/220)+1.034),IF(B339=3,(0.09*(B396/20)+0.91),IF(B339=2,(0.36*(B395/385)+1.08))))*(0.11*(B584/1.2)+0.89)*(0.96*(B1360/12)+0.04)*((B1361/600)^-0.74)</f>
        <v>#VALUE!</v>
      </c>
      <c r="C2290">
        <v>2</v>
      </c>
    </row>
    <row r="2291" spans="1:3" x14ac:dyDescent="0.2">
      <c r="A2291">
        <v>2</v>
      </c>
      <c r="B2291" t="e">
        <f>(1.55*(B587/800)-0.4*(B587/800)^2-0.15)*(1-0.44*LN((B600+B$3071)/(100)))*(0.6*(B$3073/90)+0.4)*(0.1/(B340/250)+0.9)*(0.61*(B326/27)+0.39)*(0.99/B572+0.01)*IF(B747=1,0.92,1.03)*IF(B603=1,0.6,IF(B603=2,1.2,1))*(0.61*(B403/3750)+0.39)*IF(B339=1,(0.066*(B397/220)+1.034),IF(B339=3,(0.09*(B396/20)+0.91),IF(B339=2,(0.36*(B395/385)+1.08))))*(0.04*(B584/1.2)+0.96)*((0.97*(B1360/12))+0.03)*((B1361/600)^-0.74)</f>
        <v>#VALUE!</v>
      </c>
    </row>
    <row r="2292" spans="1:3" x14ac:dyDescent="0.2">
      <c r="A2292">
        <v>3</v>
      </c>
      <c r="B2292" t="e">
        <f>(0.07*(B587/800)+0.93)*(1-0.041*LN((B600+B$3071)/100))*(0.6*(B$3073/90)+0.4)*(0.1/(B340/250)+0.9)*(0.63*(B326/27)+0.37)*(1.1/B572+0.1)*IF(B747=1,0.95,1.02)*IF(B603=1,0.6,IF(B603=2,1.2,1))*(0.64*(B403/3750)+0.36)*(0.93*(B584/1.2)+0.07)*IF(B339=1,(0.066*(B397/220)+1.034),IF(B339=3,(0.09*(B396/20)+0.91),IF(B339=2,(0.36*(B395/385)+1.09))))*((B1361/600)^-0.82)*IF(B3387=2,1,IF(B3387=1,1.49,IF(B3387=3,1.98,IF(B3387=7,5.91,IF(B3387=10,1,3.95)))))</f>
        <v>#VALUE!</v>
      </c>
    </row>
    <row r="2293" spans="1:3" x14ac:dyDescent="0.2">
      <c r="A2293">
        <v>4</v>
      </c>
      <c r="B2293" t="e">
        <f>(0.07*(B587/800)+0.93)*(1-0.52*LN((B$3071/50)))*(0.86*(B$3073/90)+0.14)*(1/(B340/250))*IF(B747=1,0.31,1.25)*IF(B603=1,0.6,IF(B603=2,1.2,1))*(0.05*(B584/1.2)+0.95)*((0.9*(B1360/12))+0.1)</f>
        <v>#VALUE!</v>
      </c>
    </row>
    <row r="2294" spans="1:3" x14ac:dyDescent="0.2">
      <c r="A2294">
        <v>1</v>
      </c>
      <c r="B2294" t="e">
        <f>(1.07*(B587/800)^-0.7)*(0.98*((B600+B$3071)/(100))^-1.12+0.02)*(0.99/B572+0.01)*(0.03/(B340/250)+0.97)*(0.61*(B326/27)+0.39)*(0.4/(B572/1)+0.6)*IF(B747=1,0.92,1.03)*(0.61*(B403/3750)+0.39)*IF(B339=1,(0.066*(B397/220)+1.034),IF(B339=3,(0.09*(B396/20)+0.91),IF(B339=2,(0.36*(B395/385)+1.08))))*(0.11*(B584/1.2)+0.89)*(0.96*(B1360/12)+0.04)*((B1361/600)^-0.74)*(0.47*(B1364/30)^2-2.07*(B1364/30)+2.6)</f>
        <v>#VALUE!</v>
      </c>
      <c r="C2294">
        <v>3</v>
      </c>
    </row>
    <row r="2295" spans="1:3" x14ac:dyDescent="0.2">
      <c r="A2295">
        <v>2</v>
      </c>
      <c r="B2295" t="e">
        <f>(0.94*(B587/800)^2-0.52*(B587/800)+0.58)*(((B600+B$3071)/(100))^-0.75)*(0.6*(B$3073/90)+0.4)*(0.03/(B340/250)+0.97)*(0.61*(B326/27)+0.39)*(0.99/B572+0.01)*IF(B747=1,0.92,1.03)*IF(B603=1,0.6,IF(B603=2,1.2,1))*(0.69*(B403/3750)+0.31)*IF(B339=1,(0.066*(B397/220)+1.034),IF(B339=3,(0.09*(B396/20)+0.91),IF(B339=2,(0.36*(B395/385)+1.08))))*(0.04*(B584/1.2)+0.96)*((0.97*(B1360/12))+0.03)*((B1361/600)^-0.74)*IF(B1364&gt;0,(1-0.98*LN(B1364/30)),1)</f>
        <v>#VALUE!</v>
      </c>
    </row>
    <row r="2296" spans="1:3" x14ac:dyDescent="0.2">
      <c r="A2296">
        <v>3</v>
      </c>
      <c r="B2296" t="e">
        <f>(0.18*EXP(1.59*(B587/800)))*((B600+B$3071)/100)^-0.96*(0.6*(B$3073/90)+0.4)*1*(0.63*(B326/27)+0.37)*(1.1/B572+0.1)*IF(B747=1,0.99,1)*IF(B603=1,0.6,IF(B603=2,1.2,1))*(0.68*(B403/3750)+0.32)*IF(B339=1,1.01,IF(B339=3,(0.09*(B396/20)+0.91),IF(B339=2,(0.39*(B395/385)+1.1))))*(0.93*(B584/1.2)+0.07)*((B1361/600)^-0.82)*IF(B1364&gt;0,(1-0.5*LN(B1364/30)),1)</f>
        <v>#VALUE!</v>
      </c>
    </row>
    <row r="2297" spans="1:3" x14ac:dyDescent="0.2">
      <c r="A2297">
        <v>4</v>
      </c>
      <c r="B2297" t="e">
        <f>(1.37*LN(B587/800)+1)*(1-0.88*LN((B$3071/50)))*(0.86*(B$3073/90)+0.14)*(0.05*(B326/27)+0.95)*(1/(B340/250))*IF(B747=1,(0.052*(B757/1020000)+0.26),1.25)*IF(B603=1,0.6,IF(B603=2,1.2,1))*(0.1*(B584/1.2)+0.9)*((1.01*(B1360/12))-0.01)*(1.78-0.78*(B1364/30))</f>
        <v>#VALUE!</v>
      </c>
    </row>
    <row r="2298" spans="1:3" x14ac:dyDescent="0.2">
      <c r="A2298">
        <v>1</v>
      </c>
      <c r="B2298" t="e">
        <f>(1.07*(B587/800)^-0.7)*(0.98*((B600+B$3071)/(100))^-1.12+0.02)*(0.6*(B$3073/90)+0.4)*(0.03/(B340/250)+0.97)*(0.61*(B326/27)+0.39)*(0.99/B572+0.01)*IF(B747=1,0.92,1.03)*(0.61*(B403/3750)+0.39)*IF(B339=1,(0.066*(B397/220)+1.034),IF(B339=3,(0.09*(B396/20)+0.91),IF(B339=2,(0.36*(B395/385)+1.08))))*(0.11*(B584/1.2)+0.89)*(0.96*(B1360/12)+0.04)*((B1361/600)^-0.74)</f>
        <v>#VALUE!</v>
      </c>
      <c r="C2298">
        <v>4</v>
      </c>
    </row>
    <row r="2299" spans="1:3" x14ac:dyDescent="0.2">
      <c r="A2299">
        <v>2</v>
      </c>
      <c r="B2299" t="e">
        <f>(1.55*(B587/800)-0.4*(B587/800)^2-0.15)*(1-0.44*LN((B600+B$3071)/(100)))*(0.6*(B$3073/90)+0.4)*(0.1/(B340/250)+0.9)*(0.61*(B326/27)+0.39)*(0.99/B572+0.01)*IF(B747=1,0.92,1.03)*IF(B603=1,0.6,IF(B603=2,1.2,1))*(0.61*(B403/3750)+0.39)*IF(B339=1,(0.066*(B397/220)+1.034),IF(B339=3,(0.09*(B396/20)+0.91),IF(B339=2,(0.36*(B395/385)+1.08))))*(0.04*(B584/1.2)+0.96)*(0.97*(B1360/12)+0.03)*((B1361/600)^-0.74)</f>
        <v>#VALUE!</v>
      </c>
    </row>
    <row r="2300" spans="1:3" x14ac:dyDescent="0.2">
      <c r="A2300">
        <v>3</v>
      </c>
      <c r="B2300" t="e">
        <f>(0.07*(B587/800)+0.93)*(1-0.041*LN((B600+B$3071)/100))*(0.6*(B$3073/90)+0.4)*(0.1/(B340/250)+0.9)*(0.63*(B326/27)+0.37)*(1.02/B572+0.02)*IF(B747=1,0.95,1.02)*IF(B603=1,0.6,IF(B603=2,1.2,1))*(0.64*(B403/3750)+0.36)*IF(B339=1,(0.066*(B397/220)+1.034),IF(B339=3,(0.09*(B396/20)+0.91),IF(B339=2,(0.36*(B395/385)+1.08))))*(0.93*(B584/1.2)+0.07)*((B1361/600)^-0.82)*IF(B3387=2,1,IF(B3387=1,1.49,IF(B3387=3,1.98,IF(B3387=7,5.91,IF(B3387=10,3.16,3.95)))))</f>
        <v>#VALUE!</v>
      </c>
    </row>
    <row r="2301" spans="1:3" x14ac:dyDescent="0.2">
      <c r="A2301">
        <v>4</v>
      </c>
      <c r="B2301" t="e">
        <f>(0.86*(B587/800)+0.14)*(1-0.52*LN((B$3071/50)))*(0.86*(B$3073/90)+0.14)*(1/(B340/250))*IF(B747=1,0.95,1.03)*IF(B603=1,0.6,IF(B603=2,1.2,1))*(0.05*(B584/1.2)+0.95)*((0.9*(B1360/12))+0.1)</f>
        <v>#VALUE!</v>
      </c>
    </row>
    <row r="2302" spans="1:3" x14ac:dyDescent="0.2">
      <c r="A2302">
        <v>1</v>
      </c>
      <c r="B2302" t="e">
        <f>(2*(B587/800)^2 -1.94*(B587/800)+0.94)*(0.98*((B600+B$3071)/(100))^-1.12+0.02)*(0.6*(B$3073/90)+0.4)*(0.03/(B340/250)+0.97)*(0.61*(B326/27)+0.39)*(0.99/B572+0.01)*IF(B747=1,0.92,1.03)*IF(B603=1,0.36,IF(B603=2,1.42,1))*(0.61*(B403/3750)+0.39)*IF(B339=1,(0.066*(B397/220)+1.034),IF(B339=3,(0.09*(B396/20)+0.91),IF(B339=2,(0.36*(B395/385)+1.08))))*(0.11*(B584/1.2)+0.89)*(0.87*(B1360/12)+0.13)*((B1361/600)^-0.74)</f>
        <v>#VALUE!</v>
      </c>
      <c r="C2302">
        <v>5</v>
      </c>
    </row>
    <row r="2303" spans="1:3" x14ac:dyDescent="0.2">
      <c r="A2303">
        <v>2</v>
      </c>
      <c r="B2303" t="e">
        <f>(1.55*(B587/800)-0.4*(B587/800)^2-0.15)*(1-0.44*LN((B600+B$3071)/(100)))*(0.6*(B$3073/90)+0.4)*(0.1/(B340/250)+0.9)*(0.61*(B326/27)+0.39)*(0.99/B572+0.01)*IF(B747=1,0.92,1.03)*IF(B603=1,0.6,IF(B603=2,1.2,1))*(0.61*(B403/3750)+0.39)*IF(B339=1,(0.066*(B397/220)+1.034),IF(B339=3,(0.09*(B396/20)+0.91),IF(B339=2,(0.36*(B395/385)+1.08))))*(0.04*(B584/1.2)+0.96)*((0.97*(B1360/12))+0.03)*((B1361/600)^-0.74)</f>
        <v>#VALUE!</v>
      </c>
    </row>
    <row r="2304" spans="1:3" x14ac:dyDescent="0.2">
      <c r="A2304">
        <v>3</v>
      </c>
      <c r="B2304" t="e">
        <f>(0.07*(B587/800)+0.93)*(1-0.041*LN((B600+B$3071)/100))*(0.6*(B$3073/90)+0.4)*(0.1/(B340/250)+0.9)*(0.63*(B326/27)+0.37)*(1.02/B572+0.02)*IF(B747=1,0.95,1.02)*IF(B603=1,0.6,IF(B603=2,1.2,1))*(0.64*(B403/3750)+0.36)*IF(B339=1,(0.066*(B397/220)+1.034),IF(B339=3,(0.09*(B396/20)+0.91),IF(B339=2,(0.36*(B395/385)+1.08))))*(0.93*(B584/1.2)+0.07)*((B1361/600)^-0.76)</f>
        <v>#VALUE!</v>
      </c>
    </row>
    <row r="2305" spans="1:3" x14ac:dyDescent="0.2">
      <c r="A2305">
        <v>4</v>
      </c>
      <c r="B2305" t="e">
        <f>(0.86*(B587/800)-0.14)*(1-0.52*LN((B$3071/50)))*(0.86*(B$3073/90)+0.14)*(1/(B340/250))*IF(B747=1,(0.052*(B757/1020000)+0.26),1.25)*IF(B603=1,0.6,IF(B603=2,1.2,1))*(0.05*(B584/1.2)+0.95)*((0.9*(B1360/12))+0.1)</f>
        <v>#VALUE!</v>
      </c>
    </row>
    <row r="2306" spans="1:3" x14ac:dyDescent="0.2">
      <c r="A2306">
        <v>1</v>
      </c>
      <c r="B2306">
        <f>1</f>
        <v>1</v>
      </c>
      <c r="C2306">
        <v>6</v>
      </c>
    </row>
    <row r="2307" spans="1:3" x14ac:dyDescent="0.2">
      <c r="A2307">
        <v>2</v>
      </c>
      <c r="B2307">
        <f>1</f>
        <v>1</v>
      </c>
    </row>
    <row r="2308" spans="1:3" x14ac:dyDescent="0.2">
      <c r="A2308">
        <v>3</v>
      </c>
      <c r="B2308" t="e">
        <f>(0.45*(B587/800)+0.55)*(1-0.27*LN((B600+B$3071)/100))*(0.76*(B$3073/90)+0.24)*(0.66/(B340/250)+0.34)*(0.35*(B326/27)+0.65)*(0.56/B572+0.44)*IF(B747=1,0.66,1.12)*(0.35*(B403/3750)+0.65)*IF(B339=1,(0.035*(B397/220)+0.97),IF(B339=3,(0.09*(B396/20)+0.91),IF(B339=2,(0.2*(B395/385)+1.05))))*(1.04*(B584/1.2)-0.04)*(0.95*((B1360/12))+0.05)*((B1361/600)^-0.42)*IF(B3387=2,1,IF(B3387=1,1.49,IF(B3387=3,1.98,IF(B3387=7,5.91,IF(B3387=10,1.43,3.95)))))</f>
        <v>#VALUE!</v>
      </c>
    </row>
    <row r="2309" spans="1:3" x14ac:dyDescent="0.2">
      <c r="A2309">
        <v>4</v>
      </c>
      <c r="B2309" t="e">
        <f>(0.86*(B587/800)+0.14)*(1-0.52*LN((B$3071)/100))*(0.86*(B$3073/90)+0.14)*(1/(B340/250))*IF(B747=1,(0.052*(B757/1020000)+0.26),1.25)*IF(B603=1,0.36,IF(B603=2,1.42,1))*(0.05*(B584/1.2)+0.95)*((0.9*(B1360/12))+0.1)</f>
        <v>#VALUE!</v>
      </c>
    </row>
    <row r="2310" spans="1:3" x14ac:dyDescent="0.2">
      <c r="A2310">
        <v>1</v>
      </c>
      <c r="B2310" t="e">
        <f>(1.07*(B587/800)^1.98-0.07)*(0.98*((B600+B$3071)/(100))^-1.12+0.02)*(0.6*(B$3073/90)+0.4)*(0.03/(B340/250)+0.97)*(0.61*(B326/27)+0.39)*(0.99/B572+0.01)*IF(B747=1,0.92,1.03)*(0.61*(B403/3750)+0.39)*IF(B339=1,(0.066*(B397/220)+1.034),IF(B339=3,(0.09*(B396/20)+0.91),IF(B339=2,(0.36*(B395/385)+1.08))))*(0.11*(B584/1.2)+0.89)*(0.96*(B1360/12)+0.04)*((B1361/600)^-0.74)</f>
        <v>#VALUE!</v>
      </c>
      <c r="C2310">
        <v>7</v>
      </c>
    </row>
    <row r="2311" spans="1:3" x14ac:dyDescent="0.2">
      <c r="A2311">
        <v>2</v>
      </c>
      <c r="B2311" t="e">
        <f>(1.55*(B587/800)-0.4*(B587/800)^2-0.15)*(1-0.44*LN((B600+B$3071)/(100)))*(0.6*(B$3073/90)+0.4)*(0.1/(B340/250)+0.9)*(0.61*(B326/27)+0.39)*(0.99/B572+0.01)*IF(B747=1,0.92,1.03)*IF(B603=1,0.6,IF(B603=2,1.2,1))*(0.61*(B403/3750)+0.39)*IF(B339=1,(0.066*(B397/220)+1.034),IF(B339=3,(0.09*(B396/20)+0.91),IF(B339=2,(0.36*(B395/385)+1.08))))*(0.04*(B584/1.2)+0.96)*((0.97*(B1360/12))+0.03)*((B1361/600)^-0.74)</f>
        <v>#VALUE!</v>
      </c>
    </row>
    <row r="2312" spans="1:3" x14ac:dyDescent="0.2">
      <c r="A2312">
        <v>3</v>
      </c>
      <c r="B2312" t="e">
        <f>(0.07*(B587/800)+0.93)*(1-0.041*LN((B600+B$3071)/100))*(0.6*(B$3073/90)+0.4)*(0.1/(B340/250)+0.9)*(0.63*(B326/27)+0.37)*(1.02/B572-0.02)*IF(B747=1,0.99,1)*IF(B603=1,0.6,IF(B603=2,1.2,1))*(0.64*(B403/3750)+0.36)*IF(B339=1,(0.066*(B397/220)+1.034),IF(B339=3,(0.09*(B396/20)+0.91),IF(B339=2,(0.36*(B395/385)+1.08))))*(0.93*(B584/1.2)+0.07)*IF(B747=1,0.95,1.02)*((B1361/600)^-0.74)*IF(B3387=2,1,IF(B3387=1,1.49,IF(B3387=3,1.98,IF(B3387=7,5.91,IF(B3387=10,1,3.95)))))</f>
        <v>#VALUE!</v>
      </c>
    </row>
    <row r="2313" spans="1:3" x14ac:dyDescent="0.2">
      <c r="A2313">
        <v>4</v>
      </c>
      <c r="B2313" t="e">
        <f>(0.86*(B587/800)+0.15)*(1-0.52*LN((B$3071/50)))*(0.86*(B$3073/90)+0.14)*(1/(B340/250))*IF(B603=1,0.6,IF(B603=2,1.2,1))*(0.05*(B584/1.2)+0.95)*IF(B747=1,(0.052*(B757/1020000)+0.26),1.25)*((0.9*(B1360/12))+0.1)</f>
        <v>#VALUE!</v>
      </c>
    </row>
    <row r="2314" spans="1:3" x14ac:dyDescent="0.2">
      <c r="A2314">
        <v>1</v>
      </c>
      <c r="B2314" t="e">
        <f>(1.38*LN(B587/800)+1)*(1-0.88*LN((B600+B$3071)/100))*(0.86*(B$3073/90)+0.14)*(1/(B340/250))*IF(B747=1,0.052*(B757/1020000)+0.26,1.25)*IF(B603=1,0.6,IF(B603=2,1.2,1))*(0.09*(B584/1.2)+0.91)*(0.9*(B1360/12)+0.1)*((B1361/600)^-0.74)*(1.79-0.79*(B1364/30))</f>
        <v>#VALUE!</v>
      </c>
      <c r="C2314">
        <v>8</v>
      </c>
    </row>
    <row r="2315" spans="1:3" x14ac:dyDescent="0.2">
      <c r="A2315">
        <v>2</v>
      </c>
      <c r="B2315" t="e">
        <f>(0.94*((B587/800)^2-0.52*(B587/800)+0.58))*(((B600+B$3071)/(100))^-0.75)*(0.6*(B$3073/90)+0.4)*(0.03/(B340/250)+0.97)*(0.61*(B326/27)+0.39)*(0.99/B572+0.01)*IF(B747=1,0.92,1.03)*IF(B603=1,0.6,IF(B603=2,1.2,1))*(0.61*(B403/3750)+0.39)*IF(B339=1,(0.066*(B397/220)+1.034),IF(B339=3,(0.09*(B396/20)+0.91),IF(B339=2,(0.36*(B395/385)+1.08))))*(0.07*(B584/1.2)+0.93)*((0.97*(B1360/12))+0.03)*((B1361/600)^-0.74)*IF(B1364&gt;0,(1-1.14*LN(B1364/30)),1)</f>
        <v>#VALUE!</v>
      </c>
    </row>
    <row r="2316" spans="1:3" x14ac:dyDescent="0.2">
      <c r="A2316">
        <v>3</v>
      </c>
      <c r="B2316" t="e">
        <f>(0.07*(B587/800)+0.93)*(((B600+B$3071)/100)^-0.05)*(0.6*(B$3073/90)+0.4)*(0.1/(B340/250)+0.9)*(0.65*(B326/27)+0.35)*(1.05/B572-0.05)*IF(B747=1,0.96,1.01)*IF(B603=1,0.6,IF(B603=2,1.2,1))*(0.65*(B403/3750)+0.35)*IF(B339=1,(0.063*(B397/220)+0.94),IF(B339=3,(0.09*(B396/20)+0.91),IF(B339=2,(0.39*(B395/385)+1.1))))*(0.95*(B584/1.2)+0.05)*((B1361/600)^-0.78)*(1.044-0.044*(B1364/30))*IF(B3387=2,1,IF(B3387=1,1.49,IF(B3387=3,1.98,IF(B3387=7,5.91,IF(B3387=10,1,3.95)))))</f>
        <v>#VALUE!</v>
      </c>
    </row>
    <row r="2317" spans="1:3" x14ac:dyDescent="0.2">
      <c r="A2317">
        <v>4</v>
      </c>
      <c r="B2317" t="e">
        <f>(1.37*LN(B587/800)+1)*(1-0.88*LN(B$3071/50))*1*(1/(B340/250))*IF(B747=1,0.052*(B757/1020000)+0.26,1.25)*IF(B603=1,0.6,IF(B603=2,1.2,1))*(0.1*(B584/1.2)+0.9)*((0.9*(B1360/12))+0.1)*(1.78-0.78*(B1364/30))</f>
        <v>#VALUE!</v>
      </c>
    </row>
    <row r="2318" spans="1:3" x14ac:dyDescent="0.2">
      <c r="A2318">
        <v>1</v>
      </c>
      <c r="B2318" t="e">
        <f>(0.79*(B587/800)+0.21)*(1-0.48*LN((B600+B$3071)/100))*(0.6*(B$3073/90)+0.4)*(0.1/(B340/250)+0.9)*(0.61*(B326/27)+0.39)*(0.99/B572+0.01)*IF(B747=1,0.92,1.03)*IF(B339=1,(0.066*(B397/220)+1.034),IF(B339=3,(0.09*(B396/20)+0.91),IF(B339=2,(0.36*(B395/385)+1.08))))*(0.05*(B584/1.2)+0.95)*(0.61*(B403/3750)+0.39)*((0.97*(B1360/12))+0.03)*((B1361/600)^-0.74)</f>
        <v>#VALUE!</v>
      </c>
      <c r="C2318">
        <v>9</v>
      </c>
    </row>
    <row r="2319" spans="1:3" x14ac:dyDescent="0.2">
      <c r="A2319">
        <v>2</v>
      </c>
      <c r="B2319" t="e">
        <f>(0.93*(B587/800)+0.07)*(1-0.561*LN((B600+B$3071)/100))*(0.6*(B$3073/90)+0.4)*(0.07/(B340/250)+0.93)*(0.61*(B326/27)+0.39)*(0.99/B572+0.01)*IF(B747=1,0.92,1.03)*IF(B603=1,0.6,IF(B603=2,1.2,1))*(0.61*(B403/3750)+0.39)*IF(B339=1,(0.066*(B397/220)+1.034),IF(B339=3,(0.09*(B396/20)+0.91),IF(B339=2,(0.36*(B395/385)+1.08))))*(0.06*(B584/1.2)+0.94)*(IF(B1365=2,1.43,1))*(0.97*(B1360/12)+0.03)*((B1361/600)^-0.82)</f>
        <v>#VALUE!</v>
      </c>
    </row>
    <row r="2320" spans="1:3" x14ac:dyDescent="0.2">
      <c r="A2320">
        <v>3</v>
      </c>
      <c r="B2320" t="e">
        <f>(0.07*(B587/800)+0.93)*(1-0.04*LN((B600+B$3071)/100))*1*1*1*1*1*(0.93*(B584/1.2)+0.07)*(0.63*(B326/27)+0.37)*(0.64*(B403/3750)+0.36)*IF(B339=1,(0.066*(B397/220)+1.034),IF(B339=3,(0.09*(B396/20)+0.91),IF(B339=2,(0.36*(B395/385)+1.09))))*IF(B603=1,0.6,IF(B603=2,1.2,1))*IF(B747=1,0.95,1.02)*(1.02/B572-0.02)*IF(B3387=2,1,IF(B3387=1,1.49,IF(B3387=3,1.98,IF(B3387=7,5.91,IF(B3387=10,1,3.95)))))*((B1361/600)^-0.76)</f>
        <v>#VALUE!</v>
      </c>
    </row>
    <row r="2321" spans="1:3" x14ac:dyDescent="0.2">
      <c r="A2321">
        <v>4</v>
      </c>
      <c r="B2321" t="e">
        <f>(0.79*(B587/800)+0.21)*(1-0.48*LN(B$3071/50))*1*1*1*(0.05*(B584/1.2)+0.95)*IF(B603=1,0.6,IF(B603=2,1.2,1))*IF(B747=1,0.052*(B757/1020000)+0.26,1.25)*((0.9*(B1360/12))+0.1)</f>
        <v>#VALUE!</v>
      </c>
    </row>
    <row r="2322" spans="1:3" x14ac:dyDescent="0.2">
      <c r="A2322">
        <v>1</v>
      </c>
      <c r="B2322" t="e">
        <f>(1.38*LN(B587/800)+1)*(1-0.88*LN((B600+B$3071)/100))*(0.86*(B$3073/90)+0.14)*(1/(B340/250))*IF(B747=1,0.052*(B757/1020000)+0.26,1.25)*IF(B603=1,0.6,IF(B603=2,1.2,1))*(0.09*(B584/1.2)+0.91)*((0.9*(B1360/12))+0.1)*IF(B1364&gt;0,(1.79-0.79*LN(B1364/30)),1)</f>
        <v>#VALUE!</v>
      </c>
      <c r="C2322">
        <v>10</v>
      </c>
    </row>
    <row r="2323" spans="1:3" x14ac:dyDescent="0.2">
      <c r="A2323">
        <v>2</v>
      </c>
      <c r="B2323" t="e">
        <f>(0.94*(B587/800)^2-0.52*(B587/800)+0.58)*(((B600+B$3071)/(100))^-0.75)*(0.6*(B$3073/90)+0.4)*(0.03/(B340/250)+0.97)*(0.61*(B326/27)+0.39)*(0.99/B572+0.01)*IF(B747=1,0.92,1.03)*IF(B603=1,0.6,IF(B603=2,1.2,1))*(0.61*(B403/3750)+0.39)*IF(B339=1,(0.066*(B397/220)+1.034),IF(B339=3,(0.09*(B396/20)+0.91),IF(B339=2,(0.36*(B395/385)+1.08))))*(0.07*(B584/1.2)+0.93)*((0.97*(B1360/12))+0.03)*((B1361/600)^-0.74)*IF(B1364&gt;0,(1-1.14*LN(B1364/30)),1)</f>
        <v>#VALUE!</v>
      </c>
    </row>
    <row r="2324" spans="1:3" x14ac:dyDescent="0.2">
      <c r="A2324">
        <v>3</v>
      </c>
      <c r="B2324" t="e">
        <f>(0.078*LN(B587/800)+1)*(((B600+B$3071)/(100))^-0.05)*1*(0.6*(B$3073/90)+0.4)*(0.1/(B340/250)+0.9)*(0.65*(B326/27)+0.35)*(1.05/B572-0.05)*IF(B603=1,0.6,IF(B603=2,1.2,1))*(0.65*(B403/3750)+0.35)*IF(B339=1,(0.066*(B397/220)+1.034),IF(B339=3,(0.09*(B396/20)+0.91),IF(B339=2,(0.39*(B395/385)+1.1))))*(0.95*(B584/1.2)+0.05)*IF(B747=1,0.96,1.01)*((B1361/600)^-0.42)*(1.044-0.044*(B1364/30))*IF(B3387=2,1,IF(B3387=1,1.49,IF(B3387=3,1.98,IF(B3387=7,5.91,IF(B3387=10,1,3.95)))))</f>
        <v>#VALUE!</v>
      </c>
    </row>
    <row r="2325" spans="1:3" x14ac:dyDescent="0.2">
      <c r="A2325">
        <v>4</v>
      </c>
      <c r="B2325" t="e">
        <f>(1.37*LN(B587/800)+1)*(1-0.88*LN(B$3071/50))*1*(0.87*(B$3073/90)+0.13)*(1/(B340/250))*IF(B747=1,0.31,1.25)*IF(B603=1,0.6,IF(B603=2,1.2,1))*(0.1*(B584/1.2)+0.9)*((0.97*(B1360/12))+0.03)*(1.78-0.78*(B1364/30))</f>
        <v>#VALUE!</v>
      </c>
    </row>
    <row r="2326" spans="1:3" x14ac:dyDescent="0.2">
      <c r="A2326">
        <v>1</v>
      </c>
      <c r="B2326" t="e">
        <f>(0.896*(B587/800)+0.11)*(1-0.521*LN((B600+B$3071)/100))*(0.86*(B$3073/90)+0.14)*(1/(B340/250))*IF(B747=1,0.31,1.25)*IF(B603=1,0.6,IF(B603=2,1.2,1))*(0.05*(B584/1.2)+0.95)*((0.9*(B1360/12))+0.1)</f>
        <v>#VALUE!</v>
      </c>
      <c r="C2326">
        <v>11</v>
      </c>
    </row>
    <row r="2327" spans="1:3" x14ac:dyDescent="0.2">
      <c r="A2327">
        <v>2</v>
      </c>
      <c r="B2327" t="e">
        <f>(1.55*(B587/800)-0.4*(B587/800)^2-0.15)*(1-0.44*LN((B600+B$3071)/(100)))*(0.6*(B$3073/90)+0.4)*(0.1/(B340/250)+0.9)*(0.61*(B326/27)+0.39)*(0.99/B572+0.01)*IF(B747=1,0.93,1)*IF(B603=1,0.6,IF(B603=2,1.2,1))*(0.61*(B403/3750)+0.39)*IF(B339=1,(0.066*(B397/220)+1.034),IF(B339=3,(0.09*(B396/20)+0.91),IF(B339=2,(0.36*(B395/385)+1.08))))*(0.04*(B584/1.2)+0.96)*(0.97*(B1360/12)+0.03)*((B1361/600)^-0.74)</f>
        <v>#VALUE!</v>
      </c>
    </row>
    <row r="2328" spans="1:3" x14ac:dyDescent="0.2">
      <c r="A2328">
        <v>3</v>
      </c>
      <c r="B2328" t="e">
        <f>(0.07*(B587/800)+0.93)*(1-0.44*LN((B600+B$3071)/(100)))*(0.6*(B$3073/90)+0.4)*(0.1/(B340/250)+0.9)*(0.63*(B326/27)+0.37)*(1.02/B572-0.02)*IF(B747=1,0.92,1.03)*IF(B603=1,0.6,IF(B603=2,1.2,1))*(0.64*(B403/3750)+0.36)*IF(B339=1,(0.066*(B397/220)+1.034),IF(B339=3,(0.09*(B396/20)+0.91),IF(B339=2,(0.39*(B395/385)+1.1))))*(0.93*(B584/1.2)+0.07)*((B1361/600)^-0.76)*IF(B3387=2,1,IF(B3387=1,1.49,IF(B3387=3,1.98,IF(B3387=7,5.91,IF(B3387=10,3.16,3.95)))))</f>
        <v>#VALUE!</v>
      </c>
    </row>
    <row r="2329" spans="1:3" x14ac:dyDescent="0.2">
      <c r="A2329">
        <v>4</v>
      </c>
      <c r="B2329" t="e">
        <f>(0.86*(B587/800)+0.14)*(1-0.52*LN(B$3071/50))*(0.87*(B$3073/90)+0.13)*(1/(B340/250))*IF(B747=1,0.052*(B757/1020000)+0.26,1.25)*IF(B603=1,0.6,IF(B603=2,1.2,1))*(0.05*(B584/1.2)+0.95)*((0.9*(B1360/12))+0.1)</f>
        <v>#VALUE!</v>
      </c>
    </row>
    <row r="2330" spans="1:3" x14ac:dyDescent="0.2">
      <c r="A2330">
        <v>1</v>
      </c>
      <c r="B2330">
        <f>1</f>
        <v>1</v>
      </c>
      <c r="C2330">
        <v>12</v>
      </c>
    </row>
    <row r="2331" spans="1:3" x14ac:dyDescent="0.2">
      <c r="A2331">
        <v>2</v>
      </c>
      <c r="B2331">
        <f>1</f>
        <v>1</v>
      </c>
    </row>
    <row r="2332" spans="1:3" x14ac:dyDescent="0.2">
      <c r="A2332">
        <v>3</v>
      </c>
      <c r="B2332" t="e">
        <f>(0.45*(B587/800)+0.55)*(1-0.271*LN((B600+B$3071)/(100)))*(0.76*(B$3073/90)+0.24)*(0.66/(B340/250)+0.34)*(0.35*(B326/27)+0.65)*(0.56/B572+0.44)*IF(B747=1,0.66,1.12)*(0.35*(B403/3750)+0.65)*IF(B339=1,(0.035*(B397/220)+0.97),IF(B339=3,(0.06*(B396/20)+0.94),IF(B339=2,(0.2*(B395/385)+1.05))))*(1.04*(B584/1.2)-0.04)*((0.95*(B1360/12))+0.05)*((B1361/600)^-0.42)*IF(B3387=2,1,IF(B3387=1,1.49,IF(B3387=3,1.98,IF(B3387=7,5.91,IF(B3387=10,1,3.95)))))</f>
        <v>#VALUE!</v>
      </c>
    </row>
    <row r="2333" spans="1:3" x14ac:dyDescent="0.2">
      <c r="A2333">
        <v>4</v>
      </c>
      <c r="B2333" t="e">
        <f>(0.86*(B587/800)+0.14)*(1-0.521*LN(B$3071/50))*(0.86*(B$3073/90)+0.14)*(1/(B340/250))*IF(B747=1,0.052*(B757/1020000)+0.26,1.25)*IF(B603=1,0.35,IF(B603=2,1.42,1))*(0.05*(B584/1.2)+0.95)*IF(B603=1,0.6,IF(B603=2,1.2,1))</f>
        <v>#VALUE!</v>
      </c>
    </row>
    <row r="2334" spans="1:3" x14ac:dyDescent="0.2">
      <c r="A2334">
        <v>1</v>
      </c>
      <c r="B2334">
        <f>1</f>
        <v>1</v>
      </c>
      <c r="C2334">
        <v>13</v>
      </c>
    </row>
    <row r="2335" spans="1:3" x14ac:dyDescent="0.2">
      <c r="A2335">
        <v>2</v>
      </c>
      <c r="B2335">
        <v>1</v>
      </c>
    </row>
    <row r="2336" spans="1:3" x14ac:dyDescent="0.2">
      <c r="A2336">
        <v>3</v>
      </c>
      <c r="B2336" t="e">
        <f>(0.45*(B587/800)+0.55)*(1-0.271*LN((B600+B$3071)/(100)))*(0.76*(B$3073/90)+0.24)*(0.68/(B340/250)+0.32)*(0.56/B572+0.44)*IF(B747=1,0.66,1.05)*(0.35*(B403/3750)+0.65)*IF(B339=1,(0.035*(B397/220)+0.97),IF(B339=3,(0.06*(B396/20)+0.94),IF(B339=2,(0.2*(B395/385)+1.05))))*(1.04*(B584/1.2)-0.04)*(0.35*(B326/27)+0.65)*(0.95*((B1360/12))+0.05)*((B1361/600)^-0.42)*IF(B3387=2,1,IF(B3387=1,1.49,IF(B3387=3,1.98,IF(B3387=7,5.91,IF(B3387=10,1,3.95)))))</f>
        <v>#VALUE!</v>
      </c>
    </row>
    <row r="2337" spans="1:3" x14ac:dyDescent="0.2">
      <c r="A2337">
        <v>4</v>
      </c>
      <c r="B2337" t="e">
        <f>(1.37*LN(B587/800)+1)*(1-0.88*LN(B$3071/50))*(0.87*(B$3073/90)+0.13)*(1/(B340/250))*IF(B747=1,0.052*(B757/1020000)+0.26,1.25)*IF(B603=1,0.367,IF(B603=2,1.44,1))*(0.1*(B584/1.2)+0.9)*IF(B603=1,0.6,IF(B603=2,1.2,1))*(0.06*(B1361/600)+0.94)*(1.78-0.78*(B1364/30))</f>
        <v>#VALUE!</v>
      </c>
    </row>
    <row r="2338" spans="1:3" x14ac:dyDescent="0.2">
      <c r="A2338">
        <v>1</v>
      </c>
      <c r="B2338">
        <f>1</f>
        <v>1</v>
      </c>
      <c r="C2338">
        <v>14</v>
      </c>
    </row>
    <row r="2339" spans="1:3" x14ac:dyDescent="0.2">
      <c r="A2339">
        <v>2</v>
      </c>
      <c r="B2339">
        <f>1</f>
        <v>1</v>
      </c>
    </row>
    <row r="2340" spans="1:3" x14ac:dyDescent="0.2">
      <c r="A2340">
        <v>3</v>
      </c>
      <c r="B2340" t="e">
        <f>(0.45*(B587/800)+0.55)*(1-0.271*LN((B600+B$3071)/(100)))*(0.76*(B$3073/90)+0.24)*(0.66/(B340/250)+0.34)*(0.35*(B326/27)+0.65)*(0.56/B572+0.44)*IF(B747=1,0.66,1.12)*(0.35*(B403/3750)+0.65)*IF(B339=1,(0.035*(B397/220)+0.97),IF(B339=3,(0.06*(B396/20)+0.94),IF(B339=2,(0.2*(B395/385)+1.05))))*(1.04*(B584/1.2)-0.04)*(0.95*((B1360/12))+0.05)*((B1361/600)^-0.42)*IF(B3387=2,1,IF(B3387=1,1.49,IF(B3387=3,1.98,IF(B3387=7,5.91,IF(B3387=10,1.43,3.95)))))</f>
        <v>#VALUE!</v>
      </c>
    </row>
    <row r="2341" spans="1:3" x14ac:dyDescent="0.2">
      <c r="A2341">
        <v>4</v>
      </c>
      <c r="B2341" t="e">
        <f>(0.79*(B587/800)+0.21)*(1-0.48*LN(B$3071/50))*(0.86*(B$3073/90)+0.14)*(1/(B340/250))*(0.61*(B326/27)+0.39)*IF(B747=1,0.92,1.03)*(0.05*(B584/1.2)+0.95)*IF(B339=1,(0.066*(B397/220)+1.034),IF(B339=3,(0.09*(B396/20)+0.91),IF(B339=2,(0.36*(B395/385)+1.08))))*(0.61*(B403/3750)+0.39)*(0.98/B572+0.02)*((0.9*(B1360/12))+0.1)*((B1361/600)^-0.73)*(IF(B1365=2,1.43,1))</f>
        <v>#VALUE!</v>
      </c>
    </row>
    <row r="2342" spans="1:3" x14ac:dyDescent="0.2">
      <c r="A2342">
        <v>1</v>
      </c>
      <c r="B2342">
        <f>1</f>
        <v>1</v>
      </c>
      <c r="C2342">
        <v>15</v>
      </c>
    </row>
    <row r="2343" spans="1:3" x14ac:dyDescent="0.2">
      <c r="A2343">
        <v>2</v>
      </c>
      <c r="B2343">
        <f>1</f>
        <v>1</v>
      </c>
    </row>
    <row r="2344" spans="1:3" x14ac:dyDescent="0.2">
      <c r="A2344">
        <v>3</v>
      </c>
      <c r="B2344" t="e">
        <f>(0.45*(B587/800)+0.55)*(1-0.271*LN((B600+B$3071)/(100)))*(0.76*(B$3073/90)+0.24)*(0.66/(B340/250)+0.34)*(0.35*(B326/27)+0.65)*(0.56/B572+0.44)*IF(B747=1,0.66,1.12)*IF(B339=1,(0.066*(B397/220)+1.034),IF(B339=3,(0.06*(B396/20)+0.94),IF(B339=2,(0.2*(B395/385)+1.05))))*(1.04*(B584/1.2)-0.04)*(0.35*(B403/3750)+0.65)*(0.95*((B1360/12))+0.05)*((B1361/600)^-0.42)*IF(B3387=2,1,IF(B3387=1,1.49,IF(B3387=3,1.98,IF(B3387=7,5.91,IF(B3387=10,1,3.95)))))</f>
        <v>#VALUE!</v>
      </c>
    </row>
    <row r="2345" spans="1:3" x14ac:dyDescent="0.2">
      <c r="A2345">
        <v>4</v>
      </c>
      <c r="B2345" t="e">
        <f>(0.45*(B587/800)+0.55)*(1-0.521*LN(B$3071/50))*(0.86*(B$3073/90)+0.14)*(1/(B340/250))*IF(B747=1,0.052*(B757/1020000)+0.26,1.25)*IF(B603=1,0.6,IF(B603=2,1.2,1))*(0.05*(B584/1.2)+0.95)*((0.9*(B1360/12))+0.1)</f>
        <v>#VALUE!</v>
      </c>
    </row>
    <row r="2346" spans="1:3" x14ac:dyDescent="0.2">
      <c r="A2346">
        <v>1</v>
      </c>
      <c r="B2346" t="e">
        <f>(0.15*EXP(1.8*B587/800))*(0.98*((B600+B$3071)/(100))^-1.12+0.02)*1*(0.6*(B$3073/90)+0.4)*(0.03/(B340/250)+0.97)*(0.61*(B326/27)+0.39)*(0.99/B572+0.01)*IF(B747=1,0.92,1.03)*(0.61*(B403/3750)+0.39)*IF(B339=1,(0.066*(B397/220)+1.034),IF(B339=3,(0.09*(B396/20)+0.91),IF(B339=2,(0.36*(B395/385)+1.08))))*(0.11*(B584/1.2)+0.89)*(0.96*((B1360/12))+0.04)*((B1361/600)^-0.74)</f>
        <v>#VALUE!</v>
      </c>
      <c r="C2346">
        <v>16</v>
      </c>
    </row>
    <row r="2347" spans="1:3" x14ac:dyDescent="0.2">
      <c r="A2347">
        <v>2</v>
      </c>
      <c r="B2347" t="e">
        <f>(1.55*(B587/800)-0.4*(B587/800)^2-0.15)*(1-0.44*LN((B600+B$3071)/(100)))*1*(0.6*(B$3073/90)+0.4)*(0.1/(B340/250)+0.9)*(0.61*(B326/27)+0.39)*(0.99/B572+0.01)*IF(B747=1,0.92,1.03)*(0.61*(B403/3750)+0.39)*IF(B339=1,(0.066*(B397/220)+1.034),IF(B339=3,(0.09*(B396/20)+0.91),IF(B339=2,(0.36*(B395/385)+1.08))))*(0.04*(B584/1.2)+0.96)*(0.97*((B1360/12))+0.03)*((B1361/600)^-0.74)</f>
        <v>#VALUE!</v>
      </c>
    </row>
    <row r="2348" spans="1:3" x14ac:dyDescent="0.2">
      <c r="A2348">
        <v>3</v>
      </c>
      <c r="B2348" t="e">
        <f>(0.45*(B587/800)+0.55)*(1-0.27*LN((B600+B$3071)/(100)))*(0.6*(B2682/90)+0.4)*(0.1/(B340/250)+0.9)*(0.35*(B326/27)+0.65)*(0.56/B572+0.44)*IF(B747=1,0.66,1.12)*(0.35*(B403/3750)+0.65)*IF(B339=1,(0.035*(B397/220)+0.97),IF(B339=3,(0.06*(B396/20)+0.94),IF(B339=2,(0.2*(B395/385)+1.05))))*(1.04*(B584/1.2)-0.04)*(0.95*((B1360/12))+0.05)*((B1361/600)^-0.42)*IF(B3387=2,1,IF(B3387=1,1.49,IF(B3387=3,1.98,IF(B3387=7,5.91,IF(B3387=10,3.16,3.95)))))</f>
        <v>#VALUE!</v>
      </c>
    </row>
    <row r="2349" spans="1:3" x14ac:dyDescent="0.2">
      <c r="A2349">
        <v>4</v>
      </c>
      <c r="B2349" t="e">
        <f>(0.86*(B587/800)+0.14)*(1-0.52*LN(B$3071/50))*(0.86*(B$3073/90)+0.14)*(1/(B340/250))*IF(B747=1,0.052*(B757/1020000)+0.26,1.25)*IF(B603=1,0.6,IF(B603=2,1.2,1))*(0.05*(B584/1.2)+0.95)*((0.9*(B1360/12))+0.1)</f>
        <v>#VALUE!</v>
      </c>
    </row>
    <row r="2350" spans="1:3" x14ac:dyDescent="0.2">
      <c r="A2350">
        <v>1</v>
      </c>
      <c r="B2350" t="e">
        <f>(0.15*EXP(1.8*B587/800))*(0.98*((B600+B$3071)/(100))^-1.12+0.02)*(0.6*(B$3073/90)+0.4)*(0.03/(B340/250)+0.97)*(0.61*(B326/27)+0.39)*(0.99/B572+0.01)*IF(B747=1,0.92,1.03)*(0.61*(B403/3750)+0.39)*IF(B339=1,(0.066*(B397/220)+1.034),IF(B339=3,(0.09*(B396/20)+0.91),IF(B339=2,(0.36*(B395/385)+1.08))))*(0.11*(B584/1.2)+0.89)*(0.96*(B1360/12)+0.04)*((B1361/600)^-0.74)</f>
        <v>#VALUE!</v>
      </c>
      <c r="C2350">
        <v>17</v>
      </c>
    </row>
    <row r="2351" spans="1:3" x14ac:dyDescent="0.2">
      <c r="A2351">
        <v>2</v>
      </c>
      <c r="B2351" t="e">
        <f>(1.55*(B587/800)-0.4*(B587/800)^2-0.15)*(1-0.44*LN((B600+B$3071)/(100)))*(0.6*(B$3073/90)+0.4)*(0.1/(B340/250)+0.9)*(0.61*(B326/27)+0.39)*(0.99/B572+0.01)*IF(B747=1,0.92,1.03)*IF(B603=1,0.58,IF(B603=2,1.22,1))*(0.61*(B403/3750)+0.39)*IF(B339=1,(0.066*(B397/220)+1.034),IF(B339=3,(0.09*(B396/20)+0.91),IF(B339=2,(0.36*(B395/385)+1.08))))*(0.04*(B584/1.2)+0.96)*((0.97*(B1360/12))+0.03)*((B1361/600)^-0.74)</f>
        <v>#VALUE!</v>
      </c>
    </row>
    <row r="2352" spans="1:3" x14ac:dyDescent="0.2">
      <c r="A2352">
        <v>3</v>
      </c>
      <c r="B2352" t="e">
        <f>(1.34*(B587/800)-0.34*(B587/800)^2)*(1-0.38*LN((B600+B$3071)/(100)))*(0.6*(B$3073/90)+0.4)*(0.002/(B340/250)+0.998)*(0.68*(B326/27)+0.32)*(1.02/B572-0.02)*IF(B747=1,0.99,1.03)*IF(B603=1,0.6,IF(B603=2,1.2,1))*(0.68*(B403/3750)+0.32)*IF(B339=1,(0.066*(B397/220)+0.934),IF(B339=3,(0.09*(B396/20)+0.91),IF(B339=2,(0.39*(B395/385)+1.1))))*(0.17*(B584/1.2)+0.83)*((B1361/600)^-0.82)*IF(B3387=2,1,IF(B3387=1,1.49,IF(B3387=3,1.98,IF(B3387=7,5.91,IF(B3387=10,1.29,3.95)))))</f>
        <v>#VALUE!</v>
      </c>
    </row>
    <row r="2353" spans="1:3" x14ac:dyDescent="0.2">
      <c r="A2353">
        <v>4</v>
      </c>
      <c r="B2353" t="e">
        <f>(0.86*(B587/800)+0.14)*(1-0.52*LN(B$3071/50))*1*(1/(B340/250))*IF(B747=1,0.052*(B757/1020000)+0.26,1.25)*IF(B603=1,0.6,IF(B603=2,1.2,1))*(0.05*(B584/1.2)+0.95)*((0.9*(B1360/12))+0.1)</f>
        <v>#VALUE!</v>
      </c>
    </row>
    <row r="2354" spans="1:3" x14ac:dyDescent="0.2">
      <c r="A2354">
        <v>1</v>
      </c>
      <c r="B2354" t="e">
        <f>(0.85*(B587/800)+0.15)*(1-0.521*LN((B600+B$3071)/100))*(0.86*(B$3073/90)+0.14)*(1/(B340/250))*IF(B747=1,0.052*(B757/1020000)+0.95,1.25)*IF(B603=1,0.6,IF(B603=2,1.2,1))*IF(B339=2,(0.204*(B395/385)+0.596),1)*(0.05*(B584/1.2)+0.95)*(0.9*(B1360/12)+0.1)</f>
        <v>#VALUE!</v>
      </c>
      <c r="C2354">
        <v>18</v>
      </c>
    </row>
    <row r="2355" spans="1:3" x14ac:dyDescent="0.2">
      <c r="A2355">
        <v>2</v>
      </c>
      <c r="B2355" t="e">
        <f>(-0.4*(B587/800)^2+1.55*(B587/800)-0.15)*(1-0.44*LN((B600+B$3071)/(100)))*(0.6*(B$3073/90)+0.4)*(0.1/(B340/250)+0.9)*(0.61*(B326/27)+0.39)*(0.99/B572+0.01)*IF(B747=1,0.92,1.03)*IF(B603=1,0.6,IF(B603=2,1.2,1))*(0.61*(B403/3750)+0.39)*IF(B339=1,(0.066*(B397/220)+1.034),IF(B339=3,(0.09*(B396/20)+0.91),IF(B339=2,(0.36*(B395/385)+1.08))))*(0.04*(B584/1.2)+0.96)*((0.97*(B1360/12))+0.03)*((B1361/600)^-0.74)</f>
        <v>#VALUE!</v>
      </c>
    </row>
    <row r="2356" spans="1:3" x14ac:dyDescent="0.2">
      <c r="A2356">
        <v>3</v>
      </c>
      <c r="B2356" t="e">
        <f>(0.07*(B587/800)+0.93)*(1-0.38*LN((B600+B$3071)/(100)))*(0.6*(B$3073/90)+0.4)*(0.1/(B340/250)+0.9)*(0.68*(B326/27)+0.32)*(1.02/B572-0.02)*IF(B747=1,0.95,1.02)*IF(B603=1,0.6,IF(B603=2,1.2,1))*(0.64*(B403/3750)+0.36)*IF(B339=1,(0.066*(B397/220)+1.034),IF(B339=3,(0.09*(B396/20)+0.91),IF(B339=2,(0.36*(B395/385)+1.08))))*(0.93*(B584/1.2)+0.07)*((B1361/600)^-0.76)*IF(B3387=2,1,IF(B3387=1,1.49,IF(B3387=3,1.98,IF(B3387=7,5.91,IF(B3387=10,3.18,3.95)))))</f>
        <v>#VALUE!</v>
      </c>
    </row>
    <row r="2357" spans="1:3" x14ac:dyDescent="0.2">
      <c r="A2357">
        <v>4</v>
      </c>
      <c r="B2357" t="e">
        <f>(0.86*(B587/800)+0.14)*(1-0.52*LN((B$3071)/(100)))*(0.86*(B$3073/90)+0.14)*(1/(B340/250))*IF(B747=1,0.052*(B757/1020000)+0.26,1.25)*IF(B603=1,0.6,IF(B603=2,1.2,1))*(0.05*(B584/1.2)+0.95)*((0.9*(B1360/12))+0.1)</f>
        <v>#VALUE!</v>
      </c>
    </row>
    <row r="2358" spans="1:3" x14ac:dyDescent="0.2">
      <c r="A2358">
        <v>1</v>
      </c>
      <c r="B2358" t="e">
        <f>(1.07*(B587/800)^2-0.32*(B587/800)+0.26)*(1-1.13*LN((B600+B$3071)/100))*(0.6*(B$3073/90)+0.4)*(0.03/(B340/250)+0.97)*(0.61*(B326/27)+0.39)*(0.99/B572+0.01)*IF(B747=1,0.92,1.03)*(0.61*(B403/3750)+0.39)*IF(B339=1,(0.066*(B397/220)+1.034),IF(B339=3,(0.09*(B396/20)+0.91),IF(B339=2,(0.36*(B395/385)+1.08))))*(0.1*(B584/1.2)+0.9)*((0.28/B1396)+0.72)*((0.96*(B1360/12))+0.04)*((B1361/600)^-0.74)</f>
        <v>#VALUE!</v>
      </c>
      <c r="C2358">
        <v>19</v>
      </c>
    </row>
    <row r="2359" spans="1:3" x14ac:dyDescent="0.2">
      <c r="A2359">
        <v>2</v>
      </c>
      <c r="B2359" t="e">
        <f>(-0.4*(B587/800)^2+1.55*(B587/800)-0.15)*(1-0.44*LN((B600+B$3071)/(100)))*(0.61*(B$3073/90)+0.39)*(0.1/(B340/250)+0.9)*(0.61*(B326/27)+0.39)*(0.99/B572+0.01)*IF(B747=1,0.92,1.03)*IF(B603=1,0.6,IF(B603=2,1.2,1))*(0.61*(B403/3750)+0.39)*IF(B339=1,(0.066*(B397/220)+1.034),IF(B339=3,(0.09*(B396/20)+0.91),IF(B339=2,(0.36*(B395/385)+1.08))))*(0.04*(B584/1.2)+0.96)*((0.97*(B1360/12))+0.03)*((B1361/600)^-0.74)</f>
        <v>#VALUE!</v>
      </c>
    </row>
    <row r="2360" spans="1:3" x14ac:dyDescent="0.2">
      <c r="A2360">
        <v>3</v>
      </c>
      <c r="B2360" t="e">
        <f>(0.07*(B587/800)+0.93)*(1-0.04*LN((B600+B$3071)/(100)))*(0.6*(B$3073/90)+0.4)*(0.02/(B340/250)+0.98)*(0.63*(B326/27)+0.37)*(1.02/B572-0.02)*IF(B747=1,0.95,1.02)*IF(B603=1,0.6,IF(B603=2,1.2,1))*(0.35*(B403/3750)+0.65)*IF(B339=1,(0.066*(B397/220)+1.034),IF(B339=3,(0.09*(B396/20)+0.91),IF(B339=2,(0.36*(B395/385)+1.08))))*(0.93*(B584/1.2)+0.07)*((B1361/600)^-0.76)*IF(B3387=2,1,IF(B3387=1,1.49,IF(B3387=3,1.98,IF(B3387=7,5.91,IF(B3387=10,1,3.95)))))</f>
        <v>#VALUE!</v>
      </c>
    </row>
    <row r="2361" spans="1:3" x14ac:dyDescent="0.2">
      <c r="A2361">
        <v>4</v>
      </c>
      <c r="B2361" t="e">
        <f>(0.86*(B587/800)+0.14)*(1-0.52*LN((B$3071)/(100)))*(0.86*(B$3073/90)+0.14)*(1/(B340/250))*IF(B747=1,0.052*(B757/1020000)+0.26,1.25)*IF(B603=1,0.6,IF(B603=2,1.2,1))*(0.05*(B584/1.2)+0.95)*((0.9*(B1360/12))+0.1)</f>
        <v>#VALUE!</v>
      </c>
    </row>
    <row r="2362" spans="1:3" x14ac:dyDescent="0.2">
      <c r="A2362">
        <v>1</v>
      </c>
      <c r="B2362" t="e">
        <f>(0.93*(B587/800)^2.1+0.07)*(1-1.13*LN((B600+B$3071)/100))*(0.6*(B$3073/90)+0.4)*(0.03/(B340/250)+0.97)*(0.61*(B326/27)+0.39)*(0.99/B572+0.01)*IF(B747=1,0.92,1.03)*(0.66*(B403/3750)+0.34)*IF(B339=1,(0.066*(B397/220)+1.034),IF(B339=3,(0.09*(B396/20)+0.91),IF(B339=2,(0.36*(B395/385)+1.08))))*(0.1*(B584/1.2)+0.9)*((0.28/B1396)+0.72)*(0.96*(B1360/12)+0.04)*((B1361/600)^-0.74)</f>
        <v>#VALUE!</v>
      </c>
      <c r="C2362">
        <v>20</v>
      </c>
    </row>
    <row r="2363" spans="1:3" x14ac:dyDescent="0.2">
      <c r="A2363">
        <v>2</v>
      </c>
      <c r="B2363" t="e">
        <f>(-0.4*(B587/800)^2+1.55*(B587/800)-0.15)*(1-0.44*LN((B600+B$3071)/(100)))*(0.61*(B$3073/90)+0.39)*(0.1/(B340/250)+0.9)*(0.61*(B326/27)+0.39)*(1.11/B572-0.11)*IF(B747=1,1,1)*IF(B603=1,0.6,IF(B603=2,1.2,1))*(0.69*(B403/3750)+0.31)*IF(B339=1,(0.066*(B397/220)+1.034),IF(B339=3,(0.1*(B396/20)+0.9),IF(B339=2,(0.4*(B395/385)+1.09))))*(0.04*(B584/1.2)+0.96)*((0.98*(B1360/12))+0.02)*((B1361/600)^-0.82)</f>
        <v>#VALUE!</v>
      </c>
    </row>
    <row r="2364" spans="1:3" x14ac:dyDescent="0.2">
      <c r="A2364">
        <v>3</v>
      </c>
      <c r="B2364" t="e">
        <f>(0.07*(B587/800)+0.93)*(1-0.04*LN((B600+B$3071)/(100)))*(0.6*(B$3073/90)+0.4)*(0.02/(B340/250)+0.98)*(0.63*(B326/27)+0.37)*(1.02/B572-0.02)*IF(B747=1,0.95,1.02)*IF(B603=1,0.6,IF(B603=2,1.2,1))*(0.64*(B403/3750)+0.36)*IF(B339=1,(0.066*(B397/220)+1.034),IF(B339=3,(0.09*(B396/20)+0.91),IF(B339=2,(0.36*(B395/385)+1.08))))*(0.93*(B584/1.2)+0.07)*((B1361/600)^-0.76)*IF(B3387=2,1,IF(B3387=1,1.49,IF(B3387=3,1.98,IF(B3387=7,5.91,IF(B3387=10,1,3.95)))))</f>
        <v>#VALUE!</v>
      </c>
    </row>
    <row r="2365" spans="1:3" x14ac:dyDescent="0.2">
      <c r="A2365">
        <v>4</v>
      </c>
      <c r="B2365" t="e">
        <f>(0.86*(B587/800)+0.14)*(1-0.52*LN((B$3071)/(100)))*(0.86*(B$3073/90)+0.14)*(1/(B340/250))*IF(B747=1,0.052*(B757/1020000)+0.26,1.25)*(0.05*(B584/1.2)+0.95)*IF(B603=1,0.6,IF(B603=2,1.2,1))*((0.9*(B1360/12))+0.1)</f>
        <v>#VALUE!</v>
      </c>
    </row>
    <row r="2366" spans="1:3" x14ac:dyDescent="0.2">
      <c r="A2366">
        <v>1</v>
      </c>
      <c r="B2366" t="e">
        <f>(1.07*(B587/800)^2-0.32*(B587/800)+0.26)*(1-1.13*LN((B600+B$3071)/100))*(0.6*(B$3073/90)+0.4)*(0.03/(B340/250)+0.97)*(0.61*(B326/27)+0.39)*(0.99/B572+0.01)*IF(B747=1,0.92,1.03)*(0.61*(B403/3750)+0.39)*IF(B339=1,(0.066*(B397/220)+1.034),IF(B339=3,(0.09*(B396/20)+0.91),IF(B339=2,(0.36*(B395/385)+1.08))))*(0.1*(B584/1.2)+0.9)*((0.28/B1396)+0.72)*(0.96*(B1360/12)+0.04)*((B1361/600)^-0.74)</f>
        <v>#VALUE!</v>
      </c>
      <c r="C2366">
        <v>21</v>
      </c>
    </row>
    <row r="2367" spans="1:3" x14ac:dyDescent="0.2">
      <c r="A2367">
        <v>2</v>
      </c>
      <c r="B2367" t="e">
        <f>(0.94*(B587/800)^-0.52*(B587/800)+0.58)*(((B600+B$3071)/(100))^-0.75)*(0.61*(B$3073/90)+0.39)*(0.03/(B340/250)+0.97)*(0.61*(B326/27)+0.39)*(0.99/B572+0.01)*IF(B747=1,0.92,1.03)*IF(B603=1,0.6,IF(B603=2,1.2,1))*(0.61*(B403/3750)+0.39)*IF(B339=1,(0.066*(B397/220)+1.034),IF(B339=3,(0.09*(B396/20)+0.91),IF(B339=2,(0.36*(B395/385)+1.08))))*(0.07*(B584/1.2)+0.93)*((0.97*(B1360/12))+0.03)*((B1361/600)^-0.74)*IF(B1364&gt;0,(1.98-0.98*LN(B1364/30)),1)</f>
        <v>#VALUE!</v>
      </c>
    </row>
    <row r="2368" spans="1:3" x14ac:dyDescent="0.2">
      <c r="A2368">
        <v>3</v>
      </c>
      <c r="B2368" t="e">
        <f>(1.17*(B587/800)-0.17)*((B600+B$3071)/(100))^-0.96*(0.6*(B$3073/90)+0.4)*1*(0.63*(B326/27)+0.37)*IF(B747=1,0.99,1)*IF(B603=1,0.6,IF(B603=2,1.2,1))*(0.68*(B403/3750)+0.32)*IF(B339=1,(0.066*(B397/220)+1.034),IF(B339=3,(0.09*(B396/20)+0.91),IF(B339=2,(0.39*(B395/385)+1.1))))*(0.1*(B584/1.2)+0.9)*(1.1/B572-0.1)*((B1361/600)^-0.82)*(1.47-0.47*(B1364/30))</f>
        <v>#VALUE!</v>
      </c>
    </row>
    <row r="2369" spans="1:3" x14ac:dyDescent="0.2">
      <c r="A2369">
        <v>4</v>
      </c>
      <c r="B2369" t="e">
        <f>(-0.38*(B587/800)^2+2.2*(B587/800)-0.82)*(1-0.88*LN((B$3071)/(100)))*(0.86*(B$3073/90)+0.14)*(1/(B340/250))*(0.05*(B326/27)+0.95)*IF(B747=1,0.052*(B757/1020000)+0.26,1.25)*IF(B603=1,0.6,IF(B603=2,1.2,1))*IF(B603=1,0.36,IF(B603=2,1.42,1))*(0.1*(B584/1.2)+0.9)*((0.9*(B1360/12))+0.1)*(1.78-0.78*(B1364/30))</f>
        <v>#VALUE!</v>
      </c>
    </row>
    <row r="2370" spans="1:3" x14ac:dyDescent="0.2">
      <c r="A2370">
        <v>1</v>
      </c>
      <c r="B2370" t="e">
        <f>(0.67*(B587/800)^2+0.2*(B587/800)+0.13)*(1-1.13*LN((B600+B$3071)/100))*(0.6*(B$3073/90)+0.4)*(0.03/(B340/250)+0.97)*(0.61*(B326/27)+0.39)*(0.99/B572+0.01)*IF(B747=1,0.92,1.03)*(0.61*(B403/3750)+0.39)*IF(B339=1,(0.066*(B397/220)+1.034),IF(B339=3,(0.09*(B396/20)+0.91),IF(B339=2,(0.36*(B395/385)+1.08))))*(0.1*(B584/1.2)+0.9)*((0.28/B1396)+0.72)*(0.96*(B1360/12)+0.04)*((B1361/600)^-0.74)</f>
        <v>#VALUE!</v>
      </c>
      <c r="C2370">
        <v>22</v>
      </c>
    </row>
    <row r="2371" spans="1:3" x14ac:dyDescent="0.2">
      <c r="A2371">
        <v>2</v>
      </c>
      <c r="B2371" t="e">
        <f>(1.55*(B587/800)-0.4*(B587/800)^2-0.15)*(1-0.44*LN((B600+B$3071)/(100)))*(0.6*(B$3073/90)+0.4)*(0.1/(B340/250)+0.9)*(0.61*(B326/27)+0.39)*(0.99/B572+0.01)*IF(B747=1,0.92,1.03)*IF(B603=1,0.6,IF(B603=2,1.2,1))*(0.61*(B403/3750)+0.39)*IF(B339=1,(0.066*(B397/220)+1.034),IF(B339=3,(0.09*(B396/20)+0.91),IF(B339=2,(0.36*(B395/385)+1.08))))*(0.04*(B584/1.2)+0.96)*(0.97*(B1360/12)+0.03)*((B1361/600)^-0.74)</f>
        <v>#VALUE!</v>
      </c>
    </row>
    <row r="2372" spans="1:3" x14ac:dyDescent="0.2">
      <c r="A2372">
        <v>3</v>
      </c>
      <c r="B2372" t="e">
        <f>(0.07*(B587/800)+0.93)*(1-0.04*LN((B600+B$3071)/(100)))*(0.59*(B$3073/90)+0.41)*(0.02/(B340/250)+0.98)*(0.67*(B326/27)+0.33)*(1.02/B572-0.02)*IF(B747=1,0.95,1.02)*IF(B603=1,0.6,IF(B603=2,1.2,1))*(0.64*(B403/3750)+0.36)*IF(B339=1,(0.066*(B397/220)+1.034),IF(B339=3,(0.06*(B396/20)+0.94),IF(B339=2,(0.36*(B395/385)+1.08))))*(0.93*(B584/1.2)+0.07)*((B1361/600)^-0.76)*IF(B3387=2,1,IF(B3387=1,1.49,IF(B3387=3,1.98,IF(B3387=7,5.91,IF(B3387=10,1,3.95)))))</f>
        <v>#VALUE!</v>
      </c>
    </row>
    <row r="2373" spans="1:3" x14ac:dyDescent="0.2">
      <c r="A2373">
        <v>4</v>
      </c>
      <c r="B2373" t="e">
        <f>(0.86*(B587/800)+0.14)*(1-0.52*LN((B$3071)/(100)))*(0.86*(B$3073/90)+0.14)*(1/(B340/250))*IF(B747=1,0.052*(B757/1020000)+0.26,1.25)*IF(B603=1,0.6,IF(B603=2,1.2,1))*(0.05*(B584/1.2)+0.95)*((0.9*(B1360/12))+0.1)</f>
        <v>#VALUE!</v>
      </c>
    </row>
    <row r="2374" spans="1:3" x14ac:dyDescent="0.2">
      <c r="A2374">
        <v>1</v>
      </c>
      <c r="B2374" t="e">
        <f>(1.07*(B587/800)^2-0.32*(B587/800)+0.26)*(1-1.13*LN((B600+B$3071)/100))*(0.6*(B$3073/90)+0.4)*1*(0.61*(B326/27)+0.39)*(0.99/B572+0.01)*IF(B747=1,0.92,1.03)*IF(B603=1,0.36,IF(B603=2,1.42,1))*(0.61*(B403/3750)+0.39)*IF(B339=1,(0.066*(B397/220)+1.034),IF(B339=3,(0.09*(B396/20)+0.91),IF(B339=2,(0.36*(B395/385)+1.08))))*(0.1*(B584/1.2)+0.9)*((0.28/B1396)+0.72)*(0.96*(B1360/12)+0.04)*((B1361/600)^-0.74)</f>
        <v>#VALUE!</v>
      </c>
      <c r="C2374">
        <v>23</v>
      </c>
    </row>
    <row r="2375" spans="1:3" x14ac:dyDescent="0.2">
      <c r="A2375">
        <v>2</v>
      </c>
      <c r="B2375" t="e">
        <f>(1.55*(B587/800)-0.4*(B587/800)^2-0.15)*(1-0.44*LN((B600+B$3071)/(100)))*(0.6*(B$3073/90)+0.4)*(0.1/(B340/250)+0.9)*(0.61*(B326/27)+0.39)*(0.99/B572+0.01)*IF(B747=1,0.92,1.03)*IF(B603=1,0.6,IF(B603=2,1.2,1))*(0.61*(B403/3750)+0.39)*IF(B339=1,(0.066*(B397/220)+1.034),IF(B339=3,(0.09*(B396/20)+0.91),IF(B339=2,(0.36*(B395/385)+1.08))))*(0.04*(B584/1.2)+0.96)*((0.97*(B1360/12))+0.03)*((B1361/600)^-0.74)</f>
        <v>#VALUE!</v>
      </c>
    </row>
    <row r="2376" spans="1:3" x14ac:dyDescent="0.2">
      <c r="A2376">
        <v>3</v>
      </c>
      <c r="B2376" t="e">
        <f>(0.07*(B587/800)+0.93)*(1-0.44*LN((B600+B$3071)/(100)))*(0.6*(B$3073/90)+0.4)*(0.1/(B340/250)+0.9)*(0.67*(B326/27)+0.33)*(1.02/B572-0.02)*IF(B747=1,0.95,1.02)*IF(B603=1,0.6,IF(B603=2,1.2,1))*(0.64*(B403/3750)+0.36)*IF(B339=1,(0.066*(B397/220)+1.034),IF(B339=3,(0.09*(B396/20)+0.91),IF(B339=2,(0.36*(B395/385)+1.08))))*(0.93*(B584/1.2)+0.07)*((B1361/600)^-0.76)</f>
        <v>#VALUE!</v>
      </c>
    </row>
    <row r="2377" spans="1:3" x14ac:dyDescent="0.2">
      <c r="A2377">
        <v>4</v>
      </c>
      <c r="B2377" t="e">
        <f>(0.86*(B587/800)+0.14)*(1-0.52*LN((B$3071)/(100)))*(0.86*(B$3073/90)+0.14)*(1/(B340/250))*IF(B747=1,0.052*(B757/1020000)+0.26,1.25)*IF(B603=1,0.6,IF(B603=2,1.2,1))*(0.05*(B584/1.2)+0.95)*(0.9*(B1360/12)+0.1)</f>
        <v>#VALUE!</v>
      </c>
    </row>
    <row r="2378" spans="1:3" x14ac:dyDescent="0.2">
      <c r="A2378">
        <v>1</v>
      </c>
      <c r="B2378" t="e">
        <f>(1.07*(B587/800)^2-0.32*(B587/800)+0.26)*(1-1.13*LN((B600+B$3071)/100))*(0.6*(B$3073/90)+0.4)*(1/(B340/250))*(0.61*(B326/27)+0.39)*(0.99/B572+0.01)*IF(B747=1,0.92,1.03)*(0.61*(B403/3750)+0.39)*IF(B339=1,(0.066*(B397/220)+1.034),IF(B339=3,(0.09*(B396/20)+0.91),IF(B339=2,(0.36*(B395/385)+1.08))))*(0.1*(B584/1.2)+0.9)*((0.72/B1396)+0.28)*(0.96*(B1360/12)+0.04)*((B1361/600)^-0.74)</f>
        <v>#VALUE!</v>
      </c>
      <c r="C2378">
        <v>24</v>
      </c>
    </row>
    <row r="2379" spans="1:3" x14ac:dyDescent="0.2">
      <c r="A2379">
        <v>2</v>
      </c>
      <c r="B2379">
        <f>1</f>
        <v>1</v>
      </c>
    </row>
    <row r="2380" spans="1:3" x14ac:dyDescent="0.2">
      <c r="A2380">
        <v>3</v>
      </c>
      <c r="B2380">
        <f>1</f>
        <v>1</v>
      </c>
    </row>
    <row r="2381" spans="1:3" x14ac:dyDescent="0.2">
      <c r="A2381">
        <v>4</v>
      </c>
      <c r="B2381">
        <f>1</f>
        <v>1</v>
      </c>
    </row>
    <row r="2382" spans="1:3" x14ac:dyDescent="0.2">
      <c r="A2382">
        <v>1</v>
      </c>
      <c r="B2382" t="e">
        <f>(1.64*(B587/800)-0.64)*(1-0.98*LN((B600+B$3071)/100))*(0.6*(B$3073/90)+0.4)*(0.04/(B340/250)+0.96)*(0.61*(B326/27)+0.39)*(0.99/B572+0.01)*IF(B747=1,0.92,1.03)*(0.61*(B403/3750)+0.39)*IF(B339=1,(0.066*(B397/220)+1.034),IF(B339=3,(0.09*(B396/20)+0.91),IF(B339=2,(0.36*(B395/385)+1.08))))*(0.1*(B584/1.2)+0.9)*((0.72/B1396)+0.28)*((0.96*(B1360/12))+0.04)*((B1361/600)^-0.74)*(1.44-0.44*(B1364/30))</f>
        <v>#VALUE!</v>
      </c>
      <c r="C2382">
        <v>25</v>
      </c>
    </row>
    <row r="2383" spans="1:3" x14ac:dyDescent="0.2">
      <c r="A2383">
        <v>2</v>
      </c>
      <c r="B2383">
        <f>1</f>
        <v>1</v>
      </c>
    </row>
    <row r="2384" spans="1:3" x14ac:dyDescent="0.2">
      <c r="A2384">
        <v>3</v>
      </c>
      <c r="B2384">
        <f>1</f>
        <v>1</v>
      </c>
    </row>
    <row r="2385" spans="1:3" x14ac:dyDescent="0.2">
      <c r="A2385">
        <v>4</v>
      </c>
      <c r="B2385">
        <f>1</f>
        <v>1</v>
      </c>
    </row>
    <row r="2386" spans="1:3" x14ac:dyDescent="0.2">
      <c r="A2386">
        <v>1</v>
      </c>
      <c r="B2386" t="e">
        <f>(0.85*(B587/800)+0.15)*(1-0.54*LN((B600+B$3071)/100))*(0.6*(B$3073/90)+0.4)*(0.04/(B340/250)+0.96)*(0.61*(B326/27)+0.39)*(0.99/B572+0.01)*IF(B747=1,0.92,1.03)*IF(B339=1,(0.066*(B397/220)+1.034),IF(B339=3,(0.09*(B396/20)+0.91),IF(B339=2,(0.36*(B395/385)+1.08))))*(0.05*(B584/1.2)+0.95)*(0.61*(B403/3750)+0.39)*((0.97*(B1360/12))+0.03)*((B1361/600)^-0.74)*((0.72/B1396)+0.28)*(IF(B1365=2,1.43,1))</f>
        <v>#VALUE!</v>
      </c>
      <c r="C2386">
        <v>26</v>
      </c>
    </row>
    <row r="2387" spans="1:3" x14ac:dyDescent="0.2">
      <c r="A2387">
        <v>2</v>
      </c>
      <c r="B2387">
        <v>1</v>
      </c>
    </row>
    <row r="2388" spans="1:3" x14ac:dyDescent="0.2">
      <c r="A2388">
        <v>3</v>
      </c>
      <c r="B2388">
        <v>1</v>
      </c>
    </row>
    <row r="2389" spans="1:3" x14ac:dyDescent="0.2">
      <c r="A2389">
        <v>4</v>
      </c>
      <c r="B2389">
        <v>1</v>
      </c>
    </row>
    <row r="2390" spans="1:3" x14ac:dyDescent="0.2">
      <c r="A2390">
        <v>1</v>
      </c>
      <c r="B2390" t="e">
        <f>(1.07*(B587/800)^2-0.32*(B587/800)+0.26)*(1-1.13*LN((B600+B$3071)/100))*(0.6*(B$3073/90)+0.4)*(1/(B340/250))*(0.61*(B326/27)+0.39)*IF(B747=1,0.92,1.03)*(0.61*(B403/3750)+0.39)*IF(B339=1,(0.066*(B397/220)+1.034),IF(B339=3,(0.09*(B396/20)+0.91),IF(B339=2,(0.36*(B395/385)+1.08))))*(0.1*(B584/1.2)+0.9)*(0.99/B572+0.01)*((0.96*(B1360/12))+0.04)*((B1361/600)^-0.74)*((0.72/B1396)+0.28)</f>
        <v>#VALUE!</v>
      </c>
      <c r="C2390">
        <v>27</v>
      </c>
    </row>
    <row r="2391" spans="1:3" x14ac:dyDescent="0.2">
      <c r="A2391">
        <v>2</v>
      </c>
      <c r="B2391">
        <v>1</v>
      </c>
    </row>
    <row r="2392" spans="1:3" x14ac:dyDescent="0.2">
      <c r="A2392">
        <v>3</v>
      </c>
      <c r="B2392">
        <v>1</v>
      </c>
    </row>
    <row r="2393" spans="1:3" x14ac:dyDescent="0.2">
      <c r="A2393">
        <v>4</v>
      </c>
      <c r="B2393">
        <v>1</v>
      </c>
    </row>
    <row r="2394" spans="1:3" x14ac:dyDescent="0.2">
      <c r="A2394">
        <v>1</v>
      </c>
      <c r="B2394" t="e">
        <f>(1.07*(B587/800)^2-0.32*(B587/800)+0.26)*(1-1.13*LN((B600+B$3071)/100))*(0.6*(B$3073/90)+0.4)*(1/(B340/250))*(0.61*(B326/27)+0.39)*IF(B747=1,0.92,1.03)*(0.61*(B403/3750)+0.39)*IF(B339=1,(0.066*(B397/220)+1.034),IF(B339=3,(0.09*(B396/20)+0.91),IF(B339=2,(0.36*(B395/385)+1.08))))*(0.1*(B584/1.2)+0.9)*(0.99/B572+0.01)*((0.96*(B1360/12))+0.04)*((B1361/600)^-0.74)*((0.72/B1396)+0.28)</f>
        <v>#VALUE!</v>
      </c>
      <c r="C2394">
        <v>28</v>
      </c>
    </row>
    <row r="2395" spans="1:3" x14ac:dyDescent="0.2">
      <c r="A2395">
        <v>2</v>
      </c>
      <c r="B2395">
        <v>1</v>
      </c>
    </row>
    <row r="2396" spans="1:3" x14ac:dyDescent="0.2">
      <c r="A2396">
        <v>3</v>
      </c>
      <c r="B2396">
        <v>1</v>
      </c>
    </row>
    <row r="2397" spans="1:3" x14ac:dyDescent="0.2">
      <c r="A2397">
        <v>4</v>
      </c>
      <c r="B2397">
        <v>1</v>
      </c>
    </row>
    <row r="2401" spans="2:6" x14ac:dyDescent="0.2">
      <c r="B2401" s="1055"/>
      <c r="C2401" s="1054"/>
      <c r="D2401" s="2426"/>
    </row>
    <row r="2402" spans="2:6" ht="76.5" x14ac:dyDescent="0.2">
      <c r="B2402" s="217" t="s">
        <v>3595</v>
      </c>
      <c r="C2402" s="217" t="s">
        <v>3596</v>
      </c>
      <c r="D2402" s="217" t="s">
        <v>3597</v>
      </c>
      <c r="E2402" s="217" t="s">
        <v>3598</v>
      </c>
    </row>
    <row r="2403" spans="2:6" x14ac:dyDescent="0.2">
      <c r="B2403">
        <v>160</v>
      </c>
      <c r="C2403" t="s">
        <v>3599</v>
      </c>
      <c r="D2403">
        <v>1</v>
      </c>
      <c r="E2403">
        <v>1</v>
      </c>
      <c r="F2403">
        <v>1</v>
      </c>
    </row>
    <row r="2404" spans="2:6" x14ac:dyDescent="0.2">
      <c r="B2404">
        <v>613</v>
      </c>
      <c r="C2404">
        <v>0</v>
      </c>
      <c r="D2404">
        <v>2</v>
      </c>
      <c r="E2404">
        <v>2</v>
      </c>
    </row>
    <row r="2405" spans="2:6" x14ac:dyDescent="0.2">
      <c r="B2405">
        <v>893</v>
      </c>
      <c r="C2405">
        <v>0</v>
      </c>
      <c r="D2405">
        <v>3</v>
      </c>
      <c r="E2405">
        <v>3</v>
      </c>
    </row>
    <row r="2406" spans="2:6" x14ac:dyDescent="0.2">
      <c r="B2406">
        <v>362</v>
      </c>
      <c r="C2406">
        <v>0</v>
      </c>
      <c r="D2406">
        <v>4</v>
      </c>
      <c r="E2406">
        <v>4</v>
      </c>
    </row>
    <row r="2407" spans="2:6" x14ac:dyDescent="0.2">
      <c r="B2407">
        <v>160</v>
      </c>
      <c r="C2407" t="s">
        <v>3600</v>
      </c>
      <c r="D2407">
        <v>5</v>
      </c>
      <c r="E2407">
        <v>1</v>
      </c>
      <c r="F2407">
        <v>2</v>
      </c>
    </row>
    <row r="2408" spans="2:6" x14ac:dyDescent="0.2">
      <c r="B2408">
        <v>613</v>
      </c>
      <c r="C2408">
        <v>0</v>
      </c>
      <c r="D2408">
        <v>6</v>
      </c>
      <c r="E2408">
        <v>2</v>
      </c>
    </row>
    <row r="2409" spans="2:6" x14ac:dyDescent="0.2">
      <c r="B2409">
        <v>893</v>
      </c>
      <c r="C2409">
        <v>0</v>
      </c>
      <c r="D2409">
        <v>7</v>
      </c>
      <c r="E2409">
        <v>3</v>
      </c>
    </row>
    <row r="2410" spans="2:6" x14ac:dyDescent="0.2">
      <c r="B2410">
        <v>362</v>
      </c>
      <c r="C2410">
        <v>0</v>
      </c>
      <c r="D2410">
        <v>8</v>
      </c>
      <c r="E2410">
        <v>4</v>
      </c>
    </row>
    <row r="2411" spans="2:6" x14ac:dyDescent="0.2">
      <c r="B2411">
        <v>160</v>
      </c>
      <c r="C2411" t="s">
        <v>3601</v>
      </c>
      <c r="D2411">
        <v>9</v>
      </c>
      <c r="E2411">
        <v>1</v>
      </c>
      <c r="F2411">
        <v>3</v>
      </c>
    </row>
    <row r="2412" spans="2:6" x14ac:dyDescent="0.2">
      <c r="B2412">
        <v>124</v>
      </c>
      <c r="C2412">
        <v>0</v>
      </c>
      <c r="D2412">
        <v>10</v>
      </c>
      <c r="E2412">
        <v>2</v>
      </c>
    </row>
    <row r="2413" spans="2:6" x14ac:dyDescent="0.2">
      <c r="B2413">
        <v>834</v>
      </c>
      <c r="C2413">
        <v>0</v>
      </c>
      <c r="D2413">
        <v>11</v>
      </c>
      <c r="E2413">
        <v>3</v>
      </c>
    </row>
    <row r="2414" spans="2:6" x14ac:dyDescent="0.2">
      <c r="B2414">
        <v>249</v>
      </c>
      <c r="C2414">
        <v>0</v>
      </c>
      <c r="D2414">
        <v>12</v>
      </c>
      <c r="E2414">
        <v>4</v>
      </c>
    </row>
    <row r="2415" spans="2:6" x14ac:dyDescent="0.2">
      <c r="B2415">
        <v>128</v>
      </c>
      <c r="C2415" t="s">
        <v>3602</v>
      </c>
      <c r="D2415">
        <v>13</v>
      </c>
      <c r="E2415">
        <v>1</v>
      </c>
      <c r="F2415">
        <v>4</v>
      </c>
    </row>
    <row r="2416" spans="2:6" x14ac:dyDescent="0.2">
      <c r="B2416">
        <v>490</v>
      </c>
      <c r="C2416">
        <v>0</v>
      </c>
      <c r="D2416">
        <v>14</v>
      </c>
      <c r="E2416">
        <v>2</v>
      </c>
    </row>
    <row r="2417" spans="2:6" x14ac:dyDescent="0.2">
      <c r="B2417">
        <v>714</v>
      </c>
      <c r="C2417">
        <v>0</v>
      </c>
      <c r="D2417">
        <v>15</v>
      </c>
      <c r="E2417">
        <v>3</v>
      </c>
    </row>
    <row r="2418" spans="2:6" x14ac:dyDescent="0.2">
      <c r="B2418">
        <v>289</v>
      </c>
      <c r="C2418">
        <v>0</v>
      </c>
      <c r="D2418">
        <v>16</v>
      </c>
      <c r="E2418">
        <v>4</v>
      </c>
    </row>
    <row r="2419" spans="2:6" x14ac:dyDescent="0.2">
      <c r="B2419">
        <v>128</v>
      </c>
      <c r="C2419" t="s">
        <v>3603</v>
      </c>
      <c r="D2419">
        <v>17</v>
      </c>
      <c r="E2419">
        <v>1</v>
      </c>
      <c r="F2419">
        <v>5</v>
      </c>
    </row>
    <row r="2420" spans="2:6" x14ac:dyDescent="0.2">
      <c r="B2420">
        <v>490</v>
      </c>
      <c r="C2420">
        <v>0</v>
      </c>
      <c r="D2420">
        <v>18</v>
      </c>
      <c r="E2420">
        <v>2</v>
      </c>
    </row>
    <row r="2421" spans="2:6" x14ac:dyDescent="0.2">
      <c r="B2421">
        <v>714</v>
      </c>
      <c r="C2421">
        <v>0</v>
      </c>
      <c r="D2421">
        <v>19</v>
      </c>
      <c r="E2421">
        <v>3</v>
      </c>
    </row>
    <row r="2422" spans="2:6" x14ac:dyDescent="0.2">
      <c r="B2422">
        <v>289</v>
      </c>
      <c r="C2422">
        <v>0</v>
      </c>
      <c r="D2422">
        <v>20</v>
      </c>
      <c r="E2422">
        <v>4</v>
      </c>
    </row>
    <row r="2423" spans="2:6" x14ac:dyDescent="0.2">
      <c r="B2423">
        <v>0</v>
      </c>
      <c r="C2423" t="s">
        <v>3604</v>
      </c>
      <c r="D2423">
        <v>21</v>
      </c>
      <c r="E2423">
        <v>1</v>
      </c>
      <c r="F2423">
        <v>6</v>
      </c>
    </row>
    <row r="2424" spans="2:6" x14ac:dyDescent="0.2">
      <c r="B2424">
        <v>0</v>
      </c>
      <c r="C2424">
        <v>0</v>
      </c>
      <c r="D2424">
        <v>22</v>
      </c>
      <c r="E2424">
        <v>2</v>
      </c>
    </row>
    <row r="2425" spans="2:6" x14ac:dyDescent="0.2">
      <c r="B2425">
        <v>974</v>
      </c>
      <c r="C2425">
        <v>0</v>
      </c>
      <c r="D2425">
        <v>23</v>
      </c>
      <c r="E2425">
        <v>3</v>
      </c>
    </row>
    <row r="2426" spans="2:6" x14ac:dyDescent="0.2">
      <c r="B2426">
        <v>362</v>
      </c>
      <c r="C2426">
        <v>0</v>
      </c>
      <c r="D2426">
        <v>24</v>
      </c>
      <c r="E2426">
        <v>4</v>
      </c>
    </row>
    <row r="2427" spans="2:6" x14ac:dyDescent="0.2">
      <c r="B2427">
        <v>160</v>
      </c>
      <c r="C2427" t="s">
        <v>3605</v>
      </c>
      <c r="D2427">
        <v>25</v>
      </c>
      <c r="E2427">
        <v>1</v>
      </c>
      <c r="F2427">
        <v>7</v>
      </c>
    </row>
    <row r="2428" spans="2:6" x14ac:dyDescent="0.2">
      <c r="B2428">
        <v>613</v>
      </c>
      <c r="C2428">
        <v>0</v>
      </c>
      <c r="D2428">
        <v>26</v>
      </c>
      <c r="E2428">
        <v>2</v>
      </c>
    </row>
    <row r="2429" spans="2:6" x14ac:dyDescent="0.2">
      <c r="B2429">
        <v>893</v>
      </c>
      <c r="C2429">
        <v>0</v>
      </c>
      <c r="D2429">
        <v>27</v>
      </c>
      <c r="E2429">
        <v>3</v>
      </c>
    </row>
    <row r="2430" spans="2:6" x14ac:dyDescent="0.2">
      <c r="B2430">
        <v>362</v>
      </c>
      <c r="C2430">
        <v>0</v>
      </c>
      <c r="D2430">
        <v>28</v>
      </c>
      <c r="E2430">
        <v>4</v>
      </c>
    </row>
    <row r="2431" spans="2:6" x14ac:dyDescent="0.2">
      <c r="B2431">
        <v>522</v>
      </c>
      <c r="C2431" t="s">
        <v>3606</v>
      </c>
      <c r="D2431">
        <v>29</v>
      </c>
      <c r="E2431">
        <v>1</v>
      </c>
      <c r="F2431">
        <v>8</v>
      </c>
    </row>
    <row r="2432" spans="2:6" x14ac:dyDescent="0.2">
      <c r="B2432">
        <v>151</v>
      </c>
      <c r="C2432">
        <v>0</v>
      </c>
      <c r="D2432">
        <v>30</v>
      </c>
      <c r="E2432">
        <v>2</v>
      </c>
    </row>
    <row r="2433" spans="2:6" x14ac:dyDescent="0.2">
      <c r="B2433">
        <v>884</v>
      </c>
      <c r="C2433">
        <v>0</v>
      </c>
      <c r="D2433">
        <v>31</v>
      </c>
      <c r="E2433">
        <v>3</v>
      </c>
    </row>
    <row r="2434" spans="2:6" x14ac:dyDescent="0.2">
      <c r="B2434">
        <v>249</v>
      </c>
      <c r="C2434">
        <v>0</v>
      </c>
      <c r="D2434">
        <v>32</v>
      </c>
      <c r="E2434">
        <v>4</v>
      </c>
    </row>
    <row r="2435" spans="2:6" x14ac:dyDescent="0.2">
      <c r="B2435">
        <v>780</v>
      </c>
      <c r="C2435" t="s">
        <v>3607</v>
      </c>
      <c r="D2435">
        <v>33</v>
      </c>
      <c r="E2435">
        <v>1</v>
      </c>
      <c r="F2435">
        <v>9</v>
      </c>
    </row>
    <row r="2436" spans="2:6" x14ac:dyDescent="0.2">
      <c r="B2436">
        <v>405</v>
      </c>
      <c r="C2436">
        <v>0</v>
      </c>
      <c r="D2436">
        <v>34</v>
      </c>
      <c r="E2436">
        <v>2</v>
      </c>
    </row>
    <row r="2437" spans="2:6" x14ac:dyDescent="0.2">
      <c r="B2437">
        <v>894</v>
      </c>
      <c r="C2437">
        <v>0</v>
      </c>
      <c r="D2437">
        <v>35</v>
      </c>
      <c r="E2437">
        <v>3</v>
      </c>
    </row>
    <row r="2438" spans="2:6" x14ac:dyDescent="0.2">
      <c r="B2438">
        <v>371</v>
      </c>
      <c r="C2438">
        <v>0</v>
      </c>
      <c r="D2438">
        <v>36</v>
      </c>
      <c r="E2438">
        <v>4</v>
      </c>
    </row>
    <row r="2439" spans="2:6" x14ac:dyDescent="0.2">
      <c r="B2439">
        <v>249</v>
      </c>
      <c r="C2439" t="s">
        <v>3608</v>
      </c>
      <c r="D2439">
        <v>37</v>
      </c>
      <c r="E2439">
        <v>1</v>
      </c>
      <c r="F2439">
        <v>10</v>
      </c>
    </row>
    <row r="2440" spans="2:6" x14ac:dyDescent="0.2">
      <c r="B2440">
        <v>151</v>
      </c>
      <c r="C2440">
        <v>0</v>
      </c>
      <c r="D2440">
        <v>38</v>
      </c>
      <c r="E2440">
        <v>2</v>
      </c>
    </row>
    <row r="2441" spans="2:6" x14ac:dyDescent="0.2">
      <c r="B2441">
        <v>884</v>
      </c>
      <c r="C2441">
        <v>0</v>
      </c>
      <c r="D2441">
        <v>39</v>
      </c>
      <c r="E2441">
        <v>3</v>
      </c>
    </row>
    <row r="2442" spans="2:6" x14ac:dyDescent="0.2">
      <c r="B2442">
        <v>249</v>
      </c>
      <c r="C2442">
        <v>0</v>
      </c>
      <c r="D2442">
        <v>40</v>
      </c>
      <c r="E2442">
        <v>4</v>
      </c>
    </row>
    <row r="2443" spans="2:6" x14ac:dyDescent="0.2">
      <c r="B2443">
        <v>289</v>
      </c>
      <c r="C2443" t="s">
        <v>3609</v>
      </c>
      <c r="D2443">
        <v>41</v>
      </c>
      <c r="E2443">
        <v>1</v>
      </c>
      <c r="F2443">
        <v>11</v>
      </c>
    </row>
    <row r="2444" spans="2:6" x14ac:dyDescent="0.2">
      <c r="B2444">
        <v>490</v>
      </c>
      <c r="C2444">
        <v>0</v>
      </c>
      <c r="D2444">
        <v>42</v>
      </c>
      <c r="E2444">
        <v>2</v>
      </c>
    </row>
    <row r="2445" spans="2:6" x14ac:dyDescent="0.2">
      <c r="B2445">
        <v>714</v>
      </c>
      <c r="C2445">
        <v>0</v>
      </c>
      <c r="D2445">
        <v>43</v>
      </c>
      <c r="E2445">
        <v>3</v>
      </c>
    </row>
    <row r="2446" spans="2:6" x14ac:dyDescent="0.2">
      <c r="B2446">
        <v>289</v>
      </c>
      <c r="C2446">
        <v>0</v>
      </c>
      <c r="D2446">
        <v>44</v>
      </c>
      <c r="E2446">
        <v>4</v>
      </c>
    </row>
    <row r="2447" spans="2:6" x14ac:dyDescent="0.2">
      <c r="B2447">
        <v>0</v>
      </c>
      <c r="C2447" t="s">
        <v>3610</v>
      </c>
      <c r="D2447">
        <v>45</v>
      </c>
      <c r="E2447">
        <v>1</v>
      </c>
      <c r="F2447">
        <v>12</v>
      </c>
    </row>
    <row r="2448" spans="2:6" x14ac:dyDescent="0.2">
      <c r="B2448">
        <v>0</v>
      </c>
      <c r="C2448">
        <v>0</v>
      </c>
      <c r="D2448">
        <v>46</v>
      </c>
      <c r="E2448">
        <v>2</v>
      </c>
    </row>
    <row r="2449" spans="2:6" x14ac:dyDescent="0.2">
      <c r="B2449">
        <v>974</v>
      </c>
      <c r="C2449">
        <v>0</v>
      </c>
      <c r="D2449">
        <v>47</v>
      </c>
      <c r="E2449">
        <v>3</v>
      </c>
    </row>
    <row r="2450" spans="2:6" x14ac:dyDescent="0.2">
      <c r="B2450">
        <v>362</v>
      </c>
      <c r="C2450">
        <v>0</v>
      </c>
      <c r="D2450">
        <v>48</v>
      </c>
      <c r="E2450">
        <v>4</v>
      </c>
    </row>
    <row r="2451" spans="2:6" x14ac:dyDescent="0.2">
      <c r="B2451">
        <v>0</v>
      </c>
      <c r="C2451" t="s">
        <v>3611</v>
      </c>
      <c r="D2451">
        <v>49</v>
      </c>
      <c r="E2451">
        <v>1</v>
      </c>
      <c r="F2451">
        <v>13</v>
      </c>
    </row>
    <row r="2452" spans="2:6" x14ac:dyDescent="0.2">
      <c r="B2452">
        <v>0</v>
      </c>
      <c r="C2452">
        <v>0</v>
      </c>
      <c r="D2452">
        <v>50</v>
      </c>
      <c r="E2452">
        <v>2</v>
      </c>
    </row>
    <row r="2453" spans="2:6" x14ac:dyDescent="0.2">
      <c r="B2453">
        <v>974</v>
      </c>
      <c r="C2453">
        <v>0</v>
      </c>
      <c r="D2453">
        <v>51</v>
      </c>
      <c r="E2453">
        <v>3</v>
      </c>
    </row>
    <row r="2454" spans="2:6" x14ac:dyDescent="0.2">
      <c r="B2454">
        <v>249</v>
      </c>
      <c r="C2454">
        <v>0</v>
      </c>
      <c r="D2454">
        <v>52</v>
      </c>
      <c r="E2454">
        <v>4</v>
      </c>
    </row>
    <row r="2455" spans="2:6" x14ac:dyDescent="0.2">
      <c r="B2455">
        <v>0</v>
      </c>
      <c r="C2455" t="s">
        <v>3612</v>
      </c>
      <c r="D2455">
        <v>53</v>
      </c>
      <c r="E2455">
        <v>1</v>
      </c>
      <c r="F2455">
        <v>14</v>
      </c>
    </row>
    <row r="2456" spans="2:6" x14ac:dyDescent="0.2">
      <c r="B2456">
        <v>0</v>
      </c>
      <c r="C2456">
        <v>0</v>
      </c>
      <c r="D2456">
        <v>54</v>
      </c>
      <c r="E2456">
        <v>2</v>
      </c>
    </row>
    <row r="2457" spans="2:6" x14ac:dyDescent="0.2">
      <c r="B2457">
        <v>1169</v>
      </c>
      <c r="C2457">
        <v>0</v>
      </c>
      <c r="D2457">
        <v>55</v>
      </c>
      <c r="E2457">
        <v>3</v>
      </c>
    </row>
    <row r="2458" spans="2:6" x14ac:dyDescent="0.2">
      <c r="B2458">
        <v>546</v>
      </c>
      <c r="C2458">
        <v>0</v>
      </c>
      <c r="D2458">
        <v>56</v>
      </c>
      <c r="E2458">
        <v>4</v>
      </c>
    </row>
    <row r="2459" spans="2:6" x14ac:dyDescent="0.2">
      <c r="B2459">
        <v>0</v>
      </c>
      <c r="C2459" t="s">
        <v>3613</v>
      </c>
      <c r="D2459">
        <v>57</v>
      </c>
      <c r="E2459">
        <v>1</v>
      </c>
      <c r="F2459">
        <v>15</v>
      </c>
    </row>
    <row r="2460" spans="2:6" x14ac:dyDescent="0.2">
      <c r="B2460">
        <v>0</v>
      </c>
      <c r="C2460">
        <v>0</v>
      </c>
      <c r="D2460">
        <v>58</v>
      </c>
      <c r="E2460">
        <v>2</v>
      </c>
    </row>
    <row r="2461" spans="2:6" x14ac:dyDescent="0.2">
      <c r="B2461">
        <v>779</v>
      </c>
      <c r="C2461">
        <v>0</v>
      </c>
      <c r="D2461">
        <v>59</v>
      </c>
      <c r="E2461">
        <v>3</v>
      </c>
    </row>
    <row r="2462" spans="2:6" x14ac:dyDescent="0.2">
      <c r="B2462">
        <v>289</v>
      </c>
      <c r="C2462">
        <v>0</v>
      </c>
      <c r="D2462">
        <v>60</v>
      </c>
      <c r="E2462">
        <v>4</v>
      </c>
    </row>
    <row r="2463" spans="2:6" x14ac:dyDescent="0.2">
      <c r="B2463">
        <v>160</v>
      </c>
      <c r="C2463" t="s">
        <v>2619</v>
      </c>
      <c r="D2463">
        <v>61</v>
      </c>
      <c r="E2463">
        <v>1</v>
      </c>
      <c r="F2463">
        <v>16</v>
      </c>
    </row>
    <row r="2464" spans="2:6" x14ac:dyDescent="0.2">
      <c r="B2464">
        <v>797</v>
      </c>
      <c r="C2464">
        <v>0</v>
      </c>
      <c r="D2464">
        <v>62</v>
      </c>
      <c r="E2464">
        <v>2</v>
      </c>
    </row>
    <row r="2465" spans="2:6" x14ac:dyDescent="0.2">
      <c r="B2465">
        <v>779</v>
      </c>
      <c r="C2465">
        <v>0</v>
      </c>
      <c r="D2465">
        <v>63</v>
      </c>
      <c r="E2465">
        <v>3</v>
      </c>
    </row>
    <row r="2466" spans="2:6" x14ac:dyDescent="0.2">
      <c r="B2466">
        <v>289</v>
      </c>
      <c r="C2466">
        <v>0</v>
      </c>
      <c r="D2466">
        <v>64</v>
      </c>
      <c r="E2466">
        <v>4</v>
      </c>
    </row>
    <row r="2467" spans="2:6" x14ac:dyDescent="0.2">
      <c r="B2467">
        <v>160</v>
      </c>
      <c r="C2467" t="s">
        <v>4487</v>
      </c>
      <c r="D2467">
        <v>65</v>
      </c>
      <c r="E2467">
        <v>1</v>
      </c>
      <c r="F2467">
        <v>17</v>
      </c>
    </row>
    <row r="2468" spans="2:6" x14ac:dyDescent="0.2">
      <c r="B2468">
        <v>613</v>
      </c>
      <c r="C2468">
        <v>0</v>
      </c>
      <c r="D2468">
        <v>66</v>
      </c>
      <c r="E2468">
        <v>2</v>
      </c>
    </row>
    <row r="2469" spans="2:6" x14ac:dyDescent="0.2">
      <c r="B2469">
        <v>1827</v>
      </c>
      <c r="C2469">
        <v>0</v>
      </c>
      <c r="D2469">
        <v>67</v>
      </c>
      <c r="E2469">
        <v>3</v>
      </c>
    </row>
    <row r="2470" spans="2:6" x14ac:dyDescent="0.2">
      <c r="B2470">
        <v>289</v>
      </c>
      <c r="C2470">
        <v>0</v>
      </c>
      <c r="D2470">
        <v>68</v>
      </c>
      <c r="E2470">
        <v>4</v>
      </c>
    </row>
    <row r="2471" spans="2:6" x14ac:dyDescent="0.2">
      <c r="B2471">
        <v>362</v>
      </c>
      <c r="C2471" t="s">
        <v>4488</v>
      </c>
      <c r="D2471">
        <v>69</v>
      </c>
      <c r="E2471">
        <v>1</v>
      </c>
      <c r="F2471">
        <v>18</v>
      </c>
    </row>
    <row r="2472" spans="2:6" x14ac:dyDescent="0.2">
      <c r="B2472">
        <v>613</v>
      </c>
      <c r="C2472">
        <v>0</v>
      </c>
      <c r="D2472">
        <v>70</v>
      </c>
      <c r="E2472">
        <v>2</v>
      </c>
    </row>
    <row r="2473" spans="2:6" x14ac:dyDescent="0.2">
      <c r="B2473">
        <v>893</v>
      </c>
      <c r="C2473">
        <v>0</v>
      </c>
      <c r="D2473">
        <v>71</v>
      </c>
      <c r="E2473">
        <v>3</v>
      </c>
    </row>
    <row r="2474" spans="2:6" x14ac:dyDescent="0.2">
      <c r="B2474">
        <v>362</v>
      </c>
      <c r="C2474">
        <v>0</v>
      </c>
      <c r="D2474">
        <v>72</v>
      </c>
      <c r="E2474">
        <v>4</v>
      </c>
    </row>
    <row r="2475" spans="2:6" x14ac:dyDescent="0.2">
      <c r="B2475">
        <v>160</v>
      </c>
      <c r="C2475" t="s">
        <v>4489</v>
      </c>
      <c r="D2475">
        <v>73</v>
      </c>
      <c r="E2475">
        <v>1</v>
      </c>
      <c r="F2475">
        <v>19</v>
      </c>
    </row>
    <row r="2476" spans="2:6" x14ac:dyDescent="0.2">
      <c r="B2476">
        <v>613</v>
      </c>
      <c r="C2476">
        <v>0</v>
      </c>
      <c r="D2476">
        <v>74</v>
      </c>
      <c r="E2476">
        <v>2</v>
      </c>
    </row>
    <row r="2477" spans="2:6" x14ac:dyDescent="0.2">
      <c r="B2477">
        <v>893</v>
      </c>
      <c r="C2477">
        <v>0</v>
      </c>
      <c r="D2477">
        <v>75</v>
      </c>
      <c r="E2477">
        <v>3</v>
      </c>
    </row>
    <row r="2478" spans="2:6" x14ac:dyDescent="0.2">
      <c r="B2478">
        <v>362</v>
      </c>
      <c r="C2478">
        <v>0</v>
      </c>
      <c r="D2478">
        <v>76</v>
      </c>
      <c r="E2478">
        <v>4</v>
      </c>
    </row>
    <row r="2479" spans="2:6" x14ac:dyDescent="0.2">
      <c r="B2479">
        <v>160</v>
      </c>
      <c r="C2479" t="s">
        <v>4490</v>
      </c>
      <c r="D2479">
        <v>77</v>
      </c>
      <c r="E2479">
        <v>1</v>
      </c>
      <c r="F2479">
        <v>20</v>
      </c>
    </row>
    <row r="2480" spans="2:6" x14ac:dyDescent="0.2">
      <c r="B2480">
        <v>613</v>
      </c>
      <c r="C2480">
        <v>0</v>
      </c>
      <c r="D2480">
        <v>78</v>
      </c>
      <c r="E2480">
        <v>2</v>
      </c>
    </row>
    <row r="2481" spans="2:6" x14ac:dyDescent="0.2">
      <c r="B2481">
        <v>893</v>
      </c>
      <c r="C2481">
        <v>0</v>
      </c>
      <c r="D2481">
        <v>79</v>
      </c>
      <c r="E2481">
        <v>3</v>
      </c>
    </row>
    <row r="2482" spans="2:6" x14ac:dyDescent="0.2">
      <c r="B2482">
        <v>362</v>
      </c>
      <c r="C2482">
        <v>0</v>
      </c>
      <c r="D2482">
        <v>80</v>
      </c>
      <c r="E2482">
        <v>4</v>
      </c>
    </row>
    <row r="2483" spans="2:6" x14ac:dyDescent="0.2">
      <c r="B2483">
        <v>160</v>
      </c>
      <c r="C2483" t="s">
        <v>4491</v>
      </c>
      <c r="D2483">
        <v>81</v>
      </c>
      <c r="E2483">
        <v>1</v>
      </c>
      <c r="F2483">
        <v>21</v>
      </c>
    </row>
    <row r="2484" spans="2:6" x14ac:dyDescent="0.2">
      <c r="B2484">
        <v>124</v>
      </c>
      <c r="C2484">
        <v>0</v>
      </c>
      <c r="D2484">
        <v>82</v>
      </c>
      <c r="E2484">
        <v>2</v>
      </c>
    </row>
    <row r="2485" spans="2:6" x14ac:dyDescent="0.2">
      <c r="B2485">
        <v>834</v>
      </c>
      <c r="C2485">
        <v>0</v>
      </c>
      <c r="D2485">
        <v>83</v>
      </c>
      <c r="E2485">
        <v>3</v>
      </c>
    </row>
    <row r="2486" spans="2:6" x14ac:dyDescent="0.2">
      <c r="B2486">
        <v>249</v>
      </c>
      <c r="C2486">
        <v>0</v>
      </c>
      <c r="D2486">
        <v>84</v>
      </c>
      <c r="E2486">
        <v>4</v>
      </c>
    </row>
    <row r="2487" spans="2:6" x14ac:dyDescent="0.2">
      <c r="B2487">
        <v>128</v>
      </c>
      <c r="C2487" t="s">
        <v>4492</v>
      </c>
      <c r="D2487">
        <v>85</v>
      </c>
      <c r="E2487">
        <v>1</v>
      </c>
      <c r="F2487">
        <v>22</v>
      </c>
    </row>
    <row r="2488" spans="2:6" x14ac:dyDescent="0.2">
      <c r="B2488">
        <v>490</v>
      </c>
      <c r="C2488">
        <v>0</v>
      </c>
      <c r="D2488">
        <v>86</v>
      </c>
      <c r="E2488">
        <v>2</v>
      </c>
    </row>
    <row r="2489" spans="2:6" x14ac:dyDescent="0.2">
      <c r="B2489">
        <v>714</v>
      </c>
      <c r="C2489">
        <v>0</v>
      </c>
      <c r="D2489">
        <v>87</v>
      </c>
      <c r="E2489">
        <v>3</v>
      </c>
    </row>
    <row r="2490" spans="2:6" x14ac:dyDescent="0.2">
      <c r="B2490">
        <v>289</v>
      </c>
      <c r="C2490">
        <v>0</v>
      </c>
      <c r="D2490">
        <v>88</v>
      </c>
      <c r="E2490">
        <v>4</v>
      </c>
    </row>
    <row r="2491" spans="2:6" x14ac:dyDescent="0.2">
      <c r="B2491">
        <v>128</v>
      </c>
      <c r="C2491" t="s">
        <v>5551</v>
      </c>
      <c r="D2491">
        <v>89</v>
      </c>
      <c r="E2491">
        <v>1</v>
      </c>
      <c r="F2491">
        <v>23</v>
      </c>
    </row>
    <row r="2492" spans="2:6" x14ac:dyDescent="0.2">
      <c r="B2492">
        <v>490</v>
      </c>
      <c r="C2492">
        <v>0</v>
      </c>
      <c r="D2492">
        <v>90</v>
      </c>
      <c r="E2492">
        <v>2</v>
      </c>
    </row>
    <row r="2493" spans="2:6" x14ac:dyDescent="0.2">
      <c r="B2493">
        <v>714</v>
      </c>
      <c r="C2493">
        <v>0</v>
      </c>
      <c r="D2493">
        <v>91</v>
      </c>
      <c r="E2493">
        <v>3</v>
      </c>
    </row>
    <row r="2494" spans="2:6" x14ac:dyDescent="0.2">
      <c r="B2494">
        <v>289</v>
      </c>
      <c r="C2494">
        <v>0</v>
      </c>
      <c r="D2494">
        <v>92</v>
      </c>
      <c r="E2494">
        <v>4</v>
      </c>
    </row>
    <row r="2495" spans="2:6" x14ac:dyDescent="0.2">
      <c r="B2495">
        <v>160</v>
      </c>
      <c r="C2495" t="s">
        <v>5552</v>
      </c>
      <c r="D2495">
        <v>93</v>
      </c>
      <c r="E2495">
        <v>1</v>
      </c>
      <c r="F2495">
        <v>24</v>
      </c>
    </row>
    <row r="2496" spans="2:6" x14ac:dyDescent="0.2">
      <c r="B2496">
        <v>0</v>
      </c>
      <c r="C2496">
        <v>0</v>
      </c>
      <c r="D2496">
        <v>94</v>
      </c>
      <c r="E2496">
        <v>2</v>
      </c>
    </row>
    <row r="2497" spans="2:6" x14ac:dyDescent="0.2">
      <c r="B2497">
        <v>0</v>
      </c>
      <c r="C2497">
        <v>0</v>
      </c>
      <c r="D2497">
        <v>95</v>
      </c>
      <c r="E2497">
        <v>3</v>
      </c>
    </row>
    <row r="2498" spans="2:6" x14ac:dyDescent="0.2">
      <c r="B2498">
        <v>0</v>
      </c>
      <c r="C2498">
        <v>0</v>
      </c>
      <c r="D2498">
        <v>96</v>
      </c>
      <c r="E2498">
        <v>4</v>
      </c>
    </row>
    <row r="2499" spans="2:6" x14ac:dyDescent="0.2">
      <c r="B2499">
        <v>522</v>
      </c>
      <c r="C2499" t="s">
        <v>5553</v>
      </c>
      <c r="D2499">
        <v>97</v>
      </c>
      <c r="E2499">
        <v>1</v>
      </c>
      <c r="F2499">
        <v>25</v>
      </c>
    </row>
    <row r="2500" spans="2:6" x14ac:dyDescent="0.2">
      <c r="B2500">
        <v>0</v>
      </c>
      <c r="C2500">
        <v>0</v>
      </c>
      <c r="D2500">
        <v>98</v>
      </c>
      <c r="E2500">
        <v>2</v>
      </c>
    </row>
    <row r="2501" spans="2:6" x14ac:dyDescent="0.2">
      <c r="B2501">
        <v>0</v>
      </c>
      <c r="C2501">
        <v>0</v>
      </c>
      <c r="D2501">
        <v>99</v>
      </c>
      <c r="E2501">
        <v>3</v>
      </c>
    </row>
    <row r="2502" spans="2:6" x14ac:dyDescent="0.2">
      <c r="B2502">
        <v>0</v>
      </c>
      <c r="C2502">
        <v>0</v>
      </c>
      <c r="D2502">
        <v>100</v>
      </c>
      <c r="E2502">
        <v>4</v>
      </c>
    </row>
    <row r="2503" spans="2:6" x14ac:dyDescent="0.2">
      <c r="B2503">
        <v>780</v>
      </c>
      <c r="C2503" t="s">
        <v>5554</v>
      </c>
      <c r="D2503">
        <v>101</v>
      </c>
      <c r="E2503">
        <v>1</v>
      </c>
      <c r="F2503">
        <v>26</v>
      </c>
    </row>
    <row r="2504" spans="2:6" x14ac:dyDescent="0.2">
      <c r="B2504">
        <v>0</v>
      </c>
      <c r="C2504">
        <v>0</v>
      </c>
      <c r="D2504">
        <v>102</v>
      </c>
      <c r="E2504">
        <v>2</v>
      </c>
    </row>
    <row r="2505" spans="2:6" x14ac:dyDescent="0.2">
      <c r="B2505">
        <v>0</v>
      </c>
      <c r="C2505">
        <v>0</v>
      </c>
      <c r="D2505">
        <v>103</v>
      </c>
      <c r="E2505">
        <v>3</v>
      </c>
    </row>
    <row r="2506" spans="2:6" x14ac:dyDescent="0.2">
      <c r="B2506">
        <v>0</v>
      </c>
      <c r="C2506">
        <v>0</v>
      </c>
      <c r="D2506">
        <v>104</v>
      </c>
      <c r="E2506">
        <v>4</v>
      </c>
    </row>
    <row r="2507" spans="2:6" x14ac:dyDescent="0.2">
      <c r="B2507">
        <v>160</v>
      </c>
      <c r="C2507" t="s">
        <v>5555</v>
      </c>
      <c r="D2507">
        <v>105</v>
      </c>
      <c r="E2507">
        <v>1</v>
      </c>
      <c r="F2507">
        <v>27</v>
      </c>
    </row>
    <row r="2508" spans="2:6" x14ac:dyDescent="0.2">
      <c r="B2508">
        <v>0</v>
      </c>
      <c r="C2508">
        <v>0</v>
      </c>
      <c r="D2508">
        <v>106</v>
      </c>
      <c r="E2508">
        <v>2</v>
      </c>
    </row>
    <row r="2509" spans="2:6" x14ac:dyDescent="0.2">
      <c r="B2509">
        <v>0</v>
      </c>
      <c r="C2509">
        <v>0</v>
      </c>
      <c r="D2509">
        <v>107</v>
      </c>
      <c r="E2509">
        <v>3</v>
      </c>
    </row>
    <row r="2510" spans="2:6" x14ac:dyDescent="0.2">
      <c r="B2510">
        <v>0</v>
      </c>
      <c r="C2510">
        <v>0</v>
      </c>
      <c r="D2510">
        <v>108</v>
      </c>
      <c r="E2510">
        <v>4</v>
      </c>
    </row>
    <row r="2511" spans="2:6" x14ac:dyDescent="0.2">
      <c r="B2511">
        <v>128</v>
      </c>
      <c r="C2511" t="s">
        <v>5556</v>
      </c>
      <c r="D2511">
        <v>109</v>
      </c>
      <c r="E2511">
        <v>1</v>
      </c>
      <c r="F2511">
        <v>28</v>
      </c>
    </row>
    <row r="2512" spans="2:6" x14ac:dyDescent="0.2">
      <c r="B2512">
        <v>0</v>
      </c>
      <c r="C2512">
        <v>0</v>
      </c>
      <c r="D2512">
        <v>110</v>
      </c>
      <c r="E2512">
        <v>2</v>
      </c>
    </row>
    <row r="2513" spans="1:5" x14ac:dyDescent="0.2">
      <c r="B2513">
        <v>0</v>
      </c>
      <c r="C2513">
        <v>0</v>
      </c>
      <c r="D2513">
        <v>111</v>
      </c>
      <c r="E2513">
        <v>3</v>
      </c>
    </row>
    <row r="2514" spans="1:5" x14ac:dyDescent="0.2">
      <c r="B2514">
        <v>0</v>
      </c>
      <c r="C2514">
        <v>0</v>
      </c>
      <c r="D2514">
        <v>112</v>
      </c>
      <c r="E2514">
        <v>0</v>
      </c>
    </row>
    <row r="2520" spans="1:5" x14ac:dyDescent="0.2">
      <c r="A2520" s="2852"/>
    </row>
    <row r="2521" spans="1:5" ht="18.75" x14ac:dyDescent="0.3">
      <c r="A2521" s="2853" t="s">
        <v>2078</v>
      </c>
    </row>
    <row r="2522" spans="1:5" x14ac:dyDescent="0.2">
      <c r="A2522" s="2854" t="s">
        <v>2079</v>
      </c>
      <c r="B2522" s="213" t="e">
        <f>(0.02/(B584/1.2)+0.98)*1*(0.26*(B326/27)+0.74)*(0.33*(B403/4000)+0.67)*(0.12*(B363/33)+0.88)*(0.17*(B3074/90)+0.83)*(0.012*(B364/3)+0.988)*(0.17*(B388/1.27)+0.83)*(0.06*(B389/36)+0.94)*(0.05*B393+0.95)*(IF(B592=0,1,0.98))*(IF(B596=0,1,1))*(IF(B334=1,2.55,IF(B334=2,1.17,1.84)))</f>
        <v>#VALUE!</v>
      </c>
    </row>
    <row r="2523" spans="1:5" x14ac:dyDescent="0.2">
      <c r="A2523" s="2854" t="s">
        <v>4894</v>
      </c>
      <c r="B2523" s="213" t="e">
        <f>(1-0.0345*(B584/1.2))*(0.08*(B599/6)+0.92)*(0.39*(B326/27)+0.61)*(0.38*(B403/4000)+0.62)*(0.52*(B3074/90)+0.48)*(0.012*(B364/3)+0.988)*(0.53*(B388/1.27)+0.47)*(0.14*(B389/36)+0.86)*(IF(B592=0,1,1.04))*(IF(B596=0,1,1.012))*(IF(B334=1,2.55,IF(B334=2,1.17,1.84)))</f>
        <v>#VALUE!</v>
      </c>
    </row>
    <row r="2524" spans="1:5" x14ac:dyDescent="0.2">
      <c r="A2524" s="2854" t="s">
        <v>4895</v>
      </c>
      <c r="B2524" s="213">
        <f>1*1*(0.23*(B326/27)+0.77)*(0.31*(B403/4000)+0.69)*(0.11*(B363/33)+0.89)*(0.13*(B3074/90)+0.87)*(0.012*(B364/3)+0.988)*(0.13*(B388/1.27)+0.87)*(0.04*(B389/36)+0.96)*(0.14*(B392/3)+0.86)*(IF(B592=0,1,0.98))*(IF(B596=0,1,1))*(IF(B334=1,2.55,IF(B334=2,1.17,1.84)))</f>
        <v>3.3004691882564288</v>
      </c>
    </row>
    <row r="2525" spans="1:5" x14ac:dyDescent="0.2">
      <c r="A2525" s="2854" t="s">
        <v>4896</v>
      </c>
      <c r="B2525" s="213" t="e">
        <f>(1.06-0.06*(B584/1.2))*1*(0.44*(B326/27)+0.56)*(0.44*(B403/4000)+0.56)*1*(0.45*(B3074/90)+0.55)*(0.012*(B364/3)+0.988)*(0.43*(B388/1.27)+0.57)*(0.11*(B389/36)+0.89)*1*(IF(B592=0,1,1.03))*(IF(B596=0,1,1.01))*(IF(B334=1,2.55,IF(B334=2,1.17,1.84)))</f>
        <v>#VALUE!</v>
      </c>
    </row>
    <row r="2526" spans="1:5" x14ac:dyDescent="0.2">
      <c r="A2526" s="2855"/>
    </row>
    <row r="2527" spans="1:5" ht="18.75" x14ac:dyDescent="0.3">
      <c r="A2527" s="2856" t="s">
        <v>4897</v>
      </c>
    </row>
    <row r="2528" spans="1:5" ht="18.75" x14ac:dyDescent="0.3">
      <c r="A2528" s="2857" t="s">
        <v>4898</v>
      </c>
    </row>
    <row r="2529" spans="1:2" ht="25.5" x14ac:dyDescent="0.2">
      <c r="A2529" s="2770" t="s">
        <v>4899</v>
      </c>
    </row>
    <row r="2530" spans="1:2" x14ac:dyDescent="0.2">
      <c r="A2530" s="214" t="s">
        <v>4416</v>
      </c>
      <c r="B2530" s="213">
        <f>B2531*IF(B348=1,B2532,B2533)</f>
        <v>2.3730660742667444</v>
      </c>
    </row>
    <row r="2531" spans="1:2" x14ac:dyDescent="0.2">
      <c r="A2531" s="210" t="s">
        <v>4417</v>
      </c>
      <c r="B2531" s="213">
        <f>IF(B348=1,(0.27/(B331/120)+0.73),(0.18/(B331/120)+0.82))*(IF(B348=1,1,(0.02/(B584/1.2)+0.98)))*(IF(B348=1,(IF(B586&lt;=12,1,1.01)),(0.0007*B586+1)))*(IF(B348=1,(0.34/(B351/0.8)+0.66),(0.36/(B351/0.8)+0.64)))*(IF(B348=1,(0.23*(B326/27)+0.77),(0.26*(B326/27)+0.74)))*(IF(B3076&lt;&gt;3,(IF(B348=1,(0.31*(B403/4000)+0.69),(0.33*(B403/4000)+0.67))),1)*(IF(B348=1,(0.11*(B363/33)+0.89),(0.12*(B363/33)+0.88)))*(IF(B348=1,(0.24*B350+0.76),(0.25*B350+0.75)))*(IF(B348=1,(0.13*(B387/90)+0.87),(0.17*(B387/90)+0.83))*(0.012*(B364/3)+0.988))*(IF(B348=1,(0.13*(B388/1.27)+0.87),(0.17*(B388/1.27)+0.83)))*(IF(B348=1,(0.04*(B389/36)+0.96),(0.06*(B389/36)+0.94)))*(IF(B348=1,(0.14*(B392/3)+0.86),(0.05*B393)+0.95))*(IF(B592=0,1,IF(B348=1,0.98,0.98)))*(IF(B337=1,1.03,1)))</f>
        <v>2.1530267413053386</v>
      </c>
    </row>
    <row r="2532" spans="1:2" x14ac:dyDescent="0.2">
      <c r="A2532" s="2858" t="s">
        <v>4418</v>
      </c>
      <c r="B2532" s="213">
        <f>IF(B3076=1,1,IF(B3076=2,1.002,IF(B3076=3,(0.18*B333+0.68)*(0.13*(B400/70)+0.87),IF(B3076=4,(0.18*B333+1)*(0.13*(B400/70)+0.87),IF(B3076=5,(0.18*B333+1)*(0.13*(B400/70)+0.87))))))*IF(B347=3,0.05*(B396/20)+0.95,IF(B347=2,0.2*(B395/500)+0.81,IF(B347=1,0.14*(B397/300)+0.95)))</f>
        <v>1.1022000000000001</v>
      </c>
    </row>
    <row r="2533" spans="1:2" x14ac:dyDescent="0.2">
      <c r="A2533" s="2858" t="s">
        <v>4419</v>
      </c>
      <c r="B2533" s="213">
        <f>IF(B3076=1,1,IF(B3076=2,1.002,IF(B3076=3,(0.19*B333+0.65)*(0.18*(B400/70)+0.83),IF(B3076=4,(0.19*B333+1)*(0.18*(B400/70)+0.82),IF(B3076=5,(0.19*B333+1)*(0.18*(B400/70)+0.82))))))*IF(B347=1,0.1*(B397/300)+0.98,IF(B347=2,0.1*(B395/500)+0.91,IF(B347=3,0.04*(B396/20)+0.96)))</f>
        <v>1.08216</v>
      </c>
    </row>
    <row r="2534" spans="1:2" ht="25.5" x14ac:dyDescent="0.2">
      <c r="A2534" s="2770" t="s">
        <v>4420</v>
      </c>
      <c r="B2534" s="213" t="e">
        <f>IF(B348=1,(1-0.005/(B331/120)),1)*((IF(B348=1,((1.06-0.06)*(B584/1.2)),((1-0.0345)*(B584/1.2)))))*((IF(B348=1,(IF(B586&lt;=12,1,1.014)),(0.0007*B586+1))))*(IF(B348=1,1,(0.08*(B599/6)+0.92)))*(IF(B348=1,(0.51/(B351/0.8)+0.49),(0.44/(B351/0.8)+0.56)))*(IF(B348=1,(0.44*(B326/27)+0.56),(0.39*(B326/27)+0.61)))*IF(B3076&lt;&gt;3,(IF(B348=1,(0.44*(B403/4000)+0.56),(0.38*(B403/4000)+0.62))),1)*(IF(B348=1,(0.45*(B387/90)+0.55),(0.52*(B387/90)+0.48)))*((0.012*(B364/3)+0.988))*(IF(B348=1,(0.43*(B388/1.27)+0.57),(0.53*(B388/1.27)+0.47)))*(IF(B348=1,(0.11*(B389/36)+0.89),(0.53*(B389/36)+0.86)))*(IF(B592=0,1,IF(B348=1,1.03,1.04)))*(IF(B596=0,1,IF(B348=1,1.01,1.012)))*(IF(B349=1,IF(B348=1,1,0.93),1))*(IF(B337=1,0.94,1))</f>
        <v>#VALUE!</v>
      </c>
    </row>
    <row r="2535" spans="1:2" x14ac:dyDescent="0.2">
      <c r="A2535" s="214" t="s">
        <v>4416</v>
      </c>
      <c r="B2535" s="213" t="e">
        <f>B2534*B2536*IF(B348=1,B2537,B2538)</f>
        <v>#VALUE!</v>
      </c>
    </row>
    <row r="2536" spans="1:2" x14ac:dyDescent="0.2">
      <c r="A2536" s="2858" t="s">
        <v>2564</v>
      </c>
      <c r="B2536" s="213">
        <f>IF(B3076=1,1,IF(AND(B3076=2,B348=1),1.005,IF(AND(B3076=2,B348=2),1.004,IF(OR(B3076=3,B3076=4,B3076=5),IF(B348=1,(0.32*B333+0.55)*(0.13*(B400/70)+0.87),IF(B348=2,(0.28*B333+0.57)*(0.18*(B400/70)+0.82)))))))</f>
        <v>1.0049999999999999</v>
      </c>
    </row>
    <row r="2537" spans="1:2" x14ac:dyDescent="0.2">
      <c r="A2537" s="2858" t="s">
        <v>2565</v>
      </c>
      <c r="B2537" s="213">
        <f>IF(B348=2,1,IF(AND(B348=1,B347=1),0.15*(B397/300)+0.87,IF(AND(B348=1,B347=2),0.2*(B395/5000)+0.82,IF(AND(B348=1,B347=3),0.05*(B396/20)+0.95))))</f>
        <v>1.1000000000000001</v>
      </c>
    </row>
    <row r="2538" spans="1:2" x14ac:dyDescent="0.2">
      <c r="A2538" s="2858" t="s">
        <v>2566</v>
      </c>
      <c r="B2538" s="213">
        <f>IF(B348=1,1,IF(AND(B348=2,B347=1),0.12*(B397/300)+1.02,IF(AND(B348=2,B347=2),0.1*(B395/500)+0.92,IF(AND(B348=2,B347=3),0.04*(B396/20)+0.96))))</f>
        <v>1</v>
      </c>
    </row>
    <row r="2539" spans="1:2" x14ac:dyDescent="0.2">
      <c r="A2539" s="2801" t="s">
        <v>2567</v>
      </c>
      <c r="B2539" s="213">
        <f>IF(B334=1,2.55,IF(B334=2,1.17,1.84))</f>
        <v>1.84</v>
      </c>
    </row>
    <row r="2540" spans="1:2" ht="25.5" x14ac:dyDescent="0.2">
      <c r="A2540" s="2859" t="s">
        <v>2568</v>
      </c>
      <c r="B2540" s="213" t="e">
        <f>(0.26*(B3074/80)+0.74)*(0.03*(B391/0.81)+0.97)*(0.07*(B599/5)+0.93)*B2539*(0.99+0.01*(B587/300)*IF(B592=1,1.024,1)*IF(B596=1,1.041,1))</f>
        <v>#VALUE!</v>
      </c>
    </row>
    <row r="2541" spans="1:2" x14ac:dyDescent="0.2">
      <c r="A2541" s="217" t="s">
        <v>2569</v>
      </c>
      <c r="B2541" s="213">
        <f>$B$354+0.073*B326+0.0044*B335-1.49</f>
        <v>9.8010000000000002</v>
      </c>
    </row>
    <row r="2542" spans="1:2" x14ac:dyDescent="0.2">
      <c r="A2542" s="217" t="s">
        <v>2570</v>
      </c>
      <c r="B2542" s="213">
        <f>$D$355+0.073*B326+0.0044*B335-1.49</f>
        <v>1.8009999999999999</v>
      </c>
    </row>
    <row r="2543" spans="1:2" x14ac:dyDescent="0.2">
      <c r="A2543" s="217" t="s">
        <v>2571</v>
      </c>
      <c r="B2543" s="213" t="e">
        <f>B642+B913+IF(B914=0,0,IF(B914=1,4,IF(B914=2,0)))+IF(B607/4=INT(B607/4),5,10)</f>
        <v>#VALUE!</v>
      </c>
    </row>
    <row r="2544" spans="1:2" x14ac:dyDescent="0.2">
      <c r="A2544" s="217" t="s">
        <v>2572</v>
      </c>
      <c r="B2544" s="213" t="e">
        <f>ROUND(B636/B2543,0)</f>
        <v>#VALUE!</v>
      </c>
    </row>
    <row r="2545" spans="1:2" x14ac:dyDescent="0.2">
      <c r="A2545" s="217" t="s">
        <v>2573</v>
      </c>
      <c r="B2545" s="213">
        <f>$B$291</f>
        <v>1</v>
      </c>
    </row>
    <row r="2546" spans="1:2" x14ac:dyDescent="0.2">
      <c r="A2546" s="217" t="s">
        <v>2574</v>
      </c>
      <c r="B2546" s="213">
        <f>IF(B2545=2,1,B2545)</f>
        <v>1</v>
      </c>
    </row>
    <row r="2547" spans="1:2" x14ac:dyDescent="0.2">
      <c r="A2547" s="217" t="s">
        <v>3512</v>
      </c>
      <c r="B2547" s="213" t="e">
        <f>IF(B348=1,(B2539*((3323.7*B2530)+(113.27*B2542*B2535))),(B2539*((3108.4*B2530)+(129.54*B2542*B2535))))</f>
        <v>#VALUE!</v>
      </c>
    </row>
    <row r="2548" spans="1:2" x14ac:dyDescent="0.2">
      <c r="A2548" s="217" t="s">
        <v>3513</v>
      </c>
      <c r="B2548" s="213" t="e">
        <f>IF(B348=1,(B2539*((3323.7*B2530)+(113.27*B2541*B2535))),(B2539*((3108.4*B2530)+(129.54*B2541*B2535))))</f>
        <v>#VALUE!</v>
      </c>
    </row>
    <row r="2549" spans="1:2" x14ac:dyDescent="0.2">
      <c r="A2549" s="217" t="s">
        <v>3514</v>
      </c>
      <c r="B2549" s="213" t="e">
        <f>B2547*(B2544*B2543)*(2+(B508*B748+1)/B748)</f>
        <v>#VALUE!</v>
      </c>
    </row>
    <row r="2550" spans="1:2" x14ac:dyDescent="0.2">
      <c r="A2550" s="217" t="s">
        <v>3515</v>
      </c>
      <c r="B2550" s="213" t="e">
        <f>B2548*B2544*B2543</f>
        <v>#VALUE!</v>
      </c>
    </row>
    <row r="2551" spans="1:2" x14ac:dyDescent="0.2">
      <c r="A2551" s="217" t="s">
        <v>3516</v>
      </c>
      <c r="B2551" s="213" t="e">
        <f>395*B2540</f>
        <v>#VALUE!</v>
      </c>
    </row>
    <row r="2552" spans="1:2" x14ac:dyDescent="0.2">
      <c r="A2552" s="217" t="s">
        <v>3517</v>
      </c>
      <c r="B2552" s="213" t="e">
        <f>1034*B2540</f>
        <v>#VALUE!</v>
      </c>
    </row>
    <row r="2553" spans="1:2" x14ac:dyDescent="0.2">
      <c r="A2553" s="217" t="s">
        <v>3518</v>
      </c>
      <c r="B2553" s="213" t="e">
        <f>B2551*(B357+(B2544-1)*B359+B358)</f>
        <v>#VALUE!</v>
      </c>
    </row>
    <row r="2554" spans="1:2" x14ac:dyDescent="0.2">
      <c r="A2554" s="217" t="s">
        <v>3519</v>
      </c>
      <c r="B2554" s="213" t="e">
        <f>B2552*B356*(2+(B508*B748+1/B748))</f>
        <v>#VALUE!</v>
      </c>
    </row>
    <row r="2555" spans="1:2" x14ac:dyDescent="0.2">
      <c r="A2555" s="217" t="s">
        <v>3520</v>
      </c>
      <c r="B2555" s="213" t="e">
        <f>B2554+B2553+B2550+B2549</f>
        <v>#VALUE!</v>
      </c>
    </row>
    <row r="2556" spans="1:2" ht="25.5" x14ac:dyDescent="0.2">
      <c r="A2556" s="217" t="s">
        <v>3521</v>
      </c>
      <c r="B2556" s="213" t="e">
        <f>B2554+B2553+B2550+B2549+(B508*B2549/2)*(B748+1)/B748</f>
        <v>#VALUE!</v>
      </c>
    </row>
    <row r="2557" spans="1:2" ht="25.5" x14ac:dyDescent="0.2">
      <c r="A2557" s="217" t="s">
        <v>3522</v>
      </c>
      <c r="B2557" s="213" t="e">
        <f>B2556/B820</f>
        <v>#VALUE!</v>
      </c>
    </row>
    <row r="2558" spans="1:2" ht="25.5" x14ac:dyDescent="0.2">
      <c r="A2558" s="217" t="s">
        <v>3523</v>
      </c>
      <c r="B2558" s="213" t="e">
        <f>B2555/B820</f>
        <v>#VALUE!</v>
      </c>
    </row>
    <row r="2559" spans="1:2" x14ac:dyDescent="0.2">
      <c r="A2559" s="2465" t="s">
        <v>364</v>
      </c>
    </row>
    <row r="2560" spans="1:2" x14ac:dyDescent="0.2">
      <c r="A2560" s="2465" t="s">
        <v>365</v>
      </c>
      <c r="B2560" t="str">
        <f>IF(B508=0,$B$632-$B$632/$B$759,$B$632)</f>
        <v/>
      </c>
    </row>
    <row r="2561" spans="1:7" x14ac:dyDescent="0.2">
      <c r="A2561" s="2465" t="s">
        <v>3524</v>
      </c>
      <c r="B2561" t="e">
        <f>B2765</f>
        <v>#VALUE!</v>
      </c>
    </row>
    <row r="2562" spans="1:7" x14ac:dyDescent="0.2">
      <c r="A2562" s="2465" t="s">
        <v>3525</v>
      </c>
      <c r="B2562" t="e">
        <f>B2561*B2560</f>
        <v>#VALUE!</v>
      </c>
    </row>
    <row r="2563" spans="1:7" x14ac:dyDescent="0.2">
      <c r="A2563" s="2465" t="s">
        <v>3526</v>
      </c>
      <c r="B2563" t="e">
        <f>B2562/B820</f>
        <v>#VALUE!</v>
      </c>
    </row>
    <row r="2564" spans="1:7" x14ac:dyDescent="0.2">
      <c r="A2564" s="2465" t="s">
        <v>3527</v>
      </c>
      <c r="B2564" t="e">
        <f>B2563+B2558</f>
        <v>#VALUE!</v>
      </c>
    </row>
    <row r="2565" spans="1:7" x14ac:dyDescent="0.2">
      <c r="A2565" s="2465" t="s">
        <v>324</v>
      </c>
    </row>
    <row r="2566" spans="1:7" x14ac:dyDescent="0.2">
      <c r="A2566" s="2465" t="s">
        <v>325</v>
      </c>
      <c r="B2566" t="e">
        <f>$B$760/B3078</f>
        <v>#VALUE!</v>
      </c>
    </row>
    <row r="2567" spans="1:7" x14ac:dyDescent="0.2">
      <c r="A2567" s="2465" t="s">
        <v>326</v>
      </c>
      <c r="B2567" t="e">
        <f>$B$760*2</f>
        <v>#VALUE!</v>
      </c>
    </row>
    <row r="2568" spans="1:7" x14ac:dyDescent="0.2">
      <c r="A2568" s="2465" t="s">
        <v>327</v>
      </c>
      <c r="B2568" t="e">
        <f>(B2566/12)*B2544</f>
        <v>#VALUE!</v>
      </c>
      <c r="F2568" t="s">
        <v>402</v>
      </c>
      <c r="G2568" t="s">
        <v>403</v>
      </c>
    </row>
    <row r="2569" spans="1:7" x14ac:dyDescent="0.2">
      <c r="A2569" s="2465" t="s">
        <v>1360</v>
      </c>
      <c r="B2569">
        <f>IF(INT(B759/2)-B759/2=0,1,2)</f>
        <v>1</v>
      </c>
      <c r="F2569">
        <f>INT(B759/2)</f>
        <v>1</v>
      </c>
      <c r="G2569">
        <f>IF(INT(B759/2)-B759/2=0,1,2)</f>
        <v>1</v>
      </c>
    </row>
    <row r="2570" spans="1:7" x14ac:dyDescent="0.2">
      <c r="A2570" s="2465" t="s">
        <v>328</v>
      </c>
    </row>
    <row r="2571" spans="1:7" x14ac:dyDescent="0.2">
      <c r="A2571" s="2465" t="s">
        <v>329</v>
      </c>
      <c r="B2571" t="e">
        <f>B2799*B2846</f>
        <v>#VALUE!</v>
      </c>
    </row>
    <row r="2572" spans="1:7" x14ac:dyDescent="0.2">
      <c r="A2572" s="2465" t="s">
        <v>330</v>
      </c>
      <c r="B2572" t="e">
        <f>INDEX($B$2803:$B$2814,$B$292*2-1)*B2847</f>
        <v>#VALUE!</v>
      </c>
    </row>
    <row r="2573" spans="1:7" x14ac:dyDescent="0.2">
      <c r="A2573" s="2465" t="s">
        <v>329</v>
      </c>
    </row>
    <row r="2574" spans="1:7" x14ac:dyDescent="0.2">
      <c r="A2574" s="2465" t="s">
        <v>331</v>
      </c>
      <c r="B2574" t="e">
        <f>2*B2571*B2567*0.1*(($B$759-1)^2.26)*(B2568^0.26)</f>
        <v>#VALUE!</v>
      </c>
    </row>
    <row r="2575" spans="1:7" x14ac:dyDescent="0.2">
      <c r="A2575" s="2465" t="s">
        <v>332</v>
      </c>
      <c r="B2575" t="e">
        <f>2*B2571*B2567*0.087*(($B$759-1)^2.23)*(B2568^0.26)</f>
        <v>#VALUE!</v>
      </c>
    </row>
    <row r="2576" spans="1:7" x14ac:dyDescent="0.2">
      <c r="A2576" s="2465" t="s">
        <v>333</v>
      </c>
      <c r="B2576" t="e">
        <f>IF(B2569=TRUE,B2574,B2575)</f>
        <v>#VALUE!</v>
      </c>
    </row>
    <row r="2577" spans="1:2" x14ac:dyDescent="0.2">
      <c r="A2577" s="2465" t="s">
        <v>3528</v>
      </c>
      <c r="B2577" t="e">
        <f>B2576/B820</f>
        <v>#VALUE!</v>
      </c>
    </row>
    <row r="2578" spans="1:2" x14ac:dyDescent="0.2">
      <c r="A2578" s="2465" t="s">
        <v>330</v>
      </c>
    </row>
    <row r="2579" spans="1:2" x14ac:dyDescent="0.2">
      <c r="A2579" s="2465" t="s">
        <v>331</v>
      </c>
      <c r="B2579" t="e">
        <f>IF(B508&gt;0,2*B2572*B2567*0.1*($B$759^2.26)*(B2568^0.26),2*B2572*B2567*0.1*(($B$759-1)^2.26)*(B2568^0.26))</f>
        <v>#VALUE!</v>
      </c>
    </row>
    <row r="2580" spans="1:2" x14ac:dyDescent="0.2">
      <c r="A2580" s="2465" t="s">
        <v>332</v>
      </c>
      <c r="B2580" t="e">
        <f>IF(B508&gt;0,2*B2572*B2567*0.087*($B$759^2.23)*(B2568^0.26),2*B2572*B2567*0.087*(($B$759-1)^2.23)*(B2568^0.26))</f>
        <v>#VALUE!</v>
      </c>
    </row>
    <row r="2581" spans="1:2" x14ac:dyDescent="0.2">
      <c r="A2581" s="2465" t="s">
        <v>333</v>
      </c>
      <c r="B2581" t="e">
        <f>IF(B2569=TRUE,B2579,B2580)</f>
        <v>#VALUE!</v>
      </c>
    </row>
    <row r="2582" spans="1:2" x14ac:dyDescent="0.2">
      <c r="A2582" s="2465" t="s">
        <v>3528</v>
      </c>
      <c r="B2582" t="e">
        <f>B2581/B820</f>
        <v>#VALUE!</v>
      </c>
    </row>
    <row r="2583" spans="1:2" x14ac:dyDescent="0.2">
      <c r="A2583" s="2465" t="s">
        <v>334</v>
      </c>
    </row>
    <row r="2584" spans="1:2" x14ac:dyDescent="0.2">
      <c r="A2584" s="2465" t="s">
        <v>3529</v>
      </c>
      <c r="B2584" t="e">
        <f>INDEX(B2785:B2796,$B$291*2-1)*B2588</f>
        <v>#VALUE!</v>
      </c>
    </row>
    <row r="2585" spans="1:2" x14ac:dyDescent="0.2">
      <c r="A2585" s="2465" t="s">
        <v>3530</v>
      </c>
      <c r="B2585" t="e">
        <f>INDEX(B2785:B2796,B2546*2-1)*B2589</f>
        <v>#VALUE!</v>
      </c>
    </row>
    <row r="2586" spans="1:2" x14ac:dyDescent="0.2">
      <c r="A2586" s="2465" t="s">
        <v>3531</v>
      </c>
      <c r="B2586" t="e">
        <f>INDEX(B2785:B2796,B2545*2)*B2588</f>
        <v>#VALUE!</v>
      </c>
    </row>
    <row r="2587" spans="1:2" x14ac:dyDescent="0.2">
      <c r="A2587" s="2465" t="s">
        <v>3532</v>
      </c>
      <c r="B2587" t="e">
        <f>INDEX(B2785:B2796,B2546*2)*B2589</f>
        <v>#VALUE!</v>
      </c>
    </row>
    <row r="2588" spans="1:2" x14ac:dyDescent="0.2">
      <c r="A2588" s="2465" t="s">
        <v>3127</v>
      </c>
      <c r="B2588" t="e">
        <f>INDEX(B2858:B2863,B2545)</f>
        <v>#VALUE!</v>
      </c>
    </row>
    <row r="2589" spans="1:2" x14ac:dyDescent="0.2">
      <c r="A2589" s="2465" t="s">
        <v>3128</v>
      </c>
      <c r="B2589" t="e">
        <f>INDEX(B2865:B2870,B2546)</f>
        <v>#VALUE!</v>
      </c>
    </row>
    <row r="2590" spans="1:2" x14ac:dyDescent="0.2">
      <c r="A2590" s="2465" t="s">
        <v>3129</v>
      </c>
      <c r="B2590" t="e">
        <f>((B2584*B814*0.98*(B2544)^1.18*(B2566)^0.26)+(B2586*B814*(B2544-1)^1.18*(B2566)^0.26))</f>
        <v>#VALUE!</v>
      </c>
    </row>
    <row r="2591" spans="1:2" x14ac:dyDescent="0.2">
      <c r="A2591" s="2465" t="s">
        <v>3130</v>
      </c>
      <c r="B2591" t="e">
        <f>((B2584*B814*0.98*(B2544)^1.18*(B2566)^0.26)+(B2586*B814*(B2544-1)^1.18*(B2566)^0.26))*2</f>
        <v>#VALUE!</v>
      </c>
    </row>
    <row r="2592" spans="1:2" x14ac:dyDescent="0.2">
      <c r="A2592" s="2465" t="s">
        <v>3131</v>
      </c>
      <c r="B2592" t="e">
        <f>((B2584*B814*0.98*(B2544)^1.18*(B2566)^0.26)+(B2586*B814*(B2544-1)^1.18*(B2566)^0.26))*(2+B2683)</f>
        <v>#VALUE!</v>
      </c>
    </row>
    <row r="2593" spans="1:2" x14ac:dyDescent="0.2">
      <c r="A2593" s="2465" t="s">
        <v>3132</v>
      </c>
      <c r="B2593" t="e">
        <f>B2590+B2591</f>
        <v>#VALUE!</v>
      </c>
    </row>
    <row r="2594" spans="1:2" x14ac:dyDescent="0.2">
      <c r="A2594" s="2465" t="s">
        <v>3133</v>
      </c>
      <c r="B2594" t="e">
        <f>B2592+B2590</f>
        <v>#VALUE!</v>
      </c>
    </row>
    <row r="2595" spans="1:2" x14ac:dyDescent="0.2">
      <c r="A2595" s="2465" t="s">
        <v>3533</v>
      </c>
      <c r="B2595" t="e">
        <f>B2593/(B820/$B$759)</f>
        <v>#VALUE!</v>
      </c>
    </row>
    <row r="2596" spans="1:2" x14ac:dyDescent="0.2">
      <c r="A2596" s="2465" t="s">
        <v>3534</v>
      </c>
      <c r="B2596" t="e">
        <f>B2594/(B820/$B$759)</f>
        <v>#VALUE!</v>
      </c>
    </row>
    <row r="2597" spans="1:2" x14ac:dyDescent="0.2">
      <c r="A2597" s="2465" t="s">
        <v>3535</v>
      </c>
      <c r="B2597" t="e">
        <f>SUM(B2577,B2582,B2596)</f>
        <v>#VALUE!</v>
      </c>
    </row>
    <row r="2598" spans="1:2" x14ac:dyDescent="0.2">
      <c r="A2598" s="2465">
        <v>0</v>
      </c>
    </row>
    <row r="2599" spans="1:2" x14ac:dyDescent="0.2">
      <c r="A2599" s="2860" t="s">
        <v>2161</v>
      </c>
    </row>
    <row r="2600" spans="1:2" x14ac:dyDescent="0.2">
      <c r="A2600" s="2860" t="s">
        <v>2162</v>
      </c>
    </row>
    <row r="2601" spans="1:2" x14ac:dyDescent="0.2">
      <c r="A2601" s="217" t="s">
        <v>942</v>
      </c>
    </row>
    <row r="2602" spans="1:2" x14ac:dyDescent="0.2">
      <c r="A2602" s="217" t="s">
        <v>943</v>
      </c>
    </row>
    <row r="2603" spans="1:2" x14ac:dyDescent="0.2">
      <c r="A2603" s="217" t="s">
        <v>3536</v>
      </c>
      <c r="B2603">
        <f>B387*0.7</f>
        <v>525</v>
      </c>
    </row>
    <row r="2604" spans="1:2" x14ac:dyDescent="0.2">
      <c r="A2604" s="217" t="s">
        <v>1920</v>
      </c>
      <c r="B2604" t="e">
        <f>$B$760</f>
        <v>#VALUE!</v>
      </c>
    </row>
    <row r="2605" spans="1:2" ht="25.5" x14ac:dyDescent="0.2">
      <c r="A2605" s="217" t="s">
        <v>1921</v>
      </c>
      <c r="B2605" t="e">
        <f>B2544</f>
        <v>#VALUE!</v>
      </c>
    </row>
    <row r="2606" spans="1:2" x14ac:dyDescent="0.2">
      <c r="A2606" s="217" t="s">
        <v>1922</v>
      </c>
      <c r="B2606" t="e">
        <f>B817*2</f>
        <v>#VALUE!</v>
      </c>
    </row>
    <row r="2607" spans="1:2" x14ac:dyDescent="0.2">
      <c r="A2607" s="217" t="s">
        <v>1923</v>
      </c>
      <c r="B2607" t="e">
        <f>B2606*B2605</f>
        <v>#VALUE!</v>
      </c>
    </row>
    <row r="2608" spans="1:2" x14ac:dyDescent="0.2">
      <c r="A2608" s="217" t="s">
        <v>1924</v>
      </c>
      <c r="B2608" t="e">
        <f>B3078/B390</f>
        <v>#VALUE!</v>
      </c>
    </row>
    <row r="2609" spans="1:2" x14ac:dyDescent="0.2">
      <c r="A2609" s="217" t="s">
        <v>1925</v>
      </c>
      <c r="B2609" t="e">
        <f>B3087</f>
        <v>#VALUE!</v>
      </c>
    </row>
    <row r="2610" spans="1:2" x14ac:dyDescent="0.2">
      <c r="A2610" s="217" t="s">
        <v>56</v>
      </c>
    </row>
    <row r="2611" spans="1:2" x14ac:dyDescent="0.2">
      <c r="A2611" s="217" t="s">
        <v>1926</v>
      </c>
    </row>
    <row r="2612" spans="1:2" x14ac:dyDescent="0.2">
      <c r="A2612" s="217" t="s">
        <v>1927</v>
      </c>
    </row>
    <row r="2613" spans="1:2" x14ac:dyDescent="0.2">
      <c r="A2613" s="217" t="s">
        <v>1928</v>
      </c>
      <c r="B2613" t="e">
        <f>(((2109/B2609)+0.14)*((0.06/B2606)+0.94))</f>
        <v>#VALUE!</v>
      </c>
    </row>
    <row r="2614" spans="1:2" x14ac:dyDescent="0.2">
      <c r="A2614" s="217" t="s">
        <v>1929</v>
      </c>
      <c r="B2614" t="e">
        <f>((5.82/B2609)+0.002)*((0.26/B2606)+0.74)</f>
        <v>#VALUE!</v>
      </c>
    </row>
    <row r="2615" spans="1:2" x14ac:dyDescent="0.2">
      <c r="A2615" s="217" t="s">
        <v>1930</v>
      </c>
      <c r="B2615">
        <f>(0.16*(B741/500)+0.84)*(0.08*(B406/0.5)+0.92)*1*(0.71*(B2603/100)+0.29)*(0.15*(B404/0.4)+0.85)*(0.06*(B407/0.5)+0.94)*(0.0063*(B408/50)+0.997)</f>
        <v>9.2532471074559997</v>
      </c>
    </row>
    <row r="2616" spans="1:2" x14ac:dyDescent="0.2">
      <c r="A2616" s="217" t="s">
        <v>1931</v>
      </c>
      <c r="B2616">
        <f>(1.64-0.64*(B741/500))*(0.17*(B406/0.5)+0.83)*(0.46+0.54*(B405/1.6))*(0.14*(B2603/100)+0.86)*(0.11*(B404/0.4)+0.89)</f>
        <v>3.1026230927999996</v>
      </c>
    </row>
    <row r="2617" spans="1:2" x14ac:dyDescent="0.2">
      <c r="A2617" s="217" t="s">
        <v>1932</v>
      </c>
      <c r="B2617" t="e">
        <f>((B2613*B2615)+(B2614*B2616)*(B2604/2))*B2606</f>
        <v>#VALUE!</v>
      </c>
    </row>
    <row r="2618" spans="1:2" x14ac:dyDescent="0.2">
      <c r="A2618" s="217" t="s">
        <v>1933</v>
      </c>
      <c r="B2618" t="e">
        <f>B2617/B2606</f>
        <v>#VALUE!</v>
      </c>
    </row>
    <row r="2619" spans="1:2" ht="25.5" x14ac:dyDescent="0.2">
      <c r="A2619" s="217" t="s">
        <v>1934</v>
      </c>
    </row>
    <row r="2620" spans="1:2" x14ac:dyDescent="0.2">
      <c r="A2620" s="217" t="s">
        <v>1928</v>
      </c>
      <c r="B2620" t="e">
        <f>(((2973/B2609)+2.1)*((0.41/B2606)+0.59))</f>
        <v>#VALUE!</v>
      </c>
    </row>
    <row r="2621" spans="1:2" x14ac:dyDescent="0.2">
      <c r="A2621" s="217" t="s">
        <v>1929</v>
      </c>
      <c r="B2621" t="e">
        <f>((7.5/B2609)+0.002)*((0.22/B2606)+0.78)</f>
        <v>#VALUE!</v>
      </c>
    </row>
    <row r="2622" spans="1:2" x14ac:dyDescent="0.2">
      <c r="A2622" s="217" t="s">
        <v>1930</v>
      </c>
      <c r="B2622">
        <f>(0.04*(B741/500)+0.96)*(0.18*(B2603/100)+0.82)*(0.17*(B404/0.4)+0.83)*(0.53*B410+0.47)*(0.39*(B409/100)+0.61)*(0.12*(B407/0.5)+0.88)*(0.013*(B408/50)+0.987)</f>
        <v>4.8408218181872646</v>
      </c>
    </row>
    <row r="2623" spans="1:2" x14ac:dyDescent="0.2">
      <c r="A2623" s="217" t="s">
        <v>1931</v>
      </c>
      <c r="B2623">
        <f>(1.4-0.4*(B741/500))*(0.15*(B406/0.5)+0.85)*(0.55+0.45*(B405/1.6))*(0.13*(B2603/100)+0.87)*(0.09*(B404/0.4)+0.91)</f>
        <v>4.1101040249999983</v>
      </c>
    </row>
    <row r="2624" spans="1:2" x14ac:dyDescent="0.2">
      <c r="A2624" s="217" t="s">
        <v>1932</v>
      </c>
      <c r="B2624" t="e">
        <f>(B2620*B2622+B2621*B2623*B2604/2)*B2606</f>
        <v>#VALUE!</v>
      </c>
    </row>
    <row r="2625" spans="1:2" x14ac:dyDescent="0.2">
      <c r="A2625" s="217" t="s">
        <v>1933</v>
      </c>
      <c r="B2625" t="e">
        <f>B2624/B2606</f>
        <v>#VALUE!</v>
      </c>
    </row>
    <row r="2626" spans="1:2" x14ac:dyDescent="0.2">
      <c r="A2626" s="217" t="s">
        <v>1935</v>
      </c>
    </row>
    <row r="2627" spans="1:2" x14ac:dyDescent="0.2">
      <c r="A2627" s="217" t="s">
        <v>1928</v>
      </c>
      <c r="B2627" t="e">
        <f>(((3216/B2609)+2)*((0.38/B2606)+0.62))</f>
        <v>#VALUE!</v>
      </c>
    </row>
    <row r="2628" spans="1:2" x14ac:dyDescent="0.2">
      <c r="A2628" s="217" t="s">
        <v>1929</v>
      </c>
      <c r="B2628" t="e">
        <f>((8.91/B2609)+0.0021)*((0.19/B2606)+0.81)</f>
        <v>#VALUE!</v>
      </c>
    </row>
    <row r="2629" spans="1:2" x14ac:dyDescent="0.2">
      <c r="A2629" s="217" t="s">
        <v>1930</v>
      </c>
      <c r="B2629">
        <f>(0.05*(B741/500)+0.95)*(0.08*(B2603/100)+0.92)*(0.28*(B404/0.4)+0.72)*(0.64*B410+0.36)*(0.38*(B409/100)+0.62)</f>
        <v>5.2502756544000011</v>
      </c>
    </row>
    <row r="2630" spans="1:2" x14ac:dyDescent="0.2">
      <c r="A2630" s="217" t="s">
        <v>1931</v>
      </c>
      <c r="B2630">
        <f>(1.2-0.2*(B741/500))*(0.13*(B406/0.5)+0.87)*(0.62+0.38*(B405/1.6))*(0.1*(B2603/100)+0.9)*(0.075*(B404/0.4)+0.925)*(0.02*B742+0.98)</f>
        <v>4.1284059180000003</v>
      </c>
    </row>
    <row r="2631" spans="1:2" x14ac:dyDescent="0.2">
      <c r="A2631" s="217" t="s">
        <v>1932</v>
      </c>
      <c r="B2631" t="e">
        <f>(B2627*B2629+B2628*B2630*B2604/2)*B2606</f>
        <v>#VALUE!</v>
      </c>
    </row>
    <row r="2632" spans="1:2" x14ac:dyDescent="0.2">
      <c r="A2632" s="217" t="s">
        <v>1933</v>
      </c>
      <c r="B2632" t="e">
        <f>B2631/B2606</f>
        <v>#VALUE!</v>
      </c>
    </row>
    <row r="2633" spans="1:2" ht="25.5" x14ac:dyDescent="0.2">
      <c r="A2633" s="217" t="s">
        <v>1936</v>
      </c>
    </row>
    <row r="2634" spans="1:2" x14ac:dyDescent="0.2">
      <c r="A2634" s="217" t="s">
        <v>1928</v>
      </c>
      <c r="B2634" t="e">
        <f>(((3233/B2609)+3.6)*((0.53/B2606)+0.47))</f>
        <v>#VALUE!</v>
      </c>
    </row>
    <row r="2635" spans="1:2" x14ac:dyDescent="0.2">
      <c r="A2635" s="217" t="s">
        <v>1929</v>
      </c>
      <c r="B2635" t="e">
        <f>((8.82/B2609)+0.0026)*((0.23/B2606)+0.77)</f>
        <v>#VALUE!</v>
      </c>
    </row>
    <row r="2636" spans="1:2" x14ac:dyDescent="0.2">
      <c r="A2636" s="217" t="s">
        <v>1930</v>
      </c>
      <c r="B2636">
        <f>(0.04*(B741/500)+0.96)*(0.03*(B406/0.5)+0.97)*(0.09*(B2603/100)+0.91)*(0.2*(B404/0.4)+0.8)*(0.39*B410+0.61)*(0.3*(B409/100)+0.7)*(0.29*(B413/0.75)+0.71)*(0.22*(B415/100)+0.96)</f>
        <v>4.4057019634992001</v>
      </c>
    </row>
    <row r="2637" spans="1:2" x14ac:dyDescent="0.2">
      <c r="A2637" s="217" t="s">
        <v>1931</v>
      </c>
      <c r="B2637">
        <f>(1.35-0.35*(B741/500))*(0.12*(B406/0.5)+0.88)*(0.63+0.37*(B405/1.6))*(0.1*(B2603/100)+0.9)*(0.07*(B404/0.4)+0.93)*(0.02*B742+0.98)*(0.06*(B414/20)+0.94)*(0.04*(B415/100)+0.96)</f>
        <v>3.1242285285120004</v>
      </c>
    </row>
    <row r="2638" spans="1:2" x14ac:dyDescent="0.2">
      <c r="A2638" s="217" t="s">
        <v>1932</v>
      </c>
      <c r="B2638" t="e">
        <f>(B2634*B2636+B2635*B2637*B2604/2)*B2606</f>
        <v>#VALUE!</v>
      </c>
    </row>
    <row r="2639" spans="1:2" x14ac:dyDescent="0.2">
      <c r="A2639" s="217" t="s">
        <v>1933</v>
      </c>
      <c r="B2639" t="e">
        <f>B2638/B2606</f>
        <v>#VALUE!</v>
      </c>
    </row>
    <row r="2640" spans="1:2" ht="25.5" x14ac:dyDescent="0.2">
      <c r="A2640" s="217" t="s">
        <v>1937</v>
      </c>
    </row>
    <row r="2641" spans="1:2" x14ac:dyDescent="0.2">
      <c r="A2641" s="217" t="s">
        <v>1928</v>
      </c>
      <c r="B2641" t="e">
        <f>(((2525/B2609)+1.65)*((0.39/B2606)+0.61))</f>
        <v>#VALUE!</v>
      </c>
    </row>
    <row r="2642" spans="1:2" x14ac:dyDescent="0.2">
      <c r="A2642" s="217" t="s">
        <v>1929</v>
      </c>
      <c r="B2642" t="e">
        <f>((7.34/B2609)+0.0026)*((0.26/B2606)+0.74)</f>
        <v>#VALUE!</v>
      </c>
    </row>
    <row r="2643" spans="1:2" x14ac:dyDescent="0.2">
      <c r="A2643" s="217" t="s">
        <v>1930</v>
      </c>
      <c r="B2643">
        <f>(0.07*(B741/500)+0.93)*(0.043*(B406/0.5)+0.957)*(0.26*(B2603/100)+0.74)*(0.19*(B404/0.4)+0.81)*(0.01*(B407/0.5)+0.99)*(0.001*(B408/50)+0.999)*(0.49*(B413/0.75)+0.51)*(0.36*(B415/100)+0.64)</f>
        <v>3.6684498589495687</v>
      </c>
    </row>
    <row r="2644" spans="1:2" x14ac:dyDescent="0.2">
      <c r="A2644" s="217" t="s">
        <v>1931</v>
      </c>
      <c r="B2644">
        <f>(1.45-0.45*(B741/500))*(0.11*(B406/0.5)+0.89)*(0.42+0.58*(B405/1.6))*(0.11*(B2603/100)+0.89)*(0.09*(B404/0.4)+0.91)*(0.49*(B413/0.75)+0.51)*(0.07*(B414/20)+0.93)*(0.04*(B415/100)+0.94)</f>
        <v>3.6369718862399991</v>
      </c>
    </row>
    <row r="2645" spans="1:2" x14ac:dyDescent="0.2">
      <c r="A2645" s="217" t="s">
        <v>1932</v>
      </c>
      <c r="B2645" t="e">
        <f>(B2641*B2643+B2642*B2644*B2604/2)*B2606</f>
        <v>#VALUE!</v>
      </c>
    </row>
    <row r="2646" spans="1:2" x14ac:dyDescent="0.2">
      <c r="A2646" s="217" t="s">
        <v>1933</v>
      </c>
      <c r="B2646" t="e">
        <f>B2645/B2606</f>
        <v>#VALUE!</v>
      </c>
    </row>
    <row r="2647" spans="1:2" ht="25.5" x14ac:dyDescent="0.2">
      <c r="A2647" s="217" t="s">
        <v>1938</v>
      </c>
    </row>
    <row r="2648" spans="1:2" x14ac:dyDescent="0.2">
      <c r="A2648" s="217" t="s">
        <v>1928</v>
      </c>
      <c r="B2648" t="e">
        <f>(((3023/B2609)+3.11)*((0.51/B2606)+0.49))</f>
        <v>#VALUE!</v>
      </c>
    </row>
    <row r="2649" spans="1:2" x14ac:dyDescent="0.2">
      <c r="A2649" s="217" t="s">
        <v>1929</v>
      </c>
      <c r="B2649" t="e">
        <f>((8.88/B2609)+0.0032)*((0.26/B2606)+0.74)</f>
        <v>#VALUE!</v>
      </c>
    </row>
    <row r="2650" spans="1:2" x14ac:dyDescent="0.2">
      <c r="A2650" s="217" t="s">
        <v>1930</v>
      </c>
      <c r="B2650">
        <f>(0.04*(B741/500)+0.96)*(0.034*(B406/0.5)+0.966)*(0.1*(B2603/100)+0.9)*(0.21*(B404/0.4)+0.79)*(0.65*(B413/0.75)+0.36)*(0.49*(B415/100)+0.51)</f>
        <v>2.2914793430880005</v>
      </c>
    </row>
    <row r="2651" spans="1:2" x14ac:dyDescent="0.2">
      <c r="A2651" s="217" t="s">
        <v>1931</v>
      </c>
      <c r="B2651">
        <f>(1.36-0.36*(B741/500))*(0.11*(B406/0.5)+0.89)*(0.66+0.34*(B405/1.6))*(0.1*(B2603/100)+0.9)*(0.07*(B404/0.4)+0.93)*(0.65*(B413/0.75)+0.36)*(0.07*(B415/100)+0.93)*(0.02*B742+0.98)</f>
        <v>2.8695393269544969</v>
      </c>
    </row>
    <row r="2652" spans="1:2" x14ac:dyDescent="0.2">
      <c r="A2652" s="217" t="s">
        <v>1932</v>
      </c>
      <c r="B2652" t="e">
        <f>(B2648*B2650+B2649*B2651*B2604/2)*B2606</f>
        <v>#VALUE!</v>
      </c>
    </row>
    <row r="2653" spans="1:2" x14ac:dyDescent="0.2">
      <c r="A2653" s="217" t="s">
        <v>1933</v>
      </c>
      <c r="B2653" t="e">
        <f>B2652/B2606</f>
        <v>#VALUE!</v>
      </c>
    </row>
    <row r="2654" spans="1:2" x14ac:dyDescent="0.2">
      <c r="A2654" s="217" t="s">
        <v>1939</v>
      </c>
      <c r="B2654">
        <f>IF($B$53=1,B2618,IF($B$53=2,B2625,IF($B$53=3,B2632,IF($B$53=4,B2639,IF($B$53=5,B2646,IF($B$53=6,B2653,0))))))</f>
        <v>0</v>
      </c>
    </row>
    <row r="2655" spans="1:2" x14ac:dyDescent="0.2">
      <c r="A2655" s="217" t="s">
        <v>1940</v>
      </c>
    </row>
    <row r="2656" spans="1:2" x14ac:dyDescent="0.2">
      <c r="A2656" s="217" t="s">
        <v>1928</v>
      </c>
      <c r="B2656" t="e">
        <f>(((5605/B2609)+3.89)*((0.13/B2606)+0.87))</f>
        <v>#VALUE!</v>
      </c>
    </row>
    <row r="2657" spans="1:2" x14ac:dyDescent="0.2">
      <c r="A2657" s="217" t="s">
        <v>1929</v>
      </c>
      <c r="B2657" t="e">
        <f>0.624/B2609+0.0009</f>
        <v>#VALUE!</v>
      </c>
    </row>
    <row r="2658" spans="1:2" x14ac:dyDescent="0.2">
      <c r="A2658" s="217" t="s">
        <v>1930</v>
      </c>
      <c r="B2658">
        <f>(0.39*(B2603/100)+0.61)*(0.02*(B404/0.4)+0.98)*(0.39*(B407/0.5)+0.61)*(0.11*(B408/50)+0.89)</f>
        <v>2.7438155999999996</v>
      </c>
    </row>
    <row r="2659" spans="1:2" x14ac:dyDescent="0.2">
      <c r="A2659" s="217" t="s">
        <v>1931</v>
      </c>
      <c r="B2659">
        <f>(0.33*(B2603/100)+0.67)*(0.72*(B407/0.5)+0.28)</f>
        <v>2.4025000000000003</v>
      </c>
    </row>
    <row r="2660" spans="1:2" x14ac:dyDescent="0.2">
      <c r="A2660" s="217" t="s">
        <v>1932</v>
      </c>
      <c r="B2660" t="e">
        <f>((B2656*B2658)+(B2657*B2659)*B2604)*B2606*2</f>
        <v>#VALUE!</v>
      </c>
    </row>
    <row r="2661" spans="1:2" x14ac:dyDescent="0.2">
      <c r="A2661" s="217" t="s">
        <v>1941</v>
      </c>
      <c r="B2661" t="e">
        <f>B2660/(B2606*2)</f>
        <v>#VALUE!</v>
      </c>
    </row>
    <row r="2662" spans="1:2" x14ac:dyDescent="0.2">
      <c r="A2662" s="217" t="s">
        <v>3537</v>
      </c>
      <c r="B2662">
        <f>IF($B$314=2,B2654,IF($B$314=1,B2661))</f>
        <v>0</v>
      </c>
    </row>
    <row r="2663" spans="1:2" ht="25.5" x14ac:dyDescent="0.2">
      <c r="A2663" s="217" t="s">
        <v>1942</v>
      </c>
    </row>
    <row r="2664" spans="1:2" x14ac:dyDescent="0.2">
      <c r="A2664" s="217" t="s">
        <v>1943</v>
      </c>
      <c r="B2664" t="e">
        <f>((7616/(B2609*2))+2.887)*((0.27/B2607)+0.73)</f>
        <v>#VALUE!</v>
      </c>
    </row>
    <row r="2665" spans="1:2" x14ac:dyDescent="0.2">
      <c r="A2665" s="217" t="s">
        <v>1944</v>
      </c>
      <c r="B2665" t="e">
        <f>((7616/(B2609))+2.887)*((0.27/B2607)+0.73)</f>
        <v>#VALUE!</v>
      </c>
    </row>
    <row r="2666" spans="1:2" x14ac:dyDescent="0.2">
      <c r="A2666" s="217" t="s">
        <v>1945</v>
      </c>
      <c r="B2666" t="e">
        <f>(11.34/(B2609*2)+0.00022)*(0.16/B2607+0.84)</f>
        <v>#VALUE!</v>
      </c>
    </row>
    <row r="2667" spans="1:2" x14ac:dyDescent="0.2">
      <c r="A2667" s="217" t="s">
        <v>1946</v>
      </c>
      <c r="B2667" t="e">
        <f>(11.34/(B2609)+0.00022)*(0.16/B2607+0.84)</f>
        <v>#VALUE!</v>
      </c>
    </row>
    <row r="2668" spans="1:2" x14ac:dyDescent="0.2">
      <c r="A2668" s="217" t="s">
        <v>1930</v>
      </c>
      <c r="B2668">
        <f>(0.01*(B374/500)+0.99)*(-0.02*(B406/0.5)+1.02)*1*(0.57*(B2603/100)+0.43)*(0.12*(B404/0.45)+0.88)*1*(0.33*(B411/0.67)+0.79)</f>
        <v>8.1518072508398003</v>
      </c>
    </row>
    <row r="2669" spans="1:2" x14ac:dyDescent="0.2">
      <c r="A2669" s="217" t="s">
        <v>1931</v>
      </c>
      <c r="B2669" t="e">
        <f>(1.27-0.27*(B374/500))*(0.12*(B406/0.5)+0.88)*(0.69+0.31*(B405/1.6))*(0.1*(B2603/100)+0.9)*(0.25*(B404/0.45)+0.75)*(0.18*(B749/10)+0.82)</f>
        <v>#VALUE!</v>
      </c>
    </row>
    <row r="2670" spans="1:2" ht="25.5" x14ac:dyDescent="0.2">
      <c r="A2670" s="217" t="s">
        <v>944</v>
      </c>
      <c r="B2670" t="e">
        <f>((B2664*B2668)+((B2666*B2669)*(B2605*(B2605+1)/2)*B814))*(B2606*2)</f>
        <v>#VALUE!</v>
      </c>
    </row>
    <row r="2671" spans="1:2" ht="25.5" x14ac:dyDescent="0.2">
      <c r="A2671" s="217" t="s">
        <v>3538</v>
      </c>
      <c r="B2671" t="e">
        <f>B2670/B2607+B2684</f>
        <v>#VALUE!</v>
      </c>
    </row>
    <row r="2672" spans="1:2" x14ac:dyDescent="0.2">
      <c r="A2672" s="217" t="s">
        <v>945</v>
      </c>
      <c r="B2672" t="e">
        <f>(B2665*B2668*B2605)+((B2667*B2669)*(B2605*(B2605+1)/2)*B814)*B2606*2</f>
        <v>#VALUE!</v>
      </c>
    </row>
    <row r="2673" spans="1:2" x14ac:dyDescent="0.2">
      <c r="A2673" s="217" t="s">
        <v>3539</v>
      </c>
      <c r="B2673" t="e">
        <f>B2672/B2607</f>
        <v>#VALUE!</v>
      </c>
    </row>
    <row r="2674" spans="1:2" x14ac:dyDescent="0.2">
      <c r="A2674" s="217" t="s">
        <v>946</v>
      </c>
    </row>
    <row r="2675" spans="1:2" x14ac:dyDescent="0.2">
      <c r="A2675" s="217" t="s">
        <v>947</v>
      </c>
      <c r="B2675" t="e">
        <f>(4231/(2*B3087)+0.75)*(0.15/B2607+0.85)</f>
        <v>#VALUE!</v>
      </c>
    </row>
    <row r="2676" spans="1:2" x14ac:dyDescent="0.2">
      <c r="A2676" s="217" t="s">
        <v>948</v>
      </c>
      <c r="B2676" t="e">
        <f>1.3/(2*B3087)+0.000006</f>
        <v>#VALUE!</v>
      </c>
    </row>
    <row r="2677" spans="1:2" x14ac:dyDescent="0.2">
      <c r="A2677" s="217" t="s">
        <v>1930</v>
      </c>
      <c r="B2677">
        <f>(0.61*($B$387/100)+0.39)*(0.2*($B$411/0.75)+0.88)*(0.15*($B$412/50)+0.85)*(0.19*($B$404/0.4)+0.81)</f>
        <v>11.97976384</v>
      </c>
    </row>
    <row r="2678" spans="1:2" x14ac:dyDescent="0.2">
      <c r="A2678" s="217" t="s">
        <v>1931</v>
      </c>
      <c r="B2678">
        <v>1</v>
      </c>
    </row>
    <row r="2679" spans="1:2" x14ac:dyDescent="0.2">
      <c r="A2679" s="217" t="s">
        <v>949</v>
      </c>
      <c r="B2679" t="e">
        <f>B2675*B2677</f>
        <v>#VALUE!</v>
      </c>
    </row>
    <row r="2680" spans="1:2" x14ac:dyDescent="0.2">
      <c r="A2680" s="217" t="s">
        <v>950</v>
      </c>
      <c r="B2680" t="e">
        <f>B2676*B2678</f>
        <v>#VALUE!</v>
      </c>
    </row>
    <row r="2681" spans="1:2" x14ac:dyDescent="0.2">
      <c r="A2681" s="217" t="s">
        <v>3540</v>
      </c>
      <c r="B2681" t="e">
        <f>(B2679+B2680*(B2605*(B2605+1)/2)*B814)*B2606*2</f>
        <v>#VALUE!</v>
      </c>
    </row>
    <row r="2682" spans="1:2" x14ac:dyDescent="0.2">
      <c r="A2682" s="217" t="s">
        <v>3541</v>
      </c>
      <c r="B2682" t="e">
        <f>B2681/B2607</f>
        <v>#VALUE!</v>
      </c>
    </row>
    <row r="2683" spans="1:2" x14ac:dyDescent="0.2">
      <c r="A2683" s="217" t="s">
        <v>951</v>
      </c>
      <c r="B2683">
        <f>IF(B508=0,0,(B508*$B$759+1)/$B$759)</f>
        <v>1.5</v>
      </c>
    </row>
    <row r="2684" spans="1:2" ht="25.5" x14ac:dyDescent="0.2">
      <c r="A2684" s="217" t="s">
        <v>3542</v>
      </c>
      <c r="B2684" t="e">
        <f>B2682*B2683</f>
        <v>#VALUE!</v>
      </c>
    </row>
    <row r="2685" spans="1:2" ht="25.5" x14ac:dyDescent="0.2">
      <c r="A2685" s="217" t="s">
        <v>952</v>
      </c>
    </row>
    <row r="2686" spans="1:2" x14ac:dyDescent="0.2">
      <c r="A2686" s="217">
        <v>0</v>
      </c>
    </row>
    <row r="2687" spans="1:2" x14ac:dyDescent="0.2">
      <c r="A2687" s="217" t="s">
        <v>953</v>
      </c>
      <c r="B2687" t="e">
        <f>B2877</f>
        <v>#VALUE!</v>
      </c>
    </row>
    <row r="2688" spans="1:2" x14ac:dyDescent="0.2">
      <c r="A2688" s="217" t="s">
        <v>1948</v>
      </c>
      <c r="B2688" t="e">
        <f>B2687/2</f>
        <v>#VALUE!</v>
      </c>
    </row>
    <row r="2689" spans="1:2" x14ac:dyDescent="0.2">
      <c r="A2689" s="217" t="s">
        <v>3198</v>
      </c>
      <c r="B2689" t="e">
        <f>B2687*$B$589</f>
        <v>#VALUE!</v>
      </c>
    </row>
    <row r="2690" spans="1:2" x14ac:dyDescent="0.2">
      <c r="A2690" s="352" t="s">
        <v>440</v>
      </c>
      <c r="B2690" t="e">
        <f>B2607*$B$759</f>
        <v>#VALUE!</v>
      </c>
    </row>
    <row r="2691" spans="1:2" x14ac:dyDescent="0.2">
      <c r="A2691" s="2861" t="s">
        <v>947</v>
      </c>
      <c r="B2691" t="e">
        <f>((192/(B2687/2)+0.094)*(0.33/(B2606*$B$759/2)+0.67))</f>
        <v>#VALUE!</v>
      </c>
    </row>
    <row r="2692" spans="1:2" x14ac:dyDescent="0.2">
      <c r="A2692" s="2861" t="s">
        <v>3199</v>
      </c>
      <c r="B2692" t="e">
        <f>(5.81/(B2687/2)+0.002)*(0.25/(B2606*$B$759/2)+0.75)</f>
        <v>#VALUE!</v>
      </c>
    </row>
    <row r="2693" spans="1:2" x14ac:dyDescent="0.2">
      <c r="A2693" s="2861" t="s">
        <v>1930</v>
      </c>
      <c r="B2693">
        <f>(0.39*(B2603/100)+0.61)*(0.4*($B$406/0.5) + 0.6)*1.17</f>
        <v>6.8404049999999996</v>
      </c>
    </row>
    <row r="2694" spans="1:2" x14ac:dyDescent="0.2">
      <c r="A2694" s="2861" t="s">
        <v>1931</v>
      </c>
      <c r="B2694">
        <f>(0.03*$B$765 + 0.98)*(0.08*(B375/600) + 0.92)*(0.14*(B2603/100) + 0.86)*(0.11*($B$404/0.45) + 0.89)*(0.54*($B$405/1.6) + 0.46)*(0.17*($B$406/0.5) + 0.83)*1.17</f>
        <v>9.4624857231905022</v>
      </c>
    </row>
    <row r="2695" spans="1:2" x14ac:dyDescent="0.2">
      <c r="A2695" s="2861" t="s">
        <v>949</v>
      </c>
      <c r="B2695" t="e">
        <f>B2691*B2693</f>
        <v>#VALUE!</v>
      </c>
    </row>
    <row r="2696" spans="1:2" x14ac:dyDescent="0.2">
      <c r="A2696" s="2861" t="s">
        <v>3200</v>
      </c>
      <c r="B2696" t="e">
        <f>B2692*B2694</f>
        <v>#VALUE!</v>
      </c>
    </row>
    <row r="2697" spans="1:2" ht="25.5" x14ac:dyDescent="0.2">
      <c r="A2697" s="2861" t="s">
        <v>1297</v>
      </c>
      <c r="B2697" t="e">
        <f>(B2695*($B$759/2)+B2696*($B$759^2/8)*($B$734*2))*B2607</f>
        <v>#VALUE!</v>
      </c>
    </row>
    <row r="2698" spans="1:2" ht="25.5" x14ac:dyDescent="0.2">
      <c r="A2698" s="2861" t="s">
        <v>243</v>
      </c>
      <c r="B2698" t="e">
        <f>((B2695*(($B$759-1)/2))+((B2696*((($B$759-1)*($B$759+1))/8)*($B$734*2))))*B2607</f>
        <v>#VALUE!</v>
      </c>
    </row>
    <row r="2699" spans="1:2" x14ac:dyDescent="0.2">
      <c r="A2699" s="2861" t="s">
        <v>333</v>
      </c>
      <c r="B2699" t="e">
        <f>(IF(B2569=TRUE,B2697,B2698))</f>
        <v>#VALUE!</v>
      </c>
    </row>
    <row r="2700" spans="1:2" x14ac:dyDescent="0.2">
      <c r="A2700" s="2861" t="s">
        <v>3543</v>
      </c>
      <c r="B2700" t="e">
        <f>B2699/(B2690/2)</f>
        <v>#VALUE!</v>
      </c>
    </row>
    <row r="2701" spans="1:2" x14ac:dyDescent="0.2">
      <c r="A2701" s="2861" t="s">
        <v>244</v>
      </c>
      <c r="B2701" t="e">
        <f>B3003</f>
        <v>#VALUE!</v>
      </c>
    </row>
    <row r="2702" spans="1:2" x14ac:dyDescent="0.2">
      <c r="A2702" s="2861" t="s">
        <v>3544</v>
      </c>
      <c r="B2702" t="e">
        <f>B2701+B2700</f>
        <v>#VALUE!</v>
      </c>
    </row>
    <row r="2703" spans="1:2" ht="25.5" x14ac:dyDescent="0.2">
      <c r="A2703" s="2861" t="s">
        <v>245</v>
      </c>
    </row>
    <row r="2704" spans="1:2" x14ac:dyDescent="0.2">
      <c r="A2704" s="2861" t="s">
        <v>947</v>
      </c>
      <c r="B2704" t="e">
        <f>B3007</f>
        <v>#VALUE!</v>
      </c>
    </row>
    <row r="2705" spans="1:2" x14ac:dyDescent="0.2">
      <c r="A2705" s="2861" t="s">
        <v>3199</v>
      </c>
      <c r="B2705" t="e">
        <f>B3008</f>
        <v>#VALUE!</v>
      </c>
    </row>
    <row r="2706" spans="1:2" x14ac:dyDescent="0.2">
      <c r="A2706" s="2861" t="s">
        <v>1930</v>
      </c>
      <c r="B2706">
        <f>(0.35*($B$416/0.5) + 0.65)*(0.37*(B2603/100) + 0.63)*(0.011*($B$404/0.4) + 0.989)*(0.15*($B$408/50) + 0.85)*1.004*1.13*0.98*1.17</f>
        <v>7.8816849512129146</v>
      </c>
    </row>
    <row r="2707" spans="1:2" x14ac:dyDescent="0.2">
      <c r="A2707" s="2861" t="s">
        <v>1931</v>
      </c>
      <c r="B2707">
        <f>(0.59*($B$416/0.5) + 0.41)*(0.3*(B2603/100) + 0.7)*1.004*1.13*0.98*1.17</f>
        <v>9.9436257910079959</v>
      </c>
    </row>
    <row r="2708" spans="1:2" ht="25.5" x14ac:dyDescent="0.2">
      <c r="A2708" s="2861" t="s">
        <v>1297</v>
      </c>
      <c r="B2708" t="e">
        <f>(((B2704*($B$759/2))+(B2705*(($B$759^2)/8)*($B$734*2)))*B2607)*0.3</f>
        <v>#VALUE!</v>
      </c>
    </row>
    <row r="2709" spans="1:2" ht="25.5" x14ac:dyDescent="0.2">
      <c r="A2709" s="2861" t="s">
        <v>243</v>
      </c>
      <c r="B2709" t="e">
        <f>(((B2704*(($B$759-1)/2))+((B2705*((($B$759-1)*($B$759+1))/8)*($B$734*2+$B$633))))*B2607)*0.3</f>
        <v>#VALUE!</v>
      </c>
    </row>
    <row r="2710" spans="1:2" x14ac:dyDescent="0.2">
      <c r="A2710" s="2861" t="s">
        <v>333</v>
      </c>
      <c r="B2710" t="e">
        <f>(IF(B2569=TRUE,B2708,B2709))*2</f>
        <v>#VALUE!</v>
      </c>
    </row>
    <row r="2711" spans="1:2" x14ac:dyDescent="0.2">
      <c r="A2711" s="2861" t="s">
        <v>3545</v>
      </c>
      <c r="B2711" t="e">
        <f>B2710/B2690</f>
        <v>#VALUE!</v>
      </c>
    </row>
    <row r="2712" spans="1:2" x14ac:dyDescent="0.2">
      <c r="A2712" s="2861" t="s">
        <v>3546</v>
      </c>
      <c r="B2712" t="e">
        <f>B2711+B2700</f>
        <v>#VALUE!</v>
      </c>
    </row>
    <row r="2713" spans="1:2" ht="25.5" x14ac:dyDescent="0.2">
      <c r="A2713" s="2861" t="s">
        <v>246</v>
      </c>
    </row>
    <row r="2714" spans="1:2" x14ac:dyDescent="0.2">
      <c r="A2714" s="2861" t="s">
        <v>247</v>
      </c>
      <c r="B2714" t="e">
        <f>(5218/(B2687*1.3/2)+2.78)*(0.17/(3522*$B$759)+0.83)</f>
        <v>#VALUE!</v>
      </c>
    </row>
    <row r="2715" spans="1:2" x14ac:dyDescent="0.2">
      <c r="A2715" s="2861" t="s">
        <v>3199</v>
      </c>
      <c r="B2715" t="e">
        <f>(0.0015-0.745/(B2687*1.3/2)*(0.11/(3522*$B$759)+0.89))</f>
        <v>#VALUE!</v>
      </c>
    </row>
    <row r="2716" spans="1:2" x14ac:dyDescent="0.2">
      <c r="A2716" s="2861" t="s">
        <v>1930</v>
      </c>
      <c r="B2716">
        <f>(0.35*($B$416/0.5) + 0.65)*(0.37*(B2603/100) + 0.63)*(0.011*($B$404/0.4) + 0.989)*(0.15*($B$408/50) + 0.85)*1.004*1.13*0.98*1.17</f>
        <v>7.8816849512129146</v>
      </c>
    </row>
    <row r="2717" spans="1:2" x14ac:dyDescent="0.2">
      <c r="A2717" s="2861" t="s">
        <v>1931</v>
      </c>
      <c r="B2717">
        <f>(0.59*($B$416/0.5) + 0.41)*(0.3*(B2603/100) + 0.7)*1.004*1.13*0.98*1.17</f>
        <v>9.9436257910079959</v>
      </c>
    </row>
    <row r="2718" spans="1:2" x14ac:dyDescent="0.2">
      <c r="A2718" s="2861" t="s">
        <v>949</v>
      </c>
      <c r="B2718" t="e">
        <f>B2714*B2716</f>
        <v>#VALUE!</v>
      </c>
    </row>
    <row r="2719" spans="1:2" x14ac:dyDescent="0.2">
      <c r="A2719" s="2861" t="s">
        <v>950</v>
      </c>
      <c r="B2719" t="e">
        <f>B2715*B2717</f>
        <v>#VALUE!</v>
      </c>
    </row>
    <row r="2720" spans="1:2" ht="25.5" x14ac:dyDescent="0.2">
      <c r="A2720" s="2861" t="s">
        <v>1297</v>
      </c>
      <c r="B2720" t="e">
        <f>((B2718*($B$759/2))+(B2719*(($B$759^2)/8)*($B$734*2+$B$633)))*B2607</f>
        <v>#VALUE!</v>
      </c>
    </row>
    <row r="2721" spans="1:2" ht="25.5" x14ac:dyDescent="0.2">
      <c r="A2721" s="2861" t="s">
        <v>243</v>
      </c>
      <c r="B2721" t="e">
        <f>((B2718*(($B$759-1)/2))+((B2719*((($B$759-1)*($B$759+1))/8)*($B$734*2+$B$633))))*B2607</f>
        <v>#VALUE!</v>
      </c>
    </row>
    <row r="2722" spans="1:2" x14ac:dyDescent="0.2">
      <c r="A2722" s="2861" t="s">
        <v>333</v>
      </c>
      <c r="B2722" t="e">
        <f>(IF(B2569=TRUE,B2720,B2721))*2</f>
        <v>#VALUE!</v>
      </c>
    </row>
    <row r="2723" spans="1:2" ht="25.5" x14ac:dyDescent="0.2">
      <c r="A2723" s="2861" t="s">
        <v>3547</v>
      </c>
      <c r="B2723" t="e">
        <f>B2722/B2690</f>
        <v>#VALUE!</v>
      </c>
    </row>
    <row r="2724" spans="1:2" ht="25.5" x14ac:dyDescent="0.2">
      <c r="A2724" s="2861" t="s">
        <v>3548</v>
      </c>
      <c r="B2724" t="e">
        <f>IF($B$313=1,B2712,B2723)</f>
        <v>#VALUE!</v>
      </c>
    </row>
    <row r="2726" spans="1:2" ht="18.75" x14ac:dyDescent="0.3">
      <c r="A2726" s="2862" t="s">
        <v>248</v>
      </c>
    </row>
    <row r="2727" spans="1:2" x14ac:dyDescent="0.2">
      <c r="A2727" s="2763" t="s">
        <v>247</v>
      </c>
      <c r="B2727" t="e">
        <f>IF(((0.153-127/(2*B2609))*$B$595)/SIN(3.14*($B$586+1)/180)&lt;=0,0.08,((0.153-127/(2*B2609))*$B$595)/SIN(3.14*($B$586+1)/180))</f>
        <v>#VALUE!</v>
      </c>
    </row>
    <row r="2728" spans="1:2" x14ac:dyDescent="0.2">
      <c r="A2728" s="2763" t="s">
        <v>3199</v>
      </c>
      <c r="B2728" t="e">
        <f>0.0016*$B$595+2.8/(2*B2609)</f>
        <v>#VALUE!</v>
      </c>
    </row>
    <row r="2729" spans="1:2" x14ac:dyDescent="0.2">
      <c r="A2729" s="2763" t="s">
        <v>1930</v>
      </c>
      <c r="B2729">
        <f>(0.29*($B$387*0.7/100)+0.71)*(0.13*($B$404/0.4)+0.87)*1.17</f>
        <v>3.9702779999999995</v>
      </c>
    </row>
    <row r="2730" spans="1:2" x14ac:dyDescent="0.2">
      <c r="A2730" s="2763" t="s">
        <v>1931</v>
      </c>
      <c r="B2730">
        <v>1.17</v>
      </c>
    </row>
    <row r="2731" spans="1:2" x14ac:dyDescent="0.2">
      <c r="A2731" s="2763" t="s">
        <v>249</v>
      </c>
      <c r="B2731" t="e">
        <f>B2727*B2729</f>
        <v>#VALUE!</v>
      </c>
    </row>
    <row r="2732" spans="1:2" x14ac:dyDescent="0.2">
      <c r="A2732" s="2763" t="s">
        <v>950</v>
      </c>
      <c r="B2732" t="e">
        <f>B2728*B2730</f>
        <v>#VALUE!</v>
      </c>
    </row>
    <row r="2733" spans="1:2" x14ac:dyDescent="0.2">
      <c r="A2733" s="2863" t="s">
        <v>250</v>
      </c>
      <c r="B2733" t="e">
        <f>B2731+B2732*$B$636/2</f>
        <v>#VALUE!</v>
      </c>
    </row>
    <row r="2739" spans="1:2" x14ac:dyDescent="0.2">
      <c r="A2739" s="2745" t="s">
        <v>251</v>
      </c>
    </row>
    <row r="2740" spans="1:2" ht="25.5" x14ac:dyDescent="0.2">
      <c r="A2740" s="2745" t="s">
        <v>222</v>
      </c>
    </row>
    <row r="2741" spans="1:2" ht="25.5" x14ac:dyDescent="0.2">
      <c r="A2741" s="217" t="s">
        <v>4899</v>
      </c>
    </row>
    <row r="2742" spans="1:2" x14ac:dyDescent="0.2">
      <c r="A2742" s="217" t="s">
        <v>4416</v>
      </c>
    </row>
    <row r="2743" spans="1:2" x14ac:dyDescent="0.2">
      <c r="A2743" s="217" t="s">
        <v>4417</v>
      </c>
      <c r="B2743">
        <f>IF(B348=1,(0.27/(B331/120)+0.73),(0.18/(B331/120)+0.82))*(IF(B348=1,1,(0.02/(B584/1.2)+0.98)))*(IF(B348=1,(IF(B586&lt;=12,1,1.01)),(0.0007*B586+1)))*(IF(B348=1,(0.34/(B351/0.8)+0.66),(0.36/(B351/0.8)+0.64)))*(IF(B348=1,(0.23*(B326/27)+0.77),(0.26*(B326/27)+0.74)))*(IF(B3076&lt;&gt;3,(IF(B348=1,(0.31*(B403/4000)+0.69),(0.33*(B403/4000)+0.67))),1)*(IF(B348=1,(0.11*(B363/33)+0.89),(0.12*(B363/33)+0.88)))*(IF(B348=1,(0.24*B350+0.76),(0.25*B350+0.75)))*(IF(B348=1,(0.13*(B387/90)+0.87),(0.17*(B387/90)+0.83))*(0.012*(B364/3)+0.988))*(IF(B348=1,(0.13*(B388/1.27)+0.87),(0.17*(B388/1.27)+0.83)))*(IF(B348=1,(0.04*(B389/36)+0.96),(0.06*(B389/36)+0.94)))*(IF(B348=1,(0.14*(B392/3)+0.86),(0.05*B393)+0.95))*(IF(B592=0,1,IF(B348=1,0.98,0.98)))*(IF(B337=1,1.03,1)))</f>
        <v>2.1530267413053386</v>
      </c>
    </row>
    <row r="2744" spans="1:2" x14ac:dyDescent="0.2">
      <c r="A2744" s="217" t="s">
        <v>4418</v>
      </c>
      <c r="B2744">
        <f>IF(B3076=1,1,IF(B3076=2,1.002,IF(B3076=3,(0.18*B333+0.68)*(0.13*(B400/70)+0.87),IF(B3076=4,(0.18*B333+1)*(0.13*(B400/70)+0.87),IF(B3076=5,(0.18*B333+1)*(0.13*(B400/70)+0.87))))))*IF(B347=3,0.05*(B396/20)+0.95,IF(B347=2,0.2*(B395/500)+0.81,IF(B347=1,0.14*(B397/300)+0.95)))</f>
        <v>1.1022000000000001</v>
      </c>
    </row>
    <row r="2745" spans="1:2" x14ac:dyDescent="0.2">
      <c r="A2745" s="217" t="s">
        <v>4419</v>
      </c>
      <c r="B2745">
        <f>IF(B3076=1,1,IF(B3076=2,1.002,IF(B3076=3,(0.19*B333+0.65)*(0.18*(B400/70)+0.83),IF(B3076=4,(0.19*B333+1)*(0.18*(B400/70)+0.82),IF(B3076=5,(0.19*B333+1)*(0.18*(B400/70)+0.82))))))*IF(B347=1,0.1*(B397/300)+0.98,IF(B347=2,0.1*(B395/500)+0.91,IF(B347=3,0.04*(B396/20)+0.96)))</f>
        <v>1.08216</v>
      </c>
    </row>
    <row r="2746" spans="1:2" ht="25.5" x14ac:dyDescent="0.2">
      <c r="A2746" s="217" t="s">
        <v>4420</v>
      </c>
      <c r="B2746" t="e">
        <f>IF(B348=1,(1-0.005/(B331/120)),1)*((IF(B348=1,((1.06-0.06)*(B584/1.2)),((1-0.0345)*(B584/1.2)))))*((IF(B348=1,(IF(B586&lt;=12,1,1.014)),(0.0007*B586+1))))*(IF(B348=1,1,(0.08*(B599/6)+0.92)))*(IF(B348=1,(0.51/(B351/0.8)+0.49),(0.44/(B351/0.8)+0.56)))*(IF(B348=1,(0.44*(B326/27)+0.56),(0.39*(B326/27)+0.61)))*IF(B3076&lt;&gt;3,(IF(B348=1,(0.44*(B403/4000)+0.56),(0.38*(B403/4000)+0.62))),1)*(IF(B348=1,(0.45*(B387/90)+0.55),(0.52*(B387/90)+0.48)))*((0.012*(B364/3)+0.988))*(IF(B348=1,(0.43*(B388/1.27)+0.57),(0.53*(B388/1.27)+0.47)))*(IF(B348=1,(0.11*(B389/36)+0.89),(0.53*(B389/36)+0.86)))*(IF(B592=0,1,IF(B348=1,1.03,1.04)))*(IF(B596=0,1,IF(B348=1,1.01,1.012)))*(IF(B349=1,IF(B348=1,1,0.93),1))*(IF(B337=1,0.94,1))</f>
        <v>#VALUE!</v>
      </c>
    </row>
    <row r="2747" spans="1:2" x14ac:dyDescent="0.2">
      <c r="A2747" s="217" t="s">
        <v>4416</v>
      </c>
      <c r="B2747" t="e">
        <f>B2746*B2536*IF(B348=1,B2537,B2538)</f>
        <v>#VALUE!</v>
      </c>
    </row>
    <row r="2748" spans="1:2" x14ac:dyDescent="0.2">
      <c r="A2748" s="217" t="s">
        <v>2564</v>
      </c>
      <c r="B2748">
        <f>IF(B3076=1,1,IF(AND(B3076=2,B348=1),1.005,IF(AND(B3076=2,B348=2),1.004,IF(OR(B3076=3,B3076=4,B3076=5),IF(B348=1,(0.32*B333+0.55)*(0.13*(B400/70)+0.87),IF(B348=2,(0.28*B333+0.57)*(0.18*(B400/70)+0.82)))))))</f>
        <v>1.0049999999999999</v>
      </c>
    </row>
    <row r="2749" spans="1:2" x14ac:dyDescent="0.2">
      <c r="A2749" s="217" t="s">
        <v>2565</v>
      </c>
      <c r="B2749">
        <f>IF(B348=2,1,IF(AND(B348=1,B347=1),0.15*(B397/300)+0.87,IF(AND(B348=1,B347=2),0.2*(B395/5000)+0.82,IF(AND(B348=1,B347=3),0.05*(B396/20)+0.95))))</f>
        <v>1.1000000000000001</v>
      </c>
    </row>
    <row r="2750" spans="1:2" x14ac:dyDescent="0.2">
      <c r="A2750" s="217" t="s">
        <v>2566</v>
      </c>
      <c r="B2750">
        <f>IF(B348=1,1,IF(AND(B348=2,B347=1),0.12*(B397/300)+1.02,IF(AND(B348=2,B347=2),0.1*(B395/500)+0.92,IF(AND(B348=2,B347=3),0.04*(B396/20)+0.96))))</f>
        <v>1</v>
      </c>
    </row>
    <row r="2751" spans="1:2" x14ac:dyDescent="0.2">
      <c r="A2751" s="217" t="s">
        <v>2567</v>
      </c>
      <c r="B2751">
        <f>IF(B334=1,2.55,IF(B334=2,1.17,1.84))</f>
        <v>1.84</v>
      </c>
    </row>
    <row r="2752" spans="1:2" ht="25.5" x14ac:dyDescent="0.2">
      <c r="A2752" s="217" t="s">
        <v>2568</v>
      </c>
      <c r="B2752" t="e">
        <f>(0.26*(B3074/80)+0.74)*(0.03*(B391/0.81)+0.97)*(0.07*(B599/5)+0.93)*B2751*(0.99+0.01*(B587/300)*IF(B592=1,1.024,1)*IF(B596=1,1.041,1))</f>
        <v>#VALUE!</v>
      </c>
    </row>
    <row r="2753" spans="1:2" x14ac:dyDescent="0.2">
      <c r="A2753" s="217" t="s">
        <v>223</v>
      </c>
      <c r="B2753">
        <f>$B$328+0.073*B326+0.0044*$B$335-1.49</f>
        <v>9.8010000000000002</v>
      </c>
    </row>
    <row r="2754" spans="1:2" x14ac:dyDescent="0.2">
      <c r="A2754" s="217" t="s">
        <v>1324</v>
      </c>
      <c r="B2754">
        <f>$B$329+0.073*B326+0.0044*$B$335-1.49</f>
        <v>9.8010000000000002</v>
      </c>
    </row>
    <row r="2755" spans="1:2" x14ac:dyDescent="0.2">
      <c r="A2755" s="217" t="s">
        <v>1325</v>
      </c>
      <c r="B2755">
        <f>$B$345+0.073*B326+0.0044*$B$335-1.49</f>
        <v>9.8010000000000002</v>
      </c>
    </row>
    <row r="2756" spans="1:2" x14ac:dyDescent="0.2">
      <c r="A2756" s="217" t="s">
        <v>1326</v>
      </c>
      <c r="B2756">
        <f>$B$346+0.073*B326+0.0044*$B$336-1.49</f>
        <v>7.8010000000000002</v>
      </c>
    </row>
    <row r="2757" spans="1:2" x14ac:dyDescent="0.2">
      <c r="A2757" s="217" t="s">
        <v>1327</v>
      </c>
      <c r="B2757">
        <f>$B$330+0.073*B326+0.0044*$B$336-1.49</f>
        <v>9.8010000000000002</v>
      </c>
    </row>
    <row r="2758" spans="1:2" x14ac:dyDescent="0.2">
      <c r="A2758" s="217" t="s">
        <v>395</v>
      </c>
      <c r="B2758" t="e">
        <f>B642+B913+IF(B914=0,0,IF(B914=1,4,IF(B914=2,0)))+IF(B607/4=INT(B607/4),5,10)</f>
        <v>#VALUE!</v>
      </c>
    </row>
    <row r="2759" spans="1:2" x14ac:dyDescent="0.2">
      <c r="A2759" s="217" t="s">
        <v>396</v>
      </c>
      <c r="B2759" t="e">
        <f>ROUND($B$632/B2758,0)</f>
        <v>#VALUE!</v>
      </c>
    </row>
    <row r="2760" spans="1:2" x14ac:dyDescent="0.2">
      <c r="A2760" s="217" t="s">
        <v>397</v>
      </c>
      <c r="B2760">
        <f>B746</f>
        <v>6</v>
      </c>
    </row>
    <row r="2761" spans="1:2" x14ac:dyDescent="0.2">
      <c r="A2761" s="217" t="s">
        <v>398</v>
      </c>
      <c r="B2761">
        <f>$B$292</f>
        <v>1</v>
      </c>
    </row>
    <row r="2762" spans="1:2" x14ac:dyDescent="0.2">
      <c r="A2762" s="217" t="s">
        <v>399</v>
      </c>
      <c r="B2762">
        <f>$B$570</f>
        <v>1</v>
      </c>
    </row>
    <row r="2763" spans="1:2" x14ac:dyDescent="0.2">
      <c r="A2763" s="217" t="s">
        <v>400</v>
      </c>
      <c r="B2763">
        <f>$B$764</f>
        <v>1</v>
      </c>
    </row>
    <row r="2764" spans="1:2" x14ac:dyDescent="0.2">
      <c r="A2764" s="217" t="s">
        <v>3549</v>
      </c>
      <c r="B2764" t="e">
        <f>IF(B348=1,(B2751*((3323.7*B2742)+(113.27*B2753*B2747))),(B2751*((3108.4*B2742)+(129.54*B2753*B2747))))</f>
        <v>#VALUE!</v>
      </c>
    </row>
    <row r="2765" spans="1:2" x14ac:dyDescent="0.2">
      <c r="A2765" s="217" t="s">
        <v>3550</v>
      </c>
      <c r="B2765" t="e">
        <f>IF(B348=1,(B2751*((3323.7*B2742)+(113.27*B2754*B2747))),(B2751*((3108.4*B2742)+(129.54*B2754*B2747))))</f>
        <v>#VALUE!</v>
      </c>
    </row>
    <row r="2766" spans="1:2" x14ac:dyDescent="0.2">
      <c r="A2766" s="217" t="s">
        <v>3551</v>
      </c>
      <c r="B2766" t="e">
        <f>IF(B348=1,(B2751*((3323.7*B2742)+(113.27*B2755*B2747))),(B2751*((3108.4*B2742)+(129.54*B2755*B2747))))</f>
        <v>#VALUE!</v>
      </c>
    </row>
    <row r="2767" spans="1:2" x14ac:dyDescent="0.2">
      <c r="A2767" s="217" t="s">
        <v>3552</v>
      </c>
      <c r="B2767" t="e">
        <f>IF(B348=1,(B2751*((3323.7*B2742)+(113.27*B2756*B2747))),(B2751*((3108.4*B2742)+(129.54*B2756*B2747))))</f>
        <v>#VALUE!</v>
      </c>
    </row>
    <row r="2768" spans="1:2" x14ac:dyDescent="0.2">
      <c r="A2768" s="217" t="s">
        <v>3553</v>
      </c>
      <c r="B2768" t="e">
        <f>IF(B348=1,(B2751*((3323.7*B2742)+(113.27*B2757*B2747))),(B2751*((3108.4*B2742)+(129.54*B2757*B2747))))</f>
        <v>#VALUE!</v>
      </c>
    </row>
    <row r="2769" spans="1:2" x14ac:dyDescent="0.2">
      <c r="A2769" s="217" t="s">
        <v>3554</v>
      </c>
      <c r="B2769" t="e">
        <f>B2765*$B$632*B509</f>
        <v>#VALUE!</v>
      </c>
    </row>
    <row r="2770" spans="1:2" x14ac:dyDescent="0.2">
      <c r="A2770" s="217" t="s">
        <v>3555</v>
      </c>
      <c r="B2770" t="e">
        <f>B2764*$B$632*B510</f>
        <v>#VALUE!</v>
      </c>
    </row>
    <row r="2771" spans="1:2" x14ac:dyDescent="0.2">
      <c r="A2771" s="217" t="s">
        <v>3556</v>
      </c>
      <c r="B2771" t="e">
        <f>B2766*$B$632*B768</f>
        <v>#VALUE!</v>
      </c>
    </row>
    <row r="2772" spans="1:2" x14ac:dyDescent="0.2">
      <c r="A2772" s="217" t="s">
        <v>3557</v>
      </c>
      <c r="B2772" t="e">
        <f>B2767*$B$636*B511</f>
        <v>#VALUE!</v>
      </c>
    </row>
    <row r="2773" spans="1:2" x14ac:dyDescent="0.2">
      <c r="A2773" s="217" t="s">
        <v>3558</v>
      </c>
      <c r="B2773" t="e">
        <f>B2768*$B$636*B769</f>
        <v>#VALUE!</v>
      </c>
    </row>
    <row r="2774" spans="1:2" x14ac:dyDescent="0.2">
      <c r="A2774" s="217" t="s">
        <v>3559</v>
      </c>
      <c r="B2774" t="e">
        <f>B2764*IF((10/TAN(3.14*($B$586+1)/180))&gt;50,50,(10/TAN(3.14*($B$586+1)/180)))*B2759</f>
        <v>#VALUE!</v>
      </c>
    </row>
    <row r="2775" spans="1:2" ht="25.5" x14ac:dyDescent="0.2">
      <c r="A2775" s="217" t="s">
        <v>3560</v>
      </c>
      <c r="B2775" t="e">
        <f>B2774+B2769+B2771+B2772+B2773</f>
        <v>#VALUE!</v>
      </c>
    </row>
    <row r="2776" spans="1:2" ht="25.5" x14ac:dyDescent="0.2">
      <c r="A2776" s="217" t="s">
        <v>3561</v>
      </c>
      <c r="B2776" t="e">
        <f>B2775/B819</f>
        <v>#VALUE!</v>
      </c>
    </row>
    <row r="2777" spans="1:2" x14ac:dyDescent="0.2">
      <c r="A2777" s="217">
        <v>0</v>
      </c>
    </row>
    <row r="2778" spans="1:2" x14ac:dyDescent="0.2">
      <c r="A2778" s="217" t="s">
        <v>1367</v>
      </c>
    </row>
    <row r="2779" spans="1:2" x14ac:dyDescent="0.2">
      <c r="A2779" s="217" t="s">
        <v>436</v>
      </c>
    </row>
    <row r="2780" spans="1:2" ht="38.25" x14ac:dyDescent="0.2">
      <c r="A2780" s="217" t="s">
        <v>1411</v>
      </c>
      <c r="B2780" t="e">
        <f>TAN(3.14*$B$586/180)*B642/2</f>
        <v>#VALUE!</v>
      </c>
    </row>
    <row r="2781" spans="1:2" ht="25.5" x14ac:dyDescent="0.2">
      <c r="A2781" s="217" t="s">
        <v>457</v>
      </c>
      <c r="B2781" t="e">
        <f>($B$2780/B642)^0.434</f>
        <v>#VALUE!</v>
      </c>
    </row>
    <row r="2782" spans="1:2" x14ac:dyDescent="0.2">
      <c r="A2782" s="217" t="s">
        <v>458</v>
      </c>
      <c r="B2782" t="e">
        <f>((-0.046*(B587/(B599*10)-0.15)*LN($B$342))+(0.21*(B587/(B599*10))))*IF(B603=1,0.8,IF(B603=2,1,1.2))</f>
        <v>#VALUE!</v>
      </c>
    </row>
    <row r="2783" spans="1:2" x14ac:dyDescent="0.2">
      <c r="A2783" s="217" t="s">
        <v>459</v>
      </c>
    </row>
    <row r="2784" spans="1:2" x14ac:dyDescent="0.2">
      <c r="A2784" s="217" t="s">
        <v>458</v>
      </c>
      <c r="B2784" t="e">
        <f>((-0.046*(B587/(B599*10)-0.15)*LN($B$341))+(0.21*(B587/(B599*10))))*IF(B603=1,0.8,IF(B603=2,1,1.2))</f>
        <v>#VALUE!</v>
      </c>
    </row>
    <row r="2785" spans="1:2" ht="25.5" x14ac:dyDescent="0.2">
      <c r="A2785" s="217" t="s">
        <v>460</v>
      </c>
      <c r="B2785">
        <v>247</v>
      </c>
    </row>
    <row r="2786" spans="1:2" x14ac:dyDescent="0.2">
      <c r="A2786" s="217" t="s">
        <v>461</v>
      </c>
      <c r="B2786">
        <v>247</v>
      </c>
    </row>
    <row r="2787" spans="1:2" ht="25.5" x14ac:dyDescent="0.2">
      <c r="A2787" s="217" t="s">
        <v>462</v>
      </c>
      <c r="B2787">
        <v>247</v>
      </c>
    </row>
    <row r="2788" spans="1:2" x14ac:dyDescent="0.2">
      <c r="A2788" s="217" t="s">
        <v>461</v>
      </c>
      <c r="B2788" t="e">
        <f>247*B2784</f>
        <v>#VALUE!</v>
      </c>
    </row>
    <row r="2789" spans="1:2" ht="25.5" x14ac:dyDescent="0.2">
      <c r="A2789" s="217" t="s">
        <v>1266</v>
      </c>
      <c r="B2789">
        <v>264</v>
      </c>
    </row>
    <row r="2790" spans="1:2" x14ac:dyDescent="0.2">
      <c r="A2790" s="2465" t="s">
        <v>461</v>
      </c>
      <c r="B2790">
        <v>264</v>
      </c>
    </row>
    <row r="2791" spans="1:2" x14ac:dyDescent="0.2">
      <c r="A2791" s="2465" t="s">
        <v>1754</v>
      </c>
      <c r="B2791">
        <v>654</v>
      </c>
    </row>
    <row r="2792" spans="1:2" x14ac:dyDescent="0.2">
      <c r="A2792" s="2465" t="s">
        <v>458</v>
      </c>
      <c r="B2792">
        <v>654</v>
      </c>
    </row>
    <row r="2793" spans="1:2" x14ac:dyDescent="0.2">
      <c r="A2793" s="2465" t="s">
        <v>460</v>
      </c>
      <c r="B2793">
        <v>312</v>
      </c>
    </row>
    <row r="2794" spans="1:2" x14ac:dyDescent="0.2">
      <c r="A2794" s="2465" t="s">
        <v>461</v>
      </c>
      <c r="B2794">
        <v>312</v>
      </c>
    </row>
    <row r="2795" spans="1:2" x14ac:dyDescent="0.2">
      <c r="A2795" s="2465" t="s">
        <v>462</v>
      </c>
      <c r="B2795" t="e">
        <f>247*B2781</f>
        <v>#VALUE!</v>
      </c>
    </row>
    <row r="2796" spans="1:2" x14ac:dyDescent="0.2">
      <c r="A2796" s="2465" t="s">
        <v>461</v>
      </c>
      <c r="B2796" t="e">
        <f>247*B2781</f>
        <v>#VALUE!</v>
      </c>
    </row>
    <row r="2797" spans="1:2" x14ac:dyDescent="0.2">
      <c r="A2797" s="2465" t="s">
        <v>1266</v>
      </c>
    </row>
    <row r="2798" spans="1:2" x14ac:dyDescent="0.2">
      <c r="A2798" s="2465" t="s">
        <v>461</v>
      </c>
    </row>
    <row r="2799" spans="1:2" x14ac:dyDescent="0.2">
      <c r="A2799" s="2465" t="s">
        <v>1755</v>
      </c>
      <c r="B2799" t="e">
        <f>247*B2781</f>
        <v>#VALUE!</v>
      </c>
    </row>
    <row r="2800" spans="1:2" x14ac:dyDescent="0.2">
      <c r="A2800" s="2465" t="s">
        <v>461</v>
      </c>
      <c r="B2800" t="e">
        <f>247*B2781</f>
        <v>#VALUE!</v>
      </c>
    </row>
    <row r="2801" spans="1:2" x14ac:dyDescent="0.2">
      <c r="A2801" s="2465" t="s">
        <v>1756</v>
      </c>
    </row>
    <row r="2802" spans="1:2" x14ac:dyDescent="0.2">
      <c r="A2802" s="2465" t="s">
        <v>461</v>
      </c>
      <c r="B2802" t="e">
        <f>((-0.046*(B587/(B599*10)-0.15)*LN($B$342))+(0.21*(B587/(B599*10))))*IF(B603=1,0.8,IF(B603=2,1,1.2))</f>
        <v>#VALUE!</v>
      </c>
    </row>
    <row r="2803" spans="1:2" x14ac:dyDescent="0.2">
      <c r="A2803" s="2465" t="s">
        <v>1757</v>
      </c>
      <c r="B2803">
        <v>247</v>
      </c>
    </row>
    <row r="2804" spans="1:2" x14ac:dyDescent="0.2">
      <c r="A2804" s="2465" t="s">
        <v>461</v>
      </c>
      <c r="B2804">
        <v>247</v>
      </c>
    </row>
    <row r="2805" spans="1:2" x14ac:dyDescent="0.2">
      <c r="A2805" s="2465" t="s">
        <v>1758</v>
      </c>
      <c r="B2805">
        <v>247</v>
      </c>
    </row>
    <row r="2806" spans="1:2" x14ac:dyDescent="0.2">
      <c r="A2806" s="2465" t="s">
        <v>1759</v>
      </c>
      <c r="B2806" t="e">
        <f>247*B2802</f>
        <v>#VALUE!</v>
      </c>
    </row>
    <row r="2807" spans="1:2" x14ac:dyDescent="0.2">
      <c r="A2807" s="2465" t="s">
        <v>460</v>
      </c>
      <c r="B2807">
        <v>264</v>
      </c>
    </row>
    <row r="2808" spans="1:2" x14ac:dyDescent="0.2">
      <c r="A2808" s="2465" t="s">
        <v>461</v>
      </c>
      <c r="B2808">
        <v>264</v>
      </c>
    </row>
    <row r="2809" spans="1:2" x14ac:dyDescent="0.2">
      <c r="A2809" s="2465" t="s">
        <v>462</v>
      </c>
      <c r="B2809">
        <v>654</v>
      </c>
    </row>
    <row r="2810" spans="1:2" x14ac:dyDescent="0.2">
      <c r="A2810" s="2465" t="s">
        <v>461</v>
      </c>
      <c r="B2810">
        <v>654</v>
      </c>
    </row>
    <row r="2811" spans="1:2" x14ac:dyDescent="0.2">
      <c r="A2811" s="2465" t="s">
        <v>1266</v>
      </c>
      <c r="B2811">
        <v>312</v>
      </c>
    </row>
    <row r="2812" spans="1:2" x14ac:dyDescent="0.2">
      <c r="A2812" s="2465" t="s">
        <v>461</v>
      </c>
      <c r="B2812">
        <v>312</v>
      </c>
    </row>
    <row r="2813" spans="1:2" x14ac:dyDescent="0.2">
      <c r="A2813" s="2465" t="s">
        <v>1755</v>
      </c>
      <c r="B2813" t="e">
        <f>247*B2781</f>
        <v>#VALUE!</v>
      </c>
    </row>
    <row r="2814" spans="1:2" x14ac:dyDescent="0.2">
      <c r="A2814" s="2465" t="s">
        <v>461</v>
      </c>
      <c r="B2814" t="e">
        <f>247*B2781</f>
        <v>#VALUE!</v>
      </c>
    </row>
    <row r="2815" spans="1:2" x14ac:dyDescent="0.2">
      <c r="A2815" s="2465" t="s">
        <v>1756</v>
      </c>
    </row>
    <row r="2816" spans="1:2" x14ac:dyDescent="0.2">
      <c r="A2816" s="2465" t="s">
        <v>461</v>
      </c>
      <c r="B2816" t="e">
        <f>((-0.046*(B587/(B599*10)-0.15)*LN($B$343))+(0.21*(B587/(B599*10))))*IF(B603=1,0.8,IF(B603=2,1,1.2))</f>
        <v>#VALUE!</v>
      </c>
    </row>
    <row r="2817" spans="1:2" x14ac:dyDescent="0.2">
      <c r="A2817" s="2465" t="s">
        <v>1757</v>
      </c>
      <c r="B2817">
        <v>247</v>
      </c>
    </row>
    <row r="2818" spans="1:2" x14ac:dyDescent="0.2">
      <c r="A2818" s="2465" t="s">
        <v>461</v>
      </c>
      <c r="B2818">
        <v>247</v>
      </c>
    </row>
    <row r="2819" spans="1:2" x14ac:dyDescent="0.2">
      <c r="A2819" s="2465" t="s">
        <v>1760</v>
      </c>
      <c r="B2819">
        <v>247</v>
      </c>
    </row>
    <row r="2820" spans="1:2" x14ac:dyDescent="0.2">
      <c r="A2820" s="2465" t="s">
        <v>1759</v>
      </c>
      <c r="B2820" t="e">
        <f>247*B2816</f>
        <v>#VALUE!</v>
      </c>
    </row>
    <row r="2821" spans="1:2" x14ac:dyDescent="0.2">
      <c r="A2821" s="2465" t="s">
        <v>460</v>
      </c>
      <c r="B2821">
        <v>264</v>
      </c>
    </row>
    <row r="2822" spans="1:2" x14ac:dyDescent="0.2">
      <c r="A2822" s="2465" t="s">
        <v>461</v>
      </c>
      <c r="B2822">
        <v>264</v>
      </c>
    </row>
    <row r="2823" spans="1:2" x14ac:dyDescent="0.2">
      <c r="A2823" s="2465" t="s">
        <v>462</v>
      </c>
      <c r="B2823">
        <v>654</v>
      </c>
    </row>
    <row r="2824" spans="1:2" x14ac:dyDescent="0.2">
      <c r="A2824" s="2465" t="s">
        <v>461</v>
      </c>
      <c r="B2824">
        <v>654</v>
      </c>
    </row>
    <row r="2825" spans="1:2" x14ac:dyDescent="0.2">
      <c r="A2825" s="2465" t="s">
        <v>1266</v>
      </c>
      <c r="B2825">
        <v>312</v>
      </c>
    </row>
    <row r="2826" spans="1:2" x14ac:dyDescent="0.2">
      <c r="A2826" s="2465" t="s">
        <v>461</v>
      </c>
      <c r="B2826">
        <v>312</v>
      </c>
    </row>
    <row r="2827" spans="1:2" x14ac:dyDescent="0.2">
      <c r="A2827" s="2465" t="s">
        <v>1755</v>
      </c>
      <c r="B2827" t="e">
        <f>247*B2781</f>
        <v>#VALUE!</v>
      </c>
    </row>
    <row r="2828" spans="1:2" x14ac:dyDescent="0.2">
      <c r="A2828" s="2465" t="s">
        <v>461</v>
      </c>
      <c r="B2828" t="e">
        <f>247*B2781</f>
        <v>#VALUE!</v>
      </c>
    </row>
    <row r="2829" spans="1:2" x14ac:dyDescent="0.2">
      <c r="A2829" s="2465" t="s">
        <v>1756</v>
      </c>
    </row>
    <row r="2830" spans="1:2" x14ac:dyDescent="0.2">
      <c r="A2830" s="2465" t="s">
        <v>461</v>
      </c>
      <c r="B2830" t="e">
        <f>((-0.046*(B587/(B599*10)-0.15)*LN($B$341))+(0.21*(B587/(B599*10))))*IF(B603=1,0.8,IF(B603=2,1,1.2))</f>
        <v>#VALUE!</v>
      </c>
    </row>
    <row r="2831" spans="1:2" x14ac:dyDescent="0.2">
      <c r="A2831" s="2465" t="s">
        <v>1757</v>
      </c>
      <c r="B2831">
        <v>247</v>
      </c>
    </row>
    <row r="2832" spans="1:2" x14ac:dyDescent="0.2">
      <c r="A2832" s="2465" t="s">
        <v>461</v>
      </c>
      <c r="B2832">
        <v>247</v>
      </c>
    </row>
    <row r="2833" spans="1:2" x14ac:dyDescent="0.2">
      <c r="A2833" s="2465">
        <v>0</v>
      </c>
      <c r="B2833">
        <v>247</v>
      </c>
    </row>
    <row r="2834" spans="1:2" x14ac:dyDescent="0.2">
      <c r="A2834" s="2465" t="s">
        <v>973</v>
      </c>
      <c r="B2834" t="e">
        <f>247*B2830</f>
        <v>#VALUE!</v>
      </c>
    </row>
    <row r="2835" spans="1:2" x14ac:dyDescent="0.2">
      <c r="A2835" s="2465" t="s">
        <v>974</v>
      </c>
      <c r="B2835">
        <v>264</v>
      </c>
    </row>
    <row r="2836" spans="1:2" x14ac:dyDescent="0.2">
      <c r="A2836" s="2465" t="s">
        <v>329</v>
      </c>
      <c r="B2836">
        <v>264</v>
      </c>
    </row>
    <row r="2837" spans="1:2" x14ac:dyDescent="0.2">
      <c r="A2837" s="2465" t="s">
        <v>330</v>
      </c>
      <c r="B2837">
        <v>654</v>
      </c>
    </row>
    <row r="2838" spans="1:2" x14ac:dyDescent="0.2">
      <c r="A2838" s="2465" t="s">
        <v>975</v>
      </c>
      <c r="B2838">
        <v>654</v>
      </c>
    </row>
    <row r="2839" spans="1:2" x14ac:dyDescent="0.2">
      <c r="A2839" s="2465" t="s">
        <v>976</v>
      </c>
      <c r="B2839">
        <v>312</v>
      </c>
    </row>
    <row r="2840" spans="1:2" x14ac:dyDescent="0.2">
      <c r="A2840" s="2465" t="s">
        <v>977</v>
      </c>
      <c r="B2840">
        <v>312</v>
      </c>
    </row>
    <row r="2841" spans="1:2" x14ac:dyDescent="0.2">
      <c r="A2841" s="2465" t="s">
        <v>978</v>
      </c>
      <c r="B2841" t="e">
        <f>247*B2781</f>
        <v>#VALUE!</v>
      </c>
    </row>
    <row r="2842" spans="1:2" x14ac:dyDescent="0.2">
      <c r="A2842" s="2465" t="s">
        <v>329</v>
      </c>
      <c r="B2842" t="e">
        <f>247*B2781</f>
        <v>#VALUE!</v>
      </c>
    </row>
    <row r="2843" spans="1:2" x14ac:dyDescent="0.2">
      <c r="A2843" s="2465" t="s">
        <v>330</v>
      </c>
    </row>
    <row r="2844" spans="1:2" x14ac:dyDescent="0.2">
      <c r="A2844" s="2465" t="s">
        <v>975</v>
      </c>
    </row>
    <row r="2845" spans="1:2" x14ac:dyDescent="0.2">
      <c r="A2845" s="2465" t="s">
        <v>976</v>
      </c>
    </row>
    <row r="2846" spans="1:2" x14ac:dyDescent="0.2">
      <c r="A2846" s="2465" t="s">
        <v>977</v>
      </c>
      <c r="B2846" t="e">
        <f>B2852*B2858</f>
        <v>#VALUE!</v>
      </c>
    </row>
    <row r="2847" spans="1:2" x14ac:dyDescent="0.2">
      <c r="A2847" s="2465" t="s">
        <v>979</v>
      </c>
      <c r="B2847" t="e">
        <f>B2853*B2859</f>
        <v>#VALUE!</v>
      </c>
    </row>
    <row r="2848" spans="1:2" x14ac:dyDescent="0.2">
      <c r="A2848" s="2465" t="s">
        <v>980</v>
      </c>
      <c r="B2848" t="e">
        <f>B2854*B2860</f>
        <v>#VALUE!</v>
      </c>
    </row>
    <row r="2849" spans="1:2" x14ac:dyDescent="0.2">
      <c r="A2849" s="2465" t="s">
        <v>981</v>
      </c>
      <c r="B2849" t="e">
        <f>B2855*B2861</f>
        <v>#VALUE!</v>
      </c>
    </row>
    <row r="2850" spans="1:2" x14ac:dyDescent="0.2">
      <c r="A2850" s="217" t="s">
        <v>977</v>
      </c>
      <c r="B2850" t="e">
        <f>B2856*B2862</f>
        <v>#VALUE!</v>
      </c>
    </row>
    <row r="2851" spans="1:2" x14ac:dyDescent="0.2">
      <c r="A2851" s="217" t="s">
        <v>978</v>
      </c>
    </row>
    <row r="2852" spans="1:2" x14ac:dyDescent="0.2">
      <c r="A2852" s="217" t="s">
        <v>329</v>
      </c>
      <c r="B2852">
        <f>(($B$328/12)+0.1)*($B$335/600)^-0.75</f>
        <v>1.2893745033890289</v>
      </c>
    </row>
    <row r="2853" spans="1:2" x14ac:dyDescent="0.2">
      <c r="A2853" s="217" t="s">
        <v>330</v>
      </c>
      <c r="B2853">
        <f>(($B$329/12)+0.1)*($B$335/600)^-0.75</f>
        <v>1.2893745033890289</v>
      </c>
    </row>
    <row r="2854" spans="1:2" x14ac:dyDescent="0.2">
      <c r="A2854" s="217" t="s">
        <v>975</v>
      </c>
      <c r="B2854">
        <f>(($B$345/12)+0.1)*($B$335/600)^-0.75</f>
        <v>1.2893745033890289</v>
      </c>
    </row>
    <row r="2855" spans="1:2" x14ac:dyDescent="0.2">
      <c r="A2855" s="217" t="s">
        <v>976</v>
      </c>
      <c r="B2855">
        <f>(($B$330/12)+0.1)*($B$336/600)^-0.75</f>
        <v>1.2893745033890289</v>
      </c>
    </row>
    <row r="2856" spans="1:2" x14ac:dyDescent="0.2">
      <c r="A2856" s="217" t="s">
        <v>977</v>
      </c>
      <c r="B2856">
        <f>(($B$346/12)+0.1)*($B$336/600)^-0.75</f>
        <v>1.0090756983044575</v>
      </c>
    </row>
    <row r="2857" spans="1:2" x14ac:dyDescent="0.2">
      <c r="A2857" s="217" t="s">
        <v>979</v>
      </c>
    </row>
    <row r="2858" spans="1:2" x14ac:dyDescent="0.2">
      <c r="A2858" s="217" t="s">
        <v>980</v>
      </c>
      <c r="B2858" t="e">
        <f>(B587/800)^1.39*((B599*10/50)^-0.85)*(0.17*(B584/1.2)+0.83)*(0.07*(B326/27)+0.93)*(0.42/B572+0.58)*(0.6*(B387/90)+0.4)*(0.34*(B403/3750)+0.66)*(0.06*(B340/250)+0.94)*(1.21-0.21*(B586/12))*(IF(B339=1,0.034*(B397/300)+0.54,IF(B339=2,0.19*B395/385+0.62,0.05*(B396/20)+0.95)))*(IF(B337=1,0.99,1))*(IF(B338=1,1.03,IF(B338=2,1,IF(B338=3,0.96,1))))</f>
        <v>#VALUE!</v>
      </c>
    </row>
    <row r="2859" spans="1:2" x14ac:dyDescent="0.2">
      <c r="A2859" s="217" t="s">
        <v>981</v>
      </c>
      <c r="B2859" t="e">
        <f>(B587/800)^1.35*((B599*10/50)^-0.81)*(0.16*(B584/1.2)+0.84)*(0.07*(B326/27)+0.93)*(0.45/B572+0.55)*(0.6*(B387/90)+0.4)*(0.34*(B403/3750)+0.66)*(0.007*(B340/250)+0.993)*(1.2-0.2*(B586/12))*(IF(B339=1,0.04*(B397/300)+0.5,IF(B339=2,0.208*B395/385+0.59,0.05*(B396/20)+0.95)))*(IF(B337=1,0.99,1))*(IF(B603=1,0.8,IF(B603=2,1.2,1)))</f>
        <v>#VALUE!</v>
      </c>
    </row>
    <row r="2860" spans="1:2" x14ac:dyDescent="0.2">
      <c r="A2860" s="217" t="s">
        <v>982</v>
      </c>
      <c r="B2860" t="e">
        <f>(0.67*(B587/800)^2-0.67*(B587/800)+0.95)*((B599*10/50)^-0.36)*(1.05*(B584/1.2)-0.05)*(0.07*(B326/27)+0.93)*(0.45/B572+0.55)*(0.6*(B387/90)+0.4)*(0.4*(B403/3750)+0.6)*(0.004*(B340/250)+0.996)*(1.2-0.2*(B586/12))*(IF(B339=1,0.04*(B397/300)+0.5,IF(B339=2,0.2*B395/385+0.59,0.05*(B396/20)+0.95)))*(IF(B337=1,0.99,1))*(IF(B338=1,1,IF(B338=2,1,IF(B338=3,1,1.01))))</f>
        <v>#VALUE!</v>
      </c>
    </row>
    <row r="2861" spans="1:2" x14ac:dyDescent="0.2">
      <c r="A2861" s="217" t="s">
        <v>983</v>
      </c>
      <c r="B2861" t="e">
        <f>((B587/800)^1.36)*((B599*10/50)^-0.83)*(0.16*(B584/1.2)+0.84)*(0.07*(B326/27)+0.93)*(0.44/B572+0.56)*(0.6*(B387/90)+0.4)*(0.36*(B403/3750)+0.64)*(0.01*(B340/250)+0.99)*(1.2-0.2*(B586/12))*(IF(B339=1,0.05*(B397/300)+0.7,IF(B339=2,0.13*B395/385+0.37,0.05*(B396/20)+0.95)))*(IF(B337=1,0.99,1))*(IF(B338=1,1.01,IF(B338=2,1,IF(B338=3,1,1.01))))</f>
        <v>#VALUE!</v>
      </c>
    </row>
    <row r="2862" spans="1:2" x14ac:dyDescent="0.2">
      <c r="A2862" s="217" t="s">
        <v>984</v>
      </c>
      <c r="B2862" t="e">
        <f>((B587/800)^1.39)*((B599*10/50)^-0.85)*(0.17*(B584/1.2)+0.83)*(0.07*(B326/27)+0.93)*(0.42/B572+0.58)*(0.6*(B387/90)+0.4)*(0.34*(B403/3750)+0.66)*(0.06*(B340/250)+0.94)*(1.21-0.21*(B586/12))*(IF(B339=1,0.034*(B397/300)+0.54,IF(B339=2,0.19*B395/385+0.62,0.05*(B396/20)+0.95)))*(IF(B337=1,0.99,1))*(IF(B338=1,1.03,IF(B338=2,1,IF(B338=3,0.96,1.01))))</f>
        <v>#VALUE!</v>
      </c>
    </row>
    <row r="2863" spans="1:2" x14ac:dyDescent="0.2">
      <c r="A2863" s="217" t="s">
        <v>985</v>
      </c>
      <c r="B2863" t="e">
        <f>((B587/800)^1.39)*((B599*10/50)^-0.85)*(0.17*(B584/1.2)+0.83)*(0.07*(B326/27)+0.93)*(0.42/B572+0.58)*(0.6*(B387/90)+0.4)*(0.34*(B403/3750)+0.66)*(0.06*(B340/250)+0.94)*(1.21-0.21*(B586/12))*(IF(B339=1,0.034*(B397/300)+0.54,IF(B339=2,0.19*B395/385+0.62,0.05*(B396/20)+0.95)))*(IF(B337=1,0.99,1))*(IF(B338=1,1.03,IF(B338=2,1,IF(B338=3,0.96,1))))</f>
        <v>#VALUE!</v>
      </c>
    </row>
    <row r="2864" spans="1:2" x14ac:dyDescent="0.2">
      <c r="A2864" s="217" t="s">
        <v>986</v>
      </c>
    </row>
    <row r="2865" spans="1:2" x14ac:dyDescent="0.2">
      <c r="A2865" s="217" t="s">
        <v>987</v>
      </c>
      <c r="B2865" t="e">
        <f>(B587/800)^1.39*(0.9*(B328/12)+0.1)*((B599*10/50)^-0.85)*(0.17*(B584/1.2)+0.83)*(B335/600)^-0.75*(0.07*(B326/27)+0.93)*(0.42/B572+0.58)*(0.6*(B387/90)+0.4)*(0.34*(B403/3750)+0.66)*(0.06*(B340/250)+0.94)*(1.21-0.21*(B586/12))*(IF(B339=1,0.034*(B397/300)+0.54,IF(B339=2,0.19*B395/385+0.62,0.05*(B396/20)+0.95)))*(IF(B337=1,0.99,1))*(IF(B338=1,1.03,IF(B338=2,1,IF(B338=3,0.96,1))))</f>
        <v>#VALUE!</v>
      </c>
    </row>
    <row r="2866" spans="1:2" x14ac:dyDescent="0.2">
      <c r="A2866" s="217" t="s">
        <v>988</v>
      </c>
      <c r="B2866" t="e">
        <f>(B587/800)^1.35*(0.88*(B328/12)+0.12)*((B599*10/50)^-0.81)*(0.16*(B584/1.2)+0.84)*(B335/600)^-0.81*(0.07*(B326/27)+0.93)*(0.45/B572+0.55)*(0.6*(B387/90)+0.4)*(0.34*(B403/3750)+0.66)*(0.007*(B340/250)+0.993)*(1.2-0.2*(B586/12))*(IF(B339=1,0.04*(B397/300)+0.5,IF(B339=2,0.208*B395/385+0.59,0.05*(B396/20)+0.95)))*(IF(B337=1,0.99,1))*(IF(B603=1,0.8,IF(B603=2,1.2,1)))</f>
        <v>#VALUE!</v>
      </c>
    </row>
    <row r="2867" spans="1:2" x14ac:dyDescent="0.2">
      <c r="A2867" s="217" t="s">
        <v>989</v>
      </c>
      <c r="B2867" t="e">
        <f>(0.67*(B587/800)^2-0.67*(B587/800)+0.95)*(0.39*(B328/12)+0.61)*((B599*10/50)^-0.36)*(1.05*(B584/1.2)-0.05)*(B335/600)^-0.81*(0.07*(B326/27)+0.93)*(0.45/B572+0.55)*(0.6*(B387/90)+0.4)*(0.4*(B403/3750)+0.6)*(0.004*(B340/250)+0.996)*(1.2-0.2*(B586/12))*(IF(B339=1,0.04*(B397/300)+0.5,IF(B339=2,0.2*B395/385+0.59,0.05*(B396/20)+0.95)))*(IF(B337=1,0.99,1))*(IF(B338=1,1,IF(B338=2,1,IF(B338=3,1,1.01))))</f>
        <v>#VALUE!</v>
      </c>
    </row>
    <row r="2868" spans="1:2" x14ac:dyDescent="0.2">
      <c r="A2868" s="217" t="s">
        <v>990</v>
      </c>
      <c r="B2868" t="e">
        <f>((B587/800)^1.36)*(0.88*(B328/12)+0.12)*((B599*10/50)^-0.83)*(0.16*(B584/1.2)+0.84)*(B335/600)^-0.81*(0.07*(B326/27)+0.93)*(0.44/B572+0.56)*(0.6*(B387/90)+0.4)*(0.36*(B403/3750)+0.64)*(0.01*(B340/250)+0.99)*(1.2-0.2*(B586/12))*(IF(B339=1,0.05*(B397/300)+0.7,IF(B339=2,0.13*B395/385+0.37,0.05*(B396/20)+0.95)))*(IF(B337=1,0.99,1))*(IF(B338=1,1.01,IF(B338=2,1,IF(B338=3,1,1.01))))</f>
        <v>#VALUE!</v>
      </c>
    </row>
    <row r="2869" spans="1:2" x14ac:dyDescent="0.2">
      <c r="A2869" s="217" t="s">
        <v>991</v>
      </c>
      <c r="B2869" t="e">
        <f>((B587/800)^1.39)*(0.9*(B328/12)+0.1)*((B599*10/50)^-0.85)*(0.17*(B584/1.2)+0.83)*(B335/600)^-0.75*(0.07*(B326/27)+0.93)*(0.42/B572+0.58)*(0.6*(B387/90)+0.4)*(0.34*(B403/3750)+0.66)*(0.06*(B340/250)+0.94)*(1.21-0.21*(B586/12))*(IF(B339=1,0.034*(B397/300)+0.54,IF(B339=2,0.19*B395/385+0.62,0.05*(B396/20)+0.95)))*(IF(B337=1,0.99,1))*(IF(B338=1,1.03,IF(B338=2,1,IF(B338=3,0.96,1.01))))</f>
        <v>#VALUE!</v>
      </c>
    </row>
    <row r="2870" spans="1:2" x14ac:dyDescent="0.2">
      <c r="A2870" s="217" t="s">
        <v>992</v>
      </c>
      <c r="B2870" t="e">
        <f>((B587/800)^1.39)*(0.9*(B328/12)+0.1)*((B599*10/50)^-0.85)*(0.17*(B584/1.2)+0.83)*(B335/600)^-0.75*(0.07*(B326/27)+0.93)*(0.42/B572+0.58)*(0.6*(B387/90)+0.4)*(0.34*(B403/3750)+0.66)*(0.06*(B340/250)+0.94)*(1.21-0.21*(B586/12))*(IF(B339=1,0.034*(B397/300)+0.54,IF(B339=2,0.19*B395/385+0.62,0.05*(B396/20)+0.95)))*(IF(B337=1,0.99,1))*(IF(B338=1,1.03,IF(B338=2,1,IF(B338=3,0.96,1))))</f>
        <v>#VALUE!</v>
      </c>
    </row>
    <row r="2871" spans="1:2" ht="25.5" x14ac:dyDescent="0.2">
      <c r="A2871" s="217" t="s">
        <v>993</v>
      </c>
    </row>
    <row r="2872" spans="1:2" ht="38.25" x14ac:dyDescent="0.2">
      <c r="A2872" s="217" t="s">
        <v>1976</v>
      </c>
    </row>
    <row r="2873" spans="1:2" ht="25.5" x14ac:dyDescent="0.2">
      <c r="A2873" s="217" t="s">
        <v>1977</v>
      </c>
    </row>
    <row r="2874" spans="1:2" x14ac:dyDescent="0.2">
      <c r="A2874" s="217" t="s">
        <v>1978</v>
      </c>
      <c r="B2874" s="352">
        <f>$B$634</f>
        <v>3000</v>
      </c>
    </row>
    <row r="2875" spans="1:2" x14ac:dyDescent="0.2">
      <c r="A2875" s="217" t="s">
        <v>1979</v>
      </c>
      <c r="B2875" t="e">
        <f>ROUND(B2874/B3087,0)</f>
        <v>#VALUE!</v>
      </c>
    </row>
    <row r="2876" spans="1:2" ht="25.5" x14ac:dyDescent="0.2">
      <c r="A2876" s="217" t="s">
        <v>1980</v>
      </c>
      <c r="B2876" t="e">
        <f>B3087*B2875</f>
        <v>#VALUE!</v>
      </c>
    </row>
    <row r="2877" spans="1:2" x14ac:dyDescent="0.2">
      <c r="A2877" s="217" t="s">
        <v>1981</v>
      </c>
      <c r="B2877" t="e">
        <f>IF(B2876&lt;=$B$634,B2876,$B$634)</f>
        <v>#VALUE!</v>
      </c>
    </row>
    <row r="2878" spans="1:2" x14ac:dyDescent="0.2">
      <c r="A2878" s="217" t="s">
        <v>1982</v>
      </c>
      <c r="B2878" t="e">
        <f>ROUND(B2877/B3087,0)</f>
        <v>#VALUE!</v>
      </c>
    </row>
    <row r="2879" spans="1:2" x14ac:dyDescent="0.2">
      <c r="A2879" s="217"/>
    </row>
    <row r="2880" spans="1:2" x14ac:dyDescent="0.2">
      <c r="A2880" s="217" t="s">
        <v>1983</v>
      </c>
      <c r="B2880" t="e">
        <f>B2759/2</f>
        <v>#VALUE!</v>
      </c>
    </row>
    <row r="2881" spans="1:2" ht="25.5" x14ac:dyDescent="0.2">
      <c r="A2881" s="217" t="s">
        <v>1984</v>
      </c>
      <c r="B2881" t="e">
        <f>ROUND(B2876/B3087,0)</f>
        <v>#VALUE!</v>
      </c>
    </row>
    <row r="2882" spans="1:2" x14ac:dyDescent="0.2">
      <c r="A2882" s="217" t="s">
        <v>1985</v>
      </c>
      <c r="B2882" t="e">
        <f>B2881/2</f>
        <v>#VALUE!</v>
      </c>
    </row>
    <row r="2883" spans="1:2" x14ac:dyDescent="0.2">
      <c r="A2883" s="217" t="s">
        <v>1986</v>
      </c>
      <c r="B2883" t="e">
        <f>B2758*B2882</f>
        <v>#VALUE!</v>
      </c>
    </row>
    <row r="2884" spans="1:2" x14ac:dyDescent="0.2">
      <c r="A2884" s="217" t="s">
        <v>1987</v>
      </c>
      <c r="B2884" t="e">
        <f>$B$636/B3078</f>
        <v>#VALUE!</v>
      </c>
    </row>
    <row r="2885" spans="1:2" x14ac:dyDescent="0.2">
      <c r="A2885" s="217" t="s">
        <v>739</v>
      </c>
      <c r="B2885" t="e">
        <f>B2884/12</f>
        <v>#VALUE!</v>
      </c>
    </row>
    <row r="2886" spans="1:2" x14ac:dyDescent="0.2">
      <c r="A2886" s="217" t="s">
        <v>740</v>
      </c>
      <c r="B2886" t="e">
        <f>ROUNDUP(($B$632/2)/B2883,0)</f>
        <v>#VALUE!</v>
      </c>
    </row>
    <row r="2887" spans="1:2" x14ac:dyDescent="0.2">
      <c r="A2887" s="217" t="s">
        <v>328</v>
      </c>
    </row>
    <row r="2888" spans="1:2" x14ac:dyDescent="0.2">
      <c r="A2888" s="217" t="s">
        <v>329</v>
      </c>
      <c r="B2888" t="e">
        <f>B2799*B2846</f>
        <v>#VALUE!</v>
      </c>
    </row>
    <row r="2889" spans="1:2" x14ac:dyDescent="0.2">
      <c r="A2889" s="217" t="s">
        <v>330</v>
      </c>
      <c r="B2889" t="e">
        <f>INDEX($B$2803:$B$2814,$B$292*2-1)*B2847</f>
        <v>#VALUE!</v>
      </c>
    </row>
    <row r="2890" spans="1:2" x14ac:dyDescent="0.2">
      <c r="A2890" s="217" t="s">
        <v>975</v>
      </c>
      <c r="B2890" t="e">
        <f>INDEX($B$2817:$B$2828,$B$312*2-1)*B2848</f>
        <v>#VALUE!</v>
      </c>
    </row>
    <row r="2891" spans="1:2" x14ac:dyDescent="0.2">
      <c r="A2891" s="217" t="s">
        <v>976</v>
      </c>
      <c r="B2891" t="e">
        <f>INDEX($B$2785:$B$2796,$B$319*2-1)*B2849</f>
        <v>#VALUE!</v>
      </c>
    </row>
    <row r="2892" spans="1:2" x14ac:dyDescent="0.2">
      <c r="A2892" s="217" t="s">
        <v>977</v>
      </c>
      <c r="B2892">
        <f>INDEX($B$2831:$B$2842,$B$570*2-1)*B2856</f>
        <v>249.24169748120102</v>
      </c>
    </row>
    <row r="2893" spans="1:2" x14ac:dyDescent="0.2">
      <c r="A2893" s="217" t="s">
        <v>741</v>
      </c>
    </row>
    <row r="2894" spans="1:2" x14ac:dyDescent="0.2">
      <c r="A2894" s="217" t="s">
        <v>329</v>
      </c>
      <c r="B2894" t="e">
        <f>$B$2800*B2846</f>
        <v>#VALUE!</v>
      </c>
    </row>
    <row r="2895" spans="1:2" x14ac:dyDescent="0.2">
      <c r="A2895" s="217" t="s">
        <v>330</v>
      </c>
      <c r="B2895" t="e">
        <f>INDEX($B$2803:$B$2814,$B$292*2)*B2847</f>
        <v>#VALUE!</v>
      </c>
    </row>
    <row r="2896" spans="1:2" x14ac:dyDescent="0.2">
      <c r="A2896" s="217" t="s">
        <v>975</v>
      </c>
      <c r="B2896" t="e">
        <f>INDEX($B$2817:$B$2828,$B$312*2)*B2848</f>
        <v>#VALUE!</v>
      </c>
    </row>
    <row r="2897" spans="1:2" x14ac:dyDescent="0.2">
      <c r="A2897" s="217" t="s">
        <v>976</v>
      </c>
      <c r="B2897" t="e">
        <f>INDEX($B$2785:$B$2796,$B$319*2)*B2849</f>
        <v>#VALUE!</v>
      </c>
    </row>
    <row r="2898" spans="1:2" x14ac:dyDescent="0.2">
      <c r="A2898" s="217" t="s">
        <v>977</v>
      </c>
      <c r="B2898" t="e">
        <f>INDEX($B$2831:$B$2842,$B$570*2)*B2850</f>
        <v>#VALUE!</v>
      </c>
    </row>
    <row r="2899" spans="1:2" x14ac:dyDescent="0.2">
      <c r="A2899" s="2768" t="s">
        <v>329</v>
      </c>
    </row>
    <row r="2900" spans="1:2" x14ac:dyDescent="0.2">
      <c r="A2900" s="2861" t="s">
        <v>742</v>
      </c>
      <c r="B2900" t="e">
        <f>B2888*B2883*0.98*(B2886+1)^1.18*B2885^0.26+B2894*B2883*0.98*(B2886-1)^1.18*B2885^0.26</f>
        <v>#VALUE!</v>
      </c>
    </row>
    <row r="2901" spans="1:2" x14ac:dyDescent="0.2">
      <c r="A2901" s="2861" t="s">
        <v>3562</v>
      </c>
      <c r="B2901" t="e">
        <f>B2900*B510</f>
        <v>#VALUE!</v>
      </c>
    </row>
    <row r="2902" spans="1:2" x14ac:dyDescent="0.2">
      <c r="A2902" s="2861" t="s">
        <v>3528</v>
      </c>
      <c r="B2902" t="e">
        <f>B2901/B819</f>
        <v>#VALUE!</v>
      </c>
    </row>
    <row r="2903" spans="1:2" x14ac:dyDescent="0.2">
      <c r="A2903" s="2861" t="s">
        <v>330</v>
      </c>
    </row>
    <row r="2904" spans="1:2" x14ac:dyDescent="0.2">
      <c r="A2904" s="2861" t="s">
        <v>2680</v>
      </c>
    </row>
    <row r="2905" spans="1:2" x14ac:dyDescent="0.2">
      <c r="A2905" s="2861" t="s">
        <v>2681</v>
      </c>
      <c r="B2905" t="e">
        <f>B2889*B2883*0.98*(B2886+1)^1.18*B2885^0.26+B2895*B2883*0.98*(B2886-1)^1.18*B2885^0.26</f>
        <v>#VALUE!</v>
      </c>
    </row>
    <row r="2906" spans="1:2" x14ac:dyDescent="0.2">
      <c r="A2906" s="2861" t="s">
        <v>2682</v>
      </c>
      <c r="B2906" t="e">
        <f>B2889*B2883*0.98*(B2886-1)^1.18*B2885^0.26+B2895*B2883*0.98*(B2886+1)^1.18*B2885^0.26</f>
        <v>#VALUE!</v>
      </c>
    </row>
    <row r="2907" spans="1:2" x14ac:dyDescent="0.2">
      <c r="A2907" s="2861" t="s">
        <v>2683</v>
      </c>
    </row>
    <row r="2908" spans="1:2" x14ac:dyDescent="0.2">
      <c r="A2908" s="2861" t="s">
        <v>2681</v>
      </c>
      <c r="B2908" t="e">
        <f>B2895*B2883*0.98*(B2881+1)^1.18*B2885^0.26</f>
        <v>#VALUE!</v>
      </c>
    </row>
    <row r="2909" spans="1:2" x14ac:dyDescent="0.2">
      <c r="A2909" s="2861" t="s">
        <v>2682</v>
      </c>
      <c r="B2909" t="e">
        <f>B2889*B2883*0.98*(B2886)^1.18*B2885^0.26+B2895*B2883*0.98*(B2886-1)^1.18*B2885^0.26</f>
        <v>#VALUE!</v>
      </c>
    </row>
    <row r="2910" spans="1:2" x14ac:dyDescent="0.2">
      <c r="A2910" s="2861" t="s">
        <v>3562</v>
      </c>
      <c r="B2910" t="e">
        <f>(IF(AND($B$316=1,$B$762=1),B2908,IF(AND($B$316=1,$B$762=2),B2909,IF(AND($B$316=2,$B$762=1),B2905,IF(AND($B$316=2,$B$762=2),B2906)))))*B509</f>
        <v>#VALUE!</v>
      </c>
    </row>
    <row r="2911" spans="1:2" x14ac:dyDescent="0.2">
      <c r="A2911" s="2861" t="s">
        <v>3528</v>
      </c>
      <c r="B2911" t="e">
        <f>B2910/B819</f>
        <v>#VALUE!</v>
      </c>
    </row>
    <row r="2912" spans="1:2" x14ac:dyDescent="0.2">
      <c r="A2912" s="2861" t="s">
        <v>2684</v>
      </c>
      <c r="B2912" t="e">
        <f>B2911*B509</f>
        <v>#VALUE!</v>
      </c>
    </row>
    <row r="2913" spans="1:2" x14ac:dyDescent="0.2">
      <c r="A2913" s="2861" t="s">
        <v>975</v>
      </c>
    </row>
    <row r="2914" spans="1:2" x14ac:dyDescent="0.2">
      <c r="A2914" s="2861" t="s">
        <v>2680</v>
      </c>
    </row>
    <row r="2915" spans="1:2" x14ac:dyDescent="0.2">
      <c r="A2915" s="2861" t="s">
        <v>2681</v>
      </c>
      <c r="B2915" t="e">
        <f>B2890*B2883*0.98*(B2886+1)^1.18*B2885^0.26+B2896*B2883*0.98*(B2886-1)^1.18*B2885^0.26</f>
        <v>#VALUE!</v>
      </c>
    </row>
    <row r="2916" spans="1:2" x14ac:dyDescent="0.2">
      <c r="A2916" s="2861" t="s">
        <v>2682</v>
      </c>
      <c r="B2916" t="e">
        <f>B2890*B2883*0.98*(B2886-1)^1.18*B2885^0.26+B2896*B2883*0.98*(B2886+1)^1.18*B2885^0.26</f>
        <v>#VALUE!</v>
      </c>
    </row>
    <row r="2917" spans="1:2" x14ac:dyDescent="0.2">
      <c r="A2917" s="2861" t="s">
        <v>2683</v>
      </c>
    </row>
    <row r="2918" spans="1:2" x14ac:dyDescent="0.2">
      <c r="A2918" s="2861" t="s">
        <v>2681</v>
      </c>
      <c r="B2918" t="e">
        <f>B2896*B2883*0.98*(B2881+1)^1.18*B2885^0.26</f>
        <v>#VALUE!</v>
      </c>
    </row>
    <row r="2919" spans="1:2" x14ac:dyDescent="0.2">
      <c r="A2919" s="2861" t="s">
        <v>2682</v>
      </c>
      <c r="B2919" t="e">
        <f>B2890*B2883*0.98*(B2886)^1.18*B2885^0.26+B2896*B2883*0.98*(B2886-1)^1.18*B2885^0.26</f>
        <v>#VALUE!</v>
      </c>
    </row>
    <row r="2920" spans="1:2" x14ac:dyDescent="0.2">
      <c r="A2920" s="2861" t="s">
        <v>3562</v>
      </c>
      <c r="B2920" t="e">
        <f>(IF(AND($B$316=1,$B$744=1),B2918,IF(AND($B$316=1,$B$744=2),B2919,IF(AND($B$316=2,$B$744=1),B2915,IF(AND($B$316=2,$B$744=2),B2916)))))*0</f>
        <v>#VALUE!</v>
      </c>
    </row>
    <row r="2921" spans="1:2" x14ac:dyDescent="0.2">
      <c r="A2921" s="2861" t="s">
        <v>3528</v>
      </c>
      <c r="B2921" t="e">
        <f>B2920/B819</f>
        <v>#VALUE!</v>
      </c>
    </row>
    <row r="2922" spans="1:2" x14ac:dyDescent="0.2">
      <c r="A2922" s="2861" t="s">
        <v>2684</v>
      </c>
      <c r="B2922" t="e">
        <f>B2921*B768</f>
        <v>#VALUE!</v>
      </c>
    </row>
    <row r="2923" spans="1:2" x14ac:dyDescent="0.2">
      <c r="A2923" s="2861" t="s">
        <v>976</v>
      </c>
    </row>
    <row r="2924" spans="1:2" x14ac:dyDescent="0.2">
      <c r="A2924" s="2861" t="s">
        <v>2680</v>
      </c>
      <c r="B2924" t="e">
        <f>B2891*$B$636*B2885*B2886</f>
        <v>#VALUE!</v>
      </c>
    </row>
    <row r="2925" spans="1:2" x14ac:dyDescent="0.2">
      <c r="A2925" s="2861" t="s">
        <v>2683</v>
      </c>
      <c r="B2925" t="e">
        <f>B2891*$B$636*B2885*B2886</f>
        <v>#VALUE!</v>
      </c>
    </row>
    <row r="2926" spans="1:2" x14ac:dyDescent="0.2">
      <c r="A2926" s="2861" t="s">
        <v>3562</v>
      </c>
      <c r="B2926" t="e">
        <f>IF(B316=1,B2925,B2924)*(B512+B513)</f>
        <v>#VALUE!</v>
      </c>
    </row>
    <row r="2927" spans="1:2" x14ac:dyDescent="0.2">
      <c r="A2927" s="2861" t="s">
        <v>3528</v>
      </c>
      <c r="B2927" t="e">
        <f>B2926/B819</f>
        <v>#VALUE!</v>
      </c>
    </row>
    <row r="2928" spans="1:2" x14ac:dyDescent="0.2">
      <c r="A2928" s="2861" t="s">
        <v>2684</v>
      </c>
      <c r="B2928" t="e">
        <f>B2927*B769</f>
        <v>#VALUE!</v>
      </c>
    </row>
    <row r="2929" spans="1:2" x14ac:dyDescent="0.2">
      <c r="A2929" s="2861" t="s">
        <v>977</v>
      </c>
    </row>
    <row r="2930" spans="1:2" x14ac:dyDescent="0.2">
      <c r="A2930" s="2861" t="s">
        <v>2680</v>
      </c>
      <c r="B2930" t="e">
        <f>B2892*$B$636*B2885*B2886</f>
        <v>#VALUE!</v>
      </c>
    </row>
    <row r="2931" spans="1:2" x14ac:dyDescent="0.2">
      <c r="A2931" s="2861" t="s">
        <v>2683</v>
      </c>
      <c r="B2931" t="e">
        <f>B2898*$B$636*B2885*B2886</f>
        <v>#VALUE!</v>
      </c>
    </row>
    <row r="2932" spans="1:2" x14ac:dyDescent="0.2">
      <c r="A2932" s="2861" t="s">
        <v>3562</v>
      </c>
      <c r="B2932" t="e">
        <f>IF(B316=1,B2931,B2930)*B514</f>
        <v>#VALUE!</v>
      </c>
    </row>
    <row r="2933" spans="1:2" x14ac:dyDescent="0.2">
      <c r="A2933" s="2861" t="s">
        <v>3528</v>
      </c>
      <c r="B2933" t="e">
        <f>B2932/B819</f>
        <v>#VALUE!</v>
      </c>
    </row>
    <row r="2934" spans="1:2" x14ac:dyDescent="0.2">
      <c r="A2934" s="2861" t="s">
        <v>2684</v>
      </c>
      <c r="B2934" t="e">
        <f>B2933*B511</f>
        <v>#VALUE!</v>
      </c>
    </row>
    <row r="2935" spans="1:2" ht="25.5" x14ac:dyDescent="0.2">
      <c r="A2935" s="2861" t="s">
        <v>3535</v>
      </c>
      <c r="B2935" t="e">
        <f>SUM(B2902,B2912,B2922,B2928,B2934)</f>
        <v>#VALUE!</v>
      </c>
    </row>
    <row r="2936" spans="1:2" x14ac:dyDescent="0.2">
      <c r="A2936" s="2861"/>
    </row>
    <row r="2937" spans="1:2" x14ac:dyDescent="0.2">
      <c r="A2937" s="2861" t="s">
        <v>2685</v>
      </c>
    </row>
    <row r="2938" spans="1:2" x14ac:dyDescent="0.2">
      <c r="A2938" s="2861" t="s">
        <v>2686</v>
      </c>
    </row>
    <row r="2939" spans="1:2" ht="25.5" x14ac:dyDescent="0.2">
      <c r="A2939" s="2861" t="s">
        <v>2687</v>
      </c>
    </row>
    <row r="2940" spans="1:2" x14ac:dyDescent="0.2">
      <c r="A2940" s="2861" t="s">
        <v>2688</v>
      </c>
    </row>
    <row r="2941" spans="1:2" x14ac:dyDescent="0.2">
      <c r="A2941" s="2861"/>
    </row>
    <row r="2942" spans="1:2" x14ac:dyDescent="0.2">
      <c r="A2942" s="2861" t="s">
        <v>2689</v>
      </c>
      <c r="B2942" s="352">
        <f>$B$636</f>
        <v>900</v>
      </c>
    </row>
    <row r="2943" spans="1:2" x14ac:dyDescent="0.2">
      <c r="A2943" s="2861" t="s">
        <v>3536</v>
      </c>
      <c r="B2943">
        <f>$B$387*0.7</f>
        <v>525</v>
      </c>
    </row>
    <row r="2944" spans="1:2" x14ac:dyDescent="0.2">
      <c r="A2944" s="2861" t="s">
        <v>2690</v>
      </c>
      <c r="B2944">
        <f>B2942</f>
        <v>900</v>
      </c>
    </row>
    <row r="2945" spans="1:2" ht="25.5" x14ac:dyDescent="0.2">
      <c r="A2945" s="2861" t="s">
        <v>2691</v>
      </c>
      <c r="B2945" t="e">
        <f>B2759</f>
        <v>#VALUE!</v>
      </c>
    </row>
    <row r="2946" spans="1:2" x14ac:dyDescent="0.2">
      <c r="A2946" s="2861" t="s">
        <v>2692</v>
      </c>
      <c r="B2946" t="e">
        <f>B816</f>
        <v>#VALUE!</v>
      </c>
    </row>
    <row r="2947" spans="1:2" x14ac:dyDescent="0.2">
      <c r="A2947" s="2861" t="s">
        <v>2693</v>
      </c>
      <c r="B2947" t="e">
        <f>B819</f>
        <v>#VALUE!</v>
      </c>
    </row>
    <row r="2948" spans="1:2" x14ac:dyDescent="0.2">
      <c r="A2948" s="2861" t="s">
        <v>1924</v>
      </c>
      <c r="B2948" t="e">
        <f>B3078/$B$390</f>
        <v>#VALUE!</v>
      </c>
    </row>
    <row r="2949" spans="1:2" x14ac:dyDescent="0.2">
      <c r="A2949" s="2861" t="s">
        <v>1925</v>
      </c>
      <c r="B2949" t="e">
        <f>B3087</f>
        <v>#VALUE!</v>
      </c>
    </row>
    <row r="2950" spans="1:2" x14ac:dyDescent="0.2">
      <c r="A2950" s="2768" t="s">
        <v>56</v>
      </c>
    </row>
    <row r="2951" spans="1:2" x14ac:dyDescent="0.2">
      <c r="A2951" s="2768" t="s">
        <v>1926</v>
      </c>
    </row>
    <row r="2952" spans="1:2" x14ac:dyDescent="0.2">
      <c r="A2952" s="2768" t="s">
        <v>2694</v>
      </c>
    </row>
    <row r="2953" spans="1:2" x14ac:dyDescent="0.2">
      <c r="A2953" s="2768" t="s">
        <v>1928</v>
      </c>
      <c r="B2953" t="e">
        <f>(((3216/B2949)+2)*((0.38/B2946)+0.62))</f>
        <v>#VALUE!</v>
      </c>
    </row>
    <row r="2954" spans="1:2" x14ac:dyDescent="0.2">
      <c r="A2954" s="2768" t="s">
        <v>1929</v>
      </c>
      <c r="B2954" t="e">
        <f>((8.91/B2949)+0.0021)*((0.19/B2946)+0.81)</f>
        <v>#VALUE!</v>
      </c>
    </row>
    <row r="2955" spans="1:2" x14ac:dyDescent="0.2">
      <c r="A2955" s="2768" t="s">
        <v>1930</v>
      </c>
      <c r="B2955">
        <f>(0.05*(B741/500)+0.95)*(0.08*(B2943/100)+0.92)*(0.28*(B404/0.4)+0.72)*(0.64*B410+0.36)*(0.38*(B409/100)+0.62)</f>
        <v>5.2502756544000011</v>
      </c>
    </row>
    <row r="2956" spans="1:2" x14ac:dyDescent="0.2">
      <c r="A2956" s="2768" t="s">
        <v>1931</v>
      </c>
      <c r="B2956">
        <f>(1.2-0.2*(B741/500))*(0.13*(B406/0.5)+0.87)*(0.62+0.38*(B405/1.6))*(0.1*(B2603/100)+0.9)*(0.075*(B404/0.4)+0.925)*(0.02*B742+0.98)</f>
        <v>4.1284059180000003</v>
      </c>
    </row>
    <row r="2957" spans="1:2" x14ac:dyDescent="0.2">
      <c r="A2957" s="2768" t="s">
        <v>1932</v>
      </c>
      <c r="B2957" t="e">
        <f>(B2953*B2955+B2954*B2956*B2944/2)*B2946</f>
        <v>#VALUE!</v>
      </c>
    </row>
    <row r="2958" spans="1:2" x14ac:dyDescent="0.2">
      <c r="A2958" s="2768" t="s">
        <v>1933</v>
      </c>
      <c r="B2958" t="e">
        <f>B2957/B2946</f>
        <v>#VALUE!</v>
      </c>
    </row>
    <row r="2959" spans="1:2" ht="25.5" x14ac:dyDescent="0.2">
      <c r="A2959" s="2768" t="s">
        <v>2695</v>
      </c>
    </row>
    <row r="2960" spans="1:2" x14ac:dyDescent="0.2">
      <c r="A2960" s="2768" t="s">
        <v>1928</v>
      </c>
      <c r="B2960" t="e">
        <f>(((3233/B2949)+3.6)*((0.53/B2946)+0.47))</f>
        <v>#VALUE!</v>
      </c>
    </row>
    <row r="2961" spans="1:2" x14ac:dyDescent="0.2">
      <c r="A2961" s="2768" t="s">
        <v>1929</v>
      </c>
      <c r="B2961" t="e">
        <f>((8.82/B2949)+0.0026)*((0.23/B2946)+0.77)</f>
        <v>#VALUE!</v>
      </c>
    </row>
    <row r="2962" spans="1:2" x14ac:dyDescent="0.2">
      <c r="A2962" s="2768" t="s">
        <v>1930</v>
      </c>
      <c r="B2962">
        <f>(0.04*(B741/500)+0.96)*(0.03*(B406/0.5)+0.97)*(0.09*(B2943/100)+0.91)*(0.2*(B404/0.4)+0.8)*(0.39*B410+0.61)*(0.3*(B409/100)+0.7)*(0.29*(B413/0.75)+0.71)*(0.22*(B415/100)+0.96)</f>
        <v>4.4057019634992001</v>
      </c>
    </row>
    <row r="2963" spans="1:2" x14ac:dyDescent="0.2">
      <c r="A2963" s="2768" t="s">
        <v>1931</v>
      </c>
      <c r="B2963">
        <f>(1.35-0.35*(B741/500))*(0.12*(B406/0.5)+0.88)*(0.63+0.37*(B405/1.6))*(0.1*(B2943/100)+0.9)*(0.07*(B404/0.4)+0.93)*(0.02*B742+0.98)*(0.06*(B414/20)+0.94)*(0.04*(B415/100)+0.96)</f>
        <v>3.1242285285120004</v>
      </c>
    </row>
    <row r="2964" spans="1:2" x14ac:dyDescent="0.2">
      <c r="A2964" s="2768" t="s">
        <v>1932</v>
      </c>
      <c r="B2964" t="e">
        <f>(B2960*B2962+B2961*B2963*B2944/2)*B2946</f>
        <v>#VALUE!</v>
      </c>
    </row>
    <row r="2965" spans="1:2" x14ac:dyDescent="0.2">
      <c r="A2965" s="2768" t="s">
        <v>1933</v>
      </c>
      <c r="B2965" t="e">
        <f>B2964/B2946</f>
        <v>#VALUE!</v>
      </c>
    </row>
    <row r="2966" spans="1:2" ht="25.5" x14ac:dyDescent="0.2">
      <c r="A2966" s="2768" t="s">
        <v>2696</v>
      </c>
    </row>
    <row r="2967" spans="1:2" x14ac:dyDescent="0.2">
      <c r="A2967" s="2768" t="s">
        <v>1928</v>
      </c>
      <c r="B2967" t="e">
        <f>(((3023/B2949)+3.11)*((0.51/B2946)+0.49))</f>
        <v>#VALUE!</v>
      </c>
    </row>
    <row r="2968" spans="1:2" x14ac:dyDescent="0.2">
      <c r="A2968" s="2768" t="s">
        <v>1929</v>
      </c>
      <c r="B2968" t="e">
        <f>((8.88/B2949)+0.0032)*((0.26/B2946)+0.74)</f>
        <v>#VALUE!</v>
      </c>
    </row>
    <row r="2969" spans="1:2" x14ac:dyDescent="0.2">
      <c r="A2969" s="2768" t="s">
        <v>1930</v>
      </c>
      <c r="B2969">
        <f>(0.04*(B741/500)+0.96)*(0.034*(B406/0.5)+0.966)*(0.1*(B2943/100)+0.9)*(0.21*(B404/0.4)+0.79)*(0.65*(B413/0.75)+0.36)*(0.49*(B415/100)+0.51)</f>
        <v>2.2914793430880005</v>
      </c>
    </row>
    <row r="2970" spans="1:2" x14ac:dyDescent="0.2">
      <c r="A2970" s="2768" t="s">
        <v>1931</v>
      </c>
      <c r="B2970">
        <f>(1.36-0.36*(B741/500))*(0.11*(B406/0.5)+0.89)*(0.66+0.34*(B405/1.6))*(0.1*(B2943/100)+0.9)*(0.07*(B404/0.4)+0.93)*(0.65*(B413/0.75)+0.36)*(0.07*(B415/100)+0.93)*(0.02*B742+0.98)</f>
        <v>2.8695393269544969</v>
      </c>
    </row>
    <row r="2971" spans="1:2" x14ac:dyDescent="0.2">
      <c r="A2971" s="2768" t="s">
        <v>1932</v>
      </c>
      <c r="B2971" t="e">
        <f>(B2967*B2969+B2968*B2970*B2944/2)*B2946</f>
        <v>#VALUE!</v>
      </c>
    </row>
    <row r="2972" spans="1:2" x14ac:dyDescent="0.2">
      <c r="A2972" s="2768" t="s">
        <v>1933</v>
      </c>
      <c r="B2972" t="e">
        <f>B2971/B2946</f>
        <v>#VALUE!</v>
      </c>
    </row>
    <row r="2973" spans="1:2" x14ac:dyDescent="0.2">
      <c r="A2973" s="2768" t="s">
        <v>2697</v>
      </c>
      <c r="B2973">
        <f>IF($B$50=1,B2958,IF($B$50=2,B2965,IF($B$50=3,B2972,0)))</f>
        <v>0</v>
      </c>
    </row>
    <row r="2974" spans="1:2" ht="38.25" x14ac:dyDescent="0.2">
      <c r="A2974" s="2768" t="s">
        <v>952</v>
      </c>
    </row>
    <row r="2975" spans="1:2" x14ac:dyDescent="0.2">
      <c r="A2975" s="2768" t="s">
        <v>2698</v>
      </c>
    </row>
    <row r="2976" spans="1:2" ht="25.5" x14ac:dyDescent="0.2">
      <c r="A2976" s="2768" t="s">
        <v>2699</v>
      </c>
    </row>
    <row r="2977" spans="1:2" ht="25.5" x14ac:dyDescent="0.2">
      <c r="A2977" s="2768" t="s">
        <v>175</v>
      </c>
    </row>
    <row r="2978" spans="1:2" x14ac:dyDescent="0.2">
      <c r="A2978" s="2768"/>
    </row>
    <row r="2979" spans="1:2" x14ac:dyDescent="0.2">
      <c r="A2979" s="2768" t="s">
        <v>176</v>
      </c>
      <c r="B2979" t="e">
        <f>B2881</f>
        <v>#VALUE!</v>
      </c>
    </row>
    <row r="2980" spans="1:2" x14ac:dyDescent="0.2">
      <c r="A2980" s="2768" t="s">
        <v>953</v>
      </c>
      <c r="B2980" t="e">
        <f>B2877</f>
        <v>#VALUE!</v>
      </c>
    </row>
    <row r="2981" spans="1:2" x14ac:dyDescent="0.2">
      <c r="A2981" s="2768" t="s">
        <v>1948</v>
      </c>
      <c r="B2981" t="e">
        <f>B2980/2</f>
        <v>#VALUE!</v>
      </c>
    </row>
    <row r="2982" spans="1:2" x14ac:dyDescent="0.2">
      <c r="A2982" s="2768" t="s">
        <v>3198</v>
      </c>
      <c r="B2982" t="e">
        <f>B2980*$B$589</f>
        <v>#VALUE!</v>
      </c>
    </row>
    <row r="2983" spans="1:2" x14ac:dyDescent="0.2">
      <c r="A2983" s="2768"/>
    </row>
    <row r="2984" spans="1:2" x14ac:dyDescent="0.2">
      <c r="A2984" s="2768" t="s">
        <v>947</v>
      </c>
      <c r="B2984" t="e">
        <f>((192/(B2981)+0.094)*(0.33/(B819/2)+0.67))</f>
        <v>#VALUE!</v>
      </c>
    </row>
    <row r="2985" spans="1:2" x14ac:dyDescent="0.2">
      <c r="A2985" s="2768" t="s">
        <v>3199</v>
      </c>
      <c r="B2985" t="e">
        <f>(5.81/(B2981)+0.002)*(0.25/(B819/2)+0.75)</f>
        <v>#VALUE!</v>
      </c>
    </row>
    <row r="2986" spans="1:2" x14ac:dyDescent="0.2">
      <c r="A2986" s="2768" t="s">
        <v>1930</v>
      </c>
      <c r="B2986">
        <f>(0.39*(B2943/100)+0.61)*(0.4*($B$406/0.5) + 0.6)*1.17</f>
        <v>6.8404049999999996</v>
      </c>
    </row>
    <row r="2987" spans="1:2" x14ac:dyDescent="0.2">
      <c r="A2987" s="2768" t="s">
        <v>1931</v>
      </c>
      <c r="B2987">
        <f>(0.03*$B$765 + 0.98)*(0.08*(B375/600) + 0.92)*(0.14*(B2943/100) + 0.86)*(0.11*($B$404/0.45) + 0.89)*(0.54*($B$405/1.6) + 0.46)*(0.17*($B$406/0.5) + 0.83)*1.17</f>
        <v>9.4624857231905022</v>
      </c>
    </row>
    <row r="2988" spans="1:2" x14ac:dyDescent="0.2">
      <c r="A2988" s="2768" t="s">
        <v>949</v>
      </c>
      <c r="B2988" t="e">
        <f>B2984*B2986</f>
        <v>#VALUE!</v>
      </c>
    </row>
    <row r="2989" spans="1:2" x14ac:dyDescent="0.2">
      <c r="A2989" s="2768" t="s">
        <v>3200</v>
      </c>
      <c r="B2989" t="e">
        <f>B2985*B2987</f>
        <v>#VALUE!</v>
      </c>
    </row>
    <row r="2990" spans="1:2" x14ac:dyDescent="0.2">
      <c r="A2990" s="2768" t="s">
        <v>177</v>
      </c>
      <c r="B2990" t="e">
        <f>B2979/2</f>
        <v>#VALUE!</v>
      </c>
    </row>
    <row r="2991" spans="1:2" x14ac:dyDescent="0.2">
      <c r="A2991" s="2768" t="s">
        <v>178</v>
      </c>
      <c r="B2991" t="e">
        <f>B2990*B2758</f>
        <v>#VALUE!</v>
      </c>
    </row>
    <row r="2992" spans="1:2" x14ac:dyDescent="0.2">
      <c r="A2992" s="2768" t="s">
        <v>179</v>
      </c>
      <c r="B2992" t="e">
        <f>ROUND((B2945/2)/B2990,0)</f>
        <v>#VALUE!</v>
      </c>
    </row>
    <row r="2993" spans="1:2" x14ac:dyDescent="0.2">
      <c r="A2993" s="2768" t="s">
        <v>862</v>
      </c>
      <c r="B2993" t="e">
        <f>B2946*B2990</f>
        <v>#VALUE!</v>
      </c>
    </row>
    <row r="2994" spans="1:2" x14ac:dyDescent="0.2">
      <c r="A2994" s="2768" t="s">
        <v>863</v>
      </c>
      <c r="B2994" t="e">
        <f>(B2992*B2988+(B2992*(B2992+1)/2)*B2991*B2989)*2*B2993</f>
        <v>#VALUE!</v>
      </c>
    </row>
    <row r="2995" spans="1:2" ht="25.5" x14ac:dyDescent="0.2">
      <c r="A2995" s="2768" t="s">
        <v>3543</v>
      </c>
      <c r="B2995" t="e">
        <f>B2994/B819</f>
        <v>#VALUE!</v>
      </c>
    </row>
    <row r="2996" spans="1:2" x14ac:dyDescent="0.2">
      <c r="A2996" s="2768" t="s">
        <v>864</v>
      </c>
    </row>
    <row r="2997" spans="1:2" x14ac:dyDescent="0.2">
      <c r="A2997" s="2768" t="s">
        <v>947</v>
      </c>
      <c r="B2997" t="e">
        <f>(192/B2982+0.094)*(0.33/B2690+0.67)</f>
        <v>#VALUE!</v>
      </c>
    </row>
    <row r="2998" spans="1:2" x14ac:dyDescent="0.2">
      <c r="A2998" s="2768" t="s">
        <v>3199</v>
      </c>
      <c r="B2998" t="e">
        <f>(5.81/B2980+0.002)*(0.25/B2947+0.75)</f>
        <v>#VALUE!</v>
      </c>
    </row>
    <row r="2999" spans="1:2" x14ac:dyDescent="0.2">
      <c r="A2999" s="2768" t="s">
        <v>1930</v>
      </c>
      <c r="B2999">
        <f>B2986</f>
        <v>6.8404049999999996</v>
      </c>
    </row>
    <row r="3000" spans="1:2" x14ac:dyDescent="0.2">
      <c r="A3000" s="217" t="s">
        <v>1931</v>
      </c>
      <c r="B3000">
        <f>B2987</f>
        <v>9.4624857231905022</v>
      </c>
    </row>
    <row r="3001" spans="1:2" x14ac:dyDescent="0.2">
      <c r="A3001" s="217" t="s">
        <v>949</v>
      </c>
      <c r="B3001" t="e">
        <f>B2997*B2999</f>
        <v>#VALUE!</v>
      </c>
    </row>
    <row r="3002" spans="1:2" x14ac:dyDescent="0.2">
      <c r="A3002" s="217" t="s">
        <v>3200</v>
      </c>
      <c r="B3002" t="e">
        <f>B2998*B3000</f>
        <v>#VALUE!</v>
      </c>
    </row>
    <row r="3003" spans="1:2" x14ac:dyDescent="0.2">
      <c r="A3003" s="217" t="s">
        <v>3563</v>
      </c>
      <c r="B3003" t="e">
        <f>B3001+B3002*$B$633</f>
        <v>#VALUE!</v>
      </c>
    </row>
    <row r="3004" spans="1:2" x14ac:dyDescent="0.2">
      <c r="A3004" s="217" t="s">
        <v>3564</v>
      </c>
      <c r="B3004" t="e">
        <f>B2995+B3003</f>
        <v>#VALUE!</v>
      </c>
    </row>
    <row r="3005" spans="1:2" x14ac:dyDescent="0.2">
      <c r="A3005" s="217"/>
    </row>
    <row r="3006" spans="1:2" ht="25.5" x14ac:dyDescent="0.2">
      <c r="A3006" s="217" t="s">
        <v>865</v>
      </c>
    </row>
    <row r="3007" spans="1:2" x14ac:dyDescent="0.2">
      <c r="A3007" s="217" t="s">
        <v>947</v>
      </c>
      <c r="B3007" t="e">
        <f>(5218/(B2982*($B$372/100)+2.78)*(0.17/(B2947*$B$372/100)+0.83))</f>
        <v>#VALUE!</v>
      </c>
    </row>
    <row r="3008" spans="1:2" x14ac:dyDescent="0.2">
      <c r="A3008" s="217" t="s">
        <v>3199</v>
      </c>
      <c r="B3008" t="e">
        <f>(-0.745/(B2982*$B$372/100)+0.0015)*(0.11/(B2947*$B$2979*100)+0.89)</f>
        <v>#VALUE!</v>
      </c>
    </row>
    <row r="3009" spans="1:2" x14ac:dyDescent="0.2">
      <c r="A3009" s="217" t="s">
        <v>1930</v>
      </c>
      <c r="B3009">
        <f>(0.35*(B416/0.5) + 0.65)*(0.37*(B2943/100) + 0.63)*(0.011*(B404/0.4) + 0.989)*(0.15*(B408/50) + 0.85)*1.004*1.13*0.98*1.17</f>
        <v>7.8816849512129146</v>
      </c>
    </row>
    <row r="3010" spans="1:2" x14ac:dyDescent="0.2">
      <c r="A3010" s="217" t="s">
        <v>1931</v>
      </c>
      <c r="B3010">
        <f>(0.59*(B416/0.5) + 0.41)*(0.3*(B2943/100) + 0.7)*1.004*1.13*0.98*1.17</f>
        <v>9.9436257910079959</v>
      </c>
    </row>
    <row r="3011" spans="1:2" x14ac:dyDescent="0.2">
      <c r="A3011" s="217" t="s">
        <v>949</v>
      </c>
      <c r="B3011" t="e">
        <f>B3007*B3009</f>
        <v>#VALUE!</v>
      </c>
    </row>
    <row r="3012" spans="1:2" x14ac:dyDescent="0.2">
      <c r="A3012" s="217" t="s">
        <v>3200</v>
      </c>
      <c r="B3012" t="e">
        <f>B3008*B3010</f>
        <v>#VALUE!</v>
      </c>
    </row>
    <row r="3013" spans="1:2" x14ac:dyDescent="0.2">
      <c r="A3013" s="217" t="s">
        <v>866</v>
      </c>
      <c r="B3013" t="e">
        <f>(B3011+B3012*B2992*((B2992+1)/2)*($B$633+B2991))*(B2993*$B$372/100)*2</f>
        <v>#VALUE!</v>
      </c>
    </row>
    <row r="3014" spans="1:2" x14ac:dyDescent="0.2">
      <c r="A3014" s="217" t="s">
        <v>3545</v>
      </c>
      <c r="B3014" t="e">
        <f>B3013/B2947</f>
        <v>#VALUE!</v>
      </c>
    </row>
    <row r="3015" spans="1:2" x14ac:dyDescent="0.2">
      <c r="A3015" s="217" t="s">
        <v>3546</v>
      </c>
      <c r="B3015" t="e">
        <f>B3014+B2995</f>
        <v>#VALUE!</v>
      </c>
    </row>
    <row r="3016" spans="1:2" ht="25.5" x14ac:dyDescent="0.2">
      <c r="A3016" s="217" t="s">
        <v>246</v>
      </c>
    </row>
    <row r="3017" spans="1:2" x14ac:dyDescent="0.2">
      <c r="A3017" s="217" t="s">
        <v>247</v>
      </c>
      <c r="B3017" t="e">
        <f>(5218/(B2982*(1+$B$372/100)+2.78)*(0.17/(B2947*(1+$B$372/100))+0.83))</f>
        <v>#VALUE!</v>
      </c>
    </row>
    <row r="3018" spans="1:2" x14ac:dyDescent="0.2">
      <c r="A3018" s="217" t="s">
        <v>3199</v>
      </c>
      <c r="B3018" t="e">
        <f>(0.0015-0.745/(B2982*(1+$B$372/100))*(0.11/(B2947*(1+$B$372/100))+0.89))</f>
        <v>#VALUE!</v>
      </c>
    </row>
    <row r="3019" spans="1:2" x14ac:dyDescent="0.2">
      <c r="A3019" s="217" t="s">
        <v>1930</v>
      </c>
      <c r="B3019">
        <f>(0.35*(B416/0.5) + 0.65)*(0.37*(B2943/100) + 0.63)*(0.011*(B404/0.4) + 0.989)*(0.15*(B408/50) + 0.85)*1.004*1.13*0.98*1.17</f>
        <v>7.8816849512129146</v>
      </c>
    </row>
    <row r="3020" spans="1:2" x14ac:dyDescent="0.2">
      <c r="A3020" s="217" t="s">
        <v>1931</v>
      </c>
      <c r="B3020">
        <f>(0.59*(B416/0.5) + 0.41)*(0.3*(B2943/100) + 0.7)*1.004*1.13*0.98*1.17</f>
        <v>9.9436257910079959</v>
      </c>
    </row>
    <row r="3021" spans="1:2" x14ac:dyDescent="0.2">
      <c r="A3021" s="217" t="s">
        <v>949</v>
      </c>
      <c r="B3021" t="e">
        <f>B3017*B3019</f>
        <v>#VALUE!</v>
      </c>
    </row>
    <row r="3022" spans="1:2" x14ac:dyDescent="0.2">
      <c r="A3022" s="217" t="s">
        <v>950</v>
      </c>
      <c r="B3022" t="e">
        <f>B3018*B3020</f>
        <v>#VALUE!</v>
      </c>
    </row>
    <row r="3023" spans="1:2" x14ac:dyDescent="0.2">
      <c r="A3023" s="217" t="s">
        <v>3565</v>
      </c>
      <c r="B3023" t="e">
        <f>(B3021+(B3022*B2992*(B2992+1)/2*(B2991+$B$633))*B2993*(1+$B$372/100))*2</f>
        <v>#VALUE!</v>
      </c>
    </row>
    <row r="3024" spans="1:2" ht="25.5" x14ac:dyDescent="0.2">
      <c r="A3024" s="217" t="s">
        <v>3547</v>
      </c>
      <c r="B3024" t="e">
        <f>B3023/(B2993*B2992*2)</f>
        <v>#VALUE!</v>
      </c>
    </row>
    <row r="3025" spans="1:2" ht="25.5" x14ac:dyDescent="0.2">
      <c r="A3025" s="217" t="s">
        <v>3548</v>
      </c>
      <c r="B3025" t="e">
        <f>IF(B313=1,B3015,B3024)</f>
        <v>#VALUE!</v>
      </c>
    </row>
    <row r="3026" spans="1:2" x14ac:dyDescent="0.2">
      <c r="A3026" s="217" t="s">
        <v>942</v>
      </c>
    </row>
    <row r="3027" spans="1:2" x14ac:dyDescent="0.2">
      <c r="A3027" s="217" t="s">
        <v>247</v>
      </c>
      <c r="B3027" t="e">
        <f>((192/(B2980)+0.094)*(0.33/(B2946*B2979)+0.67))</f>
        <v>#VALUE!</v>
      </c>
    </row>
    <row r="3028" spans="1:2" x14ac:dyDescent="0.2">
      <c r="A3028" s="217" t="s">
        <v>3199</v>
      </c>
      <c r="B3028" t="e">
        <f>(5.81/B2980+0.002)*(0.25/(B2946*B2979)+0.75)</f>
        <v>#VALUE!</v>
      </c>
    </row>
    <row r="3029" spans="1:2" x14ac:dyDescent="0.2">
      <c r="A3029" s="217" t="s">
        <v>1930</v>
      </c>
      <c r="B3029">
        <f>B2986</f>
        <v>6.8404049999999996</v>
      </c>
    </row>
    <row r="3030" spans="1:2" x14ac:dyDescent="0.2">
      <c r="A3030" s="217" t="s">
        <v>1931</v>
      </c>
      <c r="B3030">
        <f>B2987</f>
        <v>9.4624857231905022</v>
      </c>
    </row>
    <row r="3031" spans="1:2" x14ac:dyDescent="0.2">
      <c r="A3031" s="217" t="s">
        <v>249</v>
      </c>
      <c r="B3031" t="e">
        <f>B3027*B3029</f>
        <v>#VALUE!</v>
      </c>
    </row>
    <row r="3032" spans="1:2" x14ac:dyDescent="0.2">
      <c r="A3032" s="217" t="s">
        <v>950</v>
      </c>
      <c r="B3032" t="e">
        <f>B3028*B3030</f>
        <v>#VALUE!</v>
      </c>
    </row>
    <row r="3033" spans="1:2" x14ac:dyDescent="0.2">
      <c r="A3033" s="217" t="s">
        <v>3566</v>
      </c>
      <c r="B3033" t="e">
        <f>B3031+B3028*$B$636</f>
        <v>#VALUE!</v>
      </c>
    </row>
    <row r="3034" spans="1:2" x14ac:dyDescent="0.2">
      <c r="A3034" s="217" t="s">
        <v>2730</v>
      </c>
      <c r="B3034">
        <f>IF(B769=1,B3033,0)</f>
        <v>0</v>
      </c>
    </row>
    <row r="3035" spans="1:2" x14ac:dyDescent="0.2">
      <c r="A3035" s="217" t="s">
        <v>2731</v>
      </c>
    </row>
    <row r="3036" spans="1:2" x14ac:dyDescent="0.2">
      <c r="A3036" s="217" t="s">
        <v>247</v>
      </c>
      <c r="B3036" t="e">
        <f>(4231/B2877+0.75)*(0.15/(B2945*B2946)+0.85)</f>
        <v>#VALUE!</v>
      </c>
    </row>
    <row r="3037" spans="1:2" x14ac:dyDescent="0.2">
      <c r="A3037" s="217" t="s">
        <v>3199</v>
      </c>
      <c r="B3037" t="e">
        <f>1.3/B2877+0.0000006</f>
        <v>#VALUE!</v>
      </c>
    </row>
    <row r="3038" spans="1:2" x14ac:dyDescent="0.2">
      <c r="A3038" s="217" t="s">
        <v>1930</v>
      </c>
      <c r="B3038">
        <f>(0.61*($B$387*0.7/100)+0.39)*(0.2*($B$411/0.75)+0.8)*(0.15*($B$412/50)+0.85)*(0.19*($B$404/0.4)+0.81)*1.17</f>
        <v>9.5676609600000013</v>
      </c>
    </row>
    <row r="3039" spans="1:2" x14ac:dyDescent="0.2">
      <c r="A3039" s="217" t="s">
        <v>1931</v>
      </c>
      <c r="B3039">
        <f>1.17</f>
        <v>1.17</v>
      </c>
    </row>
    <row r="3040" spans="1:2" x14ac:dyDescent="0.2">
      <c r="A3040" s="217" t="s">
        <v>249</v>
      </c>
      <c r="B3040" t="e">
        <f>B3036*B3038</f>
        <v>#VALUE!</v>
      </c>
    </row>
    <row r="3041" spans="1:2" x14ac:dyDescent="0.2">
      <c r="A3041" s="217" t="s">
        <v>950</v>
      </c>
      <c r="B3041" t="e">
        <f>B3037*B3039</f>
        <v>#VALUE!</v>
      </c>
    </row>
    <row r="3042" spans="1:2" x14ac:dyDescent="0.2">
      <c r="A3042" s="217" t="s">
        <v>3545</v>
      </c>
      <c r="B3042" t="e">
        <f>B3040+B3041*B2942</f>
        <v>#VALUE!</v>
      </c>
    </row>
    <row r="3043" spans="1:2" ht="25.5" x14ac:dyDescent="0.2">
      <c r="A3043" s="217" t="s">
        <v>1187</v>
      </c>
    </row>
    <row r="3044" spans="1:2" x14ac:dyDescent="0.2">
      <c r="A3044" s="217" t="s">
        <v>247</v>
      </c>
      <c r="B3044" t="e">
        <f>IF(((0.153-127/B2877)*$B$595)/SIN(3.14*($B$586+1)/180)&lt;0,((0.153-127/B2877)*$B$595)/SIN(3.14*($B$586+1)/180)*-1,((0.153-127/B2877)*$B$595)/SIN(3.14*($B$586+1)/180))</f>
        <v>#VALUE!</v>
      </c>
    </row>
    <row r="3045" spans="1:2" x14ac:dyDescent="0.2">
      <c r="A3045" s="217" t="s">
        <v>3199</v>
      </c>
      <c r="B3045" t="e">
        <f>0.0016*$B$595+2.8/B2877</f>
        <v>#VALUE!</v>
      </c>
    </row>
    <row r="3046" spans="1:2" x14ac:dyDescent="0.2">
      <c r="A3046" s="217" t="s">
        <v>1930</v>
      </c>
      <c r="B3046">
        <f>(0.29*($B$387*0.7/100)+0.71)*(0.13*($B$404/0.4)+0.87)*1.17</f>
        <v>3.9702779999999995</v>
      </c>
    </row>
    <row r="3047" spans="1:2" x14ac:dyDescent="0.2">
      <c r="A3047" s="217" t="s">
        <v>1931</v>
      </c>
      <c r="B3047">
        <v>1.17</v>
      </c>
    </row>
    <row r="3048" spans="1:2" x14ac:dyDescent="0.2">
      <c r="A3048" s="217" t="s">
        <v>249</v>
      </c>
      <c r="B3048" t="e">
        <f>B3044*B3046</f>
        <v>#VALUE!</v>
      </c>
    </row>
    <row r="3049" spans="1:2" x14ac:dyDescent="0.2">
      <c r="A3049" s="217" t="s">
        <v>950</v>
      </c>
      <c r="B3049" t="e">
        <f>B3045*B3047</f>
        <v>#VALUE!</v>
      </c>
    </row>
    <row r="3050" spans="1:2" x14ac:dyDescent="0.2">
      <c r="A3050" s="217" t="s">
        <v>250</v>
      </c>
      <c r="B3050" t="e">
        <f>B3048+B3049*$B$636</f>
        <v>#VALUE!</v>
      </c>
    </row>
    <row r="3051" spans="1:2" x14ac:dyDescent="0.2">
      <c r="A3051" s="217"/>
    </row>
    <row r="3052" spans="1:2" ht="25.5" x14ac:dyDescent="0.2">
      <c r="A3052" s="217" t="s">
        <v>3567</v>
      </c>
      <c r="B3052" t="e">
        <f>B3025+B3034+B3042+B3050</f>
        <v>#VALUE!</v>
      </c>
    </row>
    <row r="3053" spans="1:2" x14ac:dyDescent="0.2">
      <c r="A3053" s="217"/>
    </row>
    <row r="3054" spans="1:2" ht="25.5" x14ac:dyDescent="0.2">
      <c r="A3054" s="217" t="s">
        <v>5002</v>
      </c>
    </row>
    <row r="3055" spans="1:2" x14ac:dyDescent="0.2">
      <c r="A3055" s="217" t="s">
        <v>5581</v>
      </c>
    </row>
    <row r="3056" spans="1:2" x14ac:dyDescent="0.2">
      <c r="A3056" s="217" t="s">
        <v>5003</v>
      </c>
      <c r="B3056" t="e">
        <f>(0.85*(B368/60)+0.15)*(0.12/(B367/2.5)+0.88)*(IF(B586&lt;13,1,1.02))*(0.08*((B600/10)/6)+0.92)*(0.4*B369-0.14*B369^2+0.74)*(0.37*(B387/100)+0.63)*(0.37*(B388/1.27)+0.63)*(0.1*(20/20)+0.9)*(0.15*(B389/36)+0.85)*(0.25*(B393/4.814)+0.75)*(IF(B596=1,1.02,1))</f>
        <v>#VALUE!</v>
      </c>
    </row>
    <row r="3057" spans="1:2" x14ac:dyDescent="0.2">
      <c r="A3057" s="217" t="s">
        <v>5004</v>
      </c>
      <c r="B3057" t="e">
        <f>(0.51*(B367/2.5)+0.49)*(IF(B586&lt;13,1,1.06))*(0.18/B369+0.82)*(0.39*($B$370/1.5)+0.61)*(0.1*(B371/2)+0.9)*(0.48*(B387/100)+0.52)*(0.49*(B388/1.27)+0.51)*(0.08*(20/20)+0.92)*(0.1*(B389/36)+0.9)*(0.18*((B403/1000)/1.7)+0.82)*(0.08*(B396/30)+0.92)*(0.26*(B400/70)+0.74)*(1.06-0.06*($B$584/1.2))*(IF(B592=0,1,1.04))*(IF(B596=0,1,1.07))</f>
        <v>#VALUE!</v>
      </c>
    </row>
    <row r="3058" spans="1:2" x14ac:dyDescent="0.2">
      <c r="A3058" s="217" t="s">
        <v>3568</v>
      </c>
      <c r="B3058" t="e">
        <f>(419.73*B366*B3057+1665.5*B3056)*1.17</f>
        <v>#VALUE!</v>
      </c>
    </row>
    <row r="3059" spans="1:2" x14ac:dyDescent="0.2">
      <c r="A3059" s="217" t="s">
        <v>5005</v>
      </c>
    </row>
    <row r="3060" spans="1:2" x14ac:dyDescent="0.2">
      <c r="A3060" s="217" t="s">
        <v>5003</v>
      </c>
      <c r="B3060">
        <f>(1.012/(B368/60)-0.012)*(0.08/(B367/2.5)+0.92)*(IF(B586&lt;13,1,1.0004))*(1.08-0.08/B369)*(0.22*(B387/100)+0.78)*(0.22*(B388/1.27)+0.78)*(0.07*(20/20)+0.93)*(0.12*(B389/36)+0.88)*(0.46*(B392/3.31)+0.54)</f>
        <v>0.83708532254353585</v>
      </c>
    </row>
    <row r="3061" spans="1:2" x14ac:dyDescent="0.2">
      <c r="A3061" s="217" t="s">
        <v>5004</v>
      </c>
      <c r="B3061">
        <f>(1.03-0.03/(B368/60))*(0.4*(B367/2.5)+0.6)*(IF(B586&lt;13,1,1.007))*(0.22/B369+0.78)*(0.47*(B370/1.5)+0.53)*(0.12*(B371/2)+0.88)*(0.3*(B387/100)+0.7)*(0.3*(B388/1.27)+0.7)*(0.05*(20/20)+0.95)*(0.08*(B389/36)+0.92)*(0.22*((B403/1000)/1.7)+0.78)*(0.09*(B396/30)+0.91)*(0.31*(B400/70)+0.69)*(IF(B592=0,1,1.012))*(IF(B596=0,1,1.01))</f>
        <v>7.5518623593429073</v>
      </c>
    </row>
    <row r="3062" spans="1:2" x14ac:dyDescent="0.2">
      <c r="A3062" s="217" t="s">
        <v>3569</v>
      </c>
      <c r="B3062">
        <f>(357.5*B366*B3061+2111.1*B3060)*1.17</f>
        <v>17861.366006344113</v>
      </c>
    </row>
    <row r="3063" spans="1:2" x14ac:dyDescent="0.2">
      <c r="A3063" s="217" t="s">
        <v>3570</v>
      </c>
      <c r="B3063" t="e">
        <f>IF(B47=1,B3062,B3058)</f>
        <v>#VALUE!</v>
      </c>
    </row>
    <row r="3064" spans="1:2" x14ac:dyDescent="0.2">
      <c r="A3064" s="217" t="s">
        <v>3571</v>
      </c>
      <c r="B3064" t="e">
        <f>B3063*$B$642</f>
        <v>#VALUE!</v>
      </c>
    </row>
    <row r="3065" spans="1:2" x14ac:dyDescent="0.2">
      <c r="A3065" s="217" t="s">
        <v>3572</v>
      </c>
      <c r="B3065" t="e">
        <f>B3064/B816</f>
        <v>#VALUE!</v>
      </c>
    </row>
    <row r="3066" spans="1:2" ht="25.5" x14ac:dyDescent="0.2">
      <c r="A3066" s="217" t="s">
        <v>377</v>
      </c>
      <c r="B3066">
        <f>$B$417</f>
        <v>20</v>
      </c>
    </row>
    <row r="3067" spans="1:2" x14ac:dyDescent="0.2">
      <c r="A3067" s="217" t="s">
        <v>3573</v>
      </c>
      <c r="B3067">
        <f>1000000*(IF($B$643=1,B418,IF($B$643=2,B420,IF(B643=3,B419,IF($B$643=4,B421)))))*B3066/100</f>
        <v>0</v>
      </c>
    </row>
    <row r="3068" spans="1:2" x14ac:dyDescent="0.2">
      <c r="A3068" s="217" t="s">
        <v>2795</v>
      </c>
      <c r="B3068" t="e">
        <f>B3067/B816</f>
        <v>#VALUE!</v>
      </c>
    </row>
    <row r="3069" spans="1:2" x14ac:dyDescent="0.2">
      <c r="A3069" s="217" t="s">
        <v>5307</v>
      </c>
    </row>
    <row r="3070" spans="1:2" x14ac:dyDescent="0.2">
      <c r="A3070" s="217"/>
    </row>
    <row r="3071" spans="1:2" x14ac:dyDescent="0.2">
      <c r="A3071" s="217" t="s">
        <v>5308</v>
      </c>
      <c r="B3071" t="e">
        <f>15*$B$599-$B$600</f>
        <v>#VALUE!</v>
      </c>
    </row>
    <row r="3072" spans="1:2" x14ac:dyDescent="0.2">
      <c r="A3072" s="217" t="s">
        <v>2796</v>
      </c>
      <c r="B3072">
        <f>B3074</f>
        <v>637.5</v>
      </c>
    </row>
    <row r="3073" spans="1:2" x14ac:dyDescent="0.2">
      <c r="A3073" s="217" t="s">
        <v>2797</v>
      </c>
      <c r="B3073">
        <f>B3074</f>
        <v>637.5</v>
      </c>
    </row>
    <row r="3074" spans="1:2" x14ac:dyDescent="0.2">
      <c r="A3074" s="217" t="s">
        <v>2798</v>
      </c>
      <c r="B3074">
        <f>B387*0.85</f>
        <v>637.5</v>
      </c>
    </row>
    <row r="3075" spans="1:2" x14ac:dyDescent="0.2">
      <c r="A3075" s="217" t="s">
        <v>5309</v>
      </c>
    </row>
    <row r="3076" spans="1:2" ht="25.5" x14ac:dyDescent="0.2">
      <c r="A3076" s="217" t="s">
        <v>346</v>
      </c>
      <c r="B3076">
        <v>2</v>
      </c>
    </row>
    <row r="3077" spans="1:2" x14ac:dyDescent="0.2">
      <c r="A3077" s="217" t="s">
        <v>5310</v>
      </c>
    </row>
    <row r="3078" spans="1:2" x14ac:dyDescent="0.2">
      <c r="A3078" s="217" t="s">
        <v>5311</v>
      </c>
      <c r="B3078" t="e">
        <f>B3089</f>
        <v>#VALUE!</v>
      </c>
    </row>
    <row r="3079" spans="1:2" x14ac:dyDescent="0.2">
      <c r="A3079" s="217" t="s">
        <v>4795</v>
      </c>
      <c r="B3079">
        <f>IF($B$635=1,0,$B$586)</f>
        <v>0</v>
      </c>
    </row>
    <row r="3080" spans="1:2" x14ac:dyDescent="0.2">
      <c r="A3080" s="217" t="s">
        <v>5312</v>
      </c>
    </row>
    <row r="3081" spans="1:2" x14ac:dyDescent="0.2">
      <c r="A3081" s="217" t="s">
        <v>5313</v>
      </c>
    </row>
    <row r="3082" spans="1:2" x14ac:dyDescent="0.2">
      <c r="A3082" s="217" t="s">
        <v>4174</v>
      </c>
      <c r="B3082" t="e">
        <f>#REF!</f>
        <v>#REF!</v>
      </c>
    </row>
    <row r="3083" spans="1:2" x14ac:dyDescent="0.2">
      <c r="A3083" s="217" t="s">
        <v>4175</v>
      </c>
      <c r="B3083" t="e">
        <f>#REF!</f>
        <v>#REF!</v>
      </c>
    </row>
    <row r="3084" spans="1:2" x14ac:dyDescent="0.2">
      <c r="A3084" s="217" t="s">
        <v>3240</v>
      </c>
      <c r="B3084" t="b">
        <f>IF(OR($B$643=1,$B$643=3),B3083,IF(OR($B$643=2,$B$643=4),B3082))</f>
        <v>0</v>
      </c>
    </row>
    <row r="3085" spans="1:2" x14ac:dyDescent="0.2">
      <c r="A3085" s="217" t="s">
        <v>3241</v>
      </c>
      <c r="B3085" t="e">
        <f>#REF!</f>
        <v>#REF!</v>
      </c>
    </row>
    <row r="3086" spans="1:2" x14ac:dyDescent="0.2">
      <c r="A3086" s="217" t="s">
        <v>3242</v>
      </c>
    </row>
    <row r="3087" spans="1:2" x14ac:dyDescent="0.2">
      <c r="A3087" s="217" t="s">
        <v>3243</v>
      </c>
      <c r="B3087" s="352" t="e">
        <f>kursovoy!B1102</f>
        <v>#VALUE!</v>
      </c>
    </row>
    <row r="3088" spans="1:2" x14ac:dyDescent="0.2">
      <c r="A3088" s="217" t="s">
        <v>3244</v>
      </c>
      <c r="B3088" t="b">
        <f>B3084</f>
        <v>0</v>
      </c>
    </row>
    <row r="3089" spans="1:7" x14ac:dyDescent="0.2">
      <c r="A3089" s="217" t="s">
        <v>3245</v>
      </c>
      <c r="B3089" t="e">
        <f>$B$390*B3087/(B584*B642*0.95*$B$590)</f>
        <v>#VALUE!</v>
      </c>
    </row>
    <row r="3090" spans="1:7" x14ac:dyDescent="0.2">
      <c r="A3090" s="217"/>
    </row>
    <row r="3091" spans="1:7" x14ac:dyDescent="0.2">
      <c r="A3091" s="217"/>
    </row>
    <row r="3092" spans="1:7" ht="25.5" x14ac:dyDescent="0.2">
      <c r="A3092" s="217" t="s">
        <v>3246</v>
      </c>
    </row>
    <row r="3093" spans="1:7" x14ac:dyDescent="0.2">
      <c r="A3093" s="217" t="s">
        <v>3247</v>
      </c>
    </row>
    <row r="3094" spans="1:7" x14ac:dyDescent="0.2">
      <c r="A3094" s="217"/>
    </row>
    <row r="3095" spans="1:7" x14ac:dyDescent="0.2">
      <c r="A3095" s="217" t="s">
        <v>3248</v>
      </c>
      <c r="B3095" s="2465" t="e">
        <f>вен!$I$344</f>
        <v>#VALUE!</v>
      </c>
    </row>
    <row r="3096" spans="1:7" x14ac:dyDescent="0.2">
      <c r="A3096" s="217" t="s">
        <v>1533</v>
      </c>
      <c r="B3096">
        <v>6</v>
      </c>
    </row>
    <row r="3097" spans="1:7" x14ac:dyDescent="0.2">
      <c r="A3097" s="217" t="s">
        <v>1534</v>
      </c>
      <c r="B3097">
        <f>$B$650</f>
        <v>0</v>
      </c>
    </row>
    <row r="3098" spans="1:7" x14ac:dyDescent="0.2">
      <c r="A3098" s="217" t="s">
        <v>1535</v>
      </c>
      <c r="B3098">
        <v>2600</v>
      </c>
    </row>
    <row r="3099" spans="1:7" x14ac:dyDescent="0.2">
      <c r="A3099" s="217" t="s">
        <v>4609</v>
      </c>
      <c r="B3099">
        <v>1000</v>
      </c>
      <c r="D3099" s="549"/>
      <c r="E3099" s="549"/>
      <c r="F3099" s="549"/>
      <c r="G3099" s="549"/>
    </row>
    <row r="3100" spans="1:7" x14ac:dyDescent="0.2">
      <c r="A3100" t="s">
        <v>2080</v>
      </c>
      <c r="B3100">
        <v>1400</v>
      </c>
    </row>
    <row r="3101" spans="1:7" x14ac:dyDescent="0.2">
      <c r="A3101" t="s">
        <v>2081</v>
      </c>
      <c r="B3101">
        <v>700</v>
      </c>
    </row>
    <row r="3102" spans="1:7" x14ac:dyDescent="0.2">
      <c r="A3102" t="s">
        <v>2082</v>
      </c>
      <c r="B3102">
        <f>IF(B3097=1,B651*1000,0)+B3099+B3101+B3100</f>
        <v>3100</v>
      </c>
    </row>
    <row r="3103" spans="1:7" x14ac:dyDescent="0.2">
      <c r="A3103" t="s">
        <v>2083</v>
      </c>
      <c r="B3103" t="e">
        <f>(B3095/60)/B3096</f>
        <v>#VALUE!</v>
      </c>
    </row>
    <row r="3104" spans="1:7" x14ac:dyDescent="0.2">
      <c r="A3104" t="s">
        <v>2084</v>
      </c>
      <c r="B3104" t="e">
        <f>IF(B3103&lt;=A3141,A3141,IF(B3103&lt;=A3142,A3142,IF(B3103&lt;=A3143,A3143,IF(B3103&lt;=$B$3144,A3143,IF(B3103&lt;=A3145,A3145,IF(B3103&lt;=A3146,A3146,IF(B3103&lt;=A3147,A3147,IF(B3103&lt;=A3148,A3148,B3105))))))))</f>
        <v>#VALUE!</v>
      </c>
    </row>
    <row r="3105" spans="1:2" x14ac:dyDescent="0.2">
      <c r="A3105" t="s">
        <v>2085</v>
      </c>
      <c r="B3105" t="e">
        <f>IF(B3103&lt;=A3149,A3149,IF(B3103&lt;=A3150,A3150))</f>
        <v>#VALUE!</v>
      </c>
    </row>
    <row r="3106" spans="1:2" x14ac:dyDescent="0.2">
      <c r="A3106" t="s">
        <v>2465</v>
      </c>
      <c r="B3106">
        <f>IF(B3102&lt;=B3141,A3141,IF(B3102&lt;=B3142,A3142,IF(B3102&lt;=B3143,A3143,IF(B3102&lt;=B3144,A3144,IF(B3102&lt;=B3145,A3145,IF(B3102&lt;=B3146,A3146,IF(B3102&lt;=B3147,A3147,IF(B3102&lt;=B3148,A3148,B3107))))))))</f>
        <v>8.9</v>
      </c>
    </row>
    <row r="3107" spans="1:2" x14ac:dyDescent="0.2">
      <c r="A3107" t="s">
        <v>2085</v>
      </c>
      <c r="B3107">
        <f>IF(B3102&lt;=B3149,A3149,IF(B3102&lt;=B3150,A3150))</f>
        <v>18</v>
      </c>
    </row>
    <row r="3108" spans="1:2" x14ac:dyDescent="0.2">
      <c r="A3108" t="s">
        <v>1604</v>
      </c>
      <c r="B3108" t="e">
        <f>IF(IF(B3104&gt;=B3106,B3104,B3106)&gt;6,IF(B3104&gt;=B3106,B3104,B3106),6)</f>
        <v>#VALUE!</v>
      </c>
    </row>
    <row r="3109" spans="1:2" x14ac:dyDescent="0.2">
      <c r="A3109" t="s">
        <v>1605</v>
      </c>
    </row>
    <row r="3110" spans="1:2" x14ac:dyDescent="0.2">
      <c r="A3110" t="s">
        <v>1606</v>
      </c>
      <c r="B3110">
        <f>INDEX(B3129:B3136,B3137)</f>
        <v>637.83410000000003</v>
      </c>
    </row>
    <row r="3111" spans="1:2" x14ac:dyDescent="0.2">
      <c r="A3111" t="s">
        <v>1607</v>
      </c>
      <c r="B3111">
        <f>IF(B3110&lt;=300,300,IF(B3110&lt;=400,400,IF(B3110&lt;=600,600,IF(B3110&lt;=800,800,IF(B3110&lt;=1000,1000,IF(B3110&gt;1000,1000))))))</f>
        <v>800</v>
      </c>
    </row>
    <row r="3112" spans="1:2" x14ac:dyDescent="0.2">
      <c r="A3112" t="s">
        <v>1608</v>
      </c>
    </row>
    <row r="3113" spans="1:2" x14ac:dyDescent="0.2">
      <c r="A3113" t="s">
        <v>3248</v>
      </c>
      <c r="B3113" t="e">
        <f>B3095</f>
        <v>#VALUE!</v>
      </c>
    </row>
    <row r="3114" spans="1:2" x14ac:dyDescent="0.2">
      <c r="A3114" t="s">
        <v>1609</v>
      </c>
      <c r="B3114">
        <f>B3096</f>
        <v>6</v>
      </c>
    </row>
    <row r="3115" spans="1:2" x14ac:dyDescent="0.2">
      <c r="A3115" t="s">
        <v>1534</v>
      </c>
      <c r="B3115">
        <f>B653</f>
        <v>0</v>
      </c>
    </row>
    <row r="3116" spans="1:2" x14ac:dyDescent="0.2">
      <c r="A3116" t="s">
        <v>1535</v>
      </c>
      <c r="B3116">
        <v>2600</v>
      </c>
    </row>
    <row r="3117" spans="1:2" x14ac:dyDescent="0.2">
      <c r="A3117" t="s">
        <v>2080</v>
      </c>
      <c r="B3117">
        <v>1400</v>
      </c>
    </row>
    <row r="3118" spans="1:2" x14ac:dyDescent="0.2">
      <c r="A3118" t="s">
        <v>2081</v>
      </c>
      <c r="B3118">
        <v>700</v>
      </c>
    </row>
    <row r="3119" spans="1:2" x14ac:dyDescent="0.2">
      <c r="A3119" t="s">
        <v>1610</v>
      </c>
      <c r="B3119">
        <f>IF(B3115=1,$C$654*1000,0)+B3118+B3117</f>
        <v>2100</v>
      </c>
    </row>
    <row r="3120" spans="1:2" x14ac:dyDescent="0.2">
      <c r="A3120" t="s">
        <v>2083</v>
      </c>
      <c r="B3120" t="e">
        <f>(B3113/60)/B3114</f>
        <v>#VALUE!</v>
      </c>
    </row>
    <row r="3121" spans="1:3" x14ac:dyDescent="0.2">
      <c r="A3121" t="s">
        <v>2084</v>
      </c>
      <c r="B3121" t="e">
        <f>IF(B3120&lt;=A3141,A3141,IF(B3120&lt;=A3142,A3142,IF(B3120&lt;=A3143,A3143,IF(B3120&lt;=A3144,A3143,IF(B3120&lt;=A3145,A3145,IF(B3120&lt;=A3146,A3146,IF(B3120&lt;=A3147,A3147,IF(B3120&lt;=A3148,A3148))))))))</f>
        <v>#VALUE!</v>
      </c>
    </row>
    <row r="3122" spans="1:3" x14ac:dyDescent="0.2">
      <c r="A3122" t="s">
        <v>2465</v>
      </c>
      <c r="B3122">
        <f>IF(B3119&lt;=B3141,A3141,IF(B3119&lt;=B3142,A3142,IF(B3119&lt;=B3143,A3143,IF(B3119&lt;=B3144,A3144,IF(B3119&lt;=B3145,A3145,IF(B3119&lt;=B3146,A3146,IF(B3119&lt;=B3147,A3147,IF(B3119&lt;=B3148,A3148))))))))</f>
        <v>5.2</v>
      </c>
    </row>
    <row r="3123" spans="1:3" x14ac:dyDescent="0.2">
      <c r="A3123" t="s">
        <v>1604</v>
      </c>
      <c r="B3123" t="e">
        <f>IF(IF(B3121&gt;=B3122,B3121,B3122)&gt;6,IF(B3121&gt;=B3122,B3121,B3122),6)</f>
        <v>#VALUE!</v>
      </c>
    </row>
    <row r="3124" spans="1:3" x14ac:dyDescent="0.2">
      <c r="A3124" t="s">
        <v>1605</v>
      </c>
    </row>
    <row r="3125" spans="1:3" x14ac:dyDescent="0.2">
      <c r="A3125" t="s">
        <v>1606</v>
      </c>
      <c r="B3125">
        <f>IF(B3138=0,0,INDEX(B3129:B3136,B3138))</f>
        <v>125.76227499999999</v>
      </c>
    </row>
    <row r="3126" spans="1:3" x14ac:dyDescent="0.2">
      <c r="A3126" t="s">
        <v>1607</v>
      </c>
      <c r="B3126">
        <f>IF(B3125=0,B3111,IF(B3125&lt;=300,300,IF(B3125&lt;=400,400,IF(B3125&lt;=600,600,IF(B3125&lt;=800,800,IF(B3125&lt;=1000,1000,IF(B3125&gt;1000,1000)))))))</f>
        <v>300</v>
      </c>
    </row>
    <row r="3127" spans="1:3" x14ac:dyDescent="0.2">
      <c r="A3127" t="s">
        <v>1611</v>
      </c>
    </row>
    <row r="3128" spans="1:3" x14ac:dyDescent="0.2">
      <c r="A3128" t="s">
        <v>71</v>
      </c>
      <c r="B3128" s="2781">
        <v>0</v>
      </c>
    </row>
    <row r="3129" spans="1:3" x14ac:dyDescent="0.2">
      <c r="A3129" t="s">
        <v>72</v>
      </c>
      <c r="B3129">
        <v>728.63480258449704</v>
      </c>
      <c r="C3129" s="549"/>
    </row>
    <row r="3130" spans="1:3" x14ac:dyDescent="0.2">
      <c r="A3130" t="s">
        <v>73</v>
      </c>
      <c r="B3130">
        <v>1121.7490533387818</v>
      </c>
      <c r="C3130" s="549"/>
    </row>
    <row r="3131" spans="1:3" x14ac:dyDescent="0.2">
      <c r="A3131" t="s">
        <v>74</v>
      </c>
      <c r="B3131">
        <v>637.83410000000003</v>
      </c>
      <c r="C3131" s="549"/>
    </row>
    <row r="3132" spans="1:3" x14ac:dyDescent="0.2">
      <c r="A3132" t="s">
        <v>75</v>
      </c>
      <c r="B3132">
        <v>1396.0740000000001</v>
      </c>
      <c r="C3132" s="549"/>
    </row>
    <row r="3133" spans="1:3" x14ac:dyDescent="0.2">
      <c r="A3133" t="s">
        <v>76</v>
      </c>
      <c r="B3133">
        <v>-23.031899027580408</v>
      </c>
      <c r="C3133" s="549"/>
    </row>
    <row r="3134" spans="1:3" x14ac:dyDescent="0.2">
      <c r="A3134" t="s">
        <v>77</v>
      </c>
      <c r="B3134">
        <v>-60.465336003491444</v>
      </c>
      <c r="C3134" s="549"/>
    </row>
    <row r="3135" spans="1:3" x14ac:dyDescent="0.2">
      <c r="A3135" t="s">
        <v>78</v>
      </c>
      <c r="B3135">
        <v>326.33460786318187</v>
      </c>
      <c r="C3135" s="549"/>
    </row>
    <row r="3136" spans="1:3" x14ac:dyDescent="0.2">
      <c r="A3136" t="s">
        <v>79</v>
      </c>
      <c r="B3136">
        <v>125.76227499999999</v>
      </c>
      <c r="C3136" s="549"/>
    </row>
    <row r="3137" spans="1:3" x14ac:dyDescent="0.2">
      <c r="A3137" t="s">
        <v>80</v>
      </c>
      <c r="B3137">
        <v>3</v>
      </c>
      <c r="C3137" s="549"/>
    </row>
    <row r="3138" spans="1:3" x14ac:dyDescent="0.2">
      <c r="A3138" t="s">
        <v>81</v>
      </c>
      <c r="B3138">
        <v>8</v>
      </c>
      <c r="C3138" s="549"/>
    </row>
    <row r="3139" spans="1:3" x14ac:dyDescent="0.2">
      <c r="A3139" t="s">
        <v>84</v>
      </c>
    </row>
    <row r="3140" spans="1:3" x14ac:dyDescent="0.2">
      <c r="A3140" t="s">
        <v>82</v>
      </c>
      <c r="B3140" t="s">
        <v>83</v>
      </c>
    </row>
    <row r="3141" spans="1:3" x14ac:dyDescent="0.2">
      <c r="A3141">
        <v>5.2</v>
      </c>
      <c r="B3141">
        <v>2200</v>
      </c>
    </row>
    <row r="3142" spans="1:3" x14ac:dyDescent="0.2">
      <c r="A3142">
        <v>6</v>
      </c>
      <c r="B3142">
        <v>2510</v>
      </c>
    </row>
    <row r="3143" spans="1:3" x14ac:dyDescent="0.2">
      <c r="A3143">
        <v>7.1</v>
      </c>
      <c r="B3143">
        <v>2810</v>
      </c>
    </row>
    <row r="3144" spans="1:3" x14ac:dyDescent="0.2">
      <c r="A3144">
        <v>8.9</v>
      </c>
      <c r="B3144">
        <v>3430</v>
      </c>
    </row>
    <row r="3145" spans="1:3" x14ac:dyDescent="0.2">
      <c r="A3145">
        <v>11.2</v>
      </c>
      <c r="B3145">
        <v>4100</v>
      </c>
    </row>
    <row r="3146" spans="1:3" x14ac:dyDescent="0.2">
      <c r="A3146">
        <v>12.7</v>
      </c>
      <c r="B3146">
        <v>4500</v>
      </c>
    </row>
    <row r="3147" spans="1:3" x14ac:dyDescent="0.2">
      <c r="A3147">
        <v>13.1</v>
      </c>
      <c r="B3147">
        <v>4664</v>
      </c>
    </row>
    <row r="3148" spans="1:3" x14ac:dyDescent="0.2">
      <c r="A3148">
        <v>15.7</v>
      </c>
      <c r="B3148">
        <v>5461</v>
      </c>
    </row>
    <row r="3149" spans="1:3" x14ac:dyDescent="0.2">
      <c r="A3149">
        <v>18</v>
      </c>
      <c r="B3149">
        <f>306.62*A3149+647.03</f>
        <v>6166.19</v>
      </c>
    </row>
    <row r="3150" spans="1:3" x14ac:dyDescent="0.2">
      <c r="A3150">
        <v>20</v>
      </c>
      <c r="B3150">
        <f>306.62*A3150+647.03</f>
        <v>6779.4299999999994</v>
      </c>
    </row>
    <row r="3153" spans="1:2" x14ac:dyDescent="0.2">
      <c r="A3153" t="s">
        <v>85</v>
      </c>
    </row>
    <row r="3154" spans="1:2" x14ac:dyDescent="0.2">
      <c r="A3154" t="s">
        <v>86</v>
      </c>
      <c r="B3154" t="e">
        <f>B910</f>
        <v>#VALUE!</v>
      </c>
    </row>
    <row r="3155" spans="1:2" x14ac:dyDescent="0.2">
      <c r="A3155" t="s">
        <v>87</v>
      </c>
      <c r="B3155">
        <v>600</v>
      </c>
    </row>
    <row r="3156" spans="1:2" x14ac:dyDescent="0.2">
      <c r="A3156" t="s">
        <v>88</v>
      </c>
      <c r="B3156" t="e">
        <f>B917</f>
        <v>#VALUE!</v>
      </c>
    </row>
    <row r="3157" spans="1:2" x14ac:dyDescent="0.2">
      <c r="A3157" t="s">
        <v>89</v>
      </c>
      <c r="B3157" t="e">
        <f>B839</f>
        <v>#VALUE!</v>
      </c>
    </row>
    <row r="3158" spans="1:2" x14ac:dyDescent="0.2">
      <c r="A3158" t="s">
        <v>90</v>
      </c>
      <c r="B3158" t="e">
        <f>B3154+(0.073*B326+0.0044*B3155-1.49)</f>
        <v>#VALUE!</v>
      </c>
    </row>
    <row r="3159" spans="1:2" x14ac:dyDescent="0.2">
      <c r="A3159" t="s">
        <v>91</v>
      </c>
      <c r="B3159" t="e">
        <f>IF(B3158&lt;10.1,1,IF(B3158&lt;12.1,2,IF(B3158&lt;14.1,3,IF(B3158&lt;16.1,4,IF(B3158&lt;18.1,5,IF(B3158&lt;20.1,6,B3160))))))</f>
        <v>#VALUE!</v>
      </c>
    </row>
    <row r="3160" spans="1:2" x14ac:dyDescent="0.2">
      <c r="A3160" t="s">
        <v>92</v>
      </c>
      <c r="B3160" t="e">
        <f>IF(B3158&lt;22.1,8,IF(B3158&lt;24.1,9,10))</f>
        <v>#VALUE!</v>
      </c>
    </row>
    <row r="3161" spans="1:2" x14ac:dyDescent="0.2">
      <c r="A3161" t="s">
        <v>93</v>
      </c>
      <c r="B3161">
        <f>IF(AND(B584&gt;=2.2,B360=1),1,IF(AND(B584&lt;2.2,B360=1),2,IF(AND(B584&gt;=2.2,B360=2),3,IF(AND(B584&lt;2.2,B360=2),4))))</f>
        <v>3</v>
      </c>
    </row>
    <row r="3162" spans="1:2" x14ac:dyDescent="0.2">
      <c r="A3162" t="s">
        <v>94</v>
      </c>
      <c r="B3162" t="e">
        <f>INDEX(C3178:K3181,B3161,B3159)</f>
        <v>#VALUE!</v>
      </c>
    </row>
    <row r="3163" spans="1:2" x14ac:dyDescent="0.2">
      <c r="A3163" t="s">
        <v>1192</v>
      </c>
      <c r="B3163" t="e">
        <f>B830</f>
        <v>#VALUE!</v>
      </c>
    </row>
    <row r="3164" spans="1:2" x14ac:dyDescent="0.2">
      <c r="A3164" t="s">
        <v>1193</v>
      </c>
      <c r="B3164">
        <v>600</v>
      </c>
    </row>
    <row r="3165" spans="1:2" x14ac:dyDescent="0.2">
      <c r="A3165" t="s">
        <v>1194</v>
      </c>
      <c r="B3165" t="e">
        <f>B3163+0.073*B326+0.0044*B3164-1.49</f>
        <v>#VALUE!</v>
      </c>
    </row>
    <row r="3166" spans="1:2" x14ac:dyDescent="0.2">
      <c r="A3166" t="s">
        <v>1195</v>
      </c>
      <c r="B3166">
        <f>B3161</f>
        <v>3</v>
      </c>
    </row>
    <row r="3167" spans="1:2" x14ac:dyDescent="0.2">
      <c r="A3167" t="s">
        <v>2172</v>
      </c>
      <c r="B3167" t="e">
        <f>IF(B3165&lt;10.1,1,IF(B3165&lt;12.1,2,IF(B3165&lt;14.1,3,IF(B3165&lt;16.1,4,IF(B3165&lt;18.1,5,IF(B3165&lt;20.1,6,B3168))))))</f>
        <v>#VALUE!</v>
      </c>
    </row>
    <row r="3168" spans="1:2" x14ac:dyDescent="0.2">
      <c r="A3168" t="s">
        <v>92</v>
      </c>
      <c r="B3168" t="e">
        <f>IF(B3165&lt;22.1,8,IF(B3165&lt;24.1,9,10))</f>
        <v>#VALUE!</v>
      </c>
    </row>
    <row r="3169" spans="1:12" x14ac:dyDescent="0.2">
      <c r="A3169" t="s">
        <v>2173</v>
      </c>
      <c r="B3169" t="e">
        <f>INDEX(C3178:K3181,B3166,B3167)</f>
        <v>#VALUE!</v>
      </c>
    </row>
    <row r="3170" spans="1:12" x14ac:dyDescent="0.2">
      <c r="A3170" t="s">
        <v>2174</v>
      </c>
    </row>
    <row r="3171" spans="1:12" x14ac:dyDescent="0.2">
      <c r="A3171" t="s">
        <v>2175</v>
      </c>
      <c r="B3171">
        <f>IF(AND(B599&lt;9,B584&lt;0.8),3,IF(AND(B599&lt;9,B584&lt;=2.2),2,IF(AND(B599&lt;9,B584&gt;2.2),1,IF(AND(B599&gt;=9,B584&lt;0.8),6,IF(AND(B599&gt;=9,B584&lt;2.2),5,IF(AND(B599&gt;=9,B584&gt;2.2),4))))))</f>
        <v>4</v>
      </c>
    </row>
    <row r="3172" spans="1:12" x14ac:dyDescent="0.2">
      <c r="A3172" t="s">
        <v>2176</v>
      </c>
      <c r="B3172" t="e">
        <f>INDEX(C3185:L3190,B3171,B3159)</f>
        <v>#VALUE!</v>
      </c>
    </row>
    <row r="3173" spans="1:12" x14ac:dyDescent="0.2">
      <c r="A3173" t="s">
        <v>2177</v>
      </c>
      <c r="B3173" t="e">
        <f>INDEX(C3185:L3190,B3171,B3167)</f>
        <v>#VALUE!</v>
      </c>
    </row>
    <row r="3174" spans="1:12" x14ac:dyDescent="0.2">
      <c r="A3174" t="s">
        <v>2178</v>
      </c>
      <c r="B3174" t="e">
        <f>IF(B47=1,B3169,B3173)*B3197</f>
        <v>#VALUE!</v>
      </c>
    </row>
    <row r="3175" spans="1:12" x14ac:dyDescent="0.2">
      <c r="A3175" t="s">
        <v>2179</v>
      </c>
      <c r="B3175" t="e">
        <f>IF(B47=1,B3162,B3172)*B3198</f>
        <v>#VALUE!</v>
      </c>
    </row>
    <row r="3177" spans="1:12" x14ac:dyDescent="0.2">
      <c r="A3177" t="s">
        <v>2180</v>
      </c>
      <c r="C3177">
        <v>10</v>
      </c>
      <c r="D3177" t="s">
        <v>2181</v>
      </c>
      <c r="E3177" t="s">
        <v>2182</v>
      </c>
      <c r="F3177" t="s">
        <v>2183</v>
      </c>
      <c r="G3177" t="s">
        <v>2184</v>
      </c>
      <c r="H3177" t="s">
        <v>2185</v>
      </c>
      <c r="I3177" t="s">
        <v>2186</v>
      </c>
      <c r="J3177" t="s">
        <v>2187</v>
      </c>
      <c r="K3177" t="s">
        <v>2188</v>
      </c>
      <c r="L3177" t="s">
        <v>2189</v>
      </c>
    </row>
    <row r="3178" spans="1:12" x14ac:dyDescent="0.2">
      <c r="A3178" t="s">
        <v>2190</v>
      </c>
      <c r="B3178" t="s">
        <v>2191</v>
      </c>
      <c r="C3178">
        <v>200</v>
      </c>
      <c r="D3178">
        <v>195</v>
      </c>
      <c r="E3178">
        <v>190</v>
      </c>
      <c r="F3178">
        <v>170</v>
      </c>
      <c r="G3178">
        <v>150</v>
      </c>
      <c r="H3178">
        <v>135</v>
      </c>
      <c r="I3178">
        <v>120</v>
      </c>
      <c r="J3178">
        <v>110</v>
      </c>
      <c r="K3178">
        <v>100</v>
      </c>
      <c r="L3178">
        <v>90</v>
      </c>
    </row>
    <row r="3179" spans="1:12" x14ac:dyDescent="0.2">
      <c r="A3179" t="s">
        <v>2192</v>
      </c>
      <c r="B3179" t="s">
        <v>2193</v>
      </c>
      <c r="C3179">
        <v>180</v>
      </c>
      <c r="D3179">
        <v>170</v>
      </c>
      <c r="E3179">
        <v>160</v>
      </c>
      <c r="F3179">
        <v>140</v>
      </c>
      <c r="G3179">
        <v>120</v>
      </c>
      <c r="H3179">
        <v>110</v>
      </c>
      <c r="I3179">
        <v>100</v>
      </c>
      <c r="J3179">
        <v>90</v>
      </c>
      <c r="K3179">
        <v>80</v>
      </c>
      <c r="L3179">
        <v>70</v>
      </c>
    </row>
    <row r="3180" spans="1:12" x14ac:dyDescent="0.2">
      <c r="A3180" t="s">
        <v>2194</v>
      </c>
      <c r="B3180" t="s">
        <v>2191</v>
      </c>
      <c r="C3180">
        <v>220</v>
      </c>
      <c r="D3180">
        <v>190</v>
      </c>
      <c r="E3180">
        <v>160</v>
      </c>
      <c r="F3180">
        <v>140</v>
      </c>
      <c r="G3180">
        <v>120</v>
      </c>
      <c r="H3180">
        <v>110</v>
      </c>
      <c r="I3180">
        <v>100</v>
      </c>
      <c r="J3180">
        <v>90</v>
      </c>
      <c r="K3180">
        <v>80</v>
      </c>
      <c r="L3180">
        <v>70</v>
      </c>
    </row>
    <row r="3181" spans="1:12" x14ac:dyDescent="0.2">
      <c r="A3181" t="s">
        <v>2195</v>
      </c>
      <c r="B3181" t="s">
        <v>2193</v>
      </c>
      <c r="C3181">
        <v>190</v>
      </c>
      <c r="D3181">
        <v>170</v>
      </c>
      <c r="E3181">
        <v>140</v>
      </c>
      <c r="F3181">
        <v>120</v>
      </c>
      <c r="G3181">
        <v>110</v>
      </c>
      <c r="H3181">
        <v>100</v>
      </c>
      <c r="I3181">
        <v>90</v>
      </c>
      <c r="J3181">
        <v>70</v>
      </c>
      <c r="K3181">
        <v>60</v>
      </c>
      <c r="L3181">
        <v>50</v>
      </c>
    </row>
    <row r="3182" spans="1:12" x14ac:dyDescent="0.2">
      <c r="A3182" t="s">
        <v>4514</v>
      </c>
      <c r="B3182" t="s">
        <v>2193</v>
      </c>
      <c r="C3182">
        <v>170</v>
      </c>
      <c r="D3182">
        <v>150</v>
      </c>
      <c r="E3182">
        <v>120</v>
      </c>
      <c r="F3182">
        <v>100</v>
      </c>
      <c r="G3182">
        <v>90</v>
      </c>
      <c r="H3182">
        <v>80</v>
      </c>
      <c r="I3182">
        <v>75</v>
      </c>
      <c r="J3182">
        <v>70</v>
      </c>
      <c r="K3182">
        <v>60</v>
      </c>
      <c r="L3182">
        <v>50</v>
      </c>
    </row>
    <row r="3184" spans="1:12" x14ac:dyDescent="0.2">
      <c r="A3184" t="s">
        <v>4515</v>
      </c>
    </row>
    <row r="3185" spans="1:12" x14ac:dyDescent="0.2">
      <c r="A3185" t="s">
        <v>4516</v>
      </c>
      <c r="B3185" t="s">
        <v>2191</v>
      </c>
      <c r="C3185">
        <v>130</v>
      </c>
      <c r="D3185">
        <v>120</v>
      </c>
      <c r="E3185">
        <v>110</v>
      </c>
      <c r="F3185">
        <v>105</v>
      </c>
      <c r="G3185">
        <v>100</v>
      </c>
      <c r="H3185">
        <v>95</v>
      </c>
      <c r="I3185">
        <v>85</v>
      </c>
      <c r="J3185">
        <v>70</v>
      </c>
      <c r="K3185">
        <v>60</v>
      </c>
      <c r="L3185">
        <v>55</v>
      </c>
    </row>
    <row r="3186" spans="1:12" x14ac:dyDescent="0.2">
      <c r="A3186" t="s">
        <v>4517</v>
      </c>
      <c r="B3186" t="s">
        <v>4518</v>
      </c>
      <c r="C3186">
        <v>95</v>
      </c>
      <c r="D3186">
        <v>90</v>
      </c>
      <c r="E3186">
        <v>85</v>
      </c>
      <c r="F3186">
        <v>80</v>
      </c>
      <c r="G3186">
        <v>75</v>
      </c>
      <c r="H3186">
        <v>67</v>
      </c>
      <c r="I3186">
        <v>62</v>
      </c>
      <c r="J3186">
        <v>57</v>
      </c>
      <c r="K3186">
        <v>47</v>
      </c>
      <c r="L3186">
        <v>42</v>
      </c>
    </row>
    <row r="3187" spans="1:12" x14ac:dyDescent="0.2">
      <c r="A3187" t="s">
        <v>4519</v>
      </c>
      <c r="B3187" t="s">
        <v>4520</v>
      </c>
      <c r="C3187">
        <v>60</v>
      </c>
      <c r="D3187">
        <v>58</v>
      </c>
      <c r="E3187">
        <v>55</v>
      </c>
      <c r="F3187">
        <v>52</v>
      </c>
      <c r="G3187">
        <v>50</v>
      </c>
      <c r="H3187">
        <v>48</v>
      </c>
      <c r="I3187">
        <v>45</v>
      </c>
      <c r="J3187">
        <v>42</v>
      </c>
      <c r="K3187">
        <v>40</v>
      </c>
      <c r="L3187">
        <v>36</v>
      </c>
    </row>
    <row r="3188" spans="1:12" x14ac:dyDescent="0.2">
      <c r="A3188" t="s">
        <v>4521</v>
      </c>
      <c r="B3188" t="s">
        <v>2191</v>
      </c>
      <c r="C3188">
        <v>115</v>
      </c>
      <c r="D3188">
        <v>105</v>
      </c>
      <c r="E3188">
        <v>100</v>
      </c>
      <c r="F3188">
        <v>90</v>
      </c>
      <c r="G3188">
        <v>86</v>
      </c>
      <c r="H3188">
        <v>80</v>
      </c>
      <c r="I3188">
        <v>75</v>
      </c>
      <c r="J3188">
        <v>65</v>
      </c>
      <c r="K3188">
        <v>55</v>
      </c>
      <c r="L3188">
        <v>45</v>
      </c>
    </row>
    <row r="3189" spans="1:12" x14ac:dyDescent="0.2">
      <c r="A3189" t="s">
        <v>4522</v>
      </c>
      <c r="B3189" t="s">
        <v>4518</v>
      </c>
      <c r="C3189">
        <v>70</v>
      </c>
      <c r="D3189">
        <v>65</v>
      </c>
      <c r="E3189">
        <v>60</v>
      </c>
      <c r="F3189">
        <v>57</v>
      </c>
      <c r="G3189">
        <v>53</v>
      </c>
      <c r="H3189">
        <v>51</v>
      </c>
      <c r="I3189">
        <v>47</v>
      </c>
      <c r="J3189">
        <v>44</v>
      </c>
      <c r="K3189">
        <v>39</v>
      </c>
      <c r="L3189">
        <v>34</v>
      </c>
    </row>
    <row r="3190" spans="1:12" x14ac:dyDescent="0.2">
      <c r="A3190" t="s">
        <v>4523</v>
      </c>
      <c r="B3190" t="s">
        <v>4520</v>
      </c>
      <c r="C3190">
        <v>50</v>
      </c>
      <c r="D3190">
        <v>47</v>
      </c>
      <c r="E3190">
        <v>44</v>
      </c>
      <c r="F3190">
        <v>40</v>
      </c>
      <c r="G3190">
        <v>38</v>
      </c>
      <c r="H3190">
        <v>35</v>
      </c>
      <c r="I3190">
        <v>32</v>
      </c>
      <c r="J3190">
        <v>30</v>
      </c>
      <c r="K3190">
        <v>28</v>
      </c>
      <c r="L3190">
        <v>24</v>
      </c>
    </row>
    <row r="3191" spans="1:12" x14ac:dyDescent="0.2">
      <c r="A3191" t="s">
        <v>1723</v>
      </c>
    </row>
    <row r="3192" spans="1:12" x14ac:dyDescent="0.2">
      <c r="A3192" t="s">
        <v>4524</v>
      </c>
      <c r="B3192">
        <f>IF(1/B572&gt;=2,0.8,1)</f>
        <v>1</v>
      </c>
    </row>
    <row r="3193" spans="1:12" x14ac:dyDescent="0.2">
      <c r="A3193" t="s">
        <v>4525</v>
      </c>
      <c r="B3193">
        <f>IF(AND(B592=1,B47=1),0.9,IF(AND(B592=1,B47=2),0.8,1))</f>
        <v>1</v>
      </c>
    </row>
    <row r="3194" spans="1:12" x14ac:dyDescent="0.2">
      <c r="A3194" t="s">
        <v>4526</v>
      </c>
      <c r="B3194" t="e">
        <f>IF(B839=1,0.85,1)</f>
        <v>#VALUE!</v>
      </c>
    </row>
    <row r="3195" spans="1:12" x14ac:dyDescent="0.2">
      <c r="A3195" t="s">
        <v>4527</v>
      </c>
      <c r="B3195" t="e">
        <f>IF(B917=1,0.85,1)</f>
        <v>#VALUE!</v>
      </c>
    </row>
    <row r="3196" spans="1:12" x14ac:dyDescent="0.2">
      <c r="A3196" t="s">
        <v>4528</v>
      </c>
      <c r="B3196">
        <f>IF(B362=1,0.95,1)</f>
        <v>1</v>
      </c>
    </row>
    <row r="3197" spans="1:12" x14ac:dyDescent="0.2">
      <c r="A3197" t="s">
        <v>4529</v>
      </c>
      <c r="B3197" t="e">
        <f>$B$3196*B3194*$B$3193*$B$3192</f>
        <v>#VALUE!</v>
      </c>
    </row>
    <row r="3198" spans="1:12" x14ac:dyDescent="0.2">
      <c r="A3198" t="s">
        <v>4530</v>
      </c>
      <c r="B3198" t="e">
        <f>$B$3196*B3195*$B$3193*$B$3192</f>
        <v>#VALUE!</v>
      </c>
    </row>
    <row r="3200" spans="1:12" x14ac:dyDescent="0.2">
      <c r="A3200" t="s">
        <v>4531</v>
      </c>
    </row>
    <row r="3201" spans="1:2" x14ac:dyDescent="0.2">
      <c r="A3201" t="s">
        <v>4532</v>
      </c>
      <c r="B3201">
        <f>B366*B367</f>
        <v>12.5</v>
      </c>
    </row>
    <row r="3202" spans="1:2" x14ac:dyDescent="0.2">
      <c r="A3202" t="s">
        <v>4533</v>
      </c>
      <c r="B3202" t="e">
        <f>((B584*13.5+(B367-B584)*B600)/B367)/10</f>
        <v>#VALUE!</v>
      </c>
    </row>
    <row r="3203" spans="1:2" x14ac:dyDescent="0.2">
      <c r="A3203" t="s">
        <v>4534</v>
      </c>
      <c r="B3203">
        <f>INDEX(C3180:K3181,B3204,B3205)</f>
        <v>160</v>
      </c>
    </row>
    <row r="3204" spans="1:2" x14ac:dyDescent="0.2">
      <c r="A3204" t="s">
        <v>4535</v>
      </c>
      <c r="B3204">
        <f>IF(B584&lt;2.2,2,1)</f>
        <v>1</v>
      </c>
    </row>
    <row r="3205" spans="1:2" x14ac:dyDescent="0.2">
      <c r="A3205" t="s">
        <v>4536</v>
      </c>
      <c r="B3205">
        <f>IF(B3201&lt;10.1,1,IF(B3201&lt;12.1,2,IF(B3201&lt;14.1,3,IF(B3201&lt;16.1,4,IF(B3201&lt;18.1,5,IF(B3201&lt;20.1,6,B3206))))))</f>
        <v>3</v>
      </c>
    </row>
    <row r="3206" spans="1:2" x14ac:dyDescent="0.2">
      <c r="A3206" t="s">
        <v>4537</v>
      </c>
      <c r="B3206">
        <f>IF(B3201&lt;22.1,8,IF(B3201&lt;24.1,9,10))</f>
        <v>8</v>
      </c>
    </row>
    <row r="3207" spans="1:2" x14ac:dyDescent="0.2">
      <c r="A3207" t="s">
        <v>4538</v>
      </c>
      <c r="B3207" t="e">
        <f>B3203*B3198</f>
        <v>#VALUE!</v>
      </c>
    </row>
    <row r="3208" spans="1:2" x14ac:dyDescent="0.2">
      <c r="A3208" t="s">
        <v>4539</v>
      </c>
      <c r="B3208" t="e">
        <f>INDEX(C3185:L3190,B3209,B3205)</f>
        <v>#VALUE!</v>
      </c>
    </row>
    <row r="3209" spans="1:2" x14ac:dyDescent="0.2">
      <c r="A3209" t="s">
        <v>4535</v>
      </c>
      <c r="B3209" t="e">
        <f>IF(AND(B3202&lt;9,B584&lt;0.8),3,IF(AND(B3202&lt;9,B584&lt;=2.2),2,IF(AND(B3202&lt;9,B584&gt;2.2),1,IF(AND(B3202&gt;=9,B584&lt;0.8),6,IF(AND(B3202&gt;=9,B584&lt;2.2),5,IF(AND(B3202&gt;=9,B584&gt;2.2),4))))))</f>
        <v>#VALUE!</v>
      </c>
    </row>
    <row r="3210" spans="1:2" x14ac:dyDescent="0.2">
      <c r="A3210" t="s">
        <v>4540</v>
      </c>
      <c r="B3210" t="e">
        <f>B3208*B3198</f>
        <v>#VALUE!</v>
      </c>
    </row>
    <row r="3361" spans="1:5" x14ac:dyDescent="0.2">
      <c r="A3361" t="s">
        <v>4541</v>
      </c>
    </row>
    <row r="3362" spans="1:5" x14ac:dyDescent="0.2">
      <c r="B3362" t="s">
        <v>4542</v>
      </c>
      <c r="C3362" t="s">
        <v>4543</v>
      </c>
      <c r="D3362" t="s">
        <v>4544</v>
      </c>
      <c r="E3362" t="s">
        <v>4545</v>
      </c>
    </row>
    <row r="3363" spans="1:5" x14ac:dyDescent="0.2">
      <c r="A3363" s="5" t="s">
        <v>4546</v>
      </c>
      <c r="B3363" s="5">
        <v>1</v>
      </c>
      <c r="C3363" s="5">
        <v>1</v>
      </c>
      <c r="D3363" s="5">
        <v>1</v>
      </c>
      <c r="E3363" s="5">
        <v>0</v>
      </c>
    </row>
    <row r="3364" spans="1:5" x14ac:dyDescent="0.2">
      <c r="A3364" s="5" t="s">
        <v>4547</v>
      </c>
      <c r="B3364" s="5">
        <v>1</v>
      </c>
      <c r="C3364" s="5">
        <v>1</v>
      </c>
      <c r="D3364" s="5">
        <v>1</v>
      </c>
      <c r="E3364" s="5">
        <v>0</v>
      </c>
    </row>
    <row r="3365" spans="1:5" x14ac:dyDescent="0.2">
      <c r="A3365" s="5" t="s">
        <v>4548</v>
      </c>
      <c r="B3365" s="5">
        <v>0</v>
      </c>
      <c r="C3365" s="5">
        <v>0</v>
      </c>
      <c r="D3365" s="5">
        <v>0</v>
      </c>
      <c r="E3365" s="5">
        <v>1</v>
      </c>
    </row>
    <row r="3389" spans="1:10" x14ac:dyDescent="0.2">
      <c r="A3389">
        <v>1</v>
      </c>
      <c r="B3389">
        <v>2</v>
      </c>
      <c r="C3389">
        <v>3</v>
      </c>
      <c r="D3389">
        <v>4</v>
      </c>
      <c r="E3389">
        <v>5</v>
      </c>
      <c r="F3389">
        <v>6</v>
      </c>
      <c r="G3389">
        <v>7</v>
      </c>
      <c r="H3389">
        <v>8</v>
      </c>
      <c r="I3389">
        <v>9</v>
      </c>
      <c r="J3389">
        <v>10</v>
      </c>
    </row>
    <row r="3390" spans="1:10" x14ac:dyDescent="0.2">
      <c r="A3390" t="s">
        <v>499</v>
      </c>
      <c r="B3390" t="s">
        <v>5196</v>
      </c>
      <c r="C3390" t="s">
        <v>4549</v>
      </c>
      <c r="D3390" t="s">
        <v>4550</v>
      </c>
      <c r="E3390" t="s">
        <v>4660</v>
      </c>
      <c r="F3390" t="s">
        <v>220</v>
      </c>
      <c r="G3390" t="s">
        <v>1190</v>
      </c>
      <c r="H3390" t="s">
        <v>5199</v>
      </c>
      <c r="I3390" t="s">
        <v>4551</v>
      </c>
      <c r="J3390" t="s">
        <v>4552</v>
      </c>
    </row>
    <row r="3391" spans="1:10" x14ac:dyDescent="0.2">
      <c r="A3391" t="s">
        <v>4553</v>
      </c>
      <c r="B3391" t="s">
        <v>4554</v>
      </c>
      <c r="C3391" t="s">
        <v>4555</v>
      </c>
      <c r="D3391" t="s">
        <v>4556</v>
      </c>
      <c r="E3391" t="s">
        <v>4453</v>
      </c>
      <c r="F3391" t="s">
        <v>4454</v>
      </c>
    </row>
    <row r="3392" spans="1:10" x14ac:dyDescent="0.2">
      <c r="A3392" t="s">
        <v>4553</v>
      </c>
      <c r="B3392" t="s">
        <v>4554</v>
      </c>
      <c r="C3392" t="s">
        <v>4555</v>
      </c>
      <c r="D3392" t="s">
        <v>4556</v>
      </c>
      <c r="E3392" t="s">
        <v>4453</v>
      </c>
      <c r="F3392" t="s">
        <v>4455</v>
      </c>
    </row>
    <row r="3395" spans="1:15" x14ac:dyDescent="0.2">
      <c r="A3395" t="s">
        <v>4456</v>
      </c>
      <c r="B3395" t="s">
        <v>4457</v>
      </c>
      <c r="C3395" t="s">
        <v>4458</v>
      </c>
      <c r="D3395" t="s">
        <v>4459</v>
      </c>
      <c r="E3395" t="s">
        <v>4460</v>
      </c>
      <c r="F3395" t="s">
        <v>4461</v>
      </c>
      <c r="G3395" t="s">
        <v>4462</v>
      </c>
      <c r="H3395" t="s">
        <v>4457</v>
      </c>
      <c r="I3395" t="s">
        <v>4458</v>
      </c>
      <c r="J3395" t="s">
        <v>4463</v>
      </c>
      <c r="K3395" t="s">
        <v>4464</v>
      </c>
      <c r="L3395" t="s">
        <v>4465</v>
      </c>
      <c r="M3395" t="s">
        <v>4466</v>
      </c>
      <c r="N3395" t="s">
        <v>4467</v>
      </c>
      <c r="O3395" t="s">
        <v>4468</v>
      </c>
    </row>
    <row r="3396" spans="1:15" x14ac:dyDescent="0.2">
      <c r="A3396">
        <v>1</v>
      </c>
      <c r="B3396">
        <v>0</v>
      </c>
      <c r="C3396">
        <v>1</v>
      </c>
      <c r="D3396">
        <v>0</v>
      </c>
      <c r="E3396">
        <v>0</v>
      </c>
      <c r="F3396">
        <v>2</v>
      </c>
      <c r="G3396">
        <v>1</v>
      </c>
      <c r="H3396">
        <v>0</v>
      </c>
      <c r="I3396">
        <v>1</v>
      </c>
      <c r="J3396">
        <v>1</v>
      </c>
      <c r="K3396">
        <v>0</v>
      </c>
      <c r="L3396">
        <v>0</v>
      </c>
      <c r="M3396">
        <v>0</v>
      </c>
      <c r="N3396">
        <v>1</v>
      </c>
      <c r="O3396">
        <v>1</v>
      </c>
    </row>
    <row r="3397" spans="1:15" x14ac:dyDescent="0.2">
      <c r="A3397">
        <v>2</v>
      </c>
      <c r="B3397">
        <v>1</v>
      </c>
      <c r="C3397">
        <v>0</v>
      </c>
      <c r="D3397">
        <v>1</v>
      </c>
      <c r="E3397">
        <v>2</v>
      </c>
      <c r="F3397">
        <v>0</v>
      </c>
      <c r="G3397">
        <v>2</v>
      </c>
      <c r="H3397">
        <v>1</v>
      </c>
      <c r="I3397">
        <v>0</v>
      </c>
      <c r="J3397">
        <v>0</v>
      </c>
      <c r="K3397">
        <v>1</v>
      </c>
      <c r="L3397">
        <v>1</v>
      </c>
      <c r="M3397">
        <v>1</v>
      </c>
      <c r="N3397">
        <v>0</v>
      </c>
      <c r="O3397">
        <v>0</v>
      </c>
    </row>
    <row r="3398" spans="1:15" x14ac:dyDescent="0.2">
      <c r="A3398">
        <v>3</v>
      </c>
      <c r="B3398">
        <v>1</v>
      </c>
      <c r="C3398">
        <v>1</v>
      </c>
      <c r="D3398">
        <v>1</v>
      </c>
      <c r="E3398">
        <v>2</v>
      </c>
      <c r="F3398">
        <v>1</v>
      </c>
      <c r="G3398">
        <v>3</v>
      </c>
      <c r="H3398">
        <v>1</v>
      </c>
      <c r="I3398">
        <v>1</v>
      </c>
      <c r="J3398">
        <v>1</v>
      </c>
      <c r="K3398">
        <v>1</v>
      </c>
      <c r="L3398">
        <v>1</v>
      </c>
      <c r="M3398">
        <v>1</v>
      </c>
      <c r="N3398">
        <v>0</v>
      </c>
      <c r="O3398">
        <v>1</v>
      </c>
    </row>
    <row r="3399" spans="1:15" x14ac:dyDescent="0.2">
      <c r="A3399">
        <v>4</v>
      </c>
      <c r="B3399">
        <v>1</v>
      </c>
      <c r="C3399">
        <v>1</v>
      </c>
      <c r="D3399">
        <v>0</v>
      </c>
      <c r="E3399">
        <v>1</v>
      </c>
      <c r="F3399">
        <v>2</v>
      </c>
      <c r="G3399">
        <v>4</v>
      </c>
      <c r="H3399">
        <v>1</v>
      </c>
      <c r="I3399">
        <v>1</v>
      </c>
      <c r="J3399">
        <v>1</v>
      </c>
      <c r="K3399">
        <v>0</v>
      </c>
      <c r="L3399">
        <v>0</v>
      </c>
      <c r="M3399">
        <v>1</v>
      </c>
      <c r="N3399">
        <v>1</v>
      </c>
      <c r="O3399">
        <v>1</v>
      </c>
    </row>
    <row r="3400" spans="1:15" x14ac:dyDescent="0.2">
      <c r="A3400">
        <v>5</v>
      </c>
      <c r="B3400">
        <v>0</v>
      </c>
      <c r="C3400">
        <v>1</v>
      </c>
      <c r="D3400">
        <v>0</v>
      </c>
      <c r="E3400">
        <v>0</v>
      </c>
      <c r="F3400">
        <v>1</v>
      </c>
      <c r="G3400">
        <v>5</v>
      </c>
      <c r="H3400">
        <v>1</v>
      </c>
      <c r="I3400">
        <v>1</v>
      </c>
      <c r="J3400">
        <v>0</v>
      </c>
      <c r="K3400">
        <v>1</v>
      </c>
      <c r="L3400">
        <v>1</v>
      </c>
      <c r="M3400">
        <v>1</v>
      </c>
      <c r="N3400">
        <v>0</v>
      </c>
      <c r="O3400">
        <v>2</v>
      </c>
    </row>
    <row r="3401" spans="1:15" x14ac:dyDescent="0.2">
      <c r="A3401">
        <v>6</v>
      </c>
      <c r="B3401">
        <v>1</v>
      </c>
      <c r="C3401">
        <v>0</v>
      </c>
      <c r="D3401">
        <v>0</v>
      </c>
      <c r="E3401">
        <v>1</v>
      </c>
      <c r="F3401">
        <v>0</v>
      </c>
      <c r="G3401">
        <v>6</v>
      </c>
      <c r="H3401">
        <v>1</v>
      </c>
      <c r="I3401">
        <v>1</v>
      </c>
      <c r="J3401">
        <v>0</v>
      </c>
      <c r="K3401">
        <v>0</v>
      </c>
      <c r="L3401">
        <v>0</v>
      </c>
      <c r="M3401">
        <v>1</v>
      </c>
      <c r="N3401">
        <v>1</v>
      </c>
      <c r="O3401">
        <v>1</v>
      </c>
    </row>
    <row r="3402" spans="1:15" x14ac:dyDescent="0.2">
      <c r="A3402">
        <v>7</v>
      </c>
      <c r="B3402">
        <v>1</v>
      </c>
      <c r="C3402">
        <v>0</v>
      </c>
      <c r="D3402">
        <v>0</v>
      </c>
      <c r="E3402">
        <v>1</v>
      </c>
      <c r="F3402">
        <v>1</v>
      </c>
      <c r="G3402">
        <v>7</v>
      </c>
      <c r="H3402">
        <v>1</v>
      </c>
      <c r="I3402">
        <v>1</v>
      </c>
      <c r="J3402">
        <v>1</v>
      </c>
      <c r="K3402">
        <v>0</v>
      </c>
      <c r="L3402">
        <v>0</v>
      </c>
      <c r="M3402">
        <v>2</v>
      </c>
      <c r="N3402">
        <v>1</v>
      </c>
      <c r="O3402">
        <v>1</v>
      </c>
    </row>
    <row r="3403" spans="1:15" x14ac:dyDescent="0.2">
      <c r="A3403">
        <v>8</v>
      </c>
      <c r="B3403">
        <v>1</v>
      </c>
      <c r="C3403">
        <v>0</v>
      </c>
      <c r="D3403">
        <v>1</v>
      </c>
      <c r="E3403">
        <v>1</v>
      </c>
      <c r="F3403">
        <v>1</v>
      </c>
      <c r="G3403">
        <v>8</v>
      </c>
      <c r="H3403">
        <v>1</v>
      </c>
      <c r="I3403">
        <v>1</v>
      </c>
      <c r="J3403">
        <v>0</v>
      </c>
      <c r="K3403">
        <v>1</v>
      </c>
      <c r="L3403">
        <v>1</v>
      </c>
      <c r="M3403">
        <v>1</v>
      </c>
      <c r="N3403">
        <v>0</v>
      </c>
      <c r="O3403">
        <v>2</v>
      </c>
    </row>
    <row r="3404" spans="1:15" x14ac:dyDescent="0.2">
      <c r="A3404" t="s">
        <v>4469</v>
      </c>
      <c r="B3404">
        <f>IF(B635=1,1,IF(AND(B635=2,B289=2),2,IF(AND(B635=2,B289=1),3)))</f>
        <v>1</v>
      </c>
    </row>
    <row r="3405" spans="1:15" x14ac:dyDescent="0.2">
      <c r="A3405" t="s">
        <v>4470</v>
      </c>
      <c r="B3405" t="e">
        <f>B623</f>
        <v>#VALUE!</v>
      </c>
    </row>
    <row r="3406" spans="1:15" x14ac:dyDescent="0.2">
      <c r="A3406" t="s">
        <v>4471</v>
      </c>
      <c r="B3406" t="e">
        <f>INDEX(L3396:L3403,B3405)</f>
        <v>#VALUE!</v>
      </c>
    </row>
    <row r="3407" spans="1:15" x14ac:dyDescent="0.2">
      <c r="A3407" t="s">
        <v>4472</v>
      </c>
      <c r="B3407" t="e">
        <f>IF(INDEX(M3396:M3403,B3405)=1,1,0)</f>
        <v>#VALUE!</v>
      </c>
    </row>
    <row r="3408" spans="1:15" x14ac:dyDescent="0.2">
      <c r="A3408" t="s">
        <v>4473</v>
      </c>
      <c r="B3408" t="e">
        <f>IF(INDEX(M3396:M3403,B3405)=2,1,0)</f>
        <v>#VALUE!</v>
      </c>
    </row>
    <row r="3409" spans="1:2" x14ac:dyDescent="0.2">
      <c r="A3409" t="s">
        <v>4474</v>
      </c>
      <c r="B3409" t="e">
        <f>INDEX(N3396:N3403,B3405)</f>
        <v>#VALUE!</v>
      </c>
    </row>
    <row r="3410" spans="1:2" x14ac:dyDescent="0.2">
      <c r="A3410" t="s">
        <v>4475</v>
      </c>
      <c r="B3410" t="e">
        <f>IF(INDEX(O3396:O3403,B3405)=1,1,0)</f>
        <v>#VALUE!</v>
      </c>
    </row>
    <row r="3411" spans="1:2" x14ac:dyDescent="0.2">
      <c r="A3411" t="s">
        <v>4476</v>
      </c>
      <c r="B3411" t="e">
        <f>IF(INDEX(O3396:O3403,B3405)=2,1,0)</f>
        <v>#VALUE!</v>
      </c>
    </row>
    <row r="3412" spans="1:2" x14ac:dyDescent="0.2">
      <c r="A3412" t="s">
        <v>4477</v>
      </c>
      <c r="B3412" t="e">
        <f>B614</f>
        <v>#VALUE!</v>
      </c>
    </row>
    <row r="3413" spans="1:2" x14ac:dyDescent="0.2">
      <c r="B3413" t="e">
        <f>IF(AND(B3405&lt;7,B3412&lt;5),"",IF(AND(B3405&gt;6,B3412&gt;4),"","Это невозможно !"))</f>
        <v>#VALUE!</v>
      </c>
    </row>
    <row r="3414" spans="1:2" x14ac:dyDescent="0.2">
      <c r="A3414" t="s">
        <v>4574</v>
      </c>
      <c r="B3414" t="e">
        <f>IF(INDEX(E3396:E3403,B3412)=1,1,0)</f>
        <v>#VALUE!</v>
      </c>
    </row>
    <row r="3415" spans="1:2" x14ac:dyDescent="0.2">
      <c r="A3415" t="s">
        <v>4575</v>
      </c>
      <c r="B3415" t="e">
        <f>IF(INDEX(E3396:E3403,B3412)=2,1,0)</f>
        <v>#VALUE!</v>
      </c>
    </row>
    <row r="3416" spans="1:2" x14ac:dyDescent="0.2">
      <c r="A3416" t="s">
        <v>4576</v>
      </c>
      <c r="B3416" t="e">
        <f>IF(INDEX(F3396:F3403,B3412)=1,1,0)</f>
        <v>#VALUE!</v>
      </c>
    </row>
    <row r="3417" spans="1:2" x14ac:dyDescent="0.2">
      <c r="A3417" t="s">
        <v>4215</v>
      </c>
      <c r="B3417" t="e">
        <f>IF(INDEX(F3396:F3403,B3412)=2,1,0)</f>
        <v>#VALUE!</v>
      </c>
    </row>
    <row r="3418" spans="1:2" x14ac:dyDescent="0.2">
      <c r="A3418" t="s">
        <v>4216</v>
      </c>
      <c r="B3418" t="e">
        <f>B3406</f>
        <v>#VALUE!</v>
      </c>
    </row>
    <row r="3419" spans="1:2" x14ac:dyDescent="0.2">
      <c r="A3419" t="s">
        <v>4217</v>
      </c>
      <c r="B3419" t="e">
        <f>B3407+B3414</f>
        <v>#VALUE!</v>
      </c>
    </row>
    <row r="3420" spans="1:2" x14ac:dyDescent="0.2">
      <c r="A3420" t="s">
        <v>4638</v>
      </c>
      <c r="B3420" t="e">
        <f>B3408+B3415</f>
        <v>#VALUE!</v>
      </c>
    </row>
    <row r="3422" spans="1:2" x14ac:dyDescent="0.2">
      <c r="A3422" t="s">
        <v>4639</v>
      </c>
      <c r="B3422" t="e">
        <f>B3409</f>
        <v>#VALUE!</v>
      </c>
    </row>
    <row r="3423" spans="1:2" x14ac:dyDescent="0.2">
      <c r="A3423" t="s">
        <v>4640</v>
      </c>
      <c r="B3423" t="e">
        <f>B3410+B3416</f>
        <v>#VALUE!</v>
      </c>
    </row>
    <row r="3424" spans="1:2" x14ac:dyDescent="0.2">
      <c r="A3424" t="s">
        <v>4641</v>
      </c>
      <c r="B3424" t="e">
        <f>B3411+B3417</f>
        <v>#VALUE!</v>
      </c>
    </row>
    <row r="3427" spans="1:2" x14ac:dyDescent="0.2">
      <c r="A3427" t="s">
        <v>4642</v>
      </c>
    </row>
    <row r="3428" spans="1:2" x14ac:dyDescent="0.2">
      <c r="A3428" t="s">
        <v>4643</v>
      </c>
      <c r="B3428">
        <f>IF(B3404=1,0,IF(AND(B3404=2,SUM(B3418:B3420)=0),1,IF(AND(B3404=3,SUM(B3422:B3424)=0),1,0)))</f>
        <v>0</v>
      </c>
    </row>
    <row r="3429" spans="1:2" x14ac:dyDescent="0.2">
      <c r="A3429" t="s">
        <v>4644</v>
      </c>
      <c r="B3429">
        <f>IF(B3404=1,0,IF(AND(B3404=2,B3418=1),1,IF(AND(B3404=3,B3422=1),1,0)))</f>
        <v>0</v>
      </c>
    </row>
    <row r="3430" spans="1:2" x14ac:dyDescent="0.2">
      <c r="A3430" t="s">
        <v>4645</v>
      </c>
      <c r="B3430">
        <f>IF(B3429=1,0,IF(B3404=1,0,IF(AND(B3404=2,SUM(B3418:B3420)&gt;0),1,IF(AND(B3404=3,SUM(B3422:B3424)&gt;0),1,0))))</f>
        <v>0</v>
      </c>
    </row>
    <row r="3431" spans="1:2" x14ac:dyDescent="0.2">
      <c r="A3431" t="s">
        <v>4646</v>
      </c>
      <c r="B3431">
        <f>IF(B3429=1,1,0)</f>
        <v>0</v>
      </c>
    </row>
    <row r="3432" spans="1:2" x14ac:dyDescent="0.2">
      <c r="A3432" t="s">
        <v>4647</v>
      </c>
    </row>
    <row r="3433" spans="1:2" x14ac:dyDescent="0.2">
      <c r="A3433" t="s">
        <v>4648</v>
      </c>
      <c r="B3433" t="e">
        <f>SUM(B3418+B3422)</f>
        <v>#VALUE!</v>
      </c>
    </row>
    <row r="3434" spans="1:2" x14ac:dyDescent="0.2">
      <c r="A3434" t="s">
        <v>4649</v>
      </c>
      <c r="B3434" t="e">
        <f>B3419+B3420+B3423+B3424</f>
        <v>#VALUE!</v>
      </c>
    </row>
    <row r="3436" spans="1:2" x14ac:dyDescent="0.2">
      <c r="A3436" t="s">
        <v>4650</v>
      </c>
    </row>
    <row r="3437" spans="1:2" x14ac:dyDescent="0.2">
      <c r="A3437" t="s">
        <v>335</v>
      </c>
    </row>
    <row r="3438" spans="1:2" x14ac:dyDescent="0.2">
      <c r="A3438" t="s">
        <v>336</v>
      </c>
    </row>
    <row r="3439" spans="1:2" x14ac:dyDescent="0.2">
      <c r="A3439" t="s">
        <v>537</v>
      </c>
    </row>
    <row r="3441" spans="1:129" x14ac:dyDescent="0.2">
      <c r="A3441" t="s">
        <v>538</v>
      </c>
      <c r="B3441" s="8">
        <v>0</v>
      </c>
      <c r="C3441" s="8">
        <v>0</v>
      </c>
      <c r="D3441" s="8">
        <v>0</v>
      </c>
      <c r="E3441" s="8">
        <v>0</v>
      </c>
      <c r="F3441">
        <v>1</v>
      </c>
      <c r="G3441">
        <v>1</v>
      </c>
      <c r="H3441">
        <v>1</v>
      </c>
      <c r="I3441">
        <v>1</v>
      </c>
      <c r="J3441">
        <v>1</v>
      </c>
      <c r="K3441">
        <v>1</v>
      </c>
      <c r="L3441">
        <v>1</v>
      </c>
      <c r="M3441">
        <v>1</v>
      </c>
      <c r="N3441">
        <v>1</v>
      </c>
      <c r="O3441">
        <v>1</v>
      </c>
      <c r="P3441">
        <v>1</v>
      </c>
      <c r="Q3441">
        <v>1</v>
      </c>
      <c r="R3441">
        <v>1</v>
      </c>
      <c r="S3441">
        <v>1</v>
      </c>
      <c r="T3441">
        <v>1</v>
      </c>
      <c r="U3441">
        <v>1</v>
      </c>
      <c r="V3441">
        <v>0</v>
      </c>
      <c r="W3441">
        <v>0</v>
      </c>
      <c r="X3441">
        <v>1</v>
      </c>
      <c r="Y3441">
        <v>0</v>
      </c>
      <c r="Z3441">
        <v>1</v>
      </c>
      <c r="AA3441">
        <v>1</v>
      </c>
      <c r="AB3441">
        <v>1</v>
      </c>
      <c r="AC3441">
        <v>1</v>
      </c>
      <c r="AD3441">
        <v>1</v>
      </c>
      <c r="AE3441">
        <v>1</v>
      </c>
      <c r="AF3441">
        <v>1</v>
      </c>
      <c r="AG3441">
        <v>1</v>
      </c>
      <c r="AH3441">
        <v>2</v>
      </c>
      <c r="AI3441">
        <v>2</v>
      </c>
      <c r="AJ3441">
        <v>2</v>
      </c>
      <c r="AK3441">
        <v>2</v>
      </c>
      <c r="AL3441">
        <v>1</v>
      </c>
      <c r="AM3441">
        <v>1</v>
      </c>
      <c r="AN3441">
        <v>1</v>
      </c>
      <c r="AO3441">
        <v>1</v>
      </c>
      <c r="AP3441">
        <v>1</v>
      </c>
      <c r="AQ3441">
        <v>1</v>
      </c>
      <c r="AR3441">
        <v>1</v>
      </c>
      <c r="AS3441">
        <v>1</v>
      </c>
      <c r="AT3441">
        <v>2</v>
      </c>
      <c r="AU3441">
        <v>2</v>
      </c>
      <c r="AV3441">
        <v>2</v>
      </c>
      <c r="AW3441">
        <v>2</v>
      </c>
      <c r="AX3441">
        <v>1</v>
      </c>
      <c r="AY3441">
        <v>1</v>
      </c>
      <c r="AZ3441">
        <v>1</v>
      </c>
      <c r="BA3441">
        <v>1</v>
      </c>
      <c r="BB3441">
        <v>2</v>
      </c>
      <c r="BC3441">
        <v>2</v>
      </c>
      <c r="BD3441">
        <v>2</v>
      </c>
      <c r="BE3441" s="1140">
        <v>2</v>
      </c>
      <c r="BF3441">
        <v>1</v>
      </c>
      <c r="BG3441">
        <v>1</v>
      </c>
      <c r="BH3441">
        <v>1</v>
      </c>
      <c r="BI3441">
        <v>1</v>
      </c>
      <c r="BJ3441">
        <v>1</v>
      </c>
      <c r="BK3441">
        <v>1</v>
      </c>
      <c r="BL3441">
        <v>1</v>
      </c>
      <c r="BM3441">
        <v>1</v>
      </c>
      <c r="BN3441">
        <v>1</v>
      </c>
      <c r="BO3441">
        <v>1</v>
      </c>
      <c r="BP3441">
        <v>1</v>
      </c>
      <c r="BQ3441">
        <v>1</v>
      </c>
      <c r="BR3441">
        <v>0</v>
      </c>
      <c r="BS3441">
        <v>0</v>
      </c>
      <c r="BT3441">
        <v>1</v>
      </c>
      <c r="BU3441">
        <v>1</v>
      </c>
      <c r="BV3441">
        <v>1</v>
      </c>
      <c r="BW3441">
        <v>2</v>
      </c>
      <c r="BX3441">
        <v>2</v>
      </c>
      <c r="BY3441">
        <v>1</v>
      </c>
      <c r="BZ3441">
        <v>2</v>
      </c>
      <c r="CA3441">
        <v>2</v>
      </c>
      <c r="CB3441">
        <v>2</v>
      </c>
      <c r="CC3441">
        <v>2</v>
      </c>
      <c r="CD3441">
        <v>1</v>
      </c>
      <c r="CE3441">
        <v>1</v>
      </c>
      <c r="CF3441">
        <v>1</v>
      </c>
      <c r="CG3441">
        <v>1</v>
      </c>
      <c r="CH3441">
        <v>2</v>
      </c>
      <c r="CI3441">
        <v>2</v>
      </c>
      <c r="CJ3441">
        <v>2</v>
      </c>
      <c r="CK3441">
        <v>2</v>
      </c>
      <c r="CL3441">
        <v>2</v>
      </c>
      <c r="CM3441">
        <v>2</v>
      </c>
      <c r="CN3441">
        <v>2</v>
      </c>
      <c r="CO3441">
        <v>2</v>
      </c>
      <c r="CP3441">
        <v>2</v>
      </c>
      <c r="CQ3441">
        <v>2</v>
      </c>
      <c r="CR3441">
        <v>2</v>
      </c>
      <c r="CS3441" s="1140">
        <v>2</v>
      </c>
      <c r="CT3441">
        <v>1</v>
      </c>
      <c r="CU3441">
        <v>1</v>
      </c>
      <c r="CV3441">
        <v>1</v>
      </c>
      <c r="CW3441">
        <v>1</v>
      </c>
      <c r="CX3441">
        <v>2</v>
      </c>
      <c r="CY3441">
        <v>2</v>
      </c>
      <c r="CZ3441">
        <v>2</v>
      </c>
      <c r="DA3441">
        <v>2</v>
      </c>
      <c r="DB3441">
        <v>2</v>
      </c>
      <c r="DC3441">
        <v>2</v>
      </c>
      <c r="DD3441">
        <v>2</v>
      </c>
      <c r="DE3441">
        <v>2</v>
      </c>
      <c r="DF3441">
        <v>2</v>
      </c>
      <c r="DG3441">
        <v>2</v>
      </c>
      <c r="DH3441">
        <v>2</v>
      </c>
      <c r="DI3441">
        <v>2</v>
      </c>
      <c r="DJ3441">
        <v>2</v>
      </c>
      <c r="DK3441">
        <v>2</v>
      </c>
      <c r="DL3441">
        <v>2</v>
      </c>
      <c r="DM3441">
        <v>2</v>
      </c>
      <c r="DN3441">
        <v>1</v>
      </c>
      <c r="DO3441">
        <v>1</v>
      </c>
      <c r="DP3441">
        <v>2</v>
      </c>
      <c r="DQ3441">
        <v>1</v>
      </c>
      <c r="DR3441">
        <v>2</v>
      </c>
      <c r="DS3441">
        <v>2</v>
      </c>
      <c r="DT3441">
        <v>2</v>
      </c>
      <c r="DU3441">
        <v>2</v>
      </c>
      <c r="DV3441">
        <v>2</v>
      </c>
      <c r="DW3441">
        <v>2</v>
      </c>
      <c r="DX3441">
        <v>2</v>
      </c>
      <c r="DY3441">
        <v>2</v>
      </c>
    </row>
    <row r="3442" spans="1:129" x14ac:dyDescent="0.2">
      <c r="A3442" t="s">
        <v>539</v>
      </c>
      <c r="B3442" s="8">
        <v>1</v>
      </c>
      <c r="C3442" s="8">
        <v>1</v>
      </c>
      <c r="D3442" s="8">
        <v>1</v>
      </c>
      <c r="E3442" s="8">
        <v>1</v>
      </c>
      <c r="F3442">
        <v>2</v>
      </c>
      <c r="G3442">
        <v>2</v>
      </c>
      <c r="H3442">
        <v>2</v>
      </c>
      <c r="I3442">
        <v>2</v>
      </c>
      <c r="J3442">
        <v>2</v>
      </c>
      <c r="K3442">
        <v>2</v>
      </c>
      <c r="L3442">
        <v>2</v>
      </c>
      <c r="M3442">
        <v>2</v>
      </c>
      <c r="N3442">
        <v>2</v>
      </c>
      <c r="O3442">
        <v>2</v>
      </c>
      <c r="P3442">
        <v>2</v>
      </c>
      <c r="Q3442">
        <v>2</v>
      </c>
      <c r="R3442">
        <v>2</v>
      </c>
      <c r="S3442">
        <v>2</v>
      </c>
      <c r="T3442">
        <v>2</v>
      </c>
      <c r="U3442">
        <v>2</v>
      </c>
      <c r="V3442">
        <v>1</v>
      </c>
      <c r="W3442">
        <v>1</v>
      </c>
      <c r="X3442">
        <v>1</v>
      </c>
      <c r="Y3442">
        <v>1</v>
      </c>
      <c r="Z3442">
        <v>1</v>
      </c>
      <c r="AA3442">
        <v>1</v>
      </c>
      <c r="AB3442">
        <v>1</v>
      </c>
      <c r="AC3442">
        <v>1</v>
      </c>
      <c r="AD3442">
        <v>2</v>
      </c>
      <c r="AE3442">
        <v>2</v>
      </c>
      <c r="AF3442">
        <v>2</v>
      </c>
      <c r="AG3442">
        <v>2</v>
      </c>
      <c r="AH3442">
        <v>2</v>
      </c>
      <c r="AI3442">
        <v>2</v>
      </c>
      <c r="AJ3442">
        <v>2</v>
      </c>
      <c r="AK3442">
        <v>2</v>
      </c>
      <c r="AL3442">
        <v>1</v>
      </c>
      <c r="AM3442">
        <v>1</v>
      </c>
      <c r="AN3442">
        <v>2</v>
      </c>
      <c r="AO3442">
        <v>1</v>
      </c>
      <c r="AP3442" s="1140" t="e">
        <f>IF(#REF!=1,2,1)</f>
        <v>#REF!</v>
      </c>
      <c r="AQ3442" t="e">
        <f>IF(#REF!=1,2,1)</f>
        <v>#REF!</v>
      </c>
      <c r="AR3442" t="e">
        <f>IF(#REF!=1,2,1)</f>
        <v>#REF!</v>
      </c>
      <c r="AS3442" t="e">
        <f>IF(#REF!=1,2,1)</f>
        <v>#REF!</v>
      </c>
      <c r="AT3442">
        <v>2</v>
      </c>
      <c r="AU3442">
        <v>2</v>
      </c>
      <c r="AV3442">
        <v>2</v>
      </c>
      <c r="AW3442">
        <v>2</v>
      </c>
      <c r="AX3442">
        <v>1</v>
      </c>
      <c r="AY3442">
        <v>1</v>
      </c>
      <c r="AZ3442">
        <v>1</v>
      </c>
      <c r="BA3442">
        <v>1</v>
      </c>
      <c r="BB3442">
        <v>2</v>
      </c>
      <c r="BC3442">
        <v>2</v>
      </c>
      <c r="BD3442">
        <v>2</v>
      </c>
      <c r="BE3442">
        <v>2</v>
      </c>
      <c r="BF3442">
        <v>2</v>
      </c>
      <c r="BG3442">
        <v>2</v>
      </c>
      <c r="BH3442">
        <v>2</v>
      </c>
      <c r="BI3442">
        <v>2</v>
      </c>
      <c r="BJ3442">
        <v>1</v>
      </c>
      <c r="BK3442">
        <v>1</v>
      </c>
      <c r="BL3442">
        <v>1</v>
      </c>
      <c r="BM3442">
        <v>1</v>
      </c>
      <c r="BN3442">
        <v>2</v>
      </c>
      <c r="BO3442">
        <v>2</v>
      </c>
      <c r="BP3442">
        <v>2</v>
      </c>
      <c r="BQ3442">
        <v>2</v>
      </c>
      <c r="BR3442">
        <v>1</v>
      </c>
      <c r="BS3442">
        <v>1</v>
      </c>
      <c r="BT3442">
        <v>2</v>
      </c>
      <c r="BU3442">
        <v>2</v>
      </c>
      <c r="BV3442" t="e">
        <f>IF(#REF!=1,2,1)</f>
        <v>#REF!</v>
      </c>
      <c r="BW3442" t="e">
        <f>IF(#REF!=1,2,1)</f>
        <v>#REF!</v>
      </c>
      <c r="BX3442" t="e">
        <f>IF(#REF!=1,2,1)</f>
        <v>#REF!</v>
      </c>
      <c r="BY3442" t="e">
        <f>IF(#REF!=1,2,1)</f>
        <v>#REF!</v>
      </c>
      <c r="BZ3442">
        <v>2</v>
      </c>
      <c r="CA3442">
        <v>2</v>
      </c>
      <c r="CB3442">
        <v>2</v>
      </c>
      <c r="CC3442">
        <v>2</v>
      </c>
      <c r="CD3442">
        <v>1</v>
      </c>
      <c r="CE3442">
        <v>1</v>
      </c>
      <c r="CF3442">
        <v>1</v>
      </c>
      <c r="CG3442">
        <v>1</v>
      </c>
      <c r="CH3442">
        <v>2</v>
      </c>
      <c r="CI3442">
        <v>2</v>
      </c>
      <c r="CJ3442">
        <v>2</v>
      </c>
      <c r="CK3442">
        <v>2</v>
      </c>
      <c r="CL3442">
        <v>2</v>
      </c>
      <c r="CM3442">
        <v>2</v>
      </c>
      <c r="CN3442">
        <v>2</v>
      </c>
      <c r="CO3442">
        <v>2</v>
      </c>
      <c r="CP3442" t="e">
        <f>IF(#REF!=1,1,2)</f>
        <v>#REF!</v>
      </c>
      <c r="CQ3442" t="e">
        <f>IF(#REF!=1,1,2)</f>
        <v>#REF!</v>
      </c>
      <c r="CR3442" t="e">
        <f>IF(#REF!=1,1,2)</f>
        <v>#REF!</v>
      </c>
      <c r="CS3442" s="1140" t="e">
        <f>IF(#REF!=1,1,2)</f>
        <v>#REF!</v>
      </c>
      <c r="CT3442">
        <v>2</v>
      </c>
      <c r="CU3442">
        <v>2</v>
      </c>
      <c r="CV3442">
        <v>2</v>
      </c>
      <c r="CW3442">
        <v>2</v>
      </c>
      <c r="CX3442">
        <v>2</v>
      </c>
      <c r="CY3442">
        <v>2</v>
      </c>
      <c r="CZ3442">
        <v>2</v>
      </c>
      <c r="DA3442">
        <v>2</v>
      </c>
      <c r="DB3442">
        <v>2</v>
      </c>
      <c r="DC3442">
        <v>2</v>
      </c>
      <c r="DD3442">
        <v>2</v>
      </c>
      <c r="DE3442">
        <v>2</v>
      </c>
      <c r="DF3442">
        <v>2</v>
      </c>
      <c r="DG3442">
        <v>2</v>
      </c>
      <c r="DH3442">
        <v>2</v>
      </c>
      <c r="DI3442">
        <v>2</v>
      </c>
      <c r="DJ3442">
        <v>2</v>
      </c>
      <c r="DK3442">
        <v>2</v>
      </c>
      <c r="DL3442">
        <v>2</v>
      </c>
      <c r="DM3442">
        <v>2</v>
      </c>
      <c r="DN3442">
        <v>2</v>
      </c>
      <c r="DO3442">
        <v>2</v>
      </c>
      <c r="DP3442">
        <v>2</v>
      </c>
      <c r="DQ3442">
        <v>2</v>
      </c>
      <c r="DR3442">
        <v>2</v>
      </c>
      <c r="DS3442">
        <v>2</v>
      </c>
      <c r="DT3442">
        <v>2</v>
      </c>
      <c r="DU3442">
        <v>2</v>
      </c>
      <c r="DV3442">
        <v>2</v>
      </c>
      <c r="DW3442">
        <v>2</v>
      </c>
      <c r="DX3442">
        <v>2</v>
      </c>
      <c r="DY3442">
        <v>2</v>
      </c>
    </row>
    <row r="3443" spans="1:129" x14ac:dyDescent="0.2">
      <c r="A3443" t="s">
        <v>540</v>
      </c>
      <c r="B3443" s="8">
        <v>1</v>
      </c>
      <c r="C3443" s="8">
        <v>1</v>
      </c>
      <c r="D3443" s="8">
        <v>1</v>
      </c>
      <c r="E3443" s="8">
        <v>1</v>
      </c>
      <c r="F3443">
        <v>1</v>
      </c>
      <c r="G3443">
        <v>1</v>
      </c>
      <c r="H3443">
        <v>1</v>
      </c>
      <c r="I3443">
        <v>1</v>
      </c>
      <c r="J3443">
        <v>1</v>
      </c>
      <c r="K3443">
        <v>1</v>
      </c>
      <c r="L3443">
        <v>1</v>
      </c>
      <c r="M3443">
        <v>1</v>
      </c>
      <c r="N3443">
        <v>1</v>
      </c>
      <c r="O3443">
        <v>1</v>
      </c>
      <c r="P3443">
        <v>1</v>
      </c>
      <c r="Q3443">
        <v>1</v>
      </c>
      <c r="R3443">
        <v>1</v>
      </c>
      <c r="S3443">
        <v>1</v>
      </c>
      <c r="T3443">
        <v>1</v>
      </c>
      <c r="U3443">
        <v>1</v>
      </c>
      <c r="V3443">
        <v>1</v>
      </c>
      <c r="W3443">
        <v>1</v>
      </c>
      <c r="X3443">
        <v>1</v>
      </c>
      <c r="Y3443">
        <v>1</v>
      </c>
      <c r="Z3443">
        <v>1</v>
      </c>
      <c r="AA3443">
        <v>1</v>
      </c>
      <c r="AB3443">
        <v>1</v>
      </c>
      <c r="AC3443">
        <v>1</v>
      </c>
      <c r="AD3443">
        <v>1</v>
      </c>
      <c r="AE3443">
        <v>1</v>
      </c>
      <c r="AF3443">
        <v>1</v>
      </c>
      <c r="AG3443">
        <v>1</v>
      </c>
      <c r="AH3443">
        <v>1</v>
      </c>
      <c r="AI3443">
        <v>1</v>
      </c>
      <c r="AJ3443">
        <v>1</v>
      </c>
      <c r="AK3443">
        <v>1</v>
      </c>
      <c r="AL3443">
        <v>1</v>
      </c>
      <c r="AM3443">
        <v>1</v>
      </c>
      <c r="AN3443">
        <v>1</v>
      </c>
      <c r="AO3443">
        <v>1</v>
      </c>
      <c r="AP3443">
        <v>1</v>
      </c>
      <c r="AQ3443">
        <v>1</v>
      </c>
      <c r="AR3443">
        <v>1</v>
      </c>
      <c r="AS3443">
        <v>1</v>
      </c>
      <c r="AT3443">
        <v>1</v>
      </c>
      <c r="AU3443">
        <v>1</v>
      </c>
      <c r="AV3443">
        <v>1</v>
      </c>
      <c r="AW3443">
        <v>1</v>
      </c>
      <c r="AX3443">
        <v>1</v>
      </c>
      <c r="AY3443">
        <v>1</v>
      </c>
      <c r="AZ3443">
        <v>1</v>
      </c>
      <c r="BA3443">
        <v>1</v>
      </c>
      <c r="BB3443">
        <v>1</v>
      </c>
      <c r="BC3443">
        <v>1</v>
      </c>
      <c r="BD3443">
        <v>1</v>
      </c>
      <c r="BE3443">
        <v>1</v>
      </c>
      <c r="BF3443">
        <v>1</v>
      </c>
      <c r="BG3443">
        <v>1</v>
      </c>
      <c r="BH3443">
        <v>1</v>
      </c>
      <c r="BI3443">
        <v>1</v>
      </c>
      <c r="BJ3443">
        <v>1</v>
      </c>
      <c r="BK3443">
        <v>1</v>
      </c>
      <c r="BL3443">
        <v>1</v>
      </c>
      <c r="BM3443">
        <v>1</v>
      </c>
      <c r="BN3443">
        <v>1</v>
      </c>
      <c r="BO3443">
        <v>1</v>
      </c>
      <c r="BP3443">
        <v>1</v>
      </c>
      <c r="BQ3443">
        <v>1</v>
      </c>
      <c r="BR3443">
        <v>1</v>
      </c>
      <c r="BS3443">
        <v>1</v>
      </c>
      <c r="BT3443">
        <v>1</v>
      </c>
      <c r="BU3443">
        <v>1</v>
      </c>
      <c r="BV3443">
        <v>1</v>
      </c>
      <c r="BW3443">
        <v>1</v>
      </c>
      <c r="BX3443">
        <v>1</v>
      </c>
      <c r="BY3443">
        <v>1</v>
      </c>
      <c r="BZ3443">
        <v>1</v>
      </c>
      <c r="CA3443">
        <v>1</v>
      </c>
      <c r="CB3443">
        <v>1</v>
      </c>
      <c r="CC3443">
        <v>1</v>
      </c>
      <c r="CD3443">
        <v>1</v>
      </c>
      <c r="CE3443">
        <v>1</v>
      </c>
      <c r="CF3443">
        <v>1</v>
      </c>
      <c r="CG3443">
        <v>1</v>
      </c>
      <c r="CH3443">
        <v>1</v>
      </c>
      <c r="CI3443">
        <v>1</v>
      </c>
      <c r="CJ3443">
        <v>1</v>
      </c>
      <c r="CK3443">
        <v>1</v>
      </c>
      <c r="CL3443">
        <v>1</v>
      </c>
      <c r="CM3443">
        <v>1</v>
      </c>
      <c r="CN3443">
        <v>1</v>
      </c>
      <c r="CO3443">
        <v>1</v>
      </c>
      <c r="CP3443">
        <v>1</v>
      </c>
      <c r="CQ3443">
        <v>1</v>
      </c>
      <c r="CR3443">
        <v>1</v>
      </c>
      <c r="CS3443" s="1140">
        <v>1</v>
      </c>
      <c r="CT3443">
        <v>1</v>
      </c>
      <c r="CU3443">
        <v>1</v>
      </c>
      <c r="CV3443">
        <v>1</v>
      </c>
      <c r="CW3443">
        <v>1</v>
      </c>
      <c r="CX3443">
        <v>1</v>
      </c>
      <c r="CY3443">
        <v>1</v>
      </c>
      <c r="CZ3443">
        <v>1</v>
      </c>
      <c r="DA3443">
        <v>1</v>
      </c>
      <c r="DB3443">
        <v>1</v>
      </c>
      <c r="DC3443">
        <v>1</v>
      </c>
      <c r="DD3443">
        <v>1</v>
      </c>
      <c r="DE3443">
        <v>1</v>
      </c>
      <c r="DF3443">
        <v>1</v>
      </c>
      <c r="DG3443">
        <v>1</v>
      </c>
      <c r="DH3443">
        <v>1</v>
      </c>
      <c r="DI3443">
        <v>1</v>
      </c>
      <c r="DJ3443">
        <v>1</v>
      </c>
      <c r="DK3443">
        <v>1</v>
      </c>
      <c r="DL3443">
        <v>1</v>
      </c>
      <c r="DM3443">
        <v>1</v>
      </c>
      <c r="DN3443">
        <v>1</v>
      </c>
      <c r="DO3443">
        <v>1</v>
      </c>
      <c r="DP3443">
        <v>1</v>
      </c>
      <c r="DQ3443">
        <v>1</v>
      </c>
      <c r="DR3443">
        <v>1</v>
      </c>
      <c r="DS3443">
        <v>1</v>
      </c>
      <c r="DT3443">
        <v>1</v>
      </c>
      <c r="DU3443">
        <v>1</v>
      </c>
      <c r="DV3443">
        <v>1</v>
      </c>
      <c r="DW3443">
        <v>1</v>
      </c>
      <c r="DX3443">
        <v>1</v>
      </c>
      <c r="DY3443">
        <v>1</v>
      </c>
    </row>
    <row r="3444" spans="1:129" x14ac:dyDescent="0.2">
      <c r="A3444" t="s">
        <v>406</v>
      </c>
      <c r="B3444" s="8">
        <f>IF(B635=1,0,1)</f>
        <v>0</v>
      </c>
      <c r="C3444" s="8">
        <f>IF(B635=1,0,1)</f>
        <v>0</v>
      </c>
      <c r="D3444" s="8">
        <f>IF(B635=1,0,1)</f>
        <v>0</v>
      </c>
      <c r="E3444" s="8">
        <f>IF(B635=1,0,2)</f>
        <v>0</v>
      </c>
      <c r="F3444">
        <v>0</v>
      </c>
      <c r="G3444">
        <v>0</v>
      </c>
      <c r="H3444">
        <v>0</v>
      </c>
      <c r="I3444">
        <v>0</v>
      </c>
      <c r="J3444">
        <v>0</v>
      </c>
      <c r="K3444">
        <v>0</v>
      </c>
      <c r="L3444">
        <v>0</v>
      </c>
      <c r="M3444">
        <v>0</v>
      </c>
      <c r="N3444">
        <v>1</v>
      </c>
      <c r="O3444">
        <v>1</v>
      </c>
      <c r="P3444">
        <v>1</v>
      </c>
      <c r="Q3444">
        <v>1</v>
      </c>
      <c r="R3444">
        <v>0</v>
      </c>
      <c r="S3444">
        <v>0</v>
      </c>
      <c r="T3444">
        <v>0</v>
      </c>
      <c r="U3444">
        <v>0</v>
      </c>
      <c r="V3444">
        <f>IF(B635=1,1,0)</f>
        <v>1</v>
      </c>
      <c r="W3444">
        <f>IF(B635=1,1,0)</f>
        <v>1</v>
      </c>
      <c r="X3444">
        <v>1</v>
      </c>
      <c r="Y3444">
        <f>IF(B635=1,1,0)</f>
        <v>1</v>
      </c>
      <c r="Z3444">
        <v>2</v>
      </c>
      <c r="AA3444">
        <v>2</v>
      </c>
      <c r="AB3444">
        <v>2</v>
      </c>
      <c r="AC3444">
        <v>2</v>
      </c>
      <c r="AD3444">
        <f>IF(B635=1,1,0)</f>
        <v>1</v>
      </c>
      <c r="AE3444">
        <f>IF(B635=1,1,0)</f>
        <v>1</v>
      </c>
      <c r="AF3444">
        <f>IF(B635=1,1,0)</f>
        <v>1</v>
      </c>
      <c r="AG3444">
        <v>1</v>
      </c>
      <c r="AH3444">
        <v>1</v>
      </c>
      <c r="AI3444">
        <v>1</v>
      </c>
      <c r="AJ3444">
        <v>1</v>
      </c>
      <c r="AK3444">
        <v>1</v>
      </c>
      <c r="AL3444" t="e">
        <f>IF(#REF!=1,1,0)</f>
        <v>#REF!</v>
      </c>
      <c r="AM3444" t="e">
        <f>IF(#REF!=1,1,0)</f>
        <v>#REF!</v>
      </c>
      <c r="AN3444">
        <v>1</v>
      </c>
      <c r="AO3444" t="e">
        <f>IF(#REF!=1,1,0)</f>
        <v>#REF!</v>
      </c>
      <c r="AP3444" t="e">
        <f>IF(#REF!=1,1,0)</f>
        <v>#REF!</v>
      </c>
      <c r="AQ3444" t="e">
        <f>IF(#REF!=1,1,0)</f>
        <v>#REF!</v>
      </c>
      <c r="AR3444" t="e">
        <f>IF(#REF!=1,1,0)</f>
        <v>#REF!</v>
      </c>
      <c r="AS3444" t="e">
        <f>IF(#REF!=1,1,0)</f>
        <v>#REF!</v>
      </c>
      <c r="AT3444">
        <v>1</v>
      </c>
      <c r="AU3444">
        <v>1</v>
      </c>
      <c r="AV3444">
        <v>1</v>
      </c>
      <c r="AW3444">
        <v>1</v>
      </c>
      <c r="AX3444">
        <v>1</v>
      </c>
      <c r="AY3444">
        <v>1</v>
      </c>
      <c r="AZ3444">
        <v>1</v>
      </c>
      <c r="BA3444">
        <v>1</v>
      </c>
      <c r="BB3444">
        <v>1</v>
      </c>
      <c r="BC3444">
        <v>1</v>
      </c>
      <c r="BD3444">
        <v>1</v>
      </c>
      <c r="BE3444">
        <v>1</v>
      </c>
      <c r="BF3444" t="e">
        <f>IF(#REF!=1,0,1)</f>
        <v>#REF!</v>
      </c>
      <c r="BG3444" t="e">
        <f>IF(#REF!=1,0,1)</f>
        <v>#REF!</v>
      </c>
      <c r="BH3444" t="e">
        <f>IF(#REF!=1,0,1)</f>
        <v>#REF!</v>
      </c>
      <c r="BI3444" t="e">
        <f>IF(#REF!=1,0,1)</f>
        <v>#REF!</v>
      </c>
      <c r="BJ3444" t="e">
        <f>IF(#REF!=1,1,2)</f>
        <v>#REF!</v>
      </c>
      <c r="BK3444" t="e">
        <f>IF(#REF!=1,1,2)</f>
        <v>#REF!</v>
      </c>
      <c r="BL3444" t="e">
        <f>IF(#REF!=1,1,2)</f>
        <v>#REF!</v>
      </c>
      <c r="BM3444" t="e">
        <f>IF(#REF!=1,1,2)</f>
        <v>#REF!</v>
      </c>
      <c r="BN3444">
        <v>0</v>
      </c>
      <c r="BO3444">
        <v>0</v>
      </c>
      <c r="BP3444">
        <v>0</v>
      </c>
      <c r="BQ3444">
        <v>0</v>
      </c>
      <c r="BR3444" t="e">
        <f>IF(#REF!=1,1,0)</f>
        <v>#REF!</v>
      </c>
      <c r="BS3444" t="e">
        <f>IF(#REF!=1,1,0)</f>
        <v>#REF!</v>
      </c>
      <c r="BT3444">
        <v>1</v>
      </c>
      <c r="BU3444">
        <v>0</v>
      </c>
      <c r="BV3444">
        <v>1</v>
      </c>
      <c r="BW3444">
        <v>1</v>
      </c>
      <c r="BX3444">
        <v>1</v>
      </c>
      <c r="BY3444">
        <v>1</v>
      </c>
      <c r="BZ3444" t="e">
        <f>IF(#REF!=1,1,0)</f>
        <v>#REF!</v>
      </c>
      <c r="CA3444" t="e">
        <f>IF(#REF!=1,1,0)</f>
        <v>#REF!</v>
      </c>
      <c r="CB3444" t="e">
        <f>IF(#REF!=1,1,0)</f>
        <v>#REF!</v>
      </c>
      <c r="CC3444" t="e">
        <f>IF(#REF!=1,1,0)</f>
        <v>#REF!</v>
      </c>
      <c r="CD3444">
        <v>1</v>
      </c>
      <c r="CE3444">
        <v>1</v>
      </c>
      <c r="CF3444">
        <v>1</v>
      </c>
      <c r="CG3444">
        <v>1</v>
      </c>
      <c r="CH3444">
        <v>1</v>
      </c>
      <c r="CI3444">
        <v>1</v>
      </c>
      <c r="CJ3444">
        <v>1</v>
      </c>
      <c r="CK3444">
        <v>1</v>
      </c>
      <c r="CL3444">
        <v>1</v>
      </c>
      <c r="CM3444">
        <v>1</v>
      </c>
      <c r="CN3444">
        <v>1</v>
      </c>
      <c r="CO3444">
        <v>1</v>
      </c>
      <c r="CP3444">
        <v>1</v>
      </c>
      <c r="CQ3444">
        <v>1</v>
      </c>
      <c r="CR3444">
        <v>1</v>
      </c>
      <c r="CS3444" s="1140">
        <v>1</v>
      </c>
      <c r="CT3444">
        <v>0</v>
      </c>
      <c r="CU3444">
        <v>0</v>
      </c>
      <c r="CV3444">
        <v>0</v>
      </c>
      <c r="CW3444">
        <v>0</v>
      </c>
      <c r="CX3444">
        <v>1</v>
      </c>
      <c r="CY3444">
        <v>1</v>
      </c>
      <c r="CZ3444">
        <v>1</v>
      </c>
      <c r="DA3444">
        <v>1</v>
      </c>
      <c r="DB3444">
        <v>1</v>
      </c>
      <c r="DC3444">
        <v>1</v>
      </c>
      <c r="DD3444">
        <v>1</v>
      </c>
      <c r="DE3444">
        <v>1</v>
      </c>
      <c r="DF3444">
        <v>1</v>
      </c>
      <c r="DG3444">
        <v>1</v>
      </c>
      <c r="DH3444">
        <v>1</v>
      </c>
      <c r="DI3444">
        <v>1</v>
      </c>
      <c r="DJ3444" t="e">
        <f>IF(#REF!=1,1,1)</f>
        <v>#REF!</v>
      </c>
      <c r="DK3444" t="e">
        <f>IF(#REF!=1,1,1)</f>
        <v>#REF!</v>
      </c>
      <c r="DL3444" t="e">
        <f>IF(#REF!=1,1,1)</f>
        <v>#REF!</v>
      </c>
      <c r="DM3444" t="e">
        <f>IF(#REF!=1,1,1)</f>
        <v>#REF!</v>
      </c>
      <c r="DN3444">
        <v>0</v>
      </c>
      <c r="DO3444">
        <v>0</v>
      </c>
      <c r="DP3444">
        <v>0</v>
      </c>
      <c r="DQ3444">
        <v>0</v>
      </c>
      <c r="DR3444">
        <v>1</v>
      </c>
      <c r="DS3444">
        <v>1</v>
      </c>
      <c r="DT3444">
        <v>1</v>
      </c>
      <c r="DU3444">
        <v>1</v>
      </c>
      <c r="DV3444">
        <v>1</v>
      </c>
      <c r="DW3444">
        <v>1</v>
      </c>
      <c r="DX3444">
        <v>1</v>
      </c>
      <c r="DY3444">
        <v>1</v>
      </c>
    </row>
    <row r="3445" spans="1:129" x14ac:dyDescent="0.2">
      <c r="A3445" t="s">
        <v>541</v>
      </c>
      <c r="B3445" s="8">
        <v>1</v>
      </c>
      <c r="C3445" s="8">
        <v>1</v>
      </c>
      <c r="D3445" s="8">
        <v>1</v>
      </c>
      <c r="E3445" s="8">
        <f>IF(B635=1,1,2)</f>
        <v>1</v>
      </c>
      <c r="F3445">
        <v>1</v>
      </c>
      <c r="G3445">
        <v>1</v>
      </c>
      <c r="H3445">
        <v>1</v>
      </c>
      <c r="I3445">
        <v>1</v>
      </c>
      <c r="J3445">
        <v>1</v>
      </c>
      <c r="K3445">
        <v>1</v>
      </c>
      <c r="L3445">
        <v>1</v>
      </c>
      <c r="M3445">
        <v>1</v>
      </c>
      <c r="N3445">
        <f>IF(B635=1,1,2)</f>
        <v>1</v>
      </c>
      <c r="O3445" t="e">
        <f>IF(#REF!=1,1,2)</f>
        <v>#REF!</v>
      </c>
      <c r="P3445" t="e">
        <f>IF(#REF!=1,1,2)</f>
        <v>#REF!</v>
      </c>
      <c r="Q3445">
        <f>IF(B635=1,1,2)</f>
        <v>1</v>
      </c>
      <c r="R3445">
        <v>1</v>
      </c>
      <c r="S3445">
        <v>1</v>
      </c>
      <c r="T3445">
        <v>1</v>
      </c>
      <c r="U3445">
        <v>1</v>
      </c>
      <c r="V3445">
        <v>1</v>
      </c>
      <c r="W3445">
        <v>1</v>
      </c>
      <c r="X3445">
        <v>1</v>
      </c>
      <c r="Y3445">
        <v>1</v>
      </c>
      <c r="Z3445">
        <f>IF(B635=1,2,1)</f>
        <v>2</v>
      </c>
      <c r="AA3445">
        <f>IF(B635=1,2,1)</f>
        <v>2</v>
      </c>
      <c r="AB3445">
        <f>IF(B635=1,2,1)</f>
        <v>2</v>
      </c>
      <c r="AC3445">
        <f>IF(B635=1,2,1)</f>
        <v>2</v>
      </c>
      <c r="AD3445">
        <f>IF(B635=1,2,1)</f>
        <v>2</v>
      </c>
      <c r="AE3445">
        <f>IF(B635=1,2,1)</f>
        <v>2</v>
      </c>
      <c r="AF3445">
        <f>IF(B635=1,2,1)</f>
        <v>2</v>
      </c>
      <c r="AG3445">
        <f>IF(B635=1,2,1)</f>
        <v>2</v>
      </c>
      <c r="AH3445">
        <f>IF(B635=1,2,1)</f>
        <v>2</v>
      </c>
      <c r="AI3445">
        <f>IF(B635=1,2,1)</f>
        <v>2</v>
      </c>
      <c r="AJ3445">
        <f>IF(B635=1,2,1)</f>
        <v>2</v>
      </c>
      <c r="AK3445">
        <f>IF(B635=1,2,1)</f>
        <v>2</v>
      </c>
      <c r="AL3445">
        <v>1</v>
      </c>
      <c r="AM3445">
        <v>1</v>
      </c>
      <c r="AN3445" t="e">
        <f>IF(#REF!=1,2,1)</f>
        <v>#REF!</v>
      </c>
      <c r="AO3445">
        <v>1</v>
      </c>
      <c r="AP3445" t="e">
        <f>IF(#REF!=1,2,1)</f>
        <v>#REF!</v>
      </c>
      <c r="AQ3445" t="e">
        <f>IF(#REF!=1,2,1)</f>
        <v>#REF!</v>
      </c>
      <c r="AR3445" t="e">
        <f>IF(#REF!=1,2,1)</f>
        <v>#REF!</v>
      </c>
      <c r="AS3445" t="e">
        <f>IF(#REF!=1,2,1)</f>
        <v>#REF!</v>
      </c>
      <c r="AT3445" t="e">
        <f>IF(#REF!=1,2,1)</f>
        <v>#REF!</v>
      </c>
      <c r="AU3445" t="e">
        <f>IF(#REF!=1,2,1)</f>
        <v>#REF!</v>
      </c>
      <c r="AV3445" t="e">
        <f>IF(#REF!=1,2,1)</f>
        <v>#REF!</v>
      </c>
      <c r="AW3445" t="e">
        <f>IF(#REF!=1,2,1)</f>
        <v>#REF!</v>
      </c>
      <c r="AX3445">
        <v>1</v>
      </c>
      <c r="AY3445">
        <v>1</v>
      </c>
      <c r="AZ3445">
        <v>1</v>
      </c>
      <c r="BA3445">
        <v>1</v>
      </c>
      <c r="BB3445" t="e">
        <f>IF(#REF!=1,1,2)</f>
        <v>#REF!</v>
      </c>
      <c r="BC3445" t="e">
        <f>IF(#REF!=1,1,2)</f>
        <v>#REF!</v>
      </c>
      <c r="BD3445" t="e">
        <f>IF(#REF!=1,1,2)</f>
        <v>#REF!</v>
      </c>
      <c r="BE3445" t="e">
        <f>IF(#REF!=1,1,2)</f>
        <v>#REF!</v>
      </c>
      <c r="BF3445" t="e">
        <f>IF(#REF!=1,1,2)</f>
        <v>#REF!</v>
      </c>
      <c r="BG3445" t="e">
        <f>IF(#REF!=1,1,2)</f>
        <v>#REF!</v>
      </c>
      <c r="BH3445" t="e">
        <f>IF(#REF!=1,1,2)</f>
        <v>#REF!</v>
      </c>
      <c r="BI3445" t="e">
        <f>IF(#REF!=1,1,2)</f>
        <v>#REF!</v>
      </c>
      <c r="BJ3445" t="e">
        <f>IF(#REF!=1,1,2)</f>
        <v>#REF!</v>
      </c>
      <c r="BK3445" t="e">
        <f>IF(#REF!=1,1,2)</f>
        <v>#REF!</v>
      </c>
      <c r="BL3445" t="e">
        <f>IF(#REF!=1,1,2)</f>
        <v>#REF!</v>
      </c>
      <c r="BM3445" t="e">
        <f>IF(#REF!=1,1,2)</f>
        <v>#REF!</v>
      </c>
      <c r="BN3445">
        <v>1</v>
      </c>
      <c r="BO3445">
        <v>1</v>
      </c>
      <c r="BP3445">
        <v>1</v>
      </c>
      <c r="BQ3445">
        <v>1</v>
      </c>
      <c r="BR3445">
        <v>1</v>
      </c>
      <c r="BS3445">
        <v>1</v>
      </c>
      <c r="BT3445" t="e">
        <f>IF(#REF!=1,2,1)</f>
        <v>#REF!</v>
      </c>
      <c r="BU3445">
        <v>1</v>
      </c>
      <c r="BV3445" t="e">
        <f>IF(#REF!=1,2,1)</f>
        <v>#REF!</v>
      </c>
      <c r="BW3445" t="e">
        <f>IF(#REF!=1,2,1)</f>
        <v>#REF!</v>
      </c>
      <c r="BX3445" t="e">
        <f>IF(#REF!=1,2,1)</f>
        <v>#REF!</v>
      </c>
      <c r="BY3445" t="e">
        <f>IF(#REF!=1,2,1)</f>
        <v>#REF!</v>
      </c>
      <c r="BZ3445" t="e">
        <f>IF(#REF!=1,2,1)</f>
        <v>#REF!</v>
      </c>
      <c r="CA3445" t="e">
        <f>IF(#REF!=1,2,1)</f>
        <v>#REF!</v>
      </c>
      <c r="CB3445" t="e">
        <f>IF(#REF!=1,2,1)</f>
        <v>#REF!</v>
      </c>
      <c r="CC3445" t="e">
        <f>IF(#REF!=1,2,1)</f>
        <v>#REF!</v>
      </c>
      <c r="CD3445">
        <v>1</v>
      </c>
      <c r="CE3445">
        <v>1</v>
      </c>
      <c r="CF3445">
        <v>1</v>
      </c>
      <c r="CG3445">
        <v>1</v>
      </c>
      <c r="CH3445" t="e">
        <f>IF(#REF!=1,1,2)</f>
        <v>#REF!</v>
      </c>
      <c r="CI3445" t="e">
        <f>IF(#REF!=1,1,2)</f>
        <v>#REF!</v>
      </c>
      <c r="CJ3445" t="e">
        <f>IF(#REF!=1,1,2)</f>
        <v>#REF!</v>
      </c>
      <c r="CK3445" t="e">
        <f>IF(#REF!=1,1,2)</f>
        <v>#REF!</v>
      </c>
      <c r="CL3445" t="e">
        <f>IF(#REF!=1,1,2)</f>
        <v>#REF!</v>
      </c>
      <c r="CM3445" t="e">
        <f>IF(#REF!=1,1,2)</f>
        <v>#REF!</v>
      </c>
      <c r="CN3445" t="e">
        <f>IF(#REF!=1,1,2)</f>
        <v>#REF!</v>
      </c>
      <c r="CO3445" t="e">
        <f>IF(#REF!=1,1,2)</f>
        <v>#REF!</v>
      </c>
      <c r="CP3445" t="e">
        <f>IF(#REF!=1,1,2)</f>
        <v>#REF!</v>
      </c>
      <c r="CQ3445" t="e">
        <f>IF(#REF!=1,1,2)</f>
        <v>#REF!</v>
      </c>
      <c r="CR3445" t="e">
        <f>IF(#REF!=1,1,2)</f>
        <v>#REF!</v>
      </c>
      <c r="CS3445" s="1140" t="e">
        <f>IF(#REF!=1,1,2)</f>
        <v>#REF!</v>
      </c>
      <c r="CT3445">
        <v>1</v>
      </c>
      <c r="CU3445">
        <v>1</v>
      </c>
      <c r="CV3445">
        <v>1</v>
      </c>
      <c r="CW3445">
        <v>1</v>
      </c>
      <c r="CX3445" t="e">
        <f>IF(#REF!=1,1,2)</f>
        <v>#REF!</v>
      </c>
      <c r="CY3445" t="e">
        <f>IF(#REF!=1,1,2)</f>
        <v>#REF!</v>
      </c>
      <c r="CZ3445" t="e">
        <f>IF(#REF!=1,1,2)</f>
        <v>#REF!</v>
      </c>
      <c r="DA3445" t="e">
        <f>IF(#REF!=1,1,2)</f>
        <v>#REF!</v>
      </c>
      <c r="DB3445" t="e">
        <f>IF(#REF!=1,1,2)</f>
        <v>#REF!</v>
      </c>
      <c r="DC3445" t="e">
        <f>IF(#REF!=1,1,2)</f>
        <v>#REF!</v>
      </c>
      <c r="DD3445" t="e">
        <f>IF(#REF!=1,1,2)</f>
        <v>#REF!</v>
      </c>
      <c r="DE3445" t="e">
        <f>IF(#REF!=1,1,2)</f>
        <v>#REF!</v>
      </c>
      <c r="DF3445" t="e">
        <f>IF(#REF!=1,1,2)</f>
        <v>#REF!</v>
      </c>
      <c r="DG3445" t="e">
        <f>IF(#REF!=1,1,2)</f>
        <v>#REF!</v>
      </c>
      <c r="DH3445" t="e">
        <f>IF(#REF!=1,1,2)</f>
        <v>#REF!</v>
      </c>
      <c r="DI3445" t="e">
        <f>IF(#REF!=1,1,2)</f>
        <v>#REF!</v>
      </c>
      <c r="DJ3445">
        <v>1</v>
      </c>
      <c r="DK3445">
        <v>1</v>
      </c>
      <c r="DL3445">
        <v>1</v>
      </c>
      <c r="DM3445">
        <v>1</v>
      </c>
      <c r="DN3445">
        <v>1</v>
      </c>
      <c r="DO3445">
        <v>1</v>
      </c>
      <c r="DP3445">
        <v>1</v>
      </c>
      <c r="DQ3445">
        <v>1</v>
      </c>
      <c r="DR3445" t="e">
        <f>IF(#REF!=1,2,1)</f>
        <v>#REF!</v>
      </c>
      <c r="DS3445" t="e">
        <f>IF(#REF!=1,2,1)</f>
        <v>#REF!</v>
      </c>
      <c r="DT3445" t="e">
        <f>IF(#REF!=1,2,1)</f>
        <v>#REF!</v>
      </c>
      <c r="DU3445" t="e">
        <f>IF(#REF!=1,2,1)</f>
        <v>#REF!</v>
      </c>
      <c r="DV3445" t="e">
        <f>IF(#REF!=1,2,1)</f>
        <v>#REF!</v>
      </c>
      <c r="DW3445" t="e">
        <f>IF(#REF!=1,2,1)</f>
        <v>#REF!</v>
      </c>
      <c r="DX3445" t="e">
        <f>IF(#REF!=1,2,1)</f>
        <v>#REF!</v>
      </c>
      <c r="DY3445" t="e">
        <f>IF(#REF!=1,2,1)</f>
        <v>#REF!</v>
      </c>
    </row>
    <row r="3446" spans="1:129" x14ac:dyDescent="0.2">
      <c r="A3446" t="s">
        <v>407</v>
      </c>
      <c r="B3446" s="8">
        <f>IF(B635=2,1,0)</f>
        <v>0</v>
      </c>
      <c r="C3446" s="8">
        <f>IF(B635=2,1,0)</f>
        <v>0</v>
      </c>
      <c r="D3446" s="8">
        <f>IF(B635=2,1,0)</f>
        <v>0</v>
      </c>
      <c r="E3446" s="8">
        <f>IF(B635=2,1,0)</f>
        <v>0</v>
      </c>
      <c r="F3446">
        <f>IF(B635=2,1,0)</f>
        <v>0</v>
      </c>
      <c r="G3446">
        <f>IF(B635=2,1,0)</f>
        <v>0</v>
      </c>
      <c r="H3446">
        <f>IF(B635=2,1,0)</f>
        <v>0</v>
      </c>
      <c r="I3446">
        <f>IF(B635=2,1,0)</f>
        <v>0</v>
      </c>
      <c r="J3446">
        <f>IF(B635=2,1,0)</f>
        <v>0</v>
      </c>
      <c r="K3446">
        <f>IF(B635=2,1,0)</f>
        <v>0</v>
      </c>
      <c r="L3446">
        <f>IF(B635=2,1,0)</f>
        <v>0</v>
      </c>
      <c r="M3446">
        <f>IF(B635=2,1,0)</f>
        <v>0</v>
      </c>
      <c r="N3446">
        <f>IF(B635=2,1,0)</f>
        <v>0</v>
      </c>
      <c r="O3446" t="e">
        <f>IF(#REF!=2,1,0)</f>
        <v>#REF!</v>
      </c>
      <c r="P3446" t="e">
        <f>IF(#REF!=2,1,0)</f>
        <v>#REF!</v>
      </c>
      <c r="Q3446">
        <f>IF(B635=2,1,0)</f>
        <v>0</v>
      </c>
      <c r="R3446">
        <f>IF(B635=2,0,1)</f>
        <v>1</v>
      </c>
      <c r="S3446">
        <f>IF(B635=2,0,1)</f>
        <v>1</v>
      </c>
      <c r="T3446">
        <f>IF(B635=2,0,1)</f>
        <v>1</v>
      </c>
      <c r="U3446">
        <f>IF(B635=2,0,1)</f>
        <v>1</v>
      </c>
      <c r="V3446">
        <f>IF(B635=2,0,1)</f>
        <v>1</v>
      </c>
      <c r="W3446">
        <f>IF(B635=2,0,1)</f>
        <v>1</v>
      </c>
      <c r="X3446">
        <f>IF(B635=2,0,1)</f>
        <v>1</v>
      </c>
      <c r="Y3446">
        <f>IF(B635=2,0,1)</f>
        <v>1</v>
      </c>
      <c r="Z3446">
        <f>IF(B635=2,0,1)</f>
        <v>1</v>
      </c>
      <c r="AA3446">
        <f>IF(B635=2,0,1)</f>
        <v>1</v>
      </c>
      <c r="AB3446">
        <f>IF(B635=2,0,1)</f>
        <v>1</v>
      </c>
      <c r="AC3446">
        <f>IF(B635=2,0,1)</f>
        <v>1</v>
      </c>
      <c r="AD3446">
        <f>IF(B635=2,0,1)</f>
        <v>1</v>
      </c>
      <c r="AE3446">
        <f>IF(B635=2,0,1)</f>
        <v>1</v>
      </c>
      <c r="AF3446">
        <f>IF(B635=2,0,1)</f>
        <v>1</v>
      </c>
      <c r="AG3446">
        <f>IF(B635=2,0,1)</f>
        <v>1</v>
      </c>
      <c r="AH3446">
        <f>IF(B635=2,0,1)</f>
        <v>1</v>
      </c>
      <c r="AI3446">
        <f>IF(B635=2,0,1)</f>
        <v>1</v>
      </c>
      <c r="AJ3446">
        <f>IF(B635=2,0,1)</f>
        <v>1</v>
      </c>
      <c r="AK3446">
        <f>IF(B635=2,0,1)</f>
        <v>1</v>
      </c>
      <c r="AL3446" t="e">
        <f>IF(#REF!=2,0,1)</f>
        <v>#REF!</v>
      </c>
      <c r="AM3446" t="e">
        <f>IF(#REF!=2,0,1)</f>
        <v>#REF!</v>
      </c>
      <c r="AN3446" t="e">
        <f>IF(#REF!=2,0,1)</f>
        <v>#REF!</v>
      </c>
      <c r="AO3446" t="e">
        <f>IF(#REF!=2,0,1)</f>
        <v>#REF!</v>
      </c>
      <c r="AP3446" t="e">
        <f>IF(#REF!=2,0,1)</f>
        <v>#REF!</v>
      </c>
      <c r="AQ3446" t="e">
        <f>IF(#REF!=2,0,1)</f>
        <v>#REF!</v>
      </c>
      <c r="AR3446" t="e">
        <f>IF(#REF!=2,0,1)</f>
        <v>#REF!</v>
      </c>
      <c r="AS3446" t="e">
        <f>IF(#REF!=2,0,1)</f>
        <v>#REF!</v>
      </c>
      <c r="AT3446" t="e">
        <f>IF(#REF!=2,0,1)</f>
        <v>#REF!</v>
      </c>
      <c r="AU3446" t="e">
        <f>IF(#REF!=2,0,1)</f>
        <v>#REF!</v>
      </c>
      <c r="AV3446" t="e">
        <f>IF(#REF!=2,0,1)</f>
        <v>#REF!</v>
      </c>
      <c r="AW3446" t="e">
        <f>IF(#REF!=2,0,1)</f>
        <v>#REF!</v>
      </c>
      <c r="AX3446" t="e">
        <f>IF(#REF!=2,1,0)</f>
        <v>#REF!</v>
      </c>
      <c r="AY3446" t="e">
        <f>IF(#REF!=2,1,0)</f>
        <v>#REF!</v>
      </c>
      <c r="AZ3446" t="e">
        <f>IF(#REF!=2,1,0)</f>
        <v>#REF!</v>
      </c>
      <c r="BA3446" t="e">
        <f>IF(#REF!=2,1,0)</f>
        <v>#REF!</v>
      </c>
      <c r="BB3446" t="e">
        <f>IF(#REF!=2,1,0)</f>
        <v>#REF!</v>
      </c>
      <c r="BC3446" t="e">
        <f>IF(#REF!=2,1,0)</f>
        <v>#REF!</v>
      </c>
      <c r="BD3446" t="e">
        <f>IF(#REF!=2,1,0)</f>
        <v>#REF!</v>
      </c>
      <c r="BE3446" t="e">
        <f>IF(#REF!=2,1,0)</f>
        <v>#REF!</v>
      </c>
      <c r="BF3446" t="e">
        <f>IF(#REF!=2,1,0)</f>
        <v>#REF!</v>
      </c>
      <c r="BG3446" t="e">
        <f>IF(#REF!=2,1,0)</f>
        <v>#REF!</v>
      </c>
      <c r="BH3446" t="e">
        <f>IF(#REF!=2,1,0)</f>
        <v>#REF!</v>
      </c>
      <c r="BI3446" t="e">
        <f>IF(#REF!=2,1,0)</f>
        <v>#REF!</v>
      </c>
      <c r="BJ3446" t="e">
        <f>IF(#REF!=2,1,0)</f>
        <v>#REF!</v>
      </c>
      <c r="BK3446" t="e">
        <f>IF(#REF!=2,1,0)</f>
        <v>#REF!</v>
      </c>
      <c r="BL3446" t="e">
        <f>IF(#REF!=2,1,0)</f>
        <v>#REF!</v>
      </c>
      <c r="BM3446" t="e">
        <f>IF(#REF!=2,1,0)</f>
        <v>#REF!</v>
      </c>
      <c r="BN3446" t="e">
        <f>IF(#REF!=2,0,1)</f>
        <v>#REF!</v>
      </c>
      <c r="BO3446" t="e">
        <f>IF(#REF!=2,0,1)</f>
        <v>#REF!</v>
      </c>
      <c r="BP3446" t="e">
        <f>IF(#REF!=2,0,1)</f>
        <v>#REF!</v>
      </c>
      <c r="BQ3446" t="e">
        <f>IF(#REF!=2,0,1)</f>
        <v>#REF!</v>
      </c>
      <c r="BR3446" t="e">
        <f>IF(#REF!=2,0,1)</f>
        <v>#REF!</v>
      </c>
      <c r="BS3446" t="e">
        <f>IF(#REF!=2,0,1)</f>
        <v>#REF!</v>
      </c>
      <c r="BT3446" t="e">
        <f>IF(#REF!=2,0,1)</f>
        <v>#REF!</v>
      </c>
      <c r="BU3446" t="e">
        <f>IF(#REF!=2,0,1)</f>
        <v>#REF!</v>
      </c>
      <c r="BV3446" t="e">
        <f>IF(#REF!=2,0,1)</f>
        <v>#REF!</v>
      </c>
      <c r="BW3446" t="e">
        <f>IF(#REF!=2,0,1)</f>
        <v>#REF!</v>
      </c>
      <c r="BX3446" t="e">
        <f>IF(#REF!=2,0,1)</f>
        <v>#REF!</v>
      </c>
      <c r="BY3446" t="e">
        <f>IF(#REF!=2,0,1)</f>
        <v>#REF!</v>
      </c>
      <c r="BZ3446" t="e">
        <f>IF(#REF!=2,0,1)</f>
        <v>#REF!</v>
      </c>
      <c r="CA3446" t="e">
        <f>IF(#REF!=2,0,1)</f>
        <v>#REF!</v>
      </c>
      <c r="CB3446" t="e">
        <f>IF(#REF!=2,0,1)</f>
        <v>#REF!</v>
      </c>
      <c r="CC3446" t="e">
        <f>IF(#REF!=2,0,1)</f>
        <v>#REF!</v>
      </c>
      <c r="CD3446" t="e">
        <f>IF(#REF!=2,1,0)</f>
        <v>#REF!</v>
      </c>
      <c r="CE3446" t="e">
        <f>IF(#REF!=2,1,0)</f>
        <v>#REF!</v>
      </c>
      <c r="CF3446" t="e">
        <f>IF(#REF!=2,1,0)</f>
        <v>#REF!</v>
      </c>
      <c r="CG3446" t="e">
        <f>IF(#REF!=2,1,0)</f>
        <v>#REF!</v>
      </c>
      <c r="CH3446" t="e">
        <f>IF(#REF!=2,1,0)</f>
        <v>#REF!</v>
      </c>
      <c r="CI3446" t="e">
        <f>IF(#REF!=2,1,0)</f>
        <v>#REF!</v>
      </c>
      <c r="CJ3446" t="e">
        <f>IF(#REF!=2,1,0)</f>
        <v>#REF!</v>
      </c>
      <c r="CK3446" t="e">
        <f>IF(#REF!=2,1,0)</f>
        <v>#REF!</v>
      </c>
      <c r="CL3446" t="e">
        <f>IF(#REF!=2,1,0)</f>
        <v>#REF!</v>
      </c>
      <c r="CM3446" t="e">
        <f>IF(#REF!=2,1,0)</f>
        <v>#REF!</v>
      </c>
      <c r="CN3446" t="e">
        <f>IF(#REF!=2,1,0)</f>
        <v>#REF!</v>
      </c>
      <c r="CO3446" t="e">
        <f>IF(#REF!=2,1,0)</f>
        <v>#REF!</v>
      </c>
      <c r="CP3446" t="e">
        <f>IF(#REF!=2,1,0)</f>
        <v>#REF!</v>
      </c>
      <c r="CQ3446" t="e">
        <f>IF(#REF!=2,1,0)</f>
        <v>#REF!</v>
      </c>
      <c r="CR3446" t="e">
        <f>IF(#REF!=2,1,0)</f>
        <v>#REF!</v>
      </c>
      <c r="CS3446" s="1140" t="e">
        <f>IF(#REF!=2,1,0)</f>
        <v>#REF!</v>
      </c>
      <c r="CT3446" t="e">
        <f>IF(#REF!=2,1,0)</f>
        <v>#REF!</v>
      </c>
      <c r="CU3446" t="e">
        <f>IF(#REF!=2,1,0)</f>
        <v>#REF!</v>
      </c>
      <c r="CV3446" t="e">
        <f>IF(#REF!=2,1,0)</f>
        <v>#REF!</v>
      </c>
      <c r="CW3446" t="e">
        <f>IF(#REF!=2,1,0)</f>
        <v>#REF!</v>
      </c>
      <c r="CX3446" t="e">
        <f>IF(#REF!=2,1,0)</f>
        <v>#REF!</v>
      </c>
      <c r="CY3446" t="e">
        <f>IF(#REF!=2,1,0)</f>
        <v>#REF!</v>
      </c>
      <c r="CZ3446" t="e">
        <f>IF(#REF!=2,1,0)</f>
        <v>#REF!</v>
      </c>
      <c r="DA3446" t="e">
        <f>IF(#REF!=2,1,0)</f>
        <v>#REF!</v>
      </c>
      <c r="DB3446" t="e">
        <f>IF(#REF!=2,1,0)</f>
        <v>#REF!</v>
      </c>
      <c r="DC3446" t="e">
        <f>IF(#REF!=2,1,0)</f>
        <v>#REF!</v>
      </c>
      <c r="DD3446" t="e">
        <f>IF(#REF!=2,1,0)</f>
        <v>#REF!</v>
      </c>
      <c r="DE3446" t="e">
        <f>IF(#REF!=2,1,0)</f>
        <v>#REF!</v>
      </c>
      <c r="DF3446" t="e">
        <f>IF(#REF!=2,1,0)</f>
        <v>#REF!</v>
      </c>
      <c r="DG3446" t="e">
        <f>IF(#REF!=2,1,0)</f>
        <v>#REF!</v>
      </c>
      <c r="DH3446" t="e">
        <f>IF(#REF!=2,1,0)</f>
        <v>#REF!</v>
      </c>
      <c r="DI3446" t="e">
        <f>IF(#REF!=2,1,0)</f>
        <v>#REF!</v>
      </c>
      <c r="DJ3446" t="e">
        <f>IF(#REF!=2,0,1)</f>
        <v>#REF!</v>
      </c>
      <c r="DK3446" t="e">
        <f>IF(#REF!=2,0,1)</f>
        <v>#REF!</v>
      </c>
      <c r="DL3446" t="e">
        <f>IF(#REF!=2,0,1)</f>
        <v>#REF!</v>
      </c>
      <c r="DM3446" t="e">
        <f>IF(#REF!=2,0,1)</f>
        <v>#REF!</v>
      </c>
      <c r="DN3446" t="e">
        <f>IF(#REF!=2,1,0)</f>
        <v>#REF!</v>
      </c>
      <c r="DO3446" t="e">
        <f>IF(#REF!=2,1,0)</f>
        <v>#REF!</v>
      </c>
      <c r="DP3446" t="e">
        <f>IF(#REF!=2,1,0)</f>
        <v>#REF!</v>
      </c>
      <c r="DQ3446" t="e">
        <f>IF(#REF!=2,1,0)</f>
        <v>#REF!</v>
      </c>
      <c r="DR3446" t="e">
        <f>IF(#REF!=2,0,1)</f>
        <v>#REF!</v>
      </c>
      <c r="DS3446" t="e">
        <f>IF(#REF!=2,0,1)</f>
        <v>#REF!</v>
      </c>
      <c r="DT3446" t="e">
        <f>IF(#REF!=2,0,1)</f>
        <v>#REF!</v>
      </c>
      <c r="DU3446" t="e">
        <f>IF(#REF!=2,0,1)</f>
        <v>#REF!</v>
      </c>
      <c r="DV3446" t="e">
        <f>IF(#REF!=2,0,1)</f>
        <v>#REF!</v>
      </c>
      <c r="DW3446" t="e">
        <f>IF(#REF!=2,0,1)</f>
        <v>#REF!</v>
      </c>
      <c r="DX3446" t="e">
        <f>IF(#REF!=2,0,1)</f>
        <v>#REF!</v>
      </c>
      <c r="DY3446" t="e">
        <f>IF(#REF!=2,0,1)</f>
        <v>#REF!</v>
      </c>
    </row>
    <row r="3447" spans="1:129" x14ac:dyDescent="0.2">
      <c r="A3447" t="s">
        <v>366</v>
      </c>
      <c r="B3447" s="8">
        <v>0</v>
      </c>
      <c r="C3447" s="8">
        <v>0</v>
      </c>
      <c r="D3447" s="8">
        <v>0</v>
      </c>
      <c r="E3447" s="8">
        <v>0</v>
      </c>
      <c r="F3447">
        <v>0</v>
      </c>
      <c r="G3447">
        <v>0</v>
      </c>
      <c r="H3447">
        <v>0</v>
      </c>
      <c r="I3447">
        <v>0</v>
      </c>
      <c r="J3447">
        <v>0</v>
      </c>
      <c r="K3447">
        <v>0</v>
      </c>
      <c r="L3447">
        <v>0</v>
      </c>
      <c r="M3447">
        <v>0</v>
      </c>
      <c r="N3447">
        <v>0</v>
      </c>
      <c r="O3447">
        <v>0</v>
      </c>
      <c r="P3447">
        <v>0</v>
      </c>
      <c r="Q3447">
        <v>0</v>
      </c>
      <c r="R3447">
        <v>1</v>
      </c>
      <c r="S3447">
        <v>1</v>
      </c>
      <c r="T3447">
        <v>1</v>
      </c>
      <c r="U3447">
        <v>0</v>
      </c>
      <c r="V3447">
        <f>IF(B635=1,1,0)</f>
        <v>1</v>
      </c>
      <c r="W3447">
        <f>IF(B635=1,1,0)</f>
        <v>1</v>
      </c>
      <c r="X3447">
        <v>1</v>
      </c>
      <c r="Y3447" s="1140">
        <f>IF(B635=1,1,0)</f>
        <v>1</v>
      </c>
      <c r="Z3447">
        <v>0</v>
      </c>
      <c r="AA3447">
        <v>0</v>
      </c>
      <c r="AB3447">
        <v>0</v>
      </c>
      <c r="AC3447">
        <v>0</v>
      </c>
      <c r="AD3447">
        <v>0</v>
      </c>
      <c r="AE3447">
        <v>0</v>
      </c>
      <c r="AF3447">
        <v>0</v>
      </c>
      <c r="AG3447">
        <v>0</v>
      </c>
      <c r="AH3447">
        <v>0</v>
      </c>
      <c r="AI3447">
        <v>0</v>
      </c>
      <c r="AJ3447">
        <v>0</v>
      </c>
      <c r="AK3447">
        <v>0</v>
      </c>
      <c r="AL3447" t="e">
        <f>IF(#REF!=1,1,0)</f>
        <v>#REF!</v>
      </c>
      <c r="AM3447" t="e">
        <f>IF(#REF!=1,1,0)</f>
        <v>#REF!</v>
      </c>
      <c r="AN3447">
        <v>0</v>
      </c>
      <c r="AO3447" t="e">
        <f>IF(#REF!=1,1,0)</f>
        <v>#REF!</v>
      </c>
      <c r="AP3447" t="e">
        <f>IF(#REF!=1,0,1)</f>
        <v>#REF!</v>
      </c>
      <c r="AQ3447" t="e">
        <f>IF(#REF!=1,0,1)</f>
        <v>#REF!</v>
      </c>
      <c r="AR3447" t="e">
        <f>IF(#REF!=1,0,1)</f>
        <v>#REF!</v>
      </c>
      <c r="AS3447" t="e">
        <f>IF(#REF!=1,0,1)</f>
        <v>#REF!</v>
      </c>
      <c r="AT3447">
        <v>0</v>
      </c>
      <c r="AU3447">
        <v>0</v>
      </c>
      <c r="AV3447">
        <v>0</v>
      </c>
      <c r="AW3447">
        <v>0</v>
      </c>
      <c r="AX3447">
        <v>1</v>
      </c>
      <c r="AY3447">
        <v>1</v>
      </c>
      <c r="AZ3447">
        <v>1</v>
      </c>
      <c r="BA3447">
        <v>1</v>
      </c>
      <c r="BB3447">
        <v>0</v>
      </c>
      <c r="BC3447">
        <v>0</v>
      </c>
      <c r="BD3447">
        <v>0</v>
      </c>
      <c r="BE3447">
        <v>0</v>
      </c>
      <c r="BF3447">
        <v>0</v>
      </c>
      <c r="BG3447">
        <v>0</v>
      </c>
      <c r="BH3447">
        <v>0</v>
      </c>
      <c r="BI3447">
        <v>0</v>
      </c>
      <c r="BJ3447" t="e">
        <f>IF(#REF!=1,1,0)</f>
        <v>#REF!</v>
      </c>
      <c r="BK3447" t="e">
        <f>IF(#REF!=1,1,0)</f>
        <v>#REF!</v>
      </c>
      <c r="BL3447" t="e">
        <f>IF(#REF!=1,1,0)</f>
        <v>#REF!</v>
      </c>
      <c r="BM3447" t="e">
        <f>IF(#REF!=1,1,0)</f>
        <v>#REF!</v>
      </c>
      <c r="BN3447">
        <v>0</v>
      </c>
      <c r="BO3447">
        <v>0</v>
      </c>
      <c r="BP3447">
        <v>0</v>
      </c>
      <c r="BQ3447">
        <v>0</v>
      </c>
      <c r="BR3447" t="e">
        <f>IF(#REF!=1,1,0)</f>
        <v>#REF!</v>
      </c>
      <c r="BS3447" t="e">
        <f>IF(#REF!=1,1,0)</f>
        <v>#REF!</v>
      </c>
      <c r="BT3447" t="e">
        <f>IF(#REF!=1,0,1)</f>
        <v>#REF!</v>
      </c>
      <c r="BU3447">
        <v>0</v>
      </c>
      <c r="BV3447" t="e">
        <f>IF(#REF!=1,0,1)</f>
        <v>#REF!</v>
      </c>
      <c r="BW3447" t="e">
        <f>IF(#REF!=1,0,1)</f>
        <v>#REF!</v>
      </c>
      <c r="BX3447" t="e">
        <f>IF(#REF!=1,0,1)</f>
        <v>#REF!</v>
      </c>
      <c r="BY3447" t="e">
        <f>IF(#REF!=1,0,1)</f>
        <v>#REF!</v>
      </c>
      <c r="BZ3447">
        <v>0</v>
      </c>
      <c r="CA3447">
        <v>0</v>
      </c>
      <c r="CB3447">
        <v>0</v>
      </c>
      <c r="CC3447">
        <v>0</v>
      </c>
      <c r="CD3447">
        <v>1</v>
      </c>
      <c r="CE3447">
        <v>1</v>
      </c>
      <c r="CF3447">
        <v>1</v>
      </c>
      <c r="CG3447">
        <v>1</v>
      </c>
      <c r="CH3447">
        <v>0</v>
      </c>
      <c r="CI3447">
        <v>0</v>
      </c>
      <c r="CJ3447">
        <v>0</v>
      </c>
      <c r="CK3447">
        <v>0</v>
      </c>
      <c r="CL3447">
        <v>0</v>
      </c>
      <c r="CM3447">
        <v>0</v>
      </c>
      <c r="CN3447">
        <v>0</v>
      </c>
      <c r="CO3447">
        <v>0</v>
      </c>
      <c r="CP3447" t="e">
        <f>IF(#REF!=1,1,0)</f>
        <v>#REF!</v>
      </c>
      <c r="CQ3447" t="e">
        <f>IF(#REF!=1,1,0)</f>
        <v>#REF!</v>
      </c>
      <c r="CR3447" t="e">
        <f>IF(#REF!=1,1,0)</f>
        <v>#REF!</v>
      </c>
      <c r="CS3447" s="1140" t="e">
        <f>IF(#REF!=1,1,0)</f>
        <v>#REF!</v>
      </c>
      <c r="CT3447">
        <v>1</v>
      </c>
      <c r="CU3447">
        <v>1</v>
      </c>
      <c r="CV3447">
        <v>1</v>
      </c>
      <c r="CW3447">
        <v>1</v>
      </c>
      <c r="CX3447">
        <v>0</v>
      </c>
      <c r="CY3447">
        <v>0</v>
      </c>
      <c r="CZ3447">
        <v>0</v>
      </c>
      <c r="DA3447">
        <v>0</v>
      </c>
      <c r="DB3447">
        <v>0</v>
      </c>
      <c r="DC3447">
        <v>0</v>
      </c>
      <c r="DD3447">
        <v>0</v>
      </c>
      <c r="DE3447">
        <v>0</v>
      </c>
      <c r="DF3447">
        <v>0</v>
      </c>
      <c r="DG3447">
        <v>0</v>
      </c>
      <c r="DH3447">
        <v>0</v>
      </c>
      <c r="DI3447">
        <v>0</v>
      </c>
      <c r="DJ3447" t="e">
        <f>IF(#REF!=1,1,0)</f>
        <v>#REF!</v>
      </c>
      <c r="DK3447" t="e">
        <f>IF(#REF!=1,1,0)</f>
        <v>#REF!</v>
      </c>
      <c r="DL3447" t="e">
        <f>IF(#REF!=1,1,0)</f>
        <v>#REF!</v>
      </c>
      <c r="DM3447" t="e">
        <f>IF(#REF!=1,1,0)</f>
        <v>#REF!</v>
      </c>
      <c r="DN3447" t="e">
        <f>IF(#REF!=1,1,0)</f>
        <v>#REF!</v>
      </c>
      <c r="DO3447" t="e">
        <f>IF(#REF!=1,1,0)</f>
        <v>#REF!</v>
      </c>
      <c r="DP3447">
        <v>0</v>
      </c>
      <c r="DQ3447" t="e">
        <f>IF(#REF!=1,1,0)</f>
        <v>#REF!</v>
      </c>
      <c r="DR3447">
        <v>0</v>
      </c>
      <c r="DS3447">
        <v>0</v>
      </c>
      <c r="DT3447">
        <v>0</v>
      </c>
      <c r="DU3447">
        <v>0</v>
      </c>
      <c r="DV3447">
        <v>0</v>
      </c>
      <c r="DW3447">
        <v>0</v>
      </c>
      <c r="DX3447">
        <v>0</v>
      </c>
      <c r="DY3447">
        <v>0</v>
      </c>
    </row>
    <row r="3448" spans="1:129" x14ac:dyDescent="0.2">
      <c r="A3448" t="s">
        <v>408</v>
      </c>
      <c r="B3448" s="8">
        <f>B3445+B3446</f>
        <v>1</v>
      </c>
      <c r="C3448" s="8">
        <f t="shared" ref="C3448:BN3448" si="3">C3445+C3446</f>
        <v>1</v>
      </c>
      <c r="D3448" s="8">
        <f t="shared" si="3"/>
        <v>1</v>
      </c>
      <c r="E3448" s="8">
        <f t="shared" si="3"/>
        <v>1</v>
      </c>
      <c r="F3448">
        <f t="shared" si="3"/>
        <v>1</v>
      </c>
      <c r="G3448">
        <f t="shared" si="3"/>
        <v>1</v>
      </c>
      <c r="H3448">
        <f t="shared" si="3"/>
        <v>1</v>
      </c>
      <c r="I3448">
        <f t="shared" si="3"/>
        <v>1</v>
      </c>
      <c r="J3448">
        <f t="shared" si="3"/>
        <v>1</v>
      </c>
      <c r="K3448">
        <f t="shared" si="3"/>
        <v>1</v>
      </c>
      <c r="L3448">
        <f t="shared" si="3"/>
        <v>1</v>
      </c>
      <c r="M3448">
        <f t="shared" si="3"/>
        <v>1</v>
      </c>
      <c r="N3448">
        <f t="shared" si="3"/>
        <v>1</v>
      </c>
      <c r="O3448" t="e">
        <f t="shared" si="3"/>
        <v>#REF!</v>
      </c>
      <c r="P3448" t="e">
        <f t="shared" si="3"/>
        <v>#REF!</v>
      </c>
      <c r="Q3448">
        <f t="shared" si="3"/>
        <v>1</v>
      </c>
      <c r="R3448">
        <f t="shared" si="3"/>
        <v>2</v>
      </c>
      <c r="S3448">
        <f t="shared" si="3"/>
        <v>2</v>
      </c>
      <c r="T3448">
        <f t="shared" si="3"/>
        <v>2</v>
      </c>
      <c r="U3448">
        <f t="shared" si="3"/>
        <v>2</v>
      </c>
      <c r="V3448">
        <f t="shared" si="3"/>
        <v>2</v>
      </c>
      <c r="W3448">
        <f t="shared" si="3"/>
        <v>2</v>
      </c>
      <c r="X3448">
        <f t="shared" si="3"/>
        <v>2</v>
      </c>
      <c r="Y3448">
        <f t="shared" si="3"/>
        <v>2</v>
      </c>
      <c r="Z3448">
        <f t="shared" si="3"/>
        <v>3</v>
      </c>
      <c r="AA3448">
        <f t="shared" si="3"/>
        <v>3</v>
      </c>
      <c r="AB3448">
        <f t="shared" si="3"/>
        <v>3</v>
      </c>
      <c r="AC3448">
        <f t="shared" si="3"/>
        <v>3</v>
      </c>
      <c r="AD3448">
        <f t="shared" si="3"/>
        <v>3</v>
      </c>
      <c r="AE3448">
        <f t="shared" si="3"/>
        <v>3</v>
      </c>
      <c r="AF3448">
        <f t="shared" si="3"/>
        <v>3</v>
      </c>
      <c r="AG3448">
        <f t="shared" si="3"/>
        <v>3</v>
      </c>
      <c r="AH3448">
        <f t="shared" si="3"/>
        <v>3</v>
      </c>
      <c r="AI3448">
        <f t="shared" si="3"/>
        <v>3</v>
      </c>
      <c r="AJ3448">
        <f t="shared" si="3"/>
        <v>3</v>
      </c>
      <c r="AK3448">
        <f t="shared" si="3"/>
        <v>3</v>
      </c>
      <c r="AL3448" t="e">
        <f t="shared" si="3"/>
        <v>#REF!</v>
      </c>
      <c r="AM3448" t="e">
        <f t="shared" si="3"/>
        <v>#REF!</v>
      </c>
      <c r="AN3448" t="e">
        <f t="shared" si="3"/>
        <v>#REF!</v>
      </c>
      <c r="AO3448" t="e">
        <f t="shared" si="3"/>
        <v>#REF!</v>
      </c>
      <c r="AP3448" t="e">
        <f t="shared" si="3"/>
        <v>#REF!</v>
      </c>
      <c r="AQ3448" t="e">
        <f t="shared" si="3"/>
        <v>#REF!</v>
      </c>
      <c r="AR3448" t="e">
        <f t="shared" si="3"/>
        <v>#REF!</v>
      </c>
      <c r="AS3448" t="e">
        <f t="shared" si="3"/>
        <v>#REF!</v>
      </c>
      <c r="AT3448" t="e">
        <f t="shared" si="3"/>
        <v>#REF!</v>
      </c>
      <c r="AU3448" t="e">
        <f t="shared" si="3"/>
        <v>#REF!</v>
      </c>
      <c r="AV3448" t="e">
        <f t="shared" si="3"/>
        <v>#REF!</v>
      </c>
      <c r="AW3448" t="e">
        <f t="shared" si="3"/>
        <v>#REF!</v>
      </c>
      <c r="AX3448" t="e">
        <f t="shared" si="3"/>
        <v>#REF!</v>
      </c>
      <c r="AY3448" t="e">
        <f t="shared" si="3"/>
        <v>#REF!</v>
      </c>
      <c r="AZ3448" t="e">
        <f t="shared" si="3"/>
        <v>#REF!</v>
      </c>
      <c r="BA3448" t="e">
        <f t="shared" si="3"/>
        <v>#REF!</v>
      </c>
      <c r="BB3448" t="e">
        <f t="shared" si="3"/>
        <v>#REF!</v>
      </c>
      <c r="BC3448" t="e">
        <f t="shared" si="3"/>
        <v>#REF!</v>
      </c>
      <c r="BD3448" t="e">
        <f t="shared" si="3"/>
        <v>#REF!</v>
      </c>
      <c r="BE3448" t="e">
        <f t="shared" si="3"/>
        <v>#REF!</v>
      </c>
      <c r="BF3448" t="e">
        <f t="shared" si="3"/>
        <v>#REF!</v>
      </c>
      <c r="BG3448" t="e">
        <f t="shared" si="3"/>
        <v>#REF!</v>
      </c>
      <c r="BH3448" t="e">
        <f t="shared" si="3"/>
        <v>#REF!</v>
      </c>
      <c r="BI3448" t="e">
        <f t="shared" si="3"/>
        <v>#REF!</v>
      </c>
      <c r="BJ3448" t="e">
        <f t="shared" si="3"/>
        <v>#REF!</v>
      </c>
      <c r="BK3448" t="e">
        <f t="shared" si="3"/>
        <v>#REF!</v>
      </c>
      <c r="BL3448" t="e">
        <f t="shared" si="3"/>
        <v>#REF!</v>
      </c>
      <c r="BM3448" t="e">
        <f t="shared" si="3"/>
        <v>#REF!</v>
      </c>
      <c r="BN3448" t="e">
        <f t="shared" si="3"/>
        <v>#REF!</v>
      </c>
      <c r="BO3448" t="e">
        <f t="shared" ref="BO3448:DY3448" si="4">BO3445+BO3446</f>
        <v>#REF!</v>
      </c>
      <c r="BP3448" t="e">
        <f t="shared" si="4"/>
        <v>#REF!</v>
      </c>
      <c r="BQ3448" t="e">
        <f t="shared" si="4"/>
        <v>#REF!</v>
      </c>
      <c r="BR3448" t="e">
        <f t="shared" si="4"/>
        <v>#REF!</v>
      </c>
      <c r="BS3448" t="e">
        <f t="shared" si="4"/>
        <v>#REF!</v>
      </c>
      <c r="BT3448" t="e">
        <f t="shared" si="4"/>
        <v>#REF!</v>
      </c>
      <c r="BU3448" t="e">
        <f t="shared" si="4"/>
        <v>#REF!</v>
      </c>
      <c r="BV3448" t="e">
        <f t="shared" si="4"/>
        <v>#REF!</v>
      </c>
      <c r="BW3448" t="e">
        <f t="shared" si="4"/>
        <v>#REF!</v>
      </c>
      <c r="BX3448" t="e">
        <f t="shared" si="4"/>
        <v>#REF!</v>
      </c>
      <c r="BY3448" t="e">
        <f t="shared" si="4"/>
        <v>#REF!</v>
      </c>
      <c r="BZ3448" t="e">
        <f t="shared" si="4"/>
        <v>#REF!</v>
      </c>
      <c r="CA3448" t="e">
        <f t="shared" si="4"/>
        <v>#REF!</v>
      </c>
      <c r="CB3448" t="e">
        <f t="shared" si="4"/>
        <v>#REF!</v>
      </c>
      <c r="CC3448" t="e">
        <f t="shared" si="4"/>
        <v>#REF!</v>
      </c>
      <c r="CD3448" t="e">
        <f t="shared" si="4"/>
        <v>#REF!</v>
      </c>
      <c r="CE3448" t="e">
        <f t="shared" si="4"/>
        <v>#REF!</v>
      </c>
      <c r="CF3448" t="e">
        <f t="shared" si="4"/>
        <v>#REF!</v>
      </c>
      <c r="CG3448" t="e">
        <f t="shared" si="4"/>
        <v>#REF!</v>
      </c>
      <c r="CH3448" t="e">
        <f t="shared" si="4"/>
        <v>#REF!</v>
      </c>
      <c r="CI3448" t="e">
        <f t="shared" si="4"/>
        <v>#REF!</v>
      </c>
      <c r="CJ3448" t="e">
        <f t="shared" si="4"/>
        <v>#REF!</v>
      </c>
      <c r="CK3448" t="e">
        <f t="shared" si="4"/>
        <v>#REF!</v>
      </c>
      <c r="CL3448" t="e">
        <f t="shared" si="4"/>
        <v>#REF!</v>
      </c>
      <c r="CM3448" t="e">
        <f t="shared" si="4"/>
        <v>#REF!</v>
      </c>
      <c r="CN3448" t="e">
        <f t="shared" si="4"/>
        <v>#REF!</v>
      </c>
      <c r="CO3448" t="e">
        <f t="shared" si="4"/>
        <v>#REF!</v>
      </c>
      <c r="CP3448" t="e">
        <f t="shared" si="4"/>
        <v>#REF!</v>
      </c>
      <c r="CQ3448" t="e">
        <f t="shared" si="4"/>
        <v>#REF!</v>
      </c>
      <c r="CR3448" t="e">
        <f t="shared" si="4"/>
        <v>#REF!</v>
      </c>
      <c r="CS3448" s="1140" t="e">
        <f t="shared" si="4"/>
        <v>#REF!</v>
      </c>
      <c r="CT3448" t="e">
        <f t="shared" si="4"/>
        <v>#REF!</v>
      </c>
      <c r="CU3448" t="e">
        <f t="shared" si="4"/>
        <v>#REF!</v>
      </c>
      <c r="CV3448" t="e">
        <f t="shared" si="4"/>
        <v>#REF!</v>
      </c>
      <c r="CW3448" t="e">
        <f t="shared" si="4"/>
        <v>#REF!</v>
      </c>
      <c r="CX3448" t="e">
        <f t="shared" si="4"/>
        <v>#REF!</v>
      </c>
      <c r="CY3448" t="e">
        <f t="shared" si="4"/>
        <v>#REF!</v>
      </c>
      <c r="CZ3448" t="e">
        <f t="shared" si="4"/>
        <v>#REF!</v>
      </c>
      <c r="DA3448" t="e">
        <f t="shared" si="4"/>
        <v>#REF!</v>
      </c>
      <c r="DB3448" t="e">
        <f t="shared" si="4"/>
        <v>#REF!</v>
      </c>
      <c r="DC3448" t="e">
        <f t="shared" si="4"/>
        <v>#REF!</v>
      </c>
      <c r="DD3448" t="e">
        <f t="shared" si="4"/>
        <v>#REF!</v>
      </c>
      <c r="DE3448" t="e">
        <f t="shared" si="4"/>
        <v>#REF!</v>
      </c>
      <c r="DF3448" t="e">
        <f t="shared" si="4"/>
        <v>#REF!</v>
      </c>
      <c r="DG3448" t="e">
        <f t="shared" si="4"/>
        <v>#REF!</v>
      </c>
      <c r="DH3448" t="e">
        <f t="shared" si="4"/>
        <v>#REF!</v>
      </c>
      <c r="DI3448" t="e">
        <f t="shared" si="4"/>
        <v>#REF!</v>
      </c>
      <c r="DJ3448" t="e">
        <f t="shared" si="4"/>
        <v>#REF!</v>
      </c>
      <c r="DK3448" t="e">
        <f t="shared" si="4"/>
        <v>#REF!</v>
      </c>
      <c r="DL3448" t="e">
        <f t="shared" si="4"/>
        <v>#REF!</v>
      </c>
      <c r="DM3448" t="e">
        <f t="shared" si="4"/>
        <v>#REF!</v>
      </c>
      <c r="DN3448" t="e">
        <f t="shared" si="4"/>
        <v>#REF!</v>
      </c>
      <c r="DO3448" t="e">
        <f t="shared" si="4"/>
        <v>#REF!</v>
      </c>
      <c r="DP3448" t="e">
        <f t="shared" si="4"/>
        <v>#REF!</v>
      </c>
      <c r="DQ3448" t="e">
        <f t="shared" si="4"/>
        <v>#REF!</v>
      </c>
      <c r="DR3448" t="e">
        <f t="shared" si="4"/>
        <v>#REF!</v>
      </c>
      <c r="DS3448" t="e">
        <f t="shared" si="4"/>
        <v>#REF!</v>
      </c>
      <c r="DT3448" t="e">
        <f t="shared" si="4"/>
        <v>#REF!</v>
      </c>
      <c r="DU3448" t="e">
        <f t="shared" si="4"/>
        <v>#REF!</v>
      </c>
      <c r="DV3448" t="e">
        <f t="shared" si="4"/>
        <v>#REF!</v>
      </c>
      <c r="DW3448" t="e">
        <f t="shared" si="4"/>
        <v>#REF!</v>
      </c>
      <c r="DX3448" t="e">
        <f t="shared" si="4"/>
        <v>#REF!</v>
      </c>
      <c r="DY3448" t="e">
        <f t="shared" si="4"/>
        <v>#REF!</v>
      </c>
    </row>
    <row r="3449" spans="1:129" x14ac:dyDescent="0.2">
      <c r="A3449" t="s">
        <v>409</v>
      </c>
      <c r="B3449" s="8">
        <f>B3442+B3443+B3444</f>
        <v>2</v>
      </c>
      <c r="C3449" s="8">
        <f t="shared" ref="C3449:BN3449" si="5">C3442+C3443+C3444</f>
        <v>2</v>
      </c>
      <c r="D3449" s="8">
        <f t="shared" si="5"/>
        <v>2</v>
      </c>
      <c r="E3449" s="8">
        <f t="shared" si="5"/>
        <v>2</v>
      </c>
      <c r="F3449">
        <f t="shared" si="5"/>
        <v>3</v>
      </c>
      <c r="G3449">
        <f t="shared" si="5"/>
        <v>3</v>
      </c>
      <c r="H3449">
        <f t="shared" si="5"/>
        <v>3</v>
      </c>
      <c r="I3449">
        <f t="shared" si="5"/>
        <v>3</v>
      </c>
      <c r="J3449">
        <f t="shared" si="5"/>
        <v>3</v>
      </c>
      <c r="K3449">
        <f t="shared" si="5"/>
        <v>3</v>
      </c>
      <c r="L3449">
        <f t="shared" si="5"/>
        <v>3</v>
      </c>
      <c r="M3449">
        <f t="shared" si="5"/>
        <v>3</v>
      </c>
      <c r="N3449">
        <f t="shared" si="5"/>
        <v>4</v>
      </c>
      <c r="O3449">
        <f t="shared" si="5"/>
        <v>4</v>
      </c>
      <c r="P3449">
        <f t="shared" si="5"/>
        <v>4</v>
      </c>
      <c r="Q3449">
        <f t="shared" si="5"/>
        <v>4</v>
      </c>
      <c r="R3449">
        <f t="shared" si="5"/>
        <v>3</v>
      </c>
      <c r="S3449">
        <f t="shared" si="5"/>
        <v>3</v>
      </c>
      <c r="T3449">
        <f t="shared" si="5"/>
        <v>3</v>
      </c>
      <c r="U3449">
        <f t="shared" si="5"/>
        <v>3</v>
      </c>
      <c r="V3449">
        <f t="shared" si="5"/>
        <v>3</v>
      </c>
      <c r="W3449">
        <f t="shared" si="5"/>
        <v>3</v>
      </c>
      <c r="X3449">
        <f t="shared" si="5"/>
        <v>3</v>
      </c>
      <c r="Y3449">
        <f t="shared" si="5"/>
        <v>3</v>
      </c>
      <c r="Z3449">
        <f t="shared" si="5"/>
        <v>4</v>
      </c>
      <c r="AA3449">
        <f t="shared" si="5"/>
        <v>4</v>
      </c>
      <c r="AB3449">
        <f t="shared" si="5"/>
        <v>4</v>
      </c>
      <c r="AC3449">
        <f t="shared" si="5"/>
        <v>4</v>
      </c>
      <c r="AD3449">
        <f t="shared" si="5"/>
        <v>4</v>
      </c>
      <c r="AE3449">
        <f t="shared" si="5"/>
        <v>4</v>
      </c>
      <c r="AF3449">
        <f t="shared" si="5"/>
        <v>4</v>
      </c>
      <c r="AG3449">
        <f t="shared" si="5"/>
        <v>4</v>
      </c>
      <c r="AH3449">
        <f t="shared" si="5"/>
        <v>4</v>
      </c>
      <c r="AI3449">
        <f t="shared" si="5"/>
        <v>4</v>
      </c>
      <c r="AJ3449">
        <f t="shared" si="5"/>
        <v>4</v>
      </c>
      <c r="AK3449">
        <f t="shared" si="5"/>
        <v>4</v>
      </c>
      <c r="AL3449" t="e">
        <f t="shared" si="5"/>
        <v>#REF!</v>
      </c>
      <c r="AM3449" t="e">
        <f t="shared" si="5"/>
        <v>#REF!</v>
      </c>
      <c r="AN3449">
        <f t="shared" si="5"/>
        <v>4</v>
      </c>
      <c r="AO3449" t="e">
        <f t="shared" si="5"/>
        <v>#REF!</v>
      </c>
      <c r="AP3449" t="e">
        <f t="shared" si="5"/>
        <v>#REF!</v>
      </c>
      <c r="AQ3449" t="e">
        <f t="shared" si="5"/>
        <v>#REF!</v>
      </c>
      <c r="AR3449" t="e">
        <f t="shared" si="5"/>
        <v>#REF!</v>
      </c>
      <c r="AS3449" t="e">
        <f t="shared" si="5"/>
        <v>#REF!</v>
      </c>
      <c r="AT3449">
        <f t="shared" si="5"/>
        <v>4</v>
      </c>
      <c r="AU3449">
        <f t="shared" si="5"/>
        <v>4</v>
      </c>
      <c r="AV3449">
        <f t="shared" si="5"/>
        <v>4</v>
      </c>
      <c r="AW3449">
        <f t="shared" si="5"/>
        <v>4</v>
      </c>
      <c r="AX3449">
        <f t="shared" si="5"/>
        <v>3</v>
      </c>
      <c r="AY3449">
        <f t="shared" si="5"/>
        <v>3</v>
      </c>
      <c r="AZ3449">
        <f t="shared" si="5"/>
        <v>3</v>
      </c>
      <c r="BA3449">
        <f t="shared" si="5"/>
        <v>3</v>
      </c>
      <c r="BB3449">
        <f t="shared" si="5"/>
        <v>4</v>
      </c>
      <c r="BC3449">
        <f t="shared" si="5"/>
        <v>4</v>
      </c>
      <c r="BD3449">
        <f t="shared" si="5"/>
        <v>4</v>
      </c>
      <c r="BE3449">
        <f t="shared" si="5"/>
        <v>4</v>
      </c>
      <c r="BF3449" t="e">
        <f t="shared" si="5"/>
        <v>#REF!</v>
      </c>
      <c r="BG3449" t="e">
        <f t="shared" si="5"/>
        <v>#REF!</v>
      </c>
      <c r="BH3449" t="e">
        <f t="shared" si="5"/>
        <v>#REF!</v>
      </c>
      <c r="BI3449" t="e">
        <f t="shared" si="5"/>
        <v>#REF!</v>
      </c>
      <c r="BJ3449" t="e">
        <f t="shared" si="5"/>
        <v>#REF!</v>
      </c>
      <c r="BK3449" t="e">
        <f t="shared" si="5"/>
        <v>#REF!</v>
      </c>
      <c r="BL3449" t="e">
        <f t="shared" si="5"/>
        <v>#REF!</v>
      </c>
      <c r="BM3449" t="e">
        <f t="shared" si="5"/>
        <v>#REF!</v>
      </c>
      <c r="BN3449">
        <f t="shared" si="5"/>
        <v>3</v>
      </c>
      <c r="BO3449">
        <f t="shared" ref="BO3449:DY3449" si="6">BO3442+BO3443+BO3444</f>
        <v>3</v>
      </c>
      <c r="BP3449">
        <f t="shared" si="6"/>
        <v>3</v>
      </c>
      <c r="BQ3449">
        <f t="shared" si="6"/>
        <v>3</v>
      </c>
      <c r="BR3449" t="e">
        <f t="shared" si="6"/>
        <v>#REF!</v>
      </c>
      <c r="BS3449" t="e">
        <f t="shared" si="6"/>
        <v>#REF!</v>
      </c>
      <c r="BT3449">
        <f t="shared" si="6"/>
        <v>4</v>
      </c>
      <c r="BU3449">
        <f t="shared" si="6"/>
        <v>3</v>
      </c>
      <c r="BV3449" t="e">
        <f t="shared" si="6"/>
        <v>#REF!</v>
      </c>
      <c r="BW3449" t="e">
        <f t="shared" si="6"/>
        <v>#REF!</v>
      </c>
      <c r="BX3449" t="e">
        <f t="shared" si="6"/>
        <v>#REF!</v>
      </c>
      <c r="BY3449" t="e">
        <f t="shared" si="6"/>
        <v>#REF!</v>
      </c>
      <c r="BZ3449" t="e">
        <f t="shared" si="6"/>
        <v>#REF!</v>
      </c>
      <c r="CA3449" t="e">
        <f t="shared" si="6"/>
        <v>#REF!</v>
      </c>
      <c r="CB3449" t="e">
        <f t="shared" si="6"/>
        <v>#REF!</v>
      </c>
      <c r="CC3449" t="e">
        <f t="shared" si="6"/>
        <v>#REF!</v>
      </c>
      <c r="CD3449">
        <f t="shared" si="6"/>
        <v>3</v>
      </c>
      <c r="CE3449">
        <f t="shared" si="6"/>
        <v>3</v>
      </c>
      <c r="CF3449">
        <f t="shared" si="6"/>
        <v>3</v>
      </c>
      <c r="CG3449">
        <f t="shared" si="6"/>
        <v>3</v>
      </c>
      <c r="CH3449">
        <f t="shared" si="6"/>
        <v>4</v>
      </c>
      <c r="CI3449">
        <f t="shared" si="6"/>
        <v>4</v>
      </c>
      <c r="CJ3449">
        <f t="shared" si="6"/>
        <v>4</v>
      </c>
      <c r="CK3449">
        <f t="shared" si="6"/>
        <v>4</v>
      </c>
      <c r="CL3449">
        <f t="shared" si="6"/>
        <v>4</v>
      </c>
      <c r="CM3449">
        <f t="shared" si="6"/>
        <v>4</v>
      </c>
      <c r="CN3449">
        <f t="shared" si="6"/>
        <v>4</v>
      </c>
      <c r="CO3449">
        <f t="shared" si="6"/>
        <v>4</v>
      </c>
      <c r="CP3449" t="e">
        <f t="shared" si="6"/>
        <v>#REF!</v>
      </c>
      <c r="CQ3449" t="e">
        <f t="shared" si="6"/>
        <v>#REF!</v>
      </c>
      <c r="CR3449" t="e">
        <f t="shared" si="6"/>
        <v>#REF!</v>
      </c>
      <c r="CS3449" s="1140" t="e">
        <f t="shared" si="6"/>
        <v>#REF!</v>
      </c>
      <c r="CT3449">
        <f t="shared" si="6"/>
        <v>3</v>
      </c>
      <c r="CU3449">
        <f t="shared" si="6"/>
        <v>3</v>
      </c>
      <c r="CV3449">
        <f t="shared" si="6"/>
        <v>3</v>
      </c>
      <c r="CW3449">
        <f t="shared" si="6"/>
        <v>3</v>
      </c>
      <c r="CX3449">
        <f t="shared" si="6"/>
        <v>4</v>
      </c>
      <c r="CY3449">
        <f t="shared" si="6"/>
        <v>4</v>
      </c>
      <c r="CZ3449">
        <f t="shared" si="6"/>
        <v>4</v>
      </c>
      <c r="DA3449">
        <f t="shared" si="6"/>
        <v>4</v>
      </c>
      <c r="DB3449">
        <f t="shared" si="6"/>
        <v>4</v>
      </c>
      <c r="DC3449">
        <f t="shared" si="6"/>
        <v>4</v>
      </c>
      <c r="DD3449">
        <f t="shared" si="6"/>
        <v>4</v>
      </c>
      <c r="DE3449">
        <f t="shared" si="6"/>
        <v>4</v>
      </c>
      <c r="DF3449">
        <f t="shared" si="6"/>
        <v>4</v>
      </c>
      <c r="DG3449">
        <f t="shared" si="6"/>
        <v>4</v>
      </c>
      <c r="DH3449">
        <f t="shared" si="6"/>
        <v>4</v>
      </c>
      <c r="DI3449">
        <f t="shared" si="6"/>
        <v>4</v>
      </c>
      <c r="DJ3449" t="e">
        <f t="shared" si="6"/>
        <v>#REF!</v>
      </c>
      <c r="DK3449" t="e">
        <f t="shared" si="6"/>
        <v>#REF!</v>
      </c>
      <c r="DL3449" t="e">
        <f t="shared" si="6"/>
        <v>#REF!</v>
      </c>
      <c r="DM3449" t="e">
        <f t="shared" si="6"/>
        <v>#REF!</v>
      </c>
      <c r="DN3449">
        <f t="shared" si="6"/>
        <v>3</v>
      </c>
      <c r="DO3449">
        <f t="shared" si="6"/>
        <v>3</v>
      </c>
      <c r="DP3449">
        <f t="shared" si="6"/>
        <v>3</v>
      </c>
      <c r="DQ3449">
        <f t="shared" si="6"/>
        <v>3</v>
      </c>
      <c r="DR3449">
        <f t="shared" si="6"/>
        <v>4</v>
      </c>
      <c r="DS3449">
        <f t="shared" si="6"/>
        <v>4</v>
      </c>
      <c r="DT3449">
        <f t="shared" si="6"/>
        <v>4</v>
      </c>
      <c r="DU3449">
        <f t="shared" si="6"/>
        <v>4</v>
      </c>
      <c r="DV3449">
        <f t="shared" si="6"/>
        <v>4</v>
      </c>
      <c r="DW3449">
        <f t="shared" si="6"/>
        <v>4</v>
      </c>
      <c r="DX3449">
        <f t="shared" si="6"/>
        <v>4</v>
      </c>
      <c r="DY3449">
        <f t="shared" si="6"/>
        <v>4</v>
      </c>
    </row>
    <row r="3452" spans="1:129" x14ac:dyDescent="0.2">
      <c r="B3452">
        <v>1</v>
      </c>
      <c r="C3452">
        <v>2</v>
      </c>
      <c r="D3452">
        <v>3</v>
      </c>
      <c r="E3452">
        <v>4</v>
      </c>
      <c r="F3452">
        <v>5</v>
      </c>
      <c r="G3452">
        <v>6</v>
      </c>
      <c r="H3452">
        <v>7</v>
      </c>
      <c r="I3452">
        <v>8</v>
      </c>
      <c r="J3452">
        <v>9</v>
      </c>
      <c r="K3452">
        <v>10</v>
      </c>
      <c r="L3452">
        <v>11</v>
      </c>
      <c r="M3452">
        <v>12</v>
      </c>
      <c r="N3452">
        <v>13</v>
      </c>
      <c r="O3452">
        <v>14</v>
      </c>
      <c r="P3452">
        <v>15</v>
      </c>
      <c r="Q3452">
        <v>16</v>
      </c>
      <c r="R3452">
        <v>17</v>
      </c>
      <c r="S3452">
        <v>18</v>
      </c>
      <c r="T3452">
        <v>19</v>
      </c>
      <c r="U3452">
        <v>20</v>
      </c>
      <c r="V3452">
        <v>21</v>
      </c>
      <c r="W3452">
        <v>22</v>
      </c>
      <c r="X3452">
        <v>23</v>
      </c>
      <c r="Y3452">
        <v>24</v>
      </c>
      <c r="Z3452">
        <v>25</v>
      </c>
      <c r="AA3452">
        <v>26</v>
      </c>
      <c r="AB3452">
        <v>27</v>
      </c>
      <c r="AC3452">
        <v>28</v>
      </c>
      <c r="AD3452">
        <v>29</v>
      </c>
      <c r="AE3452">
        <v>30</v>
      </c>
      <c r="AF3452">
        <v>31</v>
      </c>
      <c r="AG3452">
        <v>32</v>
      </c>
      <c r="AH3452">
        <v>33</v>
      </c>
      <c r="AI3452">
        <v>34</v>
      </c>
      <c r="AJ3452">
        <v>35</v>
      </c>
      <c r="AK3452">
        <v>36</v>
      </c>
      <c r="AL3452">
        <v>37</v>
      </c>
      <c r="AM3452">
        <v>38</v>
      </c>
      <c r="AN3452">
        <v>39</v>
      </c>
      <c r="AO3452">
        <v>40</v>
      </c>
      <c r="AP3452">
        <v>41</v>
      </c>
      <c r="AQ3452">
        <v>42</v>
      </c>
      <c r="AR3452">
        <v>43</v>
      </c>
      <c r="AS3452">
        <v>44</v>
      </c>
      <c r="AT3452">
        <v>45</v>
      </c>
      <c r="AU3452">
        <v>46</v>
      </c>
      <c r="AV3452">
        <v>47</v>
      </c>
      <c r="AW3452">
        <v>48</v>
      </c>
      <c r="AX3452">
        <v>49</v>
      </c>
      <c r="AY3452">
        <v>50</v>
      </c>
      <c r="AZ3452">
        <v>51</v>
      </c>
      <c r="BA3452">
        <v>52</v>
      </c>
      <c r="BB3452">
        <v>53</v>
      </c>
      <c r="BC3452">
        <v>54</v>
      </c>
      <c r="BD3452">
        <v>55</v>
      </c>
      <c r="BE3452">
        <v>56</v>
      </c>
      <c r="BF3452">
        <v>57</v>
      </c>
      <c r="BG3452">
        <v>58</v>
      </c>
      <c r="BH3452">
        <v>59</v>
      </c>
      <c r="BI3452">
        <v>60</v>
      </c>
      <c r="BJ3452">
        <v>61</v>
      </c>
      <c r="BK3452">
        <v>62</v>
      </c>
      <c r="BL3452">
        <v>63</v>
      </c>
      <c r="BM3452">
        <v>64</v>
      </c>
      <c r="BN3452">
        <v>65</v>
      </c>
      <c r="BO3452">
        <v>66</v>
      </c>
      <c r="BP3452">
        <v>67</v>
      </c>
      <c r="BQ3452">
        <v>68</v>
      </c>
      <c r="BR3452">
        <v>69</v>
      </c>
      <c r="BS3452">
        <v>70</v>
      </c>
      <c r="BT3452">
        <v>71</v>
      </c>
      <c r="BU3452">
        <v>72</v>
      </c>
      <c r="BV3452">
        <v>73</v>
      </c>
      <c r="BW3452">
        <v>74</v>
      </c>
      <c r="BX3452">
        <v>75</v>
      </c>
      <c r="BY3452">
        <v>76</v>
      </c>
      <c r="BZ3452">
        <v>77</v>
      </c>
      <c r="CA3452">
        <v>78</v>
      </c>
      <c r="CB3452">
        <v>79</v>
      </c>
      <c r="CC3452">
        <v>80</v>
      </c>
      <c r="CD3452">
        <v>81</v>
      </c>
      <c r="CE3452">
        <v>82</v>
      </c>
      <c r="CF3452">
        <v>83</v>
      </c>
      <c r="CG3452">
        <v>84</v>
      </c>
      <c r="CH3452">
        <v>85</v>
      </c>
      <c r="CI3452">
        <v>86</v>
      </c>
      <c r="CJ3452">
        <v>87</v>
      </c>
      <c r="CK3452">
        <v>88</v>
      </c>
      <c r="CL3452">
        <v>89</v>
      </c>
      <c r="CM3452">
        <v>90</v>
      </c>
      <c r="CN3452">
        <v>91</v>
      </c>
      <c r="CO3452">
        <v>92</v>
      </c>
      <c r="CP3452">
        <v>93</v>
      </c>
      <c r="CQ3452">
        <v>94</v>
      </c>
      <c r="CR3452">
        <v>95</v>
      </c>
      <c r="CS3452">
        <v>96</v>
      </c>
      <c r="CT3452">
        <v>97</v>
      </c>
      <c r="CU3452">
        <v>98</v>
      </c>
      <c r="CV3452">
        <v>99</v>
      </c>
      <c r="CW3452">
        <v>100</v>
      </c>
      <c r="CX3452">
        <v>101</v>
      </c>
      <c r="CY3452">
        <v>102</v>
      </c>
      <c r="CZ3452">
        <v>103</v>
      </c>
      <c r="DA3452">
        <v>104</v>
      </c>
      <c r="DB3452">
        <v>105</v>
      </c>
      <c r="DC3452">
        <v>106</v>
      </c>
      <c r="DD3452">
        <v>107</v>
      </c>
      <c r="DE3452">
        <v>108</v>
      </c>
      <c r="DF3452">
        <v>109</v>
      </c>
      <c r="DG3452">
        <v>110</v>
      </c>
      <c r="DH3452">
        <v>111</v>
      </c>
      <c r="DI3452">
        <v>112</v>
      </c>
      <c r="DJ3452">
        <v>113</v>
      </c>
      <c r="DK3452">
        <v>114</v>
      </c>
      <c r="DL3452">
        <v>115</v>
      </c>
      <c r="DM3452">
        <v>116</v>
      </c>
      <c r="DN3452">
        <v>117</v>
      </c>
      <c r="DO3452">
        <v>118</v>
      </c>
      <c r="DP3452">
        <v>119</v>
      </c>
      <c r="DQ3452">
        <v>120</v>
      </c>
      <c r="DR3452">
        <v>121</v>
      </c>
      <c r="DS3452">
        <v>122</v>
      </c>
      <c r="DT3452">
        <v>123</v>
      </c>
      <c r="DU3452">
        <v>124</v>
      </c>
      <c r="DV3452">
        <v>125</v>
      </c>
      <c r="DW3452">
        <v>126</v>
      </c>
      <c r="DX3452">
        <v>127</v>
      </c>
      <c r="DY3452">
        <v>128</v>
      </c>
    </row>
  </sheetData>
  <sheetProtection insertColumns="0" insertRows="0" sort="0" autoFilter="0" pivotTables="0"/>
  <mergeCells count="1">
    <mergeCell ref="A516:G516"/>
  </mergeCells>
  <phoneticPr fontId="20" type="noConversion"/>
  <hyperlinks>
    <hyperlink ref="A228" location="kursovoy!A1428" display="Переходите для продолжения вычислений"/>
  </hyperlinks>
  <pageMargins left="0.75" right="0.75" top="1" bottom="1" header="0.5" footer="0.5"/>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83"/>
  <sheetViews>
    <sheetView workbookViewId="0">
      <selection activeCell="I25" sqref="I25"/>
    </sheetView>
  </sheetViews>
  <sheetFormatPr defaultRowHeight="12.75" x14ac:dyDescent="0.2"/>
  <cols>
    <col min="1" max="1" width="67.140625" customWidth="1"/>
    <col min="2" max="2" width="8.140625" style="346" customWidth="1"/>
    <col min="3" max="3" width="7.28515625" style="346" customWidth="1"/>
    <col min="4" max="4" width="7.140625" style="346" customWidth="1"/>
    <col min="5" max="5" width="8.28515625" style="346" customWidth="1"/>
    <col min="6" max="6" width="7.7109375" style="346" customWidth="1"/>
    <col min="7" max="9" width="7.28515625" style="346" customWidth="1"/>
    <col min="10" max="11" width="7.5703125" style="346" customWidth="1"/>
    <col min="12" max="12" width="7.85546875" style="346" customWidth="1"/>
    <col min="13" max="13" width="7.5703125" style="346" customWidth="1"/>
    <col min="14" max="14" width="7.140625" style="346" customWidth="1"/>
    <col min="15" max="15" width="7.5703125" style="346" customWidth="1"/>
    <col min="16" max="16" width="7.7109375" style="346" customWidth="1"/>
    <col min="17" max="17" width="8.140625" style="346" customWidth="1"/>
    <col min="18" max="18" width="8" style="346" customWidth="1"/>
    <col min="19" max="19" width="7.140625" style="346" customWidth="1"/>
    <col min="20" max="20" width="7.28515625" style="346" customWidth="1"/>
    <col min="21" max="21" width="7.42578125" style="346" customWidth="1"/>
  </cols>
  <sheetData>
    <row r="2" spans="1:23" x14ac:dyDescent="0.2">
      <c r="B2" s="2878" t="s">
        <v>3657</v>
      </c>
    </row>
    <row r="3" spans="1:23" x14ac:dyDescent="0.2">
      <c r="A3" s="2879" t="s">
        <v>3658</v>
      </c>
      <c r="B3" s="795">
        <v>1</v>
      </c>
      <c r="C3" s="795">
        <v>2</v>
      </c>
      <c r="D3" s="795">
        <v>3</v>
      </c>
      <c r="E3" s="795">
        <v>4</v>
      </c>
      <c r="F3" s="795">
        <v>5</v>
      </c>
      <c r="G3" s="795">
        <v>6</v>
      </c>
      <c r="H3" s="795">
        <v>7</v>
      </c>
      <c r="I3" s="795">
        <v>8</v>
      </c>
      <c r="J3" s="795">
        <v>9</v>
      </c>
      <c r="K3" s="795">
        <v>10</v>
      </c>
      <c r="L3" s="795">
        <v>11</v>
      </c>
      <c r="M3" s="795">
        <v>12</v>
      </c>
      <c r="N3" s="795">
        <v>13</v>
      </c>
      <c r="O3" s="795">
        <v>14</v>
      </c>
      <c r="P3" s="795">
        <v>15</v>
      </c>
      <c r="Q3" s="795">
        <v>16</v>
      </c>
      <c r="R3" s="795">
        <v>17</v>
      </c>
      <c r="S3" s="795">
        <v>18</v>
      </c>
      <c r="T3" s="795">
        <v>19</v>
      </c>
      <c r="U3" s="795">
        <v>20</v>
      </c>
    </row>
    <row r="4" spans="1:23" x14ac:dyDescent="0.2">
      <c r="B4" s="241"/>
      <c r="C4" s="241"/>
      <c r="D4" s="241"/>
      <c r="E4" s="241"/>
      <c r="F4" s="241"/>
      <c r="G4" s="241"/>
      <c r="H4" s="241"/>
      <c r="I4" s="241"/>
      <c r="J4" s="241"/>
      <c r="K4" s="241"/>
      <c r="L4" s="241"/>
      <c r="M4" s="241"/>
      <c r="N4" s="241"/>
      <c r="O4" s="241"/>
      <c r="P4" s="241"/>
      <c r="Q4" s="241"/>
      <c r="R4" s="241"/>
      <c r="S4" s="241"/>
      <c r="T4" s="241"/>
      <c r="U4" s="241"/>
    </row>
    <row r="5" spans="1:23" ht="15.75" x14ac:dyDescent="0.25">
      <c r="A5" s="2880" t="s">
        <v>5506</v>
      </c>
      <c r="B5" s="2881">
        <v>5000</v>
      </c>
      <c r="C5" s="795">
        <v>6000</v>
      </c>
      <c r="D5" s="795">
        <v>5000</v>
      </c>
      <c r="E5" s="795">
        <v>6000</v>
      </c>
      <c r="F5" s="795">
        <v>6000</v>
      </c>
      <c r="G5" s="795">
        <v>7000</v>
      </c>
      <c r="H5" s="795">
        <v>8000</v>
      </c>
      <c r="I5" s="795">
        <v>7000</v>
      </c>
      <c r="J5" s="795">
        <v>8000</v>
      </c>
      <c r="K5" s="795">
        <v>7000</v>
      </c>
      <c r="L5" s="795">
        <v>8000</v>
      </c>
      <c r="M5" s="795">
        <v>6000</v>
      </c>
      <c r="N5" s="795">
        <v>6000</v>
      </c>
      <c r="O5" s="795">
        <v>6000</v>
      </c>
      <c r="P5" s="795">
        <v>6000</v>
      </c>
      <c r="Q5" s="795">
        <v>8000</v>
      </c>
      <c r="R5" s="795">
        <v>8000</v>
      </c>
      <c r="S5" s="795">
        <v>8000</v>
      </c>
      <c r="T5" s="795">
        <v>7000</v>
      </c>
      <c r="U5" s="795">
        <v>7000</v>
      </c>
      <c r="W5" s="2882">
        <v>1</v>
      </c>
    </row>
    <row r="6" spans="1:23" ht="15.75" x14ac:dyDescent="0.25">
      <c r="A6" s="2880" t="s">
        <v>5507</v>
      </c>
      <c r="B6" s="2881">
        <v>3000</v>
      </c>
      <c r="C6" s="795">
        <v>2800</v>
      </c>
      <c r="D6" s="2881">
        <v>2600</v>
      </c>
      <c r="E6" s="795">
        <v>2400</v>
      </c>
      <c r="F6" s="2881">
        <v>2200</v>
      </c>
      <c r="G6" s="795">
        <v>2000</v>
      </c>
      <c r="H6" s="2881">
        <v>1800</v>
      </c>
      <c r="I6" s="795">
        <v>1600</v>
      </c>
      <c r="J6" s="2881">
        <v>1400</v>
      </c>
      <c r="K6" s="795">
        <v>2800</v>
      </c>
      <c r="L6" s="2881">
        <v>2200</v>
      </c>
      <c r="M6" s="795">
        <v>3600</v>
      </c>
      <c r="N6" s="2881">
        <v>3200</v>
      </c>
      <c r="O6" s="795">
        <v>2800</v>
      </c>
      <c r="P6" s="2881">
        <v>2400</v>
      </c>
      <c r="Q6" s="795">
        <v>2000</v>
      </c>
      <c r="R6" s="2881">
        <v>1600</v>
      </c>
      <c r="S6" s="795">
        <v>1500</v>
      </c>
      <c r="T6" s="2881">
        <v>2300</v>
      </c>
      <c r="U6" s="795">
        <v>2100</v>
      </c>
      <c r="W6">
        <v>2</v>
      </c>
    </row>
    <row r="7" spans="1:23" ht="15.75" x14ac:dyDescent="0.25">
      <c r="A7" s="2880" t="s">
        <v>5508</v>
      </c>
      <c r="B7" s="2881">
        <v>2</v>
      </c>
      <c r="C7" s="795">
        <v>3</v>
      </c>
      <c r="D7" s="2881">
        <v>4</v>
      </c>
      <c r="E7" s="2881">
        <v>2</v>
      </c>
      <c r="F7" s="795">
        <v>3</v>
      </c>
      <c r="G7" s="2881">
        <v>4</v>
      </c>
      <c r="H7" s="2881">
        <v>2</v>
      </c>
      <c r="I7" s="795">
        <v>3</v>
      </c>
      <c r="J7" s="2881">
        <v>4</v>
      </c>
      <c r="K7" s="2881">
        <v>2</v>
      </c>
      <c r="L7" s="795">
        <v>3</v>
      </c>
      <c r="M7" s="2881">
        <v>4</v>
      </c>
      <c r="N7" s="2881">
        <v>2</v>
      </c>
      <c r="O7" s="795">
        <v>3</v>
      </c>
      <c r="P7" s="2881">
        <v>4</v>
      </c>
      <c r="Q7" s="2881">
        <v>2</v>
      </c>
      <c r="R7" s="795">
        <v>3</v>
      </c>
      <c r="S7" s="2881">
        <v>4</v>
      </c>
      <c r="T7" s="2881">
        <v>2</v>
      </c>
      <c r="U7" s="795">
        <v>3</v>
      </c>
      <c r="V7" s="2533"/>
      <c r="W7" s="2882">
        <v>3</v>
      </c>
    </row>
    <row r="8" spans="1:23" ht="18" x14ac:dyDescent="0.35">
      <c r="A8" s="2883" t="s">
        <v>5509</v>
      </c>
      <c r="B8" s="2881">
        <v>5</v>
      </c>
      <c r="C8" s="795">
        <v>7</v>
      </c>
      <c r="D8" s="2881">
        <v>9</v>
      </c>
      <c r="E8" s="795">
        <v>11</v>
      </c>
      <c r="F8" s="2881">
        <v>13</v>
      </c>
      <c r="G8" s="795">
        <v>15</v>
      </c>
      <c r="H8" s="2881">
        <v>17</v>
      </c>
      <c r="I8" s="795">
        <v>18</v>
      </c>
      <c r="J8" s="2881">
        <v>18</v>
      </c>
      <c r="K8" s="795">
        <v>18</v>
      </c>
      <c r="L8" s="2881">
        <v>25</v>
      </c>
      <c r="M8" s="795">
        <v>12</v>
      </c>
      <c r="N8" s="2881">
        <v>7</v>
      </c>
      <c r="O8" s="795">
        <v>9</v>
      </c>
      <c r="P8" s="2881">
        <v>11</v>
      </c>
      <c r="Q8" s="795">
        <v>13</v>
      </c>
      <c r="R8" s="2881">
        <v>15</v>
      </c>
      <c r="S8" s="795">
        <v>17</v>
      </c>
      <c r="T8" s="2881">
        <v>19</v>
      </c>
      <c r="U8" s="795">
        <v>18</v>
      </c>
      <c r="W8">
        <v>4</v>
      </c>
    </row>
    <row r="9" spans="1:23" ht="15.75" x14ac:dyDescent="0.25">
      <c r="A9" s="2883" t="s">
        <v>5510</v>
      </c>
      <c r="B9" s="2881">
        <v>400</v>
      </c>
      <c r="C9" s="795">
        <v>500</v>
      </c>
      <c r="D9" s="2881">
        <v>300</v>
      </c>
      <c r="E9" s="795">
        <v>350</v>
      </c>
      <c r="F9" s="2881">
        <v>400</v>
      </c>
      <c r="G9" s="795">
        <v>450</v>
      </c>
      <c r="H9" s="2881">
        <v>420</v>
      </c>
      <c r="I9" s="795">
        <v>390</v>
      </c>
      <c r="J9" s="2881">
        <v>360</v>
      </c>
      <c r="K9" s="795">
        <v>330</v>
      </c>
      <c r="L9" s="2881">
        <v>200</v>
      </c>
      <c r="M9" s="795">
        <v>500</v>
      </c>
      <c r="N9" s="2881">
        <v>450</v>
      </c>
      <c r="O9" s="795">
        <v>400</v>
      </c>
      <c r="P9" s="2881">
        <v>350</v>
      </c>
      <c r="Q9" s="795">
        <v>300</v>
      </c>
      <c r="R9" s="2881">
        <v>250</v>
      </c>
      <c r="S9" s="795">
        <v>200</v>
      </c>
      <c r="T9" s="2881">
        <v>150</v>
      </c>
      <c r="U9" s="795">
        <v>200</v>
      </c>
      <c r="W9" s="2882">
        <v>5</v>
      </c>
    </row>
    <row r="10" spans="1:23" ht="18.75" x14ac:dyDescent="0.35">
      <c r="A10" s="2884" t="s">
        <v>5511</v>
      </c>
      <c r="B10" s="2885"/>
      <c r="C10" s="795"/>
      <c r="D10" s="795"/>
      <c r="E10" s="795"/>
      <c r="F10" s="795"/>
      <c r="G10" s="795"/>
      <c r="H10" s="795"/>
      <c r="I10" s="795"/>
      <c r="J10" s="795"/>
      <c r="K10" s="795"/>
      <c r="L10" s="795"/>
      <c r="M10" s="795"/>
      <c r="N10" s="795"/>
      <c r="O10" s="795"/>
      <c r="P10" s="795"/>
      <c r="Q10" s="795"/>
      <c r="R10" s="795"/>
      <c r="S10" s="795"/>
      <c r="T10" s="795"/>
      <c r="U10" s="795"/>
      <c r="W10">
        <v>6</v>
      </c>
    </row>
    <row r="11" spans="1:23" ht="15.75" x14ac:dyDescent="0.25">
      <c r="A11" s="2886" t="s">
        <v>2202</v>
      </c>
      <c r="B11" s="2881">
        <v>120</v>
      </c>
      <c r="C11" s="795">
        <v>100</v>
      </c>
      <c r="D11" s="2881">
        <v>80</v>
      </c>
      <c r="E11" s="795">
        <v>110</v>
      </c>
      <c r="F11" s="2881">
        <v>90</v>
      </c>
      <c r="G11" s="795">
        <v>80</v>
      </c>
      <c r="H11" s="2881">
        <v>210</v>
      </c>
      <c r="I11" s="795">
        <v>60</v>
      </c>
      <c r="J11" s="2881">
        <v>80</v>
      </c>
      <c r="K11" s="795">
        <v>70</v>
      </c>
      <c r="L11" s="2881">
        <v>90</v>
      </c>
      <c r="M11" s="795">
        <v>150</v>
      </c>
      <c r="N11" s="2881">
        <v>90</v>
      </c>
      <c r="O11" s="795">
        <v>87</v>
      </c>
      <c r="P11" s="2881">
        <v>33</v>
      </c>
      <c r="Q11" s="795">
        <v>220</v>
      </c>
      <c r="R11" s="2881">
        <v>120</v>
      </c>
      <c r="S11" s="795">
        <v>80</v>
      </c>
      <c r="T11" s="2881">
        <v>260</v>
      </c>
      <c r="U11" s="795">
        <v>120</v>
      </c>
      <c r="W11" s="2882">
        <v>7</v>
      </c>
    </row>
    <row r="12" spans="1:23" ht="15.75" x14ac:dyDescent="0.25">
      <c r="A12" s="2886" t="s">
        <v>3659</v>
      </c>
      <c r="B12" s="2881"/>
      <c r="C12" s="795">
        <v>50</v>
      </c>
      <c r="D12" s="2881">
        <v>60</v>
      </c>
      <c r="E12" s="795"/>
      <c r="F12" s="795">
        <v>60</v>
      </c>
      <c r="G12" s="795">
        <v>40</v>
      </c>
      <c r="H12" s="795"/>
      <c r="I12" s="795">
        <v>120</v>
      </c>
      <c r="J12" s="2881">
        <v>55</v>
      </c>
      <c r="K12" s="795"/>
      <c r="L12" s="2881">
        <v>120</v>
      </c>
      <c r="M12" s="795">
        <v>75</v>
      </c>
      <c r="N12" s="795"/>
      <c r="O12" s="795">
        <v>56</v>
      </c>
      <c r="P12" s="2881">
        <v>90</v>
      </c>
      <c r="Q12" s="795"/>
      <c r="R12" s="2881">
        <v>190</v>
      </c>
      <c r="S12" s="795">
        <v>80</v>
      </c>
      <c r="T12" s="795"/>
      <c r="U12" s="795">
        <v>140</v>
      </c>
      <c r="W12">
        <v>8</v>
      </c>
    </row>
    <row r="13" spans="1:23" ht="15.75" x14ac:dyDescent="0.25">
      <c r="A13" s="2886" t="s">
        <v>3660</v>
      </c>
      <c r="B13" s="2881"/>
      <c r="C13" s="795"/>
      <c r="D13" s="2881">
        <v>70</v>
      </c>
      <c r="E13" s="795"/>
      <c r="F13" s="2881"/>
      <c r="G13" s="795">
        <v>160</v>
      </c>
      <c r="H13" s="795"/>
      <c r="I13" s="795"/>
      <c r="J13" s="2881">
        <v>70</v>
      </c>
      <c r="K13" s="795"/>
      <c r="L13" s="2881"/>
      <c r="M13" s="795">
        <v>150</v>
      </c>
      <c r="N13" s="795"/>
      <c r="O13" s="795"/>
      <c r="P13" s="2881">
        <v>60</v>
      </c>
      <c r="Q13" s="795"/>
      <c r="R13" s="795"/>
      <c r="S13" s="795">
        <v>180</v>
      </c>
      <c r="T13" s="795"/>
      <c r="U13" s="795"/>
      <c r="W13" s="2882">
        <v>9</v>
      </c>
    </row>
    <row r="14" spans="1:23" ht="15.75" x14ac:dyDescent="0.25">
      <c r="A14" s="2886" t="s">
        <v>4578</v>
      </c>
      <c r="B14" s="2881"/>
      <c r="C14" s="795"/>
      <c r="D14" s="795"/>
      <c r="E14" s="795"/>
      <c r="F14" s="795"/>
      <c r="G14" s="795"/>
      <c r="H14" s="795"/>
      <c r="I14" s="795"/>
      <c r="J14" s="2881"/>
      <c r="K14" s="795"/>
      <c r="L14" s="795"/>
      <c r="M14" s="795"/>
      <c r="N14" s="795"/>
      <c r="O14" s="795"/>
      <c r="P14" s="795"/>
      <c r="Q14" s="795"/>
      <c r="R14" s="795"/>
      <c r="S14" s="795"/>
      <c r="T14" s="795"/>
      <c r="U14" s="795"/>
      <c r="W14">
        <v>10</v>
      </c>
    </row>
    <row r="15" spans="1:23" ht="15.75" x14ac:dyDescent="0.25">
      <c r="A15" s="2886" t="s">
        <v>2620</v>
      </c>
      <c r="B15" s="2881"/>
      <c r="C15" s="795"/>
      <c r="D15" s="795"/>
      <c r="E15" s="795"/>
      <c r="F15" s="795"/>
      <c r="G15" s="795"/>
      <c r="H15" s="795"/>
      <c r="I15" s="795"/>
      <c r="J15" s="795"/>
      <c r="K15" s="795"/>
      <c r="L15" s="795"/>
      <c r="M15" s="795"/>
      <c r="N15" s="795"/>
      <c r="O15" s="795"/>
      <c r="P15" s="795"/>
      <c r="Q15" s="795"/>
      <c r="R15" s="795"/>
      <c r="S15" s="795"/>
      <c r="T15" s="795"/>
      <c r="U15" s="795"/>
      <c r="W15" s="2882">
        <v>11</v>
      </c>
    </row>
    <row r="16" spans="1:23" ht="15.75" x14ac:dyDescent="0.25">
      <c r="A16" s="2887" t="s">
        <v>1290</v>
      </c>
      <c r="B16" s="241"/>
      <c r="C16" s="241"/>
      <c r="D16" s="241"/>
      <c r="E16" s="241"/>
      <c r="F16" s="241"/>
      <c r="G16" s="241"/>
      <c r="H16" s="241"/>
      <c r="I16" s="241"/>
      <c r="J16" s="241"/>
      <c r="K16" s="241"/>
      <c r="L16" s="241"/>
      <c r="M16" s="241"/>
      <c r="N16" s="241"/>
      <c r="O16" s="241"/>
      <c r="P16" s="241"/>
      <c r="Q16" s="241"/>
      <c r="R16" s="241"/>
      <c r="S16" s="241"/>
      <c r="T16" s="241"/>
      <c r="U16" s="241"/>
      <c r="V16" s="2888"/>
      <c r="W16">
        <v>12</v>
      </c>
    </row>
    <row r="17" spans="1:23" ht="15.75" x14ac:dyDescent="0.25">
      <c r="A17" s="2632" t="s">
        <v>2199</v>
      </c>
      <c r="B17" s="2889">
        <v>1.3965000000000001</v>
      </c>
      <c r="C17" s="2889">
        <v>1.62</v>
      </c>
      <c r="D17" s="2889">
        <v>1.3080000000000001</v>
      </c>
      <c r="E17" s="2889">
        <v>1.4430000000000003</v>
      </c>
      <c r="F17" s="2889">
        <v>1.0169999999999999</v>
      </c>
      <c r="G17" s="2889">
        <v>1.2649999999999999</v>
      </c>
      <c r="H17" s="2889">
        <v>1.5209999999999999</v>
      </c>
      <c r="I17" s="2889">
        <v>1.7849999999999999</v>
      </c>
      <c r="J17" s="2889">
        <v>1.4335</v>
      </c>
      <c r="K17" s="2889">
        <v>1.47</v>
      </c>
      <c r="L17" s="2889">
        <v>1.1880000000000002</v>
      </c>
      <c r="M17" s="2889">
        <v>0.92649999999999999</v>
      </c>
      <c r="N17" s="2889">
        <v>1.7760000000000002</v>
      </c>
      <c r="O17" s="2889">
        <v>1.4689999999999999</v>
      </c>
      <c r="P17" s="2889">
        <v>1.61</v>
      </c>
      <c r="Q17" s="2889">
        <v>1.17</v>
      </c>
      <c r="R17" s="2889">
        <v>0.97579999999999989</v>
      </c>
      <c r="S17" s="2889">
        <v>1.452</v>
      </c>
      <c r="T17" s="2889">
        <v>1.4040000000000001</v>
      </c>
      <c r="U17" s="2889">
        <v>1.7920000000000003</v>
      </c>
      <c r="W17" s="2882">
        <v>13</v>
      </c>
    </row>
    <row r="18" spans="1:23" ht="15.75" x14ac:dyDescent="0.25">
      <c r="A18" s="2632" t="s">
        <v>2200</v>
      </c>
      <c r="B18" s="2889">
        <v>1.2635000000000001</v>
      </c>
      <c r="C18" s="2889">
        <v>1.38</v>
      </c>
      <c r="D18" s="2889">
        <v>1.0920000000000001</v>
      </c>
      <c r="E18" s="2889">
        <v>1.157</v>
      </c>
      <c r="F18" s="2889">
        <v>0.88300000000000001</v>
      </c>
      <c r="G18" s="2889">
        <v>0.93500000000000005</v>
      </c>
      <c r="H18" s="2889">
        <v>1.079</v>
      </c>
      <c r="I18" s="2889">
        <v>1.2150000000000001</v>
      </c>
      <c r="J18" s="2889">
        <v>1.0665000000000002</v>
      </c>
      <c r="K18" s="2889">
        <v>1.33</v>
      </c>
      <c r="L18" s="2889">
        <v>1.0120000000000002</v>
      </c>
      <c r="M18" s="2889">
        <v>0.77349999999999997</v>
      </c>
      <c r="N18" s="2889">
        <v>1.4240000000000002</v>
      </c>
      <c r="O18" s="2889">
        <v>1.131</v>
      </c>
      <c r="P18" s="2889">
        <v>1.19</v>
      </c>
      <c r="Q18" s="2889">
        <v>0.83</v>
      </c>
      <c r="R18" s="2889">
        <v>0.8</v>
      </c>
      <c r="S18" s="2889">
        <v>0.94799999999999995</v>
      </c>
      <c r="T18" s="2889">
        <v>1.1960000000000002</v>
      </c>
      <c r="U18" s="2889">
        <v>1.58</v>
      </c>
      <c r="W18">
        <v>14</v>
      </c>
    </row>
    <row r="19" spans="1:23" ht="15.75" x14ac:dyDescent="0.25">
      <c r="A19" s="2632" t="s">
        <v>2201</v>
      </c>
      <c r="B19" s="2889">
        <v>1.33</v>
      </c>
      <c r="C19" s="2890">
        <v>1.5</v>
      </c>
      <c r="D19" s="2890">
        <v>1.2</v>
      </c>
      <c r="E19" s="2890">
        <v>1.3</v>
      </c>
      <c r="F19" s="2890">
        <v>0.9</v>
      </c>
      <c r="G19" s="2890">
        <v>1.1000000000000001</v>
      </c>
      <c r="H19" s="2890">
        <v>1.3</v>
      </c>
      <c r="I19" s="2890">
        <v>1.5</v>
      </c>
      <c r="J19" s="2890">
        <v>1.35</v>
      </c>
      <c r="K19" s="2890">
        <v>1.4</v>
      </c>
      <c r="L19" s="2890">
        <v>1.1000000000000001</v>
      </c>
      <c r="M19" s="2890">
        <v>0.85</v>
      </c>
      <c r="N19" s="2890">
        <v>1.6</v>
      </c>
      <c r="O19" s="2890">
        <v>1.3</v>
      </c>
      <c r="P19" s="2890">
        <v>1.4</v>
      </c>
      <c r="Q19" s="2890">
        <v>1</v>
      </c>
      <c r="R19" s="2890">
        <v>0.82</v>
      </c>
      <c r="S19" s="2890">
        <v>1.2</v>
      </c>
      <c r="T19" s="2890">
        <v>1.3</v>
      </c>
      <c r="U19" s="2890">
        <v>1.6</v>
      </c>
      <c r="W19" s="2882">
        <v>15</v>
      </c>
    </row>
    <row r="20" spans="1:23" ht="15.75" x14ac:dyDescent="0.25">
      <c r="A20" s="2632" t="s">
        <v>2621</v>
      </c>
      <c r="B20" s="2889">
        <v>1.575</v>
      </c>
      <c r="C20" s="2889">
        <v>1.296</v>
      </c>
      <c r="D20" s="2889">
        <v>0.98100000000000009</v>
      </c>
      <c r="E20" s="2889">
        <v>1.7760000000000002</v>
      </c>
      <c r="F20" s="2889">
        <v>1.3559999999999999</v>
      </c>
      <c r="G20" s="2889">
        <v>1.4950000000000001</v>
      </c>
      <c r="H20" s="2889">
        <v>1.5911999999999999</v>
      </c>
      <c r="I20" s="2889">
        <v>1.6659999999999999</v>
      </c>
      <c r="J20" s="2889">
        <v>1.573</v>
      </c>
      <c r="K20" s="2889">
        <v>1.68</v>
      </c>
      <c r="L20" s="2889">
        <v>1.296</v>
      </c>
      <c r="M20" s="2889">
        <v>1.3080000000000001</v>
      </c>
      <c r="N20" s="2889">
        <v>1.554</v>
      </c>
      <c r="O20" s="2889">
        <v>1.0169999999999999</v>
      </c>
      <c r="P20" s="2889">
        <v>1.38</v>
      </c>
      <c r="Q20" s="2889">
        <v>1.6379999999999999</v>
      </c>
      <c r="R20" s="2889">
        <v>1.9039999999999999</v>
      </c>
      <c r="S20" s="2889">
        <v>1.5125</v>
      </c>
      <c r="T20" s="2889">
        <v>1.8360000000000001</v>
      </c>
      <c r="U20" s="2889">
        <v>1.0080000000000002</v>
      </c>
      <c r="W20">
        <v>16</v>
      </c>
    </row>
    <row r="21" spans="1:23" ht="15.75" x14ac:dyDescent="0.25">
      <c r="A21" s="2632" t="s">
        <v>2622</v>
      </c>
      <c r="B21" s="2889">
        <v>1.425</v>
      </c>
      <c r="C21" s="2889">
        <v>1.1040000000000001</v>
      </c>
      <c r="D21" s="2889">
        <v>0.81900000000000006</v>
      </c>
      <c r="E21" s="2889">
        <v>1.4240000000000002</v>
      </c>
      <c r="F21" s="2889">
        <v>1.044</v>
      </c>
      <c r="G21" s="2889">
        <v>1.105</v>
      </c>
      <c r="H21" s="2889">
        <v>1.1288</v>
      </c>
      <c r="I21" s="2889">
        <v>1.1339999999999999</v>
      </c>
      <c r="J21" s="2889">
        <v>1.0270000000000001</v>
      </c>
      <c r="K21" s="2889">
        <v>1.52</v>
      </c>
      <c r="L21" s="2889">
        <v>1.1040000000000001</v>
      </c>
      <c r="M21" s="2889">
        <v>1.0920000000000001</v>
      </c>
      <c r="N21" s="2889">
        <v>1.246</v>
      </c>
      <c r="O21" s="2889">
        <v>0.88300000000000001</v>
      </c>
      <c r="P21" s="2889">
        <v>1.02</v>
      </c>
      <c r="Q21" s="2889">
        <v>1.1619999999999999</v>
      </c>
      <c r="R21" s="2889">
        <v>1.2960000000000003</v>
      </c>
      <c r="S21" s="2889">
        <v>1.2</v>
      </c>
      <c r="T21" s="2889">
        <v>1.5640000000000001</v>
      </c>
      <c r="U21" s="2889">
        <v>0.79200000000000004</v>
      </c>
      <c r="W21" s="2882">
        <v>17</v>
      </c>
    </row>
    <row r="22" spans="1:23" ht="15.75" x14ac:dyDescent="0.25">
      <c r="A22" s="2632" t="s">
        <v>2623</v>
      </c>
      <c r="B22" s="2889">
        <v>1.5</v>
      </c>
      <c r="C22" s="2890">
        <v>1.2</v>
      </c>
      <c r="D22" s="2890">
        <v>0.9</v>
      </c>
      <c r="E22" s="2890">
        <v>1.6</v>
      </c>
      <c r="F22" s="2890">
        <v>1.2</v>
      </c>
      <c r="G22" s="2890">
        <v>1.3</v>
      </c>
      <c r="H22" s="2890">
        <v>1.36</v>
      </c>
      <c r="I22" s="2890">
        <v>1.4</v>
      </c>
      <c r="J22" s="2890">
        <v>1.3</v>
      </c>
      <c r="K22" s="2890">
        <v>1.6</v>
      </c>
      <c r="L22" s="2890">
        <v>1.2</v>
      </c>
      <c r="M22" s="2890">
        <v>1.2</v>
      </c>
      <c r="N22" s="2890">
        <v>1.4</v>
      </c>
      <c r="O22" s="2890">
        <v>0.9</v>
      </c>
      <c r="P22" s="2890">
        <v>1.2</v>
      </c>
      <c r="Q22" s="2890">
        <v>1.4</v>
      </c>
      <c r="R22" s="2890">
        <v>1.6</v>
      </c>
      <c r="S22" s="2890">
        <v>1.25</v>
      </c>
      <c r="T22" s="2890">
        <v>1.7</v>
      </c>
      <c r="U22" s="2890">
        <v>0.9</v>
      </c>
      <c r="W22">
        <v>18</v>
      </c>
    </row>
    <row r="23" spans="1:23" ht="15.75" x14ac:dyDescent="0.25">
      <c r="A23" s="2632" t="s">
        <v>2624</v>
      </c>
      <c r="B23" s="2889"/>
      <c r="C23" s="2889">
        <v>0.97200000000000009</v>
      </c>
      <c r="D23" s="2889">
        <v>1.5805</v>
      </c>
      <c r="E23" s="2889"/>
      <c r="F23" s="2889">
        <v>1.4689999999999999</v>
      </c>
      <c r="G23" s="2889">
        <v>1.0925</v>
      </c>
      <c r="H23" s="2889"/>
      <c r="I23" s="2889">
        <v>1.071</v>
      </c>
      <c r="J23" s="2889">
        <v>1.331</v>
      </c>
      <c r="K23" s="2889"/>
      <c r="L23" s="2889">
        <v>1.296</v>
      </c>
      <c r="M23" s="2889">
        <v>0.98100000000000009</v>
      </c>
      <c r="N23" s="2889"/>
      <c r="O23" s="2889">
        <v>1.3559999999999999</v>
      </c>
      <c r="P23" s="2889">
        <v>1.2649999999999999</v>
      </c>
      <c r="Q23" s="2889"/>
      <c r="R23" s="2889">
        <v>1.3089999999999999</v>
      </c>
      <c r="S23" s="2889">
        <v>1.694</v>
      </c>
      <c r="T23" s="2889"/>
      <c r="U23" s="2889">
        <v>1.3440000000000001</v>
      </c>
      <c r="W23" s="2882">
        <v>19</v>
      </c>
    </row>
    <row r="24" spans="1:23" ht="15.75" x14ac:dyDescent="0.25">
      <c r="A24" s="2632" t="s">
        <v>2625</v>
      </c>
      <c r="B24" s="2889"/>
      <c r="C24" s="2889">
        <v>0.82800000000000007</v>
      </c>
      <c r="D24" s="2889">
        <v>1.3194999999999999</v>
      </c>
      <c r="E24" s="2889"/>
      <c r="F24" s="2889">
        <v>1.131</v>
      </c>
      <c r="G24" s="2889">
        <v>0.8075</v>
      </c>
      <c r="H24" s="2889"/>
      <c r="I24" s="2889">
        <v>0.88</v>
      </c>
      <c r="J24" s="2889">
        <v>0.86900000000000011</v>
      </c>
      <c r="K24" s="2889"/>
      <c r="L24" s="2889">
        <v>1.1040000000000001</v>
      </c>
      <c r="M24" s="2889">
        <v>0.85899999999999999</v>
      </c>
      <c r="N24" s="2889"/>
      <c r="O24" s="2889">
        <v>1.044</v>
      </c>
      <c r="P24" s="2889">
        <v>0.93500000000000005</v>
      </c>
      <c r="Q24" s="2889"/>
      <c r="R24" s="2889">
        <v>0.89100000000000013</v>
      </c>
      <c r="S24" s="2889">
        <v>1.1059999999999999</v>
      </c>
      <c r="T24" s="2889"/>
      <c r="U24" s="2889">
        <v>1.056</v>
      </c>
      <c r="W24">
        <v>20</v>
      </c>
    </row>
    <row r="25" spans="1:23" ht="15.75" x14ac:dyDescent="0.25">
      <c r="A25" s="2632" t="s">
        <v>2626</v>
      </c>
      <c r="B25" s="2889"/>
      <c r="C25" s="2890">
        <v>0.9</v>
      </c>
      <c r="D25" s="2890">
        <v>1.45</v>
      </c>
      <c r="E25" s="2890"/>
      <c r="F25" s="2890">
        <v>1.3</v>
      </c>
      <c r="G25" s="2890">
        <v>0.95</v>
      </c>
      <c r="H25" s="2890"/>
      <c r="I25" s="2890">
        <v>0.9</v>
      </c>
      <c r="J25" s="2890">
        <v>1.1000000000000001</v>
      </c>
      <c r="K25" s="2890"/>
      <c r="L25" s="2890">
        <v>1.2</v>
      </c>
      <c r="M25" s="2890">
        <v>0.9</v>
      </c>
      <c r="N25" s="2890"/>
      <c r="O25" s="2890">
        <v>1.2</v>
      </c>
      <c r="P25" s="2890">
        <v>1.1000000000000001</v>
      </c>
      <c r="Q25" s="2890"/>
      <c r="R25" s="2890">
        <v>1.1000000000000001</v>
      </c>
      <c r="S25" s="2890">
        <v>1.4</v>
      </c>
      <c r="T25" s="2890"/>
      <c r="U25" s="2890">
        <v>1.2</v>
      </c>
      <c r="W25" s="2882">
        <v>21</v>
      </c>
    </row>
    <row r="26" spans="1:23" ht="15.75" x14ac:dyDescent="0.25">
      <c r="A26" s="2632" t="s">
        <v>2627</v>
      </c>
      <c r="B26" s="2889"/>
      <c r="C26" s="2889"/>
      <c r="D26" s="2889">
        <v>1.4170000000000003</v>
      </c>
      <c r="E26" s="2889"/>
      <c r="F26" s="2889"/>
      <c r="G26" s="2889">
        <v>1.61</v>
      </c>
      <c r="H26" s="2889"/>
      <c r="I26" s="2889"/>
      <c r="J26" s="2889">
        <v>1.573</v>
      </c>
      <c r="K26" s="2889"/>
      <c r="L26" s="2889"/>
      <c r="M26" s="2889">
        <v>1.4170000000000003</v>
      </c>
      <c r="N26" s="2889"/>
      <c r="O26" s="2889"/>
      <c r="P26" s="2889">
        <v>0.97750000000000004</v>
      </c>
      <c r="Q26" s="2889"/>
      <c r="R26" s="2889"/>
      <c r="S26" s="2889">
        <v>1.331</v>
      </c>
      <c r="T26" s="2889"/>
      <c r="U26" s="2889"/>
      <c r="W26">
        <v>22</v>
      </c>
    </row>
    <row r="27" spans="1:23" ht="15.75" x14ac:dyDescent="0.25">
      <c r="A27" s="2632" t="s">
        <v>2628</v>
      </c>
      <c r="B27" s="2889"/>
      <c r="C27" s="2889"/>
      <c r="D27" s="2889">
        <v>1.1830000000000001</v>
      </c>
      <c r="E27" s="2889"/>
      <c r="F27" s="2889"/>
      <c r="G27" s="2889">
        <v>1.19</v>
      </c>
      <c r="H27" s="2889"/>
      <c r="I27" s="2889"/>
      <c r="J27" s="2889">
        <v>1.0270000000000001</v>
      </c>
      <c r="K27" s="2889"/>
      <c r="L27" s="2889"/>
      <c r="M27" s="2889">
        <v>1.1830000000000001</v>
      </c>
      <c r="N27" s="2889"/>
      <c r="O27" s="2889"/>
      <c r="P27" s="2889">
        <v>0.82250000000000001</v>
      </c>
      <c r="Q27" s="2889"/>
      <c r="R27" s="2889"/>
      <c r="S27" s="2889">
        <v>0.86900000000000011</v>
      </c>
      <c r="T27" s="2889"/>
      <c r="U27" s="2889"/>
      <c r="W27" s="2882">
        <v>23</v>
      </c>
    </row>
    <row r="28" spans="1:23" ht="15.75" x14ac:dyDescent="0.25">
      <c r="A28" s="2632" t="s">
        <v>2629</v>
      </c>
      <c r="B28" s="2889"/>
      <c r="C28" s="2890"/>
      <c r="D28" s="2890">
        <v>1.3</v>
      </c>
      <c r="E28" s="2890"/>
      <c r="F28" s="2890"/>
      <c r="G28" s="2890">
        <v>1.4</v>
      </c>
      <c r="H28" s="2890"/>
      <c r="I28" s="2890"/>
      <c r="J28" s="2890">
        <v>1.3</v>
      </c>
      <c r="K28" s="2890"/>
      <c r="L28" s="2890"/>
      <c r="M28" s="2890">
        <v>1.3</v>
      </c>
      <c r="N28" s="2890"/>
      <c r="O28" s="2890"/>
      <c r="P28" s="2890">
        <v>0.85</v>
      </c>
      <c r="Q28" s="2890"/>
      <c r="R28" s="2890"/>
      <c r="S28" s="2890">
        <v>1.1000000000000001</v>
      </c>
      <c r="T28" s="2890"/>
      <c r="U28" s="2890"/>
      <c r="W28">
        <v>24</v>
      </c>
    </row>
    <row r="29" spans="1:23" ht="15.75" x14ac:dyDescent="0.25">
      <c r="A29" s="2632" t="s">
        <v>2630</v>
      </c>
      <c r="B29" s="2533"/>
      <c r="C29" s="241"/>
      <c r="D29" s="241"/>
      <c r="E29" s="241"/>
      <c r="F29" s="241"/>
      <c r="G29" s="241"/>
      <c r="H29" s="241"/>
      <c r="I29" s="241"/>
      <c r="J29" s="241"/>
      <c r="K29" s="241"/>
      <c r="L29" s="241"/>
      <c r="M29" s="241"/>
      <c r="N29" s="241"/>
      <c r="O29" s="241"/>
      <c r="P29" s="241"/>
      <c r="Q29" s="241"/>
      <c r="R29" s="241"/>
      <c r="S29" s="241"/>
      <c r="T29" s="241"/>
      <c r="U29" s="241"/>
      <c r="W29" s="2882">
        <v>25</v>
      </c>
    </row>
    <row r="30" spans="1:23" ht="15.75" x14ac:dyDescent="0.25">
      <c r="A30" s="2632" t="s">
        <v>2631</v>
      </c>
      <c r="B30" s="2533"/>
      <c r="C30" s="241"/>
      <c r="D30" s="241"/>
      <c r="E30" s="241"/>
      <c r="F30" s="241"/>
      <c r="G30" s="241"/>
      <c r="H30" s="241"/>
      <c r="I30" s="241"/>
      <c r="J30" s="241"/>
      <c r="K30" s="241"/>
      <c r="L30" s="241"/>
      <c r="M30" s="241"/>
      <c r="N30" s="241"/>
      <c r="O30" s="241"/>
      <c r="P30" s="241"/>
      <c r="Q30" s="241"/>
      <c r="R30" s="241"/>
      <c r="S30" s="241"/>
      <c r="T30" s="241"/>
      <c r="U30" s="241"/>
      <c r="W30">
        <v>26</v>
      </c>
    </row>
    <row r="31" spans="1:23" ht="15.75" x14ac:dyDescent="0.25">
      <c r="A31" s="2632" t="s">
        <v>2632</v>
      </c>
      <c r="B31" s="2533"/>
      <c r="C31" s="241"/>
      <c r="D31" s="241"/>
      <c r="E31" s="241"/>
      <c r="F31" s="241"/>
      <c r="G31" s="241"/>
      <c r="H31" s="241"/>
      <c r="I31" s="241"/>
      <c r="J31" s="241"/>
      <c r="K31" s="241"/>
      <c r="L31" s="241"/>
      <c r="M31" s="241"/>
      <c r="N31" s="241"/>
      <c r="O31" s="241"/>
      <c r="P31" s="241"/>
      <c r="Q31" s="241"/>
      <c r="R31" s="241"/>
      <c r="S31" s="241"/>
      <c r="T31" s="241"/>
      <c r="U31" s="241"/>
      <c r="W31" s="2882">
        <v>27</v>
      </c>
    </row>
    <row r="32" spans="1:23" ht="15.75" x14ac:dyDescent="0.25">
      <c r="A32" s="2632" t="s">
        <v>2633</v>
      </c>
      <c r="B32" s="2533"/>
      <c r="C32" s="241"/>
      <c r="D32" s="241"/>
      <c r="E32" s="241"/>
      <c r="F32" s="241"/>
      <c r="G32" s="241"/>
      <c r="H32" s="241"/>
      <c r="I32" s="241"/>
      <c r="J32" s="241"/>
      <c r="K32" s="241"/>
      <c r="L32" s="241"/>
      <c r="M32" s="241"/>
      <c r="N32" s="241"/>
      <c r="O32" s="241"/>
      <c r="P32" s="241"/>
      <c r="Q32" s="241"/>
      <c r="R32" s="241"/>
      <c r="S32" s="241"/>
      <c r="T32" s="241"/>
      <c r="U32" s="241"/>
      <c r="W32">
        <v>28</v>
      </c>
    </row>
    <row r="33" spans="1:23" ht="15.75" x14ac:dyDescent="0.25">
      <c r="A33" s="2632" t="s">
        <v>2634</v>
      </c>
      <c r="B33" s="2533"/>
      <c r="C33" s="241"/>
      <c r="D33" s="241"/>
      <c r="E33" s="241"/>
      <c r="F33" s="241"/>
      <c r="G33" s="241"/>
      <c r="H33" s="241"/>
      <c r="I33" s="241"/>
      <c r="J33" s="241"/>
      <c r="K33" s="241"/>
      <c r="L33" s="241"/>
      <c r="M33" s="241"/>
      <c r="N33" s="241"/>
      <c r="O33" s="241"/>
      <c r="P33" s="241"/>
      <c r="Q33" s="241"/>
      <c r="R33" s="241"/>
      <c r="S33" s="241"/>
      <c r="T33" s="241"/>
      <c r="U33" s="241"/>
      <c r="W33" s="2882">
        <v>29</v>
      </c>
    </row>
    <row r="34" spans="1:23" ht="15.75" x14ac:dyDescent="0.25">
      <c r="A34" s="2632" t="s">
        <v>2635</v>
      </c>
      <c r="B34" s="2533"/>
      <c r="C34" s="241"/>
      <c r="D34" s="241"/>
      <c r="E34" s="241"/>
      <c r="F34" s="241"/>
      <c r="G34" s="241"/>
      <c r="H34" s="241"/>
      <c r="I34" s="241"/>
      <c r="J34" s="241"/>
      <c r="K34" s="241"/>
      <c r="L34" s="241"/>
      <c r="M34" s="241"/>
      <c r="N34" s="241"/>
      <c r="O34" s="241"/>
      <c r="P34" s="241"/>
      <c r="Q34" s="241"/>
      <c r="R34" s="241"/>
      <c r="S34" s="241"/>
      <c r="T34" s="241"/>
      <c r="U34" s="241"/>
      <c r="W34">
        <v>30</v>
      </c>
    </row>
    <row r="35" spans="1:23" ht="18.75" x14ac:dyDescent="0.25">
      <c r="A35" s="2891" t="s">
        <v>5512</v>
      </c>
      <c r="B35" s="2892">
        <v>1.35</v>
      </c>
      <c r="C35" s="2881">
        <v>1.35</v>
      </c>
      <c r="D35" s="2881">
        <v>1.35</v>
      </c>
      <c r="E35" s="2881">
        <v>1.35</v>
      </c>
      <c r="F35" s="2881">
        <v>1.35</v>
      </c>
      <c r="G35" s="2881">
        <v>1.35</v>
      </c>
      <c r="H35" s="2881">
        <v>1.35</v>
      </c>
      <c r="I35" s="2881">
        <v>1.35</v>
      </c>
      <c r="J35" s="2881">
        <v>1.35</v>
      </c>
      <c r="K35" s="2881">
        <v>1.35</v>
      </c>
      <c r="L35" s="2881">
        <v>1.35</v>
      </c>
      <c r="M35" s="2881">
        <v>1.35</v>
      </c>
      <c r="N35" s="2881">
        <v>1.35</v>
      </c>
      <c r="O35" s="2881">
        <v>1.35</v>
      </c>
      <c r="P35" s="2881">
        <v>1.35</v>
      </c>
      <c r="Q35" s="2881">
        <v>1.35</v>
      </c>
      <c r="R35" s="2881">
        <v>1.35</v>
      </c>
      <c r="S35" s="2881">
        <v>1.35</v>
      </c>
      <c r="T35" s="2881">
        <v>1.35</v>
      </c>
      <c r="U35" s="2881">
        <v>1.35</v>
      </c>
      <c r="W35" s="2882">
        <v>31</v>
      </c>
    </row>
    <row r="36" spans="1:23" ht="15.75" x14ac:dyDescent="0.25">
      <c r="A36" s="875" t="s">
        <v>3786</v>
      </c>
      <c r="B36" s="2893">
        <v>100</v>
      </c>
      <c r="C36" s="795">
        <v>130</v>
      </c>
      <c r="D36" s="2893">
        <v>160</v>
      </c>
      <c r="E36" s="795">
        <v>190</v>
      </c>
      <c r="F36" s="2893">
        <v>220</v>
      </c>
      <c r="G36" s="2893">
        <v>250</v>
      </c>
      <c r="H36" s="795">
        <v>280</v>
      </c>
      <c r="I36" s="795">
        <v>100</v>
      </c>
      <c r="J36" s="795">
        <v>120</v>
      </c>
      <c r="K36" s="795">
        <v>140</v>
      </c>
      <c r="L36" s="795">
        <v>160</v>
      </c>
      <c r="M36" s="795">
        <v>180</v>
      </c>
      <c r="N36" s="795">
        <v>200</v>
      </c>
      <c r="O36" s="795">
        <v>220</v>
      </c>
      <c r="P36" s="795">
        <v>240</v>
      </c>
      <c r="Q36" s="795">
        <v>260</v>
      </c>
      <c r="R36" s="795">
        <v>100</v>
      </c>
      <c r="S36" s="795">
        <v>120</v>
      </c>
      <c r="T36" s="795">
        <v>140</v>
      </c>
      <c r="U36" s="795">
        <v>160</v>
      </c>
      <c r="W36">
        <v>32</v>
      </c>
    </row>
    <row r="37" spans="1:23" ht="31.5" x14ac:dyDescent="0.25">
      <c r="A37" s="875" t="s">
        <v>3787</v>
      </c>
      <c r="B37" s="2893">
        <v>3</v>
      </c>
      <c r="C37" s="795">
        <v>1</v>
      </c>
      <c r="D37" s="795">
        <v>2</v>
      </c>
      <c r="E37" s="795">
        <v>4</v>
      </c>
      <c r="F37" s="795">
        <v>1</v>
      </c>
      <c r="G37" s="795">
        <v>2</v>
      </c>
      <c r="H37" s="795">
        <v>3</v>
      </c>
      <c r="I37" s="795">
        <v>4</v>
      </c>
      <c r="J37" s="795">
        <v>1</v>
      </c>
      <c r="K37" s="795">
        <v>2</v>
      </c>
      <c r="L37" s="795">
        <v>3</v>
      </c>
      <c r="M37" s="795">
        <v>4</v>
      </c>
      <c r="N37" s="795">
        <v>1</v>
      </c>
      <c r="O37" s="795">
        <v>2</v>
      </c>
      <c r="P37" s="795">
        <v>3</v>
      </c>
      <c r="Q37" s="795">
        <v>4</v>
      </c>
      <c r="R37" s="795">
        <v>1</v>
      </c>
      <c r="S37" s="795">
        <v>2</v>
      </c>
      <c r="T37" s="795">
        <v>3</v>
      </c>
      <c r="U37" s="795">
        <v>4</v>
      </c>
      <c r="W37" s="2882">
        <v>33</v>
      </c>
    </row>
    <row r="38" spans="1:23" ht="31.5" x14ac:dyDescent="0.25">
      <c r="A38" s="875" t="s">
        <v>3788</v>
      </c>
      <c r="B38" s="2893">
        <v>4</v>
      </c>
      <c r="C38" s="795">
        <v>3</v>
      </c>
      <c r="D38" s="795">
        <v>5</v>
      </c>
      <c r="E38" s="2893">
        <v>4</v>
      </c>
      <c r="F38" s="795">
        <v>3</v>
      </c>
      <c r="G38" s="795">
        <v>5</v>
      </c>
      <c r="H38" s="2893">
        <v>4</v>
      </c>
      <c r="I38" s="795">
        <v>3</v>
      </c>
      <c r="J38" s="795">
        <v>5</v>
      </c>
      <c r="K38" s="2893">
        <v>4</v>
      </c>
      <c r="L38" s="795">
        <v>3</v>
      </c>
      <c r="M38" s="795">
        <v>5</v>
      </c>
      <c r="N38" s="2893">
        <v>4</v>
      </c>
      <c r="O38" s="795">
        <v>3</v>
      </c>
      <c r="P38" s="795">
        <v>5</v>
      </c>
      <c r="Q38" s="2893">
        <v>4</v>
      </c>
      <c r="R38" s="795">
        <v>3</v>
      </c>
      <c r="S38" s="795">
        <v>5</v>
      </c>
      <c r="T38" s="795">
        <v>4</v>
      </c>
      <c r="U38" s="795">
        <v>3</v>
      </c>
      <c r="W38">
        <v>34</v>
      </c>
    </row>
    <row r="39" spans="1:23" ht="15.75" x14ac:dyDescent="0.25">
      <c r="A39" s="880" t="s">
        <v>1000</v>
      </c>
      <c r="B39" s="2893">
        <v>0.05</v>
      </c>
      <c r="C39" s="795">
        <v>0.06</v>
      </c>
      <c r="D39" s="2893">
        <v>7.0000000000000007E-2</v>
      </c>
      <c r="E39" s="795">
        <v>0.04</v>
      </c>
      <c r="F39" s="2893">
        <v>0.09</v>
      </c>
      <c r="G39" s="795">
        <v>0.1</v>
      </c>
      <c r="H39" s="2893">
        <v>0</v>
      </c>
      <c r="I39" s="795">
        <v>0.03</v>
      </c>
      <c r="J39" s="2893">
        <v>0.04</v>
      </c>
      <c r="K39" s="795">
        <v>0</v>
      </c>
      <c r="L39" s="2893">
        <v>0.06</v>
      </c>
      <c r="M39" s="795">
        <v>7.0000000000000007E-2</v>
      </c>
      <c r="N39" s="2893">
        <v>0</v>
      </c>
      <c r="O39" s="795">
        <v>0</v>
      </c>
      <c r="P39" s="2893">
        <v>0</v>
      </c>
      <c r="Q39" s="795">
        <v>0.03</v>
      </c>
      <c r="R39" s="2893">
        <v>0.04</v>
      </c>
      <c r="S39" s="795">
        <v>0.05</v>
      </c>
      <c r="T39" s="2893">
        <v>0</v>
      </c>
      <c r="U39" s="795">
        <v>7.0000000000000007E-2</v>
      </c>
      <c r="W39" s="2882">
        <v>35</v>
      </c>
    </row>
    <row r="40" spans="1:23" ht="15.75" x14ac:dyDescent="0.25">
      <c r="A40" s="875" t="s">
        <v>5150</v>
      </c>
      <c r="B40" s="2893">
        <v>3</v>
      </c>
      <c r="C40" s="2893">
        <v>3</v>
      </c>
      <c r="D40" s="2893">
        <v>3</v>
      </c>
      <c r="E40" s="2893">
        <v>3</v>
      </c>
      <c r="F40" s="2893">
        <v>3</v>
      </c>
      <c r="G40" s="2893">
        <v>3</v>
      </c>
      <c r="H40" s="2893">
        <v>3</v>
      </c>
      <c r="I40" s="2893">
        <v>3</v>
      </c>
      <c r="J40" s="2893">
        <v>3</v>
      </c>
      <c r="K40" s="2893">
        <v>3</v>
      </c>
      <c r="L40" s="2893">
        <v>3</v>
      </c>
      <c r="M40" s="2893">
        <v>3</v>
      </c>
      <c r="N40" s="2893">
        <v>3</v>
      </c>
      <c r="O40" s="2893">
        <v>3</v>
      </c>
      <c r="P40" s="2893">
        <v>3</v>
      </c>
      <c r="Q40" s="2893">
        <v>3</v>
      </c>
      <c r="R40" s="2893">
        <v>3</v>
      </c>
      <c r="S40" s="2893">
        <v>3</v>
      </c>
      <c r="T40" s="2893">
        <v>3</v>
      </c>
      <c r="U40" s="2893">
        <v>3</v>
      </c>
      <c r="W40">
        <v>36</v>
      </c>
    </row>
    <row r="41" spans="1:23" ht="15.75" x14ac:dyDescent="0.25">
      <c r="A41" s="880" t="s">
        <v>4500</v>
      </c>
      <c r="B41" s="2893">
        <v>0</v>
      </c>
      <c r="C41" s="2893">
        <v>0</v>
      </c>
      <c r="D41" s="2893">
        <v>0</v>
      </c>
      <c r="E41" s="2893">
        <v>0</v>
      </c>
      <c r="F41" s="2893">
        <v>0.02</v>
      </c>
      <c r="G41" s="2893">
        <v>0.02</v>
      </c>
      <c r="H41" s="2893">
        <v>0.02</v>
      </c>
      <c r="I41" s="2893">
        <v>0.02</v>
      </c>
      <c r="J41" s="2893">
        <v>0.01</v>
      </c>
      <c r="K41" s="795">
        <v>0</v>
      </c>
      <c r="L41" s="795">
        <v>0</v>
      </c>
      <c r="M41" s="795">
        <v>0</v>
      </c>
      <c r="N41" s="795">
        <v>0</v>
      </c>
      <c r="O41" s="795">
        <v>0</v>
      </c>
      <c r="P41" s="795">
        <v>0</v>
      </c>
      <c r="Q41" s="795">
        <v>0</v>
      </c>
      <c r="R41" s="795">
        <v>0</v>
      </c>
      <c r="S41" s="795">
        <v>0</v>
      </c>
      <c r="T41" s="795">
        <v>0</v>
      </c>
      <c r="U41" s="795">
        <v>0</v>
      </c>
      <c r="W41" s="2882">
        <v>37</v>
      </c>
    </row>
    <row r="42" spans="1:23" ht="31.5" x14ac:dyDescent="0.25">
      <c r="A42" s="880" t="s">
        <v>5157</v>
      </c>
      <c r="B42" s="2893">
        <v>1</v>
      </c>
      <c r="C42" s="2893">
        <v>1</v>
      </c>
      <c r="D42" s="2893">
        <v>1</v>
      </c>
      <c r="E42" s="2893">
        <v>1</v>
      </c>
      <c r="F42" s="2893">
        <v>1</v>
      </c>
      <c r="G42" s="2893">
        <v>1</v>
      </c>
      <c r="H42" s="2893">
        <v>2</v>
      </c>
      <c r="I42" s="2893">
        <v>2</v>
      </c>
      <c r="J42" s="2893">
        <v>2</v>
      </c>
      <c r="K42" s="2893">
        <v>2</v>
      </c>
      <c r="L42" s="2893">
        <v>1</v>
      </c>
      <c r="M42" s="2893">
        <v>1</v>
      </c>
      <c r="N42" s="2893">
        <v>1</v>
      </c>
      <c r="O42" s="2893">
        <v>1</v>
      </c>
      <c r="P42" s="2893">
        <v>2</v>
      </c>
      <c r="Q42" s="2893">
        <v>2</v>
      </c>
      <c r="R42" s="2893">
        <v>2</v>
      </c>
      <c r="S42" s="2893">
        <v>2</v>
      </c>
      <c r="T42" s="2893">
        <v>1</v>
      </c>
      <c r="U42" s="2893">
        <v>1</v>
      </c>
      <c r="W42">
        <v>38</v>
      </c>
    </row>
    <row r="43" spans="1:23" ht="31.5" x14ac:dyDescent="0.25">
      <c r="A43" s="1138" t="s">
        <v>1707</v>
      </c>
      <c r="B43" s="2893">
        <v>210</v>
      </c>
      <c r="C43" s="2893">
        <v>200</v>
      </c>
      <c r="D43" s="2893">
        <v>190</v>
      </c>
      <c r="E43" s="2893">
        <v>180</v>
      </c>
      <c r="F43" s="2893">
        <v>170</v>
      </c>
      <c r="G43" s="2893">
        <v>220</v>
      </c>
      <c r="H43" s="2893">
        <v>210</v>
      </c>
      <c r="I43" s="2893">
        <v>200</v>
      </c>
      <c r="J43" s="2893">
        <v>190</v>
      </c>
      <c r="K43" s="2893">
        <v>180</v>
      </c>
      <c r="L43" s="2893">
        <v>170</v>
      </c>
      <c r="M43" s="2893">
        <v>160</v>
      </c>
      <c r="N43" s="2893">
        <v>230</v>
      </c>
      <c r="O43" s="2893">
        <v>220</v>
      </c>
      <c r="P43" s="2893">
        <v>210</v>
      </c>
      <c r="Q43" s="2893">
        <v>200</v>
      </c>
      <c r="R43" s="2893">
        <v>190</v>
      </c>
      <c r="S43" s="2893">
        <v>180</v>
      </c>
      <c r="T43" s="2893">
        <v>170</v>
      </c>
      <c r="U43" s="2893">
        <v>160</v>
      </c>
      <c r="W43" s="2882">
        <v>39</v>
      </c>
    </row>
    <row r="44" spans="1:23" ht="15.75" x14ac:dyDescent="0.25">
      <c r="A44" s="875" t="s">
        <v>3475</v>
      </c>
      <c r="B44" s="2894">
        <v>4</v>
      </c>
      <c r="C44" s="2894">
        <v>4</v>
      </c>
      <c r="D44" s="2894">
        <v>4</v>
      </c>
      <c r="E44" s="2894">
        <v>4</v>
      </c>
      <c r="F44" s="2894">
        <v>4</v>
      </c>
      <c r="G44" s="2894">
        <v>4</v>
      </c>
      <c r="H44" s="2894">
        <v>4</v>
      </c>
      <c r="I44" s="2894">
        <v>4</v>
      </c>
      <c r="J44" s="2894">
        <v>4</v>
      </c>
      <c r="K44" s="2894">
        <v>4</v>
      </c>
      <c r="L44" s="2894">
        <v>4</v>
      </c>
      <c r="M44" s="2894">
        <v>4</v>
      </c>
      <c r="N44" s="2894">
        <v>4</v>
      </c>
      <c r="O44" s="2894">
        <v>4</v>
      </c>
      <c r="P44" s="2894">
        <v>4</v>
      </c>
      <c r="Q44" s="2894">
        <v>4</v>
      </c>
      <c r="R44" s="2894">
        <v>4</v>
      </c>
      <c r="S44" s="2894">
        <v>4</v>
      </c>
      <c r="T44" s="2894">
        <v>4</v>
      </c>
      <c r="U44" s="2894">
        <v>4</v>
      </c>
      <c r="W44">
        <v>40</v>
      </c>
    </row>
    <row r="45" spans="1:23" ht="31.5" x14ac:dyDescent="0.25">
      <c r="A45" s="875" t="s">
        <v>5504</v>
      </c>
      <c r="B45" s="2894">
        <v>11.332716852158427</v>
      </c>
      <c r="C45" s="2894">
        <v>13.656953277169931</v>
      </c>
      <c r="D45" s="2894">
        <v>17.281104354012847</v>
      </c>
      <c r="E45" s="2894">
        <v>19.654848021144499</v>
      </c>
      <c r="F45" s="2894">
        <v>17.070244825760213</v>
      </c>
      <c r="G45" s="2894">
        <v>9.662481358909158</v>
      </c>
      <c r="H45" s="2894">
        <v>12.213503703665802</v>
      </c>
      <c r="I45" s="2894">
        <v>14.678993865815009</v>
      </c>
      <c r="J45" s="2894">
        <v>17.005217759667268</v>
      </c>
      <c r="K45" s="2894">
        <v>17.722790049161627</v>
      </c>
      <c r="L45" s="2894">
        <v>15.0154282896957</v>
      </c>
      <c r="M45" s="2894">
        <v>13.766103461440238</v>
      </c>
      <c r="N45" s="2894">
        <v>14.007438898200363</v>
      </c>
      <c r="O45" s="2894">
        <v>15.603776643151143</v>
      </c>
      <c r="P45" s="2894">
        <v>17.197992018501438</v>
      </c>
      <c r="Q45" s="2894">
        <v>18.776758359470005</v>
      </c>
      <c r="R45" s="2894">
        <v>12.697801651005133</v>
      </c>
      <c r="S45" s="2894">
        <v>15.898952395217584</v>
      </c>
      <c r="T45" s="2894">
        <v>19.76238021909905</v>
      </c>
      <c r="U45" s="2894">
        <v>16.945766620394917</v>
      </c>
      <c r="W45" s="2882">
        <v>41</v>
      </c>
    </row>
    <row r="46" spans="1:23" ht="15.75" x14ac:dyDescent="0.25">
      <c r="A46" s="875" t="s">
        <v>3992</v>
      </c>
      <c r="B46" s="2893">
        <v>0</v>
      </c>
      <c r="C46" s="2893">
        <v>0</v>
      </c>
      <c r="D46" s="2893">
        <v>1</v>
      </c>
      <c r="E46" s="2893">
        <v>0</v>
      </c>
      <c r="F46" s="2893">
        <v>1</v>
      </c>
      <c r="G46" s="2893">
        <v>0</v>
      </c>
      <c r="H46" s="2893">
        <v>1</v>
      </c>
      <c r="I46" s="2893">
        <v>0</v>
      </c>
      <c r="J46" s="2893">
        <v>1</v>
      </c>
      <c r="K46" s="2893">
        <v>0</v>
      </c>
      <c r="L46" s="2893">
        <v>1</v>
      </c>
      <c r="M46" s="2893">
        <v>0</v>
      </c>
      <c r="N46" s="2893">
        <v>1</v>
      </c>
      <c r="O46" s="2893">
        <v>0</v>
      </c>
      <c r="P46" s="2893">
        <v>1</v>
      </c>
      <c r="Q46" s="2893">
        <v>0</v>
      </c>
      <c r="R46" s="2893">
        <v>1</v>
      </c>
      <c r="S46" s="2893">
        <v>0</v>
      </c>
      <c r="T46" s="2893">
        <v>1</v>
      </c>
      <c r="U46" s="2893">
        <v>0</v>
      </c>
      <c r="W46">
        <v>42</v>
      </c>
    </row>
    <row r="47" spans="1:23" ht="15.75" x14ac:dyDescent="0.25">
      <c r="A47" s="874" t="s">
        <v>3071</v>
      </c>
      <c r="B47" s="2895">
        <v>0</v>
      </c>
      <c r="C47" s="2893">
        <v>1</v>
      </c>
      <c r="D47" s="2895">
        <v>0</v>
      </c>
      <c r="E47" s="2893">
        <v>1</v>
      </c>
      <c r="F47" s="2895">
        <v>0</v>
      </c>
      <c r="G47" s="2893">
        <v>1</v>
      </c>
      <c r="H47" s="2893">
        <v>0</v>
      </c>
      <c r="I47" s="2893">
        <v>1</v>
      </c>
      <c r="J47" s="2893">
        <v>0</v>
      </c>
      <c r="K47" s="2893">
        <v>1</v>
      </c>
      <c r="L47" s="2893">
        <v>0</v>
      </c>
      <c r="M47" s="2893">
        <v>1</v>
      </c>
      <c r="N47" s="2893">
        <v>0</v>
      </c>
      <c r="O47" s="2893">
        <v>1</v>
      </c>
      <c r="P47" s="2893">
        <v>0</v>
      </c>
      <c r="Q47" s="2893">
        <v>1</v>
      </c>
      <c r="R47" s="2893">
        <v>0</v>
      </c>
      <c r="S47" s="2893">
        <v>1</v>
      </c>
      <c r="T47" s="2893">
        <v>0</v>
      </c>
      <c r="U47" s="2893">
        <v>1</v>
      </c>
      <c r="W47" s="2882">
        <v>43</v>
      </c>
    </row>
    <row r="48" spans="1:23" ht="15.75" x14ac:dyDescent="0.25">
      <c r="A48" s="875" t="s">
        <v>3716</v>
      </c>
      <c r="B48" s="2893">
        <v>1.35</v>
      </c>
      <c r="C48" s="2893">
        <v>1.34</v>
      </c>
      <c r="D48" s="795">
        <v>1.33</v>
      </c>
      <c r="E48" s="2893">
        <v>1.32</v>
      </c>
      <c r="F48" s="2893">
        <v>1.35</v>
      </c>
      <c r="G48" s="2893">
        <v>1.34</v>
      </c>
      <c r="H48" s="795">
        <v>1.33</v>
      </c>
      <c r="I48" s="2893">
        <v>1.32</v>
      </c>
      <c r="J48" s="2893">
        <v>1.35</v>
      </c>
      <c r="K48" s="2893">
        <v>1.34</v>
      </c>
      <c r="L48" s="795">
        <v>1.33</v>
      </c>
      <c r="M48" s="2893">
        <v>1.32</v>
      </c>
      <c r="N48" s="2893">
        <v>1.35</v>
      </c>
      <c r="O48" s="2893">
        <v>1.34</v>
      </c>
      <c r="P48" s="795">
        <v>1.33</v>
      </c>
      <c r="Q48" s="2893">
        <v>1.32</v>
      </c>
      <c r="R48" s="2893">
        <v>1.35</v>
      </c>
      <c r="S48" s="2893">
        <v>1.34</v>
      </c>
      <c r="T48" s="795">
        <v>1.33</v>
      </c>
      <c r="U48" s="2893">
        <v>1.32</v>
      </c>
      <c r="W48">
        <v>44</v>
      </c>
    </row>
    <row r="49" spans="1:23" ht="31.5" x14ac:dyDescent="0.25">
      <c r="A49" s="875" t="s">
        <v>3667</v>
      </c>
      <c r="B49" s="2893">
        <v>1.1499999999999999</v>
      </c>
      <c r="C49" s="795">
        <v>1</v>
      </c>
      <c r="D49" s="795">
        <v>1.3</v>
      </c>
      <c r="E49" s="2893">
        <v>1.1499999999999999</v>
      </c>
      <c r="F49" s="795">
        <v>1</v>
      </c>
      <c r="G49" s="795">
        <v>1.3</v>
      </c>
      <c r="H49" s="2893">
        <v>1.1499999999999999</v>
      </c>
      <c r="I49" s="795">
        <v>1</v>
      </c>
      <c r="J49" s="795">
        <v>1.3</v>
      </c>
      <c r="K49" s="2893">
        <v>1.1499999999999999</v>
      </c>
      <c r="L49" s="795">
        <v>1</v>
      </c>
      <c r="M49" s="795">
        <v>1.3</v>
      </c>
      <c r="N49" s="2893">
        <v>1.1499999999999999</v>
      </c>
      <c r="O49" s="795">
        <v>1</v>
      </c>
      <c r="P49" s="795">
        <v>1.3</v>
      </c>
      <c r="Q49" s="2893">
        <v>1.1499999999999999</v>
      </c>
      <c r="R49" s="795">
        <v>1</v>
      </c>
      <c r="S49" s="795">
        <v>1.3</v>
      </c>
      <c r="T49" s="2893">
        <v>1.1499999999999999</v>
      </c>
      <c r="U49" s="795">
        <v>1</v>
      </c>
      <c r="W49" s="2882">
        <v>45</v>
      </c>
    </row>
    <row r="50" spans="1:23" ht="31.5" x14ac:dyDescent="0.25">
      <c r="A50" s="875" t="s">
        <v>5544</v>
      </c>
      <c r="B50" s="2893">
        <v>1</v>
      </c>
      <c r="C50" s="2893">
        <v>1</v>
      </c>
      <c r="D50" s="2893">
        <v>1</v>
      </c>
      <c r="E50" s="2893">
        <v>1</v>
      </c>
      <c r="F50" s="2893">
        <v>1</v>
      </c>
      <c r="G50" s="2893">
        <v>1</v>
      </c>
      <c r="H50" s="2893">
        <v>2</v>
      </c>
      <c r="I50" s="2893">
        <v>2</v>
      </c>
      <c r="J50" s="2893">
        <v>2</v>
      </c>
      <c r="K50" s="2893">
        <v>2</v>
      </c>
      <c r="L50" s="2893">
        <v>2</v>
      </c>
      <c r="M50" s="2893">
        <v>1</v>
      </c>
      <c r="N50" s="2893">
        <v>1</v>
      </c>
      <c r="O50" s="2893">
        <v>1</v>
      </c>
      <c r="P50" s="2893">
        <v>1</v>
      </c>
      <c r="Q50" s="2893">
        <v>2</v>
      </c>
      <c r="R50" s="2893">
        <v>2</v>
      </c>
      <c r="S50" s="2893">
        <v>2</v>
      </c>
      <c r="T50" s="2893">
        <v>2</v>
      </c>
      <c r="U50" s="2893">
        <v>2</v>
      </c>
      <c r="W50">
        <v>46</v>
      </c>
    </row>
    <row r="51" spans="1:23" ht="47.25" x14ac:dyDescent="0.25">
      <c r="A51" s="880" t="s">
        <v>1822</v>
      </c>
      <c r="B51" s="2893">
        <v>1</v>
      </c>
      <c r="C51" s="2893">
        <v>1</v>
      </c>
      <c r="D51" s="2893">
        <v>1</v>
      </c>
      <c r="E51" s="2893">
        <v>1</v>
      </c>
      <c r="F51" s="2893">
        <v>1</v>
      </c>
      <c r="G51" s="2893">
        <v>1</v>
      </c>
      <c r="H51" s="2893">
        <v>2</v>
      </c>
      <c r="I51" s="2893">
        <v>2</v>
      </c>
      <c r="J51" s="2893">
        <v>2</v>
      </c>
      <c r="K51" s="2893">
        <v>2</v>
      </c>
      <c r="L51" s="2893">
        <v>2</v>
      </c>
      <c r="M51" s="2893">
        <v>1</v>
      </c>
      <c r="N51" s="2893">
        <v>1</v>
      </c>
      <c r="O51" s="2893">
        <v>1</v>
      </c>
      <c r="P51" s="2893">
        <v>1</v>
      </c>
      <c r="Q51" s="2893">
        <v>2</v>
      </c>
      <c r="R51" s="2893">
        <v>2</v>
      </c>
      <c r="S51" s="2893">
        <v>2</v>
      </c>
      <c r="T51" s="2893">
        <v>2</v>
      </c>
      <c r="U51" s="2893">
        <v>2</v>
      </c>
      <c r="W51" s="2882">
        <v>47</v>
      </c>
    </row>
    <row r="52" spans="1:23" ht="31.5" x14ac:dyDescent="0.25">
      <c r="A52" s="875" t="s">
        <v>4000</v>
      </c>
      <c r="B52" s="2893">
        <v>2</v>
      </c>
      <c r="C52" s="795">
        <v>7</v>
      </c>
      <c r="D52" s="795">
        <v>1</v>
      </c>
      <c r="E52" s="795">
        <v>3</v>
      </c>
      <c r="F52" s="795">
        <v>6</v>
      </c>
      <c r="G52" s="795">
        <v>1</v>
      </c>
      <c r="H52" s="795">
        <v>2</v>
      </c>
      <c r="I52" s="795">
        <v>5</v>
      </c>
      <c r="J52" s="795">
        <v>2</v>
      </c>
      <c r="K52" s="795">
        <v>3</v>
      </c>
      <c r="L52" s="795">
        <v>6</v>
      </c>
      <c r="M52" s="795">
        <v>1</v>
      </c>
      <c r="N52" s="795">
        <v>2</v>
      </c>
      <c r="O52" s="795">
        <v>7</v>
      </c>
      <c r="P52" s="795">
        <v>0</v>
      </c>
      <c r="Q52" s="795">
        <v>3</v>
      </c>
      <c r="R52" s="795">
        <v>5</v>
      </c>
      <c r="S52" s="795">
        <v>0</v>
      </c>
      <c r="T52" s="795">
        <v>5</v>
      </c>
      <c r="U52" s="795">
        <v>5</v>
      </c>
      <c r="W52">
        <v>48</v>
      </c>
    </row>
    <row r="53" spans="1:23" ht="47.25" x14ac:dyDescent="0.25">
      <c r="A53" s="1138" t="s">
        <v>997</v>
      </c>
      <c r="B53" s="2893">
        <v>1</v>
      </c>
      <c r="C53" s="795">
        <v>2</v>
      </c>
      <c r="D53" s="2893">
        <v>1</v>
      </c>
      <c r="E53" s="795">
        <v>2</v>
      </c>
      <c r="F53" s="2893">
        <v>1</v>
      </c>
      <c r="G53" s="795">
        <v>2</v>
      </c>
      <c r="H53" s="2893">
        <v>1</v>
      </c>
      <c r="I53" s="795">
        <v>2</v>
      </c>
      <c r="J53" s="2893">
        <v>1</v>
      </c>
      <c r="K53" s="795">
        <v>2</v>
      </c>
      <c r="L53" s="2893">
        <v>1</v>
      </c>
      <c r="M53" s="795">
        <v>2</v>
      </c>
      <c r="N53" s="2893">
        <v>1</v>
      </c>
      <c r="O53" s="795">
        <v>2</v>
      </c>
      <c r="P53" s="2893">
        <v>1</v>
      </c>
      <c r="Q53" s="795">
        <v>2</v>
      </c>
      <c r="R53" s="2893">
        <v>1</v>
      </c>
      <c r="S53" s="795">
        <v>2</v>
      </c>
      <c r="T53" s="2893">
        <v>1</v>
      </c>
      <c r="U53" s="795">
        <v>2</v>
      </c>
      <c r="V53" s="2896"/>
      <c r="W53" s="2882">
        <v>49</v>
      </c>
    </row>
    <row r="54" spans="1:23" ht="31.5" x14ac:dyDescent="0.25">
      <c r="A54" s="875" t="s">
        <v>3668</v>
      </c>
      <c r="B54" s="2893">
        <v>44</v>
      </c>
      <c r="C54" s="795">
        <v>43</v>
      </c>
      <c r="D54" s="2893">
        <v>42</v>
      </c>
      <c r="E54" s="795">
        <v>41</v>
      </c>
      <c r="F54" s="2893">
        <v>40</v>
      </c>
      <c r="G54" s="795">
        <v>39</v>
      </c>
      <c r="H54" s="2893">
        <v>38</v>
      </c>
      <c r="I54" s="795">
        <v>37</v>
      </c>
      <c r="J54" s="2893">
        <v>36</v>
      </c>
      <c r="K54" s="795">
        <v>35</v>
      </c>
      <c r="L54" s="2893">
        <v>34</v>
      </c>
      <c r="M54" s="795">
        <v>33</v>
      </c>
      <c r="N54" s="2893">
        <v>32</v>
      </c>
      <c r="O54" s="2893">
        <v>31</v>
      </c>
      <c r="P54" s="795">
        <v>30</v>
      </c>
      <c r="Q54" s="2893">
        <v>29</v>
      </c>
      <c r="R54" s="795">
        <v>28</v>
      </c>
      <c r="S54" s="2893">
        <v>27</v>
      </c>
      <c r="T54" s="795">
        <v>26</v>
      </c>
      <c r="U54" s="2893">
        <v>25</v>
      </c>
      <c r="W54">
        <v>50</v>
      </c>
    </row>
    <row r="55" spans="1:23" ht="15.75" x14ac:dyDescent="0.25">
      <c r="A55" s="875" t="s">
        <v>3489</v>
      </c>
      <c r="B55" s="2893">
        <v>0</v>
      </c>
      <c r="C55" s="795">
        <v>0.01</v>
      </c>
      <c r="D55" s="2893">
        <v>0.02</v>
      </c>
      <c r="E55" s="795">
        <v>0.03</v>
      </c>
      <c r="F55" s="2893">
        <v>0.04</v>
      </c>
      <c r="G55" s="795">
        <v>0.05</v>
      </c>
      <c r="H55" s="2893">
        <v>0.06</v>
      </c>
      <c r="I55" s="795">
        <v>0</v>
      </c>
      <c r="J55" s="2893">
        <v>0.01</v>
      </c>
      <c r="K55" s="795">
        <v>0.02</v>
      </c>
      <c r="L55" s="2893">
        <v>0.03</v>
      </c>
      <c r="M55" s="795">
        <v>0.04</v>
      </c>
      <c r="N55" s="2893">
        <v>0.05</v>
      </c>
      <c r="O55" s="795">
        <v>0.06</v>
      </c>
      <c r="P55" s="2893">
        <v>7.0000000000000007E-2</v>
      </c>
      <c r="Q55" s="795">
        <v>0</v>
      </c>
      <c r="R55" s="2893">
        <v>0.1</v>
      </c>
      <c r="S55" s="795">
        <v>0.2</v>
      </c>
      <c r="T55" s="2893">
        <v>0.3</v>
      </c>
      <c r="U55" s="795">
        <v>0.4</v>
      </c>
      <c r="W55" s="2882">
        <v>51</v>
      </c>
    </row>
    <row r="56" spans="1:23" ht="15.75" x14ac:dyDescent="0.25">
      <c r="A56" s="875" t="s">
        <v>3671</v>
      </c>
      <c r="B56" s="2893">
        <v>4</v>
      </c>
      <c r="C56" s="2893">
        <v>4</v>
      </c>
      <c r="D56" s="2893">
        <v>4</v>
      </c>
      <c r="E56" s="2893">
        <v>4</v>
      </c>
      <c r="F56" s="2893">
        <v>4</v>
      </c>
      <c r="G56" s="2893">
        <v>4</v>
      </c>
      <c r="H56" s="2893">
        <v>4</v>
      </c>
      <c r="I56" s="2893">
        <v>4</v>
      </c>
      <c r="J56" s="2893">
        <v>4</v>
      </c>
      <c r="K56" s="2893">
        <v>4</v>
      </c>
      <c r="L56" s="2893">
        <v>4</v>
      </c>
      <c r="M56" s="2893">
        <v>4</v>
      </c>
      <c r="N56" s="2893">
        <v>4</v>
      </c>
      <c r="O56" s="2893">
        <v>4</v>
      </c>
      <c r="P56" s="2893">
        <v>4</v>
      </c>
      <c r="Q56" s="2893">
        <v>4</v>
      </c>
      <c r="R56" s="2893">
        <v>4</v>
      </c>
      <c r="S56" s="2893">
        <v>4</v>
      </c>
      <c r="T56" s="2893">
        <v>4</v>
      </c>
      <c r="U56" s="2893">
        <v>4</v>
      </c>
      <c r="W56">
        <v>52</v>
      </c>
    </row>
    <row r="57" spans="1:23" ht="15.75" x14ac:dyDescent="0.25">
      <c r="A57" s="875" t="s">
        <v>3476</v>
      </c>
      <c r="B57" s="2893">
        <v>2.5</v>
      </c>
      <c r="C57" s="2893">
        <v>2.5</v>
      </c>
      <c r="D57" s="2893">
        <v>2.5</v>
      </c>
      <c r="E57" s="2893">
        <v>2.5</v>
      </c>
      <c r="F57" s="2893">
        <v>2.5</v>
      </c>
      <c r="G57" s="2893">
        <v>2.5</v>
      </c>
      <c r="H57" s="2893">
        <v>2.5</v>
      </c>
      <c r="I57" s="2893">
        <v>2.5</v>
      </c>
      <c r="J57" s="2893">
        <v>2.5</v>
      </c>
      <c r="K57" s="2893">
        <v>2.5</v>
      </c>
      <c r="L57" s="2893">
        <v>2.5</v>
      </c>
      <c r="M57" s="2893">
        <v>2.5</v>
      </c>
      <c r="N57" s="2893">
        <v>2.5</v>
      </c>
      <c r="O57" s="2893">
        <v>2.5</v>
      </c>
      <c r="P57" s="2893">
        <v>2.5</v>
      </c>
      <c r="Q57" s="2893">
        <v>2.5</v>
      </c>
      <c r="R57" s="2893">
        <v>2.5</v>
      </c>
      <c r="S57" s="2893">
        <v>2.5</v>
      </c>
      <c r="T57" s="2893">
        <v>2.5</v>
      </c>
      <c r="U57" s="2893">
        <v>2.5</v>
      </c>
      <c r="W57" s="2882">
        <v>53</v>
      </c>
    </row>
    <row r="58" spans="1:23" ht="31.5" x14ac:dyDescent="0.25">
      <c r="A58" s="1138" t="s">
        <v>4875</v>
      </c>
      <c r="B58" s="2893">
        <v>0</v>
      </c>
      <c r="C58" s="795">
        <v>1</v>
      </c>
      <c r="D58" s="2893">
        <v>0</v>
      </c>
      <c r="E58" s="2893">
        <v>0</v>
      </c>
      <c r="F58" s="795">
        <v>1</v>
      </c>
      <c r="G58" s="2893">
        <v>0</v>
      </c>
      <c r="H58" s="795">
        <v>1</v>
      </c>
      <c r="I58" s="2893">
        <v>0</v>
      </c>
      <c r="J58" s="795">
        <v>1</v>
      </c>
      <c r="K58" s="2893">
        <v>0</v>
      </c>
      <c r="L58" s="795">
        <v>1</v>
      </c>
      <c r="M58" s="2893">
        <v>0</v>
      </c>
      <c r="N58" s="795">
        <v>1</v>
      </c>
      <c r="O58" s="2893">
        <v>0</v>
      </c>
      <c r="P58" s="795">
        <v>1</v>
      </c>
      <c r="Q58" s="2893">
        <v>0</v>
      </c>
      <c r="R58" s="795">
        <v>1</v>
      </c>
      <c r="S58" s="2893">
        <v>0</v>
      </c>
      <c r="T58" s="795">
        <v>1</v>
      </c>
      <c r="U58" s="2893">
        <v>0</v>
      </c>
      <c r="W58">
        <v>54</v>
      </c>
    </row>
    <row r="59" spans="1:23" ht="15.75" x14ac:dyDescent="0.25">
      <c r="A59" s="876" t="s">
        <v>5530</v>
      </c>
      <c r="B59" s="2893"/>
      <c r="C59" s="795"/>
      <c r="D59" s="795"/>
      <c r="E59" s="795"/>
      <c r="F59" s="795"/>
      <c r="G59" s="795"/>
      <c r="H59" s="795"/>
      <c r="I59" s="795"/>
      <c r="J59" s="795"/>
      <c r="K59" s="795"/>
      <c r="L59" s="795"/>
      <c r="M59" s="795"/>
      <c r="N59" s="795"/>
      <c r="O59" s="795"/>
      <c r="P59" s="795"/>
      <c r="Q59" s="795"/>
      <c r="R59" s="795"/>
      <c r="S59" s="795"/>
      <c r="T59" s="795"/>
      <c r="U59" s="795"/>
      <c r="W59" s="2882">
        <v>55</v>
      </c>
    </row>
    <row r="60" spans="1:23" ht="15.75" x14ac:dyDescent="0.25">
      <c r="A60" s="874" t="s">
        <v>5602</v>
      </c>
      <c r="B60" s="2897">
        <v>1.33</v>
      </c>
      <c r="C60" s="2897">
        <v>1.2</v>
      </c>
      <c r="D60" s="2897">
        <v>1.45</v>
      </c>
      <c r="E60" s="2897">
        <v>1.6</v>
      </c>
      <c r="F60" s="2897">
        <v>0.9</v>
      </c>
      <c r="G60" s="2897">
        <v>1.3</v>
      </c>
      <c r="H60" s="2897">
        <v>1.36</v>
      </c>
      <c r="I60" s="2897">
        <v>0.9</v>
      </c>
      <c r="J60" s="2897">
        <v>1.35</v>
      </c>
      <c r="K60" s="2897">
        <v>1.6</v>
      </c>
      <c r="L60" s="2897">
        <v>1.2</v>
      </c>
      <c r="M60" s="2897">
        <v>1.3</v>
      </c>
      <c r="N60" s="2897">
        <v>1.6</v>
      </c>
      <c r="O60" s="2897">
        <v>0.9</v>
      </c>
      <c r="P60" s="2897">
        <v>1.1000000000000001</v>
      </c>
      <c r="Q60" s="2897">
        <v>1.4</v>
      </c>
      <c r="R60" s="2897">
        <v>0.82</v>
      </c>
      <c r="S60" s="2897">
        <v>1.25</v>
      </c>
      <c r="T60" s="2897">
        <v>1.7</v>
      </c>
      <c r="U60" s="2897">
        <v>1.2</v>
      </c>
      <c r="W60">
        <v>56</v>
      </c>
    </row>
    <row r="61" spans="1:23" ht="15.75" x14ac:dyDescent="0.25">
      <c r="A61" s="874" t="s">
        <v>556</v>
      </c>
      <c r="B61">
        <v>5</v>
      </c>
      <c r="C61">
        <v>4</v>
      </c>
      <c r="D61">
        <v>6</v>
      </c>
      <c r="E61">
        <v>5</v>
      </c>
      <c r="F61">
        <v>4</v>
      </c>
      <c r="G61">
        <v>6</v>
      </c>
      <c r="H61">
        <v>5</v>
      </c>
      <c r="I61">
        <v>4</v>
      </c>
      <c r="J61">
        <v>6</v>
      </c>
      <c r="K61">
        <v>5</v>
      </c>
      <c r="L61">
        <v>4</v>
      </c>
      <c r="M61">
        <v>6</v>
      </c>
      <c r="N61">
        <v>5</v>
      </c>
      <c r="O61">
        <v>4</v>
      </c>
      <c r="P61">
        <v>6</v>
      </c>
      <c r="Q61">
        <v>5</v>
      </c>
      <c r="R61">
        <v>4</v>
      </c>
      <c r="S61">
        <v>6</v>
      </c>
      <c r="T61">
        <v>5</v>
      </c>
      <c r="U61">
        <v>4</v>
      </c>
      <c r="W61" s="2882">
        <v>57</v>
      </c>
    </row>
    <row r="62" spans="1:23" ht="15.75" x14ac:dyDescent="0.25">
      <c r="A62" s="874" t="s">
        <v>5531</v>
      </c>
      <c r="B62" s="2897">
        <v>150</v>
      </c>
      <c r="C62" s="795">
        <v>170</v>
      </c>
      <c r="D62" s="795">
        <v>180</v>
      </c>
      <c r="E62" s="795">
        <v>190</v>
      </c>
      <c r="F62" s="795">
        <v>150</v>
      </c>
      <c r="G62" s="795">
        <v>170</v>
      </c>
      <c r="H62" s="795">
        <v>170</v>
      </c>
      <c r="I62" s="795">
        <v>150</v>
      </c>
      <c r="J62" s="795">
        <v>150</v>
      </c>
      <c r="K62" s="795">
        <v>180</v>
      </c>
      <c r="L62" s="795">
        <v>160</v>
      </c>
      <c r="M62" s="795">
        <v>180</v>
      </c>
      <c r="N62" s="795">
        <v>200</v>
      </c>
      <c r="O62" s="795">
        <v>150</v>
      </c>
      <c r="P62" s="795">
        <v>160</v>
      </c>
      <c r="Q62" s="795">
        <v>170</v>
      </c>
      <c r="R62" s="795">
        <v>140</v>
      </c>
      <c r="S62" s="795">
        <v>150</v>
      </c>
      <c r="T62" s="795">
        <v>190</v>
      </c>
      <c r="U62" s="795">
        <v>150</v>
      </c>
      <c r="W62">
        <v>58</v>
      </c>
    </row>
    <row r="63" spans="1:23" ht="15.75" x14ac:dyDescent="0.25">
      <c r="A63" s="874" t="s">
        <v>5532</v>
      </c>
      <c r="B63" s="2897">
        <v>40</v>
      </c>
      <c r="C63" s="795">
        <v>20</v>
      </c>
      <c r="D63" s="795">
        <v>25</v>
      </c>
      <c r="E63" s="795">
        <v>30</v>
      </c>
      <c r="F63" s="795">
        <v>35</v>
      </c>
      <c r="G63" s="795">
        <v>40</v>
      </c>
      <c r="H63" s="795">
        <v>20</v>
      </c>
      <c r="I63" s="795">
        <v>25</v>
      </c>
      <c r="J63" s="795">
        <v>30</v>
      </c>
      <c r="K63" s="795">
        <v>35</v>
      </c>
      <c r="L63" s="795">
        <v>40</v>
      </c>
      <c r="M63" s="795">
        <v>45</v>
      </c>
      <c r="N63" s="795">
        <v>50</v>
      </c>
      <c r="O63" s="795">
        <v>20</v>
      </c>
      <c r="P63" s="795">
        <v>25</v>
      </c>
      <c r="Q63" s="795">
        <v>30</v>
      </c>
      <c r="R63" s="795">
        <v>35</v>
      </c>
      <c r="S63" s="795">
        <v>40</v>
      </c>
      <c r="T63" s="795">
        <v>20</v>
      </c>
      <c r="U63" s="795">
        <v>25</v>
      </c>
      <c r="W63" s="2882">
        <v>59</v>
      </c>
    </row>
    <row r="64" spans="1:23" ht="15.75" x14ac:dyDescent="0.25">
      <c r="A64" s="874" t="s">
        <v>1591</v>
      </c>
      <c r="B64">
        <v>400</v>
      </c>
      <c r="C64">
        <v>500</v>
      </c>
      <c r="D64">
        <v>300</v>
      </c>
      <c r="E64">
        <v>350</v>
      </c>
      <c r="F64">
        <v>400</v>
      </c>
      <c r="G64">
        <v>450</v>
      </c>
      <c r="H64">
        <v>420</v>
      </c>
      <c r="I64">
        <v>390</v>
      </c>
      <c r="J64">
        <v>360</v>
      </c>
      <c r="K64">
        <v>330</v>
      </c>
      <c r="L64">
        <v>200</v>
      </c>
      <c r="M64">
        <v>500</v>
      </c>
      <c r="N64">
        <v>450</v>
      </c>
      <c r="O64">
        <v>400</v>
      </c>
      <c r="P64">
        <v>350</v>
      </c>
      <c r="Q64">
        <v>300</v>
      </c>
      <c r="R64">
        <v>250</v>
      </c>
      <c r="S64">
        <v>200</v>
      </c>
      <c r="T64">
        <v>150</v>
      </c>
      <c r="U64">
        <v>200</v>
      </c>
      <c r="W64">
        <v>60</v>
      </c>
    </row>
    <row r="65" spans="1:23" ht="18.75" customHeight="1" x14ac:dyDescent="0.25">
      <c r="A65" s="874" t="s">
        <v>3994</v>
      </c>
      <c r="B65" s="2897">
        <v>10</v>
      </c>
      <c r="C65" s="795">
        <v>12</v>
      </c>
      <c r="D65" s="2897">
        <v>14</v>
      </c>
      <c r="E65" s="795">
        <v>16</v>
      </c>
      <c r="F65" s="2897">
        <v>14</v>
      </c>
      <c r="G65" s="795">
        <v>8</v>
      </c>
      <c r="H65" s="2897">
        <v>10</v>
      </c>
      <c r="I65" s="795">
        <v>12</v>
      </c>
      <c r="J65" s="2897">
        <v>14</v>
      </c>
      <c r="K65" s="795">
        <v>13</v>
      </c>
      <c r="L65" s="2897">
        <v>10</v>
      </c>
      <c r="M65" s="795">
        <v>11</v>
      </c>
      <c r="N65" s="2897">
        <v>12</v>
      </c>
      <c r="O65" s="795">
        <v>13</v>
      </c>
      <c r="P65" s="2897">
        <v>14</v>
      </c>
      <c r="Q65" s="795">
        <v>15</v>
      </c>
      <c r="R65" s="2897">
        <v>10</v>
      </c>
      <c r="S65" s="795">
        <v>12</v>
      </c>
      <c r="T65" s="2897">
        <v>13</v>
      </c>
      <c r="U65" s="795">
        <v>12</v>
      </c>
      <c r="W65" s="2882">
        <v>61</v>
      </c>
    </row>
    <row r="66" spans="1:23" ht="18.75" customHeight="1" x14ac:dyDescent="0.25">
      <c r="A66" s="874" t="s">
        <v>2147</v>
      </c>
      <c r="B66">
        <v>7</v>
      </c>
      <c r="C66">
        <v>9</v>
      </c>
      <c r="D66">
        <v>11</v>
      </c>
      <c r="E66">
        <v>13</v>
      </c>
      <c r="F66">
        <v>11</v>
      </c>
      <c r="G66">
        <v>5</v>
      </c>
      <c r="H66">
        <v>7</v>
      </c>
      <c r="I66">
        <v>9</v>
      </c>
      <c r="J66">
        <v>11</v>
      </c>
      <c r="K66">
        <v>10</v>
      </c>
      <c r="L66">
        <v>7</v>
      </c>
      <c r="M66">
        <v>8</v>
      </c>
      <c r="N66">
        <v>9</v>
      </c>
      <c r="O66">
        <v>10</v>
      </c>
      <c r="P66">
        <v>11</v>
      </c>
      <c r="Q66">
        <v>12</v>
      </c>
      <c r="R66">
        <v>7</v>
      </c>
      <c r="S66">
        <v>9</v>
      </c>
      <c r="T66">
        <v>10</v>
      </c>
      <c r="U66">
        <v>9</v>
      </c>
      <c r="W66">
        <v>62</v>
      </c>
    </row>
    <row r="67" spans="1:23" ht="31.5" x14ac:dyDescent="0.25">
      <c r="A67" s="874" t="s">
        <v>1592</v>
      </c>
      <c r="B67" s="2897">
        <v>10</v>
      </c>
      <c r="C67" s="795">
        <v>12</v>
      </c>
      <c r="D67" s="2897">
        <v>14</v>
      </c>
      <c r="E67" s="795">
        <v>16</v>
      </c>
      <c r="F67" s="2897">
        <v>14</v>
      </c>
      <c r="G67" s="795">
        <v>20</v>
      </c>
      <c r="H67" s="2897">
        <v>22</v>
      </c>
      <c r="I67" s="795">
        <v>8</v>
      </c>
      <c r="J67" s="2897">
        <v>10</v>
      </c>
      <c r="K67" s="795">
        <v>12</v>
      </c>
      <c r="L67" s="2897">
        <v>14</v>
      </c>
      <c r="M67" s="795">
        <v>16</v>
      </c>
      <c r="N67" s="2897">
        <v>18</v>
      </c>
      <c r="O67" s="795">
        <v>20</v>
      </c>
      <c r="P67" s="2897">
        <v>22</v>
      </c>
      <c r="Q67" s="795">
        <v>10</v>
      </c>
      <c r="R67" s="2897">
        <v>13</v>
      </c>
      <c r="S67" s="795">
        <v>16</v>
      </c>
      <c r="T67" s="2897">
        <v>19</v>
      </c>
      <c r="U67" s="795">
        <v>22</v>
      </c>
      <c r="W67" s="2882">
        <v>63</v>
      </c>
    </row>
    <row r="68" spans="1:23" ht="127.5" customHeight="1" x14ac:dyDescent="0.25">
      <c r="A68" s="875" t="s">
        <v>3782</v>
      </c>
      <c r="B68" s="2897">
        <v>1</v>
      </c>
      <c r="C68" s="2897">
        <v>2</v>
      </c>
      <c r="D68" s="795">
        <v>3</v>
      </c>
      <c r="E68" s="2897">
        <v>1</v>
      </c>
      <c r="F68" s="2897">
        <v>2</v>
      </c>
      <c r="G68" s="795">
        <v>3</v>
      </c>
      <c r="H68" s="2897">
        <v>1</v>
      </c>
      <c r="I68" s="2897">
        <v>2</v>
      </c>
      <c r="J68" s="795">
        <v>3</v>
      </c>
      <c r="K68" s="2897">
        <v>1</v>
      </c>
      <c r="L68" s="2897">
        <v>2</v>
      </c>
      <c r="M68" s="795">
        <v>3</v>
      </c>
      <c r="N68" s="2897">
        <v>1</v>
      </c>
      <c r="O68" s="2897">
        <v>2</v>
      </c>
      <c r="P68" s="795">
        <v>3</v>
      </c>
      <c r="Q68" s="2897">
        <v>1</v>
      </c>
      <c r="R68" s="2897">
        <v>2</v>
      </c>
      <c r="S68" s="795">
        <v>3</v>
      </c>
      <c r="T68" s="795">
        <v>1</v>
      </c>
      <c r="U68" s="2897">
        <v>2</v>
      </c>
      <c r="W68">
        <v>64</v>
      </c>
    </row>
    <row r="69" spans="1:23" ht="15.75" x14ac:dyDescent="0.25">
      <c r="A69" s="874" t="s">
        <v>2148</v>
      </c>
      <c r="B69" s="2899">
        <v>770</v>
      </c>
      <c r="C69" s="795">
        <v>520</v>
      </c>
      <c r="D69" s="795">
        <v>580</v>
      </c>
      <c r="E69" s="795">
        <v>550</v>
      </c>
      <c r="F69" s="2897">
        <v>340</v>
      </c>
      <c r="G69" s="795">
        <v>500</v>
      </c>
      <c r="H69" s="2897">
        <v>450</v>
      </c>
      <c r="I69" s="795">
        <v>500</v>
      </c>
      <c r="J69" s="2897">
        <v>650</v>
      </c>
      <c r="K69" s="795">
        <v>650</v>
      </c>
      <c r="L69" s="2897">
        <v>500</v>
      </c>
      <c r="M69" s="795">
        <v>540</v>
      </c>
      <c r="N69" s="2897">
        <v>580</v>
      </c>
      <c r="O69" s="795">
        <v>280</v>
      </c>
      <c r="P69" s="2897">
        <v>330</v>
      </c>
      <c r="Q69" s="795">
        <v>650</v>
      </c>
      <c r="R69" s="2897">
        <v>360</v>
      </c>
      <c r="S69" s="795">
        <v>500</v>
      </c>
      <c r="T69" s="2897">
        <v>560</v>
      </c>
      <c r="U69" s="795">
        <v>320</v>
      </c>
      <c r="W69" s="2882">
        <v>65</v>
      </c>
    </row>
    <row r="70" spans="1:23" ht="15.75" x14ac:dyDescent="0.25">
      <c r="A70" s="2891" t="s">
        <v>5505</v>
      </c>
      <c r="B70" s="2881">
        <v>1</v>
      </c>
      <c r="C70" s="795">
        <v>2</v>
      </c>
      <c r="D70" s="795">
        <v>3</v>
      </c>
      <c r="E70" s="795">
        <v>2</v>
      </c>
      <c r="F70" s="2881">
        <v>1</v>
      </c>
      <c r="G70" s="795">
        <v>2</v>
      </c>
      <c r="H70" s="795">
        <v>2</v>
      </c>
      <c r="I70" s="795">
        <v>3</v>
      </c>
      <c r="J70" s="2881">
        <v>1</v>
      </c>
      <c r="K70" s="795">
        <v>2</v>
      </c>
      <c r="L70" s="795">
        <v>3</v>
      </c>
      <c r="M70" s="795">
        <v>4</v>
      </c>
      <c r="N70" s="2881">
        <v>1</v>
      </c>
      <c r="O70" s="795">
        <v>2</v>
      </c>
      <c r="P70" s="795">
        <v>3</v>
      </c>
      <c r="Q70" s="795">
        <v>2</v>
      </c>
      <c r="R70" s="2881">
        <v>1</v>
      </c>
      <c r="S70" s="795">
        <v>2</v>
      </c>
      <c r="T70" s="795">
        <v>2</v>
      </c>
      <c r="U70" s="795">
        <v>3</v>
      </c>
      <c r="W70">
        <v>66</v>
      </c>
    </row>
    <row r="71" spans="1:23" x14ac:dyDescent="0.2">
      <c r="B71" s="232"/>
      <c r="C71" s="232"/>
      <c r="D71" s="232"/>
      <c r="E71" s="232"/>
      <c r="F71" s="232"/>
      <c r="G71" s="232"/>
      <c r="H71" s="232"/>
      <c r="I71" s="232"/>
      <c r="J71" s="232"/>
      <c r="K71" s="232"/>
      <c r="L71" s="232"/>
      <c r="M71" s="232"/>
      <c r="N71" s="232"/>
      <c r="O71" s="232"/>
      <c r="P71" s="232"/>
      <c r="Q71" s="232"/>
      <c r="R71" s="232"/>
      <c r="S71" s="232"/>
      <c r="T71" s="232"/>
      <c r="U71" s="232"/>
    </row>
    <row r="72" spans="1:23" x14ac:dyDescent="0.2">
      <c r="B72"/>
      <c r="C72"/>
      <c r="D72"/>
      <c r="E72"/>
      <c r="F72"/>
      <c r="G72"/>
      <c r="H72"/>
      <c r="I72"/>
      <c r="J72"/>
      <c r="K72"/>
      <c r="L72"/>
      <c r="M72"/>
      <c r="N72"/>
      <c r="O72"/>
      <c r="P72"/>
      <c r="Q72"/>
      <c r="R72"/>
      <c r="S72"/>
      <c r="T72"/>
      <c r="U72"/>
    </row>
    <row r="73" spans="1:23" x14ac:dyDescent="0.2">
      <c r="A73" s="213"/>
      <c r="B73"/>
      <c r="C73"/>
      <c r="D73"/>
      <c r="E73"/>
      <c r="F73"/>
      <c r="G73"/>
      <c r="H73"/>
      <c r="I73"/>
      <c r="J73"/>
      <c r="K73"/>
      <c r="L73"/>
      <c r="M73"/>
      <c r="N73"/>
      <c r="O73"/>
      <c r="P73"/>
      <c r="Q73"/>
      <c r="R73"/>
      <c r="S73"/>
      <c r="T73"/>
      <c r="U73"/>
    </row>
    <row r="74" spans="1:23" x14ac:dyDescent="0.2">
      <c r="A74" s="213"/>
      <c r="B74"/>
      <c r="C74"/>
      <c r="D74"/>
      <c r="E74"/>
      <c r="F74"/>
      <c r="G74"/>
      <c r="H74"/>
      <c r="I74"/>
      <c r="J74"/>
      <c r="K74"/>
      <c r="L74"/>
      <c r="M74"/>
      <c r="N74"/>
      <c r="O74"/>
      <c r="P74"/>
      <c r="Q74"/>
      <c r="R74"/>
      <c r="S74"/>
      <c r="T74"/>
      <c r="U74"/>
    </row>
    <row r="75" spans="1:23" x14ac:dyDescent="0.2">
      <c r="A75" s="213"/>
      <c r="B75"/>
      <c r="C75"/>
      <c r="D75"/>
      <c r="E75"/>
      <c r="F75"/>
      <c r="G75"/>
      <c r="H75"/>
      <c r="I75"/>
      <c r="J75"/>
      <c r="K75"/>
      <c r="L75"/>
      <c r="M75"/>
      <c r="N75"/>
      <c r="O75"/>
      <c r="P75"/>
      <c r="Q75"/>
      <c r="R75"/>
      <c r="S75"/>
      <c r="T75"/>
      <c r="U75"/>
    </row>
    <row r="76" spans="1:23" x14ac:dyDescent="0.2">
      <c r="B76" s="2681"/>
      <c r="C76" s="2681"/>
      <c r="D76" s="2681"/>
      <c r="E76" s="2681"/>
      <c r="F76" s="2681"/>
      <c r="G76" s="2681"/>
      <c r="H76" s="2681"/>
      <c r="I76" s="2681"/>
      <c r="J76" s="2681"/>
      <c r="K76" s="2681"/>
      <c r="L76" s="2681"/>
      <c r="M76" s="2681"/>
      <c r="N76" s="2681"/>
      <c r="O76" s="2681"/>
      <c r="P76" s="2681"/>
      <c r="Q76" s="2681"/>
      <c r="R76" s="2681"/>
      <c r="S76" s="2681"/>
      <c r="T76" s="2681"/>
      <c r="U76" s="2681"/>
    </row>
    <row r="77" spans="1:23" x14ac:dyDescent="0.2">
      <c r="A77" s="1164"/>
      <c r="B77" s="232"/>
      <c r="C77" s="232"/>
      <c r="D77" s="232"/>
      <c r="E77" s="232"/>
      <c r="F77" s="232"/>
      <c r="G77" s="232"/>
      <c r="H77" s="232"/>
      <c r="I77" s="232"/>
      <c r="J77" s="232"/>
      <c r="K77" s="232"/>
      <c r="L77" s="232"/>
      <c r="M77" s="232"/>
      <c r="N77" s="232"/>
      <c r="O77" s="232"/>
      <c r="P77" s="232"/>
      <c r="Q77" s="232"/>
      <c r="R77" s="232"/>
      <c r="S77" s="232"/>
      <c r="T77" s="232"/>
      <c r="U77" s="232"/>
    </row>
    <row r="78" spans="1:23" x14ac:dyDescent="0.2">
      <c r="A78" s="1164"/>
    </row>
    <row r="79" spans="1:23" x14ac:dyDescent="0.2">
      <c r="A79" s="1164"/>
      <c r="B79" s="232"/>
      <c r="C79" s="232"/>
      <c r="D79" s="232"/>
      <c r="E79" s="232"/>
      <c r="F79" s="232"/>
      <c r="G79" s="232"/>
      <c r="H79" s="232"/>
      <c r="I79" s="232"/>
      <c r="J79" s="232"/>
      <c r="K79" s="232"/>
      <c r="L79" s="232"/>
      <c r="M79" s="232"/>
      <c r="N79" s="232"/>
      <c r="O79" s="232"/>
      <c r="P79" s="232"/>
      <c r="Q79" s="232"/>
      <c r="R79" s="232"/>
      <c r="S79" s="232"/>
      <c r="T79" s="232"/>
      <c r="U79" s="232"/>
    </row>
    <row r="80" spans="1:23" x14ac:dyDescent="0.2">
      <c r="A80" s="213"/>
      <c r="B80" s="232"/>
      <c r="C80" s="232"/>
      <c r="D80" s="232"/>
      <c r="E80" s="232"/>
      <c r="F80" s="232"/>
      <c r="G80" s="232"/>
      <c r="H80" s="232"/>
      <c r="I80" s="232"/>
      <c r="J80" s="232"/>
      <c r="K80" s="232"/>
      <c r="L80" s="232"/>
      <c r="M80" s="232"/>
      <c r="N80" s="232"/>
      <c r="O80" s="232"/>
      <c r="P80" s="232"/>
      <c r="Q80" s="232"/>
      <c r="R80" s="232"/>
      <c r="S80" s="232"/>
      <c r="T80" s="232"/>
      <c r="U80" s="232"/>
    </row>
    <row r="83" spans="2:2" x14ac:dyDescent="0.2">
      <c r="B83"/>
    </row>
  </sheetData>
  <phoneticPr fontId="20" type="noConversion"/>
  <pageMargins left="0.75" right="0.75" top="1" bottom="1" header="0.5" footer="0.5"/>
  <pageSetup paperSize="9" orientation="portrait" horizont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25" sqref="H25"/>
    </sheetView>
  </sheetViews>
  <sheetFormatPr defaultRowHeight="12.75" x14ac:dyDescent="0.2"/>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I3227"/>
  <sheetViews>
    <sheetView zoomScale="130" zoomScaleNormal="130" workbookViewId="0">
      <selection activeCell="E15" sqref="E15"/>
    </sheetView>
  </sheetViews>
  <sheetFormatPr defaultRowHeight="12.75" x14ac:dyDescent="0.2"/>
  <cols>
    <col min="1" max="1" width="49.5703125" style="3128" customWidth="1"/>
    <col min="2" max="2" width="13.140625" style="3128" customWidth="1"/>
    <col min="3" max="4" width="10.5703125" style="3128" customWidth="1"/>
    <col min="5" max="5" width="11.28515625" style="3128" customWidth="1"/>
    <col min="6" max="7" width="10.7109375" style="3128" customWidth="1"/>
    <col min="8" max="8" width="9.140625" style="3128"/>
    <col min="9" max="12" width="9.42578125" style="3128" customWidth="1"/>
    <col min="13" max="13" width="9.28515625" style="3128" customWidth="1"/>
    <col min="14" max="14" width="10.42578125" style="3128" customWidth="1"/>
    <col min="15" max="15" width="9.140625" style="3128"/>
    <col min="16" max="16" width="14.140625" style="3128" customWidth="1"/>
    <col min="17" max="16384" width="9.140625" style="3128"/>
  </cols>
  <sheetData>
    <row r="1" spans="1:9" s="3309" customFormat="1" ht="19.5" thickBot="1" x14ac:dyDescent="0.35">
      <c r="A1" s="4302" t="s">
        <v>6870</v>
      </c>
      <c r="B1" s="3903"/>
      <c r="C1" s="3903"/>
      <c r="D1" s="3903"/>
      <c r="E1" s="3903"/>
      <c r="F1" s="3903"/>
      <c r="G1" s="3902"/>
      <c r="H1" s="3314"/>
      <c r="I1" s="3314"/>
    </row>
    <row r="2" spans="1:9" s="1136" customFormat="1" ht="19.5" thickBot="1" x14ac:dyDescent="0.35">
      <c r="A2" s="4301" t="s">
        <v>6423</v>
      </c>
      <c r="B2" s="1305"/>
    </row>
    <row r="3" spans="1:9" s="1136" customFormat="1" ht="19.5" x14ac:dyDescent="0.35">
      <c r="A3" s="2438" t="s">
        <v>3920</v>
      </c>
      <c r="B3" s="2439"/>
      <c r="C3" s="2440"/>
      <c r="D3" s="2440"/>
      <c r="E3" s="2440"/>
      <c r="F3" s="2441"/>
      <c r="G3" s="1309"/>
      <c r="H3" s="1309"/>
    </row>
    <row r="4" spans="1:9" s="1136" customFormat="1" ht="19.5" x14ac:dyDescent="0.35">
      <c r="A4" s="2442" t="s">
        <v>3003</v>
      </c>
      <c r="B4" s="1308"/>
      <c r="C4" s="1309"/>
      <c r="D4" s="1309"/>
      <c r="E4" s="1309"/>
      <c r="F4" s="2443"/>
      <c r="G4" s="1309"/>
      <c r="H4" s="1309"/>
    </row>
    <row r="5" spans="1:9" s="1136" customFormat="1" ht="19.5" x14ac:dyDescent="0.35">
      <c r="A5" s="2442" t="s">
        <v>3004</v>
      </c>
      <c r="B5" s="1308"/>
      <c r="C5" s="1309"/>
      <c r="D5" s="1309"/>
      <c r="E5" s="1309"/>
      <c r="F5" s="2443"/>
      <c r="G5" s="1309"/>
      <c r="H5" s="1309"/>
    </row>
    <row r="6" spans="1:9" s="1136" customFormat="1" ht="19.5" x14ac:dyDescent="0.35">
      <c r="A6" s="2442" t="s">
        <v>3005</v>
      </c>
      <c r="B6" s="1308"/>
      <c r="C6" s="1309"/>
      <c r="D6" s="1309"/>
      <c r="E6" s="1309"/>
      <c r="F6" s="2443"/>
      <c r="G6" s="1309"/>
      <c r="H6" s="1309"/>
    </row>
    <row r="7" spans="1:9" s="1136" customFormat="1" ht="19.5" x14ac:dyDescent="0.35">
      <c r="A7" s="2442" t="s">
        <v>1949</v>
      </c>
      <c r="B7" s="1308"/>
      <c r="C7" s="1309"/>
      <c r="D7" s="1309"/>
      <c r="E7" s="1309"/>
      <c r="F7" s="2443"/>
      <c r="G7" s="1309"/>
      <c r="H7" s="1309"/>
    </row>
    <row r="8" spans="1:9" s="1136" customFormat="1" ht="19.5" x14ac:dyDescent="0.35">
      <c r="A8" s="2442" t="s">
        <v>267</v>
      </c>
      <c r="B8" s="1308"/>
      <c r="C8" s="1309"/>
      <c r="D8" s="1309"/>
      <c r="E8" s="1309"/>
      <c r="F8" s="2443"/>
      <c r="G8" s="1309"/>
      <c r="H8" s="1309"/>
    </row>
    <row r="9" spans="1:9" s="1136" customFormat="1" ht="19.5" x14ac:dyDescent="0.35">
      <c r="A9" s="2442"/>
      <c r="B9" s="1308"/>
      <c r="C9" s="1309"/>
      <c r="D9" s="1309"/>
      <c r="E9" s="1309"/>
      <c r="F9" s="2443"/>
      <c r="G9" s="1309"/>
      <c r="H9" s="1309"/>
    </row>
    <row r="10" spans="1:9" s="1136" customFormat="1" ht="19.5" x14ac:dyDescent="0.35">
      <c r="A10" s="2442"/>
      <c r="B10" s="1308"/>
      <c r="C10" s="1309"/>
      <c r="D10" s="1309"/>
      <c r="E10" s="1309"/>
      <c r="F10" s="2443"/>
      <c r="G10" s="1309"/>
      <c r="H10" s="1309"/>
    </row>
    <row r="11" spans="1:9" s="1136" customFormat="1" ht="15.75" x14ac:dyDescent="0.25">
      <c r="A11" s="476" t="s">
        <v>367</v>
      </c>
      <c r="B11" s="2426"/>
      <c r="C11" s="2426"/>
      <c r="D11" s="2426"/>
      <c r="E11" s="2426"/>
      <c r="F11" s="2444"/>
      <c r="G11" s="1157"/>
      <c r="H11" s="1157"/>
    </row>
    <row r="12" spans="1:9" s="1136" customFormat="1" ht="15.75" x14ac:dyDescent="0.25">
      <c r="A12" s="476" t="s">
        <v>368</v>
      </c>
      <c r="B12" s="821"/>
      <c r="C12" s="2426"/>
      <c r="D12" s="2426"/>
      <c r="E12" s="2426"/>
      <c r="F12" s="2444"/>
      <c r="G12" s="1157"/>
      <c r="H12" s="1157"/>
    </row>
    <row r="13" spans="1:9" s="1136" customFormat="1" ht="15.75" x14ac:dyDescent="0.25">
      <c r="A13" s="476" t="s">
        <v>369</v>
      </c>
      <c r="B13" s="821"/>
      <c r="C13" s="2426"/>
      <c r="D13" s="2426"/>
      <c r="E13" s="2426"/>
      <c r="F13" s="2444"/>
      <c r="G13" s="1157"/>
      <c r="H13" s="1157"/>
    </row>
    <row r="14" spans="1:9" s="1136" customFormat="1" ht="15.75" x14ac:dyDescent="0.25">
      <c r="A14" s="476" t="s">
        <v>370</v>
      </c>
      <c r="B14" s="821"/>
      <c r="C14" s="2426"/>
      <c r="D14" s="2426"/>
      <c r="E14" s="2426"/>
      <c r="F14" s="2444"/>
      <c r="G14" s="1157"/>
      <c r="H14" s="1157"/>
    </row>
    <row r="15" spans="1:9" s="1136" customFormat="1" ht="15.75" x14ac:dyDescent="0.25">
      <c r="A15" s="476" t="s">
        <v>3852</v>
      </c>
      <c r="B15" s="821"/>
      <c r="C15" s="2426"/>
      <c r="D15" s="2426"/>
      <c r="E15" s="2426"/>
      <c r="F15" s="2444"/>
      <c r="G15" s="1157"/>
      <c r="H15" s="1157"/>
    </row>
    <row r="16" spans="1:9" s="1136" customFormat="1" ht="15.75" x14ac:dyDescent="0.25">
      <c r="A16" s="476" t="s">
        <v>5347</v>
      </c>
      <c r="B16" s="821"/>
      <c r="C16" s="2426"/>
      <c r="D16" s="2426"/>
      <c r="E16" s="2426"/>
      <c r="F16" s="2444"/>
      <c r="G16" s="1157"/>
      <c r="H16" s="1157"/>
    </row>
    <row r="17" spans="1:8" s="1136" customFormat="1" ht="20.25" x14ac:dyDescent="0.35">
      <c r="A17" s="476" t="s">
        <v>5348</v>
      </c>
      <c r="B17" s="821"/>
      <c r="C17" s="2426"/>
      <c r="D17" s="2426"/>
      <c r="E17" s="2426"/>
      <c r="F17" s="2444"/>
      <c r="G17" s="1157"/>
      <c r="H17" s="1157"/>
    </row>
    <row r="18" spans="1:8" s="1136" customFormat="1" ht="15.75" x14ac:dyDescent="0.25">
      <c r="A18" s="476" t="s">
        <v>5349</v>
      </c>
      <c r="B18" s="821"/>
      <c r="C18" s="2426"/>
      <c r="D18" s="2426"/>
      <c r="E18" s="2426"/>
      <c r="F18" s="2444"/>
      <c r="G18" s="1157"/>
      <c r="H18" s="1157"/>
    </row>
    <row r="19" spans="1:8" s="1136" customFormat="1" ht="20.25" x14ac:dyDescent="0.35">
      <c r="A19" s="476" t="s">
        <v>5513</v>
      </c>
      <c r="B19" s="821"/>
      <c r="C19" s="2426"/>
      <c r="D19" s="2426"/>
      <c r="E19" s="2426"/>
      <c r="F19" s="2444"/>
      <c r="G19" s="1157"/>
      <c r="H19" s="1157"/>
    </row>
    <row r="20" spans="1:8" s="1136" customFormat="1" ht="20.25" x14ac:dyDescent="0.35">
      <c r="A20" s="476" t="s">
        <v>5514</v>
      </c>
      <c r="B20" s="821"/>
      <c r="C20" s="2426"/>
      <c r="D20" s="2426"/>
      <c r="E20" s="2426"/>
      <c r="F20" s="2444"/>
      <c r="G20" s="1157"/>
      <c r="H20" s="1157"/>
    </row>
    <row r="21" spans="1:8" s="1136" customFormat="1" ht="20.25" x14ac:dyDescent="0.35">
      <c r="A21" s="476" t="s">
        <v>5515</v>
      </c>
      <c r="B21" s="821"/>
      <c r="C21" s="2426"/>
      <c r="D21" s="2426"/>
      <c r="E21" s="2426"/>
      <c r="F21" s="2444"/>
      <c r="G21" s="1157"/>
      <c r="H21" s="1157"/>
    </row>
    <row r="22" spans="1:8" s="1136" customFormat="1" ht="20.25" x14ac:dyDescent="0.35">
      <c r="A22" s="476"/>
      <c r="B22" s="821"/>
      <c r="C22" s="1306" t="s">
        <v>5516</v>
      </c>
      <c r="D22" s="2426"/>
      <c r="E22" s="2426"/>
      <c r="F22" s="2444"/>
      <c r="G22" s="1157"/>
      <c r="H22" s="1157"/>
    </row>
    <row r="23" spans="1:8" s="1136" customFormat="1" ht="15.75" x14ac:dyDescent="0.25">
      <c r="A23" s="476" t="s">
        <v>4562</v>
      </c>
      <c r="B23" s="821"/>
      <c r="C23" s="2426"/>
      <c r="D23" s="2426"/>
      <c r="E23" s="2426"/>
      <c r="F23" s="2444"/>
      <c r="G23" s="1157"/>
      <c r="H23" s="1157"/>
    </row>
    <row r="24" spans="1:8" s="1136" customFormat="1" ht="20.25" x14ac:dyDescent="0.35">
      <c r="A24" s="2382" t="s">
        <v>4563</v>
      </c>
      <c r="B24" s="821"/>
      <c r="C24" s="1306"/>
      <c r="D24" s="2426"/>
      <c r="E24" s="2426"/>
      <c r="F24" s="2444"/>
      <c r="G24" s="1157"/>
      <c r="H24" s="1157"/>
    </row>
    <row r="25" spans="1:8" s="1136" customFormat="1" ht="20.25" x14ac:dyDescent="0.35">
      <c r="A25" s="476" t="s">
        <v>4834</v>
      </c>
      <c r="B25" s="821"/>
      <c r="C25" s="2426"/>
      <c r="D25" s="2426"/>
      <c r="E25" s="2426"/>
      <c r="F25" s="2444"/>
      <c r="G25" s="1157"/>
      <c r="H25" s="1157"/>
    </row>
    <row r="26" spans="1:8" s="1136" customFormat="1" ht="15.75" x14ac:dyDescent="0.25">
      <c r="A26" s="476" t="s">
        <v>4946</v>
      </c>
      <c r="B26" s="821"/>
      <c r="C26" s="2426"/>
      <c r="D26" s="2426"/>
      <c r="E26" s="2426"/>
      <c r="F26" s="2444"/>
      <c r="G26" s="1157"/>
      <c r="H26" s="1157"/>
    </row>
    <row r="27" spans="1:8" s="1136" customFormat="1" ht="20.25" x14ac:dyDescent="0.35">
      <c r="A27" s="4"/>
      <c r="B27" s="821"/>
      <c r="C27" s="1306" t="s">
        <v>4833</v>
      </c>
      <c r="D27" s="2426"/>
      <c r="E27" s="2426"/>
      <c r="F27" s="2444"/>
      <c r="G27" s="1157"/>
      <c r="H27" s="1157"/>
    </row>
    <row r="28" spans="1:8" s="1136" customFormat="1" ht="18.75" x14ac:dyDescent="0.3">
      <c r="A28" s="476" t="s">
        <v>5541</v>
      </c>
      <c r="B28" s="821"/>
      <c r="C28" s="1306"/>
      <c r="D28" s="2426"/>
      <c r="E28" s="2426"/>
      <c r="F28" s="2444"/>
      <c r="G28" s="1157"/>
      <c r="H28" s="1157"/>
    </row>
    <row r="29" spans="1:8" s="1136" customFormat="1" ht="18.75" x14ac:dyDescent="0.3">
      <c r="A29" s="476" t="s">
        <v>4835</v>
      </c>
      <c r="B29" s="821"/>
      <c r="C29" s="1306"/>
      <c r="D29" s="2426"/>
      <c r="E29" s="2426"/>
      <c r="F29" s="2444"/>
      <c r="G29" s="1157"/>
      <c r="H29" s="1157"/>
    </row>
    <row r="30" spans="1:8" s="1136" customFormat="1" ht="18.75" x14ac:dyDescent="0.3">
      <c r="A30" s="4"/>
      <c r="B30" s="821"/>
      <c r="C30" s="1306"/>
      <c r="D30" s="2426"/>
      <c r="E30" s="2426"/>
      <c r="F30" s="2444"/>
      <c r="G30" s="1157"/>
      <c r="H30" s="1157"/>
    </row>
    <row r="31" spans="1:8" s="1136" customFormat="1" ht="20.25" thickBot="1" x14ac:dyDescent="0.4">
      <c r="A31" s="2445"/>
      <c r="B31" s="2446"/>
      <c r="C31" s="2447"/>
      <c r="D31" s="2447"/>
      <c r="E31" s="2447"/>
      <c r="F31" s="2448"/>
      <c r="G31" s="1309"/>
      <c r="H31" s="1309"/>
    </row>
    <row r="32" spans="1:8" s="1136" customFormat="1" ht="15" x14ac:dyDescent="0.2">
      <c r="B32" s="1882"/>
    </row>
    <row r="33" spans="1:113" s="8" customFormat="1" ht="19.5" x14ac:dyDescent="0.35">
      <c r="A33" s="1243" t="s">
        <v>4948</v>
      </c>
      <c r="B33" s="818"/>
      <c r="C33" s="1298"/>
      <c r="D33" s="1157"/>
      <c r="E33" s="1157"/>
      <c r="F33" s="1157"/>
      <c r="G33" s="1157"/>
      <c r="H33" s="1157"/>
      <c r="I33" s="1157"/>
      <c r="J33"/>
      <c r="K33"/>
      <c r="L33"/>
      <c r="M33"/>
      <c r="N33"/>
      <c r="O33"/>
      <c r="P33"/>
      <c r="Q33"/>
      <c r="R33"/>
      <c r="S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row>
    <row r="34" spans="1:113" s="8" customFormat="1" ht="18.75" x14ac:dyDescent="0.3">
      <c r="A34"/>
      <c r="B34" s="818"/>
      <c r="C34" s="1298"/>
      <c r="D34" s="1157"/>
      <c r="E34" s="1157"/>
      <c r="F34" s="1157"/>
      <c r="G34" s="1157"/>
      <c r="H34" s="1157"/>
      <c r="I34" s="1157"/>
      <c r="J34"/>
      <c r="K34"/>
      <c r="L34"/>
      <c r="M34"/>
      <c r="N34"/>
      <c r="O34"/>
      <c r="P34"/>
      <c r="Q34"/>
      <c r="R34"/>
      <c r="S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row>
    <row r="35" spans="1:113" s="8" customFormat="1" ht="18.75" x14ac:dyDescent="0.3">
      <c r="A35" s="1310"/>
      <c r="B35" s="818"/>
      <c r="C35" s="1298"/>
      <c r="D35" s="1157"/>
      <c r="E35" s="1157"/>
      <c r="F35" s="1157"/>
      <c r="G35" s="1157"/>
      <c r="H35" s="1157"/>
      <c r="I35" s="1157"/>
      <c r="J35"/>
      <c r="K35"/>
      <c r="L35"/>
      <c r="M35"/>
      <c r="N35"/>
      <c r="O35"/>
      <c r="P35"/>
      <c r="Q35"/>
      <c r="R35"/>
      <c r="S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row>
    <row r="36" spans="1:113" s="8" customFormat="1" ht="42" customHeight="1" x14ac:dyDescent="0.25">
      <c r="A36" s="4630" t="s">
        <v>5258</v>
      </c>
      <c r="B36" s="4349"/>
      <c r="C36" s="4349"/>
      <c r="D36" s="4349"/>
      <c r="E36" s="4349"/>
      <c r="F36" s="4349"/>
      <c r="G36" s="4349"/>
      <c r="H36" s="4349"/>
      <c r="I36" s="1311"/>
      <c r="J36"/>
      <c r="K36"/>
      <c r="L36"/>
      <c r="M36"/>
      <c r="N36"/>
      <c r="O36"/>
      <c r="P36"/>
      <c r="Q36"/>
      <c r="R36"/>
      <c r="S36"/>
      <c r="T36" s="12">
        <f>IF(I36=3,1,0)</f>
        <v>0</v>
      </c>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row>
    <row r="37" spans="1:113" s="8" customFormat="1" ht="53.25" customHeight="1" x14ac:dyDescent="0.25">
      <c r="A37" s="4630" t="s">
        <v>1786</v>
      </c>
      <c r="B37" s="4678"/>
      <c r="C37" s="4678"/>
      <c r="D37" s="4678"/>
      <c r="E37" s="4678"/>
      <c r="F37" s="4678"/>
      <c r="G37" s="4678"/>
      <c r="H37" s="4678"/>
      <c r="I37" s="1311"/>
      <c r="J37"/>
      <c r="K37"/>
      <c r="L37"/>
      <c r="M37"/>
      <c r="N37"/>
      <c r="O37"/>
      <c r="P37"/>
      <c r="Q37"/>
      <c r="R37"/>
      <c r="S37"/>
      <c r="T37" s="12">
        <f>IF(I37=4.5,1,0)</f>
        <v>0</v>
      </c>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row>
    <row r="38" spans="1:113" s="8" customFormat="1" ht="47.25" customHeight="1" x14ac:dyDescent="0.25">
      <c r="A38" s="4630" t="s">
        <v>1787</v>
      </c>
      <c r="B38" s="4678"/>
      <c r="C38" s="4678"/>
      <c r="D38" s="4678"/>
      <c r="E38" s="4678"/>
      <c r="F38" s="4678"/>
      <c r="G38" s="4678"/>
      <c r="H38" s="4678"/>
      <c r="I38" s="1311"/>
      <c r="J38"/>
      <c r="K38"/>
      <c r="L38"/>
      <c r="M38"/>
      <c r="N38"/>
      <c r="O38"/>
      <c r="P38"/>
      <c r="Q38"/>
      <c r="R38"/>
      <c r="S38"/>
      <c r="T38" s="12">
        <f>IF(I38=0.4,1,0)</f>
        <v>0</v>
      </c>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row>
    <row r="39" spans="1:113" s="8" customFormat="1" ht="46.5" customHeight="1" x14ac:dyDescent="0.25">
      <c r="A39" s="4630" t="s">
        <v>1994</v>
      </c>
      <c r="B39" s="4349"/>
      <c r="C39" s="4349"/>
      <c r="D39" s="4349"/>
      <c r="E39" s="4349"/>
      <c r="F39" s="4349"/>
      <c r="G39" s="4349"/>
      <c r="H39" s="4349"/>
      <c r="I39" s="1311"/>
      <c r="J39"/>
      <c r="K39"/>
      <c r="L39"/>
      <c r="M39"/>
      <c r="N39"/>
      <c r="O39"/>
      <c r="P39"/>
      <c r="Q39"/>
      <c r="R39"/>
      <c r="S39"/>
      <c r="T39" s="12">
        <f>IF(I39=2,1,0)</f>
        <v>0</v>
      </c>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row>
    <row r="40" spans="1:113" s="8" customFormat="1" ht="42" customHeight="1" x14ac:dyDescent="0.25">
      <c r="A40" s="4756" t="s">
        <v>6556</v>
      </c>
      <c r="B40" s="4757"/>
      <c r="C40" s="4757"/>
      <c r="D40" s="4757"/>
      <c r="E40" s="4757"/>
      <c r="F40" s="4757"/>
      <c r="G40" s="4757"/>
      <c r="H40" s="4757"/>
      <c r="I40" s="1311"/>
      <c r="J40"/>
      <c r="K40"/>
      <c r="L40"/>
      <c r="M40"/>
      <c r="N40"/>
      <c r="O40"/>
      <c r="P40"/>
      <c r="Q40"/>
      <c r="R40"/>
      <c r="S40"/>
      <c r="T40" s="12">
        <f>IF(I40=2,1,0)</f>
        <v>0</v>
      </c>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row>
    <row r="41" spans="1:113" s="8" customFormat="1" ht="47.25" customHeight="1" x14ac:dyDescent="0.25">
      <c r="A41" s="4630" t="s">
        <v>1788</v>
      </c>
      <c r="B41" s="4349"/>
      <c r="C41" s="4349"/>
      <c r="D41" s="4349"/>
      <c r="E41" s="4349"/>
      <c r="F41" s="4349"/>
      <c r="G41" s="4349"/>
      <c r="H41" s="4349"/>
      <c r="I41" s="1311"/>
      <c r="J41"/>
      <c r="K41"/>
      <c r="L41"/>
      <c r="M41"/>
      <c r="N41"/>
      <c r="O41"/>
      <c r="P41"/>
      <c r="Q41"/>
      <c r="R41"/>
      <c r="S41"/>
      <c r="T41" s="12">
        <f>IF(I41=0.5,1,0)</f>
        <v>0</v>
      </c>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row>
    <row r="42" spans="1:113" s="8" customFormat="1" ht="36.75" customHeight="1" x14ac:dyDescent="0.25">
      <c r="A42" s="4630" t="s">
        <v>5259</v>
      </c>
      <c r="B42" s="4349"/>
      <c r="C42" s="4349"/>
      <c r="D42" s="4349"/>
      <c r="E42" s="4349"/>
      <c r="F42" s="4349"/>
      <c r="G42" s="4349"/>
      <c r="H42" s="4349"/>
      <c r="I42" s="1311"/>
      <c r="J42"/>
      <c r="K42"/>
      <c r="L42"/>
      <c r="M42"/>
      <c r="N42"/>
      <c r="O42"/>
      <c r="P42"/>
      <c r="Q42"/>
      <c r="R42"/>
      <c r="S42"/>
      <c r="T42" s="12">
        <f>IF(I42=2,1,0)</f>
        <v>0</v>
      </c>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row>
    <row r="43" spans="1:113" s="8" customFormat="1" ht="49.5" customHeight="1" x14ac:dyDescent="0.25">
      <c r="A43" s="4630" t="s">
        <v>5593</v>
      </c>
      <c r="B43" s="4679"/>
      <c r="C43" s="4679"/>
      <c r="D43" s="4679"/>
      <c r="E43" s="4679"/>
      <c r="F43" s="4679"/>
      <c r="G43" s="4679"/>
      <c r="H43" s="4679"/>
      <c r="I43" s="1311"/>
      <c r="J43"/>
      <c r="K43"/>
      <c r="L43"/>
      <c r="M43"/>
      <c r="N43"/>
      <c r="O43"/>
      <c r="P43"/>
      <c r="Q43"/>
      <c r="R43"/>
      <c r="S43"/>
      <c r="T43" s="12">
        <f>IF(I43=0.25,1,0)</f>
        <v>0</v>
      </c>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row>
    <row r="44" spans="1:113" s="8" customFormat="1" ht="46.5" customHeight="1" x14ac:dyDescent="0.25">
      <c r="A44" s="4630" t="s">
        <v>3763</v>
      </c>
      <c r="B44" s="4349"/>
      <c r="C44" s="4349"/>
      <c r="D44" s="4349"/>
      <c r="E44" s="4349"/>
      <c r="F44" s="4349"/>
      <c r="G44" s="4349"/>
      <c r="H44" s="4349"/>
      <c r="I44" s="1311"/>
      <c r="J44"/>
      <c r="K44"/>
      <c r="L44"/>
      <c r="M44"/>
      <c r="N44"/>
      <c r="O44"/>
      <c r="P44"/>
      <c r="Q44"/>
      <c r="R44"/>
      <c r="S44"/>
      <c r="T44" s="12">
        <f>IF(I44=1,1,0)</f>
        <v>0</v>
      </c>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row>
    <row r="45" spans="1:113" s="8" customFormat="1" ht="46.5" customHeight="1" x14ac:dyDescent="0.25">
      <c r="A45" s="4630" t="s">
        <v>6467</v>
      </c>
      <c r="B45" s="4349"/>
      <c r="C45" s="4349"/>
      <c r="D45" s="4349"/>
      <c r="E45" s="4349"/>
      <c r="F45" s="4349"/>
      <c r="G45" s="4349"/>
      <c r="H45" s="4349"/>
      <c r="I45" s="1311"/>
      <c r="J45"/>
      <c r="K45"/>
      <c r="L45"/>
      <c r="M45"/>
      <c r="N45"/>
      <c r="O45"/>
      <c r="P45"/>
      <c r="Q45"/>
      <c r="R45"/>
      <c r="S45"/>
      <c r="T45" s="12">
        <f>IF(I45=4,1,0)</f>
        <v>0</v>
      </c>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row>
    <row r="46" spans="1:113" customFormat="1" x14ac:dyDescent="0.2">
      <c r="T46" s="213">
        <f>SUM(T36:T45)</f>
        <v>0</v>
      </c>
    </row>
    <row r="47" spans="1:113" s="8" customFormat="1" ht="17.25" customHeight="1" x14ac:dyDescent="0.25">
      <c r="A47" s="4676"/>
      <c r="B47" s="4373"/>
      <c r="C47" s="4373"/>
      <c r="D47" s="4373"/>
      <c r="E47" s="4373"/>
      <c r="F47" s="4373"/>
      <c r="G47" s="4373"/>
      <c r="H47" s="4373"/>
      <c r="I47" s="2369"/>
      <c r="J47"/>
      <c r="K47"/>
      <c r="L47"/>
      <c r="M47"/>
      <c r="N47"/>
      <c r="O47"/>
      <c r="P47"/>
      <c r="Q47"/>
      <c r="R47"/>
      <c r="S47"/>
      <c r="T47" s="322"/>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row>
    <row r="48" spans="1:113" s="8" customFormat="1" ht="17.25" customHeight="1" x14ac:dyDescent="0.25">
      <c r="A48" s="3934"/>
      <c r="B48" s="3930"/>
      <c r="C48" s="3930"/>
      <c r="D48" s="3930"/>
      <c r="E48" s="3930"/>
      <c r="F48" s="3930"/>
      <c r="G48" s="3930"/>
      <c r="H48" s="3930"/>
      <c r="I48" s="2369"/>
      <c r="J48"/>
      <c r="K48"/>
      <c r="L48"/>
      <c r="M48"/>
      <c r="N48"/>
      <c r="O48"/>
      <c r="P48"/>
      <c r="Q48"/>
      <c r="R48"/>
      <c r="S48"/>
      <c r="T48" s="322"/>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row>
    <row r="49" spans="1:29" s="1070" customFormat="1" ht="18.75" x14ac:dyDescent="0.3">
      <c r="A49" s="3978" t="str">
        <f>IF(SUM(T36:T45)=10,"    Таблица 15          Расчет трудоемкости работ в лаве с индивидуальной крепью","")</f>
        <v/>
      </c>
      <c r="B49" s="2471"/>
      <c r="C49" s="2471"/>
      <c r="D49" s="2471"/>
      <c r="E49" s="2471"/>
      <c r="F49" s="2471"/>
      <c r="G49" s="2471"/>
      <c r="H49" s="2471"/>
      <c r="J49" s="1315"/>
      <c r="K49" s="1316"/>
      <c r="L49" s="1316"/>
      <c r="M49" s="1315"/>
    </row>
    <row r="50" spans="1:29" s="1070" customFormat="1" ht="78.75" x14ac:dyDescent="0.25">
      <c r="A50" s="876"/>
      <c r="B50" s="1885" t="s">
        <v>5596</v>
      </c>
      <c r="C50" s="1885" t="s">
        <v>5597</v>
      </c>
      <c r="D50" s="1885" t="s">
        <v>1789</v>
      </c>
      <c r="E50" s="1885" t="s">
        <v>3369</v>
      </c>
      <c r="F50" s="1885" t="s">
        <v>1791</v>
      </c>
      <c r="G50" s="1886" t="s">
        <v>4383</v>
      </c>
      <c r="J50" s="1315"/>
      <c r="K50" s="1316"/>
      <c r="L50" s="1316"/>
      <c r="M50" s="1315"/>
    </row>
    <row r="51" spans="1:29" s="1070" customFormat="1" ht="15.75" x14ac:dyDescent="0.25">
      <c r="A51" s="2479" t="str">
        <f>IF(SUM(T36:T45)=10,"Работы на сопряжении лавы с транспортной выработкой","")</f>
        <v/>
      </c>
      <c r="B51" s="2487"/>
      <c r="C51" s="2487"/>
      <c r="D51" s="2487"/>
      <c r="E51" s="2487"/>
      <c r="F51" s="2487"/>
      <c r="G51" s="2488"/>
      <c r="J51" s="1315"/>
      <c r="K51" s="1316"/>
      <c r="L51" s="1316"/>
      <c r="M51" s="1315"/>
    </row>
    <row r="52" spans="1:29" s="1070" customFormat="1" ht="15.75" x14ac:dyDescent="0.25">
      <c r="A52" s="2062" t="s">
        <v>6462</v>
      </c>
      <c r="B52" s="3976" t="e">
        <f>B1062</f>
        <v>#VALUE!</v>
      </c>
      <c r="C52" s="876" t="e">
        <f>B52*kursovoy!B1104</f>
        <v>#VALUE!</v>
      </c>
      <c r="D52" s="876"/>
      <c r="E52" s="876"/>
      <c r="F52" s="876"/>
      <c r="G52" s="3977" t="e">
        <f>B1115*kursovoy!$B$1104</f>
        <v>#VALUE!</v>
      </c>
      <c r="I52" s="3119"/>
      <c r="J52" s="1315"/>
      <c r="K52" s="1316"/>
      <c r="L52" s="1316"/>
      <c r="M52" s="1315"/>
    </row>
    <row r="53" spans="1:29" s="1070" customFormat="1" ht="15.75" x14ac:dyDescent="0.25">
      <c r="A53" s="3974" t="str">
        <f>IF(SUM(T36:T45)=10," Крепление в нише (все операции)","")</f>
        <v/>
      </c>
      <c r="C53" s="3975"/>
      <c r="D53" s="3975"/>
      <c r="E53" s="3975"/>
      <c r="F53" s="3975"/>
      <c r="G53" s="3975" t="e">
        <f>(B995+B1049)*kursovoy!$B$1104</f>
        <v>#VALUE!</v>
      </c>
      <c r="I53" s="3119"/>
      <c r="J53" s="1315"/>
      <c r="K53" s="1316"/>
      <c r="L53" s="1316"/>
      <c r="M53" s="1315"/>
    </row>
    <row r="54" spans="1:29" s="1136" customFormat="1" ht="27.75" customHeight="1" x14ac:dyDescent="0.25">
      <c r="A54" s="1392" t="str">
        <f>IF(SUM(T36:T45)=10," Погрузка угля на погрузочном пункте, т","")</f>
        <v/>
      </c>
      <c r="B54" s="3962" t="e">
        <f>B1153</f>
        <v>#VALUE!</v>
      </c>
      <c r="C54" s="1887" t="e">
        <f>B54*kursovoy!B1104</f>
        <v>#VALUE!</v>
      </c>
      <c r="D54" s="1887" t="e">
        <f>B1154</f>
        <v>#VALUE!</v>
      </c>
      <c r="E54" s="1887" t="e">
        <f>F54/D54</f>
        <v>#VALUE!</v>
      </c>
      <c r="F54" s="1887" t="e">
        <f>B1159</f>
        <v>#VALUE!</v>
      </c>
      <c r="G54" s="1888" t="e">
        <f>B1160*kursovoy!$B$1104</f>
        <v>#VALUE!</v>
      </c>
      <c r="I54" s="3119"/>
      <c r="J54" s="1315"/>
      <c r="K54" s="1889"/>
      <c r="L54" s="1316"/>
      <c r="M54" s="1315"/>
    </row>
    <row r="55" spans="1:29" s="1136" customFormat="1" ht="31.5" customHeight="1" x14ac:dyDescent="0.25">
      <c r="A55" s="875" t="e">
        <f>IF(B151=1," Извлечение арочной крепи при погашении выработки, шт","-----")</f>
        <v>#VALUE!</v>
      </c>
      <c r="B55" s="1136" t="e">
        <f>IF(B151=1,B1125,"")</f>
        <v>#VALUE!</v>
      </c>
      <c r="C55" s="1887"/>
      <c r="D55" s="1887" t="e">
        <f>IF(B151=1,B1127,"")</f>
        <v>#VALUE!</v>
      </c>
      <c r="E55" s="1887"/>
      <c r="F55" s="1887" t="e">
        <f>IF(B151=1,B1135,"")</f>
        <v>#VALUE!</v>
      </c>
      <c r="G55" s="1887" t="e">
        <f>IF(B151=1,(B55/F55)*kursovoy!$B$1104,"")</f>
        <v>#VALUE!</v>
      </c>
      <c r="I55" s="3119"/>
      <c r="J55" s="1315"/>
    </row>
    <row r="56" spans="1:29" s="1136" customFormat="1" ht="15.75" x14ac:dyDescent="0.25">
      <c r="A56" s="875" t="e">
        <f>IF(B151=0," Извлечение и установка ножки арочной крепи, шт","-------------")</f>
        <v>#VALUE!</v>
      </c>
      <c r="B56" s="3962" t="e">
        <f>IF(B151=0,B1120,"")</f>
        <v>#VALUE!</v>
      </c>
      <c r="C56" s="1891" t="e">
        <f>B56*kursovoy!B1104</f>
        <v>#VALUE!</v>
      </c>
      <c r="D56" s="1891">
        <f>B1121</f>
        <v>12.8</v>
      </c>
      <c r="E56" s="1892" t="e">
        <f>F56/D56</f>
        <v>#VALUE!</v>
      </c>
      <c r="F56" s="1891" t="e">
        <f>B1122</f>
        <v>#VALUE!</v>
      </c>
      <c r="G56" s="1890" t="e">
        <f>B1123*kursovoy!$B$1104</f>
        <v>#VALUE!</v>
      </c>
      <c r="I56" s="3119"/>
      <c r="J56" s="1315"/>
    </row>
    <row r="57" spans="1:29" s="1136" customFormat="1" ht="15.75" x14ac:dyDescent="0.25">
      <c r="A57" s="1392" t="str">
        <f>IF(SUM(T36:T45)=10," Укорачивание скребкового конвейера, м","")</f>
        <v/>
      </c>
      <c r="B57" s="1136" t="b">
        <f>B149</f>
        <v>0</v>
      </c>
      <c r="C57" s="1887" t="e">
        <f>B57*kursovoy!B1104</f>
        <v>#VALUE!</v>
      </c>
      <c r="D57" s="1887">
        <f>B1142</f>
        <v>4.6399999999999997</v>
      </c>
      <c r="E57" s="1887" t="e">
        <f>F57/D57</f>
        <v>#VALUE!</v>
      </c>
      <c r="F57" s="1887" t="e">
        <f>B1144</f>
        <v>#VALUE!</v>
      </c>
      <c r="G57" s="1887" t="e">
        <f>B1145*kursovoy!$B$1104</f>
        <v>#VALUE!</v>
      </c>
      <c r="I57" s="3119"/>
      <c r="J57" s="1315"/>
    </row>
    <row r="58" spans="1:29" s="1136" customFormat="1" ht="15.75" x14ac:dyDescent="0.25">
      <c r="A58" s="1392" t="str">
        <f>IF(SUM(T36:T45)=10," Установка крепи усиления в выработке, шт","")</f>
        <v/>
      </c>
      <c r="B58" s="3962">
        <f>B1147</f>
        <v>0</v>
      </c>
      <c r="C58" s="1887" t="e">
        <f>B58*kursovoy!B1104</f>
        <v>#VALUE!</v>
      </c>
      <c r="D58" s="1887">
        <f>B1148</f>
        <v>18.899999999999999</v>
      </c>
      <c r="E58" s="1887" t="e">
        <f>F58/D58</f>
        <v>#VALUE!</v>
      </c>
      <c r="F58" s="1887" t="e">
        <f>B1150</f>
        <v>#VALUE!</v>
      </c>
      <c r="G58" s="1887" t="e">
        <f>B1151*kursovoy!$B$1104</f>
        <v>#VALUE!</v>
      </c>
      <c r="I58" s="3119"/>
      <c r="J58" s="1315"/>
    </row>
    <row r="59" spans="1:29" s="1136" customFormat="1" ht="15.75" x14ac:dyDescent="0.25">
      <c r="A59" s="1392" t="s">
        <v>4386</v>
      </c>
      <c r="B59" s="3961" t="b">
        <f>B149</f>
        <v>0</v>
      </c>
      <c r="C59" s="1136" t="e">
        <f>B59*kursovoy!B1104</f>
        <v>#VALUE!</v>
      </c>
      <c r="D59" s="1893"/>
      <c r="E59" s="1893"/>
      <c r="F59" s="1893"/>
      <c r="G59" s="3963" t="e">
        <f>INDEX(охр!B70:B78,kursovoy!B1180)*kursovoy!$B$508*kursovoy!$B$1104</f>
        <v>#VALUE!</v>
      </c>
      <c r="I59" s="3966"/>
      <c r="J59" s="1315"/>
      <c r="K59" s="1894"/>
    </row>
    <row r="60" spans="1:29" s="1136" customFormat="1" ht="18.75" customHeight="1" x14ac:dyDescent="0.3">
      <c r="A60" s="1090" t="str">
        <f>IF(SUM(T36:T45)=10,"Всего за сутки","")</f>
        <v/>
      </c>
      <c r="B60" s="1893"/>
      <c r="C60" s="1893"/>
      <c r="D60" s="1893"/>
      <c r="E60" s="1893"/>
      <c r="F60" s="1893"/>
      <c r="G60" s="1897" t="e">
        <f>SUM(G53:G59)</f>
        <v>#VALUE!</v>
      </c>
      <c r="I60" s="3967"/>
      <c r="J60" s="1315"/>
      <c r="K60" s="1896"/>
    </row>
    <row r="61" spans="1:29" s="1136" customFormat="1" ht="18.75" x14ac:dyDescent="0.3">
      <c r="A61" s="2479" t="str">
        <f>IF(SUM(T36:T45)=10,"Работы на сопряжении лавы с вентиляционной  выработкой",A60)</f>
        <v/>
      </c>
      <c r="B61" s="2489"/>
      <c r="C61" s="2489"/>
      <c r="D61" s="2489"/>
      <c r="E61" s="2489"/>
      <c r="F61" s="2489"/>
      <c r="G61" s="3932"/>
      <c r="I61" s="3967"/>
      <c r="J61" s="1315"/>
      <c r="K61" s="1896"/>
    </row>
    <row r="62" spans="1:29" s="1136" customFormat="1" ht="18.75" x14ac:dyDescent="0.3">
      <c r="A62" s="3960" t="s">
        <v>6462</v>
      </c>
      <c r="B62" s="3964" t="e">
        <f>B1712</f>
        <v>#VALUE!</v>
      </c>
      <c r="C62" s="2489" t="e">
        <f>B62*kursovoy!B1104</f>
        <v>#VALUE!</v>
      </c>
      <c r="D62" s="2489"/>
      <c r="E62" s="2489"/>
      <c r="F62" s="2489"/>
      <c r="G62" s="3965" t="e">
        <f>B1770*kursovoy!$B$1104</f>
        <v>#VALUE!</v>
      </c>
      <c r="I62" s="3967"/>
      <c r="J62" s="1315"/>
      <c r="K62" s="1896"/>
    </row>
    <row r="63" spans="1:29" s="1136" customFormat="1" ht="18.75" x14ac:dyDescent="0.3">
      <c r="A63" s="1392" t="s">
        <v>4385</v>
      </c>
      <c r="B63" s="1887"/>
      <c r="C63" s="1887"/>
      <c r="D63" s="1887"/>
      <c r="E63" s="1887"/>
      <c r="F63" s="1887"/>
      <c r="G63" s="1887" t="e">
        <f>B1707*kursovoy!$B$1104</f>
        <v>#VALUE!</v>
      </c>
      <c r="I63" s="3119"/>
      <c r="J63" s="1315"/>
      <c r="K63" s="1896"/>
      <c r="S63" s="1898"/>
      <c r="T63" s="1899"/>
      <c r="U63" s="1899"/>
      <c r="V63" s="1899"/>
      <c r="W63" s="1899"/>
      <c r="X63" s="1899"/>
      <c r="Y63" s="1899"/>
      <c r="Z63" s="1899"/>
      <c r="AA63" s="1899"/>
      <c r="AB63" s="1899"/>
      <c r="AC63" s="1899"/>
    </row>
    <row r="64" spans="1:29" s="1136" customFormat="1" ht="18.75" x14ac:dyDescent="0.3">
      <c r="A64" s="1392" t="e">
        <f>IF(B152=1,"Извлечение арочной крепи, шт","")</f>
        <v>#VALUE!</v>
      </c>
      <c r="B64" s="1887" t="e">
        <f>IF(B152=1,B1780,"")</f>
        <v>#VALUE!</v>
      </c>
      <c r="C64" s="1887" t="e">
        <f>IF(A64="","",B64*kursovoy!B1104)</f>
        <v>#VALUE!</v>
      </c>
      <c r="D64" s="1887" t="e">
        <f>IF(B152=1,B1785,"")</f>
        <v>#VALUE!</v>
      </c>
      <c r="E64" s="1887" t="e">
        <f>IF(A64="","",F64/D64)</f>
        <v>#VALUE!</v>
      </c>
      <c r="F64" s="1887" t="e">
        <f>IF(B152=1,B1790,"")</f>
        <v>#VALUE!</v>
      </c>
      <c r="G64" s="1887" t="e">
        <f>IF(A64="","",IF(B152=1,B1792,"")*kursovoy!$B$1104)</f>
        <v>#VALUE!</v>
      </c>
      <c r="H64" s="1070"/>
      <c r="I64" s="3119"/>
      <c r="J64" s="1315"/>
      <c r="K64" s="1896"/>
      <c r="P64" s="1645"/>
    </row>
    <row r="65" spans="1:16" s="1136" customFormat="1" ht="18.75" x14ac:dyDescent="0.3">
      <c r="A65" s="881" t="e">
        <f>IF(B152=1,"---------",IF(B154&gt;0, "Извлечение и установка ножки арочной крепи, шт","------"))</f>
        <v>#VALUE!</v>
      </c>
      <c r="B65" s="1887" t="e">
        <f>IF(B152=1,"",B1775)</f>
        <v>#VALUE!</v>
      </c>
      <c r="C65" s="1887"/>
      <c r="D65" s="1887" t="e">
        <f>IF(B152=1,"",B1776)</f>
        <v>#VALUE!</v>
      </c>
      <c r="E65" s="1887" t="e">
        <f>IF(B152=1,"",F65/D65)</f>
        <v>#VALUE!</v>
      </c>
      <c r="F65" s="1887" t="e">
        <f>IF(B152=1,"",B1777)</f>
        <v>#VALUE!</v>
      </c>
      <c r="G65" s="1887" t="e">
        <f>IF(B152=1,0,B65/F65)*kursovoy!$B$1104</f>
        <v>#VALUE!</v>
      </c>
      <c r="H65" s="1070"/>
      <c r="I65" s="3119"/>
      <c r="J65" s="1315"/>
      <c r="K65" s="1896"/>
      <c r="P65" s="1645"/>
    </row>
    <row r="66" spans="1:16" s="1136" customFormat="1" ht="18.75" x14ac:dyDescent="0.3">
      <c r="A66" s="1392" t="s">
        <v>4384</v>
      </c>
      <c r="B66" s="1887">
        <f>B1795</f>
        <v>0</v>
      </c>
      <c r="C66" s="1887" t="e">
        <f>B66*kursovoy!B1104</f>
        <v>#VALUE!</v>
      </c>
      <c r="D66" s="1887" t="e">
        <f>IF(B152=1,"",B1796)</f>
        <v>#VALUE!</v>
      </c>
      <c r="E66" s="1887"/>
      <c r="F66" s="1887" t="e">
        <f>B1798</f>
        <v>#VALUE!</v>
      </c>
      <c r="G66" s="1887" t="e">
        <f>B1799*kursovoy!$B$1104</f>
        <v>#VALUE!</v>
      </c>
      <c r="I66" s="3119"/>
      <c r="J66" s="1315"/>
      <c r="K66" s="1896"/>
    </row>
    <row r="67" spans="1:16" s="1136" customFormat="1" ht="18.75" x14ac:dyDescent="0.3">
      <c r="A67" s="1392" t="s">
        <v>4386</v>
      </c>
      <c r="B67" s="1900" t="b">
        <f>B59</f>
        <v>0</v>
      </c>
      <c r="C67" s="1900" t="e">
        <f>B67*kursovoy!B1104</f>
        <v>#VALUE!</v>
      </c>
      <c r="D67" s="1900"/>
      <c r="E67" s="1900"/>
      <c r="F67" s="1900"/>
      <c r="G67" s="1901" t="e">
        <f>INDEX(охр!B70:B78,kursovoy!$B$1195)*kursovoy!$B$1104</f>
        <v>#VALUE!</v>
      </c>
      <c r="I67" s="3119"/>
      <c r="J67" s="1315"/>
      <c r="K67" s="1896"/>
      <c r="M67" s="1905"/>
    </row>
    <row r="68" spans="1:16" s="1136" customFormat="1" ht="18.75" x14ac:dyDescent="0.3">
      <c r="A68" s="1906" t="str">
        <f>IF(SUM(T36:T45)=10,"Всего за сутки","")</f>
        <v/>
      </c>
      <c r="B68" s="1907"/>
      <c r="C68" s="1907"/>
      <c r="D68" s="1907"/>
      <c r="E68" s="1907"/>
      <c r="F68" s="1907"/>
      <c r="G68" s="1908" t="e">
        <f>SUM(G63:G67)</f>
        <v>#VALUE!</v>
      </c>
      <c r="I68" s="3967"/>
      <c r="J68" s="1315"/>
      <c r="K68" s="1896"/>
      <c r="M68" s="1905"/>
    </row>
    <row r="69" spans="1:16" s="1136" customFormat="1" ht="20.25" customHeight="1" x14ac:dyDescent="0.3">
      <c r="A69" s="1909" t="str">
        <f>IF(SUM(T36:T45)=10,"Итого трудоемкость работ на концевых участках","")</f>
        <v/>
      </c>
      <c r="B69" s="1893"/>
      <c r="C69" s="1893"/>
      <c r="D69" s="1893"/>
      <c r="E69" s="1893"/>
      <c r="F69" s="1910"/>
      <c r="G69" s="1897" t="e">
        <f>G60+G68</f>
        <v>#VALUE!</v>
      </c>
      <c r="I69" s="3967"/>
      <c r="J69" s="1315"/>
      <c r="K69" s="1896"/>
      <c r="M69" s="1905"/>
    </row>
    <row r="70" spans="1:16" s="1136" customFormat="1" ht="15.75" x14ac:dyDescent="0.25">
      <c r="A70" s="2490" t="str">
        <f>IF(SUM(T36:T45)=10,"Работы в центральной части лавы","")</f>
        <v/>
      </c>
      <c r="B70" s="2491"/>
      <c r="C70" s="2491"/>
      <c r="D70" s="2491"/>
      <c r="E70" s="2491"/>
      <c r="F70" s="2491"/>
      <c r="G70" s="3931"/>
      <c r="J70" s="1315"/>
      <c r="M70" s="1905"/>
    </row>
    <row r="71" spans="1:16" s="1136" customFormat="1" ht="15.75" x14ac:dyDescent="0.25">
      <c r="A71" s="875" t="s">
        <v>6470</v>
      </c>
      <c r="B71" s="1887" t="e">
        <f>B375</f>
        <v>#VALUE!</v>
      </c>
      <c r="C71" s="1887" t="e">
        <f>B71*kursovoy!B1104</f>
        <v>#VALUE!</v>
      </c>
      <c r="D71" s="1887" t="e">
        <f>B402</f>
        <v>#VALUE!</v>
      </c>
      <c r="E71" s="1887" t="e">
        <f>F71/D71</f>
        <v>#VALUE!</v>
      </c>
      <c r="F71" s="1887" t="e">
        <f>B413</f>
        <v>#VALUE!</v>
      </c>
      <c r="G71" s="1911" t="e">
        <f>B414*kursovoy!$B$1104</f>
        <v>#VALUE!</v>
      </c>
      <c r="J71" s="1315"/>
      <c r="K71" s="1912"/>
      <c r="L71" s="1316"/>
      <c r="M71" s="1315"/>
    </row>
    <row r="72" spans="1:16" s="1136" customFormat="1" ht="15.75" x14ac:dyDescent="0.25">
      <c r="A72" s="875" t="s">
        <v>4387</v>
      </c>
      <c r="B72" s="1887"/>
      <c r="C72" s="1887"/>
      <c r="D72" s="1887"/>
      <c r="E72" s="1887"/>
      <c r="F72" s="1887"/>
      <c r="G72" s="1911">
        <f>G77</f>
        <v>2</v>
      </c>
      <c r="J72" s="1315"/>
      <c r="K72" s="1912"/>
      <c r="L72" s="1316"/>
      <c r="M72" s="1315"/>
    </row>
    <row r="73" spans="1:16" s="1136" customFormat="1" ht="15.75" x14ac:dyDescent="0.25">
      <c r="A73" s="875" t="s">
        <v>4388</v>
      </c>
      <c r="B73" s="1887"/>
      <c r="C73" s="1887"/>
      <c r="D73" s="1887"/>
      <c r="E73" s="1887"/>
      <c r="F73" s="1887"/>
      <c r="G73" s="1911" t="e">
        <f>G71-G72</f>
        <v>#VALUE!</v>
      </c>
      <c r="J73" s="1315"/>
      <c r="K73" s="1912"/>
      <c r="L73" s="1316"/>
      <c r="M73" s="1315"/>
    </row>
    <row r="74" spans="1:16" s="1136" customFormat="1" ht="15.75" x14ac:dyDescent="0.25">
      <c r="A74" s="875" t="s">
        <v>6471</v>
      </c>
      <c r="B74" s="1887" t="e">
        <f>B375</f>
        <v>#VALUE!</v>
      </c>
      <c r="C74" s="1887" t="e">
        <f>B74*kursovoy!B1104</f>
        <v>#VALUE!</v>
      </c>
      <c r="D74" s="1887">
        <f>B420</f>
        <v>223</v>
      </c>
      <c r="E74" s="1887" t="e">
        <f>F74/D74</f>
        <v>#VALUE!</v>
      </c>
      <c r="F74" s="1887" t="e">
        <f>B426</f>
        <v>#VALUE!</v>
      </c>
      <c r="G74" s="1911" t="e">
        <f>(B74/F74)*kursovoy!$B$1104</f>
        <v>#VALUE!</v>
      </c>
      <c r="J74" s="1315"/>
      <c r="K74" s="1912"/>
      <c r="L74" s="1316"/>
      <c r="M74" s="1315"/>
    </row>
    <row r="75" spans="1:16" s="1136" customFormat="1" ht="15.75" x14ac:dyDescent="0.25">
      <c r="A75" s="875" t="s">
        <v>6472</v>
      </c>
      <c r="B75" s="1887"/>
      <c r="C75" s="1887"/>
      <c r="D75" s="1887"/>
      <c r="E75" s="1887"/>
      <c r="F75" s="1887"/>
      <c r="G75" s="1911" t="e">
        <f>B468*kursovoy!$B$1104</f>
        <v>#VALUE!</v>
      </c>
      <c r="J75" s="1315"/>
      <c r="K75" s="1912"/>
      <c r="L75" s="1316"/>
      <c r="M75" s="1315"/>
    </row>
    <row r="76" spans="1:16" s="1136" customFormat="1" ht="15.75" x14ac:dyDescent="0.25">
      <c r="A76" s="875" t="s">
        <v>6473</v>
      </c>
      <c r="B76" s="1887"/>
      <c r="C76" s="1887"/>
      <c r="D76" s="1887"/>
      <c r="E76" s="1887"/>
      <c r="F76" s="1887"/>
      <c r="G76" s="1911" t="e">
        <f>B484*kursovoy!$B$1104</f>
        <v>#VALUE!</v>
      </c>
      <c r="J76" s="1315"/>
      <c r="K76" s="1912"/>
      <c r="L76" s="1316"/>
      <c r="M76" s="1315"/>
    </row>
    <row r="77" spans="1:16" s="1136" customFormat="1" ht="15.75" x14ac:dyDescent="0.25">
      <c r="A77" s="1392" t="s">
        <v>2026</v>
      </c>
      <c r="B77" s="1887"/>
      <c r="C77" s="1887"/>
      <c r="D77" s="1887"/>
      <c r="E77" s="1887"/>
      <c r="F77" s="1887"/>
      <c r="G77" s="1911">
        <f>B350</f>
        <v>2</v>
      </c>
      <c r="J77" s="1315"/>
      <c r="K77" s="1912"/>
      <c r="L77" s="1316"/>
      <c r="M77" s="1315"/>
    </row>
    <row r="78" spans="1:16" s="1136" customFormat="1" ht="15.75" x14ac:dyDescent="0.25">
      <c r="A78" s="1913" t="str">
        <f>IF(SUM(T36:T45)=10,"Всего  центральная часть лавы","")</f>
        <v/>
      </c>
      <c r="B78" s="1887"/>
      <c r="C78" s="1887"/>
      <c r="D78" s="1887"/>
      <c r="E78" s="1887"/>
      <c r="F78" s="1887"/>
      <c r="G78" s="1887" t="e">
        <f>G71+G74+G75+G76+G77</f>
        <v>#VALUE!</v>
      </c>
      <c r="J78" s="1315"/>
      <c r="K78" s="1316"/>
      <c r="L78" s="1316"/>
      <c r="M78" s="1315"/>
    </row>
    <row r="79" spans="1:16" s="1136" customFormat="1" ht="15.75" x14ac:dyDescent="0.25">
      <c r="A79" s="1392" t="s">
        <v>2024</v>
      </c>
      <c r="B79" s="1887"/>
      <c r="C79" s="1887"/>
      <c r="D79" s="1887"/>
      <c r="E79" s="1887"/>
      <c r="F79" s="1887"/>
      <c r="G79" s="1887">
        <f>G72</f>
        <v>2</v>
      </c>
      <c r="J79" s="1315"/>
      <c r="K79" s="1316"/>
      <c r="L79" s="1316"/>
      <c r="M79" s="1315"/>
    </row>
    <row r="80" spans="1:16" s="1136" customFormat="1" ht="15.75" x14ac:dyDescent="0.25">
      <c r="A80" s="1392" t="s">
        <v>2025</v>
      </c>
      <c r="B80" s="1887"/>
      <c r="C80" s="1887"/>
      <c r="D80" s="1887"/>
      <c r="E80" s="1887"/>
      <c r="F80" s="1887"/>
      <c r="G80" s="1887" t="e">
        <f>G73+G74+G75+G76-G79-G81</f>
        <v>#VALUE!</v>
      </c>
      <c r="J80" s="1315"/>
      <c r="K80" s="1316"/>
      <c r="L80" s="1316"/>
      <c r="M80" s="1315"/>
    </row>
    <row r="81" spans="1:13" s="1136" customFormat="1" ht="15.75" x14ac:dyDescent="0.25">
      <c r="A81" s="1136" t="s">
        <v>2026</v>
      </c>
      <c r="B81" s="1893"/>
      <c r="C81" s="1893"/>
      <c r="D81" s="1893"/>
      <c r="E81" s="1893"/>
      <c r="F81" s="1910"/>
      <c r="G81" s="1897">
        <f>G77</f>
        <v>2</v>
      </c>
      <c r="J81" s="1315"/>
      <c r="K81" s="1316"/>
      <c r="L81" s="1316"/>
      <c r="M81" s="1315"/>
    </row>
    <row r="82" spans="1:13" s="1136" customFormat="1" ht="15.75" x14ac:dyDescent="0.25">
      <c r="A82" s="2490" t="str">
        <f>IF(SUM(T36:T45)=10,"Работа в ремонтную смену","")</f>
        <v/>
      </c>
      <c r="B82" s="2489"/>
      <c r="C82" s="2489"/>
      <c r="D82" s="2489"/>
      <c r="E82" s="2489"/>
      <c r="F82" s="2489"/>
      <c r="G82" s="3932"/>
      <c r="J82" s="1315"/>
      <c r="K82" s="1316"/>
      <c r="L82" s="1316"/>
      <c r="M82" s="1315"/>
    </row>
    <row r="83" spans="1:13" s="1136" customFormat="1" ht="15.75" x14ac:dyDescent="0.25">
      <c r="A83" s="1914" t="s">
        <v>2027</v>
      </c>
      <c r="B83" s="1887"/>
      <c r="C83" s="1887"/>
      <c r="D83" s="1887"/>
      <c r="E83" s="1887"/>
      <c r="F83" s="1887"/>
      <c r="G83" s="1887">
        <v>1</v>
      </c>
      <c r="H83" s="3119"/>
      <c r="J83" s="1315"/>
      <c r="K83" s="1316"/>
      <c r="L83" s="1316"/>
      <c r="M83" s="1315"/>
    </row>
    <row r="84" spans="1:13" s="1136" customFormat="1" ht="31.5" x14ac:dyDescent="0.25">
      <c r="A84" s="1915" t="s">
        <v>6469</v>
      </c>
      <c r="B84" s="1887"/>
      <c r="C84" s="1887"/>
      <c r="D84" s="1887"/>
      <c r="E84" s="1887"/>
      <c r="F84" s="1887"/>
      <c r="G84" s="1887">
        <v>4</v>
      </c>
      <c r="H84" s="3119"/>
      <c r="J84" s="1315"/>
      <c r="K84" s="1316"/>
      <c r="L84" s="1316"/>
      <c r="M84" s="1315"/>
    </row>
    <row r="85" spans="1:13" s="1136" customFormat="1" ht="15.75" x14ac:dyDescent="0.25">
      <c r="A85" s="1914" t="s">
        <v>2029</v>
      </c>
      <c r="B85" s="1887"/>
      <c r="C85" s="1887"/>
      <c r="D85" s="1887"/>
      <c r="E85" s="1887"/>
      <c r="F85" s="1887"/>
      <c r="G85" s="1887" t="e">
        <f>B662</f>
        <v>#VALUE!</v>
      </c>
      <c r="H85" s="3119"/>
      <c r="J85" s="1315"/>
      <c r="K85" s="1316"/>
      <c r="L85" s="1316"/>
      <c r="M85" s="1315"/>
    </row>
    <row r="86" spans="1:13" s="1136" customFormat="1" ht="20.25" x14ac:dyDescent="0.3">
      <c r="A86" s="1392" t="str">
        <f>IF(B164=1," Бурение скважин по лаве  для увлажнения угля, м","")</f>
        <v/>
      </c>
      <c r="B86" s="1327" t="str">
        <f>IF(B164=1,B487,"")</f>
        <v/>
      </c>
      <c r="C86" s="1887"/>
      <c r="D86" s="1887" t="str">
        <f>IF(B164=1,B488,"")</f>
        <v/>
      </c>
      <c r="E86" s="1887"/>
      <c r="F86" s="1887" t="str">
        <f>IF(B164=1,B488,"")</f>
        <v/>
      </c>
      <c r="G86" s="1887">
        <f>IF(B164=1,(B86/F86)*kursovoy!$B$1104,0)</f>
        <v>0</v>
      </c>
      <c r="H86" s="3119"/>
      <c r="J86" s="1315"/>
      <c r="K86" s="1316"/>
      <c r="L86" s="1916"/>
      <c r="M86" s="1315"/>
    </row>
    <row r="87" spans="1:13" s="1136" customFormat="1" ht="15.75" x14ac:dyDescent="0.25">
      <c r="A87" s="1917" t="s">
        <v>5302</v>
      </c>
      <c r="B87" s="1887" t="e">
        <f>B2189</f>
        <v>#VALUE!</v>
      </c>
      <c r="C87" s="1887" t="e">
        <f>B87*kursovoy!B1104</f>
        <v>#VALUE!</v>
      </c>
      <c r="D87" s="1887"/>
      <c r="E87" s="1887"/>
      <c r="F87" s="1887"/>
      <c r="G87" s="1887" t="e">
        <f>B87*kursovoy!$B$1104</f>
        <v>#VALUE!</v>
      </c>
      <c r="H87" s="3119"/>
      <c r="J87" s="1315"/>
      <c r="K87" s="1316"/>
      <c r="L87" s="1316"/>
      <c r="M87" s="1315"/>
    </row>
    <row r="88" spans="1:13" s="1136" customFormat="1" ht="15.75" x14ac:dyDescent="0.25">
      <c r="A88" s="3933" t="str">
        <f>IF(SUM(T36:T45)=10,"Всего в ремонтную смену","")</f>
        <v/>
      </c>
      <c r="B88" s="1918"/>
      <c r="C88" s="1918"/>
      <c r="D88" s="1918"/>
      <c r="E88" s="1918"/>
      <c r="F88" s="1919"/>
      <c r="G88" s="1920" t="e">
        <f>G83+G84+G85+G86+G87</f>
        <v>#VALUE!</v>
      </c>
      <c r="J88" s="1315"/>
      <c r="K88" s="1316"/>
      <c r="L88" s="1316"/>
      <c r="M88" s="1315"/>
    </row>
    <row r="89" spans="1:13" s="1136" customFormat="1" ht="15.75" x14ac:dyDescent="0.25">
      <c r="A89" s="3933" t="str">
        <f>IF(SUM(T36:T45)=10,"Всего за сутки","")</f>
        <v/>
      </c>
      <c r="B89" s="1921"/>
      <c r="C89" s="1921"/>
      <c r="D89" s="1921"/>
      <c r="E89" s="1921"/>
      <c r="F89" s="1922"/>
      <c r="G89" s="1920" t="e">
        <f>G60+G68+G78+G88</f>
        <v>#VALUE!</v>
      </c>
      <c r="J89" s="1315"/>
      <c r="K89" s="1316"/>
      <c r="L89" s="1316"/>
      <c r="M89" s="1315"/>
    </row>
    <row r="90" spans="1:13" s="1136" customFormat="1" ht="15.75" x14ac:dyDescent="0.25">
      <c r="A90" s="876" t="str">
        <f>IF(SUM(T36:T45)=10,"Призводительность труда рабочего очистного забоя согласно нормам выработки, т/выход","")</f>
        <v/>
      </c>
      <c r="B90" s="832"/>
      <c r="C90" s="832"/>
      <c r="D90" s="832"/>
      <c r="E90" s="832"/>
      <c r="F90" s="832"/>
      <c r="G90" s="1923" t="e">
        <f>B71/G89</f>
        <v>#VALUE!</v>
      </c>
      <c r="J90" s="1315"/>
      <c r="K90" s="1316"/>
      <c r="L90" s="1316"/>
      <c r="M90" s="1315"/>
    </row>
    <row r="91" spans="1:13" s="1136" customFormat="1" ht="15.75" x14ac:dyDescent="0.2">
      <c r="C91" s="1384"/>
      <c r="D91" s="1384"/>
      <c r="E91" s="1384"/>
      <c r="F91" s="1384"/>
      <c r="G91" s="1384"/>
      <c r="J91" s="1315"/>
      <c r="K91" s="1316"/>
      <c r="L91" s="1316"/>
      <c r="M91" s="1315"/>
    </row>
    <row r="92" spans="1:13" s="1136" customFormat="1" ht="15.75" x14ac:dyDescent="0.2">
      <c r="C92" s="1384"/>
      <c r="D92" s="1384"/>
      <c r="E92" s="1384"/>
      <c r="F92" s="1384"/>
      <c r="G92" s="1384"/>
      <c r="J92" s="1315"/>
      <c r="K92" s="1316"/>
      <c r="L92" s="1316"/>
      <c r="M92" s="1315"/>
    </row>
    <row r="93" spans="1:13" s="1136" customFormat="1" ht="15.75" x14ac:dyDescent="0.2">
      <c r="C93" s="1384"/>
      <c r="D93" s="1384"/>
      <c r="E93" s="1384"/>
      <c r="F93" s="1384"/>
      <c r="G93" s="1384"/>
      <c r="J93" s="1315"/>
      <c r="K93" s="1316"/>
      <c r="L93" s="1316"/>
      <c r="M93" s="1315"/>
    </row>
    <row r="94" spans="1:13" s="1136" customFormat="1" ht="19.5" x14ac:dyDescent="0.35">
      <c r="B94" s="2370"/>
      <c r="C94" s="1384"/>
      <c r="D94" s="1384"/>
      <c r="E94" s="1384"/>
      <c r="F94" s="1384"/>
      <c r="G94" s="1384"/>
      <c r="J94" s="1315"/>
      <c r="K94" s="1316"/>
      <c r="L94" s="1316"/>
      <c r="M94" s="1315"/>
    </row>
    <row r="95" spans="1:13" s="1136" customFormat="1" ht="15.75" x14ac:dyDescent="0.2">
      <c r="A95" s="2428" t="s">
        <v>3771</v>
      </c>
      <c r="C95" s="1070"/>
      <c r="D95" s="1070"/>
      <c r="E95" s="1070"/>
      <c r="F95" s="1070"/>
      <c r="G95" s="1070"/>
      <c r="J95" s="1315"/>
      <c r="K95" s="1316"/>
      <c r="L95" s="1316"/>
      <c r="M95" s="1315"/>
    </row>
    <row r="96" spans="1:13" s="1136" customFormat="1" ht="15.75" x14ac:dyDescent="0.2">
      <c r="A96" s="2428"/>
      <c r="C96" s="1384"/>
      <c r="D96" s="1384"/>
      <c r="E96" s="1384"/>
      <c r="F96" s="1384"/>
      <c r="G96" s="1384"/>
      <c r="J96" s="1315"/>
      <c r="K96" s="1316"/>
      <c r="L96" s="1316"/>
      <c r="M96" s="1315"/>
    </row>
    <row r="97" spans="1:113" s="8" customFormat="1" ht="17.25" customHeight="1" x14ac:dyDescent="0.25">
      <c r="A97" s="3934"/>
      <c r="B97" s="3930"/>
      <c r="C97" s="3930"/>
      <c r="D97" s="3930"/>
      <c r="E97" s="3930"/>
      <c r="F97" s="3930"/>
      <c r="G97" s="3930"/>
      <c r="H97" s="3930"/>
      <c r="I97" s="2369"/>
      <c r="J97"/>
      <c r="K97"/>
      <c r="L97"/>
      <c r="M97"/>
      <c r="N97"/>
      <c r="O97"/>
      <c r="P97"/>
      <c r="Q97"/>
      <c r="R97"/>
      <c r="S97"/>
      <c r="T97" s="322"/>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row>
    <row r="98" spans="1:113" s="8" customFormat="1" ht="17.25" customHeight="1" x14ac:dyDescent="0.25">
      <c r="A98" s="3934"/>
      <c r="B98" s="3930"/>
      <c r="C98" s="3930"/>
      <c r="D98" s="3930"/>
      <c r="E98" s="3930"/>
      <c r="F98" s="3930"/>
      <c r="G98" s="3930"/>
      <c r="H98" s="3930"/>
      <c r="I98" s="2369"/>
      <c r="J98"/>
      <c r="K98"/>
      <c r="L98"/>
      <c r="M98"/>
      <c r="N98"/>
      <c r="O98"/>
      <c r="P98"/>
      <c r="Q98"/>
      <c r="R98"/>
      <c r="S98"/>
      <c r="T98" s="322"/>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row>
    <row r="99" spans="1:113" s="8" customFormat="1" ht="17.25" customHeight="1" x14ac:dyDescent="0.25">
      <c r="A99" s="3934"/>
      <c r="B99" s="3930"/>
      <c r="C99" s="3930"/>
      <c r="D99" s="3930"/>
      <c r="E99" s="3930"/>
      <c r="F99" s="3930"/>
      <c r="G99" s="3930"/>
      <c r="H99" s="2056"/>
      <c r="I99" s="2369"/>
      <c r="J99"/>
      <c r="K99"/>
      <c r="L99"/>
      <c r="M99"/>
      <c r="N99"/>
      <c r="O99"/>
      <c r="P99"/>
      <c r="Q99"/>
      <c r="R99"/>
      <c r="S99"/>
      <c r="T99" s="322"/>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row>
    <row r="100" spans="1:113" s="8" customFormat="1" ht="17.25" customHeight="1" x14ac:dyDescent="0.25">
      <c r="A100" s="3934"/>
      <c r="B100" s="3930"/>
      <c r="C100" s="3930"/>
      <c r="D100" s="3930"/>
      <c r="E100" s="3930"/>
      <c r="F100" s="3930"/>
      <c r="G100" s="3930"/>
      <c r="H100" s="3930"/>
      <c r="I100" s="2369"/>
      <c r="J100"/>
      <c r="K100"/>
      <c r="L100"/>
      <c r="M100"/>
      <c r="N100"/>
      <c r="O100"/>
      <c r="P100"/>
      <c r="Q100"/>
      <c r="R100"/>
      <c r="S100"/>
      <c r="T100" s="322"/>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row>
    <row r="101" spans="1:113" s="8" customFormat="1" ht="17.25" customHeight="1" x14ac:dyDescent="0.25">
      <c r="A101" s="3934"/>
      <c r="B101" s="3930"/>
      <c r="C101" s="3930"/>
      <c r="D101" s="3930"/>
      <c r="E101" s="3930"/>
      <c r="F101" s="3930"/>
      <c r="G101" s="3930"/>
      <c r="H101" s="3930"/>
      <c r="I101" s="2369"/>
      <c r="J101"/>
      <c r="K101"/>
      <c r="L101"/>
      <c r="M101"/>
      <c r="N101"/>
      <c r="O101"/>
      <c r="P101"/>
      <c r="Q101"/>
      <c r="R101"/>
      <c r="S101"/>
      <c r="T101" s="322"/>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row>
    <row r="102" spans="1:113" s="8" customFormat="1" ht="17.25" customHeight="1" x14ac:dyDescent="0.25">
      <c r="A102" s="3934"/>
      <c r="B102" s="3930"/>
      <c r="C102" s="3930"/>
      <c r="D102" s="3930"/>
      <c r="E102" s="3930"/>
      <c r="F102" s="3930"/>
      <c r="G102" s="3930"/>
      <c r="H102" s="3930"/>
      <c r="I102" s="2369"/>
      <c r="J102"/>
      <c r="K102"/>
      <c r="L102"/>
      <c r="M102"/>
      <c r="N102"/>
      <c r="O102"/>
      <c r="P102"/>
      <c r="Q102"/>
      <c r="R102"/>
      <c r="S102"/>
      <c r="T102" s="32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row>
    <row r="103" spans="1:113" s="8" customFormat="1" ht="17.25" customHeight="1" x14ac:dyDescent="0.25">
      <c r="A103" s="3934"/>
      <c r="B103" s="3930"/>
      <c r="C103" s="3930"/>
      <c r="D103" s="3930"/>
      <c r="E103" s="3930"/>
      <c r="F103" s="3930"/>
      <c r="G103" s="3930"/>
      <c r="H103" s="3930"/>
      <c r="I103" s="2369"/>
      <c r="J103"/>
      <c r="K103"/>
      <c r="L103"/>
      <c r="M103"/>
      <c r="N103"/>
      <c r="O103"/>
      <c r="P103"/>
      <c r="Q103"/>
      <c r="R103"/>
      <c r="S103"/>
      <c r="T103" s="322"/>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row>
    <row r="104" spans="1:113" s="8" customFormat="1" ht="17.25" customHeight="1" x14ac:dyDescent="0.25">
      <c r="A104" s="3934"/>
      <c r="B104" s="3930"/>
      <c r="C104" s="3930"/>
      <c r="D104" s="3930"/>
      <c r="E104" s="3930"/>
      <c r="F104" s="3930"/>
      <c r="G104" s="3930"/>
      <c r="H104" s="3930"/>
      <c r="I104" s="2369"/>
      <c r="J104"/>
      <c r="K104"/>
      <c r="L104"/>
      <c r="M104"/>
      <c r="N104"/>
      <c r="O104"/>
      <c r="P104"/>
      <c r="Q104"/>
      <c r="R104"/>
      <c r="S104"/>
      <c r="T104" s="322"/>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row>
    <row r="105" spans="1:113" s="8" customFormat="1" ht="17.25" customHeight="1" x14ac:dyDescent="0.25">
      <c r="A105" s="3934"/>
      <c r="B105" s="3930"/>
      <c r="C105" s="3930"/>
      <c r="D105" s="3930"/>
      <c r="E105" s="3930"/>
      <c r="F105" s="3930"/>
      <c r="G105" s="3930"/>
      <c r="H105" s="3930"/>
      <c r="I105" s="2369"/>
      <c r="J105"/>
      <c r="K105"/>
      <c r="L105"/>
      <c r="M105"/>
      <c r="N105"/>
      <c r="O105"/>
      <c r="P105"/>
      <c r="Q105"/>
      <c r="R105"/>
      <c r="S105"/>
      <c r="T105" s="322"/>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row>
    <row r="106" spans="1:113" s="8" customFormat="1" ht="17.25" customHeight="1" x14ac:dyDescent="0.25">
      <c r="A106" s="3934"/>
      <c r="B106" s="3930"/>
      <c r="C106" s="3930"/>
      <c r="D106" s="3930"/>
      <c r="E106" s="3930"/>
      <c r="F106" s="3930"/>
      <c r="G106" s="3930"/>
      <c r="H106" s="3930"/>
      <c r="I106" s="2369"/>
      <c r="J106"/>
      <c r="K106"/>
      <c r="L106"/>
      <c r="M106"/>
      <c r="N106"/>
      <c r="O106"/>
      <c r="P106"/>
      <c r="Q106"/>
      <c r="R106"/>
      <c r="S106"/>
      <c r="T106" s="322"/>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row>
    <row r="107" spans="1:113" s="8" customFormat="1" ht="17.25" customHeight="1" x14ac:dyDescent="0.25">
      <c r="A107" s="3934"/>
      <c r="B107" s="3930"/>
      <c r="C107" s="3930"/>
      <c r="D107" s="3930"/>
      <c r="E107" s="3930"/>
      <c r="F107" s="3930"/>
      <c r="G107" s="3930"/>
      <c r="H107" s="3930"/>
      <c r="I107" s="2369"/>
      <c r="J107"/>
      <c r="K107"/>
      <c r="L107"/>
      <c r="M107"/>
      <c r="N107"/>
      <c r="O107"/>
      <c r="P107"/>
      <c r="Q107"/>
      <c r="R107"/>
      <c r="S107"/>
      <c r="T107" s="322"/>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row>
    <row r="108" spans="1:113" s="8" customFormat="1" ht="17.25" customHeight="1" x14ac:dyDescent="0.25">
      <c r="A108" s="3934"/>
      <c r="B108" s="3930"/>
      <c r="C108" s="3930"/>
      <c r="D108" s="3930"/>
      <c r="E108" s="3930"/>
      <c r="F108" s="3930"/>
      <c r="G108" s="3930"/>
      <c r="H108" s="3930"/>
      <c r="I108" s="2369"/>
      <c r="J108"/>
      <c r="K108"/>
      <c r="L108"/>
      <c r="M108"/>
      <c r="N108"/>
      <c r="O108"/>
      <c r="P108"/>
      <c r="Q108"/>
      <c r="R108"/>
      <c r="S108"/>
      <c r="T108" s="322"/>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row>
    <row r="109" spans="1:113" s="8" customFormat="1" ht="17.25" customHeight="1" x14ac:dyDescent="0.25">
      <c r="A109" s="3934"/>
      <c r="B109" s="3930"/>
      <c r="C109" s="3930"/>
      <c r="D109" s="3930"/>
      <c r="E109" s="3930"/>
      <c r="F109" s="3930"/>
      <c r="G109" s="3930"/>
      <c r="H109" s="3930"/>
      <c r="I109" s="2369"/>
      <c r="J109"/>
      <c r="K109"/>
      <c r="L109"/>
      <c r="M109"/>
      <c r="N109"/>
      <c r="O109"/>
      <c r="P109"/>
      <c r="Q109"/>
      <c r="R109"/>
      <c r="S109"/>
      <c r="T109" s="322"/>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row>
    <row r="110" spans="1:113" s="8" customFormat="1" ht="17.25" customHeight="1" x14ac:dyDescent="0.25">
      <c r="A110" s="3934"/>
      <c r="B110" s="3930"/>
      <c r="C110" s="3930"/>
      <c r="D110" s="3930"/>
      <c r="E110" s="3930"/>
      <c r="F110" s="3930"/>
      <c r="G110" s="3930"/>
      <c r="H110" s="3930"/>
      <c r="I110" s="2369"/>
      <c r="J110"/>
      <c r="K110"/>
      <c r="L110"/>
      <c r="M110"/>
      <c r="N110"/>
      <c r="O110"/>
      <c r="P110"/>
      <c r="Q110"/>
      <c r="R110"/>
      <c r="S110"/>
      <c r="T110" s="322"/>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row>
    <row r="111" spans="1:113" s="8" customFormat="1" ht="17.25" customHeight="1" x14ac:dyDescent="0.25">
      <c r="A111" s="3934"/>
      <c r="B111" s="3930"/>
      <c r="C111" s="3930"/>
      <c r="D111" s="3930"/>
      <c r="E111" s="3930"/>
      <c r="F111" s="3930"/>
      <c r="G111" s="3930"/>
      <c r="H111" s="3930"/>
      <c r="I111" s="2369"/>
      <c r="J111"/>
      <c r="K111"/>
      <c r="L111"/>
      <c r="M111"/>
      <c r="N111"/>
      <c r="O111"/>
      <c r="P111"/>
      <c r="Q111"/>
      <c r="R111"/>
      <c r="S111"/>
      <c r="T111" s="322"/>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row>
    <row r="112" spans="1:113" s="8" customFormat="1" ht="17.25" customHeight="1" x14ac:dyDescent="0.25">
      <c r="A112" s="3934"/>
      <c r="B112" s="3930"/>
      <c r="C112" s="3930"/>
      <c r="D112" s="3930"/>
      <c r="E112" s="3930"/>
      <c r="F112" s="3930"/>
      <c r="G112" s="3930"/>
      <c r="H112" s="3930"/>
      <c r="I112" s="2369"/>
      <c r="J112"/>
      <c r="K112"/>
      <c r="L112"/>
      <c r="M112"/>
      <c r="N112"/>
      <c r="O112"/>
      <c r="P112"/>
      <c r="Q112"/>
      <c r="R112"/>
      <c r="S112"/>
      <c r="T112" s="32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row>
    <row r="113" spans="1:113" s="8" customFormat="1" ht="17.25" customHeight="1" x14ac:dyDescent="0.25">
      <c r="A113" s="3934"/>
      <c r="B113" s="3930"/>
      <c r="C113" s="3930"/>
      <c r="D113" s="3930"/>
      <c r="E113" s="3930"/>
      <c r="F113" s="3930"/>
      <c r="G113" s="3930"/>
      <c r="H113" s="3930"/>
      <c r="I113" s="2369"/>
      <c r="J113"/>
      <c r="K113"/>
      <c r="L113"/>
      <c r="M113"/>
      <c r="N113"/>
      <c r="O113"/>
      <c r="P113"/>
      <c r="Q113"/>
      <c r="R113"/>
      <c r="S113"/>
      <c r="T113" s="322"/>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row>
    <row r="114" spans="1:113" s="8" customFormat="1" ht="17.25" customHeight="1" x14ac:dyDescent="0.25">
      <c r="A114" s="3934"/>
      <c r="B114" s="3930"/>
      <c r="C114" s="3930"/>
      <c r="D114" s="3930"/>
      <c r="E114" s="3930"/>
      <c r="F114" s="3930"/>
      <c r="G114" s="3930"/>
      <c r="H114" s="3930"/>
      <c r="I114" s="2369"/>
      <c r="J114"/>
      <c r="K114"/>
      <c r="L114"/>
      <c r="M114"/>
      <c r="N114"/>
      <c r="O114"/>
      <c r="P114"/>
      <c r="Q114"/>
      <c r="R114"/>
      <c r="S114"/>
      <c r="T114" s="322"/>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row>
    <row r="115" spans="1:113" s="8" customFormat="1" ht="17.25" customHeight="1" x14ac:dyDescent="0.25">
      <c r="A115" s="3934"/>
      <c r="B115" s="3930"/>
      <c r="C115" s="3930"/>
      <c r="D115" s="3930"/>
      <c r="E115" s="3930"/>
      <c r="F115" s="3930"/>
      <c r="G115" s="3930"/>
      <c r="H115" s="3930"/>
      <c r="I115" s="2369"/>
      <c r="J115"/>
      <c r="K115"/>
      <c r="L115"/>
      <c r="M115"/>
      <c r="N115"/>
      <c r="O115"/>
      <c r="P115"/>
      <c r="Q115"/>
      <c r="R115"/>
      <c r="S115"/>
      <c r="T115" s="322"/>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row>
    <row r="116" spans="1:113" s="8" customFormat="1" ht="17.25" customHeight="1" x14ac:dyDescent="0.25">
      <c r="A116" s="3934"/>
      <c r="B116" s="3930"/>
      <c r="C116" s="3930"/>
      <c r="D116" s="3930"/>
      <c r="E116" s="3930"/>
      <c r="F116" s="3930"/>
      <c r="G116" s="3930"/>
      <c r="H116" s="3930"/>
      <c r="I116" s="2369"/>
      <c r="J116"/>
      <c r="K116"/>
      <c r="L116"/>
      <c r="M116"/>
      <c r="N116"/>
      <c r="O116"/>
      <c r="P116"/>
      <c r="Q116"/>
      <c r="R116"/>
      <c r="S116"/>
      <c r="T116" s="322"/>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row>
    <row r="117" spans="1:113" s="8" customFormat="1" ht="17.25" customHeight="1" x14ac:dyDescent="0.25">
      <c r="A117" s="3934"/>
      <c r="B117" s="3930"/>
      <c r="C117" s="3930"/>
      <c r="D117" s="3930"/>
      <c r="E117" s="3930"/>
      <c r="F117" s="3930"/>
      <c r="G117" s="3930"/>
      <c r="H117" s="3930"/>
      <c r="I117" s="2369"/>
      <c r="J117"/>
      <c r="K117"/>
      <c r="L117"/>
      <c r="M117"/>
      <c r="N117"/>
      <c r="O117"/>
      <c r="P117"/>
      <c r="Q117"/>
      <c r="R117"/>
      <c r="S117"/>
      <c r="T117" s="322"/>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row>
    <row r="118" spans="1:113" s="8" customFormat="1" ht="17.25" customHeight="1" x14ac:dyDescent="0.25">
      <c r="A118" s="3934"/>
      <c r="B118" s="3930"/>
      <c r="C118" s="3930"/>
      <c r="D118" s="3930"/>
      <c r="E118" s="3930"/>
      <c r="F118" s="3930"/>
      <c r="G118" s="3930"/>
      <c r="H118" s="3930"/>
      <c r="I118" s="2369"/>
      <c r="J118"/>
      <c r="K118"/>
      <c r="L118"/>
      <c r="M118"/>
      <c r="N118"/>
      <c r="O118"/>
      <c r="P118"/>
      <c r="Q118"/>
      <c r="R118"/>
      <c r="S118"/>
      <c r="T118" s="322"/>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row>
    <row r="119" spans="1:113" s="8" customFormat="1" ht="17.25" customHeight="1" x14ac:dyDescent="0.25">
      <c r="A119" s="3934"/>
      <c r="B119" s="3930"/>
      <c r="C119" s="3930"/>
      <c r="D119" s="3930"/>
      <c r="E119" s="3930"/>
      <c r="F119" s="3930"/>
      <c r="G119" s="3930"/>
      <c r="H119" s="3930"/>
      <c r="I119" s="2369"/>
      <c r="J119"/>
      <c r="K119"/>
      <c r="L119"/>
      <c r="M119"/>
      <c r="N119"/>
      <c r="O119"/>
      <c r="P119"/>
      <c r="Q119"/>
      <c r="R119"/>
      <c r="S119"/>
      <c r="T119" s="322"/>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row>
    <row r="120" spans="1:113" s="8" customFormat="1" ht="17.25" customHeight="1" x14ac:dyDescent="0.25">
      <c r="A120" s="3934"/>
      <c r="B120" s="3930"/>
      <c r="C120" s="3930"/>
      <c r="D120" s="3930"/>
      <c r="E120" s="3930"/>
      <c r="F120" s="3930"/>
      <c r="G120" s="3930"/>
      <c r="H120" s="3930"/>
      <c r="I120" s="2369"/>
      <c r="J120"/>
      <c r="K120"/>
      <c r="L120"/>
      <c r="M120"/>
      <c r="N120"/>
      <c r="O120"/>
      <c r="P120"/>
      <c r="Q120"/>
      <c r="R120"/>
      <c r="S120"/>
      <c r="T120" s="322"/>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row>
    <row r="121" spans="1:113" s="8" customFormat="1" ht="17.25" customHeight="1" x14ac:dyDescent="0.25">
      <c r="A121" s="3934"/>
      <c r="B121" s="3930"/>
      <c r="C121" s="3930"/>
      <c r="D121" s="3930"/>
      <c r="E121" s="3930"/>
      <c r="F121" s="3930"/>
      <c r="G121" s="3930"/>
      <c r="H121" s="3930"/>
      <c r="I121" s="2369"/>
      <c r="J121"/>
      <c r="K121"/>
      <c r="L121"/>
      <c r="M121"/>
      <c r="N121"/>
      <c r="O121"/>
      <c r="P121"/>
      <c r="Q121"/>
      <c r="R121"/>
      <c r="S121"/>
      <c r="T121" s="322"/>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row>
    <row r="122" spans="1:113" s="8" customFormat="1" ht="17.25" customHeight="1" x14ac:dyDescent="0.25">
      <c r="A122" s="3934"/>
      <c r="B122" s="3930"/>
      <c r="C122" s="3930"/>
      <c r="D122" s="3930"/>
      <c r="E122" s="3930"/>
      <c r="F122" s="3930"/>
      <c r="G122" s="3930"/>
      <c r="H122" s="3930"/>
      <c r="I122" s="2369"/>
      <c r="J122"/>
      <c r="K122"/>
      <c r="L122"/>
      <c r="M122"/>
      <c r="N122"/>
      <c r="O122"/>
      <c r="P122"/>
      <c r="Q122"/>
      <c r="R122"/>
      <c r="S122"/>
      <c r="T122" s="3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row>
    <row r="123" spans="1:113" s="8" customFormat="1" ht="17.25" customHeight="1" x14ac:dyDescent="0.25">
      <c r="A123" s="3934"/>
      <c r="B123" s="3930"/>
      <c r="C123" s="3930"/>
      <c r="D123" s="3930"/>
      <c r="E123" s="3930"/>
      <c r="F123" s="3930"/>
      <c r="G123" s="3930"/>
      <c r="H123" s="3930"/>
      <c r="I123" s="2369"/>
      <c r="J123"/>
      <c r="K123"/>
      <c r="L123"/>
      <c r="M123"/>
      <c r="N123"/>
      <c r="O123"/>
      <c r="P123"/>
      <c r="Q123"/>
      <c r="R123"/>
      <c r="S123"/>
      <c r="T123" s="322"/>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row>
    <row r="124" spans="1:113" s="8" customFormat="1" ht="18.75" x14ac:dyDescent="0.3">
      <c r="A124" s="3955"/>
      <c r="B124" s="3956"/>
      <c r="C124" s="3957"/>
      <c r="D124" s="3958"/>
      <c r="E124" s="3958"/>
      <c r="F124" s="3958"/>
      <c r="G124" s="3958"/>
      <c r="H124" s="3958"/>
      <c r="I124" s="3958"/>
      <c r="J124" s="3959"/>
      <c r="K124" s="3959"/>
      <c r="L124" s="3959"/>
      <c r="M124" s="3959"/>
      <c r="N124" s="3959"/>
      <c r="O124" s="3959"/>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row>
    <row r="125" spans="1:113" s="3309" customFormat="1" x14ac:dyDescent="0.2">
      <c r="A125" s="3901" t="s">
        <v>1413</v>
      </c>
      <c r="F125" s="3323"/>
      <c r="G125" s="3323"/>
    </row>
    <row r="126" spans="1:113" s="3309" customFormat="1" x14ac:dyDescent="0.2">
      <c r="A126" s="3901"/>
      <c r="F126" s="3323"/>
      <c r="G126" s="3323"/>
    </row>
    <row r="127" spans="1:113" s="3309" customFormat="1" x14ac:dyDescent="0.2">
      <c r="A127" s="3901"/>
      <c r="B127" s="3310"/>
      <c r="C127" s="3310"/>
      <c r="D127" s="3310"/>
      <c r="E127" s="3310"/>
      <c r="F127" s="3310"/>
      <c r="G127" s="3310"/>
    </row>
    <row r="128" spans="1:113" s="3309" customFormat="1" x14ac:dyDescent="0.2">
      <c r="A128" s="3900" t="s">
        <v>6422</v>
      </c>
      <c r="F128" s="3323"/>
      <c r="G128" s="3323"/>
    </row>
    <row r="129" spans="1:17" s="3309" customFormat="1" ht="15.75" thickBot="1" x14ac:dyDescent="0.25">
      <c r="A129" s="3896" t="s">
        <v>849</v>
      </c>
      <c r="B129" s="3329" t="e">
        <f>'шт-кмех'!B189</f>
        <v>#VALUE!</v>
      </c>
      <c r="C129" s="3329"/>
      <c r="D129" s="3329"/>
      <c r="E129" s="3329"/>
      <c r="F129" s="3329"/>
      <c r="G129" s="3329"/>
      <c r="H129" s="3904"/>
      <c r="I129" s="3858"/>
      <c r="J129" s="3832"/>
      <c r="L129" s="3338"/>
      <c r="M129" s="3338"/>
      <c r="N129" s="3338"/>
      <c r="O129" s="3338"/>
      <c r="P129" s="3338"/>
      <c r="Q129" s="3338"/>
    </row>
    <row r="130" spans="1:17" s="3309" customFormat="1" ht="15" x14ac:dyDescent="0.2">
      <c r="A130" s="3899" t="s">
        <v>3963</v>
      </c>
      <c r="B130" s="3329" t="str">
        <f>'шт-кмех'!B240</f>
        <v/>
      </c>
      <c r="C130" s="3329"/>
      <c r="D130" s="3329"/>
      <c r="E130" s="3329"/>
      <c r="F130" s="3329"/>
      <c r="G130" s="3329"/>
      <c r="H130" s="3904"/>
      <c r="I130" s="3858"/>
      <c r="J130" s="3898" t="s">
        <v>6421</v>
      </c>
      <c r="L130" s="3338"/>
      <c r="M130" s="3338"/>
      <c r="N130" s="3338"/>
      <c r="O130" s="3338"/>
      <c r="P130" s="3338"/>
      <c r="Q130" s="3338"/>
    </row>
    <row r="131" spans="1:17" s="3309" customFormat="1" ht="15" x14ac:dyDescent="0.2">
      <c r="A131" s="3890" t="s">
        <v>6420</v>
      </c>
      <c r="B131" s="3329" t="str">
        <f>kursovoy!B225</f>
        <v/>
      </c>
      <c r="C131" s="3329"/>
      <c r="D131" s="3329"/>
      <c r="E131" s="3329"/>
      <c r="F131" s="3329"/>
      <c r="G131" s="3329"/>
      <c r="H131" s="3904"/>
      <c r="I131" s="3858"/>
      <c r="J131" s="3893"/>
      <c r="L131" s="3338"/>
      <c r="M131" s="3338"/>
      <c r="N131" s="3338"/>
      <c r="O131" s="3338"/>
      <c r="P131" s="3338"/>
      <c r="Q131" s="3338"/>
    </row>
    <row r="132" spans="1:17" s="3309" customFormat="1" ht="15" x14ac:dyDescent="0.2">
      <c r="A132" s="3897" t="s">
        <v>1082</v>
      </c>
      <c r="B132" s="3329" t="str">
        <f>kursovoy!B178</f>
        <v/>
      </c>
      <c r="C132" s="3329"/>
      <c r="D132" s="3329"/>
      <c r="E132" s="3329"/>
      <c r="F132" s="3329"/>
      <c r="G132" s="3329"/>
      <c r="H132" s="3904"/>
      <c r="I132" s="3858"/>
      <c r="J132" s="3819" t="s">
        <v>5868</v>
      </c>
      <c r="L132" s="3338"/>
      <c r="M132" s="3338"/>
      <c r="N132" s="3338"/>
      <c r="O132" s="3338"/>
      <c r="P132" s="3338"/>
      <c r="Q132" s="3338"/>
    </row>
    <row r="133" spans="1:17" s="3309" customFormat="1" ht="15" x14ac:dyDescent="0.2">
      <c r="A133" s="3896" t="s">
        <v>6419</v>
      </c>
      <c r="B133" s="3329" t="str">
        <f>'шт-кмех'!B179</f>
        <v/>
      </c>
      <c r="C133" s="3329"/>
      <c r="D133" s="3329"/>
      <c r="E133" s="3329"/>
      <c r="F133" s="3329"/>
      <c r="G133" s="3329"/>
      <c r="H133" s="3904"/>
      <c r="I133" s="3858"/>
      <c r="J133" s="3819" t="s">
        <v>6418</v>
      </c>
      <c r="L133" s="3338"/>
      <c r="M133" s="3338"/>
      <c r="N133" s="3338"/>
      <c r="O133" s="3338"/>
      <c r="P133" s="3338"/>
      <c r="Q133" s="3338"/>
    </row>
    <row r="134" spans="1:17" s="3309" customFormat="1" ht="25.5" x14ac:dyDescent="0.2">
      <c r="A134" s="3890" t="s">
        <v>6417</v>
      </c>
      <c r="B134" s="3329" t="str">
        <f>kursovoy!B228</f>
        <v/>
      </c>
      <c r="C134" s="3329"/>
      <c r="D134" s="3329"/>
      <c r="E134" s="3329"/>
      <c r="F134" s="3329"/>
      <c r="G134" s="3329"/>
      <c r="H134" s="3904"/>
      <c r="I134" s="3858"/>
      <c r="J134" s="3819" t="s">
        <v>5866</v>
      </c>
      <c r="L134" s="3338"/>
      <c r="M134" s="3338"/>
      <c r="N134" s="3338"/>
      <c r="O134" s="3338"/>
      <c r="P134" s="3338"/>
      <c r="Q134" s="3338"/>
    </row>
    <row r="135" spans="1:17" s="3309" customFormat="1" ht="25.5" x14ac:dyDescent="0.2">
      <c r="A135" s="3890" t="s">
        <v>6416</v>
      </c>
      <c r="B135" s="3329" t="str">
        <f>kursovoy!B208</f>
        <v/>
      </c>
      <c r="C135" s="3329"/>
      <c r="D135" s="3329"/>
      <c r="E135" s="3329"/>
      <c r="F135" s="3329"/>
      <c r="G135" s="3329"/>
      <c r="H135" s="3904"/>
      <c r="I135" s="3858"/>
      <c r="J135" s="3819" t="s">
        <v>6415</v>
      </c>
      <c r="L135" s="3338"/>
      <c r="M135" s="3338"/>
      <c r="N135" s="3338"/>
      <c r="O135" s="3338"/>
      <c r="P135" s="3338"/>
      <c r="Q135" s="3338"/>
    </row>
    <row r="136" spans="1:17" s="3309" customFormat="1" ht="31.5" x14ac:dyDescent="0.25">
      <c r="A136" s="3895" t="s">
        <v>6414</v>
      </c>
      <c r="B136" s="3329" t="str">
        <f>'шт-кмех'!B194</f>
        <v/>
      </c>
      <c r="C136" s="3329"/>
      <c r="D136" s="3329"/>
      <c r="E136" s="3329"/>
      <c r="F136" s="3329"/>
      <c r="G136" s="3329"/>
      <c r="H136" s="3904"/>
      <c r="I136" s="3858"/>
      <c r="J136" s="3819" t="s">
        <v>6413</v>
      </c>
      <c r="L136" s="3338"/>
      <c r="M136" s="3338"/>
      <c r="N136" s="3338"/>
      <c r="O136" s="3338"/>
      <c r="P136" s="3338"/>
      <c r="Q136" s="3338"/>
    </row>
    <row r="137" spans="1:17" s="3309" customFormat="1" ht="25.5" x14ac:dyDescent="0.2">
      <c r="A137" s="3894" t="s">
        <v>1025</v>
      </c>
      <c r="B137" s="3329" t="str">
        <f>kursovoy!B210</f>
        <v/>
      </c>
      <c r="C137" s="3329"/>
      <c r="D137" s="3329"/>
      <c r="E137" s="3329"/>
      <c r="F137" s="3329"/>
      <c r="G137" s="3329"/>
      <c r="H137" s="3904"/>
      <c r="I137" s="3858"/>
      <c r="J137" s="3893" t="s">
        <v>5863</v>
      </c>
      <c r="L137" s="3338"/>
      <c r="M137" s="3338"/>
      <c r="N137" s="3338"/>
      <c r="O137" s="3338"/>
      <c r="P137" s="3338"/>
      <c r="Q137" s="3338"/>
    </row>
    <row r="138" spans="1:17" s="3309" customFormat="1" ht="15.75" thickBot="1" x14ac:dyDescent="0.25">
      <c r="A138" s="3874" t="s">
        <v>6412</v>
      </c>
      <c r="B138" s="3329">
        <f>IF('шт-кмех'!B255&gt;3,1,2)</f>
        <v>1</v>
      </c>
      <c r="C138" s="3329"/>
      <c r="D138" s="3329"/>
      <c r="E138" s="3329"/>
      <c r="F138" s="3329"/>
      <c r="G138" s="3329"/>
      <c r="H138" s="3904"/>
      <c r="I138" s="3858"/>
      <c r="J138" s="3892" t="s">
        <v>5862</v>
      </c>
    </row>
    <row r="139" spans="1:17" s="3309" customFormat="1" ht="15" x14ac:dyDescent="0.2">
      <c r="A139" s="3891" t="str">
        <f>IF(B138=2,"Доля участка лавы с неустойчивой кровлей,%","не вводить")</f>
        <v>не вводить</v>
      </c>
      <c r="B139" s="3329">
        <f>[1]zaboy!B85</f>
        <v>20</v>
      </c>
      <c r="C139" s="3329"/>
      <c r="D139" s="3329"/>
      <c r="E139" s="3329"/>
      <c r="F139" s="3329"/>
      <c r="G139" s="3329"/>
      <c r="H139" s="3907"/>
      <c r="I139" s="3858"/>
      <c r="J139" s="3832"/>
    </row>
    <row r="140" spans="1:17" s="3309" customFormat="1" ht="51" x14ac:dyDescent="0.2">
      <c r="A140" s="3890" t="s">
        <v>253</v>
      </c>
      <c r="B140" s="3329" t="str">
        <f>kursovoy!B221</f>
        <v/>
      </c>
      <c r="C140" s="3329"/>
      <c r="D140" s="3329"/>
      <c r="E140" s="3329"/>
      <c r="F140" s="3329"/>
      <c r="G140" s="3329"/>
      <c r="H140" s="3904"/>
      <c r="I140" s="3858"/>
      <c r="J140" s="3832"/>
    </row>
    <row r="141" spans="1:17" s="3309" customFormat="1" ht="51" x14ac:dyDescent="0.2">
      <c r="A141" s="3890" t="s">
        <v>252</v>
      </c>
      <c r="B141" s="3329">
        <f>IF(kursovoy!B216=0,1,3)</f>
        <v>3</v>
      </c>
      <c r="C141" s="3329"/>
      <c r="D141" s="3329"/>
      <c r="E141" s="3329"/>
      <c r="F141" s="3329"/>
      <c r="G141" s="3329"/>
      <c r="H141" s="3904"/>
      <c r="I141" s="3858"/>
      <c r="J141" s="3832"/>
    </row>
    <row r="142" spans="1:17" s="3309" customFormat="1" ht="15.75" thickBot="1" x14ac:dyDescent="0.25">
      <c r="A142" s="3889" t="s">
        <v>1026</v>
      </c>
      <c r="B142" s="3905">
        <f>'шт-кмех'!B211</f>
        <v>5</v>
      </c>
      <c r="C142" s="3329"/>
      <c r="D142" s="3329"/>
      <c r="E142" s="3329"/>
      <c r="F142" s="3329"/>
      <c r="G142" s="3329"/>
      <c r="H142" s="3904"/>
      <c r="I142" s="3858"/>
      <c r="J142" s="3832"/>
    </row>
    <row r="143" spans="1:17" s="3309" customFormat="1" ht="26.25" thickBot="1" x14ac:dyDescent="0.25">
      <c r="A143" s="3888" t="s">
        <v>6411</v>
      </c>
      <c r="B143" s="3905">
        <f>'шт-кмех'!B475</f>
        <v>3</v>
      </c>
      <c r="C143" s="3329"/>
      <c r="D143" s="3329"/>
      <c r="E143" s="3329"/>
      <c r="F143" s="3329"/>
      <c r="G143" s="3329"/>
      <c r="H143" s="3904"/>
      <c r="I143" s="3887"/>
      <c r="J143" s="3856"/>
    </row>
    <row r="144" spans="1:17" s="3309" customFormat="1" ht="15" x14ac:dyDescent="0.2">
      <c r="A144" s="3737" t="s">
        <v>851</v>
      </c>
      <c r="B144" s="3329" t="str">
        <f>kursovoy!B209</f>
        <v/>
      </c>
      <c r="C144" s="3329"/>
      <c r="D144" s="3329"/>
      <c r="E144" s="3329"/>
      <c r="F144" s="3329"/>
      <c r="G144" s="3329"/>
      <c r="H144" s="3904"/>
      <c r="I144" s="3858"/>
      <c r="J144" s="3833"/>
    </row>
    <row r="145" spans="1:15" s="3309" customFormat="1" ht="15" x14ac:dyDescent="0.2">
      <c r="A145" s="3481" t="s">
        <v>466</v>
      </c>
      <c r="B145" s="3329">
        <f>вен!B191</f>
        <v>0</v>
      </c>
      <c r="C145" s="3329"/>
      <c r="D145" s="3329"/>
      <c r="E145" s="3329"/>
      <c r="F145" s="3329"/>
      <c r="G145" s="3329"/>
      <c r="H145" s="3904"/>
      <c r="I145" s="3886"/>
      <c r="J145" s="3885"/>
    </row>
    <row r="146" spans="1:15" s="3309" customFormat="1" ht="15" x14ac:dyDescent="0.2">
      <c r="A146" s="3753" t="s">
        <v>6410</v>
      </c>
      <c r="B146" s="3905" t="e">
        <f>вен!B192</f>
        <v>#VALUE!</v>
      </c>
      <c r="C146" s="3329"/>
      <c r="D146" s="3329"/>
      <c r="E146" s="3329"/>
      <c r="F146" s="3329"/>
      <c r="G146" s="3329"/>
      <c r="H146" s="3904"/>
      <c r="I146" s="3858"/>
      <c r="J146" s="3885"/>
    </row>
    <row r="147" spans="1:15" s="3309" customFormat="1" ht="15" x14ac:dyDescent="0.2">
      <c r="A147" s="3854" t="s">
        <v>1029</v>
      </c>
      <c r="B147" s="3329">
        <f>'шт-кмех'!B247</f>
        <v>0.98</v>
      </c>
      <c r="C147" s="3329"/>
      <c r="D147" s="3329"/>
      <c r="E147" s="3329"/>
      <c r="F147" s="3329"/>
      <c r="G147" s="3329"/>
      <c r="H147" s="3904"/>
      <c r="I147" s="3858"/>
      <c r="J147" s="3885"/>
    </row>
    <row r="148" spans="1:15" s="3309" customFormat="1" ht="15" x14ac:dyDescent="0.2">
      <c r="A148" s="3854" t="s">
        <v>1505</v>
      </c>
      <c r="B148" s="3968">
        <f>kursovoy!B348/12</f>
        <v>0</v>
      </c>
      <c r="C148" s="3329"/>
      <c r="D148" s="3329"/>
      <c r="E148" s="3329"/>
      <c r="F148" s="3329"/>
      <c r="G148" s="3329"/>
      <c r="H148" s="3904"/>
      <c r="I148" s="3858"/>
      <c r="J148" s="3832"/>
    </row>
    <row r="149" spans="1:15" s="3309" customFormat="1" ht="15" x14ac:dyDescent="0.2">
      <c r="A149" s="3753" t="s">
        <v>6409</v>
      </c>
      <c r="B149" s="3329" t="b">
        <f>ком!G291</f>
        <v>0</v>
      </c>
      <c r="C149" s="3329"/>
      <c r="D149" s="3329"/>
      <c r="E149" s="3329"/>
      <c r="F149" s="3329"/>
      <c r="G149" s="3329"/>
      <c r="H149" s="3940"/>
      <c r="I149" s="3858"/>
      <c r="J149" s="3885"/>
    </row>
    <row r="150" spans="1:15" s="3309" customFormat="1" ht="32.25" thickBot="1" x14ac:dyDescent="0.3">
      <c r="A150" s="3848" t="s">
        <v>6408</v>
      </c>
      <c r="B150" s="3329">
        <f>IF(kursovoy!B917=0,1,2)</f>
        <v>1</v>
      </c>
      <c r="C150" s="3329"/>
      <c r="D150" s="3329"/>
      <c r="E150" s="3329"/>
      <c r="F150" s="3329"/>
      <c r="G150" s="3329"/>
      <c r="H150" s="3904"/>
      <c r="I150" s="3858"/>
      <c r="J150" s="3832"/>
    </row>
    <row r="151" spans="1:15" s="3309" customFormat="1" ht="15" x14ac:dyDescent="0.2">
      <c r="A151" s="3884" t="s">
        <v>1501</v>
      </c>
      <c r="B151" s="3329" t="e">
        <f>IF(kursovoy!B2258=1,0,1)</f>
        <v>#VALUE!</v>
      </c>
      <c r="C151" s="3329"/>
      <c r="D151" s="3329"/>
      <c r="E151" s="3329"/>
      <c r="F151" s="3329"/>
      <c r="G151" s="3329"/>
      <c r="H151" s="3904"/>
      <c r="I151" s="3858"/>
      <c r="J151" s="3832"/>
      <c r="L151" s="3859"/>
      <c r="M151" s="3873"/>
      <c r="N151" s="3873"/>
      <c r="O151" s="3873"/>
    </row>
    <row r="152" spans="1:15" s="3309" customFormat="1" ht="15" x14ac:dyDescent="0.2">
      <c r="A152" s="3880" t="s">
        <v>1502</v>
      </c>
      <c r="B152" s="3329" t="e">
        <f>IF(kursovoy!B2267=1,1,0)</f>
        <v>#VALUE!</v>
      </c>
      <c r="C152" s="3329"/>
      <c r="D152" s="3329"/>
      <c r="E152" s="3329"/>
      <c r="F152" s="3329"/>
      <c r="G152" s="3329"/>
      <c r="H152" s="3904"/>
      <c r="I152" s="3883"/>
      <c r="J152" s="3832"/>
      <c r="L152" s="3859"/>
      <c r="M152" s="3873"/>
      <c r="N152" s="3873"/>
      <c r="O152" s="3873"/>
    </row>
    <row r="153" spans="1:15" s="3309" customFormat="1" ht="15" x14ac:dyDescent="0.2">
      <c r="A153" s="3881" t="s">
        <v>6172</v>
      </c>
      <c r="B153" s="3329">
        <f>'шт-кмех'!B258</f>
        <v>0</v>
      </c>
      <c r="C153" s="3329"/>
      <c r="D153" s="3329"/>
      <c r="E153" s="3329"/>
      <c r="F153" s="3329"/>
      <c r="G153" s="3329"/>
      <c r="H153" s="3904"/>
      <c r="I153" s="3882"/>
      <c r="J153" s="3832"/>
      <c r="L153" s="3859"/>
      <c r="M153" s="3873"/>
      <c r="N153" s="3873"/>
      <c r="O153" s="3873"/>
    </row>
    <row r="154" spans="1:15" s="3309" customFormat="1" ht="15" x14ac:dyDescent="0.2">
      <c r="A154" s="3881" t="s">
        <v>6170</v>
      </c>
      <c r="B154" s="3329">
        <f>'шт-кмех'!B260</f>
        <v>0</v>
      </c>
      <c r="C154" s="3329"/>
      <c r="D154" s="3329"/>
      <c r="E154" s="3329"/>
      <c r="F154" s="3329"/>
      <c r="G154" s="3329"/>
      <c r="H154" s="3904"/>
      <c r="I154" s="3858"/>
      <c r="J154" s="3832"/>
      <c r="L154" s="3859"/>
      <c r="M154" s="3873"/>
      <c r="N154" s="3873"/>
      <c r="O154" s="3873"/>
    </row>
    <row r="155" spans="1:15" s="3309" customFormat="1" ht="15" x14ac:dyDescent="0.2">
      <c r="A155" s="3753" t="s">
        <v>1399</v>
      </c>
      <c r="B155" s="3329">
        <f>'шт-кмех'!B259</f>
        <v>0</v>
      </c>
      <c r="C155" s="3329"/>
      <c r="D155" s="3329"/>
      <c r="E155" s="3329"/>
      <c r="F155" s="3329"/>
      <c r="G155" s="3329"/>
      <c r="H155" s="3904"/>
      <c r="I155" s="3858"/>
      <c r="J155" s="3832"/>
      <c r="L155" s="3859"/>
      <c r="M155" s="3873"/>
      <c r="N155" s="3873"/>
      <c r="O155" s="3873"/>
    </row>
    <row r="156" spans="1:15" s="3309" customFormat="1" ht="15" x14ac:dyDescent="0.2">
      <c r="A156" s="3753" t="s">
        <v>6407</v>
      </c>
      <c r="B156" s="3329">
        <f>'шт-кмех'!B243</f>
        <v>0</v>
      </c>
      <c r="C156" s="3329"/>
      <c r="D156" s="3329"/>
      <c r="E156" s="3329"/>
      <c r="F156" s="3329"/>
      <c r="G156" s="3329"/>
      <c r="H156" s="3904"/>
      <c r="I156" s="3858"/>
      <c r="J156" s="3832"/>
      <c r="L156" s="3859"/>
      <c r="M156" s="3873"/>
      <c r="N156" s="3873"/>
      <c r="O156" s="3873"/>
    </row>
    <row r="157" spans="1:15" s="3309" customFormat="1" ht="25.5" x14ac:dyDescent="0.2">
      <c r="A157" s="3868" t="s">
        <v>530</v>
      </c>
      <c r="B157" s="3329">
        <f>'шт-кмех'!B205</f>
        <v>0.8</v>
      </c>
      <c r="C157" s="3329"/>
      <c r="D157" s="3329"/>
      <c r="E157" s="3329"/>
      <c r="F157" s="3329"/>
      <c r="G157" s="3329"/>
      <c r="H157" s="3904"/>
      <c r="I157" s="3858"/>
      <c r="J157" s="3832"/>
      <c r="L157" s="3859"/>
      <c r="M157" s="3873"/>
      <c r="N157" s="3873"/>
      <c r="O157" s="3873"/>
    </row>
    <row r="158" spans="1:15" s="3309" customFormat="1" ht="25.5" x14ac:dyDescent="0.2">
      <c r="A158" s="3880" t="s">
        <v>4626</v>
      </c>
      <c r="B158" s="3329">
        <f>'шт-кмех'!B206</f>
        <v>0.8</v>
      </c>
      <c r="C158" s="3329"/>
      <c r="D158" s="3329"/>
      <c r="E158" s="3329"/>
      <c r="F158" s="3329"/>
      <c r="G158" s="3329"/>
      <c r="H158" s="3904"/>
      <c r="I158" s="3858"/>
      <c r="J158" s="3832"/>
      <c r="L158" s="3859"/>
      <c r="M158" s="3873"/>
      <c r="N158" s="3873"/>
      <c r="O158" s="3873"/>
    </row>
    <row r="159" spans="1:15" s="3309" customFormat="1" ht="20.25" customHeight="1" x14ac:dyDescent="0.2">
      <c r="A159" s="3880" t="s">
        <v>565</v>
      </c>
      <c r="B159" s="3329">
        <f>'шт-кмех'!B267</f>
        <v>0</v>
      </c>
      <c r="C159" s="3329"/>
      <c r="D159" s="3329"/>
      <c r="E159" s="3329"/>
      <c r="F159" s="3329"/>
      <c r="G159" s="3329"/>
      <c r="H159" s="3904"/>
      <c r="I159" s="3858"/>
      <c r="J159" s="3832"/>
      <c r="L159" s="3859"/>
      <c r="M159" s="3873"/>
      <c r="N159" s="3873"/>
      <c r="O159" s="3873"/>
    </row>
    <row r="160" spans="1:15" s="3309" customFormat="1" ht="15" x14ac:dyDescent="0.2">
      <c r="A160" s="3880" t="s">
        <v>2005</v>
      </c>
      <c r="B160" s="3329">
        <f>'шт-кмех'!B268</f>
        <v>0</v>
      </c>
      <c r="C160" s="3329"/>
      <c r="D160" s="3329"/>
      <c r="E160" s="3329"/>
      <c r="F160" s="3329"/>
      <c r="G160" s="3329"/>
      <c r="H160" s="3904"/>
      <c r="I160" s="3858"/>
      <c r="J160" s="3832"/>
      <c r="L160" s="3859"/>
      <c r="M160" s="3873"/>
      <c r="N160" s="3873"/>
      <c r="O160" s="3873"/>
    </row>
    <row r="161" spans="1:15" s="3309" customFormat="1" ht="27.75" customHeight="1" thickBot="1" x14ac:dyDescent="0.3">
      <c r="A161" s="3879" t="s">
        <v>3195</v>
      </c>
      <c r="B161" s="3329">
        <f>'шт-кмех'!B208</f>
        <v>0</v>
      </c>
      <c r="C161" s="3329"/>
      <c r="D161" s="3329"/>
      <c r="E161" s="3329"/>
      <c r="F161" s="3329"/>
      <c r="G161" s="3329"/>
      <c r="H161" s="3904"/>
      <c r="I161" s="3858"/>
      <c r="J161" s="3878"/>
      <c r="L161" s="3859"/>
      <c r="M161" s="3873"/>
      <c r="N161" s="3873"/>
      <c r="O161" s="3873"/>
    </row>
    <row r="162" spans="1:15" s="3309" customFormat="1" ht="15.75" thickBot="1" x14ac:dyDescent="0.25">
      <c r="A162" s="3862" t="s">
        <v>4627</v>
      </c>
      <c r="B162" s="3481">
        <v>3.5</v>
      </c>
      <c r="C162" s="3329"/>
      <c r="D162" s="3329"/>
      <c r="E162" s="3329"/>
      <c r="F162" s="3329"/>
      <c r="G162" s="3329"/>
      <c r="H162" s="3904"/>
      <c r="I162" s="3858"/>
      <c r="J162" s="3877"/>
      <c r="L162" s="3859"/>
      <c r="M162" s="3873"/>
      <c r="N162" s="3873"/>
      <c r="O162" s="3873"/>
    </row>
    <row r="163" spans="1:15" s="3309" customFormat="1" ht="15" x14ac:dyDescent="0.2">
      <c r="A163" s="3876" t="s">
        <v>5567</v>
      </c>
      <c r="B163" s="3329">
        <v>0</v>
      </c>
      <c r="C163" s="3329"/>
      <c r="D163" s="3329"/>
      <c r="E163" s="3329"/>
      <c r="F163" s="3329"/>
      <c r="G163" s="3329"/>
      <c r="H163" s="3904"/>
      <c r="I163" s="3858"/>
      <c r="J163" s="3875"/>
      <c r="L163" s="3859"/>
      <c r="M163" s="3873"/>
      <c r="N163" s="3873"/>
      <c r="O163" s="3873"/>
    </row>
    <row r="164" spans="1:15" s="3309" customFormat="1" ht="15" x14ac:dyDescent="0.2">
      <c r="A164" s="3854" t="s">
        <v>3263</v>
      </c>
      <c r="B164" s="3905">
        <f>'шт-кмех'!B273</f>
        <v>0</v>
      </c>
      <c r="C164" s="3329"/>
      <c r="D164" s="3329"/>
      <c r="E164" s="3329"/>
      <c r="F164" s="3329"/>
      <c r="G164" s="3329"/>
      <c r="H164" s="3904"/>
      <c r="I164" s="3858"/>
      <c r="J164" s="3832"/>
      <c r="L164" s="3859"/>
      <c r="M164" s="3873"/>
      <c r="N164" s="3873"/>
      <c r="O164" s="3873"/>
    </row>
    <row r="165" spans="1:15" s="3309" customFormat="1" ht="25.5" x14ac:dyDescent="0.2">
      <c r="A165" s="3854" t="s">
        <v>6406</v>
      </c>
      <c r="B165" s="3630">
        <f>'шт-кмех'!B498</f>
        <v>0.5</v>
      </c>
      <c r="C165" s="3329"/>
      <c r="D165" s="3329"/>
      <c r="E165" s="3329"/>
      <c r="F165" s="3329"/>
      <c r="G165" s="3329"/>
      <c r="H165" s="3904"/>
      <c r="I165" s="3858"/>
      <c r="J165" s="3833"/>
      <c r="L165" s="3859"/>
      <c r="M165" s="3873"/>
      <c r="N165" s="3873"/>
      <c r="O165" s="3873"/>
    </row>
    <row r="166" spans="1:15" s="3309" customFormat="1" ht="25.5" x14ac:dyDescent="0.2">
      <c r="A166" s="3741" t="s">
        <v>6405</v>
      </c>
      <c r="B166" s="3481">
        <v>1</v>
      </c>
      <c r="C166" s="3329"/>
      <c r="D166" s="3329"/>
      <c r="E166" s="3329"/>
      <c r="F166" s="3329"/>
      <c r="G166" s="3329"/>
      <c r="H166" s="3904"/>
      <c r="I166" s="3858"/>
      <c r="J166" s="3832"/>
      <c r="L166" s="3859"/>
      <c r="M166" s="3873"/>
      <c r="N166" s="3873"/>
      <c r="O166" s="3873"/>
    </row>
    <row r="167" spans="1:15" s="3309" customFormat="1" ht="15" x14ac:dyDescent="0.2">
      <c r="A167" s="3874" t="s">
        <v>6404</v>
      </c>
      <c r="B167" s="3329">
        <f>'шт-кмех'!B235</f>
        <v>0</v>
      </c>
      <c r="C167" s="3329"/>
      <c r="D167" s="3329"/>
      <c r="E167" s="3329"/>
      <c r="F167" s="3329"/>
      <c r="G167" s="3329"/>
      <c r="H167" s="3904"/>
      <c r="I167" s="3858"/>
      <c r="J167" s="3832"/>
      <c r="L167" s="3859"/>
      <c r="M167" s="3873"/>
      <c r="N167" s="3873"/>
      <c r="O167" s="3873"/>
    </row>
    <row r="168" spans="1:15" s="3309" customFormat="1" ht="15" x14ac:dyDescent="0.2">
      <c r="A168" s="3536" t="s">
        <v>6403</v>
      </c>
      <c r="B168" s="3481">
        <v>2</v>
      </c>
      <c r="C168" s="3329"/>
      <c r="D168" s="3329"/>
      <c r="E168" s="3329"/>
      <c r="F168" s="3329"/>
      <c r="G168" s="3329"/>
      <c r="I168" s="3858"/>
      <c r="J168" s="3833"/>
      <c r="L168" s="3859"/>
      <c r="M168" s="3873"/>
      <c r="N168" s="3873"/>
      <c r="O168" s="3873"/>
    </row>
    <row r="169" spans="1:15" s="3309" customFormat="1" ht="15.75" thickBot="1" x14ac:dyDescent="0.25">
      <c r="A169" s="3536" t="s">
        <v>6402</v>
      </c>
      <c r="B169" s="3329">
        <f>[1]zaboy!B156</f>
        <v>1</v>
      </c>
      <c r="C169" s="3329">
        <f>[1]zaboy!C156</f>
        <v>1</v>
      </c>
      <c r="D169" s="3329">
        <f>[1]zaboy!D156</f>
        <v>1</v>
      </c>
      <c r="E169" s="3329">
        <f>[1]zaboy!E156</f>
        <v>1</v>
      </c>
      <c r="F169" s="3329">
        <f>[1]zaboy!F156</f>
        <v>1</v>
      </c>
      <c r="G169" s="3329">
        <f>[1]zaboy!G156</f>
        <v>1</v>
      </c>
      <c r="I169" s="3858"/>
      <c r="J169" s="3844"/>
      <c r="L169" s="3859"/>
      <c r="M169" s="3873"/>
      <c r="N169" s="3873"/>
      <c r="O169" s="3873"/>
    </row>
    <row r="170" spans="1:15" s="3309" customFormat="1" ht="15" x14ac:dyDescent="0.2">
      <c r="A170" s="3756" t="s">
        <v>5304</v>
      </c>
      <c r="B170" s="3329">
        <f>'шт-кмех'!B159</f>
        <v>3</v>
      </c>
      <c r="C170" s="3329"/>
      <c r="D170" s="3329"/>
      <c r="E170" s="3329"/>
      <c r="F170" s="3329"/>
      <c r="G170" s="3329"/>
      <c r="H170" s="3904"/>
      <c r="I170" s="3858"/>
      <c r="J170" s="3832"/>
      <c r="L170" s="3859"/>
      <c r="M170" s="3873"/>
      <c r="N170" s="3873"/>
      <c r="O170" s="3873"/>
    </row>
    <row r="171" spans="1:15" s="3309" customFormat="1" ht="15.75" x14ac:dyDescent="0.25">
      <c r="A171" s="3848" t="s">
        <v>5305</v>
      </c>
      <c r="B171" s="3329">
        <f>'шт-кмех'!B159</f>
        <v>3</v>
      </c>
      <c r="C171" s="3329"/>
      <c r="D171" s="3329"/>
      <c r="E171" s="3329"/>
      <c r="F171" s="3329"/>
      <c r="G171" s="3329"/>
      <c r="H171" s="3904"/>
      <c r="I171" s="3858"/>
      <c r="J171" s="3840"/>
      <c r="L171" s="3859"/>
      <c r="M171" s="3873"/>
      <c r="N171" s="3873"/>
      <c r="O171" s="3873"/>
    </row>
    <row r="172" spans="1:15" s="3309" customFormat="1" ht="15" x14ac:dyDescent="0.2">
      <c r="A172" s="3753" t="s">
        <v>2667</v>
      </c>
      <c r="B172" s="3329">
        <f>'шт-кмех'!B209</f>
        <v>2.2000000000000002</v>
      </c>
      <c r="C172" s="3329"/>
      <c r="D172" s="3329"/>
      <c r="E172" s="3329"/>
      <c r="F172" s="3329"/>
      <c r="G172" s="3329"/>
      <c r="H172" s="3904"/>
      <c r="I172" s="3858"/>
      <c r="J172" s="3832"/>
      <c r="L172" s="3872"/>
      <c r="M172" s="3870"/>
      <c r="N172" s="3870"/>
      <c r="O172" s="3870"/>
    </row>
    <row r="173" spans="1:15" s="3309" customFormat="1" ht="15" x14ac:dyDescent="0.2">
      <c r="A173" s="3753" t="s">
        <v>2668</v>
      </c>
      <c r="B173" s="3481">
        <v>0.7</v>
      </c>
      <c r="C173" s="3329"/>
      <c r="D173" s="3329"/>
      <c r="E173" s="3329"/>
      <c r="F173" s="3329"/>
      <c r="G173" s="3329"/>
      <c r="H173" s="3904"/>
      <c r="I173" s="3858"/>
      <c r="J173" s="3832"/>
      <c r="L173" s="3871"/>
      <c r="M173" s="3870"/>
      <c r="N173" s="3870"/>
      <c r="O173" s="3870"/>
    </row>
    <row r="174" spans="1:15" s="3309" customFormat="1" ht="36.75" customHeight="1" x14ac:dyDescent="0.2">
      <c r="A174" s="3737" t="s">
        <v>5569</v>
      </c>
      <c r="B174" s="3905">
        <f>'шт-кмех'!B276</f>
        <v>1</v>
      </c>
      <c r="C174" s="3329"/>
      <c r="D174" s="3329"/>
      <c r="E174" s="3329"/>
      <c r="F174" s="3329"/>
      <c r="G174" s="3329"/>
      <c r="H174" s="3904"/>
      <c r="I174" s="3858"/>
      <c r="J174" s="3832"/>
      <c r="L174" s="3871"/>
      <c r="M174" s="3870"/>
      <c r="N174" s="3870"/>
      <c r="O174" s="3870"/>
    </row>
    <row r="175" spans="1:15" s="3309" customFormat="1" ht="15" x14ac:dyDescent="0.2">
      <c r="B175" s="3481"/>
      <c r="C175" s="3481"/>
      <c r="D175" s="3481"/>
      <c r="E175" s="3481"/>
      <c r="F175" s="3481"/>
      <c r="G175" s="3481"/>
      <c r="I175" s="3858"/>
      <c r="J175" s="3869"/>
      <c r="L175" s="3859"/>
      <c r="M175" s="3859"/>
      <c r="N175" s="3859"/>
      <c r="O175" s="3859"/>
    </row>
    <row r="176" spans="1:15" s="3309" customFormat="1" ht="25.5" x14ac:dyDescent="0.2">
      <c r="A176" s="3868" t="s">
        <v>1506</v>
      </c>
      <c r="B176" s="3329">
        <f>kursovoy!B2249</f>
        <v>4</v>
      </c>
      <c r="C176" s="3329"/>
      <c r="D176" s="3329"/>
      <c r="E176" s="3329"/>
      <c r="F176" s="3329"/>
      <c r="G176" s="3329"/>
      <c r="H176" s="3904"/>
      <c r="I176" s="3858"/>
      <c r="J176" s="3833"/>
      <c r="L176" s="3859"/>
      <c r="M176" s="3859"/>
      <c r="N176" s="3859"/>
      <c r="O176" s="3859"/>
    </row>
    <row r="177" spans="1:15" s="3309" customFormat="1" ht="36.75" customHeight="1" x14ac:dyDescent="0.2">
      <c r="A177" s="3534" t="s">
        <v>5574</v>
      </c>
      <c r="B177" s="3329" t="str">
        <f>kursovoy!B512</f>
        <v/>
      </c>
      <c r="C177" s="3329"/>
      <c r="D177" s="3329"/>
      <c r="E177" s="3329"/>
      <c r="F177" s="3329"/>
      <c r="G177" s="3329"/>
      <c r="H177" s="3904"/>
      <c r="I177" s="3858"/>
      <c r="J177" s="3832"/>
      <c r="L177" s="3859"/>
      <c r="M177" s="3859"/>
      <c r="N177" s="3859"/>
      <c r="O177" s="3859"/>
    </row>
    <row r="178" spans="1:15" s="3309" customFormat="1" ht="25.5" x14ac:dyDescent="0.2">
      <c r="A178" s="3544" t="s">
        <v>5565</v>
      </c>
      <c r="B178" s="3329">
        <f>обор!H833</f>
        <v>0</v>
      </c>
      <c r="C178" s="3329"/>
      <c r="D178" s="3329"/>
      <c r="E178" s="3329"/>
      <c r="F178" s="3329"/>
      <c r="G178" s="3329"/>
      <c r="H178" s="3904"/>
      <c r="I178" s="3858"/>
      <c r="J178" s="3833"/>
      <c r="L178" s="3859"/>
      <c r="M178" s="3859"/>
      <c r="N178" s="3859"/>
      <c r="O178" s="3859"/>
    </row>
    <row r="179" spans="1:15" s="3309" customFormat="1" ht="15" x14ac:dyDescent="0.2">
      <c r="A179" s="3536" t="s">
        <v>6401</v>
      </c>
      <c r="B179" s="3329">
        <f>[1]zaboy!B166</f>
        <v>0.15</v>
      </c>
      <c r="C179" s="3329">
        <f>[1]zaboy!C166</f>
        <v>0.15</v>
      </c>
      <c r="D179" s="3329">
        <f>[1]zaboy!D166</f>
        <v>0.15</v>
      </c>
      <c r="E179" s="3329">
        <f>[1]zaboy!E166</f>
        <v>0.15</v>
      </c>
      <c r="F179" s="3329">
        <f>[1]zaboy!F166</f>
        <v>0.15</v>
      </c>
      <c r="G179" s="3329">
        <f>[1]zaboy!G166</f>
        <v>0.15</v>
      </c>
      <c r="I179" s="3858"/>
      <c r="J179" s="3833"/>
      <c r="L179" s="3859"/>
      <c r="M179" s="3859"/>
      <c r="N179" s="3859"/>
      <c r="O179" s="3859"/>
    </row>
    <row r="180" spans="1:15" s="3309" customFormat="1" ht="15" x14ac:dyDescent="0.2">
      <c r="A180" s="3536" t="s">
        <v>6400</v>
      </c>
      <c r="B180" s="3329">
        <f>[1]zaboy!B165</f>
        <v>0.1</v>
      </c>
      <c r="C180" s="3329">
        <f>[1]zaboy!C165</f>
        <v>0.1</v>
      </c>
      <c r="D180" s="3329">
        <f>[1]zaboy!D165</f>
        <v>0.1</v>
      </c>
      <c r="E180" s="3329">
        <f>[1]zaboy!E165</f>
        <v>0.1</v>
      </c>
      <c r="F180" s="3329">
        <f>[1]zaboy!F165</f>
        <v>0.1</v>
      </c>
      <c r="G180" s="3329">
        <f>[1]zaboy!G165</f>
        <v>0.1</v>
      </c>
      <c r="I180" s="3858"/>
      <c r="J180" s="3833"/>
      <c r="L180" s="3859"/>
      <c r="M180" s="3859"/>
      <c r="N180" s="3859"/>
      <c r="O180" s="3859"/>
    </row>
    <row r="181" spans="1:15" s="3309" customFormat="1" ht="15" x14ac:dyDescent="0.2">
      <c r="B181" s="3481"/>
      <c r="C181" s="3481"/>
      <c r="D181" s="3481"/>
      <c r="E181" s="3481"/>
      <c r="F181" s="3481"/>
      <c r="G181" s="3481"/>
      <c r="I181" s="3858"/>
      <c r="J181" s="3867"/>
      <c r="L181" s="3859"/>
      <c r="M181" s="3859"/>
      <c r="N181" s="3859"/>
      <c r="O181" s="3859"/>
    </row>
    <row r="182" spans="1:15" s="3309" customFormat="1" ht="15" x14ac:dyDescent="0.2">
      <c r="B182" s="3481"/>
      <c r="C182" s="3481"/>
      <c r="D182" s="3481"/>
      <c r="E182" s="3481"/>
      <c r="F182" s="3481"/>
      <c r="G182" s="3481"/>
      <c r="I182" s="3858"/>
      <c r="J182" s="3867"/>
      <c r="L182" s="3859"/>
      <c r="M182" s="3859"/>
      <c r="N182" s="3859"/>
      <c r="O182" s="3859"/>
    </row>
    <row r="183" spans="1:15" s="3309" customFormat="1" ht="25.5" x14ac:dyDescent="0.2">
      <c r="A183" s="3854" t="s">
        <v>844</v>
      </c>
      <c r="B183" s="3329">
        <f>kursovoy!B2250</f>
        <v>2.2000000000000002</v>
      </c>
      <c r="C183" s="3329"/>
      <c r="D183" s="3329"/>
      <c r="E183" s="3329"/>
      <c r="F183" s="3329"/>
      <c r="G183" s="3329"/>
      <c r="H183" s="3904"/>
      <c r="I183" s="3858"/>
      <c r="J183" s="3833"/>
      <c r="L183" s="3859"/>
      <c r="M183" s="3859"/>
      <c r="N183" s="3859"/>
      <c r="O183" s="3859"/>
    </row>
    <row r="184" spans="1:15" s="3309" customFormat="1" ht="26.25" thickBot="1" x14ac:dyDescent="0.25">
      <c r="A184" s="3866" t="s">
        <v>6399</v>
      </c>
      <c r="B184" s="3969">
        <v>2.1</v>
      </c>
      <c r="C184" s="3329"/>
      <c r="D184" s="3329"/>
      <c r="E184" s="3329"/>
      <c r="F184" s="3329"/>
      <c r="G184" s="3329"/>
      <c r="H184" s="3904"/>
      <c r="I184" s="3858"/>
      <c r="J184" s="3853"/>
      <c r="L184" s="3859"/>
      <c r="M184" s="3859"/>
      <c r="N184" s="3859"/>
      <c r="O184" s="3859"/>
    </row>
    <row r="185" spans="1:15" s="3309" customFormat="1" ht="15" x14ac:dyDescent="0.2">
      <c r="A185" s="3756" t="s">
        <v>6090</v>
      </c>
      <c r="B185" s="3329">
        <f>[1]zaboy!B182</f>
        <v>300</v>
      </c>
      <c r="C185" s="3329">
        <f>[1]zaboy!C182</f>
        <v>300</v>
      </c>
      <c r="D185" s="3329">
        <f>[1]zaboy!D182</f>
        <v>300</v>
      </c>
      <c r="E185" s="3329">
        <f>[1]zaboy!E182</f>
        <v>300</v>
      </c>
      <c r="F185" s="3329">
        <f>[1]zaboy!F182</f>
        <v>300</v>
      </c>
      <c r="G185" s="3329">
        <f>[1]zaboy!G182</f>
        <v>300</v>
      </c>
      <c r="I185" s="3858"/>
      <c r="J185" s="3832"/>
      <c r="L185" s="3859"/>
      <c r="M185" s="3859"/>
      <c r="N185" s="3859"/>
      <c r="O185" s="3859"/>
    </row>
    <row r="186" spans="1:15" s="3309" customFormat="1" ht="15" x14ac:dyDescent="0.2">
      <c r="A186" s="3753" t="s">
        <v>6269</v>
      </c>
      <c r="B186" s="3329">
        <f>[1]zaboy!B183</f>
        <v>10000</v>
      </c>
      <c r="C186" s="3329">
        <f>[1]zaboy!C183</f>
        <v>10000</v>
      </c>
      <c r="D186" s="3329">
        <f>[1]zaboy!D183</f>
        <v>10000</v>
      </c>
      <c r="E186" s="3329">
        <f>[1]zaboy!E183</f>
        <v>10000</v>
      </c>
      <c r="F186" s="3329">
        <f>[1]zaboy!F183</f>
        <v>10000</v>
      </c>
      <c r="G186" s="3329">
        <f>[1]zaboy!G183</f>
        <v>10000</v>
      </c>
      <c r="I186" s="3858"/>
      <c r="J186" s="3832"/>
      <c r="L186" s="3859"/>
      <c r="M186" s="3859"/>
      <c r="N186" s="3859"/>
      <c r="O186" s="3859"/>
    </row>
    <row r="187" spans="1:15" s="3309" customFormat="1" ht="15" x14ac:dyDescent="0.2">
      <c r="A187" s="3753" t="s">
        <v>6083</v>
      </c>
      <c r="B187" s="3329">
        <f>[1]zaboy!B185</f>
        <v>20</v>
      </c>
      <c r="C187" s="3329">
        <f>[1]zaboy!C185</f>
        <v>20</v>
      </c>
      <c r="D187" s="3329">
        <f>[1]zaboy!D185</f>
        <v>20</v>
      </c>
      <c r="E187" s="3329">
        <f>[1]zaboy!E185</f>
        <v>20</v>
      </c>
      <c r="F187" s="3329">
        <f>[1]zaboy!F185</f>
        <v>20</v>
      </c>
      <c r="G187" s="3329">
        <f>[1]zaboy!G185</f>
        <v>20</v>
      </c>
      <c r="I187" s="3858"/>
      <c r="J187" s="3832"/>
      <c r="L187" s="3859"/>
      <c r="M187" s="3859"/>
      <c r="N187" s="3859"/>
      <c r="O187" s="3859"/>
    </row>
    <row r="188" spans="1:15" s="3309" customFormat="1" ht="15" x14ac:dyDescent="0.2">
      <c r="A188" s="3753" t="s">
        <v>6281</v>
      </c>
      <c r="B188" s="3329">
        <f>[1]zaboy!B186</f>
        <v>10</v>
      </c>
      <c r="C188" s="3329">
        <f>[1]zaboy!C186</f>
        <v>10</v>
      </c>
      <c r="D188" s="3329">
        <f>[1]zaboy!D186</f>
        <v>10</v>
      </c>
      <c r="E188" s="3329">
        <f>[1]zaboy!E186</f>
        <v>10</v>
      </c>
      <c r="F188" s="3329">
        <f>[1]zaboy!F186</f>
        <v>10</v>
      </c>
      <c r="G188" s="3329">
        <f>[1]zaboy!G186</f>
        <v>10</v>
      </c>
      <c r="I188" s="3858"/>
      <c r="J188" s="3833"/>
      <c r="L188" s="3859"/>
      <c r="M188" s="3859"/>
      <c r="N188" s="3859"/>
      <c r="O188" s="3859"/>
    </row>
    <row r="189" spans="1:15" s="3309" customFormat="1" ht="15" x14ac:dyDescent="0.2">
      <c r="A189" s="3851" t="s">
        <v>6398</v>
      </c>
      <c r="B189" s="3329">
        <f>[1]zaboy!B120</f>
        <v>6</v>
      </c>
      <c r="C189" s="3329">
        <f>[1]zaboy!C120</f>
        <v>6</v>
      </c>
      <c r="D189" s="3329">
        <f>[1]zaboy!D120</f>
        <v>6</v>
      </c>
      <c r="E189" s="3329">
        <f>[1]zaboy!E120</f>
        <v>6</v>
      </c>
      <c r="F189" s="3329">
        <f>[1]zaboy!F120</f>
        <v>6</v>
      </c>
      <c r="G189" s="3329">
        <f>[1]zaboy!G120</f>
        <v>6</v>
      </c>
      <c r="I189" s="3858"/>
      <c r="J189" s="3832"/>
      <c r="L189" s="3859"/>
      <c r="M189" s="3859"/>
      <c r="N189" s="3859"/>
      <c r="O189" s="3859"/>
    </row>
    <row r="190" spans="1:15" s="3309" customFormat="1" ht="15" x14ac:dyDescent="0.2">
      <c r="A190" s="3753" t="s">
        <v>5941</v>
      </c>
      <c r="B190" s="3329">
        <f>[1]zaboy!B179</f>
        <v>1.27</v>
      </c>
      <c r="C190" s="3329">
        <f>[1]zaboy!C179</f>
        <v>1.27</v>
      </c>
      <c r="D190" s="3329">
        <f>[1]zaboy!D179</f>
        <v>1.27</v>
      </c>
      <c r="E190" s="3329">
        <f>[1]zaboy!E179</f>
        <v>1.27</v>
      </c>
      <c r="F190" s="3329">
        <f>[1]zaboy!F179</f>
        <v>1.27</v>
      </c>
      <c r="G190" s="3329">
        <f>[1]zaboy!G179</f>
        <v>1.27</v>
      </c>
      <c r="I190" s="3858"/>
      <c r="J190" s="3832"/>
      <c r="L190" s="3859"/>
      <c r="M190" s="3859"/>
      <c r="N190" s="3859"/>
      <c r="O190" s="3859"/>
    </row>
    <row r="191" spans="1:15" s="3309" customFormat="1" ht="15" x14ac:dyDescent="0.2">
      <c r="A191" s="3753" t="s">
        <v>1701</v>
      </c>
      <c r="B191" s="3329">
        <f>[1]zaboy!B184</f>
        <v>36</v>
      </c>
      <c r="C191" s="3329">
        <f>[1]zaboy!C184</f>
        <v>36</v>
      </c>
      <c r="D191" s="3329">
        <f>[1]zaboy!D184</f>
        <v>36</v>
      </c>
      <c r="E191" s="3329">
        <f>[1]zaboy!E184</f>
        <v>36</v>
      </c>
      <c r="F191" s="3329">
        <f>[1]zaboy!F184</f>
        <v>36</v>
      </c>
      <c r="G191" s="3329">
        <f>[1]zaboy!G184</f>
        <v>36</v>
      </c>
      <c r="I191" s="3858"/>
      <c r="J191" s="3832"/>
      <c r="L191" s="3859"/>
      <c r="M191" s="3859"/>
      <c r="N191" s="3859"/>
      <c r="O191" s="3859"/>
    </row>
    <row r="192" spans="1:15" s="3309" customFormat="1" ht="15" x14ac:dyDescent="0.2">
      <c r="A192" s="3536" t="s">
        <v>6397</v>
      </c>
      <c r="B192" s="3329">
        <f>[1]zaboy!B181</f>
        <v>1.4</v>
      </c>
      <c r="C192" s="3329">
        <f>[1]zaboy!C181</f>
        <v>1.4</v>
      </c>
      <c r="D192" s="3329">
        <f>[1]zaboy!D181</f>
        <v>1.4</v>
      </c>
      <c r="E192" s="3329">
        <f>[1]zaboy!E181</f>
        <v>1.4</v>
      </c>
      <c r="F192" s="3329">
        <f>[1]zaboy!F181</f>
        <v>1.4</v>
      </c>
      <c r="G192" s="3329">
        <f>[1]zaboy!G181</f>
        <v>1.4</v>
      </c>
      <c r="I192" s="3858"/>
      <c r="J192" s="3833"/>
      <c r="L192" s="3859"/>
      <c r="M192" s="3859"/>
      <c r="N192" s="3859"/>
      <c r="O192" s="3859"/>
    </row>
    <row r="193" spans="1:15" s="3309" customFormat="1" ht="16.5" x14ac:dyDescent="0.3">
      <c r="A193" s="3865" t="s">
        <v>6195</v>
      </c>
      <c r="B193" s="3329">
        <f>[1]zaboy!B188</f>
        <v>100</v>
      </c>
      <c r="C193" s="3329">
        <f>[1]zaboy!C188</f>
        <v>100</v>
      </c>
      <c r="D193" s="3329">
        <f>[1]zaboy!D188</f>
        <v>100</v>
      </c>
      <c r="E193" s="3329">
        <f>[1]zaboy!E188</f>
        <v>100</v>
      </c>
      <c r="F193" s="3329">
        <f>[1]zaboy!F188</f>
        <v>100</v>
      </c>
      <c r="G193" s="3329">
        <f>[1]zaboy!G188</f>
        <v>100</v>
      </c>
      <c r="I193" s="3858"/>
      <c r="J193" s="3832"/>
      <c r="L193" s="3859"/>
      <c r="M193" s="3859"/>
      <c r="N193" s="3859"/>
      <c r="O193" s="3859"/>
    </row>
    <row r="194" spans="1:15" s="3309" customFormat="1" ht="16.5" x14ac:dyDescent="0.3">
      <c r="A194" s="3865" t="s">
        <v>6396</v>
      </c>
      <c r="B194" s="3329">
        <f>[1]zaboy!B205</f>
        <v>15</v>
      </c>
      <c r="C194" s="3329">
        <f>[1]zaboy!C205</f>
        <v>15</v>
      </c>
      <c r="D194" s="3329">
        <f>[1]zaboy!D205</f>
        <v>15</v>
      </c>
      <c r="E194" s="3329">
        <f>[1]zaboy!E205</f>
        <v>15</v>
      </c>
      <c r="F194" s="3329">
        <f>[1]zaboy!F205</f>
        <v>15</v>
      </c>
      <c r="G194" s="3329">
        <f>[1]zaboy!G205</f>
        <v>15</v>
      </c>
      <c r="I194" s="3858"/>
      <c r="J194" s="3832"/>
      <c r="L194" s="3859"/>
      <c r="M194" s="3859"/>
      <c r="N194" s="3859"/>
      <c r="O194" s="3859"/>
    </row>
    <row r="195" spans="1:15" s="3309" customFormat="1" ht="16.5" x14ac:dyDescent="0.3">
      <c r="A195" s="3864" t="s">
        <v>6220</v>
      </c>
      <c r="B195" s="3329">
        <f>[1]zaboy!B204</f>
        <v>0.8</v>
      </c>
      <c r="C195" s="3329">
        <f>[1]zaboy!C204</f>
        <v>0.8</v>
      </c>
      <c r="D195" s="3329">
        <f>[1]zaboy!D204</f>
        <v>0.8</v>
      </c>
      <c r="E195" s="3329">
        <f>[1]zaboy!E204</f>
        <v>0.8</v>
      </c>
      <c r="F195" s="3329">
        <f>[1]zaboy!F204</f>
        <v>0.8</v>
      </c>
      <c r="G195" s="3329">
        <f>[1]zaboy!G204</f>
        <v>0.8</v>
      </c>
      <c r="I195" s="3858"/>
      <c r="J195" s="3832"/>
      <c r="L195" s="3859"/>
      <c r="M195" s="3859"/>
      <c r="N195" s="3859"/>
      <c r="O195" s="3859"/>
    </row>
    <row r="196" spans="1:15" s="3309" customFormat="1" ht="15" x14ac:dyDescent="0.2">
      <c r="A196" s="3737" t="s">
        <v>6252</v>
      </c>
      <c r="B196" s="3329">
        <f>[1]zaboy!B174</f>
        <v>5000</v>
      </c>
      <c r="C196" s="3329">
        <f>[1]zaboy!C174</f>
        <v>5000</v>
      </c>
      <c r="D196" s="3329">
        <f>[1]zaboy!D174</f>
        <v>5000</v>
      </c>
      <c r="E196" s="3329">
        <f>[1]zaboy!E174</f>
        <v>5000</v>
      </c>
      <c r="F196" s="3329">
        <f>[1]zaboy!F174</f>
        <v>5000</v>
      </c>
      <c r="G196" s="3329">
        <f>[1]zaboy!G174</f>
        <v>5000</v>
      </c>
      <c r="I196" s="3858"/>
      <c r="J196" s="3833"/>
      <c r="L196" s="3859"/>
      <c r="M196" s="3859"/>
      <c r="N196" s="3859"/>
      <c r="O196" s="3859"/>
    </row>
    <row r="197" spans="1:15" s="3309" customFormat="1" ht="15" x14ac:dyDescent="0.2">
      <c r="A197" s="3854" t="s">
        <v>3331</v>
      </c>
      <c r="B197" s="3329">
        <f>[1]zaboy!B208</f>
        <v>300</v>
      </c>
      <c r="C197" s="3329">
        <f>[1]zaboy!C208</f>
        <v>300</v>
      </c>
      <c r="D197" s="3329">
        <f>[1]zaboy!D208</f>
        <v>300</v>
      </c>
      <c r="E197" s="3329">
        <f>[1]zaboy!E208</f>
        <v>300</v>
      </c>
      <c r="F197" s="3329">
        <f>[1]zaboy!F208</f>
        <v>300</v>
      </c>
      <c r="G197" s="3329">
        <f>[1]zaboy!G208</f>
        <v>300</v>
      </c>
      <c r="I197" s="3858"/>
      <c r="J197" s="3833"/>
      <c r="L197" s="3859"/>
      <c r="M197" s="3859"/>
      <c r="N197" s="3859"/>
      <c r="O197" s="3859"/>
    </row>
    <row r="198" spans="1:15" s="3309" customFormat="1" ht="15" x14ac:dyDescent="0.2">
      <c r="A198" s="3862" t="s">
        <v>3396</v>
      </c>
      <c r="B198" s="3329">
        <f>[1]zaboy!B206</f>
        <v>9</v>
      </c>
      <c r="C198" s="3329">
        <f>[1]zaboy!C206</f>
        <v>9</v>
      </c>
      <c r="D198" s="3329">
        <f>[1]zaboy!D206</f>
        <v>9</v>
      </c>
      <c r="E198" s="3329">
        <f>[1]zaboy!E206</f>
        <v>9</v>
      </c>
      <c r="F198" s="3329">
        <f>[1]zaboy!F206</f>
        <v>9</v>
      </c>
      <c r="G198" s="3329">
        <f>[1]zaboy!G206</f>
        <v>9</v>
      </c>
      <c r="I198" s="3858"/>
      <c r="J198" s="3833"/>
      <c r="L198" s="3859"/>
      <c r="M198" s="3859"/>
      <c r="N198" s="3859"/>
      <c r="O198" s="3859"/>
    </row>
    <row r="199" spans="1:15" s="3309" customFormat="1" ht="15" x14ac:dyDescent="0.2">
      <c r="A199" s="3862" t="s">
        <v>3401</v>
      </c>
      <c r="B199" s="3329">
        <f>[1]zaboy!B203</f>
        <v>3</v>
      </c>
      <c r="C199" s="3329">
        <f>[1]zaboy!C203</f>
        <v>3</v>
      </c>
      <c r="D199" s="3329">
        <f>[1]zaboy!D203</f>
        <v>3</v>
      </c>
      <c r="E199" s="3329">
        <f>[1]zaboy!E203</f>
        <v>3</v>
      </c>
      <c r="F199" s="3329">
        <f>[1]zaboy!F203</f>
        <v>3</v>
      </c>
      <c r="G199" s="3329">
        <f>[1]zaboy!G203</f>
        <v>3</v>
      </c>
      <c r="I199" s="3858"/>
      <c r="J199" s="3833"/>
      <c r="L199" s="3859"/>
      <c r="M199" s="3859"/>
      <c r="N199" s="3859"/>
      <c r="O199" s="3859"/>
    </row>
    <row r="200" spans="1:15" s="3309" customFormat="1" ht="15" x14ac:dyDescent="0.2">
      <c r="A200" s="3536" t="s">
        <v>6395</v>
      </c>
      <c r="B200" s="3329">
        <f>[1]zaboy!B189</f>
        <v>2000</v>
      </c>
      <c r="C200" s="3329">
        <f>[1]zaboy!C189</f>
        <v>2000</v>
      </c>
      <c r="D200" s="3329">
        <f>[1]zaboy!D189</f>
        <v>2000</v>
      </c>
      <c r="E200" s="3329">
        <f>[1]zaboy!E189</f>
        <v>2000</v>
      </c>
      <c r="F200" s="3329">
        <f>[1]zaboy!F189</f>
        <v>2000</v>
      </c>
      <c r="G200" s="3329">
        <f>[1]zaboy!G189</f>
        <v>2000</v>
      </c>
      <c r="I200" s="3858"/>
      <c r="J200" s="3833"/>
      <c r="L200" s="3859"/>
      <c r="M200" s="3859"/>
      <c r="N200" s="3859"/>
      <c r="O200" s="3859"/>
    </row>
    <row r="201" spans="1:15" s="3309" customFormat="1" ht="15" x14ac:dyDescent="0.2">
      <c r="A201" s="3862" t="s">
        <v>6394</v>
      </c>
      <c r="B201" s="3329">
        <f>[1]zaboy!B200</f>
        <v>3000</v>
      </c>
      <c r="C201" s="3329">
        <f>[1]zaboy!C200</f>
        <v>3000</v>
      </c>
      <c r="D201" s="3329">
        <f>[1]zaboy!D200</f>
        <v>3000</v>
      </c>
      <c r="E201" s="3329">
        <f>[1]zaboy!E200</f>
        <v>3000</v>
      </c>
      <c r="F201" s="3329">
        <f>[1]zaboy!F200</f>
        <v>3000</v>
      </c>
      <c r="G201" s="3329">
        <f>[1]zaboy!G200</f>
        <v>3000</v>
      </c>
      <c r="I201" s="3858"/>
      <c r="J201" s="3833"/>
      <c r="L201" s="3859"/>
      <c r="M201" s="3859"/>
      <c r="N201" s="3859"/>
      <c r="O201" s="3859"/>
    </row>
    <row r="202" spans="1:15" s="3309" customFormat="1" ht="15" x14ac:dyDescent="0.2">
      <c r="A202" s="3862" t="s">
        <v>6393</v>
      </c>
      <c r="B202" s="3329">
        <f>[1]zaboy!B198</f>
        <v>20</v>
      </c>
      <c r="C202" s="3329">
        <f>[1]zaboy!C198</f>
        <v>20</v>
      </c>
      <c r="D202" s="3329">
        <f>[1]zaboy!D198</f>
        <v>20</v>
      </c>
      <c r="E202" s="3329">
        <f>[1]zaboy!E198</f>
        <v>20</v>
      </c>
      <c r="F202" s="3329">
        <f>[1]zaboy!F198</f>
        <v>20</v>
      </c>
      <c r="G202" s="3329">
        <f>[1]zaboy!G198</f>
        <v>20</v>
      </c>
      <c r="I202" s="3858"/>
      <c r="J202" s="3833"/>
      <c r="L202" s="3859"/>
      <c r="M202" s="3859"/>
      <c r="N202" s="3859"/>
      <c r="O202" s="3859"/>
    </row>
    <row r="203" spans="1:15" s="3309" customFormat="1" ht="15" x14ac:dyDescent="0.2">
      <c r="A203" s="3862" t="s">
        <v>6392</v>
      </c>
      <c r="B203" s="3329">
        <f>[1]zaboy!B223</f>
        <v>20</v>
      </c>
      <c r="C203" s="3329">
        <f>[1]zaboy!C223</f>
        <v>20</v>
      </c>
      <c r="D203" s="3329">
        <f>[1]zaboy!D223</f>
        <v>20</v>
      </c>
      <c r="E203" s="3329">
        <f>[1]zaboy!E223</f>
        <v>20</v>
      </c>
      <c r="F203" s="3329">
        <f>[1]zaboy!F223</f>
        <v>20</v>
      </c>
      <c r="G203" s="3329">
        <f>[1]zaboy!G223</f>
        <v>20</v>
      </c>
      <c r="I203" s="3858"/>
      <c r="J203" s="3833"/>
      <c r="L203" s="3859"/>
      <c r="M203" s="3859"/>
      <c r="N203" s="3859"/>
      <c r="O203" s="3859"/>
    </row>
    <row r="204" spans="1:15" s="3309" customFormat="1" ht="30" customHeight="1" x14ac:dyDescent="0.2">
      <c r="A204" s="3862" t="s">
        <v>6391</v>
      </c>
      <c r="B204" s="3329">
        <f>[1]zaboy!B191</f>
        <v>30</v>
      </c>
      <c r="C204" s="3329">
        <f>[1]zaboy!C191</f>
        <v>30</v>
      </c>
      <c r="D204" s="3329">
        <f>[1]zaboy!D191</f>
        <v>30</v>
      </c>
      <c r="E204" s="3329">
        <f>[1]zaboy!E191</f>
        <v>30</v>
      </c>
      <c r="F204" s="3329">
        <f>[1]zaboy!F191</f>
        <v>30</v>
      </c>
      <c r="G204" s="3329">
        <f>[1]zaboy!G191</f>
        <v>30</v>
      </c>
      <c r="I204" s="3858"/>
      <c r="J204" s="3833"/>
      <c r="L204" s="3859"/>
      <c r="M204" s="3859"/>
      <c r="N204" s="3859"/>
      <c r="O204" s="3859"/>
    </row>
    <row r="205" spans="1:15" s="3309" customFormat="1" ht="15" x14ac:dyDescent="0.2">
      <c r="A205" s="3862" t="s">
        <v>6390</v>
      </c>
      <c r="B205" s="3329">
        <f>[1]zaboy!B222</f>
        <v>10</v>
      </c>
      <c r="C205" s="3329">
        <f>[1]zaboy!C222</f>
        <v>10</v>
      </c>
      <c r="D205" s="3329">
        <f>[1]zaboy!D222</f>
        <v>10</v>
      </c>
      <c r="E205" s="3329">
        <f>[1]zaboy!E222</f>
        <v>10</v>
      </c>
      <c r="F205" s="3329">
        <f>[1]zaboy!F222</f>
        <v>10</v>
      </c>
      <c r="G205" s="3329">
        <f>[1]zaboy!G222</f>
        <v>10</v>
      </c>
      <c r="I205" s="3858"/>
      <c r="J205" s="3833"/>
      <c r="L205" s="3859"/>
      <c r="M205" s="3859"/>
      <c r="N205" s="3859"/>
      <c r="O205" s="3859"/>
    </row>
    <row r="206" spans="1:15" s="3309" customFormat="1" ht="15" x14ac:dyDescent="0.2">
      <c r="A206" s="3863" t="s">
        <v>6389</v>
      </c>
      <c r="B206" s="3329">
        <f>[1]zaboy!B192</f>
        <v>4000</v>
      </c>
      <c r="C206" s="3329">
        <f>[1]zaboy!C192</f>
        <v>4000</v>
      </c>
      <c r="D206" s="3329">
        <f>[1]zaboy!D192</f>
        <v>4000</v>
      </c>
      <c r="E206" s="3329">
        <f>[1]zaboy!E192</f>
        <v>4000</v>
      </c>
      <c r="F206" s="3329">
        <f>[1]zaboy!F192</f>
        <v>4000</v>
      </c>
      <c r="G206" s="3329">
        <f>[1]zaboy!G192</f>
        <v>4000</v>
      </c>
      <c r="I206" s="3858"/>
      <c r="J206" s="3833"/>
      <c r="L206" s="3859"/>
      <c r="M206" s="3859"/>
      <c r="N206" s="3859"/>
      <c r="O206" s="3859"/>
    </row>
    <row r="207" spans="1:15" s="3309" customFormat="1" ht="15.75" x14ac:dyDescent="0.25">
      <c r="A207" s="3737" t="s">
        <v>6388</v>
      </c>
      <c r="B207" s="3329">
        <f>[1]zaboy!B175</f>
        <v>600</v>
      </c>
      <c r="C207" s="3329">
        <f>[1]zaboy!C175</f>
        <v>600</v>
      </c>
      <c r="D207" s="3329">
        <f>[1]zaboy!D175</f>
        <v>600</v>
      </c>
      <c r="E207" s="3329">
        <f>[1]zaboy!E175</f>
        <v>600</v>
      </c>
      <c r="F207" s="3329">
        <f>[1]zaboy!F175</f>
        <v>600</v>
      </c>
      <c r="G207" s="3329">
        <f>[1]zaboy!G175</f>
        <v>600</v>
      </c>
      <c r="I207" s="3840"/>
      <c r="J207" s="3861"/>
      <c r="L207" s="3859"/>
      <c r="M207" s="3859"/>
      <c r="N207" s="3859"/>
      <c r="O207" s="3859"/>
    </row>
    <row r="208" spans="1:15" s="3309" customFormat="1" ht="15" x14ac:dyDescent="0.2">
      <c r="A208" s="3862" t="s">
        <v>6043</v>
      </c>
      <c r="B208" s="3329">
        <f>[1]zaboy!B197</f>
        <v>10</v>
      </c>
      <c r="C208" s="3329">
        <f>[1]zaboy!C197</f>
        <v>10</v>
      </c>
      <c r="D208" s="3329">
        <f>[1]zaboy!D197</f>
        <v>10</v>
      </c>
      <c r="E208" s="3329">
        <f>[1]zaboy!E197</f>
        <v>10</v>
      </c>
      <c r="F208" s="3329">
        <f>[1]zaboy!F197</f>
        <v>10</v>
      </c>
      <c r="G208" s="3329">
        <f>[1]zaboy!G197</f>
        <v>10</v>
      </c>
      <c r="I208" s="3858"/>
      <c r="J208" s="3861"/>
      <c r="L208" s="3859"/>
      <c r="M208" s="3859"/>
      <c r="N208" s="3859"/>
      <c r="O208" s="3859"/>
    </row>
    <row r="209" spans="1:15" s="3309" customFormat="1" x14ac:dyDescent="0.2">
      <c r="A209" s="3860" t="s">
        <v>6387</v>
      </c>
      <c r="B209" s="3329">
        <f>[1]zaboy!B178</f>
        <v>5000</v>
      </c>
      <c r="C209" s="3329">
        <f>[1]zaboy!C178</f>
        <v>5000</v>
      </c>
      <c r="D209" s="3329">
        <f>[1]zaboy!D178</f>
        <v>5000</v>
      </c>
      <c r="E209" s="3329">
        <f>[1]zaboy!E178</f>
        <v>5000</v>
      </c>
      <c r="F209" s="3329">
        <f>[1]zaboy!F178</f>
        <v>5000</v>
      </c>
      <c r="G209" s="3329">
        <f>[1]zaboy!G178</f>
        <v>5000</v>
      </c>
      <c r="L209" s="3859"/>
      <c r="M209" s="3859"/>
      <c r="N209" s="3859"/>
      <c r="O209" s="3859"/>
    </row>
    <row r="210" spans="1:15" s="3309" customFormat="1" x14ac:dyDescent="0.2">
      <c r="A210" s="3860" t="s">
        <v>6386</v>
      </c>
      <c r="B210" s="3329"/>
      <c r="C210" s="3329"/>
      <c r="D210" s="3329"/>
      <c r="E210" s="3329"/>
      <c r="F210" s="3329"/>
      <c r="G210" s="3329"/>
      <c r="L210" s="3859"/>
      <c r="M210" s="3859"/>
      <c r="N210" s="3859"/>
      <c r="O210" s="3859"/>
    </row>
    <row r="211" spans="1:15" s="3309" customFormat="1" ht="15" x14ac:dyDescent="0.2">
      <c r="A211" s="3536" t="s">
        <v>6385</v>
      </c>
      <c r="B211" s="3329">
        <f>[1]zaboy!B199</f>
        <v>70</v>
      </c>
      <c r="C211" s="3329">
        <f>[1]zaboy!C199</f>
        <v>70</v>
      </c>
      <c r="D211" s="3329">
        <f>[1]zaboy!D199</f>
        <v>70</v>
      </c>
      <c r="E211" s="3329">
        <f>[1]zaboy!E199</f>
        <v>70</v>
      </c>
      <c r="F211" s="3329">
        <f>[1]zaboy!F199</f>
        <v>70</v>
      </c>
      <c r="G211" s="3329">
        <f>[1]zaboy!G199</f>
        <v>70</v>
      </c>
      <c r="H211" s="3314"/>
      <c r="I211" s="3858"/>
      <c r="J211" s="3836"/>
      <c r="K211" s="3314"/>
    </row>
    <row r="212" spans="1:15" s="3309" customFormat="1" ht="15" x14ac:dyDescent="0.2">
      <c r="A212" s="3536" t="s">
        <v>6384</v>
      </c>
      <c r="B212" s="3329">
        <f>[1]zaboy!B202</f>
        <v>2000</v>
      </c>
      <c r="C212" s="3329">
        <f>[1]zaboy!C202</f>
        <v>2000</v>
      </c>
      <c r="D212" s="3329">
        <f>[1]zaboy!D202</f>
        <v>2000</v>
      </c>
      <c r="E212" s="3329">
        <f>[1]zaboy!E202</f>
        <v>2000</v>
      </c>
      <c r="F212" s="3329">
        <f>[1]zaboy!F202</f>
        <v>2000</v>
      </c>
      <c r="G212" s="3329">
        <f>[1]zaboy!G202</f>
        <v>2000</v>
      </c>
      <c r="H212" s="3314"/>
      <c r="I212" s="3858"/>
      <c r="J212" s="3836"/>
      <c r="K212" s="3314"/>
    </row>
    <row r="213" spans="1:15" s="3309" customFormat="1" x14ac:dyDescent="0.2">
      <c r="A213" s="3536" t="s">
        <v>6383</v>
      </c>
      <c r="B213" s="3329">
        <f>[1]zaboy!B201</f>
        <v>1000</v>
      </c>
      <c r="C213" s="3329">
        <f>[1]zaboy!C201</f>
        <v>1000</v>
      </c>
      <c r="D213" s="3329">
        <f>[1]zaboy!D201</f>
        <v>1000</v>
      </c>
      <c r="E213" s="3329">
        <f>[1]zaboy!E201</f>
        <v>1000</v>
      </c>
      <c r="F213" s="3329">
        <f>[1]zaboy!F201</f>
        <v>1000</v>
      </c>
      <c r="G213" s="3329">
        <f>[1]zaboy!G201</f>
        <v>1000</v>
      </c>
      <c r="H213" s="3314"/>
      <c r="I213" s="3314"/>
      <c r="J213" s="3833"/>
      <c r="K213" s="3314"/>
    </row>
    <row r="214" spans="1:15" s="3309" customFormat="1" x14ac:dyDescent="0.2">
      <c r="A214" s="3536" t="s">
        <v>6382</v>
      </c>
      <c r="B214" s="3329">
        <f>[1]zaboy!B226</f>
        <v>12</v>
      </c>
      <c r="C214" s="3329">
        <f>[1]zaboy!C226</f>
        <v>12</v>
      </c>
      <c r="D214" s="3329">
        <f>[1]zaboy!D226</f>
        <v>12</v>
      </c>
      <c r="E214" s="3329">
        <f>[1]zaboy!E226</f>
        <v>12</v>
      </c>
      <c r="F214" s="3329">
        <f>[1]zaboy!F226</f>
        <v>12</v>
      </c>
      <c r="G214" s="3329">
        <f>[1]zaboy!G226</f>
        <v>12</v>
      </c>
      <c r="H214" s="3314"/>
      <c r="I214" s="3314"/>
      <c r="J214" s="3833"/>
      <c r="K214" s="3314"/>
    </row>
    <row r="215" spans="1:15" s="3309" customFormat="1" x14ac:dyDescent="0.2">
      <c r="A215" s="3536" t="s">
        <v>6381</v>
      </c>
      <c r="B215" s="3329">
        <f>[1]zaboy!B230</f>
        <v>12</v>
      </c>
      <c r="C215" s="3329">
        <f>[1]zaboy!C230</f>
        <v>12</v>
      </c>
      <c r="D215" s="3329">
        <f>[1]zaboy!D230</f>
        <v>12</v>
      </c>
      <c r="E215" s="3329">
        <f>[1]zaboy!E230</f>
        <v>12</v>
      </c>
      <c r="F215" s="3329">
        <f>[1]zaboy!F230</f>
        <v>12</v>
      </c>
      <c r="G215" s="3329">
        <f>[1]zaboy!G230</f>
        <v>12</v>
      </c>
      <c r="H215" s="3314"/>
      <c r="I215" s="3314"/>
      <c r="J215" s="3833"/>
      <c r="K215" s="3314"/>
    </row>
    <row r="216" spans="1:15" s="3309" customFormat="1" x14ac:dyDescent="0.2">
      <c r="A216" s="3536" t="s">
        <v>6380</v>
      </c>
      <c r="B216" s="3329">
        <f>[1]zaboy!B227</f>
        <v>12</v>
      </c>
      <c r="C216" s="3329">
        <f>[1]zaboy!C227</f>
        <v>12</v>
      </c>
      <c r="D216" s="3329">
        <f>[1]zaboy!D227</f>
        <v>12</v>
      </c>
      <c r="E216" s="3329">
        <f>[1]zaboy!E227</f>
        <v>12</v>
      </c>
      <c r="F216" s="3329">
        <f>[1]zaboy!F227</f>
        <v>12</v>
      </c>
      <c r="G216" s="3329">
        <f>[1]zaboy!G227</f>
        <v>12</v>
      </c>
      <c r="J216" s="3833"/>
    </row>
    <row r="217" spans="1:15" s="3309" customFormat="1" x14ac:dyDescent="0.2">
      <c r="A217" s="3536" t="s">
        <v>6379</v>
      </c>
      <c r="B217" s="3329">
        <f>[1]zaboy!B229</f>
        <v>36</v>
      </c>
      <c r="C217" s="3329">
        <f>[1]zaboy!C229</f>
        <v>36</v>
      </c>
      <c r="D217" s="3329">
        <f>[1]zaboy!D229</f>
        <v>36</v>
      </c>
      <c r="E217" s="3329">
        <f>[1]zaboy!E229</f>
        <v>36</v>
      </c>
      <c r="F217" s="3329">
        <f>[1]zaboy!F229</f>
        <v>36</v>
      </c>
      <c r="G217" s="3329">
        <f>[1]zaboy!G229</f>
        <v>36</v>
      </c>
      <c r="J217" s="3833"/>
    </row>
    <row r="218" spans="1:15" s="3309" customFormat="1" x14ac:dyDescent="0.2">
      <c r="A218" s="3536" t="s">
        <v>6378</v>
      </c>
      <c r="B218" s="3329">
        <f>[1]zaboy!B228</f>
        <v>24</v>
      </c>
      <c r="C218" s="3329">
        <f>[1]zaboy!C228</f>
        <v>24</v>
      </c>
      <c r="D218" s="3329">
        <f>[1]zaboy!D228</f>
        <v>24</v>
      </c>
      <c r="E218" s="3329">
        <f>[1]zaboy!E228</f>
        <v>24</v>
      </c>
      <c r="F218" s="3329">
        <f>[1]zaboy!F228</f>
        <v>24</v>
      </c>
      <c r="G218" s="3329">
        <f>[1]zaboy!G228</f>
        <v>24</v>
      </c>
      <c r="J218" s="3833"/>
    </row>
    <row r="219" spans="1:15" s="3309" customFormat="1" x14ac:dyDescent="0.2">
      <c r="A219" s="3536" t="s">
        <v>6377</v>
      </c>
      <c r="B219" s="3329">
        <f>[1]zaboy!B212</f>
        <v>33</v>
      </c>
      <c r="C219" s="3329">
        <f>[1]zaboy!C212</f>
        <v>33</v>
      </c>
      <c r="D219" s="3329">
        <f>[1]zaboy!D212</f>
        <v>33</v>
      </c>
      <c r="E219" s="3329">
        <f>[1]zaboy!E212</f>
        <v>33</v>
      </c>
      <c r="F219" s="3329">
        <f>[1]zaboy!F212</f>
        <v>33</v>
      </c>
      <c r="G219" s="3329">
        <f>[1]zaboy!G212</f>
        <v>33</v>
      </c>
      <c r="J219" s="3833"/>
    </row>
    <row r="220" spans="1:15" s="3309" customFormat="1" ht="29.25" customHeight="1" x14ac:dyDescent="0.2">
      <c r="A220" s="3536" t="s">
        <v>6376</v>
      </c>
      <c r="B220" s="3329">
        <f>[1]zaboy!B211</f>
        <v>33</v>
      </c>
      <c r="C220" s="3329">
        <f>[1]zaboy!C211</f>
        <v>33</v>
      </c>
      <c r="D220" s="3329">
        <f>[1]zaboy!D211</f>
        <v>33</v>
      </c>
      <c r="E220" s="3329">
        <f>[1]zaboy!E211</f>
        <v>33</v>
      </c>
      <c r="F220" s="3329">
        <f>[1]zaboy!F211</f>
        <v>33</v>
      </c>
      <c r="G220" s="3329">
        <f>[1]zaboy!G211</f>
        <v>33</v>
      </c>
      <c r="J220" s="3833"/>
    </row>
    <row r="221" spans="1:15" s="3309" customFormat="1" ht="15.75" x14ac:dyDescent="0.25">
      <c r="A221" s="3835" t="s">
        <v>6375</v>
      </c>
      <c r="B221" s="3329">
        <f>[1]zaboy!B180</f>
        <v>1.1000000000000001</v>
      </c>
      <c r="C221" s="3329">
        <f>[1]zaboy!C180</f>
        <v>1.1000000000000001</v>
      </c>
      <c r="D221" s="3329">
        <f>[1]zaboy!D180</f>
        <v>1.1000000000000001</v>
      </c>
      <c r="E221" s="3329">
        <f>[1]zaboy!E180</f>
        <v>1.1000000000000001</v>
      </c>
      <c r="F221" s="3329">
        <f>[1]zaboy!F180</f>
        <v>1.1000000000000001</v>
      </c>
      <c r="G221" s="3329">
        <f>[1]zaboy!G180</f>
        <v>1.1000000000000001</v>
      </c>
      <c r="J221" s="3833"/>
    </row>
    <row r="222" spans="1:15" s="3309" customFormat="1" ht="13.5" thickBot="1" x14ac:dyDescent="0.25">
      <c r="A222" s="3536" t="s">
        <v>6374</v>
      </c>
      <c r="B222" s="3329">
        <f>[1]zaboy!B143</f>
        <v>2</v>
      </c>
      <c r="C222" s="3329">
        <f>[1]zaboy!C143</f>
        <v>2</v>
      </c>
      <c r="D222" s="3329">
        <f>[1]zaboy!D143</f>
        <v>2</v>
      </c>
      <c r="E222" s="3329">
        <f>[1]zaboy!E143</f>
        <v>2</v>
      </c>
      <c r="F222" s="3329">
        <f>[1]zaboy!F143</f>
        <v>2</v>
      </c>
      <c r="G222" s="3329">
        <f>[1]zaboy!G143</f>
        <v>2</v>
      </c>
      <c r="J222" s="3833"/>
    </row>
    <row r="223" spans="1:15" s="3309" customFormat="1" x14ac:dyDescent="0.2">
      <c r="A223" s="3857" t="s">
        <v>6373</v>
      </c>
      <c r="B223" s="3329">
        <f>[1]zaboy!B225</f>
        <v>5</v>
      </c>
      <c r="C223" s="3329">
        <f>[1]zaboy!C225</f>
        <v>5</v>
      </c>
      <c r="D223" s="3329">
        <f>[1]zaboy!D225</f>
        <v>5</v>
      </c>
      <c r="E223" s="3329">
        <f>[1]zaboy!E225</f>
        <v>5</v>
      </c>
      <c r="F223" s="3329">
        <f>[1]zaboy!F225</f>
        <v>5</v>
      </c>
      <c r="G223" s="3329">
        <f>[1]zaboy!G225</f>
        <v>5</v>
      </c>
      <c r="J223" s="3833"/>
    </row>
    <row r="224" spans="1:15" s="3309" customFormat="1" ht="18.75" customHeight="1" x14ac:dyDescent="0.2">
      <c r="A224" s="3737" t="s">
        <v>6372</v>
      </c>
      <c r="B224" s="3329">
        <f>[1]zaboy!B224</f>
        <v>3</v>
      </c>
      <c r="C224" s="3329">
        <f>[1]zaboy!C224</f>
        <v>3</v>
      </c>
      <c r="D224" s="3329">
        <f>[1]zaboy!D224</f>
        <v>3</v>
      </c>
      <c r="E224" s="3329">
        <f>[1]zaboy!E224</f>
        <v>3</v>
      </c>
      <c r="F224" s="3329">
        <f>[1]zaboy!F224</f>
        <v>3</v>
      </c>
      <c r="G224" s="3329">
        <f>[1]zaboy!G224</f>
        <v>3</v>
      </c>
      <c r="J224" s="3833"/>
    </row>
    <row r="225" spans="1:16" s="3309" customFormat="1" x14ac:dyDescent="0.2">
      <c r="B225" s="3855"/>
      <c r="C225" s="3855"/>
      <c r="D225" s="3855"/>
      <c r="E225" s="3855"/>
      <c r="F225" s="3855"/>
      <c r="G225" s="3855"/>
      <c r="J225" s="3856"/>
    </row>
    <row r="226" spans="1:16" s="3309" customFormat="1" x14ac:dyDescent="0.2">
      <c r="A226" s="3833" t="s">
        <v>6371</v>
      </c>
      <c r="B226" s="3329">
        <f>[1]zaboy!B190</f>
        <v>100000</v>
      </c>
      <c r="C226" s="3329">
        <f>[1]zaboy!C190</f>
        <v>100000</v>
      </c>
      <c r="D226" s="3329">
        <f>[1]zaboy!D190</f>
        <v>100000</v>
      </c>
      <c r="E226" s="3329">
        <f>[1]zaboy!E190</f>
        <v>100000</v>
      </c>
      <c r="F226" s="3329">
        <f>[1]zaboy!F190</f>
        <v>100000</v>
      </c>
      <c r="G226" s="3329">
        <f>[1]zaboy!G190</f>
        <v>100000</v>
      </c>
      <c r="J226" s="3833"/>
      <c r="P226" s="3323"/>
    </row>
    <row r="227" spans="1:16" s="3309" customFormat="1" x14ac:dyDescent="0.2">
      <c r="A227" s="3536" t="s">
        <v>6370</v>
      </c>
      <c r="B227" s="3329">
        <f>[1]zaboy!B215</f>
        <v>80</v>
      </c>
      <c r="C227" s="3329">
        <f>[1]zaboy!C215</f>
        <v>80</v>
      </c>
      <c r="D227" s="3329">
        <f>[1]zaboy!D215</f>
        <v>80</v>
      </c>
      <c r="E227" s="3329">
        <f>[1]zaboy!E215</f>
        <v>80</v>
      </c>
      <c r="F227" s="3329">
        <f>[1]zaboy!F215</f>
        <v>80</v>
      </c>
      <c r="G227" s="3329">
        <f>[1]zaboy!G215</f>
        <v>80</v>
      </c>
      <c r="J227" s="3832"/>
    </row>
    <row r="228" spans="1:16" s="3309" customFormat="1" x14ac:dyDescent="0.2">
      <c r="B228" s="3855"/>
      <c r="C228" s="3855"/>
      <c r="D228" s="3855"/>
      <c r="E228" s="3855"/>
      <c r="F228" s="3855"/>
      <c r="G228" s="3855"/>
    </row>
    <row r="229" spans="1:16" s="3309" customFormat="1" x14ac:dyDescent="0.2">
      <c r="B229" s="3855"/>
      <c r="C229" s="3855"/>
      <c r="D229" s="3855"/>
      <c r="E229" s="3855"/>
      <c r="F229" s="3855"/>
      <c r="G229" s="3855"/>
    </row>
    <row r="230" spans="1:16" s="3309" customFormat="1" x14ac:dyDescent="0.2">
      <c r="B230" s="3855"/>
      <c r="C230" s="3855"/>
      <c r="D230" s="3855"/>
      <c r="E230" s="3855"/>
      <c r="F230" s="3855"/>
      <c r="G230" s="3855"/>
    </row>
    <row r="231" spans="1:16" s="3309" customFormat="1" x14ac:dyDescent="0.2">
      <c r="B231" s="3855"/>
      <c r="C231" s="3855"/>
      <c r="D231" s="3855"/>
      <c r="E231" s="3855"/>
      <c r="F231" s="3855"/>
      <c r="G231" s="3855"/>
      <c r="K231" s="3338"/>
    </row>
    <row r="232" spans="1:16" s="3309" customFormat="1" ht="25.5" x14ac:dyDescent="0.2">
      <c r="A232" s="3854" t="s">
        <v>1507</v>
      </c>
      <c r="B232" s="3329">
        <f>kursovoy!B2249</f>
        <v>4</v>
      </c>
      <c r="C232" s="3329"/>
      <c r="D232" s="3329"/>
      <c r="E232" s="3329"/>
      <c r="F232" s="3329"/>
      <c r="G232" s="3329"/>
      <c r="H232" s="3904"/>
      <c r="J232" s="3339"/>
      <c r="K232" s="3853"/>
    </row>
    <row r="233" spans="1:16" s="3309" customFormat="1" ht="25.5" x14ac:dyDescent="0.2">
      <c r="A233" s="3737" t="s">
        <v>6369</v>
      </c>
      <c r="B233" s="3329" t="str">
        <f>kursovoy!B207</f>
        <v/>
      </c>
      <c r="C233" s="3329"/>
      <c r="D233" s="3329"/>
      <c r="E233" s="3329"/>
      <c r="F233" s="3329"/>
      <c r="G233" s="3329"/>
      <c r="H233" s="3904"/>
      <c r="J233" s="3339"/>
      <c r="K233" s="3833"/>
    </row>
    <row r="234" spans="1:16" s="3309" customFormat="1" ht="13.5" thickBot="1" x14ac:dyDescent="0.25">
      <c r="A234" s="3852" t="s">
        <v>6368</v>
      </c>
      <c r="B234" s="3481">
        <v>0</v>
      </c>
      <c r="C234" s="3329"/>
      <c r="D234" s="3329"/>
      <c r="E234" s="3329"/>
      <c r="F234" s="3329"/>
      <c r="G234" s="3329"/>
      <c r="J234" s="3339"/>
      <c r="K234" s="3833"/>
    </row>
    <row r="235" spans="1:16" s="3309" customFormat="1" x14ac:dyDescent="0.2">
      <c r="A235" s="3756" t="s">
        <v>6367</v>
      </c>
      <c r="B235" s="3329">
        <f>обор!F824</f>
        <v>0</v>
      </c>
      <c r="C235" s="3329"/>
      <c r="D235" s="3329"/>
      <c r="E235" s="3329"/>
      <c r="F235" s="3329"/>
      <c r="G235" s="3329"/>
      <c r="H235" s="3904"/>
      <c r="J235" s="3339"/>
      <c r="K235" s="3833"/>
    </row>
    <row r="236" spans="1:16" s="3309" customFormat="1" x14ac:dyDescent="0.2">
      <c r="A236" s="3851" t="s">
        <v>6358</v>
      </c>
      <c r="B236" s="3481">
        <v>3</v>
      </c>
      <c r="C236" s="3329"/>
      <c r="D236" s="3329"/>
      <c r="E236" s="3329"/>
      <c r="F236" s="3329"/>
      <c r="G236" s="3329"/>
      <c r="J236" s="3339"/>
      <c r="K236" s="3833"/>
    </row>
    <row r="237" spans="1:16" s="3309" customFormat="1" x14ac:dyDescent="0.2">
      <c r="A237" s="3753" t="s">
        <v>6366</v>
      </c>
      <c r="B237" s="3481">
        <f>[1]zaboy!B150</f>
        <v>1</v>
      </c>
      <c r="C237" s="3329"/>
      <c r="D237" s="3329"/>
      <c r="E237" s="3329"/>
      <c r="F237" s="3329"/>
      <c r="G237" s="3329"/>
      <c r="H237" s="3904"/>
      <c r="J237" s="3339"/>
      <c r="K237" s="3833"/>
    </row>
    <row r="238" spans="1:16" s="3309" customFormat="1" ht="25.5" x14ac:dyDescent="0.2">
      <c r="A238" s="3737" t="s">
        <v>6365</v>
      </c>
      <c r="B238" s="3329">
        <f>IF(обор!F810=1.26,1,2)</f>
        <v>2</v>
      </c>
      <c r="C238" s="3329"/>
      <c r="D238" s="3329"/>
      <c r="E238" s="3329"/>
      <c r="F238" s="3329"/>
      <c r="G238" s="3329"/>
      <c r="H238" s="3904"/>
      <c r="J238" s="3339"/>
      <c r="K238" s="3833"/>
    </row>
    <row r="239" spans="1:16" s="3309" customFormat="1" ht="15.75" x14ac:dyDescent="0.25">
      <c r="A239" s="3849" t="s">
        <v>6364</v>
      </c>
      <c r="B239" s="3329">
        <f>ком!G228</f>
        <v>20</v>
      </c>
      <c r="C239" s="3329"/>
      <c r="D239" s="3329"/>
      <c r="E239" s="3329"/>
      <c r="F239" s="3329"/>
      <c r="G239" s="3329"/>
      <c r="H239" s="3904"/>
      <c r="J239" s="3339"/>
      <c r="K239" s="3840"/>
    </row>
    <row r="240" spans="1:16" s="3309" customFormat="1" ht="15.75" x14ac:dyDescent="0.25">
      <c r="A240" s="3850" t="s">
        <v>6363</v>
      </c>
      <c r="B240" s="3329">
        <f>ком!G229</f>
        <v>20</v>
      </c>
      <c r="C240" s="3329"/>
      <c r="D240" s="3329"/>
      <c r="E240" s="3329"/>
      <c r="F240" s="3329"/>
      <c r="G240" s="3329"/>
      <c r="H240" s="3904"/>
      <c r="J240" s="3944"/>
      <c r="K240" s="3945" t="s">
        <v>6444</v>
      </c>
      <c r="L240" s="3946"/>
      <c r="M240" s="3952" t="str">
        <f>kursovoy!B404</f>
        <v/>
      </c>
    </row>
    <row r="241" spans="1:12" s="3309" customFormat="1" ht="15.75" x14ac:dyDescent="0.25">
      <c r="A241" s="3849" t="s">
        <v>6362</v>
      </c>
      <c r="B241" s="3481">
        <v>6</v>
      </c>
      <c r="C241" s="3329"/>
      <c r="D241" s="3329"/>
      <c r="E241" s="3329"/>
      <c r="F241" s="3329"/>
      <c r="G241" s="3329"/>
      <c r="H241" s="3904"/>
      <c r="J241" s="3947" t="s">
        <v>6443</v>
      </c>
      <c r="K241" s="3840" t="s">
        <v>5126</v>
      </c>
      <c r="L241" s="3948" t="s">
        <v>3877</v>
      </c>
    </row>
    <row r="242" spans="1:12" s="3309" customFormat="1" ht="31.5" x14ac:dyDescent="0.25">
      <c r="A242" s="3848" t="s">
        <v>6361</v>
      </c>
      <c r="B242" s="3329">
        <f>INDEX(K242:L243,IF(kursovoy!B216=0,1,2),IF(kursovoy!B404&lt;1.21,1,2))</f>
        <v>1</v>
      </c>
      <c r="C242" s="3329"/>
      <c r="D242" s="3329"/>
      <c r="E242" s="3329"/>
      <c r="F242" s="3329"/>
      <c r="G242" s="3329"/>
      <c r="H242" s="3904"/>
      <c r="J242" s="3947">
        <v>0</v>
      </c>
      <c r="K242" s="3840">
        <v>2</v>
      </c>
      <c r="L242" s="3948">
        <v>1</v>
      </c>
    </row>
    <row r="243" spans="1:12" s="3309" customFormat="1" ht="63" x14ac:dyDescent="0.25">
      <c r="A243" s="3848" t="s">
        <v>6360</v>
      </c>
      <c r="B243" s="3481">
        <v>2</v>
      </c>
      <c r="C243" s="3329"/>
      <c r="D243" s="3329"/>
      <c r="E243" s="3329"/>
      <c r="F243" s="3329"/>
      <c r="G243" s="3329"/>
      <c r="H243" s="3904"/>
      <c r="J243" s="3949">
        <v>1</v>
      </c>
      <c r="K243" s="3950">
        <v>1</v>
      </c>
      <c r="L243" s="3951">
        <v>1</v>
      </c>
    </row>
    <row r="244" spans="1:12" s="3309" customFormat="1" ht="31.5" x14ac:dyDescent="0.2">
      <c r="A244" s="3847" t="s">
        <v>6359</v>
      </c>
      <c r="B244" s="3481">
        <v>2</v>
      </c>
      <c r="C244" s="3329"/>
      <c r="D244" s="3329"/>
      <c r="E244" s="3329"/>
      <c r="F244" s="3329"/>
      <c r="G244" s="3329"/>
      <c r="H244" s="3904"/>
      <c r="J244" s="3339"/>
      <c r="K244" s="3846"/>
    </row>
    <row r="245" spans="1:12" s="3309" customFormat="1" x14ac:dyDescent="0.2">
      <c r="A245" s="3568" t="s">
        <v>6358</v>
      </c>
      <c r="B245" s="3943">
        <v>3</v>
      </c>
      <c r="C245" s="3329"/>
      <c r="D245" s="3329"/>
      <c r="E245" s="3329"/>
      <c r="F245" s="3329"/>
      <c r="G245" s="3329"/>
      <c r="H245" s="3904"/>
      <c r="I245" s="3323"/>
      <c r="J245" s="3339"/>
      <c r="K245" s="3833"/>
    </row>
    <row r="246" spans="1:12" s="3309" customFormat="1" ht="25.5" x14ac:dyDescent="0.2">
      <c r="A246" s="3845" t="s">
        <v>5568</v>
      </c>
      <c r="B246" s="3481">
        <v>2</v>
      </c>
      <c r="C246" s="3329"/>
      <c r="D246" s="3329"/>
      <c r="E246" s="3329"/>
      <c r="F246" s="3329"/>
      <c r="G246" s="3329"/>
      <c r="J246" s="3339"/>
      <c r="K246" s="3844"/>
    </row>
    <row r="247" spans="1:12" s="3309" customFormat="1" x14ac:dyDescent="0.2">
      <c r="A247" s="3843" t="s">
        <v>1508</v>
      </c>
      <c r="B247" s="3329">
        <f>kursovoy!B2250</f>
        <v>2.2000000000000002</v>
      </c>
      <c r="C247" s="3329"/>
      <c r="D247" s="3329"/>
      <c r="E247" s="3329"/>
      <c r="F247" s="3329"/>
      <c r="G247" s="3329"/>
      <c r="J247" s="3339"/>
      <c r="K247" s="3842"/>
    </row>
    <row r="248" spans="1:12" s="3309" customFormat="1" x14ac:dyDescent="0.2">
      <c r="A248" s="3737" t="s">
        <v>6357</v>
      </c>
      <c r="B248" s="3329">
        <f>[1]zaboy!B213</f>
        <v>3</v>
      </c>
      <c r="C248" s="3329">
        <f>[1]zaboy!C213</f>
        <v>3</v>
      </c>
      <c r="D248" s="3329">
        <f>[1]zaboy!D213</f>
        <v>3</v>
      </c>
      <c r="E248" s="3329">
        <f>[1]zaboy!E213</f>
        <v>3</v>
      </c>
      <c r="F248" s="3329">
        <f>[1]zaboy!F213</f>
        <v>3</v>
      </c>
      <c r="G248" s="3329">
        <f>[1]zaboy!G213</f>
        <v>3</v>
      </c>
      <c r="J248" s="3339"/>
      <c r="K248" s="3833"/>
    </row>
    <row r="249" spans="1:12" s="3309" customFormat="1" x14ac:dyDescent="0.2">
      <c r="A249" s="3737" t="s">
        <v>6356</v>
      </c>
      <c r="B249" s="3329">
        <f>[1]zaboy!B177</f>
        <v>800</v>
      </c>
      <c r="C249" s="3329">
        <f>[1]zaboy!C177</f>
        <v>800</v>
      </c>
      <c r="D249" s="3329">
        <f>[1]zaboy!D177</f>
        <v>800</v>
      </c>
      <c r="E249" s="3329">
        <f>[1]zaboy!E177</f>
        <v>800</v>
      </c>
      <c r="F249" s="3329">
        <f>[1]zaboy!F177</f>
        <v>800</v>
      </c>
      <c r="G249" s="3329">
        <f>[1]zaboy!G177</f>
        <v>800</v>
      </c>
      <c r="H249" s="3970"/>
      <c r="J249" s="3339"/>
      <c r="K249" s="3833"/>
    </row>
    <row r="250" spans="1:12" s="3309" customFormat="1" x14ac:dyDescent="0.2">
      <c r="A250" s="3737" t="s">
        <v>6355</v>
      </c>
      <c r="B250" s="3329">
        <f>[1]zaboy!B214</f>
        <v>2</v>
      </c>
      <c r="C250" s="3329">
        <f>[1]zaboy!C214</f>
        <v>2</v>
      </c>
      <c r="D250" s="3329">
        <f>[1]zaboy!D214</f>
        <v>2</v>
      </c>
      <c r="E250" s="3329">
        <f>[1]zaboy!E214</f>
        <v>2</v>
      </c>
      <c r="F250" s="3329">
        <f>[1]zaboy!F214</f>
        <v>2</v>
      </c>
      <c r="G250" s="3329">
        <f>[1]zaboy!G214</f>
        <v>2</v>
      </c>
      <c r="H250" s="3970"/>
      <c r="J250" s="3339"/>
      <c r="K250" s="3833"/>
    </row>
    <row r="251" spans="1:12" s="3309" customFormat="1" x14ac:dyDescent="0.2">
      <c r="A251" s="3841" t="s">
        <v>6354</v>
      </c>
      <c r="B251" s="3329">
        <f>[1]zaboy!B176</f>
        <v>10000</v>
      </c>
      <c r="C251" s="3329">
        <f>[1]zaboy!C176</f>
        <v>10000</v>
      </c>
      <c r="D251" s="3329">
        <f>[1]zaboy!D176</f>
        <v>10000</v>
      </c>
      <c r="E251" s="3329">
        <f>[1]zaboy!E176</f>
        <v>10000</v>
      </c>
      <c r="F251" s="3329">
        <f>[1]zaboy!F176</f>
        <v>10000</v>
      </c>
      <c r="G251" s="3329">
        <f>[1]zaboy!G176</f>
        <v>10000</v>
      </c>
      <c r="H251" s="3970"/>
      <c r="J251" s="3339"/>
      <c r="K251" s="3833"/>
    </row>
    <row r="252" spans="1:12" s="3309" customFormat="1" ht="78.75" x14ac:dyDescent="0.25">
      <c r="A252" s="3791" t="s">
        <v>6353</v>
      </c>
      <c r="B252" s="3329">
        <f>[1]zaboy!B126</f>
        <v>7</v>
      </c>
      <c r="C252" s="3329">
        <f>[1]zaboy!C126</f>
        <v>7</v>
      </c>
      <c r="D252" s="3329">
        <f>[1]zaboy!D126</f>
        <v>7</v>
      </c>
      <c r="E252" s="3329">
        <f>[1]zaboy!E126</f>
        <v>7</v>
      </c>
      <c r="F252" s="3329">
        <f>[1]zaboy!F126</f>
        <v>7</v>
      </c>
      <c r="G252" s="3329">
        <f>[1]zaboy!G126</f>
        <v>7</v>
      </c>
      <c r="H252" s="3970"/>
      <c r="J252" s="3339"/>
      <c r="K252" s="3840"/>
    </row>
    <row r="253" spans="1:12" s="3309" customFormat="1" ht="63" x14ac:dyDescent="0.25">
      <c r="A253" s="3791" t="s">
        <v>2925</v>
      </c>
      <c r="B253" s="3329">
        <f>[1]zaboy!B125</f>
        <v>5</v>
      </c>
      <c r="C253" s="3329">
        <f>[1]zaboy!C125</f>
        <v>5</v>
      </c>
      <c r="D253" s="3329">
        <f>[1]zaboy!D125</f>
        <v>5</v>
      </c>
      <c r="E253" s="3329">
        <f>[1]zaboy!E125</f>
        <v>5</v>
      </c>
      <c r="F253" s="3329">
        <f>[1]zaboy!F125</f>
        <v>5</v>
      </c>
      <c r="G253" s="3329">
        <f>[1]zaboy!G125</f>
        <v>5</v>
      </c>
      <c r="H253" s="3970"/>
      <c r="J253" s="3339"/>
      <c r="K253" s="3840"/>
    </row>
    <row r="254" spans="1:12" s="3309" customFormat="1" x14ac:dyDescent="0.2">
      <c r="A254" s="3741" t="s">
        <v>6352</v>
      </c>
      <c r="B254" s="3481" t="e">
        <f>[1]zaboy!#REF!</f>
        <v>#REF!</v>
      </c>
      <c r="C254" s="3481" t="e">
        <f>[1]zaboy!#REF!</f>
        <v>#REF!</v>
      </c>
      <c r="D254" s="3481" t="e">
        <f>[1]zaboy!#REF!</f>
        <v>#REF!</v>
      </c>
      <c r="E254" s="3481" t="e">
        <f>[1]zaboy!#REF!</f>
        <v>#REF!</v>
      </c>
      <c r="F254" s="3481" t="e">
        <f>[1]zaboy!#REF!</f>
        <v>#REF!</v>
      </c>
      <c r="G254" s="3481" t="e">
        <f>[1]zaboy!#REF!</f>
        <v>#REF!</v>
      </c>
      <c r="H254" s="3970"/>
      <c r="J254" s="3339"/>
      <c r="K254" s="3839"/>
    </row>
    <row r="255" spans="1:12" s="3309" customFormat="1" x14ac:dyDescent="0.2">
      <c r="A255" s="3753" t="s">
        <v>6351</v>
      </c>
      <c r="B255" s="3329">
        <f>[1]zaboy!B195</f>
        <v>20000000</v>
      </c>
      <c r="C255" s="3329">
        <f>[1]zaboy!C195</f>
        <v>20000000</v>
      </c>
      <c r="D255" s="3329">
        <f>[1]zaboy!D195</f>
        <v>20000000</v>
      </c>
      <c r="E255" s="3329">
        <f>[1]zaboy!E195</f>
        <v>20000000</v>
      </c>
      <c r="F255" s="3329">
        <f>[1]zaboy!F195</f>
        <v>20000000</v>
      </c>
      <c r="G255" s="3329">
        <f>[1]zaboy!G195</f>
        <v>20000000</v>
      </c>
      <c r="H255" s="3970"/>
      <c r="J255" s="3339"/>
      <c r="K255" s="3833"/>
    </row>
    <row r="256" spans="1:12" s="3309" customFormat="1" x14ac:dyDescent="0.2">
      <c r="A256" s="3753" t="s">
        <v>6350</v>
      </c>
      <c r="B256" s="3329">
        <f>[1]zaboy!B216</f>
        <v>20</v>
      </c>
      <c r="C256" s="3329">
        <f>[1]zaboy!C216</f>
        <v>20</v>
      </c>
      <c r="D256" s="3329">
        <f>[1]zaboy!D216</f>
        <v>20</v>
      </c>
      <c r="E256" s="3329">
        <f>[1]zaboy!E216</f>
        <v>20</v>
      </c>
      <c r="F256" s="3329">
        <f>[1]zaboy!F216</f>
        <v>20</v>
      </c>
      <c r="G256" s="3329">
        <f>[1]zaboy!G216</f>
        <v>20</v>
      </c>
      <c r="H256" s="3970"/>
      <c r="J256" s="3339"/>
      <c r="K256" s="3833"/>
    </row>
    <row r="257" spans="1:11" s="3309" customFormat="1" ht="15" x14ac:dyDescent="0.25">
      <c r="A257" s="3838" t="s">
        <v>6349</v>
      </c>
      <c r="B257" s="3329">
        <f>[1]zaboy!B194</f>
        <v>20000000</v>
      </c>
      <c r="C257" s="3329">
        <f>[1]zaboy!C194</f>
        <v>20000000</v>
      </c>
      <c r="D257" s="3329">
        <f>[1]zaboy!D194</f>
        <v>20000000</v>
      </c>
      <c r="E257" s="3329">
        <f>[1]zaboy!E194</f>
        <v>20000000</v>
      </c>
      <c r="F257" s="3329">
        <f>[1]zaboy!F194</f>
        <v>20000000</v>
      </c>
      <c r="G257" s="3329">
        <f>[1]zaboy!G194</f>
        <v>20000000</v>
      </c>
      <c r="H257" s="3970"/>
      <c r="J257" s="3339"/>
      <c r="K257" s="3837"/>
    </row>
    <row r="258" spans="1:11" s="3309" customFormat="1" x14ac:dyDescent="0.2">
      <c r="A258" s="3666" t="s">
        <v>6348</v>
      </c>
      <c r="B258" s="3329">
        <f>[1]zaboy!B455</f>
        <v>200</v>
      </c>
      <c r="C258" s="3329">
        <f>[1]zaboy!C455</f>
        <v>200</v>
      </c>
      <c r="D258" s="3329">
        <f>[1]zaboy!D455</f>
        <v>200</v>
      </c>
      <c r="E258" s="3329">
        <f>[1]zaboy!E455</f>
        <v>200</v>
      </c>
      <c r="F258" s="3329">
        <f>[1]zaboy!F455</f>
        <v>200</v>
      </c>
      <c r="G258" s="3329">
        <f>[1]zaboy!G455</f>
        <v>200</v>
      </c>
      <c r="H258" s="3970"/>
      <c r="J258" s="3339"/>
      <c r="K258" s="3836"/>
    </row>
    <row r="259" spans="1:11" s="3309" customFormat="1" ht="15.75" x14ac:dyDescent="0.25">
      <c r="A259" s="3835" t="s">
        <v>6347</v>
      </c>
      <c r="B259" s="3329">
        <f>[1]zaboy!B218</f>
        <v>20</v>
      </c>
      <c r="C259" s="3329">
        <f>[1]zaboy!C218</f>
        <v>20</v>
      </c>
      <c r="D259" s="3329">
        <f>[1]zaboy!D218</f>
        <v>20</v>
      </c>
      <c r="E259" s="3329">
        <f>[1]zaboy!E218</f>
        <v>20</v>
      </c>
      <c r="F259" s="3329">
        <f>[1]zaboy!F218</f>
        <v>20</v>
      </c>
      <c r="G259" s="3329">
        <f>[1]zaboy!G218</f>
        <v>20</v>
      </c>
      <c r="H259" s="3970"/>
      <c r="J259" s="3339"/>
      <c r="K259" s="3834"/>
    </row>
    <row r="260" spans="1:11" s="3309" customFormat="1" x14ac:dyDescent="0.2">
      <c r="A260" s="3536" t="s">
        <v>6346</v>
      </c>
      <c r="B260" s="3329">
        <f>[1]zaboy!B168</f>
        <v>0.2</v>
      </c>
      <c r="C260" s="3329">
        <f>[1]zaboy!C168</f>
        <v>0.2</v>
      </c>
      <c r="D260" s="3329">
        <f>[1]zaboy!D168</f>
        <v>0.2</v>
      </c>
      <c r="E260" s="3329">
        <f>[1]zaboy!E168</f>
        <v>0.2</v>
      </c>
      <c r="F260" s="3329">
        <f>[1]zaboy!F168</f>
        <v>0.2</v>
      </c>
      <c r="G260" s="3329">
        <f>[1]zaboy!G168</f>
        <v>0.2</v>
      </c>
      <c r="H260" s="3970"/>
      <c r="J260" s="3339"/>
      <c r="K260" s="3833"/>
    </row>
    <row r="261" spans="1:11" s="3309" customFormat="1" x14ac:dyDescent="0.2">
      <c r="A261" s="3536" t="s">
        <v>6345</v>
      </c>
      <c r="B261" s="3329">
        <f>[1]zaboy!B167</f>
        <v>0.03</v>
      </c>
      <c r="C261" s="3329">
        <f>[1]zaboy!C167</f>
        <v>0.03</v>
      </c>
      <c r="D261" s="3329">
        <f>[1]zaboy!D167</f>
        <v>0.03</v>
      </c>
      <c r="E261" s="3329">
        <f>[1]zaboy!E167</f>
        <v>0.03</v>
      </c>
      <c r="F261" s="3329">
        <f>[1]zaboy!F167</f>
        <v>0.03</v>
      </c>
      <c r="G261" s="3329">
        <f>[1]zaboy!G167</f>
        <v>0.03</v>
      </c>
      <c r="H261" s="3970"/>
      <c r="J261" s="3339"/>
      <c r="K261" s="3833"/>
    </row>
    <row r="262" spans="1:11" s="3309" customFormat="1" x14ac:dyDescent="0.2">
      <c r="K262" s="3832"/>
    </row>
    <row r="263" spans="1:11" s="3309" customFormat="1" x14ac:dyDescent="0.2">
      <c r="K263" s="3338"/>
    </row>
    <row r="264" spans="1:11" s="3309" customFormat="1" x14ac:dyDescent="0.2">
      <c r="K264" s="3338"/>
    </row>
    <row r="265" spans="1:11" s="3309" customFormat="1" x14ac:dyDescent="0.2"/>
    <row r="266" spans="1:11" s="3309" customFormat="1" x14ac:dyDescent="0.2"/>
    <row r="267" spans="1:11" s="3309" customFormat="1" x14ac:dyDescent="0.2"/>
    <row r="268" spans="1:11" s="3309" customFormat="1" x14ac:dyDescent="0.2"/>
    <row r="269" spans="1:11" s="3309" customFormat="1" x14ac:dyDescent="0.2"/>
    <row r="270" spans="1:11" s="3309" customFormat="1" x14ac:dyDescent="0.2"/>
    <row r="271" spans="1:11" s="3309" customFormat="1" x14ac:dyDescent="0.2"/>
    <row r="272" spans="1:11" s="3309" customFormat="1" x14ac:dyDescent="0.2"/>
    <row r="273" s="3309" customFormat="1" x14ac:dyDescent="0.2"/>
    <row r="274" s="3309" customFormat="1" x14ac:dyDescent="0.2"/>
    <row r="275" s="3309" customFormat="1" x14ac:dyDescent="0.2"/>
    <row r="276" s="3309" customFormat="1" x14ac:dyDescent="0.2"/>
    <row r="277" s="3309" customFormat="1" x14ac:dyDescent="0.2"/>
    <row r="278" s="3309" customFormat="1" x14ac:dyDescent="0.2"/>
    <row r="279" s="3309" customFormat="1" x14ac:dyDescent="0.2"/>
    <row r="280" s="3309" customFormat="1" x14ac:dyDescent="0.2"/>
    <row r="281" s="3309" customFormat="1" x14ac:dyDescent="0.2"/>
    <row r="282" s="3309" customFormat="1" x14ac:dyDescent="0.2"/>
    <row r="283" s="3309" customFormat="1" x14ac:dyDescent="0.2"/>
    <row r="284" s="3309" customFormat="1" x14ac:dyDescent="0.2"/>
    <row r="285" s="3309" customFormat="1" x14ac:dyDescent="0.2"/>
    <row r="286" s="3309" customFormat="1" x14ac:dyDescent="0.2"/>
    <row r="287" s="3309" customFormat="1" x14ac:dyDescent="0.2"/>
    <row r="288" s="3309" customFormat="1" x14ac:dyDescent="0.2"/>
    <row r="289" spans="1:7" s="3309" customFormat="1" x14ac:dyDescent="0.2"/>
    <row r="290" spans="1:7" s="3309" customFormat="1" x14ac:dyDescent="0.2"/>
    <row r="291" spans="1:7" s="3309" customFormat="1" ht="15.75" x14ac:dyDescent="0.25">
      <c r="A291" s="3831" t="s">
        <v>48</v>
      </c>
    </row>
    <row r="292" spans="1:7" s="3309" customFormat="1" ht="15.75" x14ac:dyDescent="0.25">
      <c r="A292" s="3830" t="s">
        <v>6344</v>
      </c>
      <c r="B292" s="3828" t="e">
        <f t="shared" ref="B292:B296" si="0">B2208</f>
        <v>#VALUE!</v>
      </c>
      <c r="C292" s="3828"/>
      <c r="D292" s="3828"/>
      <c r="E292" s="3828"/>
      <c r="F292" s="3828"/>
      <c r="G292" s="3828"/>
    </row>
    <row r="293" spans="1:7" s="3309" customFormat="1" ht="15.75" x14ac:dyDescent="0.25">
      <c r="A293" s="3829" t="s">
        <v>5931</v>
      </c>
      <c r="B293" s="3828" t="e">
        <f t="shared" si="0"/>
        <v>#VALUE!</v>
      </c>
      <c r="C293" s="3828"/>
      <c r="D293" s="3828"/>
      <c r="E293" s="3828"/>
      <c r="F293" s="3828"/>
      <c r="G293" s="3828"/>
    </row>
    <row r="294" spans="1:7" s="3309" customFormat="1" ht="15.75" x14ac:dyDescent="0.25">
      <c r="A294" s="3829" t="s">
        <v>1162</v>
      </c>
      <c r="B294" s="3828" t="e">
        <f t="shared" si="0"/>
        <v>#VALUE!</v>
      </c>
      <c r="C294" s="3828"/>
      <c r="D294" s="3828"/>
      <c r="E294" s="3828"/>
      <c r="F294" s="3828"/>
      <c r="G294" s="3828"/>
    </row>
    <row r="295" spans="1:7" s="3309" customFormat="1" ht="15.75" x14ac:dyDescent="0.25">
      <c r="A295" s="3829" t="s">
        <v>5930</v>
      </c>
      <c r="B295" s="3828" t="e">
        <f t="shared" si="0"/>
        <v>#VALUE!</v>
      </c>
      <c r="C295" s="3828"/>
      <c r="D295" s="3828"/>
      <c r="E295" s="3828"/>
      <c r="F295" s="3828"/>
      <c r="G295" s="3828"/>
    </row>
    <row r="296" spans="1:7" s="3309" customFormat="1" ht="15.75" x14ac:dyDescent="0.25">
      <c r="A296" s="3829" t="s">
        <v>5929</v>
      </c>
      <c r="B296" s="3828" t="e">
        <f t="shared" si="0"/>
        <v>#VALUE!</v>
      </c>
      <c r="C296" s="3828"/>
      <c r="D296" s="3828"/>
      <c r="E296" s="3828"/>
      <c r="F296" s="3828"/>
      <c r="G296" s="3828"/>
    </row>
    <row r="297" spans="1:7" s="3309" customFormat="1" x14ac:dyDescent="0.2"/>
    <row r="298" spans="1:7" s="3309" customFormat="1" x14ac:dyDescent="0.2"/>
    <row r="299" spans="1:7" s="3309" customFormat="1" x14ac:dyDescent="0.2"/>
    <row r="300" spans="1:7" s="3309" customFormat="1" x14ac:dyDescent="0.2">
      <c r="A300" s="3309" t="str">
        <f>A1375</f>
        <v>Затраты на концевом участке лавы у транспортного штрека, грн/т</v>
      </c>
    </row>
    <row r="301" spans="1:7" s="3309" customFormat="1" x14ac:dyDescent="0.2">
      <c r="A301" s="3309" t="str">
        <f>A1376</f>
        <v>Зарплата с начислениями</v>
      </c>
      <c r="B301" s="3310" t="e">
        <f t="shared" ref="B301:B304" si="1">B1376</f>
        <v>#VALUE!</v>
      </c>
      <c r="C301" s="3310"/>
      <c r="D301" s="3310"/>
      <c r="E301" s="3310"/>
      <c r="F301" s="3310"/>
      <c r="G301" s="3310"/>
    </row>
    <row r="302" spans="1:7" s="3309" customFormat="1" x14ac:dyDescent="0.2">
      <c r="A302" s="3309" t="str">
        <f>A1377</f>
        <v>Материалы</v>
      </c>
      <c r="B302" s="3310" t="e">
        <f t="shared" si="1"/>
        <v>#VALUE!</v>
      </c>
      <c r="C302" s="3310"/>
      <c r="D302" s="3310"/>
      <c r="E302" s="3310"/>
      <c r="F302" s="3310"/>
      <c r="G302" s="3310"/>
    </row>
    <row r="303" spans="1:7" s="3309" customFormat="1" x14ac:dyDescent="0.2">
      <c r="A303" s="3309" t="str">
        <f>A1378</f>
        <v>Энергия</v>
      </c>
      <c r="B303" s="3310" t="e">
        <f t="shared" si="1"/>
        <v>#DIV/0!</v>
      </c>
      <c r="C303" s="3310"/>
      <c r="D303" s="3310"/>
      <c r="E303" s="3310"/>
      <c r="F303" s="3310"/>
      <c r="G303" s="3310"/>
    </row>
    <row r="304" spans="1:7" s="3309" customFormat="1" x14ac:dyDescent="0.2">
      <c r="A304" s="3309" t="str">
        <f>A1379</f>
        <v>Всего, грн/т</v>
      </c>
      <c r="B304" s="3310" t="e">
        <f t="shared" si="1"/>
        <v>#DIV/0!</v>
      </c>
      <c r="C304" s="3310"/>
      <c r="D304" s="3310"/>
      <c r="E304" s="3310"/>
      <c r="F304" s="3310"/>
      <c r="G304" s="3310"/>
    </row>
    <row r="305" spans="1:7" s="3309" customFormat="1" x14ac:dyDescent="0.2"/>
    <row r="306" spans="1:7" s="3309" customFormat="1" x14ac:dyDescent="0.2">
      <c r="A306" s="3309" t="str">
        <f>A2009</f>
        <v>Затраты на концевом участке лавы у вентиляционного штрека, грн/т</v>
      </c>
    </row>
    <row r="307" spans="1:7" s="3309" customFormat="1" x14ac:dyDescent="0.2">
      <c r="A307" s="3309" t="str">
        <f>A2010</f>
        <v>Зарплата с начислениями</v>
      </c>
      <c r="B307" s="3310" t="e">
        <f t="shared" ref="B307:B310" si="2">B2010</f>
        <v>#VALUE!</v>
      </c>
      <c r="C307" s="3310"/>
      <c r="D307" s="3310"/>
      <c r="E307" s="3310"/>
      <c r="F307" s="3310"/>
      <c r="G307" s="3310"/>
    </row>
    <row r="308" spans="1:7" s="3309" customFormat="1" x14ac:dyDescent="0.2">
      <c r="A308" s="3309" t="str">
        <f>A2011</f>
        <v>Материалы</v>
      </c>
      <c r="B308" s="3310" t="e">
        <f t="shared" si="2"/>
        <v>#VALUE!</v>
      </c>
      <c r="C308" s="3310"/>
      <c r="D308" s="3310"/>
      <c r="E308" s="3310"/>
      <c r="F308" s="3310"/>
      <c r="G308" s="3310"/>
    </row>
    <row r="309" spans="1:7" s="3309" customFormat="1" x14ac:dyDescent="0.2">
      <c r="A309" s="3309" t="str">
        <f>A2012</f>
        <v>Энергия</v>
      </c>
      <c r="B309" s="3310" t="e">
        <f t="shared" si="2"/>
        <v>#DIV/0!</v>
      </c>
      <c r="C309" s="3310"/>
      <c r="D309" s="3310"/>
      <c r="E309" s="3310"/>
      <c r="F309" s="3310"/>
      <c r="G309" s="3310"/>
    </row>
    <row r="310" spans="1:7" s="3309" customFormat="1" x14ac:dyDescent="0.2">
      <c r="A310" s="3309" t="str">
        <f>A2013</f>
        <v>Всего, грн/мес</v>
      </c>
      <c r="B310" s="3310" t="e">
        <f t="shared" si="2"/>
        <v>#DIV/0!</v>
      </c>
      <c r="C310" s="3310"/>
      <c r="D310" s="3310"/>
      <c r="E310" s="3310"/>
      <c r="F310" s="3310"/>
      <c r="G310" s="3310"/>
    </row>
    <row r="311" spans="1:7" s="3309" customFormat="1" x14ac:dyDescent="0.2"/>
    <row r="312" spans="1:7" s="3309" customFormat="1" x14ac:dyDescent="0.2"/>
    <row r="313" spans="1:7" s="3309" customFormat="1" x14ac:dyDescent="0.2">
      <c r="A313" s="3323" t="s">
        <v>6343</v>
      </c>
      <c r="B313" s="3323" t="e">
        <f t="shared" ref="B313" si="3">B526+B665+B1175+B1814+B2189*B146/B371</f>
        <v>#VALUE!</v>
      </c>
      <c r="C313" s="3323"/>
      <c r="D313" s="3323"/>
      <c r="E313" s="3323"/>
      <c r="F313" s="3323"/>
      <c r="G313" s="3323"/>
    </row>
    <row r="314" spans="1:7" s="3309" customFormat="1" x14ac:dyDescent="0.2">
      <c r="A314" s="3323" t="s">
        <v>6342</v>
      </c>
      <c r="B314" s="3323" t="e">
        <f t="shared" ref="B314" si="4">B146/B313</f>
        <v>#VALUE!</v>
      </c>
      <c r="C314" s="3323"/>
      <c r="D314" s="3323"/>
      <c r="E314" s="3323"/>
      <c r="F314" s="3323"/>
      <c r="G314" s="3323"/>
    </row>
    <row r="315" spans="1:7" s="3309" customFormat="1" x14ac:dyDescent="0.2">
      <c r="A315" s="3323" t="s">
        <v>6341</v>
      </c>
      <c r="B315" s="3323" t="e">
        <f t="shared" ref="B315" si="5">B1175+B1814</f>
        <v>#VALUE!</v>
      </c>
      <c r="C315" s="3323"/>
      <c r="D315" s="3323"/>
      <c r="E315" s="3323"/>
      <c r="F315" s="3323"/>
      <c r="G315" s="3323"/>
    </row>
    <row r="316" spans="1:7" s="3309" customFormat="1" x14ac:dyDescent="0.2"/>
    <row r="317" spans="1:7" s="3309" customFormat="1" x14ac:dyDescent="0.2"/>
    <row r="318" spans="1:7" s="3309" customFormat="1" x14ac:dyDescent="0.2"/>
    <row r="319" spans="1:7" s="3309" customFormat="1" x14ac:dyDescent="0.2"/>
    <row r="320" spans="1:7" s="3309" customFormat="1" x14ac:dyDescent="0.2"/>
    <row r="321" s="3309" customFormat="1" x14ac:dyDescent="0.2"/>
    <row r="322" s="3309" customFormat="1" x14ac:dyDescent="0.2"/>
    <row r="323" s="3309" customFormat="1" x14ac:dyDescent="0.2"/>
    <row r="324" s="3309" customFormat="1" x14ac:dyDescent="0.2"/>
    <row r="325" s="3309" customFormat="1" x14ac:dyDescent="0.2"/>
    <row r="326" s="3309" customFormat="1" x14ac:dyDescent="0.2"/>
    <row r="327" s="3309" customFormat="1" x14ac:dyDescent="0.2"/>
    <row r="328" s="3309" customFormat="1" x14ac:dyDescent="0.2"/>
    <row r="329" s="3309" customFormat="1" x14ac:dyDescent="0.2"/>
    <row r="330" s="3309" customFormat="1" x14ac:dyDescent="0.2"/>
    <row r="331" s="3309" customFormat="1" x14ac:dyDescent="0.2"/>
    <row r="332" s="3309" customFormat="1" x14ac:dyDescent="0.2"/>
    <row r="333" s="3309" customFormat="1" x14ac:dyDescent="0.2"/>
    <row r="334" s="3309" customFormat="1" x14ac:dyDescent="0.2"/>
    <row r="335" s="3309" customFormat="1" x14ac:dyDescent="0.2"/>
    <row r="336" s="3309" customFormat="1" x14ac:dyDescent="0.2"/>
    <row r="337" spans="1:7" s="3309" customFormat="1" x14ac:dyDescent="0.2"/>
    <row r="338" spans="1:7" s="3309" customFormat="1" x14ac:dyDescent="0.2"/>
    <row r="339" spans="1:7" s="3309" customFormat="1" x14ac:dyDescent="0.2"/>
    <row r="340" spans="1:7" s="3309" customFormat="1" x14ac:dyDescent="0.2"/>
    <row r="341" spans="1:7" s="3309" customFormat="1" x14ac:dyDescent="0.2"/>
    <row r="342" spans="1:7" s="3309" customFormat="1" x14ac:dyDescent="0.2"/>
    <row r="343" spans="1:7" s="3309" customFormat="1" x14ac:dyDescent="0.2"/>
    <row r="344" spans="1:7" s="3309" customFormat="1" x14ac:dyDescent="0.2"/>
    <row r="345" spans="1:7" s="3309" customFormat="1" x14ac:dyDescent="0.2"/>
    <row r="346" spans="1:7" s="3309" customFormat="1" x14ac:dyDescent="0.2"/>
    <row r="347" spans="1:7" s="3309" customFormat="1" x14ac:dyDescent="0.2"/>
    <row r="348" spans="1:7" s="3309" customFormat="1" x14ac:dyDescent="0.2"/>
    <row r="349" spans="1:7" s="3309" customFormat="1" ht="15" customHeight="1" x14ac:dyDescent="0.2">
      <c r="A349" s="4758" t="s">
        <v>4142</v>
      </c>
      <c r="B349" s="4758"/>
      <c r="C349" s="4758"/>
      <c r="D349" s="4758"/>
      <c r="E349" s="4758"/>
      <c r="F349" s="4758"/>
      <c r="G349" s="4758"/>
    </row>
    <row r="350" spans="1:7" s="3309" customFormat="1" x14ac:dyDescent="0.2">
      <c r="A350" s="3735" t="s">
        <v>2918</v>
      </c>
      <c r="B350" s="3329">
        <f t="shared" ref="B350:G350" si="6">IF(B141&gt;1,2,3)</f>
        <v>2</v>
      </c>
      <c r="C350" s="3329">
        <f t="shared" si="6"/>
        <v>3</v>
      </c>
      <c r="D350" s="3329">
        <f t="shared" si="6"/>
        <v>3</v>
      </c>
      <c r="E350" s="3329">
        <f t="shared" si="6"/>
        <v>3</v>
      </c>
      <c r="F350" s="3329">
        <f t="shared" si="6"/>
        <v>3</v>
      </c>
      <c r="G350" s="3329">
        <f t="shared" si="6"/>
        <v>3</v>
      </c>
    </row>
    <row r="351" spans="1:7" s="3309" customFormat="1" x14ac:dyDescent="0.2">
      <c r="A351" s="3656" t="s">
        <v>6340</v>
      </c>
      <c r="B351" s="3329">
        <f t="shared" ref="B351:G351" si="7">INDEX($B$2600:$B$2612,B252)</f>
        <v>290</v>
      </c>
      <c r="C351" s="3329">
        <f t="shared" si="7"/>
        <v>290</v>
      </c>
      <c r="D351" s="3329">
        <f t="shared" si="7"/>
        <v>290</v>
      </c>
      <c r="E351" s="3329">
        <f t="shared" si="7"/>
        <v>290</v>
      </c>
      <c r="F351" s="3329">
        <f t="shared" si="7"/>
        <v>290</v>
      </c>
      <c r="G351" s="3734">
        <f t="shared" si="7"/>
        <v>290</v>
      </c>
    </row>
    <row r="352" spans="1:7" s="3309" customFormat="1" ht="13.5" thickBot="1" x14ac:dyDescent="0.25">
      <c r="A352" s="3656" t="s">
        <v>6339</v>
      </c>
      <c r="B352" s="3329">
        <f t="shared" ref="B352:G352" si="8">B351+B258</f>
        <v>490</v>
      </c>
      <c r="C352" s="3329">
        <f t="shared" si="8"/>
        <v>490</v>
      </c>
      <c r="D352" s="3329">
        <f t="shared" si="8"/>
        <v>490</v>
      </c>
      <c r="E352" s="3329">
        <f t="shared" si="8"/>
        <v>490</v>
      </c>
      <c r="F352" s="3329">
        <f t="shared" si="8"/>
        <v>490</v>
      </c>
      <c r="G352" s="3734">
        <f t="shared" si="8"/>
        <v>490</v>
      </c>
    </row>
    <row r="353" spans="1:7" s="3309" customFormat="1" x14ac:dyDescent="0.2">
      <c r="A353" s="3827" t="s">
        <v>2919</v>
      </c>
      <c r="B353" s="3755">
        <f t="shared" ref="B353" si="9">B156+B155</f>
        <v>0</v>
      </c>
      <c r="C353" s="3755"/>
      <c r="D353" s="3755"/>
      <c r="E353" s="3755"/>
      <c r="F353" s="3755"/>
      <c r="G353" s="3754"/>
    </row>
    <row r="354" spans="1:7" s="3309" customFormat="1" ht="25.5" x14ac:dyDescent="0.2">
      <c r="A354" s="3741" t="s">
        <v>2529</v>
      </c>
      <c r="B354" s="3329" t="str">
        <f t="shared" ref="B354" si="10">B135</f>
        <v/>
      </c>
      <c r="C354" s="3329"/>
      <c r="D354" s="3329"/>
      <c r="E354" s="3329"/>
      <c r="F354" s="3329"/>
      <c r="G354" s="3734"/>
    </row>
    <row r="355" spans="1:7" s="3309" customFormat="1" ht="25.5" x14ac:dyDescent="0.2">
      <c r="A355" s="3826" t="s">
        <v>2530</v>
      </c>
      <c r="B355" s="3329">
        <f t="shared" ref="B355" si="11">IF(B354=1,0,IF(B354=2,0,1))</f>
        <v>1</v>
      </c>
      <c r="C355" s="3329"/>
      <c r="D355" s="3329"/>
      <c r="E355" s="3329"/>
      <c r="F355" s="3329"/>
      <c r="G355" s="3734"/>
    </row>
    <row r="356" spans="1:7" s="3309" customFormat="1" x14ac:dyDescent="0.2">
      <c r="A356" s="3825" t="s">
        <v>2531</v>
      </c>
      <c r="B356" s="3329">
        <f t="shared" ref="B356" si="12">IF(B354=1,0.8,IF(B354=2,0.9,1))</f>
        <v>1</v>
      </c>
      <c r="C356" s="3329"/>
      <c r="D356" s="3329"/>
      <c r="E356" s="3329"/>
      <c r="F356" s="3329"/>
      <c r="G356" s="3734"/>
    </row>
    <row r="357" spans="1:7" s="3309" customFormat="1" ht="25.5" x14ac:dyDescent="0.2">
      <c r="A357" s="3733" t="s">
        <v>2532</v>
      </c>
      <c r="B357" s="3329" t="b">
        <f t="shared" ref="B357" si="13">B358</f>
        <v>0</v>
      </c>
      <c r="C357" s="3329"/>
      <c r="D357" s="3329"/>
      <c r="E357" s="3329"/>
      <c r="F357" s="3329"/>
      <c r="G357" s="3734"/>
    </row>
    <row r="358" spans="1:7" s="3309" customFormat="1" x14ac:dyDescent="0.2">
      <c r="A358" s="3741" t="s">
        <v>2533</v>
      </c>
      <c r="B358" s="3329" t="b">
        <f t="shared" ref="B358" si="14">IF(B149=0.5,1,IF(B149=0.63,1.25,IF(B149=0.8,0.8,IF(B149=1,1))))</f>
        <v>0</v>
      </c>
      <c r="C358" s="3329"/>
      <c r="D358" s="3329"/>
      <c r="E358" s="3329"/>
      <c r="F358" s="3329"/>
      <c r="G358" s="3734"/>
    </row>
    <row r="359" spans="1:7" s="3309" customFormat="1" ht="38.25" x14ac:dyDescent="0.2">
      <c r="A359" s="3821" t="s">
        <v>4285</v>
      </c>
      <c r="B359" s="3630" t="e">
        <f t="shared" ref="B359" si="15">(B144+B131)*100/B130</f>
        <v>#VALUE!</v>
      </c>
      <c r="C359" s="3630"/>
      <c r="D359" s="3630"/>
      <c r="E359" s="3630"/>
      <c r="F359" s="3630"/>
      <c r="G359" s="3629"/>
    </row>
    <row r="360" spans="1:7" s="3309" customFormat="1" x14ac:dyDescent="0.2">
      <c r="A360" s="3735" t="s">
        <v>4437</v>
      </c>
      <c r="B360" s="3345">
        <f t="shared" ref="B360" si="16">B148</f>
        <v>0</v>
      </c>
      <c r="C360" s="3345"/>
      <c r="D360" s="3345"/>
      <c r="E360" s="3345"/>
      <c r="F360" s="3345"/>
      <c r="G360" s="3824"/>
    </row>
    <row r="361" spans="1:7" s="3309" customFormat="1" x14ac:dyDescent="0.2">
      <c r="A361" s="3823" t="s">
        <v>4438</v>
      </c>
      <c r="B361" s="3365"/>
      <c r="C361" s="3365"/>
      <c r="D361" s="3365"/>
      <c r="E361" s="3365"/>
      <c r="F361" s="3365"/>
      <c r="G361" s="3822"/>
    </row>
    <row r="362" spans="1:7" s="3309" customFormat="1" x14ac:dyDescent="0.2">
      <c r="A362" s="3821" t="s">
        <v>255</v>
      </c>
      <c r="B362" s="3380" t="e">
        <f t="shared" ref="B362" si="17">IF(B130&lt;=1,INDEX($P$2777:$P$2780,B140),INDEX($Q$2777:$Q$2780,B140))</f>
        <v>#VALUE!</v>
      </c>
      <c r="C362" s="3380"/>
      <c r="D362" s="3380"/>
      <c r="E362" s="3380"/>
      <c r="F362" s="3380"/>
      <c r="G362" s="3658"/>
    </row>
    <row r="363" spans="1:7" s="3309" customFormat="1" x14ac:dyDescent="0.2">
      <c r="A363" s="3820"/>
      <c r="B363" s="3380"/>
      <c r="C363" s="3380"/>
      <c r="D363" s="3380"/>
      <c r="E363" s="3380"/>
      <c r="F363" s="3380"/>
      <c r="G363" s="3658"/>
    </row>
    <row r="364" spans="1:7" s="3309" customFormat="1" x14ac:dyDescent="0.2">
      <c r="A364" s="3820" t="s">
        <v>4331</v>
      </c>
      <c r="B364" s="3380">
        <f t="shared" ref="B364" si="18">INDEX($S$2777:$S$2780,B141)</f>
        <v>0.9</v>
      </c>
      <c r="C364" s="3380"/>
      <c r="D364" s="3380"/>
      <c r="E364" s="3380"/>
      <c r="F364" s="3380"/>
      <c r="G364" s="3658"/>
    </row>
    <row r="365" spans="1:7" s="3309" customFormat="1" x14ac:dyDescent="0.2">
      <c r="A365" s="3820" t="s">
        <v>4332</v>
      </c>
      <c r="B365" s="3380" t="e">
        <f t="shared" ref="B365" si="19">IF(B129&lt;700,1,IF(B129&lt;901,0.95,IF(B129&lt;1051,0.9,IF(B129&lt;1201,0.85,0.8))))</f>
        <v>#VALUE!</v>
      </c>
      <c r="C365" s="3380"/>
      <c r="D365" s="3380"/>
      <c r="E365" s="3380"/>
      <c r="F365" s="3380"/>
      <c r="G365" s="3380"/>
    </row>
    <row r="366" spans="1:7" s="3309" customFormat="1" x14ac:dyDescent="0.2">
      <c r="A366" s="3820" t="s">
        <v>4333</v>
      </c>
      <c r="B366" s="3380">
        <f t="shared" ref="B366" si="20">IF(B133&lt;1.26,0.9,IF(B133&lt;1.33,0.95,IF(B133&lt;1.4,1,IF(B133&lt;1.47,1.05,IF(B133&lt;1.53,1.1,B367)))))</f>
        <v>1.35</v>
      </c>
      <c r="C366" s="3380"/>
      <c r="D366" s="3380"/>
      <c r="E366" s="3380"/>
      <c r="F366" s="3380"/>
      <c r="G366" s="3380"/>
    </row>
    <row r="367" spans="1:7" s="3309" customFormat="1" x14ac:dyDescent="0.2">
      <c r="A367" s="3820" t="s">
        <v>256</v>
      </c>
      <c r="B367" s="3380">
        <f t="shared" ref="B367" si="21">IF(B133&lt;1.61,1.15,IF(B133&lt;1.66,1.2,IF(B133&lt;1.75,1.25,IF(B133&lt;1.79,1.3,1.35))))</f>
        <v>1.35</v>
      </c>
      <c r="C367" s="3380"/>
      <c r="D367" s="3380"/>
      <c r="E367" s="3380"/>
      <c r="F367" s="3380"/>
      <c r="G367" s="3658"/>
    </row>
    <row r="368" spans="1:7" s="3309" customFormat="1" x14ac:dyDescent="0.2">
      <c r="A368" s="3820" t="s">
        <v>962</v>
      </c>
      <c r="B368" s="3380">
        <f t="shared" ref="B368" si="22">IF(B234&lt;9,0.99-0.02*B234,0.8)</f>
        <v>0.99</v>
      </c>
      <c r="C368" s="3380"/>
      <c r="D368" s="3380"/>
      <c r="E368" s="3380"/>
      <c r="F368" s="3380"/>
      <c r="G368" s="3658"/>
    </row>
    <row r="369" spans="1:22" s="3309" customFormat="1" x14ac:dyDescent="0.2">
      <c r="A369" s="3820" t="s">
        <v>3059</v>
      </c>
      <c r="B369" s="3380" t="e">
        <f t="shared" ref="B369" si="23">B362*B364*B365*B366*B368</f>
        <v>#VALUE!</v>
      </c>
      <c r="C369" s="3380"/>
      <c r="D369" s="3380"/>
      <c r="E369" s="3380"/>
      <c r="F369" s="3380"/>
      <c r="G369" s="3658"/>
    </row>
    <row r="370" spans="1:22" s="3309" customFormat="1" x14ac:dyDescent="0.2">
      <c r="A370" s="3819"/>
      <c r="B370" s="3338"/>
      <c r="C370" s="3338"/>
      <c r="D370" s="3338"/>
      <c r="E370" s="3338"/>
      <c r="F370" s="3338"/>
      <c r="G370" s="3818"/>
    </row>
    <row r="371" spans="1:22" s="3309" customFormat="1" ht="16.5" thickBot="1" x14ac:dyDescent="0.3">
      <c r="A371" s="3817" t="s">
        <v>6338</v>
      </c>
      <c r="B371" s="3816" t="e">
        <f t="shared" ref="B371:G371" si="24">B145*B130*B133*B149*B147</f>
        <v>#VALUE!</v>
      </c>
      <c r="C371" s="3816">
        <f t="shared" si="24"/>
        <v>0</v>
      </c>
      <c r="D371" s="3816">
        <f t="shared" si="24"/>
        <v>0</v>
      </c>
      <c r="E371" s="3816">
        <f t="shared" si="24"/>
        <v>0</v>
      </c>
      <c r="F371" s="3816">
        <f t="shared" si="24"/>
        <v>0</v>
      </c>
      <c r="G371" s="3815">
        <f t="shared" si="24"/>
        <v>0</v>
      </c>
    </row>
    <row r="372" spans="1:22" s="3309" customFormat="1" ht="16.5" thickBot="1" x14ac:dyDescent="0.3">
      <c r="A372" s="3814"/>
      <c r="B372" s="3668"/>
      <c r="C372" s="3668"/>
      <c r="D372" s="3668"/>
      <c r="E372" s="3668"/>
      <c r="F372" s="3668"/>
      <c r="G372" s="3668"/>
    </row>
    <row r="373" spans="1:22" s="3309" customFormat="1" ht="16.5" thickBot="1" x14ac:dyDescent="0.3">
      <c r="A373" s="4759" t="s">
        <v>967</v>
      </c>
      <c r="B373" s="4759"/>
      <c r="C373" s="4759"/>
      <c r="D373" s="4759"/>
      <c r="E373" s="4759"/>
      <c r="F373" s="4759"/>
      <c r="G373" s="4759"/>
    </row>
    <row r="374" spans="1:22" s="3309" customFormat="1" ht="16.5" thickBot="1" x14ac:dyDescent="0.3">
      <c r="A374" s="4760" t="s">
        <v>6337</v>
      </c>
      <c r="B374" s="4760"/>
      <c r="C374" s="4760"/>
      <c r="D374" s="4760"/>
      <c r="E374" s="4760"/>
      <c r="F374" s="4760"/>
      <c r="G374" s="4760"/>
    </row>
    <row r="375" spans="1:22" s="3309" customFormat="1" ht="15.75" x14ac:dyDescent="0.25">
      <c r="A375" s="3804" t="s">
        <v>1289</v>
      </c>
      <c r="B375" s="3803" t="e">
        <f t="shared" ref="B375:G375" si="25">B145*B130*B133*B149*B147</f>
        <v>#VALUE!</v>
      </c>
      <c r="C375" s="3803">
        <f t="shared" si="25"/>
        <v>0</v>
      </c>
      <c r="D375" s="3803">
        <f t="shared" si="25"/>
        <v>0</v>
      </c>
      <c r="E375" s="3803">
        <f t="shared" si="25"/>
        <v>0</v>
      </c>
      <c r="F375" s="3803">
        <f t="shared" si="25"/>
        <v>0</v>
      </c>
      <c r="G375" s="3813">
        <f t="shared" si="25"/>
        <v>0</v>
      </c>
      <c r="S375" s="3339"/>
      <c r="T375" s="3339"/>
      <c r="U375" s="3339"/>
      <c r="V375" s="3339"/>
    </row>
    <row r="376" spans="1:22" s="3309" customFormat="1" ht="15.75" x14ac:dyDescent="0.25">
      <c r="A376" s="3795" t="s">
        <v>3107</v>
      </c>
      <c r="B376" s="3794" t="e">
        <f t="shared" ref="B376:G376" si="26">B146/B350</f>
        <v>#VALUE!</v>
      </c>
      <c r="C376" s="3794">
        <f t="shared" si="26"/>
        <v>0</v>
      </c>
      <c r="D376" s="3794">
        <f t="shared" si="26"/>
        <v>0</v>
      </c>
      <c r="E376" s="3794">
        <f t="shared" si="26"/>
        <v>0</v>
      </c>
      <c r="F376" s="3794">
        <f t="shared" si="26"/>
        <v>0</v>
      </c>
      <c r="G376" s="3808">
        <f t="shared" si="26"/>
        <v>0</v>
      </c>
      <c r="S376" s="3339"/>
      <c r="T376" s="3339"/>
      <c r="U376" s="3339"/>
      <c r="V376" s="3339"/>
    </row>
    <row r="377" spans="1:22" s="3309" customFormat="1" ht="15.75" x14ac:dyDescent="0.25">
      <c r="A377" s="3795" t="s">
        <v>791</v>
      </c>
      <c r="B377" s="3794" t="e">
        <f t="shared" ref="B377:G377" si="27">B376/B375</f>
        <v>#VALUE!</v>
      </c>
      <c r="C377" s="3794" t="e">
        <f t="shared" si="27"/>
        <v>#DIV/0!</v>
      </c>
      <c r="D377" s="3794" t="e">
        <f t="shared" si="27"/>
        <v>#DIV/0!</v>
      </c>
      <c r="E377" s="3794" t="e">
        <f t="shared" si="27"/>
        <v>#DIV/0!</v>
      </c>
      <c r="F377" s="3794" t="e">
        <f t="shared" si="27"/>
        <v>#DIV/0!</v>
      </c>
      <c r="G377" s="3808" t="e">
        <f t="shared" si="27"/>
        <v>#DIV/0!</v>
      </c>
      <c r="S377" s="3339"/>
      <c r="T377" s="3339"/>
      <c r="U377" s="3339"/>
      <c r="V377" s="3339"/>
    </row>
    <row r="378" spans="1:22" s="3309" customFormat="1" ht="15.75" x14ac:dyDescent="0.25">
      <c r="A378" s="3795" t="s">
        <v>792</v>
      </c>
      <c r="B378" s="3794" t="e">
        <f t="shared" ref="B378:G378" si="28">B377*B239</f>
        <v>#VALUE!</v>
      </c>
      <c r="C378" s="3794" t="e">
        <f t="shared" si="28"/>
        <v>#DIV/0!</v>
      </c>
      <c r="D378" s="3794" t="e">
        <f t="shared" si="28"/>
        <v>#DIV/0!</v>
      </c>
      <c r="E378" s="3794" t="e">
        <f t="shared" si="28"/>
        <v>#DIV/0!</v>
      </c>
      <c r="F378" s="3794" t="e">
        <f t="shared" si="28"/>
        <v>#DIV/0!</v>
      </c>
      <c r="G378" s="3808" t="e">
        <f t="shared" si="28"/>
        <v>#DIV/0!</v>
      </c>
      <c r="S378" s="3339"/>
      <c r="T378" s="3339"/>
      <c r="U378" s="3339"/>
      <c r="V378" s="3339"/>
    </row>
    <row r="379" spans="1:22" s="3309" customFormat="1" ht="15.75" x14ac:dyDescent="0.25">
      <c r="A379" s="3795" t="s">
        <v>793</v>
      </c>
      <c r="B379" s="3432">
        <f t="shared" ref="B379:G379" si="29">IF(B242=2,0,B145/B241)</f>
        <v>0</v>
      </c>
      <c r="C379" s="3432" t="e">
        <f t="shared" si="29"/>
        <v>#DIV/0!</v>
      </c>
      <c r="D379" s="3432" t="e">
        <f t="shared" si="29"/>
        <v>#DIV/0!</v>
      </c>
      <c r="E379" s="3432" t="e">
        <f t="shared" si="29"/>
        <v>#DIV/0!</v>
      </c>
      <c r="F379" s="3432" t="e">
        <f t="shared" si="29"/>
        <v>#DIV/0!</v>
      </c>
      <c r="G379" s="3786" t="e">
        <f t="shared" si="29"/>
        <v>#DIV/0!</v>
      </c>
      <c r="S379" s="3339"/>
      <c r="T379" s="3339"/>
      <c r="U379" s="3339"/>
      <c r="V379" s="3339"/>
    </row>
    <row r="380" spans="1:22" s="3309" customFormat="1" ht="15.75" x14ac:dyDescent="0.25">
      <c r="A380" s="3795" t="s">
        <v>794</v>
      </c>
      <c r="B380" s="3794" t="e">
        <f t="shared" ref="B380:G380" si="30">B378+B379+B240</f>
        <v>#VALUE!</v>
      </c>
      <c r="C380" s="3794" t="e">
        <f t="shared" si="30"/>
        <v>#DIV/0!</v>
      </c>
      <c r="D380" s="3794" t="e">
        <f t="shared" si="30"/>
        <v>#DIV/0!</v>
      </c>
      <c r="E380" s="3794" t="e">
        <f t="shared" si="30"/>
        <v>#DIV/0!</v>
      </c>
      <c r="F380" s="3794" t="e">
        <f t="shared" si="30"/>
        <v>#DIV/0!</v>
      </c>
      <c r="G380" s="3808" t="e">
        <f t="shared" si="30"/>
        <v>#DIV/0!</v>
      </c>
    </row>
    <row r="381" spans="1:22" s="3309" customFormat="1" ht="15.75" x14ac:dyDescent="0.25">
      <c r="A381" s="3795" t="s">
        <v>795</v>
      </c>
      <c r="B381" s="3794" t="e">
        <f t="shared" ref="B381:G381" si="31">B145*B377</f>
        <v>#VALUE!</v>
      </c>
      <c r="C381" s="3794" t="e">
        <f t="shared" si="31"/>
        <v>#DIV/0!</v>
      </c>
      <c r="D381" s="3794" t="e">
        <f t="shared" si="31"/>
        <v>#DIV/0!</v>
      </c>
      <c r="E381" s="3794" t="e">
        <f t="shared" si="31"/>
        <v>#DIV/0!</v>
      </c>
      <c r="F381" s="3794" t="e">
        <f t="shared" si="31"/>
        <v>#DIV/0!</v>
      </c>
      <c r="G381" s="3808" t="e">
        <f t="shared" si="31"/>
        <v>#DIV/0!</v>
      </c>
    </row>
    <row r="382" spans="1:22" s="3309" customFormat="1" ht="15.75" x14ac:dyDescent="0.25">
      <c r="A382" s="3795" t="s">
        <v>6336</v>
      </c>
      <c r="B382" s="3794" t="e">
        <f t="shared" ref="B382:G382" si="32">360-B380</f>
        <v>#VALUE!</v>
      </c>
      <c r="C382" s="3794" t="e">
        <f t="shared" si="32"/>
        <v>#DIV/0!</v>
      </c>
      <c r="D382" s="3794" t="e">
        <f t="shared" si="32"/>
        <v>#DIV/0!</v>
      </c>
      <c r="E382" s="3794" t="e">
        <f t="shared" si="32"/>
        <v>#DIV/0!</v>
      </c>
      <c r="F382" s="3794" t="e">
        <f t="shared" si="32"/>
        <v>#DIV/0!</v>
      </c>
      <c r="G382" s="3808" t="e">
        <f t="shared" si="32"/>
        <v>#DIV/0!</v>
      </c>
    </row>
    <row r="383" spans="1:22" s="3309" customFormat="1" ht="15.75" x14ac:dyDescent="0.25">
      <c r="A383" s="3795" t="s">
        <v>797</v>
      </c>
      <c r="B383" s="3794" t="e">
        <f t="shared" ref="B383:G383" si="33">B381/B382</f>
        <v>#VALUE!</v>
      </c>
      <c r="C383" s="3794" t="e">
        <f t="shared" si="33"/>
        <v>#DIV/0!</v>
      </c>
      <c r="D383" s="3794" t="e">
        <f t="shared" si="33"/>
        <v>#DIV/0!</v>
      </c>
      <c r="E383" s="3794" t="e">
        <f t="shared" si="33"/>
        <v>#DIV/0!</v>
      </c>
      <c r="F383" s="3794" t="e">
        <f t="shared" si="33"/>
        <v>#DIV/0!</v>
      </c>
      <c r="G383" s="3808" t="e">
        <f t="shared" si="33"/>
        <v>#DIV/0!</v>
      </c>
    </row>
    <row r="384" spans="1:22" s="3309" customFormat="1" ht="15.75" x14ac:dyDescent="0.25">
      <c r="A384" s="3795" t="s">
        <v>798</v>
      </c>
      <c r="B384" s="3794" t="e">
        <f t="shared" ref="B384:G384" si="34">B382/360</f>
        <v>#VALUE!</v>
      </c>
      <c r="C384" s="3794" t="e">
        <f t="shared" si="34"/>
        <v>#DIV/0!</v>
      </c>
      <c r="D384" s="3794" t="e">
        <f t="shared" si="34"/>
        <v>#DIV/0!</v>
      </c>
      <c r="E384" s="3794" t="e">
        <f t="shared" si="34"/>
        <v>#DIV/0!</v>
      </c>
      <c r="F384" s="3794" t="e">
        <f t="shared" si="34"/>
        <v>#DIV/0!</v>
      </c>
      <c r="G384" s="3808" t="e">
        <f t="shared" si="34"/>
        <v>#DIV/0!</v>
      </c>
    </row>
    <row r="385" spans="1:11" s="3309" customFormat="1" ht="15.75" x14ac:dyDescent="0.25">
      <c r="A385" s="3795" t="s">
        <v>6335</v>
      </c>
      <c r="B385" s="3794" t="e">
        <f t="shared" ref="B385:G385" si="35">IF(B383&lt;0.378,1,IF(B383&lt;0.448,2,IF(B383&lt;0.512,3,IF(B383&lt;0.59,4,IF(B383&lt;0.68,5,IF(B383&lt;0.79,6,B386))))))</f>
        <v>#VALUE!</v>
      </c>
      <c r="C385" s="3794" t="e">
        <f t="shared" si="35"/>
        <v>#DIV/0!</v>
      </c>
      <c r="D385" s="3794" t="e">
        <f t="shared" si="35"/>
        <v>#DIV/0!</v>
      </c>
      <c r="E385" s="3794" t="e">
        <f t="shared" si="35"/>
        <v>#DIV/0!</v>
      </c>
      <c r="F385" s="3794" t="e">
        <f t="shared" si="35"/>
        <v>#DIV/0!</v>
      </c>
      <c r="G385" s="3808" t="e">
        <f t="shared" si="35"/>
        <v>#DIV/0!</v>
      </c>
    </row>
    <row r="386" spans="1:11" s="3309" customFormat="1" ht="15.75" x14ac:dyDescent="0.25">
      <c r="A386" s="3810" t="s">
        <v>3001</v>
      </c>
      <c r="B386" s="3801" t="e">
        <f t="shared" ref="B386:G386" si="36">IF(B383&lt;0.91,7,IF(B383&lt;1.06,8,IF(B383&lt;1.22,9,IF(B383&lt;1.42,10,IF(B383&lt;1.668,11,IF(B383&lt;1.95,12,B387))))))</f>
        <v>#VALUE!</v>
      </c>
      <c r="C386" s="3801" t="e">
        <f t="shared" si="36"/>
        <v>#DIV/0!</v>
      </c>
      <c r="D386" s="3801" t="e">
        <f t="shared" si="36"/>
        <v>#DIV/0!</v>
      </c>
      <c r="E386" s="3801" t="e">
        <f t="shared" si="36"/>
        <v>#DIV/0!</v>
      </c>
      <c r="F386" s="3801" t="e">
        <f t="shared" si="36"/>
        <v>#DIV/0!</v>
      </c>
      <c r="G386" s="3809" t="e">
        <f t="shared" si="36"/>
        <v>#DIV/0!</v>
      </c>
    </row>
    <row r="387" spans="1:11" s="3309" customFormat="1" ht="15.75" x14ac:dyDescent="0.25">
      <c r="A387" s="3810" t="s">
        <v>3001</v>
      </c>
      <c r="B387" s="3801" t="e">
        <f t="shared" ref="B387:G387" si="37">IF(B383&lt;2.286,13,IF(B383&lt;2.71,14,IF(B383&lt;3.22,15,IF(B383&lt;3.82,16,17))))</f>
        <v>#VALUE!</v>
      </c>
      <c r="C387" s="3801" t="e">
        <f t="shared" si="37"/>
        <v>#DIV/0!</v>
      </c>
      <c r="D387" s="3801" t="e">
        <f t="shared" si="37"/>
        <v>#DIV/0!</v>
      </c>
      <c r="E387" s="3801" t="e">
        <f t="shared" si="37"/>
        <v>#DIV/0!</v>
      </c>
      <c r="F387" s="3801" t="e">
        <f t="shared" si="37"/>
        <v>#DIV/0!</v>
      </c>
      <c r="G387" s="3809" t="e">
        <f t="shared" si="37"/>
        <v>#DIV/0!</v>
      </c>
    </row>
    <row r="388" spans="1:11" s="3309" customFormat="1" ht="15.75" x14ac:dyDescent="0.25">
      <c r="A388" s="3812" t="s">
        <v>4438</v>
      </c>
      <c r="B388" s="3788"/>
      <c r="C388" s="3788"/>
      <c r="D388" s="3788"/>
      <c r="E388" s="3788"/>
      <c r="F388" s="3788"/>
      <c r="G388" s="3811"/>
    </row>
    <row r="389" spans="1:11" s="3309" customFormat="1" ht="15.75" x14ac:dyDescent="0.25">
      <c r="A389" s="3795" t="s">
        <v>4439</v>
      </c>
      <c r="B389" s="3794" t="e">
        <f t="shared" ref="B389:G389" si="38">IF(B130&lt;=1,INDEX($P$2777:$P$2780,B140),INDEX($Q$2777:$Q$2780,B140))</f>
        <v>#VALUE!</v>
      </c>
      <c r="C389" s="3794" t="e">
        <f t="shared" si="38"/>
        <v>#VALUE!</v>
      </c>
      <c r="D389" s="3794" t="e">
        <f t="shared" si="38"/>
        <v>#VALUE!</v>
      </c>
      <c r="E389" s="3794" t="e">
        <f t="shared" si="38"/>
        <v>#VALUE!</v>
      </c>
      <c r="F389" s="3794" t="e">
        <f t="shared" si="38"/>
        <v>#VALUE!</v>
      </c>
      <c r="G389" s="3808" t="e">
        <f t="shared" si="38"/>
        <v>#VALUE!</v>
      </c>
      <c r="J389" s="3339"/>
      <c r="K389" s="3339"/>
    </row>
    <row r="390" spans="1:11" s="3309" customFormat="1" ht="15.75" x14ac:dyDescent="0.25">
      <c r="A390" s="3795" t="s">
        <v>6334</v>
      </c>
      <c r="B390" s="3794">
        <f t="shared" ref="B390:G390" si="39">INDEX($S$2777:$S$2780,B141)</f>
        <v>0.9</v>
      </c>
      <c r="C390" s="3794" t="e">
        <f t="shared" si="39"/>
        <v>#VALUE!</v>
      </c>
      <c r="D390" s="3794" t="e">
        <f t="shared" si="39"/>
        <v>#VALUE!</v>
      </c>
      <c r="E390" s="3794" t="e">
        <f t="shared" si="39"/>
        <v>#VALUE!</v>
      </c>
      <c r="F390" s="3794" t="e">
        <f t="shared" si="39"/>
        <v>#VALUE!</v>
      </c>
      <c r="G390" s="3808" t="e">
        <f t="shared" si="39"/>
        <v>#VALUE!</v>
      </c>
      <c r="J390" s="3339"/>
      <c r="K390" s="3339"/>
    </row>
    <row r="391" spans="1:11" s="3309" customFormat="1" ht="15.75" x14ac:dyDescent="0.25">
      <c r="A391" s="3795" t="s">
        <v>4332</v>
      </c>
      <c r="B391" s="3794" t="e">
        <f t="shared" ref="B391:G391" si="40">IF(B129&lt;700,1,IF(B129&lt;900,0.95,IF(B129&lt;1050,0.9,IF(B129&lt;1200,0.85,0.8))))</f>
        <v>#VALUE!</v>
      </c>
      <c r="C391" s="3794">
        <f t="shared" si="40"/>
        <v>1</v>
      </c>
      <c r="D391" s="3794">
        <f t="shared" si="40"/>
        <v>1</v>
      </c>
      <c r="E391" s="3794">
        <f t="shared" si="40"/>
        <v>1</v>
      </c>
      <c r="F391" s="3794">
        <f t="shared" si="40"/>
        <v>1</v>
      </c>
      <c r="G391" s="3808">
        <f t="shared" si="40"/>
        <v>1</v>
      </c>
      <c r="J391" s="3339"/>
      <c r="K391" s="3339"/>
    </row>
    <row r="392" spans="1:11" s="3309" customFormat="1" ht="15.75" x14ac:dyDescent="0.25">
      <c r="A392" s="3795" t="s">
        <v>4333</v>
      </c>
      <c r="B392" s="3794" t="b">
        <f t="shared" ref="B392:G392" si="41">IF(B133&lt;1.25,0.9,IF(B133&lt;1.32,0.95,IF(B133&lt;1.39,1,IF(B133&lt;1.46,1.05,IF(B133&lt;1.52,1.1,IF(B133&lt;1.6,1.15,B393))))))</f>
        <v>0</v>
      </c>
      <c r="C392" s="3794">
        <f t="shared" si="41"/>
        <v>0.9</v>
      </c>
      <c r="D392" s="3794">
        <f t="shared" si="41"/>
        <v>0.9</v>
      </c>
      <c r="E392" s="3794">
        <f t="shared" si="41"/>
        <v>0.9</v>
      </c>
      <c r="F392" s="3794">
        <f t="shared" si="41"/>
        <v>0.9</v>
      </c>
      <c r="G392" s="3808">
        <f t="shared" si="41"/>
        <v>0.9</v>
      </c>
      <c r="J392" s="3339"/>
      <c r="K392" s="3339"/>
    </row>
    <row r="393" spans="1:11" s="3309" customFormat="1" ht="15.75" x14ac:dyDescent="0.25">
      <c r="A393" s="3810" t="s">
        <v>6333</v>
      </c>
      <c r="B393" s="3801" t="b">
        <f t="shared" ref="B393:G393" si="42">IF(B133&lt;1.65,1.25,IF(B133&lt;1.74,1.3,IF(B133&lt;1.79,1.35)))</f>
        <v>0</v>
      </c>
      <c r="C393" s="3801">
        <f t="shared" si="42"/>
        <v>1.25</v>
      </c>
      <c r="D393" s="3801">
        <f t="shared" si="42"/>
        <v>1.25</v>
      </c>
      <c r="E393" s="3801">
        <f t="shared" si="42"/>
        <v>1.25</v>
      </c>
      <c r="F393" s="3801">
        <f t="shared" si="42"/>
        <v>1.25</v>
      </c>
      <c r="G393" s="3809">
        <f t="shared" si="42"/>
        <v>1.25</v>
      </c>
      <c r="J393" s="3339"/>
      <c r="K393" s="3339"/>
    </row>
    <row r="394" spans="1:11" s="3309" customFormat="1" ht="15.75" x14ac:dyDescent="0.25">
      <c r="A394" s="3795" t="s">
        <v>962</v>
      </c>
      <c r="B394" s="3794">
        <f t="shared" ref="B394:G394" si="43">IF(B234&lt;9,0.99-0.02*B234)</f>
        <v>0.99</v>
      </c>
      <c r="C394" s="3794">
        <f t="shared" si="43"/>
        <v>0.99</v>
      </c>
      <c r="D394" s="3794">
        <f t="shared" si="43"/>
        <v>0.99</v>
      </c>
      <c r="E394" s="3794">
        <f t="shared" si="43"/>
        <v>0.99</v>
      </c>
      <c r="F394" s="3794">
        <f t="shared" si="43"/>
        <v>0.99</v>
      </c>
      <c r="G394" s="3808">
        <f t="shared" si="43"/>
        <v>0.99</v>
      </c>
      <c r="J394" s="3339"/>
    </row>
    <row r="395" spans="1:11" s="3309" customFormat="1" ht="31.5" x14ac:dyDescent="0.25">
      <c r="A395" s="3796" t="s">
        <v>6332</v>
      </c>
      <c r="B395" s="3794" t="b">
        <f t="shared" ref="B395" si="44">IF(B134&lt;4,1-0.05*B134)</f>
        <v>0</v>
      </c>
      <c r="C395" s="3794"/>
      <c r="D395" s="3794"/>
      <c r="E395" s="3794"/>
      <c r="F395" s="3794"/>
      <c r="G395" s="3808"/>
      <c r="J395" s="3339"/>
    </row>
    <row r="396" spans="1:11" s="3309" customFormat="1" ht="16.5" thickBot="1" x14ac:dyDescent="0.3">
      <c r="A396" s="3807" t="s">
        <v>6331</v>
      </c>
      <c r="B396" s="3806" t="e">
        <f t="shared" ref="B396" si="45">B389*B390*B391*B392*B394*B395</f>
        <v>#VALUE!</v>
      </c>
      <c r="C396" s="3806"/>
      <c r="D396" s="3806"/>
      <c r="E396" s="3806"/>
      <c r="F396" s="3806"/>
      <c r="G396" s="3805"/>
      <c r="J396" s="3339"/>
    </row>
    <row r="397" spans="1:11" s="3309" customFormat="1" ht="16.5" customHeight="1" thickBot="1" x14ac:dyDescent="0.3">
      <c r="A397" s="4761" t="s">
        <v>6330</v>
      </c>
      <c r="B397" s="4761"/>
      <c r="C397" s="4761"/>
      <c r="D397" s="4761"/>
      <c r="E397" s="4761"/>
      <c r="F397" s="4761"/>
      <c r="G397" s="4761"/>
      <c r="J397" s="3339"/>
    </row>
    <row r="398" spans="1:11" s="3309" customFormat="1" ht="15.75" x14ac:dyDescent="0.25">
      <c r="A398" s="3804" t="s">
        <v>6329</v>
      </c>
      <c r="B398" s="3803" t="e">
        <f t="shared" ref="B398" si="46">IF(B385&lt;=5,1,IF(B385&gt;15,11,B385-4))</f>
        <v>#VALUE!</v>
      </c>
      <c r="C398" s="3803"/>
      <c r="D398" s="3803"/>
      <c r="E398" s="3803"/>
      <c r="F398" s="3803"/>
      <c r="G398" s="3803"/>
      <c r="J398" s="3339"/>
    </row>
    <row r="399" spans="1:11" s="3309" customFormat="1" ht="15.75" x14ac:dyDescent="0.25">
      <c r="A399" s="3795" t="s">
        <v>6328</v>
      </c>
      <c r="B399" s="3794">
        <f t="shared" ref="B399" si="47">IF(B130&lt;0.78,1,IF(B130&lt;0.86,2,IF(B130&lt;0.96,3,IF(B251&lt;1.05,4,IF(B130&lt;1.15,5,IF(B130&lt;1.26,6,B400))))))</f>
        <v>15</v>
      </c>
      <c r="C399" s="3794"/>
      <c r="D399" s="3794"/>
      <c r="E399" s="3794"/>
      <c r="F399" s="3794"/>
      <c r="G399" s="3794"/>
      <c r="J399" s="3339"/>
      <c r="K399" s="3339"/>
    </row>
    <row r="400" spans="1:11" s="3309" customFormat="1" ht="15.75" x14ac:dyDescent="0.25">
      <c r="A400" s="3802" t="s">
        <v>3001</v>
      </c>
      <c r="B400" s="3801">
        <f t="shared" ref="B400:G400" si="48">IF(B130&lt;1.39,7,IF(B130&lt;1.53,8,IF(B130&lt;1.67,9,IF(B130&lt;1.84,10,IF(B130&lt;2,11,IF(B130&lt;2.21,12,B401))))))</f>
        <v>15</v>
      </c>
      <c r="C400" s="3801">
        <f t="shared" si="48"/>
        <v>7</v>
      </c>
      <c r="D400" s="3801">
        <f t="shared" si="48"/>
        <v>7</v>
      </c>
      <c r="E400" s="3801">
        <f t="shared" si="48"/>
        <v>7</v>
      </c>
      <c r="F400" s="3801">
        <f t="shared" si="48"/>
        <v>7</v>
      </c>
      <c r="G400" s="3801">
        <f t="shared" si="48"/>
        <v>7</v>
      </c>
      <c r="J400" s="3339"/>
      <c r="K400" s="3339"/>
    </row>
    <row r="401" spans="1:11" s="3309" customFormat="1" ht="15.75" x14ac:dyDescent="0.25">
      <c r="A401" s="3802" t="s">
        <v>3001</v>
      </c>
      <c r="B401" s="3801">
        <f t="shared" ref="B401:G401" si="49">IF(B130&lt;2.41,13,IF(B130&lt;2.61,14,15))</f>
        <v>15</v>
      </c>
      <c r="C401" s="3801">
        <f t="shared" si="49"/>
        <v>13</v>
      </c>
      <c r="D401" s="3801">
        <f t="shared" si="49"/>
        <v>13</v>
      </c>
      <c r="E401" s="3801">
        <f t="shared" si="49"/>
        <v>13</v>
      </c>
      <c r="F401" s="3801">
        <f t="shared" si="49"/>
        <v>13</v>
      </c>
      <c r="G401" s="3801">
        <f t="shared" si="49"/>
        <v>13</v>
      </c>
      <c r="J401" s="3339"/>
      <c r="K401" s="3339"/>
    </row>
    <row r="402" spans="1:11" s="3309" customFormat="1" ht="15.75" x14ac:dyDescent="0.25">
      <c r="A402" s="3795" t="s">
        <v>4614</v>
      </c>
      <c r="B402" s="3794" t="e">
        <f t="shared" ref="B402" si="50">IF(AND(B145&lt;100,B150=1),INDEX($B$2326:$P$2336,B398,B399),IF(AND(B145&lt;201,B150=1),INDEX($B$2339:$P$2349,B398,B399),IF(AND(B145&lt;301,B150=1),INDEX($B$2352:$P$2362,B398,B399),IF(AND(B145&lt;100,B150=2),INDEX($B$2369:$P$2379,B398,B399),IF(AND(B145&lt;201,B150=2),INDEX($B$2381:$P$2391,B398,B399),IF(AND(B145&lt;301,B150=2),INDEX($B$2393:$P$2403,B398,B399)))))))</f>
        <v>#VALUE!</v>
      </c>
      <c r="C402" s="3794"/>
      <c r="D402" s="3794"/>
      <c r="E402" s="3794"/>
      <c r="F402" s="3794"/>
      <c r="G402" s="3794"/>
      <c r="J402" s="3339"/>
      <c r="K402" s="3339"/>
    </row>
    <row r="403" spans="1:11" s="3309" customFormat="1" ht="31.5" x14ac:dyDescent="0.25">
      <c r="A403" s="3796" t="s">
        <v>3055</v>
      </c>
      <c r="B403" s="3794"/>
      <c r="C403" s="3794"/>
      <c r="D403" s="3794"/>
      <c r="E403" s="3794"/>
      <c r="F403" s="3794"/>
      <c r="G403" s="3794"/>
      <c r="J403" s="3339"/>
      <c r="K403" s="3339"/>
    </row>
    <row r="404" spans="1:11" s="3309" customFormat="1" ht="15.75" x14ac:dyDescent="0.25">
      <c r="A404" s="3795" t="s">
        <v>3785</v>
      </c>
      <c r="B404" s="3794">
        <f t="shared" ref="B404" si="51">IF(B132&lt;21,0.95,0.9)</f>
        <v>0.9</v>
      </c>
      <c r="C404" s="3794"/>
      <c r="D404" s="3794"/>
      <c r="E404" s="3794"/>
      <c r="F404" s="3794"/>
      <c r="G404" s="3794"/>
      <c r="J404" s="3339"/>
      <c r="K404" s="3339"/>
    </row>
    <row r="405" spans="1:11" s="3309" customFormat="1" ht="31.5" x14ac:dyDescent="0.25">
      <c r="A405" s="3796" t="s">
        <v>6327</v>
      </c>
      <c r="B405" s="3797" t="e">
        <f t="shared" ref="B405" si="52">IF(B244=1,INDEX($F$2426:$H$22383,B407,B406),IF(B244=2,INDEX($B$2426:$D$2436,B407,B406),IF(B244=3,INDEX($G$2426:$I$2436,B407,B406),IF(B244=4,INDEX($M$2426:$O$2436,B407,B406),IF(B244=5,INDEX($S$2426:$U$2436,B407,B406),IF(B244=6,INDEX($X$2426:$Z$2436,B407,B406),INDEX($AC$2253:$AE$2263,B407,B406)))))))</f>
        <v>#VALUE!</v>
      </c>
      <c r="C405" s="3797"/>
      <c r="D405" s="3797"/>
      <c r="E405" s="3797"/>
      <c r="F405" s="3797"/>
      <c r="G405" s="3797"/>
      <c r="J405" s="3339"/>
      <c r="K405" s="3339"/>
    </row>
    <row r="406" spans="1:11" s="3309" customFormat="1" ht="31.5" x14ac:dyDescent="0.25">
      <c r="A406" s="3800" t="s">
        <v>6326</v>
      </c>
      <c r="B406" s="3798">
        <f t="shared" ref="B406" si="53">IF(B145&lt;101,1,IF(B145&lt;201,2,3))</f>
        <v>1</v>
      </c>
      <c r="C406" s="3798"/>
      <c r="D406" s="3798"/>
      <c r="E406" s="3798"/>
      <c r="F406" s="3798"/>
      <c r="G406" s="3798"/>
      <c r="J406" s="3339"/>
      <c r="K406" s="3339"/>
    </row>
    <row r="407" spans="1:11" s="3309" customFormat="1" ht="15.75" x14ac:dyDescent="0.25">
      <c r="A407" s="3799" t="s">
        <v>6325</v>
      </c>
      <c r="B407" s="3798" t="e">
        <f t="shared" ref="B407" si="54">IF(B385&lt;=5,1,IF(B385&gt;15,11,B385-4))</f>
        <v>#VALUE!</v>
      </c>
      <c r="C407" s="3798"/>
      <c r="D407" s="3798"/>
      <c r="E407" s="3798"/>
      <c r="F407" s="3798"/>
      <c r="G407" s="3798"/>
      <c r="J407" s="3339"/>
    </row>
    <row r="408" spans="1:11" s="3309" customFormat="1" ht="31.5" x14ac:dyDescent="0.25">
      <c r="A408" s="3796" t="s">
        <v>6324</v>
      </c>
      <c r="B408" s="3797" t="e">
        <f t="shared" ref="B408:G408" si="55">IF(B243=1,INDEX($B$2441:$D$2451,B407,B406),IF(B243=2,INDEX($G$2441:$I$2451,B407,B406)))</f>
        <v>#VALUE!</v>
      </c>
      <c r="C408" s="3797" t="b">
        <f t="shared" si="55"/>
        <v>0</v>
      </c>
      <c r="D408" s="3797" t="b">
        <f t="shared" si="55"/>
        <v>0</v>
      </c>
      <c r="E408" s="3797" t="b">
        <f t="shared" si="55"/>
        <v>0</v>
      </c>
      <c r="F408" s="3797" t="b">
        <f t="shared" si="55"/>
        <v>0</v>
      </c>
      <c r="G408" s="3797" t="b">
        <f t="shared" si="55"/>
        <v>0</v>
      </c>
      <c r="J408" s="3339"/>
    </row>
    <row r="409" spans="1:11" s="3309" customFormat="1" ht="47.25" x14ac:dyDescent="0.25">
      <c r="A409" s="3796" t="s">
        <v>6323</v>
      </c>
      <c r="B409" s="3794" t="e">
        <f t="shared" ref="B409:G409" si="56">IF(B135=1,B408,B405)</f>
        <v>#VALUE!</v>
      </c>
      <c r="C409" s="3794">
        <f t="shared" si="56"/>
        <v>0</v>
      </c>
      <c r="D409" s="3794">
        <f t="shared" si="56"/>
        <v>0</v>
      </c>
      <c r="E409" s="3794">
        <f t="shared" si="56"/>
        <v>0</v>
      </c>
      <c r="F409" s="3794">
        <f t="shared" si="56"/>
        <v>0</v>
      </c>
      <c r="G409" s="3794">
        <f t="shared" si="56"/>
        <v>0</v>
      </c>
      <c r="J409" s="3339"/>
    </row>
    <row r="410" spans="1:11" s="3309" customFormat="1" ht="15.75" x14ac:dyDescent="0.25">
      <c r="A410" s="3795" t="s">
        <v>6322</v>
      </c>
      <c r="B410" s="3794">
        <f t="shared" ref="B410" si="57">IF(B135&lt;3,1,1.05)</f>
        <v>1.05</v>
      </c>
      <c r="C410" s="3794"/>
      <c r="D410" s="3794"/>
      <c r="E410" s="3794"/>
      <c r="F410" s="3794"/>
      <c r="G410" s="3794"/>
      <c r="J410" s="3339"/>
    </row>
    <row r="411" spans="1:11" s="3309" customFormat="1" ht="15.75" x14ac:dyDescent="0.25">
      <c r="A411" s="3795" t="s">
        <v>6321</v>
      </c>
      <c r="B411" s="3794">
        <f t="shared" ref="B411" si="58">B149/0.8</f>
        <v>0</v>
      </c>
      <c r="C411" s="3794"/>
      <c r="D411" s="3794"/>
      <c r="E411" s="3794"/>
      <c r="F411" s="3794"/>
      <c r="G411" s="3794"/>
      <c r="J411" s="3339"/>
    </row>
    <row r="412" spans="1:11" s="3309" customFormat="1" ht="15.75" x14ac:dyDescent="0.25">
      <c r="A412" s="3795" t="s">
        <v>6320</v>
      </c>
      <c r="B412" s="3794" t="e">
        <f t="shared" ref="B412" si="59">B396*B404*B409*B410*B411</f>
        <v>#VALUE!</v>
      </c>
      <c r="C412" s="3794"/>
      <c r="D412" s="3794"/>
      <c r="E412" s="3794"/>
      <c r="F412" s="3794"/>
      <c r="G412" s="3794"/>
      <c r="J412" s="3339"/>
      <c r="K412" s="3339"/>
    </row>
    <row r="413" spans="1:11" s="3309" customFormat="1" ht="15.75" x14ac:dyDescent="0.25">
      <c r="A413" s="3795" t="s">
        <v>3412</v>
      </c>
      <c r="B413" s="3794" t="e">
        <f t="shared" ref="B413" si="60">B402*B412</f>
        <v>#VALUE!</v>
      </c>
      <c r="C413" s="3794"/>
      <c r="D413" s="3794"/>
      <c r="E413" s="3794"/>
      <c r="F413" s="3794"/>
      <c r="G413" s="3794"/>
      <c r="J413" s="3339"/>
      <c r="K413" s="3339"/>
    </row>
    <row r="414" spans="1:11" s="3309" customFormat="1" ht="15.75" x14ac:dyDescent="0.25">
      <c r="A414" s="3793" t="s">
        <v>6319</v>
      </c>
      <c r="B414" s="3792" t="e">
        <f t="shared" ref="B414" si="61">(B375/B413)*2</f>
        <v>#VALUE!</v>
      </c>
      <c r="C414" s="3792"/>
      <c r="D414" s="3792"/>
      <c r="E414" s="3792"/>
      <c r="F414" s="3792"/>
      <c r="G414" s="3792"/>
      <c r="J414" s="3339"/>
      <c r="K414" s="3339"/>
    </row>
    <row r="415" spans="1:11" s="3309" customFormat="1" ht="15.75" x14ac:dyDescent="0.25">
      <c r="A415" s="3602" t="s">
        <v>6318</v>
      </c>
      <c r="B415" s="3432" t="e">
        <f t="shared" ref="B415" si="62">B414*B377</f>
        <v>#VALUE!</v>
      </c>
      <c r="C415" s="3432"/>
      <c r="D415" s="3432"/>
      <c r="E415" s="3432"/>
      <c r="F415" s="3432"/>
      <c r="G415" s="3432"/>
      <c r="J415" s="3339"/>
      <c r="K415" s="3339"/>
    </row>
    <row r="416" spans="1:11" s="3309" customFormat="1" ht="15.75" x14ac:dyDescent="0.25">
      <c r="A416" s="3602" t="s">
        <v>6317</v>
      </c>
      <c r="B416" s="3602">
        <v>1</v>
      </c>
      <c r="C416" s="3602"/>
      <c r="D416" s="3602"/>
      <c r="E416" s="3602"/>
      <c r="F416" s="3602"/>
      <c r="G416" s="3602"/>
      <c r="J416" s="3339"/>
      <c r="K416" s="3339"/>
    </row>
    <row r="417" spans="1:8" s="3309" customFormat="1" ht="15.75" x14ac:dyDescent="0.25">
      <c r="A417" s="3602" t="s">
        <v>6316</v>
      </c>
      <c r="B417" s="3432" t="e">
        <f t="shared" ref="B417" si="63">B415-B416</f>
        <v>#VALUE!</v>
      </c>
      <c r="C417" s="3432"/>
      <c r="D417" s="3432"/>
      <c r="E417" s="3432"/>
      <c r="F417" s="3432"/>
      <c r="G417" s="3432"/>
    </row>
    <row r="418" spans="1:8" s="3309" customFormat="1" ht="18.75" thickBot="1" x14ac:dyDescent="0.3">
      <c r="A418" s="4762" t="s">
        <v>6315</v>
      </c>
      <c r="B418" s="4762"/>
      <c r="C418" s="4762"/>
      <c r="D418" s="4762"/>
      <c r="E418" s="4762"/>
      <c r="F418" s="4762"/>
      <c r="G418" s="4762"/>
    </row>
    <row r="419" spans="1:8" s="3309" customFormat="1" ht="15.75" x14ac:dyDescent="0.25">
      <c r="A419" s="4763" t="s">
        <v>6314</v>
      </c>
      <c r="B419" s="4763"/>
      <c r="C419" s="4763"/>
      <c r="D419" s="4763"/>
      <c r="E419" s="4763"/>
      <c r="F419" s="4763"/>
      <c r="G419" s="4763"/>
    </row>
    <row r="420" spans="1:8" s="3309" customFormat="1" ht="31.5" x14ac:dyDescent="0.25">
      <c r="A420" s="3791" t="s">
        <v>6313</v>
      </c>
      <c r="B420" s="3432">
        <f t="shared" ref="B420" si="64">IF(B130&lt;1.26,196,223)</f>
        <v>223</v>
      </c>
      <c r="C420" s="3432"/>
      <c r="D420" s="3432"/>
      <c r="E420" s="3432"/>
      <c r="F420" s="3432"/>
      <c r="G420" s="3786"/>
    </row>
    <row r="421" spans="1:8" s="3309" customFormat="1" ht="15.75" x14ac:dyDescent="0.25">
      <c r="A421" s="3790" t="s">
        <v>6312</v>
      </c>
      <c r="B421" s="3602"/>
      <c r="C421" s="3602"/>
      <c r="D421" s="3602"/>
      <c r="E421" s="3602"/>
      <c r="F421" s="3602"/>
      <c r="G421" s="3789"/>
    </row>
    <row r="422" spans="1:8" s="3309" customFormat="1" ht="15.75" x14ac:dyDescent="0.25">
      <c r="A422" s="3788" t="s">
        <v>3057</v>
      </c>
      <c r="B422" s="3432">
        <f t="shared" ref="B422" si="65">IF(B132&gt;20,0.9,1)</f>
        <v>0.9</v>
      </c>
      <c r="C422" s="3432"/>
      <c r="D422" s="3432"/>
      <c r="E422" s="3432"/>
      <c r="F422" s="3432"/>
      <c r="G422" s="3786"/>
    </row>
    <row r="423" spans="1:8" s="3309" customFormat="1" ht="15.75" x14ac:dyDescent="0.25">
      <c r="A423" s="3788" t="s">
        <v>3058</v>
      </c>
      <c r="B423" s="3432">
        <f t="shared" ref="B423" si="66">IF(B135&gt;2,1.1,1)</f>
        <v>1.1000000000000001</v>
      </c>
      <c r="C423" s="3432"/>
      <c r="D423" s="3432"/>
      <c r="E423" s="3432"/>
      <c r="F423" s="3432"/>
      <c r="G423" s="3786"/>
    </row>
    <row r="424" spans="1:8" s="3309" customFormat="1" ht="15.75" x14ac:dyDescent="0.25">
      <c r="A424" s="3788" t="s">
        <v>6311</v>
      </c>
      <c r="B424" s="3432">
        <f t="shared" ref="B424" si="67">IF(B136=1,1,0.9)</f>
        <v>0.9</v>
      </c>
      <c r="C424" s="3432"/>
      <c r="D424" s="3432"/>
      <c r="E424" s="3432"/>
      <c r="F424" s="3432"/>
      <c r="G424" s="3432"/>
    </row>
    <row r="425" spans="1:8" s="3309" customFormat="1" ht="15.75" x14ac:dyDescent="0.25">
      <c r="A425" s="3787" t="s">
        <v>3059</v>
      </c>
      <c r="B425" s="3432" t="e">
        <f t="shared" ref="B425" si="68">B422*B423*B424*B396</f>
        <v>#VALUE!</v>
      </c>
      <c r="C425" s="3432"/>
      <c r="D425" s="3432"/>
      <c r="E425" s="3432"/>
      <c r="F425" s="3432"/>
      <c r="G425" s="3786"/>
    </row>
    <row r="426" spans="1:8" s="3309" customFormat="1" ht="15.75" x14ac:dyDescent="0.25">
      <c r="A426" s="3787" t="s">
        <v>3412</v>
      </c>
      <c r="B426" s="3432" t="e">
        <f t="shared" ref="B426" si="69">B420*B425</f>
        <v>#VALUE!</v>
      </c>
      <c r="C426" s="3432"/>
      <c r="D426" s="3432"/>
      <c r="E426" s="3432"/>
      <c r="F426" s="3432"/>
      <c r="G426" s="3786"/>
    </row>
    <row r="427" spans="1:8" s="3309" customFormat="1" ht="16.5" thickBot="1" x14ac:dyDescent="0.3">
      <c r="A427" s="3785" t="s">
        <v>6310</v>
      </c>
      <c r="B427" s="3784" t="e">
        <f t="shared" ref="B427" si="70">B375/B426</f>
        <v>#VALUE!</v>
      </c>
      <c r="C427" s="3784"/>
      <c r="D427" s="3784"/>
      <c r="E427" s="3784"/>
      <c r="F427" s="3784"/>
      <c r="G427" s="3783"/>
      <c r="H427" s="3782"/>
    </row>
    <row r="428" spans="1:8" s="3309" customFormat="1" x14ac:dyDescent="0.2">
      <c r="A428" s="3345"/>
      <c r="B428" s="3345"/>
      <c r="C428" s="3345"/>
      <c r="D428" s="3345"/>
      <c r="E428" s="3345"/>
      <c r="F428" s="3345"/>
      <c r="G428" s="3345"/>
    </row>
    <row r="429" spans="1:8" s="3309" customFormat="1" ht="18.75" thickBot="1" x14ac:dyDescent="0.3">
      <c r="A429" s="3781" t="s">
        <v>6309</v>
      </c>
      <c r="B429" s="3780"/>
      <c r="C429" s="3780"/>
      <c r="D429" s="3780"/>
      <c r="E429" s="3780"/>
      <c r="F429" s="3780"/>
      <c r="G429" s="3779"/>
    </row>
    <row r="430" spans="1:8" s="3309" customFormat="1" ht="24.75" customHeight="1" thickBot="1" x14ac:dyDescent="0.25">
      <c r="A430" s="4770" t="s">
        <v>6308</v>
      </c>
      <c r="B430" s="4770"/>
      <c r="C430" s="4770"/>
      <c r="D430" s="4770"/>
      <c r="E430" s="4770"/>
      <c r="F430" s="4770"/>
      <c r="G430" s="4770"/>
    </row>
    <row r="431" spans="1:8" s="3309" customFormat="1" x14ac:dyDescent="0.2">
      <c r="A431" s="3778" t="s">
        <v>6125</v>
      </c>
      <c r="B431" s="3777" t="e">
        <f t="shared" ref="B431" si="71">13.58*LN(B130)+27.457</f>
        <v>#VALUE!</v>
      </c>
      <c r="C431" s="3777"/>
      <c r="D431" s="3777"/>
      <c r="E431" s="3777"/>
      <c r="F431" s="3777"/>
      <c r="G431" s="3777"/>
    </row>
    <row r="432" spans="1:8" s="3309" customFormat="1" x14ac:dyDescent="0.2">
      <c r="A432" s="3534" t="s">
        <v>6124</v>
      </c>
      <c r="B432" s="3380" t="e">
        <f t="shared" ref="B432" si="72">IF(B431&lt;24.2,1,IF(B431&lt;28,2,IF(B431&lt;32,3,IF(B431&lt;36.2,4,IF(B431&lt;41,5,B433)))))</f>
        <v>#VALUE!</v>
      </c>
      <c r="C432" s="3380"/>
      <c r="D432" s="3380"/>
      <c r="E432" s="3380"/>
      <c r="F432" s="3380"/>
      <c r="G432" s="3380"/>
    </row>
    <row r="433" spans="1:7" s="3309" customFormat="1" x14ac:dyDescent="0.2">
      <c r="A433" s="3538" t="s">
        <v>3001</v>
      </c>
      <c r="B433" s="3380" t="e">
        <f t="shared" ref="B433" si="73">IF(B431&lt;46,6,IF(B431&lt;51.2,7,IF(B431&lt;57,8,IF(B431&lt;63,9,IF(B431&lt;69.6,10,11)))))</f>
        <v>#VALUE!</v>
      </c>
      <c r="C433" s="3380"/>
      <c r="D433" s="3380"/>
      <c r="E433" s="3380"/>
      <c r="F433" s="3380"/>
      <c r="G433" s="3380"/>
    </row>
    <row r="434" spans="1:7" s="3309" customFormat="1" x14ac:dyDescent="0.2">
      <c r="A434" s="3365" t="s">
        <v>5598</v>
      </c>
      <c r="B434" s="3380" t="e">
        <f t="shared" ref="B434" si="74">INDEX($C$2781:$C$2791,B432)</f>
        <v>#VALUE!</v>
      </c>
      <c r="C434" s="3380"/>
      <c r="D434" s="3380"/>
      <c r="E434" s="3380"/>
      <c r="F434" s="3380"/>
      <c r="G434" s="3380"/>
    </row>
    <row r="435" spans="1:7" s="3309" customFormat="1" x14ac:dyDescent="0.2">
      <c r="A435" s="3537" t="s">
        <v>1723</v>
      </c>
      <c r="B435" s="3365"/>
      <c r="C435" s="3365"/>
      <c r="D435" s="3365"/>
      <c r="E435" s="3365"/>
      <c r="F435" s="3365"/>
      <c r="G435" s="3365"/>
    </row>
    <row r="436" spans="1:7" s="3309" customFormat="1" x14ac:dyDescent="0.2">
      <c r="A436" s="3548" t="s">
        <v>6123</v>
      </c>
      <c r="B436" s="3380">
        <f t="shared" ref="B436" si="75">IF(B358=1.25,0.9,1)</f>
        <v>1</v>
      </c>
      <c r="C436" s="3380"/>
      <c r="D436" s="3380"/>
      <c r="E436" s="3380"/>
      <c r="F436" s="3380"/>
      <c r="G436" s="3380"/>
    </row>
    <row r="437" spans="1:7" s="3309" customFormat="1" x14ac:dyDescent="0.2">
      <c r="A437" s="3548" t="s">
        <v>5164</v>
      </c>
      <c r="B437" s="3380">
        <f t="shared" ref="B437" si="76">IF(B132&lt;21,1,IF(B132&lt;31,0.9,0.8))</f>
        <v>0.8</v>
      </c>
      <c r="C437" s="3380"/>
      <c r="D437" s="3380"/>
      <c r="E437" s="3380"/>
      <c r="F437" s="3380"/>
      <c r="G437" s="3380"/>
    </row>
    <row r="438" spans="1:7" s="3309" customFormat="1" x14ac:dyDescent="0.2">
      <c r="A438" s="3548" t="s">
        <v>3059</v>
      </c>
      <c r="B438" s="3380">
        <f t="shared" ref="B438" si="77">B436*B437</f>
        <v>0.8</v>
      </c>
      <c r="C438" s="3380"/>
      <c r="D438" s="3380"/>
      <c r="E438" s="3380"/>
      <c r="F438" s="3380"/>
      <c r="G438" s="3380"/>
    </row>
    <row r="439" spans="1:7" s="3309" customFormat="1" x14ac:dyDescent="0.2">
      <c r="A439" s="3776" t="s">
        <v>3412</v>
      </c>
      <c r="B439" s="3329" t="e">
        <f t="shared" ref="B439" si="78">B434*B438*B369</f>
        <v>#VALUE!</v>
      </c>
      <c r="C439" s="3329"/>
      <c r="D439" s="3329"/>
      <c r="E439" s="3329"/>
      <c r="F439" s="3329"/>
      <c r="G439" s="3329"/>
    </row>
    <row r="440" spans="1:7" s="3309" customFormat="1" x14ac:dyDescent="0.2">
      <c r="A440" s="3534" t="s">
        <v>6307</v>
      </c>
      <c r="B440" s="3380">
        <f t="shared" ref="B440" si="79">IF(B149=B358,(B145-B353)/B356+1,((B145-B353)/B356)/2+1)</f>
        <v>1</v>
      </c>
      <c r="C440" s="3380"/>
      <c r="D440" s="3380"/>
      <c r="E440" s="3380"/>
      <c r="F440" s="3380"/>
      <c r="G440" s="3380"/>
    </row>
    <row r="441" spans="1:7" s="3309" customFormat="1" x14ac:dyDescent="0.2">
      <c r="A441" s="3380" t="s">
        <v>6306</v>
      </c>
      <c r="B441" s="3380" t="e">
        <f t="shared" ref="B441" si="80">B440/B439</f>
        <v>#VALUE!</v>
      </c>
      <c r="C441" s="3380"/>
      <c r="D441" s="3380"/>
      <c r="E441" s="3380"/>
      <c r="F441" s="3380"/>
      <c r="G441" s="3380"/>
    </row>
    <row r="442" spans="1:7" s="3309" customFormat="1" x14ac:dyDescent="0.2"/>
    <row r="443" spans="1:7" s="3309" customFormat="1" ht="25.5" x14ac:dyDescent="0.2">
      <c r="A443" s="3540" t="s">
        <v>6305</v>
      </c>
      <c r="B443" s="3539">
        <f t="shared" ref="B443" si="81">IF(B130&lt;1.21,INDEX($B$2850:$B$2852,2),INDEX($D$2850:$D$2852,2))</f>
        <v>253</v>
      </c>
      <c r="C443" s="3539"/>
      <c r="D443" s="3539"/>
      <c r="E443" s="3539"/>
      <c r="F443" s="3539"/>
      <c r="G443" s="3539"/>
    </row>
    <row r="444" spans="1:7" s="3309" customFormat="1" x14ac:dyDescent="0.2">
      <c r="A444" s="3365" t="s">
        <v>6119</v>
      </c>
      <c r="B444" s="3380">
        <f t="shared" ref="B444:G444" si="82">IF(AND(B358&lt;1.26,B237=1),2,IF(AND(B358&lt;1.26,B237=2),1,3))</f>
        <v>3</v>
      </c>
      <c r="C444" s="3380">
        <f t="shared" si="82"/>
        <v>3</v>
      </c>
      <c r="D444" s="3380">
        <f t="shared" si="82"/>
        <v>3</v>
      </c>
      <c r="E444" s="3380">
        <f t="shared" si="82"/>
        <v>3</v>
      </c>
      <c r="F444" s="3380">
        <f t="shared" si="82"/>
        <v>3</v>
      </c>
      <c r="G444" s="3380">
        <f t="shared" si="82"/>
        <v>3</v>
      </c>
    </row>
    <row r="445" spans="1:7" s="3309" customFormat="1" x14ac:dyDescent="0.2">
      <c r="A445" s="3775" t="s">
        <v>1723</v>
      </c>
      <c r="B445" s="3365"/>
      <c r="C445" s="3365"/>
      <c r="D445" s="3365"/>
      <c r="E445" s="3365"/>
      <c r="F445" s="3365"/>
      <c r="G445" s="3365"/>
    </row>
    <row r="446" spans="1:7" s="3309" customFormat="1" x14ac:dyDescent="0.2">
      <c r="A446" s="3340" t="s">
        <v>6118</v>
      </c>
      <c r="B446" s="3340">
        <v>1</v>
      </c>
      <c r="C446" s="3340">
        <v>1</v>
      </c>
      <c r="D446" s="3340">
        <v>1</v>
      </c>
      <c r="E446" s="3340">
        <v>1</v>
      </c>
      <c r="F446" s="3340">
        <v>1</v>
      </c>
      <c r="G446" s="3340">
        <v>1</v>
      </c>
    </row>
    <row r="447" spans="1:7" s="3309" customFormat="1" x14ac:dyDescent="0.2">
      <c r="A447" s="3767" t="s">
        <v>3412</v>
      </c>
      <c r="B447" s="3329" t="e">
        <f t="shared" ref="B447:G447" si="83">B443*B446*B369</f>
        <v>#VALUE!</v>
      </c>
      <c r="C447" s="3329">
        <f t="shared" si="83"/>
        <v>0</v>
      </c>
      <c r="D447" s="3329">
        <f t="shared" si="83"/>
        <v>0</v>
      </c>
      <c r="E447" s="3329">
        <f t="shared" si="83"/>
        <v>0</v>
      </c>
      <c r="F447" s="3329">
        <f t="shared" si="83"/>
        <v>0</v>
      </c>
      <c r="G447" s="3329">
        <f t="shared" si="83"/>
        <v>0</v>
      </c>
    </row>
    <row r="448" spans="1:7" s="3309" customFormat="1" x14ac:dyDescent="0.2">
      <c r="A448" s="3534" t="s">
        <v>6304</v>
      </c>
      <c r="B448" s="3380" t="e">
        <f t="shared" ref="B448:G448" si="84">B440/B447</f>
        <v>#VALUE!</v>
      </c>
      <c r="C448" s="3380" t="e">
        <f t="shared" si="84"/>
        <v>#DIV/0!</v>
      </c>
      <c r="D448" s="3380" t="e">
        <f t="shared" si="84"/>
        <v>#DIV/0!</v>
      </c>
      <c r="E448" s="3380" t="e">
        <f t="shared" si="84"/>
        <v>#DIV/0!</v>
      </c>
      <c r="F448" s="3380" t="e">
        <f t="shared" si="84"/>
        <v>#DIV/0!</v>
      </c>
      <c r="G448" s="3380" t="e">
        <f t="shared" si="84"/>
        <v>#DIV/0!</v>
      </c>
    </row>
    <row r="449" spans="1:30" s="3309" customFormat="1" x14ac:dyDescent="0.2">
      <c r="B449" s="3323"/>
      <c r="C449" s="3323"/>
      <c r="D449" s="3323"/>
      <c r="E449" s="3323"/>
      <c r="F449" s="3323"/>
      <c r="G449" s="3323"/>
    </row>
    <row r="450" spans="1:30" s="3309" customFormat="1" ht="25.5" x14ac:dyDescent="0.2">
      <c r="A450" s="3540" t="s">
        <v>6120</v>
      </c>
      <c r="B450" s="3539">
        <f>IF(B130&lt;1.21,INDEX($C2850:$C$2852,2),INDEX($E$2850:$E$2852,2))</f>
        <v>452</v>
      </c>
      <c r="C450" s="3539">
        <f>IF(C130&lt;1.21,INDEX($C2850:$C$2852,2),INDEX($E$2850:$E$2852,2))</f>
        <v>444</v>
      </c>
      <c r="D450" s="3539">
        <f>IF(D130&lt;1.21,INDEX($C2850:$C$2852,2),INDEX($E$2850:$E$2852,2))</f>
        <v>444</v>
      </c>
      <c r="E450" s="3539">
        <f>IF(E130&lt;1.21,INDEX($C2850:$C$2852,2),INDEX($E$2850:$E$2852,2))</f>
        <v>444</v>
      </c>
      <c r="F450" s="3539">
        <f>IF(F130&lt;1.21,INDEX($C2850:$C$2852,2),INDEX($E$2850:$E$2852,2))</f>
        <v>444</v>
      </c>
      <c r="G450" s="3539">
        <f>IF(G130&lt;1.21,INDEX($C2850:$C$2852,2),INDEX($E$2850:$E$2852,2))</f>
        <v>444</v>
      </c>
    </row>
    <row r="451" spans="1:30" s="3309" customFormat="1" x14ac:dyDescent="0.2">
      <c r="A451" s="3534" t="s">
        <v>6119</v>
      </c>
      <c r="B451" s="3380">
        <f t="shared" ref="B451:G451" si="85">IF(AND(B358&lt;1.26,B237=1),2,IF(AND(B358&lt;1.26,B237=2),1,3))</f>
        <v>3</v>
      </c>
      <c r="C451" s="3380">
        <f t="shared" si="85"/>
        <v>3</v>
      </c>
      <c r="D451" s="3380">
        <f t="shared" si="85"/>
        <v>3</v>
      </c>
      <c r="E451" s="3380">
        <f t="shared" si="85"/>
        <v>3</v>
      </c>
      <c r="F451" s="3380">
        <f t="shared" si="85"/>
        <v>3</v>
      </c>
      <c r="G451" s="3380">
        <f t="shared" si="85"/>
        <v>3</v>
      </c>
    </row>
    <row r="452" spans="1:30" s="3309" customFormat="1" x14ac:dyDescent="0.2">
      <c r="A452" s="3545" t="s">
        <v>1723</v>
      </c>
      <c r="B452" s="3365"/>
      <c r="C452" s="3365"/>
      <c r="D452" s="3365"/>
      <c r="E452" s="3365"/>
      <c r="F452" s="3365"/>
      <c r="G452" s="3365"/>
      <c r="J452" s="3338"/>
      <c r="K452" s="3338"/>
      <c r="Q452" s="3774"/>
      <c r="R452" s="3774"/>
      <c r="S452" s="3774"/>
      <c r="T452" s="3774"/>
      <c r="U452" s="3774"/>
      <c r="V452" s="3773"/>
      <c r="Z452" s="3338"/>
      <c r="AA452" s="3338"/>
      <c r="AB452" s="3338"/>
      <c r="AC452" s="3338"/>
      <c r="AD452" s="3338"/>
    </row>
    <row r="453" spans="1:30" s="3309" customFormat="1" x14ac:dyDescent="0.2">
      <c r="A453" s="3610" t="s">
        <v>6118</v>
      </c>
      <c r="B453" s="3340">
        <v>1</v>
      </c>
      <c r="C453" s="3340">
        <v>1</v>
      </c>
      <c r="D453" s="3340">
        <v>1</v>
      </c>
      <c r="E453" s="3340">
        <v>1</v>
      </c>
      <c r="F453" s="3340">
        <v>1</v>
      </c>
      <c r="G453" s="3340">
        <v>1</v>
      </c>
    </row>
    <row r="454" spans="1:30" s="3309" customFormat="1" x14ac:dyDescent="0.2">
      <c r="A454" s="3772" t="s">
        <v>3412</v>
      </c>
      <c r="B454" s="3329" t="e">
        <f t="shared" ref="B454:G454" si="86">B450*B369</f>
        <v>#VALUE!</v>
      </c>
      <c r="C454" s="3329">
        <f t="shared" si="86"/>
        <v>0</v>
      </c>
      <c r="D454" s="3329">
        <f t="shared" si="86"/>
        <v>0</v>
      </c>
      <c r="E454" s="3329">
        <f t="shared" si="86"/>
        <v>0</v>
      </c>
      <c r="F454" s="3329">
        <f t="shared" si="86"/>
        <v>0</v>
      </c>
      <c r="G454" s="3329">
        <f t="shared" si="86"/>
        <v>0</v>
      </c>
    </row>
    <row r="455" spans="1:30" s="3309" customFormat="1" x14ac:dyDescent="0.2">
      <c r="A455" s="3534" t="s">
        <v>3032</v>
      </c>
      <c r="B455" s="3380" t="e">
        <f t="shared" ref="B455:G455" si="87">B440/B454</f>
        <v>#VALUE!</v>
      </c>
      <c r="C455" s="3380" t="e">
        <f t="shared" si="87"/>
        <v>#DIV/0!</v>
      </c>
      <c r="D455" s="3380" t="e">
        <f t="shared" si="87"/>
        <v>#DIV/0!</v>
      </c>
      <c r="E455" s="3380" t="e">
        <f t="shared" si="87"/>
        <v>#DIV/0!</v>
      </c>
      <c r="F455" s="3380" t="e">
        <f t="shared" si="87"/>
        <v>#DIV/0!</v>
      </c>
      <c r="G455" s="3380" t="e">
        <f t="shared" si="87"/>
        <v>#DIV/0!</v>
      </c>
    </row>
    <row r="456" spans="1:30" s="3309" customFormat="1" x14ac:dyDescent="0.2"/>
    <row r="457" spans="1:30" s="3309" customFormat="1" ht="25.5" x14ac:dyDescent="0.2">
      <c r="A457" s="3540" t="s">
        <v>6116</v>
      </c>
      <c r="B457" s="3539" t="e">
        <f t="shared" ref="B457:G457" si="88">IF(B431&lt;23.1,281,IF(B431&lt;29.1,250,IF(B431&lt;36.1,224,IF(B431&lt;45.1,197,IF(B431&lt;55.1,172,B458)))))</f>
        <v>#VALUE!</v>
      </c>
      <c r="C457" s="3539">
        <f t="shared" si="88"/>
        <v>281</v>
      </c>
      <c r="D457" s="3539">
        <f t="shared" si="88"/>
        <v>281</v>
      </c>
      <c r="E457" s="3539">
        <f t="shared" si="88"/>
        <v>281</v>
      </c>
      <c r="F457" s="3539">
        <f t="shared" si="88"/>
        <v>281</v>
      </c>
      <c r="G457" s="3539">
        <f t="shared" si="88"/>
        <v>281</v>
      </c>
    </row>
    <row r="458" spans="1:30" s="3309" customFormat="1" x14ac:dyDescent="0.2">
      <c r="A458" s="3538" t="s">
        <v>3001</v>
      </c>
      <c r="B458" s="3380" t="e">
        <f t="shared" ref="B458:G458" si="89">IF(B431&lt;65.1,149,128)</f>
        <v>#VALUE!</v>
      </c>
      <c r="C458" s="3380">
        <f t="shared" si="89"/>
        <v>149</v>
      </c>
      <c r="D458" s="3380">
        <f t="shared" si="89"/>
        <v>149</v>
      </c>
      <c r="E458" s="3380">
        <f t="shared" si="89"/>
        <v>149</v>
      </c>
      <c r="F458" s="3380">
        <f t="shared" si="89"/>
        <v>149</v>
      </c>
      <c r="G458" s="3380">
        <f t="shared" si="89"/>
        <v>149</v>
      </c>
    </row>
    <row r="459" spans="1:30" s="3309" customFormat="1" x14ac:dyDescent="0.2">
      <c r="A459" s="3537" t="s">
        <v>1723</v>
      </c>
      <c r="B459" s="3380"/>
      <c r="C459" s="3380"/>
      <c r="D459" s="3380"/>
      <c r="E459" s="3380"/>
      <c r="F459" s="3380"/>
      <c r="G459" s="3380"/>
    </row>
    <row r="460" spans="1:30" s="3309" customFormat="1" x14ac:dyDescent="0.2">
      <c r="A460" s="3536" t="s">
        <v>3057</v>
      </c>
      <c r="B460" s="3380">
        <f t="shared" ref="B460:G460" si="90">IF(B132&lt;21,1,IF(B132&lt;31,0.9,0.8))</f>
        <v>0.8</v>
      </c>
      <c r="C460" s="3380">
        <f t="shared" si="90"/>
        <v>1</v>
      </c>
      <c r="D460" s="3380">
        <f t="shared" si="90"/>
        <v>1</v>
      </c>
      <c r="E460" s="3380">
        <f t="shared" si="90"/>
        <v>1</v>
      </c>
      <c r="F460" s="3380">
        <f t="shared" si="90"/>
        <v>1</v>
      </c>
      <c r="G460" s="3380">
        <f t="shared" si="90"/>
        <v>1</v>
      </c>
    </row>
    <row r="461" spans="1:30" s="3309" customFormat="1" x14ac:dyDescent="0.2">
      <c r="A461" s="3534" t="s">
        <v>6115</v>
      </c>
      <c r="B461" s="3380" t="e">
        <f t="shared" ref="B461:G461" si="91">IF(B144+B131&gt;0.2,0.9,1)</f>
        <v>#VALUE!</v>
      </c>
      <c r="C461" s="3380">
        <f t="shared" si="91"/>
        <v>1</v>
      </c>
      <c r="D461" s="3380">
        <f t="shared" si="91"/>
        <v>1</v>
      </c>
      <c r="E461" s="3380">
        <f t="shared" si="91"/>
        <v>1</v>
      </c>
      <c r="F461" s="3380">
        <f t="shared" si="91"/>
        <v>1</v>
      </c>
      <c r="G461" s="3380">
        <f t="shared" si="91"/>
        <v>1</v>
      </c>
    </row>
    <row r="462" spans="1:30" s="3309" customFormat="1" x14ac:dyDescent="0.2">
      <c r="A462" s="3610" t="s">
        <v>6114</v>
      </c>
      <c r="B462" s="3340">
        <v>1</v>
      </c>
      <c r="C462" s="3340">
        <v>1</v>
      </c>
      <c r="D462" s="3340">
        <v>1</v>
      </c>
      <c r="E462" s="3340">
        <v>1</v>
      </c>
      <c r="F462" s="3340">
        <v>1</v>
      </c>
      <c r="G462" s="3340">
        <v>1</v>
      </c>
    </row>
    <row r="463" spans="1:30" s="3309" customFormat="1" x14ac:dyDescent="0.2">
      <c r="A463" s="3610" t="s">
        <v>6113</v>
      </c>
      <c r="B463" s="3340">
        <v>1</v>
      </c>
      <c r="C463" s="3340">
        <v>1</v>
      </c>
      <c r="D463" s="3340">
        <v>1</v>
      </c>
      <c r="E463" s="3340">
        <v>1</v>
      </c>
      <c r="F463" s="3340">
        <v>1</v>
      </c>
      <c r="G463" s="3340">
        <v>1</v>
      </c>
    </row>
    <row r="464" spans="1:30" s="3309" customFormat="1" x14ac:dyDescent="0.2">
      <c r="A464" s="3534" t="s">
        <v>3059</v>
      </c>
      <c r="B464" s="3380" t="e">
        <f t="shared" ref="B464:G464" si="92">B460*B461*B462*B463</f>
        <v>#VALUE!</v>
      </c>
      <c r="C464" s="3380">
        <f t="shared" si="92"/>
        <v>1</v>
      </c>
      <c r="D464" s="3380">
        <f t="shared" si="92"/>
        <v>1</v>
      </c>
      <c r="E464" s="3380">
        <f t="shared" si="92"/>
        <v>1</v>
      </c>
      <c r="F464" s="3380">
        <f t="shared" si="92"/>
        <v>1</v>
      </c>
      <c r="G464" s="3380">
        <f t="shared" si="92"/>
        <v>1</v>
      </c>
    </row>
    <row r="465" spans="1:7" s="3309" customFormat="1" x14ac:dyDescent="0.2">
      <c r="A465" s="3771" t="s">
        <v>3412</v>
      </c>
      <c r="B465" s="3770" t="e">
        <f t="shared" ref="B465:G465" si="93">B457*B464*B369</f>
        <v>#VALUE!</v>
      </c>
      <c r="C465" s="3770">
        <f t="shared" si="93"/>
        <v>0</v>
      </c>
      <c r="D465" s="3770">
        <f t="shared" si="93"/>
        <v>0</v>
      </c>
      <c r="E465" s="3770">
        <f t="shared" si="93"/>
        <v>0</v>
      </c>
      <c r="F465" s="3770">
        <f t="shared" si="93"/>
        <v>0</v>
      </c>
      <c r="G465" s="3770">
        <f t="shared" si="93"/>
        <v>0</v>
      </c>
    </row>
    <row r="466" spans="1:7" s="3616" customFormat="1" x14ac:dyDescent="0.2">
      <c r="A466" s="3534" t="s">
        <v>21</v>
      </c>
      <c r="B466" s="3480">
        <f t="shared" ref="B466:G466" si="94">B440</f>
        <v>1</v>
      </c>
      <c r="C466" s="3480">
        <f t="shared" si="94"/>
        <v>0</v>
      </c>
      <c r="D466" s="3480">
        <f t="shared" si="94"/>
        <v>0</v>
      </c>
      <c r="E466" s="3480">
        <f t="shared" si="94"/>
        <v>0</v>
      </c>
      <c r="F466" s="3480">
        <f t="shared" si="94"/>
        <v>0</v>
      </c>
      <c r="G466" s="3480">
        <f t="shared" si="94"/>
        <v>0</v>
      </c>
    </row>
    <row r="467" spans="1:7" s="3309" customFormat="1" x14ac:dyDescent="0.2">
      <c r="A467" s="3534" t="s">
        <v>1540</v>
      </c>
      <c r="B467" s="3380" t="e">
        <f t="shared" ref="B467:G467" si="95">B466/B465</f>
        <v>#VALUE!</v>
      </c>
      <c r="C467" s="3380" t="e">
        <f t="shared" si="95"/>
        <v>#DIV/0!</v>
      </c>
      <c r="D467" s="3380" t="e">
        <f t="shared" si="95"/>
        <v>#DIV/0!</v>
      </c>
      <c r="E467" s="3380" t="e">
        <f t="shared" si="95"/>
        <v>#DIV/0!</v>
      </c>
      <c r="F467" s="3380" t="e">
        <f t="shared" si="95"/>
        <v>#DIV/0!</v>
      </c>
      <c r="G467" s="3380" t="e">
        <f t="shared" si="95"/>
        <v>#DIV/0!</v>
      </c>
    </row>
    <row r="468" spans="1:7" s="3309" customFormat="1" x14ac:dyDescent="0.2">
      <c r="A468" s="3769" t="s">
        <v>6303</v>
      </c>
      <c r="B468" s="3331" t="e">
        <f t="shared" ref="B468:G468" si="96">B441+B455+B467+B448</f>
        <v>#VALUE!</v>
      </c>
      <c r="C468" s="3331" t="e">
        <f t="shared" si="96"/>
        <v>#DIV/0!</v>
      </c>
      <c r="D468" s="3331" t="e">
        <f t="shared" si="96"/>
        <v>#DIV/0!</v>
      </c>
      <c r="E468" s="3331" t="e">
        <f t="shared" si="96"/>
        <v>#DIV/0!</v>
      </c>
      <c r="F468" s="3331" t="e">
        <f t="shared" si="96"/>
        <v>#DIV/0!</v>
      </c>
      <c r="G468" s="3331" t="e">
        <f t="shared" si="96"/>
        <v>#DIV/0!</v>
      </c>
    </row>
    <row r="469" spans="1:7" s="3309" customFormat="1" ht="24" customHeight="1" x14ac:dyDescent="0.25">
      <c r="A469" s="4771" t="s">
        <v>6302</v>
      </c>
      <c r="B469" s="4771"/>
      <c r="C469" s="4771"/>
      <c r="D469" s="4771"/>
      <c r="E469" s="4771"/>
      <c r="F469" s="4771"/>
      <c r="G469" s="4771"/>
    </row>
    <row r="470" spans="1:7" s="3309" customFormat="1" ht="25.5" x14ac:dyDescent="0.2">
      <c r="A470" s="3540" t="s">
        <v>6301</v>
      </c>
      <c r="B470" s="3539">
        <f t="shared" ref="B470:G470" si="97">IF(B130&lt;1.01,138,IF(B130&lt;1.41,132,125))</f>
        <v>125</v>
      </c>
      <c r="C470" s="3539">
        <f t="shared" si="97"/>
        <v>138</v>
      </c>
      <c r="D470" s="3539">
        <f t="shared" si="97"/>
        <v>138</v>
      </c>
      <c r="E470" s="3539">
        <f t="shared" si="97"/>
        <v>138</v>
      </c>
      <c r="F470" s="3539">
        <f t="shared" si="97"/>
        <v>138</v>
      </c>
      <c r="G470" s="3539">
        <f t="shared" si="97"/>
        <v>138</v>
      </c>
    </row>
    <row r="471" spans="1:7" s="3309" customFormat="1" x14ac:dyDescent="0.2">
      <c r="A471" s="3537" t="s">
        <v>1723</v>
      </c>
      <c r="B471" s="3380"/>
      <c r="C471" s="3380"/>
      <c r="D471" s="3380"/>
      <c r="E471" s="3380"/>
      <c r="F471" s="3380"/>
      <c r="G471" s="3380"/>
    </row>
    <row r="472" spans="1:7" s="3309" customFormat="1" x14ac:dyDescent="0.2">
      <c r="A472" s="3534" t="s">
        <v>6300</v>
      </c>
      <c r="B472" s="3380">
        <f t="shared" ref="B472:G472" si="98">IF(B354&lt;3,1,1.15)</f>
        <v>1.1499999999999999</v>
      </c>
      <c r="C472" s="3380">
        <f t="shared" si="98"/>
        <v>1</v>
      </c>
      <c r="D472" s="3380">
        <f t="shared" si="98"/>
        <v>1</v>
      </c>
      <c r="E472" s="3380">
        <f t="shared" si="98"/>
        <v>1</v>
      </c>
      <c r="F472" s="3380">
        <f t="shared" si="98"/>
        <v>1</v>
      </c>
      <c r="G472" s="3380">
        <f t="shared" si="98"/>
        <v>1</v>
      </c>
    </row>
    <row r="473" spans="1:7" s="3309" customFormat="1" x14ac:dyDescent="0.2">
      <c r="A473" s="3767" t="s">
        <v>3412</v>
      </c>
      <c r="B473" s="3329" t="e">
        <f t="shared" ref="B473:G473" si="99">B470*B472*B369</f>
        <v>#VALUE!</v>
      </c>
      <c r="C473" s="3329">
        <f t="shared" si="99"/>
        <v>0</v>
      </c>
      <c r="D473" s="3329">
        <f t="shared" si="99"/>
        <v>0</v>
      </c>
      <c r="E473" s="3329">
        <f t="shared" si="99"/>
        <v>0</v>
      </c>
      <c r="F473" s="3329">
        <f t="shared" si="99"/>
        <v>0</v>
      </c>
      <c r="G473" s="3329">
        <f t="shared" si="99"/>
        <v>0</v>
      </c>
    </row>
    <row r="474" spans="1:7" s="3309" customFormat="1" x14ac:dyDescent="0.2">
      <c r="A474" s="3483" t="s">
        <v>6299</v>
      </c>
      <c r="B474" s="3480">
        <f t="shared" ref="B474:G474" si="100">IF(B233&lt;=2,(B145/B356)/2,B145/B356)</f>
        <v>0</v>
      </c>
      <c r="C474" s="3480" t="e">
        <f t="shared" si="100"/>
        <v>#DIV/0!</v>
      </c>
      <c r="D474" s="3480" t="e">
        <f t="shared" si="100"/>
        <v>#DIV/0!</v>
      </c>
      <c r="E474" s="3480" t="e">
        <f t="shared" si="100"/>
        <v>#DIV/0!</v>
      </c>
      <c r="F474" s="3480" t="e">
        <f t="shared" si="100"/>
        <v>#DIV/0!</v>
      </c>
      <c r="G474" s="3480" t="e">
        <f t="shared" si="100"/>
        <v>#DIV/0!</v>
      </c>
    </row>
    <row r="475" spans="1:7" s="3309" customFormat="1" x14ac:dyDescent="0.2">
      <c r="A475" s="3579" t="s">
        <v>6298</v>
      </c>
      <c r="B475" s="3768" t="e">
        <f t="shared" ref="B475:G475" si="101">B474/B473</f>
        <v>#VALUE!</v>
      </c>
      <c r="C475" s="3768" t="e">
        <f t="shared" si="101"/>
        <v>#DIV/0!</v>
      </c>
      <c r="D475" s="3768" t="e">
        <f t="shared" si="101"/>
        <v>#DIV/0!</v>
      </c>
      <c r="E475" s="3768" t="e">
        <f t="shared" si="101"/>
        <v>#DIV/0!</v>
      </c>
      <c r="F475" s="3768" t="e">
        <f t="shared" si="101"/>
        <v>#DIV/0!</v>
      </c>
      <c r="G475" s="3768" t="e">
        <f t="shared" si="101"/>
        <v>#DIV/0!</v>
      </c>
    </row>
    <row r="476" spans="1:7" s="3309" customFormat="1" x14ac:dyDescent="0.2"/>
    <row r="477" spans="1:7" s="3309" customFormat="1" ht="25.5" x14ac:dyDescent="0.2">
      <c r="A477" s="3540" t="s">
        <v>6297</v>
      </c>
      <c r="B477" s="3539">
        <f t="shared" ref="B477:G477" si="102">INDEX($L$2866:$N$2872,B478,1)</f>
        <v>17.5</v>
      </c>
      <c r="C477" s="3539">
        <f t="shared" si="102"/>
        <v>43.4</v>
      </c>
      <c r="D477" s="3539">
        <f t="shared" si="102"/>
        <v>43.4</v>
      </c>
      <c r="E477" s="3539">
        <f t="shared" si="102"/>
        <v>43.4</v>
      </c>
      <c r="F477" s="3539">
        <f t="shared" si="102"/>
        <v>43.4</v>
      </c>
      <c r="G477" s="3539">
        <f t="shared" si="102"/>
        <v>43.4</v>
      </c>
    </row>
    <row r="478" spans="1:7" s="3309" customFormat="1" ht="25.5" x14ac:dyDescent="0.2">
      <c r="A478" s="3534" t="s">
        <v>6296</v>
      </c>
      <c r="B478" s="3380">
        <f t="shared" ref="B478:G478" si="103">IF(B130&lt;=0.58,1,IF(B130&gt;2.4,7,FLOOR(4.8649*LN(B130)+3.6878,1)))</f>
        <v>7</v>
      </c>
      <c r="C478" s="3380">
        <f t="shared" si="103"/>
        <v>1</v>
      </c>
      <c r="D478" s="3380">
        <f t="shared" si="103"/>
        <v>1</v>
      </c>
      <c r="E478" s="3380">
        <f t="shared" si="103"/>
        <v>1</v>
      </c>
      <c r="F478" s="3380">
        <f t="shared" si="103"/>
        <v>1</v>
      </c>
      <c r="G478" s="3380">
        <f t="shared" si="103"/>
        <v>1</v>
      </c>
    </row>
    <row r="479" spans="1:7" s="3309" customFormat="1" x14ac:dyDescent="0.2">
      <c r="A479" s="3537" t="s">
        <v>1723</v>
      </c>
      <c r="B479" s="3380"/>
      <c r="C479" s="3380"/>
      <c r="D479" s="3380"/>
      <c r="E479" s="3380"/>
      <c r="F479" s="3380"/>
      <c r="G479" s="3380"/>
    </row>
    <row r="480" spans="1:7" s="3309" customFormat="1" x14ac:dyDescent="0.2">
      <c r="A480" s="3365" t="s">
        <v>5164</v>
      </c>
      <c r="B480" s="3380">
        <f t="shared" ref="B480:G480" si="104">IF(B132&lt;15,0.9,IF(B132&lt;55,0.5,0.3))</f>
        <v>0.3</v>
      </c>
      <c r="C480" s="3380">
        <f t="shared" si="104"/>
        <v>0.9</v>
      </c>
      <c r="D480" s="3380">
        <f t="shared" si="104"/>
        <v>0.9</v>
      </c>
      <c r="E480" s="3380">
        <f t="shared" si="104"/>
        <v>0.9</v>
      </c>
      <c r="F480" s="3380">
        <f t="shared" si="104"/>
        <v>0.9</v>
      </c>
      <c r="G480" s="3380">
        <f t="shared" si="104"/>
        <v>0.9</v>
      </c>
    </row>
    <row r="481" spans="1:13" s="3309" customFormat="1" x14ac:dyDescent="0.2">
      <c r="A481" s="3365" t="s">
        <v>6295</v>
      </c>
      <c r="B481" s="3380">
        <f t="shared" ref="B481:G481" si="105">IF(B238&lt;15,0.9,IF(B238&lt;55,0.5,0.3))</f>
        <v>0.9</v>
      </c>
      <c r="C481" s="3380">
        <f t="shared" si="105"/>
        <v>0.9</v>
      </c>
      <c r="D481" s="3380">
        <f t="shared" si="105"/>
        <v>0.9</v>
      </c>
      <c r="E481" s="3380">
        <f t="shared" si="105"/>
        <v>0.9</v>
      </c>
      <c r="F481" s="3380">
        <f t="shared" si="105"/>
        <v>0.9</v>
      </c>
      <c r="G481" s="3380">
        <f t="shared" si="105"/>
        <v>0.9</v>
      </c>
    </row>
    <row r="482" spans="1:13" s="3309" customFormat="1" x14ac:dyDescent="0.2">
      <c r="A482" s="3767" t="s">
        <v>3412</v>
      </c>
      <c r="B482" s="3329" t="e">
        <f t="shared" ref="B482:G482" si="106">B477*B480*B481*B369</f>
        <v>#VALUE!</v>
      </c>
      <c r="C482" s="3329">
        <f t="shared" si="106"/>
        <v>0</v>
      </c>
      <c r="D482" s="3329">
        <f t="shared" si="106"/>
        <v>0</v>
      </c>
      <c r="E482" s="3329">
        <f t="shared" si="106"/>
        <v>0</v>
      </c>
      <c r="F482" s="3329">
        <f t="shared" si="106"/>
        <v>0</v>
      </c>
      <c r="G482" s="3329">
        <f t="shared" si="106"/>
        <v>0</v>
      </c>
    </row>
    <row r="483" spans="1:13" s="3309" customFormat="1" x14ac:dyDescent="0.2">
      <c r="A483" s="3579" t="s">
        <v>6294</v>
      </c>
      <c r="B483" s="3579" t="e">
        <f t="shared" ref="B483:G483" si="107">B474/B482</f>
        <v>#VALUE!</v>
      </c>
      <c r="C483" s="3579" t="e">
        <f t="shared" si="107"/>
        <v>#DIV/0!</v>
      </c>
      <c r="D483" s="3579" t="e">
        <f t="shared" si="107"/>
        <v>#DIV/0!</v>
      </c>
      <c r="E483" s="3579" t="e">
        <f t="shared" si="107"/>
        <v>#DIV/0!</v>
      </c>
      <c r="F483" s="3579" t="e">
        <f t="shared" si="107"/>
        <v>#DIV/0!</v>
      </c>
      <c r="G483" s="3579" t="e">
        <f t="shared" si="107"/>
        <v>#DIV/0!</v>
      </c>
    </row>
    <row r="484" spans="1:13" s="3309" customFormat="1" ht="25.5" x14ac:dyDescent="0.2">
      <c r="A484" s="3763" t="s">
        <v>6293</v>
      </c>
      <c r="B484" s="3579" t="e">
        <f t="shared" ref="B484:G484" si="108">IF(B235=1,B475,B483)</f>
        <v>#VALUE!</v>
      </c>
      <c r="C484" s="3579" t="e">
        <f t="shared" si="108"/>
        <v>#DIV/0!</v>
      </c>
      <c r="D484" s="3579" t="e">
        <f t="shared" si="108"/>
        <v>#DIV/0!</v>
      </c>
      <c r="E484" s="3579" t="e">
        <f t="shared" si="108"/>
        <v>#DIV/0!</v>
      </c>
      <c r="F484" s="3579" t="e">
        <f t="shared" si="108"/>
        <v>#DIV/0!</v>
      </c>
      <c r="G484" s="3579" t="e">
        <f t="shared" si="108"/>
        <v>#DIV/0!</v>
      </c>
    </row>
    <row r="485" spans="1:13" s="3309" customFormat="1" x14ac:dyDescent="0.2">
      <c r="A485" s="3765" t="s">
        <v>6292</v>
      </c>
      <c r="B485" s="3764"/>
      <c r="C485" s="3412"/>
      <c r="D485" s="3412"/>
      <c r="E485" s="3412"/>
      <c r="F485" s="3412"/>
      <c r="G485" s="3412"/>
      <c r="H485" s="3353"/>
      <c r="I485" s="3467"/>
      <c r="J485" s="3467"/>
      <c r="K485" s="3467"/>
      <c r="L485" s="3467"/>
      <c r="M485" s="3467"/>
    </row>
    <row r="486" spans="1:13" s="3309" customFormat="1" x14ac:dyDescent="0.2">
      <c r="A486" s="3766" t="s">
        <v>6291</v>
      </c>
      <c r="B486" s="3468">
        <f t="shared" ref="B486:G486" si="109">B165</f>
        <v>0.5</v>
      </c>
      <c r="C486" s="3468">
        <f t="shared" si="109"/>
        <v>0</v>
      </c>
      <c r="D486" s="3468">
        <f t="shared" si="109"/>
        <v>0</v>
      </c>
      <c r="E486" s="3468">
        <f t="shared" si="109"/>
        <v>0</v>
      </c>
      <c r="F486" s="3468">
        <f t="shared" si="109"/>
        <v>0</v>
      </c>
      <c r="G486" s="3468">
        <f t="shared" si="109"/>
        <v>0</v>
      </c>
      <c r="H486" s="3353"/>
      <c r="I486" s="3467"/>
      <c r="J486" s="3467"/>
      <c r="K486" s="3467"/>
      <c r="L486" s="3467"/>
      <c r="M486" s="3467"/>
    </row>
    <row r="487" spans="1:13" s="3309" customFormat="1" x14ac:dyDescent="0.2">
      <c r="A487" s="3766" t="s">
        <v>834</v>
      </c>
      <c r="B487" s="3468" t="e">
        <f t="shared" ref="B487:G487" si="110">B145*B130*B149*B486</f>
        <v>#VALUE!</v>
      </c>
      <c r="C487" s="3468">
        <f t="shared" si="110"/>
        <v>0</v>
      </c>
      <c r="D487" s="3468">
        <f t="shared" si="110"/>
        <v>0</v>
      </c>
      <c r="E487" s="3468">
        <f t="shared" si="110"/>
        <v>0</v>
      </c>
      <c r="F487" s="3468">
        <f t="shared" si="110"/>
        <v>0</v>
      </c>
      <c r="G487" s="3468">
        <f t="shared" si="110"/>
        <v>0</v>
      </c>
      <c r="H487" s="3353"/>
      <c r="I487" s="3467"/>
      <c r="J487" s="3467"/>
      <c r="K487" s="3467"/>
      <c r="L487" s="3467"/>
      <c r="M487" s="3467"/>
    </row>
    <row r="488" spans="1:13" s="3309" customFormat="1" x14ac:dyDescent="0.2">
      <c r="A488" s="3766" t="s">
        <v>6290</v>
      </c>
      <c r="B488" s="3468" t="e">
        <f t="shared" ref="B488:G488" si="111">B1746</f>
        <v>#VALUE!</v>
      </c>
      <c r="C488" s="3468">
        <f t="shared" si="111"/>
        <v>0</v>
      </c>
      <c r="D488" s="3468">
        <f t="shared" si="111"/>
        <v>0</v>
      </c>
      <c r="E488" s="3468">
        <f t="shared" si="111"/>
        <v>0</v>
      </c>
      <c r="F488" s="3468">
        <f t="shared" si="111"/>
        <v>0</v>
      </c>
      <c r="G488" s="3468">
        <f t="shared" si="111"/>
        <v>0</v>
      </c>
      <c r="H488" s="3353"/>
      <c r="I488" s="3467"/>
      <c r="J488" s="3467"/>
      <c r="K488" s="3467"/>
      <c r="L488" s="3467"/>
      <c r="M488" s="3467"/>
    </row>
    <row r="489" spans="1:13" s="3309" customFormat="1" x14ac:dyDescent="0.2">
      <c r="A489" s="3766" t="s">
        <v>1794</v>
      </c>
      <c r="B489" s="3468">
        <f>IF(B164=1,B487/B488,0)</f>
        <v>0</v>
      </c>
      <c r="C489" s="3468">
        <f t="shared" ref="C489:G489" si="112">IF(C164=1,C487/C488,0)</f>
        <v>0</v>
      </c>
      <c r="D489" s="3468">
        <f t="shared" si="112"/>
        <v>0</v>
      </c>
      <c r="E489" s="3468">
        <f t="shared" si="112"/>
        <v>0</v>
      </c>
      <c r="F489" s="3468">
        <f t="shared" si="112"/>
        <v>0</v>
      </c>
      <c r="G489" s="3468">
        <f t="shared" si="112"/>
        <v>0</v>
      </c>
      <c r="H489" s="3353"/>
      <c r="I489" s="3467"/>
      <c r="J489" s="3467"/>
      <c r="K489" s="3467"/>
      <c r="L489" s="3467"/>
      <c r="M489" s="3467"/>
    </row>
    <row r="490" spans="1:13" s="3309" customFormat="1" x14ac:dyDescent="0.2">
      <c r="A490" s="3765"/>
      <c r="B490" s="3764"/>
      <c r="C490" s="3412"/>
      <c r="D490" s="3412"/>
      <c r="E490" s="3412"/>
      <c r="F490" s="3412"/>
      <c r="G490" s="3412"/>
      <c r="H490" s="3353"/>
      <c r="I490" s="3467"/>
      <c r="J490" s="3467"/>
      <c r="K490" s="3467"/>
      <c r="L490" s="3467"/>
      <c r="M490" s="3467"/>
    </row>
    <row r="491" spans="1:13" s="3309" customFormat="1" ht="38.25" x14ac:dyDescent="0.2">
      <c r="A491" s="3763" t="s">
        <v>6289</v>
      </c>
      <c r="B491" s="3762" t="e">
        <f t="shared" ref="B491:G491" si="113">B414+B427+B468+B484+B489</f>
        <v>#VALUE!</v>
      </c>
      <c r="C491" s="3762" t="e">
        <f t="shared" si="113"/>
        <v>#DIV/0!</v>
      </c>
      <c r="D491" s="3762" t="e">
        <f t="shared" si="113"/>
        <v>#DIV/0!</v>
      </c>
      <c r="E491" s="3762" t="e">
        <f t="shared" si="113"/>
        <v>#DIV/0!</v>
      </c>
      <c r="F491" s="3762" t="e">
        <f t="shared" si="113"/>
        <v>#DIV/0!</v>
      </c>
      <c r="G491" s="3762" t="e">
        <f t="shared" si="113"/>
        <v>#DIV/0!</v>
      </c>
    </row>
    <row r="492" spans="1:13" s="3309" customFormat="1" x14ac:dyDescent="0.2">
      <c r="A492" s="3536" t="s">
        <v>6288</v>
      </c>
      <c r="B492" s="3380" t="e">
        <f t="shared" ref="B492:G492" si="114">B491*(B146/(B350*B371))</f>
        <v>#VALUE!</v>
      </c>
      <c r="C492" s="3380" t="e">
        <f t="shared" si="114"/>
        <v>#DIV/0!</v>
      </c>
      <c r="D492" s="3380" t="e">
        <f t="shared" si="114"/>
        <v>#DIV/0!</v>
      </c>
      <c r="E492" s="3380" t="e">
        <f t="shared" si="114"/>
        <v>#DIV/0!</v>
      </c>
      <c r="F492" s="3380" t="e">
        <f t="shared" si="114"/>
        <v>#DIV/0!</v>
      </c>
      <c r="G492" s="3380" t="e">
        <f t="shared" si="114"/>
        <v>#DIV/0!</v>
      </c>
      <c r="I492" s="3309" t="e">
        <f>B146/B350</f>
        <v>#VALUE!</v>
      </c>
    </row>
    <row r="493" spans="1:13" s="3309" customFormat="1" x14ac:dyDescent="0.2">
      <c r="A493" s="3340" t="s">
        <v>6287</v>
      </c>
      <c r="B493" s="3340">
        <v>1</v>
      </c>
      <c r="C493" s="3340">
        <v>1</v>
      </c>
      <c r="D493" s="3340">
        <v>1</v>
      </c>
      <c r="E493" s="3340">
        <v>1</v>
      </c>
      <c r="F493" s="3340">
        <v>1</v>
      </c>
      <c r="G493" s="3340">
        <v>1</v>
      </c>
    </row>
    <row r="494" spans="1:13" s="3309" customFormat="1" x14ac:dyDescent="0.2">
      <c r="A494" s="3483" t="s">
        <v>4388</v>
      </c>
      <c r="B494" s="3380" t="e">
        <f t="shared" ref="B494:G494" si="115">B492-B493</f>
        <v>#VALUE!</v>
      </c>
      <c r="C494" s="3380" t="e">
        <f t="shared" si="115"/>
        <v>#DIV/0!</v>
      </c>
      <c r="D494" s="3380" t="e">
        <f t="shared" si="115"/>
        <v>#DIV/0!</v>
      </c>
      <c r="E494" s="3380" t="e">
        <f t="shared" si="115"/>
        <v>#DIV/0!</v>
      </c>
      <c r="F494" s="3380" t="e">
        <f t="shared" si="115"/>
        <v>#DIV/0!</v>
      </c>
      <c r="G494" s="3380" t="e">
        <f t="shared" si="115"/>
        <v>#DIV/0!</v>
      </c>
    </row>
    <row r="495" spans="1:13" s="3309" customFormat="1" x14ac:dyDescent="0.2">
      <c r="A495" s="3753" t="s">
        <v>576</v>
      </c>
      <c r="B495" s="3668">
        <f t="shared" ref="B495:G495" si="116">0.9*B185</f>
        <v>270</v>
      </c>
      <c r="C495" s="3668">
        <f t="shared" si="116"/>
        <v>270</v>
      </c>
      <c r="D495" s="3668">
        <f t="shared" si="116"/>
        <v>270</v>
      </c>
      <c r="E495" s="3668">
        <f t="shared" si="116"/>
        <v>270</v>
      </c>
      <c r="F495" s="3668">
        <f t="shared" si="116"/>
        <v>270</v>
      </c>
      <c r="G495" s="3667">
        <f t="shared" si="116"/>
        <v>270</v>
      </c>
    </row>
    <row r="496" spans="1:13" s="3309" customFormat="1" x14ac:dyDescent="0.2">
      <c r="A496" s="3753" t="s">
        <v>3821</v>
      </c>
      <c r="B496" s="3329">
        <f t="shared" ref="B496:G496" si="117">0.9*B185</f>
        <v>270</v>
      </c>
      <c r="C496" s="3329">
        <f t="shared" si="117"/>
        <v>270</v>
      </c>
      <c r="D496" s="3329">
        <f t="shared" si="117"/>
        <v>270</v>
      </c>
      <c r="E496" s="3329">
        <f t="shared" si="117"/>
        <v>270</v>
      </c>
      <c r="F496" s="3329">
        <f t="shared" si="117"/>
        <v>270</v>
      </c>
      <c r="G496" s="3734">
        <f t="shared" si="117"/>
        <v>270</v>
      </c>
    </row>
    <row r="497" spans="1:7" s="3309" customFormat="1" x14ac:dyDescent="0.2">
      <c r="A497" s="3753" t="s">
        <v>577</v>
      </c>
      <c r="B497" s="3329">
        <f t="shared" ref="B497:G497" si="118">0.8*B495</f>
        <v>216</v>
      </c>
      <c r="C497" s="3329">
        <f t="shared" si="118"/>
        <v>216</v>
      </c>
      <c r="D497" s="3329">
        <f t="shared" si="118"/>
        <v>216</v>
      </c>
      <c r="E497" s="3329">
        <f t="shared" si="118"/>
        <v>216</v>
      </c>
      <c r="F497" s="3329">
        <f t="shared" si="118"/>
        <v>216</v>
      </c>
      <c r="G497" s="3734">
        <f t="shared" si="118"/>
        <v>216</v>
      </c>
    </row>
    <row r="498" spans="1:7" s="3309" customFormat="1" x14ac:dyDescent="0.2">
      <c r="A498" s="3753" t="s">
        <v>6285</v>
      </c>
      <c r="B498" s="3329">
        <f t="shared" ref="B498:G498" si="119">0.8*B185</f>
        <v>240</v>
      </c>
      <c r="C498" s="3329">
        <f t="shared" si="119"/>
        <v>240</v>
      </c>
      <c r="D498" s="3329">
        <f t="shared" si="119"/>
        <v>240</v>
      </c>
      <c r="E498" s="3329">
        <f t="shared" si="119"/>
        <v>240</v>
      </c>
      <c r="F498" s="3329">
        <f t="shared" si="119"/>
        <v>240</v>
      </c>
      <c r="G498" s="3734">
        <f t="shared" si="119"/>
        <v>240</v>
      </c>
    </row>
    <row r="499" spans="1:7" s="3309" customFormat="1" x14ac:dyDescent="0.2">
      <c r="A499" s="3753" t="s">
        <v>6268</v>
      </c>
      <c r="B499" s="3329">
        <f t="shared" ref="B499:G499" si="120">0.9*B186</f>
        <v>9000</v>
      </c>
      <c r="C499" s="3329">
        <f t="shared" si="120"/>
        <v>9000</v>
      </c>
      <c r="D499" s="3329">
        <f t="shared" si="120"/>
        <v>9000</v>
      </c>
      <c r="E499" s="3329">
        <f t="shared" si="120"/>
        <v>9000</v>
      </c>
      <c r="F499" s="3329">
        <f t="shared" si="120"/>
        <v>9000</v>
      </c>
      <c r="G499" s="3734">
        <f t="shared" si="120"/>
        <v>9000</v>
      </c>
    </row>
    <row r="500" spans="1:7" s="3309" customFormat="1" x14ac:dyDescent="0.2">
      <c r="A500" s="3753" t="s">
        <v>6267</v>
      </c>
      <c r="B500" s="3329">
        <f t="shared" ref="B500:G500" si="121">0.8*B186</f>
        <v>8000</v>
      </c>
      <c r="C500" s="3329">
        <f t="shared" si="121"/>
        <v>8000</v>
      </c>
      <c r="D500" s="3329">
        <f t="shared" si="121"/>
        <v>8000</v>
      </c>
      <c r="E500" s="3329">
        <f t="shared" si="121"/>
        <v>8000</v>
      </c>
      <c r="F500" s="3329">
        <f t="shared" si="121"/>
        <v>8000</v>
      </c>
      <c r="G500" s="3734">
        <f t="shared" si="121"/>
        <v>8000</v>
      </c>
    </row>
    <row r="501" spans="1:7" s="3309" customFormat="1" x14ac:dyDescent="0.2">
      <c r="A501" s="3753" t="s">
        <v>6266</v>
      </c>
      <c r="B501" s="3329">
        <f t="shared" ref="B501:G501" si="122">0.9*B186</f>
        <v>9000</v>
      </c>
      <c r="C501" s="3329">
        <f t="shared" si="122"/>
        <v>9000</v>
      </c>
      <c r="D501" s="3329">
        <f t="shared" si="122"/>
        <v>9000</v>
      </c>
      <c r="E501" s="3329">
        <f t="shared" si="122"/>
        <v>9000</v>
      </c>
      <c r="F501" s="3329">
        <f t="shared" si="122"/>
        <v>9000</v>
      </c>
      <c r="G501" s="3734">
        <f t="shared" si="122"/>
        <v>9000</v>
      </c>
    </row>
    <row r="502" spans="1:7" s="3309" customFormat="1" x14ac:dyDescent="0.2">
      <c r="A502" s="3753" t="s">
        <v>6265</v>
      </c>
      <c r="B502" s="3329">
        <f t="shared" ref="B502:G502" si="123">0.7*B186</f>
        <v>7000</v>
      </c>
      <c r="C502" s="3329">
        <f t="shared" si="123"/>
        <v>7000</v>
      </c>
      <c r="D502" s="3329">
        <f t="shared" si="123"/>
        <v>7000</v>
      </c>
      <c r="E502" s="3329">
        <f t="shared" si="123"/>
        <v>7000</v>
      </c>
      <c r="F502" s="3329">
        <f t="shared" si="123"/>
        <v>7000</v>
      </c>
      <c r="G502" s="3734">
        <f t="shared" si="123"/>
        <v>7000</v>
      </c>
    </row>
    <row r="503" spans="1:7" s="3309" customFormat="1" x14ac:dyDescent="0.2">
      <c r="A503" s="3753" t="s">
        <v>6280</v>
      </c>
      <c r="B503" s="3329">
        <f t="shared" ref="B503:G503" si="124">0.5*B188</f>
        <v>5</v>
      </c>
      <c r="C503" s="3329">
        <f t="shared" si="124"/>
        <v>5</v>
      </c>
      <c r="D503" s="3329">
        <f t="shared" si="124"/>
        <v>5</v>
      </c>
      <c r="E503" s="3329">
        <f t="shared" si="124"/>
        <v>5</v>
      </c>
      <c r="F503" s="3329">
        <f t="shared" si="124"/>
        <v>5</v>
      </c>
      <c r="G503" s="3734">
        <f t="shared" si="124"/>
        <v>5</v>
      </c>
    </row>
    <row r="504" spans="1:7" s="3309" customFormat="1" ht="13.5" thickBot="1" x14ac:dyDescent="0.25">
      <c r="A504" s="3761" t="s">
        <v>6286</v>
      </c>
      <c r="B504" s="3760">
        <f t="shared" ref="B504:G504" si="125">1.1*B185</f>
        <v>330</v>
      </c>
      <c r="C504" s="3760">
        <f t="shared" si="125"/>
        <v>330</v>
      </c>
      <c r="D504" s="3760">
        <f t="shared" si="125"/>
        <v>330</v>
      </c>
      <c r="E504" s="3760">
        <f t="shared" si="125"/>
        <v>330</v>
      </c>
      <c r="F504" s="3760">
        <f t="shared" si="125"/>
        <v>330</v>
      </c>
      <c r="G504" s="3759">
        <f t="shared" si="125"/>
        <v>330</v>
      </c>
    </row>
    <row r="505" spans="1:7" s="3309" customFormat="1" x14ac:dyDescent="0.2">
      <c r="A505" s="3340"/>
      <c r="B505" s="3340"/>
      <c r="C505" s="3340"/>
      <c r="D505" s="3340"/>
      <c r="E505" s="3340"/>
      <c r="F505" s="3340"/>
      <c r="G505" s="3340"/>
    </row>
    <row r="506" spans="1:7" s="3309" customFormat="1" x14ac:dyDescent="0.2"/>
    <row r="507" spans="1:7" s="3309" customFormat="1" x14ac:dyDescent="0.2">
      <c r="A507" s="3481" t="s">
        <v>6286</v>
      </c>
      <c r="B507" s="3329">
        <f t="shared" ref="B507:G507" si="126">B504</f>
        <v>330</v>
      </c>
      <c r="C507" s="3329">
        <f t="shared" si="126"/>
        <v>330</v>
      </c>
      <c r="D507" s="3329">
        <f t="shared" si="126"/>
        <v>330</v>
      </c>
      <c r="E507" s="3329">
        <f t="shared" si="126"/>
        <v>330</v>
      </c>
      <c r="F507" s="3329">
        <f t="shared" si="126"/>
        <v>330</v>
      </c>
      <c r="G507" s="3329">
        <f t="shared" si="126"/>
        <v>330</v>
      </c>
    </row>
    <row r="508" spans="1:7" s="3309" customFormat="1" x14ac:dyDescent="0.2">
      <c r="A508" s="3481" t="s">
        <v>6089</v>
      </c>
      <c r="B508" s="3380">
        <f t="shared" ref="B508:G508" si="127">B507*B192</f>
        <v>461.99999999999994</v>
      </c>
      <c r="C508" s="3380">
        <f t="shared" si="127"/>
        <v>461.99999999999994</v>
      </c>
      <c r="D508" s="3380">
        <f t="shared" si="127"/>
        <v>461.99999999999994</v>
      </c>
      <c r="E508" s="3380">
        <f t="shared" si="127"/>
        <v>461.99999999999994</v>
      </c>
      <c r="F508" s="3380">
        <f t="shared" si="127"/>
        <v>461.99999999999994</v>
      </c>
      <c r="G508" s="3380">
        <f t="shared" si="127"/>
        <v>461.99999999999994</v>
      </c>
    </row>
    <row r="509" spans="1:7" s="3309" customFormat="1" x14ac:dyDescent="0.2">
      <c r="A509" s="3481" t="s">
        <v>6090</v>
      </c>
      <c r="B509" s="3329">
        <f t="shared" ref="B509:G509" si="128">B185</f>
        <v>300</v>
      </c>
      <c r="C509" s="3329">
        <f t="shared" si="128"/>
        <v>300</v>
      </c>
      <c r="D509" s="3329">
        <f t="shared" si="128"/>
        <v>300</v>
      </c>
      <c r="E509" s="3329">
        <f t="shared" si="128"/>
        <v>300</v>
      </c>
      <c r="F509" s="3329">
        <f t="shared" si="128"/>
        <v>300</v>
      </c>
      <c r="G509" s="3329">
        <f t="shared" si="128"/>
        <v>300</v>
      </c>
    </row>
    <row r="510" spans="1:7" s="3309" customFormat="1" x14ac:dyDescent="0.2">
      <c r="A510" s="3481" t="s">
        <v>6089</v>
      </c>
      <c r="B510" s="3380">
        <f t="shared" ref="B510:G510" si="129">B509*B192</f>
        <v>420</v>
      </c>
      <c r="C510" s="3380">
        <f t="shared" si="129"/>
        <v>420</v>
      </c>
      <c r="D510" s="3380">
        <f t="shared" si="129"/>
        <v>420</v>
      </c>
      <c r="E510" s="3380">
        <f t="shared" si="129"/>
        <v>420</v>
      </c>
      <c r="F510" s="3380">
        <f t="shared" si="129"/>
        <v>420</v>
      </c>
      <c r="G510" s="3380">
        <f t="shared" si="129"/>
        <v>420</v>
      </c>
    </row>
    <row r="511" spans="1:7" s="3309" customFormat="1" x14ac:dyDescent="0.2">
      <c r="A511" s="3481" t="s">
        <v>6285</v>
      </c>
      <c r="B511" s="3329">
        <f t="shared" ref="B511:G511" si="130">B498</f>
        <v>240</v>
      </c>
      <c r="C511" s="3329">
        <f t="shared" si="130"/>
        <v>240</v>
      </c>
      <c r="D511" s="3329">
        <f t="shared" si="130"/>
        <v>240</v>
      </c>
      <c r="E511" s="3329">
        <f t="shared" si="130"/>
        <v>240</v>
      </c>
      <c r="F511" s="3329">
        <f t="shared" si="130"/>
        <v>240</v>
      </c>
      <c r="G511" s="3329">
        <f t="shared" si="130"/>
        <v>240</v>
      </c>
    </row>
    <row r="512" spans="1:7" s="3309" customFormat="1" x14ac:dyDescent="0.2">
      <c r="A512" s="3483" t="s">
        <v>6089</v>
      </c>
      <c r="B512" s="3380">
        <f t="shared" ref="B512:G512" si="131">B511*B192</f>
        <v>336</v>
      </c>
      <c r="C512" s="3380">
        <f t="shared" si="131"/>
        <v>336</v>
      </c>
      <c r="D512" s="3380">
        <f t="shared" si="131"/>
        <v>336</v>
      </c>
      <c r="E512" s="3380">
        <f t="shared" si="131"/>
        <v>336</v>
      </c>
      <c r="F512" s="3380">
        <f t="shared" si="131"/>
        <v>336</v>
      </c>
      <c r="G512" s="3380">
        <f t="shared" si="131"/>
        <v>336</v>
      </c>
    </row>
    <row r="513" spans="1:7" s="3309" customFormat="1" x14ac:dyDescent="0.2">
      <c r="A513" s="3328" t="s">
        <v>6284</v>
      </c>
      <c r="B513" s="3380">
        <f t="shared" ref="B513:G513" si="132">B493*B508</f>
        <v>461.99999999999994</v>
      </c>
      <c r="C513" s="3380">
        <f t="shared" si="132"/>
        <v>461.99999999999994</v>
      </c>
      <c r="D513" s="3380">
        <f t="shared" si="132"/>
        <v>461.99999999999994</v>
      </c>
      <c r="E513" s="3380">
        <f t="shared" si="132"/>
        <v>461.99999999999994</v>
      </c>
      <c r="F513" s="3380">
        <f t="shared" si="132"/>
        <v>461.99999999999994</v>
      </c>
      <c r="G513" s="3380">
        <f t="shared" si="132"/>
        <v>461.99999999999994</v>
      </c>
    </row>
    <row r="514" spans="1:7" s="3309" customFormat="1" x14ac:dyDescent="0.2">
      <c r="A514" s="3483" t="s">
        <v>6088</v>
      </c>
      <c r="B514" s="3380" t="e">
        <f t="shared" ref="B514:G514" si="133">B494*B510</f>
        <v>#VALUE!</v>
      </c>
      <c r="C514" s="3380" t="e">
        <f t="shared" si="133"/>
        <v>#DIV/0!</v>
      </c>
      <c r="D514" s="3380" t="e">
        <f t="shared" si="133"/>
        <v>#DIV/0!</v>
      </c>
      <c r="E514" s="3380" t="e">
        <f t="shared" si="133"/>
        <v>#DIV/0!</v>
      </c>
      <c r="F514" s="3380" t="e">
        <f t="shared" si="133"/>
        <v>#DIV/0!</v>
      </c>
      <c r="G514" s="3380" t="e">
        <f t="shared" si="133"/>
        <v>#DIV/0!</v>
      </c>
    </row>
    <row r="515" spans="1:7" s="3309" customFormat="1" x14ac:dyDescent="0.2">
      <c r="A515" s="3483" t="s">
        <v>6283</v>
      </c>
      <c r="B515" s="3380" t="e">
        <f t="shared" ref="B515:G515" si="134">B512*B516</f>
        <v>#VALUE!</v>
      </c>
      <c r="C515" s="3380">
        <f t="shared" si="134"/>
        <v>336</v>
      </c>
      <c r="D515" s="3380">
        <f t="shared" si="134"/>
        <v>336</v>
      </c>
      <c r="E515" s="3380">
        <f t="shared" si="134"/>
        <v>336</v>
      </c>
      <c r="F515" s="3380">
        <f t="shared" si="134"/>
        <v>336</v>
      </c>
      <c r="G515" s="3380">
        <f t="shared" si="134"/>
        <v>336</v>
      </c>
    </row>
    <row r="516" spans="1:7" s="3309" customFormat="1" x14ac:dyDescent="0.2">
      <c r="A516" s="3483" t="s">
        <v>2364</v>
      </c>
      <c r="B516" s="3380" t="e">
        <f t="shared" ref="B516:G516" si="135">IF(B146&gt;=1000,2,1)</f>
        <v>#VALUE!</v>
      </c>
      <c r="C516" s="3380">
        <f t="shared" si="135"/>
        <v>1</v>
      </c>
      <c r="D516" s="3380">
        <f t="shared" si="135"/>
        <v>1</v>
      </c>
      <c r="E516" s="3380">
        <f t="shared" si="135"/>
        <v>1</v>
      </c>
      <c r="F516" s="3380">
        <f t="shared" si="135"/>
        <v>1</v>
      </c>
      <c r="G516" s="3380">
        <f t="shared" si="135"/>
        <v>1</v>
      </c>
    </row>
    <row r="517" spans="1:7" s="3309" customFormat="1" x14ac:dyDescent="0.2">
      <c r="A517" s="3483" t="s">
        <v>3108</v>
      </c>
      <c r="B517" s="3380">
        <f t="shared" ref="B517:G517" si="136">IF(B141&gt;=3,2,3)</f>
        <v>2</v>
      </c>
      <c r="C517" s="3380">
        <f t="shared" si="136"/>
        <v>3</v>
      </c>
      <c r="D517" s="3380">
        <f t="shared" si="136"/>
        <v>3</v>
      </c>
      <c r="E517" s="3380">
        <f t="shared" si="136"/>
        <v>3</v>
      </c>
      <c r="F517" s="3380">
        <f t="shared" si="136"/>
        <v>3</v>
      </c>
      <c r="G517" s="3380">
        <f t="shared" si="136"/>
        <v>3</v>
      </c>
    </row>
    <row r="518" spans="1:7" s="3309" customFormat="1" x14ac:dyDescent="0.2">
      <c r="A518" s="3483" t="s">
        <v>2367</v>
      </c>
      <c r="B518" s="3380" t="e">
        <f t="shared" ref="B518:G518" si="137">(B493+B494+B516)*B517</f>
        <v>#VALUE!</v>
      </c>
      <c r="C518" s="3380" t="e">
        <f t="shared" si="137"/>
        <v>#DIV/0!</v>
      </c>
      <c r="D518" s="3380" t="e">
        <f t="shared" si="137"/>
        <v>#DIV/0!</v>
      </c>
      <c r="E518" s="3380" t="e">
        <f t="shared" si="137"/>
        <v>#DIV/0!</v>
      </c>
      <c r="F518" s="3380" t="e">
        <f t="shared" si="137"/>
        <v>#DIV/0!</v>
      </c>
      <c r="G518" s="3380" t="e">
        <f t="shared" si="137"/>
        <v>#DIV/0!</v>
      </c>
    </row>
    <row r="519" spans="1:7" s="3309" customFormat="1" x14ac:dyDescent="0.2">
      <c r="A519" s="3758" t="s">
        <v>2369</v>
      </c>
      <c r="B519" s="3758"/>
      <c r="C519" s="3758"/>
      <c r="D519" s="3758"/>
      <c r="E519" s="3758"/>
      <c r="F519" s="3758"/>
      <c r="G519" s="3758"/>
    </row>
    <row r="520" spans="1:7" s="3309" customFormat="1" x14ac:dyDescent="0.2">
      <c r="A520" s="3758" t="s">
        <v>2371</v>
      </c>
      <c r="B520" s="3758"/>
      <c r="C520" s="3758"/>
      <c r="D520" s="3758"/>
      <c r="E520" s="3758"/>
      <c r="F520" s="3758"/>
      <c r="G520" s="3758"/>
    </row>
    <row r="521" spans="1:7" s="3309" customFormat="1" x14ac:dyDescent="0.2">
      <c r="A521" s="3329" t="s">
        <v>4437</v>
      </c>
      <c r="B521" s="3329">
        <f t="shared" ref="B521:G521" si="138">B360</f>
        <v>0</v>
      </c>
      <c r="C521" s="3329">
        <f t="shared" si="138"/>
        <v>0</v>
      </c>
      <c r="D521" s="3329">
        <f t="shared" si="138"/>
        <v>0</v>
      </c>
      <c r="E521" s="3329">
        <f t="shared" si="138"/>
        <v>0</v>
      </c>
      <c r="F521" s="3329">
        <f t="shared" si="138"/>
        <v>0</v>
      </c>
      <c r="G521" s="3329">
        <f t="shared" si="138"/>
        <v>0</v>
      </c>
    </row>
    <row r="522" spans="1:7" s="3309" customFormat="1" x14ac:dyDescent="0.2">
      <c r="A522" s="3483" t="s">
        <v>772</v>
      </c>
      <c r="B522" s="3380" t="e">
        <f t="shared" ref="B522:G522" si="139">B146</f>
        <v>#VALUE!</v>
      </c>
      <c r="C522" s="3380">
        <f t="shared" si="139"/>
        <v>0</v>
      </c>
      <c r="D522" s="3380">
        <f t="shared" si="139"/>
        <v>0</v>
      </c>
      <c r="E522" s="3380">
        <f t="shared" si="139"/>
        <v>0</v>
      </c>
      <c r="F522" s="3380">
        <f t="shared" si="139"/>
        <v>0</v>
      </c>
      <c r="G522" s="3380">
        <f t="shared" si="139"/>
        <v>0</v>
      </c>
    </row>
    <row r="523" spans="1:7" s="3309" customFormat="1" x14ac:dyDescent="0.2">
      <c r="A523" s="3483" t="s">
        <v>774</v>
      </c>
      <c r="B523" s="3380" t="e">
        <f t="shared" ref="B523:G523" si="140">B521*B522</f>
        <v>#VALUE!</v>
      </c>
      <c r="C523" s="3380">
        <f t="shared" si="140"/>
        <v>0</v>
      </c>
      <c r="D523" s="3380">
        <f t="shared" si="140"/>
        <v>0</v>
      </c>
      <c r="E523" s="3380">
        <f t="shared" si="140"/>
        <v>0</v>
      </c>
      <c r="F523" s="3380">
        <f t="shared" si="140"/>
        <v>0</v>
      </c>
      <c r="G523" s="3380">
        <f t="shared" si="140"/>
        <v>0</v>
      </c>
    </row>
    <row r="524" spans="1:7" s="3309" customFormat="1" x14ac:dyDescent="0.2">
      <c r="A524" s="3481" t="s">
        <v>5941</v>
      </c>
      <c r="B524" s="3329">
        <f t="shared" ref="B524:G524" si="141">B190</f>
        <v>1.27</v>
      </c>
      <c r="C524" s="3329">
        <f t="shared" si="141"/>
        <v>1.27</v>
      </c>
      <c r="D524" s="3329">
        <f t="shared" si="141"/>
        <v>1.27</v>
      </c>
      <c r="E524" s="3329">
        <f t="shared" si="141"/>
        <v>1.27</v>
      </c>
      <c r="F524" s="3329">
        <f t="shared" si="141"/>
        <v>1.27</v>
      </c>
      <c r="G524" s="3329">
        <f t="shared" si="141"/>
        <v>1.27</v>
      </c>
    </row>
    <row r="525" spans="1:7" s="3309" customFormat="1" x14ac:dyDescent="0.2">
      <c r="A525" s="3483"/>
      <c r="B525" s="3365"/>
      <c r="C525" s="3365"/>
      <c r="D525" s="3365"/>
      <c r="E525" s="3365"/>
      <c r="F525" s="3365"/>
      <c r="G525" s="3365"/>
    </row>
    <row r="526" spans="1:7" s="3309" customFormat="1" x14ac:dyDescent="0.2">
      <c r="A526" s="3483" t="s">
        <v>6282</v>
      </c>
      <c r="B526" s="3380" t="e">
        <f t="shared" ref="B526:G526" si="142">B518*B524</f>
        <v>#VALUE!</v>
      </c>
      <c r="C526" s="3380" t="e">
        <f t="shared" si="142"/>
        <v>#DIV/0!</v>
      </c>
      <c r="D526" s="3380" t="e">
        <f t="shared" si="142"/>
        <v>#DIV/0!</v>
      </c>
      <c r="E526" s="3380" t="e">
        <f t="shared" si="142"/>
        <v>#DIV/0!</v>
      </c>
      <c r="F526" s="3380" t="e">
        <f t="shared" si="142"/>
        <v>#DIV/0!</v>
      </c>
      <c r="G526" s="3380" t="e">
        <f t="shared" si="142"/>
        <v>#DIV/0!</v>
      </c>
    </row>
    <row r="527" spans="1:7" s="3309" customFormat="1" x14ac:dyDescent="0.2">
      <c r="A527" s="3328" t="s">
        <v>6085</v>
      </c>
      <c r="B527" s="3380" t="e">
        <f t="shared" ref="B527:G527" si="143">(B513+B514+B515)*B517</f>
        <v>#VALUE!</v>
      </c>
      <c r="C527" s="3380" t="e">
        <f t="shared" si="143"/>
        <v>#DIV/0!</v>
      </c>
      <c r="D527" s="3380" t="e">
        <f t="shared" si="143"/>
        <v>#DIV/0!</v>
      </c>
      <c r="E527" s="3380" t="e">
        <f t="shared" si="143"/>
        <v>#DIV/0!</v>
      </c>
      <c r="F527" s="3380" t="e">
        <f t="shared" si="143"/>
        <v>#DIV/0!</v>
      </c>
      <c r="G527" s="3380" t="e">
        <f t="shared" si="143"/>
        <v>#DIV/0!</v>
      </c>
    </row>
    <row r="528" spans="1:7" s="3309" customFormat="1" ht="25.5" x14ac:dyDescent="0.2">
      <c r="A528" s="3328" t="s">
        <v>6084</v>
      </c>
      <c r="B528" s="3380" t="e">
        <f t="shared" ref="B528:G528" si="144">B527*B524*B521</f>
        <v>#VALUE!</v>
      </c>
      <c r="C528" s="3380" t="e">
        <f t="shared" si="144"/>
        <v>#DIV/0!</v>
      </c>
      <c r="D528" s="3380" t="e">
        <f t="shared" si="144"/>
        <v>#DIV/0!</v>
      </c>
      <c r="E528" s="3380" t="e">
        <f t="shared" si="144"/>
        <v>#DIV/0!</v>
      </c>
      <c r="F528" s="3380" t="e">
        <f t="shared" si="144"/>
        <v>#DIV/0!</v>
      </c>
      <c r="G528" s="3380" t="e">
        <f t="shared" si="144"/>
        <v>#DIV/0!</v>
      </c>
    </row>
    <row r="529" spans="1:7" s="3309" customFormat="1" x14ac:dyDescent="0.2">
      <c r="A529" s="3481" t="s">
        <v>6083</v>
      </c>
      <c r="B529" s="3329">
        <f t="shared" ref="B529:G529" si="145">B187</f>
        <v>20</v>
      </c>
      <c r="C529" s="3329">
        <f t="shared" si="145"/>
        <v>20</v>
      </c>
      <c r="D529" s="3329">
        <f t="shared" si="145"/>
        <v>20</v>
      </c>
      <c r="E529" s="3329">
        <f t="shared" si="145"/>
        <v>20</v>
      </c>
      <c r="F529" s="3329">
        <f t="shared" si="145"/>
        <v>20</v>
      </c>
      <c r="G529" s="3329">
        <f t="shared" si="145"/>
        <v>20</v>
      </c>
    </row>
    <row r="530" spans="1:7" s="3309" customFormat="1" x14ac:dyDescent="0.2">
      <c r="A530" s="3481" t="s">
        <v>6082</v>
      </c>
      <c r="B530" s="3380" t="e">
        <f t="shared" ref="B530:G530" si="146">B528*B529*10^-2</f>
        <v>#VALUE!</v>
      </c>
      <c r="C530" s="3380" t="e">
        <f t="shared" si="146"/>
        <v>#DIV/0!</v>
      </c>
      <c r="D530" s="3380" t="e">
        <f t="shared" si="146"/>
        <v>#DIV/0!</v>
      </c>
      <c r="E530" s="3380" t="e">
        <f t="shared" si="146"/>
        <v>#DIV/0!</v>
      </c>
      <c r="F530" s="3380" t="e">
        <f t="shared" si="146"/>
        <v>#DIV/0!</v>
      </c>
      <c r="G530" s="3380" t="e">
        <f t="shared" si="146"/>
        <v>#DIV/0!</v>
      </c>
    </row>
    <row r="531" spans="1:7" s="3309" customFormat="1" x14ac:dyDescent="0.2">
      <c r="A531" s="3481" t="s">
        <v>776</v>
      </c>
      <c r="B531" s="3380">
        <f t="shared" ref="B531:G531" si="147">B517</f>
        <v>2</v>
      </c>
      <c r="C531" s="3380">
        <f t="shared" si="147"/>
        <v>3</v>
      </c>
      <c r="D531" s="3380">
        <f t="shared" si="147"/>
        <v>3</v>
      </c>
      <c r="E531" s="3380">
        <f t="shared" si="147"/>
        <v>3</v>
      </c>
      <c r="F531" s="3380">
        <f t="shared" si="147"/>
        <v>3</v>
      </c>
      <c r="G531" s="3380">
        <f t="shared" si="147"/>
        <v>3</v>
      </c>
    </row>
    <row r="532" spans="1:7" s="3309" customFormat="1" x14ac:dyDescent="0.2">
      <c r="A532" s="3481" t="s">
        <v>6281</v>
      </c>
      <c r="B532" s="3329">
        <f t="shared" ref="B532:G532" si="148">B188</f>
        <v>10</v>
      </c>
      <c r="C532" s="3329">
        <f t="shared" si="148"/>
        <v>10</v>
      </c>
      <c r="D532" s="3329">
        <f t="shared" si="148"/>
        <v>10</v>
      </c>
      <c r="E532" s="3329">
        <f t="shared" si="148"/>
        <v>10</v>
      </c>
      <c r="F532" s="3329">
        <f t="shared" si="148"/>
        <v>10</v>
      </c>
      <c r="G532" s="3329">
        <f t="shared" si="148"/>
        <v>10</v>
      </c>
    </row>
    <row r="533" spans="1:7" s="3309" customFormat="1" x14ac:dyDescent="0.2">
      <c r="A533" s="3481" t="s">
        <v>6280</v>
      </c>
      <c r="B533" s="3329">
        <f t="shared" ref="B533:G533" si="149">B503</f>
        <v>5</v>
      </c>
      <c r="C533" s="3329">
        <f t="shared" si="149"/>
        <v>5</v>
      </c>
      <c r="D533" s="3329">
        <f t="shared" si="149"/>
        <v>5</v>
      </c>
      <c r="E533" s="3329">
        <f t="shared" si="149"/>
        <v>5</v>
      </c>
      <c r="F533" s="3329">
        <f t="shared" si="149"/>
        <v>5</v>
      </c>
      <c r="G533" s="3329">
        <f t="shared" si="149"/>
        <v>5</v>
      </c>
    </row>
    <row r="534" spans="1:7" s="3309" customFormat="1" x14ac:dyDescent="0.2">
      <c r="A534" s="3328" t="s">
        <v>777</v>
      </c>
      <c r="B534" s="3329">
        <f t="shared" ref="B534:G534" si="150">B189</f>
        <v>6</v>
      </c>
      <c r="C534" s="3329">
        <f t="shared" si="150"/>
        <v>6</v>
      </c>
      <c r="D534" s="3329">
        <f t="shared" si="150"/>
        <v>6</v>
      </c>
      <c r="E534" s="3329">
        <f t="shared" si="150"/>
        <v>6</v>
      </c>
      <c r="F534" s="3329">
        <f t="shared" si="150"/>
        <v>6</v>
      </c>
      <c r="G534" s="3329">
        <f t="shared" si="150"/>
        <v>6</v>
      </c>
    </row>
    <row r="535" spans="1:7" s="3309" customFormat="1" x14ac:dyDescent="0.2">
      <c r="A535" s="3328" t="s">
        <v>778</v>
      </c>
      <c r="B535" s="3380">
        <f t="shared" ref="B535:G535" si="151">B534*B524</f>
        <v>7.62</v>
      </c>
      <c r="C535" s="3380">
        <f t="shared" si="151"/>
        <v>7.62</v>
      </c>
      <c r="D535" s="3380">
        <f t="shared" si="151"/>
        <v>7.62</v>
      </c>
      <c r="E535" s="3380">
        <f t="shared" si="151"/>
        <v>7.62</v>
      </c>
      <c r="F535" s="3380">
        <f t="shared" si="151"/>
        <v>7.62</v>
      </c>
      <c r="G535" s="3380">
        <f t="shared" si="151"/>
        <v>7.62</v>
      </c>
    </row>
    <row r="536" spans="1:7" s="3309" customFormat="1" x14ac:dyDescent="0.2">
      <c r="A536" s="3757" t="s">
        <v>6279</v>
      </c>
      <c r="B536" s="3539" t="e">
        <f t="shared" ref="B536:G536" si="152">B528/B526</f>
        <v>#VALUE!</v>
      </c>
      <c r="C536" s="3539" t="e">
        <f t="shared" si="152"/>
        <v>#DIV/0!</v>
      </c>
      <c r="D536" s="3539" t="e">
        <f t="shared" si="152"/>
        <v>#DIV/0!</v>
      </c>
      <c r="E536" s="3539" t="e">
        <f t="shared" si="152"/>
        <v>#DIV/0!</v>
      </c>
      <c r="F536" s="3539" t="e">
        <f t="shared" si="152"/>
        <v>#DIV/0!</v>
      </c>
      <c r="G536" s="3539" t="e">
        <f t="shared" si="152"/>
        <v>#DIV/0!</v>
      </c>
    </row>
    <row r="537" spans="1:7" s="3309" customFormat="1" x14ac:dyDescent="0.2">
      <c r="A537" s="3328" t="s">
        <v>6278</v>
      </c>
      <c r="B537" s="3380" t="e">
        <f t="shared" ref="B537:G537" si="153">B536*B532/100</f>
        <v>#VALUE!</v>
      </c>
      <c r="C537" s="3380" t="e">
        <f t="shared" si="153"/>
        <v>#DIV/0!</v>
      </c>
      <c r="D537" s="3380" t="e">
        <f t="shared" si="153"/>
        <v>#DIV/0!</v>
      </c>
      <c r="E537" s="3380" t="e">
        <f t="shared" si="153"/>
        <v>#DIV/0!</v>
      </c>
      <c r="F537" s="3380" t="e">
        <f t="shared" si="153"/>
        <v>#DIV/0!</v>
      </c>
      <c r="G537" s="3380" t="e">
        <f t="shared" si="153"/>
        <v>#DIV/0!</v>
      </c>
    </row>
    <row r="538" spans="1:7" s="3309" customFormat="1" x14ac:dyDescent="0.2">
      <c r="A538" s="3328" t="s">
        <v>6277</v>
      </c>
      <c r="B538" s="3380" t="e">
        <f t="shared" ref="B538:G538" si="154">B536*B531*B533/100</f>
        <v>#VALUE!</v>
      </c>
      <c r="C538" s="3380" t="e">
        <f t="shared" si="154"/>
        <v>#DIV/0!</v>
      </c>
      <c r="D538" s="3380" t="e">
        <f t="shared" si="154"/>
        <v>#DIV/0!</v>
      </c>
      <c r="E538" s="3380" t="e">
        <f t="shared" si="154"/>
        <v>#DIV/0!</v>
      </c>
      <c r="F538" s="3380" t="e">
        <f t="shared" si="154"/>
        <v>#DIV/0!</v>
      </c>
      <c r="G538" s="3380" t="e">
        <f t="shared" si="154"/>
        <v>#DIV/0!</v>
      </c>
    </row>
    <row r="539" spans="1:7" s="3309" customFormat="1" ht="25.5" x14ac:dyDescent="0.2">
      <c r="A539" s="3328" t="s">
        <v>6276</v>
      </c>
      <c r="B539" s="3380" t="e">
        <f t="shared" ref="B539:G539" si="155">B536*B535</f>
        <v>#VALUE!</v>
      </c>
      <c r="C539" s="3380" t="e">
        <f t="shared" si="155"/>
        <v>#DIV/0!</v>
      </c>
      <c r="D539" s="3380" t="e">
        <f t="shared" si="155"/>
        <v>#DIV/0!</v>
      </c>
      <c r="E539" s="3380" t="e">
        <f t="shared" si="155"/>
        <v>#DIV/0!</v>
      </c>
      <c r="F539" s="3380" t="e">
        <f t="shared" si="155"/>
        <v>#DIV/0!</v>
      </c>
      <c r="G539" s="3380" t="e">
        <f t="shared" si="155"/>
        <v>#DIV/0!</v>
      </c>
    </row>
    <row r="540" spans="1:7" s="3309" customFormat="1" x14ac:dyDescent="0.2">
      <c r="A540" s="3328" t="s">
        <v>6275</v>
      </c>
      <c r="B540" s="3380" t="e">
        <f t="shared" ref="B540:G540" si="156">B536*B532/100</f>
        <v>#VALUE!</v>
      </c>
      <c r="C540" s="3380" t="e">
        <f t="shared" si="156"/>
        <v>#DIV/0!</v>
      </c>
      <c r="D540" s="3380" t="e">
        <f t="shared" si="156"/>
        <v>#DIV/0!</v>
      </c>
      <c r="E540" s="3380" t="e">
        <f t="shared" si="156"/>
        <v>#DIV/0!</v>
      </c>
      <c r="F540" s="3380" t="e">
        <f t="shared" si="156"/>
        <v>#DIV/0!</v>
      </c>
      <c r="G540" s="3380" t="e">
        <f t="shared" si="156"/>
        <v>#DIV/0!</v>
      </c>
    </row>
    <row r="541" spans="1:7" s="3309" customFormat="1" x14ac:dyDescent="0.2">
      <c r="A541" s="3328" t="s">
        <v>6274</v>
      </c>
      <c r="B541" s="3380" t="e">
        <f t="shared" ref="B541:G541" si="157">B539*B529/100</f>
        <v>#VALUE!</v>
      </c>
      <c r="C541" s="3380" t="e">
        <f t="shared" si="157"/>
        <v>#DIV/0!</v>
      </c>
      <c r="D541" s="3380" t="e">
        <f t="shared" si="157"/>
        <v>#DIV/0!</v>
      </c>
      <c r="E541" s="3380" t="e">
        <f t="shared" si="157"/>
        <v>#DIV/0!</v>
      </c>
      <c r="F541" s="3380" t="e">
        <f t="shared" si="157"/>
        <v>#DIV/0!</v>
      </c>
      <c r="G541" s="3380" t="e">
        <f t="shared" si="157"/>
        <v>#DIV/0!</v>
      </c>
    </row>
    <row r="542" spans="1:7" s="3309" customFormat="1" x14ac:dyDescent="0.2">
      <c r="A542" s="3483"/>
      <c r="B542" s="3365"/>
      <c r="C542" s="3365"/>
      <c r="D542" s="3365"/>
      <c r="E542" s="3365"/>
      <c r="F542" s="3365"/>
      <c r="G542" s="3365"/>
    </row>
    <row r="543" spans="1:7" s="3309" customFormat="1" ht="25.5" x14ac:dyDescent="0.2">
      <c r="A543" s="3328" t="s">
        <v>6273</v>
      </c>
      <c r="B543" s="3380" t="e">
        <f t="shared" ref="B543:G543" si="158">B528+B530+B537+B538+B539+B540+B541</f>
        <v>#VALUE!</v>
      </c>
      <c r="C543" s="3380" t="e">
        <f t="shared" si="158"/>
        <v>#DIV/0!</v>
      </c>
      <c r="D543" s="3380" t="e">
        <f t="shared" si="158"/>
        <v>#DIV/0!</v>
      </c>
      <c r="E543" s="3380" t="e">
        <f t="shared" si="158"/>
        <v>#DIV/0!</v>
      </c>
      <c r="F543" s="3380" t="e">
        <f t="shared" si="158"/>
        <v>#DIV/0!</v>
      </c>
      <c r="G543" s="3380" t="e">
        <f t="shared" si="158"/>
        <v>#DIV/0!</v>
      </c>
    </row>
    <row r="544" spans="1:7" s="3309" customFormat="1" x14ac:dyDescent="0.2">
      <c r="A544" s="3329" t="s">
        <v>1701</v>
      </c>
      <c r="B544" s="3329">
        <f t="shared" ref="B544:G544" si="159">B191</f>
        <v>36</v>
      </c>
      <c r="C544" s="3329">
        <f t="shared" si="159"/>
        <v>36</v>
      </c>
      <c r="D544" s="3329">
        <f t="shared" si="159"/>
        <v>36</v>
      </c>
      <c r="E544" s="3329">
        <f t="shared" si="159"/>
        <v>36</v>
      </c>
      <c r="F544" s="3329">
        <f t="shared" si="159"/>
        <v>36</v>
      </c>
      <c r="G544" s="3329">
        <f t="shared" si="159"/>
        <v>36</v>
      </c>
    </row>
    <row r="545" spans="1:7" s="3309" customFormat="1" ht="25.5" customHeight="1" x14ac:dyDescent="0.2">
      <c r="A545" s="3483" t="s">
        <v>6080</v>
      </c>
      <c r="B545" s="3380" t="e">
        <f t="shared" ref="B545:G545" si="160">B543*B544/100</f>
        <v>#VALUE!</v>
      </c>
      <c r="C545" s="3380" t="e">
        <f t="shared" si="160"/>
        <v>#DIV/0!</v>
      </c>
      <c r="D545" s="3380" t="e">
        <f t="shared" si="160"/>
        <v>#DIV/0!</v>
      </c>
      <c r="E545" s="3380" t="e">
        <f t="shared" si="160"/>
        <v>#DIV/0!</v>
      </c>
      <c r="F545" s="3380" t="e">
        <f t="shared" si="160"/>
        <v>#DIV/0!</v>
      </c>
      <c r="G545" s="3380" t="e">
        <f t="shared" si="160"/>
        <v>#DIV/0!</v>
      </c>
    </row>
    <row r="546" spans="1:7" s="3309" customFormat="1" x14ac:dyDescent="0.2">
      <c r="A546" s="3483"/>
      <c r="B546" s="3365"/>
      <c r="C546" s="3365"/>
      <c r="D546" s="3365"/>
      <c r="E546" s="3365"/>
      <c r="F546" s="3365"/>
      <c r="G546" s="3365"/>
    </row>
    <row r="547" spans="1:7" s="3309" customFormat="1" x14ac:dyDescent="0.2">
      <c r="A547" s="3328" t="s">
        <v>6272</v>
      </c>
      <c r="B547" s="3380" t="e">
        <f t="shared" ref="B547:G547" si="161">B543/B523</f>
        <v>#VALUE!</v>
      </c>
      <c r="C547" s="3380" t="e">
        <f t="shared" si="161"/>
        <v>#DIV/0!</v>
      </c>
      <c r="D547" s="3380" t="e">
        <f t="shared" si="161"/>
        <v>#DIV/0!</v>
      </c>
      <c r="E547" s="3380" t="e">
        <f t="shared" si="161"/>
        <v>#DIV/0!</v>
      </c>
      <c r="F547" s="3380" t="e">
        <f t="shared" si="161"/>
        <v>#DIV/0!</v>
      </c>
      <c r="G547" s="3380" t="e">
        <f t="shared" si="161"/>
        <v>#DIV/0!</v>
      </c>
    </row>
    <row r="548" spans="1:7" s="3309" customFormat="1" x14ac:dyDescent="0.2">
      <c r="A548" s="3483" t="s">
        <v>6271</v>
      </c>
      <c r="B548" s="3380" t="e">
        <f t="shared" ref="B548:G548" si="162">(B543+B545)/B523</f>
        <v>#VALUE!</v>
      </c>
      <c r="C548" s="3380" t="e">
        <f t="shared" si="162"/>
        <v>#DIV/0!</v>
      </c>
      <c r="D548" s="3380" t="e">
        <f t="shared" si="162"/>
        <v>#DIV/0!</v>
      </c>
      <c r="E548" s="3380" t="e">
        <f t="shared" si="162"/>
        <v>#DIV/0!</v>
      </c>
      <c r="F548" s="3380" t="e">
        <f t="shared" si="162"/>
        <v>#DIV/0!</v>
      </c>
      <c r="G548" s="3380" t="e">
        <f t="shared" si="162"/>
        <v>#DIV/0!</v>
      </c>
    </row>
    <row r="549" spans="1:7" s="3309" customFormat="1" x14ac:dyDescent="0.2"/>
    <row r="550" spans="1:7" s="3309" customFormat="1" ht="18.75" thickBot="1" x14ac:dyDescent="0.3">
      <c r="A550" s="4772" t="s">
        <v>6270</v>
      </c>
      <c r="B550" s="4772"/>
      <c r="C550" s="4772"/>
      <c r="D550" s="4772"/>
      <c r="E550" s="4772"/>
      <c r="F550" s="4772"/>
      <c r="G550" s="4772"/>
    </row>
    <row r="551" spans="1:7" s="3309" customFormat="1" x14ac:dyDescent="0.2">
      <c r="A551" s="3756" t="s">
        <v>6269</v>
      </c>
      <c r="B551" s="3755">
        <f t="shared" ref="B551:G551" si="163">B186</f>
        <v>10000</v>
      </c>
      <c r="C551" s="3755">
        <f t="shared" si="163"/>
        <v>10000</v>
      </c>
      <c r="D551" s="3755">
        <f t="shared" si="163"/>
        <v>10000</v>
      </c>
      <c r="E551" s="3755">
        <f t="shared" si="163"/>
        <v>10000</v>
      </c>
      <c r="F551" s="3755">
        <f t="shared" si="163"/>
        <v>10000</v>
      </c>
      <c r="G551" s="3754">
        <f t="shared" si="163"/>
        <v>10000</v>
      </c>
    </row>
    <row r="552" spans="1:7" s="3309" customFormat="1" x14ac:dyDescent="0.2">
      <c r="A552" s="3753" t="s">
        <v>6268</v>
      </c>
      <c r="B552" s="3329">
        <f t="shared" ref="B552:G555" si="164">B499</f>
        <v>9000</v>
      </c>
      <c r="C552" s="3329">
        <f t="shared" si="164"/>
        <v>9000</v>
      </c>
      <c r="D552" s="3329">
        <f t="shared" si="164"/>
        <v>9000</v>
      </c>
      <c r="E552" s="3329">
        <f t="shared" si="164"/>
        <v>9000</v>
      </c>
      <c r="F552" s="3329">
        <f t="shared" si="164"/>
        <v>9000</v>
      </c>
      <c r="G552" s="3734">
        <f t="shared" si="164"/>
        <v>9000</v>
      </c>
    </row>
    <row r="553" spans="1:7" s="3309" customFormat="1" ht="53.25" customHeight="1" x14ac:dyDescent="0.2">
      <c r="A553" s="3753" t="s">
        <v>6267</v>
      </c>
      <c r="B553" s="3329">
        <f t="shared" si="164"/>
        <v>8000</v>
      </c>
      <c r="C553" s="3329">
        <f t="shared" si="164"/>
        <v>8000</v>
      </c>
      <c r="D553" s="3329">
        <f t="shared" si="164"/>
        <v>8000</v>
      </c>
      <c r="E553" s="3329">
        <f t="shared" si="164"/>
        <v>8000</v>
      </c>
      <c r="F553" s="3329">
        <f t="shared" si="164"/>
        <v>8000</v>
      </c>
      <c r="G553" s="3734">
        <f t="shared" si="164"/>
        <v>8000</v>
      </c>
    </row>
    <row r="554" spans="1:7" s="3309" customFormat="1" x14ac:dyDescent="0.2">
      <c r="A554" s="3753" t="s">
        <v>6266</v>
      </c>
      <c r="B554" s="3329">
        <f t="shared" si="164"/>
        <v>9000</v>
      </c>
      <c r="C554" s="3329">
        <f t="shared" si="164"/>
        <v>9000</v>
      </c>
      <c r="D554" s="3329">
        <f t="shared" si="164"/>
        <v>9000</v>
      </c>
      <c r="E554" s="3329">
        <f t="shared" si="164"/>
        <v>9000</v>
      </c>
      <c r="F554" s="3329">
        <f t="shared" si="164"/>
        <v>9000</v>
      </c>
      <c r="G554" s="3734">
        <f t="shared" si="164"/>
        <v>9000</v>
      </c>
    </row>
    <row r="555" spans="1:7" s="3309" customFormat="1" x14ac:dyDescent="0.2">
      <c r="A555" s="3753" t="s">
        <v>6265</v>
      </c>
      <c r="B555" s="3329">
        <f t="shared" si="164"/>
        <v>7000</v>
      </c>
      <c r="C555" s="3329">
        <f t="shared" si="164"/>
        <v>7000</v>
      </c>
      <c r="D555" s="3329">
        <f t="shared" si="164"/>
        <v>7000</v>
      </c>
      <c r="E555" s="3329">
        <f t="shared" si="164"/>
        <v>7000</v>
      </c>
      <c r="F555" s="3329">
        <f t="shared" si="164"/>
        <v>7000</v>
      </c>
      <c r="G555" s="3734">
        <f t="shared" si="164"/>
        <v>7000</v>
      </c>
    </row>
    <row r="556" spans="1:7" s="3309" customFormat="1" ht="25.5" x14ac:dyDescent="0.2">
      <c r="A556" s="3740" t="s">
        <v>6264</v>
      </c>
      <c r="B556" s="3380">
        <f t="shared" ref="B556:G556" si="165">SUM(B551:B554)+4*B555*B192</f>
        <v>75200</v>
      </c>
      <c r="C556" s="3380">
        <f t="shared" si="165"/>
        <v>75200</v>
      </c>
      <c r="D556" s="3380">
        <f t="shared" si="165"/>
        <v>75200</v>
      </c>
      <c r="E556" s="3380">
        <f t="shared" si="165"/>
        <v>75200</v>
      </c>
      <c r="F556" s="3380">
        <f t="shared" si="165"/>
        <v>75200</v>
      </c>
      <c r="G556" s="3380">
        <f t="shared" si="165"/>
        <v>75200</v>
      </c>
    </row>
    <row r="557" spans="1:7" s="3309" customFormat="1" x14ac:dyDescent="0.2">
      <c r="A557" s="3735" t="s">
        <v>6263</v>
      </c>
      <c r="B557" s="3329">
        <f t="shared" ref="B557:G557" si="166">B529</f>
        <v>20</v>
      </c>
      <c r="C557" s="3329">
        <f t="shared" si="166"/>
        <v>20</v>
      </c>
      <c r="D557" s="3329">
        <f t="shared" si="166"/>
        <v>20</v>
      </c>
      <c r="E557" s="3329">
        <f t="shared" si="166"/>
        <v>20</v>
      </c>
      <c r="F557" s="3329">
        <f t="shared" si="166"/>
        <v>20</v>
      </c>
      <c r="G557" s="3734">
        <f t="shared" si="166"/>
        <v>20</v>
      </c>
    </row>
    <row r="558" spans="1:7" s="3309" customFormat="1" x14ac:dyDescent="0.2">
      <c r="A558" s="3752" t="s">
        <v>6262</v>
      </c>
      <c r="B558" s="3380">
        <f t="shared" ref="B558:G558" si="167">B556*(1+B557*10^-2)</f>
        <v>90240</v>
      </c>
      <c r="C558" s="3380">
        <f t="shared" si="167"/>
        <v>90240</v>
      </c>
      <c r="D558" s="3380">
        <f t="shared" si="167"/>
        <v>90240</v>
      </c>
      <c r="E558" s="3380">
        <f t="shared" si="167"/>
        <v>90240</v>
      </c>
      <c r="F558" s="3380">
        <f t="shared" si="167"/>
        <v>90240</v>
      </c>
      <c r="G558" s="3658">
        <f t="shared" si="167"/>
        <v>90240</v>
      </c>
    </row>
    <row r="559" spans="1:7" s="3309" customFormat="1" x14ac:dyDescent="0.2">
      <c r="A559" s="3752" t="s">
        <v>6261</v>
      </c>
      <c r="B559" s="3380">
        <f t="shared" ref="B559:G559" si="168">B558*B544*10^-2</f>
        <v>32486.400000000001</v>
      </c>
      <c r="C559" s="3380">
        <f t="shared" si="168"/>
        <v>32486.400000000001</v>
      </c>
      <c r="D559" s="3380">
        <f t="shared" si="168"/>
        <v>32486.400000000001</v>
      </c>
      <c r="E559" s="3380">
        <f t="shared" si="168"/>
        <v>32486.400000000001</v>
      </c>
      <c r="F559" s="3380">
        <f t="shared" si="168"/>
        <v>32486.400000000001</v>
      </c>
      <c r="G559" s="3658">
        <f t="shared" si="168"/>
        <v>32486.400000000001</v>
      </c>
    </row>
    <row r="560" spans="1:7" s="3309" customFormat="1" x14ac:dyDescent="0.2">
      <c r="A560" s="3740" t="s">
        <v>6260</v>
      </c>
      <c r="B560" s="3380">
        <f t="shared" ref="B560:G560" si="169">B559+B558</f>
        <v>122726.39999999999</v>
      </c>
      <c r="C560" s="3380">
        <f t="shared" si="169"/>
        <v>122726.39999999999</v>
      </c>
      <c r="D560" s="3380">
        <f t="shared" si="169"/>
        <v>122726.39999999999</v>
      </c>
      <c r="E560" s="3380">
        <f t="shared" si="169"/>
        <v>122726.39999999999</v>
      </c>
      <c r="F560" s="3380">
        <f t="shared" si="169"/>
        <v>122726.39999999999</v>
      </c>
      <c r="G560" s="3658">
        <f t="shared" si="169"/>
        <v>122726.39999999999</v>
      </c>
    </row>
    <row r="561" spans="1:7" s="3309" customFormat="1" x14ac:dyDescent="0.2">
      <c r="A561" s="3751" t="s">
        <v>6259</v>
      </c>
      <c r="B561" s="3750" t="e">
        <f t="shared" ref="B561:G561" si="170">B560/B523</f>
        <v>#VALUE!</v>
      </c>
      <c r="C561" s="3750" t="e">
        <f t="shared" si="170"/>
        <v>#DIV/0!</v>
      </c>
      <c r="D561" s="3750" t="e">
        <f t="shared" si="170"/>
        <v>#DIV/0!</v>
      </c>
      <c r="E561" s="3750" t="e">
        <f t="shared" si="170"/>
        <v>#DIV/0!</v>
      </c>
      <c r="F561" s="3750" t="e">
        <f t="shared" si="170"/>
        <v>#DIV/0!</v>
      </c>
      <c r="G561" s="3749" t="e">
        <f t="shared" si="170"/>
        <v>#DIV/0!</v>
      </c>
    </row>
    <row r="562" spans="1:7" s="3309" customFormat="1" ht="18.75" customHeight="1" thickBot="1" x14ac:dyDescent="0.3">
      <c r="A562" s="3748" t="s">
        <v>780</v>
      </c>
      <c r="B562" s="3579" t="e">
        <f t="shared" ref="B562:G562" si="171">CEILING(B535+B526+4+1+1+1,1)</f>
        <v>#VALUE!</v>
      </c>
      <c r="C562" s="3579" t="e">
        <f t="shared" si="171"/>
        <v>#DIV/0!</v>
      </c>
      <c r="D562" s="3579" t="e">
        <f t="shared" si="171"/>
        <v>#DIV/0!</v>
      </c>
      <c r="E562" s="3579" t="e">
        <f t="shared" si="171"/>
        <v>#DIV/0!</v>
      </c>
      <c r="F562" s="3579" t="e">
        <f t="shared" si="171"/>
        <v>#DIV/0!</v>
      </c>
      <c r="G562" s="3579" t="e">
        <f t="shared" si="171"/>
        <v>#DIV/0!</v>
      </c>
    </row>
    <row r="563" spans="1:7" s="3309" customFormat="1" ht="18" x14ac:dyDescent="0.25">
      <c r="A563" s="3747" t="s">
        <v>6258</v>
      </c>
      <c r="B563" s="3746"/>
      <c r="C563" s="3746"/>
      <c r="D563" s="3746"/>
      <c r="E563" s="3746"/>
      <c r="F563" s="3746"/>
      <c r="G563" s="3745"/>
    </row>
    <row r="564" spans="1:7" s="3309" customFormat="1" x14ac:dyDescent="0.2">
      <c r="A564" s="3742" t="s">
        <v>6257</v>
      </c>
      <c r="B564" s="3329"/>
      <c r="C564" s="3329"/>
      <c r="D564" s="3329"/>
      <c r="E564" s="3329"/>
      <c r="F564" s="3329"/>
      <c r="G564" s="3734"/>
    </row>
    <row r="565" spans="1:7" s="3309" customFormat="1" x14ac:dyDescent="0.2">
      <c r="A565" s="3740" t="s">
        <v>6248</v>
      </c>
      <c r="B565" s="3380">
        <f t="shared" ref="B565:G565" si="172">CEILING((((B145-B353)/B356+1)*4),1)</f>
        <v>4</v>
      </c>
      <c r="C565" s="3380" t="e">
        <f t="shared" si="172"/>
        <v>#DIV/0!</v>
      </c>
      <c r="D565" s="3380" t="e">
        <f t="shared" si="172"/>
        <v>#DIV/0!</v>
      </c>
      <c r="E565" s="3380" t="e">
        <f t="shared" si="172"/>
        <v>#DIV/0!</v>
      </c>
      <c r="F565" s="3380" t="e">
        <f t="shared" si="172"/>
        <v>#DIV/0!</v>
      </c>
      <c r="G565" s="3380" t="e">
        <f t="shared" si="172"/>
        <v>#DIV/0!</v>
      </c>
    </row>
    <row r="566" spans="1:7" s="3309" customFormat="1" x14ac:dyDescent="0.2">
      <c r="A566" s="3741" t="s">
        <v>6247</v>
      </c>
      <c r="B566" s="3329">
        <f t="shared" ref="B566:G566" si="173">B223</f>
        <v>5</v>
      </c>
      <c r="C566" s="3329">
        <f t="shared" si="173"/>
        <v>5</v>
      </c>
      <c r="D566" s="3329">
        <f t="shared" si="173"/>
        <v>5</v>
      </c>
      <c r="E566" s="3329">
        <f t="shared" si="173"/>
        <v>5</v>
      </c>
      <c r="F566" s="3329">
        <f t="shared" si="173"/>
        <v>5</v>
      </c>
      <c r="G566" s="3734">
        <f t="shared" si="173"/>
        <v>5</v>
      </c>
    </row>
    <row r="567" spans="1:7" s="3309" customFormat="1" x14ac:dyDescent="0.2">
      <c r="A567" s="3740" t="s">
        <v>6246</v>
      </c>
      <c r="B567" s="3380">
        <f t="shared" ref="B567:G567" si="174">(B565*B566)/100</f>
        <v>0.2</v>
      </c>
      <c r="C567" s="3380" t="e">
        <f t="shared" si="174"/>
        <v>#DIV/0!</v>
      </c>
      <c r="D567" s="3380" t="e">
        <f t="shared" si="174"/>
        <v>#DIV/0!</v>
      </c>
      <c r="E567" s="3380" t="e">
        <f t="shared" si="174"/>
        <v>#DIV/0!</v>
      </c>
      <c r="F567" s="3380" t="e">
        <f t="shared" si="174"/>
        <v>#DIV/0!</v>
      </c>
      <c r="G567" s="3658" t="e">
        <f t="shared" si="174"/>
        <v>#DIV/0!</v>
      </c>
    </row>
    <row r="568" spans="1:7" s="3309" customFormat="1" x14ac:dyDescent="0.2">
      <c r="A568" s="3741" t="s">
        <v>6256</v>
      </c>
      <c r="B568" s="3329">
        <f t="shared" ref="B568:G568" si="175">B207</f>
        <v>600</v>
      </c>
      <c r="C568" s="3329">
        <f t="shared" si="175"/>
        <v>600</v>
      </c>
      <c r="D568" s="3329">
        <f t="shared" si="175"/>
        <v>600</v>
      </c>
      <c r="E568" s="3329">
        <f t="shared" si="175"/>
        <v>600</v>
      </c>
      <c r="F568" s="3329">
        <f t="shared" si="175"/>
        <v>600</v>
      </c>
      <c r="G568" s="3734">
        <f t="shared" si="175"/>
        <v>600</v>
      </c>
    </row>
    <row r="569" spans="1:7" s="3309" customFormat="1" x14ac:dyDescent="0.2">
      <c r="A569" s="3740" t="s">
        <v>6244</v>
      </c>
      <c r="B569" s="3380">
        <f t="shared" ref="B569:G569" si="176">B567*B568</f>
        <v>120</v>
      </c>
      <c r="C569" s="3380" t="e">
        <f t="shared" si="176"/>
        <v>#DIV/0!</v>
      </c>
      <c r="D569" s="3380" t="e">
        <f t="shared" si="176"/>
        <v>#DIV/0!</v>
      </c>
      <c r="E569" s="3380" t="e">
        <f t="shared" si="176"/>
        <v>#DIV/0!</v>
      </c>
      <c r="F569" s="3380" t="e">
        <f t="shared" si="176"/>
        <v>#DIV/0!</v>
      </c>
      <c r="G569" s="3658" t="e">
        <f t="shared" si="176"/>
        <v>#DIV/0!</v>
      </c>
    </row>
    <row r="570" spans="1:7" s="3309" customFormat="1" x14ac:dyDescent="0.2">
      <c r="A570" s="3740" t="s">
        <v>6243</v>
      </c>
      <c r="B570" s="3380" t="e">
        <f t="shared" ref="B570:G570" si="177">B569/(B146*B521)</f>
        <v>#VALUE!</v>
      </c>
      <c r="C570" s="3380" t="e">
        <f t="shared" si="177"/>
        <v>#DIV/0!</v>
      </c>
      <c r="D570" s="3380" t="e">
        <f t="shared" si="177"/>
        <v>#DIV/0!</v>
      </c>
      <c r="E570" s="3380" t="e">
        <f t="shared" si="177"/>
        <v>#DIV/0!</v>
      </c>
      <c r="F570" s="3380" t="e">
        <f t="shared" si="177"/>
        <v>#DIV/0!</v>
      </c>
      <c r="G570" s="3658" t="e">
        <f t="shared" si="177"/>
        <v>#DIV/0!</v>
      </c>
    </row>
    <row r="571" spans="1:7" s="3309" customFormat="1" x14ac:dyDescent="0.2">
      <c r="A571" s="3744" t="s">
        <v>6255</v>
      </c>
      <c r="B571" s="3365"/>
      <c r="C571" s="3380"/>
      <c r="D571" s="3380"/>
      <c r="E571" s="3380"/>
      <c r="F571" s="3380"/>
      <c r="G571" s="3658"/>
    </row>
    <row r="572" spans="1:7" s="3309" customFormat="1" x14ac:dyDescent="0.2">
      <c r="A572" s="3328" t="s">
        <v>6248</v>
      </c>
      <c r="B572" s="3380">
        <f>CEILING(B145/[1]zaboy!B149+1,1)</f>
        <v>1</v>
      </c>
      <c r="C572" s="3380">
        <f>CEILING(C145/[1]zaboy!C149+1,1)</f>
        <v>1</v>
      </c>
      <c r="D572" s="3380">
        <f>CEILING(D145/[1]zaboy!D149+1,1)</f>
        <v>1</v>
      </c>
      <c r="E572" s="3380">
        <f>CEILING(E145/[1]zaboy!E149+1,1)</f>
        <v>1</v>
      </c>
      <c r="F572" s="3380">
        <f>CEILING(F145/[1]zaboy!F149+1,1)</f>
        <v>1</v>
      </c>
      <c r="G572" s="3380">
        <f>CEILING(G145/[1]zaboy!G149+1,1)</f>
        <v>1</v>
      </c>
    </row>
    <row r="573" spans="1:7" s="3309" customFormat="1" x14ac:dyDescent="0.2">
      <c r="A573" s="3535" t="s">
        <v>6247</v>
      </c>
      <c r="B573" s="3380">
        <f>'шт-кинд'!B224</f>
        <v>3</v>
      </c>
      <c r="C573" s="3380">
        <f>'шт-кинд'!C224</f>
        <v>3</v>
      </c>
      <c r="D573" s="3380">
        <f>'шт-кинд'!D224</f>
        <v>3</v>
      </c>
      <c r="E573" s="3380">
        <f>'шт-кинд'!E224</f>
        <v>3</v>
      </c>
      <c r="F573" s="3380">
        <f>'шт-кинд'!F224</f>
        <v>3</v>
      </c>
      <c r="G573" s="3380">
        <f>'шт-кинд'!G224</f>
        <v>3</v>
      </c>
    </row>
    <row r="574" spans="1:7" s="3309" customFormat="1" x14ac:dyDescent="0.2">
      <c r="A574" s="3328" t="s">
        <v>6246</v>
      </c>
      <c r="B574" s="3380">
        <f t="shared" ref="B574:G574" si="178">B572*B573/100</f>
        <v>0.03</v>
      </c>
      <c r="C574" s="3380">
        <f t="shared" si="178"/>
        <v>0.03</v>
      </c>
      <c r="D574" s="3380">
        <f t="shared" si="178"/>
        <v>0.03</v>
      </c>
      <c r="E574" s="3380">
        <f t="shared" si="178"/>
        <v>0.03</v>
      </c>
      <c r="F574" s="3380">
        <f t="shared" si="178"/>
        <v>0.03</v>
      </c>
      <c r="G574" s="3380">
        <f t="shared" si="178"/>
        <v>0.03</v>
      </c>
    </row>
    <row r="575" spans="1:7" s="3309" customFormat="1" x14ac:dyDescent="0.2">
      <c r="A575" s="3535" t="s">
        <v>6254</v>
      </c>
      <c r="B575" s="3380">
        <f t="shared" ref="B575:G575" si="179">B209</f>
        <v>5000</v>
      </c>
      <c r="C575" s="3380">
        <f t="shared" si="179"/>
        <v>5000</v>
      </c>
      <c r="D575" s="3380">
        <f t="shared" si="179"/>
        <v>5000</v>
      </c>
      <c r="E575" s="3380">
        <f t="shared" si="179"/>
        <v>5000</v>
      </c>
      <c r="F575" s="3380">
        <f t="shared" si="179"/>
        <v>5000</v>
      </c>
      <c r="G575" s="3380">
        <f t="shared" si="179"/>
        <v>5000</v>
      </c>
    </row>
    <row r="576" spans="1:7" s="3309" customFormat="1" x14ac:dyDescent="0.2">
      <c r="A576" s="3328" t="s">
        <v>6244</v>
      </c>
      <c r="B576" s="3380">
        <f t="shared" ref="B576:G576" si="180">B574*B575</f>
        <v>150</v>
      </c>
      <c r="C576" s="3380">
        <f t="shared" si="180"/>
        <v>150</v>
      </c>
      <c r="D576" s="3380">
        <f t="shared" si="180"/>
        <v>150</v>
      </c>
      <c r="E576" s="3380">
        <f t="shared" si="180"/>
        <v>150</v>
      </c>
      <c r="F576" s="3380">
        <f t="shared" si="180"/>
        <v>150</v>
      </c>
      <c r="G576" s="3380">
        <f t="shared" si="180"/>
        <v>150</v>
      </c>
    </row>
    <row r="577" spans="1:7" s="3309" customFormat="1" x14ac:dyDescent="0.2">
      <c r="A577" s="3328" t="s">
        <v>6243</v>
      </c>
      <c r="B577" s="3380" t="e">
        <f t="shared" ref="B577:G577" si="181">B576/(B146*B148)</f>
        <v>#VALUE!</v>
      </c>
      <c r="C577" s="3380" t="e">
        <f t="shared" si="181"/>
        <v>#DIV/0!</v>
      </c>
      <c r="D577" s="3380" t="e">
        <f t="shared" si="181"/>
        <v>#DIV/0!</v>
      </c>
      <c r="E577" s="3380" t="e">
        <f t="shared" si="181"/>
        <v>#DIV/0!</v>
      </c>
      <c r="F577" s="3380" t="e">
        <f t="shared" si="181"/>
        <v>#DIV/0!</v>
      </c>
      <c r="G577" s="3380" t="e">
        <f t="shared" si="181"/>
        <v>#DIV/0!</v>
      </c>
    </row>
    <row r="578" spans="1:7" s="3309" customFormat="1" x14ac:dyDescent="0.2">
      <c r="A578" s="3740"/>
      <c r="B578" s="3380"/>
      <c r="C578" s="3380"/>
      <c r="D578" s="3380"/>
      <c r="E578" s="3380"/>
      <c r="F578" s="3380"/>
      <c r="G578" s="3658"/>
    </row>
    <row r="579" spans="1:7" s="3309" customFormat="1" x14ac:dyDescent="0.2">
      <c r="A579" s="3740"/>
      <c r="B579" s="3380"/>
      <c r="C579" s="3380"/>
      <c r="D579" s="3380"/>
      <c r="E579" s="3380"/>
      <c r="F579" s="3380"/>
      <c r="G579" s="3658"/>
    </row>
    <row r="580" spans="1:7" s="3309" customFormat="1" x14ac:dyDescent="0.2">
      <c r="A580" s="3740"/>
      <c r="B580" s="3380"/>
      <c r="C580" s="3380"/>
      <c r="D580" s="3380"/>
      <c r="E580" s="3380"/>
      <c r="F580" s="3380"/>
      <c r="G580" s="3658"/>
    </row>
    <row r="581" spans="1:7" s="3309" customFormat="1" x14ac:dyDescent="0.2">
      <c r="A581" s="3740"/>
      <c r="B581" s="3380"/>
      <c r="C581" s="3380"/>
      <c r="D581" s="3380"/>
      <c r="E581" s="3380"/>
      <c r="F581" s="3380"/>
      <c r="G581" s="3658"/>
    </row>
    <row r="582" spans="1:7" s="3309" customFormat="1" x14ac:dyDescent="0.2">
      <c r="A582" s="3742" t="s">
        <v>6253</v>
      </c>
      <c r="B582" s="3329"/>
      <c r="C582" s="3329"/>
      <c r="D582" s="3329"/>
      <c r="E582" s="3329"/>
      <c r="F582" s="3329"/>
      <c r="G582" s="3734"/>
    </row>
    <row r="583" spans="1:7" s="3309" customFormat="1" x14ac:dyDescent="0.2">
      <c r="A583" s="3740" t="s">
        <v>6248</v>
      </c>
      <c r="B583" s="3380">
        <f t="shared" ref="B583:G583" si="182">CEILING((((B145-B353)/B356+1)*4),1)</f>
        <v>4</v>
      </c>
      <c r="C583" s="3380" t="e">
        <f t="shared" si="182"/>
        <v>#DIV/0!</v>
      </c>
      <c r="D583" s="3380" t="e">
        <f t="shared" si="182"/>
        <v>#DIV/0!</v>
      </c>
      <c r="E583" s="3380" t="e">
        <f t="shared" si="182"/>
        <v>#DIV/0!</v>
      </c>
      <c r="F583" s="3380" t="e">
        <f t="shared" si="182"/>
        <v>#DIV/0!</v>
      </c>
      <c r="G583" s="3380" t="e">
        <f t="shared" si="182"/>
        <v>#DIV/0!</v>
      </c>
    </row>
    <row r="584" spans="1:7" s="3309" customFormat="1" x14ac:dyDescent="0.2">
      <c r="A584" s="3741" t="s">
        <v>6247</v>
      </c>
      <c r="B584" s="3329">
        <f t="shared" ref="B584:G584" si="183">B224</f>
        <v>3</v>
      </c>
      <c r="C584" s="3329">
        <f t="shared" si="183"/>
        <v>3</v>
      </c>
      <c r="D584" s="3329">
        <f t="shared" si="183"/>
        <v>3</v>
      </c>
      <c r="E584" s="3329">
        <f t="shared" si="183"/>
        <v>3</v>
      </c>
      <c r="F584" s="3329">
        <f t="shared" si="183"/>
        <v>3</v>
      </c>
      <c r="G584" s="3734">
        <f t="shared" si="183"/>
        <v>3</v>
      </c>
    </row>
    <row r="585" spans="1:7" s="3309" customFormat="1" x14ac:dyDescent="0.2">
      <c r="A585" s="3740" t="s">
        <v>6246</v>
      </c>
      <c r="B585" s="3380">
        <f t="shared" ref="B585:G585" si="184">(B583*B584)/100</f>
        <v>0.12</v>
      </c>
      <c r="C585" s="3380" t="e">
        <f t="shared" si="184"/>
        <v>#DIV/0!</v>
      </c>
      <c r="D585" s="3380" t="e">
        <f t="shared" si="184"/>
        <v>#DIV/0!</v>
      </c>
      <c r="E585" s="3380" t="e">
        <f t="shared" si="184"/>
        <v>#DIV/0!</v>
      </c>
      <c r="F585" s="3380" t="e">
        <f t="shared" si="184"/>
        <v>#DIV/0!</v>
      </c>
      <c r="G585" s="3658" t="e">
        <f t="shared" si="184"/>
        <v>#DIV/0!</v>
      </c>
    </row>
    <row r="586" spans="1:7" s="3309" customFormat="1" x14ac:dyDescent="0.2">
      <c r="A586" s="3741" t="s">
        <v>6252</v>
      </c>
      <c r="B586" s="3329">
        <f t="shared" ref="B586:G586" si="185">B196</f>
        <v>5000</v>
      </c>
      <c r="C586" s="3329">
        <f t="shared" si="185"/>
        <v>5000</v>
      </c>
      <c r="D586" s="3329">
        <f t="shared" si="185"/>
        <v>5000</v>
      </c>
      <c r="E586" s="3329">
        <f t="shared" si="185"/>
        <v>5000</v>
      </c>
      <c r="F586" s="3329">
        <f t="shared" si="185"/>
        <v>5000</v>
      </c>
      <c r="G586" s="3734">
        <f t="shared" si="185"/>
        <v>5000</v>
      </c>
    </row>
    <row r="587" spans="1:7" s="3309" customFormat="1" x14ac:dyDescent="0.2">
      <c r="A587" s="3740" t="s">
        <v>6244</v>
      </c>
      <c r="B587" s="3380">
        <f t="shared" ref="B587:G587" si="186">B585*B586</f>
        <v>600</v>
      </c>
      <c r="C587" s="3380" t="e">
        <f t="shared" si="186"/>
        <v>#DIV/0!</v>
      </c>
      <c r="D587" s="3380" t="e">
        <f t="shared" si="186"/>
        <v>#DIV/0!</v>
      </c>
      <c r="E587" s="3380" t="e">
        <f t="shared" si="186"/>
        <v>#DIV/0!</v>
      </c>
      <c r="F587" s="3380" t="e">
        <f t="shared" si="186"/>
        <v>#DIV/0!</v>
      </c>
      <c r="G587" s="3658" t="e">
        <f t="shared" si="186"/>
        <v>#DIV/0!</v>
      </c>
    </row>
    <row r="588" spans="1:7" s="3309" customFormat="1" x14ac:dyDescent="0.2">
      <c r="A588" s="3740" t="s">
        <v>6243</v>
      </c>
      <c r="B588" s="3380" t="e">
        <f t="shared" ref="B588:G588" si="187">B587/(B146*B521)</f>
        <v>#VALUE!</v>
      </c>
      <c r="C588" s="3380" t="e">
        <f t="shared" si="187"/>
        <v>#DIV/0!</v>
      </c>
      <c r="D588" s="3380" t="e">
        <f t="shared" si="187"/>
        <v>#DIV/0!</v>
      </c>
      <c r="E588" s="3380" t="e">
        <f t="shared" si="187"/>
        <v>#DIV/0!</v>
      </c>
      <c r="F588" s="3380" t="e">
        <f t="shared" si="187"/>
        <v>#DIV/0!</v>
      </c>
      <c r="G588" s="3658" t="e">
        <f t="shared" si="187"/>
        <v>#DIV/0!</v>
      </c>
    </row>
    <row r="589" spans="1:7" s="3309" customFormat="1" x14ac:dyDescent="0.2">
      <c r="A589" s="3742" t="s">
        <v>6251</v>
      </c>
      <c r="B589" s="3481"/>
      <c r="C589" s="3481"/>
      <c r="D589" s="3481"/>
      <c r="E589" s="3481"/>
      <c r="F589" s="3481"/>
      <c r="G589" s="3743"/>
    </row>
    <row r="590" spans="1:7" s="3309" customFormat="1" x14ac:dyDescent="0.2">
      <c r="A590" s="3740" t="s">
        <v>6248</v>
      </c>
      <c r="B590" s="3380">
        <f t="shared" ref="B590:G590" si="188">CEILING((B145-B353)/(IF(B233&lt;=2,B356/2,B356)+1),1)</f>
        <v>0</v>
      </c>
      <c r="C590" s="3380">
        <f t="shared" si="188"/>
        <v>0</v>
      </c>
      <c r="D590" s="3380">
        <f t="shared" si="188"/>
        <v>0</v>
      </c>
      <c r="E590" s="3380">
        <f t="shared" si="188"/>
        <v>0</v>
      </c>
      <c r="F590" s="3380">
        <f t="shared" si="188"/>
        <v>0</v>
      </c>
      <c r="G590" s="3380">
        <f t="shared" si="188"/>
        <v>0</v>
      </c>
    </row>
    <row r="591" spans="1:7" s="3309" customFormat="1" x14ac:dyDescent="0.2">
      <c r="A591" s="3741" t="s">
        <v>6247</v>
      </c>
      <c r="B591" s="3329">
        <f t="shared" ref="B591:G591" si="189">B248</f>
        <v>3</v>
      </c>
      <c r="C591" s="3329">
        <f t="shared" si="189"/>
        <v>3</v>
      </c>
      <c r="D591" s="3329">
        <f t="shared" si="189"/>
        <v>3</v>
      </c>
      <c r="E591" s="3329">
        <f t="shared" si="189"/>
        <v>3</v>
      </c>
      <c r="F591" s="3329">
        <f t="shared" si="189"/>
        <v>3</v>
      </c>
      <c r="G591" s="3734">
        <f t="shared" si="189"/>
        <v>3</v>
      </c>
    </row>
    <row r="592" spans="1:7" s="3309" customFormat="1" x14ac:dyDescent="0.2">
      <c r="A592" s="3740" t="s">
        <v>6246</v>
      </c>
      <c r="B592" s="3380">
        <f t="shared" ref="B592:G592" si="190">(B590*B591)/100</f>
        <v>0</v>
      </c>
      <c r="C592" s="3380">
        <f t="shared" si="190"/>
        <v>0</v>
      </c>
      <c r="D592" s="3380">
        <f t="shared" si="190"/>
        <v>0</v>
      </c>
      <c r="E592" s="3380">
        <f t="shared" si="190"/>
        <v>0</v>
      </c>
      <c r="F592" s="3380">
        <f t="shared" si="190"/>
        <v>0</v>
      </c>
      <c r="G592" s="3658">
        <f t="shared" si="190"/>
        <v>0</v>
      </c>
    </row>
    <row r="593" spans="1:7" s="3309" customFormat="1" x14ac:dyDescent="0.2">
      <c r="A593" s="3741" t="s">
        <v>6250</v>
      </c>
      <c r="B593" s="3329">
        <f t="shared" ref="B593:G593" si="191">B249</f>
        <v>800</v>
      </c>
      <c r="C593" s="3329">
        <f t="shared" si="191"/>
        <v>800</v>
      </c>
      <c r="D593" s="3329">
        <f t="shared" si="191"/>
        <v>800</v>
      </c>
      <c r="E593" s="3329">
        <f t="shared" si="191"/>
        <v>800</v>
      </c>
      <c r="F593" s="3329">
        <f t="shared" si="191"/>
        <v>800</v>
      </c>
      <c r="G593" s="3734">
        <f t="shared" si="191"/>
        <v>800</v>
      </c>
    </row>
    <row r="594" spans="1:7" s="3309" customFormat="1" x14ac:dyDescent="0.2">
      <c r="A594" s="3740" t="s">
        <v>6244</v>
      </c>
      <c r="B594" s="3380">
        <f t="shared" ref="B594:G594" si="192">B593*B592</f>
        <v>0</v>
      </c>
      <c r="C594" s="3380">
        <f t="shared" si="192"/>
        <v>0</v>
      </c>
      <c r="D594" s="3380">
        <f t="shared" si="192"/>
        <v>0</v>
      </c>
      <c r="E594" s="3380">
        <f t="shared" si="192"/>
        <v>0</v>
      </c>
      <c r="F594" s="3380">
        <f t="shared" si="192"/>
        <v>0</v>
      </c>
      <c r="G594" s="3658">
        <f t="shared" si="192"/>
        <v>0</v>
      </c>
    </row>
    <row r="595" spans="1:7" s="3309" customFormat="1" x14ac:dyDescent="0.2">
      <c r="A595" s="3740" t="s">
        <v>6243</v>
      </c>
      <c r="B595" s="3380" t="e">
        <f t="shared" ref="B595:G595" si="193">B594/(B146*B521)</f>
        <v>#VALUE!</v>
      </c>
      <c r="C595" s="3380" t="e">
        <f t="shared" si="193"/>
        <v>#DIV/0!</v>
      </c>
      <c r="D595" s="3380" t="e">
        <f t="shared" si="193"/>
        <v>#DIV/0!</v>
      </c>
      <c r="E595" s="3380" t="e">
        <f t="shared" si="193"/>
        <v>#DIV/0!</v>
      </c>
      <c r="F595" s="3380" t="e">
        <f t="shared" si="193"/>
        <v>#DIV/0!</v>
      </c>
      <c r="G595" s="3658" t="e">
        <f t="shared" si="193"/>
        <v>#DIV/0!</v>
      </c>
    </row>
    <row r="596" spans="1:7" s="3309" customFormat="1" x14ac:dyDescent="0.2">
      <c r="A596" s="3742" t="s">
        <v>6249</v>
      </c>
      <c r="B596" s="3329"/>
      <c r="C596" s="3329"/>
      <c r="D596" s="3329"/>
      <c r="E596" s="3329"/>
      <c r="F596" s="3329"/>
      <c r="G596" s="3734"/>
    </row>
    <row r="597" spans="1:7" s="3309" customFormat="1" x14ac:dyDescent="0.2">
      <c r="A597" s="3740" t="s">
        <v>6248</v>
      </c>
      <c r="B597" s="3380">
        <f t="shared" ref="B597:G597" si="194">B590</f>
        <v>0</v>
      </c>
      <c r="C597" s="3380">
        <f t="shared" si="194"/>
        <v>0</v>
      </c>
      <c r="D597" s="3380">
        <f t="shared" si="194"/>
        <v>0</v>
      </c>
      <c r="E597" s="3380">
        <f t="shared" si="194"/>
        <v>0</v>
      </c>
      <c r="F597" s="3380">
        <f t="shared" si="194"/>
        <v>0</v>
      </c>
      <c r="G597" s="3658">
        <f t="shared" si="194"/>
        <v>0</v>
      </c>
    </row>
    <row r="598" spans="1:7" s="3309" customFormat="1" x14ac:dyDescent="0.2">
      <c r="A598" s="3741" t="s">
        <v>6247</v>
      </c>
      <c r="B598" s="3329">
        <f t="shared" ref="B598:G598" si="195">B250</f>
        <v>2</v>
      </c>
      <c r="C598" s="3329">
        <f t="shared" si="195"/>
        <v>2</v>
      </c>
      <c r="D598" s="3329">
        <f t="shared" si="195"/>
        <v>2</v>
      </c>
      <c r="E598" s="3329">
        <f t="shared" si="195"/>
        <v>2</v>
      </c>
      <c r="F598" s="3329">
        <f t="shared" si="195"/>
        <v>2</v>
      </c>
      <c r="G598" s="3734">
        <f t="shared" si="195"/>
        <v>2</v>
      </c>
    </row>
    <row r="599" spans="1:7" s="3309" customFormat="1" x14ac:dyDescent="0.2">
      <c r="A599" s="3740" t="s">
        <v>6246</v>
      </c>
      <c r="B599" s="3380">
        <f t="shared" ref="B599:G599" si="196">(B597*B598)/100</f>
        <v>0</v>
      </c>
      <c r="C599" s="3380">
        <f t="shared" si="196"/>
        <v>0</v>
      </c>
      <c r="D599" s="3380">
        <f t="shared" si="196"/>
        <v>0</v>
      </c>
      <c r="E599" s="3380">
        <f t="shared" si="196"/>
        <v>0</v>
      </c>
      <c r="F599" s="3380">
        <f t="shared" si="196"/>
        <v>0</v>
      </c>
      <c r="G599" s="3658">
        <f t="shared" si="196"/>
        <v>0</v>
      </c>
    </row>
    <row r="600" spans="1:7" s="3309" customFormat="1" x14ac:dyDescent="0.2">
      <c r="A600" s="3741" t="s">
        <v>6245</v>
      </c>
      <c r="B600" s="3329">
        <f t="shared" ref="B600:G600" si="197">B251</f>
        <v>10000</v>
      </c>
      <c r="C600" s="3329">
        <f t="shared" si="197"/>
        <v>10000</v>
      </c>
      <c r="D600" s="3329">
        <f t="shared" si="197"/>
        <v>10000</v>
      </c>
      <c r="E600" s="3329">
        <f t="shared" si="197"/>
        <v>10000</v>
      </c>
      <c r="F600" s="3329">
        <f t="shared" si="197"/>
        <v>10000</v>
      </c>
      <c r="G600" s="3734">
        <f t="shared" si="197"/>
        <v>10000</v>
      </c>
    </row>
    <row r="601" spans="1:7" s="3309" customFormat="1" x14ac:dyDescent="0.2">
      <c r="A601" s="3740" t="s">
        <v>6244</v>
      </c>
      <c r="B601" s="3380">
        <f t="shared" ref="B601:G601" si="198">B599*B600</f>
        <v>0</v>
      </c>
      <c r="C601" s="3380">
        <f t="shared" si="198"/>
        <v>0</v>
      </c>
      <c r="D601" s="3380">
        <f t="shared" si="198"/>
        <v>0</v>
      </c>
      <c r="E601" s="3380">
        <f t="shared" si="198"/>
        <v>0</v>
      </c>
      <c r="F601" s="3380">
        <f t="shared" si="198"/>
        <v>0</v>
      </c>
      <c r="G601" s="3658">
        <f t="shared" si="198"/>
        <v>0</v>
      </c>
    </row>
    <row r="602" spans="1:7" s="3309" customFormat="1" x14ac:dyDescent="0.2">
      <c r="A602" s="3740" t="s">
        <v>6243</v>
      </c>
      <c r="B602" s="3380" t="e">
        <f t="shared" ref="B602:G602" si="199">B601/(B146*B521)</f>
        <v>#VALUE!</v>
      </c>
      <c r="C602" s="3380" t="e">
        <f t="shared" si="199"/>
        <v>#DIV/0!</v>
      </c>
      <c r="D602" s="3380" t="e">
        <f t="shared" si="199"/>
        <v>#DIV/0!</v>
      </c>
      <c r="E602" s="3380" t="e">
        <f t="shared" si="199"/>
        <v>#DIV/0!</v>
      </c>
      <c r="F602" s="3380" t="e">
        <f t="shared" si="199"/>
        <v>#DIV/0!</v>
      </c>
      <c r="G602" s="3658" t="e">
        <f t="shared" si="199"/>
        <v>#DIV/0!</v>
      </c>
    </row>
    <row r="603" spans="1:7" s="3309" customFormat="1" ht="13.5" thickBot="1" x14ac:dyDescent="0.25">
      <c r="A603" s="3739" t="s">
        <v>2120</v>
      </c>
      <c r="B603" s="3738" t="e">
        <f t="shared" ref="B603:G603" si="200">B570+B588+IF(B235=1,B602,B595)+IF(B235=2,B577,0)</f>
        <v>#VALUE!</v>
      </c>
      <c r="C603" s="3738" t="e">
        <f t="shared" si="200"/>
        <v>#DIV/0!</v>
      </c>
      <c r="D603" s="3738" t="e">
        <f t="shared" si="200"/>
        <v>#DIV/0!</v>
      </c>
      <c r="E603" s="3738" t="e">
        <f t="shared" si="200"/>
        <v>#DIV/0!</v>
      </c>
      <c r="F603" s="3738" t="e">
        <f t="shared" si="200"/>
        <v>#DIV/0!</v>
      </c>
      <c r="G603" s="3738" t="e">
        <f t="shared" si="200"/>
        <v>#DIV/0!</v>
      </c>
    </row>
    <row r="604" spans="1:7" s="3309" customFormat="1" ht="18.75" thickBot="1" x14ac:dyDescent="0.3">
      <c r="A604" s="4773" t="s">
        <v>574</v>
      </c>
      <c r="B604" s="4773"/>
      <c r="C604" s="4773"/>
      <c r="D604" s="4773"/>
      <c r="E604" s="4773"/>
      <c r="F604" s="4773"/>
      <c r="G604" s="4773"/>
    </row>
    <row r="605" spans="1:7" s="3309" customFormat="1" x14ac:dyDescent="0.2">
      <c r="A605" s="4774" t="s">
        <v>3973</v>
      </c>
      <c r="B605" s="4774"/>
      <c r="C605" s="4774"/>
      <c r="D605" s="4774"/>
      <c r="E605" s="4774"/>
      <c r="F605" s="4774"/>
      <c r="G605" s="4774"/>
    </row>
    <row r="606" spans="1:7" s="3309" customFormat="1" x14ac:dyDescent="0.2">
      <c r="A606" s="3735" t="s">
        <v>6242</v>
      </c>
      <c r="B606" s="3329">
        <f t="shared" ref="B606:G606" si="201">B255</f>
        <v>20000000</v>
      </c>
      <c r="C606" s="3329">
        <f t="shared" si="201"/>
        <v>20000000</v>
      </c>
      <c r="D606" s="3329">
        <f t="shared" si="201"/>
        <v>20000000</v>
      </c>
      <c r="E606" s="3329">
        <f t="shared" si="201"/>
        <v>20000000</v>
      </c>
      <c r="F606" s="3329">
        <f t="shared" si="201"/>
        <v>20000000</v>
      </c>
      <c r="G606" s="3734">
        <f t="shared" si="201"/>
        <v>20000000</v>
      </c>
    </row>
    <row r="607" spans="1:7" s="3309" customFormat="1" x14ac:dyDescent="0.2">
      <c r="A607" s="3737" t="s">
        <v>6241</v>
      </c>
      <c r="B607" s="3329">
        <f t="shared" ref="B607:G607" si="202">B221</f>
        <v>1.1000000000000001</v>
      </c>
      <c r="C607" s="3329">
        <f t="shared" si="202"/>
        <v>1.1000000000000001</v>
      </c>
      <c r="D607" s="3329">
        <f t="shared" si="202"/>
        <v>1.1000000000000001</v>
      </c>
      <c r="E607" s="3329">
        <f t="shared" si="202"/>
        <v>1.1000000000000001</v>
      </c>
      <c r="F607" s="3329">
        <f t="shared" si="202"/>
        <v>1.1000000000000001</v>
      </c>
      <c r="G607" s="3329">
        <f t="shared" si="202"/>
        <v>1.1000000000000001</v>
      </c>
    </row>
    <row r="608" spans="1:7" s="3309" customFormat="1" x14ac:dyDescent="0.2">
      <c r="A608" s="3736" t="s">
        <v>6240</v>
      </c>
      <c r="B608" s="3380">
        <f t="shared" ref="B608:G608" si="203">B606*B607</f>
        <v>22000000</v>
      </c>
      <c r="C608" s="3380">
        <f t="shared" si="203"/>
        <v>22000000</v>
      </c>
      <c r="D608" s="3380">
        <f t="shared" si="203"/>
        <v>22000000</v>
      </c>
      <c r="E608" s="3380">
        <f t="shared" si="203"/>
        <v>22000000</v>
      </c>
      <c r="F608" s="3380">
        <f t="shared" si="203"/>
        <v>22000000</v>
      </c>
      <c r="G608" s="3658">
        <f t="shared" si="203"/>
        <v>22000000</v>
      </c>
    </row>
    <row r="609" spans="1:11" s="3309" customFormat="1" x14ac:dyDescent="0.2">
      <c r="A609" s="3735" t="s">
        <v>6239</v>
      </c>
      <c r="B609" s="3329">
        <f t="shared" ref="B609:G609" si="204">B256</f>
        <v>20</v>
      </c>
      <c r="C609" s="3329">
        <f t="shared" si="204"/>
        <v>20</v>
      </c>
      <c r="D609" s="3329">
        <f t="shared" si="204"/>
        <v>20</v>
      </c>
      <c r="E609" s="3329">
        <f t="shared" si="204"/>
        <v>20</v>
      </c>
      <c r="F609" s="3329">
        <f t="shared" si="204"/>
        <v>20</v>
      </c>
      <c r="G609" s="3734">
        <f t="shared" si="204"/>
        <v>20</v>
      </c>
    </row>
    <row r="610" spans="1:11" s="3309" customFormat="1" x14ac:dyDescent="0.2">
      <c r="A610" s="3733" t="s">
        <v>6238</v>
      </c>
      <c r="B610" s="3380">
        <f t="shared" ref="B610:G610" si="205">((B609/12)/100*B608)</f>
        <v>366666.66666666669</v>
      </c>
      <c r="C610" s="3380">
        <f t="shared" si="205"/>
        <v>366666.66666666669</v>
      </c>
      <c r="D610" s="3380">
        <f t="shared" si="205"/>
        <v>366666.66666666669</v>
      </c>
      <c r="E610" s="3380">
        <f t="shared" si="205"/>
        <v>366666.66666666669</v>
      </c>
      <c r="F610" s="3380">
        <f t="shared" si="205"/>
        <v>366666.66666666669</v>
      </c>
      <c r="G610" s="3658">
        <f t="shared" si="205"/>
        <v>366666.66666666669</v>
      </c>
    </row>
    <row r="611" spans="1:11" s="3309" customFormat="1" ht="15.75" x14ac:dyDescent="0.25">
      <c r="A611" s="3732" t="s">
        <v>6237</v>
      </c>
      <c r="B611" s="3579" t="e">
        <f t="shared" ref="B611:G611" si="206">B610/(B146*B521)</f>
        <v>#VALUE!</v>
      </c>
      <c r="C611" s="3579" t="e">
        <f t="shared" si="206"/>
        <v>#DIV/0!</v>
      </c>
      <c r="D611" s="3579" t="e">
        <f t="shared" si="206"/>
        <v>#DIV/0!</v>
      </c>
      <c r="E611" s="3579" t="e">
        <f t="shared" si="206"/>
        <v>#DIV/0!</v>
      </c>
      <c r="F611" s="3579" t="e">
        <f t="shared" si="206"/>
        <v>#DIV/0!</v>
      </c>
      <c r="G611" s="3731" t="e">
        <f t="shared" si="206"/>
        <v>#DIV/0!</v>
      </c>
    </row>
    <row r="612" spans="1:11" s="3309" customFormat="1" ht="15.75" x14ac:dyDescent="0.25">
      <c r="A612" s="4775" t="s">
        <v>6236</v>
      </c>
      <c r="B612" s="4775"/>
      <c r="C612" s="4775"/>
      <c r="D612" s="4775"/>
      <c r="E612" s="4775"/>
      <c r="F612" s="4775"/>
      <c r="G612" s="4775"/>
    </row>
    <row r="613" spans="1:11" s="3309" customFormat="1" ht="15" x14ac:dyDescent="0.25">
      <c r="A613" s="3721" t="s">
        <v>6025</v>
      </c>
      <c r="B613" s="3728">
        <f t="shared" ref="B613:G613" si="207">B257</f>
        <v>20000000</v>
      </c>
      <c r="C613" s="3728">
        <f t="shared" si="207"/>
        <v>20000000</v>
      </c>
      <c r="D613" s="3728">
        <f t="shared" si="207"/>
        <v>20000000</v>
      </c>
      <c r="E613" s="3728">
        <f t="shared" si="207"/>
        <v>20000000</v>
      </c>
      <c r="F613" s="3728">
        <f t="shared" si="207"/>
        <v>20000000</v>
      </c>
      <c r="G613" s="3730">
        <f t="shared" si="207"/>
        <v>20000000</v>
      </c>
    </row>
    <row r="614" spans="1:11" s="3309" customFormat="1" ht="15" x14ac:dyDescent="0.25">
      <c r="A614" s="3720" t="s">
        <v>6235</v>
      </c>
      <c r="B614" s="3727">
        <f t="shared" ref="B614:G614" si="208">B613*B145/200</f>
        <v>0</v>
      </c>
      <c r="C614" s="3727">
        <f t="shared" si="208"/>
        <v>0</v>
      </c>
      <c r="D614" s="3727">
        <f t="shared" si="208"/>
        <v>0</v>
      </c>
      <c r="E614" s="3727">
        <f t="shared" si="208"/>
        <v>0</v>
      </c>
      <c r="F614" s="3727">
        <f t="shared" si="208"/>
        <v>0</v>
      </c>
      <c r="G614" s="3726">
        <f t="shared" si="208"/>
        <v>0</v>
      </c>
      <c r="I614" s="3729" t="s">
        <v>6234</v>
      </c>
      <c r="J614" s="3729"/>
      <c r="K614" s="3729"/>
    </row>
    <row r="615" spans="1:11" s="3309" customFormat="1" ht="15" x14ac:dyDescent="0.25">
      <c r="A615" s="3720" t="s">
        <v>6023</v>
      </c>
      <c r="B615" s="3727">
        <f t="shared" ref="B615:G615" si="209">B607*B614</f>
        <v>0</v>
      </c>
      <c r="C615" s="3727">
        <f t="shared" si="209"/>
        <v>0</v>
      </c>
      <c r="D615" s="3727">
        <f t="shared" si="209"/>
        <v>0</v>
      </c>
      <c r="E615" s="3727">
        <f t="shared" si="209"/>
        <v>0</v>
      </c>
      <c r="F615" s="3727">
        <f t="shared" si="209"/>
        <v>0</v>
      </c>
      <c r="G615" s="3726">
        <f t="shared" si="209"/>
        <v>0</v>
      </c>
      <c r="I615" s="3729" t="s">
        <v>6233</v>
      </c>
      <c r="J615" s="3729"/>
      <c r="K615" s="3729"/>
    </row>
    <row r="616" spans="1:11" s="3309" customFormat="1" ht="15" x14ac:dyDescent="0.25">
      <c r="A616" s="3721" t="s">
        <v>6230</v>
      </c>
      <c r="B616" s="3728">
        <f t="shared" ref="B616:G616" si="210">B259</f>
        <v>20</v>
      </c>
      <c r="C616" s="3728">
        <f t="shared" si="210"/>
        <v>20</v>
      </c>
      <c r="D616" s="3728">
        <f t="shared" si="210"/>
        <v>20</v>
      </c>
      <c r="E616" s="3728">
        <f t="shared" si="210"/>
        <v>20</v>
      </c>
      <c r="F616" s="3728">
        <f t="shared" si="210"/>
        <v>20</v>
      </c>
      <c r="G616" s="3728">
        <f t="shared" si="210"/>
        <v>20</v>
      </c>
    </row>
    <row r="617" spans="1:11" s="3309" customFormat="1" ht="15" x14ac:dyDescent="0.25">
      <c r="A617" s="3720" t="s">
        <v>6229</v>
      </c>
      <c r="B617" s="3727">
        <f t="shared" ref="B617:G617" si="211">((B616/12)/100)*B615</f>
        <v>0</v>
      </c>
      <c r="C617" s="3727">
        <f t="shared" si="211"/>
        <v>0</v>
      </c>
      <c r="D617" s="3727">
        <f t="shared" si="211"/>
        <v>0</v>
      </c>
      <c r="E617" s="3727">
        <f t="shared" si="211"/>
        <v>0</v>
      </c>
      <c r="F617" s="3727">
        <f t="shared" si="211"/>
        <v>0</v>
      </c>
      <c r="G617" s="3726">
        <f t="shared" si="211"/>
        <v>0</v>
      </c>
    </row>
    <row r="618" spans="1:11" s="3309" customFormat="1" ht="15" x14ac:dyDescent="0.25">
      <c r="A618" s="3720" t="s">
        <v>6232</v>
      </c>
      <c r="B618" s="3727" t="e">
        <f t="shared" ref="B618:G618" si="212">B617/(B521*B146)</f>
        <v>#VALUE!</v>
      </c>
      <c r="C618" s="3727" t="e">
        <f t="shared" si="212"/>
        <v>#DIV/0!</v>
      </c>
      <c r="D618" s="3727" t="e">
        <f t="shared" si="212"/>
        <v>#DIV/0!</v>
      </c>
      <c r="E618" s="3727" t="e">
        <f t="shared" si="212"/>
        <v>#DIV/0!</v>
      </c>
      <c r="F618" s="3727" t="e">
        <f t="shared" si="212"/>
        <v>#DIV/0!</v>
      </c>
      <c r="G618" s="3726" t="e">
        <f t="shared" si="212"/>
        <v>#DIV/0!</v>
      </c>
    </row>
    <row r="619" spans="1:11" s="3309" customFormat="1" x14ac:dyDescent="0.2"/>
    <row r="620" spans="1:11" s="3309" customFormat="1" ht="14.25" x14ac:dyDescent="0.2">
      <c r="A620" s="3725" t="s">
        <v>6231</v>
      </c>
      <c r="B620" s="3724"/>
      <c r="C620" s="3724"/>
      <c r="D620" s="3724"/>
      <c r="E620" s="3724"/>
      <c r="F620" s="3724"/>
      <c r="G620" s="3723"/>
    </row>
    <row r="621" spans="1:11" s="3309" customFormat="1" ht="15" x14ac:dyDescent="0.25">
      <c r="A621" s="3721" t="s">
        <v>6025</v>
      </c>
      <c r="B621" s="3716">
        <f>[1]zaboy!B190</f>
        <v>100000</v>
      </c>
      <c r="C621" s="3716">
        <f>[1]zaboy!C190</f>
        <v>100000</v>
      </c>
      <c r="D621" s="3716">
        <f>[1]zaboy!D190</f>
        <v>100000</v>
      </c>
      <c r="E621" s="3716">
        <f>[1]zaboy!E190</f>
        <v>100000</v>
      </c>
      <c r="F621" s="3716">
        <f>[1]zaboy!F190</f>
        <v>100000</v>
      </c>
      <c r="G621" s="3716">
        <f>[1]zaboy!G190</f>
        <v>100000</v>
      </c>
    </row>
    <row r="622" spans="1:11" s="3309" customFormat="1" ht="15" x14ac:dyDescent="0.25">
      <c r="A622" s="3720"/>
      <c r="B622" s="3716"/>
      <c r="C622" s="3716"/>
      <c r="D622" s="3722"/>
      <c r="E622" s="3716"/>
      <c r="F622" s="3716"/>
      <c r="G622" s="3715"/>
    </row>
    <row r="623" spans="1:11" s="3309" customFormat="1" ht="15" x14ac:dyDescent="0.25">
      <c r="A623" s="3720" t="s">
        <v>6023</v>
      </c>
      <c r="B623" s="3716">
        <f>2*B621*[1]zaboy!B180</f>
        <v>220000.00000000003</v>
      </c>
      <c r="C623" s="3716">
        <f>2*C621*[1]zaboy!C180</f>
        <v>220000.00000000003</v>
      </c>
      <c r="D623" s="3716">
        <f>2*D621*[1]zaboy!D180</f>
        <v>220000.00000000003</v>
      </c>
      <c r="E623" s="3716">
        <f>2*E621*[1]zaboy!E180</f>
        <v>220000.00000000003</v>
      </c>
      <c r="F623" s="3716">
        <f>2*F621*[1]zaboy!F180</f>
        <v>220000.00000000003</v>
      </c>
      <c r="G623" s="3716">
        <f>2*G621*[1]zaboy!G180</f>
        <v>220000.00000000003</v>
      </c>
    </row>
    <row r="624" spans="1:11" s="3309" customFormat="1" ht="15" x14ac:dyDescent="0.25">
      <c r="A624" s="3721" t="s">
        <v>6230</v>
      </c>
      <c r="B624" s="3716">
        <f>[1]zaboy!B210</f>
        <v>20</v>
      </c>
      <c r="C624" s="3716">
        <f>[1]zaboy!C210</f>
        <v>20</v>
      </c>
      <c r="D624" s="3716">
        <f>[1]zaboy!D210</f>
        <v>20</v>
      </c>
      <c r="E624" s="3716">
        <f>[1]zaboy!E210</f>
        <v>20</v>
      </c>
      <c r="F624" s="3716">
        <f>[1]zaboy!F210</f>
        <v>20</v>
      </c>
      <c r="G624" s="3716">
        <f>[1]zaboy!G210</f>
        <v>20</v>
      </c>
    </row>
    <row r="625" spans="1:7" s="3309" customFormat="1" ht="15" x14ac:dyDescent="0.25">
      <c r="A625" s="3720" t="s">
        <v>6229</v>
      </c>
      <c r="B625" s="3716">
        <f t="shared" ref="B625:G625" si="213">((B624/12)/100)*B623</f>
        <v>3666.666666666667</v>
      </c>
      <c r="C625" s="3716">
        <f t="shared" si="213"/>
        <v>3666.666666666667</v>
      </c>
      <c r="D625" s="3716">
        <f t="shared" si="213"/>
        <v>3666.666666666667</v>
      </c>
      <c r="E625" s="3716">
        <f t="shared" si="213"/>
        <v>3666.666666666667</v>
      </c>
      <c r="F625" s="3716">
        <f t="shared" si="213"/>
        <v>3666.666666666667</v>
      </c>
      <c r="G625" s="3716">
        <f t="shared" si="213"/>
        <v>3666.666666666667</v>
      </c>
    </row>
    <row r="626" spans="1:7" s="3309" customFormat="1" ht="15" x14ac:dyDescent="0.25">
      <c r="A626" s="3720" t="s">
        <v>6228</v>
      </c>
      <c r="B626" s="3716" t="e">
        <f t="shared" ref="B626:G626" si="214">B625/(B521*B146)</f>
        <v>#VALUE!</v>
      </c>
      <c r="C626" s="3716" t="e">
        <f t="shared" si="214"/>
        <v>#DIV/0!</v>
      </c>
      <c r="D626" s="3716" t="e">
        <f t="shared" si="214"/>
        <v>#DIV/0!</v>
      </c>
      <c r="E626" s="3716" t="e">
        <f t="shared" si="214"/>
        <v>#DIV/0!</v>
      </c>
      <c r="F626" s="3716" t="e">
        <f t="shared" si="214"/>
        <v>#DIV/0!</v>
      </c>
      <c r="G626" s="3716" t="e">
        <f t="shared" si="214"/>
        <v>#DIV/0!</v>
      </c>
    </row>
    <row r="627" spans="1:7" s="3309" customFormat="1" ht="15" thickBot="1" x14ac:dyDescent="0.25">
      <c r="A627" s="3719" t="s">
        <v>6227</v>
      </c>
      <c r="B627" s="3718" t="e">
        <f t="shared" ref="B627:G627" si="215">B611+B618+B626</f>
        <v>#VALUE!</v>
      </c>
      <c r="C627" s="3718" t="e">
        <f t="shared" si="215"/>
        <v>#DIV/0!</v>
      </c>
      <c r="D627" s="3718" t="e">
        <f t="shared" si="215"/>
        <v>#DIV/0!</v>
      </c>
      <c r="E627" s="3718" t="e">
        <f t="shared" si="215"/>
        <v>#DIV/0!</v>
      </c>
      <c r="F627" s="3718" t="e">
        <f t="shared" si="215"/>
        <v>#DIV/0!</v>
      </c>
      <c r="G627" s="3718" t="e">
        <f t="shared" si="215"/>
        <v>#DIV/0!</v>
      </c>
    </row>
    <row r="628" spans="1:7" s="3309" customFormat="1" ht="15.75" thickBot="1" x14ac:dyDescent="0.3">
      <c r="A628" s="3717"/>
      <c r="B628" s="3716"/>
      <c r="C628" s="3716"/>
      <c r="D628" s="3716"/>
      <c r="E628" s="3716"/>
      <c r="F628" s="3716"/>
      <c r="G628" s="3715"/>
    </row>
    <row r="629" spans="1:7" s="3309" customFormat="1" ht="15.75" x14ac:dyDescent="0.25">
      <c r="A629" s="4764" t="s">
        <v>6226</v>
      </c>
      <c r="B629" s="4764"/>
      <c r="C629" s="4764"/>
      <c r="D629" s="4764"/>
      <c r="E629" s="4764"/>
      <c r="F629" s="4764"/>
      <c r="G629" s="4764"/>
    </row>
    <row r="630" spans="1:7" s="3309" customFormat="1" ht="14.25" x14ac:dyDescent="0.2">
      <c r="A630" s="3714" t="s">
        <v>3183</v>
      </c>
      <c r="B630" s="3668"/>
      <c r="C630" s="3668"/>
      <c r="D630" s="3668"/>
      <c r="E630" s="3668"/>
      <c r="F630" s="3668"/>
      <c r="G630" s="3667"/>
    </row>
    <row r="631" spans="1:7" s="3309" customFormat="1" ht="15" x14ac:dyDescent="0.25">
      <c r="A631" s="3713" t="s">
        <v>6225</v>
      </c>
      <c r="B631" s="3380">
        <f t="shared" ref="B631:G631" si="216">B351+B258</f>
        <v>490</v>
      </c>
      <c r="C631" s="3380">
        <f t="shared" si="216"/>
        <v>490</v>
      </c>
      <c r="D631" s="3380">
        <f t="shared" si="216"/>
        <v>490</v>
      </c>
      <c r="E631" s="3380">
        <f t="shared" si="216"/>
        <v>490</v>
      </c>
      <c r="F631" s="3380">
        <f t="shared" si="216"/>
        <v>490</v>
      </c>
      <c r="G631" s="3658">
        <f t="shared" si="216"/>
        <v>490</v>
      </c>
    </row>
    <row r="632" spans="1:7" s="3309" customFormat="1" ht="15.75" x14ac:dyDescent="0.25">
      <c r="A632" s="3712" t="s">
        <v>6224</v>
      </c>
      <c r="B632" s="3565">
        <f t="shared" ref="B632:G632" si="217">IF(B141=1,24,18)</f>
        <v>18</v>
      </c>
      <c r="C632" s="3565">
        <f t="shared" si="217"/>
        <v>18</v>
      </c>
      <c r="D632" s="3565">
        <f t="shared" si="217"/>
        <v>18</v>
      </c>
      <c r="E632" s="3565">
        <f t="shared" si="217"/>
        <v>18</v>
      </c>
      <c r="F632" s="3565">
        <f t="shared" si="217"/>
        <v>18</v>
      </c>
      <c r="G632" s="3565">
        <f t="shared" si="217"/>
        <v>18</v>
      </c>
    </row>
    <row r="633" spans="1:7" s="3309" customFormat="1" ht="15.75" x14ac:dyDescent="0.25">
      <c r="A633" s="3712" t="s">
        <v>6223</v>
      </c>
      <c r="B633" s="3711">
        <v>0.7</v>
      </c>
      <c r="C633" s="3711">
        <v>0.7</v>
      </c>
      <c r="D633" s="3711">
        <v>0.7</v>
      </c>
      <c r="E633" s="3711">
        <v>0.7</v>
      </c>
      <c r="F633" s="3711">
        <v>0.7</v>
      </c>
      <c r="G633" s="3710">
        <v>0.7</v>
      </c>
    </row>
    <row r="634" spans="1:7" s="3309" customFormat="1" ht="15.75" x14ac:dyDescent="0.25">
      <c r="A634" s="3712" t="s">
        <v>6222</v>
      </c>
      <c r="B634" s="3711">
        <v>1</v>
      </c>
      <c r="C634" s="3711">
        <v>1</v>
      </c>
      <c r="D634" s="3711">
        <v>1</v>
      </c>
      <c r="E634" s="3711">
        <v>1</v>
      </c>
      <c r="F634" s="3711">
        <v>1</v>
      </c>
      <c r="G634" s="3710">
        <v>1</v>
      </c>
    </row>
    <row r="635" spans="1:7" s="3309" customFormat="1" ht="15" x14ac:dyDescent="0.25">
      <c r="A635" s="3709" t="s">
        <v>6221</v>
      </c>
      <c r="B635" s="3380">
        <f t="shared" ref="B635:G635" si="218">B631*B632*B633*B634*B521</f>
        <v>0</v>
      </c>
      <c r="C635" s="3380">
        <f t="shared" si="218"/>
        <v>0</v>
      </c>
      <c r="D635" s="3380">
        <f t="shared" si="218"/>
        <v>0</v>
      </c>
      <c r="E635" s="3380">
        <f t="shared" si="218"/>
        <v>0</v>
      </c>
      <c r="F635" s="3380">
        <f t="shared" si="218"/>
        <v>0</v>
      </c>
      <c r="G635" s="3658">
        <f t="shared" si="218"/>
        <v>0</v>
      </c>
    </row>
    <row r="636" spans="1:7" s="3309" customFormat="1" ht="15.75" x14ac:dyDescent="0.25">
      <c r="A636" s="3709" t="s">
        <v>6220</v>
      </c>
      <c r="B636" s="3565">
        <f t="shared" ref="B636:G636" si="219">B195</f>
        <v>0.8</v>
      </c>
      <c r="C636" s="3565">
        <f t="shared" si="219"/>
        <v>0.8</v>
      </c>
      <c r="D636" s="3565">
        <f t="shared" si="219"/>
        <v>0.8</v>
      </c>
      <c r="E636" s="3565">
        <f t="shared" si="219"/>
        <v>0.8</v>
      </c>
      <c r="F636" s="3565">
        <f t="shared" si="219"/>
        <v>0.8</v>
      </c>
      <c r="G636" s="3701">
        <f t="shared" si="219"/>
        <v>0.8</v>
      </c>
    </row>
    <row r="637" spans="1:7" s="3309" customFormat="1" ht="15" x14ac:dyDescent="0.25">
      <c r="A637" s="3709" t="s">
        <v>6219</v>
      </c>
      <c r="B637" s="3380">
        <f t="shared" ref="B637:G637" si="220">B636*B635</f>
        <v>0</v>
      </c>
      <c r="C637" s="3380">
        <f t="shared" si="220"/>
        <v>0</v>
      </c>
      <c r="D637" s="3380">
        <f t="shared" si="220"/>
        <v>0</v>
      </c>
      <c r="E637" s="3380">
        <f t="shared" si="220"/>
        <v>0</v>
      </c>
      <c r="F637" s="3380">
        <f t="shared" si="220"/>
        <v>0</v>
      </c>
      <c r="G637" s="3658">
        <f t="shared" si="220"/>
        <v>0</v>
      </c>
    </row>
    <row r="638" spans="1:7" s="3309" customFormat="1" ht="29.25" thickBot="1" x14ac:dyDescent="0.25">
      <c r="A638" s="3708" t="s">
        <v>6218</v>
      </c>
      <c r="B638" s="3707" t="e">
        <f t="shared" ref="B638:G638" si="221">B637/(B521*B146)</f>
        <v>#VALUE!</v>
      </c>
      <c r="C638" s="3707" t="e">
        <f t="shared" si="221"/>
        <v>#DIV/0!</v>
      </c>
      <c r="D638" s="3707" t="e">
        <f t="shared" si="221"/>
        <v>#DIV/0!</v>
      </c>
      <c r="E638" s="3707" t="e">
        <f t="shared" si="221"/>
        <v>#DIV/0!</v>
      </c>
      <c r="F638" s="3707" t="e">
        <f t="shared" si="221"/>
        <v>#DIV/0!</v>
      </c>
      <c r="G638" s="3706" t="e">
        <f t="shared" si="221"/>
        <v>#DIV/0!</v>
      </c>
    </row>
    <row r="639" spans="1:7" s="3309" customFormat="1" ht="15" thickBot="1" x14ac:dyDescent="0.25">
      <c r="A639" s="3672"/>
      <c r="B639" s="3671"/>
      <c r="C639" s="3671"/>
      <c r="D639" s="3671"/>
      <c r="E639" s="3671"/>
      <c r="F639" s="3671"/>
      <c r="G639" s="3671"/>
    </row>
    <row r="640" spans="1:7" s="3309" customFormat="1" ht="15.75" x14ac:dyDescent="0.25">
      <c r="A640" s="4765" t="s">
        <v>783</v>
      </c>
      <c r="B640" s="4765"/>
      <c r="C640" s="4765"/>
      <c r="D640" s="4765"/>
      <c r="E640" s="4765"/>
      <c r="F640" s="4765"/>
      <c r="G640" s="4765"/>
    </row>
    <row r="641" spans="1:24" s="3309" customFormat="1" ht="31.5" x14ac:dyDescent="0.25">
      <c r="A641" s="3705" t="s">
        <v>784</v>
      </c>
      <c r="B641" s="3704"/>
      <c r="C641" s="3704"/>
      <c r="D641" s="3704"/>
      <c r="E641" s="3704"/>
      <c r="F641" s="3704"/>
      <c r="G641" s="3703"/>
    </row>
    <row r="642" spans="1:24" s="3309" customFormat="1" ht="15.75" x14ac:dyDescent="0.25">
      <c r="A642" s="3702" t="s">
        <v>5737</v>
      </c>
      <c r="B642" s="3565" t="str">
        <f>kursovoy!C507</f>
        <v/>
      </c>
      <c r="C642" s="3565"/>
      <c r="D642" s="3565"/>
      <c r="E642" s="3565"/>
      <c r="F642" s="3565"/>
      <c r="G642" s="3701"/>
    </row>
    <row r="643" spans="1:24" s="3309" customFormat="1" ht="15.75" x14ac:dyDescent="0.25">
      <c r="A643" s="3702" t="s">
        <v>6468</v>
      </c>
      <c r="B643" s="3565" t="str">
        <f>kursovoy!C509</f>
        <v/>
      </c>
      <c r="C643" s="3565"/>
      <c r="D643" s="3565"/>
      <c r="E643" s="3565"/>
      <c r="F643" s="3565"/>
      <c r="G643" s="3701"/>
    </row>
    <row r="644" spans="1:24" s="3309" customFormat="1" ht="31.5" x14ac:dyDescent="0.25">
      <c r="A644" s="3691" t="s">
        <v>5567</v>
      </c>
      <c r="B644" s="3683">
        <f t="shared" ref="B644:G644" si="222">B163</f>
        <v>0</v>
      </c>
      <c r="C644" s="3683">
        <f t="shared" si="222"/>
        <v>0</v>
      </c>
      <c r="D644" s="3683">
        <f t="shared" si="222"/>
        <v>0</v>
      </c>
      <c r="E644" s="3683">
        <f t="shared" si="222"/>
        <v>0</v>
      </c>
      <c r="F644" s="3683">
        <f t="shared" si="222"/>
        <v>0</v>
      </c>
      <c r="G644" s="3683">
        <f t="shared" si="222"/>
        <v>0</v>
      </c>
    </row>
    <row r="645" spans="1:24" s="3309" customFormat="1" ht="31.5" customHeight="1" x14ac:dyDescent="0.2">
      <c r="A645" s="4766" t="s">
        <v>1196</v>
      </c>
      <c r="B645" s="4766"/>
      <c r="C645" s="4766"/>
      <c r="D645" s="4766"/>
      <c r="E645" s="4766"/>
      <c r="F645" s="4766"/>
      <c r="G645" s="4766"/>
      <c r="J645" s="3309">
        <v>1461</v>
      </c>
      <c r="K645" s="3309">
        <v>1461</v>
      </c>
      <c r="L645" s="3309">
        <v>2232</v>
      </c>
      <c r="M645" s="3309">
        <v>2232</v>
      </c>
      <c r="N645" s="3309">
        <v>1461</v>
      </c>
      <c r="O645" s="3309">
        <v>1461</v>
      </c>
      <c r="P645" s="3309">
        <v>1397</v>
      </c>
      <c r="Q645" s="3309">
        <v>1397</v>
      </c>
      <c r="R645" s="3309">
        <v>1461</v>
      </c>
      <c r="S645" s="3309">
        <v>1525</v>
      </c>
      <c r="T645" s="3309">
        <v>1525</v>
      </c>
      <c r="U645" s="3309">
        <v>2232</v>
      </c>
      <c r="V645" s="3309">
        <v>2609</v>
      </c>
      <c r="W645" s="3309">
        <v>2609</v>
      </c>
    </row>
    <row r="646" spans="1:24" s="3309" customFormat="1" ht="15.75" x14ac:dyDescent="0.25">
      <c r="A646" s="3700" t="s">
        <v>2001</v>
      </c>
      <c r="B646" s="3683" t="e">
        <f>INDEX(J645:W645,B642)</f>
        <v>#VALUE!</v>
      </c>
      <c r="C646" s="3683"/>
      <c r="D646" s="3683"/>
      <c r="E646" s="3683"/>
      <c r="F646" s="3683"/>
      <c r="G646" s="3682"/>
      <c r="J646" s="3309">
        <v>1</v>
      </c>
      <c r="K646" s="3309">
        <v>2</v>
      </c>
      <c r="L646" s="3309">
        <v>3</v>
      </c>
      <c r="M646" s="3309">
        <v>4</v>
      </c>
      <c r="N646" s="3309">
        <v>5</v>
      </c>
      <c r="O646" s="3309">
        <v>6</v>
      </c>
      <c r="P646" s="3309">
        <v>7</v>
      </c>
      <c r="Q646" s="3309">
        <v>8</v>
      </c>
      <c r="R646" s="3309">
        <v>9</v>
      </c>
      <c r="S646" s="3309">
        <v>10</v>
      </c>
      <c r="T646" s="3309">
        <v>11</v>
      </c>
      <c r="U646" s="3309">
        <v>12</v>
      </c>
      <c r="V646" s="3309">
        <v>13</v>
      </c>
      <c r="W646" s="3309">
        <v>14</v>
      </c>
      <c r="X646" s="3309">
        <v>15</v>
      </c>
    </row>
    <row r="647" spans="1:24" s="3309" customFormat="1" ht="15.75" x14ac:dyDescent="0.25">
      <c r="A647" s="3700" t="s">
        <v>1385</v>
      </c>
      <c r="B647" s="3683" t="e">
        <f>INDEX(J647:X647,B643)</f>
        <v>#VALUE!</v>
      </c>
      <c r="C647" s="3683"/>
      <c r="D647" s="3683"/>
      <c r="E647" s="3683"/>
      <c r="F647" s="3683"/>
      <c r="G647" s="3682"/>
      <c r="J647" s="3309">
        <v>1041</v>
      </c>
      <c r="K647" s="3309">
        <v>1041</v>
      </c>
      <c r="L647" s="3309">
        <v>1041</v>
      </c>
      <c r="M647" s="3309">
        <v>1135</v>
      </c>
      <c r="N647" s="3309">
        <v>1135</v>
      </c>
      <c r="O647" s="3309">
        <v>1244</v>
      </c>
      <c r="P647" s="3309">
        <v>1244</v>
      </c>
      <c r="Q647" s="3309">
        <v>1377</v>
      </c>
      <c r="R647" s="3309">
        <v>1377</v>
      </c>
      <c r="S647" s="3309">
        <v>1388</v>
      </c>
      <c r="T647" s="3309">
        <v>1388</v>
      </c>
      <c r="U647" s="3309">
        <v>1414</v>
      </c>
      <c r="V647" s="3309">
        <v>1705</v>
      </c>
      <c r="W647" s="3309">
        <v>1705</v>
      </c>
      <c r="X647" s="3309">
        <v>1768</v>
      </c>
    </row>
    <row r="648" spans="1:24" s="3309" customFormat="1" ht="15.75" x14ac:dyDescent="0.25">
      <c r="A648" s="3691" t="s">
        <v>1386</v>
      </c>
      <c r="B648" s="3695">
        <f t="shared" ref="B648" si="223">2.6</f>
        <v>2.6</v>
      </c>
      <c r="C648" s="3695"/>
      <c r="D648" s="3695"/>
      <c r="E648" s="3695"/>
      <c r="F648" s="3695"/>
      <c r="G648" s="3694"/>
    </row>
    <row r="649" spans="1:24" s="3309" customFormat="1" ht="15.75" x14ac:dyDescent="0.25">
      <c r="A649" s="3687" t="s">
        <v>6217</v>
      </c>
      <c r="B649" s="3699">
        <f t="shared" ref="B649" si="224">IF(B174=0,B648*B650,B648*B651)</f>
        <v>41.6</v>
      </c>
      <c r="C649" s="3699"/>
      <c r="D649" s="3699"/>
      <c r="E649" s="3699"/>
      <c r="F649" s="3699"/>
      <c r="G649" s="3698"/>
      <c r="H649" s="3314"/>
    </row>
    <row r="650" spans="1:24" s="3309" customFormat="1" ht="15.75" x14ac:dyDescent="0.25">
      <c r="A650" s="3696" t="s">
        <v>6216</v>
      </c>
      <c r="B650" s="3601">
        <f t="shared" ref="B650" si="225">B583+B1262+B1896</f>
        <v>16</v>
      </c>
      <c r="C650" s="3601"/>
      <c r="D650" s="3601"/>
      <c r="E650" s="3601"/>
      <c r="F650" s="3601"/>
      <c r="G650" s="3697"/>
      <c r="H650" s="3314"/>
    </row>
    <row r="651" spans="1:24" s="3309" customFormat="1" ht="15.75" x14ac:dyDescent="0.25">
      <c r="A651" s="3696" t="s">
        <v>6215</v>
      </c>
      <c r="B651" s="3601">
        <f t="shared" ref="B651" si="226">B583+B1262+B1896</f>
        <v>16</v>
      </c>
      <c r="C651" s="3601"/>
      <c r="D651" s="3601"/>
      <c r="E651" s="3601"/>
      <c r="F651" s="3601"/>
      <c r="G651" s="3697"/>
      <c r="H651" s="3314"/>
    </row>
    <row r="652" spans="1:24" s="3309" customFormat="1" ht="15.75" x14ac:dyDescent="0.25">
      <c r="A652" s="3696" t="s">
        <v>6214</v>
      </c>
      <c r="B652" s="3695">
        <v>12</v>
      </c>
      <c r="C652" s="3695"/>
      <c r="D652" s="3695"/>
      <c r="E652" s="3695"/>
      <c r="F652" s="3695"/>
      <c r="G652" s="3694"/>
      <c r="H652" s="3314"/>
    </row>
    <row r="653" spans="1:24" s="3309" customFormat="1" ht="15.75" x14ac:dyDescent="0.25">
      <c r="A653" s="3687" t="s">
        <v>6213</v>
      </c>
      <c r="B653" s="3683">
        <f t="shared" ref="B653" si="227">B652*B597</f>
        <v>0</v>
      </c>
      <c r="C653" s="3683"/>
      <c r="D653" s="3683"/>
      <c r="E653" s="3683"/>
      <c r="F653" s="3683"/>
      <c r="G653" s="3682"/>
      <c r="H653" s="3314"/>
    </row>
    <row r="654" spans="1:24" s="3309" customFormat="1" ht="15.75" x14ac:dyDescent="0.25">
      <c r="A654" s="3691" t="s">
        <v>1390</v>
      </c>
      <c r="B654" s="3683">
        <f t="shared" ref="B654" si="228">IF(B644=1,2*171,0)</f>
        <v>0</v>
      </c>
      <c r="C654" s="3683"/>
      <c r="D654" s="3683"/>
      <c r="E654" s="3683"/>
      <c r="F654" s="3683"/>
      <c r="G654" s="3683"/>
      <c r="H654" s="3314"/>
    </row>
    <row r="655" spans="1:24" s="3309" customFormat="1" ht="15.75" x14ac:dyDescent="0.25">
      <c r="A655" s="3693" t="s">
        <v>1391</v>
      </c>
      <c r="B655" s="3683">
        <f t="shared" ref="B655" si="229">IF(B166=1,188,0)</f>
        <v>188</v>
      </c>
      <c r="C655" s="3683"/>
      <c r="D655" s="3683"/>
      <c r="E655" s="3683"/>
      <c r="F655" s="3683"/>
      <c r="G655" s="3682"/>
      <c r="H655" s="3314"/>
    </row>
    <row r="656" spans="1:24" s="3309" customFormat="1" ht="15.75" x14ac:dyDescent="0.25">
      <c r="A656" s="3691" t="s">
        <v>1392</v>
      </c>
      <c r="B656" s="3683">
        <f t="shared" ref="B656" si="230">IF(B166=2,94,0)</f>
        <v>0</v>
      </c>
      <c r="C656" s="3683"/>
      <c r="D656" s="3683"/>
      <c r="E656" s="3683"/>
      <c r="F656" s="3683"/>
      <c r="G656" s="3682"/>
      <c r="H656" s="3314"/>
    </row>
    <row r="657" spans="1:8" s="3309" customFormat="1" ht="15.75" x14ac:dyDescent="0.25">
      <c r="A657" s="3691" t="s">
        <v>1393</v>
      </c>
      <c r="B657" s="3683">
        <f t="shared" ref="B657" si="231">IF(B164=1,257,0)</f>
        <v>0</v>
      </c>
      <c r="C657" s="3683"/>
      <c r="D657" s="3683"/>
      <c r="E657" s="3683"/>
      <c r="F657" s="3683"/>
      <c r="G657" s="3682"/>
      <c r="H657" s="3314"/>
    </row>
    <row r="658" spans="1:8" s="3309" customFormat="1" ht="15.75" x14ac:dyDescent="0.25">
      <c r="A658" s="3691" t="s">
        <v>6212</v>
      </c>
      <c r="B658" s="3692">
        <v>0</v>
      </c>
      <c r="C658" s="3692"/>
      <c r="D658" s="3692"/>
      <c r="E658" s="3692"/>
      <c r="F658" s="3692"/>
      <c r="G658" s="3692"/>
      <c r="H658" s="3314"/>
    </row>
    <row r="659" spans="1:8" s="3309" customFormat="1" ht="15.75" x14ac:dyDescent="0.25">
      <c r="A659" s="3691" t="s">
        <v>1394</v>
      </c>
      <c r="B659" s="3683">
        <f t="shared" ref="B659" si="232">IF(B658=1,172,0)</f>
        <v>0</v>
      </c>
      <c r="C659" s="3683"/>
      <c r="D659" s="3683"/>
      <c r="E659" s="3683"/>
      <c r="F659" s="3683"/>
      <c r="G659" s="3683"/>
      <c r="H659" s="3314"/>
    </row>
    <row r="660" spans="1:8" s="3309" customFormat="1" ht="31.5" x14ac:dyDescent="0.25">
      <c r="A660" s="3690" t="s">
        <v>1395</v>
      </c>
      <c r="B660" s="3689" t="e">
        <f t="shared" ref="B660:G660" si="233">B646+B647+B649+B653+B654+B655+B656+B657+B659</f>
        <v>#VALUE!</v>
      </c>
      <c r="C660" s="3689">
        <f t="shared" si="233"/>
        <v>0</v>
      </c>
      <c r="D660" s="3689">
        <f t="shared" si="233"/>
        <v>0</v>
      </c>
      <c r="E660" s="3689">
        <f t="shared" si="233"/>
        <v>0</v>
      </c>
      <c r="F660" s="3689">
        <f t="shared" si="233"/>
        <v>0</v>
      </c>
      <c r="G660" s="3688">
        <f t="shared" si="233"/>
        <v>0</v>
      </c>
      <c r="H660" s="3314"/>
    </row>
    <row r="661" spans="1:8" s="3309" customFormat="1" ht="15.75" x14ac:dyDescent="0.25">
      <c r="A661" s="3687" t="s">
        <v>1396</v>
      </c>
      <c r="B661" s="3686" t="e">
        <f t="shared" ref="B661" si="234">0.9*1.2*1.3*B660/(357*6)</f>
        <v>#VALUE!</v>
      </c>
      <c r="C661" s="3686"/>
      <c r="D661" s="3686"/>
      <c r="E661" s="3686"/>
      <c r="F661" s="3686"/>
      <c r="G661" s="3685"/>
      <c r="H661" s="3314"/>
    </row>
    <row r="662" spans="1:8" s="3309" customFormat="1" ht="31.5" x14ac:dyDescent="0.25">
      <c r="A662" s="3687" t="s">
        <v>1397</v>
      </c>
      <c r="B662" s="3686" t="e">
        <f t="shared" ref="B662" si="235">B661</f>
        <v>#VALUE!</v>
      </c>
      <c r="C662" s="3686"/>
      <c r="D662" s="3686"/>
      <c r="E662" s="3686"/>
      <c r="F662" s="3686"/>
      <c r="G662" s="3685"/>
      <c r="H662" s="3314"/>
    </row>
    <row r="663" spans="1:8" s="3309" customFormat="1" ht="15.75" x14ac:dyDescent="0.25">
      <c r="A663" s="3684" t="s">
        <v>6211</v>
      </c>
      <c r="B663" s="3683">
        <f t="shared" ref="B663:G663" si="236">0.9*B185</f>
        <v>270</v>
      </c>
      <c r="C663" s="3683">
        <f t="shared" si="236"/>
        <v>270</v>
      </c>
      <c r="D663" s="3683">
        <f t="shared" si="236"/>
        <v>270</v>
      </c>
      <c r="E663" s="3683">
        <f t="shared" si="236"/>
        <v>270</v>
      </c>
      <c r="F663" s="3683">
        <f t="shared" si="236"/>
        <v>270</v>
      </c>
      <c r="G663" s="3682">
        <f t="shared" si="236"/>
        <v>270</v>
      </c>
      <c r="H663" s="3314"/>
    </row>
    <row r="664" spans="1:8" s="3309" customFormat="1" ht="31.5" x14ac:dyDescent="0.25">
      <c r="A664" s="3680" t="s">
        <v>6210</v>
      </c>
      <c r="B664" s="3679" t="e">
        <f t="shared" ref="B664:G664" si="237">B662*B663*B521</f>
        <v>#VALUE!</v>
      </c>
      <c r="C664" s="3679">
        <f t="shared" si="237"/>
        <v>0</v>
      </c>
      <c r="D664" s="3679">
        <f t="shared" si="237"/>
        <v>0</v>
      </c>
      <c r="E664" s="3679">
        <f t="shared" si="237"/>
        <v>0</v>
      </c>
      <c r="F664" s="3679">
        <f t="shared" si="237"/>
        <v>0</v>
      </c>
      <c r="G664" s="3678">
        <f t="shared" si="237"/>
        <v>0</v>
      </c>
      <c r="H664" s="3314"/>
    </row>
    <row r="665" spans="1:8" s="3309" customFormat="1" ht="15.75" x14ac:dyDescent="0.25">
      <c r="A665" s="3681" t="s">
        <v>6209</v>
      </c>
      <c r="B665" s="3679" t="e">
        <f t="shared" ref="B665:G665" si="238">B662*B190</f>
        <v>#VALUE!</v>
      </c>
      <c r="C665" s="3679">
        <f t="shared" si="238"/>
        <v>0</v>
      </c>
      <c r="D665" s="3679">
        <f t="shared" si="238"/>
        <v>0</v>
      </c>
      <c r="E665" s="3679">
        <f t="shared" si="238"/>
        <v>0</v>
      </c>
      <c r="F665" s="3679">
        <f t="shared" si="238"/>
        <v>0</v>
      </c>
      <c r="G665" s="3678">
        <f t="shared" si="238"/>
        <v>0</v>
      </c>
      <c r="H665" s="3314"/>
    </row>
    <row r="666" spans="1:8" s="3309" customFormat="1" ht="31.5" x14ac:dyDescent="0.25">
      <c r="A666" s="3680" t="s">
        <v>6208</v>
      </c>
      <c r="B666" s="3679" t="e">
        <f t="shared" ref="B666:G666" si="239">B664*B187/100</f>
        <v>#VALUE!</v>
      </c>
      <c r="C666" s="3679">
        <f t="shared" si="239"/>
        <v>0</v>
      </c>
      <c r="D666" s="3679">
        <f t="shared" si="239"/>
        <v>0</v>
      </c>
      <c r="E666" s="3679">
        <f t="shared" si="239"/>
        <v>0</v>
      </c>
      <c r="F666" s="3679">
        <f t="shared" si="239"/>
        <v>0</v>
      </c>
      <c r="G666" s="3678">
        <f t="shared" si="239"/>
        <v>0</v>
      </c>
      <c r="H666" s="3314"/>
    </row>
    <row r="667" spans="1:8" s="3309" customFormat="1" ht="31.5" x14ac:dyDescent="0.25">
      <c r="A667" s="3680" t="s">
        <v>6207</v>
      </c>
      <c r="B667" s="3676" t="e">
        <f t="shared" ref="B667:G667" si="240">B664+B666</f>
        <v>#VALUE!</v>
      </c>
      <c r="C667" s="3676">
        <f t="shared" si="240"/>
        <v>0</v>
      </c>
      <c r="D667" s="3676">
        <f t="shared" si="240"/>
        <v>0</v>
      </c>
      <c r="E667" s="3676">
        <f t="shared" si="240"/>
        <v>0</v>
      </c>
      <c r="F667" s="3676">
        <f t="shared" si="240"/>
        <v>0</v>
      </c>
      <c r="G667" s="3675">
        <f t="shared" si="240"/>
        <v>0</v>
      </c>
      <c r="H667" s="3314"/>
    </row>
    <row r="668" spans="1:8" s="3309" customFormat="1" ht="15.75" x14ac:dyDescent="0.25">
      <c r="A668" s="3677" t="s">
        <v>6206</v>
      </c>
      <c r="B668" s="3679" t="e">
        <f t="shared" ref="B668:G668" si="241">B667*32/100</f>
        <v>#VALUE!</v>
      </c>
      <c r="C668" s="3679">
        <f t="shared" si="241"/>
        <v>0</v>
      </c>
      <c r="D668" s="3679">
        <f t="shared" si="241"/>
        <v>0</v>
      </c>
      <c r="E668" s="3679">
        <f t="shared" si="241"/>
        <v>0</v>
      </c>
      <c r="F668" s="3679">
        <f t="shared" si="241"/>
        <v>0</v>
      </c>
      <c r="G668" s="3678">
        <f t="shared" si="241"/>
        <v>0</v>
      </c>
      <c r="H668" s="3314"/>
    </row>
    <row r="669" spans="1:8" s="3309" customFormat="1" ht="15.75" x14ac:dyDescent="0.25">
      <c r="A669" s="3677" t="s">
        <v>6205</v>
      </c>
      <c r="B669" s="3676" t="e">
        <f t="shared" ref="B669:G669" si="242">B667+B668</f>
        <v>#VALUE!</v>
      </c>
      <c r="C669" s="3676">
        <f t="shared" si="242"/>
        <v>0</v>
      </c>
      <c r="D669" s="3676">
        <f t="shared" si="242"/>
        <v>0</v>
      </c>
      <c r="E669" s="3676">
        <f t="shared" si="242"/>
        <v>0</v>
      </c>
      <c r="F669" s="3676">
        <f t="shared" si="242"/>
        <v>0</v>
      </c>
      <c r="G669" s="3675">
        <f t="shared" si="242"/>
        <v>0</v>
      </c>
      <c r="H669" s="3314"/>
    </row>
    <row r="670" spans="1:8" s="3309" customFormat="1" ht="30" customHeight="1" thickBot="1" x14ac:dyDescent="0.3">
      <c r="A670" s="3674" t="s">
        <v>6204</v>
      </c>
      <c r="B670" s="3673" t="e">
        <f t="shared" ref="B670:G670" si="243">B669/B146</f>
        <v>#VALUE!</v>
      </c>
      <c r="C670" s="3673" t="e">
        <f t="shared" si="243"/>
        <v>#DIV/0!</v>
      </c>
      <c r="D670" s="3673" t="e">
        <f t="shared" si="243"/>
        <v>#DIV/0!</v>
      </c>
      <c r="E670" s="3673" t="e">
        <f t="shared" si="243"/>
        <v>#DIV/0!</v>
      </c>
      <c r="F670" s="3673" t="e">
        <f t="shared" si="243"/>
        <v>#DIV/0!</v>
      </c>
      <c r="G670" s="3673" t="e">
        <f t="shared" si="243"/>
        <v>#DIV/0!</v>
      </c>
      <c r="H670" s="3314"/>
    </row>
    <row r="671" spans="1:8" s="3309" customFormat="1" ht="14.25" x14ac:dyDescent="0.2">
      <c r="A671" s="3672"/>
      <c r="B671" s="3671"/>
      <c r="C671" s="3671"/>
      <c r="D671" s="3671"/>
      <c r="E671" s="3671"/>
      <c r="F671" s="3671"/>
      <c r="G671" s="3671"/>
    </row>
    <row r="672" spans="1:8" s="3309" customFormat="1" ht="16.5" thickBot="1" x14ac:dyDescent="0.3">
      <c r="A672" s="3670"/>
      <c r="B672" s="3668"/>
      <c r="C672" s="3668"/>
      <c r="D672" s="3668"/>
      <c r="E672" s="3668"/>
      <c r="F672" s="3668"/>
      <c r="G672" s="3668"/>
    </row>
    <row r="673" spans="1:7" s="3309" customFormat="1" ht="18.75" x14ac:dyDescent="0.3">
      <c r="A673" s="4767" t="s">
        <v>6203</v>
      </c>
      <c r="B673" s="4767"/>
      <c r="C673" s="4767"/>
      <c r="D673" s="4767"/>
      <c r="E673" s="4767"/>
      <c r="F673" s="4767"/>
      <c r="G673" s="4767"/>
    </row>
    <row r="674" spans="1:7" s="3309" customFormat="1" ht="14.25" x14ac:dyDescent="0.2">
      <c r="A674" s="3669" t="s">
        <v>6202</v>
      </c>
      <c r="B674" s="3668"/>
      <c r="C674" s="3668"/>
      <c r="D674" s="3668"/>
      <c r="E674" s="3668"/>
      <c r="F674" s="3668"/>
      <c r="G674" s="3667"/>
    </row>
    <row r="675" spans="1:7" s="3309" customFormat="1" x14ac:dyDescent="0.2">
      <c r="A675" s="3666" t="s">
        <v>6201</v>
      </c>
      <c r="B675" s="3662">
        <f t="shared" ref="B675:G675" si="244">B194</f>
        <v>15</v>
      </c>
      <c r="C675" s="3662">
        <f t="shared" si="244"/>
        <v>15</v>
      </c>
      <c r="D675" s="3662">
        <f t="shared" si="244"/>
        <v>15</v>
      </c>
      <c r="E675" s="3662">
        <f t="shared" si="244"/>
        <v>15</v>
      </c>
      <c r="F675" s="3662">
        <f t="shared" si="244"/>
        <v>15</v>
      </c>
      <c r="G675" s="3661">
        <f t="shared" si="244"/>
        <v>15</v>
      </c>
    </row>
    <row r="676" spans="1:7" s="3309" customFormat="1" x14ac:dyDescent="0.2">
      <c r="A676" s="3666" t="s">
        <v>6200</v>
      </c>
      <c r="B676" s="3662">
        <f t="shared" ref="B676:G676" si="245">B227</f>
        <v>80</v>
      </c>
      <c r="C676" s="3662">
        <f t="shared" si="245"/>
        <v>80</v>
      </c>
      <c r="D676" s="3662">
        <f t="shared" si="245"/>
        <v>80</v>
      </c>
      <c r="E676" s="3662">
        <f t="shared" si="245"/>
        <v>80</v>
      </c>
      <c r="F676" s="3662">
        <f t="shared" si="245"/>
        <v>80</v>
      </c>
      <c r="G676" s="3662">
        <f t="shared" si="245"/>
        <v>80</v>
      </c>
    </row>
    <row r="677" spans="1:7" s="3309" customFormat="1" x14ac:dyDescent="0.2">
      <c r="A677" s="3656" t="s">
        <v>6199</v>
      </c>
      <c r="B677" s="3380">
        <f t="shared" ref="B677:G677" si="246">B676*B675</f>
        <v>1200</v>
      </c>
      <c r="C677" s="3380">
        <f t="shared" si="246"/>
        <v>1200</v>
      </c>
      <c r="D677" s="3380">
        <f t="shared" si="246"/>
        <v>1200</v>
      </c>
      <c r="E677" s="3380">
        <f t="shared" si="246"/>
        <v>1200</v>
      </c>
      <c r="F677" s="3380">
        <f t="shared" si="246"/>
        <v>1200</v>
      </c>
      <c r="G677" s="3658">
        <f t="shared" si="246"/>
        <v>1200</v>
      </c>
    </row>
    <row r="678" spans="1:7" s="3309" customFormat="1" x14ac:dyDescent="0.2">
      <c r="A678" s="3656" t="s">
        <v>6198</v>
      </c>
      <c r="B678" s="3465" t="e">
        <f t="shared" ref="B678:G678" si="247">B677/(B521*B146)</f>
        <v>#VALUE!</v>
      </c>
      <c r="C678" s="3465" t="e">
        <f t="shared" si="247"/>
        <v>#DIV/0!</v>
      </c>
      <c r="D678" s="3465" t="e">
        <f t="shared" si="247"/>
        <v>#DIV/0!</v>
      </c>
      <c r="E678" s="3465" t="e">
        <f t="shared" si="247"/>
        <v>#DIV/0!</v>
      </c>
      <c r="F678" s="3465" t="e">
        <f t="shared" si="247"/>
        <v>#DIV/0!</v>
      </c>
      <c r="G678" s="3665" t="e">
        <f t="shared" si="247"/>
        <v>#DIV/0!</v>
      </c>
    </row>
    <row r="679" spans="1:7" s="3309" customFormat="1" x14ac:dyDescent="0.2">
      <c r="A679" s="3664" t="s">
        <v>6197</v>
      </c>
      <c r="B679" s="3380"/>
      <c r="C679" s="3380"/>
      <c r="D679" s="3380"/>
      <c r="E679" s="3380"/>
      <c r="F679" s="3380"/>
      <c r="G679" s="3658"/>
    </row>
    <row r="680" spans="1:7" s="3309" customFormat="1" x14ac:dyDescent="0.2">
      <c r="A680" s="3663" t="s">
        <v>6196</v>
      </c>
      <c r="B680" s="3380">
        <f t="shared" ref="B680:G680" si="248">2*B145</f>
        <v>0</v>
      </c>
      <c r="C680" s="3380">
        <f t="shared" si="248"/>
        <v>0</v>
      </c>
      <c r="D680" s="3380">
        <f t="shared" si="248"/>
        <v>0</v>
      </c>
      <c r="E680" s="3380">
        <f t="shared" si="248"/>
        <v>0</v>
      </c>
      <c r="F680" s="3380">
        <f t="shared" si="248"/>
        <v>0</v>
      </c>
      <c r="G680" s="3658">
        <f t="shared" si="248"/>
        <v>0</v>
      </c>
    </row>
    <row r="681" spans="1:7" s="3309" customFormat="1" x14ac:dyDescent="0.2">
      <c r="A681" s="3656" t="s">
        <v>6195</v>
      </c>
      <c r="B681" s="3662">
        <f t="shared" ref="B681:G681" si="249">B193</f>
        <v>100</v>
      </c>
      <c r="C681" s="3662">
        <f t="shared" si="249"/>
        <v>100</v>
      </c>
      <c r="D681" s="3662">
        <f t="shared" si="249"/>
        <v>100</v>
      </c>
      <c r="E681" s="3662">
        <f t="shared" si="249"/>
        <v>100</v>
      </c>
      <c r="F681" s="3662">
        <f t="shared" si="249"/>
        <v>100</v>
      </c>
      <c r="G681" s="3661">
        <f t="shared" si="249"/>
        <v>100</v>
      </c>
    </row>
    <row r="682" spans="1:7" s="3309" customFormat="1" x14ac:dyDescent="0.2">
      <c r="A682" s="3657" t="s">
        <v>6181</v>
      </c>
      <c r="B682" s="3380">
        <f t="shared" ref="B682:G682" si="250">B680*B681</f>
        <v>0</v>
      </c>
      <c r="C682" s="3380">
        <f t="shared" si="250"/>
        <v>0</v>
      </c>
      <c r="D682" s="3380">
        <f t="shared" si="250"/>
        <v>0</v>
      </c>
      <c r="E682" s="3380">
        <f t="shared" si="250"/>
        <v>0</v>
      </c>
      <c r="F682" s="3380">
        <f t="shared" si="250"/>
        <v>0</v>
      </c>
      <c r="G682" s="3658">
        <f t="shared" si="250"/>
        <v>0</v>
      </c>
    </row>
    <row r="683" spans="1:7" s="3309" customFormat="1" x14ac:dyDescent="0.2">
      <c r="A683" s="3660" t="s">
        <v>6180</v>
      </c>
      <c r="B683" s="3659">
        <f t="shared" ref="B683:G683" si="251">B214</f>
        <v>12</v>
      </c>
      <c r="C683" s="3659">
        <f t="shared" si="251"/>
        <v>12</v>
      </c>
      <c r="D683" s="3659">
        <f t="shared" si="251"/>
        <v>12</v>
      </c>
      <c r="E683" s="3659">
        <f t="shared" si="251"/>
        <v>12</v>
      </c>
      <c r="F683" s="3659">
        <f t="shared" si="251"/>
        <v>12</v>
      </c>
      <c r="G683" s="3659">
        <f t="shared" si="251"/>
        <v>12</v>
      </c>
    </row>
    <row r="684" spans="1:7" s="3309" customFormat="1" x14ac:dyDescent="0.2">
      <c r="A684" s="3657" t="s">
        <v>6179</v>
      </c>
      <c r="B684" s="3380">
        <f t="shared" ref="B684:G684" si="252">B682*4/1000</f>
        <v>0</v>
      </c>
      <c r="C684" s="3380">
        <f t="shared" si="252"/>
        <v>0</v>
      </c>
      <c r="D684" s="3380">
        <f t="shared" si="252"/>
        <v>0</v>
      </c>
      <c r="E684" s="3380">
        <f t="shared" si="252"/>
        <v>0</v>
      </c>
      <c r="F684" s="3380">
        <f t="shared" si="252"/>
        <v>0</v>
      </c>
      <c r="G684" s="3658">
        <f t="shared" si="252"/>
        <v>0</v>
      </c>
    </row>
    <row r="685" spans="1:7" s="3309" customFormat="1" x14ac:dyDescent="0.2">
      <c r="A685" s="3657" t="s">
        <v>6194</v>
      </c>
      <c r="B685" s="3321">
        <f t="shared" ref="B685:G685" si="253">(B682-B684)/B683</f>
        <v>0</v>
      </c>
      <c r="C685" s="3321">
        <f t="shared" si="253"/>
        <v>0</v>
      </c>
      <c r="D685" s="3321">
        <f t="shared" si="253"/>
        <v>0</v>
      </c>
      <c r="E685" s="3321">
        <f t="shared" si="253"/>
        <v>0</v>
      </c>
      <c r="F685" s="3321">
        <f t="shared" si="253"/>
        <v>0</v>
      </c>
      <c r="G685" s="3646">
        <f t="shared" si="253"/>
        <v>0</v>
      </c>
    </row>
    <row r="686" spans="1:7" s="3309" customFormat="1" x14ac:dyDescent="0.2">
      <c r="A686" s="3656" t="s">
        <v>6193</v>
      </c>
      <c r="B686" s="3321" t="e">
        <f t="shared" ref="B686:G686" si="254">B685/(B146*B521)</f>
        <v>#VALUE!</v>
      </c>
      <c r="C686" s="3321" t="e">
        <f t="shared" si="254"/>
        <v>#DIV/0!</v>
      </c>
      <c r="D686" s="3321" t="e">
        <f t="shared" si="254"/>
        <v>#DIV/0!</v>
      </c>
      <c r="E686" s="3321" t="e">
        <f t="shared" si="254"/>
        <v>#DIV/0!</v>
      </c>
      <c r="F686" s="3321" t="e">
        <f t="shared" si="254"/>
        <v>#DIV/0!</v>
      </c>
      <c r="G686" s="3646" t="e">
        <f t="shared" si="254"/>
        <v>#DIV/0!</v>
      </c>
    </row>
    <row r="687" spans="1:7" s="3309" customFormat="1" ht="13.5" thickBot="1" x14ac:dyDescent="0.25">
      <c r="A687" s="3655" t="s">
        <v>6192</v>
      </c>
      <c r="B687" s="3654" t="e">
        <f t="shared" ref="B687:G687" si="255">B686+B678</f>
        <v>#VALUE!</v>
      </c>
      <c r="C687" s="3654" t="e">
        <f t="shared" si="255"/>
        <v>#DIV/0!</v>
      </c>
      <c r="D687" s="3654" t="e">
        <f t="shared" si="255"/>
        <v>#DIV/0!</v>
      </c>
      <c r="E687" s="3654" t="e">
        <f t="shared" si="255"/>
        <v>#DIV/0!</v>
      </c>
      <c r="F687" s="3654" t="e">
        <f t="shared" si="255"/>
        <v>#DIV/0!</v>
      </c>
      <c r="G687" s="3653" t="e">
        <f t="shared" si="255"/>
        <v>#DIV/0!</v>
      </c>
    </row>
    <row r="688" spans="1:7" s="3309" customFormat="1" ht="13.5" thickBot="1" x14ac:dyDescent="0.25">
      <c r="B688" s="3315"/>
      <c r="C688" s="3315"/>
      <c r="D688" s="3315"/>
      <c r="E688" s="3315"/>
      <c r="F688" s="3315"/>
      <c r="G688" s="3315"/>
    </row>
    <row r="689" spans="1:7" s="3309" customFormat="1" ht="15.75" x14ac:dyDescent="0.25">
      <c r="A689" s="3652" t="s">
        <v>6191</v>
      </c>
      <c r="B689" s="3651"/>
      <c r="C689" s="3651"/>
      <c r="D689" s="3651"/>
      <c r="E689" s="3651"/>
      <c r="F689" s="3651"/>
      <c r="G689" s="3650"/>
    </row>
    <row r="690" spans="1:7" s="3309" customFormat="1" ht="15.75" x14ac:dyDescent="0.25">
      <c r="A690" s="3647" t="s">
        <v>6190</v>
      </c>
      <c r="B690" s="3321"/>
      <c r="C690" s="3321"/>
      <c r="D690" s="3321"/>
      <c r="E690" s="3321"/>
      <c r="F690" s="3321"/>
      <c r="G690" s="3646"/>
    </row>
    <row r="691" spans="1:7" s="3309" customFormat="1" ht="15.75" x14ac:dyDescent="0.25">
      <c r="A691" s="3645" t="s">
        <v>6189</v>
      </c>
      <c r="B691" s="3630">
        <f t="shared" ref="B691:G691" si="256">B200</f>
        <v>2000</v>
      </c>
      <c r="C691" s="3630">
        <f t="shared" si="256"/>
        <v>2000</v>
      </c>
      <c r="D691" s="3630">
        <f t="shared" si="256"/>
        <v>2000</v>
      </c>
      <c r="E691" s="3630">
        <f t="shared" si="256"/>
        <v>2000</v>
      </c>
      <c r="F691" s="3630">
        <f t="shared" si="256"/>
        <v>2000</v>
      </c>
      <c r="G691" s="3630">
        <f t="shared" si="256"/>
        <v>2000</v>
      </c>
    </row>
    <row r="692" spans="1:7" s="3309" customFormat="1" ht="15.75" x14ac:dyDescent="0.25">
      <c r="A692" s="3644" t="s">
        <v>6181</v>
      </c>
      <c r="B692" s="3321" t="e">
        <f t="shared" ref="B692:G692" si="257">B562*B691</f>
        <v>#VALUE!</v>
      </c>
      <c r="C692" s="3321" t="e">
        <f t="shared" si="257"/>
        <v>#DIV/0!</v>
      </c>
      <c r="D692" s="3321" t="e">
        <f t="shared" si="257"/>
        <v>#DIV/0!</v>
      </c>
      <c r="E692" s="3321" t="e">
        <f t="shared" si="257"/>
        <v>#DIV/0!</v>
      </c>
      <c r="F692" s="3321" t="e">
        <f t="shared" si="257"/>
        <v>#DIV/0!</v>
      </c>
      <c r="G692" s="3646" t="e">
        <f t="shared" si="257"/>
        <v>#DIV/0!</v>
      </c>
    </row>
    <row r="693" spans="1:7" s="3309" customFormat="1" ht="15.75" x14ac:dyDescent="0.25">
      <c r="A693" s="3645" t="s">
        <v>6180</v>
      </c>
      <c r="B693" s="3565">
        <f t="shared" ref="B693:G693" si="258">B215</f>
        <v>12</v>
      </c>
      <c r="C693" s="3565">
        <f t="shared" si="258"/>
        <v>12</v>
      </c>
      <c r="D693" s="3565">
        <f t="shared" si="258"/>
        <v>12</v>
      </c>
      <c r="E693" s="3565">
        <f t="shared" si="258"/>
        <v>12</v>
      </c>
      <c r="F693" s="3565">
        <f t="shared" si="258"/>
        <v>12</v>
      </c>
      <c r="G693" s="3565">
        <f t="shared" si="258"/>
        <v>12</v>
      </c>
    </row>
    <row r="694" spans="1:7" s="3309" customFormat="1" ht="15.75" x14ac:dyDescent="0.25">
      <c r="A694" s="3644" t="s">
        <v>6179</v>
      </c>
      <c r="B694" s="3649" t="e">
        <f t="shared" ref="B694:G694" si="259">B692*4/100</f>
        <v>#VALUE!</v>
      </c>
      <c r="C694" s="3649" t="e">
        <f t="shared" si="259"/>
        <v>#DIV/0!</v>
      </c>
      <c r="D694" s="3649" t="e">
        <f t="shared" si="259"/>
        <v>#DIV/0!</v>
      </c>
      <c r="E694" s="3649" t="e">
        <f t="shared" si="259"/>
        <v>#DIV/0!</v>
      </c>
      <c r="F694" s="3649" t="e">
        <f t="shared" si="259"/>
        <v>#DIV/0!</v>
      </c>
      <c r="G694" s="3648" t="e">
        <f t="shared" si="259"/>
        <v>#DIV/0!</v>
      </c>
    </row>
    <row r="695" spans="1:7" s="3309" customFormat="1" ht="15.75" x14ac:dyDescent="0.25">
      <c r="A695" s="3644" t="s">
        <v>6188</v>
      </c>
      <c r="B695" s="3649" t="e">
        <f t="shared" ref="B695:G695" si="260">(B692-B694)/B693</f>
        <v>#VALUE!</v>
      </c>
      <c r="C695" s="3649" t="e">
        <f t="shared" si="260"/>
        <v>#DIV/0!</v>
      </c>
      <c r="D695" s="3649" t="e">
        <f t="shared" si="260"/>
        <v>#DIV/0!</v>
      </c>
      <c r="E695" s="3649" t="e">
        <f t="shared" si="260"/>
        <v>#DIV/0!</v>
      </c>
      <c r="F695" s="3649" t="e">
        <f t="shared" si="260"/>
        <v>#DIV/0!</v>
      </c>
      <c r="G695" s="3648" t="e">
        <f t="shared" si="260"/>
        <v>#DIV/0!</v>
      </c>
    </row>
    <row r="696" spans="1:7" s="3309" customFormat="1" ht="15.75" x14ac:dyDescent="0.25">
      <c r="A696" s="3647" t="s">
        <v>6187</v>
      </c>
      <c r="B696" s="3321"/>
      <c r="C696" s="3321"/>
      <c r="D696" s="3321"/>
      <c r="E696" s="3321"/>
      <c r="F696" s="3321"/>
      <c r="G696" s="3646"/>
    </row>
    <row r="697" spans="1:7" s="3309" customFormat="1" ht="15.75" x14ac:dyDescent="0.25">
      <c r="A697" s="3645" t="s">
        <v>6182</v>
      </c>
      <c r="B697" s="3630">
        <f t="shared" ref="B697:G697" si="261">B211</f>
        <v>70</v>
      </c>
      <c r="C697" s="3630">
        <f t="shared" si="261"/>
        <v>70</v>
      </c>
      <c r="D697" s="3630">
        <f t="shared" si="261"/>
        <v>70</v>
      </c>
      <c r="E697" s="3630">
        <f t="shared" si="261"/>
        <v>70</v>
      </c>
      <c r="F697" s="3630">
        <f t="shared" si="261"/>
        <v>70</v>
      </c>
      <c r="G697" s="3630">
        <f t="shared" si="261"/>
        <v>70</v>
      </c>
    </row>
    <row r="698" spans="1:7" s="3309" customFormat="1" ht="15.75" x14ac:dyDescent="0.25">
      <c r="A698" s="3644" t="s">
        <v>6181</v>
      </c>
      <c r="B698" s="3321" t="e">
        <f t="shared" ref="B698:G698" si="262">B562*B697</f>
        <v>#VALUE!</v>
      </c>
      <c r="C698" s="3321" t="e">
        <f t="shared" si="262"/>
        <v>#DIV/0!</v>
      </c>
      <c r="D698" s="3321" t="e">
        <f t="shared" si="262"/>
        <v>#DIV/0!</v>
      </c>
      <c r="E698" s="3321" t="e">
        <f t="shared" si="262"/>
        <v>#DIV/0!</v>
      </c>
      <c r="F698" s="3321" t="e">
        <f t="shared" si="262"/>
        <v>#DIV/0!</v>
      </c>
      <c r="G698" s="3646" t="e">
        <f t="shared" si="262"/>
        <v>#DIV/0!</v>
      </c>
    </row>
    <row r="699" spans="1:7" s="3309" customFormat="1" ht="15.75" x14ac:dyDescent="0.25">
      <c r="A699" s="3645" t="s">
        <v>6180</v>
      </c>
      <c r="B699" s="3630">
        <f t="shared" ref="B699:G699" si="263">B216</f>
        <v>12</v>
      </c>
      <c r="C699" s="3630">
        <f t="shared" si="263"/>
        <v>12</v>
      </c>
      <c r="D699" s="3630">
        <f t="shared" si="263"/>
        <v>12</v>
      </c>
      <c r="E699" s="3630">
        <f t="shared" si="263"/>
        <v>12</v>
      </c>
      <c r="F699" s="3630">
        <f t="shared" si="263"/>
        <v>12</v>
      </c>
      <c r="G699" s="3630">
        <f t="shared" si="263"/>
        <v>12</v>
      </c>
    </row>
    <row r="700" spans="1:7" s="3309" customFormat="1" ht="15.75" x14ac:dyDescent="0.25">
      <c r="A700" s="3644" t="s">
        <v>6179</v>
      </c>
      <c r="B700" s="3649" t="e">
        <f t="shared" ref="B700:G700" si="264">B698*4/100</f>
        <v>#VALUE!</v>
      </c>
      <c r="C700" s="3649" t="e">
        <f t="shared" si="264"/>
        <v>#DIV/0!</v>
      </c>
      <c r="D700" s="3649" t="e">
        <f t="shared" si="264"/>
        <v>#DIV/0!</v>
      </c>
      <c r="E700" s="3649" t="e">
        <f t="shared" si="264"/>
        <v>#DIV/0!</v>
      </c>
      <c r="F700" s="3649" t="e">
        <f t="shared" si="264"/>
        <v>#DIV/0!</v>
      </c>
      <c r="G700" s="3648" t="e">
        <f t="shared" si="264"/>
        <v>#DIV/0!</v>
      </c>
    </row>
    <row r="701" spans="1:7" s="3309" customFormat="1" ht="15.75" x14ac:dyDescent="0.25">
      <c r="A701" s="3644" t="s">
        <v>6186</v>
      </c>
      <c r="B701" s="3649" t="e">
        <f t="shared" ref="B701:G701" si="265">(B698-B700)/B699</f>
        <v>#VALUE!</v>
      </c>
      <c r="C701" s="3649" t="e">
        <f t="shared" si="265"/>
        <v>#DIV/0!</v>
      </c>
      <c r="D701" s="3649" t="e">
        <f t="shared" si="265"/>
        <v>#DIV/0!</v>
      </c>
      <c r="E701" s="3649" t="e">
        <f t="shared" si="265"/>
        <v>#DIV/0!</v>
      </c>
      <c r="F701" s="3649" t="e">
        <f t="shared" si="265"/>
        <v>#DIV/0!</v>
      </c>
      <c r="G701" s="3648" t="e">
        <f t="shared" si="265"/>
        <v>#DIV/0!</v>
      </c>
    </row>
    <row r="702" spans="1:7" s="3309" customFormat="1" ht="15.75" x14ac:dyDescent="0.25">
      <c r="A702" s="3647" t="s">
        <v>6185</v>
      </c>
      <c r="B702" s="3321"/>
      <c r="C702" s="3321"/>
      <c r="D702" s="3321"/>
      <c r="E702" s="3321"/>
      <c r="F702" s="3321"/>
      <c r="G702" s="3646"/>
    </row>
    <row r="703" spans="1:7" s="3309" customFormat="1" ht="15.75" x14ac:dyDescent="0.25">
      <c r="A703" s="3645" t="s">
        <v>6182</v>
      </c>
      <c r="B703" s="3630">
        <f t="shared" ref="B703:G703" si="266">B212</f>
        <v>2000</v>
      </c>
      <c r="C703" s="3630">
        <f t="shared" si="266"/>
        <v>2000</v>
      </c>
      <c r="D703" s="3630">
        <f t="shared" si="266"/>
        <v>2000</v>
      </c>
      <c r="E703" s="3630">
        <f t="shared" si="266"/>
        <v>2000</v>
      </c>
      <c r="F703" s="3630">
        <f t="shared" si="266"/>
        <v>2000</v>
      </c>
      <c r="G703" s="3630">
        <f t="shared" si="266"/>
        <v>2000</v>
      </c>
    </row>
    <row r="704" spans="1:7" s="3309" customFormat="1" ht="15.75" x14ac:dyDescent="0.25">
      <c r="A704" s="3644" t="s">
        <v>6181</v>
      </c>
      <c r="B704" s="3321" t="e">
        <f t="shared" ref="B704:G704" si="267">B703*B562</f>
        <v>#VALUE!</v>
      </c>
      <c r="C704" s="3321" t="e">
        <f t="shared" si="267"/>
        <v>#DIV/0!</v>
      </c>
      <c r="D704" s="3321" t="e">
        <f t="shared" si="267"/>
        <v>#DIV/0!</v>
      </c>
      <c r="E704" s="3321" t="e">
        <f t="shared" si="267"/>
        <v>#DIV/0!</v>
      </c>
      <c r="F704" s="3321" t="e">
        <f t="shared" si="267"/>
        <v>#DIV/0!</v>
      </c>
      <c r="G704" s="3646" t="e">
        <f t="shared" si="267"/>
        <v>#DIV/0!</v>
      </c>
    </row>
    <row r="705" spans="1:7" s="3309" customFormat="1" ht="15.75" x14ac:dyDescent="0.25">
      <c r="A705" s="3645" t="s">
        <v>6180</v>
      </c>
      <c r="B705" s="3630">
        <f t="shared" ref="B705:G705" si="268">B217</f>
        <v>36</v>
      </c>
      <c r="C705" s="3630">
        <f t="shared" si="268"/>
        <v>36</v>
      </c>
      <c r="D705" s="3630">
        <f t="shared" si="268"/>
        <v>36</v>
      </c>
      <c r="E705" s="3630">
        <f t="shared" si="268"/>
        <v>36</v>
      </c>
      <c r="F705" s="3630">
        <f t="shared" si="268"/>
        <v>36</v>
      </c>
      <c r="G705" s="3630">
        <f t="shared" si="268"/>
        <v>36</v>
      </c>
    </row>
    <row r="706" spans="1:7" s="3309" customFormat="1" ht="15.75" x14ac:dyDescent="0.25">
      <c r="A706" s="3644" t="s">
        <v>6179</v>
      </c>
      <c r="B706" s="3649" t="e">
        <f t="shared" ref="B706:G706" si="269">B704*4/100</f>
        <v>#VALUE!</v>
      </c>
      <c r="C706" s="3649" t="e">
        <f t="shared" si="269"/>
        <v>#DIV/0!</v>
      </c>
      <c r="D706" s="3649" t="e">
        <f t="shared" si="269"/>
        <v>#DIV/0!</v>
      </c>
      <c r="E706" s="3649" t="e">
        <f t="shared" si="269"/>
        <v>#DIV/0!</v>
      </c>
      <c r="F706" s="3649" t="e">
        <f t="shared" si="269"/>
        <v>#DIV/0!</v>
      </c>
      <c r="G706" s="3648" t="e">
        <f t="shared" si="269"/>
        <v>#DIV/0!</v>
      </c>
    </row>
    <row r="707" spans="1:7" s="3309" customFormat="1" ht="15.75" x14ac:dyDescent="0.25">
      <c r="A707" s="3644" t="s">
        <v>6184</v>
      </c>
      <c r="B707" s="3643" t="e">
        <f t="shared" ref="B707:G707" si="270">(B704-B706)/B705</f>
        <v>#VALUE!</v>
      </c>
      <c r="C707" s="3643" t="e">
        <f t="shared" si="270"/>
        <v>#DIV/0!</v>
      </c>
      <c r="D707" s="3643" t="e">
        <f t="shared" si="270"/>
        <v>#DIV/0!</v>
      </c>
      <c r="E707" s="3643" t="e">
        <f t="shared" si="270"/>
        <v>#DIV/0!</v>
      </c>
      <c r="F707" s="3643" t="e">
        <f t="shared" si="270"/>
        <v>#DIV/0!</v>
      </c>
      <c r="G707" s="3642" t="e">
        <f t="shared" si="270"/>
        <v>#DIV/0!</v>
      </c>
    </row>
    <row r="708" spans="1:7" s="3309" customFormat="1" ht="15.75" x14ac:dyDescent="0.25">
      <c r="A708" s="3647" t="s">
        <v>6183</v>
      </c>
      <c r="B708" s="3321"/>
      <c r="C708" s="3321"/>
      <c r="D708" s="3321"/>
      <c r="E708" s="3321"/>
      <c r="F708" s="3321"/>
      <c r="G708" s="3646"/>
    </row>
    <row r="709" spans="1:7" s="3309" customFormat="1" ht="15.75" x14ac:dyDescent="0.25">
      <c r="A709" s="3645" t="s">
        <v>6182</v>
      </c>
      <c r="B709" s="3630">
        <f t="shared" ref="B709:G709" si="271">B213</f>
        <v>1000</v>
      </c>
      <c r="C709" s="3630">
        <f t="shared" si="271"/>
        <v>1000</v>
      </c>
      <c r="D709" s="3630">
        <f t="shared" si="271"/>
        <v>1000</v>
      </c>
      <c r="E709" s="3630">
        <f t="shared" si="271"/>
        <v>1000</v>
      </c>
      <c r="F709" s="3630">
        <f t="shared" si="271"/>
        <v>1000</v>
      </c>
      <c r="G709" s="3630">
        <f t="shared" si="271"/>
        <v>1000</v>
      </c>
    </row>
    <row r="710" spans="1:7" s="3309" customFormat="1" ht="15.75" x14ac:dyDescent="0.25">
      <c r="A710" s="3644" t="s">
        <v>6181</v>
      </c>
      <c r="B710" s="3321" t="e">
        <f t="shared" ref="B710:G710" si="272">B709*B562</f>
        <v>#VALUE!</v>
      </c>
      <c r="C710" s="3321" t="e">
        <f t="shared" si="272"/>
        <v>#DIV/0!</v>
      </c>
      <c r="D710" s="3321" t="e">
        <f t="shared" si="272"/>
        <v>#DIV/0!</v>
      </c>
      <c r="E710" s="3321" t="e">
        <f t="shared" si="272"/>
        <v>#DIV/0!</v>
      </c>
      <c r="F710" s="3321" t="e">
        <f t="shared" si="272"/>
        <v>#DIV/0!</v>
      </c>
      <c r="G710" s="3646" t="e">
        <f t="shared" si="272"/>
        <v>#DIV/0!</v>
      </c>
    </row>
    <row r="711" spans="1:7" s="3309" customFormat="1" ht="15.75" x14ac:dyDescent="0.25">
      <c r="A711" s="3645" t="s">
        <v>6180</v>
      </c>
      <c r="B711" s="3630">
        <f t="shared" ref="B711:G711" si="273">B218</f>
        <v>24</v>
      </c>
      <c r="C711" s="3630">
        <f t="shared" si="273"/>
        <v>24</v>
      </c>
      <c r="D711" s="3630">
        <f t="shared" si="273"/>
        <v>24</v>
      </c>
      <c r="E711" s="3630">
        <f t="shared" si="273"/>
        <v>24</v>
      </c>
      <c r="F711" s="3630">
        <f t="shared" si="273"/>
        <v>24</v>
      </c>
      <c r="G711" s="3630">
        <f t="shared" si="273"/>
        <v>24</v>
      </c>
    </row>
    <row r="712" spans="1:7" s="3309" customFormat="1" ht="15.75" x14ac:dyDescent="0.25">
      <c r="A712" s="3644" t="s">
        <v>6179</v>
      </c>
      <c r="B712" s="3643" t="e">
        <f t="shared" ref="B712:G712" si="274">B710*4/100</f>
        <v>#VALUE!</v>
      </c>
      <c r="C712" s="3643" t="e">
        <f t="shared" si="274"/>
        <v>#DIV/0!</v>
      </c>
      <c r="D712" s="3643" t="e">
        <f t="shared" si="274"/>
        <v>#DIV/0!</v>
      </c>
      <c r="E712" s="3643" t="e">
        <f t="shared" si="274"/>
        <v>#DIV/0!</v>
      </c>
      <c r="F712" s="3643" t="e">
        <f t="shared" si="274"/>
        <v>#DIV/0!</v>
      </c>
      <c r="G712" s="3642" t="e">
        <f t="shared" si="274"/>
        <v>#DIV/0!</v>
      </c>
    </row>
    <row r="713" spans="1:7" s="3309" customFormat="1" ht="15.75" x14ac:dyDescent="0.25">
      <c r="A713" s="3644" t="s">
        <v>6178</v>
      </c>
      <c r="B713" s="3643" t="e">
        <f t="shared" ref="B713:G713" si="275">(B710-B712)/B711</f>
        <v>#VALUE!</v>
      </c>
      <c r="C713" s="3643" t="e">
        <f t="shared" si="275"/>
        <v>#DIV/0!</v>
      </c>
      <c r="D713" s="3643" t="e">
        <f t="shared" si="275"/>
        <v>#DIV/0!</v>
      </c>
      <c r="E713" s="3643" t="e">
        <f t="shared" si="275"/>
        <v>#DIV/0!</v>
      </c>
      <c r="F713" s="3643" t="e">
        <f t="shared" si="275"/>
        <v>#DIV/0!</v>
      </c>
      <c r="G713" s="3642" t="e">
        <f t="shared" si="275"/>
        <v>#DIV/0!</v>
      </c>
    </row>
    <row r="714" spans="1:7" s="3309" customFormat="1" ht="15.75" x14ac:dyDescent="0.25">
      <c r="A714" s="3644" t="s">
        <v>6177</v>
      </c>
      <c r="B714" s="3643" t="e">
        <f t="shared" ref="B714:G714" si="276">B695+B701+B707+B713</f>
        <v>#VALUE!</v>
      </c>
      <c r="C714" s="3643" t="e">
        <f t="shared" si="276"/>
        <v>#DIV/0!</v>
      </c>
      <c r="D714" s="3643" t="e">
        <f t="shared" si="276"/>
        <v>#DIV/0!</v>
      </c>
      <c r="E714" s="3643" t="e">
        <f t="shared" si="276"/>
        <v>#DIV/0!</v>
      </c>
      <c r="F714" s="3643" t="e">
        <f t="shared" si="276"/>
        <v>#DIV/0!</v>
      </c>
      <c r="G714" s="3642" t="e">
        <f t="shared" si="276"/>
        <v>#DIV/0!</v>
      </c>
    </row>
    <row r="715" spans="1:7" s="3309" customFormat="1" ht="15.75" x14ac:dyDescent="0.25">
      <c r="A715" s="3644" t="s">
        <v>6176</v>
      </c>
      <c r="B715" s="3643" t="e">
        <f t="shared" ref="B715:G715" si="277">B714*1.05</f>
        <v>#VALUE!</v>
      </c>
      <c r="C715" s="3643" t="e">
        <f t="shared" si="277"/>
        <v>#DIV/0!</v>
      </c>
      <c r="D715" s="3643" t="e">
        <f t="shared" si="277"/>
        <v>#DIV/0!</v>
      </c>
      <c r="E715" s="3643" t="e">
        <f t="shared" si="277"/>
        <v>#DIV/0!</v>
      </c>
      <c r="F715" s="3643" t="e">
        <f t="shared" si="277"/>
        <v>#DIV/0!</v>
      </c>
      <c r="G715" s="3642" t="e">
        <f t="shared" si="277"/>
        <v>#DIV/0!</v>
      </c>
    </row>
    <row r="716" spans="1:7" s="3309" customFormat="1" ht="15.75" x14ac:dyDescent="0.25">
      <c r="A716" s="3641" t="s">
        <v>6175</v>
      </c>
      <c r="B716" s="3640" t="e">
        <f t="shared" ref="B716:G716" si="278">B715/(B146*B148)</f>
        <v>#VALUE!</v>
      </c>
      <c r="C716" s="3640" t="e">
        <f t="shared" si="278"/>
        <v>#DIV/0!</v>
      </c>
      <c r="D716" s="3640" t="e">
        <f t="shared" si="278"/>
        <v>#DIV/0!</v>
      </c>
      <c r="E716" s="3640" t="e">
        <f t="shared" si="278"/>
        <v>#DIV/0!</v>
      </c>
      <c r="F716" s="3640" t="e">
        <f t="shared" si="278"/>
        <v>#DIV/0!</v>
      </c>
      <c r="G716" s="3639" t="e">
        <f t="shared" si="278"/>
        <v>#DIV/0!</v>
      </c>
    </row>
    <row r="717" spans="1:7" s="3309" customFormat="1" ht="15" thickBot="1" x14ac:dyDescent="0.25">
      <c r="A717" s="3638" t="s">
        <v>6174</v>
      </c>
      <c r="B717" s="3637" t="e">
        <f t="shared" ref="B717:G717" si="279">B687+B716</f>
        <v>#VALUE!</v>
      </c>
      <c r="C717" s="3637" t="e">
        <f t="shared" si="279"/>
        <v>#DIV/0!</v>
      </c>
      <c r="D717" s="3637" t="e">
        <f t="shared" si="279"/>
        <v>#DIV/0!</v>
      </c>
      <c r="E717" s="3637" t="e">
        <f t="shared" si="279"/>
        <v>#DIV/0!</v>
      </c>
      <c r="F717" s="3637" t="e">
        <f t="shared" si="279"/>
        <v>#DIV/0!</v>
      </c>
      <c r="G717" s="3636" t="e">
        <f t="shared" si="279"/>
        <v>#DIV/0!</v>
      </c>
    </row>
    <row r="718" spans="1:7" s="3309" customFormat="1" x14ac:dyDescent="0.2"/>
    <row r="719" spans="1:7" s="3309" customFormat="1" ht="16.5" thickBot="1" x14ac:dyDescent="0.3">
      <c r="A719" s="3635"/>
    </row>
    <row r="720" spans="1:7" s="3309" customFormat="1" ht="14.25" customHeight="1" x14ac:dyDescent="0.25">
      <c r="A720" s="3634" t="s">
        <v>6173</v>
      </c>
      <c r="B720" s="3633" t="e">
        <f t="shared" ref="B720:G720" si="280">B721+B722+B723+B724</f>
        <v>#VALUE!</v>
      </c>
      <c r="C720" s="3633" t="e">
        <f t="shared" si="280"/>
        <v>#DIV/0!</v>
      </c>
      <c r="D720" s="3633" t="e">
        <f t="shared" si="280"/>
        <v>#DIV/0!</v>
      </c>
      <c r="E720" s="3633" t="e">
        <f t="shared" si="280"/>
        <v>#DIV/0!</v>
      </c>
      <c r="F720" s="3633" t="e">
        <f t="shared" si="280"/>
        <v>#DIV/0!</v>
      </c>
      <c r="G720" s="3632" t="e">
        <f t="shared" si="280"/>
        <v>#DIV/0!</v>
      </c>
    </row>
    <row r="721" spans="1:7" s="3309" customFormat="1" ht="14.25" customHeight="1" x14ac:dyDescent="0.25">
      <c r="A721" s="3631" t="s">
        <v>5931</v>
      </c>
      <c r="B721" s="3630" t="e">
        <f t="shared" ref="B721:G721" si="281">(B560+B543+B545+B670)/(B146*B521)</f>
        <v>#VALUE!</v>
      </c>
      <c r="C721" s="3630" t="e">
        <f t="shared" si="281"/>
        <v>#DIV/0!</v>
      </c>
      <c r="D721" s="3630" t="e">
        <f t="shared" si="281"/>
        <v>#DIV/0!</v>
      </c>
      <c r="E721" s="3630" t="e">
        <f t="shared" si="281"/>
        <v>#DIV/0!</v>
      </c>
      <c r="F721" s="3630" t="e">
        <f t="shared" si="281"/>
        <v>#DIV/0!</v>
      </c>
      <c r="G721" s="3630" t="e">
        <f t="shared" si="281"/>
        <v>#DIV/0!</v>
      </c>
    </row>
    <row r="722" spans="1:7" s="3309" customFormat="1" ht="14.25" customHeight="1" x14ac:dyDescent="0.25">
      <c r="A722" s="3631" t="s">
        <v>1162</v>
      </c>
      <c r="B722" s="3630" t="e">
        <f t="shared" ref="B722:G722" si="282">B687+B603+B717</f>
        <v>#VALUE!</v>
      </c>
      <c r="C722" s="3630" t="e">
        <f t="shared" si="282"/>
        <v>#DIV/0!</v>
      </c>
      <c r="D722" s="3630" t="e">
        <f t="shared" si="282"/>
        <v>#DIV/0!</v>
      </c>
      <c r="E722" s="3630" t="e">
        <f t="shared" si="282"/>
        <v>#DIV/0!</v>
      </c>
      <c r="F722" s="3630" t="e">
        <f t="shared" si="282"/>
        <v>#DIV/0!</v>
      </c>
      <c r="G722" s="3630" t="e">
        <f t="shared" si="282"/>
        <v>#DIV/0!</v>
      </c>
    </row>
    <row r="723" spans="1:7" s="3309" customFormat="1" ht="14.25" customHeight="1" x14ac:dyDescent="0.25">
      <c r="A723" s="3631" t="s">
        <v>5930</v>
      </c>
      <c r="B723" s="3630" t="e">
        <f t="shared" ref="B723:G723" si="283">B638</f>
        <v>#VALUE!</v>
      </c>
      <c r="C723" s="3630" t="e">
        <f t="shared" si="283"/>
        <v>#DIV/0!</v>
      </c>
      <c r="D723" s="3630" t="e">
        <f t="shared" si="283"/>
        <v>#DIV/0!</v>
      </c>
      <c r="E723" s="3630" t="e">
        <f t="shared" si="283"/>
        <v>#DIV/0!</v>
      </c>
      <c r="F723" s="3630" t="e">
        <f t="shared" si="283"/>
        <v>#DIV/0!</v>
      </c>
      <c r="G723" s="3629" t="e">
        <f t="shared" si="283"/>
        <v>#DIV/0!</v>
      </c>
    </row>
    <row r="724" spans="1:7" s="3309" customFormat="1" ht="14.25" customHeight="1" thickBot="1" x14ac:dyDescent="0.3">
      <c r="A724" s="3628" t="s">
        <v>5929</v>
      </c>
      <c r="B724" s="3627" t="e">
        <f t="shared" ref="B724:G724" si="284">B611</f>
        <v>#VALUE!</v>
      </c>
      <c r="C724" s="3627" t="e">
        <f t="shared" si="284"/>
        <v>#DIV/0!</v>
      </c>
      <c r="D724" s="3627" t="e">
        <f t="shared" si="284"/>
        <v>#DIV/0!</v>
      </c>
      <c r="E724" s="3627" t="e">
        <f t="shared" si="284"/>
        <v>#DIV/0!</v>
      </c>
      <c r="F724" s="3627" t="e">
        <f t="shared" si="284"/>
        <v>#DIV/0!</v>
      </c>
      <c r="G724" s="3626" t="e">
        <f t="shared" si="284"/>
        <v>#DIV/0!</v>
      </c>
    </row>
    <row r="725" spans="1:7" s="3309" customFormat="1" ht="14.25" customHeight="1" x14ac:dyDescent="0.2"/>
    <row r="726" spans="1:7" s="3309" customFormat="1" ht="14.25" customHeight="1" x14ac:dyDescent="0.2"/>
    <row r="727" spans="1:7" s="3309" customFormat="1" x14ac:dyDescent="0.2">
      <c r="A727" s="3314"/>
      <c r="B727" s="3314"/>
      <c r="C727" s="3314"/>
      <c r="D727" s="3314"/>
      <c r="E727" s="3314"/>
      <c r="F727" s="3314"/>
      <c r="G727" s="3314"/>
    </row>
    <row r="728" spans="1:7" s="3309" customFormat="1" ht="15.75" x14ac:dyDescent="0.25">
      <c r="A728" s="3625"/>
      <c r="B728" s="3623"/>
      <c r="C728" s="3314"/>
      <c r="D728" s="3314"/>
      <c r="E728" s="3314"/>
      <c r="F728" s="3314"/>
      <c r="G728" s="3314"/>
    </row>
    <row r="729" spans="1:7" s="3309" customFormat="1" ht="15.75" x14ac:dyDescent="0.25">
      <c r="A729" s="3624"/>
      <c r="B729" s="3623"/>
      <c r="C729" s="3314"/>
      <c r="D729" s="3314"/>
      <c r="E729" s="3314"/>
      <c r="F729" s="3314"/>
      <c r="G729" s="3314"/>
    </row>
    <row r="730" spans="1:7" s="3309" customFormat="1" x14ac:dyDescent="0.2">
      <c r="A730" s="3314"/>
      <c r="B730" s="3314"/>
      <c r="C730" s="3314"/>
      <c r="D730" s="3314"/>
      <c r="E730" s="3314"/>
      <c r="F730" s="3314"/>
      <c r="G730" s="3314"/>
    </row>
    <row r="731" spans="1:7" s="3309" customFormat="1" ht="18" customHeight="1" x14ac:dyDescent="0.2">
      <c r="A731" s="4768" t="s">
        <v>3742</v>
      </c>
      <c r="B731" s="4768"/>
      <c r="C731" s="4768"/>
      <c r="D731" s="4768"/>
      <c r="E731" s="4768"/>
      <c r="F731" s="4768"/>
      <c r="G731" s="4768"/>
    </row>
    <row r="732" spans="1:7" s="3309" customFormat="1" x14ac:dyDescent="0.2">
      <c r="A732" s="4768"/>
      <c r="B732" s="4768"/>
      <c r="C732" s="4768"/>
      <c r="D732" s="4768"/>
      <c r="E732" s="4768"/>
      <c r="F732" s="4768"/>
      <c r="G732" s="4768"/>
    </row>
    <row r="733" spans="1:7" s="3309" customFormat="1" ht="18" x14ac:dyDescent="0.25">
      <c r="A733" s="3622" t="s">
        <v>1413</v>
      </c>
    </row>
    <row r="734" spans="1:7" s="3309" customFormat="1" x14ac:dyDescent="0.2">
      <c r="A734" s="3578"/>
      <c r="B734" s="3577"/>
      <c r="C734" s="3576"/>
      <c r="D734" s="3576"/>
      <c r="E734" s="3576"/>
      <c r="F734" s="3576"/>
      <c r="G734" s="3576"/>
    </row>
    <row r="735" spans="1:7" s="3309" customFormat="1" ht="13.5" customHeight="1" x14ac:dyDescent="0.2">
      <c r="A735" s="3575" t="s">
        <v>608</v>
      </c>
      <c r="B735" s="3409" t="str">
        <f t="shared" ref="B735:G735" si="285">B130</f>
        <v/>
      </c>
      <c r="C735" s="3409">
        <f t="shared" si="285"/>
        <v>0</v>
      </c>
      <c r="D735" s="3409">
        <f t="shared" si="285"/>
        <v>0</v>
      </c>
      <c r="E735" s="3409">
        <f t="shared" si="285"/>
        <v>0</v>
      </c>
      <c r="F735" s="3409">
        <f t="shared" si="285"/>
        <v>0</v>
      </c>
      <c r="G735" s="3409">
        <f t="shared" si="285"/>
        <v>0</v>
      </c>
    </row>
    <row r="736" spans="1:7" s="3309" customFormat="1" x14ac:dyDescent="0.2">
      <c r="A736" s="3575" t="s">
        <v>1398</v>
      </c>
      <c r="B736" s="3409" t="b">
        <f t="shared" ref="B736:G736" si="286">B149</f>
        <v>0</v>
      </c>
      <c r="C736" s="3409">
        <f t="shared" si="286"/>
        <v>0</v>
      </c>
      <c r="D736" s="3409">
        <f t="shared" si="286"/>
        <v>0</v>
      </c>
      <c r="E736" s="3409">
        <f t="shared" si="286"/>
        <v>0</v>
      </c>
      <c r="F736" s="3409">
        <f t="shared" si="286"/>
        <v>0</v>
      </c>
      <c r="G736" s="3409">
        <f t="shared" si="286"/>
        <v>0</v>
      </c>
    </row>
    <row r="737" spans="1:8" s="3309" customFormat="1" x14ac:dyDescent="0.2">
      <c r="A737" s="3575" t="s">
        <v>5304</v>
      </c>
      <c r="B737" s="3409">
        <f t="shared" ref="B737:G737" si="287">B170</f>
        <v>3</v>
      </c>
      <c r="C737" s="3409">
        <f t="shared" si="287"/>
        <v>0</v>
      </c>
      <c r="D737" s="3409">
        <f t="shared" si="287"/>
        <v>0</v>
      </c>
      <c r="E737" s="3409">
        <f t="shared" si="287"/>
        <v>0</v>
      </c>
      <c r="F737" s="3409">
        <f t="shared" si="287"/>
        <v>0</v>
      </c>
      <c r="G737" s="3409">
        <f t="shared" si="287"/>
        <v>0</v>
      </c>
    </row>
    <row r="738" spans="1:8" s="3309" customFormat="1" x14ac:dyDescent="0.2">
      <c r="A738" s="3575" t="s">
        <v>6172</v>
      </c>
      <c r="B738" s="3409">
        <f t="shared" ref="B738:G738" si="288">B153</f>
        <v>0</v>
      </c>
      <c r="C738" s="3409">
        <f t="shared" si="288"/>
        <v>0</v>
      </c>
      <c r="D738" s="3409">
        <f t="shared" si="288"/>
        <v>0</v>
      </c>
      <c r="E738" s="3409">
        <f t="shared" si="288"/>
        <v>0</v>
      </c>
      <c r="F738" s="3409">
        <f t="shared" si="288"/>
        <v>0</v>
      </c>
      <c r="G738" s="3409">
        <f t="shared" si="288"/>
        <v>0</v>
      </c>
    </row>
    <row r="739" spans="1:8" s="3309" customFormat="1" x14ac:dyDescent="0.2">
      <c r="A739" s="3575" t="s">
        <v>1399</v>
      </c>
      <c r="B739" s="3409">
        <f t="shared" ref="B739:G739" si="289">B155</f>
        <v>0</v>
      </c>
      <c r="C739" s="3409">
        <f t="shared" si="289"/>
        <v>0</v>
      </c>
      <c r="D739" s="3409">
        <f t="shared" si="289"/>
        <v>0</v>
      </c>
      <c r="E739" s="3409">
        <f t="shared" si="289"/>
        <v>0</v>
      </c>
      <c r="F739" s="3409">
        <f t="shared" si="289"/>
        <v>0</v>
      </c>
      <c r="G739" s="3409">
        <f t="shared" si="289"/>
        <v>0</v>
      </c>
    </row>
    <row r="740" spans="1:8" s="3309" customFormat="1" x14ac:dyDescent="0.2">
      <c r="A740" s="3621" t="str">
        <f>IF(B739&lt;B737-B738,"Задана недостаточная длина ниши!","")</f>
        <v>Задана недостаточная длина ниши!</v>
      </c>
      <c r="H740" s="3489"/>
    </row>
    <row r="741" spans="1:8" s="3309" customFormat="1" x14ac:dyDescent="0.2">
      <c r="A741" s="3575" t="s">
        <v>6171</v>
      </c>
      <c r="B741" s="3409">
        <f t="shared" ref="B741:G741" si="290">B171</f>
        <v>3</v>
      </c>
      <c r="C741" s="3409">
        <f t="shared" si="290"/>
        <v>0</v>
      </c>
      <c r="D741" s="3409">
        <f t="shared" si="290"/>
        <v>0</v>
      </c>
      <c r="E741" s="3409">
        <f t="shared" si="290"/>
        <v>0</v>
      </c>
      <c r="F741" s="3409">
        <f t="shared" si="290"/>
        <v>0</v>
      </c>
      <c r="G741" s="3409">
        <f t="shared" si="290"/>
        <v>0</v>
      </c>
    </row>
    <row r="742" spans="1:8" s="3309" customFormat="1" x14ac:dyDescent="0.2">
      <c r="A742" s="3575" t="s">
        <v>6170</v>
      </c>
      <c r="B742" s="3409">
        <f t="shared" ref="B742:G742" si="291">B154</f>
        <v>0</v>
      </c>
      <c r="C742" s="3409">
        <f t="shared" si="291"/>
        <v>0</v>
      </c>
      <c r="D742" s="3409">
        <f t="shared" si="291"/>
        <v>0</v>
      </c>
      <c r="E742" s="3409">
        <f t="shared" si="291"/>
        <v>0</v>
      </c>
      <c r="F742" s="3409">
        <f t="shared" si="291"/>
        <v>0</v>
      </c>
      <c r="G742" s="3409">
        <f t="shared" si="291"/>
        <v>0</v>
      </c>
      <c r="H742" s="3353"/>
    </row>
    <row r="743" spans="1:8" s="3309" customFormat="1" x14ac:dyDescent="0.2">
      <c r="A743" s="3575" t="s">
        <v>6169</v>
      </c>
      <c r="B743" s="3409">
        <f t="shared" ref="B743:G743" si="292">B156</f>
        <v>0</v>
      </c>
      <c r="C743" s="3409">
        <f t="shared" si="292"/>
        <v>0</v>
      </c>
      <c r="D743" s="3409">
        <f t="shared" si="292"/>
        <v>0</v>
      </c>
      <c r="E743" s="3409">
        <f t="shared" si="292"/>
        <v>0</v>
      </c>
      <c r="F743" s="3409">
        <f t="shared" si="292"/>
        <v>0</v>
      </c>
      <c r="G743" s="3409">
        <f t="shared" si="292"/>
        <v>0</v>
      </c>
      <c r="H743" s="3353"/>
    </row>
    <row r="744" spans="1:8" s="3309" customFormat="1" x14ac:dyDescent="0.2">
      <c r="A744" s="3621" t="str">
        <f>IF(B743&lt;B741-B742,"Задана недостаточная длина ниши!","")</f>
        <v>Задана недостаточная длина ниши!</v>
      </c>
      <c r="H744" s="3353"/>
    </row>
    <row r="745" spans="1:8" s="3309" customFormat="1" x14ac:dyDescent="0.2">
      <c r="A745" s="3574" t="s">
        <v>6152</v>
      </c>
      <c r="B745" s="3409">
        <f t="shared" ref="B745:G745" si="293">B145</f>
        <v>0</v>
      </c>
      <c r="C745" s="3409">
        <f t="shared" si="293"/>
        <v>0</v>
      </c>
      <c r="D745" s="3409">
        <f t="shared" si="293"/>
        <v>0</v>
      </c>
      <c r="E745" s="3409">
        <f t="shared" si="293"/>
        <v>0</v>
      </c>
      <c r="F745" s="3409">
        <f t="shared" si="293"/>
        <v>0</v>
      </c>
      <c r="G745" s="3409">
        <f t="shared" si="293"/>
        <v>0</v>
      </c>
      <c r="H745" s="3353"/>
    </row>
    <row r="746" spans="1:8" s="3309" customFormat="1" x14ac:dyDescent="0.2">
      <c r="A746" s="3574" t="s">
        <v>3716</v>
      </c>
      <c r="B746" s="3409" t="str">
        <f t="shared" ref="B746:G746" si="294">B133</f>
        <v/>
      </c>
      <c r="C746" s="3409">
        <f t="shared" si="294"/>
        <v>0</v>
      </c>
      <c r="D746" s="3409">
        <f t="shared" si="294"/>
        <v>0</v>
      </c>
      <c r="E746" s="3409">
        <f t="shared" si="294"/>
        <v>0</v>
      </c>
      <c r="F746" s="3409">
        <f t="shared" si="294"/>
        <v>0</v>
      </c>
      <c r="G746" s="3409">
        <f t="shared" si="294"/>
        <v>0</v>
      </c>
      <c r="H746" s="3353"/>
    </row>
    <row r="747" spans="1:8" s="3309" customFormat="1" x14ac:dyDescent="0.2">
      <c r="A747" s="3574" t="s">
        <v>6153</v>
      </c>
      <c r="B747" s="3409" t="e">
        <f t="shared" ref="B747:G748" si="295">B146</f>
        <v>#VALUE!</v>
      </c>
      <c r="C747" s="3409">
        <f t="shared" si="295"/>
        <v>0</v>
      </c>
      <c r="D747" s="3409">
        <f t="shared" si="295"/>
        <v>0</v>
      </c>
      <c r="E747" s="3409">
        <f t="shared" si="295"/>
        <v>0</v>
      </c>
      <c r="F747" s="3409">
        <f t="shared" si="295"/>
        <v>0</v>
      </c>
      <c r="G747" s="3409">
        <f t="shared" si="295"/>
        <v>0</v>
      </c>
      <c r="H747" s="3353"/>
    </row>
    <row r="748" spans="1:8" s="3309" customFormat="1" x14ac:dyDescent="0.2">
      <c r="A748" s="3574" t="s">
        <v>1029</v>
      </c>
      <c r="B748" s="3409">
        <f t="shared" si="295"/>
        <v>0.98</v>
      </c>
      <c r="C748" s="3409">
        <f t="shared" si="295"/>
        <v>0</v>
      </c>
      <c r="D748" s="3409">
        <f t="shared" si="295"/>
        <v>0</v>
      </c>
      <c r="E748" s="3409">
        <f t="shared" si="295"/>
        <v>0</v>
      </c>
      <c r="F748" s="3409">
        <f t="shared" si="295"/>
        <v>0</v>
      </c>
      <c r="G748" s="3409">
        <f t="shared" si="295"/>
        <v>0</v>
      </c>
      <c r="H748" s="3353"/>
    </row>
    <row r="749" spans="1:8" s="3309" customFormat="1" x14ac:dyDescent="0.2">
      <c r="A749" s="3567" t="s">
        <v>3162</v>
      </c>
      <c r="B749" s="3409" t="e">
        <f t="shared" ref="B749:G749" si="296">B129</f>
        <v>#VALUE!</v>
      </c>
      <c r="C749" s="3409">
        <f t="shared" si="296"/>
        <v>0</v>
      </c>
      <c r="D749" s="3409">
        <f t="shared" si="296"/>
        <v>0</v>
      </c>
      <c r="E749" s="3409">
        <f t="shared" si="296"/>
        <v>0</v>
      </c>
      <c r="F749" s="3409">
        <f t="shared" si="296"/>
        <v>0</v>
      </c>
      <c r="G749" s="3409">
        <f t="shared" si="296"/>
        <v>0</v>
      </c>
      <c r="H749" s="3353"/>
    </row>
    <row r="750" spans="1:8" s="3309" customFormat="1" x14ac:dyDescent="0.2">
      <c r="A750" s="3575" t="s">
        <v>1082</v>
      </c>
      <c r="B750" s="3409" t="str">
        <f t="shared" ref="B750:G750" si="297">B132</f>
        <v/>
      </c>
      <c r="C750" s="3409">
        <f t="shared" si="297"/>
        <v>0</v>
      </c>
      <c r="D750" s="3409">
        <f t="shared" si="297"/>
        <v>0</v>
      </c>
      <c r="E750" s="3409">
        <f t="shared" si="297"/>
        <v>0</v>
      </c>
      <c r="F750" s="3409">
        <f t="shared" si="297"/>
        <v>0</v>
      </c>
      <c r="G750" s="3409">
        <f t="shared" si="297"/>
        <v>0</v>
      </c>
      <c r="H750" s="3353"/>
    </row>
    <row r="751" spans="1:8" s="3309" customFormat="1" x14ac:dyDescent="0.2">
      <c r="A751" s="3574" t="s">
        <v>1505</v>
      </c>
      <c r="B751" s="3409">
        <f t="shared" ref="B751:G751" si="298">B148</f>
        <v>0</v>
      </c>
      <c r="C751" s="3409">
        <f t="shared" si="298"/>
        <v>0</v>
      </c>
      <c r="D751" s="3409">
        <f t="shared" si="298"/>
        <v>0</v>
      </c>
      <c r="E751" s="3409">
        <f t="shared" si="298"/>
        <v>0</v>
      </c>
      <c r="F751" s="3409">
        <f t="shared" si="298"/>
        <v>0</v>
      </c>
      <c r="G751" s="3409">
        <f t="shared" si="298"/>
        <v>0</v>
      </c>
      <c r="H751" s="3353"/>
    </row>
    <row r="752" spans="1:8" s="3309" customFormat="1" x14ac:dyDescent="0.2">
      <c r="A752" s="3574" t="s">
        <v>1026</v>
      </c>
      <c r="B752" s="3409">
        <f t="shared" ref="B752:G752" si="299">B142</f>
        <v>5</v>
      </c>
      <c r="C752" s="3409">
        <f t="shared" si="299"/>
        <v>0</v>
      </c>
      <c r="D752" s="3409">
        <f t="shared" si="299"/>
        <v>0</v>
      </c>
      <c r="E752" s="3409">
        <f t="shared" si="299"/>
        <v>0</v>
      </c>
      <c r="F752" s="3409">
        <f t="shared" si="299"/>
        <v>0</v>
      </c>
      <c r="G752" s="3409">
        <f t="shared" si="299"/>
        <v>0</v>
      </c>
      <c r="H752" s="3353"/>
    </row>
    <row r="753" spans="1:30" s="3309" customFormat="1" x14ac:dyDescent="0.2">
      <c r="A753" s="3574" t="s">
        <v>3263</v>
      </c>
      <c r="B753" s="3409">
        <f t="shared" ref="B753:G753" si="300">B164</f>
        <v>0</v>
      </c>
      <c r="C753" s="3409">
        <f t="shared" si="300"/>
        <v>0</v>
      </c>
      <c r="D753" s="3409">
        <f t="shared" si="300"/>
        <v>0</v>
      </c>
      <c r="E753" s="3409">
        <f t="shared" si="300"/>
        <v>0</v>
      </c>
      <c r="F753" s="3409">
        <f t="shared" si="300"/>
        <v>0</v>
      </c>
      <c r="G753" s="3409">
        <f t="shared" si="300"/>
        <v>0</v>
      </c>
      <c r="H753" s="3353"/>
    </row>
    <row r="754" spans="1:30" s="3309" customFormat="1" ht="25.5" x14ac:dyDescent="0.2">
      <c r="A754" s="3574" t="s">
        <v>6155</v>
      </c>
      <c r="B754" s="3409" t="e">
        <f t="shared" ref="B754:G754" si="301">B144+B131</f>
        <v>#VALUE!</v>
      </c>
      <c r="C754" s="3409">
        <f t="shared" si="301"/>
        <v>0</v>
      </c>
      <c r="D754" s="3409">
        <f t="shared" si="301"/>
        <v>0</v>
      </c>
      <c r="E754" s="3409">
        <f t="shared" si="301"/>
        <v>0</v>
      </c>
      <c r="F754" s="3409">
        <f t="shared" si="301"/>
        <v>0</v>
      </c>
      <c r="G754" s="3409">
        <f t="shared" si="301"/>
        <v>0</v>
      </c>
      <c r="H754" s="3353"/>
    </row>
    <row r="755" spans="1:30" s="3309" customFormat="1" ht="20.25" customHeight="1" x14ac:dyDescent="0.2">
      <c r="A755" s="3574" t="s">
        <v>6168</v>
      </c>
      <c r="B755" s="3409">
        <f t="shared" ref="B755:G755" si="302">B355</f>
        <v>1</v>
      </c>
      <c r="C755" s="3409">
        <f t="shared" si="302"/>
        <v>0</v>
      </c>
      <c r="D755" s="3409">
        <f t="shared" si="302"/>
        <v>0</v>
      </c>
      <c r="E755" s="3409">
        <f t="shared" si="302"/>
        <v>0</v>
      </c>
      <c r="F755" s="3409">
        <f t="shared" si="302"/>
        <v>0</v>
      </c>
      <c r="G755" s="3409">
        <f t="shared" si="302"/>
        <v>0</v>
      </c>
      <c r="H755" s="3353"/>
    </row>
    <row r="756" spans="1:30" s="3309" customFormat="1" ht="25.5" x14ac:dyDescent="0.2">
      <c r="A756" s="3574" t="s">
        <v>1025</v>
      </c>
      <c r="B756" s="3409" t="str">
        <f t="shared" ref="B756:G756" si="303">B137</f>
        <v/>
      </c>
      <c r="C756" s="3409">
        <f t="shared" si="303"/>
        <v>0</v>
      </c>
      <c r="D756" s="3409">
        <f t="shared" si="303"/>
        <v>0</v>
      </c>
      <c r="E756" s="3409">
        <f t="shared" si="303"/>
        <v>0</v>
      </c>
      <c r="F756" s="3409">
        <f t="shared" si="303"/>
        <v>0</v>
      </c>
      <c r="G756" s="3409">
        <f t="shared" si="303"/>
        <v>0</v>
      </c>
      <c r="H756" s="3353"/>
    </row>
    <row r="757" spans="1:30" s="3309" customFormat="1" x14ac:dyDescent="0.2">
      <c r="A757" s="3569" t="s">
        <v>6146</v>
      </c>
      <c r="B757" s="3409" t="str">
        <f t="shared" ref="B757:G757" si="304">B134</f>
        <v/>
      </c>
      <c r="C757" s="3409">
        <f t="shared" si="304"/>
        <v>0</v>
      </c>
      <c r="D757" s="3409">
        <f t="shared" si="304"/>
        <v>0</v>
      </c>
      <c r="E757" s="3409">
        <f t="shared" si="304"/>
        <v>0</v>
      </c>
      <c r="F757" s="3409">
        <f t="shared" si="304"/>
        <v>0</v>
      </c>
      <c r="G757" s="3409">
        <f t="shared" si="304"/>
        <v>0</v>
      </c>
      <c r="H757" s="3353"/>
    </row>
    <row r="758" spans="1:30" s="3309" customFormat="1" ht="51" x14ac:dyDescent="0.2">
      <c r="A758" s="3567" t="s">
        <v>252</v>
      </c>
      <c r="B758" s="3409">
        <f t="shared" ref="B758:G758" si="305">B141</f>
        <v>3</v>
      </c>
      <c r="C758" s="3409">
        <f t="shared" si="305"/>
        <v>0</v>
      </c>
      <c r="D758" s="3409">
        <f t="shared" si="305"/>
        <v>0</v>
      </c>
      <c r="E758" s="3409">
        <f t="shared" si="305"/>
        <v>0</v>
      </c>
      <c r="F758" s="3409">
        <f t="shared" si="305"/>
        <v>0</v>
      </c>
      <c r="G758" s="3409">
        <f t="shared" si="305"/>
        <v>0</v>
      </c>
      <c r="H758" s="3353"/>
    </row>
    <row r="759" spans="1:30" s="3309" customFormat="1" ht="51" x14ac:dyDescent="0.2">
      <c r="A759" s="3567" t="s">
        <v>253</v>
      </c>
      <c r="B759" s="3409" t="str">
        <f t="shared" ref="B759:G759" si="306">B140</f>
        <v/>
      </c>
      <c r="C759" s="3409">
        <f t="shared" si="306"/>
        <v>0</v>
      </c>
      <c r="D759" s="3409">
        <f t="shared" si="306"/>
        <v>0</v>
      </c>
      <c r="E759" s="3409">
        <f t="shared" si="306"/>
        <v>0</v>
      </c>
      <c r="F759" s="3409">
        <f t="shared" si="306"/>
        <v>0</v>
      </c>
      <c r="G759" s="3409">
        <f t="shared" si="306"/>
        <v>0</v>
      </c>
      <c r="H759" s="3353"/>
    </row>
    <row r="760" spans="1:30" s="3309" customFormat="1" x14ac:dyDescent="0.2">
      <c r="A760" s="3567" t="s">
        <v>1000</v>
      </c>
      <c r="B760" s="3409" t="str">
        <f t="shared" ref="B760:G760" si="307">B144</f>
        <v/>
      </c>
      <c r="C760" s="3409">
        <f t="shared" si="307"/>
        <v>0</v>
      </c>
      <c r="D760" s="3409">
        <f t="shared" si="307"/>
        <v>0</v>
      </c>
      <c r="E760" s="3409">
        <f t="shared" si="307"/>
        <v>0</v>
      </c>
      <c r="F760" s="3409">
        <f t="shared" si="307"/>
        <v>0</v>
      </c>
      <c r="G760" s="3409">
        <f t="shared" si="307"/>
        <v>0</v>
      </c>
      <c r="H760" s="3353"/>
    </row>
    <row r="761" spans="1:30" s="3309" customFormat="1" x14ac:dyDescent="0.2">
      <c r="A761" s="3574" t="s">
        <v>5251</v>
      </c>
      <c r="B761" s="3409">
        <f t="shared" ref="B761:G761" si="308">B166</f>
        <v>1</v>
      </c>
      <c r="C761" s="3409">
        <f t="shared" si="308"/>
        <v>0</v>
      </c>
      <c r="D761" s="3409">
        <f t="shared" si="308"/>
        <v>0</v>
      </c>
      <c r="E761" s="3409">
        <f t="shared" si="308"/>
        <v>0</v>
      </c>
      <c r="F761" s="3409">
        <f t="shared" si="308"/>
        <v>0</v>
      </c>
      <c r="G761" s="3409">
        <f t="shared" si="308"/>
        <v>0</v>
      </c>
      <c r="H761" s="3353"/>
    </row>
    <row r="762" spans="1:30" s="3309" customFormat="1" ht="25.5" x14ac:dyDescent="0.2">
      <c r="A762" s="3574" t="s">
        <v>2532</v>
      </c>
      <c r="B762" s="3409" t="b">
        <f t="shared" ref="B762:G762" si="309">B357</f>
        <v>0</v>
      </c>
      <c r="C762" s="3409">
        <f t="shared" si="309"/>
        <v>0</v>
      </c>
      <c r="D762" s="3409">
        <f t="shared" si="309"/>
        <v>0</v>
      </c>
      <c r="E762" s="3409">
        <f t="shared" si="309"/>
        <v>0</v>
      </c>
      <c r="F762" s="3409">
        <f t="shared" si="309"/>
        <v>0</v>
      </c>
      <c r="G762" s="3409">
        <f t="shared" si="309"/>
        <v>0</v>
      </c>
      <c r="H762" s="3353"/>
    </row>
    <row r="763" spans="1:30" s="3309" customFormat="1" ht="25.5" x14ac:dyDescent="0.2">
      <c r="A763" s="3574" t="s">
        <v>6157</v>
      </c>
      <c r="B763" s="3409">
        <f t="shared" ref="B763:G763" si="310">B356</f>
        <v>1</v>
      </c>
      <c r="C763" s="3409">
        <f t="shared" si="310"/>
        <v>0</v>
      </c>
      <c r="D763" s="3409">
        <f t="shared" si="310"/>
        <v>0</v>
      </c>
      <c r="E763" s="3409">
        <f t="shared" si="310"/>
        <v>0</v>
      </c>
      <c r="F763" s="3409">
        <f t="shared" si="310"/>
        <v>0</v>
      </c>
      <c r="G763" s="3409">
        <f t="shared" si="310"/>
        <v>0</v>
      </c>
      <c r="H763" s="3353"/>
    </row>
    <row r="764" spans="1:30" s="3309" customFormat="1" x14ac:dyDescent="0.2">
      <c r="A764" s="3574" t="s">
        <v>2667</v>
      </c>
      <c r="B764" s="3554">
        <f t="shared" ref="B764:G766" si="311">B172</f>
        <v>2.2000000000000002</v>
      </c>
      <c r="C764" s="3554">
        <f t="shared" si="311"/>
        <v>0</v>
      </c>
      <c r="D764" s="3554">
        <f t="shared" si="311"/>
        <v>0</v>
      </c>
      <c r="E764" s="3554">
        <f t="shared" si="311"/>
        <v>0</v>
      </c>
      <c r="F764" s="3554">
        <f t="shared" si="311"/>
        <v>0</v>
      </c>
      <c r="G764" s="3554">
        <f t="shared" si="311"/>
        <v>0</v>
      </c>
      <c r="H764" s="3353"/>
    </row>
    <row r="765" spans="1:30" s="3309" customFormat="1" x14ac:dyDescent="0.2">
      <c r="A765" s="3574" t="s">
        <v>2668</v>
      </c>
      <c r="B765" s="3409">
        <f t="shared" si="311"/>
        <v>0.7</v>
      </c>
      <c r="C765" s="3409">
        <f t="shared" si="311"/>
        <v>0</v>
      </c>
      <c r="D765" s="3409">
        <f t="shared" si="311"/>
        <v>0</v>
      </c>
      <c r="E765" s="3409">
        <f t="shared" si="311"/>
        <v>0</v>
      </c>
      <c r="F765" s="3409">
        <f t="shared" si="311"/>
        <v>0</v>
      </c>
      <c r="G765" s="3409">
        <f t="shared" si="311"/>
        <v>0</v>
      </c>
      <c r="H765" s="3353"/>
      <c r="Z765" s="3568"/>
      <c r="AA765" s="3568"/>
      <c r="AB765" s="3568"/>
      <c r="AC765" s="3568"/>
      <c r="AD765" s="3568"/>
    </row>
    <row r="766" spans="1:30" s="3309" customFormat="1" ht="25.5" x14ac:dyDescent="0.2">
      <c r="A766" s="3574" t="s">
        <v>5569</v>
      </c>
      <c r="B766" s="3428">
        <f t="shared" si="311"/>
        <v>1</v>
      </c>
      <c r="C766" s="3428">
        <f t="shared" si="311"/>
        <v>0</v>
      </c>
      <c r="D766" s="3428">
        <f t="shared" si="311"/>
        <v>0</v>
      </c>
      <c r="E766" s="3428">
        <f t="shared" si="311"/>
        <v>0</v>
      </c>
      <c r="F766" s="3428">
        <f t="shared" si="311"/>
        <v>0</v>
      </c>
      <c r="G766" s="3428">
        <f t="shared" si="311"/>
        <v>0</v>
      </c>
      <c r="H766" s="3353"/>
      <c r="Z766" s="3568"/>
      <c r="AA766" s="3568"/>
      <c r="AB766" s="3568"/>
      <c r="AC766" s="3568"/>
      <c r="AD766" s="3568"/>
    </row>
    <row r="767" spans="1:30" s="3309" customFormat="1" x14ac:dyDescent="0.2">
      <c r="A767" s="3571" t="s">
        <v>6150</v>
      </c>
      <c r="B767" s="3409" t="b">
        <f t="shared" ref="B767:G767" si="312">B358</f>
        <v>0</v>
      </c>
      <c r="C767" s="3409">
        <f t="shared" si="312"/>
        <v>0</v>
      </c>
      <c r="D767" s="3409">
        <f t="shared" si="312"/>
        <v>0</v>
      </c>
      <c r="E767" s="3409">
        <f t="shared" si="312"/>
        <v>0</v>
      </c>
      <c r="F767" s="3409">
        <f t="shared" si="312"/>
        <v>0</v>
      </c>
      <c r="G767" s="3409">
        <f t="shared" si="312"/>
        <v>0</v>
      </c>
      <c r="H767" s="3353"/>
      <c r="Z767" s="3568"/>
      <c r="AA767" s="3568"/>
      <c r="AB767" s="3568"/>
      <c r="AC767" s="3568"/>
      <c r="AD767" s="3568"/>
    </row>
    <row r="768" spans="1:30" s="3309" customFormat="1" x14ac:dyDescent="0.2">
      <c r="A768" s="3570" t="s">
        <v>6147</v>
      </c>
      <c r="B768" s="3409">
        <f t="shared" ref="B768:G768" si="313">B237</f>
        <v>1</v>
      </c>
      <c r="C768" s="3409">
        <f t="shared" si="313"/>
        <v>0</v>
      </c>
      <c r="D768" s="3409">
        <f t="shared" si="313"/>
        <v>0</v>
      </c>
      <c r="E768" s="3409">
        <f t="shared" si="313"/>
        <v>0</v>
      </c>
      <c r="F768" s="3409">
        <f t="shared" si="313"/>
        <v>0</v>
      </c>
      <c r="G768" s="3409">
        <f t="shared" si="313"/>
        <v>0</v>
      </c>
      <c r="H768" s="3353"/>
      <c r="Z768" s="3568"/>
      <c r="AA768" s="3568"/>
      <c r="AB768" s="3568"/>
      <c r="AC768" s="3568"/>
      <c r="AD768" s="3568"/>
    </row>
    <row r="769" spans="1:30" s="3309" customFormat="1" ht="25.5" x14ac:dyDescent="0.2">
      <c r="A769" s="3570" t="s">
        <v>6167</v>
      </c>
      <c r="B769" s="3409">
        <f t="shared" ref="B769:G769" si="314">B246</f>
        <v>2</v>
      </c>
      <c r="C769" s="3409">
        <f t="shared" si="314"/>
        <v>0</v>
      </c>
      <c r="D769" s="3409">
        <f t="shared" si="314"/>
        <v>0</v>
      </c>
      <c r="E769" s="3409">
        <f t="shared" si="314"/>
        <v>0</v>
      </c>
      <c r="F769" s="3409">
        <f t="shared" si="314"/>
        <v>0</v>
      </c>
      <c r="G769" s="3409">
        <f t="shared" si="314"/>
        <v>0</v>
      </c>
      <c r="H769" s="3353"/>
      <c r="Z769" s="3568"/>
      <c r="AA769" s="3568"/>
      <c r="AB769" s="3568"/>
      <c r="AC769" s="3568"/>
      <c r="AD769" s="3568"/>
    </row>
    <row r="770" spans="1:30" s="3309" customFormat="1" ht="25.5" x14ac:dyDescent="0.2">
      <c r="A770" s="3570" t="s">
        <v>530</v>
      </c>
      <c r="B770" s="3409">
        <f t="shared" ref="B770:G771" si="315">B157</f>
        <v>0.8</v>
      </c>
      <c r="C770" s="3409">
        <f t="shared" si="315"/>
        <v>0</v>
      </c>
      <c r="D770" s="3409">
        <f t="shared" si="315"/>
        <v>0</v>
      </c>
      <c r="E770" s="3409">
        <f t="shared" si="315"/>
        <v>0</v>
      </c>
      <c r="F770" s="3409">
        <f t="shared" si="315"/>
        <v>0</v>
      </c>
      <c r="G770" s="3409">
        <f t="shared" si="315"/>
        <v>0</v>
      </c>
      <c r="H770" s="3353"/>
      <c r="Z770" s="3568"/>
      <c r="AA770" s="3568"/>
      <c r="AB770" s="3568"/>
      <c r="AC770" s="3568"/>
      <c r="AD770" s="3568"/>
    </row>
    <row r="771" spans="1:30" s="3309" customFormat="1" ht="31.5" x14ac:dyDescent="0.25">
      <c r="A771" s="3566" t="s">
        <v>4626</v>
      </c>
      <c r="B771" s="3565">
        <f t="shared" si="315"/>
        <v>0.8</v>
      </c>
      <c r="C771" s="3565">
        <f t="shared" si="315"/>
        <v>0</v>
      </c>
      <c r="D771" s="3565">
        <f t="shared" si="315"/>
        <v>0</v>
      </c>
      <c r="E771" s="3565">
        <f t="shared" si="315"/>
        <v>0</v>
      </c>
      <c r="F771" s="3565">
        <f t="shared" si="315"/>
        <v>0</v>
      </c>
      <c r="G771" s="3565">
        <f t="shared" si="315"/>
        <v>0</v>
      </c>
      <c r="H771" s="3353"/>
      <c r="Z771" s="3568"/>
      <c r="AA771" s="3568"/>
      <c r="AB771" s="3568"/>
      <c r="AC771" s="3568"/>
      <c r="AD771" s="3568"/>
    </row>
    <row r="772" spans="1:30" s="3309" customFormat="1" ht="31.5" x14ac:dyDescent="0.25">
      <c r="A772" s="3566" t="s">
        <v>1501</v>
      </c>
      <c r="B772" s="3565" t="e">
        <f t="shared" ref="B772:G773" si="316">B151</f>
        <v>#VALUE!</v>
      </c>
      <c r="C772" s="3565">
        <f t="shared" si="316"/>
        <v>0</v>
      </c>
      <c r="D772" s="3565">
        <f t="shared" si="316"/>
        <v>0</v>
      </c>
      <c r="E772" s="3565">
        <f t="shared" si="316"/>
        <v>0</v>
      </c>
      <c r="F772" s="3565">
        <f t="shared" si="316"/>
        <v>0</v>
      </c>
      <c r="G772" s="3565">
        <f t="shared" si="316"/>
        <v>0</v>
      </c>
      <c r="H772" s="3353"/>
      <c r="Z772" s="3568"/>
      <c r="AA772" s="3568"/>
      <c r="AB772" s="3568"/>
      <c r="AC772" s="3568"/>
      <c r="AD772" s="3568"/>
    </row>
    <row r="773" spans="1:30" s="3309" customFormat="1" ht="31.5" x14ac:dyDescent="0.25">
      <c r="A773" s="3566" t="s">
        <v>1502</v>
      </c>
      <c r="B773" s="3565" t="e">
        <f t="shared" si="316"/>
        <v>#VALUE!</v>
      </c>
      <c r="C773" s="3565">
        <f t="shared" si="316"/>
        <v>0</v>
      </c>
      <c r="D773" s="3565">
        <f t="shared" si="316"/>
        <v>0</v>
      </c>
      <c r="E773" s="3565">
        <f t="shared" si="316"/>
        <v>0</v>
      </c>
      <c r="F773" s="3565">
        <f t="shared" si="316"/>
        <v>0</v>
      </c>
      <c r="G773" s="3565">
        <f t="shared" si="316"/>
        <v>0</v>
      </c>
      <c r="H773" s="3353"/>
      <c r="Z773" s="4769"/>
      <c r="AA773" s="4769"/>
      <c r="AB773" s="4769"/>
      <c r="AC773" s="4769"/>
      <c r="AD773" s="4769"/>
    </row>
    <row r="774" spans="1:30" s="3309" customFormat="1" ht="15.75" x14ac:dyDescent="0.25">
      <c r="A774" s="3566" t="s">
        <v>565</v>
      </c>
      <c r="B774" s="3565">
        <f t="shared" ref="B774:G775" si="317">B159</f>
        <v>0</v>
      </c>
      <c r="C774" s="3565">
        <f t="shared" si="317"/>
        <v>0</v>
      </c>
      <c r="D774" s="3565">
        <f t="shared" si="317"/>
        <v>0</v>
      </c>
      <c r="E774" s="3565">
        <f t="shared" si="317"/>
        <v>0</v>
      </c>
      <c r="F774" s="3565">
        <f t="shared" si="317"/>
        <v>0</v>
      </c>
      <c r="G774" s="3565">
        <f t="shared" si="317"/>
        <v>0</v>
      </c>
      <c r="H774" s="3353"/>
      <c r="Z774" s="3339"/>
      <c r="AA774" s="3339"/>
      <c r="AB774" s="3339"/>
      <c r="AC774" s="3339"/>
      <c r="AD774" s="3339"/>
    </row>
    <row r="775" spans="1:30" s="3309" customFormat="1" ht="15.75" x14ac:dyDescent="0.25">
      <c r="A775" s="3566" t="s">
        <v>2005</v>
      </c>
      <c r="B775" s="3565">
        <f t="shared" si="317"/>
        <v>0</v>
      </c>
      <c r="C775" s="3565">
        <f t="shared" si="317"/>
        <v>0</v>
      </c>
      <c r="D775" s="3565">
        <f t="shared" si="317"/>
        <v>0</v>
      </c>
      <c r="E775" s="3565">
        <f t="shared" si="317"/>
        <v>0</v>
      </c>
      <c r="F775" s="3565">
        <f t="shared" si="317"/>
        <v>0</v>
      </c>
      <c r="G775" s="3565">
        <f t="shared" si="317"/>
        <v>0</v>
      </c>
      <c r="H775" s="3467"/>
      <c r="Z775" s="3338"/>
      <c r="AA775" s="3338"/>
      <c r="AB775" s="3338"/>
      <c r="AC775" s="3338"/>
      <c r="AD775" s="3338"/>
    </row>
    <row r="776" spans="1:30" s="3309" customFormat="1" x14ac:dyDescent="0.2">
      <c r="H776" s="3353"/>
      <c r="Z776" s="3338"/>
      <c r="AA776" s="3338"/>
      <c r="AB776" s="3338"/>
      <c r="AC776" s="3338"/>
      <c r="AD776" s="3338"/>
    </row>
    <row r="777" spans="1:30" s="3309" customFormat="1" x14ac:dyDescent="0.2">
      <c r="H777" s="3353"/>
      <c r="Z777" s="3338"/>
      <c r="AA777" s="3338"/>
      <c r="AB777" s="3338"/>
      <c r="AC777" s="3338"/>
      <c r="AD777" s="3338"/>
    </row>
    <row r="778" spans="1:30" s="3309" customFormat="1" x14ac:dyDescent="0.2">
      <c r="H778" s="3353"/>
      <c r="Z778" s="3338"/>
      <c r="AA778" s="3338"/>
      <c r="AB778" s="3338"/>
      <c r="AC778" s="3338"/>
      <c r="AD778" s="3338"/>
    </row>
    <row r="779" spans="1:30" s="3309" customFormat="1" x14ac:dyDescent="0.2">
      <c r="A779" s="3489"/>
      <c r="B779" s="3489"/>
      <c r="C779" s="3489"/>
      <c r="D779" s="3489"/>
      <c r="E779" s="3489"/>
      <c r="F779" s="3489"/>
      <c r="G779" s="3489"/>
      <c r="H779" s="3353"/>
      <c r="Z779" s="3338"/>
      <c r="AA779" s="3338"/>
      <c r="AB779" s="3338"/>
      <c r="AC779" s="3338"/>
      <c r="AD779" s="3338"/>
    </row>
    <row r="780" spans="1:30" s="3309" customFormat="1" x14ac:dyDescent="0.2">
      <c r="A780" s="3620" t="s">
        <v>254</v>
      </c>
      <c r="B780" s="3436">
        <f t="shared" ref="B780:G780" si="318">IF(B761=1,0,3)</f>
        <v>0</v>
      </c>
      <c r="C780" s="3436">
        <f t="shared" si="318"/>
        <v>3</v>
      </c>
      <c r="D780" s="3436">
        <f t="shared" si="318"/>
        <v>3</v>
      </c>
      <c r="E780" s="3436">
        <f t="shared" si="318"/>
        <v>3</v>
      </c>
      <c r="F780" s="3436">
        <f t="shared" si="318"/>
        <v>3</v>
      </c>
      <c r="G780" s="3436">
        <f t="shared" si="318"/>
        <v>3</v>
      </c>
      <c r="H780" s="3353"/>
      <c r="Z780" s="3338"/>
      <c r="AA780" s="3338"/>
      <c r="AB780" s="3338"/>
      <c r="AC780" s="3338"/>
      <c r="AD780" s="3338"/>
    </row>
    <row r="781" spans="1:30" s="3309" customFormat="1" x14ac:dyDescent="0.2">
      <c r="A781" s="3619" t="s">
        <v>4438</v>
      </c>
      <c r="B781" s="3365"/>
      <c r="C781" s="3365"/>
      <c r="D781" s="3365"/>
      <c r="E781" s="3365"/>
      <c r="F781" s="3365"/>
      <c r="G781" s="3365"/>
      <c r="H781" s="3353"/>
      <c r="Z781" s="3338"/>
      <c r="AA781" s="3338"/>
      <c r="AB781" s="3338"/>
      <c r="AC781" s="3338"/>
      <c r="AD781" s="3338"/>
    </row>
    <row r="782" spans="1:30" s="3309" customFormat="1" x14ac:dyDescent="0.2">
      <c r="A782" s="3534" t="s">
        <v>255</v>
      </c>
      <c r="B782" s="3380" t="e">
        <f t="shared" ref="B782:G782" si="319">IF(B735&lt;=1,INDEX($Q$2916:$Q$2919,B759),INDEX($R$2916:$R$2919,B759))</f>
        <v>#VALUE!</v>
      </c>
      <c r="C782" s="3380" t="e">
        <f t="shared" si="319"/>
        <v>#VALUE!</v>
      </c>
      <c r="D782" s="3380" t="e">
        <f t="shared" si="319"/>
        <v>#VALUE!</v>
      </c>
      <c r="E782" s="3380" t="e">
        <f t="shared" si="319"/>
        <v>#VALUE!</v>
      </c>
      <c r="F782" s="3380" t="e">
        <f t="shared" si="319"/>
        <v>#VALUE!</v>
      </c>
      <c r="G782" s="3380" t="e">
        <f t="shared" si="319"/>
        <v>#VALUE!</v>
      </c>
      <c r="H782" s="3353"/>
      <c r="Z782" s="3338"/>
      <c r="AA782" s="3338"/>
      <c r="AB782" s="3338"/>
      <c r="AC782" s="3338"/>
      <c r="AD782" s="3338"/>
    </row>
    <row r="783" spans="1:30" s="3309" customFormat="1" x14ac:dyDescent="0.2">
      <c r="A783" s="3365" t="s">
        <v>4331</v>
      </c>
      <c r="B783" s="3380">
        <f t="shared" ref="B783:G783" si="320">INDEX($Q$2922:$Q$2925,B758)</f>
        <v>0.9</v>
      </c>
      <c r="C783" s="3380" t="e">
        <f t="shared" si="320"/>
        <v>#VALUE!</v>
      </c>
      <c r="D783" s="3380" t="e">
        <f t="shared" si="320"/>
        <v>#VALUE!</v>
      </c>
      <c r="E783" s="3380" t="e">
        <f t="shared" si="320"/>
        <v>#VALUE!</v>
      </c>
      <c r="F783" s="3380" t="e">
        <f t="shared" si="320"/>
        <v>#VALUE!</v>
      </c>
      <c r="G783" s="3380" t="e">
        <f t="shared" si="320"/>
        <v>#VALUE!</v>
      </c>
      <c r="H783" s="3353"/>
      <c r="Z783" s="3338"/>
      <c r="AA783" s="3338"/>
      <c r="AB783" s="3338"/>
      <c r="AC783" s="3338"/>
      <c r="AD783" s="3338"/>
    </row>
    <row r="784" spans="1:30" s="3309" customFormat="1" x14ac:dyDescent="0.2">
      <c r="A784" s="3365" t="s">
        <v>4332</v>
      </c>
      <c r="B784" s="3380" t="e">
        <f t="shared" ref="B784:G784" si="321">IF(B749&lt;700,1,IF(B749&lt;901,0.95,IF(B749&lt;1051,0.9,IF(B749&lt;1200,0.85,0.8))))</f>
        <v>#VALUE!</v>
      </c>
      <c r="C784" s="3380">
        <f t="shared" si="321"/>
        <v>1</v>
      </c>
      <c r="D784" s="3380">
        <f t="shared" si="321"/>
        <v>1</v>
      </c>
      <c r="E784" s="3380">
        <f t="shared" si="321"/>
        <v>1</v>
      </c>
      <c r="F784" s="3380">
        <f t="shared" si="321"/>
        <v>1</v>
      </c>
      <c r="G784" s="3380">
        <f t="shared" si="321"/>
        <v>1</v>
      </c>
      <c r="H784" s="3353"/>
      <c r="Z784" s="3338"/>
      <c r="AA784" s="3338"/>
      <c r="AB784" s="3338"/>
      <c r="AC784" s="3338"/>
      <c r="AD784" s="3338"/>
    </row>
    <row r="785" spans="1:30" s="3309" customFormat="1" x14ac:dyDescent="0.2">
      <c r="A785" s="3365" t="s">
        <v>4333</v>
      </c>
      <c r="B785" s="3380">
        <f t="shared" ref="B785:G785" si="322">IF(B746&lt;1.26,0.9,IF(B746&lt;1.33,0.95,IF(B746&lt;1.4,1,IF(B746&lt;1.47,1.05,IF(B746&lt;1.53,1.1,B786)))))</f>
        <v>1.35</v>
      </c>
      <c r="C785" s="3380">
        <f t="shared" si="322"/>
        <v>0.9</v>
      </c>
      <c r="D785" s="3380">
        <f t="shared" si="322"/>
        <v>0.9</v>
      </c>
      <c r="E785" s="3380">
        <f t="shared" si="322"/>
        <v>0.9</v>
      </c>
      <c r="F785" s="3380">
        <f t="shared" si="322"/>
        <v>0.9</v>
      </c>
      <c r="G785" s="3380">
        <f t="shared" si="322"/>
        <v>0.9</v>
      </c>
      <c r="H785" s="3353"/>
      <c r="Z785" s="3338"/>
      <c r="AA785" s="3338"/>
      <c r="AB785" s="3338"/>
      <c r="AC785" s="3338"/>
      <c r="AD785" s="3338"/>
    </row>
    <row r="786" spans="1:30" s="3309" customFormat="1" x14ac:dyDescent="0.2">
      <c r="A786" s="3365" t="s">
        <v>256</v>
      </c>
      <c r="B786" s="3380">
        <f t="shared" ref="B786:G786" si="323">IF(B746&lt;1.61,1.15,IF(B746&lt;1.66,1.2,IF(B746&lt;1.75,1.25,IF(B746&lt;1.79,1.3,1.35))))</f>
        <v>1.35</v>
      </c>
      <c r="C786" s="3380">
        <f t="shared" si="323"/>
        <v>1.1499999999999999</v>
      </c>
      <c r="D786" s="3380">
        <f t="shared" si="323"/>
        <v>1.1499999999999999</v>
      </c>
      <c r="E786" s="3380">
        <f t="shared" si="323"/>
        <v>1.1499999999999999</v>
      </c>
      <c r="F786" s="3380">
        <f t="shared" si="323"/>
        <v>1.1499999999999999</v>
      </c>
      <c r="G786" s="3380">
        <f t="shared" si="323"/>
        <v>1.1499999999999999</v>
      </c>
      <c r="H786" s="3353"/>
      <c r="Z786" s="3338"/>
      <c r="AA786" s="3338"/>
      <c r="AB786" s="3338"/>
      <c r="AC786" s="3338"/>
      <c r="AD786" s="3338"/>
    </row>
    <row r="787" spans="1:30" s="3309" customFormat="1" x14ac:dyDescent="0.2">
      <c r="A787" s="3365" t="s">
        <v>962</v>
      </c>
      <c r="B787" s="3380">
        <f t="shared" ref="B787:G787" si="324">IF(B780&lt;9,0.99-0.02*B780,0.8)</f>
        <v>0.99</v>
      </c>
      <c r="C787" s="3380">
        <f t="shared" si="324"/>
        <v>0.92999999999999994</v>
      </c>
      <c r="D787" s="3380">
        <f t="shared" si="324"/>
        <v>0.92999999999999994</v>
      </c>
      <c r="E787" s="3380">
        <f t="shared" si="324"/>
        <v>0.92999999999999994</v>
      </c>
      <c r="F787" s="3380">
        <f t="shared" si="324"/>
        <v>0.92999999999999994</v>
      </c>
      <c r="G787" s="3380">
        <f t="shared" si="324"/>
        <v>0.92999999999999994</v>
      </c>
      <c r="H787" s="3489"/>
      <c r="Z787" s="3338"/>
      <c r="AA787" s="3338"/>
      <c r="AB787" s="3338"/>
      <c r="AC787" s="3338"/>
      <c r="AD787" s="3338"/>
    </row>
    <row r="788" spans="1:30" s="3309" customFormat="1" x14ac:dyDescent="0.2">
      <c r="A788" s="3618" t="s">
        <v>3059</v>
      </c>
      <c r="B788" s="3579" t="e">
        <f t="shared" ref="B788:G788" si="325">B782*B783*B784*B785*B787</f>
        <v>#VALUE!</v>
      </c>
      <c r="C788" s="3579" t="e">
        <f t="shared" si="325"/>
        <v>#VALUE!</v>
      </c>
      <c r="D788" s="3579" t="e">
        <f t="shared" si="325"/>
        <v>#VALUE!</v>
      </c>
      <c r="E788" s="3579" t="e">
        <f t="shared" si="325"/>
        <v>#VALUE!</v>
      </c>
      <c r="F788" s="3579" t="e">
        <f t="shared" si="325"/>
        <v>#VALUE!</v>
      </c>
      <c r="G788" s="3579" t="e">
        <f t="shared" si="325"/>
        <v>#VALUE!</v>
      </c>
      <c r="Z788" s="3338"/>
      <c r="AA788" s="3338"/>
      <c r="AB788" s="3338"/>
      <c r="AC788" s="3338"/>
      <c r="AD788" s="3338"/>
    </row>
    <row r="789" spans="1:30" s="3309" customFormat="1" x14ac:dyDescent="0.2">
      <c r="A789" s="3564" t="s">
        <v>1838</v>
      </c>
      <c r="B789" s="3436" t="e">
        <f t="shared" ref="B789:G789" si="326">B788</f>
        <v>#VALUE!</v>
      </c>
      <c r="C789" s="3436" t="e">
        <f t="shared" si="326"/>
        <v>#VALUE!</v>
      </c>
      <c r="D789" s="3436" t="e">
        <f t="shared" si="326"/>
        <v>#VALUE!</v>
      </c>
      <c r="E789" s="3436" t="e">
        <f t="shared" si="326"/>
        <v>#VALUE!</v>
      </c>
      <c r="F789" s="3436" t="e">
        <f t="shared" si="326"/>
        <v>#VALUE!</v>
      </c>
      <c r="G789" s="3436" t="e">
        <f t="shared" si="326"/>
        <v>#VALUE!</v>
      </c>
      <c r="Z789" s="3338"/>
      <c r="AA789" s="3338"/>
      <c r="AB789" s="3338"/>
      <c r="AC789" s="3338"/>
      <c r="AD789" s="3338"/>
    </row>
    <row r="790" spans="1:30" s="3309" customFormat="1" ht="20.25" x14ac:dyDescent="0.3">
      <c r="A790" s="3617"/>
      <c r="Z790" s="3338"/>
      <c r="AA790" s="3338"/>
      <c r="AB790" s="3338"/>
      <c r="AC790" s="3338"/>
      <c r="AD790" s="3338"/>
    </row>
    <row r="791" spans="1:30" s="3309" customFormat="1" x14ac:dyDescent="0.2">
      <c r="A791" s="3563" t="s">
        <v>6166</v>
      </c>
      <c r="B791" s="3353"/>
      <c r="C791" s="3353"/>
      <c r="D791" s="3353"/>
      <c r="E791" s="3353"/>
      <c r="F791" s="3353"/>
      <c r="G791" s="3353"/>
      <c r="Z791" s="3338"/>
      <c r="AA791" s="3338"/>
      <c r="AB791" s="3338"/>
      <c r="AC791" s="3338"/>
      <c r="AD791" s="3338"/>
    </row>
    <row r="792" spans="1:30" s="3309" customFormat="1" ht="25.5" x14ac:dyDescent="0.2">
      <c r="A792" s="3459" t="s">
        <v>4145</v>
      </c>
      <c r="B792" s="3562">
        <f>IF(B737-B738&lt;=0,0,CEILING((B737-B738)/B763+1,1))</f>
        <v>4</v>
      </c>
      <c r="C792" s="3562"/>
      <c r="D792" s="3562"/>
      <c r="E792" s="3562"/>
      <c r="F792" s="3562"/>
      <c r="G792" s="3562"/>
      <c r="Z792" s="3338"/>
      <c r="AA792" s="3338"/>
      <c r="AB792" s="3338"/>
      <c r="AC792" s="3338"/>
      <c r="AD792" s="3338"/>
    </row>
    <row r="793" spans="1:30" s="3309" customFormat="1" ht="25.5" x14ac:dyDescent="0.2">
      <c r="A793" s="3459" t="s">
        <v>4146</v>
      </c>
      <c r="B793" s="3411">
        <f t="shared" ref="B793" si="327">CEILING((B739-B737+B738)/B763,1)</f>
        <v>-3</v>
      </c>
      <c r="C793" s="3411"/>
      <c r="D793" s="3411"/>
      <c r="E793" s="3411"/>
      <c r="F793" s="3411"/>
      <c r="G793" s="3411"/>
      <c r="Z793" s="3338"/>
      <c r="AA793" s="3338"/>
      <c r="AB793" s="3338"/>
      <c r="AC793" s="3338"/>
      <c r="AD793" s="3338"/>
    </row>
    <row r="794" spans="1:30" s="3309" customFormat="1" ht="25.5" x14ac:dyDescent="0.2">
      <c r="A794" s="3542" t="s">
        <v>4147</v>
      </c>
      <c r="B794" s="3408">
        <f t="shared" ref="B794:B795" si="328">B764+0.1</f>
        <v>2.3000000000000003</v>
      </c>
      <c r="C794" s="3408"/>
      <c r="D794" s="3408"/>
      <c r="E794" s="3408"/>
      <c r="F794" s="3408"/>
      <c r="G794" s="3408"/>
      <c r="Z794" s="3338"/>
      <c r="AA794" s="3338"/>
      <c r="AB794" s="3338"/>
      <c r="AC794" s="3338"/>
      <c r="AD794" s="3338"/>
    </row>
    <row r="795" spans="1:30" s="3309" customFormat="1" ht="25.5" x14ac:dyDescent="0.2">
      <c r="A795" s="3459" t="s">
        <v>4148</v>
      </c>
      <c r="B795" s="3411">
        <f t="shared" si="328"/>
        <v>0.79999999999999993</v>
      </c>
      <c r="C795" s="3411"/>
      <c r="D795" s="3411"/>
      <c r="E795" s="3411"/>
      <c r="F795" s="3411"/>
      <c r="G795" s="3411"/>
      <c r="Z795" s="3338"/>
      <c r="AA795" s="3338"/>
      <c r="AB795" s="3338"/>
      <c r="AC795" s="3338"/>
      <c r="AD795" s="3338"/>
    </row>
    <row r="796" spans="1:30" s="3309" customFormat="1" x14ac:dyDescent="0.2">
      <c r="A796" s="3459"/>
      <c r="B796" s="3411"/>
      <c r="C796" s="3412"/>
      <c r="D796" s="3412"/>
      <c r="E796" s="3412"/>
      <c r="F796" s="3412"/>
      <c r="G796" s="3412"/>
      <c r="Z796" s="3338"/>
      <c r="AA796" s="3338"/>
      <c r="AB796" s="3338"/>
      <c r="AC796" s="3338"/>
      <c r="AD796" s="3338"/>
    </row>
    <row r="797" spans="1:30" s="3309" customFormat="1" ht="25.5" x14ac:dyDescent="0.2">
      <c r="A797" s="3377" t="s">
        <v>4149</v>
      </c>
      <c r="B797" s="3561"/>
      <c r="C797" s="3511"/>
      <c r="D797" s="3511"/>
      <c r="E797" s="3511"/>
      <c r="F797" s="3511"/>
      <c r="G797" s="3511"/>
    </row>
    <row r="798" spans="1:30" s="3309" customFormat="1" x14ac:dyDescent="0.2">
      <c r="A798" s="3377" t="s">
        <v>4150</v>
      </c>
      <c r="B798" s="3561"/>
      <c r="C798" s="3511"/>
      <c r="D798" s="3511"/>
      <c r="E798" s="3511"/>
      <c r="F798" s="3511"/>
      <c r="G798" s="3511"/>
    </row>
    <row r="799" spans="1:30" s="3309" customFormat="1" x14ac:dyDescent="0.2">
      <c r="A799" s="3409" t="s">
        <v>211</v>
      </c>
      <c r="B799" s="3409">
        <f t="shared" ref="B799:G799" si="329">B176</f>
        <v>4</v>
      </c>
      <c r="C799" s="3409">
        <f t="shared" si="329"/>
        <v>0</v>
      </c>
      <c r="D799" s="3409">
        <f t="shared" si="329"/>
        <v>0</v>
      </c>
      <c r="E799" s="3409">
        <f t="shared" si="329"/>
        <v>0</v>
      </c>
      <c r="F799" s="3409">
        <f t="shared" si="329"/>
        <v>0</v>
      </c>
      <c r="G799" s="3409">
        <f t="shared" si="329"/>
        <v>0</v>
      </c>
      <c r="H799" s="3353"/>
    </row>
    <row r="800" spans="1:30" s="3309" customFormat="1" ht="25.5" x14ac:dyDescent="0.2">
      <c r="A800" s="3542" t="s">
        <v>6145</v>
      </c>
      <c r="B800" s="3412"/>
      <c r="C800" s="3412"/>
      <c r="D800" s="3412"/>
      <c r="E800" s="3412"/>
      <c r="F800" s="3412"/>
      <c r="G800" s="3412"/>
      <c r="H800" s="3353"/>
    </row>
    <row r="801" spans="1:38" s="3309" customFormat="1" x14ac:dyDescent="0.2">
      <c r="A801" s="3542" t="s">
        <v>4152</v>
      </c>
      <c r="B801" s="3468">
        <f t="shared" ref="B801:G801" si="330">(B736/(B799-B794))*B792</f>
        <v>0</v>
      </c>
      <c r="C801" s="3468" t="e">
        <f t="shared" si="330"/>
        <v>#DIV/0!</v>
      </c>
      <c r="D801" s="3468" t="e">
        <f t="shared" si="330"/>
        <v>#DIV/0!</v>
      </c>
      <c r="E801" s="3468" t="e">
        <f t="shared" si="330"/>
        <v>#DIV/0!</v>
      </c>
      <c r="F801" s="3468" t="e">
        <f t="shared" si="330"/>
        <v>#DIV/0!</v>
      </c>
      <c r="G801" s="3468" t="e">
        <f t="shared" si="330"/>
        <v>#DIV/0!</v>
      </c>
      <c r="H801" s="3353"/>
    </row>
    <row r="802" spans="1:38" s="3309" customFormat="1" x14ac:dyDescent="0.2">
      <c r="A802" s="3542" t="s">
        <v>2048</v>
      </c>
      <c r="B802" s="3406" t="e">
        <f t="shared" ref="B802:G802" si="331">INDEX($B$3061:$E$3070,B805,B807)</f>
        <v>#VALUE!</v>
      </c>
      <c r="C802" s="3406" t="e">
        <f t="shared" si="331"/>
        <v>#NUM!</v>
      </c>
      <c r="D802" s="3406" t="e">
        <f t="shared" si="331"/>
        <v>#NUM!</v>
      </c>
      <c r="E802" s="3406" t="e">
        <f t="shared" si="331"/>
        <v>#NUM!</v>
      </c>
      <c r="F802" s="3406" t="e">
        <f t="shared" si="331"/>
        <v>#NUM!</v>
      </c>
      <c r="G802" s="3406" t="e">
        <f t="shared" si="331"/>
        <v>#NUM!</v>
      </c>
      <c r="H802" s="3353"/>
    </row>
    <row r="803" spans="1:38" s="3309" customFormat="1" x14ac:dyDescent="0.2">
      <c r="A803" s="3412" t="s">
        <v>2049</v>
      </c>
      <c r="B803" s="3468"/>
      <c r="C803" s="3412"/>
      <c r="D803" s="3412"/>
      <c r="E803" s="3412"/>
      <c r="F803" s="3412" t="s">
        <v>955</v>
      </c>
      <c r="G803" s="3412"/>
      <c r="H803" s="3353"/>
    </row>
    <row r="804" spans="1:38" s="3309" customFormat="1" x14ac:dyDescent="0.2">
      <c r="A804" s="3411" t="s">
        <v>1318</v>
      </c>
      <c r="B804" s="3406" t="e">
        <f t="shared" ref="B804:G804" si="332">30.872*LN(B735)+31.551</f>
        <v>#VALUE!</v>
      </c>
      <c r="C804" s="3406" t="e">
        <f t="shared" si="332"/>
        <v>#NUM!</v>
      </c>
      <c r="D804" s="3406" t="e">
        <f t="shared" si="332"/>
        <v>#NUM!</v>
      </c>
      <c r="E804" s="3406" t="e">
        <f t="shared" si="332"/>
        <v>#NUM!</v>
      </c>
      <c r="F804" s="3406" t="e">
        <f t="shared" si="332"/>
        <v>#NUM!</v>
      </c>
      <c r="G804" s="3406" t="e">
        <f t="shared" si="332"/>
        <v>#NUM!</v>
      </c>
      <c r="H804" s="3353"/>
    </row>
    <row r="805" spans="1:38" s="3309" customFormat="1" x14ac:dyDescent="0.2">
      <c r="A805" s="3542" t="s">
        <v>1319</v>
      </c>
      <c r="B805" s="3550" t="e">
        <f t="shared" ref="B805:G805" si="333">IF(B804&lt;24.3,1,IF(B804&lt;28.1,2,IF(B804&lt;32.1,3,IF(B804&lt;36.3,4,IF(B804&lt;41.4,5,IF(B804&lt;46.1,6,IF(B804&lt;51.3,7,B806)))))))</f>
        <v>#VALUE!</v>
      </c>
      <c r="C805" s="3550" t="e">
        <f t="shared" si="333"/>
        <v>#NUM!</v>
      </c>
      <c r="D805" s="3550" t="e">
        <f t="shared" si="333"/>
        <v>#NUM!</v>
      </c>
      <c r="E805" s="3550" t="e">
        <f t="shared" si="333"/>
        <v>#NUM!</v>
      </c>
      <c r="F805" s="3550" t="e">
        <f t="shared" si="333"/>
        <v>#NUM!</v>
      </c>
      <c r="G805" s="3550" t="e">
        <f t="shared" si="333"/>
        <v>#NUM!</v>
      </c>
      <c r="H805" s="3353"/>
    </row>
    <row r="806" spans="1:38" s="3309" customFormat="1" x14ac:dyDescent="0.2">
      <c r="A806" s="3412" t="s">
        <v>1320</v>
      </c>
      <c r="B806" s="3550" t="e">
        <f t="shared" ref="B806:G806" si="334">IF(B804&lt;57.1,8,IF(B804&lt;63.1,9,IF(B804&lt;69.7,10,11)))</f>
        <v>#VALUE!</v>
      </c>
      <c r="C806" s="3550" t="e">
        <f t="shared" si="334"/>
        <v>#NUM!</v>
      </c>
      <c r="D806" s="3550" t="e">
        <f t="shared" si="334"/>
        <v>#NUM!</v>
      </c>
      <c r="E806" s="3550" t="e">
        <f t="shared" si="334"/>
        <v>#NUM!</v>
      </c>
      <c r="F806" s="3550" t="e">
        <f t="shared" si="334"/>
        <v>#NUM!</v>
      </c>
      <c r="G806" s="3550" t="e">
        <f t="shared" si="334"/>
        <v>#NUM!</v>
      </c>
      <c r="H806" s="3353"/>
    </row>
    <row r="807" spans="1:38" s="3309" customFormat="1" x14ac:dyDescent="0.2">
      <c r="A807" s="3542" t="s">
        <v>1321</v>
      </c>
      <c r="B807" s="3550">
        <v>4</v>
      </c>
      <c r="C807" s="3550">
        <v>4</v>
      </c>
      <c r="D807" s="3550">
        <v>4</v>
      </c>
      <c r="E807" s="3550">
        <v>4</v>
      </c>
      <c r="F807" s="3550">
        <v>4</v>
      </c>
      <c r="G807" s="3550">
        <v>4</v>
      </c>
      <c r="H807" s="3353"/>
    </row>
    <row r="808" spans="1:38" s="3309" customFormat="1" x14ac:dyDescent="0.2">
      <c r="A808" s="3542" t="s">
        <v>3391</v>
      </c>
      <c r="B808" s="3468"/>
      <c r="C808" s="3412"/>
      <c r="D808" s="3412"/>
      <c r="E808" s="3412"/>
      <c r="F808" s="3412"/>
      <c r="G808" s="3412"/>
      <c r="H808" s="3353"/>
    </row>
    <row r="809" spans="1:38" s="3309" customFormat="1" ht="27" customHeight="1" x14ac:dyDescent="0.2">
      <c r="A809" s="3542" t="s">
        <v>1323</v>
      </c>
      <c r="B809" s="3417">
        <f t="shared" ref="B809:G809" si="335">IF(B799&lt;1.26,1,IF(B799&lt;1.27,0.9,0.85))</f>
        <v>0.85</v>
      </c>
      <c r="C809" s="3417">
        <f t="shared" si="335"/>
        <v>1</v>
      </c>
      <c r="D809" s="3417">
        <f t="shared" si="335"/>
        <v>1</v>
      </c>
      <c r="E809" s="3417">
        <f t="shared" si="335"/>
        <v>1</v>
      </c>
      <c r="F809" s="3417">
        <f t="shared" si="335"/>
        <v>1</v>
      </c>
      <c r="G809" s="3417">
        <f t="shared" si="335"/>
        <v>1</v>
      </c>
      <c r="H809" s="3520"/>
    </row>
    <row r="810" spans="1:38" s="3309" customFormat="1" ht="27" customHeight="1" x14ac:dyDescent="0.2">
      <c r="A810" s="3542" t="s">
        <v>391</v>
      </c>
      <c r="B810" s="3417">
        <f t="shared" ref="B810:G810" si="336">IF(B755=0,1,1.15)</f>
        <v>1.1499999999999999</v>
      </c>
      <c r="C810" s="3417">
        <f t="shared" si="336"/>
        <v>1</v>
      </c>
      <c r="D810" s="3417">
        <f t="shared" si="336"/>
        <v>1</v>
      </c>
      <c r="E810" s="3417">
        <f t="shared" si="336"/>
        <v>1</v>
      </c>
      <c r="F810" s="3417">
        <f t="shared" si="336"/>
        <v>1</v>
      </c>
      <c r="G810" s="3417">
        <f t="shared" si="336"/>
        <v>1</v>
      </c>
      <c r="H810" s="3353"/>
    </row>
    <row r="811" spans="1:38" s="3309" customFormat="1" x14ac:dyDescent="0.2">
      <c r="A811" s="3542" t="s">
        <v>392</v>
      </c>
      <c r="B811" s="3417">
        <f t="shared" ref="B811:G811" si="337">IF(B750&lt;21,1,IF(B750&lt;31,0.9,0.8))</f>
        <v>0.8</v>
      </c>
      <c r="C811" s="3417">
        <f t="shared" si="337"/>
        <v>1</v>
      </c>
      <c r="D811" s="3417">
        <f t="shared" si="337"/>
        <v>1</v>
      </c>
      <c r="E811" s="3417">
        <f t="shared" si="337"/>
        <v>1</v>
      </c>
      <c r="F811" s="3417">
        <f t="shared" si="337"/>
        <v>1</v>
      </c>
      <c r="G811" s="3417">
        <f t="shared" si="337"/>
        <v>1</v>
      </c>
      <c r="H811" s="3353"/>
    </row>
    <row r="812" spans="1:38" s="3309" customFormat="1" x14ac:dyDescent="0.2">
      <c r="A812" s="3542" t="s">
        <v>393</v>
      </c>
      <c r="B812" s="3417">
        <f t="shared" ref="B812:G812" si="338">IF(B756&lt;2,0.85,1)</f>
        <v>1</v>
      </c>
      <c r="C812" s="3417">
        <f t="shared" si="338"/>
        <v>0.85</v>
      </c>
      <c r="D812" s="3417">
        <f t="shared" si="338"/>
        <v>0.85</v>
      </c>
      <c r="E812" s="3417">
        <f t="shared" si="338"/>
        <v>0.85</v>
      </c>
      <c r="F812" s="3417">
        <f t="shared" si="338"/>
        <v>0.85</v>
      </c>
      <c r="G812" s="3417">
        <f t="shared" si="338"/>
        <v>0.85</v>
      </c>
      <c r="H812" s="3353"/>
    </row>
    <row r="813" spans="1:38" s="3309" customFormat="1" ht="25.5" x14ac:dyDescent="0.2">
      <c r="A813" s="3528" t="s">
        <v>419</v>
      </c>
      <c r="B813" s="3417">
        <f t="shared" ref="B813:G813" si="339">IF(B799&lt;2.1,0.9,IF(B799&lt;3.1,0.85,0.8))</f>
        <v>0.8</v>
      </c>
      <c r="C813" s="3417">
        <f t="shared" si="339"/>
        <v>0.9</v>
      </c>
      <c r="D813" s="3417">
        <f t="shared" si="339"/>
        <v>0.9</v>
      </c>
      <c r="E813" s="3417">
        <f t="shared" si="339"/>
        <v>0.9</v>
      </c>
      <c r="F813" s="3417">
        <f t="shared" si="339"/>
        <v>0.9</v>
      </c>
      <c r="G813" s="3417">
        <f t="shared" si="339"/>
        <v>0.9</v>
      </c>
      <c r="H813" s="3353"/>
      <c r="AG813" s="3616"/>
      <c r="AH813" s="3616"/>
      <c r="AI813" s="3616"/>
      <c r="AJ813" s="3616"/>
      <c r="AK813" s="3616"/>
      <c r="AL813" s="3616"/>
    </row>
    <row r="814" spans="1:38" s="3309" customFormat="1" x14ac:dyDescent="0.2">
      <c r="A814" s="3542" t="s">
        <v>420</v>
      </c>
      <c r="B814" s="3615">
        <v>0.8</v>
      </c>
      <c r="C814" s="3615">
        <v>0.8</v>
      </c>
      <c r="D814" s="3615">
        <v>0.8</v>
      </c>
      <c r="E814" s="3615">
        <v>0.8</v>
      </c>
      <c r="F814" s="3615">
        <v>0.8</v>
      </c>
      <c r="G814" s="3615">
        <v>0.8</v>
      </c>
      <c r="H814" s="3353"/>
    </row>
    <row r="815" spans="1:38" s="3309" customFormat="1" x14ac:dyDescent="0.2">
      <c r="A815" s="3542" t="s">
        <v>421</v>
      </c>
      <c r="B815" s="3615">
        <v>0.7</v>
      </c>
      <c r="C815" s="3615">
        <v>0.7</v>
      </c>
      <c r="D815" s="3615">
        <v>0.7</v>
      </c>
      <c r="E815" s="3615">
        <v>0.7</v>
      </c>
      <c r="F815" s="3615">
        <v>0.7</v>
      </c>
      <c r="G815" s="3615">
        <v>0.7</v>
      </c>
      <c r="H815" s="3353"/>
    </row>
    <row r="816" spans="1:38" s="3309" customFormat="1" x14ac:dyDescent="0.2">
      <c r="A816" s="3542" t="s">
        <v>3412</v>
      </c>
      <c r="B816" s="3417" t="e">
        <f t="shared" ref="B816:G816" si="340">B802*(B809*B810*B811*B812*B814*B815*B789)</f>
        <v>#VALUE!</v>
      </c>
      <c r="C816" s="3417" t="e">
        <f t="shared" si="340"/>
        <v>#NUM!</v>
      </c>
      <c r="D816" s="3417" t="e">
        <f t="shared" si="340"/>
        <v>#NUM!</v>
      </c>
      <c r="E816" s="3417" t="e">
        <f t="shared" si="340"/>
        <v>#NUM!</v>
      </c>
      <c r="F816" s="3417" t="e">
        <f t="shared" si="340"/>
        <v>#NUM!</v>
      </c>
      <c r="G816" s="3417" t="e">
        <f t="shared" si="340"/>
        <v>#NUM!</v>
      </c>
      <c r="H816" s="3353"/>
    </row>
    <row r="817" spans="1:8" s="3309" customFormat="1" x14ac:dyDescent="0.2">
      <c r="A817" s="3541" t="s">
        <v>429</v>
      </c>
      <c r="B817" s="3514" t="e">
        <f t="shared" ref="B817:G817" si="341">B801/B816</f>
        <v>#VALUE!</v>
      </c>
      <c r="C817" s="3514" t="e">
        <f t="shared" si="341"/>
        <v>#DIV/0!</v>
      </c>
      <c r="D817" s="3514" t="e">
        <f t="shared" si="341"/>
        <v>#DIV/0!</v>
      </c>
      <c r="E817" s="3514" t="e">
        <f t="shared" si="341"/>
        <v>#DIV/0!</v>
      </c>
      <c r="F817" s="3514" t="e">
        <f t="shared" si="341"/>
        <v>#DIV/0!</v>
      </c>
      <c r="G817" s="3514" t="e">
        <f t="shared" si="341"/>
        <v>#DIV/0!</v>
      </c>
      <c r="H817" s="3353"/>
    </row>
    <row r="818" spans="1:8" s="3309" customFormat="1" x14ac:dyDescent="0.2">
      <c r="A818" s="3542"/>
      <c r="B818" s="3417"/>
      <c r="C818" s="3412"/>
      <c r="D818" s="3412"/>
      <c r="E818" s="3412"/>
      <c r="F818" s="3412"/>
      <c r="G818" s="3412"/>
      <c r="H818" s="3353"/>
    </row>
    <row r="819" spans="1:8" s="3309" customFormat="1" ht="38.25" x14ac:dyDescent="0.2">
      <c r="A819" s="3459" t="s">
        <v>6133</v>
      </c>
      <c r="B819" s="3417"/>
      <c r="C819" s="3412"/>
      <c r="D819" s="3412"/>
      <c r="E819" s="3412"/>
      <c r="F819" s="3412"/>
      <c r="G819" s="3412"/>
      <c r="H819" s="3353"/>
    </row>
    <row r="820" spans="1:8" s="3309" customFormat="1" x14ac:dyDescent="0.2">
      <c r="A820" s="3459" t="s">
        <v>424</v>
      </c>
      <c r="B820" s="3424" t="e">
        <f t="shared" ref="B820:G820" si="342">((B799/B762+1)-3)*B792</f>
        <v>#DIV/0!</v>
      </c>
      <c r="C820" s="3424" t="e">
        <f t="shared" si="342"/>
        <v>#DIV/0!</v>
      </c>
      <c r="D820" s="3424" t="e">
        <f t="shared" si="342"/>
        <v>#DIV/0!</v>
      </c>
      <c r="E820" s="3424" t="e">
        <f t="shared" si="342"/>
        <v>#DIV/0!</v>
      </c>
      <c r="F820" s="3424" t="e">
        <f t="shared" si="342"/>
        <v>#DIV/0!</v>
      </c>
      <c r="G820" s="3424" t="e">
        <f t="shared" si="342"/>
        <v>#DIV/0!</v>
      </c>
      <c r="H820" s="3353"/>
    </row>
    <row r="821" spans="1:8" s="3309" customFormat="1" x14ac:dyDescent="0.2">
      <c r="A821" s="3459" t="s">
        <v>425</v>
      </c>
      <c r="B821" s="3491" t="e">
        <f t="shared" ref="B821:G821" si="343">INDEX($B$2918:$E$2928,B822,B823)</f>
        <v>#VALUE!</v>
      </c>
      <c r="C821" s="3491" t="e">
        <f t="shared" si="343"/>
        <v>#NUM!</v>
      </c>
      <c r="D821" s="3491" t="e">
        <f t="shared" si="343"/>
        <v>#NUM!</v>
      </c>
      <c r="E821" s="3491" t="e">
        <f t="shared" si="343"/>
        <v>#NUM!</v>
      </c>
      <c r="F821" s="3491" t="e">
        <f t="shared" si="343"/>
        <v>#NUM!</v>
      </c>
      <c r="G821" s="3491" t="e">
        <f t="shared" si="343"/>
        <v>#NUM!</v>
      </c>
      <c r="H821" s="3353"/>
    </row>
    <row r="822" spans="1:8" s="3309" customFormat="1" x14ac:dyDescent="0.2">
      <c r="A822" s="3459" t="s">
        <v>426</v>
      </c>
      <c r="B822" s="3435" t="e">
        <f t="shared" ref="B822:G822" si="344">B805</f>
        <v>#VALUE!</v>
      </c>
      <c r="C822" s="3435" t="e">
        <f t="shared" si="344"/>
        <v>#NUM!</v>
      </c>
      <c r="D822" s="3435" t="e">
        <f t="shared" si="344"/>
        <v>#NUM!</v>
      </c>
      <c r="E822" s="3435" t="e">
        <f t="shared" si="344"/>
        <v>#NUM!</v>
      </c>
      <c r="F822" s="3435" t="e">
        <f t="shared" si="344"/>
        <v>#NUM!</v>
      </c>
      <c r="G822" s="3435" t="e">
        <f t="shared" si="344"/>
        <v>#NUM!</v>
      </c>
      <c r="H822" s="3353"/>
    </row>
    <row r="823" spans="1:8" s="3309" customFormat="1" x14ac:dyDescent="0.2">
      <c r="A823" s="3459" t="s">
        <v>427</v>
      </c>
      <c r="B823" s="3435">
        <v>1</v>
      </c>
      <c r="C823" s="3435">
        <v>1</v>
      </c>
      <c r="D823" s="3435">
        <v>1</v>
      </c>
      <c r="E823" s="3435">
        <v>1</v>
      </c>
      <c r="F823" s="3435">
        <v>1</v>
      </c>
      <c r="G823" s="3435">
        <v>1</v>
      </c>
      <c r="H823" s="3353"/>
    </row>
    <row r="824" spans="1:8" s="3309" customFormat="1" x14ac:dyDescent="0.2">
      <c r="A824" s="3459" t="s">
        <v>428</v>
      </c>
      <c r="B824" s="3424" t="e">
        <f t="shared" ref="B824:G824" si="345">B809*B810*B811*B812*B814*B815*B789</f>
        <v>#VALUE!</v>
      </c>
      <c r="C824" s="3424" t="e">
        <f t="shared" si="345"/>
        <v>#VALUE!</v>
      </c>
      <c r="D824" s="3424" t="e">
        <f t="shared" si="345"/>
        <v>#VALUE!</v>
      </c>
      <c r="E824" s="3424" t="e">
        <f t="shared" si="345"/>
        <v>#VALUE!</v>
      </c>
      <c r="F824" s="3424" t="e">
        <f t="shared" si="345"/>
        <v>#VALUE!</v>
      </c>
      <c r="G824" s="3424" t="e">
        <f t="shared" si="345"/>
        <v>#VALUE!</v>
      </c>
      <c r="H824" s="3353"/>
    </row>
    <row r="825" spans="1:8" s="3309" customFormat="1" x14ac:dyDescent="0.2">
      <c r="A825" s="3459" t="s">
        <v>3412</v>
      </c>
      <c r="B825" s="3424" t="e">
        <f t="shared" ref="B825:G825" si="346">B821*B824</f>
        <v>#VALUE!</v>
      </c>
      <c r="C825" s="3424" t="e">
        <f t="shared" si="346"/>
        <v>#NUM!</v>
      </c>
      <c r="D825" s="3424" t="e">
        <f t="shared" si="346"/>
        <v>#NUM!</v>
      </c>
      <c r="E825" s="3424" t="e">
        <f t="shared" si="346"/>
        <v>#NUM!</v>
      </c>
      <c r="F825" s="3424" t="e">
        <f t="shared" si="346"/>
        <v>#NUM!</v>
      </c>
      <c r="G825" s="3424" t="e">
        <f t="shared" si="346"/>
        <v>#NUM!</v>
      </c>
      <c r="H825" s="3353"/>
    </row>
    <row r="826" spans="1:8" s="3309" customFormat="1" x14ac:dyDescent="0.2">
      <c r="A826" s="3541" t="s">
        <v>429</v>
      </c>
      <c r="B826" s="3424" t="e">
        <f t="shared" ref="B826:G826" si="347">B820/B825</f>
        <v>#DIV/0!</v>
      </c>
      <c r="C826" s="3424" t="e">
        <f t="shared" si="347"/>
        <v>#DIV/0!</v>
      </c>
      <c r="D826" s="3424" t="e">
        <f t="shared" si="347"/>
        <v>#DIV/0!</v>
      </c>
      <c r="E826" s="3424" t="e">
        <f t="shared" si="347"/>
        <v>#DIV/0!</v>
      </c>
      <c r="F826" s="3424" t="e">
        <f t="shared" si="347"/>
        <v>#DIV/0!</v>
      </c>
      <c r="G826" s="3424" t="e">
        <f t="shared" si="347"/>
        <v>#DIV/0!</v>
      </c>
      <c r="H826" s="3353"/>
    </row>
    <row r="827" spans="1:8" s="3309" customFormat="1" x14ac:dyDescent="0.2">
      <c r="A827" s="3459"/>
      <c r="B827" s="3424"/>
      <c r="C827" s="3412"/>
      <c r="D827" s="3412"/>
      <c r="E827" s="3412"/>
      <c r="F827" s="3412"/>
      <c r="G827" s="3412"/>
      <c r="H827" s="3353"/>
    </row>
    <row r="828" spans="1:8" s="3309" customFormat="1" ht="43.5" customHeight="1" x14ac:dyDescent="0.2">
      <c r="A828" s="3459" t="s">
        <v>6144</v>
      </c>
      <c r="B828" s="3424"/>
      <c r="C828" s="3412"/>
      <c r="D828" s="3412"/>
      <c r="E828" s="3412"/>
      <c r="F828" s="3412"/>
      <c r="G828" s="3412"/>
      <c r="H828" s="3353"/>
    </row>
    <row r="829" spans="1:8" s="3309" customFormat="1" ht="52.5" customHeight="1" x14ac:dyDescent="0.2">
      <c r="A829" s="3459" t="s">
        <v>424</v>
      </c>
      <c r="B829" s="3424" t="e">
        <f t="shared" ref="B829:G829" si="348">(((B799-B794)/B762+1)/((B799-B794)/B736))*B792</f>
        <v>#DIV/0!</v>
      </c>
      <c r="C829" s="3424" t="e">
        <f t="shared" si="348"/>
        <v>#DIV/0!</v>
      </c>
      <c r="D829" s="3424" t="e">
        <f t="shared" si="348"/>
        <v>#DIV/0!</v>
      </c>
      <c r="E829" s="3424" t="e">
        <f t="shared" si="348"/>
        <v>#DIV/0!</v>
      </c>
      <c r="F829" s="3424" t="e">
        <f t="shared" si="348"/>
        <v>#DIV/0!</v>
      </c>
      <c r="G829" s="3424" t="e">
        <f t="shared" si="348"/>
        <v>#DIV/0!</v>
      </c>
      <c r="H829" s="3353"/>
    </row>
    <row r="830" spans="1:8" s="3309" customFormat="1" x14ac:dyDescent="0.2">
      <c r="A830" s="3459" t="s">
        <v>3390</v>
      </c>
      <c r="B830" s="3435" t="e">
        <f t="shared" ref="B830:G830" si="349">IF(B804&lt;23.1,281,IF(B804&lt;29.1,250,IF(B804&lt;36.1,224,IF(B804&lt;45.1,197,IF(B804&lt;55.1,172,IF(B804&lt;65.1,149,128))))))</f>
        <v>#VALUE!</v>
      </c>
      <c r="C830" s="3435" t="e">
        <f t="shared" si="349"/>
        <v>#NUM!</v>
      </c>
      <c r="D830" s="3435" t="e">
        <f t="shared" si="349"/>
        <v>#NUM!</v>
      </c>
      <c r="E830" s="3435" t="e">
        <f t="shared" si="349"/>
        <v>#NUM!</v>
      </c>
      <c r="F830" s="3435" t="e">
        <f t="shared" si="349"/>
        <v>#NUM!</v>
      </c>
      <c r="G830" s="3435" t="e">
        <f t="shared" si="349"/>
        <v>#NUM!</v>
      </c>
      <c r="H830" s="3353"/>
    </row>
    <row r="831" spans="1:8" s="3309" customFormat="1" x14ac:dyDescent="0.2">
      <c r="A831" s="3459" t="s">
        <v>3391</v>
      </c>
      <c r="B831" s="3424"/>
      <c r="C831" s="3412"/>
      <c r="D831" s="3412"/>
      <c r="E831" s="3412"/>
      <c r="F831" s="3412"/>
      <c r="G831" s="3412"/>
      <c r="H831" s="3353"/>
    </row>
    <row r="832" spans="1:8" s="3309" customFormat="1" x14ac:dyDescent="0.2">
      <c r="A832" s="3459" t="s">
        <v>392</v>
      </c>
      <c r="B832" s="3491">
        <f t="shared" ref="B832:G832" si="350">IF(B750&lt;21,1,IF(B750&lt;31,0.9,0.8))</f>
        <v>0.8</v>
      </c>
      <c r="C832" s="3491">
        <f t="shared" si="350"/>
        <v>1</v>
      </c>
      <c r="D832" s="3491">
        <f t="shared" si="350"/>
        <v>1</v>
      </c>
      <c r="E832" s="3491">
        <f t="shared" si="350"/>
        <v>1</v>
      </c>
      <c r="F832" s="3491">
        <f t="shared" si="350"/>
        <v>1</v>
      </c>
      <c r="G832" s="3491">
        <f t="shared" si="350"/>
        <v>1</v>
      </c>
      <c r="H832" s="3353"/>
    </row>
    <row r="833" spans="1:8" s="3309" customFormat="1" x14ac:dyDescent="0.2">
      <c r="A833" s="3459" t="s">
        <v>391</v>
      </c>
      <c r="B833" s="3491" t="e">
        <f t="shared" ref="B833:G833" si="351">IF(B754&gt;0.2,0.9,1)</f>
        <v>#VALUE!</v>
      </c>
      <c r="C833" s="3491">
        <f t="shared" si="351"/>
        <v>1</v>
      </c>
      <c r="D833" s="3491">
        <f t="shared" si="351"/>
        <v>1</v>
      </c>
      <c r="E833" s="3491">
        <f t="shared" si="351"/>
        <v>1</v>
      </c>
      <c r="F833" s="3491">
        <f t="shared" si="351"/>
        <v>1</v>
      </c>
      <c r="G833" s="3491">
        <f t="shared" si="351"/>
        <v>1</v>
      </c>
      <c r="H833" s="3353"/>
    </row>
    <row r="834" spans="1:8" s="3309" customFormat="1" ht="25.5" x14ac:dyDescent="0.2">
      <c r="A834" s="3614" t="s">
        <v>3392</v>
      </c>
      <c r="B834" s="3613">
        <v>1</v>
      </c>
      <c r="C834" s="3613">
        <v>1</v>
      </c>
      <c r="D834" s="3613">
        <v>1</v>
      </c>
      <c r="E834" s="3613">
        <v>1</v>
      </c>
      <c r="F834" s="3613">
        <v>1</v>
      </c>
      <c r="G834" s="3613">
        <v>1</v>
      </c>
      <c r="H834" s="3353"/>
    </row>
    <row r="835" spans="1:8" s="3309" customFormat="1" ht="13.5" customHeight="1" x14ac:dyDescent="0.2">
      <c r="A835" s="3459" t="s">
        <v>3393</v>
      </c>
      <c r="B835" s="3491">
        <f t="shared" ref="B835:G835" si="352">IF(B834=0,1,1.2)</f>
        <v>1.2</v>
      </c>
      <c r="C835" s="3491">
        <f t="shared" si="352"/>
        <v>1.2</v>
      </c>
      <c r="D835" s="3491">
        <f t="shared" si="352"/>
        <v>1.2</v>
      </c>
      <c r="E835" s="3491">
        <f t="shared" si="352"/>
        <v>1.2</v>
      </c>
      <c r="F835" s="3491">
        <f t="shared" si="352"/>
        <v>1.2</v>
      </c>
      <c r="G835" s="3491">
        <f t="shared" si="352"/>
        <v>1.2</v>
      </c>
      <c r="H835" s="3353"/>
    </row>
    <row r="836" spans="1:8" s="3309" customFormat="1" ht="48.75" customHeight="1" x14ac:dyDescent="0.2">
      <c r="A836" s="3614" t="s">
        <v>1892</v>
      </c>
      <c r="B836" s="3613">
        <v>0</v>
      </c>
      <c r="C836" s="3613">
        <v>0</v>
      </c>
      <c r="D836" s="3613">
        <v>0</v>
      </c>
      <c r="E836" s="3613">
        <v>0</v>
      </c>
      <c r="F836" s="3613">
        <v>0</v>
      </c>
      <c r="G836" s="3613">
        <v>0</v>
      </c>
      <c r="H836" s="3353"/>
    </row>
    <row r="837" spans="1:8" s="3309" customFormat="1" ht="20.25" customHeight="1" x14ac:dyDescent="0.2">
      <c r="A837" s="3459" t="s">
        <v>1893</v>
      </c>
      <c r="B837" s="3379">
        <f t="shared" ref="B837:G837" si="353">IF(B836=0,1.05,1)</f>
        <v>1.05</v>
      </c>
      <c r="C837" s="3379">
        <f t="shared" si="353"/>
        <v>1.05</v>
      </c>
      <c r="D837" s="3379">
        <f t="shared" si="353"/>
        <v>1.05</v>
      </c>
      <c r="E837" s="3379">
        <f t="shared" si="353"/>
        <v>1.05</v>
      </c>
      <c r="F837" s="3379">
        <f t="shared" si="353"/>
        <v>1.05</v>
      </c>
      <c r="G837" s="3379">
        <f t="shared" si="353"/>
        <v>1.05</v>
      </c>
      <c r="H837" s="3353"/>
    </row>
    <row r="838" spans="1:8" s="3309" customFormat="1" ht="20.25" customHeight="1" x14ac:dyDescent="0.2">
      <c r="A838" s="3459" t="s">
        <v>1894</v>
      </c>
      <c r="B838" s="3491" t="e">
        <f t="shared" ref="B838:G838" si="354">B830*(B832*B833*B835*B837*B789)</f>
        <v>#VALUE!</v>
      </c>
      <c r="C838" s="3491" t="e">
        <f t="shared" si="354"/>
        <v>#NUM!</v>
      </c>
      <c r="D838" s="3491" t="e">
        <f t="shared" si="354"/>
        <v>#NUM!</v>
      </c>
      <c r="E838" s="3491" t="e">
        <f t="shared" si="354"/>
        <v>#NUM!</v>
      </c>
      <c r="F838" s="3491" t="e">
        <f t="shared" si="354"/>
        <v>#NUM!</v>
      </c>
      <c r="G838" s="3491" t="e">
        <f t="shared" si="354"/>
        <v>#NUM!</v>
      </c>
      <c r="H838" s="3353"/>
    </row>
    <row r="839" spans="1:8" s="3309" customFormat="1" ht="20.25" customHeight="1" x14ac:dyDescent="0.2">
      <c r="A839" s="3416" t="s">
        <v>429</v>
      </c>
      <c r="B839" s="3424" t="e">
        <f t="shared" ref="B839:G839" si="355">B829/B838</f>
        <v>#DIV/0!</v>
      </c>
      <c r="C839" s="3424" t="e">
        <f t="shared" si="355"/>
        <v>#DIV/0!</v>
      </c>
      <c r="D839" s="3424" t="e">
        <f t="shared" si="355"/>
        <v>#DIV/0!</v>
      </c>
      <c r="E839" s="3424" t="e">
        <f t="shared" si="355"/>
        <v>#DIV/0!</v>
      </c>
      <c r="F839" s="3424" t="e">
        <f t="shared" si="355"/>
        <v>#DIV/0!</v>
      </c>
      <c r="G839" s="3424" t="e">
        <f t="shared" si="355"/>
        <v>#DIV/0!</v>
      </c>
      <c r="H839" s="3353"/>
    </row>
    <row r="840" spans="1:8" s="3309" customFormat="1" ht="20.25" customHeight="1" x14ac:dyDescent="0.2">
      <c r="A840" s="3459"/>
      <c r="B840" s="3491"/>
      <c r="C840" s="3412"/>
      <c r="D840" s="3412"/>
      <c r="E840" s="3412"/>
      <c r="F840" s="3412"/>
      <c r="G840" s="3412"/>
      <c r="H840" s="3353"/>
    </row>
    <row r="841" spans="1:8" s="3309" customFormat="1" ht="38.25" x14ac:dyDescent="0.2">
      <c r="A841" s="3459" t="s">
        <v>6143</v>
      </c>
      <c r="B841" s="3424"/>
      <c r="C841" s="3412"/>
      <c r="D841" s="3412"/>
      <c r="E841" s="3412"/>
      <c r="F841" s="3412"/>
      <c r="G841" s="3412"/>
      <c r="H841" s="3353"/>
    </row>
    <row r="842" spans="1:8" s="3309" customFormat="1" x14ac:dyDescent="0.2">
      <c r="A842" s="3459" t="s">
        <v>424</v>
      </c>
      <c r="B842" s="3424" t="e">
        <f t="shared" ref="B842:G842" si="356">(((B799-B794)/B762+1)/((B799-B794)/B736))*B792</f>
        <v>#DIV/0!</v>
      </c>
      <c r="C842" s="3424" t="e">
        <f t="shared" si="356"/>
        <v>#DIV/0!</v>
      </c>
      <c r="D842" s="3424" t="e">
        <f t="shared" si="356"/>
        <v>#DIV/0!</v>
      </c>
      <c r="E842" s="3424" t="e">
        <f t="shared" si="356"/>
        <v>#DIV/0!</v>
      </c>
      <c r="F842" s="3424" t="e">
        <f t="shared" si="356"/>
        <v>#DIV/0!</v>
      </c>
      <c r="G842" s="3424" t="e">
        <f t="shared" si="356"/>
        <v>#DIV/0!</v>
      </c>
      <c r="H842" s="3353"/>
    </row>
    <row r="843" spans="1:8" s="3309" customFormat="1" x14ac:dyDescent="0.2">
      <c r="A843" s="3459" t="s">
        <v>1718</v>
      </c>
      <c r="B843" s="3491">
        <f t="shared" ref="B843:G843" si="357">INDEX($H$2968:$K$2980,B845,B847)</f>
        <v>29.7</v>
      </c>
      <c r="C843" s="3491">
        <f t="shared" si="357"/>
        <v>168.3</v>
      </c>
      <c r="D843" s="3491">
        <f t="shared" si="357"/>
        <v>168.3</v>
      </c>
      <c r="E843" s="3491">
        <f t="shared" si="357"/>
        <v>168.3</v>
      </c>
      <c r="F843" s="3491">
        <f t="shared" si="357"/>
        <v>168.3</v>
      </c>
      <c r="G843" s="3491">
        <f t="shared" si="357"/>
        <v>168.3</v>
      </c>
      <c r="H843" s="3353"/>
    </row>
    <row r="844" spans="1:8" s="3309" customFormat="1" ht="39.75" customHeight="1" x14ac:dyDescent="0.2">
      <c r="A844" s="3528" t="s">
        <v>1719</v>
      </c>
      <c r="B844" s="3424"/>
      <c r="C844" s="3412"/>
      <c r="D844" s="3412"/>
      <c r="E844" s="3412"/>
      <c r="F844" s="3412"/>
      <c r="G844" s="3412"/>
      <c r="H844" s="3353"/>
    </row>
    <row r="845" spans="1:8" s="3309" customFormat="1" x14ac:dyDescent="0.2">
      <c r="A845" s="3459" t="s">
        <v>1720</v>
      </c>
      <c r="B845" s="3435">
        <f t="shared" ref="B845:G845" si="358">IF(B735&lt;0.51,1,IF(B735&lt;0.61,2,IF(B735&lt;0.71,3,IF(B735&lt;0.81,4,IF(B735&lt;0.91,5,IF(B735&lt;1.01,6,IF(B735&lt;1.11,7,B846)))))))</f>
        <v>13</v>
      </c>
      <c r="C845" s="3435">
        <f t="shared" si="358"/>
        <v>1</v>
      </c>
      <c r="D845" s="3435">
        <f t="shared" si="358"/>
        <v>1</v>
      </c>
      <c r="E845" s="3435">
        <f t="shared" si="358"/>
        <v>1</v>
      </c>
      <c r="F845" s="3435">
        <f t="shared" si="358"/>
        <v>1</v>
      </c>
      <c r="G845" s="3435">
        <f t="shared" si="358"/>
        <v>1</v>
      </c>
      <c r="H845" s="3353"/>
    </row>
    <row r="846" spans="1:8" s="3309" customFormat="1" ht="25.5" x14ac:dyDescent="0.2">
      <c r="A846" s="3528" t="s">
        <v>1721</v>
      </c>
      <c r="B846" s="3435">
        <f t="shared" ref="B846:G846" si="359">IF(B735&lt;1.26,8,IF(B735&lt;1.41,9,IF(B735&lt;1.61,10,IF(B735&lt;1.81,11,IF(B735&lt;2.01,12,13)))))</f>
        <v>13</v>
      </c>
      <c r="C846" s="3435">
        <f t="shared" si="359"/>
        <v>8</v>
      </c>
      <c r="D846" s="3435">
        <f t="shared" si="359"/>
        <v>8</v>
      </c>
      <c r="E846" s="3435">
        <f t="shared" si="359"/>
        <v>8</v>
      </c>
      <c r="F846" s="3435">
        <f t="shared" si="359"/>
        <v>8</v>
      </c>
      <c r="G846" s="3435">
        <f t="shared" si="359"/>
        <v>8</v>
      </c>
      <c r="H846" s="3353"/>
    </row>
    <row r="847" spans="1:8" s="3309" customFormat="1" x14ac:dyDescent="0.2">
      <c r="A847" s="3459" t="s">
        <v>1722</v>
      </c>
      <c r="B847" s="3435">
        <f t="shared" ref="B847:G847" si="360">IF(B750&lt;21,1,IF(B750&lt;36,2,IF(B750&lt;56,3,4)))</f>
        <v>4</v>
      </c>
      <c r="C847" s="3435">
        <f t="shared" si="360"/>
        <v>1</v>
      </c>
      <c r="D847" s="3435">
        <f t="shared" si="360"/>
        <v>1</v>
      </c>
      <c r="E847" s="3435">
        <f t="shared" si="360"/>
        <v>1</v>
      </c>
      <c r="F847" s="3435">
        <f t="shared" si="360"/>
        <v>1</v>
      </c>
      <c r="G847" s="3435">
        <f t="shared" si="360"/>
        <v>1</v>
      </c>
      <c r="H847" s="3353"/>
    </row>
    <row r="848" spans="1:8" s="3309" customFormat="1" x14ac:dyDescent="0.2">
      <c r="A848" s="3459" t="s">
        <v>1723</v>
      </c>
      <c r="B848" s="3424"/>
      <c r="C848" s="3412"/>
      <c r="D848" s="3412"/>
      <c r="E848" s="3412"/>
      <c r="F848" s="3412"/>
      <c r="G848" s="3412"/>
      <c r="H848" s="3353"/>
    </row>
    <row r="849" spans="1:8" s="3309" customFormat="1" ht="25.5" x14ac:dyDescent="0.2">
      <c r="A849" s="3614" t="s">
        <v>1724</v>
      </c>
      <c r="B849" s="3613">
        <v>0</v>
      </c>
      <c r="C849" s="3613">
        <v>0</v>
      </c>
      <c r="D849" s="3613">
        <v>0</v>
      </c>
      <c r="E849" s="3613">
        <v>0</v>
      </c>
      <c r="F849" s="3613">
        <v>0</v>
      </c>
      <c r="G849" s="3613">
        <v>0</v>
      </c>
      <c r="H849" s="3353"/>
    </row>
    <row r="850" spans="1:8" s="3309" customFormat="1" x14ac:dyDescent="0.2">
      <c r="A850" s="3459" t="s">
        <v>1725</v>
      </c>
      <c r="B850" s="3417">
        <f t="shared" ref="B850:G850" si="361">IF(B849=1,1.15,1)</f>
        <v>1</v>
      </c>
      <c r="C850" s="3417">
        <f t="shared" si="361"/>
        <v>1</v>
      </c>
      <c r="D850" s="3417">
        <f t="shared" si="361"/>
        <v>1</v>
      </c>
      <c r="E850" s="3417">
        <f t="shared" si="361"/>
        <v>1</v>
      </c>
      <c r="F850" s="3417">
        <f t="shared" si="361"/>
        <v>1</v>
      </c>
      <c r="G850" s="3417">
        <f t="shared" si="361"/>
        <v>1</v>
      </c>
      <c r="H850" s="3353"/>
    </row>
    <row r="851" spans="1:8" s="3309" customFormat="1" x14ac:dyDescent="0.2">
      <c r="A851" s="3614" t="s">
        <v>5573</v>
      </c>
      <c r="B851" s="3613">
        <v>0</v>
      </c>
      <c r="C851" s="3613">
        <v>0</v>
      </c>
      <c r="D851" s="3613">
        <v>0</v>
      </c>
      <c r="E851" s="3613">
        <v>0</v>
      </c>
      <c r="F851" s="3613">
        <v>0</v>
      </c>
      <c r="G851" s="3613">
        <v>0</v>
      </c>
      <c r="H851" s="3353"/>
    </row>
    <row r="852" spans="1:8" s="3309" customFormat="1" x14ac:dyDescent="0.2">
      <c r="A852" s="3459" t="s">
        <v>2636</v>
      </c>
      <c r="B852" s="3417">
        <f t="shared" ref="B852:G852" si="362">IF(B851=1,1.15,1)</f>
        <v>1</v>
      </c>
      <c r="C852" s="3417">
        <f t="shared" si="362"/>
        <v>1</v>
      </c>
      <c r="D852" s="3417">
        <f t="shared" si="362"/>
        <v>1</v>
      </c>
      <c r="E852" s="3417">
        <f t="shared" si="362"/>
        <v>1</v>
      </c>
      <c r="F852" s="3417">
        <f t="shared" si="362"/>
        <v>1</v>
      </c>
      <c r="G852" s="3417">
        <f t="shared" si="362"/>
        <v>1</v>
      </c>
      <c r="H852" s="3353"/>
    </row>
    <row r="853" spans="1:8" s="3309" customFormat="1" ht="25.5" x14ac:dyDescent="0.2">
      <c r="A853" s="3459" t="s">
        <v>2637</v>
      </c>
      <c r="B853" s="3417">
        <f>IF(B756&lt;2,0.85,1)</f>
        <v>1</v>
      </c>
      <c r="C853" s="3417">
        <f>IF(C756&lt;2,0.85,1)</f>
        <v>0.85</v>
      </c>
      <c r="D853" s="3417">
        <f>IF(D756&lt;2,0.85,1)</f>
        <v>0.85</v>
      </c>
      <c r="E853" s="3417">
        <f>IF(E756&lt;2,0.85,1)</f>
        <v>0.85</v>
      </c>
      <c r="F853" s="3417">
        <f>IF(F756&lt;2,0.85,1)</f>
        <v>0.85</v>
      </c>
      <c r="G853" s="3417">
        <v>1</v>
      </c>
      <c r="H853" s="3353"/>
    </row>
    <row r="854" spans="1:8" s="3309" customFormat="1" x14ac:dyDescent="0.2">
      <c r="A854" s="3459" t="s">
        <v>1743</v>
      </c>
      <c r="B854" s="3406">
        <v>0.7</v>
      </c>
      <c r="C854" s="3406">
        <v>0.7</v>
      </c>
      <c r="D854" s="3406">
        <v>0.7</v>
      </c>
      <c r="E854" s="3406">
        <v>0.7</v>
      </c>
      <c r="F854" s="3406">
        <v>0.7</v>
      </c>
      <c r="G854" s="3406">
        <v>0.7</v>
      </c>
      <c r="H854" s="3353"/>
    </row>
    <row r="855" spans="1:8" s="3309" customFormat="1" x14ac:dyDescent="0.2">
      <c r="A855" s="3459" t="s">
        <v>3412</v>
      </c>
      <c r="B855" s="3417" t="e">
        <f t="shared" ref="B855:G855" si="363">B843*(B850*B852*B853*B854*B789)</f>
        <v>#VALUE!</v>
      </c>
      <c r="C855" s="3417" t="e">
        <f t="shared" si="363"/>
        <v>#VALUE!</v>
      </c>
      <c r="D855" s="3417" t="e">
        <f t="shared" si="363"/>
        <v>#VALUE!</v>
      </c>
      <c r="E855" s="3417" t="e">
        <f t="shared" si="363"/>
        <v>#VALUE!</v>
      </c>
      <c r="F855" s="3417" t="e">
        <f t="shared" si="363"/>
        <v>#VALUE!</v>
      </c>
      <c r="G855" s="3417" t="e">
        <f t="shared" si="363"/>
        <v>#VALUE!</v>
      </c>
      <c r="H855" s="3353"/>
    </row>
    <row r="856" spans="1:8" s="3309" customFormat="1" x14ac:dyDescent="0.2">
      <c r="A856" s="3416" t="s">
        <v>429</v>
      </c>
      <c r="B856" s="3468" t="e">
        <f t="shared" ref="B856:G856" si="364">B842/B855</f>
        <v>#DIV/0!</v>
      </c>
      <c r="C856" s="3468" t="e">
        <f t="shared" si="364"/>
        <v>#DIV/0!</v>
      </c>
      <c r="D856" s="3468" t="e">
        <f t="shared" si="364"/>
        <v>#DIV/0!</v>
      </c>
      <c r="E856" s="3468" t="e">
        <f t="shared" si="364"/>
        <v>#DIV/0!</v>
      </c>
      <c r="F856" s="3468" t="e">
        <f t="shared" si="364"/>
        <v>#DIV/0!</v>
      </c>
      <c r="G856" s="3468" t="e">
        <f t="shared" si="364"/>
        <v>#DIV/0!</v>
      </c>
      <c r="H856" s="3353"/>
    </row>
    <row r="857" spans="1:8" s="3309" customFormat="1" x14ac:dyDescent="0.2">
      <c r="A857" s="3416" t="s">
        <v>6142</v>
      </c>
      <c r="B857" s="3514" t="e">
        <f t="shared" ref="B857:G857" si="365">B856+B839+B826+B817</f>
        <v>#DIV/0!</v>
      </c>
      <c r="C857" s="3514" t="e">
        <f t="shared" si="365"/>
        <v>#DIV/0!</v>
      </c>
      <c r="D857" s="3514" t="e">
        <f t="shared" si="365"/>
        <v>#DIV/0!</v>
      </c>
      <c r="E857" s="3514" t="e">
        <f t="shared" si="365"/>
        <v>#DIV/0!</v>
      </c>
      <c r="F857" s="3514" t="e">
        <f t="shared" si="365"/>
        <v>#DIV/0!</v>
      </c>
      <c r="G857" s="3514" t="e">
        <f t="shared" si="365"/>
        <v>#DIV/0!</v>
      </c>
      <c r="H857" s="3353"/>
    </row>
    <row r="858" spans="1:8" s="3309" customFormat="1" x14ac:dyDescent="0.2">
      <c r="A858" s="3416" t="s">
        <v>6141</v>
      </c>
      <c r="B858" s="3514"/>
      <c r="C858" s="3514"/>
      <c r="D858" s="3514"/>
      <c r="E858" s="3514"/>
      <c r="F858" s="3514"/>
      <c r="G858" s="3514"/>
      <c r="H858" s="3353"/>
    </row>
    <row r="859" spans="1:8" s="3309" customFormat="1" ht="25.5" x14ac:dyDescent="0.2">
      <c r="A859" s="3542" t="s">
        <v>6140</v>
      </c>
      <c r="B859" s="3424"/>
      <c r="C859" s="3412"/>
      <c r="D859" s="3412"/>
      <c r="E859" s="3412"/>
      <c r="F859" s="3412"/>
      <c r="G859" s="3412"/>
      <c r="H859" s="3353"/>
    </row>
    <row r="860" spans="1:8" s="3309" customFormat="1" ht="20.25" customHeight="1" x14ac:dyDescent="0.2">
      <c r="A860" s="3542" t="s">
        <v>4152</v>
      </c>
      <c r="B860" s="3424">
        <f t="shared" ref="B860:G860" si="366">(B736/(B799-B795))*B793</f>
        <v>0</v>
      </c>
      <c r="C860" s="3424" t="e">
        <f t="shared" si="366"/>
        <v>#DIV/0!</v>
      </c>
      <c r="D860" s="3424" t="e">
        <f t="shared" si="366"/>
        <v>#DIV/0!</v>
      </c>
      <c r="E860" s="3424" t="e">
        <f t="shared" si="366"/>
        <v>#DIV/0!</v>
      </c>
      <c r="F860" s="3424" t="e">
        <f t="shared" si="366"/>
        <v>#DIV/0!</v>
      </c>
      <c r="G860" s="3424" t="e">
        <f t="shared" si="366"/>
        <v>#DIV/0!</v>
      </c>
      <c r="H860" s="3353"/>
    </row>
    <row r="861" spans="1:8" s="3309" customFormat="1" x14ac:dyDescent="0.2">
      <c r="A861" s="3542" t="s">
        <v>425</v>
      </c>
      <c r="B861" s="3491" t="e">
        <f t="shared" ref="B861:G861" si="367">INDEX($B$3061:$E$3070,B863,B864)</f>
        <v>#VALUE!</v>
      </c>
      <c r="C861" s="3491" t="e">
        <f t="shared" si="367"/>
        <v>#NUM!</v>
      </c>
      <c r="D861" s="3491" t="e">
        <f t="shared" si="367"/>
        <v>#NUM!</v>
      </c>
      <c r="E861" s="3491" t="e">
        <f t="shared" si="367"/>
        <v>#NUM!</v>
      </c>
      <c r="F861" s="3491" t="e">
        <f t="shared" si="367"/>
        <v>#NUM!</v>
      </c>
      <c r="G861" s="3491" t="e">
        <f t="shared" si="367"/>
        <v>#NUM!</v>
      </c>
      <c r="H861" s="3353"/>
    </row>
    <row r="862" spans="1:8" s="3309" customFormat="1" x14ac:dyDescent="0.2">
      <c r="A862" s="3558" t="s">
        <v>1719</v>
      </c>
      <c r="B862" s="3424"/>
      <c r="C862" s="3412"/>
      <c r="D862" s="3412"/>
      <c r="E862" s="3412"/>
      <c r="F862" s="3412"/>
      <c r="G862" s="3412"/>
      <c r="H862" s="3353"/>
    </row>
    <row r="863" spans="1:8" s="3309" customFormat="1" x14ac:dyDescent="0.2">
      <c r="A863" s="3542" t="s">
        <v>1319</v>
      </c>
      <c r="B863" s="3435" t="e">
        <f t="shared" ref="B863:G863" si="368">B805</f>
        <v>#VALUE!</v>
      </c>
      <c r="C863" s="3435" t="e">
        <f t="shared" si="368"/>
        <v>#NUM!</v>
      </c>
      <c r="D863" s="3435" t="e">
        <f t="shared" si="368"/>
        <v>#NUM!</v>
      </c>
      <c r="E863" s="3435" t="e">
        <f t="shared" si="368"/>
        <v>#NUM!</v>
      </c>
      <c r="F863" s="3435" t="e">
        <f t="shared" si="368"/>
        <v>#NUM!</v>
      </c>
      <c r="G863" s="3435" t="e">
        <f t="shared" si="368"/>
        <v>#NUM!</v>
      </c>
      <c r="H863" s="3353"/>
    </row>
    <row r="864" spans="1:8" s="3309" customFormat="1" x14ac:dyDescent="0.2">
      <c r="A864" s="3542" t="s">
        <v>427</v>
      </c>
      <c r="B864" s="3435">
        <f t="shared" ref="B864:G864" si="369">B807</f>
        <v>4</v>
      </c>
      <c r="C864" s="3435">
        <f t="shared" si="369"/>
        <v>4</v>
      </c>
      <c r="D864" s="3435">
        <f t="shared" si="369"/>
        <v>4</v>
      </c>
      <c r="E864" s="3435">
        <f t="shared" si="369"/>
        <v>4</v>
      </c>
      <c r="F864" s="3435">
        <f t="shared" si="369"/>
        <v>4</v>
      </c>
      <c r="G864" s="3435">
        <f t="shared" si="369"/>
        <v>4</v>
      </c>
      <c r="H864" s="3353"/>
    </row>
    <row r="865" spans="1:8" s="3309" customFormat="1" x14ac:dyDescent="0.2">
      <c r="A865" s="3542" t="s">
        <v>1322</v>
      </c>
      <c r="B865" s="3435"/>
      <c r="C865" s="3412"/>
      <c r="D865" s="3412"/>
      <c r="E865" s="3412"/>
      <c r="F865" s="3412"/>
      <c r="G865" s="3412"/>
      <c r="H865" s="3353"/>
    </row>
    <row r="866" spans="1:8" s="3309" customFormat="1" x14ac:dyDescent="0.2">
      <c r="A866" s="3559" t="s">
        <v>1508</v>
      </c>
      <c r="B866" s="3429">
        <f t="shared" ref="B866:G866" si="370">B247</f>
        <v>2.2000000000000002</v>
      </c>
      <c r="C866" s="3429">
        <f t="shared" si="370"/>
        <v>0</v>
      </c>
      <c r="D866" s="3429">
        <f t="shared" si="370"/>
        <v>0</v>
      </c>
      <c r="E866" s="3429">
        <f t="shared" si="370"/>
        <v>0</v>
      </c>
      <c r="F866" s="3429">
        <f t="shared" si="370"/>
        <v>0</v>
      </c>
      <c r="G866" s="3429">
        <f t="shared" si="370"/>
        <v>0</v>
      </c>
      <c r="H866" s="3353"/>
    </row>
    <row r="867" spans="1:8" s="3309" customFormat="1" x14ac:dyDescent="0.2">
      <c r="A867" s="3558" t="s">
        <v>2974</v>
      </c>
      <c r="B867" s="3406">
        <f t="shared" ref="B867:G867" si="371">B866*0.02*500</f>
        <v>22.000000000000004</v>
      </c>
      <c r="C867" s="3406">
        <f t="shared" si="371"/>
        <v>0</v>
      </c>
      <c r="D867" s="3406">
        <f t="shared" si="371"/>
        <v>0</v>
      </c>
      <c r="E867" s="3406">
        <f t="shared" si="371"/>
        <v>0</v>
      </c>
      <c r="F867" s="3406">
        <f t="shared" si="371"/>
        <v>0</v>
      </c>
      <c r="G867" s="3406">
        <f t="shared" si="371"/>
        <v>0</v>
      </c>
      <c r="H867" s="3353"/>
    </row>
    <row r="868" spans="1:8" s="3309" customFormat="1" x14ac:dyDescent="0.2">
      <c r="A868" s="3542" t="s">
        <v>2975</v>
      </c>
      <c r="B868" s="3417">
        <f t="shared" ref="B868:G868" si="372">IF(B867&lt;20.1,1,IF(B867&lt;30,0.9,0.85))</f>
        <v>0.9</v>
      </c>
      <c r="C868" s="3417">
        <f t="shared" si="372"/>
        <v>1</v>
      </c>
      <c r="D868" s="3417">
        <f t="shared" si="372"/>
        <v>1</v>
      </c>
      <c r="E868" s="3417">
        <f t="shared" si="372"/>
        <v>1</v>
      </c>
      <c r="F868" s="3417">
        <f t="shared" si="372"/>
        <v>1</v>
      </c>
      <c r="G868" s="3417">
        <f t="shared" si="372"/>
        <v>1</v>
      </c>
      <c r="H868" s="3353"/>
    </row>
    <row r="869" spans="1:8" s="3309" customFormat="1" x14ac:dyDescent="0.2">
      <c r="A869" s="3542" t="s">
        <v>391</v>
      </c>
      <c r="B869" s="3379">
        <f t="shared" ref="B869:G871" si="373">B810</f>
        <v>1.1499999999999999</v>
      </c>
      <c r="C869" s="3379">
        <f t="shared" si="373"/>
        <v>1</v>
      </c>
      <c r="D869" s="3379">
        <f t="shared" si="373"/>
        <v>1</v>
      </c>
      <c r="E869" s="3379">
        <f t="shared" si="373"/>
        <v>1</v>
      </c>
      <c r="F869" s="3379">
        <f t="shared" si="373"/>
        <v>1</v>
      </c>
      <c r="G869" s="3379">
        <f t="shared" si="373"/>
        <v>1</v>
      </c>
      <c r="H869" s="3353"/>
    </row>
    <row r="870" spans="1:8" s="3309" customFormat="1" x14ac:dyDescent="0.2">
      <c r="A870" s="3542" t="s">
        <v>392</v>
      </c>
      <c r="B870" s="3379">
        <f t="shared" si="373"/>
        <v>0.8</v>
      </c>
      <c r="C870" s="3379">
        <f t="shared" si="373"/>
        <v>1</v>
      </c>
      <c r="D870" s="3379">
        <f t="shared" si="373"/>
        <v>1</v>
      </c>
      <c r="E870" s="3379">
        <f t="shared" si="373"/>
        <v>1</v>
      </c>
      <c r="F870" s="3379">
        <f t="shared" si="373"/>
        <v>1</v>
      </c>
      <c r="G870" s="3379">
        <f t="shared" si="373"/>
        <v>1</v>
      </c>
      <c r="H870" s="3353"/>
    </row>
    <row r="871" spans="1:8" s="3309" customFormat="1" x14ac:dyDescent="0.2">
      <c r="A871" s="3542" t="s">
        <v>393</v>
      </c>
      <c r="B871" s="3379">
        <f t="shared" si="373"/>
        <v>1</v>
      </c>
      <c r="C871" s="3379">
        <f t="shared" si="373"/>
        <v>0.85</v>
      </c>
      <c r="D871" s="3379">
        <f t="shared" si="373"/>
        <v>0.85</v>
      </c>
      <c r="E871" s="3379">
        <f t="shared" si="373"/>
        <v>0.85</v>
      </c>
      <c r="F871" s="3379">
        <f t="shared" si="373"/>
        <v>0.85</v>
      </c>
      <c r="G871" s="3379">
        <f t="shared" si="373"/>
        <v>0.85</v>
      </c>
      <c r="H871" s="3353"/>
    </row>
    <row r="872" spans="1:8" s="3309" customFormat="1" x14ac:dyDescent="0.2">
      <c r="A872" s="3542" t="s">
        <v>1323</v>
      </c>
      <c r="B872" s="3379">
        <f t="shared" ref="B872:G872" si="374">IF(B866&lt;2.1,0.9,IF(B866&lt;3.1,0.85,0.8))</f>
        <v>0.85</v>
      </c>
      <c r="C872" s="3379">
        <f t="shared" si="374"/>
        <v>0.9</v>
      </c>
      <c r="D872" s="3379">
        <f t="shared" si="374"/>
        <v>0.9</v>
      </c>
      <c r="E872" s="3379">
        <f t="shared" si="374"/>
        <v>0.9</v>
      </c>
      <c r="F872" s="3379">
        <f t="shared" si="374"/>
        <v>0.9</v>
      </c>
      <c r="G872" s="3379">
        <f t="shared" si="374"/>
        <v>0.9</v>
      </c>
      <c r="H872" s="3353"/>
    </row>
    <row r="873" spans="1:8" s="3309" customFormat="1" x14ac:dyDescent="0.2">
      <c r="A873" s="3542" t="s">
        <v>2976</v>
      </c>
      <c r="B873" s="3400">
        <v>0.7</v>
      </c>
      <c r="C873" s="3400">
        <v>0.7</v>
      </c>
      <c r="D873" s="3400">
        <v>0.7</v>
      </c>
      <c r="E873" s="3400">
        <v>0.7</v>
      </c>
      <c r="F873" s="3400">
        <v>0.7</v>
      </c>
      <c r="G873" s="3400">
        <v>0.7</v>
      </c>
      <c r="H873" s="3353"/>
    </row>
    <row r="874" spans="1:8" s="3309" customFormat="1" x14ac:dyDescent="0.2">
      <c r="A874" s="3542" t="s">
        <v>3412</v>
      </c>
      <c r="B874" s="3379" t="e">
        <f t="shared" ref="B874:G874" si="375">B861*(B868*B869*B870*B871*B872*B873*B789)</f>
        <v>#VALUE!</v>
      </c>
      <c r="C874" s="3379" t="e">
        <f t="shared" si="375"/>
        <v>#NUM!</v>
      </c>
      <c r="D874" s="3379" t="e">
        <f t="shared" si="375"/>
        <v>#NUM!</v>
      </c>
      <c r="E874" s="3379" t="e">
        <f t="shared" si="375"/>
        <v>#NUM!</v>
      </c>
      <c r="F874" s="3379" t="e">
        <f t="shared" si="375"/>
        <v>#NUM!</v>
      </c>
      <c r="G874" s="3379" t="e">
        <f t="shared" si="375"/>
        <v>#NUM!</v>
      </c>
      <c r="H874" s="3353"/>
    </row>
    <row r="875" spans="1:8" s="3309" customFormat="1" x14ac:dyDescent="0.2">
      <c r="A875" s="3541" t="s">
        <v>429</v>
      </c>
      <c r="B875" s="3424" t="e">
        <f t="shared" ref="B875:G875" si="376">B860/B874</f>
        <v>#VALUE!</v>
      </c>
      <c r="C875" s="3424" t="e">
        <f t="shared" si="376"/>
        <v>#DIV/0!</v>
      </c>
      <c r="D875" s="3424" t="e">
        <f t="shared" si="376"/>
        <v>#DIV/0!</v>
      </c>
      <c r="E875" s="3424" t="e">
        <f t="shared" si="376"/>
        <v>#DIV/0!</v>
      </c>
      <c r="F875" s="3424" t="e">
        <f t="shared" si="376"/>
        <v>#DIV/0!</v>
      </c>
      <c r="G875" s="3424" t="e">
        <f t="shared" si="376"/>
        <v>#DIV/0!</v>
      </c>
      <c r="H875" s="3353"/>
    </row>
    <row r="876" spans="1:8" s="3309" customFormat="1" x14ac:dyDescent="0.2">
      <c r="A876" s="3542"/>
      <c r="B876" s="3379"/>
      <c r="C876" s="3412"/>
      <c r="D876" s="3412"/>
      <c r="E876" s="3412"/>
      <c r="F876" s="3412"/>
      <c r="G876" s="3412"/>
      <c r="H876" s="3353"/>
    </row>
    <row r="877" spans="1:8" s="3309" customFormat="1" ht="38.25" x14ac:dyDescent="0.2">
      <c r="A877" s="3557" t="s">
        <v>6139</v>
      </c>
      <c r="B877" s="3417"/>
      <c r="C877" s="3412"/>
      <c r="D877" s="3412"/>
      <c r="E877" s="3412"/>
      <c r="F877" s="3412"/>
      <c r="G877" s="3412"/>
      <c r="H877" s="3353"/>
    </row>
    <row r="878" spans="1:8" s="3309" customFormat="1" x14ac:dyDescent="0.2">
      <c r="A878" s="3459" t="s">
        <v>1753</v>
      </c>
      <c r="B878" s="3491" t="e">
        <f t="shared" ref="B878:G878" si="377">((B799/B762+1)-3)*B793</f>
        <v>#DIV/0!</v>
      </c>
      <c r="C878" s="3491" t="e">
        <f t="shared" si="377"/>
        <v>#DIV/0!</v>
      </c>
      <c r="D878" s="3491" t="e">
        <f t="shared" si="377"/>
        <v>#DIV/0!</v>
      </c>
      <c r="E878" s="3491" t="e">
        <f t="shared" si="377"/>
        <v>#DIV/0!</v>
      </c>
      <c r="F878" s="3491" t="e">
        <f t="shared" si="377"/>
        <v>#DIV/0!</v>
      </c>
      <c r="G878" s="3491" t="e">
        <f t="shared" si="377"/>
        <v>#DIV/0!</v>
      </c>
      <c r="H878" s="3353"/>
    </row>
    <row r="879" spans="1:8" s="3309" customFormat="1" x14ac:dyDescent="0.2">
      <c r="A879" s="3459" t="s">
        <v>425</v>
      </c>
      <c r="B879" s="3491" t="e">
        <f t="shared" ref="B879:G879" si="378">INDEX($B$2918:$E$2928,B880,B881)</f>
        <v>#VALUE!</v>
      </c>
      <c r="C879" s="3491" t="e">
        <f t="shared" si="378"/>
        <v>#NUM!</v>
      </c>
      <c r="D879" s="3491" t="e">
        <f t="shared" si="378"/>
        <v>#NUM!</v>
      </c>
      <c r="E879" s="3491" t="e">
        <f t="shared" si="378"/>
        <v>#NUM!</v>
      </c>
      <c r="F879" s="3491" t="e">
        <f t="shared" si="378"/>
        <v>#NUM!</v>
      </c>
      <c r="G879" s="3491" t="e">
        <f t="shared" si="378"/>
        <v>#NUM!</v>
      </c>
      <c r="H879" s="3353"/>
    </row>
    <row r="880" spans="1:8" s="3309" customFormat="1" x14ac:dyDescent="0.2">
      <c r="A880" s="3459" t="s">
        <v>426</v>
      </c>
      <c r="B880" s="3435" t="e">
        <f t="shared" ref="B880:G880" si="379">B863</f>
        <v>#VALUE!</v>
      </c>
      <c r="C880" s="3435" t="e">
        <f t="shared" si="379"/>
        <v>#NUM!</v>
      </c>
      <c r="D880" s="3435" t="e">
        <f t="shared" si="379"/>
        <v>#NUM!</v>
      </c>
      <c r="E880" s="3435" t="e">
        <f t="shared" si="379"/>
        <v>#NUM!</v>
      </c>
      <c r="F880" s="3435" t="e">
        <f t="shared" si="379"/>
        <v>#NUM!</v>
      </c>
      <c r="G880" s="3435" t="e">
        <f t="shared" si="379"/>
        <v>#NUM!</v>
      </c>
      <c r="H880" s="3353"/>
    </row>
    <row r="881" spans="1:8" s="3309" customFormat="1" ht="20.25" customHeight="1" x14ac:dyDescent="0.2">
      <c r="A881" s="3459" t="s">
        <v>427</v>
      </c>
      <c r="B881" s="3411">
        <v>1</v>
      </c>
      <c r="C881" s="3411">
        <v>1</v>
      </c>
      <c r="D881" s="3411">
        <v>1</v>
      </c>
      <c r="E881" s="3411">
        <v>1</v>
      </c>
      <c r="F881" s="3411">
        <v>1</v>
      </c>
      <c r="G881" s="3411">
        <v>1</v>
      </c>
      <c r="H881" s="3353"/>
    </row>
    <row r="882" spans="1:8" s="3309" customFormat="1" ht="20.25" customHeight="1" x14ac:dyDescent="0.2">
      <c r="A882" s="3459" t="s">
        <v>1322</v>
      </c>
      <c r="B882" s="3424"/>
      <c r="C882" s="3412"/>
      <c r="D882" s="3412"/>
      <c r="E882" s="3412"/>
      <c r="F882" s="3412"/>
      <c r="G882" s="3412"/>
      <c r="H882" s="3353"/>
    </row>
    <row r="883" spans="1:8" s="3309" customFormat="1" x14ac:dyDescent="0.2">
      <c r="A883" s="3459" t="s">
        <v>391</v>
      </c>
      <c r="B883" s="3379">
        <f t="shared" ref="B883:G884" si="380">B869</f>
        <v>1.1499999999999999</v>
      </c>
      <c r="C883" s="3379">
        <f t="shared" si="380"/>
        <v>1</v>
      </c>
      <c r="D883" s="3379">
        <f t="shared" si="380"/>
        <v>1</v>
      </c>
      <c r="E883" s="3379">
        <f t="shared" si="380"/>
        <v>1</v>
      </c>
      <c r="F883" s="3379">
        <f t="shared" si="380"/>
        <v>1</v>
      </c>
      <c r="G883" s="3379">
        <f t="shared" si="380"/>
        <v>1</v>
      </c>
      <c r="H883" s="3353"/>
    </row>
    <row r="884" spans="1:8" s="3309" customFormat="1" x14ac:dyDescent="0.2">
      <c r="A884" s="3542" t="s">
        <v>392</v>
      </c>
      <c r="B884" s="3379">
        <f t="shared" si="380"/>
        <v>0.8</v>
      </c>
      <c r="C884" s="3379">
        <f t="shared" si="380"/>
        <v>1</v>
      </c>
      <c r="D884" s="3379">
        <f t="shared" si="380"/>
        <v>1</v>
      </c>
      <c r="E884" s="3379">
        <f t="shared" si="380"/>
        <v>1</v>
      </c>
      <c r="F884" s="3379">
        <f t="shared" si="380"/>
        <v>1</v>
      </c>
      <c r="G884" s="3379">
        <f t="shared" si="380"/>
        <v>1</v>
      </c>
      <c r="H884" s="3353"/>
    </row>
    <row r="885" spans="1:8" s="3309" customFormat="1" x14ac:dyDescent="0.2">
      <c r="A885" s="3542" t="s">
        <v>2976</v>
      </c>
      <c r="B885" s="3400">
        <v>0.7</v>
      </c>
      <c r="C885" s="3400">
        <v>0.7</v>
      </c>
      <c r="D885" s="3400">
        <v>0.7</v>
      </c>
      <c r="E885" s="3400">
        <v>0.7</v>
      </c>
      <c r="F885" s="3400">
        <v>0.7</v>
      </c>
      <c r="G885" s="3400">
        <v>0.7</v>
      </c>
      <c r="H885" s="3353"/>
    </row>
    <row r="886" spans="1:8" s="3309" customFormat="1" x14ac:dyDescent="0.2">
      <c r="A886" s="3459" t="s">
        <v>3412</v>
      </c>
      <c r="B886" s="3379" t="e">
        <f t="shared" ref="B886:G886" si="381">B879*(B883*B884*B885*B789)</f>
        <v>#VALUE!</v>
      </c>
      <c r="C886" s="3379" t="e">
        <f t="shared" si="381"/>
        <v>#NUM!</v>
      </c>
      <c r="D886" s="3379" t="e">
        <f t="shared" si="381"/>
        <v>#NUM!</v>
      </c>
      <c r="E886" s="3379" t="e">
        <f t="shared" si="381"/>
        <v>#NUM!</v>
      </c>
      <c r="F886" s="3379" t="e">
        <f t="shared" si="381"/>
        <v>#NUM!</v>
      </c>
      <c r="G886" s="3379" t="e">
        <f t="shared" si="381"/>
        <v>#NUM!</v>
      </c>
      <c r="H886" s="3353"/>
    </row>
    <row r="887" spans="1:8" s="3309" customFormat="1" x14ac:dyDescent="0.2">
      <c r="A887" s="3416" t="s">
        <v>429</v>
      </c>
      <c r="B887" s="3424" t="e">
        <f t="shared" ref="B887:G887" si="382">B878/B886</f>
        <v>#DIV/0!</v>
      </c>
      <c r="C887" s="3424" t="e">
        <f t="shared" si="382"/>
        <v>#DIV/0!</v>
      </c>
      <c r="D887" s="3424" t="e">
        <f t="shared" si="382"/>
        <v>#DIV/0!</v>
      </c>
      <c r="E887" s="3424" t="e">
        <f t="shared" si="382"/>
        <v>#DIV/0!</v>
      </c>
      <c r="F887" s="3424" t="e">
        <f t="shared" si="382"/>
        <v>#DIV/0!</v>
      </c>
      <c r="G887" s="3424" t="e">
        <f t="shared" si="382"/>
        <v>#DIV/0!</v>
      </c>
      <c r="H887" s="3353"/>
    </row>
    <row r="888" spans="1:8" s="3309" customFormat="1" ht="27.75" customHeight="1" x14ac:dyDescent="0.2">
      <c r="A888" s="3459"/>
      <c r="B888" s="3379"/>
      <c r="C888" s="3412"/>
      <c r="D888" s="3412"/>
      <c r="E888" s="3412"/>
      <c r="F888" s="3412"/>
      <c r="G888" s="3412"/>
      <c r="H888" s="3353"/>
    </row>
    <row r="889" spans="1:8" s="3309" customFormat="1" ht="44.25" customHeight="1" x14ac:dyDescent="0.2">
      <c r="A889" s="3459" t="s">
        <v>6138</v>
      </c>
      <c r="B889" s="3379"/>
      <c r="C889" s="3412"/>
      <c r="D889" s="3412"/>
      <c r="E889" s="3412"/>
      <c r="F889" s="3412"/>
      <c r="G889" s="3412"/>
      <c r="H889" s="3353"/>
    </row>
    <row r="890" spans="1:8" s="3309" customFormat="1" ht="39.75" customHeight="1" x14ac:dyDescent="0.2">
      <c r="A890" s="3459" t="s">
        <v>1753</v>
      </c>
      <c r="B890" s="3424" t="e">
        <f t="shared" ref="B890:G890" si="383">((B799-B795)/B762+1)/((B799-B795)/B736)*B793</f>
        <v>#DIV/0!</v>
      </c>
      <c r="C890" s="3424" t="e">
        <f t="shared" si="383"/>
        <v>#DIV/0!</v>
      </c>
      <c r="D890" s="3424" t="e">
        <f t="shared" si="383"/>
        <v>#DIV/0!</v>
      </c>
      <c r="E890" s="3424" t="e">
        <f t="shared" si="383"/>
        <v>#DIV/0!</v>
      </c>
      <c r="F890" s="3424" t="e">
        <f t="shared" si="383"/>
        <v>#DIV/0!</v>
      </c>
      <c r="G890" s="3424" t="e">
        <f t="shared" si="383"/>
        <v>#DIV/0!</v>
      </c>
      <c r="H890" s="3353"/>
    </row>
    <row r="891" spans="1:8" s="3309" customFormat="1" x14ac:dyDescent="0.2">
      <c r="A891" s="3459" t="s">
        <v>3390</v>
      </c>
      <c r="B891" s="3491" t="e">
        <f t="shared" ref="B891:G891" si="384">B830</f>
        <v>#VALUE!</v>
      </c>
      <c r="C891" s="3491" t="e">
        <f t="shared" si="384"/>
        <v>#NUM!</v>
      </c>
      <c r="D891" s="3491" t="e">
        <f t="shared" si="384"/>
        <v>#NUM!</v>
      </c>
      <c r="E891" s="3491" t="e">
        <f t="shared" si="384"/>
        <v>#NUM!</v>
      </c>
      <c r="F891" s="3491" t="e">
        <f t="shared" si="384"/>
        <v>#NUM!</v>
      </c>
      <c r="G891" s="3491" t="e">
        <f t="shared" si="384"/>
        <v>#NUM!</v>
      </c>
      <c r="H891" s="3353"/>
    </row>
    <row r="892" spans="1:8" s="3309" customFormat="1" x14ac:dyDescent="0.2">
      <c r="A892" s="3459" t="s">
        <v>3391</v>
      </c>
      <c r="B892" s="3424"/>
      <c r="C892" s="3412"/>
      <c r="D892" s="3412"/>
      <c r="E892" s="3412"/>
      <c r="F892" s="3412"/>
      <c r="G892" s="3412"/>
      <c r="H892" s="3353"/>
    </row>
    <row r="893" spans="1:8" s="3309" customFormat="1" x14ac:dyDescent="0.2">
      <c r="A893" s="3459" t="s">
        <v>392</v>
      </c>
      <c r="B893" s="3379">
        <f t="shared" ref="B893:G895" si="385">B832</f>
        <v>0.8</v>
      </c>
      <c r="C893" s="3379">
        <f t="shared" si="385"/>
        <v>1</v>
      </c>
      <c r="D893" s="3379">
        <f t="shared" si="385"/>
        <v>1</v>
      </c>
      <c r="E893" s="3379">
        <f t="shared" si="385"/>
        <v>1</v>
      </c>
      <c r="F893" s="3379">
        <f t="shared" si="385"/>
        <v>1</v>
      </c>
      <c r="G893" s="3379">
        <f t="shared" si="385"/>
        <v>1</v>
      </c>
      <c r="H893" s="3353"/>
    </row>
    <row r="894" spans="1:8" s="3309" customFormat="1" x14ac:dyDescent="0.2">
      <c r="A894" s="3459" t="s">
        <v>391</v>
      </c>
      <c r="B894" s="3379" t="e">
        <f t="shared" si="385"/>
        <v>#VALUE!</v>
      </c>
      <c r="C894" s="3379">
        <f t="shared" si="385"/>
        <v>1</v>
      </c>
      <c r="D894" s="3379">
        <f t="shared" si="385"/>
        <v>1</v>
      </c>
      <c r="E894" s="3379">
        <f t="shared" si="385"/>
        <v>1</v>
      </c>
      <c r="F894" s="3379">
        <f t="shared" si="385"/>
        <v>1</v>
      </c>
      <c r="G894" s="3379">
        <f t="shared" si="385"/>
        <v>1</v>
      </c>
      <c r="H894" s="3353"/>
    </row>
    <row r="895" spans="1:8" s="3309" customFormat="1" ht="25.5" x14ac:dyDescent="0.2">
      <c r="A895" s="3528" t="s">
        <v>3213</v>
      </c>
      <c r="B895" s="3527">
        <f t="shared" si="385"/>
        <v>1</v>
      </c>
      <c r="C895" s="3527">
        <f t="shared" si="385"/>
        <v>1</v>
      </c>
      <c r="D895" s="3527">
        <f t="shared" si="385"/>
        <v>1</v>
      </c>
      <c r="E895" s="3527">
        <f t="shared" si="385"/>
        <v>1</v>
      </c>
      <c r="F895" s="3527">
        <f t="shared" si="385"/>
        <v>1</v>
      </c>
      <c r="G895" s="3527">
        <f t="shared" si="385"/>
        <v>1</v>
      </c>
      <c r="H895" s="3353"/>
    </row>
    <row r="896" spans="1:8" s="3309" customFormat="1" ht="20.25" customHeight="1" x14ac:dyDescent="0.2">
      <c r="A896" s="3459" t="s">
        <v>3393</v>
      </c>
      <c r="B896" s="3379">
        <f t="shared" ref="B896:G896" si="386">IF(B895=0,1,1.2)</f>
        <v>1.2</v>
      </c>
      <c r="C896" s="3379">
        <f t="shared" si="386"/>
        <v>1.2</v>
      </c>
      <c r="D896" s="3379">
        <f t="shared" si="386"/>
        <v>1.2</v>
      </c>
      <c r="E896" s="3379">
        <f t="shared" si="386"/>
        <v>1.2</v>
      </c>
      <c r="F896" s="3379">
        <f t="shared" si="386"/>
        <v>1.2</v>
      </c>
      <c r="G896" s="3379">
        <f t="shared" si="386"/>
        <v>1.2</v>
      </c>
      <c r="H896" s="3353"/>
    </row>
    <row r="897" spans="1:8" s="3309" customFormat="1" ht="25.5" x14ac:dyDescent="0.2">
      <c r="A897" s="3528" t="s">
        <v>3214</v>
      </c>
      <c r="B897" s="3527">
        <f t="shared" ref="B897:G897" si="387">B836</f>
        <v>0</v>
      </c>
      <c r="C897" s="3527">
        <f t="shared" si="387"/>
        <v>0</v>
      </c>
      <c r="D897" s="3527">
        <f t="shared" si="387"/>
        <v>0</v>
      </c>
      <c r="E897" s="3527">
        <f t="shared" si="387"/>
        <v>0</v>
      </c>
      <c r="F897" s="3527">
        <f t="shared" si="387"/>
        <v>0</v>
      </c>
      <c r="G897" s="3527">
        <f t="shared" si="387"/>
        <v>0</v>
      </c>
      <c r="H897" s="3353"/>
    </row>
    <row r="898" spans="1:8" s="3309" customFormat="1" x14ac:dyDescent="0.2">
      <c r="A898" s="3459" t="s">
        <v>1893</v>
      </c>
      <c r="B898" s="3379">
        <f t="shared" ref="B898:G898" si="388">IF(B897=0,1.05,1)</f>
        <v>1.05</v>
      </c>
      <c r="C898" s="3379">
        <f t="shared" si="388"/>
        <v>1.05</v>
      </c>
      <c r="D898" s="3379">
        <f t="shared" si="388"/>
        <v>1.05</v>
      </c>
      <c r="E898" s="3379">
        <f t="shared" si="388"/>
        <v>1.05</v>
      </c>
      <c r="F898" s="3379">
        <f t="shared" si="388"/>
        <v>1.05</v>
      </c>
      <c r="G898" s="3379">
        <f t="shared" si="388"/>
        <v>1.05</v>
      </c>
      <c r="H898" s="3353"/>
    </row>
    <row r="899" spans="1:8" s="3309" customFormat="1" x14ac:dyDescent="0.2">
      <c r="A899" s="3459" t="s">
        <v>1894</v>
      </c>
      <c r="B899" s="3379" t="e">
        <f t="shared" ref="B899:G899" si="389">B891*(B893*B894*B896*B898*B789)</f>
        <v>#VALUE!</v>
      </c>
      <c r="C899" s="3379" t="e">
        <f t="shared" si="389"/>
        <v>#NUM!</v>
      </c>
      <c r="D899" s="3379" t="e">
        <f t="shared" si="389"/>
        <v>#NUM!</v>
      </c>
      <c r="E899" s="3379" t="e">
        <f t="shared" si="389"/>
        <v>#NUM!</v>
      </c>
      <c r="F899" s="3379" t="e">
        <f t="shared" si="389"/>
        <v>#NUM!</v>
      </c>
      <c r="G899" s="3379" t="e">
        <f t="shared" si="389"/>
        <v>#NUM!</v>
      </c>
      <c r="H899" s="3353"/>
    </row>
    <row r="900" spans="1:8" s="3309" customFormat="1" ht="27" customHeight="1" x14ac:dyDescent="0.2">
      <c r="A900" s="3416" t="s">
        <v>429</v>
      </c>
      <c r="B900" s="3424" t="e">
        <f t="shared" ref="B900:G900" si="390">B890/B899</f>
        <v>#DIV/0!</v>
      </c>
      <c r="C900" s="3424" t="e">
        <f t="shared" si="390"/>
        <v>#DIV/0!</v>
      </c>
      <c r="D900" s="3424" t="e">
        <f t="shared" si="390"/>
        <v>#DIV/0!</v>
      </c>
      <c r="E900" s="3424" t="e">
        <f t="shared" si="390"/>
        <v>#DIV/0!</v>
      </c>
      <c r="F900" s="3424" t="e">
        <f t="shared" si="390"/>
        <v>#DIV/0!</v>
      </c>
      <c r="G900" s="3424" t="e">
        <f t="shared" si="390"/>
        <v>#DIV/0!</v>
      </c>
      <c r="H900" s="3353"/>
    </row>
    <row r="901" spans="1:8" s="3309" customFormat="1" x14ac:dyDescent="0.2">
      <c r="A901" s="3459"/>
      <c r="B901" s="3424"/>
      <c r="C901" s="3412"/>
      <c r="D901" s="3412"/>
      <c r="E901" s="3412"/>
      <c r="F901" s="3412"/>
      <c r="G901" s="3412"/>
      <c r="H901" s="3353"/>
    </row>
    <row r="902" spans="1:8" s="3309" customFormat="1" ht="39.75" customHeight="1" x14ac:dyDescent="0.2">
      <c r="A902" s="3459" t="s">
        <v>6137</v>
      </c>
      <c r="B902" s="3400"/>
      <c r="C902" s="3412"/>
      <c r="D902" s="3412"/>
      <c r="E902" s="3412"/>
      <c r="F902" s="3412"/>
      <c r="G902" s="3412"/>
      <c r="H902" s="3353"/>
    </row>
    <row r="903" spans="1:8" s="3309" customFormat="1" ht="29.25" customHeight="1" x14ac:dyDescent="0.2">
      <c r="A903" s="3459" t="s">
        <v>424</v>
      </c>
      <c r="B903" s="3424" t="e">
        <f t="shared" ref="B903:G903" si="391">((B799-B795)/B762+1)/((B799-B795)/B736)*B793</f>
        <v>#DIV/0!</v>
      </c>
      <c r="C903" s="3424" t="e">
        <f t="shared" si="391"/>
        <v>#DIV/0!</v>
      </c>
      <c r="D903" s="3424" t="e">
        <f t="shared" si="391"/>
        <v>#DIV/0!</v>
      </c>
      <c r="E903" s="3424" t="e">
        <f t="shared" si="391"/>
        <v>#DIV/0!</v>
      </c>
      <c r="F903" s="3424" t="e">
        <f t="shared" si="391"/>
        <v>#DIV/0!</v>
      </c>
      <c r="G903" s="3424" t="e">
        <f t="shared" si="391"/>
        <v>#DIV/0!</v>
      </c>
      <c r="H903" s="3353"/>
    </row>
    <row r="904" spans="1:8" s="3309" customFormat="1" x14ac:dyDescent="0.2">
      <c r="A904" s="3459" t="s">
        <v>1718</v>
      </c>
      <c r="B904" s="3491">
        <f t="shared" ref="B904:G904" si="392">INDEX($H$2968:$K$2980,B906,B907)</f>
        <v>29.7</v>
      </c>
      <c r="C904" s="3491">
        <f t="shared" si="392"/>
        <v>168.3</v>
      </c>
      <c r="D904" s="3491">
        <f t="shared" si="392"/>
        <v>168.3</v>
      </c>
      <c r="E904" s="3491">
        <f t="shared" si="392"/>
        <v>168.3</v>
      </c>
      <c r="F904" s="3491">
        <f t="shared" si="392"/>
        <v>168.3</v>
      </c>
      <c r="G904" s="3491">
        <f t="shared" si="392"/>
        <v>168.3</v>
      </c>
      <c r="H904" s="3353"/>
    </row>
    <row r="905" spans="1:8" s="3309" customFormat="1" x14ac:dyDescent="0.2">
      <c r="A905" s="3528" t="s">
        <v>1719</v>
      </c>
      <c r="B905" s="3424"/>
      <c r="C905" s="3412"/>
      <c r="D905" s="3412"/>
      <c r="E905" s="3412"/>
      <c r="F905" s="3412"/>
      <c r="G905" s="3412"/>
      <c r="H905" s="3353"/>
    </row>
    <row r="906" spans="1:8" s="3309" customFormat="1" x14ac:dyDescent="0.2">
      <c r="A906" s="3459" t="s">
        <v>1720</v>
      </c>
      <c r="B906" s="3435">
        <f t="shared" ref="B906:G906" si="393">B845</f>
        <v>13</v>
      </c>
      <c r="C906" s="3435">
        <f t="shared" si="393"/>
        <v>1</v>
      </c>
      <c r="D906" s="3435">
        <f t="shared" si="393"/>
        <v>1</v>
      </c>
      <c r="E906" s="3435">
        <f t="shared" si="393"/>
        <v>1</v>
      </c>
      <c r="F906" s="3435">
        <f t="shared" si="393"/>
        <v>1</v>
      </c>
      <c r="G906" s="3435">
        <f t="shared" si="393"/>
        <v>1</v>
      </c>
      <c r="H906" s="3353"/>
    </row>
    <row r="907" spans="1:8" s="3309" customFormat="1" x14ac:dyDescent="0.2">
      <c r="A907" s="3459" t="s">
        <v>1722</v>
      </c>
      <c r="B907" s="3435">
        <f t="shared" ref="B907:G907" si="394">B847</f>
        <v>4</v>
      </c>
      <c r="C907" s="3435">
        <f t="shared" si="394"/>
        <v>1</v>
      </c>
      <c r="D907" s="3435">
        <f t="shared" si="394"/>
        <v>1</v>
      </c>
      <c r="E907" s="3435">
        <f t="shared" si="394"/>
        <v>1</v>
      </c>
      <c r="F907" s="3435">
        <f t="shared" si="394"/>
        <v>1</v>
      </c>
      <c r="G907" s="3435">
        <f t="shared" si="394"/>
        <v>1</v>
      </c>
      <c r="H907" s="3353"/>
    </row>
    <row r="908" spans="1:8" s="3309" customFormat="1" x14ac:dyDescent="0.2">
      <c r="A908" s="3459" t="s">
        <v>1723</v>
      </c>
      <c r="B908" s="3424"/>
      <c r="C908" s="3412"/>
      <c r="D908" s="3412"/>
      <c r="E908" s="3412"/>
      <c r="F908" s="3412"/>
      <c r="G908" s="3412"/>
      <c r="H908" s="3353"/>
    </row>
    <row r="909" spans="1:8" s="3309" customFormat="1" ht="25.5" x14ac:dyDescent="0.2">
      <c r="A909" s="3528" t="s">
        <v>1724</v>
      </c>
      <c r="B909" s="3527">
        <f t="shared" ref="B909:G909" si="395">B849</f>
        <v>0</v>
      </c>
      <c r="C909" s="3527">
        <f t="shared" si="395"/>
        <v>0</v>
      </c>
      <c r="D909" s="3527">
        <f t="shared" si="395"/>
        <v>0</v>
      </c>
      <c r="E909" s="3527">
        <f t="shared" si="395"/>
        <v>0</v>
      </c>
      <c r="F909" s="3527">
        <f t="shared" si="395"/>
        <v>0</v>
      </c>
      <c r="G909" s="3527">
        <f t="shared" si="395"/>
        <v>0</v>
      </c>
      <c r="H909" s="3353"/>
    </row>
    <row r="910" spans="1:8" s="3309" customFormat="1" x14ac:dyDescent="0.2">
      <c r="A910" s="3459" t="s">
        <v>1725</v>
      </c>
      <c r="B910" s="3379">
        <f t="shared" ref="B910:G910" si="396">IF(B909=1,1.15,1)</f>
        <v>1</v>
      </c>
      <c r="C910" s="3379">
        <f t="shared" si="396"/>
        <v>1</v>
      </c>
      <c r="D910" s="3379">
        <f t="shared" si="396"/>
        <v>1</v>
      </c>
      <c r="E910" s="3379">
        <f t="shared" si="396"/>
        <v>1</v>
      </c>
      <c r="F910" s="3379">
        <f t="shared" si="396"/>
        <v>1</v>
      </c>
      <c r="G910" s="3379">
        <f t="shared" si="396"/>
        <v>1</v>
      </c>
      <c r="H910" s="3353"/>
    </row>
    <row r="911" spans="1:8" s="3309" customFormat="1" x14ac:dyDescent="0.2">
      <c r="A911" s="3528" t="s">
        <v>5573</v>
      </c>
      <c r="B911" s="3527">
        <f t="shared" ref="B911:G911" si="397">B851</f>
        <v>0</v>
      </c>
      <c r="C911" s="3527">
        <f t="shared" si="397"/>
        <v>0</v>
      </c>
      <c r="D911" s="3527">
        <f t="shared" si="397"/>
        <v>0</v>
      </c>
      <c r="E911" s="3527">
        <f t="shared" si="397"/>
        <v>0</v>
      </c>
      <c r="F911" s="3527">
        <f t="shared" si="397"/>
        <v>0</v>
      </c>
      <c r="G911" s="3527">
        <f t="shared" si="397"/>
        <v>0</v>
      </c>
      <c r="H911" s="3353"/>
    </row>
    <row r="912" spans="1:8" s="3309" customFormat="1" ht="20.25" customHeight="1" x14ac:dyDescent="0.2">
      <c r="A912" s="3459" t="s">
        <v>2636</v>
      </c>
      <c r="B912" s="3379">
        <f t="shared" ref="B912:G912" si="398">IF(B911=1,1.15,1)</f>
        <v>1</v>
      </c>
      <c r="C912" s="3379">
        <f t="shared" si="398"/>
        <v>1</v>
      </c>
      <c r="D912" s="3379">
        <f t="shared" si="398"/>
        <v>1</v>
      </c>
      <c r="E912" s="3379">
        <f t="shared" si="398"/>
        <v>1</v>
      </c>
      <c r="F912" s="3379">
        <f t="shared" si="398"/>
        <v>1</v>
      </c>
      <c r="G912" s="3379">
        <f t="shared" si="398"/>
        <v>1</v>
      </c>
      <c r="H912" s="3353"/>
    </row>
    <row r="913" spans="1:8" s="3309" customFormat="1" ht="25.5" x14ac:dyDescent="0.2">
      <c r="A913" s="3459" t="s">
        <v>2637</v>
      </c>
      <c r="B913" s="3379">
        <f t="shared" ref="B913:G913" si="399">IF(B756&lt;2,0.85,1)</f>
        <v>1</v>
      </c>
      <c r="C913" s="3379">
        <f t="shared" si="399"/>
        <v>0.85</v>
      </c>
      <c r="D913" s="3379">
        <f t="shared" si="399"/>
        <v>0.85</v>
      </c>
      <c r="E913" s="3379">
        <f t="shared" si="399"/>
        <v>0.85</v>
      </c>
      <c r="F913" s="3379">
        <f t="shared" si="399"/>
        <v>0.85</v>
      </c>
      <c r="G913" s="3379">
        <f t="shared" si="399"/>
        <v>0.85</v>
      </c>
      <c r="H913" s="3353"/>
    </row>
    <row r="914" spans="1:8" s="3309" customFormat="1" x14ac:dyDescent="0.2">
      <c r="A914" s="3459" t="s">
        <v>532</v>
      </c>
      <c r="B914" s="3400">
        <v>0.7</v>
      </c>
      <c r="C914" s="3400">
        <v>0.7</v>
      </c>
      <c r="D914" s="3400">
        <v>0.7</v>
      </c>
      <c r="E914" s="3400">
        <v>0.7</v>
      </c>
      <c r="F914" s="3400">
        <v>0.7</v>
      </c>
      <c r="G914" s="3400">
        <v>0.7</v>
      </c>
      <c r="H914" s="3353"/>
    </row>
    <row r="915" spans="1:8" s="3309" customFormat="1" x14ac:dyDescent="0.2">
      <c r="A915" s="3459" t="s">
        <v>3412</v>
      </c>
      <c r="B915" s="3379" t="e">
        <f t="shared" ref="B915:G915" si="400">B904*(B910*B912*B913*B914*B789)</f>
        <v>#VALUE!</v>
      </c>
      <c r="C915" s="3379" t="e">
        <f t="shared" si="400"/>
        <v>#VALUE!</v>
      </c>
      <c r="D915" s="3379" t="e">
        <f t="shared" si="400"/>
        <v>#VALUE!</v>
      </c>
      <c r="E915" s="3379" t="e">
        <f t="shared" si="400"/>
        <v>#VALUE!</v>
      </c>
      <c r="F915" s="3379" t="e">
        <f t="shared" si="400"/>
        <v>#VALUE!</v>
      </c>
      <c r="G915" s="3379" t="e">
        <f t="shared" si="400"/>
        <v>#VALUE!</v>
      </c>
      <c r="H915" s="3353"/>
    </row>
    <row r="916" spans="1:8" s="3309" customFormat="1" x14ac:dyDescent="0.2">
      <c r="A916" s="3416" t="s">
        <v>429</v>
      </c>
      <c r="B916" s="3424" t="e">
        <f t="shared" ref="B916:G916" si="401">B903/B915</f>
        <v>#DIV/0!</v>
      </c>
      <c r="C916" s="3424" t="e">
        <f t="shared" si="401"/>
        <v>#DIV/0!</v>
      </c>
      <c r="D916" s="3424" t="e">
        <f t="shared" si="401"/>
        <v>#DIV/0!</v>
      </c>
      <c r="E916" s="3424" t="e">
        <f t="shared" si="401"/>
        <v>#DIV/0!</v>
      </c>
      <c r="F916" s="3424" t="e">
        <f t="shared" si="401"/>
        <v>#DIV/0!</v>
      </c>
      <c r="G916" s="3424" t="e">
        <f t="shared" si="401"/>
        <v>#DIV/0!</v>
      </c>
      <c r="H916" s="3353"/>
    </row>
    <row r="917" spans="1:8" s="3309" customFormat="1" ht="25.5" x14ac:dyDescent="0.2">
      <c r="A917" s="3416" t="s">
        <v>6136</v>
      </c>
      <c r="B917" s="3375" t="e">
        <f t="shared" ref="B917:G917" si="402">B916+B900+B887+B875</f>
        <v>#DIV/0!</v>
      </c>
      <c r="C917" s="3375" t="e">
        <f t="shared" si="402"/>
        <v>#DIV/0!</v>
      </c>
      <c r="D917" s="3375" t="e">
        <f t="shared" si="402"/>
        <v>#DIV/0!</v>
      </c>
      <c r="E917" s="3375" t="e">
        <f t="shared" si="402"/>
        <v>#DIV/0!</v>
      </c>
      <c r="F917" s="3375" t="e">
        <f t="shared" si="402"/>
        <v>#DIV/0!</v>
      </c>
      <c r="G917" s="3375" t="e">
        <f t="shared" si="402"/>
        <v>#DIV/0!</v>
      </c>
      <c r="H917" s="3353"/>
    </row>
    <row r="918" spans="1:8" s="3309" customFormat="1" ht="25.5" x14ac:dyDescent="0.2">
      <c r="A918" s="3416" t="s">
        <v>533</v>
      </c>
      <c r="B918" s="3375" t="e">
        <f t="shared" ref="B918:G918" si="403">B917+B857</f>
        <v>#DIV/0!</v>
      </c>
      <c r="C918" s="3375" t="e">
        <f t="shared" si="403"/>
        <v>#DIV/0!</v>
      </c>
      <c r="D918" s="3375" t="e">
        <f t="shared" si="403"/>
        <v>#DIV/0!</v>
      </c>
      <c r="E918" s="3375" t="e">
        <f t="shared" si="403"/>
        <v>#DIV/0!</v>
      </c>
      <c r="F918" s="3375" t="e">
        <f t="shared" si="403"/>
        <v>#DIV/0!</v>
      </c>
      <c r="G918" s="3375" t="e">
        <f t="shared" si="403"/>
        <v>#DIV/0!</v>
      </c>
      <c r="H918" s="3353"/>
    </row>
    <row r="919" spans="1:8" s="3309" customFormat="1" ht="38.25" x14ac:dyDescent="0.2">
      <c r="A919" s="3377" t="s">
        <v>534</v>
      </c>
      <c r="B919" s="3556">
        <f t="shared" ref="B919:G919" si="404">IF(B766=0,B918,0)</f>
        <v>0</v>
      </c>
      <c r="C919" s="3556" t="e">
        <f t="shared" si="404"/>
        <v>#DIV/0!</v>
      </c>
      <c r="D919" s="3556" t="e">
        <f t="shared" si="404"/>
        <v>#DIV/0!</v>
      </c>
      <c r="E919" s="3556" t="e">
        <f t="shared" si="404"/>
        <v>#DIV/0!</v>
      </c>
      <c r="F919" s="3556" t="e">
        <f t="shared" si="404"/>
        <v>#DIV/0!</v>
      </c>
      <c r="G919" s="3556" t="e">
        <f t="shared" si="404"/>
        <v>#DIV/0!</v>
      </c>
      <c r="H919" s="3353"/>
    </row>
    <row r="920" spans="1:8" s="3309" customFormat="1" ht="38.25" x14ac:dyDescent="0.2">
      <c r="A920" s="3377" t="s">
        <v>6135</v>
      </c>
      <c r="B920" s="3512"/>
      <c r="C920" s="3511"/>
      <c r="D920" s="3511"/>
      <c r="E920" s="3511"/>
      <c r="F920" s="3511"/>
      <c r="G920" s="3511"/>
      <c r="H920" s="3353"/>
    </row>
    <row r="921" spans="1:8" s="3309" customFormat="1" x14ac:dyDescent="0.2">
      <c r="A921" s="3377" t="s">
        <v>4150</v>
      </c>
      <c r="B921" s="3424"/>
      <c r="C921" s="3412"/>
      <c r="D921" s="3412"/>
      <c r="E921" s="3412"/>
      <c r="F921" s="3412"/>
      <c r="G921" s="3412"/>
      <c r="H921" s="3353"/>
    </row>
    <row r="922" spans="1:8" s="3309" customFormat="1" ht="25.5" x14ac:dyDescent="0.2">
      <c r="A922" s="3516" t="s">
        <v>1507</v>
      </c>
      <c r="B922" s="3554">
        <f t="shared" ref="B922:G922" si="405">B232</f>
        <v>4</v>
      </c>
      <c r="C922" s="3554">
        <f t="shared" si="405"/>
        <v>0</v>
      </c>
      <c r="D922" s="3554">
        <f t="shared" si="405"/>
        <v>0</v>
      </c>
      <c r="E922" s="3554">
        <f t="shared" si="405"/>
        <v>0</v>
      </c>
      <c r="F922" s="3554">
        <f t="shared" si="405"/>
        <v>0</v>
      </c>
      <c r="G922" s="3554">
        <f t="shared" si="405"/>
        <v>0</v>
      </c>
      <c r="H922" s="3353"/>
    </row>
    <row r="923" spans="1:8" s="3309" customFormat="1" ht="25.5" x14ac:dyDescent="0.2">
      <c r="A923" s="3542" t="s">
        <v>6134</v>
      </c>
      <c r="B923" s="3424"/>
      <c r="C923" s="3412"/>
      <c r="D923" s="3412"/>
      <c r="E923" s="3412"/>
      <c r="F923" s="3412"/>
      <c r="G923" s="3412"/>
      <c r="H923" s="3353"/>
    </row>
    <row r="924" spans="1:8" s="3309" customFormat="1" x14ac:dyDescent="0.2">
      <c r="A924" s="3542" t="s">
        <v>4152</v>
      </c>
      <c r="B924" s="3424">
        <f t="shared" ref="B924:G924" si="406">(B736/(B922-B794))*B792</f>
        <v>0</v>
      </c>
      <c r="C924" s="3424" t="e">
        <f t="shared" si="406"/>
        <v>#DIV/0!</v>
      </c>
      <c r="D924" s="3424" t="e">
        <f t="shared" si="406"/>
        <v>#DIV/0!</v>
      </c>
      <c r="E924" s="3424" t="e">
        <f t="shared" si="406"/>
        <v>#DIV/0!</v>
      </c>
      <c r="F924" s="3424" t="e">
        <f t="shared" si="406"/>
        <v>#DIV/0!</v>
      </c>
      <c r="G924" s="3424" t="e">
        <f t="shared" si="406"/>
        <v>#DIV/0!</v>
      </c>
      <c r="H924" s="3353"/>
    </row>
    <row r="925" spans="1:8" s="3309" customFormat="1" x14ac:dyDescent="0.2">
      <c r="A925" s="3542" t="s">
        <v>2048</v>
      </c>
      <c r="B925" s="3491" t="e">
        <f t="shared" ref="B925:G925" si="407">INDEX($B$3061:$E$3070,B928,B929)</f>
        <v>#VALUE!</v>
      </c>
      <c r="C925" s="3491" t="e">
        <f t="shared" si="407"/>
        <v>#NUM!</v>
      </c>
      <c r="D925" s="3491" t="e">
        <f t="shared" si="407"/>
        <v>#NUM!</v>
      </c>
      <c r="E925" s="3491" t="e">
        <f t="shared" si="407"/>
        <v>#NUM!</v>
      </c>
      <c r="F925" s="3491" t="e">
        <f t="shared" si="407"/>
        <v>#NUM!</v>
      </c>
      <c r="G925" s="3491" t="e">
        <f t="shared" si="407"/>
        <v>#NUM!</v>
      </c>
      <c r="H925" s="3353"/>
    </row>
    <row r="926" spans="1:8" s="3309" customFormat="1" x14ac:dyDescent="0.2">
      <c r="A926" s="3419" t="s">
        <v>1719</v>
      </c>
      <c r="B926" s="3424"/>
      <c r="C926" s="3412"/>
      <c r="D926" s="3412"/>
      <c r="E926" s="3412"/>
      <c r="F926" s="3412"/>
      <c r="G926" s="3412"/>
      <c r="H926" s="3353"/>
    </row>
    <row r="927" spans="1:8" s="3309" customFormat="1" x14ac:dyDescent="0.2">
      <c r="A927" s="3411" t="s">
        <v>1613</v>
      </c>
      <c r="B927" s="3491" t="e">
        <f t="shared" ref="B927:G928" si="408">B804</f>
        <v>#VALUE!</v>
      </c>
      <c r="C927" s="3491" t="e">
        <f t="shared" si="408"/>
        <v>#NUM!</v>
      </c>
      <c r="D927" s="3491" t="e">
        <f t="shared" si="408"/>
        <v>#NUM!</v>
      </c>
      <c r="E927" s="3491" t="e">
        <f t="shared" si="408"/>
        <v>#NUM!</v>
      </c>
      <c r="F927" s="3491" t="e">
        <f t="shared" si="408"/>
        <v>#NUM!</v>
      </c>
      <c r="G927" s="3491" t="e">
        <f t="shared" si="408"/>
        <v>#NUM!</v>
      </c>
      <c r="H927" s="3353"/>
    </row>
    <row r="928" spans="1:8" s="3309" customFormat="1" x14ac:dyDescent="0.2">
      <c r="A928" s="3542" t="s">
        <v>1319</v>
      </c>
      <c r="B928" s="3435" t="e">
        <f t="shared" si="408"/>
        <v>#VALUE!</v>
      </c>
      <c r="C928" s="3435" t="e">
        <f t="shared" si="408"/>
        <v>#NUM!</v>
      </c>
      <c r="D928" s="3435" t="e">
        <f t="shared" si="408"/>
        <v>#NUM!</v>
      </c>
      <c r="E928" s="3435" t="e">
        <f t="shared" si="408"/>
        <v>#NUM!</v>
      </c>
      <c r="F928" s="3435" t="e">
        <f t="shared" si="408"/>
        <v>#NUM!</v>
      </c>
      <c r="G928" s="3435" t="e">
        <f t="shared" si="408"/>
        <v>#NUM!</v>
      </c>
      <c r="H928" s="3353"/>
    </row>
    <row r="929" spans="1:8" s="3309" customFormat="1" x14ac:dyDescent="0.2">
      <c r="A929" s="3542" t="s">
        <v>1321</v>
      </c>
      <c r="B929" s="3435">
        <v>4</v>
      </c>
      <c r="C929" s="3435">
        <v>4</v>
      </c>
      <c r="D929" s="3435">
        <v>4</v>
      </c>
      <c r="E929" s="3435">
        <v>4</v>
      </c>
      <c r="F929" s="3435">
        <v>4</v>
      </c>
      <c r="G929" s="3435">
        <v>4</v>
      </c>
      <c r="H929" s="3353"/>
    </row>
    <row r="930" spans="1:8" s="3309" customFormat="1" x14ac:dyDescent="0.2">
      <c r="A930" s="3542" t="s">
        <v>1322</v>
      </c>
      <c r="B930" s="3424"/>
      <c r="C930" s="3412"/>
      <c r="D930" s="3412"/>
      <c r="E930" s="3412"/>
      <c r="F930" s="3412"/>
      <c r="G930" s="3412"/>
      <c r="H930" s="3353"/>
    </row>
    <row r="931" spans="1:8" s="3309" customFormat="1" x14ac:dyDescent="0.2">
      <c r="A931" s="3542" t="s">
        <v>1323</v>
      </c>
      <c r="B931" s="3379">
        <f t="shared" ref="B931:G931" si="409">IF(B922&lt;1.63,1,IF(B922&lt;2.45,0.9,0.85))</f>
        <v>0.85</v>
      </c>
      <c r="C931" s="3379">
        <f t="shared" si="409"/>
        <v>1</v>
      </c>
      <c r="D931" s="3379">
        <f t="shared" si="409"/>
        <v>1</v>
      </c>
      <c r="E931" s="3379">
        <f t="shared" si="409"/>
        <v>1</v>
      </c>
      <c r="F931" s="3379">
        <f t="shared" si="409"/>
        <v>1</v>
      </c>
      <c r="G931" s="3379">
        <f t="shared" si="409"/>
        <v>1</v>
      </c>
      <c r="H931" s="3353"/>
    </row>
    <row r="932" spans="1:8" s="3309" customFormat="1" x14ac:dyDescent="0.2">
      <c r="A932" s="3542" t="s">
        <v>391</v>
      </c>
      <c r="B932" s="3379">
        <f t="shared" ref="B932:G934" si="410">B810</f>
        <v>1.1499999999999999</v>
      </c>
      <c r="C932" s="3379">
        <f t="shared" si="410"/>
        <v>1</v>
      </c>
      <c r="D932" s="3379">
        <f t="shared" si="410"/>
        <v>1</v>
      </c>
      <c r="E932" s="3379">
        <f t="shared" si="410"/>
        <v>1</v>
      </c>
      <c r="F932" s="3379">
        <f t="shared" si="410"/>
        <v>1</v>
      </c>
      <c r="G932" s="3379">
        <f t="shared" si="410"/>
        <v>1</v>
      </c>
      <c r="H932" s="3353"/>
    </row>
    <row r="933" spans="1:8" s="3309" customFormat="1" x14ac:dyDescent="0.2">
      <c r="A933" s="3542" t="s">
        <v>392</v>
      </c>
      <c r="B933" s="3379">
        <f t="shared" si="410"/>
        <v>0.8</v>
      </c>
      <c r="C933" s="3379">
        <f t="shared" si="410"/>
        <v>1</v>
      </c>
      <c r="D933" s="3379">
        <f t="shared" si="410"/>
        <v>1</v>
      </c>
      <c r="E933" s="3379">
        <f t="shared" si="410"/>
        <v>1</v>
      </c>
      <c r="F933" s="3379">
        <f t="shared" si="410"/>
        <v>1</v>
      </c>
      <c r="G933" s="3379">
        <f t="shared" si="410"/>
        <v>1</v>
      </c>
      <c r="H933" s="3353"/>
    </row>
    <row r="934" spans="1:8" s="3309" customFormat="1" x14ac:dyDescent="0.2">
      <c r="A934" s="3542" t="s">
        <v>393</v>
      </c>
      <c r="B934" s="3379">
        <f t="shared" si="410"/>
        <v>1</v>
      </c>
      <c r="C934" s="3379">
        <f t="shared" si="410"/>
        <v>0.85</v>
      </c>
      <c r="D934" s="3379">
        <f t="shared" si="410"/>
        <v>0.85</v>
      </c>
      <c r="E934" s="3379">
        <f t="shared" si="410"/>
        <v>0.85</v>
      </c>
      <c r="F934" s="3379">
        <f t="shared" si="410"/>
        <v>0.85</v>
      </c>
      <c r="G934" s="3379">
        <f t="shared" si="410"/>
        <v>0.85</v>
      </c>
      <c r="H934" s="3353"/>
    </row>
    <row r="935" spans="1:8" s="3309" customFormat="1" x14ac:dyDescent="0.2">
      <c r="A935" s="3542" t="s">
        <v>1614</v>
      </c>
      <c r="B935" s="3400">
        <v>0.7</v>
      </c>
      <c r="C935" s="3400">
        <v>0.7</v>
      </c>
      <c r="D935" s="3400">
        <v>0.7</v>
      </c>
      <c r="E935" s="3400">
        <v>0.7</v>
      </c>
      <c r="F935" s="3400">
        <v>0.7</v>
      </c>
      <c r="G935" s="3400">
        <v>0.7</v>
      </c>
      <c r="H935" s="3353"/>
    </row>
    <row r="936" spans="1:8" s="3309" customFormat="1" x14ac:dyDescent="0.2">
      <c r="A936" s="3542" t="s">
        <v>3412</v>
      </c>
      <c r="B936" s="3379" t="e">
        <f t="shared" ref="B936" si="411">B925*(B931*B932*B933*B934*B935*B789)</f>
        <v>#VALUE!</v>
      </c>
      <c r="C936" s="3379"/>
      <c r="D936" s="3379"/>
      <c r="E936" s="3379"/>
      <c r="F936" s="3379"/>
      <c r="G936" s="3379"/>
      <c r="H936" s="3353"/>
    </row>
    <row r="937" spans="1:8" s="3309" customFormat="1" x14ac:dyDescent="0.2">
      <c r="A937" s="3541" t="s">
        <v>429</v>
      </c>
      <c r="B937" s="3424" t="e">
        <f t="shared" ref="B937" si="412">B924/B936</f>
        <v>#VALUE!</v>
      </c>
      <c r="C937" s="3424"/>
      <c r="D937" s="3424"/>
      <c r="E937" s="3424"/>
      <c r="F937" s="3424"/>
      <c r="G937" s="3424"/>
      <c r="H937" s="3353"/>
    </row>
    <row r="938" spans="1:8" s="3309" customFormat="1" x14ac:dyDescent="0.2">
      <c r="A938" s="3542"/>
      <c r="B938" s="3379"/>
      <c r="C938" s="3412"/>
      <c r="D938" s="3412"/>
      <c r="E938" s="3412"/>
      <c r="F938" s="3412"/>
      <c r="G938" s="3412"/>
      <c r="H938" s="3353"/>
    </row>
    <row r="939" spans="1:8" s="3309" customFormat="1" ht="38.25" x14ac:dyDescent="0.2">
      <c r="A939" s="3459" t="s">
        <v>6133</v>
      </c>
      <c r="B939" s="3379"/>
      <c r="C939" s="3412"/>
      <c r="D939" s="3412"/>
      <c r="E939" s="3412"/>
      <c r="F939" s="3412"/>
      <c r="G939" s="3412"/>
      <c r="H939" s="3353"/>
    </row>
    <row r="940" spans="1:8" s="3309" customFormat="1" x14ac:dyDescent="0.2">
      <c r="A940" s="3459" t="s">
        <v>424</v>
      </c>
      <c r="B940" s="3379" t="e">
        <f t="shared" ref="B940" si="413">(((B922/B762)+1)-3)*B792</f>
        <v>#DIV/0!</v>
      </c>
      <c r="C940" s="3379"/>
      <c r="D940" s="3379"/>
      <c r="E940" s="3379"/>
      <c r="F940" s="3379"/>
      <c r="G940" s="3379"/>
      <c r="H940" s="3353"/>
    </row>
    <row r="941" spans="1:8" s="3309" customFormat="1" x14ac:dyDescent="0.2">
      <c r="A941" s="3459" t="s">
        <v>425</v>
      </c>
      <c r="B941" s="3379" t="e">
        <f t="shared" ref="B941" si="414">B821</f>
        <v>#VALUE!</v>
      </c>
      <c r="C941" s="3379"/>
      <c r="D941" s="3379"/>
      <c r="E941" s="3379"/>
      <c r="F941" s="3379"/>
      <c r="G941" s="3379"/>
      <c r="H941" s="3353"/>
    </row>
    <row r="942" spans="1:8" s="3309" customFormat="1" x14ac:dyDescent="0.2">
      <c r="A942" s="3459" t="s">
        <v>428</v>
      </c>
      <c r="B942" s="3379" t="e">
        <f t="shared" ref="B942" si="415">B931*B932*B933*B934*B935*B789</f>
        <v>#VALUE!</v>
      </c>
      <c r="C942" s="3379"/>
      <c r="D942" s="3379"/>
      <c r="E942" s="3379"/>
      <c r="F942" s="3379"/>
      <c r="G942" s="3379"/>
      <c r="H942" s="3353"/>
    </row>
    <row r="943" spans="1:8" s="3309" customFormat="1" x14ac:dyDescent="0.2">
      <c r="A943" s="3459" t="s">
        <v>3412</v>
      </c>
      <c r="B943" s="3379" t="e">
        <f t="shared" ref="B943" si="416">B941*B942</f>
        <v>#VALUE!</v>
      </c>
      <c r="C943" s="3379"/>
      <c r="D943" s="3379"/>
      <c r="E943" s="3379"/>
      <c r="F943" s="3379"/>
      <c r="G943" s="3379"/>
      <c r="H943" s="3353"/>
    </row>
    <row r="944" spans="1:8" s="3309" customFormat="1" x14ac:dyDescent="0.2">
      <c r="A944" s="3541" t="s">
        <v>429</v>
      </c>
      <c r="B944" s="3424" t="e">
        <f t="shared" ref="B944" si="417">B940/B943</f>
        <v>#DIV/0!</v>
      </c>
      <c r="C944" s="3424"/>
      <c r="D944" s="3424"/>
      <c r="E944" s="3424"/>
      <c r="F944" s="3424"/>
      <c r="G944" s="3424"/>
      <c r="H944" s="3353"/>
    </row>
    <row r="945" spans="1:38" s="3309" customFormat="1" x14ac:dyDescent="0.2">
      <c r="A945" s="3411"/>
      <c r="B945" s="3379"/>
      <c r="C945" s="3412"/>
      <c r="D945" s="3412"/>
      <c r="E945" s="3412"/>
      <c r="F945" s="3412"/>
      <c r="G945" s="3412"/>
      <c r="H945" s="3353"/>
    </row>
    <row r="946" spans="1:38" s="3309" customFormat="1" ht="38.25" x14ac:dyDescent="0.2">
      <c r="A946" s="3459" t="s">
        <v>6132</v>
      </c>
      <c r="B946" s="3379"/>
      <c r="C946" s="3412"/>
      <c r="D946" s="3412"/>
      <c r="E946" s="3412"/>
      <c r="F946" s="3412"/>
      <c r="G946" s="3412"/>
      <c r="H946" s="3353"/>
    </row>
    <row r="947" spans="1:38" s="3309" customFormat="1" x14ac:dyDescent="0.2">
      <c r="A947" s="3459" t="s">
        <v>424</v>
      </c>
      <c r="B947" s="3424" t="e">
        <f t="shared" ref="B947" si="418">(B736*(((B922-B794)/B762+1)-1)/(B922-B794))*B792</f>
        <v>#DIV/0!</v>
      </c>
      <c r="C947" s="3424"/>
      <c r="D947" s="3424"/>
      <c r="E947" s="3424"/>
      <c r="F947" s="3424"/>
      <c r="G947" s="3424"/>
      <c r="H947" s="3353"/>
    </row>
    <row r="948" spans="1:38" s="3309" customFormat="1" x14ac:dyDescent="0.2">
      <c r="A948" s="3459" t="s">
        <v>3390</v>
      </c>
      <c r="B948" s="3435" t="e">
        <f t="shared" ref="B948" si="419">B830</f>
        <v>#VALUE!</v>
      </c>
      <c r="C948" s="3435"/>
      <c r="D948" s="3435"/>
      <c r="E948" s="3435"/>
      <c r="F948" s="3435"/>
      <c r="G948" s="3435"/>
      <c r="H948" s="3353"/>
    </row>
    <row r="949" spans="1:38" s="3309" customFormat="1" x14ac:dyDescent="0.2">
      <c r="A949" s="3459" t="s">
        <v>3391</v>
      </c>
      <c r="B949" s="3379"/>
      <c r="C949" s="3412"/>
      <c r="D949" s="3412"/>
      <c r="E949" s="3412"/>
      <c r="F949" s="3412"/>
      <c r="G949" s="3412"/>
      <c r="H949" s="3353"/>
    </row>
    <row r="950" spans="1:38" s="3309" customFormat="1" x14ac:dyDescent="0.2">
      <c r="A950" s="3459" t="s">
        <v>392</v>
      </c>
      <c r="B950" s="3379">
        <f t="shared" ref="B950:G952" si="420">B832</f>
        <v>0.8</v>
      </c>
      <c r="C950" s="3379"/>
      <c r="D950" s="3379"/>
      <c r="E950" s="3379"/>
      <c r="F950" s="3379"/>
      <c r="G950" s="3379"/>
      <c r="H950" s="3353"/>
    </row>
    <row r="951" spans="1:38" s="3309" customFormat="1" x14ac:dyDescent="0.2">
      <c r="A951" s="3459" t="s">
        <v>391</v>
      </c>
      <c r="B951" s="3379" t="e">
        <f t="shared" si="420"/>
        <v>#VALUE!</v>
      </c>
      <c r="C951" s="3379"/>
      <c r="D951" s="3379"/>
      <c r="E951" s="3379"/>
      <c r="F951" s="3379"/>
      <c r="G951" s="3379"/>
      <c r="H951" s="3353"/>
    </row>
    <row r="952" spans="1:38" s="3309" customFormat="1" ht="25.5" x14ac:dyDescent="0.2">
      <c r="A952" s="3528" t="s">
        <v>3392</v>
      </c>
      <c r="B952" s="3527">
        <f t="shared" si="420"/>
        <v>1</v>
      </c>
      <c r="C952" s="3527">
        <f t="shared" si="420"/>
        <v>1</v>
      </c>
      <c r="D952" s="3527">
        <f t="shared" si="420"/>
        <v>1</v>
      </c>
      <c r="E952" s="3527">
        <f t="shared" si="420"/>
        <v>1</v>
      </c>
      <c r="F952" s="3527">
        <f t="shared" si="420"/>
        <v>1</v>
      </c>
      <c r="G952" s="3527">
        <f t="shared" si="420"/>
        <v>1</v>
      </c>
      <c r="H952" s="3353"/>
    </row>
    <row r="953" spans="1:38" s="3309" customFormat="1" x14ac:dyDescent="0.2">
      <c r="A953" s="3459" t="s">
        <v>3393</v>
      </c>
      <c r="B953" s="3379">
        <f t="shared" ref="B953:G953" si="421">IF(B952=0,1,1.2)</f>
        <v>1.2</v>
      </c>
      <c r="C953" s="3379">
        <f t="shared" si="421"/>
        <v>1.2</v>
      </c>
      <c r="D953" s="3379">
        <f t="shared" si="421"/>
        <v>1.2</v>
      </c>
      <c r="E953" s="3379">
        <f t="shared" si="421"/>
        <v>1.2</v>
      </c>
      <c r="F953" s="3379">
        <f t="shared" si="421"/>
        <v>1.2</v>
      </c>
      <c r="G953" s="3379">
        <f t="shared" si="421"/>
        <v>1.2</v>
      </c>
      <c r="H953" s="3353"/>
    </row>
    <row r="954" spans="1:38" s="3309" customFormat="1" ht="25.5" x14ac:dyDescent="0.2">
      <c r="A954" s="3528" t="s">
        <v>1892</v>
      </c>
      <c r="B954" s="3527">
        <f t="shared" ref="B954:G954" si="422">B836</f>
        <v>0</v>
      </c>
      <c r="C954" s="3527">
        <f t="shared" si="422"/>
        <v>0</v>
      </c>
      <c r="D954" s="3527">
        <f t="shared" si="422"/>
        <v>0</v>
      </c>
      <c r="E954" s="3527">
        <f t="shared" si="422"/>
        <v>0</v>
      </c>
      <c r="F954" s="3527">
        <f t="shared" si="422"/>
        <v>0</v>
      </c>
      <c r="G954" s="3527">
        <f t="shared" si="422"/>
        <v>0</v>
      </c>
      <c r="H954" s="3353"/>
      <c r="AG954" s="3353"/>
      <c r="AH954" s="3353"/>
      <c r="AI954" s="3353"/>
      <c r="AJ954" s="3353"/>
      <c r="AK954" s="3353"/>
      <c r="AL954" s="3353"/>
    </row>
    <row r="955" spans="1:38" s="3309" customFormat="1" x14ac:dyDescent="0.2">
      <c r="A955" s="3459" t="s">
        <v>1893</v>
      </c>
      <c r="B955" s="3379">
        <f t="shared" ref="B955:G955" si="423">IF(B954=0,1.05,1)</f>
        <v>1.05</v>
      </c>
      <c r="C955" s="3379">
        <f t="shared" si="423"/>
        <v>1.05</v>
      </c>
      <c r="D955" s="3379">
        <f t="shared" si="423"/>
        <v>1.05</v>
      </c>
      <c r="E955" s="3379">
        <f t="shared" si="423"/>
        <v>1.05</v>
      </c>
      <c r="F955" s="3379">
        <f t="shared" si="423"/>
        <v>1.05</v>
      </c>
      <c r="G955" s="3379">
        <f t="shared" si="423"/>
        <v>1.05</v>
      </c>
      <c r="H955" s="3353"/>
      <c r="AG955" s="3353"/>
      <c r="AH955" s="3353"/>
      <c r="AI955" s="3353"/>
      <c r="AJ955" s="3353"/>
      <c r="AK955" s="3353"/>
      <c r="AL955" s="3353"/>
    </row>
    <row r="956" spans="1:38" s="3309" customFormat="1" x14ac:dyDescent="0.2">
      <c r="A956" s="3459" t="s">
        <v>1894</v>
      </c>
      <c r="B956" s="3379" t="e">
        <f t="shared" ref="B956:G956" si="424">B948*(B950*B951*B953*B955*B789)</f>
        <v>#VALUE!</v>
      </c>
      <c r="C956" s="3379" t="e">
        <f t="shared" si="424"/>
        <v>#VALUE!</v>
      </c>
      <c r="D956" s="3379" t="e">
        <f t="shared" si="424"/>
        <v>#VALUE!</v>
      </c>
      <c r="E956" s="3379" t="e">
        <f t="shared" si="424"/>
        <v>#VALUE!</v>
      </c>
      <c r="F956" s="3379" t="e">
        <f t="shared" si="424"/>
        <v>#VALUE!</v>
      </c>
      <c r="G956" s="3379" t="e">
        <f t="shared" si="424"/>
        <v>#VALUE!</v>
      </c>
      <c r="H956" s="3353"/>
      <c r="AG956" s="3353"/>
      <c r="AH956" s="3353"/>
      <c r="AI956" s="3353"/>
      <c r="AJ956" s="3353"/>
      <c r="AK956" s="3353"/>
      <c r="AL956" s="3353"/>
    </row>
    <row r="957" spans="1:38" s="3309" customFormat="1" x14ac:dyDescent="0.2">
      <c r="A957" s="3416" t="s">
        <v>429</v>
      </c>
      <c r="B957" s="3953" t="e">
        <f t="shared" ref="B957:G957" si="425">B947/B956</f>
        <v>#DIV/0!</v>
      </c>
      <c r="C957" s="3424" t="e">
        <f t="shared" si="425"/>
        <v>#VALUE!</v>
      </c>
      <c r="D957" s="3424" t="e">
        <f t="shared" si="425"/>
        <v>#VALUE!</v>
      </c>
      <c r="E957" s="3424" t="e">
        <f t="shared" si="425"/>
        <v>#VALUE!</v>
      </c>
      <c r="F957" s="3424" t="e">
        <f t="shared" si="425"/>
        <v>#VALUE!</v>
      </c>
      <c r="G957" s="3424" t="e">
        <f t="shared" si="425"/>
        <v>#VALUE!</v>
      </c>
      <c r="H957" s="3353"/>
      <c r="AG957" s="3353"/>
      <c r="AH957" s="3353"/>
      <c r="AI957" s="3353"/>
      <c r="AJ957" s="3353"/>
      <c r="AK957" s="3353"/>
      <c r="AL957" s="3353"/>
    </row>
    <row r="958" spans="1:38" s="3309" customFormat="1" x14ac:dyDescent="0.2">
      <c r="A958" s="3411"/>
      <c r="B958" s="3379"/>
      <c r="C958" s="3412"/>
      <c r="D958" s="3412"/>
      <c r="E958" s="3412"/>
      <c r="F958" s="3412"/>
      <c r="G958" s="3412"/>
      <c r="H958" s="3353"/>
      <c r="AG958" s="3353"/>
      <c r="AH958" s="3353"/>
      <c r="AI958" s="3353"/>
      <c r="AJ958" s="3353"/>
      <c r="AK958" s="3353"/>
      <c r="AL958" s="3353"/>
    </row>
    <row r="959" spans="1:38" s="3309" customFormat="1" ht="38.25" x14ac:dyDescent="0.2">
      <c r="A959" s="3459" t="s">
        <v>6131</v>
      </c>
      <c r="B959" s="3379"/>
      <c r="C959" s="3412"/>
      <c r="D959" s="3412"/>
      <c r="E959" s="3412"/>
      <c r="F959" s="3412"/>
      <c r="G959" s="3412"/>
      <c r="H959" s="3353"/>
      <c r="AG959" s="3353"/>
      <c r="AH959" s="3353"/>
      <c r="AI959" s="3353"/>
      <c r="AJ959" s="3353"/>
      <c r="AK959" s="3353"/>
      <c r="AL959" s="3353"/>
    </row>
    <row r="960" spans="1:38" s="3309" customFormat="1" x14ac:dyDescent="0.2">
      <c r="A960" s="3459" t="s">
        <v>424</v>
      </c>
      <c r="B960" s="3379" t="e">
        <f t="shared" ref="B960:G960" si="426">B947</f>
        <v>#DIV/0!</v>
      </c>
      <c r="C960" s="3379">
        <f t="shared" si="426"/>
        <v>0</v>
      </c>
      <c r="D960" s="3379">
        <f t="shared" si="426"/>
        <v>0</v>
      </c>
      <c r="E960" s="3379">
        <f t="shared" si="426"/>
        <v>0</v>
      </c>
      <c r="F960" s="3379">
        <f t="shared" si="426"/>
        <v>0</v>
      </c>
      <c r="G960" s="3379">
        <f t="shared" si="426"/>
        <v>0</v>
      </c>
      <c r="H960" s="3353"/>
      <c r="AG960" s="3353"/>
      <c r="AH960" s="3353"/>
      <c r="AI960" s="3353"/>
      <c r="AJ960" s="3353"/>
      <c r="AK960" s="3353"/>
      <c r="AL960" s="3353"/>
    </row>
    <row r="961" spans="1:38" s="3309" customFormat="1" x14ac:dyDescent="0.2">
      <c r="A961" s="3459" t="s">
        <v>1718</v>
      </c>
      <c r="B961" s="3379">
        <f t="shared" ref="B961:G961" si="427">B843</f>
        <v>29.7</v>
      </c>
      <c r="C961" s="3379">
        <f t="shared" si="427"/>
        <v>168.3</v>
      </c>
      <c r="D961" s="3379">
        <f t="shared" si="427"/>
        <v>168.3</v>
      </c>
      <c r="E961" s="3379">
        <f t="shared" si="427"/>
        <v>168.3</v>
      </c>
      <c r="F961" s="3379">
        <f t="shared" si="427"/>
        <v>168.3</v>
      </c>
      <c r="G961" s="3379">
        <f t="shared" si="427"/>
        <v>168.3</v>
      </c>
      <c r="H961" s="3353"/>
      <c r="AG961" s="3353"/>
      <c r="AH961" s="3353"/>
      <c r="AI961" s="3353"/>
      <c r="AJ961" s="3353"/>
      <c r="AK961" s="3353"/>
      <c r="AL961" s="3353"/>
    </row>
    <row r="962" spans="1:38" s="3309" customFormat="1" x14ac:dyDescent="0.2">
      <c r="A962" s="3459" t="s">
        <v>1723</v>
      </c>
      <c r="B962" s="3379"/>
      <c r="C962" s="3412"/>
      <c r="D962" s="3412"/>
      <c r="E962" s="3412"/>
      <c r="F962" s="3412"/>
      <c r="G962" s="3412"/>
      <c r="H962" s="3353"/>
      <c r="AG962" s="3353"/>
      <c r="AH962" s="3353"/>
      <c r="AI962" s="3353"/>
      <c r="AJ962" s="3353"/>
      <c r="AK962" s="3353"/>
      <c r="AL962" s="3353"/>
    </row>
    <row r="963" spans="1:38" s="3309" customFormat="1" ht="25.5" x14ac:dyDescent="0.2">
      <c r="A963" s="3528" t="s">
        <v>1724</v>
      </c>
      <c r="B963" s="3527">
        <f t="shared" ref="B963:G963" si="428">B849</f>
        <v>0</v>
      </c>
      <c r="C963" s="3527">
        <f t="shared" si="428"/>
        <v>0</v>
      </c>
      <c r="D963" s="3527">
        <f t="shared" si="428"/>
        <v>0</v>
      </c>
      <c r="E963" s="3527">
        <f t="shared" si="428"/>
        <v>0</v>
      </c>
      <c r="F963" s="3527">
        <f t="shared" si="428"/>
        <v>0</v>
      </c>
      <c r="G963" s="3527">
        <f t="shared" si="428"/>
        <v>0</v>
      </c>
      <c r="H963" s="3353"/>
      <c r="AG963" s="3353"/>
      <c r="AH963" s="3353"/>
      <c r="AI963" s="3353"/>
      <c r="AJ963" s="3353"/>
      <c r="AK963" s="3353"/>
      <c r="AL963" s="3353"/>
    </row>
    <row r="964" spans="1:38" s="3309" customFormat="1" x14ac:dyDescent="0.2">
      <c r="A964" s="3459" t="s">
        <v>1725</v>
      </c>
      <c r="B964" s="3379">
        <f t="shared" ref="B964:G964" si="429">IF(B963=1,1.15,1)</f>
        <v>1</v>
      </c>
      <c r="C964" s="3379">
        <f t="shared" si="429"/>
        <v>1</v>
      </c>
      <c r="D964" s="3379">
        <f t="shared" si="429"/>
        <v>1</v>
      </c>
      <c r="E964" s="3379">
        <f t="shared" si="429"/>
        <v>1</v>
      </c>
      <c r="F964" s="3379">
        <f t="shared" si="429"/>
        <v>1</v>
      </c>
      <c r="G964" s="3379">
        <f t="shared" si="429"/>
        <v>1</v>
      </c>
      <c r="H964" s="3353"/>
      <c r="AG964" s="3353"/>
      <c r="AH964" s="3353"/>
      <c r="AI964" s="3353"/>
      <c r="AJ964" s="3353"/>
      <c r="AK964" s="3353"/>
      <c r="AL964" s="3353"/>
    </row>
    <row r="965" spans="1:38" s="3309" customFormat="1" x14ac:dyDescent="0.2">
      <c r="A965" s="3528" t="s">
        <v>5573</v>
      </c>
      <c r="B965" s="3527">
        <f t="shared" ref="B965:G965" si="430">B851</f>
        <v>0</v>
      </c>
      <c r="C965" s="3527">
        <f t="shared" si="430"/>
        <v>0</v>
      </c>
      <c r="D965" s="3527">
        <f t="shared" si="430"/>
        <v>0</v>
      </c>
      <c r="E965" s="3527">
        <f t="shared" si="430"/>
        <v>0</v>
      </c>
      <c r="F965" s="3527">
        <f t="shared" si="430"/>
        <v>0</v>
      </c>
      <c r="G965" s="3527">
        <f t="shared" si="430"/>
        <v>0</v>
      </c>
      <c r="H965" s="3353"/>
      <c r="AG965" s="3353"/>
      <c r="AH965" s="3353"/>
      <c r="AI965" s="3353"/>
      <c r="AJ965" s="3353"/>
      <c r="AK965" s="3353"/>
      <c r="AL965" s="3353"/>
    </row>
    <row r="966" spans="1:38" s="3309" customFormat="1" x14ac:dyDescent="0.2">
      <c r="A966" s="3459" t="s">
        <v>2636</v>
      </c>
      <c r="B966" s="3379">
        <f t="shared" ref="B966:G966" si="431">IF(B965=1,1.15,1)</f>
        <v>1</v>
      </c>
      <c r="C966" s="3379">
        <f t="shared" si="431"/>
        <v>1</v>
      </c>
      <c r="D966" s="3379">
        <f t="shared" si="431"/>
        <v>1</v>
      </c>
      <c r="E966" s="3379">
        <f t="shared" si="431"/>
        <v>1</v>
      </c>
      <c r="F966" s="3379">
        <f t="shared" si="431"/>
        <v>1</v>
      </c>
      <c r="G966" s="3379">
        <f t="shared" si="431"/>
        <v>1</v>
      </c>
      <c r="H966" s="3353"/>
      <c r="AG966" s="3353"/>
      <c r="AH966" s="3353"/>
      <c r="AI966" s="3353"/>
      <c r="AJ966" s="3353"/>
      <c r="AK966" s="3353"/>
      <c r="AL966" s="3353"/>
    </row>
    <row r="967" spans="1:38" s="3309" customFormat="1" ht="25.5" x14ac:dyDescent="0.2">
      <c r="A967" s="3459" t="s">
        <v>2637</v>
      </c>
      <c r="B967" s="3379">
        <f t="shared" ref="B967:G967" si="432">IF(B756&lt;2,0.85,1)</f>
        <v>1</v>
      </c>
      <c r="C967" s="3379">
        <f t="shared" si="432"/>
        <v>0.85</v>
      </c>
      <c r="D967" s="3379">
        <f t="shared" si="432"/>
        <v>0.85</v>
      </c>
      <c r="E967" s="3379">
        <f t="shared" si="432"/>
        <v>0.85</v>
      </c>
      <c r="F967" s="3379">
        <f t="shared" si="432"/>
        <v>0.85</v>
      </c>
      <c r="G967" s="3379">
        <f t="shared" si="432"/>
        <v>0.85</v>
      </c>
      <c r="H967" s="3353"/>
      <c r="AG967" s="3353"/>
      <c r="AH967" s="3353"/>
      <c r="AI967" s="3353"/>
      <c r="AJ967" s="3353"/>
      <c r="AK967" s="3353"/>
      <c r="AL967" s="3353"/>
    </row>
    <row r="968" spans="1:38" s="3309" customFormat="1" x14ac:dyDescent="0.2">
      <c r="A968" s="3459" t="s">
        <v>1615</v>
      </c>
      <c r="B968" s="3612">
        <v>0.7</v>
      </c>
      <c r="C968" s="3612">
        <v>0.7</v>
      </c>
      <c r="D968" s="3612">
        <v>0.7</v>
      </c>
      <c r="E968" s="3612">
        <v>0.7</v>
      </c>
      <c r="F968" s="3612">
        <v>0.7</v>
      </c>
      <c r="G968" s="3612">
        <v>0.7</v>
      </c>
      <c r="H968" s="3353"/>
      <c r="AG968" s="3314"/>
      <c r="AH968" s="3467"/>
      <c r="AI968" s="3467"/>
      <c r="AJ968" s="3467"/>
      <c r="AK968" s="3467"/>
      <c r="AL968" s="3467"/>
    </row>
    <row r="969" spans="1:38" s="3309" customFormat="1" x14ac:dyDescent="0.2">
      <c r="A969" s="3459" t="s">
        <v>3412</v>
      </c>
      <c r="B969" s="3424" t="e">
        <f t="shared" ref="B969:G969" si="433">B961*B964*B966*B967*B968*B789</f>
        <v>#VALUE!</v>
      </c>
      <c r="C969" s="3424" t="e">
        <f t="shared" si="433"/>
        <v>#VALUE!</v>
      </c>
      <c r="D969" s="3424" t="e">
        <f t="shared" si="433"/>
        <v>#VALUE!</v>
      </c>
      <c r="E969" s="3424" t="e">
        <f t="shared" si="433"/>
        <v>#VALUE!</v>
      </c>
      <c r="F969" s="3424" t="e">
        <f t="shared" si="433"/>
        <v>#VALUE!</v>
      </c>
      <c r="G969" s="3424" t="e">
        <f t="shared" si="433"/>
        <v>#VALUE!</v>
      </c>
      <c r="H969" s="3353"/>
      <c r="AG969" s="3467"/>
      <c r="AH969" s="3467"/>
      <c r="AI969" s="3467"/>
      <c r="AJ969" s="3467"/>
      <c r="AK969" s="3467"/>
      <c r="AL969" s="3467"/>
    </row>
    <row r="970" spans="1:38" s="3309" customFormat="1" x14ac:dyDescent="0.2">
      <c r="A970" s="3416" t="s">
        <v>429</v>
      </c>
      <c r="B970" s="3424" t="e">
        <f t="shared" ref="B970:G970" si="434">B960/B969</f>
        <v>#DIV/0!</v>
      </c>
      <c r="C970" s="3424" t="e">
        <f t="shared" si="434"/>
        <v>#VALUE!</v>
      </c>
      <c r="D970" s="3424" t="e">
        <f t="shared" si="434"/>
        <v>#VALUE!</v>
      </c>
      <c r="E970" s="3424" t="e">
        <f t="shared" si="434"/>
        <v>#VALUE!</v>
      </c>
      <c r="F970" s="3424" t="e">
        <f t="shared" si="434"/>
        <v>#VALUE!</v>
      </c>
      <c r="G970" s="3424" t="e">
        <f t="shared" si="434"/>
        <v>#VALUE!</v>
      </c>
      <c r="H970" s="3353"/>
      <c r="AG970" s="3467"/>
      <c r="AH970" s="3467"/>
      <c r="AI970" s="3467"/>
      <c r="AJ970" s="3467"/>
      <c r="AK970" s="3467"/>
      <c r="AL970" s="3467"/>
    </row>
    <row r="971" spans="1:38" s="3309" customFormat="1" x14ac:dyDescent="0.2">
      <c r="A971" s="3411"/>
      <c r="B971" s="3379"/>
      <c r="C971" s="3412"/>
      <c r="D971" s="3412"/>
      <c r="E971" s="3412"/>
      <c r="F971" s="3412"/>
      <c r="G971" s="3412"/>
      <c r="H971" s="3353"/>
      <c r="AG971" s="3467"/>
      <c r="AH971" s="3467"/>
      <c r="AI971" s="3467"/>
      <c r="AJ971" s="3467"/>
      <c r="AK971" s="3467"/>
      <c r="AL971" s="3467"/>
    </row>
    <row r="972" spans="1:38" s="3309" customFormat="1" ht="38.25" x14ac:dyDescent="0.2">
      <c r="A972" s="3459" t="s">
        <v>6130</v>
      </c>
      <c r="B972" s="3379"/>
      <c r="C972" s="3412"/>
      <c r="D972" s="3412"/>
      <c r="E972" s="3412"/>
      <c r="F972" s="3412"/>
      <c r="G972" s="3412"/>
      <c r="H972" s="3353"/>
      <c r="AG972" s="3467"/>
      <c r="AH972" s="3467"/>
      <c r="AI972" s="3467"/>
      <c r="AJ972" s="3467"/>
      <c r="AK972" s="3467"/>
      <c r="AL972" s="3467"/>
    </row>
    <row r="973" spans="1:38" s="3309" customFormat="1" x14ac:dyDescent="0.2">
      <c r="A973" s="3542" t="s">
        <v>424</v>
      </c>
      <c r="B973" s="3379" t="e">
        <f t="shared" ref="B973:G973" si="435">((B922/B762+1)*B792*B736)/(B922-B794)</f>
        <v>#DIV/0!</v>
      </c>
      <c r="C973" s="3379" t="e">
        <f t="shared" si="435"/>
        <v>#DIV/0!</v>
      </c>
      <c r="D973" s="3379" t="e">
        <f t="shared" si="435"/>
        <v>#DIV/0!</v>
      </c>
      <c r="E973" s="3379" t="e">
        <f t="shared" si="435"/>
        <v>#DIV/0!</v>
      </c>
      <c r="F973" s="3379" t="e">
        <f t="shared" si="435"/>
        <v>#DIV/0!</v>
      </c>
      <c r="G973" s="3379" t="e">
        <f t="shared" si="435"/>
        <v>#DIV/0!</v>
      </c>
      <c r="H973" s="3353"/>
      <c r="AK973" s="3314"/>
      <c r="AL973" s="3314"/>
    </row>
    <row r="974" spans="1:38" s="3309" customFormat="1" x14ac:dyDescent="0.2">
      <c r="A974" s="3419" t="s">
        <v>1617</v>
      </c>
      <c r="B974" s="3551" t="e">
        <f t="shared" ref="B974:G974" si="436">400*B789</f>
        <v>#VALUE!</v>
      </c>
      <c r="C974" s="3551" t="e">
        <f t="shared" si="436"/>
        <v>#VALUE!</v>
      </c>
      <c r="D974" s="3551" t="e">
        <f t="shared" si="436"/>
        <v>#VALUE!</v>
      </c>
      <c r="E974" s="3551" t="e">
        <f t="shared" si="436"/>
        <v>#VALUE!</v>
      </c>
      <c r="F974" s="3551" t="e">
        <f t="shared" si="436"/>
        <v>#VALUE!</v>
      </c>
      <c r="G974" s="3551" t="e">
        <f t="shared" si="436"/>
        <v>#VALUE!</v>
      </c>
      <c r="H974" s="3353"/>
      <c r="AK974" s="3314"/>
      <c r="AL974" s="3314"/>
    </row>
    <row r="975" spans="1:38" s="3309" customFormat="1" x14ac:dyDescent="0.2">
      <c r="A975" s="3401" t="s">
        <v>429</v>
      </c>
      <c r="B975" s="3424" t="e">
        <f t="shared" ref="B975:G975" si="437">B973/B974</f>
        <v>#DIV/0!</v>
      </c>
      <c r="C975" s="3424" t="e">
        <f t="shared" si="437"/>
        <v>#DIV/0!</v>
      </c>
      <c r="D975" s="3424" t="e">
        <f t="shared" si="437"/>
        <v>#DIV/0!</v>
      </c>
      <c r="E975" s="3424" t="e">
        <f t="shared" si="437"/>
        <v>#DIV/0!</v>
      </c>
      <c r="F975" s="3424" t="e">
        <f t="shared" si="437"/>
        <v>#DIV/0!</v>
      </c>
      <c r="G975" s="3424" t="e">
        <f t="shared" si="437"/>
        <v>#DIV/0!</v>
      </c>
      <c r="H975" s="3353"/>
      <c r="AK975" s="3314"/>
      <c r="AL975" s="3314"/>
    </row>
    <row r="976" spans="1:38" s="3309" customFormat="1" x14ac:dyDescent="0.2">
      <c r="A976" s="3411"/>
      <c r="B976" s="3379"/>
      <c r="C976" s="3412"/>
      <c r="D976" s="3412"/>
      <c r="E976" s="3412"/>
      <c r="F976" s="3412"/>
      <c r="G976" s="3412"/>
      <c r="H976" s="3353"/>
      <c r="AK976" s="3314"/>
      <c r="AL976" s="3314"/>
    </row>
    <row r="977" spans="1:38" s="3309" customFormat="1" ht="38.25" x14ac:dyDescent="0.2">
      <c r="A977" s="3459" t="s">
        <v>6129</v>
      </c>
      <c r="B977" s="3379"/>
      <c r="C977" s="3412"/>
      <c r="D977" s="3412"/>
      <c r="E977" s="3412"/>
      <c r="F977" s="3412"/>
      <c r="G977" s="3412"/>
      <c r="H977" s="3353"/>
      <c r="AK977" s="3314"/>
      <c r="AL977" s="3314"/>
    </row>
    <row r="978" spans="1:38" s="3309" customFormat="1" x14ac:dyDescent="0.2">
      <c r="A978" s="3409" t="s">
        <v>211</v>
      </c>
      <c r="B978" s="3429">
        <f t="shared" ref="B978:G978" si="438">B183</f>
        <v>2.2000000000000002</v>
      </c>
      <c r="C978" s="3429">
        <f t="shared" si="438"/>
        <v>0</v>
      </c>
      <c r="D978" s="3429">
        <f t="shared" si="438"/>
        <v>0</v>
      </c>
      <c r="E978" s="3429">
        <f t="shared" si="438"/>
        <v>0</v>
      </c>
      <c r="F978" s="3429">
        <f t="shared" si="438"/>
        <v>0</v>
      </c>
      <c r="G978" s="3429">
        <f t="shared" si="438"/>
        <v>0</v>
      </c>
      <c r="H978" s="3353"/>
      <c r="AK978" s="3314"/>
      <c r="AL978" s="3314"/>
    </row>
    <row r="979" spans="1:38" s="3309" customFormat="1" x14ac:dyDescent="0.2">
      <c r="A979" s="3411" t="s">
        <v>4152</v>
      </c>
      <c r="B979" s="3417">
        <f t="shared" ref="B979:G979" si="439">B792*((B922-B794)/B978)*B736/(B922-B794)</f>
        <v>0</v>
      </c>
      <c r="C979" s="3417" t="e">
        <f t="shared" si="439"/>
        <v>#DIV/0!</v>
      </c>
      <c r="D979" s="3417" t="e">
        <f t="shared" si="439"/>
        <v>#DIV/0!</v>
      </c>
      <c r="E979" s="3417" t="e">
        <f t="shared" si="439"/>
        <v>#DIV/0!</v>
      </c>
      <c r="F979" s="3417" t="e">
        <f t="shared" si="439"/>
        <v>#DIV/0!</v>
      </c>
      <c r="G979" s="3417" t="e">
        <f t="shared" si="439"/>
        <v>#DIV/0!</v>
      </c>
      <c r="H979" s="3353"/>
      <c r="AK979" s="3314"/>
      <c r="AL979" s="3314"/>
    </row>
    <row r="980" spans="1:38" s="3309" customFormat="1" x14ac:dyDescent="0.2">
      <c r="A980" s="3411" t="s">
        <v>425</v>
      </c>
      <c r="B980" s="3406">
        <f t="shared" ref="B980:G980" si="440">INDEX($K$3087:$N$3099,B982,B984)</f>
        <v>9.1999999999999993</v>
      </c>
      <c r="C980" s="3406">
        <f t="shared" si="440"/>
        <v>43.6</v>
      </c>
      <c r="D980" s="3406">
        <f t="shared" si="440"/>
        <v>43.6</v>
      </c>
      <c r="E980" s="3406">
        <f t="shared" si="440"/>
        <v>43.6</v>
      </c>
      <c r="F980" s="3406">
        <f t="shared" si="440"/>
        <v>43.6</v>
      </c>
      <c r="G980" s="3406">
        <f t="shared" si="440"/>
        <v>43.6</v>
      </c>
      <c r="H980" s="3353"/>
      <c r="AK980" s="3314"/>
      <c r="AL980" s="3314"/>
    </row>
    <row r="981" spans="1:38" s="3309" customFormat="1" x14ac:dyDescent="0.2">
      <c r="A981" s="3419" t="s">
        <v>1719</v>
      </c>
      <c r="B981" s="3515"/>
      <c r="C981" s="3412"/>
      <c r="D981" s="3412"/>
      <c r="E981" s="3412"/>
      <c r="F981" s="3412"/>
      <c r="G981" s="3412"/>
      <c r="H981" s="3353"/>
    </row>
    <row r="982" spans="1:38" s="3309" customFormat="1" x14ac:dyDescent="0.2">
      <c r="A982" s="3411" t="s">
        <v>199</v>
      </c>
      <c r="B982" s="3550">
        <f t="shared" ref="B982:G982" si="441">IF(B735&lt;0.51,1,IF(B735&lt;0.61,2,IF(B735&lt;0.71,3,IF(B735&lt;0.81,4,IF(B735&lt;0.91,5,IF(B735&lt;1.01,6,IF(B735&lt;1.11,7,B983)))))))</f>
        <v>13</v>
      </c>
      <c r="C982" s="3550">
        <f t="shared" si="441"/>
        <v>1</v>
      </c>
      <c r="D982" s="3550">
        <f t="shared" si="441"/>
        <v>1</v>
      </c>
      <c r="E982" s="3550">
        <f t="shared" si="441"/>
        <v>1</v>
      </c>
      <c r="F982" s="3550">
        <f t="shared" si="441"/>
        <v>1</v>
      </c>
      <c r="G982" s="3550">
        <f t="shared" si="441"/>
        <v>1</v>
      </c>
      <c r="H982" s="3353"/>
    </row>
    <row r="983" spans="1:38" s="3309" customFormat="1" x14ac:dyDescent="0.2">
      <c r="A983" s="3419" t="s">
        <v>200</v>
      </c>
      <c r="B983" s="3550">
        <f t="shared" ref="B983:G983" si="442">IF(B735&lt;1.26,8,IF(B735&lt;1.41,9,IF(B735&lt;1.61,10,IF(B735&lt;1.81,11,IF(B735&lt;2.01,12,13)))))</f>
        <v>13</v>
      </c>
      <c r="C983" s="3550">
        <f t="shared" si="442"/>
        <v>8</v>
      </c>
      <c r="D983" s="3550">
        <f t="shared" si="442"/>
        <v>8</v>
      </c>
      <c r="E983" s="3550">
        <f t="shared" si="442"/>
        <v>8</v>
      </c>
      <c r="F983" s="3550">
        <f t="shared" si="442"/>
        <v>8</v>
      </c>
      <c r="G983" s="3550">
        <f t="shared" si="442"/>
        <v>8</v>
      </c>
      <c r="H983" s="3353"/>
    </row>
    <row r="984" spans="1:38" s="3309" customFormat="1" x14ac:dyDescent="0.2">
      <c r="A984" s="3411" t="s">
        <v>201</v>
      </c>
      <c r="B984" s="3550">
        <f t="shared" ref="B984:G984" si="443">IF(B750&lt;21,1,IF(B750&lt;36,2,IF(B750&lt;56,3,4)))</f>
        <v>4</v>
      </c>
      <c r="C984" s="3550">
        <f t="shared" si="443"/>
        <v>1</v>
      </c>
      <c r="D984" s="3550">
        <f t="shared" si="443"/>
        <v>1</v>
      </c>
      <c r="E984" s="3550">
        <f t="shared" si="443"/>
        <v>1</v>
      </c>
      <c r="F984" s="3550">
        <f t="shared" si="443"/>
        <v>1</v>
      </c>
      <c r="G984" s="3550">
        <f t="shared" si="443"/>
        <v>1</v>
      </c>
      <c r="H984" s="3353"/>
    </row>
    <row r="985" spans="1:38" s="3309" customFormat="1" x14ac:dyDescent="0.2">
      <c r="A985" s="3411" t="s">
        <v>3391</v>
      </c>
      <c r="B985" s="3515"/>
      <c r="C985" s="3412"/>
      <c r="D985" s="3412"/>
      <c r="E985" s="3412"/>
      <c r="F985" s="3412"/>
      <c r="G985" s="3412"/>
      <c r="H985" s="3353"/>
    </row>
    <row r="986" spans="1:38" s="3309" customFormat="1" ht="25.5" x14ac:dyDescent="0.2">
      <c r="A986" s="3528" t="s">
        <v>1724</v>
      </c>
      <c r="B986" s="3611">
        <v>0</v>
      </c>
      <c r="C986" s="3611">
        <v>0</v>
      </c>
      <c r="D986" s="3611">
        <v>0</v>
      </c>
      <c r="E986" s="3611">
        <v>0</v>
      </c>
      <c r="F986" s="3611">
        <v>0</v>
      </c>
      <c r="G986" s="3611">
        <v>0</v>
      </c>
      <c r="H986" s="3353"/>
    </row>
    <row r="987" spans="1:38" s="3309" customFormat="1" x14ac:dyDescent="0.2">
      <c r="A987" s="3459" t="s">
        <v>1725</v>
      </c>
      <c r="B987" s="3379">
        <f t="shared" ref="B987:G987" si="444">IF(B986=1,1.15,1)</f>
        <v>1</v>
      </c>
      <c r="C987" s="3379">
        <f t="shared" si="444"/>
        <v>1</v>
      </c>
      <c r="D987" s="3379">
        <f t="shared" si="444"/>
        <v>1</v>
      </c>
      <c r="E987" s="3379">
        <f t="shared" si="444"/>
        <v>1</v>
      </c>
      <c r="F987" s="3379">
        <f t="shared" si="444"/>
        <v>1</v>
      </c>
      <c r="G987" s="3379">
        <f t="shared" si="444"/>
        <v>1</v>
      </c>
      <c r="H987" s="3353"/>
    </row>
    <row r="988" spans="1:38" s="3309" customFormat="1" x14ac:dyDescent="0.2">
      <c r="A988" s="3528" t="s">
        <v>5573</v>
      </c>
      <c r="B988" s="3527">
        <f t="shared" ref="B988:G988" si="445">B851</f>
        <v>0</v>
      </c>
      <c r="C988" s="3527">
        <f t="shared" si="445"/>
        <v>0</v>
      </c>
      <c r="D988" s="3527">
        <f t="shared" si="445"/>
        <v>0</v>
      </c>
      <c r="E988" s="3527">
        <f t="shared" si="445"/>
        <v>0</v>
      </c>
      <c r="F988" s="3527">
        <f t="shared" si="445"/>
        <v>0</v>
      </c>
      <c r="G988" s="3527">
        <f t="shared" si="445"/>
        <v>0</v>
      </c>
      <c r="H988" s="3353"/>
    </row>
    <row r="989" spans="1:38" s="3309" customFormat="1" x14ac:dyDescent="0.2">
      <c r="A989" s="3459" t="s">
        <v>2636</v>
      </c>
      <c r="B989" s="3379">
        <f t="shared" ref="B989:G989" si="446">IF(B988=1,1.15,1)</f>
        <v>1</v>
      </c>
      <c r="C989" s="3379">
        <f t="shared" si="446"/>
        <v>1</v>
      </c>
      <c r="D989" s="3379">
        <f t="shared" si="446"/>
        <v>1</v>
      </c>
      <c r="E989" s="3379">
        <f t="shared" si="446"/>
        <v>1</v>
      </c>
      <c r="F989" s="3379">
        <f t="shared" si="446"/>
        <v>1</v>
      </c>
      <c r="G989" s="3379">
        <f t="shared" si="446"/>
        <v>1</v>
      </c>
      <c r="H989" s="3353"/>
    </row>
    <row r="990" spans="1:38" s="3309" customFormat="1" ht="25.5" x14ac:dyDescent="0.2">
      <c r="A990" s="3459" t="s">
        <v>2637</v>
      </c>
      <c r="B990" s="3379">
        <f t="shared" ref="B990:G990" si="447">IF(B756&lt;2,0.85,1)</f>
        <v>1</v>
      </c>
      <c r="C990" s="3379">
        <f t="shared" si="447"/>
        <v>0.85</v>
      </c>
      <c r="D990" s="3379">
        <f t="shared" si="447"/>
        <v>0.85</v>
      </c>
      <c r="E990" s="3379">
        <f t="shared" si="447"/>
        <v>0.85</v>
      </c>
      <c r="F990" s="3379">
        <f t="shared" si="447"/>
        <v>0.85</v>
      </c>
      <c r="G990" s="3379">
        <f t="shared" si="447"/>
        <v>0.85</v>
      </c>
      <c r="H990" s="3353"/>
      <c r="AL990" s="3467"/>
    </row>
    <row r="991" spans="1:38" s="3309" customFormat="1" x14ac:dyDescent="0.2">
      <c r="A991" s="3459" t="s">
        <v>1743</v>
      </c>
      <c r="B991" s="3607">
        <v>0.7</v>
      </c>
      <c r="C991" s="3607">
        <v>0.7</v>
      </c>
      <c r="D991" s="3607">
        <v>0.7</v>
      </c>
      <c r="E991" s="3607">
        <v>0.7</v>
      </c>
      <c r="F991" s="3607">
        <v>0.7</v>
      </c>
      <c r="G991" s="3607">
        <v>0.7</v>
      </c>
      <c r="H991" s="3353"/>
      <c r="AG991" s="3353"/>
      <c r="AH991" s="3353"/>
      <c r="AI991" s="3353"/>
      <c r="AJ991" s="3353"/>
      <c r="AK991" s="3353"/>
      <c r="AL991" s="3353"/>
    </row>
    <row r="992" spans="1:38" s="3309" customFormat="1" ht="25.5" x14ac:dyDescent="0.2">
      <c r="A992" s="3459" t="s">
        <v>202</v>
      </c>
      <c r="B992" s="3379">
        <f t="shared" ref="B992:G992" si="448">IF(B978&lt;2,0.8,0.7)</f>
        <v>0.7</v>
      </c>
      <c r="C992" s="3379">
        <f t="shared" si="448"/>
        <v>0.8</v>
      </c>
      <c r="D992" s="3379">
        <f t="shared" si="448"/>
        <v>0.8</v>
      </c>
      <c r="E992" s="3379">
        <f t="shared" si="448"/>
        <v>0.8</v>
      </c>
      <c r="F992" s="3379">
        <f t="shared" si="448"/>
        <v>0.8</v>
      </c>
      <c r="G992" s="3379">
        <f t="shared" si="448"/>
        <v>0.8</v>
      </c>
      <c r="H992" s="3353"/>
      <c r="I992" s="3353"/>
      <c r="J992" s="3353"/>
      <c r="K992" s="3353"/>
      <c r="L992" s="3353"/>
      <c r="O992" s="3353"/>
      <c r="P992" s="3353"/>
      <c r="Q992" s="3353"/>
      <c r="R992" s="3353"/>
      <c r="S992" s="3353"/>
      <c r="T992" s="3353"/>
      <c r="U992" s="3353"/>
      <c r="V992" s="3353"/>
      <c r="W992" s="3353"/>
      <c r="X992" s="3353"/>
      <c r="AE992" s="3353"/>
      <c r="AF992" s="3353"/>
      <c r="AG992" s="3353"/>
      <c r="AH992" s="3353"/>
      <c r="AI992" s="3353"/>
      <c r="AJ992" s="3353"/>
      <c r="AK992" s="3353"/>
      <c r="AL992" s="3353"/>
    </row>
    <row r="993" spans="1:38" s="3309" customFormat="1" x14ac:dyDescent="0.2">
      <c r="A993" s="3459" t="s">
        <v>203</v>
      </c>
      <c r="B993" s="3424" t="e">
        <f t="shared" ref="B993:G993" si="449">B980*B987*B989*B990*B991*B992*B789</f>
        <v>#VALUE!</v>
      </c>
      <c r="C993" s="3424" t="e">
        <f t="shared" si="449"/>
        <v>#VALUE!</v>
      </c>
      <c r="D993" s="3424" t="e">
        <f t="shared" si="449"/>
        <v>#VALUE!</v>
      </c>
      <c r="E993" s="3424" t="e">
        <f t="shared" si="449"/>
        <v>#VALUE!</v>
      </c>
      <c r="F993" s="3424" t="e">
        <f t="shared" si="449"/>
        <v>#VALUE!</v>
      </c>
      <c r="G993" s="3424" t="e">
        <f t="shared" si="449"/>
        <v>#VALUE!</v>
      </c>
      <c r="H993" s="3353"/>
      <c r="I993" s="3353"/>
      <c r="J993" s="3353"/>
      <c r="K993" s="3353"/>
      <c r="L993" s="3353"/>
      <c r="M993" s="3353"/>
      <c r="N993" s="3353"/>
      <c r="O993" s="3353"/>
      <c r="P993" s="3353"/>
      <c r="Q993" s="3353"/>
      <c r="R993" s="3353"/>
      <c r="S993" s="3353"/>
      <c r="T993" s="3353"/>
      <c r="U993" s="3353"/>
      <c r="V993" s="3353"/>
      <c r="W993" s="3353"/>
      <c r="X993" s="3353"/>
      <c r="Y993" s="3353"/>
      <c r="Z993" s="3353"/>
      <c r="AA993" s="3353"/>
      <c r="AB993" s="3353"/>
      <c r="AC993" s="3353"/>
      <c r="AD993" s="3353"/>
      <c r="AE993" s="3353"/>
      <c r="AF993" s="3353"/>
      <c r="AG993" s="3353"/>
      <c r="AH993" s="3353"/>
      <c r="AI993" s="3353"/>
      <c r="AJ993" s="3353"/>
      <c r="AK993" s="3353"/>
      <c r="AL993" s="3353"/>
    </row>
    <row r="994" spans="1:38" s="3309" customFormat="1" x14ac:dyDescent="0.2">
      <c r="A994" s="3401" t="s">
        <v>429</v>
      </c>
      <c r="B994" s="3424" t="e">
        <f t="shared" ref="B994:G994" si="450">B979/B993</f>
        <v>#VALUE!</v>
      </c>
      <c r="C994" s="3424" t="e">
        <f t="shared" si="450"/>
        <v>#DIV/0!</v>
      </c>
      <c r="D994" s="3424" t="e">
        <f t="shared" si="450"/>
        <v>#DIV/0!</v>
      </c>
      <c r="E994" s="3424" t="e">
        <f t="shared" si="450"/>
        <v>#DIV/0!</v>
      </c>
      <c r="F994" s="3424" t="e">
        <f t="shared" si="450"/>
        <v>#DIV/0!</v>
      </c>
      <c r="G994" s="3424" t="e">
        <f t="shared" si="450"/>
        <v>#DIV/0!</v>
      </c>
      <c r="H994" s="3353"/>
      <c r="I994" s="3353"/>
      <c r="J994" s="3353"/>
      <c r="K994" s="3353"/>
      <c r="L994" s="3353"/>
      <c r="M994" s="3353"/>
      <c r="N994" s="3353"/>
      <c r="O994" s="3353"/>
      <c r="P994" s="3353"/>
      <c r="Q994" s="3353"/>
      <c r="R994" s="3353"/>
      <c r="S994" s="3353"/>
      <c r="T994" s="3353"/>
      <c r="U994" s="3353"/>
      <c r="V994" s="3353"/>
      <c r="W994" s="3353"/>
      <c r="X994" s="3353"/>
      <c r="Y994" s="3353"/>
      <c r="Z994" s="3353"/>
      <c r="AA994" s="3353"/>
      <c r="AB994" s="3353"/>
      <c r="AC994" s="3353"/>
      <c r="AD994" s="3353"/>
      <c r="AE994" s="3353"/>
      <c r="AF994" s="3353"/>
      <c r="AG994" s="3353"/>
      <c r="AH994" s="3353"/>
      <c r="AI994" s="3353"/>
      <c r="AJ994" s="3353"/>
      <c r="AK994" s="3353"/>
      <c r="AL994" s="3353"/>
    </row>
    <row r="995" spans="1:38" s="3309" customFormat="1" x14ac:dyDescent="0.2">
      <c r="A995" s="3401" t="s">
        <v>6128</v>
      </c>
      <c r="B995" s="3382" t="e">
        <f t="shared" ref="B995:G995" si="451">B994+B975+B970+B957+B944+B937</f>
        <v>#VALUE!</v>
      </c>
      <c r="C995" s="3382" t="e">
        <f t="shared" si="451"/>
        <v>#DIV/0!</v>
      </c>
      <c r="D995" s="3382" t="e">
        <f t="shared" si="451"/>
        <v>#DIV/0!</v>
      </c>
      <c r="E995" s="3382" t="e">
        <f t="shared" si="451"/>
        <v>#DIV/0!</v>
      </c>
      <c r="F995" s="3382" t="e">
        <f t="shared" si="451"/>
        <v>#DIV/0!</v>
      </c>
      <c r="G995" s="3382" t="e">
        <f t="shared" si="451"/>
        <v>#DIV/0!</v>
      </c>
      <c r="H995" s="3353"/>
      <c r="I995" s="3353"/>
      <c r="J995" s="3353"/>
      <c r="K995" s="3353"/>
      <c r="L995" s="3353"/>
      <c r="M995" s="3353"/>
      <c r="N995" s="3353"/>
      <c r="O995" s="3353"/>
      <c r="P995" s="3353"/>
      <c r="Q995" s="3353"/>
      <c r="R995" s="3353"/>
      <c r="S995" s="3353"/>
      <c r="T995" s="3353"/>
      <c r="U995" s="3353"/>
      <c r="V995" s="3353"/>
      <c r="W995" s="3353"/>
      <c r="X995" s="3353"/>
      <c r="Y995" s="3353"/>
      <c r="Z995" s="3353"/>
      <c r="AA995" s="3353"/>
      <c r="AB995" s="3353"/>
      <c r="AC995" s="3353"/>
      <c r="AD995" s="3353"/>
      <c r="AE995" s="3353"/>
      <c r="AF995" s="3353"/>
      <c r="AG995" s="3353"/>
      <c r="AH995" s="3353"/>
      <c r="AI995" s="3353"/>
      <c r="AJ995" s="3353"/>
      <c r="AK995" s="3353"/>
      <c r="AL995" s="3353"/>
    </row>
    <row r="996" spans="1:38" s="3309" customFormat="1" x14ac:dyDescent="0.2">
      <c r="A996" s="3421" t="s">
        <v>6127</v>
      </c>
      <c r="B996" s="3382"/>
      <c r="C996" s="3382"/>
      <c r="D996" s="3382"/>
      <c r="E996" s="3382"/>
      <c r="F996" s="3382"/>
      <c r="G996" s="3382"/>
      <c r="H996" s="3353"/>
      <c r="I996" s="3353"/>
      <c r="J996" s="3353"/>
      <c r="K996" s="3353"/>
      <c r="L996" s="3353"/>
      <c r="M996" s="3353"/>
      <c r="N996" s="3353"/>
      <c r="O996" s="3353"/>
      <c r="P996" s="3353"/>
      <c r="Q996" s="3353"/>
      <c r="R996" s="3353"/>
      <c r="S996" s="3353"/>
      <c r="T996" s="3353"/>
      <c r="U996" s="3353"/>
      <c r="V996" s="3353"/>
      <c r="W996" s="3353"/>
      <c r="X996" s="3353"/>
      <c r="Y996" s="3353"/>
      <c r="Z996" s="3353"/>
      <c r="AA996" s="3353"/>
      <c r="AB996" s="3353"/>
      <c r="AC996" s="3353"/>
      <c r="AD996" s="3353"/>
      <c r="AE996" s="3353"/>
      <c r="AF996" s="3353"/>
      <c r="AG996" s="3353"/>
      <c r="AH996" s="3353"/>
      <c r="AI996" s="3353"/>
      <c r="AJ996" s="3353"/>
      <c r="AK996" s="3353"/>
      <c r="AL996" s="3353"/>
    </row>
    <row r="997" spans="1:38" s="3309" customFormat="1" ht="25.5" x14ac:dyDescent="0.2">
      <c r="A997" s="3542" t="s">
        <v>6126</v>
      </c>
      <c r="B997" s="3379" t="e">
        <f t="shared" ref="B997:G997" si="452">(1/B767)*((B739-B738)/B763+1)</f>
        <v>#DIV/0!</v>
      </c>
      <c r="C997" s="3379" t="e">
        <f t="shared" si="452"/>
        <v>#DIV/0!</v>
      </c>
      <c r="D997" s="3379" t="e">
        <f t="shared" si="452"/>
        <v>#DIV/0!</v>
      </c>
      <c r="E997" s="3379" t="e">
        <f t="shared" si="452"/>
        <v>#DIV/0!</v>
      </c>
      <c r="F997" s="3379" t="e">
        <f t="shared" si="452"/>
        <v>#DIV/0!</v>
      </c>
      <c r="G997" s="3379" t="e">
        <f t="shared" si="452"/>
        <v>#DIV/0!</v>
      </c>
      <c r="H997" s="3353"/>
      <c r="I997" s="3353"/>
      <c r="J997" s="3353"/>
      <c r="K997" s="3353"/>
      <c r="L997" s="3353"/>
      <c r="M997" s="3353"/>
      <c r="N997" s="3353"/>
      <c r="O997" s="3353"/>
      <c r="P997" s="3353"/>
      <c r="Q997" s="3353"/>
      <c r="R997" s="3353"/>
      <c r="S997" s="3353"/>
      <c r="T997" s="3353"/>
      <c r="U997" s="3353"/>
      <c r="V997" s="3353"/>
      <c r="W997" s="3353"/>
      <c r="X997" s="3353"/>
      <c r="Y997" s="3353"/>
      <c r="Z997" s="3353"/>
      <c r="AA997" s="3353"/>
      <c r="AB997" s="3353"/>
      <c r="AC997" s="3353"/>
      <c r="AD997" s="3353"/>
      <c r="AE997" s="3353"/>
      <c r="AF997" s="3353"/>
      <c r="AG997" s="3353"/>
      <c r="AH997" s="3353"/>
      <c r="AI997" s="3353"/>
      <c r="AJ997" s="3353"/>
      <c r="AK997" s="3353"/>
      <c r="AL997" s="3353"/>
    </row>
    <row r="998" spans="1:38" s="3309" customFormat="1" x14ac:dyDescent="0.2">
      <c r="A998" s="3365" t="s">
        <v>6125</v>
      </c>
      <c r="B998" s="3549" t="e">
        <f t="shared" ref="B998:G998" si="453">13.58*LN(B735)+27.457</f>
        <v>#VALUE!</v>
      </c>
      <c r="C998" s="3549" t="e">
        <f t="shared" si="453"/>
        <v>#NUM!</v>
      </c>
      <c r="D998" s="3549" t="e">
        <f t="shared" si="453"/>
        <v>#NUM!</v>
      </c>
      <c r="E998" s="3549" t="e">
        <f t="shared" si="453"/>
        <v>#NUM!</v>
      </c>
      <c r="F998" s="3549" t="e">
        <f t="shared" si="453"/>
        <v>#NUM!</v>
      </c>
      <c r="G998" s="3549" t="e">
        <f t="shared" si="453"/>
        <v>#NUM!</v>
      </c>
      <c r="H998" s="3353"/>
      <c r="I998" s="3353"/>
      <c r="J998" s="3353"/>
      <c r="K998" s="3353"/>
      <c r="L998" s="3353"/>
      <c r="M998" s="3353"/>
      <c r="N998" s="3353"/>
      <c r="O998" s="3353"/>
      <c r="P998" s="3353"/>
      <c r="Q998" s="3353"/>
      <c r="R998" s="3353"/>
      <c r="S998" s="3353"/>
      <c r="T998" s="3353"/>
      <c r="U998" s="3353"/>
      <c r="V998" s="3353"/>
      <c r="W998" s="3353"/>
      <c r="X998" s="3353"/>
      <c r="Y998" s="3353"/>
      <c r="Z998" s="3353"/>
      <c r="AA998" s="3353"/>
      <c r="AB998" s="3353"/>
      <c r="AC998" s="3353"/>
      <c r="AD998" s="3353"/>
      <c r="AE998" s="3353"/>
      <c r="AF998" s="3353"/>
      <c r="AG998" s="3353"/>
      <c r="AH998" s="3353"/>
      <c r="AI998" s="3353"/>
      <c r="AJ998" s="3353"/>
      <c r="AK998" s="3353"/>
      <c r="AL998" s="3353"/>
    </row>
    <row r="999" spans="1:38" s="3309" customFormat="1" x14ac:dyDescent="0.2">
      <c r="A999" s="3534" t="s">
        <v>6124</v>
      </c>
      <c r="B999" s="3380" t="e">
        <f t="shared" ref="B999:G999" si="454">IF(B998&lt;24.2,1,IF(B998&lt;28,2,IF(B998&lt;32,3,IF(B998&lt;36.2,4,IF(B998&lt;41,5,B1000)))))</f>
        <v>#VALUE!</v>
      </c>
      <c r="C999" s="3380" t="e">
        <f t="shared" si="454"/>
        <v>#NUM!</v>
      </c>
      <c r="D999" s="3380" t="e">
        <f t="shared" si="454"/>
        <v>#NUM!</v>
      </c>
      <c r="E999" s="3380" t="e">
        <f t="shared" si="454"/>
        <v>#NUM!</v>
      </c>
      <c r="F999" s="3380" t="e">
        <f t="shared" si="454"/>
        <v>#NUM!</v>
      </c>
      <c r="G999" s="3380" t="e">
        <f t="shared" si="454"/>
        <v>#NUM!</v>
      </c>
      <c r="H999" s="3353"/>
      <c r="I999" s="3353"/>
      <c r="J999" s="3353"/>
      <c r="K999" s="3353"/>
      <c r="L999" s="3353"/>
      <c r="M999" s="3353"/>
      <c r="N999" s="3353"/>
      <c r="O999" s="3353"/>
      <c r="P999" s="3353"/>
      <c r="Q999" s="3353"/>
      <c r="R999" s="3353"/>
      <c r="S999" s="3353"/>
      <c r="T999" s="3353"/>
      <c r="U999" s="3353"/>
      <c r="V999" s="3353"/>
      <c r="W999" s="3353"/>
      <c r="X999" s="3353"/>
      <c r="Y999" s="3353"/>
      <c r="Z999" s="3353"/>
      <c r="AA999" s="3353"/>
      <c r="AB999" s="3353"/>
      <c r="AC999" s="3353"/>
      <c r="AD999" s="3353"/>
      <c r="AE999" s="3353"/>
      <c r="AF999" s="3353"/>
      <c r="AG999" s="3353"/>
      <c r="AH999" s="3353"/>
      <c r="AI999" s="3353"/>
      <c r="AJ999" s="3353"/>
      <c r="AK999" s="3353"/>
      <c r="AL999" s="3353"/>
    </row>
    <row r="1000" spans="1:38" s="3309" customFormat="1" x14ac:dyDescent="0.2">
      <c r="A1000" s="3538" t="s">
        <v>3001</v>
      </c>
      <c r="B1000" s="3380" t="e">
        <f t="shared" ref="B1000:G1000" si="455">IF(B998&lt;46,6,IF(B998&lt;51.2,7,IF(B998&lt;57,8,IF(B998&lt;63,9,IF(B998&lt;69.6,10,11)))))</f>
        <v>#VALUE!</v>
      </c>
      <c r="C1000" s="3380" t="e">
        <f t="shared" si="455"/>
        <v>#NUM!</v>
      </c>
      <c r="D1000" s="3380" t="e">
        <f t="shared" si="455"/>
        <v>#NUM!</v>
      </c>
      <c r="E1000" s="3380" t="e">
        <f t="shared" si="455"/>
        <v>#NUM!</v>
      </c>
      <c r="F1000" s="3380" t="e">
        <f t="shared" si="455"/>
        <v>#NUM!</v>
      </c>
      <c r="G1000" s="3380" t="e">
        <f t="shared" si="455"/>
        <v>#NUM!</v>
      </c>
      <c r="H1000" s="3353"/>
      <c r="I1000" s="3353"/>
      <c r="J1000" s="3353"/>
      <c r="K1000" s="3353"/>
      <c r="L1000" s="3353"/>
      <c r="M1000" s="3353"/>
      <c r="N1000" s="3353"/>
      <c r="O1000" s="3353"/>
      <c r="P1000" s="3353"/>
      <c r="Q1000" s="3353"/>
      <c r="R1000" s="3353"/>
      <c r="S1000" s="3353"/>
      <c r="T1000" s="3353"/>
      <c r="U1000" s="3353"/>
      <c r="V1000" s="3353"/>
      <c r="W1000" s="3353"/>
      <c r="X1000" s="3353"/>
      <c r="Y1000" s="3353"/>
      <c r="Z1000" s="3353"/>
      <c r="AA1000" s="3353"/>
      <c r="AB1000" s="3353"/>
      <c r="AC1000" s="3353"/>
      <c r="AD1000" s="3353"/>
      <c r="AE1000" s="3353"/>
      <c r="AF1000" s="3353"/>
      <c r="AG1000" s="3353"/>
      <c r="AH1000" s="3353"/>
      <c r="AI1000" s="3353"/>
      <c r="AJ1000" s="3353"/>
      <c r="AK1000" s="3353"/>
      <c r="AL1000" s="3353"/>
    </row>
    <row r="1001" spans="1:38" s="3309" customFormat="1" x14ac:dyDescent="0.2">
      <c r="A1001" s="3365" t="s">
        <v>5598</v>
      </c>
      <c r="B1001" s="3380" t="e">
        <f t="shared" ref="B1001:G1001" si="456">INDEX($C$2918:$C$2928,B999)</f>
        <v>#VALUE!</v>
      </c>
      <c r="C1001" s="3380" t="e">
        <f t="shared" si="456"/>
        <v>#NUM!</v>
      </c>
      <c r="D1001" s="3380" t="e">
        <f t="shared" si="456"/>
        <v>#NUM!</v>
      </c>
      <c r="E1001" s="3380" t="e">
        <f t="shared" si="456"/>
        <v>#NUM!</v>
      </c>
      <c r="F1001" s="3380" t="e">
        <f t="shared" si="456"/>
        <v>#NUM!</v>
      </c>
      <c r="G1001" s="3380" t="e">
        <f t="shared" si="456"/>
        <v>#NUM!</v>
      </c>
      <c r="H1001" s="3353"/>
      <c r="I1001" s="3353"/>
      <c r="J1001" s="3353"/>
      <c r="K1001" s="3353"/>
      <c r="L1001" s="3353"/>
      <c r="M1001" s="3353"/>
      <c r="N1001" s="3353"/>
      <c r="O1001" s="3353"/>
      <c r="P1001" s="3353"/>
      <c r="Q1001" s="3353"/>
      <c r="R1001" s="3353"/>
      <c r="S1001" s="3353"/>
      <c r="T1001" s="3353"/>
      <c r="U1001" s="3353"/>
      <c r="V1001" s="3353"/>
      <c r="W1001" s="3353"/>
      <c r="X1001" s="3353"/>
      <c r="Y1001" s="3353"/>
      <c r="Z1001" s="3353"/>
      <c r="AA1001" s="3353"/>
      <c r="AB1001" s="3353"/>
      <c r="AC1001" s="3353"/>
      <c r="AD1001" s="3353"/>
      <c r="AE1001" s="3353"/>
      <c r="AF1001" s="3353"/>
      <c r="AG1001" s="3353"/>
      <c r="AH1001" s="3353"/>
      <c r="AI1001" s="3353"/>
      <c r="AJ1001" s="3353"/>
      <c r="AK1001" s="3353"/>
      <c r="AL1001" s="3353"/>
    </row>
    <row r="1002" spans="1:38" s="3309" customFormat="1" x14ac:dyDescent="0.2">
      <c r="A1002" s="3537" t="s">
        <v>1723</v>
      </c>
      <c r="B1002" s="3365"/>
      <c r="C1002" s="3365"/>
      <c r="D1002" s="3365"/>
      <c r="E1002" s="3365"/>
      <c r="F1002" s="3365"/>
      <c r="G1002" s="3365"/>
      <c r="H1002" s="3353"/>
      <c r="I1002" s="3353"/>
      <c r="J1002" s="3353"/>
      <c r="K1002" s="3353"/>
      <c r="L1002" s="3353"/>
      <c r="M1002" s="3353"/>
      <c r="N1002" s="3353"/>
      <c r="O1002" s="3353"/>
      <c r="P1002" s="3353"/>
      <c r="Q1002" s="3353"/>
      <c r="R1002" s="3353"/>
      <c r="S1002" s="3353"/>
      <c r="T1002" s="3353"/>
      <c r="U1002" s="3353"/>
      <c r="V1002" s="3353"/>
      <c r="W1002" s="3353"/>
      <c r="X1002" s="3353"/>
      <c r="Y1002" s="3353"/>
      <c r="Z1002" s="3353"/>
      <c r="AA1002" s="3353"/>
      <c r="AB1002" s="3353"/>
      <c r="AC1002" s="3353"/>
      <c r="AD1002" s="3353"/>
      <c r="AE1002" s="3353"/>
      <c r="AF1002" s="3353"/>
      <c r="AG1002" s="3353"/>
      <c r="AH1002" s="3353"/>
      <c r="AI1002" s="3353"/>
      <c r="AJ1002" s="3353"/>
      <c r="AK1002" s="3353"/>
      <c r="AL1002" s="3353"/>
    </row>
    <row r="1003" spans="1:38" s="3309" customFormat="1" x14ac:dyDescent="0.2">
      <c r="A1003" s="3548" t="s">
        <v>6123</v>
      </c>
      <c r="B1003" s="3380">
        <f t="shared" ref="B1003:G1003" si="457">IF(B767=1.25,0.9,1)</f>
        <v>1</v>
      </c>
      <c r="C1003" s="3380">
        <f t="shared" si="457"/>
        <v>1</v>
      </c>
      <c r="D1003" s="3380">
        <f t="shared" si="457"/>
        <v>1</v>
      </c>
      <c r="E1003" s="3380">
        <f t="shared" si="457"/>
        <v>1</v>
      </c>
      <c r="F1003" s="3380">
        <f t="shared" si="457"/>
        <v>1</v>
      </c>
      <c r="G1003" s="3380">
        <f t="shared" si="457"/>
        <v>1</v>
      </c>
      <c r="H1003" s="3353"/>
      <c r="I1003" s="3353"/>
      <c r="J1003" s="3353"/>
      <c r="K1003" s="3353"/>
      <c r="L1003" s="3353"/>
      <c r="M1003" s="3353"/>
      <c r="N1003" s="3353"/>
      <c r="O1003" s="3353"/>
      <c r="P1003" s="3353"/>
      <c r="Q1003" s="3353"/>
      <c r="R1003" s="3353"/>
      <c r="S1003" s="3353"/>
      <c r="T1003" s="3353"/>
      <c r="U1003" s="3353"/>
      <c r="V1003" s="3353"/>
      <c r="W1003" s="3353"/>
      <c r="X1003" s="3353"/>
      <c r="Y1003" s="3353"/>
      <c r="Z1003" s="3353"/>
      <c r="AA1003" s="3353"/>
      <c r="AB1003" s="3353"/>
      <c r="AC1003" s="3353"/>
      <c r="AD1003" s="3353"/>
      <c r="AE1003" s="3353"/>
      <c r="AF1003" s="3353"/>
      <c r="AG1003" s="3353"/>
      <c r="AH1003" s="3353"/>
      <c r="AI1003" s="3353"/>
      <c r="AJ1003" s="3353"/>
      <c r="AK1003" s="3353"/>
      <c r="AL1003" s="3353"/>
    </row>
    <row r="1004" spans="1:38" s="3309" customFormat="1" x14ac:dyDescent="0.2">
      <c r="A1004" s="3548" t="s">
        <v>5164</v>
      </c>
      <c r="B1004" s="3380">
        <f t="shared" ref="B1004:G1004" si="458">IF(B750&lt;21,1,IF(B750&lt;31,0.9,0.8))</f>
        <v>0.8</v>
      </c>
      <c r="C1004" s="3380">
        <f t="shared" si="458"/>
        <v>1</v>
      </c>
      <c r="D1004" s="3380">
        <f t="shared" si="458"/>
        <v>1</v>
      </c>
      <c r="E1004" s="3380">
        <f t="shared" si="458"/>
        <v>1</v>
      </c>
      <c r="F1004" s="3380">
        <f t="shared" si="458"/>
        <v>1</v>
      </c>
      <c r="G1004" s="3380">
        <f t="shared" si="458"/>
        <v>1</v>
      </c>
      <c r="H1004" s="3353"/>
      <c r="I1004" s="3353"/>
      <c r="J1004" s="3353"/>
      <c r="K1004" s="3353"/>
      <c r="L1004" s="3353"/>
      <c r="M1004" s="3353"/>
      <c r="N1004" s="3353"/>
      <c r="O1004" s="3353"/>
      <c r="P1004" s="3353"/>
      <c r="Q1004" s="3353"/>
      <c r="R1004" s="3353"/>
      <c r="S1004" s="3353"/>
      <c r="T1004" s="3353"/>
      <c r="U1004" s="3353"/>
      <c r="V1004" s="3353"/>
      <c r="W1004" s="3353"/>
      <c r="X1004" s="3353"/>
      <c r="Y1004" s="3353"/>
      <c r="Z1004" s="3353"/>
      <c r="AA1004" s="3353"/>
      <c r="AB1004" s="3353"/>
      <c r="AC1004" s="3353"/>
      <c r="AD1004" s="3353"/>
      <c r="AE1004" s="3353"/>
      <c r="AF1004" s="3353"/>
      <c r="AG1004" s="3353"/>
      <c r="AH1004" s="3353"/>
      <c r="AI1004" s="3353"/>
      <c r="AJ1004" s="3353"/>
      <c r="AK1004" s="3353"/>
      <c r="AL1004" s="3353"/>
    </row>
    <row r="1005" spans="1:38" s="3309" customFormat="1" x14ac:dyDescent="0.2">
      <c r="A1005" s="3548" t="s">
        <v>3059</v>
      </c>
      <c r="B1005" s="3380">
        <f t="shared" ref="B1005:G1005" si="459">B1003*B1004</f>
        <v>0.8</v>
      </c>
      <c r="C1005" s="3380">
        <f t="shared" si="459"/>
        <v>1</v>
      </c>
      <c r="D1005" s="3380">
        <f t="shared" si="459"/>
        <v>1</v>
      </c>
      <c r="E1005" s="3380">
        <f t="shared" si="459"/>
        <v>1</v>
      </c>
      <c r="F1005" s="3380">
        <f t="shared" si="459"/>
        <v>1</v>
      </c>
      <c r="G1005" s="3380">
        <f t="shared" si="459"/>
        <v>1</v>
      </c>
      <c r="H1005" s="3353"/>
      <c r="I1005" s="3353"/>
      <c r="J1005" s="3353"/>
      <c r="K1005" s="3353"/>
      <c r="L1005" s="3353"/>
      <c r="M1005" s="3353"/>
      <c r="N1005" s="3353"/>
      <c r="O1005" s="3353"/>
      <c r="P1005" s="3353"/>
      <c r="Q1005" s="3353"/>
      <c r="R1005" s="3353"/>
      <c r="S1005" s="3353"/>
      <c r="T1005" s="3353"/>
      <c r="U1005" s="3353"/>
      <c r="V1005" s="3353"/>
      <c r="W1005" s="3353"/>
      <c r="X1005" s="3353"/>
      <c r="Y1005" s="3353"/>
      <c r="Z1005" s="3353"/>
      <c r="AA1005" s="3353"/>
      <c r="AB1005" s="3353"/>
      <c r="AC1005" s="3353"/>
      <c r="AD1005" s="3353"/>
      <c r="AE1005" s="3353"/>
      <c r="AF1005" s="3353"/>
      <c r="AG1005" s="3353"/>
      <c r="AH1005" s="3353"/>
      <c r="AI1005" s="3353"/>
      <c r="AJ1005" s="3353"/>
      <c r="AK1005" s="3353"/>
      <c r="AL1005" s="3353"/>
    </row>
    <row r="1006" spans="1:38" s="3309" customFormat="1" x14ac:dyDescent="0.2">
      <c r="A1006" s="3547" t="s">
        <v>6122</v>
      </c>
      <c r="B1006" s="3329" t="e">
        <f t="shared" ref="B1006:G1006" si="460">B1001*B1005*B788</f>
        <v>#VALUE!</v>
      </c>
      <c r="C1006" s="3329" t="e">
        <f t="shared" si="460"/>
        <v>#NUM!</v>
      </c>
      <c r="D1006" s="3329" t="e">
        <f t="shared" si="460"/>
        <v>#NUM!</v>
      </c>
      <c r="E1006" s="3329" t="e">
        <f t="shared" si="460"/>
        <v>#NUM!</v>
      </c>
      <c r="F1006" s="3329" t="e">
        <f t="shared" si="460"/>
        <v>#NUM!</v>
      </c>
      <c r="G1006" s="3329" t="e">
        <f t="shared" si="460"/>
        <v>#NUM!</v>
      </c>
      <c r="H1006" s="3467"/>
      <c r="I1006" s="3353"/>
      <c r="J1006" s="3353"/>
      <c r="K1006" s="3353"/>
      <c r="L1006" s="3353"/>
      <c r="M1006" s="3353"/>
      <c r="N1006" s="3353"/>
      <c r="O1006" s="3353"/>
      <c r="P1006" s="3353"/>
      <c r="Q1006" s="3353"/>
      <c r="R1006" s="3353"/>
      <c r="S1006" s="3353"/>
      <c r="T1006" s="3353"/>
      <c r="U1006" s="3353"/>
      <c r="V1006" s="3353"/>
      <c r="W1006" s="3353"/>
      <c r="X1006" s="3353"/>
      <c r="Y1006" s="3353"/>
      <c r="Z1006" s="3353"/>
      <c r="AA1006" s="3353"/>
      <c r="AB1006" s="3353"/>
      <c r="AC1006" s="3353"/>
      <c r="AD1006" s="3353"/>
      <c r="AE1006" s="3353"/>
      <c r="AF1006" s="3353"/>
      <c r="AG1006" s="3353"/>
      <c r="AH1006" s="3353"/>
      <c r="AI1006" s="3353"/>
      <c r="AJ1006" s="3353"/>
      <c r="AK1006" s="3353"/>
      <c r="AL1006" s="3353"/>
    </row>
    <row r="1007" spans="1:38" s="3309" customFormat="1" x14ac:dyDescent="0.2">
      <c r="A1007" s="3542" t="s">
        <v>1322</v>
      </c>
      <c r="B1007" s="3379"/>
      <c r="C1007" s="3379"/>
      <c r="D1007" s="3379"/>
      <c r="E1007" s="3379"/>
      <c r="F1007" s="3379"/>
      <c r="G1007" s="3379"/>
      <c r="H1007" s="3353"/>
      <c r="I1007" s="3353"/>
      <c r="J1007" s="3353"/>
      <c r="K1007" s="3353"/>
      <c r="L1007" s="3353"/>
      <c r="M1007" s="3353"/>
      <c r="N1007" s="3353"/>
      <c r="O1007" s="3353"/>
      <c r="P1007" s="3353"/>
      <c r="Q1007" s="3353"/>
      <c r="R1007" s="3353"/>
      <c r="S1007" s="3353"/>
      <c r="T1007" s="3353"/>
      <c r="U1007" s="3353"/>
      <c r="V1007" s="3353"/>
      <c r="W1007" s="3353"/>
      <c r="X1007" s="3353"/>
      <c r="Y1007" s="3353"/>
      <c r="Z1007" s="3353"/>
      <c r="AA1007" s="3353"/>
      <c r="AB1007" s="3353"/>
      <c r="AC1007" s="3353"/>
      <c r="AD1007" s="3353"/>
      <c r="AE1007" s="3353"/>
      <c r="AF1007" s="3353"/>
      <c r="AG1007" s="3353"/>
      <c r="AH1007" s="3353"/>
      <c r="AI1007" s="3353"/>
      <c r="AJ1007" s="3353"/>
      <c r="AK1007" s="3353"/>
      <c r="AL1007" s="3353"/>
    </row>
    <row r="1008" spans="1:38" s="3309" customFormat="1" x14ac:dyDescent="0.2">
      <c r="A1008" s="3542" t="s">
        <v>421</v>
      </c>
      <c r="B1008" s="3400">
        <v>0.7</v>
      </c>
      <c r="C1008" s="3400">
        <v>0.7</v>
      </c>
      <c r="D1008" s="3400">
        <v>0.7</v>
      </c>
      <c r="E1008" s="3400">
        <v>0.7</v>
      </c>
      <c r="F1008" s="3400">
        <v>0.7</v>
      </c>
      <c r="G1008" s="3400">
        <v>0.7</v>
      </c>
      <c r="H1008" s="3353"/>
      <c r="I1008" s="3353"/>
      <c r="J1008" s="3353"/>
      <c r="K1008" s="3353"/>
      <c r="L1008" s="3353"/>
      <c r="M1008" s="3353"/>
      <c r="N1008" s="3353"/>
      <c r="O1008" s="3353"/>
      <c r="P1008" s="3353"/>
      <c r="Q1008" s="3353"/>
      <c r="R1008" s="3353"/>
      <c r="S1008" s="3353"/>
      <c r="T1008" s="3353"/>
      <c r="U1008" s="3353"/>
      <c r="V1008" s="3353"/>
      <c r="W1008" s="3353"/>
      <c r="X1008" s="3353"/>
      <c r="Y1008" s="3353"/>
      <c r="Z1008" s="3353"/>
      <c r="AA1008" s="3353"/>
      <c r="AB1008" s="3353"/>
      <c r="AC1008" s="3353"/>
      <c r="AD1008" s="3353"/>
      <c r="AE1008" s="3353"/>
      <c r="AF1008" s="3353"/>
      <c r="AG1008" s="3353"/>
      <c r="AH1008" s="3353"/>
      <c r="AI1008" s="3353"/>
      <c r="AJ1008" s="3353"/>
      <c r="AK1008" s="3353"/>
      <c r="AL1008" s="3353"/>
    </row>
    <row r="1009" spans="1:38" s="3309" customFormat="1" x14ac:dyDescent="0.2">
      <c r="A1009" s="3542" t="s">
        <v>3412</v>
      </c>
      <c r="B1009" s="3424" t="e">
        <f t="shared" ref="B1009:G1009" si="461">B1006*B1008</f>
        <v>#VALUE!</v>
      </c>
      <c r="C1009" s="3424" t="e">
        <f t="shared" si="461"/>
        <v>#NUM!</v>
      </c>
      <c r="D1009" s="3424" t="e">
        <f t="shared" si="461"/>
        <v>#NUM!</v>
      </c>
      <c r="E1009" s="3424" t="e">
        <f t="shared" si="461"/>
        <v>#NUM!</v>
      </c>
      <c r="F1009" s="3424" t="e">
        <f t="shared" si="461"/>
        <v>#NUM!</v>
      </c>
      <c r="G1009" s="3424" t="e">
        <f t="shared" si="461"/>
        <v>#NUM!</v>
      </c>
      <c r="H1009" s="3353"/>
      <c r="I1009" s="3353"/>
      <c r="J1009" s="3353"/>
      <c r="K1009" s="3353"/>
      <c r="L1009" s="3353"/>
      <c r="M1009" s="3353"/>
      <c r="N1009" s="3353"/>
      <c r="O1009" s="3353"/>
      <c r="P1009" s="3353"/>
      <c r="Q1009" s="3353"/>
      <c r="R1009" s="3353"/>
      <c r="S1009" s="3353"/>
      <c r="T1009" s="3353"/>
      <c r="U1009" s="3353"/>
      <c r="V1009" s="3353"/>
      <c r="W1009" s="3353"/>
      <c r="X1009" s="3353"/>
      <c r="Y1009" s="3353"/>
      <c r="Z1009" s="3353"/>
      <c r="AA1009" s="3353"/>
      <c r="AB1009" s="3353"/>
      <c r="AC1009" s="3353"/>
      <c r="AD1009" s="3353"/>
      <c r="AE1009" s="3353"/>
      <c r="AF1009" s="3353"/>
      <c r="AG1009" s="3353"/>
      <c r="AH1009" s="3353"/>
      <c r="AI1009" s="3353"/>
      <c r="AJ1009" s="3353"/>
      <c r="AK1009" s="3353"/>
      <c r="AL1009" s="3353"/>
    </row>
    <row r="1010" spans="1:38" s="3309" customFormat="1" x14ac:dyDescent="0.2">
      <c r="A1010" s="3541" t="s">
        <v>429</v>
      </c>
      <c r="B1010" s="3424" t="e">
        <f t="shared" ref="B1010:G1010" si="462">B997/B1009</f>
        <v>#DIV/0!</v>
      </c>
      <c r="C1010" s="3424" t="e">
        <f t="shared" si="462"/>
        <v>#DIV/0!</v>
      </c>
      <c r="D1010" s="3424" t="e">
        <f t="shared" si="462"/>
        <v>#DIV/0!</v>
      </c>
      <c r="E1010" s="3424" t="e">
        <f t="shared" si="462"/>
        <v>#DIV/0!</v>
      </c>
      <c r="F1010" s="3424" t="e">
        <f t="shared" si="462"/>
        <v>#DIV/0!</v>
      </c>
      <c r="G1010" s="3424" t="e">
        <f t="shared" si="462"/>
        <v>#DIV/0!</v>
      </c>
      <c r="H1010" s="3353"/>
      <c r="I1010" s="3353"/>
      <c r="J1010" s="3353"/>
      <c r="K1010" s="3353"/>
      <c r="L1010" s="3353"/>
      <c r="M1010" s="3353"/>
      <c r="N1010" s="3353"/>
      <c r="O1010" s="3353"/>
      <c r="P1010" s="3353"/>
      <c r="Q1010" s="3353"/>
      <c r="R1010" s="3353"/>
      <c r="S1010" s="3353"/>
      <c r="T1010" s="3353"/>
      <c r="U1010" s="3353"/>
      <c r="V1010" s="3353"/>
      <c r="W1010" s="3353"/>
      <c r="X1010" s="3353"/>
      <c r="Y1010" s="3353"/>
      <c r="Z1010" s="3353"/>
      <c r="AA1010" s="3353"/>
      <c r="AB1010" s="3353"/>
      <c r="AC1010" s="3353"/>
      <c r="AD1010" s="3353"/>
      <c r="AE1010" s="3353"/>
      <c r="AF1010" s="3353"/>
      <c r="AG1010" s="3353"/>
      <c r="AH1010" s="3353"/>
      <c r="AI1010" s="3353"/>
      <c r="AJ1010" s="3353"/>
      <c r="AK1010" s="3353"/>
      <c r="AL1010" s="3353"/>
    </row>
    <row r="1011" spans="1:38" s="3309" customFormat="1" ht="25.5" x14ac:dyDescent="0.2">
      <c r="A1011" s="3542" t="s">
        <v>6121</v>
      </c>
      <c r="B1011" s="3379" t="e">
        <f t="shared" ref="B1011:G1011" si="463">B997</f>
        <v>#DIV/0!</v>
      </c>
      <c r="C1011" s="3379" t="e">
        <f t="shared" si="463"/>
        <v>#DIV/0!</v>
      </c>
      <c r="D1011" s="3379" t="e">
        <f t="shared" si="463"/>
        <v>#DIV/0!</v>
      </c>
      <c r="E1011" s="3379" t="e">
        <f t="shared" si="463"/>
        <v>#DIV/0!</v>
      </c>
      <c r="F1011" s="3379" t="e">
        <f t="shared" si="463"/>
        <v>#DIV/0!</v>
      </c>
      <c r="G1011" s="3379" t="e">
        <f t="shared" si="463"/>
        <v>#DIV/0!</v>
      </c>
      <c r="I1011" s="3353"/>
      <c r="J1011" s="3353"/>
      <c r="K1011" s="3353"/>
      <c r="L1011" s="3353"/>
      <c r="M1011" s="3353"/>
      <c r="N1011" s="3353"/>
      <c r="O1011" s="3353"/>
      <c r="P1011" s="3353"/>
      <c r="Q1011" s="3353"/>
      <c r="R1011" s="3353"/>
      <c r="S1011" s="3353"/>
      <c r="T1011" s="3353"/>
      <c r="U1011" s="3353"/>
      <c r="V1011" s="3353"/>
      <c r="W1011" s="3353"/>
      <c r="X1011" s="3353"/>
      <c r="Y1011" s="3353"/>
      <c r="Z1011" s="3353"/>
      <c r="AA1011" s="3353"/>
      <c r="AB1011" s="3353"/>
      <c r="AC1011" s="3353"/>
      <c r="AD1011" s="3353"/>
      <c r="AE1011" s="3353"/>
      <c r="AF1011" s="3353"/>
      <c r="AG1011" s="3353"/>
      <c r="AH1011" s="3353"/>
      <c r="AI1011" s="3353"/>
      <c r="AJ1011" s="3353"/>
      <c r="AK1011" s="3353"/>
      <c r="AL1011" s="3353"/>
    </row>
    <row r="1012" spans="1:38" s="3309" customFormat="1" ht="25.5" x14ac:dyDescent="0.2">
      <c r="A1012" s="3540" t="s">
        <v>6120</v>
      </c>
      <c r="B1012" s="3539">
        <f t="shared" ref="B1012:G1012" si="464">IF(B735&lt;1.21,INDEX($C$2850:$C$2852,B1013),INDEX($E$2850:$E$2852,B1013))</f>
        <v>376</v>
      </c>
      <c r="C1012" s="3539">
        <f t="shared" si="464"/>
        <v>369</v>
      </c>
      <c r="D1012" s="3539">
        <f t="shared" si="464"/>
        <v>369</v>
      </c>
      <c r="E1012" s="3539">
        <f t="shared" si="464"/>
        <v>369</v>
      </c>
      <c r="F1012" s="3539">
        <f t="shared" si="464"/>
        <v>369</v>
      </c>
      <c r="G1012" s="3539">
        <f t="shared" si="464"/>
        <v>369</v>
      </c>
      <c r="H1012" s="3546"/>
      <c r="I1012" s="3353"/>
      <c r="J1012" s="3353"/>
      <c r="K1012" s="3353"/>
      <c r="L1012" s="3353"/>
      <c r="M1012" s="3353"/>
      <c r="N1012" s="3353"/>
      <c r="O1012" s="3353"/>
      <c r="P1012" s="3353"/>
      <c r="Q1012" s="3353"/>
      <c r="R1012" s="3353"/>
      <c r="S1012" s="3353"/>
      <c r="T1012" s="3353"/>
      <c r="U1012" s="3353"/>
      <c r="V1012" s="3353"/>
      <c r="W1012" s="3353"/>
      <c r="X1012" s="3353"/>
      <c r="Y1012" s="3353"/>
      <c r="Z1012" s="3353"/>
      <c r="AA1012" s="3353"/>
      <c r="AB1012" s="3353"/>
      <c r="AC1012" s="3353"/>
      <c r="AD1012" s="3353"/>
      <c r="AE1012" s="3353"/>
      <c r="AF1012" s="3353"/>
      <c r="AG1012" s="3353"/>
      <c r="AH1012" s="3353"/>
      <c r="AI1012" s="3353"/>
      <c r="AJ1012" s="3353"/>
      <c r="AK1012" s="3353"/>
      <c r="AL1012" s="3353"/>
    </row>
    <row r="1013" spans="1:38" s="3309" customFormat="1" x14ac:dyDescent="0.2">
      <c r="A1013" s="3534" t="s">
        <v>6119</v>
      </c>
      <c r="B1013" s="3380">
        <f t="shared" ref="B1013:G1013" si="465">IF(AND(B767&lt;1.26,B768=1),2,IF(AND(B767&lt;1.26,B768=2),1,3))</f>
        <v>3</v>
      </c>
      <c r="C1013" s="3380">
        <f t="shared" si="465"/>
        <v>3</v>
      </c>
      <c r="D1013" s="3380">
        <f t="shared" si="465"/>
        <v>3</v>
      </c>
      <c r="E1013" s="3380">
        <f t="shared" si="465"/>
        <v>3</v>
      </c>
      <c r="F1013" s="3380">
        <f t="shared" si="465"/>
        <v>3</v>
      </c>
      <c r="G1013" s="3380">
        <f t="shared" si="465"/>
        <v>3</v>
      </c>
      <c r="H1013" s="3353"/>
      <c r="I1013" s="3353"/>
      <c r="J1013" s="3353"/>
      <c r="K1013" s="3353"/>
      <c r="L1013" s="3353"/>
      <c r="M1013" s="3353"/>
      <c r="N1013" s="3353"/>
      <c r="O1013" s="3353"/>
      <c r="P1013" s="3353"/>
      <c r="Q1013" s="3353"/>
      <c r="R1013" s="3353"/>
      <c r="S1013" s="3353"/>
      <c r="T1013" s="3353"/>
      <c r="U1013" s="3353"/>
      <c r="V1013" s="3353"/>
      <c r="W1013" s="3353"/>
      <c r="X1013" s="3353"/>
      <c r="Y1013" s="3353"/>
      <c r="Z1013" s="3353"/>
      <c r="AA1013" s="3353"/>
      <c r="AB1013" s="3353"/>
      <c r="AC1013" s="3353"/>
      <c r="AD1013" s="3353"/>
      <c r="AE1013" s="3353"/>
      <c r="AF1013" s="3353"/>
      <c r="AG1013" s="3353"/>
      <c r="AH1013" s="3353"/>
      <c r="AI1013" s="3353"/>
      <c r="AJ1013" s="3353"/>
      <c r="AK1013" s="3353"/>
      <c r="AL1013" s="3353"/>
    </row>
    <row r="1014" spans="1:38" s="3309" customFormat="1" x14ac:dyDescent="0.2">
      <c r="A1014" s="3545" t="s">
        <v>1723</v>
      </c>
      <c r="B1014" s="3365"/>
      <c r="C1014" s="3365"/>
      <c r="D1014" s="3365"/>
      <c r="E1014" s="3365"/>
      <c r="F1014" s="3365"/>
      <c r="G1014" s="3365"/>
      <c r="H1014" s="3353"/>
      <c r="I1014" s="3353"/>
      <c r="J1014" s="3353"/>
      <c r="K1014" s="3353"/>
      <c r="L1014" s="3353"/>
      <c r="M1014" s="3353"/>
      <c r="N1014" s="3353"/>
      <c r="O1014" s="3353"/>
      <c r="P1014" s="3353"/>
      <c r="Q1014" s="3353"/>
      <c r="R1014" s="3353"/>
      <c r="S1014" s="3353"/>
      <c r="T1014" s="3353"/>
      <c r="U1014" s="3353"/>
      <c r="V1014" s="3353"/>
      <c r="W1014" s="3353"/>
      <c r="X1014" s="3353"/>
      <c r="Y1014" s="3353"/>
      <c r="Z1014" s="3353"/>
      <c r="AA1014" s="3353"/>
      <c r="AB1014" s="3353"/>
      <c r="AC1014" s="3353"/>
      <c r="AD1014" s="3353"/>
      <c r="AE1014" s="3353"/>
      <c r="AF1014" s="3353"/>
      <c r="AG1014" s="3353"/>
      <c r="AH1014" s="3353"/>
      <c r="AI1014" s="3353"/>
      <c r="AJ1014" s="3353"/>
      <c r="AK1014" s="3353"/>
      <c r="AL1014" s="3353"/>
    </row>
    <row r="1015" spans="1:38" s="3309" customFormat="1" x14ac:dyDescent="0.2">
      <c r="A1015" s="3610" t="s">
        <v>6118</v>
      </c>
      <c r="B1015" s="3340">
        <v>0.7</v>
      </c>
      <c r="C1015" s="3340">
        <v>0.7</v>
      </c>
      <c r="D1015" s="3340">
        <v>0.7</v>
      </c>
      <c r="E1015" s="3340">
        <v>0.7</v>
      </c>
      <c r="F1015" s="3340">
        <v>0.7</v>
      </c>
      <c r="G1015" s="3340">
        <v>0.7</v>
      </c>
      <c r="H1015" s="3353"/>
      <c r="I1015" s="3353"/>
      <c r="J1015" s="3353"/>
      <c r="K1015" s="3353"/>
      <c r="L1015" s="3353"/>
      <c r="M1015" s="3353"/>
      <c r="N1015" s="3353"/>
      <c r="O1015" s="3353"/>
      <c r="P1015" s="3353"/>
      <c r="Q1015" s="3353"/>
      <c r="R1015" s="3353"/>
      <c r="S1015" s="3353"/>
      <c r="T1015" s="3353"/>
      <c r="U1015" s="3353"/>
      <c r="V1015" s="3353"/>
      <c r="W1015" s="3353"/>
      <c r="X1015" s="3353"/>
      <c r="Y1015" s="3353"/>
      <c r="Z1015" s="3353"/>
      <c r="AA1015" s="3353"/>
      <c r="AB1015" s="3353"/>
      <c r="AC1015" s="3353"/>
      <c r="AD1015" s="3353"/>
      <c r="AE1015" s="3353"/>
      <c r="AF1015" s="3353"/>
      <c r="AG1015" s="3353"/>
      <c r="AH1015" s="3353"/>
      <c r="AI1015" s="3353"/>
      <c r="AJ1015" s="3353"/>
      <c r="AK1015" s="3353"/>
      <c r="AL1015" s="3353"/>
    </row>
    <row r="1016" spans="1:38" s="3309" customFormat="1" x14ac:dyDescent="0.2">
      <c r="A1016" s="3543" t="s">
        <v>3412</v>
      </c>
      <c r="B1016" s="3539" t="e">
        <f t="shared" ref="B1016:G1016" si="466">B1012*B788</f>
        <v>#VALUE!</v>
      </c>
      <c r="C1016" s="3539" t="e">
        <f t="shared" si="466"/>
        <v>#VALUE!</v>
      </c>
      <c r="D1016" s="3539" t="e">
        <f t="shared" si="466"/>
        <v>#VALUE!</v>
      </c>
      <c r="E1016" s="3539" t="e">
        <f t="shared" si="466"/>
        <v>#VALUE!</v>
      </c>
      <c r="F1016" s="3539" t="e">
        <f t="shared" si="466"/>
        <v>#VALUE!</v>
      </c>
      <c r="G1016" s="3539" t="e">
        <f t="shared" si="466"/>
        <v>#VALUE!</v>
      </c>
      <c r="H1016" s="3467"/>
      <c r="I1016" s="3353"/>
      <c r="J1016" s="3353"/>
      <c r="K1016" s="3353"/>
      <c r="L1016" s="3353"/>
      <c r="M1016" s="3353"/>
      <c r="N1016" s="3353"/>
      <c r="O1016" s="3353"/>
      <c r="P1016" s="3353"/>
      <c r="Q1016" s="3353"/>
      <c r="R1016" s="3353"/>
      <c r="S1016" s="3353"/>
      <c r="T1016" s="3353"/>
      <c r="U1016" s="3353"/>
      <c r="V1016" s="3353"/>
      <c r="W1016" s="3353"/>
      <c r="X1016" s="3353"/>
      <c r="Y1016" s="3353"/>
      <c r="Z1016" s="3353"/>
      <c r="AA1016" s="3353"/>
      <c r="AB1016" s="3353"/>
      <c r="AC1016" s="3353"/>
      <c r="AD1016" s="3353"/>
      <c r="AE1016" s="3353"/>
      <c r="AF1016" s="3353"/>
      <c r="AG1016" s="3353"/>
      <c r="AH1016" s="3353"/>
      <c r="AI1016" s="3353"/>
      <c r="AJ1016" s="3353"/>
      <c r="AK1016" s="3353"/>
      <c r="AL1016" s="3353"/>
    </row>
    <row r="1017" spans="1:38" s="3309" customFormat="1" x14ac:dyDescent="0.2">
      <c r="A1017" s="3542" t="s">
        <v>2472</v>
      </c>
      <c r="B1017" s="3379" t="e">
        <f t="shared" ref="B1017:G1017" si="467">B1016*0.7</f>
        <v>#VALUE!</v>
      </c>
      <c r="C1017" s="3379" t="e">
        <f t="shared" si="467"/>
        <v>#VALUE!</v>
      </c>
      <c r="D1017" s="3379" t="e">
        <f t="shared" si="467"/>
        <v>#VALUE!</v>
      </c>
      <c r="E1017" s="3379" t="e">
        <f t="shared" si="467"/>
        <v>#VALUE!</v>
      </c>
      <c r="F1017" s="3379" t="e">
        <f t="shared" si="467"/>
        <v>#VALUE!</v>
      </c>
      <c r="G1017" s="3379" t="e">
        <f t="shared" si="467"/>
        <v>#VALUE!</v>
      </c>
      <c r="H1017" s="3353"/>
      <c r="I1017" s="3353"/>
      <c r="J1017" s="3353"/>
      <c r="K1017" s="3353"/>
      <c r="L1017" s="3353"/>
      <c r="M1017" s="3353"/>
      <c r="N1017" s="3353"/>
      <c r="O1017" s="3353"/>
      <c r="P1017" s="3353"/>
      <c r="Q1017" s="3353"/>
      <c r="R1017" s="3353"/>
      <c r="S1017" s="3353"/>
      <c r="T1017" s="3353"/>
      <c r="U1017" s="3353"/>
      <c r="V1017" s="3353"/>
      <c r="W1017" s="3353"/>
      <c r="X1017" s="3353"/>
      <c r="Y1017" s="3353"/>
      <c r="Z1017" s="3353"/>
      <c r="AA1017" s="3353"/>
      <c r="AB1017" s="3353"/>
      <c r="AC1017" s="3353"/>
      <c r="AD1017" s="3353"/>
      <c r="AE1017" s="3353"/>
      <c r="AF1017" s="3353"/>
      <c r="AG1017" s="3353"/>
      <c r="AH1017" s="3353"/>
      <c r="AI1017" s="3353"/>
      <c r="AJ1017" s="3353"/>
      <c r="AK1017" s="3353"/>
      <c r="AL1017" s="3353"/>
    </row>
    <row r="1018" spans="1:38" s="3309" customFormat="1" x14ac:dyDescent="0.2">
      <c r="A1018" s="3541" t="s">
        <v>429</v>
      </c>
      <c r="B1018" s="3379" t="e">
        <f t="shared" ref="B1018:G1018" si="468">B1011/B1017</f>
        <v>#DIV/0!</v>
      </c>
      <c r="C1018" s="3379" t="e">
        <f t="shared" si="468"/>
        <v>#DIV/0!</v>
      </c>
      <c r="D1018" s="3379" t="e">
        <f t="shared" si="468"/>
        <v>#DIV/0!</v>
      </c>
      <c r="E1018" s="3379" t="e">
        <f t="shared" si="468"/>
        <v>#DIV/0!</v>
      </c>
      <c r="F1018" s="3379" t="e">
        <f t="shared" si="468"/>
        <v>#DIV/0!</v>
      </c>
      <c r="G1018" s="3379" t="e">
        <f t="shared" si="468"/>
        <v>#DIV/0!</v>
      </c>
      <c r="H1018" s="3353"/>
      <c r="I1018" s="3353"/>
      <c r="J1018" s="3353"/>
      <c r="K1018" s="3353"/>
      <c r="L1018" s="3353"/>
      <c r="M1018" s="3353"/>
      <c r="N1018" s="3353"/>
      <c r="O1018" s="3353"/>
      <c r="P1018" s="3353"/>
      <c r="Q1018" s="3353"/>
      <c r="R1018" s="3353"/>
      <c r="S1018" s="3353"/>
      <c r="T1018" s="3353"/>
      <c r="U1018" s="3353"/>
      <c r="V1018" s="3353"/>
      <c r="W1018" s="3353"/>
      <c r="X1018" s="3353"/>
      <c r="Y1018" s="3353"/>
      <c r="Z1018" s="3353"/>
      <c r="AA1018" s="3353"/>
      <c r="AB1018" s="3353"/>
      <c r="AC1018" s="3353"/>
      <c r="AD1018" s="3353"/>
      <c r="AE1018" s="3353"/>
      <c r="AF1018" s="3353"/>
      <c r="AG1018" s="3353"/>
      <c r="AH1018" s="3353"/>
      <c r="AI1018" s="3353"/>
      <c r="AJ1018" s="3353"/>
      <c r="AK1018" s="3353"/>
      <c r="AL1018" s="3353"/>
    </row>
    <row r="1019" spans="1:38" s="3309" customFormat="1" ht="25.5" x14ac:dyDescent="0.2">
      <c r="A1019" s="3531" t="s">
        <v>6117</v>
      </c>
      <c r="B1019" s="3323" t="e">
        <f t="shared" ref="B1019:G1019" si="469">B997*2</f>
        <v>#DIV/0!</v>
      </c>
      <c r="C1019" s="3323" t="e">
        <f t="shared" si="469"/>
        <v>#DIV/0!</v>
      </c>
      <c r="D1019" s="3323" t="e">
        <f t="shared" si="469"/>
        <v>#DIV/0!</v>
      </c>
      <c r="E1019" s="3323" t="e">
        <f t="shared" si="469"/>
        <v>#DIV/0!</v>
      </c>
      <c r="F1019" s="3323" t="e">
        <f t="shared" si="469"/>
        <v>#DIV/0!</v>
      </c>
      <c r="G1019" s="3323" t="e">
        <f t="shared" si="469"/>
        <v>#DIV/0!</v>
      </c>
      <c r="H1019" s="3467"/>
      <c r="I1019" s="3353"/>
      <c r="J1019" s="3353"/>
      <c r="K1019" s="3353"/>
      <c r="L1019" s="3467"/>
      <c r="M1019" s="3353"/>
      <c r="N1019" s="3353"/>
      <c r="O1019" s="3353"/>
      <c r="P1019" s="3353"/>
      <c r="Q1019" s="3353"/>
      <c r="R1019" s="3353"/>
      <c r="S1019" s="3353"/>
      <c r="T1019" s="3353"/>
      <c r="U1019" s="3353"/>
      <c r="V1019" s="3353"/>
      <c r="W1019" s="3353"/>
      <c r="X1019" s="3353"/>
      <c r="Y1019" s="3353"/>
      <c r="Z1019" s="3353"/>
      <c r="AA1019" s="3353"/>
      <c r="AB1019" s="3353"/>
      <c r="AC1019" s="3353"/>
      <c r="AD1019" s="3353"/>
      <c r="AE1019" s="3353"/>
      <c r="AF1019" s="3353"/>
      <c r="AG1019" s="3353"/>
      <c r="AH1019" s="3353"/>
      <c r="AI1019" s="3353"/>
      <c r="AJ1019" s="3353"/>
      <c r="AK1019" s="3353"/>
      <c r="AL1019" s="3353"/>
    </row>
    <row r="1020" spans="1:38" s="3309" customFormat="1" ht="25.5" x14ac:dyDescent="0.2">
      <c r="A1020" s="3540" t="s">
        <v>6116</v>
      </c>
      <c r="B1020" s="3539" t="e">
        <f t="shared" ref="B1020:G1020" si="470">IF(B998&lt;23.1,281,IF(B998&lt;29.1,250,IF(B998&lt;36.1,224,IF(B998&lt;45.1,197,IF(B998&lt;55.1,172,B1021)))))</f>
        <v>#VALUE!</v>
      </c>
      <c r="C1020" s="3539" t="e">
        <f t="shared" si="470"/>
        <v>#NUM!</v>
      </c>
      <c r="D1020" s="3539" t="e">
        <f t="shared" si="470"/>
        <v>#NUM!</v>
      </c>
      <c r="E1020" s="3539" t="e">
        <f t="shared" si="470"/>
        <v>#NUM!</v>
      </c>
      <c r="F1020" s="3539" t="e">
        <f t="shared" si="470"/>
        <v>#NUM!</v>
      </c>
      <c r="G1020" s="3539" t="e">
        <f t="shared" si="470"/>
        <v>#NUM!</v>
      </c>
      <c r="H1020" s="3467"/>
      <c r="I1020" s="3353"/>
      <c r="J1020" s="3353"/>
      <c r="K1020" s="3353"/>
      <c r="L1020" s="3353"/>
      <c r="M1020" s="3353"/>
      <c r="N1020" s="3353"/>
      <c r="O1020" s="3353"/>
      <c r="P1020" s="3353"/>
      <c r="Q1020" s="3353"/>
      <c r="R1020" s="3353"/>
      <c r="S1020" s="3353"/>
      <c r="T1020" s="3353"/>
      <c r="U1020" s="3353"/>
      <c r="V1020" s="3353"/>
      <c r="W1020" s="3353"/>
      <c r="X1020" s="3353"/>
      <c r="Y1020" s="3353"/>
      <c r="Z1020" s="3353"/>
      <c r="AA1020" s="3353"/>
      <c r="AB1020" s="3353"/>
      <c r="AC1020" s="3353"/>
      <c r="AD1020" s="3353"/>
      <c r="AE1020" s="3353"/>
      <c r="AF1020" s="3353"/>
      <c r="AG1020" s="3353"/>
      <c r="AH1020" s="3353"/>
      <c r="AI1020" s="3353"/>
      <c r="AJ1020" s="3353"/>
      <c r="AK1020" s="3353"/>
      <c r="AL1020" s="3353"/>
    </row>
    <row r="1021" spans="1:38" s="3309" customFormat="1" x14ac:dyDescent="0.2">
      <c r="A1021" s="3538" t="s">
        <v>3001</v>
      </c>
      <c r="B1021" s="3380" t="e">
        <f t="shared" ref="B1021:G1021" si="471">IF(B998&lt;65.1,149,128)</f>
        <v>#VALUE!</v>
      </c>
      <c r="C1021" s="3380" t="e">
        <f t="shared" si="471"/>
        <v>#NUM!</v>
      </c>
      <c r="D1021" s="3380" t="e">
        <f t="shared" si="471"/>
        <v>#NUM!</v>
      </c>
      <c r="E1021" s="3380" t="e">
        <f t="shared" si="471"/>
        <v>#NUM!</v>
      </c>
      <c r="F1021" s="3380" t="e">
        <f t="shared" si="471"/>
        <v>#NUM!</v>
      </c>
      <c r="G1021" s="3380" t="e">
        <f t="shared" si="471"/>
        <v>#NUM!</v>
      </c>
      <c r="H1021" s="3467"/>
      <c r="I1021" s="3353"/>
      <c r="J1021" s="3353"/>
      <c r="K1021" s="3353"/>
      <c r="L1021" s="3353"/>
      <c r="M1021" s="3353"/>
      <c r="N1021" s="3353"/>
      <c r="O1021" s="3353"/>
      <c r="P1021" s="3353"/>
      <c r="Q1021" s="3353"/>
      <c r="R1021" s="3353"/>
      <c r="S1021" s="3353"/>
      <c r="T1021" s="3353"/>
      <c r="U1021" s="3353"/>
      <c r="V1021" s="3353"/>
      <c r="W1021" s="3353"/>
      <c r="X1021" s="3353"/>
      <c r="Y1021" s="3353"/>
      <c r="Z1021" s="3353"/>
      <c r="AA1021" s="3353"/>
      <c r="AB1021" s="3353"/>
      <c r="AC1021" s="3353"/>
      <c r="AD1021" s="3353"/>
      <c r="AE1021" s="3353"/>
      <c r="AF1021" s="3353"/>
      <c r="AG1021" s="3353"/>
      <c r="AH1021" s="3353"/>
      <c r="AI1021" s="3353"/>
      <c r="AJ1021" s="3353"/>
      <c r="AK1021" s="3353"/>
      <c r="AL1021" s="3353"/>
    </row>
    <row r="1022" spans="1:38" s="3309" customFormat="1" x14ac:dyDescent="0.2">
      <c r="A1022" s="3537" t="s">
        <v>1723</v>
      </c>
      <c r="B1022" s="3380"/>
      <c r="C1022" s="3380"/>
      <c r="D1022" s="3380"/>
      <c r="E1022" s="3380"/>
      <c r="F1022" s="3380"/>
      <c r="G1022" s="3380"/>
      <c r="H1022" s="3467"/>
      <c r="I1022" s="3353"/>
      <c r="J1022" s="3353"/>
      <c r="K1022" s="3353"/>
      <c r="L1022" s="3353"/>
      <c r="M1022" s="3353"/>
      <c r="N1022" s="3353"/>
      <c r="O1022" s="3353"/>
      <c r="P1022" s="3353"/>
      <c r="Q1022" s="3353"/>
      <c r="R1022" s="3353"/>
      <c r="S1022" s="3353"/>
      <c r="T1022" s="3353"/>
      <c r="U1022" s="3353"/>
      <c r="V1022" s="3353"/>
      <c r="W1022" s="3353"/>
      <c r="X1022" s="3353"/>
      <c r="Y1022" s="3353"/>
      <c r="Z1022" s="3353"/>
      <c r="AA1022" s="3353"/>
      <c r="AB1022" s="3353"/>
      <c r="AC1022" s="3353"/>
      <c r="AD1022" s="3353"/>
      <c r="AE1022" s="3353"/>
      <c r="AF1022" s="3353"/>
      <c r="AG1022" s="3353"/>
      <c r="AH1022" s="3353"/>
      <c r="AI1022" s="3353"/>
      <c r="AJ1022" s="3353"/>
      <c r="AK1022" s="3353"/>
      <c r="AL1022" s="3353"/>
    </row>
    <row r="1023" spans="1:38" s="3309" customFormat="1" x14ac:dyDescent="0.2">
      <c r="A1023" s="3536" t="s">
        <v>3057</v>
      </c>
      <c r="B1023" s="3380">
        <f t="shared" ref="B1023:G1023" si="472">IF(B750&lt;21,1,IF(B750&lt;31,0.9,0.8))</f>
        <v>0.8</v>
      </c>
      <c r="C1023" s="3380">
        <f t="shared" si="472"/>
        <v>1</v>
      </c>
      <c r="D1023" s="3380">
        <f t="shared" si="472"/>
        <v>1</v>
      </c>
      <c r="E1023" s="3380">
        <f t="shared" si="472"/>
        <v>1</v>
      </c>
      <c r="F1023" s="3380">
        <f t="shared" si="472"/>
        <v>1</v>
      </c>
      <c r="G1023" s="3380">
        <f t="shared" si="472"/>
        <v>1</v>
      </c>
      <c r="H1023" s="3467"/>
      <c r="I1023" s="3353"/>
      <c r="J1023" s="3353"/>
      <c r="K1023" s="3353"/>
      <c r="L1023" s="3353"/>
      <c r="M1023" s="3353"/>
      <c r="N1023" s="3353"/>
      <c r="O1023" s="3353"/>
      <c r="P1023" s="3353"/>
      <c r="Q1023" s="3353"/>
      <c r="R1023" s="3353"/>
      <c r="S1023" s="3353"/>
      <c r="T1023" s="3353"/>
      <c r="U1023" s="3353"/>
      <c r="V1023" s="3353"/>
      <c r="W1023" s="3353"/>
      <c r="X1023" s="3353"/>
      <c r="Y1023" s="3353"/>
      <c r="Z1023" s="3353"/>
      <c r="AA1023" s="3353"/>
      <c r="AB1023" s="3353"/>
      <c r="AC1023" s="3353"/>
      <c r="AD1023" s="3353"/>
      <c r="AE1023" s="3353"/>
      <c r="AF1023" s="3353"/>
      <c r="AG1023" s="3353"/>
      <c r="AH1023" s="3353"/>
      <c r="AI1023" s="3353"/>
      <c r="AJ1023" s="3353"/>
      <c r="AK1023" s="3353"/>
      <c r="AL1023" s="3353"/>
    </row>
    <row r="1024" spans="1:38" s="3309" customFormat="1" x14ac:dyDescent="0.2">
      <c r="A1024" s="3534" t="s">
        <v>6115</v>
      </c>
      <c r="B1024" s="3380" t="e">
        <f t="shared" ref="B1024:G1024" si="473">IF(B760+B754&gt;0.2,0.9,1)</f>
        <v>#VALUE!</v>
      </c>
      <c r="C1024" s="3380">
        <f t="shared" si="473"/>
        <v>1</v>
      </c>
      <c r="D1024" s="3380">
        <f t="shared" si="473"/>
        <v>1</v>
      </c>
      <c r="E1024" s="3380">
        <f t="shared" si="473"/>
        <v>1</v>
      </c>
      <c r="F1024" s="3380">
        <f t="shared" si="473"/>
        <v>1</v>
      </c>
      <c r="G1024" s="3380">
        <f t="shared" si="473"/>
        <v>1</v>
      </c>
      <c r="H1024" s="3467"/>
      <c r="I1024" s="3353"/>
      <c r="J1024" s="3353"/>
      <c r="K1024" s="3353"/>
      <c r="L1024" s="3353"/>
      <c r="M1024" s="3353"/>
      <c r="N1024" s="3353"/>
      <c r="O1024" s="3353"/>
      <c r="P1024" s="3353"/>
      <c r="Q1024" s="3353"/>
      <c r="R1024" s="3353"/>
      <c r="S1024" s="3353"/>
      <c r="T1024" s="3353"/>
      <c r="U1024" s="3353"/>
      <c r="V1024" s="3353"/>
      <c r="W1024" s="3353"/>
      <c r="X1024" s="3353"/>
      <c r="Y1024" s="3353"/>
      <c r="Z1024" s="3353"/>
      <c r="AA1024" s="3353"/>
      <c r="AB1024" s="3353"/>
      <c r="AC1024" s="3353"/>
      <c r="AD1024" s="3353"/>
      <c r="AE1024" s="3353"/>
      <c r="AF1024" s="3353"/>
      <c r="AG1024" s="3353"/>
      <c r="AH1024" s="3353"/>
      <c r="AI1024" s="3353"/>
      <c r="AJ1024" s="3353"/>
      <c r="AK1024" s="3353"/>
      <c r="AL1024" s="3353"/>
    </row>
    <row r="1025" spans="1:38" s="3309" customFormat="1" x14ac:dyDescent="0.2">
      <c r="A1025" s="3610" t="s">
        <v>6114</v>
      </c>
      <c r="B1025" s="3340">
        <v>1</v>
      </c>
      <c r="C1025" s="3340">
        <v>1</v>
      </c>
      <c r="D1025" s="3340">
        <v>1</v>
      </c>
      <c r="E1025" s="3340">
        <v>1</v>
      </c>
      <c r="F1025" s="3340">
        <v>1</v>
      </c>
      <c r="G1025" s="3340">
        <v>1</v>
      </c>
      <c r="H1025" s="3467"/>
      <c r="I1025" s="3486"/>
      <c r="J1025" s="3486"/>
      <c r="K1025" s="3353"/>
      <c r="L1025" s="3353"/>
      <c r="M1025" s="3353"/>
      <c r="N1025" s="3353"/>
      <c r="O1025" s="3353"/>
      <c r="P1025" s="3353"/>
      <c r="Q1025" s="3353"/>
      <c r="R1025" s="3353"/>
      <c r="S1025" s="3353"/>
      <c r="T1025" s="3353"/>
      <c r="U1025" s="3353"/>
      <c r="V1025" s="3353"/>
      <c r="W1025" s="3353"/>
      <c r="X1025" s="3353"/>
      <c r="Y1025" s="3353"/>
      <c r="Z1025" s="3353"/>
      <c r="AA1025" s="3353"/>
      <c r="AB1025" s="3353"/>
      <c r="AC1025" s="3353"/>
      <c r="AD1025" s="3353"/>
      <c r="AE1025" s="3353"/>
      <c r="AF1025" s="3353"/>
      <c r="AG1025" s="3353"/>
      <c r="AH1025" s="3353"/>
      <c r="AI1025" s="3353"/>
      <c r="AJ1025" s="3353"/>
      <c r="AK1025" s="3353"/>
      <c r="AL1025" s="3353"/>
    </row>
    <row r="1026" spans="1:38" s="3309" customFormat="1" x14ac:dyDescent="0.2">
      <c r="A1026" s="3610" t="s">
        <v>6113</v>
      </c>
      <c r="B1026" s="3340">
        <v>1</v>
      </c>
      <c r="C1026" s="3340">
        <v>1</v>
      </c>
      <c r="D1026" s="3340">
        <v>1</v>
      </c>
      <c r="E1026" s="3340">
        <v>1</v>
      </c>
      <c r="F1026" s="3340">
        <v>1</v>
      </c>
      <c r="G1026" s="3340">
        <v>1</v>
      </c>
      <c r="H1026" s="3353"/>
      <c r="I1026" s="3486"/>
      <c r="J1026" s="3486"/>
      <c r="K1026" s="3353"/>
      <c r="L1026" s="3353"/>
      <c r="M1026" s="3353"/>
      <c r="N1026" s="3353"/>
      <c r="O1026" s="3353"/>
      <c r="P1026" s="3353"/>
      <c r="Q1026" s="3353"/>
      <c r="R1026" s="3353"/>
      <c r="S1026" s="3353"/>
      <c r="T1026" s="3353"/>
      <c r="U1026" s="3353"/>
      <c r="V1026" s="3353"/>
      <c r="W1026" s="3353"/>
      <c r="X1026" s="3353"/>
      <c r="Y1026" s="3353"/>
      <c r="Z1026" s="3353"/>
      <c r="AA1026" s="3353"/>
      <c r="AB1026" s="3353"/>
      <c r="AC1026" s="3353"/>
      <c r="AD1026" s="3353"/>
      <c r="AE1026" s="3353"/>
      <c r="AF1026" s="3353"/>
      <c r="AG1026" s="3353"/>
      <c r="AH1026" s="3353"/>
      <c r="AI1026" s="3353"/>
      <c r="AJ1026" s="3353"/>
      <c r="AK1026" s="3353"/>
      <c r="AL1026" s="3353"/>
    </row>
    <row r="1027" spans="1:38" s="3309" customFormat="1" x14ac:dyDescent="0.2">
      <c r="A1027" s="3534" t="s">
        <v>3059</v>
      </c>
      <c r="B1027" s="3380" t="e">
        <f t="shared" ref="B1027:G1027" si="474">B1023*B1024*B1025*B1026</f>
        <v>#VALUE!</v>
      </c>
      <c r="C1027" s="3380">
        <f t="shared" si="474"/>
        <v>1</v>
      </c>
      <c r="D1027" s="3380">
        <f t="shared" si="474"/>
        <v>1</v>
      </c>
      <c r="E1027" s="3380">
        <f t="shared" si="474"/>
        <v>1</v>
      </c>
      <c r="F1027" s="3380">
        <f t="shared" si="474"/>
        <v>1</v>
      </c>
      <c r="G1027" s="3380">
        <f t="shared" si="474"/>
        <v>1</v>
      </c>
      <c r="H1027" s="3353"/>
      <c r="I1027" s="3353"/>
      <c r="J1027" s="3353"/>
      <c r="K1027" s="3353"/>
      <c r="L1027" s="3353"/>
      <c r="M1027" s="3353"/>
      <c r="N1027" s="3353"/>
      <c r="O1027" s="3353"/>
      <c r="P1027" s="3353"/>
      <c r="Q1027" s="3353"/>
      <c r="R1027" s="3353"/>
      <c r="S1027" s="3353"/>
      <c r="T1027" s="3353"/>
      <c r="U1027" s="3353"/>
      <c r="V1027" s="3353"/>
      <c r="W1027" s="3353"/>
      <c r="X1027" s="3353"/>
      <c r="Y1027" s="3353"/>
      <c r="Z1027" s="3353"/>
      <c r="AA1027" s="3353"/>
      <c r="AB1027" s="3353"/>
      <c r="AC1027" s="3353"/>
      <c r="AD1027" s="3353"/>
      <c r="AE1027" s="3353"/>
      <c r="AF1027" s="3353"/>
      <c r="AG1027" s="3353"/>
      <c r="AH1027" s="3353"/>
      <c r="AI1027" s="3353"/>
      <c r="AJ1027" s="3353"/>
      <c r="AK1027" s="3353"/>
      <c r="AL1027" s="3353"/>
    </row>
    <row r="1028" spans="1:38" s="3309" customFormat="1" x14ac:dyDescent="0.2">
      <c r="A1028" s="3533" t="s">
        <v>3412</v>
      </c>
      <c r="B1028" s="3532" t="e">
        <f t="shared" ref="B1028:G1028" si="475">B1020*B1027*B788</f>
        <v>#VALUE!</v>
      </c>
      <c r="C1028" s="3532" t="e">
        <f t="shared" si="475"/>
        <v>#NUM!</v>
      </c>
      <c r="D1028" s="3532" t="e">
        <f t="shared" si="475"/>
        <v>#NUM!</v>
      </c>
      <c r="E1028" s="3532" t="e">
        <f t="shared" si="475"/>
        <v>#NUM!</v>
      </c>
      <c r="F1028" s="3532" t="e">
        <f t="shared" si="475"/>
        <v>#NUM!</v>
      </c>
      <c r="G1028" s="3532" t="e">
        <f t="shared" si="475"/>
        <v>#NUM!</v>
      </c>
      <c r="H1028" s="3353"/>
      <c r="I1028" s="3353"/>
      <c r="J1028" s="3353"/>
      <c r="K1028" s="3353"/>
      <c r="L1028" s="3353"/>
      <c r="M1028" s="3353"/>
      <c r="N1028" s="3353"/>
      <c r="O1028" s="3353"/>
      <c r="P1028" s="3353"/>
      <c r="Q1028" s="3353"/>
      <c r="R1028" s="3353"/>
      <c r="S1028" s="3353"/>
      <c r="T1028" s="3353"/>
      <c r="U1028" s="3353"/>
      <c r="V1028" s="3353"/>
      <c r="W1028" s="3353"/>
      <c r="X1028" s="3353"/>
      <c r="Y1028" s="3353"/>
      <c r="Z1028" s="3353"/>
      <c r="AA1028" s="3353"/>
      <c r="AB1028" s="3353"/>
      <c r="AC1028" s="3353"/>
      <c r="AD1028" s="3353"/>
      <c r="AE1028" s="3353"/>
      <c r="AF1028" s="3353"/>
      <c r="AG1028" s="3353"/>
      <c r="AH1028" s="3353"/>
      <c r="AI1028" s="3353"/>
      <c r="AJ1028" s="3353"/>
      <c r="AK1028" s="3353"/>
      <c r="AL1028" s="3353"/>
    </row>
    <row r="1029" spans="1:38" s="3309" customFormat="1" x14ac:dyDescent="0.2">
      <c r="A1029" s="3609" t="s">
        <v>2472</v>
      </c>
      <c r="B1029" s="3380" t="e">
        <f t="shared" ref="B1029:G1029" si="476">B1028*0.7</f>
        <v>#VALUE!</v>
      </c>
      <c r="C1029" s="3380" t="e">
        <f t="shared" si="476"/>
        <v>#NUM!</v>
      </c>
      <c r="D1029" s="3380" t="e">
        <f t="shared" si="476"/>
        <v>#NUM!</v>
      </c>
      <c r="E1029" s="3380" t="e">
        <f t="shared" si="476"/>
        <v>#NUM!</v>
      </c>
      <c r="F1029" s="3380" t="e">
        <f t="shared" si="476"/>
        <v>#NUM!</v>
      </c>
      <c r="G1029" s="3380" t="e">
        <f t="shared" si="476"/>
        <v>#NUM!</v>
      </c>
      <c r="H1029" s="3353"/>
      <c r="I1029" s="3353"/>
      <c r="J1029" s="3353"/>
      <c r="K1029" s="3353"/>
      <c r="L1029" s="3353"/>
      <c r="M1029" s="3353"/>
      <c r="N1029" s="3353"/>
      <c r="O1029" s="3353"/>
      <c r="P1029" s="3353"/>
      <c r="Q1029" s="3353"/>
      <c r="R1029" s="3353"/>
      <c r="S1029" s="3353"/>
      <c r="T1029" s="3353"/>
      <c r="U1029" s="3353"/>
      <c r="V1029" s="3353"/>
      <c r="W1029" s="3353"/>
      <c r="X1029" s="3353"/>
      <c r="Y1029" s="3353"/>
      <c r="Z1029" s="3353"/>
      <c r="AA1029" s="3353"/>
      <c r="AB1029" s="3353"/>
      <c r="AC1029" s="3353"/>
      <c r="AD1029" s="3353"/>
      <c r="AE1029" s="3353"/>
      <c r="AF1029" s="3353"/>
      <c r="AG1029" s="3353"/>
      <c r="AH1029" s="3353"/>
      <c r="AI1029" s="3353"/>
      <c r="AJ1029" s="3353"/>
      <c r="AK1029" s="3353"/>
      <c r="AL1029" s="3353"/>
    </row>
    <row r="1030" spans="1:38" s="3309" customFormat="1" x14ac:dyDescent="0.2">
      <c r="A1030" s="3608" t="s">
        <v>429</v>
      </c>
      <c r="B1030" s="3380" t="e">
        <f t="shared" ref="B1030:G1030" si="477">B1019/B1029</f>
        <v>#DIV/0!</v>
      </c>
      <c r="C1030" s="3380" t="e">
        <f t="shared" si="477"/>
        <v>#DIV/0!</v>
      </c>
      <c r="D1030" s="3380" t="e">
        <f t="shared" si="477"/>
        <v>#DIV/0!</v>
      </c>
      <c r="E1030" s="3380" t="e">
        <f t="shared" si="477"/>
        <v>#DIV/0!</v>
      </c>
      <c r="F1030" s="3380" t="e">
        <f t="shared" si="477"/>
        <v>#DIV/0!</v>
      </c>
      <c r="G1030" s="3380" t="e">
        <f t="shared" si="477"/>
        <v>#DIV/0!</v>
      </c>
      <c r="H1030" s="3353"/>
      <c r="I1030" s="3353"/>
      <c r="J1030" s="3353"/>
      <c r="K1030" s="3353"/>
      <c r="L1030" s="3353"/>
      <c r="M1030" s="3353"/>
      <c r="N1030" s="3353"/>
      <c r="O1030" s="3353"/>
      <c r="P1030" s="3353"/>
      <c r="Q1030" s="3353"/>
      <c r="R1030" s="3353"/>
      <c r="S1030" s="3353"/>
      <c r="T1030" s="3353"/>
      <c r="U1030" s="3353"/>
      <c r="V1030" s="3353"/>
      <c r="W1030" s="3353"/>
      <c r="X1030" s="3353"/>
      <c r="Y1030" s="3353"/>
      <c r="Z1030" s="3353"/>
      <c r="AA1030" s="3353"/>
      <c r="AB1030" s="3353"/>
      <c r="AC1030" s="3353"/>
      <c r="AD1030" s="3353"/>
      <c r="AE1030" s="3353"/>
      <c r="AF1030" s="3353"/>
      <c r="AG1030" s="3353"/>
      <c r="AH1030" s="3353"/>
      <c r="AI1030" s="3353"/>
      <c r="AJ1030" s="3353"/>
      <c r="AK1030" s="3353"/>
      <c r="AL1030" s="3353"/>
    </row>
    <row r="1031" spans="1:38" s="3309" customFormat="1" x14ac:dyDescent="0.2">
      <c r="A1031" s="3411" t="s">
        <v>6112</v>
      </c>
      <c r="B1031" s="3379" t="e">
        <f t="shared" ref="B1031:G1031" si="478">B1011</f>
        <v>#DIV/0!</v>
      </c>
      <c r="C1031" s="3379" t="e">
        <f t="shared" si="478"/>
        <v>#DIV/0!</v>
      </c>
      <c r="D1031" s="3379" t="e">
        <f t="shared" si="478"/>
        <v>#DIV/0!</v>
      </c>
      <c r="E1031" s="3379" t="e">
        <f t="shared" si="478"/>
        <v>#DIV/0!</v>
      </c>
      <c r="F1031" s="3379" t="e">
        <f t="shared" si="478"/>
        <v>#DIV/0!</v>
      </c>
      <c r="G1031" s="3379" t="e">
        <f t="shared" si="478"/>
        <v>#DIV/0!</v>
      </c>
      <c r="H1031" s="3353"/>
      <c r="I1031" s="3353"/>
      <c r="J1031" s="3353"/>
      <c r="K1031" s="3353"/>
      <c r="L1031" s="3353"/>
      <c r="M1031" s="3353"/>
      <c r="N1031" s="3353"/>
      <c r="O1031" s="3353"/>
      <c r="P1031" s="3353"/>
      <c r="Q1031" s="3353"/>
      <c r="R1031" s="3353"/>
      <c r="S1031" s="3353"/>
      <c r="T1031" s="3353"/>
      <c r="U1031" s="3353"/>
      <c r="V1031" s="3353"/>
      <c r="W1031" s="3353"/>
      <c r="X1031" s="3353"/>
      <c r="Y1031" s="3353"/>
      <c r="Z1031" s="3353"/>
      <c r="AA1031" s="3353"/>
      <c r="AB1031" s="3353"/>
      <c r="AC1031" s="3353"/>
      <c r="AD1031" s="3353"/>
      <c r="AE1031" s="3353"/>
      <c r="AF1031" s="3353"/>
      <c r="AG1031" s="3353"/>
      <c r="AH1031" s="3353"/>
      <c r="AI1031" s="3353"/>
      <c r="AJ1031" s="3353"/>
      <c r="AK1031" s="3353"/>
      <c r="AL1031" s="3353"/>
    </row>
    <row r="1032" spans="1:38" s="3309" customFormat="1" x14ac:dyDescent="0.2">
      <c r="A1032" s="3411" t="s">
        <v>6111</v>
      </c>
      <c r="B1032" s="3379" t="e">
        <f t="shared" ref="B1032:G1032" si="479">INDEX($B$2918:$B$2928,B999)</f>
        <v>#VALUE!</v>
      </c>
      <c r="C1032" s="3379" t="e">
        <f t="shared" si="479"/>
        <v>#NUM!</v>
      </c>
      <c r="D1032" s="3379" t="e">
        <f t="shared" si="479"/>
        <v>#NUM!</v>
      </c>
      <c r="E1032" s="3379" t="e">
        <f t="shared" si="479"/>
        <v>#NUM!</v>
      </c>
      <c r="F1032" s="3379" t="e">
        <f t="shared" si="479"/>
        <v>#NUM!</v>
      </c>
      <c r="G1032" s="3379" t="e">
        <f t="shared" si="479"/>
        <v>#NUM!</v>
      </c>
      <c r="H1032" s="3353"/>
      <c r="I1032" s="3353"/>
      <c r="J1032" s="3353"/>
      <c r="K1032" s="3353"/>
      <c r="L1032" s="3353"/>
      <c r="M1032" s="3353"/>
      <c r="N1032" s="3353"/>
      <c r="O1032" s="3353"/>
      <c r="P1032" s="3353"/>
      <c r="Q1032" s="3353"/>
      <c r="R1032" s="3353"/>
      <c r="S1032" s="3353"/>
      <c r="T1032" s="3353"/>
      <c r="U1032" s="3353"/>
      <c r="V1032" s="3353"/>
      <c r="W1032" s="3353"/>
      <c r="X1032" s="3353"/>
      <c r="Y1032" s="3353"/>
      <c r="Z1032" s="3353"/>
      <c r="AA1032" s="3353"/>
      <c r="AB1032" s="3353"/>
      <c r="AC1032" s="3353"/>
      <c r="AD1032" s="3353"/>
      <c r="AE1032" s="3353"/>
      <c r="AF1032" s="3353"/>
      <c r="AG1032" s="3353"/>
      <c r="AH1032" s="3353"/>
      <c r="AI1032" s="3353"/>
      <c r="AJ1032" s="3353"/>
      <c r="AK1032" s="3353"/>
      <c r="AL1032" s="3353"/>
    </row>
    <row r="1033" spans="1:38" s="3309" customFormat="1" x14ac:dyDescent="0.2">
      <c r="A1033" s="3411" t="s">
        <v>203</v>
      </c>
      <c r="B1033" s="3379" t="e">
        <f t="shared" ref="B1033:G1033" si="480">B1032*B1005*B788</f>
        <v>#VALUE!</v>
      </c>
      <c r="C1033" s="3379" t="e">
        <f t="shared" si="480"/>
        <v>#NUM!</v>
      </c>
      <c r="D1033" s="3379" t="e">
        <f t="shared" si="480"/>
        <v>#NUM!</v>
      </c>
      <c r="E1033" s="3379" t="e">
        <f t="shared" si="480"/>
        <v>#NUM!</v>
      </c>
      <c r="F1033" s="3379" t="e">
        <f t="shared" si="480"/>
        <v>#NUM!</v>
      </c>
      <c r="G1033" s="3379" t="e">
        <f t="shared" si="480"/>
        <v>#NUM!</v>
      </c>
      <c r="H1033" s="3353"/>
      <c r="I1033" s="3353"/>
      <c r="J1033" s="3353"/>
      <c r="K1033" s="3353"/>
      <c r="L1033" s="3353"/>
      <c r="M1033" s="3353"/>
      <c r="N1033" s="3353"/>
      <c r="O1033" s="3353"/>
      <c r="P1033" s="3353"/>
      <c r="Q1033" s="3353"/>
      <c r="R1033" s="3353"/>
      <c r="S1033" s="3353"/>
      <c r="T1033" s="3353"/>
      <c r="U1033" s="3353"/>
      <c r="V1033" s="3353"/>
      <c r="W1033" s="3353"/>
      <c r="X1033" s="3353"/>
      <c r="Y1033" s="3353"/>
      <c r="Z1033" s="3353"/>
      <c r="AA1033" s="3353"/>
      <c r="AB1033" s="3353"/>
      <c r="AC1033" s="3353"/>
      <c r="AD1033" s="3353"/>
      <c r="AE1033" s="3353"/>
      <c r="AF1033" s="3353"/>
      <c r="AG1033" s="3353"/>
      <c r="AH1033" s="3353"/>
      <c r="AI1033" s="3353"/>
      <c r="AJ1033" s="3353"/>
      <c r="AK1033" s="3353"/>
      <c r="AL1033" s="3353"/>
    </row>
    <row r="1034" spans="1:38" s="3309" customFormat="1" x14ac:dyDescent="0.2">
      <c r="A1034" s="3401" t="s">
        <v>429</v>
      </c>
      <c r="B1034" s="3379" t="e">
        <f t="shared" ref="B1034:G1034" si="481">B1031/B1033</f>
        <v>#DIV/0!</v>
      </c>
      <c r="C1034" s="3379" t="e">
        <f t="shared" si="481"/>
        <v>#DIV/0!</v>
      </c>
      <c r="D1034" s="3379" t="e">
        <f t="shared" si="481"/>
        <v>#DIV/0!</v>
      </c>
      <c r="E1034" s="3379" t="e">
        <f t="shared" si="481"/>
        <v>#DIV/0!</v>
      </c>
      <c r="F1034" s="3379" t="e">
        <f t="shared" si="481"/>
        <v>#DIV/0!</v>
      </c>
      <c r="G1034" s="3379" t="e">
        <f t="shared" si="481"/>
        <v>#DIV/0!</v>
      </c>
      <c r="H1034" s="3467"/>
      <c r="I1034" s="3353"/>
      <c r="J1034" s="3353"/>
      <c r="K1034" s="3353"/>
      <c r="L1034" s="3353"/>
      <c r="M1034" s="3353"/>
      <c r="N1034" s="3353"/>
      <c r="O1034" s="3353"/>
      <c r="P1034" s="3353"/>
      <c r="Q1034" s="3353"/>
      <c r="R1034" s="3353"/>
      <c r="S1034" s="3353"/>
      <c r="T1034" s="3353"/>
      <c r="U1034" s="3353"/>
      <c r="V1034" s="3353"/>
      <c r="W1034" s="3353"/>
      <c r="X1034" s="3353"/>
      <c r="Y1034" s="3353"/>
      <c r="Z1034" s="3353"/>
      <c r="AA1034" s="3353"/>
      <c r="AB1034" s="3353"/>
      <c r="AC1034" s="3353"/>
      <c r="AD1034" s="3353"/>
      <c r="AE1034" s="3353"/>
      <c r="AF1034" s="3353"/>
      <c r="AG1034" s="3353"/>
      <c r="AH1034" s="3353"/>
      <c r="AI1034" s="3353"/>
      <c r="AJ1034" s="3353"/>
      <c r="AK1034" s="3353"/>
      <c r="AL1034" s="3353"/>
    </row>
    <row r="1035" spans="1:38" s="3309" customFormat="1" ht="25.5" x14ac:dyDescent="0.2">
      <c r="A1035" s="3459" t="s">
        <v>6110</v>
      </c>
      <c r="B1035" s="3379"/>
      <c r="C1035" s="3412"/>
      <c r="D1035" s="3412"/>
      <c r="E1035" s="3412"/>
      <c r="F1035" s="3412"/>
      <c r="G1035" s="3412"/>
      <c r="H1035" s="3353"/>
      <c r="I1035" s="3353"/>
      <c r="J1035" s="3353"/>
      <c r="K1035" s="3353"/>
      <c r="L1035" s="3353"/>
      <c r="M1035" s="3353"/>
      <c r="N1035" s="3353"/>
      <c r="O1035" s="3353"/>
      <c r="P1035" s="3353"/>
      <c r="Q1035" s="3353"/>
      <c r="R1035" s="3353"/>
      <c r="S1035" s="3353"/>
      <c r="T1035" s="3353"/>
      <c r="U1035" s="3353"/>
      <c r="V1035" s="3353"/>
      <c r="W1035" s="3353"/>
      <c r="X1035" s="3353"/>
      <c r="Y1035" s="3353"/>
      <c r="Z1035" s="3353"/>
      <c r="AA1035" s="3353"/>
      <c r="AB1035" s="3353"/>
      <c r="AC1035" s="3353"/>
      <c r="AD1035" s="3353"/>
      <c r="AE1035" s="3353"/>
      <c r="AF1035" s="3353"/>
      <c r="AG1035" s="3353"/>
      <c r="AH1035" s="3353"/>
      <c r="AI1035" s="3353"/>
      <c r="AJ1035" s="3353"/>
      <c r="AK1035" s="3353"/>
      <c r="AL1035" s="3353"/>
    </row>
    <row r="1036" spans="1:38" s="3309" customFormat="1" x14ac:dyDescent="0.2">
      <c r="A1036" s="3409" t="s">
        <v>211</v>
      </c>
      <c r="B1036" s="3429">
        <f t="shared" ref="B1036:G1036" si="482">B183</f>
        <v>2.2000000000000002</v>
      </c>
      <c r="C1036" s="3429">
        <f t="shared" si="482"/>
        <v>0</v>
      </c>
      <c r="D1036" s="3429">
        <f t="shared" si="482"/>
        <v>0</v>
      </c>
      <c r="E1036" s="3429">
        <f t="shared" si="482"/>
        <v>0</v>
      </c>
      <c r="F1036" s="3429">
        <f t="shared" si="482"/>
        <v>0</v>
      </c>
      <c r="G1036" s="3429">
        <f t="shared" si="482"/>
        <v>0</v>
      </c>
      <c r="H1036" s="3353"/>
      <c r="I1036" s="3353"/>
      <c r="J1036" s="3353"/>
      <c r="K1036" s="3353"/>
      <c r="L1036" s="3353"/>
      <c r="M1036" s="3353"/>
      <c r="N1036" s="3353"/>
      <c r="O1036" s="3353"/>
      <c r="P1036" s="3353"/>
      <c r="Q1036" s="3353"/>
      <c r="R1036" s="3353"/>
      <c r="S1036" s="3353"/>
      <c r="T1036" s="3353"/>
      <c r="U1036" s="3353"/>
      <c r="V1036" s="3353"/>
      <c r="W1036" s="3353"/>
      <c r="X1036" s="3353"/>
      <c r="Y1036" s="3353"/>
      <c r="Z1036" s="3353"/>
      <c r="AA1036" s="3353"/>
      <c r="AB1036" s="3353"/>
      <c r="AC1036" s="3353"/>
      <c r="AD1036" s="3353"/>
      <c r="AE1036" s="3353"/>
      <c r="AF1036" s="3353"/>
      <c r="AG1036" s="3353"/>
      <c r="AH1036" s="3353"/>
      <c r="AI1036" s="3353"/>
      <c r="AJ1036" s="3353"/>
      <c r="AK1036" s="3353"/>
      <c r="AL1036" s="3353"/>
    </row>
    <row r="1037" spans="1:38" s="3309" customFormat="1" x14ac:dyDescent="0.2">
      <c r="A1037" s="3407" t="s">
        <v>6109</v>
      </c>
      <c r="B1037" s="3379">
        <f t="shared" ref="B1037:G1037" si="483">B792*((B922-B795)/B1036)*B736/(B922-B795)</f>
        <v>0</v>
      </c>
      <c r="C1037" s="3379" t="e">
        <f t="shared" si="483"/>
        <v>#DIV/0!</v>
      </c>
      <c r="D1037" s="3379" t="e">
        <f t="shared" si="483"/>
        <v>#DIV/0!</v>
      </c>
      <c r="E1037" s="3379" t="e">
        <f t="shared" si="483"/>
        <v>#DIV/0!</v>
      </c>
      <c r="F1037" s="3379" t="e">
        <f t="shared" si="483"/>
        <v>#DIV/0!</v>
      </c>
      <c r="G1037" s="3379" t="e">
        <f t="shared" si="483"/>
        <v>#DIV/0!</v>
      </c>
      <c r="H1037" s="3467"/>
      <c r="I1037" s="3353"/>
      <c r="J1037" s="3353"/>
      <c r="K1037" s="3353"/>
      <c r="L1037" s="3353"/>
      <c r="M1037" s="3353"/>
      <c r="N1037" s="3353"/>
      <c r="O1037" s="3353"/>
      <c r="P1037" s="3353"/>
      <c r="Q1037" s="3353"/>
      <c r="R1037" s="3353"/>
      <c r="S1037" s="3353"/>
      <c r="T1037" s="3353"/>
      <c r="U1037" s="3353"/>
      <c r="V1037" s="3353"/>
      <c r="W1037" s="3353"/>
      <c r="X1037" s="3353"/>
      <c r="Y1037" s="3353"/>
      <c r="Z1037" s="3353"/>
      <c r="AA1037" s="3353"/>
      <c r="AB1037" s="3353"/>
      <c r="AC1037" s="3353"/>
      <c r="AD1037" s="3353"/>
      <c r="AE1037" s="3353"/>
      <c r="AF1037" s="3353"/>
      <c r="AG1037" s="3353"/>
      <c r="AH1037" s="3353"/>
      <c r="AI1037" s="3353"/>
      <c r="AJ1037" s="3353"/>
      <c r="AK1037" s="3353"/>
      <c r="AL1037" s="3353"/>
    </row>
    <row r="1038" spans="1:38" s="3309" customFormat="1" x14ac:dyDescent="0.2">
      <c r="A1038" s="3411" t="s">
        <v>425</v>
      </c>
      <c r="B1038" s="3379">
        <f t="shared" ref="B1038:G1038" si="484">B980</f>
        <v>9.1999999999999993</v>
      </c>
      <c r="C1038" s="3379">
        <f t="shared" si="484"/>
        <v>43.6</v>
      </c>
      <c r="D1038" s="3379">
        <f t="shared" si="484"/>
        <v>43.6</v>
      </c>
      <c r="E1038" s="3379">
        <f t="shared" si="484"/>
        <v>43.6</v>
      </c>
      <c r="F1038" s="3379">
        <f t="shared" si="484"/>
        <v>43.6</v>
      </c>
      <c r="G1038" s="3379">
        <f t="shared" si="484"/>
        <v>43.6</v>
      </c>
      <c r="H1038" s="3353"/>
      <c r="I1038" s="3353"/>
      <c r="J1038" s="3353"/>
      <c r="K1038" s="3353"/>
      <c r="L1038" s="3353"/>
      <c r="M1038" s="3353"/>
      <c r="N1038" s="3353"/>
      <c r="O1038" s="3353"/>
      <c r="P1038" s="3353"/>
      <c r="Q1038" s="3353"/>
      <c r="R1038" s="3353"/>
      <c r="S1038" s="3353"/>
      <c r="T1038" s="3353"/>
      <c r="U1038" s="3353"/>
      <c r="V1038" s="3353"/>
      <c r="W1038" s="3353"/>
      <c r="X1038" s="3353"/>
      <c r="Y1038" s="3353"/>
      <c r="Z1038" s="3353"/>
      <c r="AA1038" s="3353"/>
      <c r="AB1038" s="3353"/>
      <c r="AC1038" s="3353"/>
      <c r="AD1038" s="3353"/>
      <c r="AE1038" s="3353"/>
      <c r="AF1038" s="3353"/>
      <c r="AG1038" s="3353"/>
      <c r="AH1038" s="3353"/>
      <c r="AI1038" s="3353"/>
      <c r="AJ1038" s="3353"/>
      <c r="AK1038" s="3353"/>
      <c r="AL1038" s="3353"/>
    </row>
    <row r="1039" spans="1:38" s="3309" customFormat="1" x14ac:dyDescent="0.2">
      <c r="A1039" s="3411" t="s">
        <v>3391</v>
      </c>
      <c r="B1039" s="3379"/>
      <c r="C1039" s="3412"/>
      <c r="D1039" s="3412"/>
      <c r="E1039" s="3412"/>
      <c r="F1039" s="3412"/>
      <c r="G1039" s="3412"/>
      <c r="H1039" s="3353"/>
      <c r="I1039" s="3353"/>
      <c r="J1039" s="3353"/>
      <c r="K1039" s="3353"/>
      <c r="L1039" s="3353"/>
      <c r="M1039" s="3353"/>
      <c r="N1039" s="3353"/>
      <c r="O1039" s="3353"/>
      <c r="P1039" s="3353"/>
      <c r="Q1039" s="3353"/>
      <c r="R1039" s="3353"/>
      <c r="S1039" s="3353"/>
      <c r="T1039" s="3353"/>
      <c r="U1039" s="3353"/>
      <c r="V1039" s="3353"/>
      <c r="W1039" s="3353"/>
      <c r="X1039" s="3353"/>
      <c r="Y1039" s="3353"/>
      <c r="Z1039" s="3353"/>
      <c r="AA1039" s="3353"/>
      <c r="AB1039" s="3353"/>
      <c r="AC1039" s="3353"/>
      <c r="AD1039" s="3353"/>
      <c r="AE1039" s="3353"/>
      <c r="AF1039" s="3353"/>
      <c r="AG1039" s="3353"/>
      <c r="AH1039" s="3353"/>
      <c r="AI1039" s="3353"/>
      <c r="AJ1039" s="3353"/>
      <c r="AK1039" s="3353"/>
      <c r="AL1039" s="3353"/>
    </row>
    <row r="1040" spans="1:38" s="3309" customFormat="1" ht="25.5" x14ac:dyDescent="0.2">
      <c r="A1040" s="3529" t="s">
        <v>1724</v>
      </c>
      <c r="B1040" s="3527">
        <f t="shared" ref="B1040:G1040" si="485">B849</f>
        <v>0</v>
      </c>
      <c r="C1040" s="3527">
        <f t="shared" si="485"/>
        <v>0</v>
      </c>
      <c r="D1040" s="3527">
        <f t="shared" si="485"/>
        <v>0</v>
      </c>
      <c r="E1040" s="3527">
        <f t="shared" si="485"/>
        <v>0</v>
      </c>
      <c r="F1040" s="3527">
        <f t="shared" si="485"/>
        <v>0</v>
      </c>
      <c r="G1040" s="3527">
        <f t="shared" si="485"/>
        <v>0</v>
      </c>
      <c r="H1040" s="3467"/>
      <c r="I1040" s="3353"/>
      <c r="J1040" s="3353"/>
      <c r="K1040" s="3353"/>
      <c r="L1040" s="3353"/>
      <c r="M1040" s="3353"/>
      <c r="N1040" s="3353"/>
      <c r="O1040" s="3353"/>
      <c r="P1040" s="3353"/>
      <c r="Q1040" s="3353"/>
      <c r="R1040" s="3353"/>
      <c r="S1040" s="3353"/>
      <c r="T1040" s="3353"/>
      <c r="U1040" s="3353"/>
      <c r="V1040" s="3353"/>
      <c r="W1040" s="3353"/>
      <c r="X1040" s="3353"/>
      <c r="Y1040" s="3353"/>
      <c r="Z1040" s="3353"/>
      <c r="AA1040" s="3353"/>
      <c r="AB1040" s="3353"/>
      <c r="AC1040" s="3353"/>
      <c r="AD1040" s="3353"/>
      <c r="AE1040" s="3353"/>
      <c r="AF1040" s="3353"/>
      <c r="AG1040" s="3353"/>
      <c r="AH1040" s="3353"/>
      <c r="AI1040" s="3353"/>
      <c r="AJ1040" s="3353"/>
      <c r="AK1040" s="3353"/>
      <c r="AL1040" s="3353"/>
    </row>
    <row r="1041" spans="1:38" s="3309" customFormat="1" x14ac:dyDescent="0.2">
      <c r="A1041" s="3459" t="s">
        <v>1725</v>
      </c>
      <c r="B1041" s="3379">
        <f t="shared" ref="B1041:G1041" si="486">IF(B1040=1,1.15,1)</f>
        <v>1</v>
      </c>
      <c r="C1041" s="3379">
        <f t="shared" si="486"/>
        <v>1</v>
      </c>
      <c r="D1041" s="3379">
        <f t="shared" si="486"/>
        <v>1</v>
      </c>
      <c r="E1041" s="3379">
        <f t="shared" si="486"/>
        <v>1</v>
      </c>
      <c r="F1041" s="3379">
        <f t="shared" si="486"/>
        <v>1</v>
      </c>
      <c r="G1041" s="3379">
        <f t="shared" si="486"/>
        <v>1</v>
      </c>
      <c r="H1041" s="3467"/>
      <c r="I1041" s="3353"/>
      <c r="J1041" s="3353"/>
      <c r="K1041" s="3353"/>
      <c r="L1041" s="3353"/>
      <c r="M1041" s="3353"/>
      <c r="N1041" s="3353"/>
      <c r="O1041" s="3353"/>
      <c r="P1041" s="3353"/>
      <c r="Q1041" s="3353"/>
      <c r="R1041" s="3353"/>
      <c r="S1041" s="3353"/>
      <c r="T1041" s="3353"/>
      <c r="U1041" s="3353"/>
      <c r="V1041" s="3353"/>
      <c r="W1041" s="3353"/>
      <c r="X1041" s="3353"/>
      <c r="Y1041" s="3353"/>
      <c r="Z1041" s="3353"/>
      <c r="AA1041" s="3353"/>
      <c r="AB1041" s="3353"/>
      <c r="AC1041" s="3353"/>
      <c r="AD1041" s="3353"/>
      <c r="AE1041" s="3353"/>
      <c r="AF1041" s="3353"/>
      <c r="AG1041" s="3353"/>
      <c r="AH1041" s="3353"/>
      <c r="AI1041" s="3353"/>
      <c r="AJ1041" s="3353"/>
      <c r="AK1041" s="3353"/>
      <c r="AL1041" s="3353"/>
    </row>
    <row r="1042" spans="1:38" s="3309" customFormat="1" x14ac:dyDescent="0.2">
      <c r="A1042" s="3528" t="s">
        <v>5573</v>
      </c>
      <c r="B1042" s="3527">
        <f t="shared" ref="B1042:G1042" si="487">B851</f>
        <v>0</v>
      </c>
      <c r="C1042" s="3527">
        <f t="shared" si="487"/>
        <v>0</v>
      </c>
      <c r="D1042" s="3527">
        <f t="shared" si="487"/>
        <v>0</v>
      </c>
      <c r="E1042" s="3527">
        <f t="shared" si="487"/>
        <v>0</v>
      </c>
      <c r="F1042" s="3527">
        <f t="shared" si="487"/>
        <v>0</v>
      </c>
      <c r="G1042" s="3527">
        <f t="shared" si="487"/>
        <v>0</v>
      </c>
      <c r="H1042" s="3353"/>
      <c r="I1042" s="3353"/>
      <c r="J1042" s="3353"/>
      <c r="K1042" s="3353"/>
      <c r="L1042" s="3353"/>
      <c r="M1042" s="3353"/>
      <c r="N1042" s="3353"/>
      <c r="O1042" s="3353"/>
      <c r="P1042" s="3353"/>
      <c r="Q1042" s="3353"/>
      <c r="R1042" s="3353"/>
      <c r="S1042" s="3353"/>
      <c r="T1042" s="3353"/>
      <c r="U1042" s="3353"/>
      <c r="V1042" s="3353"/>
      <c r="W1042" s="3353"/>
      <c r="X1042" s="3353"/>
      <c r="Y1042" s="3353"/>
      <c r="Z1042" s="3353"/>
      <c r="AA1042" s="3353"/>
      <c r="AB1042" s="3353"/>
      <c r="AC1042" s="3353"/>
      <c r="AD1042" s="3353"/>
      <c r="AE1042" s="3353"/>
      <c r="AF1042" s="3353"/>
      <c r="AG1042" s="3353"/>
      <c r="AH1042" s="3353"/>
      <c r="AI1042" s="3353"/>
      <c r="AJ1042" s="3353"/>
      <c r="AK1042" s="3353"/>
      <c r="AL1042" s="3353"/>
    </row>
    <row r="1043" spans="1:38" s="3309" customFormat="1" x14ac:dyDescent="0.2">
      <c r="A1043" s="3459" t="s">
        <v>2636</v>
      </c>
      <c r="B1043" s="3379">
        <f t="shared" ref="B1043:G1043" si="488">IF(B1042=1,1.15,1)</f>
        <v>1</v>
      </c>
      <c r="C1043" s="3379">
        <f t="shared" si="488"/>
        <v>1</v>
      </c>
      <c r="D1043" s="3379">
        <f t="shared" si="488"/>
        <v>1</v>
      </c>
      <c r="E1043" s="3379">
        <f t="shared" si="488"/>
        <v>1</v>
      </c>
      <c r="F1043" s="3379">
        <f t="shared" si="488"/>
        <v>1</v>
      </c>
      <c r="G1043" s="3379">
        <f t="shared" si="488"/>
        <v>1</v>
      </c>
      <c r="H1043" s="3353"/>
      <c r="I1043" s="3353"/>
      <c r="J1043" s="3353"/>
      <c r="K1043" s="3353"/>
      <c r="L1043" s="3353"/>
      <c r="M1043" s="3353"/>
      <c r="N1043" s="3353"/>
      <c r="O1043" s="3353"/>
      <c r="P1043" s="3353"/>
      <c r="Q1043" s="3353"/>
      <c r="R1043" s="3353"/>
      <c r="S1043" s="3353"/>
      <c r="T1043" s="3353"/>
      <c r="U1043" s="3353"/>
      <c r="V1043" s="3353"/>
      <c r="W1043" s="3353"/>
      <c r="X1043" s="3353"/>
      <c r="Y1043" s="3353"/>
      <c r="Z1043" s="3353"/>
      <c r="AA1043" s="3353"/>
      <c r="AB1043" s="3353"/>
      <c r="AC1043" s="3353"/>
      <c r="AD1043" s="3353"/>
      <c r="AE1043" s="3353"/>
      <c r="AF1043" s="3353"/>
      <c r="AG1043" s="3353"/>
      <c r="AH1043" s="3353"/>
      <c r="AI1043" s="3353"/>
      <c r="AJ1043" s="3353"/>
      <c r="AK1043" s="3353"/>
      <c r="AL1043" s="3353"/>
    </row>
    <row r="1044" spans="1:38" s="3309" customFormat="1" ht="25.5" x14ac:dyDescent="0.2">
      <c r="A1044" s="3459" t="s">
        <v>2637</v>
      </c>
      <c r="B1044" s="3379">
        <f t="shared" ref="B1044:G1044" si="489">IF(B756&lt;2,0.85,1)</f>
        <v>1</v>
      </c>
      <c r="C1044" s="3379">
        <f t="shared" si="489"/>
        <v>0.85</v>
      </c>
      <c r="D1044" s="3379">
        <f t="shared" si="489"/>
        <v>0.85</v>
      </c>
      <c r="E1044" s="3379">
        <f t="shared" si="489"/>
        <v>0.85</v>
      </c>
      <c r="F1044" s="3379">
        <f t="shared" si="489"/>
        <v>0.85</v>
      </c>
      <c r="G1044" s="3379">
        <f t="shared" si="489"/>
        <v>0.85</v>
      </c>
      <c r="H1044" s="3353"/>
      <c r="I1044" s="3353"/>
      <c r="J1044" s="3353"/>
      <c r="K1044" s="3353"/>
      <c r="L1044" s="3353"/>
      <c r="M1044" s="3353"/>
      <c r="N1044" s="3353"/>
      <c r="O1044" s="3353"/>
      <c r="P1044" s="3353"/>
      <c r="Q1044" s="3353"/>
      <c r="R1044" s="3353"/>
      <c r="S1044" s="3353"/>
      <c r="T1044" s="3353"/>
      <c r="U1044" s="3353"/>
      <c r="V1044" s="3353"/>
      <c r="W1044" s="3353"/>
      <c r="X1044" s="3353"/>
      <c r="Y1044" s="3353"/>
      <c r="Z1044" s="3353"/>
      <c r="AA1044" s="3353"/>
      <c r="AB1044" s="3353"/>
      <c r="AC1044" s="3353"/>
      <c r="AD1044" s="3353"/>
      <c r="AE1044" s="3353"/>
      <c r="AF1044" s="3353"/>
      <c r="AG1044" s="3353"/>
      <c r="AH1044" s="3353"/>
      <c r="AI1044" s="3353"/>
      <c r="AJ1044" s="3353"/>
      <c r="AK1044" s="3353"/>
      <c r="AL1044" s="3353"/>
    </row>
    <row r="1045" spans="1:38" s="3309" customFormat="1" x14ac:dyDescent="0.2">
      <c r="A1045" s="3459" t="s">
        <v>1743</v>
      </c>
      <c r="B1045" s="3607">
        <v>0.7</v>
      </c>
      <c r="C1045" s="3607">
        <v>0.7</v>
      </c>
      <c r="D1045" s="3607">
        <v>0.7</v>
      </c>
      <c r="E1045" s="3607">
        <v>0.7</v>
      </c>
      <c r="F1045" s="3607">
        <v>0.7</v>
      </c>
      <c r="G1045" s="3607">
        <v>0.7</v>
      </c>
      <c r="H1045" s="3353"/>
      <c r="I1045" s="3353"/>
      <c r="J1045" s="3353"/>
      <c r="K1045" s="3353"/>
      <c r="L1045" s="3353"/>
      <c r="M1045" s="3353"/>
      <c r="N1045" s="3353"/>
      <c r="O1045" s="3353"/>
      <c r="P1045" s="3353"/>
      <c r="Q1045" s="3353"/>
      <c r="R1045" s="3353"/>
      <c r="S1045" s="3353"/>
      <c r="T1045" s="3353"/>
      <c r="U1045" s="3353"/>
      <c r="V1045" s="3353"/>
      <c r="W1045" s="3353"/>
      <c r="X1045" s="3353"/>
      <c r="Y1045" s="3353"/>
      <c r="Z1045" s="3353"/>
      <c r="AA1045" s="3353"/>
      <c r="AB1045" s="3353"/>
      <c r="AC1045" s="3353"/>
      <c r="AD1045" s="3353"/>
      <c r="AE1045" s="3353"/>
      <c r="AF1045" s="3353"/>
      <c r="AG1045" s="3353"/>
      <c r="AH1045" s="3353"/>
      <c r="AI1045" s="3353"/>
      <c r="AJ1045" s="3353"/>
      <c r="AK1045" s="3353"/>
      <c r="AL1045" s="3353"/>
    </row>
    <row r="1046" spans="1:38" s="3309" customFormat="1" ht="25.5" x14ac:dyDescent="0.2">
      <c r="A1046" s="3459" t="s">
        <v>202</v>
      </c>
      <c r="B1046" s="3379">
        <f t="shared" ref="B1046:G1046" si="490">IF(B1036&lt;2,0.8,0.7)</f>
        <v>0.7</v>
      </c>
      <c r="C1046" s="3379">
        <f t="shared" si="490"/>
        <v>0.8</v>
      </c>
      <c r="D1046" s="3379">
        <f t="shared" si="490"/>
        <v>0.8</v>
      </c>
      <c r="E1046" s="3379">
        <f t="shared" si="490"/>
        <v>0.8</v>
      </c>
      <c r="F1046" s="3379">
        <f t="shared" si="490"/>
        <v>0.8</v>
      </c>
      <c r="G1046" s="3379">
        <f t="shared" si="490"/>
        <v>0.8</v>
      </c>
      <c r="H1046" s="3353"/>
      <c r="I1046" s="3353"/>
      <c r="J1046" s="3353"/>
      <c r="K1046" s="3353"/>
      <c r="L1046" s="3353"/>
      <c r="M1046" s="3353"/>
      <c r="N1046" s="3353"/>
      <c r="O1046" s="3353"/>
      <c r="P1046" s="3353"/>
      <c r="Q1046" s="3353"/>
      <c r="R1046" s="3353"/>
      <c r="S1046" s="3353"/>
      <c r="T1046" s="3353"/>
      <c r="U1046" s="3353"/>
      <c r="V1046" s="3353"/>
      <c r="W1046" s="3353"/>
      <c r="X1046" s="3353"/>
      <c r="Y1046" s="3353"/>
      <c r="Z1046" s="3353"/>
      <c r="AA1046" s="3353"/>
      <c r="AB1046" s="3353"/>
      <c r="AC1046" s="3353"/>
      <c r="AD1046" s="3353"/>
      <c r="AE1046" s="3353"/>
      <c r="AF1046" s="3353"/>
      <c r="AG1046" s="3353"/>
      <c r="AH1046" s="3353"/>
      <c r="AI1046" s="3353"/>
      <c r="AJ1046" s="3353"/>
      <c r="AK1046" s="3353"/>
      <c r="AL1046" s="3353"/>
    </row>
    <row r="1047" spans="1:38" s="3309" customFormat="1" x14ac:dyDescent="0.2">
      <c r="A1047" s="3459" t="s">
        <v>203</v>
      </c>
      <c r="B1047" s="3424">
        <f t="shared" ref="B1047:G1047" si="491">B1038*B1041*B1043*B1044*B1045*B1046</f>
        <v>4.5079999999999991</v>
      </c>
      <c r="C1047" s="3424">
        <f t="shared" si="491"/>
        <v>20.753600000000002</v>
      </c>
      <c r="D1047" s="3424">
        <f t="shared" si="491"/>
        <v>20.753600000000002</v>
      </c>
      <c r="E1047" s="3424">
        <f t="shared" si="491"/>
        <v>20.753600000000002</v>
      </c>
      <c r="F1047" s="3424">
        <f t="shared" si="491"/>
        <v>20.753600000000002</v>
      </c>
      <c r="G1047" s="3424">
        <f t="shared" si="491"/>
        <v>20.753600000000002</v>
      </c>
      <c r="H1047" s="3353"/>
      <c r="I1047" s="3353"/>
      <c r="J1047" s="3353"/>
      <c r="K1047" s="3353"/>
      <c r="L1047" s="3353"/>
      <c r="M1047" s="3353"/>
      <c r="N1047" s="3353"/>
      <c r="O1047" s="3353"/>
      <c r="P1047" s="3353"/>
      <c r="Q1047" s="3353"/>
      <c r="R1047" s="3353"/>
      <c r="S1047" s="3353"/>
      <c r="T1047" s="3353"/>
      <c r="U1047" s="3353"/>
      <c r="V1047" s="3353"/>
      <c r="W1047" s="3353"/>
      <c r="X1047" s="3353"/>
      <c r="Y1047" s="3353"/>
      <c r="Z1047" s="3353"/>
      <c r="AA1047" s="3353"/>
      <c r="AB1047" s="3353"/>
      <c r="AC1047" s="3353"/>
      <c r="AD1047" s="3353"/>
      <c r="AE1047" s="3353"/>
      <c r="AF1047" s="3353"/>
      <c r="AG1047" s="3353"/>
      <c r="AH1047" s="3353"/>
      <c r="AI1047" s="3353"/>
      <c r="AJ1047" s="3353"/>
      <c r="AK1047" s="3353"/>
      <c r="AL1047" s="3353"/>
    </row>
    <row r="1048" spans="1:38" s="3309" customFormat="1" x14ac:dyDescent="0.2">
      <c r="A1048" s="3411" t="s">
        <v>429</v>
      </c>
      <c r="B1048" s="3424">
        <f t="shared" ref="B1048:G1048" si="492">B1037/B1047</f>
        <v>0</v>
      </c>
      <c r="C1048" s="3424" t="e">
        <f t="shared" si="492"/>
        <v>#DIV/0!</v>
      </c>
      <c r="D1048" s="3424" t="e">
        <f t="shared" si="492"/>
        <v>#DIV/0!</v>
      </c>
      <c r="E1048" s="3424" t="e">
        <f t="shared" si="492"/>
        <v>#DIV/0!</v>
      </c>
      <c r="F1048" s="3424" t="e">
        <f t="shared" si="492"/>
        <v>#DIV/0!</v>
      </c>
      <c r="G1048" s="3424" t="e">
        <f t="shared" si="492"/>
        <v>#DIV/0!</v>
      </c>
      <c r="H1048" s="3353"/>
      <c r="I1048" s="3353"/>
      <c r="J1048" s="3353"/>
      <c r="K1048" s="3353"/>
      <c r="L1048" s="3353"/>
      <c r="M1048" s="3353"/>
      <c r="N1048" s="3353"/>
      <c r="O1048" s="3353"/>
      <c r="P1048" s="3353"/>
      <c r="Q1048" s="3353"/>
      <c r="R1048" s="3353"/>
      <c r="S1048" s="3353"/>
      <c r="T1048" s="3353"/>
      <c r="U1048" s="3353"/>
      <c r="V1048" s="3353"/>
      <c r="W1048" s="3353"/>
      <c r="X1048" s="3353"/>
      <c r="Y1048" s="3353"/>
      <c r="Z1048" s="3353"/>
      <c r="AA1048" s="3353"/>
      <c r="AB1048" s="3353"/>
      <c r="AC1048" s="3353"/>
      <c r="AD1048" s="3353"/>
      <c r="AE1048" s="3353"/>
      <c r="AF1048" s="3353"/>
      <c r="AG1048" s="3353"/>
      <c r="AH1048" s="3353"/>
      <c r="AI1048" s="3353"/>
      <c r="AJ1048" s="3353"/>
      <c r="AK1048" s="3353"/>
      <c r="AL1048" s="3353"/>
    </row>
    <row r="1049" spans="1:38" s="3309" customFormat="1" ht="25.5" x14ac:dyDescent="0.2">
      <c r="A1049" s="3416" t="s">
        <v>6108</v>
      </c>
      <c r="B1049" s="3375" t="e">
        <f t="shared" ref="B1049:G1049" si="493">B1010+B1018+B1030+B1034+B1048</f>
        <v>#DIV/0!</v>
      </c>
      <c r="C1049" s="3375" t="e">
        <f t="shared" si="493"/>
        <v>#DIV/0!</v>
      </c>
      <c r="D1049" s="3375" t="e">
        <f t="shared" si="493"/>
        <v>#DIV/0!</v>
      </c>
      <c r="E1049" s="3375" t="e">
        <f t="shared" si="493"/>
        <v>#DIV/0!</v>
      </c>
      <c r="F1049" s="3375" t="e">
        <f t="shared" si="493"/>
        <v>#DIV/0!</v>
      </c>
      <c r="G1049" s="3375" t="e">
        <f t="shared" si="493"/>
        <v>#DIV/0!</v>
      </c>
      <c r="H1049" s="3353"/>
      <c r="I1049" s="3353"/>
      <c r="J1049" s="3353"/>
      <c r="K1049" s="3353"/>
      <c r="L1049" s="3353"/>
      <c r="M1049" s="3353"/>
      <c r="N1049" s="3353"/>
      <c r="O1049" s="3353"/>
      <c r="P1049" s="3353"/>
      <c r="Q1049" s="3353"/>
      <c r="R1049" s="3353"/>
      <c r="S1049" s="3353"/>
      <c r="T1049" s="3353"/>
      <c r="U1049" s="3353"/>
      <c r="V1049" s="3353"/>
      <c r="W1049" s="3353"/>
      <c r="X1049" s="3353"/>
      <c r="Y1049" s="3353"/>
      <c r="Z1049" s="3353"/>
      <c r="AA1049" s="3353"/>
      <c r="AB1049" s="3353"/>
      <c r="AC1049" s="3353"/>
      <c r="AD1049" s="3353"/>
      <c r="AE1049" s="3353"/>
      <c r="AF1049" s="3353"/>
      <c r="AG1049" s="3353"/>
      <c r="AH1049" s="3353"/>
      <c r="AI1049" s="3353"/>
      <c r="AJ1049" s="3353"/>
      <c r="AK1049" s="3353"/>
      <c r="AL1049" s="3353"/>
    </row>
    <row r="1050" spans="1:38" s="3309" customFormat="1" ht="25.5" x14ac:dyDescent="0.2">
      <c r="A1050" s="3526" t="s">
        <v>6107</v>
      </c>
      <c r="B1050" s="3525"/>
      <c r="C1050" s="3525"/>
      <c r="D1050" s="3525"/>
      <c r="E1050" s="3525"/>
      <c r="F1050" s="3525"/>
      <c r="G1050" s="3525"/>
      <c r="H1050" s="3353"/>
      <c r="I1050" s="3353"/>
      <c r="J1050" s="3353"/>
      <c r="K1050" s="3353"/>
      <c r="L1050" s="3353"/>
      <c r="M1050" s="3353"/>
      <c r="N1050" s="3353"/>
      <c r="O1050" s="3353"/>
      <c r="P1050" s="3353"/>
      <c r="Q1050" s="3353"/>
      <c r="R1050" s="3353"/>
      <c r="S1050" s="3353"/>
      <c r="T1050" s="3353"/>
      <c r="U1050" s="3353"/>
      <c r="V1050" s="3353"/>
      <c r="W1050" s="3353"/>
      <c r="X1050" s="3353"/>
      <c r="Y1050" s="3353"/>
      <c r="Z1050" s="3353"/>
      <c r="AA1050" s="3353"/>
      <c r="AB1050" s="3353"/>
      <c r="AC1050" s="3353"/>
      <c r="AD1050" s="3353"/>
      <c r="AE1050" s="3353"/>
      <c r="AF1050" s="3353"/>
      <c r="AG1050" s="3353"/>
      <c r="AH1050" s="3353"/>
      <c r="AI1050" s="3353"/>
      <c r="AJ1050" s="3353"/>
      <c r="AK1050" s="3353"/>
      <c r="AL1050" s="3353"/>
    </row>
    <row r="1051" spans="1:38" s="3309" customFormat="1" x14ac:dyDescent="0.2">
      <c r="A1051" s="3524" t="s">
        <v>4150</v>
      </c>
      <c r="B1051" s="3424"/>
      <c r="C1051" s="3424"/>
      <c r="D1051" s="3424"/>
      <c r="E1051" s="3424"/>
      <c r="F1051" s="3424"/>
      <c r="G1051" s="3424"/>
      <c r="H1051" s="3353"/>
      <c r="I1051" s="3353"/>
      <c r="J1051" s="3353"/>
      <c r="K1051" s="3353"/>
      <c r="L1051" s="3353"/>
      <c r="M1051" s="3353"/>
      <c r="N1051" s="3353"/>
      <c r="O1051" s="3353"/>
      <c r="P1051" s="3353"/>
      <c r="Q1051" s="3353"/>
      <c r="R1051" s="3353"/>
      <c r="S1051" s="3353"/>
      <c r="T1051" s="3353"/>
      <c r="U1051" s="3353"/>
      <c r="V1051" s="3353"/>
      <c r="W1051" s="3353"/>
      <c r="X1051" s="3353"/>
      <c r="Y1051" s="3353"/>
      <c r="Z1051" s="3353"/>
      <c r="AA1051" s="3353"/>
      <c r="AB1051" s="3353"/>
      <c r="AC1051" s="3353"/>
      <c r="AD1051" s="3353"/>
      <c r="AE1051" s="3353"/>
      <c r="AF1051" s="3353"/>
      <c r="AG1051" s="3353"/>
      <c r="AH1051" s="3353"/>
      <c r="AI1051" s="3353"/>
      <c r="AJ1051" s="3353"/>
      <c r="AK1051" s="3353"/>
      <c r="AL1051" s="3353"/>
    </row>
    <row r="1052" spans="1:38" s="3309" customFormat="1" x14ac:dyDescent="0.2">
      <c r="A1052" s="3523" t="s">
        <v>6104</v>
      </c>
      <c r="B1052" s="3424" t="e">
        <f t="shared" ref="B1052:G1052" si="494">B857</f>
        <v>#DIV/0!</v>
      </c>
      <c r="C1052" s="3424" t="e">
        <f t="shared" si="494"/>
        <v>#DIV/0!</v>
      </c>
      <c r="D1052" s="3424" t="e">
        <f t="shared" si="494"/>
        <v>#DIV/0!</v>
      </c>
      <c r="E1052" s="3424" t="e">
        <f t="shared" si="494"/>
        <v>#DIV/0!</v>
      </c>
      <c r="F1052" s="3424" t="e">
        <f t="shared" si="494"/>
        <v>#DIV/0!</v>
      </c>
      <c r="G1052" s="3424" t="e">
        <f t="shared" si="494"/>
        <v>#DIV/0!</v>
      </c>
      <c r="H1052" s="3353"/>
      <c r="I1052" s="3353"/>
      <c r="J1052" s="3353"/>
      <c r="K1052" s="3353"/>
      <c r="L1052" s="3353"/>
      <c r="M1052" s="3353"/>
      <c r="N1052" s="3353"/>
      <c r="O1052" s="3353"/>
      <c r="P1052" s="3353"/>
      <c r="Q1052" s="3353"/>
      <c r="R1052" s="3353"/>
      <c r="S1052" s="3353"/>
      <c r="T1052" s="3353"/>
      <c r="U1052" s="3353"/>
      <c r="V1052" s="3353"/>
      <c r="W1052" s="3353"/>
      <c r="X1052" s="3353"/>
      <c r="Y1052" s="3353"/>
      <c r="Z1052" s="3353"/>
      <c r="AA1052" s="3353"/>
      <c r="AB1052" s="3353"/>
      <c r="AC1052" s="3353"/>
      <c r="AD1052" s="3353"/>
      <c r="AE1052" s="3353"/>
      <c r="AF1052" s="3353"/>
      <c r="AG1052" s="3353"/>
      <c r="AH1052" s="3353"/>
      <c r="AI1052" s="3353"/>
      <c r="AJ1052" s="3353"/>
      <c r="AK1052" s="3353"/>
      <c r="AL1052" s="3353"/>
    </row>
    <row r="1053" spans="1:38" s="3309" customFormat="1" x14ac:dyDescent="0.2">
      <c r="A1053" s="3523" t="s">
        <v>6106</v>
      </c>
      <c r="B1053" s="3424" t="e">
        <f t="shared" ref="B1053:G1053" si="495">B995</f>
        <v>#VALUE!</v>
      </c>
      <c r="C1053" s="3424" t="e">
        <f t="shared" si="495"/>
        <v>#DIV/0!</v>
      </c>
      <c r="D1053" s="3424" t="e">
        <f t="shared" si="495"/>
        <v>#DIV/0!</v>
      </c>
      <c r="E1053" s="3424" t="e">
        <f t="shared" si="495"/>
        <v>#DIV/0!</v>
      </c>
      <c r="F1053" s="3424" t="e">
        <f t="shared" si="495"/>
        <v>#DIV/0!</v>
      </c>
      <c r="G1053" s="3424" t="e">
        <f t="shared" si="495"/>
        <v>#DIV/0!</v>
      </c>
      <c r="H1053" s="3353"/>
      <c r="I1053" s="3353"/>
      <c r="J1053" s="3353"/>
      <c r="K1053" s="3353"/>
      <c r="L1053" s="3353"/>
      <c r="M1053" s="3353"/>
      <c r="N1053" s="3353"/>
      <c r="O1053" s="3353"/>
      <c r="P1053" s="3353"/>
      <c r="Q1053" s="3353"/>
      <c r="R1053" s="3353"/>
      <c r="S1053" s="3353"/>
      <c r="T1053" s="3353"/>
      <c r="U1053" s="3353"/>
      <c r="V1053" s="3353"/>
      <c r="W1053" s="3353"/>
      <c r="X1053" s="3353"/>
      <c r="Y1053" s="3353"/>
      <c r="Z1053" s="3353"/>
      <c r="AA1053" s="3353"/>
      <c r="AB1053" s="3353"/>
      <c r="AC1053" s="3353"/>
      <c r="AD1053" s="3353"/>
      <c r="AE1053" s="3353"/>
      <c r="AF1053" s="3353"/>
      <c r="AG1053" s="3353"/>
      <c r="AH1053" s="3353"/>
      <c r="AI1053" s="3353"/>
      <c r="AJ1053" s="3353"/>
      <c r="AK1053" s="3353"/>
      <c r="AL1053" s="3353"/>
    </row>
    <row r="1054" spans="1:38" s="3309" customFormat="1" x14ac:dyDescent="0.2">
      <c r="A1054" s="3524" t="s">
        <v>6105</v>
      </c>
      <c r="B1054" s="3424"/>
      <c r="C1054" s="3424"/>
      <c r="D1054" s="3424"/>
      <c r="E1054" s="3424"/>
      <c r="F1054" s="3424"/>
      <c r="G1054" s="3424"/>
      <c r="H1054" s="3353"/>
      <c r="I1054" s="3353"/>
      <c r="J1054" s="3353"/>
      <c r="K1054" s="3353"/>
      <c r="L1054" s="3353"/>
      <c r="M1054" s="3353"/>
      <c r="N1054" s="3353"/>
      <c r="O1054" s="3353"/>
      <c r="P1054" s="3353"/>
      <c r="Q1054" s="3353"/>
      <c r="R1054" s="3353"/>
      <c r="S1054" s="3353"/>
      <c r="T1054" s="3353"/>
      <c r="U1054" s="3353"/>
      <c r="V1054" s="3353"/>
      <c r="W1054" s="3353"/>
      <c r="X1054" s="3353"/>
      <c r="Y1054" s="3353"/>
      <c r="Z1054" s="3353"/>
      <c r="AA1054" s="3353"/>
      <c r="AB1054" s="3353"/>
      <c r="AC1054" s="3353"/>
      <c r="AD1054" s="3353"/>
      <c r="AE1054" s="3353"/>
      <c r="AF1054" s="3353"/>
      <c r="AG1054" s="3353"/>
      <c r="AH1054" s="3353"/>
      <c r="AI1054" s="3353"/>
      <c r="AJ1054" s="3353"/>
      <c r="AK1054" s="3353"/>
      <c r="AL1054" s="3353"/>
    </row>
    <row r="1055" spans="1:38" s="3309" customFormat="1" x14ac:dyDescent="0.2">
      <c r="A1055" s="3523" t="s">
        <v>6104</v>
      </c>
      <c r="B1055" s="3424" t="e">
        <f t="shared" ref="B1055:G1055" si="496">B917</f>
        <v>#DIV/0!</v>
      </c>
      <c r="C1055" s="3424" t="e">
        <f t="shared" si="496"/>
        <v>#DIV/0!</v>
      </c>
      <c r="D1055" s="3424" t="e">
        <f t="shared" si="496"/>
        <v>#DIV/0!</v>
      </c>
      <c r="E1055" s="3424" t="e">
        <f t="shared" si="496"/>
        <v>#DIV/0!</v>
      </c>
      <c r="F1055" s="3424" t="e">
        <f t="shared" si="496"/>
        <v>#DIV/0!</v>
      </c>
      <c r="G1055" s="3424" t="e">
        <f t="shared" si="496"/>
        <v>#DIV/0!</v>
      </c>
      <c r="H1055" s="3353"/>
      <c r="I1055" s="3353"/>
      <c r="J1055" s="3353"/>
      <c r="K1055" s="3353"/>
      <c r="L1055" s="3353"/>
      <c r="M1055" s="3353"/>
      <c r="N1055" s="3353"/>
      <c r="O1055" s="3353"/>
      <c r="P1055" s="3353"/>
      <c r="Q1055" s="3353"/>
      <c r="R1055" s="3353"/>
      <c r="S1055" s="3353"/>
      <c r="T1055" s="3353"/>
      <c r="U1055" s="3353"/>
      <c r="V1055" s="3353"/>
      <c r="W1055" s="3353"/>
      <c r="X1055" s="3353"/>
      <c r="Y1055" s="3353"/>
      <c r="Z1055" s="3353"/>
      <c r="AA1055" s="3353"/>
      <c r="AB1055" s="3353"/>
      <c r="AC1055" s="3353"/>
      <c r="AD1055" s="3353"/>
      <c r="AE1055" s="3353"/>
      <c r="AF1055" s="3353"/>
      <c r="AG1055" s="3353"/>
      <c r="AH1055" s="3353"/>
      <c r="AI1055" s="3353"/>
      <c r="AJ1055" s="3353"/>
      <c r="AK1055" s="3353"/>
      <c r="AL1055" s="3353"/>
    </row>
    <row r="1056" spans="1:38" s="3309" customFormat="1" x14ac:dyDescent="0.2">
      <c r="A1056" s="3523" t="s">
        <v>6103</v>
      </c>
      <c r="B1056" s="3424" t="e">
        <f t="shared" ref="B1056:G1056" si="497">B1049</f>
        <v>#DIV/0!</v>
      </c>
      <c r="C1056" s="3424" t="e">
        <f t="shared" si="497"/>
        <v>#DIV/0!</v>
      </c>
      <c r="D1056" s="3424" t="e">
        <f t="shared" si="497"/>
        <v>#DIV/0!</v>
      </c>
      <c r="E1056" s="3424" t="e">
        <f t="shared" si="497"/>
        <v>#DIV/0!</v>
      </c>
      <c r="F1056" s="3424" t="e">
        <f t="shared" si="497"/>
        <v>#DIV/0!</v>
      </c>
      <c r="G1056" s="3424" t="e">
        <f t="shared" si="497"/>
        <v>#DIV/0!</v>
      </c>
      <c r="H1056" s="3353"/>
      <c r="I1056" s="3353"/>
      <c r="J1056" s="3353"/>
      <c r="K1056" s="3353"/>
      <c r="L1056" s="3353"/>
      <c r="M1056" s="3353"/>
      <c r="N1056" s="3353"/>
      <c r="O1056" s="3353"/>
      <c r="P1056" s="3353"/>
      <c r="Q1056" s="3353"/>
      <c r="R1056" s="3353"/>
      <c r="S1056" s="3353"/>
      <c r="T1056" s="3353"/>
      <c r="U1056" s="3353"/>
      <c r="V1056" s="3353"/>
      <c r="W1056" s="3353"/>
      <c r="X1056" s="3353"/>
      <c r="Y1056" s="3353"/>
      <c r="Z1056" s="3353"/>
      <c r="AA1056" s="3353"/>
      <c r="AB1056" s="3353"/>
      <c r="AC1056" s="3353"/>
      <c r="AD1056" s="3353"/>
      <c r="AE1056" s="3353"/>
      <c r="AF1056" s="3353"/>
      <c r="AG1056" s="3353"/>
      <c r="AH1056" s="3353"/>
      <c r="AI1056" s="3353"/>
      <c r="AJ1056" s="3353"/>
      <c r="AK1056" s="3353"/>
      <c r="AL1056" s="3353"/>
    </row>
    <row r="1057" spans="1:38" s="3309" customFormat="1" ht="25.5" x14ac:dyDescent="0.2">
      <c r="A1057" s="3416" t="s">
        <v>6102</v>
      </c>
      <c r="B1057" s="3424" t="e">
        <f t="shared" ref="B1057:G1057" si="498">IF(B769=1,B1052,B1053)+IF(B766=1,B1055,B1056)</f>
        <v>#VALUE!</v>
      </c>
      <c r="C1057" s="3424" t="e">
        <f t="shared" si="498"/>
        <v>#DIV/0!</v>
      </c>
      <c r="D1057" s="3424" t="e">
        <f t="shared" si="498"/>
        <v>#DIV/0!</v>
      </c>
      <c r="E1057" s="3424" t="e">
        <f t="shared" si="498"/>
        <v>#DIV/0!</v>
      </c>
      <c r="F1057" s="3424" t="e">
        <f t="shared" si="498"/>
        <v>#DIV/0!</v>
      </c>
      <c r="G1057" s="3424" t="e">
        <f t="shared" si="498"/>
        <v>#DIV/0!</v>
      </c>
      <c r="H1057" s="3353"/>
      <c r="I1057" s="3353"/>
      <c r="J1057" s="3353"/>
      <c r="K1057" s="3353"/>
      <c r="L1057" s="3353"/>
      <c r="M1057" s="3353"/>
      <c r="N1057" s="3353"/>
      <c r="O1057" s="3353"/>
      <c r="P1057" s="3353"/>
      <c r="Q1057" s="3353"/>
      <c r="R1057" s="3353"/>
      <c r="S1057" s="3353"/>
      <c r="T1057" s="3353"/>
      <c r="U1057" s="3353"/>
      <c r="V1057" s="3353"/>
      <c r="W1057" s="3353"/>
      <c r="X1057" s="3353"/>
      <c r="Y1057" s="3353"/>
      <c r="Z1057" s="3353"/>
      <c r="AA1057" s="3353"/>
      <c r="AB1057" s="3353"/>
      <c r="AC1057" s="3353"/>
      <c r="AD1057" s="3353"/>
      <c r="AE1057" s="3353"/>
      <c r="AF1057" s="3353"/>
      <c r="AG1057" s="3353"/>
      <c r="AH1057" s="3353"/>
      <c r="AI1057" s="3353"/>
      <c r="AJ1057" s="3353"/>
      <c r="AK1057" s="3353"/>
      <c r="AL1057" s="3353"/>
    </row>
    <row r="1058" spans="1:38" s="3309" customFormat="1" x14ac:dyDescent="0.2">
      <c r="A1058" s="3523" t="s">
        <v>6165</v>
      </c>
      <c r="B1058" s="3424"/>
      <c r="C1058" s="3424"/>
      <c r="D1058" s="3424"/>
      <c r="E1058" s="3424"/>
      <c r="F1058" s="3424"/>
      <c r="G1058" s="3424"/>
      <c r="H1058" s="3353"/>
      <c r="I1058" s="3353"/>
      <c r="J1058" s="3353"/>
      <c r="K1058" s="3353"/>
      <c r="L1058" s="3353"/>
      <c r="M1058" s="3353"/>
      <c r="N1058" s="3353"/>
      <c r="O1058" s="3353"/>
      <c r="P1058" s="3353"/>
      <c r="Q1058" s="3353"/>
      <c r="R1058" s="3353"/>
      <c r="S1058" s="3353"/>
      <c r="T1058" s="3353"/>
      <c r="U1058" s="3353"/>
      <c r="V1058" s="3353"/>
      <c r="W1058" s="3353"/>
      <c r="X1058" s="3353"/>
      <c r="Y1058" s="3353"/>
      <c r="Z1058" s="3353"/>
      <c r="AA1058" s="3353"/>
      <c r="AB1058" s="3353"/>
      <c r="AC1058" s="3353"/>
      <c r="AD1058" s="3353"/>
      <c r="AE1058" s="3353"/>
      <c r="AF1058" s="3353"/>
      <c r="AG1058" s="3353"/>
      <c r="AH1058" s="3353"/>
      <c r="AI1058" s="3353"/>
      <c r="AJ1058" s="3353"/>
      <c r="AK1058" s="3353"/>
      <c r="AL1058" s="3353"/>
    </row>
    <row r="1059" spans="1:38" s="3309" customFormat="1" x14ac:dyDescent="0.2">
      <c r="A1059" s="3523"/>
      <c r="B1059" s="3424"/>
      <c r="C1059" s="3424"/>
      <c r="D1059" s="3424"/>
      <c r="E1059" s="3424"/>
      <c r="F1059" s="3424"/>
      <c r="G1059" s="3424"/>
      <c r="H1059" s="3353"/>
      <c r="I1059" s="3353"/>
      <c r="J1059" s="3353"/>
      <c r="K1059" s="3353"/>
      <c r="L1059" s="3353"/>
      <c r="M1059" s="3353"/>
      <c r="N1059" s="3353"/>
      <c r="O1059" s="3353"/>
      <c r="P1059" s="3353"/>
      <c r="Q1059" s="3353"/>
      <c r="R1059" s="3353"/>
      <c r="S1059" s="3353"/>
      <c r="T1059" s="3353"/>
      <c r="U1059" s="3353"/>
      <c r="V1059" s="3353"/>
      <c r="W1059" s="3353"/>
      <c r="X1059" s="3353"/>
      <c r="Y1059" s="3353"/>
      <c r="Z1059" s="3353"/>
      <c r="AA1059" s="3353"/>
      <c r="AB1059" s="3353"/>
      <c r="AC1059" s="3353"/>
      <c r="AD1059" s="3353"/>
      <c r="AE1059" s="3353"/>
      <c r="AF1059" s="3353"/>
      <c r="AG1059" s="3353"/>
      <c r="AH1059" s="3353"/>
      <c r="AI1059" s="3353"/>
      <c r="AJ1059" s="3353"/>
      <c r="AK1059" s="3353"/>
      <c r="AL1059" s="3353"/>
    </row>
    <row r="1060" spans="1:38" s="3309" customFormat="1" x14ac:dyDescent="0.2">
      <c r="A1060" s="3522" t="s">
        <v>6101</v>
      </c>
      <c r="B1060" s="3424"/>
      <c r="C1060" s="3412"/>
      <c r="D1060" s="3412"/>
      <c r="E1060" s="3412"/>
      <c r="F1060" s="3412"/>
      <c r="G1060" s="3412"/>
      <c r="H1060" s="3353"/>
      <c r="I1060" s="3353"/>
      <c r="J1060" s="3353"/>
      <c r="K1060" s="3353"/>
      <c r="L1060" s="3353"/>
      <c r="M1060" s="3353"/>
      <c r="N1060" s="3353"/>
      <c r="O1060" s="3353"/>
      <c r="P1060" s="3353"/>
      <c r="Q1060" s="3353"/>
      <c r="R1060" s="3353"/>
      <c r="S1060" s="3353"/>
      <c r="T1060" s="3353"/>
      <c r="U1060" s="3353"/>
      <c r="V1060" s="3353"/>
      <c r="W1060" s="3353"/>
      <c r="X1060" s="3353"/>
      <c r="Y1060" s="3353"/>
      <c r="Z1060" s="3353"/>
      <c r="AA1060" s="3353"/>
      <c r="AB1060" s="3353"/>
      <c r="AC1060" s="3353"/>
      <c r="AD1060" s="3353"/>
      <c r="AE1060" s="3353"/>
      <c r="AF1060" s="3353"/>
      <c r="AG1060" s="3353"/>
      <c r="AH1060" s="3353"/>
      <c r="AI1060" s="3353"/>
      <c r="AJ1060" s="3353"/>
      <c r="AK1060" s="3353"/>
      <c r="AL1060" s="3353"/>
    </row>
    <row r="1061" spans="1:38" s="3309" customFormat="1" x14ac:dyDescent="0.2">
      <c r="A1061" s="3401" t="s">
        <v>2994</v>
      </c>
      <c r="B1061" s="3424"/>
      <c r="C1061" s="3412"/>
      <c r="D1061" s="3412"/>
      <c r="E1061" s="3412"/>
      <c r="F1061" s="3412"/>
      <c r="G1061" s="3412"/>
      <c r="H1061" s="3353"/>
      <c r="I1061" s="3353"/>
      <c r="J1061" s="3353"/>
      <c r="K1061" s="3353"/>
      <c r="L1061" s="3353"/>
      <c r="M1061" s="3353"/>
      <c r="N1061" s="3353"/>
      <c r="O1061" s="3353"/>
      <c r="P1061" s="3353"/>
      <c r="Q1061" s="3353"/>
      <c r="R1061" s="3353"/>
      <c r="S1061" s="3353"/>
      <c r="T1061" s="3353"/>
      <c r="U1061" s="3353"/>
      <c r="V1061" s="3353"/>
      <c r="W1061" s="3353"/>
      <c r="X1061" s="3353"/>
      <c r="Y1061" s="3353"/>
      <c r="Z1061" s="3353"/>
      <c r="AA1061" s="3353"/>
      <c r="AB1061" s="3353"/>
      <c r="AC1061" s="3353"/>
      <c r="AD1061" s="3353"/>
      <c r="AE1061" s="3353"/>
      <c r="AF1061" s="3353"/>
      <c r="AG1061" s="3353"/>
      <c r="AH1061" s="3353"/>
      <c r="AI1061" s="3353"/>
      <c r="AJ1061" s="3353"/>
      <c r="AK1061" s="3353"/>
      <c r="AL1061" s="3353"/>
    </row>
    <row r="1062" spans="1:38" s="3309" customFormat="1" x14ac:dyDescent="0.2">
      <c r="A1062" s="3411" t="s">
        <v>2995</v>
      </c>
      <c r="B1062" s="3424" t="e">
        <f t="shared" ref="B1062:G1062" si="499">B735*B739*B736*B748</f>
        <v>#VALUE!</v>
      </c>
      <c r="C1062" s="3424">
        <f t="shared" si="499"/>
        <v>0</v>
      </c>
      <c r="D1062" s="3424">
        <f t="shared" si="499"/>
        <v>0</v>
      </c>
      <c r="E1062" s="3424">
        <f t="shared" si="499"/>
        <v>0</v>
      </c>
      <c r="F1062" s="3424">
        <f t="shared" si="499"/>
        <v>0</v>
      </c>
      <c r="G1062" s="3424">
        <f t="shared" si="499"/>
        <v>0</v>
      </c>
      <c r="H1062" s="3353"/>
      <c r="I1062" s="3353"/>
      <c r="J1062" s="3353"/>
      <c r="K1062" s="3353"/>
      <c r="L1062" s="3353"/>
      <c r="M1062" s="3353"/>
      <c r="N1062" s="3353"/>
      <c r="O1062" s="3353"/>
      <c r="P1062" s="3353"/>
      <c r="Q1062" s="3353"/>
      <c r="R1062" s="3353"/>
      <c r="S1062" s="3353"/>
      <c r="T1062" s="3353"/>
      <c r="U1062" s="3353"/>
      <c r="V1062" s="3353"/>
      <c r="W1062" s="3353"/>
      <c r="X1062" s="3353"/>
      <c r="Y1062" s="3353"/>
      <c r="Z1062" s="3353"/>
      <c r="AA1062" s="3353"/>
      <c r="AB1062" s="3353"/>
      <c r="AC1062" s="3353"/>
      <c r="AD1062" s="3353"/>
      <c r="AE1062" s="3353"/>
      <c r="AF1062" s="3353"/>
      <c r="AG1062" s="3353"/>
      <c r="AH1062" s="3353"/>
      <c r="AI1062" s="3353"/>
      <c r="AJ1062" s="3353"/>
      <c r="AK1062" s="3353"/>
      <c r="AL1062" s="3353"/>
    </row>
    <row r="1063" spans="1:38" s="3309" customFormat="1" x14ac:dyDescent="0.2">
      <c r="A1063" s="3411" t="s">
        <v>425</v>
      </c>
      <c r="B1063" s="3424">
        <f t="shared" ref="B1063:G1063" si="500">INDEX($B$3052:$J$3055,B1064,B1065)</f>
        <v>11.83</v>
      </c>
      <c r="C1063" s="3424">
        <f t="shared" si="500"/>
        <v>8.17</v>
      </c>
      <c r="D1063" s="3424">
        <f t="shared" si="500"/>
        <v>7.55</v>
      </c>
      <c r="E1063" s="3424">
        <f t="shared" si="500"/>
        <v>6.9</v>
      </c>
      <c r="F1063" s="3424">
        <f t="shared" si="500"/>
        <v>6.25</v>
      </c>
      <c r="G1063" s="3424">
        <f t="shared" si="500"/>
        <v>5.62</v>
      </c>
      <c r="H1063" s="3353"/>
      <c r="I1063" s="3353"/>
      <c r="J1063" s="3353"/>
      <c r="K1063" s="3353"/>
      <c r="L1063" s="3353"/>
      <c r="M1063" s="3353"/>
      <c r="N1063" s="3353"/>
      <c r="O1063" s="3353"/>
      <c r="P1063" s="3353"/>
      <c r="Q1063" s="3353"/>
      <c r="R1063" s="3353"/>
      <c r="S1063" s="3353"/>
      <c r="T1063" s="3353"/>
      <c r="U1063" s="3353"/>
      <c r="V1063" s="3353"/>
      <c r="W1063" s="3353"/>
      <c r="X1063" s="3353"/>
      <c r="Y1063" s="3353"/>
      <c r="Z1063" s="3353"/>
      <c r="AA1063" s="3353"/>
      <c r="AB1063" s="3353"/>
      <c r="AC1063" s="3353"/>
      <c r="AD1063" s="3353"/>
      <c r="AE1063" s="3353"/>
      <c r="AF1063" s="3353"/>
      <c r="AG1063" s="3353"/>
      <c r="AH1063" s="3353"/>
      <c r="AI1063" s="3353"/>
      <c r="AJ1063" s="3353"/>
      <c r="AK1063" s="3353"/>
      <c r="AL1063" s="3353"/>
    </row>
    <row r="1064" spans="1:38" s="3309" customFormat="1" x14ac:dyDescent="0.2">
      <c r="A1064" s="3411" t="s">
        <v>2997</v>
      </c>
      <c r="B1064" s="3435">
        <f t="shared" ref="B1064:G1064" si="501">IF(B735&lt;0.91,1,IF(B735&lt;1.26,2,IF(B735&lt;1.61,3,4)))</f>
        <v>4</v>
      </c>
      <c r="C1064" s="3435">
        <f t="shared" si="501"/>
        <v>1</v>
      </c>
      <c r="D1064" s="3435">
        <f t="shared" si="501"/>
        <v>1</v>
      </c>
      <c r="E1064" s="3435">
        <f t="shared" si="501"/>
        <v>1</v>
      </c>
      <c r="F1064" s="3435">
        <f t="shared" si="501"/>
        <v>1</v>
      </c>
      <c r="G1064" s="3435">
        <f t="shared" si="501"/>
        <v>1</v>
      </c>
      <c r="H1064" s="3353"/>
      <c r="I1064" s="3353"/>
      <c r="J1064" s="3353"/>
      <c r="K1064" s="3353"/>
      <c r="L1064" s="3353"/>
      <c r="M1064" s="3353"/>
      <c r="N1064" s="3353"/>
      <c r="O1064" s="3353"/>
      <c r="P1064" s="3353"/>
      <c r="Q1064" s="3353"/>
      <c r="R1064" s="3353"/>
      <c r="S1064" s="3353"/>
      <c r="T1064" s="3353"/>
      <c r="U1064" s="3353"/>
      <c r="V1064" s="3353"/>
      <c r="W1064" s="3353"/>
      <c r="X1064" s="3353"/>
      <c r="Y1064" s="3353"/>
      <c r="Z1064" s="3353"/>
      <c r="AA1064" s="3353"/>
      <c r="AB1064" s="3353"/>
      <c r="AC1064" s="3353"/>
      <c r="AD1064" s="3353"/>
      <c r="AE1064" s="3353"/>
      <c r="AF1064" s="3353"/>
      <c r="AG1064" s="3353"/>
      <c r="AH1064" s="3353"/>
      <c r="AI1064" s="3353"/>
      <c r="AJ1064" s="3353"/>
      <c r="AK1064" s="3353"/>
      <c r="AL1064" s="3353"/>
    </row>
    <row r="1065" spans="1:38" s="3309" customFormat="1" x14ac:dyDescent="0.2">
      <c r="A1065" s="3411" t="s">
        <v>2998</v>
      </c>
      <c r="B1065" s="3435">
        <f t="shared" ref="B1065:G1065" si="502">B752</f>
        <v>5</v>
      </c>
      <c r="C1065" s="3435">
        <f t="shared" si="502"/>
        <v>0</v>
      </c>
      <c r="D1065" s="3435">
        <f t="shared" si="502"/>
        <v>0</v>
      </c>
      <c r="E1065" s="3435">
        <f t="shared" si="502"/>
        <v>0</v>
      </c>
      <c r="F1065" s="3435">
        <f t="shared" si="502"/>
        <v>0</v>
      </c>
      <c r="G1065" s="3435">
        <f t="shared" si="502"/>
        <v>0</v>
      </c>
      <c r="H1065" s="3353"/>
      <c r="I1065" s="3353"/>
      <c r="J1065" s="3353"/>
      <c r="K1065" s="3353"/>
      <c r="L1065" s="3353"/>
      <c r="M1065" s="3353"/>
      <c r="N1065" s="3353"/>
      <c r="O1065" s="3353"/>
      <c r="P1065" s="3353"/>
      <c r="Q1065" s="3353"/>
      <c r="R1065" s="3353"/>
      <c r="S1065" s="3353"/>
      <c r="T1065" s="3353"/>
      <c r="U1065" s="3353"/>
      <c r="V1065" s="3353"/>
      <c r="W1065" s="3353"/>
      <c r="X1065" s="3353"/>
      <c r="Y1065" s="3353"/>
      <c r="Z1065" s="3353"/>
      <c r="AA1065" s="3353"/>
      <c r="AB1065" s="3353"/>
      <c r="AC1065" s="3353"/>
      <c r="AD1065" s="3353"/>
      <c r="AE1065" s="3353"/>
      <c r="AF1065" s="3353"/>
      <c r="AG1065" s="3353"/>
      <c r="AH1065" s="3353"/>
      <c r="AI1065" s="3353"/>
      <c r="AJ1065" s="3353"/>
      <c r="AK1065" s="3353"/>
      <c r="AL1065" s="3353"/>
    </row>
    <row r="1066" spans="1:38" s="3309" customFormat="1" x14ac:dyDescent="0.2">
      <c r="A1066" s="3411" t="s">
        <v>428</v>
      </c>
      <c r="B1066" s="3424" t="e">
        <f t="shared" ref="B1066:G1066" si="503">B1067*B1068*B1070*B789</f>
        <v>#VALUE!</v>
      </c>
      <c r="C1066" s="3424" t="e">
        <f t="shared" si="503"/>
        <v>#DIV/0!</v>
      </c>
      <c r="D1066" s="3424" t="e">
        <f t="shared" si="503"/>
        <v>#DIV/0!</v>
      </c>
      <c r="E1066" s="3424" t="e">
        <f t="shared" si="503"/>
        <v>#DIV/0!</v>
      </c>
      <c r="F1066" s="3424" t="e">
        <f t="shared" si="503"/>
        <v>#DIV/0!</v>
      </c>
      <c r="G1066" s="3424" t="e">
        <f t="shared" si="503"/>
        <v>#DIV/0!</v>
      </c>
      <c r="H1066" s="3353"/>
      <c r="I1066" s="3353"/>
      <c r="J1066" s="3353"/>
      <c r="K1066" s="3353"/>
      <c r="L1066" s="3353"/>
      <c r="M1066" s="3353"/>
      <c r="N1066" s="3353"/>
      <c r="O1066" s="3353"/>
      <c r="P1066" s="3353"/>
      <c r="Q1066" s="3353"/>
      <c r="R1066" s="3353"/>
      <c r="S1066" s="3353"/>
      <c r="T1066" s="3353"/>
      <c r="U1066" s="3353"/>
      <c r="V1066" s="3353"/>
      <c r="W1066" s="3353"/>
      <c r="X1066" s="3353"/>
      <c r="Y1066" s="3353"/>
      <c r="Z1066" s="3353"/>
      <c r="AA1066" s="3353"/>
      <c r="AB1066" s="3353"/>
      <c r="AC1066" s="3353"/>
      <c r="AD1066" s="3353"/>
      <c r="AE1066" s="3353"/>
      <c r="AF1066" s="3353"/>
      <c r="AG1066" s="3353"/>
      <c r="AH1066" s="3353"/>
      <c r="AI1066" s="3353"/>
      <c r="AJ1066" s="3353"/>
      <c r="AK1066" s="3353"/>
      <c r="AL1066" s="3353"/>
    </row>
    <row r="1067" spans="1:38" s="3309" customFormat="1" x14ac:dyDescent="0.2">
      <c r="A1067" s="3411" t="s">
        <v>2999</v>
      </c>
      <c r="B1067" s="3411">
        <f t="shared" ref="B1067:G1067" si="504">IF(B753=1,1.05,1)</f>
        <v>1</v>
      </c>
      <c r="C1067" s="3411">
        <f t="shared" si="504"/>
        <v>1</v>
      </c>
      <c r="D1067" s="3411">
        <f t="shared" si="504"/>
        <v>1</v>
      </c>
      <c r="E1067" s="3411">
        <f t="shared" si="504"/>
        <v>1</v>
      </c>
      <c r="F1067" s="3411">
        <f t="shared" si="504"/>
        <v>1</v>
      </c>
      <c r="G1067" s="3411">
        <f t="shared" si="504"/>
        <v>1</v>
      </c>
      <c r="H1067" s="3353"/>
      <c r="I1067" s="3353"/>
      <c r="J1067" s="3353"/>
      <c r="K1067" s="3353"/>
      <c r="L1067" s="3353"/>
      <c r="M1067" s="3353"/>
      <c r="N1067" s="3353"/>
      <c r="O1067" s="3353"/>
      <c r="P1067" s="3353"/>
      <c r="Q1067" s="3353"/>
      <c r="R1067" s="3353"/>
      <c r="S1067" s="3353"/>
      <c r="T1067" s="3353"/>
      <c r="U1067" s="3353"/>
      <c r="V1067" s="3353"/>
      <c r="W1067" s="3353"/>
      <c r="X1067" s="3353"/>
      <c r="Y1067" s="3353"/>
      <c r="Z1067" s="3353"/>
      <c r="AA1067" s="3353"/>
      <c r="AB1067" s="3353"/>
      <c r="AC1067" s="3353"/>
      <c r="AD1067" s="3353"/>
      <c r="AE1067" s="3353"/>
      <c r="AF1067" s="3353"/>
      <c r="AG1067" s="3353"/>
      <c r="AH1067" s="3353"/>
      <c r="AI1067" s="3353"/>
      <c r="AJ1067" s="3353"/>
      <c r="AK1067" s="3353"/>
      <c r="AL1067" s="3353"/>
    </row>
    <row r="1068" spans="1:38" s="3309" customFormat="1" x14ac:dyDescent="0.2">
      <c r="A1068" s="3411" t="s">
        <v>3000</v>
      </c>
      <c r="B1068" s="3411" t="e">
        <f t="shared" ref="B1068:G1068" si="505">IF(B1069&lt;5.1,1,IF(B1069&lt;10.1,0.9,IF(B1069&lt;20.1,0.8,0.7)))</f>
        <v>#VALUE!</v>
      </c>
      <c r="C1068" s="3411" t="e">
        <f t="shared" si="505"/>
        <v>#DIV/0!</v>
      </c>
      <c r="D1068" s="3411" t="e">
        <f t="shared" si="505"/>
        <v>#DIV/0!</v>
      </c>
      <c r="E1068" s="3411" t="e">
        <f t="shared" si="505"/>
        <v>#DIV/0!</v>
      </c>
      <c r="F1068" s="3411" t="e">
        <f t="shared" si="505"/>
        <v>#DIV/0!</v>
      </c>
      <c r="G1068" s="3411" t="e">
        <f t="shared" si="505"/>
        <v>#DIV/0!</v>
      </c>
      <c r="H1068" s="3521"/>
      <c r="I1068" s="3521"/>
      <c r="J1068" s="3521"/>
      <c r="K1068" s="3353"/>
      <c r="L1068" s="3353"/>
      <c r="M1068" s="3353"/>
      <c r="N1068" s="3353"/>
      <c r="O1068" s="3353"/>
      <c r="P1068" s="3353"/>
      <c r="Q1068" s="3353"/>
      <c r="R1068" s="3353"/>
      <c r="S1068" s="3353"/>
      <c r="T1068" s="3353"/>
      <c r="U1068" s="3353"/>
      <c r="V1068" s="3353"/>
      <c r="W1068" s="3353"/>
      <c r="X1068" s="3353"/>
      <c r="Y1068" s="3353"/>
      <c r="Z1068" s="3353"/>
      <c r="AA1068" s="3353"/>
      <c r="AB1068" s="3353"/>
      <c r="AC1068" s="3353"/>
      <c r="AD1068" s="3353"/>
      <c r="AE1068" s="3353"/>
      <c r="AF1068" s="3353"/>
      <c r="AG1068" s="3353"/>
      <c r="AH1068" s="3353"/>
      <c r="AI1068" s="3353"/>
      <c r="AJ1068" s="3353"/>
      <c r="AK1068" s="3353"/>
      <c r="AL1068" s="3353"/>
    </row>
    <row r="1069" spans="1:38" s="3309" customFormat="1" x14ac:dyDescent="0.2">
      <c r="A1069" s="3412" t="s">
        <v>3001</v>
      </c>
      <c r="B1069" s="3379" t="e">
        <f t="shared" ref="B1069:G1069" si="506">(B754/B735)*100</f>
        <v>#VALUE!</v>
      </c>
      <c r="C1069" s="3379" t="e">
        <f t="shared" si="506"/>
        <v>#DIV/0!</v>
      </c>
      <c r="D1069" s="3379" t="e">
        <f t="shared" si="506"/>
        <v>#DIV/0!</v>
      </c>
      <c r="E1069" s="3379" t="e">
        <f t="shared" si="506"/>
        <v>#DIV/0!</v>
      </c>
      <c r="F1069" s="3379" t="e">
        <f t="shared" si="506"/>
        <v>#DIV/0!</v>
      </c>
      <c r="G1069" s="3379" t="e">
        <f t="shared" si="506"/>
        <v>#DIV/0!</v>
      </c>
      <c r="H1069" s="3353"/>
      <c r="I1069" s="3353"/>
      <c r="J1069" s="3353"/>
      <c r="K1069" s="3353"/>
      <c r="L1069" s="3353"/>
      <c r="M1069" s="3353"/>
      <c r="N1069" s="3353"/>
      <c r="O1069" s="3353"/>
      <c r="P1069" s="3353"/>
      <c r="Q1069" s="3353"/>
      <c r="R1069" s="3353"/>
      <c r="S1069" s="3353"/>
      <c r="T1069" s="3353"/>
      <c r="U1069" s="3353"/>
      <c r="V1069" s="3353"/>
      <c r="W1069" s="3353"/>
      <c r="X1069" s="3353"/>
      <c r="Y1069" s="3353"/>
      <c r="Z1069" s="3353"/>
      <c r="AA1069" s="3353"/>
      <c r="AB1069" s="3353"/>
      <c r="AC1069" s="3353"/>
      <c r="AD1069" s="3353"/>
      <c r="AE1069" s="3353"/>
      <c r="AF1069" s="3353"/>
      <c r="AG1069" s="3353"/>
      <c r="AH1069" s="3353"/>
      <c r="AI1069" s="3353"/>
      <c r="AJ1069" s="3353"/>
      <c r="AK1069" s="3353"/>
      <c r="AL1069" s="3353"/>
    </row>
    <row r="1070" spans="1:38" s="3309" customFormat="1" x14ac:dyDescent="0.2">
      <c r="A1070" s="3411" t="s">
        <v>3002</v>
      </c>
      <c r="B1070" s="3419">
        <v>0.7</v>
      </c>
      <c r="C1070" s="3419">
        <v>0.7</v>
      </c>
      <c r="D1070" s="3419">
        <v>0.7</v>
      </c>
      <c r="E1070" s="3419">
        <v>0.7</v>
      </c>
      <c r="F1070" s="3419">
        <v>0.7</v>
      </c>
      <c r="G1070" s="3419">
        <v>0.7</v>
      </c>
      <c r="H1070" s="3353"/>
      <c r="I1070" s="3353"/>
      <c r="J1070" s="3353"/>
      <c r="K1070" s="3353"/>
      <c r="L1070" s="3353"/>
      <c r="M1070" s="3353"/>
      <c r="N1070" s="3353"/>
      <c r="O1070" s="3353"/>
      <c r="P1070" s="3353"/>
      <c r="Q1070" s="3353"/>
      <c r="R1070" s="3353"/>
      <c r="S1070" s="3353"/>
      <c r="T1070" s="3353"/>
      <c r="U1070" s="3353"/>
      <c r="V1070" s="3353"/>
      <c r="W1070" s="3353"/>
      <c r="X1070" s="3353"/>
      <c r="Y1070" s="3353"/>
      <c r="Z1070" s="3353"/>
      <c r="AA1070" s="3353"/>
      <c r="AB1070" s="3353"/>
      <c r="AC1070" s="3353"/>
      <c r="AD1070" s="3353"/>
      <c r="AE1070" s="3353"/>
      <c r="AF1070" s="3353"/>
      <c r="AG1070" s="3353"/>
      <c r="AH1070" s="3353"/>
      <c r="AI1070" s="3353"/>
      <c r="AJ1070" s="3353"/>
      <c r="AK1070" s="3353"/>
      <c r="AL1070" s="3353"/>
    </row>
    <row r="1071" spans="1:38" s="3309" customFormat="1" x14ac:dyDescent="0.2">
      <c r="A1071" s="3411" t="s">
        <v>830</v>
      </c>
      <c r="B1071" s="3379" t="e">
        <f t="shared" ref="B1071:G1071" si="507">B1063*B1066</f>
        <v>#VALUE!</v>
      </c>
      <c r="C1071" s="3379" t="e">
        <f t="shared" si="507"/>
        <v>#DIV/0!</v>
      </c>
      <c r="D1071" s="3379" t="e">
        <f t="shared" si="507"/>
        <v>#DIV/0!</v>
      </c>
      <c r="E1071" s="3379" t="e">
        <f t="shared" si="507"/>
        <v>#DIV/0!</v>
      </c>
      <c r="F1071" s="3379" t="e">
        <f t="shared" si="507"/>
        <v>#DIV/0!</v>
      </c>
      <c r="G1071" s="3379" t="e">
        <f t="shared" si="507"/>
        <v>#DIV/0!</v>
      </c>
      <c r="H1071" s="3353"/>
      <c r="I1071" s="3353"/>
      <c r="J1071" s="3467"/>
      <c r="K1071" s="3467"/>
      <c r="L1071" s="3467"/>
      <c r="M1071" s="3467"/>
      <c r="N1071" s="3467"/>
      <c r="O1071" s="3467"/>
      <c r="P1071" s="3467"/>
      <c r="Q1071" s="3467"/>
      <c r="R1071" s="3467"/>
      <c r="S1071" s="3467"/>
      <c r="T1071" s="3353"/>
      <c r="U1071" s="3353"/>
      <c r="V1071" s="3353"/>
      <c r="W1071" s="3353"/>
      <c r="X1071" s="3353"/>
      <c r="Y1071" s="3520" t="s">
        <v>1462</v>
      </c>
      <c r="Z1071" s="3520"/>
      <c r="AA1071" s="3520"/>
      <c r="AB1071" s="3520"/>
      <c r="AC1071" s="3520"/>
      <c r="AD1071" s="3520"/>
      <c r="AE1071" s="3520"/>
      <c r="AF1071" s="3353"/>
      <c r="AG1071" s="3353"/>
      <c r="AH1071" s="3353"/>
      <c r="AI1071" s="3353"/>
      <c r="AJ1071" s="3353"/>
      <c r="AK1071" s="3353"/>
      <c r="AL1071" s="3353"/>
    </row>
    <row r="1072" spans="1:38" s="3309" customFormat="1" x14ac:dyDescent="0.2">
      <c r="A1072" s="3401" t="s">
        <v>1794</v>
      </c>
      <c r="B1072" s="3382" t="e">
        <f t="shared" ref="B1072:G1072" si="508">B1062/B1071</f>
        <v>#VALUE!</v>
      </c>
      <c r="C1072" s="3382" t="e">
        <f t="shared" si="508"/>
        <v>#DIV/0!</v>
      </c>
      <c r="D1072" s="3382" t="e">
        <f t="shared" si="508"/>
        <v>#DIV/0!</v>
      </c>
      <c r="E1072" s="3382" t="e">
        <f t="shared" si="508"/>
        <v>#DIV/0!</v>
      </c>
      <c r="F1072" s="3382" t="e">
        <f t="shared" si="508"/>
        <v>#DIV/0!</v>
      </c>
      <c r="G1072" s="3382" t="e">
        <f t="shared" si="508"/>
        <v>#DIV/0!</v>
      </c>
      <c r="H1072" s="3353"/>
      <c r="I1072" s="3353"/>
      <c r="J1072" s="3467"/>
      <c r="K1072" s="3467"/>
      <c r="L1072" s="3467"/>
      <c r="M1072" s="3467"/>
      <c r="N1072" s="3467"/>
      <c r="O1072" s="3467"/>
      <c r="P1072" s="3467"/>
      <c r="Q1072" s="3467"/>
      <c r="R1072" s="3467"/>
      <c r="S1072" s="3467"/>
      <c r="T1072" s="3353"/>
      <c r="U1072" s="3353"/>
      <c r="V1072" s="3353"/>
      <c r="W1072" s="3353"/>
      <c r="X1072" s="3353"/>
      <c r="Y1072" s="3520" t="s">
        <v>1463</v>
      </c>
      <c r="Z1072" s="3520" t="s">
        <v>1464</v>
      </c>
      <c r="AA1072" s="3520"/>
      <c r="AB1072" s="3520"/>
      <c r="AC1072" s="3520"/>
      <c r="AD1072" s="3520"/>
      <c r="AE1072" s="3520"/>
      <c r="AF1072" s="3353"/>
      <c r="AG1072" s="3353"/>
      <c r="AH1072" s="3353"/>
      <c r="AI1072" s="3353"/>
      <c r="AJ1072" s="3353"/>
      <c r="AK1072" s="3353"/>
      <c r="AL1072" s="3353"/>
    </row>
    <row r="1073" spans="1:38" s="3309" customFormat="1" x14ac:dyDescent="0.2">
      <c r="A1073" s="3421" t="s">
        <v>1795</v>
      </c>
      <c r="B1073" s="3415" t="e">
        <f t="shared" ref="B1073:G1073" si="509">IF(B761=1,B1072,0)</f>
        <v>#VALUE!</v>
      </c>
      <c r="C1073" s="3415">
        <f t="shared" si="509"/>
        <v>0</v>
      </c>
      <c r="D1073" s="3415">
        <f t="shared" si="509"/>
        <v>0</v>
      </c>
      <c r="E1073" s="3415">
        <f t="shared" si="509"/>
        <v>0</v>
      </c>
      <c r="F1073" s="3415">
        <f t="shared" si="509"/>
        <v>0</v>
      </c>
      <c r="G1073" s="3415">
        <f t="shared" si="509"/>
        <v>0</v>
      </c>
      <c r="H1073" s="3353"/>
      <c r="I1073" s="3353"/>
      <c r="J1073" s="3467"/>
      <c r="K1073" s="3467"/>
      <c r="L1073" s="3467"/>
      <c r="M1073" s="3467"/>
      <c r="N1073" s="3467"/>
      <c r="O1073" s="3467"/>
      <c r="P1073" s="3467"/>
      <c r="Q1073" s="3467"/>
      <c r="R1073" s="3467"/>
      <c r="S1073" s="3467"/>
      <c r="T1073" s="3353"/>
      <c r="U1073" s="3353"/>
      <c r="V1073" s="3353"/>
      <c r="W1073" s="3353"/>
      <c r="X1073" s="3353"/>
      <c r="Y1073" s="3520">
        <v>4</v>
      </c>
      <c r="Z1073" s="3520">
        <v>7.28</v>
      </c>
      <c r="AA1073" s="3520">
        <f t="shared" ref="AA1073:AA1080" si="510">Z1073/Y1073</f>
        <v>1.82</v>
      </c>
      <c r="AB1073" s="3520"/>
      <c r="AC1073" s="3520"/>
      <c r="AD1073" s="3520"/>
      <c r="AE1073" s="3520"/>
      <c r="AF1073" s="3353"/>
      <c r="AG1073" s="3353"/>
      <c r="AH1073" s="3353"/>
      <c r="AI1073" s="3353"/>
      <c r="AJ1073" s="3353"/>
      <c r="AK1073" s="3353"/>
      <c r="AL1073" s="3353"/>
    </row>
    <row r="1074" spans="1:38" s="3309" customFormat="1" x14ac:dyDescent="0.2">
      <c r="A1074" s="3411"/>
      <c r="B1074" s="3379"/>
      <c r="C1074" s="3412"/>
      <c r="D1074" s="3412"/>
      <c r="E1074" s="3412"/>
      <c r="F1074" s="3412"/>
      <c r="G1074" s="3412"/>
      <c r="H1074" s="3353"/>
      <c r="I1074" s="3353"/>
      <c r="J1074" s="3467"/>
      <c r="K1074" s="3467"/>
      <c r="L1074" s="3467"/>
      <c r="M1074" s="3467"/>
      <c r="N1074" s="3467"/>
      <c r="O1074" s="3467"/>
      <c r="P1074" s="3467"/>
      <c r="Q1074" s="3467"/>
      <c r="R1074" s="3467"/>
      <c r="S1074" s="3467"/>
      <c r="T1074" s="3353"/>
      <c r="U1074" s="3353"/>
      <c r="V1074" s="3353"/>
      <c r="W1074" s="3353"/>
      <c r="X1074" s="3353"/>
      <c r="Y1074" s="3520">
        <v>6</v>
      </c>
      <c r="Z1074" s="3520">
        <v>9.3000000000000007</v>
      </c>
      <c r="AA1074" s="3520">
        <f t="shared" si="510"/>
        <v>1.55</v>
      </c>
      <c r="AB1074" s="3520"/>
      <c r="AC1074" s="3520"/>
      <c r="AD1074" s="3520"/>
      <c r="AE1074" s="3520"/>
      <c r="AF1074" s="3353"/>
      <c r="AG1074" s="3353"/>
      <c r="AH1074" s="3353"/>
      <c r="AI1074" s="3353"/>
      <c r="AJ1074" s="3353"/>
      <c r="AK1074" s="3353"/>
      <c r="AL1074" s="3353"/>
    </row>
    <row r="1075" spans="1:38" s="3309" customFormat="1" x14ac:dyDescent="0.2">
      <c r="A1075" s="3401" t="s">
        <v>832</v>
      </c>
      <c r="B1075" s="3379"/>
      <c r="C1075" s="3412"/>
      <c r="D1075" s="3412"/>
      <c r="E1075" s="3412"/>
      <c r="F1075" s="3412"/>
      <c r="G1075" s="3412"/>
      <c r="H1075" s="3353"/>
      <c r="I1075" s="3353"/>
      <c r="J1075" s="3467"/>
      <c r="K1075" s="3467"/>
      <c r="L1075" s="3467"/>
      <c r="M1075" s="3467"/>
      <c r="N1075" s="3467"/>
      <c r="O1075" s="3467"/>
      <c r="P1075" s="3467"/>
      <c r="Q1075" s="3467"/>
      <c r="R1075" s="3467"/>
      <c r="S1075" s="3467"/>
      <c r="T1075" s="3353"/>
      <c r="U1075" s="3353"/>
      <c r="V1075" s="3353"/>
      <c r="W1075" s="3353"/>
      <c r="X1075" s="3353"/>
      <c r="Y1075" s="3520">
        <v>8</v>
      </c>
      <c r="Z1075" s="3520">
        <v>11.04</v>
      </c>
      <c r="AA1075" s="3520">
        <f t="shared" si="510"/>
        <v>1.38</v>
      </c>
      <c r="AB1075" s="3520"/>
      <c r="AC1075" s="3520"/>
      <c r="AD1075" s="3520"/>
      <c r="AE1075" s="3520"/>
      <c r="AF1075" s="3353"/>
      <c r="AG1075" s="3353"/>
      <c r="AH1075" s="3353"/>
      <c r="AI1075" s="3353"/>
      <c r="AJ1075" s="3353"/>
      <c r="AK1075" s="3353"/>
      <c r="AL1075" s="3353"/>
    </row>
    <row r="1076" spans="1:38" s="3309" customFormat="1" x14ac:dyDescent="0.2">
      <c r="A1076" s="3409" t="s">
        <v>833</v>
      </c>
      <c r="B1076" s="3429">
        <f t="shared" ref="B1076:G1076" si="511">B184</f>
        <v>2.1</v>
      </c>
      <c r="C1076" s="3429">
        <f t="shared" si="511"/>
        <v>0</v>
      </c>
      <c r="D1076" s="3429">
        <f t="shared" si="511"/>
        <v>0</v>
      </c>
      <c r="E1076" s="3429">
        <f t="shared" si="511"/>
        <v>0</v>
      </c>
      <c r="F1076" s="3429">
        <f t="shared" si="511"/>
        <v>0</v>
      </c>
      <c r="G1076" s="3429">
        <f t="shared" si="511"/>
        <v>0</v>
      </c>
      <c r="H1076" s="3353"/>
      <c r="I1076" s="3353"/>
      <c r="J1076" s="3467"/>
      <c r="K1076" s="3467"/>
      <c r="L1076" s="3467"/>
      <c r="M1076" s="3467"/>
      <c r="N1076" s="3467"/>
      <c r="O1076" s="3467"/>
      <c r="P1076" s="3467"/>
      <c r="Q1076" s="3467"/>
      <c r="R1076" s="3467"/>
      <c r="S1076" s="3467"/>
      <c r="T1076" s="3353"/>
      <c r="U1076" s="3353"/>
      <c r="V1076" s="3353"/>
      <c r="W1076" s="3353"/>
      <c r="X1076" s="3353"/>
      <c r="Y1076" s="3520">
        <v>10</v>
      </c>
      <c r="Z1076" s="3520">
        <v>12.06</v>
      </c>
      <c r="AA1076" s="3520">
        <f t="shared" si="510"/>
        <v>1.206</v>
      </c>
      <c r="AB1076" s="3520"/>
      <c r="AC1076" s="3520"/>
      <c r="AD1076" s="3520"/>
      <c r="AE1076" s="3520"/>
      <c r="AF1076" s="3353"/>
      <c r="AG1076" s="3353"/>
      <c r="AH1076" s="3353"/>
      <c r="AI1076" s="3353"/>
      <c r="AJ1076" s="3353"/>
      <c r="AK1076" s="3353"/>
      <c r="AL1076" s="3353"/>
    </row>
    <row r="1077" spans="1:38" s="3309" customFormat="1" x14ac:dyDescent="0.2">
      <c r="A1077" s="3411" t="s">
        <v>834</v>
      </c>
      <c r="B1077" s="3491" t="e">
        <f>(B739*B735*B1076)*B736/B1282</f>
        <v>#VALUE!</v>
      </c>
      <c r="C1077" s="3491" t="e">
        <f>(C739*C735*C1076)*C736/C1282</f>
        <v>#DIV/0!</v>
      </c>
      <c r="D1077" s="3491" t="e">
        <f>(D739*D735*D1076)*D736/D1282</f>
        <v>#DIV/0!</v>
      </c>
      <c r="E1077" s="3491" t="e">
        <f>(E739*E735*E1076)*E736/E1282</f>
        <v>#DIV/0!</v>
      </c>
      <c r="F1077" s="3491" t="e">
        <f>(F739*F735*F1076)*D736/F1282</f>
        <v>#DIV/0!</v>
      </c>
      <c r="G1077" s="3491" t="e">
        <f>(G739*G735*G1076)*E736/G1282</f>
        <v>#DIV/0!</v>
      </c>
      <c r="H1077" s="3353"/>
      <c r="I1077" s="3353"/>
      <c r="J1077" s="3467"/>
      <c r="K1077" s="3467"/>
      <c r="L1077" s="3467"/>
      <c r="M1077" s="3467"/>
      <c r="N1077" s="3467"/>
      <c r="O1077" s="3467"/>
      <c r="P1077" s="3467"/>
      <c r="Q1077" s="3467"/>
      <c r="R1077" s="3467"/>
      <c r="S1077" s="3467"/>
      <c r="T1077" s="3353"/>
      <c r="U1077" s="3353"/>
      <c r="V1077" s="3353"/>
      <c r="W1077" s="3353"/>
      <c r="X1077" s="3353"/>
      <c r="Y1077" s="3520">
        <v>12</v>
      </c>
      <c r="Z1077" s="3520">
        <v>14.04</v>
      </c>
      <c r="AA1077" s="3520">
        <f t="shared" si="510"/>
        <v>1.17</v>
      </c>
      <c r="AB1077" s="3520"/>
      <c r="AC1077" s="3520"/>
      <c r="AD1077" s="3520"/>
      <c r="AE1077" s="3520"/>
      <c r="AF1077" s="3353"/>
      <c r="AG1077" s="3353"/>
      <c r="AH1077" s="3353"/>
      <c r="AI1077" s="3353"/>
      <c r="AJ1077" s="3353"/>
      <c r="AK1077" s="3353"/>
      <c r="AL1077" s="3353"/>
    </row>
    <row r="1078" spans="1:38" s="3309" customFormat="1" x14ac:dyDescent="0.2">
      <c r="A1078" s="3409" t="s">
        <v>5572</v>
      </c>
      <c r="B1078" s="3428">
        <f t="shared" ref="B1078:G1078" si="512">B143</f>
        <v>3</v>
      </c>
      <c r="C1078" s="3428">
        <f t="shared" si="512"/>
        <v>0</v>
      </c>
      <c r="D1078" s="3428">
        <f t="shared" si="512"/>
        <v>0</v>
      </c>
      <c r="E1078" s="3428">
        <f t="shared" si="512"/>
        <v>0</v>
      </c>
      <c r="F1078" s="3428">
        <f t="shared" si="512"/>
        <v>0</v>
      </c>
      <c r="G1078" s="3428">
        <f t="shared" si="512"/>
        <v>0</v>
      </c>
      <c r="H1078" s="3353"/>
      <c r="I1078" s="3353"/>
      <c r="J1078" s="3467"/>
      <c r="K1078" s="3467"/>
      <c r="L1078" s="3467"/>
      <c r="M1078" s="3467"/>
      <c r="N1078" s="3467"/>
      <c r="O1078" s="3467"/>
      <c r="P1078" s="3467"/>
      <c r="Q1078" s="3467"/>
      <c r="R1078" s="3467"/>
      <c r="S1078" s="3467"/>
      <c r="T1078" s="3353"/>
      <c r="U1078" s="3353"/>
      <c r="V1078" s="3353"/>
      <c r="W1078" s="3353"/>
      <c r="X1078" s="3353"/>
      <c r="Y1078" s="3520">
        <v>14</v>
      </c>
      <c r="Z1078" s="3520">
        <v>15.4</v>
      </c>
      <c r="AA1078" s="3520">
        <f t="shared" si="510"/>
        <v>1.1000000000000001</v>
      </c>
      <c r="AB1078" s="3520"/>
      <c r="AC1078" s="3520"/>
      <c r="AD1078" s="3520"/>
      <c r="AE1078" s="3520"/>
      <c r="AF1078" s="3353"/>
      <c r="AG1078" s="3353"/>
      <c r="AH1078" s="3353"/>
      <c r="AI1078" s="3353"/>
      <c r="AJ1078" s="3353"/>
      <c r="AK1078" s="3353"/>
      <c r="AL1078" s="3353"/>
    </row>
    <row r="1079" spans="1:38" s="3309" customFormat="1" x14ac:dyDescent="0.2">
      <c r="A1079" s="3411" t="s">
        <v>425</v>
      </c>
      <c r="B1079" s="3435">
        <f t="shared" ref="B1079:G1079" si="513">IF(B1078&lt;2,B1083,IF(B1078&lt;3,B1084,IF(B1078&lt;4,B1085,IF(B1078&lt;5,B1086,B1087))))</f>
        <v>134</v>
      </c>
      <c r="C1079" s="3435">
        <f t="shared" si="513"/>
        <v>192</v>
      </c>
      <c r="D1079" s="3435">
        <f t="shared" si="513"/>
        <v>192</v>
      </c>
      <c r="E1079" s="3435">
        <f t="shared" si="513"/>
        <v>192</v>
      </c>
      <c r="F1079" s="3435">
        <f t="shared" si="513"/>
        <v>192</v>
      </c>
      <c r="G1079" s="3435">
        <f t="shared" si="513"/>
        <v>192</v>
      </c>
      <c r="H1079" s="3353"/>
      <c r="I1079" s="3353"/>
      <c r="J1079" s="3467"/>
      <c r="K1079" s="3467"/>
      <c r="L1079" s="3467"/>
      <c r="M1079" s="3467"/>
      <c r="N1079" s="3467"/>
      <c r="O1079" s="3467"/>
      <c r="P1079" s="3467"/>
      <c r="Q1079" s="3467"/>
      <c r="R1079" s="3467"/>
      <c r="S1079" s="3467"/>
      <c r="T1079" s="3353"/>
      <c r="U1079" s="3353"/>
      <c r="V1079" s="3353"/>
      <c r="W1079" s="3353"/>
      <c r="X1079" s="3353"/>
      <c r="Y1079" s="3520">
        <v>16</v>
      </c>
      <c r="Z1079" s="3520">
        <v>16.64</v>
      </c>
      <c r="AA1079" s="3520">
        <f t="shared" si="510"/>
        <v>1.04</v>
      </c>
      <c r="AB1079" s="3520"/>
      <c r="AC1079" s="3520"/>
      <c r="AD1079" s="3520"/>
      <c r="AE1079" s="3520"/>
      <c r="AF1079" s="3353"/>
      <c r="AG1079" s="3353"/>
      <c r="AH1079" s="3353"/>
      <c r="AI1079" s="3353"/>
      <c r="AJ1079" s="3353"/>
      <c r="AK1079" s="3353"/>
      <c r="AL1079" s="3353"/>
    </row>
    <row r="1080" spans="1:38" s="3309" customFormat="1" x14ac:dyDescent="0.2">
      <c r="A1080" s="3411" t="s">
        <v>835</v>
      </c>
      <c r="B1080" s="3435">
        <f t="shared" ref="B1080:G1080" si="514">IF(B735&lt;0.61,1,IF(B735&lt;0.81,2,IF(B735&lt;1.41,3,IF(B735&lt;1.81,4,5))))</f>
        <v>5</v>
      </c>
      <c r="C1080" s="3435">
        <f t="shared" si="514"/>
        <v>1</v>
      </c>
      <c r="D1080" s="3435">
        <f t="shared" si="514"/>
        <v>1</v>
      </c>
      <c r="E1080" s="3435">
        <f t="shared" si="514"/>
        <v>1</v>
      </c>
      <c r="F1080" s="3435">
        <f t="shared" si="514"/>
        <v>1</v>
      </c>
      <c r="G1080" s="3435">
        <f t="shared" si="514"/>
        <v>1</v>
      </c>
      <c r="H1080" s="3353"/>
      <c r="I1080" s="3353"/>
      <c r="J1080" s="3467"/>
      <c r="K1080" s="3467"/>
      <c r="L1080" s="3467"/>
      <c r="M1080" s="3467"/>
      <c r="N1080" s="3467"/>
      <c r="O1080" s="3467"/>
      <c r="P1080" s="3467"/>
      <c r="Q1080" s="3467"/>
      <c r="R1080" s="3467"/>
      <c r="S1080" s="3467"/>
      <c r="T1080" s="3353"/>
      <c r="U1080" s="3353"/>
      <c r="V1080" s="3353"/>
      <c r="W1080" s="3353"/>
      <c r="X1080" s="3353"/>
      <c r="Y1080" s="3520">
        <v>18</v>
      </c>
      <c r="Z1080" s="3520">
        <v>17.82</v>
      </c>
      <c r="AA1080" s="3520">
        <f t="shared" si="510"/>
        <v>0.99</v>
      </c>
      <c r="AB1080" s="3520"/>
      <c r="AC1080" s="3520"/>
      <c r="AD1080" s="3520"/>
      <c r="AE1080" s="3520"/>
      <c r="AF1080" s="3353"/>
      <c r="AG1080" s="3353"/>
      <c r="AH1080" s="3353"/>
      <c r="AI1080" s="3353"/>
      <c r="AJ1080" s="3353"/>
      <c r="AK1080" s="3353"/>
      <c r="AL1080" s="3353"/>
    </row>
    <row r="1081" spans="1:38" s="3309" customFormat="1" x14ac:dyDescent="0.2">
      <c r="A1081" s="3411" t="s">
        <v>836</v>
      </c>
      <c r="B1081" s="3435">
        <f t="shared" ref="B1081:G1081" si="515">IF(B750&lt;25,1,IF(B750&lt;46,2,3))</f>
        <v>3</v>
      </c>
      <c r="C1081" s="3435">
        <f t="shared" si="515"/>
        <v>1</v>
      </c>
      <c r="D1081" s="3435">
        <f t="shared" si="515"/>
        <v>1</v>
      </c>
      <c r="E1081" s="3435">
        <f t="shared" si="515"/>
        <v>1</v>
      </c>
      <c r="F1081" s="3435">
        <f t="shared" si="515"/>
        <v>1</v>
      </c>
      <c r="G1081" s="3435">
        <f t="shared" si="515"/>
        <v>1</v>
      </c>
      <c r="H1081" s="3353"/>
      <c r="I1081" s="3353"/>
      <c r="J1081" s="3467"/>
      <c r="K1081" s="3467"/>
      <c r="L1081" s="3467"/>
      <c r="M1081" s="3467"/>
      <c r="N1081" s="3467"/>
      <c r="O1081" s="3467"/>
      <c r="P1081" s="3467"/>
      <c r="Q1081" s="3467"/>
      <c r="R1081" s="3467"/>
      <c r="S1081" s="3467"/>
      <c r="T1081" s="3353"/>
      <c r="U1081" s="3353"/>
      <c r="V1081" s="3353"/>
      <c r="W1081" s="3353"/>
      <c r="X1081" s="3353"/>
      <c r="Y1081" s="3520"/>
      <c r="Z1081" s="3520"/>
      <c r="AA1081" s="3520">
        <f>SUM(AA1073:AA1080)</f>
        <v>10.255999999999998</v>
      </c>
      <c r="AB1081" s="3520"/>
      <c r="AC1081" s="3520"/>
      <c r="AD1081" s="3520"/>
      <c r="AE1081" s="3520"/>
      <c r="AF1081" s="3353"/>
      <c r="AG1081" s="3353"/>
      <c r="AH1081" s="3353"/>
      <c r="AI1081" s="3353"/>
      <c r="AJ1081" s="3353"/>
      <c r="AK1081" s="3353"/>
      <c r="AL1081" s="3353"/>
    </row>
    <row r="1082" spans="1:38" s="3309" customFormat="1" x14ac:dyDescent="0.2">
      <c r="A1082" s="3419" t="s">
        <v>1719</v>
      </c>
      <c r="B1082" s="3379"/>
      <c r="C1082" s="3412"/>
      <c r="D1082" s="3412"/>
      <c r="E1082" s="3412"/>
      <c r="F1082" s="3412"/>
      <c r="G1082" s="3412"/>
      <c r="H1082" s="3353"/>
      <c r="I1082" s="3353"/>
      <c r="J1082" s="3467"/>
      <c r="K1082" s="3467"/>
      <c r="L1082" s="3467"/>
      <c r="M1082" s="3467"/>
      <c r="N1082" s="3467"/>
      <c r="O1082" s="3467"/>
      <c r="P1082" s="3467"/>
      <c r="Q1082" s="3467"/>
      <c r="R1082" s="3467"/>
      <c r="S1082" s="3467"/>
      <c r="T1082" s="3353"/>
      <c r="U1082" s="3353"/>
      <c r="V1082" s="3353"/>
      <c r="W1082" s="3353"/>
      <c r="X1082" s="3353"/>
      <c r="Y1082" s="3520"/>
      <c r="Z1082" s="3520"/>
      <c r="AA1082" s="3520">
        <f>AA1081/8</f>
        <v>1.2819999999999998</v>
      </c>
      <c r="AB1082" s="3520"/>
      <c r="AC1082" s="3520"/>
      <c r="AD1082" s="3520"/>
      <c r="AE1082" s="3520"/>
      <c r="AF1082" s="3353"/>
      <c r="AG1082" s="3353"/>
      <c r="AH1082" s="3353"/>
      <c r="AI1082" s="3353"/>
      <c r="AJ1082" s="3353"/>
      <c r="AK1082" s="3353"/>
      <c r="AL1082" s="3353"/>
    </row>
    <row r="1083" spans="1:38" s="3309" customFormat="1" x14ac:dyDescent="0.2">
      <c r="A1083" s="3419" t="s">
        <v>837</v>
      </c>
      <c r="B1083" s="3435">
        <f t="shared" ref="B1083:G1083" si="516">INDEX($H$3066:$J$3070,B1080,B1081)</f>
        <v>230</v>
      </c>
      <c r="C1083" s="3435">
        <f t="shared" si="516"/>
        <v>192</v>
      </c>
      <c r="D1083" s="3435">
        <f t="shared" si="516"/>
        <v>192</v>
      </c>
      <c r="E1083" s="3435">
        <f t="shared" si="516"/>
        <v>192</v>
      </c>
      <c r="F1083" s="3435">
        <f t="shared" si="516"/>
        <v>192</v>
      </c>
      <c r="G1083" s="3435">
        <f t="shared" si="516"/>
        <v>192</v>
      </c>
      <c r="H1083" s="3353"/>
      <c r="I1083" s="3353"/>
      <c r="J1083" s="3467"/>
      <c r="K1083" s="3467"/>
      <c r="L1083" s="3467"/>
      <c r="M1083" s="3467"/>
      <c r="N1083" s="3467"/>
      <c r="O1083" s="3467"/>
      <c r="P1083" s="3467"/>
      <c r="Q1083" s="3467"/>
      <c r="R1083" s="3467"/>
      <c r="S1083" s="3467"/>
      <c r="T1083" s="3353"/>
      <c r="U1083" s="3353"/>
      <c r="V1083" s="3353"/>
      <c r="W1083" s="3353"/>
      <c r="X1083" s="3353"/>
      <c r="Y1083" s="3520"/>
      <c r="Z1083" s="3520"/>
      <c r="AA1083" s="3520"/>
      <c r="AB1083" s="3520"/>
      <c r="AC1083" s="3520"/>
      <c r="AD1083" s="3520"/>
      <c r="AE1083" s="3520"/>
      <c r="AF1083" s="3353"/>
      <c r="AG1083" s="3353"/>
      <c r="AH1083" s="3353"/>
      <c r="AI1083" s="3353"/>
      <c r="AJ1083" s="3353"/>
      <c r="AK1083" s="3353"/>
      <c r="AL1083" s="3353"/>
    </row>
    <row r="1084" spans="1:38" s="3309" customFormat="1" x14ac:dyDescent="0.2">
      <c r="A1084" s="3412" t="s">
        <v>491</v>
      </c>
      <c r="B1084" s="3435">
        <f t="shared" ref="B1084:G1084" si="517">INDEX($K$3066:$M$3070,B1080,B1081)</f>
        <v>175</v>
      </c>
      <c r="C1084" s="3435">
        <f t="shared" si="517"/>
        <v>157</v>
      </c>
      <c r="D1084" s="3435">
        <f t="shared" si="517"/>
        <v>157</v>
      </c>
      <c r="E1084" s="3435">
        <f t="shared" si="517"/>
        <v>157</v>
      </c>
      <c r="F1084" s="3435">
        <f t="shared" si="517"/>
        <v>157</v>
      </c>
      <c r="G1084" s="3435">
        <f t="shared" si="517"/>
        <v>157</v>
      </c>
      <c r="H1084" s="3353"/>
      <c r="I1084" s="3353"/>
      <c r="J1084" s="3467"/>
      <c r="K1084" s="3467"/>
      <c r="L1084" s="3467"/>
      <c r="M1084" s="3467"/>
      <c r="N1084" s="3467"/>
      <c r="O1084" s="3467"/>
      <c r="P1084" s="3467"/>
      <c r="Q1084" s="3467"/>
      <c r="R1084" s="3467"/>
      <c r="S1084" s="3467"/>
      <c r="T1084" s="3353"/>
      <c r="U1084" s="3353"/>
      <c r="V1084" s="3353"/>
      <c r="W1084" s="3353"/>
      <c r="X1084" s="3353"/>
      <c r="Y1084" s="3353"/>
      <c r="Z1084" s="3353"/>
      <c r="AA1084" s="3353"/>
      <c r="AB1084" s="3353"/>
      <c r="AC1084" s="3353"/>
      <c r="AD1084" s="3353"/>
      <c r="AE1084" s="3353"/>
      <c r="AF1084" s="3353"/>
      <c r="AG1084" s="3353"/>
      <c r="AH1084" s="3353"/>
      <c r="AI1084" s="3353"/>
      <c r="AJ1084" s="3353"/>
      <c r="AK1084" s="3353"/>
      <c r="AL1084" s="3353"/>
    </row>
    <row r="1085" spans="1:38" s="3309" customFormat="1" x14ac:dyDescent="0.2">
      <c r="A1085" s="3412" t="s">
        <v>492</v>
      </c>
      <c r="B1085" s="3435">
        <f t="shared" ref="B1085:G1085" si="518">INDEX($N$3066:$P$3070,B1080,B1081)</f>
        <v>134</v>
      </c>
      <c r="C1085" s="3435">
        <f t="shared" si="518"/>
        <v>125</v>
      </c>
      <c r="D1085" s="3435">
        <f t="shared" si="518"/>
        <v>125</v>
      </c>
      <c r="E1085" s="3435">
        <f t="shared" si="518"/>
        <v>125</v>
      </c>
      <c r="F1085" s="3435">
        <f t="shared" si="518"/>
        <v>125</v>
      </c>
      <c r="G1085" s="3435">
        <f t="shared" si="518"/>
        <v>125</v>
      </c>
      <c r="H1085" s="3519"/>
      <c r="I1085" s="3353"/>
      <c r="J1085" s="3467"/>
      <c r="K1085" s="3467"/>
      <c r="L1085" s="3467"/>
      <c r="M1085" s="3467"/>
      <c r="N1085" s="3467"/>
      <c r="O1085" s="3467"/>
      <c r="P1085" s="3467"/>
      <c r="Q1085" s="3467"/>
      <c r="R1085" s="3467"/>
      <c r="S1085" s="3467"/>
      <c r="T1085" s="3353"/>
      <c r="U1085" s="3353"/>
      <c r="V1085" s="3353"/>
      <c r="W1085" s="3353"/>
      <c r="X1085" s="3353"/>
      <c r="Y1085" s="3353"/>
      <c r="Z1085" s="3353"/>
      <c r="AA1085" s="3353"/>
      <c r="AB1085" s="3353"/>
      <c r="AC1085" s="3353"/>
      <c r="AD1085" s="3353"/>
      <c r="AE1085" s="3353"/>
      <c r="AF1085" s="3353"/>
      <c r="AG1085" s="3353"/>
      <c r="AH1085" s="3353"/>
      <c r="AI1085" s="3353"/>
      <c r="AJ1085" s="3353"/>
      <c r="AK1085" s="3353"/>
      <c r="AL1085" s="3353"/>
    </row>
    <row r="1086" spans="1:38" s="3309" customFormat="1" x14ac:dyDescent="0.2">
      <c r="A1086" s="3412" t="s">
        <v>493</v>
      </c>
      <c r="B1086" s="3435">
        <f t="shared" ref="B1086:G1086" si="519">INDEX($Q$3066:$S$3070,B1080,B1081)</f>
        <v>106</v>
      </c>
      <c r="C1086" s="3435">
        <f t="shared" si="519"/>
        <v>102</v>
      </c>
      <c r="D1086" s="3435">
        <f t="shared" si="519"/>
        <v>102</v>
      </c>
      <c r="E1086" s="3435">
        <f t="shared" si="519"/>
        <v>102</v>
      </c>
      <c r="F1086" s="3435">
        <f t="shared" si="519"/>
        <v>102</v>
      </c>
      <c r="G1086" s="3435">
        <f t="shared" si="519"/>
        <v>102</v>
      </c>
      <c r="H1086" s="3353"/>
      <c r="I1086" s="3353"/>
      <c r="J1086" s="3467"/>
      <c r="K1086" s="3467"/>
      <c r="L1086" s="3467"/>
      <c r="M1086" s="3467"/>
      <c r="N1086" s="3467"/>
      <c r="O1086" s="3467"/>
      <c r="P1086" s="3467"/>
      <c r="Q1086" s="3467"/>
      <c r="R1086" s="3467"/>
      <c r="S1086" s="3467"/>
      <c r="T1086" s="3353"/>
      <c r="U1086" s="3353"/>
      <c r="V1086" s="3353"/>
      <c r="W1086" s="3353"/>
      <c r="X1086" s="3353"/>
      <c r="Y1086" s="3353"/>
      <c r="Z1086" s="3353"/>
      <c r="AA1086" s="3353"/>
      <c r="AB1086" s="3353"/>
      <c r="AC1086" s="3353"/>
      <c r="AD1086" s="3353"/>
      <c r="AE1086" s="3353"/>
      <c r="AF1086" s="3353"/>
      <c r="AG1086" s="3353"/>
      <c r="AH1086" s="3353"/>
      <c r="AI1086" s="3353"/>
      <c r="AJ1086" s="3353"/>
      <c r="AK1086" s="3353"/>
      <c r="AL1086" s="3353"/>
    </row>
    <row r="1087" spans="1:38" s="3309" customFormat="1" x14ac:dyDescent="0.2">
      <c r="A1087" s="3412" t="s">
        <v>494</v>
      </c>
      <c r="B1087" s="3435">
        <f t="shared" ref="B1087:G1087" si="520">INDEX($T$3066:$V$3070,B1080,B1081)</f>
        <v>84</v>
      </c>
      <c r="C1087" s="3435">
        <f t="shared" si="520"/>
        <v>79</v>
      </c>
      <c r="D1087" s="3435">
        <f t="shared" si="520"/>
        <v>79</v>
      </c>
      <c r="E1087" s="3435">
        <f t="shared" si="520"/>
        <v>79</v>
      </c>
      <c r="F1087" s="3435">
        <f t="shared" si="520"/>
        <v>79</v>
      </c>
      <c r="G1087" s="3435">
        <f t="shared" si="520"/>
        <v>79</v>
      </c>
      <c r="H1087" s="3353"/>
      <c r="I1087" s="3353"/>
      <c r="J1087" s="3467"/>
      <c r="K1087" s="3467"/>
      <c r="L1087" s="3467"/>
      <c r="M1087" s="3467"/>
      <c r="N1087" s="3467"/>
      <c r="O1087" s="3467"/>
      <c r="P1087" s="3467"/>
      <c r="Q1087" s="3467"/>
      <c r="R1087" s="3467"/>
      <c r="S1087" s="3467"/>
      <c r="T1087" s="3353"/>
      <c r="U1087" s="3353"/>
      <c r="V1087" s="3353"/>
      <c r="W1087" s="3353"/>
      <c r="X1087" s="3353"/>
      <c r="Y1087" s="3353"/>
      <c r="Z1087" s="3353"/>
      <c r="AA1087" s="3353"/>
      <c r="AB1087" s="3353"/>
      <c r="AC1087" s="3353"/>
      <c r="AD1087" s="3353"/>
      <c r="AE1087" s="3353"/>
      <c r="AF1087" s="3353"/>
      <c r="AG1087" s="3353"/>
      <c r="AH1087" s="3353"/>
      <c r="AI1087" s="3353"/>
      <c r="AJ1087" s="3353"/>
      <c r="AK1087" s="3353"/>
      <c r="AL1087" s="3353"/>
    </row>
    <row r="1088" spans="1:38" s="3309" customFormat="1" x14ac:dyDescent="0.2">
      <c r="A1088" s="3411" t="s">
        <v>1322</v>
      </c>
      <c r="B1088" s="3379"/>
      <c r="C1088" s="3412"/>
      <c r="D1088" s="3412"/>
      <c r="E1088" s="3412"/>
      <c r="F1088" s="3412"/>
      <c r="G1088" s="3412"/>
      <c r="H1088" s="3353"/>
      <c r="I1088" s="3518"/>
      <c r="J1088" s="3467"/>
      <c r="K1088" s="3467"/>
      <c r="L1088" s="3467"/>
      <c r="M1088" s="3467"/>
      <c r="N1088" s="3467"/>
      <c r="O1088" s="3467"/>
      <c r="P1088" s="3467"/>
      <c r="Q1088" s="3467"/>
      <c r="R1088" s="3467"/>
      <c r="S1088" s="3467"/>
      <c r="T1088" s="3353"/>
      <c r="U1088" s="3353"/>
      <c r="V1088" s="3353"/>
      <c r="W1088" s="3353"/>
      <c r="X1088" s="3353"/>
      <c r="Y1088" s="3353"/>
      <c r="Z1088" s="3353"/>
      <c r="AA1088" s="3353"/>
      <c r="AB1088" s="3353"/>
      <c r="AC1088" s="3353"/>
      <c r="AD1088" s="3353"/>
      <c r="AE1088" s="3353"/>
      <c r="AF1088" s="3353"/>
      <c r="AG1088" s="3353"/>
      <c r="AH1088" s="3353"/>
      <c r="AI1088" s="3353"/>
      <c r="AJ1088" s="3353"/>
      <c r="AK1088" s="3353"/>
      <c r="AL1088" s="3353"/>
    </row>
    <row r="1089" spans="1:38" s="3309" customFormat="1" x14ac:dyDescent="0.2">
      <c r="A1089" s="3411" t="s">
        <v>495</v>
      </c>
      <c r="B1089" s="3400">
        <v>0.7</v>
      </c>
      <c r="C1089" s="3400">
        <v>0.7</v>
      </c>
      <c r="D1089" s="3400">
        <v>0.7</v>
      </c>
      <c r="E1089" s="3400">
        <v>0.7</v>
      </c>
      <c r="F1089" s="3400">
        <v>0.7</v>
      </c>
      <c r="G1089" s="3400">
        <v>0.7</v>
      </c>
      <c r="H1089" s="3353"/>
      <c r="I1089" s="3353"/>
      <c r="J1089" s="3467"/>
      <c r="K1089" s="3467"/>
      <c r="L1089" s="3467"/>
      <c r="M1089" s="3467"/>
      <c r="N1089" s="3467"/>
      <c r="O1089" s="3467"/>
      <c r="P1089" s="3467"/>
      <c r="Q1089" s="3467"/>
      <c r="R1089" s="3467"/>
      <c r="S1089" s="3467"/>
      <c r="T1089" s="3353"/>
      <c r="U1089" s="3353"/>
      <c r="V1089" s="3353"/>
      <c r="W1089" s="3353"/>
      <c r="X1089" s="3353"/>
      <c r="Y1089" s="3353"/>
      <c r="Z1089" s="3353"/>
      <c r="AA1089" s="3353"/>
      <c r="AB1089" s="3353"/>
      <c r="AC1089" s="3353"/>
      <c r="AD1089" s="3353"/>
      <c r="AE1089" s="3353"/>
      <c r="AF1089" s="3353"/>
      <c r="AG1089" s="3353"/>
      <c r="AH1089" s="3353"/>
      <c r="AI1089" s="3353"/>
      <c r="AJ1089" s="3353"/>
      <c r="AK1089" s="3353"/>
      <c r="AL1089" s="3353"/>
    </row>
    <row r="1090" spans="1:38" s="3309" customFormat="1" ht="25.5" x14ac:dyDescent="0.2">
      <c r="A1090" s="3606" t="s">
        <v>496</v>
      </c>
      <c r="B1090" s="3596">
        <v>0</v>
      </c>
      <c r="C1090" s="3596">
        <v>0</v>
      </c>
      <c r="D1090" s="3596">
        <v>0</v>
      </c>
      <c r="E1090" s="3596">
        <v>0</v>
      </c>
      <c r="F1090" s="3596">
        <v>0</v>
      </c>
      <c r="G1090" s="3596">
        <v>0</v>
      </c>
      <c r="H1090" s="3353"/>
      <c r="I1090" s="3353"/>
      <c r="J1090" s="3467"/>
      <c r="K1090" s="3467"/>
      <c r="L1090" s="3467"/>
      <c r="M1090" s="3467"/>
      <c r="N1090" s="3467"/>
      <c r="O1090" s="3467"/>
      <c r="P1090" s="3467"/>
      <c r="Q1090" s="3467"/>
      <c r="R1090" s="3467"/>
      <c r="S1090" s="3467"/>
      <c r="T1090" s="3353"/>
      <c r="U1090" s="3353"/>
      <c r="V1090" s="3353"/>
      <c r="W1090" s="3353"/>
      <c r="X1090" s="3353"/>
      <c r="Y1090" s="3353"/>
      <c r="Z1090" s="3353"/>
      <c r="AA1090" s="3353"/>
      <c r="AB1090" s="3353"/>
      <c r="AC1090" s="3353"/>
      <c r="AD1090" s="3353"/>
      <c r="AE1090" s="3353"/>
      <c r="AF1090" s="3353"/>
      <c r="AG1090" s="3353"/>
      <c r="AH1090" s="3353"/>
      <c r="AI1090" s="3353"/>
      <c r="AJ1090" s="3353"/>
      <c r="AK1090" s="3353"/>
      <c r="AL1090" s="3353"/>
    </row>
    <row r="1091" spans="1:38" s="3309" customFormat="1" x14ac:dyDescent="0.2">
      <c r="A1091" s="3459" t="s">
        <v>2978</v>
      </c>
      <c r="B1091" s="3406">
        <f t="shared" ref="B1091:G1091" si="521">IF(B1090=1,0.8,1)</f>
        <v>1</v>
      </c>
      <c r="C1091" s="3406">
        <f t="shared" si="521"/>
        <v>1</v>
      </c>
      <c r="D1091" s="3406">
        <f t="shared" si="521"/>
        <v>1</v>
      </c>
      <c r="E1091" s="3406">
        <f t="shared" si="521"/>
        <v>1</v>
      </c>
      <c r="F1091" s="3406">
        <f t="shared" si="521"/>
        <v>1</v>
      </c>
      <c r="G1091" s="3406">
        <f t="shared" si="521"/>
        <v>1</v>
      </c>
      <c r="H1091" s="3353"/>
      <c r="I1091" s="3353"/>
      <c r="J1091" s="3353"/>
      <c r="K1091" s="3353"/>
      <c r="L1091" s="3353"/>
      <c r="M1091" s="3353"/>
      <c r="N1091" s="3353"/>
      <c r="O1091" s="3353"/>
      <c r="P1091" s="3353"/>
      <c r="Q1091" s="3353"/>
      <c r="R1091" s="3353"/>
      <c r="S1091" s="3353"/>
      <c r="T1091" s="3353"/>
      <c r="U1091" s="3353"/>
      <c r="V1091" s="3353"/>
      <c r="W1091" s="3353"/>
      <c r="X1091" s="3353"/>
      <c r="Y1091" s="3353"/>
      <c r="Z1091" s="3353"/>
      <c r="AA1091" s="3353"/>
      <c r="AB1091" s="3353"/>
      <c r="AC1091" s="3353"/>
      <c r="AD1091" s="3353"/>
      <c r="AE1091" s="3353"/>
      <c r="AF1091" s="3353"/>
      <c r="AG1091" s="3353"/>
      <c r="AH1091" s="3353"/>
      <c r="AI1091" s="3353"/>
      <c r="AJ1091" s="3353"/>
      <c r="AK1091" s="3353"/>
      <c r="AL1091" s="3353"/>
    </row>
    <row r="1092" spans="1:38" s="3309" customFormat="1" ht="51" x14ac:dyDescent="0.2">
      <c r="A1092" s="3516" t="s">
        <v>6164</v>
      </c>
      <c r="B1092" s="3428">
        <f t="shared" ref="B1092:G1092" si="522">IF(B134=1,1,0)</f>
        <v>0</v>
      </c>
      <c r="C1092" s="3428">
        <f t="shared" si="522"/>
        <v>0</v>
      </c>
      <c r="D1092" s="3428">
        <f t="shared" si="522"/>
        <v>0</v>
      </c>
      <c r="E1092" s="3428">
        <f t="shared" si="522"/>
        <v>0</v>
      </c>
      <c r="F1092" s="3428">
        <f t="shared" si="522"/>
        <v>0</v>
      </c>
      <c r="G1092" s="3428">
        <f t="shared" si="522"/>
        <v>0</v>
      </c>
      <c r="H1092" s="3353"/>
      <c r="I1092" s="3353"/>
      <c r="J1092" s="3353"/>
      <c r="K1092" s="3353"/>
      <c r="L1092" s="3353"/>
      <c r="M1092" s="3353"/>
      <c r="N1092" s="3353"/>
      <c r="O1092" s="3353"/>
      <c r="P1092" s="3353"/>
      <c r="Q1092" s="3353"/>
      <c r="R1092" s="3353"/>
      <c r="S1092" s="3353"/>
      <c r="T1092" s="3353"/>
      <c r="U1092" s="3353"/>
      <c r="V1092" s="3353"/>
      <c r="W1092" s="3353"/>
      <c r="X1092" s="3353"/>
      <c r="Y1092" s="3353"/>
      <c r="Z1092" s="3353"/>
      <c r="AA1092" s="3353"/>
      <c r="AB1092" s="3353"/>
      <c r="AC1092" s="3353"/>
      <c r="AD1092" s="3353"/>
      <c r="AE1092" s="3353"/>
      <c r="AF1092" s="3353"/>
      <c r="AG1092" s="3353"/>
      <c r="AH1092" s="3353"/>
      <c r="AI1092" s="3353"/>
      <c r="AJ1092" s="3353"/>
      <c r="AK1092" s="3353"/>
      <c r="AL1092" s="3353"/>
    </row>
    <row r="1093" spans="1:38" s="3309" customFormat="1" x14ac:dyDescent="0.2">
      <c r="A1093" s="3459" t="s">
        <v>3969</v>
      </c>
      <c r="B1093" s="3406">
        <f t="shared" ref="B1093:G1093" si="523">IF(B1092=1,0.9,1)</f>
        <v>1</v>
      </c>
      <c r="C1093" s="3406">
        <f t="shared" si="523"/>
        <v>1</v>
      </c>
      <c r="D1093" s="3406">
        <f t="shared" si="523"/>
        <v>1</v>
      </c>
      <c r="E1093" s="3406">
        <f t="shared" si="523"/>
        <v>1</v>
      </c>
      <c r="F1093" s="3406">
        <f t="shared" si="523"/>
        <v>1</v>
      </c>
      <c r="G1093" s="3406">
        <f t="shared" si="523"/>
        <v>1</v>
      </c>
      <c r="H1093" s="3353"/>
      <c r="I1093" s="3353"/>
      <c r="J1093" s="3353"/>
      <c r="K1093" s="3353"/>
      <c r="L1093" s="3353"/>
      <c r="M1093" s="3353"/>
      <c r="N1093" s="3353"/>
      <c r="O1093" s="3353"/>
      <c r="P1093" s="3353"/>
      <c r="Q1093" s="3353"/>
      <c r="R1093" s="3353"/>
      <c r="S1093" s="3353"/>
      <c r="T1093" s="3353"/>
      <c r="U1093" s="3353"/>
      <c r="V1093" s="3353"/>
      <c r="W1093" s="3353"/>
      <c r="X1093" s="3353"/>
      <c r="Y1093" s="3353"/>
      <c r="Z1093" s="3353"/>
      <c r="AA1093" s="3353"/>
      <c r="AB1093" s="3353"/>
      <c r="AC1093" s="3353"/>
      <c r="AD1093" s="3353"/>
      <c r="AE1093" s="3353"/>
      <c r="AF1093" s="3353"/>
      <c r="AG1093" s="3353"/>
      <c r="AH1093" s="3353"/>
      <c r="AI1093" s="3353"/>
      <c r="AJ1093" s="3353"/>
      <c r="AK1093" s="3353"/>
      <c r="AL1093" s="3353"/>
    </row>
    <row r="1094" spans="1:38" s="3309" customFormat="1" ht="38.25" x14ac:dyDescent="0.2">
      <c r="A1094" s="3606" t="s">
        <v>1335</v>
      </c>
      <c r="B1094" s="3596">
        <v>0</v>
      </c>
      <c r="C1094" s="3596">
        <v>0</v>
      </c>
      <c r="D1094" s="3596">
        <v>0</v>
      </c>
      <c r="E1094" s="3596">
        <v>0</v>
      </c>
      <c r="F1094" s="3596">
        <v>0</v>
      </c>
      <c r="G1094" s="3596">
        <v>0</v>
      </c>
      <c r="H1094" s="3353"/>
      <c r="I1094" s="3353"/>
      <c r="J1094" s="3353"/>
      <c r="K1094" s="3353"/>
      <c r="L1094" s="3353"/>
      <c r="M1094" s="3353"/>
      <c r="N1094" s="3353"/>
      <c r="O1094" s="3353"/>
      <c r="P1094" s="3353"/>
      <c r="Q1094" s="3353"/>
      <c r="R1094" s="3353"/>
      <c r="S1094" s="3353"/>
      <c r="T1094" s="3353"/>
      <c r="U1094" s="3353"/>
      <c r="V1094" s="3353"/>
      <c r="W1094" s="3353"/>
      <c r="X1094" s="3353"/>
      <c r="Y1094" s="3353"/>
      <c r="Z1094" s="3353"/>
      <c r="AA1094" s="3353"/>
      <c r="AB1094" s="3353"/>
      <c r="AC1094" s="3353"/>
      <c r="AD1094" s="3353"/>
      <c r="AE1094" s="3353"/>
      <c r="AF1094" s="3353"/>
      <c r="AG1094" s="3353"/>
      <c r="AH1094" s="3353"/>
      <c r="AI1094" s="3353"/>
      <c r="AJ1094" s="3353"/>
      <c r="AK1094" s="3353"/>
      <c r="AL1094" s="3353"/>
    </row>
    <row r="1095" spans="1:38" s="3309" customFormat="1" x14ac:dyDescent="0.2">
      <c r="A1095" s="3459" t="s">
        <v>1336</v>
      </c>
      <c r="B1095" s="3417">
        <f t="shared" ref="B1095:G1095" si="524">IF(B1094=1,0.95,1)</f>
        <v>1</v>
      </c>
      <c r="C1095" s="3417">
        <f t="shared" si="524"/>
        <v>1</v>
      </c>
      <c r="D1095" s="3417">
        <f t="shared" si="524"/>
        <v>1</v>
      </c>
      <c r="E1095" s="3417">
        <f t="shared" si="524"/>
        <v>1</v>
      </c>
      <c r="F1095" s="3417">
        <f t="shared" si="524"/>
        <v>1</v>
      </c>
      <c r="G1095" s="3417">
        <f t="shared" si="524"/>
        <v>1</v>
      </c>
      <c r="H1095" s="3353"/>
      <c r="I1095" s="3353"/>
      <c r="J1095" s="3353"/>
      <c r="K1095" s="3353"/>
      <c r="L1095" s="3353"/>
      <c r="M1095" s="3353"/>
      <c r="N1095" s="3353"/>
      <c r="O1095" s="3353"/>
      <c r="P1095" s="3353"/>
      <c r="Q1095" s="3353"/>
      <c r="R1095" s="3353"/>
      <c r="S1095" s="3353"/>
      <c r="T1095" s="3353"/>
      <c r="U1095" s="3353"/>
      <c r="V1095" s="3353"/>
      <c r="W1095" s="3353"/>
      <c r="X1095" s="3353"/>
      <c r="Y1095" s="3353"/>
      <c r="Z1095" s="3353"/>
      <c r="AA1095" s="3353"/>
      <c r="AB1095" s="3353"/>
      <c r="AC1095" s="3353"/>
      <c r="AD1095" s="3353"/>
      <c r="AE1095" s="3353"/>
      <c r="AF1095" s="3353"/>
      <c r="AG1095" s="3353"/>
      <c r="AH1095" s="3353"/>
      <c r="AI1095" s="3353"/>
      <c r="AJ1095" s="3353"/>
      <c r="AK1095" s="3353"/>
      <c r="AL1095" s="3353"/>
    </row>
    <row r="1096" spans="1:38" s="3309" customFormat="1" x14ac:dyDescent="0.2">
      <c r="A1096" s="3411" t="s">
        <v>1</v>
      </c>
      <c r="B1096" s="3417" t="e">
        <f t="shared" ref="B1096:G1096" si="525">B1079*B1089*B1091*B1093*B1095*B789</f>
        <v>#VALUE!</v>
      </c>
      <c r="C1096" s="3417" t="e">
        <f t="shared" si="525"/>
        <v>#VALUE!</v>
      </c>
      <c r="D1096" s="3417" t="e">
        <f t="shared" si="525"/>
        <v>#VALUE!</v>
      </c>
      <c r="E1096" s="3417" t="e">
        <f t="shared" si="525"/>
        <v>#VALUE!</v>
      </c>
      <c r="F1096" s="3417" t="e">
        <f t="shared" si="525"/>
        <v>#VALUE!</v>
      </c>
      <c r="G1096" s="3417" t="e">
        <f t="shared" si="525"/>
        <v>#VALUE!</v>
      </c>
      <c r="H1096" s="3353"/>
      <c r="I1096" s="3353"/>
      <c r="J1096" s="3353"/>
      <c r="K1096" s="3353"/>
      <c r="L1096" s="3353"/>
      <c r="M1096" s="3353"/>
      <c r="N1096" s="3353"/>
      <c r="O1096" s="3353"/>
      <c r="P1096" s="3353"/>
      <c r="Q1096" s="3353"/>
      <c r="R1096" s="3353"/>
      <c r="S1096" s="3353"/>
      <c r="T1096" s="3353"/>
      <c r="U1096" s="3353"/>
      <c r="V1096" s="3353"/>
      <c r="W1096" s="3353"/>
      <c r="X1096" s="3353"/>
      <c r="Y1096" s="3353"/>
      <c r="Z1096" s="3353"/>
      <c r="AA1096" s="3353"/>
      <c r="AB1096" s="3353"/>
      <c r="AC1096" s="3353"/>
      <c r="AD1096" s="3353"/>
      <c r="AE1096" s="3353"/>
      <c r="AF1096" s="3353"/>
      <c r="AG1096" s="3353"/>
      <c r="AH1096" s="3353"/>
      <c r="AI1096" s="3353"/>
      <c r="AJ1096" s="3353"/>
      <c r="AK1096" s="3353"/>
      <c r="AL1096" s="3353"/>
    </row>
    <row r="1097" spans="1:38" s="3309" customFormat="1" x14ac:dyDescent="0.2">
      <c r="A1097" s="3401" t="s">
        <v>1794</v>
      </c>
      <c r="B1097" s="3514" t="e">
        <f t="shared" ref="B1097:G1097" si="526">B1077/B1096</f>
        <v>#VALUE!</v>
      </c>
      <c r="C1097" s="3514" t="e">
        <f t="shared" si="526"/>
        <v>#DIV/0!</v>
      </c>
      <c r="D1097" s="3514" t="e">
        <f t="shared" si="526"/>
        <v>#DIV/0!</v>
      </c>
      <c r="E1097" s="3514" t="e">
        <f t="shared" si="526"/>
        <v>#DIV/0!</v>
      </c>
      <c r="F1097" s="3514" t="e">
        <f t="shared" si="526"/>
        <v>#DIV/0!</v>
      </c>
      <c r="G1097" s="3514" t="e">
        <f t="shared" si="526"/>
        <v>#DIV/0!</v>
      </c>
      <c r="H1097" s="3353"/>
      <c r="I1097" s="3353"/>
      <c r="J1097" s="3353"/>
      <c r="K1097" s="3353"/>
      <c r="L1097" s="3353"/>
      <c r="M1097" s="3353"/>
      <c r="N1097" s="3353"/>
      <c r="O1097" s="3353"/>
      <c r="P1097" s="3353"/>
      <c r="Q1097" s="3353"/>
      <c r="R1097" s="3353"/>
      <c r="S1097" s="3353"/>
      <c r="T1097" s="3353"/>
      <c r="U1097" s="3353"/>
      <c r="V1097" s="3353"/>
      <c r="W1097" s="3353"/>
      <c r="X1097" s="3353"/>
      <c r="Y1097" s="3353"/>
      <c r="Z1097" s="3353"/>
      <c r="AA1097" s="3353"/>
      <c r="AB1097" s="3353"/>
      <c r="AC1097" s="3353"/>
      <c r="AD1097" s="3353"/>
      <c r="AE1097" s="3353"/>
      <c r="AF1097" s="3353"/>
      <c r="AG1097" s="3353"/>
      <c r="AH1097" s="3353"/>
      <c r="AI1097" s="3353"/>
      <c r="AJ1097" s="3353"/>
      <c r="AK1097" s="3353"/>
      <c r="AL1097" s="3353"/>
    </row>
    <row r="1098" spans="1:38" s="3309" customFormat="1" x14ac:dyDescent="0.2">
      <c r="A1098" s="3421" t="s">
        <v>1795</v>
      </c>
      <c r="B1098" s="3490">
        <f t="shared" ref="B1098:G1098" si="527">IF(B761=2,B1097,0)</f>
        <v>0</v>
      </c>
      <c r="C1098" s="3490">
        <f t="shared" si="527"/>
        <v>0</v>
      </c>
      <c r="D1098" s="3490">
        <f t="shared" si="527"/>
        <v>0</v>
      </c>
      <c r="E1098" s="3490">
        <f t="shared" si="527"/>
        <v>0</v>
      </c>
      <c r="F1098" s="3490">
        <f t="shared" si="527"/>
        <v>0</v>
      </c>
      <c r="G1098" s="3490">
        <f t="shared" si="527"/>
        <v>0</v>
      </c>
      <c r="H1098" s="3353"/>
      <c r="I1098" s="3353"/>
      <c r="J1098" s="3353"/>
      <c r="K1098" s="3353"/>
      <c r="L1098" s="3353"/>
      <c r="M1098" s="3353"/>
      <c r="N1098" s="3353"/>
      <c r="O1098" s="3353"/>
      <c r="P1098" s="3353"/>
      <c r="Q1098" s="3353"/>
      <c r="R1098" s="3353"/>
      <c r="S1098" s="3353"/>
      <c r="T1098" s="3353"/>
      <c r="U1098" s="3353"/>
      <c r="V1098" s="3353"/>
      <c r="W1098" s="3353"/>
      <c r="X1098" s="3353"/>
      <c r="Y1098" s="3353"/>
      <c r="Z1098" s="3353"/>
      <c r="AA1098" s="3353"/>
      <c r="AB1098" s="3353"/>
      <c r="AC1098" s="3353"/>
      <c r="AD1098" s="3353"/>
      <c r="AE1098" s="3353"/>
      <c r="AF1098" s="3353"/>
      <c r="AG1098" s="3353"/>
      <c r="AH1098" s="3353"/>
      <c r="AI1098" s="3353"/>
      <c r="AJ1098" s="3353"/>
      <c r="AK1098" s="3353"/>
      <c r="AL1098" s="3353"/>
    </row>
    <row r="1099" spans="1:38" s="3309" customFormat="1" x14ac:dyDescent="0.2">
      <c r="A1099" s="3411"/>
      <c r="B1099" s="3468"/>
      <c r="C1099" s="3412"/>
      <c r="D1099" s="3412"/>
      <c r="E1099" s="3412"/>
      <c r="F1099" s="3412"/>
      <c r="G1099" s="3412"/>
      <c r="H1099" s="3353"/>
      <c r="I1099" s="3353"/>
      <c r="J1099" s="3353"/>
      <c r="K1099" s="3353"/>
      <c r="L1099" s="3353"/>
      <c r="M1099" s="3353"/>
      <c r="N1099" s="3353"/>
      <c r="O1099" s="3353"/>
      <c r="P1099" s="3353"/>
      <c r="Q1099" s="3353"/>
      <c r="R1099" s="3353"/>
      <c r="S1099" s="3353"/>
      <c r="T1099" s="3353"/>
      <c r="U1099" s="3353"/>
      <c r="V1099" s="3353"/>
      <c r="W1099" s="3353"/>
      <c r="X1099" s="3353"/>
      <c r="Y1099" s="3353"/>
      <c r="Z1099" s="3353"/>
      <c r="AA1099" s="3353"/>
      <c r="AB1099" s="3353"/>
      <c r="AC1099" s="3353"/>
      <c r="AD1099" s="3353"/>
      <c r="AE1099" s="3353"/>
      <c r="AF1099" s="3353"/>
      <c r="AG1099" s="3353"/>
      <c r="AH1099" s="3353"/>
      <c r="AI1099" s="3353"/>
      <c r="AJ1099" s="3353"/>
      <c r="AK1099" s="3353"/>
      <c r="AL1099" s="3353"/>
    </row>
    <row r="1100" spans="1:38" s="3309" customFormat="1" x14ac:dyDescent="0.2">
      <c r="A1100" s="3401" t="s">
        <v>4352</v>
      </c>
      <c r="B1100" s="3468"/>
      <c r="C1100" s="3412"/>
      <c r="D1100" s="3412"/>
      <c r="E1100" s="3412"/>
      <c r="F1100" s="3412"/>
      <c r="G1100" s="3412"/>
      <c r="H1100" s="3353"/>
      <c r="I1100" s="3353"/>
      <c r="J1100" s="3353"/>
      <c r="K1100" s="3353"/>
      <c r="L1100" s="3353"/>
      <c r="M1100" s="3353"/>
      <c r="N1100" s="3353"/>
      <c r="O1100" s="3353"/>
      <c r="P1100" s="3353"/>
      <c r="Q1100" s="3353"/>
      <c r="R1100" s="3353"/>
      <c r="S1100" s="3353"/>
      <c r="T1100" s="3353"/>
      <c r="U1100" s="3353"/>
      <c r="V1100" s="3353"/>
      <c r="W1100" s="3353"/>
      <c r="X1100" s="3353"/>
      <c r="Y1100" s="3353"/>
      <c r="Z1100" s="3353"/>
      <c r="AA1100" s="3353"/>
      <c r="AB1100" s="3353"/>
      <c r="AC1100" s="3353"/>
      <c r="AD1100" s="3353"/>
      <c r="AE1100" s="3353"/>
      <c r="AF1100" s="3353"/>
      <c r="AG1100" s="3353"/>
      <c r="AH1100" s="3353"/>
      <c r="AI1100" s="3353"/>
      <c r="AJ1100" s="3353"/>
      <c r="AK1100" s="3353"/>
      <c r="AL1100" s="3353"/>
    </row>
    <row r="1101" spans="1:38" s="3309" customFormat="1" x14ac:dyDescent="0.2">
      <c r="A1101" s="3411" t="s">
        <v>2995</v>
      </c>
      <c r="B1101" s="3468" t="e">
        <f t="shared" ref="B1101:G1101" si="528">B735*B736*B739*B746*B748</f>
        <v>#VALUE!</v>
      </c>
      <c r="C1101" s="3468">
        <f t="shared" si="528"/>
        <v>0</v>
      </c>
      <c r="D1101" s="3468">
        <f t="shared" si="528"/>
        <v>0</v>
      </c>
      <c r="E1101" s="3468">
        <f t="shared" si="528"/>
        <v>0</v>
      </c>
      <c r="F1101" s="3468">
        <f t="shared" si="528"/>
        <v>0</v>
      </c>
      <c r="G1101" s="3468">
        <f t="shared" si="528"/>
        <v>0</v>
      </c>
      <c r="H1101" s="3353"/>
      <c r="I1101" s="3353"/>
      <c r="J1101" s="3353"/>
      <c r="K1101" s="3353"/>
      <c r="L1101" s="3353"/>
      <c r="M1101" s="3353"/>
      <c r="N1101" s="3353"/>
      <c r="O1101" s="3353"/>
      <c r="P1101" s="3353"/>
      <c r="Q1101" s="3353"/>
      <c r="R1101" s="3353"/>
      <c r="S1101" s="3353"/>
      <c r="T1101" s="3353"/>
      <c r="U1101" s="3353"/>
      <c r="V1101" s="3353"/>
      <c r="W1101" s="3353"/>
      <c r="X1101" s="3353"/>
      <c r="Y1101" s="3353"/>
      <c r="Z1101" s="3353"/>
      <c r="AA1101" s="3353"/>
      <c r="AB1101" s="3353"/>
      <c r="AC1101" s="3353"/>
      <c r="AD1101" s="3353"/>
      <c r="AE1101" s="3353"/>
      <c r="AF1101" s="3353"/>
      <c r="AG1101" s="3353"/>
      <c r="AH1101" s="3353"/>
      <c r="AI1101" s="3353"/>
      <c r="AJ1101" s="3353"/>
      <c r="AK1101" s="3353"/>
      <c r="AL1101" s="3353"/>
    </row>
    <row r="1102" spans="1:38" s="3309" customFormat="1" x14ac:dyDescent="0.2">
      <c r="A1102" s="3411" t="s">
        <v>4353</v>
      </c>
      <c r="B1102" s="3406">
        <f t="shared" ref="B1102:G1102" si="529">IF(B735&lt;0.61,9.05,IF(B735&lt;0.71,9.93,IF(B735&lt;0.81,10.8,IF(B735&lt;0.91,11.4,IF(B735&lt;1.01,12,IF(B735&lt;1.11,12.5,IF(B735&lt;1.26,13.2,B1103)))))))</f>
        <v>16.5</v>
      </c>
      <c r="C1102" s="3406">
        <f t="shared" si="529"/>
        <v>9.0500000000000007</v>
      </c>
      <c r="D1102" s="3406">
        <f t="shared" si="529"/>
        <v>9.0500000000000007</v>
      </c>
      <c r="E1102" s="3406">
        <f t="shared" si="529"/>
        <v>9.0500000000000007</v>
      </c>
      <c r="F1102" s="3406">
        <f t="shared" si="529"/>
        <v>9.0500000000000007</v>
      </c>
      <c r="G1102" s="3406">
        <f t="shared" si="529"/>
        <v>9.0500000000000007</v>
      </c>
      <c r="H1102" s="3353"/>
      <c r="I1102" s="3353"/>
      <c r="J1102" s="3353"/>
      <c r="K1102" s="3353"/>
      <c r="L1102" s="3353"/>
      <c r="M1102" s="3353"/>
      <c r="N1102" s="3353"/>
      <c r="O1102" s="3353"/>
      <c r="P1102" s="3353"/>
      <c r="Q1102" s="3353"/>
      <c r="R1102" s="3353"/>
      <c r="S1102" s="3353"/>
      <c r="T1102" s="3353"/>
      <c r="U1102" s="3353"/>
      <c r="V1102" s="3353"/>
      <c r="W1102" s="3353"/>
      <c r="X1102" s="3353"/>
      <c r="Y1102" s="3353"/>
      <c r="Z1102" s="3353"/>
      <c r="AA1102" s="3353"/>
      <c r="AB1102" s="3353"/>
      <c r="AC1102" s="3353"/>
      <c r="AD1102" s="3353"/>
      <c r="AE1102" s="3353"/>
      <c r="AF1102" s="3353"/>
      <c r="AG1102" s="3353"/>
      <c r="AH1102" s="3353"/>
      <c r="AI1102" s="3353"/>
      <c r="AJ1102" s="3353"/>
      <c r="AK1102" s="3353"/>
      <c r="AL1102" s="3353"/>
    </row>
    <row r="1103" spans="1:38" s="3309" customFormat="1" x14ac:dyDescent="0.2">
      <c r="A1103" s="3411" t="s">
        <v>4354</v>
      </c>
      <c r="B1103" s="3406">
        <f t="shared" ref="B1103:G1103" si="530">IF(B735&lt;1.41,13.8,IF(B735&lt;1.81,14.7,16.5))</f>
        <v>16.5</v>
      </c>
      <c r="C1103" s="3406">
        <f t="shared" si="530"/>
        <v>13.8</v>
      </c>
      <c r="D1103" s="3406">
        <f t="shared" si="530"/>
        <v>13.8</v>
      </c>
      <c r="E1103" s="3406">
        <f t="shared" si="530"/>
        <v>13.8</v>
      </c>
      <c r="F1103" s="3406">
        <f t="shared" si="530"/>
        <v>13.8</v>
      </c>
      <c r="G1103" s="3406">
        <f t="shared" si="530"/>
        <v>13.8</v>
      </c>
      <c r="H1103" s="3353"/>
      <c r="I1103" s="3353"/>
      <c r="J1103" s="3353"/>
      <c r="K1103" s="3353"/>
      <c r="L1103" s="3353"/>
      <c r="M1103" s="3353"/>
      <c r="N1103" s="3353"/>
      <c r="O1103" s="3353"/>
      <c r="P1103" s="3353"/>
      <c r="Q1103" s="3353"/>
      <c r="R1103" s="3353"/>
      <c r="S1103" s="3353"/>
      <c r="T1103" s="3353"/>
      <c r="U1103" s="3353"/>
      <c r="V1103" s="3353"/>
      <c r="W1103" s="3353"/>
      <c r="X1103" s="3353"/>
      <c r="Y1103" s="3353"/>
      <c r="Z1103" s="3353"/>
      <c r="AA1103" s="3353"/>
      <c r="AB1103" s="3353"/>
      <c r="AC1103" s="3353"/>
      <c r="AD1103" s="3353"/>
      <c r="AE1103" s="3353"/>
      <c r="AF1103" s="3353"/>
      <c r="AG1103" s="3353"/>
      <c r="AH1103" s="3353"/>
      <c r="AI1103" s="3353"/>
      <c r="AJ1103" s="3353"/>
      <c r="AK1103" s="3353"/>
      <c r="AL1103" s="3353"/>
    </row>
    <row r="1104" spans="1:38" s="3309" customFormat="1" x14ac:dyDescent="0.2">
      <c r="A1104" s="3411" t="s">
        <v>1322</v>
      </c>
      <c r="B1104" s="3406"/>
      <c r="C1104" s="3412"/>
      <c r="D1104" s="3412"/>
      <c r="E1104" s="3412"/>
      <c r="F1104" s="3412"/>
      <c r="G1104" s="3412"/>
      <c r="H1104" s="3353"/>
      <c r="I1104" s="3353"/>
      <c r="J1104" s="3353"/>
      <c r="K1104" s="3353"/>
      <c r="L1104" s="3353"/>
      <c r="M1104" s="3353"/>
      <c r="N1104" s="3353"/>
      <c r="O1104" s="3353"/>
      <c r="P1104" s="3353"/>
      <c r="Q1104" s="3353"/>
      <c r="R1104" s="3353"/>
      <c r="S1104" s="3353"/>
      <c r="T1104" s="3353"/>
      <c r="U1104" s="3353"/>
      <c r="V1104" s="3353"/>
      <c r="W1104" s="3353"/>
      <c r="X1104" s="3353"/>
      <c r="Y1104" s="3353"/>
      <c r="Z1104" s="3353"/>
      <c r="AA1104" s="3353"/>
      <c r="AB1104" s="3353"/>
      <c r="AC1104" s="3353"/>
      <c r="AD1104" s="3353"/>
      <c r="AE1104" s="3353"/>
      <c r="AF1104" s="3353"/>
      <c r="AG1104" s="3353"/>
      <c r="AH1104" s="3353"/>
      <c r="AI1104" s="3353"/>
      <c r="AJ1104" s="3353"/>
      <c r="AK1104" s="3353"/>
      <c r="AL1104" s="3353"/>
    </row>
    <row r="1105" spans="1:38" s="3309" customFormat="1" x14ac:dyDescent="0.2">
      <c r="A1105" s="3419" t="s">
        <v>4355</v>
      </c>
      <c r="B1105" s="3406">
        <f t="shared" ref="B1105:G1105" si="531">1.5*B739</f>
        <v>0</v>
      </c>
      <c r="C1105" s="3406">
        <f t="shared" si="531"/>
        <v>0</v>
      </c>
      <c r="D1105" s="3406">
        <f t="shared" si="531"/>
        <v>0</v>
      </c>
      <c r="E1105" s="3406">
        <f t="shared" si="531"/>
        <v>0</v>
      </c>
      <c r="F1105" s="3406">
        <f t="shared" si="531"/>
        <v>0</v>
      </c>
      <c r="G1105" s="3406">
        <f t="shared" si="531"/>
        <v>0</v>
      </c>
      <c r="H1105" s="3353"/>
      <c r="I1105" s="3353"/>
      <c r="J1105" s="3353"/>
      <c r="K1105" s="3353"/>
      <c r="L1105" s="3353"/>
      <c r="M1105" s="3353"/>
      <c r="N1105" s="3353"/>
      <c r="O1105" s="3353"/>
      <c r="P1105" s="3353"/>
      <c r="Q1105" s="3353"/>
      <c r="R1105" s="3353"/>
      <c r="S1105" s="3353"/>
      <c r="T1105" s="3353"/>
      <c r="U1105" s="3353"/>
      <c r="V1105" s="3353"/>
      <c r="W1105" s="3353"/>
      <c r="X1105" s="3353"/>
      <c r="Y1105" s="3353"/>
      <c r="Z1105" s="3353"/>
      <c r="AA1105" s="3353"/>
      <c r="AB1105" s="3353"/>
      <c r="AC1105" s="3353"/>
      <c r="AD1105" s="3353"/>
      <c r="AE1105" s="3353"/>
      <c r="AF1105" s="3353"/>
      <c r="AG1105" s="3353"/>
      <c r="AH1105" s="3353"/>
      <c r="AI1105" s="3353"/>
      <c r="AJ1105" s="3353"/>
      <c r="AK1105" s="3353"/>
      <c r="AL1105" s="3353"/>
    </row>
    <row r="1106" spans="1:38" s="3309" customFormat="1" x14ac:dyDescent="0.2">
      <c r="A1106" s="3411" t="s">
        <v>4356</v>
      </c>
      <c r="B1106" s="3417">
        <f t="shared" ref="B1106:G1106" si="532">IF(B1105&lt;6.1,0.85,0.9)</f>
        <v>0.85</v>
      </c>
      <c r="C1106" s="3417">
        <f t="shared" si="532"/>
        <v>0.85</v>
      </c>
      <c r="D1106" s="3417">
        <f t="shared" si="532"/>
        <v>0.85</v>
      </c>
      <c r="E1106" s="3417">
        <f t="shared" si="532"/>
        <v>0.85</v>
      </c>
      <c r="F1106" s="3417">
        <f t="shared" si="532"/>
        <v>0.85</v>
      </c>
      <c r="G1106" s="3417">
        <f t="shared" si="532"/>
        <v>0.85</v>
      </c>
      <c r="H1106" s="3353"/>
      <c r="I1106" s="3353"/>
      <c r="J1106" s="3353"/>
      <c r="K1106" s="3353"/>
      <c r="L1106" s="3353"/>
      <c r="M1106" s="3353"/>
      <c r="N1106" s="3353"/>
      <c r="O1106" s="3353"/>
      <c r="P1106" s="3353"/>
      <c r="Q1106" s="3353"/>
      <c r="R1106" s="3353"/>
      <c r="S1106" s="3353"/>
      <c r="T1106" s="3353"/>
      <c r="U1106" s="3353"/>
      <c r="V1106" s="3353"/>
      <c r="W1106" s="3353"/>
      <c r="X1106" s="3353"/>
      <c r="Y1106" s="3353"/>
      <c r="Z1106" s="3353"/>
      <c r="AA1106" s="3353"/>
      <c r="AB1106" s="3353"/>
      <c r="AC1106" s="3353"/>
      <c r="AD1106" s="3353"/>
      <c r="AE1106" s="3353"/>
      <c r="AF1106" s="3353"/>
      <c r="AG1106" s="3353"/>
      <c r="AH1106" s="3353"/>
      <c r="AI1106" s="3353"/>
      <c r="AJ1106" s="3353"/>
      <c r="AK1106" s="3353"/>
      <c r="AL1106" s="3353"/>
    </row>
    <row r="1107" spans="1:38" s="3309" customFormat="1" x14ac:dyDescent="0.2">
      <c r="A1107" s="3411" t="s">
        <v>4357</v>
      </c>
      <c r="B1107" s="3417">
        <f t="shared" ref="B1107:G1107" si="533">IF(B757=1,0.9,1)</f>
        <v>1</v>
      </c>
      <c r="C1107" s="3417">
        <f t="shared" si="533"/>
        <v>1</v>
      </c>
      <c r="D1107" s="3417">
        <f t="shared" si="533"/>
        <v>1</v>
      </c>
      <c r="E1107" s="3417">
        <f t="shared" si="533"/>
        <v>1</v>
      </c>
      <c r="F1107" s="3417">
        <f t="shared" si="533"/>
        <v>1</v>
      </c>
      <c r="G1107" s="3417">
        <f t="shared" si="533"/>
        <v>1</v>
      </c>
      <c r="H1107" s="3353"/>
      <c r="I1107" s="3353"/>
      <c r="J1107" s="3353"/>
      <c r="K1107" s="3353"/>
      <c r="L1107" s="3353"/>
      <c r="M1107" s="3353"/>
      <c r="N1107" s="3353"/>
      <c r="O1107" s="3353"/>
      <c r="P1107" s="3353"/>
      <c r="Q1107" s="3353"/>
      <c r="R1107" s="3353"/>
      <c r="S1107" s="3353"/>
      <c r="T1107" s="3353"/>
      <c r="U1107" s="3353"/>
      <c r="V1107" s="3353"/>
      <c r="W1107" s="3353"/>
      <c r="X1107" s="3353"/>
      <c r="Y1107" s="3353"/>
      <c r="Z1107" s="3353"/>
      <c r="AA1107" s="3353"/>
      <c r="AB1107" s="3353"/>
      <c r="AC1107" s="3353"/>
      <c r="AD1107" s="3353"/>
      <c r="AE1107" s="3353"/>
      <c r="AF1107" s="3353"/>
      <c r="AG1107" s="3353"/>
      <c r="AH1107" s="3353"/>
      <c r="AI1107" s="3353"/>
      <c r="AJ1107" s="3353"/>
      <c r="AK1107" s="3353"/>
      <c r="AL1107" s="3353"/>
    </row>
    <row r="1108" spans="1:38" s="3309" customFormat="1" x14ac:dyDescent="0.2">
      <c r="A1108" s="3411" t="s">
        <v>4358</v>
      </c>
      <c r="B1108" s="3515">
        <v>0.7</v>
      </c>
      <c r="C1108" s="3515">
        <v>0.7</v>
      </c>
      <c r="D1108" s="3515">
        <v>0.7</v>
      </c>
      <c r="E1108" s="3515">
        <v>0.7</v>
      </c>
      <c r="F1108" s="3515">
        <v>0.7</v>
      </c>
      <c r="G1108" s="3515">
        <v>0.7</v>
      </c>
      <c r="H1108" s="3353"/>
      <c r="I1108" s="3353"/>
      <c r="J1108" s="3353"/>
      <c r="K1108" s="3353"/>
      <c r="L1108" s="3353"/>
      <c r="M1108" s="3353"/>
      <c r="N1108" s="3353"/>
      <c r="O1108" s="3353"/>
      <c r="P1108" s="3353"/>
      <c r="Q1108" s="3353"/>
      <c r="R1108" s="3353"/>
      <c r="S1108" s="3353"/>
      <c r="T1108" s="3353"/>
      <c r="U1108" s="3353"/>
      <c r="V1108" s="3353"/>
      <c r="W1108" s="3353"/>
      <c r="X1108" s="3353"/>
      <c r="Y1108" s="3353"/>
      <c r="Z1108" s="3353"/>
      <c r="AA1108" s="3353"/>
      <c r="AB1108" s="3353"/>
      <c r="AC1108" s="3353"/>
      <c r="AD1108" s="3353"/>
      <c r="AE1108" s="3353"/>
      <c r="AF1108" s="3353"/>
      <c r="AG1108" s="3353"/>
      <c r="AH1108" s="3353"/>
      <c r="AI1108" s="3353"/>
      <c r="AJ1108" s="3353"/>
      <c r="AK1108" s="3353"/>
      <c r="AL1108" s="3353"/>
    </row>
    <row r="1109" spans="1:38" s="3309" customFormat="1" ht="25.5" x14ac:dyDescent="0.2">
      <c r="A1109" s="3606" t="s">
        <v>4359</v>
      </c>
      <c r="B1109" s="3596">
        <v>0</v>
      </c>
      <c r="C1109" s="3596">
        <v>0</v>
      </c>
      <c r="D1109" s="3596">
        <v>0</v>
      </c>
      <c r="E1109" s="3596">
        <v>0</v>
      </c>
      <c r="F1109" s="3596">
        <v>0</v>
      </c>
      <c r="G1109" s="3596">
        <v>0</v>
      </c>
      <c r="H1109" s="3353"/>
      <c r="I1109" s="3353"/>
      <c r="J1109" s="3353"/>
      <c r="K1109" s="3353"/>
      <c r="L1109" s="3353"/>
      <c r="M1109" s="3353"/>
      <c r="N1109" s="3353"/>
      <c r="O1109" s="3353"/>
      <c r="P1109" s="3353"/>
      <c r="Q1109" s="3353"/>
      <c r="R1109" s="3353"/>
      <c r="S1109" s="3353"/>
      <c r="T1109" s="3353"/>
      <c r="U1109" s="3353"/>
      <c r="V1109" s="3353"/>
      <c r="W1109" s="3353"/>
      <c r="X1109" s="3353"/>
      <c r="Y1109" s="3353"/>
      <c r="Z1109" s="3353"/>
      <c r="AA1109" s="3353"/>
      <c r="AB1109" s="3353"/>
      <c r="AC1109" s="3353"/>
      <c r="AD1109" s="3353"/>
      <c r="AE1109" s="3353"/>
      <c r="AF1109" s="3353"/>
      <c r="AG1109" s="3353"/>
      <c r="AH1109" s="3353"/>
      <c r="AI1109" s="3353"/>
      <c r="AJ1109" s="3353"/>
      <c r="AK1109" s="3353"/>
      <c r="AL1109" s="3353"/>
    </row>
    <row r="1110" spans="1:38" s="3309" customFormat="1" x14ac:dyDescent="0.2">
      <c r="A1110" s="3411" t="s">
        <v>4360</v>
      </c>
      <c r="B1110" s="3417">
        <f t="shared" ref="B1110:G1110" si="534">IF(B1109=0,1.15,1.1)</f>
        <v>1.1499999999999999</v>
      </c>
      <c r="C1110" s="3417">
        <f t="shared" si="534"/>
        <v>1.1499999999999999</v>
      </c>
      <c r="D1110" s="3417">
        <f t="shared" si="534"/>
        <v>1.1499999999999999</v>
      </c>
      <c r="E1110" s="3417">
        <f t="shared" si="534"/>
        <v>1.1499999999999999</v>
      </c>
      <c r="F1110" s="3417">
        <f t="shared" si="534"/>
        <v>1.1499999999999999</v>
      </c>
      <c r="G1110" s="3417">
        <f t="shared" si="534"/>
        <v>1.1499999999999999</v>
      </c>
      <c r="H1110" s="3353"/>
      <c r="I1110" s="3353"/>
      <c r="J1110" s="3353"/>
      <c r="K1110" s="3353"/>
      <c r="L1110" s="3353"/>
      <c r="M1110" s="3353"/>
      <c r="N1110" s="3353"/>
      <c r="O1110" s="3353"/>
      <c r="P1110" s="3353"/>
      <c r="Q1110" s="3353"/>
      <c r="R1110" s="3353"/>
      <c r="S1110" s="3353"/>
      <c r="T1110" s="3353"/>
      <c r="U1110" s="3353"/>
      <c r="V1110" s="3353"/>
      <c r="W1110" s="3353"/>
      <c r="X1110" s="3353"/>
      <c r="Y1110" s="3353"/>
      <c r="Z1110" s="3353"/>
      <c r="AA1110" s="3353"/>
      <c r="AB1110" s="3353"/>
      <c r="AC1110" s="3353"/>
      <c r="AD1110" s="3353"/>
      <c r="AE1110" s="3353"/>
      <c r="AF1110" s="3353"/>
      <c r="AG1110" s="3353"/>
      <c r="AH1110" s="3353"/>
      <c r="AI1110" s="3353"/>
      <c r="AJ1110" s="3353"/>
      <c r="AK1110" s="3353"/>
      <c r="AL1110" s="3353"/>
    </row>
    <row r="1111" spans="1:38" s="3309" customFormat="1" ht="25.5" x14ac:dyDescent="0.2">
      <c r="A1111" s="3440" t="s">
        <v>4361</v>
      </c>
      <c r="B1111" s="3406" t="e">
        <f t="shared" ref="B1111:G1111" si="535">(B754/B735)*100</f>
        <v>#VALUE!</v>
      </c>
      <c r="C1111" s="3406" t="e">
        <f t="shared" si="535"/>
        <v>#DIV/0!</v>
      </c>
      <c r="D1111" s="3406" t="e">
        <f t="shared" si="535"/>
        <v>#DIV/0!</v>
      </c>
      <c r="E1111" s="3406" t="e">
        <f t="shared" si="535"/>
        <v>#DIV/0!</v>
      </c>
      <c r="F1111" s="3406" t="e">
        <f t="shared" si="535"/>
        <v>#DIV/0!</v>
      </c>
      <c r="G1111" s="3406" t="e">
        <f t="shared" si="535"/>
        <v>#DIV/0!</v>
      </c>
      <c r="H1111" s="3353"/>
      <c r="I1111" s="3353"/>
      <c r="J1111" s="3353"/>
      <c r="K1111" s="3353"/>
      <c r="L1111" s="3353"/>
      <c r="M1111" s="3353"/>
      <c r="N1111" s="3353"/>
      <c r="O1111" s="3353"/>
      <c r="P1111" s="3353"/>
      <c r="Q1111" s="3353"/>
      <c r="R1111" s="3353"/>
      <c r="S1111" s="3353"/>
      <c r="T1111" s="3353"/>
      <c r="U1111" s="3353"/>
      <c r="V1111" s="3353"/>
      <c r="W1111" s="3353"/>
      <c r="X1111" s="3353"/>
      <c r="Y1111" s="3353"/>
      <c r="Z1111" s="3353"/>
      <c r="AA1111" s="3353"/>
      <c r="AB1111" s="3353"/>
      <c r="AC1111" s="3353"/>
      <c r="AD1111" s="3353"/>
      <c r="AE1111" s="3353"/>
      <c r="AF1111" s="3353"/>
      <c r="AG1111" s="3353"/>
      <c r="AH1111" s="3353"/>
      <c r="AI1111" s="3353"/>
      <c r="AJ1111" s="3353"/>
      <c r="AK1111" s="3353"/>
      <c r="AL1111" s="3353"/>
    </row>
    <row r="1112" spans="1:38" s="3309" customFormat="1" ht="38.25" x14ac:dyDescent="0.2">
      <c r="A1112" s="3459" t="s">
        <v>4362</v>
      </c>
      <c r="B1112" s="3417" t="e">
        <f t="shared" ref="B1112:G1112" si="536">IF(B1111&lt;10.1,0.9,IF(B1111&lt;20.1,0.8,IF(B1111&lt;30.1,0.7,0.6)))</f>
        <v>#VALUE!</v>
      </c>
      <c r="C1112" s="3417" t="e">
        <f t="shared" si="536"/>
        <v>#DIV/0!</v>
      </c>
      <c r="D1112" s="3417" t="e">
        <f t="shared" si="536"/>
        <v>#DIV/0!</v>
      </c>
      <c r="E1112" s="3417" t="e">
        <f t="shared" si="536"/>
        <v>#DIV/0!</v>
      </c>
      <c r="F1112" s="3417" t="e">
        <f t="shared" si="536"/>
        <v>#DIV/0!</v>
      </c>
      <c r="G1112" s="3417" t="e">
        <f t="shared" si="536"/>
        <v>#DIV/0!</v>
      </c>
      <c r="H1112" s="3353"/>
      <c r="I1112" s="3353"/>
      <c r="J1112" s="3353"/>
      <c r="K1112" s="3353"/>
      <c r="L1112" s="3353"/>
      <c r="M1112" s="3353"/>
      <c r="N1112" s="3353"/>
      <c r="O1112" s="3353"/>
      <c r="P1112" s="3353"/>
      <c r="Q1112" s="3353"/>
      <c r="R1112" s="3353"/>
      <c r="S1112" s="3353"/>
      <c r="T1112" s="3353"/>
      <c r="U1112" s="3353"/>
      <c r="V1112" s="3353"/>
      <c r="W1112" s="3353"/>
      <c r="X1112" s="3353"/>
      <c r="Y1112" s="3353"/>
      <c r="Z1112" s="3353"/>
      <c r="AA1112" s="3353"/>
      <c r="AB1112" s="3353"/>
      <c r="AC1112" s="3353"/>
      <c r="AD1112" s="3353"/>
      <c r="AE1112" s="3353"/>
      <c r="AF1112" s="3353"/>
      <c r="AG1112" s="3353"/>
      <c r="AH1112" s="3353"/>
      <c r="AI1112" s="3353"/>
      <c r="AJ1112" s="3353"/>
      <c r="AK1112" s="3353"/>
      <c r="AL1112" s="3353"/>
    </row>
    <row r="1113" spans="1:38" s="3309" customFormat="1" x14ac:dyDescent="0.2">
      <c r="A1113" s="3411" t="s">
        <v>213</v>
      </c>
      <c r="B1113" s="3417" t="e">
        <f t="shared" ref="B1113:G1113" si="537">B1102*(B1106*B1107*B1108*B1110*B1112*B789)</f>
        <v>#VALUE!</v>
      </c>
      <c r="C1113" s="3417" t="e">
        <f t="shared" si="537"/>
        <v>#DIV/0!</v>
      </c>
      <c r="D1113" s="3417" t="e">
        <f t="shared" si="537"/>
        <v>#DIV/0!</v>
      </c>
      <c r="E1113" s="3417" t="e">
        <f t="shared" si="537"/>
        <v>#DIV/0!</v>
      </c>
      <c r="F1113" s="3417" t="e">
        <f t="shared" si="537"/>
        <v>#DIV/0!</v>
      </c>
      <c r="G1113" s="3417" t="e">
        <f t="shared" si="537"/>
        <v>#DIV/0!</v>
      </c>
      <c r="H1113" s="3353"/>
      <c r="I1113" s="3353"/>
      <c r="J1113" s="3353"/>
      <c r="K1113" s="3353"/>
      <c r="L1113" s="3353"/>
      <c r="M1113" s="3353"/>
      <c r="N1113" s="3353"/>
      <c r="O1113" s="3353"/>
      <c r="P1113" s="3353"/>
      <c r="Q1113" s="3353"/>
      <c r="R1113" s="3353"/>
      <c r="S1113" s="3353"/>
      <c r="T1113" s="3353"/>
      <c r="U1113" s="3353"/>
      <c r="V1113" s="3353"/>
      <c r="W1113" s="3353"/>
      <c r="X1113" s="3353"/>
      <c r="Y1113" s="3353"/>
      <c r="Z1113" s="3353"/>
      <c r="AA1113" s="3353"/>
      <c r="AB1113" s="3353"/>
      <c r="AC1113" s="3353"/>
      <c r="AD1113" s="3353"/>
      <c r="AE1113" s="3353"/>
      <c r="AF1113" s="3353"/>
      <c r="AG1113" s="3353"/>
      <c r="AH1113" s="3353"/>
      <c r="AI1113" s="3353"/>
      <c r="AJ1113" s="3353"/>
      <c r="AK1113" s="3353"/>
      <c r="AL1113" s="3353"/>
    </row>
    <row r="1114" spans="1:38" s="3309" customFormat="1" x14ac:dyDescent="0.2">
      <c r="A1114" s="3401" t="s">
        <v>6463</v>
      </c>
      <c r="B1114" s="3514" t="e">
        <f>B1097+B1101/B1113</f>
        <v>#VALUE!</v>
      </c>
      <c r="C1114" s="3514" t="e">
        <f t="shared" ref="C1114:G1114" si="538">C1101/C1113</f>
        <v>#DIV/0!</v>
      </c>
      <c r="D1114" s="3514" t="e">
        <f t="shared" si="538"/>
        <v>#DIV/0!</v>
      </c>
      <c r="E1114" s="3514" t="e">
        <f t="shared" si="538"/>
        <v>#DIV/0!</v>
      </c>
      <c r="F1114" s="3514" t="e">
        <f t="shared" si="538"/>
        <v>#DIV/0!</v>
      </c>
      <c r="G1114" s="3514" t="e">
        <f t="shared" si="538"/>
        <v>#DIV/0!</v>
      </c>
      <c r="H1114" s="3353"/>
      <c r="I1114" s="3353"/>
      <c r="J1114" s="3353"/>
      <c r="K1114" s="3353"/>
      <c r="L1114" s="3353"/>
      <c r="M1114" s="3353"/>
      <c r="N1114" s="3353"/>
      <c r="O1114" s="3353"/>
      <c r="P1114" s="3353"/>
      <c r="Q1114" s="3353"/>
      <c r="R1114" s="3353"/>
      <c r="S1114" s="3353"/>
      <c r="T1114" s="3353"/>
      <c r="U1114" s="3353"/>
      <c r="V1114" s="3353"/>
      <c r="W1114" s="3353"/>
      <c r="X1114" s="3353"/>
      <c r="Y1114" s="3353"/>
      <c r="Z1114" s="3353"/>
      <c r="AA1114" s="3353"/>
      <c r="AB1114" s="3353"/>
      <c r="AC1114" s="3353"/>
      <c r="AD1114" s="3353"/>
      <c r="AE1114" s="3353"/>
      <c r="AF1114" s="3353"/>
      <c r="AG1114" s="3353"/>
      <c r="AH1114" s="3353"/>
      <c r="AI1114" s="3353"/>
      <c r="AJ1114" s="3353"/>
      <c r="AK1114" s="3353"/>
      <c r="AL1114" s="3353"/>
    </row>
    <row r="1115" spans="1:38" s="3309" customFormat="1" x14ac:dyDescent="0.2">
      <c r="A1115" s="3421" t="s">
        <v>6100</v>
      </c>
      <c r="B1115" s="3490" t="e">
        <f>IF(B761=1,B1073,B1114)</f>
        <v>#VALUE!</v>
      </c>
      <c r="C1115" s="3490" t="e">
        <f t="shared" ref="C1115:G1115" si="539">IF(C761=1,0,C1114)</f>
        <v>#DIV/0!</v>
      </c>
      <c r="D1115" s="3490" t="e">
        <f t="shared" si="539"/>
        <v>#DIV/0!</v>
      </c>
      <c r="E1115" s="3490" t="e">
        <f t="shared" si="539"/>
        <v>#DIV/0!</v>
      </c>
      <c r="F1115" s="3490" t="e">
        <f t="shared" si="539"/>
        <v>#DIV/0!</v>
      </c>
      <c r="G1115" s="3490" t="e">
        <f t="shared" si="539"/>
        <v>#DIV/0!</v>
      </c>
      <c r="H1115" s="3467"/>
      <c r="I1115" s="3353"/>
      <c r="J1115" s="3353"/>
      <c r="K1115" s="3353"/>
      <c r="L1115" s="3353"/>
      <c r="M1115" s="3353"/>
      <c r="N1115" s="3353"/>
      <c r="O1115" s="3353"/>
      <c r="P1115" s="3353"/>
      <c r="Q1115" s="3353"/>
      <c r="R1115" s="3353"/>
      <c r="S1115" s="3353"/>
      <c r="T1115" s="3353"/>
      <c r="U1115" s="3353"/>
      <c r="V1115" s="3353"/>
      <c r="W1115" s="3353"/>
      <c r="X1115" s="3353"/>
      <c r="Y1115" s="3353"/>
      <c r="Z1115" s="3353"/>
      <c r="AA1115" s="3353"/>
      <c r="AB1115" s="3353"/>
      <c r="AC1115" s="3353"/>
      <c r="AD1115" s="3353"/>
      <c r="AE1115" s="3353"/>
      <c r="AF1115" s="3353"/>
      <c r="AG1115" s="3353"/>
      <c r="AH1115" s="3353"/>
      <c r="AI1115" s="3353"/>
      <c r="AJ1115" s="3353"/>
      <c r="AK1115" s="3353"/>
      <c r="AL1115" s="3353"/>
    </row>
    <row r="1116" spans="1:38" s="3309" customFormat="1" x14ac:dyDescent="0.2">
      <c r="H1116" s="3353"/>
      <c r="I1116" s="3353"/>
      <c r="J1116" s="3353"/>
      <c r="K1116" s="3353"/>
      <c r="L1116" s="3353"/>
      <c r="M1116" s="3353"/>
      <c r="N1116" s="3353"/>
      <c r="O1116" s="3353"/>
      <c r="P1116" s="3353"/>
      <c r="Q1116" s="3353"/>
      <c r="R1116" s="3353"/>
      <c r="S1116" s="3353"/>
      <c r="T1116" s="3353"/>
      <c r="U1116" s="3353"/>
      <c r="V1116" s="3353"/>
      <c r="W1116" s="3353"/>
      <c r="X1116" s="3353"/>
      <c r="Y1116" s="3353"/>
      <c r="Z1116" s="3353"/>
      <c r="AA1116" s="3353"/>
      <c r="AB1116" s="3353"/>
      <c r="AC1116" s="3353"/>
      <c r="AD1116" s="3353"/>
      <c r="AE1116" s="3353"/>
      <c r="AF1116" s="3353"/>
      <c r="AG1116" s="3353"/>
      <c r="AH1116" s="3353"/>
      <c r="AI1116" s="3353"/>
      <c r="AJ1116" s="3353"/>
      <c r="AK1116" s="3353"/>
      <c r="AL1116" s="3353"/>
    </row>
    <row r="1117" spans="1:38" s="3309" customFormat="1" x14ac:dyDescent="0.2">
      <c r="H1117" s="3353"/>
      <c r="I1117" s="3353"/>
      <c r="J1117" s="3353"/>
      <c r="K1117" s="3353"/>
      <c r="L1117" s="3353"/>
      <c r="M1117" s="3353"/>
      <c r="N1117" s="3353"/>
      <c r="O1117" s="3353"/>
      <c r="P1117" s="3353"/>
      <c r="Q1117" s="3353"/>
      <c r="R1117" s="3353"/>
      <c r="S1117" s="3353"/>
      <c r="T1117" s="3353"/>
      <c r="U1117" s="3353"/>
      <c r="V1117" s="3353"/>
      <c r="W1117" s="3353"/>
      <c r="X1117" s="3353"/>
      <c r="Y1117" s="3353"/>
      <c r="Z1117" s="3353"/>
      <c r="AA1117" s="3353"/>
      <c r="AB1117" s="3353"/>
      <c r="AC1117" s="3353"/>
      <c r="AD1117" s="3353"/>
      <c r="AE1117" s="3353"/>
      <c r="AF1117" s="3353"/>
      <c r="AG1117" s="3353"/>
      <c r="AH1117" s="3353"/>
      <c r="AI1117" s="3353"/>
      <c r="AJ1117" s="3353"/>
      <c r="AK1117" s="3353"/>
      <c r="AL1117" s="3353"/>
    </row>
    <row r="1118" spans="1:38" s="3309" customFormat="1" x14ac:dyDescent="0.2">
      <c r="A1118" s="3513" t="s">
        <v>6094</v>
      </c>
      <c r="B1118" s="3512"/>
      <c r="C1118" s="3511"/>
      <c r="D1118" s="3511"/>
      <c r="E1118" s="3511"/>
      <c r="F1118" s="3511"/>
      <c r="G1118" s="3511"/>
      <c r="H1118" s="3353"/>
      <c r="I1118" s="3353"/>
      <c r="J1118" s="3605"/>
      <c r="K1118" s="3605"/>
      <c r="L1118" s="3605"/>
      <c r="M1118" s="3353"/>
      <c r="N1118" s="3353"/>
      <c r="O1118" s="3353"/>
      <c r="P1118" s="3353"/>
      <c r="Q1118" s="3353"/>
      <c r="R1118" s="3353"/>
      <c r="S1118" s="3353"/>
      <c r="T1118" s="3353"/>
      <c r="U1118" s="3353"/>
      <c r="V1118" s="3353"/>
      <c r="W1118" s="3353"/>
      <c r="X1118" s="3353"/>
      <c r="Y1118" s="3353"/>
      <c r="Z1118" s="3353"/>
      <c r="AA1118" s="3353"/>
      <c r="AB1118" s="3353"/>
      <c r="AC1118" s="3353"/>
      <c r="AD1118" s="3353"/>
      <c r="AE1118" s="3353"/>
      <c r="AF1118" s="3353"/>
      <c r="AG1118" s="3353"/>
      <c r="AH1118" s="3353"/>
      <c r="AI1118" s="3353"/>
      <c r="AJ1118" s="3353"/>
      <c r="AK1118" s="3353"/>
      <c r="AL1118" s="3353"/>
    </row>
    <row r="1119" spans="1:38" s="3309" customFormat="1" x14ac:dyDescent="0.2">
      <c r="A1119" s="3401" t="s">
        <v>2391</v>
      </c>
      <c r="B1119" s="3379"/>
      <c r="C1119" s="3412"/>
      <c r="D1119" s="3412"/>
      <c r="E1119" s="3412"/>
      <c r="F1119" s="3412"/>
      <c r="G1119" s="3412"/>
      <c r="H1119" s="3353"/>
      <c r="I1119" s="3353"/>
      <c r="J1119" s="3353"/>
      <c r="K1119" s="3353"/>
      <c r="L1119" s="3353"/>
      <c r="M1119" s="3353"/>
      <c r="N1119" s="3353"/>
      <c r="O1119" s="3353"/>
      <c r="P1119" s="3353"/>
      <c r="Q1119" s="3353"/>
      <c r="R1119" s="3353"/>
      <c r="S1119" s="3353"/>
      <c r="T1119" s="3353"/>
      <c r="U1119" s="3353"/>
      <c r="V1119" s="3353"/>
      <c r="W1119" s="3353"/>
      <c r="X1119" s="3353"/>
      <c r="Y1119" s="3353"/>
      <c r="Z1119" s="3353"/>
      <c r="AA1119" s="3353"/>
      <c r="AB1119" s="3353"/>
      <c r="AC1119" s="3353"/>
      <c r="AD1119" s="3353"/>
      <c r="AE1119" s="3353"/>
      <c r="AF1119" s="3353"/>
      <c r="AG1119" s="3353"/>
      <c r="AH1119" s="3353"/>
      <c r="AI1119" s="3353"/>
      <c r="AJ1119" s="3353"/>
      <c r="AK1119" s="3353"/>
      <c r="AL1119" s="3353"/>
    </row>
    <row r="1120" spans="1:38" s="3309" customFormat="1" x14ac:dyDescent="0.2">
      <c r="A1120" s="3411" t="s">
        <v>4144</v>
      </c>
      <c r="B1120" s="3424">
        <f t="shared" ref="B1120:G1120" si="540">IF(B153=0,0,IF(AND(B153&gt;0,B151=1),0,2*B736/B770))</f>
        <v>0</v>
      </c>
      <c r="C1120" s="3424">
        <f t="shared" si="540"/>
        <v>0</v>
      </c>
      <c r="D1120" s="3424">
        <f t="shared" si="540"/>
        <v>0</v>
      </c>
      <c r="E1120" s="3424">
        <f t="shared" si="540"/>
        <v>0</v>
      </c>
      <c r="F1120" s="3424">
        <f t="shared" si="540"/>
        <v>0</v>
      </c>
      <c r="G1120" s="3424">
        <f t="shared" si="540"/>
        <v>0</v>
      </c>
      <c r="H1120" s="3353"/>
      <c r="I1120" s="3353"/>
      <c r="J1120" s="3353"/>
      <c r="K1120" s="3353"/>
      <c r="L1120" s="3353"/>
      <c r="M1120" s="3353"/>
      <c r="N1120" s="3353"/>
      <c r="O1120" s="3353"/>
      <c r="P1120" s="3353"/>
      <c r="Q1120" s="3353"/>
      <c r="R1120" s="3353"/>
      <c r="S1120" s="3353"/>
      <c r="T1120" s="3353"/>
      <c r="U1120" s="3353"/>
      <c r="V1120" s="3353"/>
      <c r="W1120" s="3353"/>
      <c r="X1120" s="3353"/>
      <c r="Y1120" s="3353"/>
      <c r="Z1120" s="3353"/>
      <c r="AA1120" s="3353"/>
      <c r="AB1120" s="3353"/>
      <c r="AC1120" s="3353"/>
      <c r="AD1120" s="3353"/>
      <c r="AE1120" s="3353"/>
      <c r="AF1120" s="3353"/>
      <c r="AG1120" s="3353"/>
      <c r="AH1120" s="3353"/>
      <c r="AI1120" s="3353"/>
      <c r="AJ1120" s="3353"/>
      <c r="AK1120" s="3353"/>
      <c r="AL1120" s="3353"/>
    </row>
    <row r="1121" spans="1:38" s="3309" customFormat="1" x14ac:dyDescent="0.2">
      <c r="A1121" s="3411" t="s">
        <v>6163</v>
      </c>
      <c r="B1121" s="3491">
        <v>12.8</v>
      </c>
      <c r="C1121" s="3491">
        <v>12.8</v>
      </c>
      <c r="D1121" s="3491">
        <v>12.8</v>
      </c>
      <c r="E1121" s="3491">
        <v>12.8</v>
      </c>
      <c r="F1121" s="3491">
        <v>12.8</v>
      </c>
      <c r="G1121" s="3491">
        <v>12.8</v>
      </c>
      <c r="H1121" s="3353"/>
      <c r="I1121" s="3353"/>
      <c r="J1121" s="3353"/>
      <c r="K1121" s="3353"/>
      <c r="L1121" s="3353"/>
      <c r="M1121" s="3353"/>
      <c r="N1121" s="3353"/>
      <c r="O1121" s="3353"/>
      <c r="P1121" s="3353"/>
      <c r="Q1121" s="3353"/>
      <c r="R1121" s="3353"/>
      <c r="S1121" s="3353"/>
      <c r="T1121" s="3353"/>
      <c r="U1121" s="3353"/>
      <c r="V1121" s="3353"/>
      <c r="W1121" s="3353"/>
      <c r="X1121" s="3353"/>
      <c r="Y1121" s="3353"/>
      <c r="Z1121" s="3353"/>
      <c r="AA1121" s="3353"/>
      <c r="AB1121" s="3353"/>
      <c r="AC1121" s="3353"/>
      <c r="AD1121" s="3353"/>
      <c r="AE1121" s="3353"/>
      <c r="AF1121" s="3353"/>
      <c r="AG1121" s="3353"/>
      <c r="AH1121" s="3353"/>
      <c r="AI1121" s="3353"/>
      <c r="AJ1121" s="3353"/>
      <c r="AK1121" s="3353"/>
      <c r="AL1121" s="3353"/>
    </row>
    <row r="1122" spans="1:38" s="3309" customFormat="1" x14ac:dyDescent="0.2">
      <c r="A1122" s="3411" t="s">
        <v>6162</v>
      </c>
      <c r="B1122" s="3491" t="e">
        <f t="shared" ref="B1122:G1122" si="541">B1121*B789</f>
        <v>#VALUE!</v>
      </c>
      <c r="C1122" s="3491" t="e">
        <f t="shared" si="541"/>
        <v>#VALUE!</v>
      </c>
      <c r="D1122" s="3491" t="e">
        <f t="shared" si="541"/>
        <v>#VALUE!</v>
      </c>
      <c r="E1122" s="3491" t="e">
        <f t="shared" si="541"/>
        <v>#VALUE!</v>
      </c>
      <c r="F1122" s="3491" t="e">
        <f t="shared" si="541"/>
        <v>#VALUE!</v>
      </c>
      <c r="G1122" s="3491" t="e">
        <f t="shared" si="541"/>
        <v>#VALUE!</v>
      </c>
      <c r="H1122" s="3353"/>
      <c r="I1122" s="3353"/>
      <c r="J1122" s="3353"/>
      <c r="K1122" s="3353"/>
      <c r="L1122" s="3353"/>
      <c r="M1122" s="3353"/>
      <c r="N1122" s="3353"/>
      <c r="O1122" s="3353"/>
      <c r="P1122" s="3353"/>
      <c r="Q1122" s="3353"/>
      <c r="R1122" s="3353"/>
      <c r="S1122" s="3353"/>
      <c r="T1122" s="3353"/>
      <c r="U1122" s="3353"/>
      <c r="V1122" s="3353"/>
      <c r="W1122" s="3353"/>
      <c r="X1122" s="3353"/>
      <c r="Y1122" s="3353"/>
      <c r="Z1122" s="3353"/>
      <c r="AA1122" s="3353"/>
      <c r="AB1122" s="3353"/>
      <c r="AC1122" s="3353"/>
      <c r="AD1122" s="3353"/>
      <c r="AE1122" s="3353"/>
      <c r="AF1122" s="3353"/>
      <c r="AG1122" s="3353"/>
      <c r="AH1122" s="3353"/>
      <c r="AI1122" s="3353"/>
      <c r="AJ1122" s="3353"/>
      <c r="AK1122" s="3353"/>
      <c r="AL1122" s="3353"/>
    </row>
    <row r="1123" spans="1:38" s="3309" customFormat="1" x14ac:dyDescent="0.2">
      <c r="A1123" s="3421" t="s">
        <v>429</v>
      </c>
      <c r="B1123" s="3492">
        <f>IF(B738&gt;0,(B1120/B1122),0)</f>
        <v>0</v>
      </c>
      <c r="C1123" s="3492">
        <f t="shared" ref="C1123:G1123" si="542">IF(C738&gt;0,C1120/C1122,0)</f>
        <v>0</v>
      </c>
      <c r="D1123" s="3492">
        <f t="shared" si="542"/>
        <v>0</v>
      </c>
      <c r="E1123" s="3492">
        <f t="shared" si="542"/>
        <v>0</v>
      </c>
      <c r="F1123" s="3492">
        <f t="shared" si="542"/>
        <v>0</v>
      </c>
      <c r="G1123" s="3492">
        <f t="shared" si="542"/>
        <v>0</v>
      </c>
      <c r="H1123" s="3605"/>
      <c r="I1123" s="3353"/>
      <c r="J1123" s="3353"/>
      <c r="K1123" s="3353"/>
      <c r="L1123" s="3353"/>
      <c r="M1123" s="3353"/>
      <c r="N1123" s="3353"/>
      <c r="O1123" s="3353"/>
      <c r="P1123" s="3353"/>
      <c r="Q1123" s="3353"/>
      <c r="R1123" s="3353"/>
      <c r="S1123" s="3353"/>
      <c r="T1123" s="3353"/>
      <c r="U1123" s="3353"/>
      <c r="V1123" s="3353"/>
      <c r="W1123" s="3353"/>
      <c r="X1123" s="3353"/>
      <c r="Y1123" s="3353"/>
      <c r="Z1123" s="3353"/>
      <c r="AA1123" s="3353"/>
      <c r="AB1123" s="3353"/>
      <c r="AC1123" s="3353"/>
      <c r="AD1123" s="3353"/>
      <c r="AE1123" s="3353"/>
      <c r="AF1123" s="3353"/>
      <c r="AG1123" s="3353"/>
      <c r="AH1123" s="3353"/>
      <c r="AI1123" s="3353"/>
      <c r="AJ1123" s="3353"/>
      <c r="AK1123" s="3353"/>
      <c r="AL1123" s="3353"/>
    </row>
    <row r="1124" spans="1:38" s="3309" customFormat="1" ht="15.75" x14ac:dyDescent="0.25">
      <c r="A1124" s="3510" t="s">
        <v>6099</v>
      </c>
      <c r="B1124" s="3494"/>
      <c r="C1124" s="3493"/>
      <c r="D1124" s="3493"/>
      <c r="E1124" s="3493"/>
      <c r="F1124" s="3493"/>
      <c r="G1124" s="3493"/>
      <c r="H1124" s="3353"/>
      <c r="I1124" s="3353"/>
      <c r="J1124" s="3353"/>
      <c r="K1124" s="3353"/>
      <c r="L1124" s="3353"/>
      <c r="M1124" s="3353"/>
      <c r="N1124" s="3353"/>
      <c r="O1124" s="3353"/>
      <c r="P1124" s="3353"/>
      <c r="Q1124" s="3353"/>
      <c r="R1124" s="3353"/>
      <c r="S1124" s="3353"/>
      <c r="T1124" s="3353"/>
      <c r="U1124" s="3353"/>
      <c r="V1124" s="3353"/>
      <c r="W1124" s="3353"/>
      <c r="X1124" s="3353"/>
      <c r="Y1124" s="3353"/>
      <c r="Z1124" s="3353"/>
      <c r="AA1124" s="3353"/>
      <c r="AB1124" s="3353"/>
      <c r="AC1124" s="3353"/>
      <c r="AD1124" s="3353"/>
      <c r="AE1124" s="3353"/>
      <c r="AF1124" s="3353"/>
      <c r="AG1124" s="3353"/>
      <c r="AH1124" s="3353"/>
      <c r="AI1124" s="3353"/>
      <c r="AJ1124" s="3353"/>
      <c r="AK1124" s="3353"/>
      <c r="AL1124" s="3353"/>
    </row>
    <row r="1125" spans="1:38" s="3309" customFormat="1" ht="15.75" x14ac:dyDescent="0.25">
      <c r="A1125" s="3432" t="s">
        <v>5171</v>
      </c>
      <c r="B1125" s="3599">
        <f>B736/B770</f>
        <v>0</v>
      </c>
      <c r="C1125" s="3599">
        <f t="shared" ref="C1125:G1125" si="543">IF(C151=0,0,C736/C770)</f>
        <v>0</v>
      </c>
      <c r="D1125" s="3599">
        <f t="shared" si="543"/>
        <v>0</v>
      </c>
      <c r="E1125" s="3599">
        <f t="shared" si="543"/>
        <v>0</v>
      </c>
      <c r="F1125" s="3599">
        <f t="shared" si="543"/>
        <v>0</v>
      </c>
      <c r="G1125" s="3599">
        <f t="shared" si="543"/>
        <v>0</v>
      </c>
      <c r="H1125" s="3353"/>
      <c r="I1125" s="3353"/>
      <c r="J1125" s="3353"/>
      <c r="K1125" s="3353"/>
      <c r="L1125" s="3353"/>
      <c r="M1125" s="3353"/>
      <c r="N1125" s="3353"/>
      <c r="O1125" s="3353"/>
      <c r="P1125" s="3353"/>
      <c r="Q1125" s="3353"/>
      <c r="R1125" s="3353"/>
      <c r="S1125" s="3353"/>
      <c r="T1125" s="3353"/>
      <c r="U1125" s="3353"/>
      <c r="V1125" s="3353"/>
      <c r="W1125" s="3353"/>
      <c r="X1125" s="3353"/>
      <c r="Y1125" s="3353"/>
      <c r="Z1125" s="3353"/>
      <c r="AA1125" s="3353"/>
      <c r="AB1125" s="3353"/>
      <c r="AC1125" s="3353"/>
      <c r="AD1125" s="3353"/>
      <c r="AE1125" s="3353"/>
      <c r="AF1125" s="3353"/>
      <c r="AG1125" s="3353"/>
      <c r="AH1125" s="3353"/>
      <c r="AI1125" s="3353"/>
      <c r="AJ1125" s="3353"/>
      <c r="AK1125" s="3353"/>
      <c r="AL1125" s="3353"/>
    </row>
    <row r="1126" spans="1:38" s="3309" customFormat="1" ht="47.25" x14ac:dyDescent="0.25">
      <c r="A1126" s="3604" t="s">
        <v>3196</v>
      </c>
      <c r="B1126" s="3603">
        <v>1</v>
      </c>
      <c r="C1126" s="3603">
        <v>1</v>
      </c>
      <c r="D1126" s="3603">
        <v>1</v>
      </c>
      <c r="E1126" s="3603">
        <v>1</v>
      </c>
      <c r="F1126" s="3603">
        <v>1</v>
      </c>
      <c r="G1126" s="3603">
        <v>1</v>
      </c>
      <c r="H1126" s="3353"/>
      <c r="I1126" s="3353"/>
      <c r="J1126" s="3353"/>
      <c r="K1126" s="3353"/>
      <c r="L1126" s="3353"/>
      <c r="M1126" s="3353"/>
      <c r="N1126" s="3353"/>
      <c r="O1126" s="3353"/>
      <c r="P1126" s="3353"/>
      <c r="Q1126" s="3353"/>
      <c r="R1126" s="3353"/>
      <c r="S1126" s="3353"/>
      <c r="T1126" s="3353"/>
      <c r="U1126" s="3353"/>
      <c r="V1126" s="3353"/>
      <c r="W1126" s="3353"/>
      <c r="X1126" s="3353"/>
      <c r="Y1126" s="3353"/>
      <c r="Z1126" s="3353"/>
      <c r="AA1126" s="3353"/>
      <c r="AB1126" s="3353"/>
      <c r="AC1126" s="3353"/>
      <c r="AD1126" s="3353"/>
      <c r="AE1126" s="3353"/>
      <c r="AF1126" s="3353"/>
      <c r="AG1126" s="3353"/>
      <c r="AH1126" s="3353"/>
      <c r="AI1126" s="3353"/>
      <c r="AJ1126" s="3353"/>
      <c r="AK1126" s="3353"/>
      <c r="AL1126" s="3353"/>
    </row>
    <row r="1127" spans="1:38" s="3309" customFormat="1" ht="15.75" x14ac:dyDescent="0.25">
      <c r="A1127" s="3432" t="s">
        <v>425</v>
      </c>
      <c r="B1127" s="3599">
        <f t="shared" ref="B1127:G1127" si="544">IF(B1126&lt;2,B1130,IF(B1126&lt;3,B1129,B1131))</f>
        <v>8.68</v>
      </c>
      <c r="C1127" s="3599">
        <f t="shared" si="544"/>
        <v>8.68</v>
      </c>
      <c r="D1127" s="3599">
        <f t="shared" si="544"/>
        <v>8.68</v>
      </c>
      <c r="E1127" s="3599">
        <f t="shared" si="544"/>
        <v>8.68</v>
      </c>
      <c r="F1127" s="3599">
        <f t="shared" si="544"/>
        <v>8.68</v>
      </c>
      <c r="G1127" s="3599">
        <f t="shared" si="544"/>
        <v>8.68</v>
      </c>
      <c r="H1127" s="3353"/>
      <c r="I1127" s="3353"/>
      <c r="J1127" s="3353"/>
      <c r="K1127" s="3353"/>
      <c r="L1127" s="3353"/>
      <c r="M1127" s="3353"/>
      <c r="N1127" s="3353"/>
      <c r="O1127" s="3353"/>
      <c r="P1127" s="3353"/>
      <c r="Q1127" s="3353"/>
      <c r="R1127" s="3353"/>
      <c r="S1127" s="3353"/>
      <c r="T1127" s="3353"/>
      <c r="U1127" s="3353"/>
      <c r="V1127" s="3353"/>
      <c r="W1127" s="3353"/>
      <c r="X1127" s="3353"/>
      <c r="Y1127" s="3353"/>
      <c r="Z1127" s="3353"/>
      <c r="AA1127" s="3353"/>
      <c r="AB1127" s="3353"/>
      <c r="AC1127" s="3353"/>
      <c r="AD1127" s="3353"/>
      <c r="AE1127" s="3353"/>
      <c r="AF1127" s="3353"/>
      <c r="AG1127" s="3353"/>
      <c r="AH1127" s="3353"/>
      <c r="AI1127" s="3353"/>
      <c r="AJ1127" s="3353"/>
      <c r="AK1127" s="3353"/>
      <c r="AL1127" s="3353"/>
    </row>
    <row r="1128" spans="1:38" s="3309" customFormat="1" ht="15.75" x14ac:dyDescent="0.25">
      <c r="A1128" s="3602" t="s">
        <v>3001</v>
      </c>
      <c r="B1128" s="3597"/>
      <c r="C1128" s="3597"/>
      <c r="D1128" s="3597"/>
      <c r="E1128" s="3597"/>
      <c r="F1128" s="3597"/>
      <c r="G1128" s="3597"/>
      <c r="H1128" s="3353"/>
      <c r="I1128" s="3353"/>
      <c r="J1128" s="3353"/>
      <c r="K1128" s="3353"/>
      <c r="L1128" s="3353"/>
      <c r="M1128" s="3353"/>
      <c r="N1128" s="3353"/>
      <c r="O1128" s="3353"/>
      <c r="P1128" s="3353"/>
      <c r="Q1128" s="3353"/>
      <c r="R1128" s="3353"/>
      <c r="S1128" s="3353"/>
      <c r="T1128" s="3353"/>
      <c r="U1128" s="3353"/>
      <c r="V1128" s="3353"/>
      <c r="W1128" s="3353"/>
      <c r="X1128" s="3353"/>
      <c r="Y1128" s="3353"/>
      <c r="Z1128" s="3353"/>
      <c r="AA1128" s="3353"/>
      <c r="AB1128" s="3353"/>
      <c r="AC1128" s="3353"/>
      <c r="AD1128" s="3353"/>
      <c r="AE1128" s="3353"/>
      <c r="AF1128" s="3353"/>
      <c r="AG1128" s="3353"/>
      <c r="AH1128" s="3353"/>
      <c r="AI1128" s="3353"/>
      <c r="AJ1128" s="3353"/>
      <c r="AK1128" s="3353"/>
      <c r="AL1128" s="3353"/>
    </row>
    <row r="1129" spans="1:38" s="3309" customFormat="1" ht="15.75" x14ac:dyDescent="0.25">
      <c r="A1129" s="3432" t="s">
        <v>5112</v>
      </c>
      <c r="B1129" s="3599">
        <f t="shared" ref="B1129:G1129" si="545">IF(B774&lt;6.01,11.5,IF(B774&lt;8.01,9.41,IF(B774&lt;10.01,7.87,IF(B774&lt;12.01,6.5,IF(B774&lt;14.01,5.66,IF(B774&lt;16.01,4.84,IF(B774&lt;18.01,4.08,3.5)))))))</f>
        <v>11.5</v>
      </c>
      <c r="C1129" s="3599">
        <f t="shared" si="545"/>
        <v>11.5</v>
      </c>
      <c r="D1129" s="3599">
        <f t="shared" si="545"/>
        <v>11.5</v>
      </c>
      <c r="E1129" s="3599">
        <f t="shared" si="545"/>
        <v>11.5</v>
      </c>
      <c r="F1129" s="3599">
        <f t="shared" si="545"/>
        <v>11.5</v>
      </c>
      <c r="G1129" s="3599">
        <f t="shared" si="545"/>
        <v>11.5</v>
      </c>
      <c r="H1129" s="3353"/>
      <c r="I1129" s="3353"/>
      <c r="J1129" s="3353"/>
      <c r="K1129" s="3353"/>
      <c r="L1129" s="3353"/>
      <c r="M1129" s="3353"/>
      <c r="N1129" s="3353"/>
      <c r="O1129" s="3353"/>
      <c r="P1129" s="3353"/>
      <c r="Q1129" s="3353"/>
      <c r="R1129" s="3353"/>
      <c r="S1129" s="3353"/>
      <c r="T1129" s="3353"/>
      <c r="U1129" s="3353"/>
      <c r="V1129" s="3353"/>
      <c r="W1129" s="3353"/>
      <c r="X1129" s="3353"/>
      <c r="Y1129" s="3353"/>
      <c r="Z1129" s="3353"/>
      <c r="AA1129" s="3353"/>
      <c r="AB1129" s="3353"/>
      <c r="AC1129" s="3353"/>
      <c r="AD1129" s="3353"/>
      <c r="AE1129" s="3353"/>
      <c r="AF1129" s="3353"/>
      <c r="AG1129" s="3353"/>
      <c r="AH1129" s="3353"/>
      <c r="AI1129" s="3353"/>
      <c r="AJ1129" s="3353"/>
      <c r="AK1129" s="3353"/>
      <c r="AL1129" s="3353"/>
    </row>
    <row r="1130" spans="1:38" s="3309" customFormat="1" ht="15.75" x14ac:dyDescent="0.25">
      <c r="A1130" s="3432" t="s">
        <v>5113</v>
      </c>
      <c r="B1130" s="3599">
        <f t="shared" ref="B1130:G1130" si="546">IF(B774&lt;6.01,8.68,IF(B774&lt;8.01,7.4,IF(B774&lt;10.01,6.28,IF(B774&lt;12.01,5.38,IF(B774&lt;14.01,4.7,IF(B774&lt;16.01,4.24,IF(B774&lt;18.01,3.71,3.37)))))))</f>
        <v>8.68</v>
      </c>
      <c r="C1130" s="3599">
        <f t="shared" si="546"/>
        <v>8.68</v>
      </c>
      <c r="D1130" s="3599">
        <f t="shared" si="546"/>
        <v>8.68</v>
      </c>
      <c r="E1130" s="3599">
        <f t="shared" si="546"/>
        <v>8.68</v>
      </c>
      <c r="F1130" s="3599">
        <f t="shared" si="546"/>
        <v>8.68</v>
      </c>
      <c r="G1130" s="3599">
        <f t="shared" si="546"/>
        <v>8.68</v>
      </c>
      <c r="H1130" s="3353"/>
      <c r="I1130" s="3353"/>
      <c r="J1130" s="3353"/>
      <c r="K1130" s="3353"/>
      <c r="L1130" s="3353"/>
      <c r="M1130" s="3353"/>
      <c r="N1130" s="3353"/>
      <c r="O1130" s="3353"/>
      <c r="P1130" s="3353"/>
      <c r="Q1130" s="3353"/>
      <c r="R1130" s="3353"/>
      <c r="S1130" s="3353"/>
      <c r="T1130" s="3353"/>
      <c r="U1130" s="3353"/>
      <c r="V1130" s="3353"/>
      <c r="W1130" s="3353"/>
      <c r="X1130" s="3353"/>
      <c r="Y1130" s="3353"/>
      <c r="Z1130" s="3353"/>
      <c r="AA1130" s="3353"/>
      <c r="AB1130" s="3353"/>
      <c r="AC1130" s="3353"/>
      <c r="AD1130" s="3353"/>
      <c r="AE1130" s="3353"/>
      <c r="AF1130" s="3353"/>
      <c r="AG1130" s="3353"/>
      <c r="AH1130" s="3353"/>
      <c r="AI1130" s="3353"/>
      <c r="AJ1130" s="3353"/>
      <c r="AK1130" s="3353"/>
      <c r="AL1130" s="3353"/>
    </row>
    <row r="1131" spans="1:38" s="3309" customFormat="1" ht="15.75" x14ac:dyDescent="0.25">
      <c r="A1131" s="3432" t="s">
        <v>5114</v>
      </c>
      <c r="B1131" s="3599">
        <f t="shared" ref="B1131:G1131" si="547">IF(B774&lt;6.01,6.32,IF(B774&lt;8.01,5.69,IF(B774&lt;10.01,4.97,IF(B774&lt;12.01,4.34,IF(B774&lt;14.01,3.97,IF(B774&lt;16.01,3.62,IF(B774&lt;18.01,3.29,2.98)))))))</f>
        <v>6.32</v>
      </c>
      <c r="C1131" s="3599">
        <f t="shared" si="547"/>
        <v>6.32</v>
      </c>
      <c r="D1131" s="3599">
        <f t="shared" si="547"/>
        <v>6.32</v>
      </c>
      <c r="E1131" s="3599">
        <f t="shared" si="547"/>
        <v>6.32</v>
      </c>
      <c r="F1131" s="3599">
        <f t="shared" si="547"/>
        <v>6.32</v>
      </c>
      <c r="G1131" s="3599">
        <f t="shared" si="547"/>
        <v>6.32</v>
      </c>
      <c r="H1131" s="3353"/>
      <c r="I1131" s="3353"/>
      <c r="J1131" s="3353"/>
      <c r="K1131" s="3353"/>
      <c r="L1131" s="3353"/>
      <c r="M1131" s="3353"/>
      <c r="N1131" s="3353"/>
      <c r="O1131" s="3353"/>
      <c r="P1131" s="3353"/>
      <c r="Q1131" s="3353"/>
      <c r="R1131" s="3353"/>
      <c r="S1131" s="3353"/>
      <c r="T1131" s="3353"/>
      <c r="U1131" s="3353"/>
      <c r="V1131" s="3353"/>
      <c r="W1131" s="3353"/>
      <c r="X1131" s="3353"/>
      <c r="Y1131" s="3353"/>
      <c r="Z1131" s="3353"/>
      <c r="AA1131" s="3353"/>
      <c r="AB1131" s="3353"/>
      <c r="AC1131" s="3353"/>
      <c r="AD1131" s="3353"/>
      <c r="AE1131" s="3353"/>
      <c r="AF1131" s="3353"/>
      <c r="AG1131" s="3353"/>
      <c r="AH1131" s="3353"/>
      <c r="AI1131" s="3353"/>
      <c r="AJ1131" s="3353"/>
      <c r="AK1131" s="3353"/>
      <c r="AL1131" s="3353"/>
    </row>
    <row r="1132" spans="1:38" s="3309" customFormat="1" ht="31.5" x14ac:dyDescent="0.25">
      <c r="A1132" s="3600" t="s">
        <v>3427</v>
      </c>
      <c r="B1132" s="3597"/>
      <c r="C1132" s="3597"/>
      <c r="D1132" s="3597"/>
      <c r="E1132" s="3597"/>
      <c r="F1132" s="3597"/>
      <c r="G1132" s="3597"/>
      <c r="H1132" s="3353"/>
      <c r="I1132" s="3353"/>
      <c r="J1132" s="3353"/>
      <c r="K1132" s="3353"/>
      <c r="L1132" s="3353"/>
      <c r="M1132" s="3353"/>
      <c r="N1132" s="3353"/>
      <c r="O1132" s="3353"/>
      <c r="P1132" s="3353"/>
      <c r="Q1132" s="3353"/>
      <c r="R1132" s="3353"/>
      <c r="S1132" s="3353"/>
      <c r="T1132" s="3353"/>
      <c r="U1132" s="3353"/>
      <c r="V1132" s="3353"/>
      <c r="W1132" s="3353"/>
      <c r="X1132" s="3353"/>
      <c r="Y1132" s="3353"/>
      <c r="Z1132" s="3353"/>
      <c r="AA1132" s="3353"/>
      <c r="AB1132" s="3353"/>
      <c r="AC1132" s="3353"/>
      <c r="AD1132" s="3353"/>
      <c r="AE1132" s="3353"/>
      <c r="AF1132" s="3353"/>
      <c r="AG1132" s="3353"/>
      <c r="AH1132" s="3353"/>
      <c r="AI1132" s="3353"/>
      <c r="AJ1132" s="3353"/>
      <c r="AK1132" s="3353"/>
      <c r="AL1132" s="3353"/>
    </row>
    <row r="1133" spans="1:38" s="3309" customFormat="1" ht="15.75" x14ac:dyDescent="0.25">
      <c r="A1133" s="3602" t="s">
        <v>3195</v>
      </c>
      <c r="B1133" s="3601">
        <f t="shared" ref="B1133:G1133" si="548">B161</f>
        <v>0</v>
      </c>
      <c r="C1133" s="3601">
        <f t="shared" si="548"/>
        <v>0</v>
      </c>
      <c r="D1133" s="3601">
        <f t="shared" si="548"/>
        <v>0</v>
      </c>
      <c r="E1133" s="3601">
        <f t="shared" si="548"/>
        <v>0</v>
      </c>
      <c r="F1133" s="3601">
        <f t="shared" si="548"/>
        <v>0</v>
      </c>
      <c r="G1133" s="3601">
        <f t="shared" si="548"/>
        <v>0</v>
      </c>
      <c r="H1133" s="3353"/>
      <c r="I1133" s="3353"/>
      <c r="J1133" s="3353"/>
      <c r="K1133" s="3353"/>
      <c r="L1133" s="3353"/>
      <c r="M1133" s="3353"/>
      <c r="N1133" s="3353"/>
      <c r="O1133" s="3353"/>
      <c r="P1133" s="3353"/>
      <c r="Q1133" s="3353"/>
      <c r="R1133" s="3353"/>
      <c r="S1133" s="3353"/>
      <c r="T1133" s="3353"/>
      <c r="U1133" s="3353"/>
      <c r="V1133" s="3353"/>
      <c r="W1133" s="3353"/>
      <c r="X1133" s="3353"/>
      <c r="Y1133" s="3353"/>
      <c r="Z1133" s="3353"/>
      <c r="AA1133" s="3353"/>
      <c r="AB1133" s="3353"/>
      <c r="AC1133" s="3353"/>
      <c r="AD1133" s="3353"/>
      <c r="AE1133" s="3353"/>
      <c r="AF1133" s="3353"/>
      <c r="AG1133" s="3353"/>
      <c r="AH1133" s="3353"/>
      <c r="AI1133" s="3353"/>
      <c r="AJ1133" s="3353"/>
      <c r="AK1133" s="3353"/>
      <c r="AL1133" s="3353"/>
    </row>
    <row r="1134" spans="1:38" s="3309" customFormat="1" ht="15.75" x14ac:dyDescent="0.25">
      <c r="A1134" s="3432" t="s">
        <v>3428</v>
      </c>
      <c r="B1134" s="3431">
        <f t="shared" ref="B1134:G1134" si="549">IF(B1133=1,1,0.85)</f>
        <v>0.85</v>
      </c>
      <c r="C1134" s="3431">
        <f t="shared" si="549"/>
        <v>0.85</v>
      </c>
      <c r="D1134" s="3431">
        <f t="shared" si="549"/>
        <v>0.85</v>
      </c>
      <c r="E1134" s="3431">
        <f t="shared" si="549"/>
        <v>0.85</v>
      </c>
      <c r="F1134" s="3431">
        <f t="shared" si="549"/>
        <v>0.85</v>
      </c>
      <c r="G1134" s="3431">
        <f t="shared" si="549"/>
        <v>0.85</v>
      </c>
      <c r="H1134" s="3353"/>
      <c r="I1134" s="3353"/>
      <c r="J1134" s="3353"/>
      <c r="K1134" s="3353"/>
      <c r="L1134" s="3353"/>
      <c r="M1134" s="3353"/>
      <c r="N1134" s="3353"/>
      <c r="O1134" s="3353"/>
      <c r="P1134" s="3353"/>
      <c r="Q1134" s="3353"/>
      <c r="R1134" s="3353"/>
      <c r="S1134" s="3353"/>
      <c r="T1134" s="3353"/>
      <c r="U1134" s="3353"/>
      <c r="V1134" s="3353"/>
      <c r="W1134" s="3353"/>
      <c r="X1134" s="3353"/>
      <c r="Y1134" s="3353"/>
      <c r="Z1134" s="3353"/>
      <c r="AA1134" s="3353"/>
      <c r="AB1134" s="3353"/>
      <c r="AC1134" s="3353"/>
      <c r="AD1134" s="3353"/>
      <c r="AE1134" s="3353"/>
      <c r="AF1134" s="3353"/>
      <c r="AG1134" s="3353"/>
      <c r="AH1134" s="3353"/>
      <c r="AI1134" s="3353"/>
      <c r="AJ1134" s="3353"/>
      <c r="AK1134" s="3353"/>
      <c r="AL1134" s="3353"/>
    </row>
    <row r="1135" spans="1:38" s="3309" customFormat="1" ht="15.75" x14ac:dyDescent="0.25">
      <c r="A1135" s="3600" t="s">
        <v>3412</v>
      </c>
      <c r="B1135" s="3431">
        <f t="shared" ref="B1135:G1135" si="550">IF(B1126&lt;2,B1127,IF(B1126&lt;3,B1127,B1127*B1134))</f>
        <v>8.68</v>
      </c>
      <c r="C1135" s="3431">
        <f t="shared" si="550"/>
        <v>8.68</v>
      </c>
      <c r="D1135" s="3431">
        <f t="shared" si="550"/>
        <v>8.68</v>
      </c>
      <c r="E1135" s="3431">
        <f t="shared" si="550"/>
        <v>8.68</v>
      </c>
      <c r="F1135" s="3431">
        <f t="shared" si="550"/>
        <v>8.68</v>
      </c>
      <c r="G1135" s="3431">
        <f t="shared" si="550"/>
        <v>8.68</v>
      </c>
      <c r="H1135" s="3353"/>
      <c r="I1135" s="3353"/>
      <c r="J1135" s="3353"/>
      <c r="K1135" s="3353"/>
      <c r="L1135" s="3353"/>
      <c r="M1135" s="3353"/>
      <c r="N1135" s="3353"/>
      <c r="O1135" s="3353"/>
      <c r="P1135" s="3353"/>
      <c r="Q1135" s="3353"/>
      <c r="R1135" s="3353"/>
      <c r="S1135" s="3353"/>
      <c r="T1135" s="3353"/>
      <c r="U1135" s="3353"/>
      <c r="V1135" s="3353"/>
      <c r="W1135" s="3353"/>
      <c r="X1135" s="3353"/>
      <c r="Y1135" s="3353"/>
      <c r="Z1135" s="3353"/>
      <c r="AA1135" s="3353"/>
      <c r="AB1135" s="3353"/>
      <c r="AC1135" s="3353"/>
      <c r="AD1135" s="3353"/>
      <c r="AE1135" s="3353"/>
      <c r="AF1135" s="3353"/>
      <c r="AG1135" s="3353"/>
      <c r="AH1135" s="3353"/>
      <c r="AI1135" s="3353"/>
      <c r="AJ1135" s="3353"/>
      <c r="AK1135" s="3353"/>
      <c r="AL1135" s="3353"/>
    </row>
    <row r="1136" spans="1:38" s="3309" customFormat="1" ht="15.75" x14ac:dyDescent="0.25">
      <c r="A1136" s="3600" t="s">
        <v>429</v>
      </c>
      <c r="B1136" s="3599">
        <f t="shared" ref="B1136:G1136" si="551">B1125/B1135</f>
        <v>0</v>
      </c>
      <c r="C1136" s="3599">
        <f t="shared" si="551"/>
        <v>0</v>
      </c>
      <c r="D1136" s="3599">
        <f t="shared" si="551"/>
        <v>0</v>
      </c>
      <c r="E1136" s="3599">
        <f t="shared" si="551"/>
        <v>0</v>
      </c>
      <c r="F1136" s="3599">
        <f t="shared" si="551"/>
        <v>0</v>
      </c>
      <c r="G1136" s="3599">
        <f t="shared" si="551"/>
        <v>0</v>
      </c>
      <c r="H1136" s="3353"/>
      <c r="I1136" s="3353"/>
      <c r="J1136" s="3353"/>
      <c r="K1136" s="3353"/>
      <c r="L1136" s="3353"/>
      <c r="M1136" s="3353"/>
      <c r="N1136" s="3353"/>
      <c r="O1136" s="3353"/>
      <c r="P1136" s="3353"/>
      <c r="Q1136" s="3353"/>
      <c r="R1136" s="3353"/>
      <c r="S1136" s="3353"/>
      <c r="T1136" s="3353"/>
      <c r="U1136" s="3353"/>
      <c r="V1136" s="3353"/>
      <c r="W1136" s="3353"/>
      <c r="X1136" s="3353"/>
      <c r="Y1136" s="3353"/>
      <c r="Z1136" s="3353"/>
      <c r="AA1136" s="3353"/>
      <c r="AB1136" s="3353"/>
      <c r="AC1136" s="3353"/>
      <c r="AD1136" s="3353"/>
      <c r="AE1136" s="3353"/>
      <c r="AF1136" s="3353"/>
      <c r="AG1136" s="3353"/>
      <c r="AH1136" s="3353"/>
      <c r="AI1136" s="3353"/>
      <c r="AJ1136" s="3353"/>
      <c r="AK1136" s="3353"/>
      <c r="AL1136" s="3353"/>
    </row>
    <row r="1137" spans="1:38" s="3309" customFormat="1" ht="15.75" x14ac:dyDescent="0.25">
      <c r="A1137" s="3598" t="s">
        <v>831</v>
      </c>
      <c r="B1137" s="3597" t="e">
        <f>IF(B151=1,B1136,0)</f>
        <v>#VALUE!</v>
      </c>
      <c r="C1137" s="3597">
        <f t="shared" ref="C1137:G1137" si="552">IF(C772=1,C1136,0)</f>
        <v>0</v>
      </c>
      <c r="D1137" s="3597">
        <f t="shared" si="552"/>
        <v>0</v>
      </c>
      <c r="E1137" s="3597">
        <f t="shared" si="552"/>
        <v>0</v>
      </c>
      <c r="F1137" s="3597">
        <f t="shared" si="552"/>
        <v>0</v>
      </c>
      <c r="G1137" s="3597">
        <f t="shared" si="552"/>
        <v>0</v>
      </c>
      <c r="H1137" s="3353"/>
      <c r="I1137" s="3353"/>
      <c r="J1137" s="3353"/>
      <c r="K1137" s="3353"/>
      <c r="L1137" s="3353"/>
      <c r="M1137" s="3353"/>
      <c r="N1137" s="3353"/>
      <c r="O1137" s="3353"/>
      <c r="P1137" s="3353"/>
      <c r="Q1137" s="3353"/>
      <c r="R1137" s="3353"/>
      <c r="S1137" s="3353"/>
      <c r="T1137" s="3353"/>
      <c r="U1137" s="3353"/>
      <c r="V1137" s="3353"/>
      <c r="W1137" s="3353"/>
      <c r="X1137" s="3353"/>
      <c r="Y1137" s="3353"/>
      <c r="Z1137" s="3353"/>
      <c r="AA1137" s="3353"/>
      <c r="AB1137" s="3353"/>
      <c r="AC1137" s="3353"/>
      <c r="AD1137" s="3353"/>
      <c r="AE1137" s="3353"/>
      <c r="AF1137" s="3353"/>
      <c r="AG1137" s="3353"/>
      <c r="AH1137" s="3353"/>
      <c r="AI1137" s="3353"/>
      <c r="AJ1137" s="3353"/>
      <c r="AK1137" s="3353"/>
      <c r="AL1137" s="3353"/>
    </row>
    <row r="1138" spans="1:38" s="3309" customFormat="1" x14ac:dyDescent="0.2">
      <c r="A1138" s="3421"/>
      <c r="B1138" s="3492"/>
      <c r="C1138" s="3492"/>
      <c r="D1138" s="3492"/>
      <c r="E1138" s="3492"/>
      <c r="F1138" s="3492"/>
      <c r="G1138" s="3492"/>
      <c r="H1138" s="3353"/>
      <c r="I1138" s="3353"/>
      <c r="J1138" s="3353"/>
      <c r="K1138" s="3353"/>
      <c r="L1138" s="3353"/>
      <c r="M1138" s="3353"/>
      <c r="N1138" s="3353"/>
      <c r="O1138" s="3353"/>
      <c r="P1138" s="3353"/>
      <c r="Q1138" s="3353"/>
      <c r="R1138" s="3353"/>
      <c r="S1138" s="3353"/>
      <c r="T1138" s="3353"/>
      <c r="U1138" s="3353"/>
      <c r="V1138" s="3353"/>
      <c r="W1138" s="3353"/>
      <c r="X1138" s="3353"/>
      <c r="Y1138" s="3353"/>
      <c r="Z1138" s="3353"/>
      <c r="AA1138" s="3353"/>
      <c r="AB1138" s="3353"/>
      <c r="AC1138" s="3353"/>
      <c r="AD1138" s="3353"/>
      <c r="AE1138" s="3353"/>
      <c r="AF1138" s="3353"/>
      <c r="AG1138" s="3353"/>
      <c r="AH1138" s="3353"/>
      <c r="AI1138" s="3353"/>
      <c r="AJ1138" s="3353"/>
      <c r="AK1138" s="3353"/>
      <c r="AL1138" s="3353"/>
    </row>
    <row r="1139" spans="1:38" s="3309" customFormat="1" x14ac:dyDescent="0.2">
      <c r="A1139" s="3411"/>
      <c r="B1139" s="3424"/>
      <c r="C1139" s="3412"/>
      <c r="D1139" s="3412"/>
      <c r="E1139" s="3412"/>
      <c r="F1139" s="3412"/>
      <c r="G1139" s="3412"/>
      <c r="H1139" s="3353"/>
      <c r="I1139" s="3353"/>
      <c r="J1139" s="3353"/>
      <c r="K1139" s="3353"/>
      <c r="L1139" s="3353"/>
      <c r="M1139" s="3353"/>
      <c r="N1139" s="3353"/>
      <c r="O1139" s="3353"/>
      <c r="P1139" s="3353"/>
      <c r="Q1139" s="3353"/>
      <c r="R1139" s="3353"/>
      <c r="S1139" s="3353"/>
      <c r="T1139" s="3353"/>
      <c r="U1139" s="3353"/>
      <c r="V1139" s="3353"/>
      <c r="W1139" s="3353"/>
      <c r="X1139" s="3353"/>
      <c r="Y1139" s="3353"/>
      <c r="Z1139" s="3353"/>
      <c r="AA1139" s="3353"/>
      <c r="AB1139" s="3353"/>
      <c r="AC1139" s="3353"/>
      <c r="AD1139" s="3353"/>
      <c r="AE1139" s="3353"/>
      <c r="AF1139" s="3353"/>
      <c r="AG1139" s="3353"/>
      <c r="AH1139" s="3353"/>
      <c r="AI1139" s="3353"/>
      <c r="AJ1139" s="3353"/>
      <c r="AK1139" s="3353"/>
      <c r="AL1139" s="3353"/>
    </row>
    <row r="1140" spans="1:38" s="3309" customFormat="1" x14ac:dyDescent="0.2">
      <c r="A1140" s="3401" t="s">
        <v>5158</v>
      </c>
      <c r="B1140" s="3424"/>
      <c r="C1140" s="3412"/>
      <c r="D1140" s="3412"/>
      <c r="E1140" s="3412"/>
      <c r="F1140" s="3412"/>
      <c r="G1140" s="3412"/>
      <c r="H1140" s="3353"/>
      <c r="I1140" s="3353"/>
      <c r="J1140" s="3353"/>
      <c r="K1140" s="3353"/>
      <c r="L1140" s="3353"/>
      <c r="M1140" s="3353"/>
      <c r="N1140" s="3353"/>
      <c r="O1140" s="3353"/>
      <c r="P1140" s="3353"/>
      <c r="Q1140" s="3353"/>
      <c r="R1140" s="3353"/>
      <c r="S1140" s="3353"/>
      <c r="T1140" s="3353"/>
      <c r="U1140" s="3353"/>
      <c r="V1140" s="3353"/>
      <c r="W1140" s="3353"/>
      <c r="X1140" s="3353"/>
      <c r="Y1140" s="3353"/>
      <c r="Z1140" s="3353"/>
      <c r="AA1140" s="3353"/>
      <c r="AB1140" s="3353"/>
      <c r="AC1140" s="3353"/>
      <c r="AD1140" s="3353"/>
      <c r="AE1140" s="3353"/>
      <c r="AF1140" s="3353"/>
      <c r="AG1140" s="3353"/>
      <c r="AH1140" s="3353"/>
      <c r="AI1140" s="3353"/>
      <c r="AJ1140" s="3353"/>
      <c r="AK1140" s="3353"/>
      <c r="AL1140" s="3353"/>
    </row>
    <row r="1141" spans="1:38" s="3309" customFormat="1" x14ac:dyDescent="0.2">
      <c r="A1141" s="3411" t="s">
        <v>4144</v>
      </c>
      <c r="B1141" s="3424" t="b">
        <f t="shared" ref="B1141:G1141" si="553">B736</f>
        <v>0</v>
      </c>
      <c r="C1141" s="3424">
        <f t="shared" si="553"/>
        <v>0</v>
      </c>
      <c r="D1141" s="3424">
        <f t="shared" si="553"/>
        <v>0</v>
      </c>
      <c r="E1141" s="3424">
        <f t="shared" si="553"/>
        <v>0</v>
      </c>
      <c r="F1141" s="3424">
        <f t="shared" si="553"/>
        <v>0</v>
      </c>
      <c r="G1141" s="3424">
        <f t="shared" si="553"/>
        <v>0</v>
      </c>
      <c r="H1141" s="3353"/>
      <c r="I1141" s="3353"/>
      <c r="J1141" s="3353"/>
      <c r="K1141" s="3353"/>
      <c r="L1141" s="3353"/>
      <c r="M1141" s="3353"/>
      <c r="N1141" s="3353"/>
      <c r="O1141" s="3353"/>
      <c r="P1141" s="3353"/>
      <c r="Q1141" s="3353"/>
      <c r="R1141" s="3353"/>
      <c r="S1141" s="3353"/>
      <c r="T1141" s="3353"/>
      <c r="U1141" s="3353"/>
      <c r="V1141" s="3353"/>
      <c r="W1141" s="3353"/>
      <c r="X1141" s="3353"/>
      <c r="Y1141" s="3353"/>
      <c r="Z1141" s="3353"/>
      <c r="AA1141" s="3353"/>
      <c r="AB1141" s="3353"/>
      <c r="AC1141" s="3353"/>
      <c r="AD1141" s="3353"/>
      <c r="AE1141" s="3353"/>
      <c r="AF1141" s="3353"/>
      <c r="AG1141" s="3353"/>
      <c r="AH1141" s="3353"/>
      <c r="AI1141" s="3353"/>
      <c r="AJ1141" s="3353"/>
      <c r="AK1141" s="3353"/>
      <c r="AL1141" s="3353"/>
    </row>
    <row r="1142" spans="1:38" s="3309" customFormat="1" x14ac:dyDescent="0.2">
      <c r="A1142" s="3411" t="s">
        <v>425</v>
      </c>
      <c r="B1142" s="3379">
        <f t="shared" ref="B1142:G1142" si="554">IF(B1143=1,5.98,4.64)</f>
        <v>4.6399999999999997</v>
      </c>
      <c r="C1142" s="3379">
        <f t="shared" si="554"/>
        <v>4.6399999999999997</v>
      </c>
      <c r="D1142" s="3379">
        <f t="shared" si="554"/>
        <v>4.6399999999999997</v>
      </c>
      <c r="E1142" s="3379">
        <f t="shared" si="554"/>
        <v>4.6399999999999997</v>
      </c>
      <c r="F1142" s="3379">
        <f t="shared" si="554"/>
        <v>4.6399999999999997</v>
      </c>
      <c r="G1142" s="3379">
        <f t="shared" si="554"/>
        <v>4.6399999999999997</v>
      </c>
      <c r="H1142" s="3353"/>
      <c r="I1142" s="3353"/>
      <c r="J1142" s="3353"/>
      <c r="K1142" s="3353"/>
      <c r="L1142" s="3353"/>
      <c r="M1142" s="3353"/>
      <c r="N1142" s="3353"/>
      <c r="O1142" s="3353"/>
      <c r="P1142" s="3353"/>
      <c r="Q1142" s="3353"/>
      <c r="R1142" s="3353"/>
      <c r="S1142" s="3353"/>
      <c r="T1142" s="3353"/>
      <c r="U1142" s="3353"/>
      <c r="V1142" s="3353"/>
      <c r="W1142" s="3353"/>
      <c r="X1142" s="3353"/>
      <c r="Y1142" s="3353"/>
      <c r="Z1142" s="3353"/>
      <c r="AA1142" s="3353"/>
      <c r="AB1142" s="3353"/>
      <c r="AC1142" s="3353"/>
      <c r="AD1142" s="3353"/>
      <c r="AE1142" s="3353"/>
      <c r="AF1142" s="3353"/>
      <c r="AG1142" s="3353"/>
      <c r="AH1142" s="3353"/>
      <c r="AI1142" s="3353"/>
      <c r="AJ1142" s="3353"/>
      <c r="AK1142" s="3353"/>
      <c r="AL1142" s="3353"/>
    </row>
    <row r="1143" spans="1:38" s="3309" customFormat="1" x14ac:dyDescent="0.2">
      <c r="A1143" s="3418" t="s">
        <v>5168</v>
      </c>
      <c r="B1143" s="3596">
        <v>2</v>
      </c>
      <c r="C1143" s="3596">
        <v>2</v>
      </c>
      <c r="D1143" s="3596">
        <v>2</v>
      </c>
      <c r="E1143" s="3596">
        <v>2</v>
      </c>
      <c r="F1143" s="3596">
        <v>2</v>
      </c>
      <c r="G1143" s="3596">
        <v>2</v>
      </c>
      <c r="H1143" s="3353"/>
      <c r="I1143" s="3353"/>
      <c r="J1143" s="3353"/>
      <c r="K1143" s="3353"/>
      <c r="L1143" s="3353"/>
      <c r="M1143" s="3353"/>
      <c r="N1143" s="3353"/>
      <c r="O1143" s="3353"/>
      <c r="P1143" s="3353"/>
      <c r="Q1143" s="3353"/>
      <c r="R1143" s="3353"/>
      <c r="S1143" s="3353"/>
      <c r="T1143" s="3353"/>
      <c r="U1143" s="3353"/>
      <c r="V1143" s="3353"/>
      <c r="W1143" s="3353"/>
      <c r="X1143" s="3353"/>
      <c r="Y1143" s="3353"/>
      <c r="Z1143" s="3353"/>
      <c r="AA1143" s="3353"/>
      <c r="AB1143" s="3353"/>
      <c r="AC1143" s="3353"/>
      <c r="AD1143" s="3353"/>
      <c r="AE1143" s="3353"/>
      <c r="AF1143" s="3353"/>
      <c r="AG1143" s="3353"/>
      <c r="AH1143" s="3353"/>
      <c r="AI1143" s="3353"/>
      <c r="AJ1143" s="3353"/>
      <c r="AK1143" s="3353"/>
      <c r="AL1143" s="3353"/>
    </row>
    <row r="1144" spans="1:38" s="3309" customFormat="1" x14ac:dyDescent="0.2">
      <c r="A1144" s="3411" t="s">
        <v>3412</v>
      </c>
      <c r="B1144" s="3379" t="e">
        <f t="shared" ref="B1144:G1144" si="555">B1142*B789</f>
        <v>#VALUE!</v>
      </c>
      <c r="C1144" s="3379" t="e">
        <f t="shared" si="555"/>
        <v>#VALUE!</v>
      </c>
      <c r="D1144" s="3379" t="e">
        <f t="shared" si="555"/>
        <v>#VALUE!</v>
      </c>
      <c r="E1144" s="3379" t="e">
        <f t="shared" si="555"/>
        <v>#VALUE!</v>
      </c>
      <c r="F1144" s="3379" t="e">
        <f t="shared" si="555"/>
        <v>#VALUE!</v>
      </c>
      <c r="G1144" s="3379" t="e">
        <f t="shared" si="555"/>
        <v>#VALUE!</v>
      </c>
      <c r="H1144" s="3353"/>
      <c r="I1144" s="3353"/>
      <c r="J1144" s="3353"/>
      <c r="K1144" s="3353"/>
      <c r="L1144" s="3353"/>
      <c r="M1144" s="3353"/>
      <c r="N1144" s="3353"/>
      <c r="O1144" s="3353"/>
      <c r="P1144" s="3353"/>
      <c r="Q1144" s="3353"/>
      <c r="R1144" s="3353"/>
      <c r="S1144" s="3353"/>
      <c r="T1144" s="3353"/>
      <c r="U1144" s="3353"/>
      <c r="V1144" s="3353"/>
      <c r="W1144" s="3353"/>
      <c r="X1144" s="3353"/>
      <c r="Y1144" s="3353"/>
      <c r="Z1144" s="3353"/>
      <c r="AA1144" s="3353"/>
      <c r="AB1144" s="3353"/>
      <c r="AC1144" s="3353"/>
      <c r="AD1144" s="3353"/>
      <c r="AE1144" s="3353"/>
      <c r="AF1144" s="3353"/>
      <c r="AG1144" s="3353"/>
      <c r="AH1144" s="3353"/>
      <c r="AI1144" s="3353"/>
      <c r="AJ1144" s="3353"/>
      <c r="AK1144" s="3353"/>
      <c r="AL1144" s="3353"/>
    </row>
    <row r="1145" spans="1:38" s="3309" customFormat="1" x14ac:dyDescent="0.2">
      <c r="A1145" s="3421" t="s">
        <v>429</v>
      </c>
      <c r="B1145" s="3556" t="e">
        <f t="shared" ref="B1145:G1145" si="556">B1141/B1144</f>
        <v>#VALUE!</v>
      </c>
      <c r="C1145" s="3556" t="e">
        <f t="shared" si="556"/>
        <v>#VALUE!</v>
      </c>
      <c r="D1145" s="3556" t="e">
        <f t="shared" si="556"/>
        <v>#VALUE!</v>
      </c>
      <c r="E1145" s="3556" t="e">
        <f t="shared" si="556"/>
        <v>#VALUE!</v>
      </c>
      <c r="F1145" s="3556" t="e">
        <f t="shared" si="556"/>
        <v>#VALUE!</v>
      </c>
      <c r="G1145" s="3556" t="e">
        <f t="shared" si="556"/>
        <v>#VALUE!</v>
      </c>
      <c r="H1145" s="3353"/>
      <c r="I1145" s="3353"/>
      <c r="J1145" s="3353"/>
      <c r="K1145" s="3353"/>
      <c r="L1145" s="3353"/>
      <c r="M1145" s="3353"/>
      <c r="N1145" s="3353"/>
      <c r="O1145" s="3353"/>
      <c r="P1145" s="3353"/>
      <c r="Q1145" s="3353"/>
      <c r="R1145" s="3353"/>
      <c r="S1145" s="3353"/>
      <c r="T1145" s="3353"/>
      <c r="U1145" s="3353"/>
      <c r="V1145" s="3353"/>
      <c r="W1145" s="3353"/>
      <c r="X1145" s="3353"/>
      <c r="Y1145" s="3353"/>
      <c r="Z1145" s="3353"/>
      <c r="AA1145" s="3353"/>
      <c r="AB1145" s="3353"/>
      <c r="AC1145" s="3353"/>
      <c r="AD1145" s="3353"/>
      <c r="AE1145" s="3353"/>
      <c r="AF1145" s="3353"/>
      <c r="AG1145" s="3353"/>
      <c r="AH1145" s="3353"/>
      <c r="AI1145" s="3353"/>
      <c r="AJ1145" s="3353"/>
      <c r="AK1145" s="3353"/>
      <c r="AL1145" s="3353"/>
    </row>
    <row r="1146" spans="1:38" s="3309" customFormat="1" ht="25.5" x14ac:dyDescent="0.2">
      <c r="A1146" s="3416" t="s">
        <v>535</v>
      </c>
      <c r="B1146" s="3379"/>
      <c r="C1146" s="3412"/>
      <c r="D1146" s="3412"/>
      <c r="E1146" s="3412"/>
      <c r="F1146" s="3412"/>
      <c r="G1146" s="3412"/>
      <c r="H1146" s="3353"/>
      <c r="I1146" s="3353"/>
      <c r="J1146" s="3353"/>
      <c r="K1146" s="3353"/>
      <c r="L1146" s="3353"/>
      <c r="M1146" s="3353"/>
      <c r="N1146" s="3353"/>
      <c r="O1146" s="3353"/>
      <c r="P1146" s="3353"/>
      <c r="Q1146" s="3353"/>
      <c r="R1146" s="3353"/>
      <c r="S1146" s="3353"/>
      <c r="T1146" s="3353"/>
      <c r="U1146" s="3353"/>
      <c r="V1146" s="3353"/>
      <c r="W1146" s="3353"/>
      <c r="X1146" s="3353"/>
      <c r="Y1146" s="3353"/>
      <c r="Z1146" s="3353"/>
      <c r="AA1146" s="3353"/>
      <c r="AB1146" s="3353"/>
      <c r="AC1146" s="3353"/>
      <c r="AD1146" s="3353"/>
      <c r="AE1146" s="3353"/>
      <c r="AF1146" s="3353"/>
      <c r="AG1146" s="3353"/>
      <c r="AH1146" s="3353"/>
      <c r="AI1146" s="3353"/>
      <c r="AJ1146" s="3353"/>
      <c r="AK1146" s="3353"/>
      <c r="AL1146" s="3353"/>
    </row>
    <row r="1147" spans="1:38" s="3309" customFormat="1" x14ac:dyDescent="0.2">
      <c r="A1147" s="3411" t="s">
        <v>424</v>
      </c>
      <c r="B1147" s="3424">
        <f t="shared" ref="B1147:G1147" si="557">B736/B770</f>
        <v>0</v>
      </c>
      <c r="C1147" s="3424" t="e">
        <f t="shared" si="557"/>
        <v>#DIV/0!</v>
      </c>
      <c r="D1147" s="3424" t="e">
        <f t="shared" si="557"/>
        <v>#DIV/0!</v>
      </c>
      <c r="E1147" s="3424" t="e">
        <f t="shared" si="557"/>
        <v>#DIV/0!</v>
      </c>
      <c r="F1147" s="3424" t="e">
        <f t="shared" si="557"/>
        <v>#DIV/0!</v>
      </c>
      <c r="G1147" s="3424" t="e">
        <f t="shared" si="557"/>
        <v>#DIV/0!</v>
      </c>
      <c r="H1147" s="3353"/>
      <c r="I1147" s="3353"/>
      <c r="J1147" s="3353"/>
      <c r="K1147" s="3353"/>
      <c r="L1147" s="3353"/>
      <c r="M1147" s="3353"/>
      <c r="N1147" s="3353"/>
      <c r="O1147" s="3353"/>
      <c r="P1147" s="3353"/>
      <c r="Q1147" s="3353"/>
      <c r="R1147" s="3353"/>
      <c r="S1147" s="3353"/>
      <c r="T1147" s="3353"/>
      <c r="U1147" s="3353"/>
      <c r="V1147" s="3353"/>
      <c r="W1147" s="3353"/>
      <c r="X1147" s="3353"/>
      <c r="Y1147" s="3353"/>
      <c r="Z1147" s="3353"/>
      <c r="AA1147" s="3353"/>
      <c r="AB1147" s="3353"/>
      <c r="AC1147" s="3353"/>
      <c r="AD1147" s="3353"/>
      <c r="AE1147" s="3353"/>
      <c r="AF1147" s="3353"/>
      <c r="AG1147" s="3353"/>
      <c r="AH1147" s="3353"/>
      <c r="AI1147" s="3353"/>
      <c r="AJ1147" s="3353"/>
      <c r="AK1147" s="3353"/>
      <c r="AL1147" s="3353"/>
    </row>
    <row r="1148" spans="1:38" s="3309" customFormat="1" x14ac:dyDescent="0.2">
      <c r="A1148" s="3411" t="s">
        <v>425</v>
      </c>
      <c r="B1148" s="3491">
        <f t="shared" ref="B1148:G1148" si="558">IF(B1149&lt;2.51,30.8,IF(B1149&lt;3.01,26.1,IF(B1149&lt;3.31,22.4,IF(B1149&lt;3.61,18.9,IF(B1149&lt;3.81,16.1,IF(B1149&lt;4.4,14,12.1))))))</f>
        <v>18.899999999999999</v>
      </c>
      <c r="C1148" s="3491">
        <f t="shared" si="558"/>
        <v>30.8</v>
      </c>
      <c r="D1148" s="3491">
        <f t="shared" si="558"/>
        <v>30.8</v>
      </c>
      <c r="E1148" s="3491">
        <f t="shared" si="558"/>
        <v>30.8</v>
      </c>
      <c r="F1148" s="3491">
        <f t="shared" si="558"/>
        <v>30.8</v>
      </c>
      <c r="G1148" s="3491">
        <f t="shared" si="558"/>
        <v>30.8</v>
      </c>
      <c r="H1148" s="3353"/>
      <c r="I1148" s="3353"/>
      <c r="J1148" s="3353"/>
      <c r="K1148" s="3353"/>
      <c r="L1148" s="3353"/>
      <c r="M1148" s="3353"/>
      <c r="N1148" s="3353"/>
      <c r="O1148" s="3353"/>
      <c r="P1148" s="3353"/>
      <c r="Q1148" s="3353"/>
      <c r="R1148" s="3353"/>
      <c r="S1148" s="3353"/>
      <c r="T1148" s="3353"/>
      <c r="U1148" s="3353"/>
      <c r="V1148" s="3353"/>
      <c r="W1148" s="3353"/>
      <c r="X1148" s="3353"/>
      <c r="Y1148" s="3353"/>
      <c r="Z1148" s="3353"/>
      <c r="AA1148" s="3353"/>
      <c r="AB1148" s="3353"/>
      <c r="AC1148" s="3353"/>
      <c r="AD1148" s="3353"/>
      <c r="AE1148" s="3353"/>
      <c r="AF1148" s="3353"/>
      <c r="AG1148" s="3353"/>
      <c r="AH1148" s="3353"/>
      <c r="AI1148" s="3353"/>
      <c r="AJ1148" s="3353"/>
      <c r="AK1148" s="3353"/>
      <c r="AL1148" s="3353"/>
    </row>
    <row r="1149" spans="1:38" s="3309" customFormat="1" x14ac:dyDescent="0.2">
      <c r="A1149" s="3409" t="s">
        <v>536</v>
      </c>
      <c r="B1149" s="3429">
        <f t="shared" ref="B1149:G1149" si="559">B162</f>
        <v>3.5</v>
      </c>
      <c r="C1149" s="3429">
        <f t="shared" si="559"/>
        <v>0</v>
      </c>
      <c r="D1149" s="3429">
        <f t="shared" si="559"/>
        <v>0</v>
      </c>
      <c r="E1149" s="3429">
        <f t="shared" si="559"/>
        <v>0</v>
      </c>
      <c r="F1149" s="3429">
        <f t="shared" si="559"/>
        <v>0</v>
      </c>
      <c r="G1149" s="3429">
        <f t="shared" si="559"/>
        <v>0</v>
      </c>
      <c r="H1149" s="3353"/>
      <c r="I1149" s="3353"/>
      <c r="J1149" s="3353"/>
      <c r="K1149" s="3353"/>
      <c r="L1149" s="3353"/>
      <c r="M1149" s="3353"/>
      <c r="N1149" s="3353"/>
      <c r="O1149" s="3353"/>
      <c r="P1149" s="3353"/>
      <c r="Q1149" s="3353"/>
      <c r="R1149" s="3353"/>
      <c r="S1149" s="3353"/>
      <c r="T1149" s="3353"/>
      <c r="U1149" s="3353"/>
      <c r="V1149" s="3353"/>
      <c r="W1149" s="3353"/>
      <c r="X1149" s="3353"/>
      <c r="Y1149" s="3353"/>
      <c r="Z1149" s="3353"/>
      <c r="AA1149" s="3353"/>
      <c r="AB1149" s="3353"/>
      <c r="AC1149" s="3353"/>
      <c r="AD1149" s="3353"/>
      <c r="AE1149" s="3353"/>
      <c r="AF1149" s="3353"/>
      <c r="AG1149" s="3353"/>
      <c r="AH1149" s="3353"/>
      <c r="AI1149" s="3353"/>
      <c r="AJ1149" s="3353"/>
      <c r="AK1149" s="3353"/>
      <c r="AL1149" s="3353"/>
    </row>
    <row r="1150" spans="1:38" s="3309" customFormat="1" x14ac:dyDescent="0.2">
      <c r="A1150" s="3459" t="s">
        <v>3412</v>
      </c>
      <c r="B1150" s="3417" t="e">
        <f t="shared" ref="B1150:G1150" si="560">B1148*B789*B789</f>
        <v>#VALUE!</v>
      </c>
      <c r="C1150" s="3417" t="e">
        <f t="shared" si="560"/>
        <v>#VALUE!</v>
      </c>
      <c r="D1150" s="3417" t="e">
        <f t="shared" si="560"/>
        <v>#VALUE!</v>
      </c>
      <c r="E1150" s="3417" t="e">
        <f t="shared" si="560"/>
        <v>#VALUE!</v>
      </c>
      <c r="F1150" s="3417" t="e">
        <f t="shared" si="560"/>
        <v>#VALUE!</v>
      </c>
      <c r="G1150" s="3417" t="e">
        <f t="shared" si="560"/>
        <v>#VALUE!</v>
      </c>
      <c r="H1150" s="3353"/>
      <c r="I1150" s="3353"/>
      <c r="J1150" s="3353"/>
      <c r="K1150" s="3353"/>
      <c r="L1150" s="3353"/>
      <c r="M1150" s="3353"/>
      <c r="N1150" s="3353"/>
      <c r="O1150" s="3353"/>
      <c r="P1150" s="3353"/>
      <c r="Q1150" s="3353"/>
      <c r="R1150" s="3353"/>
      <c r="S1150" s="3353"/>
      <c r="T1150" s="3353"/>
      <c r="U1150" s="3353"/>
      <c r="V1150" s="3353"/>
      <c r="W1150" s="3353"/>
      <c r="X1150" s="3353"/>
      <c r="Y1150" s="3353"/>
      <c r="Z1150" s="3353"/>
      <c r="AA1150" s="3353"/>
      <c r="AB1150" s="3353"/>
      <c r="AC1150" s="3353"/>
      <c r="AD1150" s="3353"/>
      <c r="AE1150" s="3353"/>
      <c r="AF1150" s="3353"/>
      <c r="AG1150" s="3353"/>
      <c r="AH1150" s="3353"/>
      <c r="AI1150" s="3353"/>
      <c r="AJ1150" s="3353"/>
      <c r="AK1150" s="3353"/>
      <c r="AL1150" s="3353"/>
    </row>
    <row r="1151" spans="1:38" s="3309" customFormat="1" x14ac:dyDescent="0.2">
      <c r="A1151" s="3377" t="s">
        <v>429</v>
      </c>
      <c r="B1151" s="3490" t="e">
        <f t="shared" ref="B1151:G1151" si="561">B1147/B1150</f>
        <v>#VALUE!</v>
      </c>
      <c r="C1151" s="3490" t="e">
        <f t="shared" si="561"/>
        <v>#DIV/0!</v>
      </c>
      <c r="D1151" s="3490" t="e">
        <f t="shared" si="561"/>
        <v>#DIV/0!</v>
      </c>
      <c r="E1151" s="3490" t="e">
        <f t="shared" si="561"/>
        <v>#DIV/0!</v>
      </c>
      <c r="F1151" s="3490" t="e">
        <f t="shared" si="561"/>
        <v>#DIV/0!</v>
      </c>
      <c r="G1151" s="3490" t="e">
        <f t="shared" si="561"/>
        <v>#DIV/0!</v>
      </c>
      <c r="H1151" s="3353"/>
      <c r="I1151" s="3353"/>
      <c r="J1151" s="3353"/>
      <c r="K1151" s="3353"/>
      <c r="L1151" s="3353"/>
      <c r="M1151" s="3353"/>
      <c r="N1151" s="3353"/>
      <c r="O1151" s="3353"/>
      <c r="P1151" s="3353"/>
      <c r="Q1151" s="3353"/>
      <c r="R1151" s="3353"/>
      <c r="S1151" s="3353"/>
      <c r="T1151" s="3353"/>
      <c r="U1151" s="3353"/>
      <c r="V1151" s="3353"/>
      <c r="W1151" s="3353"/>
      <c r="X1151" s="3353"/>
      <c r="Y1151" s="3353"/>
      <c r="Z1151" s="3353"/>
      <c r="AA1151" s="3353"/>
      <c r="AB1151" s="3353"/>
      <c r="AC1151" s="3353"/>
      <c r="AD1151" s="3353"/>
      <c r="AE1151" s="3353"/>
      <c r="AF1151" s="3353"/>
      <c r="AG1151" s="3353"/>
      <c r="AH1151" s="3353"/>
      <c r="AI1151" s="3353"/>
      <c r="AJ1151" s="3353"/>
      <c r="AK1151" s="3353"/>
      <c r="AL1151" s="3353"/>
    </row>
    <row r="1152" spans="1:38" s="3309" customFormat="1" x14ac:dyDescent="0.2">
      <c r="A1152" s="3416" t="s">
        <v>4411</v>
      </c>
      <c r="B1152" s="3515"/>
      <c r="C1152" s="3412"/>
      <c r="D1152" s="3412"/>
      <c r="E1152" s="3412"/>
      <c r="F1152" s="3412"/>
      <c r="G1152" s="3412"/>
      <c r="H1152" s="3353"/>
      <c r="I1152" s="3353"/>
      <c r="J1152" s="3353"/>
      <c r="K1152" s="3353"/>
      <c r="L1152" s="3353"/>
      <c r="M1152" s="3353"/>
      <c r="N1152" s="3353"/>
      <c r="O1152" s="3353"/>
      <c r="P1152" s="3353"/>
      <c r="Q1152" s="3353"/>
      <c r="R1152" s="3353"/>
      <c r="S1152" s="3353"/>
      <c r="T1152" s="3353"/>
      <c r="U1152" s="3353"/>
      <c r="V1152" s="3353"/>
      <c r="W1152" s="3353"/>
      <c r="X1152" s="3353"/>
      <c r="Y1152" s="3353"/>
      <c r="Z1152" s="3353"/>
      <c r="AA1152" s="3353"/>
      <c r="AB1152" s="3353"/>
      <c r="AC1152" s="3353"/>
      <c r="AD1152" s="3353"/>
      <c r="AE1152" s="3353"/>
      <c r="AF1152" s="3353"/>
      <c r="AG1152" s="3353"/>
      <c r="AH1152" s="3353"/>
      <c r="AI1152" s="3353"/>
      <c r="AJ1152" s="3353"/>
      <c r="AK1152" s="3353"/>
      <c r="AL1152" s="3353"/>
    </row>
    <row r="1153" spans="1:38" s="3309" customFormat="1" x14ac:dyDescent="0.2">
      <c r="A1153" s="3542" t="s">
        <v>2995</v>
      </c>
      <c r="B1153" s="3468" t="e">
        <f t="shared" ref="B1153:G1153" si="562">B735*B736*B746*B748*B745</f>
        <v>#VALUE!</v>
      </c>
      <c r="C1153" s="3468">
        <f t="shared" si="562"/>
        <v>0</v>
      </c>
      <c r="D1153" s="3468">
        <f t="shared" si="562"/>
        <v>0</v>
      </c>
      <c r="E1153" s="3468">
        <f t="shared" si="562"/>
        <v>0</v>
      </c>
      <c r="F1153" s="3468">
        <f t="shared" si="562"/>
        <v>0</v>
      </c>
      <c r="G1153" s="3468">
        <f t="shared" si="562"/>
        <v>0</v>
      </c>
      <c r="H1153" s="3353"/>
      <c r="I1153" s="3353"/>
      <c r="J1153" s="3353"/>
      <c r="K1153" s="3353"/>
      <c r="L1153" s="3353"/>
      <c r="M1153" s="3353"/>
      <c r="N1153" s="3353"/>
      <c r="O1153" s="3353"/>
      <c r="P1153" s="3353"/>
      <c r="Q1153" s="3353"/>
      <c r="R1153" s="3353"/>
      <c r="S1153" s="3353"/>
      <c r="T1153" s="3353"/>
      <c r="U1153" s="3353"/>
      <c r="V1153" s="3353"/>
      <c r="W1153" s="3353"/>
      <c r="X1153" s="3353"/>
      <c r="Y1153" s="3353"/>
      <c r="Z1153" s="3353"/>
      <c r="AA1153" s="3353"/>
      <c r="AB1153" s="3353"/>
      <c r="AC1153" s="3353"/>
      <c r="AD1153" s="3353"/>
      <c r="AE1153" s="3353"/>
      <c r="AF1153" s="3353"/>
      <c r="AG1153" s="3353"/>
      <c r="AH1153" s="3353"/>
      <c r="AI1153" s="3353"/>
      <c r="AJ1153" s="3353"/>
      <c r="AK1153" s="3353"/>
      <c r="AL1153" s="3353"/>
    </row>
    <row r="1154" spans="1:38" s="3309" customFormat="1" x14ac:dyDescent="0.2">
      <c r="A1154" s="3459" t="s">
        <v>425</v>
      </c>
      <c r="B1154" s="3406" t="e">
        <f t="shared" ref="B1154:G1154" si="563">IF(B1155&lt;101,164,IF(B1155&lt;201,182,IF(B1155&lt;351,209,IF(B1155&lt;501,240,276))))</f>
        <v>#VALUE!</v>
      </c>
      <c r="C1154" s="3406">
        <f t="shared" si="563"/>
        <v>164</v>
      </c>
      <c r="D1154" s="3406">
        <f t="shared" si="563"/>
        <v>164</v>
      </c>
      <c r="E1154" s="3406">
        <f t="shared" si="563"/>
        <v>164</v>
      </c>
      <c r="F1154" s="3406">
        <f t="shared" si="563"/>
        <v>164</v>
      </c>
      <c r="G1154" s="3406">
        <f t="shared" si="563"/>
        <v>164</v>
      </c>
      <c r="H1154" s="3353"/>
      <c r="I1154" s="3353"/>
      <c r="J1154" s="3353"/>
      <c r="K1154" s="3353"/>
      <c r="L1154" s="3353"/>
      <c r="M1154" s="3353"/>
      <c r="N1154" s="3353"/>
      <c r="O1154" s="3353"/>
      <c r="P1154" s="3353"/>
      <c r="Q1154" s="3353"/>
      <c r="R1154" s="3353"/>
      <c r="S1154" s="3353"/>
      <c r="T1154" s="3353"/>
      <c r="U1154" s="3353"/>
      <c r="V1154" s="3353"/>
      <c r="W1154" s="3353"/>
      <c r="X1154" s="3353"/>
      <c r="Y1154" s="3353"/>
      <c r="Z1154" s="3353"/>
      <c r="AA1154" s="3353"/>
      <c r="AB1154" s="3353"/>
      <c r="AC1154" s="3353"/>
      <c r="AD1154" s="3353"/>
      <c r="AE1154" s="3353"/>
      <c r="AF1154" s="3353"/>
      <c r="AG1154" s="3353"/>
      <c r="AH1154" s="3353"/>
      <c r="AI1154" s="3353"/>
      <c r="AJ1154" s="3353"/>
      <c r="AK1154" s="3353"/>
      <c r="AL1154" s="3353"/>
    </row>
    <row r="1155" spans="1:38" s="3309" customFormat="1" ht="25.5" x14ac:dyDescent="0.2">
      <c r="A1155" s="3459" t="s">
        <v>4412</v>
      </c>
      <c r="B1155" s="3468" t="e">
        <f t="shared" ref="B1155:G1155" si="564">B747/3</f>
        <v>#VALUE!</v>
      </c>
      <c r="C1155" s="3468">
        <f t="shared" si="564"/>
        <v>0</v>
      </c>
      <c r="D1155" s="3468">
        <f t="shared" si="564"/>
        <v>0</v>
      </c>
      <c r="E1155" s="3468">
        <f t="shared" si="564"/>
        <v>0</v>
      </c>
      <c r="F1155" s="3468">
        <f t="shared" si="564"/>
        <v>0</v>
      </c>
      <c r="G1155" s="3468">
        <f t="shared" si="564"/>
        <v>0</v>
      </c>
      <c r="H1155" s="3353"/>
      <c r="I1155" s="3353"/>
      <c r="J1155" s="3353"/>
      <c r="K1155" s="3353"/>
      <c r="L1155" s="3353"/>
      <c r="M1155" s="3353"/>
      <c r="N1155" s="3353"/>
      <c r="O1155" s="3353"/>
      <c r="P1155" s="3353"/>
      <c r="Q1155" s="3353"/>
      <c r="R1155" s="3353"/>
      <c r="S1155" s="3353"/>
      <c r="T1155" s="3353"/>
      <c r="U1155" s="3353"/>
      <c r="V1155" s="3353"/>
      <c r="W1155" s="3353"/>
      <c r="X1155" s="3353"/>
      <c r="Y1155" s="3353"/>
      <c r="Z1155" s="3353"/>
      <c r="AA1155" s="3353"/>
      <c r="AB1155" s="3353"/>
      <c r="AC1155" s="3353"/>
      <c r="AD1155" s="3353"/>
      <c r="AE1155" s="3353"/>
      <c r="AF1155" s="3353"/>
      <c r="AG1155" s="3353"/>
      <c r="AH1155" s="3353"/>
      <c r="AI1155" s="3353"/>
      <c r="AJ1155" s="3353"/>
      <c r="AK1155" s="3353"/>
      <c r="AL1155" s="3353"/>
    </row>
    <row r="1156" spans="1:38" s="3309" customFormat="1" x14ac:dyDescent="0.2">
      <c r="A1156" s="3459" t="s">
        <v>1322</v>
      </c>
      <c r="B1156" s="3515"/>
      <c r="C1156" s="3412"/>
      <c r="D1156" s="3412"/>
      <c r="E1156" s="3412"/>
      <c r="F1156" s="3412"/>
      <c r="G1156" s="3412"/>
      <c r="H1156" s="3353"/>
      <c r="I1156" s="3353"/>
      <c r="J1156" s="3353"/>
      <c r="K1156" s="3353"/>
      <c r="L1156" s="3353"/>
      <c r="M1156" s="3353"/>
      <c r="N1156" s="3353"/>
      <c r="O1156" s="3353"/>
      <c r="P1156" s="3353"/>
      <c r="Q1156" s="3353"/>
      <c r="R1156" s="3353"/>
      <c r="S1156" s="3353"/>
      <c r="T1156" s="3353"/>
      <c r="U1156" s="3353"/>
      <c r="V1156" s="3353"/>
      <c r="W1156" s="3353"/>
      <c r="X1156" s="3353"/>
      <c r="Y1156" s="3353"/>
      <c r="Z1156" s="3353"/>
      <c r="AA1156" s="3353"/>
      <c r="AB1156" s="3353"/>
      <c r="AC1156" s="3353"/>
      <c r="AD1156" s="3353"/>
      <c r="AE1156" s="3353"/>
      <c r="AF1156" s="3353"/>
      <c r="AG1156" s="3353"/>
      <c r="AH1156" s="3353"/>
      <c r="AI1156" s="3353"/>
      <c r="AJ1156" s="3353"/>
      <c r="AK1156" s="3353"/>
      <c r="AL1156" s="3353"/>
    </row>
    <row r="1157" spans="1:38" s="3309" customFormat="1" x14ac:dyDescent="0.2">
      <c r="A1157" s="3459" t="s">
        <v>4413</v>
      </c>
      <c r="B1157" s="3595">
        <v>1.5</v>
      </c>
      <c r="C1157" s="3595">
        <v>1.5</v>
      </c>
      <c r="D1157" s="3595">
        <v>1.5</v>
      </c>
      <c r="E1157" s="3595">
        <v>1.5</v>
      </c>
      <c r="F1157" s="3595">
        <v>1.5</v>
      </c>
      <c r="G1157" s="3595">
        <v>1.5</v>
      </c>
      <c r="H1157" s="3353"/>
      <c r="I1157" s="3353"/>
      <c r="J1157" s="3353"/>
      <c r="K1157" s="3353"/>
      <c r="L1157" s="3353"/>
      <c r="M1157" s="3353"/>
      <c r="N1157" s="3353"/>
      <c r="O1157" s="3353"/>
      <c r="P1157" s="3353"/>
      <c r="Q1157" s="3353"/>
      <c r="R1157" s="3353"/>
      <c r="S1157" s="3353"/>
      <c r="T1157" s="3353"/>
      <c r="U1157" s="3353"/>
      <c r="V1157" s="3353"/>
      <c r="W1157" s="3353"/>
      <c r="X1157" s="3353"/>
      <c r="Y1157" s="3353"/>
      <c r="Z1157" s="3353"/>
      <c r="AA1157" s="3353"/>
      <c r="AB1157" s="3353"/>
      <c r="AC1157" s="3353"/>
      <c r="AD1157" s="3353"/>
      <c r="AE1157" s="3353"/>
      <c r="AF1157" s="3353"/>
      <c r="AG1157" s="3353"/>
      <c r="AH1157" s="3353"/>
      <c r="AI1157" s="3353"/>
      <c r="AJ1157" s="3353"/>
      <c r="AK1157" s="3353"/>
      <c r="AL1157" s="3353"/>
    </row>
    <row r="1158" spans="1:38" s="3309" customFormat="1" x14ac:dyDescent="0.2">
      <c r="A1158" s="3459" t="s">
        <v>4414</v>
      </c>
      <c r="B1158" s="3417">
        <f t="shared" ref="B1158:G1158" si="565">IF(B746&gt;1.51,1.15,1)</f>
        <v>1.1499999999999999</v>
      </c>
      <c r="C1158" s="3417">
        <f t="shared" si="565"/>
        <v>1</v>
      </c>
      <c r="D1158" s="3417">
        <f t="shared" si="565"/>
        <v>1</v>
      </c>
      <c r="E1158" s="3417">
        <f t="shared" si="565"/>
        <v>1</v>
      </c>
      <c r="F1158" s="3417">
        <f t="shared" si="565"/>
        <v>1</v>
      </c>
      <c r="G1158" s="3417">
        <f t="shared" si="565"/>
        <v>1</v>
      </c>
      <c r="H1158" s="3353"/>
      <c r="I1158" s="3353"/>
      <c r="J1158" s="3353"/>
      <c r="K1158" s="3353"/>
      <c r="L1158" s="3353"/>
      <c r="M1158" s="3353"/>
      <c r="N1158" s="3353"/>
      <c r="O1158" s="3353"/>
      <c r="P1158" s="3353"/>
      <c r="Q1158" s="3353"/>
      <c r="R1158" s="3353"/>
      <c r="S1158" s="3353"/>
      <c r="T1158" s="3353"/>
      <c r="U1158" s="3353"/>
      <c r="V1158" s="3353"/>
      <c r="W1158" s="3353"/>
      <c r="X1158" s="3353"/>
      <c r="Y1158" s="3353"/>
      <c r="Z1158" s="3353"/>
      <c r="AA1158" s="3353"/>
      <c r="AB1158" s="3353"/>
      <c r="AC1158" s="3353"/>
      <c r="AD1158" s="3353"/>
      <c r="AE1158" s="3353"/>
      <c r="AF1158" s="3353"/>
      <c r="AG1158" s="3353"/>
      <c r="AH1158" s="3353"/>
      <c r="AI1158" s="3353"/>
      <c r="AJ1158" s="3353"/>
      <c r="AK1158" s="3353"/>
      <c r="AL1158" s="3353"/>
    </row>
    <row r="1159" spans="1:38" s="3309" customFormat="1" x14ac:dyDescent="0.2">
      <c r="A1159" s="3542" t="s">
        <v>3412</v>
      </c>
      <c r="B1159" s="3417" t="e">
        <f t="shared" ref="B1159:G1159" si="566">B1154*B1157*B1158</f>
        <v>#VALUE!</v>
      </c>
      <c r="C1159" s="3417">
        <f t="shared" si="566"/>
        <v>246</v>
      </c>
      <c r="D1159" s="3417">
        <f t="shared" si="566"/>
        <v>246</v>
      </c>
      <c r="E1159" s="3417">
        <f t="shared" si="566"/>
        <v>246</v>
      </c>
      <c r="F1159" s="3417">
        <f t="shared" si="566"/>
        <v>246</v>
      </c>
      <c r="G1159" s="3417">
        <f t="shared" si="566"/>
        <v>246</v>
      </c>
      <c r="H1159" s="3353"/>
      <c r="I1159" s="3353"/>
      <c r="J1159" s="3353"/>
      <c r="K1159" s="3353"/>
      <c r="L1159" s="3353"/>
      <c r="M1159" s="3353"/>
      <c r="N1159" s="3353"/>
      <c r="O1159" s="3353"/>
      <c r="P1159" s="3353"/>
      <c r="Q1159" s="3353"/>
      <c r="R1159" s="3353"/>
      <c r="S1159" s="3353"/>
      <c r="T1159" s="3353"/>
      <c r="U1159" s="3353"/>
      <c r="V1159" s="3353"/>
      <c r="W1159" s="3353"/>
      <c r="X1159" s="3353"/>
      <c r="Y1159" s="3353"/>
      <c r="Z1159" s="3353"/>
      <c r="AA1159" s="3353"/>
      <c r="AB1159" s="3353"/>
      <c r="AC1159" s="3353"/>
      <c r="AD1159" s="3353"/>
      <c r="AE1159" s="3353"/>
      <c r="AF1159" s="3353"/>
      <c r="AG1159" s="3353"/>
      <c r="AH1159" s="3353"/>
      <c r="AI1159" s="3353"/>
      <c r="AJ1159" s="3353"/>
      <c r="AK1159" s="3353"/>
      <c r="AL1159" s="3353"/>
    </row>
    <row r="1160" spans="1:38" s="3309" customFormat="1" x14ac:dyDescent="0.2">
      <c r="A1160" s="3594" t="s">
        <v>4415</v>
      </c>
      <c r="B1160" s="3404" t="e">
        <f t="shared" ref="B1160:G1160" si="567">B1153/B1159</f>
        <v>#VALUE!</v>
      </c>
      <c r="C1160" s="3404">
        <f t="shared" si="567"/>
        <v>0</v>
      </c>
      <c r="D1160" s="3404">
        <f t="shared" si="567"/>
        <v>0</v>
      </c>
      <c r="E1160" s="3404">
        <f t="shared" si="567"/>
        <v>0</v>
      </c>
      <c r="F1160" s="3404">
        <f t="shared" si="567"/>
        <v>0</v>
      </c>
      <c r="G1160" s="3404">
        <f t="shared" si="567"/>
        <v>0</v>
      </c>
      <c r="H1160" s="3353"/>
      <c r="I1160" s="3353"/>
      <c r="J1160" s="3353"/>
      <c r="K1160" s="3353"/>
      <c r="L1160" s="3353"/>
      <c r="M1160" s="3353"/>
      <c r="N1160" s="3353"/>
      <c r="O1160" s="3353"/>
      <c r="P1160" s="3353"/>
      <c r="Q1160" s="3353"/>
      <c r="R1160" s="3353"/>
      <c r="S1160" s="3353"/>
      <c r="T1160" s="3353"/>
      <c r="U1160" s="3353"/>
      <c r="V1160" s="3353"/>
      <c r="W1160" s="3353"/>
      <c r="X1160" s="3353"/>
      <c r="Y1160" s="3353"/>
      <c r="Z1160" s="3353"/>
      <c r="AA1160" s="3353"/>
      <c r="AB1160" s="3353"/>
      <c r="AC1160" s="3353"/>
      <c r="AD1160" s="3353"/>
      <c r="AE1160" s="3353"/>
      <c r="AF1160" s="3353"/>
      <c r="AG1160" s="3353"/>
      <c r="AH1160" s="3353"/>
      <c r="AI1160" s="3353"/>
      <c r="AJ1160" s="3353"/>
      <c r="AK1160" s="3353"/>
      <c r="AL1160" s="3353"/>
    </row>
    <row r="1161" spans="1:38" s="3309" customFormat="1" x14ac:dyDescent="0.2">
      <c r="A1161" s="3489"/>
      <c r="B1161" s="3489"/>
      <c r="C1161" s="3489"/>
      <c r="D1161" s="3489"/>
      <c r="E1161" s="3489"/>
      <c r="F1161" s="3489"/>
      <c r="G1161" s="3489"/>
      <c r="H1161" s="3353"/>
      <c r="I1161" s="3353"/>
      <c r="J1161" s="3353"/>
      <c r="K1161" s="3353"/>
      <c r="L1161" s="3353"/>
      <c r="M1161" s="3353"/>
      <c r="N1161" s="3353"/>
      <c r="O1161" s="3353"/>
      <c r="P1161" s="3353"/>
      <c r="Q1161" s="3353"/>
      <c r="R1161" s="3353"/>
      <c r="S1161" s="3353"/>
      <c r="T1161" s="3353"/>
      <c r="U1161" s="3353"/>
      <c r="V1161" s="3353"/>
      <c r="W1161" s="3353"/>
      <c r="X1161" s="3353"/>
      <c r="Y1161" s="3353"/>
      <c r="Z1161" s="3353"/>
      <c r="AA1161" s="3353"/>
      <c r="AB1161" s="3353"/>
      <c r="AC1161" s="3353"/>
      <c r="AD1161" s="3353"/>
      <c r="AE1161" s="3353"/>
      <c r="AF1161" s="3353"/>
      <c r="AG1161" s="3353"/>
      <c r="AH1161" s="3353"/>
      <c r="AI1161" s="3353"/>
      <c r="AJ1161" s="3353"/>
      <c r="AK1161" s="3353"/>
      <c r="AL1161" s="3353"/>
    </row>
    <row r="1162" spans="1:38" s="3309" customFormat="1" x14ac:dyDescent="0.2">
      <c r="A1162" s="3331" t="s">
        <v>6098</v>
      </c>
      <c r="B1162" s="3484" t="e">
        <f t="shared" ref="B1162:G1162" si="568">B1160+B1151+B1145+B1123+B1145</f>
        <v>#VALUE!</v>
      </c>
      <c r="C1162" s="3484" t="e">
        <f t="shared" si="568"/>
        <v>#DIV/0!</v>
      </c>
      <c r="D1162" s="3484" t="e">
        <f t="shared" si="568"/>
        <v>#DIV/0!</v>
      </c>
      <c r="E1162" s="3484" t="e">
        <f t="shared" si="568"/>
        <v>#DIV/0!</v>
      </c>
      <c r="F1162" s="3484" t="e">
        <f t="shared" si="568"/>
        <v>#DIV/0!</v>
      </c>
      <c r="G1162" s="3484" t="e">
        <f t="shared" si="568"/>
        <v>#DIV/0!</v>
      </c>
      <c r="H1162" s="3353"/>
      <c r="I1162" s="3353"/>
      <c r="J1162" s="3353"/>
      <c r="K1162" s="3353"/>
      <c r="L1162" s="3353"/>
      <c r="M1162" s="3353"/>
      <c r="N1162" s="3353"/>
      <c r="O1162" s="3353"/>
      <c r="P1162" s="3353"/>
      <c r="Q1162" s="3353"/>
      <c r="R1162" s="3353"/>
      <c r="S1162" s="3353"/>
      <c r="T1162" s="3353"/>
      <c r="U1162" s="3353"/>
      <c r="V1162" s="3353"/>
      <c r="W1162" s="3353"/>
      <c r="X1162" s="3353"/>
      <c r="Y1162" s="3353"/>
      <c r="Z1162" s="3353"/>
      <c r="AA1162" s="3353"/>
      <c r="AB1162" s="3353"/>
      <c r="AC1162" s="3353"/>
      <c r="AD1162" s="3353"/>
      <c r="AE1162" s="3353"/>
      <c r="AF1162" s="3353"/>
      <c r="AG1162" s="3353"/>
      <c r="AH1162" s="3353"/>
      <c r="AI1162" s="3353"/>
      <c r="AJ1162" s="3353"/>
      <c r="AK1162" s="3353"/>
      <c r="AL1162" s="3353"/>
    </row>
    <row r="1163" spans="1:38" s="3309" customFormat="1" x14ac:dyDescent="0.2">
      <c r="A1163" s="3488" t="s">
        <v>6097</v>
      </c>
      <c r="B1163" s="3487"/>
      <c r="C1163" s="3487"/>
      <c r="D1163" s="3487"/>
      <c r="E1163" s="3487"/>
      <c r="F1163" s="3487"/>
      <c r="G1163" s="3486"/>
      <c r="H1163" s="3353"/>
      <c r="I1163" s="3353"/>
      <c r="J1163" s="3353"/>
      <c r="K1163" s="3353"/>
      <c r="L1163" s="3353"/>
      <c r="M1163" s="3353"/>
      <c r="N1163" s="3353"/>
      <c r="O1163" s="3353"/>
      <c r="P1163" s="3353"/>
      <c r="Q1163" s="3353"/>
      <c r="R1163" s="3353"/>
      <c r="S1163" s="3353"/>
      <c r="T1163" s="3353"/>
      <c r="U1163" s="3353"/>
      <c r="V1163" s="3353"/>
      <c r="W1163" s="3353"/>
      <c r="X1163" s="3353"/>
      <c r="Y1163" s="3353"/>
      <c r="Z1163" s="3353"/>
      <c r="AA1163" s="3353"/>
      <c r="AB1163" s="3353"/>
      <c r="AC1163" s="3353"/>
      <c r="AD1163" s="3353"/>
      <c r="AE1163" s="3353"/>
      <c r="AF1163" s="3353"/>
      <c r="AG1163" s="3353"/>
      <c r="AH1163" s="3353"/>
      <c r="AI1163" s="3353"/>
      <c r="AJ1163" s="3353"/>
      <c r="AK1163" s="3353"/>
      <c r="AL1163" s="3353"/>
    </row>
    <row r="1164" spans="1:38" s="3309" customFormat="1" x14ac:dyDescent="0.2">
      <c r="A1164" s="3323" t="s">
        <v>6096</v>
      </c>
      <c r="B1164" s="3484" t="e">
        <f t="shared" ref="B1164:G1164" si="569">IF(B761=1,B1073,B1098+B1115)</f>
        <v>#VALUE!</v>
      </c>
      <c r="C1164" s="3484" t="e">
        <f t="shared" si="569"/>
        <v>#DIV/0!</v>
      </c>
      <c r="D1164" s="3484" t="e">
        <f t="shared" si="569"/>
        <v>#DIV/0!</v>
      </c>
      <c r="E1164" s="3484" t="e">
        <f t="shared" si="569"/>
        <v>#DIV/0!</v>
      </c>
      <c r="F1164" s="3484" t="e">
        <f t="shared" si="569"/>
        <v>#DIV/0!</v>
      </c>
      <c r="G1164" s="3484" t="e">
        <f t="shared" si="569"/>
        <v>#DIV/0!</v>
      </c>
      <c r="H1164" s="3353"/>
      <c r="I1164" s="3353"/>
      <c r="J1164" s="3353"/>
      <c r="K1164" s="3353"/>
      <c r="L1164" s="3353"/>
      <c r="M1164" s="3353"/>
      <c r="N1164" s="3353"/>
      <c r="O1164" s="3353"/>
      <c r="P1164" s="3353"/>
      <c r="Q1164" s="3353"/>
      <c r="R1164" s="3353"/>
      <c r="S1164" s="3353"/>
      <c r="T1164" s="3353"/>
      <c r="U1164" s="3353"/>
      <c r="V1164" s="3353"/>
      <c r="W1164" s="3353"/>
      <c r="X1164" s="3353"/>
      <c r="Y1164" s="3353"/>
      <c r="Z1164" s="3353"/>
      <c r="AA1164" s="3353"/>
      <c r="AB1164" s="3353"/>
      <c r="AC1164" s="3353"/>
      <c r="AD1164" s="3353"/>
      <c r="AE1164" s="3353"/>
      <c r="AF1164" s="3353"/>
      <c r="AG1164" s="3353"/>
      <c r="AH1164" s="3353"/>
      <c r="AI1164" s="3353"/>
      <c r="AJ1164" s="3353"/>
      <c r="AK1164" s="3353"/>
      <c r="AL1164" s="3353"/>
    </row>
    <row r="1165" spans="1:38" s="3309" customFormat="1" x14ac:dyDescent="0.2">
      <c r="A1165" s="3323" t="s">
        <v>6095</v>
      </c>
      <c r="B1165" s="3484" t="e">
        <f t="shared" ref="B1165:G1165" si="570">B1057</f>
        <v>#VALUE!</v>
      </c>
      <c r="C1165" s="3484" t="e">
        <f t="shared" si="570"/>
        <v>#DIV/0!</v>
      </c>
      <c r="D1165" s="3484" t="e">
        <f t="shared" si="570"/>
        <v>#DIV/0!</v>
      </c>
      <c r="E1165" s="3484" t="e">
        <f t="shared" si="570"/>
        <v>#DIV/0!</v>
      </c>
      <c r="F1165" s="3484" t="e">
        <f t="shared" si="570"/>
        <v>#DIV/0!</v>
      </c>
      <c r="G1165" s="3484" t="e">
        <f t="shared" si="570"/>
        <v>#DIV/0!</v>
      </c>
      <c r="H1165" s="3353"/>
      <c r="I1165" s="3353"/>
      <c r="J1165" s="3353"/>
      <c r="K1165" s="3353"/>
      <c r="L1165" s="3353"/>
      <c r="M1165" s="3353"/>
      <c r="N1165" s="3353"/>
      <c r="O1165" s="3353"/>
      <c r="P1165" s="3353"/>
      <c r="Q1165" s="3353"/>
      <c r="R1165" s="3353"/>
      <c r="S1165" s="3353"/>
      <c r="T1165" s="3353"/>
      <c r="U1165" s="3353"/>
      <c r="V1165" s="3353"/>
      <c r="W1165" s="3353"/>
      <c r="X1165" s="3353"/>
      <c r="Y1165" s="3353"/>
      <c r="Z1165" s="3353"/>
      <c r="AA1165" s="3353"/>
      <c r="AB1165" s="3353"/>
      <c r="AC1165" s="3353"/>
      <c r="AD1165" s="3353"/>
      <c r="AE1165" s="3353"/>
      <c r="AF1165" s="3353"/>
      <c r="AG1165" s="3353"/>
      <c r="AH1165" s="3353"/>
      <c r="AI1165" s="3353"/>
      <c r="AJ1165" s="3353"/>
      <c r="AK1165" s="3353"/>
      <c r="AL1165" s="3353"/>
    </row>
    <row r="1166" spans="1:38" s="3309" customFormat="1" x14ac:dyDescent="0.2">
      <c r="A1166" s="3323" t="s">
        <v>6094</v>
      </c>
      <c r="B1166" s="3325" t="e">
        <f t="shared" ref="B1166:G1166" si="571">B1162*B736</f>
        <v>#VALUE!</v>
      </c>
      <c r="C1166" s="3325" t="e">
        <f t="shared" si="571"/>
        <v>#DIV/0!</v>
      </c>
      <c r="D1166" s="3325" t="e">
        <f t="shared" si="571"/>
        <v>#DIV/0!</v>
      </c>
      <c r="E1166" s="3325" t="e">
        <f t="shared" si="571"/>
        <v>#DIV/0!</v>
      </c>
      <c r="F1166" s="3325" t="e">
        <f t="shared" si="571"/>
        <v>#DIV/0!</v>
      </c>
      <c r="G1166" s="3325" t="e">
        <f t="shared" si="571"/>
        <v>#DIV/0!</v>
      </c>
      <c r="H1166" s="3353"/>
      <c r="I1166" s="3353"/>
      <c r="J1166" s="3353"/>
      <c r="K1166" s="3353"/>
      <c r="L1166" s="3353"/>
      <c r="M1166" s="3353"/>
      <c r="N1166" s="3353"/>
      <c r="O1166" s="3353"/>
      <c r="P1166" s="3353"/>
      <c r="Q1166" s="3353"/>
      <c r="R1166" s="3353"/>
      <c r="S1166" s="3353"/>
      <c r="T1166" s="3353"/>
      <c r="U1166" s="3353"/>
      <c r="V1166" s="3353"/>
      <c r="W1166" s="3353"/>
      <c r="X1166" s="3353"/>
      <c r="Y1166" s="3353"/>
      <c r="Z1166" s="3353"/>
      <c r="AA1166" s="3353"/>
      <c r="AB1166" s="3353"/>
      <c r="AC1166" s="3353"/>
      <c r="AD1166" s="3353"/>
      <c r="AE1166" s="3353"/>
      <c r="AF1166" s="3353"/>
      <c r="AG1166" s="3353"/>
      <c r="AH1166" s="3353"/>
      <c r="AI1166" s="3353"/>
      <c r="AJ1166" s="3353"/>
      <c r="AK1166" s="3353"/>
      <c r="AL1166" s="3353"/>
    </row>
    <row r="1167" spans="1:38" s="3309" customFormat="1" x14ac:dyDescent="0.2">
      <c r="A1167" s="3323" t="s">
        <v>6093</v>
      </c>
      <c r="B1167" s="3484" t="e">
        <f t="shared" ref="B1167:G1167" si="572">B1164+B1165+B1166</f>
        <v>#VALUE!</v>
      </c>
      <c r="C1167" s="3484" t="e">
        <f t="shared" si="572"/>
        <v>#DIV/0!</v>
      </c>
      <c r="D1167" s="3484" t="e">
        <f t="shared" si="572"/>
        <v>#DIV/0!</v>
      </c>
      <c r="E1167" s="3484" t="e">
        <f t="shared" si="572"/>
        <v>#DIV/0!</v>
      </c>
      <c r="F1167" s="3484" t="e">
        <f t="shared" si="572"/>
        <v>#DIV/0!</v>
      </c>
      <c r="G1167" s="3484" t="e">
        <f t="shared" si="572"/>
        <v>#DIV/0!</v>
      </c>
      <c r="H1167" s="3353"/>
      <c r="I1167" s="3353"/>
      <c r="J1167" s="3353"/>
      <c r="K1167" s="3353"/>
      <c r="L1167" s="3353"/>
      <c r="M1167" s="3353"/>
      <c r="N1167" s="3353"/>
      <c r="O1167" s="3353"/>
      <c r="P1167" s="3353"/>
      <c r="Q1167" s="3353"/>
      <c r="R1167" s="3353"/>
      <c r="S1167" s="3353"/>
      <c r="T1167" s="3353"/>
      <c r="U1167" s="3353"/>
      <c r="V1167" s="3353"/>
      <c r="W1167" s="3353"/>
      <c r="X1167" s="3353"/>
      <c r="Y1167" s="3353"/>
      <c r="Z1167" s="3353"/>
      <c r="AA1167" s="3353"/>
      <c r="AB1167" s="3353"/>
      <c r="AC1167" s="3353"/>
      <c r="AD1167" s="3353"/>
      <c r="AE1167" s="3353"/>
      <c r="AF1167" s="3353"/>
      <c r="AG1167" s="3353"/>
      <c r="AH1167" s="3353"/>
      <c r="AI1167" s="3353"/>
      <c r="AJ1167" s="3353"/>
      <c r="AK1167" s="3353"/>
      <c r="AL1167" s="3353"/>
    </row>
    <row r="1168" spans="1:38" s="3309" customFormat="1" x14ac:dyDescent="0.2">
      <c r="A1168" s="3323" t="s">
        <v>6092</v>
      </c>
      <c r="B1168" s="3484" t="e">
        <f t="shared" ref="B1168:G1168" si="573">B1167*B1287/(B1173*B1176)</f>
        <v>#VALUE!</v>
      </c>
      <c r="C1168" s="3484" t="e">
        <f t="shared" si="573"/>
        <v>#DIV/0!</v>
      </c>
      <c r="D1168" s="3484" t="e">
        <f t="shared" si="573"/>
        <v>#DIV/0!</v>
      </c>
      <c r="E1168" s="3484" t="e">
        <f t="shared" si="573"/>
        <v>#DIV/0!</v>
      </c>
      <c r="F1168" s="3484" t="e">
        <f t="shared" si="573"/>
        <v>#DIV/0!</v>
      </c>
      <c r="G1168" s="3484" t="e">
        <f t="shared" si="573"/>
        <v>#DIV/0!</v>
      </c>
      <c r="H1168" s="3353"/>
      <c r="I1168" s="3353"/>
      <c r="J1168" s="3353"/>
      <c r="K1168" s="3353"/>
      <c r="L1168" s="3353"/>
      <c r="M1168" s="3353"/>
      <c r="N1168" s="3353"/>
      <c r="O1168" s="3353"/>
      <c r="P1168" s="3353"/>
      <c r="Q1168" s="3353"/>
      <c r="R1168" s="3353"/>
      <c r="S1168" s="3353"/>
      <c r="T1168" s="3353"/>
      <c r="U1168" s="3353"/>
      <c r="V1168" s="3353"/>
      <c r="W1168" s="3353"/>
      <c r="X1168" s="3353"/>
      <c r="Y1168" s="3353"/>
      <c r="Z1168" s="3353"/>
      <c r="AA1168" s="3353"/>
      <c r="AB1168" s="3353"/>
      <c r="AC1168" s="3353"/>
      <c r="AD1168" s="3353"/>
      <c r="AE1168" s="3353"/>
      <c r="AF1168" s="3353"/>
      <c r="AG1168" s="3353"/>
      <c r="AH1168" s="3353"/>
      <c r="AI1168" s="3353"/>
      <c r="AJ1168" s="3353"/>
      <c r="AK1168" s="3353"/>
      <c r="AL1168" s="3353"/>
    </row>
    <row r="1169" spans="1:38" s="3309" customFormat="1" x14ac:dyDescent="0.2">
      <c r="A1169" s="3331" t="s">
        <v>6091</v>
      </c>
      <c r="G1169" s="3353"/>
      <c r="H1169" s="3353"/>
      <c r="I1169" s="3353"/>
      <c r="J1169" s="3353"/>
      <c r="K1169" s="3353"/>
      <c r="L1169" s="3353"/>
      <c r="M1169" s="3353"/>
      <c r="N1169" s="3353"/>
      <c r="O1169" s="3353"/>
      <c r="P1169" s="3353"/>
      <c r="Q1169" s="3353"/>
      <c r="R1169" s="3353"/>
      <c r="S1169" s="3353"/>
      <c r="T1169" s="3353"/>
      <c r="U1169" s="3353"/>
      <c r="V1169" s="3353"/>
      <c r="W1169" s="3353"/>
      <c r="X1169" s="3353"/>
      <c r="Y1169" s="3353"/>
      <c r="Z1169" s="3353"/>
      <c r="AA1169" s="3353"/>
      <c r="AB1169" s="3353"/>
      <c r="AC1169" s="3353"/>
      <c r="AD1169" s="3353"/>
      <c r="AE1169" s="3353"/>
      <c r="AF1169" s="3353"/>
      <c r="AG1169" s="3353"/>
      <c r="AH1169" s="3353"/>
      <c r="AI1169" s="3353"/>
      <c r="AJ1169" s="3353"/>
      <c r="AK1169" s="3353"/>
      <c r="AL1169" s="3353"/>
    </row>
    <row r="1170" spans="1:38" s="3309" customFormat="1" x14ac:dyDescent="0.2">
      <c r="A1170" s="3329" t="s">
        <v>6090</v>
      </c>
      <c r="B1170" s="3330">
        <f t="shared" ref="B1170:G1170" si="574">B185</f>
        <v>300</v>
      </c>
      <c r="C1170" s="3330">
        <f t="shared" si="574"/>
        <v>300</v>
      </c>
      <c r="D1170" s="3330">
        <f t="shared" si="574"/>
        <v>300</v>
      </c>
      <c r="E1170" s="3330">
        <f t="shared" si="574"/>
        <v>300</v>
      </c>
      <c r="F1170" s="3330">
        <f t="shared" si="574"/>
        <v>300</v>
      </c>
      <c r="G1170" s="3330">
        <f t="shared" si="574"/>
        <v>300</v>
      </c>
      <c r="H1170" s="3353"/>
      <c r="I1170" s="3353"/>
      <c r="J1170" s="3353"/>
      <c r="K1170" s="3353"/>
      <c r="L1170" s="3353"/>
      <c r="M1170" s="3353"/>
      <c r="N1170" s="3353"/>
      <c r="O1170" s="3353"/>
      <c r="P1170" s="3353"/>
      <c r="Q1170" s="3353"/>
      <c r="R1170" s="3353"/>
      <c r="S1170" s="3353"/>
      <c r="T1170" s="3353"/>
      <c r="U1170" s="3353"/>
      <c r="V1170" s="3353"/>
      <c r="W1170" s="3353"/>
      <c r="X1170" s="3353"/>
      <c r="Y1170" s="3353"/>
      <c r="Z1170" s="3353"/>
      <c r="AA1170" s="3353"/>
      <c r="AB1170" s="3353"/>
      <c r="AC1170" s="3353"/>
      <c r="AD1170" s="3353"/>
      <c r="AE1170" s="3353"/>
      <c r="AF1170" s="3353"/>
      <c r="AG1170" s="3353"/>
      <c r="AH1170" s="3353"/>
      <c r="AI1170" s="3353"/>
      <c r="AJ1170" s="3353"/>
      <c r="AK1170" s="3353"/>
      <c r="AL1170" s="3353"/>
    </row>
    <row r="1171" spans="1:38" s="3309" customFormat="1" x14ac:dyDescent="0.2">
      <c r="A1171" s="3480" t="s">
        <v>6089</v>
      </c>
      <c r="B1171" s="3323">
        <f t="shared" ref="B1171:G1171" si="575">B1170*B192</f>
        <v>420</v>
      </c>
      <c r="C1171" s="3323">
        <f t="shared" si="575"/>
        <v>420</v>
      </c>
      <c r="D1171" s="3323">
        <f t="shared" si="575"/>
        <v>420</v>
      </c>
      <c r="E1171" s="3323">
        <f t="shared" si="575"/>
        <v>420</v>
      </c>
      <c r="F1171" s="3323">
        <f t="shared" si="575"/>
        <v>420</v>
      </c>
      <c r="G1171" s="3323">
        <f t="shared" si="575"/>
        <v>420</v>
      </c>
      <c r="H1171" s="3353"/>
      <c r="I1171" s="3353"/>
      <c r="J1171" s="3353"/>
      <c r="K1171" s="3353"/>
      <c r="L1171" s="3353"/>
      <c r="M1171" s="3353"/>
      <c r="N1171" s="3353"/>
      <c r="O1171" s="3353"/>
      <c r="P1171" s="3353"/>
      <c r="Q1171" s="3353"/>
      <c r="R1171" s="3353"/>
      <c r="S1171" s="3353"/>
      <c r="T1171" s="3353"/>
      <c r="U1171" s="3353"/>
      <c r="V1171" s="3353"/>
      <c r="W1171" s="3353"/>
      <c r="X1171" s="3353"/>
      <c r="Y1171" s="3353"/>
      <c r="Z1171" s="3353"/>
      <c r="AA1171" s="3353"/>
      <c r="AB1171" s="3353"/>
      <c r="AC1171" s="3353"/>
      <c r="AD1171" s="3353"/>
      <c r="AE1171" s="3353"/>
      <c r="AF1171" s="3353"/>
      <c r="AG1171" s="3353"/>
      <c r="AH1171" s="3353"/>
      <c r="AI1171" s="3353"/>
      <c r="AJ1171" s="3353"/>
      <c r="AK1171" s="3353"/>
      <c r="AL1171" s="3353"/>
    </row>
    <row r="1172" spans="1:38" s="3309" customFormat="1" x14ac:dyDescent="0.2">
      <c r="A1172" s="3480" t="s">
        <v>6088</v>
      </c>
      <c r="B1172" s="3323" t="e">
        <f t="shared" ref="B1172:G1172" si="576">B1171*B1168</f>
        <v>#VALUE!</v>
      </c>
      <c r="C1172" s="3323" t="e">
        <f t="shared" si="576"/>
        <v>#DIV/0!</v>
      </c>
      <c r="D1172" s="3323" t="e">
        <f t="shared" si="576"/>
        <v>#DIV/0!</v>
      </c>
      <c r="E1172" s="3323" t="e">
        <f t="shared" si="576"/>
        <v>#DIV/0!</v>
      </c>
      <c r="F1172" s="3323" t="e">
        <f t="shared" si="576"/>
        <v>#DIV/0!</v>
      </c>
      <c r="G1172" s="3323" t="e">
        <f t="shared" si="576"/>
        <v>#DIV/0!</v>
      </c>
      <c r="H1172" s="3353"/>
      <c r="I1172" s="3353"/>
      <c r="J1172" s="3353"/>
      <c r="K1172" s="3353"/>
      <c r="L1172" s="3353"/>
      <c r="M1172" s="3353"/>
      <c r="N1172" s="3353"/>
      <c r="O1172" s="3353"/>
      <c r="P1172" s="3353"/>
      <c r="Q1172" s="3353"/>
      <c r="R1172" s="3353"/>
      <c r="S1172" s="3353"/>
      <c r="T1172" s="3353"/>
      <c r="U1172" s="3353"/>
      <c r="V1172" s="3353"/>
      <c r="W1172" s="3353"/>
      <c r="X1172" s="3353"/>
      <c r="Y1172" s="3353"/>
      <c r="Z1172" s="3353"/>
      <c r="AA1172" s="3353"/>
      <c r="AB1172" s="3353"/>
      <c r="AC1172" s="3353"/>
      <c r="AD1172" s="3353"/>
      <c r="AE1172" s="3353"/>
      <c r="AF1172" s="3353"/>
      <c r="AG1172" s="3353"/>
      <c r="AH1172" s="3353"/>
      <c r="AI1172" s="3353"/>
      <c r="AJ1172" s="3353"/>
      <c r="AK1172" s="3353"/>
      <c r="AL1172" s="3353"/>
    </row>
    <row r="1173" spans="1:38" s="3309" customFormat="1" x14ac:dyDescent="0.2">
      <c r="A1173" s="3480" t="s">
        <v>3108</v>
      </c>
      <c r="B1173" s="3323">
        <f t="shared" ref="B1173:G1173" si="577">IF(B758&gt;2,2,3)</f>
        <v>2</v>
      </c>
      <c r="C1173" s="3323">
        <f t="shared" si="577"/>
        <v>3</v>
      </c>
      <c r="D1173" s="3323">
        <f t="shared" si="577"/>
        <v>3</v>
      </c>
      <c r="E1173" s="3323">
        <f t="shared" si="577"/>
        <v>3</v>
      </c>
      <c r="F1173" s="3323">
        <f t="shared" si="577"/>
        <v>3</v>
      </c>
      <c r="G1173" s="3323">
        <f t="shared" si="577"/>
        <v>3</v>
      </c>
      <c r="H1173" s="3353"/>
      <c r="I1173" s="3353"/>
      <c r="J1173" s="3353"/>
      <c r="K1173" s="3353"/>
      <c r="L1173" s="3353"/>
      <c r="M1173" s="3353"/>
      <c r="N1173" s="3353"/>
      <c r="O1173" s="3353"/>
      <c r="P1173" s="3353"/>
      <c r="Q1173" s="3353"/>
      <c r="R1173" s="3353"/>
      <c r="S1173" s="3353"/>
      <c r="T1173" s="3353"/>
      <c r="U1173" s="3353"/>
      <c r="V1173" s="3353"/>
      <c r="W1173" s="3353"/>
      <c r="X1173" s="3353"/>
      <c r="Y1173" s="3353"/>
      <c r="Z1173" s="3353"/>
      <c r="AA1173" s="3353"/>
      <c r="AB1173" s="3353"/>
      <c r="AC1173" s="3353"/>
      <c r="AD1173" s="3353"/>
      <c r="AE1173" s="3353"/>
      <c r="AF1173" s="3353"/>
      <c r="AG1173" s="3353"/>
      <c r="AH1173" s="3353"/>
      <c r="AI1173" s="3353"/>
      <c r="AJ1173" s="3353"/>
      <c r="AK1173" s="3353"/>
      <c r="AL1173" s="3353"/>
    </row>
    <row r="1174" spans="1:38" s="3309" customFormat="1" x14ac:dyDescent="0.2">
      <c r="A1174" s="3485"/>
      <c r="B1174" s="3484"/>
      <c r="C1174" s="3484"/>
      <c r="D1174" s="3484"/>
      <c r="E1174" s="3484"/>
      <c r="F1174" s="3484"/>
      <c r="G1174" s="3484"/>
      <c r="H1174" s="3353"/>
      <c r="I1174" s="3353"/>
      <c r="J1174" s="3353"/>
      <c r="K1174" s="3353"/>
      <c r="L1174" s="3353"/>
      <c r="M1174" s="3353"/>
      <c r="N1174" s="3353"/>
      <c r="O1174" s="3353"/>
      <c r="P1174" s="3353"/>
      <c r="Q1174" s="3353"/>
      <c r="R1174" s="3353"/>
      <c r="S1174" s="3353"/>
      <c r="T1174" s="3353"/>
      <c r="U1174" s="3353"/>
      <c r="V1174" s="3353"/>
      <c r="W1174" s="3353"/>
      <c r="X1174" s="3353"/>
      <c r="Y1174" s="3353"/>
      <c r="Z1174" s="3353"/>
      <c r="AA1174" s="3353"/>
      <c r="AB1174" s="3353"/>
      <c r="AC1174" s="3353"/>
      <c r="AD1174" s="3353"/>
      <c r="AE1174" s="3353"/>
      <c r="AF1174" s="3353"/>
      <c r="AG1174" s="3353"/>
      <c r="AH1174" s="3353"/>
      <c r="AI1174" s="3353"/>
      <c r="AJ1174" s="3353"/>
      <c r="AK1174" s="3353"/>
      <c r="AL1174" s="3353"/>
    </row>
    <row r="1175" spans="1:38" s="3309" customFormat="1" x14ac:dyDescent="0.2">
      <c r="A1175" s="3483" t="s">
        <v>6087</v>
      </c>
      <c r="B1175" s="3323" t="e">
        <f t="shared" ref="B1175:G1175" si="578">B1168*B1173</f>
        <v>#VALUE!</v>
      </c>
      <c r="C1175" s="3323" t="e">
        <f t="shared" si="578"/>
        <v>#DIV/0!</v>
      </c>
      <c r="D1175" s="3323" t="e">
        <f t="shared" si="578"/>
        <v>#DIV/0!</v>
      </c>
      <c r="E1175" s="3323" t="e">
        <f t="shared" si="578"/>
        <v>#DIV/0!</v>
      </c>
      <c r="F1175" s="3323" t="e">
        <f t="shared" si="578"/>
        <v>#DIV/0!</v>
      </c>
      <c r="G1175" s="3323" t="e">
        <f t="shared" si="578"/>
        <v>#DIV/0!</v>
      </c>
      <c r="H1175" s="3353"/>
      <c r="I1175" s="3353"/>
      <c r="J1175" s="3353"/>
      <c r="K1175" s="3353"/>
      <c r="L1175" s="3353"/>
      <c r="M1175" s="3353"/>
      <c r="N1175" s="3353"/>
      <c r="O1175" s="3353"/>
      <c r="P1175" s="3353"/>
      <c r="Q1175" s="3353"/>
      <c r="R1175" s="3353"/>
      <c r="S1175" s="3353"/>
      <c r="T1175" s="3353"/>
      <c r="U1175" s="3353"/>
      <c r="V1175" s="3353"/>
      <c r="W1175" s="3353"/>
      <c r="X1175" s="3353"/>
      <c r="Y1175" s="3353"/>
      <c r="Z1175" s="3353"/>
      <c r="AA1175" s="3353"/>
      <c r="AB1175" s="3353"/>
      <c r="AC1175" s="3353"/>
      <c r="AD1175" s="3353"/>
      <c r="AE1175" s="3353"/>
      <c r="AF1175" s="3353"/>
      <c r="AG1175" s="3353"/>
      <c r="AH1175" s="3353"/>
      <c r="AI1175" s="3353"/>
      <c r="AJ1175" s="3353"/>
      <c r="AK1175" s="3353"/>
      <c r="AL1175" s="3353"/>
    </row>
    <row r="1176" spans="1:38" s="3309" customFormat="1" x14ac:dyDescent="0.2">
      <c r="A1176" s="3481" t="s">
        <v>4437</v>
      </c>
      <c r="B1176" s="3323">
        <f t="shared" ref="B1176:G1176" si="579">B751</f>
        <v>0</v>
      </c>
      <c r="C1176" s="3323">
        <f t="shared" si="579"/>
        <v>0</v>
      </c>
      <c r="D1176" s="3323">
        <f t="shared" si="579"/>
        <v>0</v>
      </c>
      <c r="E1176" s="3323">
        <f t="shared" si="579"/>
        <v>0</v>
      </c>
      <c r="F1176" s="3323">
        <f t="shared" si="579"/>
        <v>0</v>
      </c>
      <c r="G1176" s="3323">
        <f t="shared" si="579"/>
        <v>0</v>
      </c>
      <c r="H1176" s="3353"/>
      <c r="I1176" s="3353"/>
      <c r="J1176" s="3353"/>
      <c r="K1176" s="3353"/>
      <c r="L1176" s="3353"/>
      <c r="M1176" s="3353"/>
      <c r="N1176" s="3353"/>
      <c r="O1176" s="3353"/>
      <c r="P1176" s="3353"/>
      <c r="Q1176" s="3353"/>
      <c r="R1176" s="3353"/>
      <c r="S1176" s="3353"/>
      <c r="T1176" s="3353"/>
      <c r="U1176" s="3353"/>
      <c r="V1176" s="3353"/>
      <c r="W1176" s="3353"/>
      <c r="X1176" s="3353"/>
      <c r="Y1176" s="3353"/>
      <c r="Z1176" s="3353"/>
      <c r="AA1176" s="3353"/>
      <c r="AB1176" s="3353"/>
      <c r="AC1176" s="3353"/>
      <c r="AD1176" s="3353"/>
      <c r="AE1176" s="3353"/>
      <c r="AF1176" s="3353"/>
      <c r="AG1176" s="3353"/>
      <c r="AH1176" s="3353"/>
      <c r="AI1176" s="3353"/>
      <c r="AJ1176" s="3353"/>
      <c r="AK1176" s="3353"/>
      <c r="AL1176" s="3353"/>
    </row>
    <row r="1177" spans="1:38" s="3309" customFormat="1" x14ac:dyDescent="0.2">
      <c r="A1177" s="3483"/>
      <c r="B1177" s="3323"/>
      <c r="C1177" s="3323"/>
      <c r="D1177" s="3323"/>
      <c r="E1177" s="3323"/>
      <c r="F1177" s="3323"/>
      <c r="G1177" s="3323"/>
      <c r="H1177" s="3353"/>
      <c r="I1177" s="3353"/>
      <c r="J1177" s="3353"/>
      <c r="K1177" s="3353"/>
      <c r="L1177" s="3353"/>
      <c r="M1177" s="3353"/>
      <c r="N1177" s="3353"/>
      <c r="O1177" s="3353"/>
      <c r="P1177" s="3353"/>
      <c r="Q1177" s="3353"/>
      <c r="R1177" s="3353"/>
      <c r="S1177" s="3353"/>
      <c r="T1177" s="3353"/>
      <c r="U1177" s="3353"/>
      <c r="V1177" s="3353"/>
      <c r="W1177" s="3353"/>
      <c r="X1177" s="3353"/>
      <c r="Y1177" s="3353"/>
      <c r="Z1177" s="3353"/>
      <c r="AA1177" s="3353"/>
      <c r="AB1177" s="3353"/>
      <c r="AC1177" s="3353"/>
      <c r="AD1177" s="3353"/>
      <c r="AE1177" s="3353"/>
      <c r="AF1177" s="3353"/>
      <c r="AG1177" s="3353"/>
      <c r="AH1177" s="3353"/>
      <c r="AI1177" s="3353"/>
      <c r="AJ1177" s="3353"/>
      <c r="AK1177" s="3353"/>
      <c r="AL1177" s="3353"/>
    </row>
    <row r="1178" spans="1:38" s="3309" customFormat="1" x14ac:dyDescent="0.2">
      <c r="A1178" s="3483"/>
      <c r="B1178" s="3323"/>
      <c r="C1178" s="3323"/>
      <c r="D1178" s="3323"/>
      <c r="E1178" s="3323"/>
      <c r="F1178" s="3323"/>
      <c r="G1178" s="3323"/>
      <c r="H1178" s="3353"/>
      <c r="I1178" s="3353"/>
      <c r="J1178" s="3353"/>
      <c r="K1178" s="3353"/>
      <c r="L1178" s="3353"/>
      <c r="M1178" s="3353"/>
      <c r="N1178" s="3353"/>
      <c r="O1178" s="3353"/>
      <c r="P1178" s="3353"/>
      <c r="Q1178" s="3353"/>
      <c r="R1178" s="3353"/>
      <c r="S1178" s="3353"/>
      <c r="T1178" s="3353"/>
      <c r="U1178" s="3353"/>
      <c r="V1178" s="3353"/>
      <c r="W1178" s="3353"/>
      <c r="X1178" s="3353"/>
      <c r="Y1178" s="3353"/>
      <c r="Z1178" s="3353"/>
      <c r="AA1178" s="3353"/>
      <c r="AB1178" s="3353"/>
      <c r="AC1178" s="3353"/>
      <c r="AD1178" s="3353"/>
      <c r="AE1178" s="3353"/>
      <c r="AF1178" s="3353"/>
      <c r="AG1178" s="3353"/>
      <c r="AH1178" s="3353"/>
      <c r="AI1178" s="3353"/>
      <c r="AJ1178" s="3353"/>
      <c r="AK1178" s="3353"/>
      <c r="AL1178" s="3353"/>
    </row>
    <row r="1179" spans="1:38" s="3309" customFormat="1" x14ac:dyDescent="0.2">
      <c r="A1179" s="3481" t="s">
        <v>5941</v>
      </c>
      <c r="B1179" s="3330">
        <f t="shared" ref="B1179:G1179" si="580">B190</f>
        <v>1.27</v>
      </c>
      <c r="C1179" s="3330">
        <f t="shared" si="580"/>
        <v>1.27</v>
      </c>
      <c r="D1179" s="3330">
        <f t="shared" si="580"/>
        <v>1.27</v>
      </c>
      <c r="E1179" s="3330">
        <f t="shared" si="580"/>
        <v>1.27</v>
      </c>
      <c r="F1179" s="3330">
        <f t="shared" si="580"/>
        <v>1.27</v>
      </c>
      <c r="G1179" s="3330">
        <f t="shared" si="580"/>
        <v>1.27</v>
      </c>
      <c r="H1179" s="3353"/>
      <c r="I1179" s="3353"/>
      <c r="J1179" s="3353"/>
      <c r="K1179" s="3353"/>
      <c r="L1179" s="3353"/>
      <c r="M1179" s="3353"/>
      <c r="N1179" s="3353"/>
      <c r="O1179" s="3353"/>
      <c r="P1179" s="3353"/>
      <c r="Q1179" s="3353"/>
      <c r="R1179" s="3353"/>
      <c r="S1179" s="3353"/>
      <c r="T1179" s="3353"/>
      <c r="U1179" s="3353"/>
      <c r="V1179" s="3353"/>
      <c r="W1179" s="3353"/>
      <c r="X1179" s="3353"/>
      <c r="Y1179" s="3353"/>
      <c r="Z1179" s="3353"/>
      <c r="AA1179" s="3353"/>
      <c r="AB1179" s="3353"/>
      <c r="AC1179" s="3353"/>
      <c r="AD1179" s="3353"/>
      <c r="AE1179" s="3353"/>
      <c r="AF1179" s="3353"/>
      <c r="AG1179" s="3353"/>
      <c r="AH1179" s="3353"/>
      <c r="AI1179" s="3353"/>
      <c r="AJ1179" s="3353"/>
      <c r="AK1179" s="3353"/>
      <c r="AL1179" s="3353"/>
    </row>
    <row r="1180" spans="1:38" s="3309" customFormat="1" x14ac:dyDescent="0.2">
      <c r="A1180" s="3483" t="s">
        <v>6086</v>
      </c>
      <c r="B1180" s="3323" t="e">
        <f t="shared" ref="B1180:G1180" si="581">B1175*B1179</f>
        <v>#VALUE!</v>
      </c>
      <c r="C1180" s="3323" t="e">
        <f t="shared" si="581"/>
        <v>#DIV/0!</v>
      </c>
      <c r="D1180" s="3323" t="e">
        <f t="shared" si="581"/>
        <v>#DIV/0!</v>
      </c>
      <c r="E1180" s="3323" t="e">
        <f t="shared" si="581"/>
        <v>#DIV/0!</v>
      </c>
      <c r="F1180" s="3323" t="e">
        <f t="shared" si="581"/>
        <v>#DIV/0!</v>
      </c>
      <c r="G1180" s="3323" t="e">
        <f t="shared" si="581"/>
        <v>#DIV/0!</v>
      </c>
      <c r="H1180" s="3353"/>
      <c r="I1180" s="3353"/>
      <c r="J1180" s="3353"/>
      <c r="K1180" s="3353"/>
      <c r="L1180" s="3353"/>
      <c r="M1180" s="3353"/>
      <c r="N1180" s="3353"/>
      <c r="O1180" s="3353"/>
      <c r="P1180" s="3353"/>
      <c r="Q1180" s="3353"/>
      <c r="R1180" s="3353"/>
      <c r="S1180" s="3353"/>
      <c r="T1180" s="3353"/>
      <c r="U1180" s="3353"/>
      <c r="V1180" s="3353"/>
      <c r="W1180" s="3353"/>
      <c r="X1180" s="3353"/>
      <c r="Y1180" s="3353"/>
      <c r="Z1180" s="3353"/>
      <c r="AA1180" s="3353"/>
      <c r="AB1180" s="3353"/>
      <c r="AC1180" s="3353"/>
      <c r="AD1180" s="3353"/>
      <c r="AE1180" s="3353"/>
      <c r="AF1180" s="3353"/>
      <c r="AG1180" s="3353"/>
      <c r="AH1180" s="3353"/>
      <c r="AI1180" s="3353"/>
      <c r="AJ1180" s="3353"/>
      <c r="AK1180" s="3353"/>
      <c r="AL1180" s="3353"/>
    </row>
    <row r="1181" spans="1:38" s="3309" customFormat="1" x14ac:dyDescent="0.2">
      <c r="A1181" s="3482" t="s">
        <v>6085</v>
      </c>
      <c r="B1181" s="3323" t="e">
        <f t="shared" ref="B1181:G1181" si="582">B1172*B1173</f>
        <v>#VALUE!</v>
      </c>
      <c r="C1181" s="3323" t="e">
        <f t="shared" si="582"/>
        <v>#DIV/0!</v>
      </c>
      <c r="D1181" s="3323" t="e">
        <f t="shared" si="582"/>
        <v>#DIV/0!</v>
      </c>
      <c r="E1181" s="3323" t="e">
        <f t="shared" si="582"/>
        <v>#DIV/0!</v>
      </c>
      <c r="F1181" s="3323" t="e">
        <f t="shared" si="582"/>
        <v>#DIV/0!</v>
      </c>
      <c r="G1181" s="3323" t="e">
        <f t="shared" si="582"/>
        <v>#DIV/0!</v>
      </c>
      <c r="H1181" s="3353"/>
      <c r="I1181" s="3353"/>
      <c r="J1181" s="3353"/>
      <c r="K1181" s="3353"/>
      <c r="L1181" s="3353"/>
      <c r="M1181" s="3353"/>
      <c r="N1181" s="3353"/>
      <c r="O1181" s="3353"/>
      <c r="P1181" s="3353"/>
      <c r="Q1181" s="3353"/>
      <c r="R1181" s="3353"/>
      <c r="S1181" s="3353"/>
      <c r="T1181" s="3353"/>
      <c r="U1181" s="3353"/>
      <c r="V1181" s="3353"/>
      <c r="W1181" s="3353"/>
      <c r="X1181" s="3353"/>
      <c r="Y1181" s="3353"/>
      <c r="Z1181" s="3353"/>
      <c r="AA1181" s="3353"/>
      <c r="AB1181" s="3353"/>
      <c r="AC1181" s="3353"/>
      <c r="AD1181" s="3353"/>
      <c r="AE1181" s="3353"/>
      <c r="AF1181" s="3353"/>
      <c r="AG1181" s="3353"/>
      <c r="AH1181" s="3353"/>
      <c r="AI1181" s="3353"/>
      <c r="AJ1181" s="3353"/>
      <c r="AK1181" s="3353"/>
      <c r="AL1181" s="3353"/>
    </row>
    <row r="1182" spans="1:38" s="3309" customFormat="1" ht="25.5" x14ac:dyDescent="0.2">
      <c r="A1182" s="3482" t="s">
        <v>6084</v>
      </c>
      <c r="B1182" s="3323" t="e">
        <f t="shared" ref="B1182:G1182" si="583">B1181*B1179*B1176</f>
        <v>#VALUE!</v>
      </c>
      <c r="C1182" s="3323" t="e">
        <f t="shared" si="583"/>
        <v>#DIV/0!</v>
      </c>
      <c r="D1182" s="3323" t="e">
        <f t="shared" si="583"/>
        <v>#DIV/0!</v>
      </c>
      <c r="E1182" s="3323" t="e">
        <f t="shared" si="583"/>
        <v>#DIV/0!</v>
      </c>
      <c r="F1182" s="3323" t="e">
        <f t="shared" si="583"/>
        <v>#DIV/0!</v>
      </c>
      <c r="G1182" s="3323" t="e">
        <f t="shared" si="583"/>
        <v>#DIV/0!</v>
      </c>
      <c r="H1182" s="3353"/>
      <c r="I1182" s="3353"/>
      <c r="J1182" s="3353"/>
      <c r="K1182" s="3353"/>
      <c r="L1182" s="3353"/>
      <c r="M1182" s="3353"/>
      <c r="N1182" s="3353"/>
      <c r="O1182" s="3353"/>
      <c r="P1182" s="3353"/>
      <c r="Q1182" s="3353"/>
      <c r="R1182" s="3353"/>
      <c r="S1182" s="3353"/>
      <c r="T1182" s="3353"/>
      <c r="U1182" s="3353"/>
      <c r="V1182" s="3353"/>
      <c r="W1182" s="3353"/>
      <c r="X1182" s="3353"/>
      <c r="Y1182" s="3353"/>
      <c r="Z1182" s="3353"/>
      <c r="AA1182" s="3353"/>
      <c r="AB1182" s="3353"/>
      <c r="AC1182" s="3353"/>
      <c r="AD1182" s="3353"/>
      <c r="AE1182" s="3353"/>
      <c r="AF1182" s="3353"/>
      <c r="AG1182" s="3353"/>
      <c r="AH1182" s="3353"/>
      <c r="AI1182" s="3353"/>
      <c r="AJ1182" s="3353"/>
      <c r="AK1182" s="3353"/>
      <c r="AL1182" s="3353"/>
    </row>
    <row r="1183" spans="1:38" s="3309" customFormat="1" x14ac:dyDescent="0.2">
      <c r="A1183" s="3481" t="s">
        <v>6083</v>
      </c>
      <c r="B1183" s="3330">
        <f t="shared" ref="B1183:G1183" si="584">B187</f>
        <v>20</v>
      </c>
      <c r="C1183" s="3330">
        <f t="shared" si="584"/>
        <v>20</v>
      </c>
      <c r="D1183" s="3330">
        <f t="shared" si="584"/>
        <v>20</v>
      </c>
      <c r="E1183" s="3330">
        <f t="shared" si="584"/>
        <v>20</v>
      </c>
      <c r="F1183" s="3330">
        <f t="shared" si="584"/>
        <v>20</v>
      </c>
      <c r="G1183" s="3330">
        <f t="shared" si="584"/>
        <v>20</v>
      </c>
      <c r="H1183" s="3353"/>
      <c r="I1183" s="3353"/>
      <c r="J1183" s="3353"/>
      <c r="K1183" s="3353"/>
      <c r="L1183" s="3353"/>
      <c r="M1183" s="3353"/>
      <c r="N1183" s="3353"/>
      <c r="O1183" s="3353"/>
      <c r="P1183" s="3353"/>
      <c r="Q1183" s="3353"/>
      <c r="R1183" s="3353"/>
      <c r="S1183" s="3353"/>
      <c r="T1183" s="3353"/>
      <c r="U1183" s="3353"/>
      <c r="V1183" s="3353"/>
      <c r="W1183" s="3353"/>
      <c r="X1183" s="3353"/>
      <c r="Y1183" s="3353"/>
      <c r="Z1183" s="3353"/>
      <c r="AA1183" s="3353"/>
      <c r="AB1183" s="3353"/>
      <c r="AC1183" s="3353"/>
      <c r="AD1183" s="3353"/>
      <c r="AE1183" s="3353"/>
      <c r="AF1183" s="3353"/>
      <c r="AG1183" s="3353"/>
      <c r="AH1183" s="3353"/>
      <c r="AI1183" s="3353"/>
      <c r="AJ1183" s="3353"/>
      <c r="AK1183" s="3353"/>
      <c r="AL1183" s="3353"/>
    </row>
    <row r="1184" spans="1:38" s="3309" customFormat="1" x14ac:dyDescent="0.2">
      <c r="A1184" s="3480" t="s">
        <v>6082</v>
      </c>
      <c r="B1184" s="3323" t="e">
        <f t="shared" ref="B1184:G1184" si="585">B1182*B1183/100</f>
        <v>#VALUE!</v>
      </c>
      <c r="C1184" s="3323" t="e">
        <f t="shared" si="585"/>
        <v>#DIV/0!</v>
      </c>
      <c r="D1184" s="3323" t="e">
        <f t="shared" si="585"/>
        <v>#DIV/0!</v>
      </c>
      <c r="E1184" s="3323" t="e">
        <f t="shared" si="585"/>
        <v>#DIV/0!</v>
      </c>
      <c r="F1184" s="3323" t="e">
        <f t="shared" si="585"/>
        <v>#DIV/0!</v>
      </c>
      <c r="G1184" s="3323" t="e">
        <f t="shared" si="585"/>
        <v>#DIV/0!</v>
      </c>
      <c r="H1184" s="3353"/>
      <c r="I1184" s="3353"/>
      <c r="J1184" s="3353"/>
      <c r="K1184" s="3353"/>
      <c r="L1184" s="3353"/>
      <c r="M1184" s="3353"/>
      <c r="N1184" s="3353"/>
      <c r="O1184" s="3353"/>
      <c r="P1184" s="3353"/>
      <c r="Q1184" s="3353"/>
      <c r="R1184" s="3353"/>
      <c r="S1184" s="3353"/>
      <c r="T1184" s="3353"/>
      <c r="U1184" s="3353"/>
      <c r="V1184" s="3353"/>
      <c r="W1184" s="3353"/>
      <c r="X1184" s="3353"/>
      <c r="Y1184" s="3353"/>
      <c r="Z1184" s="3353"/>
      <c r="AA1184" s="3353"/>
      <c r="AB1184" s="3353"/>
      <c r="AC1184" s="3353"/>
      <c r="AD1184" s="3353"/>
      <c r="AE1184" s="3353"/>
      <c r="AF1184" s="3353"/>
      <c r="AG1184" s="3353"/>
      <c r="AH1184" s="3353"/>
      <c r="AI1184" s="3353"/>
      <c r="AJ1184" s="3353"/>
      <c r="AK1184" s="3353"/>
      <c r="AL1184" s="3353"/>
    </row>
    <row r="1185" spans="1:38" s="3309" customFormat="1" ht="25.5" x14ac:dyDescent="0.2">
      <c r="A1185" s="3482" t="s">
        <v>6081</v>
      </c>
      <c r="B1185" s="3323" t="e">
        <f t="shared" ref="B1185:G1185" si="586">B1182+B1184</f>
        <v>#VALUE!</v>
      </c>
      <c r="C1185" s="3323" t="e">
        <f t="shared" si="586"/>
        <v>#DIV/0!</v>
      </c>
      <c r="D1185" s="3323" t="e">
        <f t="shared" si="586"/>
        <v>#DIV/0!</v>
      </c>
      <c r="E1185" s="3323" t="e">
        <f t="shared" si="586"/>
        <v>#DIV/0!</v>
      </c>
      <c r="F1185" s="3323" t="e">
        <f t="shared" si="586"/>
        <v>#DIV/0!</v>
      </c>
      <c r="G1185" s="3323" t="e">
        <f t="shared" si="586"/>
        <v>#DIV/0!</v>
      </c>
      <c r="H1185" s="3353"/>
      <c r="I1185" s="3353"/>
      <c r="J1185" s="3353"/>
      <c r="K1185" s="3353"/>
      <c r="L1185" s="3353"/>
      <c r="M1185" s="3353"/>
      <c r="N1185" s="3353"/>
      <c r="O1185" s="3353"/>
      <c r="P1185" s="3353"/>
      <c r="Q1185" s="3353"/>
      <c r="R1185" s="3353"/>
      <c r="S1185" s="3353"/>
      <c r="T1185" s="3353"/>
      <c r="U1185" s="3353"/>
      <c r="V1185" s="3353"/>
      <c r="W1185" s="3353"/>
      <c r="X1185" s="3353"/>
      <c r="Y1185" s="3353"/>
      <c r="Z1185" s="3353"/>
      <c r="AA1185" s="3353"/>
      <c r="AB1185" s="3353"/>
      <c r="AC1185" s="3353"/>
      <c r="AD1185" s="3353"/>
      <c r="AE1185" s="3353"/>
      <c r="AF1185" s="3353"/>
      <c r="AG1185" s="3353"/>
      <c r="AH1185" s="3353"/>
      <c r="AI1185" s="3353"/>
      <c r="AJ1185" s="3353"/>
      <c r="AK1185" s="3353"/>
      <c r="AL1185" s="3353"/>
    </row>
    <row r="1186" spans="1:38" s="3309" customFormat="1" x14ac:dyDescent="0.2">
      <c r="A1186" s="3329" t="s">
        <v>1701</v>
      </c>
      <c r="B1186" s="3330">
        <f t="shared" ref="B1186:G1186" si="587">B191</f>
        <v>36</v>
      </c>
      <c r="C1186" s="3330">
        <f t="shared" si="587"/>
        <v>36</v>
      </c>
      <c r="D1186" s="3330">
        <f t="shared" si="587"/>
        <v>36</v>
      </c>
      <c r="E1186" s="3330">
        <f t="shared" si="587"/>
        <v>36</v>
      </c>
      <c r="F1186" s="3330">
        <f t="shared" si="587"/>
        <v>36</v>
      </c>
      <c r="G1186" s="3330">
        <f t="shared" si="587"/>
        <v>36</v>
      </c>
      <c r="H1186" s="3353"/>
      <c r="I1186" s="3353"/>
      <c r="J1186" s="3353"/>
      <c r="K1186" s="3353"/>
      <c r="L1186" s="3353"/>
      <c r="M1186" s="3353"/>
      <c r="N1186" s="3353"/>
      <c r="O1186" s="3353"/>
      <c r="P1186" s="3353"/>
      <c r="Q1186" s="3353"/>
      <c r="R1186" s="3353"/>
      <c r="S1186" s="3353"/>
      <c r="T1186" s="3353"/>
      <c r="U1186" s="3353"/>
      <c r="V1186" s="3353"/>
      <c r="W1186" s="3353"/>
      <c r="X1186" s="3353"/>
      <c r="Y1186" s="3353"/>
      <c r="Z1186" s="3353"/>
      <c r="AA1186" s="3353"/>
      <c r="AB1186" s="3353"/>
      <c r="AC1186" s="3353"/>
      <c r="AD1186" s="3353"/>
      <c r="AE1186" s="3353"/>
      <c r="AF1186" s="3353"/>
      <c r="AG1186" s="3353"/>
      <c r="AH1186" s="3353"/>
      <c r="AI1186" s="3353"/>
      <c r="AJ1186" s="3353"/>
      <c r="AK1186" s="3353"/>
      <c r="AL1186" s="3353"/>
    </row>
    <row r="1187" spans="1:38" s="3309" customFormat="1" x14ac:dyDescent="0.2">
      <c r="A1187" s="3480" t="s">
        <v>6080</v>
      </c>
      <c r="B1187" s="3323" t="e">
        <f t="shared" ref="B1187:G1187" si="588">B1185*B1186/100</f>
        <v>#VALUE!</v>
      </c>
      <c r="C1187" s="3323" t="e">
        <f t="shared" si="588"/>
        <v>#DIV/0!</v>
      </c>
      <c r="D1187" s="3323" t="e">
        <f t="shared" si="588"/>
        <v>#DIV/0!</v>
      </c>
      <c r="E1187" s="3323" t="e">
        <f t="shared" si="588"/>
        <v>#DIV/0!</v>
      </c>
      <c r="F1187" s="3323" t="e">
        <f t="shared" si="588"/>
        <v>#DIV/0!</v>
      </c>
      <c r="G1187" s="3323" t="e">
        <f t="shared" si="588"/>
        <v>#DIV/0!</v>
      </c>
      <c r="H1187" s="3353"/>
      <c r="I1187" s="3353"/>
      <c r="J1187" s="3353"/>
      <c r="K1187" s="3353"/>
      <c r="L1187" s="3353"/>
      <c r="M1187" s="3353"/>
      <c r="N1187" s="3353"/>
      <c r="O1187" s="3353"/>
      <c r="P1187" s="3353"/>
      <c r="Q1187" s="3353"/>
      <c r="R1187" s="3353"/>
      <c r="S1187" s="3353"/>
      <c r="T1187" s="3353"/>
      <c r="U1187" s="3353"/>
      <c r="V1187" s="3353"/>
      <c r="W1187" s="3353"/>
      <c r="X1187" s="3353"/>
      <c r="Y1187" s="3353"/>
      <c r="Z1187" s="3353"/>
      <c r="AA1187" s="3353"/>
      <c r="AB1187" s="3353"/>
      <c r="AC1187" s="3353"/>
      <c r="AD1187" s="3353"/>
      <c r="AE1187" s="3353"/>
      <c r="AF1187" s="3353"/>
      <c r="AG1187" s="3353"/>
      <c r="AH1187" s="3353"/>
      <c r="AI1187" s="3353"/>
      <c r="AJ1187" s="3353"/>
      <c r="AK1187" s="3353"/>
      <c r="AL1187" s="3353"/>
    </row>
    <row r="1188" spans="1:38" s="3309" customFormat="1" x14ac:dyDescent="0.2">
      <c r="A1188" s="3479"/>
      <c r="B1188" s="3323"/>
      <c r="C1188" s="3323"/>
      <c r="D1188" s="3323"/>
      <c r="E1188" s="3323"/>
      <c r="F1188" s="3323"/>
      <c r="G1188" s="3323"/>
      <c r="H1188" s="3353"/>
      <c r="I1188" s="3353"/>
      <c r="J1188" s="3353"/>
      <c r="K1188" s="3353"/>
      <c r="L1188" s="3353"/>
      <c r="M1188" s="3353"/>
      <c r="N1188" s="3353"/>
      <c r="O1188" s="3353"/>
      <c r="P1188" s="3353"/>
      <c r="Q1188" s="3353"/>
      <c r="R1188" s="3353"/>
      <c r="S1188" s="3353"/>
      <c r="T1188" s="3353"/>
      <c r="U1188" s="3353"/>
      <c r="V1188" s="3353"/>
      <c r="W1188" s="3353"/>
      <c r="X1188" s="3353"/>
      <c r="Y1188" s="3353"/>
      <c r="Z1188" s="3353"/>
      <c r="AA1188" s="3353"/>
      <c r="AB1188" s="3353"/>
      <c r="AC1188" s="3353"/>
      <c r="AD1188" s="3353"/>
      <c r="AE1188" s="3353"/>
      <c r="AF1188" s="3353"/>
      <c r="AG1188" s="3353"/>
      <c r="AH1188" s="3353"/>
      <c r="AI1188" s="3353"/>
      <c r="AJ1188" s="3353"/>
      <c r="AK1188" s="3353"/>
      <c r="AL1188" s="3353"/>
    </row>
    <row r="1189" spans="1:38" s="3309" customFormat="1" ht="25.5" x14ac:dyDescent="0.2">
      <c r="A1189" s="3479" t="s">
        <v>6079</v>
      </c>
      <c r="B1189" s="3323" t="e">
        <f t="shared" ref="B1189:G1189" si="589">B1185+B1187</f>
        <v>#VALUE!</v>
      </c>
      <c r="C1189" s="3323" t="e">
        <f t="shared" si="589"/>
        <v>#DIV/0!</v>
      </c>
      <c r="D1189" s="3323" t="e">
        <f t="shared" si="589"/>
        <v>#DIV/0!</v>
      </c>
      <c r="E1189" s="3323" t="e">
        <f t="shared" si="589"/>
        <v>#DIV/0!</v>
      </c>
      <c r="F1189" s="3323" t="e">
        <f t="shared" si="589"/>
        <v>#DIV/0!</v>
      </c>
      <c r="G1189" s="3323" t="e">
        <f t="shared" si="589"/>
        <v>#DIV/0!</v>
      </c>
      <c r="H1189" s="3353"/>
      <c r="I1189" s="3353"/>
      <c r="J1189" s="3353"/>
      <c r="K1189" s="3353"/>
      <c r="L1189" s="3353"/>
      <c r="M1189" s="3353"/>
      <c r="N1189" s="3353"/>
      <c r="O1189" s="3353"/>
      <c r="P1189" s="3353"/>
      <c r="Q1189" s="3353"/>
      <c r="R1189" s="3353"/>
      <c r="S1189" s="3353"/>
      <c r="T1189" s="3353"/>
      <c r="U1189" s="3353"/>
      <c r="V1189" s="3353"/>
      <c r="W1189" s="3353"/>
      <c r="X1189" s="3353"/>
      <c r="Y1189" s="3353"/>
      <c r="Z1189" s="3353"/>
      <c r="AA1189" s="3353"/>
      <c r="AB1189" s="3353"/>
      <c r="AC1189" s="3353"/>
      <c r="AD1189" s="3353"/>
      <c r="AE1189" s="3353"/>
      <c r="AF1189" s="3353"/>
      <c r="AG1189" s="3353"/>
      <c r="AH1189" s="3353"/>
      <c r="AI1189" s="3353"/>
      <c r="AJ1189" s="3353"/>
      <c r="AK1189" s="3353"/>
      <c r="AL1189" s="3353"/>
    </row>
    <row r="1190" spans="1:38" s="3309" customFormat="1" x14ac:dyDescent="0.2">
      <c r="A1190" s="3478"/>
      <c r="B1190" s="3478"/>
      <c r="C1190" s="3478"/>
      <c r="D1190" s="3478"/>
      <c r="E1190" s="3478"/>
      <c r="F1190" s="3478"/>
      <c r="G1190" s="3477"/>
      <c r="H1190" s="3353"/>
      <c r="I1190" s="3353"/>
      <c r="J1190" s="3353"/>
      <c r="K1190" s="3353"/>
      <c r="L1190" s="3353"/>
      <c r="M1190" s="3353"/>
      <c r="N1190" s="3353"/>
      <c r="O1190" s="3353"/>
      <c r="P1190" s="3353"/>
      <c r="Q1190" s="3353"/>
      <c r="R1190" s="3353"/>
      <c r="S1190" s="3353"/>
      <c r="T1190" s="3353"/>
      <c r="U1190" s="3353"/>
      <c r="V1190" s="3353"/>
      <c r="W1190" s="3353"/>
      <c r="X1190" s="3353"/>
      <c r="Y1190" s="3353"/>
      <c r="Z1190" s="3353"/>
      <c r="AA1190" s="3353"/>
      <c r="AB1190" s="3353"/>
      <c r="AC1190" s="3353"/>
      <c r="AD1190" s="3353"/>
      <c r="AE1190" s="3353"/>
      <c r="AF1190" s="3353"/>
      <c r="AG1190" s="3353"/>
      <c r="AH1190" s="3353"/>
      <c r="AI1190" s="3353"/>
      <c r="AJ1190" s="3353"/>
      <c r="AK1190" s="3353"/>
      <c r="AL1190" s="3353"/>
    </row>
    <row r="1191" spans="1:38" s="3309" customFormat="1" x14ac:dyDescent="0.2">
      <c r="A1191" s="3476" t="s">
        <v>6078</v>
      </c>
      <c r="G1191" s="3353"/>
      <c r="H1191" s="3353"/>
      <c r="I1191" s="3353"/>
      <c r="J1191" s="3353"/>
      <c r="K1191" s="3353"/>
      <c r="L1191" s="3353"/>
      <c r="M1191" s="3353"/>
      <c r="N1191" s="3353"/>
      <c r="O1191" s="3353"/>
      <c r="P1191" s="3353"/>
      <c r="Q1191" s="3353"/>
      <c r="R1191" s="3353"/>
      <c r="S1191" s="3353"/>
      <c r="T1191" s="3353"/>
      <c r="U1191" s="3353"/>
      <c r="V1191" s="3353"/>
      <c r="W1191" s="3353"/>
      <c r="X1191" s="3353"/>
      <c r="Y1191" s="3353"/>
      <c r="Z1191" s="3353"/>
      <c r="AA1191" s="3353"/>
      <c r="AB1191" s="3353"/>
      <c r="AC1191" s="3353"/>
      <c r="AD1191" s="3353"/>
      <c r="AE1191" s="3353"/>
      <c r="AF1191" s="3353"/>
      <c r="AG1191" s="3353"/>
      <c r="AH1191" s="3353"/>
      <c r="AI1191" s="3353"/>
      <c r="AJ1191" s="3353"/>
      <c r="AK1191" s="3353"/>
      <c r="AL1191" s="3353"/>
    </row>
    <row r="1192" spans="1:38" s="3309" customFormat="1" x14ac:dyDescent="0.2">
      <c r="A1192" s="3411" t="s">
        <v>2515</v>
      </c>
      <c r="B1192" s="3379"/>
      <c r="C1192" s="3412"/>
      <c r="D1192" s="3412"/>
      <c r="E1192" s="3412"/>
      <c r="F1192" s="3412"/>
      <c r="G1192" s="3353"/>
      <c r="H1192" s="3353"/>
      <c r="I1192" s="3353"/>
      <c r="J1192" s="3353"/>
      <c r="K1192" s="3353"/>
      <c r="L1192" s="3353"/>
      <c r="M1192" s="3353"/>
      <c r="N1192" s="3353"/>
      <c r="O1192" s="3353"/>
      <c r="P1192" s="3353"/>
      <c r="Q1192" s="3353"/>
      <c r="R1192" s="3353"/>
      <c r="S1192" s="3353"/>
      <c r="T1192" s="3353"/>
      <c r="U1192" s="3353"/>
      <c r="V1192" s="3353"/>
      <c r="W1192" s="3353"/>
      <c r="X1192" s="3353"/>
      <c r="Y1192" s="3353"/>
      <c r="Z1192" s="3353"/>
      <c r="AA1192" s="3353"/>
      <c r="AB1192" s="3353"/>
      <c r="AC1192" s="3353"/>
      <c r="AD1192" s="3353"/>
      <c r="AE1192" s="3353"/>
      <c r="AF1192" s="3353"/>
      <c r="AG1192" s="3353"/>
      <c r="AH1192" s="3353"/>
      <c r="AI1192" s="3353"/>
      <c r="AJ1192" s="3353"/>
      <c r="AK1192" s="3353"/>
      <c r="AL1192" s="3353"/>
    </row>
    <row r="1193" spans="1:38" s="3309" customFormat="1" ht="25.5" x14ac:dyDescent="0.2">
      <c r="A1193" s="3377" t="s">
        <v>5959</v>
      </c>
      <c r="B1193" s="3379"/>
      <c r="C1193" s="3412"/>
      <c r="D1193" s="3412"/>
      <c r="E1193" s="3412"/>
      <c r="F1193" s="3412"/>
      <c r="G1193" s="3353"/>
      <c r="H1193" s="3353"/>
      <c r="I1193" s="3353"/>
      <c r="J1193" s="3353"/>
      <c r="K1193" s="3353"/>
      <c r="L1193" s="3353"/>
      <c r="M1193" s="3353"/>
      <c r="N1193" s="3353"/>
      <c r="O1193" s="3353"/>
      <c r="P1193" s="3353"/>
      <c r="Q1193" s="3353"/>
      <c r="R1193" s="3353"/>
      <c r="S1193" s="3353"/>
      <c r="T1193" s="3353"/>
      <c r="U1193" s="3353"/>
      <c r="V1193" s="3353"/>
      <c r="W1193" s="3353"/>
      <c r="X1193" s="3353"/>
      <c r="Y1193" s="3353"/>
      <c r="Z1193" s="3353"/>
      <c r="AA1193" s="3353"/>
      <c r="AB1193" s="3353"/>
      <c r="AC1193" s="3353"/>
      <c r="AD1193" s="3353"/>
      <c r="AE1193" s="3353"/>
      <c r="AF1193" s="3353"/>
      <c r="AG1193" s="3353"/>
      <c r="AH1193" s="3353"/>
      <c r="AI1193" s="3353"/>
      <c r="AJ1193" s="3353"/>
      <c r="AK1193" s="3353"/>
      <c r="AL1193" s="3353"/>
    </row>
    <row r="1194" spans="1:38" s="3309" customFormat="1" x14ac:dyDescent="0.2">
      <c r="A1194" s="3475" t="s">
        <v>2516</v>
      </c>
      <c r="B1194" s="3424"/>
      <c r="C1194" s="3412"/>
      <c r="D1194" s="3412"/>
      <c r="E1194" s="3412"/>
      <c r="F1194" s="3412"/>
      <c r="G1194" s="3353"/>
      <c r="H1194" s="3353"/>
      <c r="I1194" s="3353"/>
      <c r="J1194" s="3353"/>
      <c r="K1194" s="3353"/>
      <c r="L1194" s="3353"/>
      <c r="M1194" s="3353"/>
      <c r="N1194" s="3353"/>
      <c r="O1194" s="3353"/>
      <c r="P1194" s="3353"/>
      <c r="Q1194" s="3353"/>
      <c r="R1194" s="3353"/>
      <c r="S1194" s="3353"/>
      <c r="T1194" s="3353"/>
      <c r="U1194" s="3353"/>
      <c r="V1194" s="3353"/>
      <c r="W1194" s="3353"/>
      <c r="X1194" s="3353"/>
      <c r="Y1194" s="3353"/>
      <c r="Z1194" s="3353"/>
      <c r="AA1194" s="3353"/>
      <c r="AB1194" s="3353"/>
      <c r="AC1194" s="3353"/>
      <c r="AD1194" s="3353"/>
      <c r="AE1194" s="3353"/>
      <c r="AF1194" s="3353"/>
      <c r="AG1194" s="3353"/>
      <c r="AH1194" s="3353"/>
      <c r="AI1194" s="3353"/>
      <c r="AJ1194" s="3353"/>
      <c r="AK1194" s="3353"/>
      <c r="AL1194" s="3353"/>
    </row>
    <row r="1195" spans="1:38" s="3309" customFormat="1" x14ac:dyDescent="0.2">
      <c r="A1195" s="3419" t="s">
        <v>2517</v>
      </c>
      <c r="B1195" s="3424"/>
      <c r="C1195" s="3412"/>
      <c r="D1195" s="3412"/>
      <c r="E1195" s="3412"/>
      <c r="F1195" s="3412"/>
      <c r="G1195" s="3353"/>
      <c r="H1195" s="3353"/>
      <c r="I1195" s="3353"/>
      <c r="J1195" s="3353"/>
      <c r="K1195" s="3353"/>
      <c r="L1195" s="3353"/>
      <c r="M1195" s="3353"/>
      <c r="N1195" s="3353"/>
      <c r="O1195" s="3353"/>
      <c r="P1195" s="3353"/>
      <c r="Q1195" s="3353"/>
      <c r="R1195" s="3353"/>
      <c r="S1195" s="3353"/>
      <c r="T1195" s="3353"/>
      <c r="U1195" s="3353"/>
      <c r="V1195" s="3353"/>
      <c r="W1195" s="3353"/>
      <c r="X1195" s="3353"/>
      <c r="Y1195" s="3353"/>
      <c r="Z1195" s="3353"/>
      <c r="AA1195" s="3353"/>
      <c r="AB1195" s="3353"/>
      <c r="AC1195" s="3353"/>
      <c r="AD1195" s="3353"/>
      <c r="AE1195" s="3353"/>
      <c r="AF1195" s="3353"/>
      <c r="AG1195" s="3353"/>
      <c r="AH1195" s="3353"/>
      <c r="AI1195" s="3353"/>
      <c r="AJ1195" s="3353"/>
      <c r="AK1195" s="3353"/>
      <c r="AL1195" s="3353"/>
    </row>
    <row r="1196" spans="1:38" s="3309" customFormat="1" x14ac:dyDescent="0.2">
      <c r="A1196" s="3410" t="s">
        <v>2518</v>
      </c>
      <c r="B1196" s="3407">
        <f t="shared" ref="B1196:G1197" si="590">B179</f>
        <v>0.15</v>
      </c>
      <c r="C1196" s="3407">
        <f t="shared" si="590"/>
        <v>0.15</v>
      </c>
      <c r="D1196" s="3407">
        <f t="shared" si="590"/>
        <v>0.15</v>
      </c>
      <c r="E1196" s="3407">
        <f t="shared" si="590"/>
        <v>0.15</v>
      </c>
      <c r="F1196" s="3407">
        <f t="shared" si="590"/>
        <v>0.15</v>
      </c>
      <c r="G1196" s="3407">
        <f t="shared" si="590"/>
        <v>0.15</v>
      </c>
      <c r="H1196" s="3353"/>
      <c r="I1196" s="3353"/>
      <c r="J1196" s="3353"/>
      <c r="K1196" s="3353"/>
      <c r="L1196" s="3353"/>
      <c r="M1196" s="3353"/>
      <c r="N1196" s="3353"/>
      <c r="O1196" s="3353"/>
      <c r="P1196" s="3353"/>
      <c r="Q1196" s="3353"/>
      <c r="R1196" s="3353"/>
      <c r="S1196" s="3353"/>
      <c r="T1196" s="3353"/>
      <c r="U1196" s="3353"/>
      <c r="V1196" s="3353"/>
      <c r="W1196" s="3353"/>
      <c r="X1196" s="3353"/>
      <c r="Y1196" s="3353"/>
      <c r="Z1196" s="3353"/>
      <c r="AA1196" s="3353"/>
      <c r="AB1196" s="3353"/>
      <c r="AC1196" s="3353"/>
      <c r="AD1196" s="3353"/>
      <c r="AE1196" s="3353"/>
      <c r="AF1196" s="3353"/>
      <c r="AG1196" s="3353"/>
      <c r="AH1196" s="3353"/>
      <c r="AI1196" s="3353"/>
      <c r="AJ1196" s="3353"/>
      <c r="AK1196" s="3353"/>
      <c r="AL1196" s="3353"/>
    </row>
    <row r="1197" spans="1:38" s="3309" customFormat="1" x14ac:dyDescent="0.2">
      <c r="A1197" s="3410" t="s">
        <v>2519</v>
      </c>
      <c r="B1197" s="3407">
        <f t="shared" si="590"/>
        <v>0.1</v>
      </c>
      <c r="C1197" s="3407">
        <f t="shared" si="590"/>
        <v>0.1</v>
      </c>
      <c r="D1197" s="3407">
        <f t="shared" si="590"/>
        <v>0.1</v>
      </c>
      <c r="E1197" s="3407">
        <f t="shared" si="590"/>
        <v>0.1</v>
      </c>
      <c r="F1197" s="3407">
        <f t="shared" si="590"/>
        <v>0.1</v>
      </c>
      <c r="G1197" s="3407">
        <f t="shared" si="590"/>
        <v>0.1</v>
      </c>
      <c r="H1197" s="3353"/>
      <c r="I1197" s="3353"/>
      <c r="J1197" s="3353"/>
      <c r="K1197" s="3353"/>
      <c r="L1197" s="3353"/>
      <c r="M1197" s="3353"/>
      <c r="N1197" s="3353"/>
      <c r="O1197" s="3353"/>
      <c r="P1197" s="3353"/>
      <c r="Q1197" s="3353"/>
      <c r="R1197" s="3353"/>
      <c r="S1197" s="3353"/>
      <c r="T1197" s="3353"/>
      <c r="U1197" s="3353"/>
      <c r="V1197" s="3353"/>
      <c r="W1197" s="3353"/>
      <c r="X1197" s="3353"/>
      <c r="Y1197" s="3353"/>
      <c r="Z1197" s="3353"/>
      <c r="AA1197" s="3353"/>
      <c r="AB1197" s="3353"/>
      <c r="AC1197" s="3353"/>
      <c r="AD1197" s="3353"/>
      <c r="AE1197" s="3353"/>
      <c r="AF1197" s="3353"/>
      <c r="AG1197" s="3353"/>
      <c r="AH1197" s="3353"/>
      <c r="AI1197" s="3353"/>
      <c r="AJ1197" s="3353"/>
      <c r="AK1197" s="3353"/>
      <c r="AL1197" s="3353"/>
    </row>
    <row r="1198" spans="1:38" s="3309" customFormat="1" x14ac:dyDescent="0.2">
      <c r="A1198" s="3411" t="s">
        <v>2520</v>
      </c>
      <c r="B1198" s="3408">
        <f t="shared" ref="B1198:G1198" si="591">B1196*B1197</f>
        <v>1.4999999999999999E-2</v>
      </c>
      <c r="C1198" s="3408">
        <f t="shared" si="591"/>
        <v>1.4999999999999999E-2</v>
      </c>
      <c r="D1198" s="3408">
        <f t="shared" si="591"/>
        <v>1.4999999999999999E-2</v>
      </c>
      <c r="E1198" s="3408">
        <f t="shared" si="591"/>
        <v>1.4999999999999999E-2</v>
      </c>
      <c r="F1198" s="3408">
        <f t="shared" si="591"/>
        <v>1.4999999999999999E-2</v>
      </c>
      <c r="G1198" s="3408">
        <f t="shared" si="591"/>
        <v>1.4999999999999999E-2</v>
      </c>
      <c r="H1198" s="3353"/>
      <c r="I1198" s="3353"/>
      <c r="J1198" s="3353"/>
      <c r="K1198" s="3353"/>
      <c r="L1198" s="3353"/>
      <c r="M1198" s="3353"/>
      <c r="N1198" s="3353"/>
      <c r="O1198" s="3353"/>
      <c r="P1198" s="3353"/>
      <c r="Q1198" s="3353"/>
      <c r="R1198" s="3353"/>
      <c r="S1198" s="3353"/>
      <c r="T1198" s="3353"/>
      <c r="U1198" s="3353"/>
      <c r="V1198" s="3353"/>
      <c r="W1198" s="3353"/>
      <c r="X1198" s="3353"/>
      <c r="Y1198" s="3353"/>
      <c r="Z1198" s="3353"/>
      <c r="AA1198" s="3353"/>
      <c r="AB1198" s="3353"/>
      <c r="AC1198" s="3353"/>
      <c r="AD1198" s="3353"/>
      <c r="AE1198" s="3353"/>
      <c r="AF1198" s="3353"/>
      <c r="AG1198" s="3353"/>
      <c r="AH1198" s="3353"/>
      <c r="AI1198" s="3353"/>
      <c r="AJ1198" s="3353"/>
      <c r="AK1198" s="3353"/>
      <c r="AL1198" s="3353"/>
    </row>
    <row r="1199" spans="1:38" s="3309" customFormat="1" x14ac:dyDescent="0.2">
      <c r="A1199" s="3412" t="s">
        <v>2521</v>
      </c>
      <c r="B1199" s="3474"/>
      <c r="C1199" s="3412"/>
      <c r="D1199" s="3412"/>
      <c r="E1199" s="3412"/>
      <c r="F1199" s="3412"/>
      <c r="G1199" s="3412"/>
      <c r="H1199" s="3353"/>
      <c r="I1199" s="3353"/>
      <c r="J1199" s="3353"/>
      <c r="K1199" s="3353"/>
      <c r="L1199" s="3353"/>
      <c r="M1199" s="3353"/>
      <c r="N1199" s="3353"/>
      <c r="O1199" s="3353"/>
      <c r="P1199" s="3353"/>
      <c r="Q1199" s="3353"/>
      <c r="R1199" s="3353"/>
      <c r="S1199" s="3353"/>
      <c r="T1199" s="3353"/>
      <c r="U1199" s="3353"/>
      <c r="V1199" s="3353"/>
      <c r="W1199" s="3353"/>
      <c r="X1199" s="3353"/>
      <c r="Y1199" s="3353"/>
      <c r="Z1199" s="3353"/>
      <c r="AA1199" s="3353"/>
      <c r="AB1199" s="3353"/>
      <c r="AC1199" s="3353"/>
      <c r="AD1199" s="3353"/>
      <c r="AE1199" s="3353"/>
      <c r="AF1199" s="3353"/>
      <c r="AG1199" s="3353"/>
      <c r="AH1199" s="3353"/>
      <c r="AI1199" s="3353"/>
      <c r="AJ1199" s="3353"/>
      <c r="AK1199" s="3353"/>
      <c r="AL1199" s="3353"/>
    </row>
    <row r="1200" spans="1:38" s="3309" customFormat="1" x14ac:dyDescent="0.2">
      <c r="A1200" s="3593" t="s">
        <v>2522</v>
      </c>
      <c r="B1200" s="3407" t="e">
        <f t="shared" ref="B1200:G1200" si="592">ROUND((1.2*(B735*100)^0.5)/100,2)</f>
        <v>#VALUE!</v>
      </c>
      <c r="C1200" s="3407">
        <f t="shared" si="592"/>
        <v>0</v>
      </c>
      <c r="D1200" s="3407">
        <f t="shared" si="592"/>
        <v>0</v>
      </c>
      <c r="E1200" s="3407">
        <f t="shared" si="592"/>
        <v>0</v>
      </c>
      <c r="F1200" s="3407">
        <f t="shared" si="592"/>
        <v>0</v>
      </c>
      <c r="G1200" s="3407">
        <f t="shared" si="592"/>
        <v>0</v>
      </c>
      <c r="H1200" s="3353"/>
      <c r="I1200" s="3353"/>
      <c r="J1200" s="3353"/>
      <c r="K1200" s="3353"/>
      <c r="L1200" s="3353"/>
      <c r="M1200" s="3353"/>
      <c r="N1200" s="3353"/>
      <c r="O1200" s="3353"/>
      <c r="P1200" s="3353"/>
      <c r="Q1200" s="3353"/>
      <c r="R1200" s="3353"/>
      <c r="S1200" s="3353"/>
      <c r="T1200" s="3353"/>
      <c r="U1200" s="3353"/>
      <c r="V1200" s="3353"/>
      <c r="W1200" s="3353"/>
      <c r="X1200" s="3353"/>
      <c r="Y1200" s="3353"/>
      <c r="Z1200" s="3353"/>
      <c r="AA1200" s="3353"/>
      <c r="AB1200" s="3353"/>
      <c r="AC1200" s="3353"/>
      <c r="AD1200" s="3353"/>
      <c r="AE1200" s="3353"/>
      <c r="AF1200" s="3353"/>
      <c r="AG1200" s="3353"/>
      <c r="AH1200" s="3353"/>
      <c r="AI1200" s="3353"/>
      <c r="AJ1200" s="3353"/>
      <c r="AK1200" s="3353"/>
      <c r="AL1200" s="3353"/>
    </row>
    <row r="1201" spans="1:38" s="3309" customFormat="1" x14ac:dyDescent="0.2">
      <c r="A1201" s="3409" t="s">
        <v>2523</v>
      </c>
      <c r="B1201" s="3468" t="e">
        <f t="shared" ref="B1201:G1201" si="593">3.14*B1200^2/4</f>
        <v>#VALUE!</v>
      </c>
      <c r="C1201" s="3468">
        <f t="shared" si="593"/>
        <v>0</v>
      </c>
      <c r="D1201" s="3468">
        <f t="shared" si="593"/>
        <v>0</v>
      </c>
      <c r="E1201" s="3468">
        <f t="shared" si="593"/>
        <v>0</v>
      </c>
      <c r="F1201" s="3468">
        <f t="shared" si="593"/>
        <v>0</v>
      </c>
      <c r="G1201" s="3468">
        <f t="shared" si="593"/>
        <v>0</v>
      </c>
      <c r="H1201" s="3353"/>
      <c r="I1201" s="3353"/>
      <c r="J1201" s="3353"/>
      <c r="K1201" s="3353"/>
      <c r="L1201" s="3353"/>
      <c r="M1201" s="3353"/>
      <c r="N1201" s="3353"/>
      <c r="O1201" s="3353"/>
      <c r="P1201" s="3353"/>
      <c r="Q1201" s="3353"/>
      <c r="R1201" s="3353"/>
      <c r="S1201" s="3353"/>
      <c r="T1201" s="3353"/>
      <c r="U1201" s="3353"/>
      <c r="V1201" s="3353"/>
      <c r="W1201" s="3353"/>
      <c r="X1201" s="3353"/>
      <c r="Y1201" s="3353"/>
      <c r="Z1201" s="3353"/>
      <c r="AA1201" s="3353"/>
      <c r="AB1201" s="3353"/>
      <c r="AC1201" s="3353"/>
      <c r="AD1201" s="3353"/>
      <c r="AE1201" s="3353"/>
      <c r="AF1201" s="3353"/>
      <c r="AG1201" s="3353"/>
      <c r="AH1201" s="3353"/>
      <c r="AI1201" s="3353"/>
      <c r="AJ1201" s="3353"/>
      <c r="AK1201" s="3353"/>
      <c r="AL1201" s="3353"/>
    </row>
    <row r="1202" spans="1:38" s="3309" customFormat="1" x14ac:dyDescent="0.2">
      <c r="A1202" s="3472" t="s">
        <v>6077</v>
      </c>
      <c r="B1202" s="3468"/>
      <c r="C1202" s="3468"/>
      <c r="D1202" s="3468"/>
      <c r="E1202" s="3468"/>
      <c r="F1202" s="3468"/>
      <c r="G1202" s="3468"/>
      <c r="H1202" s="3353"/>
      <c r="I1202" s="3353"/>
      <c r="J1202" s="3353"/>
      <c r="K1202" s="3353"/>
      <c r="L1202" s="3353"/>
      <c r="M1202" s="3353"/>
      <c r="N1202" s="3353"/>
      <c r="O1202" s="3353"/>
      <c r="P1202" s="3353"/>
      <c r="Q1202" s="3353"/>
      <c r="R1202" s="3353"/>
      <c r="S1202" s="3353"/>
      <c r="T1202" s="3353"/>
      <c r="U1202" s="3353"/>
      <c r="V1202" s="3353"/>
      <c r="W1202" s="3353"/>
      <c r="X1202" s="3353"/>
      <c r="Y1202" s="3353"/>
      <c r="Z1202" s="3353"/>
      <c r="AA1202" s="3353"/>
      <c r="AB1202" s="3353"/>
      <c r="AC1202" s="3353"/>
      <c r="AD1202" s="3353"/>
      <c r="AE1202" s="3353"/>
      <c r="AF1202" s="3353"/>
      <c r="AG1202" s="3353"/>
      <c r="AH1202" s="3353"/>
      <c r="AI1202" s="3353"/>
      <c r="AJ1202" s="3353"/>
      <c r="AK1202" s="3353"/>
      <c r="AL1202" s="3353"/>
    </row>
    <row r="1203" spans="1:38" s="3309" customFormat="1" x14ac:dyDescent="0.2">
      <c r="A1203" s="3592" t="s">
        <v>6076</v>
      </c>
      <c r="B1203" s="3470">
        <f t="shared" ref="B1203:G1204" si="594">B260</f>
        <v>0.2</v>
      </c>
      <c r="C1203" s="3470">
        <f t="shared" si="594"/>
        <v>0.2</v>
      </c>
      <c r="D1203" s="3470">
        <f t="shared" si="594"/>
        <v>0.2</v>
      </c>
      <c r="E1203" s="3470">
        <f t="shared" si="594"/>
        <v>0.2</v>
      </c>
      <c r="F1203" s="3470">
        <f t="shared" si="594"/>
        <v>0.2</v>
      </c>
      <c r="G1203" s="3470">
        <f t="shared" si="594"/>
        <v>0.2</v>
      </c>
      <c r="H1203" s="3353"/>
      <c r="I1203" s="3353"/>
      <c r="J1203" s="3353"/>
      <c r="K1203" s="3353"/>
      <c r="L1203" s="3353"/>
      <c r="M1203" s="3353"/>
      <c r="N1203" s="3353"/>
      <c r="O1203" s="3353"/>
      <c r="P1203" s="3353"/>
      <c r="Q1203" s="3353"/>
      <c r="R1203" s="3353"/>
      <c r="S1203" s="3353"/>
      <c r="T1203" s="3353"/>
      <c r="U1203" s="3353"/>
      <c r="V1203" s="3353"/>
      <c r="W1203" s="3353"/>
      <c r="X1203" s="3353"/>
      <c r="Y1203" s="3353"/>
      <c r="Z1203" s="3353"/>
      <c r="AA1203" s="3353"/>
      <c r="AB1203" s="3353"/>
      <c r="AC1203" s="3353"/>
      <c r="AD1203" s="3353"/>
      <c r="AE1203" s="3353"/>
      <c r="AF1203" s="3353"/>
      <c r="AG1203" s="3353"/>
      <c r="AH1203" s="3353"/>
      <c r="AI1203" s="3353"/>
      <c r="AJ1203" s="3353"/>
      <c r="AK1203" s="3353"/>
      <c r="AL1203" s="3353"/>
    </row>
    <row r="1204" spans="1:38" s="3309" customFormat="1" x14ac:dyDescent="0.2">
      <c r="A1204" s="3592" t="s">
        <v>6075</v>
      </c>
      <c r="B1204" s="3470">
        <f t="shared" si="594"/>
        <v>0.03</v>
      </c>
      <c r="C1204" s="3470">
        <f t="shared" si="594"/>
        <v>0.03</v>
      </c>
      <c r="D1204" s="3470">
        <f t="shared" si="594"/>
        <v>0.03</v>
      </c>
      <c r="E1204" s="3470">
        <f t="shared" si="594"/>
        <v>0.03</v>
      </c>
      <c r="F1204" s="3470">
        <f t="shared" si="594"/>
        <v>0.03</v>
      </c>
      <c r="G1204" s="3470">
        <f t="shared" si="594"/>
        <v>0.03</v>
      </c>
      <c r="H1204" s="3353"/>
      <c r="I1204" s="3353"/>
      <c r="J1204" s="3353"/>
      <c r="K1204" s="3353"/>
      <c r="L1204" s="3353"/>
      <c r="M1204" s="3353"/>
      <c r="N1204" s="3353"/>
      <c r="O1204" s="3353"/>
      <c r="P1204" s="3353"/>
      <c r="Q1204" s="3353"/>
      <c r="R1204" s="3353"/>
      <c r="S1204" s="3353"/>
      <c r="T1204" s="3353"/>
      <c r="U1204" s="3353"/>
      <c r="V1204" s="3353"/>
      <c r="W1204" s="3353"/>
      <c r="X1204" s="3353"/>
      <c r="Y1204" s="3353"/>
      <c r="Z1204" s="3353"/>
      <c r="AA1204" s="3353"/>
      <c r="AB1204" s="3353"/>
      <c r="AC1204" s="3353"/>
      <c r="AD1204" s="3353"/>
      <c r="AE1204" s="3353"/>
      <c r="AF1204" s="3353"/>
      <c r="AG1204" s="3353"/>
      <c r="AH1204" s="3353"/>
      <c r="AI1204" s="3353"/>
      <c r="AJ1204" s="3353"/>
      <c r="AK1204" s="3353"/>
      <c r="AL1204" s="3353"/>
    </row>
    <row r="1205" spans="1:38" s="3309" customFormat="1" x14ac:dyDescent="0.2">
      <c r="A1205" s="3469" t="s">
        <v>6074</v>
      </c>
      <c r="B1205" s="3468">
        <f t="shared" ref="B1205:G1205" si="595">B1203*B1204</f>
        <v>6.0000000000000001E-3</v>
      </c>
      <c r="C1205" s="3468">
        <f t="shared" si="595"/>
        <v>6.0000000000000001E-3</v>
      </c>
      <c r="D1205" s="3468">
        <f t="shared" si="595"/>
        <v>6.0000000000000001E-3</v>
      </c>
      <c r="E1205" s="3468">
        <f t="shared" si="595"/>
        <v>6.0000000000000001E-3</v>
      </c>
      <c r="F1205" s="3468">
        <f t="shared" si="595"/>
        <v>6.0000000000000001E-3</v>
      </c>
      <c r="G1205" s="3468">
        <f t="shared" si="595"/>
        <v>6.0000000000000001E-3</v>
      </c>
      <c r="H1205" s="3353"/>
      <c r="I1205" s="3353"/>
      <c r="J1205" s="3353"/>
      <c r="K1205" s="3353"/>
      <c r="L1205" s="3353"/>
      <c r="M1205" s="3353"/>
      <c r="N1205" s="3353"/>
      <c r="O1205" s="3353"/>
      <c r="P1205" s="3353"/>
      <c r="Q1205" s="3353"/>
      <c r="R1205" s="3353"/>
      <c r="S1205" s="3353"/>
      <c r="T1205" s="3353"/>
      <c r="U1205" s="3353"/>
      <c r="V1205" s="3353"/>
      <c r="W1205" s="3353"/>
      <c r="X1205" s="3353"/>
      <c r="Y1205" s="3353"/>
      <c r="Z1205" s="3353"/>
      <c r="AA1205" s="3353"/>
      <c r="AB1205" s="3353"/>
      <c r="AC1205" s="3353"/>
      <c r="AD1205" s="3353"/>
      <c r="AE1205" s="3353"/>
      <c r="AF1205" s="3353"/>
      <c r="AG1205" s="3353"/>
      <c r="AH1205" s="3353"/>
      <c r="AI1205" s="3353"/>
      <c r="AJ1205" s="3353"/>
      <c r="AK1205" s="3353"/>
      <c r="AL1205" s="3353"/>
    </row>
    <row r="1206" spans="1:38" s="3309" customFormat="1" ht="25.5" x14ac:dyDescent="0.2">
      <c r="A1206" s="3466" t="s">
        <v>6073</v>
      </c>
      <c r="B1206" s="3465">
        <f t="shared" ref="B1206:G1206" si="596">B801</f>
        <v>0</v>
      </c>
      <c r="C1206" s="3465" t="e">
        <f t="shared" si="596"/>
        <v>#DIV/0!</v>
      </c>
      <c r="D1206" s="3465" t="e">
        <f t="shared" si="596"/>
        <v>#DIV/0!</v>
      </c>
      <c r="E1206" s="3465" t="e">
        <f t="shared" si="596"/>
        <v>#DIV/0!</v>
      </c>
      <c r="F1206" s="3465" t="e">
        <f t="shared" si="596"/>
        <v>#DIV/0!</v>
      </c>
      <c r="G1206" s="3465" t="e">
        <f t="shared" si="596"/>
        <v>#DIV/0!</v>
      </c>
      <c r="H1206" s="3353"/>
      <c r="I1206" s="3353"/>
      <c r="J1206" s="3353"/>
      <c r="K1206" s="3353"/>
      <c r="L1206" s="3353"/>
      <c r="M1206" s="3353"/>
      <c r="N1206" s="3353"/>
      <c r="O1206" s="3353"/>
      <c r="P1206" s="3353"/>
      <c r="Q1206" s="3353"/>
      <c r="R1206" s="3353"/>
      <c r="S1206" s="3353"/>
      <c r="T1206" s="3353"/>
      <c r="U1206" s="3353"/>
      <c r="V1206" s="3353"/>
      <c r="W1206" s="3353"/>
      <c r="X1206" s="3353"/>
      <c r="Y1206" s="3353"/>
      <c r="Z1206" s="3353"/>
      <c r="AA1206" s="3353"/>
      <c r="AB1206" s="3353"/>
      <c r="AC1206" s="3353"/>
      <c r="AD1206" s="3353"/>
      <c r="AE1206" s="3353"/>
      <c r="AF1206" s="3353"/>
      <c r="AG1206" s="3353"/>
      <c r="AH1206" s="3353"/>
      <c r="AI1206" s="3353"/>
      <c r="AJ1206" s="3353"/>
      <c r="AK1206" s="3353"/>
      <c r="AL1206" s="3353"/>
    </row>
    <row r="1207" spans="1:38" s="3309" customFormat="1" ht="25.5" x14ac:dyDescent="0.2">
      <c r="A1207" s="3462" t="s">
        <v>6066</v>
      </c>
      <c r="B1207" s="3438">
        <f>B1206*B799*B1198</f>
        <v>0</v>
      </c>
      <c r="C1207" s="3438" t="e">
        <f>C801*C799*C1198</f>
        <v>#DIV/0!</v>
      </c>
      <c r="D1207" s="3438" t="e">
        <f>D801*D799*D1198</f>
        <v>#DIV/0!</v>
      </c>
      <c r="E1207" s="3438" t="e">
        <f>E801*E799*E1198</f>
        <v>#DIV/0!</v>
      </c>
      <c r="F1207" s="3438" t="e">
        <f>F801*F799*F1198</f>
        <v>#DIV/0!</v>
      </c>
      <c r="G1207" s="3438" t="e">
        <f>G801*G799*G1198</f>
        <v>#DIV/0!</v>
      </c>
      <c r="H1207" s="3353"/>
      <c r="I1207" s="3353"/>
      <c r="J1207" s="3353"/>
      <c r="K1207" s="3353"/>
      <c r="L1207" s="3353"/>
      <c r="M1207" s="3353"/>
      <c r="N1207" s="3353"/>
      <c r="O1207" s="3353"/>
      <c r="P1207" s="3353"/>
      <c r="Q1207" s="3353"/>
      <c r="R1207" s="3353"/>
      <c r="S1207" s="3353"/>
      <c r="T1207" s="3353"/>
      <c r="U1207" s="3353"/>
      <c r="V1207" s="3353"/>
      <c r="W1207" s="3353"/>
      <c r="X1207" s="3353"/>
      <c r="Y1207" s="3353"/>
      <c r="Z1207" s="3353"/>
      <c r="AA1207" s="3353"/>
      <c r="AB1207" s="3353"/>
      <c r="AC1207" s="3353"/>
      <c r="AD1207" s="3353"/>
      <c r="AE1207" s="3353"/>
      <c r="AF1207" s="3353"/>
      <c r="AG1207" s="3353"/>
      <c r="AH1207" s="3353"/>
      <c r="AI1207" s="3353"/>
      <c r="AJ1207" s="3353"/>
      <c r="AK1207" s="3353"/>
      <c r="AL1207" s="3353"/>
    </row>
    <row r="1208" spans="1:38" s="3309" customFormat="1" x14ac:dyDescent="0.2">
      <c r="A1208" s="3411" t="s">
        <v>6072</v>
      </c>
      <c r="B1208" s="3438">
        <f t="shared" ref="B1208:G1208" si="597">B860</f>
        <v>0</v>
      </c>
      <c r="C1208" s="3438" t="e">
        <f t="shared" si="597"/>
        <v>#DIV/0!</v>
      </c>
      <c r="D1208" s="3438" t="e">
        <f t="shared" si="597"/>
        <v>#DIV/0!</v>
      </c>
      <c r="E1208" s="3438" t="e">
        <f t="shared" si="597"/>
        <v>#DIV/0!</v>
      </c>
      <c r="F1208" s="3438" t="e">
        <f t="shared" si="597"/>
        <v>#DIV/0!</v>
      </c>
      <c r="G1208" s="3438" t="e">
        <f t="shared" si="597"/>
        <v>#DIV/0!</v>
      </c>
      <c r="H1208" s="3353"/>
      <c r="I1208" s="3353"/>
      <c r="J1208" s="3353"/>
      <c r="K1208" s="3353"/>
      <c r="L1208" s="3353"/>
      <c r="M1208" s="3353"/>
      <c r="N1208" s="3353"/>
      <c r="O1208" s="3353"/>
      <c r="P1208" s="3353"/>
      <c r="Q1208" s="3353"/>
      <c r="R1208" s="3353"/>
      <c r="S1208" s="3353"/>
      <c r="T1208" s="3353"/>
      <c r="U1208" s="3353"/>
      <c r="V1208" s="3353"/>
      <c r="W1208" s="3353"/>
      <c r="X1208" s="3353"/>
      <c r="Y1208" s="3353"/>
      <c r="Z1208" s="3353"/>
      <c r="AA1208" s="3353"/>
      <c r="AB1208" s="3353"/>
      <c r="AC1208" s="3353"/>
      <c r="AD1208" s="3353"/>
      <c r="AE1208" s="3353"/>
      <c r="AF1208" s="3353"/>
      <c r="AG1208" s="3353"/>
      <c r="AH1208" s="3353"/>
      <c r="AI1208" s="3353"/>
      <c r="AJ1208" s="3353"/>
      <c r="AK1208" s="3353"/>
      <c r="AL1208" s="3353"/>
    </row>
    <row r="1209" spans="1:38" s="3309" customFormat="1" x14ac:dyDescent="0.2">
      <c r="A1209" s="3411" t="s">
        <v>2525</v>
      </c>
      <c r="B1209" s="3426">
        <f t="shared" ref="B1209:G1209" si="598">B1208*B866*B1198</f>
        <v>0</v>
      </c>
      <c r="C1209" s="3426" t="e">
        <f t="shared" si="598"/>
        <v>#DIV/0!</v>
      </c>
      <c r="D1209" s="3426" t="e">
        <f t="shared" si="598"/>
        <v>#DIV/0!</v>
      </c>
      <c r="E1209" s="3426" t="e">
        <f t="shared" si="598"/>
        <v>#DIV/0!</v>
      </c>
      <c r="F1209" s="3426" t="e">
        <f t="shared" si="598"/>
        <v>#DIV/0!</v>
      </c>
      <c r="G1209" s="3426" t="e">
        <f t="shared" si="598"/>
        <v>#DIV/0!</v>
      </c>
      <c r="H1209" s="3353"/>
      <c r="I1209" s="3353"/>
      <c r="J1209" s="3353"/>
      <c r="K1209" s="3353"/>
      <c r="L1209" s="3353"/>
      <c r="M1209" s="3353"/>
      <c r="N1209" s="3353"/>
      <c r="O1209" s="3353"/>
      <c r="P1209" s="3353"/>
      <c r="Q1209" s="3353"/>
      <c r="R1209" s="3353"/>
      <c r="S1209" s="3353"/>
      <c r="T1209" s="3353"/>
      <c r="U1209" s="3353"/>
      <c r="V1209" s="3353"/>
      <c r="W1209" s="3353"/>
      <c r="X1209" s="3353"/>
      <c r="Y1209" s="3353"/>
      <c r="Z1209" s="3353"/>
      <c r="AA1209" s="3353"/>
      <c r="AB1209" s="3353"/>
      <c r="AC1209" s="3353"/>
      <c r="AD1209" s="3353"/>
      <c r="AE1209" s="3353"/>
      <c r="AF1209" s="3353"/>
      <c r="AG1209" s="3353"/>
      <c r="AH1209" s="3353"/>
      <c r="AI1209" s="3353"/>
      <c r="AJ1209" s="3353"/>
      <c r="AK1209" s="3353"/>
      <c r="AL1209" s="3353"/>
    </row>
    <row r="1210" spans="1:38" s="3309" customFormat="1" x14ac:dyDescent="0.2">
      <c r="A1210" s="3411" t="s">
        <v>6071</v>
      </c>
      <c r="B1210" s="3426" t="e">
        <f t="shared" ref="B1210:G1210" si="599">B842+B903</f>
        <v>#DIV/0!</v>
      </c>
      <c r="C1210" s="3426" t="e">
        <f t="shared" si="599"/>
        <v>#DIV/0!</v>
      </c>
      <c r="D1210" s="3426" t="e">
        <f t="shared" si="599"/>
        <v>#DIV/0!</v>
      </c>
      <c r="E1210" s="3426" t="e">
        <f t="shared" si="599"/>
        <v>#DIV/0!</v>
      </c>
      <c r="F1210" s="3426" t="e">
        <f t="shared" si="599"/>
        <v>#DIV/0!</v>
      </c>
      <c r="G1210" s="3426" t="e">
        <f t="shared" si="599"/>
        <v>#DIV/0!</v>
      </c>
      <c r="H1210" s="3353"/>
      <c r="I1210" s="3353"/>
      <c r="J1210" s="3353"/>
      <c r="K1210" s="3353"/>
      <c r="L1210" s="3353"/>
      <c r="M1210" s="3353"/>
      <c r="N1210" s="3353"/>
      <c r="O1210" s="3353"/>
      <c r="P1210" s="3353"/>
      <c r="Q1210" s="3353"/>
      <c r="R1210" s="3353"/>
      <c r="S1210" s="3353"/>
      <c r="T1210" s="3353"/>
      <c r="U1210" s="3353"/>
      <c r="V1210" s="3353"/>
      <c r="W1210" s="3353"/>
      <c r="X1210" s="3353"/>
      <c r="Y1210" s="3353"/>
      <c r="Z1210" s="3353"/>
      <c r="AA1210" s="3353"/>
      <c r="AB1210" s="3353"/>
      <c r="AC1210" s="3353"/>
      <c r="AD1210" s="3353"/>
      <c r="AE1210" s="3353"/>
      <c r="AF1210" s="3353"/>
      <c r="AG1210" s="3353"/>
      <c r="AH1210" s="3353"/>
      <c r="AI1210" s="3353"/>
      <c r="AJ1210" s="3353"/>
      <c r="AK1210" s="3353"/>
      <c r="AL1210" s="3353"/>
    </row>
    <row r="1211" spans="1:38" s="3309" customFormat="1" x14ac:dyDescent="0.2">
      <c r="A1211" s="3459" t="s">
        <v>6070</v>
      </c>
      <c r="B1211" s="3424" t="e">
        <f t="shared" ref="B1211:G1211" si="600">B1210*B735*B1201</f>
        <v>#DIV/0!</v>
      </c>
      <c r="C1211" s="3424" t="e">
        <f t="shared" si="600"/>
        <v>#DIV/0!</v>
      </c>
      <c r="D1211" s="3424" t="e">
        <f t="shared" si="600"/>
        <v>#DIV/0!</v>
      </c>
      <c r="E1211" s="3424" t="e">
        <f t="shared" si="600"/>
        <v>#DIV/0!</v>
      </c>
      <c r="F1211" s="3424" t="e">
        <f t="shared" si="600"/>
        <v>#DIV/0!</v>
      </c>
      <c r="G1211" s="3424" t="e">
        <f t="shared" si="600"/>
        <v>#DIV/0!</v>
      </c>
      <c r="H1211" s="3353"/>
      <c r="I1211" s="3353"/>
      <c r="J1211" s="3353"/>
      <c r="K1211" s="3353"/>
      <c r="L1211" s="3353"/>
      <c r="M1211" s="3353"/>
      <c r="N1211" s="3353"/>
      <c r="O1211" s="3353"/>
      <c r="P1211" s="3353"/>
      <c r="Q1211" s="3353"/>
      <c r="R1211" s="3353"/>
      <c r="S1211" s="3353"/>
      <c r="T1211" s="3353"/>
      <c r="U1211" s="3353"/>
      <c r="V1211" s="3353"/>
      <c r="W1211" s="3353"/>
      <c r="X1211" s="3353"/>
      <c r="Y1211" s="3353"/>
      <c r="Z1211" s="3353"/>
      <c r="AA1211" s="3353"/>
      <c r="AB1211" s="3353"/>
      <c r="AC1211" s="3353"/>
      <c r="AD1211" s="3353"/>
      <c r="AE1211" s="3353"/>
      <c r="AF1211" s="3353"/>
      <c r="AG1211" s="3353"/>
      <c r="AH1211" s="3353"/>
      <c r="AI1211" s="3353"/>
      <c r="AJ1211" s="3353"/>
      <c r="AK1211" s="3353"/>
      <c r="AL1211" s="3353"/>
    </row>
    <row r="1212" spans="1:38" s="3309" customFormat="1" x14ac:dyDescent="0.2">
      <c r="A1212" s="3411" t="s">
        <v>3329</v>
      </c>
      <c r="B1212" s="3426" t="e">
        <f t="shared" ref="B1212:G1212" si="601">B1147*B1149*B1200</f>
        <v>#VALUE!</v>
      </c>
      <c r="C1212" s="3426" t="e">
        <f t="shared" si="601"/>
        <v>#DIV/0!</v>
      </c>
      <c r="D1212" s="3426" t="e">
        <f t="shared" si="601"/>
        <v>#DIV/0!</v>
      </c>
      <c r="E1212" s="3426" t="e">
        <f t="shared" si="601"/>
        <v>#DIV/0!</v>
      </c>
      <c r="F1212" s="3426" t="e">
        <f t="shared" si="601"/>
        <v>#DIV/0!</v>
      </c>
      <c r="G1212" s="3426" t="e">
        <f t="shared" si="601"/>
        <v>#DIV/0!</v>
      </c>
      <c r="H1212" s="3353"/>
      <c r="I1212" s="3353"/>
      <c r="J1212" s="3353"/>
      <c r="K1212" s="3353"/>
      <c r="L1212" s="3353"/>
      <c r="M1212" s="3353"/>
      <c r="N1212" s="3353"/>
      <c r="O1212" s="3353"/>
      <c r="P1212" s="3353"/>
      <c r="Q1212" s="3353"/>
      <c r="R1212" s="3353"/>
      <c r="S1212" s="3353"/>
      <c r="T1212" s="3353"/>
      <c r="U1212" s="3353"/>
      <c r="V1212" s="3353"/>
      <c r="W1212" s="3353"/>
      <c r="X1212" s="3353"/>
      <c r="Y1212" s="3353"/>
      <c r="Z1212" s="3353"/>
      <c r="AA1212" s="3353"/>
      <c r="AB1212" s="3353"/>
      <c r="AC1212" s="3353"/>
      <c r="AD1212" s="3353"/>
      <c r="AE1212" s="3353"/>
      <c r="AF1212" s="3353"/>
      <c r="AG1212" s="3353"/>
      <c r="AH1212" s="3353"/>
      <c r="AI1212" s="3353"/>
      <c r="AJ1212" s="3353"/>
      <c r="AK1212" s="3353"/>
      <c r="AL1212" s="3353"/>
    </row>
    <row r="1213" spans="1:38" s="3309" customFormat="1" ht="25.5" x14ac:dyDescent="0.2">
      <c r="A1213" s="3416" t="s">
        <v>6069</v>
      </c>
      <c r="B1213" s="3424" t="e">
        <f t="shared" ref="B1213:G1213" si="602">B1207+B1209+B1211+B1212</f>
        <v>#DIV/0!</v>
      </c>
      <c r="C1213" s="3424" t="e">
        <f t="shared" si="602"/>
        <v>#DIV/0!</v>
      </c>
      <c r="D1213" s="3424" t="e">
        <f t="shared" si="602"/>
        <v>#DIV/0!</v>
      </c>
      <c r="E1213" s="3424" t="e">
        <f t="shared" si="602"/>
        <v>#DIV/0!</v>
      </c>
      <c r="F1213" s="3424" t="e">
        <f t="shared" si="602"/>
        <v>#DIV/0!</v>
      </c>
      <c r="G1213" s="3424" t="e">
        <f t="shared" si="602"/>
        <v>#DIV/0!</v>
      </c>
      <c r="H1213" s="3353"/>
      <c r="I1213" s="3353"/>
      <c r="J1213" s="3353"/>
      <c r="K1213" s="3353"/>
      <c r="L1213" s="3353"/>
      <c r="M1213" s="3353"/>
      <c r="N1213" s="3353"/>
      <c r="O1213" s="3353"/>
      <c r="P1213" s="3353"/>
      <c r="Q1213" s="3353"/>
      <c r="R1213" s="3353"/>
      <c r="S1213" s="3353"/>
      <c r="T1213" s="3353"/>
      <c r="U1213" s="3353"/>
      <c r="V1213" s="3353"/>
      <c r="W1213" s="3353"/>
      <c r="X1213" s="3353"/>
      <c r="Y1213" s="3353"/>
      <c r="Z1213" s="3353"/>
      <c r="AA1213" s="3353"/>
      <c r="AB1213" s="3353"/>
      <c r="AC1213" s="3353"/>
      <c r="AD1213" s="3353"/>
      <c r="AE1213" s="3353"/>
      <c r="AF1213" s="3353"/>
      <c r="AG1213" s="3353"/>
      <c r="AH1213" s="3353"/>
      <c r="AI1213" s="3353"/>
      <c r="AJ1213" s="3353"/>
      <c r="AK1213" s="3353"/>
      <c r="AL1213" s="3353"/>
    </row>
    <row r="1214" spans="1:38" s="3309" customFormat="1" x14ac:dyDescent="0.2">
      <c r="A1214" s="3416"/>
      <c r="B1214" s="3424"/>
      <c r="C1214" s="3424"/>
      <c r="D1214" s="3424"/>
      <c r="E1214" s="3424"/>
      <c r="F1214" s="3424"/>
      <c r="G1214" s="3424"/>
      <c r="H1214" s="3353"/>
      <c r="I1214" s="3353"/>
      <c r="J1214" s="3353"/>
      <c r="K1214" s="3353"/>
      <c r="L1214" s="3353"/>
      <c r="M1214" s="3353"/>
      <c r="N1214" s="3353"/>
      <c r="O1214" s="3353"/>
      <c r="P1214" s="3353"/>
      <c r="Q1214" s="3353"/>
      <c r="R1214" s="3353"/>
      <c r="S1214" s="3353"/>
      <c r="T1214" s="3353"/>
      <c r="U1214" s="3353"/>
      <c r="V1214" s="3353"/>
      <c r="W1214" s="3353"/>
      <c r="X1214" s="3353"/>
      <c r="Y1214" s="3353"/>
      <c r="Z1214" s="3353"/>
      <c r="AA1214" s="3353"/>
      <c r="AB1214" s="3353"/>
      <c r="AC1214" s="3353"/>
      <c r="AD1214" s="3353"/>
      <c r="AE1214" s="3353"/>
      <c r="AF1214" s="3353"/>
      <c r="AG1214" s="3353"/>
      <c r="AH1214" s="3353"/>
      <c r="AI1214" s="3353"/>
      <c r="AJ1214" s="3353"/>
      <c r="AK1214" s="3353"/>
      <c r="AL1214" s="3353"/>
    </row>
    <row r="1215" spans="1:38" s="3309" customFormat="1" x14ac:dyDescent="0.2">
      <c r="A1215" s="3416" t="s">
        <v>6161</v>
      </c>
      <c r="B1215" s="3424"/>
      <c r="C1215" s="3424"/>
      <c r="D1215" s="3424"/>
      <c r="E1215" s="3424"/>
      <c r="F1215" s="3424"/>
      <c r="G1215" s="3424"/>
      <c r="H1215" s="3353"/>
      <c r="I1215" s="3353"/>
      <c r="J1215" s="3353"/>
      <c r="K1215" s="3353"/>
      <c r="L1215" s="3353"/>
      <c r="M1215" s="3353"/>
      <c r="N1215" s="3353"/>
      <c r="O1215" s="3353"/>
      <c r="P1215" s="3353"/>
      <c r="Q1215" s="3353"/>
      <c r="R1215" s="3353"/>
      <c r="S1215" s="3353"/>
      <c r="T1215" s="3353"/>
      <c r="U1215" s="3353"/>
      <c r="V1215" s="3353"/>
      <c r="W1215" s="3353"/>
      <c r="X1215" s="3353"/>
      <c r="Y1215" s="3353"/>
      <c r="Z1215" s="3353"/>
      <c r="AA1215" s="3353"/>
      <c r="AB1215" s="3353"/>
      <c r="AC1215" s="3353"/>
      <c r="AD1215" s="3353"/>
      <c r="AE1215" s="3353"/>
      <c r="AF1215" s="3353"/>
      <c r="AG1215" s="3353"/>
      <c r="AH1215" s="3353"/>
      <c r="AI1215" s="3353"/>
      <c r="AJ1215" s="3353"/>
      <c r="AK1215" s="3353"/>
      <c r="AL1215" s="3353"/>
    </row>
    <row r="1216" spans="1:38" s="3309" customFormat="1" x14ac:dyDescent="0.2">
      <c r="A1216" s="3416"/>
      <c r="B1216" s="3424"/>
      <c r="C1216" s="3424"/>
      <c r="D1216" s="3424"/>
      <c r="E1216" s="3424"/>
      <c r="F1216" s="3424"/>
      <c r="G1216" s="3424"/>
      <c r="H1216" s="3353"/>
      <c r="I1216" s="3353"/>
      <c r="J1216" s="3353"/>
      <c r="K1216" s="3353"/>
      <c r="L1216" s="3353"/>
      <c r="M1216" s="3353"/>
      <c r="N1216" s="3353"/>
      <c r="O1216" s="3353"/>
      <c r="P1216" s="3353"/>
      <c r="Q1216" s="3353"/>
      <c r="R1216" s="3353"/>
      <c r="S1216" s="3353"/>
      <c r="T1216" s="3353"/>
      <c r="U1216" s="3353"/>
      <c r="V1216" s="3353"/>
      <c r="W1216" s="3353"/>
      <c r="X1216" s="3353"/>
      <c r="Y1216" s="3353"/>
      <c r="Z1216" s="3353"/>
      <c r="AA1216" s="3353"/>
      <c r="AB1216" s="3353"/>
      <c r="AC1216" s="3353"/>
      <c r="AD1216" s="3353"/>
      <c r="AE1216" s="3353"/>
      <c r="AF1216" s="3353"/>
      <c r="AG1216" s="3353"/>
      <c r="AH1216" s="3353"/>
      <c r="AI1216" s="3353"/>
      <c r="AJ1216" s="3353"/>
      <c r="AK1216" s="3353"/>
      <c r="AL1216" s="3353"/>
    </row>
    <row r="1217" spans="1:38" s="3309" customFormat="1" x14ac:dyDescent="0.2">
      <c r="A1217" s="3516" t="s">
        <v>3331</v>
      </c>
      <c r="B1217" s="3428">
        <f t="shared" ref="B1217:G1217" si="603">B197</f>
        <v>300</v>
      </c>
      <c r="C1217" s="3428">
        <f t="shared" si="603"/>
        <v>300</v>
      </c>
      <c r="D1217" s="3428">
        <f t="shared" si="603"/>
        <v>300</v>
      </c>
      <c r="E1217" s="3428">
        <f t="shared" si="603"/>
        <v>300</v>
      </c>
      <c r="F1217" s="3428">
        <f t="shared" si="603"/>
        <v>300</v>
      </c>
      <c r="G1217" s="3428">
        <f t="shared" si="603"/>
        <v>300</v>
      </c>
      <c r="H1217" s="3353"/>
      <c r="I1217" s="3353"/>
      <c r="J1217" s="3353"/>
      <c r="K1217" s="3353"/>
      <c r="L1217" s="3353"/>
      <c r="M1217" s="3353"/>
      <c r="N1217" s="3353"/>
      <c r="O1217" s="3353"/>
      <c r="P1217" s="3353"/>
      <c r="Q1217" s="3353"/>
      <c r="R1217" s="3353"/>
      <c r="S1217" s="3353"/>
      <c r="T1217" s="3353"/>
      <c r="U1217" s="3353"/>
      <c r="V1217" s="3353"/>
      <c r="W1217" s="3353"/>
      <c r="X1217" s="3353"/>
      <c r="Y1217" s="3353"/>
      <c r="Z1217" s="3353"/>
      <c r="AA1217" s="3353"/>
      <c r="AB1217" s="3353"/>
      <c r="AC1217" s="3353"/>
      <c r="AD1217" s="3353"/>
      <c r="AE1217" s="3353"/>
      <c r="AF1217" s="3353"/>
      <c r="AG1217" s="3353"/>
      <c r="AH1217" s="3353"/>
      <c r="AI1217" s="3353"/>
      <c r="AJ1217" s="3353"/>
      <c r="AK1217" s="3353"/>
      <c r="AL1217" s="3353"/>
    </row>
    <row r="1218" spans="1:38" s="3309" customFormat="1" ht="25.5" x14ac:dyDescent="0.2">
      <c r="A1218" s="3416" t="s">
        <v>6068</v>
      </c>
      <c r="B1218" s="3417" t="e">
        <f t="shared" ref="B1218:G1218" si="604">B1213*B1217</f>
        <v>#DIV/0!</v>
      </c>
      <c r="C1218" s="3417" t="e">
        <f t="shared" si="604"/>
        <v>#DIV/0!</v>
      </c>
      <c r="D1218" s="3417" t="e">
        <f t="shared" si="604"/>
        <v>#DIV/0!</v>
      </c>
      <c r="E1218" s="3417" t="e">
        <f t="shared" si="604"/>
        <v>#DIV/0!</v>
      </c>
      <c r="F1218" s="3417" t="e">
        <f t="shared" si="604"/>
        <v>#DIV/0!</v>
      </c>
      <c r="G1218" s="3417" t="e">
        <f t="shared" si="604"/>
        <v>#DIV/0!</v>
      </c>
      <c r="H1218" s="3353"/>
      <c r="I1218" s="3353"/>
      <c r="J1218" s="3353"/>
      <c r="K1218" s="3353"/>
      <c r="L1218" s="3353"/>
      <c r="M1218" s="3353"/>
      <c r="N1218" s="3353"/>
      <c r="O1218" s="3353"/>
      <c r="P1218" s="3353"/>
      <c r="Q1218" s="3353"/>
      <c r="R1218" s="3353"/>
      <c r="S1218" s="3353"/>
      <c r="T1218" s="3353"/>
      <c r="U1218" s="3353"/>
      <c r="V1218" s="3353"/>
      <c r="W1218" s="3353"/>
      <c r="X1218" s="3353"/>
      <c r="Y1218" s="3353"/>
      <c r="Z1218" s="3353"/>
      <c r="AA1218" s="3353"/>
      <c r="AB1218" s="3353"/>
      <c r="AC1218" s="3353"/>
      <c r="AD1218" s="3353"/>
      <c r="AE1218" s="3353"/>
      <c r="AF1218" s="3353"/>
      <c r="AG1218" s="3353"/>
      <c r="AH1218" s="3353"/>
      <c r="AI1218" s="3353"/>
      <c r="AJ1218" s="3353"/>
      <c r="AK1218" s="3353"/>
      <c r="AL1218" s="3353"/>
    </row>
    <row r="1219" spans="1:38" s="3309" customFormat="1" ht="25.5" x14ac:dyDescent="0.2">
      <c r="A1219" s="3463" t="s">
        <v>5958</v>
      </c>
      <c r="B1219" s="3453"/>
      <c r="C1219" s="3453"/>
      <c r="D1219" s="3453"/>
      <c r="E1219" s="3453"/>
      <c r="F1219" s="3453"/>
      <c r="G1219" s="3453"/>
      <c r="H1219" s="3353"/>
      <c r="I1219" s="3353"/>
      <c r="J1219" s="3353"/>
      <c r="K1219" s="3353"/>
      <c r="L1219" s="3353"/>
      <c r="M1219" s="3353"/>
      <c r="N1219" s="3353"/>
      <c r="O1219" s="3353"/>
      <c r="P1219" s="3353"/>
      <c r="Q1219" s="3353"/>
      <c r="R1219" s="3353"/>
      <c r="S1219" s="3353"/>
      <c r="T1219" s="3353"/>
      <c r="U1219" s="3353"/>
      <c r="V1219" s="3353"/>
      <c r="W1219" s="3353"/>
      <c r="X1219" s="3353"/>
      <c r="Y1219" s="3353"/>
      <c r="Z1219" s="3353"/>
      <c r="AA1219" s="3353"/>
      <c r="AB1219" s="3353"/>
      <c r="AC1219" s="3353"/>
      <c r="AD1219" s="3353"/>
      <c r="AE1219" s="3353"/>
      <c r="AF1219" s="3353"/>
      <c r="AG1219" s="3353"/>
      <c r="AH1219" s="3353"/>
      <c r="AI1219" s="3353"/>
      <c r="AJ1219" s="3353"/>
      <c r="AK1219" s="3353"/>
      <c r="AL1219" s="3353"/>
    </row>
    <row r="1220" spans="1:38" s="3309" customFormat="1" ht="25.5" x14ac:dyDescent="0.2">
      <c r="A1220" s="3459" t="s">
        <v>2800</v>
      </c>
      <c r="B1220" s="3426">
        <f t="shared" ref="B1220:G1220" si="605">B1037*B1036*B1205</f>
        <v>0</v>
      </c>
      <c r="C1220" s="3411" t="e">
        <f t="shared" si="605"/>
        <v>#DIV/0!</v>
      </c>
      <c r="D1220" s="3411" t="e">
        <f t="shared" si="605"/>
        <v>#DIV/0!</v>
      </c>
      <c r="E1220" s="3411" t="e">
        <f t="shared" si="605"/>
        <v>#DIV/0!</v>
      </c>
      <c r="F1220" s="3411" t="e">
        <f t="shared" si="605"/>
        <v>#DIV/0!</v>
      </c>
      <c r="G1220" s="3411" t="e">
        <f t="shared" si="605"/>
        <v>#DIV/0!</v>
      </c>
      <c r="H1220" s="3353"/>
      <c r="I1220" s="3353"/>
      <c r="J1220" s="3353"/>
      <c r="K1220" s="3353"/>
      <c r="L1220" s="3353"/>
      <c r="M1220" s="3353"/>
      <c r="N1220" s="3353"/>
      <c r="O1220" s="3353"/>
      <c r="P1220" s="3353"/>
      <c r="Q1220" s="3353"/>
      <c r="R1220" s="3353"/>
      <c r="S1220" s="3353"/>
      <c r="T1220" s="3353"/>
      <c r="U1220" s="3353"/>
      <c r="V1220" s="3353"/>
      <c r="W1220" s="3353"/>
      <c r="X1220" s="3353"/>
      <c r="Y1220" s="3353"/>
      <c r="Z1220" s="3353"/>
      <c r="AA1220" s="3353"/>
      <c r="AB1220" s="3353"/>
      <c r="AC1220" s="3353"/>
      <c r="AD1220" s="3353"/>
      <c r="AE1220" s="3353"/>
      <c r="AF1220" s="3353"/>
      <c r="AG1220" s="3353"/>
      <c r="AH1220" s="3353"/>
      <c r="AI1220" s="3353"/>
      <c r="AJ1220" s="3353"/>
      <c r="AK1220" s="3353"/>
      <c r="AL1220" s="3353"/>
    </row>
    <row r="1221" spans="1:38" s="3309" customFormat="1" ht="25.5" x14ac:dyDescent="0.2">
      <c r="A1221" s="3459" t="s">
        <v>6061</v>
      </c>
      <c r="B1221" s="3411" t="e">
        <f t="shared" ref="B1221:G1221" si="606">B1037*3*B1201*B735</f>
        <v>#VALUE!</v>
      </c>
      <c r="C1221" s="3411" t="e">
        <f t="shared" si="606"/>
        <v>#DIV/0!</v>
      </c>
      <c r="D1221" s="3411" t="e">
        <f t="shared" si="606"/>
        <v>#DIV/0!</v>
      </c>
      <c r="E1221" s="3411" t="e">
        <f t="shared" si="606"/>
        <v>#DIV/0!</v>
      </c>
      <c r="F1221" s="3411" t="e">
        <f t="shared" si="606"/>
        <v>#DIV/0!</v>
      </c>
      <c r="G1221" s="3411" t="e">
        <f t="shared" si="606"/>
        <v>#DIV/0!</v>
      </c>
      <c r="H1221" s="3353"/>
      <c r="I1221" s="3353"/>
      <c r="J1221" s="3353"/>
      <c r="K1221" s="3353"/>
      <c r="L1221" s="3353"/>
      <c r="M1221" s="3353"/>
      <c r="N1221" s="3353"/>
      <c r="O1221" s="3353"/>
      <c r="P1221" s="3353"/>
      <c r="Q1221" s="3353"/>
      <c r="R1221" s="3353"/>
      <c r="S1221" s="3353"/>
      <c r="T1221" s="3353"/>
      <c r="U1221" s="3353"/>
      <c r="V1221" s="3353"/>
      <c r="W1221" s="3353"/>
      <c r="X1221" s="3353"/>
      <c r="Y1221" s="3353"/>
      <c r="Z1221" s="3353"/>
      <c r="AA1221" s="3353"/>
      <c r="AB1221" s="3353"/>
      <c r="AC1221" s="3353"/>
      <c r="AD1221" s="3353"/>
      <c r="AE1221" s="3353"/>
      <c r="AF1221" s="3353"/>
      <c r="AG1221" s="3353"/>
      <c r="AH1221" s="3353"/>
      <c r="AI1221" s="3353"/>
      <c r="AJ1221" s="3353"/>
      <c r="AK1221" s="3353"/>
      <c r="AL1221" s="3353"/>
    </row>
    <row r="1222" spans="1:38" s="3309" customFormat="1" x14ac:dyDescent="0.2">
      <c r="A1222" s="3411" t="s">
        <v>6067</v>
      </c>
      <c r="B1222" s="3426" t="e">
        <f t="shared" ref="B1222:G1222" si="607">B960*B735*B1201</f>
        <v>#DIV/0!</v>
      </c>
      <c r="C1222" s="3426">
        <f t="shared" si="607"/>
        <v>0</v>
      </c>
      <c r="D1222" s="3426">
        <f t="shared" si="607"/>
        <v>0</v>
      </c>
      <c r="E1222" s="3426">
        <f t="shared" si="607"/>
        <v>0</v>
      </c>
      <c r="F1222" s="3426">
        <f t="shared" si="607"/>
        <v>0</v>
      </c>
      <c r="G1222" s="3426">
        <f t="shared" si="607"/>
        <v>0</v>
      </c>
      <c r="H1222" s="3353"/>
      <c r="I1222" s="3353"/>
      <c r="J1222" s="3353"/>
      <c r="K1222" s="3353"/>
      <c r="L1222" s="3353"/>
      <c r="M1222" s="3353"/>
      <c r="N1222" s="3353"/>
      <c r="O1222" s="3353"/>
      <c r="P1222" s="3353"/>
      <c r="Q1222" s="3353"/>
      <c r="R1222" s="3353"/>
      <c r="S1222" s="3353"/>
      <c r="T1222" s="3353"/>
      <c r="U1222" s="3353"/>
      <c r="V1222" s="3353"/>
      <c r="W1222" s="3353"/>
      <c r="X1222" s="3353"/>
      <c r="Y1222" s="3353"/>
      <c r="Z1222" s="3353"/>
      <c r="AA1222" s="3353"/>
      <c r="AB1222" s="3353"/>
      <c r="AC1222" s="3353"/>
      <c r="AD1222" s="3353"/>
      <c r="AE1222" s="3353"/>
      <c r="AF1222" s="3353"/>
      <c r="AG1222" s="3353"/>
      <c r="AH1222" s="3353"/>
      <c r="AI1222" s="3353"/>
      <c r="AJ1222" s="3353"/>
      <c r="AK1222" s="3353"/>
      <c r="AL1222" s="3353"/>
    </row>
    <row r="1223" spans="1:38" s="3309" customFormat="1" ht="25.5" x14ac:dyDescent="0.2">
      <c r="A1223" s="3462" t="s">
        <v>6066</v>
      </c>
      <c r="B1223" s="3417">
        <f t="shared" ref="B1223:G1223" si="608">B1207</f>
        <v>0</v>
      </c>
      <c r="C1223" s="3417" t="e">
        <f t="shared" si="608"/>
        <v>#DIV/0!</v>
      </c>
      <c r="D1223" s="3417" t="e">
        <f t="shared" si="608"/>
        <v>#DIV/0!</v>
      </c>
      <c r="E1223" s="3417" t="e">
        <f t="shared" si="608"/>
        <v>#DIV/0!</v>
      </c>
      <c r="F1223" s="3417" t="e">
        <f t="shared" si="608"/>
        <v>#DIV/0!</v>
      </c>
      <c r="G1223" s="3417" t="e">
        <f t="shared" si="608"/>
        <v>#DIV/0!</v>
      </c>
      <c r="H1223" s="3353"/>
      <c r="I1223" s="3353"/>
      <c r="J1223" s="3353"/>
      <c r="K1223" s="3353"/>
      <c r="L1223" s="3353"/>
      <c r="M1223" s="3353"/>
      <c r="N1223" s="3353"/>
      <c r="O1223" s="3353"/>
      <c r="P1223" s="3353"/>
      <c r="Q1223" s="3353"/>
      <c r="R1223" s="3353"/>
      <c r="S1223" s="3353"/>
      <c r="T1223" s="3353"/>
      <c r="U1223" s="3353"/>
      <c r="V1223" s="3353"/>
      <c r="W1223" s="3353"/>
      <c r="X1223" s="3353"/>
      <c r="Y1223" s="3353"/>
      <c r="Z1223" s="3353"/>
      <c r="AA1223" s="3353"/>
      <c r="AB1223" s="3353"/>
      <c r="AC1223" s="3353"/>
      <c r="AD1223" s="3353"/>
      <c r="AE1223" s="3353"/>
      <c r="AF1223" s="3353"/>
      <c r="AG1223" s="3353"/>
      <c r="AH1223" s="3353"/>
      <c r="AI1223" s="3353"/>
      <c r="AJ1223" s="3353"/>
      <c r="AK1223" s="3353"/>
      <c r="AL1223" s="3353"/>
    </row>
    <row r="1224" spans="1:38" s="3309" customFormat="1" x14ac:dyDescent="0.2">
      <c r="A1224" s="3462" t="s">
        <v>3329</v>
      </c>
      <c r="B1224" s="3417" t="e">
        <f t="shared" ref="B1224:G1224" si="609">B1212</f>
        <v>#VALUE!</v>
      </c>
      <c r="C1224" s="3417" t="e">
        <f t="shared" si="609"/>
        <v>#DIV/0!</v>
      </c>
      <c r="D1224" s="3417" t="e">
        <f t="shared" si="609"/>
        <v>#DIV/0!</v>
      </c>
      <c r="E1224" s="3417" t="e">
        <f t="shared" si="609"/>
        <v>#DIV/0!</v>
      </c>
      <c r="F1224" s="3417" t="e">
        <f t="shared" si="609"/>
        <v>#DIV/0!</v>
      </c>
      <c r="G1224" s="3417" t="e">
        <f t="shared" si="609"/>
        <v>#DIV/0!</v>
      </c>
      <c r="H1224" s="3353"/>
      <c r="I1224" s="3353"/>
      <c r="J1224" s="3353"/>
      <c r="K1224" s="3353"/>
      <c r="L1224" s="3353"/>
      <c r="M1224" s="3353"/>
      <c r="N1224" s="3353"/>
      <c r="O1224" s="3353"/>
      <c r="P1224" s="3353"/>
      <c r="Q1224" s="3353"/>
      <c r="R1224" s="3353"/>
      <c r="S1224" s="3353"/>
      <c r="T1224" s="3353"/>
      <c r="U1224" s="3353"/>
      <c r="V1224" s="3353"/>
      <c r="W1224" s="3353"/>
      <c r="X1224" s="3353"/>
      <c r="Y1224" s="3353"/>
      <c r="Z1224" s="3353"/>
      <c r="AA1224" s="3353"/>
      <c r="AB1224" s="3353"/>
      <c r="AC1224" s="3353"/>
      <c r="AD1224" s="3353"/>
      <c r="AE1224" s="3353"/>
      <c r="AF1224" s="3353"/>
      <c r="AG1224" s="3353"/>
      <c r="AH1224" s="3353"/>
      <c r="AI1224" s="3353"/>
      <c r="AJ1224" s="3353"/>
      <c r="AK1224" s="3353"/>
      <c r="AL1224" s="3353"/>
    </row>
    <row r="1225" spans="1:38" s="3309" customFormat="1" x14ac:dyDescent="0.2">
      <c r="A1225" s="3447" t="s">
        <v>6060</v>
      </c>
      <c r="B1225" s="3417" t="e">
        <f t="shared" ref="B1225:G1225" si="610">B1223+B1222+B1220+B1221+B1212</f>
        <v>#DIV/0!</v>
      </c>
      <c r="C1225" s="3417" t="e">
        <f t="shared" si="610"/>
        <v>#DIV/0!</v>
      </c>
      <c r="D1225" s="3417" t="e">
        <f t="shared" si="610"/>
        <v>#DIV/0!</v>
      </c>
      <c r="E1225" s="3417" t="e">
        <f t="shared" si="610"/>
        <v>#DIV/0!</v>
      </c>
      <c r="F1225" s="3417" t="e">
        <f t="shared" si="610"/>
        <v>#DIV/0!</v>
      </c>
      <c r="G1225" s="3417" t="e">
        <f t="shared" si="610"/>
        <v>#DIV/0!</v>
      </c>
      <c r="H1225" s="3353"/>
      <c r="I1225" s="3353"/>
      <c r="J1225" s="3353"/>
      <c r="K1225" s="3353"/>
      <c r="L1225" s="3353"/>
      <c r="M1225" s="3353"/>
      <c r="N1225" s="3353"/>
      <c r="O1225" s="3353"/>
      <c r="P1225" s="3353"/>
      <c r="Q1225" s="3353"/>
      <c r="R1225" s="3353"/>
      <c r="S1225" s="3353"/>
      <c r="T1225" s="3353"/>
      <c r="U1225" s="3353"/>
      <c r="V1225" s="3353"/>
      <c r="W1225" s="3353"/>
      <c r="X1225" s="3353"/>
      <c r="Y1225" s="3353"/>
      <c r="Z1225" s="3353"/>
      <c r="AA1225" s="3353"/>
      <c r="AB1225" s="3353"/>
      <c r="AC1225" s="3353"/>
      <c r="AD1225" s="3353"/>
      <c r="AE1225" s="3353"/>
      <c r="AF1225" s="3353"/>
      <c r="AG1225" s="3353"/>
      <c r="AH1225" s="3353"/>
      <c r="AI1225" s="3353"/>
      <c r="AJ1225" s="3353"/>
      <c r="AK1225" s="3353"/>
      <c r="AL1225" s="3353"/>
    </row>
    <row r="1226" spans="1:38" s="3309" customFormat="1" x14ac:dyDescent="0.2">
      <c r="A1226" s="3447" t="s">
        <v>6065</v>
      </c>
      <c r="B1226" s="3417" t="e">
        <f t="shared" ref="B1226:G1226" si="611">B1225*B1217</f>
        <v>#DIV/0!</v>
      </c>
      <c r="C1226" s="3417" t="e">
        <f t="shared" si="611"/>
        <v>#DIV/0!</v>
      </c>
      <c r="D1226" s="3417" t="e">
        <f t="shared" si="611"/>
        <v>#DIV/0!</v>
      </c>
      <c r="E1226" s="3417" t="e">
        <f t="shared" si="611"/>
        <v>#DIV/0!</v>
      </c>
      <c r="F1226" s="3417" t="e">
        <f t="shared" si="611"/>
        <v>#DIV/0!</v>
      </c>
      <c r="G1226" s="3417" t="e">
        <f t="shared" si="611"/>
        <v>#DIV/0!</v>
      </c>
      <c r="H1226" s="3353"/>
      <c r="I1226" s="3353"/>
      <c r="J1226" s="3353"/>
      <c r="K1226" s="3353"/>
      <c r="L1226" s="3353"/>
      <c r="M1226" s="3353"/>
      <c r="N1226" s="3353"/>
      <c r="O1226" s="3353"/>
      <c r="P1226" s="3353"/>
      <c r="Q1226" s="3353"/>
      <c r="R1226" s="3353"/>
      <c r="S1226" s="3353"/>
      <c r="T1226" s="3353"/>
      <c r="U1226" s="3353"/>
      <c r="V1226" s="3353"/>
      <c r="W1226" s="3353"/>
      <c r="X1226" s="3353"/>
      <c r="Y1226" s="3353"/>
      <c r="Z1226" s="3353"/>
      <c r="AA1226" s="3353"/>
      <c r="AB1226" s="3353"/>
      <c r="AC1226" s="3353"/>
      <c r="AD1226" s="3353"/>
      <c r="AE1226" s="3353"/>
      <c r="AF1226" s="3353"/>
      <c r="AG1226" s="3353"/>
      <c r="AH1226" s="3353"/>
      <c r="AI1226" s="3353"/>
      <c r="AJ1226" s="3353"/>
      <c r="AK1226" s="3353"/>
      <c r="AL1226" s="3353"/>
    </row>
    <row r="1227" spans="1:38" s="3309" customFormat="1" x14ac:dyDescent="0.2">
      <c r="A1227" s="3451" t="s">
        <v>6059</v>
      </c>
      <c r="B1227" s="3417">
        <f t="shared" ref="B1227:G1227" si="612">CEILING(((B739-B737+B738)/B763+1)*6,1)</f>
        <v>-12</v>
      </c>
      <c r="C1227" s="3417" t="e">
        <f t="shared" si="612"/>
        <v>#DIV/0!</v>
      </c>
      <c r="D1227" s="3417" t="e">
        <f t="shared" si="612"/>
        <v>#DIV/0!</v>
      </c>
      <c r="E1227" s="3417" t="e">
        <f t="shared" si="612"/>
        <v>#DIV/0!</v>
      </c>
      <c r="F1227" s="3417" t="e">
        <f t="shared" si="612"/>
        <v>#DIV/0!</v>
      </c>
      <c r="G1227" s="3417" t="e">
        <f t="shared" si="612"/>
        <v>#DIV/0!</v>
      </c>
      <c r="H1227" s="3353"/>
      <c r="I1227" s="3353"/>
      <c r="J1227" s="3353"/>
      <c r="K1227" s="3353"/>
      <c r="L1227" s="3353"/>
      <c r="M1227" s="3353"/>
      <c r="N1227" s="3353"/>
      <c r="O1227" s="3353"/>
      <c r="P1227" s="3353"/>
      <c r="Q1227" s="3353"/>
      <c r="R1227" s="3353"/>
      <c r="S1227" s="3353"/>
      <c r="T1227" s="3353"/>
      <c r="U1227" s="3353"/>
      <c r="V1227" s="3353"/>
      <c r="W1227" s="3353"/>
      <c r="X1227" s="3353"/>
      <c r="Y1227" s="3353"/>
      <c r="Z1227" s="3353"/>
      <c r="AA1227" s="3353"/>
      <c r="AB1227" s="3353"/>
      <c r="AC1227" s="3353"/>
      <c r="AD1227" s="3353"/>
      <c r="AE1227" s="3353"/>
      <c r="AF1227" s="3353"/>
      <c r="AG1227" s="3353"/>
      <c r="AH1227" s="3353"/>
      <c r="AI1227" s="3353"/>
      <c r="AJ1227" s="3353"/>
      <c r="AK1227" s="3353"/>
      <c r="AL1227" s="3353"/>
    </row>
    <row r="1228" spans="1:38" s="3309" customFormat="1" x14ac:dyDescent="0.2">
      <c r="A1228" s="3451" t="s">
        <v>6064</v>
      </c>
      <c r="B1228" s="3417">
        <f t="shared" ref="B1228:G1228" si="613">B1227*B1275/100</f>
        <v>-0.6</v>
      </c>
      <c r="C1228" s="3417" t="e">
        <f t="shared" si="613"/>
        <v>#DIV/0!</v>
      </c>
      <c r="D1228" s="3417" t="e">
        <f t="shared" si="613"/>
        <v>#DIV/0!</v>
      </c>
      <c r="E1228" s="3417" t="e">
        <f t="shared" si="613"/>
        <v>#DIV/0!</v>
      </c>
      <c r="F1228" s="3417" t="e">
        <f t="shared" si="613"/>
        <v>#DIV/0!</v>
      </c>
      <c r="G1228" s="3417" t="e">
        <f t="shared" si="613"/>
        <v>#DIV/0!</v>
      </c>
      <c r="H1228" s="3353"/>
      <c r="I1228" s="3353"/>
      <c r="J1228" s="3353"/>
      <c r="K1228" s="3353"/>
      <c r="L1228" s="3353"/>
      <c r="M1228" s="3353"/>
      <c r="N1228" s="3353"/>
      <c r="O1228" s="3353"/>
      <c r="P1228" s="3353"/>
      <c r="Q1228" s="3353"/>
      <c r="R1228" s="3353"/>
      <c r="S1228" s="3353"/>
      <c r="T1228" s="3353"/>
      <c r="U1228" s="3353"/>
      <c r="V1228" s="3353"/>
      <c r="W1228" s="3353"/>
      <c r="X1228" s="3353"/>
      <c r="Y1228" s="3353"/>
      <c r="Z1228" s="3353"/>
      <c r="AA1228" s="3353"/>
      <c r="AB1228" s="3353"/>
      <c r="AC1228" s="3353"/>
      <c r="AD1228" s="3353"/>
      <c r="AE1228" s="3353"/>
      <c r="AF1228" s="3353"/>
      <c r="AG1228" s="3353"/>
      <c r="AH1228" s="3353"/>
      <c r="AI1228" s="3353"/>
      <c r="AJ1228" s="3353"/>
      <c r="AK1228" s="3353"/>
      <c r="AL1228" s="3353"/>
    </row>
    <row r="1229" spans="1:38" s="3309" customFormat="1" x14ac:dyDescent="0.2">
      <c r="A1229" s="3447"/>
      <c r="B1229" s="3417"/>
      <c r="C1229" s="3417"/>
      <c r="D1229" s="3417"/>
      <c r="E1229" s="3417"/>
      <c r="F1229" s="3417"/>
      <c r="G1229" s="3417"/>
      <c r="H1229" s="3353"/>
      <c r="I1229" s="3353"/>
      <c r="J1229" s="3353"/>
      <c r="K1229" s="3353"/>
      <c r="L1229" s="3353"/>
      <c r="M1229" s="3353"/>
      <c r="N1229" s="3353"/>
      <c r="O1229" s="3353"/>
      <c r="P1229" s="3353"/>
      <c r="Q1229" s="3353"/>
      <c r="R1229" s="3353"/>
      <c r="S1229" s="3353"/>
      <c r="T1229" s="3353"/>
      <c r="U1229" s="3353"/>
      <c r="V1229" s="3353"/>
      <c r="W1229" s="3353"/>
      <c r="X1229" s="3353"/>
      <c r="Y1229" s="3353"/>
      <c r="Z1229" s="3353"/>
      <c r="AA1229" s="3353"/>
      <c r="AB1229" s="3353"/>
      <c r="AC1229" s="3353"/>
      <c r="AD1229" s="3353"/>
      <c r="AE1229" s="3353"/>
      <c r="AF1229" s="3353"/>
      <c r="AG1229" s="3353"/>
      <c r="AH1229" s="3353"/>
      <c r="AI1229" s="3353"/>
      <c r="AJ1229" s="3353"/>
      <c r="AK1229" s="3353"/>
      <c r="AL1229" s="3353"/>
    </row>
    <row r="1230" spans="1:38" s="3309" customFormat="1" x14ac:dyDescent="0.2">
      <c r="H1230" s="3353"/>
      <c r="I1230" s="3353"/>
      <c r="J1230" s="3353"/>
      <c r="K1230" s="3353"/>
      <c r="L1230" s="3353"/>
      <c r="M1230" s="3353"/>
      <c r="N1230" s="3353"/>
      <c r="O1230" s="3353"/>
      <c r="P1230" s="3353"/>
      <c r="Q1230" s="3353"/>
      <c r="R1230" s="3353"/>
      <c r="S1230" s="3353"/>
      <c r="T1230" s="3353"/>
      <c r="U1230" s="3353"/>
      <c r="V1230" s="3353"/>
      <c r="W1230" s="3353"/>
      <c r="X1230" s="3353"/>
      <c r="Y1230" s="3353"/>
      <c r="Z1230" s="3353"/>
      <c r="AA1230" s="3353"/>
      <c r="AB1230" s="3353"/>
      <c r="AC1230" s="3353"/>
      <c r="AD1230" s="3353"/>
      <c r="AE1230" s="3353"/>
      <c r="AF1230" s="3353"/>
      <c r="AG1230" s="3353"/>
      <c r="AH1230" s="3353"/>
      <c r="AI1230" s="3353"/>
      <c r="AJ1230" s="3353"/>
      <c r="AK1230" s="3353"/>
      <c r="AL1230" s="3353"/>
    </row>
    <row r="1231" spans="1:38" s="3309" customFormat="1" ht="25.5" x14ac:dyDescent="0.2">
      <c r="A1231" s="3460" t="s">
        <v>5957</v>
      </c>
      <c r="B1231" s="3417"/>
      <c r="C1231" s="3417"/>
      <c r="D1231" s="3417"/>
      <c r="E1231" s="3417"/>
      <c r="F1231" s="3417"/>
      <c r="G1231" s="3417"/>
      <c r="H1231" s="3353"/>
      <c r="I1231" s="3353"/>
      <c r="J1231" s="3353"/>
      <c r="K1231" s="3353"/>
      <c r="L1231" s="3353"/>
      <c r="M1231" s="3353"/>
      <c r="N1231" s="3353"/>
      <c r="O1231" s="3353"/>
      <c r="P1231" s="3353"/>
      <c r="Q1231" s="3353"/>
      <c r="R1231" s="3353"/>
      <c r="S1231" s="3353"/>
      <c r="T1231" s="3353"/>
      <c r="U1231" s="3353"/>
      <c r="V1231" s="3353"/>
      <c r="W1231" s="3353"/>
      <c r="X1231" s="3353"/>
      <c r="Y1231" s="3353"/>
      <c r="Z1231" s="3353"/>
      <c r="AA1231" s="3353"/>
      <c r="AB1231" s="3353"/>
      <c r="AC1231" s="3353"/>
      <c r="AD1231" s="3353"/>
      <c r="AE1231" s="3353"/>
      <c r="AF1231" s="3353"/>
      <c r="AG1231" s="3353"/>
      <c r="AH1231" s="3353"/>
      <c r="AI1231" s="3353"/>
      <c r="AJ1231" s="3353"/>
      <c r="AK1231" s="3353"/>
      <c r="AL1231" s="3353"/>
    </row>
    <row r="1232" spans="1:38" s="3309" customFormat="1" x14ac:dyDescent="0.2">
      <c r="A1232" s="3411" t="s">
        <v>6063</v>
      </c>
      <c r="B1232" s="3417" t="e">
        <f t="shared" ref="B1232:G1232" si="614">B1222</f>
        <v>#DIV/0!</v>
      </c>
      <c r="C1232" s="3417">
        <f t="shared" si="614"/>
        <v>0</v>
      </c>
      <c r="D1232" s="3417">
        <f t="shared" si="614"/>
        <v>0</v>
      </c>
      <c r="E1232" s="3417">
        <f t="shared" si="614"/>
        <v>0</v>
      </c>
      <c r="F1232" s="3417">
        <f t="shared" si="614"/>
        <v>0</v>
      </c>
      <c r="G1232" s="3417">
        <f t="shared" si="614"/>
        <v>0</v>
      </c>
      <c r="H1232" s="3353"/>
      <c r="I1232" s="3353"/>
      <c r="J1232" s="3353"/>
      <c r="K1232" s="3353"/>
      <c r="L1232" s="3353"/>
      <c r="M1232" s="3353"/>
      <c r="N1232" s="3353"/>
      <c r="O1232" s="3353"/>
      <c r="P1232" s="3353"/>
      <c r="Q1232" s="3353"/>
      <c r="R1232" s="3353"/>
      <c r="S1232" s="3353"/>
      <c r="T1232" s="3353"/>
      <c r="U1232" s="3353"/>
      <c r="V1232" s="3353"/>
      <c r="W1232" s="3353"/>
      <c r="X1232" s="3353"/>
      <c r="Y1232" s="3353"/>
      <c r="Z1232" s="3353"/>
      <c r="AA1232" s="3353"/>
      <c r="AB1232" s="3353"/>
      <c r="AC1232" s="3353"/>
      <c r="AD1232" s="3353"/>
      <c r="AE1232" s="3353"/>
      <c r="AF1232" s="3353"/>
      <c r="AG1232" s="3353"/>
      <c r="AH1232" s="3353"/>
      <c r="AI1232" s="3353"/>
      <c r="AJ1232" s="3353"/>
      <c r="AK1232" s="3353"/>
      <c r="AL1232" s="3353"/>
    </row>
    <row r="1233" spans="1:38" s="3309" customFormat="1" ht="25.5" x14ac:dyDescent="0.2">
      <c r="A1233" s="3459" t="s">
        <v>2800</v>
      </c>
      <c r="B1233" s="3417">
        <f t="shared" ref="B1233:G1234" si="615">B1220</f>
        <v>0</v>
      </c>
      <c r="C1233" s="3417" t="e">
        <f t="shared" si="615"/>
        <v>#DIV/0!</v>
      </c>
      <c r="D1233" s="3417" t="e">
        <f t="shared" si="615"/>
        <v>#DIV/0!</v>
      </c>
      <c r="E1233" s="3417" t="e">
        <f t="shared" si="615"/>
        <v>#DIV/0!</v>
      </c>
      <c r="F1233" s="3417" t="e">
        <f t="shared" si="615"/>
        <v>#DIV/0!</v>
      </c>
      <c r="G1233" s="3417" t="e">
        <f t="shared" si="615"/>
        <v>#DIV/0!</v>
      </c>
      <c r="H1233" s="3353"/>
      <c r="I1233" s="3353"/>
      <c r="J1233" s="3353"/>
      <c r="K1233" s="3353"/>
      <c r="L1233" s="3353"/>
      <c r="M1233" s="3353"/>
      <c r="N1233" s="3353"/>
      <c r="O1233" s="3353"/>
      <c r="P1233" s="3353"/>
      <c r="Q1233" s="3353"/>
      <c r="R1233" s="3353"/>
      <c r="S1233" s="3353"/>
      <c r="T1233" s="3353"/>
      <c r="U1233" s="3353"/>
      <c r="V1233" s="3353"/>
      <c r="W1233" s="3353"/>
      <c r="X1233" s="3353"/>
      <c r="Y1233" s="3353"/>
      <c r="Z1233" s="3353"/>
      <c r="AA1233" s="3353"/>
      <c r="AB1233" s="3353"/>
      <c r="AC1233" s="3353"/>
      <c r="AD1233" s="3353"/>
      <c r="AE1233" s="3353"/>
      <c r="AF1233" s="3353"/>
      <c r="AG1233" s="3353"/>
      <c r="AH1233" s="3353"/>
      <c r="AI1233" s="3353"/>
      <c r="AJ1233" s="3353"/>
      <c r="AK1233" s="3353"/>
      <c r="AL1233" s="3353"/>
    </row>
    <row r="1234" spans="1:38" s="3309" customFormat="1" ht="25.5" x14ac:dyDescent="0.2">
      <c r="A1234" s="3458" t="s">
        <v>6061</v>
      </c>
      <c r="B1234" s="3417" t="e">
        <f t="shared" si="615"/>
        <v>#VALUE!</v>
      </c>
      <c r="C1234" s="3417" t="e">
        <f t="shared" si="615"/>
        <v>#DIV/0!</v>
      </c>
      <c r="D1234" s="3417" t="e">
        <f t="shared" si="615"/>
        <v>#DIV/0!</v>
      </c>
      <c r="E1234" s="3417" t="e">
        <f t="shared" si="615"/>
        <v>#DIV/0!</v>
      </c>
      <c r="F1234" s="3417" t="e">
        <f t="shared" si="615"/>
        <v>#DIV/0!</v>
      </c>
      <c r="G1234" s="3417" t="e">
        <f t="shared" si="615"/>
        <v>#DIV/0!</v>
      </c>
      <c r="H1234" s="3353"/>
      <c r="I1234" s="3353"/>
      <c r="J1234" s="3353"/>
      <c r="K1234" s="3353"/>
      <c r="L1234" s="3353"/>
      <c r="M1234" s="3353"/>
      <c r="N1234" s="3353"/>
      <c r="O1234" s="3353"/>
      <c r="P1234" s="3353"/>
      <c r="Q1234" s="3353"/>
      <c r="R1234" s="3353"/>
      <c r="S1234" s="3353"/>
      <c r="T1234" s="3353"/>
      <c r="U1234" s="3353"/>
      <c r="V1234" s="3353"/>
      <c r="W1234" s="3353"/>
      <c r="X1234" s="3353"/>
      <c r="Y1234" s="3353"/>
      <c r="Z1234" s="3353"/>
      <c r="AA1234" s="3353"/>
      <c r="AB1234" s="3353"/>
      <c r="AC1234" s="3353"/>
      <c r="AD1234" s="3353"/>
      <c r="AE1234" s="3353"/>
      <c r="AF1234" s="3353"/>
      <c r="AG1234" s="3353"/>
      <c r="AH1234" s="3353"/>
      <c r="AI1234" s="3353"/>
      <c r="AJ1234" s="3353"/>
      <c r="AK1234" s="3353"/>
      <c r="AL1234" s="3353"/>
    </row>
    <row r="1235" spans="1:38" s="3309" customFormat="1" ht="25.5" x14ac:dyDescent="0.2">
      <c r="A1235" s="3455" t="s">
        <v>6062</v>
      </c>
      <c r="B1235" s="3417">
        <f t="shared" ref="B1235:G1235" si="616">B979*B978*B1205</f>
        <v>0</v>
      </c>
      <c r="C1235" s="3417" t="e">
        <f t="shared" si="616"/>
        <v>#DIV/0!</v>
      </c>
      <c r="D1235" s="3417" t="e">
        <f t="shared" si="616"/>
        <v>#DIV/0!</v>
      </c>
      <c r="E1235" s="3417" t="e">
        <f t="shared" si="616"/>
        <v>#DIV/0!</v>
      </c>
      <c r="F1235" s="3417" t="e">
        <f t="shared" si="616"/>
        <v>#DIV/0!</v>
      </c>
      <c r="G1235" s="3417" t="e">
        <f t="shared" si="616"/>
        <v>#DIV/0!</v>
      </c>
      <c r="H1235" s="3353"/>
      <c r="I1235" s="3353"/>
      <c r="J1235" s="3353"/>
      <c r="K1235" s="3353"/>
      <c r="L1235" s="3353"/>
      <c r="M1235" s="3353"/>
      <c r="N1235" s="3353"/>
      <c r="O1235" s="3353"/>
      <c r="P1235" s="3353"/>
      <c r="Q1235" s="3353"/>
      <c r="R1235" s="3353"/>
      <c r="S1235" s="3353"/>
      <c r="T1235" s="3353"/>
      <c r="U1235" s="3353"/>
      <c r="V1235" s="3353"/>
      <c r="W1235" s="3353"/>
      <c r="X1235" s="3353"/>
      <c r="Y1235" s="3353"/>
      <c r="Z1235" s="3353"/>
      <c r="AA1235" s="3353"/>
      <c r="AB1235" s="3353"/>
      <c r="AC1235" s="3353"/>
      <c r="AD1235" s="3353"/>
      <c r="AE1235" s="3353"/>
      <c r="AF1235" s="3353"/>
      <c r="AG1235" s="3353"/>
      <c r="AH1235" s="3353"/>
      <c r="AI1235" s="3353"/>
      <c r="AJ1235" s="3353"/>
      <c r="AK1235" s="3353"/>
      <c r="AL1235" s="3353"/>
    </row>
    <row r="1236" spans="1:38" s="3309" customFormat="1" ht="25.5" x14ac:dyDescent="0.2">
      <c r="A1236" s="3455" t="s">
        <v>6061</v>
      </c>
      <c r="B1236" s="3417" t="e">
        <f t="shared" ref="B1236:G1236" si="617">B979*B1201*B735</f>
        <v>#VALUE!</v>
      </c>
      <c r="C1236" s="3417" t="e">
        <f t="shared" si="617"/>
        <v>#DIV/0!</v>
      </c>
      <c r="D1236" s="3417" t="e">
        <f t="shared" si="617"/>
        <v>#DIV/0!</v>
      </c>
      <c r="E1236" s="3417" t="e">
        <f t="shared" si="617"/>
        <v>#DIV/0!</v>
      </c>
      <c r="F1236" s="3417" t="e">
        <f t="shared" si="617"/>
        <v>#DIV/0!</v>
      </c>
      <c r="G1236" s="3417" t="e">
        <f t="shared" si="617"/>
        <v>#DIV/0!</v>
      </c>
      <c r="H1236" s="3353"/>
      <c r="I1236" s="3353"/>
      <c r="J1236" s="3353"/>
      <c r="K1236" s="3353"/>
      <c r="L1236" s="3353"/>
      <c r="M1236" s="3353"/>
      <c r="N1236" s="3353"/>
      <c r="O1236" s="3353"/>
      <c r="P1236" s="3353"/>
      <c r="Q1236" s="3353"/>
      <c r="R1236" s="3353"/>
      <c r="S1236" s="3353"/>
      <c r="T1236" s="3353"/>
      <c r="U1236" s="3353"/>
      <c r="V1236" s="3353"/>
      <c r="W1236" s="3353"/>
      <c r="X1236" s="3353"/>
      <c r="Y1236" s="3353"/>
      <c r="Z1236" s="3353"/>
      <c r="AA1236" s="3353"/>
      <c r="AB1236" s="3353"/>
      <c r="AC1236" s="3353"/>
      <c r="AD1236" s="3353"/>
      <c r="AE1236" s="3353"/>
      <c r="AF1236" s="3353"/>
      <c r="AG1236" s="3353"/>
      <c r="AH1236" s="3353"/>
      <c r="AI1236" s="3353"/>
      <c r="AJ1236" s="3353"/>
      <c r="AK1236" s="3353"/>
      <c r="AL1236" s="3353"/>
    </row>
    <row r="1237" spans="1:38" s="3309" customFormat="1" x14ac:dyDescent="0.2">
      <c r="A1237" s="3447" t="s">
        <v>6060</v>
      </c>
      <c r="B1237" s="3417" t="e">
        <f t="shared" ref="B1237:G1237" si="618">B1236+B1235+B1234+B1233+B1232+B1212</f>
        <v>#VALUE!</v>
      </c>
      <c r="C1237" s="3417" t="e">
        <f t="shared" si="618"/>
        <v>#DIV/0!</v>
      </c>
      <c r="D1237" s="3417" t="e">
        <f t="shared" si="618"/>
        <v>#DIV/0!</v>
      </c>
      <c r="E1237" s="3417" t="e">
        <f t="shared" si="618"/>
        <v>#DIV/0!</v>
      </c>
      <c r="F1237" s="3417" t="e">
        <f t="shared" si="618"/>
        <v>#DIV/0!</v>
      </c>
      <c r="G1237" s="3417" t="e">
        <f t="shared" si="618"/>
        <v>#DIV/0!</v>
      </c>
      <c r="H1237" s="3353"/>
      <c r="I1237" s="3353"/>
      <c r="J1237" s="3353"/>
      <c r="K1237" s="3353"/>
      <c r="L1237" s="3353"/>
      <c r="M1237" s="3353"/>
      <c r="N1237" s="3353"/>
      <c r="O1237" s="3353"/>
      <c r="P1237" s="3353"/>
      <c r="Q1237" s="3353"/>
      <c r="R1237" s="3353"/>
      <c r="S1237" s="3353"/>
      <c r="T1237" s="3353"/>
      <c r="U1237" s="3353"/>
      <c r="V1237" s="3353"/>
      <c r="W1237" s="3353"/>
      <c r="X1237" s="3353"/>
      <c r="Y1237" s="3353"/>
      <c r="Z1237" s="3353"/>
      <c r="AA1237" s="3353"/>
      <c r="AB1237" s="3353"/>
      <c r="AC1237" s="3353"/>
      <c r="AD1237" s="3353"/>
      <c r="AE1237" s="3353"/>
      <c r="AF1237" s="3353"/>
      <c r="AG1237" s="3353"/>
      <c r="AH1237" s="3353"/>
      <c r="AI1237" s="3353"/>
      <c r="AJ1237" s="3353"/>
      <c r="AK1237" s="3353"/>
      <c r="AL1237" s="3353"/>
    </row>
    <row r="1238" spans="1:38" s="3309" customFormat="1" x14ac:dyDescent="0.2">
      <c r="A1238" s="3447" t="s">
        <v>6065</v>
      </c>
      <c r="B1238" s="3417" t="e">
        <f t="shared" ref="B1238:G1238" si="619">B1237*B1217</f>
        <v>#VALUE!</v>
      </c>
      <c r="C1238" s="3417" t="e">
        <f t="shared" si="619"/>
        <v>#DIV/0!</v>
      </c>
      <c r="D1238" s="3417" t="e">
        <f t="shared" si="619"/>
        <v>#DIV/0!</v>
      </c>
      <c r="E1238" s="3417" t="e">
        <f t="shared" si="619"/>
        <v>#DIV/0!</v>
      </c>
      <c r="F1238" s="3417" t="e">
        <f t="shared" si="619"/>
        <v>#DIV/0!</v>
      </c>
      <c r="G1238" s="3417" t="e">
        <f t="shared" si="619"/>
        <v>#DIV/0!</v>
      </c>
      <c r="H1238" s="3353"/>
      <c r="I1238" s="3353"/>
      <c r="J1238" s="3353"/>
      <c r="K1238" s="3353"/>
      <c r="L1238" s="3353"/>
      <c r="M1238" s="3353"/>
      <c r="N1238" s="3353"/>
      <c r="O1238" s="3353"/>
      <c r="P1238" s="3353"/>
      <c r="Q1238" s="3353"/>
      <c r="R1238" s="3353"/>
      <c r="S1238" s="3353"/>
      <c r="T1238" s="3353"/>
      <c r="U1238" s="3353"/>
      <c r="V1238" s="3353"/>
      <c r="W1238" s="3353"/>
      <c r="X1238" s="3353"/>
      <c r="Y1238" s="3353"/>
      <c r="Z1238" s="3353"/>
      <c r="AA1238" s="3353"/>
      <c r="AB1238" s="3353"/>
      <c r="AC1238" s="3353"/>
      <c r="AD1238" s="3353"/>
      <c r="AE1238" s="3353"/>
      <c r="AF1238" s="3353"/>
      <c r="AG1238" s="3353"/>
      <c r="AH1238" s="3353"/>
      <c r="AI1238" s="3353"/>
      <c r="AJ1238" s="3353"/>
      <c r="AK1238" s="3353"/>
      <c r="AL1238" s="3353"/>
    </row>
    <row r="1239" spans="1:38" s="3309" customFormat="1" x14ac:dyDescent="0.2">
      <c r="A1239" s="3451" t="s">
        <v>6059</v>
      </c>
      <c r="B1239" s="3417">
        <f t="shared" ref="B1239:G1239" si="620">CEILING((((B739-B737+B738)/B763)+1)*6,1)</f>
        <v>-12</v>
      </c>
      <c r="C1239" s="3417" t="e">
        <f t="shared" si="620"/>
        <v>#DIV/0!</v>
      </c>
      <c r="D1239" s="3417" t="e">
        <f t="shared" si="620"/>
        <v>#DIV/0!</v>
      </c>
      <c r="E1239" s="3417" t="e">
        <f t="shared" si="620"/>
        <v>#DIV/0!</v>
      </c>
      <c r="F1239" s="3417" t="e">
        <f t="shared" si="620"/>
        <v>#DIV/0!</v>
      </c>
      <c r="G1239" s="3417" t="e">
        <f t="shared" si="620"/>
        <v>#DIV/0!</v>
      </c>
      <c r="H1239" s="3353"/>
      <c r="I1239" s="3353"/>
      <c r="J1239" s="3353"/>
      <c r="K1239" s="3353"/>
      <c r="L1239" s="3353"/>
      <c r="M1239" s="3353"/>
      <c r="N1239" s="3353"/>
      <c r="O1239" s="3353"/>
      <c r="P1239" s="3353"/>
      <c r="Q1239" s="3353"/>
      <c r="R1239" s="3353"/>
      <c r="S1239" s="3353"/>
      <c r="T1239" s="3353"/>
      <c r="U1239" s="3353"/>
      <c r="V1239" s="3353"/>
      <c r="W1239" s="3353"/>
      <c r="X1239" s="3353"/>
      <c r="Y1239" s="3353"/>
      <c r="Z1239" s="3353"/>
      <c r="AA1239" s="3353"/>
      <c r="AB1239" s="3353"/>
      <c r="AC1239" s="3353"/>
      <c r="AD1239" s="3353"/>
      <c r="AE1239" s="3353"/>
      <c r="AF1239" s="3353"/>
      <c r="AG1239" s="3353"/>
      <c r="AH1239" s="3353"/>
      <c r="AI1239" s="3353"/>
      <c r="AJ1239" s="3353"/>
      <c r="AK1239" s="3353"/>
      <c r="AL1239" s="3353"/>
    </row>
    <row r="1240" spans="1:38" s="3309" customFormat="1" x14ac:dyDescent="0.2">
      <c r="A1240" s="3451" t="s">
        <v>6058</v>
      </c>
      <c r="B1240" s="3417">
        <f>B1239*B1275/100</f>
        <v>-0.6</v>
      </c>
      <c r="C1240" s="3417" t="e">
        <f>C1227*C1275/100</f>
        <v>#DIV/0!</v>
      </c>
      <c r="D1240" s="3417" t="e">
        <f>D1227*D1275/100</f>
        <v>#DIV/0!</v>
      </c>
      <c r="E1240" s="3417" t="e">
        <f>E1227*E1275/100</f>
        <v>#DIV/0!</v>
      </c>
      <c r="F1240" s="3417" t="e">
        <f>F1227*F1275/100</f>
        <v>#DIV/0!</v>
      </c>
      <c r="G1240" s="3417" t="e">
        <f>G1227*G1275/100</f>
        <v>#DIV/0!</v>
      </c>
      <c r="H1240" s="3353"/>
      <c r="I1240" s="3353"/>
      <c r="J1240" s="3353"/>
      <c r="K1240" s="3353"/>
      <c r="L1240" s="3353"/>
      <c r="M1240" s="3353"/>
      <c r="N1240" s="3353"/>
      <c r="O1240" s="3353"/>
      <c r="P1240" s="3353"/>
      <c r="Q1240" s="3353"/>
      <c r="R1240" s="3353"/>
      <c r="S1240" s="3353"/>
      <c r="T1240" s="3353"/>
      <c r="U1240" s="3353"/>
      <c r="V1240" s="3353"/>
      <c r="W1240" s="3353"/>
      <c r="X1240" s="3353"/>
      <c r="Y1240" s="3353"/>
      <c r="Z1240" s="3353"/>
      <c r="AA1240" s="3353"/>
      <c r="AB1240" s="3353"/>
      <c r="AC1240" s="3353"/>
      <c r="AD1240" s="3353"/>
      <c r="AE1240" s="3353"/>
      <c r="AF1240" s="3353"/>
      <c r="AG1240" s="3353"/>
      <c r="AH1240" s="3353"/>
      <c r="AI1240" s="3353"/>
      <c r="AJ1240" s="3353"/>
      <c r="AK1240" s="3353"/>
      <c r="AL1240" s="3353"/>
    </row>
    <row r="1241" spans="1:38" s="3309" customFormat="1" x14ac:dyDescent="0.2">
      <c r="A1241" s="3447"/>
      <c r="B1241" s="3417"/>
      <c r="C1241" s="3417"/>
      <c r="D1241" s="3417"/>
      <c r="E1241" s="3417"/>
      <c r="F1241" s="3417"/>
      <c r="G1241" s="3417"/>
      <c r="H1241" s="3353"/>
      <c r="I1241" s="3353"/>
      <c r="J1241" s="3353"/>
      <c r="K1241" s="3353"/>
      <c r="L1241" s="3353"/>
      <c r="M1241" s="3353"/>
      <c r="N1241" s="3353"/>
      <c r="O1241" s="3353"/>
      <c r="P1241" s="3353"/>
      <c r="Q1241" s="3353"/>
      <c r="R1241" s="3353"/>
      <c r="S1241" s="3353"/>
      <c r="T1241" s="3353"/>
      <c r="U1241" s="3353"/>
      <c r="V1241" s="3353"/>
      <c r="W1241" s="3353"/>
      <c r="X1241" s="3353"/>
      <c r="Y1241" s="3353"/>
      <c r="Z1241" s="3353"/>
      <c r="AA1241" s="3353"/>
      <c r="AB1241" s="3353"/>
      <c r="AC1241" s="3353"/>
      <c r="AD1241" s="3353"/>
      <c r="AE1241" s="3353"/>
      <c r="AF1241" s="3353"/>
      <c r="AG1241" s="3353"/>
      <c r="AH1241" s="3353"/>
      <c r="AI1241" s="3353"/>
      <c r="AJ1241" s="3353"/>
      <c r="AK1241" s="3353"/>
      <c r="AL1241" s="3353"/>
    </row>
    <row r="1242" spans="1:38" s="3309" customFormat="1" x14ac:dyDescent="0.2">
      <c r="A1242" s="3447"/>
      <c r="B1242" s="3417"/>
      <c r="C1242" s="3417"/>
      <c r="D1242" s="3417"/>
      <c r="E1242" s="3417"/>
      <c r="F1242" s="3417"/>
      <c r="G1242" s="3417"/>
      <c r="H1242" s="3353"/>
      <c r="I1242" s="3353"/>
      <c r="J1242" s="3353"/>
      <c r="K1242" s="3353"/>
      <c r="L1242" s="3353"/>
      <c r="M1242" s="3353"/>
      <c r="N1242" s="3353"/>
      <c r="O1242" s="3353"/>
      <c r="P1242" s="3353"/>
      <c r="Q1242" s="3353"/>
      <c r="R1242" s="3353"/>
      <c r="S1242" s="3353"/>
      <c r="T1242" s="3353"/>
      <c r="U1242" s="3353"/>
      <c r="V1242" s="3353"/>
      <c r="W1242" s="3353"/>
      <c r="X1242" s="3353"/>
      <c r="Y1242" s="3353"/>
      <c r="Z1242" s="3353"/>
      <c r="AA1242" s="3353"/>
      <c r="AB1242" s="3353"/>
      <c r="AC1242" s="3353"/>
      <c r="AD1242" s="3353"/>
      <c r="AE1242" s="3353"/>
      <c r="AF1242" s="3353"/>
      <c r="AG1242" s="3353"/>
      <c r="AH1242" s="3353"/>
      <c r="AI1242" s="3353"/>
      <c r="AJ1242" s="3353"/>
      <c r="AK1242" s="3353"/>
      <c r="AL1242" s="3353"/>
    </row>
    <row r="1243" spans="1:38" s="3309" customFormat="1" x14ac:dyDescent="0.2">
      <c r="A1243" s="3452" t="s">
        <v>5956</v>
      </c>
      <c r="B1243" s="3417"/>
      <c r="C1243" s="3417"/>
      <c r="D1243" s="3417"/>
      <c r="E1243" s="3417"/>
      <c r="F1243" s="3417"/>
      <c r="G1243" s="3417"/>
      <c r="H1243" s="3353"/>
      <c r="I1243" s="3353"/>
      <c r="J1243" s="3353"/>
      <c r="K1243" s="3353"/>
      <c r="L1243" s="3353"/>
      <c r="M1243" s="3353"/>
      <c r="N1243" s="3353"/>
      <c r="O1243" s="3353"/>
      <c r="P1243" s="3353"/>
      <c r="Q1243" s="3353"/>
      <c r="R1243" s="3353"/>
      <c r="S1243" s="3353"/>
      <c r="T1243" s="3353"/>
      <c r="U1243" s="3353"/>
      <c r="V1243" s="3353"/>
      <c r="W1243" s="3353"/>
      <c r="X1243" s="3353"/>
      <c r="Y1243" s="3353"/>
      <c r="Z1243" s="3353"/>
      <c r="AA1243" s="3353"/>
      <c r="AB1243" s="3353"/>
      <c r="AC1243" s="3353"/>
      <c r="AD1243" s="3353"/>
      <c r="AE1243" s="3353"/>
      <c r="AF1243" s="3353"/>
      <c r="AG1243" s="3353"/>
      <c r="AH1243" s="3353"/>
      <c r="AI1243" s="3353"/>
      <c r="AJ1243" s="3353"/>
      <c r="AK1243" s="3353"/>
      <c r="AL1243" s="3353"/>
    </row>
    <row r="1244" spans="1:38" s="3309" customFormat="1" x14ac:dyDescent="0.2">
      <c r="A1244" s="3457" t="s">
        <v>2525</v>
      </c>
      <c r="B1244" s="3417">
        <f t="shared" ref="B1244:G1244" si="621">B1208</f>
        <v>0</v>
      </c>
      <c r="C1244" s="3417" t="e">
        <f t="shared" si="621"/>
        <v>#DIV/0!</v>
      </c>
      <c r="D1244" s="3417" t="e">
        <f t="shared" si="621"/>
        <v>#DIV/0!</v>
      </c>
      <c r="E1244" s="3417" t="e">
        <f t="shared" si="621"/>
        <v>#DIV/0!</v>
      </c>
      <c r="F1244" s="3417" t="e">
        <f t="shared" si="621"/>
        <v>#DIV/0!</v>
      </c>
      <c r="G1244" s="3417" t="e">
        <f t="shared" si="621"/>
        <v>#DIV/0!</v>
      </c>
      <c r="H1244" s="3353"/>
      <c r="I1244" s="3353"/>
      <c r="J1244" s="3353"/>
      <c r="K1244" s="3353"/>
      <c r="L1244" s="3353"/>
      <c r="M1244" s="3353"/>
      <c r="N1244" s="3353"/>
      <c r="O1244" s="3353"/>
      <c r="P1244" s="3353"/>
      <c r="Q1244" s="3353"/>
      <c r="R1244" s="3353"/>
      <c r="S1244" s="3353"/>
      <c r="T1244" s="3353"/>
      <c r="U1244" s="3353"/>
      <c r="V1244" s="3353"/>
      <c r="W1244" s="3353"/>
      <c r="X1244" s="3353"/>
      <c r="Y1244" s="3353"/>
      <c r="Z1244" s="3353"/>
      <c r="AA1244" s="3353"/>
      <c r="AB1244" s="3353"/>
      <c r="AC1244" s="3353"/>
      <c r="AD1244" s="3353"/>
      <c r="AE1244" s="3353"/>
      <c r="AF1244" s="3353"/>
      <c r="AG1244" s="3353"/>
      <c r="AH1244" s="3353"/>
      <c r="AI1244" s="3353"/>
      <c r="AJ1244" s="3353"/>
      <c r="AK1244" s="3353"/>
      <c r="AL1244" s="3353"/>
    </row>
    <row r="1245" spans="1:38" s="3309" customFormat="1" ht="25.5" x14ac:dyDescent="0.2">
      <c r="A1245" s="3456" t="s">
        <v>6063</v>
      </c>
      <c r="B1245" s="3417" t="e">
        <f t="shared" ref="B1245:G1245" si="622">B1232</f>
        <v>#DIV/0!</v>
      </c>
      <c r="C1245" s="3417">
        <f t="shared" si="622"/>
        <v>0</v>
      </c>
      <c r="D1245" s="3417">
        <f t="shared" si="622"/>
        <v>0</v>
      </c>
      <c r="E1245" s="3417">
        <f t="shared" si="622"/>
        <v>0</v>
      </c>
      <c r="F1245" s="3417">
        <f t="shared" si="622"/>
        <v>0</v>
      </c>
      <c r="G1245" s="3417">
        <f t="shared" si="622"/>
        <v>0</v>
      </c>
      <c r="H1245" s="3353"/>
      <c r="I1245" s="3353"/>
      <c r="J1245" s="3353"/>
      <c r="K1245" s="3353"/>
      <c r="L1245" s="3353"/>
      <c r="M1245" s="3353"/>
      <c r="N1245" s="3353"/>
      <c r="O1245" s="3353"/>
      <c r="P1245" s="3353"/>
      <c r="Q1245" s="3353"/>
      <c r="R1245" s="3353"/>
      <c r="S1245" s="3353"/>
      <c r="T1245" s="3353"/>
      <c r="U1245" s="3353"/>
      <c r="V1245" s="3353"/>
      <c r="W1245" s="3353"/>
      <c r="X1245" s="3353"/>
      <c r="Y1245" s="3353"/>
      <c r="Z1245" s="3353"/>
      <c r="AA1245" s="3353"/>
      <c r="AB1245" s="3353"/>
      <c r="AC1245" s="3353"/>
      <c r="AD1245" s="3353"/>
      <c r="AE1245" s="3353"/>
      <c r="AF1245" s="3353"/>
      <c r="AG1245" s="3353"/>
      <c r="AH1245" s="3353"/>
      <c r="AI1245" s="3353"/>
      <c r="AJ1245" s="3353"/>
      <c r="AK1245" s="3353"/>
      <c r="AL1245" s="3353"/>
    </row>
    <row r="1246" spans="1:38" s="3309" customFormat="1" ht="25.5" x14ac:dyDescent="0.2">
      <c r="A1246" s="3455" t="s">
        <v>6062</v>
      </c>
      <c r="B1246" s="3417">
        <f t="shared" ref="B1246:G1247" si="623">B1235</f>
        <v>0</v>
      </c>
      <c r="C1246" s="3417" t="e">
        <f t="shared" si="623"/>
        <v>#DIV/0!</v>
      </c>
      <c r="D1246" s="3417" t="e">
        <f t="shared" si="623"/>
        <v>#DIV/0!</v>
      </c>
      <c r="E1246" s="3417" t="e">
        <f t="shared" si="623"/>
        <v>#DIV/0!</v>
      </c>
      <c r="F1246" s="3417" t="e">
        <f t="shared" si="623"/>
        <v>#DIV/0!</v>
      </c>
      <c r="G1246" s="3417" t="e">
        <f t="shared" si="623"/>
        <v>#DIV/0!</v>
      </c>
      <c r="H1246" s="3353"/>
      <c r="I1246" s="3353"/>
      <c r="J1246" s="3353"/>
      <c r="K1246" s="3353"/>
      <c r="L1246" s="3353"/>
      <c r="M1246" s="3353"/>
      <c r="N1246" s="3353"/>
      <c r="O1246" s="3353"/>
      <c r="P1246" s="3353"/>
      <c r="Q1246" s="3353"/>
      <c r="R1246" s="3353"/>
      <c r="S1246" s="3353"/>
      <c r="T1246" s="3353"/>
      <c r="U1246" s="3353"/>
      <c r="V1246" s="3353"/>
      <c r="W1246" s="3353"/>
      <c r="X1246" s="3353"/>
      <c r="Y1246" s="3353"/>
      <c r="Z1246" s="3353"/>
      <c r="AA1246" s="3353"/>
      <c r="AB1246" s="3353"/>
      <c r="AC1246" s="3353"/>
      <c r="AD1246" s="3353"/>
      <c r="AE1246" s="3353"/>
      <c r="AF1246" s="3353"/>
      <c r="AG1246" s="3353"/>
      <c r="AH1246" s="3353"/>
      <c r="AI1246" s="3353"/>
      <c r="AJ1246" s="3353"/>
      <c r="AK1246" s="3353"/>
      <c r="AL1246" s="3353"/>
    </row>
    <row r="1247" spans="1:38" s="3309" customFormat="1" ht="25.5" x14ac:dyDescent="0.2">
      <c r="A1247" s="3455" t="s">
        <v>6061</v>
      </c>
      <c r="B1247" s="3417" t="e">
        <f t="shared" si="623"/>
        <v>#VALUE!</v>
      </c>
      <c r="C1247" s="3417" t="e">
        <f t="shared" si="623"/>
        <v>#DIV/0!</v>
      </c>
      <c r="D1247" s="3417" t="e">
        <f t="shared" si="623"/>
        <v>#DIV/0!</v>
      </c>
      <c r="E1247" s="3417" t="e">
        <f t="shared" si="623"/>
        <v>#DIV/0!</v>
      </c>
      <c r="F1247" s="3417" t="e">
        <f t="shared" si="623"/>
        <v>#DIV/0!</v>
      </c>
      <c r="G1247" s="3417" t="e">
        <f t="shared" si="623"/>
        <v>#DIV/0!</v>
      </c>
      <c r="H1247" s="3353"/>
      <c r="I1247" s="3353"/>
      <c r="J1247" s="3353"/>
      <c r="K1247" s="3353"/>
      <c r="L1247" s="3353"/>
      <c r="M1247" s="3353"/>
      <c r="N1247" s="3353"/>
      <c r="O1247" s="3353"/>
      <c r="P1247" s="3353"/>
      <c r="Q1247" s="3353"/>
      <c r="R1247" s="3353"/>
      <c r="S1247" s="3353"/>
      <c r="T1247" s="3353"/>
      <c r="U1247" s="3353"/>
      <c r="V1247" s="3353"/>
      <c r="W1247" s="3353"/>
      <c r="X1247" s="3353"/>
      <c r="Y1247" s="3353"/>
      <c r="Z1247" s="3353"/>
      <c r="AA1247" s="3353"/>
      <c r="AB1247" s="3353"/>
      <c r="AC1247" s="3353"/>
      <c r="AD1247" s="3353"/>
      <c r="AE1247" s="3353"/>
      <c r="AF1247" s="3353"/>
      <c r="AG1247" s="3353"/>
      <c r="AH1247" s="3353"/>
      <c r="AI1247" s="3353"/>
      <c r="AJ1247" s="3353"/>
      <c r="AK1247" s="3353"/>
      <c r="AL1247" s="3353"/>
    </row>
    <row r="1248" spans="1:38" s="3309" customFormat="1" x14ac:dyDescent="0.2">
      <c r="A1248" s="3411" t="s">
        <v>3329</v>
      </c>
      <c r="B1248" s="3417" t="e">
        <f t="shared" ref="B1248:G1248" si="624">B1212</f>
        <v>#VALUE!</v>
      </c>
      <c r="C1248" s="3417" t="e">
        <f t="shared" si="624"/>
        <v>#DIV/0!</v>
      </c>
      <c r="D1248" s="3417" t="e">
        <f t="shared" si="624"/>
        <v>#DIV/0!</v>
      </c>
      <c r="E1248" s="3417" t="e">
        <f t="shared" si="624"/>
        <v>#DIV/0!</v>
      </c>
      <c r="F1248" s="3417" t="e">
        <f t="shared" si="624"/>
        <v>#DIV/0!</v>
      </c>
      <c r="G1248" s="3417" t="e">
        <f t="shared" si="624"/>
        <v>#DIV/0!</v>
      </c>
      <c r="H1248" s="3353"/>
      <c r="I1248" s="3353"/>
      <c r="J1248" s="3353"/>
      <c r="K1248" s="3353"/>
      <c r="L1248" s="3353"/>
      <c r="M1248" s="3353"/>
      <c r="N1248" s="3353"/>
      <c r="O1248" s="3353"/>
      <c r="P1248" s="3353"/>
      <c r="Q1248" s="3353"/>
      <c r="R1248" s="3353"/>
      <c r="S1248" s="3353"/>
      <c r="T1248" s="3353"/>
      <c r="U1248" s="3353"/>
      <c r="V1248" s="3353"/>
      <c r="W1248" s="3353"/>
      <c r="X1248" s="3353"/>
      <c r="Y1248" s="3353"/>
      <c r="Z1248" s="3353"/>
      <c r="AA1248" s="3353"/>
      <c r="AB1248" s="3353"/>
      <c r="AC1248" s="3353"/>
      <c r="AD1248" s="3353"/>
      <c r="AE1248" s="3353"/>
      <c r="AF1248" s="3353"/>
      <c r="AG1248" s="3353"/>
      <c r="AH1248" s="3353"/>
      <c r="AI1248" s="3353"/>
      <c r="AJ1248" s="3353"/>
      <c r="AK1248" s="3353"/>
      <c r="AL1248" s="3353"/>
    </row>
    <row r="1249" spans="1:38" s="3309" customFormat="1" x14ac:dyDescent="0.2">
      <c r="A1249" s="3452" t="s">
        <v>6060</v>
      </c>
      <c r="B1249" s="3417" t="e">
        <f t="shared" ref="B1249:G1249" si="625">B1248+B1247+B1246+B1245+B1244</f>
        <v>#VALUE!</v>
      </c>
      <c r="C1249" s="3417" t="e">
        <f t="shared" si="625"/>
        <v>#DIV/0!</v>
      </c>
      <c r="D1249" s="3417" t="e">
        <f t="shared" si="625"/>
        <v>#DIV/0!</v>
      </c>
      <c r="E1249" s="3417" t="e">
        <f t="shared" si="625"/>
        <v>#DIV/0!</v>
      </c>
      <c r="F1249" s="3417" t="e">
        <f t="shared" si="625"/>
        <v>#DIV/0!</v>
      </c>
      <c r="G1249" s="3417" t="e">
        <f t="shared" si="625"/>
        <v>#DIV/0!</v>
      </c>
      <c r="H1249" s="3353"/>
      <c r="I1249" s="3353"/>
      <c r="J1249" s="3353"/>
      <c r="K1249" s="3353"/>
      <c r="L1249" s="3353"/>
      <c r="M1249" s="3353"/>
      <c r="N1249" s="3353"/>
      <c r="O1249" s="3353"/>
      <c r="P1249" s="3353"/>
      <c r="Q1249" s="3353"/>
      <c r="R1249" s="3353"/>
      <c r="S1249" s="3353"/>
      <c r="T1249" s="3353"/>
      <c r="U1249" s="3353"/>
      <c r="V1249" s="3353"/>
      <c r="W1249" s="3353"/>
      <c r="X1249" s="3353"/>
      <c r="Y1249" s="3353"/>
      <c r="Z1249" s="3353"/>
      <c r="AA1249" s="3353"/>
      <c r="AB1249" s="3353"/>
      <c r="AC1249" s="3353"/>
      <c r="AD1249" s="3353"/>
      <c r="AE1249" s="3353"/>
      <c r="AF1249" s="3353"/>
      <c r="AG1249" s="3353"/>
      <c r="AH1249" s="3353"/>
      <c r="AI1249" s="3353"/>
      <c r="AJ1249" s="3353"/>
      <c r="AK1249" s="3353"/>
      <c r="AL1249" s="3353"/>
    </row>
    <row r="1250" spans="1:38" s="3309" customFormat="1" x14ac:dyDescent="0.2">
      <c r="A1250" s="3454"/>
      <c r="B1250" s="3453"/>
      <c r="C1250" s="3453"/>
      <c r="D1250" s="3453"/>
      <c r="E1250" s="3453"/>
      <c r="F1250" s="3453"/>
      <c r="G1250" s="3453"/>
      <c r="H1250" s="3353"/>
      <c r="I1250" s="3353"/>
      <c r="J1250" s="3353"/>
      <c r="K1250" s="3353"/>
      <c r="L1250" s="3353"/>
      <c r="M1250" s="3353"/>
      <c r="N1250" s="3353"/>
      <c r="O1250" s="3353"/>
      <c r="P1250" s="3353"/>
      <c r="Q1250" s="3353"/>
      <c r="R1250" s="3353"/>
      <c r="S1250" s="3353"/>
      <c r="T1250" s="3353"/>
      <c r="U1250" s="3353"/>
      <c r="V1250" s="3353"/>
      <c r="W1250" s="3353"/>
      <c r="X1250" s="3353"/>
      <c r="Y1250" s="3353"/>
      <c r="Z1250" s="3353"/>
      <c r="AA1250" s="3353"/>
      <c r="AB1250" s="3353"/>
      <c r="AC1250" s="3353"/>
      <c r="AD1250" s="3353"/>
      <c r="AE1250" s="3353"/>
      <c r="AF1250" s="3353"/>
      <c r="AG1250" s="3353"/>
      <c r="AH1250" s="3353"/>
      <c r="AI1250" s="3353"/>
      <c r="AJ1250" s="3353"/>
      <c r="AK1250" s="3353"/>
      <c r="AL1250" s="3353"/>
    </row>
    <row r="1251" spans="1:38" s="3309" customFormat="1" x14ac:dyDescent="0.2">
      <c r="A1251" s="3452" t="s">
        <v>5955</v>
      </c>
      <c r="B1251" s="3417"/>
      <c r="C1251" s="3417"/>
      <c r="D1251" s="3417"/>
      <c r="E1251" s="3417"/>
      <c r="F1251" s="3417"/>
      <c r="G1251" s="3417"/>
      <c r="H1251" s="3353"/>
      <c r="I1251" s="3353"/>
      <c r="J1251" s="3353"/>
      <c r="K1251" s="3353"/>
      <c r="L1251" s="3353"/>
      <c r="M1251" s="3353"/>
      <c r="N1251" s="3353"/>
      <c r="O1251" s="3353"/>
      <c r="P1251" s="3353"/>
      <c r="Q1251" s="3353"/>
      <c r="R1251" s="3353"/>
      <c r="S1251" s="3353"/>
      <c r="T1251" s="3353"/>
      <c r="U1251" s="3353"/>
      <c r="V1251" s="3353"/>
      <c r="W1251" s="3353"/>
      <c r="X1251" s="3353"/>
      <c r="Y1251" s="3353"/>
      <c r="Z1251" s="3353"/>
      <c r="AA1251" s="3353"/>
      <c r="AB1251" s="3353"/>
      <c r="AC1251" s="3353"/>
      <c r="AD1251" s="3353"/>
      <c r="AE1251" s="3353"/>
      <c r="AF1251" s="3353"/>
      <c r="AG1251" s="3353"/>
      <c r="AH1251" s="3353"/>
      <c r="AI1251" s="3353"/>
      <c r="AJ1251" s="3353"/>
      <c r="AK1251" s="3353"/>
      <c r="AL1251" s="3353"/>
    </row>
    <row r="1252" spans="1:38" s="3309" customFormat="1" x14ac:dyDescent="0.2">
      <c r="A1252" s="3451" t="s">
        <v>6059</v>
      </c>
      <c r="B1252" s="3417">
        <f t="shared" ref="B1252:G1252" si="626">CEILING(((B739-B738)/B763+1)*6,1)</f>
        <v>6</v>
      </c>
      <c r="C1252" s="3417" t="e">
        <f t="shared" si="626"/>
        <v>#DIV/0!</v>
      </c>
      <c r="D1252" s="3417" t="e">
        <f t="shared" si="626"/>
        <v>#DIV/0!</v>
      </c>
      <c r="E1252" s="3417" t="e">
        <f t="shared" si="626"/>
        <v>#DIV/0!</v>
      </c>
      <c r="F1252" s="3417" t="e">
        <f t="shared" si="626"/>
        <v>#DIV/0!</v>
      </c>
      <c r="G1252" s="3417" t="e">
        <f t="shared" si="626"/>
        <v>#DIV/0!</v>
      </c>
      <c r="H1252" s="3353"/>
      <c r="I1252" s="3353"/>
      <c r="J1252" s="3353"/>
      <c r="K1252" s="3353"/>
      <c r="L1252" s="3353"/>
      <c r="M1252" s="3353"/>
      <c r="N1252" s="3353"/>
      <c r="O1252" s="3353"/>
      <c r="P1252" s="3353"/>
      <c r="Q1252" s="3353"/>
      <c r="R1252" s="3353"/>
      <c r="S1252" s="3353"/>
      <c r="T1252" s="3353"/>
      <c r="U1252" s="3353"/>
      <c r="V1252" s="3353"/>
      <c r="W1252" s="3353"/>
      <c r="X1252" s="3353"/>
      <c r="Y1252" s="3353"/>
      <c r="Z1252" s="3353"/>
      <c r="AA1252" s="3353"/>
      <c r="AB1252" s="3353"/>
      <c r="AC1252" s="3353"/>
      <c r="AD1252" s="3353"/>
      <c r="AE1252" s="3353"/>
      <c r="AF1252" s="3353"/>
      <c r="AG1252" s="3353"/>
      <c r="AH1252" s="3353"/>
      <c r="AI1252" s="3353"/>
      <c r="AJ1252" s="3353"/>
      <c r="AK1252" s="3353"/>
      <c r="AL1252" s="3353"/>
    </row>
    <row r="1253" spans="1:38" s="3309" customFormat="1" x14ac:dyDescent="0.2">
      <c r="A1253" s="3451" t="s">
        <v>6058</v>
      </c>
      <c r="B1253" s="3417">
        <f t="shared" ref="B1253:G1253" si="627">B1252*B1275/100</f>
        <v>0.3</v>
      </c>
      <c r="C1253" s="3417" t="e">
        <f t="shared" si="627"/>
        <v>#DIV/0!</v>
      </c>
      <c r="D1253" s="3417" t="e">
        <f t="shared" si="627"/>
        <v>#DIV/0!</v>
      </c>
      <c r="E1253" s="3417" t="e">
        <f t="shared" si="627"/>
        <v>#DIV/0!</v>
      </c>
      <c r="F1253" s="3417" t="e">
        <f t="shared" si="627"/>
        <v>#DIV/0!</v>
      </c>
      <c r="G1253" s="3417" t="e">
        <f t="shared" si="627"/>
        <v>#DIV/0!</v>
      </c>
      <c r="H1253" s="3353"/>
      <c r="I1253" s="3353"/>
      <c r="J1253" s="3353"/>
      <c r="K1253" s="3353"/>
      <c r="L1253" s="3353"/>
      <c r="M1253" s="3353"/>
      <c r="N1253" s="3353"/>
      <c r="O1253" s="3353"/>
      <c r="P1253" s="3353"/>
      <c r="Q1253" s="3353"/>
      <c r="R1253" s="3353"/>
      <c r="S1253" s="3353"/>
      <c r="T1253" s="3353"/>
      <c r="U1253" s="3353"/>
      <c r="V1253" s="3353"/>
      <c r="W1253" s="3353"/>
      <c r="X1253" s="3353"/>
      <c r="Y1253" s="3353"/>
      <c r="Z1253" s="3353"/>
      <c r="AA1253" s="3353"/>
      <c r="AB1253" s="3353"/>
      <c r="AC1253" s="3353"/>
      <c r="AD1253" s="3353"/>
      <c r="AE1253" s="3353"/>
      <c r="AF1253" s="3353"/>
      <c r="AG1253" s="3353"/>
      <c r="AH1253" s="3353"/>
      <c r="AI1253" s="3353"/>
      <c r="AJ1253" s="3353"/>
      <c r="AK1253" s="3353"/>
      <c r="AL1253" s="3353"/>
    </row>
    <row r="1254" spans="1:38" s="3309" customFormat="1" x14ac:dyDescent="0.2">
      <c r="A1254" s="3591" t="s">
        <v>6057</v>
      </c>
      <c r="B1254" s="3590">
        <f t="shared" ref="B1254:G1254" si="628">IF(AND(B769=1,B766=1),B1227,IF(AND(B769=2,B766=1),B1239,IF(AND(B769=3,B766=1),B1252,0)))</f>
        <v>-12</v>
      </c>
      <c r="C1254" s="3590">
        <f t="shared" si="628"/>
        <v>0</v>
      </c>
      <c r="D1254" s="3590">
        <f t="shared" si="628"/>
        <v>0</v>
      </c>
      <c r="E1254" s="3590">
        <f t="shared" si="628"/>
        <v>0</v>
      </c>
      <c r="F1254" s="3590">
        <f t="shared" si="628"/>
        <v>0</v>
      </c>
      <c r="G1254" s="3590">
        <f t="shared" si="628"/>
        <v>0</v>
      </c>
      <c r="H1254" s="3448"/>
      <c r="I1254" s="3353"/>
      <c r="J1254" s="3353"/>
      <c r="K1254" s="3353"/>
      <c r="L1254" s="3353"/>
      <c r="M1254" s="3353"/>
      <c r="N1254" s="3353"/>
      <c r="O1254" s="3353"/>
      <c r="P1254" s="3353"/>
      <c r="Q1254" s="3353"/>
      <c r="R1254" s="3353"/>
      <c r="S1254" s="3353"/>
      <c r="T1254" s="3353"/>
      <c r="U1254" s="3353"/>
      <c r="V1254" s="3353"/>
      <c r="W1254" s="3353"/>
      <c r="X1254" s="3353"/>
      <c r="Y1254" s="3353"/>
      <c r="Z1254" s="3353"/>
      <c r="AA1254" s="3353"/>
      <c r="AB1254" s="3353"/>
      <c r="AC1254" s="3353"/>
      <c r="AD1254" s="3353"/>
      <c r="AE1254" s="3353"/>
      <c r="AF1254" s="3353"/>
      <c r="AG1254" s="3353"/>
      <c r="AH1254" s="3353"/>
      <c r="AI1254" s="3353"/>
      <c r="AJ1254" s="3353"/>
      <c r="AK1254" s="3353"/>
      <c r="AL1254" s="3353"/>
    </row>
    <row r="1255" spans="1:38" s="3309" customFormat="1" ht="25.5" x14ac:dyDescent="0.2">
      <c r="A1255" s="3447" t="s">
        <v>6056</v>
      </c>
      <c r="B1255" s="3446">
        <f t="shared" ref="B1255:G1255" si="629">IF(AND(B769=1,B766=1),B1228,IF(AND(B769=2,B766=1),B1240,IF(AND(B769=3,B766=1),B1253,0)))</f>
        <v>-0.6</v>
      </c>
      <c r="C1255" s="3446">
        <f t="shared" si="629"/>
        <v>0</v>
      </c>
      <c r="D1255" s="3446">
        <f t="shared" si="629"/>
        <v>0</v>
      </c>
      <c r="E1255" s="3446">
        <f t="shared" si="629"/>
        <v>0</v>
      </c>
      <c r="F1255" s="3446">
        <f t="shared" si="629"/>
        <v>0</v>
      </c>
      <c r="G1255" s="3446">
        <f t="shared" si="629"/>
        <v>0</v>
      </c>
      <c r="H1255" s="3353"/>
      <c r="I1255" s="3353"/>
      <c r="J1255" s="3353"/>
      <c r="K1255" s="3353"/>
      <c r="L1255" s="3353"/>
      <c r="M1255" s="3353"/>
      <c r="N1255" s="3353"/>
      <c r="O1255" s="3353"/>
      <c r="P1255" s="3353"/>
      <c r="Q1255" s="3353"/>
      <c r="R1255" s="3353"/>
      <c r="S1255" s="3353"/>
      <c r="T1255" s="3353"/>
      <c r="U1255" s="3353"/>
      <c r="V1255" s="3353"/>
      <c r="W1255" s="3353"/>
      <c r="X1255" s="3353"/>
      <c r="Y1255" s="3353"/>
      <c r="Z1255" s="3353"/>
      <c r="AA1255" s="3353"/>
      <c r="AB1255" s="3353"/>
      <c r="AC1255" s="3353"/>
      <c r="AD1255" s="3353"/>
      <c r="AE1255" s="3353"/>
      <c r="AF1255" s="3353"/>
      <c r="AG1255" s="3353"/>
      <c r="AH1255" s="3353"/>
      <c r="AI1255" s="3353"/>
      <c r="AJ1255" s="3353"/>
      <c r="AK1255" s="3353"/>
      <c r="AL1255" s="3353"/>
    </row>
    <row r="1256" spans="1:38" s="3309" customFormat="1" x14ac:dyDescent="0.2">
      <c r="A1256" s="3416" t="s">
        <v>6055</v>
      </c>
      <c r="B1256" s="3589" t="e">
        <f>IF(AND(B769=1,B766=0),B1213,IF(AND(B769=1,B766=1),B1225,IF(AND(B769=2,B766=0),B1249,IF(AND(B769=2,B766=1),B1237,IF(AND(B769=3,B766=1),B1237)))))</f>
        <v>#VALUE!</v>
      </c>
      <c r="C1256" s="3589" t="b">
        <f>IF(AND(C769=1,C766=0),C1213,IF(AND(C769=1,C766=1),C1225,IF(AND(C769=2,C766=0),C1249,IF(AND(C769=2,C766=1),C1237))))</f>
        <v>0</v>
      </c>
      <c r="D1256" s="3589" t="b">
        <f>IF(AND(D769=1,D766=0),D1213,IF(AND(D769=1,D766=1),D1225,IF(AND(D769=2,D766=0),D1249,IF(AND(D769=2,D766=1),D1237))))</f>
        <v>0</v>
      </c>
      <c r="E1256" s="3589" t="b">
        <f>IF(AND(E769=1,E766=0),E1213,IF(AND(E769=1,E766=1),E1225,IF(AND(E769=2,E766=0),E1249,IF(AND(E769=2,E766=1),E1237))))</f>
        <v>0</v>
      </c>
      <c r="F1256" s="3589" t="b">
        <f>IF(AND(F769=1,F766=0),F1213,IF(AND(F769=1,F766=1),F1225,IF(AND(F769=2,F766=0),F1249,IF(AND(F769=2,F766=1),F1237))))</f>
        <v>0</v>
      </c>
      <c r="G1256" s="3589" t="b">
        <f>IF(AND(G769=1,G766=0),G1213,IF(AND(G769=1,G766=1),G1225,IF(AND(G769=2,G766=0),G1249,IF(AND(G769=2,G766=1),G1237))))</f>
        <v>0</v>
      </c>
      <c r="H1256" s="3353"/>
      <c r="I1256" s="3353"/>
      <c r="J1256" s="3353"/>
      <c r="K1256" s="3353"/>
      <c r="L1256" s="3353"/>
      <c r="M1256" s="3353"/>
      <c r="N1256" s="3353"/>
      <c r="O1256" s="3353"/>
      <c r="P1256" s="3353"/>
      <c r="Q1256" s="3353"/>
      <c r="R1256" s="3353"/>
      <c r="S1256" s="3353"/>
      <c r="T1256" s="3353"/>
      <c r="U1256" s="3353"/>
      <c r="V1256" s="3353"/>
      <c r="W1256" s="3353"/>
      <c r="X1256" s="3353"/>
      <c r="Y1256" s="3353"/>
      <c r="Z1256" s="3353"/>
      <c r="AA1256" s="3353"/>
      <c r="AB1256" s="3353"/>
      <c r="AC1256" s="3353"/>
      <c r="AD1256" s="3353"/>
      <c r="AE1256" s="3353"/>
      <c r="AF1256" s="3353"/>
      <c r="AG1256" s="3353"/>
      <c r="AH1256" s="3353"/>
      <c r="AI1256" s="3353"/>
      <c r="AJ1256" s="3353"/>
      <c r="AK1256" s="3353"/>
      <c r="AL1256" s="3353"/>
    </row>
    <row r="1257" spans="1:38" s="3309" customFormat="1" x14ac:dyDescent="0.2">
      <c r="A1257" s="3416" t="s">
        <v>3333</v>
      </c>
      <c r="B1257" s="3404" t="e">
        <f t="shared" ref="B1257:G1257" si="630">B1256*B1217</f>
        <v>#VALUE!</v>
      </c>
      <c r="C1257" s="3404">
        <f t="shared" si="630"/>
        <v>0</v>
      </c>
      <c r="D1257" s="3404">
        <f t="shared" si="630"/>
        <v>0</v>
      </c>
      <c r="E1257" s="3404">
        <f t="shared" si="630"/>
        <v>0</v>
      </c>
      <c r="F1257" s="3404">
        <f t="shared" si="630"/>
        <v>0</v>
      </c>
      <c r="G1257" s="3404">
        <f t="shared" si="630"/>
        <v>0</v>
      </c>
      <c r="H1257" s="3353"/>
      <c r="I1257" s="3353"/>
      <c r="J1257" s="3353"/>
      <c r="K1257" s="3353"/>
      <c r="L1257" s="3353"/>
      <c r="M1257" s="3353"/>
      <c r="N1257" s="3353"/>
      <c r="O1257" s="3353"/>
      <c r="P1257" s="3353"/>
      <c r="Q1257" s="3353"/>
      <c r="R1257" s="3353"/>
      <c r="S1257" s="3353"/>
      <c r="T1257" s="3353"/>
      <c r="U1257" s="3353"/>
      <c r="V1257" s="3353"/>
      <c r="W1257" s="3353"/>
      <c r="X1257" s="3353"/>
      <c r="Y1257" s="3353"/>
      <c r="Z1257" s="3353"/>
      <c r="AA1257" s="3353"/>
      <c r="AB1257" s="3353"/>
      <c r="AC1257" s="3353"/>
      <c r="AD1257" s="3353"/>
      <c r="AE1257" s="3353"/>
      <c r="AF1257" s="3353"/>
      <c r="AG1257" s="3353"/>
      <c r="AH1257" s="3353"/>
      <c r="AI1257" s="3353"/>
      <c r="AJ1257" s="3353"/>
      <c r="AK1257" s="3353"/>
      <c r="AL1257" s="3353"/>
    </row>
    <row r="1258" spans="1:38" s="3309" customFormat="1" x14ac:dyDescent="0.2">
      <c r="A1258" s="3416" t="s">
        <v>6054</v>
      </c>
      <c r="B1258" s="3444" t="e">
        <f t="shared" ref="B1258:G1258" si="631">B1257*B1287</f>
        <v>#VALUE!</v>
      </c>
      <c r="C1258" s="3444" t="e">
        <f t="shared" si="631"/>
        <v>#DIV/0!</v>
      </c>
      <c r="D1258" s="3444" t="e">
        <f t="shared" si="631"/>
        <v>#DIV/0!</v>
      </c>
      <c r="E1258" s="3444" t="e">
        <f t="shared" si="631"/>
        <v>#DIV/0!</v>
      </c>
      <c r="F1258" s="3444" t="e">
        <f t="shared" si="631"/>
        <v>#DIV/0!</v>
      </c>
      <c r="G1258" s="3444" t="e">
        <f t="shared" si="631"/>
        <v>#DIV/0!</v>
      </c>
      <c r="H1258" s="3353"/>
      <c r="I1258" s="3353"/>
      <c r="J1258" s="3353"/>
      <c r="K1258" s="3353"/>
      <c r="L1258" s="3353"/>
      <c r="M1258" s="3353"/>
      <c r="N1258" s="3353"/>
      <c r="O1258" s="3353"/>
      <c r="P1258" s="3353"/>
      <c r="Q1258" s="3353"/>
      <c r="R1258" s="3353"/>
      <c r="S1258" s="3353"/>
      <c r="T1258" s="3353"/>
      <c r="U1258" s="3353"/>
      <c r="V1258" s="3353"/>
      <c r="W1258" s="3353"/>
      <c r="X1258" s="3353"/>
      <c r="Y1258" s="3353"/>
      <c r="Z1258" s="3353"/>
      <c r="AA1258" s="3353"/>
      <c r="AB1258" s="3353"/>
      <c r="AC1258" s="3353"/>
      <c r="AD1258" s="3353"/>
      <c r="AE1258" s="3353"/>
      <c r="AF1258" s="3353"/>
      <c r="AG1258" s="3353"/>
      <c r="AH1258" s="3353"/>
      <c r="AI1258" s="3353"/>
      <c r="AJ1258" s="3353"/>
      <c r="AK1258" s="3353"/>
      <c r="AL1258" s="3353"/>
    </row>
    <row r="1259" spans="1:38" s="3309" customFormat="1" x14ac:dyDescent="0.2">
      <c r="A1259" s="3443"/>
      <c r="B1259" s="3442"/>
      <c r="C1259" s="3442"/>
      <c r="D1259" s="3442"/>
      <c r="E1259" s="3442"/>
      <c r="F1259" s="3442"/>
      <c r="G1259" s="3437"/>
      <c r="H1259" s="3353"/>
      <c r="I1259" s="3353"/>
      <c r="J1259" s="3353"/>
      <c r="K1259" s="3353"/>
      <c r="L1259" s="3353"/>
      <c r="M1259" s="3353"/>
      <c r="N1259" s="3353"/>
      <c r="O1259" s="3353"/>
      <c r="P1259" s="3353"/>
      <c r="Q1259" s="3353"/>
      <c r="R1259" s="3353"/>
      <c r="S1259" s="3353"/>
      <c r="T1259" s="3353"/>
      <c r="U1259" s="3353"/>
      <c r="V1259" s="3353"/>
      <c r="W1259" s="3353"/>
      <c r="X1259" s="3353"/>
      <c r="Y1259" s="3353"/>
      <c r="Z1259" s="3353"/>
      <c r="AA1259" s="3353"/>
      <c r="AB1259" s="3353"/>
      <c r="AC1259" s="3353"/>
      <c r="AD1259" s="3353"/>
      <c r="AE1259" s="3353"/>
      <c r="AF1259" s="3353"/>
      <c r="AG1259" s="3353"/>
      <c r="AH1259" s="3353"/>
      <c r="AI1259" s="3353"/>
      <c r="AJ1259" s="3353"/>
      <c r="AK1259" s="3353"/>
      <c r="AL1259" s="3353"/>
    </row>
    <row r="1260" spans="1:38" s="3309" customFormat="1" x14ac:dyDescent="0.2">
      <c r="A1260" s="3416" t="s">
        <v>6053</v>
      </c>
      <c r="B1260" s="3379"/>
      <c r="C1260" s="3379"/>
      <c r="D1260" s="3379"/>
      <c r="E1260" s="3379"/>
      <c r="F1260" s="3379"/>
      <c r="G1260" s="3353"/>
      <c r="H1260" s="3353"/>
      <c r="I1260" s="3353"/>
      <c r="J1260" s="3353"/>
      <c r="K1260" s="3353"/>
      <c r="L1260" s="3353"/>
      <c r="M1260" s="3353"/>
      <c r="N1260" s="3353"/>
      <c r="O1260" s="3353"/>
      <c r="P1260" s="3353"/>
      <c r="Q1260" s="3353"/>
      <c r="R1260" s="3353"/>
      <c r="S1260" s="3353"/>
      <c r="T1260" s="3353"/>
      <c r="U1260" s="3353"/>
      <c r="V1260" s="3353"/>
      <c r="W1260" s="3353"/>
      <c r="X1260" s="3353"/>
      <c r="Y1260" s="3353"/>
      <c r="Z1260" s="3353"/>
      <c r="AA1260" s="3353"/>
      <c r="AB1260" s="3353"/>
      <c r="AC1260" s="3353"/>
      <c r="AD1260" s="3353"/>
      <c r="AE1260" s="3353"/>
      <c r="AF1260" s="3353"/>
      <c r="AG1260" s="3353"/>
      <c r="AH1260" s="3353"/>
      <c r="AI1260" s="3353"/>
      <c r="AJ1260" s="3353"/>
      <c r="AK1260" s="3353"/>
      <c r="AL1260" s="3353"/>
    </row>
    <row r="1261" spans="1:38" s="3309" customFormat="1" x14ac:dyDescent="0.2">
      <c r="A1261" s="3441" t="s">
        <v>6052</v>
      </c>
      <c r="B1261" s="3413"/>
      <c r="C1261" s="3413"/>
      <c r="D1261" s="3413"/>
      <c r="E1261" s="3413"/>
      <c r="F1261" s="3413"/>
      <c r="G1261" s="3353"/>
      <c r="H1261" s="3353"/>
      <c r="I1261" s="3353"/>
      <c r="J1261" s="3353"/>
      <c r="K1261" s="3353"/>
      <c r="L1261" s="3353"/>
      <c r="M1261" s="3353"/>
      <c r="N1261" s="3353"/>
      <c r="O1261" s="3353"/>
      <c r="P1261" s="3353"/>
      <c r="Q1261" s="3353"/>
      <c r="R1261" s="3353"/>
      <c r="S1261" s="3353"/>
      <c r="T1261" s="3353"/>
      <c r="U1261" s="3353"/>
      <c r="V1261" s="3353"/>
      <c r="W1261" s="3353"/>
      <c r="X1261" s="3353"/>
      <c r="Y1261" s="3353"/>
      <c r="Z1261" s="3353"/>
      <c r="AA1261" s="3353"/>
      <c r="AB1261" s="3353"/>
      <c r="AC1261" s="3353"/>
      <c r="AD1261" s="3353"/>
      <c r="AE1261" s="3353"/>
      <c r="AF1261" s="3353"/>
      <c r="AG1261" s="3353"/>
      <c r="AH1261" s="3353"/>
      <c r="AI1261" s="3353"/>
      <c r="AJ1261" s="3353"/>
      <c r="AK1261" s="3353"/>
      <c r="AL1261" s="3353"/>
    </row>
    <row r="1262" spans="1:38" s="3309" customFormat="1" x14ac:dyDescent="0.2">
      <c r="A1262" s="3440" t="s">
        <v>6051</v>
      </c>
      <c r="B1262" s="3439">
        <f t="shared" ref="B1262:G1262" si="632">CEILING((B739/B763+1)*6,1)</f>
        <v>6</v>
      </c>
      <c r="C1262" s="3439" t="e">
        <f t="shared" si="632"/>
        <v>#DIV/0!</v>
      </c>
      <c r="D1262" s="3439" t="e">
        <f t="shared" si="632"/>
        <v>#DIV/0!</v>
      </c>
      <c r="E1262" s="3439" t="e">
        <f t="shared" si="632"/>
        <v>#DIV/0!</v>
      </c>
      <c r="F1262" s="3439" t="e">
        <f t="shared" si="632"/>
        <v>#DIV/0!</v>
      </c>
      <c r="G1262" s="3439" t="e">
        <f t="shared" si="632"/>
        <v>#DIV/0!</v>
      </c>
      <c r="H1262" s="3353"/>
      <c r="I1262" s="3353"/>
      <c r="J1262" s="3353"/>
      <c r="K1262" s="3353"/>
      <c r="L1262" s="3353"/>
      <c r="M1262" s="3353"/>
      <c r="N1262" s="3353"/>
      <c r="O1262" s="3353"/>
      <c r="P1262" s="3353"/>
      <c r="Q1262" s="3353"/>
      <c r="R1262" s="3353"/>
      <c r="S1262" s="3353"/>
      <c r="T1262" s="3353"/>
      <c r="U1262" s="3353"/>
      <c r="V1262" s="3353"/>
      <c r="W1262" s="3353"/>
      <c r="X1262" s="3353"/>
      <c r="Y1262" s="3353"/>
      <c r="Z1262" s="3353"/>
      <c r="AA1262" s="3353"/>
      <c r="AB1262" s="3353"/>
      <c r="AC1262" s="3353"/>
      <c r="AD1262" s="3353"/>
      <c r="AE1262" s="3353"/>
      <c r="AF1262" s="3353"/>
      <c r="AG1262" s="3353"/>
      <c r="AH1262" s="3353"/>
      <c r="AI1262" s="3353"/>
      <c r="AJ1262" s="3353"/>
      <c r="AK1262" s="3353"/>
      <c r="AL1262" s="3353"/>
    </row>
    <row r="1263" spans="1:38" s="3309" customFormat="1" x14ac:dyDescent="0.2">
      <c r="A1263" s="3409" t="s">
        <v>2816</v>
      </c>
      <c r="B1263" s="3428">
        <f t="shared" ref="B1263:G1263" si="633">B224</f>
        <v>3</v>
      </c>
      <c r="C1263" s="3428">
        <f t="shared" si="633"/>
        <v>3</v>
      </c>
      <c r="D1263" s="3428">
        <f t="shared" si="633"/>
        <v>3</v>
      </c>
      <c r="E1263" s="3428">
        <f t="shared" si="633"/>
        <v>3</v>
      </c>
      <c r="F1263" s="3428">
        <f t="shared" si="633"/>
        <v>3</v>
      </c>
      <c r="G1263" s="3428">
        <f t="shared" si="633"/>
        <v>3</v>
      </c>
      <c r="H1263" s="3353"/>
      <c r="I1263" s="3353"/>
      <c r="J1263" s="3353"/>
      <c r="K1263" s="3353"/>
      <c r="L1263" s="3353"/>
      <c r="M1263" s="3353"/>
      <c r="N1263" s="3353"/>
      <c r="O1263" s="3353"/>
      <c r="P1263" s="3353"/>
      <c r="Q1263" s="3353"/>
      <c r="R1263" s="3353"/>
      <c r="S1263" s="3353"/>
      <c r="T1263" s="3353"/>
      <c r="U1263" s="3353"/>
      <c r="V1263" s="3353"/>
      <c r="W1263" s="3353"/>
      <c r="X1263" s="3353"/>
      <c r="Y1263" s="3353"/>
      <c r="Z1263" s="3353"/>
      <c r="AA1263" s="3353"/>
      <c r="AB1263" s="3353"/>
      <c r="AC1263" s="3353"/>
      <c r="AD1263" s="3353"/>
      <c r="AE1263" s="3353"/>
      <c r="AF1263" s="3353"/>
      <c r="AG1263" s="3353"/>
      <c r="AH1263" s="3353"/>
      <c r="AI1263" s="3353"/>
      <c r="AJ1263" s="3353"/>
      <c r="AK1263" s="3353"/>
      <c r="AL1263" s="3353"/>
    </row>
    <row r="1264" spans="1:38" s="3309" customFormat="1" x14ac:dyDescent="0.2">
      <c r="A1264" s="3408" t="s">
        <v>6050</v>
      </c>
      <c r="B1264" s="3438">
        <f t="shared" ref="B1264:G1264" si="634">B1262*B1263/100</f>
        <v>0.18</v>
      </c>
      <c r="C1264" s="3438" t="e">
        <f t="shared" si="634"/>
        <v>#DIV/0!</v>
      </c>
      <c r="D1264" s="3438" t="e">
        <f t="shared" si="634"/>
        <v>#DIV/0!</v>
      </c>
      <c r="E1264" s="3438" t="e">
        <f t="shared" si="634"/>
        <v>#DIV/0!</v>
      </c>
      <c r="F1264" s="3438" t="e">
        <f t="shared" si="634"/>
        <v>#DIV/0!</v>
      </c>
      <c r="G1264" s="3438" t="e">
        <f t="shared" si="634"/>
        <v>#DIV/0!</v>
      </c>
      <c r="H1264" s="3353"/>
      <c r="I1264" s="3353"/>
      <c r="J1264" s="3353"/>
      <c r="K1264" s="3353"/>
      <c r="L1264" s="3353"/>
      <c r="M1264" s="3353"/>
      <c r="N1264" s="3353"/>
      <c r="O1264" s="3353"/>
      <c r="P1264" s="3353"/>
      <c r="Q1264" s="3353"/>
      <c r="R1264" s="3353"/>
      <c r="S1264" s="3353"/>
      <c r="T1264" s="3353"/>
      <c r="U1264" s="3353"/>
      <c r="V1264" s="3353"/>
      <c r="W1264" s="3353"/>
      <c r="X1264" s="3353"/>
      <c r="Y1264" s="3353"/>
      <c r="Z1264" s="3353"/>
      <c r="AA1264" s="3353"/>
      <c r="AB1264" s="3353"/>
      <c r="AC1264" s="3353"/>
      <c r="AD1264" s="3353"/>
      <c r="AE1264" s="3353"/>
      <c r="AF1264" s="3353"/>
      <c r="AG1264" s="3353"/>
      <c r="AH1264" s="3353"/>
      <c r="AI1264" s="3353"/>
      <c r="AJ1264" s="3353"/>
      <c r="AK1264" s="3353"/>
      <c r="AL1264" s="3353"/>
    </row>
    <row r="1265" spans="1:38" s="3309" customFormat="1" x14ac:dyDescent="0.2">
      <c r="A1265" s="3409" t="s">
        <v>1901</v>
      </c>
      <c r="B1265" s="3428">
        <f t="shared" ref="B1265:G1265" si="635">B196</f>
        <v>5000</v>
      </c>
      <c r="C1265" s="3428">
        <f t="shared" si="635"/>
        <v>5000</v>
      </c>
      <c r="D1265" s="3428">
        <f t="shared" si="635"/>
        <v>5000</v>
      </c>
      <c r="E1265" s="3428">
        <f t="shared" si="635"/>
        <v>5000</v>
      </c>
      <c r="F1265" s="3428">
        <f t="shared" si="635"/>
        <v>5000</v>
      </c>
      <c r="G1265" s="3428">
        <f t="shared" si="635"/>
        <v>5000</v>
      </c>
      <c r="H1265" s="3353"/>
      <c r="I1265" s="3353"/>
      <c r="J1265" s="3353"/>
      <c r="K1265" s="3353"/>
      <c r="L1265" s="3353"/>
      <c r="M1265" s="3353"/>
      <c r="N1265" s="3353"/>
      <c r="O1265" s="3353"/>
      <c r="P1265" s="3353"/>
      <c r="Q1265" s="3353"/>
      <c r="R1265" s="3353"/>
      <c r="S1265" s="3353"/>
      <c r="T1265" s="3353"/>
      <c r="U1265" s="3353"/>
      <c r="V1265" s="3353"/>
      <c r="W1265" s="3353"/>
      <c r="X1265" s="3353"/>
      <c r="Y1265" s="3353"/>
      <c r="Z1265" s="3353"/>
      <c r="AA1265" s="3353"/>
      <c r="AB1265" s="3353"/>
      <c r="AC1265" s="3353"/>
      <c r="AD1265" s="3353"/>
      <c r="AE1265" s="3353"/>
      <c r="AF1265" s="3353"/>
      <c r="AG1265" s="3353"/>
      <c r="AH1265" s="3353"/>
      <c r="AI1265" s="3353"/>
      <c r="AJ1265" s="3353"/>
      <c r="AK1265" s="3353"/>
      <c r="AL1265" s="3353"/>
    </row>
    <row r="1266" spans="1:38" s="3309" customFormat="1" x14ac:dyDescent="0.2">
      <c r="A1266" s="3403" t="s">
        <v>6049</v>
      </c>
      <c r="B1266" s="3428">
        <f t="shared" ref="B1266:G1266" si="636">B1264*B1265</f>
        <v>900</v>
      </c>
      <c r="C1266" s="3428" t="e">
        <f t="shared" si="636"/>
        <v>#DIV/0!</v>
      </c>
      <c r="D1266" s="3428" t="e">
        <f t="shared" si="636"/>
        <v>#DIV/0!</v>
      </c>
      <c r="E1266" s="3428" t="e">
        <f t="shared" si="636"/>
        <v>#DIV/0!</v>
      </c>
      <c r="F1266" s="3428" t="e">
        <f t="shared" si="636"/>
        <v>#DIV/0!</v>
      </c>
      <c r="G1266" s="3428" t="e">
        <f t="shared" si="636"/>
        <v>#DIV/0!</v>
      </c>
      <c r="H1266" s="3353"/>
      <c r="I1266" s="3353"/>
      <c r="J1266" s="3353"/>
      <c r="K1266" s="3353"/>
      <c r="L1266" s="3353"/>
      <c r="M1266" s="3353"/>
      <c r="N1266" s="3353"/>
      <c r="O1266" s="3353"/>
      <c r="P1266" s="3353"/>
      <c r="Q1266" s="3353"/>
      <c r="R1266" s="3353"/>
      <c r="S1266" s="3353"/>
      <c r="T1266" s="3353"/>
      <c r="U1266" s="3353"/>
      <c r="V1266" s="3353"/>
      <c r="W1266" s="3353"/>
      <c r="X1266" s="3353"/>
      <c r="Y1266" s="3353"/>
      <c r="Z1266" s="3353"/>
      <c r="AA1266" s="3353"/>
      <c r="AB1266" s="3353"/>
      <c r="AC1266" s="3353"/>
      <c r="AD1266" s="3353"/>
      <c r="AE1266" s="3353"/>
      <c r="AF1266" s="3353"/>
      <c r="AG1266" s="3353"/>
      <c r="AH1266" s="3353"/>
      <c r="AI1266" s="3353"/>
      <c r="AJ1266" s="3353"/>
      <c r="AK1266" s="3353"/>
      <c r="AL1266" s="3353"/>
    </row>
    <row r="1267" spans="1:38" s="3309" customFormat="1" x14ac:dyDescent="0.2">
      <c r="A1267" s="3588" t="s">
        <v>6048</v>
      </c>
      <c r="B1267" s="3426"/>
      <c r="C1267" s="3412"/>
      <c r="D1267" s="3412"/>
      <c r="E1267" s="3412"/>
      <c r="F1267" s="3412"/>
      <c r="G1267" s="3353"/>
      <c r="H1267" s="3437"/>
      <c r="I1267" s="3353"/>
      <c r="J1267" s="3353"/>
      <c r="K1267" s="3353"/>
      <c r="L1267" s="3353"/>
      <c r="M1267" s="3353"/>
      <c r="N1267" s="3353"/>
      <c r="O1267" s="3353"/>
      <c r="P1267" s="3353"/>
      <c r="Q1267" s="3353"/>
      <c r="R1267" s="3353"/>
      <c r="S1267" s="3353"/>
      <c r="T1267" s="3353"/>
      <c r="U1267" s="3353"/>
      <c r="V1267" s="3353"/>
      <c r="W1267" s="3353"/>
      <c r="X1267" s="3353"/>
      <c r="Y1267" s="3353"/>
      <c r="Z1267" s="3353"/>
      <c r="AA1267" s="3353"/>
      <c r="AB1267" s="3353"/>
      <c r="AC1267" s="3353"/>
      <c r="AD1267" s="3353"/>
      <c r="AE1267" s="3353"/>
      <c r="AF1267" s="3353"/>
      <c r="AG1267" s="3353"/>
      <c r="AH1267" s="3353"/>
      <c r="AI1267" s="3353"/>
      <c r="AJ1267" s="3353"/>
      <c r="AK1267" s="3353"/>
      <c r="AL1267" s="3353"/>
    </row>
    <row r="1268" spans="1:38" s="3309" customFormat="1" x14ac:dyDescent="0.2">
      <c r="A1268" s="3436" t="s">
        <v>6047</v>
      </c>
      <c r="B1268" s="3435">
        <f t="shared" ref="B1268:G1268" si="637">B792*2</f>
        <v>8</v>
      </c>
      <c r="C1268" s="3435">
        <f t="shared" si="637"/>
        <v>0</v>
      </c>
      <c r="D1268" s="3435">
        <f t="shared" si="637"/>
        <v>0</v>
      </c>
      <c r="E1268" s="3435">
        <f t="shared" si="637"/>
        <v>0</v>
      </c>
      <c r="F1268" s="3435">
        <f t="shared" si="637"/>
        <v>0</v>
      </c>
      <c r="G1268" s="3435">
        <f t="shared" si="637"/>
        <v>0</v>
      </c>
      <c r="H1268" s="3353"/>
      <c r="I1268" s="3353"/>
      <c r="J1268" s="3353"/>
      <c r="K1268" s="3353"/>
      <c r="L1268" s="3353"/>
      <c r="M1268" s="3353"/>
      <c r="N1268" s="3353"/>
      <c r="O1268" s="3353"/>
      <c r="P1268" s="3353"/>
      <c r="Q1268" s="3353"/>
      <c r="R1268" s="3353"/>
      <c r="S1268" s="3353"/>
      <c r="T1268" s="3353"/>
      <c r="U1268" s="3353"/>
      <c r="V1268" s="3353"/>
      <c r="W1268" s="3353"/>
      <c r="X1268" s="3353"/>
      <c r="Y1268" s="3353"/>
      <c r="Z1268" s="3353"/>
      <c r="AA1268" s="3353"/>
      <c r="AB1268" s="3353"/>
      <c r="AC1268" s="3353"/>
      <c r="AD1268" s="3353"/>
      <c r="AE1268" s="3353"/>
      <c r="AF1268" s="3353"/>
      <c r="AG1268" s="3353"/>
      <c r="AH1268" s="3353"/>
      <c r="AI1268" s="3353"/>
      <c r="AJ1268" s="3353"/>
      <c r="AK1268" s="3353"/>
      <c r="AL1268" s="3353"/>
    </row>
    <row r="1269" spans="1:38" s="3309" customFormat="1" x14ac:dyDescent="0.2">
      <c r="A1269" s="3409" t="s">
        <v>6046</v>
      </c>
      <c r="B1269" s="3428">
        <f t="shared" ref="B1269:G1269" si="638">B223</f>
        <v>5</v>
      </c>
      <c r="C1269" s="3428">
        <f t="shared" si="638"/>
        <v>5</v>
      </c>
      <c r="D1269" s="3428">
        <f t="shared" si="638"/>
        <v>5</v>
      </c>
      <c r="E1269" s="3428">
        <f t="shared" si="638"/>
        <v>5</v>
      </c>
      <c r="F1269" s="3428">
        <f t="shared" si="638"/>
        <v>5</v>
      </c>
      <c r="G1269" s="3428">
        <f t="shared" si="638"/>
        <v>5</v>
      </c>
      <c r="H1269" s="3353"/>
      <c r="I1269" s="3353"/>
      <c r="J1269" s="3353"/>
      <c r="K1269" s="3353"/>
      <c r="L1269" s="3353"/>
      <c r="M1269" s="3353"/>
      <c r="N1269" s="3353"/>
      <c r="O1269" s="3353"/>
      <c r="P1269" s="3353"/>
      <c r="Q1269" s="3353"/>
      <c r="R1269" s="3353"/>
      <c r="S1269" s="3353"/>
      <c r="T1269" s="3353"/>
      <c r="U1269" s="3353"/>
      <c r="V1269" s="3353"/>
      <c r="W1269" s="3353"/>
      <c r="X1269" s="3353"/>
      <c r="Y1269" s="3353"/>
      <c r="Z1269" s="3353"/>
      <c r="AA1269" s="3353"/>
      <c r="AB1269" s="3353"/>
      <c r="AC1269" s="3353"/>
      <c r="AD1269" s="3353"/>
      <c r="AE1269" s="3353"/>
      <c r="AF1269" s="3353"/>
      <c r="AG1269" s="3353"/>
      <c r="AH1269" s="3353"/>
      <c r="AI1269" s="3353"/>
      <c r="AJ1269" s="3353"/>
      <c r="AK1269" s="3353"/>
      <c r="AL1269" s="3353"/>
    </row>
    <row r="1270" spans="1:38" s="3309" customFormat="1" x14ac:dyDescent="0.2">
      <c r="A1270" s="3412" t="s">
        <v>6045</v>
      </c>
      <c r="B1270" s="3411">
        <f t="shared" ref="B1270:G1270" si="639">B1268*B1269/100</f>
        <v>0.4</v>
      </c>
      <c r="C1270" s="3411">
        <f t="shared" si="639"/>
        <v>0</v>
      </c>
      <c r="D1270" s="3411">
        <f t="shared" si="639"/>
        <v>0</v>
      </c>
      <c r="E1270" s="3411">
        <f t="shared" si="639"/>
        <v>0</v>
      </c>
      <c r="F1270" s="3411">
        <f t="shared" si="639"/>
        <v>0</v>
      </c>
      <c r="G1270" s="3411">
        <f t="shared" si="639"/>
        <v>0</v>
      </c>
      <c r="H1270" s="3353"/>
      <c r="I1270" s="3353"/>
      <c r="J1270" s="3353"/>
      <c r="K1270" s="3353"/>
      <c r="L1270" s="3353"/>
      <c r="M1270" s="3353"/>
      <c r="N1270" s="3353"/>
      <c r="O1270" s="3353"/>
      <c r="P1270" s="3353"/>
      <c r="Q1270" s="3353"/>
      <c r="R1270" s="3353"/>
      <c r="S1270" s="3353"/>
      <c r="T1270" s="3353"/>
      <c r="U1270" s="3353"/>
      <c r="V1270" s="3353"/>
      <c r="W1270" s="3353"/>
      <c r="X1270" s="3353"/>
      <c r="Y1270" s="3353"/>
      <c r="Z1270" s="3353"/>
      <c r="AA1270" s="3353"/>
      <c r="AB1270" s="3353"/>
      <c r="AC1270" s="3353"/>
      <c r="AD1270" s="3353"/>
      <c r="AE1270" s="3353"/>
      <c r="AF1270" s="3353"/>
      <c r="AG1270" s="3353"/>
      <c r="AH1270" s="3353"/>
      <c r="AI1270" s="3353"/>
      <c r="AJ1270" s="3353"/>
      <c r="AK1270" s="3353"/>
      <c r="AL1270" s="3353"/>
    </row>
    <row r="1271" spans="1:38" s="3309" customFormat="1" x14ac:dyDescent="0.2">
      <c r="A1271" s="3433" t="s">
        <v>6044</v>
      </c>
      <c r="B1271" s="3426">
        <f t="shared" ref="B1271:G1271" si="640">B1270*B922*16/1000</f>
        <v>2.5600000000000001E-2</v>
      </c>
      <c r="C1271" s="3426">
        <f t="shared" si="640"/>
        <v>0</v>
      </c>
      <c r="D1271" s="3426">
        <f t="shared" si="640"/>
        <v>0</v>
      </c>
      <c r="E1271" s="3426">
        <f t="shared" si="640"/>
        <v>0</v>
      </c>
      <c r="F1271" s="3426">
        <f t="shared" si="640"/>
        <v>0</v>
      </c>
      <c r="G1271" s="3426">
        <f t="shared" si="640"/>
        <v>0</v>
      </c>
      <c r="H1271" s="3353"/>
      <c r="I1271" s="3353"/>
      <c r="J1271" s="3353"/>
      <c r="K1271" s="3353"/>
      <c r="L1271" s="3353"/>
      <c r="M1271" s="3353"/>
      <c r="N1271" s="3353"/>
      <c r="O1271" s="3353"/>
      <c r="P1271" s="3353"/>
      <c r="Q1271" s="3353"/>
      <c r="R1271" s="3353"/>
      <c r="S1271" s="3353"/>
      <c r="T1271" s="3353"/>
      <c r="U1271" s="3353"/>
      <c r="V1271" s="3353"/>
      <c r="W1271" s="3353"/>
      <c r="X1271" s="3353"/>
      <c r="Y1271" s="3353"/>
      <c r="Z1271" s="3353"/>
      <c r="AA1271" s="3353"/>
      <c r="AB1271" s="3353"/>
      <c r="AC1271" s="3353"/>
      <c r="AD1271" s="3353"/>
      <c r="AE1271" s="3353"/>
      <c r="AF1271" s="3353"/>
      <c r="AG1271" s="3353"/>
      <c r="AH1271" s="3353"/>
      <c r="AI1271" s="3353"/>
      <c r="AJ1271" s="3353"/>
      <c r="AK1271" s="3353"/>
      <c r="AL1271" s="3353"/>
    </row>
    <row r="1272" spans="1:38" s="3309" customFormat="1" x14ac:dyDescent="0.2">
      <c r="A1272" s="3409" t="s">
        <v>6043</v>
      </c>
      <c r="B1272" s="3409">
        <f t="shared" ref="B1272:G1272" si="641">B208</f>
        <v>10</v>
      </c>
      <c r="C1272" s="3409">
        <f t="shared" si="641"/>
        <v>10</v>
      </c>
      <c r="D1272" s="3409">
        <f t="shared" si="641"/>
        <v>10</v>
      </c>
      <c r="E1272" s="3409">
        <f t="shared" si="641"/>
        <v>10</v>
      </c>
      <c r="F1272" s="3409">
        <f t="shared" si="641"/>
        <v>10</v>
      </c>
      <c r="G1272" s="3409">
        <f t="shared" si="641"/>
        <v>10</v>
      </c>
      <c r="H1272" s="3353"/>
      <c r="I1272" s="3353"/>
      <c r="J1272" s="3353"/>
      <c r="K1272" s="3353"/>
      <c r="L1272" s="3353"/>
      <c r="M1272" s="3353"/>
      <c r="N1272" s="3353"/>
      <c r="O1272" s="3353"/>
      <c r="P1272" s="3353"/>
      <c r="Q1272" s="3353"/>
      <c r="R1272" s="3353"/>
      <c r="S1272" s="3353"/>
      <c r="T1272" s="3353"/>
      <c r="U1272" s="3353"/>
      <c r="V1272" s="3353"/>
      <c r="W1272" s="3353"/>
      <c r="X1272" s="3353"/>
      <c r="Y1272" s="3353"/>
      <c r="Z1272" s="3353"/>
      <c r="AA1272" s="3353"/>
      <c r="AB1272" s="3353"/>
      <c r="AC1272" s="3353"/>
      <c r="AD1272" s="3353"/>
      <c r="AE1272" s="3353"/>
      <c r="AF1272" s="3353"/>
      <c r="AG1272" s="3353"/>
      <c r="AH1272" s="3353"/>
      <c r="AI1272" s="3353"/>
      <c r="AJ1272" s="3353"/>
      <c r="AK1272" s="3353"/>
      <c r="AL1272" s="3353"/>
    </row>
    <row r="1273" spans="1:38" s="3309" customFormat="1" x14ac:dyDescent="0.2">
      <c r="A1273" s="3401" t="s">
        <v>6042</v>
      </c>
      <c r="B1273" s="3417">
        <f t="shared" ref="B1273:G1273" si="642">B1271*B1272</f>
        <v>0.25600000000000001</v>
      </c>
      <c r="C1273" s="3417">
        <f t="shared" si="642"/>
        <v>0</v>
      </c>
      <c r="D1273" s="3417">
        <f t="shared" si="642"/>
        <v>0</v>
      </c>
      <c r="E1273" s="3417">
        <f t="shared" si="642"/>
        <v>0</v>
      </c>
      <c r="F1273" s="3417">
        <f t="shared" si="642"/>
        <v>0</v>
      </c>
      <c r="G1273" s="3417">
        <f t="shared" si="642"/>
        <v>0</v>
      </c>
      <c r="H1273" s="3353"/>
      <c r="I1273" s="3353"/>
      <c r="J1273" s="3353"/>
      <c r="K1273" s="3353"/>
      <c r="L1273" s="3353"/>
      <c r="M1273" s="3353"/>
      <c r="N1273" s="3353"/>
      <c r="O1273" s="3353"/>
      <c r="P1273" s="3353"/>
      <c r="Q1273" s="3353"/>
      <c r="R1273" s="3353"/>
      <c r="S1273" s="3353"/>
      <c r="T1273" s="3353"/>
      <c r="U1273" s="3353"/>
      <c r="V1273" s="3353"/>
      <c r="W1273" s="3353"/>
      <c r="X1273" s="3353"/>
      <c r="Y1273" s="3353"/>
      <c r="Z1273" s="3353"/>
      <c r="AA1273" s="3353"/>
      <c r="AB1273" s="3353"/>
      <c r="AC1273" s="3353"/>
      <c r="AD1273" s="3353"/>
      <c r="AE1273" s="3353"/>
      <c r="AF1273" s="3353"/>
      <c r="AG1273" s="3353"/>
      <c r="AH1273" s="3353"/>
      <c r="AI1273" s="3353"/>
      <c r="AJ1273" s="3353"/>
      <c r="AK1273" s="3353"/>
      <c r="AL1273" s="3353"/>
    </row>
    <row r="1274" spans="1:38" s="3309" customFormat="1" x14ac:dyDescent="0.2">
      <c r="A1274" s="3401" t="s">
        <v>6041</v>
      </c>
      <c r="B1274" s="3412"/>
      <c r="C1274" s="3412"/>
      <c r="D1274" s="3412"/>
      <c r="E1274" s="3412"/>
      <c r="F1274" s="3412"/>
      <c r="G1274" s="3353"/>
      <c r="H1274" s="3353"/>
      <c r="I1274" s="3353"/>
      <c r="J1274" s="3353"/>
      <c r="K1274" s="3353"/>
      <c r="L1274" s="3353"/>
      <c r="M1274" s="3353"/>
      <c r="N1274" s="3353"/>
      <c r="O1274" s="3353"/>
      <c r="P1274" s="3353"/>
      <c r="Q1274" s="3353"/>
      <c r="R1274" s="3353"/>
      <c r="S1274" s="3353"/>
      <c r="T1274" s="3353"/>
      <c r="U1274" s="3353"/>
      <c r="V1274" s="3353"/>
      <c r="W1274" s="3353"/>
      <c r="X1274" s="3353"/>
      <c r="Y1274" s="3353"/>
      <c r="Z1274" s="3353"/>
      <c r="AA1274" s="3353"/>
      <c r="AB1274" s="3353"/>
      <c r="AC1274" s="3353"/>
      <c r="AD1274" s="3353"/>
      <c r="AE1274" s="3353"/>
      <c r="AF1274" s="3353"/>
      <c r="AG1274" s="3353"/>
      <c r="AH1274" s="3353"/>
      <c r="AI1274" s="3353"/>
      <c r="AJ1274" s="3353"/>
      <c r="AK1274" s="3353"/>
      <c r="AL1274" s="3353"/>
    </row>
    <row r="1275" spans="1:38" s="3309" customFormat="1" x14ac:dyDescent="0.2">
      <c r="A1275" s="3409" t="s">
        <v>4309</v>
      </c>
      <c r="B1275" s="3428">
        <f t="shared" ref="B1275:G1275" si="643">B223</f>
        <v>5</v>
      </c>
      <c r="C1275" s="3428">
        <f t="shared" si="643"/>
        <v>5</v>
      </c>
      <c r="D1275" s="3428">
        <f t="shared" si="643"/>
        <v>5</v>
      </c>
      <c r="E1275" s="3428">
        <f t="shared" si="643"/>
        <v>5</v>
      </c>
      <c r="F1275" s="3428">
        <f t="shared" si="643"/>
        <v>5</v>
      </c>
      <c r="G1275" s="3428">
        <f t="shared" si="643"/>
        <v>5</v>
      </c>
      <c r="H1275" s="3353"/>
      <c r="I1275" s="3353"/>
      <c r="J1275" s="3353"/>
      <c r="K1275" s="3353"/>
      <c r="L1275" s="3353"/>
      <c r="M1275" s="3353"/>
      <c r="N1275" s="3353"/>
      <c r="O1275" s="3353"/>
      <c r="P1275" s="3353"/>
      <c r="Q1275" s="3353"/>
      <c r="R1275" s="3353"/>
      <c r="S1275" s="3353"/>
      <c r="T1275" s="3353"/>
      <c r="U1275" s="3353"/>
      <c r="V1275" s="3353"/>
      <c r="W1275" s="3353"/>
      <c r="X1275" s="3353"/>
      <c r="Y1275" s="3353"/>
      <c r="Z1275" s="3353"/>
      <c r="AA1275" s="3353"/>
      <c r="AB1275" s="3353"/>
      <c r="AC1275" s="3353"/>
      <c r="AD1275" s="3353"/>
      <c r="AE1275" s="3353"/>
      <c r="AF1275" s="3353"/>
      <c r="AG1275" s="3353"/>
      <c r="AH1275" s="3353"/>
      <c r="AI1275" s="3353"/>
      <c r="AJ1275" s="3353"/>
      <c r="AK1275" s="3353"/>
      <c r="AL1275" s="3353"/>
    </row>
    <row r="1276" spans="1:38" s="3309" customFormat="1" x14ac:dyDescent="0.2">
      <c r="A1276" s="3411" t="s">
        <v>6040</v>
      </c>
      <c r="B1276" s="3426">
        <f t="shared" ref="B1276:G1276" si="644">B1255</f>
        <v>-0.6</v>
      </c>
      <c r="C1276" s="3426">
        <f t="shared" si="644"/>
        <v>0</v>
      </c>
      <c r="D1276" s="3426">
        <f t="shared" si="644"/>
        <v>0</v>
      </c>
      <c r="E1276" s="3426">
        <f t="shared" si="644"/>
        <v>0</v>
      </c>
      <c r="F1276" s="3426">
        <f t="shared" si="644"/>
        <v>0</v>
      </c>
      <c r="G1276" s="3426">
        <f t="shared" si="644"/>
        <v>0</v>
      </c>
      <c r="H1276" s="3353"/>
      <c r="I1276" s="3353"/>
      <c r="J1276" s="3353"/>
      <c r="K1276" s="3353"/>
      <c r="L1276" s="3353"/>
      <c r="M1276" s="3353"/>
      <c r="N1276" s="3353"/>
      <c r="O1276" s="3353"/>
      <c r="P1276" s="3353"/>
      <c r="Q1276" s="3353"/>
      <c r="R1276" s="3353"/>
      <c r="S1276" s="3353"/>
      <c r="T1276" s="3353"/>
      <c r="U1276" s="3353"/>
      <c r="V1276" s="3353"/>
      <c r="W1276" s="3353"/>
      <c r="X1276" s="3353"/>
      <c r="Y1276" s="3353"/>
      <c r="Z1276" s="3353"/>
      <c r="AA1276" s="3353"/>
      <c r="AB1276" s="3353"/>
      <c r="AC1276" s="3353"/>
      <c r="AD1276" s="3353"/>
      <c r="AE1276" s="3353"/>
      <c r="AF1276" s="3353"/>
      <c r="AG1276" s="3353"/>
      <c r="AH1276" s="3353"/>
      <c r="AI1276" s="3353"/>
      <c r="AJ1276" s="3353"/>
      <c r="AK1276" s="3353"/>
      <c r="AL1276" s="3353"/>
    </row>
    <row r="1277" spans="1:38" s="3309" customFormat="1" x14ac:dyDescent="0.2">
      <c r="A1277" s="3409" t="s">
        <v>6039</v>
      </c>
      <c r="B1277" s="3429">
        <f t="shared" ref="B1277:G1277" si="645">B207</f>
        <v>600</v>
      </c>
      <c r="C1277" s="3429">
        <f t="shared" si="645"/>
        <v>600</v>
      </c>
      <c r="D1277" s="3429">
        <f t="shared" si="645"/>
        <v>600</v>
      </c>
      <c r="E1277" s="3429">
        <f t="shared" si="645"/>
        <v>600</v>
      </c>
      <c r="F1277" s="3429">
        <f t="shared" si="645"/>
        <v>600</v>
      </c>
      <c r="G1277" s="3429">
        <f t="shared" si="645"/>
        <v>600</v>
      </c>
      <c r="H1277" s="3353"/>
      <c r="I1277" s="3353"/>
      <c r="J1277" s="3353"/>
      <c r="K1277" s="3353"/>
      <c r="L1277" s="3353"/>
      <c r="M1277" s="3353"/>
      <c r="N1277" s="3353"/>
      <c r="O1277" s="3353"/>
      <c r="P1277" s="3353"/>
      <c r="Q1277" s="3353"/>
      <c r="R1277" s="3353"/>
      <c r="S1277" s="3353"/>
      <c r="T1277" s="3353"/>
      <c r="U1277" s="3353"/>
      <c r="V1277" s="3353"/>
      <c r="W1277" s="3353"/>
      <c r="X1277" s="3353"/>
      <c r="Y1277" s="3353"/>
      <c r="Z1277" s="3353"/>
      <c r="AA1277" s="3353"/>
      <c r="AB1277" s="3353"/>
      <c r="AC1277" s="3353"/>
      <c r="AD1277" s="3353"/>
      <c r="AE1277" s="3353"/>
      <c r="AF1277" s="3353"/>
      <c r="AG1277" s="3353"/>
      <c r="AH1277" s="3353"/>
      <c r="AI1277" s="3353"/>
      <c r="AJ1277" s="3353"/>
      <c r="AK1277" s="3353"/>
      <c r="AL1277" s="3353"/>
    </row>
    <row r="1278" spans="1:38" s="3309" customFormat="1" ht="25.5" x14ac:dyDescent="0.2">
      <c r="A1278" s="3416" t="s">
        <v>6038</v>
      </c>
      <c r="B1278" s="3411">
        <f t="shared" ref="B1278:G1278" si="646">IF(B766=1,B1276*B1277,0)</f>
        <v>-360</v>
      </c>
      <c r="C1278" s="3411">
        <f t="shared" si="646"/>
        <v>0</v>
      </c>
      <c r="D1278" s="3411">
        <f t="shared" si="646"/>
        <v>0</v>
      </c>
      <c r="E1278" s="3411">
        <f t="shared" si="646"/>
        <v>0</v>
      </c>
      <c r="F1278" s="3411">
        <f t="shared" si="646"/>
        <v>0</v>
      </c>
      <c r="G1278" s="3411">
        <f t="shared" si="646"/>
        <v>0</v>
      </c>
      <c r="H1278" s="3353"/>
      <c r="I1278" s="3353"/>
      <c r="J1278" s="3353"/>
      <c r="K1278" s="3353"/>
      <c r="L1278" s="3353"/>
      <c r="M1278" s="3353"/>
      <c r="N1278" s="3353"/>
      <c r="O1278" s="3353"/>
      <c r="P1278" s="3353"/>
      <c r="Q1278" s="3353"/>
      <c r="R1278" s="3353"/>
      <c r="S1278" s="3353"/>
      <c r="T1278" s="3353"/>
      <c r="U1278" s="3353"/>
      <c r="V1278" s="3353"/>
      <c r="W1278" s="3353"/>
      <c r="X1278" s="3353"/>
      <c r="Y1278" s="3353"/>
      <c r="Z1278" s="3353"/>
      <c r="AA1278" s="3353"/>
      <c r="AB1278" s="3353"/>
      <c r="AC1278" s="3353"/>
      <c r="AD1278" s="3353"/>
      <c r="AE1278" s="3353"/>
      <c r="AF1278" s="3353"/>
      <c r="AG1278" s="3353"/>
      <c r="AH1278" s="3353"/>
      <c r="AI1278" s="3353"/>
      <c r="AJ1278" s="3353"/>
      <c r="AK1278" s="3353"/>
      <c r="AL1278" s="3353"/>
    </row>
    <row r="1279" spans="1:38" s="3309" customFormat="1" ht="15.75" x14ac:dyDescent="0.25">
      <c r="A1279" s="3432" t="s">
        <v>2745</v>
      </c>
      <c r="B1279" s="3431" t="e">
        <f t="shared" ref="B1279:G1279" si="647">((B747*B751)/(B745*B735*B736*B748*B746))*B1125</f>
        <v>#VALUE!</v>
      </c>
      <c r="C1279" s="3431" t="e">
        <f t="shared" si="647"/>
        <v>#DIV/0!</v>
      </c>
      <c r="D1279" s="3431" t="e">
        <f t="shared" si="647"/>
        <v>#DIV/0!</v>
      </c>
      <c r="E1279" s="3431" t="e">
        <f t="shared" si="647"/>
        <v>#DIV/0!</v>
      </c>
      <c r="F1279" s="3431" t="e">
        <f t="shared" si="647"/>
        <v>#DIV/0!</v>
      </c>
      <c r="G1279" s="3431" t="e">
        <f t="shared" si="647"/>
        <v>#DIV/0!</v>
      </c>
      <c r="H1279" s="3353"/>
      <c r="I1279" s="3353"/>
      <c r="J1279" s="3353"/>
      <c r="K1279" s="3353"/>
      <c r="L1279" s="3353"/>
      <c r="M1279" s="3353"/>
      <c r="N1279" s="3353"/>
      <c r="O1279" s="3353"/>
      <c r="P1279" s="3353"/>
      <c r="Q1279" s="3353"/>
      <c r="R1279" s="3353"/>
      <c r="S1279" s="3353"/>
      <c r="T1279" s="3353"/>
      <c r="U1279" s="3353"/>
      <c r="V1279" s="3353"/>
      <c r="W1279" s="3353"/>
      <c r="X1279" s="3353"/>
      <c r="Y1279" s="3353"/>
      <c r="Z1279" s="3353"/>
      <c r="AA1279" s="3353"/>
      <c r="AB1279" s="3353"/>
      <c r="AC1279" s="3353"/>
      <c r="AD1279" s="3353"/>
      <c r="AE1279" s="3353"/>
      <c r="AF1279" s="3353"/>
      <c r="AG1279" s="3353"/>
      <c r="AH1279" s="3353"/>
      <c r="AI1279" s="3353"/>
      <c r="AJ1279" s="3353"/>
      <c r="AK1279" s="3353"/>
      <c r="AL1279" s="3353"/>
    </row>
    <row r="1280" spans="1:38" s="3309" customFormat="1" ht="15.75" x14ac:dyDescent="0.25">
      <c r="A1280" s="3432" t="s">
        <v>2746</v>
      </c>
      <c r="B1280" s="3431" t="e">
        <f t="shared" ref="B1280:G1280" si="648">IF(B772=1,(27.458*B774-48.908)*B1279,0)</f>
        <v>#VALUE!</v>
      </c>
      <c r="C1280" s="3431">
        <f t="shared" si="648"/>
        <v>0</v>
      </c>
      <c r="D1280" s="3431">
        <f t="shared" si="648"/>
        <v>0</v>
      </c>
      <c r="E1280" s="3431">
        <f t="shared" si="648"/>
        <v>0</v>
      </c>
      <c r="F1280" s="3431">
        <f t="shared" si="648"/>
        <v>0</v>
      </c>
      <c r="G1280" s="3431">
        <f t="shared" si="648"/>
        <v>0</v>
      </c>
      <c r="H1280" s="3353"/>
      <c r="I1280" s="3353"/>
      <c r="J1280" s="3353"/>
      <c r="K1280" s="3353"/>
      <c r="L1280" s="3353"/>
      <c r="M1280" s="3353"/>
      <c r="N1280" s="3353"/>
      <c r="O1280" s="3353"/>
      <c r="P1280" s="3353"/>
      <c r="Q1280" s="3353"/>
      <c r="R1280" s="3353"/>
      <c r="S1280" s="3353"/>
      <c r="T1280" s="3353"/>
      <c r="U1280" s="3353"/>
      <c r="V1280" s="3353"/>
      <c r="W1280" s="3353"/>
      <c r="X1280" s="3353"/>
      <c r="Y1280" s="3353"/>
      <c r="Z1280" s="3353"/>
      <c r="AA1280" s="3353"/>
      <c r="AB1280" s="3353"/>
      <c r="AC1280" s="3353"/>
      <c r="AD1280" s="3353"/>
      <c r="AE1280" s="3353"/>
      <c r="AF1280" s="3353"/>
      <c r="AG1280" s="3353"/>
      <c r="AH1280" s="3353"/>
      <c r="AI1280" s="3353"/>
      <c r="AJ1280" s="3353"/>
      <c r="AK1280" s="3353"/>
      <c r="AL1280" s="3353"/>
    </row>
    <row r="1281" spans="1:38" s="3309" customFormat="1" x14ac:dyDescent="0.2">
      <c r="A1281" s="3587" t="s">
        <v>478</v>
      </c>
      <c r="B1281" s="3586"/>
      <c r="C1281" s="3585"/>
      <c r="D1281" s="3585"/>
      <c r="E1281" s="3585"/>
      <c r="F1281" s="3585"/>
      <c r="G1281" s="3353"/>
      <c r="H1281" s="3353"/>
      <c r="I1281" s="3353"/>
      <c r="J1281" s="3353"/>
      <c r="K1281" s="3353"/>
      <c r="L1281" s="3353"/>
      <c r="M1281" s="3353"/>
      <c r="N1281" s="3353"/>
      <c r="O1281" s="3353"/>
      <c r="P1281" s="3353"/>
      <c r="Q1281" s="3353"/>
      <c r="R1281" s="3353"/>
      <c r="S1281" s="3353"/>
      <c r="T1281" s="3353"/>
      <c r="U1281" s="3353"/>
      <c r="V1281" s="3353"/>
      <c r="W1281" s="3353"/>
      <c r="X1281" s="3353"/>
      <c r="Y1281" s="3353"/>
      <c r="Z1281" s="3353"/>
      <c r="AA1281" s="3353"/>
      <c r="AB1281" s="3353"/>
      <c r="AC1281" s="3353"/>
      <c r="AD1281" s="3353"/>
      <c r="AE1281" s="3353"/>
      <c r="AF1281" s="3353"/>
      <c r="AG1281" s="3353"/>
      <c r="AH1281" s="3353"/>
      <c r="AI1281" s="3353"/>
      <c r="AJ1281" s="3353"/>
      <c r="AK1281" s="3353"/>
      <c r="AL1281" s="3353"/>
    </row>
    <row r="1282" spans="1:38" s="3309" customFormat="1" x14ac:dyDescent="0.2">
      <c r="A1282" s="3410" t="s">
        <v>479</v>
      </c>
      <c r="B1282" s="3584">
        <f t="shared" ref="B1282:G1283" si="649">B168</f>
        <v>2</v>
      </c>
      <c r="C1282" s="3584">
        <f t="shared" si="649"/>
        <v>0</v>
      </c>
      <c r="D1282" s="3584">
        <f t="shared" si="649"/>
        <v>0</v>
      </c>
      <c r="E1282" s="3584">
        <f t="shared" si="649"/>
        <v>0</v>
      </c>
      <c r="F1282" s="3584">
        <f t="shared" si="649"/>
        <v>0</v>
      </c>
      <c r="G1282" s="3584">
        <f t="shared" si="649"/>
        <v>0</v>
      </c>
      <c r="H1282" s="3353"/>
      <c r="I1282" s="3353"/>
      <c r="J1282" s="3353"/>
      <c r="K1282" s="3353"/>
      <c r="L1282" s="3353"/>
      <c r="M1282" s="3353"/>
      <c r="N1282" s="3353"/>
      <c r="O1282" s="3353"/>
      <c r="P1282" s="3353"/>
      <c r="Q1282" s="3353"/>
      <c r="R1282" s="3353"/>
      <c r="S1282" s="3353"/>
      <c r="T1282" s="3353"/>
      <c r="U1282" s="3353"/>
      <c r="V1282" s="3353"/>
      <c r="W1282" s="3353"/>
      <c r="X1282" s="3353"/>
      <c r="Y1282" s="3353"/>
      <c r="Z1282" s="3353"/>
      <c r="AA1282" s="3353"/>
      <c r="AB1282" s="3353"/>
      <c r="AC1282" s="3353"/>
      <c r="AD1282" s="3353"/>
      <c r="AE1282" s="3353"/>
      <c r="AF1282" s="3353"/>
      <c r="AG1282" s="3353"/>
      <c r="AH1282" s="3353"/>
      <c r="AI1282" s="3353"/>
      <c r="AJ1282" s="3353"/>
      <c r="AK1282" s="3353"/>
      <c r="AL1282" s="3353"/>
    </row>
    <row r="1283" spans="1:38" s="3309" customFormat="1" x14ac:dyDescent="0.2">
      <c r="A1283" s="3410" t="s">
        <v>3394</v>
      </c>
      <c r="B1283" s="3584">
        <f t="shared" si="649"/>
        <v>1</v>
      </c>
      <c r="C1283" s="3584">
        <f t="shared" si="649"/>
        <v>1</v>
      </c>
      <c r="D1283" s="3584">
        <f t="shared" si="649"/>
        <v>1</v>
      </c>
      <c r="E1283" s="3584">
        <f t="shared" si="649"/>
        <v>1</v>
      </c>
      <c r="F1283" s="3584">
        <f t="shared" si="649"/>
        <v>1</v>
      </c>
      <c r="G1283" s="3584">
        <f t="shared" si="649"/>
        <v>1</v>
      </c>
      <c r="H1283" s="3353"/>
      <c r="I1283" s="3353"/>
      <c r="J1283" s="3353"/>
      <c r="K1283" s="3353"/>
      <c r="L1283" s="3353"/>
      <c r="M1283" s="3353"/>
      <c r="N1283" s="3353"/>
      <c r="O1283" s="3353"/>
      <c r="P1283" s="3353"/>
      <c r="Q1283" s="3353"/>
      <c r="R1283" s="3353"/>
      <c r="S1283" s="3353"/>
      <c r="T1283" s="3353"/>
      <c r="U1283" s="3353"/>
      <c r="V1283" s="3353"/>
      <c r="W1283" s="3353"/>
      <c r="X1283" s="3353"/>
      <c r="Y1283" s="3353"/>
      <c r="Z1283" s="3353"/>
      <c r="AA1283" s="3353"/>
      <c r="AB1283" s="3353"/>
      <c r="AC1283" s="3353"/>
      <c r="AD1283" s="3353"/>
      <c r="AE1283" s="3353"/>
      <c r="AF1283" s="3353"/>
      <c r="AG1283" s="3353"/>
      <c r="AH1283" s="3353"/>
      <c r="AI1283" s="3353"/>
      <c r="AJ1283" s="3353"/>
      <c r="AK1283" s="3353"/>
      <c r="AL1283" s="3353"/>
    </row>
    <row r="1284" spans="1:38" s="3309" customFormat="1" x14ac:dyDescent="0.2">
      <c r="A1284" s="3411" t="s">
        <v>3395</v>
      </c>
      <c r="B1284" s="3379" t="e">
        <f t="shared" ref="B1284:G1284" si="650">(B735*B739*B1283/B1076)*B736/B1282</f>
        <v>#VALUE!</v>
      </c>
      <c r="C1284" s="3379" t="e">
        <f t="shared" si="650"/>
        <v>#DIV/0!</v>
      </c>
      <c r="D1284" s="3379" t="e">
        <f t="shared" si="650"/>
        <v>#DIV/0!</v>
      </c>
      <c r="E1284" s="3379" t="e">
        <f t="shared" si="650"/>
        <v>#DIV/0!</v>
      </c>
      <c r="F1284" s="3379" t="e">
        <f t="shared" si="650"/>
        <v>#DIV/0!</v>
      </c>
      <c r="G1284" s="3379" t="e">
        <f t="shared" si="650"/>
        <v>#DIV/0!</v>
      </c>
      <c r="H1284" s="3353"/>
      <c r="I1284" s="3353"/>
      <c r="J1284" s="3353"/>
      <c r="K1284" s="3353"/>
      <c r="L1284" s="3353"/>
      <c r="M1284" s="3353"/>
      <c r="N1284" s="3353"/>
      <c r="O1284" s="3353"/>
      <c r="P1284" s="3353"/>
      <c r="Q1284" s="3353"/>
      <c r="R1284" s="3353"/>
      <c r="S1284" s="3353"/>
      <c r="T1284" s="3353"/>
      <c r="U1284" s="3353"/>
      <c r="V1284" s="3353"/>
      <c r="W1284" s="3353"/>
      <c r="X1284" s="3353"/>
      <c r="Y1284" s="3353"/>
      <c r="Z1284" s="3353"/>
      <c r="AA1284" s="3353"/>
      <c r="AB1284" s="3353"/>
      <c r="AC1284" s="3353"/>
      <c r="AD1284" s="3353"/>
      <c r="AE1284" s="3353"/>
      <c r="AF1284" s="3353"/>
      <c r="AG1284" s="3353"/>
      <c r="AH1284" s="3353"/>
      <c r="AI1284" s="3353"/>
      <c r="AJ1284" s="3353"/>
      <c r="AK1284" s="3353"/>
      <c r="AL1284" s="3353"/>
    </row>
    <row r="1285" spans="1:38" s="3309" customFormat="1" x14ac:dyDescent="0.2">
      <c r="A1285" s="3409" t="s">
        <v>3396</v>
      </c>
      <c r="B1285" s="3429">
        <f t="shared" ref="B1285:G1285" si="651">B198</f>
        <v>9</v>
      </c>
      <c r="C1285" s="3429">
        <f t="shared" si="651"/>
        <v>9</v>
      </c>
      <c r="D1285" s="3429">
        <f t="shared" si="651"/>
        <v>9</v>
      </c>
      <c r="E1285" s="3429">
        <f t="shared" si="651"/>
        <v>9</v>
      </c>
      <c r="F1285" s="3429">
        <f t="shared" si="651"/>
        <v>9</v>
      </c>
      <c r="G1285" s="3429">
        <f t="shared" si="651"/>
        <v>9</v>
      </c>
      <c r="H1285" s="3353"/>
      <c r="I1285" s="3353"/>
      <c r="J1285" s="3353"/>
      <c r="K1285" s="3353"/>
      <c r="L1285" s="3353"/>
      <c r="M1285" s="3353"/>
      <c r="N1285" s="3353"/>
      <c r="O1285" s="3353"/>
      <c r="P1285" s="3353"/>
      <c r="Q1285" s="3353"/>
      <c r="R1285" s="3353"/>
      <c r="S1285" s="3353"/>
      <c r="T1285" s="3353"/>
      <c r="U1285" s="3353"/>
      <c r="V1285" s="3353"/>
      <c r="W1285" s="3353"/>
      <c r="X1285" s="3353"/>
      <c r="Y1285" s="3353"/>
      <c r="Z1285" s="3353"/>
      <c r="AA1285" s="3353"/>
      <c r="AB1285" s="3353"/>
      <c r="AC1285" s="3353"/>
      <c r="AD1285" s="3353"/>
      <c r="AE1285" s="3353"/>
      <c r="AF1285" s="3353"/>
      <c r="AG1285" s="3353"/>
      <c r="AH1285" s="3353"/>
      <c r="AI1285" s="3353"/>
      <c r="AJ1285" s="3353"/>
      <c r="AK1285" s="3353"/>
      <c r="AL1285" s="3353"/>
    </row>
    <row r="1286" spans="1:38" s="3309" customFormat="1" x14ac:dyDescent="0.2">
      <c r="A1286" s="3411" t="s">
        <v>6037</v>
      </c>
      <c r="B1286" s="3417" t="e">
        <f t="shared" ref="B1286:G1286" si="652">B1284*B1285</f>
        <v>#VALUE!</v>
      </c>
      <c r="C1286" s="3417" t="e">
        <f t="shared" si="652"/>
        <v>#DIV/0!</v>
      </c>
      <c r="D1286" s="3417" t="e">
        <f t="shared" si="652"/>
        <v>#DIV/0!</v>
      </c>
      <c r="E1286" s="3417" t="e">
        <f t="shared" si="652"/>
        <v>#DIV/0!</v>
      </c>
      <c r="F1286" s="3417" t="e">
        <f t="shared" si="652"/>
        <v>#DIV/0!</v>
      </c>
      <c r="G1286" s="3417" t="e">
        <f t="shared" si="652"/>
        <v>#DIV/0!</v>
      </c>
      <c r="H1286" s="3353"/>
      <c r="I1286" s="3353"/>
      <c r="J1286" s="3353"/>
      <c r="K1286" s="3353"/>
      <c r="L1286" s="3353"/>
      <c r="M1286" s="3353"/>
      <c r="N1286" s="3353"/>
      <c r="O1286" s="3353"/>
      <c r="P1286" s="3353"/>
      <c r="Q1286" s="3353"/>
      <c r="R1286" s="3353"/>
      <c r="S1286" s="3353"/>
      <c r="T1286" s="3353"/>
      <c r="U1286" s="3353"/>
      <c r="V1286" s="3353"/>
      <c r="W1286" s="3353"/>
      <c r="X1286" s="3353"/>
      <c r="Y1286" s="3353"/>
      <c r="Z1286" s="3353"/>
      <c r="AA1286" s="3353"/>
      <c r="AB1286" s="3353"/>
      <c r="AC1286" s="3353"/>
      <c r="AD1286" s="3353"/>
      <c r="AE1286" s="3353"/>
      <c r="AF1286" s="3353"/>
      <c r="AG1286" s="3353"/>
      <c r="AH1286" s="3353"/>
      <c r="AI1286" s="3353"/>
      <c r="AJ1286" s="3353"/>
      <c r="AK1286" s="3353"/>
      <c r="AL1286" s="3353"/>
    </row>
    <row r="1287" spans="1:38" s="3309" customFormat="1" x14ac:dyDescent="0.2">
      <c r="A1287" s="3309" t="s">
        <v>5961</v>
      </c>
      <c r="B1287" s="3323" t="e">
        <f t="shared" ref="B1287:G1287" si="653">B751*B747/(B745*B735*B736*B746*B748)</f>
        <v>#VALUE!</v>
      </c>
      <c r="C1287" s="3323" t="e">
        <f t="shared" si="653"/>
        <v>#DIV/0!</v>
      </c>
      <c r="D1287" s="3323" t="e">
        <f t="shared" si="653"/>
        <v>#DIV/0!</v>
      </c>
      <c r="E1287" s="3323" t="e">
        <f t="shared" si="653"/>
        <v>#DIV/0!</v>
      </c>
      <c r="F1287" s="3323" t="e">
        <f t="shared" si="653"/>
        <v>#DIV/0!</v>
      </c>
      <c r="G1287" s="3323" t="e">
        <f t="shared" si="653"/>
        <v>#DIV/0!</v>
      </c>
      <c r="H1287" s="3353"/>
      <c r="I1287" s="3353"/>
      <c r="J1287" s="3353"/>
      <c r="K1287" s="3353"/>
      <c r="L1287" s="3353"/>
      <c r="M1287" s="3353"/>
      <c r="N1287" s="3353"/>
      <c r="O1287" s="3353"/>
      <c r="P1287" s="3353"/>
      <c r="Q1287" s="3353"/>
      <c r="R1287" s="3353"/>
      <c r="S1287" s="3353"/>
      <c r="T1287" s="3353"/>
      <c r="U1287" s="3353"/>
      <c r="V1287" s="3353"/>
      <c r="W1287" s="3353"/>
      <c r="X1287" s="3353"/>
      <c r="Y1287" s="3353"/>
      <c r="Z1287" s="3353"/>
      <c r="AA1287" s="3353"/>
      <c r="AB1287" s="3353"/>
      <c r="AC1287" s="3353"/>
      <c r="AD1287" s="3353"/>
      <c r="AE1287" s="3353"/>
      <c r="AF1287" s="3353"/>
      <c r="AG1287" s="3353"/>
      <c r="AH1287" s="3353"/>
      <c r="AI1287" s="3353"/>
      <c r="AJ1287" s="3353"/>
      <c r="AK1287" s="3353"/>
      <c r="AL1287" s="3353"/>
    </row>
    <row r="1288" spans="1:38" s="3309" customFormat="1" x14ac:dyDescent="0.2">
      <c r="A1288" s="3309" t="s">
        <v>6036</v>
      </c>
      <c r="B1288" s="3323" t="e">
        <f t="shared" ref="B1288:G1288" si="654">B1286*B1287</f>
        <v>#VALUE!</v>
      </c>
      <c r="C1288" s="3323" t="e">
        <f t="shared" si="654"/>
        <v>#DIV/0!</v>
      </c>
      <c r="D1288" s="3323" t="e">
        <f t="shared" si="654"/>
        <v>#DIV/0!</v>
      </c>
      <c r="E1288" s="3323" t="e">
        <f t="shared" si="654"/>
        <v>#DIV/0!</v>
      </c>
      <c r="F1288" s="3323" t="e">
        <f t="shared" si="654"/>
        <v>#DIV/0!</v>
      </c>
      <c r="G1288" s="3323" t="e">
        <f t="shared" si="654"/>
        <v>#DIV/0!</v>
      </c>
      <c r="H1288" s="3353"/>
      <c r="I1288" s="3353"/>
      <c r="J1288" s="3353"/>
      <c r="K1288" s="3353"/>
      <c r="L1288" s="3353"/>
      <c r="M1288" s="3353"/>
      <c r="N1288" s="3353"/>
      <c r="O1288" s="3353"/>
      <c r="P1288" s="3353"/>
      <c r="Q1288" s="3353"/>
      <c r="R1288" s="3353"/>
      <c r="S1288" s="3353"/>
      <c r="T1288" s="3353"/>
      <c r="U1288" s="3353"/>
      <c r="V1288" s="3353"/>
      <c r="W1288" s="3353"/>
      <c r="X1288" s="3353"/>
      <c r="Y1288" s="3353"/>
      <c r="Z1288" s="3353"/>
      <c r="AA1288" s="3353"/>
      <c r="AB1288" s="3353"/>
      <c r="AC1288" s="3353"/>
      <c r="AD1288" s="3353"/>
      <c r="AE1288" s="3353"/>
      <c r="AF1288" s="3353"/>
      <c r="AG1288" s="3353"/>
      <c r="AH1288" s="3353"/>
      <c r="AI1288" s="3353"/>
      <c r="AJ1288" s="3353"/>
      <c r="AK1288" s="3353"/>
      <c r="AL1288" s="3353"/>
    </row>
    <row r="1289" spans="1:38" s="3309" customFormat="1" x14ac:dyDescent="0.2">
      <c r="A1289" s="3401" t="s">
        <v>6035</v>
      </c>
      <c r="B1289" s="3404">
        <f t="shared" ref="B1289:G1289" si="655">IF(B761=2,B1288,0)</f>
        <v>0</v>
      </c>
      <c r="C1289" s="3404">
        <f t="shared" si="655"/>
        <v>0</v>
      </c>
      <c r="D1289" s="3404">
        <f t="shared" si="655"/>
        <v>0</v>
      </c>
      <c r="E1289" s="3404">
        <f t="shared" si="655"/>
        <v>0</v>
      </c>
      <c r="F1289" s="3404">
        <f t="shared" si="655"/>
        <v>0</v>
      </c>
      <c r="G1289" s="3404">
        <f t="shared" si="655"/>
        <v>0</v>
      </c>
      <c r="H1289" s="3353"/>
      <c r="I1289" s="3353"/>
      <c r="J1289" s="3353"/>
      <c r="K1289" s="3353"/>
      <c r="L1289" s="3353"/>
      <c r="M1289" s="3353"/>
      <c r="N1289" s="3353"/>
      <c r="O1289" s="3353"/>
      <c r="P1289" s="3353"/>
      <c r="Q1289" s="3353"/>
      <c r="R1289" s="3353"/>
      <c r="S1289" s="3353"/>
      <c r="T1289" s="3353"/>
      <c r="U1289" s="3353"/>
      <c r="V1289" s="3353"/>
      <c r="W1289" s="3353"/>
      <c r="X1289" s="3353"/>
      <c r="Y1289" s="3353"/>
      <c r="Z1289" s="3353"/>
      <c r="AA1289" s="3353"/>
      <c r="AB1289" s="3353"/>
      <c r="AC1289" s="3353"/>
      <c r="AD1289" s="3353"/>
      <c r="AE1289" s="3353"/>
      <c r="AF1289" s="3353"/>
      <c r="AG1289" s="3353"/>
      <c r="AH1289" s="3353"/>
      <c r="AI1289" s="3353"/>
      <c r="AJ1289" s="3353"/>
      <c r="AK1289" s="3353"/>
      <c r="AL1289" s="3353"/>
    </row>
    <row r="1290" spans="1:38" s="3309" customFormat="1" x14ac:dyDescent="0.2">
      <c r="A1290" s="3425" t="s">
        <v>3399</v>
      </c>
      <c r="B1290" s="3417"/>
      <c r="C1290" s="3417"/>
      <c r="D1290" s="3417"/>
      <c r="E1290" s="3417"/>
      <c r="F1290" s="3417"/>
      <c r="G1290" s="3353"/>
      <c r="H1290" s="3353"/>
      <c r="I1290" s="3353"/>
      <c r="J1290" s="3353"/>
      <c r="K1290" s="3353"/>
      <c r="L1290" s="3353"/>
      <c r="M1290" s="3353"/>
      <c r="N1290" s="3353"/>
      <c r="O1290" s="3353"/>
      <c r="P1290" s="3353"/>
      <c r="Q1290" s="3353"/>
      <c r="R1290" s="3353"/>
      <c r="S1290" s="3353"/>
      <c r="T1290" s="3353"/>
      <c r="U1290" s="3353"/>
      <c r="V1290" s="3353"/>
      <c r="W1290" s="3353"/>
      <c r="X1290" s="3353"/>
      <c r="Y1290" s="3353"/>
      <c r="Z1290" s="3353"/>
      <c r="AA1290" s="3353"/>
      <c r="AB1290" s="3353"/>
      <c r="AC1290" s="3353"/>
      <c r="AD1290" s="3353"/>
      <c r="AE1290" s="3353"/>
      <c r="AF1290" s="3353"/>
      <c r="AG1290" s="3353"/>
      <c r="AH1290" s="3353"/>
      <c r="AI1290" s="3353"/>
      <c r="AJ1290" s="3353"/>
      <c r="AK1290" s="3353"/>
      <c r="AL1290" s="3353"/>
    </row>
    <row r="1291" spans="1:38" s="3309" customFormat="1" x14ac:dyDescent="0.2">
      <c r="A1291" s="3411" t="s">
        <v>3400</v>
      </c>
      <c r="B1291" s="3417" t="e">
        <f t="shared" ref="B1291:G1291" si="656">(B735*B739/B1076)*B736/B1282</f>
        <v>#VALUE!</v>
      </c>
      <c r="C1291" s="3417" t="e">
        <f t="shared" si="656"/>
        <v>#DIV/0!</v>
      </c>
      <c r="D1291" s="3417" t="e">
        <f t="shared" si="656"/>
        <v>#DIV/0!</v>
      </c>
      <c r="E1291" s="3417" t="e">
        <f t="shared" si="656"/>
        <v>#DIV/0!</v>
      </c>
      <c r="F1291" s="3417" t="e">
        <f t="shared" si="656"/>
        <v>#DIV/0!</v>
      </c>
      <c r="G1291" s="3417" t="e">
        <f t="shared" si="656"/>
        <v>#DIV/0!</v>
      </c>
      <c r="H1291" s="3353"/>
      <c r="I1291" s="3353"/>
      <c r="J1291" s="3353"/>
      <c r="K1291" s="3353"/>
      <c r="L1291" s="3353"/>
      <c r="M1291" s="3353"/>
      <c r="N1291" s="3353"/>
      <c r="O1291" s="3353"/>
      <c r="P1291" s="3353"/>
      <c r="Q1291" s="3353"/>
      <c r="R1291" s="3353"/>
      <c r="S1291" s="3353"/>
      <c r="T1291" s="3353"/>
      <c r="U1291" s="3353"/>
      <c r="V1291" s="3353"/>
      <c r="W1291" s="3353"/>
      <c r="X1291" s="3353"/>
      <c r="Y1291" s="3353"/>
      <c r="Z1291" s="3353"/>
      <c r="AA1291" s="3353"/>
      <c r="AB1291" s="3353"/>
      <c r="AC1291" s="3353"/>
      <c r="AD1291" s="3353"/>
      <c r="AE1291" s="3353"/>
      <c r="AF1291" s="3353"/>
      <c r="AG1291" s="3353"/>
      <c r="AH1291" s="3353"/>
      <c r="AI1291" s="3353"/>
      <c r="AJ1291" s="3353"/>
      <c r="AK1291" s="3353"/>
      <c r="AL1291" s="3353"/>
    </row>
    <row r="1292" spans="1:38" s="3309" customFormat="1" x14ac:dyDescent="0.2">
      <c r="A1292" s="3409" t="s">
        <v>3401</v>
      </c>
      <c r="B1292" s="3429">
        <f t="shared" ref="B1292:G1292" si="657">B199</f>
        <v>3</v>
      </c>
      <c r="C1292" s="3429">
        <f t="shared" si="657"/>
        <v>3</v>
      </c>
      <c r="D1292" s="3429">
        <f t="shared" si="657"/>
        <v>3</v>
      </c>
      <c r="E1292" s="3429">
        <f t="shared" si="657"/>
        <v>3</v>
      </c>
      <c r="F1292" s="3429">
        <f t="shared" si="657"/>
        <v>3</v>
      </c>
      <c r="G1292" s="3429">
        <f t="shared" si="657"/>
        <v>3</v>
      </c>
      <c r="H1292" s="3353"/>
      <c r="I1292" s="3353"/>
      <c r="J1292" s="3353"/>
      <c r="K1292" s="3353"/>
      <c r="L1292" s="3353"/>
      <c r="M1292" s="3353"/>
      <c r="N1292" s="3353"/>
      <c r="O1292" s="3353"/>
      <c r="P1292" s="3353"/>
      <c r="Q1292" s="3353"/>
      <c r="R1292" s="3353"/>
      <c r="S1292" s="3353"/>
      <c r="T1292" s="3353"/>
      <c r="U1292" s="3353"/>
      <c r="V1292" s="3353"/>
      <c r="W1292" s="3353"/>
      <c r="X1292" s="3353"/>
      <c r="Y1292" s="3353"/>
      <c r="Z1292" s="3353"/>
      <c r="AA1292" s="3353"/>
      <c r="AB1292" s="3353"/>
      <c r="AC1292" s="3353"/>
      <c r="AD1292" s="3353"/>
      <c r="AE1292" s="3353"/>
      <c r="AF1292" s="3353"/>
      <c r="AG1292" s="3353"/>
      <c r="AH1292" s="3353"/>
      <c r="AI1292" s="3353"/>
      <c r="AJ1292" s="3353"/>
      <c r="AK1292" s="3353"/>
      <c r="AL1292" s="3353"/>
    </row>
    <row r="1293" spans="1:38" s="3309" customFormat="1" x14ac:dyDescent="0.2">
      <c r="A1293" s="3411" t="s">
        <v>3402</v>
      </c>
      <c r="B1293" s="3417" t="e">
        <f t="shared" ref="B1293:G1293" si="658">B1291*B1292</f>
        <v>#VALUE!</v>
      </c>
      <c r="C1293" s="3417" t="e">
        <f t="shared" si="658"/>
        <v>#DIV/0!</v>
      </c>
      <c r="D1293" s="3417" t="e">
        <f t="shared" si="658"/>
        <v>#DIV/0!</v>
      </c>
      <c r="E1293" s="3417" t="e">
        <f t="shared" si="658"/>
        <v>#DIV/0!</v>
      </c>
      <c r="F1293" s="3417" t="e">
        <f t="shared" si="658"/>
        <v>#DIV/0!</v>
      </c>
      <c r="G1293" s="3417" t="e">
        <f t="shared" si="658"/>
        <v>#DIV/0!</v>
      </c>
      <c r="H1293" s="3353"/>
      <c r="I1293" s="3353"/>
      <c r="J1293" s="3353"/>
      <c r="K1293" s="3353"/>
      <c r="L1293" s="3353"/>
      <c r="M1293" s="3353"/>
      <c r="N1293" s="3353"/>
      <c r="O1293" s="3353"/>
      <c r="P1293" s="3353"/>
      <c r="Q1293" s="3353"/>
      <c r="R1293" s="3353"/>
      <c r="S1293" s="3353"/>
      <c r="T1293" s="3353"/>
      <c r="U1293" s="3353"/>
      <c r="V1293" s="3353"/>
      <c r="W1293" s="3353"/>
      <c r="X1293" s="3353"/>
      <c r="Y1293" s="3353"/>
      <c r="Z1293" s="3353"/>
      <c r="AA1293" s="3353"/>
      <c r="AB1293" s="3353"/>
      <c r="AC1293" s="3353"/>
      <c r="AD1293" s="3353"/>
      <c r="AE1293" s="3353"/>
      <c r="AF1293" s="3353"/>
      <c r="AG1293" s="3353"/>
      <c r="AH1293" s="3353"/>
      <c r="AI1293" s="3353"/>
      <c r="AJ1293" s="3353"/>
      <c r="AK1293" s="3353"/>
      <c r="AL1293" s="3353"/>
    </row>
    <row r="1294" spans="1:38" s="3309" customFormat="1" x14ac:dyDescent="0.2">
      <c r="A1294" s="3323" t="s">
        <v>6034</v>
      </c>
      <c r="B1294" s="3323" t="e">
        <f t="shared" ref="B1294:G1294" si="659">B1293*B1287</f>
        <v>#VALUE!</v>
      </c>
      <c r="C1294" s="3323" t="e">
        <f t="shared" si="659"/>
        <v>#DIV/0!</v>
      </c>
      <c r="D1294" s="3323" t="e">
        <f t="shared" si="659"/>
        <v>#DIV/0!</v>
      </c>
      <c r="E1294" s="3323" t="e">
        <f t="shared" si="659"/>
        <v>#DIV/0!</v>
      </c>
      <c r="F1294" s="3323" t="e">
        <f t="shared" si="659"/>
        <v>#DIV/0!</v>
      </c>
      <c r="G1294" s="3323" t="e">
        <f t="shared" si="659"/>
        <v>#DIV/0!</v>
      </c>
      <c r="H1294" s="3353"/>
      <c r="I1294" s="3353"/>
      <c r="J1294" s="3353"/>
      <c r="K1294" s="3353"/>
      <c r="L1294" s="3353"/>
      <c r="M1294" s="3353"/>
      <c r="N1294" s="3353"/>
      <c r="O1294" s="3353"/>
      <c r="P1294" s="3353"/>
      <c r="Q1294" s="3353"/>
      <c r="R1294" s="3353"/>
      <c r="S1294" s="3353"/>
      <c r="T1294" s="3353"/>
      <c r="U1294" s="3353"/>
      <c r="V1294" s="3353"/>
      <c r="W1294" s="3353"/>
      <c r="X1294" s="3353"/>
      <c r="Y1294" s="3353"/>
      <c r="Z1294" s="3353"/>
      <c r="AA1294" s="3353"/>
      <c r="AB1294" s="3353"/>
      <c r="AC1294" s="3353"/>
      <c r="AD1294" s="3353"/>
      <c r="AE1294" s="3353"/>
      <c r="AF1294" s="3353"/>
      <c r="AG1294" s="3353"/>
      <c r="AH1294" s="3353"/>
      <c r="AI1294" s="3353"/>
      <c r="AJ1294" s="3353"/>
      <c r="AK1294" s="3353"/>
      <c r="AL1294" s="3353"/>
    </row>
    <row r="1295" spans="1:38" s="3309" customFormat="1" x14ac:dyDescent="0.2">
      <c r="A1295" s="3401" t="s">
        <v>6033</v>
      </c>
      <c r="B1295" s="3402">
        <f t="shared" ref="B1295:G1295" si="660">IF(B761=2,B1294,0)</f>
        <v>0</v>
      </c>
      <c r="C1295" s="3402">
        <f t="shared" si="660"/>
        <v>0</v>
      </c>
      <c r="D1295" s="3402">
        <f t="shared" si="660"/>
        <v>0</v>
      </c>
      <c r="E1295" s="3402">
        <f t="shared" si="660"/>
        <v>0</v>
      </c>
      <c r="F1295" s="3402">
        <f t="shared" si="660"/>
        <v>0</v>
      </c>
      <c r="G1295" s="3402">
        <f t="shared" si="660"/>
        <v>0</v>
      </c>
      <c r="H1295" s="3353"/>
      <c r="I1295" s="3353"/>
      <c r="J1295" s="3353"/>
      <c r="K1295" s="3353"/>
      <c r="L1295" s="3353"/>
      <c r="M1295" s="3353"/>
      <c r="N1295" s="3353"/>
      <c r="O1295" s="3353"/>
      <c r="P1295" s="3353"/>
      <c r="Q1295" s="3353"/>
      <c r="R1295" s="3353"/>
      <c r="S1295" s="3353"/>
      <c r="T1295" s="3353"/>
      <c r="U1295" s="3353"/>
      <c r="V1295" s="3353"/>
      <c r="W1295" s="3353"/>
      <c r="X1295" s="3353"/>
      <c r="Y1295" s="3353"/>
      <c r="Z1295" s="3353"/>
      <c r="AA1295" s="3353"/>
      <c r="AB1295" s="3353"/>
      <c r="AC1295" s="3353"/>
      <c r="AD1295" s="3353"/>
      <c r="AE1295" s="3353"/>
      <c r="AF1295" s="3353"/>
      <c r="AG1295" s="3353"/>
      <c r="AH1295" s="3353"/>
      <c r="AI1295" s="3353"/>
      <c r="AJ1295" s="3353"/>
      <c r="AK1295" s="3353"/>
      <c r="AL1295" s="3353"/>
    </row>
    <row r="1296" spans="1:38" s="3309" customFormat="1" x14ac:dyDescent="0.2">
      <c r="A1296" s="3425" t="s">
        <v>3404</v>
      </c>
      <c r="B1296" s="3417"/>
      <c r="C1296" s="3417"/>
      <c r="D1296" s="3417"/>
      <c r="E1296" s="3417"/>
      <c r="F1296" s="3417"/>
      <c r="G1296" s="3353"/>
      <c r="H1296" s="3353"/>
      <c r="I1296" s="3353"/>
      <c r="J1296" s="3353"/>
      <c r="K1296" s="3353"/>
      <c r="L1296" s="3353"/>
      <c r="M1296" s="3353"/>
      <c r="N1296" s="3353"/>
      <c r="O1296" s="3353"/>
      <c r="P1296" s="3353"/>
      <c r="Q1296" s="3353"/>
      <c r="R1296" s="3353"/>
      <c r="S1296" s="3353"/>
      <c r="T1296" s="3353"/>
      <c r="U1296" s="3353"/>
      <c r="V1296" s="3353"/>
      <c r="W1296" s="3353"/>
      <c r="X1296" s="3353"/>
      <c r="Y1296" s="3353"/>
      <c r="Z1296" s="3353"/>
      <c r="AA1296" s="3353"/>
      <c r="AB1296" s="3353"/>
      <c r="AC1296" s="3353"/>
      <c r="AD1296" s="3353"/>
      <c r="AE1296" s="3353"/>
      <c r="AF1296" s="3353"/>
      <c r="AG1296" s="3353"/>
      <c r="AH1296" s="3353"/>
      <c r="AI1296" s="3353"/>
      <c r="AJ1296" s="3353"/>
      <c r="AK1296" s="3353"/>
      <c r="AL1296" s="3353"/>
    </row>
    <row r="1297" spans="1:38" s="3309" customFormat="1" x14ac:dyDescent="0.2">
      <c r="A1297" s="3409" t="s">
        <v>3405</v>
      </c>
      <c r="B1297" s="3428">
        <f t="shared" ref="B1297:G1297" si="661">B203</f>
        <v>20</v>
      </c>
      <c r="C1297" s="3428">
        <f t="shared" si="661"/>
        <v>20</v>
      </c>
      <c r="D1297" s="3428">
        <f t="shared" si="661"/>
        <v>20</v>
      </c>
      <c r="E1297" s="3428">
        <f t="shared" si="661"/>
        <v>20</v>
      </c>
      <c r="F1297" s="3428">
        <f t="shared" si="661"/>
        <v>20</v>
      </c>
      <c r="G1297" s="3428">
        <f t="shared" si="661"/>
        <v>20</v>
      </c>
      <c r="H1297" s="3353"/>
      <c r="I1297" s="3353"/>
      <c r="J1297" s="3353"/>
      <c r="K1297" s="3353"/>
      <c r="L1297" s="3353"/>
      <c r="M1297" s="3353"/>
      <c r="N1297" s="3353"/>
      <c r="O1297" s="3353"/>
      <c r="P1297" s="3353"/>
      <c r="Q1297" s="3353"/>
      <c r="R1297" s="3353"/>
      <c r="S1297" s="3353"/>
      <c r="T1297" s="3353"/>
      <c r="U1297" s="3353"/>
      <c r="V1297" s="3353"/>
      <c r="W1297" s="3353"/>
      <c r="X1297" s="3353"/>
      <c r="Y1297" s="3353"/>
      <c r="Z1297" s="3353"/>
      <c r="AA1297" s="3353"/>
      <c r="AB1297" s="3353"/>
      <c r="AC1297" s="3353"/>
      <c r="AD1297" s="3353"/>
      <c r="AE1297" s="3353"/>
      <c r="AF1297" s="3353"/>
      <c r="AG1297" s="3353"/>
      <c r="AH1297" s="3353"/>
      <c r="AI1297" s="3353"/>
      <c r="AJ1297" s="3353"/>
      <c r="AK1297" s="3353"/>
      <c r="AL1297" s="3353"/>
    </row>
    <row r="1298" spans="1:38" s="3309" customFormat="1" x14ac:dyDescent="0.2">
      <c r="A1298" s="3409" t="s">
        <v>3406</v>
      </c>
      <c r="B1298" s="3428">
        <f t="shared" ref="B1298:G1298" si="662">B202</f>
        <v>20</v>
      </c>
      <c r="C1298" s="3428">
        <f t="shared" si="662"/>
        <v>20</v>
      </c>
      <c r="D1298" s="3428">
        <f t="shared" si="662"/>
        <v>20</v>
      </c>
      <c r="E1298" s="3428">
        <f t="shared" si="662"/>
        <v>20</v>
      </c>
      <c r="F1298" s="3428">
        <f t="shared" si="662"/>
        <v>20</v>
      </c>
      <c r="G1298" s="3428">
        <f t="shared" si="662"/>
        <v>20</v>
      </c>
      <c r="H1298" s="3353"/>
      <c r="I1298" s="3353"/>
      <c r="J1298" s="3353"/>
      <c r="K1298" s="3353"/>
      <c r="L1298" s="3353"/>
      <c r="M1298" s="3353"/>
      <c r="N1298" s="3353"/>
      <c r="O1298" s="3353"/>
      <c r="P1298" s="3353"/>
      <c r="Q1298" s="3353"/>
      <c r="R1298" s="3353"/>
      <c r="S1298" s="3353"/>
      <c r="T1298" s="3353"/>
      <c r="U1298" s="3353"/>
      <c r="V1298" s="3353"/>
      <c r="W1298" s="3353"/>
      <c r="X1298" s="3353"/>
      <c r="Y1298" s="3353"/>
      <c r="Z1298" s="3353"/>
      <c r="AA1298" s="3353"/>
      <c r="AB1298" s="3353"/>
      <c r="AC1298" s="3353"/>
      <c r="AD1298" s="3353"/>
      <c r="AE1298" s="3353"/>
      <c r="AF1298" s="3353"/>
      <c r="AG1298" s="3353"/>
      <c r="AH1298" s="3353"/>
      <c r="AI1298" s="3353"/>
      <c r="AJ1298" s="3353"/>
      <c r="AK1298" s="3353"/>
      <c r="AL1298" s="3353"/>
    </row>
    <row r="1299" spans="1:38" s="3309" customFormat="1" x14ac:dyDescent="0.2">
      <c r="A1299" s="3411" t="s">
        <v>6030</v>
      </c>
      <c r="B1299" s="3379">
        <f t="shared" ref="B1299:G1299" si="663">B1297*B1298</f>
        <v>400</v>
      </c>
      <c r="C1299" s="3379">
        <f t="shared" si="663"/>
        <v>400</v>
      </c>
      <c r="D1299" s="3379">
        <f t="shared" si="663"/>
        <v>400</v>
      </c>
      <c r="E1299" s="3379">
        <f t="shared" si="663"/>
        <v>400</v>
      </c>
      <c r="F1299" s="3379">
        <f t="shared" si="663"/>
        <v>400</v>
      </c>
      <c r="G1299" s="3379">
        <f t="shared" si="663"/>
        <v>400</v>
      </c>
      <c r="H1299" s="3353"/>
      <c r="I1299" s="3353"/>
      <c r="J1299" s="3353"/>
      <c r="K1299" s="3353"/>
      <c r="L1299" s="3353"/>
      <c r="M1299" s="3353"/>
      <c r="N1299" s="3353"/>
      <c r="O1299" s="3353"/>
      <c r="P1299" s="3353"/>
      <c r="Q1299" s="3353"/>
      <c r="R1299" s="3353"/>
      <c r="S1299" s="3353"/>
      <c r="T1299" s="3353"/>
      <c r="U1299" s="3353"/>
      <c r="V1299" s="3353"/>
      <c r="W1299" s="3353"/>
      <c r="X1299" s="3353"/>
      <c r="Y1299" s="3353"/>
      <c r="Z1299" s="3353"/>
      <c r="AA1299" s="3353"/>
      <c r="AB1299" s="3353"/>
      <c r="AC1299" s="3353"/>
      <c r="AD1299" s="3353"/>
      <c r="AE1299" s="3353"/>
      <c r="AF1299" s="3353"/>
      <c r="AG1299" s="3353"/>
      <c r="AH1299" s="3353"/>
      <c r="AI1299" s="3353"/>
      <c r="AJ1299" s="3353"/>
      <c r="AK1299" s="3353"/>
      <c r="AL1299" s="3353"/>
    </row>
    <row r="1300" spans="1:38" s="3309" customFormat="1" x14ac:dyDescent="0.2">
      <c r="A1300" s="3401" t="s">
        <v>6032</v>
      </c>
      <c r="B1300" s="3382">
        <f t="shared" ref="B1300:G1300" si="664">IF(B761=2,B1299,0)</f>
        <v>0</v>
      </c>
      <c r="C1300" s="3382">
        <f t="shared" si="664"/>
        <v>0</v>
      </c>
      <c r="D1300" s="3382">
        <f t="shared" si="664"/>
        <v>0</v>
      </c>
      <c r="E1300" s="3382">
        <f t="shared" si="664"/>
        <v>0</v>
      </c>
      <c r="F1300" s="3382">
        <f t="shared" si="664"/>
        <v>0</v>
      </c>
      <c r="G1300" s="3382">
        <f t="shared" si="664"/>
        <v>0</v>
      </c>
      <c r="H1300" s="3353"/>
      <c r="I1300" s="3353"/>
      <c r="J1300" s="3353"/>
      <c r="K1300" s="3353"/>
      <c r="L1300" s="3353"/>
      <c r="M1300" s="3353"/>
      <c r="N1300" s="3353"/>
      <c r="O1300" s="3353"/>
      <c r="P1300" s="3353"/>
      <c r="Q1300" s="3353"/>
      <c r="R1300" s="3353"/>
      <c r="S1300" s="3353"/>
      <c r="T1300" s="3353"/>
      <c r="U1300" s="3353"/>
      <c r="V1300" s="3353"/>
      <c r="W1300" s="3353"/>
      <c r="X1300" s="3353"/>
      <c r="Y1300" s="3353"/>
      <c r="Z1300" s="3353"/>
      <c r="AA1300" s="3353"/>
      <c r="AB1300" s="3353"/>
      <c r="AC1300" s="3353"/>
      <c r="AD1300" s="3353"/>
      <c r="AE1300" s="3353"/>
      <c r="AF1300" s="3353"/>
      <c r="AG1300" s="3353"/>
      <c r="AH1300" s="3353"/>
      <c r="AI1300" s="3353"/>
      <c r="AJ1300" s="3353"/>
      <c r="AK1300" s="3353"/>
      <c r="AL1300" s="3353"/>
    </row>
    <row r="1301" spans="1:38" s="3309" customFormat="1" x14ac:dyDescent="0.2">
      <c r="A1301" s="3425" t="s">
        <v>3409</v>
      </c>
      <c r="B1301" s="3413"/>
      <c r="C1301" s="3413"/>
      <c r="D1301" s="3413"/>
      <c r="E1301" s="3413"/>
      <c r="F1301" s="3413"/>
      <c r="G1301" s="3353"/>
      <c r="H1301" s="3353"/>
      <c r="I1301" s="3353"/>
      <c r="J1301" s="3353"/>
      <c r="K1301" s="3353"/>
      <c r="L1301" s="3353"/>
      <c r="M1301" s="3353"/>
      <c r="N1301" s="3353"/>
      <c r="O1301" s="3353"/>
      <c r="P1301" s="3353"/>
      <c r="Q1301" s="3353"/>
      <c r="R1301" s="3353"/>
      <c r="S1301" s="3353"/>
      <c r="T1301" s="3353"/>
      <c r="U1301" s="3353"/>
      <c r="V1301" s="3353"/>
      <c r="W1301" s="3353"/>
      <c r="X1301" s="3353"/>
      <c r="Y1301" s="3353"/>
      <c r="Z1301" s="3353"/>
      <c r="AA1301" s="3353"/>
      <c r="AB1301" s="3353"/>
      <c r="AC1301" s="3353"/>
      <c r="AD1301" s="3353"/>
      <c r="AE1301" s="3353"/>
      <c r="AF1301" s="3353"/>
      <c r="AG1301" s="3353"/>
      <c r="AH1301" s="3353"/>
      <c r="AI1301" s="3353"/>
      <c r="AJ1301" s="3353"/>
      <c r="AK1301" s="3353"/>
      <c r="AL1301" s="3353"/>
    </row>
    <row r="1302" spans="1:38" s="3309" customFormat="1" x14ac:dyDescent="0.2">
      <c r="A1302" s="3409" t="s">
        <v>3405</v>
      </c>
      <c r="B1302" s="3428">
        <f t="shared" ref="B1302:G1302" si="665">B205</f>
        <v>10</v>
      </c>
      <c r="C1302" s="3428">
        <f t="shared" si="665"/>
        <v>10</v>
      </c>
      <c r="D1302" s="3428">
        <f t="shared" si="665"/>
        <v>10</v>
      </c>
      <c r="E1302" s="3428">
        <f t="shared" si="665"/>
        <v>10</v>
      </c>
      <c r="F1302" s="3428">
        <f t="shared" si="665"/>
        <v>10</v>
      </c>
      <c r="G1302" s="3428">
        <f t="shared" si="665"/>
        <v>10</v>
      </c>
      <c r="H1302" s="3353"/>
      <c r="I1302" s="3353"/>
      <c r="J1302" s="3353"/>
      <c r="K1302" s="3353"/>
      <c r="L1302" s="3353"/>
      <c r="M1302" s="3353"/>
      <c r="N1302" s="3353"/>
      <c r="O1302" s="3353"/>
      <c r="P1302" s="3353"/>
      <c r="Q1302" s="3353"/>
      <c r="R1302" s="3353"/>
      <c r="S1302" s="3353"/>
      <c r="T1302" s="3353"/>
      <c r="U1302" s="3353"/>
      <c r="V1302" s="3353"/>
      <c r="W1302" s="3353"/>
      <c r="X1302" s="3353"/>
      <c r="Y1302" s="3353"/>
      <c r="Z1302" s="3353"/>
      <c r="AA1302" s="3353"/>
      <c r="AB1302" s="3353"/>
      <c r="AC1302" s="3353"/>
      <c r="AD1302" s="3353"/>
      <c r="AE1302" s="3353"/>
      <c r="AF1302" s="3353"/>
      <c r="AG1302" s="3353"/>
      <c r="AH1302" s="3353"/>
      <c r="AI1302" s="3353"/>
      <c r="AJ1302" s="3353"/>
      <c r="AK1302" s="3353"/>
      <c r="AL1302" s="3353"/>
    </row>
    <row r="1303" spans="1:38" s="3309" customFormat="1" x14ac:dyDescent="0.2">
      <c r="A1303" s="3409" t="s">
        <v>6031</v>
      </c>
      <c r="B1303" s="3428">
        <f t="shared" ref="B1303:G1303" si="666">B204</f>
        <v>30</v>
      </c>
      <c r="C1303" s="3428">
        <f t="shared" si="666"/>
        <v>30</v>
      </c>
      <c r="D1303" s="3428">
        <f t="shared" si="666"/>
        <v>30</v>
      </c>
      <c r="E1303" s="3428">
        <f t="shared" si="666"/>
        <v>30</v>
      </c>
      <c r="F1303" s="3428">
        <f t="shared" si="666"/>
        <v>30</v>
      </c>
      <c r="G1303" s="3428">
        <f t="shared" si="666"/>
        <v>30</v>
      </c>
      <c r="H1303" s="3353"/>
      <c r="I1303" s="3353"/>
      <c r="J1303" s="3353"/>
      <c r="K1303" s="3353"/>
      <c r="L1303" s="3353"/>
      <c r="M1303" s="3353"/>
      <c r="N1303" s="3353"/>
      <c r="O1303" s="3353"/>
      <c r="P1303" s="3353"/>
      <c r="Q1303" s="3353"/>
      <c r="R1303" s="3353"/>
      <c r="S1303" s="3353"/>
      <c r="T1303" s="3353"/>
      <c r="U1303" s="3353"/>
      <c r="V1303" s="3353"/>
      <c r="W1303" s="3353"/>
      <c r="X1303" s="3353"/>
      <c r="Y1303" s="3353"/>
      <c r="Z1303" s="3353"/>
      <c r="AA1303" s="3353"/>
      <c r="AB1303" s="3353"/>
      <c r="AC1303" s="3353"/>
      <c r="AD1303" s="3353"/>
      <c r="AE1303" s="3353"/>
      <c r="AF1303" s="3353"/>
      <c r="AG1303" s="3353"/>
      <c r="AH1303" s="3353"/>
      <c r="AI1303" s="3353"/>
      <c r="AJ1303" s="3353"/>
      <c r="AK1303" s="3353"/>
      <c r="AL1303" s="3353"/>
    </row>
    <row r="1304" spans="1:38" s="3309" customFormat="1" x14ac:dyDescent="0.2">
      <c r="A1304" s="3411" t="s">
        <v>6030</v>
      </c>
      <c r="B1304" s="3379">
        <f t="shared" ref="B1304:G1304" si="667">B1302*B1303</f>
        <v>300</v>
      </c>
      <c r="C1304" s="3379">
        <f t="shared" si="667"/>
        <v>300</v>
      </c>
      <c r="D1304" s="3379">
        <f t="shared" si="667"/>
        <v>300</v>
      </c>
      <c r="E1304" s="3379">
        <f t="shared" si="667"/>
        <v>300</v>
      </c>
      <c r="F1304" s="3379">
        <f t="shared" si="667"/>
        <v>300</v>
      </c>
      <c r="G1304" s="3379">
        <f t="shared" si="667"/>
        <v>300</v>
      </c>
      <c r="H1304" s="3353"/>
      <c r="I1304" s="3353"/>
      <c r="J1304" s="3353"/>
      <c r="K1304" s="3353"/>
      <c r="L1304" s="3353"/>
      <c r="M1304" s="3353"/>
      <c r="N1304" s="3353"/>
      <c r="O1304" s="3353"/>
      <c r="P1304" s="3353"/>
      <c r="Q1304" s="3353"/>
      <c r="R1304" s="3353"/>
      <c r="S1304" s="3353"/>
      <c r="T1304" s="3353"/>
      <c r="U1304" s="3353"/>
      <c r="V1304" s="3353"/>
      <c r="W1304" s="3353"/>
      <c r="X1304" s="3353"/>
      <c r="Y1304" s="3353"/>
      <c r="Z1304" s="3353"/>
      <c r="AA1304" s="3353"/>
      <c r="AB1304" s="3353"/>
      <c r="AC1304" s="3353"/>
      <c r="AD1304" s="3353"/>
      <c r="AE1304" s="3353"/>
      <c r="AF1304" s="3353"/>
      <c r="AG1304" s="3353"/>
      <c r="AH1304" s="3353"/>
      <c r="AI1304" s="3353"/>
      <c r="AJ1304" s="3353"/>
      <c r="AK1304" s="3353"/>
      <c r="AL1304" s="3353"/>
    </row>
    <row r="1305" spans="1:38" s="3309" customFormat="1" x14ac:dyDescent="0.2">
      <c r="A1305" s="3401" t="s">
        <v>6029</v>
      </c>
      <c r="B1305" s="3382">
        <f t="shared" ref="B1305:G1305" si="668">IF(B761=1,B1304,0)</f>
        <v>300</v>
      </c>
      <c r="C1305" s="3382">
        <f t="shared" si="668"/>
        <v>0</v>
      </c>
      <c r="D1305" s="3382">
        <f t="shared" si="668"/>
        <v>0</v>
      </c>
      <c r="E1305" s="3382">
        <f t="shared" si="668"/>
        <v>0</v>
      </c>
      <c r="F1305" s="3382">
        <f t="shared" si="668"/>
        <v>0</v>
      </c>
      <c r="G1305" s="3382">
        <f t="shared" si="668"/>
        <v>0</v>
      </c>
      <c r="H1305" s="3353"/>
      <c r="I1305" s="3353"/>
      <c r="J1305" s="3353"/>
      <c r="K1305" s="3353"/>
      <c r="L1305" s="3353"/>
      <c r="M1305" s="3353"/>
      <c r="N1305" s="3353"/>
      <c r="O1305" s="3353"/>
      <c r="P1305" s="3353"/>
      <c r="Q1305" s="3353"/>
      <c r="R1305" s="3353"/>
      <c r="S1305" s="3353"/>
      <c r="T1305" s="3353"/>
      <c r="U1305" s="3353"/>
      <c r="V1305" s="3353"/>
      <c r="W1305" s="3353"/>
      <c r="X1305" s="3353"/>
      <c r="Y1305" s="3353"/>
      <c r="Z1305" s="3353"/>
      <c r="AA1305" s="3353"/>
      <c r="AB1305" s="3353"/>
      <c r="AC1305" s="3353"/>
      <c r="AD1305" s="3353"/>
      <c r="AE1305" s="3353"/>
      <c r="AF1305" s="3353"/>
      <c r="AG1305" s="3353"/>
      <c r="AH1305" s="3353"/>
      <c r="AI1305" s="3353"/>
      <c r="AJ1305" s="3353"/>
      <c r="AK1305" s="3353"/>
      <c r="AL1305" s="3353"/>
    </row>
    <row r="1306" spans="1:38" s="3309" customFormat="1" ht="31.5" x14ac:dyDescent="0.25">
      <c r="A1306" s="3583" t="s">
        <v>6028</v>
      </c>
      <c r="B1306" s="3412"/>
      <c r="C1306" s="3412"/>
      <c r="D1306" s="3412"/>
      <c r="E1306" s="3412"/>
      <c r="F1306" s="3412"/>
      <c r="G1306" s="3353"/>
      <c r="H1306" s="3353"/>
      <c r="I1306" s="3353"/>
      <c r="J1306" s="3353"/>
      <c r="K1306" s="3353"/>
      <c r="L1306" s="3353"/>
      <c r="M1306" s="3353"/>
      <c r="N1306" s="3353"/>
      <c r="O1306" s="3353"/>
      <c r="P1306" s="3353"/>
      <c r="Q1306" s="3353"/>
      <c r="R1306" s="3353"/>
      <c r="S1306" s="3353"/>
      <c r="T1306" s="3353"/>
      <c r="U1306" s="3353"/>
      <c r="V1306" s="3353"/>
      <c r="W1306" s="3353"/>
      <c r="X1306" s="3353"/>
      <c r="Y1306" s="3353"/>
      <c r="Z1306" s="3353"/>
      <c r="AA1306" s="3353"/>
      <c r="AB1306" s="3353"/>
      <c r="AC1306" s="3353"/>
      <c r="AD1306" s="3353"/>
      <c r="AE1306" s="3353"/>
      <c r="AF1306" s="3353"/>
      <c r="AG1306" s="3353"/>
      <c r="AH1306" s="3353"/>
      <c r="AI1306" s="3353"/>
      <c r="AJ1306" s="3353"/>
      <c r="AK1306" s="3353"/>
      <c r="AL1306" s="3353"/>
    </row>
    <row r="1307" spans="1:38" s="3309" customFormat="1" x14ac:dyDescent="0.2">
      <c r="A1307" s="3425" t="s">
        <v>6027</v>
      </c>
      <c r="B1307" s="3412"/>
      <c r="C1307" s="3412"/>
      <c r="D1307" s="3412"/>
      <c r="E1307" s="3412"/>
      <c r="F1307" s="3412"/>
      <c r="G1307" s="3353"/>
      <c r="H1307" s="3353"/>
      <c r="I1307" s="3353"/>
      <c r="J1307" s="3353"/>
      <c r="K1307" s="3353"/>
      <c r="L1307" s="3353"/>
      <c r="M1307" s="3353"/>
      <c r="N1307" s="3353"/>
      <c r="O1307" s="3353"/>
      <c r="P1307" s="3353"/>
      <c r="Q1307" s="3353"/>
      <c r="R1307" s="3353"/>
      <c r="S1307" s="3353"/>
      <c r="T1307" s="3353"/>
      <c r="U1307" s="3353"/>
      <c r="V1307" s="3353"/>
      <c r="W1307" s="3353"/>
      <c r="X1307" s="3353"/>
      <c r="Y1307" s="3353"/>
      <c r="Z1307" s="3353"/>
      <c r="AA1307" s="3353"/>
      <c r="AB1307" s="3353"/>
      <c r="AC1307" s="3353"/>
      <c r="AD1307" s="3353"/>
      <c r="AE1307" s="3353"/>
      <c r="AF1307" s="3353"/>
      <c r="AG1307" s="3353"/>
      <c r="AH1307" s="3353"/>
      <c r="AI1307" s="3353"/>
      <c r="AJ1307" s="3353"/>
      <c r="AK1307" s="3353"/>
      <c r="AL1307" s="3353"/>
    </row>
    <row r="1308" spans="1:38" s="3309" customFormat="1" x14ac:dyDescent="0.2">
      <c r="A1308" s="3409" t="s">
        <v>6025</v>
      </c>
      <c r="B1308" s="3409">
        <f t="shared" ref="B1308:G1308" si="669">B201</f>
        <v>3000</v>
      </c>
      <c r="C1308" s="3409">
        <f t="shared" si="669"/>
        <v>3000</v>
      </c>
      <c r="D1308" s="3409">
        <f t="shared" si="669"/>
        <v>3000</v>
      </c>
      <c r="E1308" s="3409">
        <f t="shared" si="669"/>
        <v>3000</v>
      </c>
      <c r="F1308" s="3409">
        <f t="shared" si="669"/>
        <v>3000</v>
      </c>
      <c r="G1308" s="3409">
        <f t="shared" si="669"/>
        <v>3000</v>
      </c>
      <c r="H1308" s="3353"/>
      <c r="I1308" s="3353"/>
      <c r="J1308" s="3353"/>
      <c r="K1308" s="3353"/>
      <c r="L1308" s="3353"/>
      <c r="M1308" s="3353"/>
      <c r="N1308" s="3353"/>
      <c r="O1308" s="3353"/>
      <c r="P1308" s="3353"/>
      <c r="Q1308" s="3353"/>
      <c r="R1308" s="3353"/>
      <c r="S1308" s="3353"/>
      <c r="T1308" s="3353"/>
      <c r="U1308" s="3353"/>
      <c r="V1308" s="3353"/>
      <c r="W1308" s="3353"/>
      <c r="X1308" s="3353"/>
      <c r="Y1308" s="3353"/>
      <c r="Z1308" s="3353"/>
      <c r="AA1308" s="3353"/>
      <c r="AB1308" s="3353"/>
      <c r="AC1308" s="3353"/>
      <c r="AD1308" s="3353"/>
      <c r="AE1308" s="3353"/>
      <c r="AF1308" s="3353"/>
      <c r="AG1308" s="3353"/>
      <c r="AH1308" s="3353"/>
      <c r="AI1308" s="3353"/>
      <c r="AJ1308" s="3353"/>
      <c r="AK1308" s="3353"/>
      <c r="AL1308" s="3353"/>
    </row>
    <row r="1309" spans="1:38" s="3309" customFormat="1" x14ac:dyDescent="0.2">
      <c r="A1309" s="3409" t="s">
        <v>6024</v>
      </c>
      <c r="B1309" s="3429">
        <f t="shared" ref="B1309:G1309" si="670">B221</f>
        <v>1.1000000000000001</v>
      </c>
      <c r="C1309" s="3429">
        <f t="shared" si="670"/>
        <v>1.1000000000000001</v>
      </c>
      <c r="D1309" s="3429">
        <f t="shared" si="670"/>
        <v>1.1000000000000001</v>
      </c>
      <c r="E1309" s="3429">
        <f t="shared" si="670"/>
        <v>1.1000000000000001</v>
      </c>
      <c r="F1309" s="3429">
        <f t="shared" si="670"/>
        <v>1.1000000000000001</v>
      </c>
      <c r="G1309" s="3429">
        <f t="shared" si="670"/>
        <v>1.1000000000000001</v>
      </c>
      <c r="H1309" s="3353"/>
      <c r="I1309" s="3353"/>
      <c r="J1309" s="3353"/>
      <c r="K1309" s="3353"/>
      <c r="L1309" s="3353"/>
      <c r="M1309" s="3353"/>
      <c r="N1309" s="3353"/>
      <c r="O1309" s="3353"/>
      <c r="P1309" s="3353"/>
      <c r="Q1309" s="3353"/>
      <c r="R1309" s="3353"/>
      <c r="S1309" s="3353"/>
      <c r="T1309" s="3353"/>
      <c r="U1309" s="3353"/>
      <c r="V1309" s="3353"/>
      <c r="W1309" s="3353"/>
      <c r="X1309" s="3353"/>
      <c r="Y1309" s="3353"/>
      <c r="Z1309" s="3353"/>
      <c r="AA1309" s="3353"/>
      <c r="AB1309" s="3353"/>
      <c r="AC1309" s="3353"/>
      <c r="AD1309" s="3353"/>
      <c r="AE1309" s="3353"/>
      <c r="AF1309" s="3353"/>
      <c r="AG1309" s="3353"/>
      <c r="AH1309" s="3353"/>
      <c r="AI1309" s="3353"/>
      <c r="AJ1309" s="3353"/>
      <c r="AK1309" s="3353"/>
      <c r="AL1309" s="3353"/>
    </row>
    <row r="1310" spans="1:38" s="3309" customFormat="1" x14ac:dyDescent="0.2">
      <c r="A1310" s="3411" t="s">
        <v>6023</v>
      </c>
      <c r="B1310" s="3411">
        <f t="shared" ref="B1310:G1310" si="671">B1308*B1309</f>
        <v>3300.0000000000005</v>
      </c>
      <c r="C1310" s="3411">
        <f t="shared" si="671"/>
        <v>3300.0000000000005</v>
      </c>
      <c r="D1310" s="3411">
        <f t="shared" si="671"/>
        <v>3300.0000000000005</v>
      </c>
      <c r="E1310" s="3411">
        <f t="shared" si="671"/>
        <v>3300.0000000000005</v>
      </c>
      <c r="F1310" s="3411">
        <f t="shared" si="671"/>
        <v>3300.0000000000005</v>
      </c>
      <c r="G1310" s="3411">
        <f t="shared" si="671"/>
        <v>3300.0000000000005</v>
      </c>
      <c r="H1310" s="3353"/>
      <c r="I1310" s="3353"/>
      <c r="J1310" s="3353"/>
      <c r="K1310" s="3353"/>
      <c r="L1310" s="3353"/>
      <c r="M1310" s="3353"/>
      <c r="N1310" s="3353"/>
      <c r="O1310" s="3353"/>
      <c r="P1310" s="3353"/>
      <c r="Q1310" s="3353"/>
      <c r="R1310" s="3353"/>
      <c r="S1310" s="3353"/>
      <c r="T1310" s="3353"/>
      <c r="U1310" s="3353"/>
      <c r="V1310" s="3353"/>
      <c r="W1310" s="3353"/>
      <c r="X1310" s="3353"/>
      <c r="Y1310" s="3353"/>
      <c r="Z1310" s="3353"/>
      <c r="AA1310" s="3353"/>
      <c r="AB1310" s="3353"/>
      <c r="AC1310" s="3353"/>
      <c r="AD1310" s="3353"/>
      <c r="AE1310" s="3353"/>
      <c r="AF1310" s="3353"/>
      <c r="AG1310" s="3353"/>
      <c r="AH1310" s="3353"/>
      <c r="AI1310" s="3353"/>
      <c r="AJ1310" s="3353"/>
      <c r="AK1310" s="3353"/>
      <c r="AL1310" s="3353"/>
    </row>
    <row r="1311" spans="1:38" s="3309" customFormat="1" x14ac:dyDescent="0.2">
      <c r="A1311" s="3410" t="s">
        <v>6022</v>
      </c>
      <c r="B1311" s="3407">
        <f t="shared" ref="B1311:G1311" si="672">B219/12</f>
        <v>2.75</v>
      </c>
      <c r="C1311" s="3407">
        <f t="shared" si="672"/>
        <v>2.75</v>
      </c>
      <c r="D1311" s="3407">
        <f t="shared" si="672"/>
        <v>2.75</v>
      </c>
      <c r="E1311" s="3407">
        <f t="shared" si="672"/>
        <v>2.75</v>
      </c>
      <c r="F1311" s="3407">
        <f t="shared" si="672"/>
        <v>2.75</v>
      </c>
      <c r="G1311" s="3407">
        <f t="shared" si="672"/>
        <v>2.75</v>
      </c>
      <c r="H1311" s="3353"/>
      <c r="I1311" s="3353"/>
      <c r="J1311" s="3353"/>
      <c r="K1311" s="3353"/>
      <c r="L1311" s="3353"/>
      <c r="M1311" s="3353"/>
      <c r="N1311" s="3353"/>
      <c r="O1311" s="3353"/>
      <c r="P1311" s="3353"/>
      <c r="Q1311" s="3353"/>
      <c r="R1311" s="3353"/>
      <c r="S1311" s="3353"/>
      <c r="T1311" s="3353"/>
      <c r="U1311" s="3353"/>
      <c r="V1311" s="3353"/>
      <c r="W1311" s="3353"/>
      <c r="X1311" s="3353"/>
      <c r="Y1311" s="3353"/>
      <c r="Z1311" s="3353"/>
      <c r="AA1311" s="3353"/>
      <c r="AB1311" s="3353"/>
      <c r="AC1311" s="3353"/>
      <c r="AD1311" s="3353"/>
      <c r="AE1311" s="3353"/>
      <c r="AF1311" s="3353"/>
      <c r="AG1311" s="3353"/>
      <c r="AH1311" s="3353"/>
      <c r="AI1311" s="3353"/>
      <c r="AJ1311" s="3353"/>
      <c r="AK1311" s="3353"/>
      <c r="AL1311" s="3353"/>
    </row>
    <row r="1312" spans="1:38" s="3309" customFormat="1" x14ac:dyDescent="0.2">
      <c r="A1312" s="3411" t="s">
        <v>6021</v>
      </c>
      <c r="B1312" s="3426">
        <f t="shared" ref="B1312:G1312" si="673">B1310*B1311/100</f>
        <v>90.750000000000014</v>
      </c>
      <c r="C1312" s="3426">
        <f t="shared" si="673"/>
        <v>90.750000000000014</v>
      </c>
      <c r="D1312" s="3426">
        <f t="shared" si="673"/>
        <v>90.750000000000014</v>
      </c>
      <c r="E1312" s="3426">
        <f t="shared" si="673"/>
        <v>90.750000000000014</v>
      </c>
      <c r="F1312" s="3426">
        <f t="shared" si="673"/>
        <v>90.750000000000014</v>
      </c>
      <c r="G1312" s="3426">
        <f t="shared" si="673"/>
        <v>90.750000000000014</v>
      </c>
      <c r="H1312" s="3353"/>
      <c r="I1312" s="3353"/>
      <c r="J1312" s="3353"/>
      <c r="K1312" s="3353"/>
      <c r="L1312" s="3353"/>
      <c r="M1312" s="3353"/>
      <c r="N1312" s="3353"/>
      <c r="O1312" s="3353"/>
      <c r="P1312" s="3353"/>
      <c r="Q1312" s="3353"/>
      <c r="R1312" s="3353"/>
      <c r="S1312" s="3353"/>
      <c r="T1312" s="3353"/>
      <c r="U1312" s="3353"/>
      <c r="V1312" s="3353"/>
      <c r="W1312" s="3353"/>
      <c r="X1312" s="3353"/>
      <c r="Y1312" s="3353"/>
      <c r="Z1312" s="3353"/>
      <c r="AA1312" s="3353"/>
      <c r="AB1312" s="3353"/>
      <c r="AC1312" s="3353"/>
      <c r="AD1312" s="3353"/>
      <c r="AE1312" s="3353"/>
      <c r="AF1312" s="3353"/>
      <c r="AG1312" s="3353"/>
      <c r="AH1312" s="3353"/>
      <c r="AI1312" s="3353"/>
      <c r="AJ1312" s="3353"/>
      <c r="AK1312" s="3353"/>
      <c r="AL1312" s="3353"/>
    </row>
    <row r="1313" spans="1:38" s="3309" customFormat="1" ht="25.5" x14ac:dyDescent="0.2">
      <c r="A1313" s="3416" t="s">
        <v>6026</v>
      </c>
      <c r="B1313" s="3382">
        <f t="shared" ref="B1313:G1313" si="674">IF(B761=2,B1312,0)</f>
        <v>0</v>
      </c>
      <c r="C1313" s="3382">
        <f t="shared" si="674"/>
        <v>0</v>
      </c>
      <c r="D1313" s="3382">
        <f t="shared" si="674"/>
        <v>0</v>
      </c>
      <c r="E1313" s="3382">
        <f t="shared" si="674"/>
        <v>0</v>
      </c>
      <c r="F1313" s="3382">
        <f t="shared" si="674"/>
        <v>0</v>
      </c>
      <c r="G1313" s="3382">
        <f t="shared" si="674"/>
        <v>0</v>
      </c>
      <c r="H1313" s="3353"/>
      <c r="I1313" s="3353"/>
      <c r="J1313" s="3353"/>
      <c r="K1313" s="3353"/>
      <c r="L1313" s="3353"/>
      <c r="M1313" s="3353"/>
      <c r="N1313" s="3353"/>
      <c r="O1313" s="3353"/>
      <c r="P1313" s="3353"/>
      <c r="Q1313" s="3353"/>
      <c r="R1313" s="3353"/>
      <c r="S1313" s="3353"/>
      <c r="T1313" s="3353"/>
      <c r="U1313" s="3353"/>
      <c r="V1313" s="3353"/>
      <c r="W1313" s="3353"/>
      <c r="X1313" s="3353"/>
      <c r="Y1313" s="3353"/>
      <c r="Z1313" s="3353"/>
      <c r="AA1313" s="3353"/>
      <c r="AB1313" s="3353"/>
      <c r="AC1313" s="3353"/>
      <c r="AD1313" s="3353"/>
      <c r="AE1313" s="3353"/>
      <c r="AF1313" s="3353"/>
      <c r="AG1313" s="3353"/>
      <c r="AH1313" s="3353"/>
      <c r="AI1313" s="3353"/>
      <c r="AJ1313" s="3353"/>
      <c r="AK1313" s="3353"/>
      <c r="AL1313" s="3353"/>
    </row>
    <row r="1314" spans="1:38" s="3309" customFormat="1" x14ac:dyDescent="0.2">
      <c r="A1314" s="3425" t="s">
        <v>5580</v>
      </c>
      <c r="B1314" s="3412"/>
      <c r="C1314" s="3412"/>
      <c r="D1314" s="3412"/>
      <c r="E1314" s="3412"/>
      <c r="F1314" s="3412"/>
      <c r="G1314" s="3353"/>
      <c r="H1314" s="3353"/>
      <c r="I1314" s="3353"/>
      <c r="J1314" s="3353"/>
      <c r="K1314" s="3353"/>
      <c r="L1314" s="3353"/>
      <c r="M1314" s="3353"/>
      <c r="N1314" s="3353"/>
      <c r="O1314" s="3353"/>
      <c r="P1314" s="3353"/>
      <c r="Q1314" s="3353"/>
      <c r="R1314" s="3353"/>
      <c r="S1314" s="3353"/>
      <c r="T1314" s="3353"/>
      <c r="U1314" s="3353"/>
      <c r="V1314" s="3353"/>
      <c r="W1314" s="3353"/>
      <c r="X1314" s="3353"/>
      <c r="Y1314" s="3353"/>
      <c r="Z1314" s="3353"/>
      <c r="AA1314" s="3353"/>
      <c r="AB1314" s="3353"/>
      <c r="AC1314" s="3353"/>
      <c r="AD1314" s="3353"/>
      <c r="AE1314" s="3353"/>
      <c r="AF1314" s="3353"/>
      <c r="AG1314" s="3353"/>
      <c r="AH1314" s="3353"/>
      <c r="AI1314" s="3353"/>
      <c r="AJ1314" s="3353"/>
      <c r="AK1314" s="3353"/>
      <c r="AL1314" s="3353"/>
    </row>
    <row r="1315" spans="1:38" s="3309" customFormat="1" x14ac:dyDescent="0.2">
      <c r="A1315" s="3409" t="s">
        <v>6025</v>
      </c>
      <c r="B1315" s="3409">
        <f t="shared" ref="B1315:G1315" si="675">B206</f>
        <v>4000</v>
      </c>
      <c r="C1315" s="3409">
        <f t="shared" si="675"/>
        <v>4000</v>
      </c>
      <c r="D1315" s="3409">
        <f t="shared" si="675"/>
        <v>4000</v>
      </c>
      <c r="E1315" s="3409">
        <f t="shared" si="675"/>
        <v>4000</v>
      </c>
      <c r="F1315" s="3409">
        <f t="shared" si="675"/>
        <v>4000</v>
      </c>
      <c r="G1315" s="3409">
        <f t="shared" si="675"/>
        <v>4000</v>
      </c>
      <c r="H1315" s="3353"/>
      <c r="I1315" s="3353"/>
      <c r="J1315" s="3353"/>
      <c r="K1315" s="3353"/>
      <c r="L1315" s="3353"/>
      <c r="M1315" s="3353"/>
      <c r="N1315" s="3353"/>
      <c r="O1315" s="3353"/>
      <c r="P1315" s="3353"/>
      <c r="Q1315" s="3353"/>
      <c r="R1315" s="3353"/>
      <c r="S1315" s="3353"/>
      <c r="T1315" s="3353"/>
      <c r="U1315" s="3353"/>
      <c r="V1315" s="3353"/>
      <c r="W1315" s="3353"/>
      <c r="X1315" s="3353"/>
      <c r="Y1315" s="3353"/>
      <c r="Z1315" s="3353"/>
      <c r="AA1315" s="3353"/>
      <c r="AB1315" s="3353"/>
      <c r="AC1315" s="3353"/>
      <c r="AD1315" s="3353"/>
      <c r="AE1315" s="3353"/>
      <c r="AF1315" s="3353"/>
      <c r="AG1315" s="3353"/>
      <c r="AH1315" s="3353"/>
      <c r="AI1315" s="3353"/>
      <c r="AJ1315" s="3353"/>
      <c r="AK1315" s="3353"/>
      <c r="AL1315" s="3353"/>
    </row>
    <row r="1316" spans="1:38" s="3309" customFormat="1" x14ac:dyDescent="0.2">
      <c r="A1316" s="3409" t="s">
        <v>6024</v>
      </c>
      <c r="B1316" s="3409">
        <f t="shared" ref="B1316:G1316" si="676">B221</f>
        <v>1.1000000000000001</v>
      </c>
      <c r="C1316" s="3409">
        <f t="shared" si="676"/>
        <v>1.1000000000000001</v>
      </c>
      <c r="D1316" s="3409">
        <f t="shared" si="676"/>
        <v>1.1000000000000001</v>
      </c>
      <c r="E1316" s="3409">
        <f t="shared" si="676"/>
        <v>1.1000000000000001</v>
      </c>
      <c r="F1316" s="3409">
        <f t="shared" si="676"/>
        <v>1.1000000000000001</v>
      </c>
      <c r="G1316" s="3409">
        <f t="shared" si="676"/>
        <v>1.1000000000000001</v>
      </c>
      <c r="H1316" s="3353"/>
      <c r="I1316" s="3353"/>
      <c r="J1316" s="3353"/>
      <c r="K1316" s="3353"/>
      <c r="L1316" s="3353"/>
      <c r="M1316" s="3353"/>
      <c r="N1316" s="3353"/>
      <c r="O1316" s="3353"/>
      <c r="P1316" s="3353"/>
      <c r="Q1316" s="3353"/>
      <c r="R1316" s="3353"/>
      <c r="S1316" s="3353"/>
      <c r="T1316" s="3353"/>
      <c r="U1316" s="3353"/>
      <c r="V1316" s="3353"/>
      <c r="W1316" s="3353"/>
      <c r="X1316" s="3353"/>
      <c r="Y1316" s="3353"/>
      <c r="Z1316" s="3353"/>
      <c r="AA1316" s="3353"/>
      <c r="AB1316" s="3353"/>
      <c r="AC1316" s="3353"/>
      <c r="AD1316" s="3353"/>
      <c r="AE1316" s="3353"/>
      <c r="AF1316" s="3353"/>
      <c r="AG1316" s="3353"/>
      <c r="AH1316" s="3353"/>
      <c r="AI1316" s="3353"/>
      <c r="AJ1316" s="3353"/>
      <c r="AK1316" s="3353"/>
      <c r="AL1316" s="3353"/>
    </row>
    <row r="1317" spans="1:38" s="3309" customFormat="1" x14ac:dyDescent="0.2">
      <c r="A1317" s="3411" t="s">
        <v>6023</v>
      </c>
      <c r="B1317" s="3411">
        <f t="shared" ref="B1317:G1317" si="677">B1315*B1316</f>
        <v>4400</v>
      </c>
      <c r="C1317" s="3411">
        <f t="shared" si="677"/>
        <v>4400</v>
      </c>
      <c r="D1317" s="3411">
        <f t="shared" si="677"/>
        <v>4400</v>
      </c>
      <c r="E1317" s="3411">
        <f t="shared" si="677"/>
        <v>4400</v>
      </c>
      <c r="F1317" s="3411">
        <f t="shared" si="677"/>
        <v>4400</v>
      </c>
      <c r="G1317" s="3411">
        <f t="shared" si="677"/>
        <v>4400</v>
      </c>
      <c r="H1317" s="3353"/>
      <c r="I1317" s="3353"/>
      <c r="J1317" s="3353"/>
      <c r="K1317" s="3353"/>
      <c r="L1317" s="3353"/>
      <c r="M1317" s="3353"/>
      <c r="N1317" s="3353"/>
      <c r="O1317" s="3353"/>
      <c r="P1317" s="3353"/>
      <c r="Q1317" s="3353"/>
      <c r="R1317" s="3353"/>
      <c r="S1317" s="3353"/>
      <c r="T1317" s="3353"/>
      <c r="U1317" s="3353"/>
      <c r="V1317" s="3353"/>
      <c r="W1317" s="3353"/>
      <c r="X1317" s="3353"/>
      <c r="Y1317" s="3353"/>
      <c r="Z1317" s="3353"/>
      <c r="AA1317" s="3353"/>
      <c r="AB1317" s="3353"/>
      <c r="AC1317" s="3353"/>
      <c r="AD1317" s="3353"/>
      <c r="AE1317" s="3353"/>
      <c r="AF1317" s="3353"/>
      <c r="AG1317" s="3353"/>
      <c r="AH1317" s="3353"/>
      <c r="AI1317" s="3353"/>
      <c r="AJ1317" s="3353"/>
      <c r="AK1317" s="3353"/>
      <c r="AL1317" s="3353"/>
    </row>
    <row r="1318" spans="1:38" s="3309" customFormat="1" x14ac:dyDescent="0.2">
      <c r="A1318" s="3410" t="s">
        <v>6022</v>
      </c>
      <c r="B1318" s="3407">
        <f t="shared" ref="B1318:G1318" si="678">B220/12</f>
        <v>2.75</v>
      </c>
      <c r="C1318" s="3407">
        <f t="shared" si="678"/>
        <v>2.75</v>
      </c>
      <c r="D1318" s="3407">
        <f t="shared" si="678"/>
        <v>2.75</v>
      </c>
      <c r="E1318" s="3407">
        <f t="shared" si="678"/>
        <v>2.75</v>
      </c>
      <c r="F1318" s="3407">
        <f t="shared" si="678"/>
        <v>2.75</v>
      </c>
      <c r="G1318" s="3407">
        <f t="shared" si="678"/>
        <v>2.75</v>
      </c>
      <c r="H1318" s="3353"/>
      <c r="I1318" s="3353"/>
      <c r="J1318" s="3353"/>
      <c r="K1318" s="3353"/>
      <c r="L1318" s="3353"/>
      <c r="M1318" s="3353"/>
      <c r="N1318" s="3353"/>
      <c r="O1318" s="3353"/>
      <c r="P1318" s="3353"/>
      <c r="Q1318" s="3353"/>
      <c r="R1318" s="3353"/>
      <c r="S1318" s="3353"/>
      <c r="T1318" s="3353"/>
      <c r="U1318" s="3353"/>
      <c r="V1318" s="3353"/>
      <c r="W1318" s="3353"/>
      <c r="X1318" s="3353"/>
      <c r="Y1318" s="3353"/>
      <c r="Z1318" s="3353"/>
      <c r="AA1318" s="3353"/>
      <c r="AB1318" s="3353"/>
      <c r="AC1318" s="3353"/>
      <c r="AD1318" s="3353"/>
      <c r="AE1318" s="3353"/>
      <c r="AF1318" s="3353"/>
      <c r="AG1318" s="3353"/>
      <c r="AH1318" s="3353"/>
      <c r="AI1318" s="3353"/>
      <c r="AJ1318" s="3353"/>
      <c r="AK1318" s="3353"/>
      <c r="AL1318" s="3353"/>
    </row>
    <row r="1319" spans="1:38" s="3309" customFormat="1" x14ac:dyDescent="0.2">
      <c r="A1319" s="3411"/>
      <c r="B1319" s="3411"/>
      <c r="C1319" s="3411"/>
      <c r="D1319" s="3411"/>
      <c r="E1319" s="3411"/>
      <c r="F1319" s="3411"/>
      <c r="G1319" s="3353"/>
      <c r="H1319" s="3353"/>
      <c r="I1319" s="3353"/>
      <c r="J1319" s="3353"/>
      <c r="K1319" s="3353"/>
      <c r="L1319" s="3353"/>
      <c r="M1319" s="3353"/>
      <c r="N1319" s="3353"/>
      <c r="O1319" s="3353"/>
      <c r="P1319" s="3353"/>
      <c r="Q1319" s="3353"/>
      <c r="R1319" s="3353"/>
      <c r="S1319" s="3353"/>
      <c r="T1319" s="3353"/>
      <c r="U1319" s="3353"/>
      <c r="V1319" s="3353"/>
      <c r="W1319" s="3353"/>
      <c r="X1319" s="3353"/>
      <c r="Y1319" s="3353"/>
      <c r="Z1319" s="3353"/>
      <c r="AA1319" s="3353"/>
      <c r="AB1319" s="3353"/>
      <c r="AC1319" s="3353"/>
      <c r="AD1319" s="3353"/>
      <c r="AE1319" s="3353"/>
      <c r="AF1319" s="3353"/>
      <c r="AG1319" s="3353"/>
      <c r="AH1319" s="3353"/>
      <c r="AI1319" s="3353"/>
      <c r="AJ1319" s="3353"/>
      <c r="AK1319" s="3353"/>
      <c r="AL1319" s="3353"/>
    </row>
    <row r="1320" spans="1:38" s="3309" customFormat="1" x14ac:dyDescent="0.2">
      <c r="A1320" s="3411" t="s">
        <v>6021</v>
      </c>
      <c r="B1320" s="3424">
        <f t="shared" ref="B1320:G1320" si="679">B1317*B1318/100</f>
        <v>121</v>
      </c>
      <c r="C1320" s="3424">
        <f t="shared" si="679"/>
        <v>121</v>
      </c>
      <c r="D1320" s="3424">
        <f t="shared" si="679"/>
        <v>121</v>
      </c>
      <c r="E1320" s="3424">
        <f t="shared" si="679"/>
        <v>121</v>
      </c>
      <c r="F1320" s="3424">
        <f t="shared" si="679"/>
        <v>121</v>
      </c>
      <c r="G1320" s="3424">
        <f t="shared" si="679"/>
        <v>121</v>
      </c>
      <c r="H1320" s="3353"/>
      <c r="I1320" s="3353"/>
      <c r="J1320" s="3353"/>
      <c r="K1320" s="3353"/>
      <c r="L1320" s="3353"/>
      <c r="M1320" s="3353"/>
      <c r="N1320" s="3353"/>
      <c r="O1320" s="3353"/>
      <c r="P1320" s="3353"/>
      <c r="Q1320" s="3353"/>
      <c r="R1320" s="3353"/>
      <c r="S1320" s="3353"/>
      <c r="T1320" s="3353"/>
      <c r="U1320" s="3353"/>
      <c r="V1320" s="3353"/>
      <c r="W1320" s="3353"/>
      <c r="X1320" s="3353"/>
      <c r="Y1320" s="3353"/>
      <c r="Z1320" s="3353"/>
      <c r="AA1320" s="3353"/>
      <c r="AB1320" s="3353"/>
      <c r="AC1320" s="3353"/>
      <c r="AD1320" s="3353"/>
      <c r="AE1320" s="3353"/>
      <c r="AF1320" s="3353"/>
      <c r="AG1320" s="3353"/>
      <c r="AH1320" s="3353"/>
      <c r="AI1320" s="3353"/>
      <c r="AJ1320" s="3353"/>
      <c r="AK1320" s="3353"/>
      <c r="AL1320" s="3353"/>
    </row>
    <row r="1321" spans="1:38" s="3309" customFormat="1" ht="25.5" x14ac:dyDescent="0.2">
      <c r="A1321" s="3416" t="s">
        <v>6020</v>
      </c>
      <c r="B1321" s="3375">
        <f t="shared" ref="B1321:G1321" si="680">IF(B761=1,B1320,0)</f>
        <v>121</v>
      </c>
      <c r="C1321" s="3375">
        <f t="shared" si="680"/>
        <v>0</v>
      </c>
      <c r="D1321" s="3375">
        <f t="shared" si="680"/>
        <v>0</v>
      </c>
      <c r="E1321" s="3375">
        <f t="shared" si="680"/>
        <v>0</v>
      </c>
      <c r="F1321" s="3375">
        <f t="shared" si="680"/>
        <v>0</v>
      </c>
      <c r="G1321" s="3375">
        <f t="shared" si="680"/>
        <v>0</v>
      </c>
      <c r="H1321" s="3353"/>
      <c r="I1321" s="3353"/>
      <c r="J1321" s="3353"/>
      <c r="K1321" s="3353"/>
      <c r="L1321" s="3353"/>
      <c r="M1321" s="3353"/>
      <c r="N1321" s="3353"/>
      <c r="O1321" s="3353"/>
      <c r="P1321" s="3353"/>
      <c r="Q1321" s="3353"/>
      <c r="R1321" s="3353"/>
      <c r="S1321" s="3353"/>
      <c r="T1321" s="3353"/>
      <c r="U1321" s="3353"/>
      <c r="V1321" s="3353"/>
      <c r="W1321" s="3353"/>
      <c r="X1321" s="3353"/>
      <c r="Y1321" s="3353"/>
      <c r="Z1321" s="3353"/>
      <c r="AA1321" s="3353"/>
      <c r="AB1321" s="3353"/>
      <c r="AC1321" s="3353"/>
      <c r="AD1321" s="3353"/>
      <c r="AE1321" s="3353"/>
      <c r="AF1321" s="3353"/>
      <c r="AG1321" s="3353"/>
      <c r="AH1321" s="3353"/>
      <c r="AI1321" s="3353"/>
      <c r="AJ1321" s="3353"/>
      <c r="AK1321" s="3353"/>
      <c r="AL1321" s="3353"/>
    </row>
    <row r="1322" spans="1:38" s="3309" customFormat="1" x14ac:dyDescent="0.2">
      <c r="A1322" s="3423" t="s">
        <v>6019</v>
      </c>
      <c r="B1322" s="3422" t="e">
        <f t="shared" ref="B1322:G1322" si="681">B1321+B1305+B1300+B1295+B1289+B1278+B1273+B1266+B1258</f>
        <v>#VALUE!</v>
      </c>
      <c r="C1322" s="3422" t="e">
        <f t="shared" si="681"/>
        <v>#DIV/0!</v>
      </c>
      <c r="D1322" s="3422" t="e">
        <f t="shared" si="681"/>
        <v>#DIV/0!</v>
      </c>
      <c r="E1322" s="3422" t="e">
        <f t="shared" si="681"/>
        <v>#DIV/0!</v>
      </c>
      <c r="F1322" s="3422" t="e">
        <f t="shared" si="681"/>
        <v>#DIV/0!</v>
      </c>
      <c r="G1322" s="3422" t="e">
        <f t="shared" si="681"/>
        <v>#DIV/0!</v>
      </c>
      <c r="H1322" s="3353"/>
      <c r="I1322" s="3353"/>
      <c r="J1322" s="3353"/>
      <c r="K1322" s="3353"/>
      <c r="L1322" s="3353"/>
      <c r="M1322" s="3353"/>
      <c r="N1322" s="3353"/>
      <c r="O1322" s="3353"/>
      <c r="P1322" s="3353"/>
      <c r="Q1322" s="3353"/>
      <c r="R1322" s="3353"/>
      <c r="S1322" s="3353"/>
      <c r="T1322" s="3353"/>
      <c r="U1322" s="3353"/>
      <c r="V1322" s="3353"/>
      <c r="W1322" s="3353"/>
      <c r="X1322" s="3353"/>
      <c r="Y1322" s="3353"/>
      <c r="Z1322" s="3353"/>
      <c r="AA1322" s="3353"/>
      <c r="AB1322" s="3353"/>
      <c r="AC1322" s="3353"/>
      <c r="AD1322" s="3353"/>
      <c r="AE1322" s="3353"/>
      <c r="AF1322" s="3353"/>
      <c r="AG1322" s="3353"/>
      <c r="AH1322" s="3353"/>
      <c r="AI1322" s="3353"/>
      <c r="AJ1322" s="3353"/>
      <c r="AK1322" s="3353"/>
      <c r="AL1322" s="3353"/>
    </row>
    <row r="1323" spans="1:38" s="3309" customFormat="1" x14ac:dyDescent="0.2">
      <c r="A1323" s="3331" t="s">
        <v>6018</v>
      </c>
      <c r="B1323" s="3422" t="e">
        <f t="shared" ref="B1323:G1323" si="682">B1258</f>
        <v>#VALUE!</v>
      </c>
      <c r="C1323" s="3422" t="e">
        <f t="shared" si="682"/>
        <v>#DIV/0!</v>
      </c>
      <c r="D1323" s="3422" t="e">
        <f t="shared" si="682"/>
        <v>#DIV/0!</v>
      </c>
      <c r="E1323" s="3422" t="e">
        <f t="shared" si="682"/>
        <v>#DIV/0!</v>
      </c>
      <c r="F1323" s="3422" t="e">
        <f t="shared" si="682"/>
        <v>#DIV/0!</v>
      </c>
      <c r="G1323" s="3422" t="e">
        <f t="shared" si="682"/>
        <v>#DIV/0!</v>
      </c>
      <c r="H1323" s="3353"/>
      <c r="I1323" s="3353"/>
      <c r="J1323" s="3353"/>
      <c r="K1323" s="3353"/>
      <c r="L1323" s="3353"/>
      <c r="M1323" s="3353"/>
      <c r="N1323" s="3353"/>
      <c r="O1323" s="3353"/>
      <c r="P1323" s="3353"/>
      <c r="Q1323" s="3353"/>
      <c r="R1323" s="3353"/>
      <c r="S1323" s="3353"/>
      <c r="T1323" s="3353"/>
      <c r="U1323" s="3353"/>
      <c r="V1323" s="3353"/>
      <c r="W1323" s="3353"/>
      <c r="X1323" s="3353"/>
      <c r="Y1323" s="3353"/>
      <c r="Z1323" s="3353"/>
      <c r="AA1323" s="3353"/>
      <c r="AB1323" s="3353"/>
      <c r="AC1323" s="3353"/>
      <c r="AD1323" s="3353"/>
      <c r="AE1323" s="3353"/>
      <c r="AF1323" s="3353"/>
      <c r="AG1323" s="3353"/>
      <c r="AH1323" s="3353"/>
      <c r="AI1323" s="3353"/>
      <c r="AJ1323" s="3353"/>
      <c r="AK1323" s="3353"/>
      <c r="AL1323" s="3353"/>
    </row>
    <row r="1324" spans="1:38" s="3309" customFormat="1" x14ac:dyDescent="0.2">
      <c r="A1324" s="3412" t="s">
        <v>6017</v>
      </c>
      <c r="B1324" s="3412"/>
      <c r="C1324" s="3412"/>
      <c r="D1324" s="3412"/>
      <c r="E1324" s="3412"/>
      <c r="F1324" s="3412"/>
      <c r="G1324" s="3353"/>
      <c r="H1324" s="3353"/>
      <c r="I1324" s="3353"/>
      <c r="J1324" s="3353"/>
      <c r="K1324" s="3353"/>
      <c r="L1324" s="3353"/>
      <c r="M1324" s="3353"/>
      <c r="N1324" s="3353"/>
      <c r="O1324" s="3353"/>
      <c r="P1324" s="3353"/>
      <c r="Q1324" s="3353"/>
      <c r="R1324" s="3353"/>
      <c r="S1324" s="3353"/>
      <c r="T1324" s="3353"/>
      <c r="U1324" s="3353"/>
      <c r="V1324" s="3353"/>
      <c r="W1324" s="3353"/>
      <c r="X1324" s="3353"/>
      <c r="Y1324" s="3353"/>
      <c r="Z1324" s="3353"/>
      <c r="AA1324" s="3353"/>
      <c r="AB1324" s="3353"/>
      <c r="AC1324" s="3353"/>
      <c r="AD1324" s="3353"/>
      <c r="AE1324" s="3353"/>
      <c r="AF1324" s="3353"/>
      <c r="AG1324" s="3353"/>
      <c r="AH1324" s="3353"/>
      <c r="AI1324" s="3353"/>
      <c r="AJ1324" s="3353"/>
      <c r="AK1324" s="3353"/>
      <c r="AL1324" s="3353"/>
    </row>
    <row r="1325" spans="1:38" s="3309" customFormat="1" x14ac:dyDescent="0.2">
      <c r="A1325" s="3411" t="s">
        <v>6016</v>
      </c>
      <c r="B1325" s="3412"/>
      <c r="C1325" s="3412"/>
      <c r="D1325" s="3412"/>
      <c r="E1325" s="3412"/>
      <c r="F1325" s="3412"/>
      <c r="G1325" s="3353"/>
      <c r="H1325" s="3353"/>
      <c r="I1325" s="3353"/>
      <c r="J1325" s="3353"/>
      <c r="K1325" s="3353"/>
      <c r="L1325" s="3353"/>
      <c r="M1325" s="3353"/>
      <c r="N1325" s="3353"/>
      <c r="O1325" s="3353"/>
      <c r="P1325" s="3353"/>
      <c r="Q1325" s="3353"/>
      <c r="R1325" s="3353"/>
      <c r="S1325" s="3353"/>
      <c r="T1325" s="3353"/>
      <c r="U1325" s="3353"/>
      <c r="V1325" s="3353"/>
      <c r="W1325" s="3353"/>
      <c r="X1325" s="3353"/>
      <c r="Y1325" s="3353"/>
      <c r="Z1325" s="3353"/>
      <c r="AA1325" s="3353"/>
      <c r="AB1325" s="3353"/>
      <c r="AC1325" s="3353"/>
      <c r="AD1325" s="3353"/>
      <c r="AE1325" s="3353"/>
      <c r="AF1325" s="3353"/>
      <c r="AG1325" s="3353"/>
      <c r="AH1325" s="3353"/>
      <c r="AI1325" s="3353"/>
      <c r="AJ1325" s="3353"/>
      <c r="AK1325" s="3353"/>
      <c r="AL1325" s="3353"/>
    </row>
    <row r="1326" spans="1:38" s="3309" customFormat="1" x14ac:dyDescent="0.2">
      <c r="A1326" s="3419" t="s">
        <v>6015</v>
      </c>
      <c r="B1326" s="3412"/>
      <c r="C1326" s="3412"/>
      <c r="D1326" s="3412"/>
      <c r="E1326" s="3412"/>
      <c r="F1326" s="3412"/>
      <c r="G1326" s="3353"/>
      <c r="H1326" s="3353"/>
      <c r="I1326" s="3353"/>
      <c r="J1326" s="3353"/>
      <c r="K1326" s="3353"/>
      <c r="L1326" s="3353"/>
      <c r="M1326" s="3353"/>
      <c r="N1326" s="3353"/>
      <c r="O1326" s="3353"/>
      <c r="P1326" s="3353"/>
      <c r="Q1326" s="3353"/>
      <c r="R1326" s="3353"/>
      <c r="S1326" s="3353"/>
      <c r="T1326" s="3353"/>
      <c r="U1326" s="3353"/>
      <c r="V1326" s="3353"/>
      <c r="W1326" s="3353"/>
      <c r="X1326" s="3353"/>
      <c r="Y1326" s="3353"/>
      <c r="Z1326" s="3353"/>
      <c r="AA1326" s="3353"/>
      <c r="AB1326" s="3353"/>
      <c r="AC1326" s="3353"/>
      <c r="AD1326" s="3353"/>
      <c r="AE1326" s="3353"/>
      <c r="AF1326" s="3353"/>
      <c r="AG1326" s="3353"/>
      <c r="AH1326" s="3353"/>
      <c r="AI1326" s="3353"/>
      <c r="AJ1326" s="3353"/>
      <c r="AK1326" s="3353"/>
      <c r="AL1326" s="3353"/>
    </row>
    <row r="1327" spans="1:38" s="3309" customFormat="1" x14ac:dyDescent="0.2">
      <c r="A1327" s="3418" t="s">
        <v>6014</v>
      </c>
      <c r="B1327" s="3407">
        <f t="shared" ref="B1327:G1327" si="683">B222</f>
        <v>2</v>
      </c>
      <c r="C1327" s="3407">
        <f t="shared" si="683"/>
        <v>2</v>
      </c>
      <c r="D1327" s="3407">
        <f t="shared" si="683"/>
        <v>2</v>
      </c>
      <c r="E1327" s="3407">
        <f t="shared" si="683"/>
        <v>2</v>
      </c>
      <c r="F1327" s="3407">
        <f t="shared" si="683"/>
        <v>2</v>
      </c>
      <c r="G1327" s="3407">
        <f t="shared" si="683"/>
        <v>2</v>
      </c>
      <c r="H1327" s="3353"/>
      <c r="I1327" s="3353"/>
      <c r="J1327" s="3353"/>
      <c r="K1327" s="3353"/>
      <c r="L1327" s="3353"/>
      <c r="M1327" s="3353"/>
      <c r="N1327" s="3353"/>
      <c r="O1327" s="3353"/>
      <c r="P1327" s="3353"/>
      <c r="Q1327" s="3353"/>
      <c r="R1327" s="3353"/>
      <c r="S1327" s="3353"/>
      <c r="T1327" s="3353"/>
      <c r="U1327" s="3353"/>
      <c r="V1327" s="3353"/>
      <c r="W1327" s="3353"/>
      <c r="X1327" s="3353"/>
      <c r="Y1327" s="3353"/>
      <c r="Z1327" s="3353"/>
      <c r="AA1327" s="3353"/>
      <c r="AB1327" s="3353"/>
      <c r="AC1327" s="3353"/>
      <c r="AD1327" s="3353"/>
      <c r="AE1327" s="3353"/>
      <c r="AF1327" s="3353"/>
      <c r="AG1327" s="3353"/>
      <c r="AH1327" s="3353"/>
      <c r="AI1327" s="3353"/>
      <c r="AJ1327" s="3353"/>
      <c r="AK1327" s="3353"/>
      <c r="AL1327" s="3353"/>
    </row>
    <row r="1328" spans="1:38" s="3309" customFormat="1" x14ac:dyDescent="0.2">
      <c r="A1328" s="3410" t="s">
        <v>6013</v>
      </c>
      <c r="B1328" s="3418">
        <v>2</v>
      </c>
      <c r="C1328" s="3418">
        <v>2</v>
      </c>
      <c r="D1328" s="3418">
        <v>2</v>
      </c>
      <c r="E1328" s="3418">
        <v>2</v>
      </c>
      <c r="F1328" s="3418">
        <v>2</v>
      </c>
      <c r="G1328" s="3418">
        <v>2</v>
      </c>
      <c r="H1328" s="3353"/>
      <c r="I1328" s="3353"/>
      <c r="J1328" s="3353"/>
      <c r="K1328" s="3353"/>
      <c r="L1328" s="3353"/>
      <c r="M1328" s="3353"/>
      <c r="N1328" s="3353"/>
      <c r="O1328" s="3353"/>
      <c r="P1328" s="3353"/>
      <c r="Q1328" s="3353"/>
      <c r="R1328" s="3353"/>
      <c r="S1328" s="3353"/>
      <c r="T1328" s="3353"/>
      <c r="U1328" s="3353"/>
      <c r="V1328" s="3353"/>
      <c r="W1328" s="3353"/>
      <c r="X1328" s="3353"/>
      <c r="Y1328" s="3353"/>
      <c r="Z1328" s="3353"/>
      <c r="AA1328" s="3353"/>
      <c r="AB1328" s="3353"/>
      <c r="AC1328" s="3353"/>
      <c r="AD1328" s="3353"/>
      <c r="AE1328" s="3353"/>
      <c r="AF1328" s="3353"/>
      <c r="AG1328" s="3353"/>
      <c r="AH1328" s="3353"/>
      <c r="AI1328" s="3353"/>
      <c r="AJ1328" s="3353"/>
      <c r="AK1328" s="3353"/>
      <c r="AL1328" s="3353"/>
    </row>
    <row r="1329" spans="1:38" s="3309" customFormat="1" x14ac:dyDescent="0.2">
      <c r="A1329" s="3409" t="s">
        <v>6012</v>
      </c>
      <c r="B1329" s="3409">
        <f t="shared" ref="B1329:G1329" si="684">B195</f>
        <v>0.8</v>
      </c>
      <c r="C1329" s="3409">
        <f t="shared" si="684"/>
        <v>0.8</v>
      </c>
      <c r="D1329" s="3409">
        <f t="shared" si="684"/>
        <v>0.8</v>
      </c>
      <c r="E1329" s="3409">
        <f t="shared" si="684"/>
        <v>0.8</v>
      </c>
      <c r="F1329" s="3409">
        <f t="shared" si="684"/>
        <v>0.8</v>
      </c>
      <c r="G1329" s="3409">
        <f t="shared" si="684"/>
        <v>0.8</v>
      </c>
      <c r="H1329" s="3353"/>
      <c r="I1329" s="3353"/>
      <c r="J1329" s="3353"/>
      <c r="K1329" s="3353"/>
      <c r="L1329" s="3353"/>
      <c r="M1329" s="3353"/>
      <c r="N1329" s="3353"/>
      <c r="O1329" s="3353"/>
      <c r="P1329" s="3353"/>
      <c r="Q1329" s="3353"/>
      <c r="R1329" s="3353"/>
      <c r="S1329" s="3353"/>
      <c r="T1329" s="3353"/>
      <c r="U1329" s="3353"/>
      <c r="V1329" s="3353"/>
      <c r="W1329" s="3353"/>
      <c r="X1329" s="3353"/>
      <c r="Y1329" s="3353"/>
      <c r="Z1329" s="3353"/>
      <c r="AA1329" s="3353"/>
      <c r="AB1329" s="3353"/>
      <c r="AC1329" s="3353"/>
      <c r="AD1329" s="3353"/>
      <c r="AE1329" s="3353"/>
      <c r="AF1329" s="3353"/>
      <c r="AG1329" s="3353"/>
      <c r="AH1329" s="3353"/>
      <c r="AI1329" s="3353"/>
      <c r="AJ1329" s="3353"/>
      <c r="AK1329" s="3353"/>
      <c r="AL1329" s="3353"/>
    </row>
    <row r="1330" spans="1:38" s="3309" customFormat="1" x14ac:dyDescent="0.2">
      <c r="A1330" s="3411" t="s">
        <v>6011</v>
      </c>
      <c r="B1330" s="3379" t="e">
        <f t="shared" ref="B1330:G1330" si="685">B1327*(B1328/60)*B1329*B1077</f>
        <v>#VALUE!</v>
      </c>
      <c r="C1330" s="3379" t="e">
        <f t="shared" si="685"/>
        <v>#DIV/0!</v>
      </c>
      <c r="D1330" s="3379" t="e">
        <f t="shared" si="685"/>
        <v>#DIV/0!</v>
      </c>
      <c r="E1330" s="3379" t="e">
        <f t="shared" si="685"/>
        <v>#DIV/0!</v>
      </c>
      <c r="F1330" s="3379" t="e">
        <f t="shared" si="685"/>
        <v>#DIV/0!</v>
      </c>
      <c r="G1330" s="3379" t="e">
        <f t="shared" si="685"/>
        <v>#DIV/0!</v>
      </c>
      <c r="H1330" s="3353"/>
      <c r="I1330" s="3353"/>
      <c r="J1330" s="3353"/>
      <c r="K1330" s="3353"/>
      <c r="L1330" s="3353"/>
      <c r="M1330" s="3353"/>
      <c r="N1330" s="3353"/>
      <c r="O1330" s="3353"/>
      <c r="P1330" s="3353"/>
      <c r="Q1330" s="3353"/>
      <c r="R1330" s="3353"/>
      <c r="S1330" s="3353"/>
      <c r="T1330" s="3353"/>
      <c r="U1330" s="3353"/>
      <c r="V1330" s="3353"/>
      <c r="W1330" s="3353"/>
      <c r="X1330" s="3353"/>
      <c r="Y1330" s="3353"/>
      <c r="Z1330" s="3353"/>
      <c r="AA1330" s="3353"/>
      <c r="AB1330" s="3353"/>
      <c r="AC1330" s="3353"/>
      <c r="AD1330" s="3353"/>
      <c r="AE1330" s="3353"/>
      <c r="AF1330" s="3353"/>
      <c r="AG1330" s="3353"/>
      <c r="AH1330" s="3353"/>
      <c r="AI1330" s="3353"/>
      <c r="AJ1330" s="3353"/>
      <c r="AK1330" s="3353"/>
      <c r="AL1330" s="3353"/>
    </row>
    <row r="1331" spans="1:38" s="3309" customFormat="1" x14ac:dyDescent="0.2">
      <c r="A1331" s="3411" t="s">
        <v>6010</v>
      </c>
      <c r="B1331" s="3379" t="e">
        <f t="shared" ref="B1331:G1331" si="686">B1330*B1287</f>
        <v>#VALUE!</v>
      </c>
      <c r="C1331" s="3379" t="e">
        <f t="shared" si="686"/>
        <v>#DIV/0!</v>
      </c>
      <c r="D1331" s="3379" t="e">
        <f t="shared" si="686"/>
        <v>#DIV/0!</v>
      </c>
      <c r="E1331" s="3379" t="e">
        <f t="shared" si="686"/>
        <v>#DIV/0!</v>
      </c>
      <c r="F1331" s="3379" t="e">
        <f t="shared" si="686"/>
        <v>#DIV/0!</v>
      </c>
      <c r="G1331" s="3379" t="e">
        <f t="shared" si="686"/>
        <v>#DIV/0!</v>
      </c>
      <c r="H1331" s="3353"/>
      <c r="I1331" s="3353"/>
      <c r="J1331" s="3353"/>
      <c r="K1331" s="3353"/>
      <c r="L1331" s="3353"/>
      <c r="M1331" s="3353"/>
      <c r="N1331" s="3353"/>
      <c r="O1331" s="3353"/>
      <c r="P1331" s="3353"/>
      <c r="Q1331" s="3353"/>
      <c r="R1331" s="3353"/>
      <c r="S1331" s="3353"/>
      <c r="T1331" s="3353"/>
      <c r="U1331" s="3353"/>
      <c r="V1331" s="3353"/>
      <c r="W1331" s="3353"/>
      <c r="X1331" s="3353"/>
      <c r="Y1331" s="3353"/>
      <c r="Z1331" s="3353"/>
      <c r="AA1331" s="3353"/>
      <c r="AB1331" s="3353"/>
      <c r="AC1331" s="3353"/>
      <c r="AD1331" s="3353"/>
      <c r="AE1331" s="3353"/>
      <c r="AF1331" s="3353"/>
      <c r="AG1331" s="3353"/>
      <c r="AH1331" s="3353"/>
      <c r="AI1331" s="3353"/>
      <c r="AJ1331" s="3353"/>
      <c r="AK1331" s="3353"/>
      <c r="AL1331" s="3353"/>
    </row>
    <row r="1332" spans="1:38" s="3309" customFormat="1" x14ac:dyDescent="0.2">
      <c r="A1332" s="3421" t="s">
        <v>6009</v>
      </c>
      <c r="B1332" s="3420">
        <f t="shared" ref="B1332:G1332" si="687">IF(B761=2,B1331,0)</f>
        <v>0</v>
      </c>
      <c r="C1332" s="3420">
        <f t="shared" si="687"/>
        <v>0</v>
      </c>
      <c r="D1332" s="3420">
        <f t="shared" si="687"/>
        <v>0</v>
      </c>
      <c r="E1332" s="3420">
        <f t="shared" si="687"/>
        <v>0</v>
      </c>
      <c r="F1332" s="3420">
        <f t="shared" si="687"/>
        <v>0</v>
      </c>
      <c r="G1332" s="3420">
        <f t="shared" si="687"/>
        <v>0</v>
      </c>
      <c r="H1332" s="3353"/>
      <c r="I1332" s="3353"/>
      <c r="J1332" s="3353"/>
      <c r="K1332" s="3353"/>
      <c r="L1332" s="3353"/>
      <c r="M1332" s="3353"/>
      <c r="N1332" s="3353"/>
      <c r="O1332" s="3353"/>
      <c r="P1332" s="3353"/>
      <c r="Q1332" s="3353"/>
      <c r="R1332" s="3353"/>
      <c r="S1332" s="3353"/>
      <c r="T1332" s="3353"/>
      <c r="U1332" s="3353"/>
      <c r="V1332" s="3353"/>
      <c r="W1332" s="3353"/>
      <c r="X1332" s="3353"/>
      <c r="Y1332" s="3353"/>
      <c r="Z1332" s="3353"/>
      <c r="AA1332" s="3353"/>
      <c r="AB1332" s="3353"/>
      <c r="AC1332" s="3353"/>
      <c r="AD1332" s="3353"/>
      <c r="AE1332" s="3353"/>
      <c r="AF1332" s="3353"/>
      <c r="AG1332" s="3353"/>
      <c r="AH1332" s="3353"/>
      <c r="AI1332" s="3353"/>
      <c r="AJ1332" s="3353"/>
      <c r="AK1332" s="3353"/>
      <c r="AL1332" s="3353"/>
    </row>
    <row r="1333" spans="1:38" s="3309" customFormat="1" x14ac:dyDescent="0.2">
      <c r="A1333" s="3419" t="s">
        <v>6008</v>
      </c>
      <c r="B1333" s="3411"/>
      <c r="C1333" s="3411"/>
      <c r="D1333" s="3411"/>
      <c r="E1333" s="3411"/>
      <c r="F1333" s="3411"/>
      <c r="G1333" s="3353"/>
      <c r="H1333" s="3353"/>
      <c r="I1333" s="3353"/>
      <c r="J1333" s="3353"/>
      <c r="K1333" s="3353"/>
      <c r="L1333" s="3353"/>
      <c r="M1333" s="3353"/>
      <c r="N1333" s="3353"/>
      <c r="O1333" s="3353"/>
      <c r="P1333" s="3353"/>
      <c r="Q1333" s="3353"/>
      <c r="R1333" s="3353"/>
      <c r="S1333" s="3353"/>
      <c r="T1333" s="3353"/>
      <c r="U1333" s="3353"/>
      <c r="V1333" s="3353"/>
      <c r="W1333" s="3353"/>
      <c r="X1333" s="3353"/>
      <c r="Y1333" s="3353"/>
      <c r="Z1333" s="3353"/>
      <c r="AA1333" s="3353"/>
      <c r="AB1333" s="3353"/>
      <c r="AC1333" s="3353"/>
      <c r="AD1333" s="3353"/>
      <c r="AE1333" s="3353"/>
      <c r="AF1333" s="3353"/>
      <c r="AG1333" s="3353"/>
      <c r="AH1333" s="3353"/>
      <c r="AI1333" s="3353"/>
      <c r="AJ1333" s="3353"/>
      <c r="AK1333" s="3353"/>
      <c r="AL1333" s="3353"/>
    </row>
    <row r="1334" spans="1:38" s="3309" customFormat="1" x14ac:dyDescent="0.2">
      <c r="A1334" s="3418" t="s">
        <v>6007</v>
      </c>
      <c r="B1334" s="3418">
        <v>3</v>
      </c>
      <c r="C1334" s="3418">
        <v>3</v>
      </c>
      <c r="D1334" s="3418">
        <v>3</v>
      </c>
      <c r="E1334" s="3418">
        <v>3</v>
      </c>
      <c r="F1334" s="3418">
        <v>3</v>
      </c>
      <c r="G1334" s="3418">
        <v>3</v>
      </c>
      <c r="H1334" s="3353"/>
      <c r="I1334" s="3353"/>
      <c r="J1334" s="3353"/>
      <c r="K1334" s="3353"/>
      <c r="L1334" s="3353"/>
      <c r="M1334" s="3353"/>
      <c r="N1334" s="3353"/>
      <c r="O1334" s="3353"/>
      <c r="P1334" s="3353"/>
      <c r="Q1334" s="3353"/>
      <c r="R1334" s="3353"/>
      <c r="S1334" s="3353"/>
      <c r="T1334" s="3353"/>
      <c r="U1334" s="3353"/>
      <c r="V1334" s="3353"/>
      <c r="W1334" s="3353"/>
      <c r="X1334" s="3353"/>
      <c r="Y1334" s="3353"/>
      <c r="Z1334" s="3353"/>
      <c r="AA1334" s="3353"/>
      <c r="AB1334" s="3353"/>
      <c r="AC1334" s="3353"/>
      <c r="AD1334" s="3353"/>
      <c r="AE1334" s="3353"/>
      <c r="AF1334" s="3353"/>
      <c r="AG1334" s="3353"/>
      <c r="AH1334" s="3353"/>
      <c r="AI1334" s="3353"/>
      <c r="AJ1334" s="3353"/>
      <c r="AK1334" s="3353"/>
      <c r="AL1334" s="3353"/>
    </row>
    <row r="1335" spans="1:38" s="3309" customFormat="1" x14ac:dyDescent="0.2">
      <c r="A1335" s="3418" t="s">
        <v>6006</v>
      </c>
      <c r="B1335" s="3418">
        <v>60</v>
      </c>
      <c r="C1335" s="3418">
        <v>60</v>
      </c>
      <c r="D1335" s="3418">
        <v>60</v>
      </c>
      <c r="E1335" s="3418">
        <v>60</v>
      </c>
      <c r="F1335" s="3418">
        <v>60</v>
      </c>
      <c r="G1335" s="3418">
        <v>60</v>
      </c>
      <c r="H1335" s="3353"/>
      <c r="I1335" s="3353"/>
      <c r="J1335" s="3353"/>
      <c r="K1335" s="3353"/>
      <c r="L1335" s="3353"/>
      <c r="M1335" s="3353"/>
      <c r="N1335" s="3353"/>
      <c r="O1335" s="3353"/>
      <c r="P1335" s="3353"/>
      <c r="Q1335" s="3353"/>
      <c r="R1335" s="3353"/>
      <c r="S1335" s="3353"/>
      <c r="T1335" s="3353"/>
      <c r="U1335" s="3353"/>
      <c r="V1335" s="3353"/>
      <c r="W1335" s="3353"/>
      <c r="X1335" s="3353"/>
      <c r="Y1335" s="3353"/>
      <c r="Z1335" s="3353"/>
      <c r="AA1335" s="3353"/>
      <c r="AB1335" s="3353"/>
      <c r="AC1335" s="3353"/>
      <c r="AD1335" s="3353"/>
      <c r="AE1335" s="3353"/>
      <c r="AF1335" s="3353"/>
      <c r="AG1335" s="3353"/>
      <c r="AH1335" s="3353"/>
      <c r="AI1335" s="3353"/>
      <c r="AJ1335" s="3353"/>
      <c r="AK1335" s="3353"/>
      <c r="AL1335" s="3353"/>
    </row>
    <row r="1336" spans="1:38" s="3309" customFormat="1" x14ac:dyDescent="0.2">
      <c r="A1336" s="3411" t="s">
        <v>6005</v>
      </c>
      <c r="B1336" s="3582">
        <v>24</v>
      </c>
      <c r="C1336" s="3582">
        <v>24</v>
      </c>
      <c r="D1336" s="3582">
        <v>24</v>
      </c>
      <c r="E1336" s="3582">
        <v>24</v>
      </c>
      <c r="F1336" s="3582">
        <v>24</v>
      </c>
      <c r="G1336" s="3582">
        <v>24</v>
      </c>
      <c r="H1336" s="3353"/>
      <c r="I1336" s="3353"/>
      <c r="J1336" s="3353"/>
      <c r="K1336" s="3353"/>
      <c r="L1336" s="3353"/>
      <c r="M1336" s="3353"/>
      <c r="N1336" s="3353"/>
      <c r="O1336" s="3353"/>
      <c r="P1336" s="3353"/>
      <c r="Q1336" s="3353"/>
      <c r="R1336" s="3353"/>
      <c r="S1336" s="3353"/>
      <c r="T1336" s="3353"/>
      <c r="U1336" s="3353"/>
      <c r="V1336" s="3353"/>
      <c r="W1336" s="3353"/>
      <c r="X1336" s="3353"/>
      <c r="Y1336" s="3353"/>
      <c r="Z1336" s="3353"/>
      <c r="AA1336" s="3353"/>
      <c r="AB1336" s="3353"/>
      <c r="AC1336" s="3353"/>
      <c r="AD1336" s="3353"/>
      <c r="AE1336" s="3353"/>
      <c r="AF1336" s="3353"/>
      <c r="AG1336" s="3353"/>
      <c r="AH1336" s="3353"/>
      <c r="AI1336" s="3353"/>
      <c r="AJ1336" s="3353"/>
      <c r="AK1336" s="3353"/>
      <c r="AL1336" s="3353"/>
    </row>
    <row r="1337" spans="1:38" s="3309" customFormat="1" ht="25.5" x14ac:dyDescent="0.2">
      <c r="A1337" s="3416" t="s">
        <v>6004</v>
      </c>
      <c r="B1337" s="3415">
        <f t="shared" ref="B1337:G1337" si="688">(B1334*B1335/1000)*B1336*B1329</f>
        <v>3.4560000000000004</v>
      </c>
      <c r="C1337" s="3415">
        <f t="shared" si="688"/>
        <v>3.4560000000000004</v>
      </c>
      <c r="D1337" s="3415">
        <f t="shared" si="688"/>
        <v>3.4560000000000004</v>
      </c>
      <c r="E1337" s="3415">
        <f t="shared" si="688"/>
        <v>3.4560000000000004</v>
      </c>
      <c r="F1337" s="3415">
        <f t="shared" si="688"/>
        <v>3.4560000000000004</v>
      </c>
      <c r="G1337" s="3415">
        <f t="shared" si="688"/>
        <v>3.4560000000000004</v>
      </c>
      <c r="H1337" s="3353"/>
      <c r="I1337" s="3353"/>
      <c r="J1337" s="3353"/>
      <c r="K1337" s="3353"/>
      <c r="L1337" s="3353"/>
      <c r="M1337" s="3353"/>
      <c r="N1337" s="3353"/>
      <c r="O1337" s="3353"/>
      <c r="P1337" s="3353"/>
      <c r="Q1337" s="3353"/>
      <c r="R1337" s="3353"/>
      <c r="S1337" s="3353"/>
      <c r="T1337" s="3353"/>
      <c r="U1337" s="3353"/>
      <c r="V1337" s="3353"/>
      <c r="W1337" s="3353"/>
      <c r="X1337" s="3353"/>
      <c r="Y1337" s="3353"/>
      <c r="Z1337" s="3353"/>
      <c r="AA1337" s="3353"/>
      <c r="AB1337" s="3353"/>
      <c r="AC1337" s="3353"/>
      <c r="AD1337" s="3353"/>
      <c r="AE1337" s="3353"/>
      <c r="AF1337" s="3353"/>
      <c r="AG1337" s="3353"/>
      <c r="AH1337" s="3353"/>
      <c r="AI1337" s="3353"/>
      <c r="AJ1337" s="3353"/>
      <c r="AK1337" s="3353"/>
      <c r="AL1337" s="3353"/>
    </row>
    <row r="1338" spans="1:38" s="3309" customFormat="1" x14ac:dyDescent="0.2">
      <c r="A1338" s="3414"/>
      <c r="B1338" s="3413"/>
      <c r="C1338" s="3413"/>
      <c r="D1338" s="3413"/>
      <c r="E1338" s="3413"/>
      <c r="F1338" s="3413"/>
      <c r="G1338" s="3353"/>
      <c r="H1338" s="3353"/>
      <c r="I1338" s="3353"/>
      <c r="J1338" s="3353"/>
      <c r="K1338" s="3353"/>
      <c r="L1338" s="3353"/>
      <c r="M1338" s="3353"/>
      <c r="N1338" s="3353"/>
      <c r="O1338" s="3353"/>
      <c r="P1338" s="3353"/>
      <c r="Q1338" s="3353"/>
      <c r="R1338" s="3353"/>
      <c r="S1338" s="3353"/>
      <c r="T1338" s="3353"/>
      <c r="U1338" s="3353"/>
      <c r="V1338" s="3353"/>
      <c r="W1338" s="3353"/>
      <c r="X1338" s="3353"/>
      <c r="Y1338" s="3353"/>
      <c r="Z1338" s="3353"/>
      <c r="AA1338" s="3353"/>
      <c r="AB1338" s="3353"/>
      <c r="AC1338" s="3353"/>
      <c r="AD1338" s="3353"/>
      <c r="AE1338" s="3353"/>
      <c r="AF1338" s="3353"/>
      <c r="AG1338" s="3353"/>
      <c r="AH1338" s="3353"/>
      <c r="AI1338" s="3353"/>
      <c r="AJ1338" s="3353"/>
      <c r="AK1338" s="3353"/>
      <c r="AL1338" s="3353"/>
    </row>
    <row r="1339" spans="1:38" s="3309" customFormat="1" x14ac:dyDescent="0.2">
      <c r="A1339" s="3401" t="s">
        <v>6003</v>
      </c>
      <c r="B1339" s="3413"/>
      <c r="C1339" s="3413"/>
      <c r="D1339" s="3413"/>
      <c r="E1339" s="3413"/>
      <c r="F1339" s="3413"/>
      <c r="G1339" s="3353"/>
      <c r="H1339" s="3353"/>
      <c r="I1339" s="3353"/>
      <c r="J1339" s="3353"/>
      <c r="K1339" s="3353"/>
      <c r="L1339" s="3353"/>
      <c r="M1339" s="3353"/>
      <c r="N1339" s="3353"/>
      <c r="O1339" s="3353"/>
      <c r="P1339" s="3353"/>
      <c r="Q1339" s="3353"/>
      <c r="R1339" s="3353"/>
      <c r="S1339" s="3353"/>
      <c r="T1339" s="3353"/>
      <c r="U1339" s="3353"/>
      <c r="V1339" s="3353"/>
      <c r="W1339" s="3353"/>
      <c r="X1339" s="3353"/>
      <c r="Y1339" s="3353"/>
      <c r="Z1339" s="3353"/>
      <c r="AA1339" s="3353"/>
      <c r="AB1339" s="3353"/>
      <c r="AC1339" s="3353"/>
      <c r="AD1339" s="3353"/>
      <c r="AE1339" s="3353"/>
      <c r="AF1339" s="3353"/>
      <c r="AG1339" s="3353"/>
      <c r="AH1339" s="3353"/>
      <c r="AI1339" s="3353"/>
      <c r="AJ1339" s="3353"/>
      <c r="AK1339" s="3353"/>
      <c r="AL1339" s="3353"/>
    </row>
    <row r="1340" spans="1:38" s="3309" customFormat="1" x14ac:dyDescent="0.2">
      <c r="A1340" s="3411" t="s">
        <v>6002</v>
      </c>
      <c r="B1340" s="3411">
        <f t="shared" ref="B1340:G1340" si="689">12*B751</f>
        <v>0</v>
      </c>
      <c r="C1340" s="3411">
        <f t="shared" si="689"/>
        <v>0</v>
      </c>
      <c r="D1340" s="3411">
        <f t="shared" si="689"/>
        <v>0</v>
      </c>
      <c r="E1340" s="3411">
        <f t="shared" si="689"/>
        <v>0</v>
      </c>
      <c r="F1340" s="3411">
        <f t="shared" si="689"/>
        <v>0</v>
      </c>
      <c r="G1340" s="3411">
        <f t="shared" si="689"/>
        <v>0</v>
      </c>
      <c r="H1340" s="3353"/>
      <c r="I1340" s="3353"/>
      <c r="J1340" s="3353"/>
      <c r="K1340" s="3353"/>
      <c r="L1340" s="3353"/>
      <c r="M1340" s="3353"/>
      <c r="N1340" s="3353"/>
      <c r="O1340" s="3353"/>
      <c r="P1340" s="3353"/>
      <c r="Q1340" s="3353"/>
      <c r="R1340" s="3353"/>
      <c r="S1340" s="3353"/>
      <c r="T1340" s="3353"/>
      <c r="U1340" s="3353"/>
      <c r="V1340" s="3353"/>
      <c r="W1340" s="3353"/>
      <c r="X1340" s="3353"/>
      <c r="Y1340" s="3353"/>
      <c r="Z1340" s="3353"/>
      <c r="AA1340" s="3353"/>
      <c r="AB1340" s="3353"/>
      <c r="AC1340" s="3353"/>
      <c r="AD1340" s="3353"/>
      <c r="AE1340" s="3353"/>
      <c r="AF1340" s="3353"/>
      <c r="AG1340" s="3353"/>
      <c r="AH1340" s="3353"/>
      <c r="AI1340" s="3353"/>
      <c r="AJ1340" s="3353"/>
      <c r="AK1340" s="3353"/>
      <c r="AL1340" s="3353"/>
    </row>
    <row r="1341" spans="1:38" s="3309" customFormat="1" x14ac:dyDescent="0.2">
      <c r="A1341" s="3410" t="s">
        <v>6001</v>
      </c>
      <c r="B1341" s="3410">
        <v>45</v>
      </c>
      <c r="C1341" s="3410">
        <v>45</v>
      </c>
      <c r="D1341" s="3410">
        <v>45</v>
      </c>
      <c r="E1341" s="3410">
        <v>45</v>
      </c>
      <c r="F1341" s="3410">
        <v>45</v>
      </c>
      <c r="G1341" s="3410">
        <v>45</v>
      </c>
      <c r="H1341" s="3353"/>
      <c r="I1341" s="3353"/>
      <c r="J1341" s="3353"/>
      <c r="K1341" s="3353"/>
      <c r="L1341" s="3353"/>
      <c r="M1341" s="3353"/>
      <c r="N1341" s="3353"/>
      <c r="O1341" s="3353"/>
      <c r="P1341" s="3353"/>
      <c r="Q1341" s="3353"/>
      <c r="R1341" s="3353"/>
      <c r="S1341" s="3353"/>
      <c r="T1341" s="3353"/>
      <c r="U1341" s="3353"/>
      <c r="V1341" s="3353"/>
      <c r="W1341" s="3353"/>
      <c r="X1341" s="3353"/>
      <c r="Y1341" s="3353"/>
      <c r="Z1341" s="3353"/>
      <c r="AA1341" s="3353"/>
      <c r="AB1341" s="3353"/>
      <c r="AC1341" s="3353"/>
      <c r="AD1341" s="3353"/>
      <c r="AE1341" s="3353"/>
      <c r="AF1341" s="3353"/>
      <c r="AG1341" s="3353"/>
      <c r="AH1341" s="3353"/>
      <c r="AI1341" s="3353"/>
      <c r="AJ1341" s="3353"/>
      <c r="AK1341" s="3353"/>
      <c r="AL1341" s="3353"/>
    </row>
    <row r="1342" spans="1:38" s="3309" customFormat="1" x14ac:dyDescent="0.2">
      <c r="A1342" s="3410" t="s">
        <v>6000</v>
      </c>
      <c r="B1342" s="3410">
        <v>1</v>
      </c>
      <c r="C1342" s="3410">
        <v>1</v>
      </c>
      <c r="D1342" s="3410">
        <v>1</v>
      </c>
      <c r="E1342" s="3410">
        <v>1</v>
      </c>
      <c r="F1342" s="3410">
        <v>1</v>
      </c>
      <c r="G1342" s="3410">
        <v>1</v>
      </c>
      <c r="H1342" s="3353"/>
      <c r="I1342" s="3353"/>
      <c r="J1342" s="3353"/>
      <c r="K1342" s="3353"/>
      <c r="L1342" s="3353"/>
      <c r="M1342" s="3353"/>
      <c r="N1342" s="3353"/>
      <c r="O1342" s="3353"/>
      <c r="P1342" s="3353"/>
      <c r="Q1342" s="3353"/>
      <c r="R1342" s="3353"/>
      <c r="S1342" s="3353"/>
      <c r="T1342" s="3353"/>
      <c r="U1342" s="3353"/>
      <c r="V1342" s="3353"/>
      <c r="W1342" s="3353"/>
      <c r="X1342" s="3353"/>
      <c r="Y1342" s="3353"/>
      <c r="Z1342" s="3353"/>
      <c r="AA1342" s="3353"/>
      <c r="AB1342" s="3353"/>
      <c r="AC1342" s="3353"/>
      <c r="AD1342" s="3353"/>
      <c r="AE1342" s="3353"/>
      <c r="AF1342" s="3353"/>
      <c r="AG1342" s="3353"/>
      <c r="AH1342" s="3353"/>
      <c r="AI1342" s="3353"/>
      <c r="AJ1342" s="3353"/>
      <c r="AK1342" s="3353"/>
      <c r="AL1342" s="3353"/>
    </row>
    <row r="1343" spans="1:38" s="3309" customFormat="1" x14ac:dyDescent="0.2">
      <c r="A1343" s="3410" t="s">
        <v>5999</v>
      </c>
      <c r="B1343" s="3410">
        <v>0.9</v>
      </c>
      <c r="C1343" s="3410">
        <v>0.9</v>
      </c>
      <c r="D1343" s="3410">
        <v>0.9</v>
      </c>
      <c r="E1343" s="3410">
        <v>0.9</v>
      </c>
      <c r="F1343" s="3410">
        <v>0.9</v>
      </c>
      <c r="G1343" s="3410">
        <v>0.9</v>
      </c>
      <c r="H1343" s="3353"/>
      <c r="I1343" s="3353"/>
      <c r="J1343" s="3353"/>
      <c r="K1343" s="3353"/>
      <c r="L1343" s="3353"/>
      <c r="M1343" s="3353"/>
      <c r="N1343" s="3353"/>
      <c r="O1343" s="3353"/>
      <c r="P1343" s="3353"/>
      <c r="Q1343" s="3353"/>
      <c r="R1343" s="3353"/>
      <c r="S1343" s="3353"/>
      <c r="T1343" s="3353"/>
      <c r="U1343" s="3353"/>
      <c r="V1343" s="3353"/>
      <c r="W1343" s="3353"/>
      <c r="X1343" s="3353"/>
      <c r="Y1343" s="3353"/>
      <c r="Z1343" s="3353"/>
      <c r="AA1343" s="3353"/>
      <c r="AB1343" s="3353"/>
      <c r="AC1343" s="3353"/>
      <c r="AD1343" s="3353"/>
      <c r="AE1343" s="3353"/>
      <c r="AF1343" s="3353"/>
      <c r="AG1343" s="3353"/>
      <c r="AH1343" s="3353"/>
      <c r="AI1343" s="3353"/>
      <c r="AJ1343" s="3353"/>
      <c r="AK1343" s="3353"/>
      <c r="AL1343" s="3353"/>
    </row>
    <row r="1344" spans="1:38" s="3309" customFormat="1" x14ac:dyDescent="0.2">
      <c r="A1344" s="3410" t="s">
        <v>5998</v>
      </c>
      <c r="B1344" s="3410">
        <v>0.95</v>
      </c>
      <c r="C1344" s="3410">
        <v>0.95</v>
      </c>
      <c r="D1344" s="3410">
        <v>0.95</v>
      </c>
      <c r="E1344" s="3410">
        <v>0.95</v>
      </c>
      <c r="F1344" s="3410">
        <v>0.95</v>
      </c>
      <c r="G1344" s="3410">
        <v>0.95</v>
      </c>
      <c r="H1344" s="3353"/>
      <c r="I1344" s="3353"/>
      <c r="J1344" s="3353"/>
      <c r="K1344" s="3353"/>
      <c r="L1344" s="3353"/>
      <c r="M1344" s="3353"/>
      <c r="N1344" s="3353"/>
      <c r="O1344" s="3353"/>
      <c r="P1344" s="3353"/>
      <c r="Q1344" s="3353"/>
      <c r="R1344" s="3353"/>
      <c r="S1344" s="3353"/>
      <c r="T1344" s="3353"/>
      <c r="U1344" s="3353"/>
      <c r="V1344" s="3353"/>
      <c r="W1344" s="3353"/>
      <c r="X1344" s="3353"/>
      <c r="Y1344" s="3353"/>
      <c r="Z1344" s="3353"/>
      <c r="AA1344" s="3353"/>
      <c r="AB1344" s="3353"/>
      <c r="AC1344" s="3353"/>
      <c r="AD1344" s="3353"/>
      <c r="AE1344" s="3353"/>
      <c r="AF1344" s="3353"/>
      <c r="AG1344" s="3353"/>
      <c r="AH1344" s="3353"/>
      <c r="AI1344" s="3353"/>
      <c r="AJ1344" s="3353"/>
      <c r="AK1344" s="3353"/>
      <c r="AL1344" s="3353"/>
    </row>
    <row r="1345" spans="1:38" s="3309" customFormat="1" x14ac:dyDescent="0.2">
      <c r="A1345" s="3410" t="s">
        <v>5997</v>
      </c>
      <c r="B1345" s="3410">
        <v>0.25</v>
      </c>
      <c r="C1345" s="3410">
        <v>0.25</v>
      </c>
      <c r="D1345" s="3410">
        <v>0.25</v>
      </c>
      <c r="E1345" s="3410">
        <v>0.25</v>
      </c>
      <c r="F1345" s="3410">
        <v>0.25</v>
      </c>
      <c r="G1345" s="3410">
        <v>0.25</v>
      </c>
      <c r="H1345" s="3353"/>
      <c r="I1345" s="3353"/>
      <c r="J1345" s="3353"/>
      <c r="K1345" s="3353"/>
      <c r="L1345" s="3353"/>
      <c r="M1345" s="3353"/>
      <c r="N1345" s="3353"/>
      <c r="O1345" s="3353"/>
      <c r="P1345" s="3353"/>
      <c r="Q1345" s="3353"/>
      <c r="R1345" s="3353"/>
      <c r="S1345" s="3353"/>
      <c r="T1345" s="3353"/>
      <c r="U1345" s="3353"/>
      <c r="V1345" s="3353"/>
      <c r="W1345" s="3353"/>
      <c r="X1345" s="3353"/>
      <c r="Y1345" s="3353"/>
      <c r="Z1345" s="3353"/>
      <c r="AA1345" s="3353"/>
      <c r="AB1345" s="3353"/>
      <c r="AC1345" s="3353"/>
      <c r="AD1345" s="3353"/>
      <c r="AE1345" s="3353"/>
      <c r="AF1345" s="3353"/>
      <c r="AG1345" s="3353"/>
      <c r="AH1345" s="3353"/>
      <c r="AI1345" s="3353"/>
      <c r="AJ1345" s="3353"/>
      <c r="AK1345" s="3353"/>
      <c r="AL1345" s="3353"/>
    </row>
    <row r="1346" spans="1:38" s="3309" customFormat="1" x14ac:dyDescent="0.2">
      <c r="A1346" s="3410" t="s">
        <v>5996</v>
      </c>
      <c r="B1346" s="3410">
        <v>1.4999999999999999E-2</v>
      </c>
      <c r="C1346" s="3410">
        <v>1.4999999999999999E-2</v>
      </c>
      <c r="D1346" s="3410">
        <v>1.4999999999999999E-2</v>
      </c>
      <c r="E1346" s="3410">
        <v>1.4999999999999999E-2</v>
      </c>
      <c r="F1346" s="3410">
        <v>1.4999999999999999E-2</v>
      </c>
      <c r="G1346" s="3410">
        <v>1.4999999999999999E-2</v>
      </c>
      <c r="H1346" s="3353"/>
      <c r="I1346" s="3353"/>
      <c r="J1346" s="3353"/>
      <c r="K1346" s="3353"/>
      <c r="L1346" s="3353"/>
      <c r="M1346" s="3353"/>
      <c r="N1346" s="3353"/>
      <c r="O1346" s="3353"/>
      <c r="P1346" s="3353"/>
      <c r="Q1346" s="3353"/>
      <c r="R1346" s="3353"/>
      <c r="S1346" s="3353"/>
      <c r="T1346" s="3353"/>
      <c r="U1346" s="3353"/>
      <c r="V1346" s="3353"/>
      <c r="W1346" s="3353"/>
      <c r="X1346" s="3353"/>
      <c r="Y1346" s="3353"/>
      <c r="Z1346" s="3353"/>
      <c r="AA1346" s="3353"/>
      <c r="AB1346" s="3353"/>
      <c r="AC1346" s="3353"/>
      <c r="AD1346" s="3353"/>
      <c r="AE1346" s="3353"/>
      <c r="AF1346" s="3353"/>
      <c r="AG1346" s="3353"/>
      <c r="AH1346" s="3353"/>
      <c r="AI1346" s="3353"/>
      <c r="AJ1346" s="3353"/>
      <c r="AK1346" s="3353"/>
      <c r="AL1346" s="3353"/>
    </row>
    <row r="1347" spans="1:38" s="3309" customFormat="1" x14ac:dyDescent="0.2">
      <c r="A1347" s="3410" t="s">
        <v>5995</v>
      </c>
      <c r="B1347" s="3410">
        <v>0.01</v>
      </c>
      <c r="C1347" s="3410">
        <v>0.01</v>
      </c>
      <c r="D1347" s="3410">
        <v>0.01</v>
      </c>
      <c r="E1347" s="3410">
        <v>0.01</v>
      </c>
      <c r="F1347" s="3410">
        <v>0.01</v>
      </c>
      <c r="G1347" s="3410">
        <v>0.01</v>
      </c>
      <c r="H1347" s="3353"/>
      <c r="I1347" s="3353"/>
      <c r="J1347" s="3353"/>
      <c r="K1347" s="3353"/>
      <c r="L1347" s="3353"/>
      <c r="M1347" s="3353"/>
      <c r="N1347" s="3353"/>
      <c r="O1347" s="3353"/>
      <c r="P1347" s="3353"/>
      <c r="Q1347" s="3353"/>
      <c r="R1347" s="3353"/>
      <c r="S1347" s="3353"/>
      <c r="T1347" s="3353"/>
      <c r="U1347" s="3353"/>
      <c r="V1347" s="3353"/>
      <c r="W1347" s="3353"/>
      <c r="X1347" s="3353"/>
      <c r="Y1347" s="3353"/>
      <c r="Z1347" s="3353"/>
      <c r="AA1347" s="3353"/>
      <c r="AB1347" s="3353"/>
      <c r="AC1347" s="3353"/>
      <c r="AD1347" s="3353"/>
      <c r="AE1347" s="3353"/>
      <c r="AF1347" s="3353"/>
      <c r="AG1347" s="3353"/>
      <c r="AH1347" s="3353"/>
      <c r="AI1347" s="3353"/>
      <c r="AJ1347" s="3353"/>
      <c r="AK1347" s="3353"/>
      <c r="AL1347" s="3353"/>
    </row>
    <row r="1348" spans="1:38" s="3309" customFormat="1" x14ac:dyDescent="0.2">
      <c r="A1348" s="3410" t="s">
        <v>5994</v>
      </c>
      <c r="B1348" s="3410">
        <v>0.85</v>
      </c>
      <c r="C1348" s="3410">
        <v>0.85</v>
      </c>
      <c r="D1348" s="3410">
        <v>0.85</v>
      </c>
      <c r="E1348" s="3410">
        <v>0.85</v>
      </c>
      <c r="F1348" s="3410">
        <v>0.85</v>
      </c>
      <c r="G1348" s="3410">
        <v>0.85</v>
      </c>
      <c r="H1348" s="3353"/>
      <c r="I1348" s="3353"/>
      <c r="J1348" s="3353"/>
      <c r="K1348" s="3353"/>
      <c r="L1348" s="3353"/>
      <c r="M1348" s="3353"/>
      <c r="N1348" s="3353"/>
      <c r="O1348" s="3353"/>
      <c r="P1348" s="3353"/>
      <c r="Q1348" s="3353"/>
      <c r="R1348" s="3353"/>
      <c r="S1348" s="3353"/>
      <c r="T1348" s="3353"/>
      <c r="U1348" s="3353"/>
      <c r="V1348" s="3353"/>
      <c r="W1348" s="3353"/>
      <c r="X1348" s="3353"/>
      <c r="Y1348" s="3353"/>
      <c r="Z1348" s="3353"/>
      <c r="AA1348" s="3353"/>
      <c r="AB1348" s="3353"/>
      <c r="AC1348" s="3353"/>
      <c r="AD1348" s="3353"/>
      <c r="AE1348" s="3353"/>
      <c r="AF1348" s="3353"/>
      <c r="AG1348" s="3353"/>
      <c r="AH1348" s="3353"/>
      <c r="AI1348" s="3353"/>
      <c r="AJ1348" s="3353"/>
      <c r="AK1348" s="3353"/>
      <c r="AL1348" s="3353"/>
    </row>
    <row r="1349" spans="1:38" s="3309" customFormat="1" x14ac:dyDescent="0.2">
      <c r="A1349" s="3411" t="s">
        <v>5993</v>
      </c>
      <c r="B1349" s="3411">
        <f t="shared" ref="B1349:G1349" si="690">((B1348*B1341*B1342*B1340*B1351+(1-B1348)*B1345*B1341*B1342*B1340*B1351)/(B1343*B1344))*(1+B1346+B1347)</f>
        <v>0</v>
      </c>
      <c r="C1349" s="3411">
        <f t="shared" si="690"/>
        <v>0</v>
      </c>
      <c r="D1349" s="3411">
        <f t="shared" si="690"/>
        <v>0</v>
      </c>
      <c r="E1349" s="3411">
        <f t="shared" si="690"/>
        <v>0</v>
      </c>
      <c r="F1349" s="3411">
        <f t="shared" si="690"/>
        <v>0</v>
      </c>
      <c r="G1349" s="3411">
        <f t="shared" si="690"/>
        <v>0</v>
      </c>
      <c r="H1349" s="3353"/>
      <c r="I1349" s="3353"/>
      <c r="J1349" s="3353"/>
      <c r="K1349" s="3353"/>
      <c r="L1349" s="3353"/>
      <c r="M1349" s="3353"/>
      <c r="N1349" s="3353"/>
      <c r="O1349" s="3353"/>
      <c r="P1349" s="3353"/>
      <c r="Q1349" s="3353"/>
      <c r="R1349" s="3353"/>
      <c r="S1349" s="3353"/>
      <c r="T1349" s="3353"/>
      <c r="U1349" s="3353"/>
      <c r="V1349" s="3353"/>
      <c r="W1349" s="3353"/>
      <c r="X1349" s="3353"/>
      <c r="Y1349" s="3353"/>
      <c r="Z1349" s="3353"/>
      <c r="AA1349" s="3353"/>
      <c r="AB1349" s="3353"/>
      <c r="AC1349" s="3353"/>
      <c r="AD1349" s="3353"/>
      <c r="AE1349" s="3353"/>
      <c r="AF1349" s="3353"/>
      <c r="AG1349" s="3353"/>
      <c r="AH1349" s="3353"/>
      <c r="AI1349" s="3353"/>
      <c r="AJ1349" s="3353"/>
      <c r="AK1349" s="3353"/>
      <c r="AL1349" s="3353"/>
    </row>
    <row r="1350" spans="1:38" s="3309" customFormat="1" x14ac:dyDescent="0.2">
      <c r="A1350" s="3412"/>
      <c r="B1350" s="3412"/>
      <c r="C1350" s="3412"/>
      <c r="D1350" s="3412"/>
      <c r="E1350" s="3412"/>
      <c r="F1350" s="3412"/>
      <c r="G1350" s="3353"/>
      <c r="H1350" s="3353"/>
      <c r="I1350" s="3353"/>
      <c r="J1350" s="3353"/>
      <c r="K1350" s="3353"/>
      <c r="L1350" s="3353"/>
      <c r="M1350" s="3353"/>
      <c r="N1350" s="3353"/>
      <c r="O1350" s="3353"/>
      <c r="P1350" s="3353"/>
      <c r="Q1350" s="3353"/>
      <c r="R1350" s="3353"/>
      <c r="S1350" s="3353"/>
      <c r="T1350" s="3353"/>
      <c r="U1350" s="3353"/>
      <c r="V1350" s="3353"/>
      <c r="W1350" s="3353"/>
      <c r="X1350" s="3353"/>
      <c r="Y1350" s="3353"/>
      <c r="Z1350" s="3353"/>
      <c r="AA1350" s="3353"/>
      <c r="AB1350" s="3353"/>
      <c r="AC1350" s="3353"/>
      <c r="AD1350" s="3353"/>
      <c r="AE1350" s="3353"/>
      <c r="AF1350" s="3353"/>
      <c r="AG1350" s="3353"/>
      <c r="AH1350" s="3353"/>
      <c r="AI1350" s="3353"/>
      <c r="AJ1350" s="3353"/>
      <c r="AK1350" s="3353"/>
      <c r="AL1350" s="3353"/>
    </row>
    <row r="1351" spans="1:38" s="3309" customFormat="1" x14ac:dyDescent="0.2">
      <c r="A1351" s="3410" t="s">
        <v>5992</v>
      </c>
      <c r="B1351" s="3410">
        <v>6</v>
      </c>
      <c r="C1351" s="3410">
        <v>6</v>
      </c>
      <c r="D1351" s="3410">
        <v>6</v>
      </c>
      <c r="E1351" s="3410">
        <v>6</v>
      </c>
      <c r="F1351" s="3410">
        <v>6</v>
      </c>
      <c r="G1351" s="3410">
        <v>6</v>
      </c>
      <c r="H1351" s="3353"/>
      <c r="I1351" s="3353"/>
      <c r="J1351" s="3353"/>
      <c r="K1351" s="3353"/>
      <c r="L1351" s="3353"/>
      <c r="M1351" s="3353"/>
      <c r="N1351" s="3353"/>
      <c r="O1351" s="3353"/>
      <c r="P1351" s="3353"/>
      <c r="Q1351" s="3353"/>
      <c r="R1351" s="3353"/>
      <c r="S1351" s="3353"/>
      <c r="T1351" s="3353"/>
      <c r="U1351" s="3353"/>
      <c r="V1351" s="3353"/>
      <c r="W1351" s="3353"/>
      <c r="X1351" s="3353"/>
      <c r="Y1351" s="3353"/>
      <c r="Z1351" s="3353"/>
      <c r="AA1351" s="3353"/>
      <c r="AB1351" s="3353"/>
      <c r="AC1351" s="3353"/>
      <c r="AD1351" s="3353"/>
      <c r="AE1351" s="3353"/>
      <c r="AF1351" s="3353"/>
      <c r="AG1351" s="3353"/>
      <c r="AH1351" s="3353"/>
      <c r="AI1351" s="3353"/>
      <c r="AJ1351" s="3353"/>
      <c r="AK1351" s="3353"/>
      <c r="AL1351" s="3353"/>
    </row>
    <row r="1352" spans="1:38" s="3309" customFormat="1" x14ac:dyDescent="0.2">
      <c r="A1352" s="3410" t="s">
        <v>5991</v>
      </c>
      <c r="B1352" s="3410">
        <v>7.5</v>
      </c>
      <c r="C1352" s="3410">
        <v>7.5</v>
      </c>
      <c r="D1352" s="3410">
        <v>7.5</v>
      </c>
      <c r="E1352" s="3410">
        <v>7.5</v>
      </c>
      <c r="F1352" s="3410">
        <v>7.5</v>
      </c>
      <c r="G1352" s="3410">
        <v>7.5</v>
      </c>
      <c r="H1352" s="3353"/>
      <c r="I1352" s="3353"/>
      <c r="J1352" s="3353"/>
      <c r="K1352" s="3353"/>
      <c r="L1352" s="3353"/>
      <c r="M1352" s="3353"/>
      <c r="N1352" s="3353"/>
      <c r="O1352" s="3353"/>
      <c r="P1352" s="3353"/>
      <c r="Q1352" s="3353"/>
      <c r="R1352" s="3353"/>
      <c r="S1352" s="3353"/>
      <c r="T1352" s="3353"/>
      <c r="U1352" s="3353"/>
      <c r="V1352" s="3353"/>
      <c r="W1352" s="3353"/>
      <c r="X1352" s="3353"/>
      <c r="Y1352" s="3353"/>
      <c r="Z1352" s="3353"/>
      <c r="AA1352" s="3353"/>
      <c r="AB1352" s="3353"/>
      <c r="AC1352" s="3353"/>
      <c r="AD1352" s="3353"/>
      <c r="AE1352" s="3353"/>
      <c r="AF1352" s="3353"/>
      <c r="AG1352" s="3353"/>
      <c r="AH1352" s="3353"/>
      <c r="AI1352" s="3353"/>
      <c r="AJ1352" s="3353"/>
      <c r="AK1352" s="3353"/>
      <c r="AL1352" s="3353"/>
    </row>
    <row r="1353" spans="1:38" s="3309" customFormat="1" x14ac:dyDescent="0.2">
      <c r="A1353" s="3407" t="s">
        <v>5990</v>
      </c>
      <c r="B1353" s="3407">
        <f t="shared" ref="B1353:G1353" si="691">B1352*60</f>
        <v>450</v>
      </c>
      <c r="C1353" s="3407">
        <f t="shared" si="691"/>
        <v>450</v>
      </c>
      <c r="D1353" s="3407">
        <f t="shared" si="691"/>
        <v>450</v>
      </c>
      <c r="E1353" s="3407">
        <f t="shared" si="691"/>
        <v>450</v>
      </c>
      <c r="F1353" s="3407">
        <f t="shared" si="691"/>
        <v>450</v>
      </c>
      <c r="G1353" s="3407">
        <f t="shared" si="691"/>
        <v>450</v>
      </c>
      <c r="H1353" s="3353"/>
      <c r="I1353" s="3353"/>
      <c r="J1353" s="3353"/>
      <c r="K1353" s="3353"/>
      <c r="L1353" s="3353"/>
      <c r="M1353" s="3353"/>
      <c r="N1353" s="3353"/>
      <c r="O1353" s="3353"/>
      <c r="P1353" s="3353"/>
      <c r="Q1353" s="3353"/>
      <c r="R1353" s="3353"/>
      <c r="S1353" s="3353"/>
      <c r="T1353" s="3353"/>
      <c r="U1353" s="3353"/>
      <c r="V1353" s="3353"/>
      <c r="W1353" s="3353"/>
      <c r="X1353" s="3353"/>
      <c r="Y1353" s="3353"/>
      <c r="Z1353" s="3353"/>
      <c r="AA1353" s="3353"/>
      <c r="AB1353" s="3353"/>
      <c r="AC1353" s="3353"/>
      <c r="AD1353" s="3353"/>
      <c r="AE1353" s="3353"/>
      <c r="AF1353" s="3353"/>
      <c r="AG1353" s="3353"/>
      <c r="AH1353" s="3353"/>
      <c r="AI1353" s="3353"/>
      <c r="AJ1353" s="3353"/>
      <c r="AK1353" s="3353"/>
      <c r="AL1353" s="3353"/>
    </row>
    <row r="1354" spans="1:38" s="3309" customFormat="1" x14ac:dyDescent="0.2">
      <c r="A1354" s="3411" t="s">
        <v>5989</v>
      </c>
      <c r="B1354" s="3411">
        <f t="shared" ref="B1354:G1354" si="692">60*B1348*B1340*B1351*B1353</f>
        <v>0</v>
      </c>
      <c r="C1354" s="3411">
        <f t="shared" si="692"/>
        <v>0</v>
      </c>
      <c r="D1354" s="3411">
        <f t="shared" si="692"/>
        <v>0</v>
      </c>
      <c r="E1354" s="3411">
        <f t="shared" si="692"/>
        <v>0</v>
      </c>
      <c r="F1354" s="3411">
        <f t="shared" si="692"/>
        <v>0</v>
      </c>
      <c r="G1354" s="3411">
        <f t="shared" si="692"/>
        <v>0</v>
      </c>
      <c r="H1354" s="3353"/>
      <c r="I1354" s="3353"/>
      <c r="J1354" s="3353"/>
      <c r="K1354" s="3353"/>
      <c r="L1354" s="3353"/>
      <c r="M1354" s="3353"/>
      <c r="N1354" s="3353"/>
      <c r="O1354" s="3353"/>
      <c r="P1354" s="3353"/>
      <c r="Q1354" s="3353"/>
      <c r="R1354" s="3353"/>
      <c r="S1354" s="3353"/>
      <c r="T1354" s="3353"/>
      <c r="U1354" s="3353"/>
      <c r="V1354" s="3353"/>
      <c r="W1354" s="3353"/>
      <c r="X1354" s="3353"/>
      <c r="Y1354" s="3353"/>
      <c r="Z1354" s="3353"/>
      <c r="AA1354" s="3353"/>
      <c r="AB1354" s="3353"/>
      <c r="AC1354" s="3353"/>
      <c r="AD1354" s="3353"/>
      <c r="AE1354" s="3353"/>
      <c r="AF1354" s="3353"/>
      <c r="AG1354" s="3353"/>
      <c r="AH1354" s="3353"/>
      <c r="AI1354" s="3353"/>
      <c r="AJ1354" s="3353"/>
      <c r="AK1354" s="3353"/>
      <c r="AL1354" s="3353"/>
    </row>
    <row r="1355" spans="1:38" s="3309" customFormat="1" x14ac:dyDescent="0.2">
      <c r="A1355" s="3412"/>
      <c r="B1355" s="3412"/>
      <c r="C1355" s="3412"/>
      <c r="D1355" s="3412"/>
      <c r="E1355" s="3412"/>
      <c r="F1355" s="3412"/>
      <c r="G1355" s="3412"/>
      <c r="H1355" s="3353"/>
      <c r="I1355" s="3353"/>
      <c r="J1355" s="3353"/>
      <c r="K1355" s="3353"/>
      <c r="L1355" s="3353"/>
      <c r="M1355" s="3353"/>
      <c r="N1355" s="3353"/>
      <c r="O1355" s="3353"/>
      <c r="P1355" s="3353"/>
      <c r="Q1355" s="3353"/>
      <c r="R1355" s="3353"/>
      <c r="S1355" s="3353"/>
      <c r="T1355" s="3353"/>
      <c r="U1355" s="3353"/>
      <c r="V1355" s="3353"/>
      <c r="W1355" s="3353"/>
      <c r="X1355" s="3353"/>
      <c r="Y1355" s="3353"/>
      <c r="Z1355" s="3353"/>
      <c r="AA1355" s="3353"/>
      <c r="AB1355" s="3353"/>
      <c r="AC1355" s="3353"/>
      <c r="AD1355" s="3353"/>
      <c r="AE1355" s="3353"/>
      <c r="AF1355" s="3353"/>
      <c r="AG1355" s="3353"/>
      <c r="AH1355" s="3353"/>
      <c r="AI1355" s="3353"/>
      <c r="AJ1355" s="3353"/>
      <c r="AK1355" s="3353"/>
      <c r="AL1355" s="3353"/>
    </row>
    <row r="1356" spans="1:38" s="3309" customFormat="1" x14ac:dyDescent="0.2">
      <c r="A1356" s="3411" t="s">
        <v>5988</v>
      </c>
      <c r="B1356" s="3411" t="e">
        <f t="shared" ref="B1356:G1356" si="693">B1349/B1354</f>
        <v>#DIV/0!</v>
      </c>
      <c r="C1356" s="3411" t="e">
        <f t="shared" si="693"/>
        <v>#DIV/0!</v>
      </c>
      <c r="D1356" s="3411" t="e">
        <f t="shared" si="693"/>
        <v>#DIV/0!</v>
      </c>
      <c r="E1356" s="3411" t="e">
        <f t="shared" si="693"/>
        <v>#DIV/0!</v>
      </c>
      <c r="F1356" s="3411" t="e">
        <f t="shared" si="693"/>
        <v>#DIV/0!</v>
      </c>
      <c r="G1356" s="3411" t="e">
        <f t="shared" si="693"/>
        <v>#DIV/0!</v>
      </c>
      <c r="H1356" s="3353"/>
      <c r="I1356" s="3353"/>
      <c r="J1356" s="3353"/>
      <c r="K1356" s="3353"/>
      <c r="L1356" s="3353"/>
      <c r="M1356" s="3353"/>
      <c r="N1356" s="3353"/>
      <c r="O1356" s="3353"/>
      <c r="P1356" s="3353"/>
      <c r="Q1356" s="3353"/>
      <c r="R1356" s="3353"/>
      <c r="S1356" s="3353"/>
      <c r="T1356" s="3353"/>
      <c r="U1356" s="3353"/>
      <c r="V1356" s="3353"/>
      <c r="W1356" s="3353"/>
      <c r="X1356" s="3353"/>
      <c r="Y1356" s="3353"/>
      <c r="Z1356" s="3353"/>
      <c r="AA1356" s="3353"/>
      <c r="AB1356" s="3353"/>
      <c r="AC1356" s="3353"/>
      <c r="AD1356" s="3353"/>
      <c r="AE1356" s="3353"/>
      <c r="AF1356" s="3353"/>
      <c r="AG1356" s="3353"/>
      <c r="AH1356" s="3353"/>
      <c r="AI1356" s="3353"/>
      <c r="AJ1356" s="3353"/>
      <c r="AK1356" s="3353"/>
      <c r="AL1356" s="3353"/>
    </row>
    <row r="1357" spans="1:38" s="3309" customFormat="1" x14ac:dyDescent="0.2">
      <c r="A1357" s="3409" t="s">
        <v>5987</v>
      </c>
      <c r="B1357" s="3409">
        <f t="shared" ref="B1357:G1357" si="694">B1329</f>
        <v>0.8</v>
      </c>
      <c r="C1357" s="3409">
        <f t="shared" si="694"/>
        <v>0.8</v>
      </c>
      <c r="D1357" s="3409">
        <f t="shared" si="694"/>
        <v>0.8</v>
      </c>
      <c r="E1357" s="3409">
        <f t="shared" si="694"/>
        <v>0.8</v>
      </c>
      <c r="F1357" s="3409">
        <f t="shared" si="694"/>
        <v>0.8</v>
      </c>
      <c r="G1357" s="3409">
        <f t="shared" si="694"/>
        <v>0.8</v>
      </c>
      <c r="H1357" s="3353"/>
      <c r="I1357" s="3353"/>
      <c r="J1357" s="3353"/>
      <c r="K1357" s="3353"/>
      <c r="L1357" s="3353"/>
      <c r="M1357" s="3353"/>
      <c r="N1357" s="3353"/>
      <c r="O1357" s="3353"/>
      <c r="P1357" s="3353"/>
      <c r="Q1357" s="3353"/>
      <c r="R1357" s="3353"/>
      <c r="S1357" s="3353"/>
      <c r="T1357" s="3353"/>
      <c r="U1357" s="3353"/>
      <c r="V1357" s="3353"/>
      <c r="W1357" s="3353"/>
      <c r="X1357" s="3353"/>
      <c r="Y1357" s="3353"/>
      <c r="Z1357" s="3353"/>
      <c r="AA1357" s="3353"/>
      <c r="AB1357" s="3353"/>
      <c r="AC1357" s="3353"/>
      <c r="AD1357" s="3353"/>
      <c r="AE1357" s="3353"/>
      <c r="AF1357" s="3353"/>
      <c r="AG1357" s="3353"/>
      <c r="AH1357" s="3353"/>
      <c r="AI1357" s="3353"/>
      <c r="AJ1357" s="3353"/>
      <c r="AK1357" s="3353"/>
      <c r="AL1357" s="3353"/>
    </row>
    <row r="1358" spans="1:38" s="3309" customFormat="1" x14ac:dyDescent="0.2">
      <c r="A1358" s="3411" t="s">
        <v>5986</v>
      </c>
      <c r="B1358" s="3411" t="e">
        <f t="shared" ref="B1358:G1358" si="695">B1356*B1357</f>
        <v>#DIV/0!</v>
      </c>
      <c r="C1358" s="3411" t="e">
        <f t="shared" si="695"/>
        <v>#DIV/0!</v>
      </c>
      <c r="D1358" s="3411" t="e">
        <f t="shared" si="695"/>
        <v>#DIV/0!</v>
      </c>
      <c r="E1358" s="3411" t="e">
        <f t="shared" si="695"/>
        <v>#DIV/0!</v>
      </c>
      <c r="F1358" s="3411" t="e">
        <f t="shared" si="695"/>
        <v>#DIV/0!</v>
      </c>
      <c r="G1358" s="3411" t="e">
        <f t="shared" si="695"/>
        <v>#DIV/0!</v>
      </c>
      <c r="H1358" s="3353"/>
      <c r="I1358" s="3353"/>
      <c r="J1358" s="3353"/>
      <c r="K1358" s="3353"/>
      <c r="L1358" s="3353"/>
      <c r="M1358" s="3353"/>
      <c r="N1358" s="3353"/>
      <c r="O1358" s="3353"/>
      <c r="P1358" s="3353"/>
      <c r="Q1358" s="3353"/>
      <c r="R1358" s="3353"/>
      <c r="S1358" s="3353"/>
      <c r="T1358" s="3353"/>
      <c r="U1358" s="3353"/>
      <c r="V1358" s="3353"/>
      <c r="W1358" s="3353"/>
      <c r="X1358" s="3353"/>
      <c r="Y1358" s="3353"/>
      <c r="Z1358" s="3353"/>
      <c r="AA1358" s="3353"/>
      <c r="AB1358" s="3353"/>
      <c r="AC1358" s="3353"/>
      <c r="AD1358" s="3353"/>
      <c r="AE1358" s="3353"/>
      <c r="AF1358" s="3353"/>
      <c r="AG1358" s="3353"/>
      <c r="AH1358" s="3353"/>
      <c r="AI1358" s="3353"/>
      <c r="AJ1358" s="3353"/>
      <c r="AK1358" s="3353"/>
      <c r="AL1358" s="3353"/>
    </row>
    <row r="1359" spans="1:38" s="3309" customFormat="1" x14ac:dyDescent="0.2">
      <c r="A1359" s="3412" t="s">
        <v>5985</v>
      </c>
      <c r="B1359" s="3411" t="e">
        <f t="shared" ref="B1359:G1359" si="696">B1358*1000</f>
        <v>#DIV/0!</v>
      </c>
      <c r="C1359" s="3411" t="e">
        <f t="shared" si="696"/>
        <v>#DIV/0!</v>
      </c>
      <c r="D1359" s="3411" t="e">
        <f t="shared" si="696"/>
        <v>#DIV/0!</v>
      </c>
      <c r="E1359" s="3411" t="e">
        <f t="shared" si="696"/>
        <v>#DIV/0!</v>
      </c>
      <c r="F1359" s="3411" t="e">
        <f t="shared" si="696"/>
        <v>#DIV/0!</v>
      </c>
      <c r="G1359" s="3411" t="e">
        <f t="shared" si="696"/>
        <v>#DIV/0!</v>
      </c>
      <c r="H1359" s="3353"/>
      <c r="I1359" s="3353"/>
      <c r="J1359" s="3353"/>
      <c r="K1359" s="3353"/>
      <c r="L1359" s="3353"/>
      <c r="M1359" s="3353"/>
      <c r="N1359" s="3353"/>
      <c r="O1359" s="3353"/>
      <c r="P1359" s="3353"/>
      <c r="Q1359" s="3353"/>
      <c r="R1359" s="3353"/>
      <c r="S1359" s="3353"/>
      <c r="T1359" s="3353"/>
      <c r="U1359" s="3353"/>
      <c r="V1359" s="3353"/>
      <c r="W1359" s="3353"/>
      <c r="X1359" s="3353"/>
      <c r="Y1359" s="3353"/>
      <c r="Z1359" s="3353"/>
      <c r="AA1359" s="3353"/>
      <c r="AB1359" s="3353"/>
      <c r="AC1359" s="3353"/>
      <c r="AD1359" s="3353"/>
      <c r="AE1359" s="3353"/>
      <c r="AF1359" s="3353"/>
      <c r="AG1359" s="3353"/>
      <c r="AH1359" s="3353"/>
      <c r="AI1359" s="3353"/>
      <c r="AJ1359" s="3353"/>
      <c r="AK1359" s="3353"/>
      <c r="AL1359" s="3353"/>
    </row>
    <row r="1360" spans="1:38" s="3309" customFormat="1" x14ac:dyDescent="0.2">
      <c r="A1360" s="3410" t="s">
        <v>5984</v>
      </c>
      <c r="B1360" s="3410">
        <v>0.8</v>
      </c>
      <c r="C1360" s="3410">
        <v>0.8</v>
      </c>
      <c r="D1360" s="3410">
        <v>0.8</v>
      </c>
      <c r="E1360" s="3410">
        <v>0.8</v>
      </c>
      <c r="F1360" s="3410">
        <v>0.8</v>
      </c>
      <c r="G1360" s="3410">
        <v>0.8</v>
      </c>
      <c r="H1360" s="3353"/>
      <c r="I1360" s="3353"/>
      <c r="J1360" s="3353"/>
      <c r="K1360" s="3353"/>
      <c r="L1360" s="3353"/>
      <c r="M1360" s="3353"/>
      <c r="N1360" s="3353"/>
      <c r="O1360" s="3353"/>
      <c r="P1360" s="3353"/>
      <c r="Q1360" s="3353"/>
      <c r="R1360" s="3353"/>
      <c r="S1360" s="3353"/>
      <c r="T1360" s="3353"/>
      <c r="U1360" s="3353"/>
      <c r="V1360" s="3353"/>
      <c r="W1360" s="3353"/>
      <c r="X1360" s="3353"/>
      <c r="Y1360" s="3353"/>
      <c r="Z1360" s="3353"/>
      <c r="AA1360" s="3353"/>
      <c r="AB1360" s="3353"/>
      <c r="AC1360" s="3353"/>
      <c r="AD1360" s="3353"/>
      <c r="AE1360" s="3353"/>
      <c r="AF1360" s="3353"/>
      <c r="AG1360" s="3353"/>
      <c r="AH1360" s="3353"/>
      <c r="AI1360" s="3353"/>
      <c r="AJ1360" s="3353"/>
      <c r="AK1360" s="3353"/>
      <c r="AL1360" s="3353"/>
    </row>
    <row r="1361" spans="1:38" s="3309" customFormat="1" x14ac:dyDescent="0.2">
      <c r="A1361" s="3411" t="s">
        <v>5983</v>
      </c>
      <c r="B1361" s="3379">
        <f t="shared" ref="B1361:G1361" si="697">6*B1360</f>
        <v>4.8000000000000007</v>
      </c>
      <c r="C1361" s="3379">
        <f t="shared" si="697"/>
        <v>4.8000000000000007</v>
      </c>
      <c r="D1361" s="3379">
        <f t="shared" si="697"/>
        <v>4.8000000000000007</v>
      </c>
      <c r="E1361" s="3379">
        <f t="shared" si="697"/>
        <v>4.8000000000000007</v>
      </c>
      <c r="F1361" s="3379">
        <f t="shared" si="697"/>
        <v>4.8000000000000007</v>
      </c>
      <c r="G1361" s="3379">
        <f t="shared" si="697"/>
        <v>4.8000000000000007</v>
      </c>
      <c r="H1361" s="3353"/>
      <c r="I1361" s="3353"/>
      <c r="J1361" s="3353"/>
      <c r="K1361" s="3353"/>
      <c r="L1361" s="3353"/>
      <c r="M1361" s="3353"/>
      <c r="N1361" s="3353"/>
      <c r="O1361" s="3353"/>
      <c r="P1361" s="3353"/>
      <c r="Q1361" s="3353"/>
      <c r="R1361" s="3353"/>
      <c r="S1361" s="3353"/>
      <c r="T1361" s="3353"/>
      <c r="U1361" s="3353"/>
      <c r="V1361" s="3353"/>
      <c r="W1361" s="3353"/>
      <c r="X1361" s="3353"/>
      <c r="Y1361" s="3353"/>
      <c r="Z1361" s="3353"/>
      <c r="AA1361" s="3353"/>
      <c r="AB1361" s="3353"/>
      <c r="AC1361" s="3353"/>
      <c r="AD1361" s="3353"/>
      <c r="AE1361" s="3353"/>
      <c r="AF1361" s="3353"/>
      <c r="AG1361" s="3353"/>
      <c r="AH1361" s="3353"/>
      <c r="AI1361" s="3353"/>
      <c r="AJ1361" s="3353"/>
      <c r="AK1361" s="3353"/>
      <c r="AL1361" s="3353"/>
    </row>
    <row r="1362" spans="1:38" s="3309" customFormat="1" x14ac:dyDescent="0.2">
      <c r="A1362" s="3410" t="s">
        <v>5982</v>
      </c>
      <c r="B1362" s="3410">
        <v>1</v>
      </c>
      <c r="C1362" s="3410">
        <v>1</v>
      </c>
      <c r="D1362" s="3410">
        <v>1</v>
      </c>
      <c r="E1362" s="3410">
        <v>1</v>
      </c>
      <c r="F1362" s="3410">
        <v>1</v>
      </c>
      <c r="G1362" s="3410">
        <v>1</v>
      </c>
      <c r="H1362" s="3353"/>
      <c r="I1362" s="3353"/>
      <c r="J1362" s="3353"/>
      <c r="K1362" s="3353"/>
      <c r="L1362" s="3353"/>
      <c r="M1362" s="3353"/>
      <c r="N1362" s="3353"/>
      <c r="O1362" s="3353"/>
      <c r="P1362" s="3353"/>
      <c r="Q1362" s="3353"/>
      <c r="R1362" s="3353"/>
      <c r="S1362" s="3353"/>
      <c r="T1362" s="3353"/>
      <c r="U1362" s="3353"/>
      <c r="V1362" s="3353"/>
      <c r="W1362" s="3353"/>
      <c r="X1362" s="3353"/>
      <c r="Y1362" s="3353"/>
      <c r="Z1362" s="3353"/>
      <c r="AA1362" s="3353"/>
      <c r="AB1362" s="3353"/>
      <c r="AC1362" s="3353"/>
      <c r="AD1362" s="3353"/>
      <c r="AE1362" s="3353"/>
      <c r="AF1362" s="3353"/>
      <c r="AG1362" s="3353"/>
      <c r="AH1362" s="3353"/>
      <c r="AI1362" s="3353"/>
      <c r="AJ1362" s="3353"/>
      <c r="AK1362" s="3353"/>
      <c r="AL1362" s="3353"/>
    </row>
    <row r="1363" spans="1:38" s="3309" customFormat="1" x14ac:dyDescent="0.2">
      <c r="A1363" s="3407" t="s">
        <v>5981</v>
      </c>
      <c r="B1363" s="3408">
        <f t="shared" ref="B1363:G1363" si="698">60*1.5*B1361*B1362</f>
        <v>432.00000000000006</v>
      </c>
      <c r="C1363" s="3408">
        <f t="shared" si="698"/>
        <v>432.00000000000006</v>
      </c>
      <c r="D1363" s="3408">
        <f t="shared" si="698"/>
        <v>432.00000000000006</v>
      </c>
      <c r="E1363" s="3408">
        <f t="shared" si="698"/>
        <v>432.00000000000006</v>
      </c>
      <c r="F1363" s="3408">
        <f t="shared" si="698"/>
        <v>432.00000000000006</v>
      </c>
      <c r="G1363" s="3408">
        <f t="shared" si="698"/>
        <v>432.00000000000006</v>
      </c>
      <c r="H1363" s="3353"/>
      <c r="I1363" s="3353"/>
      <c r="J1363" s="3353"/>
      <c r="K1363" s="3353"/>
      <c r="L1363" s="3353"/>
      <c r="M1363" s="3353"/>
      <c r="N1363" s="3353"/>
      <c r="O1363" s="3353"/>
      <c r="P1363" s="3353"/>
      <c r="Q1363" s="3353"/>
      <c r="R1363" s="3353"/>
      <c r="S1363" s="3353"/>
      <c r="T1363" s="3353"/>
      <c r="U1363" s="3353"/>
      <c r="V1363" s="3353"/>
      <c r="W1363" s="3353"/>
      <c r="X1363" s="3353"/>
      <c r="Y1363" s="3353"/>
      <c r="Z1363" s="3353"/>
      <c r="AA1363" s="3353"/>
      <c r="AB1363" s="3353"/>
      <c r="AC1363" s="3353"/>
      <c r="AD1363" s="3353"/>
      <c r="AE1363" s="3353"/>
      <c r="AF1363" s="3353"/>
      <c r="AG1363" s="3353"/>
      <c r="AH1363" s="3353"/>
      <c r="AI1363" s="3353"/>
      <c r="AJ1363" s="3353"/>
      <c r="AK1363" s="3353"/>
      <c r="AL1363" s="3353"/>
    </row>
    <row r="1364" spans="1:38" s="3309" customFormat="1" x14ac:dyDescent="0.2">
      <c r="A1364" s="3407" t="s">
        <v>5980</v>
      </c>
      <c r="B1364" s="3406" t="e">
        <f t="shared" ref="B1364:G1364" si="699">B1363*B1356</f>
        <v>#DIV/0!</v>
      </c>
      <c r="C1364" s="3406" t="e">
        <f t="shared" si="699"/>
        <v>#DIV/0!</v>
      </c>
      <c r="D1364" s="3406" t="e">
        <f t="shared" si="699"/>
        <v>#DIV/0!</v>
      </c>
      <c r="E1364" s="3406" t="e">
        <f t="shared" si="699"/>
        <v>#DIV/0!</v>
      </c>
      <c r="F1364" s="3406" t="e">
        <f t="shared" si="699"/>
        <v>#DIV/0!</v>
      </c>
      <c r="G1364" s="3406" t="e">
        <f t="shared" si="699"/>
        <v>#DIV/0!</v>
      </c>
      <c r="H1364" s="3353"/>
      <c r="I1364" s="3353"/>
      <c r="J1364" s="3353"/>
      <c r="K1364" s="3353"/>
      <c r="L1364" s="3353"/>
      <c r="M1364" s="3353"/>
      <c r="N1364" s="3353"/>
      <c r="O1364" s="3353"/>
      <c r="P1364" s="3353"/>
      <c r="Q1364" s="3353"/>
      <c r="R1364" s="3353"/>
      <c r="S1364" s="3353"/>
      <c r="T1364" s="3353"/>
      <c r="U1364" s="3353"/>
      <c r="V1364" s="3353"/>
      <c r="W1364" s="3353"/>
      <c r="X1364" s="3353"/>
      <c r="Y1364" s="3353"/>
      <c r="Z1364" s="3353"/>
      <c r="AA1364" s="3353"/>
      <c r="AB1364" s="3353"/>
      <c r="AC1364" s="3353"/>
      <c r="AD1364" s="3353"/>
      <c r="AE1364" s="3353"/>
      <c r="AF1364" s="3353"/>
      <c r="AG1364" s="3353"/>
      <c r="AH1364" s="3353"/>
      <c r="AI1364" s="3353"/>
      <c r="AJ1364" s="3353"/>
      <c r="AK1364" s="3353"/>
      <c r="AL1364" s="3353"/>
    </row>
    <row r="1365" spans="1:38" s="3309" customFormat="1" x14ac:dyDescent="0.2">
      <c r="A1365" s="3405" t="s">
        <v>5979</v>
      </c>
      <c r="B1365" s="3404" t="e">
        <f t="shared" ref="B1365:G1365" si="700">B1364*B751*IF(B758&gt;2,2,3)</f>
        <v>#DIV/0!</v>
      </c>
      <c r="C1365" s="3404" t="e">
        <f t="shared" si="700"/>
        <v>#DIV/0!</v>
      </c>
      <c r="D1365" s="3404" t="e">
        <f t="shared" si="700"/>
        <v>#DIV/0!</v>
      </c>
      <c r="E1365" s="3404" t="e">
        <f t="shared" si="700"/>
        <v>#DIV/0!</v>
      </c>
      <c r="F1365" s="3404" t="e">
        <f t="shared" si="700"/>
        <v>#DIV/0!</v>
      </c>
      <c r="G1365" s="3404" t="e">
        <f t="shared" si="700"/>
        <v>#DIV/0!</v>
      </c>
      <c r="H1365" s="3353"/>
      <c r="I1365" s="3353"/>
      <c r="J1365" s="3353"/>
      <c r="K1365" s="3353"/>
      <c r="L1365" s="3353"/>
      <c r="M1365" s="3353"/>
      <c r="N1365" s="3353"/>
      <c r="O1365" s="3353"/>
      <c r="P1365" s="3353"/>
      <c r="Q1365" s="3353"/>
      <c r="R1365" s="3353"/>
      <c r="S1365" s="3353"/>
      <c r="T1365" s="3353"/>
      <c r="U1365" s="3353"/>
      <c r="V1365" s="3353"/>
      <c r="W1365" s="3353"/>
      <c r="X1365" s="3353"/>
      <c r="Y1365" s="3353"/>
      <c r="Z1365" s="3353"/>
      <c r="AA1365" s="3353"/>
      <c r="AB1365" s="3353"/>
      <c r="AC1365" s="3353"/>
      <c r="AD1365" s="3353"/>
      <c r="AE1365" s="3353"/>
      <c r="AF1365" s="3353"/>
      <c r="AG1365" s="3353"/>
      <c r="AH1365" s="3353"/>
      <c r="AI1365" s="3353"/>
      <c r="AJ1365" s="3353"/>
      <c r="AK1365" s="3353"/>
      <c r="AL1365" s="3353"/>
    </row>
    <row r="1366" spans="1:38" s="3309" customFormat="1" x14ac:dyDescent="0.2">
      <c r="A1366" s="3403" t="s">
        <v>5978</v>
      </c>
      <c r="B1366" s="3402" t="e">
        <f t="shared" ref="B1366:G1366" si="701">IF(B761=1,B1365,0)</f>
        <v>#DIV/0!</v>
      </c>
      <c r="C1366" s="3402">
        <f t="shared" si="701"/>
        <v>0</v>
      </c>
      <c r="D1366" s="3402">
        <f t="shared" si="701"/>
        <v>0</v>
      </c>
      <c r="E1366" s="3402">
        <f t="shared" si="701"/>
        <v>0</v>
      </c>
      <c r="F1366" s="3402">
        <f t="shared" si="701"/>
        <v>0</v>
      </c>
      <c r="G1366" s="3402">
        <f t="shared" si="701"/>
        <v>0</v>
      </c>
      <c r="H1366" s="3353"/>
      <c r="I1366" s="3353"/>
      <c r="J1366" s="3353"/>
      <c r="K1366" s="3353"/>
      <c r="L1366" s="3353"/>
      <c r="M1366" s="3353"/>
      <c r="N1366" s="3353"/>
      <c r="O1366" s="3353"/>
      <c r="P1366" s="3353"/>
      <c r="Q1366" s="3353"/>
      <c r="R1366" s="3353"/>
      <c r="S1366" s="3353"/>
      <c r="T1366" s="3353"/>
      <c r="U1366" s="3353"/>
      <c r="V1366" s="3353"/>
      <c r="W1366" s="3353"/>
      <c r="X1366" s="3353"/>
      <c r="Y1366" s="3353"/>
      <c r="Z1366" s="3353"/>
      <c r="AA1366" s="3353"/>
      <c r="AB1366" s="3353"/>
      <c r="AC1366" s="3353"/>
      <c r="AD1366" s="3353"/>
      <c r="AE1366" s="3353"/>
      <c r="AF1366" s="3353"/>
      <c r="AG1366" s="3353"/>
      <c r="AH1366" s="3353"/>
      <c r="AI1366" s="3353"/>
      <c r="AJ1366" s="3353"/>
      <c r="AK1366" s="3353"/>
      <c r="AL1366" s="3353"/>
    </row>
    <row r="1367" spans="1:38" s="3309" customFormat="1" x14ac:dyDescent="0.2">
      <c r="A1367" s="3401" t="s">
        <v>5977</v>
      </c>
      <c r="B1367" s="3400" t="e">
        <f t="shared" ref="B1367:G1367" si="702">B1366+B1337+B1332</f>
        <v>#DIV/0!</v>
      </c>
      <c r="C1367" s="3400">
        <f t="shared" si="702"/>
        <v>3.4560000000000004</v>
      </c>
      <c r="D1367" s="3400">
        <f t="shared" si="702"/>
        <v>3.4560000000000004</v>
      </c>
      <c r="E1367" s="3400">
        <f t="shared" si="702"/>
        <v>3.4560000000000004</v>
      </c>
      <c r="F1367" s="3400">
        <f t="shared" si="702"/>
        <v>3.4560000000000004</v>
      </c>
      <c r="G1367" s="3400">
        <f t="shared" si="702"/>
        <v>3.4560000000000004</v>
      </c>
      <c r="H1367" s="3353"/>
      <c r="I1367" s="3353"/>
      <c r="J1367" s="3353"/>
      <c r="K1367" s="3353"/>
      <c r="L1367" s="3353"/>
      <c r="M1367" s="3353"/>
      <c r="N1367" s="3353"/>
      <c r="O1367" s="3353"/>
      <c r="P1367" s="3353"/>
      <c r="Q1367" s="3353"/>
      <c r="R1367" s="3353"/>
      <c r="S1367" s="3353"/>
      <c r="T1367" s="3353"/>
      <c r="U1367" s="3353"/>
      <c r="V1367" s="3353"/>
      <c r="W1367" s="3353"/>
      <c r="X1367" s="3353"/>
      <c r="Y1367" s="3353"/>
      <c r="Z1367" s="3353"/>
      <c r="AA1367" s="3353"/>
      <c r="AB1367" s="3353"/>
      <c r="AC1367" s="3353"/>
      <c r="AD1367" s="3353"/>
      <c r="AE1367" s="3353"/>
      <c r="AF1367" s="3353"/>
      <c r="AG1367" s="3353"/>
      <c r="AH1367" s="3353"/>
      <c r="AI1367" s="3353"/>
      <c r="AJ1367" s="3353"/>
      <c r="AK1367" s="3353"/>
      <c r="AL1367" s="3353"/>
    </row>
    <row r="1368" spans="1:38" s="3309" customFormat="1" ht="13.5" thickBot="1" x14ac:dyDescent="0.25">
      <c r="A1368" s="3399"/>
      <c r="B1368" s="3398"/>
      <c r="C1368" s="3398"/>
      <c r="D1368" s="3398"/>
      <c r="E1368" s="3398"/>
      <c r="F1368" s="3398"/>
      <c r="G1368" s="3397"/>
      <c r="H1368" s="3353"/>
      <c r="I1368" s="3353"/>
      <c r="J1368" s="3353"/>
      <c r="K1368" s="3353"/>
      <c r="L1368" s="3353"/>
      <c r="M1368" s="3353"/>
      <c r="N1368" s="3353"/>
      <c r="O1368" s="3353"/>
      <c r="P1368" s="3353"/>
      <c r="Q1368" s="3353"/>
      <c r="R1368" s="3353"/>
      <c r="S1368" s="3353"/>
      <c r="T1368" s="3353"/>
      <c r="U1368" s="3353"/>
      <c r="V1368" s="3353"/>
      <c r="W1368" s="3353"/>
      <c r="X1368" s="3353"/>
      <c r="Y1368" s="3353"/>
      <c r="Z1368" s="3353"/>
      <c r="AA1368" s="3353"/>
      <c r="AB1368" s="3353"/>
      <c r="AC1368" s="3353"/>
      <c r="AD1368" s="3353"/>
      <c r="AE1368" s="3353"/>
      <c r="AF1368" s="3353"/>
      <c r="AG1368" s="3353"/>
      <c r="AH1368" s="3353"/>
      <c r="AI1368" s="3353"/>
      <c r="AJ1368" s="3353"/>
      <c r="AK1368" s="3353"/>
      <c r="AL1368" s="3353"/>
    </row>
    <row r="1369" spans="1:38" s="3309" customFormat="1" x14ac:dyDescent="0.2">
      <c r="A1369" s="3390" t="s">
        <v>6160</v>
      </c>
      <c r="B1369" s="3396"/>
      <c r="C1369" s="3396"/>
      <c r="D1369" s="3396"/>
      <c r="E1369" s="3396"/>
      <c r="F1369" s="3396"/>
      <c r="G1369" s="3395"/>
      <c r="H1369" s="3353"/>
      <c r="I1369" s="3353"/>
      <c r="J1369" s="3353"/>
      <c r="K1369" s="3353"/>
      <c r="L1369" s="3353"/>
      <c r="M1369" s="3353"/>
      <c r="N1369" s="3353"/>
      <c r="O1369" s="3353"/>
      <c r="P1369" s="3353"/>
      <c r="Q1369" s="3353"/>
      <c r="R1369" s="3353"/>
      <c r="S1369" s="3353"/>
      <c r="T1369" s="3353"/>
      <c r="U1369" s="3353"/>
      <c r="V1369" s="3353"/>
      <c r="W1369" s="3353"/>
      <c r="X1369" s="3353"/>
      <c r="Y1369" s="3353"/>
      <c r="Z1369" s="3353"/>
      <c r="AA1369" s="3353"/>
      <c r="AB1369" s="3353"/>
      <c r="AC1369" s="3353"/>
      <c r="AD1369" s="3353"/>
      <c r="AE1369" s="3353"/>
      <c r="AF1369" s="3353"/>
      <c r="AG1369" s="3353"/>
      <c r="AH1369" s="3353"/>
      <c r="AI1369" s="3353"/>
      <c r="AJ1369" s="3353"/>
      <c r="AK1369" s="3353"/>
      <c r="AL1369" s="3353"/>
    </row>
    <row r="1370" spans="1:38" s="3309" customFormat="1" x14ac:dyDescent="0.2">
      <c r="A1370" s="3389" t="s">
        <v>5974</v>
      </c>
      <c r="B1370" s="3368" t="e">
        <f t="shared" ref="B1370:G1370" si="703">B1189</f>
        <v>#VALUE!</v>
      </c>
      <c r="C1370" s="3368" t="e">
        <f t="shared" si="703"/>
        <v>#DIV/0!</v>
      </c>
      <c r="D1370" s="3368" t="e">
        <f t="shared" si="703"/>
        <v>#DIV/0!</v>
      </c>
      <c r="E1370" s="3368" t="e">
        <f t="shared" si="703"/>
        <v>#DIV/0!</v>
      </c>
      <c r="F1370" s="3368" t="e">
        <f t="shared" si="703"/>
        <v>#DIV/0!</v>
      </c>
      <c r="G1370" s="3368" t="e">
        <f t="shared" si="703"/>
        <v>#DIV/0!</v>
      </c>
      <c r="H1370" s="3353"/>
      <c r="I1370" s="3353"/>
      <c r="J1370" s="3353"/>
      <c r="K1370" s="3353"/>
      <c r="L1370" s="3353"/>
      <c r="M1370" s="3353"/>
      <c r="N1370" s="3353"/>
      <c r="O1370" s="3353"/>
      <c r="P1370" s="3353"/>
      <c r="Q1370" s="3353"/>
      <c r="R1370" s="3353"/>
      <c r="S1370" s="3353"/>
      <c r="T1370" s="3353"/>
      <c r="U1370" s="3353"/>
      <c r="V1370" s="3353"/>
      <c r="W1370" s="3353"/>
      <c r="X1370" s="3353"/>
      <c r="Y1370" s="3353"/>
      <c r="Z1370" s="3353"/>
      <c r="AA1370" s="3353"/>
      <c r="AB1370" s="3353"/>
      <c r="AC1370" s="3353"/>
      <c r="AD1370" s="3353"/>
      <c r="AE1370" s="3353"/>
      <c r="AF1370" s="3353"/>
      <c r="AG1370" s="3353"/>
      <c r="AH1370" s="3353"/>
      <c r="AI1370" s="3353"/>
      <c r="AJ1370" s="3353"/>
      <c r="AK1370" s="3353"/>
      <c r="AL1370" s="3353"/>
    </row>
    <row r="1371" spans="1:38" s="3309" customFormat="1" x14ac:dyDescent="0.2">
      <c r="A1371" s="3389" t="s">
        <v>2482</v>
      </c>
      <c r="B1371" s="3368" t="e">
        <f t="shared" ref="B1371:G1371" si="704">B1322</f>
        <v>#VALUE!</v>
      </c>
      <c r="C1371" s="3368" t="e">
        <f t="shared" si="704"/>
        <v>#DIV/0!</v>
      </c>
      <c r="D1371" s="3368" t="e">
        <f t="shared" si="704"/>
        <v>#DIV/0!</v>
      </c>
      <c r="E1371" s="3368" t="e">
        <f t="shared" si="704"/>
        <v>#DIV/0!</v>
      </c>
      <c r="F1371" s="3368" t="e">
        <f t="shared" si="704"/>
        <v>#DIV/0!</v>
      </c>
      <c r="G1371" s="3368" t="e">
        <f t="shared" si="704"/>
        <v>#DIV/0!</v>
      </c>
      <c r="H1371" s="3353"/>
      <c r="I1371" s="3353"/>
      <c r="J1371" s="3353"/>
      <c r="K1371" s="3353"/>
      <c r="L1371" s="3353"/>
      <c r="M1371" s="3353"/>
      <c r="N1371" s="3353"/>
      <c r="O1371" s="3353"/>
      <c r="P1371" s="3353"/>
      <c r="Q1371" s="3353"/>
      <c r="R1371" s="3353"/>
      <c r="S1371" s="3353"/>
      <c r="T1371" s="3353"/>
      <c r="U1371" s="3353"/>
      <c r="V1371" s="3353"/>
      <c r="W1371" s="3353"/>
      <c r="X1371" s="3353"/>
      <c r="Y1371" s="3353"/>
      <c r="Z1371" s="3353"/>
      <c r="AA1371" s="3353"/>
      <c r="AB1371" s="3353"/>
      <c r="AC1371" s="3353"/>
      <c r="AD1371" s="3353"/>
      <c r="AE1371" s="3353"/>
      <c r="AF1371" s="3353"/>
      <c r="AG1371" s="3353"/>
      <c r="AH1371" s="3353"/>
      <c r="AI1371" s="3353"/>
      <c r="AJ1371" s="3353"/>
      <c r="AK1371" s="3353"/>
      <c r="AL1371" s="3353"/>
    </row>
    <row r="1372" spans="1:38" s="3309" customFormat="1" x14ac:dyDescent="0.2">
      <c r="A1372" s="3389" t="s">
        <v>5973</v>
      </c>
      <c r="B1372" s="3368" t="e">
        <f t="shared" ref="B1372:G1372" si="705">B1367</f>
        <v>#DIV/0!</v>
      </c>
      <c r="C1372" s="3368">
        <f t="shared" si="705"/>
        <v>3.4560000000000004</v>
      </c>
      <c r="D1372" s="3368">
        <f t="shared" si="705"/>
        <v>3.4560000000000004</v>
      </c>
      <c r="E1372" s="3368">
        <f t="shared" si="705"/>
        <v>3.4560000000000004</v>
      </c>
      <c r="F1372" s="3368">
        <f t="shared" si="705"/>
        <v>3.4560000000000004</v>
      </c>
      <c r="G1372" s="3368">
        <f t="shared" si="705"/>
        <v>3.4560000000000004</v>
      </c>
      <c r="H1372" s="3353"/>
      <c r="I1372" s="3353"/>
      <c r="J1372" s="3353"/>
      <c r="K1372" s="3353"/>
      <c r="L1372" s="3353"/>
      <c r="M1372" s="3353"/>
      <c r="N1372" s="3353"/>
      <c r="O1372" s="3353"/>
      <c r="P1372" s="3353"/>
      <c r="Q1372" s="3353"/>
      <c r="R1372" s="3353"/>
      <c r="S1372" s="3353"/>
      <c r="T1372" s="3353"/>
      <c r="U1372" s="3353"/>
      <c r="V1372" s="3353"/>
      <c r="W1372" s="3353"/>
      <c r="X1372" s="3353"/>
      <c r="Y1372" s="3353"/>
      <c r="Z1372" s="3353"/>
      <c r="AA1372" s="3353"/>
      <c r="AB1372" s="3353"/>
      <c r="AC1372" s="3353"/>
      <c r="AD1372" s="3353"/>
      <c r="AE1372" s="3353"/>
      <c r="AF1372" s="3353"/>
      <c r="AG1372" s="3353"/>
      <c r="AH1372" s="3353"/>
      <c r="AI1372" s="3353"/>
      <c r="AJ1372" s="3353"/>
      <c r="AK1372" s="3353"/>
      <c r="AL1372" s="3353"/>
    </row>
    <row r="1373" spans="1:38" s="3309" customFormat="1" ht="13.5" thickBot="1" x14ac:dyDescent="0.25">
      <c r="A1373" s="3388" t="s">
        <v>5972</v>
      </c>
      <c r="B1373" s="3392" t="e">
        <f t="shared" ref="B1373:G1373" si="706">B1372+B1371+B1370</f>
        <v>#DIV/0!</v>
      </c>
      <c r="C1373" s="3392" t="e">
        <f t="shared" si="706"/>
        <v>#DIV/0!</v>
      </c>
      <c r="D1373" s="3392" t="e">
        <f t="shared" si="706"/>
        <v>#DIV/0!</v>
      </c>
      <c r="E1373" s="3392" t="e">
        <f t="shared" si="706"/>
        <v>#DIV/0!</v>
      </c>
      <c r="F1373" s="3392" t="e">
        <f t="shared" si="706"/>
        <v>#DIV/0!</v>
      </c>
      <c r="G1373" s="3392" t="e">
        <f t="shared" si="706"/>
        <v>#DIV/0!</v>
      </c>
      <c r="H1373" s="3353"/>
      <c r="I1373" s="3353"/>
      <c r="J1373" s="3353"/>
      <c r="K1373" s="3353"/>
      <c r="L1373" s="3353"/>
      <c r="M1373" s="3353"/>
      <c r="N1373" s="3353"/>
      <c r="O1373" s="3353"/>
      <c r="P1373" s="3353"/>
      <c r="Q1373" s="3353"/>
      <c r="R1373" s="3353"/>
      <c r="S1373" s="3353"/>
      <c r="T1373" s="3353"/>
      <c r="U1373" s="3353"/>
      <c r="V1373" s="3353"/>
      <c r="W1373" s="3353"/>
      <c r="X1373" s="3353"/>
      <c r="Y1373" s="3353"/>
      <c r="Z1373" s="3353"/>
      <c r="AA1373" s="3353"/>
      <c r="AB1373" s="3353"/>
      <c r="AC1373" s="3353"/>
      <c r="AD1373" s="3353"/>
      <c r="AE1373" s="3353"/>
      <c r="AF1373" s="3353"/>
      <c r="AG1373" s="3353"/>
      <c r="AH1373" s="3353"/>
      <c r="AI1373" s="3353"/>
      <c r="AJ1373" s="3353"/>
      <c r="AK1373" s="3353"/>
      <c r="AL1373" s="3353"/>
    </row>
    <row r="1374" spans="1:38" s="3309" customFormat="1" ht="13.5" thickBot="1" x14ac:dyDescent="0.25">
      <c r="A1374" s="3391"/>
      <c r="B1374" s="3358"/>
      <c r="C1374" s="3358"/>
      <c r="D1374" s="3358"/>
      <c r="E1374" s="3358"/>
      <c r="F1374" s="3358"/>
      <c r="G1374" s="3358"/>
      <c r="H1374" s="3353"/>
      <c r="I1374" s="3353"/>
      <c r="J1374" s="3353"/>
      <c r="K1374" s="3353"/>
      <c r="L1374" s="3353"/>
      <c r="M1374" s="3353"/>
      <c r="N1374" s="3353"/>
      <c r="O1374" s="3353"/>
      <c r="P1374" s="3353"/>
      <c r="Q1374" s="3353"/>
      <c r="R1374" s="3353"/>
      <c r="S1374" s="3353"/>
      <c r="T1374" s="3353"/>
      <c r="U1374" s="3353"/>
      <c r="V1374" s="3353"/>
      <c r="W1374" s="3353"/>
      <c r="X1374" s="3353"/>
      <c r="Y1374" s="3353"/>
      <c r="Z1374" s="3353"/>
      <c r="AA1374" s="3353"/>
      <c r="AB1374" s="3353"/>
      <c r="AC1374" s="3353"/>
      <c r="AD1374" s="3353"/>
      <c r="AE1374" s="3353"/>
      <c r="AF1374" s="3353"/>
      <c r="AG1374" s="3353"/>
      <c r="AH1374" s="3353"/>
      <c r="AI1374" s="3353"/>
      <c r="AJ1374" s="3353"/>
      <c r="AK1374" s="3353"/>
      <c r="AL1374" s="3353"/>
    </row>
    <row r="1375" spans="1:38" s="3309" customFormat="1" x14ac:dyDescent="0.2">
      <c r="A1375" s="3390" t="s">
        <v>6159</v>
      </c>
      <c r="B1375" s="3358"/>
      <c r="C1375" s="3358"/>
      <c r="D1375" s="3358"/>
      <c r="E1375" s="3358"/>
      <c r="F1375" s="3358"/>
      <c r="G1375" s="3358"/>
      <c r="H1375" s="3353"/>
      <c r="I1375" s="3353"/>
      <c r="J1375" s="3353"/>
      <c r="K1375" s="3353"/>
      <c r="L1375" s="3353"/>
      <c r="M1375" s="3353"/>
      <c r="N1375" s="3353"/>
      <c r="O1375" s="3353"/>
      <c r="P1375" s="3353"/>
      <c r="Q1375" s="3353"/>
      <c r="R1375" s="3353"/>
      <c r="S1375" s="3353"/>
      <c r="T1375" s="3353"/>
      <c r="U1375" s="3353"/>
      <c r="V1375" s="3353"/>
      <c r="W1375" s="3353"/>
      <c r="X1375" s="3353"/>
      <c r="Y1375" s="3353"/>
      <c r="Z1375" s="3353"/>
      <c r="AA1375" s="3353"/>
      <c r="AB1375" s="3353"/>
      <c r="AC1375" s="3353"/>
      <c r="AD1375" s="3353"/>
      <c r="AE1375" s="3353"/>
      <c r="AF1375" s="3353"/>
      <c r="AG1375" s="3353"/>
      <c r="AH1375" s="3353"/>
      <c r="AI1375" s="3353"/>
      <c r="AJ1375" s="3353"/>
      <c r="AK1375" s="3353"/>
      <c r="AL1375" s="3353"/>
    </row>
    <row r="1376" spans="1:38" s="3309" customFormat="1" x14ac:dyDescent="0.2">
      <c r="A1376" s="3389" t="s">
        <v>5974</v>
      </c>
      <c r="B1376" s="3385" t="e">
        <f t="shared" ref="B1376:G1376" si="707">B1370/B523</f>
        <v>#VALUE!</v>
      </c>
      <c r="C1376" s="3385" t="e">
        <f t="shared" si="707"/>
        <v>#DIV/0!</v>
      </c>
      <c r="D1376" s="3385" t="e">
        <f t="shared" si="707"/>
        <v>#DIV/0!</v>
      </c>
      <c r="E1376" s="3385" t="e">
        <f t="shared" si="707"/>
        <v>#DIV/0!</v>
      </c>
      <c r="F1376" s="3385" t="e">
        <f t="shared" si="707"/>
        <v>#DIV/0!</v>
      </c>
      <c r="G1376" s="3385" t="e">
        <f t="shared" si="707"/>
        <v>#DIV/0!</v>
      </c>
      <c r="H1376" s="3353"/>
      <c r="I1376" s="3353"/>
      <c r="J1376" s="3353"/>
      <c r="K1376" s="3353"/>
      <c r="L1376" s="3353"/>
      <c r="M1376" s="3353"/>
      <c r="N1376" s="3353"/>
      <c r="O1376" s="3353"/>
      <c r="P1376" s="3353"/>
      <c r="Q1376" s="3353"/>
      <c r="R1376" s="3353"/>
      <c r="S1376" s="3353"/>
      <c r="T1376" s="3353"/>
      <c r="U1376" s="3353"/>
      <c r="V1376" s="3353"/>
      <c r="W1376" s="3353"/>
      <c r="X1376" s="3353"/>
      <c r="Y1376" s="3353"/>
      <c r="Z1376" s="3353"/>
      <c r="AA1376" s="3353"/>
      <c r="AB1376" s="3353"/>
      <c r="AC1376" s="3353"/>
      <c r="AD1376" s="3353"/>
      <c r="AE1376" s="3353"/>
      <c r="AF1376" s="3353"/>
      <c r="AG1376" s="3353"/>
      <c r="AH1376" s="3353"/>
      <c r="AI1376" s="3353"/>
      <c r="AJ1376" s="3353"/>
      <c r="AK1376" s="3353"/>
      <c r="AL1376" s="3353"/>
    </row>
    <row r="1377" spans="1:38" s="3309" customFormat="1" x14ac:dyDescent="0.2">
      <c r="A1377" s="3389" t="s">
        <v>2482</v>
      </c>
      <c r="B1377" s="3385" t="e">
        <f t="shared" ref="B1377:G1377" si="708">B1371/B523</f>
        <v>#VALUE!</v>
      </c>
      <c r="C1377" s="3385" t="e">
        <f t="shared" si="708"/>
        <v>#DIV/0!</v>
      </c>
      <c r="D1377" s="3385" t="e">
        <f t="shared" si="708"/>
        <v>#DIV/0!</v>
      </c>
      <c r="E1377" s="3385" t="e">
        <f t="shared" si="708"/>
        <v>#DIV/0!</v>
      </c>
      <c r="F1377" s="3385" t="e">
        <f t="shared" si="708"/>
        <v>#DIV/0!</v>
      </c>
      <c r="G1377" s="3385" t="e">
        <f t="shared" si="708"/>
        <v>#DIV/0!</v>
      </c>
      <c r="H1377" s="3353"/>
      <c r="I1377" s="3353"/>
      <c r="J1377" s="3353"/>
      <c r="K1377" s="3353"/>
      <c r="L1377" s="3353"/>
      <c r="M1377" s="3353"/>
      <c r="N1377" s="3353"/>
      <c r="O1377" s="3353"/>
      <c r="P1377" s="3353"/>
      <c r="Q1377" s="3353"/>
      <c r="R1377" s="3353"/>
      <c r="S1377" s="3353"/>
      <c r="T1377" s="3353"/>
      <c r="U1377" s="3353"/>
      <c r="V1377" s="3353"/>
      <c r="W1377" s="3353"/>
      <c r="X1377" s="3353"/>
      <c r="Y1377" s="3353"/>
      <c r="Z1377" s="3353"/>
      <c r="AA1377" s="3353"/>
      <c r="AB1377" s="3353"/>
      <c r="AC1377" s="3353"/>
      <c r="AD1377" s="3353"/>
      <c r="AE1377" s="3353"/>
      <c r="AF1377" s="3353"/>
      <c r="AG1377" s="3353"/>
      <c r="AH1377" s="3353"/>
      <c r="AI1377" s="3353"/>
      <c r="AJ1377" s="3353"/>
      <c r="AK1377" s="3353"/>
      <c r="AL1377" s="3353"/>
    </row>
    <row r="1378" spans="1:38" s="3309" customFormat="1" x14ac:dyDescent="0.2">
      <c r="A1378" s="3389" t="s">
        <v>5973</v>
      </c>
      <c r="B1378" s="3356" t="e">
        <f t="shared" ref="B1378:G1378" si="709">B1372/B523</f>
        <v>#DIV/0!</v>
      </c>
      <c r="C1378" s="3356" t="e">
        <f t="shared" si="709"/>
        <v>#DIV/0!</v>
      </c>
      <c r="D1378" s="3356" t="e">
        <f t="shared" si="709"/>
        <v>#DIV/0!</v>
      </c>
      <c r="E1378" s="3356" t="e">
        <f t="shared" si="709"/>
        <v>#DIV/0!</v>
      </c>
      <c r="F1378" s="3356" t="e">
        <f t="shared" si="709"/>
        <v>#DIV/0!</v>
      </c>
      <c r="G1378" s="3356" t="e">
        <f t="shared" si="709"/>
        <v>#DIV/0!</v>
      </c>
      <c r="H1378" s="3353"/>
      <c r="I1378" s="3353"/>
      <c r="J1378" s="3353"/>
      <c r="K1378" s="3353"/>
      <c r="L1378" s="3353"/>
      <c r="M1378" s="3353"/>
      <c r="N1378" s="3353"/>
      <c r="O1378" s="3353"/>
      <c r="P1378" s="3353"/>
      <c r="Q1378" s="3353"/>
      <c r="R1378" s="3353"/>
      <c r="S1378" s="3353"/>
      <c r="T1378" s="3353"/>
      <c r="U1378" s="3353"/>
      <c r="V1378" s="3353"/>
      <c r="W1378" s="3353"/>
      <c r="X1378" s="3353"/>
      <c r="Y1378" s="3353"/>
      <c r="Z1378" s="3353"/>
      <c r="AA1378" s="3353"/>
      <c r="AB1378" s="3353"/>
      <c r="AC1378" s="3353"/>
      <c r="AD1378" s="3353"/>
      <c r="AE1378" s="3353"/>
      <c r="AF1378" s="3353"/>
      <c r="AG1378" s="3353"/>
      <c r="AH1378" s="3353"/>
      <c r="AI1378" s="3353"/>
      <c r="AJ1378" s="3353"/>
      <c r="AK1378" s="3353"/>
      <c r="AL1378" s="3353"/>
    </row>
    <row r="1379" spans="1:38" s="3309" customFormat="1" ht="13.5" thickBot="1" x14ac:dyDescent="0.25">
      <c r="A1379" s="3388" t="s">
        <v>6158</v>
      </c>
      <c r="B1379" s="3385" t="e">
        <f t="shared" ref="B1379:G1379" si="710">B1373/B523</f>
        <v>#DIV/0!</v>
      </c>
      <c r="C1379" s="3385" t="e">
        <f t="shared" si="710"/>
        <v>#DIV/0!</v>
      </c>
      <c r="D1379" s="3385" t="e">
        <f t="shared" si="710"/>
        <v>#DIV/0!</v>
      </c>
      <c r="E1379" s="3385" t="e">
        <f t="shared" si="710"/>
        <v>#DIV/0!</v>
      </c>
      <c r="F1379" s="3385" t="e">
        <f t="shared" si="710"/>
        <v>#DIV/0!</v>
      </c>
      <c r="G1379" s="3385" t="e">
        <f t="shared" si="710"/>
        <v>#DIV/0!</v>
      </c>
      <c r="H1379" s="3353"/>
      <c r="I1379" s="3353"/>
      <c r="J1379" s="3353"/>
      <c r="K1379" s="3353"/>
      <c r="L1379" s="3353"/>
      <c r="M1379" s="3353"/>
      <c r="N1379" s="3353"/>
      <c r="O1379" s="3353"/>
      <c r="P1379" s="3353"/>
      <c r="Q1379" s="3353"/>
      <c r="R1379" s="3353"/>
      <c r="S1379" s="3353"/>
      <c r="T1379" s="3353"/>
      <c r="U1379" s="3353"/>
      <c r="V1379" s="3353"/>
      <c r="W1379" s="3353"/>
      <c r="X1379" s="3353"/>
      <c r="Y1379" s="3353"/>
      <c r="Z1379" s="3353"/>
      <c r="AA1379" s="3353"/>
      <c r="AB1379" s="3353"/>
      <c r="AC1379" s="3353"/>
      <c r="AD1379" s="3353"/>
      <c r="AE1379" s="3353"/>
      <c r="AF1379" s="3353"/>
      <c r="AG1379" s="3353"/>
      <c r="AH1379" s="3353"/>
      <c r="AI1379" s="3353"/>
      <c r="AJ1379" s="3353"/>
      <c r="AK1379" s="3353"/>
      <c r="AL1379" s="3353"/>
    </row>
    <row r="1380" spans="1:38" s="3309" customFormat="1" x14ac:dyDescent="0.2">
      <c r="H1380" s="3353"/>
      <c r="I1380" s="3353"/>
      <c r="J1380" s="3353"/>
      <c r="K1380" s="3353"/>
      <c r="L1380" s="3353"/>
      <c r="M1380" s="3353"/>
      <c r="N1380" s="3353"/>
      <c r="O1380" s="3353"/>
      <c r="P1380" s="3353"/>
      <c r="Q1380" s="3353"/>
      <c r="R1380" s="3353"/>
      <c r="S1380" s="3353"/>
      <c r="T1380" s="3353"/>
      <c r="U1380" s="3353"/>
      <c r="V1380" s="3353"/>
      <c r="W1380" s="3353"/>
      <c r="X1380" s="3353"/>
      <c r="Y1380" s="3353"/>
      <c r="Z1380" s="3353"/>
      <c r="AA1380" s="3353"/>
      <c r="AB1380" s="3353"/>
      <c r="AC1380" s="3353"/>
      <c r="AD1380" s="3353"/>
      <c r="AE1380" s="3353"/>
      <c r="AF1380" s="3353"/>
      <c r="AG1380" s="3353"/>
      <c r="AH1380" s="3353"/>
      <c r="AI1380" s="3353"/>
      <c r="AJ1380" s="3353"/>
      <c r="AK1380" s="3353"/>
      <c r="AL1380" s="3353"/>
    </row>
    <row r="1381" spans="1:38" s="3309" customFormat="1" x14ac:dyDescent="0.2">
      <c r="A1381" s="3489"/>
      <c r="B1381" s="3489"/>
      <c r="C1381" s="3489"/>
      <c r="D1381" s="3489"/>
      <c r="E1381" s="3489"/>
      <c r="F1381" s="3489"/>
      <c r="G1381" s="3489"/>
      <c r="H1381" s="3353"/>
      <c r="I1381" s="3353"/>
      <c r="J1381" s="3353"/>
      <c r="K1381" s="3353"/>
      <c r="L1381" s="3353"/>
      <c r="M1381" s="3353"/>
      <c r="N1381" s="3353"/>
      <c r="O1381" s="3353"/>
      <c r="P1381" s="3353"/>
      <c r="Q1381" s="3353"/>
      <c r="R1381" s="3353"/>
      <c r="S1381" s="3353"/>
      <c r="T1381" s="3353"/>
      <c r="U1381" s="3353"/>
      <c r="V1381" s="3353"/>
      <c r="W1381" s="3353"/>
      <c r="X1381" s="3353"/>
      <c r="Y1381" s="3353"/>
      <c r="Z1381" s="3353"/>
      <c r="AA1381" s="3353"/>
      <c r="AB1381" s="3353"/>
      <c r="AC1381" s="3353"/>
      <c r="AD1381" s="3353"/>
      <c r="AE1381" s="3353"/>
      <c r="AF1381" s="3353"/>
      <c r="AG1381" s="3353"/>
      <c r="AH1381" s="3353"/>
      <c r="AI1381" s="3353"/>
      <c r="AJ1381" s="3353"/>
      <c r="AK1381" s="3353"/>
      <c r="AL1381" s="3353"/>
    </row>
    <row r="1382" spans="1:38" s="3309" customFormat="1" x14ac:dyDescent="0.2">
      <c r="A1382" s="3489"/>
      <c r="B1382" s="3489"/>
      <c r="C1382" s="3489"/>
      <c r="D1382" s="3489"/>
      <c r="E1382" s="3489"/>
      <c r="F1382" s="3489"/>
      <c r="G1382" s="3489"/>
      <c r="H1382" s="3353"/>
      <c r="I1382" s="3353"/>
      <c r="J1382" s="3353"/>
      <c r="K1382" s="3353"/>
      <c r="L1382" s="3353"/>
      <c r="M1382" s="3353"/>
      <c r="N1382" s="3353"/>
      <c r="O1382" s="3353"/>
      <c r="P1382" s="3353"/>
      <c r="Q1382" s="3353"/>
      <c r="R1382" s="3353"/>
      <c r="S1382" s="3353"/>
      <c r="T1382" s="3353"/>
      <c r="U1382" s="3353"/>
      <c r="V1382" s="3353"/>
      <c r="W1382" s="3353"/>
      <c r="X1382" s="3353"/>
      <c r="Y1382" s="3353"/>
      <c r="Z1382" s="3353"/>
      <c r="AA1382" s="3353"/>
      <c r="AB1382" s="3353"/>
      <c r="AC1382" s="3353"/>
      <c r="AD1382" s="3353"/>
      <c r="AE1382" s="3353"/>
      <c r="AF1382" s="3353"/>
      <c r="AG1382" s="3353"/>
      <c r="AH1382" s="3353"/>
      <c r="AI1382" s="3353"/>
      <c r="AJ1382" s="3353"/>
      <c r="AK1382" s="3353"/>
      <c r="AL1382" s="3353"/>
    </row>
    <row r="1383" spans="1:38" s="3309" customFormat="1" x14ac:dyDescent="0.2">
      <c r="A1383" s="3489"/>
      <c r="B1383" s="3489"/>
      <c r="C1383" s="3489"/>
      <c r="D1383" s="3489"/>
      <c r="E1383" s="3489"/>
      <c r="F1383" s="3489"/>
      <c r="G1383" s="3489"/>
      <c r="H1383" s="3353"/>
      <c r="I1383" s="3353"/>
      <c r="J1383" s="3353"/>
      <c r="K1383" s="3353"/>
      <c r="L1383" s="3353"/>
      <c r="M1383" s="3353"/>
      <c r="N1383" s="3353"/>
      <c r="O1383" s="3353"/>
      <c r="P1383" s="3353"/>
      <c r="Q1383" s="3353"/>
      <c r="R1383" s="3353"/>
      <c r="S1383" s="3353"/>
      <c r="T1383" s="3353"/>
      <c r="U1383" s="3353"/>
      <c r="V1383" s="3353"/>
      <c r="W1383" s="3353"/>
      <c r="X1383" s="3353"/>
      <c r="Y1383" s="3353"/>
      <c r="Z1383" s="3353"/>
      <c r="AA1383" s="3353"/>
      <c r="AB1383" s="3353"/>
      <c r="AC1383" s="3353"/>
      <c r="AD1383" s="3353"/>
      <c r="AE1383" s="3353"/>
      <c r="AF1383" s="3353"/>
      <c r="AG1383" s="3353"/>
      <c r="AH1383" s="3353"/>
      <c r="AI1383" s="3353"/>
      <c r="AJ1383" s="3353"/>
      <c r="AK1383" s="3353"/>
      <c r="AL1383" s="3353"/>
    </row>
    <row r="1384" spans="1:38" s="3309" customFormat="1" x14ac:dyDescent="0.2">
      <c r="A1384" s="3581"/>
      <c r="B1384" s="3489"/>
      <c r="C1384" s="3489"/>
      <c r="D1384" s="3489"/>
      <c r="E1384" s="3489"/>
      <c r="F1384" s="3489"/>
      <c r="G1384" s="3489"/>
      <c r="H1384" s="3385"/>
      <c r="I1384" s="3385"/>
      <c r="J1384" s="3385"/>
      <c r="K1384" s="3385"/>
      <c r="L1384" s="3385"/>
      <c r="M1384" s="3385"/>
      <c r="N1384" s="3353"/>
      <c r="O1384" s="3353"/>
      <c r="P1384" s="3353"/>
      <c r="Q1384" s="3353"/>
      <c r="R1384" s="3353"/>
      <c r="S1384" s="3353"/>
      <c r="T1384" s="3353"/>
      <c r="U1384" s="3353"/>
      <c r="V1384" s="3353"/>
      <c r="W1384" s="3353"/>
      <c r="X1384" s="3353"/>
      <c r="Y1384" s="3353"/>
      <c r="Z1384" s="3353"/>
      <c r="AA1384" s="3353"/>
      <c r="AB1384" s="3353"/>
      <c r="AC1384" s="3353"/>
      <c r="AD1384" s="3353"/>
      <c r="AE1384" s="3353"/>
      <c r="AF1384" s="3353"/>
      <c r="AG1384" s="3353"/>
      <c r="AH1384" s="3353"/>
      <c r="AI1384" s="3353"/>
      <c r="AJ1384" s="3353"/>
      <c r="AK1384" s="3353"/>
      <c r="AL1384" s="3353"/>
    </row>
    <row r="1385" spans="1:38" s="3309" customFormat="1" ht="20.25" x14ac:dyDescent="0.3">
      <c r="A1385" s="4780" t="s">
        <v>2747</v>
      </c>
      <c r="B1385" s="4780"/>
      <c r="C1385" s="4780"/>
      <c r="D1385" s="4780"/>
      <c r="E1385" s="4780"/>
      <c r="F1385" s="4780"/>
      <c r="G1385" s="4780"/>
      <c r="H1385" s="3353"/>
      <c r="I1385" s="3353"/>
      <c r="J1385" s="3353"/>
      <c r="K1385" s="3353"/>
      <c r="L1385" s="3353"/>
      <c r="M1385" s="3353"/>
      <c r="N1385" s="3353"/>
      <c r="O1385" s="3353"/>
      <c r="P1385" s="3353"/>
      <c r="Q1385" s="3353"/>
      <c r="R1385" s="3353"/>
      <c r="S1385" s="3353"/>
      <c r="T1385" s="3353"/>
      <c r="U1385" s="3353"/>
      <c r="V1385" s="3353"/>
      <c r="W1385" s="3353"/>
      <c r="X1385" s="3353"/>
      <c r="Y1385" s="3353"/>
      <c r="Z1385" s="3353"/>
      <c r="AA1385" s="3353"/>
      <c r="AB1385" s="3353"/>
      <c r="AC1385" s="3353"/>
      <c r="AD1385" s="3353"/>
      <c r="AE1385" s="3353"/>
      <c r="AF1385" s="3353"/>
      <c r="AG1385" s="3353"/>
      <c r="AH1385" s="3353"/>
      <c r="AI1385" s="3353"/>
      <c r="AJ1385" s="3353"/>
      <c r="AK1385" s="3353"/>
      <c r="AL1385" s="3353"/>
    </row>
    <row r="1386" spans="1:38" s="3309" customFormat="1" x14ac:dyDescent="0.2">
      <c r="A1386" s="3580" t="s">
        <v>4438</v>
      </c>
      <c r="B1386" s="3365"/>
      <c r="C1386" s="3365"/>
      <c r="D1386" s="3365"/>
      <c r="E1386" s="3365"/>
      <c r="F1386" s="3365"/>
      <c r="G1386" s="3365"/>
      <c r="H1386" s="3353"/>
      <c r="I1386" s="3353"/>
      <c r="J1386" s="3353"/>
      <c r="K1386" s="3353"/>
      <c r="L1386" s="3353"/>
      <c r="M1386" s="3353"/>
      <c r="N1386" s="3353"/>
      <c r="O1386" s="3353"/>
      <c r="P1386" s="3353"/>
      <c r="Q1386" s="3353"/>
      <c r="R1386" s="3353"/>
      <c r="S1386" s="3353"/>
      <c r="T1386" s="3353"/>
      <c r="U1386" s="3353"/>
      <c r="V1386" s="3353"/>
      <c r="W1386" s="3353"/>
      <c r="X1386" s="3353"/>
      <c r="Y1386" s="3353"/>
      <c r="Z1386" s="3353"/>
      <c r="AA1386" s="3353"/>
      <c r="AB1386" s="3353"/>
      <c r="AC1386" s="3353"/>
      <c r="AD1386" s="3353"/>
      <c r="AE1386" s="3353"/>
      <c r="AF1386" s="3353"/>
      <c r="AG1386" s="3353"/>
      <c r="AH1386" s="3353"/>
      <c r="AI1386" s="3353"/>
      <c r="AJ1386" s="3353"/>
      <c r="AK1386" s="3353"/>
      <c r="AL1386" s="3353"/>
    </row>
    <row r="1387" spans="1:38" s="3309" customFormat="1" x14ac:dyDescent="0.2">
      <c r="A1387" s="3457" t="s">
        <v>255</v>
      </c>
      <c r="B1387" s="3380" t="e">
        <f t="shared" ref="B1387" si="711">B782</f>
        <v>#VALUE!</v>
      </c>
      <c r="C1387" s="3380"/>
      <c r="D1387" s="3380"/>
      <c r="E1387" s="3380"/>
      <c r="F1387" s="3380"/>
      <c r="G1387" s="3380"/>
      <c r="H1387" s="3353"/>
      <c r="I1387" s="3353"/>
      <c r="J1387" s="3353"/>
      <c r="K1387" s="3353"/>
      <c r="L1387" s="3353"/>
      <c r="M1387" s="3353"/>
      <c r="N1387" s="3353"/>
      <c r="O1387" s="3353"/>
      <c r="P1387" s="3353"/>
      <c r="Q1387" s="3353"/>
      <c r="R1387" s="3353"/>
      <c r="S1387" s="3353"/>
      <c r="T1387" s="3353"/>
      <c r="U1387" s="3353"/>
      <c r="V1387" s="3353"/>
      <c r="W1387" s="3353"/>
      <c r="X1387" s="3353"/>
      <c r="Y1387" s="3353"/>
      <c r="Z1387" s="3353"/>
      <c r="AA1387" s="3353"/>
      <c r="AB1387" s="3353"/>
      <c r="AC1387" s="3353"/>
      <c r="AD1387" s="3353"/>
      <c r="AE1387" s="3353"/>
      <c r="AF1387" s="3353"/>
      <c r="AG1387" s="3353"/>
      <c r="AH1387" s="3353"/>
      <c r="AI1387" s="3353"/>
      <c r="AJ1387" s="3353"/>
      <c r="AK1387" s="3353"/>
      <c r="AL1387" s="3353"/>
    </row>
    <row r="1388" spans="1:38" s="3309" customFormat="1" x14ac:dyDescent="0.2">
      <c r="A1388" s="3380"/>
      <c r="B1388" s="3380"/>
      <c r="C1388" s="3380"/>
      <c r="D1388" s="3380"/>
      <c r="E1388" s="3380"/>
      <c r="F1388" s="3380"/>
      <c r="G1388" s="3380"/>
    </row>
    <row r="1389" spans="1:38" s="3309" customFormat="1" x14ac:dyDescent="0.2">
      <c r="A1389" s="3380" t="s">
        <v>4331</v>
      </c>
      <c r="B1389" s="3380">
        <f t="shared" ref="B1389:B1395" si="712">B783</f>
        <v>0.9</v>
      </c>
      <c r="C1389" s="3380"/>
      <c r="D1389" s="3380"/>
      <c r="E1389" s="3380"/>
      <c r="F1389" s="3380"/>
      <c r="G1389" s="3380"/>
      <c r="H1389" s="3489"/>
    </row>
    <row r="1390" spans="1:38" s="3309" customFormat="1" x14ac:dyDescent="0.2">
      <c r="A1390" s="3380" t="s">
        <v>4332</v>
      </c>
      <c r="B1390" s="3380" t="e">
        <f t="shared" si="712"/>
        <v>#VALUE!</v>
      </c>
      <c r="C1390" s="3380"/>
      <c r="D1390" s="3380"/>
      <c r="E1390" s="3380"/>
      <c r="F1390" s="3380"/>
      <c r="G1390" s="3380"/>
      <c r="H1390" s="3489"/>
    </row>
    <row r="1391" spans="1:38" s="3309" customFormat="1" x14ac:dyDescent="0.2">
      <c r="A1391" s="3380" t="s">
        <v>4333</v>
      </c>
      <c r="B1391" s="3380">
        <f t="shared" si="712"/>
        <v>1.35</v>
      </c>
      <c r="C1391" s="3380"/>
      <c r="D1391" s="3380"/>
      <c r="E1391" s="3380"/>
      <c r="F1391" s="3380"/>
      <c r="G1391" s="3380"/>
      <c r="H1391" s="3489"/>
    </row>
    <row r="1392" spans="1:38" s="3309" customFormat="1" x14ac:dyDescent="0.2">
      <c r="A1392" s="3380" t="s">
        <v>256</v>
      </c>
      <c r="B1392" s="3380">
        <f t="shared" si="712"/>
        <v>1.35</v>
      </c>
      <c r="C1392" s="3380"/>
      <c r="D1392" s="3380"/>
      <c r="E1392" s="3380"/>
      <c r="F1392" s="3380"/>
      <c r="G1392" s="3380"/>
      <c r="H1392" s="3489"/>
    </row>
    <row r="1393" spans="1:8" s="3309" customFormat="1" x14ac:dyDescent="0.2">
      <c r="A1393" s="3380" t="s">
        <v>962</v>
      </c>
      <c r="B1393" s="3380">
        <f t="shared" si="712"/>
        <v>0.99</v>
      </c>
      <c r="C1393" s="3380"/>
      <c r="D1393" s="3380"/>
      <c r="E1393" s="3380"/>
      <c r="F1393" s="3380"/>
      <c r="G1393" s="3380"/>
      <c r="H1393" s="3489"/>
    </row>
    <row r="1394" spans="1:8" s="3309" customFormat="1" x14ac:dyDescent="0.2">
      <c r="A1394" s="3579" t="s">
        <v>3059</v>
      </c>
      <c r="B1394" s="3380" t="e">
        <f t="shared" si="712"/>
        <v>#VALUE!</v>
      </c>
      <c r="C1394" s="3380"/>
      <c r="D1394" s="3380"/>
      <c r="E1394" s="3380"/>
      <c r="F1394" s="3380"/>
      <c r="G1394" s="3380"/>
    </row>
    <row r="1395" spans="1:8" s="3309" customFormat="1" x14ac:dyDescent="0.2">
      <c r="A1395" s="3564" t="s">
        <v>1838</v>
      </c>
      <c r="B1395" s="3380" t="e">
        <f t="shared" si="712"/>
        <v>#VALUE!</v>
      </c>
      <c r="C1395" s="3380"/>
      <c r="D1395" s="3380"/>
      <c r="E1395" s="3380"/>
      <c r="F1395" s="3380"/>
      <c r="G1395" s="3380"/>
    </row>
    <row r="1396" spans="1:8" s="3309" customFormat="1" x14ac:dyDescent="0.2"/>
    <row r="1397" spans="1:8" s="3309" customFormat="1" x14ac:dyDescent="0.2">
      <c r="A1397" s="3489"/>
      <c r="B1397" s="3489"/>
      <c r="C1397" s="3489"/>
      <c r="D1397" s="3489"/>
      <c r="E1397" s="3489"/>
      <c r="F1397" s="3489"/>
      <c r="G1397" s="3489"/>
    </row>
    <row r="1398" spans="1:8" s="3309" customFormat="1" x14ac:dyDescent="0.2"/>
    <row r="1399" spans="1:8" s="3309" customFormat="1" x14ac:dyDescent="0.2">
      <c r="A1399" s="3578" t="s">
        <v>4142</v>
      </c>
      <c r="B1399" s="3577"/>
      <c r="C1399" s="3576"/>
      <c r="D1399" s="3576"/>
      <c r="E1399" s="3576"/>
      <c r="F1399" s="3576"/>
      <c r="G1399" s="3576"/>
    </row>
    <row r="1400" spans="1:8" s="3309" customFormat="1" x14ac:dyDescent="0.2">
      <c r="A1400" s="3571" t="s">
        <v>608</v>
      </c>
      <c r="B1400" s="3409" t="str">
        <f t="shared" ref="B1400:B1401" si="713">B735</f>
        <v/>
      </c>
      <c r="C1400" s="3409"/>
      <c r="D1400" s="3409"/>
      <c r="E1400" s="3409"/>
      <c r="F1400" s="3409"/>
      <c r="G1400" s="3409"/>
    </row>
    <row r="1401" spans="1:8" s="3309" customFormat="1" x14ac:dyDescent="0.2">
      <c r="A1401" s="3571" t="s">
        <v>1398</v>
      </c>
      <c r="B1401" s="3409" t="b">
        <f t="shared" si="713"/>
        <v>0</v>
      </c>
      <c r="C1401" s="3409"/>
      <c r="D1401" s="3409"/>
      <c r="E1401" s="3409"/>
      <c r="F1401" s="3409"/>
      <c r="G1401" s="3409"/>
    </row>
    <row r="1402" spans="1:8" s="3309" customFormat="1" x14ac:dyDescent="0.2">
      <c r="A1402" s="3575" t="s">
        <v>2532</v>
      </c>
      <c r="B1402" s="3409" t="b">
        <f t="shared" ref="B1402:B1403" si="714">B762</f>
        <v>0</v>
      </c>
      <c r="C1402" s="3409"/>
      <c r="D1402" s="3409"/>
      <c r="E1402" s="3409"/>
      <c r="F1402" s="3409"/>
      <c r="G1402" s="3409"/>
    </row>
    <row r="1403" spans="1:8" s="3309" customFormat="1" x14ac:dyDescent="0.2">
      <c r="A1403" s="3575" t="s">
        <v>6157</v>
      </c>
      <c r="B1403" s="3409">
        <f t="shared" si="714"/>
        <v>1</v>
      </c>
      <c r="C1403" s="3409"/>
      <c r="D1403" s="3409"/>
      <c r="E1403" s="3409"/>
      <c r="F1403" s="3409"/>
      <c r="G1403" s="3409"/>
    </row>
    <row r="1404" spans="1:8" s="3309" customFormat="1" x14ac:dyDescent="0.2">
      <c r="A1404" s="3575" t="s">
        <v>6156</v>
      </c>
      <c r="B1404" s="3409">
        <f t="shared" ref="B1404" si="715">B771</f>
        <v>0.8</v>
      </c>
      <c r="C1404" s="3409"/>
      <c r="D1404" s="3409"/>
      <c r="E1404" s="3409"/>
      <c r="F1404" s="3409"/>
      <c r="G1404" s="3409"/>
    </row>
    <row r="1405" spans="1:8" s="3309" customFormat="1" x14ac:dyDescent="0.2">
      <c r="A1405" s="3575" t="s">
        <v>3716</v>
      </c>
      <c r="B1405" s="3409" t="str">
        <f t="shared" ref="B1405" si="716">B746</f>
        <v/>
      </c>
      <c r="C1405" s="3409"/>
      <c r="D1405" s="3409"/>
      <c r="E1405" s="3409"/>
      <c r="F1405" s="3409"/>
      <c r="G1405" s="3409"/>
      <c r="H1405" s="3489"/>
    </row>
    <row r="1406" spans="1:8" s="3309" customFormat="1" x14ac:dyDescent="0.2">
      <c r="A1406" s="3575" t="s">
        <v>1029</v>
      </c>
      <c r="B1406" s="3409">
        <f t="shared" ref="B1406" si="717">B748</f>
        <v>0.98</v>
      </c>
      <c r="C1406" s="3409"/>
      <c r="D1406" s="3409"/>
      <c r="E1406" s="3409"/>
      <c r="F1406" s="3409"/>
      <c r="G1406" s="3409"/>
    </row>
    <row r="1407" spans="1:8" s="3309" customFormat="1" x14ac:dyDescent="0.2">
      <c r="A1407" s="3575" t="s">
        <v>2667</v>
      </c>
      <c r="B1407" s="3409">
        <f t="shared" ref="B1407:B1408" si="718">B764</f>
        <v>2.2000000000000002</v>
      </c>
      <c r="C1407" s="3409"/>
      <c r="D1407" s="3409"/>
      <c r="E1407" s="3409"/>
      <c r="F1407" s="3409"/>
      <c r="G1407" s="3409"/>
      <c r="H1407" s="3353"/>
    </row>
    <row r="1408" spans="1:8" s="3309" customFormat="1" x14ac:dyDescent="0.2">
      <c r="A1408" s="3575" t="s">
        <v>2668</v>
      </c>
      <c r="B1408" s="3409">
        <f t="shared" si="718"/>
        <v>0.7</v>
      </c>
      <c r="C1408" s="3409"/>
      <c r="D1408" s="3409"/>
      <c r="E1408" s="3409"/>
      <c r="F1408" s="3409"/>
      <c r="G1408" s="3409"/>
      <c r="H1408" s="3353"/>
    </row>
    <row r="1409" spans="1:30" s="3309" customFormat="1" x14ac:dyDescent="0.2">
      <c r="A1409" s="3575" t="s">
        <v>1026</v>
      </c>
      <c r="B1409" s="3409">
        <f t="shared" ref="B1409:B1412" si="719">B752</f>
        <v>5</v>
      </c>
      <c r="C1409" s="3409"/>
      <c r="D1409" s="3409"/>
      <c r="E1409" s="3409"/>
      <c r="F1409" s="3409"/>
      <c r="G1409" s="3409"/>
      <c r="H1409" s="3353"/>
    </row>
    <row r="1410" spans="1:30" s="3309" customFormat="1" x14ac:dyDescent="0.2">
      <c r="A1410" s="3575" t="s">
        <v>3263</v>
      </c>
      <c r="B1410" s="3409">
        <f t="shared" si="719"/>
        <v>0</v>
      </c>
      <c r="C1410" s="3409"/>
      <c r="D1410" s="3409"/>
      <c r="E1410" s="3409"/>
      <c r="F1410" s="3409"/>
      <c r="G1410" s="3409"/>
      <c r="H1410" s="3353"/>
    </row>
    <row r="1411" spans="1:30" s="3309" customFormat="1" ht="25.5" x14ac:dyDescent="0.2">
      <c r="A1411" s="3574" t="s">
        <v>6155</v>
      </c>
      <c r="B1411" s="3409" t="e">
        <f t="shared" si="719"/>
        <v>#VALUE!</v>
      </c>
      <c r="C1411" s="3409"/>
      <c r="D1411" s="3409"/>
      <c r="E1411" s="3409"/>
      <c r="F1411" s="3409"/>
      <c r="G1411" s="3409"/>
      <c r="H1411" s="3353"/>
    </row>
    <row r="1412" spans="1:30" s="3309" customFormat="1" x14ac:dyDescent="0.2">
      <c r="A1412" s="3575" t="s">
        <v>6154</v>
      </c>
      <c r="B1412" s="3409">
        <f t="shared" si="719"/>
        <v>1</v>
      </c>
      <c r="C1412" s="3409"/>
      <c r="D1412" s="3409"/>
      <c r="E1412" s="3409"/>
      <c r="F1412" s="3409"/>
      <c r="G1412" s="3409"/>
      <c r="H1412" s="3353"/>
    </row>
    <row r="1413" spans="1:30" s="3309" customFormat="1" x14ac:dyDescent="0.2">
      <c r="A1413" s="3575" t="s">
        <v>1082</v>
      </c>
      <c r="B1413" s="3409" t="str">
        <f t="shared" ref="B1413" si="720">B750</f>
        <v/>
      </c>
      <c r="C1413" s="3409"/>
      <c r="D1413" s="3409"/>
      <c r="E1413" s="3409"/>
      <c r="F1413" s="3409"/>
      <c r="G1413" s="3409"/>
      <c r="H1413" s="3353"/>
    </row>
    <row r="1414" spans="1:30" s="3309" customFormat="1" ht="25.5" x14ac:dyDescent="0.2">
      <c r="A1414" s="3574" t="s">
        <v>1025</v>
      </c>
      <c r="B1414" s="3409" t="str">
        <f t="shared" ref="B1414" si="721">B756</f>
        <v/>
      </c>
      <c r="C1414" s="3409"/>
      <c r="D1414" s="3409"/>
      <c r="E1414" s="3409"/>
      <c r="F1414" s="3409"/>
      <c r="G1414" s="3409"/>
      <c r="H1414" s="3353"/>
    </row>
    <row r="1415" spans="1:30" s="3309" customFormat="1" ht="25.5" x14ac:dyDescent="0.2">
      <c r="A1415" s="3574" t="s">
        <v>5569</v>
      </c>
      <c r="B1415" s="3409">
        <f t="shared" ref="B1415" si="722">B766</f>
        <v>1</v>
      </c>
      <c r="C1415" s="3409"/>
      <c r="D1415" s="3409"/>
      <c r="E1415" s="3409"/>
      <c r="F1415" s="3409"/>
      <c r="G1415" s="3409"/>
      <c r="H1415" s="3353"/>
    </row>
    <row r="1416" spans="1:30" s="3309" customFormat="1" x14ac:dyDescent="0.2">
      <c r="A1416" s="3574" t="s">
        <v>6153</v>
      </c>
      <c r="B1416" s="3409" t="e">
        <f t="shared" ref="B1416" si="723">B747</f>
        <v>#VALUE!</v>
      </c>
      <c r="C1416" s="3409"/>
      <c r="D1416" s="3409"/>
      <c r="E1416" s="3409"/>
      <c r="F1416" s="3409"/>
      <c r="G1416" s="3409"/>
      <c r="H1416" s="3353"/>
    </row>
    <row r="1417" spans="1:30" s="3309" customFormat="1" x14ac:dyDescent="0.2">
      <c r="A1417" s="3574" t="s">
        <v>1505</v>
      </c>
      <c r="B1417" s="3409">
        <f t="shared" ref="B1417" si="724">B751</f>
        <v>0</v>
      </c>
      <c r="C1417" s="3409"/>
      <c r="D1417" s="3409"/>
      <c r="E1417" s="3409"/>
      <c r="F1417" s="3409"/>
      <c r="G1417" s="3409"/>
      <c r="H1417" s="3353"/>
    </row>
    <row r="1418" spans="1:30" s="3309" customFormat="1" x14ac:dyDescent="0.2">
      <c r="A1418" s="3574" t="s">
        <v>6152</v>
      </c>
      <c r="B1418" s="3409">
        <f t="shared" ref="B1418" si="725">B745</f>
        <v>0</v>
      </c>
      <c r="C1418" s="3409"/>
      <c r="D1418" s="3409"/>
      <c r="E1418" s="3409"/>
      <c r="F1418" s="3409"/>
      <c r="G1418" s="3409"/>
      <c r="H1418" s="3353"/>
    </row>
    <row r="1419" spans="1:30" s="3309" customFormat="1" x14ac:dyDescent="0.2">
      <c r="A1419" s="3574" t="s">
        <v>5251</v>
      </c>
      <c r="B1419" s="3409">
        <f t="shared" ref="B1419" si="726">B761</f>
        <v>1</v>
      </c>
      <c r="C1419" s="3409"/>
      <c r="D1419" s="3409"/>
      <c r="E1419" s="3409"/>
      <c r="F1419" s="3409"/>
      <c r="G1419" s="3409"/>
      <c r="H1419" s="3353"/>
    </row>
    <row r="1420" spans="1:30" s="3309" customFormat="1" x14ac:dyDescent="0.2">
      <c r="A1420" s="3573" t="s">
        <v>6151</v>
      </c>
      <c r="B1420" s="3572"/>
      <c r="C1420" s="3572"/>
      <c r="D1420" s="3572"/>
      <c r="E1420" s="3572"/>
      <c r="F1420" s="3572"/>
      <c r="G1420" s="3572"/>
      <c r="H1420" s="3353"/>
    </row>
    <row r="1421" spans="1:30" s="3309" customFormat="1" x14ac:dyDescent="0.2">
      <c r="A1421" s="3571" t="s">
        <v>6150</v>
      </c>
      <c r="B1421" s="3409" t="b">
        <f t="shared" ref="B1421" si="727">B767</f>
        <v>0</v>
      </c>
      <c r="C1421" s="3409"/>
      <c r="D1421" s="3409"/>
      <c r="E1421" s="3409"/>
      <c r="F1421" s="3409"/>
      <c r="G1421" s="3409"/>
      <c r="H1421" s="3353"/>
    </row>
    <row r="1422" spans="1:30" s="3309" customFormat="1" ht="25.5" x14ac:dyDescent="0.2">
      <c r="A1422" s="3570" t="s">
        <v>6149</v>
      </c>
      <c r="B1422" s="3409">
        <f t="shared" ref="B1422" si="728">B769</f>
        <v>2</v>
      </c>
      <c r="C1422" s="3409"/>
      <c r="D1422" s="3409"/>
      <c r="E1422" s="3409"/>
      <c r="F1422" s="3409"/>
      <c r="G1422" s="3409"/>
      <c r="H1422" s="3353"/>
      <c r="Z1422" s="3568"/>
      <c r="AA1422" s="3568"/>
      <c r="AB1422" s="3568"/>
      <c r="AC1422" s="3568"/>
      <c r="AD1422" s="3568"/>
    </row>
    <row r="1423" spans="1:30" s="3309" customFormat="1" ht="25.5" x14ac:dyDescent="0.2">
      <c r="A1423" s="3570" t="s">
        <v>6148</v>
      </c>
      <c r="B1423" s="3428">
        <f t="shared" ref="B1423" si="729">B766</f>
        <v>1</v>
      </c>
      <c r="C1423" s="3428"/>
      <c r="D1423" s="3428"/>
      <c r="E1423" s="3428"/>
      <c r="F1423" s="3428"/>
      <c r="G1423" s="3428"/>
      <c r="H1423" s="3353"/>
      <c r="Z1423" s="3568"/>
      <c r="AA1423" s="3568"/>
      <c r="AB1423" s="3568"/>
      <c r="AC1423" s="3568"/>
      <c r="AD1423" s="3568"/>
    </row>
    <row r="1424" spans="1:30" s="3309" customFormat="1" x14ac:dyDescent="0.2">
      <c r="A1424" s="3570" t="s">
        <v>6147</v>
      </c>
      <c r="B1424" s="3409">
        <f t="shared" ref="B1424" si="730">B768</f>
        <v>1</v>
      </c>
      <c r="C1424" s="3409"/>
      <c r="D1424" s="3409"/>
      <c r="E1424" s="3409"/>
      <c r="F1424" s="3409"/>
      <c r="G1424" s="3409"/>
      <c r="H1424" s="3353"/>
      <c r="Z1424" s="3568"/>
      <c r="AA1424" s="3568"/>
      <c r="AB1424" s="3568"/>
      <c r="AC1424" s="3568"/>
      <c r="AD1424" s="3568"/>
    </row>
    <row r="1425" spans="1:30" s="3309" customFormat="1" x14ac:dyDescent="0.2">
      <c r="A1425" s="3569" t="s">
        <v>6146</v>
      </c>
      <c r="B1425" s="3409" t="str">
        <f t="shared" ref="B1425:B1426" si="731">B757</f>
        <v/>
      </c>
      <c r="C1425" s="3409"/>
      <c r="D1425" s="3409"/>
      <c r="E1425" s="3409"/>
      <c r="F1425" s="3409"/>
      <c r="G1425" s="3409"/>
      <c r="H1425" s="3353"/>
      <c r="Z1425" s="3568"/>
      <c r="AA1425" s="3568"/>
      <c r="AB1425" s="3568"/>
      <c r="AC1425" s="3568"/>
      <c r="AD1425" s="3568"/>
    </row>
    <row r="1426" spans="1:30" s="3309" customFormat="1" ht="51" x14ac:dyDescent="0.2">
      <c r="A1426" s="3567" t="s">
        <v>252</v>
      </c>
      <c r="B1426" s="3436">
        <f t="shared" si="731"/>
        <v>3</v>
      </c>
      <c r="C1426" s="3436"/>
      <c r="D1426" s="3436"/>
      <c r="E1426" s="3436"/>
      <c r="F1426" s="3436"/>
      <c r="G1426" s="3436"/>
      <c r="H1426" s="3353"/>
      <c r="Z1426" s="3568"/>
      <c r="AA1426" s="3568"/>
      <c r="AB1426" s="3568"/>
      <c r="AC1426" s="3568"/>
      <c r="AD1426" s="3568"/>
    </row>
    <row r="1427" spans="1:30" s="3309" customFormat="1" x14ac:dyDescent="0.2">
      <c r="A1427" s="3567" t="s">
        <v>3315</v>
      </c>
      <c r="B1427" s="3436">
        <f t="shared" ref="B1427" si="732">B745</f>
        <v>0</v>
      </c>
      <c r="C1427" s="3436"/>
      <c r="D1427" s="3436"/>
      <c r="E1427" s="3436"/>
      <c r="F1427" s="3436"/>
      <c r="G1427" s="3436"/>
      <c r="H1427" s="3353"/>
      <c r="Z1427" s="3568"/>
      <c r="AA1427" s="3568"/>
      <c r="AB1427" s="3568"/>
      <c r="AC1427" s="3568"/>
      <c r="AD1427" s="3568"/>
    </row>
    <row r="1428" spans="1:30" s="3309" customFormat="1" ht="51" x14ac:dyDescent="0.2">
      <c r="A1428" s="3567" t="s">
        <v>253</v>
      </c>
      <c r="B1428" s="3436" t="str">
        <f t="shared" ref="B1428" si="733">B759</f>
        <v/>
      </c>
      <c r="C1428" s="3436"/>
      <c r="D1428" s="3436"/>
      <c r="E1428" s="3436"/>
      <c r="F1428" s="3436"/>
      <c r="G1428" s="3436"/>
      <c r="H1428" s="3353"/>
      <c r="Z1428" s="3568"/>
      <c r="AA1428" s="3568"/>
      <c r="AB1428" s="3568"/>
      <c r="AC1428" s="3568"/>
      <c r="AD1428" s="3568"/>
    </row>
    <row r="1429" spans="1:30" s="3309" customFormat="1" x14ac:dyDescent="0.2">
      <c r="A1429" s="3567" t="s">
        <v>3162</v>
      </c>
      <c r="B1429" s="3436" t="e">
        <f t="shared" ref="B1429:G1429" si="734">B749</f>
        <v>#VALUE!</v>
      </c>
      <c r="C1429" s="3436">
        <f t="shared" si="734"/>
        <v>0</v>
      </c>
      <c r="D1429" s="3436">
        <f t="shared" si="734"/>
        <v>0</v>
      </c>
      <c r="E1429" s="3436">
        <f t="shared" si="734"/>
        <v>0</v>
      </c>
      <c r="F1429" s="3436">
        <f t="shared" si="734"/>
        <v>0</v>
      </c>
      <c r="G1429" s="3436">
        <f t="shared" si="734"/>
        <v>0</v>
      </c>
      <c r="H1429" s="3353"/>
      <c r="Z1429" s="3568"/>
      <c r="AA1429" s="3568"/>
      <c r="AB1429" s="3568"/>
      <c r="AC1429" s="3568"/>
      <c r="AD1429" s="3568"/>
    </row>
    <row r="1430" spans="1:30" s="3309" customFormat="1" ht="26.25" customHeight="1" x14ac:dyDescent="0.2">
      <c r="A1430" s="3567" t="s">
        <v>254</v>
      </c>
      <c r="B1430" s="3436">
        <f t="shared" ref="B1430:G1430" si="735">B780</f>
        <v>0</v>
      </c>
      <c r="C1430" s="3436">
        <f t="shared" si="735"/>
        <v>3</v>
      </c>
      <c r="D1430" s="3436">
        <f t="shared" si="735"/>
        <v>3</v>
      </c>
      <c r="E1430" s="3436">
        <f t="shared" si="735"/>
        <v>3</v>
      </c>
      <c r="F1430" s="3436">
        <f t="shared" si="735"/>
        <v>3</v>
      </c>
      <c r="G1430" s="3436">
        <f t="shared" si="735"/>
        <v>3</v>
      </c>
      <c r="H1430" s="3353"/>
      <c r="Z1430" s="4769"/>
      <c r="AA1430" s="4769"/>
      <c r="AB1430" s="4769"/>
      <c r="AC1430" s="4769"/>
      <c r="AD1430" s="4769"/>
    </row>
    <row r="1431" spans="1:30" s="3309" customFormat="1" ht="26.25" customHeight="1" x14ac:dyDescent="0.2">
      <c r="A1431" s="3567" t="s">
        <v>1000</v>
      </c>
      <c r="B1431" s="3436" t="str">
        <f t="shared" ref="B1431:G1431" si="736">B760</f>
        <v/>
      </c>
      <c r="C1431" s="3436">
        <f t="shared" si="736"/>
        <v>0</v>
      </c>
      <c r="D1431" s="3436">
        <f t="shared" si="736"/>
        <v>0</v>
      </c>
      <c r="E1431" s="3436">
        <f t="shared" si="736"/>
        <v>0</v>
      </c>
      <c r="F1431" s="3436">
        <f t="shared" si="736"/>
        <v>0</v>
      </c>
      <c r="G1431" s="3436">
        <f t="shared" si="736"/>
        <v>0</v>
      </c>
      <c r="H1431" s="3353"/>
      <c r="Z1431" s="3339"/>
      <c r="AA1431" s="3339"/>
      <c r="AB1431" s="3339"/>
      <c r="AC1431" s="3339"/>
      <c r="AD1431" s="3339"/>
    </row>
    <row r="1432" spans="1:30" s="3309" customFormat="1" ht="31.5" x14ac:dyDescent="0.25">
      <c r="A1432" s="3566" t="s">
        <v>1502</v>
      </c>
      <c r="B1432" s="3565" t="e">
        <f t="shared" ref="B1432:G1432" si="737">B773</f>
        <v>#VALUE!</v>
      </c>
      <c r="C1432" s="3565">
        <f t="shared" si="737"/>
        <v>0</v>
      </c>
      <c r="D1432" s="3565">
        <f t="shared" si="737"/>
        <v>0</v>
      </c>
      <c r="E1432" s="3565">
        <f t="shared" si="737"/>
        <v>0</v>
      </c>
      <c r="F1432" s="3565">
        <f t="shared" si="737"/>
        <v>0</v>
      </c>
      <c r="G1432" s="3565">
        <f t="shared" si="737"/>
        <v>0</v>
      </c>
      <c r="H1432" s="3353"/>
      <c r="Z1432" s="3338"/>
      <c r="AA1432" s="3338"/>
      <c r="AB1432" s="3338"/>
      <c r="AC1432" s="3338"/>
      <c r="AD1432" s="3338"/>
    </row>
    <row r="1433" spans="1:30" s="3309" customFormat="1" ht="15.75" x14ac:dyDescent="0.25">
      <c r="A1433" s="3566" t="s">
        <v>2005</v>
      </c>
      <c r="B1433" s="3565">
        <f t="shared" ref="B1433:G1433" si="738">B775</f>
        <v>0</v>
      </c>
      <c r="C1433" s="3565">
        <f t="shared" si="738"/>
        <v>0</v>
      </c>
      <c r="D1433" s="3565">
        <f t="shared" si="738"/>
        <v>0</v>
      </c>
      <c r="E1433" s="3565">
        <f t="shared" si="738"/>
        <v>0</v>
      </c>
      <c r="F1433" s="3565">
        <f t="shared" si="738"/>
        <v>0</v>
      </c>
      <c r="G1433" s="3565">
        <f t="shared" si="738"/>
        <v>0</v>
      </c>
      <c r="H1433" s="3353"/>
      <c r="Z1433" s="3338"/>
      <c r="AA1433" s="3338"/>
      <c r="AB1433" s="3338"/>
      <c r="AC1433" s="3338"/>
      <c r="AD1433" s="3338"/>
    </row>
    <row r="1434" spans="1:30" s="3309" customFormat="1" x14ac:dyDescent="0.2">
      <c r="H1434" s="3353"/>
      <c r="Z1434" s="3338"/>
      <c r="AA1434" s="3338"/>
      <c r="AB1434" s="3338"/>
      <c r="AC1434" s="3338"/>
      <c r="AD1434" s="3338"/>
    </row>
    <row r="1435" spans="1:30" s="3309" customFormat="1" x14ac:dyDescent="0.2">
      <c r="H1435" s="3353"/>
      <c r="Z1435" s="3338"/>
      <c r="AA1435" s="3338"/>
      <c r="AB1435" s="3338"/>
      <c r="AC1435" s="3338"/>
      <c r="AD1435" s="3338"/>
    </row>
    <row r="1436" spans="1:30" s="3309" customFormat="1" x14ac:dyDescent="0.2">
      <c r="A1436" s="3534"/>
      <c r="B1436" s="3564"/>
      <c r="C1436" s="3564"/>
      <c r="D1436" s="3564"/>
      <c r="E1436" s="3564"/>
      <c r="F1436" s="3564"/>
      <c r="G1436" s="3564"/>
      <c r="H1436" s="3353"/>
      <c r="Z1436" s="3338"/>
      <c r="AA1436" s="3338"/>
      <c r="AB1436" s="3338"/>
      <c r="AC1436" s="3338"/>
      <c r="AD1436" s="3338"/>
    </row>
    <row r="1437" spans="1:30" s="3309" customFormat="1" x14ac:dyDescent="0.2">
      <c r="A1437" s="3534"/>
      <c r="B1437" s="3564"/>
      <c r="C1437" s="3564"/>
      <c r="D1437" s="3564"/>
      <c r="E1437" s="3564"/>
      <c r="F1437" s="3564"/>
      <c r="G1437" s="3564"/>
      <c r="H1437" s="3353"/>
      <c r="Z1437" s="3338"/>
      <c r="AA1437" s="3338"/>
      <c r="AB1437" s="3338"/>
      <c r="AC1437" s="3338"/>
      <c r="AD1437" s="3338"/>
    </row>
    <row r="1438" spans="1:30" s="3309" customFormat="1" x14ac:dyDescent="0.2">
      <c r="A1438" s="3534"/>
      <c r="B1438" s="3564"/>
      <c r="C1438" s="3564"/>
      <c r="D1438" s="3564"/>
      <c r="E1438" s="3564"/>
      <c r="F1438" s="3564"/>
      <c r="G1438" s="3564"/>
      <c r="H1438" s="3353"/>
      <c r="Z1438" s="3338"/>
      <c r="AA1438" s="3338"/>
      <c r="AB1438" s="3338"/>
      <c r="AC1438" s="3338"/>
      <c r="AD1438" s="3338"/>
    </row>
    <row r="1439" spans="1:30" s="3309" customFormat="1" x14ac:dyDescent="0.2">
      <c r="A1439" s="3534"/>
      <c r="B1439" s="3564"/>
      <c r="C1439" s="3564"/>
      <c r="D1439" s="3564"/>
      <c r="E1439" s="3564"/>
      <c r="F1439" s="3564"/>
      <c r="G1439" s="3564"/>
      <c r="H1439" s="3353"/>
      <c r="Z1439" s="3338"/>
      <c r="AA1439" s="3338"/>
      <c r="AB1439" s="3338"/>
      <c r="AC1439" s="3338"/>
      <c r="AD1439" s="3338"/>
    </row>
    <row r="1440" spans="1:30" s="3309" customFormat="1" x14ac:dyDescent="0.2">
      <c r="A1440" s="3534"/>
      <c r="B1440" s="3564"/>
      <c r="C1440" s="3564"/>
      <c r="D1440" s="3564"/>
      <c r="E1440" s="3564"/>
      <c r="F1440" s="3564"/>
      <c r="G1440" s="3564"/>
      <c r="H1440" s="3353"/>
      <c r="Z1440" s="3338"/>
      <c r="AA1440" s="3338"/>
      <c r="AB1440" s="3338"/>
      <c r="AC1440" s="3338"/>
      <c r="AD1440" s="3338"/>
    </row>
    <row r="1441" spans="1:30" s="3309" customFormat="1" x14ac:dyDescent="0.2">
      <c r="A1441" s="3563" t="s">
        <v>4144</v>
      </c>
      <c r="B1441" s="3353"/>
      <c r="C1441" s="3353"/>
      <c r="D1441" s="3353"/>
      <c r="E1441" s="3353"/>
      <c r="F1441" s="3353"/>
      <c r="G1441" s="3353"/>
      <c r="H1441" s="3353"/>
      <c r="Z1441" s="3338"/>
      <c r="AA1441" s="3338"/>
      <c r="AB1441" s="3338"/>
      <c r="AC1441" s="3338"/>
      <c r="AD1441" s="3338"/>
    </row>
    <row r="1442" spans="1:30" s="3309" customFormat="1" ht="25.5" x14ac:dyDescent="0.2">
      <c r="A1442" s="3459" t="s">
        <v>4145</v>
      </c>
      <c r="B1442" s="3562">
        <f>IF(B741-B742&lt;=0,0,CEILING((B741-B742)/B1403+1,1))</f>
        <v>4</v>
      </c>
      <c r="C1442" s="3411"/>
      <c r="D1442" s="3411"/>
      <c r="E1442" s="3411"/>
      <c r="F1442" s="3411"/>
      <c r="G1442" s="3411"/>
      <c r="H1442" s="3353"/>
      <c r="Z1442" s="3338"/>
      <c r="AA1442" s="3338"/>
      <c r="AB1442" s="3338"/>
      <c r="AC1442" s="3338"/>
      <c r="AD1442" s="3338"/>
    </row>
    <row r="1443" spans="1:30" s="3309" customFormat="1" ht="25.5" x14ac:dyDescent="0.2">
      <c r="A1443" s="3459" t="s">
        <v>4146</v>
      </c>
      <c r="B1443" s="3411">
        <f t="shared" ref="B1443" si="739">CEILING((B743-B741+B742)/B1403,1)</f>
        <v>-3</v>
      </c>
      <c r="C1443" s="3411"/>
      <c r="D1443" s="3411"/>
      <c r="E1443" s="3411"/>
      <c r="F1443" s="3411"/>
      <c r="G1443" s="3411"/>
      <c r="H1443" s="3353"/>
      <c r="Z1443" s="3338"/>
      <c r="AA1443" s="3338"/>
      <c r="AB1443" s="3338"/>
      <c r="AC1443" s="3338"/>
      <c r="AD1443" s="3338"/>
    </row>
    <row r="1444" spans="1:30" s="3309" customFormat="1" ht="25.5" x14ac:dyDescent="0.2">
      <c r="A1444" s="3542" t="s">
        <v>4147</v>
      </c>
      <c r="B1444" s="3408">
        <f t="shared" ref="B1444:B1445" si="740">B1407+0.1</f>
        <v>2.3000000000000003</v>
      </c>
      <c r="C1444" s="3408"/>
      <c r="D1444" s="3408"/>
      <c r="E1444" s="3408"/>
      <c r="F1444" s="3408"/>
      <c r="G1444" s="3408"/>
      <c r="H1444" s="3353"/>
      <c r="Z1444" s="3338"/>
      <c r="AA1444" s="3338"/>
      <c r="AB1444" s="3338"/>
      <c r="AC1444" s="3338"/>
      <c r="AD1444" s="3338"/>
    </row>
    <row r="1445" spans="1:30" s="3309" customFormat="1" ht="25.5" x14ac:dyDescent="0.2">
      <c r="A1445" s="3459" t="s">
        <v>4148</v>
      </c>
      <c r="B1445" s="3411">
        <f t="shared" si="740"/>
        <v>0.79999999999999993</v>
      </c>
      <c r="C1445" s="3411"/>
      <c r="D1445" s="3411"/>
      <c r="E1445" s="3411"/>
      <c r="F1445" s="3411"/>
      <c r="G1445" s="3411"/>
      <c r="H1445" s="3353"/>
      <c r="Z1445" s="3338"/>
      <c r="AA1445" s="3338"/>
      <c r="AB1445" s="3338"/>
      <c r="AC1445" s="3338"/>
      <c r="AD1445" s="3338"/>
    </row>
    <row r="1446" spans="1:30" s="3309" customFormat="1" x14ac:dyDescent="0.2">
      <c r="A1446" s="3459"/>
      <c r="B1446" s="3411"/>
      <c r="C1446" s="3412"/>
      <c r="D1446" s="3412"/>
      <c r="E1446" s="3412"/>
      <c r="F1446" s="3412"/>
      <c r="G1446" s="3412"/>
      <c r="H1446" s="3353"/>
      <c r="Z1446" s="3338"/>
      <c r="AA1446" s="3338"/>
      <c r="AB1446" s="3338"/>
      <c r="AC1446" s="3338"/>
      <c r="AD1446" s="3338"/>
    </row>
    <row r="1447" spans="1:30" s="3309" customFormat="1" ht="25.5" x14ac:dyDescent="0.2">
      <c r="A1447" s="3377" t="s">
        <v>4149</v>
      </c>
      <c r="B1447" s="3561"/>
      <c r="C1447" s="3511"/>
      <c r="D1447" s="3511"/>
      <c r="E1447" s="3511"/>
      <c r="F1447" s="3511"/>
      <c r="G1447" s="3511"/>
      <c r="H1447" s="3353"/>
      <c r="Z1447" s="3338"/>
      <c r="AA1447" s="3338"/>
      <c r="AB1447" s="3338"/>
      <c r="AC1447" s="3338"/>
      <c r="AD1447" s="3338"/>
    </row>
    <row r="1448" spans="1:30" s="3309" customFormat="1" x14ac:dyDescent="0.2">
      <c r="A1448" s="3377" t="s">
        <v>4150</v>
      </c>
      <c r="B1448" s="3561"/>
      <c r="C1448" s="3511"/>
      <c r="D1448" s="3511"/>
      <c r="E1448" s="3511"/>
      <c r="F1448" s="3511"/>
      <c r="G1448" s="3511"/>
      <c r="H1448" s="3353"/>
      <c r="AD1448" s="3338"/>
    </row>
    <row r="1449" spans="1:30" s="3309" customFormat="1" ht="15.75" customHeight="1" x14ac:dyDescent="0.2">
      <c r="A1449" s="3409" t="s">
        <v>211</v>
      </c>
      <c r="B1449" s="3409">
        <f t="shared" ref="B1449:G1449" si="741">B799</f>
        <v>4</v>
      </c>
      <c r="C1449" s="3409">
        <f t="shared" si="741"/>
        <v>0</v>
      </c>
      <c r="D1449" s="3409">
        <f t="shared" si="741"/>
        <v>0</v>
      </c>
      <c r="E1449" s="3409">
        <f t="shared" si="741"/>
        <v>0</v>
      </c>
      <c r="F1449" s="3409">
        <f t="shared" si="741"/>
        <v>0</v>
      </c>
      <c r="G1449" s="3409">
        <f t="shared" si="741"/>
        <v>0</v>
      </c>
      <c r="H1449" s="3353"/>
      <c r="AD1449" s="3338"/>
    </row>
    <row r="1450" spans="1:30" s="3309" customFormat="1" ht="51.75" customHeight="1" x14ac:dyDescent="0.2">
      <c r="A1450" s="3542" t="s">
        <v>6145</v>
      </c>
      <c r="B1450" s="3412"/>
      <c r="C1450" s="3412"/>
      <c r="D1450" s="3412"/>
      <c r="E1450" s="3412"/>
      <c r="F1450" s="3412"/>
      <c r="G1450" s="3412"/>
      <c r="H1450" s="3353"/>
      <c r="AD1450" s="3338"/>
    </row>
    <row r="1451" spans="1:30" s="3309" customFormat="1" x14ac:dyDescent="0.2">
      <c r="A1451" s="3542" t="s">
        <v>4152</v>
      </c>
      <c r="B1451" s="3468">
        <f t="shared" ref="B1451:G1451" si="742">(B1401/(B1449-B1444))*B1442</f>
        <v>0</v>
      </c>
      <c r="C1451" s="3468" t="e">
        <f t="shared" si="742"/>
        <v>#DIV/0!</v>
      </c>
      <c r="D1451" s="3468" t="e">
        <f t="shared" si="742"/>
        <v>#DIV/0!</v>
      </c>
      <c r="E1451" s="3468" t="e">
        <f t="shared" si="742"/>
        <v>#DIV/0!</v>
      </c>
      <c r="F1451" s="3468" t="e">
        <f t="shared" si="742"/>
        <v>#DIV/0!</v>
      </c>
      <c r="G1451" s="3468" t="e">
        <f t="shared" si="742"/>
        <v>#DIV/0!</v>
      </c>
      <c r="H1451" s="3353"/>
      <c r="AD1451" s="3338"/>
    </row>
    <row r="1452" spans="1:30" s="3309" customFormat="1" x14ac:dyDescent="0.2">
      <c r="A1452" s="3560" t="s">
        <v>2048</v>
      </c>
      <c r="B1452" s="3406" t="e">
        <f t="shared" ref="B1452:G1452" si="743">INDEX($C$2737:$F$2746,B1455,B1457)</f>
        <v>#VALUE!</v>
      </c>
      <c r="C1452" s="3406" t="e">
        <f t="shared" si="743"/>
        <v>#NUM!</v>
      </c>
      <c r="D1452" s="3406" t="e">
        <f t="shared" si="743"/>
        <v>#NUM!</v>
      </c>
      <c r="E1452" s="3406" t="e">
        <f t="shared" si="743"/>
        <v>#NUM!</v>
      </c>
      <c r="F1452" s="3406" t="e">
        <f t="shared" si="743"/>
        <v>#NUM!</v>
      </c>
      <c r="G1452" s="3406" t="e">
        <f t="shared" si="743"/>
        <v>#NUM!</v>
      </c>
      <c r="H1452" s="3353"/>
      <c r="AD1452" s="3338"/>
    </row>
    <row r="1453" spans="1:30" s="3309" customFormat="1" x14ac:dyDescent="0.2">
      <c r="A1453" s="3412" t="s">
        <v>2049</v>
      </c>
      <c r="B1453" s="3468"/>
      <c r="C1453" s="3412"/>
      <c r="D1453" s="3412"/>
      <c r="E1453" s="3412"/>
      <c r="F1453" s="3412"/>
      <c r="G1453" s="3412"/>
      <c r="H1453" s="3353"/>
      <c r="AD1453" s="3338"/>
    </row>
    <row r="1454" spans="1:30" s="3309" customFormat="1" x14ac:dyDescent="0.2">
      <c r="A1454" s="3411" t="s">
        <v>1318</v>
      </c>
      <c r="B1454" s="3406" t="e">
        <f t="shared" ref="B1454:G1454" si="744">30.872*LN(B1400)+31.551</f>
        <v>#VALUE!</v>
      </c>
      <c r="C1454" s="3406" t="e">
        <f t="shared" si="744"/>
        <v>#NUM!</v>
      </c>
      <c r="D1454" s="3406" t="e">
        <f t="shared" si="744"/>
        <v>#NUM!</v>
      </c>
      <c r="E1454" s="3406" t="e">
        <f t="shared" si="744"/>
        <v>#NUM!</v>
      </c>
      <c r="F1454" s="3406" t="e">
        <f t="shared" si="744"/>
        <v>#NUM!</v>
      </c>
      <c r="G1454" s="3406" t="e">
        <f t="shared" si="744"/>
        <v>#NUM!</v>
      </c>
      <c r="H1454" s="3353"/>
      <c r="AD1454" s="3338"/>
    </row>
    <row r="1455" spans="1:30" s="3309" customFormat="1" x14ac:dyDescent="0.2">
      <c r="A1455" s="3542" t="s">
        <v>1319</v>
      </c>
      <c r="B1455" s="3550" t="e">
        <f t="shared" ref="B1455:G1455" si="745">IF(B1454&lt;24.3,1,IF(B1454&lt;28.1,2,IF(B1454&lt;32.1,3,IF(B1454&lt;36.3,4,IF(B1454&lt;41.4,5,IF(B1454&lt;46.1,6,IF(B1454&lt;51.3,7,B1456)))))))</f>
        <v>#VALUE!</v>
      </c>
      <c r="C1455" s="3550" t="e">
        <f t="shared" si="745"/>
        <v>#NUM!</v>
      </c>
      <c r="D1455" s="3550" t="e">
        <f t="shared" si="745"/>
        <v>#NUM!</v>
      </c>
      <c r="E1455" s="3550" t="e">
        <f t="shared" si="745"/>
        <v>#NUM!</v>
      </c>
      <c r="F1455" s="3550" t="e">
        <f t="shared" si="745"/>
        <v>#NUM!</v>
      </c>
      <c r="G1455" s="3550" t="e">
        <f t="shared" si="745"/>
        <v>#NUM!</v>
      </c>
      <c r="H1455" s="3353"/>
    </row>
    <row r="1456" spans="1:30" s="3309" customFormat="1" x14ac:dyDescent="0.2">
      <c r="A1456" s="3412" t="s">
        <v>1320</v>
      </c>
      <c r="B1456" s="3550" t="e">
        <f t="shared" ref="B1456:G1456" si="746">IF(B1454&lt;57.1,8,IF(B1454&lt;63.1,9,IF(B1454&lt;69.7,10,11)))</f>
        <v>#VALUE!</v>
      </c>
      <c r="C1456" s="3550" t="e">
        <f t="shared" si="746"/>
        <v>#NUM!</v>
      </c>
      <c r="D1456" s="3550" t="e">
        <f t="shared" si="746"/>
        <v>#NUM!</v>
      </c>
      <c r="E1456" s="3550" t="e">
        <f t="shared" si="746"/>
        <v>#NUM!</v>
      </c>
      <c r="F1456" s="3550" t="e">
        <f t="shared" si="746"/>
        <v>#NUM!</v>
      </c>
      <c r="G1456" s="3550" t="e">
        <f t="shared" si="746"/>
        <v>#NUM!</v>
      </c>
      <c r="H1456" s="3353"/>
    </row>
    <row r="1457" spans="1:8" s="3309" customFormat="1" ht="15.75" customHeight="1" x14ac:dyDescent="0.2">
      <c r="A1457" s="3542" t="s">
        <v>1321</v>
      </c>
      <c r="B1457" s="3550">
        <v>4</v>
      </c>
      <c r="C1457" s="3550">
        <v>4</v>
      </c>
      <c r="D1457" s="3550">
        <v>4</v>
      </c>
      <c r="E1457" s="3550">
        <v>4</v>
      </c>
      <c r="F1457" s="3550">
        <v>4</v>
      </c>
      <c r="G1457" s="3550">
        <v>4</v>
      </c>
      <c r="H1457" s="3353"/>
    </row>
    <row r="1458" spans="1:8" s="3309" customFormat="1" ht="15.75" customHeight="1" x14ac:dyDescent="0.2">
      <c r="A1458" s="3542" t="s">
        <v>1322</v>
      </c>
      <c r="B1458" s="3468"/>
      <c r="C1458" s="3412"/>
      <c r="D1458" s="3412"/>
      <c r="E1458" s="3412"/>
      <c r="F1458" s="3412"/>
      <c r="G1458" s="3412"/>
      <c r="H1458" s="3353"/>
    </row>
    <row r="1459" spans="1:8" s="3309" customFormat="1" ht="15.75" customHeight="1" x14ac:dyDescent="0.2">
      <c r="A1459" s="3542" t="s">
        <v>1323</v>
      </c>
      <c r="B1459" s="3417">
        <f t="shared" ref="B1459:G1459" si="747">IF(B1449&lt;1.26,1,IF(B1449&lt;1.27,0.9,0.85))</f>
        <v>0.85</v>
      </c>
      <c r="C1459" s="3417">
        <f t="shared" si="747"/>
        <v>1</v>
      </c>
      <c r="D1459" s="3417">
        <f t="shared" si="747"/>
        <v>1</v>
      </c>
      <c r="E1459" s="3417">
        <f t="shared" si="747"/>
        <v>1</v>
      </c>
      <c r="F1459" s="3417">
        <f t="shared" si="747"/>
        <v>1</v>
      </c>
      <c r="G1459" s="3417">
        <f t="shared" si="747"/>
        <v>1</v>
      </c>
      <c r="H1459" s="3520"/>
    </row>
    <row r="1460" spans="1:8" s="3309" customFormat="1" ht="15.75" customHeight="1" x14ac:dyDescent="0.2">
      <c r="A1460" s="3542" t="s">
        <v>391</v>
      </c>
      <c r="B1460" s="3417">
        <f t="shared" ref="B1460:G1460" si="748">IF(B1412=0,1,1.15)</f>
        <v>1.1499999999999999</v>
      </c>
      <c r="C1460" s="3417">
        <f t="shared" si="748"/>
        <v>1</v>
      </c>
      <c r="D1460" s="3417">
        <f t="shared" si="748"/>
        <v>1</v>
      </c>
      <c r="E1460" s="3417">
        <f t="shared" si="748"/>
        <v>1</v>
      </c>
      <c r="F1460" s="3417">
        <f t="shared" si="748"/>
        <v>1</v>
      </c>
      <c r="G1460" s="3417">
        <f t="shared" si="748"/>
        <v>1</v>
      </c>
      <c r="H1460" s="3353"/>
    </row>
    <row r="1461" spans="1:8" s="3309" customFormat="1" ht="15.75" customHeight="1" x14ac:dyDescent="0.2">
      <c r="A1461" s="3542" t="s">
        <v>392</v>
      </c>
      <c r="B1461" s="3417">
        <f t="shared" ref="B1461:G1461" si="749">IF(B1413&lt;21,1,IF(B1413&lt;31,0.9,0.8))</f>
        <v>0.8</v>
      </c>
      <c r="C1461" s="3417">
        <f t="shared" si="749"/>
        <v>1</v>
      </c>
      <c r="D1461" s="3417">
        <f t="shared" si="749"/>
        <v>1</v>
      </c>
      <c r="E1461" s="3417">
        <f t="shared" si="749"/>
        <v>1</v>
      </c>
      <c r="F1461" s="3417">
        <f t="shared" si="749"/>
        <v>1</v>
      </c>
      <c r="G1461" s="3417">
        <f t="shared" si="749"/>
        <v>1</v>
      </c>
      <c r="H1461" s="3353"/>
    </row>
    <row r="1462" spans="1:8" s="3309" customFormat="1" x14ac:dyDescent="0.2">
      <c r="A1462" s="3542" t="s">
        <v>393</v>
      </c>
      <c r="B1462" s="3417">
        <f t="shared" ref="B1462:G1462" si="750">IF(B1414&lt;2,0.85,1)</f>
        <v>1</v>
      </c>
      <c r="C1462" s="3417">
        <f t="shared" si="750"/>
        <v>0.85</v>
      </c>
      <c r="D1462" s="3417">
        <f t="shared" si="750"/>
        <v>0.85</v>
      </c>
      <c r="E1462" s="3417">
        <f t="shared" si="750"/>
        <v>0.85</v>
      </c>
      <c r="F1462" s="3417">
        <f t="shared" si="750"/>
        <v>0.85</v>
      </c>
      <c r="G1462" s="3417">
        <f t="shared" si="750"/>
        <v>0.85</v>
      </c>
      <c r="H1462" s="3353"/>
    </row>
    <row r="1463" spans="1:8" s="3309" customFormat="1" ht="25.5" x14ac:dyDescent="0.2">
      <c r="A1463" s="3528" t="s">
        <v>419</v>
      </c>
      <c r="B1463" s="3417">
        <f t="shared" ref="B1463:G1463" si="751">IF(B1449&lt;2.1,0.9,IF(B1449&lt;3.1,0.85,0.8))</f>
        <v>0.8</v>
      </c>
      <c r="C1463" s="3417">
        <f t="shared" si="751"/>
        <v>0.9</v>
      </c>
      <c r="D1463" s="3417">
        <f t="shared" si="751"/>
        <v>0.9</v>
      </c>
      <c r="E1463" s="3417">
        <f t="shared" si="751"/>
        <v>0.9</v>
      </c>
      <c r="F1463" s="3417">
        <f t="shared" si="751"/>
        <v>0.9</v>
      </c>
      <c r="G1463" s="3417">
        <f t="shared" si="751"/>
        <v>0.9</v>
      </c>
      <c r="H1463" s="3353"/>
    </row>
    <row r="1464" spans="1:8" s="3309" customFormat="1" x14ac:dyDescent="0.2">
      <c r="A1464" s="3542" t="s">
        <v>420</v>
      </c>
      <c r="B1464" s="3417">
        <v>0.8</v>
      </c>
      <c r="C1464" s="3417">
        <v>0.8</v>
      </c>
      <c r="D1464" s="3417">
        <v>0.8</v>
      </c>
      <c r="E1464" s="3417">
        <v>0.8</v>
      </c>
      <c r="F1464" s="3417">
        <v>0.8</v>
      </c>
      <c r="G1464" s="3417">
        <v>0.8</v>
      </c>
      <c r="H1464" s="3353"/>
    </row>
    <row r="1465" spans="1:8" s="3309" customFormat="1" ht="39" customHeight="1" x14ac:dyDescent="0.2">
      <c r="A1465" s="3542" t="s">
        <v>421</v>
      </c>
      <c r="B1465" s="3417">
        <v>0.7</v>
      </c>
      <c r="C1465" s="3417">
        <v>0.7</v>
      </c>
      <c r="D1465" s="3417">
        <v>0.7</v>
      </c>
      <c r="E1465" s="3417">
        <v>0.7</v>
      </c>
      <c r="F1465" s="3417">
        <v>0.7</v>
      </c>
      <c r="G1465" s="3417">
        <v>0.7</v>
      </c>
      <c r="H1465" s="3353"/>
    </row>
    <row r="1466" spans="1:8" s="3309" customFormat="1" x14ac:dyDescent="0.2">
      <c r="A1466" s="3542" t="s">
        <v>3412</v>
      </c>
      <c r="B1466" s="3417" t="e">
        <f t="shared" ref="B1466:G1466" si="752">B1452*(B1459*B1460*B1461*B1462*B1464*B1465*B1395)</f>
        <v>#VALUE!</v>
      </c>
      <c r="C1466" s="3417" t="e">
        <f t="shared" si="752"/>
        <v>#NUM!</v>
      </c>
      <c r="D1466" s="3417" t="e">
        <f t="shared" si="752"/>
        <v>#NUM!</v>
      </c>
      <c r="E1466" s="3417" t="e">
        <f t="shared" si="752"/>
        <v>#NUM!</v>
      </c>
      <c r="F1466" s="3417" t="e">
        <f t="shared" si="752"/>
        <v>#NUM!</v>
      </c>
      <c r="G1466" s="3417" t="e">
        <f t="shared" si="752"/>
        <v>#NUM!</v>
      </c>
      <c r="H1466" s="3353"/>
    </row>
    <row r="1467" spans="1:8" s="3309" customFormat="1" x14ac:dyDescent="0.2">
      <c r="A1467" s="3541" t="s">
        <v>429</v>
      </c>
      <c r="B1467" s="3468" t="e">
        <f t="shared" ref="B1467:G1467" si="753">B1451/B1466</f>
        <v>#VALUE!</v>
      </c>
      <c r="C1467" s="3468" t="e">
        <f t="shared" si="753"/>
        <v>#DIV/0!</v>
      </c>
      <c r="D1467" s="3468" t="e">
        <f t="shared" si="753"/>
        <v>#DIV/0!</v>
      </c>
      <c r="E1467" s="3468" t="e">
        <f t="shared" si="753"/>
        <v>#DIV/0!</v>
      </c>
      <c r="F1467" s="3468" t="e">
        <f t="shared" si="753"/>
        <v>#DIV/0!</v>
      </c>
      <c r="G1467" s="3468" t="e">
        <f t="shared" si="753"/>
        <v>#DIV/0!</v>
      </c>
      <c r="H1467" s="3353"/>
    </row>
    <row r="1468" spans="1:8" s="3309" customFormat="1" x14ac:dyDescent="0.2">
      <c r="A1468" s="3542"/>
      <c r="B1468" s="3417"/>
      <c r="C1468" s="3412"/>
      <c r="D1468" s="3412"/>
      <c r="E1468" s="3412"/>
      <c r="F1468" s="3412"/>
      <c r="G1468" s="3412"/>
      <c r="H1468" s="3353"/>
    </row>
    <row r="1469" spans="1:8" s="3309" customFormat="1" ht="38.25" x14ac:dyDescent="0.2">
      <c r="A1469" s="3459" t="s">
        <v>6133</v>
      </c>
      <c r="B1469" s="3417"/>
      <c r="C1469" s="3412"/>
      <c r="D1469" s="3412"/>
      <c r="E1469" s="3412"/>
      <c r="F1469" s="3412"/>
      <c r="G1469" s="3412"/>
      <c r="H1469" s="3353"/>
    </row>
    <row r="1470" spans="1:8" s="3309" customFormat="1" x14ac:dyDescent="0.2">
      <c r="A1470" s="3459" t="s">
        <v>424</v>
      </c>
      <c r="B1470" s="3424" t="e">
        <f t="shared" ref="B1470:G1470" si="754">((B1449/B1402+1)-3)*B1442</f>
        <v>#DIV/0!</v>
      </c>
      <c r="C1470" s="3424" t="e">
        <f t="shared" si="754"/>
        <v>#DIV/0!</v>
      </c>
      <c r="D1470" s="3424" t="e">
        <f t="shared" si="754"/>
        <v>#DIV/0!</v>
      </c>
      <c r="E1470" s="3424" t="e">
        <f t="shared" si="754"/>
        <v>#DIV/0!</v>
      </c>
      <c r="F1470" s="3424" t="e">
        <f t="shared" si="754"/>
        <v>#DIV/0!</v>
      </c>
      <c r="G1470" s="3424" t="e">
        <f t="shared" si="754"/>
        <v>#DIV/0!</v>
      </c>
      <c r="H1470" s="3353"/>
    </row>
    <row r="1471" spans="1:8" s="3309" customFormat="1" x14ac:dyDescent="0.2">
      <c r="A1471" s="3459" t="s">
        <v>425</v>
      </c>
      <c r="B1471" s="3491" t="e">
        <f t="shared" ref="B1471:G1471" si="755">INDEX($C$2622:$F$2632,B1472,B1473)</f>
        <v>#VALUE!</v>
      </c>
      <c r="C1471" s="3491" t="e">
        <f t="shared" si="755"/>
        <v>#NUM!</v>
      </c>
      <c r="D1471" s="3491" t="e">
        <f t="shared" si="755"/>
        <v>#NUM!</v>
      </c>
      <c r="E1471" s="3491" t="e">
        <f t="shared" si="755"/>
        <v>#NUM!</v>
      </c>
      <c r="F1471" s="3491" t="e">
        <f t="shared" si="755"/>
        <v>#NUM!</v>
      </c>
      <c r="G1471" s="3491" t="e">
        <f t="shared" si="755"/>
        <v>#NUM!</v>
      </c>
      <c r="H1471" s="3353"/>
    </row>
    <row r="1472" spans="1:8" s="3309" customFormat="1" x14ac:dyDescent="0.2">
      <c r="A1472" s="3459" t="s">
        <v>426</v>
      </c>
      <c r="B1472" s="3435" t="e">
        <f t="shared" ref="B1472:G1472" si="756">B1455</f>
        <v>#VALUE!</v>
      </c>
      <c r="C1472" s="3435" t="e">
        <f t="shared" si="756"/>
        <v>#NUM!</v>
      </c>
      <c r="D1472" s="3435" t="e">
        <f t="shared" si="756"/>
        <v>#NUM!</v>
      </c>
      <c r="E1472" s="3435" t="e">
        <f t="shared" si="756"/>
        <v>#NUM!</v>
      </c>
      <c r="F1472" s="3435" t="e">
        <f t="shared" si="756"/>
        <v>#NUM!</v>
      </c>
      <c r="G1472" s="3435" t="e">
        <f t="shared" si="756"/>
        <v>#NUM!</v>
      </c>
      <c r="H1472" s="3353"/>
    </row>
    <row r="1473" spans="1:8" s="3309" customFormat="1" x14ac:dyDescent="0.2">
      <c r="A1473" s="3459" t="s">
        <v>427</v>
      </c>
      <c r="B1473" s="3435">
        <v>1</v>
      </c>
      <c r="C1473" s="3435">
        <v>1</v>
      </c>
      <c r="D1473" s="3435">
        <v>1</v>
      </c>
      <c r="E1473" s="3435">
        <v>1</v>
      </c>
      <c r="F1473" s="3435">
        <v>1</v>
      </c>
      <c r="G1473" s="3435">
        <v>1</v>
      </c>
      <c r="H1473" s="3353"/>
    </row>
    <row r="1474" spans="1:8" s="3309" customFormat="1" x14ac:dyDescent="0.2">
      <c r="A1474" s="3459" t="s">
        <v>428</v>
      </c>
      <c r="B1474" s="3424" t="e">
        <f t="shared" ref="B1474:G1474" si="757">B1459*B1460*B1461*B1462*B1464*B1465*B1395</f>
        <v>#VALUE!</v>
      </c>
      <c r="C1474" s="3424">
        <f t="shared" si="757"/>
        <v>0</v>
      </c>
      <c r="D1474" s="3424">
        <f t="shared" si="757"/>
        <v>0</v>
      </c>
      <c r="E1474" s="3424">
        <f t="shared" si="757"/>
        <v>0</v>
      </c>
      <c r="F1474" s="3424">
        <f t="shared" si="757"/>
        <v>0</v>
      </c>
      <c r="G1474" s="3424">
        <f t="shared" si="757"/>
        <v>0</v>
      </c>
      <c r="H1474" s="3353"/>
    </row>
    <row r="1475" spans="1:8" s="3309" customFormat="1" x14ac:dyDescent="0.2">
      <c r="A1475" s="3459" t="s">
        <v>3412</v>
      </c>
      <c r="B1475" s="3424" t="e">
        <f t="shared" ref="B1475:G1475" si="758">B1471*B1474</f>
        <v>#VALUE!</v>
      </c>
      <c r="C1475" s="3424" t="e">
        <f t="shared" si="758"/>
        <v>#NUM!</v>
      </c>
      <c r="D1475" s="3424" t="e">
        <f t="shared" si="758"/>
        <v>#NUM!</v>
      </c>
      <c r="E1475" s="3424" t="e">
        <f t="shared" si="758"/>
        <v>#NUM!</v>
      </c>
      <c r="F1475" s="3424" t="e">
        <f t="shared" si="758"/>
        <v>#NUM!</v>
      </c>
      <c r="G1475" s="3424" t="e">
        <f t="shared" si="758"/>
        <v>#NUM!</v>
      </c>
      <c r="H1475" s="3353"/>
    </row>
    <row r="1476" spans="1:8" s="3309" customFormat="1" x14ac:dyDescent="0.2">
      <c r="A1476" s="3541" t="s">
        <v>429</v>
      </c>
      <c r="B1476" s="3424" t="e">
        <f t="shared" ref="B1476:G1476" si="759">B1470/B1475</f>
        <v>#DIV/0!</v>
      </c>
      <c r="C1476" s="3424" t="e">
        <f t="shared" si="759"/>
        <v>#DIV/0!</v>
      </c>
      <c r="D1476" s="3424" t="e">
        <f t="shared" si="759"/>
        <v>#DIV/0!</v>
      </c>
      <c r="E1476" s="3424" t="e">
        <f t="shared" si="759"/>
        <v>#DIV/0!</v>
      </c>
      <c r="F1476" s="3424" t="e">
        <f t="shared" si="759"/>
        <v>#DIV/0!</v>
      </c>
      <c r="G1476" s="3424" t="e">
        <f t="shared" si="759"/>
        <v>#DIV/0!</v>
      </c>
      <c r="H1476" s="3353"/>
    </row>
    <row r="1477" spans="1:8" s="3309" customFormat="1" x14ac:dyDescent="0.2">
      <c r="A1477" s="3459"/>
      <c r="B1477" s="3424"/>
      <c r="C1477" s="3412"/>
      <c r="D1477" s="3412"/>
      <c r="E1477" s="3412"/>
      <c r="F1477" s="3412"/>
      <c r="G1477" s="3412"/>
      <c r="H1477" s="3353"/>
    </row>
    <row r="1478" spans="1:8" s="3309" customFormat="1" ht="38.25" x14ac:dyDescent="0.2">
      <c r="A1478" s="3459" t="s">
        <v>6144</v>
      </c>
      <c r="B1478" s="3424"/>
      <c r="C1478" s="3412"/>
      <c r="D1478" s="3412"/>
      <c r="E1478" s="3412"/>
      <c r="F1478" s="3412"/>
      <c r="G1478" s="3412"/>
      <c r="H1478" s="3353"/>
    </row>
    <row r="1479" spans="1:8" s="3309" customFormat="1" x14ac:dyDescent="0.2">
      <c r="A1479" s="3459" t="s">
        <v>424</v>
      </c>
      <c r="B1479" s="3424" t="e">
        <f t="shared" ref="B1479:G1479" si="760">(((B1449-B1444)/B1402+1)/((B1449-B1444)/B1401))*B1442</f>
        <v>#DIV/0!</v>
      </c>
      <c r="C1479" s="3424" t="e">
        <f t="shared" si="760"/>
        <v>#DIV/0!</v>
      </c>
      <c r="D1479" s="3424" t="e">
        <f t="shared" si="760"/>
        <v>#DIV/0!</v>
      </c>
      <c r="E1479" s="3424" t="e">
        <f t="shared" si="760"/>
        <v>#DIV/0!</v>
      </c>
      <c r="F1479" s="3424" t="e">
        <f t="shared" si="760"/>
        <v>#DIV/0!</v>
      </c>
      <c r="G1479" s="3424" t="e">
        <f t="shared" si="760"/>
        <v>#DIV/0!</v>
      </c>
      <c r="H1479" s="3353"/>
    </row>
    <row r="1480" spans="1:8" s="3309" customFormat="1" x14ac:dyDescent="0.2">
      <c r="A1480" s="3459" t="s">
        <v>3390</v>
      </c>
      <c r="B1480" s="3435" t="e">
        <f t="shared" ref="B1480:G1480" si="761">IF(B1454&lt;23.1,281,IF(B1454&lt;29.1,250,IF(B1454&lt;36.1,224,IF(B1454&lt;45.1,197,IF(B1454&lt;55.1,172,IF(B1454&lt;65.1,149,128))))))</f>
        <v>#VALUE!</v>
      </c>
      <c r="C1480" s="3435" t="e">
        <f t="shared" si="761"/>
        <v>#NUM!</v>
      </c>
      <c r="D1480" s="3435" t="e">
        <f t="shared" si="761"/>
        <v>#NUM!</v>
      </c>
      <c r="E1480" s="3435" t="e">
        <f t="shared" si="761"/>
        <v>#NUM!</v>
      </c>
      <c r="F1480" s="3435" t="e">
        <f t="shared" si="761"/>
        <v>#NUM!</v>
      </c>
      <c r="G1480" s="3435" t="e">
        <f t="shared" si="761"/>
        <v>#NUM!</v>
      </c>
      <c r="H1480" s="3353"/>
    </row>
    <row r="1481" spans="1:8" s="3309" customFormat="1" ht="15.75" customHeight="1" x14ac:dyDescent="0.2">
      <c r="A1481" s="3459" t="s">
        <v>3391</v>
      </c>
      <c r="B1481" s="3424"/>
      <c r="C1481" s="3412"/>
      <c r="D1481" s="3412"/>
      <c r="E1481" s="3412"/>
      <c r="F1481" s="3412"/>
      <c r="G1481" s="3412"/>
      <c r="H1481" s="3353"/>
    </row>
    <row r="1482" spans="1:8" s="3309" customFormat="1" x14ac:dyDescent="0.2">
      <c r="A1482" s="3459" t="s">
        <v>392</v>
      </c>
      <c r="B1482" s="3491">
        <f t="shared" ref="B1482:G1482" si="762">IF(B1413&lt;21,1,IF(B1413&lt;31,0.9,0.8))</f>
        <v>0.8</v>
      </c>
      <c r="C1482" s="3491">
        <f t="shared" si="762"/>
        <v>1</v>
      </c>
      <c r="D1482" s="3491">
        <f t="shared" si="762"/>
        <v>1</v>
      </c>
      <c r="E1482" s="3491">
        <f t="shared" si="762"/>
        <v>1</v>
      </c>
      <c r="F1482" s="3491">
        <f t="shared" si="762"/>
        <v>1</v>
      </c>
      <c r="G1482" s="3491">
        <f t="shared" si="762"/>
        <v>1</v>
      </c>
      <c r="H1482" s="3353"/>
    </row>
    <row r="1483" spans="1:8" s="3309" customFormat="1" x14ac:dyDescent="0.2">
      <c r="A1483" s="3459" t="s">
        <v>391</v>
      </c>
      <c r="B1483" s="3491" t="e">
        <f t="shared" ref="B1483:G1483" si="763">IF(B1411&gt;0.2,0.9,1)</f>
        <v>#VALUE!</v>
      </c>
      <c r="C1483" s="3491">
        <f t="shared" si="763"/>
        <v>1</v>
      </c>
      <c r="D1483" s="3491">
        <f t="shared" si="763"/>
        <v>1</v>
      </c>
      <c r="E1483" s="3491">
        <f t="shared" si="763"/>
        <v>1</v>
      </c>
      <c r="F1483" s="3491">
        <f t="shared" si="763"/>
        <v>1</v>
      </c>
      <c r="G1483" s="3491">
        <f t="shared" si="763"/>
        <v>1</v>
      </c>
      <c r="H1483" s="3353"/>
    </row>
    <row r="1484" spans="1:8" s="3309" customFormat="1" ht="25.5" x14ac:dyDescent="0.2">
      <c r="A1484" s="3516" t="s">
        <v>3392</v>
      </c>
      <c r="B1484" s="3428">
        <f t="shared" ref="B1484:G1484" si="764">B834</f>
        <v>1</v>
      </c>
      <c r="C1484" s="3428">
        <f t="shared" si="764"/>
        <v>1</v>
      </c>
      <c r="D1484" s="3428">
        <f t="shared" si="764"/>
        <v>1</v>
      </c>
      <c r="E1484" s="3428">
        <f t="shared" si="764"/>
        <v>1</v>
      </c>
      <c r="F1484" s="3428">
        <f t="shared" si="764"/>
        <v>1</v>
      </c>
      <c r="G1484" s="3428">
        <f t="shared" si="764"/>
        <v>1</v>
      </c>
      <c r="H1484" s="3353"/>
    </row>
    <row r="1485" spans="1:8" s="3309" customFormat="1" x14ac:dyDescent="0.2">
      <c r="A1485" s="3459" t="s">
        <v>3393</v>
      </c>
      <c r="B1485" s="3491">
        <f t="shared" ref="B1485:G1485" si="765">IF(B1484=0,1,1.2)</f>
        <v>1.2</v>
      </c>
      <c r="C1485" s="3491">
        <f t="shared" si="765"/>
        <v>1.2</v>
      </c>
      <c r="D1485" s="3491">
        <f t="shared" si="765"/>
        <v>1.2</v>
      </c>
      <c r="E1485" s="3491">
        <f t="shared" si="765"/>
        <v>1.2</v>
      </c>
      <c r="F1485" s="3491">
        <f t="shared" si="765"/>
        <v>1.2</v>
      </c>
      <c r="G1485" s="3491">
        <f t="shared" si="765"/>
        <v>1.2</v>
      </c>
      <c r="H1485" s="3353"/>
    </row>
    <row r="1486" spans="1:8" s="3309" customFormat="1" ht="25.5" x14ac:dyDescent="0.2">
      <c r="A1486" s="3516" t="s">
        <v>1892</v>
      </c>
      <c r="B1486" s="3428">
        <f t="shared" ref="B1486:G1486" si="766">B836</f>
        <v>0</v>
      </c>
      <c r="C1486" s="3428">
        <f t="shared" si="766"/>
        <v>0</v>
      </c>
      <c r="D1486" s="3428">
        <f t="shared" si="766"/>
        <v>0</v>
      </c>
      <c r="E1486" s="3428">
        <f t="shared" si="766"/>
        <v>0</v>
      </c>
      <c r="F1486" s="3428">
        <f t="shared" si="766"/>
        <v>0</v>
      </c>
      <c r="G1486" s="3428">
        <f t="shared" si="766"/>
        <v>0</v>
      </c>
      <c r="H1486" s="3353"/>
    </row>
    <row r="1487" spans="1:8" s="3309" customFormat="1" x14ac:dyDescent="0.2">
      <c r="A1487" s="3459" t="s">
        <v>1893</v>
      </c>
      <c r="B1487" s="3379">
        <f t="shared" ref="B1487:G1487" si="767">IF(B1486=0,1.05,1)</f>
        <v>1.05</v>
      </c>
      <c r="C1487" s="3379">
        <f t="shared" si="767"/>
        <v>1.05</v>
      </c>
      <c r="D1487" s="3379">
        <f t="shared" si="767"/>
        <v>1.05</v>
      </c>
      <c r="E1487" s="3379">
        <f t="shared" si="767"/>
        <v>1.05</v>
      </c>
      <c r="F1487" s="3379">
        <f t="shared" si="767"/>
        <v>1.05</v>
      </c>
      <c r="G1487" s="3379">
        <f t="shared" si="767"/>
        <v>1.05</v>
      </c>
      <c r="H1487" s="3353"/>
    </row>
    <row r="1488" spans="1:8" s="3309" customFormat="1" x14ac:dyDescent="0.2">
      <c r="A1488" s="3459" t="s">
        <v>1894</v>
      </c>
      <c r="B1488" s="3491" t="e">
        <f t="shared" ref="B1488:G1488" si="768">B1480*(B1482*B1483*B1485*B1487*B1395)</f>
        <v>#VALUE!</v>
      </c>
      <c r="C1488" s="3491" t="e">
        <f t="shared" si="768"/>
        <v>#NUM!</v>
      </c>
      <c r="D1488" s="3491" t="e">
        <f t="shared" si="768"/>
        <v>#NUM!</v>
      </c>
      <c r="E1488" s="3491" t="e">
        <f t="shared" si="768"/>
        <v>#NUM!</v>
      </c>
      <c r="F1488" s="3491" t="e">
        <f t="shared" si="768"/>
        <v>#NUM!</v>
      </c>
      <c r="G1488" s="3491" t="e">
        <f t="shared" si="768"/>
        <v>#NUM!</v>
      </c>
      <c r="H1488" s="3353"/>
    </row>
    <row r="1489" spans="1:8" s="3309" customFormat="1" x14ac:dyDescent="0.2">
      <c r="A1489" s="3416" t="s">
        <v>429</v>
      </c>
      <c r="B1489" s="3424" t="e">
        <f t="shared" ref="B1489:G1489" si="769">B1479/B1488</f>
        <v>#DIV/0!</v>
      </c>
      <c r="C1489" s="3424" t="e">
        <f t="shared" si="769"/>
        <v>#DIV/0!</v>
      </c>
      <c r="D1489" s="3424" t="e">
        <f t="shared" si="769"/>
        <v>#DIV/0!</v>
      </c>
      <c r="E1489" s="3424" t="e">
        <f t="shared" si="769"/>
        <v>#DIV/0!</v>
      </c>
      <c r="F1489" s="3424" t="e">
        <f t="shared" si="769"/>
        <v>#DIV/0!</v>
      </c>
      <c r="G1489" s="3424" t="e">
        <f t="shared" si="769"/>
        <v>#DIV/0!</v>
      </c>
      <c r="H1489" s="3353"/>
    </row>
    <row r="1490" spans="1:8" s="3309" customFormat="1" x14ac:dyDescent="0.2">
      <c r="A1490" s="3459"/>
      <c r="B1490" s="3491"/>
      <c r="C1490" s="3412"/>
      <c r="D1490" s="3412"/>
      <c r="E1490" s="3412"/>
      <c r="F1490" s="3412"/>
      <c r="G1490" s="3412"/>
      <c r="H1490" s="3353"/>
    </row>
    <row r="1491" spans="1:8" s="3309" customFormat="1" ht="38.25" x14ac:dyDescent="0.2">
      <c r="A1491" s="3459" t="s">
        <v>6143</v>
      </c>
      <c r="B1491" s="3424"/>
      <c r="C1491" s="3412"/>
      <c r="D1491" s="3412"/>
      <c r="E1491" s="3412"/>
      <c r="F1491" s="3412"/>
      <c r="G1491" s="3412"/>
      <c r="H1491" s="3353"/>
    </row>
    <row r="1492" spans="1:8" s="3309" customFormat="1" x14ac:dyDescent="0.2">
      <c r="A1492" s="3459" t="s">
        <v>424</v>
      </c>
      <c r="B1492" s="3424" t="e">
        <f t="shared" ref="B1492:G1492" si="770">(((B1449-B1444)/B1402+1)/((B1449-B1444)/B1401))*B1442</f>
        <v>#DIV/0!</v>
      </c>
      <c r="C1492" s="3424" t="e">
        <f t="shared" si="770"/>
        <v>#DIV/0!</v>
      </c>
      <c r="D1492" s="3424" t="e">
        <f t="shared" si="770"/>
        <v>#DIV/0!</v>
      </c>
      <c r="E1492" s="3424" t="e">
        <f t="shared" si="770"/>
        <v>#DIV/0!</v>
      </c>
      <c r="F1492" s="3424" t="e">
        <f t="shared" si="770"/>
        <v>#DIV/0!</v>
      </c>
      <c r="G1492" s="3424" t="e">
        <f t="shared" si="770"/>
        <v>#DIV/0!</v>
      </c>
      <c r="H1492" s="3353"/>
    </row>
    <row r="1493" spans="1:8" s="3309" customFormat="1" x14ac:dyDescent="0.2">
      <c r="A1493" s="3459" t="s">
        <v>1718</v>
      </c>
      <c r="B1493" s="3491">
        <f t="shared" ref="B1493:G1493" si="771">INDEX($I$2664:$L$2676,B1495,B1497)</f>
        <v>29.7</v>
      </c>
      <c r="C1493" s="3491">
        <f t="shared" si="771"/>
        <v>168.3</v>
      </c>
      <c r="D1493" s="3491">
        <f t="shared" si="771"/>
        <v>168.3</v>
      </c>
      <c r="E1493" s="3491">
        <f t="shared" si="771"/>
        <v>168.3</v>
      </c>
      <c r="F1493" s="3491">
        <f t="shared" si="771"/>
        <v>168.3</v>
      </c>
      <c r="G1493" s="3491">
        <f t="shared" si="771"/>
        <v>168.3</v>
      </c>
      <c r="H1493" s="3353"/>
    </row>
    <row r="1494" spans="1:8" s="3309" customFormat="1" x14ac:dyDescent="0.2">
      <c r="A1494" s="3528" t="s">
        <v>1719</v>
      </c>
      <c r="B1494" s="3424"/>
      <c r="C1494" s="3412"/>
      <c r="D1494" s="3412"/>
      <c r="E1494" s="3412"/>
      <c r="F1494" s="3412"/>
      <c r="G1494" s="3412"/>
      <c r="H1494" s="3353"/>
    </row>
    <row r="1495" spans="1:8" s="3309" customFormat="1" x14ac:dyDescent="0.2">
      <c r="A1495" s="3459" t="s">
        <v>1720</v>
      </c>
      <c r="B1495" s="3435">
        <f t="shared" ref="B1495:G1495" si="772">IF(B1400&lt;0.51,1,IF(B1400&lt;0.61,2,IF(B1400&lt;0.71,3,IF(B1400&lt;0.81,4,IF(B1400&lt;0.91,5,IF(B1400&lt;1.01,6,IF(B1400&lt;1.11,7,B1496)))))))</f>
        <v>13</v>
      </c>
      <c r="C1495" s="3435">
        <f t="shared" si="772"/>
        <v>1</v>
      </c>
      <c r="D1495" s="3435">
        <f t="shared" si="772"/>
        <v>1</v>
      </c>
      <c r="E1495" s="3435">
        <f t="shared" si="772"/>
        <v>1</v>
      </c>
      <c r="F1495" s="3435">
        <f t="shared" si="772"/>
        <v>1</v>
      </c>
      <c r="G1495" s="3435">
        <f t="shared" si="772"/>
        <v>1</v>
      </c>
      <c r="H1495" s="3353"/>
    </row>
    <row r="1496" spans="1:8" s="3309" customFormat="1" ht="25.5" x14ac:dyDescent="0.2">
      <c r="A1496" s="3528" t="s">
        <v>1721</v>
      </c>
      <c r="B1496" s="3435">
        <f t="shared" ref="B1496:G1496" si="773">IF(B1400&lt;1.26,8,IF(B1400&lt;1.41,9,IF(B1400&lt;1.61,10,IF(B1400&lt;1.81,11,IF(B1400&lt;2.01,12,13)))))</f>
        <v>13</v>
      </c>
      <c r="C1496" s="3435">
        <f t="shared" si="773"/>
        <v>8</v>
      </c>
      <c r="D1496" s="3435">
        <f t="shared" si="773"/>
        <v>8</v>
      </c>
      <c r="E1496" s="3435">
        <f t="shared" si="773"/>
        <v>8</v>
      </c>
      <c r="F1496" s="3435">
        <f t="shared" si="773"/>
        <v>8</v>
      </c>
      <c r="G1496" s="3435">
        <f t="shared" si="773"/>
        <v>8</v>
      </c>
      <c r="H1496" s="3353"/>
    </row>
    <row r="1497" spans="1:8" s="3309" customFormat="1" x14ac:dyDescent="0.2">
      <c r="A1497" s="3459" t="s">
        <v>1722</v>
      </c>
      <c r="B1497" s="3435">
        <f t="shared" ref="B1497:G1497" si="774">IF(B1413&lt;21,1,IF(B1413&lt;36,2,IF(B1413&lt;56,3,4)))</f>
        <v>4</v>
      </c>
      <c r="C1497" s="3435">
        <f t="shared" si="774"/>
        <v>1</v>
      </c>
      <c r="D1497" s="3435">
        <f t="shared" si="774"/>
        <v>1</v>
      </c>
      <c r="E1497" s="3435">
        <f t="shared" si="774"/>
        <v>1</v>
      </c>
      <c r="F1497" s="3435">
        <f t="shared" si="774"/>
        <v>1</v>
      </c>
      <c r="G1497" s="3435">
        <f t="shared" si="774"/>
        <v>1</v>
      </c>
      <c r="H1497" s="3353"/>
    </row>
    <row r="1498" spans="1:8" s="3309" customFormat="1" x14ac:dyDescent="0.2">
      <c r="A1498" s="3459" t="s">
        <v>1723</v>
      </c>
      <c r="B1498" s="3424"/>
      <c r="C1498" s="3412"/>
      <c r="D1498" s="3412"/>
      <c r="E1498" s="3412"/>
      <c r="F1498" s="3412"/>
      <c r="G1498" s="3412"/>
      <c r="H1498" s="3353"/>
    </row>
    <row r="1499" spans="1:8" s="3309" customFormat="1" ht="25.5" x14ac:dyDescent="0.2">
      <c r="A1499" s="3516" t="s">
        <v>1724</v>
      </c>
      <c r="B1499" s="3428">
        <f t="shared" ref="B1499:G1499" si="775">B849</f>
        <v>0</v>
      </c>
      <c r="C1499" s="3428">
        <f t="shared" si="775"/>
        <v>0</v>
      </c>
      <c r="D1499" s="3428">
        <f t="shared" si="775"/>
        <v>0</v>
      </c>
      <c r="E1499" s="3428">
        <f t="shared" si="775"/>
        <v>0</v>
      </c>
      <c r="F1499" s="3428">
        <f t="shared" si="775"/>
        <v>0</v>
      </c>
      <c r="G1499" s="3428">
        <f t="shared" si="775"/>
        <v>0</v>
      </c>
      <c r="H1499" s="3353"/>
    </row>
    <row r="1500" spans="1:8" s="3309" customFormat="1" x14ac:dyDescent="0.2">
      <c r="A1500" s="3459" t="s">
        <v>1725</v>
      </c>
      <c r="B1500" s="3417">
        <f t="shared" ref="B1500:G1500" si="776">IF(B1499=1,1.15,1)</f>
        <v>1</v>
      </c>
      <c r="C1500" s="3417">
        <f t="shared" si="776"/>
        <v>1</v>
      </c>
      <c r="D1500" s="3417">
        <f t="shared" si="776"/>
        <v>1</v>
      </c>
      <c r="E1500" s="3417">
        <f t="shared" si="776"/>
        <v>1</v>
      </c>
      <c r="F1500" s="3417">
        <f t="shared" si="776"/>
        <v>1</v>
      </c>
      <c r="G1500" s="3417">
        <f t="shared" si="776"/>
        <v>1</v>
      </c>
      <c r="H1500" s="3353"/>
    </row>
    <row r="1501" spans="1:8" s="3309" customFormat="1" x14ac:dyDescent="0.2">
      <c r="A1501" s="3516" t="s">
        <v>5573</v>
      </c>
      <c r="B1501" s="3428">
        <f t="shared" ref="B1501:G1501" si="777">B851</f>
        <v>0</v>
      </c>
      <c r="C1501" s="3428">
        <f t="shared" si="777"/>
        <v>0</v>
      </c>
      <c r="D1501" s="3428">
        <f t="shared" si="777"/>
        <v>0</v>
      </c>
      <c r="E1501" s="3428">
        <f t="shared" si="777"/>
        <v>0</v>
      </c>
      <c r="F1501" s="3428">
        <f t="shared" si="777"/>
        <v>0</v>
      </c>
      <c r="G1501" s="3428">
        <f t="shared" si="777"/>
        <v>0</v>
      </c>
      <c r="H1501" s="3353"/>
    </row>
    <row r="1502" spans="1:8" s="3309" customFormat="1" ht="18" customHeight="1" x14ac:dyDescent="0.2">
      <c r="A1502" s="3459" t="s">
        <v>2636</v>
      </c>
      <c r="B1502" s="3417">
        <f t="shared" ref="B1502:G1502" si="778">IF(B1501=1,1.15,1)</f>
        <v>1</v>
      </c>
      <c r="C1502" s="3417">
        <f t="shared" si="778"/>
        <v>1</v>
      </c>
      <c r="D1502" s="3417">
        <f t="shared" si="778"/>
        <v>1</v>
      </c>
      <c r="E1502" s="3417">
        <f t="shared" si="778"/>
        <v>1</v>
      </c>
      <c r="F1502" s="3417">
        <f t="shared" si="778"/>
        <v>1</v>
      </c>
      <c r="G1502" s="3417">
        <f t="shared" si="778"/>
        <v>1</v>
      </c>
      <c r="H1502" s="3353"/>
    </row>
    <row r="1503" spans="1:8" s="3309" customFormat="1" ht="15.75" customHeight="1" x14ac:dyDescent="0.2">
      <c r="A1503" s="3459" t="s">
        <v>2637</v>
      </c>
      <c r="B1503" s="3417">
        <f>IF(B1414&lt;2,0.85,1)</f>
        <v>1</v>
      </c>
      <c r="C1503" s="3417">
        <f>IF(C1414&lt;2,0.85,1)</f>
        <v>0.85</v>
      </c>
      <c r="D1503" s="3417">
        <f>IF(D1414&lt;2,0.85,1)</f>
        <v>0.85</v>
      </c>
      <c r="E1503" s="3417">
        <f>IF(E1414&lt;2,0.85,1)</f>
        <v>0.85</v>
      </c>
      <c r="F1503" s="3417">
        <f>IF(F1414&lt;2,0.85,1)</f>
        <v>0.85</v>
      </c>
      <c r="G1503" s="3417">
        <v>1</v>
      </c>
      <c r="H1503" s="3353"/>
    </row>
    <row r="1504" spans="1:8" s="3309" customFormat="1" x14ac:dyDescent="0.2">
      <c r="A1504" s="3459" t="s">
        <v>1743</v>
      </c>
      <c r="B1504" s="3406">
        <v>0.7</v>
      </c>
      <c r="C1504" s="3406">
        <v>0.7</v>
      </c>
      <c r="D1504" s="3406">
        <v>0.7</v>
      </c>
      <c r="E1504" s="3406">
        <v>0.7</v>
      </c>
      <c r="F1504" s="3406">
        <v>0.7</v>
      </c>
      <c r="G1504" s="3406">
        <v>0.7</v>
      </c>
      <c r="H1504" s="3353"/>
    </row>
    <row r="1505" spans="1:8" s="3309" customFormat="1" x14ac:dyDescent="0.2">
      <c r="A1505" s="3459" t="s">
        <v>3412</v>
      </c>
      <c r="B1505" s="3417" t="e">
        <f t="shared" ref="B1505:G1505" si="779">B1493*(B1500*B1502*B1503*B1504*B1395)</f>
        <v>#VALUE!</v>
      </c>
      <c r="C1505" s="3417">
        <f t="shared" si="779"/>
        <v>0</v>
      </c>
      <c r="D1505" s="3417">
        <f t="shared" si="779"/>
        <v>0</v>
      </c>
      <c r="E1505" s="3417">
        <f t="shared" si="779"/>
        <v>0</v>
      </c>
      <c r="F1505" s="3417">
        <f t="shared" si="779"/>
        <v>0</v>
      </c>
      <c r="G1505" s="3417">
        <f t="shared" si="779"/>
        <v>0</v>
      </c>
      <c r="H1505" s="3353"/>
    </row>
    <row r="1506" spans="1:8" s="3309" customFormat="1" x14ac:dyDescent="0.2">
      <c r="A1506" s="3416" t="s">
        <v>429</v>
      </c>
      <c r="B1506" s="3468" t="e">
        <f t="shared" ref="B1506:G1506" si="780">B1492/B1505</f>
        <v>#DIV/0!</v>
      </c>
      <c r="C1506" s="3468" t="e">
        <f t="shared" si="780"/>
        <v>#DIV/0!</v>
      </c>
      <c r="D1506" s="3468" t="e">
        <f t="shared" si="780"/>
        <v>#DIV/0!</v>
      </c>
      <c r="E1506" s="3468" t="e">
        <f t="shared" si="780"/>
        <v>#DIV/0!</v>
      </c>
      <c r="F1506" s="3468" t="e">
        <f t="shared" si="780"/>
        <v>#DIV/0!</v>
      </c>
      <c r="G1506" s="3468" t="e">
        <f t="shared" si="780"/>
        <v>#DIV/0!</v>
      </c>
      <c r="H1506" s="3353"/>
    </row>
    <row r="1507" spans="1:8" s="3309" customFormat="1" x14ac:dyDescent="0.2">
      <c r="A1507" s="3416" t="s">
        <v>6142</v>
      </c>
      <c r="B1507" s="3514" t="e">
        <f t="shared" ref="B1507:G1507" si="781">B1506+B1489+B1476+B1467</f>
        <v>#DIV/0!</v>
      </c>
      <c r="C1507" s="3514" t="e">
        <f t="shared" si="781"/>
        <v>#DIV/0!</v>
      </c>
      <c r="D1507" s="3514" t="e">
        <f t="shared" si="781"/>
        <v>#DIV/0!</v>
      </c>
      <c r="E1507" s="3514" t="e">
        <f t="shared" si="781"/>
        <v>#DIV/0!</v>
      </c>
      <c r="F1507" s="3514" t="e">
        <f t="shared" si="781"/>
        <v>#DIV/0!</v>
      </c>
      <c r="G1507" s="3514" t="e">
        <f t="shared" si="781"/>
        <v>#DIV/0!</v>
      </c>
      <c r="H1507" s="3353"/>
    </row>
    <row r="1508" spans="1:8" s="3309" customFormat="1" x14ac:dyDescent="0.2">
      <c r="A1508" s="3416" t="s">
        <v>6141</v>
      </c>
      <c r="B1508" s="3514"/>
      <c r="C1508" s="3514"/>
      <c r="D1508" s="3514"/>
      <c r="E1508" s="3514"/>
      <c r="F1508" s="3514"/>
      <c r="G1508" s="3514"/>
      <c r="H1508" s="3353"/>
    </row>
    <row r="1509" spans="1:8" s="3309" customFormat="1" ht="25.5" x14ac:dyDescent="0.2">
      <c r="A1509" s="3542" t="s">
        <v>6140</v>
      </c>
      <c r="B1509" s="3424"/>
      <c r="C1509" s="3412"/>
      <c r="D1509" s="3412"/>
      <c r="E1509" s="3412"/>
      <c r="F1509" s="3412"/>
      <c r="G1509" s="3412"/>
      <c r="H1509" s="3353"/>
    </row>
    <row r="1510" spans="1:8" s="3309" customFormat="1" ht="15.75" customHeight="1" x14ac:dyDescent="0.2">
      <c r="A1510" s="3542" t="s">
        <v>4152</v>
      </c>
      <c r="B1510" s="3424">
        <f t="shared" ref="B1510:G1510" si="782">(B1401/(B1449-B1445))*B1443</f>
        <v>0</v>
      </c>
      <c r="C1510" s="3424" t="e">
        <f t="shared" si="782"/>
        <v>#DIV/0!</v>
      </c>
      <c r="D1510" s="3424" t="e">
        <f t="shared" si="782"/>
        <v>#DIV/0!</v>
      </c>
      <c r="E1510" s="3424" t="e">
        <f t="shared" si="782"/>
        <v>#DIV/0!</v>
      </c>
      <c r="F1510" s="3424" t="e">
        <f t="shared" si="782"/>
        <v>#DIV/0!</v>
      </c>
      <c r="G1510" s="3424" t="e">
        <f t="shared" si="782"/>
        <v>#DIV/0!</v>
      </c>
      <c r="H1510" s="3353"/>
    </row>
    <row r="1511" spans="1:8" s="3309" customFormat="1" ht="39" customHeight="1" x14ac:dyDescent="0.2">
      <c r="A1511" s="3542" t="s">
        <v>425</v>
      </c>
      <c r="B1511" s="3491" t="e">
        <f t="shared" ref="B1511:G1511" si="783">INDEX($C$2737:$F$2746,B1513,B1514)</f>
        <v>#VALUE!</v>
      </c>
      <c r="C1511" s="3491" t="e">
        <f t="shared" si="783"/>
        <v>#NUM!</v>
      </c>
      <c r="D1511" s="3491" t="e">
        <f t="shared" si="783"/>
        <v>#NUM!</v>
      </c>
      <c r="E1511" s="3491" t="e">
        <f t="shared" si="783"/>
        <v>#NUM!</v>
      </c>
      <c r="F1511" s="3491" t="e">
        <f t="shared" si="783"/>
        <v>#NUM!</v>
      </c>
      <c r="G1511" s="3491" t="e">
        <f t="shared" si="783"/>
        <v>#NUM!</v>
      </c>
      <c r="H1511" s="3353"/>
    </row>
    <row r="1512" spans="1:8" s="3309" customFormat="1" x14ac:dyDescent="0.2">
      <c r="A1512" s="3558" t="s">
        <v>1719</v>
      </c>
      <c r="B1512" s="3424"/>
      <c r="C1512" s="3412"/>
      <c r="D1512" s="3412"/>
      <c r="E1512" s="3412"/>
      <c r="F1512" s="3412"/>
      <c r="G1512" s="3412"/>
      <c r="H1512" s="3353"/>
    </row>
    <row r="1513" spans="1:8" s="3309" customFormat="1" x14ac:dyDescent="0.2">
      <c r="A1513" s="3542" t="s">
        <v>1319</v>
      </c>
      <c r="B1513" s="3435" t="e">
        <f t="shared" ref="B1513:G1513" si="784">B1455</f>
        <v>#VALUE!</v>
      </c>
      <c r="C1513" s="3435" t="e">
        <f t="shared" si="784"/>
        <v>#NUM!</v>
      </c>
      <c r="D1513" s="3435" t="e">
        <f t="shared" si="784"/>
        <v>#NUM!</v>
      </c>
      <c r="E1513" s="3435" t="e">
        <f t="shared" si="784"/>
        <v>#NUM!</v>
      </c>
      <c r="F1513" s="3435" t="e">
        <f t="shared" si="784"/>
        <v>#NUM!</v>
      </c>
      <c r="G1513" s="3435" t="e">
        <f t="shared" si="784"/>
        <v>#NUM!</v>
      </c>
      <c r="H1513" s="3353"/>
    </row>
    <row r="1514" spans="1:8" s="3309" customFormat="1" x14ac:dyDescent="0.2">
      <c r="A1514" s="3542" t="s">
        <v>427</v>
      </c>
      <c r="B1514" s="3435">
        <f t="shared" ref="B1514:G1514" si="785">B1457</f>
        <v>4</v>
      </c>
      <c r="C1514" s="3435">
        <f t="shared" si="785"/>
        <v>4</v>
      </c>
      <c r="D1514" s="3435">
        <f t="shared" si="785"/>
        <v>4</v>
      </c>
      <c r="E1514" s="3435">
        <f t="shared" si="785"/>
        <v>4</v>
      </c>
      <c r="F1514" s="3435">
        <f t="shared" si="785"/>
        <v>4</v>
      </c>
      <c r="G1514" s="3435">
        <f t="shared" si="785"/>
        <v>4</v>
      </c>
      <c r="H1514" s="3353"/>
    </row>
    <row r="1515" spans="1:8" s="3309" customFormat="1" x14ac:dyDescent="0.2">
      <c r="A1515" s="3542" t="s">
        <v>1322</v>
      </c>
      <c r="B1515" s="3435"/>
      <c r="C1515" s="3412"/>
      <c r="D1515" s="3412"/>
      <c r="E1515" s="3412"/>
      <c r="F1515" s="3412"/>
      <c r="G1515" s="3412"/>
      <c r="H1515" s="3353"/>
    </row>
    <row r="1516" spans="1:8" s="3309" customFormat="1" x14ac:dyDescent="0.2">
      <c r="A1516" s="3559" t="s">
        <v>1508</v>
      </c>
      <c r="B1516" s="3429">
        <f t="shared" ref="B1516:G1516" si="786">B866</f>
        <v>2.2000000000000002</v>
      </c>
      <c r="C1516" s="3429">
        <f t="shared" si="786"/>
        <v>0</v>
      </c>
      <c r="D1516" s="3429">
        <f t="shared" si="786"/>
        <v>0</v>
      </c>
      <c r="E1516" s="3429">
        <f t="shared" si="786"/>
        <v>0</v>
      </c>
      <c r="F1516" s="3429">
        <f t="shared" si="786"/>
        <v>0</v>
      </c>
      <c r="G1516" s="3429">
        <f t="shared" si="786"/>
        <v>0</v>
      </c>
      <c r="H1516" s="3353"/>
    </row>
    <row r="1517" spans="1:8" s="3309" customFormat="1" ht="15.75" customHeight="1" x14ac:dyDescent="0.2">
      <c r="A1517" s="3558" t="s">
        <v>2974</v>
      </c>
      <c r="B1517" s="3406">
        <f t="shared" ref="B1517:G1517" si="787">B1516*0.02*500</f>
        <v>22.000000000000004</v>
      </c>
      <c r="C1517" s="3406">
        <f t="shared" si="787"/>
        <v>0</v>
      </c>
      <c r="D1517" s="3406">
        <f t="shared" si="787"/>
        <v>0</v>
      </c>
      <c r="E1517" s="3406">
        <f t="shared" si="787"/>
        <v>0</v>
      </c>
      <c r="F1517" s="3406">
        <f t="shared" si="787"/>
        <v>0</v>
      </c>
      <c r="G1517" s="3406">
        <f t="shared" si="787"/>
        <v>0</v>
      </c>
      <c r="H1517" s="3353"/>
    </row>
    <row r="1518" spans="1:8" s="3309" customFormat="1" x14ac:dyDescent="0.2">
      <c r="A1518" s="3542" t="s">
        <v>2975</v>
      </c>
      <c r="B1518" s="3417">
        <f t="shared" ref="B1518:G1518" si="788">IF(B1517&lt;20.1,1,IF(B1517&lt;30,0.9,0.85))</f>
        <v>0.9</v>
      </c>
      <c r="C1518" s="3417">
        <f t="shared" si="788"/>
        <v>1</v>
      </c>
      <c r="D1518" s="3417">
        <f t="shared" si="788"/>
        <v>1</v>
      </c>
      <c r="E1518" s="3417">
        <f t="shared" si="788"/>
        <v>1</v>
      </c>
      <c r="F1518" s="3417">
        <f t="shared" si="788"/>
        <v>1</v>
      </c>
      <c r="G1518" s="3417">
        <f t="shared" si="788"/>
        <v>1</v>
      </c>
      <c r="H1518" s="3353"/>
    </row>
    <row r="1519" spans="1:8" s="3309" customFormat="1" x14ac:dyDescent="0.2">
      <c r="A1519" s="3542" t="s">
        <v>391</v>
      </c>
      <c r="B1519" s="3379">
        <f t="shared" ref="B1519:G1521" si="789">B1460</f>
        <v>1.1499999999999999</v>
      </c>
      <c r="C1519" s="3379">
        <f t="shared" si="789"/>
        <v>1</v>
      </c>
      <c r="D1519" s="3379">
        <f t="shared" si="789"/>
        <v>1</v>
      </c>
      <c r="E1519" s="3379">
        <f t="shared" si="789"/>
        <v>1</v>
      </c>
      <c r="F1519" s="3379">
        <f t="shared" si="789"/>
        <v>1</v>
      </c>
      <c r="G1519" s="3379">
        <f t="shared" si="789"/>
        <v>1</v>
      </c>
      <c r="H1519" s="3353"/>
    </row>
    <row r="1520" spans="1:8" s="3309" customFormat="1" x14ac:dyDescent="0.2">
      <c r="A1520" s="3542" t="s">
        <v>392</v>
      </c>
      <c r="B1520" s="3379">
        <f t="shared" si="789"/>
        <v>0.8</v>
      </c>
      <c r="C1520" s="3379">
        <f t="shared" si="789"/>
        <v>1</v>
      </c>
      <c r="D1520" s="3379">
        <f t="shared" si="789"/>
        <v>1</v>
      </c>
      <c r="E1520" s="3379">
        <f t="shared" si="789"/>
        <v>1</v>
      </c>
      <c r="F1520" s="3379">
        <f t="shared" si="789"/>
        <v>1</v>
      </c>
      <c r="G1520" s="3379">
        <f t="shared" si="789"/>
        <v>1</v>
      </c>
      <c r="H1520" s="3353"/>
    </row>
    <row r="1521" spans="1:8" s="3309" customFormat="1" ht="26.25" customHeight="1" x14ac:dyDescent="0.2">
      <c r="A1521" s="3542" t="s">
        <v>393</v>
      </c>
      <c r="B1521" s="3379">
        <f t="shared" si="789"/>
        <v>1</v>
      </c>
      <c r="C1521" s="3379">
        <f t="shared" si="789"/>
        <v>0.85</v>
      </c>
      <c r="D1521" s="3379">
        <f t="shared" si="789"/>
        <v>0.85</v>
      </c>
      <c r="E1521" s="3379">
        <f t="shared" si="789"/>
        <v>0.85</v>
      </c>
      <c r="F1521" s="3379">
        <f t="shared" si="789"/>
        <v>0.85</v>
      </c>
      <c r="G1521" s="3379">
        <f t="shared" si="789"/>
        <v>0.85</v>
      </c>
      <c r="H1521" s="3353"/>
    </row>
    <row r="1522" spans="1:8" s="3309" customFormat="1" x14ac:dyDescent="0.2">
      <c r="A1522" s="3542" t="s">
        <v>1323</v>
      </c>
      <c r="B1522" s="3379">
        <f t="shared" ref="B1522:G1522" si="790">IF(B1516&lt;2.1,0.9,IF(B1516&lt;3.1,0.85,0.8))</f>
        <v>0.85</v>
      </c>
      <c r="C1522" s="3379">
        <f t="shared" si="790"/>
        <v>0.9</v>
      </c>
      <c r="D1522" s="3379">
        <f t="shared" si="790"/>
        <v>0.9</v>
      </c>
      <c r="E1522" s="3379">
        <f t="shared" si="790"/>
        <v>0.9</v>
      </c>
      <c r="F1522" s="3379">
        <f t="shared" si="790"/>
        <v>0.9</v>
      </c>
      <c r="G1522" s="3379">
        <f t="shared" si="790"/>
        <v>0.9</v>
      </c>
      <c r="H1522" s="3353"/>
    </row>
    <row r="1523" spans="1:8" s="3309" customFormat="1" ht="15.75" customHeight="1" x14ac:dyDescent="0.2">
      <c r="A1523" s="3542" t="s">
        <v>2976</v>
      </c>
      <c r="B1523" s="3384">
        <f t="shared" ref="B1523:G1523" si="791">B873</f>
        <v>0.7</v>
      </c>
      <c r="C1523" s="3384">
        <f t="shared" si="791"/>
        <v>0.7</v>
      </c>
      <c r="D1523" s="3384">
        <f t="shared" si="791"/>
        <v>0.7</v>
      </c>
      <c r="E1523" s="3384">
        <f t="shared" si="791"/>
        <v>0.7</v>
      </c>
      <c r="F1523" s="3384">
        <f t="shared" si="791"/>
        <v>0.7</v>
      </c>
      <c r="G1523" s="3384">
        <f t="shared" si="791"/>
        <v>0.7</v>
      </c>
      <c r="H1523" s="3353"/>
    </row>
    <row r="1524" spans="1:8" s="3309" customFormat="1" ht="15.75" customHeight="1" x14ac:dyDescent="0.2">
      <c r="A1524" s="3542" t="s">
        <v>3412</v>
      </c>
      <c r="B1524" s="3379" t="e">
        <f t="shared" ref="B1524:G1524" si="792">B1511*(B1518*B1519*B1520*B1521*B1522*B1523*B1395)</f>
        <v>#VALUE!</v>
      </c>
      <c r="C1524" s="3379" t="e">
        <f t="shared" si="792"/>
        <v>#NUM!</v>
      </c>
      <c r="D1524" s="3379" t="e">
        <f t="shared" si="792"/>
        <v>#NUM!</v>
      </c>
      <c r="E1524" s="3379" t="e">
        <f t="shared" si="792"/>
        <v>#NUM!</v>
      </c>
      <c r="F1524" s="3379" t="e">
        <f t="shared" si="792"/>
        <v>#NUM!</v>
      </c>
      <c r="G1524" s="3379" t="e">
        <f t="shared" si="792"/>
        <v>#NUM!</v>
      </c>
      <c r="H1524" s="3353"/>
    </row>
    <row r="1525" spans="1:8" s="3309" customFormat="1" x14ac:dyDescent="0.2">
      <c r="A1525" s="3541" t="s">
        <v>429</v>
      </c>
      <c r="B1525" s="3424" t="e">
        <f t="shared" ref="B1525:G1525" si="793">B1510/B1524</f>
        <v>#VALUE!</v>
      </c>
      <c r="C1525" s="3424" t="e">
        <f t="shared" si="793"/>
        <v>#DIV/0!</v>
      </c>
      <c r="D1525" s="3424" t="e">
        <f t="shared" si="793"/>
        <v>#DIV/0!</v>
      </c>
      <c r="E1525" s="3424" t="e">
        <f t="shared" si="793"/>
        <v>#DIV/0!</v>
      </c>
      <c r="F1525" s="3424" t="e">
        <f t="shared" si="793"/>
        <v>#DIV/0!</v>
      </c>
      <c r="G1525" s="3424" t="e">
        <f t="shared" si="793"/>
        <v>#DIV/0!</v>
      </c>
      <c r="H1525" s="3353"/>
    </row>
    <row r="1526" spans="1:8" s="3309" customFormat="1" x14ac:dyDescent="0.2">
      <c r="A1526" s="3542"/>
      <c r="B1526" s="3379"/>
      <c r="C1526" s="3412"/>
      <c r="D1526" s="3412"/>
      <c r="E1526" s="3412"/>
      <c r="F1526" s="3412"/>
      <c r="G1526" s="3412"/>
      <c r="H1526" s="3353"/>
    </row>
    <row r="1527" spans="1:8" s="3309" customFormat="1" ht="38.25" x14ac:dyDescent="0.2">
      <c r="A1527" s="3557" t="s">
        <v>6139</v>
      </c>
      <c r="B1527" s="3417"/>
      <c r="C1527" s="3412"/>
      <c r="D1527" s="3412"/>
      <c r="E1527" s="3412"/>
      <c r="F1527" s="3412"/>
      <c r="G1527" s="3412"/>
      <c r="H1527" s="3353"/>
    </row>
    <row r="1528" spans="1:8" s="3309" customFormat="1" x14ac:dyDescent="0.2">
      <c r="A1528" s="3459" t="s">
        <v>1753</v>
      </c>
      <c r="B1528" s="3491" t="e">
        <f t="shared" ref="B1528:G1528" si="794">((B1449/B1402+1)-3)*B1443</f>
        <v>#DIV/0!</v>
      </c>
      <c r="C1528" s="3491" t="e">
        <f t="shared" si="794"/>
        <v>#DIV/0!</v>
      </c>
      <c r="D1528" s="3491" t="e">
        <f t="shared" si="794"/>
        <v>#DIV/0!</v>
      </c>
      <c r="E1528" s="3491" t="e">
        <f t="shared" si="794"/>
        <v>#DIV/0!</v>
      </c>
      <c r="F1528" s="3491" t="e">
        <f t="shared" si="794"/>
        <v>#DIV/0!</v>
      </c>
      <c r="G1528" s="3491" t="e">
        <f t="shared" si="794"/>
        <v>#DIV/0!</v>
      </c>
      <c r="H1528" s="3353"/>
    </row>
    <row r="1529" spans="1:8" s="3309" customFormat="1" x14ac:dyDescent="0.2">
      <c r="A1529" s="3459" t="s">
        <v>425</v>
      </c>
      <c r="B1529" s="3491" t="e">
        <f t="shared" ref="B1529:G1529" si="795">INDEX($C$2622:$F$2632,B1530,B1531)</f>
        <v>#VALUE!</v>
      </c>
      <c r="C1529" s="3491" t="e">
        <f t="shared" si="795"/>
        <v>#NUM!</v>
      </c>
      <c r="D1529" s="3491" t="e">
        <f t="shared" si="795"/>
        <v>#NUM!</v>
      </c>
      <c r="E1529" s="3491" t="e">
        <f t="shared" si="795"/>
        <v>#NUM!</v>
      </c>
      <c r="F1529" s="3491" t="e">
        <f t="shared" si="795"/>
        <v>#NUM!</v>
      </c>
      <c r="G1529" s="3491" t="e">
        <f t="shared" si="795"/>
        <v>#NUM!</v>
      </c>
      <c r="H1529" s="3353"/>
    </row>
    <row r="1530" spans="1:8" s="3309" customFormat="1" x14ac:dyDescent="0.2">
      <c r="A1530" s="3459" t="s">
        <v>426</v>
      </c>
      <c r="B1530" s="3435" t="e">
        <f t="shared" ref="B1530:G1530" si="796">B1513</f>
        <v>#VALUE!</v>
      </c>
      <c r="C1530" s="3435" t="e">
        <f t="shared" si="796"/>
        <v>#NUM!</v>
      </c>
      <c r="D1530" s="3435" t="e">
        <f t="shared" si="796"/>
        <v>#NUM!</v>
      </c>
      <c r="E1530" s="3435" t="e">
        <f t="shared" si="796"/>
        <v>#NUM!</v>
      </c>
      <c r="F1530" s="3435" t="e">
        <f t="shared" si="796"/>
        <v>#NUM!</v>
      </c>
      <c r="G1530" s="3435" t="e">
        <f t="shared" si="796"/>
        <v>#NUM!</v>
      </c>
      <c r="H1530" s="3353"/>
    </row>
    <row r="1531" spans="1:8" s="3309" customFormat="1" x14ac:dyDescent="0.2">
      <c r="A1531" s="3459" t="s">
        <v>427</v>
      </c>
      <c r="B1531" s="3411">
        <v>1</v>
      </c>
      <c r="C1531" s="3411">
        <v>1</v>
      </c>
      <c r="D1531" s="3411">
        <v>1</v>
      </c>
      <c r="E1531" s="3411">
        <v>1</v>
      </c>
      <c r="F1531" s="3411">
        <v>1</v>
      </c>
      <c r="G1531" s="3411">
        <v>1</v>
      </c>
      <c r="H1531" s="3353"/>
    </row>
    <row r="1532" spans="1:8" s="3309" customFormat="1" x14ac:dyDescent="0.2">
      <c r="A1532" s="3459" t="s">
        <v>1322</v>
      </c>
      <c r="B1532" s="3424"/>
      <c r="C1532" s="3412"/>
      <c r="D1532" s="3412"/>
      <c r="E1532" s="3412"/>
      <c r="F1532" s="3412"/>
      <c r="G1532" s="3412"/>
      <c r="H1532" s="3353"/>
    </row>
    <row r="1533" spans="1:8" s="3309" customFormat="1" ht="15.75" customHeight="1" x14ac:dyDescent="0.2">
      <c r="A1533" s="3459" t="s">
        <v>391</v>
      </c>
      <c r="B1533" s="3379">
        <f t="shared" ref="B1533:G1534" si="797">B1519</f>
        <v>1.1499999999999999</v>
      </c>
      <c r="C1533" s="3379">
        <f t="shared" si="797"/>
        <v>1</v>
      </c>
      <c r="D1533" s="3379">
        <f t="shared" si="797"/>
        <v>1</v>
      </c>
      <c r="E1533" s="3379">
        <f t="shared" si="797"/>
        <v>1</v>
      </c>
      <c r="F1533" s="3379">
        <f t="shared" si="797"/>
        <v>1</v>
      </c>
      <c r="G1533" s="3379">
        <f t="shared" si="797"/>
        <v>1</v>
      </c>
      <c r="H1533" s="3353"/>
    </row>
    <row r="1534" spans="1:8" s="3309" customFormat="1" x14ac:dyDescent="0.2">
      <c r="A1534" s="3542" t="s">
        <v>392</v>
      </c>
      <c r="B1534" s="3379">
        <f t="shared" si="797"/>
        <v>0.8</v>
      </c>
      <c r="C1534" s="3379">
        <f t="shared" si="797"/>
        <v>1</v>
      </c>
      <c r="D1534" s="3379">
        <f t="shared" si="797"/>
        <v>1</v>
      </c>
      <c r="E1534" s="3379">
        <f t="shared" si="797"/>
        <v>1</v>
      </c>
      <c r="F1534" s="3379">
        <f t="shared" si="797"/>
        <v>1</v>
      </c>
      <c r="G1534" s="3379">
        <f t="shared" si="797"/>
        <v>1</v>
      </c>
      <c r="H1534" s="3353"/>
    </row>
    <row r="1535" spans="1:8" s="3309" customFormat="1" x14ac:dyDescent="0.2">
      <c r="A1535" s="3542" t="s">
        <v>2976</v>
      </c>
      <c r="B1535" s="3400">
        <f t="shared" ref="B1535:G1535" si="798">B885</f>
        <v>0.7</v>
      </c>
      <c r="C1535" s="3400">
        <f t="shared" si="798"/>
        <v>0.7</v>
      </c>
      <c r="D1535" s="3400">
        <f t="shared" si="798"/>
        <v>0.7</v>
      </c>
      <c r="E1535" s="3400">
        <f t="shared" si="798"/>
        <v>0.7</v>
      </c>
      <c r="F1535" s="3400">
        <f t="shared" si="798"/>
        <v>0.7</v>
      </c>
      <c r="G1535" s="3400">
        <f t="shared" si="798"/>
        <v>0.7</v>
      </c>
      <c r="H1535" s="3353"/>
    </row>
    <row r="1536" spans="1:8" s="3309" customFormat="1" x14ac:dyDescent="0.2">
      <c r="A1536" s="3459" t="s">
        <v>3412</v>
      </c>
      <c r="B1536" s="3379" t="e">
        <f t="shared" ref="B1536:G1536" si="799">B1529*(B1533*B1534*B1535*B1395)</f>
        <v>#VALUE!</v>
      </c>
      <c r="C1536" s="3379" t="e">
        <f t="shared" si="799"/>
        <v>#NUM!</v>
      </c>
      <c r="D1536" s="3379" t="e">
        <f t="shared" si="799"/>
        <v>#NUM!</v>
      </c>
      <c r="E1536" s="3379" t="e">
        <f t="shared" si="799"/>
        <v>#NUM!</v>
      </c>
      <c r="F1536" s="3379" t="e">
        <f t="shared" si="799"/>
        <v>#NUM!</v>
      </c>
      <c r="G1536" s="3379" t="e">
        <f t="shared" si="799"/>
        <v>#NUM!</v>
      </c>
      <c r="H1536" s="3353"/>
    </row>
    <row r="1537" spans="1:8" s="3309" customFormat="1" x14ac:dyDescent="0.2">
      <c r="A1537" s="3416" t="s">
        <v>429</v>
      </c>
      <c r="B1537" s="3424" t="e">
        <f t="shared" ref="B1537:G1537" si="800">B1528/B1536</f>
        <v>#DIV/0!</v>
      </c>
      <c r="C1537" s="3424" t="e">
        <f t="shared" si="800"/>
        <v>#DIV/0!</v>
      </c>
      <c r="D1537" s="3424" t="e">
        <f t="shared" si="800"/>
        <v>#DIV/0!</v>
      </c>
      <c r="E1537" s="3424" t="e">
        <f t="shared" si="800"/>
        <v>#DIV/0!</v>
      </c>
      <c r="F1537" s="3424" t="e">
        <f t="shared" si="800"/>
        <v>#DIV/0!</v>
      </c>
      <c r="G1537" s="3424" t="e">
        <f t="shared" si="800"/>
        <v>#DIV/0!</v>
      </c>
      <c r="H1537" s="3353"/>
    </row>
    <row r="1538" spans="1:8" s="3309" customFormat="1" x14ac:dyDescent="0.2">
      <c r="A1538" s="3459"/>
      <c r="B1538" s="3379"/>
      <c r="C1538" s="3412"/>
      <c r="D1538" s="3412"/>
      <c r="E1538" s="3412"/>
      <c r="F1538" s="3412"/>
      <c r="G1538" s="3412"/>
      <c r="H1538" s="3353"/>
    </row>
    <row r="1539" spans="1:8" s="3309" customFormat="1" ht="25.5" x14ac:dyDescent="0.2">
      <c r="A1539" s="3459" t="s">
        <v>6138</v>
      </c>
      <c r="B1539" s="3379"/>
      <c r="C1539" s="3412"/>
      <c r="D1539" s="3412"/>
      <c r="E1539" s="3412"/>
      <c r="F1539" s="3412"/>
      <c r="G1539" s="3412"/>
      <c r="H1539" s="3353"/>
    </row>
    <row r="1540" spans="1:8" s="3309" customFormat="1" x14ac:dyDescent="0.2">
      <c r="A1540" s="3459" t="s">
        <v>1753</v>
      </c>
      <c r="B1540" s="3424" t="e">
        <f t="shared" ref="B1540:G1540" si="801">((B1449-B1445)/B1402+1)/((B1449-B1445)/B1401)*B1443</f>
        <v>#DIV/0!</v>
      </c>
      <c r="C1540" s="3424" t="e">
        <f t="shared" si="801"/>
        <v>#DIV/0!</v>
      </c>
      <c r="D1540" s="3424" t="e">
        <f t="shared" si="801"/>
        <v>#DIV/0!</v>
      </c>
      <c r="E1540" s="3424" t="e">
        <f t="shared" si="801"/>
        <v>#DIV/0!</v>
      </c>
      <c r="F1540" s="3424" t="e">
        <f t="shared" si="801"/>
        <v>#DIV/0!</v>
      </c>
      <c r="G1540" s="3424" t="e">
        <f t="shared" si="801"/>
        <v>#DIV/0!</v>
      </c>
      <c r="H1540" s="3353"/>
    </row>
    <row r="1541" spans="1:8" s="3309" customFormat="1" x14ac:dyDescent="0.2">
      <c r="A1541" s="3459" t="s">
        <v>3390</v>
      </c>
      <c r="B1541" s="3491" t="e">
        <f t="shared" ref="B1541:G1541" si="802">B1480</f>
        <v>#VALUE!</v>
      </c>
      <c r="C1541" s="3491" t="e">
        <f t="shared" si="802"/>
        <v>#NUM!</v>
      </c>
      <c r="D1541" s="3491" t="e">
        <f t="shared" si="802"/>
        <v>#NUM!</v>
      </c>
      <c r="E1541" s="3491" t="e">
        <f t="shared" si="802"/>
        <v>#NUM!</v>
      </c>
      <c r="F1541" s="3491" t="e">
        <f t="shared" si="802"/>
        <v>#NUM!</v>
      </c>
      <c r="G1541" s="3491" t="e">
        <f t="shared" si="802"/>
        <v>#NUM!</v>
      </c>
      <c r="H1541" s="3353"/>
    </row>
    <row r="1542" spans="1:8" s="3309" customFormat="1" x14ac:dyDescent="0.2">
      <c r="A1542" s="3459" t="s">
        <v>3391</v>
      </c>
      <c r="B1542" s="3424"/>
      <c r="C1542" s="3412"/>
      <c r="D1542" s="3412"/>
      <c r="E1542" s="3412"/>
      <c r="F1542" s="3412"/>
      <c r="G1542" s="3412"/>
      <c r="H1542" s="3353"/>
    </row>
    <row r="1543" spans="1:8" s="3309" customFormat="1" x14ac:dyDescent="0.2">
      <c r="A1543" s="3459" t="s">
        <v>392</v>
      </c>
      <c r="B1543" s="3379">
        <f t="shared" ref="B1543:G1545" si="803">B1482</f>
        <v>0.8</v>
      </c>
      <c r="C1543" s="3379">
        <f t="shared" si="803"/>
        <v>1</v>
      </c>
      <c r="D1543" s="3379">
        <f t="shared" si="803"/>
        <v>1</v>
      </c>
      <c r="E1543" s="3379">
        <f t="shared" si="803"/>
        <v>1</v>
      </c>
      <c r="F1543" s="3379">
        <f t="shared" si="803"/>
        <v>1</v>
      </c>
      <c r="G1543" s="3379">
        <f t="shared" si="803"/>
        <v>1</v>
      </c>
      <c r="H1543" s="3353"/>
    </row>
    <row r="1544" spans="1:8" s="3309" customFormat="1" x14ac:dyDescent="0.2">
      <c r="A1544" s="3459" t="s">
        <v>391</v>
      </c>
      <c r="B1544" s="3379" t="e">
        <f t="shared" si="803"/>
        <v>#VALUE!</v>
      </c>
      <c r="C1544" s="3379">
        <f t="shared" si="803"/>
        <v>1</v>
      </c>
      <c r="D1544" s="3379">
        <f t="shared" si="803"/>
        <v>1</v>
      </c>
      <c r="E1544" s="3379">
        <f t="shared" si="803"/>
        <v>1</v>
      </c>
      <c r="F1544" s="3379">
        <f t="shared" si="803"/>
        <v>1</v>
      </c>
      <c r="G1544" s="3379">
        <f t="shared" si="803"/>
        <v>1</v>
      </c>
      <c r="H1544" s="3353"/>
    </row>
    <row r="1545" spans="1:8" s="3309" customFormat="1" ht="25.5" x14ac:dyDescent="0.2">
      <c r="A1545" s="3528" t="s">
        <v>3213</v>
      </c>
      <c r="B1545" s="3527">
        <f t="shared" si="803"/>
        <v>1</v>
      </c>
      <c r="C1545" s="3527">
        <f t="shared" si="803"/>
        <v>1</v>
      </c>
      <c r="D1545" s="3527">
        <f t="shared" si="803"/>
        <v>1</v>
      </c>
      <c r="E1545" s="3527">
        <f t="shared" si="803"/>
        <v>1</v>
      </c>
      <c r="F1545" s="3527">
        <f t="shared" si="803"/>
        <v>1</v>
      </c>
      <c r="G1545" s="3527">
        <f t="shared" si="803"/>
        <v>1</v>
      </c>
      <c r="H1545" s="3353"/>
    </row>
    <row r="1546" spans="1:8" s="3309" customFormat="1" x14ac:dyDescent="0.2">
      <c r="A1546" s="3459" t="s">
        <v>3393</v>
      </c>
      <c r="B1546" s="3379">
        <f t="shared" ref="B1546:G1546" si="804">IF(B1545=0,1,1.2)</f>
        <v>1.2</v>
      </c>
      <c r="C1546" s="3379">
        <f t="shared" si="804"/>
        <v>1.2</v>
      </c>
      <c r="D1546" s="3379">
        <f t="shared" si="804"/>
        <v>1.2</v>
      </c>
      <c r="E1546" s="3379">
        <f t="shared" si="804"/>
        <v>1.2</v>
      </c>
      <c r="F1546" s="3379">
        <f t="shared" si="804"/>
        <v>1.2</v>
      </c>
      <c r="G1546" s="3379">
        <f t="shared" si="804"/>
        <v>1.2</v>
      </c>
      <c r="H1546" s="3353"/>
    </row>
    <row r="1547" spans="1:8" s="3309" customFormat="1" ht="25.5" x14ac:dyDescent="0.2">
      <c r="A1547" s="3528" t="s">
        <v>3214</v>
      </c>
      <c r="B1547" s="3527">
        <f t="shared" ref="B1547:G1547" si="805">B1486</f>
        <v>0</v>
      </c>
      <c r="C1547" s="3527">
        <f t="shared" si="805"/>
        <v>0</v>
      </c>
      <c r="D1547" s="3527">
        <f t="shared" si="805"/>
        <v>0</v>
      </c>
      <c r="E1547" s="3527">
        <f t="shared" si="805"/>
        <v>0</v>
      </c>
      <c r="F1547" s="3527">
        <f t="shared" si="805"/>
        <v>0</v>
      </c>
      <c r="G1547" s="3527">
        <f t="shared" si="805"/>
        <v>0</v>
      </c>
      <c r="H1547" s="3353"/>
    </row>
    <row r="1548" spans="1:8" s="3309" customFormat="1" x14ac:dyDescent="0.2">
      <c r="A1548" s="3459" t="s">
        <v>1893</v>
      </c>
      <c r="B1548" s="3379">
        <f t="shared" ref="B1548:G1548" si="806">IF(B1547=0,1.05,1)</f>
        <v>1.05</v>
      </c>
      <c r="C1548" s="3379">
        <f t="shared" si="806"/>
        <v>1.05</v>
      </c>
      <c r="D1548" s="3379">
        <f t="shared" si="806"/>
        <v>1.05</v>
      </c>
      <c r="E1548" s="3379">
        <f t="shared" si="806"/>
        <v>1.05</v>
      </c>
      <c r="F1548" s="3379">
        <f t="shared" si="806"/>
        <v>1.05</v>
      </c>
      <c r="G1548" s="3379">
        <f t="shared" si="806"/>
        <v>1.05</v>
      </c>
      <c r="H1548" s="3353"/>
    </row>
    <row r="1549" spans="1:8" s="3309" customFormat="1" x14ac:dyDescent="0.2">
      <c r="A1549" s="3459" t="s">
        <v>1894</v>
      </c>
      <c r="B1549" s="3379" t="e">
        <f t="shared" ref="B1549:G1549" si="807">B1541*(B1543*B1544*B1546*B1548*B1395)</f>
        <v>#VALUE!</v>
      </c>
      <c r="C1549" s="3379" t="e">
        <f t="shared" si="807"/>
        <v>#NUM!</v>
      </c>
      <c r="D1549" s="3379" t="e">
        <f t="shared" si="807"/>
        <v>#NUM!</v>
      </c>
      <c r="E1549" s="3379" t="e">
        <f t="shared" si="807"/>
        <v>#NUM!</v>
      </c>
      <c r="F1549" s="3379" t="e">
        <f t="shared" si="807"/>
        <v>#NUM!</v>
      </c>
      <c r="G1549" s="3379" t="e">
        <f t="shared" si="807"/>
        <v>#NUM!</v>
      </c>
      <c r="H1549" s="3353"/>
    </row>
    <row r="1550" spans="1:8" s="3309" customFormat="1" x14ac:dyDescent="0.2">
      <c r="A1550" s="3416" t="s">
        <v>429</v>
      </c>
      <c r="B1550" s="3424" t="e">
        <f t="shared" ref="B1550:G1550" si="808">B1540/B1549</f>
        <v>#DIV/0!</v>
      </c>
      <c r="C1550" s="3424" t="e">
        <f t="shared" si="808"/>
        <v>#DIV/0!</v>
      </c>
      <c r="D1550" s="3424" t="e">
        <f t="shared" si="808"/>
        <v>#DIV/0!</v>
      </c>
      <c r="E1550" s="3424" t="e">
        <f t="shared" si="808"/>
        <v>#DIV/0!</v>
      </c>
      <c r="F1550" s="3424" t="e">
        <f t="shared" si="808"/>
        <v>#DIV/0!</v>
      </c>
      <c r="G1550" s="3424" t="e">
        <f t="shared" si="808"/>
        <v>#DIV/0!</v>
      </c>
      <c r="H1550" s="3353"/>
    </row>
    <row r="1551" spans="1:8" s="3309" customFormat="1" x14ac:dyDescent="0.2">
      <c r="A1551" s="3459"/>
      <c r="B1551" s="3424"/>
      <c r="C1551" s="3412"/>
      <c r="D1551" s="3412"/>
      <c r="E1551" s="3412"/>
      <c r="F1551" s="3412"/>
      <c r="G1551" s="3412"/>
      <c r="H1551" s="3353"/>
    </row>
    <row r="1552" spans="1:8" s="3309" customFormat="1" ht="25.5" x14ac:dyDescent="0.2">
      <c r="A1552" s="3459" t="s">
        <v>6137</v>
      </c>
      <c r="B1552" s="3400"/>
      <c r="C1552" s="3412"/>
      <c r="D1552" s="3412"/>
      <c r="E1552" s="3412"/>
      <c r="F1552" s="3412"/>
      <c r="G1552" s="3412"/>
      <c r="H1552" s="3353"/>
    </row>
    <row r="1553" spans="1:8" s="3309" customFormat="1" x14ac:dyDescent="0.2">
      <c r="A1553" s="3459" t="s">
        <v>424</v>
      </c>
      <c r="B1553" s="3424" t="e">
        <f t="shared" ref="B1553:G1553" si="809">((B1449-B1445)/B1402+1)/((B1449-B1445)/B1401)*B1443</f>
        <v>#DIV/0!</v>
      </c>
      <c r="C1553" s="3424" t="e">
        <f t="shared" si="809"/>
        <v>#DIV/0!</v>
      </c>
      <c r="D1553" s="3424" t="e">
        <f t="shared" si="809"/>
        <v>#DIV/0!</v>
      </c>
      <c r="E1553" s="3424" t="e">
        <f t="shared" si="809"/>
        <v>#DIV/0!</v>
      </c>
      <c r="F1553" s="3424" t="e">
        <f t="shared" si="809"/>
        <v>#DIV/0!</v>
      </c>
      <c r="G1553" s="3424" t="e">
        <f t="shared" si="809"/>
        <v>#DIV/0!</v>
      </c>
      <c r="H1553" s="3353"/>
    </row>
    <row r="1554" spans="1:8" s="3309" customFormat="1" x14ac:dyDescent="0.2">
      <c r="A1554" s="3459" t="s">
        <v>1718</v>
      </c>
      <c r="B1554" s="3491">
        <f t="shared" ref="B1554:G1554" si="810">INDEX($I$2664:$L$2676,B1556,B1557)</f>
        <v>29.7</v>
      </c>
      <c r="C1554" s="3491">
        <f t="shared" si="810"/>
        <v>168.3</v>
      </c>
      <c r="D1554" s="3491">
        <f t="shared" si="810"/>
        <v>168.3</v>
      </c>
      <c r="E1554" s="3491">
        <f t="shared" si="810"/>
        <v>168.3</v>
      </c>
      <c r="F1554" s="3491">
        <f t="shared" si="810"/>
        <v>168.3</v>
      </c>
      <c r="G1554" s="3491">
        <f t="shared" si="810"/>
        <v>168.3</v>
      </c>
      <c r="H1554" s="3353"/>
    </row>
    <row r="1555" spans="1:8" s="3309" customFormat="1" x14ac:dyDescent="0.2">
      <c r="A1555" s="3528" t="s">
        <v>1719</v>
      </c>
      <c r="B1555" s="3424"/>
      <c r="C1555" s="3412"/>
      <c r="D1555" s="3412"/>
      <c r="E1555" s="3412"/>
      <c r="F1555" s="3412"/>
      <c r="G1555" s="3412"/>
      <c r="H1555" s="3353"/>
    </row>
    <row r="1556" spans="1:8" s="3309" customFormat="1" x14ac:dyDescent="0.2">
      <c r="A1556" s="3459" t="s">
        <v>1720</v>
      </c>
      <c r="B1556" s="3435">
        <f t="shared" ref="B1556:G1556" si="811">B1495</f>
        <v>13</v>
      </c>
      <c r="C1556" s="3435">
        <f t="shared" si="811"/>
        <v>1</v>
      </c>
      <c r="D1556" s="3435">
        <f t="shared" si="811"/>
        <v>1</v>
      </c>
      <c r="E1556" s="3435">
        <f t="shared" si="811"/>
        <v>1</v>
      </c>
      <c r="F1556" s="3435">
        <f t="shared" si="811"/>
        <v>1</v>
      </c>
      <c r="G1556" s="3435">
        <f t="shared" si="811"/>
        <v>1</v>
      </c>
      <c r="H1556" s="3353"/>
    </row>
    <row r="1557" spans="1:8" s="3309" customFormat="1" x14ac:dyDescent="0.2">
      <c r="A1557" s="3459" t="s">
        <v>1722</v>
      </c>
      <c r="B1557" s="3435">
        <f t="shared" ref="B1557:G1557" si="812">B1497</f>
        <v>4</v>
      </c>
      <c r="C1557" s="3435">
        <f t="shared" si="812"/>
        <v>1</v>
      </c>
      <c r="D1557" s="3435">
        <f t="shared" si="812"/>
        <v>1</v>
      </c>
      <c r="E1557" s="3435">
        <f t="shared" si="812"/>
        <v>1</v>
      </c>
      <c r="F1557" s="3435">
        <f t="shared" si="812"/>
        <v>1</v>
      </c>
      <c r="G1557" s="3435">
        <f t="shared" si="812"/>
        <v>1</v>
      </c>
      <c r="H1557" s="3353"/>
    </row>
    <row r="1558" spans="1:8" s="3309" customFormat="1" x14ac:dyDescent="0.2">
      <c r="A1558" s="3459" t="s">
        <v>1723</v>
      </c>
      <c r="B1558" s="3424"/>
      <c r="C1558" s="3412"/>
      <c r="D1558" s="3412"/>
      <c r="E1558" s="3412"/>
      <c r="F1558" s="3412"/>
      <c r="G1558" s="3412"/>
      <c r="H1558" s="3353"/>
    </row>
    <row r="1559" spans="1:8" s="3309" customFormat="1" ht="25.5" x14ac:dyDescent="0.2">
      <c r="A1559" s="3528" t="s">
        <v>1724</v>
      </c>
      <c r="B1559" s="3527">
        <f t="shared" ref="B1559:G1559" si="813">B1499</f>
        <v>0</v>
      </c>
      <c r="C1559" s="3527">
        <f t="shared" si="813"/>
        <v>0</v>
      </c>
      <c r="D1559" s="3527">
        <f t="shared" si="813"/>
        <v>0</v>
      </c>
      <c r="E1559" s="3527">
        <f t="shared" si="813"/>
        <v>0</v>
      </c>
      <c r="F1559" s="3527">
        <f t="shared" si="813"/>
        <v>0</v>
      </c>
      <c r="G1559" s="3527">
        <f t="shared" si="813"/>
        <v>0</v>
      </c>
      <c r="H1559" s="3353"/>
    </row>
    <row r="1560" spans="1:8" s="3309" customFormat="1" x14ac:dyDescent="0.2">
      <c r="A1560" s="3459" t="s">
        <v>1725</v>
      </c>
      <c r="B1560" s="3379">
        <f t="shared" ref="B1560:G1560" si="814">IF(B1559=1,1.15,1)</f>
        <v>1</v>
      </c>
      <c r="C1560" s="3379">
        <f t="shared" si="814"/>
        <v>1</v>
      </c>
      <c r="D1560" s="3379">
        <f t="shared" si="814"/>
        <v>1</v>
      </c>
      <c r="E1560" s="3379">
        <f t="shared" si="814"/>
        <v>1</v>
      </c>
      <c r="F1560" s="3379">
        <f t="shared" si="814"/>
        <v>1</v>
      </c>
      <c r="G1560" s="3379">
        <f t="shared" si="814"/>
        <v>1</v>
      </c>
      <c r="H1560" s="3353"/>
    </row>
    <row r="1561" spans="1:8" s="3309" customFormat="1" x14ac:dyDescent="0.2">
      <c r="A1561" s="3528" t="s">
        <v>5573</v>
      </c>
      <c r="B1561" s="3527">
        <f t="shared" ref="B1561:G1561" si="815">B1501</f>
        <v>0</v>
      </c>
      <c r="C1561" s="3527">
        <f t="shared" si="815"/>
        <v>0</v>
      </c>
      <c r="D1561" s="3527">
        <f t="shared" si="815"/>
        <v>0</v>
      </c>
      <c r="E1561" s="3527">
        <f t="shared" si="815"/>
        <v>0</v>
      </c>
      <c r="F1561" s="3527">
        <f t="shared" si="815"/>
        <v>0</v>
      </c>
      <c r="G1561" s="3527">
        <f t="shared" si="815"/>
        <v>0</v>
      </c>
      <c r="H1561" s="3353"/>
    </row>
    <row r="1562" spans="1:8" s="3309" customFormat="1" x14ac:dyDescent="0.2">
      <c r="A1562" s="3459" t="s">
        <v>2636</v>
      </c>
      <c r="B1562" s="3379">
        <f t="shared" ref="B1562:G1562" si="816">IF(B1561=1,1.15,1)</f>
        <v>1</v>
      </c>
      <c r="C1562" s="3379">
        <f t="shared" si="816"/>
        <v>1</v>
      </c>
      <c r="D1562" s="3379">
        <f t="shared" si="816"/>
        <v>1</v>
      </c>
      <c r="E1562" s="3379">
        <f t="shared" si="816"/>
        <v>1</v>
      </c>
      <c r="F1562" s="3379">
        <f t="shared" si="816"/>
        <v>1</v>
      </c>
      <c r="G1562" s="3379">
        <f t="shared" si="816"/>
        <v>1</v>
      </c>
      <c r="H1562" s="3353"/>
    </row>
    <row r="1563" spans="1:8" s="3309" customFormat="1" ht="25.5" x14ac:dyDescent="0.2">
      <c r="A1563" s="3459" t="s">
        <v>2637</v>
      </c>
      <c r="B1563" s="3379">
        <f t="shared" ref="B1563:G1563" si="817">IF(B1414&lt;2,0.85,1)</f>
        <v>1</v>
      </c>
      <c r="C1563" s="3379">
        <f t="shared" si="817"/>
        <v>0.85</v>
      </c>
      <c r="D1563" s="3379">
        <f t="shared" si="817"/>
        <v>0.85</v>
      </c>
      <c r="E1563" s="3379">
        <f t="shared" si="817"/>
        <v>0.85</v>
      </c>
      <c r="F1563" s="3379">
        <f t="shared" si="817"/>
        <v>0.85</v>
      </c>
      <c r="G1563" s="3379">
        <f t="shared" si="817"/>
        <v>0.85</v>
      </c>
      <c r="H1563" s="3353"/>
    </row>
    <row r="1564" spans="1:8" s="3309" customFormat="1" x14ac:dyDescent="0.2">
      <c r="A1564" s="3459" t="s">
        <v>532</v>
      </c>
      <c r="B1564" s="3384">
        <f t="shared" ref="B1564:G1564" si="818">B914</f>
        <v>0.7</v>
      </c>
      <c r="C1564" s="3384">
        <f t="shared" si="818"/>
        <v>0.7</v>
      </c>
      <c r="D1564" s="3384">
        <f t="shared" si="818"/>
        <v>0.7</v>
      </c>
      <c r="E1564" s="3384">
        <f t="shared" si="818"/>
        <v>0.7</v>
      </c>
      <c r="F1564" s="3384">
        <f t="shared" si="818"/>
        <v>0.7</v>
      </c>
      <c r="G1564" s="3384">
        <f t="shared" si="818"/>
        <v>0.7</v>
      </c>
      <c r="H1564" s="3353"/>
    </row>
    <row r="1565" spans="1:8" s="3309" customFormat="1" x14ac:dyDescent="0.2">
      <c r="A1565" s="3459" t="s">
        <v>3412</v>
      </c>
      <c r="B1565" s="3379" t="e">
        <f t="shared" ref="B1565:G1565" si="819">B1554*(B1560*B1562*B1563*B1564*B1395)</f>
        <v>#VALUE!</v>
      </c>
      <c r="C1565" s="3379">
        <f t="shared" si="819"/>
        <v>0</v>
      </c>
      <c r="D1565" s="3379">
        <f t="shared" si="819"/>
        <v>0</v>
      </c>
      <c r="E1565" s="3379">
        <f t="shared" si="819"/>
        <v>0</v>
      </c>
      <c r="F1565" s="3379">
        <f t="shared" si="819"/>
        <v>0</v>
      </c>
      <c r="G1565" s="3379">
        <f t="shared" si="819"/>
        <v>0</v>
      </c>
      <c r="H1565" s="3353"/>
    </row>
    <row r="1566" spans="1:8" s="3309" customFormat="1" x14ac:dyDescent="0.2">
      <c r="A1566" s="3416" t="s">
        <v>429</v>
      </c>
      <c r="B1566" s="3424" t="e">
        <f t="shared" ref="B1566:G1566" si="820">B1553/B1565</f>
        <v>#DIV/0!</v>
      </c>
      <c r="C1566" s="3424" t="e">
        <f t="shared" si="820"/>
        <v>#DIV/0!</v>
      </c>
      <c r="D1566" s="3424" t="e">
        <f t="shared" si="820"/>
        <v>#DIV/0!</v>
      </c>
      <c r="E1566" s="3424" t="e">
        <f t="shared" si="820"/>
        <v>#DIV/0!</v>
      </c>
      <c r="F1566" s="3424" t="e">
        <f t="shared" si="820"/>
        <v>#DIV/0!</v>
      </c>
      <c r="G1566" s="3424" t="e">
        <f t="shared" si="820"/>
        <v>#DIV/0!</v>
      </c>
      <c r="H1566" s="3353"/>
    </row>
    <row r="1567" spans="1:8" s="3309" customFormat="1" ht="25.5" x14ac:dyDescent="0.2">
      <c r="A1567" s="3416" t="s">
        <v>6136</v>
      </c>
      <c r="B1567" s="3375" t="e">
        <f t="shared" ref="B1567:G1567" si="821">B1566+B1550+B1537+B1525</f>
        <v>#DIV/0!</v>
      </c>
      <c r="C1567" s="3375" t="e">
        <f t="shared" si="821"/>
        <v>#DIV/0!</v>
      </c>
      <c r="D1567" s="3375" t="e">
        <f t="shared" si="821"/>
        <v>#DIV/0!</v>
      </c>
      <c r="E1567" s="3375" t="e">
        <f t="shared" si="821"/>
        <v>#DIV/0!</v>
      </c>
      <c r="F1567" s="3375" t="e">
        <f t="shared" si="821"/>
        <v>#DIV/0!</v>
      </c>
      <c r="G1567" s="3375" t="e">
        <f t="shared" si="821"/>
        <v>#DIV/0!</v>
      </c>
      <c r="H1567" s="3353"/>
    </row>
    <row r="1568" spans="1:8" s="3309" customFormat="1" ht="25.5" x14ac:dyDescent="0.2">
      <c r="A1568" s="3416" t="s">
        <v>533</v>
      </c>
      <c r="B1568" s="3375" t="e">
        <f t="shared" ref="B1568:G1568" si="822">B1567+B1507</f>
        <v>#DIV/0!</v>
      </c>
      <c r="C1568" s="3375" t="e">
        <f t="shared" si="822"/>
        <v>#DIV/0!</v>
      </c>
      <c r="D1568" s="3375" t="e">
        <f t="shared" si="822"/>
        <v>#DIV/0!</v>
      </c>
      <c r="E1568" s="3375" t="e">
        <f t="shared" si="822"/>
        <v>#DIV/0!</v>
      </c>
      <c r="F1568" s="3375" t="e">
        <f t="shared" si="822"/>
        <v>#DIV/0!</v>
      </c>
      <c r="G1568" s="3375" t="e">
        <f t="shared" si="822"/>
        <v>#DIV/0!</v>
      </c>
      <c r="H1568" s="3353"/>
    </row>
    <row r="1569" spans="1:8" s="3309" customFormat="1" ht="38.25" x14ac:dyDescent="0.2">
      <c r="A1569" s="3377" t="s">
        <v>534</v>
      </c>
      <c r="B1569" s="3556">
        <f t="shared" ref="B1569:G1569" si="823">IF(B1423=0,B1568,0)</f>
        <v>0</v>
      </c>
      <c r="C1569" s="3556" t="e">
        <f t="shared" si="823"/>
        <v>#DIV/0!</v>
      </c>
      <c r="D1569" s="3556" t="e">
        <f t="shared" si="823"/>
        <v>#DIV/0!</v>
      </c>
      <c r="E1569" s="3556" t="e">
        <f t="shared" si="823"/>
        <v>#DIV/0!</v>
      </c>
      <c r="F1569" s="3556" t="e">
        <f t="shared" si="823"/>
        <v>#DIV/0!</v>
      </c>
      <c r="G1569" s="3556" t="e">
        <f t="shared" si="823"/>
        <v>#DIV/0!</v>
      </c>
      <c r="H1569" s="3353"/>
    </row>
    <row r="1570" spans="1:8" s="3309" customFormat="1" ht="38.25" x14ac:dyDescent="0.2">
      <c r="A1570" s="3377" t="s">
        <v>6135</v>
      </c>
      <c r="B1570" s="3512"/>
      <c r="C1570" s="3511"/>
      <c r="D1570" s="3511"/>
      <c r="E1570" s="3511"/>
      <c r="F1570" s="3511"/>
      <c r="G1570" s="3511"/>
      <c r="H1570" s="3353"/>
    </row>
    <row r="1571" spans="1:8" s="3309" customFormat="1" x14ac:dyDescent="0.2">
      <c r="A1571" s="3377" t="s">
        <v>4150</v>
      </c>
      <c r="B1571" s="3424"/>
      <c r="C1571" s="3412"/>
      <c r="D1571" s="3412"/>
      <c r="E1571" s="3412"/>
      <c r="F1571" s="3412"/>
      <c r="G1571" s="3412"/>
      <c r="H1571" s="3353"/>
    </row>
    <row r="1572" spans="1:8" s="3309" customFormat="1" ht="25.5" x14ac:dyDescent="0.2">
      <c r="A1572" s="3555" t="s">
        <v>1507</v>
      </c>
      <c r="B1572" s="3554">
        <f t="shared" ref="B1572:G1572" si="824">B922</f>
        <v>4</v>
      </c>
      <c r="C1572" s="3554">
        <f t="shared" si="824"/>
        <v>0</v>
      </c>
      <c r="D1572" s="3554">
        <f t="shared" si="824"/>
        <v>0</v>
      </c>
      <c r="E1572" s="3554">
        <f t="shared" si="824"/>
        <v>0</v>
      </c>
      <c r="F1572" s="3554">
        <f t="shared" si="824"/>
        <v>0</v>
      </c>
      <c r="G1572" s="3554">
        <f t="shared" si="824"/>
        <v>0</v>
      </c>
      <c r="H1572" s="3353"/>
    </row>
    <row r="1573" spans="1:8" s="3309" customFormat="1" ht="25.5" x14ac:dyDescent="0.2">
      <c r="A1573" s="3542" t="s">
        <v>6134</v>
      </c>
      <c r="B1573" s="3424"/>
      <c r="C1573" s="3412"/>
      <c r="D1573" s="3412"/>
      <c r="E1573" s="3412"/>
      <c r="F1573" s="3412"/>
      <c r="G1573" s="3412"/>
      <c r="H1573" s="3353"/>
    </row>
    <row r="1574" spans="1:8" s="3309" customFormat="1" x14ac:dyDescent="0.2">
      <c r="A1574" s="3542" t="s">
        <v>4152</v>
      </c>
      <c r="B1574" s="3424">
        <f t="shared" ref="B1574:G1574" si="825">(B1401/(B1572-B1444))*B1442</f>
        <v>0</v>
      </c>
      <c r="C1574" s="3424" t="e">
        <f t="shared" si="825"/>
        <v>#DIV/0!</v>
      </c>
      <c r="D1574" s="3424" t="e">
        <f t="shared" si="825"/>
        <v>#DIV/0!</v>
      </c>
      <c r="E1574" s="3424" t="e">
        <f t="shared" si="825"/>
        <v>#DIV/0!</v>
      </c>
      <c r="F1574" s="3424" t="e">
        <f t="shared" si="825"/>
        <v>#DIV/0!</v>
      </c>
      <c r="G1574" s="3424" t="e">
        <f t="shared" si="825"/>
        <v>#DIV/0!</v>
      </c>
      <c r="H1574" s="3353"/>
    </row>
    <row r="1575" spans="1:8" s="3309" customFormat="1" x14ac:dyDescent="0.2">
      <c r="A1575" s="3542" t="s">
        <v>2048</v>
      </c>
      <c r="B1575" s="3491" t="e">
        <f t="shared" ref="B1575:G1575" si="826">INDEX($C$2737:$F$2746,B1578,B1579)</f>
        <v>#VALUE!</v>
      </c>
      <c r="C1575" s="3491" t="e">
        <f t="shared" si="826"/>
        <v>#NUM!</v>
      </c>
      <c r="D1575" s="3491" t="e">
        <f t="shared" si="826"/>
        <v>#NUM!</v>
      </c>
      <c r="E1575" s="3491" t="e">
        <f t="shared" si="826"/>
        <v>#NUM!</v>
      </c>
      <c r="F1575" s="3491" t="e">
        <f t="shared" si="826"/>
        <v>#NUM!</v>
      </c>
      <c r="G1575" s="3491" t="e">
        <f t="shared" si="826"/>
        <v>#NUM!</v>
      </c>
      <c r="H1575" s="3353"/>
    </row>
    <row r="1576" spans="1:8" s="3309" customFormat="1" x14ac:dyDescent="0.2">
      <c r="A1576" s="3419" t="s">
        <v>1719</v>
      </c>
      <c r="B1576" s="3424"/>
      <c r="C1576" s="3412"/>
      <c r="D1576" s="3412"/>
      <c r="E1576" s="3412"/>
      <c r="F1576" s="3412"/>
      <c r="G1576" s="3412"/>
      <c r="H1576" s="3353"/>
    </row>
    <row r="1577" spans="1:8" s="3309" customFormat="1" x14ac:dyDescent="0.2">
      <c r="A1577" s="3411" t="s">
        <v>1613</v>
      </c>
      <c r="B1577" s="3491" t="e">
        <f t="shared" ref="B1577:G1578" si="827">B1454</f>
        <v>#VALUE!</v>
      </c>
      <c r="C1577" s="3491" t="e">
        <f t="shared" si="827"/>
        <v>#NUM!</v>
      </c>
      <c r="D1577" s="3491" t="e">
        <f t="shared" si="827"/>
        <v>#NUM!</v>
      </c>
      <c r="E1577" s="3491" t="e">
        <f t="shared" si="827"/>
        <v>#NUM!</v>
      </c>
      <c r="F1577" s="3491" t="e">
        <f t="shared" si="827"/>
        <v>#NUM!</v>
      </c>
      <c r="G1577" s="3491" t="e">
        <f t="shared" si="827"/>
        <v>#NUM!</v>
      </c>
      <c r="H1577" s="3353"/>
    </row>
    <row r="1578" spans="1:8" s="3309" customFormat="1" x14ac:dyDescent="0.2">
      <c r="A1578" s="3542" t="s">
        <v>1319</v>
      </c>
      <c r="B1578" s="3435" t="e">
        <f t="shared" si="827"/>
        <v>#VALUE!</v>
      </c>
      <c r="C1578" s="3435" t="e">
        <f t="shared" si="827"/>
        <v>#NUM!</v>
      </c>
      <c r="D1578" s="3435" t="e">
        <f t="shared" si="827"/>
        <v>#NUM!</v>
      </c>
      <c r="E1578" s="3435" t="e">
        <f t="shared" si="827"/>
        <v>#NUM!</v>
      </c>
      <c r="F1578" s="3435" t="e">
        <f t="shared" si="827"/>
        <v>#NUM!</v>
      </c>
      <c r="G1578" s="3435" t="e">
        <f t="shared" si="827"/>
        <v>#NUM!</v>
      </c>
      <c r="H1578" s="3353"/>
    </row>
    <row r="1579" spans="1:8" s="3309" customFormat="1" x14ac:dyDescent="0.2">
      <c r="A1579" s="3542" t="s">
        <v>1321</v>
      </c>
      <c r="B1579" s="3435">
        <v>4</v>
      </c>
      <c r="C1579" s="3435">
        <v>4</v>
      </c>
      <c r="D1579" s="3435">
        <v>4</v>
      </c>
      <c r="E1579" s="3435">
        <v>4</v>
      </c>
      <c r="F1579" s="3435">
        <v>4</v>
      </c>
      <c r="G1579" s="3435">
        <v>4</v>
      </c>
      <c r="H1579" s="3353"/>
    </row>
    <row r="1580" spans="1:8" s="3309" customFormat="1" x14ac:dyDescent="0.2">
      <c r="A1580" s="3542" t="s">
        <v>1322</v>
      </c>
      <c r="B1580" s="3424"/>
      <c r="C1580" s="3412"/>
      <c r="D1580" s="3412"/>
      <c r="E1580" s="3412"/>
      <c r="F1580" s="3412"/>
      <c r="G1580" s="3412"/>
      <c r="H1580" s="3353"/>
    </row>
    <row r="1581" spans="1:8" s="3309" customFormat="1" x14ac:dyDescent="0.2">
      <c r="A1581" s="3542" t="s">
        <v>1323</v>
      </c>
      <c r="B1581" s="3379">
        <f t="shared" ref="B1581:G1581" si="828">IF(B1572&lt;1.63,1,IF(B1572&lt;2.45,0.9,0.85))</f>
        <v>0.85</v>
      </c>
      <c r="C1581" s="3379">
        <f t="shared" si="828"/>
        <v>1</v>
      </c>
      <c r="D1581" s="3379">
        <f t="shared" si="828"/>
        <v>1</v>
      </c>
      <c r="E1581" s="3379">
        <f t="shared" si="828"/>
        <v>1</v>
      </c>
      <c r="F1581" s="3379">
        <f t="shared" si="828"/>
        <v>1</v>
      </c>
      <c r="G1581" s="3379">
        <f t="shared" si="828"/>
        <v>1</v>
      </c>
      <c r="H1581" s="3353"/>
    </row>
    <row r="1582" spans="1:8" s="3309" customFormat="1" x14ac:dyDescent="0.2">
      <c r="A1582" s="3542" t="s">
        <v>391</v>
      </c>
      <c r="B1582" s="3379">
        <f t="shared" ref="B1582:G1584" si="829">B1460</f>
        <v>1.1499999999999999</v>
      </c>
      <c r="C1582" s="3379">
        <f t="shared" si="829"/>
        <v>1</v>
      </c>
      <c r="D1582" s="3379">
        <f t="shared" si="829"/>
        <v>1</v>
      </c>
      <c r="E1582" s="3379">
        <f t="shared" si="829"/>
        <v>1</v>
      </c>
      <c r="F1582" s="3379">
        <f t="shared" si="829"/>
        <v>1</v>
      </c>
      <c r="G1582" s="3379">
        <f t="shared" si="829"/>
        <v>1</v>
      </c>
      <c r="H1582" s="3353"/>
    </row>
    <row r="1583" spans="1:8" s="3309" customFormat="1" x14ac:dyDescent="0.2">
      <c r="A1583" s="3542" t="s">
        <v>392</v>
      </c>
      <c r="B1583" s="3379">
        <f t="shared" si="829"/>
        <v>0.8</v>
      </c>
      <c r="C1583" s="3379">
        <f t="shared" si="829"/>
        <v>1</v>
      </c>
      <c r="D1583" s="3379">
        <f t="shared" si="829"/>
        <v>1</v>
      </c>
      <c r="E1583" s="3379">
        <f t="shared" si="829"/>
        <v>1</v>
      </c>
      <c r="F1583" s="3379">
        <f t="shared" si="829"/>
        <v>1</v>
      </c>
      <c r="G1583" s="3379">
        <f t="shared" si="829"/>
        <v>1</v>
      </c>
      <c r="H1583" s="3353"/>
    </row>
    <row r="1584" spans="1:8" s="3309" customFormat="1" x14ac:dyDescent="0.2">
      <c r="A1584" s="3542" t="s">
        <v>393</v>
      </c>
      <c r="B1584" s="3379">
        <f t="shared" si="829"/>
        <v>1</v>
      </c>
      <c r="C1584" s="3379">
        <f t="shared" si="829"/>
        <v>0.85</v>
      </c>
      <c r="D1584" s="3379">
        <f t="shared" si="829"/>
        <v>0.85</v>
      </c>
      <c r="E1584" s="3379">
        <f t="shared" si="829"/>
        <v>0.85</v>
      </c>
      <c r="F1584" s="3379">
        <f t="shared" si="829"/>
        <v>0.85</v>
      </c>
      <c r="G1584" s="3379">
        <f t="shared" si="829"/>
        <v>0.85</v>
      </c>
      <c r="H1584" s="3353"/>
    </row>
    <row r="1585" spans="1:8" s="3309" customFormat="1" x14ac:dyDescent="0.2">
      <c r="A1585" s="3542" t="s">
        <v>1614</v>
      </c>
      <c r="B1585" s="3384">
        <f t="shared" ref="B1585:G1585" si="830">B935</f>
        <v>0.7</v>
      </c>
      <c r="C1585" s="3384">
        <f t="shared" si="830"/>
        <v>0.7</v>
      </c>
      <c r="D1585" s="3384">
        <f t="shared" si="830"/>
        <v>0.7</v>
      </c>
      <c r="E1585" s="3384">
        <f t="shared" si="830"/>
        <v>0.7</v>
      </c>
      <c r="F1585" s="3384">
        <f t="shared" si="830"/>
        <v>0.7</v>
      </c>
      <c r="G1585" s="3384">
        <f t="shared" si="830"/>
        <v>0.7</v>
      </c>
      <c r="H1585" s="3353"/>
    </row>
    <row r="1586" spans="1:8" s="3309" customFormat="1" x14ac:dyDescent="0.2">
      <c r="A1586" s="3542" t="s">
        <v>3412</v>
      </c>
      <c r="B1586" s="3379" t="e">
        <f t="shared" ref="B1586:G1586" si="831">B1575*(B1581*B1582*B1583*B1584*B1585*B1395)</f>
        <v>#VALUE!</v>
      </c>
      <c r="C1586" s="3379" t="e">
        <f t="shared" si="831"/>
        <v>#NUM!</v>
      </c>
      <c r="D1586" s="3379" t="e">
        <f t="shared" si="831"/>
        <v>#NUM!</v>
      </c>
      <c r="E1586" s="3379" t="e">
        <f t="shared" si="831"/>
        <v>#NUM!</v>
      </c>
      <c r="F1586" s="3379" t="e">
        <f t="shared" si="831"/>
        <v>#NUM!</v>
      </c>
      <c r="G1586" s="3379" t="e">
        <f t="shared" si="831"/>
        <v>#NUM!</v>
      </c>
      <c r="H1586" s="3353"/>
    </row>
    <row r="1587" spans="1:8" s="3309" customFormat="1" x14ac:dyDescent="0.2">
      <c r="A1587" s="3541" t="s">
        <v>429</v>
      </c>
      <c r="B1587" s="3424" t="e">
        <f t="shared" ref="B1587:G1587" si="832">B1574/B1586</f>
        <v>#VALUE!</v>
      </c>
      <c r="C1587" s="3424" t="e">
        <f t="shared" si="832"/>
        <v>#DIV/0!</v>
      </c>
      <c r="D1587" s="3424" t="e">
        <f t="shared" si="832"/>
        <v>#DIV/0!</v>
      </c>
      <c r="E1587" s="3424" t="e">
        <f t="shared" si="832"/>
        <v>#DIV/0!</v>
      </c>
      <c r="F1587" s="3424" t="e">
        <f t="shared" si="832"/>
        <v>#DIV/0!</v>
      </c>
      <c r="G1587" s="3424" t="e">
        <f t="shared" si="832"/>
        <v>#DIV/0!</v>
      </c>
      <c r="H1587" s="3353"/>
    </row>
    <row r="1588" spans="1:8" s="3309" customFormat="1" x14ac:dyDescent="0.2">
      <c r="A1588" s="3542"/>
      <c r="B1588" s="3379"/>
      <c r="C1588" s="3412"/>
      <c r="D1588" s="3412"/>
      <c r="E1588" s="3412"/>
      <c r="F1588" s="3412"/>
      <c r="G1588" s="3412"/>
      <c r="H1588" s="3353"/>
    </row>
    <row r="1589" spans="1:8" s="3309" customFormat="1" ht="38.25" x14ac:dyDescent="0.2">
      <c r="A1589" s="3459" t="s">
        <v>6133</v>
      </c>
      <c r="B1589" s="3379"/>
      <c r="C1589" s="3412"/>
      <c r="D1589" s="3412"/>
      <c r="E1589" s="3412"/>
      <c r="F1589" s="3412"/>
      <c r="G1589" s="3412"/>
      <c r="H1589" s="3353"/>
    </row>
    <row r="1590" spans="1:8" s="3309" customFormat="1" x14ac:dyDescent="0.2">
      <c r="A1590" s="3459" t="s">
        <v>424</v>
      </c>
      <c r="B1590" s="3379" t="e">
        <f t="shared" ref="B1590:G1590" si="833">(((B1572/B1402)+1)-3)*B1442</f>
        <v>#DIV/0!</v>
      </c>
      <c r="C1590" s="3379" t="e">
        <f t="shared" si="833"/>
        <v>#DIV/0!</v>
      </c>
      <c r="D1590" s="3379" t="e">
        <f t="shared" si="833"/>
        <v>#DIV/0!</v>
      </c>
      <c r="E1590" s="3379" t="e">
        <f t="shared" si="833"/>
        <v>#DIV/0!</v>
      </c>
      <c r="F1590" s="3379" t="e">
        <f t="shared" si="833"/>
        <v>#DIV/0!</v>
      </c>
      <c r="G1590" s="3379" t="e">
        <f t="shared" si="833"/>
        <v>#DIV/0!</v>
      </c>
      <c r="H1590" s="3353"/>
    </row>
    <row r="1591" spans="1:8" s="3309" customFormat="1" x14ac:dyDescent="0.2">
      <c r="A1591" s="3459" t="s">
        <v>425</v>
      </c>
      <c r="B1591" s="3379" t="e">
        <f t="shared" ref="B1591:G1591" si="834">B1471</f>
        <v>#VALUE!</v>
      </c>
      <c r="C1591" s="3379" t="e">
        <f t="shared" si="834"/>
        <v>#NUM!</v>
      </c>
      <c r="D1591" s="3379" t="e">
        <f t="shared" si="834"/>
        <v>#NUM!</v>
      </c>
      <c r="E1591" s="3379" t="e">
        <f t="shared" si="834"/>
        <v>#NUM!</v>
      </c>
      <c r="F1591" s="3379" t="e">
        <f t="shared" si="834"/>
        <v>#NUM!</v>
      </c>
      <c r="G1591" s="3379" t="e">
        <f t="shared" si="834"/>
        <v>#NUM!</v>
      </c>
      <c r="H1591" s="3353"/>
    </row>
    <row r="1592" spans="1:8" s="3309" customFormat="1" x14ac:dyDescent="0.2">
      <c r="A1592" s="3459" t="s">
        <v>428</v>
      </c>
      <c r="B1592" s="3379" t="e">
        <f t="shared" ref="B1592:G1592" si="835">B1581*B1582*B1583*B1584*B1585*B1395</f>
        <v>#VALUE!</v>
      </c>
      <c r="C1592" s="3379">
        <f t="shared" si="835"/>
        <v>0</v>
      </c>
      <c r="D1592" s="3379">
        <f t="shared" si="835"/>
        <v>0</v>
      </c>
      <c r="E1592" s="3379">
        <f t="shared" si="835"/>
        <v>0</v>
      </c>
      <c r="F1592" s="3379">
        <f t="shared" si="835"/>
        <v>0</v>
      </c>
      <c r="G1592" s="3379">
        <f t="shared" si="835"/>
        <v>0</v>
      </c>
      <c r="H1592" s="3353"/>
    </row>
    <row r="1593" spans="1:8" s="3309" customFormat="1" x14ac:dyDescent="0.2">
      <c r="A1593" s="3459" t="s">
        <v>3412</v>
      </c>
      <c r="B1593" s="3379" t="e">
        <f t="shared" ref="B1593:G1593" si="836">B1591*B1592</f>
        <v>#VALUE!</v>
      </c>
      <c r="C1593" s="3379" t="e">
        <f t="shared" si="836"/>
        <v>#NUM!</v>
      </c>
      <c r="D1593" s="3379" t="e">
        <f t="shared" si="836"/>
        <v>#NUM!</v>
      </c>
      <c r="E1593" s="3379" t="e">
        <f t="shared" si="836"/>
        <v>#NUM!</v>
      </c>
      <c r="F1593" s="3379" t="e">
        <f t="shared" si="836"/>
        <v>#NUM!</v>
      </c>
      <c r="G1593" s="3379" t="e">
        <f t="shared" si="836"/>
        <v>#NUM!</v>
      </c>
      <c r="H1593" s="3353"/>
    </row>
    <row r="1594" spans="1:8" s="3309" customFormat="1" x14ac:dyDescent="0.2">
      <c r="A1594" s="3541" t="s">
        <v>429</v>
      </c>
      <c r="B1594" s="3424" t="e">
        <f t="shared" ref="B1594:G1594" si="837">B1590/B1593</f>
        <v>#DIV/0!</v>
      </c>
      <c r="C1594" s="3424" t="e">
        <f t="shared" si="837"/>
        <v>#DIV/0!</v>
      </c>
      <c r="D1594" s="3424" t="e">
        <f t="shared" si="837"/>
        <v>#DIV/0!</v>
      </c>
      <c r="E1594" s="3424" t="e">
        <f t="shared" si="837"/>
        <v>#DIV/0!</v>
      </c>
      <c r="F1594" s="3424" t="e">
        <f t="shared" si="837"/>
        <v>#DIV/0!</v>
      </c>
      <c r="G1594" s="3424" t="e">
        <f t="shared" si="837"/>
        <v>#DIV/0!</v>
      </c>
      <c r="H1594" s="3353"/>
    </row>
    <row r="1595" spans="1:8" s="3309" customFormat="1" x14ac:dyDescent="0.2">
      <c r="A1595" s="3411"/>
      <c r="B1595" s="3379"/>
      <c r="C1595" s="3412"/>
      <c r="D1595" s="3412"/>
      <c r="E1595" s="3412"/>
      <c r="F1595" s="3412"/>
      <c r="G1595" s="3412"/>
      <c r="H1595" s="3353"/>
    </row>
    <row r="1596" spans="1:8" s="3309" customFormat="1" ht="38.25" x14ac:dyDescent="0.2">
      <c r="A1596" s="3459" t="s">
        <v>6132</v>
      </c>
      <c r="B1596" s="3379"/>
      <c r="C1596" s="3412"/>
      <c r="D1596" s="3412"/>
      <c r="E1596" s="3412"/>
      <c r="F1596" s="3412"/>
      <c r="G1596" s="3412"/>
      <c r="H1596" s="3353"/>
    </row>
    <row r="1597" spans="1:8" s="3309" customFormat="1" x14ac:dyDescent="0.2">
      <c r="A1597" s="3459" t="s">
        <v>424</v>
      </c>
      <c r="B1597" s="3424" t="e">
        <f t="shared" ref="B1597:G1597" si="838">(B1401*(((B1572-B1444)/B1402+1)-1)/(B1572-B1444))*B1442</f>
        <v>#DIV/0!</v>
      </c>
      <c r="C1597" s="3424" t="e">
        <f t="shared" si="838"/>
        <v>#DIV/0!</v>
      </c>
      <c r="D1597" s="3424" t="e">
        <f t="shared" si="838"/>
        <v>#DIV/0!</v>
      </c>
      <c r="E1597" s="3424" t="e">
        <f t="shared" si="838"/>
        <v>#DIV/0!</v>
      </c>
      <c r="F1597" s="3424" t="e">
        <f t="shared" si="838"/>
        <v>#DIV/0!</v>
      </c>
      <c r="G1597" s="3424" t="e">
        <f t="shared" si="838"/>
        <v>#DIV/0!</v>
      </c>
      <c r="H1597" s="3353"/>
    </row>
    <row r="1598" spans="1:8" s="3309" customFormat="1" x14ac:dyDescent="0.2">
      <c r="A1598" s="3459" t="s">
        <v>3390</v>
      </c>
      <c r="B1598" s="3435" t="e">
        <f t="shared" ref="B1598:G1598" si="839">B1480</f>
        <v>#VALUE!</v>
      </c>
      <c r="C1598" s="3435" t="e">
        <f t="shared" si="839"/>
        <v>#NUM!</v>
      </c>
      <c r="D1598" s="3435" t="e">
        <f t="shared" si="839"/>
        <v>#NUM!</v>
      </c>
      <c r="E1598" s="3435" t="e">
        <f t="shared" si="839"/>
        <v>#NUM!</v>
      </c>
      <c r="F1598" s="3435" t="e">
        <f t="shared" si="839"/>
        <v>#NUM!</v>
      </c>
      <c r="G1598" s="3435" t="e">
        <f t="shared" si="839"/>
        <v>#NUM!</v>
      </c>
      <c r="H1598" s="3353"/>
    </row>
    <row r="1599" spans="1:8" s="3309" customFormat="1" x14ac:dyDescent="0.2">
      <c r="A1599" s="3459" t="s">
        <v>3391</v>
      </c>
      <c r="B1599" s="3379"/>
      <c r="C1599" s="3412"/>
      <c r="D1599" s="3412"/>
      <c r="E1599" s="3412"/>
      <c r="F1599" s="3412"/>
      <c r="G1599" s="3412"/>
      <c r="H1599" s="3353"/>
    </row>
    <row r="1600" spans="1:8" s="3309" customFormat="1" x14ac:dyDescent="0.2">
      <c r="A1600" s="3459" t="s">
        <v>392</v>
      </c>
      <c r="B1600" s="3379">
        <f t="shared" ref="B1600:G1602" si="840">B1482</f>
        <v>0.8</v>
      </c>
      <c r="C1600" s="3379">
        <f t="shared" si="840"/>
        <v>1</v>
      </c>
      <c r="D1600" s="3379">
        <f t="shared" si="840"/>
        <v>1</v>
      </c>
      <c r="E1600" s="3379">
        <f t="shared" si="840"/>
        <v>1</v>
      </c>
      <c r="F1600" s="3379">
        <f t="shared" si="840"/>
        <v>1</v>
      </c>
      <c r="G1600" s="3379">
        <f t="shared" si="840"/>
        <v>1</v>
      </c>
      <c r="H1600" s="3353"/>
    </row>
    <row r="1601" spans="1:8" s="3309" customFormat="1" x14ac:dyDescent="0.2">
      <c r="A1601" s="3459" t="s">
        <v>391</v>
      </c>
      <c r="B1601" s="3379" t="e">
        <f t="shared" si="840"/>
        <v>#VALUE!</v>
      </c>
      <c r="C1601" s="3379">
        <f t="shared" si="840"/>
        <v>1</v>
      </c>
      <c r="D1601" s="3379">
        <f t="shared" si="840"/>
        <v>1</v>
      </c>
      <c r="E1601" s="3379">
        <f t="shared" si="840"/>
        <v>1</v>
      </c>
      <c r="F1601" s="3379">
        <f t="shared" si="840"/>
        <v>1</v>
      </c>
      <c r="G1601" s="3379">
        <f t="shared" si="840"/>
        <v>1</v>
      </c>
      <c r="H1601" s="3353"/>
    </row>
    <row r="1602" spans="1:8" s="3309" customFormat="1" ht="25.5" x14ac:dyDescent="0.2">
      <c r="A1602" s="3528" t="s">
        <v>3392</v>
      </c>
      <c r="B1602" s="3527">
        <f t="shared" si="840"/>
        <v>1</v>
      </c>
      <c r="C1602" s="3527">
        <f t="shared" si="840"/>
        <v>1</v>
      </c>
      <c r="D1602" s="3527">
        <f t="shared" si="840"/>
        <v>1</v>
      </c>
      <c r="E1602" s="3527">
        <f t="shared" si="840"/>
        <v>1</v>
      </c>
      <c r="F1602" s="3527">
        <f t="shared" si="840"/>
        <v>1</v>
      </c>
      <c r="G1602" s="3527">
        <f t="shared" si="840"/>
        <v>1</v>
      </c>
      <c r="H1602" s="3353"/>
    </row>
    <row r="1603" spans="1:8" s="3309" customFormat="1" x14ac:dyDescent="0.2">
      <c r="A1603" s="3459" t="s">
        <v>3393</v>
      </c>
      <c r="B1603" s="3379">
        <f t="shared" ref="B1603:G1603" si="841">IF(B1602=0,1,1.2)</f>
        <v>1.2</v>
      </c>
      <c r="C1603" s="3379">
        <f t="shared" si="841"/>
        <v>1.2</v>
      </c>
      <c r="D1603" s="3379">
        <f t="shared" si="841"/>
        <v>1.2</v>
      </c>
      <c r="E1603" s="3379">
        <f t="shared" si="841"/>
        <v>1.2</v>
      </c>
      <c r="F1603" s="3379">
        <f t="shared" si="841"/>
        <v>1.2</v>
      </c>
      <c r="G1603" s="3379">
        <f t="shared" si="841"/>
        <v>1.2</v>
      </c>
      <c r="H1603" s="3353"/>
    </row>
    <row r="1604" spans="1:8" s="3309" customFormat="1" ht="25.5" x14ac:dyDescent="0.2">
      <c r="A1604" s="3528" t="s">
        <v>1892</v>
      </c>
      <c r="B1604" s="3527">
        <f t="shared" ref="B1604:G1604" si="842">B1486</f>
        <v>0</v>
      </c>
      <c r="C1604" s="3527">
        <f t="shared" si="842"/>
        <v>0</v>
      </c>
      <c r="D1604" s="3527">
        <f t="shared" si="842"/>
        <v>0</v>
      </c>
      <c r="E1604" s="3527">
        <f t="shared" si="842"/>
        <v>0</v>
      </c>
      <c r="F1604" s="3527">
        <f t="shared" si="842"/>
        <v>0</v>
      </c>
      <c r="G1604" s="3527">
        <f t="shared" si="842"/>
        <v>0</v>
      </c>
      <c r="H1604" s="3353"/>
    </row>
    <row r="1605" spans="1:8" s="3309" customFormat="1" x14ac:dyDescent="0.2">
      <c r="A1605" s="3459" t="s">
        <v>1893</v>
      </c>
      <c r="B1605" s="3379">
        <f t="shared" ref="B1605:G1605" si="843">IF(B1604=0,1.05,1)</f>
        <v>1.05</v>
      </c>
      <c r="C1605" s="3379">
        <f t="shared" si="843"/>
        <v>1.05</v>
      </c>
      <c r="D1605" s="3379">
        <f t="shared" si="843"/>
        <v>1.05</v>
      </c>
      <c r="E1605" s="3379">
        <f t="shared" si="843"/>
        <v>1.05</v>
      </c>
      <c r="F1605" s="3379">
        <f t="shared" si="843"/>
        <v>1.05</v>
      </c>
      <c r="G1605" s="3379">
        <f t="shared" si="843"/>
        <v>1.05</v>
      </c>
      <c r="H1605" s="3353"/>
    </row>
    <row r="1606" spans="1:8" s="3309" customFormat="1" x14ac:dyDescent="0.2">
      <c r="A1606" s="3459" t="s">
        <v>1894</v>
      </c>
      <c r="B1606" s="3379" t="e">
        <f t="shared" ref="B1606:G1606" si="844">B1598*(B1600*B1601*B1603*B1605*B1395)</f>
        <v>#VALUE!</v>
      </c>
      <c r="C1606" s="3379" t="e">
        <f t="shared" si="844"/>
        <v>#NUM!</v>
      </c>
      <c r="D1606" s="3379" t="e">
        <f t="shared" si="844"/>
        <v>#NUM!</v>
      </c>
      <c r="E1606" s="3379" t="e">
        <f t="shared" si="844"/>
        <v>#NUM!</v>
      </c>
      <c r="F1606" s="3379" t="e">
        <f t="shared" si="844"/>
        <v>#NUM!</v>
      </c>
      <c r="G1606" s="3379" t="e">
        <f t="shared" si="844"/>
        <v>#NUM!</v>
      </c>
      <c r="H1606" s="3353"/>
    </row>
    <row r="1607" spans="1:8" s="3309" customFormat="1" x14ac:dyDescent="0.2">
      <c r="A1607" s="3416" t="s">
        <v>429</v>
      </c>
      <c r="B1607" s="3553" t="e">
        <f t="shared" ref="B1607:G1607" si="845">B1597/B1606</f>
        <v>#DIV/0!</v>
      </c>
      <c r="C1607" s="3424" t="e">
        <f t="shared" si="845"/>
        <v>#DIV/0!</v>
      </c>
      <c r="D1607" s="3424" t="e">
        <f t="shared" si="845"/>
        <v>#DIV/0!</v>
      </c>
      <c r="E1607" s="3424" t="e">
        <f t="shared" si="845"/>
        <v>#DIV/0!</v>
      </c>
      <c r="F1607" s="3424" t="e">
        <f t="shared" si="845"/>
        <v>#DIV/0!</v>
      </c>
      <c r="G1607" s="3424" t="e">
        <f t="shared" si="845"/>
        <v>#DIV/0!</v>
      </c>
      <c r="H1607" s="3353"/>
    </row>
    <row r="1608" spans="1:8" s="3309" customFormat="1" x14ac:dyDescent="0.2">
      <c r="A1608" s="3411"/>
      <c r="B1608" s="3379"/>
      <c r="C1608" s="3412"/>
      <c r="D1608" s="3412"/>
      <c r="E1608" s="3412"/>
      <c r="F1608" s="3412"/>
      <c r="G1608" s="3412"/>
      <c r="H1608" s="3353"/>
    </row>
    <row r="1609" spans="1:8" s="3309" customFormat="1" ht="38.25" x14ac:dyDescent="0.2">
      <c r="A1609" s="3459" t="s">
        <v>6131</v>
      </c>
      <c r="B1609" s="3379"/>
      <c r="C1609" s="3412"/>
      <c r="D1609" s="3412"/>
      <c r="E1609" s="3412"/>
      <c r="F1609" s="3412"/>
      <c r="G1609" s="3412"/>
      <c r="H1609" s="3353"/>
    </row>
    <row r="1610" spans="1:8" s="3309" customFormat="1" x14ac:dyDescent="0.2">
      <c r="A1610" s="3459" t="s">
        <v>424</v>
      </c>
      <c r="B1610" s="3379" t="e">
        <f t="shared" ref="B1610:G1610" si="846">B1597</f>
        <v>#DIV/0!</v>
      </c>
      <c r="C1610" s="3379" t="e">
        <f t="shared" si="846"/>
        <v>#DIV/0!</v>
      </c>
      <c r="D1610" s="3379" t="e">
        <f t="shared" si="846"/>
        <v>#DIV/0!</v>
      </c>
      <c r="E1610" s="3379" t="e">
        <f t="shared" si="846"/>
        <v>#DIV/0!</v>
      </c>
      <c r="F1610" s="3379" t="e">
        <f t="shared" si="846"/>
        <v>#DIV/0!</v>
      </c>
      <c r="G1610" s="3379" t="e">
        <f t="shared" si="846"/>
        <v>#DIV/0!</v>
      </c>
      <c r="H1610" s="3353"/>
    </row>
    <row r="1611" spans="1:8" s="3309" customFormat="1" x14ac:dyDescent="0.2">
      <c r="A1611" s="3459" t="s">
        <v>1718</v>
      </c>
      <c r="B1611" s="3379">
        <f t="shared" ref="B1611:G1611" si="847">B1493</f>
        <v>29.7</v>
      </c>
      <c r="C1611" s="3379">
        <f t="shared" si="847"/>
        <v>168.3</v>
      </c>
      <c r="D1611" s="3379">
        <f t="shared" si="847"/>
        <v>168.3</v>
      </c>
      <c r="E1611" s="3379">
        <f t="shared" si="847"/>
        <v>168.3</v>
      </c>
      <c r="F1611" s="3379">
        <f t="shared" si="847"/>
        <v>168.3</v>
      </c>
      <c r="G1611" s="3379">
        <f t="shared" si="847"/>
        <v>168.3</v>
      </c>
      <c r="H1611" s="3353"/>
    </row>
    <row r="1612" spans="1:8" s="3309" customFormat="1" x14ac:dyDescent="0.2">
      <c r="A1612" s="3459" t="s">
        <v>1723</v>
      </c>
      <c r="B1612" s="3379"/>
      <c r="C1612" s="3412"/>
      <c r="D1612" s="3412"/>
      <c r="E1612" s="3412"/>
      <c r="F1612" s="3412"/>
      <c r="G1612" s="3412"/>
      <c r="H1612" s="3353"/>
    </row>
    <row r="1613" spans="1:8" s="3309" customFormat="1" ht="25.5" x14ac:dyDescent="0.2">
      <c r="A1613" s="3528" t="s">
        <v>1724</v>
      </c>
      <c r="B1613" s="3527">
        <f t="shared" ref="B1613:G1613" si="848">B1499</f>
        <v>0</v>
      </c>
      <c r="C1613" s="3527">
        <f t="shared" si="848"/>
        <v>0</v>
      </c>
      <c r="D1613" s="3527">
        <f t="shared" si="848"/>
        <v>0</v>
      </c>
      <c r="E1613" s="3527">
        <f t="shared" si="848"/>
        <v>0</v>
      </c>
      <c r="F1613" s="3527">
        <f t="shared" si="848"/>
        <v>0</v>
      </c>
      <c r="G1613" s="3527">
        <f t="shared" si="848"/>
        <v>0</v>
      </c>
      <c r="H1613" s="3353"/>
    </row>
    <row r="1614" spans="1:8" s="3309" customFormat="1" x14ac:dyDescent="0.2">
      <c r="A1614" s="3459" t="s">
        <v>1725</v>
      </c>
      <c r="B1614" s="3379">
        <f t="shared" ref="B1614:G1614" si="849">IF(B1613=1,1.15,1)</f>
        <v>1</v>
      </c>
      <c r="C1614" s="3379">
        <f t="shared" si="849"/>
        <v>1</v>
      </c>
      <c r="D1614" s="3379">
        <f t="shared" si="849"/>
        <v>1</v>
      </c>
      <c r="E1614" s="3379">
        <f t="shared" si="849"/>
        <v>1</v>
      </c>
      <c r="F1614" s="3379">
        <f t="shared" si="849"/>
        <v>1</v>
      </c>
      <c r="G1614" s="3379">
        <f t="shared" si="849"/>
        <v>1</v>
      </c>
      <c r="H1614" s="3353"/>
    </row>
    <row r="1615" spans="1:8" s="3309" customFormat="1" x14ac:dyDescent="0.2">
      <c r="A1615" s="3528" t="s">
        <v>5573</v>
      </c>
      <c r="B1615" s="3527">
        <f t="shared" ref="B1615:G1615" si="850">B1501</f>
        <v>0</v>
      </c>
      <c r="C1615" s="3527">
        <f t="shared" si="850"/>
        <v>0</v>
      </c>
      <c r="D1615" s="3527">
        <f t="shared" si="850"/>
        <v>0</v>
      </c>
      <c r="E1615" s="3527">
        <f t="shared" si="850"/>
        <v>0</v>
      </c>
      <c r="F1615" s="3527">
        <f t="shared" si="850"/>
        <v>0</v>
      </c>
      <c r="G1615" s="3527">
        <f t="shared" si="850"/>
        <v>0</v>
      </c>
      <c r="H1615" s="3353"/>
    </row>
    <row r="1616" spans="1:8" s="3309" customFormat="1" x14ac:dyDescent="0.2">
      <c r="A1616" s="3459" t="s">
        <v>2636</v>
      </c>
      <c r="B1616" s="3379">
        <f t="shared" ref="B1616:G1616" si="851">IF(B1615=1,1.15,1)</f>
        <v>1</v>
      </c>
      <c r="C1616" s="3379">
        <f t="shared" si="851"/>
        <v>1</v>
      </c>
      <c r="D1616" s="3379">
        <f t="shared" si="851"/>
        <v>1</v>
      </c>
      <c r="E1616" s="3379">
        <f t="shared" si="851"/>
        <v>1</v>
      </c>
      <c r="F1616" s="3379">
        <f t="shared" si="851"/>
        <v>1</v>
      </c>
      <c r="G1616" s="3379">
        <f t="shared" si="851"/>
        <v>1</v>
      </c>
      <c r="H1616" s="3353"/>
    </row>
    <row r="1617" spans="1:8" s="3309" customFormat="1" ht="25.5" x14ac:dyDescent="0.2">
      <c r="A1617" s="3459" t="s">
        <v>2637</v>
      </c>
      <c r="B1617" s="3379">
        <f t="shared" ref="B1617:G1617" si="852">IF(B1414&lt;2,0.85,1)</f>
        <v>1</v>
      </c>
      <c r="C1617" s="3379">
        <f t="shared" si="852"/>
        <v>0.85</v>
      </c>
      <c r="D1617" s="3379">
        <f t="shared" si="852"/>
        <v>0.85</v>
      </c>
      <c r="E1617" s="3379">
        <f t="shared" si="852"/>
        <v>0.85</v>
      </c>
      <c r="F1617" s="3379">
        <f t="shared" si="852"/>
        <v>0.85</v>
      </c>
      <c r="G1617" s="3379">
        <f t="shared" si="852"/>
        <v>0.85</v>
      </c>
      <c r="H1617" s="3353"/>
    </row>
    <row r="1618" spans="1:8" s="3309" customFormat="1" x14ac:dyDescent="0.2">
      <c r="A1618" s="3459" t="s">
        <v>1615</v>
      </c>
      <c r="B1618" s="3552">
        <f t="shared" ref="B1618:G1618" si="853">B968</f>
        <v>0.7</v>
      </c>
      <c r="C1618" s="3552">
        <f t="shared" si="853"/>
        <v>0.7</v>
      </c>
      <c r="D1618" s="3552">
        <f t="shared" si="853"/>
        <v>0.7</v>
      </c>
      <c r="E1618" s="3552">
        <f t="shared" si="853"/>
        <v>0.7</v>
      </c>
      <c r="F1618" s="3552">
        <f t="shared" si="853"/>
        <v>0.7</v>
      </c>
      <c r="G1618" s="3552">
        <f t="shared" si="853"/>
        <v>0.7</v>
      </c>
      <c r="H1618" s="3353"/>
    </row>
    <row r="1619" spans="1:8" s="3309" customFormat="1" x14ac:dyDescent="0.2">
      <c r="A1619" s="3459" t="s">
        <v>3412</v>
      </c>
      <c r="B1619" s="3424" t="e">
        <f t="shared" ref="B1619:G1619" si="854">B1611*B1614*B1616*B1617*B1618*B1395</f>
        <v>#VALUE!</v>
      </c>
      <c r="C1619" s="3424">
        <f t="shared" si="854"/>
        <v>0</v>
      </c>
      <c r="D1619" s="3424">
        <f t="shared" si="854"/>
        <v>0</v>
      </c>
      <c r="E1619" s="3424">
        <f t="shared" si="854"/>
        <v>0</v>
      </c>
      <c r="F1619" s="3424">
        <f t="shared" si="854"/>
        <v>0</v>
      </c>
      <c r="G1619" s="3424">
        <f t="shared" si="854"/>
        <v>0</v>
      </c>
      <c r="H1619" s="3353"/>
    </row>
    <row r="1620" spans="1:8" s="3309" customFormat="1" x14ac:dyDescent="0.2">
      <c r="A1620" s="3416" t="s">
        <v>429</v>
      </c>
      <c r="B1620" s="3424" t="e">
        <f t="shared" ref="B1620:G1620" si="855">B1610/B1619</f>
        <v>#DIV/0!</v>
      </c>
      <c r="C1620" s="3424" t="e">
        <f t="shared" si="855"/>
        <v>#DIV/0!</v>
      </c>
      <c r="D1620" s="3424" t="e">
        <f t="shared" si="855"/>
        <v>#DIV/0!</v>
      </c>
      <c r="E1620" s="3424" t="e">
        <f t="shared" si="855"/>
        <v>#DIV/0!</v>
      </c>
      <c r="F1620" s="3424" t="e">
        <f t="shared" si="855"/>
        <v>#DIV/0!</v>
      </c>
      <c r="G1620" s="3424" t="e">
        <f t="shared" si="855"/>
        <v>#DIV/0!</v>
      </c>
      <c r="H1620" s="3353"/>
    </row>
    <row r="1621" spans="1:8" s="3309" customFormat="1" x14ac:dyDescent="0.2">
      <c r="A1621" s="3411"/>
      <c r="B1621" s="3379"/>
      <c r="C1621" s="3412"/>
      <c r="D1621" s="3412"/>
      <c r="E1621" s="3412"/>
      <c r="F1621" s="3412"/>
      <c r="G1621" s="3412"/>
      <c r="H1621" s="3353"/>
    </row>
    <row r="1622" spans="1:8" s="3309" customFormat="1" ht="38.25" x14ac:dyDescent="0.2">
      <c r="A1622" s="3459" t="s">
        <v>6130</v>
      </c>
      <c r="B1622" s="3379"/>
      <c r="C1622" s="3412"/>
      <c r="D1622" s="3412"/>
      <c r="E1622" s="3412"/>
      <c r="F1622" s="3412"/>
      <c r="G1622" s="3412"/>
      <c r="H1622" s="3353"/>
    </row>
    <row r="1623" spans="1:8" s="3309" customFormat="1" x14ac:dyDescent="0.2">
      <c r="A1623" s="3542" t="s">
        <v>424</v>
      </c>
      <c r="B1623" s="3379" t="e">
        <f t="shared" ref="B1623:G1623" si="856">((B1572/B1402+1)*B1442*B1401)/(B1572-B1444)</f>
        <v>#DIV/0!</v>
      </c>
      <c r="C1623" s="3379" t="e">
        <f t="shared" si="856"/>
        <v>#DIV/0!</v>
      </c>
      <c r="D1623" s="3379" t="e">
        <f t="shared" si="856"/>
        <v>#DIV/0!</v>
      </c>
      <c r="E1623" s="3379" t="e">
        <f t="shared" si="856"/>
        <v>#DIV/0!</v>
      </c>
      <c r="F1623" s="3379" t="e">
        <f t="shared" si="856"/>
        <v>#DIV/0!</v>
      </c>
      <c r="G1623" s="3379" t="e">
        <f t="shared" si="856"/>
        <v>#DIV/0!</v>
      </c>
      <c r="H1623" s="3353"/>
    </row>
    <row r="1624" spans="1:8" s="3309" customFormat="1" x14ac:dyDescent="0.2">
      <c r="A1624" s="3419" t="s">
        <v>1617</v>
      </c>
      <c r="B1624" s="3551" t="e">
        <f t="shared" ref="B1624:G1624" si="857">400*B1395</f>
        <v>#VALUE!</v>
      </c>
      <c r="C1624" s="3551">
        <f t="shared" si="857"/>
        <v>0</v>
      </c>
      <c r="D1624" s="3551">
        <f t="shared" si="857"/>
        <v>0</v>
      </c>
      <c r="E1624" s="3551">
        <f t="shared" si="857"/>
        <v>0</v>
      </c>
      <c r="F1624" s="3551">
        <f t="shared" si="857"/>
        <v>0</v>
      </c>
      <c r="G1624" s="3551">
        <f t="shared" si="857"/>
        <v>0</v>
      </c>
      <c r="H1624" s="3353"/>
    </row>
    <row r="1625" spans="1:8" s="3309" customFormat="1" x14ac:dyDescent="0.2">
      <c r="A1625" s="3401" t="s">
        <v>429</v>
      </c>
      <c r="B1625" s="3424" t="e">
        <f t="shared" ref="B1625:G1625" si="858">B1623/B1624</f>
        <v>#DIV/0!</v>
      </c>
      <c r="C1625" s="3424" t="e">
        <f t="shared" si="858"/>
        <v>#DIV/0!</v>
      </c>
      <c r="D1625" s="3424" t="e">
        <f t="shared" si="858"/>
        <v>#DIV/0!</v>
      </c>
      <c r="E1625" s="3424" t="e">
        <f t="shared" si="858"/>
        <v>#DIV/0!</v>
      </c>
      <c r="F1625" s="3424" t="e">
        <f t="shared" si="858"/>
        <v>#DIV/0!</v>
      </c>
      <c r="G1625" s="3424" t="e">
        <f t="shared" si="858"/>
        <v>#DIV/0!</v>
      </c>
      <c r="H1625" s="3353"/>
    </row>
    <row r="1626" spans="1:8" s="3309" customFormat="1" x14ac:dyDescent="0.2">
      <c r="A1626" s="3411"/>
      <c r="B1626" s="3379"/>
      <c r="C1626" s="3412"/>
      <c r="D1626" s="3412"/>
      <c r="E1626" s="3412"/>
      <c r="F1626" s="3412"/>
      <c r="G1626" s="3412"/>
      <c r="H1626" s="3353"/>
    </row>
    <row r="1627" spans="1:8" s="3309" customFormat="1" ht="38.25" x14ac:dyDescent="0.2">
      <c r="A1627" s="3459" t="s">
        <v>6129</v>
      </c>
      <c r="B1627" s="3379"/>
      <c r="C1627" s="3412"/>
      <c r="D1627" s="3412"/>
      <c r="E1627" s="3412"/>
      <c r="F1627" s="3412"/>
      <c r="G1627" s="3412"/>
      <c r="H1627" s="3353"/>
    </row>
    <row r="1628" spans="1:8" s="3309" customFormat="1" x14ac:dyDescent="0.2">
      <c r="A1628" s="3409" t="s">
        <v>211</v>
      </c>
      <c r="B1628" s="3429">
        <f t="shared" ref="B1628:G1628" si="859">B978</f>
        <v>2.2000000000000002</v>
      </c>
      <c r="C1628" s="3429">
        <f t="shared" si="859"/>
        <v>0</v>
      </c>
      <c r="D1628" s="3429">
        <f t="shared" si="859"/>
        <v>0</v>
      </c>
      <c r="E1628" s="3429">
        <f t="shared" si="859"/>
        <v>0</v>
      </c>
      <c r="F1628" s="3429">
        <f t="shared" si="859"/>
        <v>0</v>
      </c>
      <c r="G1628" s="3429">
        <f t="shared" si="859"/>
        <v>0</v>
      </c>
      <c r="H1628" s="3353"/>
    </row>
    <row r="1629" spans="1:8" s="3309" customFormat="1" x14ac:dyDescent="0.2">
      <c r="A1629" s="3411" t="s">
        <v>4152</v>
      </c>
      <c r="B1629" s="3417">
        <f t="shared" ref="B1629:G1629" si="860">B1442*((B1572-B1444)/B1628)*B1401/(B1572-B1444)</f>
        <v>0</v>
      </c>
      <c r="C1629" s="3417" t="e">
        <f t="shared" si="860"/>
        <v>#DIV/0!</v>
      </c>
      <c r="D1629" s="3417" t="e">
        <f t="shared" si="860"/>
        <v>#DIV/0!</v>
      </c>
      <c r="E1629" s="3417" t="e">
        <f t="shared" si="860"/>
        <v>#DIV/0!</v>
      </c>
      <c r="F1629" s="3417" t="e">
        <f t="shared" si="860"/>
        <v>#DIV/0!</v>
      </c>
      <c r="G1629" s="3417" t="e">
        <f t="shared" si="860"/>
        <v>#DIV/0!</v>
      </c>
      <c r="H1629" s="3353"/>
    </row>
    <row r="1630" spans="1:8" s="3309" customFormat="1" x14ac:dyDescent="0.2">
      <c r="A1630" s="3411" t="s">
        <v>425</v>
      </c>
      <c r="B1630" s="3406">
        <f t="shared" ref="B1630:G1630" si="861">INDEX($I$2755:$L$2767,B1632,B1634)</f>
        <v>9.1999999999999993</v>
      </c>
      <c r="C1630" s="3406">
        <f t="shared" si="861"/>
        <v>43.6</v>
      </c>
      <c r="D1630" s="3406">
        <f t="shared" si="861"/>
        <v>43.6</v>
      </c>
      <c r="E1630" s="3406">
        <f t="shared" si="861"/>
        <v>43.6</v>
      </c>
      <c r="F1630" s="3406">
        <f t="shared" si="861"/>
        <v>43.6</v>
      </c>
      <c r="G1630" s="3406">
        <f t="shared" si="861"/>
        <v>43.6</v>
      </c>
      <c r="H1630" s="3353"/>
    </row>
    <row r="1631" spans="1:8" s="3309" customFormat="1" x14ac:dyDescent="0.2">
      <c r="A1631" s="3419" t="s">
        <v>1719</v>
      </c>
      <c r="B1631" s="3515"/>
      <c r="C1631" s="3412"/>
      <c r="D1631" s="3412"/>
      <c r="E1631" s="3412"/>
      <c r="F1631" s="3412"/>
      <c r="G1631" s="3412"/>
      <c r="H1631" s="3353"/>
    </row>
    <row r="1632" spans="1:8" s="3309" customFormat="1" x14ac:dyDescent="0.2">
      <c r="A1632" s="3411" t="s">
        <v>199</v>
      </c>
      <c r="B1632" s="3550">
        <f t="shared" ref="B1632:G1632" si="862">IF(B1400&lt;0.51,1,IF(B1400&lt;0.61,2,IF(B1400&lt;0.71,3,IF(B1400&lt;0.81,4,IF(B1400&lt;0.91,5,IF(B1400&lt;1.01,6,IF(B1400&lt;1.11,7,B1633)))))))</f>
        <v>13</v>
      </c>
      <c r="C1632" s="3550">
        <f t="shared" si="862"/>
        <v>1</v>
      </c>
      <c r="D1632" s="3550">
        <f t="shared" si="862"/>
        <v>1</v>
      </c>
      <c r="E1632" s="3550">
        <f t="shared" si="862"/>
        <v>1</v>
      </c>
      <c r="F1632" s="3550">
        <f t="shared" si="862"/>
        <v>1</v>
      </c>
      <c r="G1632" s="3550">
        <f t="shared" si="862"/>
        <v>1</v>
      </c>
      <c r="H1632" s="3353"/>
    </row>
    <row r="1633" spans="1:38" s="3309" customFormat="1" x14ac:dyDescent="0.2">
      <c r="A1633" s="3419" t="s">
        <v>200</v>
      </c>
      <c r="B1633" s="3550">
        <f t="shared" ref="B1633:G1633" si="863">IF(B1400&lt;1.26,8,IF(B1400&lt;1.41,9,IF(B1400&lt;1.61,10,IF(B1400&lt;1.81,11,IF(B1400&lt;2.01,12,13)))))</f>
        <v>13</v>
      </c>
      <c r="C1633" s="3550">
        <f t="shared" si="863"/>
        <v>8</v>
      </c>
      <c r="D1633" s="3550">
        <f t="shared" si="863"/>
        <v>8</v>
      </c>
      <c r="E1633" s="3550">
        <f t="shared" si="863"/>
        <v>8</v>
      </c>
      <c r="F1633" s="3550">
        <f t="shared" si="863"/>
        <v>8</v>
      </c>
      <c r="G1633" s="3550">
        <f t="shared" si="863"/>
        <v>8</v>
      </c>
      <c r="H1633" s="3353"/>
    </row>
    <row r="1634" spans="1:38" s="3309" customFormat="1" x14ac:dyDescent="0.2">
      <c r="A1634" s="3411" t="s">
        <v>201</v>
      </c>
      <c r="B1634" s="3550">
        <f t="shared" ref="B1634:G1634" si="864">IF(B1413&lt;21,1,IF(B1413&lt;36,2,IF(B1413&lt;56,3,4)))</f>
        <v>4</v>
      </c>
      <c r="C1634" s="3550">
        <f t="shared" si="864"/>
        <v>1</v>
      </c>
      <c r="D1634" s="3550">
        <f t="shared" si="864"/>
        <v>1</v>
      </c>
      <c r="E1634" s="3550">
        <f t="shared" si="864"/>
        <v>1</v>
      </c>
      <c r="F1634" s="3550">
        <f t="shared" si="864"/>
        <v>1</v>
      </c>
      <c r="G1634" s="3550">
        <f t="shared" si="864"/>
        <v>1</v>
      </c>
      <c r="H1634" s="3353"/>
      <c r="I1634" s="3353"/>
      <c r="J1634" s="3467"/>
      <c r="K1634" s="3467"/>
      <c r="L1634" s="3353"/>
      <c r="AF1634" s="3353"/>
    </row>
    <row r="1635" spans="1:38" s="3309" customFormat="1" x14ac:dyDescent="0.2">
      <c r="A1635" s="3411" t="s">
        <v>3391</v>
      </c>
      <c r="B1635" s="3515"/>
      <c r="C1635" s="3412"/>
      <c r="D1635" s="3412"/>
      <c r="E1635" s="3412"/>
      <c r="F1635" s="3412"/>
      <c r="G1635" s="3412"/>
      <c r="H1635" s="3353"/>
      <c r="I1635" s="3353"/>
      <c r="J1635" s="3467"/>
      <c r="K1635" s="3467"/>
      <c r="L1635" s="3353"/>
      <c r="AF1635" s="3353"/>
    </row>
    <row r="1636" spans="1:38" s="3309" customFormat="1" ht="25.5" x14ac:dyDescent="0.2">
      <c r="A1636" s="3528" t="s">
        <v>1724</v>
      </c>
      <c r="B1636" s="3428">
        <f t="shared" ref="B1636:G1636" si="865">B986</f>
        <v>0</v>
      </c>
      <c r="C1636" s="3428">
        <f t="shared" si="865"/>
        <v>0</v>
      </c>
      <c r="D1636" s="3428">
        <f t="shared" si="865"/>
        <v>0</v>
      </c>
      <c r="E1636" s="3428">
        <f t="shared" si="865"/>
        <v>0</v>
      </c>
      <c r="F1636" s="3428">
        <f t="shared" si="865"/>
        <v>0</v>
      </c>
      <c r="G1636" s="3428">
        <f t="shared" si="865"/>
        <v>0</v>
      </c>
      <c r="H1636" s="3353"/>
      <c r="I1636" s="3353"/>
      <c r="J1636" s="3467"/>
      <c r="K1636" s="3467"/>
      <c r="L1636" s="3353"/>
      <c r="AF1636" s="3353"/>
    </row>
    <row r="1637" spans="1:38" s="3309" customFormat="1" x14ac:dyDescent="0.2">
      <c r="A1637" s="3459" t="s">
        <v>1725</v>
      </c>
      <c r="B1637" s="3379">
        <f t="shared" ref="B1637:G1637" si="866">IF(B1636=1,1.15,1)</f>
        <v>1</v>
      </c>
      <c r="C1637" s="3379">
        <f t="shared" si="866"/>
        <v>1</v>
      </c>
      <c r="D1637" s="3379">
        <f t="shared" si="866"/>
        <v>1</v>
      </c>
      <c r="E1637" s="3379">
        <f t="shared" si="866"/>
        <v>1</v>
      </c>
      <c r="F1637" s="3379">
        <f t="shared" si="866"/>
        <v>1</v>
      </c>
      <c r="G1637" s="3379">
        <f t="shared" si="866"/>
        <v>1</v>
      </c>
      <c r="H1637" s="3353"/>
      <c r="I1637" s="3353"/>
      <c r="J1637" s="3353"/>
      <c r="K1637" s="3353"/>
      <c r="L1637" s="3353"/>
      <c r="AF1637" s="3353"/>
    </row>
    <row r="1638" spans="1:38" s="3309" customFormat="1" x14ac:dyDescent="0.2">
      <c r="A1638" s="3528" t="s">
        <v>5573</v>
      </c>
      <c r="B1638" s="3527">
        <f t="shared" ref="B1638:G1638" si="867">B1501</f>
        <v>0</v>
      </c>
      <c r="C1638" s="3527">
        <f t="shared" si="867"/>
        <v>0</v>
      </c>
      <c r="D1638" s="3527">
        <f t="shared" si="867"/>
        <v>0</v>
      </c>
      <c r="E1638" s="3527">
        <f t="shared" si="867"/>
        <v>0</v>
      </c>
      <c r="F1638" s="3527">
        <f t="shared" si="867"/>
        <v>0</v>
      </c>
      <c r="G1638" s="3527">
        <f t="shared" si="867"/>
        <v>0</v>
      </c>
      <c r="H1638" s="3353"/>
      <c r="I1638" s="3353"/>
      <c r="J1638" s="3353"/>
      <c r="K1638" s="3353"/>
      <c r="L1638" s="3353"/>
      <c r="O1638" s="3353"/>
      <c r="AF1638" s="3353"/>
    </row>
    <row r="1639" spans="1:38" s="3309" customFormat="1" x14ac:dyDescent="0.2">
      <c r="A1639" s="3459" t="s">
        <v>2636</v>
      </c>
      <c r="B1639" s="3379">
        <f t="shared" ref="B1639:G1639" si="868">IF(B1638=1,1.15,1)</f>
        <v>1</v>
      </c>
      <c r="C1639" s="3379">
        <f t="shared" si="868"/>
        <v>1</v>
      </c>
      <c r="D1639" s="3379">
        <f t="shared" si="868"/>
        <v>1</v>
      </c>
      <c r="E1639" s="3379">
        <f t="shared" si="868"/>
        <v>1</v>
      </c>
      <c r="F1639" s="3379">
        <f t="shared" si="868"/>
        <v>1</v>
      </c>
      <c r="G1639" s="3379">
        <f t="shared" si="868"/>
        <v>1</v>
      </c>
      <c r="H1639" s="3353"/>
      <c r="I1639" s="3353"/>
      <c r="J1639" s="3353"/>
      <c r="K1639" s="3353"/>
      <c r="L1639" s="3353"/>
      <c r="O1639" s="3353"/>
      <c r="AF1639" s="3353"/>
    </row>
    <row r="1640" spans="1:38" s="3309" customFormat="1" ht="25.5" x14ac:dyDescent="0.2">
      <c r="A1640" s="3459" t="s">
        <v>2637</v>
      </c>
      <c r="B1640" s="3379">
        <f t="shared" ref="B1640:G1640" si="869">IF(B1414&lt;2,0.85,1)</f>
        <v>1</v>
      </c>
      <c r="C1640" s="3379">
        <f t="shared" si="869"/>
        <v>0.85</v>
      </c>
      <c r="D1640" s="3379">
        <f t="shared" si="869"/>
        <v>0.85</v>
      </c>
      <c r="E1640" s="3379">
        <f t="shared" si="869"/>
        <v>0.85</v>
      </c>
      <c r="F1640" s="3379">
        <f t="shared" si="869"/>
        <v>0.85</v>
      </c>
      <c r="G1640" s="3379">
        <f t="shared" si="869"/>
        <v>0.85</v>
      </c>
      <c r="H1640" s="3353"/>
      <c r="I1640" s="3353"/>
      <c r="J1640" s="3353"/>
      <c r="K1640" s="3353"/>
      <c r="L1640" s="3353"/>
      <c r="O1640" s="3353"/>
      <c r="AE1640" s="3467"/>
      <c r="AF1640" s="3353"/>
      <c r="AL1640" s="3467"/>
    </row>
    <row r="1641" spans="1:38" s="3309" customFormat="1" x14ac:dyDescent="0.2">
      <c r="A1641" s="3459" t="s">
        <v>1743</v>
      </c>
      <c r="B1641" s="3384">
        <f t="shared" ref="B1641:G1641" si="870">B991</f>
        <v>0.7</v>
      </c>
      <c r="C1641" s="3384">
        <f t="shared" si="870"/>
        <v>0.7</v>
      </c>
      <c r="D1641" s="3384">
        <f t="shared" si="870"/>
        <v>0.7</v>
      </c>
      <c r="E1641" s="3384">
        <f t="shared" si="870"/>
        <v>0.7</v>
      </c>
      <c r="F1641" s="3384">
        <f t="shared" si="870"/>
        <v>0.7</v>
      </c>
      <c r="G1641" s="3384">
        <f t="shared" si="870"/>
        <v>0.7</v>
      </c>
      <c r="H1641" s="3353"/>
      <c r="I1641" s="3353"/>
      <c r="J1641" s="3353"/>
      <c r="K1641" s="3353"/>
      <c r="L1641" s="3353"/>
      <c r="O1641" s="3353"/>
      <c r="AE1641" s="3353"/>
      <c r="AF1641" s="3353"/>
      <c r="AG1641" s="3353"/>
      <c r="AH1641" s="3353"/>
      <c r="AI1641" s="3353"/>
      <c r="AJ1641" s="3353"/>
      <c r="AK1641" s="3353"/>
      <c r="AL1641" s="3353"/>
    </row>
    <row r="1642" spans="1:38" s="3309" customFormat="1" ht="25.5" x14ac:dyDescent="0.2">
      <c r="A1642" s="3459" t="s">
        <v>202</v>
      </c>
      <c r="B1642" s="3379">
        <f t="shared" ref="B1642:G1642" si="871">IF(B1628&lt;2,0.8,0.7)</f>
        <v>0.7</v>
      </c>
      <c r="C1642" s="3379">
        <f t="shared" si="871"/>
        <v>0.8</v>
      </c>
      <c r="D1642" s="3379">
        <f t="shared" si="871"/>
        <v>0.8</v>
      </c>
      <c r="E1642" s="3379">
        <f t="shared" si="871"/>
        <v>0.8</v>
      </c>
      <c r="F1642" s="3379">
        <f t="shared" si="871"/>
        <v>0.8</v>
      </c>
      <c r="G1642" s="3379">
        <f t="shared" si="871"/>
        <v>0.8</v>
      </c>
      <c r="H1642" s="3353"/>
      <c r="I1642" s="3353"/>
      <c r="J1642" s="3353"/>
      <c r="K1642" s="3353"/>
      <c r="L1642" s="3353"/>
      <c r="O1642" s="3353"/>
      <c r="P1642" s="3353"/>
      <c r="Q1642" s="3353"/>
      <c r="R1642" s="3353"/>
      <c r="S1642" s="3353"/>
      <c r="T1642" s="3353"/>
      <c r="U1642" s="3353"/>
      <c r="V1642" s="3353"/>
      <c r="W1642" s="3353"/>
      <c r="X1642" s="3353"/>
      <c r="AE1642" s="3353"/>
      <c r="AF1642" s="3353"/>
      <c r="AG1642" s="3353"/>
      <c r="AH1642" s="3353"/>
      <c r="AI1642" s="3353"/>
      <c r="AJ1642" s="3353"/>
      <c r="AK1642" s="3353"/>
      <c r="AL1642" s="3353"/>
    </row>
    <row r="1643" spans="1:38" s="3309" customFormat="1" x14ac:dyDescent="0.2">
      <c r="A1643" s="3459" t="s">
        <v>203</v>
      </c>
      <c r="B1643" s="3424" t="e">
        <f t="shared" ref="B1643:G1643" si="872">B1630*B1637*B1639*B1640*B1641*B1642*B1395</f>
        <v>#VALUE!</v>
      </c>
      <c r="C1643" s="3424">
        <f t="shared" si="872"/>
        <v>0</v>
      </c>
      <c r="D1643" s="3424">
        <f t="shared" si="872"/>
        <v>0</v>
      </c>
      <c r="E1643" s="3424">
        <f t="shared" si="872"/>
        <v>0</v>
      </c>
      <c r="F1643" s="3424">
        <f t="shared" si="872"/>
        <v>0</v>
      </c>
      <c r="G1643" s="3424">
        <f t="shared" si="872"/>
        <v>0</v>
      </c>
      <c r="H1643" s="3353"/>
      <c r="I1643" s="3353"/>
      <c r="J1643" s="3353"/>
      <c r="K1643" s="3353"/>
      <c r="L1643" s="3353"/>
      <c r="M1643" s="3353"/>
      <c r="N1643" s="3353"/>
      <c r="O1643" s="3353"/>
      <c r="P1643" s="3353"/>
      <c r="Q1643" s="3353"/>
      <c r="R1643" s="3353"/>
      <c r="S1643" s="3353"/>
      <c r="T1643" s="3353"/>
      <c r="U1643" s="3353"/>
      <c r="V1643" s="3353"/>
      <c r="W1643" s="3353"/>
      <c r="X1643" s="3353"/>
      <c r="Y1643" s="3353"/>
      <c r="Z1643" s="3353"/>
      <c r="AA1643" s="3353"/>
      <c r="AB1643" s="3353"/>
      <c r="AC1643" s="3353"/>
      <c r="AD1643" s="3353"/>
      <c r="AE1643" s="3353"/>
      <c r="AF1643" s="3353"/>
      <c r="AG1643" s="3353"/>
      <c r="AH1643" s="3353"/>
      <c r="AI1643" s="3353"/>
      <c r="AJ1643" s="3353"/>
      <c r="AK1643" s="3353"/>
      <c r="AL1643" s="3353"/>
    </row>
    <row r="1644" spans="1:38" s="3309" customFormat="1" x14ac:dyDescent="0.2">
      <c r="A1644" s="3401" t="s">
        <v>429</v>
      </c>
      <c r="B1644" s="3424" t="e">
        <f t="shared" ref="B1644:G1644" si="873">B1629/B1643</f>
        <v>#VALUE!</v>
      </c>
      <c r="C1644" s="3424" t="e">
        <f t="shared" si="873"/>
        <v>#DIV/0!</v>
      </c>
      <c r="D1644" s="3424" t="e">
        <f t="shared" si="873"/>
        <v>#DIV/0!</v>
      </c>
      <c r="E1644" s="3424" t="e">
        <f t="shared" si="873"/>
        <v>#DIV/0!</v>
      </c>
      <c r="F1644" s="3424" t="e">
        <f t="shared" si="873"/>
        <v>#DIV/0!</v>
      </c>
      <c r="G1644" s="3424" t="e">
        <f t="shared" si="873"/>
        <v>#DIV/0!</v>
      </c>
      <c r="H1644" s="3353"/>
      <c r="I1644" s="3353"/>
      <c r="J1644" s="3353"/>
      <c r="K1644" s="3353"/>
      <c r="L1644" s="3353"/>
      <c r="M1644" s="3353"/>
      <c r="N1644" s="3353"/>
      <c r="O1644" s="3353"/>
      <c r="P1644" s="3353"/>
      <c r="Q1644" s="3353"/>
      <c r="R1644" s="3353"/>
      <c r="S1644" s="3353"/>
      <c r="T1644" s="3353"/>
      <c r="U1644" s="3353"/>
      <c r="V1644" s="3353"/>
      <c r="W1644" s="3353"/>
      <c r="X1644" s="3353"/>
      <c r="Y1644" s="3353"/>
      <c r="Z1644" s="3353"/>
      <c r="AA1644" s="3353"/>
      <c r="AB1644" s="3353"/>
      <c r="AC1644" s="3353"/>
      <c r="AD1644" s="3353"/>
      <c r="AE1644" s="3353"/>
      <c r="AF1644" s="3353"/>
      <c r="AG1644" s="3353"/>
      <c r="AH1644" s="3353"/>
      <c r="AI1644" s="3353"/>
      <c r="AJ1644" s="3353"/>
      <c r="AK1644" s="3353"/>
      <c r="AL1644" s="3353"/>
    </row>
    <row r="1645" spans="1:38" s="3309" customFormat="1" x14ac:dyDescent="0.2">
      <c r="A1645" s="3401" t="s">
        <v>6128</v>
      </c>
      <c r="B1645" s="3382" t="e">
        <f t="shared" ref="B1645:G1645" si="874">B1644+B1625+B1620+B1607+B1594+B1587</f>
        <v>#VALUE!</v>
      </c>
      <c r="C1645" s="3382" t="e">
        <f t="shared" si="874"/>
        <v>#DIV/0!</v>
      </c>
      <c r="D1645" s="3382" t="e">
        <f t="shared" si="874"/>
        <v>#DIV/0!</v>
      </c>
      <c r="E1645" s="3382" t="e">
        <f t="shared" si="874"/>
        <v>#DIV/0!</v>
      </c>
      <c r="F1645" s="3382" t="e">
        <f t="shared" si="874"/>
        <v>#DIV/0!</v>
      </c>
      <c r="G1645" s="3382" t="e">
        <f t="shared" si="874"/>
        <v>#DIV/0!</v>
      </c>
      <c r="H1645" s="3353"/>
      <c r="I1645" s="3353"/>
      <c r="J1645" s="3353"/>
      <c r="K1645" s="3353"/>
      <c r="L1645" s="3353"/>
      <c r="M1645" s="3353"/>
      <c r="N1645" s="3353"/>
      <c r="O1645" s="3353"/>
      <c r="P1645" s="3353"/>
      <c r="Q1645" s="3353"/>
      <c r="R1645" s="3353"/>
      <c r="S1645" s="3353"/>
      <c r="T1645" s="3353"/>
      <c r="U1645" s="3353"/>
      <c r="V1645" s="3353"/>
      <c r="W1645" s="3353"/>
      <c r="X1645" s="3353"/>
      <c r="Y1645" s="3353"/>
      <c r="Z1645" s="3353"/>
      <c r="AA1645" s="3353"/>
      <c r="AB1645" s="3353"/>
      <c r="AC1645" s="3353"/>
      <c r="AD1645" s="3353"/>
      <c r="AE1645" s="3353"/>
      <c r="AF1645" s="3353"/>
      <c r="AG1645" s="3353"/>
      <c r="AH1645" s="3353"/>
      <c r="AI1645" s="3353"/>
      <c r="AJ1645" s="3353"/>
      <c r="AK1645" s="3353"/>
      <c r="AL1645" s="3353"/>
    </row>
    <row r="1646" spans="1:38" s="3309" customFormat="1" x14ac:dyDescent="0.2">
      <c r="A1646" s="3421" t="s">
        <v>6127</v>
      </c>
      <c r="B1646" s="3382"/>
      <c r="C1646" s="3382"/>
      <c r="D1646" s="3382"/>
      <c r="E1646" s="3382"/>
      <c r="F1646" s="3382"/>
      <c r="G1646" s="3382"/>
      <c r="H1646" s="3353"/>
      <c r="I1646" s="3353"/>
      <c r="J1646" s="3353"/>
      <c r="K1646" s="3353"/>
      <c r="L1646" s="3353"/>
      <c r="M1646" s="3353"/>
      <c r="N1646" s="3353"/>
      <c r="O1646" s="3353"/>
      <c r="P1646" s="3353"/>
      <c r="Q1646" s="3353"/>
      <c r="R1646" s="3353"/>
      <c r="S1646" s="3353"/>
      <c r="T1646" s="3353"/>
      <c r="U1646" s="3353"/>
      <c r="V1646" s="3353"/>
      <c r="W1646" s="3353"/>
      <c r="X1646" s="3353"/>
      <c r="Y1646" s="3353"/>
      <c r="Z1646" s="3353"/>
      <c r="AA1646" s="3353"/>
      <c r="AB1646" s="3353"/>
      <c r="AC1646" s="3353"/>
      <c r="AD1646" s="3353"/>
      <c r="AE1646" s="3353"/>
      <c r="AF1646" s="3353"/>
      <c r="AG1646" s="3353"/>
      <c r="AH1646" s="3353"/>
      <c r="AI1646" s="3353"/>
      <c r="AJ1646" s="3353"/>
      <c r="AK1646" s="3353"/>
      <c r="AL1646" s="3353"/>
    </row>
    <row r="1647" spans="1:38" s="3309" customFormat="1" ht="25.5" x14ac:dyDescent="0.2">
      <c r="A1647" s="3542" t="s">
        <v>6126</v>
      </c>
      <c r="B1647" s="3379" t="e">
        <f t="shared" ref="B1647:G1647" si="875">(1/B1421)*((B743-B742)/B1403+1)</f>
        <v>#DIV/0!</v>
      </c>
      <c r="C1647" s="3379" t="e">
        <f t="shared" si="875"/>
        <v>#DIV/0!</v>
      </c>
      <c r="D1647" s="3379" t="e">
        <f t="shared" si="875"/>
        <v>#DIV/0!</v>
      </c>
      <c r="E1647" s="3379" t="e">
        <f t="shared" si="875"/>
        <v>#DIV/0!</v>
      </c>
      <c r="F1647" s="3379" t="e">
        <f t="shared" si="875"/>
        <v>#DIV/0!</v>
      </c>
      <c r="G1647" s="3379" t="e">
        <f t="shared" si="875"/>
        <v>#DIV/0!</v>
      </c>
      <c r="H1647" s="3353"/>
      <c r="I1647" s="3353"/>
      <c r="J1647" s="3353"/>
      <c r="K1647" s="3353"/>
      <c r="L1647" s="3353"/>
      <c r="M1647" s="3353"/>
      <c r="N1647" s="3353"/>
      <c r="O1647" s="3353"/>
      <c r="P1647" s="3353"/>
      <c r="Q1647" s="3353"/>
      <c r="R1647" s="3353"/>
      <c r="S1647" s="3353"/>
      <c r="T1647" s="3353"/>
      <c r="U1647" s="3353"/>
      <c r="V1647" s="3353"/>
      <c r="W1647" s="3353"/>
      <c r="X1647" s="3353"/>
      <c r="Y1647" s="3353"/>
      <c r="Z1647" s="3353"/>
      <c r="AA1647" s="3353"/>
      <c r="AB1647" s="3353"/>
      <c r="AC1647" s="3353"/>
      <c r="AD1647" s="3353"/>
      <c r="AE1647" s="3353"/>
      <c r="AF1647" s="3353"/>
      <c r="AG1647" s="3353"/>
      <c r="AH1647" s="3353"/>
      <c r="AI1647" s="3353"/>
      <c r="AJ1647" s="3353"/>
      <c r="AK1647" s="3353"/>
      <c r="AL1647" s="3353"/>
    </row>
    <row r="1648" spans="1:38" s="3309" customFormat="1" x14ac:dyDescent="0.2">
      <c r="A1648" s="3365" t="s">
        <v>6125</v>
      </c>
      <c r="B1648" s="3549" t="e">
        <f t="shared" ref="B1648:G1648" si="876">13.58*LN(B1400)+27.457</f>
        <v>#VALUE!</v>
      </c>
      <c r="C1648" s="3549" t="e">
        <f t="shared" si="876"/>
        <v>#NUM!</v>
      </c>
      <c r="D1648" s="3549" t="e">
        <f t="shared" si="876"/>
        <v>#NUM!</v>
      </c>
      <c r="E1648" s="3549" t="e">
        <f t="shared" si="876"/>
        <v>#NUM!</v>
      </c>
      <c r="F1648" s="3549" t="e">
        <f t="shared" si="876"/>
        <v>#NUM!</v>
      </c>
      <c r="G1648" s="3549" t="e">
        <f t="shared" si="876"/>
        <v>#NUM!</v>
      </c>
      <c r="H1648" s="3353"/>
      <c r="I1648" s="3353"/>
      <c r="J1648" s="3353"/>
      <c r="K1648" s="3353"/>
      <c r="L1648" s="3353"/>
      <c r="M1648" s="3353"/>
      <c r="N1648" s="3353"/>
      <c r="O1648" s="3353"/>
      <c r="P1648" s="3353"/>
      <c r="Q1648" s="3353"/>
      <c r="R1648" s="3353"/>
      <c r="S1648" s="3353"/>
      <c r="T1648" s="3353"/>
      <c r="U1648" s="3353"/>
      <c r="V1648" s="3353"/>
      <c r="W1648" s="3353"/>
      <c r="X1648" s="3353"/>
      <c r="Y1648" s="3353"/>
      <c r="Z1648" s="3353"/>
      <c r="AA1648" s="3353"/>
      <c r="AB1648" s="3353"/>
      <c r="AC1648" s="3353"/>
      <c r="AD1648" s="3353"/>
      <c r="AE1648" s="3353"/>
      <c r="AF1648" s="3353"/>
      <c r="AG1648" s="3353"/>
      <c r="AH1648" s="3353"/>
      <c r="AI1648" s="3353"/>
      <c r="AJ1648" s="3353"/>
      <c r="AK1648" s="3353"/>
      <c r="AL1648" s="3353"/>
    </row>
    <row r="1649" spans="1:38" s="3309" customFormat="1" x14ac:dyDescent="0.2">
      <c r="A1649" s="3534" t="s">
        <v>6124</v>
      </c>
      <c r="B1649" s="3380" t="e">
        <f t="shared" ref="B1649:G1649" si="877">IF(B1648&lt;24.2,1,IF(B1648&lt;28,2,IF(B1648&lt;32,3,IF(B1648&lt;36.2,4,IF(B1648&lt;41,5,B1650)))))</f>
        <v>#VALUE!</v>
      </c>
      <c r="C1649" s="3380" t="e">
        <f t="shared" si="877"/>
        <v>#NUM!</v>
      </c>
      <c r="D1649" s="3380" t="e">
        <f t="shared" si="877"/>
        <v>#NUM!</v>
      </c>
      <c r="E1649" s="3380" t="e">
        <f t="shared" si="877"/>
        <v>#NUM!</v>
      </c>
      <c r="F1649" s="3380" t="e">
        <f t="shared" si="877"/>
        <v>#NUM!</v>
      </c>
      <c r="G1649" s="3380" t="e">
        <f t="shared" si="877"/>
        <v>#NUM!</v>
      </c>
      <c r="H1649" s="3353"/>
      <c r="I1649" s="3353"/>
      <c r="J1649" s="3353"/>
      <c r="K1649" s="3353"/>
      <c r="L1649" s="3353"/>
      <c r="M1649" s="3353"/>
      <c r="N1649" s="3353"/>
      <c r="O1649" s="3353"/>
      <c r="P1649" s="3353"/>
      <c r="Q1649" s="3353"/>
      <c r="R1649" s="3353"/>
      <c r="S1649" s="3353"/>
      <c r="T1649" s="3353"/>
      <c r="U1649" s="3353"/>
      <c r="V1649" s="3353"/>
      <c r="W1649" s="3353"/>
      <c r="X1649" s="3353"/>
      <c r="Y1649" s="3353"/>
      <c r="Z1649" s="3353"/>
      <c r="AA1649" s="3353"/>
      <c r="AB1649" s="3353"/>
      <c r="AC1649" s="3353"/>
      <c r="AD1649" s="3353"/>
      <c r="AE1649" s="3353"/>
      <c r="AF1649" s="3353"/>
      <c r="AG1649" s="3353"/>
      <c r="AH1649" s="3353"/>
      <c r="AI1649" s="3353"/>
      <c r="AJ1649" s="3353"/>
      <c r="AK1649" s="3353"/>
      <c r="AL1649" s="3353"/>
    </row>
    <row r="1650" spans="1:38" s="3309" customFormat="1" x14ac:dyDescent="0.2">
      <c r="A1650" s="3538" t="s">
        <v>3001</v>
      </c>
      <c r="B1650" s="3380" t="e">
        <f t="shared" ref="B1650:G1650" si="878">IF(B1648&lt;46,6,IF(B1648&lt;51.2,7,IF(B1648&lt;57,8,IF(B1648&lt;63,9,IF(B1648&lt;69.6,10,11)))))</f>
        <v>#VALUE!</v>
      </c>
      <c r="C1650" s="3380" t="e">
        <f t="shared" si="878"/>
        <v>#NUM!</v>
      </c>
      <c r="D1650" s="3380" t="e">
        <f t="shared" si="878"/>
        <v>#NUM!</v>
      </c>
      <c r="E1650" s="3380" t="e">
        <f t="shared" si="878"/>
        <v>#NUM!</v>
      </c>
      <c r="F1650" s="3380" t="e">
        <f t="shared" si="878"/>
        <v>#NUM!</v>
      </c>
      <c r="G1650" s="3380" t="e">
        <f t="shared" si="878"/>
        <v>#NUM!</v>
      </c>
      <c r="H1650" s="3353"/>
      <c r="I1650" s="3353"/>
      <c r="J1650" s="3353"/>
      <c r="K1650" s="3353"/>
      <c r="L1650" s="3353"/>
      <c r="M1650" s="3353"/>
      <c r="N1650" s="3353"/>
      <c r="O1650" s="3353"/>
      <c r="P1650" s="3353"/>
      <c r="Q1650" s="3353"/>
      <c r="R1650" s="3353"/>
      <c r="S1650" s="3353"/>
      <c r="T1650" s="3353"/>
      <c r="U1650" s="3353"/>
      <c r="V1650" s="3353"/>
      <c r="W1650" s="3353"/>
      <c r="X1650" s="3353"/>
      <c r="Y1650" s="3353"/>
      <c r="Z1650" s="3353"/>
      <c r="AA1650" s="3353"/>
      <c r="AB1650" s="3353"/>
      <c r="AC1650" s="3353"/>
      <c r="AD1650" s="3353"/>
      <c r="AE1650" s="3353"/>
      <c r="AF1650" s="3353"/>
      <c r="AG1650" s="3353"/>
      <c r="AH1650" s="3353"/>
      <c r="AI1650" s="3353"/>
      <c r="AJ1650" s="3353"/>
      <c r="AK1650" s="3353"/>
      <c r="AL1650" s="3353"/>
    </row>
    <row r="1651" spans="1:38" s="3309" customFormat="1" x14ac:dyDescent="0.2">
      <c r="A1651" s="3365" t="s">
        <v>5598</v>
      </c>
      <c r="B1651" s="3380" t="e">
        <f t="shared" ref="B1651:G1651" si="879">INDEX($D$2622:$D$2632,B1649)</f>
        <v>#VALUE!</v>
      </c>
      <c r="C1651" s="3380" t="e">
        <f t="shared" si="879"/>
        <v>#NUM!</v>
      </c>
      <c r="D1651" s="3380" t="e">
        <f t="shared" si="879"/>
        <v>#NUM!</v>
      </c>
      <c r="E1651" s="3380" t="e">
        <f t="shared" si="879"/>
        <v>#NUM!</v>
      </c>
      <c r="F1651" s="3380" t="e">
        <f t="shared" si="879"/>
        <v>#NUM!</v>
      </c>
      <c r="G1651" s="3380" t="e">
        <f t="shared" si="879"/>
        <v>#NUM!</v>
      </c>
      <c r="H1651" s="3353"/>
      <c r="I1651" s="3353"/>
      <c r="J1651" s="3353"/>
      <c r="K1651" s="3353"/>
      <c r="L1651" s="3353"/>
      <c r="M1651" s="3353"/>
      <c r="N1651" s="3353"/>
      <c r="O1651" s="3353"/>
      <c r="P1651" s="3353"/>
      <c r="Q1651" s="3353"/>
      <c r="R1651" s="3353"/>
      <c r="S1651" s="3353"/>
      <c r="T1651" s="3353"/>
      <c r="U1651" s="3353"/>
      <c r="V1651" s="3353"/>
      <c r="W1651" s="3353"/>
      <c r="X1651" s="3353"/>
      <c r="Y1651" s="3353"/>
      <c r="Z1651" s="3353"/>
      <c r="AA1651" s="3353"/>
      <c r="AB1651" s="3353"/>
      <c r="AC1651" s="3353"/>
      <c r="AD1651" s="3353"/>
      <c r="AE1651" s="3353"/>
      <c r="AF1651" s="3353"/>
      <c r="AG1651" s="3353"/>
      <c r="AH1651" s="3353"/>
      <c r="AI1651" s="3353"/>
      <c r="AJ1651" s="3353"/>
      <c r="AK1651" s="3353"/>
      <c r="AL1651" s="3353"/>
    </row>
    <row r="1652" spans="1:38" s="3309" customFormat="1" x14ac:dyDescent="0.2">
      <c r="A1652" s="3537" t="s">
        <v>1723</v>
      </c>
      <c r="B1652" s="3365"/>
      <c r="C1652" s="3365"/>
      <c r="D1652" s="3365"/>
      <c r="E1652" s="3365"/>
      <c r="F1652" s="3365"/>
      <c r="G1652" s="3365"/>
      <c r="H1652" s="3353"/>
      <c r="I1652" s="3353"/>
      <c r="J1652" s="3353"/>
      <c r="K1652" s="3353"/>
      <c r="L1652" s="3353"/>
      <c r="M1652" s="3353"/>
      <c r="N1652" s="3353"/>
      <c r="O1652" s="3353"/>
      <c r="P1652" s="3353"/>
      <c r="Q1652" s="3353"/>
      <c r="R1652" s="3353"/>
      <c r="S1652" s="3353"/>
      <c r="T1652" s="3353"/>
      <c r="U1652" s="3353"/>
      <c r="V1652" s="3353"/>
      <c r="W1652" s="3353"/>
      <c r="X1652" s="3353"/>
      <c r="Y1652" s="3353"/>
      <c r="Z1652" s="3353"/>
      <c r="AA1652" s="3353"/>
      <c r="AB1652" s="3353"/>
      <c r="AC1652" s="3353"/>
      <c r="AD1652" s="3353"/>
      <c r="AE1652" s="3353"/>
      <c r="AF1652" s="3353"/>
      <c r="AG1652" s="3353"/>
      <c r="AH1652" s="3353"/>
      <c r="AI1652" s="3353"/>
      <c r="AJ1652" s="3353"/>
      <c r="AK1652" s="3353"/>
      <c r="AL1652" s="3353"/>
    </row>
    <row r="1653" spans="1:38" s="3309" customFormat="1" x14ac:dyDescent="0.2">
      <c r="A1653" s="3548" t="s">
        <v>6123</v>
      </c>
      <c r="B1653" s="3380">
        <f t="shared" ref="B1653:G1653" si="880">IF(B1421=1.25,0.9,1)</f>
        <v>1</v>
      </c>
      <c r="C1653" s="3380">
        <f t="shared" si="880"/>
        <v>1</v>
      </c>
      <c r="D1653" s="3380">
        <f t="shared" si="880"/>
        <v>1</v>
      </c>
      <c r="E1653" s="3380">
        <f t="shared" si="880"/>
        <v>1</v>
      </c>
      <c r="F1653" s="3380">
        <f t="shared" si="880"/>
        <v>1</v>
      </c>
      <c r="G1653" s="3380">
        <f t="shared" si="880"/>
        <v>1</v>
      </c>
      <c r="H1653" s="3353"/>
      <c r="I1653" s="3353"/>
      <c r="J1653" s="3353"/>
      <c r="K1653" s="3353"/>
      <c r="L1653" s="3353"/>
      <c r="M1653" s="3353"/>
      <c r="N1653" s="3353"/>
      <c r="O1653" s="3353"/>
      <c r="P1653" s="3353"/>
      <c r="Q1653" s="3353"/>
      <c r="R1653" s="3353"/>
      <c r="S1653" s="3353"/>
      <c r="T1653" s="3353"/>
      <c r="U1653" s="3353"/>
      <c r="V1653" s="3353"/>
      <c r="W1653" s="3353"/>
      <c r="X1653" s="3353"/>
      <c r="Y1653" s="3353"/>
      <c r="Z1653" s="3353"/>
      <c r="AA1653" s="3353"/>
      <c r="AB1653" s="3353"/>
      <c r="AC1653" s="3353"/>
      <c r="AD1653" s="3353"/>
      <c r="AE1653" s="3353"/>
      <c r="AF1653" s="3353"/>
      <c r="AG1653" s="3353"/>
      <c r="AH1653" s="3353"/>
      <c r="AI1653" s="3353"/>
      <c r="AJ1653" s="3353"/>
      <c r="AK1653" s="3353"/>
      <c r="AL1653" s="3353"/>
    </row>
    <row r="1654" spans="1:38" s="3309" customFormat="1" x14ac:dyDescent="0.2">
      <c r="A1654" s="3548" t="s">
        <v>5164</v>
      </c>
      <c r="B1654" s="3380">
        <f t="shared" ref="B1654:G1654" si="881">IF(B1413&lt;21,1,IF(B1413&lt;31,0.9,0.8))</f>
        <v>0.8</v>
      </c>
      <c r="C1654" s="3380">
        <f t="shared" si="881"/>
        <v>1</v>
      </c>
      <c r="D1654" s="3380">
        <f t="shared" si="881"/>
        <v>1</v>
      </c>
      <c r="E1654" s="3380">
        <f t="shared" si="881"/>
        <v>1</v>
      </c>
      <c r="F1654" s="3380">
        <f t="shared" si="881"/>
        <v>1</v>
      </c>
      <c r="G1654" s="3380">
        <f t="shared" si="881"/>
        <v>1</v>
      </c>
      <c r="H1654" s="3353"/>
      <c r="I1654" s="3353"/>
      <c r="J1654" s="3353"/>
      <c r="K1654" s="3353"/>
      <c r="L1654" s="3353"/>
      <c r="M1654" s="3353"/>
      <c r="N1654" s="3353"/>
      <c r="O1654" s="3353"/>
      <c r="P1654" s="3353"/>
      <c r="Q1654" s="3353"/>
      <c r="R1654" s="3353"/>
      <c r="S1654" s="3353"/>
      <c r="T1654" s="3353"/>
      <c r="U1654" s="3353"/>
      <c r="V1654" s="3353"/>
      <c r="W1654" s="3353"/>
      <c r="X1654" s="3353"/>
      <c r="Y1654" s="3353"/>
      <c r="Z1654" s="3353"/>
      <c r="AA1654" s="3353"/>
      <c r="AB1654" s="3353"/>
      <c r="AC1654" s="3353"/>
      <c r="AD1654" s="3353"/>
      <c r="AE1654" s="3353"/>
      <c r="AF1654" s="3353"/>
      <c r="AG1654" s="3353"/>
      <c r="AH1654" s="3353"/>
      <c r="AI1654" s="3353"/>
      <c r="AJ1654" s="3353"/>
      <c r="AK1654" s="3353"/>
      <c r="AL1654" s="3353"/>
    </row>
    <row r="1655" spans="1:38" s="3309" customFormat="1" x14ac:dyDescent="0.2">
      <c r="A1655" s="3548" t="s">
        <v>3059</v>
      </c>
      <c r="B1655" s="3380">
        <f t="shared" ref="B1655:G1655" si="882">B1653*B1654</f>
        <v>0.8</v>
      </c>
      <c r="C1655" s="3380">
        <f t="shared" si="882"/>
        <v>1</v>
      </c>
      <c r="D1655" s="3380">
        <f t="shared" si="882"/>
        <v>1</v>
      </c>
      <c r="E1655" s="3380">
        <f t="shared" si="882"/>
        <v>1</v>
      </c>
      <c r="F1655" s="3380">
        <f t="shared" si="882"/>
        <v>1</v>
      </c>
      <c r="G1655" s="3380">
        <f t="shared" si="882"/>
        <v>1</v>
      </c>
      <c r="H1655" s="3353"/>
      <c r="I1655" s="3353"/>
      <c r="J1655" s="3353"/>
      <c r="K1655" s="3353"/>
      <c r="L1655" s="3353"/>
      <c r="M1655" s="3353"/>
      <c r="N1655" s="3353"/>
      <c r="O1655" s="3353"/>
      <c r="P1655" s="3353"/>
      <c r="Q1655" s="3353"/>
      <c r="R1655" s="3353"/>
      <c r="S1655" s="3353"/>
      <c r="T1655" s="3353"/>
      <c r="U1655" s="3353"/>
      <c r="V1655" s="3353"/>
      <c r="W1655" s="3353"/>
      <c r="X1655" s="3353"/>
      <c r="Y1655" s="3353"/>
      <c r="Z1655" s="3353"/>
      <c r="AA1655" s="3353"/>
      <c r="AB1655" s="3353"/>
      <c r="AC1655" s="3353"/>
      <c r="AD1655" s="3353"/>
      <c r="AE1655" s="3353"/>
      <c r="AF1655" s="3353"/>
      <c r="AG1655" s="3353"/>
      <c r="AH1655" s="3353"/>
      <c r="AI1655" s="3353"/>
      <c r="AJ1655" s="3353"/>
      <c r="AK1655" s="3353"/>
      <c r="AL1655" s="3353"/>
    </row>
    <row r="1656" spans="1:38" s="3309" customFormat="1" x14ac:dyDescent="0.2">
      <c r="A1656" s="3547" t="s">
        <v>6122</v>
      </c>
      <c r="B1656" s="3329" t="e">
        <f t="shared" ref="B1656:G1656" si="883">B1651*B1655*B1394</f>
        <v>#VALUE!</v>
      </c>
      <c r="C1656" s="3329" t="e">
        <f t="shared" si="883"/>
        <v>#NUM!</v>
      </c>
      <c r="D1656" s="3329" t="e">
        <f t="shared" si="883"/>
        <v>#NUM!</v>
      </c>
      <c r="E1656" s="3329" t="e">
        <f t="shared" si="883"/>
        <v>#NUM!</v>
      </c>
      <c r="F1656" s="3329" t="e">
        <f t="shared" si="883"/>
        <v>#NUM!</v>
      </c>
      <c r="G1656" s="3329" t="e">
        <f t="shared" si="883"/>
        <v>#NUM!</v>
      </c>
      <c r="H1656" s="3467"/>
      <c r="I1656" s="3353"/>
      <c r="J1656" s="3353"/>
      <c r="K1656" s="3353"/>
      <c r="L1656" s="3353"/>
      <c r="M1656" s="3353"/>
      <c r="N1656" s="3353"/>
      <c r="O1656" s="3353"/>
      <c r="P1656" s="3353"/>
      <c r="Q1656" s="3353"/>
      <c r="R1656" s="3353"/>
      <c r="S1656" s="3353"/>
      <c r="T1656" s="3353"/>
      <c r="U1656" s="3353"/>
      <c r="V1656" s="3353"/>
      <c r="W1656" s="3353"/>
      <c r="X1656" s="3353"/>
      <c r="Y1656" s="3353"/>
      <c r="Z1656" s="3353"/>
      <c r="AA1656" s="3353"/>
      <c r="AB1656" s="3353"/>
      <c r="AC1656" s="3353"/>
      <c r="AD1656" s="3353"/>
      <c r="AE1656" s="3353"/>
      <c r="AF1656" s="3353"/>
      <c r="AG1656" s="3353"/>
      <c r="AH1656" s="3353"/>
      <c r="AI1656" s="3353"/>
      <c r="AJ1656" s="3353"/>
      <c r="AK1656" s="3353"/>
      <c r="AL1656" s="3353"/>
    </row>
    <row r="1657" spans="1:38" s="3309" customFormat="1" x14ac:dyDescent="0.2">
      <c r="A1657" s="3542" t="s">
        <v>1322</v>
      </c>
      <c r="B1657" s="3379"/>
      <c r="C1657" s="3379"/>
      <c r="D1657" s="3379"/>
      <c r="E1657" s="3379"/>
      <c r="F1657" s="3379"/>
      <c r="G1657" s="3379"/>
      <c r="H1657" s="3353"/>
      <c r="I1657" s="3353"/>
      <c r="J1657" s="3353"/>
      <c r="K1657" s="3353"/>
      <c r="L1657" s="3353"/>
      <c r="M1657" s="3353"/>
      <c r="N1657" s="3353"/>
      <c r="O1657" s="3353"/>
      <c r="P1657" s="3353"/>
      <c r="Q1657" s="3353"/>
      <c r="R1657" s="3353"/>
      <c r="S1657" s="3353"/>
      <c r="T1657" s="3353"/>
      <c r="U1657" s="3353"/>
      <c r="V1657" s="3353"/>
      <c r="W1657" s="3353"/>
      <c r="X1657" s="3353"/>
      <c r="Y1657" s="3353"/>
      <c r="Z1657" s="3353"/>
      <c r="AA1657" s="3353"/>
      <c r="AB1657" s="3353"/>
      <c r="AC1657" s="3353"/>
      <c r="AD1657" s="3353"/>
      <c r="AE1657" s="3353"/>
      <c r="AF1657" s="3353"/>
      <c r="AG1657" s="3353"/>
      <c r="AH1657" s="3353"/>
      <c r="AI1657" s="3353"/>
      <c r="AJ1657" s="3353"/>
      <c r="AK1657" s="3353"/>
      <c r="AL1657" s="3353"/>
    </row>
    <row r="1658" spans="1:38" s="3309" customFormat="1" x14ac:dyDescent="0.2">
      <c r="A1658" s="3542" t="s">
        <v>421</v>
      </c>
      <c r="B1658" s="3384">
        <f t="shared" ref="B1658:G1658" si="884">B1008</f>
        <v>0.7</v>
      </c>
      <c r="C1658" s="3384">
        <f t="shared" si="884"/>
        <v>0.7</v>
      </c>
      <c r="D1658" s="3384">
        <f t="shared" si="884"/>
        <v>0.7</v>
      </c>
      <c r="E1658" s="3384">
        <f t="shared" si="884"/>
        <v>0.7</v>
      </c>
      <c r="F1658" s="3384">
        <f t="shared" si="884"/>
        <v>0.7</v>
      </c>
      <c r="G1658" s="3384">
        <f t="shared" si="884"/>
        <v>0.7</v>
      </c>
      <c r="H1658" s="3353"/>
      <c r="I1658" s="3353"/>
      <c r="J1658" s="3353"/>
      <c r="K1658" s="3353"/>
      <c r="L1658" s="3353"/>
      <c r="M1658" s="3353"/>
      <c r="N1658" s="3353"/>
      <c r="O1658" s="3353"/>
      <c r="P1658" s="3353"/>
      <c r="Q1658" s="3353"/>
      <c r="R1658" s="3353"/>
      <c r="S1658" s="3353"/>
      <c r="T1658" s="3353"/>
      <c r="U1658" s="3353"/>
      <c r="V1658" s="3353"/>
      <c r="W1658" s="3353"/>
      <c r="X1658" s="3353"/>
      <c r="Y1658" s="3353"/>
      <c r="Z1658" s="3353"/>
      <c r="AA1658" s="3353"/>
      <c r="AB1658" s="3353"/>
      <c r="AC1658" s="3353"/>
      <c r="AD1658" s="3353"/>
      <c r="AE1658" s="3353"/>
      <c r="AF1658" s="3353"/>
      <c r="AG1658" s="3353"/>
      <c r="AH1658" s="3353"/>
      <c r="AI1658" s="3353"/>
      <c r="AJ1658" s="3353"/>
      <c r="AK1658" s="3353"/>
      <c r="AL1658" s="3353"/>
    </row>
    <row r="1659" spans="1:38" s="3309" customFormat="1" x14ac:dyDescent="0.2">
      <c r="A1659" s="3542" t="s">
        <v>3412</v>
      </c>
      <c r="B1659" s="3424" t="e">
        <f t="shared" ref="B1659:G1659" si="885">B1656*B1658</f>
        <v>#VALUE!</v>
      </c>
      <c r="C1659" s="3424" t="e">
        <f t="shared" si="885"/>
        <v>#NUM!</v>
      </c>
      <c r="D1659" s="3424" t="e">
        <f t="shared" si="885"/>
        <v>#NUM!</v>
      </c>
      <c r="E1659" s="3424" t="e">
        <f t="shared" si="885"/>
        <v>#NUM!</v>
      </c>
      <c r="F1659" s="3424" t="e">
        <f t="shared" si="885"/>
        <v>#NUM!</v>
      </c>
      <c r="G1659" s="3424" t="e">
        <f t="shared" si="885"/>
        <v>#NUM!</v>
      </c>
      <c r="H1659" s="3353"/>
      <c r="I1659" s="3353"/>
      <c r="J1659" s="3353"/>
      <c r="K1659" s="3353"/>
      <c r="L1659" s="3353"/>
      <c r="M1659" s="3353"/>
      <c r="N1659" s="3353"/>
      <c r="O1659" s="3353"/>
      <c r="P1659" s="3353"/>
      <c r="Q1659" s="3353"/>
      <c r="R1659" s="3353"/>
      <c r="S1659" s="3353"/>
      <c r="T1659" s="3353"/>
      <c r="U1659" s="3353"/>
      <c r="V1659" s="3353"/>
      <c r="W1659" s="3353"/>
      <c r="X1659" s="3353"/>
      <c r="Y1659" s="3353"/>
      <c r="Z1659" s="3353"/>
      <c r="AA1659" s="3353"/>
      <c r="AB1659" s="3353"/>
      <c r="AC1659" s="3353"/>
      <c r="AD1659" s="3353"/>
      <c r="AE1659" s="3353"/>
      <c r="AF1659" s="3353"/>
      <c r="AG1659" s="3353"/>
      <c r="AH1659" s="3353"/>
      <c r="AI1659" s="3353"/>
      <c r="AJ1659" s="3353"/>
      <c r="AK1659" s="3353"/>
      <c r="AL1659" s="3353"/>
    </row>
    <row r="1660" spans="1:38" s="3309" customFormat="1" x14ac:dyDescent="0.2">
      <c r="A1660" s="3541" t="s">
        <v>429</v>
      </c>
      <c r="B1660" s="3424" t="e">
        <f t="shared" ref="B1660:G1660" si="886">B1647/B1659</f>
        <v>#DIV/0!</v>
      </c>
      <c r="C1660" s="3424" t="e">
        <f t="shared" si="886"/>
        <v>#DIV/0!</v>
      </c>
      <c r="D1660" s="3424" t="e">
        <f t="shared" si="886"/>
        <v>#DIV/0!</v>
      </c>
      <c r="E1660" s="3424" t="e">
        <f t="shared" si="886"/>
        <v>#DIV/0!</v>
      </c>
      <c r="F1660" s="3424" t="e">
        <f t="shared" si="886"/>
        <v>#DIV/0!</v>
      </c>
      <c r="G1660" s="3424" t="e">
        <f t="shared" si="886"/>
        <v>#DIV/0!</v>
      </c>
      <c r="H1660" s="3353"/>
      <c r="I1660" s="3353"/>
      <c r="J1660" s="3353"/>
      <c r="K1660" s="3353"/>
      <c r="L1660" s="3353"/>
      <c r="M1660" s="3353"/>
      <c r="N1660" s="3353"/>
      <c r="O1660" s="3353"/>
      <c r="P1660" s="3353"/>
      <c r="Q1660" s="3353"/>
      <c r="R1660" s="3353"/>
      <c r="S1660" s="3353"/>
      <c r="T1660" s="3353"/>
      <c r="U1660" s="3353"/>
      <c r="V1660" s="3353"/>
      <c r="W1660" s="3353"/>
      <c r="X1660" s="3353"/>
      <c r="Y1660" s="3353"/>
      <c r="Z1660" s="3353"/>
      <c r="AA1660" s="3353"/>
      <c r="AB1660" s="3353"/>
      <c r="AC1660" s="3353"/>
      <c r="AD1660" s="3353"/>
      <c r="AE1660" s="3353"/>
      <c r="AF1660" s="3353"/>
      <c r="AG1660" s="3353"/>
      <c r="AH1660" s="3353"/>
      <c r="AI1660" s="3353"/>
      <c r="AJ1660" s="3353"/>
      <c r="AK1660" s="3353"/>
      <c r="AL1660" s="3353"/>
    </row>
    <row r="1661" spans="1:38" s="3309" customFormat="1" ht="25.5" x14ac:dyDescent="0.2">
      <c r="A1661" s="3542" t="s">
        <v>6121</v>
      </c>
      <c r="B1661" s="3379" t="e">
        <f t="shared" ref="B1661:G1661" si="887">B1647</f>
        <v>#DIV/0!</v>
      </c>
      <c r="C1661" s="3379" t="e">
        <f t="shared" si="887"/>
        <v>#DIV/0!</v>
      </c>
      <c r="D1661" s="3379" t="e">
        <f t="shared" si="887"/>
        <v>#DIV/0!</v>
      </c>
      <c r="E1661" s="3379" t="e">
        <f t="shared" si="887"/>
        <v>#DIV/0!</v>
      </c>
      <c r="F1661" s="3379" t="e">
        <f t="shared" si="887"/>
        <v>#DIV/0!</v>
      </c>
      <c r="G1661" s="3379" t="e">
        <f t="shared" si="887"/>
        <v>#DIV/0!</v>
      </c>
      <c r="I1661" s="3353"/>
      <c r="J1661" s="3353"/>
      <c r="K1661" s="3353"/>
      <c r="L1661" s="3353"/>
      <c r="M1661" s="3353"/>
      <c r="N1661" s="3353"/>
      <c r="O1661" s="3353"/>
      <c r="P1661" s="3353"/>
      <c r="Q1661" s="3353"/>
      <c r="R1661" s="3353"/>
      <c r="S1661" s="3353"/>
      <c r="T1661" s="3353"/>
      <c r="U1661" s="3353"/>
      <c r="V1661" s="3353"/>
      <c r="W1661" s="3353"/>
      <c r="X1661" s="3353"/>
      <c r="Y1661" s="3353"/>
      <c r="Z1661" s="3353"/>
      <c r="AA1661" s="3353"/>
      <c r="AB1661" s="3353"/>
      <c r="AC1661" s="3353"/>
      <c r="AD1661" s="3353"/>
      <c r="AE1661" s="3353"/>
      <c r="AF1661" s="3353"/>
      <c r="AG1661" s="3353"/>
      <c r="AH1661" s="3353"/>
      <c r="AI1661" s="3353"/>
      <c r="AJ1661" s="3353"/>
      <c r="AK1661" s="3353"/>
      <c r="AL1661" s="3353"/>
    </row>
    <row r="1662" spans="1:38" s="3309" customFormat="1" ht="25.5" x14ac:dyDescent="0.2">
      <c r="A1662" s="3540" t="s">
        <v>6120</v>
      </c>
      <c r="B1662" s="3539">
        <f t="shared" ref="B1662:G1662" si="888">IF(B1400&lt;1.21,INDEX($J$2711:$J$2713,B1663),INDEX($L$2711:$L$2713,B1663))</f>
        <v>376</v>
      </c>
      <c r="C1662" s="3539">
        <f t="shared" si="888"/>
        <v>369</v>
      </c>
      <c r="D1662" s="3539">
        <f t="shared" si="888"/>
        <v>369</v>
      </c>
      <c r="E1662" s="3539">
        <f t="shared" si="888"/>
        <v>369</v>
      </c>
      <c r="F1662" s="3539">
        <f t="shared" si="888"/>
        <v>369</v>
      </c>
      <c r="G1662" s="3539">
        <f t="shared" si="888"/>
        <v>369</v>
      </c>
      <c r="H1662" s="3546"/>
      <c r="I1662" s="3353"/>
      <c r="J1662" s="3353"/>
      <c r="K1662" s="3353"/>
      <c r="L1662" s="3353"/>
      <c r="M1662" s="3353"/>
      <c r="N1662" s="3353"/>
      <c r="O1662" s="3353"/>
      <c r="P1662" s="3353"/>
      <c r="Q1662" s="3353"/>
      <c r="R1662" s="3353"/>
      <c r="S1662" s="3353"/>
      <c r="T1662" s="3353"/>
      <c r="U1662" s="3353"/>
      <c r="V1662" s="3353"/>
      <c r="W1662" s="3353"/>
      <c r="X1662" s="3353"/>
      <c r="Y1662" s="3353"/>
      <c r="Z1662" s="3353"/>
      <c r="AA1662" s="3353"/>
      <c r="AB1662" s="3353"/>
      <c r="AC1662" s="3353"/>
      <c r="AD1662" s="3353"/>
      <c r="AE1662" s="3353"/>
      <c r="AF1662" s="3353"/>
      <c r="AG1662" s="3353"/>
      <c r="AH1662" s="3353"/>
      <c r="AI1662" s="3353"/>
      <c r="AJ1662" s="3353"/>
      <c r="AK1662" s="3353"/>
      <c r="AL1662" s="3353"/>
    </row>
    <row r="1663" spans="1:38" s="3309" customFormat="1" x14ac:dyDescent="0.2">
      <c r="A1663" s="3534" t="s">
        <v>6119</v>
      </c>
      <c r="B1663" s="3380">
        <f t="shared" ref="B1663:G1663" si="889">IF(AND(B1421&lt;1.26,B1424=1),2,IF(AND(B1421&lt;1.26,B1424=2),1,3))</f>
        <v>3</v>
      </c>
      <c r="C1663" s="3380">
        <f t="shared" si="889"/>
        <v>3</v>
      </c>
      <c r="D1663" s="3380">
        <f t="shared" si="889"/>
        <v>3</v>
      </c>
      <c r="E1663" s="3380">
        <f t="shared" si="889"/>
        <v>3</v>
      </c>
      <c r="F1663" s="3380">
        <f t="shared" si="889"/>
        <v>3</v>
      </c>
      <c r="G1663" s="3380">
        <f t="shared" si="889"/>
        <v>3</v>
      </c>
      <c r="H1663" s="3353"/>
      <c r="I1663" s="3353"/>
      <c r="J1663" s="3353"/>
      <c r="K1663" s="3353"/>
      <c r="L1663" s="3353"/>
      <c r="M1663" s="3353"/>
      <c r="N1663" s="3353"/>
      <c r="O1663" s="3353"/>
      <c r="P1663" s="3353"/>
      <c r="Q1663" s="3353"/>
      <c r="R1663" s="3353"/>
      <c r="S1663" s="3353"/>
      <c r="T1663" s="3353"/>
      <c r="U1663" s="3353"/>
      <c r="V1663" s="3353"/>
      <c r="W1663" s="3353"/>
      <c r="X1663" s="3353"/>
      <c r="Y1663" s="3353"/>
      <c r="Z1663" s="3353"/>
      <c r="AA1663" s="3353"/>
      <c r="AB1663" s="3353"/>
      <c r="AC1663" s="3353"/>
      <c r="AD1663" s="3353"/>
      <c r="AE1663" s="3353"/>
      <c r="AF1663" s="3353"/>
      <c r="AG1663" s="3353"/>
      <c r="AH1663" s="3353"/>
      <c r="AI1663" s="3353"/>
      <c r="AJ1663" s="3353"/>
      <c r="AK1663" s="3353"/>
      <c r="AL1663" s="3353"/>
    </row>
    <row r="1664" spans="1:38" s="3309" customFormat="1" x14ac:dyDescent="0.2">
      <c r="A1664" s="3545" t="s">
        <v>1723</v>
      </c>
      <c r="B1664" s="3365"/>
      <c r="C1664" s="3365"/>
      <c r="D1664" s="3365"/>
      <c r="E1664" s="3365"/>
      <c r="F1664" s="3365"/>
      <c r="G1664" s="3365"/>
      <c r="H1664" s="3353"/>
      <c r="I1664" s="3353"/>
      <c r="J1664" s="3353"/>
      <c r="K1664" s="3353"/>
      <c r="L1664" s="3353"/>
      <c r="M1664" s="3353"/>
      <c r="N1664" s="3353"/>
      <c r="O1664" s="3353"/>
      <c r="P1664" s="3353"/>
      <c r="Q1664" s="3353"/>
      <c r="R1664" s="3353"/>
      <c r="S1664" s="3353"/>
      <c r="T1664" s="3353"/>
      <c r="U1664" s="3353"/>
      <c r="V1664" s="3353"/>
      <c r="W1664" s="3353"/>
      <c r="X1664" s="3353"/>
      <c r="Y1664" s="3353"/>
      <c r="Z1664" s="3353"/>
      <c r="AA1664" s="3353"/>
      <c r="AB1664" s="3353"/>
      <c r="AC1664" s="3353"/>
      <c r="AD1664" s="3353"/>
      <c r="AE1664" s="3353"/>
      <c r="AF1664" s="3353"/>
      <c r="AG1664" s="3353"/>
      <c r="AH1664" s="3353"/>
      <c r="AI1664" s="3353"/>
      <c r="AJ1664" s="3353"/>
      <c r="AK1664" s="3353"/>
      <c r="AL1664" s="3353"/>
    </row>
    <row r="1665" spans="1:38" s="3309" customFormat="1" x14ac:dyDescent="0.2">
      <c r="A1665" s="3544" t="s">
        <v>6118</v>
      </c>
      <c r="B1665" s="3329">
        <f t="shared" ref="B1665:G1665" si="890">B1015</f>
        <v>0.7</v>
      </c>
      <c r="C1665" s="3329">
        <f t="shared" si="890"/>
        <v>0.7</v>
      </c>
      <c r="D1665" s="3329">
        <f t="shared" si="890"/>
        <v>0.7</v>
      </c>
      <c r="E1665" s="3329">
        <f t="shared" si="890"/>
        <v>0.7</v>
      </c>
      <c r="F1665" s="3329">
        <f t="shared" si="890"/>
        <v>0.7</v>
      </c>
      <c r="G1665" s="3329">
        <f t="shared" si="890"/>
        <v>0.7</v>
      </c>
      <c r="H1665" s="3353"/>
      <c r="I1665" s="3353"/>
      <c r="J1665" s="3353"/>
      <c r="K1665" s="3353"/>
      <c r="L1665" s="3353"/>
      <c r="M1665" s="3353"/>
      <c r="N1665" s="3353"/>
      <c r="O1665" s="3353"/>
      <c r="P1665" s="3353"/>
      <c r="Q1665" s="3353"/>
      <c r="R1665" s="3353"/>
      <c r="S1665" s="3353"/>
      <c r="T1665" s="3353"/>
      <c r="U1665" s="3353"/>
      <c r="V1665" s="3353"/>
      <c r="W1665" s="3353"/>
      <c r="X1665" s="3353"/>
      <c r="Y1665" s="3353"/>
      <c r="Z1665" s="3353"/>
      <c r="AA1665" s="3353"/>
      <c r="AB1665" s="3353"/>
      <c r="AC1665" s="3353"/>
      <c r="AD1665" s="3353"/>
      <c r="AE1665" s="3353"/>
      <c r="AF1665" s="3353"/>
      <c r="AG1665" s="3353"/>
      <c r="AH1665" s="3353"/>
      <c r="AI1665" s="3353"/>
      <c r="AJ1665" s="3353"/>
      <c r="AK1665" s="3353"/>
      <c r="AL1665" s="3353"/>
    </row>
    <row r="1666" spans="1:38" s="3309" customFormat="1" x14ac:dyDescent="0.2">
      <c r="A1666" s="3543" t="s">
        <v>3412</v>
      </c>
      <c r="B1666" s="3539" t="e">
        <f t="shared" ref="B1666:G1666" si="891">B1662*B1394</f>
        <v>#VALUE!</v>
      </c>
      <c r="C1666" s="3539">
        <f t="shared" si="891"/>
        <v>0</v>
      </c>
      <c r="D1666" s="3539">
        <f t="shared" si="891"/>
        <v>0</v>
      </c>
      <c r="E1666" s="3539">
        <f t="shared" si="891"/>
        <v>0</v>
      </c>
      <c r="F1666" s="3539">
        <f t="shared" si="891"/>
        <v>0</v>
      </c>
      <c r="G1666" s="3539">
        <f t="shared" si="891"/>
        <v>0</v>
      </c>
      <c r="H1666" s="3467"/>
      <c r="I1666" s="3353"/>
      <c r="J1666" s="3353"/>
      <c r="K1666" s="3353"/>
      <c r="L1666" s="3353"/>
      <c r="M1666" s="3353"/>
      <c r="N1666" s="3353"/>
      <c r="O1666" s="3353"/>
      <c r="P1666" s="3353"/>
      <c r="Q1666" s="3353"/>
      <c r="R1666" s="3353"/>
      <c r="S1666" s="3353"/>
      <c r="T1666" s="3353"/>
      <c r="U1666" s="3353"/>
      <c r="V1666" s="3353"/>
      <c r="W1666" s="3353"/>
      <c r="X1666" s="3353"/>
      <c r="Y1666" s="3353"/>
      <c r="Z1666" s="3353"/>
      <c r="AA1666" s="3353"/>
      <c r="AB1666" s="3353"/>
      <c r="AC1666" s="3353"/>
      <c r="AD1666" s="3353"/>
      <c r="AE1666" s="3353"/>
      <c r="AF1666" s="3353"/>
      <c r="AG1666" s="3353"/>
      <c r="AH1666" s="3353"/>
      <c r="AI1666" s="3353"/>
      <c r="AJ1666" s="3353"/>
      <c r="AK1666" s="3353"/>
      <c r="AL1666" s="3353"/>
    </row>
    <row r="1667" spans="1:38" s="3309" customFormat="1" x14ac:dyDescent="0.2">
      <c r="A1667" s="3542" t="s">
        <v>2472</v>
      </c>
      <c r="B1667" s="3379" t="e">
        <f t="shared" ref="B1667:G1667" si="892">B1666*0.7</f>
        <v>#VALUE!</v>
      </c>
      <c r="C1667" s="3379">
        <f t="shared" si="892"/>
        <v>0</v>
      </c>
      <c r="D1667" s="3379">
        <f t="shared" si="892"/>
        <v>0</v>
      </c>
      <c r="E1667" s="3379">
        <f t="shared" si="892"/>
        <v>0</v>
      </c>
      <c r="F1667" s="3379">
        <f t="shared" si="892"/>
        <v>0</v>
      </c>
      <c r="G1667" s="3379">
        <f t="shared" si="892"/>
        <v>0</v>
      </c>
      <c r="H1667" s="3353"/>
      <c r="I1667" s="3353"/>
      <c r="J1667" s="3353"/>
      <c r="K1667" s="3353"/>
      <c r="L1667" s="3353"/>
      <c r="M1667" s="3353"/>
      <c r="N1667" s="3353"/>
      <c r="O1667" s="3353"/>
      <c r="P1667" s="3353"/>
      <c r="Q1667" s="3353"/>
      <c r="R1667" s="3353"/>
      <c r="S1667" s="3353"/>
      <c r="T1667" s="3353"/>
      <c r="U1667" s="3353"/>
      <c r="V1667" s="3353"/>
      <c r="W1667" s="3353"/>
      <c r="X1667" s="3353"/>
      <c r="Y1667" s="3353"/>
      <c r="Z1667" s="3353"/>
      <c r="AA1667" s="3353"/>
      <c r="AB1667" s="3353"/>
      <c r="AC1667" s="3353"/>
      <c r="AD1667" s="3353"/>
      <c r="AE1667" s="3353"/>
      <c r="AF1667" s="3353"/>
      <c r="AG1667" s="3353"/>
      <c r="AH1667" s="3353"/>
      <c r="AI1667" s="3353"/>
      <c r="AJ1667" s="3353"/>
      <c r="AK1667" s="3353"/>
      <c r="AL1667" s="3353"/>
    </row>
    <row r="1668" spans="1:38" s="3309" customFormat="1" x14ac:dyDescent="0.2">
      <c r="A1668" s="3541" t="s">
        <v>429</v>
      </c>
      <c r="B1668" s="3379" t="e">
        <f t="shared" ref="B1668:G1668" si="893">B1661/B1667</f>
        <v>#DIV/0!</v>
      </c>
      <c r="C1668" s="3379" t="e">
        <f t="shared" si="893"/>
        <v>#DIV/0!</v>
      </c>
      <c r="D1668" s="3379" t="e">
        <f t="shared" si="893"/>
        <v>#DIV/0!</v>
      </c>
      <c r="E1668" s="3379" t="e">
        <f t="shared" si="893"/>
        <v>#DIV/0!</v>
      </c>
      <c r="F1668" s="3379" t="e">
        <f t="shared" si="893"/>
        <v>#DIV/0!</v>
      </c>
      <c r="G1668" s="3379" t="e">
        <f t="shared" si="893"/>
        <v>#DIV/0!</v>
      </c>
      <c r="H1668" s="3353"/>
      <c r="I1668" s="3353"/>
      <c r="J1668" s="3353"/>
      <c r="K1668" s="3353"/>
      <c r="L1668" s="3353"/>
      <c r="M1668" s="3353"/>
      <c r="N1668" s="3353"/>
      <c r="O1668" s="3353"/>
      <c r="P1668" s="3353"/>
      <c r="Q1668" s="3353"/>
      <c r="R1668" s="3353"/>
      <c r="S1668" s="3353"/>
      <c r="T1668" s="3353"/>
      <c r="U1668" s="3353"/>
      <c r="V1668" s="3353"/>
      <c r="W1668" s="3353"/>
      <c r="X1668" s="3353"/>
      <c r="Y1668" s="3353"/>
      <c r="Z1668" s="3353"/>
      <c r="AA1668" s="3353"/>
      <c r="AB1668" s="3353"/>
      <c r="AC1668" s="3353"/>
      <c r="AD1668" s="3353"/>
      <c r="AE1668" s="3353"/>
      <c r="AF1668" s="3353"/>
      <c r="AG1668" s="3353"/>
      <c r="AH1668" s="3353"/>
      <c r="AI1668" s="3353"/>
      <c r="AJ1668" s="3353"/>
      <c r="AK1668" s="3353"/>
      <c r="AL1668" s="3353"/>
    </row>
    <row r="1669" spans="1:38" s="3309" customFormat="1" ht="25.5" x14ac:dyDescent="0.2">
      <c r="A1669" s="3531" t="s">
        <v>6117</v>
      </c>
      <c r="B1669" s="3323" t="e">
        <f t="shared" ref="B1669:G1669" si="894">B1647*2</f>
        <v>#DIV/0!</v>
      </c>
      <c r="C1669" s="3323" t="e">
        <f t="shared" si="894"/>
        <v>#DIV/0!</v>
      </c>
      <c r="D1669" s="3323" t="e">
        <f t="shared" si="894"/>
        <v>#DIV/0!</v>
      </c>
      <c r="E1669" s="3323" t="e">
        <f t="shared" si="894"/>
        <v>#DIV/0!</v>
      </c>
      <c r="F1669" s="3323" t="e">
        <f t="shared" si="894"/>
        <v>#DIV/0!</v>
      </c>
      <c r="G1669" s="3323" t="e">
        <f t="shared" si="894"/>
        <v>#DIV/0!</v>
      </c>
      <c r="H1669" s="3467"/>
      <c r="I1669" s="3353"/>
      <c r="J1669" s="3353"/>
      <c r="K1669" s="3353"/>
      <c r="L1669" s="3353"/>
      <c r="M1669" s="3353"/>
      <c r="N1669" s="3353"/>
      <c r="O1669" s="3353"/>
      <c r="P1669" s="3353"/>
      <c r="Q1669" s="3353"/>
      <c r="R1669" s="3353"/>
      <c r="S1669" s="3353"/>
      <c r="T1669" s="3353"/>
      <c r="U1669" s="3353"/>
      <c r="V1669" s="3353"/>
      <c r="W1669" s="3353"/>
      <c r="X1669" s="3353"/>
      <c r="Y1669" s="3353"/>
      <c r="Z1669" s="3353"/>
      <c r="AA1669" s="3353"/>
      <c r="AB1669" s="3353"/>
      <c r="AC1669" s="3353"/>
      <c r="AD1669" s="3353"/>
      <c r="AE1669" s="3353"/>
      <c r="AF1669" s="3353"/>
      <c r="AG1669" s="3353"/>
      <c r="AH1669" s="3353"/>
      <c r="AI1669" s="3353"/>
      <c r="AJ1669" s="3353"/>
      <c r="AK1669" s="3353"/>
      <c r="AL1669" s="3353"/>
    </row>
    <row r="1670" spans="1:38" s="3309" customFormat="1" ht="25.5" x14ac:dyDescent="0.2">
      <c r="A1670" s="3540" t="s">
        <v>6116</v>
      </c>
      <c r="B1670" s="3539" t="e">
        <f t="shared" ref="B1670:G1670" si="895">IF(B1648&lt;23.1,281,IF(B1648&lt;29.1,250,IF(B1648&lt;36.1,224,IF(B1648&lt;45.1,197,IF(B1648&lt;55.1,172,B1671)))))</f>
        <v>#VALUE!</v>
      </c>
      <c r="C1670" s="3539" t="e">
        <f t="shared" si="895"/>
        <v>#NUM!</v>
      </c>
      <c r="D1670" s="3539" t="e">
        <f t="shared" si="895"/>
        <v>#NUM!</v>
      </c>
      <c r="E1670" s="3539" t="e">
        <f t="shared" si="895"/>
        <v>#NUM!</v>
      </c>
      <c r="F1670" s="3539" t="e">
        <f t="shared" si="895"/>
        <v>#NUM!</v>
      </c>
      <c r="G1670" s="3539" t="e">
        <f t="shared" si="895"/>
        <v>#NUM!</v>
      </c>
      <c r="H1670" s="3467"/>
      <c r="I1670" s="3353"/>
      <c r="J1670" s="3353"/>
      <c r="K1670" s="3353"/>
      <c r="L1670" s="3353"/>
      <c r="M1670" s="3353"/>
      <c r="N1670" s="3353"/>
      <c r="O1670" s="3353"/>
      <c r="P1670" s="3353"/>
      <c r="Q1670" s="3353"/>
      <c r="R1670" s="3353"/>
      <c r="S1670" s="3353"/>
      <c r="T1670" s="3353"/>
      <c r="U1670" s="3353"/>
      <c r="V1670" s="3353"/>
      <c r="W1670" s="3353"/>
      <c r="X1670" s="3353"/>
      <c r="Y1670" s="3353"/>
      <c r="Z1670" s="3353"/>
      <c r="AA1670" s="3353"/>
      <c r="AB1670" s="3353"/>
      <c r="AC1670" s="3353"/>
      <c r="AD1670" s="3353"/>
      <c r="AE1670" s="3353"/>
      <c r="AF1670" s="3353"/>
      <c r="AG1670" s="3353"/>
      <c r="AH1670" s="3353"/>
      <c r="AI1670" s="3353"/>
      <c r="AJ1670" s="3353"/>
      <c r="AK1670" s="3353"/>
      <c r="AL1670" s="3353"/>
    </row>
    <row r="1671" spans="1:38" s="3309" customFormat="1" x14ac:dyDescent="0.2">
      <c r="A1671" s="3538" t="s">
        <v>3001</v>
      </c>
      <c r="B1671" s="3380" t="e">
        <f t="shared" ref="B1671:G1671" si="896">IF(B1648&lt;65.1,149,128)</f>
        <v>#VALUE!</v>
      </c>
      <c r="C1671" s="3380" t="e">
        <f t="shared" si="896"/>
        <v>#NUM!</v>
      </c>
      <c r="D1671" s="3380" t="e">
        <f t="shared" si="896"/>
        <v>#NUM!</v>
      </c>
      <c r="E1671" s="3380" t="e">
        <f t="shared" si="896"/>
        <v>#NUM!</v>
      </c>
      <c r="F1671" s="3380" t="e">
        <f t="shared" si="896"/>
        <v>#NUM!</v>
      </c>
      <c r="G1671" s="3380" t="e">
        <f t="shared" si="896"/>
        <v>#NUM!</v>
      </c>
      <c r="H1671" s="3467"/>
      <c r="I1671" s="3353"/>
      <c r="J1671" s="3353"/>
      <c r="K1671" s="3353"/>
      <c r="L1671" s="3353"/>
      <c r="M1671" s="3353"/>
      <c r="N1671" s="3353"/>
      <c r="O1671" s="3353"/>
      <c r="P1671" s="3353"/>
      <c r="Q1671" s="3353"/>
      <c r="R1671" s="3353"/>
      <c r="S1671" s="3353"/>
      <c r="T1671" s="3353"/>
      <c r="U1671" s="3353"/>
      <c r="V1671" s="3353"/>
      <c r="W1671" s="3353"/>
      <c r="X1671" s="3353"/>
      <c r="Y1671" s="3353"/>
      <c r="Z1671" s="3353"/>
      <c r="AA1671" s="3353"/>
      <c r="AB1671" s="3353"/>
      <c r="AC1671" s="3353"/>
      <c r="AD1671" s="3353"/>
      <c r="AE1671" s="3353"/>
      <c r="AF1671" s="3353"/>
      <c r="AG1671" s="3353"/>
      <c r="AH1671" s="3353"/>
      <c r="AI1671" s="3353"/>
      <c r="AJ1671" s="3353"/>
      <c r="AK1671" s="3353"/>
      <c r="AL1671" s="3353"/>
    </row>
    <row r="1672" spans="1:38" s="3309" customFormat="1" x14ac:dyDescent="0.2">
      <c r="A1672" s="3537" t="s">
        <v>1723</v>
      </c>
      <c r="B1672" s="3380"/>
      <c r="C1672" s="3380"/>
      <c r="D1672" s="3380"/>
      <c r="E1672" s="3380"/>
      <c r="F1672" s="3380"/>
      <c r="G1672" s="3380"/>
      <c r="H1672" s="3467"/>
      <c r="I1672" s="3353"/>
      <c r="J1672" s="3353"/>
      <c r="K1672" s="3353"/>
      <c r="L1672" s="3353"/>
      <c r="M1672" s="3353"/>
      <c r="N1672" s="3353"/>
      <c r="O1672" s="3353"/>
      <c r="P1672" s="3353"/>
      <c r="Q1672" s="3353"/>
      <c r="R1672" s="3353"/>
      <c r="S1672" s="3353"/>
      <c r="T1672" s="3353"/>
      <c r="U1672" s="3353"/>
      <c r="V1672" s="3353"/>
      <c r="W1672" s="3353"/>
      <c r="X1672" s="3353"/>
      <c r="Y1672" s="3353"/>
      <c r="Z1672" s="3353"/>
      <c r="AA1672" s="3353"/>
      <c r="AB1672" s="3353"/>
      <c r="AC1672" s="3353"/>
      <c r="AD1672" s="3353"/>
      <c r="AE1672" s="3353"/>
      <c r="AF1672" s="3353"/>
      <c r="AG1672" s="3353"/>
      <c r="AH1672" s="3353"/>
      <c r="AI1672" s="3353"/>
      <c r="AJ1672" s="3353"/>
      <c r="AK1672" s="3353"/>
      <c r="AL1672" s="3353"/>
    </row>
    <row r="1673" spans="1:38" s="3309" customFormat="1" x14ac:dyDescent="0.2">
      <c r="A1673" s="3536" t="s">
        <v>3057</v>
      </c>
      <c r="B1673" s="3380">
        <f t="shared" ref="B1673:G1673" si="897">IF(B1413&lt;21,1,IF(B1413&lt;31,0.9,0.8))</f>
        <v>0.8</v>
      </c>
      <c r="C1673" s="3380">
        <f t="shared" si="897"/>
        <v>1</v>
      </c>
      <c r="D1673" s="3380">
        <f t="shared" si="897"/>
        <v>1</v>
      </c>
      <c r="E1673" s="3380">
        <f t="shared" si="897"/>
        <v>1</v>
      </c>
      <c r="F1673" s="3380">
        <f t="shared" si="897"/>
        <v>1</v>
      </c>
      <c r="G1673" s="3380">
        <f t="shared" si="897"/>
        <v>1</v>
      </c>
      <c r="H1673" s="3467"/>
      <c r="I1673" s="3353"/>
      <c r="J1673" s="3353"/>
      <c r="K1673" s="3353"/>
      <c r="L1673" s="3353"/>
      <c r="M1673" s="3353"/>
      <c r="N1673" s="3353"/>
      <c r="O1673" s="3353"/>
      <c r="P1673" s="3353"/>
      <c r="Q1673" s="3353"/>
      <c r="R1673" s="3353"/>
      <c r="S1673" s="3353"/>
      <c r="T1673" s="3353"/>
      <c r="U1673" s="3353"/>
      <c r="V1673" s="3353"/>
      <c r="W1673" s="3353"/>
      <c r="X1673" s="3353"/>
      <c r="Y1673" s="3353"/>
      <c r="Z1673" s="3353"/>
      <c r="AA1673" s="3353"/>
      <c r="AB1673" s="3353"/>
      <c r="AC1673" s="3353"/>
      <c r="AD1673" s="3353"/>
      <c r="AE1673" s="3353"/>
      <c r="AF1673" s="3353"/>
      <c r="AG1673" s="3353"/>
      <c r="AH1673" s="3353"/>
      <c r="AI1673" s="3353"/>
      <c r="AJ1673" s="3353"/>
      <c r="AK1673" s="3353"/>
      <c r="AL1673" s="3353"/>
    </row>
    <row r="1674" spans="1:38" s="3309" customFormat="1" x14ac:dyDescent="0.2">
      <c r="A1674" s="3534" t="s">
        <v>6115</v>
      </c>
      <c r="B1674" s="3380" t="e">
        <f t="shared" ref="B1674:G1674" si="898">IF(B1431+B1411&gt;0.2,0.9,1)</f>
        <v>#VALUE!</v>
      </c>
      <c r="C1674" s="3380">
        <f t="shared" si="898"/>
        <v>1</v>
      </c>
      <c r="D1674" s="3380">
        <f t="shared" si="898"/>
        <v>1</v>
      </c>
      <c r="E1674" s="3380">
        <f t="shared" si="898"/>
        <v>1</v>
      </c>
      <c r="F1674" s="3380">
        <f t="shared" si="898"/>
        <v>1</v>
      </c>
      <c r="G1674" s="3380">
        <f t="shared" si="898"/>
        <v>1</v>
      </c>
      <c r="H1674" s="3467"/>
      <c r="I1674" s="3353"/>
      <c r="J1674" s="3353"/>
      <c r="K1674" s="3353"/>
      <c r="L1674" s="3353"/>
      <c r="M1674" s="3353"/>
      <c r="N1674" s="3353"/>
      <c r="O1674" s="3353"/>
      <c r="P1674" s="3353"/>
      <c r="Q1674" s="3353"/>
      <c r="R1674" s="3353"/>
      <c r="S1674" s="3353"/>
      <c r="T1674" s="3353"/>
      <c r="U1674" s="3353"/>
      <c r="V1674" s="3353"/>
      <c r="W1674" s="3353"/>
      <c r="X1674" s="3353"/>
      <c r="Y1674" s="3353"/>
      <c r="Z1674" s="3353"/>
      <c r="AA1674" s="3353"/>
      <c r="AB1674" s="3353"/>
      <c r="AC1674" s="3353"/>
      <c r="AD1674" s="3353"/>
      <c r="AE1674" s="3353"/>
      <c r="AF1674" s="3353"/>
      <c r="AG1674" s="3353"/>
      <c r="AH1674" s="3353"/>
      <c r="AI1674" s="3353"/>
      <c r="AJ1674" s="3353"/>
      <c r="AK1674" s="3353"/>
      <c r="AL1674" s="3353"/>
    </row>
    <row r="1675" spans="1:38" s="3309" customFormat="1" x14ac:dyDescent="0.2">
      <c r="A1675" s="3535" t="s">
        <v>6114</v>
      </c>
      <c r="B1675" s="3329">
        <f t="shared" ref="B1675:G1676" si="899">B1025</f>
        <v>1</v>
      </c>
      <c r="C1675" s="3329">
        <f t="shared" si="899"/>
        <v>1</v>
      </c>
      <c r="D1675" s="3329">
        <f t="shared" si="899"/>
        <v>1</v>
      </c>
      <c r="E1675" s="3329">
        <f t="shared" si="899"/>
        <v>1</v>
      </c>
      <c r="F1675" s="3329">
        <f t="shared" si="899"/>
        <v>1</v>
      </c>
      <c r="G1675" s="3329">
        <f t="shared" si="899"/>
        <v>1</v>
      </c>
      <c r="H1675" s="3467"/>
      <c r="I1675" s="3353"/>
      <c r="J1675" s="3353"/>
      <c r="K1675" s="3353"/>
      <c r="L1675" s="3353"/>
      <c r="M1675" s="3353"/>
      <c r="N1675" s="3353"/>
      <c r="O1675" s="3353"/>
      <c r="P1675" s="3353"/>
      <c r="Q1675" s="3353"/>
      <c r="R1675" s="3353"/>
      <c r="S1675" s="3353"/>
      <c r="T1675" s="3353"/>
      <c r="U1675" s="3353"/>
      <c r="V1675" s="3353"/>
      <c r="W1675" s="3353"/>
      <c r="X1675" s="3353"/>
      <c r="Y1675" s="3353"/>
      <c r="Z1675" s="3353"/>
      <c r="AA1675" s="3353"/>
      <c r="AB1675" s="3353"/>
      <c r="AC1675" s="3353"/>
      <c r="AD1675" s="3353"/>
      <c r="AE1675" s="3353"/>
      <c r="AF1675" s="3353"/>
      <c r="AG1675" s="3353"/>
      <c r="AH1675" s="3353"/>
      <c r="AI1675" s="3353"/>
      <c r="AJ1675" s="3353"/>
      <c r="AK1675" s="3353"/>
      <c r="AL1675" s="3353"/>
    </row>
    <row r="1676" spans="1:38" s="3309" customFormat="1" x14ac:dyDescent="0.2">
      <c r="A1676" s="3535" t="s">
        <v>6113</v>
      </c>
      <c r="B1676" s="3329">
        <f t="shared" si="899"/>
        <v>1</v>
      </c>
      <c r="C1676" s="3329">
        <f t="shared" si="899"/>
        <v>1</v>
      </c>
      <c r="D1676" s="3329">
        <f t="shared" si="899"/>
        <v>1</v>
      </c>
      <c r="E1676" s="3329">
        <f t="shared" si="899"/>
        <v>1</v>
      </c>
      <c r="F1676" s="3329">
        <f t="shared" si="899"/>
        <v>1</v>
      </c>
      <c r="G1676" s="3329">
        <f t="shared" si="899"/>
        <v>1</v>
      </c>
      <c r="H1676" s="3353"/>
      <c r="I1676" s="3353"/>
      <c r="J1676" s="3353"/>
      <c r="K1676" s="3353"/>
      <c r="L1676" s="3353"/>
      <c r="M1676" s="3353"/>
      <c r="N1676" s="3353"/>
      <c r="O1676" s="3353"/>
      <c r="P1676" s="3353"/>
      <c r="Q1676" s="3353"/>
      <c r="R1676" s="3353"/>
      <c r="S1676" s="3353"/>
      <c r="T1676" s="3353"/>
      <c r="U1676" s="3353"/>
      <c r="V1676" s="3353"/>
      <c r="W1676" s="3353"/>
      <c r="X1676" s="3353"/>
      <c r="Y1676" s="3353"/>
      <c r="Z1676" s="3353"/>
      <c r="AA1676" s="3353"/>
      <c r="AB1676" s="3353"/>
      <c r="AC1676" s="3353"/>
      <c r="AD1676" s="3353"/>
      <c r="AE1676" s="3353"/>
      <c r="AF1676" s="3353"/>
      <c r="AG1676" s="3353"/>
      <c r="AH1676" s="3353"/>
      <c r="AI1676" s="3353"/>
      <c r="AJ1676" s="3353"/>
      <c r="AK1676" s="3353"/>
      <c r="AL1676" s="3353"/>
    </row>
    <row r="1677" spans="1:38" s="3309" customFormat="1" x14ac:dyDescent="0.2">
      <c r="A1677" s="3534" t="s">
        <v>3059</v>
      </c>
      <c r="B1677" s="3380" t="e">
        <f t="shared" ref="B1677:G1677" si="900">B1673*B1674*B1675*B1676</f>
        <v>#VALUE!</v>
      </c>
      <c r="C1677" s="3380">
        <f t="shared" si="900"/>
        <v>1</v>
      </c>
      <c r="D1677" s="3380">
        <f t="shared" si="900"/>
        <v>1</v>
      </c>
      <c r="E1677" s="3380">
        <f t="shared" si="900"/>
        <v>1</v>
      </c>
      <c r="F1677" s="3380">
        <f t="shared" si="900"/>
        <v>1</v>
      </c>
      <c r="G1677" s="3380">
        <f t="shared" si="900"/>
        <v>1</v>
      </c>
      <c r="H1677" s="3353"/>
      <c r="I1677" s="3353"/>
      <c r="J1677" s="3353"/>
      <c r="K1677" s="3353"/>
      <c r="L1677" s="3353"/>
      <c r="M1677" s="3353"/>
      <c r="N1677" s="3353"/>
      <c r="O1677" s="3353"/>
      <c r="P1677" s="3353"/>
      <c r="Q1677" s="3353"/>
      <c r="R1677" s="3353"/>
      <c r="S1677" s="3353"/>
      <c r="T1677" s="3353"/>
      <c r="U1677" s="3353"/>
      <c r="V1677" s="3353"/>
      <c r="W1677" s="3353"/>
      <c r="X1677" s="3353"/>
      <c r="Y1677" s="3353"/>
      <c r="Z1677" s="3353"/>
      <c r="AA1677" s="3353"/>
      <c r="AB1677" s="3353"/>
      <c r="AC1677" s="3353"/>
      <c r="AD1677" s="3353"/>
      <c r="AE1677" s="3353"/>
      <c r="AF1677" s="3353"/>
      <c r="AG1677" s="3353"/>
      <c r="AH1677" s="3353"/>
      <c r="AI1677" s="3353"/>
      <c r="AJ1677" s="3353"/>
      <c r="AK1677" s="3353"/>
      <c r="AL1677" s="3353"/>
    </row>
    <row r="1678" spans="1:38" s="3309" customFormat="1" x14ac:dyDescent="0.2">
      <c r="A1678" s="3533" t="s">
        <v>3412</v>
      </c>
      <c r="B1678" s="3532" t="e">
        <f t="shared" ref="B1678:G1678" si="901">B1670*B1677*B1394</f>
        <v>#VALUE!</v>
      </c>
      <c r="C1678" s="3532" t="e">
        <f t="shared" si="901"/>
        <v>#NUM!</v>
      </c>
      <c r="D1678" s="3532" t="e">
        <f t="shared" si="901"/>
        <v>#NUM!</v>
      </c>
      <c r="E1678" s="3532" t="e">
        <f t="shared" si="901"/>
        <v>#NUM!</v>
      </c>
      <c r="F1678" s="3532" t="e">
        <f t="shared" si="901"/>
        <v>#NUM!</v>
      </c>
      <c r="G1678" s="3532" t="e">
        <f t="shared" si="901"/>
        <v>#NUM!</v>
      </c>
      <c r="H1678" s="3353"/>
      <c r="I1678" s="3353"/>
      <c r="J1678" s="3353"/>
      <c r="K1678" s="3353"/>
      <c r="L1678" s="3353"/>
      <c r="M1678" s="3353"/>
      <c r="N1678" s="3353"/>
      <c r="O1678" s="3353"/>
      <c r="P1678" s="3353"/>
      <c r="Q1678" s="3353"/>
      <c r="R1678" s="3353"/>
      <c r="S1678" s="3353"/>
      <c r="T1678" s="3353"/>
      <c r="U1678" s="3353"/>
      <c r="V1678" s="3353"/>
      <c r="W1678" s="3353"/>
      <c r="X1678" s="3353"/>
      <c r="Y1678" s="3353"/>
      <c r="Z1678" s="3353"/>
      <c r="AA1678" s="3353"/>
      <c r="AB1678" s="3353"/>
      <c r="AC1678" s="3353"/>
      <c r="AD1678" s="3353"/>
      <c r="AE1678" s="3353"/>
      <c r="AF1678" s="3353"/>
      <c r="AG1678" s="3353"/>
      <c r="AH1678" s="3353"/>
      <c r="AI1678" s="3353"/>
      <c r="AJ1678" s="3353"/>
      <c r="AK1678" s="3353"/>
      <c r="AL1678" s="3353"/>
    </row>
    <row r="1679" spans="1:38" s="3309" customFormat="1" x14ac:dyDescent="0.2">
      <c r="A1679" s="3531" t="s">
        <v>2472</v>
      </c>
      <c r="B1679" s="3323" t="e">
        <f t="shared" ref="B1679:G1679" si="902">B1678*0.7</f>
        <v>#VALUE!</v>
      </c>
      <c r="C1679" s="3323" t="e">
        <f t="shared" si="902"/>
        <v>#NUM!</v>
      </c>
      <c r="D1679" s="3323" t="e">
        <f t="shared" si="902"/>
        <v>#NUM!</v>
      </c>
      <c r="E1679" s="3323" t="e">
        <f t="shared" si="902"/>
        <v>#NUM!</v>
      </c>
      <c r="F1679" s="3323" t="e">
        <f t="shared" si="902"/>
        <v>#NUM!</v>
      </c>
      <c r="G1679" s="3323" t="e">
        <f t="shared" si="902"/>
        <v>#NUM!</v>
      </c>
      <c r="H1679" s="3353"/>
      <c r="I1679" s="3353"/>
      <c r="J1679" s="3353"/>
      <c r="K1679" s="3353"/>
      <c r="L1679" s="3353"/>
      <c r="M1679" s="3353"/>
      <c r="N1679" s="3353"/>
      <c r="O1679" s="3353"/>
      <c r="P1679" s="3353"/>
      <c r="Q1679" s="3353"/>
      <c r="R1679" s="3353"/>
      <c r="S1679" s="3353"/>
      <c r="T1679" s="3353"/>
      <c r="U1679" s="3353"/>
      <c r="V1679" s="3353"/>
      <c r="W1679" s="3353"/>
      <c r="X1679" s="3353"/>
      <c r="Y1679" s="3353"/>
      <c r="Z1679" s="3353"/>
      <c r="AA1679" s="3353"/>
      <c r="AB1679" s="3353"/>
      <c r="AC1679" s="3353"/>
      <c r="AD1679" s="3353"/>
      <c r="AE1679" s="3353"/>
      <c r="AF1679" s="3353"/>
      <c r="AG1679" s="3353"/>
      <c r="AH1679" s="3353"/>
      <c r="AI1679" s="3353"/>
      <c r="AJ1679" s="3353"/>
      <c r="AK1679" s="3353"/>
      <c r="AL1679" s="3353"/>
    </row>
    <row r="1680" spans="1:38" s="3309" customFormat="1" x14ac:dyDescent="0.2">
      <c r="A1680" s="3530" t="s">
        <v>429</v>
      </c>
      <c r="B1680" s="3323" t="e">
        <f t="shared" ref="B1680:G1680" si="903">B1669/B1679</f>
        <v>#DIV/0!</v>
      </c>
      <c r="C1680" s="3323" t="e">
        <f t="shared" si="903"/>
        <v>#DIV/0!</v>
      </c>
      <c r="D1680" s="3323" t="e">
        <f t="shared" si="903"/>
        <v>#DIV/0!</v>
      </c>
      <c r="E1680" s="3323" t="e">
        <f t="shared" si="903"/>
        <v>#DIV/0!</v>
      </c>
      <c r="F1680" s="3323" t="e">
        <f t="shared" si="903"/>
        <v>#DIV/0!</v>
      </c>
      <c r="G1680" s="3323" t="e">
        <f t="shared" si="903"/>
        <v>#DIV/0!</v>
      </c>
      <c r="H1680" s="3353"/>
      <c r="I1680" s="3353"/>
      <c r="J1680" s="3353"/>
      <c r="K1680" s="3353"/>
      <c r="L1680" s="3353"/>
      <c r="M1680" s="3353"/>
      <c r="N1680" s="3353"/>
      <c r="O1680" s="3353"/>
      <c r="P1680" s="3353"/>
      <c r="Q1680" s="3353"/>
      <c r="R1680" s="3353"/>
      <c r="S1680" s="3353"/>
      <c r="T1680" s="3353"/>
      <c r="U1680" s="3353"/>
      <c r="V1680" s="3353"/>
      <c r="W1680" s="3353"/>
      <c r="X1680" s="3353"/>
      <c r="Y1680" s="3353"/>
      <c r="Z1680" s="3353"/>
      <c r="AA1680" s="3353"/>
      <c r="AB1680" s="3353"/>
      <c r="AC1680" s="3353"/>
      <c r="AD1680" s="3353"/>
      <c r="AE1680" s="3353"/>
      <c r="AF1680" s="3353"/>
      <c r="AG1680" s="3353"/>
      <c r="AH1680" s="3353"/>
      <c r="AI1680" s="3353"/>
      <c r="AJ1680" s="3353"/>
      <c r="AK1680" s="3353"/>
      <c r="AL1680" s="3353"/>
    </row>
    <row r="1681" spans="1:38" s="3309" customFormat="1" x14ac:dyDescent="0.2">
      <c r="A1681" s="3411" t="s">
        <v>6112</v>
      </c>
      <c r="B1681" s="3379" t="e">
        <f t="shared" ref="B1681:G1681" si="904">B1661</f>
        <v>#DIV/0!</v>
      </c>
      <c r="C1681" s="3379" t="e">
        <f t="shared" si="904"/>
        <v>#DIV/0!</v>
      </c>
      <c r="D1681" s="3379" t="e">
        <f t="shared" si="904"/>
        <v>#DIV/0!</v>
      </c>
      <c r="E1681" s="3379" t="e">
        <f t="shared" si="904"/>
        <v>#DIV/0!</v>
      </c>
      <c r="F1681" s="3379" t="e">
        <f t="shared" si="904"/>
        <v>#DIV/0!</v>
      </c>
      <c r="G1681" s="3379" t="e">
        <f t="shared" si="904"/>
        <v>#DIV/0!</v>
      </c>
      <c r="H1681" s="3353"/>
      <c r="I1681" s="3353"/>
      <c r="J1681" s="3353"/>
      <c r="K1681" s="3353"/>
      <c r="L1681" s="3353"/>
      <c r="M1681" s="3353"/>
      <c r="N1681" s="3353"/>
      <c r="O1681" s="3353"/>
      <c r="P1681" s="3353"/>
      <c r="Q1681" s="3353"/>
      <c r="R1681" s="3353"/>
      <c r="S1681" s="3353"/>
      <c r="T1681" s="3353"/>
      <c r="U1681" s="3353"/>
      <c r="V1681" s="3353"/>
      <c r="W1681" s="3353"/>
      <c r="X1681" s="3353"/>
      <c r="Y1681" s="3353"/>
      <c r="Z1681" s="3353"/>
      <c r="AA1681" s="3353"/>
      <c r="AB1681" s="3353"/>
      <c r="AC1681" s="3353"/>
      <c r="AD1681" s="3353"/>
      <c r="AE1681" s="3353"/>
      <c r="AF1681" s="3353"/>
      <c r="AG1681" s="3353"/>
      <c r="AH1681" s="3353"/>
      <c r="AI1681" s="3353"/>
      <c r="AJ1681" s="3353"/>
      <c r="AK1681" s="3353"/>
      <c r="AL1681" s="3353"/>
    </row>
    <row r="1682" spans="1:38" s="3309" customFormat="1" x14ac:dyDescent="0.2">
      <c r="A1682" s="3411" t="s">
        <v>6111</v>
      </c>
      <c r="B1682" s="3379" t="e">
        <f t="shared" ref="B1682:G1682" si="905">INDEX($C$2622:$C$2632,B1649)</f>
        <v>#VALUE!</v>
      </c>
      <c r="C1682" s="3379" t="e">
        <f t="shared" si="905"/>
        <v>#NUM!</v>
      </c>
      <c r="D1682" s="3379" t="e">
        <f t="shared" si="905"/>
        <v>#NUM!</v>
      </c>
      <c r="E1682" s="3379" t="e">
        <f t="shared" si="905"/>
        <v>#NUM!</v>
      </c>
      <c r="F1682" s="3379" t="e">
        <f t="shared" si="905"/>
        <v>#NUM!</v>
      </c>
      <c r="G1682" s="3379" t="e">
        <f t="shared" si="905"/>
        <v>#NUM!</v>
      </c>
      <c r="H1682" s="3353"/>
      <c r="I1682" s="3353"/>
      <c r="J1682" s="3353"/>
      <c r="K1682" s="3353"/>
      <c r="L1682" s="3353"/>
      <c r="M1682" s="3353"/>
      <c r="N1682" s="3353"/>
      <c r="O1682" s="3353"/>
      <c r="P1682" s="3353"/>
      <c r="Q1682" s="3353"/>
      <c r="R1682" s="3353"/>
      <c r="S1682" s="3353"/>
      <c r="T1682" s="3353"/>
      <c r="U1682" s="3353"/>
      <c r="V1682" s="3353"/>
      <c r="W1682" s="3353"/>
      <c r="X1682" s="3353"/>
      <c r="Y1682" s="3353"/>
      <c r="Z1682" s="3353"/>
      <c r="AA1682" s="3353"/>
      <c r="AB1682" s="3353"/>
      <c r="AC1682" s="3353"/>
      <c r="AD1682" s="3353"/>
      <c r="AE1682" s="3353"/>
      <c r="AF1682" s="3353"/>
      <c r="AG1682" s="3353"/>
      <c r="AH1682" s="3353"/>
      <c r="AI1682" s="3353"/>
      <c r="AJ1682" s="3353"/>
      <c r="AK1682" s="3353"/>
      <c r="AL1682" s="3353"/>
    </row>
    <row r="1683" spans="1:38" s="3309" customFormat="1" x14ac:dyDescent="0.2">
      <c r="A1683" s="3411" t="s">
        <v>203</v>
      </c>
      <c r="B1683" s="3379" t="e">
        <f t="shared" ref="B1683:G1683" si="906">B1682*B1655*B1394</f>
        <v>#VALUE!</v>
      </c>
      <c r="C1683" s="3379" t="e">
        <f t="shared" si="906"/>
        <v>#NUM!</v>
      </c>
      <c r="D1683" s="3379" t="e">
        <f t="shared" si="906"/>
        <v>#NUM!</v>
      </c>
      <c r="E1683" s="3379" t="e">
        <f t="shared" si="906"/>
        <v>#NUM!</v>
      </c>
      <c r="F1683" s="3379" t="e">
        <f t="shared" si="906"/>
        <v>#NUM!</v>
      </c>
      <c r="G1683" s="3379" t="e">
        <f t="shared" si="906"/>
        <v>#NUM!</v>
      </c>
      <c r="H1683" s="3353"/>
      <c r="I1683" s="3353"/>
      <c r="J1683" s="3353"/>
      <c r="K1683" s="3353"/>
      <c r="L1683" s="3353"/>
      <c r="M1683" s="3353"/>
      <c r="N1683" s="3353"/>
      <c r="O1683" s="3353"/>
      <c r="P1683" s="3353"/>
      <c r="Q1683" s="3353"/>
      <c r="R1683" s="3353"/>
      <c r="S1683" s="3353"/>
      <c r="T1683" s="3353"/>
      <c r="U1683" s="3353"/>
      <c r="V1683" s="3353"/>
      <c r="W1683" s="3353"/>
      <c r="X1683" s="3353"/>
      <c r="Y1683" s="3353"/>
      <c r="Z1683" s="3353"/>
      <c r="AA1683" s="3353"/>
      <c r="AB1683" s="3353"/>
      <c r="AC1683" s="3353"/>
      <c r="AD1683" s="3353"/>
      <c r="AE1683" s="3353"/>
      <c r="AF1683" s="3353"/>
      <c r="AG1683" s="3353"/>
      <c r="AH1683" s="3353"/>
      <c r="AI1683" s="3353"/>
      <c r="AJ1683" s="3353"/>
      <c r="AK1683" s="3353"/>
      <c r="AL1683" s="3353"/>
    </row>
    <row r="1684" spans="1:38" s="3309" customFormat="1" x14ac:dyDescent="0.2">
      <c r="A1684" s="3401" t="s">
        <v>429</v>
      </c>
      <c r="B1684" s="3379" t="e">
        <f t="shared" ref="B1684:G1684" si="907">B1681/B1683</f>
        <v>#DIV/0!</v>
      </c>
      <c r="C1684" s="3379" t="e">
        <f t="shared" si="907"/>
        <v>#DIV/0!</v>
      </c>
      <c r="D1684" s="3379" t="e">
        <f t="shared" si="907"/>
        <v>#DIV/0!</v>
      </c>
      <c r="E1684" s="3379" t="e">
        <f t="shared" si="907"/>
        <v>#DIV/0!</v>
      </c>
      <c r="F1684" s="3379" t="e">
        <f t="shared" si="907"/>
        <v>#DIV/0!</v>
      </c>
      <c r="G1684" s="3379" t="e">
        <f t="shared" si="907"/>
        <v>#DIV/0!</v>
      </c>
      <c r="H1684" s="3467"/>
      <c r="I1684" s="3353"/>
      <c r="J1684" s="3353"/>
      <c r="K1684" s="3353"/>
      <c r="L1684" s="3353"/>
      <c r="M1684" s="3353"/>
      <c r="N1684" s="3353"/>
      <c r="O1684" s="3353"/>
      <c r="P1684" s="3353"/>
      <c r="Q1684" s="3353"/>
      <c r="R1684" s="3353"/>
      <c r="S1684" s="3353"/>
      <c r="T1684" s="3353"/>
      <c r="U1684" s="3353"/>
      <c r="V1684" s="3353"/>
      <c r="W1684" s="3353"/>
      <c r="X1684" s="3353"/>
      <c r="Y1684" s="3353"/>
      <c r="Z1684" s="3353"/>
      <c r="AA1684" s="3353"/>
      <c r="AB1684" s="3353"/>
      <c r="AC1684" s="3353"/>
      <c r="AD1684" s="3353"/>
      <c r="AE1684" s="3353"/>
      <c r="AF1684" s="3353"/>
      <c r="AG1684" s="3353"/>
      <c r="AH1684" s="3353"/>
      <c r="AI1684" s="3353"/>
      <c r="AJ1684" s="3353"/>
      <c r="AK1684" s="3353"/>
      <c r="AL1684" s="3353"/>
    </row>
    <row r="1685" spans="1:38" s="3309" customFormat="1" ht="25.5" x14ac:dyDescent="0.2">
      <c r="A1685" s="3459" t="s">
        <v>6110</v>
      </c>
      <c r="B1685" s="3379"/>
      <c r="C1685" s="3412"/>
      <c r="D1685" s="3412"/>
      <c r="E1685" s="3412"/>
      <c r="F1685" s="3412"/>
      <c r="G1685" s="3412"/>
      <c r="H1685" s="3353"/>
      <c r="I1685" s="3353"/>
      <c r="J1685" s="3353"/>
      <c r="K1685" s="3353"/>
      <c r="L1685" s="3353"/>
      <c r="M1685" s="3353"/>
      <c r="N1685" s="3353"/>
      <c r="O1685" s="3353"/>
      <c r="P1685" s="3353"/>
      <c r="Q1685" s="3353"/>
      <c r="R1685" s="3353"/>
      <c r="S1685" s="3353"/>
      <c r="T1685" s="3353"/>
      <c r="U1685" s="3353"/>
      <c r="V1685" s="3353"/>
      <c r="W1685" s="3353"/>
      <c r="X1685" s="3353"/>
      <c r="Y1685" s="3353"/>
      <c r="Z1685" s="3353"/>
      <c r="AA1685" s="3353"/>
      <c r="AB1685" s="3353"/>
      <c r="AC1685" s="3353"/>
      <c r="AD1685" s="3353"/>
      <c r="AE1685" s="3353"/>
      <c r="AF1685" s="3353"/>
      <c r="AG1685" s="3353"/>
      <c r="AH1685" s="3353"/>
      <c r="AI1685" s="3353"/>
      <c r="AJ1685" s="3353"/>
      <c r="AK1685" s="3353"/>
      <c r="AL1685" s="3353"/>
    </row>
    <row r="1686" spans="1:38" s="3309" customFormat="1" x14ac:dyDescent="0.2">
      <c r="A1686" s="3409" t="s">
        <v>211</v>
      </c>
      <c r="B1686" s="3429">
        <f t="shared" ref="B1686:G1686" si="908">B1036</f>
        <v>2.2000000000000002</v>
      </c>
      <c r="C1686" s="3429">
        <f t="shared" si="908"/>
        <v>0</v>
      </c>
      <c r="D1686" s="3429">
        <f t="shared" si="908"/>
        <v>0</v>
      </c>
      <c r="E1686" s="3429">
        <f t="shared" si="908"/>
        <v>0</v>
      </c>
      <c r="F1686" s="3429">
        <f t="shared" si="908"/>
        <v>0</v>
      </c>
      <c r="G1686" s="3429">
        <f t="shared" si="908"/>
        <v>0</v>
      </c>
      <c r="H1686" s="3353"/>
      <c r="I1686" s="3353"/>
      <c r="J1686" s="3353"/>
      <c r="K1686" s="3353"/>
      <c r="L1686" s="3353"/>
      <c r="M1686" s="3353"/>
      <c r="N1686" s="3353"/>
      <c r="O1686" s="3353"/>
      <c r="P1686" s="3353"/>
      <c r="Q1686" s="3353"/>
      <c r="R1686" s="3353"/>
      <c r="S1686" s="3353"/>
      <c r="T1686" s="3353"/>
      <c r="U1686" s="3353"/>
      <c r="V1686" s="3353"/>
      <c r="W1686" s="3353"/>
      <c r="X1686" s="3353"/>
      <c r="Y1686" s="3353"/>
      <c r="Z1686" s="3353"/>
      <c r="AA1686" s="3353"/>
      <c r="AB1686" s="3353"/>
      <c r="AC1686" s="3353"/>
      <c r="AD1686" s="3353"/>
      <c r="AE1686" s="3353"/>
      <c r="AF1686" s="3353"/>
      <c r="AG1686" s="3353"/>
      <c r="AH1686" s="3353"/>
      <c r="AI1686" s="3353"/>
      <c r="AJ1686" s="3353"/>
      <c r="AK1686" s="3353"/>
      <c r="AL1686" s="3353"/>
    </row>
    <row r="1687" spans="1:38" s="3309" customFormat="1" x14ac:dyDescent="0.2">
      <c r="A1687" s="3407" t="s">
        <v>6109</v>
      </c>
      <c r="B1687" s="3379">
        <f t="shared" ref="B1687:G1687" si="909">B1442*((B1572-B1445)/B1686)*B1401/(B1572-B1445)</f>
        <v>0</v>
      </c>
      <c r="C1687" s="3379" t="e">
        <f t="shared" si="909"/>
        <v>#DIV/0!</v>
      </c>
      <c r="D1687" s="3379" t="e">
        <f t="shared" si="909"/>
        <v>#DIV/0!</v>
      </c>
      <c r="E1687" s="3379" t="e">
        <f t="shared" si="909"/>
        <v>#DIV/0!</v>
      </c>
      <c r="F1687" s="3379" t="e">
        <f t="shared" si="909"/>
        <v>#DIV/0!</v>
      </c>
      <c r="G1687" s="3379" t="e">
        <f t="shared" si="909"/>
        <v>#DIV/0!</v>
      </c>
      <c r="H1687" s="3467"/>
      <c r="I1687" s="3353"/>
      <c r="J1687" s="3353"/>
      <c r="K1687" s="3353"/>
      <c r="L1687" s="3353"/>
      <c r="M1687" s="3353"/>
      <c r="N1687" s="3353"/>
      <c r="O1687" s="3353"/>
      <c r="P1687" s="3353"/>
      <c r="Q1687" s="3353"/>
      <c r="R1687" s="3353"/>
      <c r="S1687" s="3353"/>
      <c r="T1687" s="3353"/>
      <c r="U1687" s="3353"/>
      <c r="V1687" s="3353"/>
      <c r="W1687" s="3353"/>
      <c r="X1687" s="3353"/>
      <c r="Y1687" s="3353"/>
      <c r="Z1687" s="3353"/>
      <c r="AA1687" s="3353"/>
      <c r="AB1687" s="3353"/>
      <c r="AC1687" s="3353"/>
      <c r="AD1687" s="3353"/>
      <c r="AE1687" s="3353"/>
      <c r="AF1687" s="3353"/>
      <c r="AG1687" s="3353"/>
      <c r="AH1687" s="3353"/>
      <c r="AI1687" s="3353"/>
      <c r="AJ1687" s="3353"/>
      <c r="AK1687" s="3353"/>
      <c r="AL1687" s="3353"/>
    </row>
    <row r="1688" spans="1:38" s="3309" customFormat="1" x14ac:dyDescent="0.2">
      <c r="A1688" s="3411" t="s">
        <v>425</v>
      </c>
      <c r="B1688" s="3379">
        <f t="shared" ref="B1688:G1688" si="910">B1630</f>
        <v>9.1999999999999993</v>
      </c>
      <c r="C1688" s="3379">
        <f t="shared" si="910"/>
        <v>43.6</v>
      </c>
      <c r="D1688" s="3379">
        <f t="shared" si="910"/>
        <v>43.6</v>
      </c>
      <c r="E1688" s="3379">
        <f t="shared" si="910"/>
        <v>43.6</v>
      </c>
      <c r="F1688" s="3379">
        <f t="shared" si="910"/>
        <v>43.6</v>
      </c>
      <c r="G1688" s="3379">
        <f t="shared" si="910"/>
        <v>43.6</v>
      </c>
      <c r="H1688" s="3353"/>
      <c r="I1688" s="3353"/>
      <c r="J1688" s="3353"/>
      <c r="K1688" s="3353"/>
      <c r="L1688" s="3353"/>
      <c r="M1688" s="3353"/>
      <c r="N1688" s="3353"/>
      <c r="O1688" s="3353"/>
      <c r="P1688" s="3353"/>
      <c r="Q1688" s="3353"/>
      <c r="R1688" s="3353"/>
      <c r="S1688" s="3353"/>
      <c r="T1688" s="3353"/>
      <c r="U1688" s="3353"/>
      <c r="V1688" s="3353"/>
      <c r="W1688" s="3353"/>
      <c r="X1688" s="3353"/>
      <c r="Y1688" s="3353"/>
      <c r="Z1688" s="3353"/>
      <c r="AA1688" s="3353"/>
      <c r="AB1688" s="3353"/>
      <c r="AC1688" s="3353"/>
      <c r="AD1688" s="3353"/>
      <c r="AE1688" s="3353"/>
      <c r="AF1688" s="3353"/>
      <c r="AG1688" s="3353"/>
      <c r="AH1688" s="3353"/>
      <c r="AI1688" s="3353"/>
      <c r="AJ1688" s="3353"/>
      <c r="AK1688" s="3353"/>
      <c r="AL1688" s="3353"/>
    </row>
    <row r="1689" spans="1:38" s="3309" customFormat="1" x14ac:dyDescent="0.2">
      <c r="A1689" s="3411" t="s">
        <v>3391</v>
      </c>
      <c r="B1689" s="3379"/>
      <c r="C1689" s="3412"/>
      <c r="D1689" s="3412"/>
      <c r="E1689" s="3412"/>
      <c r="F1689" s="3412"/>
      <c r="G1689" s="3412"/>
      <c r="H1689" s="3353"/>
      <c r="I1689" s="3353"/>
      <c r="J1689" s="3353"/>
      <c r="K1689" s="3353"/>
      <c r="L1689" s="3353"/>
      <c r="M1689" s="3353"/>
      <c r="N1689" s="3353"/>
      <c r="O1689" s="3353"/>
      <c r="P1689" s="3353"/>
      <c r="Q1689" s="3353"/>
      <c r="R1689" s="3353"/>
      <c r="S1689" s="3353"/>
      <c r="T1689" s="3353"/>
      <c r="U1689" s="3353"/>
      <c r="V1689" s="3353"/>
      <c r="W1689" s="3353"/>
      <c r="X1689" s="3353"/>
      <c r="Y1689" s="3353"/>
      <c r="Z1689" s="3353"/>
      <c r="AA1689" s="3353"/>
      <c r="AB1689" s="3353"/>
      <c r="AC1689" s="3353"/>
      <c r="AD1689" s="3353"/>
      <c r="AE1689" s="3353"/>
      <c r="AF1689" s="3353"/>
      <c r="AG1689" s="3353"/>
      <c r="AH1689" s="3353"/>
      <c r="AI1689" s="3353"/>
      <c r="AJ1689" s="3353"/>
      <c r="AK1689" s="3353"/>
      <c r="AL1689" s="3353"/>
    </row>
    <row r="1690" spans="1:38" s="3309" customFormat="1" ht="25.5" x14ac:dyDescent="0.2">
      <c r="A1690" s="3529" t="s">
        <v>1724</v>
      </c>
      <c r="B1690" s="3527">
        <f t="shared" ref="B1690:G1690" si="911">B1499</f>
        <v>0</v>
      </c>
      <c r="C1690" s="3527">
        <f t="shared" si="911"/>
        <v>0</v>
      </c>
      <c r="D1690" s="3527">
        <f t="shared" si="911"/>
        <v>0</v>
      </c>
      <c r="E1690" s="3527">
        <f t="shared" si="911"/>
        <v>0</v>
      </c>
      <c r="F1690" s="3527">
        <f t="shared" si="911"/>
        <v>0</v>
      </c>
      <c r="G1690" s="3527">
        <f t="shared" si="911"/>
        <v>0</v>
      </c>
      <c r="H1690" s="3467"/>
      <c r="I1690" s="3353"/>
      <c r="J1690" s="3353"/>
      <c r="K1690" s="3353"/>
      <c r="L1690" s="3353"/>
      <c r="M1690" s="3353"/>
      <c r="N1690" s="3353"/>
      <c r="O1690" s="3353"/>
      <c r="P1690" s="3353"/>
      <c r="Q1690" s="3353"/>
      <c r="R1690" s="3353"/>
      <c r="S1690" s="3353"/>
      <c r="T1690" s="3353"/>
      <c r="U1690" s="3353"/>
      <c r="V1690" s="3353"/>
      <c r="W1690" s="3353"/>
      <c r="X1690" s="3353"/>
      <c r="Y1690" s="3353"/>
      <c r="Z1690" s="3353"/>
      <c r="AA1690" s="3353"/>
      <c r="AB1690" s="3353"/>
      <c r="AC1690" s="3353"/>
      <c r="AD1690" s="3353"/>
      <c r="AE1690" s="3353"/>
      <c r="AF1690" s="3353"/>
      <c r="AG1690" s="3353"/>
      <c r="AH1690" s="3353"/>
      <c r="AI1690" s="3353"/>
      <c r="AJ1690" s="3353"/>
      <c r="AK1690" s="3353"/>
      <c r="AL1690" s="3353"/>
    </row>
    <row r="1691" spans="1:38" s="3309" customFormat="1" x14ac:dyDescent="0.2">
      <c r="A1691" s="3459" t="s">
        <v>1725</v>
      </c>
      <c r="B1691" s="3379">
        <f t="shared" ref="B1691:G1691" si="912">IF(B1690=1,1.15,1)</f>
        <v>1</v>
      </c>
      <c r="C1691" s="3379">
        <f t="shared" si="912"/>
        <v>1</v>
      </c>
      <c r="D1691" s="3379">
        <f t="shared" si="912"/>
        <v>1</v>
      </c>
      <c r="E1691" s="3379">
        <f t="shared" si="912"/>
        <v>1</v>
      </c>
      <c r="F1691" s="3379">
        <f t="shared" si="912"/>
        <v>1</v>
      </c>
      <c r="G1691" s="3379">
        <f t="shared" si="912"/>
        <v>1</v>
      </c>
      <c r="H1691" s="3467"/>
      <c r="I1691" s="3353"/>
      <c r="J1691" s="3353"/>
      <c r="K1691" s="3353"/>
      <c r="L1691" s="3353"/>
      <c r="M1691" s="3353"/>
      <c r="N1691" s="3353"/>
      <c r="O1691" s="3353"/>
      <c r="P1691" s="3353"/>
      <c r="Q1691" s="3353"/>
      <c r="R1691" s="3353"/>
      <c r="S1691" s="3353"/>
      <c r="T1691" s="3353"/>
      <c r="U1691" s="3353"/>
      <c r="V1691" s="3353"/>
      <c r="W1691" s="3353"/>
      <c r="X1691" s="3353"/>
      <c r="Y1691" s="3353"/>
      <c r="Z1691" s="3353"/>
      <c r="AA1691" s="3353"/>
      <c r="AB1691" s="3353"/>
      <c r="AC1691" s="3353"/>
      <c r="AD1691" s="3353"/>
      <c r="AE1691" s="3353"/>
      <c r="AF1691" s="3353"/>
      <c r="AG1691" s="3353"/>
      <c r="AH1691" s="3353"/>
      <c r="AI1691" s="3353"/>
      <c r="AJ1691" s="3353"/>
      <c r="AK1691" s="3353"/>
      <c r="AL1691" s="3353"/>
    </row>
    <row r="1692" spans="1:38" s="3309" customFormat="1" x14ac:dyDescent="0.2">
      <c r="A1692" s="3528" t="s">
        <v>5573</v>
      </c>
      <c r="B1692" s="3527">
        <f t="shared" ref="B1692:G1692" si="913">B1501</f>
        <v>0</v>
      </c>
      <c r="C1692" s="3527">
        <f t="shared" si="913"/>
        <v>0</v>
      </c>
      <c r="D1692" s="3527">
        <f t="shared" si="913"/>
        <v>0</v>
      </c>
      <c r="E1692" s="3527">
        <f t="shared" si="913"/>
        <v>0</v>
      </c>
      <c r="F1692" s="3527">
        <f t="shared" si="913"/>
        <v>0</v>
      </c>
      <c r="G1692" s="3527">
        <f t="shared" si="913"/>
        <v>0</v>
      </c>
      <c r="H1692" s="3353"/>
      <c r="I1692" s="3353"/>
      <c r="J1692" s="3353"/>
      <c r="K1692" s="3353"/>
      <c r="L1692" s="3353"/>
      <c r="M1692" s="3353"/>
      <c r="N1692" s="3353"/>
      <c r="O1692" s="3353"/>
      <c r="P1692" s="3353"/>
      <c r="Q1692" s="3353"/>
      <c r="R1692" s="3353"/>
      <c r="S1692" s="3353"/>
      <c r="T1692" s="3353"/>
      <c r="U1692" s="3353"/>
      <c r="V1692" s="3353"/>
      <c r="W1692" s="3353"/>
      <c r="X1692" s="3353"/>
      <c r="Y1692" s="3353"/>
      <c r="Z1692" s="3353"/>
      <c r="AA1692" s="3353"/>
      <c r="AB1692" s="3353"/>
      <c r="AC1692" s="3353"/>
      <c r="AD1692" s="3353"/>
      <c r="AE1692" s="3353"/>
      <c r="AF1692" s="3353"/>
      <c r="AG1692" s="3353"/>
      <c r="AH1692" s="3353"/>
      <c r="AI1692" s="3353"/>
      <c r="AJ1692" s="3353"/>
      <c r="AK1692" s="3353"/>
      <c r="AL1692" s="3353"/>
    </row>
    <row r="1693" spans="1:38" s="3309" customFormat="1" x14ac:dyDescent="0.2">
      <c r="A1693" s="3459" t="s">
        <v>2636</v>
      </c>
      <c r="B1693" s="3379">
        <f t="shared" ref="B1693:G1693" si="914">IF(B1692=1,1.15,1)</f>
        <v>1</v>
      </c>
      <c r="C1693" s="3379">
        <f t="shared" si="914"/>
        <v>1</v>
      </c>
      <c r="D1693" s="3379">
        <f t="shared" si="914"/>
        <v>1</v>
      </c>
      <c r="E1693" s="3379">
        <f t="shared" si="914"/>
        <v>1</v>
      </c>
      <c r="F1693" s="3379">
        <f t="shared" si="914"/>
        <v>1</v>
      </c>
      <c r="G1693" s="3379">
        <f t="shared" si="914"/>
        <v>1</v>
      </c>
      <c r="H1693" s="3353"/>
      <c r="I1693" s="3353"/>
      <c r="J1693" s="3353"/>
      <c r="K1693" s="3353"/>
      <c r="L1693" s="3353"/>
      <c r="M1693" s="3353"/>
      <c r="N1693" s="3353"/>
      <c r="O1693" s="3353"/>
      <c r="P1693" s="3353"/>
      <c r="Q1693" s="3353"/>
      <c r="R1693" s="3353"/>
      <c r="S1693" s="3353"/>
      <c r="T1693" s="3353"/>
      <c r="U1693" s="3353"/>
      <c r="V1693" s="3353"/>
      <c r="W1693" s="3353"/>
      <c r="X1693" s="3353"/>
      <c r="Y1693" s="3353"/>
      <c r="Z1693" s="3353"/>
      <c r="AA1693" s="3353"/>
      <c r="AB1693" s="3353"/>
      <c r="AC1693" s="3353"/>
      <c r="AD1693" s="3353"/>
      <c r="AE1693" s="3353"/>
      <c r="AF1693" s="3353"/>
      <c r="AG1693" s="3353"/>
      <c r="AH1693" s="3353"/>
      <c r="AI1693" s="3353"/>
      <c r="AJ1693" s="3353"/>
      <c r="AK1693" s="3353"/>
      <c r="AL1693" s="3353"/>
    </row>
    <row r="1694" spans="1:38" s="3309" customFormat="1" ht="25.5" x14ac:dyDescent="0.2">
      <c r="A1694" s="3459" t="s">
        <v>2637</v>
      </c>
      <c r="B1694" s="3379">
        <f t="shared" ref="B1694:G1694" si="915">IF(B1414&lt;2,0.85,1)</f>
        <v>1</v>
      </c>
      <c r="C1694" s="3379">
        <f t="shared" si="915"/>
        <v>0.85</v>
      </c>
      <c r="D1694" s="3379">
        <f t="shared" si="915"/>
        <v>0.85</v>
      </c>
      <c r="E1694" s="3379">
        <f t="shared" si="915"/>
        <v>0.85</v>
      </c>
      <c r="F1694" s="3379">
        <f t="shared" si="915"/>
        <v>0.85</v>
      </c>
      <c r="G1694" s="3379">
        <f t="shared" si="915"/>
        <v>0.85</v>
      </c>
      <c r="H1694" s="3353"/>
      <c r="I1694" s="3353"/>
      <c r="J1694" s="3353"/>
      <c r="K1694" s="3353"/>
      <c r="L1694" s="3353"/>
      <c r="M1694" s="3353"/>
      <c r="N1694" s="3353"/>
      <c r="O1694" s="3353"/>
      <c r="P1694" s="3353"/>
      <c r="Q1694" s="3353"/>
      <c r="R1694" s="3353"/>
      <c r="S1694" s="3353"/>
      <c r="T1694" s="3353"/>
      <c r="U1694" s="3353"/>
      <c r="V1694" s="3353"/>
      <c r="W1694" s="3353"/>
      <c r="X1694" s="3353"/>
      <c r="Y1694" s="3353"/>
      <c r="Z1694" s="3353"/>
      <c r="AA1694" s="3353"/>
      <c r="AB1694" s="3353"/>
      <c r="AC1694" s="3353"/>
      <c r="AD1694" s="3353"/>
      <c r="AE1694" s="3353"/>
      <c r="AF1694" s="3353"/>
      <c r="AG1694" s="3353"/>
      <c r="AH1694" s="3353"/>
      <c r="AI1694" s="3353"/>
      <c r="AJ1694" s="3353"/>
      <c r="AK1694" s="3353"/>
      <c r="AL1694" s="3353"/>
    </row>
    <row r="1695" spans="1:38" s="3309" customFormat="1" x14ac:dyDescent="0.2">
      <c r="A1695" s="3459" t="s">
        <v>1743</v>
      </c>
      <c r="B1695" s="3384">
        <f t="shared" ref="B1695:G1695" si="916">B1045</f>
        <v>0.7</v>
      </c>
      <c r="C1695" s="3384">
        <f t="shared" si="916"/>
        <v>0.7</v>
      </c>
      <c r="D1695" s="3384">
        <f t="shared" si="916"/>
        <v>0.7</v>
      </c>
      <c r="E1695" s="3384">
        <f t="shared" si="916"/>
        <v>0.7</v>
      </c>
      <c r="F1695" s="3384">
        <f t="shared" si="916"/>
        <v>0.7</v>
      </c>
      <c r="G1695" s="3384">
        <f t="shared" si="916"/>
        <v>0.7</v>
      </c>
      <c r="H1695" s="3353"/>
      <c r="I1695" s="3353"/>
      <c r="J1695" s="3353"/>
      <c r="K1695" s="3353"/>
      <c r="L1695" s="3353"/>
      <c r="M1695" s="3353"/>
      <c r="N1695" s="3353"/>
      <c r="O1695" s="3353"/>
      <c r="P1695" s="3353"/>
      <c r="Q1695" s="3353"/>
      <c r="R1695" s="3353"/>
      <c r="S1695" s="3353"/>
      <c r="T1695" s="3353"/>
      <c r="U1695" s="3353"/>
      <c r="V1695" s="3353"/>
      <c r="W1695" s="3353"/>
      <c r="X1695" s="3353"/>
      <c r="Y1695" s="3353"/>
      <c r="Z1695" s="3353"/>
      <c r="AA1695" s="3353"/>
      <c r="AB1695" s="3353"/>
      <c r="AC1695" s="3353"/>
      <c r="AD1695" s="3353"/>
      <c r="AE1695" s="3353"/>
      <c r="AF1695" s="3353"/>
      <c r="AG1695" s="3353"/>
      <c r="AH1695" s="3353"/>
      <c r="AI1695" s="3353"/>
      <c r="AJ1695" s="3353"/>
      <c r="AK1695" s="3353"/>
      <c r="AL1695" s="3353"/>
    </row>
    <row r="1696" spans="1:38" s="3309" customFormat="1" ht="25.5" x14ac:dyDescent="0.2">
      <c r="A1696" s="3459" t="s">
        <v>202</v>
      </c>
      <c r="B1696" s="3379">
        <f t="shared" ref="B1696:G1696" si="917">IF(B1686&lt;2,0.8,0.7)</f>
        <v>0.7</v>
      </c>
      <c r="C1696" s="3379">
        <f t="shared" si="917"/>
        <v>0.8</v>
      </c>
      <c r="D1696" s="3379">
        <f t="shared" si="917"/>
        <v>0.8</v>
      </c>
      <c r="E1696" s="3379">
        <f t="shared" si="917"/>
        <v>0.8</v>
      </c>
      <c r="F1696" s="3379">
        <f t="shared" si="917"/>
        <v>0.8</v>
      </c>
      <c r="G1696" s="3379">
        <f t="shared" si="917"/>
        <v>0.8</v>
      </c>
      <c r="H1696" s="3353"/>
      <c r="I1696" s="3353"/>
      <c r="J1696" s="3353"/>
      <c r="K1696" s="3353"/>
      <c r="L1696" s="3353"/>
      <c r="M1696" s="3353"/>
      <c r="N1696" s="3353"/>
      <c r="O1696" s="3353"/>
      <c r="P1696" s="3353"/>
      <c r="Q1696" s="3353"/>
      <c r="R1696" s="3353"/>
      <c r="S1696" s="3353"/>
      <c r="T1696" s="3353"/>
      <c r="U1696" s="3353"/>
      <c r="V1696" s="3353"/>
      <c r="W1696" s="3353"/>
      <c r="X1696" s="3353"/>
      <c r="Y1696" s="3353"/>
      <c r="Z1696" s="3353"/>
      <c r="AA1696" s="3353"/>
      <c r="AB1696" s="3353"/>
      <c r="AC1696" s="3353"/>
      <c r="AD1696" s="3353"/>
      <c r="AE1696" s="3353"/>
      <c r="AF1696" s="3353"/>
      <c r="AG1696" s="3353"/>
      <c r="AH1696" s="3353"/>
      <c r="AI1696" s="3353"/>
      <c r="AJ1696" s="3353"/>
      <c r="AK1696" s="3353"/>
      <c r="AL1696" s="3353"/>
    </row>
    <row r="1697" spans="1:38" s="3309" customFormat="1" x14ac:dyDescent="0.2">
      <c r="A1697" s="3459" t="s">
        <v>203</v>
      </c>
      <c r="B1697" s="3424">
        <f t="shared" ref="B1697:G1697" si="918">B1688*B1691*B1693*B1694*B1695*B1696</f>
        <v>4.5079999999999991</v>
      </c>
      <c r="C1697" s="3424">
        <f t="shared" si="918"/>
        <v>20.753600000000002</v>
      </c>
      <c r="D1697" s="3424">
        <f t="shared" si="918"/>
        <v>20.753600000000002</v>
      </c>
      <c r="E1697" s="3424">
        <f t="shared" si="918"/>
        <v>20.753600000000002</v>
      </c>
      <c r="F1697" s="3424">
        <f t="shared" si="918"/>
        <v>20.753600000000002</v>
      </c>
      <c r="G1697" s="3424">
        <f t="shared" si="918"/>
        <v>20.753600000000002</v>
      </c>
      <c r="H1697" s="3353"/>
      <c r="I1697" s="3353"/>
      <c r="J1697" s="3353"/>
      <c r="K1697" s="3353"/>
      <c r="L1697" s="3353"/>
      <c r="M1697" s="3353"/>
      <c r="N1697" s="3353"/>
      <c r="O1697" s="3353"/>
      <c r="P1697" s="3353"/>
      <c r="Q1697" s="3353"/>
      <c r="R1697" s="3353"/>
      <c r="S1697" s="3353"/>
      <c r="T1697" s="3353"/>
      <c r="U1697" s="3353"/>
      <c r="V1697" s="3353"/>
      <c r="W1697" s="3353"/>
      <c r="X1697" s="3353"/>
      <c r="Y1697" s="3353"/>
      <c r="Z1697" s="3353"/>
      <c r="AA1697" s="3353"/>
      <c r="AB1697" s="3353"/>
      <c r="AC1697" s="3353"/>
      <c r="AD1697" s="3353"/>
      <c r="AE1697" s="3353"/>
      <c r="AF1697" s="3353"/>
      <c r="AG1697" s="3353"/>
      <c r="AH1697" s="3353"/>
      <c r="AI1697" s="3353"/>
      <c r="AJ1697" s="3353"/>
      <c r="AK1697" s="3353"/>
      <c r="AL1697" s="3353"/>
    </row>
    <row r="1698" spans="1:38" s="3309" customFormat="1" x14ac:dyDescent="0.2">
      <c r="A1698" s="3411" t="s">
        <v>429</v>
      </c>
      <c r="B1698" s="3424">
        <f t="shared" ref="B1698:G1698" si="919">B1687/B1697</f>
        <v>0</v>
      </c>
      <c r="C1698" s="3424" t="e">
        <f t="shared" si="919"/>
        <v>#DIV/0!</v>
      </c>
      <c r="D1698" s="3424" t="e">
        <f t="shared" si="919"/>
        <v>#DIV/0!</v>
      </c>
      <c r="E1698" s="3424" t="e">
        <f t="shared" si="919"/>
        <v>#DIV/0!</v>
      </c>
      <c r="F1698" s="3424" t="e">
        <f t="shared" si="919"/>
        <v>#DIV/0!</v>
      </c>
      <c r="G1698" s="3424" t="e">
        <f t="shared" si="919"/>
        <v>#DIV/0!</v>
      </c>
      <c r="H1698" s="3353"/>
      <c r="I1698" s="3353"/>
      <c r="J1698" s="3353"/>
      <c r="K1698" s="3353"/>
      <c r="L1698" s="3353"/>
      <c r="M1698" s="3353"/>
      <c r="N1698" s="3353"/>
      <c r="O1698" s="3353"/>
      <c r="P1698" s="3353"/>
      <c r="Q1698" s="3353"/>
      <c r="R1698" s="3353"/>
      <c r="S1698" s="3353"/>
      <c r="T1698" s="3353"/>
      <c r="U1698" s="3353"/>
      <c r="V1698" s="3353"/>
      <c r="W1698" s="3353"/>
      <c r="X1698" s="3353"/>
      <c r="Y1698" s="3353"/>
      <c r="Z1698" s="3353"/>
      <c r="AA1698" s="3353"/>
      <c r="AB1698" s="3353"/>
      <c r="AC1698" s="3353"/>
      <c r="AD1698" s="3353"/>
      <c r="AE1698" s="3353"/>
      <c r="AF1698" s="3353"/>
      <c r="AG1698" s="3353"/>
      <c r="AH1698" s="3353"/>
      <c r="AI1698" s="3353"/>
      <c r="AJ1698" s="3353"/>
      <c r="AK1698" s="3353"/>
      <c r="AL1698" s="3353"/>
    </row>
    <row r="1699" spans="1:38" s="3309" customFormat="1" ht="25.5" x14ac:dyDescent="0.2">
      <c r="A1699" s="3416" t="s">
        <v>6108</v>
      </c>
      <c r="B1699" s="3375" t="e">
        <f t="shared" ref="B1699:G1699" si="920">B1660+B1668+B1680+B1684+B1698</f>
        <v>#DIV/0!</v>
      </c>
      <c r="C1699" s="3375" t="e">
        <f t="shared" si="920"/>
        <v>#DIV/0!</v>
      </c>
      <c r="D1699" s="3375" t="e">
        <f t="shared" si="920"/>
        <v>#DIV/0!</v>
      </c>
      <c r="E1699" s="3375" t="e">
        <f t="shared" si="920"/>
        <v>#DIV/0!</v>
      </c>
      <c r="F1699" s="3375" t="e">
        <f t="shared" si="920"/>
        <v>#DIV/0!</v>
      </c>
      <c r="G1699" s="3375" t="e">
        <f t="shared" si="920"/>
        <v>#DIV/0!</v>
      </c>
      <c r="H1699" s="3353"/>
      <c r="I1699" s="3353"/>
      <c r="J1699" s="3353"/>
      <c r="K1699" s="3353"/>
      <c r="L1699" s="3353"/>
      <c r="M1699" s="3353"/>
      <c r="N1699" s="3353"/>
      <c r="O1699" s="3353"/>
      <c r="P1699" s="3353"/>
      <c r="Q1699" s="3353"/>
      <c r="R1699" s="3353"/>
      <c r="S1699" s="3353"/>
      <c r="T1699" s="3353"/>
      <c r="U1699" s="3353"/>
      <c r="V1699" s="3353"/>
      <c r="W1699" s="3353"/>
      <c r="X1699" s="3353"/>
      <c r="Y1699" s="3353"/>
      <c r="Z1699" s="3353"/>
      <c r="AA1699" s="3353"/>
      <c r="AB1699" s="3353"/>
      <c r="AC1699" s="3353"/>
      <c r="AD1699" s="3353"/>
      <c r="AE1699" s="3353"/>
      <c r="AF1699" s="3353"/>
      <c r="AG1699" s="3353"/>
      <c r="AH1699" s="3353"/>
      <c r="AI1699" s="3353"/>
      <c r="AJ1699" s="3353"/>
      <c r="AK1699" s="3353"/>
      <c r="AL1699" s="3353"/>
    </row>
    <row r="1700" spans="1:38" s="3309" customFormat="1" ht="25.5" x14ac:dyDescent="0.2">
      <c r="A1700" s="3526" t="s">
        <v>6107</v>
      </c>
      <c r="B1700" s="3525"/>
      <c r="C1700" s="3525"/>
      <c r="D1700" s="3525"/>
      <c r="E1700" s="3525"/>
      <c r="F1700" s="3525"/>
      <c r="G1700" s="3525"/>
      <c r="H1700" s="3353"/>
      <c r="I1700" s="3353"/>
      <c r="J1700" s="3353"/>
      <c r="K1700" s="3353"/>
      <c r="L1700" s="3353"/>
      <c r="M1700" s="3353"/>
      <c r="N1700" s="3353"/>
      <c r="O1700" s="3353"/>
      <c r="P1700" s="3353"/>
      <c r="Q1700" s="3353"/>
      <c r="R1700" s="3353"/>
      <c r="S1700" s="3353"/>
      <c r="T1700" s="3353"/>
      <c r="U1700" s="3353"/>
      <c r="V1700" s="3353"/>
      <c r="W1700" s="3353"/>
      <c r="X1700" s="3353"/>
      <c r="Y1700" s="3353"/>
      <c r="Z1700" s="3353"/>
      <c r="AA1700" s="3353"/>
      <c r="AB1700" s="3353"/>
      <c r="AC1700" s="3353"/>
      <c r="AD1700" s="3353"/>
      <c r="AE1700" s="3353"/>
      <c r="AF1700" s="3353"/>
      <c r="AG1700" s="3353"/>
      <c r="AH1700" s="3353"/>
      <c r="AI1700" s="3353"/>
      <c r="AJ1700" s="3353"/>
      <c r="AK1700" s="3353"/>
      <c r="AL1700" s="3353"/>
    </row>
    <row r="1701" spans="1:38" s="3309" customFormat="1" x14ac:dyDescent="0.2">
      <c r="A1701" s="3524" t="s">
        <v>4150</v>
      </c>
      <c r="B1701" s="3424"/>
      <c r="C1701" s="3424"/>
      <c r="D1701" s="3424"/>
      <c r="E1701" s="3424"/>
      <c r="F1701" s="3424"/>
      <c r="G1701" s="3424"/>
      <c r="H1701" s="3353"/>
      <c r="I1701" s="3353"/>
      <c r="J1701" s="3353"/>
      <c r="K1701" s="3353"/>
      <c r="L1701" s="3353"/>
      <c r="M1701" s="3353"/>
      <c r="N1701" s="3353"/>
      <c r="O1701" s="3353"/>
      <c r="P1701" s="3353"/>
      <c r="Q1701" s="3353"/>
      <c r="R1701" s="3353"/>
      <c r="S1701" s="3353"/>
      <c r="T1701" s="3353"/>
      <c r="U1701" s="3353"/>
      <c r="V1701" s="3353"/>
      <c r="W1701" s="3353"/>
      <c r="X1701" s="3353"/>
      <c r="Y1701" s="3353"/>
      <c r="Z1701" s="3353"/>
      <c r="AA1701" s="3353"/>
      <c r="AB1701" s="3353"/>
      <c r="AC1701" s="3353"/>
      <c r="AD1701" s="3353"/>
      <c r="AE1701" s="3353"/>
      <c r="AF1701" s="3353"/>
      <c r="AG1701" s="3353"/>
      <c r="AH1701" s="3353"/>
      <c r="AI1701" s="3353"/>
      <c r="AJ1701" s="3353"/>
      <c r="AK1701" s="3353"/>
      <c r="AL1701" s="3353"/>
    </row>
    <row r="1702" spans="1:38" s="3309" customFormat="1" x14ac:dyDescent="0.2">
      <c r="A1702" s="3523" t="s">
        <v>6104</v>
      </c>
      <c r="B1702" s="3424" t="e">
        <f t="shared" ref="B1702:G1702" si="921">B1507</f>
        <v>#DIV/0!</v>
      </c>
      <c r="C1702" s="3424" t="e">
        <f t="shared" si="921"/>
        <v>#DIV/0!</v>
      </c>
      <c r="D1702" s="3424" t="e">
        <f t="shared" si="921"/>
        <v>#DIV/0!</v>
      </c>
      <c r="E1702" s="3424" t="e">
        <f t="shared" si="921"/>
        <v>#DIV/0!</v>
      </c>
      <c r="F1702" s="3424" t="e">
        <f t="shared" si="921"/>
        <v>#DIV/0!</v>
      </c>
      <c r="G1702" s="3424" t="e">
        <f t="shared" si="921"/>
        <v>#DIV/0!</v>
      </c>
      <c r="H1702" s="3353"/>
      <c r="I1702" s="3353"/>
      <c r="J1702" s="3353"/>
      <c r="K1702" s="3353"/>
      <c r="L1702" s="3353"/>
      <c r="M1702" s="3353"/>
      <c r="N1702" s="3353"/>
      <c r="O1702" s="3353"/>
      <c r="P1702" s="3353"/>
      <c r="Q1702" s="3353"/>
      <c r="R1702" s="3353"/>
      <c r="S1702" s="3353"/>
      <c r="T1702" s="3353"/>
      <c r="U1702" s="3353"/>
      <c r="V1702" s="3353"/>
      <c r="W1702" s="3353"/>
      <c r="X1702" s="3353"/>
      <c r="Y1702" s="3353"/>
      <c r="Z1702" s="3353"/>
      <c r="AA1702" s="3353"/>
      <c r="AB1702" s="3353"/>
      <c r="AC1702" s="3353"/>
      <c r="AD1702" s="3353"/>
      <c r="AE1702" s="3353"/>
      <c r="AF1702" s="3353"/>
      <c r="AG1702" s="3353"/>
      <c r="AH1702" s="3353"/>
      <c r="AI1702" s="3353"/>
      <c r="AJ1702" s="3353"/>
      <c r="AK1702" s="3353"/>
      <c r="AL1702" s="3353"/>
    </row>
    <row r="1703" spans="1:38" s="3309" customFormat="1" x14ac:dyDescent="0.2">
      <c r="A1703" s="3523" t="s">
        <v>6106</v>
      </c>
      <c r="B1703" s="3424" t="e">
        <f t="shared" ref="B1703:G1703" si="922">B1645</f>
        <v>#VALUE!</v>
      </c>
      <c r="C1703" s="3424" t="e">
        <f t="shared" si="922"/>
        <v>#DIV/0!</v>
      </c>
      <c r="D1703" s="3424" t="e">
        <f t="shared" si="922"/>
        <v>#DIV/0!</v>
      </c>
      <c r="E1703" s="3424" t="e">
        <f t="shared" si="922"/>
        <v>#DIV/0!</v>
      </c>
      <c r="F1703" s="3424" t="e">
        <f t="shared" si="922"/>
        <v>#DIV/0!</v>
      </c>
      <c r="G1703" s="3424" t="e">
        <f t="shared" si="922"/>
        <v>#DIV/0!</v>
      </c>
      <c r="H1703" s="3353"/>
      <c r="I1703" s="3353"/>
      <c r="J1703" s="3353"/>
      <c r="K1703" s="3353"/>
      <c r="L1703" s="3353"/>
      <c r="M1703" s="3353"/>
      <c r="N1703" s="3353"/>
      <c r="O1703" s="3353"/>
      <c r="P1703" s="3353"/>
      <c r="Q1703" s="3353"/>
      <c r="R1703" s="3353"/>
      <c r="S1703" s="3353"/>
      <c r="T1703" s="3353"/>
      <c r="U1703" s="3353"/>
      <c r="V1703" s="3353"/>
      <c r="W1703" s="3353"/>
      <c r="X1703" s="3353"/>
      <c r="Y1703" s="3353"/>
      <c r="Z1703" s="3353"/>
      <c r="AA1703" s="3353"/>
      <c r="AB1703" s="3353"/>
      <c r="AC1703" s="3353"/>
      <c r="AD1703" s="3353"/>
      <c r="AE1703" s="3353"/>
      <c r="AF1703" s="3353"/>
      <c r="AG1703" s="3353"/>
      <c r="AH1703" s="3353"/>
      <c r="AI1703" s="3353"/>
      <c r="AJ1703" s="3353"/>
      <c r="AK1703" s="3353"/>
      <c r="AL1703" s="3353"/>
    </row>
    <row r="1704" spans="1:38" s="3309" customFormat="1" x14ac:dyDescent="0.2">
      <c r="A1704" s="3524" t="s">
        <v>6105</v>
      </c>
      <c r="B1704" s="3424"/>
      <c r="C1704" s="3424"/>
      <c r="D1704" s="3424"/>
      <c r="E1704" s="3424"/>
      <c r="F1704" s="3424"/>
      <c r="G1704" s="3424"/>
      <c r="H1704" s="3353"/>
      <c r="I1704" s="3353"/>
      <c r="J1704" s="3353"/>
      <c r="K1704" s="3353"/>
      <c r="L1704" s="3353"/>
      <c r="M1704" s="3353"/>
      <c r="N1704" s="3353"/>
      <c r="O1704" s="3353"/>
      <c r="P1704" s="3353"/>
      <c r="Q1704" s="3353"/>
      <c r="R1704" s="3353"/>
      <c r="S1704" s="3353"/>
      <c r="T1704" s="3353"/>
      <c r="U1704" s="3353"/>
      <c r="V1704" s="3353"/>
      <c r="W1704" s="3353"/>
      <c r="X1704" s="3353"/>
      <c r="Y1704" s="3353"/>
      <c r="Z1704" s="3353"/>
      <c r="AA1704" s="3353"/>
      <c r="AB1704" s="3353"/>
      <c r="AC1704" s="3353"/>
      <c r="AD1704" s="3353"/>
      <c r="AE1704" s="3353"/>
      <c r="AF1704" s="3353"/>
      <c r="AG1704" s="3353"/>
      <c r="AH1704" s="3353"/>
      <c r="AI1704" s="3353"/>
      <c r="AJ1704" s="3353"/>
      <c r="AK1704" s="3353"/>
      <c r="AL1704" s="3353"/>
    </row>
    <row r="1705" spans="1:38" s="3309" customFormat="1" x14ac:dyDescent="0.2">
      <c r="A1705" s="3523" t="s">
        <v>6104</v>
      </c>
      <c r="B1705" s="3424" t="e">
        <f t="shared" ref="B1705:G1705" si="923">B1567</f>
        <v>#DIV/0!</v>
      </c>
      <c r="C1705" s="3424" t="e">
        <f t="shared" si="923"/>
        <v>#DIV/0!</v>
      </c>
      <c r="D1705" s="3424" t="e">
        <f t="shared" si="923"/>
        <v>#DIV/0!</v>
      </c>
      <c r="E1705" s="3424" t="e">
        <f t="shared" si="923"/>
        <v>#DIV/0!</v>
      </c>
      <c r="F1705" s="3424" t="e">
        <f t="shared" si="923"/>
        <v>#DIV/0!</v>
      </c>
      <c r="G1705" s="3424" t="e">
        <f t="shared" si="923"/>
        <v>#DIV/0!</v>
      </c>
      <c r="H1705" s="3353"/>
      <c r="I1705" s="3353"/>
      <c r="J1705" s="3353"/>
      <c r="K1705" s="3353"/>
      <c r="L1705" s="3353"/>
      <c r="M1705" s="3353"/>
      <c r="N1705" s="3353"/>
      <c r="O1705" s="3353"/>
      <c r="P1705" s="3353"/>
      <c r="Q1705" s="3353"/>
      <c r="R1705" s="3353"/>
      <c r="S1705" s="3353"/>
      <c r="T1705" s="3353"/>
      <c r="U1705" s="3353"/>
      <c r="V1705" s="3353"/>
      <c r="W1705" s="3353"/>
      <c r="X1705" s="3353"/>
      <c r="Y1705" s="3353"/>
      <c r="Z1705" s="3353"/>
      <c r="AA1705" s="3353"/>
      <c r="AB1705" s="3353"/>
      <c r="AC1705" s="3353"/>
      <c r="AD1705" s="3353"/>
      <c r="AE1705" s="3353"/>
      <c r="AF1705" s="3353"/>
      <c r="AG1705" s="3353"/>
      <c r="AH1705" s="3353"/>
      <c r="AI1705" s="3353"/>
      <c r="AJ1705" s="3353"/>
      <c r="AK1705" s="3353"/>
      <c r="AL1705" s="3353"/>
    </row>
    <row r="1706" spans="1:38" s="3309" customFormat="1" x14ac:dyDescent="0.2">
      <c r="A1706" s="3523" t="s">
        <v>6103</v>
      </c>
      <c r="B1706" s="3424" t="e">
        <f t="shared" ref="B1706:G1706" si="924">B1699</f>
        <v>#DIV/0!</v>
      </c>
      <c r="C1706" s="3424" t="e">
        <f t="shared" si="924"/>
        <v>#DIV/0!</v>
      </c>
      <c r="D1706" s="3424" t="e">
        <f t="shared" si="924"/>
        <v>#DIV/0!</v>
      </c>
      <c r="E1706" s="3424" t="e">
        <f t="shared" si="924"/>
        <v>#DIV/0!</v>
      </c>
      <c r="F1706" s="3424" t="e">
        <f t="shared" si="924"/>
        <v>#DIV/0!</v>
      </c>
      <c r="G1706" s="3424" t="e">
        <f t="shared" si="924"/>
        <v>#DIV/0!</v>
      </c>
      <c r="H1706" s="3353"/>
      <c r="I1706" s="3353"/>
      <c r="J1706" s="3353"/>
      <c r="K1706" s="3353"/>
      <c r="L1706" s="3353"/>
      <c r="M1706" s="3353"/>
      <c r="N1706" s="3353"/>
      <c r="O1706" s="3353"/>
      <c r="P1706" s="3353"/>
      <c r="Q1706" s="3353"/>
      <c r="R1706" s="3353"/>
      <c r="S1706" s="3353"/>
      <c r="T1706" s="3353"/>
      <c r="U1706" s="3353"/>
      <c r="V1706" s="3353"/>
      <c r="W1706" s="3353"/>
      <c r="X1706" s="3353"/>
      <c r="Y1706" s="3353"/>
      <c r="Z1706" s="3353"/>
      <c r="AA1706" s="3353"/>
      <c r="AB1706" s="3353"/>
      <c r="AC1706" s="3353"/>
      <c r="AD1706" s="3353"/>
      <c r="AE1706" s="3353"/>
      <c r="AF1706" s="3353"/>
      <c r="AG1706" s="3353"/>
      <c r="AH1706" s="3353"/>
      <c r="AI1706" s="3353"/>
      <c r="AJ1706" s="3353"/>
      <c r="AK1706" s="3353"/>
      <c r="AL1706" s="3353"/>
    </row>
    <row r="1707" spans="1:38" s="3309" customFormat="1" ht="25.5" x14ac:dyDescent="0.2">
      <c r="A1707" s="3416" t="s">
        <v>6102</v>
      </c>
      <c r="B1707" s="3424" t="e">
        <f t="shared" ref="B1707:G1707" si="925">IF(B1422=1,B1702,B1703)+IF(B1423=1,B1705,B1706)</f>
        <v>#VALUE!</v>
      </c>
      <c r="C1707" s="3424" t="e">
        <f t="shared" si="925"/>
        <v>#DIV/0!</v>
      </c>
      <c r="D1707" s="3424" t="e">
        <f t="shared" si="925"/>
        <v>#DIV/0!</v>
      </c>
      <c r="E1707" s="3424" t="e">
        <f t="shared" si="925"/>
        <v>#DIV/0!</v>
      </c>
      <c r="F1707" s="3424" t="e">
        <f t="shared" si="925"/>
        <v>#DIV/0!</v>
      </c>
      <c r="G1707" s="3424" t="e">
        <f t="shared" si="925"/>
        <v>#DIV/0!</v>
      </c>
      <c r="H1707" s="3353"/>
      <c r="I1707" s="3353"/>
      <c r="J1707" s="3353"/>
      <c r="K1707" s="3353"/>
      <c r="L1707" s="3353"/>
      <c r="M1707" s="3353"/>
      <c r="N1707" s="3353"/>
      <c r="O1707" s="3353"/>
      <c r="P1707" s="3353"/>
      <c r="Q1707" s="3353"/>
      <c r="R1707" s="3353"/>
      <c r="S1707" s="3353"/>
      <c r="T1707" s="3353"/>
      <c r="U1707" s="3353"/>
      <c r="V1707" s="3353"/>
      <c r="W1707" s="3353"/>
      <c r="X1707" s="3353"/>
      <c r="Y1707" s="3353"/>
      <c r="Z1707" s="3353"/>
      <c r="AA1707" s="3353"/>
      <c r="AB1707" s="3353"/>
      <c r="AC1707" s="3353"/>
      <c r="AD1707" s="3353"/>
      <c r="AE1707" s="3353"/>
      <c r="AF1707" s="3353"/>
      <c r="AG1707" s="3353"/>
      <c r="AH1707" s="3353"/>
      <c r="AI1707" s="3353"/>
      <c r="AJ1707" s="3353"/>
      <c r="AK1707" s="3353"/>
      <c r="AL1707" s="3353"/>
    </row>
    <row r="1708" spans="1:38" s="3309" customFormat="1" x14ac:dyDescent="0.2">
      <c r="A1708" s="3523"/>
      <c r="B1708" s="3424"/>
      <c r="C1708" s="3424"/>
      <c r="D1708" s="3424"/>
      <c r="E1708" s="3424"/>
      <c r="F1708" s="3424"/>
      <c r="G1708" s="3424"/>
      <c r="H1708" s="3353"/>
      <c r="I1708" s="3353"/>
      <c r="J1708" s="3353"/>
      <c r="K1708" s="3353"/>
      <c r="L1708" s="3353"/>
      <c r="M1708" s="3353"/>
      <c r="N1708" s="3353"/>
      <c r="O1708" s="3353"/>
      <c r="P1708" s="3353"/>
      <c r="Q1708" s="3353"/>
      <c r="R1708" s="3353"/>
      <c r="S1708" s="3353"/>
      <c r="T1708" s="3353"/>
      <c r="U1708" s="3353"/>
      <c r="V1708" s="3353"/>
      <c r="W1708" s="3353"/>
      <c r="X1708" s="3353"/>
      <c r="Y1708" s="3353"/>
      <c r="Z1708" s="3353"/>
      <c r="AA1708" s="3353"/>
      <c r="AB1708" s="3353"/>
      <c r="AC1708" s="3353"/>
      <c r="AD1708" s="3353"/>
      <c r="AE1708" s="3353"/>
      <c r="AF1708" s="3353"/>
      <c r="AG1708" s="3353"/>
      <c r="AH1708" s="3353"/>
      <c r="AI1708" s="3353"/>
      <c r="AJ1708" s="3353"/>
      <c r="AK1708" s="3353"/>
      <c r="AL1708" s="3353"/>
    </row>
    <row r="1709" spans="1:38" s="3309" customFormat="1" x14ac:dyDescent="0.2">
      <c r="A1709" s="3523"/>
      <c r="B1709" s="3424"/>
      <c r="C1709" s="3424"/>
      <c r="D1709" s="3424"/>
      <c r="E1709" s="3424"/>
      <c r="F1709" s="3424"/>
      <c r="G1709" s="3424"/>
      <c r="H1709" s="3353"/>
      <c r="I1709" s="3353"/>
      <c r="J1709" s="3353"/>
      <c r="K1709" s="3353"/>
      <c r="L1709" s="3353"/>
      <c r="M1709" s="3353"/>
      <c r="N1709" s="3353"/>
      <c r="O1709" s="3353"/>
      <c r="P1709" s="3353"/>
      <c r="Q1709" s="3353"/>
      <c r="R1709" s="3353"/>
      <c r="S1709" s="3353"/>
      <c r="T1709" s="3353"/>
      <c r="U1709" s="3353"/>
      <c r="V1709" s="3353"/>
      <c r="W1709" s="3353"/>
      <c r="X1709" s="3353"/>
      <c r="Y1709" s="3353"/>
      <c r="Z1709" s="3353"/>
      <c r="AA1709" s="3353"/>
      <c r="AB1709" s="3353"/>
      <c r="AC1709" s="3353"/>
      <c r="AD1709" s="3353"/>
      <c r="AE1709" s="3353"/>
      <c r="AF1709" s="3353"/>
      <c r="AG1709" s="3353"/>
      <c r="AH1709" s="3353"/>
      <c r="AI1709" s="3353"/>
      <c r="AJ1709" s="3353"/>
      <c r="AK1709" s="3353"/>
      <c r="AL1709" s="3353"/>
    </row>
    <row r="1710" spans="1:38" s="3309" customFormat="1" x14ac:dyDescent="0.2">
      <c r="A1710" s="3522" t="s">
        <v>6101</v>
      </c>
      <c r="B1710" s="3424"/>
      <c r="C1710" s="3412"/>
      <c r="D1710" s="3412"/>
      <c r="E1710" s="3412"/>
      <c r="F1710" s="3412"/>
      <c r="G1710" s="3412"/>
      <c r="H1710" s="3353"/>
      <c r="I1710" s="3353"/>
      <c r="J1710" s="3353"/>
      <c r="K1710" s="3353"/>
      <c r="L1710" s="3353"/>
      <c r="M1710" s="3353"/>
      <c r="N1710" s="3353"/>
      <c r="O1710" s="3353"/>
      <c r="P1710" s="3353"/>
      <c r="Q1710" s="3353"/>
      <c r="R1710" s="3353"/>
      <c r="S1710" s="3353"/>
      <c r="T1710" s="3353"/>
      <c r="U1710" s="3353"/>
      <c r="V1710" s="3353"/>
      <c r="W1710" s="3353"/>
      <c r="X1710" s="3353"/>
      <c r="Y1710" s="3353"/>
      <c r="Z1710" s="3353"/>
      <c r="AA1710" s="3353"/>
      <c r="AB1710" s="3353"/>
      <c r="AC1710" s="3353"/>
      <c r="AD1710" s="3353"/>
      <c r="AE1710" s="3353"/>
      <c r="AF1710" s="3353"/>
      <c r="AG1710" s="3353"/>
      <c r="AH1710" s="3353"/>
      <c r="AI1710" s="3353"/>
      <c r="AJ1710" s="3353"/>
      <c r="AK1710" s="3353"/>
      <c r="AL1710" s="3353"/>
    </row>
    <row r="1711" spans="1:38" s="3309" customFormat="1" x14ac:dyDescent="0.2">
      <c r="A1711" s="3401" t="s">
        <v>2994</v>
      </c>
      <c r="B1711" s="3424"/>
      <c r="C1711" s="3412"/>
      <c r="D1711" s="3412"/>
      <c r="E1711" s="3412"/>
      <c r="F1711" s="3412"/>
      <c r="G1711" s="3412"/>
      <c r="H1711" s="3353"/>
      <c r="I1711" s="3353"/>
      <c r="J1711" s="3353"/>
      <c r="K1711" s="3353"/>
      <c r="L1711" s="3353"/>
      <c r="M1711" s="3353"/>
      <c r="N1711" s="3353"/>
      <c r="O1711" s="3353"/>
      <c r="P1711" s="3353"/>
      <c r="Q1711" s="3353"/>
      <c r="R1711" s="3353"/>
      <c r="S1711" s="3353"/>
      <c r="T1711" s="3353"/>
      <c r="U1711" s="3353"/>
      <c r="V1711" s="3353"/>
      <c r="W1711" s="3353"/>
      <c r="X1711" s="3353"/>
      <c r="Y1711" s="3353"/>
      <c r="Z1711" s="3353"/>
      <c r="AA1711" s="3353"/>
      <c r="AB1711" s="3353"/>
      <c r="AC1711" s="3353"/>
      <c r="AD1711" s="3353"/>
      <c r="AE1711" s="3353"/>
      <c r="AF1711" s="3353"/>
      <c r="AG1711" s="3353"/>
      <c r="AH1711" s="3353"/>
      <c r="AI1711" s="3353"/>
      <c r="AJ1711" s="3353"/>
      <c r="AK1711" s="3353"/>
      <c r="AL1711" s="3353"/>
    </row>
    <row r="1712" spans="1:38" s="3309" customFormat="1" x14ac:dyDescent="0.2">
      <c r="A1712" s="3411" t="s">
        <v>2995</v>
      </c>
      <c r="B1712" s="3424" t="e">
        <f t="shared" ref="B1712:G1712" si="926">B1400*B743*B1401*B1406</f>
        <v>#VALUE!</v>
      </c>
      <c r="C1712" s="3424">
        <f t="shared" si="926"/>
        <v>0</v>
      </c>
      <c r="D1712" s="3424">
        <f t="shared" si="926"/>
        <v>0</v>
      </c>
      <c r="E1712" s="3424">
        <f t="shared" si="926"/>
        <v>0</v>
      </c>
      <c r="F1712" s="3424">
        <f t="shared" si="926"/>
        <v>0</v>
      </c>
      <c r="G1712" s="3424">
        <f t="shared" si="926"/>
        <v>0</v>
      </c>
      <c r="H1712" s="3353"/>
      <c r="I1712" s="3353"/>
      <c r="J1712" s="3353"/>
      <c r="K1712" s="3353"/>
      <c r="L1712" s="3353"/>
      <c r="M1712" s="3353"/>
      <c r="N1712" s="3353"/>
      <c r="O1712" s="3353"/>
      <c r="P1712" s="3353"/>
      <c r="Q1712" s="3353"/>
      <c r="R1712" s="3353"/>
      <c r="S1712" s="3353"/>
      <c r="T1712" s="3353"/>
      <c r="U1712" s="3353"/>
      <c r="V1712" s="3353"/>
      <c r="W1712" s="3353"/>
      <c r="X1712" s="3353"/>
      <c r="Y1712" s="3353"/>
      <c r="Z1712" s="3353"/>
      <c r="AA1712" s="3353"/>
      <c r="AB1712" s="3353"/>
      <c r="AC1712" s="3353"/>
      <c r="AD1712" s="3353"/>
      <c r="AE1712" s="3353"/>
      <c r="AF1712" s="3353"/>
      <c r="AG1712" s="3353"/>
      <c r="AH1712" s="3353"/>
      <c r="AI1712" s="3353"/>
      <c r="AJ1712" s="3353"/>
      <c r="AK1712" s="3353"/>
      <c r="AL1712" s="3353"/>
    </row>
    <row r="1713" spans="1:38" s="3309" customFormat="1" x14ac:dyDescent="0.2">
      <c r="A1713" s="3411" t="s">
        <v>425</v>
      </c>
      <c r="B1713" s="3424">
        <f t="shared" ref="B1713:G1713" si="927">INDEX($C$2728:$K$2731,B1714,B1715)</f>
        <v>11.83</v>
      </c>
      <c r="C1713" s="3424">
        <f t="shared" si="927"/>
        <v>8.81</v>
      </c>
      <c r="D1713" s="3424">
        <f t="shared" si="927"/>
        <v>8.17</v>
      </c>
      <c r="E1713" s="3424">
        <f t="shared" si="927"/>
        <v>7.55</v>
      </c>
      <c r="F1713" s="3424">
        <f t="shared" si="927"/>
        <v>6.9</v>
      </c>
      <c r="G1713" s="3424">
        <f t="shared" si="927"/>
        <v>6.25</v>
      </c>
      <c r="H1713" s="3353"/>
      <c r="I1713" s="3353"/>
      <c r="J1713" s="3353"/>
      <c r="K1713" s="3353"/>
      <c r="L1713" s="3353"/>
      <c r="M1713" s="3353"/>
      <c r="N1713" s="3353"/>
      <c r="O1713" s="3353"/>
      <c r="P1713" s="3353"/>
      <c r="Q1713" s="3353"/>
      <c r="R1713" s="3353"/>
      <c r="S1713" s="3353"/>
      <c r="T1713" s="3353"/>
      <c r="U1713" s="3353"/>
      <c r="V1713" s="3353"/>
      <c r="W1713" s="3353"/>
      <c r="X1713" s="3353"/>
      <c r="Y1713" s="3353"/>
      <c r="Z1713" s="3353"/>
      <c r="AA1713" s="3353"/>
      <c r="AB1713" s="3353"/>
      <c r="AC1713" s="3353"/>
      <c r="AD1713" s="3353"/>
      <c r="AE1713" s="3353"/>
      <c r="AF1713" s="3353"/>
      <c r="AG1713" s="3353"/>
      <c r="AH1713" s="3353"/>
      <c r="AI1713" s="3353"/>
      <c r="AJ1713" s="3353"/>
      <c r="AK1713" s="3353"/>
      <c r="AL1713" s="3353"/>
    </row>
    <row r="1714" spans="1:38" s="3309" customFormat="1" x14ac:dyDescent="0.2">
      <c r="A1714" s="3411" t="s">
        <v>2997</v>
      </c>
      <c r="B1714" s="3435">
        <f t="shared" ref="B1714:G1714" si="928">IF(B1400&lt;0.91,1,IF(B1400&lt;1.26,2,IF(B1400&lt;1.61,3,4)))</f>
        <v>4</v>
      </c>
      <c r="C1714" s="3435">
        <f t="shared" si="928"/>
        <v>1</v>
      </c>
      <c r="D1714" s="3435">
        <f t="shared" si="928"/>
        <v>1</v>
      </c>
      <c r="E1714" s="3435">
        <f t="shared" si="928"/>
        <v>1</v>
      </c>
      <c r="F1714" s="3435">
        <f t="shared" si="928"/>
        <v>1</v>
      </c>
      <c r="G1714" s="3435">
        <f t="shared" si="928"/>
        <v>1</v>
      </c>
      <c r="H1714" s="3353"/>
      <c r="I1714" s="3353"/>
      <c r="J1714" s="3353"/>
      <c r="K1714" s="3353"/>
      <c r="L1714" s="3353"/>
      <c r="M1714" s="3353"/>
      <c r="N1714" s="3353"/>
      <c r="O1714" s="3353"/>
      <c r="P1714" s="3353"/>
      <c r="Q1714" s="3353"/>
      <c r="R1714" s="3353"/>
      <c r="S1714" s="3353"/>
      <c r="T1714" s="3353"/>
      <c r="U1714" s="3353"/>
      <c r="V1714" s="3353"/>
      <c r="W1714" s="3353"/>
      <c r="X1714" s="3353"/>
      <c r="Y1714" s="3353"/>
      <c r="Z1714" s="3353"/>
      <c r="AA1714" s="3353"/>
      <c r="AB1714" s="3353"/>
      <c r="AC1714" s="3353"/>
      <c r="AD1714" s="3353"/>
      <c r="AE1714" s="3353"/>
      <c r="AF1714" s="3353"/>
      <c r="AG1714" s="3353"/>
      <c r="AH1714" s="3353"/>
      <c r="AI1714" s="3353"/>
      <c r="AJ1714" s="3353"/>
      <c r="AK1714" s="3353"/>
      <c r="AL1714" s="3353"/>
    </row>
    <row r="1715" spans="1:38" s="3309" customFormat="1" x14ac:dyDescent="0.2">
      <c r="A1715" s="3411" t="s">
        <v>2998</v>
      </c>
      <c r="B1715" s="3435">
        <f t="shared" ref="B1715:G1715" si="929">B1409</f>
        <v>5</v>
      </c>
      <c r="C1715" s="3435">
        <f t="shared" si="929"/>
        <v>0</v>
      </c>
      <c r="D1715" s="3435">
        <f t="shared" si="929"/>
        <v>0</v>
      </c>
      <c r="E1715" s="3435">
        <f t="shared" si="929"/>
        <v>0</v>
      </c>
      <c r="F1715" s="3435">
        <f t="shared" si="929"/>
        <v>0</v>
      </c>
      <c r="G1715" s="3435">
        <f t="shared" si="929"/>
        <v>0</v>
      </c>
      <c r="H1715" s="3353"/>
      <c r="I1715" s="3353"/>
      <c r="J1715" s="3353"/>
      <c r="K1715" s="3353"/>
      <c r="L1715" s="3353"/>
      <c r="M1715" s="3353"/>
      <c r="N1715" s="3353"/>
      <c r="O1715" s="3353"/>
      <c r="P1715" s="3353"/>
      <c r="Q1715" s="3353"/>
      <c r="R1715" s="3353"/>
      <c r="S1715" s="3353"/>
      <c r="T1715" s="3353"/>
      <c r="U1715" s="3353"/>
      <c r="V1715" s="3353"/>
      <c r="W1715" s="3353"/>
      <c r="X1715" s="3353"/>
      <c r="Y1715" s="3353"/>
      <c r="Z1715" s="3353"/>
      <c r="AA1715" s="3353"/>
      <c r="AB1715" s="3353"/>
      <c r="AC1715" s="3353"/>
      <c r="AD1715" s="3353"/>
      <c r="AE1715" s="3353"/>
      <c r="AF1715" s="3353"/>
      <c r="AG1715" s="3353"/>
      <c r="AH1715" s="3353"/>
      <c r="AI1715" s="3353"/>
      <c r="AJ1715" s="3353"/>
      <c r="AK1715" s="3353"/>
      <c r="AL1715" s="3353"/>
    </row>
    <row r="1716" spans="1:38" s="3309" customFormat="1" x14ac:dyDescent="0.2">
      <c r="A1716" s="3411" t="s">
        <v>428</v>
      </c>
      <c r="B1716" s="3424" t="e">
        <f t="shared" ref="B1716:G1716" si="930">B1717*B1718*B1720*B1395</f>
        <v>#VALUE!</v>
      </c>
      <c r="C1716" s="3424" t="e">
        <f t="shared" si="930"/>
        <v>#DIV/0!</v>
      </c>
      <c r="D1716" s="3424" t="e">
        <f t="shared" si="930"/>
        <v>#DIV/0!</v>
      </c>
      <c r="E1716" s="3424" t="e">
        <f t="shared" si="930"/>
        <v>#DIV/0!</v>
      </c>
      <c r="F1716" s="3424" t="e">
        <f t="shared" si="930"/>
        <v>#DIV/0!</v>
      </c>
      <c r="G1716" s="3424" t="e">
        <f t="shared" si="930"/>
        <v>#DIV/0!</v>
      </c>
      <c r="H1716" s="3353"/>
      <c r="I1716" s="3353"/>
      <c r="J1716" s="3353"/>
      <c r="K1716" s="3353"/>
      <c r="L1716" s="3353"/>
      <c r="M1716" s="3353"/>
      <c r="N1716" s="3353"/>
      <c r="O1716" s="3353"/>
      <c r="P1716" s="3353"/>
      <c r="Q1716" s="3353"/>
      <c r="R1716" s="3353"/>
      <c r="S1716" s="3353"/>
      <c r="T1716" s="3353"/>
      <c r="U1716" s="3353"/>
      <c r="V1716" s="3353"/>
      <c r="W1716" s="3353"/>
      <c r="X1716" s="3353"/>
      <c r="Y1716" s="3353"/>
      <c r="Z1716" s="3353"/>
      <c r="AA1716" s="3353"/>
      <c r="AB1716" s="3353"/>
      <c r="AC1716" s="3353"/>
      <c r="AD1716" s="3353"/>
      <c r="AE1716" s="3353"/>
      <c r="AF1716" s="3353"/>
      <c r="AG1716" s="3353"/>
      <c r="AH1716" s="3353"/>
      <c r="AI1716" s="3353"/>
      <c r="AJ1716" s="3353"/>
      <c r="AK1716" s="3353"/>
      <c r="AL1716" s="3353"/>
    </row>
    <row r="1717" spans="1:38" s="3309" customFormat="1" x14ac:dyDescent="0.2">
      <c r="A1717" s="3411" t="s">
        <v>2999</v>
      </c>
      <c r="B1717" s="3411">
        <f t="shared" ref="B1717:G1717" si="931">IF(B1410=1,1.05,1)</f>
        <v>1</v>
      </c>
      <c r="C1717" s="3411">
        <f t="shared" si="931"/>
        <v>1</v>
      </c>
      <c r="D1717" s="3411">
        <f t="shared" si="931"/>
        <v>1</v>
      </c>
      <c r="E1717" s="3411">
        <f t="shared" si="931"/>
        <v>1</v>
      </c>
      <c r="F1717" s="3411">
        <f t="shared" si="931"/>
        <v>1</v>
      </c>
      <c r="G1717" s="3411">
        <f t="shared" si="931"/>
        <v>1</v>
      </c>
      <c r="H1717" s="3353"/>
      <c r="I1717" s="3353"/>
      <c r="J1717" s="3353"/>
      <c r="K1717" s="3353"/>
      <c r="L1717" s="3353"/>
      <c r="M1717" s="3353"/>
      <c r="N1717" s="3353"/>
      <c r="O1717" s="3353"/>
      <c r="P1717" s="3353"/>
      <c r="Q1717" s="3353"/>
      <c r="R1717" s="3353"/>
      <c r="S1717" s="3353"/>
      <c r="T1717" s="3353"/>
      <c r="U1717" s="3353"/>
      <c r="V1717" s="3353"/>
      <c r="W1717" s="3353"/>
      <c r="X1717" s="3353"/>
      <c r="Y1717" s="3353"/>
      <c r="Z1717" s="3353"/>
      <c r="AA1717" s="3353"/>
      <c r="AB1717" s="3353"/>
      <c r="AC1717" s="3353"/>
      <c r="AD1717" s="3353"/>
      <c r="AE1717" s="3353"/>
      <c r="AF1717" s="3353"/>
      <c r="AG1717" s="3353"/>
      <c r="AH1717" s="3353"/>
      <c r="AI1717" s="3353"/>
      <c r="AJ1717" s="3353"/>
      <c r="AK1717" s="3353"/>
      <c r="AL1717" s="3353"/>
    </row>
    <row r="1718" spans="1:38" s="3309" customFormat="1" x14ac:dyDescent="0.2">
      <c r="A1718" s="3411" t="s">
        <v>3000</v>
      </c>
      <c r="B1718" s="3411" t="e">
        <f t="shared" ref="B1718:G1718" si="932">IF(B1719&lt;5.1,1,IF(B1719&lt;10.1,0.9,IF(B1719&lt;20.1,0.8,0.7)))</f>
        <v>#VALUE!</v>
      </c>
      <c r="C1718" s="3411" t="e">
        <f t="shared" si="932"/>
        <v>#DIV/0!</v>
      </c>
      <c r="D1718" s="3411" t="e">
        <f t="shared" si="932"/>
        <v>#DIV/0!</v>
      </c>
      <c r="E1718" s="3411" t="e">
        <f t="shared" si="932"/>
        <v>#DIV/0!</v>
      </c>
      <c r="F1718" s="3411" t="e">
        <f t="shared" si="932"/>
        <v>#DIV/0!</v>
      </c>
      <c r="G1718" s="3411" t="e">
        <f t="shared" si="932"/>
        <v>#DIV/0!</v>
      </c>
      <c r="H1718" s="3521"/>
      <c r="I1718" s="3521"/>
      <c r="J1718" s="3521"/>
      <c r="K1718" s="3353"/>
      <c r="L1718" s="3353"/>
      <c r="M1718" s="3353"/>
      <c r="N1718" s="3353"/>
      <c r="O1718" s="3353"/>
      <c r="P1718" s="3353"/>
      <c r="Q1718" s="3353"/>
      <c r="R1718" s="3353"/>
      <c r="S1718" s="3353"/>
      <c r="T1718" s="3353"/>
      <c r="U1718" s="3353"/>
      <c r="V1718" s="3353"/>
      <c r="W1718" s="3353"/>
      <c r="X1718" s="3353"/>
      <c r="Y1718" s="3353"/>
      <c r="Z1718" s="3353"/>
      <c r="AA1718" s="3353"/>
      <c r="AB1718" s="3353"/>
      <c r="AC1718" s="3353"/>
      <c r="AD1718" s="3353"/>
      <c r="AE1718" s="3353"/>
      <c r="AF1718" s="3353"/>
      <c r="AG1718" s="3353"/>
      <c r="AH1718" s="3353"/>
      <c r="AI1718" s="3353"/>
      <c r="AJ1718" s="3353"/>
      <c r="AK1718" s="3353"/>
      <c r="AL1718" s="3353"/>
    </row>
    <row r="1719" spans="1:38" s="3309" customFormat="1" x14ac:dyDescent="0.2">
      <c r="A1719" s="3412" t="s">
        <v>3001</v>
      </c>
      <c r="B1719" s="3379" t="e">
        <f t="shared" ref="B1719:G1719" si="933">(B1411/B1400)*100</f>
        <v>#VALUE!</v>
      </c>
      <c r="C1719" s="3379" t="e">
        <f t="shared" si="933"/>
        <v>#DIV/0!</v>
      </c>
      <c r="D1719" s="3379" t="e">
        <f t="shared" si="933"/>
        <v>#DIV/0!</v>
      </c>
      <c r="E1719" s="3379" t="e">
        <f t="shared" si="933"/>
        <v>#DIV/0!</v>
      </c>
      <c r="F1719" s="3379" t="e">
        <f t="shared" si="933"/>
        <v>#DIV/0!</v>
      </c>
      <c r="G1719" s="3379" t="e">
        <f t="shared" si="933"/>
        <v>#DIV/0!</v>
      </c>
      <c r="H1719" s="3353"/>
      <c r="I1719" s="3353"/>
      <c r="J1719" s="3353"/>
      <c r="K1719" s="3353"/>
      <c r="L1719" s="3353"/>
      <c r="M1719" s="3353"/>
      <c r="N1719" s="3353"/>
      <c r="O1719" s="3353"/>
      <c r="P1719" s="3353"/>
      <c r="Q1719" s="3353"/>
      <c r="R1719" s="3353"/>
      <c r="S1719" s="3353"/>
      <c r="T1719" s="3353"/>
      <c r="U1719" s="3353"/>
      <c r="V1719" s="3353"/>
      <c r="W1719" s="3353"/>
      <c r="X1719" s="3353"/>
      <c r="Y1719" s="3353"/>
      <c r="Z1719" s="3353"/>
      <c r="AA1719" s="3353"/>
      <c r="AB1719" s="3353"/>
      <c r="AC1719" s="3353"/>
      <c r="AD1719" s="3353"/>
      <c r="AE1719" s="3353"/>
      <c r="AF1719" s="3353"/>
      <c r="AG1719" s="3353"/>
      <c r="AH1719" s="3353"/>
      <c r="AI1719" s="3353"/>
      <c r="AJ1719" s="3353"/>
      <c r="AK1719" s="3353"/>
      <c r="AL1719" s="3353"/>
    </row>
    <row r="1720" spans="1:38" s="3309" customFormat="1" x14ac:dyDescent="0.2">
      <c r="A1720" s="3411" t="s">
        <v>3002</v>
      </c>
      <c r="B1720" s="3436">
        <f t="shared" ref="B1720:G1720" si="934">B1070</f>
        <v>0.7</v>
      </c>
      <c r="C1720" s="3436">
        <f t="shared" si="934"/>
        <v>0.7</v>
      </c>
      <c r="D1720" s="3436">
        <f t="shared" si="934"/>
        <v>0.7</v>
      </c>
      <c r="E1720" s="3436">
        <f t="shared" si="934"/>
        <v>0.7</v>
      </c>
      <c r="F1720" s="3436">
        <f t="shared" si="934"/>
        <v>0.7</v>
      </c>
      <c r="G1720" s="3436">
        <f t="shared" si="934"/>
        <v>0.7</v>
      </c>
      <c r="H1720" s="3353"/>
      <c r="I1720" s="3353"/>
      <c r="J1720" s="3353"/>
      <c r="K1720" s="3353"/>
      <c r="L1720" s="3353"/>
      <c r="M1720" s="3353"/>
      <c r="N1720" s="3353"/>
      <c r="O1720" s="3353"/>
      <c r="P1720" s="3353"/>
      <c r="Q1720" s="3353"/>
      <c r="R1720" s="3353"/>
      <c r="S1720" s="3353"/>
      <c r="T1720" s="3353"/>
      <c r="U1720" s="3353"/>
      <c r="V1720" s="3353"/>
      <c r="W1720" s="3353"/>
      <c r="X1720" s="3353"/>
      <c r="Y1720" s="3353"/>
      <c r="Z1720" s="3353"/>
      <c r="AA1720" s="3353"/>
      <c r="AB1720" s="3353"/>
      <c r="AC1720" s="3353"/>
      <c r="AD1720" s="3353"/>
      <c r="AE1720" s="3353"/>
      <c r="AF1720" s="3353"/>
      <c r="AG1720" s="3353"/>
      <c r="AH1720" s="3353"/>
      <c r="AI1720" s="3353"/>
      <c r="AJ1720" s="3353"/>
      <c r="AK1720" s="3353"/>
      <c r="AL1720" s="3353"/>
    </row>
    <row r="1721" spans="1:38" s="3309" customFormat="1" x14ac:dyDescent="0.2">
      <c r="A1721" s="3411" t="s">
        <v>830</v>
      </c>
      <c r="B1721" s="3379" t="e">
        <f t="shared" ref="B1721:G1721" si="935">B1713*B1716</f>
        <v>#VALUE!</v>
      </c>
      <c r="C1721" s="3379" t="e">
        <f t="shared" si="935"/>
        <v>#DIV/0!</v>
      </c>
      <c r="D1721" s="3379" t="e">
        <f t="shared" si="935"/>
        <v>#DIV/0!</v>
      </c>
      <c r="E1721" s="3379" t="e">
        <f t="shared" si="935"/>
        <v>#DIV/0!</v>
      </c>
      <c r="F1721" s="3379" t="e">
        <f t="shared" si="935"/>
        <v>#DIV/0!</v>
      </c>
      <c r="G1721" s="3379" t="e">
        <f t="shared" si="935"/>
        <v>#DIV/0!</v>
      </c>
      <c r="H1721" s="3353"/>
      <c r="I1721" s="3353"/>
      <c r="J1721" s="3517"/>
      <c r="K1721" s="3517"/>
      <c r="L1721" s="3517"/>
      <c r="M1721" s="3517"/>
      <c r="N1721" s="3517"/>
      <c r="O1721" s="3517"/>
      <c r="P1721" s="3517"/>
      <c r="Q1721" s="3517"/>
      <c r="R1721" s="3517"/>
      <c r="S1721" s="3353"/>
      <c r="T1721" s="3353"/>
      <c r="U1721" s="3353"/>
      <c r="V1721" s="3353"/>
      <c r="W1721" s="3353"/>
      <c r="X1721" s="3353"/>
      <c r="Y1721" s="3520" t="s">
        <v>1462</v>
      </c>
      <c r="Z1721" s="3520"/>
      <c r="AA1721" s="3520"/>
      <c r="AB1721" s="3520"/>
      <c r="AC1721" s="3520"/>
      <c r="AD1721" s="3520"/>
      <c r="AE1721" s="3520"/>
      <c r="AF1721" s="3353"/>
      <c r="AG1721" s="3353"/>
      <c r="AH1721" s="3353"/>
      <c r="AI1721" s="3353"/>
      <c r="AJ1721" s="3353"/>
      <c r="AK1721" s="3353"/>
      <c r="AL1721" s="3353"/>
    </row>
    <row r="1722" spans="1:38" s="3309" customFormat="1" x14ac:dyDescent="0.2">
      <c r="A1722" s="3401" t="s">
        <v>1794</v>
      </c>
      <c r="B1722" s="3382" t="e">
        <f t="shared" ref="B1722:G1722" si="936">B1712/B1721</f>
        <v>#VALUE!</v>
      </c>
      <c r="C1722" s="3382" t="e">
        <f t="shared" si="936"/>
        <v>#DIV/0!</v>
      </c>
      <c r="D1722" s="3382" t="e">
        <f t="shared" si="936"/>
        <v>#DIV/0!</v>
      </c>
      <c r="E1722" s="3382" t="e">
        <f t="shared" si="936"/>
        <v>#DIV/0!</v>
      </c>
      <c r="F1722" s="3382" t="e">
        <f t="shared" si="936"/>
        <v>#DIV/0!</v>
      </c>
      <c r="G1722" s="3382" t="e">
        <f t="shared" si="936"/>
        <v>#DIV/0!</v>
      </c>
      <c r="H1722" s="3353"/>
      <c r="I1722" s="3353"/>
      <c r="J1722" s="3517"/>
      <c r="K1722" s="3517"/>
      <c r="L1722" s="3517"/>
      <c r="M1722" s="3517"/>
      <c r="N1722" s="3517"/>
      <c r="O1722" s="3517"/>
      <c r="P1722" s="3517"/>
      <c r="Q1722" s="3517"/>
      <c r="R1722" s="3517"/>
      <c r="S1722" s="3353"/>
      <c r="T1722" s="3353"/>
      <c r="U1722" s="3353"/>
      <c r="V1722" s="3353"/>
      <c r="W1722" s="3353"/>
      <c r="X1722" s="3353"/>
      <c r="Y1722" s="3520" t="s">
        <v>1463</v>
      </c>
      <c r="Z1722" s="3520" t="s">
        <v>1464</v>
      </c>
      <c r="AA1722" s="3520"/>
      <c r="AB1722" s="3520"/>
      <c r="AC1722" s="3520"/>
      <c r="AD1722" s="3520"/>
      <c r="AE1722" s="3520"/>
      <c r="AF1722" s="3353"/>
      <c r="AG1722" s="3353"/>
      <c r="AH1722" s="3353"/>
      <c r="AI1722" s="3353"/>
      <c r="AJ1722" s="3353"/>
      <c r="AK1722" s="3353"/>
      <c r="AL1722" s="3353"/>
    </row>
    <row r="1723" spans="1:38" s="3309" customFormat="1" x14ac:dyDescent="0.2">
      <c r="A1723" s="3421" t="s">
        <v>1795</v>
      </c>
      <c r="B1723" s="3415" t="e">
        <f t="shared" ref="B1723:G1723" si="937">IF(B1419=1,B1722,0)</f>
        <v>#VALUE!</v>
      </c>
      <c r="C1723" s="3415">
        <f t="shared" si="937"/>
        <v>0</v>
      </c>
      <c r="D1723" s="3415">
        <f t="shared" si="937"/>
        <v>0</v>
      </c>
      <c r="E1723" s="3415">
        <f t="shared" si="937"/>
        <v>0</v>
      </c>
      <c r="F1723" s="3415">
        <f t="shared" si="937"/>
        <v>0</v>
      </c>
      <c r="G1723" s="3415">
        <f t="shared" si="937"/>
        <v>0</v>
      </c>
      <c r="H1723" s="3353"/>
      <c r="I1723" s="3353"/>
      <c r="J1723" s="3517"/>
      <c r="K1723" s="3517"/>
      <c r="L1723" s="3517"/>
      <c r="M1723" s="3517"/>
      <c r="N1723" s="3517"/>
      <c r="O1723" s="3517"/>
      <c r="P1723" s="3517"/>
      <c r="Q1723" s="3517"/>
      <c r="R1723" s="3517"/>
      <c r="S1723" s="3353"/>
      <c r="T1723" s="3353"/>
      <c r="U1723" s="3353"/>
      <c r="V1723" s="3353"/>
      <c r="W1723" s="3353"/>
      <c r="X1723" s="3353"/>
      <c r="Y1723" s="3520">
        <v>4</v>
      </c>
      <c r="Z1723" s="3520">
        <v>7.28</v>
      </c>
      <c r="AA1723" s="3520">
        <f t="shared" ref="AA1723:AA1730" si="938">Z1723/Y1723</f>
        <v>1.82</v>
      </c>
      <c r="AB1723" s="3520"/>
      <c r="AC1723" s="3520"/>
      <c r="AD1723" s="3520"/>
      <c r="AE1723" s="3520"/>
      <c r="AF1723" s="3353"/>
      <c r="AG1723" s="3353"/>
      <c r="AH1723" s="3353"/>
      <c r="AI1723" s="3353"/>
      <c r="AJ1723" s="3353"/>
      <c r="AK1723" s="3353"/>
      <c r="AL1723" s="3353"/>
    </row>
    <row r="1724" spans="1:38" s="3309" customFormat="1" x14ac:dyDescent="0.2">
      <c r="A1724" s="3411"/>
      <c r="B1724" s="3379"/>
      <c r="C1724" s="3412"/>
      <c r="D1724" s="3412"/>
      <c r="E1724" s="3412"/>
      <c r="F1724" s="3412"/>
      <c r="G1724" s="3412"/>
      <c r="H1724" s="3353"/>
      <c r="I1724" s="3353"/>
      <c r="J1724" s="3517"/>
      <c r="K1724" s="3517"/>
      <c r="L1724" s="3517"/>
      <c r="M1724" s="3517"/>
      <c r="N1724" s="3517"/>
      <c r="O1724" s="3517"/>
      <c r="P1724" s="3517"/>
      <c r="Q1724" s="3517"/>
      <c r="R1724" s="3517"/>
      <c r="S1724" s="3353"/>
      <c r="T1724" s="3353"/>
      <c r="U1724" s="3353"/>
      <c r="V1724" s="3353"/>
      <c r="W1724" s="3353"/>
      <c r="X1724" s="3353"/>
      <c r="Y1724" s="3520">
        <v>6</v>
      </c>
      <c r="Z1724" s="3520">
        <v>9.3000000000000007</v>
      </c>
      <c r="AA1724" s="3520">
        <f t="shared" si="938"/>
        <v>1.55</v>
      </c>
      <c r="AB1724" s="3520"/>
      <c r="AC1724" s="3520"/>
      <c r="AD1724" s="3520"/>
      <c r="AE1724" s="3520"/>
      <c r="AF1724" s="3353"/>
      <c r="AG1724" s="3353"/>
      <c r="AH1724" s="3353"/>
      <c r="AI1724" s="3353"/>
      <c r="AJ1724" s="3353"/>
      <c r="AK1724" s="3353"/>
      <c r="AL1724" s="3353"/>
    </row>
    <row r="1725" spans="1:38" s="3309" customFormat="1" x14ac:dyDescent="0.2">
      <c r="A1725" s="3401" t="s">
        <v>832</v>
      </c>
      <c r="B1725" s="3379"/>
      <c r="C1725" s="3412"/>
      <c r="D1725" s="3412"/>
      <c r="E1725" s="3412"/>
      <c r="F1725" s="3412"/>
      <c r="G1725" s="3412"/>
      <c r="H1725" s="3353"/>
      <c r="I1725" s="3353"/>
      <c r="J1725" s="3517"/>
      <c r="K1725" s="3517"/>
      <c r="L1725" s="3517"/>
      <c r="M1725" s="3517"/>
      <c r="N1725" s="3517"/>
      <c r="O1725" s="3517"/>
      <c r="P1725" s="3517"/>
      <c r="Q1725" s="3517"/>
      <c r="R1725" s="3517"/>
      <c r="S1725" s="3353"/>
      <c r="T1725" s="3353"/>
      <c r="U1725" s="3353"/>
      <c r="V1725" s="3353"/>
      <c r="W1725" s="3353"/>
      <c r="X1725" s="3353"/>
      <c r="Y1725" s="3520">
        <v>8</v>
      </c>
      <c r="Z1725" s="3520">
        <v>11.04</v>
      </c>
      <c r="AA1725" s="3520">
        <f t="shared" si="938"/>
        <v>1.38</v>
      </c>
      <c r="AB1725" s="3520"/>
      <c r="AC1725" s="3520"/>
      <c r="AD1725" s="3520"/>
      <c r="AE1725" s="3520"/>
      <c r="AF1725" s="3353"/>
      <c r="AG1725" s="3353"/>
      <c r="AH1725" s="3353"/>
      <c r="AI1725" s="3353"/>
      <c r="AJ1725" s="3353"/>
      <c r="AK1725" s="3353"/>
      <c r="AL1725" s="3353"/>
    </row>
    <row r="1726" spans="1:38" s="3309" customFormat="1" x14ac:dyDescent="0.2">
      <c r="A1726" s="3409" t="s">
        <v>833</v>
      </c>
      <c r="B1726" s="3429">
        <f t="shared" ref="B1726:G1726" si="939">B1076</f>
        <v>2.1</v>
      </c>
      <c r="C1726" s="3429">
        <f t="shared" si="939"/>
        <v>0</v>
      </c>
      <c r="D1726" s="3429">
        <f t="shared" si="939"/>
        <v>0</v>
      </c>
      <c r="E1726" s="3429">
        <f t="shared" si="939"/>
        <v>0</v>
      </c>
      <c r="F1726" s="3429">
        <f t="shared" si="939"/>
        <v>0</v>
      </c>
      <c r="G1726" s="3429">
        <f t="shared" si="939"/>
        <v>0</v>
      </c>
      <c r="H1726" s="3353"/>
      <c r="I1726" s="3353"/>
      <c r="J1726" s="3517"/>
      <c r="K1726" s="3517"/>
      <c r="L1726" s="3517"/>
      <c r="M1726" s="3517"/>
      <c r="N1726" s="3517"/>
      <c r="O1726" s="3517"/>
      <c r="P1726" s="3517"/>
      <c r="Q1726" s="3517"/>
      <c r="R1726" s="3517"/>
      <c r="S1726" s="3353"/>
      <c r="T1726" s="3353"/>
      <c r="U1726" s="3353"/>
      <c r="V1726" s="3353"/>
      <c r="W1726" s="3353"/>
      <c r="X1726" s="3353"/>
      <c r="Y1726" s="3520">
        <v>10</v>
      </c>
      <c r="Z1726" s="3520">
        <v>12.06</v>
      </c>
      <c r="AA1726" s="3520">
        <f t="shared" si="938"/>
        <v>1.206</v>
      </c>
      <c r="AB1726" s="3520"/>
      <c r="AC1726" s="3520"/>
      <c r="AD1726" s="3520"/>
      <c r="AE1726" s="3520"/>
      <c r="AF1726" s="3353"/>
      <c r="AG1726" s="3353"/>
      <c r="AH1726" s="3353"/>
      <c r="AI1726" s="3353"/>
      <c r="AJ1726" s="3353"/>
      <c r="AK1726" s="3353"/>
      <c r="AL1726" s="3353"/>
    </row>
    <row r="1727" spans="1:38" s="3309" customFormat="1" x14ac:dyDescent="0.2">
      <c r="A1727" s="3411" t="s">
        <v>834</v>
      </c>
      <c r="B1727" s="3491" t="e">
        <f>(B743*B1400*B1726)*B1401/B1916</f>
        <v>#VALUE!</v>
      </c>
      <c r="C1727" s="3491" t="e">
        <f>(C743*C1400*C1726)*C1401/C1916</f>
        <v>#DIV/0!</v>
      </c>
      <c r="D1727" s="3491" t="e">
        <f>(D743*D1400*D1726)*D1401/D1916</f>
        <v>#DIV/0!</v>
      </c>
      <c r="E1727" s="3491" t="e">
        <f>(E743*E1400*E1726)*E1401/E1916</f>
        <v>#DIV/0!</v>
      </c>
      <c r="F1727" s="3491" t="e">
        <f>(F743*F1400*F1726)*D1401/F1916</f>
        <v>#DIV/0!</v>
      </c>
      <c r="G1727" s="3491" t="e">
        <f>(G743*G1400*G1726)*E1401/G1916</f>
        <v>#DIV/0!</v>
      </c>
      <c r="H1727" s="3353"/>
      <c r="I1727" s="3353"/>
      <c r="J1727" s="3517"/>
      <c r="K1727" s="3517"/>
      <c r="L1727" s="3517"/>
      <c r="M1727" s="3517"/>
      <c r="N1727" s="3517"/>
      <c r="O1727" s="3517"/>
      <c r="P1727" s="3517"/>
      <c r="Q1727" s="3517"/>
      <c r="R1727" s="3517"/>
      <c r="S1727" s="3353"/>
      <c r="T1727" s="3353"/>
      <c r="U1727" s="3353"/>
      <c r="V1727" s="3353"/>
      <c r="W1727" s="3353"/>
      <c r="X1727" s="3353"/>
      <c r="Y1727" s="3520">
        <v>12</v>
      </c>
      <c r="Z1727" s="3520">
        <v>14.04</v>
      </c>
      <c r="AA1727" s="3520">
        <f t="shared" si="938"/>
        <v>1.17</v>
      </c>
      <c r="AB1727" s="3520"/>
      <c r="AC1727" s="3520"/>
      <c r="AD1727" s="3520"/>
      <c r="AE1727" s="3520"/>
      <c r="AF1727" s="3353"/>
      <c r="AG1727" s="3353"/>
      <c r="AH1727" s="3353"/>
      <c r="AI1727" s="3353"/>
      <c r="AJ1727" s="3353"/>
      <c r="AK1727" s="3353"/>
      <c r="AL1727" s="3353"/>
    </row>
    <row r="1728" spans="1:38" s="3309" customFormat="1" x14ac:dyDescent="0.2">
      <c r="A1728" s="3409" t="s">
        <v>5572</v>
      </c>
      <c r="B1728" s="3428">
        <f t="shared" ref="B1728:G1728" si="940">B1078</f>
        <v>3</v>
      </c>
      <c r="C1728" s="3428">
        <f t="shared" si="940"/>
        <v>0</v>
      </c>
      <c r="D1728" s="3428">
        <f t="shared" si="940"/>
        <v>0</v>
      </c>
      <c r="E1728" s="3428">
        <f t="shared" si="940"/>
        <v>0</v>
      </c>
      <c r="F1728" s="3428">
        <f t="shared" si="940"/>
        <v>0</v>
      </c>
      <c r="G1728" s="3428">
        <f t="shared" si="940"/>
        <v>0</v>
      </c>
      <c r="H1728" s="3353"/>
      <c r="I1728" s="3353"/>
      <c r="J1728" s="3517"/>
      <c r="K1728" s="3517"/>
      <c r="L1728" s="3517"/>
      <c r="M1728" s="3517"/>
      <c r="N1728" s="3517"/>
      <c r="O1728" s="3517"/>
      <c r="P1728" s="3517"/>
      <c r="Q1728" s="3517"/>
      <c r="R1728" s="3517"/>
      <c r="S1728" s="3353"/>
      <c r="T1728" s="3353"/>
      <c r="U1728" s="3353"/>
      <c r="V1728" s="3353"/>
      <c r="W1728" s="3353"/>
      <c r="X1728" s="3353"/>
      <c r="Y1728" s="3520">
        <v>14</v>
      </c>
      <c r="Z1728" s="3520">
        <v>15.4</v>
      </c>
      <c r="AA1728" s="3520">
        <f t="shared" si="938"/>
        <v>1.1000000000000001</v>
      </c>
      <c r="AB1728" s="3520"/>
      <c r="AC1728" s="3520"/>
      <c r="AD1728" s="3520"/>
      <c r="AE1728" s="3520"/>
      <c r="AF1728" s="3353"/>
      <c r="AG1728" s="3353"/>
      <c r="AH1728" s="3353"/>
      <c r="AI1728" s="3353"/>
      <c r="AJ1728" s="3353"/>
      <c r="AK1728" s="3353"/>
      <c r="AL1728" s="3353"/>
    </row>
    <row r="1729" spans="1:38" s="3309" customFormat="1" x14ac:dyDescent="0.2">
      <c r="A1729" s="3411" t="s">
        <v>425</v>
      </c>
      <c r="B1729" s="3435">
        <f t="shared" ref="B1729:G1729" si="941">IF(B1728&lt;2,B1733,IF(B1728&lt;3,B1734,IF(B1728&lt;4,B1735,IF(B1728&lt;5,B1736,B1737))))</f>
        <v>134</v>
      </c>
      <c r="C1729" s="3435">
        <f t="shared" si="941"/>
        <v>192</v>
      </c>
      <c r="D1729" s="3435">
        <f t="shared" si="941"/>
        <v>192</v>
      </c>
      <c r="E1729" s="3435">
        <f t="shared" si="941"/>
        <v>192</v>
      </c>
      <c r="F1729" s="3435">
        <f t="shared" si="941"/>
        <v>192</v>
      </c>
      <c r="G1729" s="3435">
        <f t="shared" si="941"/>
        <v>192</v>
      </c>
      <c r="H1729" s="3353"/>
      <c r="I1729" s="3353"/>
      <c r="J1729" s="3517"/>
      <c r="K1729" s="3517"/>
      <c r="L1729" s="3517"/>
      <c r="M1729" s="3517"/>
      <c r="N1729" s="3517"/>
      <c r="O1729" s="3517"/>
      <c r="P1729" s="3517"/>
      <c r="Q1729" s="3517"/>
      <c r="R1729" s="3517"/>
      <c r="S1729" s="3353"/>
      <c r="T1729" s="3353"/>
      <c r="U1729" s="3353"/>
      <c r="V1729" s="3353"/>
      <c r="W1729" s="3353"/>
      <c r="X1729" s="3353"/>
      <c r="Y1729" s="3520">
        <v>16</v>
      </c>
      <c r="Z1729" s="3520">
        <v>16.64</v>
      </c>
      <c r="AA1729" s="3520">
        <f t="shared" si="938"/>
        <v>1.04</v>
      </c>
      <c r="AB1729" s="3520"/>
      <c r="AC1729" s="3520"/>
      <c r="AD1729" s="3520"/>
      <c r="AE1729" s="3520"/>
      <c r="AF1729" s="3353"/>
      <c r="AG1729" s="3353"/>
      <c r="AH1729" s="3353"/>
      <c r="AI1729" s="3353"/>
      <c r="AJ1729" s="3353"/>
      <c r="AK1729" s="3353"/>
      <c r="AL1729" s="3353"/>
    </row>
    <row r="1730" spans="1:38" s="3309" customFormat="1" x14ac:dyDescent="0.2">
      <c r="A1730" s="3411" t="s">
        <v>835</v>
      </c>
      <c r="B1730" s="3435">
        <f t="shared" ref="B1730:G1730" si="942">IF(B1400&lt;0.61,1,IF(B1400&lt;0.81,2,IF(B1400&lt;1.41,3,IF(B1400&lt;1.81,4,5))))</f>
        <v>5</v>
      </c>
      <c r="C1730" s="3435">
        <f t="shared" si="942"/>
        <v>1</v>
      </c>
      <c r="D1730" s="3435">
        <f t="shared" si="942"/>
        <v>1</v>
      </c>
      <c r="E1730" s="3435">
        <f t="shared" si="942"/>
        <v>1</v>
      </c>
      <c r="F1730" s="3435">
        <f t="shared" si="942"/>
        <v>1</v>
      </c>
      <c r="G1730" s="3435">
        <f t="shared" si="942"/>
        <v>1</v>
      </c>
      <c r="H1730" s="3353"/>
      <c r="I1730" s="3353"/>
      <c r="J1730" s="3517"/>
      <c r="K1730" s="3517"/>
      <c r="L1730" s="3517"/>
      <c r="M1730" s="3517"/>
      <c r="N1730" s="3517"/>
      <c r="O1730" s="3517"/>
      <c r="P1730" s="3517"/>
      <c r="Q1730" s="3517"/>
      <c r="R1730" s="3517"/>
      <c r="S1730" s="3353"/>
      <c r="T1730" s="3353"/>
      <c r="U1730" s="3353"/>
      <c r="V1730" s="3353"/>
      <c r="W1730" s="3353"/>
      <c r="X1730" s="3353"/>
      <c r="Y1730" s="3520">
        <v>18</v>
      </c>
      <c r="Z1730" s="3520">
        <v>17.82</v>
      </c>
      <c r="AA1730" s="3520">
        <f t="shared" si="938"/>
        <v>0.99</v>
      </c>
      <c r="AB1730" s="3520"/>
      <c r="AC1730" s="3520"/>
      <c r="AD1730" s="3520"/>
      <c r="AE1730" s="3520"/>
      <c r="AF1730" s="3353"/>
      <c r="AG1730" s="3353"/>
      <c r="AH1730" s="3353"/>
      <c r="AI1730" s="3353"/>
      <c r="AJ1730" s="3353"/>
      <c r="AK1730" s="3353"/>
      <c r="AL1730" s="3353"/>
    </row>
    <row r="1731" spans="1:38" s="3309" customFormat="1" x14ac:dyDescent="0.2">
      <c r="A1731" s="3411" t="s">
        <v>836</v>
      </c>
      <c r="B1731" s="3435">
        <f t="shared" ref="B1731:G1731" si="943">IF(B1413&lt;25,1,IF(B1413&lt;46,2,3))</f>
        <v>3</v>
      </c>
      <c r="C1731" s="3435">
        <f t="shared" si="943"/>
        <v>1</v>
      </c>
      <c r="D1731" s="3435">
        <f t="shared" si="943"/>
        <v>1</v>
      </c>
      <c r="E1731" s="3435">
        <f t="shared" si="943"/>
        <v>1</v>
      </c>
      <c r="F1731" s="3435">
        <f t="shared" si="943"/>
        <v>1</v>
      </c>
      <c r="G1731" s="3435">
        <f t="shared" si="943"/>
        <v>1</v>
      </c>
      <c r="H1731" s="3353"/>
      <c r="I1731" s="3353"/>
      <c r="J1731" s="3517"/>
      <c r="K1731" s="3517"/>
      <c r="L1731" s="3517"/>
      <c r="M1731" s="3517"/>
      <c r="N1731" s="3517"/>
      <c r="O1731" s="3517"/>
      <c r="P1731" s="3517"/>
      <c r="Q1731" s="3517"/>
      <c r="R1731" s="3517"/>
      <c r="S1731" s="3353"/>
      <c r="T1731" s="3353"/>
      <c r="U1731" s="3353"/>
      <c r="V1731" s="3353"/>
      <c r="W1731" s="3353"/>
      <c r="X1731" s="3353"/>
      <c r="Y1731" s="3520"/>
      <c r="Z1731" s="3520"/>
      <c r="AA1731" s="3520">
        <f>SUM(AA1723:AA1730)</f>
        <v>10.255999999999998</v>
      </c>
      <c r="AB1731" s="3520"/>
      <c r="AC1731" s="3520"/>
      <c r="AD1731" s="3520"/>
      <c r="AE1731" s="3520"/>
      <c r="AF1731" s="3353"/>
      <c r="AG1731" s="3353"/>
      <c r="AH1731" s="3353"/>
      <c r="AI1731" s="3353"/>
      <c r="AJ1731" s="3353"/>
      <c r="AK1731" s="3353"/>
      <c r="AL1731" s="3353"/>
    </row>
    <row r="1732" spans="1:38" s="3309" customFormat="1" x14ac:dyDescent="0.2">
      <c r="A1732" s="3419" t="s">
        <v>1719</v>
      </c>
      <c r="B1732" s="3379"/>
      <c r="C1732" s="3412"/>
      <c r="D1732" s="3412"/>
      <c r="E1732" s="3412"/>
      <c r="F1732" s="3412"/>
      <c r="G1732" s="3412"/>
      <c r="H1732" s="3353"/>
      <c r="I1732" s="3353"/>
      <c r="J1732" s="3517"/>
      <c r="K1732" s="3517"/>
      <c r="L1732" s="3517"/>
      <c r="M1732" s="3517"/>
      <c r="N1732" s="3517"/>
      <c r="O1732" s="3517"/>
      <c r="P1732" s="3517"/>
      <c r="Q1732" s="3517"/>
      <c r="R1732" s="3517"/>
      <c r="S1732" s="3353"/>
      <c r="T1732" s="3353"/>
      <c r="U1732" s="3353"/>
      <c r="V1732" s="3353"/>
      <c r="W1732" s="3353"/>
      <c r="X1732" s="3353"/>
      <c r="Y1732" s="3520"/>
      <c r="Z1732" s="3520"/>
      <c r="AA1732" s="3520">
        <f>AA1731/8</f>
        <v>1.2819999999999998</v>
      </c>
      <c r="AB1732" s="3520"/>
      <c r="AC1732" s="3520"/>
      <c r="AD1732" s="3520"/>
      <c r="AE1732" s="3520"/>
      <c r="AF1732" s="3353"/>
      <c r="AG1732" s="3353"/>
      <c r="AH1732" s="3353"/>
      <c r="AI1732" s="3353"/>
      <c r="AJ1732" s="3353"/>
      <c r="AK1732" s="3353"/>
      <c r="AL1732" s="3353"/>
    </row>
    <row r="1733" spans="1:38" s="3309" customFormat="1" x14ac:dyDescent="0.2">
      <c r="A1733" s="3419" t="s">
        <v>837</v>
      </c>
      <c r="B1733" s="3435">
        <f t="shared" ref="B1733:G1733" si="944">INDEX($I$2742:$K$2746,B1730,B1731)</f>
        <v>230</v>
      </c>
      <c r="C1733" s="3435">
        <f t="shared" si="944"/>
        <v>192</v>
      </c>
      <c r="D1733" s="3435">
        <f t="shared" si="944"/>
        <v>192</v>
      </c>
      <c r="E1733" s="3435">
        <f t="shared" si="944"/>
        <v>192</v>
      </c>
      <c r="F1733" s="3435">
        <f t="shared" si="944"/>
        <v>192</v>
      </c>
      <c r="G1733" s="3435">
        <f t="shared" si="944"/>
        <v>192</v>
      </c>
      <c r="H1733" s="3353"/>
      <c r="I1733" s="3353"/>
      <c r="J1733" s="3517"/>
      <c r="K1733" s="3517"/>
      <c r="L1733" s="3517"/>
      <c r="M1733" s="3517"/>
      <c r="N1733" s="3517"/>
      <c r="O1733" s="3517"/>
      <c r="P1733" s="3517"/>
      <c r="Q1733" s="3517"/>
      <c r="R1733" s="3517"/>
      <c r="S1733" s="3353"/>
      <c r="T1733" s="3353"/>
      <c r="U1733" s="3353"/>
      <c r="V1733" s="3353"/>
      <c r="W1733" s="3353"/>
      <c r="X1733" s="3353"/>
      <c r="Y1733" s="3520"/>
      <c r="Z1733" s="3520"/>
      <c r="AA1733" s="3520"/>
      <c r="AB1733" s="3520"/>
      <c r="AC1733" s="3520"/>
      <c r="AD1733" s="3520"/>
      <c r="AE1733" s="3520"/>
      <c r="AF1733" s="3353"/>
      <c r="AG1733" s="3353"/>
      <c r="AH1733" s="3353"/>
      <c r="AI1733" s="3353"/>
      <c r="AJ1733" s="3353"/>
      <c r="AK1733" s="3353"/>
      <c r="AL1733" s="3353"/>
    </row>
    <row r="1734" spans="1:38" s="3309" customFormat="1" x14ac:dyDescent="0.2">
      <c r="A1734" s="3412" t="s">
        <v>491</v>
      </c>
      <c r="B1734" s="3435">
        <f t="shared" ref="B1734:G1734" si="945">INDEX($L$2742:$N$2746,B1730,B1731)</f>
        <v>175</v>
      </c>
      <c r="C1734" s="3435">
        <f t="shared" si="945"/>
        <v>157</v>
      </c>
      <c r="D1734" s="3435">
        <f t="shared" si="945"/>
        <v>157</v>
      </c>
      <c r="E1734" s="3435">
        <f t="shared" si="945"/>
        <v>157</v>
      </c>
      <c r="F1734" s="3435">
        <f t="shared" si="945"/>
        <v>157</v>
      </c>
      <c r="G1734" s="3435">
        <f t="shared" si="945"/>
        <v>157</v>
      </c>
      <c r="H1734" s="3353"/>
      <c r="I1734" s="3353"/>
      <c r="J1734" s="3517"/>
      <c r="K1734" s="3517"/>
      <c r="L1734" s="3517"/>
      <c r="M1734" s="3517"/>
      <c r="N1734" s="3517"/>
      <c r="O1734" s="3517"/>
      <c r="P1734" s="3517"/>
      <c r="Q1734" s="3517"/>
      <c r="R1734" s="3517"/>
      <c r="S1734" s="3353"/>
      <c r="T1734" s="3353"/>
      <c r="U1734" s="3353"/>
      <c r="V1734" s="3353"/>
      <c r="W1734" s="3353"/>
      <c r="X1734" s="3353"/>
      <c r="Y1734" s="3353"/>
      <c r="Z1734" s="3353"/>
      <c r="AA1734" s="3353"/>
      <c r="AB1734" s="3353"/>
      <c r="AC1734" s="3353"/>
      <c r="AD1734" s="3353"/>
      <c r="AE1734" s="3353"/>
      <c r="AF1734" s="3353"/>
      <c r="AG1734" s="3353"/>
      <c r="AH1734" s="3353"/>
      <c r="AI1734" s="3353"/>
      <c r="AJ1734" s="3353"/>
      <c r="AK1734" s="3353"/>
      <c r="AL1734" s="3353"/>
    </row>
    <row r="1735" spans="1:38" s="3309" customFormat="1" x14ac:dyDescent="0.2">
      <c r="A1735" s="3412" t="s">
        <v>492</v>
      </c>
      <c r="B1735" s="3435">
        <f t="shared" ref="B1735:G1735" si="946">INDEX($O$2742:$Q$2746,B1730,B1731)</f>
        <v>134</v>
      </c>
      <c r="C1735" s="3435">
        <f t="shared" si="946"/>
        <v>125</v>
      </c>
      <c r="D1735" s="3435">
        <f t="shared" si="946"/>
        <v>125</v>
      </c>
      <c r="E1735" s="3435">
        <f t="shared" si="946"/>
        <v>125</v>
      </c>
      <c r="F1735" s="3435">
        <f t="shared" si="946"/>
        <v>125</v>
      </c>
      <c r="G1735" s="3435">
        <f t="shared" si="946"/>
        <v>125</v>
      </c>
      <c r="H1735" s="3519"/>
      <c r="I1735" s="3353"/>
      <c r="J1735" s="3517"/>
      <c r="K1735" s="3517"/>
      <c r="L1735" s="3517"/>
      <c r="M1735" s="3517"/>
      <c r="N1735" s="3517"/>
      <c r="O1735" s="3517"/>
      <c r="P1735" s="3517"/>
      <c r="Q1735" s="3517"/>
      <c r="R1735" s="3517"/>
      <c r="S1735" s="3353"/>
      <c r="T1735" s="3353"/>
      <c r="U1735" s="3353"/>
      <c r="V1735" s="3353"/>
      <c r="W1735" s="3353"/>
      <c r="X1735" s="3353"/>
      <c r="Y1735" s="3353"/>
      <c r="Z1735" s="3353"/>
      <c r="AA1735" s="3353"/>
      <c r="AB1735" s="3353"/>
      <c r="AC1735" s="3353"/>
      <c r="AD1735" s="3353"/>
      <c r="AE1735" s="3353"/>
      <c r="AF1735" s="3353"/>
      <c r="AG1735" s="3353"/>
      <c r="AH1735" s="3353"/>
      <c r="AI1735" s="3353"/>
      <c r="AJ1735" s="3353"/>
      <c r="AK1735" s="3353"/>
      <c r="AL1735" s="3353"/>
    </row>
    <row r="1736" spans="1:38" s="3309" customFormat="1" x14ac:dyDescent="0.2">
      <c r="A1736" s="3412" t="s">
        <v>493</v>
      </c>
      <c r="B1736" s="3435">
        <f t="shared" ref="B1736:G1736" si="947">INDEX($R$2742:$T$2746,B1730,B1731)</f>
        <v>106</v>
      </c>
      <c r="C1736" s="3435">
        <f t="shared" si="947"/>
        <v>102</v>
      </c>
      <c r="D1736" s="3435">
        <f t="shared" si="947"/>
        <v>102</v>
      </c>
      <c r="E1736" s="3435">
        <f t="shared" si="947"/>
        <v>102</v>
      </c>
      <c r="F1736" s="3435">
        <f t="shared" si="947"/>
        <v>102</v>
      </c>
      <c r="G1736" s="3435">
        <f t="shared" si="947"/>
        <v>102</v>
      </c>
      <c r="H1736" s="3353"/>
      <c r="I1736" s="3353"/>
      <c r="J1736" s="3517"/>
      <c r="K1736" s="3517"/>
      <c r="L1736" s="3517"/>
      <c r="M1736" s="3517"/>
      <c r="N1736" s="3517"/>
      <c r="O1736" s="3517"/>
      <c r="P1736" s="3517"/>
      <c r="Q1736" s="3517"/>
      <c r="R1736" s="3517"/>
      <c r="S1736" s="3353"/>
      <c r="T1736" s="3353"/>
      <c r="U1736" s="3353"/>
      <c r="V1736" s="3353"/>
      <c r="W1736" s="3353"/>
      <c r="X1736" s="3353"/>
      <c r="Y1736" s="3353"/>
      <c r="Z1736" s="3353"/>
      <c r="AA1736" s="3353"/>
      <c r="AB1736" s="3353"/>
      <c r="AC1736" s="3353"/>
      <c r="AD1736" s="3353"/>
      <c r="AE1736" s="3353"/>
      <c r="AF1736" s="3353"/>
      <c r="AG1736" s="3353"/>
      <c r="AH1736" s="3353"/>
      <c r="AI1736" s="3353"/>
      <c r="AJ1736" s="3353"/>
      <c r="AK1736" s="3353"/>
      <c r="AL1736" s="3353"/>
    </row>
    <row r="1737" spans="1:38" s="3309" customFormat="1" x14ac:dyDescent="0.2">
      <c r="A1737" s="3412" t="s">
        <v>494</v>
      </c>
      <c r="B1737" s="3435">
        <f t="shared" ref="B1737:G1737" si="948">INDEX($U$2742:$W$2746,B1730,B1731)</f>
        <v>84</v>
      </c>
      <c r="C1737" s="3435">
        <f t="shared" si="948"/>
        <v>79</v>
      </c>
      <c r="D1737" s="3435">
        <f t="shared" si="948"/>
        <v>79</v>
      </c>
      <c r="E1737" s="3435">
        <f t="shared" si="948"/>
        <v>79</v>
      </c>
      <c r="F1737" s="3435">
        <f t="shared" si="948"/>
        <v>79</v>
      </c>
      <c r="G1737" s="3435">
        <f t="shared" si="948"/>
        <v>79</v>
      </c>
      <c r="H1737" s="3353"/>
      <c r="I1737" s="3353"/>
      <c r="J1737" s="3517"/>
      <c r="K1737" s="3517"/>
      <c r="L1737" s="3517"/>
      <c r="M1737" s="3517"/>
      <c r="N1737" s="3517"/>
      <c r="O1737" s="3517"/>
      <c r="P1737" s="3517"/>
      <c r="Q1737" s="3517"/>
      <c r="R1737" s="3517"/>
      <c r="S1737" s="3353"/>
      <c r="T1737" s="3353"/>
      <c r="U1737" s="3353"/>
      <c r="V1737" s="3353"/>
      <c r="W1737" s="3353"/>
      <c r="X1737" s="3353"/>
      <c r="Y1737" s="3353"/>
      <c r="Z1737" s="3353"/>
      <c r="AA1737" s="3353"/>
      <c r="AB1737" s="3353"/>
      <c r="AC1737" s="3353"/>
      <c r="AD1737" s="3353"/>
      <c r="AE1737" s="3353"/>
      <c r="AF1737" s="3353"/>
      <c r="AG1737" s="3353"/>
      <c r="AH1737" s="3353"/>
      <c r="AI1737" s="3353"/>
      <c r="AJ1737" s="3353"/>
      <c r="AK1737" s="3353"/>
      <c r="AL1737" s="3353"/>
    </row>
    <row r="1738" spans="1:38" s="3309" customFormat="1" x14ac:dyDescent="0.2">
      <c r="A1738" s="3411" t="s">
        <v>1322</v>
      </c>
      <c r="B1738" s="3379"/>
      <c r="C1738" s="3412"/>
      <c r="D1738" s="3412"/>
      <c r="E1738" s="3412"/>
      <c r="F1738" s="3412"/>
      <c r="G1738" s="3412"/>
      <c r="H1738" s="3353"/>
      <c r="I1738" s="3518"/>
      <c r="J1738" s="3517"/>
      <c r="K1738" s="3517"/>
      <c r="L1738" s="3517"/>
      <c r="M1738" s="3517"/>
      <c r="N1738" s="3517"/>
      <c r="O1738" s="3517"/>
      <c r="P1738" s="3517"/>
      <c r="Q1738" s="3517"/>
      <c r="R1738" s="3517"/>
      <c r="S1738" s="3353"/>
      <c r="T1738" s="3353"/>
      <c r="U1738" s="3353"/>
      <c r="V1738" s="3353"/>
      <c r="W1738" s="3353"/>
      <c r="X1738" s="3353"/>
      <c r="Y1738" s="3353"/>
      <c r="Z1738" s="3353"/>
      <c r="AA1738" s="3353"/>
      <c r="AB1738" s="3353"/>
      <c r="AC1738" s="3353"/>
      <c r="AD1738" s="3353"/>
      <c r="AE1738" s="3353"/>
      <c r="AF1738" s="3353"/>
      <c r="AG1738" s="3353"/>
      <c r="AH1738" s="3353"/>
      <c r="AI1738" s="3353"/>
      <c r="AJ1738" s="3353"/>
      <c r="AK1738" s="3353"/>
      <c r="AL1738" s="3353"/>
    </row>
    <row r="1739" spans="1:38" s="3309" customFormat="1" x14ac:dyDescent="0.2">
      <c r="A1739" s="3411" t="s">
        <v>495</v>
      </c>
      <c r="B1739" s="3400">
        <v>0.7</v>
      </c>
      <c r="C1739" s="3400">
        <v>0.7</v>
      </c>
      <c r="D1739" s="3400">
        <v>0.7</v>
      </c>
      <c r="E1739" s="3400">
        <v>0.7</v>
      </c>
      <c r="F1739" s="3400">
        <v>0.7</v>
      </c>
      <c r="G1739" s="3400">
        <v>0.7</v>
      </c>
      <c r="H1739" s="3353"/>
      <c r="I1739" s="3353"/>
      <c r="J1739" s="3353"/>
      <c r="K1739" s="3353"/>
      <c r="L1739" s="3353"/>
      <c r="M1739" s="3353"/>
      <c r="N1739" s="3353"/>
      <c r="O1739" s="3353"/>
      <c r="P1739" s="3353"/>
      <c r="Q1739" s="3353"/>
      <c r="R1739" s="3353"/>
      <c r="S1739" s="3353"/>
      <c r="T1739" s="3353"/>
      <c r="U1739" s="3353"/>
      <c r="V1739" s="3353"/>
      <c r="W1739" s="3353"/>
      <c r="X1739" s="3353"/>
      <c r="Y1739" s="3353"/>
      <c r="Z1739" s="3353"/>
      <c r="AA1739" s="3353"/>
      <c r="AB1739" s="3353"/>
      <c r="AC1739" s="3353"/>
      <c r="AD1739" s="3353"/>
      <c r="AE1739" s="3353"/>
      <c r="AF1739" s="3353"/>
      <c r="AG1739" s="3353"/>
      <c r="AH1739" s="3353"/>
      <c r="AI1739" s="3353"/>
      <c r="AJ1739" s="3353"/>
      <c r="AK1739" s="3353"/>
      <c r="AL1739" s="3353"/>
    </row>
    <row r="1740" spans="1:38" s="3309" customFormat="1" ht="25.5" x14ac:dyDescent="0.2">
      <c r="A1740" s="3464" t="s">
        <v>496</v>
      </c>
      <c r="B1740" s="3428">
        <f t="shared" ref="B1740:G1740" si="949">B1090</f>
        <v>0</v>
      </c>
      <c r="C1740" s="3428">
        <f t="shared" si="949"/>
        <v>0</v>
      </c>
      <c r="D1740" s="3428">
        <f t="shared" si="949"/>
        <v>0</v>
      </c>
      <c r="E1740" s="3428">
        <f t="shared" si="949"/>
        <v>0</v>
      </c>
      <c r="F1740" s="3428">
        <f t="shared" si="949"/>
        <v>0</v>
      </c>
      <c r="G1740" s="3428">
        <f t="shared" si="949"/>
        <v>0</v>
      </c>
      <c r="H1740" s="3353"/>
      <c r="I1740" s="3353"/>
      <c r="J1740" s="3353"/>
      <c r="K1740" s="3353"/>
      <c r="L1740" s="3353"/>
      <c r="M1740" s="3353"/>
      <c r="N1740" s="3353"/>
      <c r="O1740" s="3353"/>
      <c r="P1740" s="3353"/>
      <c r="Q1740" s="3353"/>
      <c r="R1740" s="3353"/>
      <c r="S1740" s="3353"/>
      <c r="T1740" s="3353"/>
      <c r="U1740" s="3353"/>
      <c r="V1740" s="3353"/>
      <c r="W1740" s="3353"/>
      <c r="X1740" s="3353"/>
      <c r="Y1740" s="3353"/>
      <c r="Z1740" s="3353"/>
      <c r="AA1740" s="3353"/>
      <c r="AB1740" s="3353"/>
      <c r="AC1740" s="3353"/>
      <c r="AD1740" s="3353"/>
      <c r="AE1740" s="3353"/>
      <c r="AF1740" s="3353"/>
      <c r="AG1740" s="3353"/>
      <c r="AH1740" s="3353"/>
      <c r="AI1740" s="3353"/>
      <c r="AJ1740" s="3353"/>
      <c r="AK1740" s="3353"/>
      <c r="AL1740" s="3353"/>
    </row>
    <row r="1741" spans="1:38" s="3309" customFormat="1" x14ac:dyDescent="0.2">
      <c r="A1741" s="3459" t="s">
        <v>2978</v>
      </c>
      <c r="B1741" s="3406">
        <f t="shared" ref="B1741:G1741" si="950">IF(B1740=1,0.8,1)</f>
        <v>1</v>
      </c>
      <c r="C1741" s="3406">
        <f t="shared" si="950"/>
        <v>1</v>
      </c>
      <c r="D1741" s="3406">
        <f t="shared" si="950"/>
        <v>1</v>
      </c>
      <c r="E1741" s="3406">
        <f t="shared" si="950"/>
        <v>1</v>
      </c>
      <c r="F1741" s="3406">
        <f t="shared" si="950"/>
        <v>1</v>
      </c>
      <c r="G1741" s="3406">
        <f t="shared" si="950"/>
        <v>1</v>
      </c>
      <c r="H1741" s="3353"/>
      <c r="I1741" s="3353"/>
      <c r="J1741" s="3353"/>
      <c r="K1741" s="3353"/>
      <c r="L1741" s="3353"/>
      <c r="M1741" s="3353"/>
      <c r="N1741" s="3353"/>
      <c r="O1741" s="3353"/>
      <c r="P1741" s="3353"/>
      <c r="Q1741" s="3353"/>
      <c r="R1741" s="3353"/>
      <c r="S1741" s="3353"/>
      <c r="T1741" s="3353"/>
      <c r="U1741" s="3353"/>
      <c r="V1741" s="3353"/>
      <c r="W1741" s="3353"/>
      <c r="X1741" s="3353"/>
      <c r="Y1741" s="3353"/>
      <c r="Z1741" s="3353"/>
      <c r="AA1741" s="3353"/>
      <c r="AB1741" s="3353"/>
      <c r="AC1741" s="3353"/>
      <c r="AD1741" s="3353"/>
      <c r="AE1741" s="3353"/>
      <c r="AF1741" s="3353"/>
      <c r="AG1741" s="3353"/>
      <c r="AH1741" s="3353"/>
      <c r="AI1741" s="3353"/>
      <c r="AJ1741" s="3353"/>
      <c r="AK1741" s="3353"/>
      <c r="AL1741" s="3353"/>
    </row>
    <row r="1742" spans="1:38" s="3309" customFormat="1" ht="63.75" x14ac:dyDescent="0.2">
      <c r="A1742" s="3516" t="s">
        <v>3968</v>
      </c>
      <c r="B1742" s="3428">
        <f t="shared" ref="B1742:G1742" si="951">B1092</f>
        <v>0</v>
      </c>
      <c r="C1742" s="3428">
        <f t="shared" si="951"/>
        <v>0</v>
      </c>
      <c r="D1742" s="3428">
        <f t="shared" si="951"/>
        <v>0</v>
      </c>
      <c r="E1742" s="3428">
        <f t="shared" si="951"/>
        <v>0</v>
      </c>
      <c r="F1742" s="3428">
        <f t="shared" si="951"/>
        <v>0</v>
      </c>
      <c r="G1742" s="3428">
        <f t="shared" si="951"/>
        <v>0</v>
      </c>
      <c r="H1742" s="3353"/>
      <c r="I1742" s="3353"/>
      <c r="J1742" s="3353"/>
      <c r="K1742" s="3353"/>
      <c r="L1742" s="3353"/>
      <c r="M1742" s="3353"/>
      <c r="N1742" s="3353"/>
      <c r="O1742" s="3353"/>
      <c r="P1742" s="3353"/>
      <c r="Q1742" s="3353"/>
      <c r="R1742" s="3353"/>
      <c r="S1742" s="3353"/>
      <c r="T1742" s="3353"/>
      <c r="U1742" s="3353"/>
      <c r="V1742" s="3353"/>
      <c r="W1742" s="3353"/>
      <c r="X1742" s="3353"/>
      <c r="Y1742" s="3353"/>
      <c r="Z1742" s="3353"/>
      <c r="AA1742" s="3353"/>
      <c r="AB1742" s="3353"/>
      <c r="AC1742" s="3353"/>
      <c r="AD1742" s="3353"/>
      <c r="AE1742" s="3353"/>
      <c r="AF1742" s="3353"/>
      <c r="AG1742" s="3353"/>
      <c r="AH1742" s="3353"/>
      <c r="AI1742" s="3353"/>
      <c r="AJ1742" s="3353"/>
      <c r="AK1742" s="3353"/>
      <c r="AL1742" s="3353"/>
    </row>
    <row r="1743" spans="1:38" s="3309" customFormat="1" x14ac:dyDescent="0.2">
      <c r="A1743" s="3459" t="s">
        <v>3969</v>
      </c>
      <c r="B1743" s="3406">
        <f t="shared" ref="B1743:G1743" si="952">IF(B1742=1,0.9,1)</f>
        <v>1</v>
      </c>
      <c r="C1743" s="3406">
        <f t="shared" si="952"/>
        <v>1</v>
      </c>
      <c r="D1743" s="3406">
        <f t="shared" si="952"/>
        <v>1</v>
      </c>
      <c r="E1743" s="3406">
        <f t="shared" si="952"/>
        <v>1</v>
      </c>
      <c r="F1743" s="3406">
        <f t="shared" si="952"/>
        <v>1</v>
      </c>
      <c r="G1743" s="3406">
        <f t="shared" si="952"/>
        <v>1</v>
      </c>
      <c r="H1743" s="3353"/>
      <c r="I1743" s="3353"/>
      <c r="J1743" s="3353"/>
      <c r="K1743" s="3353"/>
      <c r="L1743" s="3353"/>
      <c r="M1743" s="3353"/>
      <c r="N1743" s="3353"/>
      <c r="O1743" s="3353"/>
      <c r="P1743" s="3353"/>
      <c r="Q1743" s="3353"/>
      <c r="R1743" s="3353"/>
      <c r="S1743" s="3353"/>
      <c r="T1743" s="3353"/>
      <c r="U1743" s="3353"/>
      <c r="V1743" s="3353"/>
      <c r="W1743" s="3353"/>
      <c r="X1743" s="3353"/>
      <c r="Y1743" s="3353"/>
      <c r="Z1743" s="3353"/>
      <c r="AA1743" s="3353"/>
      <c r="AB1743" s="3353"/>
      <c r="AC1743" s="3353"/>
      <c r="AD1743" s="3353"/>
      <c r="AE1743" s="3353"/>
      <c r="AF1743" s="3353"/>
      <c r="AG1743" s="3353"/>
      <c r="AH1743" s="3353"/>
      <c r="AI1743" s="3353"/>
      <c r="AJ1743" s="3353"/>
      <c r="AK1743" s="3353"/>
      <c r="AL1743" s="3353"/>
    </row>
    <row r="1744" spans="1:38" s="3309" customFormat="1" ht="38.25" x14ac:dyDescent="0.2">
      <c r="A1744" s="3516" t="s">
        <v>1335</v>
      </c>
      <c r="B1744" s="3428">
        <f t="shared" ref="B1744:G1744" si="953">B1094</f>
        <v>0</v>
      </c>
      <c r="C1744" s="3428">
        <f t="shared" si="953"/>
        <v>0</v>
      </c>
      <c r="D1744" s="3428">
        <f t="shared" si="953"/>
        <v>0</v>
      </c>
      <c r="E1744" s="3428">
        <f t="shared" si="953"/>
        <v>0</v>
      </c>
      <c r="F1744" s="3428">
        <f t="shared" si="953"/>
        <v>0</v>
      </c>
      <c r="G1744" s="3428">
        <f t="shared" si="953"/>
        <v>0</v>
      </c>
      <c r="H1744" s="3353"/>
      <c r="I1744" s="3353"/>
      <c r="J1744" s="3353"/>
      <c r="K1744" s="3353"/>
      <c r="L1744" s="3353"/>
      <c r="M1744" s="3353"/>
      <c r="N1744" s="3353"/>
      <c r="O1744" s="3353"/>
      <c r="P1744" s="3353"/>
      <c r="Q1744" s="3353"/>
      <c r="R1744" s="3353"/>
      <c r="S1744" s="3353"/>
      <c r="T1744" s="3353"/>
      <c r="U1744" s="3353"/>
      <c r="V1744" s="3353"/>
      <c r="W1744" s="3353"/>
      <c r="X1744" s="3353"/>
      <c r="Y1744" s="3353"/>
      <c r="Z1744" s="3353"/>
      <c r="AA1744" s="3353"/>
      <c r="AB1744" s="3353"/>
      <c r="AC1744" s="3353"/>
      <c r="AD1744" s="3353"/>
      <c r="AE1744" s="3353"/>
      <c r="AF1744" s="3353"/>
      <c r="AG1744" s="3353"/>
      <c r="AH1744" s="3353"/>
      <c r="AI1744" s="3353"/>
      <c r="AJ1744" s="3353"/>
      <c r="AK1744" s="3353"/>
      <c r="AL1744" s="3353"/>
    </row>
    <row r="1745" spans="1:38" s="3309" customFormat="1" x14ac:dyDescent="0.2">
      <c r="A1745" s="3459" t="s">
        <v>1336</v>
      </c>
      <c r="B1745" s="3417">
        <f t="shared" ref="B1745:G1745" si="954">IF(B1744=1,0.95,1)</f>
        <v>1</v>
      </c>
      <c r="C1745" s="3417">
        <f t="shared" si="954"/>
        <v>1</v>
      </c>
      <c r="D1745" s="3417">
        <f t="shared" si="954"/>
        <v>1</v>
      </c>
      <c r="E1745" s="3417">
        <f t="shared" si="954"/>
        <v>1</v>
      </c>
      <c r="F1745" s="3417">
        <f t="shared" si="954"/>
        <v>1</v>
      </c>
      <c r="G1745" s="3417">
        <f t="shared" si="954"/>
        <v>1</v>
      </c>
      <c r="H1745" s="3353"/>
      <c r="I1745" s="3353"/>
      <c r="J1745" s="3353"/>
      <c r="K1745" s="3353"/>
      <c r="L1745" s="3353"/>
      <c r="M1745" s="3353"/>
      <c r="N1745" s="3353"/>
      <c r="O1745" s="3353"/>
      <c r="P1745" s="3353"/>
      <c r="Q1745" s="3353"/>
      <c r="R1745" s="3353"/>
      <c r="S1745" s="3353"/>
      <c r="T1745" s="3353"/>
      <c r="U1745" s="3353"/>
      <c r="V1745" s="3353"/>
      <c r="W1745" s="3353"/>
      <c r="X1745" s="3353"/>
      <c r="Y1745" s="3353"/>
      <c r="Z1745" s="3353"/>
      <c r="AA1745" s="3353"/>
      <c r="AB1745" s="3353"/>
      <c r="AC1745" s="3353"/>
      <c r="AD1745" s="3353"/>
      <c r="AE1745" s="3353"/>
      <c r="AF1745" s="3353"/>
      <c r="AG1745" s="3353"/>
      <c r="AH1745" s="3353"/>
      <c r="AI1745" s="3353"/>
      <c r="AJ1745" s="3353"/>
      <c r="AK1745" s="3353"/>
      <c r="AL1745" s="3353"/>
    </row>
    <row r="1746" spans="1:38" s="3309" customFormat="1" x14ac:dyDescent="0.2">
      <c r="A1746" s="3411" t="s">
        <v>1</v>
      </c>
      <c r="B1746" s="3417" t="e">
        <f t="shared" ref="B1746:G1746" si="955">B1729*B1739*B1741*B1743*B1745*B1395</f>
        <v>#VALUE!</v>
      </c>
      <c r="C1746" s="3417">
        <f t="shared" si="955"/>
        <v>0</v>
      </c>
      <c r="D1746" s="3417">
        <f t="shared" si="955"/>
        <v>0</v>
      </c>
      <c r="E1746" s="3417">
        <f t="shared" si="955"/>
        <v>0</v>
      </c>
      <c r="F1746" s="3417">
        <f t="shared" si="955"/>
        <v>0</v>
      </c>
      <c r="G1746" s="3417">
        <f t="shared" si="955"/>
        <v>0</v>
      </c>
      <c r="H1746" s="3353"/>
      <c r="I1746" s="3353"/>
      <c r="J1746" s="3353"/>
      <c r="K1746" s="3353"/>
      <c r="L1746" s="3353"/>
      <c r="M1746" s="3353"/>
      <c r="N1746" s="3353"/>
      <c r="O1746" s="3353"/>
      <c r="P1746" s="3353"/>
      <c r="Q1746" s="3353"/>
      <c r="R1746" s="3353"/>
      <c r="S1746" s="3353"/>
      <c r="T1746" s="3353"/>
      <c r="U1746" s="3353"/>
      <c r="V1746" s="3353"/>
      <c r="W1746" s="3353"/>
      <c r="X1746" s="3353"/>
      <c r="Y1746" s="3353"/>
      <c r="Z1746" s="3353"/>
      <c r="AA1746" s="3353"/>
      <c r="AB1746" s="3353"/>
      <c r="AC1746" s="3353"/>
      <c r="AD1746" s="3353"/>
      <c r="AE1746" s="3353"/>
      <c r="AF1746" s="3353"/>
      <c r="AG1746" s="3353"/>
      <c r="AH1746" s="3353"/>
      <c r="AI1746" s="3353"/>
      <c r="AJ1746" s="3353"/>
      <c r="AK1746" s="3353"/>
      <c r="AL1746" s="3353"/>
    </row>
    <row r="1747" spans="1:38" s="3309" customFormat="1" x14ac:dyDescent="0.2">
      <c r="A1747" s="3401" t="s">
        <v>1794</v>
      </c>
      <c r="B1747" s="3514" t="e">
        <f t="shared" ref="B1747:G1747" si="956">B1727/B1746</f>
        <v>#VALUE!</v>
      </c>
      <c r="C1747" s="3514" t="e">
        <f t="shared" si="956"/>
        <v>#DIV/0!</v>
      </c>
      <c r="D1747" s="3514" t="e">
        <f t="shared" si="956"/>
        <v>#DIV/0!</v>
      </c>
      <c r="E1747" s="3514" t="e">
        <f t="shared" si="956"/>
        <v>#DIV/0!</v>
      </c>
      <c r="F1747" s="3514" t="e">
        <f t="shared" si="956"/>
        <v>#DIV/0!</v>
      </c>
      <c r="G1747" s="3514" t="e">
        <f t="shared" si="956"/>
        <v>#DIV/0!</v>
      </c>
      <c r="H1747" s="3353"/>
      <c r="I1747" s="3353"/>
      <c r="J1747" s="3353"/>
      <c r="K1747" s="3353"/>
      <c r="L1747" s="3353"/>
      <c r="M1747" s="3353"/>
      <c r="N1747" s="3353"/>
      <c r="O1747" s="3353"/>
      <c r="P1747" s="3353"/>
      <c r="Q1747" s="3353"/>
      <c r="R1747" s="3353"/>
      <c r="S1747" s="3353"/>
      <c r="T1747" s="3353"/>
      <c r="U1747" s="3353"/>
      <c r="V1747" s="3353"/>
      <c r="W1747" s="3353"/>
      <c r="X1747" s="3353"/>
      <c r="Y1747" s="3353"/>
      <c r="Z1747" s="3353"/>
      <c r="AA1747" s="3353"/>
      <c r="AB1747" s="3353"/>
      <c r="AC1747" s="3353"/>
      <c r="AD1747" s="3353"/>
      <c r="AE1747" s="3353"/>
      <c r="AF1747" s="3353"/>
      <c r="AG1747" s="3353"/>
      <c r="AH1747" s="3353"/>
      <c r="AI1747" s="3353"/>
      <c r="AJ1747" s="3353"/>
      <c r="AK1747" s="3353"/>
      <c r="AL1747" s="3353"/>
    </row>
    <row r="1748" spans="1:38" s="3309" customFormat="1" x14ac:dyDescent="0.2">
      <c r="A1748" s="3421" t="s">
        <v>1795</v>
      </c>
      <c r="B1748" s="3490">
        <f t="shared" ref="B1748:G1748" si="957">IF(B1419=2,B1747,0)</f>
        <v>0</v>
      </c>
      <c r="C1748" s="3490">
        <f t="shared" si="957"/>
        <v>0</v>
      </c>
      <c r="D1748" s="3490">
        <f t="shared" si="957"/>
        <v>0</v>
      </c>
      <c r="E1748" s="3490">
        <f t="shared" si="957"/>
        <v>0</v>
      </c>
      <c r="F1748" s="3490">
        <f t="shared" si="957"/>
        <v>0</v>
      </c>
      <c r="G1748" s="3490">
        <f t="shared" si="957"/>
        <v>0</v>
      </c>
      <c r="H1748" s="3353"/>
      <c r="I1748" s="3353"/>
      <c r="J1748" s="3353"/>
      <c r="K1748" s="3353"/>
      <c r="L1748" s="3353"/>
      <c r="M1748" s="3353"/>
      <c r="N1748" s="3353"/>
      <c r="O1748" s="3353"/>
      <c r="P1748" s="3353"/>
      <c r="Q1748" s="3353"/>
      <c r="R1748" s="3353"/>
      <c r="S1748" s="3353"/>
      <c r="T1748" s="3353"/>
      <c r="U1748" s="3353"/>
      <c r="V1748" s="3353"/>
      <c r="W1748" s="3353"/>
      <c r="X1748" s="3353"/>
      <c r="Y1748" s="3353"/>
      <c r="Z1748" s="3353"/>
      <c r="AA1748" s="3353"/>
      <c r="AB1748" s="3353"/>
      <c r="AC1748" s="3353"/>
      <c r="AD1748" s="3353"/>
      <c r="AE1748" s="3353"/>
      <c r="AF1748" s="3353"/>
      <c r="AG1748" s="3353"/>
      <c r="AH1748" s="3353"/>
      <c r="AI1748" s="3353"/>
      <c r="AJ1748" s="3353"/>
      <c r="AK1748" s="3353"/>
      <c r="AL1748" s="3353"/>
    </row>
    <row r="1749" spans="1:38" s="3309" customFormat="1" x14ac:dyDescent="0.2">
      <c r="N1749" s="3353"/>
      <c r="O1749" s="3353"/>
      <c r="P1749" s="3353"/>
      <c r="Q1749" s="3353"/>
      <c r="R1749" s="3353"/>
      <c r="S1749" s="3353"/>
      <c r="T1749" s="3353"/>
      <c r="U1749" s="3353"/>
      <c r="V1749" s="3353"/>
      <c r="W1749" s="3353"/>
      <c r="X1749" s="3353"/>
      <c r="Y1749" s="3353"/>
      <c r="Z1749" s="3353"/>
      <c r="AA1749" s="3353"/>
      <c r="AB1749" s="3353"/>
      <c r="AC1749" s="3353"/>
      <c r="AD1749" s="3353"/>
      <c r="AE1749" s="3353"/>
      <c r="AF1749" s="3353"/>
      <c r="AG1749" s="3353"/>
      <c r="AH1749" s="3353"/>
      <c r="AI1749" s="3353"/>
      <c r="AJ1749" s="3353"/>
      <c r="AK1749" s="3353"/>
      <c r="AL1749" s="3353"/>
    </row>
    <row r="1750" spans="1:38" s="3309" customFormat="1" x14ac:dyDescent="0.2">
      <c r="N1750" s="3353"/>
      <c r="O1750" s="3353"/>
      <c r="P1750" s="3353"/>
      <c r="Q1750" s="3353"/>
      <c r="R1750" s="3353"/>
      <c r="S1750" s="3353"/>
      <c r="T1750" s="3353"/>
      <c r="U1750" s="3353"/>
      <c r="V1750" s="3353"/>
      <c r="W1750" s="3353"/>
      <c r="X1750" s="3353"/>
      <c r="Y1750" s="3353"/>
      <c r="Z1750" s="3353"/>
      <c r="AA1750" s="3353"/>
      <c r="AB1750" s="3353"/>
      <c r="AC1750" s="3353"/>
      <c r="AD1750" s="3353"/>
      <c r="AE1750" s="3353"/>
      <c r="AF1750" s="3353"/>
      <c r="AG1750" s="3353"/>
      <c r="AH1750" s="3353"/>
      <c r="AI1750" s="3353"/>
      <c r="AJ1750" s="3353"/>
      <c r="AK1750" s="3353"/>
      <c r="AL1750" s="3353"/>
    </row>
    <row r="1751" spans="1:38" s="3309" customFormat="1" x14ac:dyDescent="0.2">
      <c r="N1751" s="3353"/>
      <c r="O1751" s="3353"/>
      <c r="P1751" s="3353"/>
      <c r="Q1751" s="3353"/>
      <c r="R1751" s="3353"/>
      <c r="S1751" s="3353"/>
      <c r="T1751" s="3353"/>
      <c r="U1751" s="3353"/>
      <c r="V1751" s="3353"/>
      <c r="W1751" s="3353"/>
      <c r="X1751" s="3353"/>
      <c r="Y1751" s="3353"/>
      <c r="Z1751" s="3353"/>
      <c r="AA1751" s="3353"/>
      <c r="AB1751" s="3353"/>
      <c r="AC1751" s="3353"/>
      <c r="AD1751" s="3353"/>
      <c r="AE1751" s="3353"/>
      <c r="AF1751" s="3353"/>
      <c r="AG1751" s="3353"/>
      <c r="AH1751" s="3353"/>
      <c r="AI1751" s="3353"/>
      <c r="AJ1751" s="3353"/>
      <c r="AK1751" s="3353"/>
      <c r="AL1751" s="3353"/>
    </row>
    <row r="1752" spans="1:38" s="3309" customFormat="1" x14ac:dyDescent="0.2">
      <c r="N1752" s="3353"/>
      <c r="O1752" s="3353"/>
      <c r="P1752" s="3353"/>
      <c r="Q1752" s="3353"/>
      <c r="R1752" s="3353"/>
      <c r="S1752" s="3353"/>
      <c r="T1752" s="3353"/>
      <c r="U1752" s="3353"/>
      <c r="V1752" s="3353"/>
      <c r="W1752" s="3353"/>
      <c r="X1752" s="3353"/>
      <c r="Y1752" s="3353"/>
      <c r="Z1752" s="3353"/>
      <c r="AA1752" s="3353"/>
      <c r="AB1752" s="3353"/>
      <c r="AC1752" s="3353"/>
      <c r="AD1752" s="3353"/>
      <c r="AE1752" s="3353"/>
      <c r="AF1752" s="3353"/>
      <c r="AG1752" s="3353"/>
      <c r="AH1752" s="3353"/>
      <c r="AI1752" s="3353"/>
      <c r="AJ1752" s="3353"/>
      <c r="AK1752" s="3353"/>
      <c r="AL1752" s="3353"/>
    </row>
    <row r="1753" spans="1:38" s="3309" customFormat="1" x14ac:dyDescent="0.2">
      <c r="N1753" s="3353"/>
      <c r="O1753" s="3353"/>
      <c r="P1753" s="3353"/>
      <c r="Q1753" s="3353"/>
      <c r="R1753" s="3353"/>
      <c r="S1753" s="3353"/>
      <c r="T1753" s="3353"/>
      <c r="U1753" s="3353"/>
      <c r="V1753" s="3353"/>
      <c r="W1753" s="3353"/>
      <c r="X1753" s="3353"/>
      <c r="Y1753" s="3353"/>
      <c r="Z1753" s="3353"/>
      <c r="AA1753" s="3353"/>
      <c r="AB1753" s="3353"/>
      <c r="AC1753" s="3353"/>
      <c r="AD1753" s="3353"/>
      <c r="AE1753" s="3353"/>
      <c r="AF1753" s="3353"/>
      <c r="AG1753" s="3353"/>
      <c r="AH1753" s="3353"/>
      <c r="AI1753" s="3353"/>
      <c r="AJ1753" s="3353"/>
      <c r="AK1753" s="3353"/>
      <c r="AL1753" s="3353"/>
    </row>
    <row r="1754" spans="1:38" s="3309" customFormat="1" x14ac:dyDescent="0.2">
      <c r="N1754" s="3353"/>
      <c r="O1754" s="3353"/>
      <c r="P1754" s="3353"/>
      <c r="Q1754" s="3353"/>
      <c r="R1754" s="3353"/>
      <c r="S1754" s="3353"/>
      <c r="T1754" s="3353"/>
      <c r="U1754" s="3353"/>
      <c r="V1754" s="3353"/>
      <c r="W1754" s="3353"/>
      <c r="X1754" s="3353"/>
      <c r="Y1754" s="3353"/>
      <c r="Z1754" s="3353"/>
      <c r="AA1754" s="3353"/>
      <c r="AB1754" s="3353"/>
      <c r="AC1754" s="3353"/>
      <c r="AD1754" s="3353"/>
      <c r="AE1754" s="3353"/>
      <c r="AF1754" s="3353"/>
      <c r="AG1754" s="3353"/>
      <c r="AH1754" s="3353"/>
      <c r="AI1754" s="3353"/>
      <c r="AJ1754" s="3353"/>
      <c r="AK1754" s="3353"/>
      <c r="AL1754" s="3353"/>
    </row>
    <row r="1755" spans="1:38" s="3309" customFormat="1" x14ac:dyDescent="0.2">
      <c r="A1755" s="3401" t="s">
        <v>4352</v>
      </c>
      <c r="B1755" s="3468"/>
      <c r="C1755" s="3412"/>
      <c r="D1755" s="3412"/>
      <c r="E1755" s="3412"/>
      <c r="F1755" s="3412"/>
      <c r="G1755" s="3412"/>
      <c r="H1755" s="3353"/>
      <c r="I1755" s="3353"/>
      <c r="J1755" s="3353"/>
      <c r="K1755" s="3353"/>
      <c r="L1755" s="3353"/>
      <c r="M1755" s="3353"/>
      <c r="N1755" s="3353"/>
      <c r="O1755" s="3353"/>
      <c r="P1755" s="3353"/>
      <c r="Q1755" s="3353"/>
      <c r="R1755" s="3353"/>
      <c r="S1755" s="3353"/>
      <c r="T1755" s="3353"/>
      <c r="U1755" s="3353"/>
      <c r="V1755" s="3353"/>
      <c r="W1755" s="3353"/>
      <c r="X1755" s="3353"/>
      <c r="Y1755" s="3353"/>
      <c r="Z1755" s="3353"/>
      <c r="AA1755" s="3353"/>
      <c r="AB1755" s="3353"/>
      <c r="AC1755" s="3353"/>
      <c r="AD1755" s="3353"/>
      <c r="AE1755" s="3353"/>
      <c r="AF1755" s="3353"/>
      <c r="AG1755" s="3353"/>
      <c r="AH1755" s="3353"/>
      <c r="AI1755" s="3353"/>
      <c r="AJ1755" s="3353"/>
      <c r="AK1755" s="3353"/>
      <c r="AL1755" s="3353"/>
    </row>
    <row r="1756" spans="1:38" s="3309" customFormat="1" x14ac:dyDescent="0.2">
      <c r="A1756" s="3411" t="s">
        <v>2995</v>
      </c>
      <c r="B1756" s="3468" t="e">
        <f t="shared" ref="B1756:G1756" si="958">B1400*B1401*B743*B1405*B1406</f>
        <v>#VALUE!</v>
      </c>
      <c r="C1756" s="3468">
        <f t="shared" si="958"/>
        <v>0</v>
      </c>
      <c r="D1756" s="3468">
        <f t="shared" si="958"/>
        <v>0</v>
      </c>
      <c r="E1756" s="3468">
        <f t="shared" si="958"/>
        <v>0</v>
      </c>
      <c r="F1756" s="3468">
        <f t="shared" si="958"/>
        <v>0</v>
      </c>
      <c r="G1756" s="3468">
        <f t="shared" si="958"/>
        <v>0</v>
      </c>
      <c r="H1756" s="3353"/>
      <c r="I1756" s="3353"/>
      <c r="J1756" s="3353"/>
      <c r="K1756" s="3353"/>
      <c r="L1756" s="3353"/>
      <c r="M1756" s="3353"/>
      <c r="N1756" s="3353"/>
      <c r="O1756" s="3353"/>
      <c r="P1756" s="3353"/>
      <c r="Q1756" s="3353"/>
      <c r="R1756" s="3353"/>
      <c r="S1756" s="3353"/>
      <c r="T1756" s="3353"/>
      <c r="U1756" s="3353"/>
      <c r="V1756" s="3353"/>
      <c r="W1756" s="3353"/>
      <c r="X1756" s="3353"/>
      <c r="Y1756" s="3353"/>
      <c r="Z1756" s="3353"/>
      <c r="AA1756" s="3353"/>
      <c r="AB1756" s="3353"/>
      <c r="AC1756" s="3353"/>
      <c r="AD1756" s="3353"/>
      <c r="AE1756" s="3353"/>
      <c r="AF1756" s="3353"/>
      <c r="AG1756" s="3353"/>
      <c r="AH1756" s="3353"/>
      <c r="AI1756" s="3353"/>
      <c r="AJ1756" s="3353"/>
      <c r="AK1756" s="3353"/>
      <c r="AL1756" s="3353"/>
    </row>
    <row r="1757" spans="1:38" s="3309" customFormat="1" x14ac:dyDescent="0.2">
      <c r="A1757" s="3411" t="s">
        <v>4353</v>
      </c>
      <c r="B1757" s="3406">
        <f t="shared" ref="B1757:G1757" si="959">IF(B1400&lt;0.61,9.05,IF(B1400&lt;0.71,9.93,IF(B1400&lt;0.81,10.8,IF(B1400&lt;0.91,11.4,IF(B1400&lt;1.01,12,IF(B1400&lt;1.11,12.5,IF(B1400&lt;1.26,13.2,B1758)))))))</f>
        <v>16.5</v>
      </c>
      <c r="C1757" s="3406">
        <f t="shared" si="959"/>
        <v>9.0500000000000007</v>
      </c>
      <c r="D1757" s="3406">
        <f t="shared" si="959"/>
        <v>9.0500000000000007</v>
      </c>
      <c r="E1757" s="3406">
        <f t="shared" si="959"/>
        <v>9.0500000000000007</v>
      </c>
      <c r="F1757" s="3406">
        <f t="shared" si="959"/>
        <v>9.0500000000000007</v>
      </c>
      <c r="G1757" s="3406">
        <f t="shared" si="959"/>
        <v>9.0500000000000007</v>
      </c>
      <c r="H1757" s="3353"/>
      <c r="I1757" s="3353"/>
      <c r="J1757" s="3353"/>
      <c r="K1757" s="3353"/>
      <c r="L1757" s="3353"/>
      <c r="M1757" s="3353"/>
      <c r="N1757" s="3353"/>
      <c r="O1757" s="3353"/>
      <c r="P1757" s="3353"/>
      <c r="Q1757" s="3353"/>
      <c r="R1757" s="3353"/>
      <c r="S1757" s="3353"/>
      <c r="T1757" s="3353"/>
      <c r="U1757" s="3353"/>
      <c r="V1757" s="3353"/>
      <c r="W1757" s="3353"/>
      <c r="X1757" s="3353"/>
      <c r="Y1757" s="3353"/>
      <c r="Z1757" s="3353"/>
      <c r="AA1757" s="3353"/>
      <c r="AB1757" s="3353"/>
      <c r="AC1757" s="3353"/>
      <c r="AD1757" s="3353"/>
      <c r="AE1757" s="3353"/>
      <c r="AF1757" s="3353"/>
      <c r="AG1757" s="3353"/>
      <c r="AH1757" s="3353"/>
      <c r="AI1757" s="3353"/>
      <c r="AJ1757" s="3353"/>
      <c r="AK1757" s="3353"/>
      <c r="AL1757" s="3353"/>
    </row>
    <row r="1758" spans="1:38" s="3309" customFormat="1" x14ac:dyDescent="0.2">
      <c r="A1758" s="3411" t="s">
        <v>4354</v>
      </c>
      <c r="B1758" s="3406">
        <f t="shared" ref="B1758:G1758" si="960">IF(B1400&lt;1.41,13.8,IF(B1400&lt;1.81,14.7,16.5))</f>
        <v>16.5</v>
      </c>
      <c r="C1758" s="3406">
        <f t="shared" si="960"/>
        <v>13.8</v>
      </c>
      <c r="D1758" s="3406">
        <f t="shared" si="960"/>
        <v>13.8</v>
      </c>
      <c r="E1758" s="3406">
        <f t="shared" si="960"/>
        <v>13.8</v>
      </c>
      <c r="F1758" s="3406">
        <f t="shared" si="960"/>
        <v>13.8</v>
      </c>
      <c r="G1758" s="3406">
        <f t="shared" si="960"/>
        <v>13.8</v>
      </c>
      <c r="H1758" s="3353"/>
      <c r="I1758" s="3353"/>
      <c r="J1758" s="3353"/>
      <c r="K1758" s="3353"/>
      <c r="L1758" s="3353"/>
      <c r="M1758" s="3353"/>
      <c r="N1758" s="3353"/>
      <c r="O1758" s="3353"/>
      <c r="P1758" s="3353"/>
      <c r="Q1758" s="3353"/>
      <c r="R1758" s="3353"/>
      <c r="S1758" s="3353"/>
      <c r="T1758" s="3353"/>
      <c r="U1758" s="3353"/>
      <c r="V1758" s="3353"/>
      <c r="W1758" s="3353"/>
      <c r="X1758" s="3353"/>
      <c r="Y1758" s="3353"/>
      <c r="Z1758" s="3353"/>
      <c r="AA1758" s="3353"/>
      <c r="AB1758" s="3353"/>
      <c r="AC1758" s="3353"/>
      <c r="AD1758" s="3353"/>
      <c r="AE1758" s="3353"/>
      <c r="AF1758" s="3353"/>
      <c r="AG1758" s="3353"/>
      <c r="AH1758" s="3353"/>
      <c r="AI1758" s="3353"/>
      <c r="AJ1758" s="3353"/>
      <c r="AK1758" s="3353"/>
      <c r="AL1758" s="3353"/>
    </row>
    <row r="1759" spans="1:38" s="3309" customFormat="1" x14ac:dyDescent="0.2">
      <c r="A1759" s="3411" t="s">
        <v>1322</v>
      </c>
      <c r="B1759" s="3406"/>
      <c r="C1759" s="3412"/>
      <c r="D1759" s="3412"/>
      <c r="E1759" s="3412"/>
      <c r="F1759" s="3412"/>
      <c r="G1759" s="3412"/>
      <c r="H1759" s="3353"/>
      <c r="I1759" s="3353"/>
      <c r="J1759" s="3353"/>
      <c r="K1759" s="3353"/>
      <c r="L1759" s="3353"/>
      <c r="M1759" s="3353"/>
      <c r="N1759" s="3353"/>
      <c r="O1759" s="3353"/>
      <c r="P1759" s="3353"/>
      <c r="Q1759" s="3353"/>
      <c r="R1759" s="3353"/>
      <c r="S1759" s="3353"/>
      <c r="T1759" s="3353"/>
      <c r="U1759" s="3353"/>
      <c r="V1759" s="3353"/>
      <c r="W1759" s="3353"/>
      <c r="X1759" s="3353"/>
      <c r="Y1759" s="3353"/>
      <c r="Z1759" s="3353"/>
      <c r="AA1759" s="3353"/>
      <c r="AB1759" s="3353"/>
      <c r="AC1759" s="3353"/>
      <c r="AD1759" s="3353"/>
      <c r="AE1759" s="3353"/>
      <c r="AF1759" s="3353"/>
      <c r="AG1759" s="3353"/>
      <c r="AH1759" s="3353"/>
      <c r="AI1759" s="3353"/>
      <c r="AJ1759" s="3353"/>
      <c r="AK1759" s="3353"/>
      <c r="AL1759" s="3353"/>
    </row>
    <row r="1760" spans="1:38" s="3309" customFormat="1" x14ac:dyDescent="0.2">
      <c r="A1760" s="3419" t="s">
        <v>4355</v>
      </c>
      <c r="B1760" s="3406">
        <f t="shared" ref="B1760:G1760" si="961">1.5*B743</f>
        <v>0</v>
      </c>
      <c r="C1760" s="3406">
        <f t="shared" si="961"/>
        <v>0</v>
      </c>
      <c r="D1760" s="3406">
        <f t="shared" si="961"/>
        <v>0</v>
      </c>
      <c r="E1760" s="3406">
        <f t="shared" si="961"/>
        <v>0</v>
      </c>
      <c r="F1760" s="3406">
        <f t="shared" si="961"/>
        <v>0</v>
      </c>
      <c r="G1760" s="3406">
        <f t="shared" si="961"/>
        <v>0</v>
      </c>
      <c r="H1760" s="3353"/>
      <c r="I1760" s="3353"/>
      <c r="J1760" s="3353"/>
      <c r="K1760" s="3353"/>
      <c r="L1760" s="3353"/>
      <c r="M1760" s="3353"/>
      <c r="N1760" s="3353"/>
      <c r="O1760" s="3353"/>
      <c r="P1760" s="3353"/>
      <c r="Q1760" s="3353"/>
      <c r="R1760" s="3353"/>
      <c r="S1760" s="3353"/>
      <c r="T1760" s="3353"/>
      <c r="U1760" s="3353"/>
      <c r="V1760" s="3353"/>
      <c r="W1760" s="3353"/>
      <c r="X1760" s="3353"/>
      <c r="Y1760" s="3353"/>
      <c r="Z1760" s="3353"/>
      <c r="AA1760" s="3353"/>
      <c r="AB1760" s="3353"/>
      <c r="AC1760" s="3353"/>
      <c r="AD1760" s="3353"/>
      <c r="AE1760" s="3353"/>
      <c r="AF1760" s="3353"/>
      <c r="AG1760" s="3353"/>
      <c r="AH1760" s="3353"/>
      <c r="AI1760" s="3353"/>
      <c r="AJ1760" s="3353"/>
      <c r="AK1760" s="3353"/>
      <c r="AL1760" s="3353"/>
    </row>
    <row r="1761" spans="1:38" s="3309" customFormat="1" x14ac:dyDescent="0.2">
      <c r="A1761" s="3411" t="s">
        <v>4356</v>
      </c>
      <c r="B1761" s="3417">
        <f t="shared" ref="B1761:G1761" si="962">IF(B1760&lt;6.1,0.85,0.9)</f>
        <v>0.85</v>
      </c>
      <c r="C1761" s="3417">
        <f t="shared" si="962"/>
        <v>0.85</v>
      </c>
      <c r="D1761" s="3417">
        <f t="shared" si="962"/>
        <v>0.85</v>
      </c>
      <c r="E1761" s="3417">
        <f t="shared" si="962"/>
        <v>0.85</v>
      </c>
      <c r="F1761" s="3417">
        <f t="shared" si="962"/>
        <v>0.85</v>
      </c>
      <c r="G1761" s="3417">
        <f t="shared" si="962"/>
        <v>0.85</v>
      </c>
      <c r="H1761" s="3353"/>
      <c r="I1761" s="3353"/>
      <c r="J1761" s="3353"/>
      <c r="K1761" s="3353"/>
      <c r="L1761" s="3353"/>
      <c r="M1761" s="3353"/>
      <c r="N1761" s="3353"/>
      <c r="O1761" s="3353"/>
      <c r="P1761" s="3353"/>
      <c r="Q1761" s="3353"/>
      <c r="R1761" s="3353"/>
      <c r="S1761" s="3353"/>
      <c r="T1761" s="3353"/>
      <c r="U1761" s="3353"/>
      <c r="V1761" s="3353"/>
      <c r="W1761" s="3353"/>
      <c r="X1761" s="3353"/>
      <c r="Y1761" s="3353"/>
      <c r="Z1761" s="3353"/>
      <c r="AA1761" s="3353"/>
      <c r="AB1761" s="3353"/>
      <c r="AC1761" s="3353"/>
      <c r="AD1761" s="3353"/>
      <c r="AE1761" s="3353"/>
      <c r="AF1761" s="3353"/>
      <c r="AG1761" s="3353"/>
      <c r="AH1761" s="3353"/>
      <c r="AI1761" s="3353"/>
      <c r="AJ1761" s="3353"/>
      <c r="AK1761" s="3353"/>
      <c r="AL1761" s="3353"/>
    </row>
    <row r="1762" spans="1:38" s="3309" customFormat="1" x14ac:dyDescent="0.2">
      <c r="A1762" s="3411" t="s">
        <v>4357</v>
      </c>
      <c r="B1762" s="3417">
        <f t="shared" ref="B1762:G1762" si="963">IF(B1425=1,0.9,1)</f>
        <v>1</v>
      </c>
      <c r="C1762" s="3417">
        <f t="shared" si="963"/>
        <v>1</v>
      </c>
      <c r="D1762" s="3417">
        <f t="shared" si="963"/>
        <v>1</v>
      </c>
      <c r="E1762" s="3417">
        <f t="shared" si="963"/>
        <v>1</v>
      </c>
      <c r="F1762" s="3417">
        <f t="shared" si="963"/>
        <v>1</v>
      </c>
      <c r="G1762" s="3417">
        <f t="shared" si="963"/>
        <v>1</v>
      </c>
      <c r="H1762" s="3353"/>
      <c r="I1762" s="3353"/>
      <c r="J1762" s="3353"/>
      <c r="K1762" s="3353"/>
      <c r="L1762" s="3353"/>
      <c r="M1762" s="3353"/>
      <c r="N1762" s="3353"/>
      <c r="O1762" s="3353"/>
      <c r="P1762" s="3353"/>
      <c r="Q1762" s="3353"/>
      <c r="R1762" s="3353"/>
      <c r="S1762" s="3353"/>
      <c r="T1762" s="3353"/>
      <c r="U1762" s="3353"/>
      <c r="V1762" s="3353"/>
      <c r="W1762" s="3353"/>
      <c r="X1762" s="3353"/>
      <c r="Y1762" s="3353"/>
      <c r="Z1762" s="3353"/>
      <c r="AA1762" s="3353"/>
      <c r="AB1762" s="3353"/>
      <c r="AC1762" s="3353"/>
      <c r="AD1762" s="3353"/>
      <c r="AE1762" s="3353"/>
      <c r="AF1762" s="3353"/>
      <c r="AG1762" s="3353"/>
      <c r="AH1762" s="3353"/>
      <c r="AI1762" s="3353"/>
      <c r="AJ1762" s="3353"/>
      <c r="AK1762" s="3353"/>
      <c r="AL1762" s="3353"/>
    </row>
    <row r="1763" spans="1:38" s="3309" customFormat="1" x14ac:dyDescent="0.2">
      <c r="A1763" s="3411" t="s">
        <v>4358</v>
      </c>
      <c r="B1763" s="3515">
        <v>0.7</v>
      </c>
      <c r="C1763" s="3515">
        <v>0.7</v>
      </c>
      <c r="D1763" s="3515">
        <v>0.7</v>
      </c>
      <c r="E1763" s="3515">
        <v>0.7</v>
      </c>
      <c r="F1763" s="3515">
        <v>0.7</v>
      </c>
      <c r="G1763" s="3515">
        <v>0.7</v>
      </c>
      <c r="H1763" s="3353"/>
      <c r="I1763" s="3353"/>
      <c r="J1763" s="3353"/>
      <c r="K1763" s="3353"/>
      <c r="L1763" s="3353"/>
      <c r="M1763" s="3353"/>
      <c r="N1763" s="3353"/>
      <c r="O1763" s="3353"/>
      <c r="P1763" s="3353"/>
      <c r="Q1763" s="3353"/>
      <c r="R1763" s="3353"/>
      <c r="S1763" s="3353"/>
      <c r="T1763" s="3353"/>
      <c r="U1763" s="3353"/>
      <c r="V1763" s="3353"/>
      <c r="W1763" s="3353"/>
      <c r="X1763" s="3353"/>
      <c r="Y1763" s="3353"/>
      <c r="Z1763" s="3353"/>
      <c r="AA1763" s="3353"/>
      <c r="AB1763" s="3353"/>
      <c r="AC1763" s="3353"/>
      <c r="AD1763" s="3353"/>
      <c r="AE1763" s="3353"/>
      <c r="AF1763" s="3353"/>
      <c r="AG1763" s="3353"/>
      <c r="AH1763" s="3353"/>
      <c r="AI1763" s="3353"/>
      <c r="AJ1763" s="3353"/>
      <c r="AK1763" s="3353"/>
      <c r="AL1763" s="3353"/>
    </row>
    <row r="1764" spans="1:38" s="3309" customFormat="1" ht="25.5" x14ac:dyDescent="0.2">
      <c r="A1764" s="3464" t="s">
        <v>4359</v>
      </c>
      <c r="B1764" s="3428">
        <f t="shared" ref="B1764:G1764" si="964">B1109</f>
        <v>0</v>
      </c>
      <c r="C1764" s="3428">
        <f t="shared" si="964"/>
        <v>0</v>
      </c>
      <c r="D1764" s="3428">
        <f t="shared" si="964"/>
        <v>0</v>
      </c>
      <c r="E1764" s="3428">
        <f t="shared" si="964"/>
        <v>0</v>
      </c>
      <c r="F1764" s="3428">
        <f t="shared" si="964"/>
        <v>0</v>
      </c>
      <c r="G1764" s="3428">
        <f t="shared" si="964"/>
        <v>0</v>
      </c>
      <c r="H1764" s="3353"/>
      <c r="I1764" s="3353"/>
      <c r="J1764" s="3353"/>
      <c r="K1764" s="3353"/>
      <c r="L1764" s="3353"/>
      <c r="M1764" s="3353"/>
      <c r="N1764" s="3353"/>
      <c r="O1764" s="3353"/>
      <c r="P1764" s="3353"/>
      <c r="Q1764" s="3353"/>
      <c r="R1764" s="3353"/>
      <c r="S1764" s="3353"/>
      <c r="T1764" s="3353"/>
      <c r="U1764" s="3353"/>
      <c r="V1764" s="3353"/>
      <c r="W1764" s="3353"/>
      <c r="X1764" s="3353"/>
      <c r="Y1764" s="3353"/>
      <c r="Z1764" s="3353"/>
      <c r="AA1764" s="3353"/>
      <c r="AB1764" s="3353"/>
      <c r="AC1764" s="3353"/>
      <c r="AD1764" s="3353"/>
      <c r="AE1764" s="3353"/>
      <c r="AF1764" s="3353"/>
      <c r="AG1764" s="3353"/>
      <c r="AH1764" s="3353"/>
      <c r="AI1764" s="3353"/>
      <c r="AJ1764" s="3353"/>
      <c r="AK1764" s="3353"/>
      <c r="AL1764" s="3353"/>
    </row>
    <row r="1765" spans="1:38" s="3309" customFormat="1" x14ac:dyDescent="0.2">
      <c r="A1765" s="3411" t="s">
        <v>4360</v>
      </c>
      <c r="B1765" s="3417">
        <f t="shared" ref="B1765:G1765" si="965">IF(B1764=0,1.15,1.1)</f>
        <v>1.1499999999999999</v>
      </c>
      <c r="C1765" s="3417">
        <f t="shared" si="965"/>
        <v>1.1499999999999999</v>
      </c>
      <c r="D1765" s="3417">
        <f t="shared" si="965"/>
        <v>1.1499999999999999</v>
      </c>
      <c r="E1765" s="3417">
        <f t="shared" si="965"/>
        <v>1.1499999999999999</v>
      </c>
      <c r="F1765" s="3417">
        <f t="shared" si="965"/>
        <v>1.1499999999999999</v>
      </c>
      <c r="G1765" s="3417">
        <f t="shared" si="965"/>
        <v>1.1499999999999999</v>
      </c>
      <c r="H1765" s="3353"/>
      <c r="I1765" s="3353"/>
      <c r="J1765" s="3353"/>
      <c r="K1765" s="3353"/>
      <c r="L1765" s="3353"/>
      <c r="M1765" s="3353"/>
      <c r="N1765" s="3353"/>
      <c r="O1765" s="3353"/>
      <c r="P1765" s="3353"/>
      <c r="Q1765" s="3353"/>
      <c r="R1765" s="3353"/>
      <c r="S1765" s="3353"/>
      <c r="T1765" s="3353"/>
      <c r="U1765" s="3353"/>
      <c r="V1765" s="3353"/>
      <c r="W1765" s="3353"/>
      <c r="X1765" s="3353"/>
      <c r="Y1765" s="3353"/>
      <c r="Z1765" s="3353"/>
      <c r="AA1765" s="3353"/>
      <c r="AB1765" s="3353"/>
      <c r="AC1765" s="3353"/>
      <c r="AD1765" s="3353"/>
      <c r="AE1765" s="3353"/>
      <c r="AF1765" s="3353"/>
      <c r="AG1765" s="3353"/>
      <c r="AH1765" s="3353"/>
      <c r="AI1765" s="3353"/>
      <c r="AJ1765" s="3353"/>
      <c r="AK1765" s="3353"/>
      <c r="AL1765" s="3353"/>
    </row>
    <row r="1766" spans="1:38" s="3309" customFormat="1" ht="25.5" x14ac:dyDescent="0.2">
      <c r="A1766" s="3440" t="s">
        <v>4361</v>
      </c>
      <c r="B1766" s="3406" t="e">
        <f t="shared" ref="B1766:G1766" si="966">(B1411/B1400)*100</f>
        <v>#VALUE!</v>
      </c>
      <c r="C1766" s="3406" t="e">
        <f t="shared" si="966"/>
        <v>#DIV/0!</v>
      </c>
      <c r="D1766" s="3406" t="e">
        <f t="shared" si="966"/>
        <v>#DIV/0!</v>
      </c>
      <c r="E1766" s="3406" t="e">
        <f t="shared" si="966"/>
        <v>#DIV/0!</v>
      </c>
      <c r="F1766" s="3406" t="e">
        <f t="shared" si="966"/>
        <v>#DIV/0!</v>
      </c>
      <c r="G1766" s="3406" t="e">
        <f t="shared" si="966"/>
        <v>#DIV/0!</v>
      </c>
      <c r="H1766" s="3353"/>
      <c r="I1766" s="3353"/>
      <c r="J1766" s="3353"/>
      <c r="K1766" s="3353"/>
      <c r="L1766" s="3353"/>
      <c r="M1766" s="3353"/>
      <c r="N1766" s="3353"/>
      <c r="O1766" s="3353"/>
      <c r="P1766" s="3353"/>
      <c r="Q1766" s="3353"/>
      <c r="R1766" s="3353"/>
      <c r="S1766" s="3353"/>
      <c r="T1766" s="3353"/>
      <c r="U1766" s="3353"/>
      <c r="V1766" s="3353"/>
      <c r="W1766" s="3353"/>
      <c r="X1766" s="3353"/>
      <c r="Y1766" s="3353"/>
      <c r="Z1766" s="3353"/>
      <c r="AA1766" s="3353"/>
      <c r="AB1766" s="3353"/>
      <c r="AC1766" s="3353"/>
      <c r="AD1766" s="3353"/>
      <c r="AE1766" s="3353"/>
      <c r="AF1766" s="3353"/>
      <c r="AG1766" s="3353"/>
      <c r="AH1766" s="3353"/>
      <c r="AI1766" s="3353"/>
      <c r="AJ1766" s="3353"/>
      <c r="AK1766" s="3353"/>
      <c r="AL1766" s="3353"/>
    </row>
    <row r="1767" spans="1:38" s="3309" customFormat="1" ht="38.25" x14ac:dyDescent="0.2">
      <c r="A1767" s="3459" t="s">
        <v>4362</v>
      </c>
      <c r="B1767" s="3417" t="e">
        <f t="shared" ref="B1767:G1767" si="967">IF(B1766&lt;10.1,0.9,IF(B1766&lt;20.1,0.8,IF(B1766&lt;30.1,0.7,0.6)))</f>
        <v>#VALUE!</v>
      </c>
      <c r="C1767" s="3417" t="e">
        <f t="shared" si="967"/>
        <v>#DIV/0!</v>
      </c>
      <c r="D1767" s="3417" t="e">
        <f t="shared" si="967"/>
        <v>#DIV/0!</v>
      </c>
      <c r="E1767" s="3417" t="e">
        <f t="shared" si="967"/>
        <v>#DIV/0!</v>
      </c>
      <c r="F1767" s="3417" t="e">
        <f t="shared" si="967"/>
        <v>#DIV/0!</v>
      </c>
      <c r="G1767" s="3417" t="e">
        <f t="shared" si="967"/>
        <v>#DIV/0!</v>
      </c>
      <c r="H1767" s="3353"/>
      <c r="I1767" s="3353"/>
      <c r="J1767" s="3353"/>
      <c r="K1767" s="3353"/>
      <c r="L1767" s="3353"/>
      <c r="M1767" s="3353"/>
      <c r="N1767" s="3353"/>
      <c r="O1767" s="3353"/>
      <c r="P1767" s="3353"/>
      <c r="Q1767" s="3353"/>
      <c r="R1767" s="3353"/>
      <c r="S1767" s="3353"/>
      <c r="T1767" s="3353"/>
      <c r="U1767" s="3353"/>
      <c r="V1767" s="3353"/>
      <c r="W1767" s="3353"/>
      <c r="X1767" s="3353"/>
      <c r="Y1767" s="3353"/>
      <c r="Z1767" s="3353"/>
      <c r="AA1767" s="3353"/>
      <c r="AB1767" s="3353"/>
      <c r="AC1767" s="3353"/>
      <c r="AD1767" s="3353"/>
      <c r="AE1767" s="3353"/>
      <c r="AF1767" s="3353"/>
      <c r="AG1767" s="3353"/>
      <c r="AH1767" s="3353"/>
      <c r="AI1767" s="3353"/>
      <c r="AJ1767" s="3353"/>
      <c r="AK1767" s="3353"/>
      <c r="AL1767" s="3353"/>
    </row>
    <row r="1768" spans="1:38" s="3309" customFormat="1" x14ac:dyDescent="0.2">
      <c r="A1768" s="3411" t="s">
        <v>213</v>
      </c>
      <c r="B1768" s="3417" t="e">
        <f t="shared" ref="B1768:G1768" si="968">B1757*(B1761*B1762*B1763*B1765*B1767*B1395)</f>
        <v>#VALUE!</v>
      </c>
      <c r="C1768" s="3417" t="e">
        <f t="shared" si="968"/>
        <v>#DIV/0!</v>
      </c>
      <c r="D1768" s="3417" t="e">
        <f t="shared" si="968"/>
        <v>#DIV/0!</v>
      </c>
      <c r="E1768" s="3417" t="e">
        <f t="shared" si="968"/>
        <v>#DIV/0!</v>
      </c>
      <c r="F1768" s="3417" t="e">
        <f t="shared" si="968"/>
        <v>#DIV/0!</v>
      </c>
      <c r="G1768" s="3417" t="e">
        <f t="shared" si="968"/>
        <v>#DIV/0!</v>
      </c>
      <c r="H1768" s="3353"/>
      <c r="I1768" s="3353"/>
      <c r="J1768" s="3353"/>
      <c r="K1768" s="3353"/>
      <c r="L1768" s="3353"/>
      <c r="M1768" s="3353"/>
      <c r="N1768" s="3353"/>
      <c r="O1768" s="3353"/>
      <c r="P1768" s="3353"/>
      <c r="Q1768" s="3353"/>
      <c r="R1768" s="3353"/>
      <c r="S1768" s="3353"/>
      <c r="T1768" s="3353"/>
      <c r="U1768" s="3353"/>
      <c r="V1768" s="3353"/>
      <c r="W1768" s="3353"/>
      <c r="X1768" s="3353"/>
      <c r="Y1768" s="3353"/>
      <c r="Z1768" s="3353"/>
      <c r="AA1768" s="3353"/>
      <c r="AB1768" s="3353"/>
      <c r="AC1768" s="3353"/>
      <c r="AD1768" s="3353"/>
      <c r="AE1768" s="3353"/>
      <c r="AF1768" s="3353"/>
      <c r="AG1768" s="3353"/>
      <c r="AH1768" s="3353"/>
      <c r="AI1768" s="3353"/>
      <c r="AJ1768" s="3353"/>
      <c r="AK1768" s="3353"/>
      <c r="AL1768" s="3353"/>
    </row>
    <row r="1769" spans="1:38" s="3309" customFormat="1" x14ac:dyDescent="0.2">
      <c r="A1769" s="3401" t="s">
        <v>1794</v>
      </c>
      <c r="B1769" s="3514" t="e">
        <f t="shared" ref="B1769:G1769" si="969">B1756/B1768</f>
        <v>#VALUE!</v>
      </c>
      <c r="C1769" s="3514" t="e">
        <f t="shared" si="969"/>
        <v>#DIV/0!</v>
      </c>
      <c r="D1769" s="3514" t="e">
        <f t="shared" si="969"/>
        <v>#DIV/0!</v>
      </c>
      <c r="E1769" s="3514" t="e">
        <f t="shared" si="969"/>
        <v>#DIV/0!</v>
      </c>
      <c r="F1769" s="3514" t="e">
        <f t="shared" si="969"/>
        <v>#DIV/0!</v>
      </c>
      <c r="G1769" s="3514" t="e">
        <f t="shared" si="969"/>
        <v>#DIV/0!</v>
      </c>
      <c r="H1769" s="3353"/>
      <c r="I1769" s="3353"/>
      <c r="J1769" s="3353"/>
      <c r="K1769" s="3353"/>
      <c r="L1769" s="3353"/>
      <c r="M1769" s="3353"/>
      <c r="N1769" s="3353"/>
      <c r="O1769" s="3353"/>
      <c r="P1769" s="3353"/>
      <c r="Q1769" s="3353"/>
      <c r="R1769" s="3353"/>
      <c r="S1769" s="3353"/>
      <c r="T1769" s="3353"/>
      <c r="U1769" s="3353"/>
      <c r="V1769" s="3353"/>
      <c r="W1769" s="3353"/>
      <c r="X1769" s="3353"/>
      <c r="Y1769" s="3353"/>
      <c r="Z1769" s="3353"/>
      <c r="AA1769" s="3353"/>
      <c r="AB1769" s="3353"/>
      <c r="AC1769" s="3353"/>
      <c r="AD1769" s="3353"/>
      <c r="AE1769" s="3353"/>
      <c r="AF1769" s="3353"/>
      <c r="AG1769" s="3353"/>
      <c r="AH1769" s="3353"/>
      <c r="AI1769" s="3353"/>
      <c r="AJ1769" s="3353"/>
      <c r="AK1769" s="3353"/>
      <c r="AL1769" s="3353"/>
    </row>
    <row r="1770" spans="1:38" s="3309" customFormat="1" x14ac:dyDescent="0.2">
      <c r="A1770" s="3421" t="s">
        <v>6100</v>
      </c>
      <c r="B1770" s="3490" t="e">
        <f>IF(B1419=1,B1769,B1769)</f>
        <v>#VALUE!</v>
      </c>
      <c r="C1770" s="3490" t="e">
        <f t="shared" ref="C1770:G1770" si="970">IF(C1419=1,0,C1769)</f>
        <v>#DIV/0!</v>
      </c>
      <c r="D1770" s="3490" t="e">
        <f t="shared" si="970"/>
        <v>#DIV/0!</v>
      </c>
      <c r="E1770" s="3490" t="e">
        <f t="shared" si="970"/>
        <v>#DIV/0!</v>
      </c>
      <c r="F1770" s="3490" t="e">
        <f t="shared" si="970"/>
        <v>#DIV/0!</v>
      </c>
      <c r="G1770" s="3490" t="e">
        <f t="shared" si="970"/>
        <v>#DIV/0!</v>
      </c>
      <c r="H1770" s="3467"/>
      <c r="I1770" s="3353"/>
      <c r="J1770" s="3353"/>
      <c r="K1770" s="3353"/>
      <c r="L1770" s="3353"/>
      <c r="M1770" s="3353"/>
      <c r="N1770" s="3353"/>
      <c r="O1770" s="3353"/>
      <c r="P1770" s="3353"/>
      <c r="Q1770" s="3353"/>
      <c r="R1770" s="3353"/>
      <c r="S1770" s="3353"/>
      <c r="T1770" s="3353"/>
      <c r="U1770" s="3353"/>
      <c r="V1770" s="3353"/>
      <c r="W1770" s="3353"/>
      <c r="X1770" s="3353"/>
      <c r="Y1770" s="3353"/>
      <c r="Z1770" s="3353"/>
      <c r="AA1770" s="3353"/>
      <c r="AB1770" s="3353"/>
      <c r="AC1770" s="3353"/>
      <c r="AD1770" s="3353"/>
      <c r="AE1770" s="3353"/>
      <c r="AF1770" s="3353"/>
      <c r="AG1770" s="3353"/>
      <c r="AH1770" s="3353"/>
      <c r="AI1770" s="3353"/>
      <c r="AJ1770" s="3353"/>
      <c r="AK1770" s="3353"/>
      <c r="AL1770" s="3353"/>
    </row>
    <row r="1771" spans="1:38" s="3309" customFormat="1" x14ac:dyDescent="0.2">
      <c r="H1771" s="3353"/>
      <c r="I1771" s="3353"/>
      <c r="J1771" s="3353"/>
      <c r="K1771" s="3353"/>
      <c r="L1771" s="3353"/>
      <c r="M1771" s="3353"/>
      <c r="N1771" s="3353"/>
      <c r="O1771" s="3353"/>
      <c r="P1771" s="3353"/>
      <c r="Q1771" s="3353"/>
      <c r="R1771" s="3353"/>
      <c r="S1771" s="3353"/>
      <c r="T1771" s="3353"/>
      <c r="U1771" s="3353"/>
      <c r="V1771" s="3353"/>
      <c r="W1771" s="3353"/>
      <c r="X1771" s="3353"/>
      <c r="Y1771" s="3353"/>
      <c r="Z1771" s="3353"/>
      <c r="AA1771" s="3353"/>
      <c r="AB1771" s="3353"/>
      <c r="AC1771" s="3353"/>
      <c r="AD1771" s="3353"/>
      <c r="AE1771" s="3353"/>
      <c r="AF1771" s="3353"/>
      <c r="AG1771" s="3353"/>
      <c r="AH1771" s="3353"/>
      <c r="AI1771" s="3353"/>
      <c r="AJ1771" s="3353"/>
      <c r="AK1771" s="3353"/>
      <c r="AL1771" s="3353"/>
    </row>
    <row r="1772" spans="1:38" s="3309" customFormat="1" x14ac:dyDescent="0.2">
      <c r="H1772" s="3353"/>
      <c r="I1772" s="3353"/>
      <c r="J1772" s="3353"/>
      <c r="K1772" s="3353"/>
      <c r="L1772" s="3353"/>
      <c r="M1772" s="3353"/>
      <c r="N1772" s="3353"/>
      <c r="O1772" s="3353"/>
      <c r="P1772" s="3353"/>
      <c r="Q1772" s="3353"/>
      <c r="R1772" s="3353"/>
      <c r="S1772" s="3353"/>
      <c r="T1772" s="3353"/>
      <c r="U1772" s="3353"/>
      <c r="V1772" s="3353"/>
      <c r="W1772" s="3353"/>
      <c r="X1772" s="3353"/>
      <c r="Y1772" s="3353"/>
      <c r="Z1772" s="3353"/>
      <c r="AA1772" s="3353"/>
      <c r="AB1772" s="3353"/>
      <c r="AC1772" s="3353"/>
      <c r="AD1772" s="3353"/>
      <c r="AE1772" s="3353"/>
      <c r="AF1772" s="3353"/>
      <c r="AG1772" s="3353"/>
      <c r="AH1772" s="3353"/>
      <c r="AI1772" s="3353"/>
      <c r="AJ1772" s="3353"/>
      <c r="AK1772" s="3353"/>
      <c r="AL1772" s="3353"/>
    </row>
    <row r="1773" spans="1:38" s="3309" customFormat="1" x14ac:dyDescent="0.2">
      <c r="A1773" s="3513" t="s">
        <v>6094</v>
      </c>
      <c r="B1773" s="3512"/>
      <c r="C1773" s="3511"/>
      <c r="D1773" s="3511"/>
      <c r="E1773" s="3511"/>
      <c r="F1773" s="3511"/>
      <c r="G1773" s="3511"/>
      <c r="H1773" s="3353"/>
      <c r="I1773" s="3353"/>
      <c r="J1773" s="3353"/>
      <c r="K1773" s="3353"/>
      <c r="L1773" s="3353"/>
      <c r="M1773" s="3353"/>
      <c r="N1773" s="3353"/>
      <c r="O1773" s="3353"/>
      <c r="P1773" s="3353"/>
      <c r="Q1773" s="3353"/>
      <c r="R1773" s="3353"/>
      <c r="S1773" s="3353"/>
      <c r="T1773" s="3353"/>
      <c r="U1773" s="3353"/>
      <c r="V1773" s="3353"/>
      <c r="W1773" s="3353"/>
      <c r="X1773" s="3353"/>
      <c r="Y1773" s="3353"/>
      <c r="Z1773" s="3353"/>
      <c r="AA1773" s="3353"/>
      <c r="AB1773" s="3353"/>
      <c r="AC1773" s="3353"/>
      <c r="AD1773" s="3353"/>
      <c r="AE1773" s="3353"/>
      <c r="AF1773" s="3353"/>
      <c r="AG1773" s="3353"/>
      <c r="AH1773" s="3353"/>
      <c r="AI1773" s="3353"/>
      <c r="AJ1773" s="3353"/>
      <c r="AK1773" s="3353"/>
      <c r="AL1773" s="3353"/>
    </row>
    <row r="1774" spans="1:38" s="3309" customFormat="1" x14ac:dyDescent="0.2">
      <c r="A1774" s="3401" t="s">
        <v>2391</v>
      </c>
      <c r="B1774" s="3379"/>
      <c r="C1774" s="3412"/>
      <c r="D1774" s="3412"/>
      <c r="E1774" s="3412"/>
      <c r="F1774" s="3412"/>
      <c r="G1774" s="3412"/>
      <c r="H1774" s="3353"/>
      <c r="I1774" s="3353"/>
      <c r="J1774" s="3353"/>
      <c r="K1774" s="3353"/>
      <c r="L1774" s="3353"/>
      <c r="M1774" s="3353"/>
      <c r="N1774" s="3353"/>
      <c r="O1774" s="3353"/>
      <c r="P1774" s="3353"/>
      <c r="Q1774" s="3353"/>
      <c r="R1774" s="3353"/>
      <c r="S1774" s="3353"/>
      <c r="T1774" s="3353"/>
      <c r="U1774" s="3353"/>
      <c r="V1774" s="3353"/>
      <c r="W1774" s="3353"/>
      <c r="X1774" s="3353"/>
      <c r="Y1774" s="3353"/>
      <c r="Z1774" s="3353"/>
      <c r="AA1774" s="3353"/>
      <c r="AB1774" s="3353"/>
      <c r="AC1774" s="3353"/>
      <c r="AD1774" s="3353"/>
      <c r="AE1774" s="3353"/>
      <c r="AF1774" s="3353"/>
      <c r="AG1774" s="3353"/>
      <c r="AH1774" s="3353"/>
      <c r="AI1774" s="3353"/>
      <c r="AJ1774" s="3353"/>
      <c r="AK1774" s="3353"/>
      <c r="AL1774" s="3353"/>
    </row>
    <row r="1775" spans="1:38" s="3309" customFormat="1" x14ac:dyDescent="0.2">
      <c r="A1775" s="3411" t="s">
        <v>4144</v>
      </c>
      <c r="B1775" s="3424" t="e">
        <f t="shared" ref="B1775:G1775" si="971">IF(B152=1,0,IF(AND(B151=0,B154&gt;0),2*B1401/B1404))</f>
        <v>#VALUE!</v>
      </c>
      <c r="C1775" s="3424" t="b">
        <f t="shared" si="971"/>
        <v>0</v>
      </c>
      <c r="D1775" s="3424" t="b">
        <f t="shared" si="971"/>
        <v>0</v>
      </c>
      <c r="E1775" s="3424" t="b">
        <f t="shared" si="971"/>
        <v>0</v>
      </c>
      <c r="F1775" s="3424" t="b">
        <f t="shared" si="971"/>
        <v>0</v>
      </c>
      <c r="G1775" s="3424" t="b">
        <f t="shared" si="971"/>
        <v>0</v>
      </c>
      <c r="H1775" s="3353"/>
      <c r="I1775" s="3353"/>
      <c r="J1775" s="3353"/>
      <c r="K1775" s="3353"/>
      <c r="L1775" s="3353"/>
      <c r="M1775" s="3353"/>
      <c r="N1775" s="3353"/>
      <c r="O1775" s="3353"/>
      <c r="P1775" s="3353"/>
      <c r="Q1775" s="3353"/>
      <c r="R1775" s="3353"/>
      <c r="S1775" s="3353"/>
      <c r="T1775" s="3353"/>
      <c r="U1775" s="3353"/>
      <c r="V1775" s="3353"/>
      <c r="W1775" s="3353"/>
      <c r="X1775" s="3353"/>
      <c r="Y1775" s="3353"/>
      <c r="Z1775" s="3353"/>
      <c r="AA1775" s="3353"/>
      <c r="AB1775" s="3353"/>
      <c r="AC1775" s="3353"/>
      <c r="AD1775" s="3353"/>
      <c r="AE1775" s="3353"/>
      <c r="AF1775" s="3353"/>
      <c r="AG1775" s="3353"/>
      <c r="AH1775" s="3353"/>
      <c r="AI1775" s="3353"/>
      <c r="AJ1775" s="3353"/>
      <c r="AK1775" s="3353"/>
      <c r="AL1775" s="3353"/>
    </row>
    <row r="1776" spans="1:38" s="3309" customFormat="1" x14ac:dyDescent="0.2">
      <c r="A1776" s="3411" t="s">
        <v>425</v>
      </c>
      <c r="B1776" s="3491">
        <v>12.8</v>
      </c>
      <c r="C1776" s="3491">
        <v>12.8</v>
      </c>
      <c r="D1776" s="3491">
        <v>12.8</v>
      </c>
      <c r="E1776" s="3491">
        <v>12.8</v>
      </c>
      <c r="F1776" s="3491">
        <v>12.8</v>
      </c>
      <c r="G1776" s="3491">
        <v>12.8</v>
      </c>
      <c r="H1776" s="3353"/>
      <c r="I1776" s="3353"/>
      <c r="J1776" s="3353"/>
      <c r="K1776" s="3353"/>
      <c r="L1776" s="3353"/>
      <c r="M1776" s="3353"/>
      <c r="N1776" s="3353"/>
      <c r="O1776" s="3353"/>
      <c r="P1776" s="3353"/>
      <c r="Q1776" s="3353"/>
      <c r="R1776" s="3353"/>
      <c r="S1776" s="3353"/>
      <c r="T1776" s="3353"/>
      <c r="U1776" s="3353"/>
      <c r="V1776" s="3353"/>
      <c r="W1776" s="3353"/>
      <c r="X1776" s="3353"/>
      <c r="Y1776" s="3353"/>
      <c r="Z1776" s="3353"/>
      <c r="AA1776" s="3353"/>
      <c r="AB1776" s="3353"/>
      <c r="AC1776" s="3353"/>
      <c r="AD1776" s="3353"/>
      <c r="AE1776" s="3353"/>
      <c r="AF1776" s="3353"/>
      <c r="AG1776" s="3353"/>
      <c r="AH1776" s="3353"/>
      <c r="AI1776" s="3353"/>
      <c r="AJ1776" s="3353"/>
      <c r="AK1776" s="3353"/>
      <c r="AL1776" s="3353"/>
    </row>
    <row r="1777" spans="1:38" s="3309" customFormat="1" x14ac:dyDescent="0.2">
      <c r="A1777" s="3411" t="s">
        <v>830</v>
      </c>
      <c r="B1777" s="3491" t="e">
        <f t="shared" ref="B1777:G1777" si="972">B1776*B1395</f>
        <v>#VALUE!</v>
      </c>
      <c r="C1777" s="3491">
        <f t="shared" si="972"/>
        <v>0</v>
      </c>
      <c r="D1777" s="3491">
        <f t="shared" si="972"/>
        <v>0</v>
      </c>
      <c r="E1777" s="3491">
        <f t="shared" si="972"/>
        <v>0</v>
      </c>
      <c r="F1777" s="3491">
        <f t="shared" si="972"/>
        <v>0</v>
      </c>
      <c r="G1777" s="3491">
        <f t="shared" si="972"/>
        <v>0</v>
      </c>
      <c r="H1777" s="3353"/>
      <c r="I1777" s="3353"/>
      <c r="J1777" s="3353"/>
      <c r="K1777" s="3353"/>
      <c r="L1777" s="3353"/>
      <c r="M1777" s="3353"/>
      <c r="N1777" s="3353"/>
      <c r="O1777" s="3353"/>
      <c r="P1777" s="3353"/>
      <c r="Q1777" s="3353"/>
      <c r="R1777" s="3353"/>
      <c r="S1777" s="3353"/>
      <c r="T1777" s="3353"/>
      <c r="U1777" s="3353"/>
      <c r="V1777" s="3353"/>
      <c r="W1777" s="3353"/>
      <c r="X1777" s="3353"/>
      <c r="Y1777" s="3353"/>
      <c r="Z1777" s="3353"/>
      <c r="AA1777" s="3353"/>
      <c r="AB1777" s="3353"/>
      <c r="AC1777" s="3353"/>
      <c r="AD1777" s="3353"/>
      <c r="AE1777" s="3353"/>
      <c r="AF1777" s="3353"/>
      <c r="AG1777" s="3353"/>
      <c r="AH1777" s="3353"/>
      <c r="AI1777" s="3353"/>
      <c r="AJ1777" s="3353"/>
      <c r="AK1777" s="3353"/>
      <c r="AL1777" s="3353"/>
    </row>
    <row r="1778" spans="1:38" s="3309" customFormat="1" x14ac:dyDescent="0.2">
      <c r="A1778" s="3421" t="s">
        <v>429</v>
      </c>
      <c r="B1778" s="3492">
        <f t="shared" ref="B1778:G1778" si="973">IF(B742&gt;0,B1775/B1777,0)</f>
        <v>0</v>
      </c>
      <c r="C1778" s="3492">
        <f t="shared" si="973"/>
        <v>0</v>
      </c>
      <c r="D1778" s="3492">
        <f t="shared" si="973"/>
        <v>0</v>
      </c>
      <c r="E1778" s="3492">
        <f t="shared" si="973"/>
        <v>0</v>
      </c>
      <c r="F1778" s="3492">
        <f t="shared" si="973"/>
        <v>0</v>
      </c>
      <c r="G1778" s="3492">
        <f t="shared" si="973"/>
        <v>0</v>
      </c>
      <c r="H1778" s="3353"/>
      <c r="I1778" s="3353"/>
      <c r="J1778" s="3353"/>
      <c r="K1778" s="3353"/>
      <c r="L1778" s="3353"/>
      <c r="M1778" s="3353"/>
      <c r="N1778" s="3353"/>
      <c r="O1778" s="3353"/>
      <c r="P1778" s="3353"/>
      <c r="Q1778" s="3353"/>
      <c r="R1778" s="3353"/>
      <c r="S1778" s="3353"/>
      <c r="T1778" s="3353"/>
      <c r="U1778" s="3353"/>
      <c r="V1778" s="3353"/>
      <c r="W1778" s="3353"/>
      <c r="X1778" s="3353"/>
      <c r="Y1778" s="3353"/>
      <c r="Z1778" s="3353"/>
      <c r="AA1778" s="3353"/>
      <c r="AB1778" s="3353"/>
      <c r="AC1778" s="3353"/>
      <c r="AD1778" s="3353"/>
      <c r="AE1778" s="3353"/>
      <c r="AF1778" s="3353"/>
      <c r="AG1778" s="3353"/>
      <c r="AH1778" s="3353"/>
      <c r="AI1778" s="3353"/>
      <c r="AJ1778" s="3353"/>
      <c r="AK1778" s="3353"/>
      <c r="AL1778" s="3353"/>
    </row>
    <row r="1779" spans="1:38" s="3309" customFormat="1" ht="15.75" x14ac:dyDescent="0.25">
      <c r="A1779" s="3510" t="s">
        <v>6465</v>
      </c>
      <c r="B1779" s="3494"/>
      <c r="C1779" s="3493"/>
      <c r="D1779" s="3493"/>
      <c r="E1779" s="3493"/>
      <c r="F1779" s="3493"/>
      <c r="G1779" s="3493"/>
      <c r="H1779" s="3353"/>
      <c r="I1779" s="3353"/>
      <c r="J1779" s="3353"/>
      <c r="K1779" s="3353"/>
      <c r="L1779" s="3353"/>
      <c r="M1779" s="3353"/>
      <c r="N1779" s="3353"/>
      <c r="O1779" s="3353"/>
      <c r="P1779" s="3353"/>
      <c r="Q1779" s="3353"/>
      <c r="R1779" s="3353"/>
      <c r="S1779" s="3353"/>
      <c r="T1779" s="3353"/>
      <c r="U1779" s="3353"/>
      <c r="V1779" s="3353"/>
      <c r="W1779" s="3353"/>
      <c r="X1779" s="3353"/>
      <c r="Y1779" s="3353"/>
      <c r="Z1779" s="3353"/>
      <c r="AA1779" s="3353"/>
      <c r="AB1779" s="3353"/>
      <c r="AC1779" s="3353"/>
      <c r="AD1779" s="3353"/>
      <c r="AE1779" s="3353"/>
      <c r="AF1779" s="3353"/>
      <c r="AG1779" s="3353"/>
      <c r="AH1779" s="3353"/>
      <c r="AI1779" s="3353"/>
      <c r="AJ1779" s="3353"/>
      <c r="AK1779" s="3353"/>
      <c r="AL1779" s="3353"/>
    </row>
    <row r="1780" spans="1:38" s="3309" customFormat="1" ht="15.75" x14ac:dyDescent="0.25">
      <c r="A1780" s="3506" t="s">
        <v>5171</v>
      </c>
      <c r="B1780" s="3495" t="e">
        <f>IF(B152=1,B1401/B1404,0)</f>
        <v>#VALUE!</v>
      </c>
      <c r="C1780" s="3495">
        <f t="shared" ref="C1780:G1780" si="974">IF(C151=1,C1401/C1404,0)</f>
        <v>0</v>
      </c>
      <c r="D1780" s="3495">
        <f t="shared" si="974"/>
        <v>0</v>
      </c>
      <c r="E1780" s="3495">
        <f t="shared" si="974"/>
        <v>0</v>
      </c>
      <c r="F1780" s="3495">
        <f t="shared" si="974"/>
        <v>0</v>
      </c>
      <c r="G1780" s="3495">
        <f t="shared" si="974"/>
        <v>0</v>
      </c>
      <c r="H1780" s="3353"/>
      <c r="I1780" s="3353"/>
      <c r="J1780" s="3353"/>
      <c r="K1780" s="3353"/>
      <c r="L1780" s="3353"/>
      <c r="M1780" s="3353"/>
      <c r="N1780" s="3353"/>
      <c r="O1780" s="3353"/>
      <c r="P1780" s="3353"/>
      <c r="Q1780" s="3353"/>
      <c r="R1780" s="3353"/>
      <c r="S1780" s="3353"/>
      <c r="T1780" s="3353"/>
      <c r="U1780" s="3353"/>
      <c r="V1780" s="3353"/>
      <c r="W1780" s="3353"/>
      <c r="X1780" s="3353"/>
      <c r="Y1780" s="3353"/>
      <c r="Z1780" s="3353"/>
      <c r="AA1780" s="3353"/>
      <c r="AB1780" s="3353"/>
      <c r="AC1780" s="3353"/>
      <c r="AD1780" s="3353"/>
      <c r="AE1780" s="3353"/>
      <c r="AF1780" s="3353"/>
      <c r="AG1780" s="3353"/>
      <c r="AH1780" s="3353"/>
      <c r="AI1780" s="3353"/>
      <c r="AJ1780" s="3353"/>
      <c r="AK1780" s="3353"/>
      <c r="AL1780" s="3353"/>
    </row>
    <row r="1781" spans="1:38" s="3309" customFormat="1" ht="47.25" x14ac:dyDescent="0.25">
      <c r="A1781" s="3509" t="s">
        <v>3196</v>
      </c>
      <c r="B1781" s="3508">
        <v>1</v>
      </c>
      <c r="C1781" s="3508">
        <v>1</v>
      </c>
      <c r="D1781" s="3508">
        <v>1</v>
      </c>
      <c r="E1781" s="3508">
        <v>1</v>
      </c>
      <c r="F1781" s="3508">
        <v>1</v>
      </c>
      <c r="G1781" s="3508">
        <v>1</v>
      </c>
      <c r="H1781" s="3353"/>
      <c r="I1781" s="3353"/>
      <c r="J1781" s="3353"/>
      <c r="K1781" s="3353"/>
      <c r="L1781" s="3353"/>
      <c r="M1781" s="3353"/>
      <c r="N1781" s="3353"/>
      <c r="O1781" s="3353"/>
      <c r="P1781" s="3353"/>
      <c r="Q1781" s="3353"/>
      <c r="R1781" s="3353"/>
      <c r="S1781" s="3353"/>
      <c r="T1781" s="3353"/>
      <c r="U1781" s="3353"/>
      <c r="V1781" s="3353"/>
      <c r="W1781" s="3353"/>
      <c r="X1781" s="3353"/>
      <c r="Y1781" s="3353"/>
      <c r="Z1781" s="3353"/>
      <c r="AA1781" s="3353"/>
      <c r="AB1781" s="3353"/>
      <c r="AC1781" s="3353"/>
      <c r="AD1781" s="3353"/>
      <c r="AE1781" s="3353"/>
      <c r="AF1781" s="3353"/>
      <c r="AG1781" s="3353"/>
      <c r="AH1781" s="3353"/>
      <c r="AI1781" s="3353"/>
      <c r="AJ1781" s="3353"/>
      <c r="AK1781" s="3353"/>
      <c r="AL1781" s="3353"/>
    </row>
    <row r="1782" spans="1:38" s="3309" customFormat="1" ht="15.75" x14ac:dyDescent="0.25">
      <c r="A1782" s="3506" t="s">
        <v>425</v>
      </c>
      <c r="B1782" s="3495">
        <f t="shared" ref="B1782:G1782" si="975">IF(B1781&lt;2,B1785,IF(B1781&lt;3,B1784,B1786))</f>
        <v>8.68</v>
      </c>
      <c r="C1782" s="3495">
        <f t="shared" si="975"/>
        <v>8.68</v>
      </c>
      <c r="D1782" s="3495">
        <f t="shared" si="975"/>
        <v>8.68</v>
      </c>
      <c r="E1782" s="3495">
        <f t="shared" si="975"/>
        <v>8.68</v>
      </c>
      <c r="F1782" s="3495">
        <f t="shared" si="975"/>
        <v>8.68</v>
      </c>
      <c r="G1782" s="3495">
        <f t="shared" si="975"/>
        <v>8.68</v>
      </c>
      <c r="H1782" s="3353"/>
      <c r="I1782" s="3353"/>
      <c r="J1782" s="3353"/>
      <c r="K1782" s="3353"/>
      <c r="L1782" s="3353"/>
      <c r="M1782" s="3353"/>
      <c r="N1782" s="3353"/>
      <c r="O1782" s="3353"/>
      <c r="P1782" s="3353"/>
      <c r="Q1782" s="3353"/>
      <c r="R1782" s="3353"/>
      <c r="S1782" s="3353"/>
      <c r="T1782" s="3353"/>
      <c r="U1782" s="3353"/>
      <c r="V1782" s="3353"/>
      <c r="W1782" s="3353"/>
      <c r="X1782" s="3353"/>
      <c r="Y1782" s="3353"/>
      <c r="Z1782" s="3353"/>
      <c r="AA1782" s="3353"/>
      <c r="AB1782" s="3353"/>
      <c r="AC1782" s="3353"/>
      <c r="AD1782" s="3353"/>
      <c r="AE1782" s="3353"/>
      <c r="AF1782" s="3353"/>
      <c r="AG1782" s="3353"/>
      <c r="AH1782" s="3353"/>
      <c r="AI1782" s="3353"/>
      <c r="AJ1782" s="3353"/>
      <c r="AK1782" s="3353"/>
      <c r="AL1782" s="3353"/>
    </row>
    <row r="1783" spans="1:38" s="3309" customFormat="1" ht="15.75" x14ac:dyDescent="0.25">
      <c r="A1783" s="3507" t="s">
        <v>3001</v>
      </c>
      <c r="B1783" s="3493"/>
      <c r="C1783" s="3493"/>
      <c r="D1783" s="3493"/>
      <c r="E1783" s="3493"/>
      <c r="F1783" s="3493"/>
      <c r="G1783" s="3493"/>
      <c r="H1783" s="3353"/>
      <c r="I1783" s="3353"/>
      <c r="J1783" s="3353"/>
      <c r="K1783" s="3353"/>
      <c r="L1783" s="3353"/>
      <c r="M1783" s="3353"/>
      <c r="N1783" s="3353"/>
      <c r="O1783" s="3353"/>
      <c r="P1783" s="3353"/>
      <c r="Q1783" s="3353"/>
      <c r="R1783" s="3353"/>
      <c r="S1783" s="3353"/>
      <c r="T1783" s="3353"/>
      <c r="U1783" s="3353"/>
      <c r="V1783" s="3353"/>
      <c r="W1783" s="3353"/>
      <c r="X1783" s="3353"/>
      <c r="Y1783" s="3353"/>
      <c r="Z1783" s="3353"/>
      <c r="AA1783" s="3353"/>
      <c r="AB1783" s="3353"/>
      <c r="AC1783" s="3353"/>
      <c r="AD1783" s="3353"/>
      <c r="AE1783" s="3353"/>
      <c r="AF1783" s="3353"/>
      <c r="AG1783" s="3353"/>
      <c r="AH1783" s="3353"/>
      <c r="AI1783" s="3353"/>
      <c r="AJ1783" s="3353"/>
      <c r="AK1783" s="3353"/>
      <c r="AL1783" s="3353"/>
    </row>
    <row r="1784" spans="1:38" s="3309" customFormat="1" ht="15.75" x14ac:dyDescent="0.25">
      <c r="A1784" s="3506" t="s">
        <v>5112</v>
      </c>
      <c r="B1784" s="3495">
        <f t="shared" ref="B1784:G1784" si="976">IF(B1433&lt;6.01,11.5,IF(B1433&lt;8.01,9.41,IF(B1433&lt;10.01,7.87,IF(B1433&lt;12.01,6.5,IF(B1433&lt;14.01,5.66,IF(B1433&lt;16.01,4.84,IF(B1433&lt;18.01,4.08,3.5)))))))</f>
        <v>11.5</v>
      </c>
      <c r="C1784" s="3495">
        <f t="shared" si="976"/>
        <v>11.5</v>
      </c>
      <c r="D1784" s="3495">
        <f t="shared" si="976"/>
        <v>11.5</v>
      </c>
      <c r="E1784" s="3495">
        <f t="shared" si="976"/>
        <v>11.5</v>
      </c>
      <c r="F1784" s="3495">
        <f t="shared" si="976"/>
        <v>11.5</v>
      </c>
      <c r="G1784" s="3495">
        <f t="shared" si="976"/>
        <v>11.5</v>
      </c>
      <c r="H1784" s="3353"/>
      <c r="I1784" s="3353"/>
      <c r="J1784" s="3353"/>
      <c r="K1784" s="3353"/>
      <c r="L1784" s="3353"/>
      <c r="M1784" s="3353"/>
      <c r="N1784" s="3353"/>
      <c r="O1784" s="3353"/>
      <c r="P1784" s="3353"/>
      <c r="Q1784" s="3353"/>
      <c r="R1784" s="3353"/>
      <c r="S1784" s="3353"/>
      <c r="T1784" s="3353"/>
      <c r="U1784" s="3353"/>
      <c r="V1784" s="3353"/>
      <c r="W1784" s="3353"/>
      <c r="X1784" s="3353"/>
      <c r="Y1784" s="3353"/>
      <c r="Z1784" s="3353"/>
      <c r="AA1784" s="3353"/>
      <c r="AB1784" s="3353"/>
      <c r="AC1784" s="3353"/>
      <c r="AD1784" s="3353"/>
      <c r="AE1784" s="3353"/>
      <c r="AF1784" s="3353"/>
      <c r="AG1784" s="3353"/>
      <c r="AH1784" s="3353"/>
      <c r="AI1784" s="3353"/>
      <c r="AJ1784" s="3353"/>
      <c r="AK1784" s="3353"/>
      <c r="AL1784" s="3353"/>
    </row>
    <row r="1785" spans="1:38" s="3309" customFormat="1" ht="15.75" x14ac:dyDescent="0.25">
      <c r="A1785" s="3506" t="s">
        <v>5113</v>
      </c>
      <c r="B1785" s="3495">
        <f t="shared" ref="B1785:G1785" si="977">IF(B1433&lt;6.01,8.68,IF(B1433&lt;8.01,7.4,IF(B1433&lt;10.01,6.28,IF(B1433&lt;12.01,5.38,IF(B1433&lt;14.01,4.7,IF(B1433&lt;16.01,4.24,IF(B1433&lt;18.01,3.71,3.37)))))))</f>
        <v>8.68</v>
      </c>
      <c r="C1785" s="3495">
        <f t="shared" si="977"/>
        <v>8.68</v>
      </c>
      <c r="D1785" s="3495">
        <f t="shared" si="977"/>
        <v>8.68</v>
      </c>
      <c r="E1785" s="3495">
        <f t="shared" si="977"/>
        <v>8.68</v>
      </c>
      <c r="F1785" s="3495">
        <f t="shared" si="977"/>
        <v>8.68</v>
      </c>
      <c r="G1785" s="3495">
        <f t="shared" si="977"/>
        <v>8.68</v>
      </c>
      <c r="H1785" s="3353"/>
      <c r="I1785" s="3353"/>
      <c r="J1785" s="3353"/>
      <c r="K1785" s="3353"/>
      <c r="L1785" s="3353"/>
      <c r="M1785" s="3353"/>
      <c r="N1785" s="3353"/>
      <c r="O1785" s="3353"/>
      <c r="P1785" s="3353"/>
      <c r="Q1785" s="3353"/>
      <c r="R1785" s="3353"/>
      <c r="S1785" s="3353"/>
      <c r="T1785" s="3353"/>
      <c r="U1785" s="3353"/>
      <c r="V1785" s="3353"/>
      <c r="W1785" s="3353"/>
      <c r="X1785" s="3353"/>
      <c r="Y1785" s="3353"/>
      <c r="Z1785" s="3353"/>
      <c r="AA1785" s="3353"/>
      <c r="AB1785" s="3353"/>
      <c r="AC1785" s="3353"/>
      <c r="AD1785" s="3353"/>
      <c r="AE1785" s="3353"/>
      <c r="AF1785" s="3353"/>
      <c r="AG1785" s="3353"/>
      <c r="AH1785" s="3353"/>
      <c r="AI1785" s="3353"/>
      <c r="AJ1785" s="3353"/>
      <c r="AK1785" s="3353"/>
      <c r="AL1785" s="3353"/>
    </row>
    <row r="1786" spans="1:38" s="3309" customFormat="1" ht="15.75" x14ac:dyDescent="0.25">
      <c r="A1786" s="3506" t="s">
        <v>5114</v>
      </c>
      <c r="B1786" s="3495">
        <f t="shared" ref="B1786:G1786" si="978">IF(B1433&lt;6.01,6.32,IF(B1433&lt;8.01,5.69,IF(B1433&lt;10.01,4.97,IF(B1433&lt;12.01,4.34,IF(B1433&lt;14.01,3.97,IF(B1433&lt;16.01,3.62,IF(B1433&lt;18.01,3.29,2.98)))))))</f>
        <v>6.32</v>
      </c>
      <c r="C1786" s="3495">
        <f t="shared" si="978"/>
        <v>6.32</v>
      </c>
      <c r="D1786" s="3495">
        <f t="shared" si="978"/>
        <v>6.32</v>
      </c>
      <c r="E1786" s="3495">
        <f t="shared" si="978"/>
        <v>6.32</v>
      </c>
      <c r="F1786" s="3495">
        <f t="shared" si="978"/>
        <v>6.32</v>
      </c>
      <c r="G1786" s="3495">
        <f t="shared" si="978"/>
        <v>6.32</v>
      </c>
      <c r="H1786" s="3353"/>
      <c r="I1786" s="3353"/>
      <c r="J1786" s="3353"/>
      <c r="K1786" s="3353"/>
      <c r="L1786" s="3353"/>
      <c r="M1786" s="3353"/>
      <c r="N1786" s="3353"/>
      <c r="O1786" s="3353"/>
      <c r="P1786" s="3353"/>
      <c r="Q1786" s="3353"/>
      <c r="R1786" s="3353"/>
      <c r="S1786" s="3353"/>
      <c r="T1786" s="3353"/>
      <c r="U1786" s="3353"/>
      <c r="V1786" s="3353"/>
      <c r="W1786" s="3353"/>
      <c r="X1786" s="3353"/>
      <c r="Y1786" s="3353"/>
      <c r="Z1786" s="3353"/>
      <c r="AA1786" s="3353"/>
      <c r="AB1786" s="3353"/>
      <c r="AC1786" s="3353"/>
      <c r="AD1786" s="3353"/>
      <c r="AE1786" s="3353"/>
      <c r="AF1786" s="3353"/>
      <c r="AG1786" s="3353"/>
      <c r="AH1786" s="3353"/>
      <c r="AI1786" s="3353"/>
      <c r="AJ1786" s="3353"/>
      <c r="AK1786" s="3353"/>
      <c r="AL1786" s="3353"/>
    </row>
    <row r="1787" spans="1:38" s="3309" customFormat="1" ht="31.5" x14ac:dyDescent="0.25">
      <c r="A1787" s="3505" t="s">
        <v>3427</v>
      </c>
      <c r="B1787" s="3504"/>
      <c r="C1787" s="3504"/>
      <c r="D1787" s="3504"/>
      <c r="E1787" s="3504"/>
      <c r="F1787" s="3504"/>
      <c r="G1787" s="3503"/>
      <c r="H1787" s="3353"/>
      <c r="I1787" s="3353"/>
      <c r="J1787" s="3353"/>
      <c r="K1787" s="3353"/>
      <c r="L1787" s="3353"/>
      <c r="M1787" s="3353"/>
      <c r="N1787" s="3353"/>
      <c r="O1787" s="3353"/>
      <c r="P1787" s="3353"/>
      <c r="Q1787" s="3353"/>
      <c r="R1787" s="3353"/>
      <c r="S1787" s="3353"/>
      <c r="T1787" s="3353"/>
      <c r="U1787" s="3353"/>
      <c r="V1787" s="3353"/>
      <c r="W1787" s="3353"/>
      <c r="X1787" s="3353"/>
      <c r="Y1787" s="3353"/>
      <c r="Z1787" s="3353"/>
      <c r="AA1787" s="3353"/>
      <c r="AB1787" s="3353"/>
      <c r="AC1787" s="3353"/>
      <c r="AD1787" s="3353"/>
      <c r="AE1787" s="3353"/>
      <c r="AF1787" s="3353"/>
      <c r="AG1787" s="3353"/>
      <c r="AH1787" s="3353"/>
      <c r="AI1787" s="3353"/>
      <c r="AJ1787" s="3353"/>
      <c r="AK1787" s="3353"/>
      <c r="AL1787" s="3353"/>
    </row>
    <row r="1788" spans="1:38" s="3309" customFormat="1" ht="15.75" x14ac:dyDescent="0.25">
      <c r="A1788" s="3502" t="s">
        <v>3195</v>
      </c>
      <c r="B1788" s="3501">
        <f t="shared" ref="B1788:G1788" si="979">B161</f>
        <v>0</v>
      </c>
      <c r="C1788" s="3501">
        <f t="shared" si="979"/>
        <v>0</v>
      </c>
      <c r="D1788" s="3501">
        <f t="shared" si="979"/>
        <v>0</v>
      </c>
      <c r="E1788" s="3501">
        <f t="shared" si="979"/>
        <v>0</v>
      </c>
      <c r="F1788" s="3501">
        <f t="shared" si="979"/>
        <v>0</v>
      </c>
      <c r="G1788" s="3501">
        <f t="shared" si="979"/>
        <v>0</v>
      </c>
      <c r="H1788" s="3353"/>
      <c r="I1788" s="3353"/>
      <c r="J1788" s="3353"/>
      <c r="K1788" s="3353"/>
      <c r="L1788" s="3353"/>
      <c r="M1788" s="3353"/>
      <c r="N1788" s="3353"/>
      <c r="O1788" s="3353"/>
      <c r="P1788" s="3353"/>
      <c r="Q1788" s="3353"/>
      <c r="R1788" s="3353"/>
      <c r="S1788" s="3353"/>
      <c r="T1788" s="3353"/>
      <c r="U1788" s="3353"/>
      <c r="V1788" s="3353"/>
      <c r="W1788" s="3353"/>
      <c r="X1788" s="3353"/>
      <c r="Y1788" s="3353"/>
      <c r="Z1788" s="3353"/>
      <c r="AA1788" s="3353"/>
      <c r="AB1788" s="3353"/>
      <c r="AC1788" s="3353"/>
      <c r="AD1788" s="3353"/>
      <c r="AE1788" s="3353"/>
      <c r="AF1788" s="3353"/>
      <c r="AG1788" s="3353"/>
      <c r="AH1788" s="3353"/>
      <c r="AI1788" s="3353"/>
      <c r="AJ1788" s="3353"/>
      <c r="AK1788" s="3353"/>
      <c r="AL1788" s="3353"/>
    </row>
    <row r="1789" spans="1:38" s="3309" customFormat="1" ht="15.75" x14ac:dyDescent="0.25">
      <c r="A1789" s="3500" t="s">
        <v>3428</v>
      </c>
      <c r="B1789" s="3499">
        <f t="shared" ref="B1789:G1789" si="980">IF(B1788=1,1,0.85)</f>
        <v>0.85</v>
      </c>
      <c r="C1789" s="3499">
        <f t="shared" si="980"/>
        <v>0.85</v>
      </c>
      <c r="D1789" s="3499">
        <f t="shared" si="980"/>
        <v>0.85</v>
      </c>
      <c r="E1789" s="3499">
        <f t="shared" si="980"/>
        <v>0.85</v>
      </c>
      <c r="F1789" s="3499">
        <f t="shared" si="980"/>
        <v>0.85</v>
      </c>
      <c r="G1789" s="3498">
        <f t="shared" si="980"/>
        <v>0.85</v>
      </c>
      <c r="H1789" s="3353"/>
      <c r="I1789" s="3353"/>
      <c r="J1789" s="3353"/>
      <c r="K1789" s="3353"/>
      <c r="L1789" s="3353"/>
      <c r="M1789" s="3353"/>
      <c r="N1789" s="3353"/>
      <c r="O1789" s="3353"/>
      <c r="P1789" s="3353"/>
      <c r="Q1789" s="3353"/>
      <c r="R1789" s="3353"/>
      <c r="S1789" s="3353"/>
      <c r="T1789" s="3353"/>
      <c r="U1789" s="3353"/>
      <c r="V1789" s="3353"/>
      <c r="W1789" s="3353"/>
      <c r="X1789" s="3353"/>
      <c r="Y1789" s="3353"/>
      <c r="Z1789" s="3353"/>
      <c r="AA1789" s="3353"/>
      <c r="AB1789" s="3353"/>
      <c r="AC1789" s="3353"/>
      <c r="AD1789" s="3353"/>
      <c r="AE1789" s="3353"/>
      <c r="AF1789" s="3353"/>
      <c r="AG1789" s="3353"/>
      <c r="AH1789" s="3353"/>
      <c r="AI1789" s="3353"/>
      <c r="AJ1789" s="3353"/>
      <c r="AK1789" s="3353"/>
      <c r="AL1789" s="3353"/>
    </row>
    <row r="1790" spans="1:38" s="3309" customFormat="1" ht="15.75" x14ac:dyDescent="0.25">
      <c r="A1790" s="3496" t="s">
        <v>3412</v>
      </c>
      <c r="B1790" s="3497">
        <f t="shared" ref="B1790:G1790" si="981">IF(B1781&lt;2,B1782,IF(B1781&lt;3,B1782,B1782*B1789))</f>
        <v>8.68</v>
      </c>
      <c r="C1790" s="3497">
        <f t="shared" si="981"/>
        <v>8.68</v>
      </c>
      <c r="D1790" s="3497">
        <f t="shared" si="981"/>
        <v>8.68</v>
      </c>
      <c r="E1790" s="3497">
        <f t="shared" si="981"/>
        <v>8.68</v>
      </c>
      <c r="F1790" s="3497">
        <f t="shared" si="981"/>
        <v>8.68</v>
      </c>
      <c r="G1790" s="3497">
        <f t="shared" si="981"/>
        <v>8.68</v>
      </c>
      <c r="H1790" s="3353"/>
      <c r="I1790" s="3353"/>
      <c r="J1790" s="3353"/>
      <c r="K1790" s="3353"/>
      <c r="L1790" s="3353"/>
      <c r="M1790" s="3353"/>
      <c r="N1790" s="3353"/>
      <c r="O1790" s="3353"/>
      <c r="P1790" s="3353"/>
      <c r="Q1790" s="3353"/>
      <c r="R1790" s="3353"/>
      <c r="S1790" s="3353"/>
      <c r="T1790" s="3353"/>
      <c r="U1790" s="3353"/>
      <c r="V1790" s="3353"/>
      <c r="W1790" s="3353"/>
      <c r="X1790" s="3353"/>
      <c r="Y1790" s="3353"/>
      <c r="Z1790" s="3353"/>
      <c r="AA1790" s="3353"/>
      <c r="AB1790" s="3353"/>
      <c r="AC1790" s="3353"/>
      <c r="AD1790" s="3353"/>
      <c r="AE1790" s="3353"/>
      <c r="AF1790" s="3353"/>
      <c r="AG1790" s="3353"/>
      <c r="AH1790" s="3353"/>
      <c r="AI1790" s="3353"/>
      <c r="AJ1790" s="3353"/>
      <c r="AK1790" s="3353"/>
      <c r="AL1790" s="3353"/>
    </row>
    <row r="1791" spans="1:38" s="3309" customFormat="1" ht="15.75" x14ac:dyDescent="0.25">
      <c r="A1791" s="3496" t="s">
        <v>429</v>
      </c>
      <c r="B1791" s="3495" t="e">
        <f t="shared" ref="B1791:G1791" si="982">B1780/B1790</f>
        <v>#VALUE!</v>
      </c>
      <c r="C1791" s="3495">
        <f t="shared" si="982"/>
        <v>0</v>
      </c>
      <c r="D1791" s="3495">
        <f t="shared" si="982"/>
        <v>0</v>
      </c>
      <c r="E1791" s="3495">
        <f t="shared" si="982"/>
        <v>0</v>
      </c>
      <c r="F1791" s="3495">
        <f t="shared" si="982"/>
        <v>0</v>
      </c>
      <c r="G1791" s="3495">
        <f t="shared" si="982"/>
        <v>0</v>
      </c>
      <c r="H1791" s="3353"/>
      <c r="I1791" s="3353"/>
      <c r="J1791" s="3353"/>
      <c r="K1791" s="3353"/>
      <c r="L1791" s="3353"/>
      <c r="M1791" s="3353"/>
      <c r="N1791" s="3353"/>
      <c r="O1791" s="3353"/>
      <c r="P1791" s="3353"/>
      <c r="Q1791" s="3353"/>
      <c r="R1791" s="3353"/>
      <c r="S1791" s="3353"/>
      <c r="T1791" s="3353"/>
      <c r="U1791" s="3353"/>
      <c r="V1791" s="3353"/>
      <c r="W1791" s="3353"/>
      <c r="X1791" s="3353"/>
      <c r="Y1791" s="3353"/>
      <c r="Z1791" s="3353"/>
      <c r="AA1791" s="3353"/>
      <c r="AB1791" s="3353"/>
      <c r="AC1791" s="3353"/>
      <c r="AD1791" s="3353"/>
      <c r="AE1791" s="3353"/>
      <c r="AF1791" s="3353"/>
      <c r="AG1791" s="3353"/>
      <c r="AH1791" s="3353"/>
      <c r="AI1791" s="3353"/>
      <c r="AJ1791" s="3353"/>
      <c r="AK1791" s="3353"/>
      <c r="AL1791" s="3353"/>
    </row>
    <row r="1792" spans="1:38" s="3309" customFormat="1" ht="15.75" x14ac:dyDescent="0.25">
      <c r="A1792" s="3494" t="s">
        <v>831</v>
      </c>
      <c r="B1792" s="3493" t="e">
        <f t="shared" ref="B1792:G1792" si="983">IF(B1432=1,B1791,0)</f>
        <v>#VALUE!</v>
      </c>
      <c r="C1792" s="3493">
        <f t="shared" si="983"/>
        <v>0</v>
      </c>
      <c r="D1792" s="3493">
        <f t="shared" si="983"/>
        <v>0</v>
      </c>
      <c r="E1792" s="3493">
        <f t="shared" si="983"/>
        <v>0</v>
      </c>
      <c r="F1792" s="3493">
        <f t="shared" si="983"/>
        <v>0</v>
      </c>
      <c r="G1792" s="3493">
        <f t="shared" si="983"/>
        <v>0</v>
      </c>
      <c r="H1792" s="3353"/>
      <c r="I1792" s="3353"/>
      <c r="J1792" s="3353"/>
      <c r="K1792" s="3353"/>
      <c r="L1792" s="3353"/>
      <c r="M1792" s="3353"/>
      <c r="N1792" s="3353"/>
      <c r="O1792" s="3353"/>
      <c r="P1792" s="3353"/>
      <c r="Q1792" s="3353"/>
      <c r="R1792" s="3353"/>
      <c r="S1792" s="3353"/>
      <c r="T1792" s="3353"/>
      <c r="U1792" s="3353"/>
      <c r="V1792" s="3353"/>
      <c r="W1792" s="3353"/>
      <c r="X1792" s="3353"/>
      <c r="Y1792" s="3353"/>
      <c r="Z1792" s="3353"/>
      <c r="AA1792" s="3353"/>
      <c r="AB1792" s="3353"/>
      <c r="AC1792" s="3353"/>
      <c r="AD1792" s="3353"/>
      <c r="AE1792" s="3353"/>
      <c r="AF1792" s="3353"/>
      <c r="AG1792" s="3353"/>
      <c r="AH1792" s="3353"/>
      <c r="AI1792" s="3353"/>
      <c r="AJ1792" s="3353"/>
      <c r="AK1792" s="3353"/>
      <c r="AL1792" s="3353"/>
    </row>
    <row r="1793" spans="1:38" s="3309" customFormat="1" x14ac:dyDescent="0.2">
      <c r="A1793" s="3421"/>
      <c r="B1793" s="3492"/>
      <c r="C1793" s="3492"/>
      <c r="D1793" s="3492"/>
      <c r="E1793" s="3492"/>
      <c r="F1793" s="3492"/>
      <c r="G1793" s="3492"/>
      <c r="H1793" s="3353"/>
      <c r="I1793" s="3353"/>
      <c r="J1793" s="3353"/>
      <c r="K1793" s="3353"/>
      <c r="L1793" s="3353"/>
      <c r="M1793" s="3353"/>
      <c r="N1793" s="3353"/>
      <c r="O1793" s="3353"/>
      <c r="P1793" s="3353"/>
      <c r="Q1793" s="3353"/>
      <c r="R1793" s="3353"/>
      <c r="S1793" s="3353"/>
      <c r="T1793" s="3353"/>
      <c r="U1793" s="3353"/>
      <c r="V1793" s="3353"/>
      <c r="W1793" s="3353"/>
      <c r="X1793" s="3353"/>
      <c r="Y1793" s="3353"/>
      <c r="Z1793" s="3353"/>
      <c r="AA1793" s="3353"/>
      <c r="AB1793" s="3353"/>
      <c r="AC1793" s="3353"/>
      <c r="AD1793" s="3353"/>
      <c r="AE1793" s="3353"/>
      <c r="AF1793" s="3353"/>
      <c r="AG1793" s="3353"/>
      <c r="AH1793" s="3353"/>
      <c r="AI1793" s="3353"/>
      <c r="AJ1793" s="3353"/>
      <c r="AK1793" s="3353"/>
      <c r="AL1793" s="3353"/>
    </row>
    <row r="1794" spans="1:38" s="3309" customFormat="1" ht="25.5" x14ac:dyDescent="0.2">
      <c r="A1794" s="3416" t="s">
        <v>535</v>
      </c>
      <c r="B1794" s="3379"/>
      <c r="C1794" s="3412"/>
      <c r="D1794" s="3412"/>
      <c r="E1794" s="3412"/>
      <c r="F1794" s="3412"/>
      <c r="G1794" s="3412"/>
      <c r="H1794" s="3353"/>
      <c r="I1794" s="3353"/>
      <c r="J1794" s="3353"/>
      <c r="K1794" s="3353"/>
      <c r="L1794" s="3353"/>
      <c r="M1794" s="3353"/>
      <c r="N1794" s="3353"/>
      <c r="O1794" s="3353"/>
      <c r="P1794" s="3353"/>
      <c r="Q1794" s="3353"/>
      <c r="R1794" s="3353"/>
      <c r="S1794" s="3353"/>
      <c r="T1794" s="3353"/>
      <c r="U1794" s="3353"/>
      <c r="V1794" s="3353"/>
      <c r="W1794" s="3353"/>
      <c r="X1794" s="3353"/>
      <c r="Y1794" s="3353"/>
      <c r="Z1794" s="3353"/>
      <c r="AA1794" s="3353"/>
      <c r="AB1794" s="3353"/>
      <c r="AC1794" s="3353"/>
      <c r="AD1794" s="3353"/>
      <c r="AE1794" s="3353"/>
      <c r="AF1794" s="3353"/>
      <c r="AG1794" s="3353"/>
      <c r="AH1794" s="3353"/>
      <c r="AI1794" s="3353"/>
      <c r="AJ1794" s="3353"/>
      <c r="AK1794" s="3353"/>
      <c r="AL1794" s="3353"/>
    </row>
    <row r="1795" spans="1:38" s="3309" customFormat="1" x14ac:dyDescent="0.2">
      <c r="A1795" s="3411" t="s">
        <v>424</v>
      </c>
      <c r="B1795" s="3424">
        <f t="shared" ref="B1795:G1795" si="984">B1401/B1404</f>
        <v>0</v>
      </c>
      <c r="C1795" s="3424" t="e">
        <f t="shared" si="984"/>
        <v>#DIV/0!</v>
      </c>
      <c r="D1795" s="3424" t="e">
        <f t="shared" si="984"/>
        <v>#DIV/0!</v>
      </c>
      <c r="E1795" s="3424" t="e">
        <f t="shared" si="984"/>
        <v>#DIV/0!</v>
      </c>
      <c r="F1795" s="3424" t="e">
        <f t="shared" si="984"/>
        <v>#DIV/0!</v>
      </c>
      <c r="G1795" s="3424" t="e">
        <f t="shared" si="984"/>
        <v>#DIV/0!</v>
      </c>
      <c r="H1795" s="3353"/>
      <c r="I1795" s="3353"/>
      <c r="J1795" s="3353"/>
      <c r="K1795" s="3353"/>
      <c r="L1795" s="3353"/>
      <c r="M1795" s="3353"/>
      <c r="N1795" s="3353"/>
      <c r="O1795" s="3353"/>
      <c r="P1795" s="3353"/>
      <c r="Q1795" s="3353"/>
      <c r="R1795" s="3353"/>
      <c r="S1795" s="3353"/>
      <c r="T1795" s="3353"/>
      <c r="U1795" s="3353"/>
      <c r="V1795" s="3353"/>
      <c r="W1795" s="3353"/>
      <c r="X1795" s="3353"/>
      <c r="Y1795" s="3353"/>
      <c r="Z1795" s="3353"/>
      <c r="AA1795" s="3353"/>
      <c r="AB1795" s="3353"/>
      <c r="AC1795" s="3353"/>
      <c r="AD1795" s="3353"/>
      <c r="AE1795" s="3353"/>
      <c r="AF1795" s="3353"/>
      <c r="AG1795" s="3353"/>
      <c r="AH1795" s="3353"/>
      <c r="AI1795" s="3353"/>
      <c r="AJ1795" s="3353"/>
      <c r="AK1795" s="3353"/>
      <c r="AL1795" s="3353"/>
    </row>
    <row r="1796" spans="1:38" s="3309" customFormat="1" x14ac:dyDescent="0.2">
      <c r="A1796" s="3411" t="s">
        <v>425</v>
      </c>
      <c r="B1796" s="3491">
        <f t="shared" ref="B1796:G1796" si="985">IF(B1797&lt;2.51,30.8,IF(B1797&lt;3.01,26.1,IF(B1797&lt;3.31,22.4,IF(B1797&lt;3.61,18.9,IF(B1797&lt;3.81,16.1,IF(B1797&lt;4.4,14,12.1))))))</f>
        <v>18.899999999999999</v>
      </c>
      <c r="C1796" s="3491">
        <f t="shared" si="985"/>
        <v>30.8</v>
      </c>
      <c r="D1796" s="3491">
        <f t="shared" si="985"/>
        <v>30.8</v>
      </c>
      <c r="E1796" s="3491">
        <f t="shared" si="985"/>
        <v>30.8</v>
      </c>
      <c r="F1796" s="3491">
        <f t="shared" si="985"/>
        <v>30.8</v>
      </c>
      <c r="G1796" s="3491">
        <f t="shared" si="985"/>
        <v>30.8</v>
      </c>
      <c r="H1796" s="3353"/>
      <c r="I1796" s="3353"/>
      <c r="J1796" s="3353"/>
      <c r="K1796" s="3353"/>
      <c r="L1796" s="3353"/>
      <c r="M1796" s="3353"/>
      <c r="N1796" s="3353"/>
      <c r="O1796" s="3353"/>
      <c r="P1796" s="3353"/>
      <c r="Q1796" s="3353"/>
      <c r="R1796" s="3353"/>
      <c r="S1796" s="3353"/>
      <c r="T1796" s="3353"/>
      <c r="U1796" s="3353"/>
      <c r="V1796" s="3353"/>
      <c r="W1796" s="3353"/>
      <c r="X1796" s="3353"/>
      <c r="Y1796" s="3353"/>
      <c r="Z1796" s="3353"/>
      <c r="AA1796" s="3353"/>
      <c r="AB1796" s="3353"/>
      <c r="AC1796" s="3353"/>
      <c r="AD1796" s="3353"/>
      <c r="AE1796" s="3353"/>
      <c r="AF1796" s="3353"/>
      <c r="AG1796" s="3353"/>
      <c r="AH1796" s="3353"/>
      <c r="AI1796" s="3353"/>
      <c r="AJ1796" s="3353"/>
      <c r="AK1796" s="3353"/>
      <c r="AL1796" s="3353"/>
    </row>
    <row r="1797" spans="1:38" s="3309" customFormat="1" x14ac:dyDescent="0.2">
      <c r="A1797" s="3434" t="s">
        <v>536</v>
      </c>
      <c r="B1797" s="3429">
        <f t="shared" ref="B1797:G1797" si="986">B1149</f>
        <v>3.5</v>
      </c>
      <c r="C1797" s="3429">
        <f t="shared" si="986"/>
        <v>0</v>
      </c>
      <c r="D1797" s="3429">
        <f t="shared" si="986"/>
        <v>0</v>
      </c>
      <c r="E1797" s="3429">
        <f t="shared" si="986"/>
        <v>0</v>
      </c>
      <c r="F1797" s="3429">
        <f t="shared" si="986"/>
        <v>0</v>
      </c>
      <c r="G1797" s="3429">
        <f t="shared" si="986"/>
        <v>0</v>
      </c>
      <c r="H1797" s="3353"/>
      <c r="I1797" s="3353"/>
      <c r="J1797" s="3353"/>
      <c r="K1797" s="3353"/>
      <c r="L1797" s="3353"/>
      <c r="M1797" s="3353"/>
      <c r="N1797" s="3353"/>
      <c r="O1797" s="3353"/>
      <c r="P1797" s="3353"/>
      <c r="Q1797" s="3353"/>
      <c r="R1797" s="3353"/>
      <c r="S1797" s="3353"/>
      <c r="T1797" s="3353"/>
      <c r="U1797" s="3353"/>
      <c r="V1797" s="3353"/>
      <c r="W1797" s="3353"/>
      <c r="X1797" s="3353"/>
      <c r="Y1797" s="3353"/>
      <c r="Z1797" s="3353"/>
      <c r="AA1797" s="3353"/>
      <c r="AB1797" s="3353"/>
      <c r="AC1797" s="3353"/>
      <c r="AD1797" s="3353"/>
      <c r="AE1797" s="3353"/>
      <c r="AF1797" s="3353"/>
      <c r="AG1797" s="3353"/>
      <c r="AH1797" s="3353"/>
      <c r="AI1797" s="3353"/>
      <c r="AJ1797" s="3353"/>
      <c r="AK1797" s="3353"/>
      <c r="AL1797" s="3353"/>
    </row>
    <row r="1798" spans="1:38" s="3309" customFormat="1" x14ac:dyDescent="0.2">
      <c r="A1798" s="3459" t="s">
        <v>3412</v>
      </c>
      <c r="B1798" s="3417" t="e">
        <f t="shared" ref="B1798:G1798" si="987">B1796*B1395*B1395</f>
        <v>#VALUE!</v>
      </c>
      <c r="C1798" s="3417">
        <f t="shared" si="987"/>
        <v>0</v>
      </c>
      <c r="D1798" s="3417">
        <f t="shared" si="987"/>
        <v>0</v>
      </c>
      <c r="E1798" s="3417">
        <f t="shared" si="987"/>
        <v>0</v>
      </c>
      <c r="F1798" s="3417">
        <f t="shared" si="987"/>
        <v>0</v>
      </c>
      <c r="G1798" s="3417">
        <f t="shared" si="987"/>
        <v>0</v>
      </c>
      <c r="H1798" s="3353"/>
      <c r="I1798" s="3353"/>
      <c r="J1798" s="3353"/>
      <c r="K1798" s="3353"/>
      <c r="L1798" s="3353"/>
      <c r="M1798" s="3353"/>
      <c r="N1798" s="3353"/>
      <c r="O1798" s="3353"/>
      <c r="P1798" s="3353"/>
      <c r="Q1798" s="3353"/>
      <c r="R1798" s="3353"/>
      <c r="S1798" s="3353"/>
      <c r="T1798" s="3353"/>
      <c r="U1798" s="3353"/>
      <c r="V1798" s="3353"/>
      <c r="W1798" s="3353"/>
      <c r="X1798" s="3353"/>
      <c r="Y1798" s="3353"/>
      <c r="Z1798" s="3353"/>
      <c r="AA1798" s="3353"/>
      <c r="AB1798" s="3353"/>
      <c r="AC1798" s="3353"/>
      <c r="AD1798" s="3353"/>
      <c r="AE1798" s="3353"/>
      <c r="AF1798" s="3353"/>
      <c r="AG1798" s="3353"/>
      <c r="AH1798" s="3353"/>
      <c r="AI1798" s="3353"/>
      <c r="AJ1798" s="3353"/>
      <c r="AK1798" s="3353"/>
      <c r="AL1798" s="3353"/>
    </row>
    <row r="1799" spans="1:38" s="3309" customFormat="1" x14ac:dyDescent="0.2">
      <c r="A1799" s="3377" t="s">
        <v>429</v>
      </c>
      <c r="B1799" s="3490" t="e">
        <f t="shared" ref="B1799:G1799" si="988">B1795/B1798</f>
        <v>#VALUE!</v>
      </c>
      <c r="C1799" s="3490" t="e">
        <f t="shared" si="988"/>
        <v>#DIV/0!</v>
      </c>
      <c r="D1799" s="3490" t="e">
        <f t="shared" si="988"/>
        <v>#DIV/0!</v>
      </c>
      <c r="E1799" s="3490" t="e">
        <f t="shared" si="988"/>
        <v>#DIV/0!</v>
      </c>
      <c r="F1799" s="3490" t="e">
        <f t="shared" si="988"/>
        <v>#DIV/0!</v>
      </c>
      <c r="G1799" s="3490" t="e">
        <f t="shared" si="988"/>
        <v>#DIV/0!</v>
      </c>
      <c r="H1799" s="3353"/>
      <c r="I1799" s="3353"/>
      <c r="J1799" s="3353"/>
      <c r="K1799" s="3353"/>
      <c r="L1799" s="3353"/>
      <c r="M1799" s="3353"/>
      <c r="N1799" s="3353"/>
      <c r="O1799" s="3353"/>
      <c r="P1799" s="3353"/>
      <c r="Q1799" s="3353"/>
      <c r="R1799" s="3353"/>
      <c r="S1799" s="3353"/>
      <c r="T1799" s="3353"/>
      <c r="U1799" s="3353"/>
      <c r="V1799" s="3353"/>
      <c r="W1799" s="3353"/>
      <c r="X1799" s="3353"/>
      <c r="Y1799" s="3353"/>
      <c r="Z1799" s="3353"/>
      <c r="AA1799" s="3353"/>
      <c r="AB1799" s="3353"/>
      <c r="AC1799" s="3353"/>
      <c r="AD1799" s="3353"/>
      <c r="AE1799" s="3353"/>
      <c r="AF1799" s="3353"/>
      <c r="AG1799" s="3353"/>
      <c r="AH1799" s="3353"/>
      <c r="AI1799" s="3353"/>
      <c r="AJ1799" s="3353"/>
      <c r="AK1799" s="3353"/>
      <c r="AL1799" s="3353"/>
    </row>
    <row r="1800" spans="1:38" s="3309" customFormat="1" x14ac:dyDescent="0.2">
      <c r="A1800" s="3489"/>
      <c r="B1800" s="3489"/>
      <c r="C1800" s="3489"/>
      <c r="D1800" s="3489"/>
      <c r="E1800" s="3489"/>
      <c r="F1800" s="3489"/>
      <c r="G1800" s="3489"/>
      <c r="H1800" s="3353"/>
      <c r="I1800" s="3353"/>
      <c r="J1800" s="3353"/>
      <c r="K1800" s="3353"/>
      <c r="L1800" s="3353"/>
      <c r="M1800" s="3353"/>
      <c r="N1800" s="3353"/>
      <c r="O1800" s="3353"/>
      <c r="P1800" s="3353"/>
      <c r="Q1800" s="3353"/>
      <c r="R1800" s="3353"/>
      <c r="S1800" s="3353"/>
      <c r="T1800" s="3353"/>
      <c r="U1800" s="3353"/>
      <c r="V1800" s="3353"/>
      <c r="W1800" s="3353"/>
      <c r="X1800" s="3353"/>
      <c r="Y1800" s="3353"/>
      <c r="Z1800" s="3353"/>
      <c r="AA1800" s="3353"/>
      <c r="AB1800" s="3353"/>
      <c r="AC1800" s="3353"/>
      <c r="AD1800" s="3353"/>
      <c r="AE1800" s="3353"/>
      <c r="AF1800" s="3353"/>
      <c r="AG1800" s="3353"/>
      <c r="AH1800" s="3353"/>
      <c r="AI1800" s="3353"/>
      <c r="AJ1800" s="3353"/>
      <c r="AK1800" s="3353"/>
      <c r="AL1800" s="3353"/>
    </row>
    <row r="1801" spans="1:38" s="3309" customFormat="1" x14ac:dyDescent="0.2">
      <c r="A1801" s="3331" t="s">
        <v>6098</v>
      </c>
      <c r="B1801" s="3484" t="e">
        <f t="shared" ref="B1801:G1801" si="989">B1799+B1778+B1792</f>
        <v>#VALUE!</v>
      </c>
      <c r="C1801" s="3484" t="e">
        <f t="shared" si="989"/>
        <v>#DIV/0!</v>
      </c>
      <c r="D1801" s="3484" t="e">
        <f t="shared" si="989"/>
        <v>#DIV/0!</v>
      </c>
      <c r="E1801" s="3484" t="e">
        <f t="shared" si="989"/>
        <v>#DIV/0!</v>
      </c>
      <c r="F1801" s="3484" t="e">
        <f t="shared" si="989"/>
        <v>#DIV/0!</v>
      </c>
      <c r="G1801" s="3484" t="e">
        <f t="shared" si="989"/>
        <v>#DIV/0!</v>
      </c>
      <c r="H1801" s="3353"/>
      <c r="I1801" s="3353"/>
      <c r="J1801" s="3353"/>
      <c r="K1801" s="3353"/>
      <c r="L1801" s="3353"/>
      <c r="M1801" s="3353"/>
      <c r="N1801" s="3353"/>
      <c r="O1801" s="3353"/>
      <c r="P1801" s="3353"/>
      <c r="Q1801" s="3353"/>
      <c r="R1801" s="3353"/>
      <c r="S1801" s="3353"/>
      <c r="T1801" s="3353"/>
      <c r="U1801" s="3353"/>
      <c r="V1801" s="3353"/>
      <c r="W1801" s="3353"/>
      <c r="X1801" s="3353"/>
      <c r="Y1801" s="3353"/>
      <c r="Z1801" s="3353"/>
      <c r="AA1801" s="3353"/>
      <c r="AB1801" s="3353"/>
      <c r="AC1801" s="3353"/>
      <c r="AD1801" s="3353"/>
      <c r="AE1801" s="3353"/>
      <c r="AF1801" s="3353"/>
      <c r="AG1801" s="3353"/>
      <c r="AH1801" s="3353"/>
      <c r="AI1801" s="3353"/>
      <c r="AJ1801" s="3353"/>
      <c r="AK1801" s="3353"/>
      <c r="AL1801" s="3353"/>
    </row>
    <row r="1802" spans="1:38" s="3309" customFormat="1" x14ac:dyDescent="0.2">
      <c r="A1802" s="3488" t="s">
        <v>6466</v>
      </c>
      <c r="B1802" s="3487"/>
      <c r="C1802" s="3487"/>
      <c r="D1802" s="3487"/>
      <c r="E1802" s="3487"/>
      <c r="F1802" s="3487"/>
      <c r="G1802" s="3486"/>
      <c r="H1802" s="3353"/>
      <c r="I1802" s="3353"/>
      <c r="J1802" s="3353"/>
      <c r="K1802" s="3353"/>
      <c r="L1802" s="3353"/>
      <c r="M1802" s="3353"/>
      <c r="N1802" s="3353"/>
      <c r="O1802" s="3353"/>
      <c r="P1802" s="3353"/>
      <c r="Q1802" s="3353"/>
      <c r="R1802" s="3353"/>
      <c r="S1802" s="3353"/>
      <c r="T1802" s="3353"/>
      <c r="U1802" s="3353"/>
      <c r="V1802" s="3353"/>
      <c r="W1802" s="3353"/>
      <c r="X1802" s="3353"/>
      <c r="Y1802" s="3353"/>
      <c r="Z1802" s="3353"/>
      <c r="AA1802" s="3353"/>
      <c r="AB1802" s="3353"/>
      <c r="AC1802" s="3353"/>
      <c r="AD1802" s="3353"/>
      <c r="AE1802" s="3353"/>
      <c r="AF1802" s="3353"/>
      <c r="AG1802" s="3353"/>
      <c r="AH1802" s="3353"/>
      <c r="AI1802" s="3353"/>
      <c r="AJ1802" s="3353"/>
      <c r="AK1802" s="3353"/>
      <c r="AL1802" s="3353"/>
    </row>
    <row r="1803" spans="1:38" s="3309" customFormat="1" x14ac:dyDescent="0.2">
      <c r="A1803" s="3323" t="s">
        <v>6096</v>
      </c>
      <c r="B1803" s="3484" t="e">
        <f t="shared" ref="B1803:G1803" si="990">IF(B1419=1,B1723,B1748+B1770)</f>
        <v>#VALUE!</v>
      </c>
      <c r="C1803" s="3484" t="e">
        <f t="shared" si="990"/>
        <v>#DIV/0!</v>
      </c>
      <c r="D1803" s="3484" t="e">
        <f t="shared" si="990"/>
        <v>#DIV/0!</v>
      </c>
      <c r="E1803" s="3484" t="e">
        <f t="shared" si="990"/>
        <v>#DIV/0!</v>
      </c>
      <c r="F1803" s="3484" t="e">
        <f t="shared" si="990"/>
        <v>#DIV/0!</v>
      </c>
      <c r="G1803" s="3484" t="e">
        <f t="shared" si="990"/>
        <v>#DIV/0!</v>
      </c>
      <c r="H1803" s="3353"/>
      <c r="I1803" s="3353"/>
      <c r="J1803" s="3353"/>
      <c r="K1803" s="3353"/>
      <c r="L1803" s="3353"/>
      <c r="M1803" s="3353"/>
      <c r="N1803" s="3353"/>
      <c r="O1803" s="3353"/>
      <c r="P1803" s="3353"/>
      <c r="Q1803" s="3353"/>
      <c r="R1803" s="3353"/>
      <c r="S1803" s="3353"/>
      <c r="T1803" s="3353"/>
      <c r="U1803" s="3353"/>
      <c r="V1803" s="3353"/>
      <c r="W1803" s="3353"/>
      <c r="X1803" s="3353"/>
      <c r="Y1803" s="3353"/>
      <c r="Z1803" s="3353"/>
      <c r="AA1803" s="3353"/>
      <c r="AB1803" s="3353"/>
      <c r="AC1803" s="3353"/>
      <c r="AD1803" s="3353"/>
      <c r="AE1803" s="3353"/>
      <c r="AF1803" s="3353"/>
      <c r="AG1803" s="3353"/>
      <c r="AH1803" s="3353"/>
      <c r="AI1803" s="3353"/>
      <c r="AJ1803" s="3353"/>
      <c r="AK1803" s="3353"/>
      <c r="AL1803" s="3353"/>
    </row>
    <row r="1804" spans="1:38" s="3309" customFormat="1" x14ac:dyDescent="0.2">
      <c r="A1804" s="3323" t="s">
        <v>6095</v>
      </c>
      <c r="B1804" s="3484" t="e">
        <f t="shared" ref="B1804:G1804" si="991">B1707</f>
        <v>#VALUE!</v>
      </c>
      <c r="C1804" s="3484" t="e">
        <f t="shared" si="991"/>
        <v>#DIV/0!</v>
      </c>
      <c r="D1804" s="3484" t="e">
        <f t="shared" si="991"/>
        <v>#DIV/0!</v>
      </c>
      <c r="E1804" s="3484" t="e">
        <f t="shared" si="991"/>
        <v>#DIV/0!</v>
      </c>
      <c r="F1804" s="3484" t="e">
        <f t="shared" si="991"/>
        <v>#DIV/0!</v>
      </c>
      <c r="G1804" s="3484" t="e">
        <f t="shared" si="991"/>
        <v>#DIV/0!</v>
      </c>
      <c r="H1804" s="3353"/>
      <c r="I1804" s="3353"/>
      <c r="J1804" s="3353"/>
      <c r="K1804" s="3353"/>
      <c r="L1804" s="3353"/>
      <c r="M1804" s="3353"/>
      <c r="N1804" s="3353"/>
      <c r="O1804" s="3353"/>
      <c r="P1804" s="3353"/>
      <c r="Q1804" s="3353"/>
      <c r="R1804" s="3353"/>
      <c r="S1804" s="3353"/>
      <c r="T1804" s="3353"/>
      <c r="U1804" s="3353"/>
      <c r="V1804" s="3353"/>
      <c r="W1804" s="3353"/>
      <c r="X1804" s="3353"/>
      <c r="Y1804" s="3353"/>
      <c r="Z1804" s="3353"/>
      <c r="AA1804" s="3353"/>
      <c r="AB1804" s="3353"/>
      <c r="AC1804" s="3353"/>
      <c r="AD1804" s="3353"/>
      <c r="AE1804" s="3353"/>
      <c r="AF1804" s="3353"/>
      <c r="AG1804" s="3353"/>
      <c r="AH1804" s="3353"/>
      <c r="AI1804" s="3353"/>
      <c r="AJ1804" s="3353"/>
      <c r="AK1804" s="3353"/>
      <c r="AL1804" s="3353"/>
    </row>
    <row r="1805" spans="1:38" s="3309" customFormat="1" x14ac:dyDescent="0.2">
      <c r="A1805" s="3323" t="s">
        <v>6094</v>
      </c>
      <c r="B1805" s="3325" t="e">
        <f t="shared" ref="B1805:G1805" si="992">B1801*B1401</f>
        <v>#VALUE!</v>
      </c>
      <c r="C1805" s="3325" t="e">
        <f t="shared" si="992"/>
        <v>#DIV/0!</v>
      </c>
      <c r="D1805" s="3325" t="e">
        <f t="shared" si="992"/>
        <v>#DIV/0!</v>
      </c>
      <c r="E1805" s="3325" t="e">
        <f t="shared" si="992"/>
        <v>#DIV/0!</v>
      </c>
      <c r="F1805" s="3325" t="e">
        <f t="shared" si="992"/>
        <v>#DIV/0!</v>
      </c>
      <c r="G1805" s="3325" t="e">
        <f t="shared" si="992"/>
        <v>#DIV/0!</v>
      </c>
      <c r="H1805" s="3353"/>
      <c r="I1805" s="3353"/>
      <c r="J1805" s="3353"/>
      <c r="K1805" s="3353"/>
      <c r="L1805" s="3353"/>
      <c r="M1805" s="3353"/>
      <c r="N1805" s="3353"/>
      <c r="O1805" s="3353"/>
      <c r="P1805" s="3353"/>
      <c r="Q1805" s="3353"/>
      <c r="R1805" s="3353"/>
      <c r="S1805" s="3353"/>
      <c r="T1805" s="3353"/>
      <c r="U1805" s="3353"/>
      <c r="V1805" s="3353"/>
      <c r="W1805" s="3353"/>
      <c r="X1805" s="3353"/>
      <c r="Y1805" s="3353"/>
      <c r="Z1805" s="3353"/>
      <c r="AA1805" s="3353"/>
      <c r="AB1805" s="3353"/>
      <c r="AC1805" s="3353"/>
      <c r="AD1805" s="3353"/>
      <c r="AE1805" s="3353"/>
      <c r="AF1805" s="3353"/>
      <c r="AG1805" s="3353"/>
      <c r="AH1805" s="3353"/>
      <c r="AI1805" s="3353"/>
      <c r="AJ1805" s="3353"/>
      <c r="AK1805" s="3353"/>
      <c r="AL1805" s="3353"/>
    </row>
    <row r="1806" spans="1:38" s="3309" customFormat="1" x14ac:dyDescent="0.2">
      <c r="A1806" s="3323" t="s">
        <v>6093</v>
      </c>
      <c r="B1806" s="3484" t="e">
        <f t="shared" ref="B1806:G1806" si="993">B1803+B1804+B1805</f>
        <v>#VALUE!</v>
      </c>
      <c r="C1806" s="3484" t="e">
        <f t="shared" si="993"/>
        <v>#DIV/0!</v>
      </c>
      <c r="D1806" s="3484" t="e">
        <f t="shared" si="993"/>
        <v>#DIV/0!</v>
      </c>
      <c r="E1806" s="3484" t="e">
        <f t="shared" si="993"/>
        <v>#DIV/0!</v>
      </c>
      <c r="F1806" s="3484" t="e">
        <f t="shared" si="993"/>
        <v>#DIV/0!</v>
      </c>
      <c r="G1806" s="3484" t="e">
        <f t="shared" si="993"/>
        <v>#DIV/0!</v>
      </c>
      <c r="H1806" s="3353"/>
      <c r="I1806" s="3353"/>
      <c r="J1806" s="3353"/>
      <c r="K1806" s="3353"/>
      <c r="L1806" s="3353"/>
      <c r="M1806" s="3353"/>
      <c r="N1806" s="3353"/>
      <c r="O1806" s="3353"/>
      <c r="P1806" s="3353"/>
      <c r="Q1806" s="3353"/>
      <c r="R1806" s="3353"/>
      <c r="S1806" s="3353"/>
      <c r="T1806" s="3353"/>
      <c r="U1806" s="3353"/>
      <c r="V1806" s="3353"/>
      <c r="W1806" s="3353"/>
      <c r="X1806" s="3353"/>
      <c r="Y1806" s="3353"/>
      <c r="Z1806" s="3353"/>
      <c r="AA1806" s="3353"/>
      <c r="AB1806" s="3353"/>
      <c r="AC1806" s="3353"/>
      <c r="AD1806" s="3353"/>
      <c r="AE1806" s="3353"/>
      <c r="AF1806" s="3353"/>
      <c r="AG1806" s="3353"/>
      <c r="AH1806" s="3353"/>
      <c r="AI1806" s="3353"/>
      <c r="AJ1806" s="3353"/>
      <c r="AK1806" s="3353"/>
      <c r="AL1806" s="3353"/>
    </row>
    <row r="1807" spans="1:38" s="3309" customFormat="1" x14ac:dyDescent="0.2">
      <c r="A1807" s="3323" t="s">
        <v>6092</v>
      </c>
      <c r="B1807" s="3484" t="e">
        <f t="shared" ref="B1807:G1807" si="994">B1806*B1921/(B1812*B1815)</f>
        <v>#VALUE!</v>
      </c>
      <c r="C1807" s="3484" t="e">
        <f t="shared" si="994"/>
        <v>#DIV/0!</v>
      </c>
      <c r="D1807" s="3484" t="e">
        <f t="shared" si="994"/>
        <v>#DIV/0!</v>
      </c>
      <c r="E1807" s="3484" t="e">
        <f t="shared" si="994"/>
        <v>#DIV/0!</v>
      </c>
      <c r="F1807" s="3484" t="e">
        <f t="shared" si="994"/>
        <v>#DIV/0!</v>
      </c>
      <c r="G1807" s="3484" t="e">
        <f t="shared" si="994"/>
        <v>#DIV/0!</v>
      </c>
      <c r="H1807" s="3353"/>
      <c r="I1807" s="3353"/>
      <c r="J1807" s="3353"/>
      <c r="K1807" s="3353"/>
      <c r="L1807" s="3353"/>
      <c r="M1807" s="3353"/>
      <c r="N1807" s="3353"/>
      <c r="O1807" s="3353"/>
      <c r="P1807" s="3353"/>
      <c r="Q1807" s="3353"/>
      <c r="R1807" s="3353"/>
      <c r="S1807" s="3353"/>
      <c r="T1807" s="3353"/>
      <c r="U1807" s="3353"/>
      <c r="V1807" s="3353"/>
      <c r="W1807" s="3353"/>
      <c r="X1807" s="3353"/>
      <c r="Y1807" s="3353"/>
      <c r="Z1807" s="3353"/>
      <c r="AA1807" s="3353"/>
      <c r="AB1807" s="3353"/>
      <c r="AC1807" s="3353"/>
      <c r="AD1807" s="3353"/>
      <c r="AE1807" s="3353"/>
      <c r="AF1807" s="3353"/>
      <c r="AG1807" s="3353"/>
      <c r="AH1807" s="3353"/>
      <c r="AI1807" s="3353"/>
      <c r="AJ1807" s="3353"/>
      <c r="AK1807" s="3353"/>
      <c r="AL1807" s="3353"/>
    </row>
    <row r="1808" spans="1:38" s="3309" customFormat="1" x14ac:dyDescent="0.2">
      <c r="A1808" s="3331" t="s">
        <v>6091</v>
      </c>
      <c r="G1808" s="3353"/>
      <c r="H1808" s="3353"/>
      <c r="I1808" s="3353"/>
      <c r="J1808" s="3353"/>
      <c r="K1808" s="3353"/>
      <c r="L1808" s="3353"/>
      <c r="M1808" s="3353"/>
      <c r="N1808" s="3353"/>
      <c r="O1808" s="3353"/>
      <c r="P1808" s="3353"/>
      <c r="Q1808" s="3353"/>
      <c r="R1808" s="3353"/>
      <c r="S1808" s="3353"/>
      <c r="T1808" s="3353"/>
      <c r="U1808" s="3353"/>
      <c r="V1808" s="3353"/>
      <c r="W1808" s="3353"/>
      <c r="X1808" s="3353"/>
      <c r="Y1808" s="3353"/>
      <c r="Z1808" s="3353"/>
      <c r="AA1808" s="3353"/>
      <c r="AB1808" s="3353"/>
      <c r="AC1808" s="3353"/>
      <c r="AD1808" s="3353"/>
      <c r="AE1808" s="3353"/>
      <c r="AF1808" s="3353"/>
      <c r="AG1808" s="3353"/>
      <c r="AH1808" s="3353"/>
      <c r="AI1808" s="3353"/>
      <c r="AJ1808" s="3353"/>
      <c r="AK1808" s="3353"/>
      <c r="AL1808" s="3353"/>
    </row>
    <row r="1809" spans="1:38" s="3309" customFormat="1" x14ac:dyDescent="0.2">
      <c r="A1809" s="3481" t="s">
        <v>6090</v>
      </c>
      <c r="B1809" s="3330">
        <f t="shared" ref="B1809:G1809" si="995">B1170</f>
        <v>300</v>
      </c>
      <c r="C1809" s="3330">
        <f t="shared" si="995"/>
        <v>300</v>
      </c>
      <c r="D1809" s="3330">
        <f t="shared" si="995"/>
        <v>300</v>
      </c>
      <c r="E1809" s="3330">
        <f t="shared" si="995"/>
        <v>300</v>
      </c>
      <c r="F1809" s="3330">
        <f t="shared" si="995"/>
        <v>300</v>
      </c>
      <c r="G1809" s="3330">
        <f t="shared" si="995"/>
        <v>300</v>
      </c>
      <c r="H1809" s="3353"/>
      <c r="I1809" s="3353"/>
      <c r="J1809" s="3353"/>
      <c r="K1809" s="3353"/>
      <c r="L1809" s="3353"/>
      <c r="M1809" s="3353"/>
      <c r="N1809" s="3353"/>
      <c r="O1809" s="3353"/>
      <c r="P1809" s="3353"/>
      <c r="Q1809" s="3353"/>
      <c r="R1809" s="3353"/>
      <c r="S1809" s="3353"/>
      <c r="T1809" s="3353"/>
      <c r="U1809" s="3353"/>
      <c r="V1809" s="3353"/>
      <c r="W1809" s="3353"/>
      <c r="X1809" s="3353"/>
      <c r="Y1809" s="3353"/>
      <c r="Z1809" s="3353"/>
      <c r="AA1809" s="3353"/>
      <c r="AB1809" s="3353"/>
      <c r="AC1809" s="3353"/>
      <c r="AD1809" s="3353"/>
      <c r="AE1809" s="3353"/>
      <c r="AF1809" s="3353"/>
      <c r="AG1809" s="3353"/>
      <c r="AH1809" s="3353"/>
      <c r="AI1809" s="3353"/>
      <c r="AJ1809" s="3353"/>
      <c r="AK1809" s="3353"/>
      <c r="AL1809" s="3353"/>
    </row>
    <row r="1810" spans="1:38" s="3309" customFormat="1" x14ac:dyDescent="0.2">
      <c r="A1810" s="3480" t="s">
        <v>6089</v>
      </c>
      <c r="B1810" s="3323">
        <f t="shared" ref="B1810:G1810" si="996">B1809*B192</f>
        <v>420</v>
      </c>
      <c r="C1810" s="3323">
        <f t="shared" si="996"/>
        <v>420</v>
      </c>
      <c r="D1810" s="3323">
        <f t="shared" si="996"/>
        <v>420</v>
      </c>
      <c r="E1810" s="3323">
        <f t="shared" si="996"/>
        <v>420</v>
      </c>
      <c r="F1810" s="3323">
        <f t="shared" si="996"/>
        <v>420</v>
      </c>
      <c r="G1810" s="3323">
        <f t="shared" si="996"/>
        <v>420</v>
      </c>
      <c r="H1810" s="3353"/>
      <c r="I1810" s="3353"/>
      <c r="J1810" s="3353"/>
      <c r="K1810" s="3353"/>
      <c r="L1810" s="3353"/>
      <c r="M1810" s="3353"/>
      <c r="N1810" s="3353"/>
      <c r="O1810" s="3353"/>
      <c r="P1810" s="3353"/>
      <c r="Q1810" s="3353"/>
      <c r="R1810" s="3353"/>
      <c r="S1810" s="3353"/>
      <c r="T1810" s="3353"/>
      <c r="U1810" s="3353"/>
      <c r="V1810" s="3353"/>
      <c r="W1810" s="3353"/>
      <c r="X1810" s="3353"/>
      <c r="Y1810" s="3353"/>
      <c r="Z1810" s="3353"/>
      <c r="AA1810" s="3353"/>
      <c r="AB1810" s="3353"/>
      <c r="AC1810" s="3353"/>
      <c r="AD1810" s="3353"/>
      <c r="AE1810" s="3353"/>
      <c r="AF1810" s="3353"/>
      <c r="AG1810" s="3353"/>
      <c r="AH1810" s="3353"/>
      <c r="AI1810" s="3353"/>
      <c r="AJ1810" s="3353"/>
      <c r="AK1810" s="3353"/>
      <c r="AL1810" s="3353"/>
    </row>
    <row r="1811" spans="1:38" s="3309" customFormat="1" x14ac:dyDescent="0.2">
      <c r="A1811" s="3480" t="s">
        <v>6088</v>
      </c>
      <c r="B1811" s="3323" t="e">
        <f t="shared" ref="B1811:G1811" si="997">B1810*B1807</f>
        <v>#VALUE!</v>
      </c>
      <c r="C1811" s="3323" t="e">
        <f t="shared" si="997"/>
        <v>#DIV/0!</v>
      </c>
      <c r="D1811" s="3323" t="e">
        <f t="shared" si="997"/>
        <v>#DIV/0!</v>
      </c>
      <c r="E1811" s="3323" t="e">
        <f t="shared" si="997"/>
        <v>#DIV/0!</v>
      </c>
      <c r="F1811" s="3323" t="e">
        <f t="shared" si="997"/>
        <v>#DIV/0!</v>
      </c>
      <c r="G1811" s="3323" t="e">
        <f t="shared" si="997"/>
        <v>#DIV/0!</v>
      </c>
      <c r="H1811" s="3353"/>
      <c r="I1811" s="3353"/>
      <c r="J1811" s="3353"/>
      <c r="K1811" s="3353"/>
      <c r="L1811" s="3353"/>
      <c r="M1811" s="3353"/>
      <c r="N1811" s="3353"/>
      <c r="O1811" s="3353"/>
      <c r="P1811" s="3353"/>
      <c r="Q1811" s="3353"/>
      <c r="R1811" s="3353"/>
      <c r="S1811" s="3353"/>
      <c r="T1811" s="3353"/>
      <c r="U1811" s="3353"/>
      <c r="V1811" s="3353"/>
      <c r="W1811" s="3353"/>
      <c r="X1811" s="3353"/>
      <c r="Y1811" s="3353"/>
      <c r="Z1811" s="3353"/>
      <c r="AA1811" s="3353"/>
      <c r="AB1811" s="3353"/>
      <c r="AC1811" s="3353"/>
      <c r="AD1811" s="3353"/>
      <c r="AE1811" s="3353"/>
      <c r="AF1811" s="3353"/>
      <c r="AG1811" s="3353"/>
      <c r="AH1811" s="3353"/>
      <c r="AI1811" s="3353"/>
      <c r="AJ1811" s="3353"/>
      <c r="AK1811" s="3353"/>
      <c r="AL1811" s="3353"/>
    </row>
    <row r="1812" spans="1:38" s="3309" customFormat="1" x14ac:dyDescent="0.2">
      <c r="A1812" s="3480" t="s">
        <v>3108</v>
      </c>
      <c r="B1812" s="3323">
        <f t="shared" ref="B1812:G1812" si="998">IF(B1426&gt;2,2,3)</f>
        <v>2</v>
      </c>
      <c r="C1812" s="3323">
        <f t="shared" si="998"/>
        <v>3</v>
      </c>
      <c r="D1812" s="3323">
        <f t="shared" si="998"/>
        <v>3</v>
      </c>
      <c r="E1812" s="3323">
        <f t="shared" si="998"/>
        <v>3</v>
      </c>
      <c r="F1812" s="3323">
        <f t="shared" si="998"/>
        <v>3</v>
      </c>
      <c r="G1812" s="3323">
        <f t="shared" si="998"/>
        <v>3</v>
      </c>
      <c r="H1812" s="3353"/>
      <c r="I1812" s="3353"/>
      <c r="J1812" s="3353"/>
      <c r="K1812" s="3353"/>
      <c r="L1812" s="3353"/>
      <c r="M1812" s="3353"/>
      <c r="N1812" s="3353"/>
      <c r="O1812" s="3353"/>
      <c r="P1812" s="3353"/>
      <c r="Q1812" s="3353"/>
      <c r="R1812" s="3353"/>
      <c r="S1812" s="3353"/>
      <c r="T1812" s="3353"/>
      <c r="U1812" s="3353"/>
      <c r="V1812" s="3353"/>
      <c r="W1812" s="3353"/>
      <c r="X1812" s="3353"/>
      <c r="Y1812" s="3353"/>
      <c r="Z1812" s="3353"/>
      <c r="AA1812" s="3353"/>
      <c r="AB1812" s="3353"/>
      <c r="AC1812" s="3353"/>
      <c r="AD1812" s="3353"/>
      <c r="AE1812" s="3353"/>
      <c r="AF1812" s="3353"/>
      <c r="AG1812" s="3353"/>
      <c r="AH1812" s="3353"/>
      <c r="AI1812" s="3353"/>
      <c r="AJ1812" s="3353"/>
      <c r="AK1812" s="3353"/>
      <c r="AL1812" s="3353"/>
    </row>
    <row r="1813" spans="1:38" s="3309" customFormat="1" x14ac:dyDescent="0.2">
      <c r="A1813" s="3485"/>
      <c r="B1813" s="3484"/>
      <c r="C1813" s="3484"/>
      <c r="D1813" s="3484"/>
      <c r="E1813" s="3484"/>
      <c r="F1813" s="3484"/>
      <c r="G1813" s="3484"/>
      <c r="H1813" s="3353"/>
      <c r="I1813" s="3353"/>
      <c r="J1813" s="3353"/>
      <c r="K1813" s="3353"/>
      <c r="L1813" s="3353"/>
      <c r="M1813" s="3353"/>
      <c r="N1813" s="3353"/>
      <c r="O1813" s="3353"/>
      <c r="P1813" s="3353"/>
      <c r="Q1813" s="3353"/>
      <c r="R1813" s="3353"/>
      <c r="S1813" s="3353"/>
      <c r="T1813" s="3353"/>
      <c r="U1813" s="3353"/>
      <c r="V1813" s="3353"/>
      <c r="W1813" s="3353"/>
      <c r="X1813" s="3353"/>
      <c r="Y1813" s="3353"/>
      <c r="Z1813" s="3353"/>
      <c r="AA1813" s="3353"/>
      <c r="AB1813" s="3353"/>
      <c r="AC1813" s="3353"/>
      <c r="AD1813" s="3353"/>
      <c r="AE1813" s="3353"/>
      <c r="AF1813" s="3353"/>
      <c r="AG1813" s="3353"/>
      <c r="AH1813" s="3353"/>
      <c r="AI1813" s="3353"/>
      <c r="AJ1813" s="3353"/>
      <c r="AK1813" s="3353"/>
      <c r="AL1813" s="3353"/>
    </row>
    <row r="1814" spans="1:38" s="3309" customFormat="1" x14ac:dyDescent="0.2">
      <c r="A1814" s="3483" t="s">
        <v>6087</v>
      </c>
      <c r="B1814" s="3323" t="e">
        <f t="shared" ref="B1814:G1814" si="999">B1807*B1812</f>
        <v>#VALUE!</v>
      </c>
      <c r="C1814" s="3323" t="e">
        <f t="shared" si="999"/>
        <v>#DIV/0!</v>
      </c>
      <c r="D1814" s="3323" t="e">
        <f t="shared" si="999"/>
        <v>#DIV/0!</v>
      </c>
      <c r="E1814" s="3323" t="e">
        <f t="shared" si="999"/>
        <v>#DIV/0!</v>
      </c>
      <c r="F1814" s="3323" t="e">
        <f t="shared" si="999"/>
        <v>#DIV/0!</v>
      </c>
      <c r="G1814" s="3323" t="e">
        <f t="shared" si="999"/>
        <v>#DIV/0!</v>
      </c>
      <c r="H1814" s="3353"/>
      <c r="I1814" s="3353"/>
      <c r="J1814" s="3353"/>
      <c r="K1814" s="3353"/>
      <c r="L1814" s="3353"/>
      <c r="M1814" s="3353"/>
      <c r="N1814" s="3353"/>
      <c r="O1814" s="3353"/>
      <c r="P1814" s="3353"/>
      <c r="Q1814" s="3353"/>
      <c r="R1814" s="3353"/>
      <c r="S1814" s="3353"/>
      <c r="T1814" s="3353"/>
      <c r="U1814" s="3353"/>
      <c r="V1814" s="3353"/>
      <c r="W1814" s="3353"/>
      <c r="X1814" s="3353"/>
      <c r="Y1814" s="3353"/>
      <c r="Z1814" s="3353"/>
      <c r="AA1814" s="3353"/>
      <c r="AB1814" s="3353"/>
      <c r="AC1814" s="3353"/>
      <c r="AD1814" s="3353"/>
      <c r="AE1814" s="3353"/>
      <c r="AF1814" s="3353"/>
      <c r="AG1814" s="3353"/>
      <c r="AH1814" s="3353"/>
      <c r="AI1814" s="3353"/>
      <c r="AJ1814" s="3353"/>
      <c r="AK1814" s="3353"/>
      <c r="AL1814" s="3353"/>
    </row>
    <row r="1815" spans="1:38" s="3309" customFormat="1" x14ac:dyDescent="0.2">
      <c r="A1815" s="3481" t="s">
        <v>4437</v>
      </c>
      <c r="B1815" s="3323">
        <f t="shared" ref="B1815:G1815" si="1000">B1417</f>
        <v>0</v>
      </c>
      <c r="C1815" s="3323">
        <f t="shared" si="1000"/>
        <v>0</v>
      </c>
      <c r="D1815" s="3323">
        <f t="shared" si="1000"/>
        <v>0</v>
      </c>
      <c r="E1815" s="3323">
        <f t="shared" si="1000"/>
        <v>0</v>
      </c>
      <c r="F1815" s="3323">
        <f t="shared" si="1000"/>
        <v>0</v>
      </c>
      <c r="G1815" s="3323">
        <f t="shared" si="1000"/>
        <v>0</v>
      </c>
      <c r="H1815" s="3353"/>
      <c r="I1815" s="3353"/>
      <c r="J1815" s="3353"/>
      <c r="K1815" s="3353"/>
      <c r="L1815" s="3353"/>
      <c r="M1815" s="3353"/>
      <c r="N1815" s="3353"/>
      <c r="O1815" s="3353"/>
      <c r="P1815" s="3353"/>
      <c r="Q1815" s="3353"/>
      <c r="R1815" s="3353"/>
      <c r="S1815" s="3353"/>
      <c r="T1815" s="3353"/>
      <c r="U1815" s="3353"/>
      <c r="V1815" s="3353"/>
      <c r="W1815" s="3353"/>
      <c r="X1815" s="3353"/>
      <c r="Y1815" s="3353"/>
      <c r="Z1815" s="3353"/>
      <c r="AA1815" s="3353"/>
      <c r="AB1815" s="3353"/>
      <c r="AC1815" s="3353"/>
      <c r="AD1815" s="3353"/>
      <c r="AE1815" s="3353"/>
      <c r="AF1815" s="3353"/>
      <c r="AG1815" s="3353"/>
      <c r="AH1815" s="3353"/>
      <c r="AI1815" s="3353"/>
      <c r="AJ1815" s="3353"/>
      <c r="AK1815" s="3353"/>
      <c r="AL1815" s="3353"/>
    </row>
    <row r="1816" spans="1:38" s="3309" customFormat="1" x14ac:dyDescent="0.2">
      <c r="A1816" s="3483"/>
      <c r="B1816" s="3323"/>
      <c r="C1816" s="3323"/>
      <c r="D1816" s="3323"/>
      <c r="E1816" s="3323"/>
      <c r="F1816" s="3323"/>
      <c r="G1816" s="3323"/>
      <c r="H1816" s="3353"/>
      <c r="I1816" s="3353"/>
      <c r="J1816" s="3353"/>
      <c r="K1816" s="3353"/>
      <c r="L1816" s="3353"/>
      <c r="M1816" s="3353"/>
      <c r="N1816" s="3353"/>
      <c r="O1816" s="3353"/>
      <c r="P1816" s="3353"/>
      <c r="Q1816" s="3353"/>
      <c r="R1816" s="3353"/>
      <c r="S1816" s="3353"/>
      <c r="T1816" s="3353"/>
      <c r="U1816" s="3353"/>
      <c r="V1816" s="3353"/>
      <c r="W1816" s="3353"/>
      <c r="X1816" s="3353"/>
      <c r="Y1816" s="3353"/>
      <c r="Z1816" s="3353"/>
      <c r="AA1816" s="3353"/>
      <c r="AB1816" s="3353"/>
      <c r="AC1816" s="3353"/>
      <c r="AD1816" s="3353"/>
      <c r="AE1816" s="3353"/>
      <c r="AF1816" s="3353"/>
      <c r="AG1816" s="3353"/>
      <c r="AH1816" s="3353"/>
      <c r="AI1816" s="3353"/>
      <c r="AJ1816" s="3353"/>
      <c r="AK1816" s="3353"/>
      <c r="AL1816" s="3353"/>
    </row>
    <row r="1817" spans="1:38" s="3309" customFormat="1" x14ac:dyDescent="0.2">
      <c r="A1817" s="3483"/>
      <c r="B1817" s="3323"/>
      <c r="C1817" s="3323"/>
      <c r="D1817" s="3323"/>
      <c r="E1817" s="3323"/>
      <c r="F1817" s="3323"/>
      <c r="G1817" s="3323"/>
      <c r="H1817" s="3353"/>
      <c r="I1817" s="3353"/>
      <c r="J1817" s="3353"/>
      <c r="K1817" s="3353"/>
      <c r="L1817" s="3353"/>
      <c r="M1817" s="3353"/>
      <c r="N1817" s="3353"/>
      <c r="O1817" s="3353"/>
      <c r="P1817" s="3353"/>
      <c r="Q1817" s="3353"/>
      <c r="R1817" s="3353"/>
      <c r="S1817" s="3353"/>
      <c r="T1817" s="3353"/>
      <c r="U1817" s="3353"/>
      <c r="V1817" s="3353"/>
      <c r="W1817" s="3353"/>
      <c r="X1817" s="3353"/>
      <c r="Y1817" s="3353"/>
      <c r="Z1817" s="3353"/>
      <c r="AA1817" s="3353"/>
      <c r="AB1817" s="3353"/>
      <c r="AC1817" s="3353"/>
      <c r="AD1817" s="3353"/>
      <c r="AE1817" s="3353"/>
      <c r="AF1817" s="3353"/>
      <c r="AG1817" s="3353"/>
      <c r="AH1817" s="3353"/>
      <c r="AI1817" s="3353"/>
      <c r="AJ1817" s="3353"/>
      <c r="AK1817" s="3353"/>
      <c r="AL1817" s="3353"/>
    </row>
    <row r="1818" spans="1:38" s="3309" customFormat="1" x14ac:dyDescent="0.2">
      <c r="A1818" s="3481" t="s">
        <v>5941</v>
      </c>
      <c r="B1818" s="3330">
        <f t="shared" ref="B1818:G1818" si="1001">B1179</f>
        <v>1.27</v>
      </c>
      <c r="C1818" s="3330">
        <f t="shared" si="1001"/>
        <v>1.27</v>
      </c>
      <c r="D1818" s="3330">
        <f t="shared" si="1001"/>
        <v>1.27</v>
      </c>
      <c r="E1818" s="3330">
        <f t="shared" si="1001"/>
        <v>1.27</v>
      </c>
      <c r="F1818" s="3330">
        <f t="shared" si="1001"/>
        <v>1.27</v>
      </c>
      <c r="G1818" s="3330">
        <f t="shared" si="1001"/>
        <v>1.27</v>
      </c>
      <c r="H1818" s="3353"/>
      <c r="I1818" s="3353"/>
      <c r="J1818" s="3353"/>
      <c r="K1818" s="3353"/>
      <c r="L1818" s="3353"/>
      <c r="M1818" s="3353"/>
      <c r="N1818" s="3353"/>
      <c r="O1818" s="3353"/>
      <c r="P1818" s="3353"/>
      <c r="Q1818" s="3353"/>
      <c r="R1818" s="3353"/>
      <c r="S1818" s="3353"/>
      <c r="T1818" s="3353"/>
      <c r="U1818" s="3353"/>
      <c r="V1818" s="3353"/>
      <c r="W1818" s="3353"/>
      <c r="X1818" s="3353"/>
      <c r="Y1818" s="3353"/>
      <c r="Z1818" s="3353"/>
      <c r="AA1818" s="3353"/>
      <c r="AB1818" s="3353"/>
      <c r="AC1818" s="3353"/>
      <c r="AD1818" s="3353"/>
      <c r="AE1818" s="3353"/>
      <c r="AF1818" s="3353"/>
      <c r="AG1818" s="3353"/>
      <c r="AH1818" s="3353"/>
      <c r="AI1818" s="3353"/>
      <c r="AJ1818" s="3353"/>
      <c r="AK1818" s="3353"/>
      <c r="AL1818" s="3353"/>
    </row>
    <row r="1819" spans="1:38" s="3309" customFormat="1" x14ac:dyDescent="0.2">
      <c r="A1819" s="3483" t="s">
        <v>6086</v>
      </c>
      <c r="B1819" s="3323" t="e">
        <f t="shared" ref="B1819:G1819" si="1002">B1814*B1818</f>
        <v>#VALUE!</v>
      </c>
      <c r="C1819" s="3323" t="e">
        <f t="shared" si="1002"/>
        <v>#DIV/0!</v>
      </c>
      <c r="D1819" s="3323" t="e">
        <f t="shared" si="1002"/>
        <v>#DIV/0!</v>
      </c>
      <c r="E1819" s="3323" t="e">
        <f t="shared" si="1002"/>
        <v>#DIV/0!</v>
      </c>
      <c r="F1819" s="3323" t="e">
        <f t="shared" si="1002"/>
        <v>#DIV/0!</v>
      </c>
      <c r="G1819" s="3323" t="e">
        <f t="shared" si="1002"/>
        <v>#DIV/0!</v>
      </c>
      <c r="H1819" s="3353"/>
      <c r="I1819" s="3353"/>
      <c r="J1819" s="3353"/>
      <c r="K1819" s="3353"/>
      <c r="L1819" s="3353"/>
      <c r="M1819" s="3353"/>
      <c r="N1819" s="3353"/>
      <c r="O1819" s="3353"/>
      <c r="P1819" s="3353"/>
      <c r="Q1819" s="3353"/>
      <c r="R1819" s="3353"/>
      <c r="S1819" s="3353"/>
      <c r="T1819" s="3353"/>
      <c r="U1819" s="3353"/>
      <c r="V1819" s="3353"/>
      <c r="W1819" s="3353"/>
      <c r="X1819" s="3353"/>
      <c r="Y1819" s="3353"/>
      <c r="Z1819" s="3353"/>
      <c r="AA1819" s="3353"/>
      <c r="AB1819" s="3353"/>
      <c r="AC1819" s="3353"/>
      <c r="AD1819" s="3353"/>
      <c r="AE1819" s="3353"/>
      <c r="AF1819" s="3353"/>
      <c r="AG1819" s="3353"/>
      <c r="AH1819" s="3353"/>
      <c r="AI1819" s="3353"/>
      <c r="AJ1819" s="3353"/>
      <c r="AK1819" s="3353"/>
      <c r="AL1819" s="3353"/>
    </row>
    <row r="1820" spans="1:38" s="3309" customFormat="1" x14ac:dyDescent="0.2">
      <c r="A1820" s="3482" t="s">
        <v>6085</v>
      </c>
      <c r="B1820" s="3323" t="e">
        <f t="shared" ref="B1820:G1820" si="1003">B1811*B1812</f>
        <v>#VALUE!</v>
      </c>
      <c r="C1820" s="3323" t="e">
        <f t="shared" si="1003"/>
        <v>#DIV/0!</v>
      </c>
      <c r="D1820" s="3323" t="e">
        <f t="shared" si="1003"/>
        <v>#DIV/0!</v>
      </c>
      <c r="E1820" s="3323" t="e">
        <f t="shared" si="1003"/>
        <v>#DIV/0!</v>
      </c>
      <c r="F1820" s="3323" t="e">
        <f t="shared" si="1003"/>
        <v>#DIV/0!</v>
      </c>
      <c r="G1820" s="3323" t="e">
        <f t="shared" si="1003"/>
        <v>#DIV/0!</v>
      </c>
      <c r="H1820" s="3353"/>
      <c r="I1820" s="3353"/>
      <c r="J1820" s="3353"/>
      <c r="K1820" s="3353"/>
      <c r="L1820" s="3353"/>
      <c r="M1820" s="3353"/>
      <c r="N1820" s="3353"/>
      <c r="O1820" s="3353"/>
      <c r="P1820" s="3353"/>
      <c r="Q1820" s="3353"/>
      <c r="R1820" s="3353"/>
      <c r="S1820" s="3353"/>
      <c r="T1820" s="3353"/>
      <c r="U1820" s="3353"/>
      <c r="V1820" s="3353"/>
      <c r="W1820" s="3353"/>
      <c r="X1820" s="3353"/>
      <c r="Y1820" s="3353"/>
      <c r="Z1820" s="3353"/>
      <c r="AA1820" s="3353"/>
      <c r="AB1820" s="3353"/>
      <c r="AC1820" s="3353"/>
      <c r="AD1820" s="3353"/>
      <c r="AE1820" s="3353"/>
      <c r="AF1820" s="3353"/>
      <c r="AG1820" s="3353"/>
      <c r="AH1820" s="3353"/>
      <c r="AI1820" s="3353"/>
      <c r="AJ1820" s="3353"/>
      <c r="AK1820" s="3353"/>
      <c r="AL1820" s="3353"/>
    </row>
    <row r="1821" spans="1:38" s="3309" customFormat="1" ht="25.5" x14ac:dyDescent="0.2">
      <c r="A1821" s="3482" t="s">
        <v>6084</v>
      </c>
      <c r="B1821" s="3323" t="e">
        <f t="shared" ref="B1821:G1821" si="1004">B1820*B1818*B1815</f>
        <v>#VALUE!</v>
      </c>
      <c r="C1821" s="3323" t="e">
        <f t="shared" si="1004"/>
        <v>#DIV/0!</v>
      </c>
      <c r="D1821" s="3323" t="e">
        <f t="shared" si="1004"/>
        <v>#DIV/0!</v>
      </c>
      <c r="E1821" s="3323" t="e">
        <f t="shared" si="1004"/>
        <v>#DIV/0!</v>
      </c>
      <c r="F1821" s="3323" t="e">
        <f t="shared" si="1004"/>
        <v>#DIV/0!</v>
      </c>
      <c r="G1821" s="3323" t="e">
        <f t="shared" si="1004"/>
        <v>#DIV/0!</v>
      </c>
      <c r="H1821" s="3353"/>
      <c r="I1821" s="3353"/>
      <c r="J1821" s="3353"/>
      <c r="K1821" s="3353"/>
      <c r="L1821" s="3353"/>
      <c r="M1821" s="3353"/>
      <c r="N1821" s="3353"/>
      <c r="O1821" s="3353"/>
      <c r="P1821" s="3353"/>
      <c r="Q1821" s="3353"/>
      <c r="R1821" s="3353"/>
      <c r="S1821" s="3353"/>
      <c r="T1821" s="3353"/>
      <c r="U1821" s="3353"/>
      <c r="V1821" s="3353"/>
      <c r="W1821" s="3353"/>
      <c r="X1821" s="3353"/>
      <c r="Y1821" s="3353"/>
      <c r="Z1821" s="3353"/>
      <c r="AA1821" s="3353"/>
      <c r="AB1821" s="3353"/>
      <c r="AC1821" s="3353"/>
      <c r="AD1821" s="3353"/>
      <c r="AE1821" s="3353"/>
      <c r="AF1821" s="3353"/>
      <c r="AG1821" s="3353"/>
      <c r="AH1821" s="3353"/>
      <c r="AI1821" s="3353"/>
      <c r="AJ1821" s="3353"/>
      <c r="AK1821" s="3353"/>
      <c r="AL1821" s="3353"/>
    </row>
    <row r="1822" spans="1:38" s="3309" customFormat="1" x14ac:dyDescent="0.2">
      <c r="A1822" s="3481" t="s">
        <v>6083</v>
      </c>
      <c r="B1822" s="3330">
        <f t="shared" ref="B1822:G1822" si="1005">B1183</f>
        <v>20</v>
      </c>
      <c r="C1822" s="3330">
        <f t="shared" si="1005"/>
        <v>20</v>
      </c>
      <c r="D1822" s="3330">
        <f t="shared" si="1005"/>
        <v>20</v>
      </c>
      <c r="E1822" s="3330">
        <f t="shared" si="1005"/>
        <v>20</v>
      </c>
      <c r="F1822" s="3330">
        <f t="shared" si="1005"/>
        <v>20</v>
      </c>
      <c r="G1822" s="3330">
        <f t="shared" si="1005"/>
        <v>20</v>
      </c>
      <c r="H1822" s="3353"/>
      <c r="I1822" s="3353"/>
      <c r="J1822" s="3353"/>
      <c r="K1822" s="3353"/>
      <c r="L1822" s="3353"/>
      <c r="M1822" s="3353"/>
      <c r="N1822" s="3353"/>
      <c r="O1822" s="3353"/>
      <c r="P1822" s="3353"/>
      <c r="Q1822" s="3353"/>
      <c r="R1822" s="3353"/>
      <c r="S1822" s="3353"/>
      <c r="T1822" s="3353"/>
      <c r="U1822" s="3353"/>
      <c r="V1822" s="3353"/>
      <c r="W1822" s="3353"/>
      <c r="X1822" s="3353"/>
      <c r="Y1822" s="3353"/>
      <c r="Z1822" s="3353"/>
      <c r="AA1822" s="3353"/>
      <c r="AB1822" s="3353"/>
      <c r="AC1822" s="3353"/>
      <c r="AD1822" s="3353"/>
      <c r="AE1822" s="3353"/>
      <c r="AF1822" s="3353"/>
      <c r="AG1822" s="3353"/>
      <c r="AH1822" s="3353"/>
      <c r="AI1822" s="3353"/>
      <c r="AJ1822" s="3353"/>
      <c r="AK1822" s="3353"/>
      <c r="AL1822" s="3353"/>
    </row>
    <row r="1823" spans="1:38" s="3309" customFormat="1" x14ac:dyDescent="0.2">
      <c r="A1823" s="3480" t="s">
        <v>6082</v>
      </c>
      <c r="B1823" s="3323" t="e">
        <f t="shared" ref="B1823:G1823" si="1006">B1821*B1822/100</f>
        <v>#VALUE!</v>
      </c>
      <c r="C1823" s="3323" t="e">
        <f t="shared" si="1006"/>
        <v>#DIV/0!</v>
      </c>
      <c r="D1823" s="3323" t="e">
        <f t="shared" si="1006"/>
        <v>#DIV/0!</v>
      </c>
      <c r="E1823" s="3323" t="e">
        <f t="shared" si="1006"/>
        <v>#DIV/0!</v>
      </c>
      <c r="F1823" s="3323" t="e">
        <f t="shared" si="1006"/>
        <v>#DIV/0!</v>
      </c>
      <c r="G1823" s="3323" t="e">
        <f t="shared" si="1006"/>
        <v>#DIV/0!</v>
      </c>
      <c r="H1823" s="3353"/>
      <c r="I1823" s="3353"/>
      <c r="J1823" s="3353"/>
      <c r="K1823" s="3353"/>
      <c r="L1823" s="3353"/>
      <c r="M1823" s="3353"/>
      <c r="N1823" s="3353"/>
      <c r="O1823" s="3353"/>
      <c r="P1823" s="3353"/>
      <c r="Q1823" s="3353"/>
      <c r="R1823" s="3353"/>
      <c r="S1823" s="3353"/>
      <c r="T1823" s="3353"/>
      <c r="U1823" s="3353"/>
      <c r="V1823" s="3353"/>
      <c r="W1823" s="3353"/>
      <c r="X1823" s="3353"/>
      <c r="Y1823" s="3353"/>
      <c r="Z1823" s="3353"/>
      <c r="AA1823" s="3353"/>
      <c r="AB1823" s="3353"/>
      <c r="AC1823" s="3353"/>
      <c r="AD1823" s="3353"/>
      <c r="AE1823" s="3353"/>
      <c r="AF1823" s="3353"/>
      <c r="AG1823" s="3353"/>
      <c r="AH1823" s="3353"/>
      <c r="AI1823" s="3353"/>
      <c r="AJ1823" s="3353"/>
      <c r="AK1823" s="3353"/>
      <c r="AL1823" s="3353"/>
    </row>
    <row r="1824" spans="1:38" s="3309" customFormat="1" ht="25.5" x14ac:dyDescent="0.2">
      <c r="A1824" s="3482" t="s">
        <v>6081</v>
      </c>
      <c r="B1824" s="3323" t="e">
        <f t="shared" ref="B1824:G1824" si="1007">B1821+B1823</f>
        <v>#VALUE!</v>
      </c>
      <c r="C1824" s="3323" t="e">
        <f t="shared" si="1007"/>
        <v>#DIV/0!</v>
      </c>
      <c r="D1824" s="3323" t="e">
        <f t="shared" si="1007"/>
        <v>#DIV/0!</v>
      </c>
      <c r="E1824" s="3323" t="e">
        <f t="shared" si="1007"/>
        <v>#DIV/0!</v>
      </c>
      <c r="F1824" s="3323" t="e">
        <f t="shared" si="1007"/>
        <v>#DIV/0!</v>
      </c>
      <c r="G1824" s="3323" t="e">
        <f t="shared" si="1007"/>
        <v>#DIV/0!</v>
      </c>
      <c r="H1824" s="3353"/>
      <c r="I1824" s="3353"/>
      <c r="J1824" s="3353"/>
      <c r="K1824" s="3353"/>
      <c r="L1824" s="3353"/>
      <c r="M1824" s="3353"/>
      <c r="N1824" s="3353"/>
      <c r="O1824" s="3353"/>
      <c r="P1824" s="3353"/>
      <c r="Q1824" s="3353"/>
      <c r="R1824" s="3353"/>
      <c r="S1824" s="3353"/>
      <c r="T1824" s="3353"/>
      <c r="U1824" s="3353"/>
      <c r="V1824" s="3353"/>
      <c r="W1824" s="3353"/>
      <c r="X1824" s="3353"/>
      <c r="Y1824" s="3353"/>
      <c r="Z1824" s="3353"/>
      <c r="AA1824" s="3353"/>
      <c r="AB1824" s="3353"/>
      <c r="AC1824" s="3353"/>
      <c r="AD1824" s="3353"/>
      <c r="AE1824" s="3353"/>
      <c r="AF1824" s="3353"/>
      <c r="AG1824" s="3353"/>
      <c r="AH1824" s="3353"/>
      <c r="AI1824" s="3353"/>
      <c r="AJ1824" s="3353"/>
      <c r="AK1824" s="3353"/>
      <c r="AL1824" s="3353"/>
    </row>
    <row r="1825" spans="1:38" s="3309" customFormat="1" x14ac:dyDescent="0.2">
      <c r="A1825" s="3481" t="s">
        <v>1701</v>
      </c>
      <c r="B1825" s="3330">
        <f t="shared" ref="B1825:G1825" si="1008">B1186</f>
        <v>36</v>
      </c>
      <c r="C1825" s="3330">
        <f t="shared" si="1008"/>
        <v>36</v>
      </c>
      <c r="D1825" s="3330">
        <f t="shared" si="1008"/>
        <v>36</v>
      </c>
      <c r="E1825" s="3330">
        <f t="shared" si="1008"/>
        <v>36</v>
      </c>
      <c r="F1825" s="3330">
        <f t="shared" si="1008"/>
        <v>36</v>
      </c>
      <c r="G1825" s="3330">
        <f t="shared" si="1008"/>
        <v>36</v>
      </c>
      <c r="H1825" s="3353"/>
      <c r="I1825" s="3353"/>
      <c r="J1825" s="3353"/>
      <c r="K1825" s="3353"/>
      <c r="L1825" s="3353"/>
      <c r="M1825" s="3353"/>
      <c r="N1825" s="3353"/>
      <c r="O1825" s="3353"/>
      <c r="P1825" s="3353"/>
      <c r="Q1825" s="3353"/>
      <c r="R1825" s="3353"/>
      <c r="S1825" s="3353"/>
      <c r="T1825" s="3353"/>
      <c r="U1825" s="3353"/>
      <c r="V1825" s="3353"/>
      <c r="W1825" s="3353"/>
      <c r="X1825" s="3353"/>
      <c r="Y1825" s="3353"/>
      <c r="Z1825" s="3353"/>
      <c r="AA1825" s="3353"/>
      <c r="AB1825" s="3353"/>
      <c r="AC1825" s="3353"/>
      <c r="AD1825" s="3353"/>
      <c r="AE1825" s="3353"/>
      <c r="AF1825" s="3353"/>
      <c r="AG1825" s="3353"/>
      <c r="AH1825" s="3353"/>
      <c r="AI1825" s="3353"/>
      <c r="AJ1825" s="3353"/>
      <c r="AK1825" s="3353"/>
      <c r="AL1825" s="3353"/>
    </row>
    <row r="1826" spans="1:38" s="3309" customFormat="1" x14ac:dyDescent="0.2">
      <c r="A1826" s="3480" t="s">
        <v>6080</v>
      </c>
      <c r="B1826" s="3323" t="e">
        <f t="shared" ref="B1826:G1826" si="1009">B1824*B1825/100</f>
        <v>#VALUE!</v>
      </c>
      <c r="C1826" s="3323" t="e">
        <f t="shared" si="1009"/>
        <v>#DIV/0!</v>
      </c>
      <c r="D1826" s="3323" t="e">
        <f t="shared" si="1009"/>
        <v>#DIV/0!</v>
      </c>
      <c r="E1826" s="3323" t="e">
        <f t="shared" si="1009"/>
        <v>#DIV/0!</v>
      </c>
      <c r="F1826" s="3323" t="e">
        <f t="shared" si="1009"/>
        <v>#DIV/0!</v>
      </c>
      <c r="G1826" s="3323" t="e">
        <f t="shared" si="1009"/>
        <v>#DIV/0!</v>
      </c>
      <c r="H1826" s="3353"/>
      <c r="I1826" s="3353"/>
      <c r="J1826" s="3353"/>
      <c r="K1826" s="3353"/>
      <c r="L1826" s="3353"/>
      <c r="M1826" s="3353"/>
      <c r="N1826" s="3353"/>
      <c r="O1826" s="3353"/>
      <c r="P1826" s="3353"/>
      <c r="Q1826" s="3353"/>
      <c r="R1826" s="3353"/>
      <c r="S1826" s="3353"/>
      <c r="T1826" s="3353"/>
      <c r="U1826" s="3353"/>
      <c r="V1826" s="3353"/>
      <c r="W1826" s="3353"/>
      <c r="X1826" s="3353"/>
      <c r="Y1826" s="3353"/>
      <c r="Z1826" s="3353"/>
      <c r="AA1826" s="3353"/>
      <c r="AB1826" s="3353"/>
      <c r="AC1826" s="3353"/>
      <c r="AD1826" s="3353"/>
      <c r="AE1826" s="3353"/>
      <c r="AF1826" s="3353"/>
      <c r="AG1826" s="3353"/>
      <c r="AH1826" s="3353"/>
      <c r="AI1826" s="3353"/>
      <c r="AJ1826" s="3353"/>
      <c r="AK1826" s="3353"/>
      <c r="AL1826" s="3353"/>
    </row>
    <row r="1827" spans="1:38" s="3309" customFormat="1" x14ac:dyDescent="0.2">
      <c r="A1827" s="3479"/>
      <c r="B1827" s="3323"/>
      <c r="C1827" s="3323"/>
      <c r="D1827" s="3323"/>
      <c r="E1827" s="3323"/>
      <c r="F1827" s="3323"/>
      <c r="G1827" s="3323"/>
      <c r="H1827" s="3353"/>
      <c r="I1827" s="3353"/>
      <c r="J1827" s="3353"/>
      <c r="K1827" s="3353"/>
      <c r="L1827" s="3353"/>
      <c r="M1827" s="3353"/>
      <c r="N1827" s="3353"/>
      <c r="O1827" s="3353"/>
      <c r="P1827" s="3353"/>
      <c r="Q1827" s="3353"/>
      <c r="R1827" s="3353"/>
      <c r="S1827" s="3353"/>
      <c r="T1827" s="3353"/>
      <c r="U1827" s="3353"/>
      <c r="V1827" s="3353"/>
      <c r="W1827" s="3353"/>
      <c r="X1827" s="3353"/>
      <c r="Y1827" s="3353"/>
      <c r="Z1827" s="3353"/>
      <c r="AA1827" s="3353"/>
      <c r="AB1827" s="3353"/>
      <c r="AC1827" s="3353"/>
      <c r="AD1827" s="3353"/>
      <c r="AE1827" s="3353"/>
      <c r="AF1827" s="3353"/>
      <c r="AG1827" s="3353"/>
      <c r="AH1827" s="3353"/>
      <c r="AI1827" s="3353"/>
      <c r="AJ1827" s="3353"/>
      <c r="AK1827" s="3353"/>
      <c r="AL1827" s="3353"/>
    </row>
    <row r="1828" spans="1:38" s="3309" customFormat="1" ht="25.5" x14ac:dyDescent="0.2">
      <c r="A1828" s="3479" t="s">
        <v>6079</v>
      </c>
      <c r="B1828" s="3323" t="e">
        <f t="shared" ref="B1828:G1828" si="1010">B1824+B1826</f>
        <v>#VALUE!</v>
      </c>
      <c r="C1828" s="3323" t="e">
        <f t="shared" si="1010"/>
        <v>#DIV/0!</v>
      </c>
      <c r="D1828" s="3323" t="e">
        <f t="shared" si="1010"/>
        <v>#DIV/0!</v>
      </c>
      <c r="E1828" s="3323" t="e">
        <f t="shared" si="1010"/>
        <v>#DIV/0!</v>
      </c>
      <c r="F1828" s="3323" t="e">
        <f t="shared" si="1010"/>
        <v>#DIV/0!</v>
      </c>
      <c r="G1828" s="3323" t="e">
        <f t="shared" si="1010"/>
        <v>#DIV/0!</v>
      </c>
      <c r="H1828" s="3353"/>
      <c r="I1828" s="3353"/>
      <c r="J1828" s="3353"/>
      <c r="K1828" s="3353"/>
      <c r="L1828" s="3353"/>
      <c r="M1828" s="3353"/>
      <c r="N1828" s="3353"/>
      <c r="O1828" s="3353"/>
      <c r="P1828" s="3353"/>
      <c r="Q1828" s="3353"/>
      <c r="R1828" s="3353"/>
      <c r="S1828" s="3353"/>
      <c r="T1828" s="3353"/>
      <c r="U1828" s="3353"/>
      <c r="V1828" s="3353"/>
      <c r="W1828" s="3353"/>
      <c r="X1828" s="3353"/>
      <c r="Y1828" s="3353"/>
      <c r="Z1828" s="3353"/>
      <c r="AA1828" s="3353"/>
      <c r="AB1828" s="3353"/>
      <c r="AC1828" s="3353"/>
      <c r="AD1828" s="3353"/>
      <c r="AE1828" s="3353"/>
      <c r="AF1828" s="3353"/>
      <c r="AG1828" s="3353"/>
      <c r="AH1828" s="3353"/>
      <c r="AI1828" s="3353"/>
      <c r="AJ1828" s="3353"/>
      <c r="AK1828" s="3353"/>
      <c r="AL1828" s="3353"/>
    </row>
    <row r="1829" spans="1:38" s="3309" customFormat="1" x14ac:dyDescent="0.2">
      <c r="A1829" s="3478"/>
      <c r="B1829" s="3478"/>
      <c r="C1829" s="3478"/>
      <c r="D1829" s="3478"/>
      <c r="E1829" s="3478"/>
      <c r="F1829" s="3478"/>
      <c r="G1829" s="3477"/>
      <c r="H1829" s="3353"/>
      <c r="I1829" s="3353"/>
      <c r="J1829" s="3353"/>
      <c r="K1829" s="3353"/>
      <c r="L1829" s="3353"/>
      <c r="M1829" s="3353"/>
      <c r="N1829" s="3353"/>
      <c r="O1829" s="3353"/>
      <c r="P1829" s="3353"/>
      <c r="Q1829" s="3353"/>
      <c r="R1829" s="3353"/>
      <c r="S1829" s="3353"/>
      <c r="T1829" s="3353"/>
      <c r="U1829" s="3353"/>
      <c r="V1829" s="3353"/>
      <c r="W1829" s="3353"/>
      <c r="X1829" s="3353"/>
      <c r="Y1829" s="3353"/>
      <c r="Z1829" s="3353"/>
      <c r="AA1829" s="3353"/>
      <c r="AB1829" s="3353"/>
      <c r="AC1829" s="3353"/>
      <c r="AD1829" s="3353"/>
      <c r="AE1829" s="3353"/>
      <c r="AF1829" s="3353"/>
      <c r="AG1829" s="3353"/>
      <c r="AH1829" s="3353"/>
      <c r="AI1829" s="3353"/>
      <c r="AJ1829" s="3353"/>
      <c r="AK1829" s="3353"/>
      <c r="AL1829" s="3353"/>
    </row>
    <row r="1830" spans="1:38" s="3309" customFormat="1" x14ac:dyDescent="0.2">
      <c r="A1830" s="3476" t="s">
        <v>6078</v>
      </c>
      <c r="G1830" s="3353"/>
      <c r="H1830" s="3353"/>
      <c r="I1830" s="3353"/>
      <c r="J1830" s="3353"/>
      <c r="K1830" s="3353"/>
      <c r="L1830" s="3353"/>
      <c r="M1830" s="3353"/>
      <c r="N1830" s="3353"/>
      <c r="O1830" s="3353"/>
      <c r="P1830" s="3353"/>
      <c r="Q1830" s="3353"/>
      <c r="R1830" s="3353"/>
      <c r="S1830" s="3353"/>
      <c r="T1830" s="3353"/>
      <c r="U1830" s="3353"/>
      <c r="V1830" s="3353"/>
      <c r="W1830" s="3353"/>
      <c r="X1830" s="3353"/>
      <c r="Y1830" s="3353"/>
      <c r="Z1830" s="3353"/>
      <c r="AA1830" s="3353"/>
      <c r="AB1830" s="3353"/>
      <c r="AC1830" s="3353"/>
      <c r="AD1830" s="3353"/>
      <c r="AE1830" s="3353"/>
      <c r="AF1830" s="3353"/>
      <c r="AG1830" s="3353"/>
      <c r="AH1830" s="3353"/>
      <c r="AI1830" s="3353"/>
      <c r="AJ1830" s="3353"/>
      <c r="AK1830" s="3353"/>
      <c r="AL1830" s="3353"/>
    </row>
    <row r="1831" spans="1:38" s="3309" customFormat="1" x14ac:dyDescent="0.2">
      <c r="A1831" s="3411" t="s">
        <v>2515</v>
      </c>
      <c r="B1831" s="3379"/>
      <c r="C1831" s="3412"/>
      <c r="D1831" s="3412"/>
      <c r="E1831" s="3412"/>
      <c r="F1831" s="3412"/>
      <c r="G1831" s="3353"/>
      <c r="H1831" s="3353"/>
      <c r="I1831" s="3353"/>
      <c r="J1831" s="3353"/>
      <c r="K1831" s="3353"/>
      <c r="L1831" s="3353"/>
      <c r="M1831" s="3353"/>
      <c r="N1831" s="3353"/>
      <c r="O1831" s="3353"/>
      <c r="P1831" s="3353"/>
      <c r="Q1831" s="3353"/>
      <c r="R1831" s="3353"/>
      <c r="S1831" s="3353"/>
      <c r="T1831" s="3353"/>
      <c r="U1831" s="3353"/>
      <c r="V1831" s="3353"/>
      <c r="W1831" s="3353"/>
      <c r="X1831" s="3353"/>
      <c r="Y1831" s="3353"/>
      <c r="Z1831" s="3353"/>
      <c r="AA1831" s="3353"/>
      <c r="AB1831" s="3353"/>
      <c r="AC1831" s="3353"/>
      <c r="AD1831" s="3353"/>
      <c r="AE1831" s="3353"/>
      <c r="AF1831" s="3353"/>
      <c r="AG1831" s="3353"/>
      <c r="AH1831" s="3353"/>
      <c r="AI1831" s="3353"/>
      <c r="AJ1831" s="3353"/>
      <c r="AK1831" s="3353"/>
      <c r="AL1831" s="3353"/>
    </row>
    <row r="1832" spans="1:38" s="3309" customFormat="1" ht="25.5" x14ac:dyDescent="0.2">
      <c r="A1832" s="3377" t="s">
        <v>5959</v>
      </c>
      <c r="B1832" s="3379"/>
      <c r="C1832" s="3412"/>
      <c r="D1832" s="3412"/>
      <c r="E1832" s="3412"/>
      <c r="F1832" s="3412"/>
      <c r="G1832" s="3353"/>
      <c r="H1832" s="3353"/>
      <c r="I1832" s="3353"/>
      <c r="J1832" s="3353"/>
      <c r="K1832" s="3353"/>
      <c r="L1832" s="3353"/>
      <c r="M1832" s="3353"/>
      <c r="N1832" s="3353"/>
      <c r="O1832" s="3353"/>
      <c r="P1832" s="3353"/>
      <c r="Q1832" s="3353"/>
      <c r="R1832" s="3353"/>
      <c r="S1832" s="3353"/>
      <c r="T1832" s="3353"/>
      <c r="U1832" s="3353"/>
      <c r="V1832" s="3353"/>
      <c r="W1832" s="3353"/>
      <c r="X1832" s="3353"/>
      <c r="Y1832" s="3353"/>
      <c r="Z1832" s="3353"/>
      <c r="AA1832" s="3353"/>
      <c r="AB1832" s="3353"/>
      <c r="AC1832" s="3353"/>
      <c r="AD1832" s="3353"/>
      <c r="AE1832" s="3353"/>
      <c r="AF1832" s="3353"/>
      <c r="AG1832" s="3353"/>
      <c r="AH1832" s="3353"/>
      <c r="AI1832" s="3353"/>
      <c r="AJ1832" s="3353"/>
      <c r="AK1832" s="3353"/>
      <c r="AL1832" s="3353"/>
    </row>
    <row r="1833" spans="1:38" s="3309" customFormat="1" x14ac:dyDescent="0.2">
      <c r="A1833" s="3475" t="s">
        <v>2516</v>
      </c>
      <c r="B1833" s="3424"/>
      <c r="C1833" s="3412"/>
      <c r="D1833" s="3412"/>
      <c r="E1833" s="3412"/>
      <c r="F1833" s="3412"/>
      <c r="G1833" s="3353"/>
      <c r="H1833" s="3353"/>
      <c r="I1833" s="3353"/>
      <c r="J1833" s="3353"/>
      <c r="K1833" s="3353"/>
      <c r="L1833" s="3353"/>
      <c r="M1833" s="3353"/>
      <c r="N1833" s="3353"/>
      <c r="O1833" s="3353"/>
      <c r="P1833" s="3353"/>
      <c r="Q1833" s="3353"/>
      <c r="R1833" s="3353"/>
      <c r="S1833" s="3353"/>
      <c r="T1833" s="3353"/>
      <c r="U1833" s="3353"/>
      <c r="V1833" s="3353"/>
      <c r="W1833" s="3353"/>
      <c r="X1833" s="3353"/>
      <c r="Y1833" s="3353"/>
      <c r="Z1833" s="3353"/>
      <c r="AA1833" s="3353"/>
      <c r="AB1833" s="3353"/>
      <c r="AC1833" s="3353"/>
      <c r="AD1833" s="3353"/>
      <c r="AE1833" s="3353"/>
      <c r="AF1833" s="3353"/>
      <c r="AG1833" s="3353"/>
      <c r="AH1833" s="3353"/>
      <c r="AI1833" s="3353"/>
      <c r="AJ1833" s="3353"/>
      <c r="AK1833" s="3353"/>
      <c r="AL1833" s="3353"/>
    </row>
    <row r="1834" spans="1:38" s="3309" customFormat="1" x14ac:dyDescent="0.2">
      <c r="A1834" s="3419" t="s">
        <v>2517</v>
      </c>
      <c r="B1834" s="3424"/>
      <c r="C1834" s="3412"/>
      <c r="D1834" s="3412"/>
      <c r="E1834" s="3412"/>
      <c r="F1834" s="3412"/>
      <c r="G1834" s="3353"/>
      <c r="H1834" s="3353"/>
      <c r="I1834" s="3353"/>
      <c r="J1834" s="3353"/>
      <c r="K1834" s="3353"/>
      <c r="L1834" s="3353"/>
      <c r="M1834" s="3353"/>
      <c r="N1834" s="3353"/>
      <c r="O1834" s="3353"/>
      <c r="P1834" s="3353"/>
      <c r="Q1834" s="3353"/>
      <c r="R1834" s="3353"/>
      <c r="S1834" s="3353"/>
      <c r="T1834" s="3353"/>
      <c r="U1834" s="3353"/>
      <c r="V1834" s="3353"/>
      <c r="W1834" s="3353"/>
      <c r="X1834" s="3353"/>
      <c r="Y1834" s="3353"/>
      <c r="Z1834" s="3353"/>
      <c r="AA1834" s="3353"/>
      <c r="AB1834" s="3353"/>
      <c r="AC1834" s="3353"/>
      <c r="AD1834" s="3353"/>
      <c r="AE1834" s="3353"/>
      <c r="AF1834" s="3353"/>
      <c r="AG1834" s="3353"/>
      <c r="AH1834" s="3353"/>
      <c r="AI1834" s="3353"/>
      <c r="AJ1834" s="3353"/>
      <c r="AK1834" s="3353"/>
      <c r="AL1834" s="3353"/>
    </row>
    <row r="1835" spans="1:38" s="3309" customFormat="1" x14ac:dyDescent="0.2">
      <c r="A1835" s="3430" t="s">
        <v>2518</v>
      </c>
      <c r="B1835" s="3409">
        <f t="shared" ref="B1835:G1836" si="1011">B1196</f>
        <v>0.15</v>
      </c>
      <c r="C1835" s="3409">
        <f t="shared" si="1011"/>
        <v>0.15</v>
      </c>
      <c r="D1835" s="3409">
        <f t="shared" si="1011"/>
        <v>0.15</v>
      </c>
      <c r="E1835" s="3409">
        <f t="shared" si="1011"/>
        <v>0.15</v>
      </c>
      <c r="F1835" s="3409">
        <f t="shared" si="1011"/>
        <v>0.15</v>
      </c>
      <c r="G1835" s="3409">
        <f t="shared" si="1011"/>
        <v>0.15</v>
      </c>
      <c r="H1835" s="3353"/>
      <c r="I1835" s="3353"/>
      <c r="J1835" s="3353"/>
      <c r="K1835" s="3353"/>
      <c r="L1835" s="3353"/>
      <c r="M1835" s="3353"/>
      <c r="N1835" s="3353"/>
      <c r="O1835" s="3353"/>
      <c r="P1835" s="3353"/>
      <c r="Q1835" s="3353"/>
      <c r="R1835" s="3353"/>
      <c r="S1835" s="3353"/>
      <c r="T1835" s="3353"/>
      <c r="U1835" s="3353"/>
      <c r="V1835" s="3353"/>
      <c r="W1835" s="3353"/>
      <c r="X1835" s="3353"/>
      <c r="Y1835" s="3353"/>
      <c r="Z1835" s="3353"/>
      <c r="AA1835" s="3353"/>
      <c r="AB1835" s="3353"/>
      <c r="AC1835" s="3353"/>
      <c r="AD1835" s="3353"/>
      <c r="AE1835" s="3353"/>
      <c r="AF1835" s="3353"/>
      <c r="AG1835" s="3353"/>
      <c r="AH1835" s="3353"/>
      <c r="AI1835" s="3353"/>
      <c r="AJ1835" s="3353"/>
      <c r="AK1835" s="3353"/>
      <c r="AL1835" s="3353"/>
    </row>
    <row r="1836" spans="1:38" s="3309" customFormat="1" x14ac:dyDescent="0.2">
      <c r="A1836" s="3430" t="s">
        <v>2519</v>
      </c>
      <c r="B1836" s="3409">
        <f t="shared" si="1011"/>
        <v>0.1</v>
      </c>
      <c r="C1836" s="3409">
        <f t="shared" si="1011"/>
        <v>0.1</v>
      </c>
      <c r="D1836" s="3409">
        <f t="shared" si="1011"/>
        <v>0.1</v>
      </c>
      <c r="E1836" s="3409">
        <f t="shared" si="1011"/>
        <v>0.1</v>
      </c>
      <c r="F1836" s="3409">
        <f t="shared" si="1011"/>
        <v>0.1</v>
      </c>
      <c r="G1836" s="3409">
        <f t="shared" si="1011"/>
        <v>0.1</v>
      </c>
      <c r="H1836" s="3353"/>
      <c r="I1836" s="3353"/>
      <c r="J1836" s="3353"/>
      <c r="K1836" s="3353"/>
      <c r="L1836" s="3353"/>
      <c r="M1836" s="3353"/>
      <c r="N1836" s="3353"/>
      <c r="O1836" s="3353"/>
      <c r="P1836" s="3353"/>
      <c r="Q1836" s="3353"/>
      <c r="R1836" s="3353"/>
      <c r="S1836" s="3353"/>
      <c r="T1836" s="3353"/>
      <c r="U1836" s="3353"/>
      <c r="V1836" s="3353"/>
      <c r="W1836" s="3353"/>
      <c r="X1836" s="3353"/>
      <c r="Y1836" s="3353"/>
      <c r="Z1836" s="3353"/>
      <c r="AA1836" s="3353"/>
      <c r="AB1836" s="3353"/>
      <c r="AC1836" s="3353"/>
      <c r="AD1836" s="3353"/>
      <c r="AE1836" s="3353"/>
      <c r="AF1836" s="3353"/>
      <c r="AG1836" s="3353"/>
      <c r="AH1836" s="3353"/>
      <c r="AI1836" s="3353"/>
      <c r="AJ1836" s="3353"/>
      <c r="AK1836" s="3353"/>
      <c r="AL1836" s="3353"/>
    </row>
    <row r="1837" spans="1:38" s="3309" customFormat="1" x14ac:dyDescent="0.2">
      <c r="A1837" s="3411" t="s">
        <v>2520</v>
      </c>
      <c r="B1837" s="3408">
        <f t="shared" ref="B1837:G1837" si="1012">B1835*B1836</f>
        <v>1.4999999999999999E-2</v>
      </c>
      <c r="C1837" s="3408">
        <f t="shared" si="1012"/>
        <v>1.4999999999999999E-2</v>
      </c>
      <c r="D1837" s="3408">
        <f t="shared" si="1012"/>
        <v>1.4999999999999999E-2</v>
      </c>
      <c r="E1837" s="3408">
        <f t="shared" si="1012"/>
        <v>1.4999999999999999E-2</v>
      </c>
      <c r="F1837" s="3408">
        <f t="shared" si="1012"/>
        <v>1.4999999999999999E-2</v>
      </c>
      <c r="G1837" s="3408">
        <f t="shared" si="1012"/>
        <v>1.4999999999999999E-2</v>
      </c>
      <c r="H1837" s="3353"/>
      <c r="I1837" s="3353"/>
      <c r="J1837" s="3353"/>
      <c r="K1837" s="3353"/>
      <c r="L1837" s="3353"/>
      <c r="M1837" s="3353"/>
      <c r="N1837" s="3353"/>
      <c r="O1837" s="3353"/>
      <c r="P1837" s="3353"/>
      <c r="Q1837" s="3353"/>
      <c r="R1837" s="3353"/>
      <c r="S1837" s="3353"/>
      <c r="T1837" s="3353"/>
      <c r="U1837" s="3353"/>
      <c r="V1837" s="3353"/>
      <c r="W1837" s="3353"/>
      <c r="X1837" s="3353"/>
      <c r="Y1837" s="3353"/>
      <c r="Z1837" s="3353"/>
      <c r="AA1837" s="3353"/>
      <c r="AB1837" s="3353"/>
      <c r="AC1837" s="3353"/>
      <c r="AD1837" s="3353"/>
      <c r="AE1837" s="3353"/>
      <c r="AF1837" s="3353"/>
      <c r="AG1837" s="3353"/>
      <c r="AH1837" s="3353"/>
      <c r="AI1837" s="3353"/>
      <c r="AJ1837" s="3353"/>
      <c r="AK1837" s="3353"/>
      <c r="AL1837" s="3353"/>
    </row>
    <row r="1838" spans="1:38" s="3309" customFormat="1" x14ac:dyDescent="0.2">
      <c r="A1838" s="3412" t="s">
        <v>2521</v>
      </c>
      <c r="B1838" s="3474"/>
      <c r="C1838" s="3412"/>
      <c r="D1838" s="3412"/>
      <c r="E1838" s="3412"/>
      <c r="F1838" s="3412"/>
      <c r="G1838" s="3412"/>
      <c r="H1838" s="3353"/>
      <c r="I1838" s="3353"/>
      <c r="J1838" s="3353"/>
      <c r="K1838" s="3353"/>
      <c r="L1838" s="3353"/>
      <c r="M1838" s="3353"/>
      <c r="N1838" s="3353"/>
      <c r="O1838" s="3353"/>
      <c r="P1838" s="3353"/>
      <c r="Q1838" s="3353"/>
      <c r="R1838" s="3353"/>
      <c r="S1838" s="3353"/>
      <c r="T1838" s="3353"/>
      <c r="U1838" s="3353"/>
      <c r="V1838" s="3353"/>
      <c r="W1838" s="3353"/>
      <c r="X1838" s="3353"/>
      <c r="Y1838" s="3353"/>
      <c r="Z1838" s="3353"/>
      <c r="AA1838" s="3353"/>
      <c r="AB1838" s="3353"/>
      <c r="AC1838" s="3353"/>
      <c r="AD1838" s="3353"/>
      <c r="AE1838" s="3353"/>
      <c r="AF1838" s="3353"/>
      <c r="AG1838" s="3353"/>
      <c r="AH1838" s="3353"/>
      <c r="AI1838" s="3353"/>
      <c r="AJ1838" s="3353"/>
      <c r="AK1838" s="3353"/>
      <c r="AL1838" s="3353"/>
    </row>
    <row r="1839" spans="1:38" s="3309" customFormat="1" x14ac:dyDescent="0.2">
      <c r="A1839" s="3473" t="s">
        <v>2522</v>
      </c>
      <c r="B1839" s="3407" t="e">
        <f t="shared" ref="B1839:G1839" si="1013">ROUND((1.2*(B1400*100)^0.5)/100,2)</f>
        <v>#VALUE!</v>
      </c>
      <c r="C1839" s="3407">
        <f t="shared" si="1013"/>
        <v>0</v>
      </c>
      <c r="D1839" s="3407">
        <f t="shared" si="1013"/>
        <v>0</v>
      </c>
      <c r="E1839" s="3407">
        <f t="shared" si="1013"/>
        <v>0</v>
      </c>
      <c r="F1839" s="3407">
        <f t="shared" si="1013"/>
        <v>0</v>
      </c>
      <c r="G1839" s="3407">
        <f t="shared" si="1013"/>
        <v>0</v>
      </c>
      <c r="H1839" s="3353"/>
      <c r="I1839" s="3353"/>
      <c r="J1839" s="3353"/>
      <c r="K1839" s="3353"/>
      <c r="L1839" s="3353"/>
      <c r="M1839" s="3353"/>
      <c r="N1839" s="3353"/>
      <c r="O1839" s="3353"/>
      <c r="P1839" s="3353"/>
      <c r="Q1839" s="3353"/>
      <c r="R1839" s="3353"/>
      <c r="S1839" s="3353"/>
      <c r="T1839" s="3353"/>
      <c r="U1839" s="3353"/>
      <c r="V1839" s="3353"/>
      <c r="W1839" s="3353"/>
      <c r="X1839" s="3353"/>
      <c r="Y1839" s="3353"/>
      <c r="Z1839" s="3353"/>
      <c r="AA1839" s="3353"/>
      <c r="AB1839" s="3353"/>
      <c r="AC1839" s="3353"/>
      <c r="AD1839" s="3353"/>
      <c r="AE1839" s="3353"/>
      <c r="AF1839" s="3353"/>
      <c r="AG1839" s="3353"/>
      <c r="AH1839" s="3353"/>
      <c r="AI1839" s="3353"/>
      <c r="AJ1839" s="3353"/>
      <c r="AK1839" s="3353"/>
      <c r="AL1839" s="3353"/>
    </row>
    <row r="1840" spans="1:38" s="3309" customFormat="1" x14ac:dyDescent="0.2">
      <c r="A1840" s="3409" t="s">
        <v>2523</v>
      </c>
      <c r="B1840" s="3468" t="e">
        <f t="shared" ref="B1840:G1840" si="1014">3.14*B1839^2/4</f>
        <v>#VALUE!</v>
      </c>
      <c r="C1840" s="3468">
        <f t="shared" si="1014"/>
        <v>0</v>
      </c>
      <c r="D1840" s="3468">
        <f t="shared" si="1014"/>
        <v>0</v>
      </c>
      <c r="E1840" s="3468">
        <f t="shared" si="1014"/>
        <v>0</v>
      </c>
      <c r="F1840" s="3468">
        <f t="shared" si="1014"/>
        <v>0</v>
      </c>
      <c r="G1840" s="3468">
        <f t="shared" si="1014"/>
        <v>0</v>
      </c>
      <c r="H1840" s="3353"/>
      <c r="I1840" s="3353"/>
      <c r="J1840" s="3353"/>
      <c r="K1840" s="3353"/>
      <c r="L1840" s="3353"/>
      <c r="M1840" s="3353"/>
      <c r="N1840" s="3353"/>
      <c r="O1840" s="3353"/>
      <c r="P1840" s="3353"/>
      <c r="Q1840" s="3353"/>
      <c r="R1840" s="3353"/>
      <c r="S1840" s="3353"/>
      <c r="T1840" s="3353"/>
      <c r="U1840" s="3353"/>
      <c r="V1840" s="3353"/>
      <c r="W1840" s="3353"/>
      <c r="X1840" s="3353"/>
      <c r="Y1840" s="3353"/>
      <c r="Z1840" s="3353"/>
      <c r="AA1840" s="3353"/>
      <c r="AB1840" s="3353"/>
      <c r="AC1840" s="3353"/>
      <c r="AD1840" s="3353"/>
      <c r="AE1840" s="3353"/>
      <c r="AF1840" s="3353"/>
      <c r="AG1840" s="3353"/>
      <c r="AH1840" s="3353"/>
      <c r="AI1840" s="3353"/>
      <c r="AJ1840" s="3353"/>
      <c r="AK1840" s="3353"/>
      <c r="AL1840" s="3353"/>
    </row>
    <row r="1841" spans="1:38" s="3309" customFormat="1" x14ac:dyDescent="0.2">
      <c r="A1841" s="3472" t="s">
        <v>6077</v>
      </c>
      <c r="B1841" s="3468"/>
      <c r="C1841" s="3468"/>
      <c r="D1841" s="3468"/>
      <c r="E1841" s="3468"/>
      <c r="F1841" s="3468"/>
      <c r="G1841" s="3468"/>
      <c r="H1841" s="3353"/>
      <c r="I1841" s="3353"/>
      <c r="J1841" s="3353"/>
      <c r="K1841" s="3353"/>
      <c r="L1841" s="3353"/>
      <c r="M1841" s="3353"/>
      <c r="N1841" s="3353"/>
      <c r="O1841" s="3353"/>
      <c r="P1841" s="3353"/>
      <c r="Q1841" s="3353"/>
      <c r="R1841" s="3353"/>
      <c r="S1841" s="3353"/>
      <c r="T1841" s="3353"/>
      <c r="U1841" s="3353"/>
      <c r="V1841" s="3353"/>
      <c r="W1841" s="3353"/>
      <c r="X1841" s="3353"/>
      <c r="Y1841" s="3353"/>
      <c r="Z1841" s="3353"/>
      <c r="AA1841" s="3353"/>
      <c r="AB1841" s="3353"/>
      <c r="AC1841" s="3353"/>
      <c r="AD1841" s="3353"/>
      <c r="AE1841" s="3353"/>
      <c r="AF1841" s="3353"/>
      <c r="AG1841" s="3353"/>
      <c r="AH1841" s="3353"/>
      <c r="AI1841" s="3353"/>
      <c r="AJ1841" s="3353"/>
      <c r="AK1841" s="3353"/>
      <c r="AL1841" s="3353"/>
    </row>
    <row r="1842" spans="1:38" s="3309" customFormat="1" x14ac:dyDescent="0.2">
      <c r="A1842" s="3471" t="s">
        <v>6076</v>
      </c>
      <c r="B1842" s="3470">
        <f t="shared" ref="B1842:G1843" si="1015">B1203</f>
        <v>0.2</v>
      </c>
      <c r="C1842" s="3470">
        <f t="shared" si="1015"/>
        <v>0.2</v>
      </c>
      <c r="D1842" s="3470">
        <f t="shared" si="1015"/>
        <v>0.2</v>
      </c>
      <c r="E1842" s="3470">
        <f t="shared" si="1015"/>
        <v>0.2</v>
      </c>
      <c r="F1842" s="3470">
        <f t="shared" si="1015"/>
        <v>0.2</v>
      </c>
      <c r="G1842" s="3470">
        <f t="shared" si="1015"/>
        <v>0.2</v>
      </c>
      <c r="H1842" s="3353"/>
      <c r="I1842" s="3353"/>
      <c r="J1842" s="3353"/>
      <c r="K1842" s="3353"/>
      <c r="L1842" s="3353"/>
      <c r="M1842" s="3353"/>
      <c r="N1842" s="3353"/>
      <c r="O1842" s="3353"/>
      <c r="P1842" s="3353"/>
      <c r="Q1842" s="3353"/>
      <c r="R1842" s="3353"/>
      <c r="S1842" s="3353"/>
      <c r="T1842" s="3353"/>
      <c r="U1842" s="3353"/>
      <c r="V1842" s="3353"/>
      <c r="W1842" s="3353"/>
      <c r="X1842" s="3353"/>
      <c r="Y1842" s="3353"/>
      <c r="Z1842" s="3353"/>
      <c r="AA1842" s="3353"/>
      <c r="AB1842" s="3353"/>
      <c r="AC1842" s="3353"/>
      <c r="AD1842" s="3353"/>
      <c r="AE1842" s="3353"/>
      <c r="AF1842" s="3353"/>
      <c r="AG1842" s="3353"/>
      <c r="AH1842" s="3353"/>
      <c r="AI1842" s="3353"/>
      <c r="AJ1842" s="3353"/>
      <c r="AK1842" s="3353"/>
      <c r="AL1842" s="3353"/>
    </row>
    <row r="1843" spans="1:38" s="3309" customFormat="1" x14ac:dyDescent="0.2">
      <c r="A1843" s="3471" t="s">
        <v>6075</v>
      </c>
      <c r="B1843" s="3470">
        <f t="shared" si="1015"/>
        <v>0.03</v>
      </c>
      <c r="C1843" s="3470">
        <f t="shared" si="1015"/>
        <v>0.03</v>
      </c>
      <c r="D1843" s="3470">
        <f t="shared" si="1015"/>
        <v>0.03</v>
      </c>
      <c r="E1843" s="3470">
        <f t="shared" si="1015"/>
        <v>0.03</v>
      </c>
      <c r="F1843" s="3470">
        <f t="shared" si="1015"/>
        <v>0.03</v>
      </c>
      <c r="G1843" s="3470">
        <f t="shared" si="1015"/>
        <v>0.03</v>
      </c>
      <c r="H1843" s="3467"/>
      <c r="I1843" s="3353"/>
      <c r="J1843" s="3353"/>
      <c r="K1843" s="3353"/>
      <c r="L1843" s="3353"/>
      <c r="M1843" s="3353"/>
      <c r="N1843" s="3353"/>
      <c r="O1843" s="3353"/>
      <c r="P1843" s="3353"/>
      <c r="Q1843" s="3353"/>
      <c r="R1843" s="3353"/>
      <c r="S1843" s="3353"/>
      <c r="T1843" s="3353"/>
      <c r="U1843" s="3353"/>
      <c r="V1843" s="3353"/>
      <c r="W1843" s="3353"/>
      <c r="X1843" s="3353"/>
      <c r="Y1843" s="3353"/>
      <c r="Z1843" s="3353"/>
      <c r="AA1843" s="3353"/>
      <c r="AB1843" s="3353"/>
      <c r="AC1843" s="3353"/>
      <c r="AD1843" s="3353"/>
      <c r="AE1843" s="3353"/>
      <c r="AF1843" s="3353"/>
      <c r="AG1843" s="3353"/>
      <c r="AH1843" s="3353"/>
      <c r="AI1843" s="3353"/>
      <c r="AJ1843" s="3353"/>
      <c r="AK1843" s="3353"/>
      <c r="AL1843" s="3353"/>
    </row>
    <row r="1844" spans="1:38" s="3309" customFormat="1" x14ac:dyDescent="0.2">
      <c r="A1844" s="3469" t="s">
        <v>6074</v>
      </c>
      <c r="B1844" s="3468">
        <f t="shared" ref="B1844:G1844" si="1016">B1842*B1843</f>
        <v>6.0000000000000001E-3</v>
      </c>
      <c r="C1844" s="3468">
        <f t="shared" si="1016"/>
        <v>6.0000000000000001E-3</v>
      </c>
      <c r="D1844" s="3468">
        <f t="shared" si="1016"/>
        <v>6.0000000000000001E-3</v>
      </c>
      <c r="E1844" s="3468">
        <f t="shared" si="1016"/>
        <v>6.0000000000000001E-3</v>
      </c>
      <c r="F1844" s="3468">
        <f t="shared" si="1016"/>
        <v>6.0000000000000001E-3</v>
      </c>
      <c r="G1844" s="3468">
        <f t="shared" si="1016"/>
        <v>6.0000000000000001E-3</v>
      </c>
      <c r="H1844" s="3467"/>
      <c r="I1844" s="3353"/>
      <c r="J1844" s="3353"/>
      <c r="K1844" s="3353"/>
      <c r="L1844" s="3353"/>
      <c r="M1844" s="3353"/>
      <c r="N1844" s="3353"/>
      <c r="O1844" s="3353"/>
      <c r="P1844" s="3353"/>
      <c r="Q1844" s="3353"/>
      <c r="R1844" s="3353"/>
      <c r="S1844" s="3353"/>
      <c r="T1844" s="3353"/>
      <c r="U1844" s="3353"/>
      <c r="V1844" s="3353"/>
      <c r="W1844" s="3353"/>
      <c r="X1844" s="3353"/>
      <c r="Y1844" s="3353"/>
      <c r="Z1844" s="3353"/>
      <c r="AA1844" s="3353"/>
      <c r="AB1844" s="3353"/>
      <c r="AC1844" s="3353"/>
      <c r="AD1844" s="3353"/>
      <c r="AE1844" s="3353"/>
      <c r="AF1844" s="3353"/>
      <c r="AG1844" s="3353"/>
      <c r="AH1844" s="3353"/>
      <c r="AI1844" s="3353"/>
      <c r="AJ1844" s="3353"/>
      <c r="AK1844" s="3353"/>
      <c r="AL1844" s="3353"/>
    </row>
    <row r="1845" spans="1:38" s="3309" customFormat="1" ht="25.5" x14ac:dyDescent="0.2">
      <c r="A1845" s="3466" t="s">
        <v>6073</v>
      </c>
      <c r="B1845" s="3465">
        <f t="shared" ref="B1845:G1845" si="1017">B1451</f>
        <v>0</v>
      </c>
      <c r="C1845" s="3465" t="e">
        <f t="shared" si="1017"/>
        <v>#DIV/0!</v>
      </c>
      <c r="D1845" s="3465" t="e">
        <f t="shared" si="1017"/>
        <v>#DIV/0!</v>
      </c>
      <c r="E1845" s="3465" t="e">
        <f t="shared" si="1017"/>
        <v>#DIV/0!</v>
      </c>
      <c r="F1845" s="3465" t="e">
        <f t="shared" si="1017"/>
        <v>#DIV/0!</v>
      </c>
      <c r="G1845" s="3465" t="e">
        <f t="shared" si="1017"/>
        <v>#DIV/0!</v>
      </c>
      <c r="H1845" s="3353"/>
      <c r="I1845" s="3353"/>
      <c r="J1845" s="3353"/>
      <c r="K1845" s="3353"/>
      <c r="L1845" s="3353"/>
      <c r="M1845" s="3353"/>
      <c r="N1845" s="3353"/>
      <c r="O1845" s="3353"/>
      <c r="P1845" s="3353"/>
      <c r="Q1845" s="3353"/>
      <c r="R1845" s="3353"/>
      <c r="S1845" s="3353"/>
      <c r="T1845" s="3353"/>
      <c r="U1845" s="3353"/>
      <c r="V1845" s="3353"/>
      <c r="W1845" s="3353"/>
      <c r="X1845" s="3353"/>
      <c r="Y1845" s="3353"/>
      <c r="Z1845" s="3353"/>
      <c r="AA1845" s="3353"/>
      <c r="AB1845" s="3353"/>
      <c r="AC1845" s="3353"/>
      <c r="AD1845" s="3353"/>
      <c r="AE1845" s="3353"/>
      <c r="AF1845" s="3353"/>
      <c r="AG1845" s="3353"/>
      <c r="AH1845" s="3353"/>
      <c r="AI1845" s="3353"/>
      <c r="AJ1845" s="3353"/>
      <c r="AK1845" s="3353"/>
      <c r="AL1845" s="3353"/>
    </row>
    <row r="1846" spans="1:38" s="3309" customFormat="1" ht="25.5" x14ac:dyDescent="0.2">
      <c r="A1846" s="3462" t="s">
        <v>6066</v>
      </c>
      <c r="B1846" s="3438">
        <f>B1845*B1449*B1837</f>
        <v>0</v>
      </c>
      <c r="C1846" s="3438" t="e">
        <f>C1451*C1449*C1837</f>
        <v>#DIV/0!</v>
      </c>
      <c r="D1846" s="3438" t="e">
        <f>D1451*D1449*D1837</f>
        <v>#DIV/0!</v>
      </c>
      <c r="E1846" s="3438" t="e">
        <f>E1451*E1449*E1837</f>
        <v>#DIV/0!</v>
      </c>
      <c r="F1846" s="3438" t="e">
        <f>F1451*F1449*F1837</f>
        <v>#DIV/0!</v>
      </c>
      <c r="G1846" s="3438" t="e">
        <f>G1451*G1449*G1837</f>
        <v>#DIV/0!</v>
      </c>
      <c r="H1846" s="3353"/>
      <c r="I1846" s="3353"/>
      <c r="J1846" s="3353"/>
      <c r="K1846" s="3353"/>
      <c r="L1846" s="3353"/>
      <c r="M1846" s="3353"/>
      <c r="N1846" s="3353"/>
      <c r="O1846" s="3353"/>
      <c r="P1846" s="3353"/>
      <c r="Q1846" s="3353"/>
      <c r="R1846" s="3353"/>
      <c r="S1846" s="3353"/>
      <c r="T1846" s="3353"/>
      <c r="U1846" s="3353"/>
      <c r="V1846" s="3353"/>
      <c r="W1846" s="3353"/>
      <c r="X1846" s="3353"/>
      <c r="Y1846" s="3353"/>
      <c r="Z1846" s="3353"/>
      <c r="AA1846" s="3353"/>
      <c r="AB1846" s="3353"/>
      <c r="AC1846" s="3353"/>
      <c r="AD1846" s="3353"/>
      <c r="AE1846" s="3353"/>
      <c r="AF1846" s="3353"/>
      <c r="AG1846" s="3353"/>
      <c r="AH1846" s="3353"/>
      <c r="AI1846" s="3353"/>
      <c r="AJ1846" s="3353"/>
      <c r="AK1846" s="3353"/>
      <c r="AL1846" s="3353"/>
    </row>
    <row r="1847" spans="1:38" s="3309" customFormat="1" x14ac:dyDescent="0.2">
      <c r="A1847" s="3411" t="s">
        <v>6072</v>
      </c>
      <c r="B1847" s="3438">
        <f t="shared" ref="B1847:G1847" si="1018">B1510</f>
        <v>0</v>
      </c>
      <c r="C1847" s="3438" t="e">
        <f t="shared" si="1018"/>
        <v>#DIV/0!</v>
      </c>
      <c r="D1847" s="3438" t="e">
        <f t="shared" si="1018"/>
        <v>#DIV/0!</v>
      </c>
      <c r="E1847" s="3438" t="e">
        <f t="shared" si="1018"/>
        <v>#DIV/0!</v>
      </c>
      <c r="F1847" s="3438" t="e">
        <f t="shared" si="1018"/>
        <v>#DIV/0!</v>
      </c>
      <c r="G1847" s="3438" t="e">
        <f t="shared" si="1018"/>
        <v>#DIV/0!</v>
      </c>
      <c r="H1847" s="3353"/>
      <c r="I1847" s="3353"/>
      <c r="J1847" s="3353"/>
      <c r="K1847" s="3353"/>
      <c r="L1847" s="3353"/>
      <c r="M1847" s="3353"/>
      <c r="N1847" s="3353"/>
      <c r="O1847" s="3353"/>
      <c r="P1847" s="3353"/>
      <c r="Q1847" s="3353"/>
      <c r="R1847" s="3353"/>
      <c r="S1847" s="3353"/>
      <c r="T1847" s="3353"/>
      <c r="U1847" s="3353"/>
      <c r="V1847" s="3353"/>
      <c r="W1847" s="3353"/>
      <c r="X1847" s="3353"/>
      <c r="Y1847" s="3353"/>
      <c r="Z1847" s="3353"/>
      <c r="AA1847" s="3353"/>
      <c r="AB1847" s="3353"/>
      <c r="AC1847" s="3353"/>
      <c r="AD1847" s="3353"/>
      <c r="AE1847" s="3353"/>
      <c r="AF1847" s="3353"/>
      <c r="AG1847" s="3353"/>
      <c r="AH1847" s="3353"/>
      <c r="AI1847" s="3353"/>
      <c r="AJ1847" s="3353"/>
      <c r="AK1847" s="3353"/>
      <c r="AL1847" s="3353"/>
    </row>
    <row r="1848" spans="1:38" s="3309" customFormat="1" x14ac:dyDescent="0.2">
      <c r="A1848" s="3411" t="s">
        <v>2525</v>
      </c>
      <c r="B1848" s="3426">
        <f t="shared" ref="B1848:G1848" si="1019">B1847*B1516*B1837</f>
        <v>0</v>
      </c>
      <c r="C1848" s="3426" t="e">
        <f t="shared" si="1019"/>
        <v>#DIV/0!</v>
      </c>
      <c r="D1848" s="3426" t="e">
        <f t="shared" si="1019"/>
        <v>#DIV/0!</v>
      </c>
      <c r="E1848" s="3426" t="e">
        <f t="shared" si="1019"/>
        <v>#DIV/0!</v>
      </c>
      <c r="F1848" s="3426" t="e">
        <f t="shared" si="1019"/>
        <v>#DIV/0!</v>
      </c>
      <c r="G1848" s="3426" t="e">
        <f t="shared" si="1019"/>
        <v>#DIV/0!</v>
      </c>
      <c r="H1848" s="3353"/>
      <c r="I1848" s="3353"/>
      <c r="J1848" s="3353"/>
      <c r="K1848" s="3353"/>
      <c r="L1848" s="3353"/>
      <c r="M1848" s="3353"/>
      <c r="N1848" s="3353"/>
      <c r="O1848" s="3353"/>
      <c r="P1848" s="3353"/>
      <c r="Q1848" s="3353"/>
      <c r="R1848" s="3353"/>
      <c r="S1848" s="3353"/>
      <c r="T1848" s="3353"/>
      <c r="U1848" s="3353"/>
      <c r="V1848" s="3353"/>
      <c r="W1848" s="3353"/>
      <c r="X1848" s="3353"/>
      <c r="Y1848" s="3353"/>
      <c r="Z1848" s="3353"/>
      <c r="AA1848" s="3353"/>
      <c r="AB1848" s="3353"/>
      <c r="AC1848" s="3353"/>
      <c r="AD1848" s="3353"/>
      <c r="AE1848" s="3353"/>
      <c r="AF1848" s="3353"/>
      <c r="AG1848" s="3353"/>
      <c r="AH1848" s="3353"/>
      <c r="AI1848" s="3353"/>
      <c r="AJ1848" s="3353"/>
      <c r="AK1848" s="3353"/>
      <c r="AL1848" s="3353"/>
    </row>
    <row r="1849" spans="1:38" s="3309" customFormat="1" x14ac:dyDescent="0.2">
      <c r="A1849" s="3411" t="s">
        <v>6071</v>
      </c>
      <c r="B1849" s="3426" t="e">
        <f t="shared" ref="B1849:G1849" si="1020">B1492+B1553</f>
        <v>#DIV/0!</v>
      </c>
      <c r="C1849" s="3426" t="e">
        <f t="shared" si="1020"/>
        <v>#DIV/0!</v>
      </c>
      <c r="D1849" s="3426" t="e">
        <f t="shared" si="1020"/>
        <v>#DIV/0!</v>
      </c>
      <c r="E1849" s="3426" t="e">
        <f t="shared" si="1020"/>
        <v>#DIV/0!</v>
      </c>
      <c r="F1849" s="3426" t="e">
        <f t="shared" si="1020"/>
        <v>#DIV/0!</v>
      </c>
      <c r="G1849" s="3426" t="e">
        <f t="shared" si="1020"/>
        <v>#DIV/0!</v>
      </c>
      <c r="H1849" s="3353"/>
      <c r="I1849" s="3353"/>
      <c r="J1849" s="3353"/>
      <c r="K1849" s="3353"/>
      <c r="L1849" s="3353"/>
      <c r="M1849" s="3353"/>
      <c r="N1849" s="3353"/>
      <c r="O1849" s="3353"/>
      <c r="P1849" s="3353"/>
      <c r="Q1849" s="3353"/>
      <c r="R1849" s="3353"/>
      <c r="S1849" s="3353"/>
      <c r="T1849" s="3353"/>
      <c r="U1849" s="3353"/>
      <c r="V1849" s="3353"/>
      <c r="W1849" s="3353"/>
      <c r="X1849" s="3353"/>
      <c r="Y1849" s="3353"/>
      <c r="Z1849" s="3353"/>
      <c r="AA1849" s="3353"/>
      <c r="AB1849" s="3353"/>
      <c r="AC1849" s="3353"/>
      <c r="AD1849" s="3353"/>
      <c r="AE1849" s="3353"/>
      <c r="AF1849" s="3353"/>
      <c r="AG1849" s="3353"/>
      <c r="AH1849" s="3353"/>
      <c r="AI1849" s="3353"/>
      <c r="AJ1849" s="3353"/>
      <c r="AK1849" s="3353"/>
      <c r="AL1849" s="3353"/>
    </row>
    <row r="1850" spans="1:38" s="3309" customFormat="1" x14ac:dyDescent="0.2">
      <c r="A1850" s="3459" t="s">
        <v>6070</v>
      </c>
      <c r="B1850" s="3424" t="e">
        <f t="shared" ref="B1850:G1850" si="1021">B1849*B1400*B1840</f>
        <v>#DIV/0!</v>
      </c>
      <c r="C1850" s="3424" t="e">
        <f t="shared" si="1021"/>
        <v>#DIV/0!</v>
      </c>
      <c r="D1850" s="3424" t="e">
        <f t="shared" si="1021"/>
        <v>#DIV/0!</v>
      </c>
      <c r="E1850" s="3424" t="e">
        <f t="shared" si="1021"/>
        <v>#DIV/0!</v>
      </c>
      <c r="F1850" s="3424" t="e">
        <f t="shared" si="1021"/>
        <v>#DIV/0!</v>
      </c>
      <c r="G1850" s="3424" t="e">
        <f t="shared" si="1021"/>
        <v>#DIV/0!</v>
      </c>
      <c r="H1850" s="3353"/>
      <c r="I1850" s="3353"/>
      <c r="J1850" s="3353"/>
      <c r="K1850" s="3353"/>
      <c r="L1850" s="3353"/>
      <c r="M1850" s="3353"/>
      <c r="N1850" s="3353"/>
      <c r="O1850" s="3353"/>
      <c r="P1850" s="3353"/>
      <c r="Q1850" s="3353"/>
      <c r="R1850" s="3353"/>
      <c r="S1850" s="3353"/>
      <c r="T1850" s="3353"/>
      <c r="U1850" s="3353"/>
      <c r="V1850" s="3353"/>
      <c r="W1850" s="3353"/>
      <c r="X1850" s="3353"/>
      <c r="Y1850" s="3353"/>
      <c r="Z1850" s="3353"/>
      <c r="AA1850" s="3353"/>
      <c r="AB1850" s="3353"/>
      <c r="AC1850" s="3353"/>
      <c r="AD1850" s="3353"/>
      <c r="AE1850" s="3353"/>
      <c r="AF1850" s="3353"/>
      <c r="AG1850" s="3353"/>
      <c r="AH1850" s="3353"/>
      <c r="AI1850" s="3353"/>
      <c r="AJ1850" s="3353"/>
      <c r="AK1850" s="3353"/>
      <c r="AL1850" s="3353"/>
    </row>
    <row r="1851" spans="1:38" s="3309" customFormat="1" x14ac:dyDescent="0.2">
      <c r="A1851" s="3411" t="s">
        <v>3329</v>
      </c>
      <c r="B1851" s="3426" t="e">
        <f t="shared" ref="B1851:G1851" si="1022">B1795*B1797*B1839</f>
        <v>#VALUE!</v>
      </c>
      <c r="C1851" s="3426" t="e">
        <f t="shared" si="1022"/>
        <v>#DIV/0!</v>
      </c>
      <c r="D1851" s="3426" t="e">
        <f t="shared" si="1022"/>
        <v>#DIV/0!</v>
      </c>
      <c r="E1851" s="3426" t="e">
        <f t="shared" si="1022"/>
        <v>#DIV/0!</v>
      </c>
      <c r="F1851" s="3426" t="e">
        <f t="shared" si="1022"/>
        <v>#DIV/0!</v>
      </c>
      <c r="G1851" s="3426" t="e">
        <f t="shared" si="1022"/>
        <v>#DIV/0!</v>
      </c>
      <c r="H1851" s="3353"/>
      <c r="I1851" s="3353"/>
      <c r="J1851" s="3353"/>
      <c r="K1851" s="3353"/>
      <c r="L1851" s="3353"/>
      <c r="M1851" s="3353"/>
      <c r="N1851" s="3353"/>
      <c r="O1851" s="3353"/>
      <c r="P1851" s="3353"/>
      <c r="Q1851" s="3353"/>
      <c r="R1851" s="3353"/>
      <c r="S1851" s="3353"/>
      <c r="T1851" s="3353"/>
      <c r="U1851" s="3353"/>
      <c r="V1851" s="3353"/>
      <c r="W1851" s="3353"/>
      <c r="X1851" s="3353"/>
      <c r="Y1851" s="3353"/>
      <c r="Z1851" s="3353"/>
      <c r="AA1851" s="3353"/>
      <c r="AB1851" s="3353"/>
      <c r="AC1851" s="3353"/>
      <c r="AD1851" s="3353"/>
      <c r="AE1851" s="3353"/>
      <c r="AF1851" s="3353"/>
      <c r="AG1851" s="3353"/>
      <c r="AH1851" s="3353"/>
      <c r="AI1851" s="3353"/>
      <c r="AJ1851" s="3353"/>
      <c r="AK1851" s="3353"/>
      <c r="AL1851" s="3353"/>
    </row>
    <row r="1852" spans="1:38" s="3309" customFormat="1" ht="25.5" x14ac:dyDescent="0.2">
      <c r="A1852" s="3416" t="s">
        <v>6069</v>
      </c>
      <c r="B1852" s="3424" t="e">
        <f t="shared" ref="B1852:G1852" si="1023">B1846+B1848+B1850+B1851</f>
        <v>#DIV/0!</v>
      </c>
      <c r="C1852" s="3424" t="e">
        <f t="shared" si="1023"/>
        <v>#DIV/0!</v>
      </c>
      <c r="D1852" s="3424" t="e">
        <f t="shared" si="1023"/>
        <v>#DIV/0!</v>
      </c>
      <c r="E1852" s="3424" t="e">
        <f t="shared" si="1023"/>
        <v>#DIV/0!</v>
      </c>
      <c r="F1852" s="3424" t="e">
        <f t="shared" si="1023"/>
        <v>#DIV/0!</v>
      </c>
      <c r="G1852" s="3424" t="e">
        <f t="shared" si="1023"/>
        <v>#DIV/0!</v>
      </c>
      <c r="H1852" s="3353"/>
      <c r="I1852" s="3353"/>
      <c r="J1852" s="3353"/>
      <c r="K1852" s="3353"/>
      <c r="L1852" s="3353"/>
      <c r="M1852" s="3353"/>
      <c r="N1852" s="3353"/>
      <c r="O1852" s="3353"/>
      <c r="P1852" s="3353"/>
      <c r="Q1852" s="3353"/>
      <c r="R1852" s="3353"/>
      <c r="S1852" s="3353"/>
      <c r="T1852" s="3353"/>
      <c r="U1852" s="3353"/>
      <c r="V1852" s="3353"/>
      <c r="W1852" s="3353"/>
      <c r="X1852" s="3353"/>
      <c r="Y1852" s="3353"/>
      <c r="Z1852" s="3353"/>
      <c r="AA1852" s="3353"/>
      <c r="AB1852" s="3353"/>
      <c r="AC1852" s="3353"/>
      <c r="AD1852" s="3353"/>
      <c r="AE1852" s="3353"/>
      <c r="AF1852" s="3353"/>
      <c r="AG1852" s="3353"/>
      <c r="AH1852" s="3353"/>
      <c r="AI1852" s="3353"/>
      <c r="AJ1852" s="3353"/>
      <c r="AK1852" s="3353"/>
      <c r="AL1852" s="3353"/>
    </row>
    <row r="1853" spans="1:38" s="3309" customFormat="1" x14ac:dyDescent="0.2">
      <c r="A1853" s="3464" t="s">
        <v>3331</v>
      </c>
      <c r="B1853" s="3428">
        <f t="shared" ref="B1853:G1853" si="1024">B1217</f>
        <v>300</v>
      </c>
      <c r="C1853" s="3428">
        <f t="shared" si="1024"/>
        <v>300</v>
      </c>
      <c r="D1853" s="3428">
        <f t="shared" si="1024"/>
        <v>300</v>
      </c>
      <c r="E1853" s="3428">
        <f t="shared" si="1024"/>
        <v>300</v>
      </c>
      <c r="F1853" s="3428">
        <f t="shared" si="1024"/>
        <v>300</v>
      </c>
      <c r="G1853" s="3428">
        <f t="shared" si="1024"/>
        <v>300</v>
      </c>
      <c r="H1853" s="3353"/>
      <c r="I1853" s="3353"/>
      <c r="J1853" s="3353"/>
      <c r="K1853" s="3353"/>
      <c r="L1853" s="3353"/>
      <c r="M1853" s="3353"/>
      <c r="N1853" s="3353"/>
      <c r="O1853" s="3353"/>
      <c r="P1853" s="3353"/>
      <c r="Q1853" s="3353"/>
      <c r="R1853" s="3353"/>
      <c r="S1853" s="3353"/>
      <c r="T1853" s="3353"/>
      <c r="U1853" s="3353"/>
      <c r="V1853" s="3353"/>
      <c r="W1853" s="3353"/>
      <c r="X1853" s="3353"/>
      <c r="Y1853" s="3353"/>
      <c r="Z1853" s="3353"/>
      <c r="AA1853" s="3353"/>
      <c r="AB1853" s="3353"/>
      <c r="AC1853" s="3353"/>
      <c r="AD1853" s="3353"/>
      <c r="AE1853" s="3353"/>
      <c r="AF1853" s="3353"/>
      <c r="AG1853" s="3353"/>
      <c r="AH1853" s="3353"/>
      <c r="AI1853" s="3353"/>
      <c r="AJ1853" s="3353"/>
      <c r="AK1853" s="3353"/>
      <c r="AL1853" s="3353"/>
    </row>
    <row r="1854" spans="1:38" s="3309" customFormat="1" ht="25.5" x14ac:dyDescent="0.2">
      <c r="A1854" s="3416" t="s">
        <v>6068</v>
      </c>
      <c r="B1854" s="3417" t="e">
        <f t="shared" ref="B1854:G1854" si="1025">B1852*B1853</f>
        <v>#DIV/0!</v>
      </c>
      <c r="C1854" s="3417" t="e">
        <f t="shared" si="1025"/>
        <v>#DIV/0!</v>
      </c>
      <c r="D1854" s="3417" t="e">
        <f t="shared" si="1025"/>
        <v>#DIV/0!</v>
      </c>
      <c r="E1854" s="3417" t="e">
        <f t="shared" si="1025"/>
        <v>#DIV/0!</v>
      </c>
      <c r="F1854" s="3417" t="e">
        <f t="shared" si="1025"/>
        <v>#DIV/0!</v>
      </c>
      <c r="G1854" s="3417" t="e">
        <f t="shared" si="1025"/>
        <v>#DIV/0!</v>
      </c>
      <c r="H1854" s="3353"/>
      <c r="I1854" s="3353"/>
      <c r="J1854" s="3353"/>
      <c r="K1854" s="3353"/>
      <c r="L1854" s="3353"/>
      <c r="M1854" s="3353"/>
      <c r="N1854" s="3353"/>
      <c r="O1854" s="3353"/>
      <c r="P1854" s="3353"/>
      <c r="Q1854" s="3353"/>
      <c r="R1854" s="3353"/>
      <c r="S1854" s="3353"/>
      <c r="T1854" s="3353"/>
      <c r="U1854" s="3353"/>
      <c r="V1854" s="3353"/>
      <c r="W1854" s="3353"/>
      <c r="X1854" s="3353"/>
      <c r="Y1854" s="3353"/>
      <c r="Z1854" s="3353"/>
      <c r="AA1854" s="3353"/>
      <c r="AB1854" s="3353"/>
      <c r="AC1854" s="3353"/>
      <c r="AD1854" s="3353"/>
      <c r="AE1854" s="3353"/>
      <c r="AF1854" s="3353"/>
      <c r="AG1854" s="3353"/>
      <c r="AH1854" s="3353"/>
      <c r="AI1854" s="3353"/>
      <c r="AJ1854" s="3353"/>
      <c r="AK1854" s="3353"/>
      <c r="AL1854" s="3353"/>
    </row>
    <row r="1855" spans="1:38" s="3309" customFormat="1" ht="25.5" x14ac:dyDescent="0.2">
      <c r="A1855" s="3463" t="s">
        <v>5958</v>
      </c>
      <c r="B1855" s="3453"/>
      <c r="C1855" s="3453"/>
      <c r="D1855" s="3453"/>
      <c r="E1855" s="3453"/>
      <c r="F1855" s="3453"/>
      <c r="G1855" s="3453"/>
      <c r="H1855" s="3353"/>
      <c r="I1855" s="3353"/>
      <c r="J1855" s="3353"/>
      <c r="K1855" s="3353"/>
      <c r="L1855" s="3353"/>
      <c r="M1855" s="3353"/>
      <c r="N1855" s="3353"/>
      <c r="O1855" s="3353"/>
      <c r="P1855" s="3353"/>
      <c r="Q1855" s="3353"/>
      <c r="R1855" s="3353"/>
      <c r="S1855" s="3353"/>
      <c r="T1855" s="3353"/>
      <c r="U1855" s="3353"/>
      <c r="V1855" s="3353"/>
      <c r="W1855" s="3353"/>
      <c r="X1855" s="3353"/>
      <c r="Y1855" s="3353"/>
      <c r="Z1855" s="3353"/>
      <c r="AA1855" s="3353"/>
      <c r="AB1855" s="3353"/>
      <c r="AC1855" s="3353"/>
      <c r="AD1855" s="3353"/>
      <c r="AE1855" s="3353"/>
      <c r="AF1855" s="3353"/>
      <c r="AG1855" s="3353"/>
      <c r="AH1855" s="3353"/>
      <c r="AI1855" s="3353"/>
      <c r="AJ1855" s="3353"/>
      <c r="AK1855" s="3353"/>
      <c r="AL1855" s="3353"/>
    </row>
    <row r="1856" spans="1:38" s="3309" customFormat="1" ht="25.5" x14ac:dyDescent="0.2">
      <c r="A1856" s="3459" t="s">
        <v>2800</v>
      </c>
      <c r="B1856" s="3426">
        <f t="shared" ref="B1856:G1856" si="1026">B1687*B1686*B1844</f>
        <v>0</v>
      </c>
      <c r="C1856" s="3411" t="e">
        <f t="shared" si="1026"/>
        <v>#DIV/0!</v>
      </c>
      <c r="D1856" s="3411" t="e">
        <f t="shared" si="1026"/>
        <v>#DIV/0!</v>
      </c>
      <c r="E1856" s="3411" t="e">
        <f t="shared" si="1026"/>
        <v>#DIV/0!</v>
      </c>
      <c r="F1856" s="3411" t="e">
        <f t="shared" si="1026"/>
        <v>#DIV/0!</v>
      </c>
      <c r="G1856" s="3411" t="e">
        <f t="shared" si="1026"/>
        <v>#DIV/0!</v>
      </c>
      <c r="H1856" s="3353"/>
      <c r="I1856" s="3353"/>
      <c r="J1856" s="3353"/>
      <c r="K1856" s="3353"/>
      <c r="L1856" s="3353"/>
      <c r="M1856" s="3353"/>
      <c r="N1856" s="3353"/>
      <c r="O1856" s="3353"/>
      <c r="P1856" s="3353"/>
      <c r="Q1856" s="3353"/>
      <c r="R1856" s="3353"/>
      <c r="S1856" s="3353"/>
      <c r="T1856" s="3353"/>
      <c r="U1856" s="3353"/>
      <c r="V1856" s="3353"/>
      <c r="W1856" s="3353"/>
      <c r="X1856" s="3353"/>
      <c r="Y1856" s="3353"/>
      <c r="Z1856" s="3353"/>
      <c r="AA1856" s="3353"/>
      <c r="AB1856" s="3353"/>
      <c r="AC1856" s="3353"/>
      <c r="AD1856" s="3353"/>
      <c r="AE1856" s="3353"/>
      <c r="AF1856" s="3353"/>
      <c r="AG1856" s="3353"/>
      <c r="AH1856" s="3353"/>
      <c r="AI1856" s="3353"/>
      <c r="AJ1856" s="3353"/>
      <c r="AK1856" s="3353"/>
      <c r="AL1856" s="3353"/>
    </row>
    <row r="1857" spans="1:38" s="3309" customFormat="1" ht="25.5" x14ac:dyDescent="0.2">
      <c r="A1857" s="3459" t="s">
        <v>6061</v>
      </c>
      <c r="B1857" s="3411" t="e">
        <f t="shared" ref="B1857:G1857" si="1027">B1687*3*B1840*B1400</f>
        <v>#VALUE!</v>
      </c>
      <c r="C1857" s="3411" t="e">
        <f t="shared" si="1027"/>
        <v>#DIV/0!</v>
      </c>
      <c r="D1857" s="3411" t="e">
        <f t="shared" si="1027"/>
        <v>#DIV/0!</v>
      </c>
      <c r="E1857" s="3411" t="e">
        <f t="shared" si="1027"/>
        <v>#DIV/0!</v>
      </c>
      <c r="F1857" s="3411" t="e">
        <f t="shared" si="1027"/>
        <v>#DIV/0!</v>
      </c>
      <c r="G1857" s="3411" t="e">
        <f t="shared" si="1027"/>
        <v>#DIV/0!</v>
      </c>
      <c r="H1857" s="3353"/>
      <c r="I1857" s="3353"/>
      <c r="J1857" s="3353"/>
      <c r="K1857" s="3353"/>
      <c r="L1857" s="3353"/>
      <c r="M1857" s="3353"/>
      <c r="N1857" s="3353"/>
      <c r="O1857" s="3353"/>
      <c r="P1857" s="3353"/>
      <c r="Q1857" s="3353"/>
      <c r="R1857" s="3353"/>
      <c r="S1857" s="3353"/>
      <c r="T1857" s="3353"/>
      <c r="U1857" s="3353"/>
      <c r="V1857" s="3353"/>
      <c r="W1857" s="3353"/>
      <c r="X1857" s="3353"/>
      <c r="Y1857" s="3353"/>
      <c r="Z1857" s="3353"/>
      <c r="AA1857" s="3353"/>
      <c r="AB1857" s="3353"/>
      <c r="AC1857" s="3353"/>
      <c r="AD1857" s="3353"/>
      <c r="AE1857" s="3353"/>
      <c r="AF1857" s="3353"/>
      <c r="AG1857" s="3353"/>
      <c r="AH1857" s="3353"/>
      <c r="AI1857" s="3353"/>
      <c r="AJ1857" s="3353"/>
      <c r="AK1857" s="3353"/>
      <c r="AL1857" s="3353"/>
    </row>
    <row r="1858" spans="1:38" s="3309" customFormat="1" x14ac:dyDescent="0.2">
      <c r="A1858" s="3411" t="s">
        <v>6067</v>
      </c>
      <c r="B1858" s="3426" t="e">
        <f t="shared" ref="B1858:G1858" si="1028">B1610*B1400*B1840</f>
        <v>#DIV/0!</v>
      </c>
      <c r="C1858" s="3426" t="e">
        <f t="shared" si="1028"/>
        <v>#DIV/0!</v>
      </c>
      <c r="D1858" s="3426" t="e">
        <f t="shared" si="1028"/>
        <v>#DIV/0!</v>
      </c>
      <c r="E1858" s="3426" t="e">
        <f t="shared" si="1028"/>
        <v>#DIV/0!</v>
      </c>
      <c r="F1858" s="3426" t="e">
        <f t="shared" si="1028"/>
        <v>#DIV/0!</v>
      </c>
      <c r="G1858" s="3426" t="e">
        <f t="shared" si="1028"/>
        <v>#DIV/0!</v>
      </c>
      <c r="H1858" s="3353"/>
      <c r="I1858" s="3353"/>
      <c r="J1858" s="3353"/>
      <c r="K1858" s="3353"/>
      <c r="L1858" s="3353"/>
      <c r="M1858" s="3353"/>
      <c r="N1858" s="3353"/>
      <c r="O1858" s="3353"/>
      <c r="P1858" s="3353"/>
      <c r="Q1858" s="3353"/>
      <c r="R1858" s="3353"/>
      <c r="S1858" s="3353"/>
      <c r="T1858" s="3353"/>
      <c r="U1858" s="3353"/>
      <c r="V1858" s="3353"/>
      <c r="W1858" s="3353"/>
      <c r="X1858" s="3353"/>
      <c r="Y1858" s="3353"/>
      <c r="Z1858" s="3353"/>
      <c r="AA1858" s="3353"/>
      <c r="AB1858" s="3353"/>
      <c r="AC1858" s="3353"/>
      <c r="AD1858" s="3353"/>
      <c r="AE1858" s="3353"/>
      <c r="AF1858" s="3353"/>
      <c r="AG1858" s="3353"/>
      <c r="AH1858" s="3353"/>
      <c r="AI1858" s="3353"/>
      <c r="AJ1858" s="3353"/>
      <c r="AK1858" s="3353"/>
      <c r="AL1858" s="3353"/>
    </row>
    <row r="1859" spans="1:38" s="3309" customFormat="1" ht="25.5" x14ac:dyDescent="0.2">
      <c r="A1859" s="3462" t="s">
        <v>6066</v>
      </c>
      <c r="B1859" s="3417">
        <f t="shared" ref="B1859:G1859" si="1029">B1846</f>
        <v>0</v>
      </c>
      <c r="C1859" s="3417" t="e">
        <f t="shared" si="1029"/>
        <v>#DIV/0!</v>
      </c>
      <c r="D1859" s="3417" t="e">
        <f t="shared" si="1029"/>
        <v>#DIV/0!</v>
      </c>
      <c r="E1859" s="3417" t="e">
        <f t="shared" si="1029"/>
        <v>#DIV/0!</v>
      </c>
      <c r="F1859" s="3417" t="e">
        <f t="shared" si="1029"/>
        <v>#DIV/0!</v>
      </c>
      <c r="G1859" s="3417" t="e">
        <f t="shared" si="1029"/>
        <v>#DIV/0!</v>
      </c>
      <c r="H1859" s="3353"/>
      <c r="I1859" s="3353"/>
      <c r="J1859" s="3353"/>
      <c r="K1859" s="3353"/>
      <c r="L1859" s="3353"/>
      <c r="M1859" s="3353"/>
      <c r="N1859" s="3353"/>
      <c r="O1859" s="3353"/>
      <c r="P1859" s="3353"/>
      <c r="Q1859" s="3353"/>
      <c r="R1859" s="3353"/>
      <c r="S1859" s="3353"/>
      <c r="T1859" s="3353"/>
      <c r="U1859" s="3353"/>
      <c r="V1859" s="3353"/>
      <c r="W1859" s="3353"/>
      <c r="X1859" s="3353"/>
      <c r="Y1859" s="3353"/>
      <c r="Z1859" s="3353"/>
      <c r="AA1859" s="3353"/>
      <c r="AB1859" s="3353"/>
      <c r="AC1859" s="3353"/>
      <c r="AD1859" s="3353"/>
      <c r="AE1859" s="3353"/>
      <c r="AF1859" s="3353"/>
      <c r="AG1859" s="3353"/>
      <c r="AH1859" s="3353"/>
      <c r="AI1859" s="3353"/>
      <c r="AJ1859" s="3353"/>
      <c r="AK1859" s="3353"/>
      <c r="AL1859" s="3353"/>
    </row>
    <row r="1860" spans="1:38" s="3309" customFormat="1" x14ac:dyDescent="0.2">
      <c r="A1860" s="3462" t="s">
        <v>3329</v>
      </c>
      <c r="B1860" s="3417" t="e">
        <f t="shared" ref="B1860:G1860" si="1030">B1851</f>
        <v>#VALUE!</v>
      </c>
      <c r="C1860" s="3417" t="e">
        <f t="shared" si="1030"/>
        <v>#DIV/0!</v>
      </c>
      <c r="D1860" s="3417" t="e">
        <f t="shared" si="1030"/>
        <v>#DIV/0!</v>
      </c>
      <c r="E1860" s="3417" t="e">
        <f t="shared" si="1030"/>
        <v>#DIV/0!</v>
      </c>
      <c r="F1860" s="3417" t="e">
        <f t="shared" si="1030"/>
        <v>#DIV/0!</v>
      </c>
      <c r="G1860" s="3417" t="e">
        <f t="shared" si="1030"/>
        <v>#DIV/0!</v>
      </c>
      <c r="H1860" s="3353"/>
      <c r="I1860" s="3353"/>
      <c r="J1860" s="3353"/>
      <c r="K1860" s="3353"/>
      <c r="L1860" s="3353"/>
      <c r="M1860" s="3353"/>
      <c r="N1860" s="3353"/>
      <c r="O1860" s="3353"/>
      <c r="P1860" s="3353"/>
      <c r="Q1860" s="3353"/>
      <c r="R1860" s="3353"/>
      <c r="S1860" s="3353"/>
      <c r="T1860" s="3353"/>
      <c r="U1860" s="3353"/>
      <c r="V1860" s="3353"/>
      <c r="W1860" s="3353"/>
      <c r="X1860" s="3353"/>
      <c r="Y1860" s="3353"/>
      <c r="Z1860" s="3353"/>
      <c r="AA1860" s="3353"/>
      <c r="AB1860" s="3353"/>
      <c r="AC1860" s="3353"/>
      <c r="AD1860" s="3353"/>
      <c r="AE1860" s="3353"/>
      <c r="AF1860" s="3353"/>
      <c r="AG1860" s="3353"/>
      <c r="AH1860" s="3353"/>
      <c r="AI1860" s="3353"/>
      <c r="AJ1860" s="3353"/>
      <c r="AK1860" s="3353"/>
      <c r="AL1860" s="3353"/>
    </row>
    <row r="1861" spans="1:38" s="3309" customFormat="1" x14ac:dyDescent="0.2">
      <c r="A1861" s="3447" t="s">
        <v>6060</v>
      </c>
      <c r="B1861" s="3417" t="e">
        <f t="shared" ref="B1861:G1861" si="1031">B1859+B1858+B1856+B1857+B1851</f>
        <v>#DIV/0!</v>
      </c>
      <c r="C1861" s="3417" t="e">
        <f t="shared" si="1031"/>
        <v>#DIV/0!</v>
      </c>
      <c r="D1861" s="3417" t="e">
        <f t="shared" si="1031"/>
        <v>#DIV/0!</v>
      </c>
      <c r="E1861" s="3417" t="e">
        <f t="shared" si="1031"/>
        <v>#DIV/0!</v>
      </c>
      <c r="F1861" s="3417" t="e">
        <f t="shared" si="1031"/>
        <v>#DIV/0!</v>
      </c>
      <c r="G1861" s="3417" t="e">
        <f t="shared" si="1031"/>
        <v>#DIV/0!</v>
      </c>
      <c r="H1861" s="3353"/>
      <c r="I1861" s="3353"/>
      <c r="J1861" s="3353"/>
      <c r="K1861" s="3353"/>
      <c r="L1861" s="3353"/>
      <c r="M1861" s="3353"/>
      <c r="N1861" s="3353"/>
      <c r="O1861" s="3353"/>
      <c r="P1861" s="3353"/>
      <c r="Q1861" s="3353"/>
      <c r="R1861" s="3353"/>
      <c r="S1861" s="3353"/>
      <c r="T1861" s="3353"/>
      <c r="U1861" s="3353"/>
      <c r="V1861" s="3353"/>
      <c r="W1861" s="3353"/>
      <c r="X1861" s="3353"/>
      <c r="Y1861" s="3353"/>
      <c r="Z1861" s="3353"/>
      <c r="AA1861" s="3353"/>
      <c r="AB1861" s="3353"/>
      <c r="AC1861" s="3353"/>
      <c r="AD1861" s="3353"/>
      <c r="AE1861" s="3353"/>
      <c r="AF1861" s="3353"/>
      <c r="AG1861" s="3353"/>
      <c r="AH1861" s="3353"/>
      <c r="AI1861" s="3353"/>
      <c r="AJ1861" s="3353"/>
      <c r="AK1861" s="3353"/>
      <c r="AL1861" s="3353"/>
    </row>
    <row r="1862" spans="1:38" s="3309" customFormat="1" x14ac:dyDescent="0.2">
      <c r="A1862" s="3447" t="s">
        <v>6065</v>
      </c>
      <c r="B1862" s="3417" t="e">
        <f t="shared" ref="B1862:G1862" si="1032">B1861*B1853</f>
        <v>#DIV/0!</v>
      </c>
      <c r="C1862" s="3417" t="e">
        <f t="shared" si="1032"/>
        <v>#DIV/0!</v>
      </c>
      <c r="D1862" s="3417" t="e">
        <f t="shared" si="1032"/>
        <v>#DIV/0!</v>
      </c>
      <c r="E1862" s="3417" t="e">
        <f t="shared" si="1032"/>
        <v>#DIV/0!</v>
      </c>
      <c r="F1862" s="3417" t="e">
        <f t="shared" si="1032"/>
        <v>#DIV/0!</v>
      </c>
      <c r="G1862" s="3417" t="e">
        <f t="shared" si="1032"/>
        <v>#DIV/0!</v>
      </c>
      <c r="H1862" s="3353"/>
      <c r="I1862" s="3353"/>
      <c r="J1862" s="3353"/>
      <c r="K1862" s="3353"/>
      <c r="L1862" s="3353"/>
      <c r="M1862" s="3353"/>
      <c r="N1862" s="3353"/>
      <c r="O1862" s="3353"/>
      <c r="P1862" s="3353"/>
      <c r="Q1862" s="3353"/>
      <c r="R1862" s="3353"/>
      <c r="S1862" s="3353"/>
      <c r="T1862" s="3353"/>
      <c r="U1862" s="3353"/>
      <c r="V1862" s="3353"/>
      <c r="W1862" s="3353"/>
      <c r="X1862" s="3353"/>
      <c r="Y1862" s="3353"/>
      <c r="Z1862" s="3353"/>
      <c r="AA1862" s="3353"/>
      <c r="AB1862" s="3353"/>
      <c r="AC1862" s="3353"/>
      <c r="AD1862" s="3353"/>
      <c r="AE1862" s="3353"/>
      <c r="AF1862" s="3353"/>
      <c r="AG1862" s="3353"/>
      <c r="AH1862" s="3353"/>
      <c r="AI1862" s="3353"/>
      <c r="AJ1862" s="3353"/>
      <c r="AK1862" s="3353"/>
      <c r="AL1862" s="3353"/>
    </row>
    <row r="1863" spans="1:38" s="3309" customFormat="1" x14ac:dyDescent="0.2">
      <c r="A1863" s="3451" t="s">
        <v>6059</v>
      </c>
      <c r="B1863" s="3417">
        <f t="shared" ref="B1863:G1863" si="1033">CEILING(((B743-B741+B742)/B763+1)*6,1)</f>
        <v>-12</v>
      </c>
      <c r="C1863" s="3417" t="e">
        <f t="shared" si="1033"/>
        <v>#DIV/0!</v>
      </c>
      <c r="D1863" s="3417" t="e">
        <f t="shared" si="1033"/>
        <v>#DIV/0!</v>
      </c>
      <c r="E1863" s="3417" t="e">
        <f t="shared" si="1033"/>
        <v>#DIV/0!</v>
      </c>
      <c r="F1863" s="3417" t="e">
        <f t="shared" si="1033"/>
        <v>#DIV/0!</v>
      </c>
      <c r="G1863" s="3417" t="e">
        <f t="shared" si="1033"/>
        <v>#DIV/0!</v>
      </c>
      <c r="H1863" s="3353"/>
      <c r="I1863" s="3353"/>
      <c r="J1863" s="3353"/>
      <c r="K1863" s="3353"/>
      <c r="L1863" s="3353"/>
      <c r="M1863" s="3353"/>
      <c r="N1863" s="3353"/>
      <c r="O1863" s="3353"/>
      <c r="P1863" s="3353"/>
      <c r="Q1863" s="3353"/>
      <c r="R1863" s="3353"/>
      <c r="S1863" s="3353"/>
      <c r="T1863" s="3353"/>
      <c r="U1863" s="3353"/>
      <c r="V1863" s="3353"/>
      <c r="W1863" s="3353"/>
      <c r="X1863" s="3353"/>
      <c r="Y1863" s="3353"/>
      <c r="Z1863" s="3353"/>
      <c r="AA1863" s="3353"/>
      <c r="AB1863" s="3353"/>
      <c r="AC1863" s="3353"/>
      <c r="AD1863" s="3353"/>
      <c r="AE1863" s="3353"/>
      <c r="AF1863" s="3353"/>
      <c r="AG1863" s="3353"/>
      <c r="AH1863" s="3353"/>
      <c r="AI1863" s="3353"/>
      <c r="AJ1863" s="3353"/>
      <c r="AK1863" s="3353"/>
      <c r="AL1863" s="3353"/>
    </row>
    <row r="1864" spans="1:38" s="3309" customFormat="1" x14ac:dyDescent="0.2">
      <c r="A1864" s="3451" t="s">
        <v>6064</v>
      </c>
      <c r="B1864" s="3417">
        <f t="shared" ref="B1864:G1864" si="1034">B1863*B1275/100</f>
        <v>-0.6</v>
      </c>
      <c r="C1864" s="3417" t="e">
        <f t="shared" si="1034"/>
        <v>#DIV/0!</v>
      </c>
      <c r="D1864" s="3417" t="e">
        <f t="shared" si="1034"/>
        <v>#DIV/0!</v>
      </c>
      <c r="E1864" s="3417" t="e">
        <f t="shared" si="1034"/>
        <v>#DIV/0!</v>
      </c>
      <c r="F1864" s="3417" t="e">
        <f t="shared" si="1034"/>
        <v>#DIV/0!</v>
      </c>
      <c r="G1864" s="3417" t="e">
        <f t="shared" si="1034"/>
        <v>#DIV/0!</v>
      </c>
      <c r="H1864" s="3353"/>
      <c r="I1864" s="3353"/>
      <c r="J1864" s="3353"/>
      <c r="K1864" s="3353"/>
      <c r="L1864" s="3353"/>
      <c r="M1864" s="3353"/>
      <c r="N1864" s="3353"/>
      <c r="O1864" s="3353"/>
      <c r="P1864" s="3353"/>
      <c r="Q1864" s="3353"/>
      <c r="R1864" s="3353"/>
      <c r="S1864" s="3353"/>
      <c r="T1864" s="3353"/>
      <c r="U1864" s="3353"/>
      <c r="V1864" s="3353"/>
      <c r="W1864" s="3353"/>
      <c r="X1864" s="3353"/>
      <c r="Y1864" s="3353"/>
      <c r="Z1864" s="3353"/>
      <c r="AA1864" s="3353"/>
      <c r="AB1864" s="3353"/>
      <c r="AC1864" s="3353"/>
      <c r="AD1864" s="3353"/>
      <c r="AE1864" s="3353"/>
      <c r="AF1864" s="3353"/>
      <c r="AG1864" s="3353"/>
      <c r="AH1864" s="3353"/>
      <c r="AI1864" s="3353"/>
      <c r="AJ1864" s="3353"/>
      <c r="AK1864" s="3353"/>
      <c r="AL1864" s="3353"/>
    </row>
    <row r="1865" spans="1:38" s="3309" customFormat="1" x14ac:dyDescent="0.2">
      <c r="A1865" s="3461"/>
      <c r="B1865" s="3417"/>
      <c r="C1865" s="3417"/>
      <c r="D1865" s="3417"/>
      <c r="E1865" s="3417"/>
      <c r="F1865" s="3417"/>
      <c r="G1865" s="3417"/>
      <c r="H1865" s="3353"/>
      <c r="I1865" s="3353"/>
      <c r="J1865" s="3353"/>
      <c r="K1865" s="3353"/>
      <c r="L1865" s="3353"/>
      <c r="M1865" s="3353"/>
      <c r="N1865" s="3353"/>
      <c r="O1865" s="3353"/>
      <c r="P1865" s="3353"/>
      <c r="Q1865" s="3353"/>
      <c r="R1865" s="3353"/>
      <c r="S1865" s="3353"/>
      <c r="T1865" s="3353"/>
      <c r="U1865" s="3353"/>
      <c r="V1865" s="3353"/>
      <c r="W1865" s="3353"/>
      <c r="X1865" s="3353"/>
      <c r="Y1865" s="3353"/>
      <c r="Z1865" s="3353"/>
      <c r="AA1865" s="3353"/>
      <c r="AB1865" s="3353"/>
      <c r="AC1865" s="3353"/>
      <c r="AD1865" s="3353"/>
      <c r="AE1865" s="3353"/>
      <c r="AF1865" s="3353"/>
      <c r="AG1865" s="3353"/>
      <c r="AH1865" s="3353"/>
      <c r="AI1865" s="3353"/>
      <c r="AJ1865" s="3353"/>
      <c r="AK1865" s="3353"/>
      <c r="AL1865" s="3353"/>
    </row>
    <row r="1866" spans="1:38" s="3309" customFormat="1" ht="25.5" x14ac:dyDescent="0.2">
      <c r="A1866" s="3460" t="s">
        <v>5957</v>
      </c>
      <c r="B1866" s="3417"/>
      <c r="C1866" s="3417"/>
      <c r="D1866" s="3417"/>
      <c r="E1866" s="3417"/>
      <c r="F1866" s="3417"/>
      <c r="G1866" s="3417"/>
      <c r="H1866" s="3353"/>
      <c r="I1866" s="3353"/>
      <c r="J1866" s="3353"/>
      <c r="K1866" s="3353"/>
      <c r="L1866" s="3353"/>
      <c r="M1866" s="3353"/>
      <c r="N1866" s="3353"/>
      <c r="O1866" s="3353"/>
      <c r="P1866" s="3353"/>
      <c r="Q1866" s="3353"/>
      <c r="R1866" s="3353"/>
      <c r="S1866" s="3353"/>
      <c r="T1866" s="3353"/>
      <c r="U1866" s="3353"/>
      <c r="V1866" s="3353"/>
      <c r="W1866" s="3353"/>
      <c r="X1866" s="3353"/>
      <c r="Y1866" s="3353"/>
      <c r="Z1866" s="3353"/>
      <c r="AA1866" s="3353"/>
      <c r="AB1866" s="3353"/>
      <c r="AC1866" s="3353"/>
      <c r="AD1866" s="3353"/>
      <c r="AE1866" s="3353"/>
      <c r="AF1866" s="3353"/>
      <c r="AG1866" s="3353"/>
      <c r="AH1866" s="3353"/>
      <c r="AI1866" s="3353"/>
      <c r="AJ1866" s="3353"/>
      <c r="AK1866" s="3353"/>
      <c r="AL1866" s="3353"/>
    </row>
    <row r="1867" spans="1:38" s="3309" customFormat="1" x14ac:dyDescent="0.2">
      <c r="A1867" s="3411" t="s">
        <v>6063</v>
      </c>
      <c r="B1867" s="3417" t="e">
        <f t="shared" ref="B1867:G1867" si="1035">B1858</f>
        <v>#DIV/0!</v>
      </c>
      <c r="C1867" s="3417" t="e">
        <f t="shared" si="1035"/>
        <v>#DIV/0!</v>
      </c>
      <c r="D1867" s="3417" t="e">
        <f t="shared" si="1035"/>
        <v>#DIV/0!</v>
      </c>
      <c r="E1867" s="3417" t="e">
        <f t="shared" si="1035"/>
        <v>#DIV/0!</v>
      </c>
      <c r="F1867" s="3417" t="e">
        <f t="shared" si="1035"/>
        <v>#DIV/0!</v>
      </c>
      <c r="G1867" s="3417" t="e">
        <f t="shared" si="1035"/>
        <v>#DIV/0!</v>
      </c>
      <c r="H1867" s="3353"/>
      <c r="I1867" s="3353"/>
      <c r="J1867" s="3353"/>
      <c r="K1867" s="3353"/>
      <c r="L1867" s="3353"/>
      <c r="M1867" s="3353"/>
      <c r="N1867" s="3353"/>
      <c r="O1867" s="3353"/>
      <c r="P1867" s="3353"/>
      <c r="Q1867" s="3353"/>
      <c r="R1867" s="3353"/>
      <c r="S1867" s="3353"/>
      <c r="T1867" s="3353"/>
      <c r="U1867" s="3353"/>
      <c r="V1867" s="3353"/>
      <c r="W1867" s="3353"/>
      <c r="X1867" s="3353"/>
      <c r="Y1867" s="3353"/>
      <c r="Z1867" s="3353"/>
      <c r="AA1867" s="3353"/>
      <c r="AB1867" s="3353"/>
      <c r="AC1867" s="3353"/>
      <c r="AD1867" s="3353"/>
      <c r="AE1867" s="3353"/>
      <c r="AF1867" s="3353"/>
      <c r="AG1867" s="3353"/>
      <c r="AH1867" s="3353"/>
      <c r="AI1867" s="3353"/>
      <c r="AJ1867" s="3353"/>
      <c r="AK1867" s="3353"/>
      <c r="AL1867" s="3353"/>
    </row>
    <row r="1868" spans="1:38" s="3309" customFormat="1" ht="25.5" x14ac:dyDescent="0.2">
      <c r="A1868" s="3459" t="s">
        <v>2800</v>
      </c>
      <c r="B1868" s="3417">
        <f t="shared" ref="B1868:G1869" si="1036">B1856</f>
        <v>0</v>
      </c>
      <c r="C1868" s="3417" t="e">
        <f t="shared" si="1036"/>
        <v>#DIV/0!</v>
      </c>
      <c r="D1868" s="3417" t="e">
        <f t="shared" si="1036"/>
        <v>#DIV/0!</v>
      </c>
      <c r="E1868" s="3417" t="e">
        <f t="shared" si="1036"/>
        <v>#DIV/0!</v>
      </c>
      <c r="F1868" s="3417" t="e">
        <f t="shared" si="1036"/>
        <v>#DIV/0!</v>
      </c>
      <c r="G1868" s="3417" t="e">
        <f t="shared" si="1036"/>
        <v>#DIV/0!</v>
      </c>
      <c r="H1868" s="3353"/>
      <c r="I1868" s="3353"/>
      <c r="J1868" s="3353"/>
      <c r="K1868" s="3353"/>
      <c r="L1868" s="3353"/>
      <c r="M1868" s="3353"/>
      <c r="N1868" s="3353"/>
      <c r="O1868" s="3353"/>
      <c r="P1868" s="3353"/>
      <c r="Q1868" s="3353"/>
      <c r="R1868" s="3353"/>
      <c r="S1868" s="3353"/>
      <c r="T1868" s="3353"/>
      <c r="U1868" s="3353"/>
      <c r="V1868" s="3353"/>
      <c r="W1868" s="3353"/>
      <c r="X1868" s="3353"/>
      <c r="Y1868" s="3353"/>
      <c r="Z1868" s="3353"/>
      <c r="AA1868" s="3353"/>
      <c r="AB1868" s="3353"/>
      <c r="AC1868" s="3353"/>
      <c r="AD1868" s="3353"/>
      <c r="AE1868" s="3353"/>
      <c r="AF1868" s="3353"/>
      <c r="AG1868" s="3353"/>
      <c r="AH1868" s="3353"/>
      <c r="AI1868" s="3353"/>
      <c r="AJ1868" s="3353"/>
      <c r="AK1868" s="3353"/>
      <c r="AL1868" s="3353"/>
    </row>
    <row r="1869" spans="1:38" s="3309" customFormat="1" ht="25.5" x14ac:dyDescent="0.2">
      <c r="A1869" s="3458" t="s">
        <v>6061</v>
      </c>
      <c r="B1869" s="3417" t="e">
        <f t="shared" si="1036"/>
        <v>#VALUE!</v>
      </c>
      <c r="C1869" s="3417" t="e">
        <f t="shared" si="1036"/>
        <v>#DIV/0!</v>
      </c>
      <c r="D1869" s="3417" t="e">
        <f t="shared" si="1036"/>
        <v>#DIV/0!</v>
      </c>
      <c r="E1869" s="3417" t="e">
        <f t="shared" si="1036"/>
        <v>#DIV/0!</v>
      </c>
      <c r="F1869" s="3417" t="e">
        <f t="shared" si="1036"/>
        <v>#DIV/0!</v>
      </c>
      <c r="G1869" s="3417" t="e">
        <f t="shared" si="1036"/>
        <v>#DIV/0!</v>
      </c>
      <c r="H1869" s="3353"/>
      <c r="I1869" s="3353"/>
      <c r="J1869" s="3353"/>
      <c r="K1869" s="3353"/>
      <c r="L1869" s="3353"/>
      <c r="M1869" s="3353"/>
      <c r="N1869" s="3353"/>
      <c r="O1869" s="3353"/>
      <c r="P1869" s="3353"/>
      <c r="Q1869" s="3353"/>
      <c r="R1869" s="3353"/>
      <c r="S1869" s="3353"/>
      <c r="T1869" s="3353"/>
      <c r="U1869" s="3353"/>
      <c r="V1869" s="3353"/>
      <c r="W1869" s="3353"/>
      <c r="X1869" s="3353"/>
      <c r="Y1869" s="3353"/>
      <c r="Z1869" s="3353"/>
      <c r="AA1869" s="3353"/>
      <c r="AB1869" s="3353"/>
      <c r="AC1869" s="3353"/>
      <c r="AD1869" s="3353"/>
      <c r="AE1869" s="3353"/>
      <c r="AF1869" s="3353"/>
      <c r="AG1869" s="3353"/>
      <c r="AH1869" s="3353"/>
      <c r="AI1869" s="3353"/>
      <c r="AJ1869" s="3353"/>
      <c r="AK1869" s="3353"/>
      <c r="AL1869" s="3353"/>
    </row>
    <row r="1870" spans="1:38" s="3309" customFormat="1" ht="25.5" x14ac:dyDescent="0.2">
      <c r="A1870" s="3455" t="s">
        <v>6062</v>
      </c>
      <c r="B1870" s="3417">
        <f t="shared" ref="B1870:G1870" si="1037">B1629*B1628*B1844</f>
        <v>0</v>
      </c>
      <c r="C1870" s="3417" t="e">
        <f t="shared" si="1037"/>
        <v>#DIV/0!</v>
      </c>
      <c r="D1870" s="3417" t="e">
        <f t="shared" si="1037"/>
        <v>#DIV/0!</v>
      </c>
      <c r="E1870" s="3417" t="e">
        <f t="shared" si="1037"/>
        <v>#DIV/0!</v>
      </c>
      <c r="F1870" s="3417" t="e">
        <f t="shared" si="1037"/>
        <v>#DIV/0!</v>
      </c>
      <c r="G1870" s="3417" t="e">
        <f t="shared" si="1037"/>
        <v>#DIV/0!</v>
      </c>
      <c r="H1870" s="3353"/>
      <c r="I1870" s="3353"/>
      <c r="J1870" s="3353"/>
      <c r="K1870" s="3353"/>
      <c r="L1870" s="3353"/>
      <c r="M1870" s="3353"/>
      <c r="N1870" s="3353"/>
      <c r="O1870" s="3353"/>
      <c r="P1870" s="3353"/>
      <c r="Q1870" s="3353"/>
      <c r="R1870" s="3353"/>
      <c r="S1870" s="3353"/>
      <c r="T1870" s="3353"/>
      <c r="U1870" s="3353"/>
      <c r="V1870" s="3353"/>
      <c r="W1870" s="3353"/>
      <c r="X1870" s="3353"/>
      <c r="Y1870" s="3353"/>
      <c r="Z1870" s="3353"/>
      <c r="AA1870" s="3353"/>
      <c r="AB1870" s="3353"/>
      <c r="AC1870" s="3353"/>
      <c r="AD1870" s="3353"/>
      <c r="AE1870" s="3353"/>
      <c r="AF1870" s="3353"/>
      <c r="AG1870" s="3353"/>
      <c r="AH1870" s="3353"/>
      <c r="AI1870" s="3353"/>
      <c r="AJ1870" s="3353"/>
      <c r="AK1870" s="3353"/>
      <c r="AL1870" s="3353"/>
    </row>
    <row r="1871" spans="1:38" s="3309" customFormat="1" ht="25.5" x14ac:dyDescent="0.2">
      <c r="A1871" s="3455" t="s">
        <v>6061</v>
      </c>
      <c r="B1871" s="3417" t="e">
        <f t="shared" ref="B1871:G1871" si="1038">B1629*B1840*B1400</f>
        <v>#VALUE!</v>
      </c>
      <c r="C1871" s="3417" t="e">
        <f t="shared" si="1038"/>
        <v>#DIV/0!</v>
      </c>
      <c r="D1871" s="3417" t="e">
        <f t="shared" si="1038"/>
        <v>#DIV/0!</v>
      </c>
      <c r="E1871" s="3417" t="e">
        <f t="shared" si="1038"/>
        <v>#DIV/0!</v>
      </c>
      <c r="F1871" s="3417" t="e">
        <f t="shared" si="1038"/>
        <v>#DIV/0!</v>
      </c>
      <c r="G1871" s="3417" t="e">
        <f t="shared" si="1038"/>
        <v>#DIV/0!</v>
      </c>
      <c r="H1871" s="3353"/>
      <c r="I1871" s="3353"/>
      <c r="J1871" s="3353"/>
      <c r="K1871" s="3353"/>
      <c r="L1871" s="3353"/>
      <c r="M1871" s="3353"/>
      <c r="N1871" s="3353"/>
      <c r="O1871" s="3353"/>
      <c r="P1871" s="3353"/>
      <c r="Q1871" s="3353"/>
      <c r="R1871" s="3353"/>
      <c r="S1871" s="3353"/>
      <c r="T1871" s="3353"/>
      <c r="U1871" s="3353"/>
      <c r="V1871" s="3353"/>
      <c r="W1871" s="3353"/>
      <c r="X1871" s="3353"/>
      <c r="Y1871" s="3353"/>
      <c r="Z1871" s="3353"/>
      <c r="AA1871" s="3353"/>
      <c r="AB1871" s="3353"/>
      <c r="AC1871" s="3353"/>
      <c r="AD1871" s="3353"/>
      <c r="AE1871" s="3353"/>
      <c r="AF1871" s="3353"/>
      <c r="AG1871" s="3353"/>
      <c r="AH1871" s="3353"/>
      <c r="AI1871" s="3353"/>
      <c r="AJ1871" s="3353"/>
      <c r="AK1871" s="3353"/>
      <c r="AL1871" s="3353"/>
    </row>
    <row r="1872" spans="1:38" s="3309" customFormat="1" x14ac:dyDescent="0.2">
      <c r="A1872" s="3447" t="s">
        <v>6060</v>
      </c>
      <c r="B1872" s="3417" t="e">
        <f t="shared" ref="B1872:G1872" si="1039">B1871+B1870+B1869+B1868+B1867+B1851</f>
        <v>#VALUE!</v>
      </c>
      <c r="C1872" s="3417" t="e">
        <f t="shared" si="1039"/>
        <v>#DIV/0!</v>
      </c>
      <c r="D1872" s="3417" t="e">
        <f t="shared" si="1039"/>
        <v>#DIV/0!</v>
      </c>
      <c r="E1872" s="3417" t="e">
        <f t="shared" si="1039"/>
        <v>#DIV/0!</v>
      </c>
      <c r="F1872" s="3417" t="e">
        <f t="shared" si="1039"/>
        <v>#DIV/0!</v>
      </c>
      <c r="G1872" s="3417" t="e">
        <f t="shared" si="1039"/>
        <v>#DIV/0!</v>
      </c>
      <c r="H1872" s="3353"/>
      <c r="I1872" s="3353"/>
      <c r="J1872" s="3353"/>
      <c r="K1872" s="3353"/>
      <c r="L1872" s="3353"/>
      <c r="M1872" s="3353"/>
      <c r="N1872" s="3353"/>
      <c r="O1872" s="3353"/>
      <c r="P1872" s="3353"/>
      <c r="Q1872" s="3353"/>
      <c r="R1872" s="3353"/>
      <c r="S1872" s="3353"/>
      <c r="T1872" s="3353"/>
      <c r="U1872" s="3353"/>
      <c r="V1872" s="3353"/>
      <c r="W1872" s="3353"/>
      <c r="X1872" s="3353"/>
      <c r="Y1872" s="3353"/>
      <c r="Z1872" s="3353"/>
      <c r="AA1872" s="3353"/>
      <c r="AB1872" s="3353"/>
      <c r="AC1872" s="3353"/>
      <c r="AD1872" s="3353"/>
      <c r="AE1872" s="3353"/>
      <c r="AF1872" s="3353"/>
      <c r="AG1872" s="3353"/>
      <c r="AH1872" s="3353"/>
      <c r="AI1872" s="3353"/>
      <c r="AJ1872" s="3353"/>
      <c r="AK1872" s="3353"/>
      <c r="AL1872" s="3353"/>
    </row>
    <row r="1873" spans="1:38" s="3309" customFormat="1" x14ac:dyDescent="0.2">
      <c r="A1873" s="3447" t="s">
        <v>6065</v>
      </c>
      <c r="B1873" s="3417" t="e">
        <f t="shared" ref="B1873:G1873" si="1040">B1872*B1853</f>
        <v>#VALUE!</v>
      </c>
      <c r="C1873" s="3417" t="e">
        <f t="shared" si="1040"/>
        <v>#DIV/0!</v>
      </c>
      <c r="D1873" s="3417" t="e">
        <f t="shared" si="1040"/>
        <v>#DIV/0!</v>
      </c>
      <c r="E1873" s="3417" t="e">
        <f t="shared" si="1040"/>
        <v>#DIV/0!</v>
      </c>
      <c r="F1873" s="3417" t="e">
        <f t="shared" si="1040"/>
        <v>#DIV/0!</v>
      </c>
      <c r="G1873" s="3417" t="e">
        <f t="shared" si="1040"/>
        <v>#DIV/0!</v>
      </c>
      <c r="H1873" s="3353"/>
      <c r="I1873" s="3353"/>
      <c r="J1873" s="3353"/>
      <c r="K1873" s="3353"/>
      <c r="L1873" s="3353"/>
      <c r="M1873" s="3353"/>
      <c r="N1873" s="3353"/>
      <c r="O1873" s="3353"/>
      <c r="P1873" s="3353"/>
      <c r="Q1873" s="3353"/>
      <c r="R1873" s="3353"/>
      <c r="S1873" s="3353"/>
      <c r="T1873" s="3353"/>
      <c r="U1873" s="3353"/>
      <c r="V1873" s="3353"/>
      <c r="W1873" s="3353"/>
      <c r="X1873" s="3353"/>
      <c r="Y1873" s="3353"/>
      <c r="Z1873" s="3353"/>
      <c r="AA1873" s="3353"/>
      <c r="AB1873" s="3353"/>
      <c r="AC1873" s="3353"/>
      <c r="AD1873" s="3353"/>
      <c r="AE1873" s="3353"/>
      <c r="AF1873" s="3353"/>
      <c r="AG1873" s="3353"/>
      <c r="AH1873" s="3353"/>
      <c r="AI1873" s="3353"/>
      <c r="AJ1873" s="3353"/>
      <c r="AK1873" s="3353"/>
      <c r="AL1873" s="3353"/>
    </row>
    <row r="1874" spans="1:38" s="3309" customFormat="1" x14ac:dyDescent="0.2">
      <c r="A1874" s="3451" t="s">
        <v>6059</v>
      </c>
      <c r="B1874" s="3417">
        <f t="shared" ref="B1874:G1874" si="1041">CEILING(((B743-B741+B742)/B763+1)*6,1)</f>
        <v>-12</v>
      </c>
      <c r="C1874" s="3417" t="e">
        <f t="shared" si="1041"/>
        <v>#DIV/0!</v>
      </c>
      <c r="D1874" s="3417" t="e">
        <f t="shared" si="1041"/>
        <v>#DIV/0!</v>
      </c>
      <c r="E1874" s="3417" t="e">
        <f t="shared" si="1041"/>
        <v>#DIV/0!</v>
      </c>
      <c r="F1874" s="3417" t="e">
        <f t="shared" si="1041"/>
        <v>#DIV/0!</v>
      </c>
      <c r="G1874" s="3417" t="e">
        <f t="shared" si="1041"/>
        <v>#DIV/0!</v>
      </c>
      <c r="H1874" s="3353"/>
      <c r="I1874" s="3353"/>
      <c r="J1874" s="3353"/>
      <c r="K1874" s="3353"/>
      <c r="L1874" s="3353"/>
      <c r="M1874" s="3353"/>
      <c r="N1874" s="3353"/>
      <c r="O1874" s="3353"/>
      <c r="P1874" s="3353"/>
      <c r="Q1874" s="3353"/>
      <c r="R1874" s="3353"/>
      <c r="S1874" s="3353"/>
      <c r="T1874" s="3353"/>
      <c r="U1874" s="3353"/>
      <c r="V1874" s="3353"/>
      <c r="W1874" s="3353"/>
      <c r="X1874" s="3353"/>
      <c r="Y1874" s="3353"/>
      <c r="Z1874" s="3353"/>
      <c r="AA1874" s="3353"/>
      <c r="AB1874" s="3353"/>
      <c r="AC1874" s="3353"/>
      <c r="AD1874" s="3353"/>
      <c r="AE1874" s="3353"/>
      <c r="AF1874" s="3353"/>
      <c r="AG1874" s="3353"/>
      <c r="AH1874" s="3353"/>
      <c r="AI1874" s="3353"/>
      <c r="AJ1874" s="3353"/>
      <c r="AK1874" s="3353"/>
      <c r="AL1874" s="3353"/>
    </row>
    <row r="1875" spans="1:38" s="3309" customFormat="1" x14ac:dyDescent="0.2">
      <c r="A1875" s="3451" t="s">
        <v>6064</v>
      </c>
      <c r="B1875" s="3417">
        <f t="shared" ref="B1875:G1875" si="1042">B1874*B1275/100</f>
        <v>-0.6</v>
      </c>
      <c r="C1875" s="3417" t="e">
        <f t="shared" si="1042"/>
        <v>#DIV/0!</v>
      </c>
      <c r="D1875" s="3417" t="e">
        <f t="shared" si="1042"/>
        <v>#DIV/0!</v>
      </c>
      <c r="E1875" s="3417" t="e">
        <f t="shared" si="1042"/>
        <v>#DIV/0!</v>
      </c>
      <c r="F1875" s="3417" t="e">
        <f t="shared" si="1042"/>
        <v>#DIV/0!</v>
      </c>
      <c r="G1875" s="3417" t="e">
        <f t="shared" si="1042"/>
        <v>#DIV/0!</v>
      </c>
      <c r="H1875" s="3353"/>
      <c r="I1875" s="3353"/>
      <c r="J1875" s="3353"/>
      <c r="K1875" s="3353"/>
      <c r="L1875" s="3353"/>
      <c r="M1875" s="3353"/>
      <c r="N1875" s="3353"/>
      <c r="O1875" s="3353"/>
      <c r="P1875" s="3353"/>
      <c r="Q1875" s="3353"/>
      <c r="R1875" s="3353"/>
      <c r="S1875" s="3353"/>
      <c r="T1875" s="3353"/>
      <c r="U1875" s="3353"/>
      <c r="V1875" s="3353"/>
      <c r="W1875" s="3353"/>
      <c r="X1875" s="3353"/>
      <c r="Y1875" s="3353"/>
      <c r="Z1875" s="3353"/>
      <c r="AA1875" s="3353"/>
      <c r="AB1875" s="3353"/>
      <c r="AC1875" s="3353"/>
      <c r="AD1875" s="3353"/>
      <c r="AE1875" s="3353"/>
      <c r="AF1875" s="3353"/>
      <c r="AG1875" s="3353"/>
      <c r="AH1875" s="3353"/>
      <c r="AI1875" s="3353"/>
      <c r="AJ1875" s="3353"/>
      <c r="AK1875" s="3353"/>
      <c r="AL1875" s="3353"/>
    </row>
    <row r="1876" spans="1:38" s="3309" customFormat="1" x14ac:dyDescent="0.2">
      <c r="A1876" s="3447"/>
      <c r="B1876" s="3417"/>
      <c r="C1876" s="3417"/>
      <c r="D1876" s="3417"/>
      <c r="E1876" s="3417"/>
      <c r="F1876" s="3417"/>
      <c r="G1876" s="3417"/>
      <c r="H1876" s="3353"/>
      <c r="I1876" s="3353"/>
      <c r="J1876" s="3353"/>
      <c r="K1876" s="3353"/>
      <c r="L1876" s="3353"/>
      <c r="M1876" s="3353"/>
      <c r="N1876" s="3353"/>
      <c r="O1876" s="3353"/>
      <c r="P1876" s="3353"/>
      <c r="Q1876" s="3353"/>
      <c r="R1876" s="3353"/>
      <c r="S1876" s="3353"/>
      <c r="T1876" s="3353"/>
      <c r="U1876" s="3353"/>
      <c r="V1876" s="3353"/>
      <c r="W1876" s="3353"/>
      <c r="X1876" s="3353"/>
      <c r="Y1876" s="3353"/>
      <c r="Z1876" s="3353"/>
      <c r="AA1876" s="3353"/>
      <c r="AB1876" s="3353"/>
      <c r="AC1876" s="3353"/>
      <c r="AD1876" s="3353"/>
      <c r="AE1876" s="3353"/>
      <c r="AF1876" s="3353"/>
      <c r="AG1876" s="3353"/>
      <c r="AH1876" s="3353"/>
      <c r="AI1876" s="3353"/>
      <c r="AJ1876" s="3353"/>
      <c r="AK1876" s="3353"/>
      <c r="AL1876" s="3353"/>
    </row>
    <row r="1877" spans="1:38" s="3309" customFormat="1" x14ac:dyDescent="0.2">
      <c r="A1877" s="3452" t="s">
        <v>5956</v>
      </c>
      <c r="B1877" s="3417"/>
      <c r="C1877" s="3417"/>
      <c r="D1877" s="3417"/>
      <c r="E1877" s="3417"/>
      <c r="F1877" s="3417"/>
      <c r="G1877" s="3417"/>
      <c r="H1877" s="3353"/>
      <c r="I1877" s="3353"/>
      <c r="J1877" s="3353"/>
      <c r="K1877" s="3353"/>
      <c r="L1877" s="3353"/>
      <c r="M1877" s="3353"/>
      <c r="N1877" s="3353"/>
      <c r="O1877" s="3353"/>
      <c r="P1877" s="3353"/>
      <c r="Q1877" s="3353"/>
      <c r="R1877" s="3353"/>
      <c r="S1877" s="3353"/>
      <c r="T1877" s="3353"/>
      <c r="U1877" s="3353"/>
      <c r="V1877" s="3353"/>
      <c r="W1877" s="3353"/>
      <c r="X1877" s="3353"/>
      <c r="Y1877" s="3353"/>
      <c r="Z1877" s="3353"/>
      <c r="AA1877" s="3353"/>
      <c r="AB1877" s="3353"/>
      <c r="AC1877" s="3353"/>
      <c r="AD1877" s="3353"/>
      <c r="AE1877" s="3353"/>
      <c r="AF1877" s="3353"/>
      <c r="AG1877" s="3353"/>
      <c r="AH1877" s="3353"/>
      <c r="AI1877" s="3353"/>
      <c r="AJ1877" s="3353"/>
      <c r="AK1877" s="3353"/>
      <c r="AL1877" s="3353"/>
    </row>
    <row r="1878" spans="1:38" s="3309" customFormat="1" x14ac:dyDescent="0.2">
      <c r="A1878" s="3457" t="s">
        <v>2525</v>
      </c>
      <c r="B1878" s="3417">
        <f t="shared" ref="B1878:G1878" si="1043">B1847</f>
        <v>0</v>
      </c>
      <c r="C1878" s="3417" t="e">
        <f t="shared" si="1043"/>
        <v>#DIV/0!</v>
      </c>
      <c r="D1878" s="3417" t="e">
        <f t="shared" si="1043"/>
        <v>#DIV/0!</v>
      </c>
      <c r="E1878" s="3417" t="e">
        <f t="shared" si="1043"/>
        <v>#DIV/0!</v>
      </c>
      <c r="F1878" s="3417" t="e">
        <f t="shared" si="1043"/>
        <v>#DIV/0!</v>
      </c>
      <c r="G1878" s="3417" t="e">
        <f t="shared" si="1043"/>
        <v>#DIV/0!</v>
      </c>
      <c r="H1878" s="3353"/>
      <c r="I1878" s="3353"/>
      <c r="J1878" s="3353"/>
      <c r="K1878" s="3353"/>
      <c r="L1878" s="3353"/>
      <c r="M1878" s="3353"/>
      <c r="N1878" s="3353"/>
      <c r="O1878" s="3353"/>
      <c r="P1878" s="3353"/>
      <c r="Q1878" s="3353"/>
      <c r="R1878" s="3353"/>
      <c r="S1878" s="3353"/>
      <c r="T1878" s="3353"/>
      <c r="U1878" s="3353"/>
      <c r="V1878" s="3353"/>
      <c r="W1878" s="3353"/>
      <c r="X1878" s="3353"/>
      <c r="Y1878" s="3353"/>
      <c r="Z1878" s="3353"/>
      <c r="AA1878" s="3353"/>
      <c r="AB1878" s="3353"/>
      <c r="AC1878" s="3353"/>
      <c r="AD1878" s="3353"/>
      <c r="AE1878" s="3353"/>
      <c r="AF1878" s="3353"/>
      <c r="AG1878" s="3353"/>
      <c r="AH1878" s="3353"/>
      <c r="AI1878" s="3353"/>
      <c r="AJ1878" s="3353"/>
      <c r="AK1878" s="3353"/>
      <c r="AL1878" s="3353"/>
    </row>
    <row r="1879" spans="1:38" s="3309" customFormat="1" ht="25.5" x14ac:dyDescent="0.2">
      <c r="A1879" s="3456" t="s">
        <v>6063</v>
      </c>
      <c r="B1879" s="3417" t="e">
        <f t="shared" ref="B1879:G1879" si="1044">B1867</f>
        <v>#DIV/0!</v>
      </c>
      <c r="C1879" s="3417" t="e">
        <f t="shared" si="1044"/>
        <v>#DIV/0!</v>
      </c>
      <c r="D1879" s="3417" t="e">
        <f t="shared" si="1044"/>
        <v>#DIV/0!</v>
      </c>
      <c r="E1879" s="3417" t="e">
        <f t="shared" si="1044"/>
        <v>#DIV/0!</v>
      </c>
      <c r="F1879" s="3417" t="e">
        <f t="shared" si="1044"/>
        <v>#DIV/0!</v>
      </c>
      <c r="G1879" s="3417" t="e">
        <f t="shared" si="1044"/>
        <v>#DIV/0!</v>
      </c>
      <c r="H1879" s="3353"/>
      <c r="I1879" s="3353"/>
      <c r="J1879" s="3353"/>
      <c r="K1879" s="3353"/>
      <c r="L1879" s="3353"/>
      <c r="M1879" s="3353"/>
      <c r="N1879" s="3353"/>
      <c r="O1879" s="3353"/>
      <c r="P1879" s="3353"/>
      <c r="Q1879" s="3353"/>
      <c r="R1879" s="3353"/>
      <c r="S1879" s="3353"/>
      <c r="T1879" s="3353"/>
      <c r="U1879" s="3353"/>
      <c r="V1879" s="3353"/>
      <c r="W1879" s="3353"/>
      <c r="X1879" s="3353"/>
      <c r="Y1879" s="3353"/>
      <c r="Z1879" s="3353"/>
      <c r="AA1879" s="3353"/>
      <c r="AB1879" s="3353"/>
      <c r="AC1879" s="3353"/>
      <c r="AD1879" s="3353"/>
      <c r="AE1879" s="3353"/>
      <c r="AF1879" s="3353"/>
      <c r="AG1879" s="3353"/>
      <c r="AH1879" s="3353"/>
      <c r="AI1879" s="3353"/>
      <c r="AJ1879" s="3353"/>
      <c r="AK1879" s="3353"/>
      <c r="AL1879" s="3353"/>
    </row>
    <row r="1880" spans="1:38" s="3309" customFormat="1" ht="25.5" x14ac:dyDescent="0.2">
      <c r="A1880" s="3455" t="s">
        <v>6062</v>
      </c>
      <c r="B1880" s="3417">
        <f t="shared" ref="B1880:G1881" si="1045">B1870</f>
        <v>0</v>
      </c>
      <c r="C1880" s="3417" t="e">
        <f t="shared" si="1045"/>
        <v>#DIV/0!</v>
      </c>
      <c r="D1880" s="3417" t="e">
        <f t="shared" si="1045"/>
        <v>#DIV/0!</v>
      </c>
      <c r="E1880" s="3417" t="e">
        <f t="shared" si="1045"/>
        <v>#DIV/0!</v>
      </c>
      <c r="F1880" s="3417" t="e">
        <f t="shared" si="1045"/>
        <v>#DIV/0!</v>
      </c>
      <c r="G1880" s="3417" t="e">
        <f t="shared" si="1045"/>
        <v>#DIV/0!</v>
      </c>
      <c r="H1880" s="3353"/>
      <c r="I1880" s="3353"/>
      <c r="J1880" s="3353"/>
      <c r="K1880" s="3353"/>
      <c r="L1880" s="3353"/>
      <c r="M1880" s="3353"/>
      <c r="N1880" s="3353"/>
      <c r="O1880" s="3353"/>
      <c r="P1880" s="3353"/>
      <c r="Q1880" s="3353"/>
      <c r="R1880" s="3353"/>
      <c r="S1880" s="3353"/>
      <c r="T1880" s="3353"/>
      <c r="U1880" s="3353"/>
      <c r="V1880" s="3353"/>
      <c r="W1880" s="3353"/>
      <c r="X1880" s="3353"/>
      <c r="Y1880" s="3353"/>
      <c r="Z1880" s="3353"/>
      <c r="AA1880" s="3353"/>
      <c r="AB1880" s="3353"/>
      <c r="AC1880" s="3353"/>
      <c r="AD1880" s="3353"/>
      <c r="AE1880" s="3353"/>
      <c r="AF1880" s="3353"/>
      <c r="AG1880" s="3353"/>
      <c r="AH1880" s="3353"/>
      <c r="AI1880" s="3353"/>
      <c r="AJ1880" s="3353"/>
      <c r="AK1880" s="3353"/>
      <c r="AL1880" s="3353"/>
    </row>
    <row r="1881" spans="1:38" s="3309" customFormat="1" ht="25.5" x14ac:dyDescent="0.2">
      <c r="A1881" s="3455" t="s">
        <v>6061</v>
      </c>
      <c r="B1881" s="3417" t="e">
        <f t="shared" si="1045"/>
        <v>#VALUE!</v>
      </c>
      <c r="C1881" s="3417" t="e">
        <f t="shared" si="1045"/>
        <v>#DIV/0!</v>
      </c>
      <c r="D1881" s="3417" t="e">
        <f t="shared" si="1045"/>
        <v>#DIV/0!</v>
      </c>
      <c r="E1881" s="3417" t="e">
        <f t="shared" si="1045"/>
        <v>#DIV/0!</v>
      </c>
      <c r="F1881" s="3417" t="e">
        <f t="shared" si="1045"/>
        <v>#DIV/0!</v>
      </c>
      <c r="G1881" s="3417" t="e">
        <f t="shared" si="1045"/>
        <v>#DIV/0!</v>
      </c>
      <c r="H1881" s="3353"/>
      <c r="I1881" s="3353"/>
      <c r="J1881" s="3353"/>
      <c r="K1881" s="3353"/>
      <c r="L1881" s="3353"/>
      <c r="M1881" s="3353"/>
      <c r="N1881" s="3353"/>
      <c r="O1881" s="3353"/>
      <c r="P1881" s="3353"/>
      <c r="Q1881" s="3353"/>
      <c r="R1881" s="3353"/>
      <c r="S1881" s="3353"/>
      <c r="T1881" s="3353"/>
      <c r="U1881" s="3353"/>
      <c r="V1881" s="3353"/>
      <c r="W1881" s="3353"/>
      <c r="X1881" s="3353"/>
      <c r="Y1881" s="3353"/>
      <c r="Z1881" s="3353"/>
      <c r="AA1881" s="3353"/>
      <c r="AB1881" s="3353"/>
      <c r="AC1881" s="3353"/>
      <c r="AD1881" s="3353"/>
      <c r="AE1881" s="3353"/>
      <c r="AF1881" s="3353"/>
      <c r="AG1881" s="3353"/>
      <c r="AH1881" s="3353"/>
      <c r="AI1881" s="3353"/>
      <c r="AJ1881" s="3353"/>
      <c r="AK1881" s="3353"/>
      <c r="AL1881" s="3353"/>
    </row>
    <row r="1882" spans="1:38" s="3309" customFormat="1" x14ac:dyDescent="0.2">
      <c r="A1882" s="3411" t="s">
        <v>3329</v>
      </c>
      <c r="B1882" s="3417" t="e">
        <f t="shared" ref="B1882:G1882" si="1046">B1851</f>
        <v>#VALUE!</v>
      </c>
      <c r="C1882" s="3417" t="e">
        <f t="shared" si="1046"/>
        <v>#DIV/0!</v>
      </c>
      <c r="D1882" s="3417" t="e">
        <f t="shared" si="1046"/>
        <v>#DIV/0!</v>
      </c>
      <c r="E1882" s="3417" t="e">
        <f t="shared" si="1046"/>
        <v>#DIV/0!</v>
      </c>
      <c r="F1882" s="3417" t="e">
        <f t="shared" si="1046"/>
        <v>#DIV/0!</v>
      </c>
      <c r="G1882" s="3417" t="e">
        <f t="shared" si="1046"/>
        <v>#DIV/0!</v>
      </c>
      <c r="H1882" s="3353"/>
      <c r="I1882" s="3353"/>
      <c r="J1882" s="3353"/>
      <c r="K1882" s="3353"/>
      <c r="L1882" s="3353"/>
      <c r="M1882" s="3353"/>
      <c r="N1882" s="3353"/>
      <c r="O1882" s="3353"/>
      <c r="P1882" s="3353"/>
      <c r="Q1882" s="3353"/>
      <c r="R1882" s="3353"/>
      <c r="S1882" s="3353"/>
      <c r="T1882" s="3353"/>
      <c r="U1882" s="3353"/>
      <c r="V1882" s="3353"/>
      <c r="W1882" s="3353"/>
      <c r="X1882" s="3353"/>
      <c r="Y1882" s="3353"/>
      <c r="Z1882" s="3353"/>
      <c r="AA1882" s="3353"/>
      <c r="AB1882" s="3353"/>
      <c r="AC1882" s="3353"/>
      <c r="AD1882" s="3353"/>
      <c r="AE1882" s="3353"/>
      <c r="AF1882" s="3353"/>
      <c r="AG1882" s="3353"/>
      <c r="AH1882" s="3353"/>
      <c r="AI1882" s="3353"/>
      <c r="AJ1882" s="3353"/>
      <c r="AK1882" s="3353"/>
      <c r="AL1882" s="3353"/>
    </row>
    <row r="1883" spans="1:38" s="3309" customFormat="1" x14ac:dyDescent="0.2">
      <c r="A1883" s="3452" t="s">
        <v>6060</v>
      </c>
      <c r="B1883" s="3417" t="e">
        <f t="shared" ref="B1883:G1883" si="1047">B1882+B1881+B1880+B1879+B1878</f>
        <v>#VALUE!</v>
      </c>
      <c r="C1883" s="3417" t="e">
        <f t="shared" si="1047"/>
        <v>#DIV/0!</v>
      </c>
      <c r="D1883" s="3417" t="e">
        <f t="shared" si="1047"/>
        <v>#DIV/0!</v>
      </c>
      <c r="E1883" s="3417" t="e">
        <f t="shared" si="1047"/>
        <v>#DIV/0!</v>
      </c>
      <c r="F1883" s="3417" t="e">
        <f t="shared" si="1047"/>
        <v>#DIV/0!</v>
      </c>
      <c r="G1883" s="3417" t="e">
        <f t="shared" si="1047"/>
        <v>#DIV/0!</v>
      </c>
      <c r="H1883" s="3353"/>
      <c r="I1883" s="3353"/>
      <c r="J1883" s="3353"/>
      <c r="K1883" s="3353"/>
      <c r="L1883" s="3353"/>
      <c r="M1883" s="3353"/>
      <c r="N1883" s="3353"/>
      <c r="O1883" s="3353"/>
      <c r="P1883" s="3353"/>
      <c r="Q1883" s="3353"/>
      <c r="R1883" s="3353"/>
      <c r="S1883" s="3353"/>
      <c r="T1883" s="3353"/>
      <c r="U1883" s="3353"/>
      <c r="V1883" s="3353"/>
      <c r="W1883" s="3353"/>
      <c r="X1883" s="3353"/>
      <c r="Y1883" s="3353"/>
      <c r="Z1883" s="3353"/>
      <c r="AA1883" s="3353"/>
      <c r="AB1883" s="3353"/>
      <c r="AC1883" s="3353"/>
      <c r="AD1883" s="3353"/>
      <c r="AE1883" s="3353"/>
      <c r="AF1883" s="3353"/>
      <c r="AG1883" s="3353"/>
      <c r="AH1883" s="3353"/>
      <c r="AI1883" s="3353"/>
      <c r="AJ1883" s="3353"/>
      <c r="AK1883" s="3353"/>
      <c r="AL1883" s="3353"/>
    </row>
    <row r="1884" spans="1:38" s="3309" customFormat="1" x14ac:dyDescent="0.2">
      <c r="A1884" s="3454"/>
      <c r="B1884" s="3453"/>
      <c r="C1884" s="3453"/>
      <c r="D1884" s="3453"/>
      <c r="E1884" s="3453"/>
      <c r="F1884" s="3453"/>
      <c r="G1884" s="3453"/>
      <c r="H1884" s="3353"/>
      <c r="I1884" s="3353"/>
      <c r="J1884" s="3353"/>
      <c r="K1884" s="3353"/>
      <c r="L1884" s="3353"/>
      <c r="M1884" s="3353"/>
      <c r="N1884" s="3353"/>
      <c r="O1884" s="3353"/>
      <c r="P1884" s="3353"/>
      <c r="Q1884" s="3353"/>
      <c r="R1884" s="3353"/>
      <c r="S1884" s="3353"/>
      <c r="T1884" s="3353"/>
      <c r="U1884" s="3353"/>
      <c r="V1884" s="3353"/>
      <c r="W1884" s="3353"/>
      <c r="X1884" s="3353"/>
      <c r="Y1884" s="3353"/>
      <c r="Z1884" s="3353"/>
      <c r="AA1884" s="3353"/>
      <c r="AB1884" s="3353"/>
      <c r="AC1884" s="3353"/>
      <c r="AD1884" s="3353"/>
      <c r="AE1884" s="3353"/>
      <c r="AF1884" s="3353"/>
      <c r="AG1884" s="3353"/>
      <c r="AH1884" s="3353"/>
      <c r="AI1884" s="3353"/>
      <c r="AJ1884" s="3353"/>
      <c r="AK1884" s="3353"/>
      <c r="AL1884" s="3353"/>
    </row>
    <row r="1885" spans="1:38" s="3309" customFormat="1" x14ac:dyDescent="0.2">
      <c r="A1885" s="3452" t="s">
        <v>5955</v>
      </c>
      <c r="B1885" s="3417"/>
      <c r="C1885" s="3417"/>
      <c r="D1885" s="3417"/>
      <c r="E1885" s="3417"/>
      <c r="F1885" s="3417"/>
      <c r="G1885" s="3417"/>
      <c r="H1885" s="3353"/>
      <c r="I1885" s="3353"/>
      <c r="J1885" s="3353"/>
      <c r="K1885" s="3353"/>
      <c r="L1885" s="3353"/>
      <c r="M1885" s="3353"/>
      <c r="N1885" s="3353"/>
      <c r="O1885" s="3353"/>
      <c r="P1885" s="3353"/>
      <c r="Q1885" s="3353"/>
      <c r="R1885" s="3353"/>
      <c r="S1885" s="3353"/>
      <c r="T1885" s="3353"/>
      <c r="U1885" s="3353"/>
      <c r="V1885" s="3353"/>
      <c r="W1885" s="3353"/>
      <c r="X1885" s="3353"/>
      <c r="Y1885" s="3353"/>
      <c r="Z1885" s="3353"/>
      <c r="AA1885" s="3353"/>
      <c r="AB1885" s="3353"/>
      <c r="AC1885" s="3353"/>
      <c r="AD1885" s="3353"/>
      <c r="AE1885" s="3353"/>
      <c r="AF1885" s="3353"/>
      <c r="AG1885" s="3353"/>
      <c r="AH1885" s="3353"/>
      <c r="AI1885" s="3353"/>
      <c r="AJ1885" s="3353"/>
      <c r="AK1885" s="3353"/>
      <c r="AL1885" s="3353"/>
    </row>
    <row r="1886" spans="1:38" s="3309" customFormat="1" x14ac:dyDescent="0.2">
      <c r="A1886" s="3451" t="s">
        <v>6059</v>
      </c>
      <c r="B1886" s="3417">
        <f t="shared" ref="B1886:G1886" si="1048">CEILING(((B743-B742)/B763+1)*6,1)</f>
        <v>6</v>
      </c>
      <c r="C1886" s="3417" t="e">
        <f t="shared" si="1048"/>
        <v>#DIV/0!</v>
      </c>
      <c r="D1886" s="3417" t="e">
        <f t="shared" si="1048"/>
        <v>#DIV/0!</v>
      </c>
      <c r="E1886" s="3417" t="e">
        <f t="shared" si="1048"/>
        <v>#DIV/0!</v>
      </c>
      <c r="F1886" s="3417" t="e">
        <f t="shared" si="1048"/>
        <v>#DIV/0!</v>
      </c>
      <c r="G1886" s="3417" t="e">
        <f t="shared" si="1048"/>
        <v>#DIV/0!</v>
      </c>
      <c r="H1886" s="3353"/>
      <c r="I1886" s="3353"/>
      <c r="J1886" s="3353"/>
      <c r="K1886" s="3353"/>
      <c r="L1886" s="3353"/>
      <c r="M1886" s="3353"/>
      <c r="N1886" s="3353"/>
      <c r="O1886" s="3353"/>
      <c r="P1886" s="3353"/>
      <c r="Q1886" s="3353"/>
      <c r="R1886" s="3353"/>
      <c r="S1886" s="3353"/>
      <c r="T1886" s="3353"/>
      <c r="U1886" s="3353"/>
      <c r="V1886" s="3353"/>
      <c r="W1886" s="3353"/>
      <c r="X1886" s="3353"/>
      <c r="Y1886" s="3353"/>
      <c r="Z1886" s="3353"/>
      <c r="AA1886" s="3353"/>
      <c r="AB1886" s="3353"/>
      <c r="AC1886" s="3353"/>
      <c r="AD1886" s="3353"/>
      <c r="AE1886" s="3353"/>
      <c r="AF1886" s="3353"/>
      <c r="AG1886" s="3353"/>
      <c r="AH1886" s="3353"/>
      <c r="AI1886" s="3353"/>
      <c r="AJ1886" s="3353"/>
      <c r="AK1886" s="3353"/>
      <c r="AL1886" s="3353"/>
    </row>
    <row r="1887" spans="1:38" s="3309" customFormat="1" x14ac:dyDescent="0.2">
      <c r="A1887" s="3451" t="s">
        <v>6058</v>
      </c>
      <c r="B1887" s="3417">
        <f t="shared" ref="B1887:G1887" si="1049">B1886*B1275/100</f>
        <v>0.3</v>
      </c>
      <c r="C1887" s="3417" t="e">
        <f t="shared" si="1049"/>
        <v>#DIV/0!</v>
      </c>
      <c r="D1887" s="3417" t="e">
        <f t="shared" si="1049"/>
        <v>#DIV/0!</v>
      </c>
      <c r="E1887" s="3417" t="e">
        <f t="shared" si="1049"/>
        <v>#DIV/0!</v>
      </c>
      <c r="F1887" s="3417" t="e">
        <f t="shared" si="1049"/>
        <v>#DIV/0!</v>
      </c>
      <c r="G1887" s="3417" t="e">
        <f t="shared" si="1049"/>
        <v>#DIV/0!</v>
      </c>
      <c r="H1887" s="3353"/>
      <c r="I1887" s="3353"/>
      <c r="J1887" s="3353"/>
      <c r="K1887" s="3353"/>
      <c r="L1887" s="3353"/>
      <c r="M1887" s="3353"/>
      <c r="N1887" s="3353"/>
      <c r="O1887" s="3353"/>
      <c r="P1887" s="3353"/>
      <c r="Q1887" s="3353"/>
      <c r="R1887" s="3353"/>
      <c r="S1887" s="3353"/>
      <c r="T1887" s="3353"/>
      <c r="U1887" s="3353"/>
      <c r="V1887" s="3353"/>
      <c r="W1887" s="3353"/>
      <c r="X1887" s="3353"/>
      <c r="Y1887" s="3353"/>
      <c r="Z1887" s="3353"/>
      <c r="AA1887" s="3353"/>
      <c r="AB1887" s="3353"/>
      <c r="AC1887" s="3353"/>
      <c r="AD1887" s="3353"/>
      <c r="AE1887" s="3353"/>
      <c r="AF1887" s="3353"/>
      <c r="AG1887" s="3353"/>
      <c r="AH1887" s="3353"/>
      <c r="AI1887" s="3353"/>
      <c r="AJ1887" s="3353"/>
      <c r="AK1887" s="3353"/>
      <c r="AL1887" s="3353"/>
    </row>
    <row r="1888" spans="1:38" s="3309" customFormat="1" x14ac:dyDescent="0.2">
      <c r="A1888" s="3450" t="s">
        <v>6057</v>
      </c>
      <c r="B1888" s="3449" t="e">
        <f t="shared" ref="B1888:G1888" si="1050">IF(AND(B769=1,B766=1),B1863,IF(AND(B769=2,B766=1),B1873,IF(AND(B769=3,B766=1),B1885,0)))</f>
        <v>#VALUE!</v>
      </c>
      <c r="C1888" s="3449">
        <f t="shared" si="1050"/>
        <v>0</v>
      </c>
      <c r="D1888" s="3449">
        <f t="shared" si="1050"/>
        <v>0</v>
      </c>
      <c r="E1888" s="3449">
        <f t="shared" si="1050"/>
        <v>0</v>
      </c>
      <c r="F1888" s="3449">
        <f t="shared" si="1050"/>
        <v>0</v>
      </c>
      <c r="G1888" s="3449">
        <f t="shared" si="1050"/>
        <v>0</v>
      </c>
      <c r="H1888" s="3448"/>
      <c r="I1888" s="3353"/>
      <c r="J1888" s="3353"/>
      <c r="K1888" s="3353"/>
      <c r="L1888" s="3353"/>
      <c r="M1888" s="3353"/>
      <c r="N1888" s="3353"/>
      <c r="O1888" s="3353"/>
      <c r="P1888" s="3353"/>
      <c r="Q1888" s="3353"/>
      <c r="R1888" s="3353"/>
      <c r="S1888" s="3353"/>
      <c r="T1888" s="3353"/>
      <c r="U1888" s="3353"/>
      <c r="V1888" s="3353"/>
      <c r="W1888" s="3353"/>
      <c r="X1888" s="3353"/>
      <c r="Y1888" s="3353"/>
      <c r="Z1888" s="3353"/>
      <c r="AA1888" s="3353"/>
      <c r="AB1888" s="3353"/>
      <c r="AC1888" s="3353"/>
      <c r="AD1888" s="3353"/>
      <c r="AE1888" s="3353"/>
      <c r="AF1888" s="3353"/>
      <c r="AG1888" s="3353"/>
      <c r="AH1888" s="3353"/>
      <c r="AI1888" s="3353"/>
      <c r="AJ1888" s="3353"/>
      <c r="AK1888" s="3353"/>
      <c r="AL1888" s="3353"/>
    </row>
    <row r="1889" spans="1:38" s="3309" customFormat="1" ht="25.5" x14ac:dyDescent="0.2">
      <c r="A1889" s="3447" t="s">
        <v>6056</v>
      </c>
      <c r="B1889" s="3446">
        <f t="shared" ref="B1889:G1889" si="1051">IF(AND(B769=1,B766=1),B1864,IF(AND(B769=2,B766=1),B1874,IF(AND(B769=3,B766=1),B1886,0)))</f>
        <v>-12</v>
      </c>
      <c r="C1889" s="3446">
        <f t="shared" si="1051"/>
        <v>0</v>
      </c>
      <c r="D1889" s="3446">
        <f t="shared" si="1051"/>
        <v>0</v>
      </c>
      <c r="E1889" s="3446">
        <f t="shared" si="1051"/>
        <v>0</v>
      </c>
      <c r="F1889" s="3446">
        <f t="shared" si="1051"/>
        <v>0</v>
      </c>
      <c r="G1889" s="3446">
        <f t="shared" si="1051"/>
        <v>0</v>
      </c>
      <c r="H1889" s="3353"/>
      <c r="I1889" s="3353"/>
      <c r="J1889" s="3353"/>
      <c r="K1889" s="3353"/>
      <c r="L1889" s="3353"/>
      <c r="M1889" s="3353"/>
      <c r="N1889" s="3353"/>
      <c r="O1889" s="3353"/>
      <c r="P1889" s="3353"/>
      <c r="Q1889" s="3353"/>
      <c r="R1889" s="3353"/>
      <c r="S1889" s="3353"/>
      <c r="T1889" s="3353"/>
      <c r="U1889" s="3353"/>
      <c r="V1889" s="3353"/>
      <c r="W1889" s="3353"/>
      <c r="X1889" s="3353"/>
      <c r="Y1889" s="3353"/>
      <c r="Z1889" s="3353"/>
      <c r="AA1889" s="3353"/>
      <c r="AB1889" s="3353"/>
      <c r="AC1889" s="3353"/>
      <c r="AD1889" s="3353"/>
      <c r="AE1889" s="3353"/>
      <c r="AF1889" s="3353"/>
      <c r="AG1889" s="3353"/>
      <c r="AH1889" s="3353"/>
      <c r="AI1889" s="3353"/>
      <c r="AJ1889" s="3353"/>
      <c r="AK1889" s="3353"/>
      <c r="AL1889" s="3353"/>
    </row>
    <row r="1890" spans="1:38" s="3309" customFormat="1" x14ac:dyDescent="0.2">
      <c r="A1890" s="3416" t="s">
        <v>6055</v>
      </c>
      <c r="B1890" s="3445" t="e">
        <f t="shared" ref="B1890:G1890" si="1052">IF(AND(B1422=1,B1423=0),B1852,IF(AND(B1422=1,B1423=1),B1861,IF(AND(B1422=2,B1423=0),B1883,IF(AND(B1422=2,B1423=1),B1872,IF(AND(B1422=3,B1423=1),B1872)))))</f>
        <v>#VALUE!</v>
      </c>
      <c r="C1890" s="3445" t="b">
        <f t="shared" si="1052"/>
        <v>0</v>
      </c>
      <c r="D1890" s="3445" t="b">
        <f t="shared" si="1052"/>
        <v>0</v>
      </c>
      <c r="E1890" s="3445" t="b">
        <f t="shared" si="1052"/>
        <v>0</v>
      </c>
      <c r="F1890" s="3445" t="b">
        <f t="shared" si="1052"/>
        <v>0</v>
      </c>
      <c r="G1890" s="3445" t="b">
        <f t="shared" si="1052"/>
        <v>0</v>
      </c>
      <c r="H1890" s="3353"/>
      <c r="I1890" s="3353"/>
      <c r="J1890" s="3353"/>
      <c r="K1890" s="3353"/>
      <c r="L1890" s="3353"/>
      <c r="M1890" s="3353"/>
      <c r="N1890" s="3353"/>
      <c r="O1890" s="3353"/>
      <c r="P1890" s="3353"/>
      <c r="Q1890" s="3353"/>
      <c r="R1890" s="3353"/>
      <c r="S1890" s="3353"/>
      <c r="T1890" s="3353"/>
      <c r="U1890" s="3353"/>
      <c r="V1890" s="3353"/>
      <c r="W1890" s="3353"/>
      <c r="X1890" s="3353"/>
      <c r="Y1890" s="3353"/>
      <c r="Z1890" s="3353"/>
      <c r="AA1890" s="3353"/>
      <c r="AB1890" s="3353"/>
      <c r="AC1890" s="3353"/>
      <c r="AD1890" s="3353"/>
      <c r="AE1890" s="3353"/>
      <c r="AF1890" s="3353"/>
      <c r="AG1890" s="3353"/>
      <c r="AH1890" s="3353"/>
      <c r="AI1890" s="3353"/>
      <c r="AJ1890" s="3353"/>
      <c r="AK1890" s="3353"/>
      <c r="AL1890" s="3353"/>
    </row>
    <row r="1891" spans="1:38" s="3309" customFormat="1" x14ac:dyDescent="0.2">
      <c r="A1891" s="3416" t="s">
        <v>3333</v>
      </c>
      <c r="B1891" s="3404" t="e">
        <f t="shared" ref="B1891:G1891" si="1053">B1890*B1853</f>
        <v>#VALUE!</v>
      </c>
      <c r="C1891" s="3404">
        <f t="shared" si="1053"/>
        <v>0</v>
      </c>
      <c r="D1891" s="3404">
        <f t="shared" si="1053"/>
        <v>0</v>
      </c>
      <c r="E1891" s="3404">
        <f t="shared" si="1053"/>
        <v>0</v>
      </c>
      <c r="F1891" s="3404">
        <f t="shared" si="1053"/>
        <v>0</v>
      </c>
      <c r="G1891" s="3404">
        <f t="shared" si="1053"/>
        <v>0</v>
      </c>
      <c r="H1891" s="3353"/>
      <c r="I1891" s="3353"/>
      <c r="J1891" s="3353"/>
      <c r="K1891" s="3353"/>
      <c r="L1891" s="3353"/>
      <c r="M1891" s="3353"/>
      <c r="N1891" s="3353"/>
      <c r="O1891" s="3353"/>
      <c r="P1891" s="3353"/>
      <c r="Q1891" s="3353"/>
      <c r="R1891" s="3353"/>
      <c r="S1891" s="3353"/>
      <c r="T1891" s="3353"/>
      <c r="U1891" s="3353"/>
      <c r="V1891" s="3353"/>
      <c r="W1891" s="3353"/>
      <c r="X1891" s="3353"/>
      <c r="Y1891" s="3353"/>
      <c r="Z1891" s="3353"/>
      <c r="AA1891" s="3353"/>
      <c r="AB1891" s="3353"/>
      <c r="AC1891" s="3353"/>
      <c r="AD1891" s="3353"/>
      <c r="AE1891" s="3353"/>
      <c r="AF1891" s="3353"/>
      <c r="AG1891" s="3353"/>
      <c r="AH1891" s="3353"/>
      <c r="AI1891" s="3353"/>
      <c r="AJ1891" s="3353"/>
      <c r="AK1891" s="3353"/>
      <c r="AL1891" s="3353"/>
    </row>
    <row r="1892" spans="1:38" s="3309" customFormat="1" x14ac:dyDescent="0.2">
      <c r="A1892" s="3416" t="s">
        <v>6054</v>
      </c>
      <c r="B1892" s="3444" t="e">
        <f t="shared" ref="B1892:G1892" si="1054">B1891*B1921</f>
        <v>#VALUE!</v>
      </c>
      <c r="C1892" s="3444" t="e">
        <f t="shared" si="1054"/>
        <v>#DIV/0!</v>
      </c>
      <c r="D1892" s="3444" t="e">
        <f t="shared" si="1054"/>
        <v>#DIV/0!</v>
      </c>
      <c r="E1892" s="3444" t="e">
        <f t="shared" si="1054"/>
        <v>#DIV/0!</v>
      </c>
      <c r="F1892" s="3444" t="e">
        <f t="shared" si="1054"/>
        <v>#DIV/0!</v>
      </c>
      <c r="G1892" s="3444" t="e">
        <f t="shared" si="1054"/>
        <v>#DIV/0!</v>
      </c>
      <c r="H1892" s="3353"/>
      <c r="I1892" s="3353"/>
      <c r="J1892" s="3353"/>
      <c r="K1892" s="3353"/>
      <c r="L1892" s="3353"/>
      <c r="M1892" s="3353"/>
      <c r="N1892" s="3353"/>
      <c r="O1892" s="3353"/>
      <c r="P1892" s="3353"/>
      <c r="Q1892" s="3353"/>
      <c r="R1892" s="3353"/>
      <c r="S1892" s="3353"/>
      <c r="T1892" s="3353"/>
      <c r="U1892" s="3353"/>
      <c r="V1892" s="3353"/>
      <c r="W1892" s="3353"/>
      <c r="X1892" s="3353"/>
      <c r="Y1892" s="3353"/>
      <c r="Z1892" s="3353"/>
      <c r="AA1892" s="3353"/>
      <c r="AB1892" s="3353"/>
      <c r="AC1892" s="3353"/>
      <c r="AD1892" s="3353"/>
      <c r="AE1892" s="3353"/>
      <c r="AF1892" s="3353"/>
      <c r="AG1892" s="3353"/>
      <c r="AH1892" s="3353"/>
      <c r="AI1892" s="3353"/>
      <c r="AJ1892" s="3353"/>
      <c r="AK1892" s="3353"/>
      <c r="AL1892" s="3353"/>
    </row>
    <row r="1893" spans="1:38" s="3309" customFormat="1" x14ac:dyDescent="0.2">
      <c r="A1893" s="3443"/>
      <c r="B1893" s="3442"/>
      <c r="C1893" s="3442"/>
      <c r="D1893" s="3442"/>
      <c r="E1893" s="3442"/>
      <c r="F1893" s="3442"/>
      <c r="G1893" s="3437"/>
      <c r="H1893" s="3353"/>
      <c r="I1893" s="3353"/>
      <c r="J1893" s="3353"/>
      <c r="K1893" s="3353"/>
      <c r="L1893" s="3353"/>
      <c r="M1893" s="3353"/>
      <c r="N1893" s="3353"/>
      <c r="O1893" s="3353"/>
      <c r="P1893" s="3353"/>
      <c r="Q1893" s="3353"/>
      <c r="R1893" s="3353"/>
      <c r="S1893" s="3353"/>
      <c r="T1893" s="3353"/>
      <c r="U1893" s="3353"/>
      <c r="V1893" s="3353"/>
      <c r="W1893" s="3353"/>
      <c r="X1893" s="3353"/>
      <c r="Y1893" s="3353"/>
      <c r="Z1893" s="3353"/>
      <c r="AA1893" s="3353"/>
      <c r="AB1893" s="3353"/>
      <c r="AC1893" s="3353"/>
      <c r="AD1893" s="3353"/>
      <c r="AE1893" s="3353"/>
      <c r="AF1893" s="3353"/>
      <c r="AG1893" s="3353"/>
      <c r="AH1893" s="3353"/>
      <c r="AI1893" s="3353"/>
      <c r="AJ1893" s="3353"/>
      <c r="AK1893" s="3353"/>
      <c r="AL1893" s="3353"/>
    </row>
    <row r="1894" spans="1:38" s="3309" customFormat="1" x14ac:dyDescent="0.2">
      <c r="A1894" s="3416" t="s">
        <v>6053</v>
      </c>
      <c r="B1894" s="3379"/>
      <c r="C1894" s="3379"/>
      <c r="D1894" s="3379"/>
      <c r="E1894" s="3379"/>
      <c r="F1894" s="3379"/>
      <c r="G1894" s="3353"/>
      <c r="H1894" s="3353"/>
      <c r="I1894" s="3353"/>
      <c r="J1894" s="3353"/>
      <c r="K1894" s="3353"/>
      <c r="L1894" s="3353"/>
      <c r="M1894" s="3353"/>
      <c r="N1894" s="3353"/>
      <c r="O1894" s="3353"/>
      <c r="P1894" s="3353"/>
      <c r="Q1894" s="3353"/>
      <c r="R1894" s="3353"/>
      <c r="S1894" s="3353"/>
      <c r="T1894" s="3353"/>
      <c r="U1894" s="3353"/>
      <c r="V1894" s="3353"/>
      <c r="W1894" s="3353"/>
      <c r="X1894" s="3353"/>
      <c r="Y1894" s="3353"/>
      <c r="Z1894" s="3353"/>
      <c r="AA1894" s="3353"/>
      <c r="AB1894" s="3353"/>
      <c r="AC1894" s="3353"/>
      <c r="AD1894" s="3353"/>
      <c r="AE1894" s="3353"/>
      <c r="AF1894" s="3353"/>
      <c r="AG1894" s="3353"/>
      <c r="AH1894" s="3353"/>
      <c r="AI1894" s="3353"/>
      <c r="AJ1894" s="3353"/>
      <c r="AK1894" s="3353"/>
      <c r="AL1894" s="3353"/>
    </row>
    <row r="1895" spans="1:38" s="3309" customFormat="1" x14ac:dyDescent="0.2">
      <c r="A1895" s="3441" t="s">
        <v>6052</v>
      </c>
      <c r="B1895" s="3413"/>
      <c r="C1895" s="3413"/>
      <c r="D1895" s="3413"/>
      <c r="E1895" s="3413"/>
      <c r="F1895" s="3413"/>
      <c r="G1895" s="3353"/>
      <c r="H1895" s="3353"/>
      <c r="I1895" s="3353"/>
      <c r="J1895" s="3353"/>
      <c r="K1895" s="3353"/>
      <c r="L1895" s="3353"/>
      <c r="M1895" s="3353"/>
      <c r="N1895" s="3353"/>
      <c r="O1895" s="3353"/>
      <c r="P1895" s="3353"/>
      <c r="Q1895" s="3353"/>
      <c r="R1895" s="3353"/>
      <c r="S1895" s="3353"/>
      <c r="T1895" s="3353"/>
      <c r="U1895" s="3353"/>
      <c r="V1895" s="3353"/>
      <c r="W1895" s="3353"/>
      <c r="X1895" s="3353"/>
      <c r="Y1895" s="3353"/>
      <c r="Z1895" s="3353"/>
      <c r="AA1895" s="3353"/>
      <c r="AB1895" s="3353"/>
      <c r="AC1895" s="3353"/>
      <c r="AD1895" s="3353"/>
      <c r="AE1895" s="3353"/>
      <c r="AF1895" s="3353"/>
      <c r="AG1895" s="3353"/>
      <c r="AH1895" s="3353"/>
      <c r="AI1895" s="3353"/>
      <c r="AJ1895" s="3353"/>
      <c r="AK1895" s="3353"/>
      <c r="AL1895" s="3353"/>
    </row>
    <row r="1896" spans="1:38" s="3309" customFormat="1" x14ac:dyDescent="0.2">
      <c r="A1896" s="3440" t="s">
        <v>6051</v>
      </c>
      <c r="B1896" s="3439">
        <f t="shared" ref="B1896:G1896" si="1055">CEILING((B743/B1403+1)*6,1)</f>
        <v>6</v>
      </c>
      <c r="C1896" s="3439" t="e">
        <f t="shared" si="1055"/>
        <v>#DIV/0!</v>
      </c>
      <c r="D1896" s="3439" t="e">
        <f t="shared" si="1055"/>
        <v>#DIV/0!</v>
      </c>
      <c r="E1896" s="3439" t="e">
        <f t="shared" si="1055"/>
        <v>#DIV/0!</v>
      </c>
      <c r="F1896" s="3439" t="e">
        <f t="shared" si="1055"/>
        <v>#DIV/0!</v>
      </c>
      <c r="G1896" s="3439" t="e">
        <f t="shared" si="1055"/>
        <v>#DIV/0!</v>
      </c>
      <c r="H1896" s="3353"/>
      <c r="I1896" s="3353"/>
      <c r="J1896" s="3353"/>
      <c r="K1896" s="3353"/>
      <c r="L1896" s="3353"/>
      <c r="M1896" s="3353"/>
      <c r="N1896" s="3353"/>
      <c r="O1896" s="3353"/>
      <c r="P1896" s="3353"/>
      <c r="Q1896" s="3353"/>
      <c r="R1896" s="3353"/>
      <c r="S1896" s="3353"/>
      <c r="T1896" s="3353"/>
      <c r="U1896" s="3353"/>
      <c r="V1896" s="3353"/>
      <c r="W1896" s="3353"/>
      <c r="X1896" s="3353"/>
      <c r="Y1896" s="3353"/>
      <c r="Z1896" s="3353"/>
      <c r="AA1896" s="3353"/>
      <c r="AB1896" s="3353"/>
      <c r="AC1896" s="3353"/>
      <c r="AD1896" s="3353"/>
      <c r="AE1896" s="3353"/>
      <c r="AF1896" s="3353"/>
      <c r="AG1896" s="3353"/>
      <c r="AH1896" s="3353"/>
      <c r="AI1896" s="3353"/>
      <c r="AJ1896" s="3353"/>
      <c r="AK1896" s="3353"/>
      <c r="AL1896" s="3353"/>
    </row>
    <row r="1897" spans="1:38" s="3309" customFormat="1" x14ac:dyDescent="0.2">
      <c r="A1897" s="3430" t="s">
        <v>2816</v>
      </c>
      <c r="B1897" s="3428">
        <f t="shared" ref="B1897:G1897" si="1056">B1263</f>
        <v>3</v>
      </c>
      <c r="C1897" s="3428">
        <f t="shared" si="1056"/>
        <v>3</v>
      </c>
      <c r="D1897" s="3428">
        <f t="shared" si="1056"/>
        <v>3</v>
      </c>
      <c r="E1897" s="3428">
        <f t="shared" si="1056"/>
        <v>3</v>
      </c>
      <c r="F1897" s="3428">
        <f t="shared" si="1056"/>
        <v>3</v>
      </c>
      <c r="G1897" s="3428">
        <f t="shared" si="1056"/>
        <v>3</v>
      </c>
      <c r="H1897" s="3353"/>
      <c r="I1897" s="3353"/>
      <c r="J1897" s="3353"/>
      <c r="K1897" s="3353"/>
      <c r="L1897" s="3353"/>
      <c r="M1897" s="3353"/>
      <c r="N1897" s="3353"/>
      <c r="O1897" s="3353"/>
      <c r="P1897" s="3353"/>
      <c r="Q1897" s="3353"/>
      <c r="R1897" s="3353"/>
      <c r="S1897" s="3353"/>
      <c r="T1897" s="3353"/>
      <c r="U1897" s="3353"/>
      <c r="V1897" s="3353"/>
      <c r="W1897" s="3353"/>
      <c r="X1897" s="3353"/>
      <c r="Y1897" s="3353"/>
      <c r="Z1897" s="3353"/>
      <c r="AA1897" s="3353"/>
      <c r="AB1897" s="3353"/>
      <c r="AC1897" s="3353"/>
      <c r="AD1897" s="3353"/>
      <c r="AE1897" s="3353"/>
      <c r="AF1897" s="3353"/>
      <c r="AG1897" s="3353"/>
      <c r="AH1897" s="3353"/>
      <c r="AI1897" s="3353"/>
      <c r="AJ1897" s="3353"/>
      <c r="AK1897" s="3353"/>
      <c r="AL1897" s="3353"/>
    </row>
    <row r="1898" spans="1:38" s="3309" customFormat="1" x14ac:dyDescent="0.2">
      <c r="A1898" s="3408" t="s">
        <v>6050</v>
      </c>
      <c r="B1898" s="3438">
        <f t="shared" ref="B1898:G1898" si="1057">B1896*B1897/100</f>
        <v>0.18</v>
      </c>
      <c r="C1898" s="3438" t="e">
        <f t="shared" si="1057"/>
        <v>#DIV/0!</v>
      </c>
      <c r="D1898" s="3438" t="e">
        <f t="shared" si="1057"/>
        <v>#DIV/0!</v>
      </c>
      <c r="E1898" s="3438" t="e">
        <f t="shared" si="1057"/>
        <v>#DIV/0!</v>
      </c>
      <c r="F1898" s="3438" t="e">
        <f t="shared" si="1057"/>
        <v>#DIV/0!</v>
      </c>
      <c r="G1898" s="3438" t="e">
        <f t="shared" si="1057"/>
        <v>#DIV/0!</v>
      </c>
      <c r="H1898" s="3353"/>
      <c r="I1898" s="3353"/>
      <c r="J1898" s="3353"/>
      <c r="K1898" s="3353"/>
      <c r="L1898" s="3353"/>
      <c r="M1898" s="3353"/>
      <c r="N1898" s="3353"/>
      <c r="O1898" s="3353"/>
      <c r="P1898" s="3353"/>
      <c r="Q1898" s="3353"/>
      <c r="R1898" s="3353"/>
      <c r="S1898" s="3353"/>
      <c r="T1898" s="3353"/>
      <c r="U1898" s="3353"/>
      <c r="V1898" s="3353"/>
      <c r="W1898" s="3353"/>
      <c r="X1898" s="3353"/>
      <c r="Y1898" s="3353"/>
      <c r="Z1898" s="3353"/>
      <c r="AA1898" s="3353"/>
      <c r="AB1898" s="3353"/>
      <c r="AC1898" s="3353"/>
      <c r="AD1898" s="3353"/>
      <c r="AE1898" s="3353"/>
      <c r="AF1898" s="3353"/>
      <c r="AG1898" s="3353"/>
      <c r="AH1898" s="3353"/>
      <c r="AI1898" s="3353"/>
      <c r="AJ1898" s="3353"/>
      <c r="AK1898" s="3353"/>
      <c r="AL1898" s="3353"/>
    </row>
    <row r="1899" spans="1:38" s="3309" customFormat="1" x14ac:dyDescent="0.2">
      <c r="A1899" s="3434" t="s">
        <v>1901</v>
      </c>
      <c r="B1899" s="3428">
        <f t="shared" ref="B1899:G1899" si="1058">B1265</f>
        <v>5000</v>
      </c>
      <c r="C1899" s="3428">
        <f t="shared" si="1058"/>
        <v>5000</v>
      </c>
      <c r="D1899" s="3428">
        <f t="shared" si="1058"/>
        <v>5000</v>
      </c>
      <c r="E1899" s="3428">
        <f t="shared" si="1058"/>
        <v>5000</v>
      </c>
      <c r="F1899" s="3428">
        <f t="shared" si="1058"/>
        <v>5000</v>
      </c>
      <c r="G1899" s="3428">
        <f t="shared" si="1058"/>
        <v>5000</v>
      </c>
      <c r="H1899" s="3353"/>
      <c r="I1899" s="3353"/>
      <c r="J1899" s="3353"/>
      <c r="K1899" s="3353"/>
      <c r="L1899" s="3353"/>
      <c r="M1899" s="3353"/>
      <c r="N1899" s="3353"/>
      <c r="O1899" s="3353"/>
      <c r="P1899" s="3353"/>
      <c r="Q1899" s="3353"/>
      <c r="R1899" s="3353"/>
      <c r="S1899" s="3353"/>
      <c r="T1899" s="3353"/>
      <c r="U1899" s="3353"/>
      <c r="V1899" s="3353"/>
      <c r="W1899" s="3353"/>
      <c r="X1899" s="3353"/>
      <c r="Y1899" s="3353"/>
      <c r="Z1899" s="3353"/>
      <c r="AA1899" s="3353"/>
      <c r="AB1899" s="3353"/>
      <c r="AC1899" s="3353"/>
      <c r="AD1899" s="3353"/>
      <c r="AE1899" s="3353"/>
      <c r="AF1899" s="3353"/>
      <c r="AG1899" s="3353"/>
      <c r="AH1899" s="3353"/>
      <c r="AI1899" s="3353"/>
      <c r="AJ1899" s="3353"/>
      <c r="AK1899" s="3353"/>
      <c r="AL1899" s="3353"/>
    </row>
    <row r="1900" spans="1:38" s="3309" customFormat="1" x14ac:dyDescent="0.2">
      <c r="A1900" s="3403" t="s">
        <v>6049</v>
      </c>
      <c r="B1900" s="3428">
        <f t="shared" ref="B1900:G1900" si="1059">B1898*B1899</f>
        <v>900</v>
      </c>
      <c r="C1900" s="3428" t="e">
        <f t="shared" si="1059"/>
        <v>#DIV/0!</v>
      </c>
      <c r="D1900" s="3428" t="e">
        <f t="shared" si="1059"/>
        <v>#DIV/0!</v>
      </c>
      <c r="E1900" s="3428" t="e">
        <f t="shared" si="1059"/>
        <v>#DIV/0!</v>
      </c>
      <c r="F1900" s="3428" t="e">
        <f t="shared" si="1059"/>
        <v>#DIV/0!</v>
      </c>
      <c r="G1900" s="3428" t="e">
        <f t="shared" si="1059"/>
        <v>#DIV/0!</v>
      </c>
      <c r="H1900" s="3353"/>
      <c r="I1900" s="3353"/>
      <c r="J1900" s="3353"/>
      <c r="K1900" s="3353"/>
      <c r="L1900" s="3353"/>
      <c r="M1900" s="3353"/>
      <c r="N1900" s="3353"/>
      <c r="O1900" s="3353"/>
      <c r="P1900" s="3353"/>
      <c r="Q1900" s="3353"/>
      <c r="R1900" s="3353"/>
      <c r="S1900" s="3353"/>
      <c r="T1900" s="3353"/>
      <c r="U1900" s="3353"/>
      <c r="V1900" s="3353"/>
      <c r="W1900" s="3353"/>
      <c r="X1900" s="3353"/>
      <c r="Y1900" s="3353"/>
      <c r="Z1900" s="3353"/>
      <c r="AA1900" s="3353"/>
      <c r="AB1900" s="3353"/>
      <c r="AC1900" s="3353"/>
      <c r="AD1900" s="3353"/>
      <c r="AE1900" s="3353"/>
      <c r="AF1900" s="3353"/>
      <c r="AG1900" s="3353"/>
      <c r="AH1900" s="3353"/>
      <c r="AI1900" s="3353"/>
      <c r="AJ1900" s="3353"/>
      <c r="AK1900" s="3353"/>
      <c r="AL1900" s="3353"/>
    </row>
    <row r="1901" spans="1:38" s="3309" customFormat="1" x14ac:dyDescent="0.2">
      <c r="A1901" s="3401" t="s">
        <v>6048</v>
      </c>
      <c r="B1901" s="3426"/>
      <c r="C1901" s="3412"/>
      <c r="D1901" s="3412"/>
      <c r="E1901" s="3412"/>
      <c r="F1901" s="3412"/>
      <c r="G1901" s="3353"/>
      <c r="H1901" s="3437"/>
      <c r="I1901" s="3353"/>
      <c r="J1901" s="3353"/>
      <c r="K1901" s="3353"/>
      <c r="L1901" s="3353"/>
      <c r="M1901" s="3353"/>
      <c r="N1901" s="3353"/>
      <c r="O1901" s="3353"/>
      <c r="P1901" s="3353"/>
      <c r="Q1901" s="3353"/>
      <c r="R1901" s="3353"/>
      <c r="S1901" s="3353"/>
      <c r="T1901" s="3353"/>
      <c r="U1901" s="3353"/>
      <c r="V1901" s="3353"/>
      <c r="W1901" s="3353"/>
      <c r="X1901" s="3353"/>
      <c r="Y1901" s="3353"/>
      <c r="Z1901" s="3353"/>
      <c r="AA1901" s="3353"/>
      <c r="AB1901" s="3353"/>
      <c r="AC1901" s="3353"/>
      <c r="AD1901" s="3353"/>
      <c r="AE1901" s="3353"/>
      <c r="AF1901" s="3353"/>
      <c r="AG1901" s="3353"/>
      <c r="AH1901" s="3353"/>
      <c r="AI1901" s="3353"/>
      <c r="AJ1901" s="3353"/>
      <c r="AK1901" s="3353"/>
      <c r="AL1901" s="3353"/>
    </row>
    <row r="1902" spans="1:38" s="3309" customFormat="1" x14ac:dyDescent="0.2">
      <c r="A1902" s="3436" t="s">
        <v>6047</v>
      </c>
      <c r="B1902" s="3435">
        <f t="shared" ref="B1902:G1902" si="1060">B1442*2</f>
        <v>8</v>
      </c>
      <c r="C1902" s="3435">
        <f t="shared" si="1060"/>
        <v>0</v>
      </c>
      <c r="D1902" s="3435">
        <f t="shared" si="1060"/>
        <v>0</v>
      </c>
      <c r="E1902" s="3435">
        <f t="shared" si="1060"/>
        <v>0</v>
      </c>
      <c r="F1902" s="3435">
        <f t="shared" si="1060"/>
        <v>0</v>
      </c>
      <c r="G1902" s="3435">
        <f t="shared" si="1060"/>
        <v>0</v>
      </c>
      <c r="H1902" s="3353"/>
      <c r="I1902" s="3353"/>
      <c r="J1902" s="3353"/>
      <c r="K1902" s="3353"/>
      <c r="L1902" s="3353"/>
      <c r="M1902" s="3353"/>
      <c r="N1902" s="3353"/>
      <c r="O1902" s="3353"/>
      <c r="P1902" s="3353"/>
      <c r="Q1902" s="3353"/>
      <c r="R1902" s="3353"/>
      <c r="S1902" s="3353"/>
      <c r="T1902" s="3353"/>
      <c r="U1902" s="3353"/>
      <c r="V1902" s="3353"/>
      <c r="W1902" s="3353"/>
      <c r="X1902" s="3353"/>
      <c r="Y1902" s="3353"/>
      <c r="Z1902" s="3353"/>
      <c r="AA1902" s="3353"/>
      <c r="AB1902" s="3353"/>
      <c r="AC1902" s="3353"/>
      <c r="AD1902" s="3353"/>
      <c r="AE1902" s="3353"/>
      <c r="AF1902" s="3353"/>
      <c r="AG1902" s="3353"/>
      <c r="AH1902" s="3353"/>
      <c r="AI1902" s="3353"/>
      <c r="AJ1902" s="3353"/>
      <c r="AK1902" s="3353"/>
      <c r="AL1902" s="3353"/>
    </row>
    <row r="1903" spans="1:38" s="3309" customFormat="1" x14ac:dyDescent="0.2">
      <c r="A1903" s="3434" t="s">
        <v>6046</v>
      </c>
      <c r="B1903" s="3428">
        <f t="shared" ref="B1903:G1903" si="1061">B1269</f>
        <v>5</v>
      </c>
      <c r="C1903" s="3428">
        <f t="shared" si="1061"/>
        <v>5</v>
      </c>
      <c r="D1903" s="3428">
        <f t="shared" si="1061"/>
        <v>5</v>
      </c>
      <c r="E1903" s="3428">
        <f t="shared" si="1061"/>
        <v>5</v>
      </c>
      <c r="F1903" s="3428">
        <f t="shared" si="1061"/>
        <v>5</v>
      </c>
      <c r="G1903" s="3428">
        <f t="shared" si="1061"/>
        <v>5</v>
      </c>
      <c r="H1903" s="3353"/>
      <c r="I1903" s="3353"/>
      <c r="J1903" s="3353"/>
      <c r="K1903" s="3353"/>
      <c r="L1903" s="3353"/>
      <c r="M1903" s="3353"/>
      <c r="N1903" s="3353"/>
      <c r="O1903" s="3353"/>
      <c r="P1903" s="3353"/>
      <c r="Q1903" s="3353"/>
      <c r="R1903" s="3353"/>
      <c r="S1903" s="3353"/>
      <c r="T1903" s="3353"/>
      <c r="U1903" s="3353"/>
      <c r="V1903" s="3353"/>
      <c r="W1903" s="3353"/>
      <c r="X1903" s="3353"/>
      <c r="Y1903" s="3353"/>
      <c r="Z1903" s="3353"/>
      <c r="AA1903" s="3353"/>
      <c r="AB1903" s="3353"/>
      <c r="AC1903" s="3353"/>
      <c r="AD1903" s="3353"/>
      <c r="AE1903" s="3353"/>
      <c r="AF1903" s="3353"/>
      <c r="AG1903" s="3353"/>
      <c r="AH1903" s="3353"/>
      <c r="AI1903" s="3353"/>
      <c r="AJ1903" s="3353"/>
      <c r="AK1903" s="3353"/>
      <c r="AL1903" s="3353"/>
    </row>
    <row r="1904" spans="1:38" s="3309" customFormat="1" x14ac:dyDescent="0.2">
      <c r="A1904" s="3412" t="s">
        <v>6045</v>
      </c>
      <c r="B1904" s="3411">
        <f t="shared" ref="B1904:G1904" si="1062">B1902*B1903/100</f>
        <v>0.4</v>
      </c>
      <c r="C1904" s="3411">
        <f t="shared" si="1062"/>
        <v>0</v>
      </c>
      <c r="D1904" s="3411">
        <f t="shared" si="1062"/>
        <v>0</v>
      </c>
      <c r="E1904" s="3411">
        <f t="shared" si="1062"/>
        <v>0</v>
      </c>
      <c r="F1904" s="3411">
        <f t="shared" si="1062"/>
        <v>0</v>
      </c>
      <c r="G1904" s="3411">
        <f t="shared" si="1062"/>
        <v>0</v>
      </c>
      <c r="H1904" s="3353"/>
      <c r="I1904" s="3353"/>
      <c r="J1904" s="3353"/>
      <c r="K1904" s="3353"/>
      <c r="L1904" s="3353"/>
      <c r="M1904" s="3353"/>
      <c r="N1904" s="3353"/>
      <c r="O1904" s="3353"/>
      <c r="P1904" s="3353"/>
      <c r="Q1904" s="3353"/>
      <c r="R1904" s="3353"/>
      <c r="S1904" s="3353"/>
      <c r="T1904" s="3353"/>
      <c r="U1904" s="3353"/>
      <c r="V1904" s="3353"/>
      <c r="W1904" s="3353"/>
      <c r="X1904" s="3353"/>
      <c r="Y1904" s="3353"/>
      <c r="Z1904" s="3353"/>
      <c r="AA1904" s="3353"/>
      <c r="AB1904" s="3353"/>
      <c r="AC1904" s="3353"/>
      <c r="AD1904" s="3353"/>
      <c r="AE1904" s="3353"/>
      <c r="AF1904" s="3353"/>
      <c r="AG1904" s="3353"/>
      <c r="AH1904" s="3353"/>
      <c r="AI1904" s="3353"/>
      <c r="AJ1904" s="3353"/>
      <c r="AK1904" s="3353"/>
      <c r="AL1904" s="3353"/>
    </row>
    <row r="1905" spans="1:38" s="3309" customFormat="1" x14ac:dyDescent="0.2">
      <c r="A1905" s="3433" t="s">
        <v>6044</v>
      </c>
      <c r="B1905" s="3426">
        <f t="shared" ref="B1905:G1905" si="1063">B1904*B1572*16/1000</f>
        <v>2.5600000000000001E-2</v>
      </c>
      <c r="C1905" s="3426">
        <f t="shared" si="1063"/>
        <v>0</v>
      </c>
      <c r="D1905" s="3426">
        <f t="shared" si="1063"/>
        <v>0</v>
      </c>
      <c r="E1905" s="3426">
        <f t="shared" si="1063"/>
        <v>0</v>
      </c>
      <c r="F1905" s="3426">
        <f t="shared" si="1063"/>
        <v>0</v>
      </c>
      <c r="G1905" s="3426">
        <f t="shared" si="1063"/>
        <v>0</v>
      </c>
      <c r="H1905" s="3353"/>
      <c r="I1905" s="3353"/>
      <c r="J1905" s="3353"/>
      <c r="K1905" s="3353"/>
      <c r="L1905" s="3353"/>
      <c r="M1905" s="3353"/>
      <c r="N1905" s="3353"/>
      <c r="O1905" s="3353"/>
      <c r="P1905" s="3353"/>
      <c r="Q1905" s="3353"/>
      <c r="R1905" s="3353"/>
      <c r="S1905" s="3353"/>
      <c r="T1905" s="3353"/>
      <c r="U1905" s="3353"/>
      <c r="V1905" s="3353"/>
      <c r="W1905" s="3353"/>
      <c r="X1905" s="3353"/>
      <c r="Y1905" s="3353"/>
      <c r="Z1905" s="3353"/>
      <c r="AA1905" s="3353"/>
      <c r="AB1905" s="3353"/>
      <c r="AC1905" s="3353"/>
      <c r="AD1905" s="3353"/>
      <c r="AE1905" s="3353"/>
      <c r="AF1905" s="3353"/>
      <c r="AG1905" s="3353"/>
      <c r="AH1905" s="3353"/>
      <c r="AI1905" s="3353"/>
      <c r="AJ1905" s="3353"/>
      <c r="AK1905" s="3353"/>
      <c r="AL1905" s="3353"/>
    </row>
    <row r="1906" spans="1:38" s="3309" customFormat="1" x14ac:dyDescent="0.2">
      <c r="A1906" s="3430" t="s">
        <v>6043</v>
      </c>
      <c r="B1906" s="3409">
        <f t="shared" ref="B1906:G1906" si="1064">B1272</f>
        <v>10</v>
      </c>
      <c r="C1906" s="3409">
        <f t="shared" si="1064"/>
        <v>10</v>
      </c>
      <c r="D1906" s="3409">
        <f t="shared" si="1064"/>
        <v>10</v>
      </c>
      <c r="E1906" s="3409">
        <f t="shared" si="1064"/>
        <v>10</v>
      </c>
      <c r="F1906" s="3409">
        <f t="shared" si="1064"/>
        <v>10</v>
      </c>
      <c r="G1906" s="3409">
        <f t="shared" si="1064"/>
        <v>10</v>
      </c>
      <c r="H1906" s="3353"/>
      <c r="I1906" s="3353"/>
      <c r="J1906" s="3353"/>
      <c r="K1906" s="3353"/>
      <c r="L1906" s="3353"/>
      <c r="M1906" s="3353"/>
      <c r="N1906" s="3353"/>
      <c r="O1906" s="3353"/>
      <c r="P1906" s="3353"/>
      <c r="Q1906" s="3353"/>
      <c r="R1906" s="3353"/>
      <c r="S1906" s="3353"/>
      <c r="T1906" s="3353"/>
      <c r="U1906" s="3353"/>
      <c r="V1906" s="3353"/>
      <c r="W1906" s="3353"/>
      <c r="X1906" s="3353"/>
      <c r="Y1906" s="3353"/>
      <c r="Z1906" s="3353"/>
      <c r="AA1906" s="3353"/>
      <c r="AB1906" s="3353"/>
      <c r="AC1906" s="3353"/>
      <c r="AD1906" s="3353"/>
      <c r="AE1906" s="3353"/>
      <c r="AF1906" s="3353"/>
      <c r="AG1906" s="3353"/>
      <c r="AH1906" s="3353"/>
      <c r="AI1906" s="3353"/>
      <c r="AJ1906" s="3353"/>
      <c r="AK1906" s="3353"/>
      <c r="AL1906" s="3353"/>
    </row>
    <row r="1907" spans="1:38" s="3309" customFormat="1" x14ac:dyDescent="0.2">
      <c r="A1907" s="3401" t="s">
        <v>6042</v>
      </c>
      <c r="B1907" s="3417">
        <f t="shared" ref="B1907:G1907" si="1065">B1905*B1906</f>
        <v>0.25600000000000001</v>
      </c>
      <c r="C1907" s="3417">
        <f t="shared" si="1065"/>
        <v>0</v>
      </c>
      <c r="D1907" s="3417">
        <f t="shared" si="1065"/>
        <v>0</v>
      </c>
      <c r="E1907" s="3417">
        <f t="shared" si="1065"/>
        <v>0</v>
      </c>
      <c r="F1907" s="3417">
        <f t="shared" si="1065"/>
        <v>0</v>
      </c>
      <c r="G1907" s="3417">
        <f t="shared" si="1065"/>
        <v>0</v>
      </c>
      <c r="H1907" s="3353"/>
      <c r="I1907" s="3353"/>
      <c r="J1907" s="3353"/>
      <c r="K1907" s="3353"/>
      <c r="L1907" s="3353"/>
      <c r="M1907" s="3353"/>
      <c r="N1907" s="3353"/>
      <c r="O1907" s="3353"/>
      <c r="P1907" s="3353"/>
      <c r="Q1907" s="3353"/>
      <c r="R1907" s="3353"/>
      <c r="S1907" s="3353"/>
      <c r="T1907" s="3353"/>
      <c r="U1907" s="3353"/>
      <c r="V1907" s="3353"/>
      <c r="W1907" s="3353"/>
      <c r="X1907" s="3353"/>
      <c r="Y1907" s="3353"/>
      <c r="Z1907" s="3353"/>
      <c r="AA1907" s="3353"/>
      <c r="AB1907" s="3353"/>
      <c r="AC1907" s="3353"/>
      <c r="AD1907" s="3353"/>
      <c r="AE1907" s="3353"/>
      <c r="AF1907" s="3353"/>
      <c r="AG1907" s="3353"/>
      <c r="AH1907" s="3353"/>
      <c r="AI1907" s="3353"/>
      <c r="AJ1907" s="3353"/>
      <c r="AK1907" s="3353"/>
      <c r="AL1907" s="3353"/>
    </row>
    <row r="1908" spans="1:38" s="3309" customFormat="1" x14ac:dyDescent="0.2">
      <c r="A1908" s="3401" t="s">
        <v>6041</v>
      </c>
      <c r="B1908" s="3412"/>
      <c r="C1908" s="3412"/>
      <c r="D1908" s="3412"/>
      <c r="E1908" s="3412"/>
      <c r="F1908" s="3412"/>
      <c r="G1908" s="3353"/>
      <c r="H1908" s="3353"/>
      <c r="I1908" s="3353"/>
      <c r="J1908" s="3353"/>
      <c r="K1908" s="3353"/>
      <c r="L1908" s="3353"/>
      <c r="M1908" s="3353"/>
      <c r="N1908" s="3353"/>
      <c r="O1908" s="3353"/>
      <c r="P1908" s="3353"/>
      <c r="Q1908" s="3353"/>
      <c r="R1908" s="3353"/>
      <c r="S1908" s="3353"/>
      <c r="T1908" s="3353"/>
      <c r="U1908" s="3353"/>
      <c r="V1908" s="3353"/>
      <c r="W1908" s="3353"/>
      <c r="X1908" s="3353"/>
      <c r="Y1908" s="3353"/>
      <c r="Z1908" s="3353"/>
      <c r="AA1908" s="3353"/>
      <c r="AB1908" s="3353"/>
      <c r="AC1908" s="3353"/>
      <c r="AD1908" s="3353"/>
      <c r="AE1908" s="3353"/>
      <c r="AF1908" s="3353"/>
      <c r="AG1908" s="3353"/>
      <c r="AH1908" s="3353"/>
      <c r="AI1908" s="3353"/>
      <c r="AJ1908" s="3353"/>
      <c r="AK1908" s="3353"/>
      <c r="AL1908" s="3353"/>
    </row>
    <row r="1909" spans="1:38" s="3309" customFormat="1" x14ac:dyDescent="0.2">
      <c r="A1909" s="3430" t="s">
        <v>4309</v>
      </c>
      <c r="B1909" s="3428">
        <f t="shared" ref="B1909:G1909" si="1066">B1275</f>
        <v>5</v>
      </c>
      <c r="C1909" s="3428">
        <f t="shared" si="1066"/>
        <v>5</v>
      </c>
      <c r="D1909" s="3428">
        <f t="shared" si="1066"/>
        <v>5</v>
      </c>
      <c r="E1909" s="3428">
        <f t="shared" si="1066"/>
        <v>5</v>
      </c>
      <c r="F1909" s="3428">
        <f t="shared" si="1066"/>
        <v>5</v>
      </c>
      <c r="G1909" s="3428">
        <f t="shared" si="1066"/>
        <v>5</v>
      </c>
      <c r="H1909" s="3353"/>
      <c r="I1909" s="3353"/>
      <c r="J1909" s="3353"/>
      <c r="K1909" s="3353"/>
      <c r="L1909" s="3353"/>
      <c r="M1909" s="3353"/>
      <c r="N1909" s="3353"/>
      <c r="O1909" s="3353"/>
      <c r="P1909" s="3353"/>
      <c r="Q1909" s="3353"/>
      <c r="R1909" s="3353"/>
      <c r="S1909" s="3353"/>
      <c r="T1909" s="3353"/>
      <c r="U1909" s="3353"/>
      <c r="V1909" s="3353"/>
      <c r="W1909" s="3353"/>
      <c r="X1909" s="3353"/>
      <c r="Y1909" s="3353"/>
      <c r="Z1909" s="3353"/>
      <c r="AA1909" s="3353"/>
      <c r="AB1909" s="3353"/>
      <c r="AC1909" s="3353"/>
      <c r="AD1909" s="3353"/>
      <c r="AE1909" s="3353"/>
      <c r="AF1909" s="3353"/>
      <c r="AG1909" s="3353"/>
      <c r="AH1909" s="3353"/>
      <c r="AI1909" s="3353"/>
      <c r="AJ1909" s="3353"/>
      <c r="AK1909" s="3353"/>
      <c r="AL1909" s="3353"/>
    </row>
    <row r="1910" spans="1:38" s="3309" customFormat="1" x14ac:dyDescent="0.2">
      <c r="A1910" s="3411" t="s">
        <v>6040</v>
      </c>
      <c r="B1910" s="3426">
        <f t="shared" ref="B1910:G1910" si="1067">B1889</f>
        <v>-12</v>
      </c>
      <c r="C1910" s="3426">
        <f t="shared" si="1067"/>
        <v>0</v>
      </c>
      <c r="D1910" s="3426">
        <f t="shared" si="1067"/>
        <v>0</v>
      </c>
      <c r="E1910" s="3426">
        <f t="shared" si="1067"/>
        <v>0</v>
      </c>
      <c r="F1910" s="3426">
        <f t="shared" si="1067"/>
        <v>0</v>
      </c>
      <c r="G1910" s="3426">
        <f t="shared" si="1067"/>
        <v>0</v>
      </c>
      <c r="H1910" s="3353"/>
      <c r="I1910" s="3353"/>
      <c r="J1910" s="3353"/>
      <c r="K1910" s="3353"/>
      <c r="L1910" s="3353"/>
      <c r="M1910" s="3353"/>
      <c r="N1910" s="3353"/>
      <c r="O1910" s="3353"/>
      <c r="P1910" s="3353"/>
      <c r="Q1910" s="3353"/>
      <c r="R1910" s="3353"/>
      <c r="S1910" s="3353"/>
      <c r="T1910" s="3353"/>
      <c r="U1910" s="3353"/>
      <c r="V1910" s="3353"/>
      <c r="W1910" s="3353"/>
      <c r="X1910" s="3353"/>
      <c r="Y1910" s="3353"/>
      <c r="Z1910" s="3353"/>
      <c r="AA1910" s="3353"/>
      <c r="AB1910" s="3353"/>
      <c r="AC1910" s="3353"/>
      <c r="AD1910" s="3353"/>
      <c r="AE1910" s="3353"/>
      <c r="AF1910" s="3353"/>
      <c r="AG1910" s="3353"/>
      <c r="AH1910" s="3353"/>
      <c r="AI1910" s="3353"/>
      <c r="AJ1910" s="3353"/>
      <c r="AK1910" s="3353"/>
      <c r="AL1910" s="3353"/>
    </row>
    <row r="1911" spans="1:38" s="3309" customFormat="1" x14ac:dyDescent="0.2">
      <c r="A1911" s="3405" t="s">
        <v>6039</v>
      </c>
      <c r="B1911" s="3429">
        <f t="shared" ref="B1911:G1911" si="1068">B1277</f>
        <v>600</v>
      </c>
      <c r="C1911" s="3429">
        <f t="shared" si="1068"/>
        <v>600</v>
      </c>
      <c r="D1911" s="3429">
        <f t="shared" si="1068"/>
        <v>600</v>
      </c>
      <c r="E1911" s="3429">
        <f t="shared" si="1068"/>
        <v>600</v>
      </c>
      <c r="F1911" s="3429">
        <f t="shared" si="1068"/>
        <v>600</v>
      </c>
      <c r="G1911" s="3429">
        <f t="shared" si="1068"/>
        <v>600</v>
      </c>
      <c r="H1911" s="3353"/>
      <c r="I1911" s="3353"/>
      <c r="J1911" s="3353"/>
      <c r="K1911" s="3353"/>
      <c r="L1911" s="3353"/>
      <c r="M1911" s="3353"/>
      <c r="N1911" s="3353"/>
      <c r="O1911" s="3353"/>
      <c r="P1911" s="3353"/>
      <c r="Q1911" s="3353"/>
      <c r="R1911" s="3353"/>
      <c r="S1911" s="3353"/>
      <c r="T1911" s="3353"/>
      <c r="U1911" s="3353"/>
      <c r="V1911" s="3353"/>
      <c r="W1911" s="3353"/>
      <c r="X1911" s="3353"/>
      <c r="Y1911" s="3353"/>
      <c r="Z1911" s="3353"/>
      <c r="AA1911" s="3353"/>
      <c r="AB1911" s="3353"/>
      <c r="AC1911" s="3353"/>
      <c r="AD1911" s="3353"/>
      <c r="AE1911" s="3353"/>
      <c r="AF1911" s="3353"/>
      <c r="AG1911" s="3353"/>
      <c r="AH1911" s="3353"/>
      <c r="AI1911" s="3353"/>
      <c r="AJ1911" s="3353"/>
      <c r="AK1911" s="3353"/>
      <c r="AL1911" s="3353"/>
    </row>
    <row r="1912" spans="1:38" s="3309" customFormat="1" ht="25.5" x14ac:dyDescent="0.2">
      <c r="A1912" s="3416" t="s">
        <v>6038</v>
      </c>
      <c r="B1912" s="3411">
        <f t="shared" ref="B1912:G1912" si="1069">IF(B1423=1,B1910*B1911,0)</f>
        <v>-7200</v>
      </c>
      <c r="C1912" s="3411">
        <f t="shared" si="1069"/>
        <v>0</v>
      </c>
      <c r="D1912" s="3411">
        <f t="shared" si="1069"/>
        <v>0</v>
      </c>
      <c r="E1912" s="3411">
        <f t="shared" si="1069"/>
        <v>0</v>
      </c>
      <c r="F1912" s="3411">
        <f t="shared" si="1069"/>
        <v>0</v>
      </c>
      <c r="G1912" s="3411">
        <f t="shared" si="1069"/>
        <v>0</v>
      </c>
      <c r="H1912" s="3353"/>
      <c r="I1912" s="3353"/>
      <c r="J1912" s="3353"/>
      <c r="K1912" s="3353"/>
      <c r="L1912" s="3353"/>
      <c r="M1912" s="3353"/>
      <c r="N1912" s="3353"/>
      <c r="O1912" s="3353"/>
      <c r="P1912" s="3353"/>
      <c r="Q1912" s="3353"/>
      <c r="R1912" s="3353"/>
      <c r="S1912" s="3353"/>
      <c r="T1912" s="3353"/>
      <c r="U1912" s="3353"/>
      <c r="V1912" s="3353"/>
      <c r="W1912" s="3353"/>
      <c r="X1912" s="3353"/>
      <c r="Y1912" s="3353"/>
      <c r="Z1912" s="3353"/>
      <c r="AA1912" s="3353"/>
      <c r="AB1912" s="3353"/>
      <c r="AC1912" s="3353"/>
      <c r="AD1912" s="3353"/>
      <c r="AE1912" s="3353"/>
      <c r="AF1912" s="3353"/>
      <c r="AG1912" s="3353"/>
      <c r="AH1912" s="3353"/>
      <c r="AI1912" s="3353"/>
      <c r="AJ1912" s="3353"/>
      <c r="AK1912" s="3353"/>
      <c r="AL1912" s="3353"/>
    </row>
    <row r="1913" spans="1:38" s="3309" customFormat="1" ht="15.75" x14ac:dyDescent="0.25">
      <c r="A1913" s="3432" t="s">
        <v>2745</v>
      </c>
      <c r="B1913" s="3431" t="e">
        <f t="shared" ref="B1913:G1913" si="1070">((B1416*B1417)/(B1418*B1400*B1401*B1406*B1405))*B1780</f>
        <v>#VALUE!</v>
      </c>
      <c r="C1913" s="3431" t="e">
        <f t="shared" si="1070"/>
        <v>#DIV/0!</v>
      </c>
      <c r="D1913" s="3431" t="e">
        <f t="shared" si="1070"/>
        <v>#DIV/0!</v>
      </c>
      <c r="E1913" s="3431" t="e">
        <f t="shared" si="1070"/>
        <v>#DIV/0!</v>
      </c>
      <c r="F1913" s="3431" t="e">
        <f t="shared" si="1070"/>
        <v>#DIV/0!</v>
      </c>
      <c r="G1913" s="3431" t="e">
        <f t="shared" si="1070"/>
        <v>#DIV/0!</v>
      </c>
      <c r="H1913" s="3353"/>
      <c r="I1913" s="3353"/>
      <c r="J1913" s="3353"/>
      <c r="K1913" s="3353"/>
      <c r="L1913" s="3353"/>
      <c r="M1913" s="3353"/>
      <c r="N1913" s="3353"/>
      <c r="O1913" s="3353"/>
      <c r="P1913" s="3353"/>
      <c r="Q1913" s="3353"/>
      <c r="R1913" s="3353"/>
      <c r="S1913" s="3353"/>
      <c r="T1913" s="3353"/>
      <c r="U1913" s="3353"/>
      <c r="V1913" s="3353"/>
      <c r="W1913" s="3353"/>
      <c r="X1913" s="3353"/>
      <c r="Y1913" s="3353"/>
      <c r="Z1913" s="3353"/>
      <c r="AA1913" s="3353"/>
      <c r="AB1913" s="3353"/>
      <c r="AC1913" s="3353"/>
      <c r="AD1913" s="3353"/>
      <c r="AE1913" s="3353"/>
      <c r="AF1913" s="3353"/>
      <c r="AG1913" s="3353"/>
      <c r="AH1913" s="3353"/>
      <c r="AI1913" s="3353"/>
      <c r="AJ1913" s="3353"/>
      <c r="AK1913" s="3353"/>
      <c r="AL1913" s="3353"/>
    </row>
    <row r="1914" spans="1:38" s="3309" customFormat="1" ht="15.75" x14ac:dyDescent="0.25">
      <c r="A1914" s="3432" t="s">
        <v>2746</v>
      </c>
      <c r="B1914" s="3431" t="e">
        <f t="shared" ref="B1914:G1914" si="1071">IF(B1432=1,(27.458*B1433-48.908)*B1913,0)</f>
        <v>#VALUE!</v>
      </c>
      <c r="C1914" s="3431">
        <f t="shared" si="1071"/>
        <v>0</v>
      </c>
      <c r="D1914" s="3431">
        <f t="shared" si="1071"/>
        <v>0</v>
      </c>
      <c r="E1914" s="3431">
        <f t="shared" si="1071"/>
        <v>0</v>
      </c>
      <c r="F1914" s="3431">
        <f t="shared" si="1071"/>
        <v>0</v>
      </c>
      <c r="G1914" s="3431">
        <f t="shared" si="1071"/>
        <v>0</v>
      </c>
      <c r="H1914" s="3353"/>
      <c r="I1914" s="3353"/>
      <c r="J1914" s="3353"/>
      <c r="K1914" s="3353"/>
      <c r="L1914" s="3353"/>
      <c r="M1914" s="3353"/>
      <c r="N1914" s="3353"/>
      <c r="O1914" s="3353"/>
      <c r="P1914" s="3353"/>
      <c r="Q1914" s="3353"/>
      <c r="R1914" s="3353"/>
      <c r="S1914" s="3353"/>
      <c r="T1914" s="3353"/>
      <c r="U1914" s="3353"/>
      <c r="V1914" s="3353"/>
      <c r="W1914" s="3353"/>
      <c r="X1914" s="3353"/>
      <c r="Y1914" s="3353"/>
      <c r="Z1914" s="3353"/>
      <c r="AA1914" s="3353"/>
      <c r="AB1914" s="3353"/>
      <c r="AC1914" s="3353"/>
      <c r="AD1914" s="3353"/>
      <c r="AE1914" s="3353"/>
      <c r="AF1914" s="3353"/>
      <c r="AG1914" s="3353"/>
      <c r="AH1914" s="3353"/>
      <c r="AI1914" s="3353"/>
      <c r="AJ1914" s="3353"/>
      <c r="AK1914" s="3353"/>
      <c r="AL1914" s="3353"/>
    </row>
    <row r="1915" spans="1:38" s="3309" customFormat="1" x14ac:dyDescent="0.2">
      <c r="A1915" s="3425" t="s">
        <v>478</v>
      </c>
      <c r="B1915" s="3379"/>
      <c r="C1915" s="3412"/>
      <c r="D1915" s="3412"/>
      <c r="E1915" s="3412"/>
      <c r="F1915" s="3412"/>
      <c r="G1915" s="3353"/>
      <c r="H1915" s="3353"/>
      <c r="I1915" s="3353"/>
      <c r="J1915" s="3353"/>
      <c r="K1915" s="3353"/>
      <c r="L1915" s="3353"/>
      <c r="M1915" s="3353"/>
      <c r="N1915" s="3353"/>
      <c r="O1915" s="3353"/>
      <c r="P1915" s="3353"/>
      <c r="Q1915" s="3353"/>
      <c r="R1915" s="3353"/>
      <c r="S1915" s="3353"/>
      <c r="T1915" s="3353"/>
      <c r="U1915" s="3353"/>
      <c r="V1915" s="3353"/>
      <c r="W1915" s="3353"/>
      <c r="X1915" s="3353"/>
      <c r="Y1915" s="3353"/>
      <c r="Z1915" s="3353"/>
      <c r="AA1915" s="3353"/>
      <c r="AB1915" s="3353"/>
      <c r="AC1915" s="3353"/>
      <c r="AD1915" s="3353"/>
      <c r="AE1915" s="3353"/>
      <c r="AF1915" s="3353"/>
      <c r="AG1915" s="3353"/>
      <c r="AH1915" s="3353"/>
      <c r="AI1915" s="3353"/>
      <c r="AJ1915" s="3353"/>
      <c r="AK1915" s="3353"/>
      <c r="AL1915" s="3353"/>
    </row>
    <row r="1916" spans="1:38" s="3309" customFormat="1" x14ac:dyDescent="0.2">
      <c r="A1916" s="3430" t="s">
        <v>479</v>
      </c>
      <c r="B1916" s="3429">
        <f t="shared" ref="B1916:G1917" si="1072">B1282</f>
        <v>2</v>
      </c>
      <c r="C1916" s="3429">
        <f t="shared" si="1072"/>
        <v>0</v>
      </c>
      <c r="D1916" s="3429">
        <f t="shared" si="1072"/>
        <v>0</v>
      </c>
      <c r="E1916" s="3429">
        <f t="shared" si="1072"/>
        <v>0</v>
      </c>
      <c r="F1916" s="3429">
        <f t="shared" si="1072"/>
        <v>0</v>
      </c>
      <c r="G1916" s="3429">
        <f t="shared" si="1072"/>
        <v>0</v>
      </c>
      <c r="H1916" s="3353"/>
      <c r="I1916" s="3353"/>
      <c r="J1916" s="3353"/>
      <c r="K1916" s="3353"/>
      <c r="L1916" s="3353"/>
      <c r="M1916" s="3353"/>
      <c r="N1916" s="3353"/>
      <c r="O1916" s="3353"/>
      <c r="P1916" s="3353"/>
      <c r="Q1916" s="3353"/>
      <c r="R1916" s="3353"/>
      <c r="S1916" s="3353"/>
      <c r="T1916" s="3353"/>
      <c r="U1916" s="3353"/>
      <c r="V1916" s="3353"/>
      <c r="W1916" s="3353"/>
      <c r="X1916" s="3353"/>
      <c r="Y1916" s="3353"/>
      <c r="Z1916" s="3353"/>
      <c r="AA1916" s="3353"/>
      <c r="AB1916" s="3353"/>
      <c r="AC1916" s="3353"/>
      <c r="AD1916" s="3353"/>
      <c r="AE1916" s="3353"/>
      <c r="AF1916" s="3353"/>
      <c r="AG1916" s="3353"/>
      <c r="AH1916" s="3353"/>
      <c r="AI1916" s="3353"/>
      <c r="AJ1916" s="3353"/>
      <c r="AK1916" s="3353"/>
      <c r="AL1916" s="3353"/>
    </row>
    <row r="1917" spans="1:38" s="3309" customFormat="1" x14ac:dyDescent="0.2">
      <c r="A1917" s="3430" t="s">
        <v>3394</v>
      </c>
      <c r="B1917" s="3429">
        <f t="shared" si="1072"/>
        <v>1</v>
      </c>
      <c r="C1917" s="3429">
        <f t="shared" si="1072"/>
        <v>1</v>
      </c>
      <c r="D1917" s="3429">
        <f t="shared" si="1072"/>
        <v>1</v>
      </c>
      <c r="E1917" s="3429">
        <f t="shared" si="1072"/>
        <v>1</v>
      </c>
      <c r="F1917" s="3429">
        <f t="shared" si="1072"/>
        <v>1</v>
      </c>
      <c r="G1917" s="3429">
        <f t="shared" si="1072"/>
        <v>1</v>
      </c>
      <c r="H1917" s="3353"/>
      <c r="I1917" s="3353"/>
      <c r="J1917" s="3353"/>
      <c r="K1917" s="3353"/>
      <c r="L1917" s="3353"/>
      <c r="M1917" s="3353"/>
      <c r="N1917" s="3353"/>
      <c r="O1917" s="3353"/>
      <c r="P1917" s="3353"/>
      <c r="Q1917" s="3353"/>
      <c r="R1917" s="3353"/>
      <c r="S1917" s="3353"/>
      <c r="T1917" s="3353"/>
      <c r="U1917" s="3353"/>
      <c r="V1917" s="3353"/>
      <c r="W1917" s="3353"/>
      <c r="X1917" s="3353"/>
      <c r="Y1917" s="3353"/>
      <c r="Z1917" s="3353"/>
      <c r="AA1917" s="3353"/>
      <c r="AB1917" s="3353"/>
      <c r="AC1917" s="3353"/>
      <c r="AD1917" s="3353"/>
      <c r="AE1917" s="3353"/>
      <c r="AF1917" s="3353"/>
      <c r="AG1917" s="3353"/>
      <c r="AH1917" s="3353"/>
      <c r="AI1917" s="3353"/>
      <c r="AJ1917" s="3353"/>
      <c r="AK1917" s="3353"/>
      <c r="AL1917" s="3353"/>
    </row>
    <row r="1918" spans="1:38" s="3309" customFormat="1" x14ac:dyDescent="0.2">
      <c r="A1918" s="3411" t="s">
        <v>3395</v>
      </c>
      <c r="B1918" s="3379" t="e">
        <f t="shared" ref="B1918:G1918" si="1073">(B1400*B743*B1917/B1726)*B1401/B1916</f>
        <v>#VALUE!</v>
      </c>
      <c r="C1918" s="3379" t="e">
        <f t="shared" si="1073"/>
        <v>#DIV/0!</v>
      </c>
      <c r="D1918" s="3379" t="e">
        <f t="shared" si="1073"/>
        <v>#DIV/0!</v>
      </c>
      <c r="E1918" s="3379" t="e">
        <f t="shared" si="1073"/>
        <v>#DIV/0!</v>
      </c>
      <c r="F1918" s="3379" t="e">
        <f t="shared" si="1073"/>
        <v>#DIV/0!</v>
      </c>
      <c r="G1918" s="3379" t="e">
        <f t="shared" si="1073"/>
        <v>#DIV/0!</v>
      </c>
      <c r="H1918" s="3353"/>
      <c r="I1918" s="3353"/>
      <c r="J1918" s="3353"/>
      <c r="K1918" s="3353"/>
      <c r="L1918" s="3353"/>
      <c r="M1918" s="3353"/>
      <c r="N1918" s="3353"/>
      <c r="O1918" s="3353"/>
      <c r="P1918" s="3353"/>
      <c r="Q1918" s="3353"/>
      <c r="R1918" s="3353"/>
      <c r="S1918" s="3353"/>
      <c r="T1918" s="3353"/>
      <c r="U1918" s="3353"/>
      <c r="V1918" s="3353"/>
      <c r="W1918" s="3353"/>
      <c r="X1918" s="3353"/>
      <c r="Y1918" s="3353"/>
      <c r="Z1918" s="3353"/>
      <c r="AA1918" s="3353"/>
      <c r="AB1918" s="3353"/>
      <c r="AC1918" s="3353"/>
      <c r="AD1918" s="3353"/>
      <c r="AE1918" s="3353"/>
      <c r="AF1918" s="3353"/>
      <c r="AG1918" s="3353"/>
      <c r="AH1918" s="3353"/>
      <c r="AI1918" s="3353"/>
      <c r="AJ1918" s="3353"/>
      <c r="AK1918" s="3353"/>
      <c r="AL1918" s="3353"/>
    </row>
    <row r="1919" spans="1:38" s="3309" customFormat="1" x14ac:dyDescent="0.2">
      <c r="A1919" s="3418" t="s">
        <v>3396</v>
      </c>
      <c r="B1919" s="3429">
        <f t="shared" ref="B1919:G1919" si="1074">B1285</f>
        <v>9</v>
      </c>
      <c r="C1919" s="3429">
        <f t="shared" si="1074"/>
        <v>9</v>
      </c>
      <c r="D1919" s="3429">
        <f t="shared" si="1074"/>
        <v>9</v>
      </c>
      <c r="E1919" s="3429">
        <f t="shared" si="1074"/>
        <v>9</v>
      </c>
      <c r="F1919" s="3429">
        <f t="shared" si="1074"/>
        <v>9</v>
      </c>
      <c r="G1919" s="3429">
        <f t="shared" si="1074"/>
        <v>9</v>
      </c>
      <c r="H1919" s="3353"/>
      <c r="I1919" s="3353"/>
      <c r="J1919" s="3353"/>
      <c r="K1919" s="3353"/>
      <c r="L1919" s="3353"/>
      <c r="M1919" s="3353"/>
      <c r="N1919" s="3353"/>
      <c r="O1919" s="3353"/>
      <c r="P1919" s="3353"/>
      <c r="Q1919" s="3353"/>
      <c r="R1919" s="3353"/>
      <c r="S1919" s="3353"/>
      <c r="T1919" s="3353"/>
      <c r="U1919" s="3353"/>
      <c r="V1919" s="3353"/>
      <c r="W1919" s="3353"/>
      <c r="X1919" s="3353"/>
      <c r="Y1919" s="3353"/>
      <c r="Z1919" s="3353"/>
      <c r="AA1919" s="3353"/>
      <c r="AB1919" s="3353"/>
      <c r="AC1919" s="3353"/>
      <c r="AD1919" s="3353"/>
      <c r="AE1919" s="3353"/>
      <c r="AF1919" s="3353"/>
      <c r="AG1919" s="3353"/>
      <c r="AH1919" s="3353"/>
      <c r="AI1919" s="3353"/>
      <c r="AJ1919" s="3353"/>
      <c r="AK1919" s="3353"/>
      <c r="AL1919" s="3353"/>
    </row>
    <row r="1920" spans="1:38" s="3309" customFormat="1" x14ac:dyDescent="0.2">
      <c r="A1920" s="3411" t="s">
        <v>6037</v>
      </c>
      <c r="B1920" s="3417" t="e">
        <f t="shared" ref="B1920:G1920" si="1075">B1918*B1919</f>
        <v>#VALUE!</v>
      </c>
      <c r="C1920" s="3417" t="e">
        <f t="shared" si="1075"/>
        <v>#DIV/0!</v>
      </c>
      <c r="D1920" s="3417" t="e">
        <f t="shared" si="1075"/>
        <v>#DIV/0!</v>
      </c>
      <c r="E1920" s="3417" t="e">
        <f t="shared" si="1075"/>
        <v>#DIV/0!</v>
      </c>
      <c r="F1920" s="3417" t="e">
        <f t="shared" si="1075"/>
        <v>#DIV/0!</v>
      </c>
      <c r="G1920" s="3417" t="e">
        <f t="shared" si="1075"/>
        <v>#DIV/0!</v>
      </c>
      <c r="H1920" s="3353"/>
      <c r="I1920" s="3353"/>
      <c r="J1920" s="3353"/>
      <c r="K1920" s="3353"/>
      <c r="L1920" s="3353"/>
      <c r="M1920" s="3353"/>
      <c r="N1920" s="3353"/>
      <c r="O1920" s="3353"/>
      <c r="P1920" s="3353"/>
      <c r="Q1920" s="3353"/>
      <c r="R1920" s="3353"/>
      <c r="S1920" s="3353"/>
      <c r="T1920" s="3353"/>
      <c r="U1920" s="3353"/>
      <c r="V1920" s="3353"/>
      <c r="W1920" s="3353"/>
      <c r="X1920" s="3353"/>
      <c r="Y1920" s="3353"/>
      <c r="Z1920" s="3353"/>
      <c r="AA1920" s="3353"/>
      <c r="AB1920" s="3353"/>
      <c r="AC1920" s="3353"/>
      <c r="AD1920" s="3353"/>
      <c r="AE1920" s="3353"/>
      <c r="AF1920" s="3353"/>
      <c r="AG1920" s="3353"/>
      <c r="AH1920" s="3353"/>
      <c r="AI1920" s="3353"/>
      <c r="AJ1920" s="3353"/>
      <c r="AK1920" s="3353"/>
      <c r="AL1920" s="3353"/>
    </row>
    <row r="1921" spans="1:38" s="3309" customFormat="1" x14ac:dyDescent="0.2">
      <c r="A1921" s="3309" t="s">
        <v>5961</v>
      </c>
      <c r="B1921" s="3323" t="e">
        <f t="shared" ref="B1921:G1921" si="1076">B1417*B1416/(B1418*B1400*B1401*B1405*B1406)</f>
        <v>#VALUE!</v>
      </c>
      <c r="C1921" s="3323" t="e">
        <f t="shared" si="1076"/>
        <v>#DIV/0!</v>
      </c>
      <c r="D1921" s="3323" t="e">
        <f t="shared" si="1076"/>
        <v>#DIV/0!</v>
      </c>
      <c r="E1921" s="3323" t="e">
        <f t="shared" si="1076"/>
        <v>#DIV/0!</v>
      </c>
      <c r="F1921" s="3323" t="e">
        <f t="shared" si="1076"/>
        <v>#DIV/0!</v>
      </c>
      <c r="G1921" s="3323" t="e">
        <f t="shared" si="1076"/>
        <v>#DIV/0!</v>
      </c>
      <c r="H1921" s="3353"/>
      <c r="I1921" s="3353"/>
      <c r="J1921" s="3353"/>
      <c r="K1921" s="3353"/>
      <c r="L1921" s="3353"/>
      <c r="M1921" s="3353"/>
      <c r="N1921" s="3353"/>
      <c r="O1921" s="3353"/>
      <c r="P1921" s="3353"/>
      <c r="Q1921" s="3353"/>
      <c r="R1921" s="3353"/>
      <c r="S1921" s="3353"/>
      <c r="T1921" s="3353"/>
      <c r="U1921" s="3353"/>
      <c r="V1921" s="3353"/>
      <c r="W1921" s="3353"/>
      <c r="X1921" s="3353"/>
      <c r="Y1921" s="3353"/>
      <c r="Z1921" s="3353"/>
      <c r="AA1921" s="3353"/>
      <c r="AB1921" s="3353"/>
      <c r="AC1921" s="3353"/>
      <c r="AD1921" s="3353"/>
      <c r="AE1921" s="3353"/>
      <c r="AF1921" s="3353"/>
      <c r="AG1921" s="3353"/>
      <c r="AH1921" s="3353"/>
      <c r="AI1921" s="3353"/>
      <c r="AJ1921" s="3353"/>
      <c r="AK1921" s="3353"/>
      <c r="AL1921" s="3353"/>
    </row>
    <row r="1922" spans="1:38" s="3309" customFormat="1" x14ac:dyDescent="0.2">
      <c r="A1922" s="3309" t="s">
        <v>6036</v>
      </c>
      <c r="B1922" s="3323" t="e">
        <f t="shared" ref="B1922:G1922" si="1077">B1920*B1921</f>
        <v>#VALUE!</v>
      </c>
      <c r="C1922" s="3323" t="e">
        <f t="shared" si="1077"/>
        <v>#DIV/0!</v>
      </c>
      <c r="D1922" s="3323" t="e">
        <f t="shared" si="1077"/>
        <v>#DIV/0!</v>
      </c>
      <c r="E1922" s="3323" t="e">
        <f t="shared" si="1077"/>
        <v>#DIV/0!</v>
      </c>
      <c r="F1922" s="3323" t="e">
        <f t="shared" si="1077"/>
        <v>#DIV/0!</v>
      </c>
      <c r="G1922" s="3323" t="e">
        <f t="shared" si="1077"/>
        <v>#DIV/0!</v>
      </c>
      <c r="H1922" s="3353"/>
      <c r="I1922" s="3353"/>
      <c r="J1922" s="3353"/>
      <c r="K1922" s="3353"/>
      <c r="L1922" s="3353"/>
      <c r="M1922" s="3353"/>
      <c r="N1922" s="3353"/>
      <c r="O1922" s="3353"/>
      <c r="P1922" s="3353"/>
      <c r="Q1922" s="3353"/>
      <c r="R1922" s="3353"/>
      <c r="S1922" s="3353"/>
      <c r="T1922" s="3353"/>
      <c r="U1922" s="3353"/>
      <c r="V1922" s="3353"/>
      <c r="W1922" s="3353"/>
      <c r="X1922" s="3353"/>
      <c r="Y1922" s="3353"/>
      <c r="Z1922" s="3353"/>
      <c r="AA1922" s="3353"/>
      <c r="AB1922" s="3353"/>
      <c r="AC1922" s="3353"/>
      <c r="AD1922" s="3353"/>
      <c r="AE1922" s="3353"/>
      <c r="AF1922" s="3353"/>
      <c r="AG1922" s="3353"/>
      <c r="AH1922" s="3353"/>
      <c r="AI1922" s="3353"/>
      <c r="AJ1922" s="3353"/>
      <c r="AK1922" s="3353"/>
      <c r="AL1922" s="3353"/>
    </row>
    <row r="1923" spans="1:38" s="3309" customFormat="1" x14ac:dyDescent="0.2">
      <c r="A1923" s="3401" t="s">
        <v>6035</v>
      </c>
      <c r="B1923" s="3404">
        <f t="shared" ref="B1923:G1923" si="1078">IF(B1419=2,B1922,0)</f>
        <v>0</v>
      </c>
      <c r="C1923" s="3404">
        <f t="shared" si="1078"/>
        <v>0</v>
      </c>
      <c r="D1923" s="3404">
        <f t="shared" si="1078"/>
        <v>0</v>
      </c>
      <c r="E1923" s="3404">
        <f t="shared" si="1078"/>
        <v>0</v>
      </c>
      <c r="F1923" s="3404">
        <f t="shared" si="1078"/>
        <v>0</v>
      </c>
      <c r="G1923" s="3404">
        <f t="shared" si="1078"/>
        <v>0</v>
      </c>
      <c r="H1923" s="3353"/>
      <c r="I1923" s="3353"/>
      <c r="J1923" s="3353"/>
      <c r="K1923" s="3353"/>
      <c r="L1923" s="3353"/>
      <c r="M1923" s="3353"/>
      <c r="N1923" s="3353"/>
      <c r="O1923" s="3353"/>
      <c r="P1923" s="3353"/>
      <c r="Q1923" s="3353"/>
      <c r="R1923" s="3353"/>
      <c r="S1923" s="3353"/>
      <c r="T1923" s="3353"/>
      <c r="U1923" s="3353"/>
      <c r="V1923" s="3353"/>
      <c r="W1923" s="3353"/>
      <c r="X1923" s="3353"/>
      <c r="Y1923" s="3353"/>
      <c r="Z1923" s="3353"/>
      <c r="AA1923" s="3353"/>
      <c r="AB1923" s="3353"/>
      <c r="AC1923" s="3353"/>
      <c r="AD1923" s="3353"/>
      <c r="AE1923" s="3353"/>
      <c r="AF1923" s="3353"/>
      <c r="AG1923" s="3353"/>
      <c r="AH1923" s="3353"/>
      <c r="AI1923" s="3353"/>
      <c r="AJ1923" s="3353"/>
      <c r="AK1923" s="3353"/>
      <c r="AL1923" s="3353"/>
    </row>
    <row r="1924" spans="1:38" s="3309" customFormat="1" x14ac:dyDescent="0.2">
      <c r="A1924" s="3425" t="s">
        <v>3399</v>
      </c>
      <c r="B1924" s="3417"/>
      <c r="C1924" s="3417"/>
      <c r="D1924" s="3417"/>
      <c r="E1924" s="3417"/>
      <c r="F1924" s="3417"/>
      <c r="G1924" s="3353"/>
      <c r="H1924" s="3353"/>
      <c r="I1924" s="3353"/>
      <c r="J1924" s="3353"/>
      <c r="K1924" s="3353"/>
      <c r="L1924" s="3353"/>
      <c r="M1924" s="3353"/>
      <c r="N1924" s="3353"/>
      <c r="O1924" s="3353"/>
      <c r="P1924" s="3353"/>
      <c r="Q1924" s="3353"/>
      <c r="R1924" s="3353"/>
      <c r="S1924" s="3353"/>
      <c r="T1924" s="3353"/>
      <c r="U1924" s="3353"/>
      <c r="V1924" s="3353"/>
      <c r="W1924" s="3353"/>
      <c r="X1924" s="3353"/>
      <c r="Y1924" s="3353"/>
      <c r="Z1924" s="3353"/>
      <c r="AA1924" s="3353"/>
      <c r="AB1924" s="3353"/>
      <c r="AC1924" s="3353"/>
      <c r="AD1924" s="3353"/>
      <c r="AE1924" s="3353"/>
      <c r="AF1924" s="3353"/>
      <c r="AG1924" s="3353"/>
      <c r="AH1924" s="3353"/>
      <c r="AI1924" s="3353"/>
      <c r="AJ1924" s="3353"/>
      <c r="AK1924" s="3353"/>
      <c r="AL1924" s="3353"/>
    </row>
    <row r="1925" spans="1:38" s="3309" customFormat="1" x14ac:dyDescent="0.2">
      <c r="A1925" s="3411" t="s">
        <v>3400</v>
      </c>
      <c r="B1925" s="3417" t="e">
        <f t="shared" ref="B1925:G1925" si="1079">(B1400*B743/B1726)*B1401/B1916</f>
        <v>#VALUE!</v>
      </c>
      <c r="C1925" s="3417" t="e">
        <f t="shared" si="1079"/>
        <v>#DIV/0!</v>
      </c>
      <c r="D1925" s="3417" t="e">
        <f t="shared" si="1079"/>
        <v>#DIV/0!</v>
      </c>
      <c r="E1925" s="3417" t="e">
        <f t="shared" si="1079"/>
        <v>#DIV/0!</v>
      </c>
      <c r="F1925" s="3417" t="e">
        <f t="shared" si="1079"/>
        <v>#DIV/0!</v>
      </c>
      <c r="G1925" s="3417" t="e">
        <f t="shared" si="1079"/>
        <v>#DIV/0!</v>
      </c>
      <c r="H1925" s="3353"/>
      <c r="I1925" s="3353"/>
      <c r="J1925" s="3353"/>
      <c r="K1925" s="3353"/>
      <c r="L1925" s="3353"/>
      <c r="M1925" s="3353"/>
      <c r="N1925" s="3353"/>
      <c r="O1925" s="3353"/>
      <c r="P1925" s="3353"/>
      <c r="Q1925" s="3353"/>
      <c r="R1925" s="3353"/>
      <c r="S1925" s="3353"/>
      <c r="T1925" s="3353"/>
      <c r="U1925" s="3353"/>
      <c r="V1925" s="3353"/>
      <c r="W1925" s="3353"/>
      <c r="X1925" s="3353"/>
      <c r="Y1925" s="3353"/>
      <c r="Z1925" s="3353"/>
      <c r="AA1925" s="3353"/>
      <c r="AB1925" s="3353"/>
      <c r="AC1925" s="3353"/>
      <c r="AD1925" s="3353"/>
      <c r="AE1925" s="3353"/>
      <c r="AF1925" s="3353"/>
      <c r="AG1925" s="3353"/>
      <c r="AH1925" s="3353"/>
      <c r="AI1925" s="3353"/>
      <c r="AJ1925" s="3353"/>
      <c r="AK1925" s="3353"/>
      <c r="AL1925" s="3353"/>
    </row>
    <row r="1926" spans="1:38" s="3309" customFormat="1" x14ac:dyDescent="0.2">
      <c r="A1926" s="3418" t="s">
        <v>3401</v>
      </c>
      <c r="B1926" s="3429">
        <f t="shared" ref="B1926:G1926" si="1080">B1292</f>
        <v>3</v>
      </c>
      <c r="C1926" s="3429">
        <f t="shared" si="1080"/>
        <v>3</v>
      </c>
      <c r="D1926" s="3429">
        <f t="shared" si="1080"/>
        <v>3</v>
      </c>
      <c r="E1926" s="3429">
        <f t="shared" si="1080"/>
        <v>3</v>
      </c>
      <c r="F1926" s="3429">
        <f t="shared" si="1080"/>
        <v>3</v>
      </c>
      <c r="G1926" s="3429">
        <f t="shared" si="1080"/>
        <v>3</v>
      </c>
      <c r="H1926" s="3353"/>
      <c r="I1926" s="3353"/>
      <c r="J1926" s="3353"/>
      <c r="K1926" s="3353"/>
      <c r="L1926" s="3353"/>
      <c r="M1926" s="3353"/>
      <c r="N1926" s="3353"/>
      <c r="O1926" s="3353"/>
      <c r="P1926" s="3353"/>
      <c r="Q1926" s="3353"/>
      <c r="R1926" s="3353"/>
      <c r="S1926" s="3353"/>
      <c r="T1926" s="3353"/>
      <c r="U1926" s="3353"/>
      <c r="V1926" s="3353"/>
      <c r="W1926" s="3353"/>
      <c r="X1926" s="3353"/>
      <c r="Y1926" s="3353"/>
      <c r="Z1926" s="3353"/>
      <c r="AA1926" s="3353"/>
      <c r="AB1926" s="3353"/>
      <c r="AC1926" s="3353"/>
      <c r="AD1926" s="3353"/>
      <c r="AE1926" s="3353"/>
      <c r="AF1926" s="3353"/>
      <c r="AG1926" s="3353"/>
      <c r="AH1926" s="3353"/>
      <c r="AI1926" s="3353"/>
      <c r="AJ1926" s="3353"/>
      <c r="AK1926" s="3353"/>
      <c r="AL1926" s="3353"/>
    </row>
    <row r="1927" spans="1:38" s="3309" customFormat="1" x14ac:dyDescent="0.2">
      <c r="A1927" s="3411" t="s">
        <v>3402</v>
      </c>
      <c r="B1927" s="3417" t="e">
        <f t="shared" ref="B1927:G1927" si="1081">B1925*B1926</f>
        <v>#VALUE!</v>
      </c>
      <c r="C1927" s="3417" t="e">
        <f t="shared" si="1081"/>
        <v>#DIV/0!</v>
      </c>
      <c r="D1927" s="3417" t="e">
        <f t="shared" si="1081"/>
        <v>#DIV/0!</v>
      </c>
      <c r="E1927" s="3417" t="e">
        <f t="shared" si="1081"/>
        <v>#DIV/0!</v>
      </c>
      <c r="F1927" s="3417" t="e">
        <f t="shared" si="1081"/>
        <v>#DIV/0!</v>
      </c>
      <c r="G1927" s="3417" t="e">
        <f t="shared" si="1081"/>
        <v>#DIV/0!</v>
      </c>
      <c r="H1927" s="3353"/>
      <c r="I1927" s="3353"/>
      <c r="J1927" s="3353"/>
      <c r="K1927" s="3353"/>
      <c r="L1927" s="3353"/>
      <c r="M1927" s="3353"/>
      <c r="N1927" s="3353"/>
      <c r="O1927" s="3353"/>
      <c r="P1927" s="3353"/>
      <c r="Q1927" s="3353"/>
      <c r="R1927" s="3353"/>
      <c r="S1927" s="3353"/>
      <c r="T1927" s="3353"/>
      <c r="U1927" s="3353"/>
      <c r="V1927" s="3353"/>
      <c r="W1927" s="3353"/>
      <c r="X1927" s="3353"/>
      <c r="Y1927" s="3353"/>
      <c r="Z1927" s="3353"/>
      <c r="AA1927" s="3353"/>
      <c r="AB1927" s="3353"/>
      <c r="AC1927" s="3353"/>
      <c r="AD1927" s="3353"/>
      <c r="AE1927" s="3353"/>
      <c r="AF1927" s="3353"/>
      <c r="AG1927" s="3353"/>
      <c r="AH1927" s="3353"/>
      <c r="AI1927" s="3353"/>
      <c r="AJ1927" s="3353"/>
      <c r="AK1927" s="3353"/>
      <c r="AL1927" s="3353"/>
    </row>
    <row r="1928" spans="1:38" s="3309" customFormat="1" x14ac:dyDescent="0.2">
      <c r="A1928" s="3323" t="s">
        <v>6034</v>
      </c>
      <c r="B1928" s="3323" t="e">
        <f t="shared" ref="B1928:G1928" si="1082">B1927*B1921</f>
        <v>#VALUE!</v>
      </c>
      <c r="C1928" s="3323" t="e">
        <f t="shared" si="1082"/>
        <v>#DIV/0!</v>
      </c>
      <c r="D1928" s="3323" t="e">
        <f t="shared" si="1082"/>
        <v>#DIV/0!</v>
      </c>
      <c r="E1928" s="3323" t="e">
        <f t="shared" si="1082"/>
        <v>#DIV/0!</v>
      </c>
      <c r="F1928" s="3323" t="e">
        <f t="shared" si="1082"/>
        <v>#DIV/0!</v>
      </c>
      <c r="G1928" s="3323" t="e">
        <f t="shared" si="1082"/>
        <v>#DIV/0!</v>
      </c>
      <c r="H1928" s="3353"/>
      <c r="I1928" s="3353"/>
      <c r="J1928" s="3353"/>
      <c r="K1928" s="3353"/>
      <c r="L1928" s="3353"/>
      <c r="M1928" s="3353"/>
      <c r="N1928" s="3353"/>
      <c r="O1928" s="3353"/>
      <c r="P1928" s="3353"/>
      <c r="Q1928" s="3353"/>
      <c r="R1928" s="3353"/>
      <c r="S1928" s="3353"/>
      <c r="T1928" s="3353"/>
      <c r="U1928" s="3353"/>
      <c r="V1928" s="3353"/>
      <c r="W1928" s="3353"/>
      <c r="X1928" s="3353"/>
      <c r="Y1928" s="3353"/>
      <c r="Z1928" s="3353"/>
      <c r="AA1928" s="3353"/>
      <c r="AB1928" s="3353"/>
      <c r="AC1928" s="3353"/>
      <c r="AD1928" s="3353"/>
      <c r="AE1928" s="3353"/>
      <c r="AF1928" s="3353"/>
      <c r="AG1928" s="3353"/>
      <c r="AH1928" s="3353"/>
      <c r="AI1928" s="3353"/>
      <c r="AJ1928" s="3353"/>
      <c r="AK1928" s="3353"/>
      <c r="AL1928" s="3353"/>
    </row>
    <row r="1929" spans="1:38" s="3309" customFormat="1" x14ac:dyDescent="0.2">
      <c r="A1929" s="3401" t="s">
        <v>6033</v>
      </c>
      <c r="B1929" s="3402">
        <f t="shared" ref="B1929:G1929" si="1083">IF(B1419=2,B1928,0)</f>
        <v>0</v>
      </c>
      <c r="C1929" s="3402">
        <f t="shared" si="1083"/>
        <v>0</v>
      </c>
      <c r="D1929" s="3402">
        <f t="shared" si="1083"/>
        <v>0</v>
      </c>
      <c r="E1929" s="3402">
        <f t="shared" si="1083"/>
        <v>0</v>
      </c>
      <c r="F1929" s="3402">
        <f t="shared" si="1083"/>
        <v>0</v>
      </c>
      <c r="G1929" s="3402">
        <f t="shared" si="1083"/>
        <v>0</v>
      </c>
      <c r="H1929" s="3353"/>
      <c r="I1929" s="3353"/>
      <c r="J1929" s="3353"/>
      <c r="K1929" s="3353"/>
      <c r="L1929" s="3353"/>
      <c r="M1929" s="3353"/>
      <c r="N1929" s="3353"/>
      <c r="O1929" s="3353"/>
      <c r="P1929" s="3353"/>
      <c r="Q1929" s="3353"/>
      <c r="R1929" s="3353"/>
      <c r="S1929" s="3353"/>
      <c r="T1929" s="3353"/>
      <c r="U1929" s="3353"/>
      <c r="V1929" s="3353"/>
      <c r="W1929" s="3353"/>
      <c r="X1929" s="3353"/>
      <c r="Y1929" s="3353"/>
      <c r="Z1929" s="3353"/>
      <c r="AA1929" s="3353"/>
      <c r="AB1929" s="3353"/>
      <c r="AC1929" s="3353"/>
      <c r="AD1929" s="3353"/>
      <c r="AE1929" s="3353"/>
      <c r="AF1929" s="3353"/>
      <c r="AG1929" s="3353"/>
      <c r="AH1929" s="3353"/>
      <c r="AI1929" s="3353"/>
      <c r="AJ1929" s="3353"/>
      <c r="AK1929" s="3353"/>
      <c r="AL1929" s="3353"/>
    </row>
    <row r="1930" spans="1:38" s="3309" customFormat="1" x14ac:dyDescent="0.2">
      <c r="A1930" s="3425" t="s">
        <v>3404</v>
      </c>
      <c r="B1930" s="3417"/>
      <c r="C1930" s="3417"/>
      <c r="D1930" s="3417"/>
      <c r="E1930" s="3417"/>
      <c r="F1930" s="3417"/>
      <c r="G1930" s="3353"/>
      <c r="H1930" s="3353"/>
      <c r="I1930" s="3353"/>
      <c r="J1930" s="3353"/>
      <c r="K1930" s="3353"/>
      <c r="L1930" s="3353"/>
      <c r="M1930" s="3353"/>
      <c r="N1930" s="3353"/>
      <c r="O1930" s="3353"/>
      <c r="P1930" s="3353"/>
      <c r="Q1930" s="3353"/>
      <c r="R1930" s="3353"/>
      <c r="S1930" s="3353"/>
      <c r="T1930" s="3353"/>
      <c r="U1930" s="3353"/>
      <c r="V1930" s="3353"/>
      <c r="W1930" s="3353"/>
      <c r="X1930" s="3353"/>
      <c r="Y1930" s="3353"/>
      <c r="Z1930" s="3353"/>
      <c r="AA1930" s="3353"/>
      <c r="AB1930" s="3353"/>
      <c r="AC1930" s="3353"/>
      <c r="AD1930" s="3353"/>
      <c r="AE1930" s="3353"/>
      <c r="AF1930" s="3353"/>
      <c r="AG1930" s="3353"/>
      <c r="AH1930" s="3353"/>
      <c r="AI1930" s="3353"/>
      <c r="AJ1930" s="3353"/>
      <c r="AK1930" s="3353"/>
      <c r="AL1930" s="3353"/>
    </row>
    <row r="1931" spans="1:38" s="3309" customFormat="1" x14ac:dyDescent="0.2">
      <c r="A1931" s="3410" t="s">
        <v>3405</v>
      </c>
      <c r="B1931" s="3428">
        <f t="shared" ref="B1931:G1932" si="1084">B1297</f>
        <v>20</v>
      </c>
      <c r="C1931" s="3428">
        <f t="shared" si="1084"/>
        <v>20</v>
      </c>
      <c r="D1931" s="3428">
        <f t="shared" si="1084"/>
        <v>20</v>
      </c>
      <c r="E1931" s="3428">
        <f t="shared" si="1084"/>
        <v>20</v>
      </c>
      <c r="F1931" s="3428">
        <f t="shared" si="1084"/>
        <v>20</v>
      </c>
      <c r="G1931" s="3428">
        <f t="shared" si="1084"/>
        <v>20</v>
      </c>
      <c r="H1931" s="3353"/>
      <c r="I1931" s="3353"/>
      <c r="J1931" s="3353"/>
      <c r="K1931" s="3353"/>
      <c r="L1931" s="3353"/>
      <c r="M1931" s="3353"/>
      <c r="N1931" s="3353"/>
      <c r="O1931" s="3353"/>
      <c r="P1931" s="3353"/>
      <c r="Q1931" s="3353"/>
      <c r="R1931" s="3353"/>
      <c r="S1931" s="3353"/>
      <c r="T1931" s="3353"/>
      <c r="U1931" s="3353"/>
      <c r="V1931" s="3353"/>
      <c r="W1931" s="3353"/>
      <c r="X1931" s="3353"/>
      <c r="Y1931" s="3353"/>
      <c r="Z1931" s="3353"/>
      <c r="AA1931" s="3353"/>
      <c r="AB1931" s="3353"/>
      <c r="AC1931" s="3353"/>
      <c r="AD1931" s="3353"/>
      <c r="AE1931" s="3353"/>
      <c r="AF1931" s="3353"/>
      <c r="AG1931" s="3353"/>
      <c r="AH1931" s="3353"/>
      <c r="AI1931" s="3353"/>
      <c r="AJ1931" s="3353"/>
      <c r="AK1931" s="3353"/>
      <c r="AL1931" s="3353"/>
    </row>
    <row r="1932" spans="1:38" s="3309" customFormat="1" x14ac:dyDescent="0.2">
      <c r="A1932" s="3410" t="s">
        <v>3406</v>
      </c>
      <c r="B1932" s="3428">
        <f t="shared" si="1084"/>
        <v>20</v>
      </c>
      <c r="C1932" s="3428">
        <f t="shared" si="1084"/>
        <v>20</v>
      </c>
      <c r="D1932" s="3428">
        <f t="shared" si="1084"/>
        <v>20</v>
      </c>
      <c r="E1932" s="3428">
        <f t="shared" si="1084"/>
        <v>20</v>
      </c>
      <c r="F1932" s="3428">
        <f t="shared" si="1084"/>
        <v>20</v>
      </c>
      <c r="G1932" s="3428">
        <f t="shared" si="1084"/>
        <v>20</v>
      </c>
      <c r="H1932" s="3353"/>
      <c r="I1932" s="3353"/>
      <c r="J1932" s="3353"/>
      <c r="K1932" s="3353"/>
      <c r="L1932" s="3353"/>
      <c r="M1932" s="3353"/>
      <c r="N1932" s="3353"/>
      <c r="O1932" s="3353"/>
      <c r="P1932" s="3353"/>
      <c r="Q1932" s="3353"/>
      <c r="R1932" s="3353"/>
      <c r="S1932" s="3353"/>
      <c r="T1932" s="3353"/>
      <c r="U1932" s="3353"/>
      <c r="V1932" s="3353"/>
      <c r="W1932" s="3353"/>
      <c r="X1932" s="3353"/>
      <c r="Y1932" s="3353"/>
      <c r="Z1932" s="3353"/>
      <c r="AA1932" s="3353"/>
      <c r="AB1932" s="3353"/>
      <c r="AC1932" s="3353"/>
      <c r="AD1932" s="3353"/>
      <c r="AE1932" s="3353"/>
      <c r="AF1932" s="3353"/>
      <c r="AG1932" s="3353"/>
      <c r="AH1932" s="3353"/>
      <c r="AI1932" s="3353"/>
      <c r="AJ1932" s="3353"/>
      <c r="AK1932" s="3353"/>
      <c r="AL1932" s="3353"/>
    </row>
    <row r="1933" spans="1:38" s="3309" customFormat="1" x14ac:dyDescent="0.2">
      <c r="A1933" s="3411" t="s">
        <v>6030</v>
      </c>
      <c r="B1933" s="3379">
        <f t="shared" ref="B1933:G1933" si="1085">B1931*B1932</f>
        <v>400</v>
      </c>
      <c r="C1933" s="3379">
        <f t="shared" si="1085"/>
        <v>400</v>
      </c>
      <c r="D1933" s="3379">
        <f t="shared" si="1085"/>
        <v>400</v>
      </c>
      <c r="E1933" s="3379">
        <f t="shared" si="1085"/>
        <v>400</v>
      </c>
      <c r="F1933" s="3379">
        <f t="shared" si="1085"/>
        <v>400</v>
      </c>
      <c r="G1933" s="3379">
        <f t="shared" si="1085"/>
        <v>400</v>
      </c>
      <c r="H1933" s="3353"/>
      <c r="I1933" s="3353"/>
      <c r="J1933" s="3353"/>
      <c r="K1933" s="3353"/>
      <c r="L1933" s="3353"/>
      <c r="M1933" s="3353"/>
      <c r="N1933" s="3353"/>
      <c r="O1933" s="3353"/>
      <c r="P1933" s="3353"/>
      <c r="Q1933" s="3353"/>
      <c r="R1933" s="3353"/>
      <c r="S1933" s="3353"/>
      <c r="T1933" s="3353"/>
      <c r="U1933" s="3353"/>
      <c r="V1933" s="3353"/>
      <c r="W1933" s="3353"/>
      <c r="X1933" s="3353"/>
      <c r="Y1933" s="3353"/>
      <c r="Z1933" s="3353"/>
      <c r="AA1933" s="3353"/>
      <c r="AB1933" s="3353"/>
      <c r="AC1933" s="3353"/>
      <c r="AD1933" s="3353"/>
      <c r="AE1933" s="3353"/>
      <c r="AF1933" s="3353"/>
      <c r="AG1933" s="3353"/>
      <c r="AH1933" s="3353"/>
      <c r="AI1933" s="3353"/>
      <c r="AJ1933" s="3353"/>
      <c r="AK1933" s="3353"/>
      <c r="AL1933" s="3353"/>
    </row>
    <row r="1934" spans="1:38" s="3309" customFormat="1" x14ac:dyDescent="0.2">
      <c r="A1934" s="3401" t="s">
        <v>6032</v>
      </c>
      <c r="B1934" s="3382">
        <f t="shared" ref="B1934:G1934" si="1086">IF(B1419=2,B1933,0)</f>
        <v>0</v>
      </c>
      <c r="C1934" s="3382">
        <f t="shared" si="1086"/>
        <v>0</v>
      </c>
      <c r="D1934" s="3382">
        <f t="shared" si="1086"/>
        <v>0</v>
      </c>
      <c r="E1934" s="3382">
        <f t="shared" si="1086"/>
        <v>0</v>
      </c>
      <c r="F1934" s="3382">
        <f t="shared" si="1086"/>
        <v>0</v>
      </c>
      <c r="G1934" s="3382">
        <f t="shared" si="1086"/>
        <v>0</v>
      </c>
      <c r="H1934" s="3353"/>
      <c r="I1934" s="3353"/>
      <c r="J1934" s="3353"/>
      <c r="K1934" s="3353"/>
      <c r="L1934" s="3353"/>
      <c r="M1934" s="3353"/>
      <c r="N1934" s="3353"/>
      <c r="O1934" s="3353"/>
      <c r="P1934" s="3353"/>
      <c r="Q1934" s="3353"/>
      <c r="R1934" s="3353"/>
      <c r="S1934" s="3353"/>
      <c r="T1934" s="3353"/>
      <c r="U1934" s="3353"/>
      <c r="V1934" s="3353"/>
      <c r="W1934" s="3353"/>
      <c r="X1934" s="3353"/>
      <c r="Y1934" s="3353"/>
      <c r="Z1934" s="3353"/>
      <c r="AA1934" s="3353"/>
      <c r="AB1934" s="3353"/>
      <c r="AC1934" s="3353"/>
      <c r="AD1934" s="3353"/>
      <c r="AE1934" s="3353"/>
      <c r="AF1934" s="3353"/>
      <c r="AG1934" s="3353"/>
      <c r="AH1934" s="3353"/>
      <c r="AI1934" s="3353"/>
      <c r="AJ1934" s="3353"/>
      <c r="AK1934" s="3353"/>
      <c r="AL1934" s="3353"/>
    </row>
    <row r="1935" spans="1:38" s="3309" customFormat="1" x14ac:dyDescent="0.2">
      <c r="A1935" s="3425" t="s">
        <v>3409</v>
      </c>
      <c r="B1935" s="3413"/>
      <c r="C1935" s="3413"/>
      <c r="D1935" s="3413"/>
      <c r="E1935" s="3413"/>
      <c r="F1935" s="3413"/>
      <c r="G1935" s="3353"/>
      <c r="H1935" s="3353"/>
      <c r="I1935" s="3353"/>
      <c r="J1935" s="3353"/>
      <c r="K1935" s="3353"/>
      <c r="L1935" s="3353"/>
      <c r="M1935" s="3353"/>
      <c r="N1935" s="3353"/>
      <c r="O1935" s="3353"/>
      <c r="P1935" s="3353"/>
      <c r="Q1935" s="3353"/>
      <c r="R1935" s="3353"/>
      <c r="S1935" s="3353"/>
      <c r="T1935" s="3353"/>
      <c r="U1935" s="3353"/>
      <c r="V1935" s="3353"/>
      <c r="W1935" s="3353"/>
      <c r="X1935" s="3353"/>
      <c r="Y1935" s="3353"/>
      <c r="Z1935" s="3353"/>
      <c r="AA1935" s="3353"/>
      <c r="AB1935" s="3353"/>
      <c r="AC1935" s="3353"/>
      <c r="AD1935" s="3353"/>
      <c r="AE1935" s="3353"/>
      <c r="AF1935" s="3353"/>
      <c r="AG1935" s="3353"/>
      <c r="AH1935" s="3353"/>
      <c r="AI1935" s="3353"/>
      <c r="AJ1935" s="3353"/>
      <c r="AK1935" s="3353"/>
      <c r="AL1935" s="3353"/>
    </row>
    <row r="1936" spans="1:38" s="3309" customFormat="1" x14ac:dyDescent="0.2">
      <c r="A1936" s="3410" t="s">
        <v>3405</v>
      </c>
      <c r="B1936" s="3428">
        <f t="shared" ref="B1936:G1937" si="1087">B1302</f>
        <v>10</v>
      </c>
      <c r="C1936" s="3428">
        <f t="shared" si="1087"/>
        <v>10</v>
      </c>
      <c r="D1936" s="3428">
        <f t="shared" si="1087"/>
        <v>10</v>
      </c>
      <c r="E1936" s="3428">
        <f t="shared" si="1087"/>
        <v>10</v>
      </c>
      <c r="F1936" s="3428">
        <f t="shared" si="1087"/>
        <v>10</v>
      </c>
      <c r="G1936" s="3428">
        <f t="shared" si="1087"/>
        <v>10</v>
      </c>
      <c r="H1936" s="3353"/>
      <c r="I1936" s="3353"/>
      <c r="J1936" s="3353"/>
      <c r="K1936" s="3353"/>
      <c r="L1936" s="3353"/>
      <c r="M1936" s="3353"/>
      <c r="N1936" s="3353"/>
      <c r="O1936" s="3353"/>
      <c r="P1936" s="3353"/>
      <c r="Q1936" s="3353"/>
      <c r="R1936" s="3353"/>
      <c r="S1936" s="3353"/>
      <c r="T1936" s="3353"/>
      <c r="U1936" s="3353"/>
      <c r="V1936" s="3353"/>
      <c r="W1936" s="3353"/>
      <c r="X1936" s="3353"/>
      <c r="Y1936" s="3353"/>
      <c r="Z1936" s="3353"/>
      <c r="AA1936" s="3353"/>
      <c r="AB1936" s="3353"/>
      <c r="AC1936" s="3353"/>
      <c r="AD1936" s="3353"/>
      <c r="AE1936" s="3353"/>
      <c r="AF1936" s="3353"/>
      <c r="AG1936" s="3353"/>
      <c r="AH1936" s="3353"/>
      <c r="AI1936" s="3353"/>
      <c r="AJ1936" s="3353"/>
      <c r="AK1936" s="3353"/>
      <c r="AL1936" s="3353"/>
    </row>
    <row r="1937" spans="1:38" s="3309" customFormat="1" x14ac:dyDescent="0.2">
      <c r="A1937" s="3410" t="s">
        <v>6031</v>
      </c>
      <c r="B1937" s="3428">
        <f t="shared" si="1087"/>
        <v>30</v>
      </c>
      <c r="C1937" s="3428">
        <f t="shared" si="1087"/>
        <v>30</v>
      </c>
      <c r="D1937" s="3428">
        <f t="shared" si="1087"/>
        <v>30</v>
      </c>
      <c r="E1937" s="3428">
        <f t="shared" si="1087"/>
        <v>30</v>
      </c>
      <c r="F1937" s="3428">
        <f t="shared" si="1087"/>
        <v>30</v>
      </c>
      <c r="G1937" s="3428">
        <f t="shared" si="1087"/>
        <v>30</v>
      </c>
      <c r="H1937" s="3353"/>
      <c r="I1937" s="3353"/>
      <c r="J1937" s="3353"/>
      <c r="K1937" s="3353"/>
      <c r="L1937" s="3353"/>
      <c r="M1937" s="3353"/>
      <c r="N1937" s="3353"/>
      <c r="O1937" s="3353"/>
      <c r="P1937" s="3353"/>
      <c r="Q1937" s="3353"/>
      <c r="R1937" s="3353"/>
      <c r="S1937" s="3353"/>
      <c r="T1937" s="3353"/>
      <c r="U1937" s="3353"/>
      <c r="V1937" s="3353"/>
      <c r="W1937" s="3353"/>
      <c r="X1937" s="3353"/>
      <c r="Y1937" s="3353"/>
      <c r="Z1937" s="3353"/>
      <c r="AA1937" s="3353"/>
      <c r="AB1937" s="3353"/>
      <c r="AC1937" s="3353"/>
      <c r="AD1937" s="3353"/>
      <c r="AE1937" s="3353"/>
      <c r="AF1937" s="3353"/>
      <c r="AG1937" s="3353"/>
      <c r="AH1937" s="3353"/>
      <c r="AI1937" s="3353"/>
      <c r="AJ1937" s="3353"/>
      <c r="AK1937" s="3353"/>
      <c r="AL1937" s="3353"/>
    </row>
    <row r="1938" spans="1:38" s="3309" customFormat="1" x14ac:dyDescent="0.2">
      <c r="A1938" s="3411" t="s">
        <v>6030</v>
      </c>
      <c r="B1938" s="3379">
        <f t="shared" ref="B1938:G1938" si="1088">B1936*B1937</f>
        <v>300</v>
      </c>
      <c r="C1938" s="3379">
        <f t="shared" si="1088"/>
        <v>300</v>
      </c>
      <c r="D1938" s="3379">
        <f t="shared" si="1088"/>
        <v>300</v>
      </c>
      <c r="E1938" s="3379">
        <f t="shared" si="1088"/>
        <v>300</v>
      </c>
      <c r="F1938" s="3379">
        <f t="shared" si="1088"/>
        <v>300</v>
      </c>
      <c r="G1938" s="3379">
        <f t="shared" si="1088"/>
        <v>300</v>
      </c>
      <c r="H1938" s="3353"/>
      <c r="I1938" s="3353"/>
      <c r="J1938" s="3353"/>
      <c r="K1938" s="3353"/>
      <c r="L1938" s="3353"/>
      <c r="M1938" s="3353"/>
      <c r="N1938" s="3353"/>
      <c r="O1938" s="3353"/>
      <c r="P1938" s="3353"/>
      <c r="Q1938" s="3353"/>
      <c r="R1938" s="3353"/>
      <c r="S1938" s="3353"/>
      <c r="T1938" s="3353"/>
      <c r="U1938" s="3353"/>
      <c r="V1938" s="3353"/>
      <c r="W1938" s="3353"/>
      <c r="X1938" s="3353"/>
      <c r="Y1938" s="3353"/>
      <c r="Z1938" s="3353"/>
      <c r="AA1938" s="3353"/>
      <c r="AB1938" s="3353"/>
      <c r="AC1938" s="3353"/>
      <c r="AD1938" s="3353"/>
      <c r="AE1938" s="3353"/>
      <c r="AF1938" s="3353"/>
      <c r="AG1938" s="3353"/>
      <c r="AH1938" s="3353"/>
      <c r="AI1938" s="3353"/>
      <c r="AJ1938" s="3353"/>
      <c r="AK1938" s="3353"/>
      <c r="AL1938" s="3353"/>
    </row>
    <row r="1939" spans="1:38" s="3309" customFormat="1" x14ac:dyDescent="0.2">
      <c r="A1939" s="3401" t="s">
        <v>6029</v>
      </c>
      <c r="B1939" s="3382">
        <f t="shared" ref="B1939:G1939" si="1089">IF(B1419=1,B1938,0)</f>
        <v>300</v>
      </c>
      <c r="C1939" s="3382">
        <f t="shared" si="1089"/>
        <v>0</v>
      </c>
      <c r="D1939" s="3382">
        <f t="shared" si="1089"/>
        <v>0</v>
      </c>
      <c r="E1939" s="3382">
        <f t="shared" si="1089"/>
        <v>0</v>
      </c>
      <c r="F1939" s="3382">
        <f t="shared" si="1089"/>
        <v>0</v>
      </c>
      <c r="G1939" s="3382">
        <f t="shared" si="1089"/>
        <v>0</v>
      </c>
      <c r="H1939" s="3353"/>
      <c r="I1939" s="3353"/>
      <c r="J1939" s="3353"/>
      <c r="K1939" s="3353"/>
      <c r="L1939" s="3353"/>
      <c r="M1939" s="3353"/>
      <c r="N1939" s="3353"/>
      <c r="O1939" s="3353"/>
      <c r="P1939" s="3353"/>
      <c r="Q1939" s="3353"/>
      <c r="R1939" s="3353"/>
      <c r="S1939" s="3353"/>
      <c r="T1939" s="3353"/>
      <c r="U1939" s="3353"/>
      <c r="V1939" s="3353"/>
      <c r="W1939" s="3353"/>
      <c r="X1939" s="3353"/>
      <c r="Y1939" s="3353"/>
      <c r="Z1939" s="3353"/>
      <c r="AA1939" s="3353"/>
      <c r="AB1939" s="3353"/>
      <c r="AC1939" s="3353"/>
      <c r="AD1939" s="3353"/>
      <c r="AE1939" s="3353"/>
      <c r="AF1939" s="3353"/>
      <c r="AG1939" s="3353"/>
      <c r="AH1939" s="3353"/>
      <c r="AI1939" s="3353"/>
      <c r="AJ1939" s="3353"/>
      <c r="AK1939" s="3353"/>
      <c r="AL1939" s="3353"/>
    </row>
    <row r="1940" spans="1:38" s="3309" customFormat="1" x14ac:dyDescent="0.2">
      <c r="A1940" s="3427" t="s">
        <v>6028</v>
      </c>
      <c r="B1940" s="3412"/>
      <c r="C1940" s="3412"/>
      <c r="D1940" s="3412"/>
      <c r="E1940" s="3412"/>
      <c r="F1940" s="3412"/>
      <c r="G1940" s="3353"/>
      <c r="H1940" s="3353"/>
      <c r="I1940" s="3353"/>
      <c r="J1940" s="3353"/>
      <c r="K1940" s="3353"/>
      <c r="L1940" s="3353"/>
      <c r="M1940" s="3353"/>
      <c r="N1940" s="3353"/>
      <c r="O1940" s="3353"/>
      <c r="P1940" s="3353"/>
      <c r="Q1940" s="3353"/>
      <c r="R1940" s="3353"/>
      <c r="S1940" s="3353"/>
      <c r="T1940" s="3353"/>
      <c r="U1940" s="3353"/>
      <c r="V1940" s="3353"/>
      <c r="W1940" s="3353"/>
      <c r="X1940" s="3353"/>
      <c r="Y1940" s="3353"/>
      <c r="Z1940" s="3353"/>
      <c r="AA1940" s="3353"/>
      <c r="AB1940" s="3353"/>
      <c r="AC1940" s="3353"/>
      <c r="AD1940" s="3353"/>
      <c r="AE1940" s="3353"/>
      <c r="AF1940" s="3353"/>
      <c r="AG1940" s="3353"/>
      <c r="AH1940" s="3353"/>
      <c r="AI1940" s="3353"/>
      <c r="AJ1940" s="3353"/>
      <c r="AK1940" s="3353"/>
      <c r="AL1940" s="3353"/>
    </row>
    <row r="1941" spans="1:38" s="3309" customFormat="1" x14ac:dyDescent="0.2">
      <c r="A1941" s="3425" t="s">
        <v>6027</v>
      </c>
      <c r="B1941" s="3412"/>
      <c r="C1941" s="3412"/>
      <c r="D1941" s="3412"/>
      <c r="E1941" s="3412"/>
      <c r="F1941" s="3412"/>
      <c r="G1941" s="3353"/>
      <c r="H1941" s="3353"/>
      <c r="I1941" s="3353"/>
      <c r="J1941" s="3353"/>
      <c r="K1941" s="3353"/>
      <c r="L1941" s="3353"/>
      <c r="M1941" s="3353"/>
      <c r="N1941" s="3353"/>
      <c r="O1941" s="3353"/>
      <c r="P1941" s="3353"/>
      <c r="Q1941" s="3353"/>
      <c r="R1941" s="3353"/>
      <c r="S1941" s="3353"/>
      <c r="T1941" s="3353"/>
      <c r="U1941" s="3353"/>
      <c r="V1941" s="3353"/>
      <c r="W1941" s="3353"/>
      <c r="X1941" s="3353"/>
      <c r="Y1941" s="3353"/>
      <c r="Z1941" s="3353"/>
      <c r="AA1941" s="3353"/>
      <c r="AB1941" s="3353"/>
      <c r="AC1941" s="3353"/>
      <c r="AD1941" s="3353"/>
      <c r="AE1941" s="3353"/>
      <c r="AF1941" s="3353"/>
      <c r="AG1941" s="3353"/>
      <c r="AH1941" s="3353"/>
      <c r="AI1941" s="3353"/>
      <c r="AJ1941" s="3353"/>
      <c r="AK1941" s="3353"/>
      <c r="AL1941" s="3353"/>
    </row>
    <row r="1942" spans="1:38" s="3309" customFormat="1" x14ac:dyDescent="0.2">
      <c r="A1942" s="3410" t="s">
        <v>6025</v>
      </c>
      <c r="B1942" s="3409">
        <f t="shared" ref="B1942:G1943" si="1090">B1308</f>
        <v>3000</v>
      </c>
      <c r="C1942" s="3409">
        <f t="shared" si="1090"/>
        <v>3000</v>
      </c>
      <c r="D1942" s="3409">
        <f t="shared" si="1090"/>
        <v>3000</v>
      </c>
      <c r="E1942" s="3409">
        <f t="shared" si="1090"/>
        <v>3000</v>
      </c>
      <c r="F1942" s="3409">
        <f t="shared" si="1090"/>
        <v>3000</v>
      </c>
      <c r="G1942" s="3409">
        <f t="shared" si="1090"/>
        <v>3000</v>
      </c>
      <c r="H1942" s="3353"/>
      <c r="I1942" s="3353"/>
      <c r="J1942" s="3353"/>
      <c r="K1942" s="3353"/>
      <c r="L1942" s="3353"/>
      <c r="M1942" s="3353"/>
      <c r="N1942" s="3353"/>
      <c r="O1942" s="3353"/>
      <c r="P1942" s="3353"/>
      <c r="Q1942" s="3353"/>
      <c r="R1942" s="3353"/>
      <c r="S1942" s="3353"/>
      <c r="T1942" s="3353"/>
      <c r="U1942" s="3353"/>
      <c r="V1942" s="3353"/>
      <c r="W1942" s="3353"/>
      <c r="X1942" s="3353"/>
      <c r="Y1942" s="3353"/>
      <c r="Z1942" s="3353"/>
      <c r="AA1942" s="3353"/>
      <c r="AB1942" s="3353"/>
      <c r="AC1942" s="3353"/>
      <c r="AD1942" s="3353"/>
      <c r="AE1942" s="3353"/>
      <c r="AF1942" s="3353"/>
      <c r="AG1942" s="3353"/>
      <c r="AH1942" s="3353"/>
      <c r="AI1942" s="3353"/>
      <c r="AJ1942" s="3353"/>
      <c r="AK1942" s="3353"/>
      <c r="AL1942" s="3353"/>
    </row>
    <row r="1943" spans="1:38" s="3309" customFormat="1" x14ac:dyDescent="0.2">
      <c r="A1943" s="3410" t="s">
        <v>6024</v>
      </c>
      <c r="B1943" s="3409">
        <f t="shared" si="1090"/>
        <v>1.1000000000000001</v>
      </c>
      <c r="C1943" s="3409">
        <f t="shared" si="1090"/>
        <v>1.1000000000000001</v>
      </c>
      <c r="D1943" s="3409">
        <f t="shared" si="1090"/>
        <v>1.1000000000000001</v>
      </c>
      <c r="E1943" s="3409">
        <f t="shared" si="1090"/>
        <v>1.1000000000000001</v>
      </c>
      <c r="F1943" s="3409">
        <f t="shared" si="1090"/>
        <v>1.1000000000000001</v>
      </c>
      <c r="G1943" s="3409">
        <f t="shared" si="1090"/>
        <v>1.1000000000000001</v>
      </c>
      <c r="H1943" s="3353"/>
      <c r="I1943" s="3353"/>
      <c r="J1943" s="3353"/>
      <c r="K1943" s="3353"/>
      <c r="L1943" s="3353"/>
      <c r="M1943" s="3353"/>
      <c r="N1943" s="3353"/>
      <c r="O1943" s="3353"/>
      <c r="P1943" s="3353"/>
      <c r="Q1943" s="3353"/>
      <c r="R1943" s="3353"/>
      <c r="S1943" s="3353"/>
      <c r="T1943" s="3353"/>
      <c r="U1943" s="3353"/>
      <c r="V1943" s="3353"/>
      <c r="W1943" s="3353"/>
      <c r="X1943" s="3353"/>
      <c r="Y1943" s="3353"/>
      <c r="Z1943" s="3353"/>
      <c r="AA1943" s="3353"/>
      <c r="AB1943" s="3353"/>
      <c r="AC1943" s="3353"/>
      <c r="AD1943" s="3353"/>
      <c r="AE1943" s="3353"/>
      <c r="AF1943" s="3353"/>
      <c r="AG1943" s="3353"/>
      <c r="AH1943" s="3353"/>
      <c r="AI1943" s="3353"/>
      <c r="AJ1943" s="3353"/>
      <c r="AK1943" s="3353"/>
      <c r="AL1943" s="3353"/>
    </row>
    <row r="1944" spans="1:38" s="3309" customFormat="1" x14ac:dyDescent="0.2">
      <c r="A1944" s="3411" t="s">
        <v>6023</v>
      </c>
      <c r="B1944" s="3411">
        <f t="shared" ref="B1944:G1944" si="1091">B1942*B1943</f>
        <v>3300.0000000000005</v>
      </c>
      <c r="C1944" s="3411">
        <f t="shared" si="1091"/>
        <v>3300.0000000000005</v>
      </c>
      <c r="D1944" s="3411">
        <f t="shared" si="1091"/>
        <v>3300.0000000000005</v>
      </c>
      <c r="E1944" s="3411">
        <f t="shared" si="1091"/>
        <v>3300.0000000000005</v>
      </c>
      <c r="F1944" s="3411">
        <f t="shared" si="1091"/>
        <v>3300.0000000000005</v>
      </c>
      <c r="G1944" s="3411">
        <f t="shared" si="1091"/>
        <v>3300.0000000000005</v>
      </c>
      <c r="H1944" s="3353"/>
      <c r="I1944" s="3353"/>
      <c r="J1944" s="3353"/>
      <c r="K1944" s="3353"/>
      <c r="L1944" s="3353"/>
      <c r="M1944" s="3353"/>
      <c r="N1944" s="3353"/>
      <c r="O1944" s="3353"/>
      <c r="P1944" s="3353"/>
      <c r="Q1944" s="3353"/>
      <c r="R1944" s="3353"/>
      <c r="S1944" s="3353"/>
      <c r="T1944" s="3353"/>
      <c r="U1944" s="3353"/>
      <c r="V1944" s="3353"/>
      <c r="W1944" s="3353"/>
      <c r="X1944" s="3353"/>
      <c r="Y1944" s="3353"/>
      <c r="Z1944" s="3353"/>
      <c r="AA1944" s="3353"/>
      <c r="AB1944" s="3353"/>
      <c r="AC1944" s="3353"/>
      <c r="AD1944" s="3353"/>
      <c r="AE1944" s="3353"/>
      <c r="AF1944" s="3353"/>
      <c r="AG1944" s="3353"/>
      <c r="AH1944" s="3353"/>
      <c r="AI1944" s="3353"/>
      <c r="AJ1944" s="3353"/>
      <c r="AK1944" s="3353"/>
      <c r="AL1944" s="3353"/>
    </row>
    <row r="1945" spans="1:38" s="3309" customFormat="1" x14ac:dyDescent="0.2">
      <c r="A1945" s="3410" t="s">
        <v>6022</v>
      </c>
      <c r="B1945" s="3409">
        <f t="shared" ref="B1945:G1945" si="1092">B1311</f>
        <v>2.75</v>
      </c>
      <c r="C1945" s="3409">
        <f t="shared" si="1092"/>
        <v>2.75</v>
      </c>
      <c r="D1945" s="3409">
        <f t="shared" si="1092"/>
        <v>2.75</v>
      </c>
      <c r="E1945" s="3409">
        <f t="shared" si="1092"/>
        <v>2.75</v>
      </c>
      <c r="F1945" s="3409">
        <f t="shared" si="1092"/>
        <v>2.75</v>
      </c>
      <c r="G1945" s="3409">
        <f t="shared" si="1092"/>
        <v>2.75</v>
      </c>
      <c r="H1945" s="3353"/>
      <c r="I1945" s="3353"/>
      <c r="J1945" s="3353"/>
      <c r="K1945" s="3353"/>
      <c r="L1945" s="3353"/>
      <c r="M1945" s="3353"/>
      <c r="N1945" s="3353"/>
      <c r="O1945" s="3353"/>
      <c r="P1945" s="3353"/>
      <c r="Q1945" s="3353"/>
      <c r="R1945" s="3353"/>
      <c r="S1945" s="3353"/>
      <c r="T1945" s="3353"/>
      <c r="U1945" s="3353"/>
      <c r="V1945" s="3353"/>
      <c r="W1945" s="3353"/>
      <c r="X1945" s="3353"/>
      <c r="Y1945" s="3353"/>
      <c r="Z1945" s="3353"/>
      <c r="AA1945" s="3353"/>
      <c r="AB1945" s="3353"/>
      <c r="AC1945" s="3353"/>
      <c r="AD1945" s="3353"/>
      <c r="AE1945" s="3353"/>
      <c r="AF1945" s="3353"/>
      <c r="AG1945" s="3353"/>
      <c r="AH1945" s="3353"/>
      <c r="AI1945" s="3353"/>
      <c r="AJ1945" s="3353"/>
      <c r="AK1945" s="3353"/>
      <c r="AL1945" s="3353"/>
    </row>
    <row r="1946" spans="1:38" s="3309" customFormat="1" x14ac:dyDescent="0.2">
      <c r="A1946" s="3411" t="s">
        <v>6021</v>
      </c>
      <c r="B1946" s="3426">
        <f t="shared" ref="B1946:G1946" si="1093">B1944*B1945/100</f>
        <v>90.750000000000014</v>
      </c>
      <c r="C1946" s="3426">
        <f t="shared" si="1093"/>
        <v>90.750000000000014</v>
      </c>
      <c r="D1946" s="3426">
        <f t="shared" si="1093"/>
        <v>90.750000000000014</v>
      </c>
      <c r="E1946" s="3426">
        <f t="shared" si="1093"/>
        <v>90.750000000000014</v>
      </c>
      <c r="F1946" s="3426">
        <f t="shared" si="1093"/>
        <v>90.750000000000014</v>
      </c>
      <c r="G1946" s="3426">
        <f t="shared" si="1093"/>
        <v>90.750000000000014</v>
      </c>
      <c r="H1946" s="3353"/>
      <c r="I1946" s="3353"/>
      <c r="J1946" s="3353"/>
      <c r="K1946" s="3353"/>
      <c r="L1946" s="3353"/>
      <c r="M1946" s="3353"/>
      <c r="N1946" s="3353"/>
      <c r="O1946" s="3353"/>
      <c r="P1946" s="3353"/>
      <c r="Q1946" s="3353"/>
      <c r="R1946" s="3353"/>
      <c r="S1946" s="3353"/>
      <c r="T1946" s="3353"/>
      <c r="U1946" s="3353"/>
      <c r="V1946" s="3353"/>
      <c r="W1946" s="3353"/>
      <c r="X1946" s="3353"/>
      <c r="Y1946" s="3353"/>
      <c r="Z1946" s="3353"/>
      <c r="AA1946" s="3353"/>
      <c r="AB1946" s="3353"/>
      <c r="AC1946" s="3353"/>
      <c r="AD1946" s="3353"/>
      <c r="AE1946" s="3353"/>
      <c r="AF1946" s="3353"/>
      <c r="AG1946" s="3353"/>
      <c r="AH1946" s="3353"/>
      <c r="AI1946" s="3353"/>
      <c r="AJ1946" s="3353"/>
      <c r="AK1946" s="3353"/>
      <c r="AL1946" s="3353"/>
    </row>
    <row r="1947" spans="1:38" s="3309" customFormat="1" ht="25.5" x14ac:dyDescent="0.2">
      <c r="A1947" s="3416" t="s">
        <v>6026</v>
      </c>
      <c r="B1947" s="3382">
        <f t="shared" ref="B1947:G1947" si="1094">IF(B1419=2,B1946,0)</f>
        <v>0</v>
      </c>
      <c r="C1947" s="3382">
        <f t="shared" si="1094"/>
        <v>0</v>
      </c>
      <c r="D1947" s="3382">
        <f t="shared" si="1094"/>
        <v>0</v>
      </c>
      <c r="E1947" s="3382">
        <f t="shared" si="1094"/>
        <v>0</v>
      </c>
      <c r="F1947" s="3382">
        <f t="shared" si="1094"/>
        <v>0</v>
      </c>
      <c r="G1947" s="3382">
        <f t="shared" si="1094"/>
        <v>0</v>
      </c>
      <c r="H1947" s="3353"/>
      <c r="I1947" s="3353"/>
      <c r="J1947" s="3353"/>
      <c r="K1947" s="3353"/>
      <c r="L1947" s="3353"/>
      <c r="M1947" s="3353"/>
      <c r="N1947" s="3353"/>
      <c r="O1947" s="3353"/>
      <c r="P1947" s="3353"/>
      <c r="Q1947" s="3353"/>
      <c r="R1947" s="3353"/>
      <c r="S1947" s="3353"/>
      <c r="T1947" s="3353"/>
      <c r="U1947" s="3353"/>
      <c r="V1947" s="3353"/>
      <c r="W1947" s="3353"/>
      <c r="X1947" s="3353"/>
      <c r="Y1947" s="3353"/>
      <c r="Z1947" s="3353"/>
      <c r="AA1947" s="3353"/>
      <c r="AB1947" s="3353"/>
      <c r="AC1947" s="3353"/>
      <c r="AD1947" s="3353"/>
      <c r="AE1947" s="3353"/>
      <c r="AF1947" s="3353"/>
      <c r="AG1947" s="3353"/>
      <c r="AH1947" s="3353"/>
      <c r="AI1947" s="3353"/>
      <c r="AJ1947" s="3353"/>
      <c r="AK1947" s="3353"/>
      <c r="AL1947" s="3353"/>
    </row>
    <row r="1948" spans="1:38" s="3309" customFormat="1" x14ac:dyDescent="0.2">
      <c r="A1948" s="3425" t="s">
        <v>5580</v>
      </c>
      <c r="B1948" s="3412"/>
      <c r="C1948" s="3412"/>
      <c r="D1948" s="3412"/>
      <c r="E1948" s="3412"/>
      <c r="F1948" s="3412"/>
      <c r="G1948" s="3353"/>
      <c r="H1948" s="3353"/>
      <c r="I1948" s="3353"/>
      <c r="J1948" s="3353"/>
      <c r="K1948" s="3353"/>
      <c r="L1948" s="3353"/>
      <c r="M1948" s="3353"/>
      <c r="N1948" s="3353"/>
      <c r="O1948" s="3353"/>
      <c r="P1948" s="3353"/>
      <c r="Q1948" s="3353"/>
      <c r="R1948" s="3353"/>
      <c r="S1948" s="3353"/>
      <c r="T1948" s="3353"/>
      <c r="U1948" s="3353"/>
      <c r="V1948" s="3353"/>
      <c r="W1948" s="3353"/>
      <c r="X1948" s="3353"/>
      <c r="Y1948" s="3353"/>
      <c r="Z1948" s="3353"/>
      <c r="AA1948" s="3353"/>
      <c r="AB1948" s="3353"/>
      <c r="AC1948" s="3353"/>
      <c r="AD1948" s="3353"/>
      <c r="AE1948" s="3353"/>
      <c r="AF1948" s="3353"/>
      <c r="AG1948" s="3353"/>
      <c r="AH1948" s="3353"/>
      <c r="AI1948" s="3353"/>
      <c r="AJ1948" s="3353"/>
      <c r="AK1948" s="3353"/>
      <c r="AL1948" s="3353"/>
    </row>
    <row r="1949" spans="1:38" s="3309" customFormat="1" x14ac:dyDescent="0.2">
      <c r="A1949" s="3410" t="s">
        <v>6025</v>
      </c>
      <c r="B1949" s="3409">
        <f t="shared" ref="B1949:G1950" si="1095">B1315</f>
        <v>4000</v>
      </c>
      <c r="C1949" s="3409">
        <f t="shared" si="1095"/>
        <v>4000</v>
      </c>
      <c r="D1949" s="3409">
        <f t="shared" si="1095"/>
        <v>4000</v>
      </c>
      <c r="E1949" s="3409">
        <f t="shared" si="1095"/>
        <v>4000</v>
      </c>
      <c r="F1949" s="3409">
        <f t="shared" si="1095"/>
        <v>4000</v>
      </c>
      <c r="G1949" s="3409">
        <f t="shared" si="1095"/>
        <v>4000</v>
      </c>
      <c r="H1949" s="3353"/>
      <c r="I1949" s="3353"/>
      <c r="J1949" s="3353"/>
      <c r="K1949" s="3353"/>
      <c r="L1949" s="3353"/>
      <c r="M1949" s="3353"/>
      <c r="N1949" s="3353"/>
      <c r="O1949" s="3353"/>
      <c r="P1949" s="3353"/>
      <c r="Q1949" s="3353"/>
      <c r="R1949" s="3353"/>
      <c r="S1949" s="3353"/>
      <c r="T1949" s="3353"/>
      <c r="U1949" s="3353"/>
      <c r="V1949" s="3353"/>
      <c r="W1949" s="3353"/>
      <c r="X1949" s="3353"/>
      <c r="Y1949" s="3353"/>
      <c r="Z1949" s="3353"/>
      <c r="AA1949" s="3353"/>
      <c r="AB1949" s="3353"/>
      <c r="AC1949" s="3353"/>
      <c r="AD1949" s="3353"/>
      <c r="AE1949" s="3353"/>
      <c r="AF1949" s="3353"/>
      <c r="AG1949" s="3353"/>
      <c r="AH1949" s="3353"/>
      <c r="AI1949" s="3353"/>
      <c r="AJ1949" s="3353"/>
      <c r="AK1949" s="3353"/>
      <c r="AL1949" s="3353"/>
    </row>
    <row r="1950" spans="1:38" s="3309" customFormat="1" x14ac:dyDescent="0.2">
      <c r="A1950" s="3410" t="s">
        <v>6024</v>
      </c>
      <c r="B1950" s="3409">
        <f t="shared" si="1095"/>
        <v>1.1000000000000001</v>
      </c>
      <c r="C1950" s="3409">
        <f t="shared" si="1095"/>
        <v>1.1000000000000001</v>
      </c>
      <c r="D1950" s="3409">
        <f t="shared" si="1095"/>
        <v>1.1000000000000001</v>
      </c>
      <c r="E1950" s="3409">
        <f t="shared" si="1095"/>
        <v>1.1000000000000001</v>
      </c>
      <c r="F1950" s="3409">
        <f t="shared" si="1095"/>
        <v>1.1000000000000001</v>
      </c>
      <c r="G1950" s="3409">
        <f t="shared" si="1095"/>
        <v>1.1000000000000001</v>
      </c>
      <c r="H1950" s="3353"/>
      <c r="I1950" s="3353"/>
      <c r="J1950" s="3353"/>
      <c r="K1950" s="3353"/>
      <c r="L1950" s="3353"/>
      <c r="M1950" s="3353"/>
      <c r="N1950" s="3353"/>
      <c r="O1950" s="3353"/>
      <c r="P1950" s="3353"/>
      <c r="Q1950" s="3353"/>
      <c r="R1950" s="3353"/>
      <c r="S1950" s="3353"/>
      <c r="T1950" s="3353"/>
      <c r="U1950" s="3353"/>
      <c r="V1950" s="3353"/>
      <c r="W1950" s="3353"/>
      <c r="X1950" s="3353"/>
      <c r="Y1950" s="3353"/>
      <c r="Z1950" s="3353"/>
      <c r="AA1950" s="3353"/>
      <c r="AB1950" s="3353"/>
      <c r="AC1950" s="3353"/>
      <c r="AD1950" s="3353"/>
      <c r="AE1950" s="3353"/>
      <c r="AF1950" s="3353"/>
      <c r="AG1950" s="3353"/>
      <c r="AH1950" s="3353"/>
      <c r="AI1950" s="3353"/>
      <c r="AJ1950" s="3353"/>
      <c r="AK1950" s="3353"/>
      <c r="AL1950" s="3353"/>
    </row>
    <row r="1951" spans="1:38" s="3309" customFormat="1" x14ac:dyDescent="0.2">
      <c r="A1951" s="3411" t="s">
        <v>6023</v>
      </c>
      <c r="B1951" s="3411">
        <f t="shared" ref="B1951:G1951" si="1096">B1949*B1950</f>
        <v>4400</v>
      </c>
      <c r="C1951" s="3411">
        <f t="shared" si="1096"/>
        <v>4400</v>
      </c>
      <c r="D1951" s="3411">
        <f t="shared" si="1096"/>
        <v>4400</v>
      </c>
      <c r="E1951" s="3411">
        <f t="shared" si="1096"/>
        <v>4400</v>
      </c>
      <c r="F1951" s="3411">
        <f t="shared" si="1096"/>
        <v>4400</v>
      </c>
      <c r="G1951" s="3411">
        <f t="shared" si="1096"/>
        <v>4400</v>
      </c>
      <c r="H1951" s="3353"/>
      <c r="I1951" s="3353"/>
      <c r="J1951" s="3353"/>
      <c r="K1951" s="3353"/>
      <c r="L1951" s="3353"/>
      <c r="M1951" s="3353"/>
      <c r="N1951" s="3353"/>
      <c r="O1951" s="3353"/>
      <c r="P1951" s="3353"/>
      <c r="Q1951" s="3353"/>
      <c r="R1951" s="3353"/>
      <c r="S1951" s="3353"/>
      <c r="T1951" s="3353"/>
      <c r="U1951" s="3353"/>
      <c r="V1951" s="3353"/>
      <c r="W1951" s="3353"/>
      <c r="X1951" s="3353"/>
      <c r="Y1951" s="3353"/>
      <c r="Z1951" s="3353"/>
      <c r="AA1951" s="3353"/>
      <c r="AB1951" s="3353"/>
      <c r="AC1951" s="3353"/>
      <c r="AD1951" s="3353"/>
      <c r="AE1951" s="3353"/>
      <c r="AF1951" s="3353"/>
      <c r="AG1951" s="3353"/>
      <c r="AH1951" s="3353"/>
      <c r="AI1951" s="3353"/>
      <c r="AJ1951" s="3353"/>
      <c r="AK1951" s="3353"/>
      <c r="AL1951" s="3353"/>
    </row>
    <row r="1952" spans="1:38" s="3309" customFormat="1" x14ac:dyDescent="0.2">
      <c r="A1952" s="3410" t="s">
        <v>6022</v>
      </c>
      <c r="B1952" s="3409">
        <f t="shared" ref="B1952:G1952" si="1097">B1318</f>
        <v>2.75</v>
      </c>
      <c r="C1952" s="3409">
        <f t="shared" si="1097"/>
        <v>2.75</v>
      </c>
      <c r="D1952" s="3409">
        <f t="shared" si="1097"/>
        <v>2.75</v>
      </c>
      <c r="E1952" s="3409">
        <f t="shared" si="1097"/>
        <v>2.75</v>
      </c>
      <c r="F1952" s="3409">
        <f t="shared" si="1097"/>
        <v>2.75</v>
      </c>
      <c r="G1952" s="3409">
        <f t="shared" si="1097"/>
        <v>2.75</v>
      </c>
      <c r="H1952" s="3353"/>
      <c r="I1952" s="3353"/>
      <c r="J1952" s="3353"/>
      <c r="K1952" s="3353"/>
      <c r="L1952" s="3353"/>
      <c r="M1952" s="3353"/>
      <c r="N1952" s="3353"/>
      <c r="O1952" s="3353"/>
      <c r="P1952" s="3353"/>
      <c r="Q1952" s="3353"/>
      <c r="R1952" s="3353"/>
      <c r="S1952" s="3353"/>
      <c r="T1952" s="3353"/>
      <c r="U1952" s="3353"/>
      <c r="V1952" s="3353"/>
      <c r="W1952" s="3353"/>
      <c r="X1952" s="3353"/>
      <c r="Y1952" s="3353"/>
      <c r="Z1952" s="3353"/>
      <c r="AA1952" s="3353"/>
      <c r="AB1952" s="3353"/>
      <c r="AC1952" s="3353"/>
      <c r="AD1952" s="3353"/>
      <c r="AE1952" s="3353"/>
      <c r="AF1952" s="3353"/>
      <c r="AG1952" s="3353"/>
      <c r="AH1952" s="3353"/>
      <c r="AI1952" s="3353"/>
      <c r="AJ1952" s="3353"/>
      <c r="AK1952" s="3353"/>
      <c r="AL1952" s="3353"/>
    </row>
    <row r="1953" spans="1:38" s="3309" customFormat="1" x14ac:dyDescent="0.2">
      <c r="A1953" s="3411"/>
      <c r="B1953" s="3411"/>
      <c r="C1953" s="3411"/>
      <c r="D1953" s="3411"/>
      <c r="E1953" s="3411"/>
      <c r="F1953" s="3411"/>
      <c r="G1953" s="3353"/>
      <c r="H1953" s="3353"/>
      <c r="I1953" s="3353"/>
      <c r="J1953" s="3353"/>
      <c r="K1953" s="3353"/>
      <c r="L1953" s="3353"/>
      <c r="M1953" s="3353"/>
      <c r="N1953" s="3353"/>
      <c r="O1953" s="3353"/>
      <c r="P1953" s="3353"/>
      <c r="Q1953" s="3353"/>
      <c r="R1953" s="3353"/>
      <c r="S1953" s="3353"/>
      <c r="T1953" s="3353"/>
      <c r="U1953" s="3353"/>
      <c r="V1953" s="3353"/>
      <c r="W1953" s="3353"/>
      <c r="X1953" s="3353"/>
      <c r="Y1953" s="3353"/>
      <c r="Z1953" s="3353"/>
      <c r="AA1953" s="3353"/>
      <c r="AB1953" s="3353"/>
      <c r="AC1953" s="3353"/>
      <c r="AD1953" s="3353"/>
      <c r="AE1953" s="3353"/>
      <c r="AF1953" s="3353"/>
      <c r="AG1953" s="3353"/>
      <c r="AH1953" s="3353"/>
      <c r="AI1953" s="3353"/>
      <c r="AJ1953" s="3353"/>
      <c r="AK1953" s="3353"/>
      <c r="AL1953" s="3353"/>
    </row>
    <row r="1954" spans="1:38" s="3309" customFormat="1" x14ac:dyDescent="0.2">
      <c r="A1954" s="3411" t="s">
        <v>6021</v>
      </c>
      <c r="B1954" s="3424">
        <f t="shared" ref="B1954:G1954" si="1098">B1951*B1952/100</f>
        <v>121</v>
      </c>
      <c r="C1954" s="3424">
        <f t="shared" si="1098"/>
        <v>121</v>
      </c>
      <c r="D1954" s="3424">
        <f t="shared" si="1098"/>
        <v>121</v>
      </c>
      <c r="E1954" s="3424">
        <f t="shared" si="1098"/>
        <v>121</v>
      </c>
      <c r="F1954" s="3424">
        <f t="shared" si="1098"/>
        <v>121</v>
      </c>
      <c r="G1954" s="3424">
        <f t="shared" si="1098"/>
        <v>121</v>
      </c>
      <c r="H1954" s="3353"/>
      <c r="I1954" s="3353"/>
      <c r="J1954" s="3353"/>
      <c r="K1954" s="3353"/>
      <c r="L1954" s="3353"/>
      <c r="M1954" s="3353"/>
      <c r="N1954" s="3353"/>
      <c r="O1954" s="3353"/>
      <c r="P1954" s="3353"/>
      <c r="Q1954" s="3353"/>
      <c r="R1954" s="3353"/>
      <c r="S1954" s="3353"/>
      <c r="T1954" s="3353"/>
      <c r="U1954" s="3353"/>
      <c r="V1954" s="3353"/>
      <c r="W1954" s="3353"/>
      <c r="X1954" s="3353"/>
      <c r="Y1954" s="3353"/>
      <c r="Z1954" s="3353"/>
      <c r="AA1954" s="3353"/>
      <c r="AB1954" s="3353"/>
      <c r="AC1954" s="3353"/>
      <c r="AD1954" s="3353"/>
      <c r="AE1954" s="3353"/>
      <c r="AF1954" s="3353"/>
      <c r="AG1954" s="3353"/>
      <c r="AH1954" s="3353"/>
      <c r="AI1954" s="3353"/>
      <c r="AJ1954" s="3353"/>
      <c r="AK1954" s="3353"/>
      <c r="AL1954" s="3353"/>
    </row>
    <row r="1955" spans="1:38" s="3309" customFormat="1" ht="25.5" x14ac:dyDescent="0.2">
      <c r="A1955" s="3416" t="s">
        <v>6020</v>
      </c>
      <c r="B1955" s="3375">
        <f t="shared" ref="B1955:G1955" si="1099">IF(B1419=1,B1954,0)</f>
        <v>121</v>
      </c>
      <c r="C1955" s="3375">
        <f t="shared" si="1099"/>
        <v>0</v>
      </c>
      <c r="D1955" s="3375">
        <f t="shared" si="1099"/>
        <v>0</v>
      </c>
      <c r="E1955" s="3375">
        <f t="shared" si="1099"/>
        <v>0</v>
      </c>
      <c r="F1955" s="3375">
        <f t="shared" si="1099"/>
        <v>0</v>
      </c>
      <c r="G1955" s="3375">
        <f t="shared" si="1099"/>
        <v>0</v>
      </c>
      <c r="H1955" s="3353"/>
      <c r="I1955" s="3353"/>
      <c r="J1955" s="3353"/>
      <c r="K1955" s="3353"/>
      <c r="L1955" s="3353"/>
      <c r="M1955" s="3353"/>
      <c r="N1955" s="3353"/>
      <c r="O1955" s="3353"/>
      <c r="P1955" s="3353"/>
      <c r="Q1955" s="3353"/>
      <c r="R1955" s="3353"/>
      <c r="S1955" s="3353"/>
      <c r="T1955" s="3353"/>
      <c r="U1955" s="3353"/>
      <c r="V1955" s="3353"/>
      <c r="W1955" s="3353"/>
      <c r="X1955" s="3353"/>
      <c r="Y1955" s="3353"/>
      <c r="Z1955" s="3353"/>
      <c r="AA1955" s="3353"/>
      <c r="AB1955" s="3353"/>
      <c r="AC1955" s="3353"/>
      <c r="AD1955" s="3353"/>
      <c r="AE1955" s="3353"/>
      <c r="AF1955" s="3353"/>
      <c r="AG1955" s="3353"/>
      <c r="AH1955" s="3353"/>
      <c r="AI1955" s="3353"/>
      <c r="AJ1955" s="3353"/>
      <c r="AK1955" s="3353"/>
      <c r="AL1955" s="3353"/>
    </row>
    <row r="1956" spans="1:38" s="3309" customFormat="1" x14ac:dyDescent="0.2">
      <c r="A1956" s="3423" t="s">
        <v>6019</v>
      </c>
      <c r="B1956" s="3422" t="e">
        <f t="shared" ref="B1956:G1956" si="1100">B1955+B1939+B1934+B1929+B1923+B1912+B1907+B1900+B1892</f>
        <v>#VALUE!</v>
      </c>
      <c r="C1956" s="3422" t="e">
        <f t="shared" si="1100"/>
        <v>#DIV/0!</v>
      </c>
      <c r="D1956" s="3422" t="e">
        <f t="shared" si="1100"/>
        <v>#DIV/0!</v>
      </c>
      <c r="E1956" s="3422" t="e">
        <f t="shared" si="1100"/>
        <v>#DIV/0!</v>
      </c>
      <c r="F1956" s="3422" t="e">
        <f t="shared" si="1100"/>
        <v>#DIV/0!</v>
      </c>
      <c r="G1956" s="3422" t="e">
        <f t="shared" si="1100"/>
        <v>#DIV/0!</v>
      </c>
      <c r="H1956" s="3353"/>
      <c r="I1956" s="3353"/>
      <c r="J1956" s="3353"/>
      <c r="K1956" s="3353"/>
      <c r="L1956" s="3353"/>
      <c r="M1956" s="3353"/>
      <c r="N1956" s="3353"/>
      <c r="O1956" s="3353"/>
      <c r="P1956" s="3353"/>
      <c r="Q1956" s="3353"/>
      <c r="R1956" s="3353"/>
      <c r="S1956" s="3353"/>
      <c r="T1956" s="3353"/>
      <c r="U1956" s="3353"/>
      <c r="V1956" s="3353"/>
      <c r="W1956" s="3353"/>
      <c r="X1956" s="3353"/>
      <c r="Y1956" s="3353"/>
      <c r="Z1956" s="3353"/>
      <c r="AA1956" s="3353"/>
      <c r="AB1956" s="3353"/>
      <c r="AC1956" s="3353"/>
      <c r="AD1956" s="3353"/>
      <c r="AE1956" s="3353"/>
      <c r="AF1956" s="3353"/>
      <c r="AG1956" s="3353"/>
      <c r="AH1956" s="3353"/>
      <c r="AI1956" s="3353"/>
      <c r="AJ1956" s="3353"/>
      <c r="AK1956" s="3353"/>
      <c r="AL1956" s="3353"/>
    </row>
    <row r="1957" spans="1:38" s="3309" customFormat="1" x14ac:dyDescent="0.2">
      <c r="A1957" s="3331" t="s">
        <v>6018</v>
      </c>
      <c r="B1957" s="3422" t="e">
        <f t="shared" ref="B1957:G1957" si="1101">B1892</f>
        <v>#VALUE!</v>
      </c>
      <c r="C1957" s="3422" t="e">
        <f t="shared" si="1101"/>
        <v>#DIV/0!</v>
      </c>
      <c r="D1957" s="3422" t="e">
        <f t="shared" si="1101"/>
        <v>#DIV/0!</v>
      </c>
      <c r="E1957" s="3422" t="e">
        <f t="shared" si="1101"/>
        <v>#DIV/0!</v>
      </c>
      <c r="F1957" s="3422" t="e">
        <f t="shared" si="1101"/>
        <v>#DIV/0!</v>
      </c>
      <c r="G1957" s="3422" t="e">
        <f t="shared" si="1101"/>
        <v>#DIV/0!</v>
      </c>
      <c r="H1957" s="3353"/>
      <c r="I1957" s="3353"/>
      <c r="J1957" s="3353"/>
      <c r="K1957" s="3353"/>
      <c r="L1957" s="3353"/>
      <c r="M1957" s="3353"/>
      <c r="N1957" s="3353"/>
      <c r="O1957" s="3353"/>
      <c r="P1957" s="3353"/>
      <c r="Q1957" s="3353"/>
      <c r="R1957" s="3353"/>
      <c r="S1957" s="3353"/>
      <c r="T1957" s="3353"/>
      <c r="U1957" s="3353"/>
      <c r="V1957" s="3353"/>
      <c r="W1957" s="3353"/>
      <c r="X1957" s="3353"/>
      <c r="Y1957" s="3353"/>
      <c r="Z1957" s="3353"/>
      <c r="AA1957" s="3353"/>
      <c r="AB1957" s="3353"/>
      <c r="AC1957" s="3353"/>
      <c r="AD1957" s="3353"/>
      <c r="AE1957" s="3353"/>
      <c r="AF1957" s="3353"/>
      <c r="AG1957" s="3353"/>
      <c r="AH1957" s="3353"/>
      <c r="AI1957" s="3353"/>
      <c r="AJ1957" s="3353"/>
      <c r="AK1957" s="3353"/>
      <c r="AL1957" s="3353"/>
    </row>
    <row r="1958" spans="1:38" s="3309" customFormat="1" x14ac:dyDescent="0.2">
      <c r="A1958" s="3412" t="s">
        <v>6017</v>
      </c>
      <c r="B1958" s="3412"/>
      <c r="C1958" s="3412"/>
      <c r="D1958" s="3412"/>
      <c r="E1958" s="3412"/>
      <c r="F1958" s="3412"/>
      <c r="G1958" s="3353"/>
      <c r="H1958" s="3353"/>
      <c r="I1958" s="3353"/>
      <c r="J1958" s="3353"/>
      <c r="K1958" s="3353"/>
      <c r="L1958" s="3353"/>
      <c r="M1958" s="3353"/>
      <c r="N1958" s="3353"/>
      <c r="O1958" s="3353"/>
      <c r="P1958" s="3353"/>
      <c r="Q1958" s="3353"/>
      <c r="R1958" s="3353"/>
      <c r="S1958" s="3353"/>
      <c r="T1958" s="3353"/>
      <c r="U1958" s="3353"/>
      <c r="V1958" s="3353"/>
      <c r="W1958" s="3353"/>
      <c r="X1958" s="3353"/>
      <c r="Y1958" s="3353"/>
      <c r="Z1958" s="3353"/>
      <c r="AA1958" s="3353"/>
      <c r="AB1958" s="3353"/>
      <c r="AC1958" s="3353"/>
      <c r="AD1958" s="3353"/>
      <c r="AE1958" s="3353"/>
      <c r="AF1958" s="3353"/>
      <c r="AG1958" s="3353"/>
      <c r="AH1958" s="3353"/>
      <c r="AI1958" s="3353"/>
      <c r="AJ1958" s="3353"/>
      <c r="AK1958" s="3353"/>
      <c r="AL1958" s="3353"/>
    </row>
    <row r="1959" spans="1:38" s="3309" customFormat="1" x14ac:dyDescent="0.2">
      <c r="A1959" s="3411" t="s">
        <v>6016</v>
      </c>
      <c r="B1959" s="3412"/>
      <c r="C1959" s="3412"/>
      <c r="D1959" s="3412"/>
      <c r="E1959" s="3412"/>
      <c r="F1959" s="3412"/>
      <c r="G1959" s="3353"/>
      <c r="H1959" s="3353"/>
      <c r="I1959" s="3353"/>
      <c r="J1959" s="3353"/>
      <c r="K1959" s="3353"/>
      <c r="L1959" s="3353"/>
      <c r="M1959" s="3353"/>
      <c r="N1959" s="3353"/>
      <c r="O1959" s="3353"/>
      <c r="P1959" s="3353"/>
      <c r="Q1959" s="3353"/>
      <c r="R1959" s="3353"/>
      <c r="S1959" s="3353"/>
      <c r="T1959" s="3353"/>
      <c r="U1959" s="3353"/>
      <c r="V1959" s="3353"/>
      <c r="W1959" s="3353"/>
      <c r="X1959" s="3353"/>
      <c r="Y1959" s="3353"/>
      <c r="Z1959" s="3353"/>
      <c r="AA1959" s="3353"/>
      <c r="AB1959" s="3353"/>
      <c r="AC1959" s="3353"/>
      <c r="AD1959" s="3353"/>
      <c r="AE1959" s="3353"/>
      <c r="AF1959" s="3353"/>
      <c r="AG1959" s="3353"/>
      <c r="AH1959" s="3353"/>
      <c r="AI1959" s="3353"/>
      <c r="AJ1959" s="3353"/>
      <c r="AK1959" s="3353"/>
      <c r="AL1959" s="3353"/>
    </row>
    <row r="1960" spans="1:38" s="3309" customFormat="1" x14ac:dyDescent="0.2">
      <c r="A1960" s="3419" t="s">
        <v>6015</v>
      </c>
      <c r="B1960" s="3412"/>
      <c r="C1960" s="3412"/>
      <c r="D1960" s="3412"/>
      <c r="E1960" s="3412"/>
      <c r="F1960" s="3412"/>
      <c r="G1960" s="3353"/>
      <c r="H1960" s="3353"/>
      <c r="I1960" s="3353"/>
      <c r="J1960" s="3353"/>
      <c r="K1960" s="3353"/>
      <c r="L1960" s="3353"/>
      <c r="M1960" s="3353"/>
      <c r="N1960" s="3353"/>
      <c r="O1960" s="3353"/>
      <c r="P1960" s="3353"/>
      <c r="Q1960" s="3353"/>
      <c r="R1960" s="3353"/>
      <c r="S1960" s="3353"/>
      <c r="T1960" s="3353"/>
      <c r="U1960" s="3353"/>
      <c r="V1960" s="3353"/>
      <c r="W1960" s="3353"/>
      <c r="X1960" s="3353"/>
      <c r="Y1960" s="3353"/>
      <c r="Z1960" s="3353"/>
      <c r="AA1960" s="3353"/>
      <c r="AB1960" s="3353"/>
      <c r="AC1960" s="3353"/>
      <c r="AD1960" s="3353"/>
      <c r="AE1960" s="3353"/>
      <c r="AF1960" s="3353"/>
      <c r="AG1960" s="3353"/>
      <c r="AH1960" s="3353"/>
      <c r="AI1960" s="3353"/>
      <c r="AJ1960" s="3353"/>
      <c r="AK1960" s="3353"/>
      <c r="AL1960" s="3353"/>
    </row>
    <row r="1961" spans="1:38" s="3309" customFormat="1" x14ac:dyDescent="0.2">
      <c r="A1961" s="3418" t="s">
        <v>6014</v>
      </c>
      <c r="B1961" s="3409">
        <f t="shared" ref="B1961:G1963" si="1102">B1327</f>
        <v>2</v>
      </c>
      <c r="C1961" s="3409">
        <f t="shared" si="1102"/>
        <v>2</v>
      </c>
      <c r="D1961" s="3409">
        <f t="shared" si="1102"/>
        <v>2</v>
      </c>
      <c r="E1961" s="3409">
        <f t="shared" si="1102"/>
        <v>2</v>
      </c>
      <c r="F1961" s="3409">
        <f t="shared" si="1102"/>
        <v>2</v>
      </c>
      <c r="G1961" s="3409">
        <f t="shared" si="1102"/>
        <v>2</v>
      </c>
      <c r="H1961" s="3353"/>
      <c r="I1961" s="3353"/>
      <c r="J1961" s="3353"/>
      <c r="K1961" s="3353"/>
      <c r="L1961" s="3353"/>
      <c r="M1961" s="3353"/>
      <c r="N1961" s="3353"/>
      <c r="O1961" s="3353"/>
      <c r="P1961" s="3353"/>
      <c r="Q1961" s="3353"/>
      <c r="R1961" s="3353"/>
      <c r="S1961" s="3353"/>
      <c r="T1961" s="3353"/>
      <c r="U1961" s="3353"/>
      <c r="V1961" s="3353"/>
      <c r="W1961" s="3353"/>
      <c r="X1961" s="3353"/>
      <c r="Y1961" s="3353"/>
      <c r="Z1961" s="3353"/>
      <c r="AA1961" s="3353"/>
      <c r="AB1961" s="3353"/>
      <c r="AC1961" s="3353"/>
      <c r="AD1961" s="3353"/>
      <c r="AE1961" s="3353"/>
      <c r="AF1961" s="3353"/>
      <c r="AG1961" s="3353"/>
      <c r="AH1961" s="3353"/>
      <c r="AI1961" s="3353"/>
      <c r="AJ1961" s="3353"/>
      <c r="AK1961" s="3353"/>
      <c r="AL1961" s="3353"/>
    </row>
    <row r="1962" spans="1:38" s="3309" customFormat="1" x14ac:dyDescent="0.2">
      <c r="A1962" s="3410" t="s">
        <v>6013</v>
      </c>
      <c r="B1962" s="3409">
        <f t="shared" si="1102"/>
        <v>2</v>
      </c>
      <c r="C1962" s="3409">
        <f t="shared" si="1102"/>
        <v>2</v>
      </c>
      <c r="D1962" s="3409">
        <f t="shared" si="1102"/>
        <v>2</v>
      </c>
      <c r="E1962" s="3409">
        <f t="shared" si="1102"/>
        <v>2</v>
      </c>
      <c r="F1962" s="3409">
        <f t="shared" si="1102"/>
        <v>2</v>
      </c>
      <c r="G1962" s="3409">
        <f t="shared" si="1102"/>
        <v>2</v>
      </c>
      <c r="H1962" s="3353"/>
      <c r="I1962" s="3353"/>
      <c r="J1962" s="3353"/>
      <c r="K1962" s="3353"/>
      <c r="L1962" s="3353"/>
      <c r="M1962" s="3353"/>
      <c r="N1962" s="3353"/>
      <c r="O1962" s="3353"/>
      <c r="P1962" s="3353"/>
      <c r="Q1962" s="3353"/>
      <c r="R1962" s="3353"/>
      <c r="S1962" s="3353"/>
      <c r="T1962" s="3353"/>
      <c r="U1962" s="3353"/>
      <c r="V1962" s="3353"/>
      <c r="W1962" s="3353"/>
      <c r="X1962" s="3353"/>
      <c r="Y1962" s="3353"/>
      <c r="Z1962" s="3353"/>
      <c r="AA1962" s="3353"/>
      <c r="AB1962" s="3353"/>
      <c r="AC1962" s="3353"/>
      <c r="AD1962" s="3353"/>
      <c r="AE1962" s="3353"/>
      <c r="AF1962" s="3353"/>
      <c r="AG1962" s="3353"/>
      <c r="AH1962" s="3353"/>
      <c r="AI1962" s="3353"/>
      <c r="AJ1962" s="3353"/>
      <c r="AK1962" s="3353"/>
      <c r="AL1962" s="3353"/>
    </row>
    <row r="1963" spans="1:38" s="3309" customFormat="1" x14ac:dyDescent="0.2">
      <c r="A1963" s="3410" t="s">
        <v>6012</v>
      </c>
      <c r="B1963" s="3409">
        <f t="shared" si="1102"/>
        <v>0.8</v>
      </c>
      <c r="C1963" s="3409">
        <f t="shared" si="1102"/>
        <v>0.8</v>
      </c>
      <c r="D1963" s="3409">
        <f t="shared" si="1102"/>
        <v>0.8</v>
      </c>
      <c r="E1963" s="3409">
        <f t="shared" si="1102"/>
        <v>0.8</v>
      </c>
      <c r="F1963" s="3409">
        <f t="shared" si="1102"/>
        <v>0.8</v>
      </c>
      <c r="G1963" s="3409">
        <f t="shared" si="1102"/>
        <v>0.8</v>
      </c>
      <c r="H1963" s="3353"/>
      <c r="I1963" s="3353"/>
      <c r="J1963" s="3353"/>
      <c r="K1963" s="3353"/>
      <c r="L1963" s="3353"/>
      <c r="M1963" s="3353"/>
      <c r="N1963" s="3353"/>
      <c r="O1963" s="3353"/>
      <c r="P1963" s="3353"/>
      <c r="Q1963" s="3353"/>
      <c r="R1963" s="3353"/>
      <c r="S1963" s="3353"/>
      <c r="T1963" s="3353"/>
      <c r="U1963" s="3353"/>
      <c r="V1963" s="3353"/>
      <c r="W1963" s="3353"/>
      <c r="X1963" s="3353"/>
      <c r="Y1963" s="3353"/>
      <c r="Z1963" s="3353"/>
      <c r="AA1963" s="3353"/>
      <c r="AB1963" s="3353"/>
      <c r="AC1963" s="3353"/>
      <c r="AD1963" s="3353"/>
      <c r="AE1963" s="3353"/>
      <c r="AF1963" s="3353"/>
      <c r="AG1963" s="3353"/>
      <c r="AH1963" s="3353"/>
      <c r="AI1963" s="3353"/>
      <c r="AJ1963" s="3353"/>
      <c r="AK1963" s="3353"/>
      <c r="AL1963" s="3353"/>
    </row>
    <row r="1964" spans="1:38" s="3309" customFormat="1" x14ac:dyDescent="0.2">
      <c r="A1964" s="3411" t="s">
        <v>6011</v>
      </c>
      <c r="B1964" s="3379" t="e">
        <f t="shared" ref="B1964:G1964" si="1103">B1961*(B1962/60)*B1963*B1727</f>
        <v>#VALUE!</v>
      </c>
      <c r="C1964" s="3379" t="e">
        <f t="shared" si="1103"/>
        <v>#DIV/0!</v>
      </c>
      <c r="D1964" s="3379" t="e">
        <f t="shared" si="1103"/>
        <v>#DIV/0!</v>
      </c>
      <c r="E1964" s="3379" t="e">
        <f t="shared" si="1103"/>
        <v>#DIV/0!</v>
      </c>
      <c r="F1964" s="3379" t="e">
        <f t="shared" si="1103"/>
        <v>#DIV/0!</v>
      </c>
      <c r="G1964" s="3379" t="e">
        <f t="shared" si="1103"/>
        <v>#DIV/0!</v>
      </c>
      <c r="H1964" s="3353"/>
      <c r="I1964" s="3353"/>
      <c r="J1964" s="3353"/>
      <c r="K1964" s="3353"/>
      <c r="L1964" s="3353"/>
      <c r="M1964" s="3353"/>
      <c r="N1964" s="3353"/>
      <c r="O1964" s="3353"/>
      <c r="P1964" s="3353"/>
      <c r="Q1964" s="3353"/>
      <c r="R1964" s="3353"/>
      <c r="S1964" s="3353"/>
      <c r="T1964" s="3353"/>
      <c r="U1964" s="3353"/>
      <c r="V1964" s="3353"/>
      <c r="W1964" s="3353"/>
      <c r="X1964" s="3353"/>
      <c r="Y1964" s="3353"/>
      <c r="Z1964" s="3353"/>
      <c r="AA1964" s="3353"/>
      <c r="AB1964" s="3353"/>
      <c r="AC1964" s="3353"/>
      <c r="AD1964" s="3353"/>
      <c r="AE1964" s="3353"/>
      <c r="AF1964" s="3353"/>
      <c r="AG1964" s="3353"/>
      <c r="AH1964" s="3353"/>
      <c r="AI1964" s="3353"/>
      <c r="AJ1964" s="3353"/>
      <c r="AK1964" s="3353"/>
      <c r="AL1964" s="3353"/>
    </row>
    <row r="1965" spans="1:38" s="3309" customFormat="1" x14ac:dyDescent="0.2">
      <c r="A1965" s="3411" t="s">
        <v>6010</v>
      </c>
      <c r="B1965" s="3379" t="e">
        <f t="shared" ref="B1965:G1965" si="1104">B1964*B1921</f>
        <v>#VALUE!</v>
      </c>
      <c r="C1965" s="3379" t="e">
        <f t="shared" si="1104"/>
        <v>#DIV/0!</v>
      </c>
      <c r="D1965" s="3379" t="e">
        <f t="shared" si="1104"/>
        <v>#DIV/0!</v>
      </c>
      <c r="E1965" s="3379" t="e">
        <f t="shared" si="1104"/>
        <v>#DIV/0!</v>
      </c>
      <c r="F1965" s="3379" t="e">
        <f t="shared" si="1104"/>
        <v>#DIV/0!</v>
      </c>
      <c r="G1965" s="3379" t="e">
        <f t="shared" si="1104"/>
        <v>#DIV/0!</v>
      </c>
      <c r="H1965" s="3353"/>
      <c r="I1965" s="3353"/>
      <c r="J1965" s="3353"/>
      <c r="K1965" s="3353"/>
      <c r="L1965" s="3353"/>
      <c r="M1965" s="3353"/>
      <c r="N1965" s="3353"/>
      <c r="O1965" s="3353"/>
      <c r="P1965" s="3353"/>
      <c r="Q1965" s="3353"/>
      <c r="R1965" s="3353"/>
      <c r="S1965" s="3353"/>
      <c r="T1965" s="3353"/>
      <c r="U1965" s="3353"/>
      <c r="V1965" s="3353"/>
      <c r="W1965" s="3353"/>
      <c r="X1965" s="3353"/>
      <c r="Y1965" s="3353"/>
      <c r="Z1965" s="3353"/>
      <c r="AA1965" s="3353"/>
      <c r="AB1965" s="3353"/>
      <c r="AC1965" s="3353"/>
      <c r="AD1965" s="3353"/>
      <c r="AE1965" s="3353"/>
      <c r="AF1965" s="3353"/>
      <c r="AG1965" s="3353"/>
      <c r="AH1965" s="3353"/>
      <c r="AI1965" s="3353"/>
      <c r="AJ1965" s="3353"/>
      <c r="AK1965" s="3353"/>
      <c r="AL1965" s="3353"/>
    </row>
    <row r="1966" spans="1:38" s="3309" customFormat="1" x14ac:dyDescent="0.2">
      <c r="A1966" s="3421" t="s">
        <v>6009</v>
      </c>
      <c r="B1966" s="3420">
        <f t="shared" ref="B1966:G1966" si="1105">IF(B1419=2,B1965,0)</f>
        <v>0</v>
      </c>
      <c r="C1966" s="3420">
        <f t="shared" si="1105"/>
        <v>0</v>
      </c>
      <c r="D1966" s="3420">
        <f t="shared" si="1105"/>
        <v>0</v>
      </c>
      <c r="E1966" s="3420">
        <f t="shared" si="1105"/>
        <v>0</v>
      </c>
      <c r="F1966" s="3420">
        <f t="shared" si="1105"/>
        <v>0</v>
      </c>
      <c r="G1966" s="3420">
        <f t="shared" si="1105"/>
        <v>0</v>
      </c>
      <c r="H1966" s="3353"/>
      <c r="I1966" s="3353"/>
      <c r="J1966" s="3353"/>
      <c r="K1966" s="3353"/>
      <c r="L1966" s="3353"/>
      <c r="M1966" s="3353"/>
      <c r="N1966" s="3353"/>
      <c r="O1966" s="3353"/>
      <c r="P1966" s="3353"/>
      <c r="Q1966" s="3353"/>
      <c r="R1966" s="3353"/>
      <c r="S1966" s="3353"/>
      <c r="T1966" s="3353"/>
      <c r="U1966" s="3353"/>
      <c r="V1966" s="3353"/>
      <c r="W1966" s="3353"/>
      <c r="X1966" s="3353"/>
      <c r="Y1966" s="3353"/>
      <c r="Z1966" s="3353"/>
      <c r="AA1966" s="3353"/>
      <c r="AB1966" s="3353"/>
      <c r="AC1966" s="3353"/>
      <c r="AD1966" s="3353"/>
      <c r="AE1966" s="3353"/>
      <c r="AF1966" s="3353"/>
      <c r="AG1966" s="3353"/>
      <c r="AH1966" s="3353"/>
      <c r="AI1966" s="3353"/>
      <c r="AJ1966" s="3353"/>
      <c r="AK1966" s="3353"/>
      <c r="AL1966" s="3353"/>
    </row>
    <row r="1967" spans="1:38" s="3309" customFormat="1" x14ac:dyDescent="0.2">
      <c r="A1967" s="3419" t="s">
        <v>6008</v>
      </c>
      <c r="B1967" s="3411"/>
      <c r="C1967" s="3411"/>
      <c r="D1967" s="3411"/>
      <c r="E1967" s="3411"/>
      <c r="F1967" s="3411"/>
      <c r="G1967" s="3353"/>
      <c r="H1967" s="3353"/>
      <c r="I1967" s="3353"/>
      <c r="J1967" s="3353"/>
      <c r="K1967" s="3353"/>
      <c r="L1967" s="3353"/>
      <c r="M1967" s="3353"/>
      <c r="N1967" s="3353"/>
      <c r="O1967" s="3353"/>
      <c r="P1967" s="3353"/>
      <c r="Q1967" s="3353"/>
      <c r="R1967" s="3353"/>
      <c r="S1967" s="3353"/>
      <c r="T1967" s="3353"/>
      <c r="U1967" s="3353"/>
      <c r="V1967" s="3353"/>
      <c r="W1967" s="3353"/>
      <c r="X1967" s="3353"/>
      <c r="Y1967" s="3353"/>
      <c r="Z1967" s="3353"/>
      <c r="AA1967" s="3353"/>
      <c r="AB1967" s="3353"/>
      <c r="AC1967" s="3353"/>
      <c r="AD1967" s="3353"/>
      <c r="AE1967" s="3353"/>
      <c r="AF1967" s="3353"/>
      <c r="AG1967" s="3353"/>
      <c r="AH1967" s="3353"/>
      <c r="AI1967" s="3353"/>
      <c r="AJ1967" s="3353"/>
      <c r="AK1967" s="3353"/>
      <c r="AL1967" s="3353"/>
    </row>
    <row r="1968" spans="1:38" s="3309" customFormat="1" ht="34.5" customHeight="1" x14ac:dyDescent="0.2">
      <c r="A1968" s="3418" t="s">
        <v>6007</v>
      </c>
      <c r="B1968" s="3409">
        <f t="shared" ref="B1968:G1969" si="1106">B1334</f>
        <v>3</v>
      </c>
      <c r="C1968" s="3409">
        <f t="shared" si="1106"/>
        <v>3</v>
      </c>
      <c r="D1968" s="3409">
        <f t="shared" si="1106"/>
        <v>3</v>
      </c>
      <c r="E1968" s="3409">
        <f t="shared" si="1106"/>
        <v>3</v>
      </c>
      <c r="F1968" s="3409">
        <f t="shared" si="1106"/>
        <v>3</v>
      </c>
      <c r="G1968" s="3409">
        <f t="shared" si="1106"/>
        <v>3</v>
      </c>
      <c r="H1968" s="3353"/>
      <c r="I1968" s="3353"/>
      <c r="J1968" s="3353"/>
      <c r="K1968" s="3353"/>
      <c r="L1968" s="3353"/>
      <c r="M1968" s="3353"/>
      <c r="N1968" s="3353"/>
      <c r="O1968" s="3353"/>
      <c r="P1968" s="3353"/>
      <c r="Q1968" s="3353"/>
      <c r="R1968" s="3353"/>
      <c r="S1968" s="3353"/>
      <c r="T1968" s="3353"/>
      <c r="U1968" s="3353"/>
      <c r="V1968" s="3353"/>
      <c r="W1968" s="3353"/>
      <c r="X1968" s="3353"/>
      <c r="Y1968" s="3353"/>
      <c r="Z1968" s="3353"/>
      <c r="AA1968" s="3353"/>
      <c r="AB1968" s="3353"/>
      <c r="AC1968" s="3353"/>
      <c r="AD1968" s="3353"/>
      <c r="AE1968" s="3353"/>
      <c r="AF1968" s="3353"/>
      <c r="AG1968" s="3353"/>
      <c r="AH1968" s="3353"/>
      <c r="AI1968" s="3353"/>
      <c r="AJ1968" s="3353"/>
      <c r="AK1968" s="3353"/>
      <c r="AL1968" s="3353"/>
    </row>
    <row r="1969" spans="1:38" s="3309" customFormat="1" x14ac:dyDescent="0.2">
      <c r="A1969" s="3418" t="s">
        <v>6006</v>
      </c>
      <c r="B1969" s="3409">
        <f t="shared" si="1106"/>
        <v>60</v>
      </c>
      <c r="C1969" s="3409">
        <f t="shared" si="1106"/>
        <v>60</v>
      </c>
      <c r="D1969" s="3409">
        <f t="shared" si="1106"/>
        <v>60</v>
      </c>
      <c r="E1969" s="3409">
        <f t="shared" si="1106"/>
        <v>60</v>
      </c>
      <c r="F1969" s="3409">
        <f t="shared" si="1106"/>
        <v>60</v>
      </c>
      <c r="G1969" s="3409">
        <f t="shared" si="1106"/>
        <v>60</v>
      </c>
      <c r="H1969" s="3353"/>
      <c r="I1969" s="3353"/>
      <c r="J1969" s="3353"/>
      <c r="K1969" s="3353"/>
      <c r="L1969" s="3353"/>
      <c r="M1969" s="3353"/>
      <c r="N1969" s="3353"/>
      <c r="O1969" s="3353"/>
      <c r="P1969" s="3353"/>
      <c r="Q1969" s="3353"/>
      <c r="R1969" s="3353"/>
      <c r="S1969" s="3353"/>
      <c r="T1969" s="3353"/>
      <c r="U1969" s="3353"/>
      <c r="V1969" s="3353"/>
      <c r="W1969" s="3353"/>
      <c r="X1969" s="3353"/>
      <c r="Y1969" s="3353"/>
      <c r="Z1969" s="3353"/>
      <c r="AA1969" s="3353"/>
      <c r="AB1969" s="3353"/>
      <c r="AC1969" s="3353"/>
      <c r="AD1969" s="3353"/>
      <c r="AE1969" s="3353"/>
      <c r="AF1969" s="3353"/>
      <c r="AG1969" s="3353"/>
      <c r="AH1969" s="3353"/>
      <c r="AI1969" s="3353"/>
      <c r="AJ1969" s="3353"/>
      <c r="AK1969" s="3353"/>
      <c r="AL1969" s="3353"/>
    </row>
    <row r="1970" spans="1:38" s="3309" customFormat="1" x14ac:dyDescent="0.2">
      <c r="A1970" s="3411" t="s">
        <v>6005</v>
      </c>
      <c r="B1970" s="3417">
        <v>24</v>
      </c>
      <c r="C1970" s="3417">
        <v>24</v>
      </c>
      <c r="D1970" s="3417">
        <v>24</v>
      </c>
      <c r="E1970" s="3417">
        <v>24</v>
      </c>
      <c r="F1970" s="3417">
        <v>24</v>
      </c>
      <c r="G1970" s="3417">
        <v>24</v>
      </c>
      <c r="H1970" s="3353"/>
      <c r="I1970" s="3353"/>
      <c r="J1970" s="3353"/>
      <c r="K1970" s="3353"/>
      <c r="L1970" s="3353"/>
      <c r="M1970" s="3353"/>
      <c r="N1970" s="3353"/>
      <c r="O1970" s="3353"/>
      <c r="P1970" s="3353"/>
      <c r="Q1970" s="3353"/>
      <c r="R1970" s="3353"/>
      <c r="S1970" s="3353"/>
      <c r="T1970" s="3353"/>
      <c r="U1970" s="3353"/>
      <c r="V1970" s="3353"/>
      <c r="W1970" s="3353"/>
      <c r="X1970" s="3353"/>
      <c r="Y1970" s="3353"/>
      <c r="Z1970" s="3353"/>
      <c r="AA1970" s="3353"/>
      <c r="AB1970" s="3353"/>
      <c r="AC1970" s="3353"/>
      <c r="AD1970" s="3353"/>
      <c r="AE1970" s="3353"/>
      <c r="AF1970" s="3353"/>
      <c r="AG1970" s="3353"/>
      <c r="AH1970" s="3353"/>
      <c r="AI1970" s="3353"/>
      <c r="AJ1970" s="3353"/>
      <c r="AK1970" s="3353"/>
      <c r="AL1970" s="3353"/>
    </row>
    <row r="1971" spans="1:38" s="3309" customFormat="1" ht="25.5" x14ac:dyDescent="0.2">
      <c r="A1971" s="3416" t="s">
        <v>6004</v>
      </c>
      <c r="B1971" s="3415">
        <f t="shared" ref="B1971:G1971" si="1107">(B1968*B1969/1000)*B1970*B1963</f>
        <v>3.4560000000000004</v>
      </c>
      <c r="C1971" s="3415">
        <f t="shared" si="1107"/>
        <v>3.4560000000000004</v>
      </c>
      <c r="D1971" s="3415">
        <f t="shared" si="1107"/>
        <v>3.4560000000000004</v>
      </c>
      <c r="E1971" s="3415">
        <f t="shared" si="1107"/>
        <v>3.4560000000000004</v>
      </c>
      <c r="F1971" s="3415">
        <f t="shared" si="1107"/>
        <v>3.4560000000000004</v>
      </c>
      <c r="G1971" s="3415">
        <f t="shared" si="1107"/>
        <v>3.4560000000000004</v>
      </c>
      <c r="H1971" s="3353"/>
      <c r="I1971" s="3353"/>
      <c r="J1971" s="3353"/>
      <c r="K1971" s="3353"/>
      <c r="L1971" s="3353"/>
      <c r="M1971" s="3353"/>
      <c r="N1971" s="3353"/>
      <c r="O1971" s="3353"/>
      <c r="P1971" s="3353"/>
      <c r="Q1971" s="3353"/>
      <c r="R1971" s="3353"/>
      <c r="S1971" s="3353"/>
      <c r="T1971" s="3353"/>
      <c r="U1971" s="3353"/>
      <c r="V1971" s="3353"/>
      <c r="W1971" s="3353"/>
      <c r="X1971" s="3353"/>
      <c r="Y1971" s="3353"/>
      <c r="Z1971" s="3353"/>
      <c r="AA1971" s="3353"/>
      <c r="AB1971" s="3353"/>
      <c r="AC1971" s="3353"/>
      <c r="AD1971" s="3353"/>
      <c r="AE1971" s="3353"/>
      <c r="AF1971" s="3353"/>
      <c r="AG1971" s="3353"/>
      <c r="AH1971" s="3353"/>
      <c r="AI1971" s="3353"/>
      <c r="AJ1971" s="3353"/>
      <c r="AK1971" s="3353"/>
      <c r="AL1971" s="3353"/>
    </row>
    <row r="1972" spans="1:38" s="3309" customFormat="1" x14ac:dyDescent="0.2">
      <c r="A1972" s="3414"/>
      <c r="B1972" s="3413"/>
      <c r="C1972" s="3413"/>
      <c r="D1972" s="3413"/>
      <c r="E1972" s="3413"/>
      <c r="F1972" s="3413"/>
      <c r="G1972" s="3353"/>
      <c r="H1972" s="3353"/>
      <c r="I1972" s="3353"/>
      <c r="J1972" s="3353"/>
      <c r="K1972" s="3353"/>
      <c r="L1972" s="3353"/>
      <c r="M1972" s="3353"/>
      <c r="N1972" s="3353"/>
      <c r="O1972" s="3353"/>
      <c r="P1972" s="3353"/>
      <c r="Q1972" s="3353"/>
      <c r="R1972" s="3353"/>
      <c r="S1972" s="3353"/>
      <c r="T1972" s="3353"/>
      <c r="U1972" s="3353"/>
      <c r="V1972" s="3353"/>
      <c r="W1972" s="3353"/>
      <c r="X1972" s="3353"/>
      <c r="Y1972" s="3353"/>
      <c r="Z1972" s="3353"/>
      <c r="AA1972" s="3353"/>
      <c r="AB1972" s="3353"/>
      <c r="AC1972" s="3353"/>
      <c r="AD1972" s="3353"/>
      <c r="AE1972" s="3353"/>
      <c r="AF1972" s="3353"/>
      <c r="AG1972" s="3353"/>
      <c r="AH1972" s="3353"/>
      <c r="AI1972" s="3353"/>
      <c r="AJ1972" s="3353"/>
      <c r="AK1972" s="3353"/>
      <c r="AL1972" s="3353"/>
    </row>
    <row r="1973" spans="1:38" s="3309" customFormat="1" x14ac:dyDescent="0.2">
      <c r="A1973" s="3401" t="s">
        <v>6003</v>
      </c>
      <c r="B1973" s="3413"/>
      <c r="C1973" s="3413"/>
      <c r="D1973" s="3413"/>
      <c r="E1973" s="3413"/>
      <c r="F1973" s="3413"/>
      <c r="G1973" s="3353"/>
      <c r="H1973" s="3353"/>
      <c r="I1973" s="3353"/>
      <c r="J1973" s="3353"/>
      <c r="K1973" s="3353"/>
      <c r="L1973" s="3353"/>
      <c r="M1973" s="3353"/>
      <c r="N1973" s="3353"/>
      <c r="O1973" s="3353"/>
      <c r="P1973" s="3353"/>
      <c r="Q1973" s="3353"/>
      <c r="R1973" s="3353"/>
      <c r="S1973" s="3353"/>
      <c r="T1973" s="3353"/>
      <c r="U1973" s="3353"/>
      <c r="V1973" s="3353"/>
      <c r="W1973" s="3353"/>
      <c r="X1973" s="3353"/>
      <c r="Y1973" s="3353"/>
      <c r="Z1973" s="3353"/>
      <c r="AA1973" s="3353"/>
      <c r="AB1973" s="3353"/>
      <c r="AC1973" s="3353"/>
      <c r="AD1973" s="3353"/>
      <c r="AE1973" s="3353"/>
      <c r="AF1973" s="3353"/>
      <c r="AG1973" s="3353"/>
      <c r="AH1973" s="3353"/>
      <c r="AI1973" s="3353"/>
      <c r="AJ1973" s="3353"/>
      <c r="AK1973" s="3353"/>
      <c r="AL1973" s="3353"/>
    </row>
    <row r="1974" spans="1:38" s="3309" customFormat="1" x14ac:dyDescent="0.2">
      <c r="A1974" s="3411" t="s">
        <v>6002</v>
      </c>
      <c r="B1974" s="3411">
        <f t="shared" ref="B1974:G1974" si="1108">12*B1417</f>
        <v>0</v>
      </c>
      <c r="C1974" s="3411">
        <f t="shared" si="1108"/>
        <v>0</v>
      </c>
      <c r="D1974" s="3411">
        <f t="shared" si="1108"/>
        <v>0</v>
      </c>
      <c r="E1974" s="3411">
        <f t="shared" si="1108"/>
        <v>0</v>
      </c>
      <c r="F1974" s="3411">
        <f t="shared" si="1108"/>
        <v>0</v>
      </c>
      <c r="G1974" s="3411">
        <f t="shared" si="1108"/>
        <v>0</v>
      </c>
      <c r="H1974" s="3353"/>
      <c r="I1974" s="3353"/>
      <c r="J1974" s="3353"/>
      <c r="K1974" s="3353"/>
      <c r="L1974" s="3353"/>
      <c r="M1974" s="3353"/>
      <c r="N1974" s="3353"/>
      <c r="O1974" s="3353"/>
      <c r="P1974" s="3353"/>
      <c r="Q1974" s="3353"/>
      <c r="R1974" s="3353"/>
      <c r="S1974" s="3353"/>
      <c r="T1974" s="3353"/>
      <c r="U1974" s="3353"/>
      <c r="V1974" s="3353"/>
      <c r="W1974" s="3353"/>
      <c r="X1974" s="3353"/>
      <c r="Y1974" s="3353"/>
      <c r="Z1974" s="3353"/>
      <c r="AA1974" s="3353"/>
      <c r="AB1974" s="3353"/>
      <c r="AC1974" s="3353"/>
      <c r="AD1974" s="3353"/>
      <c r="AE1974" s="3353"/>
      <c r="AF1974" s="3353"/>
      <c r="AG1974" s="3353"/>
      <c r="AH1974" s="3353"/>
      <c r="AI1974" s="3353"/>
      <c r="AJ1974" s="3353"/>
      <c r="AK1974" s="3353"/>
      <c r="AL1974" s="3353"/>
    </row>
    <row r="1975" spans="1:38" s="3309" customFormat="1" x14ac:dyDescent="0.2">
      <c r="A1975" s="3410" t="s">
        <v>6001</v>
      </c>
      <c r="B1975" s="3409">
        <f t="shared" ref="B1975:G1982" si="1109">B1341</f>
        <v>45</v>
      </c>
      <c r="C1975" s="3409">
        <f t="shared" si="1109"/>
        <v>45</v>
      </c>
      <c r="D1975" s="3409">
        <f t="shared" si="1109"/>
        <v>45</v>
      </c>
      <c r="E1975" s="3409">
        <f t="shared" si="1109"/>
        <v>45</v>
      </c>
      <c r="F1975" s="3409">
        <f t="shared" si="1109"/>
        <v>45</v>
      </c>
      <c r="G1975" s="3409">
        <f t="shared" si="1109"/>
        <v>45</v>
      </c>
      <c r="H1975" s="3353"/>
      <c r="I1975" s="3353"/>
      <c r="J1975" s="3353"/>
      <c r="K1975" s="3353"/>
      <c r="L1975" s="3353"/>
      <c r="M1975" s="3353"/>
      <c r="N1975" s="3353"/>
      <c r="O1975" s="3353"/>
      <c r="P1975" s="3353"/>
      <c r="Q1975" s="3353"/>
      <c r="R1975" s="3353"/>
      <c r="S1975" s="3353"/>
      <c r="T1975" s="3353"/>
      <c r="U1975" s="3353"/>
      <c r="V1975" s="3353"/>
      <c r="W1975" s="3353"/>
      <c r="X1975" s="3353"/>
      <c r="Y1975" s="3353"/>
      <c r="Z1975" s="3353"/>
      <c r="AA1975" s="3353"/>
      <c r="AB1975" s="3353"/>
      <c r="AC1975" s="3353"/>
      <c r="AD1975" s="3353"/>
      <c r="AE1975" s="3353"/>
      <c r="AF1975" s="3353"/>
      <c r="AG1975" s="3353"/>
      <c r="AH1975" s="3353"/>
      <c r="AI1975" s="3353"/>
      <c r="AJ1975" s="3353"/>
      <c r="AK1975" s="3353"/>
      <c r="AL1975" s="3353"/>
    </row>
    <row r="1976" spans="1:38" s="3309" customFormat="1" x14ac:dyDescent="0.2">
      <c r="A1976" s="3410" t="s">
        <v>6000</v>
      </c>
      <c r="B1976" s="3409">
        <f t="shared" si="1109"/>
        <v>1</v>
      </c>
      <c r="C1976" s="3409">
        <f t="shared" si="1109"/>
        <v>1</v>
      </c>
      <c r="D1976" s="3409">
        <f t="shared" si="1109"/>
        <v>1</v>
      </c>
      <c r="E1976" s="3409">
        <f t="shared" si="1109"/>
        <v>1</v>
      </c>
      <c r="F1976" s="3409">
        <f t="shared" si="1109"/>
        <v>1</v>
      </c>
      <c r="G1976" s="3409">
        <f t="shared" si="1109"/>
        <v>1</v>
      </c>
      <c r="H1976" s="3353"/>
      <c r="I1976" s="3353"/>
      <c r="J1976" s="3353"/>
      <c r="K1976" s="3353"/>
      <c r="L1976" s="3353"/>
      <c r="M1976" s="3353"/>
      <c r="N1976" s="3353"/>
      <c r="O1976" s="3353"/>
      <c r="P1976" s="3353"/>
      <c r="Q1976" s="3353"/>
      <c r="R1976" s="3353"/>
      <c r="S1976" s="3353"/>
      <c r="T1976" s="3353"/>
      <c r="U1976" s="3353"/>
      <c r="V1976" s="3353"/>
      <c r="W1976" s="3353"/>
      <c r="X1976" s="3353"/>
      <c r="Y1976" s="3353"/>
      <c r="Z1976" s="3353"/>
      <c r="AA1976" s="3353"/>
      <c r="AB1976" s="3353"/>
      <c r="AC1976" s="3353"/>
      <c r="AD1976" s="3353"/>
      <c r="AE1976" s="3353"/>
      <c r="AF1976" s="3353"/>
      <c r="AG1976" s="3353"/>
      <c r="AH1976" s="3353"/>
      <c r="AI1976" s="3353"/>
      <c r="AJ1976" s="3353"/>
      <c r="AK1976" s="3353"/>
      <c r="AL1976" s="3353"/>
    </row>
    <row r="1977" spans="1:38" s="3309" customFormat="1" x14ac:dyDescent="0.2">
      <c r="A1977" s="3410" t="s">
        <v>5999</v>
      </c>
      <c r="B1977" s="3409">
        <f t="shared" si="1109"/>
        <v>0.9</v>
      </c>
      <c r="C1977" s="3409">
        <f t="shared" si="1109"/>
        <v>0.9</v>
      </c>
      <c r="D1977" s="3409">
        <f t="shared" si="1109"/>
        <v>0.9</v>
      </c>
      <c r="E1977" s="3409">
        <f t="shared" si="1109"/>
        <v>0.9</v>
      </c>
      <c r="F1977" s="3409">
        <f t="shared" si="1109"/>
        <v>0.9</v>
      </c>
      <c r="G1977" s="3409">
        <f t="shared" si="1109"/>
        <v>0.9</v>
      </c>
      <c r="H1977" s="3353"/>
      <c r="I1977" s="3353"/>
      <c r="J1977" s="3353"/>
      <c r="K1977" s="3353"/>
      <c r="L1977" s="3353"/>
      <c r="M1977" s="3353"/>
      <c r="N1977" s="3353"/>
      <c r="O1977" s="3353"/>
      <c r="P1977" s="3353"/>
      <c r="Q1977" s="3353"/>
      <c r="R1977" s="3353"/>
      <c r="S1977" s="3353"/>
      <c r="T1977" s="3353"/>
      <c r="U1977" s="3353"/>
      <c r="V1977" s="3353"/>
      <c r="W1977" s="3353"/>
      <c r="X1977" s="3353"/>
      <c r="Y1977" s="3353"/>
      <c r="Z1977" s="3353"/>
      <c r="AA1977" s="3353"/>
      <c r="AB1977" s="3353"/>
      <c r="AC1977" s="3353"/>
      <c r="AD1977" s="3353"/>
      <c r="AE1977" s="3353"/>
      <c r="AF1977" s="3353"/>
      <c r="AG1977" s="3353"/>
      <c r="AH1977" s="3353"/>
      <c r="AI1977" s="3353"/>
      <c r="AJ1977" s="3353"/>
      <c r="AK1977" s="3353"/>
      <c r="AL1977" s="3353"/>
    </row>
    <row r="1978" spans="1:38" s="3309" customFormat="1" x14ac:dyDescent="0.2">
      <c r="A1978" s="3410" t="s">
        <v>5998</v>
      </c>
      <c r="B1978" s="3409">
        <f t="shared" si="1109"/>
        <v>0.95</v>
      </c>
      <c r="C1978" s="3409">
        <f t="shared" si="1109"/>
        <v>0.95</v>
      </c>
      <c r="D1978" s="3409">
        <f t="shared" si="1109"/>
        <v>0.95</v>
      </c>
      <c r="E1978" s="3409">
        <f t="shared" si="1109"/>
        <v>0.95</v>
      </c>
      <c r="F1978" s="3409">
        <f t="shared" si="1109"/>
        <v>0.95</v>
      </c>
      <c r="G1978" s="3409">
        <f t="shared" si="1109"/>
        <v>0.95</v>
      </c>
      <c r="H1978" s="3353"/>
      <c r="I1978" s="3353"/>
      <c r="J1978" s="3353"/>
      <c r="K1978" s="3353"/>
      <c r="L1978" s="3353"/>
      <c r="M1978" s="3353"/>
      <c r="N1978" s="3353"/>
      <c r="O1978" s="3353"/>
      <c r="P1978" s="3353"/>
      <c r="Q1978" s="3353"/>
      <c r="R1978" s="3353"/>
      <c r="S1978" s="3353"/>
      <c r="T1978" s="3353"/>
      <c r="U1978" s="3353"/>
      <c r="V1978" s="3353"/>
      <c r="W1978" s="3353"/>
      <c r="X1978" s="3353"/>
      <c r="Y1978" s="3353"/>
      <c r="Z1978" s="3353"/>
      <c r="AA1978" s="3353"/>
      <c r="AB1978" s="3353"/>
      <c r="AC1978" s="3353"/>
      <c r="AD1978" s="3353"/>
      <c r="AE1978" s="3353"/>
      <c r="AF1978" s="3353"/>
      <c r="AG1978" s="3353"/>
      <c r="AH1978" s="3353"/>
      <c r="AI1978" s="3353"/>
      <c r="AJ1978" s="3353"/>
      <c r="AK1978" s="3353"/>
      <c r="AL1978" s="3353"/>
    </row>
    <row r="1979" spans="1:38" s="3309" customFormat="1" x14ac:dyDescent="0.2">
      <c r="A1979" s="3410" t="s">
        <v>5997</v>
      </c>
      <c r="B1979" s="3409">
        <f t="shared" si="1109"/>
        <v>0.25</v>
      </c>
      <c r="C1979" s="3409">
        <f t="shared" si="1109"/>
        <v>0.25</v>
      </c>
      <c r="D1979" s="3409">
        <f t="shared" si="1109"/>
        <v>0.25</v>
      </c>
      <c r="E1979" s="3409">
        <f t="shared" si="1109"/>
        <v>0.25</v>
      </c>
      <c r="F1979" s="3409">
        <f t="shared" si="1109"/>
        <v>0.25</v>
      </c>
      <c r="G1979" s="3409">
        <f t="shared" si="1109"/>
        <v>0.25</v>
      </c>
      <c r="H1979" s="3353"/>
      <c r="I1979" s="3353"/>
      <c r="J1979" s="3353"/>
      <c r="K1979" s="3353"/>
      <c r="L1979" s="3353"/>
      <c r="M1979" s="3353"/>
      <c r="N1979" s="3353"/>
      <c r="O1979" s="3353"/>
      <c r="P1979" s="3353"/>
      <c r="Q1979" s="3353"/>
      <c r="R1979" s="3353"/>
      <c r="S1979" s="3353"/>
      <c r="T1979" s="3353"/>
      <c r="U1979" s="3353"/>
      <c r="V1979" s="3353"/>
      <c r="W1979" s="3353"/>
      <c r="X1979" s="3353"/>
      <c r="Y1979" s="3353"/>
      <c r="Z1979" s="3353"/>
      <c r="AA1979" s="3353"/>
      <c r="AB1979" s="3353"/>
      <c r="AC1979" s="3353"/>
      <c r="AD1979" s="3353"/>
      <c r="AE1979" s="3353"/>
      <c r="AF1979" s="3353"/>
      <c r="AG1979" s="3353"/>
      <c r="AH1979" s="3353"/>
      <c r="AI1979" s="3353"/>
      <c r="AJ1979" s="3353"/>
      <c r="AK1979" s="3353"/>
      <c r="AL1979" s="3353"/>
    </row>
    <row r="1980" spans="1:38" s="3309" customFormat="1" x14ac:dyDescent="0.2">
      <c r="A1980" s="3410" t="s">
        <v>5996</v>
      </c>
      <c r="B1980" s="3409">
        <f t="shared" si="1109"/>
        <v>1.4999999999999999E-2</v>
      </c>
      <c r="C1980" s="3409">
        <f t="shared" si="1109"/>
        <v>1.4999999999999999E-2</v>
      </c>
      <c r="D1980" s="3409">
        <f t="shared" si="1109"/>
        <v>1.4999999999999999E-2</v>
      </c>
      <c r="E1980" s="3409">
        <f t="shared" si="1109"/>
        <v>1.4999999999999999E-2</v>
      </c>
      <c r="F1980" s="3409">
        <f t="shared" si="1109"/>
        <v>1.4999999999999999E-2</v>
      </c>
      <c r="G1980" s="3409">
        <f t="shared" si="1109"/>
        <v>1.4999999999999999E-2</v>
      </c>
      <c r="H1980" s="3353"/>
      <c r="I1980" s="3353"/>
      <c r="J1980" s="3353"/>
      <c r="K1980" s="3353"/>
      <c r="L1980" s="3353"/>
      <c r="M1980" s="3353"/>
      <c r="N1980" s="3353"/>
      <c r="O1980" s="3353"/>
      <c r="P1980" s="3353"/>
      <c r="Q1980" s="3353"/>
      <c r="R1980" s="3353"/>
      <c r="S1980" s="3353"/>
      <c r="T1980" s="3353"/>
      <c r="U1980" s="3353"/>
      <c r="V1980" s="3353"/>
      <c r="W1980" s="3353"/>
      <c r="X1980" s="3353"/>
      <c r="Y1980" s="3353"/>
      <c r="Z1980" s="3353"/>
      <c r="AA1980" s="3353"/>
      <c r="AB1980" s="3353"/>
      <c r="AC1980" s="3353"/>
      <c r="AD1980" s="3353"/>
      <c r="AE1980" s="3353"/>
      <c r="AF1980" s="3353"/>
      <c r="AG1980" s="3353"/>
      <c r="AH1980" s="3353"/>
      <c r="AI1980" s="3353"/>
      <c r="AJ1980" s="3353"/>
      <c r="AK1980" s="3353"/>
      <c r="AL1980" s="3353"/>
    </row>
    <row r="1981" spans="1:38" s="3309" customFormat="1" x14ac:dyDescent="0.2">
      <c r="A1981" s="3410" t="s">
        <v>5995</v>
      </c>
      <c r="B1981" s="3409">
        <f t="shared" si="1109"/>
        <v>0.01</v>
      </c>
      <c r="C1981" s="3409">
        <f t="shared" si="1109"/>
        <v>0.01</v>
      </c>
      <c r="D1981" s="3409">
        <f t="shared" si="1109"/>
        <v>0.01</v>
      </c>
      <c r="E1981" s="3409">
        <f t="shared" si="1109"/>
        <v>0.01</v>
      </c>
      <c r="F1981" s="3409">
        <f t="shared" si="1109"/>
        <v>0.01</v>
      </c>
      <c r="G1981" s="3409">
        <f t="shared" si="1109"/>
        <v>0.01</v>
      </c>
      <c r="H1981" s="3353"/>
      <c r="I1981" s="3353"/>
      <c r="J1981" s="3353"/>
      <c r="K1981" s="3353"/>
      <c r="L1981" s="3353"/>
      <c r="M1981" s="3353"/>
      <c r="N1981" s="3353"/>
      <c r="O1981" s="3353"/>
      <c r="P1981" s="3353"/>
      <c r="Q1981" s="3353"/>
      <c r="R1981" s="3353"/>
      <c r="S1981" s="3353"/>
      <c r="T1981" s="3353"/>
      <c r="U1981" s="3353"/>
      <c r="V1981" s="3353"/>
      <c r="W1981" s="3353"/>
      <c r="X1981" s="3353"/>
      <c r="Y1981" s="3353"/>
      <c r="Z1981" s="3353"/>
      <c r="AA1981" s="3353"/>
      <c r="AB1981" s="3353"/>
      <c r="AC1981" s="3353"/>
      <c r="AD1981" s="3353"/>
      <c r="AE1981" s="3353"/>
      <c r="AF1981" s="3353"/>
      <c r="AG1981" s="3353"/>
      <c r="AH1981" s="3353"/>
      <c r="AI1981" s="3353"/>
      <c r="AJ1981" s="3353"/>
      <c r="AK1981" s="3353"/>
      <c r="AL1981" s="3353"/>
    </row>
    <row r="1982" spans="1:38" s="3309" customFormat="1" x14ac:dyDescent="0.2">
      <c r="A1982" s="3410" t="s">
        <v>5994</v>
      </c>
      <c r="B1982" s="3409">
        <f t="shared" si="1109"/>
        <v>0.85</v>
      </c>
      <c r="C1982" s="3409">
        <f t="shared" si="1109"/>
        <v>0.85</v>
      </c>
      <c r="D1982" s="3409">
        <f t="shared" si="1109"/>
        <v>0.85</v>
      </c>
      <c r="E1982" s="3409">
        <f t="shared" si="1109"/>
        <v>0.85</v>
      </c>
      <c r="F1982" s="3409">
        <f t="shared" si="1109"/>
        <v>0.85</v>
      </c>
      <c r="G1982" s="3409">
        <f t="shared" si="1109"/>
        <v>0.85</v>
      </c>
      <c r="H1982" s="3353"/>
      <c r="I1982" s="3353"/>
      <c r="J1982" s="3353"/>
      <c r="K1982" s="3353"/>
      <c r="L1982" s="3353"/>
      <c r="M1982" s="3353"/>
      <c r="N1982" s="3353"/>
      <c r="O1982" s="3353"/>
      <c r="P1982" s="3353"/>
      <c r="Q1982" s="3353"/>
      <c r="R1982" s="3353"/>
      <c r="S1982" s="3353"/>
      <c r="T1982" s="3353"/>
      <c r="U1982" s="3353"/>
      <c r="V1982" s="3353"/>
      <c r="W1982" s="3353"/>
      <c r="X1982" s="3353"/>
      <c r="Y1982" s="3353"/>
      <c r="Z1982" s="3353"/>
      <c r="AA1982" s="3353"/>
      <c r="AB1982" s="3353"/>
      <c r="AC1982" s="3353"/>
      <c r="AD1982" s="3353"/>
      <c r="AE1982" s="3353"/>
      <c r="AF1982" s="3353"/>
      <c r="AG1982" s="3353"/>
      <c r="AH1982" s="3353"/>
      <c r="AI1982" s="3353"/>
      <c r="AJ1982" s="3353"/>
      <c r="AK1982" s="3353"/>
      <c r="AL1982" s="3353"/>
    </row>
    <row r="1983" spans="1:38" s="3309" customFormat="1" x14ac:dyDescent="0.2">
      <c r="A1983" s="3411" t="s">
        <v>5993</v>
      </c>
      <c r="B1983" s="3411">
        <f t="shared" ref="B1983:G1983" si="1110">((B1982*B1975*B1976*B1974*B1985+(1-B1982)*B1979*B1975*B1976*B1974*B1985)/(B1977*B1978))*(1+B1980+B1981)</f>
        <v>0</v>
      </c>
      <c r="C1983" s="3411">
        <f t="shared" si="1110"/>
        <v>0</v>
      </c>
      <c r="D1983" s="3411">
        <f t="shared" si="1110"/>
        <v>0</v>
      </c>
      <c r="E1983" s="3411">
        <f t="shared" si="1110"/>
        <v>0</v>
      </c>
      <c r="F1983" s="3411">
        <f t="shared" si="1110"/>
        <v>0</v>
      </c>
      <c r="G1983" s="3411">
        <f t="shared" si="1110"/>
        <v>0</v>
      </c>
      <c r="H1983" s="3353"/>
      <c r="I1983" s="3353"/>
      <c r="J1983" s="3353"/>
      <c r="K1983" s="3353"/>
      <c r="L1983" s="3353"/>
      <c r="M1983" s="3353"/>
      <c r="N1983" s="3353"/>
      <c r="O1983" s="3353"/>
      <c r="P1983" s="3353"/>
      <c r="Q1983" s="3353"/>
      <c r="R1983" s="3353"/>
      <c r="S1983" s="3353"/>
      <c r="T1983" s="3353"/>
      <c r="U1983" s="3353"/>
      <c r="V1983" s="3353"/>
      <c r="W1983" s="3353"/>
      <c r="X1983" s="3353"/>
      <c r="Y1983" s="3353"/>
      <c r="Z1983" s="3353"/>
      <c r="AA1983" s="3353"/>
      <c r="AB1983" s="3353"/>
      <c r="AC1983" s="3353"/>
      <c r="AD1983" s="3353"/>
      <c r="AE1983" s="3353"/>
      <c r="AF1983" s="3353"/>
      <c r="AG1983" s="3353"/>
      <c r="AH1983" s="3353"/>
      <c r="AI1983" s="3353"/>
      <c r="AJ1983" s="3353"/>
      <c r="AK1983" s="3353"/>
      <c r="AL1983" s="3353"/>
    </row>
    <row r="1984" spans="1:38" s="3309" customFormat="1" x14ac:dyDescent="0.2">
      <c r="A1984" s="3412"/>
      <c r="B1984" s="3412"/>
      <c r="C1984" s="3412"/>
      <c r="D1984" s="3412"/>
      <c r="E1984" s="3412"/>
      <c r="F1984" s="3412"/>
      <c r="G1984" s="3353"/>
      <c r="H1984" s="3353"/>
      <c r="I1984" s="3353"/>
      <c r="J1984" s="3353"/>
      <c r="K1984" s="3353"/>
      <c r="L1984" s="3353"/>
      <c r="M1984" s="3353"/>
      <c r="N1984" s="3353"/>
      <c r="O1984" s="3353"/>
      <c r="P1984" s="3353"/>
      <c r="Q1984" s="3353"/>
      <c r="R1984" s="3353"/>
      <c r="S1984" s="3353"/>
      <c r="T1984" s="3353"/>
      <c r="U1984" s="3353"/>
      <c r="V1984" s="3353"/>
      <c r="W1984" s="3353"/>
      <c r="X1984" s="3353"/>
      <c r="Y1984" s="3353"/>
      <c r="Z1984" s="3353"/>
      <c r="AA1984" s="3353"/>
      <c r="AB1984" s="3353"/>
      <c r="AC1984" s="3353"/>
      <c r="AD1984" s="3353"/>
      <c r="AE1984" s="3353"/>
      <c r="AF1984" s="3353"/>
      <c r="AG1984" s="3353"/>
      <c r="AH1984" s="3353"/>
      <c r="AI1984" s="3353"/>
      <c r="AJ1984" s="3353"/>
      <c r="AK1984" s="3353"/>
      <c r="AL1984" s="3353"/>
    </row>
    <row r="1985" spans="1:38" s="3309" customFormat="1" x14ac:dyDescent="0.2">
      <c r="A1985" s="3410" t="s">
        <v>5992</v>
      </c>
      <c r="B1985" s="3409">
        <f t="shared" ref="B1985:G1986" si="1111">B1351</f>
        <v>6</v>
      </c>
      <c r="C1985" s="3409">
        <f t="shared" si="1111"/>
        <v>6</v>
      </c>
      <c r="D1985" s="3409">
        <f t="shared" si="1111"/>
        <v>6</v>
      </c>
      <c r="E1985" s="3409">
        <f t="shared" si="1111"/>
        <v>6</v>
      </c>
      <c r="F1985" s="3409">
        <f t="shared" si="1111"/>
        <v>6</v>
      </c>
      <c r="G1985" s="3409">
        <f t="shared" si="1111"/>
        <v>6</v>
      </c>
      <c r="H1985" s="3353"/>
      <c r="I1985" s="3353"/>
      <c r="J1985" s="3353"/>
      <c r="K1985" s="3353"/>
      <c r="L1985" s="3353"/>
      <c r="M1985" s="3353"/>
      <c r="N1985" s="3353"/>
      <c r="O1985" s="3353"/>
      <c r="P1985" s="3353"/>
      <c r="Q1985" s="3353"/>
      <c r="R1985" s="3353"/>
      <c r="S1985" s="3353"/>
      <c r="T1985" s="3353"/>
      <c r="U1985" s="3353"/>
      <c r="V1985" s="3353"/>
      <c r="W1985" s="3353"/>
      <c r="X1985" s="3353"/>
      <c r="Y1985" s="3353"/>
      <c r="Z1985" s="3353"/>
      <c r="AA1985" s="3353"/>
      <c r="AB1985" s="3353"/>
      <c r="AC1985" s="3353"/>
      <c r="AD1985" s="3353"/>
      <c r="AE1985" s="3353"/>
      <c r="AF1985" s="3353"/>
      <c r="AG1985" s="3353"/>
      <c r="AH1985" s="3353"/>
      <c r="AI1985" s="3353"/>
      <c r="AJ1985" s="3353"/>
      <c r="AK1985" s="3353"/>
      <c r="AL1985" s="3353"/>
    </row>
    <row r="1986" spans="1:38" s="3309" customFormat="1" x14ac:dyDescent="0.2">
      <c r="A1986" s="3410" t="s">
        <v>5991</v>
      </c>
      <c r="B1986" s="3409">
        <f t="shared" si="1111"/>
        <v>7.5</v>
      </c>
      <c r="C1986" s="3409">
        <f t="shared" si="1111"/>
        <v>7.5</v>
      </c>
      <c r="D1986" s="3409">
        <f t="shared" si="1111"/>
        <v>7.5</v>
      </c>
      <c r="E1986" s="3409">
        <f t="shared" si="1111"/>
        <v>7.5</v>
      </c>
      <c r="F1986" s="3409">
        <f t="shared" si="1111"/>
        <v>7.5</v>
      </c>
      <c r="G1986" s="3409">
        <f t="shared" si="1111"/>
        <v>7.5</v>
      </c>
      <c r="H1986" s="3353"/>
      <c r="I1986" s="3353"/>
      <c r="J1986" s="3353"/>
      <c r="K1986" s="3353"/>
      <c r="L1986" s="3353"/>
      <c r="M1986" s="3353"/>
      <c r="N1986" s="3353"/>
      <c r="O1986" s="3353"/>
      <c r="P1986" s="3353"/>
      <c r="Q1986" s="3353"/>
      <c r="R1986" s="3353"/>
      <c r="S1986" s="3353"/>
      <c r="T1986" s="3353"/>
      <c r="U1986" s="3353"/>
      <c r="V1986" s="3353"/>
      <c r="W1986" s="3353"/>
      <c r="X1986" s="3353"/>
      <c r="Y1986" s="3353"/>
      <c r="Z1986" s="3353"/>
      <c r="AA1986" s="3353"/>
      <c r="AB1986" s="3353"/>
      <c r="AC1986" s="3353"/>
      <c r="AD1986" s="3353"/>
      <c r="AE1986" s="3353"/>
      <c r="AF1986" s="3353"/>
      <c r="AG1986" s="3353"/>
      <c r="AH1986" s="3353"/>
      <c r="AI1986" s="3353"/>
      <c r="AJ1986" s="3353"/>
      <c r="AK1986" s="3353"/>
      <c r="AL1986" s="3353"/>
    </row>
    <row r="1987" spans="1:38" s="3309" customFormat="1" x14ac:dyDescent="0.2">
      <c r="A1987" s="3407" t="s">
        <v>5990</v>
      </c>
      <c r="B1987" s="3407">
        <f t="shared" ref="B1987:G1987" si="1112">B1986*60</f>
        <v>450</v>
      </c>
      <c r="C1987" s="3407">
        <f t="shared" si="1112"/>
        <v>450</v>
      </c>
      <c r="D1987" s="3407">
        <f t="shared" si="1112"/>
        <v>450</v>
      </c>
      <c r="E1987" s="3407">
        <f t="shared" si="1112"/>
        <v>450</v>
      </c>
      <c r="F1987" s="3407">
        <f t="shared" si="1112"/>
        <v>450</v>
      </c>
      <c r="G1987" s="3407">
        <f t="shared" si="1112"/>
        <v>450</v>
      </c>
      <c r="H1987" s="3353"/>
      <c r="I1987" s="3353"/>
      <c r="J1987" s="3353"/>
      <c r="K1987" s="3353"/>
      <c r="L1987" s="3353"/>
      <c r="M1987" s="3353"/>
      <c r="N1987" s="3353"/>
      <c r="O1987" s="3353"/>
      <c r="P1987" s="3353"/>
      <c r="Q1987" s="3353"/>
      <c r="R1987" s="3353"/>
      <c r="S1987" s="3353"/>
      <c r="T1987" s="3353"/>
      <c r="U1987" s="3353"/>
      <c r="V1987" s="3353"/>
      <c r="W1987" s="3353"/>
      <c r="X1987" s="3353"/>
      <c r="Y1987" s="3353"/>
      <c r="Z1987" s="3353"/>
      <c r="AA1987" s="3353"/>
      <c r="AB1987" s="3353"/>
      <c r="AC1987" s="3353"/>
      <c r="AD1987" s="3353"/>
      <c r="AE1987" s="3353"/>
      <c r="AF1987" s="3353"/>
      <c r="AG1987" s="3353"/>
      <c r="AH1987" s="3353"/>
      <c r="AI1987" s="3353"/>
      <c r="AJ1987" s="3353"/>
      <c r="AK1987" s="3353"/>
      <c r="AL1987" s="3353"/>
    </row>
    <row r="1988" spans="1:38" s="3309" customFormat="1" x14ac:dyDescent="0.2">
      <c r="A1988" s="3411" t="s">
        <v>5989</v>
      </c>
      <c r="B1988" s="3411">
        <f t="shared" ref="B1988:G1988" si="1113">60*B1982*B1974*B1985*B1987</f>
        <v>0</v>
      </c>
      <c r="C1988" s="3411">
        <f t="shared" si="1113"/>
        <v>0</v>
      </c>
      <c r="D1988" s="3411">
        <f t="shared" si="1113"/>
        <v>0</v>
      </c>
      <c r="E1988" s="3411">
        <f t="shared" si="1113"/>
        <v>0</v>
      </c>
      <c r="F1988" s="3411">
        <f t="shared" si="1113"/>
        <v>0</v>
      </c>
      <c r="G1988" s="3411">
        <f t="shared" si="1113"/>
        <v>0</v>
      </c>
      <c r="H1988" s="3353"/>
      <c r="I1988" s="3353"/>
      <c r="J1988" s="3353"/>
      <c r="K1988" s="3353"/>
      <c r="L1988" s="3353"/>
      <c r="M1988" s="3353"/>
      <c r="N1988" s="3353"/>
      <c r="O1988" s="3353"/>
      <c r="P1988" s="3353"/>
      <c r="Q1988" s="3353"/>
      <c r="R1988" s="3353"/>
      <c r="S1988" s="3353"/>
      <c r="T1988" s="3353"/>
      <c r="U1988" s="3353"/>
      <c r="V1988" s="3353"/>
      <c r="W1988" s="3353"/>
      <c r="X1988" s="3353"/>
      <c r="Y1988" s="3353"/>
      <c r="Z1988" s="3353"/>
      <c r="AA1988" s="3353"/>
      <c r="AB1988" s="3353"/>
      <c r="AC1988" s="3353"/>
      <c r="AD1988" s="3353"/>
      <c r="AE1988" s="3353"/>
      <c r="AF1988" s="3353"/>
      <c r="AG1988" s="3353"/>
      <c r="AH1988" s="3353"/>
      <c r="AI1988" s="3353"/>
      <c r="AJ1988" s="3353"/>
      <c r="AK1988" s="3353"/>
      <c r="AL1988" s="3353"/>
    </row>
    <row r="1989" spans="1:38" s="3309" customFormat="1" x14ac:dyDescent="0.2">
      <c r="A1989" s="3412"/>
      <c r="B1989" s="3412"/>
      <c r="C1989" s="3412"/>
      <c r="D1989" s="3412"/>
      <c r="E1989" s="3412"/>
      <c r="F1989" s="3412"/>
      <c r="G1989" s="3412"/>
      <c r="H1989" s="3353"/>
      <c r="I1989" s="3353"/>
      <c r="J1989" s="3353"/>
      <c r="K1989" s="3353"/>
      <c r="L1989" s="3353"/>
      <c r="M1989" s="3353"/>
      <c r="N1989" s="3353"/>
      <c r="O1989" s="3353"/>
      <c r="P1989" s="3353"/>
      <c r="Q1989" s="3353"/>
      <c r="R1989" s="3353"/>
      <c r="S1989" s="3353"/>
      <c r="T1989" s="3353"/>
      <c r="U1989" s="3353"/>
      <c r="V1989" s="3353"/>
      <c r="W1989" s="3353"/>
      <c r="X1989" s="3353"/>
      <c r="Y1989" s="3353"/>
      <c r="Z1989" s="3353"/>
      <c r="AA1989" s="3353"/>
      <c r="AB1989" s="3353"/>
      <c r="AC1989" s="3353"/>
      <c r="AD1989" s="3353"/>
      <c r="AE1989" s="3353"/>
      <c r="AF1989" s="3353"/>
      <c r="AG1989" s="3353"/>
      <c r="AH1989" s="3353"/>
      <c r="AI1989" s="3353"/>
      <c r="AJ1989" s="3353"/>
      <c r="AK1989" s="3353"/>
      <c r="AL1989" s="3353"/>
    </row>
    <row r="1990" spans="1:38" s="3309" customFormat="1" x14ac:dyDescent="0.2">
      <c r="A1990" s="3411" t="s">
        <v>5988</v>
      </c>
      <c r="B1990" s="3411" t="e">
        <f t="shared" ref="B1990:G1990" si="1114">B1983/B1988</f>
        <v>#DIV/0!</v>
      </c>
      <c r="C1990" s="3411" t="e">
        <f t="shared" si="1114"/>
        <v>#DIV/0!</v>
      </c>
      <c r="D1990" s="3411" t="e">
        <f t="shared" si="1114"/>
        <v>#DIV/0!</v>
      </c>
      <c r="E1990" s="3411" t="e">
        <f t="shared" si="1114"/>
        <v>#DIV/0!</v>
      </c>
      <c r="F1990" s="3411" t="e">
        <f t="shared" si="1114"/>
        <v>#DIV/0!</v>
      </c>
      <c r="G1990" s="3411" t="e">
        <f t="shared" si="1114"/>
        <v>#DIV/0!</v>
      </c>
      <c r="H1990" s="3353"/>
      <c r="I1990" s="3353"/>
      <c r="J1990" s="3353"/>
      <c r="K1990" s="3353"/>
      <c r="L1990" s="3353"/>
      <c r="M1990" s="3353"/>
      <c r="N1990" s="3353"/>
      <c r="O1990" s="3353"/>
      <c r="P1990" s="3353"/>
      <c r="Q1990" s="3353"/>
      <c r="R1990" s="3353"/>
      <c r="S1990" s="3353"/>
      <c r="T1990" s="3353"/>
      <c r="U1990" s="3353"/>
      <c r="V1990" s="3353"/>
      <c r="W1990" s="3353"/>
      <c r="X1990" s="3353"/>
      <c r="Y1990" s="3353"/>
      <c r="Z1990" s="3353"/>
      <c r="AA1990" s="3353"/>
      <c r="AB1990" s="3353"/>
      <c r="AC1990" s="3353"/>
      <c r="AD1990" s="3353"/>
      <c r="AE1990" s="3353"/>
      <c r="AF1990" s="3353"/>
      <c r="AG1990" s="3353"/>
      <c r="AH1990" s="3353"/>
      <c r="AI1990" s="3353"/>
      <c r="AJ1990" s="3353"/>
      <c r="AK1990" s="3353"/>
      <c r="AL1990" s="3353"/>
    </row>
    <row r="1991" spans="1:38" s="3309" customFormat="1" x14ac:dyDescent="0.2">
      <c r="A1991" s="3410" t="s">
        <v>5987</v>
      </c>
      <c r="B1991" s="3409">
        <f t="shared" ref="B1991:G1991" si="1115">B1963</f>
        <v>0.8</v>
      </c>
      <c r="C1991" s="3409">
        <f t="shared" si="1115"/>
        <v>0.8</v>
      </c>
      <c r="D1991" s="3409">
        <f t="shared" si="1115"/>
        <v>0.8</v>
      </c>
      <c r="E1991" s="3409">
        <f t="shared" si="1115"/>
        <v>0.8</v>
      </c>
      <c r="F1991" s="3409">
        <f t="shared" si="1115"/>
        <v>0.8</v>
      </c>
      <c r="G1991" s="3409">
        <f t="shared" si="1115"/>
        <v>0.8</v>
      </c>
      <c r="H1991" s="3353"/>
      <c r="I1991" s="3353"/>
      <c r="J1991" s="3353"/>
      <c r="K1991" s="3353"/>
      <c r="L1991" s="3353"/>
      <c r="M1991" s="3353"/>
      <c r="N1991" s="3353"/>
      <c r="O1991" s="3353"/>
      <c r="P1991" s="3353"/>
      <c r="Q1991" s="3353"/>
      <c r="R1991" s="3353"/>
      <c r="S1991" s="3353"/>
      <c r="T1991" s="3353"/>
      <c r="U1991" s="3353"/>
      <c r="V1991" s="3353"/>
      <c r="W1991" s="3353"/>
      <c r="X1991" s="3353"/>
      <c r="Y1991" s="3353"/>
      <c r="Z1991" s="3353"/>
      <c r="AA1991" s="3353"/>
      <c r="AB1991" s="3353"/>
      <c r="AC1991" s="3353"/>
      <c r="AD1991" s="3353"/>
      <c r="AE1991" s="3353"/>
      <c r="AF1991" s="3353"/>
      <c r="AG1991" s="3353"/>
      <c r="AH1991" s="3353"/>
      <c r="AI1991" s="3353"/>
      <c r="AJ1991" s="3353"/>
      <c r="AK1991" s="3353"/>
      <c r="AL1991" s="3353"/>
    </row>
    <row r="1992" spans="1:38" s="3309" customFormat="1" x14ac:dyDescent="0.2">
      <c r="A1992" s="3411" t="s">
        <v>5986</v>
      </c>
      <c r="B1992" s="3411" t="e">
        <f t="shared" ref="B1992:G1992" si="1116">B1990*B1991</f>
        <v>#DIV/0!</v>
      </c>
      <c r="C1992" s="3411" t="e">
        <f t="shared" si="1116"/>
        <v>#DIV/0!</v>
      </c>
      <c r="D1992" s="3411" t="e">
        <f t="shared" si="1116"/>
        <v>#DIV/0!</v>
      </c>
      <c r="E1992" s="3411" t="e">
        <f t="shared" si="1116"/>
        <v>#DIV/0!</v>
      </c>
      <c r="F1992" s="3411" t="e">
        <f t="shared" si="1116"/>
        <v>#DIV/0!</v>
      </c>
      <c r="G1992" s="3411" t="e">
        <f t="shared" si="1116"/>
        <v>#DIV/0!</v>
      </c>
      <c r="H1992" s="3353"/>
      <c r="I1992" s="3353"/>
      <c r="J1992" s="3353"/>
      <c r="K1992" s="3353"/>
      <c r="L1992" s="3353"/>
      <c r="M1992" s="3353"/>
      <c r="N1992" s="3353"/>
      <c r="O1992" s="3353"/>
      <c r="P1992" s="3353"/>
      <c r="Q1992" s="3353"/>
      <c r="R1992" s="3353"/>
      <c r="S1992" s="3353"/>
      <c r="T1992" s="3353"/>
      <c r="U1992" s="3353"/>
      <c r="V1992" s="3353"/>
      <c r="W1992" s="3353"/>
      <c r="X1992" s="3353"/>
      <c r="Y1992" s="3353"/>
      <c r="Z1992" s="3353"/>
      <c r="AA1992" s="3353"/>
      <c r="AB1992" s="3353"/>
      <c r="AC1992" s="3353"/>
      <c r="AD1992" s="3353"/>
      <c r="AE1992" s="3353"/>
      <c r="AF1992" s="3353"/>
      <c r="AG1992" s="3353"/>
      <c r="AH1992" s="3353"/>
      <c r="AI1992" s="3353"/>
      <c r="AJ1992" s="3353"/>
      <c r="AK1992" s="3353"/>
      <c r="AL1992" s="3353"/>
    </row>
    <row r="1993" spans="1:38" s="3309" customFormat="1" x14ac:dyDescent="0.2">
      <c r="A1993" s="3412" t="s">
        <v>5985</v>
      </c>
      <c r="B1993" s="3411" t="e">
        <f t="shared" ref="B1993:G1993" si="1117">B1992*1000</f>
        <v>#DIV/0!</v>
      </c>
      <c r="C1993" s="3411" t="e">
        <f t="shared" si="1117"/>
        <v>#DIV/0!</v>
      </c>
      <c r="D1993" s="3411" t="e">
        <f t="shared" si="1117"/>
        <v>#DIV/0!</v>
      </c>
      <c r="E1993" s="3411" t="e">
        <f t="shared" si="1117"/>
        <v>#DIV/0!</v>
      </c>
      <c r="F1993" s="3411" t="e">
        <f t="shared" si="1117"/>
        <v>#DIV/0!</v>
      </c>
      <c r="G1993" s="3411" t="e">
        <f t="shared" si="1117"/>
        <v>#DIV/0!</v>
      </c>
      <c r="H1993" s="3353"/>
      <c r="I1993" s="3353"/>
      <c r="J1993" s="3353"/>
      <c r="K1993" s="3353"/>
      <c r="L1993" s="3353"/>
      <c r="M1993" s="3353"/>
      <c r="N1993" s="3353"/>
      <c r="O1993" s="3353"/>
      <c r="P1993" s="3353"/>
      <c r="Q1993" s="3353"/>
      <c r="R1993" s="3353"/>
      <c r="S1993" s="3353"/>
      <c r="T1993" s="3353"/>
      <c r="U1993" s="3353"/>
      <c r="V1993" s="3353"/>
      <c r="W1993" s="3353"/>
      <c r="X1993" s="3353"/>
      <c r="Y1993" s="3353"/>
      <c r="Z1993" s="3353"/>
      <c r="AA1993" s="3353"/>
      <c r="AB1993" s="3353"/>
      <c r="AC1993" s="3353"/>
      <c r="AD1993" s="3353"/>
      <c r="AE1993" s="3353"/>
      <c r="AF1993" s="3353"/>
      <c r="AG1993" s="3353"/>
      <c r="AH1993" s="3353"/>
      <c r="AI1993" s="3353"/>
      <c r="AJ1993" s="3353"/>
      <c r="AK1993" s="3353"/>
      <c r="AL1993" s="3353"/>
    </row>
    <row r="1994" spans="1:38" s="3309" customFormat="1" x14ac:dyDescent="0.2">
      <c r="A1994" s="3410" t="s">
        <v>5984</v>
      </c>
      <c r="B1994" s="3409">
        <f t="shared" ref="B1994:G1994" si="1118">B1360</f>
        <v>0.8</v>
      </c>
      <c r="C1994" s="3409">
        <f t="shared" si="1118"/>
        <v>0.8</v>
      </c>
      <c r="D1994" s="3409">
        <f t="shared" si="1118"/>
        <v>0.8</v>
      </c>
      <c r="E1994" s="3409">
        <f t="shared" si="1118"/>
        <v>0.8</v>
      </c>
      <c r="F1994" s="3409">
        <f t="shared" si="1118"/>
        <v>0.8</v>
      </c>
      <c r="G1994" s="3409">
        <f t="shared" si="1118"/>
        <v>0.8</v>
      </c>
      <c r="H1994" s="3353"/>
      <c r="I1994" s="3353"/>
      <c r="J1994" s="3353"/>
      <c r="K1994" s="3353"/>
      <c r="L1994" s="3353"/>
      <c r="M1994" s="3353"/>
      <c r="N1994" s="3353"/>
      <c r="O1994" s="3353"/>
      <c r="P1994" s="3353"/>
      <c r="Q1994" s="3353"/>
      <c r="R1994" s="3353"/>
      <c r="S1994" s="3353"/>
      <c r="T1994" s="3353"/>
      <c r="U1994" s="3353"/>
      <c r="V1994" s="3353"/>
      <c r="W1994" s="3353"/>
      <c r="X1994" s="3353"/>
      <c r="Y1994" s="3353"/>
      <c r="Z1994" s="3353"/>
      <c r="AA1994" s="3353"/>
      <c r="AB1994" s="3353"/>
      <c r="AC1994" s="3353"/>
      <c r="AD1994" s="3353"/>
      <c r="AE1994" s="3353"/>
      <c r="AF1994" s="3353"/>
      <c r="AG1994" s="3353"/>
      <c r="AH1994" s="3353"/>
      <c r="AI1994" s="3353"/>
      <c r="AJ1994" s="3353"/>
      <c r="AK1994" s="3353"/>
      <c r="AL1994" s="3353"/>
    </row>
    <row r="1995" spans="1:38" s="3309" customFormat="1" x14ac:dyDescent="0.2">
      <c r="A1995" s="3411" t="s">
        <v>5983</v>
      </c>
      <c r="B1995" s="3379">
        <f t="shared" ref="B1995:G1995" si="1119">6*B1994</f>
        <v>4.8000000000000007</v>
      </c>
      <c r="C1995" s="3379">
        <f t="shared" si="1119"/>
        <v>4.8000000000000007</v>
      </c>
      <c r="D1995" s="3379">
        <f t="shared" si="1119"/>
        <v>4.8000000000000007</v>
      </c>
      <c r="E1995" s="3379">
        <f t="shared" si="1119"/>
        <v>4.8000000000000007</v>
      </c>
      <c r="F1995" s="3379">
        <f t="shared" si="1119"/>
        <v>4.8000000000000007</v>
      </c>
      <c r="G1995" s="3379">
        <f t="shared" si="1119"/>
        <v>4.8000000000000007</v>
      </c>
      <c r="H1995" s="3353"/>
      <c r="I1995" s="3353"/>
      <c r="J1995" s="3353"/>
      <c r="K1995" s="3353"/>
      <c r="L1995" s="3353"/>
      <c r="M1995" s="3353"/>
      <c r="N1995" s="3353"/>
      <c r="O1995" s="3353"/>
      <c r="P1995" s="3353"/>
      <c r="Q1995" s="3353"/>
      <c r="R1995" s="3353"/>
      <c r="S1995" s="3353"/>
      <c r="T1995" s="3353"/>
      <c r="U1995" s="3353"/>
      <c r="V1995" s="3353"/>
      <c r="W1995" s="3353"/>
      <c r="X1995" s="3353"/>
      <c r="Y1995" s="3353"/>
      <c r="Z1995" s="3353"/>
      <c r="AA1995" s="3353"/>
      <c r="AB1995" s="3353"/>
      <c r="AC1995" s="3353"/>
      <c r="AD1995" s="3353"/>
      <c r="AE1995" s="3353"/>
      <c r="AF1995" s="3353"/>
      <c r="AG1995" s="3353"/>
      <c r="AH1995" s="3353"/>
      <c r="AI1995" s="3353"/>
      <c r="AJ1995" s="3353"/>
      <c r="AK1995" s="3353"/>
      <c r="AL1995" s="3353"/>
    </row>
    <row r="1996" spans="1:38" s="3309" customFormat="1" x14ac:dyDescent="0.2">
      <c r="A1996" s="3410" t="s">
        <v>5982</v>
      </c>
      <c r="B1996" s="3409">
        <f t="shared" ref="B1996:G1996" si="1120">B1362</f>
        <v>1</v>
      </c>
      <c r="C1996" s="3409">
        <f t="shared" si="1120"/>
        <v>1</v>
      </c>
      <c r="D1996" s="3409">
        <f t="shared" si="1120"/>
        <v>1</v>
      </c>
      <c r="E1996" s="3409">
        <f t="shared" si="1120"/>
        <v>1</v>
      </c>
      <c r="F1996" s="3409">
        <f t="shared" si="1120"/>
        <v>1</v>
      </c>
      <c r="G1996" s="3409">
        <f t="shared" si="1120"/>
        <v>1</v>
      </c>
      <c r="H1996" s="3353"/>
      <c r="I1996" s="3353"/>
      <c r="J1996" s="3353"/>
      <c r="K1996" s="3353"/>
      <c r="L1996" s="3353"/>
      <c r="M1996" s="3353"/>
      <c r="N1996" s="3353"/>
      <c r="O1996" s="3353"/>
      <c r="P1996" s="3353"/>
      <c r="Q1996" s="3353"/>
      <c r="R1996" s="3353"/>
      <c r="S1996" s="3353"/>
      <c r="T1996" s="3353"/>
      <c r="U1996" s="3353"/>
      <c r="V1996" s="3353"/>
      <c r="W1996" s="3353"/>
      <c r="X1996" s="3353"/>
      <c r="Y1996" s="3353"/>
      <c r="Z1996" s="3353"/>
      <c r="AA1996" s="3353"/>
      <c r="AB1996" s="3353"/>
      <c r="AC1996" s="3353"/>
      <c r="AD1996" s="3353"/>
      <c r="AE1996" s="3353"/>
      <c r="AF1996" s="3353"/>
      <c r="AG1996" s="3353"/>
      <c r="AH1996" s="3353"/>
      <c r="AI1996" s="3353"/>
      <c r="AJ1996" s="3353"/>
      <c r="AK1996" s="3353"/>
      <c r="AL1996" s="3353"/>
    </row>
    <row r="1997" spans="1:38" s="3309" customFormat="1" x14ac:dyDescent="0.2">
      <c r="A1997" s="3407" t="s">
        <v>5981</v>
      </c>
      <c r="B1997" s="3408">
        <f t="shared" ref="B1997:G1997" si="1121">60*1.5*B1995*B1996</f>
        <v>432.00000000000006</v>
      </c>
      <c r="C1997" s="3408">
        <f t="shared" si="1121"/>
        <v>432.00000000000006</v>
      </c>
      <c r="D1997" s="3408">
        <f t="shared" si="1121"/>
        <v>432.00000000000006</v>
      </c>
      <c r="E1997" s="3408">
        <f t="shared" si="1121"/>
        <v>432.00000000000006</v>
      </c>
      <c r="F1997" s="3408">
        <f t="shared" si="1121"/>
        <v>432.00000000000006</v>
      </c>
      <c r="G1997" s="3408">
        <f t="shared" si="1121"/>
        <v>432.00000000000006</v>
      </c>
      <c r="H1997" s="3353"/>
      <c r="I1997" s="3353"/>
      <c r="J1997" s="3353"/>
      <c r="K1997" s="3353"/>
      <c r="L1997" s="3353"/>
      <c r="M1997" s="3353"/>
      <c r="N1997" s="3353"/>
      <c r="O1997" s="3353"/>
      <c r="P1997" s="3353"/>
      <c r="Q1997" s="3353"/>
      <c r="R1997" s="3353"/>
      <c r="S1997" s="3353"/>
      <c r="T1997" s="3353"/>
      <c r="U1997" s="3353"/>
      <c r="V1997" s="3353"/>
      <c r="W1997" s="3353"/>
      <c r="X1997" s="3353"/>
      <c r="Y1997" s="3353"/>
      <c r="Z1997" s="3353"/>
      <c r="AA1997" s="3353"/>
      <c r="AB1997" s="3353"/>
      <c r="AC1997" s="3353"/>
      <c r="AD1997" s="3353"/>
      <c r="AE1997" s="3353"/>
      <c r="AF1997" s="3353"/>
      <c r="AG1997" s="3353"/>
      <c r="AH1997" s="3353"/>
      <c r="AI1997" s="3353"/>
      <c r="AJ1997" s="3353"/>
      <c r="AK1997" s="3353"/>
      <c r="AL1997" s="3353"/>
    </row>
    <row r="1998" spans="1:38" s="3309" customFormat="1" x14ac:dyDescent="0.2">
      <c r="A1998" s="3407" t="s">
        <v>5980</v>
      </c>
      <c r="B1998" s="3406" t="e">
        <f t="shared" ref="B1998:G1998" si="1122">B1997*B1990</f>
        <v>#DIV/0!</v>
      </c>
      <c r="C1998" s="3406" t="e">
        <f t="shared" si="1122"/>
        <v>#DIV/0!</v>
      </c>
      <c r="D1998" s="3406" t="e">
        <f t="shared" si="1122"/>
        <v>#DIV/0!</v>
      </c>
      <c r="E1998" s="3406" t="e">
        <f t="shared" si="1122"/>
        <v>#DIV/0!</v>
      </c>
      <c r="F1998" s="3406" t="e">
        <f t="shared" si="1122"/>
        <v>#DIV/0!</v>
      </c>
      <c r="G1998" s="3406" t="e">
        <f t="shared" si="1122"/>
        <v>#DIV/0!</v>
      </c>
      <c r="H1998" s="3353"/>
      <c r="I1998" s="3353"/>
      <c r="J1998" s="3353"/>
      <c r="K1998" s="3353"/>
      <c r="L1998" s="3353"/>
      <c r="M1998" s="3353"/>
      <c r="N1998" s="3353"/>
      <c r="O1998" s="3353"/>
      <c r="P1998" s="3353"/>
      <c r="Q1998" s="3353"/>
      <c r="R1998" s="3353"/>
      <c r="S1998" s="3353"/>
      <c r="T1998" s="3353"/>
      <c r="U1998" s="3353"/>
      <c r="V1998" s="3353"/>
      <c r="W1998" s="3353"/>
      <c r="X1998" s="3353"/>
      <c r="Y1998" s="3353"/>
      <c r="Z1998" s="3353"/>
      <c r="AA1998" s="3353"/>
      <c r="AB1998" s="3353"/>
      <c r="AC1998" s="3353"/>
      <c r="AD1998" s="3353"/>
      <c r="AE1998" s="3353"/>
      <c r="AF1998" s="3353"/>
      <c r="AG1998" s="3353"/>
      <c r="AH1998" s="3353"/>
      <c r="AI1998" s="3353"/>
      <c r="AJ1998" s="3353"/>
      <c r="AK1998" s="3353"/>
      <c r="AL1998" s="3353"/>
    </row>
    <row r="1999" spans="1:38" s="3309" customFormat="1" x14ac:dyDescent="0.2">
      <c r="A1999" s="3405" t="s">
        <v>5979</v>
      </c>
      <c r="B1999" s="3404" t="e">
        <f t="shared" ref="B1999:G1999" si="1123">B1998*B1417*IF(B1426&gt;2,2,3)</f>
        <v>#DIV/0!</v>
      </c>
      <c r="C1999" s="3404" t="e">
        <f t="shared" si="1123"/>
        <v>#DIV/0!</v>
      </c>
      <c r="D1999" s="3404" t="e">
        <f t="shared" si="1123"/>
        <v>#DIV/0!</v>
      </c>
      <c r="E1999" s="3404" t="e">
        <f t="shared" si="1123"/>
        <v>#DIV/0!</v>
      </c>
      <c r="F1999" s="3404" t="e">
        <f t="shared" si="1123"/>
        <v>#DIV/0!</v>
      </c>
      <c r="G1999" s="3404" t="e">
        <f t="shared" si="1123"/>
        <v>#DIV/0!</v>
      </c>
      <c r="H1999" s="3353"/>
      <c r="I1999" s="3353"/>
      <c r="J1999" s="3353"/>
      <c r="K1999" s="3353"/>
      <c r="L1999" s="3353"/>
      <c r="M1999" s="3353"/>
      <c r="N1999" s="3353"/>
      <c r="O1999" s="3353"/>
      <c r="P1999" s="3353"/>
      <c r="Q1999" s="3353"/>
      <c r="R1999" s="3353"/>
      <c r="S1999" s="3353"/>
      <c r="T1999" s="3353"/>
      <c r="U1999" s="3353"/>
      <c r="V1999" s="3353"/>
      <c r="W1999" s="3353"/>
      <c r="X1999" s="3353"/>
      <c r="Y1999" s="3353"/>
      <c r="Z1999" s="3353"/>
      <c r="AA1999" s="3353"/>
      <c r="AB1999" s="3353"/>
      <c r="AC1999" s="3353"/>
      <c r="AD1999" s="3353"/>
      <c r="AE1999" s="3353"/>
      <c r="AF1999" s="3353"/>
      <c r="AG1999" s="3353"/>
      <c r="AH1999" s="3353"/>
      <c r="AI1999" s="3353"/>
      <c r="AJ1999" s="3353"/>
      <c r="AK1999" s="3353"/>
      <c r="AL1999" s="3353"/>
    </row>
    <row r="2000" spans="1:38" s="3309" customFormat="1" x14ac:dyDescent="0.2">
      <c r="A2000" s="3403" t="s">
        <v>5978</v>
      </c>
      <c r="B2000" s="3402" t="e">
        <f t="shared" ref="B2000:G2000" si="1124">IF(B1419=1,B1999,0)</f>
        <v>#DIV/0!</v>
      </c>
      <c r="C2000" s="3402">
        <f t="shared" si="1124"/>
        <v>0</v>
      </c>
      <c r="D2000" s="3402">
        <f t="shared" si="1124"/>
        <v>0</v>
      </c>
      <c r="E2000" s="3402">
        <f t="shared" si="1124"/>
        <v>0</v>
      </c>
      <c r="F2000" s="3402">
        <f t="shared" si="1124"/>
        <v>0</v>
      </c>
      <c r="G2000" s="3402">
        <f t="shared" si="1124"/>
        <v>0</v>
      </c>
      <c r="H2000" s="3353"/>
      <c r="I2000" s="3353"/>
      <c r="J2000" s="3353"/>
      <c r="K2000" s="3353"/>
      <c r="L2000" s="3353"/>
      <c r="M2000" s="3353"/>
      <c r="N2000" s="3353"/>
      <c r="O2000" s="3353"/>
      <c r="P2000" s="3353"/>
      <c r="Q2000" s="3353"/>
      <c r="R2000" s="3353"/>
      <c r="S2000" s="3353"/>
      <c r="T2000" s="3353"/>
      <c r="U2000" s="3353"/>
      <c r="V2000" s="3353"/>
      <c r="W2000" s="3353"/>
      <c r="X2000" s="3353"/>
      <c r="Y2000" s="3353"/>
      <c r="Z2000" s="3353"/>
      <c r="AA2000" s="3353"/>
      <c r="AB2000" s="3353"/>
      <c r="AC2000" s="3353"/>
      <c r="AD2000" s="3353"/>
      <c r="AE2000" s="3353"/>
      <c r="AF2000" s="3353"/>
      <c r="AG2000" s="3353"/>
      <c r="AH2000" s="3353"/>
      <c r="AI2000" s="3353"/>
      <c r="AJ2000" s="3353"/>
      <c r="AK2000" s="3353"/>
      <c r="AL2000" s="3353"/>
    </row>
    <row r="2001" spans="1:38" s="3309" customFormat="1" x14ac:dyDescent="0.2">
      <c r="A2001" s="3401" t="s">
        <v>5977</v>
      </c>
      <c r="B2001" s="3400" t="e">
        <f t="shared" ref="B2001:G2001" si="1125">B2000+B1971+B1966</f>
        <v>#DIV/0!</v>
      </c>
      <c r="C2001" s="3400">
        <f t="shared" si="1125"/>
        <v>3.4560000000000004</v>
      </c>
      <c r="D2001" s="3400">
        <f t="shared" si="1125"/>
        <v>3.4560000000000004</v>
      </c>
      <c r="E2001" s="3400">
        <f t="shared" si="1125"/>
        <v>3.4560000000000004</v>
      </c>
      <c r="F2001" s="3400">
        <f t="shared" si="1125"/>
        <v>3.4560000000000004</v>
      </c>
      <c r="G2001" s="3400">
        <f t="shared" si="1125"/>
        <v>3.4560000000000004</v>
      </c>
      <c r="H2001" s="3353"/>
      <c r="I2001" s="3353"/>
      <c r="J2001" s="3353"/>
      <c r="K2001" s="3353"/>
      <c r="L2001" s="3353"/>
      <c r="M2001" s="3353"/>
      <c r="N2001" s="3353"/>
      <c r="O2001" s="3353"/>
      <c r="P2001" s="3353"/>
      <c r="Q2001" s="3353"/>
      <c r="R2001" s="3353"/>
      <c r="S2001" s="3353"/>
      <c r="T2001" s="3353"/>
      <c r="U2001" s="3353"/>
      <c r="V2001" s="3353"/>
      <c r="W2001" s="3353"/>
      <c r="X2001" s="3353"/>
      <c r="Y2001" s="3353"/>
      <c r="Z2001" s="3353"/>
      <c r="AA2001" s="3353"/>
      <c r="AB2001" s="3353"/>
      <c r="AC2001" s="3353"/>
      <c r="AD2001" s="3353"/>
      <c r="AE2001" s="3353"/>
      <c r="AF2001" s="3353"/>
      <c r="AG2001" s="3353"/>
      <c r="AH2001" s="3353"/>
      <c r="AI2001" s="3353"/>
      <c r="AJ2001" s="3353"/>
      <c r="AK2001" s="3353"/>
      <c r="AL2001" s="3353"/>
    </row>
    <row r="2002" spans="1:38" s="3309" customFormat="1" ht="13.5" thickBot="1" x14ac:dyDescent="0.25">
      <c r="A2002" s="3399"/>
      <c r="B2002" s="3398"/>
      <c r="C2002" s="3398"/>
      <c r="D2002" s="3398"/>
      <c r="E2002" s="3398"/>
      <c r="F2002" s="3398"/>
      <c r="G2002" s="3397"/>
      <c r="H2002" s="3353"/>
      <c r="I2002" s="3353"/>
      <c r="J2002" s="3353"/>
      <c r="K2002" s="3353"/>
      <c r="L2002" s="3353"/>
      <c r="M2002" s="3353"/>
      <c r="N2002" s="3353"/>
      <c r="O2002" s="3353"/>
      <c r="P2002" s="3353"/>
      <c r="Q2002" s="3353"/>
      <c r="R2002" s="3353"/>
      <c r="S2002" s="3353"/>
      <c r="T2002" s="3353"/>
      <c r="U2002" s="3353"/>
      <c r="V2002" s="3353"/>
      <c r="W2002" s="3353"/>
      <c r="X2002" s="3353"/>
      <c r="Y2002" s="3353"/>
      <c r="Z2002" s="3353"/>
      <c r="AA2002" s="3353"/>
      <c r="AB2002" s="3353"/>
      <c r="AC2002" s="3353"/>
      <c r="AD2002" s="3353"/>
      <c r="AE2002" s="3353"/>
      <c r="AF2002" s="3353"/>
      <c r="AG2002" s="3353"/>
      <c r="AH2002" s="3353"/>
      <c r="AI2002" s="3353"/>
      <c r="AJ2002" s="3353"/>
      <c r="AK2002" s="3353"/>
      <c r="AL2002" s="3353"/>
    </row>
    <row r="2003" spans="1:38" s="3309" customFormat="1" x14ac:dyDescent="0.2">
      <c r="A2003" s="3390" t="s">
        <v>5976</v>
      </c>
      <c r="B2003" s="3396"/>
      <c r="C2003" s="3396"/>
      <c r="D2003" s="3396"/>
      <c r="E2003" s="3396"/>
      <c r="F2003" s="3396"/>
      <c r="G2003" s="3395"/>
      <c r="H2003" s="3353"/>
      <c r="I2003" s="3353"/>
      <c r="J2003" s="3353"/>
      <c r="K2003" s="3353"/>
      <c r="L2003" s="3353"/>
      <c r="M2003" s="3353"/>
      <c r="N2003" s="3353"/>
      <c r="O2003" s="3353"/>
      <c r="P2003" s="3353"/>
      <c r="Q2003" s="3353"/>
      <c r="R2003" s="3353"/>
      <c r="S2003" s="3353"/>
      <c r="T2003" s="3353"/>
      <c r="U2003" s="3353"/>
      <c r="V2003" s="3353"/>
      <c r="W2003" s="3353"/>
      <c r="X2003" s="3353"/>
      <c r="Y2003" s="3353"/>
      <c r="Z2003" s="3353"/>
      <c r="AA2003" s="3353"/>
      <c r="AB2003" s="3353"/>
      <c r="AC2003" s="3353"/>
      <c r="AD2003" s="3353"/>
      <c r="AE2003" s="3353"/>
      <c r="AF2003" s="3353"/>
      <c r="AG2003" s="3353"/>
      <c r="AH2003" s="3353"/>
      <c r="AI2003" s="3353"/>
      <c r="AJ2003" s="3353"/>
      <c r="AK2003" s="3353"/>
      <c r="AL2003" s="3353"/>
    </row>
    <row r="2004" spans="1:38" s="3309" customFormat="1" x14ac:dyDescent="0.2">
      <c r="A2004" s="3389" t="s">
        <v>5974</v>
      </c>
      <c r="B2004" s="3368" t="e">
        <f t="shared" ref="B2004:G2004" si="1126">B1828</f>
        <v>#VALUE!</v>
      </c>
      <c r="C2004" s="3368" t="e">
        <f t="shared" si="1126"/>
        <v>#DIV/0!</v>
      </c>
      <c r="D2004" s="3368" t="e">
        <f t="shared" si="1126"/>
        <v>#DIV/0!</v>
      </c>
      <c r="E2004" s="3368" t="e">
        <f t="shared" si="1126"/>
        <v>#DIV/0!</v>
      </c>
      <c r="F2004" s="3368" t="e">
        <f t="shared" si="1126"/>
        <v>#DIV/0!</v>
      </c>
      <c r="G2004" s="3394" t="e">
        <f t="shared" si="1126"/>
        <v>#DIV/0!</v>
      </c>
      <c r="H2004" s="3353"/>
      <c r="I2004" s="3353"/>
      <c r="J2004" s="3353"/>
      <c r="K2004" s="3353"/>
      <c r="L2004" s="3353"/>
      <c r="M2004" s="3353"/>
      <c r="N2004" s="3353"/>
      <c r="O2004" s="3353"/>
      <c r="P2004" s="3353"/>
      <c r="Q2004" s="3353"/>
      <c r="R2004" s="3353"/>
      <c r="S2004" s="3353"/>
      <c r="T2004" s="3353"/>
      <c r="U2004" s="3353"/>
      <c r="V2004" s="3353"/>
      <c r="W2004" s="3353"/>
      <c r="X2004" s="3353"/>
      <c r="Y2004" s="3353"/>
      <c r="Z2004" s="3353"/>
      <c r="AA2004" s="3353"/>
      <c r="AB2004" s="3353"/>
      <c r="AC2004" s="3353"/>
      <c r="AD2004" s="3353"/>
      <c r="AE2004" s="3353"/>
      <c r="AF2004" s="3353"/>
      <c r="AG2004" s="3353"/>
      <c r="AH2004" s="3353"/>
      <c r="AI2004" s="3353"/>
      <c r="AJ2004" s="3353"/>
      <c r="AK2004" s="3353"/>
      <c r="AL2004" s="3353"/>
    </row>
    <row r="2005" spans="1:38" s="3309" customFormat="1" x14ac:dyDescent="0.2">
      <c r="A2005" s="3389" t="s">
        <v>2482</v>
      </c>
      <c r="B2005" s="3368" t="e">
        <f t="shared" ref="B2005:G2005" si="1127">B1956</f>
        <v>#VALUE!</v>
      </c>
      <c r="C2005" s="3368" t="e">
        <f t="shared" si="1127"/>
        <v>#DIV/0!</v>
      </c>
      <c r="D2005" s="3368" t="e">
        <f t="shared" si="1127"/>
        <v>#DIV/0!</v>
      </c>
      <c r="E2005" s="3368" t="e">
        <f t="shared" si="1127"/>
        <v>#DIV/0!</v>
      </c>
      <c r="F2005" s="3368" t="e">
        <f t="shared" si="1127"/>
        <v>#DIV/0!</v>
      </c>
      <c r="G2005" s="3393" t="e">
        <f t="shared" si="1127"/>
        <v>#DIV/0!</v>
      </c>
      <c r="H2005" s="3353"/>
      <c r="I2005" s="3353"/>
      <c r="J2005" s="3353"/>
      <c r="K2005" s="3353"/>
      <c r="L2005" s="3353"/>
      <c r="M2005" s="3353"/>
      <c r="N2005" s="3353"/>
      <c r="O2005" s="3353"/>
      <c r="P2005" s="3353"/>
      <c r="Q2005" s="3353"/>
      <c r="R2005" s="3353"/>
      <c r="S2005" s="3353"/>
      <c r="T2005" s="3353"/>
      <c r="U2005" s="3353"/>
      <c r="V2005" s="3353"/>
      <c r="W2005" s="3353"/>
      <c r="X2005" s="3353"/>
      <c r="Y2005" s="3353"/>
      <c r="Z2005" s="3353"/>
      <c r="AA2005" s="3353"/>
      <c r="AB2005" s="3353"/>
      <c r="AC2005" s="3353"/>
      <c r="AD2005" s="3353"/>
      <c r="AE2005" s="3353"/>
      <c r="AF2005" s="3353"/>
      <c r="AG2005" s="3353"/>
      <c r="AH2005" s="3353"/>
      <c r="AI2005" s="3353"/>
      <c r="AJ2005" s="3353"/>
      <c r="AK2005" s="3353"/>
      <c r="AL2005" s="3353"/>
    </row>
    <row r="2006" spans="1:38" s="3309" customFormat="1" x14ac:dyDescent="0.2">
      <c r="A2006" s="3389" t="s">
        <v>5973</v>
      </c>
      <c r="B2006" s="3368" t="e">
        <f t="shared" ref="B2006:G2006" si="1128">B2001</f>
        <v>#DIV/0!</v>
      </c>
      <c r="C2006" s="3368">
        <f t="shared" si="1128"/>
        <v>3.4560000000000004</v>
      </c>
      <c r="D2006" s="3368">
        <f t="shared" si="1128"/>
        <v>3.4560000000000004</v>
      </c>
      <c r="E2006" s="3368">
        <f t="shared" si="1128"/>
        <v>3.4560000000000004</v>
      </c>
      <c r="F2006" s="3368">
        <f t="shared" si="1128"/>
        <v>3.4560000000000004</v>
      </c>
      <c r="G2006" s="3393">
        <f t="shared" si="1128"/>
        <v>3.4560000000000004</v>
      </c>
      <c r="H2006" s="3353"/>
      <c r="I2006" s="3353"/>
      <c r="J2006" s="3353"/>
      <c r="K2006" s="3353"/>
      <c r="L2006" s="3353"/>
      <c r="M2006" s="3353"/>
      <c r="N2006" s="3353"/>
      <c r="O2006" s="3353"/>
      <c r="P2006" s="3353"/>
      <c r="Q2006" s="3353"/>
      <c r="R2006" s="3353"/>
      <c r="S2006" s="3353"/>
      <c r="T2006" s="3353"/>
      <c r="U2006" s="3353"/>
      <c r="V2006" s="3353"/>
      <c r="W2006" s="3353"/>
      <c r="X2006" s="3353"/>
      <c r="Y2006" s="3353"/>
      <c r="Z2006" s="3353"/>
      <c r="AA2006" s="3353"/>
      <c r="AB2006" s="3353"/>
      <c r="AC2006" s="3353"/>
      <c r="AD2006" s="3353"/>
      <c r="AE2006" s="3353"/>
      <c r="AF2006" s="3353"/>
      <c r="AG2006" s="3353"/>
      <c r="AH2006" s="3353"/>
      <c r="AI2006" s="3353"/>
      <c r="AJ2006" s="3353"/>
      <c r="AK2006" s="3353"/>
      <c r="AL2006" s="3353"/>
    </row>
    <row r="2007" spans="1:38" s="3309" customFormat="1" ht="13.5" thickBot="1" x14ac:dyDescent="0.25">
      <c r="A2007" s="3388" t="s">
        <v>5972</v>
      </c>
      <c r="B2007" s="3392" t="e">
        <f t="shared" ref="B2007:G2007" si="1129">B2006+B2005+B2004</f>
        <v>#DIV/0!</v>
      </c>
      <c r="C2007" s="3392" t="e">
        <f t="shared" si="1129"/>
        <v>#DIV/0!</v>
      </c>
      <c r="D2007" s="3392" t="e">
        <f t="shared" si="1129"/>
        <v>#DIV/0!</v>
      </c>
      <c r="E2007" s="3392" t="e">
        <f t="shared" si="1129"/>
        <v>#DIV/0!</v>
      </c>
      <c r="F2007" s="3392" t="e">
        <f t="shared" si="1129"/>
        <v>#DIV/0!</v>
      </c>
      <c r="G2007" s="3392" t="e">
        <f t="shared" si="1129"/>
        <v>#DIV/0!</v>
      </c>
      <c r="H2007" s="3353"/>
      <c r="I2007" s="3353"/>
      <c r="J2007" s="3353"/>
      <c r="K2007" s="3353"/>
      <c r="L2007" s="3353"/>
      <c r="M2007" s="3353"/>
      <c r="N2007" s="3353"/>
      <c r="O2007" s="3353"/>
      <c r="P2007" s="3353"/>
      <c r="Q2007" s="3353"/>
      <c r="R2007" s="3353"/>
      <c r="S2007" s="3353"/>
      <c r="T2007" s="3353"/>
      <c r="U2007" s="3353"/>
      <c r="V2007" s="3353"/>
      <c r="W2007" s="3353"/>
      <c r="X2007" s="3353"/>
      <c r="Y2007" s="3353"/>
      <c r="Z2007" s="3353"/>
      <c r="AA2007" s="3353"/>
      <c r="AB2007" s="3353"/>
      <c r="AC2007" s="3353"/>
      <c r="AD2007" s="3353"/>
      <c r="AE2007" s="3353"/>
      <c r="AF2007" s="3353"/>
      <c r="AG2007" s="3353"/>
      <c r="AH2007" s="3353"/>
      <c r="AI2007" s="3353"/>
      <c r="AJ2007" s="3353"/>
      <c r="AK2007" s="3353"/>
      <c r="AL2007" s="3353"/>
    </row>
    <row r="2008" spans="1:38" s="3309" customFormat="1" ht="13.5" thickBot="1" x14ac:dyDescent="0.25">
      <c r="A2008" s="3391"/>
      <c r="B2008" s="3358"/>
      <c r="C2008" s="3358"/>
      <c r="D2008" s="3358"/>
      <c r="E2008" s="3358"/>
      <c r="F2008" s="3358"/>
      <c r="G2008" s="3358"/>
      <c r="H2008" s="3353"/>
      <c r="I2008" s="3353"/>
      <c r="J2008" s="3353"/>
      <c r="K2008" s="3353"/>
      <c r="L2008" s="3353"/>
      <c r="M2008" s="3353"/>
      <c r="N2008" s="3353"/>
      <c r="O2008" s="3353"/>
      <c r="P2008" s="3353"/>
      <c r="Q2008" s="3353"/>
      <c r="R2008" s="3353"/>
      <c r="S2008" s="3353"/>
      <c r="T2008" s="3353"/>
      <c r="U2008" s="3353"/>
      <c r="V2008" s="3353"/>
      <c r="W2008" s="3353"/>
      <c r="X2008" s="3353"/>
      <c r="Y2008" s="3353"/>
      <c r="Z2008" s="3353"/>
      <c r="AA2008" s="3353"/>
      <c r="AB2008" s="3353"/>
      <c r="AC2008" s="3353"/>
      <c r="AD2008" s="3353"/>
      <c r="AE2008" s="3353"/>
      <c r="AF2008" s="3353"/>
      <c r="AG2008" s="3353"/>
      <c r="AH2008" s="3353"/>
      <c r="AI2008" s="3353"/>
      <c r="AJ2008" s="3353"/>
      <c r="AK2008" s="3353"/>
      <c r="AL2008" s="3353"/>
    </row>
    <row r="2009" spans="1:38" s="3309" customFormat="1" x14ac:dyDescent="0.2">
      <c r="A2009" s="3390" t="s">
        <v>5975</v>
      </c>
      <c r="B2009" s="3358"/>
      <c r="C2009" s="3358"/>
      <c r="D2009" s="3358"/>
      <c r="E2009" s="3358"/>
      <c r="F2009" s="3358"/>
      <c r="G2009" s="3358"/>
      <c r="H2009" s="3353"/>
      <c r="I2009" s="3353"/>
      <c r="J2009" s="3353"/>
      <c r="K2009" s="3353"/>
      <c r="L2009" s="3353"/>
      <c r="M2009" s="3353"/>
      <c r="N2009" s="3353"/>
      <c r="O2009" s="3353"/>
      <c r="P2009" s="3353"/>
      <c r="Q2009" s="3353"/>
      <c r="R2009" s="3353"/>
      <c r="S2009" s="3353"/>
      <c r="T2009" s="3353"/>
      <c r="U2009" s="3353"/>
      <c r="V2009" s="3353"/>
      <c r="W2009" s="3353"/>
      <c r="X2009" s="3353"/>
      <c r="Y2009" s="3353"/>
      <c r="Z2009" s="3353"/>
      <c r="AA2009" s="3353"/>
      <c r="AB2009" s="3353"/>
      <c r="AC2009" s="3353"/>
      <c r="AD2009" s="3353"/>
      <c r="AE2009" s="3353"/>
      <c r="AF2009" s="3353"/>
      <c r="AG2009" s="3353"/>
      <c r="AH2009" s="3353"/>
      <c r="AI2009" s="3353"/>
      <c r="AJ2009" s="3353"/>
      <c r="AK2009" s="3353"/>
      <c r="AL2009" s="3353"/>
    </row>
    <row r="2010" spans="1:38" s="3309" customFormat="1" x14ac:dyDescent="0.2">
      <c r="A2010" s="3389" t="s">
        <v>5974</v>
      </c>
      <c r="B2010" s="3385" t="e">
        <f t="shared" ref="B2010:G2010" si="1130">B2004/B523</f>
        <v>#VALUE!</v>
      </c>
      <c r="C2010" s="3385" t="e">
        <f t="shared" si="1130"/>
        <v>#DIV/0!</v>
      </c>
      <c r="D2010" s="3385" t="e">
        <f t="shared" si="1130"/>
        <v>#DIV/0!</v>
      </c>
      <c r="E2010" s="3385" t="e">
        <f t="shared" si="1130"/>
        <v>#DIV/0!</v>
      </c>
      <c r="F2010" s="3385" t="e">
        <f t="shared" si="1130"/>
        <v>#DIV/0!</v>
      </c>
      <c r="G2010" s="3385" t="e">
        <f t="shared" si="1130"/>
        <v>#DIV/0!</v>
      </c>
      <c r="H2010" s="3353"/>
      <c r="I2010" s="3353"/>
      <c r="J2010" s="3353"/>
      <c r="K2010" s="3353"/>
      <c r="L2010" s="3353"/>
      <c r="M2010" s="3353"/>
      <c r="N2010" s="3353"/>
      <c r="O2010" s="3353"/>
      <c r="P2010" s="3353"/>
      <c r="Q2010" s="3353"/>
      <c r="R2010" s="3353"/>
      <c r="S2010" s="3353"/>
      <c r="T2010" s="3353"/>
      <c r="U2010" s="3353"/>
      <c r="V2010" s="3353"/>
      <c r="W2010" s="3353"/>
      <c r="X2010" s="3353"/>
      <c r="Y2010" s="3353"/>
      <c r="Z2010" s="3353"/>
      <c r="AA2010" s="3353"/>
      <c r="AB2010" s="3353"/>
      <c r="AC2010" s="3353"/>
      <c r="AD2010" s="3353"/>
      <c r="AE2010" s="3353"/>
      <c r="AF2010" s="3353"/>
      <c r="AG2010" s="3353"/>
      <c r="AH2010" s="3353"/>
      <c r="AI2010" s="3353"/>
      <c r="AJ2010" s="3353"/>
      <c r="AK2010" s="3353"/>
      <c r="AL2010" s="3353"/>
    </row>
    <row r="2011" spans="1:38" s="3309" customFormat="1" x14ac:dyDescent="0.2">
      <c r="A2011" s="3389" t="s">
        <v>2482</v>
      </c>
      <c r="B2011" s="3385" t="e">
        <f t="shared" ref="B2011:G2011" si="1131">B2005/B523</f>
        <v>#VALUE!</v>
      </c>
      <c r="C2011" s="3385" t="e">
        <f t="shared" si="1131"/>
        <v>#DIV/0!</v>
      </c>
      <c r="D2011" s="3385" t="e">
        <f t="shared" si="1131"/>
        <v>#DIV/0!</v>
      </c>
      <c r="E2011" s="3385" t="e">
        <f t="shared" si="1131"/>
        <v>#DIV/0!</v>
      </c>
      <c r="F2011" s="3385" t="e">
        <f t="shared" si="1131"/>
        <v>#DIV/0!</v>
      </c>
      <c r="G2011" s="3385" t="e">
        <f t="shared" si="1131"/>
        <v>#DIV/0!</v>
      </c>
      <c r="H2011" s="3353"/>
      <c r="I2011" s="3353"/>
      <c r="J2011" s="3353"/>
      <c r="K2011" s="3353"/>
      <c r="L2011" s="3353"/>
      <c r="M2011" s="3353"/>
      <c r="N2011" s="3353"/>
      <c r="O2011" s="3353"/>
      <c r="P2011" s="3353"/>
      <c r="Q2011" s="3353"/>
      <c r="R2011" s="3353"/>
      <c r="S2011" s="3353"/>
      <c r="T2011" s="3353"/>
      <c r="U2011" s="3353"/>
      <c r="V2011" s="3353"/>
      <c r="W2011" s="3353"/>
      <c r="X2011" s="3353"/>
      <c r="Y2011" s="3353"/>
      <c r="Z2011" s="3353"/>
      <c r="AA2011" s="3353"/>
      <c r="AB2011" s="3353"/>
      <c r="AC2011" s="3353"/>
      <c r="AD2011" s="3353"/>
      <c r="AE2011" s="3353"/>
      <c r="AF2011" s="3353"/>
      <c r="AG2011" s="3353"/>
      <c r="AH2011" s="3353"/>
      <c r="AI2011" s="3353"/>
      <c r="AJ2011" s="3353"/>
      <c r="AK2011" s="3353"/>
      <c r="AL2011" s="3353"/>
    </row>
    <row r="2012" spans="1:38" s="3309" customFormat="1" x14ac:dyDescent="0.2">
      <c r="A2012" s="3389" t="s">
        <v>5973</v>
      </c>
      <c r="B2012" s="3356" t="e">
        <f t="shared" ref="B2012:G2012" si="1132">B2006/B523</f>
        <v>#DIV/0!</v>
      </c>
      <c r="C2012" s="3356" t="e">
        <f t="shared" si="1132"/>
        <v>#DIV/0!</v>
      </c>
      <c r="D2012" s="3356" t="e">
        <f t="shared" si="1132"/>
        <v>#DIV/0!</v>
      </c>
      <c r="E2012" s="3356" t="e">
        <f t="shared" si="1132"/>
        <v>#DIV/0!</v>
      </c>
      <c r="F2012" s="3356" t="e">
        <f t="shared" si="1132"/>
        <v>#DIV/0!</v>
      </c>
      <c r="G2012" s="3356" t="e">
        <f t="shared" si="1132"/>
        <v>#DIV/0!</v>
      </c>
      <c r="H2012" s="3353"/>
      <c r="I2012" s="3353"/>
      <c r="J2012" s="3353"/>
      <c r="K2012" s="3353"/>
      <c r="L2012" s="3353"/>
      <c r="M2012" s="3353"/>
      <c r="N2012" s="3353"/>
      <c r="O2012" s="3353"/>
      <c r="P2012" s="3353"/>
      <c r="Q2012" s="3353"/>
      <c r="R2012" s="3353"/>
      <c r="S2012" s="3353"/>
      <c r="T2012" s="3353"/>
      <c r="U2012" s="3353"/>
      <c r="V2012" s="3353"/>
      <c r="W2012" s="3353"/>
      <c r="X2012" s="3353"/>
      <c r="Y2012" s="3353"/>
      <c r="Z2012" s="3353"/>
      <c r="AA2012" s="3353"/>
      <c r="AB2012" s="3353"/>
      <c r="AC2012" s="3353"/>
      <c r="AD2012" s="3353"/>
      <c r="AE2012" s="3353"/>
      <c r="AF2012" s="3353"/>
      <c r="AG2012" s="3353"/>
      <c r="AH2012" s="3353"/>
      <c r="AI2012" s="3353"/>
      <c r="AJ2012" s="3353"/>
      <c r="AK2012" s="3353"/>
      <c r="AL2012" s="3353"/>
    </row>
    <row r="2013" spans="1:38" s="3309" customFormat="1" ht="13.5" thickBot="1" x14ac:dyDescent="0.25">
      <c r="A2013" s="3388" t="s">
        <v>5972</v>
      </c>
      <c r="B2013" s="3385" t="e">
        <f t="shared" ref="B2013:G2013" si="1133">B2007/B523</f>
        <v>#DIV/0!</v>
      </c>
      <c r="C2013" s="3385" t="e">
        <f t="shared" si="1133"/>
        <v>#DIV/0!</v>
      </c>
      <c r="D2013" s="3385" t="e">
        <f t="shared" si="1133"/>
        <v>#DIV/0!</v>
      </c>
      <c r="E2013" s="3385" t="e">
        <f t="shared" si="1133"/>
        <v>#DIV/0!</v>
      </c>
      <c r="F2013" s="3385" t="e">
        <f t="shared" si="1133"/>
        <v>#DIV/0!</v>
      </c>
      <c r="G2013" s="3385" t="e">
        <f t="shared" si="1133"/>
        <v>#DIV/0!</v>
      </c>
      <c r="H2013" s="3353"/>
      <c r="I2013" s="3353"/>
      <c r="J2013" s="3353"/>
      <c r="K2013" s="3353"/>
      <c r="L2013" s="3353"/>
      <c r="M2013" s="3353"/>
      <c r="N2013" s="3353"/>
      <c r="O2013" s="3353"/>
      <c r="P2013" s="3353"/>
      <c r="Q2013" s="3353"/>
      <c r="R2013" s="3353"/>
      <c r="S2013" s="3353"/>
      <c r="T2013" s="3353"/>
      <c r="U2013" s="3353"/>
      <c r="V2013" s="3353"/>
      <c r="W2013" s="3353"/>
      <c r="X2013" s="3353"/>
      <c r="Y2013" s="3353"/>
      <c r="Z2013" s="3353"/>
      <c r="AA2013" s="3353"/>
      <c r="AB2013" s="3353"/>
      <c r="AC2013" s="3353"/>
      <c r="AD2013" s="3353"/>
      <c r="AE2013" s="3353"/>
      <c r="AF2013" s="3353"/>
      <c r="AG2013" s="3353"/>
      <c r="AH2013" s="3353"/>
      <c r="AI2013" s="3353"/>
      <c r="AJ2013" s="3353"/>
      <c r="AK2013" s="3353"/>
      <c r="AL2013" s="3353"/>
    </row>
    <row r="2014" spans="1:38" s="3309" customFormat="1" ht="15.75" x14ac:dyDescent="0.25">
      <c r="A2014" s="3387" t="s">
        <v>3741</v>
      </c>
      <c r="B2014" s="3358"/>
      <c r="C2014" s="3358"/>
      <c r="D2014" s="3358"/>
      <c r="E2014" s="3358"/>
      <c r="F2014" s="3358"/>
      <c r="G2014" s="3358"/>
      <c r="H2014" s="3353"/>
      <c r="I2014" s="3353"/>
      <c r="J2014" s="3353"/>
      <c r="K2014" s="3353"/>
      <c r="L2014" s="3353"/>
      <c r="M2014" s="3353"/>
      <c r="N2014" s="3353"/>
      <c r="O2014" s="3353"/>
      <c r="P2014" s="3353"/>
      <c r="Q2014" s="3353"/>
      <c r="R2014" s="3353"/>
      <c r="S2014" s="3353"/>
      <c r="T2014" s="3353"/>
      <c r="U2014" s="3353"/>
      <c r="V2014" s="3353"/>
      <c r="W2014" s="3353"/>
      <c r="X2014" s="3353"/>
      <c r="Y2014" s="3353"/>
      <c r="Z2014" s="3353"/>
      <c r="AA2014" s="3353"/>
      <c r="AB2014" s="3353"/>
      <c r="AC2014" s="3353"/>
      <c r="AD2014" s="3353"/>
      <c r="AE2014" s="3353"/>
      <c r="AF2014" s="3353"/>
      <c r="AG2014" s="3353"/>
      <c r="AH2014" s="3353"/>
      <c r="AI2014" s="3353"/>
      <c r="AJ2014" s="3353"/>
      <c r="AK2014" s="3353"/>
      <c r="AL2014" s="3353"/>
    </row>
    <row r="2015" spans="1:38" s="3309" customFormat="1" ht="15.75" x14ac:dyDescent="0.25">
      <c r="A2015" s="3387" t="s">
        <v>852</v>
      </c>
      <c r="B2015" s="3358"/>
      <c r="C2015" s="3358"/>
      <c r="D2015" s="3358"/>
      <c r="E2015" s="3358"/>
      <c r="F2015" s="3358"/>
      <c r="G2015" s="3358"/>
      <c r="H2015" s="3353"/>
      <c r="I2015" s="3353"/>
      <c r="J2015" s="3353"/>
      <c r="K2015" s="3353"/>
      <c r="L2015" s="3353"/>
      <c r="M2015" s="3353"/>
      <c r="N2015" s="3353"/>
      <c r="O2015" s="3353"/>
      <c r="P2015" s="3353"/>
      <c r="Q2015" s="3353"/>
      <c r="R2015" s="3353"/>
      <c r="S2015" s="3353"/>
      <c r="T2015" s="3353"/>
      <c r="U2015" s="3353"/>
      <c r="V2015" s="3353"/>
      <c r="W2015" s="3353"/>
      <c r="X2015" s="3353"/>
      <c r="Y2015" s="3353"/>
      <c r="Z2015" s="3353"/>
      <c r="AA2015" s="3353"/>
      <c r="AB2015" s="3353"/>
      <c r="AC2015" s="3353"/>
      <c r="AD2015" s="3353"/>
      <c r="AE2015" s="3353"/>
      <c r="AF2015" s="3353"/>
      <c r="AG2015" s="3353"/>
      <c r="AH2015" s="3353"/>
      <c r="AI2015" s="3353"/>
      <c r="AJ2015" s="3353"/>
      <c r="AK2015" s="3353"/>
      <c r="AL2015" s="3353"/>
    </row>
    <row r="2016" spans="1:38" s="3309" customFormat="1" ht="15.75" x14ac:dyDescent="0.25">
      <c r="A2016" s="3381" t="s">
        <v>5971</v>
      </c>
      <c r="B2016" s="3384">
        <f t="shared" ref="B2016:G2016" si="1134">B567</f>
        <v>0.2</v>
      </c>
      <c r="C2016" s="3384" t="e">
        <f t="shared" si="1134"/>
        <v>#DIV/0!</v>
      </c>
      <c r="D2016" s="3384" t="e">
        <f t="shared" si="1134"/>
        <v>#DIV/0!</v>
      </c>
      <c r="E2016" s="3384" t="e">
        <f t="shared" si="1134"/>
        <v>#DIV/0!</v>
      </c>
      <c r="F2016" s="3384" t="e">
        <f t="shared" si="1134"/>
        <v>#DIV/0!</v>
      </c>
      <c r="G2016" s="3384" t="e">
        <f t="shared" si="1134"/>
        <v>#DIV/0!</v>
      </c>
      <c r="H2016" s="3353"/>
      <c r="I2016" s="3353"/>
      <c r="J2016" s="3353"/>
      <c r="K2016" s="3353"/>
      <c r="L2016" s="3353"/>
      <c r="M2016" s="3353"/>
      <c r="N2016" s="3353"/>
      <c r="O2016" s="3353"/>
      <c r="P2016" s="3353"/>
      <c r="Q2016" s="3353"/>
      <c r="R2016" s="3353"/>
      <c r="S2016" s="3353"/>
      <c r="T2016" s="3353"/>
      <c r="U2016" s="3353"/>
      <c r="V2016" s="3353"/>
      <c r="W2016" s="3353"/>
      <c r="X2016" s="3353"/>
      <c r="Y2016" s="3353"/>
      <c r="Z2016" s="3353"/>
      <c r="AA2016" s="3353"/>
      <c r="AB2016" s="3353"/>
      <c r="AC2016" s="3353"/>
      <c r="AD2016" s="3353"/>
      <c r="AE2016" s="3353"/>
      <c r="AF2016" s="3353"/>
      <c r="AG2016" s="3353"/>
      <c r="AH2016" s="3353"/>
      <c r="AI2016" s="3353"/>
      <c r="AJ2016" s="3353"/>
      <c r="AK2016" s="3353"/>
      <c r="AL2016" s="3353"/>
    </row>
    <row r="2017" spans="1:38" s="3309" customFormat="1" ht="15.75" x14ac:dyDescent="0.25">
      <c r="A2017" s="3381" t="s">
        <v>5970</v>
      </c>
      <c r="B2017" s="3386" t="e">
        <f t="shared" ref="B2017:G2017" si="1135">(12.3*B358*B2016)/1000/B2028</f>
        <v>#VALUE!</v>
      </c>
      <c r="C2017" s="3386" t="e">
        <f t="shared" si="1135"/>
        <v>#DIV/0!</v>
      </c>
      <c r="D2017" s="3386" t="e">
        <f t="shared" si="1135"/>
        <v>#DIV/0!</v>
      </c>
      <c r="E2017" s="3386" t="e">
        <f t="shared" si="1135"/>
        <v>#DIV/0!</v>
      </c>
      <c r="F2017" s="3386" t="e">
        <f t="shared" si="1135"/>
        <v>#DIV/0!</v>
      </c>
      <c r="G2017" s="3386" t="e">
        <f t="shared" si="1135"/>
        <v>#DIV/0!</v>
      </c>
      <c r="H2017" s="3385"/>
      <c r="I2017" s="3385"/>
      <c r="J2017" s="3385"/>
      <c r="K2017" s="3385"/>
      <c r="L2017" s="3385"/>
      <c r="M2017" s="3385"/>
      <c r="N2017" s="3353"/>
      <c r="O2017" s="3353"/>
      <c r="P2017" s="3353"/>
      <c r="Q2017" s="3353"/>
      <c r="R2017" s="3353"/>
      <c r="S2017" s="3353"/>
      <c r="T2017" s="3353"/>
      <c r="U2017" s="3353"/>
      <c r="V2017" s="3353"/>
      <c r="W2017" s="3353"/>
      <c r="X2017" s="3353"/>
      <c r="Y2017" s="3353"/>
      <c r="Z2017" s="3353"/>
      <c r="AA2017" s="3353"/>
      <c r="AB2017" s="3353"/>
      <c r="AC2017" s="3353"/>
      <c r="AD2017" s="3353"/>
      <c r="AE2017" s="3353"/>
      <c r="AF2017" s="3353"/>
      <c r="AG2017" s="3353"/>
      <c r="AH2017" s="3353"/>
      <c r="AI2017" s="3353"/>
      <c r="AJ2017" s="3353"/>
      <c r="AK2017" s="3353"/>
      <c r="AL2017" s="3353"/>
    </row>
    <row r="2018" spans="1:38" s="3309" customFormat="1" ht="15.75" x14ac:dyDescent="0.25">
      <c r="A2018" s="3381" t="s">
        <v>5969</v>
      </c>
      <c r="B2018" s="3384">
        <f t="shared" ref="B2018:G2018" si="1136">B585</f>
        <v>0.12</v>
      </c>
      <c r="C2018" s="3384" t="e">
        <f t="shared" si="1136"/>
        <v>#DIV/0!</v>
      </c>
      <c r="D2018" s="3384" t="e">
        <f t="shared" si="1136"/>
        <v>#DIV/0!</v>
      </c>
      <c r="E2018" s="3384" t="e">
        <f t="shared" si="1136"/>
        <v>#DIV/0!</v>
      </c>
      <c r="F2018" s="3384" t="e">
        <f t="shared" si="1136"/>
        <v>#DIV/0!</v>
      </c>
      <c r="G2018" s="3384" t="e">
        <f t="shared" si="1136"/>
        <v>#DIV/0!</v>
      </c>
      <c r="H2018" s="3353"/>
      <c r="I2018" s="3353"/>
      <c r="J2018" s="3353"/>
      <c r="K2018" s="3353"/>
      <c r="L2018" s="3353"/>
      <c r="M2018" s="3353"/>
      <c r="N2018" s="3353"/>
      <c r="O2018" s="3353"/>
      <c r="P2018" s="3353"/>
      <c r="Q2018" s="3353"/>
      <c r="R2018" s="3353"/>
      <c r="S2018" s="3353"/>
      <c r="T2018" s="3353"/>
      <c r="U2018" s="3353"/>
      <c r="V2018" s="3353"/>
      <c r="W2018" s="3353"/>
      <c r="X2018" s="3353"/>
      <c r="Y2018" s="3353"/>
      <c r="Z2018" s="3353"/>
      <c r="AA2018" s="3353"/>
      <c r="AB2018" s="3353"/>
      <c r="AC2018" s="3353"/>
      <c r="AD2018" s="3353"/>
      <c r="AE2018" s="3353"/>
      <c r="AF2018" s="3353"/>
      <c r="AG2018" s="3353"/>
      <c r="AH2018" s="3353"/>
      <c r="AI2018" s="3353"/>
      <c r="AJ2018" s="3353"/>
      <c r="AK2018" s="3353"/>
      <c r="AL2018" s="3353"/>
    </row>
    <row r="2019" spans="1:38" s="3309" customFormat="1" ht="15.75" x14ac:dyDescent="0.25">
      <c r="A2019" s="3381" t="s">
        <v>5968</v>
      </c>
      <c r="B2019" s="3384" t="e">
        <f t="shared" ref="B2019:G2019" si="1137">(B2018*B861)/1000/B2028</f>
        <v>#VALUE!</v>
      </c>
      <c r="C2019" s="3384" t="e">
        <f t="shared" si="1137"/>
        <v>#DIV/0!</v>
      </c>
      <c r="D2019" s="3384" t="e">
        <f t="shared" si="1137"/>
        <v>#DIV/0!</v>
      </c>
      <c r="E2019" s="3384" t="e">
        <f t="shared" si="1137"/>
        <v>#DIV/0!</v>
      </c>
      <c r="F2019" s="3384" t="e">
        <f t="shared" si="1137"/>
        <v>#DIV/0!</v>
      </c>
      <c r="G2019" s="3384" t="e">
        <f t="shared" si="1137"/>
        <v>#DIV/0!</v>
      </c>
      <c r="H2019" s="3353"/>
      <c r="I2019" s="3353"/>
      <c r="J2019" s="3353"/>
      <c r="K2019" s="3353"/>
      <c r="L2019" s="3353"/>
      <c r="M2019" s="3353"/>
      <c r="N2019" s="3353"/>
      <c r="O2019" s="3353"/>
      <c r="P2019" s="3353"/>
      <c r="Q2019" s="3353"/>
      <c r="R2019" s="3353"/>
      <c r="S2019" s="3353"/>
      <c r="T2019" s="3353"/>
      <c r="U2019" s="3353"/>
      <c r="V2019" s="3353"/>
      <c r="W2019" s="3353"/>
      <c r="X2019" s="3353"/>
      <c r="Y2019" s="3353"/>
      <c r="Z2019" s="3353"/>
      <c r="AA2019" s="3353"/>
      <c r="AB2019" s="3353"/>
      <c r="AC2019" s="3353"/>
      <c r="AD2019" s="3353"/>
      <c r="AE2019" s="3353"/>
      <c r="AF2019" s="3353"/>
      <c r="AG2019" s="3353"/>
      <c r="AH2019" s="3353"/>
      <c r="AI2019" s="3353"/>
      <c r="AJ2019" s="3353"/>
      <c r="AK2019" s="3353"/>
      <c r="AL2019" s="3353"/>
    </row>
    <row r="2020" spans="1:38" s="3309" customFormat="1" ht="15.75" x14ac:dyDescent="0.25">
      <c r="A2020" s="3383" t="s">
        <v>5967</v>
      </c>
      <c r="B2020" s="3382"/>
      <c r="C2020" s="3382"/>
      <c r="D2020" s="3382"/>
      <c r="E2020" s="3382"/>
      <c r="F2020" s="3382"/>
      <c r="G2020" s="3382"/>
      <c r="H2020" s="3353"/>
      <c r="I2020" s="3353"/>
      <c r="J2020" s="3353"/>
      <c r="K2020" s="3353"/>
      <c r="L2020" s="3353"/>
      <c r="M2020" s="3353"/>
      <c r="N2020" s="3353"/>
      <c r="O2020" s="3353"/>
      <c r="P2020" s="3353"/>
      <c r="Q2020" s="3353"/>
      <c r="R2020" s="3353"/>
      <c r="S2020" s="3353"/>
      <c r="T2020" s="3353"/>
      <c r="U2020" s="3353"/>
      <c r="V2020" s="3353"/>
      <c r="W2020" s="3353"/>
      <c r="X2020" s="3353"/>
      <c r="Y2020" s="3353"/>
      <c r="Z2020" s="3353"/>
      <c r="AA2020" s="3353"/>
      <c r="AB2020" s="3353"/>
      <c r="AC2020" s="3353"/>
      <c r="AD2020" s="3353"/>
      <c r="AE2020" s="3353"/>
      <c r="AF2020" s="3353"/>
      <c r="AG2020" s="3353"/>
      <c r="AH2020" s="3353"/>
      <c r="AI2020" s="3353"/>
      <c r="AJ2020" s="3353"/>
      <c r="AK2020" s="3353"/>
      <c r="AL2020" s="3353"/>
    </row>
    <row r="2021" spans="1:38" s="3309" customFormat="1" ht="31.5" x14ac:dyDescent="0.25">
      <c r="A2021" s="3381" t="s">
        <v>5966</v>
      </c>
      <c r="B2021" s="3379">
        <f t="shared" ref="B2021:G2021" si="1138">IF(B130&lt;0.58,96,IF(B130&lt;0.7,115,IF(B130&lt;0.86,164,IF(B130&lt;1.05,188,IF(B130&lt;1.31,219,IF(B130&lt;1.6,319,361))))))</f>
        <v>361</v>
      </c>
      <c r="C2021" s="3379">
        <f t="shared" si="1138"/>
        <v>96</v>
      </c>
      <c r="D2021" s="3379">
        <f t="shared" si="1138"/>
        <v>96</v>
      </c>
      <c r="E2021" s="3379">
        <f t="shared" si="1138"/>
        <v>96</v>
      </c>
      <c r="F2021" s="3379">
        <f t="shared" si="1138"/>
        <v>96</v>
      </c>
      <c r="G2021" s="3379">
        <f t="shared" si="1138"/>
        <v>96</v>
      </c>
      <c r="H2021" s="3353"/>
      <c r="I2021" s="3353"/>
      <c r="J2021" s="3353"/>
      <c r="K2021" s="3353"/>
      <c r="L2021" s="3353"/>
      <c r="M2021" s="3353"/>
      <c r="N2021" s="3353"/>
      <c r="O2021" s="3353"/>
      <c r="P2021" s="3353"/>
      <c r="Q2021" s="3353"/>
      <c r="R2021" s="3353"/>
      <c r="S2021" s="3353"/>
      <c r="T2021" s="3353"/>
      <c r="U2021" s="3353"/>
      <c r="V2021" s="3353"/>
      <c r="W2021" s="3353"/>
      <c r="X2021" s="3353"/>
      <c r="Y2021" s="3353"/>
      <c r="Z2021" s="3353"/>
      <c r="AA2021" s="3353"/>
      <c r="AB2021" s="3353"/>
      <c r="AC2021" s="3353"/>
      <c r="AD2021" s="3353"/>
      <c r="AE2021" s="3353"/>
      <c r="AF2021" s="3353"/>
      <c r="AG2021" s="3353"/>
      <c r="AH2021" s="3353"/>
      <c r="AI2021" s="3353"/>
      <c r="AJ2021" s="3353"/>
      <c r="AK2021" s="3353"/>
      <c r="AL2021" s="3353"/>
    </row>
    <row r="2022" spans="1:38" s="3309" customFormat="1" ht="15.75" x14ac:dyDescent="0.25">
      <c r="A2022" s="3381" t="s">
        <v>5965</v>
      </c>
      <c r="B2022" s="3379" t="e">
        <f t="shared" ref="B2022:G2022" si="1139">(B592*B2021)/1000/B2028</f>
        <v>#VALUE!</v>
      </c>
      <c r="C2022" s="3379" t="e">
        <f t="shared" si="1139"/>
        <v>#DIV/0!</v>
      </c>
      <c r="D2022" s="3379" t="e">
        <f t="shared" si="1139"/>
        <v>#DIV/0!</v>
      </c>
      <c r="E2022" s="3379" t="e">
        <f t="shared" si="1139"/>
        <v>#DIV/0!</v>
      </c>
      <c r="F2022" s="3379" t="e">
        <f t="shared" si="1139"/>
        <v>#DIV/0!</v>
      </c>
      <c r="G2022" s="3379" t="e">
        <f t="shared" si="1139"/>
        <v>#DIV/0!</v>
      </c>
      <c r="H2022" s="3353"/>
      <c r="I2022" s="3353"/>
      <c r="J2022" s="3353"/>
      <c r="K2022" s="3353"/>
      <c r="L2022" s="3353"/>
      <c r="M2022" s="3353"/>
      <c r="N2022" s="3353"/>
      <c r="O2022" s="3353"/>
      <c r="P2022" s="3353"/>
      <c r="Q2022" s="3353"/>
      <c r="R2022" s="3353"/>
      <c r="S2022" s="3353"/>
      <c r="T2022" s="3353"/>
      <c r="U2022" s="3353"/>
      <c r="V2022" s="3353"/>
      <c r="W2022" s="3353"/>
      <c r="X2022" s="3353"/>
      <c r="Y2022" s="3353"/>
      <c r="Z2022" s="3353"/>
      <c r="AA2022" s="3353"/>
      <c r="AB2022" s="3353"/>
      <c r="AC2022" s="3353"/>
      <c r="AD2022" s="3353"/>
      <c r="AE2022" s="3353"/>
      <c r="AF2022" s="3353"/>
      <c r="AG2022" s="3353"/>
      <c r="AH2022" s="3353"/>
      <c r="AI2022" s="3353"/>
      <c r="AJ2022" s="3353"/>
      <c r="AK2022" s="3353"/>
      <c r="AL2022" s="3353"/>
    </row>
    <row r="2023" spans="1:38" s="3309" customFormat="1" ht="15.75" x14ac:dyDescent="0.25">
      <c r="A2023" s="3383" t="s">
        <v>5964</v>
      </c>
      <c r="B2023" s="3382"/>
      <c r="C2023" s="3382"/>
      <c r="D2023" s="3382"/>
      <c r="E2023" s="3382"/>
      <c r="F2023" s="3382"/>
      <c r="G2023" s="3382"/>
      <c r="H2023" s="3353"/>
      <c r="I2023" s="3353"/>
      <c r="J2023" s="3353"/>
      <c r="K2023" s="3353"/>
      <c r="L2023" s="3353"/>
      <c r="M2023" s="3353"/>
      <c r="N2023" s="3353"/>
      <c r="O2023" s="3353"/>
      <c r="P2023" s="3353"/>
      <c r="Q2023" s="3353"/>
      <c r="R2023" s="3353"/>
      <c r="S2023" s="3353"/>
      <c r="T2023" s="3353"/>
      <c r="U2023" s="3353"/>
      <c r="V2023" s="3353"/>
      <c r="W2023" s="3353"/>
      <c r="X2023" s="3353"/>
      <c r="Y2023" s="3353"/>
      <c r="Z2023" s="3353"/>
      <c r="AA2023" s="3353"/>
      <c r="AB2023" s="3353"/>
      <c r="AC2023" s="3353"/>
      <c r="AD2023" s="3353"/>
      <c r="AE2023" s="3353"/>
      <c r="AF2023" s="3353"/>
      <c r="AG2023" s="3353"/>
      <c r="AH2023" s="3353"/>
      <c r="AI2023" s="3353"/>
      <c r="AJ2023" s="3353"/>
      <c r="AK2023" s="3353"/>
      <c r="AL2023" s="3353"/>
    </row>
    <row r="2024" spans="1:38" s="3309" customFormat="1" ht="31.5" x14ac:dyDescent="0.25">
      <c r="A2024" s="3381" t="s">
        <v>5963</v>
      </c>
      <c r="B2024" s="3379">
        <f t="shared" ref="B2024:G2024" si="1140">IF(B130&lt;0.75,335,IF(B130&lt;1.05,365,IF(B130&lt;1.39,380,440)))</f>
        <v>440</v>
      </c>
      <c r="C2024" s="3379">
        <f t="shared" si="1140"/>
        <v>335</v>
      </c>
      <c r="D2024" s="3379">
        <f t="shared" si="1140"/>
        <v>335</v>
      </c>
      <c r="E2024" s="3379">
        <f t="shared" si="1140"/>
        <v>335</v>
      </c>
      <c r="F2024" s="3379">
        <f t="shared" si="1140"/>
        <v>335</v>
      </c>
      <c r="G2024" s="3379">
        <f t="shared" si="1140"/>
        <v>335</v>
      </c>
      <c r="H2024" s="3353"/>
      <c r="I2024" s="3353"/>
      <c r="J2024" s="3353"/>
      <c r="K2024" s="3353"/>
      <c r="L2024" s="3353"/>
      <c r="M2024" s="3353"/>
      <c r="N2024" s="3353"/>
      <c r="O2024" s="3353"/>
      <c r="P2024" s="3353"/>
      <c r="Q2024" s="3353"/>
      <c r="R2024" s="3353"/>
      <c r="S2024" s="3353"/>
      <c r="T2024" s="3353"/>
      <c r="U2024" s="3353"/>
      <c r="V2024" s="3353"/>
      <c r="W2024" s="3353"/>
      <c r="X2024" s="3353"/>
      <c r="Y2024" s="3353"/>
      <c r="Z2024" s="3353"/>
      <c r="AA2024" s="3353"/>
      <c r="AB2024" s="3353"/>
      <c r="AC2024" s="3353"/>
      <c r="AD2024" s="3353"/>
      <c r="AE2024" s="3353"/>
      <c r="AF2024" s="3353"/>
      <c r="AG2024" s="3353"/>
      <c r="AH2024" s="3353"/>
      <c r="AI2024" s="3353"/>
      <c r="AJ2024" s="3353"/>
      <c r="AK2024" s="3353"/>
      <c r="AL2024" s="3353"/>
    </row>
    <row r="2025" spans="1:38" s="3309" customFormat="1" ht="15.75" x14ac:dyDescent="0.25">
      <c r="A2025" s="3381" t="s">
        <v>5962</v>
      </c>
      <c r="B2025" s="3379" t="e">
        <f t="shared" ref="B2025:G2025" si="1141">(B599*B2024)/1000/B2028</f>
        <v>#VALUE!</v>
      </c>
      <c r="C2025" s="3379" t="e">
        <f t="shared" si="1141"/>
        <v>#DIV/0!</v>
      </c>
      <c r="D2025" s="3379" t="e">
        <f t="shared" si="1141"/>
        <v>#DIV/0!</v>
      </c>
      <c r="E2025" s="3379" t="e">
        <f t="shared" si="1141"/>
        <v>#DIV/0!</v>
      </c>
      <c r="F2025" s="3379" t="e">
        <f t="shared" si="1141"/>
        <v>#DIV/0!</v>
      </c>
      <c r="G2025" s="3379" t="e">
        <f t="shared" si="1141"/>
        <v>#DIV/0!</v>
      </c>
      <c r="H2025" s="3353"/>
      <c r="I2025" s="3353"/>
      <c r="J2025" s="3353"/>
      <c r="K2025" s="3353"/>
      <c r="L2025" s="3353"/>
      <c r="M2025" s="3353"/>
      <c r="N2025" s="3353"/>
      <c r="O2025" s="3353"/>
      <c r="P2025" s="3353"/>
      <c r="Q2025" s="3353"/>
      <c r="R2025" s="3353"/>
      <c r="S2025" s="3353"/>
      <c r="T2025" s="3353"/>
      <c r="U2025" s="3353"/>
      <c r="V2025" s="3353"/>
      <c r="W2025" s="3353"/>
      <c r="X2025" s="3353"/>
      <c r="Y2025" s="3353"/>
      <c r="Z2025" s="3353"/>
      <c r="AA2025" s="3353"/>
      <c r="AB2025" s="3353"/>
      <c r="AC2025" s="3353"/>
      <c r="AD2025" s="3353"/>
      <c r="AE2025" s="3353"/>
      <c r="AF2025" s="3353"/>
      <c r="AG2025" s="3353"/>
      <c r="AH2025" s="3353"/>
      <c r="AI2025" s="3353"/>
      <c r="AJ2025" s="3353"/>
      <c r="AK2025" s="3353"/>
      <c r="AL2025" s="3353"/>
    </row>
    <row r="2026" spans="1:38" s="3309" customFormat="1" ht="15.75" x14ac:dyDescent="0.25">
      <c r="A2026" s="3381"/>
      <c r="B2026" s="3382"/>
      <c r="C2026" s="3382"/>
      <c r="D2026" s="3382"/>
      <c r="E2026" s="3382"/>
      <c r="F2026" s="3382"/>
      <c r="G2026" s="3382"/>
      <c r="H2026" s="3353"/>
      <c r="I2026" s="3353"/>
      <c r="J2026" s="3353"/>
      <c r="K2026" s="3353"/>
      <c r="L2026" s="3353"/>
      <c r="M2026" s="3353"/>
      <c r="N2026" s="3353"/>
      <c r="O2026" s="3353"/>
      <c r="P2026" s="3353"/>
      <c r="Q2026" s="3353"/>
      <c r="R2026" s="3353"/>
      <c r="S2026" s="3353"/>
      <c r="T2026" s="3353"/>
      <c r="U2026" s="3353"/>
      <c r="V2026" s="3353"/>
      <c r="W2026" s="3353"/>
      <c r="X2026" s="3353"/>
      <c r="Y2026" s="3353"/>
      <c r="Z2026" s="3353"/>
      <c r="AA2026" s="3353"/>
      <c r="AB2026" s="3353"/>
      <c r="AC2026" s="3353"/>
      <c r="AD2026" s="3353"/>
      <c r="AE2026" s="3353"/>
      <c r="AF2026" s="3353"/>
      <c r="AG2026" s="3353"/>
      <c r="AH2026" s="3353"/>
      <c r="AI2026" s="3353"/>
      <c r="AJ2026" s="3353"/>
      <c r="AK2026" s="3353"/>
      <c r="AL2026" s="3353"/>
    </row>
    <row r="2027" spans="1:38" s="3309" customFormat="1" ht="15.75" x14ac:dyDescent="0.25">
      <c r="A2027" s="3381"/>
      <c r="B2027" s="3379"/>
      <c r="C2027" s="3379"/>
      <c r="D2027" s="3379"/>
      <c r="E2027" s="3379"/>
      <c r="F2027" s="3379"/>
      <c r="G2027" s="3379"/>
      <c r="H2027" s="3353"/>
      <c r="I2027" s="3353"/>
      <c r="J2027" s="3353"/>
      <c r="K2027" s="3353"/>
      <c r="L2027" s="3353"/>
      <c r="M2027" s="3353"/>
      <c r="N2027" s="3353"/>
      <c r="O2027" s="3353"/>
      <c r="P2027" s="3353"/>
      <c r="Q2027" s="3353"/>
      <c r="R2027" s="3353"/>
      <c r="S2027" s="3353"/>
      <c r="T2027" s="3353"/>
      <c r="U2027" s="3353"/>
      <c r="V2027" s="3353"/>
      <c r="W2027" s="3353"/>
      <c r="X2027" s="3353"/>
      <c r="Y2027" s="3353"/>
      <c r="Z2027" s="3353"/>
      <c r="AA2027" s="3353"/>
      <c r="AB2027" s="3353"/>
      <c r="AC2027" s="3353"/>
      <c r="AD2027" s="3353"/>
      <c r="AE2027" s="3353"/>
      <c r="AF2027" s="3353"/>
      <c r="AG2027" s="3353"/>
      <c r="AH2027" s="3353"/>
      <c r="AI2027" s="3353"/>
      <c r="AJ2027" s="3353"/>
      <c r="AK2027" s="3353"/>
      <c r="AL2027" s="3353"/>
    </row>
    <row r="2028" spans="1:38" s="3309" customFormat="1" x14ac:dyDescent="0.2">
      <c r="A2028" s="3380" t="s">
        <v>5961</v>
      </c>
      <c r="B2028" s="3379" t="e">
        <f t="shared" ref="B2028:G2028" si="1142">B1417*B1416/(B1418*B1400*B1401*B1405*B1406)</f>
        <v>#VALUE!</v>
      </c>
      <c r="C2028" s="3379" t="e">
        <f t="shared" si="1142"/>
        <v>#DIV/0!</v>
      </c>
      <c r="D2028" s="3379" t="e">
        <f t="shared" si="1142"/>
        <v>#DIV/0!</v>
      </c>
      <c r="E2028" s="3379" t="e">
        <f t="shared" si="1142"/>
        <v>#DIV/0!</v>
      </c>
      <c r="F2028" s="3379" t="e">
        <f t="shared" si="1142"/>
        <v>#DIV/0!</v>
      </c>
      <c r="G2028" s="3379" t="e">
        <f t="shared" si="1142"/>
        <v>#DIV/0!</v>
      </c>
      <c r="H2028" s="3353"/>
      <c r="I2028" s="3353"/>
      <c r="J2028" s="3353"/>
      <c r="K2028" s="3353"/>
      <c r="L2028" s="3353"/>
      <c r="M2028" s="3353"/>
      <c r="N2028" s="3353"/>
      <c r="O2028" s="3353"/>
      <c r="P2028" s="3353"/>
      <c r="Q2028" s="3353"/>
      <c r="R2028" s="3353"/>
      <c r="S2028" s="3353"/>
      <c r="T2028" s="3353"/>
      <c r="U2028" s="3353"/>
      <c r="V2028" s="3353"/>
      <c r="W2028" s="3353"/>
      <c r="X2028" s="3353"/>
      <c r="Y2028" s="3353"/>
      <c r="Z2028" s="3353"/>
      <c r="AA2028" s="3353"/>
      <c r="AB2028" s="3353"/>
      <c r="AC2028" s="3353"/>
      <c r="AD2028" s="3353"/>
      <c r="AE2028" s="3353"/>
      <c r="AF2028" s="3353"/>
      <c r="AG2028" s="3353"/>
      <c r="AH2028" s="3353"/>
      <c r="AI2028" s="3353"/>
      <c r="AJ2028" s="3353"/>
      <c r="AK2028" s="3353"/>
      <c r="AL2028" s="3353"/>
    </row>
    <row r="2029" spans="1:38" s="3309" customFormat="1" x14ac:dyDescent="0.2">
      <c r="A2029" s="3378" t="s">
        <v>5960</v>
      </c>
      <c r="B2029" s="3368"/>
      <c r="C2029" s="3368"/>
      <c r="D2029" s="3368"/>
      <c r="E2029" s="3368"/>
      <c r="F2029" s="3368"/>
      <c r="G2029" s="3368"/>
      <c r="H2029" s="3353"/>
      <c r="I2029" s="3353"/>
      <c r="J2029" s="3353"/>
      <c r="K2029" s="3353"/>
      <c r="L2029" s="3353"/>
      <c r="M2029" s="3353"/>
      <c r="N2029" s="3353"/>
      <c r="O2029" s="3353"/>
      <c r="P2029" s="3353"/>
      <c r="Q2029" s="3353"/>
      <c r="R2029" s="3353"/>
      <c r="S2029" s="3353"/>
      <c r="T2029" s="3353"/>
      <c r="U2029" s="3353"/>
      <c r="V2029" s="3353"/>
      <c r="W2029" s="3353"/>
      <c r="X2029" s="3353"/>
      <c r="Y2029" s="3353"/>
      <c r="Z2029" s="3353"/>
      <c r="AA2029" s="3353"/>
      <c r="AB2029" s="3353"/>
      <c r="AC2029" s="3353"/>
      <c r="AD2029" s="3353"/>
      <c r="AE2029" s="3353"/>
      <c r="AF2029" s="3353"/>
      <c r="AG2029" s="3353"/>
      <c r="AH2029" s="3353"/>
      <c r="AI2029" s="3353"/>
      <c r="AJ2029" s="3353"/>
      <c r="AK2029" s="3353"/>
      <c r="AL2029" s="3353"/>
    </row>
    <row r="2030" spans="1:38" s="3309" customFormat="1" ht="25.5" x14ac:dyDescent="0.2">
      <c r="A2030" s="3377" t="s">
        <v>5959</v>
      </c>
      <c r="B2030" s="3368"/>
      <c r="C2030" s="3368"/>
      <c r="D2030" s="3368"/>
      <c r="E2030" s="3368"/>
      <c r="F2030" s="3368"/>
      <c r="G2030" s="3368"/>
      <c r="H2030" s="3353"/>
      <c r="I2030" s="3353"/>
      <c r="J2030" s="3353"/>
      <c r="K2030" s="3353"/>
      <c r="L2030" s="3353"/>
      <c r="M2030" s="3353"/>
      <c r="N2030" s="3353"/>
      <c r="O2030" s="3353"/>
      <c r="P2030" s="3353"/>
      <c r="Q2030" s="3353"/>
      <c r="R2030" s="3353"/>
      <c r="S2030" s="3353"/>
      <c r="T2030" s="3353"/>
      <c r="U2030" s="3353"/>
      <c r="V2030" s="3353"/>
      <c r="W2030" s="3353"/>
      <c r="X2030" s="3353"/>
      <c r="Y2030" s="3353"/>
      <c r="Z2030" s="3353"/>
      <c r="AA2030" s="3353"/>
      <c r="AB2030" s="3353"/>
      <c r="AC2030" s="3353"/>
      <c r="AD2030" s="3353"/>
      <c r="AE2030" s="3353"/>
      <c r="AF2030" s="3353"/>
      <c r="AG2030" s="3353"/>
      <c r="AH2030" s="3353"/>
      <c r="AI2030" s="3353"/>
      <c r="AJ2030" s="3353"/>
      <c r="AK2030" s="3353"/>
      <c r="AL2030" s="3353"/>
    </row>
    <row r="2031" spans="1:38" s="3309" customFormat="1" x14ac:dyDescent="0.2">
      <c r="A2031" s="3365" t="s">
        <v>5951</v>
      </c>
      <c r="B2031" s="3375" t="e">
        <f t="shared" ref="B2031:G2031" si="1143">B1211+B1212+B1850+B1851</f>
        <v>#DIV/0!</v>
      </c>
      <c r="C2031" s="3375" t="e">
        <f t="shared" si="1143"/>
        <v>#DIV/0!</v>
      </c>
      <c r="D2031" s="3375" t="e">
        <f t="shared" si="1143"/>
        <v>#DIV/0!</v>
      </c>
      <c r="E2031" s="3375" t="e">
        <f t="shared" si="1143"/>
        <v>#DIV/0!</v>
      </c>
      <c r="F2031" s="3375" t="e">
        <f t="shared" si="1143"/>
        <v>#DIV/0!</v>
      </c>
      <c r="G2031" s="3375" t="e">
        <f t="shared" si="1143"/>
        <v>#DIV/0!</v>
      </c>
      <c r="H2031" s="3353"/>
      <c r="I2031" s="3353"/>
      <c r="J2031" s="3353"/>
      <c r="K2031" s="3353"/>
      <c r="L2031" s="3353"/>
      <c r="M2031" s="3353"/>
      <c r="N2031" s="3353"/>
      <c r="O2031" s="3353"/>
      <c r="P2031" s="3353"/>
      <c r="Q2031" s="3353"/>
      <c r="R2031" s="3353"/>
      <c r="S2031" s="3353"/>
      <c r="T2031" s="3353"/>
      <c r="U2031" s="3353"/>
      <c r="V2031" s="3353"/>
      <c r="W2031" s="3353"/>
      <c r="X2031" s="3353"/>
      <c r="Y2031" s="3353"/>
      <c r="Z2031" s="3353"/>
      <c r="AA2031" s="3353"/>
      <c r="AB2031" s="3353"/>
      <c r="AC2031" s="3353"/>
      <c r="AD2031" s="3353"/>
      <c r="AE2031" s="3353"/>
      <c r="AF2031" s="3353"/>
      <c r="AG2031" s="3353"/>
      <c r="AH2031" s="3353"/>
      <c r="AI2031" s="3353"/>
      <c r="AJ2031" s="3353"/>
      <c r="AK2031" s="3353"/>
      <c r="AL2031" s="3353"/>
    </row>
    <row r="2032" spans="1:38" s="3309" customFormat="1" x14ac:dyDescent="0.2">
      <c r="A2032" s="3365" t="s">
        <v>5950</v>
      </c>
      <c r="B2032" s="3375">
        <f t="shared" ref="B2032:G2032" si="1144">B1207+B1208+B1846+B1848</f>
        <v>0</v>
      </c>
      <c r="C2032" s="3375" t="e">
        <f t="shared" si="1144"/>
        <v>#DIV/0!</v>
      </c>
      <c r="D2032" s="3375" t="e">
        <f t="shared" si="1144"/>
        <v>#DIV/0!</v>
      </c>
      <c r="E2032" s="3375" t="e">
        <f t="shared" si="1144"/>
        <v>#DIV/0!</v>
      </c>
      <c r="F2032" s="3375" t="e">
        <f t="shared" si="1144"/>
        <v>#DIV/0!</v>
      </c>
      <c r="G2032" s="3375" t="e">
        <f t="shared" si="1144"/>
        <v>#DIV/0!</v>
      </c>
      <c r="H2032" s="3353"/>
      <c r="I2032" s="3353"/>
      <c r="J2032" s="3353"/>
      <c r="K2032" s="3353"/>
      <c r="L2032" s="3353"/>
      <c r="M2032" s="3353"/>
      <c r="N2032" s="3353"/>
      <c r="O2032" s="3353"/>
      <c r="P2032" s="3353"/>
      <c r="Q2032" s="3353"/>
      <c r="R2032" s="3353"/>
      <c r="S2032" s="3353"/>
      <c r="T2032" s="3353"/>
      <c r="U2032" s="3353"/>
      <c r="V2032" s="3353"/>
      <c r="W2032" s="3353"/>
      <c r="X2032" s="3353"/>
      <c r="Y2032" s="3353"/>
      <c r="Z2032" s="3353"/>
      <c r="AA2032" s="3353"/>
      <c r="AB2032" s="3353"/>
      <c r="AC2032" s="3353"/>
      <c r="AD2032" s="3353"/>
      <c r="AE2032" s="3353"/>
      <c r="AF2032" s="3353"/>
      <c r="AG2032" s="3353"/>
      <c r="AH2032" s="3353"/>
      <c r="AI2032" s="3353"/>
      <c r="AJ2032" s="3353"/>
      <c r="AK2032" s="3353"/>
      <c r="AL2032" s="3353"/>
    </row>
    <row r="2033" spans="1:38" s="3309" customFormat="1" x14ac:dyDescent="0.2">
      <c r="A2033" s="3365" t="s">
        <v>5949</v>
      </c>
      <c r="B2033" s="3375" t="e">
        <f t="shared" ref="B2033:G2033" si="1145">(B1264/B1287)+(B1898/B1287)</f>
        <v>#VALUE!</v>
      </c>
      <c r="C2033" s="3375" t="e">
        <f t="shared" si="1145"/>
        <v>#DIV/0!</v>
      </c>
      <c r="D2033" s="3375" t="e">
        <f t="shared" si="1145"/>
        <v>#DIV/0!</v>
      </c>
      <c r="E2033" s="3375" t="e">
        <f t="shared" si="1145"/>
        <v>#DIV/0!</v>
      </c>
      <c r="F2033" s="3375" t="e">
        <f t="shared" si="1145"/>
        <v>#DIV/0!</v>
      </c>
      <c r="G2033" s="3375" t="e">
        <f t="shared" si="1145"/>
        <v>#DIV/0!</v>
      </c>
      <c r="H2033" s="3353"/>
      <c r="I2033" s="3353"/>
      <c r="J2033" s="3353"/>
      <c r="K2033" s="3353"/>
      <c r="L2033" s="3353"/>
      <c r="M2033" s="3353"/>
      <c r="N2033" s="3353"/>
      <c r="O2033" s="3353"/>
      <c r="P2033" s="3353"/>
      <c r="Q2033" s="3353"/>
      <c r="R2033" s="3353"/>
      <c r="S2033" s="3353"/>
      <c r="T2033" s="3353"/>
      <c r="U2033" s="3353"/>
      <c r="V2033" s="3353"/>
      <c r="W2033" s="3353"/>
      <c r="X2033" s="3353"/>
      <c r="Y2033" s="3353"/>
      <c r="Z2033" s="3353"/>
      <c r="AA2033" s="3353"/>
      <c r="AB2033" s="3353"/>
      <c r="AC2033" s="3353"/>
      <c r="AD2033" s="3353"/>
      <c r="AE2033" s="3353"/>
      <c r="AF2033" s="3353"/>
      <c r="AG2033" s="3353"/>
      <c r="AH2033" s="3353"/>
      <c r="AI2033" s="3353"/>
      <c r="AJ2033" s="3353"/>
      <c r="AK2033" s="3353"/>
      <c r="AL2033" s="3353"/>
    </row>
    <row r="2034" spans="1:38" s="3309" customFormat="1" x14ac:dyDescent="0.2">
      <c r="A2034" s="3365" t="s">
        <v>5948</v>
      </c>
      <c r="B2034" s="3373" t="e">
        <f t="shared" ref="B2034:G2034" si="1146">(B998/1000)*B2033</f>
        <v>#VALUE!</v>
      </c>
      <c r="C2034" s="3373" t="e">
        <f t="shared" si="1146"/>
        <v>#NUM!</v>
      </c>
      <c r="D2034" s="3373" t="e">
        <f t="shared" si="1146"/>
        <v>#NUM!</v>
      </c>
      <c r="E2034" s="3373" t="e">
        <f t="shared" si="1146"/>
        <v>#NUM!</v>
      </c>
      <c r="F2034" s="3373" t="e">
        <f t="shared" si="1146"/>
        <v>#NUM!</v>
      </c>
      <c r="G2034" s="3373" t="e">
        <f t="shared" si="1146"/>
        <v>#NUM!</v>
      </c>
      <c r="H2034" s="3353"/>
      <c r="I2034" s="3353"/>
      <c r="J2034" s="3353"/>
      <c r="K2034" s="3353"/>
      <c r="L2034" s="3353"/>
      <c r="M2034" s="3353"/>
      <c r="N2034" s="3353"/>
      <c r="O2034" s="3353"/>
      <c r="P2034" s="3353"/>
      <c r="Q2034" s="3353"/>
      <c r="R2034" s="3353"/>
      <c r="S2034" s="3353"/>
      <c r="T2034" s="3353"/>
      <c r="U2034" s="3353"/>
      <c r="V2034" s="3353"/>
      <c r="W2034" s="3353"/>
      <c r="X2034" s="3353"/>
      <c r="Y2034" s="3353"/>
      <c r="Z2034" s="3353"/>
      <c r="AA2034" s="3353"/>
      <c r="AB2034" s="3353"/>
      <c r="AC2034" s="3353"/>
      <c r="AD2034" s="3353"/>
      <c r="AE2034" s="3353"/>
      <c r="AF2034" s="3353"/>
      <c r="AG2034" s="3353"/>
      <c r="AH2034" s="3353"/>
      <c r="AI2034" s="3353"/>
      <c r="AJ2034" s="3353"/>
      <c r="AK2034" s="3353"/>
      <c r="AL2034" s="3353"/>
    </row>
    <row r="2035" spans="1:38" s="3309" customFormat="1" x14ac:dyDescent="0.2">
      <c r="A2035" s="3365" t="s">
        <v>5947</v>
      </c>
      <c r="B2035" s="3375">
        <v>0</v>
      </c>
      <c r="C2035" s="3375">
        <v>0</v>
      </c>
      <c r="D2035" s="3375">
        <v>0</v>
      </c>
      <c r="E2035" s="3375">
        <v>0</v>
      </c>
      <c r="F2035" s="3375">
        <v>0</v>
      </c>
      <c r="G2035" s="3375">
        <v>0</v>
      </c>
      <c r="H2035" s="3353"/>
      <c r="I2035" s="3353"/>
      <c r="J2035" s="3353"/>
      <c r="K2035" s="3353"/>
      <c r="L2035" s="3353"/>
      <c r="M2035" s="3353"/>
      <c r="N2035" s="3353"/>
      <c r="O2035" s="3353"/>
      <c r="P2035" s="3353"/>
      <c r="Q2035" s="3353"/>
      <c r="R2035" s="3353"/>
      <c r="S2035" s="3353"/>
      <c r="T2035" s="3353"/>
      <c r="U2035" s="3353"/>
      <c r="V2035" s="3353"/>
      <c r="W2035" s="3353"/>
      <c r="X2035" s="3353"/>
      <c r="Y2035" s="3353"/>
      <c r="Z2035" s="3353"/>
      <c r="AA2035" s="3353"/>
      <c r="AB2035" s="3353"/>
      <c r="AC2035" s="3353"/>
      <c r="AD2035" s="3353"/>
      <c r="AE2035" s="3353"/>
      <c r="AF2035" s="3353"/>
      <c r="AG2035" s="3353"/>
      <c r="AH2035" s="3353"/>
      <c r="AI2035" s="3353"/>
      <c r="AJ2035" s="3353"/>
      <c r="AK2035" s="3353"/>
      <c r="AL2035" s="3353"/>
    </row>
    <row r="2036" spans="1:38" s="3309" customFormat="1" x14ac:dyDescent="0.2">
      <c r="A2036" s="3365" t="s">
        <v>1832</v>
      </c>
      <c r="B2036" s="3375">
        <v>0</v>
      </c>
      <c r="C2036" s="3375">
        <v>0</v>
      </c>
      <c r="D2036" s="3375">
        <v>0</v>
      </c>
      <c r="E2036" s="3375">
        <v>0</v>
      </c>
      <c r="F2036" s="3375">
        <v>0</v>
      </c>
      <c r="G2036" s="3375">
        <v>0</v>
      </c>
      <c r="H2036" s="3353"/>
      <c r="I2036" s="3353"/>
      <c r="J2036" s="3353"/>
      <c r="K2036" s="3353"/>
      <c r="L2036" s="3353"/>
      <c r="M2036" s="3353"/>
      <c r="N2036" s="3353"/>
      <c r="O2036" s="3353"/>
      <c r="P2036" s="3353"/>
      <c r="Q2036" s="3353"/>
      <c r="R2036" s="3353"/>
      <c r="S2036" s="3353"/>
      <c r="T2036" s="3353"/>
      <c r="U2036" s="3353"/>
      <c r="V2036" s="3353"/>
      <c r="W2036" s="3353"/>
      <c r="X2036" s="3353"/>
      <c r="Y2036" s="3353"/>
      <c r="Z2036" s="3353"/>
      <c r="AA2036" s="3353"/>
      <c r="AB2036" s="3353"/>
      <c r="AC2036" s="3353"/>
      <c r="AD2036" s="3353"/>
      <c r="AE2036" s="3353"/>
      <c r="AF2036" s="3353"/>
      <c r="AG2036" s="3353"/>
      <c r="AH2036" s="3353"/>
      <c r="AI2036" s="3353"/>
      <c r="AJ2036" s="3353"/>
      <c r="AK2036" s="3353"/>
      <c r="AL2036" s="3353"/>
    </row>
    <row r="2037" spans="1:38" s="3309" customFormat="1" x14ac:dyDescent="0.2">
      <c r="A2037" s="3365" t="s">
        <v>5946</v>
      </c>
      <c r="B2037" s="3373">
        <v>0</v>
      </c>
      <c r="C2037" s="3373">
        <v>0</v>
      </c>
      <c r="D2037" s="3373">
        <v>0</v>
      </c>
      <c r="E2037" s="3373">
        <v>0</v>
      </c>
      <c r="F2037" s="3373">
        <v>0</v>
      </c>
      <c r="G2037" s="3373">
        <v>0</v>
      </c>
      <c r="H2037" s="3353"/>
      <c r="I2037" s="3353"/>
      <c r="J2037" s="3353"/>
      <c r="K2037" s="3353"/>
      <c r="L2037" s="3353"/>
      <c r="M2037" s="3353"/>
      <c r="N2037" s="3353"/>
      <c r="O2037" s="3353"/>
      <c r="P2037" s="3353"/>
      <c r="Q2037" s="3353"/>
      <c r="R2037" s="3353"/>
      <c r="S2037" s="3353"/>
      <c r="T2037" s="3353"/>
      <c r="U2037" s="3353"/>
      <c r="V2037" s="3353"/>
      <c r="W2037" s="3353"/>
      <c r="X2037" s="3353"/>
      <c r="Y2037" s="3353"/>
      <c r="Z2037" s="3353"/>
      <c r="AA2037" s="3353"/>
      <c r="AB2037" s="3353"/>
      <c r="AC2037" s="3353"/>
      <c r="AD2037" s="3353"/>
      <c r="AE2037" s="3353"/>
      <c r="AF2037" s="3353"/>
      <c r="AG2037" s="3353"/>
      <c r="AH2037" s="3353"/>
      <c r="AI2037" s="3353"/>
      <c r="AJ2037" s="3353"/>
      <c r="AK2037" s="3353"/>
      <c r="AL2037" s="3353"/>
    </row>
    <row r="2038" spans="1:38" s="3309" customFormat="1" x14ac:dyDescent="0.2">
      <c r="A2038" s="3365" t="s">
        <v>5945</v>
      </c>
      <c r="B2038" s="3373">
        <v>0</v>
      </c>
      <c r="C2038" s="3373">
        <v>0</v>
      </c>
      <c r="D2038" s="3373">
        <v>0</v>
      </c>
      <c r="E2038" s="3373">
        <v>0</v>
      </c>
      <c r="F2038" s="3373">
        <v>0</v>
      </c>
      <c r="G2038" s="3373">
        <v>0</v>
      </c>
      <c r="H2038" s="3353"/>
      <c r="I2038" s="3353"/>
      <c r="J2038" s="3353"/>
      <c r="K2038" s="3353"/>
      <c r="L2038" s="3353"/>
      <c r="M2038" s="3353"/>
      <c r="N2038" s="3353"/>
      <c r="O2038" s="3353"/>
      <c r="P2038" s="3353"/>
      <c r="Q2038" s="3353"/>
      <c r="R2038" s="3353"/>
      <c r="S2038" s="3353"/>
      <c r="T2038" s="3353"/>
      <c r="U2038" s="3353"/>
      <c r="V2038" s="3353"/>
      <c r="W2038" s="3353"/>
      <c r="X2038" s="3353"/>
      <c r="Y2038" s="3353"/>
      <c r="Z2038" s="3353"/>
      <c r="AA2038" s="3353"/>
      <c r="AB2038" s="3353"/>
      <c r="AC2038" s="3353"/>
      <c r="AD2038" s="3353"/>
      <c r="AE2038" s="3353"/>
      <c r="AF2038" s="3353"/>
      <c r="AG2038" s="3353"/>
      <c r="AH2038" s="3353"/>
      <c r="AI2038" s="3353"/>
      <c r="AJ2038" s="3353"/>
      <c r="AK2038" s="3353"/>
      <c r="AL2038" s="3353"/>
    </row>
    <row r="2039" spans="1:38" s="3309" customFormat="1" x14ac:dyDescent="0.2">
      <c r="A2039" s="3365" t="s">
        <v>2734</v>
      </c>
      <c r="B2039" s="3375" t="e">
        <f t="shared" ref="B2039:G2039" si="1147">(B1914/B1287/1000)+(B1280/B1287/1000)</f>
        <v>#VALUE!</v>
      </c>
      <c r="C2039" s="3375" t="e">
        <f t="shared" si="1147"/>
        <v>#DIV/0!</v>
      </c>
      <c r="D2039" s="3375" t="e">
        <f t="shared" si="1147"/>
        <v>#DIV/0!</v>
      </c>
      <c r="E2039" s="3375" t="e">
        <f t="shared" si="1147"/>
        <v>#DIV/0!</v>
      </c>
      <c r="F2039" s="3375" t="e">
        <f t="shared" si="1147"/>
        <v>#DIV/0!</v>
      </c>
      <c r="G2039" s="3375" t="e">
        <f t="shared" si="1147"/>
        <v>#DIV/0!</v>
      </c>
      <c r="H2039" s="3353"/>
      <c r="I2039" s="3353"/>
      <c r="J2039" s="3353"/>
      <c r="K2039" s="3353"/>
      <c r="L2039" s="3353"/>
      <c r="M2039" s="3353"/>
      <c r="N2039" s="3353"/>
      <c r="O2039" s="3353"/>
      <c r="P2039" s="3353"/>
      <c r="Q2039" s="3353"/>
      <c r="R2039" s="3353"/>
      <c r="S2039" s="3353"/>
      <c r="T2039" s="3353"/>
      <c r="U2039" s="3353"/>
      <c r="V2039" s="3353"/>
      <c r="W2039" s="3353"/>
      <c r="X2039" s="3353"/>
      <c r="Y2039" s="3353"/>
      <c r="Z2039" s="3353"/>
      <c r="AA2039" s="3353"/>
      <c r="AB2039" s="3353"/>
      <c r="AC2039" s="3353"/>
      <c r="AD2039" s="3353"/>
      <c r="AE2039" s="3353"/>
      <c r="AF2039" s="3353"/>
      <c r="AG2039" s="3353"/>
      <c r="AH2039" s="3353"/>
      <c r="AI2039" s="3353"/>
      <c r="AJ2039" s="3353"/>
      <c r="AK2039" s="3353"/>
      <c r="AL2039" s="3353"/>
    </row>
    <row r="2040" spans="1:38" s="3309" customFormat="1" ht="25.5" x14ac:dyDescent="0.2">
      <c r="A2040" s="3376" t="s">
        <v>5958</v>
      </c>
      <c r="B2040" s="3375"/>
      <c r="C2040" s="3368"/>
      <c r="D2040" s="3368"/>
      <c r="E2040" s="3368"/>
      <c r="F2040" s="3368"/>
      <c r="G2040" s="3368"/>
      <c r="H2040" s="3353"/>
      <c r="I2040" s="3353"/>
      <c r="J2040" s="3353"/>
      <c r="K2040" s="3353"/>
      <c r="L2040" s="3353"/>
      <c r="M2040" s="3353"/>
      <c r="N2040" s="3353"/>
      <c r="O2040" s="3353"/>
      <c r="P2040" s="3353"/>
      <c r="Q2040" s="3353"/>
      <c r="R2040" s="3353"/>
      <c r="S2040" s="3353"/>
      <c r="T2040" s="3353"/>
      <c r="U2040" s="3353"/>
      <c r="V2040" s="3353"/>
      <c r="W2040" s="3353"/>
      <c r="X2040" s="3353"/>
      <c r="Y2040" s="3353"/>
      <c r="Z2040" s="3353"/>
      <c r="AA2040" s="3353"/>
      <c r="AB2040" s="3353"/>
      <c r="AC2040" s="3353"/>
      <c r="AD2040" s="3353"/>
      <c r="AE2040" s="3353"/>
      <c r="AF2040" s="3353"/>
      <c r="AG2040" s="3353"/>
      <c r="AH2040" s="3353"/>
      <c r="AI2040" s="3353"/>
      <c r="AJ2040" s="3353"/>
      <c r="AK2040" s="3353"/>
      <c r="AL2040" s="3353"/>
    </row>
    <row r="2041" spans="1:38" s="3309" customFormat="1" x14ac:dyDescent="0.2">
      <c r="A2041" s="3365" t="s">
        <v>5951</v>
      </c>
      <c r="B2041" s="3375" t="e">
        <f t="shared" ref="B2041:G2041" si="1148">B1221+B1222+B1224+B1857+B1858+B1860</f>
        <v>#VALUE!</v>
      </c>
      <c r="C2041" s="3375" t="e">
        <f t="shared" si="1148"/>
        <v>#DIV/0!</v>
      </c>
      <c r="D2041" s="3375" t="e">
        <f t="shared" si="1148"/>
        <v>#DIV/0!</v>
      </c>
      <c r="E2041" s="3375" t="e">
        <f t="shared" si="1148"/>
        <v>#DIV/0!</v>
      </c>
      <c r="F2041" s="3375" t="e">
        <f t="shared" si="1148"/>
        <v>#DIV/0!</v>
      </c>
      <c r="G2041" s="3375" t="e">
        <f t="shared" si="1148"/>
        <v>#DIV/0!</v>
      </c>
      <c r="H2041" s="3353"/>
      <c r="I2041" s="3353"/>
      <c r="J2041" s="3353"/>
      <c r="K2041" s="3353"/>
      <c r="L2041" s="3353"/>
      <c r="M2041" s="3353"/>
      <c r="N2041" s="3353"/>
      <c r="O2041" s="3353"/>
      <c r="P2041" s="3353"/>
      <c r="Q2041" s="3353"/>
      <c r="R2041" s="3353"/>
      <c r="S2041" s="3353"/>
      <c r="T2041" s="3353"/>
      <c r="U2041" s="3353"/>
      <c r="V2041" s="3353"/>
      <c r="W2041" s="3353"/>
      <c r="X2041" s="3353"/>
      <c r="Y2041" s="3353"/>
      <c r="Z2041" s="3353"/>
      <c r="AA2041" s="3353"/>
      <c r="AB2041" s="3353"/>
      <c r="AC2041" s="3353"/>
      <c r="AD2041" s="3353"/>
      <c r="AE2041" s="3353"/>
      <c r="AF2041" s="3353"/>
      <c r="AG2041" s="3353"/>
      <c r="AH2041" s="3353"/>
      <c r="AI2041" s="3353"/>
      <c r="AJ2041" s="3353"/>
      <c r="AK2041" s="3353"/>
      <c r="AL2041" s="3353"/>
    </row>
    <row r="2042" spans="1:38" s="3309" customFormat="1" x14ac:dyDescent="0.2">
      <c r="A2042" s="3365" t="s">
        <v>5950</v>
      </c>
      <c r="B2042" s="3375">
        <f t="shared" ref="B2042:G2042" si="1149">B1220+B1223+B1859+B1856</f>
        <v>0</v>
      </c>
      <c r="C2042" s="3375" t="e">
        <f t="shared" si="1149"/>
        <v>#DIV/0!</v>
      </c>
      <c r="D2042" s="3375" t="e">
        <f t="shared" si="1149"/>
        <v>#DIV/0!</v>
      </c>
      <c r="E2042" s="3375" t="e">
        <f t="shared" si="1149"/>
        <v>#DIV/0!</v>
      </c>
      <c r="F2042" s="3375" t="e">
        <f t="shared" si="1149"/>
        <v>#DIV/0!</v>
      </c>
      <c r="G2042" s="3375" t="e">
        <f t="shared" si="1149"/>
        <v>#DIV/0!</v>
      </c>
      <c r="H2042" s="3353"/>
      <c r="I2042" s="3353"/>
      <c r="J2042" s="3353"/>
      <c r="K2042" s="3353"/>
      <c r="L2042" s="3353"/>
      <c r="M2042" s="3353"/>
      <c r="N2042" s="3353"/>
      <c r="O2042" s="3353"/>
      <c r="P2042" s="3353"/>
      <c r="Q2042" s="3353"/>
      <c r="R2042" s="3353"/>
      <c r="S2042" s="3353"/>
      <c r="T2042" s="3353"/>
      <c r="U2042" s="3353"/>
      <c r="V2042" s="3353"/>
      <c r="W2042" s="3353"/>
      <c r="X2042" s="3353"/>
      <c r="Y2042" s="3353"/>
      <c r="Z2042" s="3353"/>
      <c r="AA2042" s="3353"/>
      <c r="AB2042" s="3353"/>
      <c r="AC2042" s="3353"/>
      <c r="AD2042" s="3353"/>
      <c r="AE2042" s="3353"/>
      <c r="AF2042" s="3353"/>
      <c r="AG2042" s="3353"/>
      <c r="AH2042" s="3353"/>
      <c r="AI2042" s="3353"/>
      <c r="AJ2042" s="3353"/>
      <c r="AK2042" s="3353"/>
      <c r="AL2042" s="3353"/>
    </row>
    <row r="2043" spans="1:38" s="3309" customFormat="1" x14ac:dyDescent="0.2">
      <c r="A2043" s="3365" t="s">
        <v>5949</v>
      </c>
      <c r="B2043" s="3371" t="e">
        <f t="shared" ref="B2043:G2043" si="1150">(B1264/B1287)+(B1898/B1287)</f>
        <v>#VALUE!</v>
      </c>
      <c r="C2043" s="3371" t="e">
        <f t="shared" si="1150"/>
        <v>#DIV/0!</v>
      </c>
      <c r="D2043" s="3371" t="e">
        <f t="shared" si="1150"/>
        <v>#DIV/0!</v>
      </c>
      <c r="E2043" s="3371" t="e">
        <f t="shared" si="1150"/>
        <v>#DIV/0!</v>
      </c>
      <c r="F2043" s="3371" t="e">
        <f t="shared" si="1150"/>
        <v>#DIV/0!</v>
      </c>
      <c r="G2043" s="3371" t="e">
        <f t="shared" si="1150"/>
        <v>#DIV/0!</v>
      </c>
      <c r="H2043" s="3353"/>
      <c r="I2043" s="3353"/>
      <c r="J2043" s="3353"/>
      <c r="K2043" s="3353"/>
      <c r="L2043" s="3353"/>
      <c r="M2043" s="3353"/>
      <c r="N2043" s="3353"/>
      <c r="O2043" s="3353"/>
      <c r="P2043" s="3353"/>
      <c r="Q2043" s="3353"/>
      <c r="R2043" s="3353"/>
      <c r="S2043" s="3353"/>
      <c r="T2043" s="3353"/>
      <c r="U2043" s="3353"/>
      <c r="V2043" s="3353"/>
      <c r="W2043" s="3353"/>
      <c r="X2043" s="3353"/>
      <c r="Y2043" s="3353"/>
      <c r="Z2043" s="3353"/>
      <c r="AA2043" s="3353"/>
      <c r="AB2043" s="3353"/>
      <c r="AC2043" s="3353"/>
      <c r="AD2043" s="3353"/>
      <c r="AE2043" s="3353"/>
      <c r="AF2043" s="3353"/>
      <c r="AG2043" s="3353"/>
      <c r="AH2043" s="3353"/>
      <c r="AI2043" s="3353"/>
      <c r="AJ2043" s="3353"/>
      <c r="AK2043" s="3353"/>
      <c r="AL2043" s="3353"/>
    </row>
    <row r="2044" spans="1:38" s="3309" customFormat="1" x14ac:dyDescent="0.2">
      <c r="A2044" s="3365" t="s">
        <v>5948</v>
      </c>
      <c r="B2044" s="3373" t="e">
        <f t="shared" ref="B2044:G2044" si="1151">B2034</f>
        <v>#VALUE!</v>
      </c>
      <c r="C2044" s="3373" t="e">
        <f t="shared" si="1151"/>
        <v>#NUM!</v>
      </c>
      <c r="D2044" s="3373" t="e">
        <f t="shared" si="1151"/>
        <v>#NUM!</v>
      </c>
      <c r="E2044" s="3373" t="e">
        <f t="shared" si="1151"/>
        <v>#NUM!</v>
      </c>
      <c r="F2044" s="3373" t="e">
        <f t="shared" si="1151"/>
        <v>#NUM!</v>
      </c>
      <c r="G2044" s="3373" t="e">
        <f t="shared" si="1151"/>
        <v>#NUM!</v>
      </c>
      <c r="H2044" s="3353"/>
      <c r="I2044" s="3353"/>
      <c r="J2044" s="3353"/>
      <c r="K2044" s="3353"/>
      <c r="L2044" s="3353"/>
      <c r="M2044" s="3353"/>
      <c r="N2044" s="3353"/>
      <c r="O2044" s="3353"/>
      <c r="P2044" s="3353"/>
      <c r="Q2044" s="3353"/>
      <c r="R2044" s="3353"/>
      <c r="S2044" s="3353"/>
      <c r="T2044" s="3353"/>
      <c r="U2044" s="3353"/>
      <c r="V2044" s="3353"/>
      <c r="W2044" s="3353"/>
      <c r="X2044" s="3353"/>
      <c r="Y2044" s="3353"/>
      <c r="Z2044" s="3353"/>
      <c r="AA2044" s="3353"/>
      <c r="AB2044" s="3353"/>
      <c r="AC2044" s="3353"/>
      <c r="AD2044" s="3353"/>
      <c r="AE2044" s="3353"/>
      <c r="AF2044" s="3353"/>
      <c r="AG2044" s="3353"/>
      <c r="AH2044" s="3353"/>
      <c r="AI2044" s="3353"/>
      <c r="AJ2044" s="3353"/>
      <c r="AK2044" s="3353"/>
      <c r="AL2044" s="3353"/>
    </row>
    <row r="2045" spans="1:38" s="3309" customFormat="1" x14ac:dyDescent="0.2">
      <c r="A2045" s="3365" t="s">
        <v>5947</v>
      </c>
      <c r="B2045" s="3371" t="e">
        <f t="shared" ref="B2045:G2045" si="1152">(B1276/B1287)+(B1910/540)</f>
        <v>#VALUE!</v>
      </c>
      <c r="C2045" s="3371" t="e">
        <f t="shared" si="1152"/>
        <v>#DIV/0!</v>
      </c>
      <c r="D2045" s="3371" t="e">
        <f t="shared" si="1152"/>
        <v>#DIV/0!</v>
      </c>
      <c r="E2045" s="3371" t="e">
        <f t="shared" si="1152"/>
        <v>#DIV/0!</v>
      </c>
      <c r="F2045" s="3371" t="e">
        <f t="shared" si="1152"/>
        <v>#DIV/0!</v>
      </c>
      <c r="G2045" s="3371" t="e">
        <f t="shared" si="1152"/>
        <v>#DIV/0!</v>
      </c>
      <c r="H2045" s="3353"/>
      <c r="I2045" s="3353"/>
      <c r="J2045" s="3353"/>
      <c r="K2045" s="3353"/>
      <c r="L2045" s="3353"/>
      <c r="M2045" s="3353"/>
      <c r="N2045" s="3353"/>
      <c r="O2045" s="3353"/>
      <c r="P2045" s="3353"/>
      <c r="Q2045" s="3353"/>
      <c r="R2045" s="3353"/>
      <c r="S2045" s="3353"/>
      <c r="T2045" s="3353"/>
      <c r="U2045" s="3353"/>
      <c r="V2045" s="3353"/>
      <c r="W2045" s="3353"/>
      <c r="X2045" s="3353"/>
      <c r="Y2045" s="3353"/>
      <c r="Z2045" s="3353"/>
      <c r="AA2045" s="3353"/>
      <c r="AB2045" s="3353"/>
      <c r="AC2045" s="3353"/>
      <c r="AD2045" s="3353"/>
      <c r="AE2045" s="3353"/>
      <c r="AF2045" s="3353"/>
      <c r="AG2045" s="3353"/>
      <c r="AH2045" s="3353"/>
      <c r="AI2045" s="3353"/>
      <c r="AJ2045" s="3353"/>
      <c r="AK2045" s="3353"/>
      <c r="AL2045" s="3353"/>
    </row>
    <row r="2046" spans="1:38" s="3309" customFormat="1" x14ac:dyDescent="0.2">
      <c r="A2046" s="3365" t="s">
        <v>1832</v>
      </c>
      <c r="B2046" s="3373" t="e">
        <f t="shared" ref="B2046:G2046" si="1153">B2045*25/1000</f>
        <v>#VALUE!</v>
      </c>
      <c r="C2046" s="3373" t="e">
        <f t="shared" si="1153"/>
        <v>#DIV/0!</v>
      </c>
      <c r="D2046" s="3373" t="e">
        <f t="shared" si="1153"/>
        <v>#DIV/0!</v>
      </c>
      <c r="E2046" s="3373" t="e">
        <f t="shared" si="1153"/>
        <v>#DIV/0!</v>
      </c>
      <c r="F2046" s="3373" t="e">
        <f t="shared" si="1153"/>
        <v>#DIV/0!</v>
      </c>
      <c r="G2046" s="3373" t="e">
        <f t="shared" si="1153"/>
        <v>#DIV/0!</v>
      </c>
      <c r="H2046" s="3353"/>
      <c r="I2046" s="3353"/>
      <c r="J2046" s="3353"/>
      <c r="K2046" s="3353"/>
      <c r="L2046" s="3353"/>
      <c r="M2046" s="3353"/>
      <c r="N2046" s="3353"/>
      <c r="O2046" s="3353"/>
      <c r="P2046" s="3353"/>
      <c r="Q2046" s="3353"/>
      <c r="R2046" s="3353"/>
      <c r="S2046" s="3353"/>
      <c r="T2046" s="3353"/>
      <c r="U2046" s="3353"/>
      <c r="V2046" s="3353"/>
      <c r="W2046" s="3353"/>
      <c r="X2046" s="3353"/>
      <c r="Y2046" s="3353"/>
      <c r="Z2046" s="3353"/>
      <c r="AA2046" s="3353"/>
      <c r="AB2046" s="3353"/>
      <c r="AC2046" s="3353"/>
      <c r="AD2046" s="3353"/>
      <c r="AE2046" s="3353"/>
      <c r="AF2046" s="3353"/>
      <c r="AG2046" s="3353"/>
      <c r="AH2046" s="3353"/>
      <c r="AI2046" s="3353"/>
      <c r="AJ2046" s="3353"/>
      <c r="AK2046" s="3353"/>
      <c r="AL2046" s="3353"/>
    </row>
    <row r="2047" spans="1:38" s="3309" customFormat="1" x14ac:dyDescent="0.2">
      <c r="A2047" s="3365" t="s">
        <v>5946</v>
      </c>
      <c r="B2047" s="3373">
        <v>0</v>
      </c>
      <c r="C2047" s="3373">
        <v>0</v>
      </c>
      <c r="D2047" s="3373">
        <v>0</v>
      </c>
      <c r="E2047" s="3373">
        <v>0</v>
      </c>
      <c r="F2047" s="3373">
        <v>0</v>
      </c>
      <c r="G2047" s="3373">
        <v>0</v>
      </c>
      <c r="H2047" s="3353"/>
      <c r="I2047" s="3353"/>
      <c r="J2047" s="3353"/>
      <c r="K2047" s="3353"/>
      <c r="L2047" s="3353"/>
      <c r="M2047" s="3353"/>
      <c r="N2047" s="3353"/>
      <c r="O2047" s="3353"/>
      <c r="P2047" s="3353"/>
      <c r="Q2047" s="3353"/>
      <c r="R2047" s="3353"/>
      <c r="S2047" s="3353"/>
      <c r="T2047" s="3353"/>
      <c r="U2047" s="3353"/>
      <c r="V2047" s="3353"/>
      <c r="W2047" s="3353"/>
      <c r="X2047" s="3353"/>
      <c r="Y2047" s="3353"/>
      <c r="Z2047" s="3353"/>
      <c r="AA2047" s="3353"/>
      <c r="AB2047" s="3353"/>
      <c r="AC2047" s="3353"/>
      <c r="AD2047" s="3353"/>
      <c r="AE2047" s="3353"/>
      <c r="AF2047" s="3353"/>
      <c r="AG2047" s="3353"/>
      <c r="AH2047" s="3353"/>
      <c r="AI2047" s="3353"/>
      <c r="AJ2047" s="3353"/>
      <c r="AK2047" s="3353"/>
      <c r="AL2047" s="3353"/>
    </row>
    <row r="2048" spans="1:38" s="3309" customFormat="1" x14ac:dyDescent="0.2">
      <c r="A2048" s="3365" t="s">
        <v>5945</v>
      </c>
      <c r="B2048" s="3373">
        <v>0</v>
      </c>
      <c r="C2048" s="3373">
        <v>0</v>
      </c>
      <c r="D2048" s="3373">
        <v>0</v>
      </c>
      <c r="E2048" s="3373">
        <v>0</v>
      </c>
      <c r="F2048" s="3373">
        <v>0</v>
      </c>
      <c r="G2048" s="3373">
        <v>0</v>
      </c>
      <c r="H2048" s="3353"/>
      <c r="I2048" s="3353"/>
      <c r="J2048" s="3353"/>
      <c r="K2048" s="3353"/>
      <c r="L2048" s="3353"/>
      <c r="M2048" s="3353"/>
      <c r="N2048" s="3353"/>
      <c r="O2048" s="3353"/>
      <c r="P2048" s="3353"/>
      <c r="Q2048" s="3353"/>
      <c r="R2048" s="3353"/>
      <c r="S2048" s="3353"/>
      <c r="T2048" s="3353"/>
      <c r="U2048" s="3353"/>
      <c r="V2048" s="3353"/>
      <c r="W2048" s="3353"/>
      <c r="X2048" s="3353"/>
      <c r="Y2048" s="3353"/>
      <c r="Z2048" s="3353"/>
      <c r="AA2048" s="3353"/>
      <c r="AB2048" s="3353"/>
      <c r="AC2048" s="3353"/>
      <c r="AD2048" s="3353"/>
      <c r="AE2048" s="3353"/>
      <c r="AF2048" s="3353"/>
      <c r="AG2048" s="3353"/>
      <c r="AH2048" s="3353"/>
      <c r="AI2048" s="3353"/>
      <c r="AJ2048" s="3353"/>
      <c r="AK2048" s="3353"/>
      <c r="AL2048" s="3353"/>
    </row>
    <row r="2049" spans="1:38" s="3309" customFormat="1" x14ac:dyDescent="0.2">
      <c r="A2049" s="3365" t="s">
        <v>2734</v>
      </c>
      <c r="B2049" s="3375" t="e">
        <f t="shared" ref="B2049:G2049" si="1154">(B1914/B1287/1000)+(B1280/B1287/1000)</f>
        <v>#VALUE!</v>
      </c>
      <c r="C2049" s="3375" t="e">
        <f t="shared" si="1154"/>
        <v>#DIV/0!</v>
      </c>
      <c r="D2049" s="3375" t="e">
        <f t="shared" si="1154"/>
        <v>#DIV/0!</v>
      </c>
      <c r="E2049" s="3375" t="e">
        <f t="shared" si="1154"/>
        <v>#DIV/0!</v>
      </c>
      <c r="F2049" s="3375" t="e">
        <f t="shared" si="1154"/>
        <v>#DIV/0!</v>
      </c>
      <c r="G2049" s="3375" t="e">
        <f t="shared" si="1154"/>
        <v>#DIV/0!</v>
      </c>
      <c r="H2049" s="3353"/>
      <c r="I2049" s="3353"/>
      <c r="J2049" s="3353"/>
      <c r="K2049" s="3353"/>
      <c r="L2049" s="3353"/>
      <c r="M2049" s="3353"/>
      <c r="N2049" s="3353"/>
      <c r="O2049" s="3353"/>
      <c r="P2049" s="3353"/>
      <c r="Q2049" s="3353"/>
      <c r="R2049" s="3353"/>
      <c r="S2049" s="3353"/>
      <c r="T2049" s="3353"/>
      <c r="U2049" s="3353"/>
      <c r="V2049" s="3353"/>
      <c r="W2049" s="3353"/>
      <c r="X2049" s="3353"/>
      <c r="Y2049" s="3353"/>
      <c r="Z2049" s="3353"/>
      <c r="AA2049" s="3353"/>
      <c r="AB2049" s="3353"/>
      <c r="AC2049" s="3353"/>
      <c r="AD2049" s="3353"/>
      <c r="AE2049" s="3353"/>
      <c r="AF2049" s="3353"/>
      <c r="AG2049" s="3353"/>
      <c r="AH2049" s="3353"/>
      <c r="AI2049" s="3353"/>
      <c r="AJ2049" s="3353"/>
      <c r="AK2049" s="3353"/>
      <c r="AL2049" s="3353"/>
    </row>
    <row r="2050" spans="1:38" s="3309" customFormat="1" x14ac:dyDescent="0.2">
      <c r="A2050" s="3370" t="s">
        <v>5957</v>
      </c>
      <c r="B2050" s="3368"/>
      <c r="C2050" s="3368"/>
      <c r="D2050" s="3368"/>
      <c r="E2050" s="3368"/>
      <c r="F2050" s="3368"/>
      <c r="G2050" s="3368"/>
      <c r="H2050" s="3353"/>
      <c r="I2050" s="3353"/>
      <c r="J2050" s="3353"/>
      <c r="K2050" s="3353"/>
      <c r="L2050" s="3353"/>
      <c r="M2050" s="3353"/>
      <c r="N2050" s="3353"/>
      <c r="O2050" s="3353"/>
      <c r="P2050" s="3353"/>
      <c r="Q2050" s="3353"/>
      <c r="R2050" s="3353"/>
      <c r="S2050" s="3353"/>
      <c r="T2050" s="3353"/>
      <c r="U2050" s="3353"/>
      <c r="V2050" s="3353"/>
      <c r="W2050" s="3353"/>
      <c r="X2050" s="3353"/>
      <c r="Y2050" s="3353"/>
      <c r="Z2050" s="3353"/>
      <c r="AA2050" s="3353"/>
      <c r="AB2050" s="3353"/>
      <c r="AC2050" s="3353"/>
      <c r="AD2050" s="3353"/>
      <c r="AE2050" s="3353"/>
      <c r="AF2050" s="3353"/>
      <c r="AG2050" s="3353"/>
      <c r="AH2050" s="3353"/>
      <c r="AI2050" s="3353"/>
      <c r="AJ2050" s="3353"/>
      <c r="AK2050" s="3353"/>
      <c r="AL2050" s="3353"/>
    </row>
    <row r="2051" spans="1:38" s="3309" customFormat="1" x14ac:dyDescent="0.2">
      <c r="A2051" s="3365" t="s">
        <v>5951</v>
      </c>
      <c r="B2051" s="3371" t="e">
        <f t="shared" ref="B2051:G2051" si="1155">B1232+B1234*B1236+B1224+B1860+B1867+B1869+B1871</f>
        <v>#DIV/0!</v>
      </c>
      <c r="C2051" s="3371" t="e">
        <f t="shared" si="1155"/>
        <v>#DIV/0!</v>
      </c>
      <c r="D2051" s="3371" t="e">
        <f t="shared" si="1155"/>
        <v>#DIV/0!</v>
      </c>
      <c r="E2051" s="3371" t="e">
        <f t="shared" si="1155"/>
        <v>#DIV/0!</v>
      </c>
      <c r="F2051" s="3371" t="e">
        <f t="shared" si="1155"/>
        <v>#DIV/0!</v>
      </c>
      <c r="G2051" s="3371" t="e">
        <f t="shared" si="1155"/>
        <v>#DIV/0!</v>
      </c>
      <c r="H2051" s="3353"/>
      <c r="I2051" s="3353"/>
      <c r="J2051" s="3353"/>
      <c r="K2051" s="3353"/>
      <c r="L2051" s="3353"/>
      <c r="M2051" s="3353"/>
      <c r="N2051" s="3353"/>
      <c r="O2051" s="3353"/>
      <c r="P2051" s="3353"/>
      <c r="Q2051" s="3353"/>
      <c r="R2051" s="3353"/>
      <c r="S2051" s="3353"/>
      <c r="T2051" s="3353"/>
      <c r="U2051" s="3353"/>
      <c r="V2051" s="3353"/>
      <c r="W2051" s="3353"/>
      <c r="X2051" s="3353"/>
      <c r="Y2051" s="3353"/>
      <c r="Z2051" s="3353"/>
      <c r="AA2051" s="3353"/>
      <c r="AB2051" s="3353"/>
      <c r="AC2051" s="3353"/>
      <c r="AD2051" s="3353"/>
      <c r="AE2051" s="3353"/>
      <c r="AF2051" s="3353"/>
      <c r="AG2051" s="3353"/>
      <c r="AH2051" s="3353"/>
      <c r="AI2051" s="3353"/>
      <c r="AJ2051" s="3353"/>
      <c r="AK2051" s="3353"/>
      <c r="AL2051" s="3353"/>
    </row>
    <row r="2052" spans="1:38" s="3309" customFormat="1" x14ac:dyDescent="0.2">
      <c r="A2052" s="3365" t="s">
        <v>5950</v>
      </c>
      <c r="B2052" s="3371">
        <f t="shared" ref="B2052:G2052" si="1156">B1233+B1235</f>
        <v>0</v>
      </c>
      <c r="C2052" s="3371" t="e">
        <f t="shared" si="1156"/>
        <v>#DIV/0!</v>
      </c>
      <c r="D2052" s="3371" t="e">
        <f t="shared" si="1156"/>
        <v>#DIV/0!</v>
      </c>
      <c r="E2052" s="3371" t="e">
        <f t="shared" si="1156"/>
        <v>#DIV/0!</v>
      </c>
      <c r="F2052" s="3371" t="e">
        <f t="shared" si="1156"/>
        <v>#DIV/0!</v>
      </c>
      <c r="G2052" s="3371" t="e">
        <f t="shared" si="1156"/>
        <v>#DIV/0!</v>
      </c>
      <c r="H2052" s="3353"/>
      <c r="I2052" s="3353"/>
      <c r="J2052" s="3353"/>
      <c r="K2052" s="3353"/>
      <c r="L2052" s="3353"/>
      <c r="M2052" s="3353"/>
      <c r="N2052" s="3353"/>
      <c r="O2052" s="3353"/>
      <c r="P2052" s="3353"/>
      <c r="Q2052" s="3353"/>
      <c r="R2052" s="3353"/>
      <c r="S2052" s="3353"/>
      <c r="T2052" s="3353"/>
      <c r="U2052" s="3353"/>
      <c r="V2052" s="3353"/>
      <c r="W2052" s="3353"/>
      <c r="X2052" s="3353"/>
      <c r="Y2052" s="3353"/>
      <c r="Z2052" s="3353"/>
      <c r="AA2052" s="3353"/>
      <c r="AB2052" s="3353"/>
      <c r="AC2052" s="3353"/>
      <c r="AD2052" s="3353"/>
      <c r="AE2052" s="3353"/>
      <c r="AF2052" s="3353"/>
      <c r="AG2052" s="3353"/>
      <c r="AH2052" s="3353"/>
      <c r="AI2052" s="3353"/>
      <c r="AJ2052" s="3353"/>
      <c r="AK2052" s="3353"/>
      <c r="AL2052" s="3353"/>
    </row>
    <row r="2053" spans="1:38" s="3309" customFormat="1" x14ac:dyDescent="0.2">
      <c r="A2053" s="3365" t="s">
        <v>5949</v>
      </c>
      <c r="B2053" s="3371" t="e">
        <f t="shared" ref="B2053:G2053" si="1157">(B1264/B1287)+(B1898/B1287)</f>
        <v>#VALUE!</v>
      </c>
      <c r="C2053" s="3371" t="e">
        <f t="shared" si="1157"/>
        <v>#DIV/0!</v>
      </c>
      <c r="D2053" s="3371" t="e">
        <f t="shared" si="1157"/>
        <v>#DIV/0!</v>
      </c>
      <c r="E2053" s="3371" t="e">
        <f t="shared" si="1157"/>
        <v>#DIV/0!</v>
      </c>
      <c r="F2053" s="3371" t="e">
        <f t="shared" si="1157"/>
        <v>#DIV/0!</v>
      </c>
      <c r="G2053" s="3371" t="e">
        <f t="shared" si="1157"/>
        <v>#DIV/0!</v>
      </c>
      <c r="H2053" s="3353"/>
      <c r="I2053" s="3353"/>
      <c r="J2053" s="3353"/>
      <c r="K2053" s="3353"/>
      <c r="L2053" s="3353"/>
      <c r="M2053" s="3353"/>
      <c r="N2053" s="3353"/>
      <c r="O2053" s="3353"/>
      <c r="P2053" s="3353"/>
      <c r="Q2053" s="3353"/>
      <c r="R2053" s="3353"/>
      <c r="S2053" s="3353"/>
      <c r="T2053" s="3353"/>
      <c r="U2053" s="3353"/>
      <c r="V2053" s="3353"/>
      <c r="W2053" s="3353"/>
      <c r="X2053" s="3353"/>
      <c r="Y2053" s="3353"/>
      <c r="Z2053" s="3353"/>
      <c r="AA2053" s="3353"/>
      <c r="AB2053" s="3353"/>
      <c r="AC2053" s="3353"/>
      <c r="AD2053" s="3353"/>
      <c r="AE2053" s="3353"/>
      <c r="AF2053" s="3353"/>
      <c r="AG2053" s="3353"/>
      <c r="AH2053" s="3353"/>
      <c r="AI2053" s="3353"/>
      <c r="AJ2053" s="3353"/>
      <c r="AK2053" s="3353"/>
      <c r="AL2053" s="3353"/>
    </row>
    <row r="2054" spans="1:38" s="3309" customFormat="1" x14ac:dyDescent="0.2">
      <c r="A2054" s="3365" t="s">
        <v>5948</v>
      </c>
      <c r="B2054" s="3373" t="e">
        <f t="shared" ref="B2054:G2054" si="1158">B2053*B1648/1000</f>
        <v>#VALUE!</v>
      </c>
      <c r="C2054" s="3373" t="e">
        <f t="shared" si="1158"/>
        <v>#DIV/0!</v>
      </c>
      <c r="D2054" s="3373" t="e">
        <f t="shared" si="1158"/>
        <v>#DIV/0!</v>
      </c>
      <c r="E2054" s="3373" t="e">
        <f t="shared" si="1158"/>
        <v>#DIV/0!</v>
      </c>
      <c r="F2054" s="3373" t="e">
        <f t="shared" si="1158"/>
        <v>#DIV/0!</v>
      </c>
      <c r="G2054" s="3373" t="e">
        <f t="shared" si="1158"/>
        <v>#DIV/0!</v>
      </c>
      <c r="H2054" s="3353"/>
      <c r="I2054" s="3353"/>
      <c r="J2054" s="3353"/>
      <c r="K2054" s="3353"/>
      <c r="L2054" s="3353"/>
      <c r="M2054" s="3353"/>
      <c r="N2054" s="3353"/>
      <c r="O2054" s="3353"/>
      <c r="P2054" s="3353"/>
      <c r="Q2054" s="3353"/>
      <c r="R2054" s="3353"/>
      <c r="S2054" s="3353"/>
      <c r="T2054" s="3353"/>
      <c r="U2054" s="3353"/>
      <c r="V2054" s="3353"/>
      <c r="W2054" s="3353"/>
      <c r="X2054" s="3353"/>
      <c r="Y2054" s="3353"/>
      <c r="Z2054" s="3353"/>
      <c r="AA2054" s="3353"/>
      <c r="AB2054" s="3353"/>
      <c r="AC2054" s="3353"/>
      <c r="AD2054" s="3353"/>
      <c r="AE2054" s="3353"/>
      <c r="AF2054" s="3353"/>
      <c r="AG2054" s="3353"/>
      <c r="AH2054" s="3353"/>
      <c r="AI2054" s="3353"/>
      <c r="AJ2054" s="3353"/>
      <c r="AK2054" s="3353"/>
      <c r="AL2054" s="3353"/>
    </row>
    <row r="2055" spans="1:38" s="3309" customFormat="1" x14ac:dyDescent="0.2">
      <c r="A2055" s="3365" t="s">
        <v>5947</v>
      </c>
      <c r="B2055" s="3371" t="e">
        <f t="shared" ref="B2055:G2055" si="1159">B2045</f>
        <v>#VALUE!</v>
      </c>
      <c r="C2055" s="3371" t="e">
        <f t="shared" si="1159"/>
        <v>#DIV/0!</v>
      </c>
      <c r="D2055" s="3371" t="e">
        <f t="shared" si="1159"/>
        <v>#DIV/0!</v>
      </c>
      <c r="E2055" s="3371" t="e">
        <f t="shared" si="1159"/>
        <v>#DIV/0!</v>
      </c>
      <c r="F2055" s="3371" t="e">
        <f t="shared" si="1159"/>
        <v>#DIV/0!</v>
      </c>
      <c r="G2055" s="3371" t="e">
        <f t="shared" si="1159"/>
        <v>#DIV/0!</v>
      </c>
      <c r="H2055" s="3353"/>
      <c r="I2055" s="3353"/>
      <c r="J2055" s="3353"/>
      <c r="K2055" s="3353"/>
      <c r="L2055" s="3353"/>
      <c r="M2055" s="3353"/>
      <c r="N2055" s="3353"/>
      <c r="O2055" s="3353"/>
      <c r="P2055" s="3353"/>
      <c r="Q2055" s="3353"/>
      <c r="R2055" s="3353"/>
      <c r="S2055" s="3353"/>
      <c r="T2055" s="3353"/>
      <c r="U2055" s="3353"/>
      <c r="V2055" s="3353"/>
      <c r="W2055" s="3353"/>
      <c r="X2055" s="3353"/>
      <c r="Y2055" s="3353"/>
      <c r="Z2055" s="3353"/>
      <c r="AA2055" s="3353"/>
      <c r="AB2055" s="3353"/>
      <c r="AC2055" s="3353"/>
      <c r="AD2055" s="3353"/>
      <c r="AE2055" s="3353"/>
      <c r="AF2055" s="3353"/>
      <c r="AG2055" s="3353"/>
      <c r="AH2055" s="3353"/>
      <c r="AI2055" s="3353"/>
      <c r="AJ2055" s="3353"/>
      <c r="AK2055" s="3353"/>
      <c r="AL2055" s="3353"/>
    </row>
    <row r="2056" spans="1:38" s="3309" customFormat="1" x14ac:dyDescent="0.2">
      <c r="A2056" s="3365" t="s">
        <v>1832</v>
      </c>
      <c r="B2056" s="3372" t="e">
        <f t="shared" ref="B2056:G2056" si="1160">B2055*25/1000</f>
        <v>#VALUE!</v>
      </c>
      <c r="C2056" s="3372" t="e">
        <f t="shared" si="1160"/>
        <v>#DIV/0!</v>
      </c>
      <c r="D2056" s="3372" t="e">
        <f t="shared" si="1160"/>
        <v>#DIV/0!</v>
      </c>
      <c r="E2056" s="3372" t="e">
        <f t="shared" si="1160"/>
        <v>#DIV/0!</v>
      </c>
      <c r="F2056" s="3372" t="e">
        <f t="shared" si="1160"/>
        <v>#DIV/0!</v>
      </c>
      <c r="G2056" s="3372" t="e">
        <f t="shared" si="1160"/>
        <v>#DIV/0!</v>
      </c>
      <c r="H2056" s="3353"/>
      <c r="I2056" s="3353"/>
      <c r="J2056" s="3353"/>
      <c r="K2056" s="3353"/>
      <c r="L2056" s="3353"/>
      <c r="M2056" s="3353"/>
      <c r="N2056" s="3353"/>
      <c r="O2056" s="3353"/>
      <c r="P2056" s="3353"/>
      <c r="Q2056" s="3353"/>
      <c r="R2056" s="3353"/>
      <c r="S2056" s="3353"/>
      <c r="T2056" s="3353"/>
      <c r="U2056" s="3353"/>
      <c r="V2056" s="3353"/>
      <c r="W2056" s="3353"/>
      <c r="X2056" s="3353"/>
      <c r="Y2056" s="3353"/>
      <c r="Z2056" s="3353"/>
      <c r="AA2056" s="3353"/>
      <c r="AB2056" s="3353"/>
      <c r="AC2056" s="3353"/>
      <c r="AD2056" s="3353"/>
      <c r="AE2056" s="3353"/>
      <c r="AF2056" s="3353"/>
      <c r="AG2056" s="3353"/>
      <c r="AH2056" s="3353"/>
      <c r="AI2056" s="3353"/>
      <c r="AJ2056" s="3353"/>
      <c r="AK2056" s="3353"/>
      <c r="AL2056" s="3353"/>
    </row>
    <row r="2057" spans="1:38" s="3309" customFormat="1" x14ac:dyDescent="0.2">
      <c r="A2057" s="3365" t="s">
        <v>5946</v>
      </c>
      <c r="B2057" s="3372" t="e">
        <f t="shared" ref="B2057:G2057" si="1161">(B1904/B1287)+(B1270/B1287)</f>
        <v>#VALUE!</v>
      </c>
      <c r="C2057" s="3372" t="e">
        <f t="shared" si="1161"/>
        <v>#DIV/0!</v>
      </c>
      <c r="D2057" s="3372" t="e">
        <f t="shared" si="1161"/>
        <v>#DIV/0!</v>
      </c>
      <c r="E2057" s="3372" t="e">
        <f t="shared" si="1161"/>
        <v>#DIV/0!</v>
      </c>
      <c r="F2057" s="3372" t="e">
        <f t="shared" si="1161"/>
        <v>#DIV/0!</v>
      </c>
      <c r="G2057" s="3372" t="e">
        <f t="shared" si="1161"/>
        <v>#DIV/0!</v>
      </c>
      <c r="H2057" s="3353"/>
      <c r="I2057" s="3353"/>
      <c r="J2057" s="3353"/>
      <c r="K2057" s="3353"/>
      <c r="L2057" s="3353"/>
      <c r="M2057" s="3353"/>
      <c r="N2057" s="3353"/>
      <c r="O2057" s="3353"/>
      <c r="P2057" s="3353"/>
      <c r="Q2057" s="3353"/>
      <c r="R2057" s="3353"/>
      <c r="S2057" s="3353"/>
      <c r="T2057" s="3353"/>
      <c r="U2057" s="3353"/>
      <c r="V2057" s="3353"/>
      <c r="W2057" s="3353"/>
      <c r="X2057" s="3353"/>
      <c r="Y2057" s="3353"/>
      <c r="Z2057" s="3353"/>
      <c r="AA2057" s="3353"/>
      <c r="AB2057" s="3353"/>
      <c r="AC2057" s="3353"/>
      <c r="AD2057" s="3353"/>
      <c r="AE2057" s="3353"/>
      <c r="AF2057" s="3353"/>
      <c r="AG2057" s="3353"/>
      <c r="AH2057" s="3353"/>
      <c r="AI2057" s="3353"/>
      <c r="AJ2057" s="3353"/>
      <c r="AK2057" s="3353"/>
      <c r="AL2057" s="3353"/>
    </row>
    <row r="2058" spans="1:38" s="3309" customFormat="1" x14ac:dyDescent="0.2">
      <c r="A2058" s="3365" t="s">
        <v>5945</v>
      </c>
      <c r="B2058" s="3372" t="e">
        <f t="shared" ref="B2058:G2058" si="1162">(B1905/B1287)+(B1271/B1287)</f>
        <v>#VALUE!</v>
      </c>
      <c r="C2058" s="3372" t="e">
        <f t="shared" si="1162"/>
        <v>#DIV/0!</v>
      </c>
      <c r="D2058" s="3372" t="e">
        <f t="shared" si="1162"/>
        <v>#DIV/0!</v>
      </c>
      <c r="E2058" s="3372" t="e">
        <f t="shared" si="1162"/>
        <v>#DIV/0!</v>
      </c>
      <c r="F2058" s="3372" t="e">
        <f t="shared" si="1162"/>
        <v>#DIV/0!</v>
      </c>
      <c r="G2058" s="3372" t="e">
        <f t="shared" si="1162"/>
        <v>#DIV/0!</v>
      </c>
      <c r="H2058" s="3353"/>
      <c r="I2058" s="3353"/>
      <c r="J2058" s="3353"/>
      <c r="K2058" s="3353"/>
      <c r="L2058" s="3353"/>
      <c r="M2058" s="3353"/>
      <c r="N2058" s="3353"/>
      <c r="O2058" s="3353"/>
      <c r="P2058" s="3353"/>
      <c r="Q2058" s="3353"/>
      <c r="R2058" s="3353"/>
      <c r="S2058" s="3353"/>
      <c r="T2058" s="3353"/>
      <c r="U2058" s="3353"/>
      <c r="V2058" s="3353"/>
      <c r="W2058" s="3353"/>
      <c r="X2058" s="3353"/>
      <c r="Y2058" s="3353"/>
      <c r="Z2058" s="3353"/>
      <c r="AA2058" s="3353"/>
      <c r="AB2058" s="3353"/>
      <c r="AC2058" s="3353"/>
      <c r="AD2058" s="3353"/>
      <c r="AE2058" s="3353"/>
      <c r="AF2058" s="3353"/>
      <c r="AG2058" s="3353"/>
      <c r="AH2058" s="3353"/>
      <c r="AI2058" s="3353"/>
      <c r="AJ2058" s="3353"/>
      <c r="AK2058" s="3353"/>
      <c r="AL2058" s="3353"/>
    </row>
    <row r="2059" spans="1:38" s="3309" customFormat="1" x14ac:dyDescent="0.2">
      <c r="A2059" s="3365" t="s">
        <v>2734</v>
      </c>
      <c r="B2059" s="3371" t="e">
        <f t="shared" ref="B2059:G2059" si="1163">(B1914/B1287/1000)+(B1280/B1287/1000)</f>
        <v>#VALUE!</v>
      </c>
      <c r="C2059" s="3371" t="e">
        <f t="shared" si="1163"/>
        <v>#DIV/0!</v>
      </c>
      <c r="D2059" s="3371" t="e">
        <f t="shared" si="1163"/>
        <v>#DIV/0!</v>
      </c>
      <c r="E2059" s="3371" t="e">
        <f t="shared" si="1163"/>
        <v>#DIV/0!</v>
      </c>
      <c r="F2059" s="3371" t="e">
        <f t="shared" si="1163"/>
        <v>#DIV/0!</v>
      </c>
      <c r="G2059" s="3371" t="e">
        <f t="shared" si="1163"/>
        <v>#DIV/0!</v>
      </c>
      <c r="H2059" s="3353"/>
      <c r="I2059" s="3353"/>
      <c r="J2059" s="3353"/>
      <c r="K2059" s="3353"/>
      <c r="L2059" s="3353"/>
      <c r="M2059" s="3353"/>
      <c r="N2059" s="3353"/>
      <c r="O2059" s="3353"/>
      <c r="P2059" s="3353"/>
      <c r="Q2059" s="3353"/>
      <c r="R2059" s="3353"/>
      <c r="S2059" s="3353"/>
      <c r="T2059" s="3353"/>
      <c r="U2059" s="3353"/>
      <c r="V2059" s="3353"/>
      <c r="W2059" s="3353"/>
      <c r="X2059" s="3353"/>
      <c r="Y2059" s="3353"/>
      <c r="Z2059" s="3353"/>
      <c r="AA2059" s="3353"/>
      <c r="AB2059" s="3353"/>
      <c r="AC2059" s="3353"/>
      <c r="AD2059" s="3353"/>
      <c r="AE2059" s="3353"/>
      <c r="AF2059" s="3353"/>
      <c r="AG2059" s="3353"/>
      <c r="AH2059" s="3353"/>
      <c r="AI2059" s="3353"/>
      <c r="AJ2059" s="3353"/>
      <c r="AK2059" s="3353"/>
      <c r="AL2059" s="3353"/>
    </row>
    <row r="2060" spans="1:38" s="3309" customFormat="1" x14ac:dyDescent="0.2">
      <c r="A2060" s="3374" t="s">
        <v>5956</v>
      </c>
      <c r="B2060" s="3368"/>
      <c r="C2060" s="3368"/>
      <c r="D2060" s="3368"/>
      <c r="E2060" s="3368"/>
      <c r="F2060" s="3368"/>
      <c r="G2060" s="3368"/>
      <c r="H2060" s="3353"/>
      <c r="I2060" s="3353"/>
      <c r="J2060" s="3353"/>
      <c r="K2060" s="3353"/>
      <c r="L2060" s="3353"/>
      <c r="M2060" s="3353"/>
      <c r="N2060" s="3353"/>
      <c r="O2060" s="3353"/>
      <c r="P2060" s="3353"/>
      <c r="Q2060" s="3353"/>
      <c r="R2060" s="3353"/>
      <c r="S2060" s="3353"/>
      <c r="T2060" s="3353"/>
      <c r="U2060" s="3353"/>
      <c r="V2060" s="3353"/>
      <c r="W2060" s="3353"/>
      <c r="X2060" s="3353"/>
      <c r="Y2060" s="3353"/>
      <c r="Z2060" s="3353"/>
      <c r="AA2060" s="3353"/>
      <c r="AB2060" s="3353"/>
      <c r="AC2060" s="3353"/>
      <c r="AD2060" s="3353"/>
      <c r="AE2060" s="3353"/>
      <c r="AF2060" s="3353"/>
      <c r="AG2060" s="3353"/>
      <c r="AH2060" s="3353"/>
      <c r="AI2060" s="3353"/>
      <c r="AJ2060" s="3353"/>
      <c r="AK2060" s="3353"/>
      <c r="AL2060" s="3353"/>
    </row>
    <row r="2061" spans="1:38" s="3309" customFormat="1" x14ac:dyDescent="0.2">
      <c r="A2061" s="3365" t="s">
        <v>5951</v>
      </c>
      <c r="B2061" s="3371" t="e">
        <f t="shared" ref="B2061:G2061" si="1164">B1245+B1247+B1248+B1879+B1881+B1882</f>
        <v>#DIV/0!</v>
      </c>
      <c r="C2061" s="3371" t="e">
        <f t="shared" si="1164"/>
        <v>#DIV/0!</v>
      </c>
      <c r="D2061" s="3371" t="e">
        <f t="shared" si="1164"/>
        <v>#DIV/0!</v>
      </c>
      <c r="E2061" s="3371" t="e">
        <f t="shared" si="1164"/>
        <v>#DIV/0!</v>
      </c>
      <c r="F2061" s="3371" t="e">
        <f t="shared" si="1164"/>
        <v>#DIV/0!</v>
      </c>
      <c r="G2061" s="3371" t="e">
        <f t="shared" si="1164"/>
        <v>#DIV/0!</v>
      </c>
      <c r="H2061" s="3353"/>
      <c r="I2061" s="3353"/>
      <c r="J2061" s="3353"/>
      <c r="K2061" s="3353"/>
      <c r="L2061" s="3353"/>
      <c r="M2061" s="3353"/>
      <c r="N2061" s="3353"/>
      <c r="O2061" s="3353"/>
      <c r="P2061" s="3353"/>
      <c r="Q2061" s="3353"/>
      <c r="R2061" s="3353"/>
      <c r="S2061" s="3353"/>
      <c r="T2061" s="3353"/>
      <c r="U2061" s="3353"/>
      <c r="V2061" s="3353"/>
      <c r="W2061" s="3353"/>
      <c r="X2061" s="3353"/>
      <c r="Y2061" s="3353"/>
      <c r="Z2061" s="3353"/>
      <c r="AA2061" s="3353"/>
      <c r="AB2061" s="3353"/>
      <c r="AC2061" s="3353"/>
      <c r="AD2061" s="3353"/>
      <c r="AE2061" s="3353"/>
      <c r="AF2061" s="3353"/>
      <c r="AG2061" s="3353"/>
      <c r="AH2061" s="3353"/>
      <c r="AI2061" s="3353"/>
      <c r="AJ2061" s="3353"/>
      <c r="AK2061" s="3353"/>
      <c r="AL2061" s="3353"/>
    </row>
    <row r="2062" spans="1:38" s="3309" customFormat="1" x14ac:dyDescent="0.2">
      <c r="A2062" s="3365" t="s">
        <v>5950</v>
      </c>
      <c r="B2062" s="3371">
        <f t="shared" ref="B2062:G2062" si="1165">B1244+B1246+B1878+B1880</f>
        <v>0</v>
      </c>
      <c r="C2062" s="3371" t="e">
        <f t="shared" si="1165"/>
        <v>#DIV/0!</v>
      </c>
      <c r="D2062" s="3371" t="e">
        <f t="shared" si="1165"/>
        <v>#DIV/0!</v>
      </c>
      <c r="E2062" s="3371" t="e">
        <f t="shared" si="1165"/>
        <v>#DIV/0!</v>
      </c>
      <c r="F2062" s="3371" t="e">
        <f t="shared" si="1165"/>
        <v>#DIV/0!</v>
      </c>
      <c r="G2062" s="3371" t="e">
        <f t="shared" si="1165"/>
        <v>#DIV/0!</v>
      </c>
      <c r="H2062" s="3353"/>
      <c r="I2062" s="3353"/>
      <c r="J2062" s="3353"/>
      <c r="K2062" s="3353"/>
      <c r="L2062" s="3353"/>
      <c r="M2062" s="3353"/>
      <c r="N2062" s="3353"/>
      <c r="O2062" s="3353"/>
      <c r="P2062" s="3353"/>
      <c r="Q2062" s="3353"/>
      <c r="R2062" s="3353"/>
      <c r="S2062" s="3353"/>
      <c r="T2062" s="3353"/>
      <c r="U2062" s="3353"/>
      <c r="V2062" s="3353"/>
      <c r="W2062" s="3353"/>
      <c r="X2062" s="3353"/>
      <c r="Y2062" s="3353"/>
      <c r="Z2062" s="3353"/>
      <c r="AA2062" s="3353"/>
      <c r="AB2062" s="3353"/>
      <c r="AC2062" s="3353"/>
      <c r="AD2062" s="3353"/>
      <c r="AE2062" s="3353"/>
      <c r="AF2062" s="3353"/>
      <c r="AG2062" s="3353"/>
      <c r="AH2062" s="3353"/>
      <c r="AI2062" s="3353"/>
      <c r="AJ2062" s="3353"/>
      <c r="AK2062" s="3353"/>
      <c r="AL2062" s="3353"/>
    </row>
    <row r="2063" spans="1:38" s="3309" customFormat="1" x14ac:dyDescent="0.2">
      <c r="A2063" s="3365" t="s">
        <v>5949</v>
      </c>
      <c r="B2063" s="3371" t="e">
        <f t="shared" ref="B2063:G2063" si="1166">B2053</f>
        <v>#VALUE!</v>
      </c>
      <c r="C2063" s="3371" t="e">
        <f t="shared" si="1166"/>
        <v>#DIV/0!</v>
      </c>
      <c r="D2063" s="3371" t="e">
        <f t="shared" si="1166"/>
        <v>#DIV/0!</v>
      </c>
      <c r="E2063" s="3371" t="e">
        <f t="shared" si="1166"/>
        <v>#DIV/0!</v>
      </c>
      <c r="F2063" s="3371" t="e">
        <f t="shared" si="1166"/>
        <v>#DIV/0!</v>
      </c>
      <c r="G2063" s="3371" t="e">
        <f t="shared" si="1166"/>
        <v>#DIV/0!</v>
      </c>
      <c r="H2063" s="3353"/>
      <c r="I2063" s="3353"/>
      <c r="J2063" s="3353"/>
      <c r="K2063" s="3353"/>
      <c r="L2063" s="3353"/>
      <c r="M2063" s="3353"/>
      <c r="N2063" s="3353"/>
      <c r="O2063" s="3353"/>
      <c r="P2063" s="3353"/>
      <c r="Q2063" s="3353"/>
      <c r="R2063" s="3353"/>
      <c r="S2063" s="3353"/>
      <c r="T2063" s="3353"/>
      <c r="U2063" s="3353"/>
      <c r="V2063" s="3353"/>
      <c r="W2063" s="3353"/>
      <c r="X2063" s="3353"/>
      <c r="Y2063" s="3353"/>
      <c r="Z2063" s="3353"/>
      <c r="AA2063" s="3353"/>
      <c r="AB2063" s="3353"/>
      <c r="AC2063" s="3353"/>
      <c r="AD2063" s="3353"/>
      <c r="AE2063" s="3353"/>
      <c r="AF2063" s="3353"/>
      <c r="AG2063" s="3353"/>
      <c r="AH2063" s="3353"/>
      <c r="AI2063" s="3353"/>
      <c r="AJ2063" s="3353"/>
      <c r="AK2063" s="3353"/>
      <c r="AL2063" s="3353"/>
    </row>
    <row r="2064" spans="1:38" s="3309" customFormat="1" x14ac:dyDescent="0.2">
      <c r="A2064" s="3365" t="s">
        <v>5948</v>
      </c>
      <c r="B2064" s="3373" t="e">
        <f t="shared" ref="B2064:G2064" si="1167">B2063*B1648/1000</f>
        <v>#VALUE!</v>
      </c>
      <c r="C2064" s="3373" t="e">
        <f t="shared" si="1167"/>
        <v>#DIV/0!</v>
      </c>
      <c r="D2064" s="3373" t="e">
        <f t="shared" si="1167"/>
        <v>#DIV/0!</v>
      </c>
      <c r="E2064" s="3373" t="e">
        <f t="shared" si="1167"/>
        <v>#DIV/0!</v>
      </c>
      <c r="F2064" s="3373" t="e">
        <f t="shared" si="1167"/>
        <v>#DIV/0!</v>
      </c>
      <c r="G2064" s="3373" t="e">
        <f t="shared" si="1167"/>
        <v>#DIV/0!</v>
      </c>
      <c r="H2064" s="3353"/>
      <c r="I2064" s="3353"/>
      <c r="J2064" s="3353"/>
      <c r="K2064" s="3353"/>
      <c r="L2064" s="3353"/>
      <c r="M2064" s="3353"/>
      <c r="N2064" s="3353"/>
      <c r="O2064" s="3353"/>
      <c r="P2064" s="3353"/>
      <c r="Q2064" s="3353"/>
      <c r="R2064" s="3353"/>
      <c r="S2064" s="3353"/>
      <c r="T2064" s="3353"/>
      <c r="U2064" s="3353"/>
      <c r="V2064" s="3353"/>
      <c r="W2064" s="3353"/>
      <c r="X2064" s="3353"/>
      <c r="Y2064" s="3353"/>
      <c r="Z2064" s="3353"/>
      <c r="AA2064" s="3353"/>
      <c r="AB2064" s="3353"/>
      <c r="AC2064" s="3353"/>
      <c r="AD2064" s="3353"/>
      <c r="AE2064" s="3353"/>
      <c r="AF2064" s="3353"/>
      <c r="AG2064" s="3353"/>
      <c r="AH2064" s="3353"/>
      <c r="AI2064" s="3353"/>
      <c r="AJ2064" s="3353"/>
      <c r="AK2064" s="3353"/>
      <c r="AL2064" s="3353"/>
    </row>
    <row r="2065" spans="1:38" s="3309" customFormat="1" x14ac:dyDescent="0.2">
      <c r="A2065" s="3365" t="s">
        <v>5947</v>
      </c>
      <c r="B2065" s="3371">
        <v>0</v>
      </c>
      <c r="C2065" s="3371">
        <v>0</v>
      </c>
      <c r="D2065" s="3371">
        <v>0</v>
      </c>
      <c r="E2065" s="3371">
        <v>0</v>
      </c>
      <c r="F2065" s="3371">
        <v>0</v>
      </c>
      <c r="G2065" s="3371">
        <v>0</v>
      </c>
      <c r="H2065" s="3353"/>
      <c r="I2065" s="3353"/>
      <c r="J2065" s="3353"/>
      <c r="K2065" s="3353"/>
      <c r="L2065" s="3353"/>
      <c r="M2065" s="3353"/>
      <c r="N2065" s="3353"/>
      <c r="O2065" s="3353"/>
      <c r="P2065" s="3353"/>
      <c r="Q2065" s="3353"/>
      <c r="R2065" s="3353"/>
      <c r="S2065" s="3353"/>
      <c r="T2065" s="3353"/>
      <c r="U2065" s="3353"/>
      <c r="V2065" s="3353"/>
      <c r="W2065" s="3353"/>
      <c r="X2065" s="3353"/>
      <c r="Y2065" s="3353"/>
      <c r="Z2065" s="3353"/>
      <c r="AA2065" s="3353"/>
      <c r="AB2065" s="3353"/>
      <c r="AC2065" s="3353"/>
      <c r="AD2065" s="3353"/>
      <c r="AE2065" s="3353"/>
      <c r="AF2065" s="3353"/>
      <c r="AG2065" s="3353"/>
      <c r="AH2065" s="3353"/>
      <c r="AI2065" s="3353"/>
      <c r="AJ2065" s="3353"/>
      <c r="AK2065" s="3353"/>
      <c r="AL2065" s="3353"/>
    </row>
    <row r="2066" spans="1:38" s="3309" customFormat="1" x14ac:dyDescent="0.2">
      <c r="A2066" s="3365" t="s">
        <v>1832</v>
      </c>
      <c r="B2066" s="3371">
        <v>0</v>
      </c>
      <c r="C2066" s="3371">
        <v>0</v>
      </c>
      <c r="D2066" s="3371">
        <v>0</v>
      </c>
      <c r="E2066" s="3371">
        <v>0</v>
      </c>
      <c r="F2066" s="3371">
        <v>0</v>
      </c>
      <c r="G2066" s="3371">
        <v>0</v>
      </c>
      <c r="H2066" s="3353"/>
      <c r="I2066" s="3353"/>
      <c r="J2066" s="3353"/>
      <c r="K2066" s="3353"/>
      <c r="L2066" s="3353"/>
      <c r="M2066" s="3353"/>
      <c r="N2066" s="3353"/>
      <c r="O2066" s="3353"/>
      <c r="P2066" s="3353"/>
      <c r="Q2066" s="3353"/>
      <c r="R2066" s="3353"/>
      <c r="S2066" s="3353"/>
      <c r="T2066" s="3353"/>
      <c r="U2066" s="3353"/>
      <c r="V2066" s="3353"/>
      <c r="W2066" s="3353"/>
      <c r="X2066" s="3353"/>
      <c r="Y2066" s="3353"/>
      <c r="Z2066" s="3353"/>
      <c r="AA2066" s="3353"/>
      <c r="AB2066" s="3353"/>
      <c r="AC2066" s="3353"/>
      <c r="AD2066" s="3353"/>
      <c r="AE2066" s="3353"/>
      <c r="AF2066" s="3353"/>
      <c r="AG2066" s="3353"/>
      <c r="AH2066" s="3353"/>
      <c r="AI2066" s="3353"/>
      <c r="AJ2066" s="3353"/>
      <c r="AK2066" s="3353"/>
      <c r="AL2066" s="3353"/>
    </row>
    <row r="2067" spans="1:38" s="3309" customFormat="1" x14ac:dyDescent="0.2">
      <c r="A2067" s="3365" t="s">
        <v>5946</v>
      </c>
      <c r="B2067" s="3372" t="e">
        <f t="shared" ref="B2067:G2068" si="1168">B2057</f>
        <v>#VALUE!</v>
      </c>
      <c r="C2067" s="3372" t="e">
        <f t="shared" si="1168"/>
        <v>#DIV/0!</v>
      </c>
      <c r="D2067" s="3372" t="e">
        <f t="shared" si="1168"/>
        <v>#DIV/0!</v>
      </c>
      <c r="E2067" s="3372" t="e">
        <f t="shared" si="1168"/>
        <v>#DIV/0!</v>
      </c>
      <c r="F2067" s="3372" t="e">
        <f t="shared" si="1168"/>
        <v>#DIV/0!</v>
      </c>
      <c r="G2067" s="3372" t="e">
        <f t="shared" si="1168"/>
        <v>#DIV/0!</v>
      </c>
      <c r="H2067" s="3353"/>
      <c r="I2067" s="3353"/>
      <c r="J2067" s="3353"/>
      <c r="K2067" s="3353"/>
      <c r="L2067" s="3353"/>
      <c r="M2067" s="3353"/>
      <c r="N2067" s="3353"/>
      <c r="O2067" s="3353"/>
      <c r="P2067" s="3353"/>
      <c r="Q2067" s="3353"/>
      <c r="R2067" s="3353"/>
      <c r="S2067" s="3353"/>
      <c r="T2067" s="3353"/>
      <c r="U2067" s="3353"/>
      <c r="V2067" s="3353"/>
      <c r="W2067" s="3353"/>
      <c r="X2067" s="3353"/>
      <c r="Y2067" s="3353"/>
      <c r="Z2067" s="3353"/>
      <c r="AA2067" s="3353"/>
      <c r="AB2067" s="3353"/>
      <c r="AC2067" s="3353"/>
      <c r="AD2067" s="3353"/>
      <c r="AE2067" s="3353"/>
      <c r="AF2067" s="3353"/>
      <c r="AG2067" s="3353"/>
      <c r="AH2067" s="3353"/>
      <c r="AI2067" s="3353"/>
      <c r="AJ2067" s="3353"/>
      <c r="AK2067" s="3353"/>
      <c r="AL2067" s="3353"/>
    </row>
    <row r="2068" spans="1:38" s="3309" customFormat="1" x14ac:dyDescent="0.2">
      <c r="A2068" s="3365" t="s">
        <v>5945</v>
      </c>
      <c r="B2068" s="3372" t="e">
        <f t="shared" si="1168"/>
        <v>#VALUE!</v>
      </c>
      <c r="C2068" s="3372" t="e">
        <f t="shared" si="1168"/>
        <v>#DIV/0!</v>
      </c>
      <c r="D2068" s="3372" t="e">
        <f t="shared" si="1168"/>
        <v>#DIV/0!</v>
      </c>
      <c r="E2068" s="3372" t="e">
        <f t="shared" si="1168"/>
        <v>#DIV/0!</v>
      </c>
      <c r="F2068" s="3372" t="e">
        <f t="shared" si="1168"/>
        <v>#DIV/0!</v>
      </c>
      <c r="G2068" s="3372" t="e">
        <f t="shared" si="1168"/>
        <v>#DIV/0!</v>
      </c>
      <c r="H2068" s="3353"/>
      <c r="I2068" s="3353"/>
      <c r="J2068" s="3353"/>
      <c r="K2068" s="3353"/>
      <c r="L2068" s="3353"/>
      <c r="M2068" s="3353"/>
      <c r="N2068" s="3353"/>
      <c r="O2068" s="3353"/>
      <c r="P2068" s="3353"/>
      <c r="Q2068" s="3353"/>
      <c r="R2068" s="3353"/>
      <c r="S2068" s="3353"/>
      <c r="T2068" s="3353"/>
      <c r="U2068" s="3353"/>
      <c r="V2068" s="3353"/>
      <c r="W2068" s="3353"/>
      <c r="X2068" s="3353"/>
      <c r="Y2068" s="3353"/>
      <c r="Z2068" s="3353"/>
      <c r="AA2068" s="3353"/>
      <c r="AB2068" s="3353"/>
      <c r="AC2068" s="3353"/>
      <c r="AD2068" s="3353"/>
      <c r="AE2068" s="3353"/>
      <c r="AF2068" s="3353"/>
      <c r="AG2068" s="3353"/>
      <c r="AH2068" s="3353"/>
      <c r="AI2068" s="3353"/>
      <c r="AJ2068" s="3353"/>
      <c r="AK2068" s="3353"/>
      <c r="AL2068" s="3353"/>
    </row>
    <row r="2069" spans="1:38" s="3309" customFormat="1" x14ac:dyDescent="0.2">
      <c r="A2069" s="3365" t="s">
        <v>2734</v>
      </c>
      <c r="B2069" s="3371" t="e">
        <f t="shared" ref="B2069:G2069" si="1169">(B1914/B1287/1000)+(B1280/B1287/1000)</f>
        <v>#VALUE!</v>
      </c>
      <c r="C2069" s="3371" t="e">
        <f t="shared" si="1169"/>
        <v>#DIV/0!</v>
      </c>
      <c r="D2069" s="3371" t="e">
        <f t="shared" si="1169"/>
        <v>#DIV/0!</v>
      </c>
      <c r="E2069" s="3371" t="e">
        <f t="shared" si="1169"/>
        <v>#DIV/0!</v>
      </c>
      <c r="F2069" s="3371" t="e">
        <f t="shared" si="1169"/>
        <v>#DIV/0!</v>
      </c>
      <c r="G2069" s="3371" t="e">
        <f t="shared" si="1169"/>
        <v>#DIV/0!</v>
      </c>
      <c r="H2069" s="3353"/>
      <c r="I2069" s="3353"/>
      <c r="J2069" s="3353"/>
      <c r="K2069" s="3353"/>
      <c r="L2069" s="3353"/>
      <c r="M2069" s="3353"/>
      <c r="N2069" s="3353"/>
      <c r="O2069" s="3353"/>
      <c r="P2069" s="3353"/>
      <c r="Q2069" s="3353"/>
      <c r="R2069" s="3353"/>
      <c r="S2069" s="3353"/>
      <c r="T2069" s="3353"/>
      <c r="U2069" s="3353"/>
      <c r="V2069" s="3353"/>
      <c r="W2069" s="3353"/>
      <c r="X2069" s="3353"/>
      <c r="Y2069" s="3353"/>
      <c r="Z2069" s="3353"/>
      <c r="AA2069" s="3353"/>
      <c r="AB2069" s="3353"/>
      <c r="AC2069" s="3353"/>
      <c r="AD2069" s="3353"/>
      <c r="AE2069" s="3353"/>
      <c r="AF2069" s="3353"/>
      <c r="AG2069" s="3353"/>
      <c r="AH2069" s="3353"/>
      <c r="AI2069" s="3353"/>
      <c r="AJ2069" s="3353"/>
      <c r="AK2069" s="3353"/>
      <c r="AL2069" s="3353"/>
    </row>
    <row r="2070" spans="1:38" s="3309" customFormat="1" x14ac:dyDescent="0.2">
      <c r="A2070" s="3370" t="s">
        <v>5955</v>
      </c>
      <c r="B2070" s="3369" t="s">
        <v>5954</v>
      </c>
      <c r="C2070" s="3368"/>
      <c r="D2070" s="3368"/>
      <c r="E2070" s="3368"/>
      <c r="F2070" s="3368"/>
      <c r="G2070" s="3368"/>
      <c r="H2070" s="3353"/>
      <c r="I2070" s="3353"/>
      <c r="J2070" s="3353"/>
      <c r="K2070" s="3353"/>
      <c r="L2070" s="3353"/>
      <c r="M2070" s="3353"/>
      <c r="N2070" s="3353"/>
      <c r="O2070" s="3353"/>
      <c r="P2070" s="3353"/>
      <c r="Q2070" s="3353"/>
      <c r="R2070" s="3353"/>
      <c r="S2070" s="3353"/>
      <c r="T2070" s="3353"/>
      <c r="U2070" s="3353"/>
      <c r="V2070" s="3353"/>
      <c r="W2070" s="3353"/>
      <c r="X2070" s="3353"/>
      <c r="Y2070" s="3353"/>
      <c r="Z2070" s="3353"/>
      <c r="AA2070" s="3353"/>
      <c r="AB2070" s="3353"/>
      <c r="AC2070" s="3353"/>
      <c r="AD2070" s="3353"/>
      <c r="AE2070" s="3353"/>
      <c r="AF2070" s="3353"/>
      <c r="AG2070" s="3353"/>
      <c r="AH2070" s="3353"/>
      <c r="AI2070" s="3353"/>
      <c r="AJ2070" s="3353"/>
      <c r="AK2070" s="3353"/>
      <c r="AL2070" s="3353"/>
    </row>
    <row r="2071" spans="1:38" s="3309" customFormat="1" x14ac:dyDescent="0.2">
      <c r="A2071" s="3365" t="s">
        <v>5951</v>
      </c>
      <c r="B2071" s="3364" t="e">
        <f t="shared" ref="B2071:G2073" si="1170">B2051</f>
        <v>#DIV/0!</v>
      </c>
      <c r="C2071" s="3364" t="e">
        <f t="shared" si="1170"/>
        <v>#DIV/0!</v>
      </c>
      <c r="D2071" s="3364" t="e">
        <f t="shared" si="1170"/>
        <v>#DIV/0!</v>
      </c>
      <c r="E2071" s="3364" t="e">
        <f t="shared" si="1170"/>
        <v>#DIV/0!</v>
      </c>
      <c r="F2071" s="3364" t="e">
        <f t="shared" si="1170"/>
        <v>#DIV/0!</v>
      </c>
      <c r="G2071" s="3364" t="e">
        <f t="shared" si="1170"/>
        <v>#DIV/0!</v>
      </c>
      <c r="H2071" s="3353"/>
      <c r="I2071" s="3353"/>
      <c r="J2071" s="3353"/>
      <c r="K2071" s="3353"/>
      <c r="L2071" s="3353"/>
      <c r="M2071" s="3353"/>
      <c r="N2071" s="3353"/>
      <c r="O2071" s="3353"/>
      <c r="P2071" s="3353"/>
      <c r="Q2071" s="3353"/>
      <c r="R2071" s="3353"/>
      <c r="S2071" s="3353"/>
      <c r="T2071" s="3353"/>
      <c r="U2071" s="3353"/>
      <c r="V2071" s="3353"/>
      <c r="W2071" s="3353"/>
      <c r="X2071" s="3353"/>
      <c r="Y2071" s="3353"/>
      <c r="Z2071" s="3353"/>
      <c r="AA2071" s="3353"/>
      <c r="AB2071" s="3353"/>
      <c r="AC2071" s="3353"/>
      <c r="AD2071" s="3353"/>
      <c r="AE2071" s="3353"/>
      <c r="AF2071" s="3353"/>
      <c r="AG2071" s="3353"/>
      <c r="AH2071" s="3353"/>
      <c r="AI2071" s="3353"/>
      <c r="AJ2071" s="3353"/>
      <c r="AK2071" s="3353"/>
      <c r="AL2071" s="3353"/>
    </row>
    <row r="2072" spans="1:38" s="3309" customFormat="1" x14ac:dyDescent="0.2">
      <c r="A2072" s="3365" t="s">
        <v>5950</v>
      </c>
      <c r="B2072" s="3364">
        <f t="shared" si="1170"/>
        <v>0</v>
      </c>
      <c r="C2072" s="3364" t="e">
        <f t="shared" si="1170"/>
        <v>#DIV/0!</v>
      </c>
      <c r="D2072" s="3364" t="e">
        <f t="shared" si="1170"/>
        <v>#DIV/0!</v>
      </c>
      <c r="E2072" s="3364" t="e">
        <f t="shared" si="1170"/>
        <v>#DIV/0!</v>
      </c>
      <c r="F2072" s="3364" t="e">
        <f t="shared" si="1170"/>
        <v>#DIV/0!</v>
      </c>
      <c r="G2072" s="3364" t="e">
        <f t="shared" si="1170"/>
        <v>#DIV/0!</v>
      </c>
      <c r="H2072" s="3353"/>
      <c r="I2072" s="3353"/>
      <c r="J2072" s="3353"/>
      <c r="K2072" s="3353"/>
      <c r="L2072" s="3353"/>
      <c r="M2072" s="3353"/>
      <c r="N2072" s="3353"/>
      <c r="O2072" s="3353"/>
      <c r="P2072" s="3353"/>
      <c r="Q2072" s="3353"/>
      <c r="R2072" s="3353"/>
      <c r="S2072" s="3353"/>
      <c r="T2072" s="3353"/>
      <c r="U2072" s="3353"/>
      <c r="V2072" s="3353"/>
      <c r="W2072" s="3353"/>
      <c r="X2072" s="3353"/>
      <c r="Y2072" s="3353"/>
      <c r="Z2072" s="3353"/>
      <c r="AA2072" s="3353"/>
      <c r="AB2072" s="3353"/>
      <c r="AC2072" s="3353"/>
      <c r="AD2072" s="3353"/>
      <c r="AE2072" s="3353"/>
      <c r="AF2072" s="3353"/>
      <c r="AG2072" s="3353"/>
      <c r="AH2072" s="3353"/>
      <c r="AI2072" s="3353"/>
      <c r="AJ2072" s="3353"/>
      <c r="AK2072" s="3353"/>
      <c r="AL2072" s="3353"/>
    </row>
    <row r="2073" spans="1:38" s="3309" customFormat="1" x14ac:dyDescent="0.2">
      <c r="A2073" s="3365" t="s">
        <v>5949</v>
      </c>
      <c r="B2073" s="3364" t="e">
        <f t="shared" si="1170"/>
        <v>#VALUE!</v>
      </c>
      <c r="C2073" s="3364" t="e">
        <f t="shared" si="1170"/>
        <v>#DIV/0!</v>
      </c>
      <c r="D2073" s="3364" t="e">
        <f t="shared" si="1170"/>
        <v>#DIV/0!</v>
      </c>
      <c r="E2073" s="3364" t="e">
        <f t="shared" si="1170"/>
        <v>#DIV/0!</v>
      </c>
      <c r="F2073" s="3364" t="e">
        <f t="shared" si="1170"/>
        <v>#DIV/0!</v>
      </c>
      <c r="G2073" s="3364" t="e">
        <f t="shared" si="1170"/>
        <v>#DIV/0!</v>
      </c>
      <c r="H2073" s="3353"/>
      <c r="I2073" s="3353"/>
      <c r="J2073" s="3353"/>
      <c r="K2073" s="3353"/>
      <c r="L2073" s="3353"/>
      <c r="M2073" s="3353"/>
      <c r="N2073" s="3353"/>
      <c r="O2073" s="3353"/>
      <c r="P2073" s="3353"/>
      <c r="Q2073" s="3353"/>
      <c r="R2073" s="3353"/>
      <c r="S2073" s="3353"/>
      <c r="T2073" s="3353"/>
      <c r="U2073" s="3353"/>
      <c r="V2073" s="3353"/>
      <c r="W2073" s="3353"/>
      <c r="X2073" s="3353"/>
      <c r="Y2073" s="3353"/>
      <c r="Z2073" s="3353"/>
      <c r="AA2073" s="3353"/>
      <c r="AB2073" s="3353"/>
      <c r="AC2073" s="3353"/>
      <c r="AD2073" s="3353"/>
      <c r="AE2073" s="3353"/>
      <c r="AF2073" s="3353"/>
      <c r="AG2073" s="3353"/>
      <c r="AH2073" s="3353"/>
      <c r="AI2073" s="3353"/>
      <c r="AJ2073" s="3353"/>
      <c r="AK2073" s="3353"/>
      <c r="AL2073" s="3353"/>
    </row>
    <row r="2074" spans="1:38" s="3309" customFormat="1" x14ac:dyDescent="0.2">
      <c r="A2074" s="3365" t="s">
        <v>5948</v>
      </c>
      <c r="B2074" s="3367" t="e">
        <f t="shared" ref="B2074:G2074" si="1171">B2073*B1648/1000</f>
        <v>#VALUE!</v>
      </c>
      <c r="C2074" s="3367" t="e">
        <f t="shared" si="1171"/>
        <v>#DIV/0!</v>
      </c>
      <c r="D2074" s="3367" t="e">
        <f t="shared" si="1171"/>
        <v>#DIV/0!</v>
      </c>
      <c r="E2074" s="3367" t="e">
        <f t="shared" si="1171"/>
        <v>#DIV/0!</v>
      </c>
      <c r="F2074" s="3367" t="e">
        <f t="shared" si="1171"/>
        <v>#DIV/0!</v>
      </c>
      <c r="G2074" s="3367" t="e">
        <f t="shared" si="1171"/>
        <v>#DIV/0!</v>
      </c>
      <c r="H2074" s="3353"/>
      <c r="I2074" s="3353"/>
      <c r="J2074" s="3353"/>
      <c r="K2074" s="3353"/>
      <c r="L2074" s="3353"/>
      <c r="M2074" s="3353"/>
      <c r="N2074" s="3353"/>
      <c r="O2074" s="3353"/>
      <c r="P2074" s="3353"/>
      <c r="Q2074" s="3353"/>
      <c r="R2074" s="3353"/>
      <c r="S2074" s="3353"/>
      <c r="T2074" s="3353"/>
      <c r="U2074" s="3353"/>
      <c r="V2074" s="3353"/>
      <c r="W2074" s="3353"/>
      <c r="X2074" s="3353"/>
      <c r="Y2074" s="3353"/>
      <c r="Z2074" s="3353"/>
      <c r="AA2074" s="3353"/>
      <c r="AB2074" s="3353"/>
      <c r="AC2074" s="3353"/>
      <c r="AD2074" s="3353"/>
      <c r="AE2074" s="3353"/>
      <c r="AF2074" s="3353"/>
      <c r="AG2074" s="3353"/>
      <c r="AH2074" s="3353"/>
      <c r="AI2074" s="3353"/>
      <c r="AJ2074" s="3353"/>
      <c r="AK2074" s="3353"/>
      <c r="AL2074" s="3353"/>
    </row>
    <row r="2075" spans="1:38" s="3309" customFormat="1" x14ac:dyDescent="0.2">
      <c r="A2075" s="3365" t="s">
        <v>5947</v>
      </c>
      <c r="B2075" s="3364" t="e">
        <f t="shared" ref="B2075:G2075" si="1172">(B1887/B1287)+(B1253/B1287)</f>
        <v>#VALUE!</v>
      </c>
      <c r="C2075" s="3364" t="e">
        <f t="shared" si="1172"/>
        <v>#DIV/0!</v>
      </c>
      <c r="D2075" s="3364" t="e">
        <f t="shared" si="1172"/>
        <v>#DIV/0!</v>
      </c>
      <c r="E2075" s="3364" t="e">
        <f t="shared" si="1172"/>
        <v>#DIV/0!</v>
      </c>
      <c r="F2075" s="3364" t="e">
        <f t="shared" si="1172"/>
        <v>#DIV/0!</v>
      </c>
      <c r="G2075" s="3364" t="e">
        <f t="shared" si="1172"/>
        <v>#DIV/0!</v>
      </c>
      <c r="H2075" s="3353"/>
      <c r="I2075" s="3353"/>
      <c r="J2075" s="3353"/>
      <c r="K2075" s="3353"/>
      <c r="L2075" s="3353"/>
      <c r="M2075" s="3353"/>
      <c r="N2075" s="3353"/>
      <c r="O2075" s="3353"/>
      <c r="P2075" s="3353"/>
      <c r="Q2075" s="3353"/>
      <c r="R2075" s="3353"/>
      <c r="S2075" s="3353"/>
      <c r="T2075" s="3353"/>
      <c r="U2075" s="3353"/>
      <c r="V2075" s="3353"/>
      <c r="W2075" s="3353"/>
      <c r="X2075" s="3353"/>
      <c r="Y2075" s="3353"/>
      <c r="Z2075" s="3353"/>
      <c r="AA2075" s="3353"/>
      <c r="AB2075" s="3353"/>
      <c r="AC2075" s="3353"/>
      <c r="AD2075" s="3353"/>
      <c r="AE2075" s="3353"/>
      <c r="AF2075" s="3353"/>
      <c r="AG2075" s="3353"/>
      <c r="AH2075" s="3353"/>
      <c r="AI2075" s="3353"/>
      <c r="AJ2075" s="3353"/>
      <c r="AK2075" s="3353"/>
      <c r="AL2075" s="3353"/>
    </row>
    <row r="2076" spans="1:38" s="3309" customFormat="1" x14ac:dyDescent="0.2">
      <c r="A2076" s="3365" t="s">
        <v>1832</v>
      </c>
      <c r="B2076" s="3366" t="e">
        <f t="shared" ref="B2076:G2076" si="1173">B2075*25/1000</f>
        <v>#VALUE!</v>
      </c>
      <c r="C2076" s="3366" t="e">
        <f t="shared" si="1173"/>
        <v>#DIV/0!</v>
      </c>
      <c r="D2076" s="3366" t="e">
        <f t="shared" si="1173"/>
        <v>#DIV/0!</v>
      </c>
      <c r="E2076" s="3366" t="e">
        <f t="shared" si="1173"/>
        <v>#DIV/0!</v>
      </c>
      <c r="F2076" s="3366" t="e">
        <f t="shared" si="1173"/>
        <v>#DIV/0!</v>
      </c>
      <c r="G2076" s="3366" t="e">
        <f t="shared" si="1173"/>
        <v>#DIV/0!</v>
      </c>
      <c r="H2076" s="3353"/>
      <c r="I2076" s="3353"/>
      <c r="J2076" s="3353"/>
      <c r="K2076" s="3353"/>
      <c r="L2076" s="3353"/>
      <c r="M2076" s="3353"/>
      <c r="N2076" s="3353"/>
      <c r="O2076" s="3353"/>
      <c r="P2076" s="3353"/>
      <c r="Q2076" s="3353"/>
      <c r="R2076" s="3353"/>
      <c r="S2076" s="3353"/>
      <c r="T2076" s="3353"/>
      <c r="U2076" s="3353"/>
      <c r="V2076" s="3353"/>
      <c r="W2076" s="3353"/>
      <c r="X2076" s="3353"/>
      <c r="Y2076" s="3353"/>
      <c r="Z2076" s="3353"/>
      <c r="AA2076" s="3353"/>
      <c r="AB2076" s="3353"/>
      <c r="AC2076" s="3353"/>
      <c r="AD2076" s="3353"/>
      <c r="AE2076" s="3353"/>
      <c r="AF2076" s="3353"/>
      <c r="AG2076" s="3353"/>
      <c r="AH2076" s="3353"/>
      <c r="AI2076" s="3353"/>
      <c r="AJ2076" s="3353"/>
      <c r="AK2076" s="3353"/>
      <c r="AL2076" s="3353"/>
    </row>
    <row r="2077" spans="1:38" s="3309" customFormat="1" x14ac:dyDescent="0.2">
      <c r="A2077" s="3365" t="s">
        <v>5946</v>
      </c>
      <c r="B2077" s="3364">
        <v>0</v>
      </c>
      <c r="C2077" s="3364">
        <v>0</v>
      </c>
      <c r="D2077" s="3364">
        <v>0</v>
      </c>
      <c r="E2077" s="3364">
        <v>0</v>
      </c>
      <c r="F2077" s="3364">
        <v>0</v>
      </c>
      <c r="G2077" s="3364">
        <v>0</v>
      </c>
      <c r="H2077" s="3353"/>
      <c r="I2077" s="3353"/>
      <c r="J2077" s="3353"/>
      <c r="K2077" s="3353"/>
      <c r="L2077" s="3353"/>
      <c r="M2077" s="3353"/>
      <c r="N2077" s="3353"/>
      <c r="O2077" s="3353"/>
      <c r="P2077" s="3353"/>
      <c r="Q2077" s="3353"/>
      <c r="R2077" s="3353"/>
      <c r="S2077" s="3353"/>
      <c r="T2077" s="3353"/>
      <c r="U2077" s="3353"/>
      <c r="V2077" s="3353"/>
      <c r="W2077" s="3353"/>
      <c r="X2077" s="3353"/>
      <c r="Y2077" s="3353"/>
      <c r="Z2077" s="3353"/>
      <c r="AA2077" s="3353"/>
      <c r="AB2077" s="3353"/>
      <c r="AC2077" s="3353"/>
      <c r="AD2077" s="3353"/>
      <c r="AE2077" s="3353"/>
      <c r="AF2077" s="3353"/>
      <c r="AG2077" s="3353"/>
      <c r="AH2077" s="3353"/>
      <c r="AI2077" s="3353"/>
      <c r="AJ2077" s="3353"/>
      <c r="AK2077" s="3353"/>
      <c r="AL2077" s="3353"/>
    </row>
    <row r="2078" spans="1:38" s="3309" customFormat="1" x14ac:dyDescent="0.2">
      <c r="A2078" s="3365" t="s">
        <v>5945</v>
      </c>
      <c r="B2078" s="3364">
        <v>0</v>
      </c>
      <c r="C2078" s="3364">
        <v>0</v>
      </c>
      <c r="D2078" s="3364">
        <v>0</v>
      </c>
      <c r="E2078" s="3364">
        <v>0</v>
      </c>
      <c r="F2078" s="3364">
        <v>0</v>
      </c>
      <c r="G2078" s="3364">
        <v>0</v>
      </c>
      <c r="H2078" s="3353"/>
      <c r="I2078" s="3353"/>
      <c r="J2078" s="3353"/>
      <c r="K2078" s="3353"/>
      <c r="L2078" s="3353"/>
      <c r="M2078" s="3353"/>
      <c r="N2078" s="3353"/>
      <c r="O2078" s="3353"/>
      <c r="P2078" s="3353"/>
      <c r="Q2078" s="3353"/>
      <c r="R2078" s="3353"/>
      <c r="S2078" s="3353"/>
      <c r="T2078" s="3353"/>
      <c r="U2078" s="3353"/>
      <c r="V2078" s="3353"/>
      <c r="W2078" s="3353"/>
      <c r="X2078" s="3353"/>
      <c r="Y2078" s="3353"/>
      <c r="Z2078" s="3353"/>
      <c r="AA2078" s="3353"/>
      <c r="AB2078" s="3353"/>
      <c r="AC2078" s="3353"/>
      <c r="AD2078" s="3353"/>
      <c r="AE2078" s="3353"/>
      <c r="AF2078" s="3353"/>
      <c r="AG2078" s="3353"/>
      <c r="AH2078" s="3353"/>
      <c r="AI2078" s="3353"/>
      <c r="AJ2078" s="3353"/>
      <c r="AK2078" s="3353"/>
      <c r="AL2078" s="3353"/>
    </row>
    <row r="2079" spans="1:38" s="3309" customFormat="1" x14ac:dyDescent="0.2">
      <c r="A2079" s="3365" t="s">
        <v>2734</v>
      </c>
      <c r="B2079" s="3364" t="e">
        <f t="shared" ref="B2079:G2079" si="1174">(B1914/B1287/1000)+(B1280/B1287/1000)</f>
        <v>#VALUE!</v>
      </c>
      <c r="C2079" s="3364" t="e">
        <f t="shared" si="1174"/>
        <v>#DIV/0!</v>
      </c>
      <c r="D2079" s="3364" t="e">
        <f t="shared" si="1174"/>
        <v>#DIV/0!</v>
      </c>
      <c r="E2079" s="3364" t="e">
        <f t="shared" si="1174"/>
        <v>#DIV/0!</v>
      </c>
      <c r="F2079" s="3364" t="e">
        <f t="shared" si="1174"/>
        <v>#DIV/0!</v>
      </c>
      <c r="G2079" s="3364" t="e">
        <f t="shared" si="1174"/>
        <v>#DIV/0!</v>
      </c>
      <c r="H2079" s="3353"/>
      <c r="I2079" s="3353"/>
      <c r="J2079" s="3353"/>
      <c r="K2079" s="3353"/>
      <c r="L2079" s="3353"/>
      <c r="M2079" s="3353"/>
      <c r="N2079" s="3353"/>
      <c r="O2079" s="3353"/>
      <c r="P2079" s="3353"/>
      <c r="Q2079" s="3353"/>
      <c r="R2079" s="3353"/>
      <c r="S2079" s="3353"/>
      <c r="T2079" s="3353"/>
      <c r="U2079" s="3353"/>
      <c r="V2079" s="3353"/>
      <c r="W2079" s="3353"/>
      <c r="X2079" s="3353"/>
      <c r="Y2079" s="3353"/>
      <c r="Z2079" s="3353"/>
      <c r="AA2079" s="3353"/>
      <c r="AB2079" s="3353"/>
      <c r="AC2079" s="3353"/>
      <c r="AD2079" s="3353"/>
      <c r="AE2079" s="3353"/>
      <c r="AF2079" s="3353"/>
      <c r="AG2079" s="3353"/>
      <c r="AH2079" s="3353"/>
      <c r="AI2079" s="3353"/>
      <c r="AJ2079" s="3353"/>
      <c r="AK2079" s="3353"/>
      <c r="AL2079" s="3353"/>
    </row>
    <row r="2080" spans="1:38" s="3309" customFormat="1" x14ac:dyDescent="0.2">
      <c r="B2080" s="3363" t="s">
        <v>5954</v>
      </c>
      <c r="C2080" s="3363" t="s">
        <v>5954</v>
      </c>
      <c r="D2080" s="3363" t="s">
        <v>5954</v>
      </c>
      <c r="E2080" s="3363" t="s">
        <v>5954</v>
      </c>
      <c r="F2080" s="3363" t="s">
        <v>5954</v>
      </c>
      <c r="G2080" s="3363" t="s">
        <v>5954</v>
      </c>
      <c r="H2080" s="3353"/>
      <c r="I2080" s="3353"/>
      <c r="J2080" s="3353"/>
      <c r="K2080" s="3353"/>
      <c r="L2080" s="3353"/>
      <c r="M2080" s="3353"/>
      <c r="N2080" s="3353"/>
      <c r="O2080" s="3353"/>
      <c r="P2080" s="3353"/>
      <c r="Q2080" s="3353"/>
      <c r="R2080" s="3353"/>
      <c r="S2080" s="3353"/>
      <c r="T2080" s="3353"/>
      <c r="U2080" s="3353"/>
      <c r="V2080" s="3353"/>
      <c r="W2080" s="3353"/>
      <c r="X2080" s="3353"/>
      <c r="Y2080" s="3353"/>
      <c r="Z2080" s="3353"/>
      <c r="AA2080" s="3353"/>
      <c r="AB2080" s="3353"/>
      <c r="AC2080" s="3353"/>
      <c r="AD2080" s="3353"/>
      <c r="AE2080" s="3353"/>
      <c r="AF2080" s="3353"/>
      <c r="AG2080" s="3353"/>
      <c r="AH2080" s="3353"/>
      <c r="AI2080" s="3353"/>
      <c r="AJ2080" s="3353"/>
      <c r="AK2080" s="3353"/>
      <c r="AL2080" s="3353"/>
    </row>
    <row r="2081" spans="1:38" s="3309" customFormat="1" x14ac:dyDescent="0.2">
      <c r="A2081" s="3362" t="s">
        <v>5953</v>
      </c>
      <c r="B2081" s="3361"/>
      <c r="C2081" s="3360"/>
      <c r="D2081" s="3360"/>
      <c r="E2081" s="3360"/>
      <c r="F2081" s="3360"/>
      <c r="G2081" s="3360"/>
      <c r="H2081" s="3353"/>
      <c r="I2081" s="3353"/>
      <c r="J2081" s="3353"/>
      <c r="K2081" s="3353"/>
      <c r="L2081" s="3353"/>
      <c r="M2081" s="3353"/>
      <c r="N2081" s="3353"/>
      <c r="O2081" s="3353"/>
      <c r="P2081" s="3353"/>
      <c r="Q2081" s="3353"/>
      <c r="R2081" s="3353"/>
      <c r="S2081" s="3353"/>
      <c r="T2081" s="3353"/>
      <c r="U2081" s="3353"/>
      <c r="V2081" s="3353"/>
      <c r="W2081" s="3353"/>
      <c r="X2081" s="3353"/>
      <c r="Y2081" s="3353"/>
      <c r="Z2081" s="3353"/>
      <c r="AA2081" s="3353"/>
      <c r="AB2081" s="3353"/>
      <c r="AC2081" s="3353"/>
      <c r="AD2081" s="3353"/>
      <c r="AE2081" s="3353"/>
      <c r="AF2081" s="3353"/>
      <c r="AG2081" s="3353"/>
      <c r="AH2081" s="3353"/>
      <c r="AI2081" s="3353"/>
      <c r="AJ2081" s="3353"/>
      <c r="AK2081" s="3353"/>
      <c r="AL2081" s="3353"/>
    </row>
    <row r="2082" spans="1:38" s="3309" customFormat="1" x14ac:dyDescent="0.2">
      <c r="A2082" s="3359" t="s">
        <v>5952</v>
      </c>
      <c r="B2082" s="3358">
        <f t="shared" ref="B2082:G2082" si="1175">IF(AND(B769=1,B766=0),1,IF(AND(B769=1,B766=1),2,IF(AND(B769=2,B766=1),3,IF(AND(B769=2,B766=0),4,IF(AND(B769=3,B766=1),5,B2080)))))</f>
        <v>3</v>
      </c>
      <c r="C2082" s="3358" t="str">
        <f t="shared" si="1175"/>
        <v>Ошибка</v>
      </c>
      <c r="D2082" s="3358" t="str">
        <f t="shared" si="1175"/>
        <v>Ошибка</v>
      </c>
      <c r="E2082" s="3358" t="str">
        <f t="shared" si="1175"/>
        <v>Ошибка</v>
      </c>
      <c r="F2082" s="3358" t="str">
        <f t="shared" si="1175"/>
        <v>Ошибка</v>
      </c>
      <c r="G2082" s="3358" t="str">
        <f t="shared" si="1175"/>
        <v>Ошибка</v>
      </c>
      <c r="H2082" s="3353"/>
      <c r="I2082" s="3353"/>
      <c r="J2082" s="3353"/>
      <c r="K2082" s="3353"/>
      <c r="L2082" s="3353"/>
      <c r="M2082" s="3353"/>
      <c r="N2082" s="3353"/>
      <c r="O2082" s="3353"/>
      <c r="P2082" s="3353"/>
      <c r="Q2082" s="3353"/>
      <c r="R2082" s="3353"/>
      <c r="S2082" s="3353"/>
      <c r="T2082" s="3353"/>
      <c r="U2082" s="3353"/>
      <c r="V2082" s="3353"/>
      <c r="W2082" s="3353"/>
      <c r="X2082" s="3353"/>
      <c r="Y2082" s="3353"/>
      <c r="Z2082" s="3353"/>
      <c r="AA2082" s="3353"/>
      <c r="AB2082" s="3353"/>
      <c r="AC2082" s="3353"/>
      <c r="AD2082" s="3353"/>
      <c r="AE2082" s="3353"/>
      <c r="AF2082" s="3353"/>
      <c r="AG2082" s="3353"/>
      <c r="AH2082" s="3353"/>
      <c r="AI2082" s="3353"/>
      <c r="AJ2082" s="3353"/>
      <c r="AK2082" s="3353"/>
      <c r="AL2082" s="3353"/>
    </row>
    <row r="2083" spans="1:38" s="3309" customFormat="1" x14ac:dyDescent="0.2">
      <c r="A2083" s="3309" t="s">
        <v>5951</v>
      </c>
      <c r="B2083" s="3356" t="e">
        <f t="shared" ref="B2083:G2083" si="1176">IF(B2082=1,B2031,IF(B2082=2,B2041,IF(B2082=3,B2051,IF(B2082=4,B2061,IF(B2082=5,B2071,B2080)))))</f>
        <v>#DIV/0!</v>
      </c>
      <c r="C2083" s="3356" t="str">
        <f t="shared" si="1176"/>
        <v>Ошибка</v>
      </c>
      <c r="D2083" s="3356" t="str">
        <f t="shared" si="1176"/>
        <v>Ошибка</v>
      </c>
      <c r="E2083" s="3356" t="str">
        <f t="shared" si="1176"/>
        <v>Ошибка</v>
      </c>
      <c r="F2083" s="3356" t="str">
        <f t="shared" si="1176"/>
        <v>Ошибка</v>
      </c>
      <c r="G2083" s="3356" t="str">
        <f t="shared" si="1176"/>
        <v>Ошибка</v>
      </c>
      <c r="H2083" s="3353"/>
      <c r="I2083" s="3353"/>
      <c r="J2083" s="3353"/>
      <c r="K2083" s="3353"/>
      <c r="L2083" s="3353"/>
      <c r="M2083" s="3353"/>
      <c r="N2083" s="3353"/>
      <c r="O2083" s="3353"/>
      <c r="P2083" s="3353"/>
      <c r="Q2083" s="3353"/>
      <c r="R2083" s="3353"/>
      <c r="S2083" s="3353"/>
      <c r="T2083" s="3353"/>
      <c r="U2083" s="3353"/>
      <c r="V2083" s="3353"/>
      <c r="W2083" s="3353"/>
      <c r="X2083" s="3353"/>
      <c r="Y2083" s="3353"/>
      <c r="Z2083" s="3353"/>
      <c r="AA2083" s="3353"/>
      <c r="AB2083" s="3353"/>
      <c r="AC2083" s="3353"/>
      <c r="AD2083" s="3353"/>
      <c r="AE2083" s="3353"/>
      <c r="AF2083" s="3353"/>
      <c r="AG2083" s="3353"/>
      <c r="AH2083" s="3353"/>
      <c r="AI2083" s="3353"/>
      <c r="AJ2083" s="3353"/>
      <c r="AK2083" s="3353"/>
      <c r="AL2083" s="3353"/>
    </row>
    <row r="2084" spans="1:38" s="3309" customFormat="1" x14ac:dyDescent="0.2">
      <c r="A2084" s="3309" t="s">
        <v>5950</v>
      </c>
      <c r="B2084" s="3356">
        <f t="shared" ref="B2084:G2084" si="1177">IF(B2082=1,B2032,IF(B2082=2,B2042,IF(B2082=3,B2052,IF(B2082=4,B2062,IF(B2082=5,B2072,B2080)))))</f>
        <v>0</v>
      </c>
      <c r="C2084" s="3356" t="str">
        <f t="shared" si="1177"/>
        <v>Ошибка</v>
      </c>
      <c r="D2084" s="3356" t="str">
        <f t="shared" si="1177"/>
        <v>Ошибка</v>
      </c>
      <c r="E2084" s="3356" t="str">
        <f t="shared" si="1177"/>
        <v>Ошибка</v>
      </c>
      <c r="F2084" s="3356" t="str">
        <f t="shared" si="1177"/>
        <v>Ошибка</v>
      </c>
      <c r="G2084" s="3356" t="str">
        <f t="shared" si="1177"/>
        <v>Ошибка</v>
      </c>
      <c r="H2084" s="3353"/>
      <c r="I2084" s="3353"/>
      <c r="J2084" s="3353"/>
      <c r="K2084" s="3353"/>
      <c r="L2084" s="3353"/>
      <c r="M2084" s="3353"/>
      <c r="N2084" s="3353"/>
      <c r="O2084" s="3353"/>
      <c r="P2084" s="3353"/>
      <c r="Q2084" s="3353"/>
      <c r="R2084" s="3353"/>
      <c r="S2084" s="3353"/>
      <c r="T2084" s="3353"/>
      <c r="U2084" s="3353"/>
      <c r="V2084" s="3353"/>
      <c r="W2084" s="3353"/>
      <c r="X2084" s="3353"/>
      <c r="Y2084" s="3353"/>
      <c r="Z2084" s="3353"/>
      <c r="AA2084" s="3353"/>
      <c r="AB2084" s="3353"/>
      <c r="AC2084" s="3353"/>
      <c r="AD2084" s="3353"/>
      <c r="AE2084" s="3353"/>
      <c r="AF2084" s="3353"/>
      <c r="AG2084" s="3353"/>
      <c r="AH2084" s="3353"/>
      <c r="AI2084" s="3353"/>
      <c r="AJ2084" s="3353"/>
      <c r="AK2084" s="3353"/>
      <c r="AL2084" s="3353"/>
    </row>
    <row r="2085" spans="1:38" s="3309" customFormat="1" x14ac:dyDescent="0.2">
      <c r="A2085" s="3309" t="s">
        <v>5949</v>
      </c>
      <c r="B2085" s="3356" t="e">
        <f>IF(B2082=1,B2033,IF(B2082=2,B2043,IF(B2082=3,B2053,IF(B2082=4,B2063,IF(B2082=5,B2073,B2080)))))+B2018</f>
        <v>#VALUE!</v>
      </c>
      <c r="C2085" s="3356" t="str">
        <f>IF(C2082=1,C2033,IF(C2082=2,C2043,IF(C2082=3,C2053,IF(C2082=4,C2063,IF(C2082=5,C2073,C2080)))))</f>
        <v>Ошибка</v>
      </c>
      <c r="D2085" s="3356" t="str">
        <f>IF(D2082=1,D2033,IF(D2082=2,D2043,IF(D2082=3,D2053,IF(D2082=4,D2063,IF(D2082=5,D2073,D2080)))))</f>
        <v>Ошибка</v>
      </c>
      <c r="E2085" s="3356" t="str">
        <f>IF(E2082=1,E2033,IF(E2082=2,E2043,IF(E2082=3,E2053,IF(E2082=4,E2063,IF(E2082=5,E2073,E2080)))))</f>
        <v>Ошибка</v>
      </c>
      <c r="F2085" s="3356" t="str">
        <f>IF(F2082=1,F2033,IF(F2082=2,F2043,IF(F2082=3,F2053,IF(F2082=4,F2063,IF(F2082=5,F2073,F2080)))))</f>
        <v>Ошибка</v>
      </c>
      <c r="G2085" s="3356" t="str">
        <f>IF(G2082=1,G2033,IF(G2082=2,G2043,IF(G2082=3,G2053,IF(G2082=4,G2063,IF(G2082=5,G2073,G2080)))))</f>
        <v>Ошибка</v>
      </c>
      <c r="H2085" s="3353"/>
      <c r="I2085" s="3353"/>
      <c r="J2085" s="3353"/>
      <c r="K2085" s="3353"/>
      <c r="L2085" s="3353"/>
      <c r="M2085" s="3353"/>
      <c r="N2085" s="3353"/>
      <c r="O2085" s="3353"/>
      <c r="P2085" s="3353"/>
      <c r="Q2085" s="3353"/>
      <c r="R2085" s="3353"/>
      <c r="S2085" s="3353"/>
      <c r="T2085" s="3353"/>
      <c r="U2085" s="3353"/>
      <c r="V2085" s="3353"/>
      <c r="W2085" s="3353"/>
      <c r="X2085" s="3353"/>
      <c r="Y2085" s="3353"/>
      <c r="Z2085" s="3353"/>
      <c r="AA2085" s="3353"/>
      <c r="AB2085" s="3353"/>
      <c r="AC2085" s="3353"/>
      <c r="AD2085" s="3353"/>
      <c r="AE2085" s="3353"/>
      <c r="AF2085" s="3353"/>
      <c r="AG2085" s="3353"/>
      <c r="AH2085" s="3353"/>
      <c r="AI2085" s="3353"/>
      <c r="AJ2085" s="3353"/>
      <c r="AK2085" s="3353"/>
      <c r="AL2085" s="3353"/>
    </row>
    <row r="2086" spans="1:38" s="3309" customFormat="1" x14ac:dyDescent="0.2">
      <c r="A2086" s="3309" t="s">
        <v>5948</v>
      </c>
      <c r="B2086" s="3357" t="e">
        <f t="shared" ref="B2086:G2086" si="1178">IF(B2082=1,B2034,IF(B2082=2,B2044,IF(B2082=3,B2054,IF(B2082=4,B2064,IF(B2082=5,B2074,B2080)))))+B2019+B2022</f>
        <v>#VALUE!</v>
      </c>
      <c r="C2086" s="3357" t="e">
        <f t="shared" si="1178"/>
        <v>#VALUE!</v>
      </c>
      <c r="D2086" s="3357" t="e">
        <f t="shared" si="1178"/>
        <v>#VALUE!</v>
      </c>
      <c r="E2086" s="3357" t="e">
        <f t="shared" si="1178"/>
        <v>#VALUE!</v>
      </c>
      <c r="F2086" s="3357" t="e">
        <f t="shared" si="1178"/>
        <v>#VALUE!</v>
      </c>
      <c r="G2086" s="3357" t="e">
        <f t="shared" si="1178"/>
        <v>#VALUE!</v>
      </c>
      <c r="H2086" s="3353"/>
      <c r="I2086" s="3353"/>
      <c r="J2086" s="3353"/>
      <c r="K2086" s="3353"/>
      <c r="L2086" s="3353"/>
      <c r="M2086" s="3353"/>
      <c r="N2086" s="3353"/>
      <c r="O2086" s="3353"/>
      <c r="P2086" s="3353"/>
      <c r="Q2086" s="3353"/>
      <c r="R2086" s="3353"/>
      <c r="S2086" s="3353"/>
      <c r="T2086" s="3353"/>
      <c r="U2086" s="3353"/>
      <c r="V2086" s="3353"/>
      <c r="W2086" s="3353"/>
      <c r="X2086" s="3353"/>
      <c r="Y2086" s="3353"/>
      <c r="Z2086" s="3353"/>
      <c r="AA2086" s="3353"/>
      <c r="AB2086" s="3353"/>
      <c r="AC2086" s="3353"/>
      <c r="AD2086" s="3353"/>
      <c r="AE2086" s="3353"/>
      <c r="AF2086" s="3353"/>
      <c r="AG2086" s="3353"/>
      <c r="AH2086" s="3353"/>
      <c r="AI2086" s="3353"/>
      <c r="AJ2086" s="3353"/>
      <c r="AK2086" s="3353"/>
      <c r="AL2086" s="3353"/>
    </row>
    <row r="2087" spans="1:38" s="3309" customFormat="1" x14ac:dyDescent="0.2">
      <c r="A2087" s="3309" t="s">
        <v>5947</v>
      </c>
      <c r="B2087" s="3356" t="e">
        <f>IF(B2082=1,B2035,IF(B2082=2,B2045,IF(B2082=3,B2055,IF(B2082=4,B2065,IF(B2082=5,B2075,B2080)))))+B2016</f>
        <v>#VALUE!</v>
      </c>
      <c r="C2087" s="3356" t="str">
        <f>IF(C2082=1,C2035,IF(C2082=2,C2045,IF(C2082=3,C2055,IF(C2082=4,C2065,IF(C2082=5,C2075,C2080)))))</f>
        <v>Ошибка</v>
      </c>
      <c r="D2087" s="3356" t="str">
        <f>IF(D2082=1,D2035,IF(D2082=2,D2045,IF(D2082=3,D2055,IF(D2082=4,D2065,IF(D2082=5,D2075,D2080)))))</f>
        <v>Ошибка</v>
      </c>
      <c r="E2087" s="3356" t="str">
        <f>IF(E2082=1,E2035,IF(E2082=2,E2045,IF(E2082=3,E2055,IF(E2082=4,E2065,IF(E2082=5,E2075,E2080)))))</f>
        <v>Ошибка</v>
      </c>
      <c r="F2087" s="3356" t="str">
        <f>IF(F2082=1,F2035,IF(F2082=2,F2045,IF(F2082=3,F2055,IF(F2082=4,F2065,IF(F2082=5,F2075,F2080)))))</f>
        <v>Ошибка</v>
      </c>
      <c r="G2087" s="3356" t="str">
        <f>IF(G2082=1,G2035,IF(G2082=2,G2045,IF(G2082=3,G2055,IF(G2082=4,G2065,IF(G2082=5,G2075,G2080)))))</f>
        <v>Ошибка</v>
      </c>
      <c r="H2087" s="3353"/>
      <c r="I2087" s="3353"/>
      <c r="J2087" s="3353"/>
      <c r="K2087" s="3353"/>
      <c r="L2087" s="3353"/>
      <c r="M2087" s="3353"/>
      <c r="N2087" s="3353"/>
      <c r="O2087" s="3353"/>
      <c r="P2087" s="3353"/>
      <c r="Q2087" s="3353"/>
      <c r="R2087" s="3353"/>
      <c r="S2087" s="3353"/>
      <c r="T2087" s="3353"/>
      <c r="U2087" s="3353"/>
      <c r="V2087" s="3353"/>
      <c r="W2087" s="3353"/>
      <c r="X2087" s="3353"/>
      <c r="Y2087" s="3353"/>
      <c r="Z2087" s="3353"/>
      <c r="AA2087" s="3353"/>
      <c r="AB2087" s="3353"/>
      <c r="AC2087" s="3353"/>
      <c r="AD2087" s="3353"/>
      <c r="AE2087" s="3353"/>
      <c r="AF2087" s="3353"/>
      <c r="AG2087" s="3353"/>
      <c r="AH2087" s="3353"/>
      <c r="AI2087" s="3353"/>
      <c r="AJ2087" s="3353"/>
      <c r="AK2087" s="3353"/>
      <c r="AL2087" s="3353"/>
    </row>
    <row r="2088" spans="1:38" s="3309" customFormat="1" x14ac:dyDescent="0.2">
      <c r="A2088" s="3309" t="s">
        <v>1832</v>
      </c>
      <c r="B2088" s="3355" t="e">
        <f t="shared" ref="B2088:G2088" si="1179">IF(B2082=1,B2036,IF(B2082=2,B2046,IF(B2082=3,B2056,IF(B2082=4,B2066,IF(B2082=5,B2076,B2080)))))+B2017</f>
        <v>#VALUE!</v>
      </c>
      <c r="C2088" s="3355" t="e">
        <f t="shared" si="1179"/>
        <v>#VALUE!</v>
      </c>
      <c r="D2088" s="3355" t="e">
        <f t="shared" si="1179"/>
        <v>#VALUE!</v>
      </c>
      <c r="E2088" s="3355" t="e">
        <f t="shared" si="1179"/>
        <v>#VALUE!</v>
      </c>
      <c r="F2088" s="3355" t="e">
        <f t="shared" si="1179"/>
        <v>#VALUE!</v>
      </c>
      <c r="G2088" s="3355" t="e">
        <f t="shared" si="1179"/>
        <v>#VALUE!</v>
      </c>
      <c r="H2088" s="3353"/>
      <c r="I2088" s="3353"/>
      <c r="J2088" s="3353"/>
      <c r="K2088" s="3353"/>
      <c r="L2088" s="3353"/>
      <c r="M2088" s="3353"/>
      <c r="N2088" s="3353"/>
      <c r="O2088" s="3353"/>
      <c r="P2088" s="3353"/>
      <c r="Q2088" s="3353"/>
      <c r="R2088" s="3353"/>
      <c r="S2088" s="3353"/>
      <c r="T2088" s="3353"/>
      <c r="U2088" s="3353"/>
      <c r="V2088" s="3353"/>
      <c r="W2088" s="3353"/>
      <c r="X2088" s="3353"/>
      <c r="Y2088" s="3353"/>
      <c r="Z2088" s="3353"/>
      <c r="AA2088" s="3353"/>
      <c r="AB2088" s="3353"/>
      <c r="AC2088" s="3353"/>
      <c r="AD2088" s="3353"/>
      <c r="AE2088" s="3353"/>
      <c r="AF2088" s="3353"/>
      <c r="AG2088" s="3353"/>
      <c r="AH2088" s="3353"/>
      <c r="AI2088" s="3353"/>
      <c r="AJ2088" s="3353"/>
      <c r="AK2088" s="3353"/>
      <c r="AL2088" s="3353"/>
    </row>
    <row r="2089" spans="1:38" s="3309" customFormat="1" x14ac:dyDescent="0.2">
      <c r="A2089" s="3309" t="s">
        <v>5946</v>
      </c>
      <c r="B2089" s="3355" t="e">
        <f t="shared" ref="B2089:G2089" si="1180">IF(B2082=1,B2037,IF(B2082=2,B2047,IF(B2082=3,B2057,IF(B2082=4,B2067,IF(B2082=5,B2077,B2080)))))</f>
        <v>#VALUE!</v>
      </c>
      <c r="C2089" s="3355" t="str">
        <f t="shared" si="1180"/>
        <v>Ошибка</v>
      </c>
      <c r="D2089" s="3355" t="str">
        <f t="shared" si="1180"/>
        <v>Ошибка</v>
      </c>
      <c r="E2089" s="3355" t="str">
        <f t="shared" si="1180"/>
        <v>Ошибка</v>
      </c>
      <c r="F2089" s="3355" t="str">
        <f t="shared" si="1180"/>
        <v>Ошибка</v>
      </c>
      <c r="G2089" s="3355" t="str">
        <f t="shared" si="1180"/>
        <v>Ошибка</v>
      </c>
      <c r="H2089" s="3353"/>
      <c r="I2089" s="3353"/>
      <c r="J2089" s="3353"/>
      <c r="K2089" s="3353"/>
      <c r="L2089" s="3353"/>
      <c r="M2089" s="3353"/>
      <c r="N2089" s="3353"/>
      <c r="O2089" s="3353"/>
      <c r="P2089" s="3353"/>
      <c r="Q2089" s="3353"/>
      <c r="R2089" s="3353"/>
      <c r="S2089" s="3353"/>
      <c r="T2089" s="3353"/>
      <c r="U2089" s="3353"/>
      <c r="V2089" s="3353"/>
      <c r="W2089" s="3353"/>
      <c r="X2089" s="3353"/>
      <c r="Y2089" s="3353"/>
      <c r="Z2089" s="3353"/>
      <c r="AA2089" s="3353"/>
      <c r="AB2089" s="3353"/>
      <c r="AC2089" s="3353"/>
      <c r="AD2089" s="3353"/>
      <c r="AE2089" s="3353"/>
      <c r="AF2089" s="3353"/>
      <c r="AG2089" s="3353"/>
      <c r="AH2089" s="3353"/>
      <c r="AI2089" s="3353"/>
      <c r="AJ2089" s="3353"/>
      <c r="AK2089" s="3353"/>
      <c r="AL2089" s="3353"/>
    </row>
    <row r="2090" spans="1:38" s="3309" customFormat="1" x14ac:dyDescent="0.2">
      <c r="A2090" s="3309" t="s">
        <v>5945</v>
      </c>
      <c r="B2090" s="3355" t="e">
        <f t="shared" ref="B2090:G2090" si="1181">IF(B2082=1,B2038,IF(B2082=2,B2048,IF(B2082=3,B2058,IF(B2082=4,B2068,IF(B2082=5,B2078,B2080)))))</f>
        <v>#VALUE!</v>
      </c>
      <c r="C2090" s="3355" t="str">
        <f t="shared" si="1181"/>
        <v>Ошибка</v>
      </c>
      <c r="D2090" s="3355" t="str">
        <f t="shared" si="1181"/>
        <v>Ошибка</v>
      </c>
      <c r="E2090" s="3355" t="str">
        <f t="shared" si="1181"/>
        <v>Ошибка</v>
      </c>
      <c r="F2090" s="3355" t="str">
        <f t="shared" si="1181"/>
        <v>Ошибка</v>
      </c>
      <c r="G2090" s="3355" t="str">
        <f t="shared" si="1181"/>
        <v>Ошибка</v>
      </c>
      <c r="H2090" s="3353"/>
      <c r="I2090" s="3353"/>
      <c r="J2090" s="3353"/>
      <c r="K2090" s="3353"/>
      <c r="L2090" s="3353"/>
      <c r="M2090" s="3353"/>
      <c r="N2090" s="3353"/>
      <c r="O2090" s="3353"/>
      <c r="P2090" s="3353"/>
      <c r="Q2090" s="3353"/>
      <c r="R2090" s="3353"/>
      <c r="S2090" s="3353"/>
      <c r="T2090" s="3353"/>
      <c r="U2090" s="3353"/>
      <c r="V2090" s="3353"/>
      <c r="W2090" s="3353"/>
      <c r="X2090" s="3353"/>
      <c r="Y2090" s="3353"/>
      <c r="Z2090" s="3353"/>
      <c r="AA2090" s="3353"/>
      <c r="AB2090" s="3353"/>
      <c r="AC2090" s="3353"/>
      <c r="AD2090" s="3353"/>
      <c r="AE2090" s="3353"/>
      <c r="AF2090" s="3353"/>
      <c r="AG2090" s="3353"/>
      <c r="AH2090" s="3353"/>
      <c r="AI2090" s="3353"/>
      <c r="AJ2090" s="3353"/>
      <c r="AK2090" s="3353"/>
      <c r="AL2090" s="3353"/>
    </row>
    <row r="2091" spans="1:38" s="3309" customFormat="1" x14ac:dyDescent="0.2">
      <c r="A2091" s="3309" t="s">
        <v>2734</v>
      </c>
      <c r="B2091" s="3355" t="e">
        <f t="shared" ref="B2091:G2091" si="1182">IF(B2082=1,B2039,IF(B2082=2,B2049,IF(B2082=3,B2059,IF(B2082=4,B2069,IF(B2082=5,B2079,B2080)))))</f>
        <v>#VALUE!</v>
      </c>
      <c r="C2091" s="3355" t="str">
        <f t="shared" si="1182"/>
        <v>Ошибка</v>
      </c>
      <c r="D2091" s="3355" t="str">
        <f t="shared" si="1182"/>
        <v>Ошибка</v>
      </c>
      <c r="E2091" s="3355" t="str">
        <f t="shared" si="1182"/>
        <v>Ошибка</v>
      </c>
      <c r="F2091" s="3355" t="str">
        <f t="shared" si="1182"/>
        <v>Ошибка</v>
      </c>
      <c r="G2091" s="3355" t="str">
        <f t="shared" si="1182"/>
        <v>Ошибка</v>
      </c>
      <c r="H2091" s="3353"/>
      <c r="I2091" s="3353"/>
      <c r="J2091" s="3353"/>
      <c r="K2091" s="3353"/>
      <c r="L2091" s="3353"/>
      <c r="M2091" s="3353"/>
      <c r="N2091" s="3353"/>
      <c r="O2091" s="3353"/>
      <c r="P2091" s="3353"/>
      <c r="Q2091" s="3353"/>
      <c r="R2091" s="3353"/>
      <c r="S2091" s="3353"/>
      <c r="T2091" s="3353"/>
      <c r="U2091" s="3353"/>
      <c r="V2091" s="3353"/>
      <c r="W2091" s="3353"/>
      <c r="X2091" s="3353"/>
      <c r="Y2091" s="3353"/>
      <c r="Z2091" s="3353"/>
      <c r="AA2091" s="3353"/>
      <c r="AB2091" s="3353"/>
      <c r="AC2091" s="3353"/>
      <c r="AD2091" s="3353"/>
      <c r="AE2091" s="3353"/>
      <c r="AF2091" s="3353"/>
      <c r="AG2091" s="3353"/>
      <c r="AH2091" s="3353"/>
      <c r="AI2091" s="3353"/>
      <c r="AJ2091" s="3353"/>
      <c r="AK2091" s="3353"/>
      <c r="AL2091" s="3353"/>
    </row>
    <row r="2092" spans="1:38" s="3309" customFormat="1" x14ac:dyDescent="0.2">
      <c r="B2092" s="3355"/>
      <c r="C2092" s="3355"/>
      <c r="D2092" s="3355"/>
      <c r="E2092" s="3355"/>
      <c r="F2092" s="3355"/>
      <c r="G2092" s="3355"/>
      <c r="H2092" s="3353"/>
      <c r="I2092" s="3353"/>
      <c r="J2092" s="3353"/>
      <c r="K2092" s="3353"/>
      <c r="L2092" s="3353"/>
      <c r="M2092" s="3353"/>
      <c r="N2092" s="3353"/>
      <c r="O2092" s="3353"/>
      <c r="P2092" s="3353"/>
      <c r="Q2092" s="3353"/>
      <c r="R2092" s="3353"/>
      <c r="S2092" s="3353"/>
      <c r="T2092" s="3353"/>
      <c r="U2092" s="3353"/>
      <c r="V2092" s="3353"/>
      <c r="W2092" s="3353"/>
      <c r="X2092" s="3353"/>
      <c r="Y2092" s="3353"/>
      <c r="Z2092" s="3353"/>
      <c r="AA2092" s="3353"/>
      <c r="AB2092" s="3353"/>
      <c r="AC2092" s="3353"/>
      <c r="AD2092" s="3353"/>
      <c r="AE2092" s="3353"/>
      <c r="AF2092" s="3353"/>
      <c r="AG2092" s="3353"/>
      <c r="AH2092" s="3353"/>
      <c r="AI2092" s="3353"/>
      <c r="AJ2092" s="3353"/>
      <c r="AK2092" s="3353"/>
      <c r="AL2092" s="3353"/>
    </row>
    <row r="2093" spans="1:38" s="3309" customFormat="1" ht="15" x14ac:dyDescent="0.25">
      <c r="A2093" s="3343" t="s">
        <v>1850</v>
      </c>
      <c r="H2093" s="3353"/>
      <c r="I2093" s="3353"/>
      <c r="J2093" s="3353"/>
      <c r="K2093" s="3353"/>
      <c r="L2093" s="3353"/>
      <c r="M2093" s="3353"/>
      <c r="N2093" s="3353"/>
      <c r="O2093" s="3353"/>
      <c r="P2093" s="3353"/>
      <c r="Q2093" s="3353"/>
      <c r="R2093" s="3353"/>
      <c r="S2093" s="3353"/>
      <c r="T2093" s="3353"/>
      <c r="U2093" s="3353"/>
      <c r="V2093" s="3353"/>
      <c r="W2093" s="3353"/>
      <c r="X2093" s="3353"/>
      <c r="Y2093" s="3353"/>
      <c r="Z2093" s="3353"/>
      <c r="AA2093" s="3353"/>
      <c r="AB2093" s="3353"/>
      <c r="AC2093" s="3353"/>
      <c r="AD2093" s="3353"/>
      <c r="AE2093" s="3353"/>
      <c r="AF2093" s="3353"/>
      <c r="AG2093" s="3353"/>
      <c r="AH2093" s="3353"/>
      <c r="AI2093" s="3353"/>
      <c r="AJ2093" s="3353"/>
      <c r="AK2093" s="3353"/>
      <c r="AL2093" s="3353"/>
    </row>
    <row r="2094" spans="1:38" s="3309" customFormat="1" x14ac:dyDescent="0.2">
      <c r="A2094" s="3327"/>
      <c r="B2094" s="3339"/>
      <c r="H2094" s="3353"/>
      <c r="I2094" s="3353"/>
      <c r="J2094" s="3353"/>
      <c r="K2094" s="3353"/>
      <c r="L2094" s="3353"/>
      <c r="M2094" s="3353"/>
      <c r="N2094" s="3353"/>
      <c r="O2094" s="3353"/>
      <c r="P2094" s="3353"/>
      <c r="Q2094" s="3353"/>
      <c r="R2094" s="3353"/>
      <c r="S2094" s="3353"/>
      <c r="T2094" s="3353"/>
      <c r="U2094" s="3353"/>
      <c r="V2094" s="3353"/>
      <c r="W2094" s="3353"/>
      <c r="X2094" s="3353"/>
      <c r="Y2094" s="3353"/>
      <c r="Z2094" s="3353"/>
      <c r="AA2094" s="3353"/>
      <c r="AB2094" s="3353"/>
      <c r="AC2094" s="3353"/>
      <c r="AD2094" s="3353"/>
      <c r="AE2094" s="3353"/>
      <c r="AF2094" s="3353"/>
      <c r="AG2094" s="3353"/>
      <c r="AH2094" s="3353"/>
      <c r="AI2094" s="3353"/>
      <c r="AJ2094" s="3353"/>
      <c r="AK2094" s="3353"/>
      <c r="AL2094" s="3353"/>
    </row>
    <row r="2095" spans="1:38" s="3309" customFormat="1" x14ac:dyDescent="0.2">
      <c r="A2095" s="3354" t="s">
        <v>1851</v>
      </c>
      <c r="H2095" s="3353"/>
      <c r="I2095" s="3353"/>
      <c r="J2095" s="3353"/>
      <c r="K2095" s="3353"/>
      <c r="L2095" s="3353"/>
      <c r="M2095" s="3353"/>
      <c r="N2095" s="3353"/>
      <c r="O2095" s="3353"/>
      <c r="P2095" s="3353"/>
      <c r="Q2095" s="3353"/>
      <c r="R2095" s="3353"/>
      <c r="S2095" s="3353"/>
      <c r="T2095" s="3353"/>
      <c r="U2095" s="3353"/>
      <c r="V2095" s="3353"/>
      <c r="W2095" s="3353"/>
      <c r="X2095" s="3353"/>
      <c r="Y2095" s="3353"/>
      <c r="Z2095" s="3353"/>
      <c r="AA2095" s="3353"/>
      <c r="AB2095" s="3353"/>
      <c r="AC2095" s="3353"/>
      <c r="AD2095" s="3353"/>
      <c r="AE2095" s="3353"/>
      <c r="AF2095" s="3353"/>
      <c r="AG2095" s="3353"/>
      <c r="AH2095" s="3353"/>
      <c r="AI2095" s="3353"/>
      <c r="AJ2095" s="3353"/>
      <c r="AK2095" s="3353"/>
      <c r="AL2095" s="3353"/>
    </row>
    <row r="2096" spans="1:38" s="3309" customFormat="1" x14ac:dyDescent="0.2">
      <c r="A2096" s="3309" t="s">
        <v>1852</v>
      </c>
      <c r="B2096" s="3352" t="e">
        <f t="shared" ref="B2096:G2096" si="1183">B2083</f>
        <v>#DIV/0!</v>
      </c>
      <c r="C2096" s="3352" t="str">
        <f t="shared" si="1183"/>
        <v>Ошибка</v>
      </c>
      <c r="D2096" s="3352" t="str">
        <f t="shared" si="1183"/>
        <v>Ошибка</v>
      </c>
      <c r="E2096" s="3352" t="str">
        <f t="shared" si="1183"/>
        <v>Ошибка</v>
      </c>
      <c r="F2096" s="3352" t="str">
        <f t="shared" si="1183"/>
        <v>Ошибка</v>
      </c>
      <c r="G2096" s="3352" t="str">
        <f t="shared" si="1183"/>
        <v>Ошибка</v>
      </c>
      <c r="H2096" s="3353"/>
      <c r="I2096" s="3353"/>
      <c r="J2096" s="3353"/>
      <c r="K2096" s="3353"/>
      <c r="L2096" s="3353"/>
      <c r="M2096" s="3353"/>
      <c r="N2096" s="3353"/>
      <c r="O2096" s="3353"/>
      <c r="P2096" s="3353"/>
      <c r="Q2096" s="3353"/>
      <c r="R2096" s="3353"/>
      <c r="S2096" s="3353"/>
      <c r="T2096" s="3353"/>
      <c r="U2096" s="3353"/>
      <c r="V2096" s="3353"/>
      <c r="W2096" s="3353"/>
      <c r="X2096" s="3353"/>
      <c r="Y2096" s="3353"/>
      <c r="Z2096" s="3353"/>
      <c r="AA2096" s="3353"/>
      <c r="AB2096" s="3353"/>
      <c r="AC2096" s="3353"/>
      <c r="AD2096" s="3353"/>
      <c r="AE2096" s="3353"/>
      <c r="AF2096" s="3353"/>
      <c r="AG2096" s="3353"/>
      <c r="AH2096" s="3353"/>
      <c r="AI2096" s="3353"/>
      <c r="AJ2096" s="3353"/>
      <c r="AK2096" s="3353"/>
      <c r="AL2096" s="3353"/>
    </row>
    <row r="2097" spans="1:38" s="3309" customFormat="1" x14ac:dyDescent="0.2">
      <c r="A2097" s="3309" t="s">
        <v>1853</v>
      </c>
      <c r="B2097" s="3329">
        <v>1.1000000000000001</v>
      </c>
      <c r="C2097" s="3329">
        <v>1.1000000000000001</v>
      </c>
      <c r="D2097" s="3329">
        <v>1.1000000000000001</v>
      </c>
      <c r="E2097" s="3329">
        <v>1.1000000000000001</v>
      </c>
      <c r="F2097" s="3329">
        <v>1.1000000000000001</v>
      </c>
      <c r="G2097" s="3329">
        <v>1.1000000000000001</v>
      </c>
      <c r="M2097" s="3353"/>
      <c r="N2097" s="3353"/>
      <c r="O2097" s="3353"/>
      <c r="P2097" s="3353"/>
      <c r="Q2097" s="3353"/>
      <c r="R2097" s="3353"/>
      <c r="S2097" s="3353"/>
      <c r="T2097" s="3353"/>
      <c r="U2097" s="3353"/>
      <c r="V2097" s="3353"/>
      <c r="W2097" s="3353"/>
      <c r="X2097" s="3353"/>
      <c r="Y2097" s="3353"/>
      <c r="Z2097" s="3353"/>
      <c r="AA2097" s="3353"/>
      <c r="AB2097" s="3353"/>
      <c r="AC2097" s="3353"/>
      <c r="AD2097" s="3353"/>
      <c r="AE2097" s="3353"/>
      <c r="AF2097" s="3353"/>
      <c r="AG2097" s="3353"/>
      <c r="AH2097" s="3353"/>
      <c r="AI2097" s="3353"/>
      <c r="AJ2097" s="3353"/>
      <c r="AK2097" s="3353"/>
      <c r="AL2097" s="3353"/>
    </row>
    <row r="2098" spans="1:38" s="3309" customFormat="1" x14ac:dyDescent="0.2">
      <c r="A2098" s="3323" t="s">
        <v>1854</v>
      </c>
      <c r="B2098" s="3323">
        <f t="shared" ref="B2098:G2098" si="1184">IF(B2097&lt;2.21,12.9*B2097+1.7,28.4)</f>
        <v>15.89</v>
      </c>
      <c r="C2098" s="3323">
        <f t="shared" si="1184"/>
        <v>15.89</v>
      </c>
      <c r="D2098" s="3323">
        <f t="shared" si="1184"/>
        <v>15.89</v>
      </c>
      <c r="E2098" s="3323">
        <f t="shared" si="1184"/>
        <v>15.89</v>
      </c>
      <c r="F2098" s="3323">
        <f t="shared" si="1184"/>
        <v>15.89</v>
      </c>
      <c r="G2098" s="3323">
        <f t="shared" si="1184"/>
        <v>15.89</v>
      </c>
      <c r="M2098" s="3353"/>
      <c r="N2098" s="3353"/>
      <c r="O2098" s="3353"/>
      <c r="P2098" s="3353"/>
      <c r="Q2098" s="3353"/>
      <c r="R2098" s="3353"/>
      <c r="S2098" s="3353"/>
      <c r="T2098" s="3353"/>
      <c r="U2098" s="3353"/>
      <c r="V2098" s="3353"/>
      <c r="W2098" s="3353"/>
      <c r="X2098" s="3353"/>
      <c r="Y2098" s="3353"/>
      <c r="Z2098" s="3353"/>
      <c r="AA2098" s="3353"/>
      <c r="AB2098" s="3353"/>
      <c r="AC2098" s="3353"/>
      <c r="AD2098" s="3353"/>
      <c r="AE2098" s="3353"/>
      <c r="AF2098" s="3353"/>
      <c r="AG2098" s="3353"/>
      <c r="AH2098" s="3353"/>
      <c r="AI2098" s="3353"/>
      <c r="AJ2098" s="3353"/>
      <c r="AK2098" s="3353"/>
      <c r="AL2098" s="3353"/>
    </row>
    <row r="2099" spans="1:38" s="3309" customFormat="1" x14ac:dyDescent="0.2">
      <c r="A2099" s="3323" t="s">
        <v>1855</v>
      </c>
      <c r="B2099" s="3323" t="e">
        <f t="shared" ref="B2099:G2099" si="1185">B2096/B2098</f>
        <v>#DIV/0!</v>
      </c>
      <c r="C2099" s="3323" t="e">
        <f t="shared" si="1185"/>
        <v>#VALUE!</v>
      </c>
      <c r="D2099" s="3323" t="e">
        <f t="shared" si="1185"/>
        <v>#VALUE!</v>
      </c>
      <c r="E2099" s="3323" t="e">
        <f t="shared" si="1185"/>
        <v>#VALUE!</v>
      </c>
      <c r="F2099" s="3323" t="e">
        <f t="shared" si="1185"/>
        <v>#VALUE!</v>
      </c>
      <c r="G2099" s="3323" t="e">
        <f t="shared" si="1185"/>
        <v>#VALUE!</v>
      </c>
      <c r="M2099" s="3353"/>
      <c r="N2099" s="3353"/>
      <c r="O2099" s="3353"/>
      <c r="P2099" s="3353"/>
      <c r="Q2099" s="3353"/>
      <c r="R2099" s="3353"/>
      <c r="S2099" s="3353"/>
      <c r="T2099" s="3353"/>
      <c r="U2099" s="3353"/>
      <c r="V2099" s="3353"/>
      <c r="W2099" s="3353"/>
      <c r="X2099" s="3353"/>
      <c r="Y2099" s="3353"/>
      <c r="Z2099" s="3353"/>
      <c r="AA2099" s="3353"/>
      <c r="AB2099" s="3353"/>
      <c r="AC2099" s="3353"/>
      <c r="AD2099" s="3353"/>
      <c r="AE2099" s="3353"/>
      <c r="AF2099" s="3353"/>
      <c r="AG2099" s="3353"/>
      <c r="AH2099" s="3353"/>
      <c r="AI2099" s="3353"/>
      <c r="AJ2099" s="3353"/>
      <c r="AK2099" s="3353"/>
      <c r="AL2099" s="3353"/>
    </row>
    <row r="2100" spans="1:38" s="3309" customFormat="1" x14ac:dyDescent="0.2">
      <c r="A2100" s="3309" t="s">
        <v>1856</v>
      </c>
      <c r="B2100" s="3352">
        <f t="shared" ref="B2100:G2100" si="1186">B2084</f>
        <v>0</v>
      </c>
      <c r="C2100" s="3352" t="str">
        <f t="shared" si="1186"/>
        <v>Ошибка</v>
      </c>
      <c r="D2100" s="3352" t="str">
        <f t="shared" si="1186"/>
        <v>Ошибка</v>
      </c>
      <c r="E2100" s="3352" t="str">
        <f t="shared" si="1186"/>
        <v>Ошибка</v>
      </c>
      <c r="F2100" s="3352" t="str">
        <f t="shared" si="1186"/>
        <v>Ошибка</v>
      </c>
      <c r="G2100" s="3352" t="str">
        <f t="shared" si="1186"/>
        <v>Ошибка</v>
      </c>
    </row>
    <row r="2101" spans="1:38" s="3309" customFormat="1" ht="13.5" thickBot="1" x14ac:dyDescent="0.25">
      <c r="A2101" s="3309" t="s">
        <v>1857</v>
      </c>
      <c r="B2101" s="3340">
        <v>0</v>
      </c>
      <c r="C2101" s="3340">
        <v>0</v>
      </c>
      <c r="D2101" s="3340">
        <v>0</v>
      </c>
      <c r="E2101" s="3340">
        <v>0</v>
      </c>
      <c r="F2101" s="3340">
        <v>0</v>
      </c>
      <c r="G2101" s="3340">
        <v>0</v>
      </c>
    </row>
    <row r="2102" spans="1:38" s="3309" customFormat="1" x14ac:dyDescent="0.2">
      <c r="A2102" s="3309" t="s">
        <v>1858</v>
      </c>
      <c r="B2102" s="3340">
        <v>0</v>
      </c>
      <c r="C2102" s="3340">
        <v>0</v>
      </c>
      <c r="D2102" s="3340">
        <v>0</v>
      </c>
      <c r="E2102" s="3340">
        <v>0</v>
      </c>
      <c r="F2102" s="3340">
        <v>0</v>
      </c>
      <c r="G2102" s="3340">
        <v>0</v>
      </c>
      <c r="K2102" s="3351"/>
    </row>
    <row r="2103" spans="1:38" s="3309" customFormat="1" x14ac:dyDescent="0.2">
      <c r="A2103" s="3323" t="s">
        <v>4591</v>
      </c>
      <c r="B2103" s="3323">
        <f t="shared" ref="B2103:G2103" si="1187">SUM(B2100:B2102)</f>
        <v>0</v>
      </c>
      <c r="C2103" s="3323">
        <f t="shared" si="1187"/>
        <v>0</v>
      </c>
      <c r="D2103" s="3323">
        <f t="shared" si="1187"/>
        <v>0</v>
      </c>
      <c r="E2103" s="3323">
        <f t="shared" si="1187"/>
        <v>0</v>
      </c>
      <c r="F2103" s="3323">
        <f t="shared" si="1187"/>
        <v>0</v>
      </c>
      <c r="G2103" s="3323">
        <f t="shared" si="1187"/>
        <v>0</v>
      </c>
    </row>
    <row r="2104" spans="1:38" s="3309" customFormat="1" x14ac:dyDescent="0.2">
      <c r="A2104" s="3323" t="s">
        <v>1854</v>
      </c>
      <c r="B2104" s="3323">
        <v>24.2</v>
      </c>
      <c r="C2104" s="3323">
        <v>24.2</v>
      </c>
      <c r="D2104" s="3323">
        <v>24.2</v>
      </c>
      <c r="E2104" s="3323">
        <v>24.2</v>
      </c>
      <c r="F2104" s="3323">
        <v>24.2</v>
      </c>
      <c r="G2104" s="3323">
        <v>24.2</v>
      </c>
    </row>
    <row r="2105" spans="1:38" s="3309" customFormat="1" x14ac:dyDescent="0.2">
      <c r="A2105" s="3323" t="s">
        <v>1855</v>
      </c>
      <c r="B2105" s="3323">
        <f t="shared" ref="B2105:G2105" si="1188">B2103/B2104</f>
        <v>0</v>
      </c>
      <c r="C2105" s="3323">
        <f t="shared" si="1188"/>
        <v>0</v>
      </c>
      <c r="D2105" s="3323">
        <f t="shared" si="1188"/>
        <v>0</v>
      </c>
      <c r="E2105" s="3323">
        <f t="shared" si="1188"/>
        <v>0</v>
      </c>
      <c r="F2105" s="3323">
        <f t="shared" si="1188"/>
        <v>0</v>
      </c>
      <c r="G2105" s="3323">
        <f t="shared" si="1188"/>
        <v>0</v>
      </c>
    </row>
    <row r="2106" spans="1:38" s="3309" customFormat="1" x14ac:dyDescent="0.2">
      <c r="A2106" s="3334" t="s">
        <v>4592</v>
      </c>
    </row>
    <row r="2107" spans="1:38" s="3309" customFormat="1" x14ac:dyDescent="0.2">
      <c r="A2107" s="3309" t="s">
        <v>4593</v>
      </c>
      <c r="B2107" s="3340">
        <v>0</v>
      </c>
      <c r="C2107" s="3340">
        <v>0</v>
      </c>
      <c r="D2107" s="3340">
        <v>0</v>
      </c>
      <c r="E2107" s="3340">
        <v>0</v>
      </c>
      <c r="F2107" s="3340">
        <v>0</v>
      </c>
      <c r="G2107" s="3340">
        <v>0</v>
      </c>
    </row>
    <row r="2108" spans="1:38" s="3309" customFormat="1" x14ac:dyDescent="0.2">
      <c r="A2108" s="3323" t="s">
        <v>1854</v>
      </c>
      <c r="B2108" s="3323">
        <f t="shared" ref="B2108:G2108" si="1189">17*1.15</f>
        <v>19.549999999999997</v>
      </c>
      <c r="C2108" s="3323">
        <f t="shared" si="1189"/>
        <v>19.549999999999997</v>
      </c>
      <c r="D2108" s="3323">
        <f t="shared" si="1189"/>
        <v>19.549999999999997</v>
      </c>
      <c r="E2108" s="3323">
        <f t="shared" si="1189"/>
        <v>19.549999999999997</v>
      </c>
      <c r="F2108" s="3323">
        <f t="shared" si="1189"/>
        <v>19.549999999999997</v>
      </c>
      <c r="G2108" s="3323">
        <f t="shared" si="1189"/>
        <v>19.549999999999997</v>
      </c>
    </row>
    <row r="2109" spans="1:38" s="3309" customFormat="1" x14ac:dyDescent="0.2">
      <c r="A2109" s="3331" t="s">
        <v>1855</v>
      </c>
      <c r="B2109" s="3323">
        <f t="shared" ref="B2109:G2109" si="1190">B2107/B2108</f>
        <v>0</v>
      </c>
      <c r="C2109" s="3323">
        <f t="shared" si="1190"/>
        <v>0</v>
      </c>
      <c r="D2109" s="3323">
        <f t="shared" si="1190"/>
        <v>0</v>
      </c>
      <c r="E2109" s="3323">
        <f t="shared" si="1190"/>
        <v>0</v>
      </c>
      <c r="F2109" s="3323">
        <f t="shared" si="1190"/>
        <v>0</v>
      </c>
      <c r="G2109" s="3323">
        <f t="shared" si="1190"/>
        <v>0</v>
      </c>
    </row>
    <row r="2110" spans="1:38" s="3309" customFormat="1" x14ac:dyDescent="0.2">
      <c r="A2110" s="3350" t="s">
        <v>3724</v>
      </c>
    </row>
    <row r="2111" spans="1:38" s="3309" customFormat="1" x14ac:dyDescent="0.2">
      <c r="A2111" s="3333" t="s">
        <v>3725</v>
      </c>
      <c r="B2111" s="3340">
        <v>0</v>
      </c>
      <c r="C2111" s="3340">
        <v>0</v>
      </c>
      <c r="D2111" s="3340">
        <v>0</v>
      </c>
      <c r="E2111" s="3340">
        <v>0</v>
      </c>
      <c r="F2111" s="3340">
        <v>0</v>
      </c>
      <c r="G2111" s="3340">
        <v>0</v>
      </c>
    </row>
    <row r="2112" spans="1:38" s="3309" customFormat="1" x14ac:dyDescent="0.2">
      <c r="A2112" s="3323" t="s">
        <v>1852</v>
      </c>
      <c r="B2112" s="3323" t="e">
        <f t="shared" ref="B2112:G2112" si="1191">B2096</f>
        <v>#DIV/0!</v>
      </c>
      <c r="C2112" s="3323" t="str">
        <f t="shared" si="1191"/>
        <v>Ошибка</v>
      </c>
      <c r="D2112" s="3323" t="str">
        <f t="shared" si="1191"/>
        <v>Ошибка</v>
      </c>
      <c r="E2112" s="3323" t="str">
        <f t="shared" si="1191"/>
        <v>Ошибка</v>
      </c>
      <c r="F2112" s="3323" t="str">
        <f t="shared" si="1191"/>
        <v>Ошибка</v>
      </c>
      <c r="G2112" s="3323" t="str">
        <f t="shared" si="1191"/>
        <v>Ошибка</v>
      </c>
    </row>
    <row r="2113" spans="1:15" s="3309" customFormat="1" x14ac:dyDescent="0.2">
      <c r="A2113" s="3323" t="s">
        <v>3726</v>
      </c>
      <c r="B2113" s="3323">
        <f t="shared" ref="B2113:G2113" si="1192">79.5*B2097^-1.5</f>
        <v>68.909341677295075</v>
      </c>
      <c r="C2113" s="3323">
        <f t="shared" si="1192"/>
        <v>68.909341677295075</v>
      </c>
      <c r="D2113" s="3323">
        <f t="shared" si="1192"/>
        <v>68.909341677295075</v>
      </c>
      <c r="E2113" s="3323">
        <f t="shared" si="1192"/>
        <v>68.909341677295075</v>
      </c>
      <c r="F2113" s="3323">
        <f t="shared" si="1192"/>
        <v>68.909341677295075</v>
      </c>
      <c r="G2113" s="3323">
        <f t="shared" si="1192"/>
        <v>68.909341677295075</v>
      </c>
    </row>
    <row r="2114" spans="1:15" s="3309" customFormat="1" x14ac:dyDescent="0.2">
      <c r="A2114" s="3323" t="s">
        <v>3727</v>
      </c>
      <c r="B2114" s="3323">
        <f t="shared" ref="B2114:G2114" si="1193">((3.14*((1.2*(B2097*100)^0.5)/100)^2)/4)*B2097</f>
        <v>1.3677839999999998E-2</v>
      </c>
      <c r="C2114" s="3323">
        <f t="shared" si="1193"/>
        <v>1.3677839999999998E-2</v>
      </c>
      <c r="D2114" s="3323">
        <f t="shared" si="1193"/>
        <v>1.3677839999999998E-2</v>
      </c>
      <c r="E2114" s="3323">
        <f t="shared" si="1193"/>
        <v>1.3677839999999998E-2</v>
      </c>
      <c r="F2114" s="3323">
        <f t="shared" si="1193"/>
        <v>1.3677839999999998E-2</v>
      </c>
      <c r="G2114" s="3323">
        <f t="shared" si="1193"/>
        <v>1.3677839999999998E-2</v>
      </c>
    </row>
    <row r="2115" spans="1:15" s="3309" customFormat="1" x14ac:dyDescent="0.2">
      <c r="A2115" s="3323" t="s">
        <v>700</v>
      </c>
      <c r="B2115" s="3323" t="e">
        <f t="shared" ref="B2115:G2115" si="1194">B2096/B2114</f>
        <v>#DIV/0!</v>
      </c>
      <c r="C2115" s="3323" t="e">
        <f t="shared" si="1194"/>
        <v>#VALUE!</v>
      </c>
      <c r="D2115" s="3323" t="e">
        <f t="shared" si="1194"/>
        <v>#VALUE!</v>
      </c>
      <c r="E2115" s="3323" t="e">
        <f t="shared" si="1194"/>
        <v>#VALUE!</v>
      </c>
      <c r="F2115" s="3323" t="e">
        <f t="shared" si="1194"/>
        <v>#VALUE!</v>
      </c>
      <c r="G2115" s="3323" t="e">
        <f t="shared" si="1194"/>
        <v>#VALUE!</v>
      </c>
    </row>
    <row r="2116" spans="1:15" s="3309" customFormat="1" x14ac:dyDescent="0.2">
      <c r="A2116" s="3323" t="s">
        <v>701</v>
      </c>
      <c r="B2116" s="3323" t="e">
        <f t="shared" ref="B2116:G2116" si="1195">B2115/B2113</f>
        <v>#DIV/0!</v>
      </c>
      <c r="C2116" s="3323" t="e">
        <f t="shared" si="1195"/>
        <v>#VALUE!</v>
      </c>
      <c r="D2116" s="3323" t="e">
        <f t="shared" si="1195"/>
        <v>#VALUE!</v>
      </c>
      <c r="E2116" s="3323" t="e">
        <f t="shared" si="1195"/>
        <v>#VALUE!</v>
      </c>
      <c r="F2116" s="3323" t="e">
        <f t="shared" si="1195"/>
        <v>#VALUE!</v>
      </c>
      <c r="G2116" s="3323" t="e">
        <f t="shared" si="1195"/>
        <v>#VALUE!</v>
      </c>
    </row>
    <row r="2117" spans="1:15" s="3309" customFormat="1" x14ac:dyDescent="0.2">
      <c r="A2117" s="3323" t="s">
        <v>4429</v>
      </c>
      <c r="B2117" s="3323">
        <f t="shared" ref="B2117:G2117" si="1196">2.2*(IF(B2111&lt;51,32,IF(B2111&lt;71,25,21)))</f>
        <v>70.400000000000006</v>
      </c>
      <c r="C2117" s="3323">
        <f t="shared" si="1196"/>
        <v>70.400000000000006</v>
      </c>
      <c r="D2117" s="3323">
        <f t="shared" si="1196"/>
        <v>70.400000000000006</v>
      </c>
      <c r="E2117" s="3323">
        <f t="shared" si="1196"/>
        <v>70.400000000000006</v>
      </c>
      <c r="F2117" s="3323">
        <f t="shared" si="1196"/>
        <v>70.400000000000006</v>
      </c>
      <c r="G2117" s="3323">
        <f t="shared" si="1196"/>
        <v>70.400000000000006</v>
      </c>
    </row>
    <row r="2118" spans="1:15" s="3309" customFormat="1" x14ac:dyDescent="0.2">
      <c r="A2118" s="3323" t="s">
        <v>1855</v>
      </c>
      <c r="B2118" s="3323" t="e">
        <f t="shared" ref="B2118:G2118" si="1197">B2112/B2117</f>
        <v>#DIV/0!</v>
      </c>
      <c r="C2118" s="3323" t="e">
        <f t="shared" si="1197"/>
        <v>#VALUE!</v>
      </c>
      <c r="D2118" s="3323" t="e">
        <f t="shared" si="1197"/>
        <v>#VALUE!</v>
      </c>
      <c r="E2118" s="3323" t="e">
        <f t="shared" si="1197"/>
        <v>#VALUE!</v>
      </c>
      <c r="F2118" s="3323" t="e">
        <f t="shared" si="1197"/>
        <v>#VALUE!</v>
      </c>
      <c r="G2118" s="3323" t="e">
        <f t="shared" si="1197"/>
        <v>#VALUE!</v>
      </c>
    </row>
    <row r="2119" spans="1:15" s="3309" customFormat="1" x14ac:dyDescent="0.2"/>
    <row r="2120" spans="1:15" s="3309" customFormat="1" x14ac:dyDescent="0.2">
      <c r="A2120" s="3333" t="s">
        <v>4430</v>
      </c>
      <c r="B2120" s="3323">
        <f t="shared" ref="B2120:G2120" si="1198">B2103</f>
        <v>0</v>
      </c>
      <c r="C2120" s="3323">
        <f t="shared" si="1198"/>
        <v>0</v>
      </c>
      <c r="D2120" s="3323">
        <f t="shared" si="1198"/>
        <v>0</v>
      </c>
      <c r="E2120" s="3323">
        <f t="shared" si="1198"/>
        <v>0</v>
      </c>
      <c r="F2120" s="3323">
        <f t="shared" si="1198"/>
        <v>0</v>
      </c>
      <c r="G2120" s="3323">
        <f t="shared" si="1198"/>
        <v>0</v>
      </c>
    </row>
    <row r="2121" spans="1:15" s="3309" customFormat="1" x14ac:dyDescent="0.2">
      <c r="A2121" s="3323" t="s">
        <v>4431</v>
      </c>
      <c r="B2121" s="3335">
        <v>0.8</v>
      </c>
      <c r="C2121" s="3335">
        <v>0.8</v>
      </c>
      <c r="D2121" s="3335">
        <v>0.8</v>
      </c>
      <c r="E2121" s="3335">
        <v>0.8</v>
      </c>
      <c r="F2121" s="3335">
        <v>0.8</v>
      </c>
      <c r="G2121" s="3335">
        <v>0.8</v>
      </c>
    </row>
    <row r="2122" spans="1:15" s="3309" customFormat="1" x14ac:dyDescent="0.2">
      <c r="A2122" s="3323" t="s">
        <v>4432</v>
      </c>
      <c r="B2122" s="3323">
        <f t="shared" ref="B2122:G2122" si="1199">B2120/(3*B2121)</f>
        <v>0</v>
      </c>
      <c r="C2122" s="3323">
        <f t="shared" si="1199"/>
        <v>0</v>
      </c>
      <c r="D2122" s="3323">
        <f t="shared" si="1199"/>
        <v>0</v>
      </c>
      <c r="E2122" s="3323">
        <f t="shared" si="1199"/>
        <v>0</v>
      </c>
      <c r="F2122" s="3323">
        <f t="shared" si="1199"/>
        <v>0</v>
      </c>
      <c r="G2122" s="3323">
        <f t="shared" si="1199"/>
        <v>0</v>
      </c>
    </row>
    <row r="2123" spans="1:15" s="3309" customFormat="1" x14ac:dyDescent="0.2">
      <c r="A2123" s="3323" t="s">
        <v>4433</v>
      </c>
      <c r="B2123" s="3323">
        <f t="shared" ref="B2123:G2123" si="1200">2.2*(IF(B2111&lt;51,32,IF(B2111&lt;71,25,21)))</f>
        <v>70.400000000000006</v>
      </c>
      <c r="C2123" s="3323">
        <f t="shared" si="1200"/>
        <v>70.400000000000006</v>
      </c>
      <c r="D2123" s="3323">
        <f t="shared" si="1200"/>
        <v>70.400000000000006</v>
      </c>
      <c r="E2123" s="3323">
        <f t="shared" si="1200"/>
        <v>70.400000000000006</v>
      </c>
      <c r="F2123" s="3323">
        <f t="shared" si="1200"/>
        <v>70.400000000000006</v>
      </c>
      <c r="G2123" s="3323">
        <f t="shared" si="1200"/>
        <v>70.400000000000006</v>
      </c>
      <c r="I2123" s="3338"/>
      <c r="J2123" s="3338"/>
      <c r="K2123" s="3338"/>
      <c r="L2123" s="3338"/>
      <c r="M2123" s="3338"/>
      <c r="N2123" s="3338"/>
      <c r="O2123" s="3338"/>
    </row>
    <row r="2124" spans="1:15" s="3309" customFormat="1" x14ac:dyDescent="0.2">
      <c r="A2124" s="3323" t="s">
        <v>1855</v>
      </c>
      <c r="B2124" s="3323">
        <f t="shared" ref="B2124:G2124" si="1201">B2122/B2123</f>
        <v>0</v>
      </c>
      <c r="C2124" s="3323">
        <f t="shared" si="1201"/>
        <v>0</v>
      </c>
      <c r="D2124" s="3323">
        <f t="shared" si="1201"/>
        <v>0</v>
      </c>
      <c r="E2124" s="3323">
        <f t="shared" si="1201"/>
        <v>0</v>
      </c>
      <c r="F2124" s="3323">
        <f t="shared" si="1201"/>
        <v>0</v>
      </c>
      <c r="G2124" s="3323">
        <f t="shared" si="1201"/>
        <v>0</v>
      </c>
      <c r="I2124" s="3338"/>
      <c r="J2124" s="3338"/>
      <c r="K2124" s="3338"/>
      <c r="L2124" s="3338"/>
      <c r="M2124" s="3338"/>
      <c r="N2124" s="3338"/>
      <c r="O2124" s="3338"/>
    </row>
    <row r="2125" spans="1:15" s="3309" customFormat="1" x14ac:dyDescent="0.2">
      <c r="A2125" s="3349" t="s">
        <v>3728</v>
      </c>
      <c r="B2125" s="3323"/>
      <c r="C2125" s="3323"/>
      <c r="D2125" s="3323"/>
      <c r="E2125" s="3323"/>
      <c r="F2125" s="3323"/>
      <c r="G2125" s="3323"/>
      <c r="I2125" s="3338"/>
      <c r="J2125" s="3338"/>
      <c r="K2125" s="3338"/>
      <c r="L2125" s="3338"/>
      <c r="M2125" s="3338"/>
      <c r="N2125" s="3338"/>
      <c r="O2125" s="3338"/>
    </row>
    <row r="2126" spans="1:15" s="3309" customFormat="1" x14ac:dyDescent="0.2">
      <c r="A2126" s="3323" t="s">
        <v>4432</v>
      </c>
      <c r="B2126" s="3323">
        <f t="shared" ref="B2126:G2126" si="1202">B2107*2.2/3</f>
        <v>0</v>
      </c>
      <c r="C2126" s="3323">
        <f t="shared" si="1202"/>
        <v>0</v>
      </c>
      <c r="D2126" s="3323">
        <f t="shared" si="1202"/>
        <v>0</v>
      </c>
      <c r="E2126" s="3323">
        <f t="shared" si="1202"/>
        <v>0</v>
      </c>
      <c r="F2126" s="3323">
        <f t="shared" si="1202"/>
        <v>0</v>
      </c>
      <c r="G2126" s="3323">
        <f t="shared" si="1202"/>
        <v>0</v>
      </c>
      <c r="I2126" s="3338"/>
      <c r="J2126" s="3338"/>
      <c r="K2126" s="3338"/>
      <c r="L2126" s="3338"/>
      <c r="M2126" s="3338"/>
      <c r="N2126" s="3338"/>
      <c r="O2126" s="3338"/>
    </row>
    <row r="2127" spans="1:15" s="3309" customFormat="1" x14ac:dyDescent="0.2">
      <c r="A2127" s="3323" t="s">
        <v>4433</v>
      </c>
      <c r="B2127" s="3323">
        <f t="shared" ref="B2127:G2127" si="1203">2.2*(IF(B2111&lt;51,32,IF(B2111&lt;71,25,21)))</f>
        <v>70.400000000000006</v>
      </c>
      <c r="C2127" s="3323">
        <f t="shared" si="1203"/>
        <v>70.400000000000006</v>
      </c>
      <c r="D2127" s="3323">
        <f t="shared" si="1203"/>
        <v>70.400000000000006</v>
      </c>
      <c r="E2127" s="3323">
        <f t="shared" si="1203"/>
        <v>70.400000000000006</v>
      </c>
      <c r="F2127" s="3323">
        <f t="shared" si="1203"/>
        <v>70.400000000000006</v>
      </c>
      <c r="G2127" s="3323">
        <f t="shared" si="1203"/>
        <v>70.400000000000006</v>
      </c>
      <c r="I2127" s="3339"/>
      <c r="J2127" s="3339"/>
      <c r="K2127" s="3338"/>
      <c r="L2127" s="3338"/>
      <c r="M2127" s="3338"/>
      <c r="N2127" s="3338"/>
      <c r="O2127" s="3338"/>
    </row>
    <row r="2128" spans="1:15" s="3309" customFormat="1" x14ac:dyDescent="0.2">
      <c r="A2128" s="3323" t="s">
        <v>1855</v>
      </c>
      <c r="B2128" s="3323">
        <f t="shared" ref="B2128:G2128" si="1204">B2126/B2127</f>
        <v>0</v>
      </c>
      <c r="C2128" s="3323">
        <f t="shared" si="1204"/>
        <v>0</v>
      </c>
      <c r="D2128" s="3323">
        <f t="shared" si="1204"/>
        <v>0</v>
      </c>
      <c r="E2128" s="3323">
        <f t="shared" si="1204"/>
        <v>0</v>
      </c>
      <c r="F2128" s="3323">
        <f t="shared" si="1204"/>
        <v>0</v>
      </c>
      <c r="G2128" s="3323">
        <f t="shared" si="1204"/>
        <v>0</v>
      </c>
      <c r="I2128" s="3339"/>
      <c r="J2128" s="3339"/>
      <c r="K2128" s="3338"/>
      <c r="L2128" s="3338"/>
      <c r="M2128" s="3338"/>
      <c r="N2128" s="3338"/>
      <c r="O2128" s="3338"/>
    </row>
    <row r="2129" spans="1:15" s="3309" customFormat="1" x14ac:dyDescent="0.2">
      <c r="A2129" s="3334" t="s">
        <v>3729</v>
      </c>
      <c r="I2129" s="3339"/>
      <c r="J2129" s="3339"/>
      <c r="K2129" s="3338"/>
      <c r="L2129" s="3338"/>
      <c r="M2129" s="3338"/>
      <c r="N2129" s="3338"/>
      <c r="O2129" s="3338"/>
    </row>
    <row r="2130" spans="1:15" s="3309" customFormat="1" x14ac:dyDescent="0.2">
      <c r="A2130" s="3309" t="s">
        <v>3730</v>
      </c>
      <c r="B2130" s="3340">
        <v>0</v>
      </c>
      <c r="C2130" s="3340">
        <v>0</v>
      </c>
      <c r="D2130" s="3340">
        <v>0</v>
      </c>
      <c r="E2130" s="3340">
        <v>0</v>
      </c>
      <c r="F2130" s="3340">
        <v>0</v>
      </c>
      <c r="G2130" s="3340">
        <v>0</v>
      </c>
      <c r="I2130" s="3339"/>
      <c r="J2130" s="3339"/>
      <c r="K2130" s="3338"/>
      <c r="L2130" s="3338"/>
      <c r="M2130" s="3338"/>
      <c r="N2130" s="3338"/>
      <c r="O2130" s="3338"/>
    </row>
    <row r="2131" spans="1:15" s="3309" customFormat="1" x14ac:dyDescent="0.2">
      <c r="A2131" s="3309" t="s">
        <v>3731</v>
      </c>
      <c r="B2131" s="3340">
        <v>0</v>
      </c>
      <c r="C2131" s="3340">
        <v>0</v>
      </c>
      <c r="D2131" s="3340">
        <v>0</v>
      </c>
      <c r="E2131" s="3340">
        <v>0</v>
      </c>
      <c r="F2131" s="3340">
        <v>0</v>
      </c>
      <c r="G2131" s="3340">
        <v>0</v>
      </c>
      <c r="I2131" s="3339"/>
      <c r="J2131" s="3339"/>
      <c r="K2131" s="3338"/>
      <c r="L2131" s="3338"/>
      <c r="M2131" s="3338"/>
      <c r="N2131" s="3338"/>
      <c r="O2131" s="3338"/>
    </row>
    <row r="2132" spans="1:15" s="3309" customFormat="1" x14ac:dyDescent="0.2">
      <c r="A2132" s="3309" t="s">
        <v>3732</v>
      </c>
      <c r="B2132" s="3340">
        <v>0</v>
      </c>
      <c r="C2132" s="3340">
        <v>0</v>
      </c>
      <c r="D2132" s="3340">
        <v>0</v>
      </c>
      <c r="E2132" s="3340">
        <v>0</v>
      </c>
      <c r="F2132" s="3340">
        <v>0</v>
      </c>
      <c r="G2132" s="3340">
        <v>0</v>
      </c>
      <c r="I2132" s="3339"/>
      <c r="J2132" s="3339"/>
      <c r="K2132" s="3338"/>
      <c r="L2132" s="3338"/>
      <c r="M2132" s="3338"/>
      <c r="N2132" s="3338"/>
      <c r="O2132" s="3338"/>
    </row>
    <row r="2133" spans="1:15" s="3309" customFormat="1" x14ac:dyDescent="0.2">
      <c r="A2133" s="3309" t="s">
        <v>2734</v>
      </c>
      <c r="B2133" s="3347" t="e">
        <f t="shared" ref="B2133:G2133" si="1205">B2091</f>
        <v>#VALUE!</v>
      </c>
      <c r="C2133" s="3347" t="str">
        <f t="shared" si="1205"/>
        <v>Ошибка</v>
      </c>
      <c r="D2133" s="3347" t="str">
        <f t="shared" si="1205"/>
        <v>Ошибка</v>
      </c>
      <c r="E2133" s="3347" t="str">
        <f t="shared" si="1205"/>
        <v>Ошибка</v>
      </c>
      <c r="F2133" s="3347" t="str">
        <f t="shared" si="1205"/>
        <v>Ошибка</v>
      </c>
      <c r="G2133" s="3347" t="str">
        <f t="shared" si="1205"/>
        <v>Ошибка</v>
      </c>
      <c r="I2133" s="3339"/>
      <c r="J2133" s="3339"/>
      <c r="K2133" s="3338"/>
      <c r="L2133" s="3338"/>
      <c r="M2133" s="3338"/>
      <c r="N2133" s="3338"/>
      <c r="O2133" s="3338"/>
    </row>
    <row r="2134" spans="1:15" s="3309" customFormat="1" x14ac:dyDescent="0.2">
      <c r="A2134" s="3309" t="s">
        <v>1831</v>
      </c>
      <c r="B2134" s="3348" t="e">
        <f t="shared" ref="B2134:G2134" si="1206">B2086</f>
        <v>#VALUE!</v>
      </c>
      <c r="C2134" s="3348" t="e">
        <f t="shared" si="1206"/>
        <v>#VALUE!</v>
      </c>
      <c r="D2134" s="3348" t="e">
        <f t="shared" si="1206"/>
        <v>#VALUE!</v>
      </c>
      <c r="E2134" s="3348" t="e">
        <f t="shared" si="1206"/>
        <v>#VALUE!</v>
      </c>
      <c r="F2134" s="3348" t="e">
        <f t="shared" si="1206"/>
        <v>#VALUE!</v>
      </c>
      <c r="G2134" s="3348" t="e">
        <f t="shared" si="1206"/>
        <v>#VALUE!</v>
      </c>
      <c r="I2134" s="3339"/>
      <c r="J2134" s="3339"/>
      <c r="K2134" s="3338"/>
      <c r="L2134" s="3338"/>
      <c r="M2134" s="3338"/>
      <c r="N2134" s="3338"/>
      <c r="O2134" s="3338"/>
    </row>
    <row r="2135" spans="1:15" s="3309" customFormat="1" x14ac:dyDescent="0.2">
      <c r="A2135" s="3309" t="s">
        <v>1832</v>
      </c>
      <c r="B2135" s="3347" t="e">
        <f t="shared" ref="B2135:G2135" si="1207">B2088</f>
        <v>#VALUE!</v>
      </c>
      <c r="C2135" s="3347" t="e">
        <f t="shared" si="1207"/>
        <v>#VALUE!</v>
      </c>
      <c r="D2135" s="3347" t="e">
        <f t="shared" si="1207"/>
        <v>#VALUE!</v>
      </c>
      <c r="E2135" s="3347" t="e">
        <f t="shared" si="1207"/>
        <v>#VALUE!</v>
      </c>
      <c r="F2135" s="3347" t="e">
        <f t="shared" si="1207"/>
        <v>#VALUE!</v>
      </c>
      <c r="G2135" s="3347" t="e">
        <f t="shared" si="1207"/>
        <v>#VALUE!</v>
      </c>
      <c r="I2135" s="3339"/>
      <c r="J2135" s="3339"/>
      <c r="K2135" s="3338"/>
      <c r="L2135" s="3338"/>
      <c r="M2135" s="3338"/>
      <c r="N2135" s="3338"/>
      <c r="O2135" s="3338"/>
    </row>
    <row r="2136" spans="1:15" s="3309" customFormat="1" x14ac:dyDescent="0.2">
      <c r="A2136" s="3309" t="s">
        <v>1833</v>
      </c>
      <c r="B2136" s="3340">
        <v>0</v>
      </c>
      <c r="C2136" s="3340">
        <v>0</v>
      </c>
      <c r="D2136" s="3340">
        <v>0</v>
      </c>
      <c r="E2136" s="3340">
        <v>0</v>
      </c>
      <c r="F2136" s="3340">
        <v>0</v>
      </c>
      <c r="G2136" s="3340">
        <v>0</v>
      </c>
      <c r="I2136" s="3339"/>
      <c r="J2136" s="3339"/>
      <c r="K2136" s="3338"/>
      <c r="L2136" s="3338"/>
      <c r="M2136" s="3338"/>
      <c r="N2136" s="3338"/>
      <c r="O2136" s="3338"/>
    </row>
    <row r="2137" spans="1:15" s="3309" customFormat="1" x14ac:dyDescent="0.2">
      <c r="A2137" s="3309" t="s">
        <v>1834</v>
      </c>
      <c r="B2137" s="3346">
        <v>0</v>
      </c>
      <c r="C2137" s="3346">
        <v>0</v>
      </c>
      <c r="D2137" s="3346">
        <v>0</v>
      </c>
      <c r="E2137" s="3346">
        <v>0</v>
      </c>
      <c r="F2137" s="3346">
        <v>0</v>
      </c>
      <c r="G2137" s="3346">
        <v>0</v>
      </c>
      <c r="I2137" s="3339"/>
      <c r="J2137" s="3339"/>
      <c r="K2137" s="3338"/>
      <c r="L2137" s="3338"/>
      <c r="M2137" s="3338"/>
      <c r="N2137" s="3338"/>
      <c r="O2137" s="3338"/>
    </row>
    <row r="2138" spans="1:15" s="3309" customFormat="1" x14ac:dyDescent="0.2">
      <c r="A2138" s="3309" t="s">
        <v>1835</v>
      </c>
      <c r="B2138" s="3345" t="e">
        <f t="shared" ref="B2138:G2138" si="1208">SUM(B2130:B2137)</f>
        <v>#VALUE!</v>
      </c>
      <c r="C2138" s="3345" t="e">
        <f t="shared" si="1208"/>
        <v>#VALUE!</v>
      </c>
      <c r="D2138" s="3345" t="e">
        <f t="shared" si="1208"/>
        <v>#VALUE!</v>
      </c>
      <c r="E2138" s="3345" t="e">
        <f t="shared" si="1208"/>
        <v>#VALUE!</v>
      </c>
      <c r="F2138" s="3345" t="e">
        <f t="shared" si="1208"/>
        <v>#VALUE!</v>
      </c>
      <c r="G2138" s="3345" t="e">
        <f t="shared" si="1208"/>
        <v>#VALUE!</v>
      </c>
      <c r="I2138" s="3339"/>
      <c r="J2138" s="3339"/>
      <c r="K2138" s="3338"/>
      <c r="L2138" s="3338"/>
      <c r="M2138" s="3338"/>
      <c r="N2138" s="3338"/>
      <c r="O2138" s="3338"/>
    </row>
    <row r="2139" spans="1:15" s="3309" customFormat="1" x14ac:dyDescent="0.2">
      <c r="A2139" s="3323" t="s">
        <v>1836</v>
      </c>
      <c r="B2139" s="3323" t="e">
        <f t="shared" ref="B2139:G2139" si="1209">0.05*B2138</f>
        <v>#VALUE!</v>
      </c>
      <c r="C2139" s="3323" t="e">
        <f t="shared" si="1209"/>
        <v>#VALUE!</v>
      </c>
      <c r="D2139" s="3323" t="e">
        <f t="shared" si="1209"/>
        <v>#VALUE!</v>
      </c>
      <c r="E2139" s="3323" t="e">
        <f t="shared" si="1209"/>
        <v>#VALUE!</v>
      </c>
      <c r="F2139" s="3323" t="e">
        <f t="shared" si="1209"/>
        <v>#VALUE!</v>
      </c>
      <c r="G2139" s="3323" t="e">
        <f t="shared" si="1209"/>
        <v>#VALUE!</v>
      </c>
      <c r="I2139" s="3339"/>
      <c r="J2139" s="3339"/>
      <c r="K2139" s="3338"/>
      <c r="L2139" s="3338"/>
      <c r="M2139" s="3338"/>
      <c r="N2139" s="3338"/>
      <c r="O2139" s="3338"/>
    </row>
    <row r="2140" spans="1:15" s="3309" customFormat="1" x14ac:dyDescent="0.2">
      <c r="A2140" s="3323" t="s">
        <v>1780</v>
      </c>
      <c r="B2140" s="3323" t="e">
        <f t="shared" ref="B2140:G2140" si="1210">B2138+B2139</f>
        <v>#VALUE!</v>
      </c>
      <c r="C2140" s="3323" t="e">
        <f t="shared" si="1210"/>
        <v>#VALUE!</v>
      </c>
      <c r="D2140" s="3323" t="e">
        <f t="shared" si="1210"/>
        <v>#VALUE!</v>
      </c>
      <c r="E2140" s="3323" t="e">
        <f t="shared" si="1210"/>
        <v>#VALUE!</v>
      </c>
      <c r="F2140" s="3323" t="e">
        <f t="shared" si="1210"/>
        <v>#VALUE!</v>
      </c>
      <c r="G2140" s="3323" t="e">
        <f t="shared" si="1210"/>
        <v>#VALUE!</v>
      </c>
      <c r="I2140" s="3339"/>
      <c r="J2140" s="3339"/>
      <c r="K2140" s="3338"/>
      <c r="L2140" s="3338"/>
      <c r="M2140" s="3338"/>
      <c r="N2140" s="3338"/>
      <c r="O2140" s="3338"/>
    </row>
    <row r="2141" spans="1:15" s="3309" customFormat="1" x14ac:dyDescent="0.2">
      <c r="A2141" s="3323" t="s">
        <v>1781</v>
      </c>
      <c r="B2141" s="3323">
        <f t="shared" ref="B2141:G2141" si="1211">IF(B2111&lt;51,11,10.2)</f>
        <v>11</v>
      </c>
      <c r="C2141" s="3323">
        <f t="shared" si="1211"/>
        <v>11</v>
      </c>
      <c r="D2141" s="3323">
        <f t="shared" si="1211"/>
        <v>11</v>
      </c>
      <c r="E2141" s="3323">
        <f t="shared" si="1211"/>
        <v>11</v>
      </c>
      <c r="F2141" s="3323">
        <f t="shared" si="1211"/>
        <v>11</v>
      </c>
      <c r="G2141" s="3323">
        <f t="shared" si="1211"/>
        <v>11</v>
      </c>
      <c r="I2141" s="3339"/>
      <c r="J2141" s="3339"/>
      <c r="K2141" s="3338"/>
      <c r="L2141" s="3338"/>
      <c r="M2141" s="3338"/>
      <c r="N2141" s="3338"/>
      <c r="O2141" s="3338"/>
    </row>
    <row r="2142" spans="1:15" s="3309" customFormat="1" x14ac:dyDescent="0.2">
      <c r="A2142" s="3331" t="s">
        <v>1855</v>
      </c>
      <c r="B2142" s="3323" t="e">
        <f t="shared" ref="B2142:G2142" si="1212">B2138/B2141</f>
        <v>#VALUE!</v>
      </c>
      <c r="C2142" s="3323" t="e">
        <f t="shared" si="1212"/>
        <v>#VALUE!</v>
      </c>
      <c r="D2142" s="3323" t="e">
        <f t="shared" si="1212"/>
        <v>#VALUE!</v>
      </c>
      <c r="E2142" s="3323" t="e">
        <f t="shared" si="1212"/>
        <v>#VALUE!</v>
      </c>
      <c r="F2142" s="3323" t="e">
        <f t="shared" si="1212"/>
        <v>#VALUE!</v>
      </c>
      <c r="G2142" s="3323" t="e">
        <f t="shared" si="1212"/>
        <v>#VALUE!</v>
      </c>
      <c r="I2142" s="3339"/>
      <c r="J2142" s="3339"/>
      <c r="K2142" s="3338"/>
      <c r="L2142" s="3338"/>
      <c r="M2142" s="3338"/>
      <c r="N2142" s="3338"/>
      <c r="O2142" s="3338"/>
    </row>
    <row r="2143" spans="1:15" s="3309" customFormat="1" x14ac:dyDescent="0.2">
      <c r="I2143" s="3339"/>
      <c r="J2143" s="3339"/>
      <c r="K2143" s="3338"/>
      <c r="L2143" s="3338"/>
      <c r="M2143" s="3338"/>
      <c r="N2143" s="3338"/>
      <c r="O2143" s="3338"/>
    </row>
    <row r="2144" spans="1:15" s="3309" customFormat="1" ht="30" x14ac:dyDescent="0.25">
      <c r="A2144" s="3344" t="s">
        <v>1782</v>
      </c>
      <c r="B2144" s="3331" t="e">
        <f t="shared" ref="B2144:G2144" si="1213">B2142+B2128+B2124+B2118+B2109+B2105+B2099</f>
        <v>#VALUE!</v>
      </c>
      <c r="C2144" s="3331" t="e">
        <f t="shared" si="1213"/>
        <v>#VALUE!</v>
      </c>
      <c r="D2144" s="3331" t="e">
        <f t="shared" si="1213"/>
        <v>#VALUE!</v>
      </c>
      <c r="E2144" s="3331" t="e">
        <f t="shared" si="1213"/>
        <v>#VALUE!</v>
      </c>
      <c r="F2144" s="3331" t="e">
        <f t="shared" si="1213"/>
        <v>#VALUE!</v>
      </c>
      <c r="G2144" s="3331" t="e">
        <f t="shared" si="1213"/>
        <v>#VALUE!</v>
      </c>
      <c r="I2144" s="3338"/>
      <c r="J2144" s="3338"/>
      <c r="K2144" s="3338"/>
      <c r="L2144" s="3338"/>
      <c r="M2144" s="3338"/>
      <c r="N2144" s="3338"/>
      <c r="O2144" s="3338"/>
    </row>
    <row r="2145" spans="1:27" s="3309" customFormat="1" ht="15" x14ac:dyDescent="0.25">
      <c r="A2145" s="3343" t="s">
        <v>4774</v>
      </c>
      <c r="I2145" s="3342"/>
      <c r="J2145" s="3338"/>
      <c r="K2145" s="3338"/>
      <c r="L2145" s="3342"/>
      <c r="M2145" s="3338"/>
      <c r="N2145" s="3338"/>
      <c r="O2145" s="3338"/>
    </row>
    <row r="2146" spans="1:27" s="3309" customFormat="1" x14ac:dyDescent="0.2">
      <c r="A2146" s="3334" t="s">
        <v>4775</v>
      </c>
      <c r="B2146" s="3323"/>
      <c r="C2146" s="3323"/>
      <c r="D2146" s="3323"/>
      <c r="E2146" s="3323"/>
      <c r="F2146" s="3323"/>
      <c r="G2146" s="3323"/>
      <c r="I2146" s="3338"/>
      <c r="J2146" s="3338"/>
      <c r="K2146" s="3338"/>
      <c r="L2146" s="3338"/>
      <c r="M2146" s="3338"/>
      <c r="N2146" s="3338"/>
      <c r="O2146" s="3338"/>
      <c r="P2146" s="3338"/>
      <c r="Q2146" s="3339"/>
      <c r="R2146" s="3339"/>
      <c r="S2146" s="3338"/>
      <c r="T2146" s="3338"/>
      <c r="U2146" s="3338"/>
      <c r="V2146" s="3338"/>
      <c r="W2146" s="3338"/>
      <c r="X2146" s="3338"/>
      <c r="Y2146" s="3338"/>
      <c r="Z2146" s="3338"/>
      <c r="AA2146" s="3338"/>
    </row>
    <row r="2147" spans="1:27" s="3309" customFormat="1" x14ac:dyDescent="0.2">
      <c r="A2147" s="3323" t="s">
        <v>1833</v>
      </c>
      <c r="B2147" s="3329">
        <f t="shared" ref="B2147:G2148" si="1214">B2136</f>
        <v>0</v>
      </c>
      <c r="C2147" s="3329">
        <f t="shared" si="1214"/>
        <v>0</v>
      </c>
      <c r="D2147" s="3329">
        <f t="shared" si="1214"/>
        <v>0</v>
      </c>
      <c r="E2147" s="3329">
        <f t="shared" si="1214"/>
        <v>0</v>
      </c>
      <c r="F2147" s="3329">
        <f t="shared" si="1214"/>
        <v>0</v>
      </c>
      <c r="G2147" s="3329">
        <f t="shared" si="1214"/>
        <v>0</v>
      </c>
      <c r="I2147" s="3338"/>
      <c r="J2147" s="3338"/>
      <c r="K2147" s="3338"/>
      <c r="L2147" s="3338"/>
      <c r="M2147" s="3338"/>
      <c r="N2147" s="3338"/>
      <c r="O2147" s="3338"/>
      <c r="P2147" s="3338"/>
      <c r="Q2147" s="3339"/>
      <c r="R2147" s="3339"/>
      <c r="S2147" s="3338"/>
      <c r="T2147" s="3338"/>
      <c r="U2147" s="3338"/>
      <c r="V2147" s="3338"/>
      <c r="W2147" s="3338"/>
      <c r="X2147" s="3338"/>
      <c r="Y2147" s="3338"/>
      <c r="Z2147" s="3338"/>
      <c r="AA2147" s="3338"/>
    </row>
    <row r="2148" spans="1:27" s="3309" customFormat="1" x14ac:dyDescent="0.2">
      <c r="A2148" s="3323" t="s">
        <v>1834</v>
      </c>
      <c r="B2148" s="3341">
        <f t="shared" si="1214"/>
        <v>0</v>
      </c>
      <c r="C2148" s="3341">
        <f t="shared" si="1214"/>
        <v>0</v>
      </c>
      <c r="D2148" s="3341">
        <f t="shared" si="1214"/>
        <v>0</v>
      </c>
      <c r="E2148" s="3341">
        <f t="shared" si="1214"/>
        <v>0</v>
      </c>
      <c r="F2148" s="3341">
        <f t="shared" si="1214"/>
        <v>0</v>
      </c>
      <c r="G2148" s="3341">
        <f t="shared" si="1214"/>
        <v>0</v>
      </c>
      <c r="I2148" s="3338"/>
      <c r="J2148" s="3338"/>
      <c r="K2148" s="3338"/>
      <c r="L2148" s="3338"/>
      <c r="M2148" s="3338"/>
      <c r="N2148" s="3338"/>
      <c r="O2148" s="3338"/>
      <c r="P2148" s="3338"/>
      <c r="Q2148" s="3339"/>
      <c r="R2148" s="3338"/>
      <c r="S2148" s="3338"/>
      <c r="T2148" s="3338"/>
      <c r="U2148" s="3338"/>
      <c r="V2148" s="3338"/>
      <c r="W2148" s="3338"/>
      <c r="X2148" s="3338"/>
      <c r="Y2148" s="3338"/>
      <c r="Z2148" s="3338"/>
      <c r="AA2148" s="3338"/>
    </row>
    <row r="2149" spans="1:27" s="3309" customFormat="1" x14ac:dyDescent="0.2">
      <c r="A2149" s="3309" t="s">
        <v>1835</v>
      </c>
      <c r="B2149" s="3323">
        <f t="shared" ref="B2149:G2149" si="1215">SUM(B2147:B2148)</f>
        <v>0</v>
      </c>
      <c r="C2149" s="3323">
        <f t="shared" si="1215"/>
        <v>0</v>
      </c>
      <c r="D2149" s="3323">
        <f t="shared" si="1215"/>
        <v>0</v>
      </c>
      <c r="E2149" s="3323">
        <f t="shared" si="1215"/>
        <v>0</v>
      </c>
      <c r="F2149" s="3323">
        <f t="shared" si="1215"/>
        <v>0</v>
      </c>
      <c r="G2149" s="3323">
        <f t="shared" si="1215"/>
        <v>0</v>
      </c>
      <c r="I2149" s="3338"/>
      <c r="J2149" s="3338"/>
      <c r="K2149" s="3338"/>
      <c r="L2149" s="3338"/>
      <c r="M2149" s="3339"/>
      <c r="N2149" s="3338"/>
      <c r="O2149" s="3338"/>
      <c r="P2149" s="3338"/>
      <c r="Q2149" s="3338"/>
      <c r="R2149" s="3338"/>
      <c r="S2149" s="3338"/>
      <c r="T2149" s="3338"/>
      <c r="U2149" s="3339"/>
      <c r="V2149" s="3339"/>
      <c r="W2149" s="3338"/>
      <c r="X2149" s="3338"/>
      <c r="Y2149" s="3338"/>
      <c r="Z2149" s="3338"/>
      <c r="AA2149" s="3338"/>
    </row>
    <row r="2150" spans="1:27" s="3309" customFormat="1" x14ac:dyDescent="0.2">
      <c r="A2150" s="3323" t="s">
        <v>4776</v>
      </c>
      <c r="B2150" s="3323">
        <v>10.8</v>
      </c>
      <c r="C2150" s="3323">
        <v>10.8</v>
      </c>
      <c r="D2150" s="3323">
        <v>10.8</v>
      </c>
      <c r="E2150" s="3323">
        <v>10.8</v>
      </c>
      <c r="F2150" s="3323">
        <v>10.8</v>
      </c>
      <c r="G2150" s="3323">
        <v>10.8</v>
      </c>
      <c r="I2150" s="3338"/>
      <c r="J2150" s="3338"/>
      <c r="K2150" s="3338"/>
      <c r="L2150" s="3338"/>
      <c r="M2150" s="3339"/>
      <c r="N2150" s="3338"/>
      <c r="O2150" s="3338"/>
      <c r="P2150" s="3338"/>
      <c r="Q2150" s="3338"/>
      <c r="R2150" s="3338"/>
      <c r="S2150" s="3338"/>
      <c r="T2150" s="3338"/>
      <c r="U2150" s="3339"/>
      <c r="V2150" s="3339"/>
      <c r="W2150" s="3338"/>
      <c r="X2150" s="3338"/>
      <c r="Y2150" s="3338"/>
      <c r="Z2150" s="3338"/>
      <c r="AA2150" s="3338"/>
    </row>
    <row r="2151" spans="1:27" s="3309" customFormat="1" x14ac:dyDescent="0.2">
      <c r="A2151" s="3323" t="s">
        <v>4777</v>
      </c>
      <c r="B2151" s="3323">
        <v>12.4</v>
      </c>
      <c r="C2151" s="3323">
        <v>12.4</v>
      </c>
      <c r="D2151" s="3323">
        <v>12.4</v>
      </c>
      <c r="E2151" s="3323">
        <v>12.4</v>
      </c>
      <c r="F2151" s="3323">
        <v>12.4</v>
      </c>
      <c r="G2151" s="3323">
        <v>12.4</v>
      </c>
      <c r="I2151" s="3339"/>
      <c r="J2151" s="3339"/>
      <c r="K2151" s="3338"/>
      <c r="L2151" s="3339"/>
      <c r="M2151" s="3339"/>
      <c r="N2151" s="3338"/>
      <c r="O2151" s="3338"/>
      <c r="P2151" s="3338"/>
      <c r="Q2151" s="3338"/>
      <c r="R2151" s="3338"/>
      <c r="S2151" s="3338"/>
      <c r="T2151" s="3338"/>
      <c r="U2151" s="3339"/>
      <c r="V2151" s="3339"/>
      <c r="W2151" s="3338"/>
      <c r="X2151" s="3338"/>
      <c r="Y2151" s="3338"/>
      <c r="Z2151" s="3338"/>
      <c r="AA2151" s="3338"/>
    </row>
    <row r="2152" spans="1:27" s="3309" customFormat="1" x14ac:dyDescent="0.2">
      <c r="A2152" s="3331" t="s">
        <v>1855</v>
      </c>
      <c r="B2152" s="3323">
        <f t="shared" ref="B2152:G2152" si="1216">B2149/B2150+B2149/B2151</f>
        <v>0</v>
      </c>
      <c r="C2152" s="3323">
        <f t="shared" si="1216"/>
        <v>0</v>
      </c>
      <c r="D2152" s="3323">
        <f t="shared" si="1216"/>
        <v>0</v>
      </c>
      <c r="E2152" s="3323">
        <f t="shared" si="1216"/>
        <v>0</v>
      </c>
      <c r="F2152" s="3323">
        <f t="shared" si="1216"/>
        <v>0</v>
      </c>
      <c r="G2152" s="3323">
        <f t="shared" si="1216"/>
        <v>0</v>
      </c>
      <c r="I2152" s="3338"/>
      <c r="J2152" s="3338"/>
      <c r="K2152" s="3338"/>
      <c r="L2152" s="3338"/>
      <c r="M2152" s="3339"/>
      <c r="N2152" s="3338"/>
      <c r="O2152" s="3338"/>
      <c r="P2152" s="3338"/>
      <c r="Q2152" s="3338"/>
      <c r="R2152" s="3338"/>
      <c r="S2152" s="3338"/>
      <c r="T2152" s="3338"/>
      <c r="U2152" s="3339"/>
      <c r="V2152" s="3338"/>
      <c r="W2152" s="3338"/>
      <c r="X2152" s="3338"/>
      <c r="Y2152" s="3338"/>
      <c r="Z2152" s="3338"/>
      <c r="AA2152" s="3338"/>
    </row>
    <row r="2153" spans="1:27" s="3309" customFormat="1" ht="15" x14ac:dyDescent="0.25">
      <c r="A2153" s="3337" t="s">
        <v>4778</v>
      </c>
      <c r="I2153" s="3338"/>
      <c r="J2153" s="3338"/>
      <c r="K2153" s="3338"/>
      <c r="L2153" s="3338"/>
      <c r="M2153" s="3339"/>
      <c r="N2153" s="3338"/>
      <c r="O2153" s="3338"/>
      <c r="P2153" s="3338"/>
      <c r="Q2153" s="3338"/>
      <c r="R2153" s="3338"/>
      <c r="S2153" s="3338"/>
      <c r="T2153" s="3338"/>
      <c r="U2153" s="3339"/>
      <c r="V2153" s="3338"/>
      <c r="W2153" s="3338"/>
      <c r="X2153" s="3338"/>
      <c r="Y2153" s="3338"/>
      <c r="Z2153" s="3338"/>
      <c r="AA2153" s="3338"/>
    </row>
    <row r="2154" spans="1:27" s="3309" customFormat="1" x14ac:dyDescent="0.2">
      <c r="A2154" s="3309" t="s">
        <v>4779</v>
      </c>
      <c r="B2154" s="3340">
        <v>2000</v>
      </c>
      <c r="C2154" s="3340">
        <v>2000</v>
      </c>
      <c r="D2154" s="3340">
        <v>2000</v>
      </c>
      <c r="E2154" s="3340">
        <v>2000</v>
      </c>
      <c r="F2154" s="3340">
        <v>2000</v>
      </c>
      <c r="G2154" s="3340">
        <v>2000</v>
      </c>
      <c r="I2154" s="3338"/>
      <c r="J2154" s="3338"/>
      <c r="K2154" s="3338"/>
      <c r="L2154" s="3338"/>
      <c r="M2154" s="3339"/>
      <c r="N2154" s="3338"/>
      <c r="O2154" s="3338"/>
      <c r="P2154" s="3338"/>
      <c r="Q2154" s="3338"/>
      <c r="R2154" s="3338"/>
      <c r="S2154" s="3338"/>
      <c r="T2154" s="3338"/>
      <c r="U2154" s="3338"/>
      <c r="V2154" s="3338"/>
      <c r="W2154" s="3338"/>
      <c r="X2154" s="3338"/>
      <c r="Y2154" s="3338"/>
      <c r="Z2154" s="3338"/>
      <c r="AA2154" s="3338"/>
    </row>
    <row r="2155" spans="1:27" s="3309" customFormat="1" x14ac:dyDescent="0.2">
      <c r="A2155" s="3334" t="s">
        <v>4780</v>
      </c>
      <c r="I2155" s="3338"/>
      <c r="J2155" s="3338"/>
      <c r="K2155" s="3338"/>
      <c r="L2155" s="3338"/>
      <c r="M2155" s="3339"/>
      <c r="N2155" s="3338"/>
      <c r="O2155" s="3338"/>
    </row>
    <row r="2156" spans="1:27" s="3309" customFormat="1" x14ac:dyDescent="0.2">
      <c r="A2156" s="3323" t="s">
        <v>4781</v>
      </c>
      <c r="B2156" s="3323" t="e">
        <f t="shared" ref="B2156:G2156" si="1217">B2096+B2100+B2101+B2102</f>
        <v>#DIV/0!</v>
      </c>
      <c r="C2156" s="3323" t="e">
        <f t="shared" si="1217"/>
        <v>#VALUE!</v>
      </c>
      <c r="D2156" s="3323" t="e">
        <f t="shared" si="1217"/>
        <v>#VALUE!</v>
      </c>
      <c r="E2156" s="3323" t="e">
        <f t="shared" si="1217"/>
        <v>#VALUE!</v>
      </c>
      <c r="F2156" s="3323" t="e">
        <f t="shared" si="1217"/>
        <v>#VALUE!</v>
      </c>
      <c r="G2156" s="3323" t="e">
        <f t="shared" si="1217"/>
        <v>#VALUE!</v>
      </c>
      <c r="I2156" s="3338"/>
      <c r="J2156" s="3338"/>
      <c r="K2156" s="3338"/>
      <c r="L2156" s="3338"/>
      <c r="M2156" s="3339"/>
      <c r="N2156" s="3338"/>
      <c r="O2156" s="3338"/>
    </row>
    <row r="2157" spans="1:27" s="3309" customFormat="1" x14ac:dyDescent="0.2">
      <c r="A2157" s="3323" t="s">
        <v>5147</v>
      </c>
      <c r="B2157" s="3323">
        <f t="shared" ref="B2157:G2157" si="1218">16111*B2154^-0.653</f>
        <v>112.60298683393111</v>
      </c>
      <c r="C2157" s="3323">
        <f t="shared" si="1218"/>
        <v>112.60298683393111</v>
      </c>
      <c r="D2157" s="3323">
        <f t="shared" si="1218"/>
        <v>112.60298683393111</v>
      </c>
      <c r="E2157" s="3323">
        <f t="shared" si="1218"/>
        <v>112.60298683393111</v>
      </c>
      <c r="F2157" s="3323">
        <f t="shared" si="1218"/>
        <v>112.60298683393111</v>
      </c>
      <c r="G2157" s="3323">
        <f t="shared" si="1218"/>
        <v>112.60298683393111</v>
      </c>
      <c r="I2157" s="3338"/>
      <c r="J2157" s="3338"/>
      <c r="K2157" s="3338"/>
      <c r="L2157" s="3338"/>
      <c r="M2157" s="3339"/>
      <c r="N2157" s="3338"/>
      <c r="O2157" s="3338"/>
    </row>
    <row r="2158" spans="1:27" s="3309" customFormat="1" x14ac:dyDescent="0.2">
      <c r="A2158" s="3323" t="s">
        <v>3088</v>
      </c>
      <c r="B2158" s="3323" t="e">
        <f t="shared" ref="B2158:G2158" si="1219">B2156/B2157</f>
        <v>#DIV/0!</v>
      </c>
      <c r="C2158" s="3323" t="e">
        <f t="shared" si="1219"/>
        <v>#VALUE!</v>
      </c>
      <c r="D2158" s="3323" t="e">
        <f t="shared" si="1219"/>
        <v>#VALUE!</v>
      </c>
      <c r="E2158" s="3323" t="e">
        <f t="shared" si="1219"/>
        <v>#VALUE!</v>
      </c>
      <c r="F2158" s="3323" t="e">
        <f t="shared" si="1219"/>
        <v>#VALUE!</v>
      </c>
      <c r="G2158" s="3323" t="e">
        <f t="shared" si="1219"/>
        <v>#VALUE!</v>
      </c>
      <c r="I2158" s="3338"/>
      <c r="J2158" s="3338"/>
      <c r="K2158" s="3338"/>
      <c r="L2158" s="3338"/>
      <c r="M2158" s="3339"/>
      <c r="N2158" s="3338"/>
      <c r="O2158" s="3338"/>
    </row>
    <row r="2159" spans="1:27" s="3309" customFormat="1" x14ac:dyDescent="0.2">
      <c r="A2159" s="3334" t="s">
        <v>3089</v>
      </c>
      <c r="I2159" s="3338"/>
      <c r="J2159" s="3338"/>
      <c r="K2159" s="3338"/>
      <c r="L2159" s="3338"/>
      <c r="M2159" s="3339"/>
      <c r="N2159" s="3338"/>
      <c r="O2159" s="3338"/>
    </row>
    <row r="2160" spans="1:27" s="3309" customFormat="1" x14ac:dyDescent="0.2">
      <c r="A2160" s="3323" t="s">
        <v>3090</v>
      </c>
      <c r="B2160" s="3323" t="e">
        <f t="shared" ref="B2160:G2160" si="1220">B2107*2+B2140</f>
        <v>#VALUE!</v>
      </c>
      <c r="C2160" s="3323" t="e">
        <f t="shared" si="1220"/>
        <v>#VALUE!</v>
      </c>
      <c r="D2160" s="3323" t="e">
        <f t="shared" si="1220"/>
        <v>#VALUE!</v>
      </c>
      <c r="E2160" s="3323" t="e">
        <f t="shared" si="1220"/>
        <v>#VALUE!</v>
      </c>
      <c r="F2160" s="3323" t="e">
        <f t="shared" si="1220"/>
        <v>#VALUE!</v>
      </c>
      <c r="G2160" s="3323" t="e">
        <f t="shared" si="1220"/>
        <v>#VALUE!</v>
      </c>
      <c r="I2160" s="3338"/>
      <c r="J2160" s="3338"/>
      <c r="K2160" s="3338"/>
      <c r="L2160" s="3338"/>
      <c r="M2160" s="3339"/>
      <c r="N2160" s="3338"/>
      <c r="O2160" s="3338"/>
    </row>
    <row r="2161" spans="1:15" s="3309" customFormat="1" x14ac:dyDescent="0.2">
      <c r="A2161" s="3323" t="s">
        <v>3091</v>
      </c>
      <c r="B2161" s="3323">
        <f t="shared" ref="B2161:G2161" si="1221">25667*B2154^-0.666</f>
        <v>162.51338393276461</v>
      </c>
      <c r="C2161" s="3323">
        <f t="shared" si="1221"/>
        <v>162.51338393276461</v>
      </c>
      <c r="D2161" s="3323">
        <f t="shared" si="1221"/>
        <v>162.51338393276461</v>
      </c>
      <c r="E2161" s="3323">
        <f t="shared" si="1221"/>
        <v>162.51338393276461</v>
      </c>
      <c r="F2161" s="3323">
        <f t="shared" si="1221"/>
        <v>162.51338393276461</v>
      </c>
      <c r="G2161" s="3323">
        <f t="shared" si="1221"/>
        <v>162.51338393276461</v>
      </c>
      <c r="I2161" s="3338"/>
      <c r="J2161" s="3338"/>
      <c r="K2161" s="3338"/>
      <c r="L2161" s="3338"/>
      <c r="M2161" s="3339"/>
      <c r="N2161" s="3338"/>
      <c r="O2161" s="3338"/>
    </row>
    <row r="2162" spans="1:15" s="3309" customFormat="1" x14ac:dyDescent="0.2">
      <c r="A2162" s="3323" t="s">
        <v>3088</v>
      </c>
      <c r="B2162" s="3323" t="e">
        <f t="shared" ref="B2162:G2162" si="1222">B2160/B2161</f>
        <v>#VALUE!</v>
      </c>
      <c r="C2162" s="3323" t="e">
        <f t="shared" si="1222"/>
        <v>#VALUE!</v>
      </c>
      <c r="D2162" s="3323" t="e">
        <f t="shared" si="1222"/>
        <v>#VALUE!</v>
      </c>
      <c r="E2162" s="3323" t="e">
        <f t="shared" si="1222"/>
        <v>#VALUE!</v>
      </c>
      <c r="F2162" s="3323" t="e">
        <f t="shared" si="1222"/>
        <v>#VALUE!</v>
      </c>
      <c r="G2162" s="3323" t="e">
        <f t="shared" si="1222"/>
        <v>#VALUE!</v>
      </c>
      <c r="I2162" s="3338"/>
      <c r="J2162" s="3338"/>
      <c r="K2162" s="3338"/>
      <c r="L2162" s="3338"/>
      <c r="M2162" s="3339"/>
      <c r="N2162" s="3338"/>
      <c r="O2162" s="3338"/>
    </row>
    <row r="2163" spans="1:15" s="3309" customFormat="1" x14ac:dyDescent="0.2">
      <c r="A2163" s="3334" t="s">
        <v>3092</v>
      </c>
    </row>
    <row r="2164" spans="1:15" s="3309" customFormat="1" x14ac:dyDescent="0.2">
      <c r="A2164" s="3323" t="s">
        <v>3090</v>
      </c>
      <c r="B2164" s="3323">
        <f t="shared" ref="B2164:G2164" si="1223">B2149</f>
        <v>0</v>
      </c>
      <c r="C2164" s="3323">
        <f t="shared" si="1223"/>
        <v>0</v>
      </c>
      <c r="D2164" s="3323">
        <f t="shared" si="1223"/>
        <v>0</v>
      </c>
      <c r="E2164" s="3323">
        <f t="shared" si="1223"/>
        <v>0</v>
      </c>
      <c r="F2164" s="3323">
        <f t="shared" si="1223"/>
        <v>0</v>
      </c>
      <c r="G2164" s="3323">
        <f t="shared" si="1223"/>
        <v>0</v>
      </c>
    </row>
    <row r="2165" spans="1:15" s="3309" customFormat="1" x14ac:dyDescent="0.2">
      <c r="A2165" s="3323" t="s">
        <v>3091</v>
      </c>
      <c r="B2165" s="3323">
        <f t="shared" ref="B2165:G2165" si="1224">25667*B2154^-0.666</f>
        <v>162.51338393276461</v>
      </c>
      <c r="C2165" s="3323">
        <f t="shared" si="1224"/>
        <v>162.51338393276461</v>
      </c>
      <c r="D2165" s="3323">
        <f t="shared" si="1224"/>
        <v>162.51338393276461</v>
      </c>
      <c r="E2165" s="3323">
        <f t="shared" si="1224"/>
        <v>162.51338393276461</v>
      </c>
      <c r="F2165" s="3323">
        <f t="shared" si="1224"/>
        <v>162.51338393276461</v>
      </c>
      <c r="G2165" s="3323">
        <f t="shared" si="1224"/>
        <v>162.51338393276461</v>
      </c>
    </row>
    <row r="2166" spans="1:15" s="3309" customFormat="1" x14ac:dyDescent="0.2">
      <c r="A2166" s="3323" t="s">
        <v>3088</v>
      </c>
      <c r="B2166" s="3323">
        <f t="shared" ref="B2166:G2166" si="1225">B2164/B2165</f>
        <v>0</v>
      </c>
      <c r="C2166" s="3323">
        <f t="shared" si="1225"/>
        <v>0</v>
      </c>
      <c r="D2166" s="3323">
        <f t="shared" si="1225"/>
        <v>0</v>
      </c>
      <c r="E2166" s="3323">
        <f t="shared" si="1225"/>
        <v>0</v>
      </c>
      <c r="F2166" s="3323">
        <f t="shared" si="1225"/>
        <v>0</v>
      </c>
      <c r="G2166" s="3323">
        <f t="shared" si="1225"/>
        <v>0</v>
      </c>
    </row>
    <row r="2167" spans="1:15" s="3309" customFormat="1" ht="15" x14ac:dyDescent="0.25">
      <c r="A2167" s="3337" t="s">
        <v>3093</v>
      </c>
    </row>
    <row r="2168" spans="1:15" s="3309" customFormat="1" x14ac:dyDescent="0.2">
      <c r="A2168" s="3336" t="s">
        <v>3743</v>
      </c>
    </row>
    <row r="2169" spans="1:15" s="3309" customFormat="1" x14ac:dyDescent="0.2">
      <c r="A2169" s="3323" t="s">
        <v>3094</v>
      </c>
      <c r="B2169" s="3323" t="e">
        <f t="shared" ref="B2169:G2169" si="1226">B2156</f>
        <v>#DIV/0!</v>
      </c>
      <c r="C2169" s="3323" t="e">
        <f t="shared" si="1226"/>
        <v>#VALUE!</v>
      </c>
      <c r="D2169" s="3323" t="e">
        <f t="shared" si="1226"/>
        <v>#VALUE!</v>
      </c>
      <c r="E2169" s="3323" t="e">
        <f t="shared" si="1226"/>
        <v>#VALUE!</v>
      </c>
      <c r="F2169" s="3323" t="e">
        <f t="shared" si="1226"/>
        <v>#VALUE!</v>
      </c>
      <c r="G2169" s="3323" t="e">
        <f t="shared" si="1226"/>
        <v>#VALUE!</v>
      </c>
    </row>
    <row r="2170" spans="1:15" s="3309" customFormat="1" x14ac:dyDescent="0.2">
      <c r="A2170" s="3323" t="s">
        <v>3091</v>
      </c>
      <c r="B2170" s="3335">
        <v>8.6999999999999993</v>
      </c>
      <c r="C2170" s="3335">
        <v>8.6999999999999993</v>
      </c>
      <c r="D2170" s="3335">
        <v>8.6999999999999993</v>
      </c>
      <c r="E2170" s="3335">
        <v>8.6999999999999993</v>
      </c>
      <c r="F2170" s="3335">
        <v>8.6999999999999993</v>
      </c>
      <c r="G2170" s="3335">
        <v>8.6999999999999993</v>
      </c>
    </row>
    <row r="2171" spans="1:15" s="3309" customFormat="1" x14ac:dyDescent="0.2">
      <c r="A2171" s="3323" t="s">
        <v>3088</v>
      </c>
      <c r="B2171" s="3323" t="e">
        <f t="shared" ref="B2171:G2171" si="1227">B2169*0.9/B2170</f>
        <v>#DIV/0!</v>
      </c>
      <c r="C2171" s="3323" t="e">
        <f t="shared" si="1227"/>
        <v>#VALUE!</v>
      </c>
      <c r="D2171" s="3323" t="e">
        <f t="shared" si="1227"/>
        <v>#VALUE!</v>
      </c>
      <c r="E2171" s="3323" t="e">
        <f t="shared" si="1227"/>
        <v>#VALUE!</v>
      </c>
      <c r="F2171" s="3323" t="e">
        <f t="shared" si="1227"/>
        <v>#VALUE!</v>
      </c>
      <c r="G2171" s="3323" t="e">
        <f t="shared" si="1227"/>
        <v>#VALUE!</v>
      </c>
    </row>
    <row r="2172" spans="1:15" s="3309" customFormat="1" x14ac:dyDescent="0.2">
      <c r="A2172" s="3334" t="s">
        <v>3095</v>
      </c>
    </row>
    <row r="2173" spans="1:15" s="3309" customFormat="1" x14ac:dyDescent="0.2">
      <c r="A2173" s="3323" t="s">
        <v>3094</v>
      </c>
      <c r="B2173" s="3323">
        <f t="shared" ref="B2173:G2173" si="1228">B2107</f>
        <v>0</v>
      </c>
      <c r="C2173" s="3323">
        <f t="shared" si="1228"/>
        <v>0</v>
      </c>
      <c r="D2173" s="3323">
        <f t="shared" si="1228"/>
        <v>0</v>
      </c>
      <c r="E2173" s="3323">
        <f t="shared" si="1228"/>
        <v>0</v>
      </c>
      <c r="F2173" s="3323">
        <f t="shared" si="1228"/>
        <v>0</v>
      </c>
      <c r="G2173" s="3323">
        <f t="shared" si="1228"/>
        <v>0</v>
      </c>
    </row>
    <row r="2174" spans="1:15" s="3309" customFormat="1" x14ac:dyDescent="0.2">
      <c r="A2174" s="3323" t="s">
        <v>5147</v>
      </c>
      <c r="B2174" s="3323">
        <v>16.600000000000001</v>
      </c>
      <c r="C2174" s="3323">
        <v>16.600000000000001</v>
      </c>
      <c r="D2174" s="3323">
        <v>16.600000000000001</v>
      </c>
      <c r="E2174" s="3323">
        <v>16.600000000000001</v>
      </c>
      <c r="F2174" s="3323">
        <v>16.600000000000001</v>
      </c>
      <c r="G2174" s="3323">
        <v>17.600000000000001</v>
      </c>
    </row>
    <row r="2175" spans="1:15" s="3309" customFormat="1" x14ac:dyDescent="0.2">
      <c r="A2175" s="3323" t="s">
        <v>3088</v>
      </c>
      <c r="B2175" s="3323">
        <f t="shared" ref="B2175:G2175" si="1229">B2173*2/B2174</f>
        <v>0</v>
      </c>
      <c r="C2175" s="3323">
        <f t="shared" si="1229"/>
        <v>0</v>
      </c>
      <c r="D2175" s="3323">
        <f t="shared" si="1229"/>
        <v>0</v>
      </c>
      <c r="E2175" s="3323">
        <f t="shared" si="1229"/>
        <v>0</v>
      </c>
      <c r="F2175" s="3323">
        <f t="shared" si="1229"/>
        <v>0</v>
      </c>
      <c r="G2175" s="3323">
        <f t="shared" si="1229"/>
        <v>0</v>
      </c>
    </row>
    <row r="2176" spans="1:15" s="3309" customFormat="1" x14ac:dyDescent="0.2">
      <c r="A2176" s="3334" t="s">
        <v>3096</v>
      </c>
    </row>
    <row r="2177" spans="1:7" s="3309" customFormat="1" x14ac:dyDescent="0.2">
      <c r="A2177" s="3323" t="s">
        <v>3097</v>
      </c>
      <c r="B2177" s="3323" t="e">
        <f t="shared" ref="B2177:G2177" si="1230">B2140</f>
        <v>#VALUE!</v>
      </c>
      <c r="C2177" s="3323" t="e">
        <f t="shared" si="1230"/>
        <v>#VALUE!</v>
      </c>
      <c r="D2177" s="3323" t="e">
        <f t="shared" si="1230"/>
        <v>#VALUE!</v>
      </c>
      <c r="E2177" s="3323" t="e">
        <f t="shared" si="1230"/>
        <v>#VALUE!</v>
      </c>
      <c r="F2177" s="3323" t="e">
        <f t="shared" si="1230"/>
        <v>#VALUE!</v>
      </c>
      <c r="G2177" s="3323" t="e">
        <f t="shared" si="1230"/>
        <v>#VALUE!</v>
      </c>
    </row>
    <row r="2178" spans="1:7" s="3309" customFormat="1" x14ac:dyDescent="0.2">
      <c r="A2178" s="3323" t="s">
        <v>3091</v>
      </c>
      <c r="B2178" s="3335">
        <v>10.3</v>
      </c>
      <c r="C2178" s="3335">
        <v>10.3</v>
      </c>
      <c r="D2178" s="3335">
        <v>10.3</v>
      </c>
      <c r="E2178" s="3335">
        <v>10.3</v>
      </c>
      <c r="F2178" s="3335">
        <v>10.3</v>
      </c>
      <c r="G2178" s="3335">
        <v>10.3</v>
      </c>
    </row>
    <row r="2179" spans="1:7" s="3309" customFormat="1" x14ac:dyDescent="0.2">
      <c r="A2179" s="3323" t="s">
        <v>3088</v>
      </c>
      <c r="B2179" s="3323" t="e">
        <f t="shared" ref="B2179:G2179" si="1231">B2177/B2178</f>
        <v>#VALUE!</v>
      </c>
      <c r="C2179" s="3323" t="e">
        <f t="shared" si="1231"/>
        <v>#VALUE!</v>
      </c>
      <c r="D2179" s="3323" t="e">
        <f t="shared" si="1231"/>
        <v>#VALUE!</v>
      </c>
      <c r="E2179" s="3323" t="e">
        <f t="shared" si="1231"/>
        <v>#VALUE!</v>
      </c>
      <c r="F2179" s="3323" t="e">
        <f t="shared" si="1231"/>
        <v>#VALUE!</v>
      </c>
      <c r="G2179" s="3323" t="e">
        <f t="shared" si="1231"/>
        <v>#VALUE!</v>
      </c>
    </row>
    <row r="2180" spans="1:7" s="3309" customFormat="1" x14ac:dyDescent="0.2">
      <c r="A2180" s="3334" t="s">
        <v>3098</v>
      </c>
    </row>
    <row r="2181" spans="1:7" s="3309" customFormat="1" x14ac:dyDescent="0.2">
      <c r="A2181" s="3323" t="s">
        <v>3097</v>
      </c>
      <c r="B2181" s="3323">
        <f t="shared" ref="B2181:G2181" si="1232">B2164</f>
        <v>0</v>
      </c>
      <c r="C2181" s="3323">
        <f t="shared" si="1232"/>
        <v>0</v>
      </c>
      <c r="D2181" s="3323">
        <f t="shared" si="1232"/>
        <v>0</v>
      </c>
      <c r="E2181" s="3323">
        <f t="shared" si="1232"/>
        <v>0</v>
      </c>
      <c r="F2181" s="3323">
        <f t="shared" si="1232"/>
        <v>0</v>
      </c>
      <c r="G2181" s="3323">
        <f t="shared" si="1232"/>
        <v>0</v>
      </c>
    </row>
    <row r="2182" spans="1:7" s="3309" customFormat="1" x14ac:dyDescent="0.2">
      <c r="A2182" s="3323" t="s">
        <v>1781</v>
      </c>
      <c r="B2182" s="3323">
        <f t="shared" ref="B2182:G2182" si="1233">IF(B2181&lt;0.301,9.6,IF(B2181&lt;0.601,10.7,IF(B2181&lt;0.901,12.2,IF(B2181&lt;1.301,14,16))))</f>
        <v>9.6</v>
      </c>
      <c r="C2182" s="3323">
        <f t="shared" si="1233"/>
        <v>9.6</v>
      </c>
      <c r="D2182" s="3323">
        <f t="shared" si="1233"/>
        <v>9.6</v>
      </c>
      <c r="E2182" s="3323">
        <f t="shared" si="1233"/>
        <v>9.6</v>
      </c>
      <c r="F2182" s="3323">
        <f t="shared" si="1233"/>
        <v>9.6</v>
      </c>
      <c r="G2182" s="3323">
        <f t="shared" si="1233"/>
        <v>9.6</v>
      </c>
    </row>
    <row r="2183" spans="1:7" s="3309" customFormat="1" x14ac:dyDescent="0.2">
      <c r="A2183" s="3323" t="s">
        <v>3088</v>
      </c>
      <c r="B2183" s="3323">
        <f t="shared" ref="B2183:G2183" si="1234">B2181/B2182</f>
        <v>0</v>
      </c>
      <c r="C2183" s="3323">
        <f t="shared" si="1234"/>
        <v>0</v>
      </c>
      <c r="D2183" s="3323">
        <f t="shared" si="1234"/>
        <v>0</v>
      </c>
      <c r="E2183" s="3323">
        <f t="shared" si="1234"/>
        <v>0</v>
      </c>
      <c r="F2183" s="3323">
        <f t="shared" si="1234"/>
        <v>0</v>
      </c>
      <c r="G2183" s="3323">
        <f t="shared" si="1234"/>
        <v>0</v>
      </c>
    </row>
    <row r="2184" spans="1:7" s="3309" customFormat="1" x14ac:dyDescent="0.2">
      <c r="A2184" s="3334" t="s">
        <v>478</v>
      </c>
      <c r="B2184" s="3323"/>
      <c r="C2184" s="3323"/>
      <c r="D2184" s="3323"/>
      <c r="E2184" s="3323"/>
      <c r="F2184" s="3323"/>
      <c r="G2184" s="3323"/>
    </row>
    <row r="2185" spans="1:7" s="3309" customFormat="1" x14ac:dyDescent="0.2">
      <c r="A2185" s="3333" t="s">
        <v>3099</v>
      </c>
      <c r="B2185" s="3329">
        <f t="shared" ref="B2185:G2185" si="1235">IF(B166=2,1,0)</f>
        <v>0</v>
      </c>
      <c r="C2185" s="3329">
        <f t="shared" si="1235"/>
        <v>0</v>
      </c>
      <c r="D2185" s="3329">
        <f t="shared" si="1235"/>
        <v>0</v>
      </c>
      <c r="E2185" s="3329">
        <f t="shared" si="1235"/>
        <v>0</v>
      </c>
      <c r="F2185" s="3329">
        <f t="shared" si="1235"/>
        <v>0</v>
      </c>
      <c r="G2185" s="3329">
        <f t="shared" si="1235"/>
        <v>0</v>
      </c>
    </row>
    <row r="2186" spans="1:7" s="3309" customFormat="1" x14ac:dyDescent="0.2">
      <c r="A2186" s="3323" t="s">
        <v>3100</v>
      </c>
      <c r="B2186" s="3323">
        <f t="shared" ref="B2186:G2186" si="1236">0.17+0.3*(B2154+1000)/1000</f>
        <v>1.07</v>
      </c>
      <c r="C2186" s="3323">
        <f t="shared" si="1236"/>
        <v>1.07</v>
      </c>
      <c r="D2186" s="3323">
        <f t="shared" si="1236"/>
        <v>1.07</v>
      </c>
      <c r="E2186" s="3323">
        <f t="shared" si="1236"/>
        <v>1.07</v>
      </c>
      <c r="F2186" s="3323">
        <f t="shared" si="1236"/>
        <v>1.07</v>
      </c>
      <c r="G2186" s="3323">
        <f t="shared" si="1236"/>
        <v>1.07</v>
      </c>
    </row>
    <row r="2187" spans="1:7" s="3309" customFormat="1" x14ac:dyDescent="0.2">
      <c r="A2187" s="3323" t="s">
        <v>3101</v>
      </c>
      <c r="B2187" s="3323">
        <f t="shared" ref="B2187:G2187" si="1237">IF(B2185=1,B2186/6,0)</f>
        <v>0</v>
      </c>
      <c r="C2187" s="3323">
        <f t="shared" si="1237"/>
        <v>0</v>
      </c>
      <c r="D2187" s="3323">
        <f t="shared" si="1237"/>
        <v>0</v>
      </c>
      <c r="E2187" s="3323">
        <f t="shared" si="1237"/>
        <v>0</v>
      </c>
      <c r="F2187" s="3323">
        <f t="shared" si="1237"/>
        <v>0</v>
      </c>
      <c r="G2187" s="3323">
        <f t="shared" si="1237"/>
        <v>0</v>
      </c>
    </row>
    <row r="2188" spans="1:7" s="3309" customFormat="1" ht="15" x14ac:dyDescent="0.25">
      <c r="A2188" s="3332" t="s">
        <v>3102</v>
      </c>
      <c r="B2188" s="3331" t="e">
        <f t="shared" ref="B2188:G2188" si="1238">B2187+B2183+B2179+B2175+B2171+B2166+B2162+B2158+B2152</f>
        <v>#VALUE!</v>
      </c>
      <c r="C2188" s="3331" t="e">
        <f t="shared" si="1238"/>
        <v>#VALUE!</v>
      </c>
      <c r="D2188" s="3331" t="e">
        <f t="shared" si="1238"/>
        <v>#VALUE!</v>
      </c>
      <c r="E2188" s="3331" t="e">
        <f t="shared" si="1238"/>
        <v>#VALUE!</v>
      </c>
      <c r="F2188" s="3331" t="e">
        <f t="shared" si="1238"/>
        <v>#VALUE!</v>
      </c>
      <c r="G2188" s="3331" t="e">
        <f t="shared" si="1238"/>
        <v>#VALUE!</v>
      </c>
    </row>
    <row r="2189" spans="1:7" s="3309" customFormat="1" x14ac:dyDescent="0.2">
      <c r="A2189" s="3331" t="s">
        <v>3820</v>
      </c>
      <c r="B2189" s="3331" t="e">
        <f t="shared" ref="B2189:G2189" si="1239">B2188+B2144</f>
        <v>#VALUE!</v>
      </c>
      <c r="C2189" s="3331" t="e">
        <f t="shared" si="1239"/>
        <v>#VALUE!</v>
      </c>
      <c r="D2189" s="3331" t="e">
        <f t="shared" si="1239"/>
        <v>#VALUE!</v>
      </c>
      <c r="E2189" s="3331" t="e">
        <f t="shared" si="1239"/>
        <v>#VALUE!</v>
      </c>
      <c r="F2189" s="3331" t="e">
        <f t="shared" si="1239"/>
        <v>#VALUE!</v>
      </c>
      <c r="G2189" s="3331" t="e">
        <f t="shared" si="1239"/>
        <v>#VALUE!</v>
      </c>
    </row>
    <row r="2190" spans="1:7" s="3309" customFormat="1" x14ac:dyDescent="0.2">
      <c r="A2190" s="3330" t="s">
        <v>3821</v>
      </c>
      <c r="B2190" s="3329">
        <v>80</v>
      </c>
      <c r="C2190" s="3329">
        <v>80</v>
      </c>
      <c r="D2190" s="3329">
        <v>80</v>
      </c>
      <c r="E2190" s="3329">
        <v>80</v>
      </c>
      <c r="F2190" s="3329">
        <v>80</v>
      </c>
      <c r="G2190" s="3329">
        <v>80</v>
      </c>
    </row>
    <row r="2191" spans="1:7" s="3309" customFormat="1" x14ac:dyDescent="0.2">
      <c r="A2191" s="3330" t="s">
        <v>576</v>
      </c>
      <c r="B2191" s="3329">
        <f t="shared" ref="B2191:G2192" si="1240">B496</f>
        <v>270</v>
      </c>
      <c r="C2191" s="3329">
        <f t="shared" si="1240"/>
        <v>270</v>
      </c>
      <c r="D2191" s="3329">
        <f t="shared" si="1240"/>
        <v>270</v>
      </c>
      <c r="E2191" s="3329">
        <f t="shared" si="1240"/>
        <v>270</v>
      </c>
      <c r="F2191" s="3329">
        <f t="shared" si="1240"/>
        <v>270</v>
      </c>
      <c r="G2191" s="3329">
        <f t="shared" si="1240"/>
        <v>270</v>
      </c>
    </row>
    <row r="2192" spans="1:7" s="3309" customFormat="1" x14ac:dyDescent="0.2">
      <c r="A2192" s="3330" t="s">
        <v>577</v>
      </c>
      <c r="B2192" s="3329">
        <f t="shared" si="1240"/>
        <v>216</v>
      </c>
      <c r="C2192" s="3329">
        <f t="shared" si="1240"/>
        <v>216</v>
      </c>
      <c r="D2192" s="3329">
        <f t="shared" si="1240"/>
        <v>216</v>
      </c>
      <c r="E2192" s="3329">
        <f t="shared" si="1240"/>
        <v>216</v>
      </c>
      <c r="F2192" s="3329">
        <f t="shared" si="1240"/>
        <v>216</v>
      </c>
      <c r="G2192" s="3329">
        <f t="shared" si="1240"/>
        <v>216</v>
      </c>
    </row>
    <row r="2193" spans="1:11" s="3309" customFormat="1" x14ac:dyDescent="0.2">
      <c r="A2193" s="3309" t="s">
        <v>5944</v>
      </c>
      <c r="B2193" s="3323" t="e">
        <f t="shared" ref="B2193:G2193" si="1241">B2192*B2144</f>
        <v>#VALUE!</v>
      </c>
      <c r="C2193" s="3323" t="e">
        <f t="shared" si="1241"/>
        <v>#VALUE!</v>
      </c>
      <c r="D2193" s="3323" t="e">
        <f t="shared" si="1241"/>
        <v>#VALUE!</v>
      </c>
      <c r="E2193" s="3323" t="e">
        <f t="shared" si="1241"/>
        <v>#VALUE!</v>
      </c>
      <c r="F2193" s="3323" t="e">
        <f t="shared" si="1241"/>
        <v>#VALUE!</v>
      </c>
      <c r="G2193" s="3323" t="e">
        <f t="shared" si="1241"/>
        <v>#VALUE!</v>
      </c>
    </row>
    <row r="2194" spans="1:11" s="3309" customFormat="1" x14ac:dyDescent="0.2">
      <c r="A2194" s="3309" t="s">
        <v>5943</v>
      </c>
      <c r="B2194" s="3323" t="e">
        <f t="shared" ref="B2194:G2194" si="1242">B2191*B2188</f>
        <v>#VALUE!</v>
      </c>
      <c r="C2194" s="3323" t="e">
        <f t="shared" si="1242"/>
        <v>#VALUE!</v>
      </c>
      <c r="D2194" s="3323" t="e">
        <f t="shared" si="1242"/>
        <v>#VALUE!</v>
      </c>
      <c r="E2194" s="3323" t="e">
        <f t="shared" si="1242"/>
        <v>#VALUE!</v>
      </c>
      <c r="F2194" s="3323" t="e">
        <f t="shared" si="1242"/>
        <v>#VALUE!</v>
      </c>
      <c r="G2194" s="3323" t="e">
        <f t="shared" si="1242"/>
        <v>#VALUE!</v>
      </c>
    </row>
    <row r="2195" spans="1:11" s="3309" customFormat="1" x14ac:dyDescent="0.2">
      <c r="A2195" s="3309" t="s">
        <v>5942</v>
      </c>
      <c r="B2195" s="3323" t="e">
        <f t="shared" ref="B2195:G2195" si="1243">SUM(B2193:B2194)</f>
        <v>#VALUE!</v>
      </c>
      <c r="C2195" s="3323" t="e">
        <f t="shared" si="1243"/>
        <v>#VALUE!</v>
      </c>
      <c r="D2195" s="3323" t="e">
        <f t="shared" si="1243"/>
        <v>#VALUE!</v>
      </c>
      <c r="E2195" s="3323" t="e">
        <f t="shared" si="1243"/>
        <v>#VALUE!</v>
      </c>
      <c r="F2195" s="3323" t="e">
        <f t="shared" si="1243"/>
        <v>#VALUE!</v>
      </c>
      <c r="G2195" s="3323" t="e">
        <f t="shared" si="1243"/>
        <v>#VALUE!</v>
      </c>
    </row>
    <row r="2196" spans="1:11" s="3309" customFormat="1" x14ac:dyDescent="0.2">
      <c r="A2196" s="3329" t="s">
        <v>5941</v>
      </c>
      <c r="B2196" s="3329">
        <f t="shared" ref="B2196:G2196" si="1244">B524</f>
        <v>1.27</v>
      </c>
      <c r="C2196" s="3329">
        <f t="shared" si="1244"/>
        <v>1.27</v>
      </c>
      <c r="D2196" s="3329">
        <f t="shared" si="1244"/>
        <v>1.27</v>
      </c>
      <c r="E2196" s="3329">
        <f t="shared" si="1244"/>
        <v>1.27</v>
      </c>
      <c r="F2196" s="3329">
        <f t="shared" si="1244"/>
        <v>1.27</v>
      </c>
      <c r="G2196" s="3329">
        <f t="shared" si="1244"/>
        <v>1.27</v>
      </c>
    </row>
    <row r="2197" spans="1:11" s="3309" customFormat="1" x14ac:dyDescent="0.2">
      <c r="A2197" s="3328" t="s">
        <v>5940</v>
      </c>
      <c r="B2197" s="3321" t="e">
        <f t="shared" ref="B2197:G2197" si="1245">(B2195)*B2196</f>
        <v>#VALUE!</v>
      </c>
      <c r="C2197" s="3321" t="e">
        <f t="shared" si="1245"/>
        <v>#VALUE!</v>
      </c>
      <c r="D2197" s="3321" t="e">
        <f t="shared" si="1245"/>
        <v>#VALUE!</v>
      </c>
      <c r="E2197" s="3321" t="e">
        <f t="shared" si="1245"/>
        <v>#VALUE!</v>
      </c>
      <c r="F2197" s="3321" t="e">
        <f t="shared" si="1245"/>
        <v>#VALUE!</v>
      </c>
      <c r="G2197" s="3321" t="e">
        <f t="shared" si="1245"/>
        <v>#VALUE!</v>
      </c>
    </row>
    <row r="2198" spans="1:11" s="3309" customFormat="1" x14ac:dyDescent="0.2">
      <c r="A2198" s="3327" t="s">
        <v>5939</v>
      </c>
      <c r="B2198" s="3325" t="e">
        <f t="shared" ref="B2198:G2198" si="1246">B2197*B557/100</f>
        <v>#VALUE!</v>
      </c>
      <c r="C2198" s="3325" t="e">
        <f t="shared" si="1246"/>
        <v>#VALUE!</v>
      </c>
      <c r="D2198" s="3325" t="e">
        <f t="shared" si="1246"/>
        <v>#VALUE!</v>
      </c>
      <c r="E2198" s="3325" t="e">
        <f t="shared" si="1246"/>
        <v>#VALUE!</v>
      </c>
      <c r="F2198" s="3325" t="e">
        <f t="shared" si="1246"/>
        <v>#VALUE!</v>
      </c>
      <c r="G2198" s="3325" t="e">
        <f t="shared" si="1246"/>
        <v>#VALUE!</v>
      </c>
    </row>
    <row r="2199" spans="1:11" s="3309" customFormat="1" x14ac:dyDescent="0.2">
      <c r="A2199" s="3327" t="s">
        <v>5938</v>
      </c>
      <c r="B2199" s="3325" t="e">
        <f t="shared" ref="B2199:G2199" si="1247">B2198+B2195</f>
        <v>#VALUE!</v>
      </c>
      <c r="C2199" s="3325" t="e">
        <f t="shared" si="1247"/>
        <v>#VALUE!</v>
      </c>
      <c r="D2199" s="3325" t="e">
        <f t="shared" si="1247"/>
        <v>#VALUE!</v>
      </c>
      <c r="E2199" s="3325" t="e">
        <f t="shared" si="1247"/>
        <v>#VALUE!</v>
      </c>
      <c r="F2199" s="3325" t="e">
        <f t="shared" si="1247"/>
        <v>#VALUE!</v>
      </c>
      <c r="G2199" s="3325" t="e">
        <f t="shared" si="1247"/>
        <v>#VALUE!</v>
      </c>
    </row>
    <row r="2200" spans="1:11" s="3309" customFormat="1" x14ac:dyDescent="0.2">
      <c r="A2200" s="3327" t="s">
        <v>5937</v>
      </c>
      <c r="B2200" s="3325" t="e">
        <f t="shared" ref="B2200:G2200" si="1248">B544*B2199/100</f>
        <v>#VALUE!</v>
      </c>
      <c r="C2200" s="3325" t="e">
        <f t="shared" si="1248"/>
        <v>#VALUE!</v>
      </c>
      <c r="D2200" s="3325" t="e">
        <f t="shared" si="1248"/>
        <v>#VALUE!</v>
      </c>
      <c r="E2200" s="3325" t="e">
        <f t="shared" si="1248"/>
        <v>#VALUE!</v>
      </c>
      <c r="F2200" s="3325" t="e">
        <f t="shared" si="1248"/>
        <v>#VALUE!</v>
      </c>
      <c r="G2200" s="3325" t="e">
        <f t="shared" si="1248"/>
        <v>#VALUE!</v>
      </c>
    </row>
    <row r="2201" spans="1:11" s="3309" customFormat="1" ht="30" x14ac:dyDescent="0.25">
      <c r="A2201" s="3326" t="s">
        <v>5936</v>
      </c>
      <c r="B2201" s="3325" t="e">
        <f t="shared" ref="B2201:G2201" si="1249">B2199+B2200</f>
        <v>#VALUE!</v>
      </c>
      <c r="C2201" s="3325" t="e">
        <f t="shared" si="1249"/>
        <v>#VALUE!</v>
      </c>
      <c r="D2201" s="3325" t="e">
        <f t="shared" si="1249"/>
        <v>#VALUE!</v>
      </c>
      <c r="E2201" s="3325" t="e">
        <f t="shared" si="1249"/>
        <v>#VALUE!</v>
      </c>
      <c r="F2201" s="3325" t="e">
        <f t="shared" si="1249"/>
        <v>#VALUE!</v>
      </c>
      <c r="G2201" s="3325" t="e">
        <f t="shared" si="1249"/>
        <v>#VALUE!</v>
      </c>
    </row>
    <row r="2202" spans="1:11" s="3309" customFormat="1" ht="30" x14ac:dyDescent="0.25">
      <c r="A2202" s="3324" t="s">
        <v>5935</v>
      </c>
      <c r="B2202" s="3323" t="e">
        <f t="shared" ref="B2202:G2202" si="1250">B2201/B371</f>
        <v>#VALUE!</v>
      </c>
      <c r="C2202" s="3323" t="e">
        <f t="shared" si="1250"/>
        <v>#VALUE!</v>
      </c>
      <c r="D2202" s="3323" t="e">
        <f t="shared" si="1250"/>
        <v>#VALUE!</v>
      </c>
      <c r="E2202" s="3323" t="e">
        <f t="shared" si="1250"/>
        <v>#VALUE!</v>
      </c>
      <c r="F2202" s="3323" t="e">
        <f t="shared" si="1250"/>
        <v>#VALUE!</v>
      </c>
      <c r="G2202" s="3323" t="e">
        <f t="shared" si="1250"/>
        <v>#VALUE!</v>
      </c>
    </row>
    <row r="2203" spans="1:11" s="3309" customFormat="1" x14ac:dyDescent="0.2"/>
    <row r="2204" spans="1:11" s="3309" customFormat="1" ht="15.75" x14ac:dyDescent="0.25">
      <c r="A2204" s="3322" t="s">
        <v>5934</v>
      </c>
      <c r="B2204" s="3321" t="e">
        <f t="shared" ref="B2204:G2204" si="1251">B2201/B521*B146</f>
        <v>#VALUE!</v>
      </c>
      <c r="C2204" s="3321" t="e">
        <f t="shared" si="1251"/>
        <v>#VALUE!</v>
      </c>
      <c r="D2204" s="3321" t="e">
        <f t="shared" si="1251"/>
        <v>#VALUE!</v>
      </c>
      <c r="E2204" s="3321" t="e">
        <f t="shared" si="1251"/>
        <v>#VALUE!</v>
      </c>
      <c r="F2204" s="3321" t="e">
        <f t="shared" si="1251"/>
        <v>#VALUE!</v>
      </c>
      <c r="G2204" s="3321" t="e">
        <f t="shared" si="1251"/>
        <v>#VALUE!</v>
      </c>
      <c r="I2204" s="3320"/>
      <c r="J2204" s="3317"/>
      <c r="K2204" s="3317"/>
    </row>
    <row r="2205" spans="1:11" s="3309" customFormat="1" ht="15.75" x14ac:dyDescent="0.25">
      <c r="A2205" s="3319"/>
      <c r="B2205" s="3318"/>
      <c r="C2205" s="3318"/>
      <c r="D2205" s="3318"/>
      <c r="E2205" s="3318"/>
      <c r="F2205" s="3318"/>
      <c r="G2205" s="3318"/>
      <c r="H2205" s="3317"/>
      <c r="I2205" s="3317"/>
      <c r="J2205" s="3317"/>
    </row>
    <row r="2206" spans="1:11" s="3309" customFormat="1" ht="15.75" x14ac:dyDescent="0.25">
      <c r="A2206" s="3316"/>
      <c r="B2206" s="3315">
        <v>0.5</v>
      </c>
      <c r="C2206" s="3315">
        <v>0.75</v>
      </c>
      <c r="D2206" s="3315">
        <v>1</v>
      </c>
      <c r="E2206" s="3315">
        <v>1.25</v>
      </c>
      <c r="F2206" s="3315">
        <v>1.5</v>
      </c>
      <c r="G2206" s="3315">
        <v>1.75</v>
      </c>
    </row>
    <row r="2207" spans="1:11" s="3309" customFormat="1" x14ac:dyDescent="0.2"/>
    <row r="2208" spans="1:11" s="3309" customFormat="1" ht="15.75" x14ac:dyDescent="0.25">
      <c r="A2208" s="3312" t="s">
        <v>5933</v>
      </c>
      <c r="B2208" s="3311" t="e">
        <f t="shared" ref="B2208:G2208" si="1252">B2209+B2210+B2211+B2212</f>
        <v>#VALUE!</v>
      </c>
      <c r="C2208" s="3311" t="e">
        <f t="shared" si="1252"/>
        <v>#DIV/0!</v>
      </c>
      <c r="D2208" s="3311" t="e">
        <f t="shared" si="1252"/>
        <v>#DIV/0!</v>
      </c>
      <c r="E2208" s="3311" t="e">
        <f t="shared" si="1252"/>
        <v>#DIV/0!</v>
      </c>
      <c r="F2208" s="3311" t="e">
        <f t="shared" si="1252"/>
        <v>#DIV/0!</v>
      </c>
      <c r="G2208" s="3311" t="e">
        <f t="shared" si="1252"/>
        <v>#DIV/0!</v>
      </c>
    </row>
    <row r="2209" spans="1:9" s="3309" customFormat="1" ht="15.75" x14ac:dyDescent="0.25">
      <c r="A2209" s="3312" t="s">
        <v>5931</v>
      </c>
      <c r="B2209" s="3311" t="e">
        <f t="shared" ref="B2209:G2209" si="1253">B721+((B1370+B2004)/(B146*B521))+B2202</f>
        <v>#VALUE!</v>
      </c>
      <c r="C2209" s="3311" t="e">
        <f t="shared" si="1253"/>
        <v>#DIV/0!</v>
      </c>
      <c r="D2209" s="3311" t="e">
        <f t="shared" si="1253"/>
        <v>#DIV/0!</v>
      </c>
      <c r="E2209" s="3311" t="e">
        <f t="shared" si="1253"/>
        <v>#DIV/0!</v>
      </c>
      <c r="F2209" s="3311" t="e">
        <f t="shared" si="1253"/>
        <v>#DIV/0!</v>
      </c>
      <c r="G2209" s="3311" t="e">
        <f t="shared" si="1253"/>
        <v>#DIV/0!</v>
      </c>
    </row>
    <row r="2210" spans="1:9" s="3309" customFormat="1" ht="15.75" x14ac:dyDescent="0.25">
      <c r="A2210" s="3312" t="s">
        <v>1162</v>
      </c>
      <c r="B2210" s="3311" t="e">
        <f t="shared" ref="B2210:G2210" si="1254">B722+((B1371+B2005)/(B146*B521))</f>
        <v>#VALUE!</v>
      </c>
      <c r="C2210" s="3311" t="e">
        <f t="shared" si="1254"/>
        <v>#DIV/0!</v>
      </c>
      <c r="D2210" s="3311" t="e">
        <f t="shared" si="1254"/>
        <v>#DIV/0!</v>
      </c>
      <c r="E2210" s="3311" t="e">
        <f t="shared" si="1254"/>
        <v>#DIV/0!</v>
      </c>
      <c r="F2210" s="3311" t="e">
        <f t="shared" si="1254"/>
        <v>#DIV/0!</v>
      </c>
      <c r="G2210" s="3311" t="e">
        <f t="shared" si="1254"/>
        <v>#DIV/0!</v>
      </c>
    </row>
    <row r="2211" spans="1:9" s="3309" customFormat="1" ht="15.75" x14ac:dyDescent="0.25">
      <c r="A2211" s="3312" t="s">
        <v>5930</v>
      </c>
      <c r="B2211" s="3311" t="e">
        <f t="shared" ref="B2211:G2211" si="1255">B723+((B1372+B2006)/(B146*B521))</f>
        <v>#VALUE!</v>
      </c>
      <c r="C2211" s="3311" t="e">
        <f t="shared" si="1255"/>
        <v>#DIV/0!</v>
      </c>
      <c r="D2211" s="3311" t="e">
        <f t="shared" si="1255"/>
        <v>#DIV/0!</v>
      </c>
      <c r="E2211" s="3311" t="e">
        <f t="shared" si="1255"/>
        <v>#DIV/0!</v>
      </c>
      <c r="F2211" s="3311" t="e">
        <f t="shared" si="1255"/>
        <v>#DIV/0!</v>
      </c>
      <c r="G2211" s="3311" t="e">
        <f t="shared" si="1255"/>
        <v>#DIV/0!</v>
      </c>
      <c r="H2211" s="3314"/>
      <c r="I2211" s="3314"/>
    </row>
    <row r="2212" spans="1:9" s="3309" customFormat="1" ht="15.75" x14ac:dyDescent="0.25">
      <c r="A2212" s="3312" t="s">
        <v>5929</v>
      </c>
      <c r="B2212" s="3311" t="e">
        <f t="shared" ref="B2212:G2212" si="1256">B724+((B1321+B1954)/(B146*B521))</f>
        <v>#VALUE!</v>
      </c>
      <c r="C2212" s="3311" t="e">
        <f t="shared" si="1256"/>
        <v>#DIV/0!</v>
      </c>
      <c r="D2212" s="3311" t="e">
        <f t="shared" si="1256"/>
        <v>#DIV/0!</v>
      </c>
      <c r="E2212" s="3311" t="e">
        <f t="shared" si="1256"/>
        <v>#DIV/0!</v>
      </c>
      <c r="F2212" s="3311" t="e">
        <f t="shared" si="1256"/>
        <v>#DIV/0!</v>
      </c>
      <c r="G2212" s="3311" t="e">
        <f t="shared" si="1256"/>
        <v>#DIV/0!</v>
      </c>
    </row>
    <row r="2213" spans="1:9" s="3309" customFormat="1" x14ac:dyDescent="0.2">
      <c r="A2213" s="3310"/>
    </row>
    <row r="2214" spans="1:9" s="3309" customFormat="1" x14ac:dyDescent="0.2">
      <c r="A2214" s="3313" t="s">
        <v>5932</v>
      </c>
      <c r="B2214" s="3310"/>
      <c r="C2214" s="3310"/>
      <c r="D2214" s="3310"/>
      <c r="E2214" s="3310"/>
      <c r="F2214" s="3310"/>
      <c r="G2214" s="3310"/>
    </row>
    <row r="2215" spans="1:9" s="3309" customFormat="1" ht="15.75" x14ac:dyDescent="0.25">
      <c r="A2215" s="3312" t="s">
        <v>5931</v>
      </c>
      <c r="B2215" s="3311" t="e">
        <f t="shared" ref="B2215:G2215" si="1257">((B1370+B2004)/(B146*B521))</f>
        <v>#VALUE!</v>
      </c>
      <c r="C2215" s="3311" t="e">
        <f t="shared" si="1257"/>
        <v>#DIV/0!</v>
      </c>
      <c r="D2215" s="3311" t="e">
        <f t="shared" si="1257"/>
        <v>#DIV/0!</v>
      </c>
      <c r="E2215" s="3311" t="e">
        <f t="shared" si="1257"/>
        <v>#DIV/0!</v>
      </c>
      <c r="F2215" s="3311" t="e">
        <f t="shared" si="1257"/>
        <v>#DIV/0!</v>
      </c>
      <c r="G2215" s="3311" t="e">
        <f t="shared" si="1257"/>
        <v>#DIV/0!</v>
      </c>
    </row>
    <row r="2216" spans="1:9" s="3309" customFormat="1" ht="15.75" x14ac:dyDescent="0.25">
      <c r="A2216" s="3312" t="s">
        <v>1162</v>
      </c>
      <c r="B2216" s="3311" t="e">
        <f t="shared" ref="B2216:G2216" si="1258">((B1371+B2005)/(B146*B521))</f>
        <v>#VALUE!</v>
      </c>
      <c r="C2216" s="3311" t="e">
        <f t="shared" si="1258"/>
        <v>#DIV/0!</v>
      </c>
      <c r="D2216" s="3311" t="e">
        <f t="shared" si="1258"/>
        <v>#DIV/0!</v>
      </c>
      <c r="E2216" s="3311" t="e">
        <f t="shared" si="1258"/>
        <v>#DIV/0!</v>
      </c>
      <c r="F2216" s="3311" t="e">
        <f t="shared" si="1258"/>
        <v>#DIV/0!</v>
      </c>
      <c r="G2216" s="3311" t="e">
        <f t="shared" si="1258"/>
        <v>#DIV/0!</v>
      </c>
    </row>
    <row r="2217" spans="1:9" s="3309" customFormat="1" ht="15.75" x14ac:dyDescent="0.25">
      <c r="A2217" s="3312" t="s">
        <v>5930</v>
      </c>
      <c r="B2217" s="3311" t="e">
        <f t="shared" ref="B2217:G2217" si="1259">((B1372+B2006)/(B146*B521))</f>
        <v>#DIV/0!</v>
      </c>
      <c r="C2217" s="3311" t="e">
        <f t="shared" si="1259"/>
        <v>#DIV/0!</v>
      </c>
      <c r="D2217" s="3311" t="e">
        <f t="shared" si="1259"/>
        <v>#DIV/0!</v>
      </c>
      <c r="E2217" s="3311" t="e">
        <f t="shared" si="1259"/>
        <v>#DIV/0!</v>
      </c>
      <c r="F2217" s="3311" t="e">
        <f t="shared" si="1259"/>
        <v>#DIV/0!</v>
      </c>
      <c r="G2217" s="3311" t="e">
        <f t="shared" si="1259"/>
        <v>#DIV/0!</v>
      </c>
    </row>
    <row r="2218" spans="1:9" s="3309" customFormat="1" ht="15.75" x14ac:dyDescent="0.25">
      <c r="A2218" s="3312" t="s">
        <v>5929</v>
      </c>
      <c r="B2218" s="3311" t="e">
        <f t="shared" ref="B2218:G2218" si="1260">((B1321+B1954)/(B146*B521))</f>
        <v>#VALUE!</v>
      </c>
      <c r="C2218" s="3311" t="e">
        <f t="shared" si="1260"/>
        <v>#DIV/0!</v>
      </c>
      <c r="D2218" s="3311" t="e">
        <f t="shared" si="1260"/>
        <v>#DIV/0!</v>
      </c>
      <c r="E2218" s="3311" t="e">
        <f t="shared" si="1260"/>
        <v>#DIV/0!</v>
      </c>
      <c r="F2218" s="3311" t="e">
        <f t="shared" si="1260"/>
        <v>#DIV/0!</v>
      </c>
      <c r="G2218" s="3311" t="e">
        <f t="shared" si="1260"/>
        <v>#DIV/0!</v>
      </c>
    </row>
    <row r="2219" spans="1:9" s="3309" customFormat="1" x14ac:dyDescent="0.2">
      <c r="A2219" s="3310"/>
      <c r="B2219" s="3310"/>
      <c r="C2219" s="3310"/>
      <c r="D2219" s="3310"/>
      <c r="E2219" s="3310"/>
      <c r="F2219" s="3310"/>
      <c r="G2219" s="3310"/>
    </row>
    <row r="2220" spans="1:9" s="3309" customFormat="1" x14ac:dyDescent="0.2">
      <c r="A2220" s="3310"/>
      <c r="B2220" s="3310"/>
      <c r="C2220" s="3310"/>
      <c r="D2220" s="3310"/>
      <c r="E2220" s="3310"/>
      <c r="F2220" s="3310"/>
      <c r="G2220" s="3310"/>
    </row>
    <row r="2221" spans="1:9" s="3309" customFormat="1" x14ac:dyDescent="0.2">
      <c r="A2221" s="3310"/>
      <c r="B2221" s="3310"/>
      <c r="C2221" s="3310"/>
      <c r="D2221" s="3310"/>
      <c r="E2221" s="3310"/>
      <c r="F2221" s="3310"/>
      <c r="G2221" s="3310"/>
    </row>
    <row r="2222" spans="1:9" s="3309" customFormat="1" x14ac:dyDescent="0.2">
      <c r="A2222" s="3310"/>
      <c r="B2222" s="3310"/>
      <c r="C2222" s="3310"/>
      <c r="D2222" s="3310"/>
      <c r="E2222" s="3310"/>
      <c r="F2222" s="3310"/>
      <c r="G2222" s="3310"/>
    </row>
    <row r="2223" spans="1:9" s="3309" customFormat="1" x14ac:dyDescent="0.2">
      <c r="A2223" s="3310"/>
      <c r="B2223" s="3310"/>
      <c r="C2223" s="3310"/>
      <c r="D2223" s="3310"/>
      <c r="E2223" s="3310"/>
      <c r="F2223" s="3310"/>
      <c r="G2223" s="3310"/>
    </row>
    <row r="2224" spans="1:9" s="3309" customFormat="1" x14ac:dyDescent="0.2">
      <c r="A2224" s="3310"/>
      <c r="B2224" s="3310"/>
      <c r="C2224" s="3310"/>
      <c r="D2224" s="3310"/>
      <c r="E2224" s="3310"/>
      <c r="F2224" s="3310"/>
      <c r="G2224" s="3310"/>
    </row>
    <row r="2225" spans="1:7" s="3309" customFormat="1" x14ac:dyDescent="0.2">
      <c r="A2225" s="3310"/>
      <c r="B2225" s="3310"/>
      <c r="C2225" s="3310"/>
      <c r="D2225" s="3310"/>
      <c r="E2225" s="3310"/>
      <c r="F2225" s="3310"/>
      <c r="G2225" s="3310"/>
    </row>
    <row r="2226" spans="1:7" s="3309" customFormat="1" x14ac:dyDescent="0.2">
      <c r="A2226" s="3310"/>
      <c r="B2226" s="3310"/>
      <c r="C2226" s="3310"/>
      <c r="D2226" s="3310"/>
      <c r="E2226" s="3310"/>
      <c r="F2226" s="3310"/>
      <c r="G2226" s="3310"/>
    </row>
    <row r="2227" spans="1:7" s="3309" customFormat="1" x14ac:dyDescent="0.2">
      <c r="A2227" s="3310"/>
      <c r="B2227" s="3310"/>
      <c r="C2227" s="3310"/>
      <c r="D2227" s="3310"/>
      <c r="E2227" s="3310"/>
      <c r="F2227" s="3310"/>
      <c r="G2227" s="3310"/>
    </row>
    <row r="2228" spans="1:7" s="3309" customFormat="1" x14ac:dyDescent="0.2">
      <c r="A2228" s="3310"/>
      <c r="B2228" s="3310"/>
      <c r="C2228" s="3310"/>
      <c r="D2228" s="3310"/>
      <c r="E2228" s="3310"/>
      <c r="F2228" s="3310"/>
      <c r="G2228" s="3310"/>
    </row>
    <row r="2229" spans="1:7" s="3309" customFormat="1" x14ac:dyDescent="0.2">
      <c r="A2229" s="3310"/>
      <c r="B2229" s="3310"/>
      <c r="C2229" s="3310"/>
      <c r="D2229" s="3310"/>
      <c r="E2229" s="3310"/>
      <c r="F2229" s="3310"/>
      <c r="G2229" s="3310"/>
    </row>
    <row r="2230" spans="1:7" s="3309" customFormat="1" x14ac:dyDescent="0.2">
      <c r="A2230" s="3310"/>
      <c r="B2230" s="3310"/>
      <c r="C2230" s="3310"/>
      <c r="D2230" s="3310"/>
      <c r="E2230" s="3310"/>
      <c r="F2230" s="3310"/>
      <c r="G2230" s="3310"/>
    </row>
    <row r="2231" spans="1:7" s="3309" customFormat="1" x14ac:dyDescent="0.2">
      <c r="A2231" s="3310"/>
      <c r="B2231" s="3310"/>
      <c r="C2231" s="3310"/>
      <c r="D2231" s="3310"/>
      <c r="E2231" s="3310"/>
      <c r="F2231" s="3310"/>
      <c r="G2231" s="3310"/>
    </row>
    <row r="2232" spans="1:7" s="3309" customFormat="1" x14ac:dyDescent="0.2">
      <c r="A2232" s="3310"/>
      <c r="B2232" s="3310"/>
      <c r="C2232" s="3310"/>
      <c r="D2232" s="3310"/>
      <c r="E2232" s="3310"/>
      <c r="F2232" s="3310"/>
      <c r="G2232" s="3310"/>
    </row>
    <row r="2233" spans="1:7" s="3309" customFormat="1" x14ac:dyDescent="0.2">
      <c r="A2233" s="3310"/>
      <c r="B2233" s="3310"/>
      <c r="C2233" s="3310"/>
      <c r="D2233" s="3310"/>
      <c r="E2233" s="3310"/>
      <c r="F2233" s="3310"/>
      <c r="G2233" s="3310"/>
    </row>
    <row r="2234" spans="1:7" s="3309" customFormat="1" x14ac:dyDescent="0.2">
      <c r="A2234" s="3310"/>
      <c r="B2234" s="3310"/>
      <c r="C2234" s="3310"/>
      <c r="D2234" s="3310"/>
      <c r="E2234" s="3310"/>
      <c r="F2234" s="3310"/>
      <c r="G2234" s="3310"/>
    </row>
    <row r="2235" spans="1:7" s="3309" customFormat="1" x14ac:dyDescent="0.2">
      <c r="A2235" s="3310"/>
      <c r="B2235" s="3310"/>
      <c r="C2235" s="3310"/>
      <c r="D2235" s="3310"/>
      <c r="E2235" s="3310"/>
      <c r="F2235" s="3310"/>
      <c r="G2235" s="3310"/>
    </row>
    <row r="2236" spans="1:7" s="3309" customFormat="1" x14ac:dyDescent="0.2">
      <c r="A2236" s="3310"/>
      <c r="B2236" s="3310"/>
      <c r="C2236" s="3310"/>
      <c r="D2236" s="3310"/>
      <c r="E2236" s="3310"/>
      <c r="F2236" s="3310"/>
      <c r="G2236" s="3310"/>
    </row>
    <row r="2237" spans="1:7" s="3309" customFormat="1" x14ac:dyDescent="0.2">
      <c r="A2237" s="3310"/>
      <c r="B2237" s="3310"/>
      <c r="C2237" s="3310"/>
      <c r="D2237" s="3310"/>
      <c r="E2237" s="3310"/>
      <c r="F2237" s="3310"/>
      <c r="G2237" s="3310"/>
    </row>
    <row r="2238" spans="1:7" s="3309" customFormat="1" x14ac:dyDescent="0.2">
      <c r="A2238" s="3310"/>
      <c r="B2238" s="3310"/>
      <c r="C2238" s="3310"/>
      <c r="D2238" s="3310"/>
      <c r="E2238" s="3310"/>
      <c r="F2238" s="3310"/>
      <c r="G2238" s="3310"/>
    </row>
    <row r="2239" spans="1:7" s="3309" customFormat="1" x14ac:dyDescent="0.2">
      <c r="A2239" s="3310"/>
      <c r="B2239" s="3310"/>
      <c r="C2239" s="3310"/>
      <c r="D2239" s="3310"/>
      <c r="E2239" s="3310"/>
      <c r="F2239" s="3310"/>
      <c r="G2239" s="3310"/>
    </row>
    <row r="2240" spans="1:7" s="3309" customFormat="1" x14ac:dyDescent="0.2">
      <c r="A2240" s="3310"/>
      <c r="B2240" s="3310"/>
      <c r="C2240" s="3310"/>
      <c r="D2240" s="3310"/>
      <c r="E2240" s="3310"/>
      <c r="F2240" s="3310"/>
      <c r="G2240" s="3310"/>
    </row>
    <row r="2241" spans="1:7" s="3309" customFormat="1" x14ac:dyDescent="0.2">
      <c r="A2241" s="3310"/>
      <c r="B2241" s="3310"/>
      <c r="C2241" s="3310"/>
      <c r="D2241" s="3310"/>
      <c r="E2241" s="3310"/>
      <c r="F2241" s="3310"/>
      <c r="G2241" s="3310"/>
    </row>
    <row r="2242" spans="1:7" s="3309" customFormat="1" x14ac:dyDescent="0.2">
      <c r="A2242" s="3310"/>
      <c r="B2242" s="3310"/>
      <c r="C2242" s="3310"/>
      <c r="D2242" s="3310"/>
      <c r="E2242" s="3310"/>
      <c r="F2242" s="3310"/>
      <c r="G2242" s="3310"/>
    </row>
    <row r="2243" spans="1:7" s="3309" customFormat="1" x14ac:dyDescent="0.2">
      <c r="A2243" s="3310"/>
      <c r="B2243" s="3310"/>
      <c r="C2243" s="3310"/>
      <c r="D2243" s="3310"/>
      <c r="E2243" s="3310"/>
      <c r="F2243" s="3310"/>
      <c r="G2243" s="3310"/>
    </row>
    <row r="2244" spans="1:7" s="3309" customFormat="1" x14ac:dyDescent="0.2">
      <c r="A2244" s="3310"/>
      <c r="B2244" s="3310"/>
      <c r="C2244" s="3310"/>
      <c r="D2244" s="3310"/>
      <c r="E2244" s="3310"/>
      <c r="F2244" s="3310"/>
      <c r="G2244" s="3310"/>
    </row>
    <row r="2245" spans="1:7" s="3309" customFormat="1" x14ac:dyDescent="0.2">
      <c r="A2245" s="3310"/>
      <c r="B2245" s="3310"/>
      <c r="C2245" s="3310"/>
      <c r="D2245" s="3310"/>
      <c r="E2245" s="3310"/>
      <c r="F2245" s="3310"/>
      <c r="G2245" s="3310"/>
    </row>
    <row r="2246" spans="1:7" s="3309" customFormat="1" x14ac:dyDescent="0.2">
      <c r="A2246" s="3310"/>
      <c r="B2246" s="3310"/>
      <c r="C2246" s="3310"/>
      <c r="D2246" s="3310"/>
      <c r="E2246" s="3310"/>
      <c r="F2246" s="3310"/>
      <c r="G2246" s="3310"/>
    </row>
    <row r="2247" spans="1:7" s="3309" customFormat="1" x14ac:dyDescent="0.2">
      <c r="A2247" s="3310"/>
      <c r="B2247" s="3310"/>
      <c r="C2247" s="3310"/>
      <c r="D2247" s="3310"/>
      <c r="E2247" s="3310"/>
      <c r="F2247" s="3310"/>
      <c r="G2247" s="3310"/>
    </row>
    <row r="2248" spans="1:7" s="3309" customFormat="1" x14ac:dyDescent="0.2">
      <c r="A2248" s="3310"/>
      <c r="B2248" s="3310"/>
      <c r="C2248" s="3310"/>
      <c r="D2248" s="3310"/>
      <c r="E2248" s="3310"/>
      <c r="F2248" s="3310"/>
      <c r="G2248" s="3310"/>
    </row>
    <row r="2249" spans="1:7" s="3309" customFormat="1" x14ac:dyDescent="0.2">
      <c r="A2249" s="3310"/>
      <c r="B2249" s="3310"/>
      <c r="C2249" s="3310"/>
      <c r="D2249" s="3310"/>
      <c r="E2249" s="3310"/>
      <c r="F2249" s="3310"/>
      <c r="G2249" s="3310"/>
    </row>
    <row r="2250" spans="1:7" s="3309" customFormat="1" x14ac:dyDescent="0.2">
      <c r="A2250" s="3310"/>
      <c r="B2250" s="3310"/>
      <c r="C2250" s="3310"/>
      <c r="D2250" s="3310"/>
      <c r="E2250" s="3310"/>
      <c r="F2250" s="3310"/>
      <c r="G2250" s="3310"/>
    </row>
    <row r="2251" spans="1:7" s="3309" customFormat="1" x14ac:dyDescent="0.2">
      <c r="A2251" s="3310"/>
      <c r="B2251" s="3310"/>
      <c r="C2251" s="3310"/>
      <c r="D2251" s="3310"/>
      <c r="E2251" s="3310"/>
      <c r="F2251" s="3310"/>
      <c r="G2251" s="3310"/>
    </row>
    <row r="2252" spans="1:7" s="3309" customFormat="1" x14ac:dyDescent="0.2">
      <c r="A2252" s="3310"/>
      <c r="B2252" s="3310"/>
      <c r="C2252" s="3310"/>
      <c r="D2252" s="3310"/>
      <c r="E2252" s="3310"/>
      <c r="F2252" s="3310"/>
      <c r="G2252" s="3310"/>
    </row>
    <row r="2253" spans="1:7" s="3309" customFormat="1" x14ac:dyDescent="0.2">
      <c r="A2253" s="3310"/>
      <c r="B2253" s="3310"/>
      <c r="C2253" s="3310"/>
      <c r="D2253" s="3310"/>
      <c r="E2253" s="3310"/>
      <c r="F2253" s="3310"/>
      <c r="G2253" s="3310"/>
    </row>
    <row r="2254" spans="1:7" s="3309" customFormat="1" x14ac:dyDescent="0.2">
      <c r="A2254" s="3310"/>
      <c r="B2254" s="3310"/>
      <c r="C2254" s="3310"/>
      <c r="D2254" s="3310"/>
      <c r="E2254" s="3310"/>
      <c r="F2254" s="3310"/>
      <c r="G2254" s="3310"/>
    </row>
    <row r="2255" spans="1:7" s="3309" customFormat="1" x14ac:dyDescent="0.2">
      <c r="A2255" s="3310"/>
      <c r="B2255" s="3310"/>
      <c r="C2255" s="3310"/>
      <c r="D2255" s="3310"/>
      <c r="E2255" s="3310"/>
      <c r="F2255" s="3310"/>
      <c r="G2255" s="3310"/>
    </row>
    <row r="2256" spans="1:7" s="3309" customFormat="1" x14ac:dyDescent="0.2">
      <c r="A2256" s="3310"/>
      <c r="B2256" s="3310"/>
      <c r="C2256" s="3310"/>
      <c r="D2256" s="3310"/>
      <c r="E2256" s="3310"/>
      <c r="F2256" s="3310"/>
      <c r="G2256" s="3310"/>
    </row>
    <row r="2257" spans="1:7" s="3309" customFormat="1" x14ac:dyDescent="0.2">
      <c r="A2257" s="3310"/>
      <c r="B2257" s="3310"/>
      <c r="C2257" s="3310"/>
      <c r="D2257" s="3310"/>
      <c r="E2257" s="3310"/>
      <c r="F2257" s="3310"/>
      <c r="G2257" s="3310"/>
    </row>
    <row r="2258" spans="1:7" s="3309" customFormat="1" x14ac:dyDescent="0.2">
      <c r="A2258" s="3310"/>
      <c r="B2258" s="3310"/>
      <c r="C2258" s="3310"/>
      <c r="D2258" s="3310"/>
      <c r="E2258" s="3310"/>
      <c r="F2258" s="3310"/>
      <c r="G2258" s="3310"/>
    </row>
    <row r="2259" spans="1:7" s="3309" customFormat="1" x14ac:dyDescent="0.2">
      <c r="A2259" s="3310"/>
      <c r="B2259" s="3310"/>
      <c r="C2259" s="3310"/>
      <c r="D2259" s="3310"/>
      <c r="E2259" s="3310"/>
      <c r="F2259" s="3310"/>
      <c r="G2259" s="3310"/>
    </row>
    <row r="2260" spans="1:7" s="3309" customFormat="1" x14ac:dyDescent="0.2">
      <c r="A2260" s="3310"/>
      <c r="B2260" s="3310"/>
      <c r="C2260" s="3310"/>
      <c r="D2260" s="3310"/>
      <c r="E2260" s="3310"/>
      <c r="F2260" s="3310"/>
      <c r="G2260" s="3310"/>
    </row>
    <row r="2261" spans="1:7" s="3309" customFormat="1" x14ac:dyDescent="0.2">
      <c r="A2261" s="3310"/>
      <c r="B2261" s="3310"/>
      <c r="C2261" s="3310"/>
      <c r="D2261" s="3310"/>
      <c r="E2261" s="3310"/>
      <c r="F2261" s="3310"/>
      <c r="G2261" s="3310"/>
    </row>
    <row r="2262" spans="1:7" s="3309" customFormat="1" x14ac:dyDescent="0.2">
      <c r="A2262" s="3310"/>
      <c r="B2262" s="3310"/>
      <c r="C2262" s="3310"/>
      <c r="D2262" s="3310"/>
      <c r="E2262" s="3310"/>
      <c r="F2262" s="3310"/>
      <c r="G2262" s="3310"/>
    </row>
    <row r="2263" spans="1:7" s="3309" customFormat="1" x14ac:dyDescent="0.2">
      <c r="A2263" s="3310"/>
      <c r="B2263" s="3310"/>
      <c r="C2263" s="3310"/>
      <c r="D2263" s="3310"/>
      <c r="E2263" s="3310"/>
      <c r="F2263" s="3310"/>
      <c r="G2263" s="3310"/>
    </row>
    <row r="2264" spans="1:7" s="3309" customFormat="1" x14ac:dyDescent="0.2">
      <c r="A2264" s="3310"/>
      <c r="B2264" s="3310"/>
      <c r="C2264" s="3310"/>
      <c r="D2264" s="3310"/>
      <c r="E2264" s="3310"/>
      <c r="F2264" s="3310"/>
      <c r="G2264" s="3310"/>
    </row>
    <row r="2265" spans="1:7" s="3309" customFormat="1" x14ac:dyDescent="0.2">
      <c r="A2265" s="3310"/>
      <c r="B2265" s="3310"/>
      <c r="C2265" s="3310"/>
      <c r="D2265" s="3310"/>
      <c r="E2265" s="3310"/>
      <c r="F2265" s="3310"/>
      <c r="G2265" s="3310"/>
    </row>
    <row r="2266" spans="1:7" s="3309" customFormat="1" x14ac:dyDescent="0.2">
      <c r="A2266" s="3310"/>
      <c r="B2266" s="3310"/>
      <c r="C2266" s="3310"/>
      <c r="D2266" s="3310"/>
      <c r="E2266" s="3310"/>
      <c r="F2266" s="3310"/>
      <c r="G2266" s="3310"/>
    </row>
    <row r="2267" spans="1:7" s="3309" customFormat="1" x14ac:dyDescent="0.2">
      <c r="A2267" s="3310"/>
      <c r="B2267" s="3310"/>
      <c r="C2267" s="3310"/>
      <c r="D2267" s="3310"/>
      <c r="E2267" s="3310"/>
      <c r="F2267" s="3310"/>
      <c r="G2267" s="3310"/>
    </row>
    <row r="2268" spans="1:7" s="3309" customFormat="1" x14ac:dyDescent="0.2">
      <c r="A2268" s="3310"/>
      <c r="B2268" s="3310"/>
      <c r="C2268" s="3310"/>
      <c r="D2268" s="3310"/>
      <c r="E2268" s="3310"/>
      <c r="F2268" s="3310"/>
      <c r="G2268" s="3310"/>
    </row>
    <row r="2269" spans="1:7" s="3309" customFormat="1" x14ac:dyDescent="0.2">
      <c r="A2269" s="3310"/>
      <c r="B2269" s="3310"/>
      <c r="C2269" s="3310"/>
      <c r="D2269" s="3310"/>
      <c r="E2269" s="3310"/>
      <c r="F2269" s="3310"/>
      <c r="G2269" s="3310"/>
    </row>
    <row r="2270" spans="1:7" s="3309" customFormat="1" x14ac:dyDescent="0.2">
      <c r="A2270" s="3310"/>
      <c r="B2270" s="3310"/>
      <c r="C2270" s="3310"/>
      <c r="D2270" s="3310"/>
      <c r="E2270" s="3310"/>
      <c r="F2270" s="3310"/>
      <c r="G2270" s="3310"/>
    </row>
    <row r="2271" spans="1:7" s="3309" customFormat="1" x14ac:dyDescent="0.2">
      <c r="A2271" s="3310"/>
      <c r="B2271" s="3310"/>
      <c r="C2271" s="3310"/>
      <c r="D2271" s="3310"/>
      <c r="E2271" s="3310"/>
      <c r="F2271" s="3310"/>
      <c r="G2271" s="3310"/>
    </row>
    <row r="2272" spans="1:7" s="3309" customFormat="1" x14ac:dyDescent="0.2">
      <c r="A2272" s="3310"/>
      <c r="B2272" s="3310"/>
      <c r="C2272" s="3310"/>
      <c r="D2272" s="3310"/>
      <c r="E2272" s="3310"/>
      <c r="F2272" s="3310"/>
      <c r="G2272" s="3310"/>
    </row>
    <row r="2273" spans="1:7" s="3309" customFormat="1" x14ac:dyDescent="0.2">
      <c r="A2273" s="3310"/>
      <c r="B2273" s="3310"/>
      <c r="C2273" s="3310"/>
      <c r="D2273" s="3310"/>
      <c r="E2273" s="3310"/>
      <c r="F2273" s="3310"/>
      <c r="G2273" s="3310"/>
    </row>
    <row r="2274" spans="1:7" x14ac:dyDescent="0.2">
      <c r="A2274" s="3129"/>
      <c r="B2274" s="3129"/>
      <c r="C2274" s="3129"/>
      <c r="D2274" s="3129"/>
      <c r="E2274" s="3129"/>
      <c r="F2274" s="3129"/>
      <c r="G2274" s="3129"/>
    </row>
    <row r="2275" spans="1:7" x14ac:dyDescent="0.2">
      <c r="A2275" s="3129"/>
      <c r="B2275" s="3129"/>
      <c r="C2275" s="3129"/>
      <c r="D2275" s="3129"/>
      <c r="E2275" s="3129"/>
      <c r="F2275" s="3129"/>
      <c r="G2275" s="3129"/>
    </row>
    <row r="2276" spans="1:7" x14ac:dyDescent="0.2">
      <c r="A2276" s="3129"/>
      <c r="B2276" s="3129"/>
      <c r="C2276" s="3129"/>
      <c r="D2276" s="3129"/>
      <c r="E2276" s="3129"/>
      <c r="F2276" s="3129"/>
      <c r="G2276" s="3129"/>
    </row>
    <row r="2277" spans="1:7" x14ac:dyDescent="0.2">
      <c r="A2277" s="3129"/>
      <c r="B2277" s="3129"/>
      <c r="C2277" s="3129"/>
      <c r="D2277" s="3129"/>
      <c r="E2277" s="3129"/>
      <c r="F2277" s="3129"/>
      <c r="G2277" s="3129"/>
    </row>
    <row r="2278" spans="1:7" x14ac:dyDescent="0.2">
      <c r="A2278" s="3129"/>
      <c r="B2278" s="3129"/>
      <c r="C2278" s="3129"/>
      <c r="D2278" s="3129"/>
      <c r="E2278" s="3129"/>
      <c r="F2278" s="3129"/>
      <c r="G2278" s="3129"/>
    </row>
    <row r="2279" spans="1:7" x14ac:dyDescent="0.2">
      <c r="A2279" s="3129"/>
      <c r="B2279" s="3129"/>
      <c r="C2279" s="3129"/>
      <c r="D2279" s="3129"/>
      <c r="E2279" s="3129"/>
      <c r="F2279" s="3129"/>
      <c r="G2279" s="3129"/>
    </row>
    <row r="2280" spans="1:7" x14ac:dyDescent="0.2">
      <c r="A2280" s="3129"/>
      <c r="B2280" s="3129"/>
      <c r="C2280" s="3129"/>
      <c r="D2280" s="3129"/>
      <c r="E2280" s="3129"/>
      <c r="F2280" s="3129"/>
      <c r="G2280" s="3129"/>
    </row>
    <row r="2281" spans="1:7" x14ac:dyDescent="0.2">
      <c r="A2281" s="3129"/>
      <c r="B2281" s="3129"/>
      <c r="C2281" s="3129"/>
      <c r="D2281" s="3129"/>
      <c r="E2281" s="3129"/>
      <c r="F2281" s="3129"/>
      <c r="G2281" s="3129"/>
    </row>
    <row r="2282" spans="1:7" x14ac:dyDescent="0.2">
      <c r="A2282" s="3129"/>
      <c r="B2282" s="3129"/>
      <c r="C2282" s="3129"/>
      <c r="D2282" s="3129"/>
      <c r="E2282" s="3129"/>
      <c r="F2282" s="3129"/>
      <c r="G2282" s="3129"/>
    </row>
    <row r="2283" spans="1:7" x14ac:dyDescent="0.2">
      <c r="A2283" s="3129"/>
      <c r="B2283" s="3129"/>
      <c r="C2283" s="3129"/>
      <c r="D2283" s="3129"/>
      <c r="E2283" s="3129"/>
      <c r="F2283" s="3129"/>
      <c r="G2283" s="3129"/>
    </row>
    <row r="2284" spans="1:7" x14ac:dyDescent="0.2">
      <c r="A2284" s="3129"/>
      <c r="B2284" s="3129"/>
      <c r="C2284" s="3129"/>
      <c r="D2284" s="3129"/>
      <c r="E2284" s="3129"/>
      <c r="F2284" s="3129"/>
      <c r="G2284" s="3129"/>
    </row>
    <row r="2285" spans="1:7" x14ac:dyDescent="0.2">
      <c r="A2285" s="3129"/>
      <c r="B2285" s="3129"/>
      <c r="C2285" s="3129"/>
      <c r="D2285" s="3129"/>
      <c r="E2285" s="3129"/>
      <c r="F2285" s="3129"/>
      <c r="G2285" s="3129"/>
    </row>
    <row r="2286" spans="1:7" x14ac:dyDescent="0.2">
      <c r="A2286" s="3129"/>
      <c r="B2286" s="3129"/>
      <c r="C2286" s="3129"/>
      <c r="D2286" s="3129"/>
      <c r="E2286" s="3129"/>
      <c r="F2286" s="3129"/>
      <c r="G2286" s="3129"/>
    </row>
    <row r="2287" spans="1:7" x14ac:dyDescent="0.2">
      <c r="A2287" s="3129"/>
      <c r="B2287" s="3129"/>
      <c r="C2287" s="3129"/>
      <c r="D2287" s="3129"/>
      <c r="E2287" s="3129"/>
      <c r="F2287" s="3129"/>
      <c r="G2287" s="3129"/>
    </row>
    <row r="2288" spans="1:7" x14ac:dyDescent="0.2">
      <c r="A2288" s="3129"/>
      <c r="B2288" s="3129"/>
      <c r="C2288" s="3129"/>
      <c r="D2288" s="3129"/>
      <c r="E2288" s="3129"/>
      <c r="F2288" s="3129"/>
      <c r="G2288" s="3129"/>
    </row>
    <row r="2289" spans="1:7" x14ac:dyDescent="0.2">
      <c r="A2289" s="3129"/>
      <c r="B2289" s="3129"/>
      <c r="C2289" s="3129"/>
      <c r="D2289" s="3129"/>
      <c r="E2289" s="3129"/>
      <c r="F2289" s="3129"/>
      <c r="G2289" s="3129"/>
    </row>
    <row r="2290" spans="1:7" x14ac:dyDescent="0.2">
      <c r="A2290" s="3129"/>
      <c r="B2290" s="3129"/>
      <c r="C2290" s="3129"/>
      <c r="D2290" s="3129"/>
      <c r="E2290" s="3129"/>
      <c r="F2290" s="3129"/>
      <c r="G2290" s="3129"/>
    </row>
    <row r="2291" spans="1:7" x14ac:dyDescent="0.2">
      <c r="A2291" s="3129"/>
      <c r="B2291" s="3129"/>
      <c r="C2291" s="3129"/>
      <c r="D2291" s="3129"/>
      <c r="E2291" s="3129"/>
      <c r="F2291" s="3129"/>
      <c r="G2291" s="3129"/>
    </row>
    <row r="2292" spans="1:7" x14ac:dyDescent="0.2">
      <c r="A2292" s="3129"/>
      <c r="B2292" s="3129"/>
      <c r="C2292" s="3129"/>
      <c r="D2292" s="3129"/>
      <c r="E2292" s="3129"/>
      <c r="F2292" s="3129"/>
      <c r="G2292" s="3129"/>
    </row>
    <row r="2293" spans="1:7" x14ac:dyDescent="0.2">
      <c r="A2293" s="3129"/>
      <c r="B2293" s="3129"/>
      <c r="C2293" s="3129"/>
      <c r="D2293" s="3129"/>
      <c r="E2293" s="3129"/>
      <c r="F2293" s="3129"/>
      <c r="G2293" s="3129"/>
    </row>
    <row r="2294" spans="1:7" x14ac:dyDescent="0.2">
      <c r="A2294" s="3129"/>
      <c r="B2294" s="3129"/>
      <c r="C2294" s="3129"/>
      <c r="D2294" s="3129"/>
      <c r="E2294" s="3129"/>
      <c r="F2294" s="3129"/>
      <c r="G2294" s="3129"/>
    </row>
    <row r="2295" spans="1:7" x14ac:dyDescent="0.2">
      <c r="A2295" s="3129"/>
      <c r="B2295" s="3129"/>
      <c r="C2295" s="3129"/>
      <c r="D2295" s="3129"/>
      <c r="E2295" s="3129"/>
      <c r="F2295" s="3129"/>
      <c r="G2295" s="3129"/>
    </row>
    <row r="2296" spans="1:7" x14ac:dyDescent="0.2">
      <c r="A2296" s="3129"/>
      <c r="B2296" s="3129"/>
      <c r="C2296" s="3129"/>
      <c r="D2296" s="3129"/>
      <c r="E2296" s="3129"/>
      <c r="F2296" s="3129"/>
      <c r="G2296" s="3129"/>
    </row>
    <row r="2297" spans="1:7" x14ac:dyDescent="0.2">
      <c r="A2297" s="3129"/>
      <c r="B2297" s="3129"/>
      <c r="C2297" s="3129"/>
      <c r="D2297" s="3129"/>
      <c r="E2297" s="3129"/>
      <c r="F2297" s="3129"/>
      <c r="G2297" s="3129"/>
    </row>
    <row r="2298" spans="1:7" x14ac:dyDescent="0.2">
      <c r="A2298" s="3129"/>
      <c r="B2298" s="3129"/>
      <c r="C2298" s="3129"/>
      <c r="D2298" s="3129"/>
      <c r="E2298" s="3129"/>
      <c r="F2298" s="3129"/>
      <c r="G2298" s="3129"/>
    </row>
    <row r="2299" spans="1:7" x14ac:dyDescent="0.2">
      <c r="A2299" s="3129"/>
      <c r="B2299" s="3129"/>
      <c r="C2299" s="3129"/>
      <c r="D2299" s="3129"/>
      <c r="E2299" s="3129"/>
      <c r="F2299" s="3129"/>
      <c r="G2299" s="3129"/>
    </row>
    <row r="2300" spans="1:7" x14ac:dyDescent="0.2">
      <c r="A2300" s="3129"/>
      <c r="B2300" s="3129"/>
      <c r="C2300" s="3129"/>
      <c r="D2300" s="3129"/>
      <c r="E2300" s="3129"/>
      <c r="F2300" s="3129"/>
      <c r="G2300" s="3129"/>
    </row>
    <row r="2301" spans="1:7" x14ac:dyDescent="0.2">
      <c r="A2301" s="3129"/>
      <c r="B2301" s="3129"/>
      <c r="C2301" s="3129"/>
      <c r="D2301" s="3129"/>
      <c r="E2301" s="3129"/>
      <c r="F2301" s="3129"/>
      <c r="G2301" s="3129"/>
    </row>
    <row r="2302" spans="1:7" x14ac:dyDescent="0.2">
      <c r="A2302" s="3129"/>
      <c r="B2302" s="3129"/>
      <c r="C2302" s="3129"/>
      <c r="D2302" s="3129"/>
      <c r="E2302" s="3129"/>
      <c r="F2302" s="3129"/>
      <c r="G2302" s="3129"/>
    </row>
    <row r="2303" spans="1:7" x14ac:dyDescent="0.2">
      <c r="A2303" s="3129"/>
      <c r="B2303" s="3129"/>
      <c r="C2303" s="3129"/>
      <c r="D2303" s="3129"/>
      <c r="E2303" s="3129"/>
      <c r="F2303" s="3129"/>
      <c r="G2303" s="3129"/>
    </row>
    <row r="2304" spans="1:7" x14ac:dyDescent="0.2">
      <c r="A2304" s="3129"/>
      <c r="B2304" s="3129"/>
      <c r="C2304" s="3129"/>
      <c r="D2304" s="3129"/>
      <c r="E2304" s="3129"/>
      <c r="F2304" s="3129"/>
      <c r="G2304" s="3129"/>
    </row>
    <row r="2305" spans="1:23" x14ac:dyDescent="0.2">
      <c r="A2305" s="3129"/>
      <c r="B2305" s="3129"/>
      <c r="C2305" s="3129"/>
      <c r="D2305" s="3129"/>
      <c r="E2305" s="3129"/>
      <c r="F2305" s="3129"/>
      <c r="G2305" s="3129"/>
    </row>
    <row r="2306" spans="1:23" x14ac:dyDescent="0.2">
      <c r="A2306" s="3129"/>
      <c r="B2306" s="3129"/>
      <c r="C2306" s="3129"/>
      <c r="D2306" s="3129"/>
      <c r="E2306" s="3129"/>
      <c r="F2306" s="3129"/>
      <c r="G2306" s="3129"/>
    </row>
    <row r="2307" spans="1:23" x14ac:dyDescent="0.2">
      <c r="A2307" s="3129"/>
      <c r="B2307" s="3129"/>
      <c r="C2307" s="3129"/>
      <c r="D2307" s="3129"/>
      <c r="E2307" s="3129"/>
      <c r="F2307" s="3129"/>
      <c r="G2307" s="3129"/>
    </row>
    <row r="2308" spans="1:23" x14ac:dyDescent="0.2">
      <c r="A2308" s="3129"/>
      <c r="B2308" s="3129"/>
      <c r="C2308" s="3129"/>
      <c r="D2308" s="3129"/>
      <c r="E2308" s="3129"/>
      <c r="F2308" s="3129"/>
      <c r="G2308" s="3129"/>
    </row>
    <row r="2309" spans="1:23" x14ac:dyDescent="0.2">
      <c r="A2309" s="3129"/>
      <c r="B2309" s="3129"/>
      <c r="C2309" s="3129"/>
      <c r="D2309" s="3129"/>
      <c r="E2309" s="3129"/>
      <c r="F2309" s="3129"/>
      <c r="G2309" s="3129"/>
    </row>
    <row r="2310" spans="1:23" x14ac:dyDescent="0.2">
      <c r="A2310" s="3129"/>
      <c r="B2310" s="3129"/>
      <c r="C2310" s="3129"/>
      <c r="D2310" s="3129"/>
      <c r="E2310" s="3129"/>
      <c r="F2310" s="3129"/>
      <c r="G2310" s="3129"/>
    </row>
    <row r="2311" spans="1:23" x14ac:dyDescent="0.2">
      <c r="A2311" s="3129"/>
      <c r="B2311" s="3129"/>
      <c r="C2311" s="3129"/>
      <c r="D2311" s="3129"/>
      <c r="E2311" s="3129"/>
      <c r="F2311" s="3129"/>
      <c r="G2311" s="3129"/>
    </row>
    <row r="2312" spans="1:23" x14ac:dyDescent="0.2">
      <c r="A2312" s="3129"/>
      <c r="B2312" s="3129"/>
      <c r="C2312" s="3129"/>
      <c r="D2312" s="3129"/>
      <c r="E2312" s="3129"/>
      <c r="F2312" s="3129"/>
      <c r="G2312" s="3129"/>
    </row>
    <row r="2313" spans="1:23" x14ac:dyDescent="0.2">
      <c r="A2313" s="3129"/>
      <c r="B2313" s="3129"/>
      <c r="C2313" s="3129"/>
      <c r="D2313" s="3129"/>
      <c r="E2313" s="3129"/>
      <c r="F2313" s="3129"/>
      <c r="G2313" s="3129"/>
    </row>
    <row r="2314" spans="1:23" x14ac:dyDescent="0.2">
      <c r="A2314" s="3129"/>
      <c r="B2314" s="3129"/>
      <c r="C2314" s="3129"/>
      <c r="D2314" s="3129"/>
      <c r="E2314" s="3129"/>
      <c r="F2314" s="3129"/>
      <c r="G2314" s="3129"/>
    </row>
    <row r="2315" spans="1:23" x14ac:dyDescent="0.2">
      <c r="A2315" s="3308"/>
      <c r="B2315" s="3308"/>
      <c r="C2315" s="3308"/>
      <c r="D2315" s="3308"/>
      <c r="E2315" s="3308"/>
      <c r="F2315" s="3308"/>
      <c r="G2315" s="3308"/>
      <c r="H2315" s="3221"/>
      <c r="I2315" s="3221"/>
      <c r="J2315" s="3221"/>
      <c r="K2315" s="3221"/>
      <c r="L2315" s="3221"/>
      <c r="M2315" s="3221"/>
      <c r="N2315" s="3221"/>
      <c r="O2315" s="3221"/>
      <c r="P2315" s="3221"/>
      <c r="Q2315" s="3221"/>
      <c r="R2315" s="3221"/>
      <c r="S2315" s="3221"/>
      <c r="T2315" s="3221"/>
      <c r="U2315" s="3221"/>
      <c r="V2315" s="3221"/>
      <c r="W2315" s="3221"/>
    </row>
    <row r="2316" spans="1:23" ht="18" x14ac:dyDescent="0.25">
      <c r="A2316" s="3307" t="s">
        <v>733</v>
      </c>
      <c r="B2316" s="3129"/>
      <c r="C2316" s="3129"/>
      <c r="D2316" s="3129"/>
      <c r="E2316" s="3129"/>
      <c r="F2316" s="3129"/>
      <c r="G2316" s="3129"/>
    </row>
    <row r="2317" spans="1:23" x14ac:dyDescent="0.2">
      <c r="A2317" s="3129"/>
      <c r="B2317" s="3129"/>
      <c r="C2317" s="3129"/>
      <c r="D2317" s="3129"/>
      <c r="E2317" s="3129"/>
      <c r="F2317" s="3129"/>
      <c r="G2317" s="3129"/>
    </row>
    <row r="2318" spans="1:23" x14ac:dyDescent="0.2">
      <c r="A2318" s="3129"/>
      <c r="B2318" s="3129"/>
      <c r="C2318" s="3129"/>
      <c r="D2318" s="3129"/>
      <c r="E2318" s="3129"/>
      <c r="F2318" s="3129"/>
      <c r="G2318" s="3129"/>
    </row>
    <row r="2319" spans="1:23" x14ac:dyDescent="0.2">
      <c r="A2319" s="3306" t="s">
        <v>5928</v>
      </c>
      <c r="B2319" s="3306"/>
    </row>
    <row r="2320" spans="1:23" x14ac:dyDescent="0.2">
      <c r="A2320" s="3305" t="s">
        <v>5927</v>
      </c>
      <c r="B2320" s="3305"/>
      <c r="C2320" s="3305"/>
      <c r="D2320" s="3305"/>
      <c r="E2320" s="3305"/>
    </row>
    <row r="2321" spans="1:16" x14ac:dyDescent="0.2">
      <c r="A2321" s="3138"/>
      <c r="B2321" s="4777" t="s">
        <v>5602</v>
      </c>
      <c r="C2321" s="4777"/>
      <c r="D2321" s="4777"/>
      <c r="E2321" s="4777"/>
      <c r="F2321" s="4777"/>
      <c r="G2321" s="4777"/>
      <c r="H2321" s="4777"/>
      <c r="I2321" s="4777"/>
      <c r="J2321" s="4777"/>
      <c r="K2321" s="4777"/>
      <c r="L2321" s="4777"/>
      <c r="M2321" s="4777"/>
      <c r="N2321" s="4777"/>
      <c r="O2321" s="4777"/>
      <c r="P2321" s="4777"/>
    </row>
    <row r="2322" spans="1:16" ht="61.5" x14ac:dyDescent="0.2">
      <c r="A2322" s="3304" t="s">
        <v>5905</v>
      </c>
      <c r="B2322" s="3138" t="s">
        <v>5924</v>
      </c>
      <c r="C2322" s="3138" t="s">
        <v>5923</v>
      </c>
      <c r="D2322" s="3138" t="s">
        <v>5358</v>
      </c>
      <c r="E2322" s="3138" t="s">
        <v>5922</v>
      </c>
      <c r="F2322" s="3138" t="s">
        <v>5921</v>
      </c>
      <c r="G2322" s="3138" t="s">
        <v>5920</v>
      </c>
      <c r="H2322" s="3138" t="s">
        <v>5919</v>
      </c>
      <c r="I2322" s="3138" t="s">
        <v>5918</v>
      </c>
      <c r="J2322" s="3138" t="s">
        <v>5917</v>
      </c>
      <c r="K2322" s="3138" t="s">
        <v>5916</v>
      </c>
      <c r="L2322" s="3138" t="s">
        <v>5915</v>
      </c>
      <c r="M2322" s="3138" t="s">
        <v>5914</v>
      </c>
      <c r="N2322" s="3138" t="s">
        <v>1576</v>
      </c>
      <c r="O2322" s="3138" t="s">
        <v>5913</v>
      </c>
      <c r="P2322" s="3303" t="s">
        <v>5912</v>
      </c>
    </row>
    <row r="2323" spans="1:16" x14ac:dyDescent="0.2">
      <c r="A2323" s="4776" t="s">
        <v>3689</v>
      </c>
      <c r="B2323" s="4776"/>
      <c r="C2323" s="4776"/>
      <c r="D2323" s="4776"/>
      <c r="E2323" s="4776"/>
      <c r="F2323" s="4776"/>
      <c r="G2323" s="4776"/>
      <c r="H2323" s="4776"/>
      <c r="I2323" s="4776"/>
      <c r="J2323" s="4776"/>
      <c r="K2323" s="4776"/>
      <c r="L2323" s="4776"/>
      <c r="M2323" s="4776"/>
      <c r="N2323" s="4776"/>
      <c r="O2323" s="4776"/>
      <c r="P2323" s="4776"/>
    </row>
    <row r="2324" spans="1:16" x14ac:dyDescent="0.2">
      <c r="A2324" s="4776"/>
      <c r="B2324" s="4776"/>
      <c r="C2324" s="4776"/>
      <c r="D2324" s="4776"/>
      <c r="E2324" s="4776"/>
      <c r="F2324" s="4776"/>
      <c r="G2324" s="4776"/>
      <c r="H2324" s="4776"/>
      <c r="I2324" s="4776"/>
      <c r="J2324" s="4776"/>
      <c r="K2324" s="4776"/>
      <c r="L2324" s="4776"/>
      <c r="M2324" s="4776"/>
      <c r="N2324" s="4776"/>
      <c r="O2324" s="4776"/>
      <c r="P2324" s="4776"/>
    </row>
    <row r="2325" spans="1:16" x14ac:dyDescent="0.2">
      <c r="A2325" s="4776" t="s">
        <v>5911</v>
      </c>
      <c r="B2325" s="4776"/>
      <c r="C2325" s="4776"/>
      <c r="D2325" s="4776"/>
      <c r="E2325" s="4776"/>
      <c r="F2325" s="4776"/>
      <c r="G2325" s="4776"/>
      <c r="H2325" s="4776"/>
      <c r="I2325" s="4776"/>
      <c r="J2325" s="4776"/>
      <c r="K2325" s="4776"/>
      <c r="L2325" s="4776"/>
      <c r="M2325" s="4776"/>
      <c r="N2325" s="4776"/>
      <c r="O2325" s="4776"/>
      <c r="P2325" s="4776"/>
    </row>
    <row r="2326" spans="1:16" x14ac:dyDescent="0.2">
      <c r="A2326" s="3138">
        <v>5</v>
      </c>
      <c r="B2326" s="3138">
        <v>92</v>
      </c>
      <c r="C2326" s="3138">
        <v>102</v>
      </c>
      <c r="D2326" s="3138">
        <v>113</v>
      </c>
      <c r="E2326" s="3138">
        <v>125</v>
      </c>
      <c r="F2326" s="3138">
        <v>136</v>
      </c>
      <c r="G2326" s="3138">
        <v>150</v>
      </c>
      <c r="H2326" s="3138">
        <v>165</v>
      </c>
      <c r="I2326" s="3138">
        <v>181</v>
      </c>
      <c r="J2326" s="3138">
        <v>199</v>
      </c>
      <c r="K2326" s="3138">
        <v>218</v>
      </c>
      <c r="L2326" s="3138">
        <v>239</v>
      </c>
      <c r="M2326" s="3138">
        <v>262</v>
      </c>
      <c r="N2326" s="3138">
        <v>287</v>
      </c>
      <c r="O2326" s="3138">
        <v>312</v>
      </c>
      <c r="P2326" s="3138">
        <v>337</v>
      </c>
    </row>
    <row r="2327" spans="1:16" x14ac:dyDescent="0.2">
      <c r="A2327" s="3138">
        <v>6</v>
      </c>
      <c r="B2327" s="3138">
        <v>101</v>
      </c>
      <c r="C2327" s="3138">
        <v>113</v>
      </c>
      <c r="D2327" s="3138">
        <v>124</v>
      </c>
      <c r="E2327" s="3138">
        <v>137</v>
      </c>
      <c r="F2327" s="3138">
        <v>150</v>
      </c>
      <c r="G2327" s="3138">
        <v>165</v>
      </c>
      <c r="H2327" s="3138">
        <v>181</v>
      </c>
      <c r="I2327" s="3138">
        <v>200</v>
      </c>
      <c r="J2327" s="3138">
        <v>219</v>
      </c>
      <c r="K2327" s="3138">
        <v>240</v>
      </c>
      <c r="L2327" s="3138">
        <v>263</v>
      </c>
      <c r="M2327" s="3138">
        <v>288</v>
      </c>
      <c r="N2327" s="3138">
        <v>317</v>
      </c>
      <c r="O2327" s="3138">
        <v>344</v>
      </c>
      <c r="P2327" s="3138">
        <v>372</v>
      </c>
    </row>
    <row r="2328" spans="1:16" x14ac:dyDescent="0.2">
      <c r="A2328" s="3138">
        <v>7</v>
      </c>
      <c r="B2328" s="3138">
        <v>110</v>
      </c>
      <c r="C2328" s="3138">
        <v>123</v>
      </c>
      <c r="D2328" s="3138">
        <v>136</v>
      </c>
      <c r="E2328" s="3138">
        <v>150</v>
      </c>
      <c r="F2328" s="3138">
        <v>164</v>
      </c>
      <c r="G2328" s="3138">
        <v>180</v>
      </c>
      <c r="H2328" s="3138">
        <v>198</v>
      </c>
      <c r="I2328" s="3138">
        <v>218</v>
      </c>
      <c r="J2328" s="3138">
        <v>239</v>
      </c>
      <c r="K2328" s="3138">
        <v>262</v>
      </c>
      <c r="L2328" s="3138">
        <v>287</v>
      </c>
      <c r="M2328" s="3138">
        <v>315</v>
      </c>
      <c r="N2328" s="3138">
        <v>345</v>
      </c>
      <c r="O2328" s="3138">
        <v>375</v>
      </c>
      <c r="P2328" s="3138">
        <v>405</v>
      </c>
    </row>
    <row r="2329" spans="1:16" x14ac:dyDescent="0.2">
      <c r="A2329" s="3138">
        <v>8</v>
      </c>
      <c r="B2329" s="3138">
        <v>121</v>
      </c>
      <c r="C2329" s="3138">
        <v>134</v>
      </c>
      <c r="D2329" s="3138">
        <v>148</v>
      </c>
      <c r="E2329" s="3138">
        <v>164</v>
      </c>
      <c r="F2329" s="3138">
        <v>180</v>
      </c>
      <c r="G2329" s="3138">
        <v>197</v>
      </c>
      <c r="H2329" s="3138">
        <v>216</v>
      </c>
      <c r="I2329" s="3138">
        <v>239</v>
      </c>
      <c r="J2329" s="3138">
        <v>262</v>
      </c>
      <c r="K2329" s="3138">
        <v>287</v>
      </c>
      <c r="L2329" s="3138">
        <v>314</v>
      </c>
      <c r="M2329" s="3138">
        <v>344</v>
      </c>
      <c r="N2329" s="3138">
        <v>378</v>
      </c>
      <c r="O2329" s="3138">
        <v>411</v>
      </c>
      <c r="P2329" s="3138">
        <v>444</v>
      </c>
    </row>
    <row r="2330" spans="1:16" x14ac:dyDescent="0.2">
      <c r="A2330" s="3138">
        <v>9</v>
      </c>
      <c r="B2330" s="3138">
        <v>129</v>
      </c>
      <c r="C2330" s="3138">
        <v>144</v>
      </c>
      <c r="D2330" s="3138">
        <v>159</v>
      </c>
      <c r="E2330" s="3138">
        <v>176</v>
      </c>
      <c r="F2330" s="3138">
        <v>193</v>
      </c>
      <c r="G2330" s="3138">
        <v>211</v>
      </c>
      <c r="H2330" s="3138">
        <v>232</v>
      </c>
      <c r="I2330" s="3138">
        <v>256</v>
      </c>
      <c r="J2330" s="3138">
        <v>281</v>
      </c>
      <c r="K2330" s="3138">
        <v>308</v>
      </c>
      <c r="L2330" s="3138">
        <v>337</v>
      </c>
      <c r="M2330" s="3138">
        <v>369</v>
      </c>
      <c r="N2330" s="3138">
        <v>406</v>
      </c>
      <c r="O2330" s="3138">
        <v>441</v>
      </c>
      <c r="P2330" s="3138">
        <v>476</v>
      </c>
    </row>
    <row r="2331" spans="1:16" x14ac:dyDescent="0.2">
      <c r="A2331" s="3138">
        <v>10</v>
      </c>
      <c r="B2331" s="3138">
        <v>140</v>
      </c>
      <c r="C2331" s="3138">
        <v>156</v>
      </c>
      <c r="D2331" s="3138">
        <v>172</v>
      </c>
      <c r="E2331" s="3138">
        <v>191</v>
      </c>
      <c r="F2331" s="3138">
        <v>209</v>
      </c>
      <c r="G2331" s="3138">
        <v>229</v>
      </c>
      <c r="H2331" s="3138">
        <v>251</v>
      </c>
      <c r="I2331" s="3138">
        <v>277</v>
      </c>
      <c r="J2331" s="3138">
        <v>304</v>
      </c>
      <c r="K2331" s="3138">
        <v>333</v>
      </c>
      <c r="L2331" s="3138">
        <v>365</v>
      </c>
      <c r="M2331" s="3138">
        <v>400</v>
      </c>
      <c r="N2331" s="3138">
        <v>439</v>
      </c>
      <c r="O2331" s="3138">
        <v>477</v>
      </c>
      <c r="P2331" s="3138">
        <v>515</v>
      </c>
    </row>
    <row r="2332" spans="1:16" x14ac:dyDescent="0.2">
      <c r="A2332" s="3138">
        <v>11</v>
      </c>
      <c r="B2332" s="3138">
        <v>151</v>
      </c>
      <c r="C2332" s="3138">
        <v>168</v>
      </c>
      <c r="D2332" s="3138">
        <v>186</v>
      </c>
      <c r="E2332" s="3138">
        <v>205</v>
      </c>
      <c r="F2332" s="3138">
        <v>225</v>
      </c>
      <c r="G2332" s="3138">
        <v>246</v>
      </c>
      <c r="H2332" s="3138">
        <v>271</v>
      </c>
      <c r="I2332" s="3138">
        <v>298</v>
      </c>
      <c r="J2332" s="3138">
        <v>327</v>
      </c>
      <c r="K2332" s="3138">
        <v>359</v>
      </c>
      <c r="L2332" s="3138">
        <v>392</v>
      </c>
      <c r="M2332" s="3138">
        <v>431</v>
      </c>
      <c r="N2332" s="3138">
        <v>473</v>
      </c>
      <c r="O2332" s="3138">
        <v>514</v>
      </c>
      <c r="P2332" s="3138">
        <v>555</v>
      </c>
    </row>
    <row r="2333" spans="1:16" x14ac:dyDescent="0.2">
      <c r="A2333" s="3138">
        <v>12</v>
      </c>
      <c r="B2333" s="3138">
        <v>161</v>
      </c>
      <c r="C2333" s="3138">
        <v>180</v>
      </c>
      <c r="D2333" s="3138">
        <v>199</v>
      </c>
      <c r="E2333" s="3138">
        <v>219</v>
      </c>
      <c r="F2333" s="3138">
        <v>240</v>
      </c>
      <c r="G2333" s="3138">
        <v>263</v>
      </c>
      <c r="H2333" s="3138">
        <v>290</v>
      </c>
      <c r="I2333" s="3138">
        <v>319</v>
      </c>
      <c r="J2333" s="3138">
        <v>350</v>
      </c>
      <c r="K2333" s="3138">
        <v>384</v>
      </c>
      <c r="L2333" s="3138">
        <v>420</v>
      </c>
      <c r="M2333" s="3138">
        <v>461</v>
      </c>
      <c r="N2333" s="3138">
        <v>506</v>
      </c>
      <c r="O2333" s="3138">
        <v>550</v>
      </c>
      <c r="P2333" s="3138">
        <v>594</v>
      </c>
    </row>
    <row r="2334" spans="1:16" x14ac:dyDescent="0.2">
      <c r="A2334" s="3138">
        <v>13</v>
      </c>
      <c r="B2334" s="3138">
        <v>172</v>
      </c>
      <c r="C2334" s="3138">
        <v>191</v>
      </c>
      <c r="D2334" s="3138">
        <v>211</v>
      </c>
      <c r="E2334" s="3138">
        <v>233</v>
      </c>
      <c r="F2334" s="3138">
        <v>256</v>
      </c>
      <c r="G2334" s="3138">
        <v>280</v>
      </c>
      <c r="H2334" s="3138">
        <v>308</v>
      </c>
      <c r="I2334" s="3138">
        <v>340</v>
      </c>
      <c r="J2334" s="3138">
        <v>372</v>
      </c>
      <c r="K2334" s="3138">
        <v>409</v>
      </c>
      <c r="L2334" s="3138">
        <v>447</v>
      </c>
      <c r="M2334" s="3138">
        <v>490</v>
      </c>
      <c r="N2334" s="3138">
        <v>538</v>
      </c>
      <c r="O2334" s="3138">
        <v>585</v>
      </c>
      <c r="P2334" s="3138">
        <v>632</v>
      </c>
    </row>
    <row r="2335" spans="1:16" x14ac:dyDescent="0.2">
      <c r="A2335" s="3138">
        <v>14</v>
      </c>
      <c r="B2335" s="3138">
        <v>182</v>
      </c>
      <c r="C2335" s="3138">
        <v>203</v>
      </c>
      <c r="D2335" s="3138">
        <v>225</v>
      </c>
      <c r="E2335" s="3138">
        <v>248</v>
      </c>
      <c r="F2335" s="3138">
        <v>272</v>
      </c>
      <c r="G2335" s="3138">
        <v>298</v>
      </c>
      <c r="H2335" s="3138">
        <v>328</v>
      </c>
      <c r="I2335" s="3138">
        <v>361</v>
      </c>
      <c r="J2335" s="3138">
        <v>396</v>
      </c>
      <c r="K2335" s="3138">
        <v>434</v>
      </c>
      <c r="L2335" s="3138">
        <v>475</v>
      </c>
      <c r="M2335" s="3138">
        <v>521</v>
      </c>
      <c r="N2335" s="3138">
        <v>572</v>
      </c>
      <c r="O2335" s="3138">
        <v>622</v>
      </c>
      <c r="P2335" s="3138">
        <v>671</v>
      </c>
    </row>
    <row r="2336" spans="1:16" x14ac:dyDescent="0.2">
      <c r="A2336" s="3138">
        <v>15</v>
      </c>
      <c r="B2336" s="3138">
        <v>192</v>
      </c>
      <c r="C2336" s="3138">
        <v>214</v>
      </c>
      <c r="D2336" s="3138">
        <v>236</v>
      </c>
      <c r="E2336" s="3138">
        <v>261</v>
      </c>
      <c r="F2336" s="3138">
        <v>286</v>
      </c>
      <c r="G2336" s="3138">
        <v>313</v>
      </c>
      <c r="H2336" s="3138">
        <v>345</v>
      </c>
      <c r="I2336" s="3138">
        <v>380</v>
      </c>
      <c r="J2336" s="3138">
        <v>417</v>
      </c>
      <c r="K2336" s="3138">
        <v>457</v>
      </c>
      <c r="L2336" s="3138">
        <v>500</v>
      </c>
      <c r="M2336" s="3138">
        <v>549</v>
      </c>
      <c r="N2336" s="3138">
        <v>602</v>
      </c>
      <c r="O2336" s="3138">
        <v>654</v>
      </c>
      <c r="P2336" s="3138">
        <v>707</v>
      </c>
    </row>
    <row r="2338" spans="1:16" x14ac:dyDescent="0.2">
      <c r="A2338" s="4776" t="s">
        <v>5926</v>
      </c>
      <c r="B2338" s="4776"/>
      <c r="C2338" s="4776"/>
      <c r="D2338" s="4776"/>
      <c r="E2338" s="4776"/>
      <c r="F2338" s="4776"/>
      <c r="G2338" s="4776"/>
      <c r="H2338" s="4776"/>
      <c r="I2338" s="4776"/>
      <c r="J2338" s="4776"/>
      <c r="K2338" s="4776"/>
      <c r="L2338" s="4776"/>
      <c r="M2338" s="4776"/>
      <c r="N2338" s="4776"/>
      <c r="O2338" s="4776"/>
      <c r="P2338" s="4776"/>
    </row>
    <row r="2339" spans="1:16" x14ac:dyDescent="0.2">
      <c r="A2339" s="3138">
        <v>5</v>
      </c>
      <c r="B2339" s="3138">
        <v>106</v>
      </c>
      <c r="C2339" s="3138">
        <v>119</v>
      </c>
      <c r="D2339" s="3138">
        <v>131</v>
      </c>
      <c r="E2339" s="3138">
        <v>145</v>
      </c>
      <c r="F2339" s="3138">
        <v>159</v>
      </c>
      <c r="G2339" s="3138">
        <v>174</v>
      </c>
      <c r="H2339" s="3138">
        <v>191</v>
      </c>
      <c r="I2339" s="3138">
        <v>211</v>
      </c>
      <c r="J2339" s="3138">
        <v>231</v>
      </c>
      <c r="K2339" s="3138">
        <v>254</v>
      </c>
      <c r="L2339" s="3138">
        <v>277</v>
      </c>
      <c r="M2339" s="3138">
        <v>304</v>
      </c>
      <c r="N2339" s="3138">
        <v>334</v>
      </c>
      <c r="O2339" s="3138">
        <v>363</v>
      </c>
      <c r="P2339" s="3138">
        <v>392</v>
      </c>
    </row>
    <row r="2340" spans="1:16" x14ac:dyDescent="0.2">
      <c r="A2340" s="3138">
        <v>6</v>
      </c>
      <c r="B2340" s="3138">
        <v>119</v>
      </c>
      <c r="C2340" s="3138">
        <v>133</v>
      </c>
      <c r="D2340" s="3138">
        <v>147</v>
      </c>
      <c r="E2340" s="3138">
        <v>162</v>
      </c>
      <c r="F2340" s="3138">
        <v>178</v>
      </c>
      <c r="G2340" s="3138">
        <v>195</v>
      </c>
      <c r="H2340" s="3138">
        <v>214</v>
      </c>
      <c r="I2340" s="3138">
        <v>236</v>
      </c>
      <c r="J2340" s="3138">
        <v>259</v>
      </c>
      <c r="K2340" s="3138">
        <v>284</v>
      </c>
      <c r="L2340" s="3138">
        <v>311</v>
      </c>
      <c r="M2340" s="3138">
        <v>341</v>
      </c>
      <c r="N2340" s="3138">
        <v>374</v>
      </c>
      <c r="O2340" s="3138">
        <v>407</v>
      </c>
      <c r="P2340" s="3138">
        <v>439</v>
      </c>
    </row>
    <row r="2341" spans="1:16" x14ac:dyDescent="0.2">
      <c r="A2341" s="3138">
        <v>7</v>
      </c>
      <c r="B2341" s="3138">
        <v>132</v>
      </c>
      <c r="C2341" s="3138">
        <v>148</v>
      </c>
      <c r="D2341" s="3138">
        <v>163</v>
      </c>
      <c r="E2341" s="3138">
        <v>180</v>
      </c>
      <c r="F2341" s="3138">
        <v>197</v>
      </c>
      <c r="G2341" s="3138">
        <v>216</v>
      </c>
      <c r="H2341" s="3138">
        <v>238</v>
      </c>
      <c r="I2341" s="3138">
        <v>262</v>
      </c>
      <c r="J2341" s="3138">
        <v>287</v>
      </c>
      <c r="K2341" s="3138">
        <v>315</v>
      </c>
      <c r="L2341" s="3138">
        <v>345</v>
      </c>
      <c r="M2341" s="3138">
        <v>378</v>
      </c>
      <c r="N2341" s="3138">
        <v>415</v>
      </c>
      <c r="O2341" s="3138">
        <v>451</v>
      </c>
      <c r="P2341" s="3138">
        <v>487</v>
      </c>
    </row>
    <row r="2342" spans="1:16" x14ac:dyDescent="0.2">
      <c r="A2342" s="3138">
        <v>8</v>
      </c>
      <c r="B2342" s="3138">
        <v>148</v>
      </c>
      <c r="C2342" s="3138">
        <v>165</v>
      </c>
      <c r="D2342" s="3138">
        <v>182</v>
      </c>
      <c r="E2342" s="3138">
        <v>201</v>
      </c>
      <c r="F2342" s="3138">
        <v>220</v>
      </c>
      <c r="G2342" s="3138">
        <v>241</v>
      </c>
      <c r="H2342" s="3138">
        <v>265</v>
      </c>
      <c r="I2342" s="3138">
        <v>292</v>
      </c>
      <c r="J2342" s="3138">
        <v>320</v>
      </c>
      <c r="K2342" s="3138">
        <v>351</v>
      </c>
      <c r="L2342" s="3138">
        <v>385</v>
      </c>
      <c r="M2342" s="3138">
        <v>422</v>
      </c>
      <c r="N2342" s="3138">
        <v>463</v>
      </c>
      <c r="O2342" s="3138">
        <v>503</v>
      </c>
      <c r="P2342" s="3138">
        <v>543</v>
      </c>
    </row>
    <row r="2343" spans="1:16" x14ac:dyDescent="0.2">
      <c r="A2343" s="3138">
        <v>9</v>
      </c>
      <c r="B2343" s="3138">
        <v>161</v>
      </c>
      <c r="C2343" s="3138">
        <v>180</v>
      </c>
      <c r="D2343" s="3138">
        <v>198</v>
      </c>
      <c r="E2343" s="3138">
        <v>219</v>
      </c>
      <c r="F2343" s="3138">
        <v>240</v>
      </c>
      <c r="G2343" s="3138">
        <v>263</v>
      </c>
      <c r="H2343" s="3138">
        <v>289</v>
      </c>
      <c r="I2343" s="3138">
        <v>319</v>
      </c>
      <c r="J2343" s="3138">
        <v>349</v>
      </c>
      <c r="K2343" s="3138">
        <v>383</v>
      </c>
      <c r="L2343" s="3138">
        <v>420</v>
      </c>
      <c r="M2343" s="3138">
        <v>460</v>
      </c>
      <c r="N2343" s="3138">
        <v>505</v>
      </c>
      <c r="O2343" s="3138">
        <v>549</v>
      </c>
      <c r="P2343" s="3138">
        <v>593</v>
      </c>
    </row>
    <row r="2344" spans="1:16" x14ac:dyDescent="0.2">
      <c r="A2344" s="3138">
        <v>10</v>
      </c>
      <c r="B2344" s="3138">
        <v>178</v>
      </c>
      <c r="C2344" s="3138">
        <v>199</v>
      </c>
      <c r="D2344" s="3138">
        <v>219</v>
      </c>
      <c r="E2344" s="3138">
        <v>242</v>
      </c>
      <c r="F2344" s="3138">
        <v>265</v>
      </c>
      <c r="G2344" s="3138">
        <v>291</v>
      </c>
      <c r="H2344" s="3138">
        <v>320</v>
      </c>
      <c r="I2344" s="3138">
        <v>352</v>
      </c>
      <c r="J2344" s="3138">
        <v>386</v>
      </c>
      <c r="K2344" s="3138">
        <v>424</v>
      </c>
      <c r="L2344" s="3138">
        <v>464</v>
      </c>
      <c r="M2344" s="3138">
        <v>509</v>
      </c>
      <c r="N2344" s="3138">
        <v>558</v>
      </c>
      <c r="O2344" s="3138">
        <v>607</v>
      </c>
      <c r="P2344" s="3138">
        <v>655</v>
      </c>
    </row>
    <row r="2345" spans="1:16" x14ac:dyDescent="0.2">
      <c r="A2345" s="3138">
        <v>11</v>
      </c>
      <c r="B2345" s="3138">
        <v>196</v>
      </c>
      <c r="C2345" s="3138">
        <v>218</v>
      </c>
      <c r="D2345" s="3138">
        <v>241</v>
      </c>
      <c r="E2345" s="3138">
        <v>266</v>
      </c>
      <c r="F2345" s="3138">
        <v>291</v>
      </c>
      <c r="G2345" s="3138">
        <v>319</v>
      </c>
      <c r="H2345" s="3138">
        <v>351</v>
      </c>
      <c r="I2345" s="3138">
        <v>387</v>
      </c>
      <c r="J2345" s="3138">
        <v>425</v>
      </c>
      <c r="K2345" s="3138">
        <v>466</v>
      </c>
      <c r="L2345" s="3138">
        <v>510</v>
      </c>
      <c r="M2345" s="3138">
        <v>459</v>
      </c>
      <c r="N2345" s="3138">
        <v>613</v>
      </c>
      <c r="O2345" s="3138">
        <v>667</v>
      </c>
      <c r="P2345" s="3138">
        <v>720</v>
      </c>
    </row>
    <row r="2346" spans="1:16" x14ac:dyDescent="0.2">
      <c r="A2346" s="3138">
        <v>12</v>
      </c>
      <c r="B2346" s="3138">
        <v>214</v>
      </c>
      <c r="C2346" s="3138">
        <v>239</v>
      </c>
      <c r="D2346" s="3138">
        <v>263</v>
      </c>
      <c r="E2346" s="3138">
        <v>291</v>
      </c>
      <c r="F2346" s="3138">
        <v>319</v>
      </c>
      <c r="G2346" s="3138">
        <v>354</v>
      </c>
      <c r="H2346" s="3138">
        <v>384</v>
      </c>
      <c r="I2346" s="3138">
        <v>423</v>
      </c>
      <c r="J2346" s="3138">
        <v>464</v>
      </c>
      <c r="K2346" s="3138">
        <v>509</v>
      </c>
      <c r="L2346" s="3138">
        <v>557</v>
      </c>
      <c r="M2346" s="3138">
        <v>611</v>
      </c>
      <c r="N2346" s="3138">
        <v>671</v>
      </c>
      <c r="O2346" s="3138">
        <v>729</v>
      </c>
      <c r="P2346" s="3138">
        <v>787</v>
      </c>
    </row>
    <row r="2347" spans="1:16" x14ac:dyDescent="0.2">
      <c r="A2347" s="3138">
        <v>13</v>
      </c>
      <c r="B2347" s="3138">
        <v>232</v>
      </c>
      <c r="C2347" s="3138">
        <v>259</v>
      </c>
      <c r="D2347" s="3138">
        <v>286</v>
      </c>
      <c r="E2347" s="3138">
        <v>316</v>
      </c>
      <c r="F2347" s="3138">
        <v>346</v>
      </c>
      <c r="G2347" s="3138">
        <v>379</v>
      </c>
      <c r="H2347" s="3138">
        <v>417</v>
      </c>
      <c r="I2347" s="3138">
        <v>460</v>
      </c>
      <c r="J2347" s="3138">
        <v>504</v>
      </c>
      <c r="K2347" s="3138">
        <v>553</v>
      </c>
      <c r="L2347" s="3138">
        <v>605</v>
      </c>
      <c r="M2347" s="3138">
        <v>664</v>
      </c>
      <c r="N2347" s="3138">
        <v>729</v>
      </c>
      <c r="O2347" s="3138">
        <v>792</v>
      </c>
      <c r="P2347" s="3138">
        <v>855</v>
      </c>
    </row>
    <row r="2348" spans="1:16" x14ac:dyDescent="0.2">
      <c r="A2348" s="3138">
        <v>14</v>
      </c>
      <c r="B2348" s="3138">
        <v>252</v>
      </c>
      <c r="C2348" s="3138">
        <v>281</v>
      </c>
      <c r="D2348" s="3138">
        <v>310</v>
      </c>
      <c r="E2348" s="3138">
        <v>342</v>
      </c>
      <c r="F2348" s="3138">
        <v>375</v>
      </c>
      <c r="G2348" s="3138">
        <v>411</v>
      </c>
      <c r="H2348" s="3138">
        <v>452</v>
      </c>
      <c r="I2348" s="3138">
        <v>498</v>
      </c>
      <c r="J2348" s="3138">
        <v>546</v>
      </c>
      <c r="K2348" s="3138">
        <v>599</v>
      </c>
      <c r="L2348" s="3138">
        <v>656</v>
      </c>
      <c r="M2348" s="3138">
        <v>719</v>
      </c>
      <c r="N2348" s="3138">
        <v>789</v>
      </c>
      <c r="O2348" s="3138">
        <v>858</v>
      </c>
      <c r="P2348" s="3138">
        <v>926</v>
      </c>
    </row>
    <row r="2349" spans="1:16" x14ac:dyDescent="0.2">
      <c r="A2349" s="3138">
        <v>15</v>
      </c>
      <c r="B2349" s="3138">
        <v>271</v>
      </c>
      <c r="C2349" s="3138">
        <v>303</v>
      </c>
      <c r="D2349" s="3138">
        <v>334</v>
      </c>
      <c r="E2349" s="3138">
        <v>369</v>
      </c>
      <c r="F2349" s="3138">
        <v>404</v>
      </c>
      <c r="G2349" s="3138">
        <v>443</v>
      </c>
      <c r="H2349" s="3138">
        <v>487</v>
      </c>
      <c r="I2349" s="3138">
        <v>537</v>
      </c>
      <c r="J2349" s="3138">
        <v>589</v>
      </c>
      <c r="K2349" s="3138">
        <v>646</v>
      </c>
      <c r="L2349" s="3138">
        <v>707</v>
      </c>
      <c r="M2349" s="3138">
        <v>776</v>
      </c>
      <c r="N2349" s="3138">
        <v>851</v>
      </c>
      <c r="O2349" s="3138">
        <v>925</v>
      </c>
      <c r="P2349" s="3138">
        <v>999</v>
      </c>
    </row>
    <row r="2351" spans="1:16" x14ac:dyDescent="0.2">
      <c r="A2351" s="4776" t="s">
        <v>5925</v>
      </c>
      <c r="B2351" s="4776"/>
      <c r="C2351" s="4776"/>
      <c r="D2351" s="4776"/>
      <c r="E2351" s="4776"/>
      <c r="F2351" s="4776"/>
      <c r="G2351" s="4776"/>
      <c r="H2351" s="4776"/>
      <c r="I2351" s="4776"/>
      <c r="J2351" s="4776"/>
      <c r="K2351" s="4776"/>
      <c r="L2351" s="4776"/>
      <c r="M2351" s="4776"/>
      <c r="N2351" s="4776"/>
      <c r="O2351" s="4776"/>
      <c r="P2351" s="4776"/>
    </row>
    <row r="2352" spans="1:16" x14ac:dyDescent="0.2">
      <c r="A2352" s="3138">
        <v>5</v>
      </c>
      <c r="B2352" s="3138">
        <v>111</v>
      </c>
      <c r="C2352" s="3138">
        <v>124</v>
      </c>
      <c r="D2352" s="3138">
        <v>137</v>
      </c>
      <c r="E2352" s="3138">
        <v>151</v>
      </c>
      <c r="F2352" s="3138">
        <v>166</v>
      </c>
      <c r="G2352" s="3138">
        <v>182</v>
      </c>
      <c r="H2352" s="3138">
        <v>200</v>
      </c>
      <c r="I2352" s="3138">
        <v>220</v>
      </c>
      <c r="J2352" s="3138">
        <v>242</v>
      </c>
      <c r="K2352" s="3138">
        <v>265</v>
      </c>
      <c r="L2352" s="3138">
        <v>290</v>
      </c>
      <c r="M2352" s="3138">
        <v>318</v>
      </c>
      <c r="N2352" s="3138">
        <v>349</v>
      </c>
      <c r="O2352" s="3138">
        <v>379</v>
      </c>
      <c r="P2352" s="3138">
        <v>410</v>
      </c>
    </row>
    <row r="2353" spans="1:16" x14ac:dyDescent="0.2">
      <c r="A2353" s="3138">
        <v>6</v>
      </c>
      <c r="B2353" s="3138">
        <v>125</v>
      </c>
      <c r="C2353" s="3138">
        <v>140</v>
      </c>
      <c r="D2353" s="3138">
        <v>154</v>
      </c>
      <c r="E2353" s="3138">
        <v>171</v>
      </c>
      <c r="F2353" s="3138">
        <v>187</v>
      </c>
      <c r="G2353" s="3138">
        <v>205</v>
      </c>
      <c r="H2353" s="3138">
        <v>225</v>
      </c>
      <c r="I2353" s="3138">
        <v>248</v>
      </c>
      <c r="J2353" s="3138">
        <v>272</v>
      </c>
      <c r="K2353" s="3138">
        <v>299</v>
      </c>
      <c r="L2353" s="3138">
        <v>327</v>
      </c>
      <c r="M2353" s="3138">
        <v>358</v>
      </c>
      <c r="N2353" s="3138">
        <v>393</v>
      </c>
      <c r="O2353" s="3138">
        <v>428</v>
      </c>
      <c r="P2353" s="3138">
        <v>462</v>
      </c>
    </row>
    <row r="2354" spans="1:16" x14ac:dyDescent="0.2">
      <c r="A2354" s="3138">
        <v>7</v>
      </c>
      <c r="B2354" s="3138">
        <v>140</v>
      </c>
      <c r="C2354" s="3138">
        <v>156</v>
      </c>
      <c r="D2354" s="3138">
        <v>172</v>
      </c>
      <c r="E2354" s="3138">
        <v>190</v>
      </c>
      <c r="F2354" s="3138">
        <v>208</v>
      </c>
      <c r="G2354" s="3138">
        <v>228</v>
      </c>
      <c r="H2354" s="3138">
        <v>251</v>
      </c>
      <c r="I2354" s="3138">
        <v>277</v>
      </c>
      <c r="J2354" s="3138">
        <v>304</v>
      </c>
      <c r="K2354" s="3138">
        <v>333</v>
      </c>
      <c r="L2354" s="3138">
        <v>365</v>
      </c>
      <c r="M2354" s="3138">
        <v>400</v>
      </c>
      <c r="N2354" s="3138">
        <v>439</v>
      </c>
      <c r="O2354" s="3138">
        <v>477</v>
      </c>
      <c r="P2354" s="3138">
        <v>515</v>
      </c>
    </row>
    <row r="2355" spans="1:16" x14ac:dyDescent="0.2">
      <c r="A2355" s="3138">
        <v>8</v>
      </c>
      <c r="B2355" s="3138">
        <v>157</v>
      </c>
      <c r="C2355" s="3138">
        <v>175</v>
      </c>
      <c r="D2355" s="3138">
        <v>193</v>
      </c>
      <c r="E2355" s="3138">
        <v>214</v>
      </c>
      <c r="F2355" s="3138">
        <v>234</v>
      </c>
      <c r="G2355" s="3138">
        <v>257</v>
      </c>
      <c r="H2355" s="3138">
        <v>282</v>
      </c>
      <c r="I2355" s="3138">
        <v>311</v>
      </c>
      <c r="J2355" s="3138">
        <v>341</v>
      </c>
      <c r="K2355" s="3138">
        <v>374</v>
      </c>
      <c r="L2355" s="3138">
        <v>409</v>
      </c>
      <c r="M2355" s="3138">
        <v>449</v>
      </c>
      <c r="N2355" s="3138">
        <v>493</v>
      </c>
      <c r="O2355" s="3138">
        <v>535</v>
      </c>
      <c r="P2355" s="3138">
        <v>578</v>
      </c>
    </row>
    <row r="2356" spans="1:16" x14ac:dyDescent="0.2">
      <c r="A2356" s="3138">
        <v>9</v>
      </c>
      <c r="B2356" s="3138">
        <v>172</v>
      </c>
      <c r="C2356" s="3138">
        <v>192</v>
      </c>
      <c r="D2356" s="3138">
        <v>212</v>
      </c>
      <c r="E2356" s="3138">
        <v>235</v>
      </c>
      <c r="F2356" s="3138">
        <v>257</v>
      </c>
      <c r="G2356" s="3138">
        <v>281</v>
      </c>
      <c r="H2356" s="3138">
        <v>310</v>
      </c>
      <c r="I2356" s="3138">
        <v>341</v>
      </c>
      <c r="J2356" s="3138">
        <v>374</v>
      </c>
      <c r="K2356" s="3138">
        <v>411</v>
      </c>
      <c r="L2356" s="3138">
        <v>449</v>
      </c>
      <c r="M2356" s="3138">
        <v>493</v>
      </c>
      <c r="N2356" s="3138">
        <v>541</v>
      </c>
      <c r="O2356" s="3138">
        <v>588</v>
      </c>
      <c r="P2356" s="3138">
        <v>635</v>
      </c>
    </row>
    <row r="2357" spans="1:16" x14ac:dyDescent="0.2">
      <c r="A2357" s="3138">
        <v>10</v>
      </c>
      <c r="B2357" s="3138">
        <v>192</v>
      </c>
      <c r="C2357" s="3138">
        <v>214</v>
      </c>
      <c r="D2357" s="3138">
        <v>236</v>
      </c>
      <c r="E2357" s="3138">
        <v>261</v>
      </c>
      <c r="F2357" s="3138">
        <v>285</v>
      </c>
      <c r="G2357" s="3138">
        <v>314</v>
      </c>
      <c r="H2357" s="3138">
        <v>345</v>
      </c>
      <c r="I2357" s="3138">
        <v>380</v>
      </c>
      <c r="J2357" s="3138">
        <v>417</v>
      </c>
      <c r="K2357" s="3138">
        <v>457</v>
      </c>
      <c r="L2357" s="3138">
        <v>500</v>
      </c>
      <c r="M2357" s="3138">
        <v>549</v>
      </c>
      <c r="N2357" s="3138">
        <v>602</v>
      </c>
      <c r="O2357" s="3138">
        <v>654</v>
      </c>
      <c r="P2357" s="3138">
        <v>707</v>
      </c>
    </row>
    <row r="2358" spans="1:16" x14ac:dyDescent="0.2">
      <c r="A2358" s="3138">
        <v>11</v>
      </c>
      <c r="B2358" s="3138">
        <v>213</v>
      </c>
      <c r="C2358" s="3138">
        <v>237</v>
      </c>
      <c r="D2358" s="3138">
        <v>262</v>
      </c>
      <c r="E2358" s="3138">
        <v>289</v>
      </c>
      <c r="F2358" s="3138">
        <v>317</v>
      </c>
      <c r="G2358" s="3138">
        <v>347</v>
      </c>
      <c r="H2358" s="3138">
        <v>382</v>
      </c>
      <c r="I2358" s="3138">
        <v>421</v>
      </c>
      <c r="J2358" s="3138">
        <v>461</v>
      </c>
      <c r="K2358" s="3138">
        <v>506</v>
      </c>
      <c r="L2358" s="3138">
        <v>554</v>
      </c>
      <c r="M2358" s="3138">
        <v>608</v>
      </c>
      <c r="N2358" s="3138">
        <v>667</v>
      </c>
      <c r="O2358" s="3138">
        <v>725</v>
      </c>
      <c r="P2358" s="3138">
        <v>783</v>
      </c>
    </row>
    <row r="2359" spans="1:16" x14ac:dyDescent="0.2">
      <c r="A2359" s="3138">
        <v>12</v>
      </c>
      <c r="B2359" s="3138">
        <v>234</v>
      </c>
      <c r="C2359" s="3138">
        <v>262</v>
      </c>
      <c r="D2359" s="3138">
        <v>287</v>
      </c>
      <c r="E2359" s="3138">
        <v>319</v>
      </c>
      <c r="F2359" s="3138">
        <v>349</v>
      </c>
      <c r="G2359" s="3138">
        <v>383</v>
      </c>
      <c r="H2359" s="3138">
        <v>421</v>
      </c>
      <c r="I2359" s="3138">
        <v>464</v>
      </c>
      <c r="J2359" s="3138">
        <v>509</v>
      </c>
      <c r="K2359" s="3138">
        <v>558</v>
      </c>
      <c r="L2359" s="3138">
        <v>611</v>
      </c>
      <c r="M2359" s="3138">
        <v>670</v>
      </c>
      <c r="N2359" s="3138">
        <v>735</v>
      </c>
      <c r="O2359" s="3138">
        <v>799</v>
      </c>
      <c r="P2359" s="3138">
        <v>863</v>
      </c>
    </row>
    <row r="2360" spans="1:16" x14ac:dyDescent="0.2">
      <c r="A2360" s="3138">
        <v>13</v>
      </c>
      <c r="B2360" s="3138">
        <v>257</v>
      </c>
      <c r="C2360" s="3138">
        <v>287</v>
      </c>
      <c r="D2360" s="3138">
        <v>316</v>
      </c>
      <c r="E2360" s="3138">
        <v>349</v>
      </c>
      <c r="F2360" s="3138">
        <v>383</v>
      </c>
      <c r="G2360" s="3138">
        <v>419</v>
      </c>
      <c r="H2360" s="3138">
        <v>461</v>
      </c>
      <c r="I2360" s="3138">
        <v>508</v>
      </c>
      <c r="J2360" s="3138">
        <v>557</v>
      </c>
      <c r="K2360" s="3138">
        <v>611</v>
      </c>
      <c r="L2360" s="3138">
        <v>669</v>
      </c>
      <c r="M2360" s="3138">
        <v>734</v>
      </c>
      <c r="N2360" s="3138">
        <v>805</v>
      </c>
      <c r="O2360" s="3138">
        <v>875</v>
      </c>
      <c r="P2360" s="3138">
        <v>945</v>
      </c>
    </row>
    <row r="2361" spans="1:16" x14ac:dyDescent="0.2">
      <c r="A2361" s="3138">
        <v>14</v>
      </c>
      <c r="B2361" s="3138">
        <v>282</v>
      </c>
      <c r="C2361" s="3138">
        <v>314</v>
      </c>
      <c r="D2361" s="3138">
        <v>347</v>
      </c>
      <c r="E2361" s="3138">
        <v>383</v>
      </c>
      <c r="F2361" s="3138">
        <v>419</v>
      </c>
      <c r="G2361" s="3138">
        <v>460</v>
      </c>
      <c r="H2361" s="3138">
        <v>506</v>
      </c>
      <c r="I2361" s="3138">
        <v>557</v>
      </c>
      <c r="J2361" s="3138">
        <v>611</v>
      </c>
      <c r="K2361" s="3138">
        <v>670</v>
      </c>
      <c r="L2361" s="3138">
        <v>733</v>
      </c>
      <c r="M2361" s="3138">
        <v>804</v>
      </c>
      <c r="N2361" s="3138">
        <v>883</v>
      </c>
      <c r="O2361" s="3138">
        <v>960</v>
      </c>
      <c r="P2361" s="3138">
        <v>1040</v>
      </c>
    </row>
    <row r="2362" spans="1:16" x14ac:dyDescent="0.2">
      <c r="A2362" s="3138">
        <v>15</v>
      </c>
      <c r="B2362" s="3138">
        <v>305</v>
      </c>
      <c r="C2362" s="3138">
        <v>341</v>
      </c>
      <c r="D2362" s="3138">
        <v>376</v>
      </c>
      <c r="E2362" s="3138">
        <v>415</v>
      </c>
      <c r="F2362" s="3138">
        <v>455</v>
      </c>
      <c r="G2362" s="3138">
        <v>499</v>
      </c>
      <c r="H2362" s="3138">
        <v>548</v>
      </c>
      <c r="I2362" s="3138">
        <v>605</v>
      </c>
      <c r="J2362" s="3138">
        <v>663</v>
      </c>
      <c r="K2362" s="3138">
        <v>727</v>
      </c>
      <c r="L2362" s="3138">
        <v>796</v>
      </c>
      <c r="M2362" s="3138">
        <v>873</v>
      </c>
      <c r="N2362" s="3138">
        <v>958</v>
      </c>
      <c r="O2362" s="3138">
        <v>1040</v>
      </c>
      <c r="P2362" s="3138">
        <v>1120</v>
      </c>
    </row>
    <row r="2365" spans="1:16" x14ac:dyDescent="0.2">
      <c r="A2365" s="4777" t="s">
        <v>5602</v>
      </c>
      <c r="B2365" s="4777"/>
      <c r="C2365" s="4777"/>
      <c r="D2365" s="4777"/>
      <c r="E2365" s="4777"/>
      <c r="F2365" s="4777"/>
      <c r="G2365" s="4777"/>
      <c r="H2365" s="4777"/>
      <c r="I2365" s="4777"/>
      <c r="J2365" s="4777"/>
      <c r="K2365" s="4777"/>
      <c r="L2365" s="4777"/>
      <c r="M2365" s="4777"/>
      <c r="N2365" s="4777"/>
      <c r="O2365" s="4777"/>
      <c r="P2365" s="4777"/>
    </row>
    <row r="2366" spans="1:16" ht="61.5" x14ac:dyDescent="0.2">
      <c r="A2366" s="3167" t="s">
        <v>5905</v>
      </c>
      <c r="B2366" s="3138" t="s">
        <v>5924</v>
      </c>
      <c r="C2366" s="3138" t="s">
        <v>5923</v>
      </c>
      <c r="D2366" s="3138" t="s">
        <v>5358</v>
      </c>
      <c r="E2366" s="3138" t="s">
        <v>5922</v>
      </c>
      <c r="F2366" s="3138" t="s">
        <v>5921</v>
      </c>
      <c r="G2366" s="3138" t="s">
        <v>5920</v>
      </c>
      <c r="H2366" s="3138" t="s">
        <v>5919</v>
      </c>
      <c r="I2366" s="3138" t="s">
        <v>5918</v>
      </c>
      <c r="J2366" s="3138" t="s">
        <v>5917</v>
      </c>
      <c r="K2366" s="3138" t="s">
        <v>5916</v>
      </c>
      <c r="L2366" s="3138" t="s">
        <v>5915</v>
      </c>
      <c r="M2366" s="3138" t="s">
        <v>5914</v>
      </c>
      <c r="N2366" s="3138" t="s">
        <v>1576</v>
      </c>
      <c r="O2366" s="3138" t="s">
        <v>5913</v>
      </c>
      <c r="P2366" s="3303" t="s">
        <v>5912</v>
      </c>
    </row>
    <row r="2367" spans="1:16" x14ac:dyDescent="0.2">
      <c r="A2367" s="4778" t="s">
        <v>1906</v>
      </c>
      <c r="B2367" s="4778"/>
      <c r="C2367" s="4778"/>
      <c r="D2367" s="4778"/>
      <c r="E2367" s="4778"/>
      <c r="F2367" s="4778"/>
      <c r="G2367" s="4778"/>
      <c r="H2367" s="4778"/>
      <c r="I2367" s="4778"/>
      <c r="J2367" s="4778"/>
      <c r="K2367" s="4778"/>
      <c r="L2367" s="4778"/>
      <c r="M2367" s="4778"/>
      <c r="N2367" s="4778"/>
      <c r="O2367" s="4778"/>
      <c r="P2367" s="4778"/>
    </row>
    <row r="2368" spans="1:16" x14ac:dyDescent="0.2">
      <c r="A2368" s="4779" t="s">
        <v>5911</v>
      </c>
      <c r="B2368" s="4779"/>
      <c r="C2368" s="4779"/>
      <c r="D2368" s="4779"/>
      <c r="E2368" s="4779"/>
      <c r="F2368" s="4779"/>
      <c r="G2368" s="4779"/>
      <c r="H2368" s="4779"/>
      <c r="I2368" s="4779"/>
      <c r="J2368" s="4779"/>
      <c r="K2368" s="4779"/>
      <c r="L2368" s="4779"/>
      <c r="M2368" s="4779"/>
      <c r="N2368" s="4779"/>
      <c r="O2368" s="4779"/>
      <c r="P2368" s="4779"/>
    </row>
    <row r="2369" spans="1:16" x14ac:dyDescent="0.2">
      <c r="A2369" s="3138">
        <v>5</v>
      </c>
      <c r="B2369" s="3138">
        <v>92</v>
      </c>
      <c r="C2369" s="3138">
        <v>102</v>
      </c>
      <c r="D2369" s="3138">
        <v>113</v>
      </c>
      <c r="E2369" s="3138">
        <v>125</v>
      </c>
      <c r="F2369" s="3138">
        <v>136</v>
      </c>
      <c r="G2369" s="3138">
        <v>150</v>
      </c>
      <c r="H2369" s="3138">
        <v>165</v>
      </c>
      <c r="I2369" s="3138">
        <v>181</v>
      </c>
      <c r="J2369" s="3138">
        <v>199</v>
      </c>
      <c r="K2369" s="3138">
        <v>218</v>
      </c>
      <c r="L2369" s="3138">
        <v>239</v>
      </c>
      <c r="M2369" s="3138">
        <v>262</v>
      </c>
      <c r="N2369" s="3138">
        <v>287</v>
      </c>
      <c r="O2369" s="3138">
        <v>312</v>
      </c>
      <c r="P2369" s="3138">
        <v>337</v>
      </c>
    </row>
    <row r="2370" spans="1:16" x14ac:dyDescent="0.2">
      <c r="A2370" s="3138">
        <v>6</v>
      </c>
      <c r="B2370" s="3138">
        <v>101</v>
      </c>
      <c r="C2370" s="3138">
        <v>113</v>
      </c>
      <c r="D2370" s="3138">
        <v>124</v>
      </c>
      <c r="E2370" s="3138">
        <v>137</v>
      </c>
      <c r="F2370" s="3138">
        <v>150</v>
      </c>
      <c r="G2370" s="3138">
        <v>165</v>
      </c>
      <c r="H2370" s="3138">
        <v>181</v>
      </c>
      <c r="I2370" s="3138">
        <v>200</v>
      </c>
      <c r="J2370" s="3138">
        <v>219</v>
      </c>
      <c r="K2370" s="3138">
        <v>240</v>
      </c>
      <c r="L2370" s="3138">
        <v>263</v>
      </c>
      <c r="M2370" s="3138">
        <v>288</v>
      </c>
      <c r="N2370" s="3138">
        <v>317</v>
      </c>
      <c r="O2370" s="3138">
        <v>343</v>
      </c>
      <c r="P2370" s="3138">
        <v>367</v>
      </c>
    </row>
    <row r="2371" spans="1:16" x14ac:dyDescent="0.2">
      <c r="A2371" s="3138">
        <v>7</v>
      </c>
      <c r="B2371" s="3138">
        <v>110</v>
      </c>
      <c r="C2371" s="3138">
        <v>123</v>
      </c>
      <c r="D2371" s="3138">
        <v>136</v>
      </c>
      <c r="E2371" s="3138">
        <v>150</v>
      </c>
      <c r="F2371" s="3138">
        <v>164</v>
      </c>
      <c r="G2371" s="3138">
        <v>180</v>
      </c>
      <c r="H2371" s="3138">
        <v>198</v>
      </c>
      <c r="I2371" s="3138">
        <v>218</v>
      </c>
      <c r="J2371" s="3138">
        <v>239</v>
      </c>
      <c r="K2371" s="3138">
        <v>262</v>
      </c>
      <c r="L2371" s="3138">
        <v>287</v>
      </c>
      <c r="M2371" s="3138">
        <v>315</v>
      </c>
      <c r="N2371" s="3138">
        <v>344</v>
      </c>
      <c r="O2371" s="3138">
        <v>370</v>
      </c>
      <c r="P2371" s="3138">
        <v>396</v>
      </c>
    </row>
    <row r="2372" spans="1:16" x14ac:dyDescent="0.2">
      <c r="A2372" s="3138">
        <v>8</v>
      </c>
      <c r="B2372" s="3138">
        <v>121</v>
      </c>
      <c r="C2372" s="3138">
        <v>134</v>
      </c>
      <c r="D2372" s="3138">
        <v>148</v>
      </c>
      <c r="E2372" s="3138">
        <v>164</v>
      </c>
      <c r="F2372" s="3138">
        <v>180</v>
      </c>
      <c r="G2372" s="3138">
        <v>197</v>
      </c>
      <c r="H2372" s="3138">
        <v>216</v>
      </c>
      <c r="I2372" s="3138">
        <v>239</v>
      </c>
      <c r="J2372" s="3138">
        <v>262</v>
      </c>
      <c r="K2372" s="3138">
        <v>287</v>
      </c>
      <c r="L2372" s="3138">
        <v>314</v>
      </c>
      <c r="M2372" s="3138">
        <v>342</v>
      </c>
      <c r="N2372" s="3138">
        <v>372</v>
      </c>
      <c r="O2372" s="3138">
        <v>400</v>
      </c>
      <c r="P2372" s="3138">
        <v>428</v>
      </c>
    </row>
    <row r="2373" spans="1:16" x14ac:dyDescent="0.2">
      <c r="A2373" s="3138">
        <v>9</v>
      </c>
      <c r="B2373" s="3138">
        <v>129</v>
      </c>
      <c r="C2373" s="3138">
        <v>144</v>
      </c>
      <c r="D2373" s="3138">
        <v>159</v>
      </c>
      <c r="E2373" s="3138">
        <v>176</v>
      </c>
      <c r="F2373" s="3138">
        <v>193</v>
      </c>
      <c r="G2373" s="3138">
        <v>211</v>
      </c>
      <c r="H2373" s="3138">
        <v>232</v>
      </c>
      <c r="I2373" s="3138">
        <v>256</v>
      </c>
      <c r="J2373" s="3138">
        <v>281</v>
      </c>
      <c r="K2373" s="3138">
        <v>308</v>
      </c>
      <c r="L2373" s="3138">
        <v>335</v>
      </c>
      <c r="M2373" s="3138">
        <v>364</v>
      </c>
      <c r="N2373" s="3138">
        <v>396</v>
      </c>
      <c r="O2373" s="3138">
        <v>426</v>
      </c>
      <c r="P2373" s="3138">
        <v>455</v>
      </c>
    </row>
    <row r="2374" spans="1:16" x14ac:dyDescent="0.2">
      <c r="A2374" s="3138">
        <v>10</v>
      </c>
      <c r="B2374" s="3138">
        <v>140</v>
      </c>
      <c r="C2374" s="3138">
        <v>156</v>
      </c>
      <c r="D2374" s="3138">
        <v>172</v>
      </c>
      <c r="E2374" s="3138">
        <v>191</v>
      </c>
      <c r="F2374" s="3138">
        <v>209</v>
      </c>
      <c r="G2374" s="3138">
        <v>229</v>
      </c>
      <c r="H2374" s="3138">
        <v>251</v>
      </c>
      <c r="I2374" s="3138">
        <v>277</v>
      </c>
      <c r="J2374" s="3138">
        <v>304</v>
      </c>
      <c r="K2374" s="3138">
        <v>330</v>
      </c>
      <c r="L2374" s="3138">
        <v>359</v>
      </c>
      <c r="M2374" s="3138">
        <v>390</v>
      </c>
      <c r="N2374" s="3138">
        <v>424</v>
      </c>
      <c r="O2374" s="3138">
        <v>456</v>
      </c>
      <c r="P2374" s="3138">
        <v>487</v>
      </c>
    </row>
    <row r="2375" spans="1:16" x14ac:dyDescent="0.2">
      <c r="A2375" s="3138">
        <v>11</v>
      </c>
      <c r="B2375" s="3138">
        <v>151</v>
      </c>
      <c r="C2375" s="3138">
        <v>168</v>
      </c>
      <c r="D2375" s="3138">
        <v>186</v>
      </c>
      <c r="E2375" s="3138">
        <v>205</v>
      </c>
      <c r="F2375" s="3138">
        <v>225</v>
      </c>
      <c r="G2375" s="3138">
        <v>246</v>
      </c>
      <c r="H2375" s="3138">
        <v>271</v>
      </c>
      <c r="I2375" s="3138">
        <v>298</v>
      </c>
      <c r="J2375" s="3138">
        <v>325</v>
      </c>
      <c r="K2375" s="3138">
        <v>352</v>
      </c>
      <c r="L2375" s="3138">
        <v>383</v>
      </c>
      <c r="M2375" s="3138">
        <v>416</v>
      </c>
      <c r="N2375" s="3138">
        <v>452</v>
      </c>
      <c r="O2375" s="3138">
        <v>485</v>
      </c>
      <c r="P2375" s="3138">
        <v>518</v>
      </c>
    </row>
    <row r="2376" spans="1:16" x14ac:dyDescent="0.2">
      <c r="A2376" s="3138">
        <v>12</v>
      </c>
      <c r="B2376" s="3138">
        <v>161</v>
      </c>
      <c r="C2376" s="3138">
        <v>180</v>
      </c>
      <c r="D2376" s="3138">
        <v>199</v>
      </c>
      <c r="E2376" s="3138">
        <v>219</v>
      </c>
      <c r="F2376" s="3138">
        <v>240</v>
      </c>
      <c r="G2376" s="3138">
        <v>263</v>
      </c>
      <c r="H2376" s="3138">
        <v>290</v>
      </c>
      <c r="I2376" s="3138">
        <v>317</v>
      </c>
      <c r="J2376" s="3138">
        <v>345</v>
      </c>
      <c r="K2376" s="3138">
        <v>374</v>
      </c>
      <c r="L2376" s="3138">
        <v>406</v>
      </c>
      <c r="M2376" s="3138">
        <v>441</v>
      </c>
      <c r="N2376" s="3138">
        <v>478</v>
      </c>
      <c r="O2376" s="3138">
        <v>513</v>
      </c>
      <c r="P2376" s="3138">
        <v>548</v>
      </c>
    </row>
    <row r="2377" spans="1:16" x14ac:dyDescent="0.2">
      <c r="A2377" s="3138">
        <v>13</v>
      </c>
      <c r="B2377" s="3138">
        <v>172</v>
      </c>
      <c r="C2377" s="3138">
        <v>191</v>
      </c>
      <c r="D2377" s="3138">
        <v>211</v>
      </c>
      <c r="E2377" s="3138">
        <v>233</v>
      </c>
      <c r="F2377" s="3138">
        <v>256</v>
      </c>
      <c r="G2377" s="3138">
        <v>280</v>
      </c>
      <c r="H2377" s="3138">
        <v>307</v>
      </c>
      <c r="I2377" s="3138">
        <v>335</v>
      </c>
      <c r="J2377" s="3138">
        <v>364</v>
      </c>
      <c r="K2377" s="3138">
        <v>394</v>
      </c>
      <c r="L2377" s="3138">
        <v>429</v>
      </c>
      <c r="M2377" s="3138">
        <v>464</v>
      </c>
      <c r="N2377" s="3138">
        <v>504</v>
      </c>
      <c r="O2377" s="3138">
        <v>541</v>
      </c>
      <c r="P2377" s="3138">
        <v>577</v>
      </c>
    </row>
    <row r="2378" spans="1:16" x14ac:dyDescent="0.2">
      <c r="A2378" s="3138">
        <v>14</v>
      </c>
      <c r="B2378" s="3138">
        <v>182</v>
      </c>
      <c r="C2378" s="3138">
        <v>203</v>
      </c>
      <c r="D2378" s="3138">
        <v>225</v>
      </c>
      <c r="E2378" s="3138">
        <v>248</v>
      </c>
      <c r="F2378" s="3138">
        <v>272</v>
      </c>
      <c r="G2378" s="3138">
        <v>296</v>
      </c>
      <c r="H2378" s="3138">
        <v>323</v>
      </c>
      <c r="I2378" s="3138">
        <v>353</v>
      </c>
      <c r="J2378" s="3138">
        <v>383</v>
      </c>
      <c r="K2378" s="3138">
        <v>415</v>
      </c>
      <c r="L2378" s="3138">
        <v>450</v>
      </c>
      <c r="M2378" s="3138">
        <v>488</v>
      </c>
      <c r="N2378" s="3138">
        <v>529</v>
      </c>
      <c r="O2378" s="3138">
        <v>567</v>
      </c>
      <c r="P2378" s="3138">
        <v>605</v>
      </c>
    </row>
    <row r="2379" spans="1:16" x14ac:dyDescent="0.2">
      <c r="A2379" s="3138">
        <v>15</v>
      </c>
      <c r="B2379" s="3138">
        <v>192</v>
      </c>
      <c r="C2379" s="3138">
        <v>214</v>
      </c>
      <c r="D2379" s="3138">
        <v>236</v>
      </c>
      <c r="E2379" s="3138">
        <v>261</v>
      </c>
      <c r="F2379" s="3138">
        <v>286</v>
      </c>
      <c r="G2379" s="3138">
        <v>311</v>
      </c>
      <c r="H2379" s="3138">
        <v>339</v>
      </c>
      <c r="I2379" s="3138">
        <v>370</v>
      </c>
      <c r="J2379" s="3138">
        <v>401</v>
      </c>
      <c r="K2379" s="3138">
        <v>434</v>
      </c>
      <c r="L2379" s="3138">
        <v>471</v>
      </c>
      <c r="M2379" s="3138">
        <v>510</v>
      </c>
      <c r="N2379" s="3138">
        <v>553</v>
      </c>
      <c r="O2379" s="3138">
        <v>593</v>
      </c>
      <c r="P2379" s="3138">
        <v>631</v>
      </c>
    </row>
    <row r="2380" spans="1:16" x14ac:dyDescent="0.2">
      <c r="A2380" s="4778" t="s">
        <v>5910</v>
      </c>
      <c r="B2380" s="4778"/>
      <c r="C2380" s="4778"/>
      <c r="D2380" s="4778"/>
      <c r="E2380" s="4778"/>
      <c r="F2380" s="4778"/>
      <c r="G2380" s="4778"/>
      <c r="H2380" s="4778"/>
      <c r="I2380" s="4778"/>
      <c r="J2380" s="4778"/>
      <c r="K2380" s="4778"/>
      <c r="L2380" s="4778"/>
      <c r="M2380" s="4778"/>
      <c r="N2380" s="4778"/>
      <c r="O2380" s="4778"/>
      <c r="P2380" s="4778"/>
    </row>
    <row r="2381" spans="1:16" x14ac:dyDescent="0.2">
      <c r="A2381" s="3138">
        <v>5</v>
      </c>
      <c r="B2381" s="3138">
        <v>106</v>
      </c>
      <c r="C2381" s="3138">
        <v>119</v>
      </c>
      <c r="D2381" s="3138">
        <v>131</v>
      </c>
      <c r="E2381" s="3138">
        <v>145</v>
      </c>
      <c r="F2381" s="3138">
        <v>159</v>
      </c>
      <c r="G2381" s="3138">
        <v>174</v>
      </c>
      <c r="H2381" s="3138">
        <v>191</v>
      </c>
      <c r="I2381" s="3138">
        <v>211</v>
      </c>
      <c r="J2381" s="3138">
        <v>231</v>
      </c>
      <c r="K2381" s="3138">
        <v>254</v>
      </c>
      <c r="L2381" s="3138">
        <v>277</v>
      </c>
      <c r="M2381" s="3138">
        <v>304</v>
      </c>
      <c r="N2381" s="3138">
        <v>334</v>
      </c>
      <c r="O2381" s="3138">
        <v>362</v>
      </c>
      <c r="P2381" s="3138">
        <v>388</v>
      </c>
    </row>
    <row r="2382" spans="1:16" x14ac:dyDescent="0.2">
      <c r="A2382" s="3138">
        <v>6</v>
      </c>
      <c r="B2382" s="3138">
        <v>119</v>
      </c>
      <c r="C2382" s="3138">
        <v>133</v>
      </c>
      <c r="D2382" s="3138">
        <v>147</v>
      </c>
      <c r="E2382" s="3138">
        <v>162</v>
      </c>
      <c r="F2382" s="3138">
        <v>178</v>
      </c>
      <c r="G2382" s="3138">
        <v>195</v>
      </c>
      <c r="H2382" s="3138">
        <v>214</v>
      </c>
      <c r="I2382" s="3138">
        <v>236</v>
      </c>
      <c r="J2382" s="3138">
        <v>259</v>
      </c>
      <c r="K2382" s="3138">
        <v>284</v>
      </c>
      <c r="L2382" s="3138">
        <v>311</v>
      </c>
      <c r="M2382" s="3138">
        <v>341</v>
      </c>
      <c r="N2382" s="3138">
        <v>372</v>
      </c>
      <c r="O2382" s="3138">
        <v>400</v>
      </c>
      <c r="P2382" s="3138">
        <v>428</v>
      </c>
    </row>
    <row r="2383" spans="1:16" x14ac:dyDescent="0.2">
      <c r="A2383" s="3138">
        <v>7</v>
      </c>
      <c r="B2383" s="3138">
        <v>132</v>
      </c>
      <c r="C2383" s="3138">
        <v>148</v>
      </c>
      <c r="D2383" s="3138">
        <v>163</v>
      </c>
      <c r="E2383" s="3138">
        <v>180</v>
      </c>
      <c r="F2383" s="3138">
        <v>197</v>
      </c>
      <c r="G2383" s="3138">
        <v>216</v>
      </c>
      <c r="H2383" s="3138">
        <v>238</v>
      </c>
      <c r="I2383" s="3138">
        <v>262</v>
      </c>
      <c r="J2383" s="3138">
        <v>287</v>
      </c>
      <c r="K2383" s="3138">
        <v>315</v>
      </c>
      <c r="L2383" s="3138">
        <v>345</v>
      </c>
      <c r="M2383" s="3138">
        <v>375</v>
      </c>
      <c r="N2383" s="3138">
        <v>408</v>
      </c>
      <c r="O2383" s="3138">
        <v>438</v>
      </c>
      <c r="P2383" s="3138">
        <v>469</v>
      </c>
    </row>
    <row r="2384" spans="1:16" x14ac:dyDescent="0.2">
      <c r="A2384" s="3138">
        <v>8</v>
      </c>
      <c r="B2384" s="3138">
        <v>148</v>
      </c>
      <c r="C2384" s="3138">
        <v>165</v>
      </c>
      <c r="D2384" s="3138">
        <v>182</v>
      </c>
      <c r="E2384" s="3138">
        <v>201</v>
      </c>
      <c r="F2384" s="3138">
        <v>220</v>
      </c>
      <c r="G2384" s="3138">
        <v>241</v>
      </c>
      <c r="H2384" s="3138">
        <v>265</v>
      </c>
      <c r="I2384" s="3138">
        <v>292</v>
      </c>
      <c r="J2384" s="3138">
        <v>320</v>
      </c>
      <c r="K2384" s="3138">
        <v>350</v>
      </c>
      <c r="L2384" s="3138">
        <v>380</v>
      </c>
      <c r="M2384" s="3138">
        <v>413</v>
      </c>
      <c r="N2384" s="3138">
        <v>448</v>
      </c>
      <c r="O2384" s="3138">
        <v>482</v>
      </c>
      <c r="P2384" s="3138">
        <v>514</v>
      </c>
    </row>
    <row r="2385" spans="1:16" x14ac:dyDescent="0.2">
      <c r="A2385" s="3138">
        <v>9</v>
      </c>
      <c r="B2385" s="3138">
        <v>161</v>
      </c>
      <c r="C2385" s="3138">
        <v>180</v>
      </c>
      <c r="D2385" s="3138">
        <v>198</v>
      </c>
      <c r="E2385" s="3138">
        <v>219</v>
      </c>
      <c r="F2385" s="3138">
        <v>240</v>
      </c>
      <c r="G2385" s="3138">
        <v>263</v>
      </c>
      <c r="H2385" s="3138">
        <v>289</v>
      </c>
      <c r="I2385" s="3138">
        <v>319</v>
      </c>
      <c r="J2385" s="3138">
        <v>348</v>
      </c>
      <c r="K2385" s="3138">
        <v>378</v>
      </c>
      <c r="L2385" s="3138">
        <v>411</v>
      </c>
      <c r="M2385" s="3138">
        <v>445</v>
      </c>
      <c r="N2385" s="3138">
        <v>483</v>
      </c>
      <c r="O2385" s="3138">
        <v>519</v>
      </c>
      <c r="P2385" s="3138">
        <v>553</v>
      </c>
    </row>
    <row r="2386" spans="1:16" x14ac:dyDescent="0.2">
      <c r="A2386" s="3138">
        <v>10</v>
      </c>
      <c r="B2386" s="3138">
        <v>178</v>
      </c>
      <c r="C2386" s="3138">
        <v>199</v>
      </c>
      <c r="D2386" s="3138">
        <v>219</v>
      </c>
      <c r="E2386" s="3138">
        <v>242</v>
      </c>
      <c r="F2386" s="3138">
        <v>265</v>
      </c>
      <c r="G2386" s="3138">
        <v>291</v>
      </c>
      <c r="H2386" s="3138">
        <v>320</v>
      </c>
      <c r="I2386" s="3138">
        <v>351</v>
      </c>
      <c r="J2386" s="3138">
        <v>381</v>
      </c>
      <c r="K2386" s="3138">
        <v>412</v>
      </c>
      <c r="L2386" s="3138">
        <v>448</v>
      </c>
      <c r="M2386" s="3138">
        <v>485</v>
      </c>
      <c r="N2386" s="3138">
        <v>526</v>
      </c>
      <c r="O2386" s="3138">
        <v>564</v>
      </c>
      <c r="P2386" s="3138">
        <v>601</v>
      </c>
    </row>
    <row r="2387" spans="1:16" x14ac:dyDescent="0.2">
      <c r="A2387" s="3138">
        <v>11</v>
      </c>
      <c r="B2387" s="3138">
        <v>196</v>
      </c>
      <c r="C2387" s="3138">
        <v>218</v>
      </c>
      <c r="D2387" s="3138">
        <v>241</v>
      </c>
      <c r="E2387" s="3138">
        <v>266</v>
      </c>
      <c r="F2387" s="3138">
        <v>291</v>
      </c>
      <c r="G2387" s="3138">
        <v>319</v>
      </c>
      <c r="H2387" s="3138">
        <v>349</v>
      </c>
      <c r="I2387" s="3138">
        <v>381</v>
      </c>
      <c r="J2387" s="3138">
        <v>414</v>
      </c>
      <c r="K2387" s="3138">
        <v>447</v>
      </c>
      <c r="L2387" s="3138">
        <v>486</v>
      </c>
      <c r="M2387" s="3138">
        <v>525</v>
      </c>
      <c r="N2387" s="3138">
        <v>569</v>
      </c>
      <c r="O2387" s="3138">
        <v>609</v>
      </c>
      <c r="P2387" s="3138">
        <v>649</v>
      </c>
    </row>
    <row r="2388" spans="1:16" x14ac:dyDescent="0.2">
      <c r="A2388" s="3138">
        <v>12</v>
      </c>
      <c r="B2388" s="3138">
        <v>214</v>
      </c>
      <c r="C2388" s="3138">
        <v>239</v>
      </c>
      <c r="D2388" s="3138">
        <v>263</v>
      </c>
      <c r="E2388" s="3138">
        <v>291</v>
      </c>
      <c r="F2388" s="3138">
        <v>319</v>
      </c>
      <c r="G2388" s="3138">
        <v>347</v>
      </c>
      <c r="H2388" s="3138">
        <v>378</v>
      </c>
      <c r="I2388" s="3138">
        <v>412</v>
      </c>
      <c r="J2388" s="3138">
        <v>447</v>
      </c>
      <c r="K2388" s="3138">
        <v>482</v>
      </c>
      <c r="L2388" s="3138">
        <v>523</v>
      </c>
      <c r="M2388" s="3138">
        <v>566</v>
      </c>
      <c r="N2388" s="3138">
        <v>612</v>
      </c>
      <c r="O2388" s="3138">
        <v>655</v>
      </c>
      <c r="P2388" s="3138">
        <v>697</v>
      </c>
    </row>
    <row r="2389" spans="1:16" x14ac:dyDescent="0.2">
      <c r="A2389" s="3138">
        <v>13</v>
      </c>
      <c r="B2389" s="3138">
        <v>232</v>
      </c>
      <c r="C2389" s="3138">
        <v>259</v>
      </c>
      <c r="D2389" s="3138">
        <v>286</v>
      </c>
      <c r="E2389" s="3138">
        <v>316</v>
      </c>
      <c r="F2389" s="3138">
        <v>344</v>
      </c>
      <c r="G2389" s="3138">
        <v>374</v>
      </c>
      <c r="H2389" s="3138">
        <v>406</v>
      </c>
      <c r="I2389" s="3138">
        <v>443</v>
      </c>
      <c r="J2389" s="3138">
        <v>479</v>
      </c>
      <c r="K2389" s="3138">
        <v>517</v>
      </c>
      <c r="L2389" s="3138">
        <v>561</v>
      </c>
      <c r="M2389" s="3138">
        <v>605</v>
      </c>
      <c r="N2389" s="3138">
        <v>654</v>
      </c>
      <c r="O2389" s="3138">
        <v>700</v>
      </c>
      <c r="P2389" s="3138">
        <v>744</v>
      </c>
    </row>
    <row r="2390" spans="1:16" x14ac:dyDescent="0.2">
      <c r="A2390" s="3138">
        <v>14</v>
      </c>
      <c r="B2390" s="3138">
        <v>252</v>
      </c>
      <c r="C2390" s="3138">
        <v>281</v>
      </c>
      <c r="D2390" s="3138">
        <v>310</v>
      </c>
      <c r="E2390" s="3138">
        <v>340</v>
      </c>
      <c r="F2390" s="3138">
        <v>369</v>
      </c>
      <c r="G2390" s="3138">
        <v>401</v>
      </c>
      <c r="H2390" s="3138">
        <v>435</v>
      </c>
      <c r="I2390" s="3138">
        <v>474</v>
      </c>
      <c r="J2390" s="3138">
        <v>513</v>
      </c>
      <c r="K2390" s="3138">
        <v>553</v>
      </c>
      <c r="L2390" s="3138">
        <v>599</v>
      </c>
      <c r="M2390" s="3138">
        <v>646</v>
      </c>
      <c r="N2390" s="3138">
        <v>698</v>
      </c>
      <c r="O2390" s="3138">
        <v>745</v>
      </c>
      <c r="P2390" s="3138">
        <v>791</v>
      </c>
    </row>
    <row r="2391" spans="1:16" x14ac:dyDescent="0.2">
      <c r="A2391" s="3138">
        <v>15</v>
      </c>
      <c r="B2391" s="3138">
        <v>271</v>
      </c>
      <c r="C2391" s="3138">
        <v>303</v>
      </c>
      <c r="D2391" s="3138">
        <v>332</v>
      </c>
      <c r="E2391" s="3138">
        <v>367</v>
      </c>
      <c r="F2391" s="3138">
        <v>395</v>
      </c>
      <c r="G2391" s="3138">
        <v>428</v>
      </c>
      <c r="H2391" s="3138">
        <v>465</v>
      </c>
      <c r="I2391" s="3138">
        <v>506</v>
      </c>
      <c r="J2391" s="3138">
        <v>546</v>
      </c>
      <c r="K2391" s="3138">
        <v>588</v>
      </c>
      <c r="L2391" s="3138">
        <v>637</v>
      </c>
      <c r="M2391" s="3138">
        <v>686</v>
      </c>
      <c r="N2391" s="3138">
        <v>741</v>
      </c>
      <c r="O2391" s="3138">
        <v>789</v>
      </c>
      <c r="P2391" s="3138">
        <v>837</v>
      </c>
    </row>
    <row r="2392" spans="1:16" x14ac:dyDescent="0.2">
      <c r="A2392" s="4778" t="s">
        <v>5909</v>
      </c>
      <c r="B2392" s="4778"/>
      <c r="C2392" s="4778"/>
      <c r="D2392" s="4778"/>
      <c r="E2392" s="4778"/>
      <c r="F2392" s="4778"/>
      <c r="G2392" s="4778"/>
      <c r="H2392" s="4778"/>
      <c r="I2392" s="4778"/>
      <c r="J2392" s="4778"/>
      <c r="K2392" s="4778"/>
      <c r="L2392" s="4778"/>
      <c r="M2392" s="4778"/>
      <c r="N2392" s="4778"/>
      <c r="O2392" s="4778"/>
      <c r="P2392" s="4778"/>
    </row>
    <row r="2393" spans="1:16" x14ac:dyDescent="0.2">
      <c r="A2393" s="3138">
        <v>5</v>
      </c>
      <c r="B2393" s="3138">
        <v>111</v>
      </c>
      <c r="C2393" s="3138">
        <v>124</v>
      </c>
      <c r="D2393" s="3138">
        <v>147</v>
      </c>
      <c r="E2393" s="3138">
        <v>151</v>
      </c>
      <c r="F2393" s="3138">
        <v>166</v>
      </c>
      <c r="G2393" s="3138">
        <v>182</v>
      </c>
      <c r="H2393" s="3138">
        <v>200</v>
      </c>
      <c r="I2393" s="3138">
        <v>220</v>
      </c>
      <c r="J2393" s="3138">
        <v>242</v>
      </c>
      <c r="K2393" s="3138">
        <v>265</v>
      </c>
      <c r="L2393" s="3138">
        <v>290</v>
      </c>
      <c r="M2393" s="3138">
        <v>318</v>
      </c>
      <c r="N2393" s="3138">
        <v>349</v>
      </c>
      <c r="O2393" s="3138">
        <v>378</v>
      </c>
      <c r="P2393" s="3138">
        <v>404</v>
      </c>
    </row>
    <row r="2394" spans="1:16" x14ac:dyDescent="0.2">
      <c r="A2394" s="3138">
        <v>6</v>
      </c>
      <c r="B2394" s="3138">
        <v>125</v>
      </c>
      <c r="C2394" s="3138">
        <v>140</v>
      </c>
      <c r="D2394" s="3138">
        <v>154</v>
      </c>
      <c r="E2394" s="3138">
        <v>171</v>
      </c>
      <c r="F2394" s="3138">
        <v>187</v>
      </c>
      <c r="G2394" s="3138">
        <v>205</v>
      </c>
      <c r="H2394" s="3138">
        <v>225</v>
      </c>
      <c r="I2394" s="3138">
        <v>248</v>
      </c>
      <c r="J2394" s="3138">
        <v>272</v>
      </c>
      <c r="K2394" s="3138">
        <v>299</v>
      </c>
      <c r="L2394" s="3138">
        <v>327</v>
      </c>
      <c r="M2394" s="3138">
        <v>358</v>
      </c>
      <c r="N2394" s="3138">
        <v>390</v>
      </c>
      <c r="O2394" s="3138">
        <v>419</v>
      </c>
      <c r="P2394" s="3138">
        <v>449</v>
      </c>
    </row>
    <row r="2395" spans="1:16" x14ac:dyDescent="0.2">
      <c r="A2395" s="3138">
        <v>7</v>
      </c>
      <c r="B2395" s="3138">
        <v>140</v>
      </c>
      <c r="C2395" s="3138">
        <v>156</v>
      </c>
      <c r="D2395" s="3138">
        <v>172</v>
      </c>
      <c r="E2395" s="3138">
        <v>190</v>
      </c>
      <c r="F2395" s="3138">
        <v>208</v>
      </c>
      <c r="G2395" s="3138">
        <v>228</v>
      </c>
      <c r="H2395" s="3138">
        <v>251</v>
      </c>
      <c r="I2395" s="3138">
        <v>277</v>
      </c>
      <c r="J2395" s="3138">
        <v>304</v>
      </c>
      <c r="K2395" s="3138">
        <v>333</v>
      </c>
      <c r="L2395" s="3138">
        <v>364</v>
      </c>
      <c r="M2395" s="3138">
        <v>395</v>
      </c>
      <c r="N2395" s="3138">
        <v>429</v>
      </c>
      <c r="O2395" s="3138">
        <v>461</v>
      </c>
      <c r="P2395" s="3138">
        <v>493</v>
      </c>
    </row>
    <row r="2396" spans="1:16" x14ac:dyDescent="0.2">
      <c r="A2396" s="3138">
        <v>8</v>
      </c>
      <c r="B2396" s="3138">
        <v>157</v>
      </c>
      <c r="C2396" s="3138">
        <v>175</v>
      </c>
      <c r="D2396" s="3138">
        <v>193</v>
      </c>
      <c r="E2396" s="3138">
        <v>214</v>
      </c>
      <c r="F2396" s="3138">
        <v>234</v>
      </c>
      <c r="G2396" s="3138">
        <v>257</v>
      </c>
      <c r="H2396" s="3138">
        <v>282</v>
      </c>
      <c r="I2396" s="3138">
        <v>311</v>
      </c>
      <c r="J2396" s="3138">
        <v>341</v>
      </c>
      <c r="K2396" s="3138">
        <v>371</v>
      </c>
      <c r="L2396" s="3138">
        <v>403</v>
      </c>
      <c r="M2396" s="3138">
        <v>437</v>
      </c>
      <c r="N2396" s="3138">
        <v>475</v>
      </c>
      <c r="O2396" s="3138">
        <v>509</v>
      </c>
      <c r="P2396" s="3138">
        <v>543</v>
      </c>
    </row>
    <row r="2397" spans="1:16" x14ac:dyDescent="0.2">
      <c r="A2397" s="3138">
        <v>9</v>
      </c>
      <c r="B2397" s="3138">
        <v>172</v>
      </c>
      <c r="C2397" s="3138">
        <v>192</v>
      </c>
      <c r="D2397" s="3138">
        <v>212</v>
      </c>
      <c r="E2397" s="3138">
        <v>235</v>
      </c>
      <c r="F2397" s="3138">
        <v>257</v>
      </c>
      <c r="G2397" s="3138">
        <v>281</v>
      </c>
      <c r="H2397" s="3138">
        <v>310</v>
      </c>
      <c r="I2397" s="3138">
        <v>341</v>
      </c>
      <c r="J2397" s="3138">
        <v>371</v>
      </c>
      <c r="K2397" s="3138">
        <v>402</v>
      </c>
      <c r="L2397" s="3138">
        <v>437</v>
      </c>
      <c r="M2397" s="3138">
        <v>473</v>
      </c>
      <c r="N2397" s="3138">
        <v>514</v>
      </c>
      <c r="O2397" s="3138">
        <v>551</v>
      </c>
      <c r="P2397" s="3138">
        <v>587</v>
      </c>
    </row>
    <row r="2398" spans="1:16" x14ac:dyDescent="0.2">
      <c r="A2398" s="3138">
        <v>10</v>
      </c>
      <c r="B2398" s="3138">
        <v>192</v>
      </c>
      <c r="C2398" s="3138">
        <v>214</v>
      </c>
      <c r="D2398" s="3138">
        <v>236</v>
      </c>
      <c r="E2398" s="3138">
        <v>261</v>
      </c>
      <c r="F2398" s="3138">
        <v>285</v>
      </c>
      <c r="G2398" s="3138">
        <v>314</v>
      </c>
      <c r="H2398" s="3138">
        <v>345</v>
      </c>
      <c r="I2398" s="3138">
        <v>377</v>
      </c>
      <c r="J2398" s="3138">
        <v>408</v>
      </c>
      <c r="K2398" s="3138">
        <v>442</v>
      </c>
      <c r="L2398" s="3138">
        <v>480</v>
      </c>
      <c r="M2398" s="3138">
        <v>519</v>
      </c>
      <c r="N2398" s="3138">
        <v>562</v>
      </c>
      <c r="O2398" s="3138">
        <v>602</v>
      </c>
      <c r="P2398" s="3138">
        <v>642</v>
      </c>
    </row>
    <row r="2399" spans="1:16" x14ac:dyDescent="0.2">
      <c r="A2399" s="3138">
        <v>11</v>
      </c>
      <c r="B2399" s="3138">
        <v>213</v>
      </c>
      <c r="C2399" s="3138">
        <v>237</v>
      </c>
      <c r="D2399" s="3138">
        <v>262</v>
      </c>
      <c r="E2399" s="3138">
        <v>289</v>
      </c>
      <c r="F2399" s="3138">
        <v>317</v>
      </c>
      <c r="G2399" s="3138">
        <v>347</v>
      </c>
      <c r="H2399" s="3138">
        <v>378</v>
      </c>
      <c r="I2399" s="3138">
        <v>412</v>
      </c>
      <c r="J2399" s="3138">
        <v>446</v>
      </c>
      <c r="K2399" s="3138">
        <v>482</v>
      </c>
      <c r="L2399" s="3138">
        <v>523</v>
      </c>
      <c r="M2399" s="3138">
        <v>565</v>
      </c>
      <c r="N2399" s="3138">
        <v>612</v>
      </c>
      <c r="O2399" s="3138">
        <v>655</v>
      </c>
      <c r="P2399" s="3138">
        <v>696</v>
      </c>
    </row>
    <row r="2400" spans="1:16" x14ac:dyDescent="0.2">
      <c r="A2400" s="3138">
        <v>12</v>
      </c>
      <c r="B2400" s="3138">
        <v>234</v>
      </c>
      <c r="C2400" s="3138">
        <v>262</v>
      </c>
      <c r="D2400" s="3138">
        <v>287</v>
      </c>
      <c r="E2400" s="3138">
        <v>319</v>
      </c>
      <c r="F2400" s="3138">
        <v>349</v>
      </c>
      <c r="G2400" s="3138">
        <v>378</v>
      </c>
      <c r="H2400" s="3138">
        <v>411</v>
      </c>
      <c r="I2400" s="3138">
        <v>448</v>
      </c>
      <c r="J2400" s="3138">
        <v>485</v>
      </c>
      <c r="K2400" s="3138">
        <v>523</v>
      </c>
      <c r="L2400" s="3138">
        <v>567</v>
      </c>
      <c r="M2400" s="3138">
        <v>612</v>
      </c>
      <c r="N2400" s="3138">
        <v>662</v>
      </c>
      <c r="O2400" s="3138">
        <v>708</v>
      </c>
      <c r="P2400" s="3138">
        <v>752</v>
      </c>
    </row>
    <row r="2401" spans="1:30" x14ac:dyDescent="0.2">
      <c r="A2401" s="3138">
        <v>13</v>
      </c>
      <c r="B2401" s="3138">
        <v>257</v>
      </c>
      <c r="C2401" s="3138">
        <v>287</v>
      </c>
      <c r="D2401" s="3138">
        <v>316</v>
      </c>
      <c r="E2401" s="3138">
        <v>348</v>
      </c>
      <c r="F2401" s="3138">
        <v>378</v>
      </c>
      <c r="G2401" s="3138">
        <v>410</v>
      </c>
      <c r="H2401" s="3138">
        <v>445</v>
      </c>
      <c r="I2401" s="3138">
        <v>485</v>
      </c>
      <c r="J2401" s="3138">
        <v>524</v>
      </c>
      <c r="K2401" s="3138">
        <v>564</v>
      </c>
      <c r="L2401" s="3138">
        <v>612</v>
      </c>
      <c r="M2401" s="3138">
        <v>659</v>
      </c>
      <c r="N2401" s="3138">
        <v>712</v>
      </c>
      <c r="O2401" s="3138">
        <v>760</v>
      </c>
      <c r="P2401" s="3138">
        <v>807</v>
      </c>
    </row>
    <row r="2402" spans="1:30" x14ac:dyDescent="0.2">
      <c r="A2402" s="3138">
        <v>14</v>
      </c>
      <c r="B2402" s="3138">
        <v>282</v>
      </c>
      <c r="C2402" s="3138">
        <v>314</v>
      </c>
      <c r="D2402" s="3138">
        <v>344</v>
      </c>
      <c r="E2402" s="3138">
        <v>377</v>
      </c>
      <c r="F2402" s="3138">
        <v>408</v>
      </c>
      <c r="G2402" s="3138">
        <v>442</v>
      </c>
      <c r="H2402" s="3138">
        <v>480</v>
      </c>
      <c r="I2402" s="3138">
        <v>523</v>
      </c>
      <c r="J2402" s="3138">
        <v>564</v>
      </c>
      <c r="K2402" s="3138">
        <v>607</v>
      </c>
      <c r="L2402" s="3138">
        <v>657</v>
      </c>
      <c r="M2402" s="3138">
        <v>708</v>
      </c>
      <c r="N2402" s="3138">
        <v>763</v>
      </c>
      <c r="O2402" s="3138">
        <v>813</v>
      </c>
      <c r="P2402" s="3138">
        <v>862</v>
      </c>
    </row>
    <row r="2403" spans="1:30" x14ac:dyDescent="0.2">
      <c r="A2403" s="3138">
        <v>15</v>
      </c>
      <c r="B2403" s="3138">
        <v>305</v>
      </c>
      <c r="C2403" s="3138">
        <v>339</v>
      </c>
      <c r="D2403" s="3138">
        <v>371</v>
      </c>
      <c r="E2403" s="3138">
        <v>406</v>
      </c>
      <c r="F2403" s="3138">
        <v>439</v>
      </c>
      <c r="G2403" s="3138">
        <v>476</v>
      </c>
      <c r="H2403" s="3138">
        <v>516</v>
      </c>
      <c r="I2403" s="3138">
        <v>561</v>
      </c>
      <c r="J2403" s="3138">
        <v>605</v>
      </c>
      <c r="K2403" s="3138">
        <v>650</v>
      </c>
      <c r="L2403" s="3138">
        <v>703</v>
      </c>
      <c r="M2403" s="3138">
        <v>756</v>
      </c>
      <c r="N2403" s="3138">
        <v>814</v>
      </c>
      <c r="O2403" s="3138">
        <v>867</v>
      </c>
      <c r="P2403" s="3138">
        <v>918</v>
      </c>
    </row>
    <row r="2406" spans="1:30" x14ac:dyDescent="0.2">
      <c r="E2406" s="3128" t="s">
        <v>5908</v>
      </c>
    </row>
    <row r="2407" spans="1:30" ht="15.75" x14ac:dyDescent="0.25">
      <c r="A2407" s="3299" t="s">
        <v>5907</v>
      </c>
      <c r="B2407" s="3299"/>
      <c r="C2407" s="3299"/>
      <c r="E2407" s="3302" t="s">
        <v>5906</v>
      </c>
      <c r="F2407" s="3301"/>
      <c r="G2407" s="3301"/>
      <c r="H2407" s="3300"/>
      <c r="AB2407" s="3241"/>
      <c r="AC2407" s="3241"/>
      <c r="AD2407" s="3241"/>
    </row>
    <row r="2408" spans="1:30" ht="15.75" x14ac:dyDescent="0.25">
      <c r="A2408" s="3288"/>
      <c r="B2408" s="3288"/>
      <c r="C2408" s="3288"/>
      <c r="E2408" s="3299"/>
      <c r="F2408" s="3287" t="s">
        <v>3315</v>
      </c>
      <c r="G2408" s="3286"/>
      <c r="H2408" s="3285"/>
      <c r="AB2408" s="3241"/>
      <c r="AC2408" s="3241"/>
      <c r="AD2408" s="3241"/>
    </row>
    <row r="2409" spans="1:30" ht="102.75" x14ac:dyDescent="0.25">
      <c r="A2409" s="3284" t="s">
        <v>3785</v>
      </c>
      <c r="B2409" s="3284" t="s">
        <v>3501</v>
      </c>
      <c r="E2409" s="3284" t="s">
        <v>5905</v>
      </c>
      <c r="F2409" s="3283" t="s">
        <v>5872</v>
      </c>
      <c r="G2409" s="3283" t="s">
        <v>5871</v>
      </c>
      <c r="H2409" s="3283" t="s">
        <v>5870</v>
      </c>
      <c r="AB2409" s="3241"/>
      <c r="AC2409" s="3241"/>
      <c r="AD2409" s="3241"/>
    </row>
    <row r="2410" spans="1:30" ht="12.75" customHeight="1" x14ac:dyDescent="0.25">
      <c r="A2410" s="3281" t="s">
        <v>5904</v>
      </c>
      <c r="B2410" s="3281">
        <v>0.95</v>
      </c>
      <c r="E2410" s="3297" t="s">
        <v>5903</v>
      </c>
      <c r="F2410" s="3281">
        <v>1.18</v>
      </c>
      <c r="G2410" s="3281">
        <v>1.0900000000000001</v>
      </c>
      <c r="H2410" s="3281">
        <v>1.06</v>
      </c>
      <c r="AB2410" s="3241"/>
      <c r="AC2410" s="3241"/>
      <c r="AD2410" s="3241"/>
    </row>
    <row r="2411" spans="1:30" ht="15.75" x14ac:dyDescent="0.25">
      <c r="A2411" s="3281" t="s">
        <v>5902</v>
      </c>
      <c r="B2411" s="3281">
        <v>0.9</v>
      </c>
      <c r="E2411" s="3297" t="s">
        <v>5901</v>
      </c>
      <c r="F2411" s="3281">
        <v>1.18</v>
      </c>
      <c r="G2411" s="3281">
        <v>1.0900000000000001</v>
      </c>
      <c r="H2411" s="3281">
        <v>1.06</v>
      </c>
      <c r="AB2411" s="3241"/>
      <c r="AC2411" s="3241"/>
      <c r="AD2411" s="3241"/>
    </row>
    <row r="2412" spans="1:30" ht="15.75" x14ac:dyDescent="0.25">
      <c r="A2412" s="3298"/>
      <c r="B2412" s="3298"/>
      <c r="E2412" s="3297" t="s">
        <v>5900</v>
      </c>
      <c r="F2412" s="3281">
        <v>1.18</v>
      </c>
      <c r="G2412" s="3281">
        <v>1.0900000000000001</v>
      </c>
      <c r="H2412" s="3281">
        <v>1.06</v>
      </c>
      <c r="AB2412" s="3241"/>
      <c r="AC2412" s="3241"/>
      <c r="AD2412" s="3241"/>
    </row>
    <row r="2413" spans="1:30" ht="15.75" x14ac:dyDescent="0.25">
      <c r="A2413" s="3298"/>
      <c r="B2413" s="3298"/>
      <c r="E2413" s="3297" t="s">
        <v>5899</v>
      </c>
      <c r="F2413" s="3281">
        <v>1.24</v>
      </c>
      <c r="G2413" s="3281">
        <v>1.1200000000000001</v>
      </c>
      <c r="H2413" s="3281">
        <v>1.08</v>
      </c>
      <c r="AB2413" s="3241"/>
      <c r="AC2413" s="3241"/>
      <c r="AD2413" s="3241"/>
    </row>
    <row r="2414" spans="1:30" ht="15.75" x14ac:dyDescent="0.25">
      <c r="A2414" s="3298"/>
      <c r="B2414" s="3298"/>
      <c r="E2414" s="3297" t="s">
        <v>5898</v>
      </c>
      <c r="F2414" s="3281">
        <v>1.24</v>
      </c>
      <c r="G2414" s="3281">
        <v>1.1200000000000001</v>
      </c>
      <c r="H2414" s="3281">
        <v>1.08</v>
      </c>
      <c r="AB2414" s="3241"/>
      <c r="AC2414" s="3241"/>
      <c r="AD2414" s="3241"/>
    </row>
    <row r="2415" spans="1:30" ht="15.75" x14ac:dyDescent="0.25">
      <c r="A2415" s="3298"/>
      <c r="B2415" s="3298"/>
      <c r="E2415" s="3297" t="s">
        <v>5897</v>
      </c>
      <c r="F2415" s="3281">
        <v>1.29</v>
      </c>
      <c r="G2415" s="3281">
        <v>1.1499999999999999</v>
      </c>
      <c r="H2415" s="3281">
        <v>1.1000000000000001</v>
      </c>
      <c r="AB2415" s="3241"/>
      <c r="AC2415" s="3241"/>
      <c r="AD2415" s="3241"/>
    </row>
    <row r="2416" spans="1:30" ht="15.75" x14ac:dyDescent="0.25">
      <c r="A2416" s="3298"/>
      <c r="B2416" s="3298"/>
      <c r="E2416" s="3297" t="s">
        <v>5896</v>
      </c>
      <c r="F2416" s="3281">
        <v>1.29</v>
      </c>
      <c r="G2416" s="3281">
        <v>1.1499999999999999</v>
      </c>
      <c r="H2416" s="3281">
        <v>1.1000000000000001</v>
      </c>
      <c r="AB2416" s="3241"/>
      <c r="AC2416" s="3241"/>
      <c r="AD2416" s="3241"/>
    </row>
    <row r="2417" spans="1:30" ht="15.75" x14ac:dyDescent="0.25">
      <c r="A2417" s="3298"/>
      <c r="B2417" s="3298"/>
      <c r="E2417" s="3297" t="s">
        <v>5895</v>
      </c>
      <c r="F2417" s="3281">
        <v>1.34</v>
      </c>
      <c r="G2417" s="3281">
        <v>1.18</v>
      </c>
      <c r="H2417" s="3281">
        <v>1.1299999999999999</v>
      </c>
      <c r="AB2417" s="3241"/>
      <c r="AC2417" s="3241"/>
      <c r="AD2417" s="3241"/>
    </row>
    <row r="2418" spans="1:30" ht="15.75" x14ac:dyDescent="0.25">
      <c r="A2418" s="3298"/>
      <c r="B2418" s="3298"/>
      <c r="E2418" s="3297" t="s">
        <v>5894</v>
      </c>
      <c r="F2418" s="3281">
        <v>1.34</v>
      </c>
      <c r="G2418" s="3281">
        <v>1.18</v>
      </c>
      <c r="H2418" s="3281">
        <v>1.1299999999999999</v>
      </c>
      <c r="AB2418" s="3241"/>
      <c r="AC2418" s="3241"/>
      <c r="AD2418" s="3241"/>
    </row>
    <row r="2419" spans="1:30" ht="15.75" x14ac:dyDescent="0.25">
      <c r="E2419" s="3297" t="s">
        <v>5893</v>
      </c>
      <c r="F2419" s="3281">
        <v>1.4</v>
      </c>
      <c r="G2419" s="3281">
        <v>1.22</v>
      </c>
      <c r="H2419" s="3281">
        <v>1.1599999999999999</v>
      </c>
      <c r="AB2419" s="3241"/>
      <c r="AC2419" s="3241"/>
      <c r="AD2419" s="3241"/>
    </row>
    <row r="2420" spans="1:30" ht="15.75" x14ac:dyDescent="0.25">
      <c r="E2420" s="3297" t="s">
        <v>5892</v>
      </c>
      <c r="F2420" s="3281">
        <v>1.4</v>
      </c>
      <c r="G2420" s="3281">
        <v>1.22</v>
      </c>
      <c r="H2420" s="3281">
        <v>1.1599999999999999</v>
      </c>
      <c r="AB2420" s="3241"/>
      <c r="AC2420" s="3241"/>
      <c r="AD2420" s="3241"/>
    </row>
    <row r="2421" spans="1:30" ht="15.75" x14ac:dyDescent="0.25">
      <c r="M2421" s="3128" t="s">
        <v>5891</v>
      </c>
      <c r="S2421" s="3128" t="s">
        <v>5890</v>
      </c>
      <c r="X2421" s="3128" t="s">
        <v>5889</v>
      </c>
      <c r="AB2421" s="3241"/>
      <c r="AC2421" s="3241"/>
      <c r="AD2421" s="3241"/>
    </row>
    <row r="2422" spans="1:30" ht="15.75" x14ac:dyDescent="0.25">
      <c r="B2422" s="3128" t="s">
        <v>5888</v>
      </c>
      <c r="G2422" s="3128" t="s">
        <v>5887</v>
      </c>
      <c r="L2422" s="3296" t="s">
        <v>5886</v>
      </c>
      <c r="M2422" s="3295"/>
      <c r="N2422" s="3295"/>
      <c r="O2422" s="3294"/>
      <c r="AB2422" s="3241"/>
      <c r="AC2422" s="3241"/>
      <c r="AD2422" s="3241"/>
    </row>
    <row r="2423" spans="1:30" ht="15.75" customHeight="1" x14ac:dyDescent="0.25">
      <c r="A2423" s="3291" t="s">
        <v>5885</v>
      </c>
      <c r="B2423" s="3293"/>
      <c r="C2423" s="3293"/>
      <c r="D2423" s="3292"/>
      <c r="F2423" s="3291" t="s">
        <v>5884</v>
      </c>
      <c r="G2423" s="3293"/>
      <c r="H2423" s="3293"/>
      <c r="I2423" s="3292"/>
      <c r="L2423" s="4781" t="s">
        <v>5883</v>
      </c>
      <c r="M2423" s="4781"/>
      <c r="N2423" s="4781"/>
      <c r="O2423" s="4781"/>
      <c r="R2423" s="3291" t="s">
        <v>5882</v>
      </c>
      <c r="S2423" s="3290"/>
      <c r="T2423" s="3290"/>
      <c r="U2423" s="3289"/>
      <c r="W2423" s="3291" t="s">
        <v>5881</v>
      </c>
      <c r="X2423" s="3290"/>
      <c r="Y2423" s="3290"/>
      <c r="Z2423" s="3290"/>
      <c r="AA2423" s="3289"/>
      <c r="AB2423" s="3241"/>
      <c r="AC2423" s="3241"/>
      <c r="AD2423" s="3241"/>
    </row>
    <row r="2424" spans="1:30" ht="15.75" x14ac:dyDescent="0.25">
      <c r="A2424" s="3288"/>
      <c r="B2424" s="3287" t="s">
        <v>466</v>
      </c>
      <c r="C2424" s="3286"/>
      <c r="D2424" s="3285"/>
      <c r="F2424" s="3288"/>
      <c r="G2424" s="3287" t="s">
        <v>466</v>
      </c>
      <c r="H2424" s="3286"/>
      <c r="I2424" s="3285"/>
      <c r="L2424" s="3288"/>
      <c r="M2424" s="3287" t="s">
        <v>466</v>
      </c>
      <c r="N2424" s="3286"/>
      <c r="O2424" s="3286"/>
      <c r="R2424" s="4782" t="s">
        <v>466</v>
      </c>
      <c r="S2424" s="4782"/>
      <c r="T2424" s="4782"/>
      <c r="U2424" s="4782"/>
      <c r="W2424" s="3288"/>
      <c r="X2424" s="3287" t="s">
        <v>466</v>
      </c>
      <c r="Y2424" s="3286"/>
      <c r="Z2424" s="3286"/>
      <c r="AB2424" s="3241"/>
      <c r="AC2424" s="3241"/>
      <c r="AD2424" s="3241"/>
    </row>
    <row r="2425" spans="1:30" ht="12.75" customHeight="1" x14ac:dyDescent="0.25">
      <c r="A2425" s="3284" t="s">
        <v>5873</v>
      </c>
      <c r="B2425" s="3283" t="s">
        <v>5872</v>
      </c>
      <c r="C2425" s="3283" t="s">
        <v>5871</v>
      </c>
      <c r="D2425" s="3283" t="s">
        <v>5870</v>
      </c>
      <c r="F2425" s="3284" t="s">
        <v>5873</v>
      </c>
      <c r="G2425" s="3283" t="s">
        <v>5872</v>
      </c>
      <c r="H2425" s="3283" t="s">
        <v>5871</v>
      </c>
      <c r="I2425" s="3283" t="s">
        <v>5870</v>
      </c>
      <c r="L2425" s="3284" t="s">
        <v>5873</v>
      </c>
      <c r="M2425" s="3283" t="s">
        <v>5872</v>
      </c>
      <c r="N2425" s="3283" t="s">
        <v>5871</v>
      </c>
      <c r="O2425" s="3283" t="s">
        <v>5870</v>
      </c>
      <c r="R2425" s="3284" t="s">
        <v>5873</v>
      </c>
      <c r="S2425" s="3283" t="s">
        <v>5872</v>
      </c>
      <c r="T2425" s="3283" t="s">
        <v>5871</v>
      </c>
      <c r="U2425" s="3283" t="s">
        <v>5870</v>
      </c>
      <c r="W2425" s="3284" t="s">
        <v>5873</v>
      </c>
      <c r="X2425" s="3283" t="s">
        <v>5872</v>
      </c>
      <c r="Y2425" s="3283" t="s">
        <v>5871</v>
      </c>
      <c r="Z2425" s="3283" t="s">
        <v>5870</v>
      </c>
      <c r="AB2425" s="3241"/>
      <c r="AC2425" s="3241"/>
      <c r="AD2425" s="3241"/>
    </row>
    <row r="2426" spans="1:30" ht="12.75" customHeight="1" x14ac:dyDescent="0.25">
      <c r="A2426" s="3281">
        <v>5</v>
      </c>
      <c r="B2426" s="3281" t="s">
        <v>5880</v>
      </c>
      <c r="C2426" s="3281" t="s">
        <v>5879</v>
      </c>
      <c r="D2426" s="3281" t="s">
        <v>5877</v>
      </c>
      <c r="F2426" s="3281">
        <v>5</v>
      </c>
      <c r="G2426" s="3281">
        <v>0.93</v>
      </c>
      <c r="H2426" s="3281">
        <v>0.96</v>
      </c>
      <c r="I2426" s="3281">
        <v>0.92</v>
      </c>
      <c r="L2426" s="3281">
        <v>5</v>
      </c>
      <c r="M2426" s="3281">
        <v>0.62</v>
      </c>
      <c r="N2426" s="3281">
        <v>0.55000000000000004</v>
      </c>
      <c r="O2426" s="3281">
        <v>0.53</v>
      </c>
      <c r="R2426" s="3281">
        <v>5</v>
      </c>
      <c r="S2426" s="3281">
        <v>0.54</v>
      </c>
      <c r="T2426" s="3281">
        <v>0.52</v>
      </c>
      <c r="U2426" s="3281">
        <v>0.51</v>
      </c>
      <c r="W2426" s="3281">
        <v>5</v>
      </c>
      <c r="X2426" s="3281">
        <v>0.81</v>
      </c>
      <c r="Y2426" s="3281">
        <v>0.73</v>
      </c>
      <c r="Z2426" s="3281">
        <v>0.71</v>
      </c>
      <c r="AB2426" s="3241"/>
      <c r="AC2426" s="3241"/>
      <c r="AD2426" s="3241"/>
    </row>
    <row r="2427" spans="1:30" ht="15.75" x14ac:dyDescent="0.25">
      <c r="A2427" s="3281">
        <v>6</v>
      </c>
      <c r="B2427" s="3281" t="s">
        <v>5880</v>
      </c>
      <c r="C2427" s="3281" t="s">
        <v>5879</v>
      </c>
      <c r="D2427" s="3281" t="s">
        <v>5877</v>
      </c>
      <c r="F2427" s="3281">
        <v>6</v>
      </c>
      <c r="G2427" s="3281">
        <v>0.93</v>
      </c>
      <c r="H2427" s="3281">
        <v>0.96</v>
      </c>
      <c r="I2427" s="3281">
        <v>0.92</v>
      </c>
      <c r="L2427" s="3281">
        <v>6</v>
      </c>
      <c r="M2427" s="3281">
        <v>0.62</v>
      </c>
      <c r="N2427" s="3281">
        <v>0.55000000000000004</v>
      </c>
      <c r="O2427" s="3281">
        <v>0.53</v>
      </c>
      <c r="R2427" s="3281">
        <v>6</v>
      </c>
      <c r="S2427" s="3281">
        <v>0.54</v>
      </c>
      <c r="T2427" s="3281">
        <v>0.52</v>
      </c>
      <c r="U2427" s="3281">
        <v>0.51</v>
      </c>
      <c r="W2427" s="3281">
        <v>6</v>
      </c>
      <c r="X2427" s="3281">
        <v>0.81</v>
      </c>
      <c r="Y2427" s="3281">
        <v>0.73</v>
      </c>
      <c r="Z2427" s="3281">
        <v>0.71</v>
      </c>
      <c r="AB2427" s="3241"/>
      <c r="AC2427" s="3241"/>
      <c r="AD2427" s="3241"/>
    </row>
    <row r="2428" spans="1:30" ht="15.75" x14ac:dyDescent="0.25">
      <c r="A2428" s="3281">
        <v>7</v>
      </c>
      <c r="B2428" s="3281" t="s">
        <v>5880</v>
      </c>
      <c r="C2428" s="3281" t="s">
        <v>5879</v>
      </c>
      <c r="D2428" s="3281" t="s">
        <v>5877</v>
      </c>
      <c r="F2428" s="3281">
        <v>7</v>
      </c>
      <c r="G2428" s="3281">
        <v>0.97</v>
      </c>
      <c r="H2428" s="3281">
        <v>0.99</v>
      </c>
      <c r="I2428" s="3281">
        <v>0.99</v>
      </c>
      <c r="L2428" s="3281">
        <v>7</v>
      </c>
      <c r="M2428" s="3281">
        <v>0.67</v>
      </c>
      <c r="N2428" s="3281">
        <v>0.57999999999999996</v>
      </c>
      <c r="O2428" s="3281">
        <v>0.55000000000000004</v>
      </c>
      <c r="R2428" s="3281">
        <v>7</v>
      </c>
      <c r="S2428" s="3281">
        <v>0.59</v>
      </c>
      <c r="T2428" s="3281">
        <v>0.54</v>
      </c>
      <c r="U2428" s="3281">
        <v>0.53</v>
      </c>
      <c r="W2428" s="3281">
        <v>7</v>
      </c>
      <c r="X2428" s="3281">
        <v>0.86</v>
      </c>
      <c r="Y2428" s="3281">
        <v>0.76</v>
      </c>
      <c r="Z2428" s="3281">
        <v>0.73</v>
      </c>
      <c r="AB2428" s="3241"/>
      <c r="AC2428" s="3241"/>
      <c r="AD2428" s="3241"/>
    </row>
    <row r="2429" spans="1:30" ht="15.75" x14ac:dyDescent="0.25">
      <c r="A2429" s="3281">
        <v>8</v>
      </c>
      <c r="B2429" s="3281" t="s">
        <v>5880</v>
      </c>
      <c r="C2429" s="3281" t="s">
        <v>5879</v>
      </c>
      <c r="D2429" s="3281" t="s">
        <v>5877</v>
      </c>
      <c r="F2429" s="3281">
        <v>8</v>
      </c>
      <c r="G2429" s="3281">
        <v>0.97</v>
      </c>
      <c r="H2429" s="3281">
        <v>0.99</v>
      </c>
      <c r="I2429" s="3281">
        <v>0.99</v>
      </c>
      <c r="L2429" s="3281">
        <v>8</v>
      </c>
      <c r="M2429" s="3281">
        <v>0.67</v>
      </c>
      <c r="N2429" s="3281">
        <v>0.57999999999999996</v>
      </c>
      <c r="O2429" s="3281">
        <v>0.55000000000000004</v>
      </c>
      <c r="R2429" s="3281">
        <v>8</v>
      </c>
      <c r="S2429" s="3281">
        <v>0.59</v>
      </c>
      <c r="T2429" s="3281">
        <v>0.54</v>
      </c>
      <c r="U2429" s="3281">
        <v>0.53</v>
      </c>
      <c r="W2429" s="3281">
        <v>8</v>
      </c>
      <c r="X2429" s="3281">
        <v>0.86</v>
      </c>
      <c r="Y2429" s="3281">
        <v>0.76</v>
      </c>
      <c r="Z2429" s="3281">
        <v>0.73</v>
      </c>
      <c r="AB2429" s="3241"/>
      <c r="AC2429" s="3241"/>
      <c r="AD2429" s="3241"/>
    </row>
    <row r="2430" spans="1:30" ht="15.75" x14ac:dyDescent="0.25">
      <c r="A2430" s="3281">
        <v>9</v>
      </c>
      <c r="B2430" s="3281" t="s">
        <v>5880</v>
      </c>
      <c r="C2430" s="3281" t="s">
        <v>5879</v>
      </c>
      <c r="D2430" s="3281" t="s">
        <v>5877</v>
      </c>
      <c r="F2430" s="3281">
        <v>9</v>
      </c>
      <c r="G2430" s="3281">
        <v>1.03</v>
      </c>
      <c r="H2430" s="3281">
        <v>1.01</v>
      </c>
      <c r="I2430" s="3281">
        <v>1.01</v>
      </c>
      <c r="L2430" s="3281">
        <v>9</v>
      </c>
      <c r="M2430" s="3281">
        <v>0.72</v>
      </c>
      <c r="N2430" s="3281">
        <v>0.61</v>
      </c>
      <c r="O2430" s="3281">
        <v>0.57999999999999996</v>
      </c>
      <c r="R2430" s="3281">
        <v>9</v>
      </c>
      <c r="S2430" s="3281">
        <v>0.64</v>
      </c>
      <c r="T2430" s="3281">
        <v>0.56999999999999995</v>
      </c>
      <c r="U2430" s="3281">
        <v>0.56000000000000005</v>
      </c>
      <c r="W2430" s="3281">
        <v>9</v>
      </c>
      <c r="X2430" s="3281">
        <v>0.92</v>
      </c>
      <c r="Y2430" s="3281">
        <v>0.8</v>
      </c>
      <c r="Z2430" s="3281">
        <v>0.76</v>
      </c>
      <c r="AB2430" s="3241"/>
      <c r="AC2430" s="3241"/>
      <c r="AD2430" s="3241"/>
    </row>
    <row r="2431" spans="1:30" ht="15.75" x14ac:dyDescent="0.25">
      <c r="A2431" s="3281">
        <v>10</v>
      </c>
      <c r="B2431" s="3281" t="s">
        <v>5880</v>
      </c>
      <c r="C2431" s="3281" t="s">
        <v>5879</v>
      </c>
      <c r="D2431" s="3281" t="s">
        <v>5877</v>
      </c>
      <c r="F2431" s="3281">
        <v>10</v>
      </c>
      <c r="G2431" s="3281">
        <v>1.03</v>
      </c>
      <c r="H2431" s="3281">
        <v>1.01</v>
      </c>
      <c r="I2431" s="3281">
        <v>1.01</v>
      </c>
      <c r="L2431" s="3281">
        <v>10</v>
      </c>
      <c r="M2431" s="3281">
        <v>0.72</v>
      </c>
      <c r="N2431" s="3281">
        <v>0.61</v>
      </c>
      <c r="O2431" s="3281">
        <v>0.57999999999999996</v>
      </c>
      <c r="R2431" s="3281">
        <v>10</v>
      </c>
      <c r="S2431" s="3281">
        <v>0.64</v>
      </c>
      <c r="T2431" s="3281">
        <v>0.56999999999999995</v>
      </c>
      <c r="U2431" s="3281">
        <v>0.56000000000000005</v>
      </c>
      <c r="W2431" s="3281">
        <v>10</v>
      </c>
      <c r="X2431" s="3281">
        <v>0.92</v>
      </c>
      <c r="Y2431" s="3281">
        <v>0.8</v>
      </c>
      <c r="Z2431" s="3281">
        <v>0.76</v>
      </c>
      <c r="AB2431" s="3241"/>
      <c r="AC2431" s="3241"/>
      <c r="AD2431" s="3241"/>
    </row>
    <row r="2432" spans="1:30" ht="15.75" x14ac:dyDescent="0.25">
      <c r="A2432" s="3281">
        <v>11</v>
      </c>
      <c r="B2432" s="3281" t="s">
        <v>5878</v>
      </c>
      <c r="C2432" s="3281" t="s">
        <v>5877</v>
      </c>
      <c r="D2432" s="3281" t="s">
        <v>5876</v>
      </c>
      <c r="F2432" s="3281">
        <v>11</v>
      </c>
      <c r="G2432" s="3281">
        <v>1.08</v>
      </c>
      <c r="H2432" s="3281">
        <v>1.05</v>
      </c>
      <c r="I2432" s="3281">
        <v>1.04</v>
      </c>
      <c r="L2432" s="3281">
        <v>11</v>
      </c>
      <c r="M2432" s="3281">
        <v>0.77</v>
      </c>
      <c r="N2432" s="3281">
        <v>0.64</v>
      </c>
      <c r="O2432" s="3281">
        <v>0.62</v>
      </c>
      <c r="R2432" s="3281">
        <v>11</v>
      </c>
      <c r="S2432" s="3281">
        <v>0.68</v>
      </c>
      <c r="T2432" s="3281">
        <v>0.6</v>
      </c>
      <c r="U2432" s="3281">
        <v>0.57999999999999996</v>
      </c>
      <c r="W2432" s="3281">
        <v>11</v>
      </c>
      <c r="X2432" s="3281">
        <v>0.97</v>
      </c>
      <c r="Y2432" s="3281">
        <v>0.83</v>
      </c>
      <c r="Z2432" s="3281">
        <v>0.79</v>
      </c>
      <c r="AB2432" s="3241"/>
      <c r="AC2432" s="3241"/>
      <c r="AD2432" s="3241"/>
    </row>
    <row r="2433" spans="1:30" ht="15.75" x14ac:dyDescent="0.25">
      <c r="A2433" s="3281">
        <v>12</v>
      </c>
      <c r="B2433" s="3281" t="s">
        <v>5878</v>
      </c>
      <c r="C2433" s="3281" t="s">
        <v>5877</v>
      </c>
      <c r="D2433" s="3281" t="s">
        <v>5876</v>
      </c>
      <c r="F2433" s="3281">
        <v>12</v>
      </c>
      <c r="G2433" s="3281">
        <v>1.08</v>
      </c>
      <c r="H2433" s="3281">
        <v>1.05</v>
      </c>
      <c r="I2433" s="3281">
        <v>1.04</v>
      </c>
      <c r="L2433" s="3281">
        <v>12</v>
      </c>
      <c r="M2433" s="3281">
        <v>0.81</v>
      </c>
      <c r="N2433" s="3281">
        <v>0.67</v>
      </c>
      <c r="O2433" s="3281">
        <v>0.63</v>
      </c>
      <c r="R2433" s="3281">
        <v>12</v>
      </c>
      <c r="S2433" s="3281">
        <v>0.71</v>
      </c>
      <c r="T2433" s="3281">
        <v>0.63</v>
      </c>
      <c r="U2433" s="3281">
        <v>0.6</v>
      </c>
      <c r="W2433" s="3281">
        <v>12</v>
      </c>
      <c r="X2433" s="3281">
        <v>1</v>
      </c>
      <c r="Y2433" s="3281">
        <v>0.85</v>
      </c>
      <c r="Z2433" s="3281">
        <v>0.81</v>
      </c>
      <c r="AB2433" s="3241"/>
      <c r="AC2433" s="3241"/>
      <c r="AD2433" s="3241"/>
    </row>
    <row r="2434" spans="1:30" ht="15.75" x14ac:dyDescent="0.25">
      <c r="A2434" s="3281">
        <v>13</v>
      </c>
      <c r="B2434" s="3281" t="s">
        <v>5878</v>
      </c>
      <c r="C2434" s="3281" t="s">
        <v>5877</v>
      </c>
      <c r="D2434" s="3281" t="s">
        <v>5876</v>
      </c>
      <c r="F2434" s="3281">
        <v>13</v>
      </c>
      <c r="G2434" s="3281">
        <v>1.1299999999999999</v>
      </c>
      <c r="H2434" s="3281">
        <v>1.08</v>
      </c>
      <c r="I2434" s="3281">
        <v>1.06</v>
      </c>
      <c r="L2434" s="3281">
        <v>13</v>
      </c>
      <c r="M2434" s="3281">
        <v>0.85</v>
      </c>
      <c r="N2434" s="3281">
        <v>0.7</v>
      </c>
      <c r="O2434" s="3281">
        <v>0.65</v>
      </c>
      <c r="R2434" s="3281">
        <v>13</v>
      </c>
      <c r="S2434" s="3281">
        <v>0.76</v>
      </c>
      <c r="T2434" s="3281">
        <v>0.66</v>
      </c>
      <c r="U2434" s="3281">
        <v>0.62</v>
      </c>
      <c r="W2434" s="3281">
        <v>13</v>
      </c>
      <c r="X2434" s="3281">
        <v>1.05</v>
      </c>
      <c r="Y2434" s="3281">
        <v>0.88</v>
      </c>
      <c r="Z2434" s="3281">
        <v>0.83</v>
      </c>
      <c r="AB2434" s="3241"/>
      <c r="AC2434" s="3241"/>
      <c r="AD2434" s="3241"/>
    </row>
    <row r="2435" spans="1:30" ht="15.75" x14ac:dyDescent="0.25">
      <c r="A2435" s="3281">
        <v>14</v>
      </c>
      <c r="B2435" s="3281" t="s">
        <v>5878</v>
      </c>
      <c r="C2435" s="3281" t="s">
        <v>5877</v>
      </c>
      <c r="D2435" s="3281" t="s">
        <v>5876</v>
      </c>
      <c r="F2435" s="3281">
        <v>14</v>
      </c>
      <c r="G2435" s="3281">
        <v>1.17</v>
      </c>
      <c r="H2435" s="3281">
        <v>1.1000000000000001</v>
      </c>
      <c r="I2435" s="3281">
        <v>1.07</v>
      </c>
      <c r="L2435" s="3281">
        <v>14</v>
      </c>
      <c r="M2435" s="3281">
        <v>0.9</v>
      </c>
      <c r="N2435" s="3281">
        <v>0.73</v>
      </c>
      <c r="O2435" s="3281">
        <v>0.68</v>
      </c>
      <c r="R2435" s="3281">
        <v>14</v>
      </c>
      <c r="S2435" s="3281">
        <v>0.8</v>
      </c>
      <c r="T2435" s="3281">
        <v>0.69</v>
      </c>
      <c r="U2435" s="3281">
        <v>0.65</v>
      </c>
      <c r="W2435" s="3281">
        <v>14</v>
      </c>
      <c r="X2435" s="3281">
        <v>1.0900000000000001</v>
      </c>
      <c r="Y2435" s="3281">
        <v>0.91</v>
      </c>
      <c r="Z2435" s="3281">
        <v>0.85</v>
      </c>
      <c r="AB2435" s="3241"/>
      <c r="AC2435" s="3241"/>
      <c r="AD2435" s="3241"/>
    </row>
    <row r="2436" spans="1:30" ht="15.75" x14ac:dyDescent="0.25">
      <c r="A2436" s="3281">
        <v>15</v>
      </c>
      <c r="B2436" s="3281" t="s">
        <v>5878</v>
      </c>
      <c r="C2436" s="3281" t="s">
        <v>5877</v>
      </c>
      <c r="D2436" s="3281" t="s">
        <v>5876</v>
      </c>
      <c r="F2436" s="3281">
        <v>15</v>
      </c>
      <c r="G2436" s="3281">
        <v>1.21</v>
      </c>
      <c r="H2436" s="3281">
        <v>1.1299999999999999</v>
      </c>
      <c r="I2436" s="3281">
        <v>1.0900000000000001</v>
      </c>
      <c r="L2436" s="3281">
        <v>15</v>
      </c>
      <c r="M2436" s="3281">
        <v>0.95</v>
      </c>
      <c r="N2436" s="3281">
        <v>0.77</v>
      </c>
      <c r="O2436" s="3281">
        <v>0.71</v>
      </c>
      <c r="R2436" s="3281">
        <v>15</v>
      </c>
      <c r="S2436" s="3281">
        <v>0.85</v>
      </c>
      <c r="T2436" s="3281">
        <v>0.72</v>
      </c>
      <c r="U2436" s="3281">
        <v>0.68</v>
      </c>
      <c r="W2436" s="3281">
        <v>15</v>
      </c>
      <c r="X2436" s="3281">
        <v>1.1299999999999999</v>
      </c>
      <c r="Y2436" s="3281">
        <v>0.95</v>
      </c>
      <c r="Z2436" s="3281">
        <v>0.88</v>
      </c>
      <c r="AB2436" s="3241"/>
      <c r="AC2436" s="3241"/>
      <c r="AD2436" s="3241"/>
    </row>
    <row r="2437" spans="1:30" ht="15.75" x14ac:dyDescent="0.25">
      <c r="A2437" s="3128">
        <v>3</v>
      </c>
      <c r="AB2437" s="3241"/>
      <c r="AC2437" s="3241"/>
      <c r="AD2437" s="3241"/>
    </row>
    <row r="2438" spans="1:30" ht="15.75" customHeight="1" x14ac:dyDescent="0.25">
      <c r="A2438" s="4783" t="s">
        <v>5875</v>
      </c>
      <c r="B2438" s="4783"/>
      <c r="C2438" s="4783"/>
      <c r="D2438" s="4783"/>
      <c r="F2438" s="3291" t="s">
        <v>5874</v>
      </c>
      <c r="G2438" s="3290"/>
      <c r="H2438" s="3290"/>
      <c r="I2438" s="3289"/>
      <c r="AB2438" s="3241"/>
      <c r="AC2438" s="3241"/>
      <c r="AD2438" s="3241"/>
    </row>
    <row r="2439" spans="1:30" ht="15.75" x14ac:dyDescent="0.25">
      <c r="A2439" s="3288"/>
      <c r="B2439" s="3287" t="s">
        <v>466</v>
      </c>
      <c r="C2439" s="3286"/>
      <c r="D2439" s="3285"/>
      <c r="F2439" s="3288"/>
      <c r="G2439" s="3287" t="s">
        <v>466</v>
      </c>
      <c r="H2439" s="3286"/>
      <c r="I2439" s="3285"/>
      <c r="AB2439" s="3241"/>
      <c r="AC2439" s="3241"/>
      <c r="AD2439" s="3241"/>
    </row>
    <row r="2440" spans="1:30" ht="102.75" x14ac:dyDescent="0.25">
      <c r="A2440" s="3284" t="s">
        <v>5873</v>
      </c>
      <c r="B2440" s="3283" t="s">
        <v>5872</v>
      </c>
      <c r="C2440" s="3283" t="s">
        <v>5871</v>
      </c>
      <c r="D2440" s="3283" t="s">
        <v>5870</v>
      </c>
      <c r="F2440" s="3284" t="s">
        <v>5873</v>
      </c>
      <c r="G2440" s="3283" t="s">
        <v>5872</v>
      </c>
      <c r="H2440" s="3283" t="s">
        <v>5871</v>
      </c>
      <c r="I2440" s="3283" t="s">
        <v>5870</v>
      </c>
      <c r="M2440" s="3282" t="s">
        <v>5869</v>
      </c>
      <c r="AB2440" s="3241"/>
      <c r="AC2440" s="3241"/>
      <c r="AD2440" s="3241"/>
    </row>
    <row r="2441" spans="1:30" ht="12.75" customHeight="1" x14ac:dyDescent="0.25">
      <c r="A2441" s="3281">
        <v>5</v>
      </c>
      <c r="B2441" s="3281">
        <v>0.76</v>
      </c>
      <c r="C2441" s="3281">
        <v>0.69</v>
      </c>
      <c r="D2441" s="3281">
        <v>0.66</v>
      </c>
      <c r="F2441" s="3281">
        <v>5</v>
      </c>
      <c r="G2441" s="3281">
        <v>0.65</v>
      </c>
      <c r="H2441" s="3281">
        <v>0.63</v>
      </c>
      <c r="I2441" s="3281">
        <v>0.63</v>
      </c>
      <c r="AB2441" s="3241"/>
      <c r="AC2441" s="3241"/>
      <c r="AD2441" s="3241"/>
    </row>
    <row r="2442" spans="1:30" ht="15.75" x14ac:dyDescent="0.25">
      <c r="A2442" s="3281">
        <v>6</v>
      </c>
      <c r="B2442" s="3281">
        <v>0.76</v>
      </c>
      <c r="C2442" s="3281">
        <v>0.69</v>
      </c>
      <c r="D2442" s="3281">
        <v>0.66</v>
      </c>
      <c r="F2442" s="3281">
        <v>6</v>
      </c>
      <c r="G2442" s="3281">
        <v>0.65</v>
      </c>
      <c r="H2442" s="3281">
        <v>0.63</v>
      </c>
      <c r="I2442" s="3281">
        <v>0.63</v>
      </c>
      <c r="M2442" s="3128" t="s">
        <v>5868</v>
      </c>
      <c r="AB2442" s="3241"/>
      <c r="AC2442" s="3241"/>
      <c r="AD2442" s="3241"/>
    </row>
    <row r="2443" spans="1:30" ht="15.75" x14ac:dyDescent="0.25">
      <c r="A2443" s="3281">
        <v>7</v>
      </c>
      <c r="B2443" s="3281">
        <v>0.82</v>
      </c>
      <c r="C2443" s="3281">
        <v>0.72</v>
      </c>
      <c r="D2443" s="3281">
        <v>0.69</v>
      </c>
      <c r="F2443" s="3281">
        <v>7</v>
      </c>
      <c r="G2443" s="3281">
        <v>0.7</v>
      </c>
      <c r="H2443" s="3281">
        <v>0.66</v>
      </c>
      <c r="I2443" s="3281">
        <v>0.65</v>
      </c>
      <c r="M2443" s="3128" t="s">
        <v>5867</v>
      </c>
      <c r="AB2443" s="3241"/>
      <c r="AC2443" s="3241"/>
      <c r="AD2443" s="3241"/>
    </row>
    <row r="2444" spans="1:30" ht="15.75" x14ac:dyDescent="0.25">
      <c r="A2444" s="3281">
        <v>8</v>
      </c>
      <c r="B2444" s="3281">
        <v>0.82</v>
      </c>
      <c r="C2444" s="3281">
        <v>0.72</v>
      </c>
      <c r="D2444" s="3281">
        <v>0.69</v>
      </c>
      <c r="F2444" s="3281">
        <v>8</v>
      </c>
      <c r="G2444" s="3281">
        <v>0.7</v>
      </c>
      <c r="H2444" s="3281">
        <v>0.66</v>
      </c>
      <c r="I2444" s="3281">
        <v>0.65</v>
      </c>
      <c r="M2444" s="3128" t="s">
        <v>5866</v>
      </c>
      <c r="AB2444" s="3241"/>
      <c r="AC2444" s="3241"/>
      <c r="AD2444" s="3241"/>
    </row>
    <row r="2445" spans="1:30" ht="15.75" x14ac:dyDescent="0.25">
      <c r="A2445" s="3281">
        <v>9</v>
      </c>
      <c r="B2445" s="3281">
        <v>0.87</v>
      </c>
      <c r="C2445" s="3281">
        <v>0.75</v>
      </c>
      <c r="D2445" s="3281">
        <v>0.72</v>
      </c>
      <c r="F2445" s="3281">
        <v>9</v>
      </c>
      <c r="G2445" s="3281">
        <v>0.75</v>
      </c>
      <c r="H2445" s="3281">
        <v>0.7</v>
      </c>
      <c r="I2445" s="3281">
        <v>0.68</v>
      </c>
      <c r="M2445" s="3128" t="s">
        <v>5865</v>
      </c>
      <c r="AB2445" s="3241"/>
      <c r="AC2445" s="3241"/>
      <c r="AD2445" s="3241"/>
    </row>
    <row r="2446" spans="1:30" ht="15.75" x14ac:dyDescent="0.25">
      <c r="A2446" s="3281">
        <v>10</v>
      </c>
      <c r="B2446" s="3281">
        <v>0.87</v>
      </c>
      <c r="C2446" s="3281">
        <v>0.75</v>
      </c>
      <c r="D2446" s="3281">
        <v>0.72</v>
      </c>
      <c r="F2446" s="3281">
        <v>10</v>
      </c>
      <c r="G2446" s="3281">
        <v>0.75</v>
      </c>
      <c r="H2446" s="3281">
        <v>0.7</v>
      </c>
      <c r="I2446" s="3281">
        <v>0.68</v>
      </c>
      <c r="M2446" s="3128" t="s">
        <v>5864</v>
      </c>
      <c r="AB2446" s="3241"/>
      <c r="AC2446" s="3241"/>
      <c r="AD2446" s="3241"/>
    </row>
    <row r="2447" spans="1:30" ht="15.75" x14ac:dyDescent="0.25">
      <c r="A2447" s="3281">
        <v>11</v>
      </c>
      <c r="B2447" s="3281">
        <v>0.92</v>
      </c>
      <c r="C2447" s="3281">
        <v>0.78</v>
      </c>
      <c r="D2447" s="3281">
        <v>0.74</v>
      </c>
      <c r="F2447" s="3281">
        <v>11</v>
      </c>
      <c r="G2447" s="3281">
        <v>0.8</v>
      </c>
      <c r="H2447" s="3281">
        <v>0.73</v>
      </c>
      <c r="I2447" s="3281">
        <v>0.7</v>
      </c>
      <c r="M2447" s="3282" t="s">
        <v>5863</v>
      </c>
      <c r="AB2447" s="3241"/>
      <c r="AC2447" s="3241"/>
      <c r="AD2447" s="3241"/>
    </row>
    <row r="2448" spans="1:30" ht="15.75" x14ac:dyDescent="0.25">
      <c r="A2448" s="3281">
        <v>12</v>
      </c>
      <c r="B2448" s="3281">
        <v>0.96</v>
      </c>
      <c r="C2448" s="3281">
        <v>0.81</v>
      </c>
      <c r="D2448" s="3281">
        <v>0.76</v>
      </c>
      <c r="F2448" s="3281">
        <v>12</v>
      </c>
      <c r="G2448" s="3281">
        <v>0.83</v>
      </c>
      <c r="H2448" s="3281">
        <v>0.75</v>
      </c>
      <c r="I2448" s="3281">
        <v>0.72</v>
      </c>
      <c r="M2448" s="3282" t="s">
        <v>5862</v>
      </c>
      <c r="AB2448" s="3241"/>
      <c r="AC2448" s="3241"/>
      <c r="AD2448" s="3241"/>
    </row>
    <row r="2449" spans="1:30" ht="15.75" x14ac:dyDescent="0.25">
      <c r="A2449" s="3281">
        <v>13</v>
      </c>
      <c r="B2449" s="3281">
        <v>1</v>
      </c>
      <c r="C2449" s="3281">
        <v>0.84</v>
      </c>
      <c r="D2449" s="3281">
        <v>0.79</v>
      </c>
      <c r="F2449" s="3281">
        <v>13</v>
      </c>
      <c r="G2449" s="3281">
        <v>0.87</v>
      </c>
      <c r="H2449" s="3281">
        <v>0.78</v>
      </c>
      <c r="I2449" s="3281">
        <v>0.75</v>
      </c>
      <c r="AB2449" s="3241"/>
      <c r="AC2449" s="3241"/>
      <c r="AD2449" s="3241"/>
    </row>
    <row r="2450" spans="1:30" ht="15.75" x14ac:dyDescent="0.25">
      <c r="A2450" s="3281">
        <v>14</v>
      </c>
      <c r="B2450" s="3281">
        <v>1.04</v>
      </c>
      <c r="C2450" s="3281">
        <v>0.87</v>
      </c>
      <c r="D2450" s="3281">
        <v>0.81</v>
      </c>
      <c r="F2450" s="3281">
        <v>14</v>
      </c>
      <c r="G2450" s="3281">
        <v>0.92</v>
      </c>
      <c r="H2450" s="3281">
        <v>0.81</v>
      </c>
      <c r="I2450" s="3281">
        <v>0.77</v>
      </c>
      <c r="AB2450" s="3241"/>
      <c r="AC2450" s="3241"/>
      <c r="AD2450" s="3241"/>
    </row>
    <row r="2451" spans="1:30" ht="15.75" x14ac:dyDescent="0.25">
      <c r="A2451" s="3281">
        <v>15</v>
      </c>
      <c r="B2451" s="3281">
        <v>1.0900000000000001</v>
      </c>
      <c r="C2451" s="3281">
        <v>0.9</v>
      </c>
      <c r="D2451" s="3281">
        <v>0.84</v>
      </c>
      <c r="F2451" s="3281">
        <v>15</v>
      </c>
      <c r="G2451" s="3281">
        <v>0.96</v>
      </c>
      <c r="H2451" s="3281">
        <v>0.84</v>
      </c>
      <c r="I2451" s="3281">
        <v>0.8</v>
      </c>
      <c r="M2451" s="3280"/>
      <c r="AB2451" s="3241"/>
      <c r="AC2451" s="3241"/>
      <c r="AD2451" s="3241"/>
    </row>
    <row r="2452" spans="1:30" ht="15.75" x14ac:dyDescent="0.25">
      <c r="M2452" s="3279"/>
      <c r="AB2452" s="3241"/>
      <c r="AC2452" s="3241"/>
      <c r="AD2452" s="3241"/>
    </row>
    <row r="2453" spans="1:30" ht="15.75" x14ac:dyDescent="0.25">
      <c r="E2453" s="3134"/>
      <c r="F2453" s="3134"/>
      <c r="G2453" s="3134"/>
      <c r="H2453" s="3134"/>
      <c r="I2453" s="3134"/>
      <c r="J2453" s="3134"/>
      <c r="K2453" s="3134"/>
      <c r="L2453" s="3134"/>
      <c r="M2453" s="3278"/>
      <c r="N2453" s="3134"/>
      <c r="AB2453" s="3241"/>
      <c r="AC2453" s="3241"/>
      <c r="AD2453" s="3241"/>
    </row>
    <row r="2454" spans="1:30" ht="15.75" x14ac:dyDescent="0.25">
      <c r="E2454" s="3134"/>
      <c r="F2454" s="3134"/>
      <c r="G2454" s="3134"/>
      <c r="H2454" s="3134"/>
      <c r="I2454" s="3134"/>
      <c r="J2454" s="3134"/>
      <c r="K2454" s="3134"/>
      <c r="L2454" s="3134"/>
      <c r="M2454" s="3134"/>
      <c r="N2454" s="3134"/>
      <c r="AB2454" s="3241"/>
      <c r="AC2454" s="3241"/>
      <c r="AD2454" s="3241"/>
    </row>
    <row r="2455" spans="1:30" ht="15.75" x14ac:dyDescent="0.25">
      <c r="AB2455" s="3241"/>
      <c r="AC2455" s="3241"/>
      <c r="AD2455" s="3241"/>
    </row>
    <row r="2456" spans="1:30" ht="15.75" x14ac:dyDescent="0.25">
      <c r="AB2456" s="3241"/>
      <c r="AC2456" s="3241"/>
      <c r="AD2456" s="3241"/>
    </row>
    <row r="2457" spans="1:30" ht="15.75" x14ac:dyDescent="0.25">
      <c r="AB2457" s="3241"/>
      <c r="AC2457" s="3241"/>
      <c r="AD2457" s="3241"/>
    </row>
    <row r="2458" spans="1:30" ht="27" x14ac:dyDescent="0.35">
      <c r="B2458" s="3220" t="s">
        <v>3913</v>
      </c>
      <c r="C2458" s="3220"/>
      <c r="D2458" s="3220"/>
      <c r="E2458" s="3220"/>
      <c r="F2458" s="3220"/>
      <c r="G2458" s="3220"/>
      <c r="H2458" s="3220"/>
      <c r="I2458" s="3219"/>
      <c r="J2458" s="3219"/>
      <c r="K2458" s="3219"/>
      <c r="AB2458" s="3241"/>
      <c r="AC2458" s="3241"/>
      <c r="AD2458" s="3241"/>
    </row>
    <row r="2459" spans="1:30" ht="15.75" x14ac:dyDescent="0.25">
      <c r="X2459" s="3138">
        <v>500</v>
      </c>
      <c r="Y2459" s="3138">
        <v>19</v>
      </c>
      <c r="AB2459" s="3241"/>
      <c r="AC2459" s="3241"/>
      <c r="AD2459" s="3241"/>
    </row>
    <row r="2460" spans="1:30" ht="15.75" x14ac:dyDescent="0.25">
      <c r="X2460" s="3138">
        <v>560</v>
      </c>
      <c r="Y2460" s="3138">
        <v>21</v>
      </c>
      <c r="AB2460" s="3241"/>
      <c r="AC2460" s="3241"/>
      <c r="AD2460" s="3241"/>
    </row>
    <row r="2461" spans="1:30" ht="15.75" x14ac:dyDescent="0.25">
      <c r="X2461" s="3138">
        <v>630</v>
      </c>
      <c r="Y2461" s="3138">
        <v>23</v>
      </c>
      <c r="AB2461" s="3241"/>
      <c r="AC2461" s="3241"/>
      <c r="AD2461" s="3241"/>
    </row>
    <row r="2462" spans="1:30" ht="15.75" x14ac:dyDescent="0.25">
      <c r="F2462" s="3146" t="s">
        <v>3021</v>
      </c>
      <c r="G2462" s="3146"/>
      <c r="M2462" s="3146" t="s">
        <v>3915</v>
      </c>
      <c r="N2462" s="3146"/>
      <c r="X2462" s="3138">
        <v>800</v>
      </c>
      <c r="Y2462" s="3138">
        <v>28</v>
      </c>
      <c r="AB2462" s="3241"/>
      <c r="AC2462" s="3241"/>
      <c r="AD2462" s="3241"/>
    </row>
    <row r="2463" spans="1:30" ht="15.75" customHeight="1" x14ac:dyDescent="0.25">
      <c r="B2463" s="4784" t="s">
        <v>5117</v>
      </c>
      <c r="C2463" s="4784"/>
      <c r="D2463" s="4784"/>
      <c r="E2463" s="4784"/>
      <c r="F2463" s="4784"/>
      <c r="G2463" s="4784"/>
      <c r="J2463" s="4784" t="s">
        <v>2374</v>
      </c>
      <c r="K2463" s="4784"/>
      <c r="L2463" s="4784"/>
      <c r="M2463" s="4784"/>
      <c r="N2463" s="4784"/>
      <c r="X2463" s="3138">
        <v>1000</v>
      </c>
      <c r="Y2463" s="3138">
        <v>32</v>
      </c>
      <c r="AB2463" s="3241"/>
      <c r="AC2463" s="3241"/>
      <c r="AD2463" s="3241"/>
    </row>
    <row r="2464" spans="1:30" ht="15.75" customHeight="1" x14ac:dyDescent="0.25">
      <c r="B2464" s="4785" t="s">
        <v>1441</v>
      </c>
      <c r="C2464" s="4785" t="s">
        <v>3313</v>
      </c>
      <c r="D2464" s="4786" t="s">
        <v>1431</v>
      </c>
      <c r="E2464" s="4786"/>
      <c r="F2464" s="4786"/>
      <c r="G2464" s="3150"/>
      <c r="I2464" s="4787" t="s">
        <v>1441</v>
      </c>
      <c r="J2464" s="4787" t="s">
        <v>3313</v>
      </c>
      <c r="K2464" s="3215" t="s">
        <v>1431</v>
      </c>
      <c r="L2464" s="3214"/>
      <c r="M2464" s="3213"/>
      <c r="N2464" s="3150"/>
      <c r="X2464" s="3138">
        <v>740</v>
      </c>
      <c r="Y2464" s="3138">
        <v>19</v>
      </c>
      <c r="AB2464" s="3241"/>
      <c r="AC2464" s="3241"/>
      <c r="AD2464" s="3241"/>
    </row>
    <row r="2465" spans="2:30" ht="51.75" x14ac:dyDescent="0.25">
      <c r="B2465" s="4785"/>
      <c r="C2465" s="4785"/>
      <c r="D2465" s="3163" t="s">
        <v>5123</v>
      </c>
      <c r="E2465" s="3163" t="s">
        <v>5124</v>
      </c>
      <c r="F2465" s="3163" t="s">
        <v>5125</v>
      </c>
      <c r="G2465" s="3150" t="s">
        <v>2490</v>
      </c>
      <c r="I2465" s="4787"/>
      <c r="J2465" s="4787"/>
      <c r="K2465" s="3163" t="s">
        <v>5123</v>
      </c>
      <c r="L2465" s="3163" t="s">
        <v>5124</v>
      </c>
      <c r="M2465" s="3163" t="s">
        <v>5125</v>
      </c>
      <c r="N2465" s="3150" t="s">
        <v>2490</v>
      </c>
      <c r="X2465" s="3138">
        <v>850</v>
      </c>
      <c r="Y2465" s="3138">
        <v>21</v>
      </c>
      <c r="AB2465" s="3241"/>
      <c r="AC2465" s="3241"/>
      <c r="AD2465" s="3241"/>
    </row>
    <row r="2466" spans="2:30" ht="15.75" x14ac:dyDescent="0.25">
      <c r="B2466" s="3181" t="s">
        <v>5128</v>
      </c>
      <c r="C2466" s="3181">
        <v>146</v>
      </c>
      <c r="D2466" s="3181">
        <v>118</v>
      </c>
      <c r="E2466" s="3181">
        <v>65</v>
      </c>
      <c r="F2466" s="3181">
        <v>44.9</v>
      </c>
      <c r="G2466" s="3138">
        <v>1</v>
      </c>
      <c r="I2466" s="3181" t="s">
        <v>2846</v>
      </c>
      <c r="J2466" s="3181">
        <v>141</v>
      </c>
      <c r="K2466" s="3181">
        <v>127</v>
      </c>
      <c r="L2466" s="3181">
        <v>63.6</v>
      </c>
      <c r="M2466" s="3181">
        <v>43.3</v>
      </c>
      <c r="N2466" s="3138">
        <v>1</v>
      </c>
      <c r="R2466" s="3277" t="s">
        <v>5861</v>
      </c>
      <c r="S2466" s="3277"/>
      <c r="T2466" s="3277"/>
      <c r="U2466" s="3277"/>
      <c r="V2466" s="3277"/>
      <c r="X2466" s="3138">
        <v>970</v>
      </c>
      <c r="Y2466" s="3138">
        <v>23</v>
      </c>
      <c r="AB2466" s="3241"/>
      <c r="AC2466" s="3241"/>
      <c r="AD2466" s="3241"/>
    </row>
    <row r="2467" spans="2:30" ht="15.75" x14ac:dyDescent="0.25">
      <c r="B2467" s="3181" t="s">
        <v>4803</v>
      </c>
      <c r="C2467" s="3181">
        <v>142</v>
      </c>
      <c r="D2467" s="3181">
        <v>112</v>
      </c>
      <c r="E2467" s="3181">
        <v>62.6</v>
      </c>
      <c r="F2467" s="3181">
        <v>43.4</v>
      </c>
      <c r="G2467" s="3138">
        <v>2</v>
      </c>
      <c r="I2467" s="3181" t="s">
        <v>2821</v>
      </c>
      <c r="J2467" s="3181">
        <v>136</v>
      </c>
      <c r="K2467" s="3181">
        <v>121</v>
      </c>
      <c r="L2467" s="3181">
        <v>61.3</v>
      </c>
      <c r="M2467" s="3181">
        <v>41.7</v>
      </c>
      <c r="N2467" s="3138">
        <v>2</v>
      </c>
      <c r="R2467" s="3277" t="s">
        <v>5860</v>
      </c>
      <c r="S2467" s="3277"/>
      <c r="T2467" s="3277"/>
      <c r="U2467" s="3277"/>
      <c r="V2467" s="3277"/>
      <c r="X2467" s="3138">
        <v>1200</v>
      </c>
      <c r="Y2467" s="3138">
        <v>28</v>
      </c>
      <c r="AB2467" s="3241"/>
      <c r="AC2467" s="3241"/>
      <c r="AD2467" s="3241"/>
    </row>
    <row r="2468" spans="2:30" ht="15.75" x14ac:dyDescent="0.25">
      <c r="B2468" s="3181" t="s">
        <v>5443</v>
      </c>
      <c r="C2468" s="3181">
        <v>137</v>
      </c>
      <c r="D2468" s="3181">
        <v>105</v>
      </c>
      <c r="E2468" s="3181">
        <v>59.5</v>
      </c>
      <c r="F2468" s="3181">
        <v>41.4</v>
      </c>
      <c r="G2468" s="3138">
        <v>3</v>
      </c>
      <c r="I2468" s="3181" t="s">
        <v>2725</v>
      </c>
      <c r="J2468" s="3181">
        <v>130</v>
      </c>
      <c r="K2468" s="3181">
        <v>113</v>
      </c>
      <c r="L2468" s="3181">
        <v>57.6</v>
      </c>
      <c r="M2468" s="3181">
        <v>39.299999999999997</v>
      </c>
      <c r="N2468" s="3138">
        <v>3</v>
      </c>
      <c r="R2468" s="4793" t="s">
        <v>2739</v>
      </c>
      <c r="S2468" s="4793"/>
      <c r="T2468" s="4793"/>
      <c r="U2468" s="4793"/>
      <c r="V2468" s="4793"/>
      <c r="X2468" s="3138">
        <v>1650</v>
      </c>
      <c r="Y2468" s="3138">
        <v>32</v>
      </c>
      <c r="AB2468" s="3241"/>
      <c r="AC2468" s="3241"/>
      <c r="AD2468" s="3241"/>
    </row>
    <row r="2469" spans="2:30" ht="15.75" x14ac:dyDescent="0.25">
      <c r="B2469" s="3181" t="s">
        <v>2214</v>
      </c>
      <c r="C2469" s="3181">
        <v>132</v>
      </c>
      <c r="D2469" s="3181">
        <v>98.8</v>
      </c>
      <c r="E2469" s="3181">
        <v>56.6</v>
      </c>
      <c r="F2469" s="3181">
        <v>39.6</v>
      </c>
      <c r="G2469" s="3138">
        <v>4</v>
      </c>
      <c r="I2469" s="3181" t="s">
        <v>2727</v>
      </c>
      <c r="J2469" s="3181">
        <v>124</v>
      </c>
      <c r="K2469" s="3181">
        <v>105</v>
      </c>
      <c r="L2469" s="3181">
        <v>54.2</v>
      </c>
      <c r="M2469" s="3181">
        <v>37</v>
      </c>
      <c r="N2469" s="3138">
        <v>4</v>
      </c>
      <c r="R2469" s="3138">
        <v>500</v>
      </c>
      <c r="S2469" s="3138">
        <v>740</v>
      </c>
      <c r="T2469" s="3138">
        <v>0.62</v>
      </c>
      <c r="U2469" s="3138">
        <v>19</v>
      </c>
      <c r="V2469" s="3138"/>
      <c r="AB2469" s="3241"/>
      <c r="AC2469" s="3241"/>
      <c r="AD2469" s="3241"/>
    </row>
    <row r="2470" spans="2:30" ht="15.75" x14ac:dyDescent="0.25">
      <c r="B2470" s="3181" t="s">
        <v>4339</v>
      </c>
      <c r="C2470" s="3181">
        <v>128</v>
      </c>
      <c r="D2470" s="3181">
        <v>92.9</v>
      </c>
      <c r="E2470" s="3181">
        <v>53.8</v>
      </c>
      <c r="F2470" s="3181">
        <v>37.799999999999997</v>
      </c>
      <c r="G2470" s="3138">
        <v>5</v>
      </c>
      <c r="I2470" s="3181" t="s">
        <v>2729</v>
      </c>
      <c r="J2470" s="3181">
        <v>117</v>
      </c>
      <c r="K2470" s="3181">
        <v>98.3</v>
      </c>
      <c r="L2470" s="3181">
        <v>50.8</v>
      </c>
      <c r="M2470" s="3181">
        <v>35</v>
      </c>
      <c r="N2470" s="3138">
        <v>5</v>
      </c>
      <c r="R2470" s="3138">
        <v>560</v>
      </c>
      <c r="S2470" s="3138">
        <v>850</v>
      </c>
      <c r="T2470" s="3138">
        <v>0.70499999999999996</v>
      </c>
      <c r="U2470" s="3138">
        <v>21</v>
      </c>
      <c r="V2470" s="3138"/>
      <c r="AB2470" s="3241"/>
      <c r="AC2470" s="3241"/>
      <c r="AD2470" s="3241"/>
    </row>
    <row r="2471" spans="2:30" ht="15.75" x14ac:dyDescent="0.25">
      <c r="B2471" s="3181" t="s">
        <v>3372</v>
      </c>
      <c r="C2471" s="3181">
        <v>122</v>
      </c>
      <c r="D2471" s="3181">
        <v>87.2</v>
      </c>
      <c r="E2471" s="3181">
        <v>51</v>
      </c>
      <c r="F2471" s="3181">
        <v>36</v>
      </c>
      <c r="G2471" s="3138">
        <v>6</v>
      </c>
      <c r="I2471" s="3181" t="s">
        <v>2365</v>
      </c>
      <c r="J2471" s="3181">
        <v>111</v>
      </c>
      <c r="K2471" s="3181">
        <v>92</v>
      </c>
      <c r="L2471" s="3181">
        <v>47.8</v>
      </c>
      <c r="M2471" s="3181">
        <v>32.9</v>
      </c>
      <c r="N2471" s="3138">
        <v>6</v>
      </c>
      <c r="R2471" s="3138">
        <v>630</v>
      </c>
      <c r="S2471" s="3138">
        <v>970</v>
      </c>
      <c r="T2471" s="3138">
        <v>0.8</v>
      </c>
      <c r="U2471" s="3138">
        <v>23</v>
      </c>
      <c r="V2471" s="3138"/>
      <c r="AB2471" s="3241"/>
      <c r="AC2471" s="3241"/>
      <c r="AD2471" s="3241"/>
    </row>
    <row r="2472" spans="2:30" ht="15.75" x14ac:dyDescent="0.25">
      <c r="B2472" s="3181" t="s">
        <v>5428</v>
      </c>
      <c r="C2472" s="3181">
        <v>118</v>
      </c>
      <c r="D2472" s="3181">
        <v>81.900000000000006</v>
      </c>
      <c r="E2472" s="3181">
        <v>48.4</v>
      </c>
      <c r="F2472" s="3181">
        <v>34.299999999999997</v>
      </c>
      <c r="G2472" s="3138">
        <v>7</v>
      </c>
      <c r="I2472" s="3181" t="s">
        <v>2366</v>
      </c>
      <c r="J2472" s="3181">
        <v>106</v>
      </c>
      <c r="K2472" s="3181">
        <v>85.8</v>
      </c>
      <c r="L2472" s="3181">
        <v>44.9</v>
      </c>
      <c r="M2472" s="3181">
        <v>31</v>
      </c>
      <c r="N2472" s="3138">
        <v>7</v>
      </c>
      <c r="R2472" s="3138">
        <v>800</v>
      </c>
      <c r="S2472" s="3138">
        <v>1200</v>
      </c>
      <c r="T2472" s="3138">
        <v>1</v>
      </c>
      <c r="U2472" s="3138">
        <v>28</v>
      </c>
      <c r="V2472" s="3138"/>
      <c r="AB2472" s="3241"/>
      <c r="AC2472" s="3241"/>
      <c r="AD2472" s="3241"/>
    </row>
    <row r="2473" spans="2:30" ht="15.75" x14ac:dyDescent="0.25">
      <c r="B2473" s="3181" t="s">
        <v>4256</v>
      </c>
      <c r="C2473" s="3181">
        <v>113</v>
      </c>
      <c r="D2473" s="3181">
        <v>76.8</v>
      </c>
      <c r="E2473" s="3181">
        <v>45.8</v>
      </c>
      <c r="F2473" s="3181">
        <v>32.6</v>
      </c>
      <c r="G2473" s="3138">
        <v>8</v>
      </c>
      <c r="I2473" s="3181" t="s">
        <v>2368</v>
      </c>
      <c r="J2473" s="3181">
        <v>99.8</v>
      </c>
      <c r="K2473" s="3181">
        <v>80</v>
      </c>
      <c r="L2473" s="3181">
        <v>42.1</v>
      </c>
      <c r="M2473" s="3181">
        <v>29.1</v>
      </c>
      <c r="N2473" s="3138">
        <v>8</v>
      </c>
      <c r="R2473" s="3138">
        <v>1000</v>
      </c>
      <c r="S2473" s="3138">
        <v>1650</v>
      </c>
      <c r="T2473" s="3138">
        <v>1.325</v>
      </c>
      <c r="U2473" s="3138">
        <v>32</v>
      </c>
      <c r="V2473" s="3138"/>
      <c r="AB2473" s="3241"/>
      <c r="AC2473" s="3241"/>
      <c r="AD2473" s="3241"/>
    </row>
    <row r="2474" spans="2:30" ht="15.75" x14ac:dyDescent="0.25">
      <c r="B2474" s="3181" t="s">
        <v>5228</v>
      </c>
      <c r="C2474" s="3181">
        <v>109</v>
      </c>
      <c r="D2474" s="3181">
        <v>72.099999999999994</v>
      </c>
      <c r="E2474" s="3181">
        <v>43.4</v>
      </c>
      <c r="F2474" s="3181">
        <v>31</v>
      </c>
      <c r="G2474" s="3138">
        <v>9</v>
      </c>
      <c r="I2474" s="3181" t="s">
        <v>2370</v>
      </c>
      <c r="J2474" s="3181">
        <v>94.4</v>
      </c>
      <c r="K2474" s="3181">
        <v>74.400000000000006</v>
      </c>
      <c r="L2474" s="3181">
        <v>39.4</v>
      </c>
      <c r="M2474" s="3181">
        <v>27.3</v>
      </c>
      <c r="N2474" s="3138">
        <v>9</v>
      </c>
      <c r="R2474" s="3138" t="s">
        <v>5858</v>
      </c>
      <c r="S2474" s="3138"/>
      <c r="T2474" s="3138"/>
      <c r="U2474" s="3138"/>
      <c r="V2474" s="3138"/>
      <c r="AB2474" s="3241"/>
      <c r="AC2474" s="3241"/>
      <c r="AD2474" s="3241"/>
    </row>
    <row r="2475" spans="2:30" ht="15.75" x14ac:dyDescent="0.25">
      <c r="B2475" s="3181" t="s">
        <v>5233</v>
      </c>
      <c r="C2475" s="3181">
        <v>104</v>
      </c>
      <c r="D2475" s="3181">
        <v>67.599999999999994</v>
      </c>
      <c r="E2475" s="3181">
        <v>41</v>
      </c>
      <c r="F2475" s="3181">
        <v>29.5</v>
      </c>
      <c r="G2475" s="3138">
        <v>10</v>
      </c>
      <c r="I2475" s="3181" t="s">
        <v>2372</v>
      </c>
      <c r="J2475" s="3181">
        <v>88.8</v>
      </c>
      <c r="K2475" s="3181">
        <v>69</v>
      </c>
      <c r="L2475" s="3181">
        <v>36.700000000000003</v>
      </c>
      <c r="M2475" s="3181">
        <v>25.6</v>
      </c>
      <c r="N2475" s="3138">
        <v>10</v>
      </c>
      <c r="R2475" s="3138"/>
      <c r="S2475" s="3138"/>
      <c r="T2475" s="3138"/>
      <c r="U2475" s="3138"/>
      <c r="V2475" s="3138"/>
      <c r="AB2475" s="3241"/>
      <c r="AC2475" s="3241"/>
      <c r="AD2475" s="3241"/>
    </row>
    <row r="2476" spans="2:30" ht="15.75" x14ac:dyDescent="0.25">
      <c r="B2476" s="3206" t="s">
        <v>4070</v>
      </c>
      <c r="C2476" s="3181">
        <v>99.5</v>
      </c>
      <c r="D2476" s="3181">
        <v>62.8</v>
      </c>
      <c r="E2476" s="3181">
        <v>38.5</v>
      </c>
      <c r="F2476" s="3181">
        <v>27.8</v>
      </c>
      <c r="G2476" s="3138">
        <v>11</v>
      </c>
      <c r="I2476" s="3181" t="s">
        <v>771</v>
      </c>
      <c r="J2476" s="3181">
        <v>83.6</v>
      </c>
      <c r="K2476" s="3181">
        <v>64</v>
      </c>
      <c r="L2476" s="3181">
        <v>34.200000000000003</v>
      </c>
      <c r="M2476" s="3181">
        <v>23.9</v>
      </c>
      <c r="N2476" s="3138">
        <v>11</v>
      </c>
      <c r="P2476" s="3276"/>
      <c r="Q2476" s="3276"/>
      <c r="R2476" s="3276"/>
      <c r="S2476" s="3276"/>
      <c r="T2476" s="3276"/>
      <c r="AB2476" s="3241"/>
      <c r="AC2476" s="3241"/>
      <c r="AD2476" s="3241"/>
    </row>
    <row r="2477" spans="2:30" ht="15.75" x14ac:dyDescent="0.25">
      <c r="I2477" s="3181" t="s">
        <v>773</v>
      </c>
      <c r="J2477" s="3181">
        <v>78.599999999999994</v>
      </c>
      <c r="K2477" s="3181">
        <v>59.6</v>
      </c>
      <c r="L2477" s="3181">
        <v>32</v>
      </c>
      <c r="M2477" s="3181">
        <v>22.4</v>
      </c>
      <c r="N2477" s="3138">
        <v>12</v>
      </c>
      <c r="P2477" s="3276"/>
      <c r="Q2477" s="3276"/>
      <c r="R2477" s="3276" t="s">
        <v>5859</v>
      </c>
      <c r="S2477" s="3276"/>
      <c r="T2477" s="3276"/>
      <c r="AB2477" s="3241"/>
      <c r="AC2477" s="3241"/>
      <c r="AD2477" s="3241"/>
    </row>
    <row r="2478" spans="2:30" ht="26.25" x14ac:dyDescent="0.25">
      <c r="I2478" s="3206" t="s">
        <v>775</v>
      </c>
      <c r="J2478" s="3181">
        <v>72</v>
      </c>
      <c r="K2478" s="3181">
        <v>53.7</v>
      </c>
      <c r="L2478" s="3181">
        <v>29</v>
      </c>
      <c r="M2478" s="3181">
        <v>20.3</v>
      </c>
      <c r="N2478" s="3138">
        <v>13</v>
      </c>
      <c r="P2478" s="3276"/>
      <c r="Q2478" s="3276"/>
      <c r="R2478" s="3276" t="s">
        <v>5858</v>
      </c>
      <c r="S2478" s="3276"/>
      <c r="T2478" s="3276"/>
      <c r="AB2478" s="3241"/>
      <c r="AC2478" s="3241"/>
      <c r="AD2478" s="3241"/>
    </row>
    <row r="2479" spans="2:30" ht="15.75" x14ac:dyDescent="0.25">
      <c r="P2479" s="3276"/>
      <c r="Q2479" s="3276"/>
      <c r="R2479" s="3276"/>
      <c r="S2479" s="3276"/>
      <c r="T2479" s="3276"/>
      <c r="AB2479" s="3241"/>
      <c r="AC2479" s="3241"/>
      <c r="AD2479" s="3241"/>
    </row>
    <row r="2480" spans="2:30" ht="15.75" x14ac:dyDescent="0.25">
      <c r="AB2480" s="3241"/>
      <c r="AC2480" s="3241"/>
      <c r="AD2480" s="3241"/>
    </row>
    <row r="2481" spans="2:30" ht="15.75" x14ac:dyDescent="0.25">
      <c r="AB2481" s="3241"/>
      <c r="AC2481" s="3241"/>
      <c r="AD2481" s="3241"/>
    </row>
    <row r="2482" spans="2:30" ht="15.75" customHeight="1" x14ac:dyDescent="0.25">
      <c r="B2482" s="3208" t="s">
        <v>4083</v>
      </c>
      <c r="C2482" s="3207"/>
      <c r="E2482" s="4794" t="s">
        <v>4084</v>
      </c>
      <c r="F2482" s="4794"/>
      <c r="AB2482" s="3241"/>
      <c r="AC2482" s="3241"/>
      <c r="AD2482" s="3241"/>
    </row>
    <row r="2483" spans="2:30" ht="51.75" customHeight="1" x14ac:dyDescent="0.25">
      <c r="B2483" s="3206" t="s">
        <v>4088</v>
      </c>
      <c r="C2483" s="3206" t="s">
        <v>3501</v>
      </c>
      <c r="E2483" s="3181" t="s">
        <v>3502</v>
      </c>
      <c r="F2483" s="3206" t="s">
        <v>3503</v>
      </c>
      <c r="H2483" s="4794" t="s">
        <v>4892</v>
      </c>
      <c r="I2483" s="4794"/>
      <c r="K2483" s="4794" t="s">
        <v>4893</v>
      </c>
      <c r="L2483" s="4794"/>
      <c r="AB2483" s="3241"/>
      <c r="AC2483" s="3241"/>
      <c r="AD2483" s="3241"/>
    </row>
    <row r="2484" spans="2:30" ht="26.25" x14ac:dyDescent="0.25">
      <c r="B2484" s="3181" t="s">
        <v>4880</v>
      </c>
      <c r="C2484" s="3181">
        <v>0.9</v>
      </c>
      <c r="E2484" s="3181" t="s">
        <v>4881</v>
      </c>
      <c r="F2484" s="3181">
        <v>0.9</v>
      </c>
      <c r="H2484" s="3206" t="s">
        <v>3355</v>
      </c>
      <c r="I2484" s="3181">
        <v>0.85</v>
      </c>
      <c r="K2484" s="3181" t="s">
        <v>3356</v>
      </c>
      <c r="L2484" s="3181">
        <v>0.9</v>
      </c>
      <c r="AB2484" s="3241"/>
      <c r="AC2484" s="3241"/>
      <c r="AD2484" s="3241"/>
    </row>
    <row r="2485" spans="2:30" ht="26.25" x14ac:dyDescent="0.25">
      <c r="B2485" s="3206" t="s">
        <v>4887</v>
      </c>
      <c r="C2485" s="3181">
        <v>0.85</v>
      </c>
      <c r="E2485" s="3206" t="s">
        <v>4888</v>
      </c>
      <c r="F2485" s="3181">
        <v>0.8</v>
      </c>
      <c r="H2485" s="3206" t="s">
        <v>3358</v>
      </c>
      <c r="I2485" s="3181">
        <v>0.95</v>
      </c>
      <c r="K2485" s="3181" t="s">
        <v>3359</v>
      </c>
      <c r="L2485" s="3181">
        <v>0.85</v>
      </c>
      <c r="AB2485" s="3241"/>
      <c r="AC2485" s="3241"/>
      <c r="AD2485" s="3241"/>
    </row>
    <row r="2486" spans="2:30" ht="15.75" x14ac:dyDescent="0.25">
      <c r="K2486" s="3181" t="s">
        <v>3361</v>
      </c>
      <c r="L2486" s="3181">
        <v>0.8</v>
      </c>
      <c r="AB2486" s="3241"/>
      <c r="AC2486" s="3241"/>
      <c r="AD2486" s="3241"/>
    </row>
    <row r="2487" spans="2:30" ht="15.75" x14ac:dyDescent="0.25">
      <c r="AB2487" s="3241"/>
      <c r="AC2487" s="3241"/>
      <c r="AD2487" s="3241"/>
    </row>
    <row r="2488" spans="2:30" ht="15.75" customHeight="1" x14ac:dyDescent="0.25">
      <c r="B2488" s="4795" t="s">
        <v>5839</v>
      </c>
      <c r="C2488" s="4795"/>
      <c r="D2488" s="4795"/>
      <c r="E2488" s="4795"/>
      <c r="F2488" s="4795"/>
      <c r="G2488" s="4795"/>
      <c r="H2488" s="4795"/>
      <c r="AB2488" s="3241"/>
      <c r="AC2488" s="3241"/>
      <c r="AD2488" s="3241"/>
    </row>
    <row r="2489" spans="2:30" ht="15.75" customHeight="1" x14ac:dyDescent="0.25">
      <c r="B2489" s="4796" t="s">
        <v>5838</v>
      </c>
      <c r="C2489" s="4796"/>
      <c r="D2489" s="4796"/>
      <c r="E2489" s="4796"/>
      <c r="F2489" s="4797" t="s">
        <v>428</v>
      </c>
      <c r="G2489" s="4797"/>
      <c r="H2489" s="4797"/>
      <c r="AB2489" s="3241"/>
      <c r="AC2489" s="3241"/>
      <c r="AD2489" s="3241"/>
    </row>
    <row r="2490" spans="2:30" ht="15.75" customHeight="1" x14ac:dyDescent="0.25">
      <c r="B2490" s="4788" t="s">
        <v>3313</v>
      </c>
      <c r="C2490" s="4788"/>
      <c r="D2490" s="4788"/>
      <c r="E2490" s="4788"/>
      <c r="F2490" s="4788"/>
      <c r="G2490" s="4788"/>
      <c r="H2490" s="3198">
        <v>1.3</v>
      </c>
      <c r="AB2490" s="3241"/>
      <c r="AC2490" s="3241"/>
      <c r="AD2490" s="3241"/>
    </row>
    <row r="2491" spans="2:30" ht="15.75" customHeight="1" x14ac:dyDescent="0.25">
      <c r="B2491" s="4789" t="s">
        <v>3655</v>
      </c>
      <c r="C2491" s="4789"/>
      <c r="D2491" s="4789"/>
      <c r="E2491" s="4789"/>
      <c r="F2491" s="4789"/>
      <c r="G2491" s="3195"/>
      <c r="H2491" s="3181">
        <v>1.2</v>
      </c>
      <c r="AB2491" s="3241"/>
      <c r="AC2491" s="3241"/>
      <c r="AD2491" s="3241"/>
    </row>
    <row r="2492" spans="2:30" ht="15.75" customHeight="1" x14ac:dyDescent="0.25">
      <c r="B2492" s="4790" t="s">
        <v>5837</v>
      </c>
      <c r="C2492" s="4790"/>
      <c r="D2492" s="4790"/>
      <c r="E2492" s="4790"/>
      <c r="F2492" s="4790"/>
      <c r="G2492" s="3191"/>
      <c r="H2492" s="3190">
        <v>1.25</v>
      </c>
      <c r="AB2492" s="3241"/>
      <c r="AC2492" s="3241"/>
      <c r="AD2492" s="3241"/>
    </row>
    <row r="2493" spans="2:30" ht="15.75" x14ac:dyDescent="0.25">
      <c r="AB2493" s="3241"/>
      <c r="AC2493" s="3241"/>
      <c r="AD2493" s="3241"/>
    </row>
    <row r="2494" spans="2:30" ht="15.75" x14ac:dyDescent="0.25">
      <c r="L2494" s="3146" t="s">
        <v>5836</v>
      </c>
      <c r="M2494" s="3146"/>
      <c r="AB2494" s="3241"/>
      <c r="AC2494" s="3241"/>
      <c r="AD2494" s="3241"/>
    </row>
    <row r="2495" spans="2:30" ht="20.25" x14ac:dyDescent="0.3">
      <c r="B2495" s="4791" t="s">
        <v>5835</v>
      </c>
      <c r="C2495" s="4791"/>
      <c r="D2495" s="4791"/>
      <c r="E2495" s="4791"/>
      <c r="F2495" s="4791"/>
      <c r="G2495" s="4791"/>
      <c r="H2495" s="4791"/>
      <c r="I2495" s="4791"/>
      <c r="J2495" s="4791"/>
      <c r="K2495" s="4791"/>
      <c r="L2495" s="4791"/>
      <c r="M2495" s="4791"/>
      <c r="AB2495" s="3241"/>
      <c r="AC2495" s="3241"/>
      <c r="AD2495" s="3241"/>
    </row>
    <row r="2496" spans="2:30" ht="64.5" x14ac:dyDescent="0.25">
      <c r="B2496" s="3186" t="s">
        <v>5831</v>
      </c>
      <c r="C2496" s="3185" t="s">
        <v>3785</v>
      </c>
      <c r="D2496" s="3184"/>
      <c r="E2496" s="3184"/>
      <c r="F2496" s="3183"/>
      <c r="G2496" s="3181" t="s">
        <v>2490</v>
      </c>
      <c r="H2496" s="3186" t="s">
        <v>5831</v>
      </c>
      <c r="I2496" s="3185" t="s">
        <v>3785</v>
      </c>
      <c r="J2496" s="3184"/>
      <c r="K2496" s="3184"/>
      <c r="L2496" s="3183"/>
      <c r="M2496" s="3181" t="s">
        <v>2490</v>
      </c>
      <c r="AB2496" s="3241"/>
      <c r="AC2496" s="3241"/>
      <c r="AD2496" s="3241"/>
    </row>
    <row r="2497" spans="2:30" ht="15.75" x14ac:dyDescent="0.25">
      <c r="B2497" s="3182"/>
      <c r="C2497" s="3181" t="s">
        <v>1084</v>
      </c>
      <c r="D2497" s="3181" t="s">
        <v>1085</v>
      </c>
      <c r="E2497" s="3181" t="s">
        <v>3006</v>
      </c>
      <c r="F2497" s="3181" t="s">
        <v>5830</v>
      </c>
      <c r="G2497" s="3181"/>
      <c r="H2497" s="3182"/>
      <c r="I2497" s="3181" t="s">
        <v>1084</v>
      </c>
      <c r="J2497" s="3181" t="s">
        <v>1085</v>
      </c>
      <c r="K2497" s="3181" t="s">
        <v>3006</v>
      </c>
      <c r="L2497" s="3181" t="s">
        <v>5830</v>
      </c>
      <c r="M2497" s="3181"/>
      <c r="AB2497" s="3241"/>
      <c r="AC2497" s="3241"/>
      <c r="AD2497" s="3241"/>
    </row>
    <row r="2498" spans="2:30" ht="15.75" x14ac:dyDescent="0.25">
      <c r="B2498" s="3275" t="s">
        <v>5834</v>
      </c>
      <c r="C2498" s="3179"/>
      <c r="D2498" s="3179"/>
      <c r="E2498" s="3179"/>
      <c r="F2498" s="3179"/>
      <c r="G2498" s="3178"/>
      <c r="H2498" s="3275" t="s">
        <v>5833</v>
      </c>
      <c r="I2498" s="3179"/>
      <c r="J2498" s="3179"/>
      <c r="K2498" s="3179"/>
      <c r="L2498" s="3179"/>
      <c r="M2498" s="3178"/>
      <c r="AB2498" s="3241"/>
      <c r="AC2498" s="3241"/>
      <c r="AD2498" s="3241"/>
    </row>
    <row r="2499" spans="2:30" ht="15.75" x14ac:dyDescent="0.25">
      <c r="B2499" s="3138" t="s">
        <v>3008</v>
      </c>
      <c r="C2499" s="3138">
        <v>90</v>
      </c>
      <c r="D2499" s="3138">
        <v>80.2</v>
      </c>
      <c r="E2499" s="3138">
        <v>64.5</v>
      </c>
      <c r="F2499" s="3138">
        <v>61.9</v>
      </c>
      <c r="G2499" s="3138">
        <v>1</v>
      </c>
      <c r="H2499" s="3177" t="s">
        <v>5827</v>
      </c>
      <c r="I2499" s="3138">
        <v>58.7</v>
      </c>
      <c r="J2499" s="3177">
        <v>52.5</v>
      </c>
      <c r="K2499" s="3177">
        <v>42.5</v>
      </c>
      <c r="L2499" s="3177">
        <v>40.5</v>
      </c>
      <c r="M2499" s="3177">
        <v>14</v>
      </c>
      <c r="AB2499" s="3241"/>
      <c r="AC2499" s="3241"/>
      <c r="AD2499" s="3241"/>
    </row>
    <row r="2500" spans="2:30" ht="15.75" x14ac:dyDescent="0.25">
      <c r="B2500" s="3138" t="s">
        <v>3009</v>
      </c>
      <c r="C2500" s="3138">
        <v>90.3</v>
      </c>
      <c r="D2500" s="3138">
        <v>80.7</v>
      </c>
      <c r="E2500" s="3138">
        <v>65</v>
      </c>
      <c r="F2500" s="3138">
        <v>62.4</v>
      </c>
      <c r="G2500" s="3138">
        <v>2</v>
      </c>
      <c r="H2500" s="3177" t="s">
        <v>5826</v>
      </c>
      <c r="I2500" s="3138">
        <v>57.8</v>
      </c>
      <c r="J2500" s="3177">
        <v>51.7</v>
      </c>
      <c r="K2500" s="3177">
        <v>41.9</v>
      </c>
      <c r="L2500" s="3177">
        <v>39.799999999999997</v>
      </c>
      <c r="M2500" s="3177">
        <v>15</v>
      </c>
      <c r="AB2500" s="3241"/>
      <c r="AC2500" s="3241"/>
      <c r="AD2500" s="3241"/>
    </row>
    <row r="2501" spans="2:30" ht="15.75" x14ac:dyDescent="0.25">
      <c r="B2501" s="3138" t="s">
        <v>3010</v>
      </c>
      <c r="C2501" s="3138">
        <v>85</v>
      </c>
      <c r="D2501" s="3138">
        <v>77.599999999999994</v>
      </c>
      <c r="E2501" s="3138">
        <v>62.6</v>
      </c>
      <c r="F2501" s="3138">
        <v>59.9</v>
      </c>
      <c r="G2501" s="3138">
        <v>3</v>
      </c>
      <c r="H2501" s="3177" t="s">
        <v>4069</v>
      </c>
      <c r="I2501" s="3138">
        <v>53.5</v>
      </c>
      <c r="J2501" s="3177">
        <v>48.8</v>
      </c>
      <c r="K2501" s="3177">
        <v>39.5</v>
      </c>
      <c r="L2501" s="3177">
        <v>37.200000000000003</v>
      </c>
      <c r="M2501" s="3177">
        <v>16</v>
      </c>
      <c r="AB2501" s="3241"/>
      <c r="AC2501" s="3241"/>
      <c r="AD2501" s="3241"/>
    </row>
    <row r="2502" spans="2:30" ht="15.75" x14ac:dyDescent="0.25">
      <c r="B2502" s="3138" t="s">
        <v>3011</v>
      </c>
      <c r="C2502" s="3138">
        <v>78.8</v>
      </c>
      <c r="D2502" s="3138">
        <v>74.3</v>
      </c>
      <c r="E2502" s="3138">
        <v>59.9</v>
      </c>
      <c r="F2502" s="3138">
        <v>57.1</v>
      </c>
      <c r="G2502" s="3138">
        <v>4</v>
      </c>
      <c r="H2502" s="3177" t="s">
        <v>4072</v>
      </c>
      <c r="I2502" s="3138">
        <v>49.7</v>
      </c>
      <c r="J2502" s="3177">
        <v>45.9</v>
      </c>
      <c r="K2502" s="3177">
        <v>37.299999999999997</v>
      </c>
      <c r="L2502" s="3177">
        <v>34.700000000000003</v>
      </c>
      <c r="M2502" s="3177">
        <v>17</v>
      </c>
      <c r="AB2502" s="3241"/>
      <c r="AC2502" s="3241"/>
      <c r="AD2502" s="3241"/>
    </row>
    <row r="2503" spans="2:30" ht="15.75" x14ac:dyDescent="0.25">
      <c r="B2503" s="3138" t="s">
        <v>3012</v>
      </c>
      <c r="C2503" s="3138">
        <v>75.099999999999994</v>
      </c>
      <c r="D2503" s="3138">
        <v>69</v>
      </c>
      <c r="E2503" s="3138">
        <v>55.5</v>
      </c>
      <c r="F2503" s="3138">
        <v>52.7</v>
      </c>
      <c r="G2503" s="3138">
        <v>5</v>
      </c>
      <c r="H2503" s="3177" t="s">
        <v>4073</v>
      </c>
      <c r="I2503" s="3138">
        <v>46.4</v>
      </c>
      <c r="J2503" s="3177">
        <v>42.5</v>
      </c>
      <c r="K2503" s="3177">
        <v>34.299999999999997</v>
      </c>
      <c r="L2503" s="3177">
        <v>31.9</v>
      </c>
      <c r="M2503" s="3177">
        <v>18</v>
      </c>
      <c r="AB2503" s="3241"/>
      <c r="AC2503" s="3241"/>
      <c r="AD2503" s="3241"/>
    </row>
    <row r="2504" spans="2:30" ht="15.75" x14ac:dyDescent="0.25">
      <c r="B2504" s="3138" t="s">
        <v>3013</v>
      </c>
      <c r="C2504" s="3138">
        <v>69.099999999999994</v>
      </c>
      <c r="D2504" s="3138">
        <v>64.3</v>
      </c>
      <c r="E2504" s="3138">
        <v>51.7</v>
      </c>
      <c r="F2504" s="3138">
        <v>48.8</v>
      </c>
      <c r="G2504" s="3138">
        <v>6</v>
      </c>
      <c r="H2504" s="3177" t="s">
        <v>5825</v>
      </c>
      <c r="I2504" s="3138">
        <v>43.4</v>
      </c>
      <c r="J2504" s="3177">
        <v>39.5</v>
      </c>
      <c r="K2504" s="3177">
        <v>31.8</v>
      </c>
      <c r="L2504" s="3177">
        <v>29.4</v>
      </c>
      <c r="M2504" s="3177">
        <v>19</v>
      </c>
      <c r="AB2504" s="3241"/>
      <c r="AC2504" s="3241"/>
      <c r="AD2504" s="3241"/>
    </row>
    <row r="2505" spans="2:30" ht="15.75" x14ac:dyDescent="0.25">
      <c r="B2505" s="3138" t="s">
        <v>3014</v>
      </c>
      <c r="C2505" s="3138">
        <v>67</v>
      </c>
      <c r="D2505" s="3138">
        <v>60.1</v>
      </c>
      <c r="E2505" s="3138">
        <v>48</v>
      </c>
      <c r="F2505" s="3138">
        <v>44.9</v>
      </c>
      <c r="G2505" s="3138">
        <v>7</v>
      </c>
      <c r="H2505" s="3177" t="s">
        <v>5824</v>
      </c>
      <c r="I2505" s="3138">
        <v>41.6</v>
      </c>
      <c r="J2505" s="3177">
        <v>37</v>
      </c>
      <c r="K2505" s="3177">
        <v>29.7</v>
      </c>
      <c r="L2505" s="3177">
        <v>27</v>
      </c>
      <c r="M2505" s="3177">
        <v>20</v>
      </c>
      <c r="AB2505" s="3241"/>
      <c r="AC2505" s="3241"/>
      <c r="AD2505" s="3241"/>
    </row>
    <row r="2506" spans="2:30" ht="15.75" x14ac:dyDescent="0.25">
      <c r="B2506" s="3138" t="s">
        <v>4082</v>
      </c>
      <c r="C2506" s="3138">
        <v>62</v>
      </c>
      <c r="D2506" s="3138">
        <v>55.2</v>
      </c>
      <c r="E2506" s="3138">
        <v>44.3</v>
      </c>
      <c r="F2506" s="3138">
        <v>40.4</v>
      </c>
      <c r="G2506" s="3138">
        <v>8</v>
      </c>
      <c r="H2506" s="3177" t="s">
        <v>4082</v>
      </c>
      <c r="I2506" s="3138">
        <v>38.299999999999997</v>
      </c>
      <c r="J2506" s="3177">
        <v>33.799999999999997</v>
      </c>
      <c r="K2506" s="3177">
        <v>26.8</v>
      </c>
      <c r="L2506" s="3177">
        <v>24.2</v>
      </c>
      <c r="M2506" s="3177">
        <v>21</v>
      </c>
      <c r="AB2506" s="3241"/>
      <c r="AC2506" s="3241"/>
      <c r="AD2506" s="3241"/>
    </row>
    <row r="2507" spans="2:30" ht="15.75" x14ac:dyDescent="0.25">
      <c r="B2507" s="3138" t="s">
        <v>3016</v>
      </c>
      <c r="C2507" s="3138">
        <v>56.8</v>
      </c>
      <c r="D2507" s="3138">
        <v>50.2</v>
      </c>
      <c r="E2507" s="3138">
        <v>39.6</v>
      </c>
      <c r="F2507" s="3138">
        <v>36.6</v>
      </c>
      <c r="G2507" s="3138">
        <v>9</v>
      </c>
      <c r="H2507" s="3177" t="s">
        <v>5823</v>
      </c>
      <c r="I2507" s="3138">
        <v>34.9</v>
      </c>
      <c r="J2507" s="3177">
        <v>30.6</v>
      </c>
      <c r="K2507" s="3177">
        <v>24</v>
      </c>
      <c r="L2507" s="3177">
        <v>21.5</v>
      </c>
      <c r="M2507" s="3177">
        <v>22</v>
      </c>
      <c r="AB2507" s="3241"/>
      <c r="AC2507" s="3241"/>
      <c r="AD2507" s="3241"/>
    </row>
    <row r="2508" spans="2:30" ht="15.75" x14ac:dyDescent="0.25">
      <c r="B2508" s="3138" t="s">
        <v>3017</v>
      </c>
      <c r="C2508" s="3138">
        <v>51.8</v>
      </c>
      <c r="D2508" s="3138">
        <v>45.3</v>
      </c>
      <c r="E2508" s="3138">
        <v>35.5</v>
      </c>
      <c r="F2508" s="3138">
        <v>32.700000000000003</v>
      </c>
      <c r="G2508" s="3138">
        <v>10</v>
      </c>
      <c r="H2508" s="3177" t="s">
        <v>5822</v>
      </c>
      <c r="I2508" s="3138">
        <v>31.5</v>
      </c>
      <c r="J2508" s="3177">
        <v>27.6</v>
      </c>
      <c r="K2508" s="3177">
        <v>21.3</v>
      </c>
      <c r="L2508" s="3177">
        <v>18.8</v>
      </c>
      <c r="M2508" s="3177">
        <v>23</v>
      </c>
      <c r="AB2508" s="3241"/>
      <c r="AC2508" s="3241"/>
      <c r="AD2508" s="3241"/>
    </row>
    <row r="2509" spans="2:30" ht="15.75" x14ac:dyDescent="0.25">
      <c r="B2509" s="3138" t="s">
        <v>3018</v>
      </c>
      <c r="C2509" s="3138">
        <v>46.9</v>
      </c>
      <c r="D2509" s="3138">
        <v>40.700000000000003</v>
      </c>
      <c r="E2509" s="3138">
        <v>31.8</v>
      </c>
      <c r="F2509" s="3138">
        <v>29.2</v>
      </c>
      <c r="G2509" s="3138">
        <v>11</v>
      </c>
      <c r="H2509" s="3177" t="s">
        <v>5821</v>
      </c>
      <c r="I2509" s="3138">
        <v>28.3</v>
      </c>
      <c r="J2509" s="3177">
        <v>24.7</v>
      </c>
      <c r="K2509" s="3177">
        <v>19</v>
      </c>
      <c r="L2509" s="3177">
        <v>16.600000000000001</v>
      </c>
      <c r="M2509" s="3177">
        <v>24</v>
      </c>
      <c r="AB2509" s="3241"/>
      <c r="AC2509" s="3241"/>
      <c r="AD2509" s="3241"/>
    </row>
    <row r="2510" spans="2:30" ht="15.75" x14ac:dyDescent="0.25">
      <c r="B2510" s="3138" t="s">
        <v>3019</v>
      </c>
      <c r="C2510" s="3138">
        <v>41.4</v>
      </c>
      <c r="D2510" s="3138">
        <v>36.299999999999997</v>
      </c>
      <c r="E2510" s="3138">
        <v>28.4</v>
      </c>
      <c r="F2510" s="3138">
        <v>26.1</v>
      </c>
      <c r="G2510" s="3138">
        <v>12</v>
      </c>
      <c r="H2510" s="3177" t="s">
        <v>5820</v>
      </c>
      <c r="I2510" s="3138">
        <v>24.6</v>
      </c>
      <c r="J2510" s="3177">
        <v>21.9</v>
      </c>
      <c r="K2510" s="3177">
        <v>16.8</v>
      </c>
      <c r="L2510" s="3177">
        <v>14.9</v>
      </c>
      <c r="M2510" s="3177">
        <v>25</v>
      </c>
      <c r="AB2510" s="3241"/>
      <c r="AC2510" s="3241"/>
      <c r="AD2510" s="3241"/>
    </row>
    <row r="2511" spans="2:30" ht="15.75" x14ac:dyDescent="0.25">
      <c r="B2511" s="3138" t="s">
        <v>5832</v>
      </c>
      <c r="C2511" s="3138">
        <v>37.1</v>
      </c>
      <c r="D2511" s="3138">
        <v>32.5</v>
      </c>
      <c r="E2511" s="3138">
        <v>25.5</v>
      </c>
      <c r="F2511" s="3138">
        <v>23.3</v>
      </c>
      <c r="G2511" s="3138">
        <v>13</v>
      </c>
      <c r="H2511" s="3177" t="s">
        <v>5819</v>
      </c>
      <c r="I2511" s="3138">
        <v>21.8</v>
      </c>
      <c r="J2511" s="3177">
        <v>19.600000000000001</v>
      </c>
      <c r="K2511" s="3177">
        <v>15</v>
      </c>
      <c r="L2511" s="3177">
        <v>13.2</v>
      </c>
      <c r="M2511" s="3177">
        <v>26</v>
      </c>
      <c r="AB2511" s="3241"/>
      <c r="AC2511" s="3241"/>
      <c r="AD2511" s="3241"/>
    </row>
    <row r="2512" spans="2:30" ht="64.5" x14ac:dyDescent="0.25">
      <c r="B2512" s="3186" t="s">
        <v>5831</v>
      </c>
      <c r="C2512" s="3185" t="s">
        <v>3785</v>
      </c>
      <c r="D2512" s="3184"/>
      <c r="E2512" s="3184"/>
      <c r="F2512" s="3183"/>
      <c r="G2512" s="3181" t="s">
        <v>2490</v>
      </c>
      <c r="H2512" s="3186" t="s">
        <v>5831</v>
      </c>
      <c r="I2512" s="3185" t="s">
        <v>3785</v>
      </c>
      <c r="J2512" s="3184"/>
      <c r="K2512" s="3184"/>
      <c r="L2512" s="3183"/>
      <c r="M2512" s="3181" t="s">
        <v>2490</v>
      </c>
      <c r="AB2512" s="3241"/>
      <c r="AC2512" s="3241"/>
      <c r="AD2512" s="3241"/>
    </row>
    <row r="2513" spans="2:30" ht="15.75" x14ac:dyDescent="0.25">
      <c r="B2513" s="3182"/>
      <c r="C2513" s="3181" t="s">
        <v>1084</v>
      </c>
      <c r="D2513" s="3181" t="s">
        <v>1085</v>
      </c>
      <c r="E2513" s="3181" t="s">
        <v>3006</v>
      </c>
      <c r="F2513" s="3181" t="s">
        <v>5830</v>
      </c>
      <c r="G2513" s="3181"/>
      <c r="H2513" s="3182"/>
      <c r="I2513" s="3181" t="s">
        <v>1084</v>
      </c>
      <c r="J2513" s="3181" t="s">
        <v>1085</v>
      </c>
      <c r="K2513" s="3181" t="s">
        <v>3006</v>
      </c>
      <c r="L2513" s="3181" t="s">
        <v>5830</v>
      </c>
      <c r="M2513" s="3181"/>
      <c r="AB2513" s="3241"/>
      <c r="AC2513" s="3241"/>
      <c r="AD2513" s="3241"/>
    </row>
    <row r="2514" spans="2:30" ht="15.75" x14ac:dyDescent="0.25">
      <c r="B2514" s="3275" t="s">
        <v>5829</v>
      </c>
      <c r="C2514" s="3179"/>
      <c r="D2514" s="3179"/>
      <c r="E2514" s="3179"/>
      <c r="F2514" s="3179"/>
      <c r="G2514" s="3178"/>
      <c r="H2514" s="3275" t="s">
        <v>5828</v>
      </c>
      <c r="I2514" s="3179"/>
      <c r="J2514" s="3179"/>
      <c r="K2514" s="3179"/>
      <c r="L2514" s="3179"/>
      <c r="M2514" s="3178"/>
      <c r="AB2514" s="3241"/>
      <c r="AC2514" s="3241"/>
      <c r="AD2514" s="3241"/>
    </row>
    <row r="2515" spans="2:30" ht="15.75" x14ac:dyDescent="0.25">
      <c r="B2515" s="3177" t="s">
        <v>5827</v>
      </c>
      <c r="C2515" s="3177">
        <v>43.6</v>
      </c>
      <c r="D2515" s="3177">
        <v>39.700000000000003</v>
      </c>
      <c r="E2515" s="3177">
        <v>31.7</v>
      </c>
      <c r="F2515" s="3177">
        <v>30.1</v>
      </c>
      <c r="G2515" s="3177">
        <v>27</v>
      </c>
      <c r="H2515" s="3138" t="s">
        <v>5827</v>
      </c>
      <c r="I2515" s="3177">
        <v>168.3</v>
      </c>
      <c r="J2515" s="3177">
        <v>151.80000000000001</v>
      </c>
      <c r="K2515" s="3177">
        <v>124.3</v>
      </c>
      <c r="L2515" s="3177">
        <v>101.5</v>
      </c>
      <c r="M2515" s="3177">
        <v>40</v>
      </c>
      <c r="AB2515" s="3241"/>
      <c r="AC2515" s="3241"/>
      <c r="AD2515" s="3241"/>
    </row>
    <row r="2516" spans="2:30" ht="15.75" x14ac:dyDescent="0.25">
      <c r="B2516" s="3138" t="s">
        <v>5826</v>
      </c>
      <c r="C2516" s="3177">
        <v>42.4</v>
      </c>
      <c r="D2516" s="3177">
        <v>38.1</v>
      </c>
      <c r="E2516" s="3177">
        <v>30.9</v>
      </c>
      <c r="F2516" s="3177">
        <v>29.2</v>
      </c>
      <c r="G2516" s="3177">
        <v>28</v>
      </c>
      <c r="H2516" s="3138" t="s">
        <v>5826</v>
      </c>
      <c r="I2516" s="3177">
        <v>159.4</v>
      </c>
      <c r="J2516" s="3177">
        <v>143.9</v>
      </c>
      <c r="K2516" s="3177">
        <v>117.9</v>
      </c>
      <c r="L2516" s="3177">
        <v>95.7</v>
      </c>
      <c r="M2516" s="3177">
        <v>41</v>
      </c>
      <c r="AB2516" s="3241"/>
      <c r="AC2516" s="3241"/>
      <c r="AD2516" s="3241"/>
    </row>
    <row r="2517" spans="2:30" ht="15.75" x14ac:dyDescent="0.25">
      <c r="B2517" s="3138" t="s">
        <v>4069</v>
      </c>
      <c r="C2517" s="3177">
        <v>39</v>
      </c>
      <c r="D2517" s="3177">
        <v>35.6</v>
      </c>
      <c r="E2517" s="3177">
        <v>28.9</v>
      </c>
      <c r="F2517" s="3177">
        <v>27</v>
      </c>
      <c r="G2517" s="3177">
        <v>29</v>
      </c>
      <c r="H2517" s="3138" t="s">
        <v>4069</v>
      </c>
      <c r="I2517" s="3177">
        <v>144.5</v>
      </c>
      <c r="J2517" s="3177">
        <v>132.5</v>
      </c>
      <c r="K2517" s="3177">
        <v>107.1</v>
      </c>
      <c r="L2517" s="3177">
        <v>86.9</v>
      </c>
      <c r="M2517" s="3177">
        <v>42</v>
      </c>
      <c r="AB2517" s="3241"/>
      <c r="AC2517" s="3241"/>
      <c r="AD2517" s="3241"/>
    </row>
    <row r="2518" spans="2:30" ht="15.75" x14ac:dyDescent="0.25">
      <c r="B2518" s="3138" t="s">
        <v>4072</v>
      </c>
      <c r="C2518" s="3177">
        <v>36.1</v>
      </c>
      <c r="D2518" s="3177">
        <v>33.200000000000003</v>
      </c>
      <c r="E2518" s="3177">
        <v>26.6</v>
      </c>
      <c r="F2518" s="3177">
        <v>25</v>
      </c>
      <c r="G2518" s="3177">
        <v>30</v>
      </c>
      <c r="H2518" s="3138" t="s">
        <v>4072</v>
      </c>
      <c r="I2518" s="3177">
        <v>131.9</v>
      </c>
      <c r="J2518" s="3177">
        <v>121.3</v>
      </c>
      <c r="K2518" s="3177">
        <v>97.9</v>
      </c>
      <c r="L2518" s="3177">
        <v>79.5</v>
      </c>
      <c r="M2518" s="3177">
        <v>43</v>
      </c>
      <c r="AB2518" s="3241"/>
      <c r="AC2518" s="3241"/>
      <c r="AD2518" s="3241"/>
    </row>
    <row r="2519" spans="2:30" ht="15.75" x14ac:dyDescent="0.25">
      <c r="B2519" s="3138" t="s">
        <v>4073</v>
      </c>
      <c r="C2519" s="3177">
        <v>33.6</v>
      </c>
      <c r="D2519" s="3177">
        <v>30.7</v>
      </c>
      <c r="E2519" s="3177">
        <v>24.8</v>
      </c>
      <c r="F2519" s="3177">
        <v>22.9</v>
      </c>
      <c r="G2519" s="3177">
        <v>31</v>
      </c>
      <c r="H2519" s="3138" t="s">
        <v>4073</v>
      </c>
      <c r="I2519" s="3177">
        <v>120.1</v>
      </c>
      <c r="J2519" s="3177">
        <v>111.4</v>
      </c>
      <c r="K2519" s="3177">
        <v>90</v>
      </c>
      <c r="L2519" s="3177">
        <v>73</v>
      </c>
      <c r="M2519" s="3177">
        <v>44</v>
      </c>
      <c r="AB2519" s="3241"/>
      <c r="AC2519" s="3241"/>
      <c r="AD2519" s="3241"/>
    </row>
    <row r="2520" spans="2:30" ht="15.75" x14ac:dyDescent="0.25">
      <c r="B2520" s="3138" t="s">
        <v>5825</v>
      </c>
      <c r="C2520" s="3177">
        <v>31.3</v>
      </c>
      <c r="D2520" s="3177">
        <v>28.9</v>
      </c>
      <c r="E2520" s="3177">
        <v>23</v>
      </c>
      <c r="F2520" s="3177">
        <v>21</v>
      </c>
      <c r="G2520" s="3177">
        <v>32</v>
      </c>
      <c r="H2520" s="3138" t="s">
        <v>5825</v>
      </c>
      <c r="I2520" s="3177">
        <v>112</v>
      </c>
      <c r="J2520" s="3177">
        <v>102.9</v>
      </c>
      <c r="K2520" s="3177">
        <v>83</v>
      </c>
      <c r="L2520" s="3177">
        <v>67.3</v>
      </c>
      <c r="M2520" s="3177">
        <v>45</v>
      </c>
      <c r="AB2520" s="3241"/>
      <c r="AC2520" s="3241"/>
      <c r="AD2520" s="3241"/>
    </row>
    <row r="2521" spans="2:30" ht="15.75" x14ac:dyDescent="0.25">
      <c r="B2521" s="3138" t="s">
        <v>5824</v>
      </c>
      <c r="C2521" s="3177">
        <v>29.5</v>
      </c>
      <c r="D2521" s="3177">
        <v>26.7</v>
      </c>
      <c r="E2521" s="3177">
        <v>21.5</v>
      </c>
      <c r="F2521" s="3177">
        <v>19.3</v>
      </c>
      <c r="G2521" s="3177">
        <v>33</v>
      </c>
      <c r="H2521" s="3138" t="s">
        <v>5824</v>
      </c>
      <c r="I2521" s="3177">
        <v>107</v>
      </c>
      <c r="J2521" s="3177">
        <v>95.4</v>
      </c>
      <c r="K2521" s="3177">
        <v>77.599999999999994</v>
      </c>
      <c r="L2521" s="3177">
        <v>63.5</v>
      </c>
      <c r="M2521" s="3177">
        <v>46</v>
      </c>
      <c r="AB2521" s="3241"/>
      <c r="AC2521" s="3241"/>
      <c r="AD2521" s="3241"/>
    </row>
    <row r="2522" spans="2:30" ht="15.75" x14ac:dyDescent="0.25">
      <c r="B2522" s="3138" t="s">
        <v>4082</v>
      </c>
      <c r="C2522" s="3177">
        <v>27.1</v>
      </c>
      <c r="D2522" s="3177">
        <v>24.4</v>
      </c>
      <c r="E2522" s="3177">
        <v>19.3</v>
      </c>
      <c r="F2522" s="3177">
        <v>17.2</v>
      </c>
      <c r="G2522" s="3177">
        <v>34</v>
      </c>
      <c r="H2522" s="3138" t="s">
        <v>4082</v>
      </c>
      <c r="I2522" s="3177">
        <v>97.5</v>
      </c>
      <c r="J2522" s="3177">
        <v>83.1</v>
      </c>
      <c r="K2522" s="3177">
        <v>69</v>
      </c>
      <c r="L2522" s="3177">
        <v>56.4</v>
      </c>
      <c r="M2522" s="3177">
        <v>47</v>
      </c>
      <c r="AB2522" s="3241"/>
      <c r="AC2522" s="3241"/>
      <c r="AD2522" s="3241"/>
    </row>
    <row r="2523" spans="2:30" ht="15.75" x14ac:dyDescent="0.25">
      <c r="B2523" s="3138" t="s">
        <v>5823</v>
      </c>
      <c r="C2523" s="3177">
        <v>24.6</v>
      </c>
      <c r="D2523" s="3177">
        <v>22</v>
      </c>
      <c r="E2523" s="3177">
        <v>17.2</v>
      </c>
      <c r="F2523" s="3177">
        <v>15.3</v>
      </c>
      <c r="G2523" s="3177">
        <v>35</v>
      </c>
      <c r="H2523" s="3138" t="s">
        <v>5823</v>
      </c>
      <c r="I2523" s="3177">
        <v>87.9</v>
      </c>
      <c r="J2523" s="3177">
        <v>78.3</v>
      </c>
      <c r="K2523" s="3177">
        <v>60.9</v>
      </c>
      <c r="L2523" s="3177">
        <v>49.7</v>
      </c>
      <c r="M2523" s="3177">
        <v>48</v>
      </c>
      <c r="AB2523" s="3241"/>
      <c r="AC2523" s="3241"/>
      <c r="AD2523" s="3241"/>
    </row>
    <row r="2524" spans="2:30" ht="15.75" x14ac:dyDescent="0.25">
      <c r="B2524" s="3138" t="s">
        <v>5822</v>
      </c>
      <c r="C2524" s="3177">
        <v>22.2</v>
      </c>
      <c r="D2524" s="3177">
        <v>19.8</v>
      </c>
      <c r="E2524" s="3177">
        <v>15.3</v>
      </c>
      <c r="F2524" s="3177">
        <v>13.5</v>
      </c>
      <c r="G2524" s="3177">
        <v>36</v>
      </c>
      <c r="H2524" s="3138" t="s">
        <v>5822</v>
      </c>
      <c r="I2524" s="3177">
        <v>78.7</v>
      </c>
      <c r="J2524" s="3177">
        <v>70.2</v>
      </c>
      <c r="K2524" s="3177">
        <v>53.5</v>
      </c>
      <c r="L2524" s="3177">
        <v>44.1</v>
      </c>
      <c r="M2524" s="3177">
        <v>49</v>
      </c>
      <c r="AB2524" s="3241"/>
      <c r="AC2524" s="3241"/>
      <c r="AD2524" s="3241"/>
    </row>
    <row r="2525" spans="2:30" ht="15.75" x14ac:dyDescent="0.25">
      <c r="B2525" s="3138" t="s">
        <v>5821</v>
      </c>
      <c r="C2525" s="3177">
        <v>19.100000000000001</v>
      </c>
      <c r="D2525" s="3177">
        <v>17.7</v>
      </c>
      <c r="E2525" s="3177">
        <v>13.5</v>
      </c>
      <c r="F2525" s="3177">
        <v>11.9</v>
      </c>
      <c r="G2525" s="3177">
        <v>37</v>
      </c>
      <c r="H2525" s="3138" t="s">
        <v>5821</v>
      </c>
      <c r="I2525" s="3177">
        <v>70.2</v>
      </c>
      <c r="J2525" s="3177">
        <v>62.6</v>
      </c>
      <c r="K2525" s="3177">
        <v>47.1</v>
      </c>
      <c r="L2525" s="3177">
        <v>38.4</v>
      </c>
      <c r="M2525" s="3177">
        <v>50</v>
      </c>
      <c r="AB2525" s="3241"/>
      <c r="AC2525" s="3241"/>
      <c r="AD2525" s="3241"/>
    </row>
    <row r="2526" spans="2:30" ht="15.75" x14ac:dyDescent="0.25">
      <c r="B2526" s="3138" t="s">
        <v>5820</v>
      </c>
      <c r="C2526" s="3177">
        <v>17.399999999999999</v>
      </c>
      <c r="D2526" s="3177">
        <v>15.7</v>
      </c>
      <c r="E2526" s="3177">
        <v>12</v>
      </c>
      <c r="F2526" s="3177">
        <v>10.4</v>
      </c>
      <c r="G2526" s="3177">
        <v>38</v>
      </c>
      <c r="H2526" s="3138" t="s">
        <v>5820</v>
      </c>
      <c r="I2526" s="3177">
        <v>60.4</v>
      </c>
      <c r="J2526" s="3177">
        <v>55.1</v>
      </c>
      <c r="K2526" s="3177">
        <v>41.3</v>
      </c>
      <c r="L2526" s="3177">
        <v>33.700000000000003</v>
      </c>
      <c r="M2526" s="3177">
        <v>51</v>
      </c>
      <c r="AB2526" s="3241"/>
      <c r="AC2526" s="3241"/>
      <c r="AD2526" s="3241"/>
    </row>
    <row r="2527" spans="2:30" ht="15.75" x14ac:dyDescent="0.25">
      <c r="B2527" s="3138" t="s">
        <v>5819</v>
      </c>
      <c r="C2527" s="3177">
        <v>15.6</v>
      </c>
      <c r="D2527" s="3177">
        <v>14</v>
      </c>
      <c r="E2527" s="3177">
        <v>10.6</v>
      </c>
      <c r="F2527" s="3177">
        <v>9.1999999999999993</v>
      </c>
      <c r="G2527" s="3177">
        <v>39</v>
      </c>
      <c r="H2527" s="3138" t="s">
        <v>5819</v>
      </c>
      <c r="I2527" s="3177">
        <v>53.8</v>
      </c>
      <c r="J2527" s="3177">
        <v>49.2</v>
      </c>
      <c r="K2527" s="3177">
        <v>36.5</v>
      </c>
      <c r="L2527" s="3177">
        <v>29.7</v>
      </c>
      <c r="M2527" s="3177">
        <v>52</v>
      </c>
      <c r="AB2527" s="3241"/>
      <c r="AC2527" s="3241"/>
      <c r="AD2527" s="3241"/>
    </row>
    <row r="2528" spans="2:30" ht="15.75" x14ac:dyDescent="0.25">
      <c r="AB2528" s="3241"/>
      <c r="AC2528" s="3241"/>
      <c r="AD2528" s="3241"/>
    </row>
    <row r="2529" spans="2:30" ht="15.75" x14ac:dyDescent="0.25">
      <c r="AB2529" s="3241"/>
      <c r="AC2529" s="3241"/>
      <c r="AD2529" s="3241"/>
    </row>
    <row r="2530" spans="2:30" ht="15.75" x14ac:dyDescent="0.25">
      <c r="AB2530" s="3241"/>
      <c r="AC2530" s="3241"/>
      <c r="AD2530" s="3241"/>
    </row>
    <row r="2531" spans="2:30" ht="15.75" x14ac:dyDescent="0.25">
      <c r="AB2531" s="3241"/>
      <c r="AC2531" s="3241"/>
      <c r="AD2531" s="3241"/>
    </row>
    <row r="2532" spans="2:30" ht="15.75" x14ac:dyDescent="0.25">
      <c r="E2532" s="3146" t="s">
        <v>3022</v>
      </c>
      <c r="F2532" s="3146"/>
      <c r="AB2532" s="3241"/>
      <c r="AC2532" s="3241"/>
      <c r="AD2532" s="3241"/>
    </row>
    <row r="2533" spans="2:30" ht="18" x14ac:dyDescent="0.25">
      <c r="B2533" s="3274" t="s">
        <v>5118</v>
      </c>
      <c r="C2533" s="3176"/>
      <c r="D2533" s="3176"/>
      <c r="E2533" s="3176"/>
      <c r="F2533" s="3176"/>
      <c r="G2533" s="3157"/>
      <c r="AB2533" s="3241"/>
      <c r="AC2533" s="3241"/>
      <c r="AD2533" s="3241"/>
    </row>
    <row r="2534" spans="2:30" ht="26.25" x14ac:dyDescent="0.25">
      <c r="B2534" s="3160" t="s">
        <v>5120</v>
      </c>
      <c r="C2534" s="3159" t="s">
        <v>5121</v>
      </c>
      <c r="D2534" s="3159"/>
      <c r="E2534" s="3159"/>
      <c r="F2534" s="3159"/>
      <c r="H2534" s="3137" t="s">
        <v>2475</v>
      </c>
      <c r="I2534" s="3137"/>
      <c r="J2534" s="3137"/>
      <c r="K2534" s="3137"/>
      <c r="AB2534" s="3241"/>
      <c r="AC2534" s="3241"/>
      <c r="AD2534" s="3241"/>
    </row>
    <row r="2535" spans="2:30" ht="15.75" x14ac:dyDescent="0.25">
      <c r="B2535" s="3160"/>
      <c r="C2535" s="3159" t="s">
        <v>5126</v>
      </c>
      <c r="D2535" s="3159"/>
      <c r="E2535" s="3159" t="s">
        <v>5127</v>
      </c>
      <c r="F2535" s="3159"/>
      <c r="H2535" s="3138" t="s">
        <v>5334</v>
      </c>
      <c r="I2535" s="3138"/>
      <c r="J2535" s="3138" t="s">
        <v>4253</v>
      </c>
      <c r="K2535" s="3138"/>
      <c r="AB2535" s="3241"/>
      <c r="AC2535" s="3241"/>
      <c r="AD2535" s="3241"/>
    </row>
    <row r="2536" spans="2:30" ht="15.75" x14ac:dyDescent="0.25">
      <c r="B2536" s="3160"/>
      <c r="C2536" s="3150" t="s">
        <v>3713</v>
      </c>
      <c r="D2536" s="3150" t="s">
        <v>3714</v>
      </c>
      <c r="E2536" s="3150" t="s">
        <v>3713</v>
      </c>
      <c r="F2536" s="3150" t="s">
        <v>3714</v>
      </c>
      <c r="H2536" s="3159" t="s">
        <v>4257</v>
      </c>
      <c r="I2536" s="3159"/>
      <c r="J2536" s="3159" t="s">
        <v>4257</v>
      </c>
      <c r="K2536" s="3159"/>
      <c r="AB2536" s="3241"/>
      <c r="AC2536" s="3241"/>
      <c r="AD2536" s="3241"/>
    </row>
    <row r="2537" spans="2:30" ht="26.25" x14ac:dyDescent="0.25">
      <c r="B2537" s="3167" t="s">
        <v>4804</v>
      </c>
      <c r="C2537" s="3138">
        <v>317</v>
      </c>
      <c r="D2537" s="3138">
        <v>444</v>
      </c>
      <c r="E2537" s="3138">
        <v>353</v>
      </c>
      <c r="F2537" s="3138">
        <v>452</v>
      </c>
      <c r="H2537" s="3150" t="s">
        <v>5126</v>
      </c>
      <c r="I2537" s="3150" t="s">
        <v>4065</v>
      </c>
      <c r="J2537" s="3150" t="s">
        <v>5126</v>
      </c>
      <c r="K2537" s="3150" t="s">
        <v>4065</v>
      </c>
      <c r="AB2537" s="3241"/>
      <c r="AC2537" s="3241"/>
      <c r="AD2537" s="3241"/>
    </row>
    <row r="2538" spans="2:30" ht="26.25" x14ac:dyDescent="0.25">
      <c r="B2538" s="3167" t="s">
        <v>4806</v>
      </c>
      <c r="C2538" s="3138">
        <v>291</v>
      </c>
      <c r="D2538" s="3138">
        <v>444</v>
      </c>
      <c r="E2538" s="3138">
        <v>253</v>
      </c>
      <c r="F2538" s="3138">
        <v>452</v>
      </c>
      <c r="H2538" s="3138">
        <v>444</v>
      </c>
      <c r="I2538" s="3138">
        <v>452</v>
      </c>
      <c r="J2538" s="3138">
        <v>317</v>
      </c>
      <c r="K2538" s="3138">
        <v>353</v>
      </c>
      <c r="AB2538" s="3241"/>
      <c r="AC2538" s="3241"/>
      <c r="AD2538" s="3241"/>
    </row>
    <row r="2539" spans="2:30" ht="15.75" x14ac:dyDescent="0.25">
      <c r="B2539" s="3167" t="s">
        <v>4809</v>
      </c>
      <c r="C2539" s="3138">
        <v>247</v>
      </c>
      <c r="D2539" s="3138">
        <v>369</v>
      </c>
      <c r="E2539" s="3138">
        <v>258</v>
      </c>
      <c r="F2539" s="3138">
        <v>376</v>
      </c>
      <c r="H2539" s="3138">
        <v>444</v>
      </c>
      <c r="I2539" s="3138">
        <v>452</v>
      </c>
      <c r="J2539" s="3138">
        <v>291</v>
      </c>
      <c r="K2539" s="3138">
        <v>253</v>
      </c>
      <c r="AB2539" s="3241"/>
      <c r="AC2539" s="3241"/>
      <c r="AD2539" s="3241"/>
    </row>
    <row r="2540" spans="2:30" ht="15.75" x14ac:dyDescent="0.25">
      <c r="D2540" s="3146" t="s">
        <v>5818</v>
      </c>
      <c r="E2540" s="3146"/>
      <c r="H2540" s="3138">
        <v>369</v>
      </c>
      <c r="I2540" s="3138">
        <v>376</v>
      </c>
      <c r="J2540" s="3138">
        <v>247</v>
      </c>
      <c r="K2540" s="3138">
        <v>258</v>
      </c>
      <c r="O2540" s="3146" t="s">
        <v>4062</v>
      </c>
      <c r="P2540" s="3146"/>
      <c r="AB2540" s="3241"/>
      <c r="AC2540" s="3241"/>
      <c r="AD2540" s="3241"/>
    </row>
    <row r="2541" spans="2:30" ht="15.75" x14ac:dyDescent="0.25">
      <c r="B2541" s="3273" t="s">
        <v>5816</v>
      </c>
      <c r="C2541" s="3174"/>
      <c r="D2541" s="3174"/>
      <c r="E2541" s="3174"/>
      <c r="G2541" s="3273" t="s">
        <v>5119</v>
      </c>
      <c r="H2541" s="3174"/>
      <c r="I2541" s="3174"/>
      <c r="J2541" s="3174"/>
      <c r="L2541" s="3262" t="s">
        <v>4066</v>
      </c>
      <c r="M2541" s="3172"/>
      <c r="N2541" s="3172"/>
      <c r="O2541" s="3172"/>
      <c r="P2541" s="3171"/>
      <c r="AB2541" s="3241"/>
      <c r="AC2541" s="3241"/>
      <c r="AD2541" s="3241"/>
    </row>
    <row r="2542" spans="2:30" ht="64.5" x14ac:dyDescent="0.25">
      <c r="B2542" s="3163" t="s">
        <v>2098</v>
      </c>
      <c r="C2542" s="3163" t="s">
        <v>5122</v>
      </c>
      <c r="D2542" s="3150" t="s">
        <v>2490</v>
      </c>
      <c r="G2542" s="3163" t="s">
        <v>2098</v>
      </c>
      <c r="H2542" s="3163" t="s">
        <v>5122</v>
      </c>
      <c r="I2542" s="3150" t="s">
        <v>2490</v>
      </c>
      <c r="L2542" s="3170" t="s">
        <v>5602</v>
      </c>
      <c r="M2542" s="3170"/>
      <c r="N2542" s="3170" t="s">
        <v>4068</v>
      </c>
      <c r="O2542" s="3170"/>
      <c r="P2542" s="3169" t="s">
        <v>2490</v>
      </c>
      <c r="AB2542" s="3241"/>
      <c r="AC2542" s="3241"/>
      <c r="AD2542" s="3241"/>
    </row>
    <row r="2543" spans="2:30" ht="15.75" x14ac:dyDescent="0.25">
      <c r="B2543" s="3164" t="s">
        <v>5815</v>
      </c>
      <c r="C2543" s="3138">
        <v>323</v>
      </c>
      <c r="D2543" s="3138">
        <v>1</v>
      </c>
      <c r="G2543" s="3138" t="s">
        <v>1220</v>
      </c>
      <c r="H2543" s="3138">
        <v>281</v>
      </c>
      <c r="I2543" s="3138">
        <v>1</v>
      </c>
      <c r="L2543" s="3160"/>
      <c r="M2543" s="3160"/>
      <c r="N2543" s="3150" t="s">
        <v>1084</v>
      </c>
      <c r="O2543" s="3150" t="s">
        <v>4071</v>
      </c>
      <c r="P2543" s="3150"/>
      <c r="AB2543" s="3241"/>
      <c r="AC2543" s="3241"/>
      <c r="AD2543" s="3241"/>
    </row>
    <row r="2544" spans="2:30" ht="15.75" x14ac:dyDescent="0.25">
      <c r="B2544" s="3164" t="s">
        <v>5814</v>
      </c>
      <c r="C2544" s="3138">
        <v>285</v>
      </c>
      <c r="D2544" s="3138">
        <v>2</v>
      </c>
      <c r="G2544" s="3138" t="s">
        <v>4802</v>
      </c>
      <c r="H2544" s="3138">
        <v>250</v>
      </c>
      <c r="I2544" s="3138">
        <v>2</v>
      </c>
      <c r="L2544" s="3168" t="s">
        <v>4067</v>
      </c>
      <c r="M2544" s="3168"/>
      <c r="N2544" s="3138"/>
      <c r="O2544" s="3138">
        <v>57.8</v>
      </c>
      <c r="P2544" s="3138">
        <v>1</v>
      </c>
      <c r="AB2544" s="3241"/>
      <c r="AC2544" s="3241"/>
      <c r="AD2544" s="3241"/>
    </row>
    <row r="2545" spans="2:30" ht="15.75" x14ac:dyDescent="0.25">
      <c r="B2545" s="3164" t="s">
        <v>5813</v>
      </c>
      <c r="C2545" s="3138">
        <v>246</v>
      </c>
      <c r="D2545" s="3138">
        <v>3</v>
      </c>
      <c r="G2545" s="3138" t="s">
        <v>4805</v>
      </c>
      <c r="H2545" s="3138">
        <v>224</v>
      </c>
      <c r="I2545" s="3138">
        <v>3</v>
      </c>
      <c r="L2545" s="3168" t="s">
        <v>4074</v>
      </c>
      <c r="M2545" s="3168"/>
      <c r="N2545" s="3138">
        <v>71.2</v>
      </c>
      <c r="O2545" s="3138">
        <v>61.8</v>
      </c>
      <c r="P2545" s="3138">
        <v>2</v>
      </c>
      <c r="AB2545" s="3241"/>
      <c r="AC2545" s="3241"/>
      <c r="AD2545" s="3241"/>
    </row>
    <row r="2546" spans="2:30" ht="15.75" x14ac:dyDescent="0.25">
      <c r="B2546" s="3164" t="s">
        <v>5812</v>
      </c>
      <c r="C2546" s="3138">
        <v>212</v>
      </c>
      <c r="D2546" s="3138">
        <v>4</v>
      </c>
      <c r="G2546" s="3138" t="s">
        <v>4807</v>
      </c>
      <c r="H2546" s="3138">
        <v>197</v>
      </c>
      <c r="I2546" s="3138">
        <v>4</v>
      </c>
      <c r="L2546" s="3168" t="s">
        <v>4078</v>
      </c>
      <c r="M2546" s="3168"/>
      <c r="N2546" s="3138">
        <v>81.3</v>
      </c>
      <c r="O2546" s="3138">
        <v>67.8</v>
      </c>
      <c r="P2546" s="3138">
        <v>3</v>
      </c>
      <c r="AB2546" s="3241"/>
      <c r="AC2546" s="3241"/>
      <c r="AD2546" s="3241"/>
    </row>
    <row r="2547" spans="2:30" ht="15.75" x14ac:dyDescent="0.25">
      <c r="B2547" s="3164" t="s">
        <v>5811</v>
      </c>
      <c r="C2547" s="3138">
        <v>186</v>
      </c>
      <c r="D2547" s="3138">
        <v>5</v>
      </c>
      <c r="G2547" s="3138" t="s">
        <v>3150</v>
      </c>
      <c r="H2547" s="3138">
        <v>172</v>
      </c>
      <c r="I2547" s="3138">
        <v>5</v>
      </c>
      <c r="L2547" s="3168" t="s">
        <v>4080</v>
      </c>
      <c r="M2547" s="3168"/>
      <c r="N2547" s="3138">
        <v>89.7</v>
      </c>
      <c r="O2547" s="3138">
        <v>83.2</v>
      </c>
      <c r="P2547" s="3138">
        <v>4</v>
      </c>
      <c r="AB2547" s="3241"/>
      <c r="AC2547" s="3241"/>
      <c r="AD2547" s="3241"/>
    </row>
    <row r="2548" spans="2:30" ht="26.25" x14ac:dyDescent="0.25">
      <c r="B2548" s="3164" t="s">
        <v>5810</v>
      </c>
      <c r="C2548" s="3138">
        <v>159</v>
      </c>
      <c r="D2548" s="3138">
        <v>6</v>
      </c>
      <c r="G2548" s="3138" t="s">
        <v>2470</v>
      </c>
      <c r="H2548" s="3138">
        <v>149</v>
      </c>
      <c r="I2548" s="3138">
        <v>6</v>
      </c>
      <c r="L2548" s="3168" t="s">
        <v>4086</v>
      </c>
      <c r="M2548" s="3168"/>
      <c r="N2548" s="3138">
        <v>71</v>
      </c>
      <c r="O2548" s="3268">
        <v>67.400000000000006</v>
      </c>
      <c r="P2548" s="3138">
        <v>5</v>
      </c>
      <c r="AB2548" s="3241"/>
      <c r="AC2548" s="3241"/>
      <c r="AD2548" s="3241"/>
    </row>
    <row r="2549" spans="2:30" ht="26.25" x14ac:dyDescent="0.25">
      <c r="B2549" s="3164" t="s">
        <v>5809</v>
      </c>
      <c r="C2549" s="3138">
        <v>139</v>
      </c>
      <c r="D2549" s="3138">
        <v>7</v>
      </c>
      <c r="G2549" s="3167" t="s">
        <v>2476</v>
      </c>
      <c r="H2549" s="3138">
        <v>128</v>
      </c>
      <c r="I2549" s="3138">
        <v>7</v>
      </c>
      <c r="AB2549" s="3241"/>
      <c r="AC2549" s="3241"/>
      <c r="AD2549" s="3241"/>
    </row>
    <row r="2550" spans="2:30" ht="15.75" x14ac:dyDescent="0.25">
      <c r="B2550" s="3164" t="s">
        <v>5808</v>
      </c>
      <c r="C2550" s="3138">
        <v>122</v>
      </c>
      <c r="D2550" s="3138">
        <v>8</v>
      </c>
      <c r="N2550" s="3146" t="s">
        <v>4808</v>
      </c>
      <c r="O2550" s="3146"/>
      <c r="AB2550" s="3241"/>
      <c r="AC2550" s="3241"/>
      <c r="AD2550" s="3241"/>
    </row>
    <row r="2551" spans="2:30" ht="15.75" x14ac:dyDescent="0.25">
      <c r="B2551" s="3164" t="s">
        <v>5807</v>
      </c>
      <c r="C2551" s="3138">
        <v>110</v>
      </c>
      <c r="D2551" s="3138">
        <v>9</v>
      </c>
      <c r="K2551" s="3272" t="s">
        <v>3151</v>
      </c>
      <c r="L2551" s="3271"/>
      <c r="M2551" s="3271"/>
      <c r="N2551" s="3271"/>
      <c r="O2551" s="3271"/>
      <c r="P2551" s="3165" t="s">
        <v>3152</v>
      </c>
      <c r="Q2551" s="3165"/>
      <c r="R2551" s="3165"/>
      <c r="AB2551" s="3241"/>
      <c r="AC2551" s="3241"/>
      <c r="AD2551" s="3241"/>
    </row>
    <row r="2552" spans="2:30" ht="51.75" x14ac:dyDescent="0.25">
      <c r="B2552" s="3164" t="s">
        <v>5805</v>
      </c>
      <c r="C2552" s="3138">
        <v>97</v>
      </c>
      <c r="D2552" s="3138">
        <v>10</v>
      </c>
      <c r="K2552" s="3163" t="s">
        <v>2471</v>
      </c>
      <c r="L2552" s="3162"/>
      <c r="M2552" s="3159" t="s">
        <v>2472</v>
      </c>
      <c r="N2552" s="3159"/>
      <c r="O2552" s="3150" t="s">
        <v>2490</v>
      </c>
      <c r="P2552" s="3138" t="s">
        <v>2473</v>
      </c>
      <c r="Q2552" s="3138"/>
      <c r="R2552" s="3138"/>
      <c r="AB2552" s="3241"/>
      <c r="AC2552" s="3241"/>
      <c r="AD2552" s="3241"/>
    </row>
    <row r="2553" spans="2:30" ht="15.75" x14ac:dyDescent="0.25">
      <c r="C2553" s="3146" t="s">
        <v>4085</v>
      </c>
      <c r="D2553" s="3146"/>
      <c r="K2553" s="3137" t="s">
        <v>2477</v>
      </c>
      <c r="L2553" s="3137"/>
      <c r="M2553" s="3148">
        <v>43.4</v>
      </c>
      <c r="N2553" s="3147"/>
      <c r="O2553" s="3138">
        <v>1</v>
      </c>
      <c r="P2553" s="3138">
        <f>(323+585)/2</f>
        <v>454</v>
      </c>
      <c r="Q2553" s="3138">
        <f t="shared" ref="Q2553:Q2559" si="1261">P2553/1000</f>
        <v>0.45400000000000001</v>
      </c>
      <c r="R2553" s="3138"/>
      <c r="AB2553" s="3241"/>
      <c r="AC2553" s="3241"/>
      <c r="AD2553" s="3241"/>
    </row>
    <row r="2554" spans="2:30" ht="47.25" x14ac:dyDescent="0.25">
      <c r="B2554" s="3161" t="s">
        <v>5333</v>
      </c>
      <c r="C2554" s="3161"/>
      <c r="D2554" s="3161"/>
      <c r="K2554" s="3137">
        <v>1</v>
      </c>
      <c r="L2554" s="3137"/>
      <c r="M2554" s="3148">
        <v>44.9</v>
      </c>
      <c r="N2554" s="3147"/>
      <c r="O2554" s="3138">
        <v>2</v>
      </c>
      <c r="P2554" s="3138">
        <v>546.5</v>
      </c>
      <c r="Q2554" s="3138">
        <f t="shared" si="1261"/>
        <v>0.54649999999999999</v>
      </c>
      <c r="R2554" s="3138"/>
      <c r="AB2554" s="3241"/>
      <c r="AC2554" s="3241"/>
      <c r="AD2554" s="3241"/>
    </row>
    <row r="2555" spans="2:30" ht="39" x14ac:dyDescent="0.25">
      <c r="B2555" s="3160" t="s">
        <v>4882</v>
      </c>
      <c r="C2555" s="3160"/>
      <c r="D2555" s="3160"/>
      <c r="E2555" s="3138" t="s">
        <v>4883</v>
      </c>
      <c r="F2555" s="3138" t="s">
        <v>4884</v>
      </c>
      <c r="G2555" s="3137" t="s">
        <v>4885</v>
      </c>
      <c r="H2555" s="3137"/>
      <c r="K2555" s="3137">
        <v>2</v>
      </c>
      <c r="L2555" s="3137"/>
      <c r="M2555" s="3148">
        <v>36.299999999999997</v>
      </c>
      <c r="N2555" s="3147"/>
      <c r="O2555" s="3138">
        <v>3</v>
      </c>
      <c r="P2555" s="3138">
        <v>660</v>
      </c>
      <c r="Q2555" s="3138">
        <f t="shared" si="1261"/>
        <v>0.66</v>
      </c>
      <c r="R2555" s="3138"/>
      <c r="AB2555" s="3241"/>
      <c r="AC2555" s="3241"/>
      <c r="AD2555" s="3241"/>
    </row>
    <row r="2556" spans="2:30" ht="15.75" x14ac:dyDescent="0.25">
      <c r="B2556" s="3159" t="s">
        <v>2472</v>
      </c>
      <c r="C2556" s="3159"/>
      <c r="D2556" s="3159"/>
      <c r="E2556" s="3138">
        <v>138</v>
      </c>
      <c r="F2556" s="3138">
        <v>132</v>
      </c>
      <c r="G2556" s="3137">
        <v>125</v>
      </c>
      <c r="H2556" s="3137"/>
      <c r="K2556" s="3137">
        <v>3</v>
      </c>
      <c r="L2556" s="3137"/>
      <c r="M2556" s="3148">
        <v>31.1</v>
      </c>
      <c r="N2556" s="3147"/>
      <c r="O2556" s="3138">
        <v>4</v>
      </c>
      <c r="P2556" s="3138">
        <v>805</v>
      </c>
      <c r="Q2556" s="3138">
        <f t="shared" si="1261"/>
        <v>0.80500000000000005</v>
      </c>
      <c r="R2556" s="3138"/>
      <c r="AB2556" s="3241"/>
      <c r="AC2556" s="3241"/>
      <c r="AD2556" s="3241"/>
    </row>
    <row r="2557" spans="2:30" ht="15.75" x14ac:dyDescent="0.25">
      <c r="K2557" s="3137">
        <v>4</v>
      </c>
      <c r="L2557" s="3137"/>
      <c r="M2557" s="3148">
        <v>24.9</v>
      </c>
      <c r="N2557" s="3147"/>
      <c r="O2557" s="3138">
        <v>5</v>
      </c>
      <c r="P2557" s="3138">
        <v>1007.5</v>
      </c>
      <c r="Q2557" s="3138">
        <f t="shared" si="1261"/>
        <v>1.0075000000000001</v>
      </c>
      <c r="R2557" s="3138"/>
      <c r="AB2557" s="3241"/>
      <c r="AC2557" s="3241"/>
      <c r="AD2557" s="3241"/>
    </row>
    <row r="2558" spans="2:30" ht="15.75" x14ac:dyDescent="0.25">
      <c r="K2558" s="3137">
        <v>5</v>
      </c>
      <c r="L2558" s="3137"/>
      <c r="M2558" s="3148">
        <v>20.6</v>
      </c>
      <c r="N2558" s="3147"/>
      <c r="O2558" s="3138">
        <v>6</v>
      </c>
      <c r="P2558" s="3138">
        <v>1212.5</v>
      </c>
      <c r="Q2558" s="3138">
        <f t="shared" si="1261"/>
        <v>1.2124999999999999</v>
      </c>
      <c r="R2558" s="3138"/>
      <c r="AB2558" s="3241"/>
      <c r="AC2558" s="3241"/>
      <c r="AD2558" s="3241"/>
    </row>
    <row r="2559" spans="2:30" ht="15.75" x14ac:dyDescent="0.25">
      <c r="H2559" s="3158"/>
      <c r="K2559" s="3137">
        <v>6</v>
      </c>
      <c r="L2559" s="3137"/>
      <c r="M2559" s="3148">
        <v>17.5</v>
      </c>
      <c r="N2559" s="3147"/>
      <c r="O2559" s="3138">
        <v>7</v>
      </c>
      <c r="P2559" s="3138">
        <v>1517.5</v>
      </c>
      <c r="Q2559" s="3138">
        <f t="shared" si="1261"/>
        <v>1.5175000000000001</v>
      </c>
      <c r="R2559" s="3138"/>
      <c r="AB2559" s="3241"/>
      <c r="AC2559" s="3241"/>
      <c r="AD2559" s="3241"/>
    </row>
    <row r="2560" spans="2:30" ht="15.75" x14ac:dyDescent="0.25">
      <c r="P2560" s="3128" t="s">
        <v>4075</v>
      </c>
      <c r="Q2560" s="3128" t="s">
        <v>4076</v>
      </c>
      <c r="AB2560" s="3241"/>
      <c r="AC2560" s="3241"/>
      <c r="AD2560" s="3241"/>
    </row>
    <row r="2561" spans="2:30" ht="15.75" x14ac:dyDescent="0.25">
      <c r="D2561" s="3146" t="s">
        <v>2469</v>
      </c>
      <c r="E2561" s="3146"/>
      <c r="AB2561" s="3241"/>
      <c r="AC2561" s="3241"/>
      <c r="AD2561" s="3241"/>
    </row>
    <row r="2562" spans="2:30" ht="15.75" x14ac:dyDescent="0.25">
      <c r="B2562" s="3157" t="s">
        <v>2474</v>
      </c>
      <c r="C2562" s="3157"/>
      <c r="D2562" s="3157"/>
      <c r="E2562" s="3157"/>
      <c r="F2562" s="3157"/>
      <c r="L2562" s="3237" t="s">
        <v>4081</v>
      </c>
      <c r="M2562" s="3270"/>
      <c r="N2562" s="3270"/>
      <c r="O2562" s="3270"/>
      <c r="P2562" s="3270"/>
      <c r="Q2562" s="3270"/>
      <c r="R2562" s="3270"/>
      <c r="AB2562" s="3241"/>
      <c r="AC2562" s="3241"/>
      <c r="AD2562" s="3241"/>
    </row>
    <row r="2563" spans="2:30" ht="15.75" x14ac:dyDescent="0.25">
      <c r="B2563" s="3156" t="s">
        <v>5333</v>
      </c>
      <c r="C2563" s="3156"/>
      <c r="D2563" s="3156"/>
      <c r="E2563" s="3155"/>
      <c r="L2563" s="3269" t="s">
        <v>4254</v>
      </c>
      <c r="M2563" s="3267"/>
      <c r="N2563" s="3267"/>
      <c r="O2563" s="3268" t="s">
        <v>4170</v>
      </c>
      <c r="P2563" s="3268" t="s">
        <v>1232</v>
      </c>
      <c r="Q2563" s="3267" t="s">
        <v>1233</v>
      </c>
      <c r="R2563" s="3267"/>
      <c r="AB2563" s="3241"/>
      <c r="AC2563" s="3241"/>
      <c r="AD2563" s="3241"/>
    </row>
    <row r="2564" spans="2:30" ht="39" x14ac:dyDescent="0.25">
      <c r="B2564" s="3154" t="s">
        <v>4254</v>
      </c>
      <c r="C2564" s="3153"/>
      <c r="D2564" s="3150" t="s">
        <v>4255</v>
      </c>
      <c r="E2564" s="3150"/>
      <c r="F2564" s="3150" t="s">
        <v>2490</v>
      </c>
      <c r="L2564" s="3266" t="s">
        <v>2472</v>
      </c>
      <c r="M2564" s="3137"/>
      <c r="N2564" s="3137"/>
      <c r="O2564" s="3138">
        <v>138</v>
      </c>
      <c r="P2564" s="3138">
        <v>132</v>
      </c>
      <c r="Q2564" s="3137">
        <v>125</v>
      </c>
      <c r="R2564" s="3137"/>
      <c r="AB2564" s="3241"/>
      <c r="AC2564" s="3241"/>
      <c r="AD2564" s="3241"/>
    </row>
    <row r="2565" spans="2:30" ht="15.75" x14ac:dyDescent="0.25">
      <c r="B2565" s="3152"/>
      <c r="C2565" s="3151"/>
      <c r="D2565" s="3150" t="s">
        <v>4063</v>
      </c>
      <c r="E2565" s="3150" t="s">
        <v>4064</v>
      </c>
      <c r="F2565" s="3150"/>
      <c r="AB2565" s="3241"/>
      <c r="AC2565" s="3241"/>
      <c r="AD2565" s="3241"/>
    </row>
    <row r="2566" spans="2:30" ht="15.75" x14ac:dyDescent="0.25">
      <c r="B2566" s="3148" t="s">
        <v>4067</v>
      </c>
      <c r="C2566" s="3147"/>
      <c r="D2566" s="3138">
        <v>110</v>
      </c>
      <c r="E2566" s="3138">
        <v>90</v>
      </c>
      <c r="F2566" s="3138">
        <v>1</v>
      </c>
      <c r="AB2566" s="3241"/>
      <c r="AC2566" s="3241"/>
      <c r="AD2566" s="3241"/>
    </row>
    <row r="2567" spans="2:30" ht="15.75" x14ac:dyDescent="0.25">
      <c r="B2567" s="3148" t="s">
        <v>4069</v>
      </c>
      <c r="C2567" s="3147"/>
      <c r="D2567" s="3138">
        <v>104</v>
      </c>
      <c r="E2567" s="3138">
        <v>85</v>
      </c>
      <c r="F2567" s="3138">
        <v>2</v>
      </c>
      <c r="AB2567" s="3241"/>
      <c r="AC2567" s="3241"/>
      <c r="AD2567" s="3241"/>
    </row>
    <row r="2568" spans="2:30" ht="15.75" x14ac:dyDescent="0.25">
      <c r="B2568" s="3148" t="s">
        <v>4072</v>
      </c>
      <c r="C2568" s="3147"/>
      <c r="D2568" s="3138">
        <v>99</v>
      </c>
      <c r="E2568" s="3138">
        <v>82</v>
      </c>
      <c r="F2568" s="3138">
        <v>3</v>
      </c>
      <c r="AB2568" s="3241"/>
      <c r="AC2568" s="3241"/>
      <c r="AD2568" s="3241"/>
    </row>
    <row r="2569" spans="2:30" ht="15.75" x14ac:dyDescent="0.25">
      <c r="B2569" s="3148" t="s">
        <v>4073</v>
      </c>
      <c r="C2569" s="3147"/>
      <c r="D2569" s="3138">
        <v>93</v>
      </c>
      <c r="E2569" s="3138">
        <v>77</v>
      </c>
      <c r="F2569" s="3138">
        <v>4</v>
      </c>
      <c r="AB2569" s="3241"/>
      <c r="AC2569" s="3241"/>
      <c r="AD2569" s="3241"/>
    </row>
    <row r="2570" spans="2:30" ht="15.75" x14ac:dyDescent="0.25">
      <c r="B2570" s="3148" t="s">
        <v>4077</v>
      </c>
      <c r="C2570" s="3147"/>
      <c r="D2570" s="3138">
        <v>89</v>
      </c>
      <c r="E2570" s="3138">
        <v>74</v>
      </c>
      <c r="F2570" s="3138">
        <v>5</v>
      </c>
      <c r="AB2570" s="3241"/>
      <c r="AC2570" s="3241"/>
      <c r="AD2570" s="3241"/>
    </row>
    <row r="2571" spans="2:30" ht="15.75" x14ac:dyDescent="0.25">
      <c r="B2571" s="3148" t="s">
        <v>4079</v>
      </c>
      <c r="C2571" s="3147"/>
      <c r="D2571" s="3138">
        <v>85</v>
      </c>
      <c r="E2571" s="3138">
        <v>69</v>
      </c>
      <c r="F2571" s="3138">
        <v>6</v>
      </c>
      <c r="AB2571" s="3241"/>
      <c r="AC2571" s="3241"/>
      <c r="AD2571" s="3241"/>
    </row>
    <row r="2572" spans="2:30" ht="15.75" x14ac:dyDescent="0.25">
      <c r="B2572" s="3148" t="s">
        <v>4082</v>
      </c>
      <c r="C2572" s="3147"/>
      <c r="D2572" s="3138">
        <v>78</v>
      </c>
      <c r="E2572" s="3138">
        <v>62</v>
      </c>
      <c r="F2572" s="3138">
        <v>7</v>
      </c>
      <c r="AB2572" s="3241"/>
      <c r="AC2572" s="3241"/>
      <c r="AD2572" s="3241"/>
    </row>
    <row r="2573" spans="2:30" ht="15.75" x14ac:dyDescent="0.25">
      <c r="B2573" s="3148" t="s">
        <v>4087</v>
      </c>
      <c r="C2573" s="3147"/>
      <c r="D2573" s="3138">
        <v>73</v>
      </c>
      <c r="E2573" s="3138">
        <v>58</v>
      </c>
      <c r="F2573" s="3138">
        <v>8</v>
      </c>
      <c r="AB2573" s="3241"/>
      <c r="AC2573" s="3241"/>
      <c r="AD2573" s="3241"/>
    </row>
    <row r="2574" spans="2:30" ht="15.75" x14ac:dyDescent="0.25">
      <c r="B2574" s="3148" t="s">
        <v>4879</v>
      </c>
      <c r="C2574" s="3147"/>
      <c r="D2574" s="3138">
        <v>67</v>
      </c>
      <c r="E2574" s="3138">
        <v>53</v>
      </c>
      <c r="F2574" s="3138">
        <v>9</v>
      </c>
      <c r="AB2574" s="3241"/>
      <c r="AC2574" s="3241"/>
      <c r="AD2574" s="3241"/>
    </row>
    <row r="2575" spans="2:30" ht="15.75" x14ac:dyDescent="0.25">
      <c r="B2575" s="3148" t="s">
        <v>4886</v>
      </c>
      <c r="C2575" s="3147"/>
      <c r="D2575" s="3138">
        <v>58</v>
      </c>
      <c r="E2575" s="3138">
        <v>46</v>
      </c>
      <c r="F2575" s="3138">
        <v>10</v>
      </c>
      <c r="AB2575" s="3241"/>
      <c r="AC2575" s="3241"/>
      <c r="AD2575" s="3241"/>
    </row>
    <row r="2576" spans="2:30" ht="15.75" x14ac:dyDescent="0.25">
      <c r="B2576" s="3148" t="s">
        <v>4889</v>
      </c>
      <c r="C2576" s="3147"/>
      <c r="D2576" s="3138">
        <v>51</v>
      </c>
      <c r="E2576" s="3138">
        <v>41</v>
      </c>
      <c r="F2576" s="3138">
        <v>11</v>
      </c>
      <c r="AB2576" s="3241"/>
      <c r="AC2576" s="3241"/>
      <c r="AD2576" s="3241"/>
    </row>
    <row r="2577" spans="2:30" ht="15.75" x14ac:dyDescent="0.25">
      <c r="B2577" s="3148" t="s">
        <v>4890</v>
      </c>
      <c r="C2577" s="3147"/>
      <c r="D2577" s="3138">
        <v>47</v>
      </c>
      <c r="E2577" s="3138">
        <v>37</v>
      </c>
      <c r="F2577" s="3138">
        <v>12</v>
      </c>
      <c r="AB2577" s="3241"/>
      <c r="AC2577" s="3241"/>
      <c r="AD2577" s="3241"/>
    </row>
    <row r="2578" spans="2:30" ht="15.75" x14ac:dyDescent="0.25">
      <c r="B2578" s="3148" t="s">
        <v>4891</v>
      </c>
      <c r="C2578" s="3147"/>
      <c r="D2578" s="3138">
        <v>43</v>
      </c>
      <c r="E2578" s="3138">
        <v>34</v>
      </c>
      <c r="F2578" s="3138">
        <v>13</v>
      </c>
      <c r="AB2578" s="3241"/>
      <c r="AC2578" s="3241"/>
      <c r="AD2578" s="3241"/>
    </row>
    <row r="2579" spans="2:30" ht="15.75" x14ac:dyDescent="0.25">
      <c r="B2579" s="3148" t="s">
        <v>3354</v>
      </c>
      <c r="C2579" s="3147"/>
      <c r="D2579" s="3138">
        <v>39</v>
      </c>
      <c r="E2579" s="3138">
        <v>31</v>
      </c>
      <c r="F2579" s="3138">
        <v>14</v>
      </c>
      <c r="AB2579" s="3241"/>
      <c r="AC2579" s="3241"/>
      <c r="AD2579" s="3241"/>
    </row>
    <row r="2580" spans="2:30" ht="15.75" x14ac:dyDescent="0.25">
      <c r="B2580" s="3148" t="s">
        <v>3357</v>
      </c>
      <c r="C2580" s="3147"/>
      <c r="D2580" s="3138">
        <v>36</v>
      </c>
      <c r="E2580" s="3138">
        <v>28</v>
      </c>
      <c r="F2580" s="3138">
        <v>15</v>
      </c>
      <c r="AB2580" s="3241"/>
      <c r="AC2580" s="3241"/>
      <c r="AD2580" s="3241"/>
    </row>
    <row r="2581" spans="2:30" ht="15.75" x14ac:dyDescent="0.25">
      <c r="B2581" s="3148" t="s">
        <v>3360</v>
      </c>
      <c r="C2581" s="3147"/>
      <c r="D2581" s="3138">
        <v>33</v>
      </c>
      <c r="E2581" s="3138">
        <v>26</v>
      </c>
      <c r="F2581" s="3138">
        <v>16</v>
      </c>
      <c r="AB2581" s="3241"/>
      <c r="AC2581" s="3241"/>
      <c r="AD2581" s="3241"/>
    </row>
    <row r="2582" spans="2:30" ht="15.75" x14ac:dyDescent="0.25">
      <c r="B2582" s="3148" t="s">
        <v>3362</v>
      </c>
      <c r="C2582" s="3147"/>
      <c r="D2582" s="3138">
        <v>31</v>
      </c>
      <c r="E2582" s="3138">
        <v>25</v>
      </c>
      <c r="F2582" s="3138">
        <v>17</v>
      </c>
      <c r="AB2582" s="3241"/>
      <c r="AC2582" s="3241"/>
      <c r="AD2582" s="3241"/>
    </row>
    <row r="2583" spans="2:30" ht="15.75" x14ac:dyDescent="0.25">
      <c r="B2583" s="3148" t="s">
        <v>3363</v>
      </c>
      <c r="C2583" s="3147"/>
      <c r="D2583" s="3138">
        <v>30</v>
      </c>
      <c r="E2583" s="3138">
        <v>23</v>
      </c>
      <c r="F2583" s="3138">
        <v>18</v>
      </c>
      <c r="AB2583" s="3241"/>
      <c r="AC2583" s="3241"/>
      <c r="AD2583" s="3241"/>
    </row>
    <row r="2584" spans="2:30" ht="15.75" x14ac:dyDescent="0.25">
      <c r="B2584" s="3137" t="s">
        <v>3364</v>
      </c>
      <c r="C2584" s="3137"/>
      <c r="D2584" s="3138">
        <v>28</v>
      </c>
      <c r="E2584" s="3138">
        <v>22</v>
      </c>
      <c r="F2584" s="3138">
        <v>19</v>
      </c>
      <c r="AB2584" s="3241"/>
      <c r="AC2584" s="3241"/>
      <c r="AD2584" s="3241"/>
    </row>
    <row r="2585" spans="2:30" ht="15.75" x14ac:dyDescent="0.25">
      <c r="AB2585" s="3241"/>
      <c r="AC2585" s="3241"/>
      <c r="AD2585" s="3241"/>
    </row>
    <row r="2586" spans="2:30" ht="15.75" x14ac:dyDescent="0.25">
      <c r="AB2586" s="3241"/>
      <c r="AC2586" s="3241"/>
      <c r="AD2586" s="3241"/>
    </row>
    <row r="2587" spans="2:30" ht="16.5" thickBot="1" x14ac:dyDescent="0.3">
      <c r="AB2587" s="3241"/>
      <c r="AC2587" s="3241"/>
      <c r="AD2587" s="3241"/>
    </row>
    <row r="2588" spans="2:30" ht="15.75" x14ac:dyDescent="0.25">
      <c r="C2588" s="3255" t="s">
        <v>5857</v>
      </c>
      <c r="D2588" s="3265"/>
      <c r="E2588" s="3265"/>
      <c r="F2588" s="3265"/>
      <c r="G2588" s="3264"/>
      <c r="Q2588" s="3146" t="s">
        <v>5804</v>
      </c>
      <c r="R2588" s="3146"/>
      <c r="AB2588" s="3241"/>
      <c r="AC2588" s="3241"/>
      <c r="AD2588" s="3241"/>
    </row>
    <row r="2589" spans="2:30" ht="15.75" x14ac:dyDescent="0.25">
      <c r="C2589" s="3252" t="s">
        <v>5856</v>
      </c>
      <c r="D2589" s="3137"/>
      <c r="E2589" s="3137" t="s">
        <v>4254</v>
      </c>
      <c r="F2589" s="3137"/>
      <c r="G2589" s="3251"/>
      <c r="H2589" s="3263"/>
      <c r="K2589" s="3262" t="s">
        <v>5803</v>
      </c>
      <c r="L2589" s="3144"/>
      <c r="M2589" s="3144"/>
      <c r="N2589" s="3144"/>
      <c r="O2589" s="3144"/>
      <c r="P2589" s="3144"/>
      <c r="Q2589" s="3144"/>
      <c r="R2589" s="3144"/>
      <c r="S2589" s="3143"/>
      <c r="AB2589" s="3241"/>
      <c r="AC2589" s="3241"/>
      <c r="AD2589" s="3241"/>
    </row>
    <row r="2590" spans="2:30" ht="15.75" x14ac:dyDescent="0.25">
      <c r="C2590" s="3250"/>
      <c r="D2590" s="3137"/>
      <c r="E2590" s="3138" t="s">
        <v>5855</v>
      </c>
      <c r="F2590" s="3137" t="s">
        <v>5854</v>
      </c>
      <c r="G2590" s="3251"/>
      <c r="H2590" s="3261"/>
      <c r="K2590" s="3142" t="s">
        <v>5802</v>
      </c>
      <c r="L2590" s="3142"/>
      <c r="M2590" s="3142"/>
      <c r="N2590" s="3142"/>
      <c r="O2590" s="3142"/>
      <c r="P2590" s="3142"/>
      <c r="Q2590" s="3142"/>
      <c r="R2590" s="3141"/>
      <c r="S2590" s="3141"/>
      <c r="AB2590" s="3241"/>
      <c r="AC2590" s="3241"/>
      <c r="AD2590" s="3241"/>
    </row>
    <row r="2591" spans="2:30" ht="16.5" thickBot="1" x14ac:dyDescent="0.3">
      <c r="C2591" s="3260" t="s">
        <v>5853</v>
      </c>
      <c r="D2591" s="3246"/>
      <c r="E2591" s="3259">
        <v>196</v>
      </c>
      <c r="F2591" s="3258">
        <v>223</v>
      </c>
      <c r="G2591" s="3257"/>
      <c r="K2591" s="3256" t="s">
        <v>5801</v>
      </c>
      <c r="L2591" s="3140"/>
      <c r="M2591" s="3140"/>
      <c r="N2591" s="3140"/>
      <c r="O2591" s="3140"/>
      <c r="P2591" s="3140"/>
      <c r="Q2591" s="3140"/>
      <c r="R2591" s="3140"/>
      <c r="S2591" s="3140"/>
      <c r="AB2591" s="3241"/>
      <c r="AC2591" s="3241"/>
      <c r="AD2591" s="3241"/>
    </row>
    <row r="2592" spans="2:30" ht="16.5" thickBot="1" x14ac:dyDescent="0.3">
      <c r="K2592" s="3139" t="s">
        <v>5800</v>
      </c>
      <c r="L2592" s="3138" t="s">
        <v>5799</v>
      </c>
      <c r="M2592" s="3138" t="s">
        <v>5798</v>
      </c>
      <c r="N2592" s="3138" t="s">
        <v>5797</v>
      </c>
      <c r="O2592" s="3138" t="s">
        <v>5796</v>
      </c>
      <c r="P2592" s="3138" t="s">
        <v>5795</v>
      </c>
      <c r="Q2592" s="3138" t="s">
        <v>5794</v>
      </c>
      <c r="R2592" s="3137" t="s">
        <v>5793</v>
      </c>
      <c r="S2592" s="3137"/>
      <c r="AB2592" s="3241"/>
      <c r="AC2592" s="3241"/>
      <c r="AD2592" s="3241"/>
    </row>
    <row r="2593" spans="1:30" ht="15.75" x14ac:dyDescent="0.25">
      <c r="C2593" s="3255" t="s">
        <v>5852</v>
      </c>
      <c r="D2593" s="3254"/>
      <c r="E2593" s="3254"/>
      <c r="F2593" s="3254"/>
      <c r="G2593" s="3254"/>
      <c r="H2593" s="3253"/>
      <c r="K2593" s="3138">
        <v>3.24</v>
      </c>
      <c r="L2593" s="3138">
        <v>2.83</v>
      </c>
      <c r="M2593" s="3138">
        <v>2.52</v>
      </c>
      <c r="N2593" s="3138">
        <v>2.2400000000000002</v>
      </c>
      <c r="O2593" s="3138">
        <v>2.0299999999999998</v>
      </c>
      <c r="P2593" s="3138">
        <v>1.87</v>
      </c>
      <c r="Q2593" s="3138">
        <v>1.72</v>
      </c>
      <c r="R2593" s="3137">
        <v>1.6</v>
      </c>
      <c r="S2593" s="3137"/>
      <c r="AB2593" s="3241"/>
      <c r="AC2593" s="3241"/>
      <c r="AD2593" s="3241"/>
    </row>
    <row r="2594" spans="1:30" ht="15.75" x14ac:dyDescent="0.25">
      <c r="C2594" s="3252" t="s">
        <v>5851</v>
      </c>
      <c r="D2594" s="3137"/>
      <c r="E2594" s="3137"/>
      <c r="F2594" s="3137" t="s">
        <v>5850</v>
      </c>
      <c r="G2594" s="3137"/>
      <c r="H2594" s="3251"/>
      <c r="AB2594" s="3241"/>
      <c r="AC2594" s="3241"/>
      <c r="AD2594" s="3241"/>
    </row>
    <row r="2595" spans="1:30" ht="15.75" x14ac:dyDescent="0.25">
      <c r="C2595" s="3250"/>
      <c r="D2595" s="3137"/>
      <c r="E2595" s="3137"/>
      <c r="F2595" s="3137" t="s">
        <v>5849</v>
      </c>
      <c r="G2595" s="3137"/>
      <c r="H2595" s="3249" t="s">
        <v>5848</v>
      </c>
      <c r="AB2595" s="3241"/>
      <c r="AC2595" s="3241"/>
      <c r="AD2595" s="3241"/>
    </row>
    <row r="2596" spans="1:30" ht="52.5" thickBot="1" x14ac:dyDescent="0.3">
      <c r="C2596" s="3248" t="s">
        <v>5847</v>
      </c>
      <c r="D2596" s="3247"/>
      <c r="E2596" s="3247"/>
      <c r="F2596" s="3246">
        <v>5.91</v>
      </c>
      <c r="G2596" s="3246"/>
      <c r="H2596" s="3245">
        <v>7.24</v>
      </c>
      <c r="AB2596" s="3241"/>
      <c r="AC2596" s="3241"/>
      <c r="AD2596" s="3241"/>
    </row>
    <row r="2597" spans="1:30" ht="15.75" x14ac:dyDescent="0.25">
      <c r="A2597" s="3241"/>
      <c r="B2597" s="3241"/>
      <c r="C2597" s="3241"/>
      <c r="D2597" s="3241"/>
      <c r="E2597" s="3241"/>
      <c r="F2597" s="3241"/>
      <c r="G2597" s="3241"/>
      <c r="H2597" s="3241"/>
      <c r="I2597" s="3241"/>
      <c r="J2597" s="3241"/>
      <c r="K2597" s="3241"/>
      <c r="L2597" s="3241"/>
      <c r="M2597" s="3241"/>
      <c r="N2597" s="3241"/>
      <c r="O2597" s="3241"/>
      <c r="P2597" s="3241"/>
      <c r="Q2597" s="3241"/>
      <c r="R2597" s="3241"/>
      <c r="S2597" s="3241"/>
      <c r="T2597" s="3241"/>
      <c r="U2597" s="3241"/>
      <c r="V2597" s="3241"/>
      <c r="W2597" s="3241"/>
      <c r="X2597" s="3241"/>
      <c r="Y2597" s="3241"/>
      <c r="Z2597" s="3241"/>
      <c r="AA2597" s="3241"/>
      <c r="AB2597" s="3241"/>
      <c r="AC2597" s="3241"/>
      <c r="AD2597" s="3241"/>
    </row>
    <row r="2598" spans="1:30" ht="31.5" x14ac:dyDescent="0.25">
      <c r="A2598" s="3241"/>
      <c r="B2598" s="3244" t="s">
        <v>5846</v>
      </c>
      <c r="C2598" s="3241"/>
      <c r="D2598" s="3241"/>
      <c r="E2598" s="3241"/>
      <c r="F2598" s="3241"/>
      <c r="G2598" s="3241"/>
      <c r="H2598" s="3241"/>
      <c r="I2598" s="3241"/>
      <c r="J2598" s="3241"/>
      <c r="K2598" s="3241"/>
      <c r="L2598" s="3241"/>
      <c r="M2598" s="3241"/>
      <c r="N2598" s="3241"/>
      <c r="O2598" s="3241"/>
      <c r="P2598" s="3241"/>
      <c r="Q2598" s="3241"/>
      <c r="R2598" s="3241"/>
      <c r="S2598" s="3241"/>
      <c r="T2598" s="3241"/>
      <c r="U2598" s="3241"/>
      <c r="V2598" s="3241"/>
      <c r="W2598" s="3241"/>
      <c r="X2598" s="3241"/>
      <c r="Y2598" s="3241"/>
      <c r="Z2598" s="3241"/>
      <c r="AA2598" s="3241"/>
      <c r="AB2598" s="3241"/>
      <c r="AC2598" s="3241"/>
      <c r="AD2598" s="3241"/>
    </row>
    <row r="2599" spans="1:30" ht="15.75" x14ac:dyDescent="0.25">
      <c r="A2599" s="4792" t="s">
        <v>5845</v>
      </c>
      <c r="B2599" s="4792"/>
      <c r="C2599" s="3242" t="s">
        <v>2491</v>
      </c>
      <c r="D2599" s="3242" t="s">
        <v>2492</v>
      </c>
      <c r="E2599" s="3241"/>
      <c r="F2599" s="3241"/>
      <c r="G2599" s="3241"/>
      <c r="H2599" s="3241"/>
      <c r="I2599" s="3241"/>
      <c r="J2599" s="3241"/>
      <c r="K2599" s="3241"/>
      <c r="L2599" s="3241"/>
      <c r="M2599" s="3241"/>
      <c r="N2599" s="3241"/>
      <c r="O2599" s="3241"/>
      <c r="P2599" s="3241"/>
      <c r="Q2599" s="3241"/>
      <c r="R2599" s="3241"/>
      <c r="S2599" s="3241"/>
      <c r="T2599" s="3241"/>
      <c r="U2599" s="3241"/>
      <c r="V2599" s="3241"/>
      <c r="W2599" s="3241"/>
      <c r="X2599" s="3241"/>
      <c r="Y2599" s="3241"/>
      <c r="Z2599" s="3241"/>
      <c r="AA2599" s="3241"/>
      <c r="AB2599" s="3241"/>
      <c r="AC2599" s="3241"/>
      <c r="AD2599" s="3241"/>
    </row>
    <row r="2600" spans="1:30" ht="15.75" x14ac:dyDescent="0.25">
      <c r="A2600" s="3243" t="s">
        <v>2776</v>
      </c>
      <c r="B2600" s="3243">
        <v>370</v>
      </c>
      <c r="C2600" s="3242">
        <v>1.4</v>
      </c>
      <c r="D2600" s="3242">
        <v>2.5</v>
      </c>
      <c r="E2600" s="3241"/>
      <c r="F2600" s="3241"/>
      <c r="G2600" s="3241"/>
      <c r="H2600" s="3241"/>
      <c r="I2600" s="3241"/>
      <c r="J2600" s="3241"/>
      <c r="K2600" s="3241"/>
      <c r="L2600" s="3241"/>
      <c r="M2600" s="3241"/>
      <c r="N2600" s="3241"/>
      <c r="O2600" s="3241"/>
      <c r="P2600" s="3241"/>
      <c r="Q2600" s="3241"/>
      <c r="R2600" s="3241"/>
      <c r="S2600" s="3241"/>
      <c r="T2600" s="3241"/>
      <c r="U2600" s="3241"/>
      <c r="V2600" s="3241"/>
      <c r="W2600" s="3241"/>
      <c r="X2600" s="3241"/>
      <c r="Y2600" s="3241"/>
      <c r="Z2600" s="3241"/>
      <c r="AA2600" s="3241"/>
      <c r="AB2600" s="3241"/>
      <c r="AC2600" s="3241"/>
      <c r="AD2600" s="3241"/>
    </row>
    <row r="2601" spans="1:30" ht="15.75" x14ac:dyDescent="0.25">
      <c r="A2601" s="3243" t="s">
        <v>3482</v>
      </c>
      <c r="B2601" s="3243">
        <v>200</v>
      </c>
      <c r="C2601" s="3242">
        <v>1.1000000000000001</v>
      </c>
      <c r="D2601" s="3242">
        <v>4.5</v>
      </c>
      <c r="E2601" s="3241"/>
      <c r="F2601" s="3241"/>
      <c r="G2601" s="3241"/>
      <c r="H2601" s="3241"/>
      <c r="I2601" s="3241"/>
      <c r="J2601" s="3241"/>
      <c r="K2601" s="3241"/>
      <c r="L2601" s="3241"/>
      <c r="M2601" s="3241"/>
      <c r="N2601" s="3241"/>
      <c r="O2601" s="3241"/>
      <c r="P2601" s="3241"/>
      <c r="Q2601" s="3241"/>
      <c r="R2601" s="3241"/>
      <c r="S2601" s="3241"/>
      <c r="T2601" s="3241"/>
      <c r="U2601" s="3241"/>
      <c r="V2601" s="3241"/>
      <c r="W2601" s="3241"/>
      <c r="X2601" s="3241"/>
      <c r="Y2601" s="3241"/>
      <c r="Z2601" s="3241"/>
      <c r="AA2601" s="3241"/>
      <c r="AB2601" s="3241"/>
      <c r="AC2601" s="3241"/>
      <c r="AD2601" s="3241"/>
    </row>
    <row r="2602" spans="1:30" ht="15.75" x14ac:dyDescent="0.25">
      <c r="A2602" s="3243" t="s">
        <v>658</v>
      </c>
      <c r="B2602" s="3243">
        <v>400</v>
      </c>
      <c r="C2602" s="3242">
        <v>1.1000000000000001</v>
      </c>
      <c r="D2602" s="3242">
        <v>4.5</v>
      </c>
      <c r="E2602" s="3241"/>
      <c r="F2602" s="3241"/>
      <c r="G2602" s="3241"/>
      <c r="H2602" s="3241"/>
      <c r="I2602" s="3241"/>
      <c r="J2602" s="3241"/>
      <c r="K2602" s="3241"/>
      <c r="L2602" s="3241"/>
      <c r="M2602" s="3241"/>
      <c r="N2602" s="3241"/>
      <c r="O2602" s="3241"/>
      <c r="P2602" s="3241"/>
      <c r="Q2602" s="3241"/>
      <c r="R2602" s="3241"/>
      <c r="S2602" s="3241"/>
      <c r="T2602" s="3241"/>
      <c r="U2602" s="3241"/>
      <c r="V2602" s="3241"/>
      <c r="W2602" s="3241"/>
      <c r="X2602" s="3241"/>
      <c r="Y2602" s="3241"/>
      <c r="Z2602" s="3241"/>
      <c r="AA2602" s="3241"/>
      <c r="AB2602" s="3241"/>
      <c r="AC2602" s="3241"/>
      <c r="AD2602" s="3241"/>
    </row>
    <row r="2603" spans="1:30" ht="15.75" x14ac:dyDescent="0.25">
      <c r="A2603" s="3243" t="s">
        <v>5844</v>
      </c>
      <c r="B2603" s="3243">
        <v>400</v>
      </c>
      <c r="C2603" s="3242">
        <v>1.1000000000000001</v>
      </c>
      <c r="D2603" s="3242">
        <v>4.5</v>
      </c>
      <c r="E2603" s="3241"/>
      <c r="F2603" s="3241"/>
      <c r="G2603" s="3241"/>
      <c r="H2603" s="3241"/>
      <c r="I2603" s="3241"/>
      <c r="J2603" s="3241"/>
      <c r="K2603" s="3241"/>
      <c r="L2603" s="3241"/>
      <c r="M2603" s="3241"/>
      <c r="N2603" s="3241"/>
      <c r="O2603" s="3241"/>
      <c r="P2603" s="3241"/>
      <c r="Q2603" s="3241"/>
      <c r="R2603" s="3241"/>
      <c r="S2603" s="3241"/>
      <c r="T2603" s="3241"/>
      <c r="U2603" s="3241"/>
      <c r="V2603" s="3241"/>
      <c r="W2603" s="3241"/>
      <c r="X2603" s="3241"/>
      <c r="Y2603" s="3241"/>
      <c r="Z2603" s="3241"/>
      <c r="AA2603" s="3241"/>
      <c r="AB2603" s="3241"/>
      <c r="AC2603" s="3241"/>
      <c r="AD2603" s="3241"/>
    </row>
    <row r="2604" spans="1:30" ht="15.75" x14ac:dyDescent="0.25">
      <c r="A2604" s="3243" t="s">
        <v>3483</v>
      </c>
      <c r="B2604" s="3243">
        <v>370</v>
      </c>
      <c r="C2604" s="3242">
        <v>1.3</v>
      </c>
      <c r="D2604" s="3242">
        <v>2.5</v>
      </c>
      <c r="E2604" s="3241"/>
      <c r="F2604" s="3241"/>
      <c r="G2604" s="3241"/>
      <c r="H2604" s="3241"/>
      <c r="I2604" s="3241"/>
      <c r="J2604" s="3241"/>
      <c r="K2604" s="3241"/>
      <c r="L2604" s="3241"/>
      <c r="M2604" s="3241"/>
      <c r="N2604" s="3241"/>
      <c r="O2604" s="3241"/>
      <c r="P2604" s="3241"/>
      <c r="Q2604" s="3241"/>
      <c r="R2604" s="3241"/>
      <c r="S2604" s="3241"/>
      <c r="T2604" s="3241"/>
      <c r="U2604" s="3241"/>
      <c r="V2604" s="3241"/>
      <c r="W2604" s="3241"/>
      <c r="X2604" s="3241"/>
      <c r="Y2604" s="3241"/>
      <c r="Z2604" s="3241"/>
      <c r="AA2604" s="3241"/>
      <c r="AB2604" s="3241"/>
      <c r="AC2604" s="3241"/>
      <c r="AD2604" s="3241"/>
    </row>
    <row r="2605" spans="1:30" ht="15.75" x14ac:dyDescent="0.25">
      <c r="A2605" s="3243" t="s">
        <v>5843</v>
      </c>
      <c r="B2605" s="3243">
        <v>370</v>
      </c>
      <c r="C2605" s="3242">
        <v>1.3</v>
      </c>
      <c r="D2605" s="3242">
        <v>1.95</v>
      </c>
      <c r="E2605" s="3241"/>
      <c r="F2605" s="3241"/>
      <c r="G2605" s="3241"/>
      <c r="H2605" s="3241"/>
      <c r="I2605" s="3241"/>
      <c r="J2605" s="3241"/>
      <c r="K2605" s="3241"/>
      <c r="L2605" s="3241"/>
      <c r="M2605" s="3241"/>
      <c r="N2605" s="3241"/>
      <c r="O2605" s="3241"/>
      <c r="P2605" s="3241"/>
      <c r="Q2605" s="3241"/>
      <c r="R2605" s="3241"/>
      <c r="S2605" s="3241"/>
      <c r="T2605" s="3241"/>
      <c r="U2605" s="3241"/>
      <c r="V2605" s="3241"/>
      <c r="W2605" s="3241"/>
      <c r="X2605" s="3241"/>
      <c r="Y2605" s="3241"/>
      <c r="Z2605" s="3241"/>
      <c r="AA2605" s="3241"/>
      <c r="AB2605" s="3241"/>
      <c r="AC2605" s="3241"/>
      <c r="AD2605" s="3241"/>
    </row>
    <row r="2606" spans="1:30" ht="15.75" x14ac:dyDescent="0.25">
      <c r="A2606" s="3243" t="s">
        <v>5842</v>
      </c>
      <c r="B2606" s="3243">
        <v>290</v>
      </c>
      <c r="C2606" s="3242">
        <v>0.6</v>
      </c>
      <c r="D2606" s="3242">
        <v>1.2</v>
      </c>
      <c r="E2606" s="3241"/>
      <c r="F2606" s="3241"/>
      <c r="G2606" s="3241"/>
      <c r="H2606" s="3241"/>
      <c r="I2606" s="3241"/>
      <c r="J2606" s="3241"/>
      <c r="K2606" s="3241"/>
      <c r="L2606" s="3241"/>
      <c r="M2606" s="3241"/>
      <c r="N2606" s="3241"/>
      <c r="O2606" s="3241"/>
      <c r="P2606" s="3241"/>
      <c r="Q2606" s="3241"/>
      <c r="R2606" s="3241"/>
      <c r="S2606" s="3241"/>
      <c r="T2606" s="3241"/>
      <c r="U2606" s="3241"/>
      <c r="V2606" s="3241"/>
      <c r="W2606" s="3241"/>
      <c r="X2606" s="3241"/>
      <c r="Y2606" s="3241"/>
      <c r="Z2606" s="3241"/>
      <c r="AA2606" s="3241"/>
      <c r="AB2606" s="3241"/>
      <c r="AC2606" s="3241"/>
      <c r="AD2606" s="3241"/>
    </row>
    <row r="2607" spans="1:30" ht="15.75" x14ac:dyDescent="0.25">
      <c r="A2607" s="3243" t="s">
        <v>3478</v>
      </c>
      <c r="B2607" s="3243">
        <v>290</v>
      </c>
      <c r="C2607" s="3242">
        <v>0.85</v>
      </c>
      <c r="D2607" s="3242">
        <v>1.2</v>
      </c>
      <c r="E2607" s="3241"/>
      <c r="F2607" s="3241"/>
      <c r="G2607" s="3241"/>
      <c r="H2607" s="3241"/>
      <c r="I2607" s="3241"/>
      <c r="J2607" s="3241"/>
      <c r="K2607" s="3241"/>
      <c r="L2607" s="3241"/>
      <c r="M2607" s="3241"/>
      <c r="N2607" s="3241"/>
      <c r="O2607" s="3241"/>
      <c r="P2607" s="3241"/>
      <c r="Q2607" s="3241"/>
      <c r="R2607" s="3241"/>
      <c r="S2607" s="3241"/>
      <c r="T2607" s="3241"/>
      <c r="U2607" s="3241"/>
      <c r="V2607" s="3241"/>
      <c r="W2607" s="3241"/>
      <c r="X2607" s="3241"/>
      <c r="Y2607" s="3241"/>
      <c r="Z2607" s="3241"/>
      <c r="AA2607" s="3241"/>
      <c r="AB2607" s="3241"/>
      <c r="AC2607" s="3241"/>
      <c r="AD2607" s="3241"/>
    </row>
    <row r="2608" spans="1:30" ht="15.75" x14ac:dyDescent="0.25">
      <c r="A2608" s="3243" t="s">
        <v>5841</v>
      </c>
      <c r="B2608" s="3243">
        <v>500</v>
      </c>
      <c r="C2608" s="3242">
        <v>1.4</v>
      </c>
      <c r="D2608" s="3242">
        <v>2.8</v>
      </c>
      <c r="E2608" s="3241"/>
      <c r="F2608" s="3241"/>
      <c r="G2608" s="3241"/>
      <c r="H2608" s="3241"/>
      <c r="I2608" s="3241"/>
      <c r="J2608" s="3241"/>
      <c r="K2608" s="3241"/>
      <c r="L2608" s="3241"/>
      <c r="M2608" s="3241"/>
      <c r="N2608" s="3241"/>
      <c r="O2608" s="3241"/>
      <c r="P2608" s="3241"/>
      <c r="Q2608" s="3241"/>
      <c r="R2608" s="3241"/>
      <c r="S2608" s="3241"/>
      <c r="T2608" s="3241"/>
      <c r="U2608" s="3241"/>
      <c r="V2608" s="3241"/>
      <c r="W2608" s="3241"/>
      <c r="X2608" s="3241"/>
      <c r="Y2608" s="3241"/>
      <c r="Z2608" s="3241"/>
      <c r="AA2608" s="3241"/>
      <c r="AB2608" s="3241"/>
      <c r="AC2608" s="3241"/>
      <c r="AD2608" s="3241"/>
    </row>
    <row r="2609" spans="1:30" ht="15.75" x14ac:dyDescent="0.25">
      <c r="A2609" s="3243" t="s">
        <v>5840</v>
      </c>
      <c r="B2609" s="3243">
        <v>100</v>
      </c>
      <c r="C2609" s="3242">
        <v>1.1000000000000001</v>
      </c>
      <c r="D2609" s="3242">
        <v>1.9</v>
      </c>
      <c r="E2609" s="3241"/>
      <c r="F2609" s="3241"/>
      <c r="G2609" s="3241"/>
      <c r="H2609" s="3241"/>
      <c r="I2609" s="3241"/>
      <c r="J2609" s="3241"/>
      <c r="K2609" s="3241"/>
      <c r="L2609" s="3241"/>
      <c r="M2609" s="3241"/>
      <c r="N2609" s="3241"/>
      <c r="O2609" s="3241"/>
      <c r="P2609" s="3241"/>
      <c r="Q2609" s="3241"/>
      <c r="R2609" s="3241"/>
      <c r="S2609" s="3241"/>
      <c r="T2609" s="3241"/>
      <c r="U2609" s="3241"/>
      <c r="V2609" s="3241"/>
      <c r="W2609" s="3241"/>
      <c r="X2609" s="3241"/>
      <c r="Y2609" s="3241"/>
      <c r="Z2609" s="3241"/>
      <c r="AA2609" s="3241"/>
      <c r="AB2609" s="3241"/>
      <c r="AC2609" s="3241"/>
      <c r="AD2609" s="3241"/>
    </row>
    <row r="2610" spans="1:30" ht="15.75" x14ac:dyDescent="0.25">
      <c r="A2610" s="3243" t="s">
        <v>1106</v>
      </c>
      <c r="B2610" s="3243">
        <v>290</v>
      </c>
      <c r="C2610" s="3242">
        <v>0.78</v>
      </c>
      <c r="D2610" s="3242">
        <v>1.3</v>
      </c>
      <c r="E2610" s="3241"/>
      <c r="F2610" s="3241"/>
      <c r="G2610" s="3241"/>
      <c r="H2610" s="3241"/>
      <c r="I2610" s="3241"/>
      <c r="J2610" s="3241"/>
      <c r="K2610" s="3241"/>
      <c r="L2610" s="3241"/>
      <c r="M2610" s="3241"/>
      <c r="N2610" s="3241"/>
      <c r="O2610" s="3241"/>
      <c r="P2610" s="3241"/>
      <c r="Q2610" s="3241"/>
      <c r="R2610" s="3241"/>
      <c r="S2610" s="3241"/>
      <c r="T2610" s="3241"/>
      <c r="U2610" s="3241"/>
      <c r="V2610" s="3241"/>
      <c r="W2610" s="3241"/>
      <c r="X2610" s="3241"/>
      <c r="Y2610" s="3241"/>
      <c r="Z2610" s="3241"/>
      <c r="AA2610" s="3241"/>
      <c r="AB2610" s="3241"/>
      <c r="AC2610" s="3241"/>
      <c r="AD2610" s="3241"/>
    </row>
    <row r="2611" spans="1:30" ht="15.75" x14ac:dyDescent="0.25">
      <c r="A2611" s="3243" t="s">
        <v>3480</v>
      </c>
      <c r="B2611" s="3243">
        <v>110</v>
      </c>
      <c r="C2611" s="3242">
        <v>0.78</v>
      </c>
      <c r="D2611" s="3242">
        <v>1.3</v>
      </c>
      <c r="E2611" s="3241"/>
      <c r="F2611" s="3241"/>
      <c r="G2611" s="3241"/>
      <c r="H2611" s="3241"/>
      <c r="I2611" s="3241"/>
      <c r="J2611" s="3241"/>
      <c r="K2611" s="3241"/>
      <c r="L2611" s="3241"/>
      <c r="M2611" s="3241"/>
      <c r="N2611" s="3241"/>
      <c r="O2611" s="3241"/>
      <c r="P2611" s="3241"/>
      <c r="Q2611" s="3241"/>
      <c r="R2611" s="3241"/>
      <c r="S2611" s="3241"/>
      <c r="T2611" s="3241"/>
      <c r="U2611" s="3241"/>
      <c r="V2611" s="3241"/>
      <c r="W2611" s="3241"/>
      <c r="X2611" s="3241"/>
      <c r="Y2611" s="3241"/>
      <c r="Z2611" s="3241"/>
      <c r="AA2611" s="3241"/>
      <c r="AB2611" s="3241"/>
      <c r="AC2611" s="3241"/>
      <c r="AD2611" s="3241"/>
    </row>
    <row r="2612" spans="1:30" ht="15.75" x14ac:dyDescent="0.25">
      <c r="A2612" s="3243" t="s">
        <v>3923</v>
      </c>
      <c r="B2612" s="3243">
        <v>125</v>
      </c>
      <c r="C2612" s="3242">
        <v>0.7</v>
      </c>
      <c r="D2612" s="3242">
        <v>1</v>
      </c>
      <c r="E2612" s="3241"/>
      <c r="F2612" s="3241"/>
      <c r="G2612" s="3241"/>
      <c r="H2612" s="3241"/>
      <c r="I2612" s="3241"/>
      <c r="J2612" s="3241"/>
      <c r="K2612" s="3241"/>
      <c r="L2612" s="3241"/>
      <c r="M2612" s="3241"/>
      <c r="N2612" s="3241"/>
      <c r="O2612" s="3241"/>
      <c r="P2612" s="3241"/>
      <c r="Q2612" s="3241"/>
      <c r="R2612" s="3241"/>
      <c r="S2612" s="3241"/>
      <c r="T2612" s="3241"/>
      <c r="U2612" s="3241"/>
      <c r="V2612" s="3241"/>
      <c r="W2612" s="3241"/>
      <c r="X2612" s="3241"/>
      <c r="Y2612" s="3241"/>
      <c r="Z2612" s="3241"/>
      <c r="AA2612" s="3241"/>
      <c r="AB2612" s="3241"/>
      <c r="AC2612" s="3241"/>
      <c r="AD2612" s="3241"/>
    </row>
    <row r="2613" spans="1:30" ht="15.75" x14ac:dyDescent="0.25">
      <c r="A2613" s="3241"/>
      <c r="B2613" s="3241"/>
      <c r="C2613" s="3241"/>
      <c r="D2613" s="3241"/>
      <c r="E2613" s="3241"/>
      <c r="F2613" s="3241"/>
      <c r="G2613" s="3241"/>
      <c r="H2613" s="3241"/>
      <c r="I2613" s="3241"/>
      <c r="J2613" s="3241"/>
      <c r="K2613" s="3241"/>
      <c r="L2613" s="3241"/>
      <c r="M2613" s="3241"/>
      <c r="N2613" s="3241"/>
      <c r="O2613" s="3241"/>
      <c r="P2613" s="3241"/>
      <c r="Q2613" s="3241"/>
      <c r="R2613" s="3241"/>
      <c r="S2613" s="3241"/>
      <c r="T2613" s="3241"/>
      <c r="U2613" s="3241"/>
      <c r="V2613" s="3241"/>
      <c r="W2613" s="3241"/>
      <c r="X2613" s="3241"/>
      <c r="Y2613" s="3241"/>
      <c r="Z2613" s="3241"/>
      <c r="AA2613" s="3241"/>
      <c r="AB2613" s="3241"/>
      <c r="AC2613" s="3241"/>
      <c r="AD2613" s="3241"/>
    </row>
    <row r="2614" spans="1:30" ht="15.75" x14ac:dyDescent="0.25">
      <c r="A2614" s="3241"/>
      <c r="B2614" s="3241"/>
      <c r="C2614" s="3241"/>
      <c r="D2614" s="3241"/>
      <c r="E2614" s="3241"/>
      <c r="F2614" s="3241"/>
      <c r="G2614" s="3241"/>
      <c r="H2614" s="3241"/>
      <c r="I2614" s="3241"/>
      <c r="J2614" s="3241"/>
      <c r="K2614" s="3241"/>
      <c r="L2614" s="3241"/>
      <c r="M2614" s="3241"/>
      <c r="N2614" s="3241"/>
      <c r="O2614" s="3241"/>
      <c r="P2614" s="3241"/>
      <c r="Q2614" s="3241"/>
      <c r="R2614" s="3241"/>
      <c r="S2614" s="3241"/>
      <c r="T2614" s="3241"/>
      <c r="U2614" s="3241"/>
      <c r="V2614" s="3241"/>
      <c r="W2614" s="3241"/>
      <c r="X2614" s="3241"/>
      <c r="Y2614" s="3241"/>
      <c r="Z2614" s="3241"/>
      <c r="AA2614" s="3241"/>
      <c r="AB2614" s="3241"/>
      <c r="AC2614" s="3241"/>
      <c r="AD2614" s="3241"/>
    </row>
    <row r="2615" spans="1:30" ht="27" x14ac:dyDescent="0.35">
      <c r="C2615" s="3220" t="s">
        <v>3913</v>
      </c>
      <c r="D2615" s="3220"/>
      <c r="E2615" s="3220"/>
      <c r="F2615" s="3220"/>
      <c r="G2615" s="3220"/>
      <c r="H2615" s="3220"/>
      <c r="I2615" s="3220"/>
      <c r="J2615" s="3219"/>
      <c r="K2615" s="3219"/>
      <c r="L2615" s="3219"/>
      <c r="R2615" s="3209"/>
      <c r="S2615" s="3209"/>
      <c r="T2615" s="3209"/>
      <c r="U2615" s="3209"/>
    </row>
    <row r="2616" spans="1:30" x14ac:dyDescent="0.2">
      <c r="R2616" s="3209"/>
      <c r="S2616" s="3209"/>
      <c r="T2616" s="3209"/>
      <c r="U2616" s="3209"/>
    </row>
    <row r="2617" spans="1:30" x14ac:dyDescent="0.2">
      <c r="F2617" s="3146" t="s">
        <v>3021</v>
      </c>
      <c r="G2617" s="3146"/>
      <c r="M2617" s="3146" t="s">
        <v>3915</v>
      </c>
      <c r="N2617" s="3146"/>
      <c r="R2617" s="3209"/>
      <c r="S2617" s="3209"/>
      <c r="T2617" s="3209"/>
      <c r="U2617" s="3209"/>
    </row>
    <row r="2618" spans="1:30" ht="12.75" customHeight="1" x14ac:dyDescent="0.2">
      <c r="B2618" s="4784" t="s">
        <v>5117</v>
      </c>
      <c r="C2618" s="4784"/>
      <c r="D2618" s="4784"/>
      <c r="E2618" s="4784"/>
      <c r="F2618" s="4784"/>
      <c r="G2618" s="4784"/>
      <c r="J2618" s="4784" t="s">
        <v>2374</v>
      </c>
      <c r="K2618" s="4784"/>
      <c r="L2618" s="4784"/>
      <c r="M2618" s="4784"/>
      <c r="N2618" s="4784"/>
      <c r="R2618" s="3209"/>
      <c r="S2618" s="3209"/>
      <c r="T2618" s="3209"/>
      <c r="U2618" s="3209"/>
    </row>
    <row r="2619" spans="1:30" ht="12.75" customHeight="1" x14ac:dyDescent="0.2">
      <c r="B2619" s="4785" t="s">
        <v>1441</v>
      </c>
      <c r="C2619" s="4785" t="s">
        <v>3313</v>
      </c>
      <c r="D2619" s="4786" t="s">
        <v>1431</v>
      </c>
      <c r="E2619" s="4786"/>
      <c r="F2619" s="4786"/>
      <c r="G2619" s="3150"/>
      <c r="I2619" s="4787" t="s">
        <v>1441</v>
      </c>
      <c r="J2619" s="4787" t="s">
        <v>3313</v>
      </c>
      <c r="K2619" s="3215" t="s">
        <v>2376</v>
      </c>
      <c r="L2619" s="3214"/>
      <c r="M2619" s="3213"/>
      <c r="N2619" s="3150"/>
      <c r="Q2619" s="3211" t="s">
        <v>966</v>
      </c>
      <c r="R2619" s="3211" t="s">
        <v>4816</v>
      </c>
      <c r="S2619" s="3211" t="s">
        <v>4817</v>
      </c>
      <c r="T2619" s="3209"/>
      <c r="U2619" s="3209"/>
    </row>
    <row r="2620" spans="1:30" ht="51" x14ac:dyDescent="0.2">
      <c r="B2620" s="4785"/>
      <c r="C2620" s="4785"/>
      <c r="D2620" s="3163" t="s">
        <v>5123</v>
      </c>
      <c r="E2620" s="3163" t="s">
        <v>5124</v>
      </c>
      <c r="F2620" s="3163" t="s">
        <v>5125</v>
      </c>
      <c r="G2620" s="3150" t="s">
        <v>2490</v>
      </c>
      <c r="I2620" s="4787"/>
      <c r="J2620" s="4787"/>
      <c r="K2620" s="3163" t="s">
        <v>5123</v>
      </c>
      <c r="L2620" s="3163" t="s">
        <v>5124</v>
      </c>
      <c r="M2620" s="3163" t="s">
        <v>5125</v>
      </c>
      <c r="N2620" s="3150" t="s">
        <v>2490</v>
      </c>
      <c r="Q2620" s="3211">
        <v>1</v>
      </c>
      <c r="R2620" s="3211">
        <v>1</v>
      </c>
      <c r="S2620" s="3211">
        <v>1</v>
      </c>
      <c r="T2620" s="3209"/>
      <c r="U2620" s="3209"/>
    </row>
    <row r="2621" spans="1:30" x14ac:dyDescent="0.2">
      <c r="B2621" s="3162"/>
      <c r="C2621" s="3162"/>
      <c r="D2621" s="3163"/>
      <c r="E2621" s="3163"/>
      <c r="F2621" s="3163"/>
      <c r="G2621" s="3150"/>
      <c r="I2621" s="3170"/>
      <c r="J2621" s="3170"/>
      <c r="K2621" s="3163"/>
      <c r="L2621" s="3163"/>
      <c r="M2621" s="3163"/>
      <c r="N2621" s="3150"/>
      <c r="Q2621" s="3211">
        <v>2</v>
      </c>
      <c r="R2621" s="3211">
        <v>0.9</v>
      </c>
      <c r="S2621" s="3211">
        <v>0.95</v>
      </c>
      <c r="T2621" s="3209"/>
      <c r="U2621" s="3209"/>
    </row>
    <row r="2622" spans="1:30" x14ac:dyDescent="0.2">
      <c r="A2622" s="3187"/>
      <c r="B2622" s="3181" t="s">
        <v>5128</v>
      </c>
      <c r="C2622" s="3181">
        <v>146</v>
      </c>
      <c r="D2622" s="3181">
        <v>118</v>
      </c>
      <c r="E2622" s="3181">
        <v>65</v>
      </c>
      <c r="F2622" s="3181">
        <v>44.9</v>
      </c>
      <c r="G2622" s="3138">
        <v>1</v>
      </c>
      <c r="I2622" s="3181" t="s">
        <v>2846</v>
      </c>
      <c r="J2622" s="3181">
        <v>141</v>
      </c>
      <c r="K2622" s="3181">
        <v>127</v>
      </c>
      <c r="L2622" s="3181">
        <v>63.6</v>
      </c>
      <c r="M2622" s="3181">
        <v>43.3</v>
      </c>
      <c r="N2622" s="3138">
        <v>1</v>
      </c>
      <c r="Q2622" s="3211">
        <v>3</v>
      </c>
      <c r="R2622" s="3211">
        <v>0.85</v>
      </c>
      <c r="S2622" s="3211">
        <v>0.9</v>
      </c>
      <c r="V2622" s="3187"/>
      <c r="W2622" s="3187"/>
      <c r="X2622" s="3187"/>
      <c r="Y2622" s="3187"/>
      <c r="Z2622" s="3187"/>
      <c r="AA2622" s="3187"/>
      <c r="AB2622" s="3187"/>
      <c r="AC2622" s="3187"/>
      <c r="AD2622" s="3187"/>
    </row>
    <row r="2623" spans="1:30" x14ac:dyDescent="0.2">
      <c r="B2623" s="3181" t="s">
        <v>4803</v>
      </c>
      <c r="C2623" s="3181">
        <v>142</v>
      </c>
      <c r="D2623" s="3181">
        <v>112</v>
      </c>
      <c r="E2623" s="3181">
        <v>62.6</v>
      </c>
      <c r="F2623" s="3181">
        <v>43.4</v>
      </c>
      <c r="G2623" s="3138">
        <v>2</v>
      </c>
      <c r="I2623" s="3181" t="s">
        <v>2821</v>
      </c>
      <c r="J2623" s="3181">
        <v>136</v>
      </c>
      <c r="K2623" s="3181">
        <v>121</v>
      </c>
      <c r="L2623" s="3181">
        <v>61.3</v>
      </c>
      <c r="M2623" s="3181">
        <v>41.7</v>
      </c>
      <c r="N2623" s="3138">
        <v>2</v>
      </c>
      <c r="Q2623" s="3211">
        <v>4</v>
      </c>
      <c r="R2623" s="3211">
        <v>0.8</v>
      </c>
      <c r="S2623" s="3211">
        <v>0.85</v>
      </c>
    </row>
    <row r="2624" spans="1:30" x14ac:dyDescent="0.2">
      <c r="B2624" s="3181" t="s">
        <v>5443</v>
      </c>
      <c r="C2624" s="3181">
        <v>137</v>
      </c>
      <c r="D2624" s="3181">
        <v>105</v>
      </c>
      <c r="E2624" s="3181">
        <v>59.5</v>
      </c>
      <c r="F2624" s="3181">
        <v>41.4</v>
      </c>
      <c r="G2624" s="3138">
        <v>3</v>
      </c>
      <c r="I2624" s="3181" t="s">
        <v>2725</v>
      </c>
      <c r="J2624" s="3181">
        <v>130</v>
      </c>
      <c r="K2624" s="3181">
        <v>113</v>
      </c>
      <c r="L2624" s="3181">
        <v>57.6</v>
      </c>
      <c r="M2624" s="3181">
        <v>39.299999999999997</v>
      </c>
      <c r="N2624" s="3138">
        <v>3</v>
      </c>
    </row>
    <row r="2625" spans="2:21" x14ac:dyDescent="0.2">
      <c r="B2625" s="3181" t="s">
        <v>2214</v>
      </c>
      <c r="C2625" s="3181">
        <v>132</v>
      </c>
      <c r="D2625" s="3181">
        <v>98.8</v>
      </c>
      <c r="E2625" s="3181">
        <v>56.6</v>
      </c>
      <c r="F2625" s="3181">
        <v>39.6</v>
      </c>
      <c r="G2625" s="3138">
        <v>4</v>
      </c>
      <c r="I2625" s="3181" t="s">
        <v>2727</v>
      </c>
      <c r="J2625" s="3181">
        <v>124</v>
      </c>
      <c r="K2625" s="3181">
        <v>105</v>
      </c>
      <c r="L2625" s="3181">
        <v>54.2</v>
      </c>
      <c r="M2625" s="3181">
        <v>37</v>
      </c>
      <c r="N2625" s="3138">
        <v>4</v>
      </c>
      <c r="Q2625" s="3210" t="s">
        <v>1955</v>
      </c>
      <c r="R2625" s="3210" t="s">
        <v>1956</v>
      </c>
    </row>
    <row r="2626" spans="2:21" x14ac:dyDescent="0.2">
      <c r="B2626" s="3181" t="s">
        <v>4339</v>
      </c>
      <c r="C2626" s="3181">
        <v>128</v>
      </c>
      <c r="D2626" s="3181">
        <v>92.9</v>
      </c>
      <c r="E2626" s="3181">
        <v>53.8</v>
      </c>
      <c r="F2626" s="3181">
        <v>37.799999999999997</v>
      </c>
      <c r="G2626" s="3138">
        <v>5</v>
      </c>
      <c r="I2626" s="3181" t="s">
        <v>2729</v>
      </c>
      <c r="J2626" s="3181">
        <v>117</v>
      </c>
      <c r="K2626" s="3181">
        <v>98.3</v>
      </c>
      <c r="L2626" s="3181">
        <v>50.8</v>
      </c>
      <c r="M2626" s="3181">
        <v>35</v>
      </c>
      <c r="N2626" s="3138">
        <v>5</v>
      </c>
      <c r="Q2626" s="3210">
        <v>1</v>
      </c>
      <c r="R2626" s="3210">
        <v>1</v>
      </c>
    </row>
    <row r="2627" spans="2:21" x14ac:dyDescent="0.2">
      <c r="B2627" s="3181" t="s">
        <v>3372</v>
      </c>
      <c r="C2627" s="3181">
        <v>122</v>
      </c>
      <c r="D2627" s="3181">
        <v>87.2</v>
      </c>
      <c r="E2627" s="3181">
        <v>51</v>
      </c>
      <c r="F2627" s="3181">
        <v>36</v>
      </c>
      <c r="G2627" s="3138">
        <v>6</v>
      </c>
      <c r="I2627" s="3181" t="s">
        <v>2365</v>
      </c>
      <c r="J2627" s="3181">
        <v>111</v>
      </c>
      <c r="K2627" s="3181">
        <v>92</v>
      </c>
      <c r="L2627" s="3181">
        <v>47.8</v>
      </c>
      <c r="M2627" s="3181">
        <v>32.9</v>
      </c>
      <c r="N2627" s="3138">
        <v>6</v>
      </c>
      <c r="Q2627" s="3210">
        <v>2</v>
      </c>
      <c r="R2627" s="3210">
        <v>0.95</v>
      </c>
    </row>
    <row r="2628" spans="2:21" x14ac:dyDescent="0.2">
      <c r="B2628" s="3181" t="s">
        <v>5428</v>
      </c>
      <c r="C2628" s="3181">
        <v>118</v>
      </c>
      <c r="D2628" s="3181">
        <v>81.900000000000006</v>
      </c>
      <c r="E2628" s="3181">
        <v>48.4</v>
      </c>
      <c r="F2628" s="3181">
        <v>34.299999999999997</v>
      </c>
      <c r="G2628" s="3138">
        <v>7</v>
      </c>
      <c r="I2628" s="3181" t="s">
        <v>2366</v>
      </c>
      <c r="J2628" s="3181">
        <v>106</v>
      </c>
      <c r="K2628" s="3181">
        <v>85.8</v>
      </c>
      <c r="L2628" s="3181">
        <v>44.9</v>
      </c>
      <c r="M2628" s="3181">
        <v>31</v>
      </c>
      <c r="N2628" s="3138">
        <v>7</v>
      </c>
      <c r="Q2628" s="3210">
        <v>3</v>
      </c>
      <c r="R2628" s="3210">
        <v>0.9</v>
      </c>
    </row>
    <row r="2629" spans="2:21" x14ac:dyDescent="0.2">
      <c r="B2629" s="3181" t="s">
        <v>4256</v>
      </c>
      <c r="C2629" s="3181">
        <v>113</v>
      </c>
      <c r="D2629" s="3181">
        <v>76.8</v>
      </c>
      <c r="E2629" s="3181">
        <v>45.8</v>
      </c>
      <c r="F2629" s="3181">
        <v>32.6</v>
      </c>
      <c r="G2629" s="3138">
        <v>8</v>
      </c>
      <c r="I2629" s="3181" t="s">
        <v>2368</v>
      </c>
      <c r="J2629" s="3181">
        <v>99.8</v>
      </c>
      <c r="K2629" s="3181">
        <v>80</v>
      </c>
      <c r="L2629" s="3181">
        <v>42.1</v>
      </c>
      <c r="M2629" s="3181">
        <v>29.1</v>
      </c>
      <c r="N2629" s="3138">
        <v>8</v>
      </c>
      <c r="Q2629" s="3210">
        <v>4</v>
      </c>
      <c r="R2629" s="3210">
        <v>0.85</v>
      </c>
    </row>
    <row r="2630" spans="2:21" x14ac:dyDescent="0.2">
      <c r="B2630" s="3181" t="s">
        <v>5228</v>
      </c>
      <c r="C2630" s="3181">
        <v>109</v>
      </c>
      <c r="D2630" s="3181">
        <v>72.099999999999994</v>
      </c>
      <c r="E2630" s="3181">
        <v>43.4</v>
      </c>
      <c r="F2630" s="3181">
        <v>31</v>
      </c>
      <c r="G2630" s="3138">
        <v>9</v>
      </c>
      <c r="I2630" s="3181" t="s">
        <v>2370</v>
      </c>
      <c r="J2630" s="3181">
        <v>94.4</v>
      </c>
      <c r="K2630" s="3181">
        <v>74.400000000000006</v>
      </c>
      <c r="L2630" s="3181">
        <v>39.4</v>
      </c>
      <c r="M2630" s="3181">
        <v>27.3</v>
      </c>
      <c r="N2630" s="3138">
        <v>9</v>
      </c>
      <c r="P2630" s="3187"/>
      <c r="Q2630" s="3187"/>
      <c r="R2630" s="3187"/>
      <c r="S2630" s="3187"/>
      <c r="T2630" s="3187"/>
      <c r="U2630" s="3187"/>
    </row>
    <row r="2631" spans="2:21" x14ac:dyDescent="0.2">
      <c r="B2631" s="3181" t="s">
        <v>5233</v>
      </c>
      <c r="C2631" s="3181">
        <v>104</v>
      </c>
      <c r="D2631" s="3181">
        <v>67.599999999999994</v>
      </c>
      <c r="E2631" s="3181">
        <v>41</v>
      </c>
      <c r="F2631" s="3181">
        <v>29.5</v>
      </c>
      <c r="G2631" s="3138">
        <v>10</v>
      </c>
      <c r="I2631" s="3181" t="s">
        <v>2372</v>
      </c>
      <c r="J2631" s="3181">
        <v>88.8</v>
      </c>
      <c r="K2631" s="3181">
        <v>69</v>
      </c>
      <c r="L2631" s="3181">
        <v>36.700000000000003</v>
      </c>
      <c r="M2631" s="3181">
        <v>25.6</v>
      </c>
      <c r="N2631" s="3138">
        <v>10</v>
      </c>
    </row>
    <row r="2632" spans="2:21" x14ac:dyDescent="0.2">
      <c r="B2632" s="3206" t="s">
        <v>4070</v>
      </c>
      <c r="C2632" s="3181">
        <v>99.5</v>
      </c>
      <c r="D2632" s="3181">
        <v>62.8</v>
      </c>
      <c r="E2632" s="3181">
        <v>38.5</v>
      </c>
      <c r="F2632" s="3181">
        <v>27.8</v>
      </c>
      <c r="G2632" s="3138">
        <v>11</v>
      </c>
      <c r="I2632" s="3181" t="s">
        <v>771</v>
      </c>
      <c r="J2632" s="3181">
        <v>83.6</v>
      </c>
      <c r="K2632" s="3181">
        <v>64</v>
      </c>
      <c r="L2632" s="3181">
        <v>34.200000000000003</v>
      </c>
      <c r="M2632" s="3181">
        <v>23.9</v>
      </c>
      <c r="N2632" s="3138">
        <v>11</v>
      </c>
    </row>
    <row r="2633" spans="2:21" x14ac:dyDescent="0.2">
      <c r="I2633" s="3181" t="s">
        <v>773</v>
      </c>
      <c r="J2633" s="3181">
        <v>78.599999999999994</v>
      </c>
      <c r="K2633" s="3181">
        <v>59.6</v>
      </c>
      <c r="L2633" s="3181">
        <v>32</v>
      </c>
      <c r="M2633" s="3181">
        <v>22.4</v>
      </c>
      <c r="N2633" s="3138">
        <v>12</v>
      </c>
    </row>
    <row r="2634" spans="2:21" ht="25.5" x14ac:dyDescent="0.2">
      <c r="I2634" s="3206" t="s">
        <v>775</v>
      </c>
      <c r="J2634" s="3181">
        <v>72</v>
      </c>
      <c r="K2634" s="3181">
        <v>53.7</v>
      </c>
      <c r="L2634" s="3181">
        <v>29</v>
      </c>
      <c r="M2634" s="3181">
        <v>20.3</v>
      </c>
      <c r="N2634" s="3138">
        <v>13</v>
      </c>
    </row>
    <row r="2635" spans="2:21" x14ac:dyDescent="0.2">
      <c r="K2635" s="3187"/>
      <c r="L2635" s="3187"/>
    </row>
    <row r="2637" spans="2:21" x14ac:dyDescent="0.2">
      <c r="B2637" s="3208" t="s">
        <v>4083</v>
      </c>
      <c r="C2637" s="3207"/>
      <c r="E2637" s="3239" t="s">
        <v>4084</v>
      </c>
      <c r="F2637" s="3240"/>
    </row>
    <row r="2638" spans="2:21" ht="51" x14ac:dyDescent="0.2">
      <c r="B2638" s="3206" t="s">
        <v>4088</v>
      </c>
      <c r="C2638" s="3206" t="s">
        <v>3501</v>
      </c>
      <c r="E2638" s="3181" t="s">
        <v>3502</v>
      </c>
      <c r="F2638" s="3206" t="s">
        <v>3503</v>
      </c>
      <c r="H2638" s="3239" t="s">
        <v>4892</v>
      </c>
      <c r="I2638" s="3238"/>
      <c r="K2638" s="3237" t="s">
        <v>4893</v>
      </c>
      <c r="L2638" s="3237"/>
      <c r="O2638" s="3187"/>
      <c r="P2638" s="3187"/>
      <c r="Q2638" s="3187"/>
      <c r="R2638" s="3187"/>
      <c r="S2638" s="3187"/>
    </row>
    <row r="2639" spans="2:21" ht="25.5" x14ac:dyDescent="0.2">
      <c r="B2639" s="3181" t="s">
        <v>4880</v>
      </c>
      <c r="C2639" s="3181">
        <v>0.9</v>
      </c>
      <c r="E2639" s="3181" t="s">
        <v>4881</v>
      </c>
      <c r="F2639" s="3181">
        <v>0.9</v>
      </c>
      <c r="H2639" s="3206" t="s">
        <v>3355</v>
      </c>
      <c r="I2639" s="3181">
        <v>0.85</v>
      </c>
      <c r="K2639" s="3181" t="s">
        <v>3356</v>
      </c>
      <c r="L2639" s="3181">
        <v>0.9</v>
      </c>
      <c r="O2639" s="3187"/>
      <c r="P2639" s="3187"/>
      <c r="Q2639" s="3187"/>
      <c r="R2639" s="3187"/>
      <c r="S2639" s="3187"/>
    </row>
    <row r="2640" spans="2:21" ht="25.5" x14ac:dyDescent="0.2">
      <c r="B2640" s="3206" t="s">
        <v>4887</v>
      </c>
      <c r="C2640" s="3181">
        <v>0.85</v>
      </c>
      <c r="E2640" s="3206" t="s">
        <v>4888</v>
      </c>
      <c r="F2640" s="3181">
        <v>0.8</v>
      </c>
      <c r="H2640" s="3206" t="s">
        <v>3358</v>
      </c>
      <c r="I2640" s="3181">
        <v>0.95</v>
      </c>
      <c r="K2640" s="3181" t="s">
        <v>3359</v>
      </c>
      <c r="L2640" s="3181">
        <v>0.85</v>
      </c>
      <c r="O2640" s="4800"/>
      <c r="P2640" s="4800"/>
      <c r="Q2640" s="4800"/>
      <c r="R2640" s="4800"/>
      <c r="S2640" s="4800"/>
    </row>
    <row r="2641" spans="2:21" x14ac:dyDescent="0.2">
      <c r="K2641" s="3181" t="s">
        <v>3361</v>
      </c>
      <c r="L2641" s="3181">
        <v>0.8</v>
      </c>
      <c r="O2641" s="3187"/>
      <c r="P2641" s="3187"/>
      <c r="Q2641" s="3187"/>
      <c r="R2641" s="3187"/>
      <c r="S2641" s="3187"/>
    </row>
    <row r="2642" spans="2:21" x14ac:dyDescent="0.2">
      <c r="O2642" s="3187"/>
      <c r="P2642" s="3187"/>
      <c r="Q2642" s="3187"/>
      <c r="R2642" s="3187"/>
      <c r="S2642" s="3187"/>
    </row>
    <row r="2643" spans="2:21" x14ac:dyDescent="0.2">
      <c r="L2643" s="3146" t="s">
        <v>5836</v>
      </c>
      <c r="M2643" s="3146"/>
      <c r="O2643" s="3187"/>
      <c r="P2643" s="3187"/>
      <c r="Q2643" s="3187"/>
      <c r="R2643" s="3187"/>
      <c r="S2643" s="3187"/>
    </row>
    <row r="2644" spans="2:21" ht="20.25" x14ac:dyDescent="0.3">
      <c r="B2644" s="4791" t="s">
        <v>5835</v>
      </c>
      <c r="C2644" s="4791"/>
      <c r="D2644" s="4791"/>
      <c r="E2644" s="4791"/>
      <c r="F2644" s="4791"/>
      <c r="G2644" s="4791"/>
      <c r="H2644" s="4791"/>
      <c r="I2644" s="4791"/>
      <c r="J2644" s="4791"/>
      <c r="K2644" s="4791"/>
      <c r="L2644" s="4791"/>
      <c r="M2644" s="4791"/>
      <c r="O2644" s="3236" t="s">
        <v>5839</v>
      </c>
      <c r="P2644" s="3235"/>
      <c r="Q2644" s="3235"/>
      <c r="R2644" s="3235"/>
      <c r="S2644" s="3235"/>
      <c r="T2644" s="3235"/>
      <c r="U2644" s="3234"/>
    </row>
    <row r="2645" spans="2:21" ht="12.75" customHeight="1" x14ac:dyDescent="0.2">
      <c r="B2645" s="4796" t="s">
        <v>5831</v>
      </c>
      <c r="C2645" s="3232" t="s">
        <v>3785</v>
      </c>
      <c r="D2645" s="3231"/>
      <c r="E2645" s="3231"/>
      <c r="F2645" s="3233"/>
      <c r="G2645" s="3181" t="s">
        <v>2490</v>
      </c>
      <c r="H2645" s="4796" t="s">
        <v>5831</v>
      </c>
      <c r="I2645" s="3232" t="s">
        <v>3785</v>
      </c>
      <c r="J2645" s="3184"/>
      <c r="K2645" s="3184"/>
      <c r="L2645" s="3183"/>
      <c r="M2645" s="3181" t="s">
        <v>2490</v>
      </c>
      <c r="O2645" s="4798" t="s">
        <v>5838</v>
      </c>
      <c r="P2645" s="4798"/>
      <c r="Q2645" s="4798"/>
      <c r="R2645" s="4798"/>
      <c r="S2645" s="3185" t="s">
        <v>428</v>
      </c>
      <c r="T2645" s="3184"/>
      <c r="U2645" s="3183"/>
    </row>
    <row r="2646" spans="2:21" x14ac:dyDescent="0.2">
      <c r="B2646" s="4796"/>
      <c r="C2646" s="3181" t="s">
        <v>1084</v>
      </c>
      <c r="D2646" s="3181" t="s">
        <v>1085</v>
      </c>
      <c r="E2646" s="3181" t="s">
        <v>3006</v>
      </c>
      <c r="F2646" s="3181" t="s">
        <v>5830</v>
      </c>
      <c r="G2646" s="3181"/>
      <c r="H2646" s="4796"/>
      <c r="I2646" s="3181" t="s">
        <v>1084</v>
      </c>
      <c r="J2646" s="3181" t="s">
        <v>1085</v>
      </c>
      <c r="K2646" s="3181" t="s">
        <v>3006</v>
      </c>
      <c r="L2646" s="3181" t="s">
        <v>5830</v>
      </c>
      <c r="M2646" s="3181"/>
      <c r="O2646" s="3232" t="s">
        <v>3313</v>
      </c>
      <c r="P2646" s="3231"/>
      <c r="Q2646" s="3231"/>
      <c r="R2646" s="3231"/>
      <c r="S2646" s="3231"/>
      <c r="T2646" s="3233"/>
      <c r="U2646" s="3198">
        <v>1.3</v>
      </c>
    </row>
    <row r="2647" spans="2:21" ht="15.75" x14ac:dyDescent="0.25">
      <c r="B2647" s="4799" t="s">
        <v>5834</v>
      </c>
      <c r="C2647" s="4799"/>
      <c r="D2647" s="4799"/>
      <c r="E2647" s="4799"/>
      <c r="F2647" s="4799"/>
      <c r="G2647" s="4799"/>
      <c r="H2647" s="4799" t="s">
        <v>5833</v>
      </c>
      <c r="I2647" s="4799"/>
      <c r="J2647" s="4799"/>
      <c r="K2647" s="4799"/>
      <c r="L2647" s="4799"/>
      <c r="M2647" s="4799"/>
      <c r="O2647" s="3232" t="s">
        <v>3655</v>
      </c>
      <c r="P2647" s="3231"/>
      <c r="Q2647" s="3231"/>
      <c r="R2647" s="3231"/>
      <c r="S2647" s="3231"/>
      <c r="T2647" s="3195"/>
      <c r="U2647" s="3181">
        <v>1.2</v>
      </c>
    </row>
    <row r="2648" spans="2:21" x14ac:dyDescent="0.2">
      <c r="B2648" s="3138" t="s">
        <v>3008</v>
      </c>
      <c r="C2648" s="3138">
        <v>90</v>
      </c>
      <c r="D2648" s="3138">
        <v>80.2</v>
      </c>
      <c r="E2648" s="3138">
        <v>64.5</v>
      </c>
      <c r="F2648" s="3138">
        <v>61.9</v>
      </c>
      <c r="G2648" s="3138">
        <v>1</v>
      </c>
      <c r="H2648" s="3177" t="s">
        <v>5827</v>
      </c>
      <c r="I2648" s="3138">
        <v>58.7</v>
      </c>
      <c r="J2648" s="3177">
        <v>52.5</v>
      </c>
      <c r="K2648" s="3177">
        <v>42.5</v>
      </c>
      <c r="L2648" s="3177">
        <v>40.5</v>
      </c>
      <c r="M2648" s="3177">
        <v>14</v>
      </c>
      <c r="O2648" s="3230" t="s">
        <v>5837</v>
      </c>
      <c r="P2648" s="3229"/>
      <c r="Q2648" s="3229"/>
      <c r="R2648" s="3229"/>
      <c r="S2648" s="3229"/>
      <c r="T2648" s="3191"/>
      <c r="U2648" s="3190">
        <v>1.25</v>
      </c>
    </row>
    <row r="2649" spans="2:21" x14ac:dyDescent="0.2">
      <c r="B2649" s="3138" t="s">
        <v>3009</v>
      </c>
      <c r="C2649" s="3138">
        <v>90.3</v>
      </c>
      <c r="D2649" s="3138">
        <v>80.7</v>
      </c>
      <c r="E2649" s="3138">
        <v>65</v>
      </c>
      <c r="F2649" s="3138">
        <v>62.4</v>
      </c>
      <c r="G2649" s="3138">
        <v>2</v>
      </c>
      <c r="H2649" s="3177" t="s">
        <v>5826</v>
      </c>
      <c r="I2649" s="3138">
        <v>57.8</v>
      </c>
      <c r="J2649" s="3177">
        <v>51.7</v>
      </c>
      <c r="K2649" s="3177">
        <v>41.9</v>
      </c>
      <c r="L2649" s="3177">
        <v>39.799999999999997</v>
      </c>
      <c r="M2649" s="3177">
        <v>15</v>
      </c>
      <c r="Q2649" s="3134"/>
      <c r="R2649" s="3134"/>
    </row>
    <row r="2650" spans="2:21" x14ac:dyDescent="0.2">
      <c r="B2650" s="3138" t="s">
        <v>3010</v>
      </c>
      <c r="C2650" s="3138">
        <v>85</v>
      </c>
      <c r="D2650" s="3138">
        <v>77.599999999999994</v>
      </c>
      <c r="E2650" s="3138">
        <v>62.6</v>
      </c>
      <c r="F2650" s="3138">
        <v>59.9</v>
      </c>
      <c r="G2650" s="3138">
        <v>3</v>
      </c>
      <c r="H2650" s="3177" t="s">
        <v>4069</v>
      </c>
      <c r="I2650" s="3138">
        <v>53.5</v>
      </c>
      <c r="J2650" s="3177">
        <v>48.8</v>
      </c>
      <c r="K2650" s="3177">
        <v>39.5</v>
      </c>
      <c r="L2650" s="3177">
        <v>37.200000000000003</v>
      </c>
      <c r="M2650" s="3177">
        <v>16</v>
      </c>
      <c r="Q2650" s="3134"/>
      <c r="R2650" s="3134"/>
    </row>
    <row r="2651" spans="2:21" x14ac:dyDescent="0.2">
      <c r="B2651" s="3138" t="s">
        <v>3011</v>
      </c>
      <c r="C2651" s="3138">
        <v>78.8</v>
      </c>
      <c r="D2651" s="3138">
        <v>74.3</v>
      </c>
      <c r="E2651" s="3138">
        <v>59.9</v>
      </c>
      <c r="F2651" s="3138">
        <v>57.1</v>
      </c>
      <c r="G2651" s="3138">
        <v>4</v>
      </c>
      <c r="H2651" s="3177" t="s">
        <v>4072</v>
      </c>
      <c r="I2651" s="3138">
        <v>49.7</v>
      </c>
      <c r="J2651" s="3177">
        <v>45.9</v>
      </c>
      <c r="K2651" s="3177">
        <v>37.299999999999997</v>
      </c>
      <c r="L2651" s="3177">
        <v>34.700000000000003</v>
      </c>
      <c r="M2651" s="3177">
        <v>17</v>
      </c>
      <c r="Q2651" s="3134"/>
      <c r="R2651" s="3134"/>
    </row>
    <row r="2652" spans="2:21" x14ac:dyDescent="0.2">
      <c r="B2652" s="3138" t="s">
        <v>3012</v>
      </c>
      <c r="C2652" s="3138">
        <v>75.099999999999994</v>
      </c>
      <c r="D2652" s="3138">
        <v>69</v>
      </c>
      <c r="E2652" s="3138">
        <v>55.5</v>
      </c>
      <c r="F2652" s="3138">
        <v>52.7</v>
      </c>
      <c r="G2652" s="3138">
        <v>5</v>
      </c>
      <c r="H2652" s="3177" t="s">
        <v>4073</v>
      </c>
      <c r="I2652" s="3138">
        <v>46.4</v>
      </c>
      <c r="J2652" s="3177">
        <v>42.5</v>
      </c>
      <c r="K2652" s="3177">
        <v>34.299999999999997</v>
      </c>
      <c r="L2652" s="3177">
        <v>31.9</v>
      </c>
      <c r="M2652" s="3177">
        <v>18</v>
      </c>
      <c r="Q2652" s="3134"/>
      <c r="R2652" s="3134"/>
    </row>
    <row r="2653" spans="2:21" x14ac:dyDescent="0.2">
      <c r="B2653" s="3138" t="s">
        <v>3013</v>
      </c>
      <c r="C2653" s="3138">
        <v>69.099999999999994</v>
      </c>
      <c r="D2653" s="3138">
        <v>64.3</v>
      </c>
      <c r="E2653" s="3138">
        <v>51.7</v>
      </c>
      <c r="F2653" s="3138">
        <v>48.8</v>
      </c>
      <c r="G2653" s="3138">
        <v>6</v>
      </c>
      <c r="H2653" s="3177" t="s">
        <v>5825</v>
      </c>
      <c r="I2653" s="3138">
        <v>43.4</v>
      </c>
      <c r="J2653" s="3177">
        <v>39.5</v>
      </c>
      <c r="K2653" s="3177">
        <v>31.8</v>
      </c>
      <c r="L2653" s="3177">
        <v>29.4</v>
      </c>
      <c r="M2653" s="3177">
        <v>19</v>
      </c>
      <c r="Q2653" s="3134"/>
      <c r="R2653" s="3134"/>
    </row>
    <row r="2654" spans="2:21" x14ac:dyDescent="0.2">
      <c r="B2654" s="3138" t="s">
        <v>3014</v>
      </c>
      <c r="C2654" s="3138">
        <v>67</v>
      </c>
      <c r="D2654" s="3138">
        <v>60.1</v>
      </c>
      <c r="E2654" s="3138">
        <v>48</v>
      </c>
      <c r="F2654" s="3138">
        <v>44.9</v>
      </c>
      <c r="G2654" s="3138">
        <v>7</v>
      </c>
      <c r="H2654" s="3177" t="s">
        <v>5824</v>
      </c>
      <c r="I2654" s="3138">
        <v>41.6</v>
      </c>
      <c r="J2654" s="3177">
        <v>37</v>
      </c>
      <c r="K2654" s="3177">
        <v>29.7</v>
      </c>
      <c r="L2654" s="3177">
        <v>27</v>
      </c>
      <c r="M2654" s="3177">
        <v>20</v>
      </c>
      <c r="Q2654" s="3134"/>
      <c r="R2654" s="3134"/>
    </row>
    <row r="2655" spans="2:21" x14ac:dyDescent="0.2">
      <c r="B2655" s="3138" t="s">
        <v>4082</v>
      </c>
      <c r="C2655" s="3138">
        <v>62</v>
      </c>
      <c r="D2655" s="3138">
        <v>55.2</v>
      </c>
      <c r="E2655" s="3138">
        <v>44.3</v>
      </c>
      <c r="F2655" s="3138">
        <v>40.4</v>
      </c>
      <c r="G2655" s="3138">
        <v>8</v>
      </c>
      <c r="H2655" s="3177" t="s">
        <v>4082</v>
      </c>
      <c r="I2655" s="3138">
        <v>38.299999999999997</v>
      </c>
      <c r="J2655" s="3177">
        <v>33.799999999999997</v>
      </c>
      <c r="K2655" s="3177">
        <v>26.8</v>
      </c>
      <c r="L2655" s="3177">
        <v>24.2</v>
      </c>
      <c r="M2655" s="3177">
        <v>21</v>
      </c>
      <c r="Q2655" s="3134"/>
      <c r="R2655" s="3134"/>
    </row>
    <row r="2656" spans="2:21" x14ac:dyDescent="0.2">
      <c r="B2656" s="3138" t="s">
        <v>3016</v>
      </c>
      <c r="C2656" s="3138">
        <v>56.8</v>
      </c>
      <c r="D2656" s="3138">
        <v>50.2</v>
      </c>
      <c r="E2656" s="3138">
        <v>39.6</v>
      </c>
      <c r="F2656" s="3138">
        <v>36.6</v>
      </c>
      <c r="G2656" s="3138">
        <v>9</v>
      </c>
      <c r="H2656" s="3177" t="s">
        <v>5823</v>
      </c>
      <c r="I2656" s="3138">
        <v>34.9</v>
      </c>
      <c r="J2656" s="3177">
        <v>30.6</v>
      </c>
      <c r="K2656" s="3177">
        <v>24</v>
      </c>
      <c r="L2656" s="3177">
        <v>21.5</v>
      </c>
      <c r="M2656" s="3177">
        <v>22</v>
      </c>
      <c r="Q2656" s="3134"/>
      <c r="R2656" s="3134"/>
    </row>
    <row r="2657" spans="2:18" x14ac:dyDescent="0.2">
      <c r="B2657" s="3138" t="s">
        <v>3017</v>
      </c>
      <c r="C2657" s="3138">
        <v>51.8</v>
      </c>
      <c r="D2657" s="3138">
        <v>45.3</v>
      </c>
      <c r="E2657" s="3138">
        <v>35.5</v>
      </c>
      <c r="F2657" s="3138">
        <v>32.700000000000003</v>
      </c>
      <c r="G2657" s="3138">
        <v>10</v>
      </c>
      <c r="H2657" s="3177" t="s">
        <v>5822</v>
      </c>
      <c r="I2657" s="3138">
        <v>31.5</v>
      </c>
      <c r="J2657" s="3177">
        <v>27.6</v>
      </c>
      <c r="K2657" s="3177">
        <v>21.3</v>
      </c>
      <c r="L2657" s="3177">
        <v>18.8</v>
      </c>
      <c r="M2657" s="3177">
        <v>23</v>
      </c>
      <c r="Q2657" s="3134"/>
      <c r="R2657" s="3134"/>
    </row>
    <row r="2658" spans="2:18" x14ac:dyDescent="0.2">
      <c r="B2658" s="3138" t="s">
        <v>3018</v>
      </c>
      <c r="C2658" s="3138">
        <v>46.9</v>
      </c>
      <c r="D2658" s="3138">
        <v>40.700000000000003</v>
      </c>
      <c r="E2658" s="3138">
        <v>31.8</v>
      </c>
      <c r="F2658" s="3138">
        <v>29.2</v>
      </c>
      <c r="G2658" s="3138">
        <v>11</v>
      </c>
      <c r="H2658" s="3177" t="s">
        <v>5821</v>
      </c>
      <c r="I2658" s="3138">
        <v>28.3</v>
      </c>
      <c r="J2658" s="3177">
        <v>24.7</v>
      </c>
      <c r="K2658" s="3177">
        <v>19</v>
      </c>
      <c r="L2658" s="3177">
        <v>16.600000000000001</v>
      </c>
      <c r="M2658" s="3177">
        <v>24</v>
      </c>
      <c r="Q2658" s="3134"/>
      <c r="R2658" s="3134"/>
    </row>
    <row r="2659" spans="2:18" x14ac:dyDescent="0.2">
      <c r="B2659" s="3138" t="s">
        <v>3019</v>
      </c>
      <c r="C2659" s="3138">
        <v>41.4</v>
      </c>
      <c r="D2659" s="3138">
        <v>36.299999999999997</v>
      </c>
      <c r="E2659" s="3138">
        <v>28.4</v>
      </c>
      <c r="F2659" s="3138">
        <v>26.1</v>
      </c>
      <c r="G2659" s="3138">
        <v>12</v>
      </c>
      <c r="H2659" s="3177" t="s">
        <v>5820</v>
      </c>
      <c r="I2659" s="3138">
        <v>24.6</v>
      </c>
      <c r="J2659" s="3177">
        <v>21.9</v>
      </c>
      <c r="K2659" s="3177">
        <v>16.8</v>
      </c>
      <c r="L2659" s="3177">
        <v>14.9</v>
      </c>
      <c r="M2659" s="3177">
        <v>25</v>
      </c>
      <c r="Q2659" s="3134"/>
      <c r="R2659" s="3134"/>
    </row>
    <row r="2660" spans="2:18" x14ac:dyDescent="0.2">
      <c r="B2660" s="3138" t="s">
        <v>5832</v>
      </c>
      <c r="C2660" s="3138">
        <v>37.1</v>
      </c>
      <c r="D2660" s="3138">
        <v>32.5</v>
      </c>
      <c r="E2660" s="3138">
        <v>25.5</v>
      </c>
      <c r="F2660" s="3138">
        <v>23.3</v>
      </c>
      <c r="G2660" s="3138">
        <v>13</v>
      </c>
      <c r="H2660" s="3177" t="s">
        <v>5819</v>
      </c>
      <c r="I2660" s="3138">
        <v>21.8</v>
      </c>
      <c r="J2660" s="3177">
        <v>19.600000000000001</v>
      </c>
      <c r="K2660" s="3177">
        <v>15</v>
      </c>
      <c r="L2660" s="3177">
        <v>13.2</v>
      </c>
      <c r="M2660" s="3177">
        <v>26</v>
      </c>
      <c r="Q2660" s="3134"/>
      <c r="R2660" s="3134"/>
    </row>
    <row r="2661" spans="2:18" ht="12.75" customHeight="1" x14ac:dyDescent="0.2">
      <c r="B2661" s="4796" t="s">
        <v>5831</v>
      </c>
      <c r="C2661" s="4801" t="s">
        <v>3785</v>
      </c>
      <c r="D2661" s="4801"/>
      <c r="E2661" s="4801"/>
      <c r="F2661" s="4801"/>
      <c r="G2661" s="3181" t="s">
        <v>2490</v>
      </c>
      <c r="H2661" s="4796" t="s">
        <v>5831</v>
      </c>
      <c r="I2661" s="4801" t="s">
        <v>3785</v>
      </c>
      <c r="J2661" s="4801"/>
      <c r="K2661" s="4801"/>
      <c r="L2661" s="4801"/>
      <c r="M2661" s="3181" t="s">
        <v>2490</v>
      </c>
      <c r="Q2661" s="3134"/>
      <c r="R2661" s="3134"/>
    </row>
    <row r="2662" spans="2:18" x14ac:dyDescent="0.2">
      <c r="B2662" s="4796"/>
      <c r="C2662" s="3181" t="s">
        <v>1084</v>
      </c>
      <c r="D2662" s="3181" t="s">
        <v>1085</v>
      </c>
      <c r="E2662" s="3181" t="s">
        <v>3006</v>
      </c>
      <c r="F2662" s="3181" t="s">
        <v>5830</v>
      </c>
      <c r="G2662" s="3181"/>
      <c r="H2662" s="4796"/>
      <c r="I2662" s="3181" t="s">
        <v>1084</v>
      </c>
      <c r="J2662" s="3181" t="s">
        <v>1085</v>
      </c>
      <c r="K2662" s="3181" t="s">
        <v>3006</v>
      </c>
      <c r="L2662" s="3181" t="s">
        <v>5830</v>
      </c>
      <c r="M2662" s="3181"/>
      <c r="Q2662" s="3134"/>
      <c r="R2662" s="3134"/>
    </row>
    <row r="2663" spans="2:18" ht="15.75" x14ac:dyDescent="0.25">
      <c r="B2663" s="4799" t="s">
        <v>5829</v>
      </c>
      <c r="C2663" s="4799"/>
      <c r="D2663" s="4799"/>
      <c r="E2663" s="4799"/>
      <c r="F2663" s="4799"/>
      <c r="G2663" s="4799"/>
      <c r="H2663" s="4799" t="s">
        <v>5828</v>
      </c>
      <c r="I2663" s="4799"/>
      <c r="J2663" s="4799"/>
      <c r="K2663" s="4799"/>
      <c r="L2663" s="4799"/>
      <c r="M2663" s="4799"/>
      <c r="Q2663" s="3134"/>
      <c r="R2663" s="3134"/>
    </row>
    <row r="2664" spans="2:18" x14ac:dyDescent="0.2">
      <c r="B2664" s="3177" t="s">
        <v>5827</v>
      </c>
      <c r="C2664" s="3177">
        <v>43.6</v>
      </c>
      <c r="D2664" s="3177">
        <v>39.700000000000003</v>
      </c>
      <c r="E2664" s="3177">
        <v>31.7</v>
      </c>
      <c r="F2664" s="3177">
        <v>30.1</v>
      </c>
      <c r="G2664" s="3177">
        <v>27</v>
      </c>
      <c r="H2664" s="3138" t="s">
        <v>5827</v>
      </c>
      <c r="I2664" s="3177">
        <v>168.3</v>
      </c>
      <c r="J2664" s="3177">
        <v>151.80000000000001</v>
      </c>
      <c r="K2664" s="3177">
        <v>124.3</v>
      </c>
      <c r="L2664" s="3177">
        <v>101.5</v>
      </c>
      <c r="M2664" s="3177">
        <v>40</v>
      </c>
      <c r="Q2664" s="3134"/>
      <c r="R2664" s="3134"/>
    </row>
    <row r="2665" spans="2:18" x14ac:dyDescent="0.2">
      <c r="B2665" s="3138" t="s">
        <v>5826</v>
      </c>
      <c r="C2665" s="3177">
        <v>42.4</v>
      </c>
      <c r="D2665" s="3177">
        <v>38.1</v>
      </c>
      <c r="E2665" s="3177">
        <v>30.9</v>
      </c>
      <c r="F2665" s="3177">
        <v>29.2</v>
      </c>
      <c r="G2665" s="3177">
        <v>28</v>
      </c>
      <c r="H2665" s="3138" t="s">
        <v>5826</v>
      </c>
      <c r="I2665" s="3177">
        <v>159.4</v>
      </c>
      <c r="J2665" s="3177">
        <v>143.9</v>
      </c>
      <c r="K2665" s="3177">
        <v>117.9</v>
      </c>
      <c r="L2665" s="3177">
        <v>95.7</v>
      </c>
      <c r="M2665" s="3177">
        <v>41</v>
      </c>
      <c r="Q2665" s="3134"/>
      <c r="R2665" s="3134"/>
    </row>
    <row r="2666" spans="2:18" x14ac:dyDescent="0.2">
      <c r="B2666" s="3138" t="s">
        <v>4069</v>
      </c>
      <c r="C2666" s="3177">
        <v>39</v>
      </c>
      <c r="D2666" s="3177">
        <v>35.6</v>
      </c>
      <c r="E2666" s="3177">
        <v>28.9</v>
      </c>
      <c r="F2666" s="3177">
        <v>27</v>
      </c>
      <c r="G2666" s="3177">
        <v>29</v>
      </c>
      <c r="H2666" s="3138" t="s">
        <v>4069</v>
      </c>
      <c r="I2666" s="3177">
        <v>144.5</v>
      </c>
      <c r="J2666" s="3177">
        <v>132.5</v>
      </c>
      <c r="K2666" s="3177">
        <v>107.1</v>
      </c>
      <c r="L2666" s="3177">
        <v>86.9</v>
      </c>
      <c r="M2666" s="3177">
        <v>42</v>
      </c>
      <c r="Q2666" s="3134"/>
      <c r="R2666" s="3134"/>
    </row>
    <row r="2667" spans="2:18" x14ac:dyDescent="0.2">
      <c r="B2667" s="3138" t="s">
        <v>4072</v>
      </c>
      <c r="C2667" s="3177">
        <v>36.1</v>
      </c>
      <c r="D2667" s="3177">
        <v>33.200000000000003</v>
      </c>
      <c r="E2667" s="3177">
        <v>26.6</v>
      </c>
      <c r="F2667" s="3177">
        <v>25</v>
      </c>
      <c r="G2667" s="3177">
        <v>30</v>
      </c>
      <c r="H2667" s="3138" t="s">
        <v>4072</v>
      </c>
      <c r="I2667" s="3177">
        <v>131.9</v>
      </c>
      <c r="J2667" s="3177">
        <v>121.3</v>
      </c>
      <c r="K2667" s="3177">
        <v>97.9</v>
      </c>
      <c r="L2667" s="3177">
        <v>79.5</v>
      </c>
      <c r="M2667" s="3177">
        <v>43</v>
      </c>
      <c r="Q2667" s="3134"/>
      <c r="R2667" s="3134"/>
    </row>
    <row r="2668" spans="2:18" x14ac:dyDescent="0.2">
      <c r="B2668" s="3138" t="s">
        <v>4073</v>
      </c>
      <c r="C2668" s="3177">
        <v>33.6</v>
      </c>
      <c r="D2668" s="3177">
        <v>30.7</v>
      </c>
      <c r="E2668" s="3177">
        <v>24.8</v>
      </c>
      <c r="F2668" s="3177">
        <v>22.9</v>
      </c>
      <c r="G2668" s="3177">
        <v>31</v>
      </c>
      <c r="H2668" s="3138" t="s">
        <v>4073</v>
      </c>
      <c r="I2668" s="3177">
        <v>120.1</v>
      </c>
      <c r="J2668" s="3177">
        <v>111.4</v>
      </c>
      <c r="K2668" s="3177">
        <v>90</v>
      </c>
      <c r="L2668" s="3177">
        <v>73</v>
      </c>
      <c r="M2668" s="3177">
        <v>44</v>
      </c>
      <c r="Q2668" s="3134"/>
      <c r="R2668" s="3134"/>
    </row>
    <row r="2669" spans="2:18" x14ac:dyDescent="0.2">
      <c r="B2669" s="3138" t="s">
        <v>5825</v>
      </c>
      <c r="C2669" s="3177">
        <v>31.3</v>
      </c>
      <c r="D2669" s="3177">
        <v>28.9</v>
      </c>
      <c r="E2669" s="3177">
        <v>23</v>
      </c>
      <c r="F2669" s="3177">
        <v>21</v>
      </c>
      <c r="G2669" s="3177">
        <v>32</v>
      </c>
      <c r="H2669" s="3138" t="s">
        <v>5825</v>
      </c>
      <c r="I2669" s="3177">
        <v>112</v>
      </c>
      <c r="J2669" s="3177">
        <v>102.9</v>
      </c>
      <c r="K2669" s="3177">
        <v>83</v>
      </c>
      <c r="L2669" s="3177">
        <v>67.3</v>
      </c>
      <c r="M2669" s="3177">
        <v>45</v>
      </c>
      <c r="Q2669" s="3134"/>
      <c r="R2669" s="3134"/>
    </row>
    <row r="2670" spans="2:18" x14ac:dyDescent="0.2">
      <c r="B2670" s="3138" t="s">
        <v>5824</v>
      </c>
      <c r="C2670" s="3177">
        <v>29.5</v>
      </c>
      <c r="D2670" s="3177">
        <v>26.7</v>
      </c>
      <c r="E2670" s="3177">
        <v>21.5</v>
      </c>
      <c r="F2670" s="3177">
        <v>19.3</v>
      </c>
      <c r="G2670" s="3177">
        <v>33</v>
      </c>
      <c r="H2670" s="3138" t="s">
        <v>5824</v>
      </c>
      <c r="I2670" s="3177">
        <v>107</v>
      </c>
      <c r="J2670" s="3177">
        <v>95.4</v>
      </c>
      <c r="K2670" s="3177">
        <v>77.599999999999994</v>
      </c>
      <c r="L2670" s="3177">
        <v>63.5</v>
      </c>
      <c r="M2670" s="3177">
        <v>46</v>
      </c>
      <c r="Q2670" s="3134"/>
      <c r="R2670" s="3134"/>
    </row>
    <row r="2671" spans="2:18" x14ac:dyDescent="0.2">
      <c r="B2671" s="3138" t="s">
        <v>4082</v>
      </c>
      <c r="C2671" s="3177">
        <v>27.1</v>
      </c>
      <c r="D2671" s="3177">
        <v>24.4</v>
      </c>
      <c r="E2671" s="3177">
        <v>19.3</v>
      </c>
      <c r="F2671" s="3177">
        <v>17.2</v>
      </c>
      <c r="G2671" s="3177">
        <v>34</v>
      </c>
      <c r="H2671" s="3138" t="s">
        <v>4082</v>
      </c>
      <c r="I2671" s="3177">
        <v>97.5</v>
      </c>
      <c r="J2671" s="3177">
        <v>83.1</v>
      </c>
      <c r="K2671" s="3177">
        <v>69</v>
      </c>
      <c r="L2671" s="3177">
        <v>56.4</v>
      </c>
      <c r="M2671" s="3177">
        <v>47</v>
      </c>
      <c r="Q2671" s="3134"/>
      <c r="R2671" s="3134"/>
    </row>
    <row r="2672" spans="2:18" x14ac:dyDescent="0.2">
      <c r="B2672" s="3138" t="s">
        <v>5823</v>
      </c>
      <c r="C2672" s="3177">
        <v>24.6</v>
      </c>
      <c r="D2672" s="3177">
        <v>22</v>
      </c>
      <c r="E2672" s="3177">
        <v>17.2</v>
      </c>
      <c r="F2672" s="3177">
        <v>15.3</v>
      </c>
      <c r="G2672" s="3177">
        <v>35</v>
      </c>
      <c r="H2672" s="3138" t="s">
        <v>5823</v>
      </c>
      <c r="I2672" s="3177">
        <v>87.9</v>
      </c>
      <c r="J2672" s="3177">
        <v>78.3</v>
      </c>
      <c r="K2672" s="3177">
        <v>60.9</v>
      </c>
      <c r="L2672" s="3177">
        <v>49.7</v>
      </c>
      <c r="M2672" s="3177">
        <v>48</v>
      </c>
      <c r="Q2672" s="3134"/>
      <c r="R2672" s="3134"/>
    </row>
    <row r="2673" spans="2:24" x14ac:dyDescent="0.2">
      <c r="B2673" s="3138" t="s">
        <v>5822</v>
      </c>
      <c r="C2673" s="3177">
        <v>22.2</v>
      </c>
      <c r="D2673" s="3177">
        <v>19.8</v>
      </c>
      <c r="E2673" s="3177">
        <v>15.3</v>
      </c>
      <c r="F2673" s="3177">
        <v>13.5</v>
      </c>
      <c r="G2673" s="3177">
        <v>36</v>
      </c>
      <c r="H2673" s="3138" t="s">
        <v>5822</v>
      </c>
      <c r="I2673" s="3177">
        <v>78.7</v>
      </c>
      <c r="J2673" s="3177">
        <v>70.2</v>
      </c>
      <c r="K2673" s="3177">
        <v>53.5</v>
      </c>
      <c r="L2673" s="3177">
        <v>44.1</v>
      </c>
      <c r="M2673" s="3177">
        <v>49</v>
      </c>
      <c r="Q2673" s="3134"/>
      <c r="R2673" s="3134"/>
    </row>
    <row r="2674" spans="2:24" x14ac:dyDescent="0.2">
      <c r="B2674" s="3138" t="s">
        <v>5821</v>
      </c>
      <c r="C2674" s="3177">
        <v>19.100000000000001</v>
      </c>
      <c r="D2674" s="3177">
        <v>17.7</v>
      </c>
      <c r="E2674" s="3177">
        <v>13.5</v>
      </c>
      <c r="F2674" s="3177">
        <v>11.9</v>
      </c>
      <c r="G2674" s="3177">
        <v>37</v>
      </c>
      <c r="H2674" s="3138" t="s">
        <v>5821</v>
      </c>
      <c r="I2674" s="3177">
        <v>70.2</v>
      </c>
      <c r="J2674" s="3177">
        <v>62.6</v>
      </c>
      <c r="K2674" s="3177">
        <v>47.1</v>
      </c>
      <c r="L2674" s="3177">
        <v>38.4</v>
      </c>
      <c r="M2674" s="3177">
        <v>50</v>
      </c>
      <c r="Q2674" s="3134"/>
      <c r="R2674" s="3134"/>
    </row>
    <row r="2675" spans="2:24" x14ac:dyDescent="0.2">
      <c r="B2675" s="3138" t="s">
        <v>5820</v>
      </c>
      <c r="C2675" s="3177">
        <v>17.399999999999999</v>
      </c>
      <c r="D2675" s="3177">
        <v>15.7</v>
      </c>
      <c r="E2675" s="3177">
        <v>12</v>
      </c>
      <c r="F2675" s="3177">
        <v>10.4</v>
      </c>
      <c r="G2675" s="3177">
        <v>38</v>
      </c>
      <c r="H2675" s="3138" t="s">
        <v>5820</v>
      </c>
      <c r="I2675" s="3177">
        <v>60.4</v>
      </c>
      <c r="J2675" s="3177">
        <v>55.1</v>
      </c>
      <c r="K2675" s="3177">
        <v>41.3</v>
      </c>
      <c r="L2675" s="3177">
        <v>33.700000000000003</v>
      </c>
      <c r="M2675" s="3177">
        <v>51</v>
      </c>
      <c r="Q2675" s="3134"/>
      <c r="R2675" s="3134"/>
    </row>
    <row r="2676" spans="2:24" x14ac:dyDescent="0.2">
      <c r="B2676" s="3138" t="s">
        <v>5819</v>
      </c>
      <c r="C2676" s="3177">
        <v>15.6</v>
      </c>
      <c r="D2676" s="3177">
        <v>14</v>
      </c>
      <c r="E2676" s="3177">
        <v>10.6</v>
      </c>
      <c r="F2676" s="3177">
        <v>9.1999999999999993</v>
      </c>
      <c r="G2676" s="3177">
        <v>39</v>
      </c>
      <c r="H2676" s="3138" t="s">
        <v>5819</v>
      </c>
      <c r="I2676" s="3177">
        <v>53.8</v>
      </c>
      <c r="J2676" s="3177">
        <v>49.2</v>
      </c>
      <c r="K2676" s="3177">
        <v>36.5</v>
      </c>
      <c r="L2676" s="3177">
        <v>29.7</v>
      </c>
      <c r="M2676" s="3177">
        <v>52</v>
      </c>
      <c r="Q2676" s="3134"/>
      <c r="R2676" s="3134"/>
    </row>
    <row r="2677" spans="2:24" x14ac:dyDescent="0.2">
      <c r="Q2677" s="3134"/>
      <c r="R2677" s="3134"/>
    </row>
    <row r="2679" spans="2:24" x14ac:dyDescent="0.2">
      <c r="N2679" s="3146" t="s">
        <v>4808</v>
      </c>
      <c r="O2679" s="3146"/>
    </row>
    <row r="2680" spans="2:24" ht="15.75" x14ac:dyDescent="0.25">
      <c r="K2680" s="3166" t="s">
        <v>5806</v>
      </c>
      <c r="L2680" s="3166"/>
      <c r="M2680" s="3166"/>
      <c r="N2680" s="3155"/>
      <c r="P2680" s="4804" t="s">
        <v>3152</v>
      </c>
      <c r="Q2680" s="4804"/>
      <c r="R2680" s="4804"/>
      <c r="W2680" s="3146" t="s">
        <v>4062</v>
      </c>
      <c r="X2680" s="3146"/>
    </row>
    <row r="2681" spans="2:24" ht="15.75" customHeight="1" x14ac:dyDescent="0.25">
      <c r="K2681" s="3162" t="s">
        <v>2471</v>
      </c>
      <c r="L2681" s="3162"/>
      <c r="M2681" s="4786" t="s">
        <v>2472</v>
      </c>
      <c r="N2681" s="4786"/>
      <c r="O2681" s="3150" t="s">
        <v>2490</v>
      </c>
      <c r="P2681" s="3138" t="s">
        <v>2473</v>
      </c>
      <c r="Q2681" s="3138"/>
      <c r="R2681" s="3138"/>
      <c r="T2681" s="4805" t="s">
        <v>4066</v>
      </c>
      <c r="U2681" s="4805"/>
      <c r="V2681" s="4805"/>
      <c r="W2681" s="4805"/>
      <c r="X2681" s="4805"/>
    </row>
    <row r="2682" spans="2:24" ht="12.75" customHeight="1" x14ac:dyDescent="0.2">
      <c r="C2682" s="3146" t="s">
        <v>4085</v>
      </c>
      <c r="D2682" s="3146"/>
      <c r="K2682" s="4802" t="s">
        <v>2477</v>
      </c>
      <c r="L2682" s="4802"/>
      <c r="M2682" s="4802">
        <v>43.4</v>
      </c>
      <c r="N2682" s="4802"/>
      <c r="O2682" s="3138">
        <v>1</v>
      </c>
      <c r="P2682" s="3138">
        <f>(323+585)/2</f>
        <v>454</v>
      </c>
      <c r="Q2682" s="3128">
        <f t="shared" ref="Q2682:Q2688" si="1262">P2682/1000</f>
        <v>0.45400000000000001</v>
      </c>
      <c r="T2682" s="4806" t="s">
        <v>5602</v>
      </c>
      <c r="U2682" s="4806"/>
      <c r="V2682" s="4806" t="s">
        <v>4068</v>
      </c>
      <c r="W2682" s="4806"/>
      <c r="X2682" s="3169" t="s">
        <v>2490</v>
      </c>
    </row>
    <row r="2683" spans="2:24" ht="15.75" x14ac:dyDescent="0.25">
      <c r="B2683" s="3228" t="s">
        <v>5333</v>
      </c>
      <c r="C2683" s="3228"/>
      <c r="D2683" s="3228"/>
      <c r="K2683" s="4802">
        <v>1</v>
      </c>
      <c r="L2683" s="4802"/>
      <c r="M2683" s="4802">
        <v>44.9</v>
      </c>
      <c r="N2683" s="4802"/>
      <c r="O2683" s="3138">
        <v>2</v>
      </c>
      <c r="P2683" s="3138">
        <v>546.5</v>
      </c>
      <c r="Q2683" s="3128">
        <f t="shared" si="1262"/>
        <v>0.54649999999999999</v>
      </c>
      <c r="T2683" s="4806"/>
      <c r="U2683" s="4806"/>
      <c r="V2683" s="3150" t="s">
        <v>1084</v>
      </c>
      <c r="W2683" s="3150" t="s">
        <v>4071</v>
      </c>
      <c r="X2683" s="3150"/>
    </row>
    <row r="2684" spans="2:24" ht="12.75" customHeight="1" x14ac:dyDescent="0.2">
      <c r="B2684" s="3227" t="s">
        <v>4882</v>
      </c>
      <c r="C2684" s="3159"/>
      <c r="D2684" s="3159"/>
      <c r="E2684" s="3138" t="s">
        <v>4883</v>
      </c>
      <c r="F2684" s="3138" t="s">
        <v>4884</v>
      </c>
      <c r="G2684" s="4802" t="s">
        <v>4885</v>
      </c>
      <c r="H2684" s="4802"/>
      <c r="K2684" s="4802">
        <v>2</v>
      </c>
      <c r="L2684" s="4802"/>
      <c r="M2684" s="4802">
        <v>36.299999999999997</v>
      </c>
      <c r="N2684" s="4802"/>
      <c r="O2684" s="3138">
        <v>3</v>
      </c>
      <c r="P2684" s="3138">
        <v>660</v>
      </c>
      <c r="Q2684" s="3128">
        <f t="shared" si="1262"/>
        <v>0.66</v>
      </c>
      <c r="T2684" s="4803" t="s">
        <v>4067</v>
      </c>
      <c r="U2684" s="4803"/>
      <c r="V2684" s="3138"/>
      <c r="W2684" s="3138">
        <v>57.8</v>
      </c>
      <c r="X2684" s="3138">
        <v>1</v>
      </c>
    </row>
    <row r="2685" spans="2:24" ht="12.75" customHeight="1" x14ac:dyDescent="0.2">
      <c r="B2685" s="3227" t="s">
        <v>2472</v>
      </c>
      <c r="C2685" s="3159"/>
      <c r="D2685" s="3159"/>
      <c r="E2685" s="3138">
        <v>138</v>
      </c>
      <c r="F2685" s="3138">
        <v>132</v>
      </c>
      <c r="G2685" s="4802">
        <v>125</v>
      </c>
      <c r="H2685" s="4802"/>
      <c r="K2685" s="4802">
        <v>3</v>
      </c>
      <c r="L2685" s="4802"/>
      <c r="M2685" s="4802">
        <v>31.1</v>
      </c>
      <c r="N2685" s="4802"/>
      <c r="O2685" s="3138">
        <v>4</v>
      </c>
      <c r="P2685" s="3138">
        <v>805</v>
      </c>
      <c r="Q2685" s="3128">
        <f t="shared" si="1262"/>
        <v>0.80500000000000005</v>
      </c>
      <c r="T2685" s="4803" t="s">
        <v>4074</v>
      </c>
      <c r="U2685" s="4803"/>
      <c r="V2685" s="3138">
        <v>71.2</v>
      </c>
      <c r="W2685" s="3138">
        <v>61.8</v>
      </c>
      <c r="X2685" s="3138">
        <v>2</v>
      </c>
    </row>
    <row r="2686" spans="2:24" ht="12.75" customHeight="1" x14ac:dyDescent="0.2">
      <c r="K2686" s="4802">
        <v>4</v>
      </c>
      <c r="L2686" s="4802"/>
      <c r="M2686" s="4802">
        <v>24.9</v>
      </c>
      <c r="N2686" s="4802"/>
      <c r="O2686" s="3138">
        <v>5</v>
      </c>
      <c r="P2686" s="3138">
        <v>1007.5</v>
      </c>
      <c r="Q2686" s="3128">
        <f t="shared" si="1262"/>
        <v>1.0075000000000001</v>
      </c>
      <c r="T2686" s="4803" t="s">
        <v>4078</v>
      </c>
      <c r="U2686" s="4803"/>
      <c r="V2686" s="3138">
        <v>81.3</v>
      </c>
      <c r="W2686" s="3138">
        <v>67.8</v>
      </c>
      <c r="X2686" s="3138">
        <v>3</v>
      </c>
    </row>
    <row r="2687" spans="2:24" ht="12.75" customHeight="1" x14ac:dyDescent="0.2">
      <c r="K2687" s="4802">
        <v>5</v>
      </c>
      <c r="L2687" s="4802"/>
      <c r="M2687" s="4802">
        <v>20.6</v>
      </c>
      <c r="N2687" s="4802"/>
      <c r="O2687" s="3138">
        <v>6</v>
      </c>
      <c r="P2687" s="3138">
        <v>1212.5</v>
      </c>
      <c r="Q2687" s="3128">
        <f t="shared" si="1262"/>
        <v>1.2124999999999999</v>
      </c>
      <c r="T2687" s="4803" t="s">
        <v>4080</v>
      </c>
      <c r="U2687" s="4803"/>
      <c r="V2687" s="3138">
        <v>89.7</v>
      </c>
      <c r="W2687" s="3138">
        <v>83.2</v>
      </c>
      <c r="X2687" s="3138">
        <v>4</v>
      </c>
    </row>
    <row r="2688" spans="2:24" ht="12.75" customHeight="1" x14ac:dyDescent="0.2">
      <c r="H2688" s="3158"/>
      <c r="K2688" s="4802">
        <v>6</v>
      </c>
      <c r="L2688" s="4802"/>
      <c r="M2688" s="4802">
        <v>17.5</v>
      </c>
      <c r="N2688" s="4802"/>
      <c r="O2688" s="3138">
        <v>7</v>
      </c>
      <c r="P2688" s="3138">
        <v>1517.5</v>
      </c>
      <c r="Q2688" s="3128">
        <f t="shared" si="1262"/>
        <v>1.5175000000000001</v>
      </c>
      <c r="T2688" s="4803" t="s">
        <v>4086</v>
      </c>
      <c r="U2688" s="4803"/>
      <c r="V2688" s="3138">
        <v>71</v>
      </c>
      <c r="W2688" s="3138">
        <v>67.400000000000006</v>
      </c>
      <c r="X2688" s="3138">
        <v>5</v>
      </c>
    </row>
    <row r="2689" spans="2:17" x14ac:dyDescent="0.2">
      <c r="P2689" s="3128" t="s">
        <v>4075</v>
      </c>
      <c r="Q2689" s="3128" t="s">
        <v>4076</v>
      </c>
    </row>
    <row r="2690" spans="2:17" x14ac:dyDescent="0.2">
      <c r="D2690" s="3146" t="s">
        <v>2469</v>
      </c>
      <c r="E2690" s="3146"/>
    </row>
    <row r="2691" spans="2:17" ht="15.75" x14ac:dyDescent="0.25">
      <c r="B2691" s="3157" t="s">
        <v>2474</v>
      </c>
      <c r="C2691" s="3157"/>
      <c r="D2691" s="3157"/>
      <c r="E2691" s="3157"/>
      <c r="F2691" s="3157"/>
    </row>
    <row r="2692" spans="2:17" ht="15.75" x14ac:dyDescent="0.25">
      <c r="B2692" s="3156" t="s">
        <v>5333</v>
      </c>
      <c r="C2692" s="3156"/>
      <c r="D2692" s="3156"/>
      <c r="E2692" s="3155"/>
      <c r="J2692" s="3146" t="s">
        <v>5817</v>
      </c>
      <c r="K2692" s="3146"/>
      <c r="O2692" s="3146" t="s">
        <v>5818</v>
      </c>
      <c r="P2692" s="3146"/>
    </row>
    <row r="2693" spans="2:17" ht="15.75" customHeight="1" x14ac:dyDescent="0.25">
      <c r="B2693" s="4787" t="s">
        <v>4254</v>
      </c>
      <c r="C2693" s="4787"/>
      <c r="D2693" s="3150" t="s">
        <v>4255</v>
      </c>
      <c r="E2693" s="3150"/>
      <c r="F2693" s="3150" t="s">
        <v>2490</v>
      </c>
      <c r="H2693" s="4805" t="s">
        <v>5119</v>
      </c>
      <c r="I2693" s="4805"/>
      <c r="J2693" s="4805"/>
      <c r="K2693" s="4805"/>
      <c r="M2693" s="4805" t="s">
        <v>5816</v>
      </c>
      <c r="N2693" s="4805"/>
      <c r="O2693" s="4805"/>
      <c r="P2693" s="4805"/>
    </row>
    <row r="2694" spans="2:17" ht="38.25" x14ac:dyDescent="0.2">
      <c r="B2694" s="4787"/>
      <c r="C2694" s="4787"/>
      <c r="D2694" s="3150" t="s">
        <v>4063</v>
      </c>
      <c r="E2694" s="3150" t="s">
        <v>4064</v>
      </c>
      <c r="F2694" s="3150"/>
      <c r="H2694" s="3163" t="s">
        <v>2098</v>
      </c>
      <c r="I2694" s="3163" t="s">
        <v>5122</v>
      </c>
      <c r="J2694" s="3150" t="s">
        <v>2490</v>
      </c>
      <c r="M2694" s="3163" t="s">
        <v>2098</v>
      </c>
      <c r="N2694" s="3163" t="s">
        <v>5122</v>
      </c>
      <c r="O2694" s="3150" t="s">
        <v>2490</v>
      </c>
    </row>
    <row r="2695" spans="2:17" x14ac:dyDescent="0.2">
      <c r="B2695" s="4802" t="s">
        <v>4067</v>
      </c>
      <c r="C2695" s="4802"/>
      <c r="D2695" s="3138">
        <v>110</v>
      </c>
      <c r="E2695" s="3138">
        <v>90</v>
      </c>
      <c r="F2695" s="3138">
        <v>1</v>
      </c>
      <c r="H2695" s="3138" t="s">
        <v>1220</v>
      </c>
      <c r="I2695" s="3138">
        <v>281</v>
      </c>
      <c r="J2695" s="3138">
        <v>1</v>
      </c>
      <c r="M2695" s="3164" t="s">
        <v>5815</v>
      </c>
      <c r="N2695" s="3138">
        <v>323</v>
      </c>
      <c r="O2695" s="3138">
        <v>1</v>
      </c>
    </row>
    <row r="2696" spans="2:17" x14ac:dyDescent="0.2">
      <c r="B2696" s="4802" t="s">
        <v>4069</v>
      </c>
      <c r="C2696" s="4802"/>
      <c r="D2696" s="3138">
        <v>104</v>
      </c>
      <c r="E2696" s="3138">
        <v>85</v>
      </c>
      <c r="F2696" s="3138">
        <v>2</v>
      </c>
      <c r="H2696" s="3138" t="s">
        <v>4802</v>
      </c>
      <c r="I2696" s="3138">
        <v>250</v>
      </c>
      <c r="J2696" s="3138">
        <v>2</v>
      </c>
      <c r="M2696" s="3164" t="s">
        <v>5814</v>
      </c>
      <c r="N2696" s="3138">
        <v>285</v>
      </c>
      <c r="O2696" s="3138">
        <v>2</v>
      </c>
    </row>
    <row r="2697" spans="2:17" x14ac:dyDescent="0.2">
      <c r="B2697" s="4802" t="s">
        <v>4072</v>
      </c>
      <c r="C2697" s="4802"/>
      <c r="D2697" s="3138">
        <v>99</v>
      </c>
      <c r="E2697" s="3138">
        <v>82</v>
      </c>
      <c r="F2697" s="3138">
        <v>3</v>
      </c>
      <c r="H2697" s="3138" t="s">
        <v>4805</v>
      </c>
      <c r="I2697" s="3138">
        <v>224</v>
      </c>
      <c r="J2697" s="3138">
        <v>3</v>
      </c>
      <c r="M2697" s="3164" t="s">
        <v>5813</v>
      </c>
      <c r="N2697" s="3138">
        <v>246</v>
      </c>
      <c r="O2697" s="3138">
        <v>3</v>
      </c>
    </row>
    <row r="2698" spans="2:17" x14ac:dyDescent="0.2">
      <c r="B2698" s="4802" t="s">
        <v>4073</v>
      </c>
      <c r="C2698" s="4802"/>
      <c r="D2698" s="3138">
        <v>93</v>
      </c>
      <c r="E2698" s="3138">
        <v>77</v>
      </c>
      <c r="F2698" s="3138">
        <v>4</v>
      </c>
      <c r="H2698" s="3138" t="s">
        <v>4807</v>
      </c>
      <c r="I2698" s="3138">
        <v>197</v>
      </c>
      <c r="J2698" s="3138">
        <v>4</v>
      </c>
      <c r="M2698" s="3164" t="s">
        <v>5812</v>
      </c>
      <c r="N2698" s="3138">
        <v>212</v>
      </c>
      <c r="O2698" s="3138">
        <v>4</v>
      </c>
    </row>
    <row r="2699" spans="2:17" x14ac:dyDescent="0.2">
      <c r="B2699" s="4802" t="s">
        <v>4077</v>
      </c>
      <c r="C2699" s="4802"/>
      <c r="D2699" s="3138">
        <v>89</v>
      </c>
      <c r="E2699" s="3138">
        <v>74</v>
      </c>
      <c r="F2699" s="3138">
        <v>5</v>
      </c>
      <c r="H2699" s="3138" t="s">
        <v>3150</v>
      </c>
      <c r="I2699" s="3138">
        <v>172</v>
      </c>
      <c r="J2699" s="3138">
        <v>5</v>
      </c>
      <c r="M2699" s="3164" t="s">
        <v>5811</v>
      </c>
      <c r="N2699" s="3138">
        <v>186</v>
      </c>
      <c r="O2699" s="3138">
        <v>5</v>
      </c>
    </row>
    <row r="2700" spans="2:17" x14ac:dyDescent="0.2">
      <c r="B2700" s="4802" t="s">
        <v>4079</v>
      </c>
      <c r="C2700" s="4802"/>
      <c r="D2700" s="3138">
        <v>85</v>
      </c>
      <c r="E2700" s="3138">
        <v>69</v>
      </c>
      <c r="F2700" s="3138">
        <v>6</v>
      </c>
      <c r="H2700" s="3138" t="s">
        <v>2470</v>
      </c>
      <c r="I2700" s="3138">
        <v>149</v>
      </c>
      <c r="J2700" s="3138">
        <v>6</v>
      </c>
      <c r="M2700" s="3164" t="s">
        <v>5810</v>
      </c>
      <c r="N2700" s="3138">
        <v>159</v>
      </c>
      <c r="O2700" s="3138">
        <v>6</v>
      </c>
    </row>
    <row r="2701" spans="2:17" ht="25.5" x14ac:dyDescent="0.2">
      <c r="B2701" s="4802" t="s">
        <v>4082</v>
      </c>
      <c r="C2701" s="4802"/>
      <c r="D2701" s="3138">
        <v>78</v>
      </c>
      <c r="E2701" s="3138">
        <v>62</v>
      </c>
      <c r="F2701" s="3138">
        <v>7</v>
      </c>
      <c r="H2701" s="3167" t="s">
        <v>2476</v>
      </c>
      <c r="I2701" s="3138">
        <v>128</v>
      </c>
      <c r="J2701" s="3138">
        <v>7</v>
      </c>
      <c r="M2701" s="3164" t="s">
        <v>5809</v>
      </c>
      <c r="N2701" s="3138">
        <v>139</v>
      </c>
      <c r="O2701" s="3138">
        <v>7</v>
      </c>
    </row>
    <row r="2702" spans="2:17" x14ac:dyDescent="0.2">
      <c r="B2702" s="4802" t="s">
        <v>4087</v>
      </c>
      <c r="C2702" s="4802"/>
      <c r="D2702" s="3138">
        <v>73</v>
      </c>
      <c r="E2702" s="3138">
        <v>58</v>
      </c>
      <c r="F2702" s="3138">
        <v>8</v>
      </c>
      <c r="M2702" s="3164" t="s">
        <v>5808</v>
      </c>
      <c r="N2702" s="3138">
        <v>122</v>
      </c>
      <c r="O2702" s="3138">
        <v>8</v>
      </c>
    </row>
    <row r="2703" spans="2:17" x14ac:dyDescent="0.2">
      <c r="B2703" s="4802" t="s">
        <v>4879</v>
      </c>
      <c r="C2703" s="4802"/>
      <c r="D2703" s="3138">
        <v>67</v>
      </c>
      <c r="E2703" s="3138">
        <v>53</v>
      </c>
      <c r="F2703" s="3138">
        <v>9</v>
      </c>
      <c r="M2703" s="3164" t="s">
        <v>5807</v>
      </c>
      <c r="N2703" s="3138">
        <v>110</v>
      </c>
      <c r="O2703" s="3138">
        <v>9</v>
      </c>
    </row>
    <row r="2704" spans="2:17" ht="25.5" x14ac:dyDescent="0.2">
      <c r="B2704" s="4802" t="s">
        <v>4886</v>
      </c>
      <c r="C2704" s="4802"/>
      <c r="D2704" s="3138">
        <v>58</v>
      </c>
      <c r="E2704" s="3138">
        <v>46</v>
      </c>
      <c r="F2704" s="3138">
        <v>10</v>
      </c>
      <c r="M2704" s="3164" t="s">
        <v>5805</v>
      </c>
      <c r="N2704" s="3138">
        <v>97</v>
      </c>
      <c r="O2704" s="3138">
        <v>10</v>
      </c>
    </row>
    <row r="2705" spans="2:12" x14ac:dyDescent="0.2">
      <c r="B2705" s="4802" t="s">
        <v>4889</v>
      </c>
      <c r="C2705" s="4802"/>
      <c r="D2705" s="3138">
        <v>51</v>
      </c>
      <c r="E2705" s="3138">
        <v>41</v>
      </c>
      <c r="F2705" s="3138">
        <v>11</v>
      </c>
    </row>
    <row r="2706" spans="2:12" x14ac:dyDescent="0.2">
      <c r="B2706" s="4802" t="s">
        <v>4890</v>
      </c>
      <c r="C2706" s="4802"/>
      <c r="D2706" s="3138">
        <v>47</v>
      </c>
      <c r="E2706" s="3138">
        <v>37</v>
      </c>
      <c r="F2706" s="3138">
        <v>12</v>
      </c>
      <c r="K2706" s="3146" t="s">
        <v>3022</v>
      </c>
      <c r="L2706" s="3146"/>
    </row>
    <row r="2707" spans="2:12" ht="18" customHeight="1" x14ac:dyDescent="0.25">
      <c r="B2707" s="4802" t="s">
        <v>4891</v>
      </c>
      <c r="C2707" s="4802"/>
      <c r="D2707" s="3138">
        <v>43</v>
      </c>
      <c r="E2707" s="3138">
        <v>34</v>
      </c>
      <c r="F2707" s="3138">
        <v>13</v>
      </c>
      <c r="H2707" s="4807" t="s">
        <v>5118</v>
      </c>
      <c r="I2707" s="4807"/>
      <c r="J2707" s="4807"/>
      <c r="K2707" s="4807"/>
      <c r="L2707" s="4807"/>
    </row>
    <row r="2708" spans="2:12" ht="12.75" customHeight="1" x14ac:dyDescent="0.2">
      <c r="B2708" s="4802" t="s">
        <v>3354</v>
      </c>
      <c r="C2708" s="4802"/>
      <c r="D2708" s="3138">
        <v>39</v>
      </c>
      <c r="E2708" s="3138">
        <v>31</v>
      </c>
      <c r="F2708" s="3138">
        <v>14</v>
      </c>
      <c r="H2708" s="4787" t="s">
        <v>5120</v>
      </c>
      <c r="I2708" s="4786" t="s">
        <v>5121</v>
      </c>
      <c r="J2708" s="4786"/>
      <c r="K2708" s="4786"/>
      <c r="L2708" s="4786"/>
    </row>
    <row r="2709" spans="2:12" x14ac:dyDescent="0.2">
      <c r="B2709" s="4802" t="s">
        <v>3357</v>
      </c>
      <c r="C2709" s="4802"/>
      <c r="D2709" s="3138">
        <v>36</v>
      </c>
      <c r="E2709" s="3138">
        <v>28</v>
      </c>
      <c r="F2709" s="3138">
        <v>15</v>
      </c>
      <c r="H2709" s="4787"/>
      <c r="I2709" s="4786" t="s">
        <v>5126</v>
      </c>
      <c r="J2709" s="4786"/>
      <c r="K2709" s="4786" t="s">
        <v>5127</v>
      </c>
      <c r="L2709" s="4786"/>
    </row>
    <row r="2710" spans="2:12" x14ac:dyDescent="0.2">
      <c r="B2710" s="4802" t="s">
        <v>3360</v>
      </c>
      <c r="C2710" s="4802"/>
      <c r="D2710" s="3138">
        <v>33</v>
      </c>
      <c r="E2710" s="3138">
        <v>26</v>
      </c>
      <c r="F2710" s="3138">
        <v>16</v>
      </c>
      <c r="H2710" s="4787"/>
      <c r="I2710" s="3150" t="s">
        <v>3713</v>
      </c>
      <c r="J2710" s="3150" t="s">
        <v>3714</v>
      </c>
      <c r="K2710" s="3150" t="s">
        <v>3713</v>
      </c>
      <c r="L2710" s="3150" t="s">
        <v>3714</v>
      </c>
    </row>
    <row r="2711" spans="2:12" ht="25.5" x14ac:dyDescent="0.2">
      <c r="B2711" s="4802" t="s">
        <v>3362</v>
      </c>
      <c r="C2711" s="4802"/>
      <c r="D2711" s="3138">
        <v>31</v>
      </c>
      <c r="E2711" s="3138">
        <v>25</v>
      </c>
      <c r="F2711" s="3138">
        <v>17</v>
      </c>
      <c r="H2711" s="3167" t="s">
        <v>4804</v>
      </c>
      <c r="I2711" s="3138">
        <v>317</v>
      </c>
      <c r="J2711" s="3138">
        <v>444</v>
      </c>
      <c r="K2711" s="3138">
        <v>353</v>
      </c>
      <c r="L2711" s="3138">
        <v>452</v>
      </c>
    </row>
    <row r="2712" spans="2:12" ht="25.5" x14ac:dyDescent="0.2">
      <c r="B2712" s="4802" t="s">
        <v>3363</v>
      </c>
      <c r="C2712" s="4802"/>
      <c r="D2712" s="3138">
        <v>30</v>
      </c>
      <c r="E2712" s="3138">
        <v>23</v>
      </c>
      <c r="F2712" s="3138">
        <v>18</v>
      </c>
      <c r="H2712" s="3167" t="s">
        <v>4806</v>
      </c>
      <c r="I2712" s="3138">
        <v>291</v>
      </c>
      <c r="J2712" s="3138">
        <v>444</v>
      </c>
      <c r="K2712" s="3138">
        <v>253</v>
      </c>
      <c r="L2712" s="3138">
        <v>452</v>
      </c>
    </row>
    <row r="2713" spans="2:12" ht="25.5" x14ac:dyDescent="0.2">
      <c r="B2713" s="4802" t="s">
        <v>3364</v>
      </c>
      <c r="C2713" s="4802"/>
      <c r="D2713" s="3138">
        <v>28</v>
      </c>
      <c r="E2713" s="3138">
        <v>22</v>
      </c>
      <c r="F2713" s="3138">
        <v>19</v>
      </c>
      <c r="H2713" s="3167" t="s">
        <v>4809</v>
      </c>
      <c r="I2713" s="3138">
        <v>247</v>
      </c>
      <c r="J2713" s="3138">
        <v>369</v>
      </c>
      <c r="K2713" s="3138">
        <v>258</v>
      </c>
      <c r="L2713" s="3138">
        <v>376</v>
      </c>
    </row>
    <row r="2716" spans="2:12" x14ac:dyDescent="0.2">
      <c r="H2716" s="3146" t="s">
        <v>5804</v>
      </c>
      <c r="I2716" s="3146"/>
    </row>
    <row r="2717" spans="2:12" ht="15.75" x14ac:dyDescent="0.25">
      <c r="B2717" s="4808" t="s">
        <v>5803</v>
      </c>
      <c r="C2717" s="4808"/>
      <c r="D2717" s="4808"/>
      <c r="E2717" s="4808"/>
      <c r="F2717" s="4808"/>
      <c r="G2717" s="4808"/>
      <c r="H2717" s="4808"/>
      <c r="I2717" s="4808"/>
      <c r="J2717" s="4808"/>
    </row>
    <row r="2718" spans="2:12" ht="15.75" x14ac:dyDescent="0.25">
      <c r="B2718" s="3142" t="s">
        <v>5802</v>
      </c>
      <c r="C2718" s="3142"/>
      <c r="D2718" s="3142"/>
      <c r="E2718" s="3142"/>
      <c r="F2718" s="3142"/>
      <c r="G2718" s="3142"/>
      <c r="H2718" s="3142"/>
      <c r="I2718" s="3141"/>
      <c r="J2718" s="3141"/>
    </row>
    <row r="2719" spans="2:12" ht="15.75" x14ac:dyDescent="0.25">
      <c r="B2719" s="4809" t="s">
        <v>5801</v>
      </c>
      <c r="C2719" s="4809"/>
      <c r="D2719" s="4809"/>
      <c r="E2719" s="4809"/>
      <c r="F2719" s="4809"/>
      <c r="G2719" s="4809"/>
      <c r="H2719" s="4809"/>
      <c r="I2719" s="4809"/>
      <c r="J2719" s="4809"/>
    </row>
    <row r="2720" spans="2:12" x14ac:dyDescent="0.2">
      <c r="B2720" s="3139" t="s">
        <v>5800</v>
      </c>
      <c r="C2720" s="3138" t="s">
        <v>5799</v>
      </c>
      <c r="D2720" s="3138" t="s">
        <v>5798</v>
      </c>
      <c r="E2720" s="3138" t="s">
        <v>5797</v>
      </c>
      <c r="F2720" s="3138" t="s">
        <v>5796</v>
      </c>
      <c r="G2720" s="3138" t="s">
        <v>5795</v>
      </c>
      <c r="H2720" s="3138" t="s">
        <v>5794</v>
      </c>
      <c r="I2720" s="4802" t="s">
        <v>5793</v>
      </c>
      <c r="J2720" s="4802"/>
    </row>
    <row r="2721" spans="1:23" x14ac:dyDescent="0.2">
      <c r="B2721" s="3138">
        <v>3.24</v>
      </c>
      <c r="C2721" s="3138">
        <v>2.83</v>
      </c>
      <c r="D2721" s="3138">
        <v>2.52</v>
      </c>
      <c r="E2721" s="3138">
        <v>2.2400000000000002</v>
      </c>
      <c r="F2721" s="3138">
        <v>2.0299999999999998</v>
      </c>
      <c r="G2721" s="3138">
        <v>1.87</v>
      </c>
      <c r="H2721" s="3138">
        <v>1.72</v>
      </c>
      <c r="I2721" s="4802">
        <v>1.6</v>
      </c>
      <c r="J2721" s="4802"/>
    </row>
    <row r="2724" spans="1:23" x14ac:dyDescent="0.2">
      <c r="B2724" s="3132" t="s">
        <v>1509</v>
      </c>
      <c r="C2724" s="3132"/>
      <c r="D2724" s="3132"/>
      <c r="E2724" s="3132"/>
      <c r="F2724" s="3132"/>
      <c r="G2724" s="3132"/>
      <c r="H2724" s="3132"/>
      <c r="I2724" s="3132"/>
      <c r="J2724" s="3132"/>
      <c r="K2724" s="3132"/>
    </row>
    <row r="2725" spans="1:23" x14ac:dyDescent="0.2">
      <c r="B2725" s="3132" t="s">
        <v>1428</v>
      </c>
      <c r="C2725" s="3132"/>
      <c r="D2725" s="3132"/>
      <c r="E2725" s="3132"/>
      <c r="F2725" s="3132"/>
      <c r="G2725" s="3132"/>
      <c r="H2725" s="3132"/>
      <c r="I2725" s="3132"/>
      <c r="J2725" s="3132"/>
      <c r="K2725" s="3132"/>
      <c r="M2725" s="3133" t="s">
        <v>2917</v>
      </c>
      <c r="N2725" s="3133"/>
      <c r="O2725" s="3133"/>
      <c r="P2725" s="3133"/>
      <c r="Q2725" s="3133"/>
      <c r="R2725" s="3133"/>
    </row>
    <row r="2726" spans="1:23" x14ac:dyDescent="0.2">
      <c r="B2726" s="3132"/>
      <c r="C2726" s="3132" t="s">
        <v>1430</v>
      </c>
      <c r="D2726" s="3132"/>
      <c r="E2726" s="3132"/>
      <c r="F2726" s="3132"/>
      <c r="G2726" s="3132"/>
      <c r="H2726" s="3132"/>
      <c r="I2726" s="3132"/>
      <c r="J2726" s="3132"/>
      <c r="K2726" s="3132"/>
      <c r="M2726" s="3133"/>
      <c r="N2726" s="3133">
        <v>0.5</v>
      </c>
      <c r="O2726" s="3133">
        <v>18</v>
      </c>
      <c r="P2726" s="3133"/>
      <c r="Q2726" s="3133"/>
      <c r="R2726" s="3133"/>
    </row>
    <row r="2727" spans="1:23" x14ac:dyDescent="0.2">
      <c r="B2727" s="3132" t="s">
        <v>5602</v>
      </c>
      <c r="C2727" s="3132" t="s">
        <v>1432</v>
      </c>
      <c r="D2727" s="3132" t="s">
        <v>1433</v>
      </c>
      <c r="E2727" s="3132" t="s">
        <v>1434</v>
      </c>
      <c r="F2727" s="3132" t="s">
        <v>1435</v>
      </c>
      <c r="G2727" s="3132" t="s">
        <v>1436</v>
      </c>
      <c r="H2727" s="3132" t="s">
        <v>1437</v>
      </c>
      <c r="I2727" s="3132" t="s">
        <v>1438</v>
      </c>
      <c r="J2727" s="3132" t="s">
        <v>1439</v>
      </c>
      <c r="K2727" s="3132" t="s">
        <v>1440</v>
      </c>
      <c r="M2727" s="3133"/>
      <c r="N2727" s="3133">
        <v>0.65</v>
      </c>
      <c r="O2727" s="3133">
        <v>18</v>
      </c>
      <c r="P2727" s="3133"/>
      <c r="Q2727" s="3133"/>
      <c r="R2727" s="3133"/>
    </row>
    <row r="2728" spans="1:23" x14ac:dyDescent="0.2">
      <c r="B2728" s="3132" t="s">
        <v>5792</v>
      </c>
      <c r="C2728" s="3132">
        <v>8.81</v>
      </c>
      <c r="D2728" s="3132">
        <v>8.17</v>
      </c>
      <c r="E2728" s="3132">
        <v>7.55</v>
      </c>
      <c r="F2728" s="3132">
        <v>6.9</v>
      </c>
      <c r="G2728" s="3132">
        <v>6.25</v>
      </c>
      <c r="H2728" s="3132">
        <v>5.62</v>
      </c>
      <c r="I2728" s="3132">
        <v>5.01</v>
      </c>
      <c r="J2728" s="3132">
        <v>4.43</v>
      </c>
      <c r="K2728" s="3132">
        <v>3.9</v>
      </c>
      <c r="M2728" s="3133"/>
      <c r="N2728" s="3133">
        <v>0.56000000000000005</v>
      </c>
      <c r="O2728" s="3133">
        <v>20</v>
      </c>
      <c r="P2728" s="3133"/>
      <c r="Q2728" s="3133"/>
      <c r="R2728" s="3133"/>
    </row>
    <row r="2729" spans="1:23" x14ac:dyDescent="0.2">
      <c r="B2729" s="3132" t="s">
        <v>5442</v>
      </c>
      <c r="C2729" s="3132">
        <v>12.4</v>
      </c>
      <c r="D2729" s="3132">
        <v>11.55</v>
      </c>
      <c r="E2729" s="3132">
        <v>10.69</v>
      </c>
      <c r="F2729" s="3132">
        <v>9.77</v>
      </c>
      <c r="G2729" s="3132">
        <v>8.89</v>
      </c>
      <c r="H2729" s="3132">
        <v>8</v>
      </c>
      <c r="I2729" s="3132">
        <v>7.13</v>
      </c>
      <c r="J2729" s="3132">
        <v>6.32</v>
      </c>
      <c r="K2729" s="3132">
        <v>5.56</v>
      </c>
      <c r="M2729" s="3133"/>
      <c r="N2729" s="3133">
        <v>0.8</v>
      </c>
      <c r="O2729" s="3133">
        <v>20</v>
      </c>
      <c r="P2729" s="3133"/>
      <c r="Q2729" s="3133"/>
      <c r="R2729" s="3133"/>
    </row>
    <row r="2730" spans="1:23" x14ac:dyDescent="0.2">
      <c r="B2730" s="3132" t="s">
        <v>3370</v>
      </c>
      <c r="C2730" s="3132">
        <v>14.16</v>
      </c>
      <c r="D2730" s="3132">
        <v>13.25</v>
      </c>
      <c r="E2730" s="3132">
        <v>12.28</v>
      </c>
      <c r="F2730" s="3132">
        <v>11.3</v>
      </c>
      <c r="G2730" s="3132">
        <v>10.27</v>
      </c>
      <c r="H2730" s="3132">
        <v>9.3000000000000007</v>
      </c>
      <c r="I2730" s="3132">
        <v>8.34</v>
      </c>
      <c r="J2730" s="3132">
        <v>7.39</v>
      </c>
      <c r="K2730" s="3132">
        <v>6.52</v>
      </c>
      <c r="M2730" s="3133"/>
      <c r="N2730" s="3133">
        <v>0.63</v>
      </c>
      <c r="O2730" s="3133">
        <v>22</v>
      </c>
      <c r="P2730" s="3133"/>
      <c r="Q2730" s="3133"/>
      <c r="R2730" s="3133"/>
    </row>
    <row r="2731" spans="1:23" x14ac:dyDescent="0.2">
      <c r="B2731" s="3132" t="s">
        <v>3371</v>
      </c>
      <c r="C2731" s="3132">
        <v>16.03</v>
      </c>
      <c r="D2731" s="3132">
        <v>15.03</v>
      </c>
      <c r="E2731" s="3132">
        <v>13.99</v>
      </c>
      <c r="F2731" s="3132">
        <v>12.91</v>
      </c>
      <c r="G2731" s="3132">
        <v>11.83</v>
      </c>
      <c r="H2731" s="3132">
        <v>10.71</v>
      </c>
      <c r="I2731" s="3132">
        <v>9.65</v>
      </c>
      <c r="J2731" s="3132">
        <v>8.61</v>
      </c>
      <c r="K2731" s="3132">
        <v>7.61</v>
      </c>
    </row>
    <row r="2732" spans="1:23" x14ac:dyDescent="0.2">
      <c r="A2732" s="3130"/>
      <c r="B2732" s="3130"/>
      <c r="C2732" s="3130"/>
      <c r="N2732" s="3130"/>
    </row>
    <row r="2733" spans="1:23" x14ac:dyDescent="0.2">
      <c r="A2733" s="3130"/>
      <c r="B2733" s="3132" t="s">
        <v>1425</v>
      </c>
      <c r="C2733" s="3132"/>
      <c r="D2733" s="3132"/>
      <c r="E2733" s="3132"/>
      <c r="F2733" s="3132"/>
      <c r="N2733" s="3130"/>
    </row>
    <row r="2734" spans="1:23" x14ac:dyDescent="0.2">
      <c r="A2734" s="3130"/>
      <c r="B2734" s="3132" t="s">
        <v>1429</v>
      </c>
      <c r="C2734" s="3132"/>
      <c r="D2734" s="3132"/>
      <c r="E2734" s="3132"/>
      <c r="F2734" s="3132"/>
      <c r="N2734" s="3130"/>
    </row>
    <row r="2735" spans="1:23" x14ac:dyDescent="0.2">
      <c r="A2735" s="3130"/>
      <c r="B2735" s="3132"/>
      <c r="C2735" s="3132"/>
      <c r="D2735" s="3132" t="s">
        <v>1431</v>
      </c>
      <c r="E2735" s="3132"/>
      <c r="F2735" s="3132"/>
      <c r="N2735" s="3130"/>
    </row>
    <row r="2736" spans="1:23" ht="63.75" x14ac:dyDescent="0.2">
      <c r="A2736" s="3130"/>
      <c r="B2736" s="3132" t="s">
        <v>1441</v>
      </c>
      <c r="C2736" s="3136" t="s">
        <v>3313</v>
      </c>
      <c r="D2736" s="3136" t="s">
        <v>3655</v>
      </c>
      <c r="E2736" s="3136" t="s">
        <v>3656</v>
      </c>
      <c r="F2736" s="3136" t="s">
        <v>4318</v>
      </c>
      <c r="H2736" s="3135" t="s">
        <v>4319</v>
      </c>
      <c r="I2736" s="3135"/>
      <c r="J2736" s="3135"/>
      <c r="K2736" s="3135"/>
      <c r="L2736" s="3135"/>
      <c r="M2736" s="3135"/>
      <c r="N2736" s="3135"/>
      <c r="O2736" s="3135"/>
      <c r="P2736" s="3135"/>
      <c r="Q2736" s="3135"/>
      <c r="R2736" s="3135"/>
      <c r="S2736" s="3135"/>
      <c r="T2736" s="3135"/>
      <c r="U2736" s="3135"/>
      <c r="V2736" s="3135"/>
      <c r="W2736" s="3135"/>
    </row>
    <row r="2737" spans="1:30" x14ac:dyDescent="0.2">
      <c r="A2737" s="3130"/>
      <c r="B2737" s="3132" t="s">
        <v>4321</v>
      </c>
      <c r="C2737" s="3132">
        <v>146</v>
      </c>
      <c r="D2737" s="3132">
        <v>118</v>
      </c>
      <c r="E2737" s="3132">
        <v>65</v>
      </c>
      <c r="F2737" s="3132">
        <v>44.9</v>
      </c>
      <c r="H2737" s="3135" t="s">
        <v>5441</v>
      </c>
      <c r="I2737" s="3135"/>
      <c r="J2737" s="3135"/>
      <c r="K2737" s="3135"/>
      <c r="L2737" s="3135"/>
      <c r="M2737" s="3135"/>
      <c r="N2737" s="3135"/>
      <c r="O2737" s="3135"/>
      <c r="P2737" s="3135"/>
      <c r="Q2737" s="3135"/>
      <c r="R2737" s="3135"/>
      <c r="S2737" s="3135"/>
      <c r="T2737" s="3135"/>
      <c r="U2737" s="3135"/>
      <c r="V2737" s="3135"/>
      <c r="W2737" s="3135"/>
    </row>
    <row r="2738" spans="1:30" x14ac:dyDescent="0.2">
      <c r="A2738" s="3130"/>
      <c r="B2738" s="3132" t="s">
        <v>5443</v>
      </c>
      <c r="C2738" s="3132">
        <v>137</v>
      </c>
      <c r="D2738" s="3132">
        <v>105</v>
      </c>
      <c r="E2738" s="3132">
        <v>59.5</v>
      </c>
      <c r="F2738" s="3132">
        <v>41.4</v>
      </c>
      <c r="H2738" s="3135"/>
      <c r="I2738" s="3135" t="s">
        <v>5444</v>
      </c>
      <c r="J2738" s="3135"/>
      <c r="K2738" s="3135"/>
      <c r="L2738" s="3135"/>
      <c r="M2738" s="3135"/>
      <c r="N2738" s="3135"/>
      <c r="O2738" s="3135"/>
      <c r="P2738" s="3135"/>
      <c r="Q2738" s="3135"/>
      <c r="R2738" s="3135"/>
      <c r="S2738" s="3135"/>
      <c r="T2738" s="3135"/>
      <c r="U2738" s="3135"/>
      <c r="V2738" s="3135"/>
      <c r="W2738" s="3135"/>
    </row>
    <row r="2739" spans="1:30" x14ac:dyDescent="0.2">
      <c r="A2739" s="3130"/>
      <c r="B2739" s="3132" t="s">
        <v>2214</v>
      </c>
      <c r="C2739" s="3132">
        <v>132</v>
      </c>
      <c r="D2739" s="3132">
        <v>98.8</v>
      </c>
      <c r="E2739" s="3132">
        <v>56.6</v>
      </c>
      <c r="F2739" s="3132">
        <v>39.6</v>
      </c>
      <c r="H2739" s="3135"/>
      <c r="I2739" s="3135" t="s">
        <v>1435</v>
      </c>
      <c r="J2739" s="3135" t="s">
        <v>1435</v>
      </c>
      <c r="K2739" s="3135" t="s">
        <v>1435</v>
      </c>
      <c r="L2739" s="3135" t="s">
        <v>1436</v>
      </c>
      <c r="M2739" s="3135" t="s">
        <v>1436</v>
      </c>
      <c r="N2739" s="3135" t="s">
        <v>1436</v>
      </c>
      <c r="O2739" s="3135" t="s">
        <v>1437</v>
      </c>
      <c r="P2739" s="3135" t="s">
        <v>1437</v>
      </c>
      <c r="Q2739" s="3135" t="s">
        <v>1437</v>
      </c>
      <c r="R2739" s="3135" t="s">
        <v>1438</v>
      </c>
      <c r="S2739" s="3135" t="s">
        <v>1438</v>
      </c>
      <c r="T2739" s="3135" t="s">
        <v>1438</v>
      </c>
      <c r="U2739" s="3135" t="s">
        <v>1439</v>
      </c>
      <c r="V2739" s="3135" t="s">
        <v>1439</v>
      </c>
      <c r="W2739" s="3135" t="s">
        <v>1439</v>
      </c>
    </row>
    <row r="2740" spans="1:30" x14ac:dyDescent="0.2">
      <c r="A2740" s="3130"/>
      <c r="B2740" s="3132" t="s">
        <v>4339</v>
      </c>
      <c r="C2740" s="3132">
        <v>128</v>
      </c>
      <c r="D2740" s="3132">
        <v>92.9</v>
      </c>
      <c r="E2740" s="3132">
        <v>53.8</v>
      </c>
      <c r="F2740" s="3132">
        <v>37.799999999999997</v>
      </c>
      <c r="G2740" s="3130"/>
      <c r="H2740" s="3135"/>
      <c r="I2740" s="3135" t="s">
        <v>3785</v>
      </c>
      <c r="J2740" s="3135"/>
      <c r="K2740" s="3135"/>
      <c r="L2740" s="3135"/>
      <c r="M2740" s="3135"/>
      <c r="N2740" s="3135"/>
      <c r="O2740" s="3135"/>
      <c r="P2740" s="3135"/>
      <c r="Q2740" s="3135"/>
      <c r="R2740" s="3135"/>
      <c r="S2740" s="3135"/>
      <c r="T2740" s="3135"/>
      <c r="U2740" s="3135"/>
      <c r="V2740" s="3135"/>
      <c r="W2740" s="3135"/>
    </row>
    <row r="2741" spans="1:30" x14ac:dyDescent="0.2">
      <c r="A2741" s="3130"/>
      <c r="B2741" s="3132" t="s">
        <v>3372</v>
      </c>
      <c r="C2741" s="3132">
        <v>122</v>
      </c>
      <c r="D2741" s="3132">
        <v>87.2</v>
      </c>
      <c r="E2741" s="3132">
        <v>51</v>
      </c>
      <c r="F2741" s="3132">
        <v>36</v>
      </c>
      <c r="G2741" s="3130"/>
      <c r="H2741" s="3135" t="s">
        <v>608</v>
      </c>
      <c r="I2741" s="3135" t="s">
        <v>3373</v>
      </c>
      <c r="J2741" s="3135" t="s">
        <v>3374</v>
      </c>
      <c r="K2741" s="3135" t="s">
        <v>3375</v>
      </c>
      <c r="L2741" s="3135" t="s">
        <v>3373</v>
      </c>
      <c r="M2741" s="3135" t="s">
        <v>3374</v>
      </c>
      <c r="N2741" s="3135" t="s">
        <v>3375</v>
      </c>
      <c r="O2741" s="3135" t="s">
        <v>3373</v>
      </c>
      <c r="P2741" s="3135" t="s">
        <v>3374</v>
      </c>
      <c r="Q2741" s="3135" t="s">
        <v>3375</v>
      </c>
      <c r="R2741" s="3135" t="s">
        <v>3373</v>
      </c>
      <c r="S2741" s="3135" t="s">
        <v>3374</v>
      </c>
      <c r="T2741" s="3135" t="s">
        <v>3375</v>
      </c>
      <c r="U2741" s="3135" t="s">
        <v>3373</v>
      </c>
      <c r="V2741" s="3135" t="s">
        <v>3374</v>
      </c>
      <c r="W2741" s="3135" t="s">
        <v>3375</v>
      </c>
    </row>
    <row r="2742" spans="1:30" x14ac:dyDescent="0.2">
      <c r="A2742" s="3130"/>
      <c r="B2742" s="3132" t="s">
        <v>5428</v>
      </c>
      <c r="C2742" s="3132">
        <v>118</v>
      </c>
      <c r="D2742" s="3132">
        <v>81.900000000000006</v>
      </c>
      <c r="E2742" s="3132">
        <v>48.4</v>
      </c>
      <c r="F2742" s="3132">
        <v>34.299999999999997</v>
      </c>
      <c r="G2742" s="3130"/>
      <c r="H2742" s="3135" t="s">
        <v>4344</v>
      </c>
      <c r="I2742" s="3135">
        <v>192</v>
      </c>
      <c r="J2742" s="3135">
        <v>181</v>
      </c>
      <c r="K2742" s="3135">
        <v>165</v>
      </c>
      <c r="L2742" s="3135">
        <v>157</v>
      </c>
      <c r="M2742" s="3135">
        <v>146</v>
      </c>
      <c r="N2742" s="3135">
        <v>134</v>
      </c>
      <c r="O2742" s="3135">
        <v>125</v>
      </c>
      <c r="P2742" s="3135">
        <v>116</v>
      </c>
      <c r="Q2742" s="3135">
        <v>109</v>
      </c>
      <c r="R2742" s="3135">
        <v>102</v>
      </c>
      <c r="S2742" s="3135">
        <v>92</v>
      </c>
      <c r="T2742" s="3135">
        <v>89</v>
      </c>
      <c r="U2742" s="3135">
        <v>79</v>
      </c>
      <c r="V2742" s="3135">
        <v>72</v>
      </c>
      <c r="W2742" s="3135">
        <v>70</v>
      </c>
    </row>
    <row r="2743" spans="1:30" x14ac:dyDescent="0.2">
      <c r="A2743" s="3130"/>
      <c r="B2743" s="3132" t="s">
        <v>5223</v>
      </c>
      <c r="C2743" s="3132">
        <v>113</v>
      </c>
      <c r="D2743" s="3132">
        <v>76.8</v>
      </c>
      <c r="E2743" s="3132">
        <v>45.8</v>
      </c>
      <c r="F2743" s="3132">
        <v>32.6</v>
      </c>
      <c r="G2743" s="3130"/>
      <c r="H2743" s="3135" t="s">
        <v>5224</v>
      </c>
      <c r="I2743" s="3135">
        <v>210</v>
      </c>
      <c r="J2743" s="3135">
        <v>192</v>
      </c>
      <c r="K2743" s="3135">
        <v>172</v>
      </c>
      <c r="L2743" s="3135">
        <v>166</v>
      </c>
      <c r="M2743" s="3135">
        <v>155</v>
      </c>
      <c r="N2743" s="3135">
        <v>140</v>
      </c>
      <c r="O2743" s="3135">
        <v>131</v>
      </c>
      <c r="P2743" s="3135">
        <v>122</v>
      </c>
      <c r="Q2743" s="3135">
        <v>114</v>
      </c>
      <c r="R2743" s="3135">
        <v>109</v>
      </c>
      <c r="S2743" s="3135">
        <v>97</v>
      </c>
      <c r="T2743" s="3135">
        <v>92</v>
      </c>
      <c r="U2743" s="3135">
        <v>83</v>
      </c>
      <c r="V2743" s="3135">
        <v>76</v>
      </c>
      <c r="W2743" s="3135">
        <v>74</v>
      </c>
      <c r="X2743" s="3130"/>
      <c r="Y2743" s="3130"/>
      <c r="Z2743" s="3130"/>
      <c r="AA2743" s="3130"/>
      <c r="AB2743" s="3130"/>
      <c r="AC2743" s="3130"/>
      <c r="AD2743" s="3130"/>
    </row>
    <row r="2744" spans="1:30" x14ac:dyDescent="0.2">
      <c r="A2744" s="3130"/>
      <c r="B2744" s="3132" t="s">
        <v>5228</v>
      </c>
      <c r="C2744" s="3132">
        <v>109</v>
      </c>
      <c r="D2744" s="3132">
        <v>72.099999999999994</v>
      </c>
      <c r="E2744" s="3132">
        <v>43.4</v>
      </c>
      <c r="F2744" s="3132">
        <v>31</v>
      </c>
      <c r="G2744" s="3130"/>
      <c r="H2744" s="3135" t="s">
        <v>5229</v>
      </c>
      <c r="I2744" s="3135">
        <v>250</v>
      </c>
      <c r="J2744" s="3135">
        <v>214</v>
      </c>
      <c r="K2744" s="3135">
        <v>192</v>
      </c>
      <c r="L2744" s="3135">
        <v>184</v>
      </c>
      <c r="M2744" s="3135">
        <v>166</v>
      </c>
      <c r="N2744" s="3135">
        <v>152</v>
      </c>
      <c r="O2744" s="3135">
        <v>140</v>
      </c>
      <c r="P2744" s="3135">
        <v>129</v>
      </c>
      <c r="Q2744" s="3135">
        <v>120</v>
      </c>
      <c r="R2744" s="3135">
        <v>114</v>
      </c>
      <c r="S2744" s="3135">
        <v>102</v>
      </c>
      <c r="T2744" s="3135">
        <v>97</v>
      </c>
      <c r="U2744" s="3135">
        <v>87</v>
      </c>
      <c r="V2744" s="3135">
        <v>80</v>
      </c>
      <c r="W2744" s="3135">
        <v>78</v>
      </c>
      <c r="X2744" s="3130"/>
      <c r="Y2744" s="3130"/>
      <c r="Z2744" s="3130"/>
      <c r="AA2744" s="3130"/>
      <c r="AB2744" s="3130"/>
      <c r="AC2744" s="3130"/>
      <c r="AD2744" s="3130"/>
    </row>
    <row r="2745" spans="1:30" x14ac:dyDescent="0.2">
      <c r="A2745" s="3130"/>
      <c r="B2745" s="3132" t="s">
        <v>5233</v>
      </c>
      <c r="C2745" s="3132">
        <v>104</v>
      </c>
      <c r="D2745" s="3132">
        <v>67.599999999999994</v>
      </c>
      <c r="E2745" s="3132">
        <v>41</v>
      </c>
      <c r="F2745" s="3132">
        <v>29.5</v>
      </c>
      <c r="G2745" s="3130"/>
      <c r="H2745" s="3135" t="s">
        <v>5234</v>
      </c>
      <c r="I2745" s="3135">
        <v>292</v>
      </c>
      <c r="J2745" s="3135">
        <v>234</v>
      </c>
      <c r="K2745" s="3135">
        <v>216</v>
      </c>
      <c r="L2745" s="3135">
        <v>209</v>
      </c>
      <c r="M2745" s="3135">
        <v>177</v>
      </c>
      <c r="N2745" s="3135">
        <v>166</v>
      </c>
      <c r="O2745" s="3135">
        <v>154</v>
      </c>
      <c r="P2745" s="3135">
        <v>135</v>
      </c>
      <c r="Q2745" s="3135">
        <v>127</v>
      </c>
      <c r="R2745" s="3135">
        <v>118</v>
      </c>
      <c r="S2745" s="3135">
        <v>107</v>
      </c>
      <c r="T2745" s="3135">
        <v>103</v>
      </c>
      <c r="U2745" s="3135">
        <v>91</v>
      </c>
      <c r="V2745" s="3135">
        <v>84</v>
      </c>
      <c r="W2745" s="3135">
        <v>82</v>
      </c>
      <c r="X2745" s="3130"/>
      <c r="Y2745" s="3130"/>
      <c r="Z2745" s="3130"/>
      <c r="AA2745" s="3130"/>
      <c r="AB2745" s="3130"/>
      <c r="AC2745" s="3130"/>
      <c r="AD2745" s="3130"/>
    </row>
    <row r="2746" spans="1:30" x14ac:dyDescent="0.2">
      <c r="A2746" s="3130"/>
      <c r="B2746" s="3132" t="s">
        <v>5237</v>
      </c>
      <c r="C2746" s="3132">
        <v>99.5</v>
      </c>
      <c r="D2746" s="3132">
        <v>62.8</v>
      </c>
      <c r="E2746" s="3132">
        <v>38.5</v>
      </c>
      <c r="F2746" s="3132">
        <v>27.8</v>
      </c>
      <c r="G2746" s="3130"/>
      <c r="H2746" s="3135" t="s">
        <v>5238</v>
      </c>
      <c r="I2746" s="3135">
        <v>306</v>
      </c>
      <c r="J2746" s="3135">
        <v>246</v>
      </c>
      <c r="K2746" s="3135">
        <v>230</v>
      </c>
      <c r="L2746" s="3135">
        <v>217</v>
      </c>
      <c r="M2746" s="3135">
        <v>184</v>
      </c>
      <c r="N2746" s="3135">
        <v>175</v>
      </c>
      <c r="O2746" s="3135">
        <v>158</v>
      </c>
      <c r="P2746" s="3135">
        <v>140</v>
      </c>
      <c r="Q2746" s="3135">
        <v>134</v>
      </c>
      <c r="R2746" s="3135">
        <v>121</v>
      </c>
      <c r="S2746" s="3135">
        <v>110</v>
      </c>
      <c r="T2746" s="3135">
        <v>106</v>
      </c>
      <c r="U2746" s="3135">
        <v>93</v>
      </c>
      <c r="V2746" s="3135">
        <v>86</v>
      </c>
      <c r="W2746" s="3135">
        <v>84</v>
      </c>
      <c r="X2746" s="3130"/>
      <c r="Y2746" s="3130"/>
      <c r="Z2746" s="3130"/>
      <c r="AA2746" s="3130"/>
      <c r="AB2746" s="3130"/>
      <c r="AC2746" s="3130"/>
      <c r="AD2746" s="3130"/>
    </row>
    <row r="2747" spans="1:30" x14ac:dyDescent="0.2">
      <c r="A2747" s="3130"/>
      <c r="B2747" s="3130"/>
      <c r="C2747" s="3130"/>
      <c r="D2747" s="3130"/>
      <c r="E2747" s="3130"/>
      <c r="F2747" s="3130"/>
      <c r="G2747" s="3130"/>
      <c r="H2747" s="3130"/>
      <c r="I2747" s="3130"/>
      <c r="J2747" s="3130"/>
      <c r="K2747" s="3130"/>
      <c r="L2747" s="3130"/>
      <c r="M2747" s="3130"/>
      <c r="N2747" s="3130"/>
      <c r="O2747" s="3130"/>
      <c r="P2747" s="3130"/>
      <c r="Q2747" s="3130"/>
      <c r="R2747" s="3130"/>
      <c r="S2747" s="3130"/>
      <c r="T2747" s="3130"/>
      <c r="U2747" s="3130"/>
      <c r="V2747" s="3130"/>
      <c r="W2747" s="3130"/>
      <c r="X2747" s="3130"/>
      <c r="Y2747" s="3130"/>
      <c r="Z2747" s="3130"/>
      <c r="AA2747" s="3130"/>
      <c r="AB2747" s="3130"/>
      <c r="AC2747" s="3130"/>
      <c r="AD2747" s="3130"/>
    </row>
    <row r="2748" spans="1:30" x14ac:dyDescent="0.2">
      <c r="A2748" s="3130"/>
      <c r="B2748" s="3132" t="s">
        <v>1487</v>
      </c>
      <c r="C2748" s="3132"/>
      <c r="D2748" s="3132"/>
      <c r="E2748" s="3132"/>
      <c r="F2748" s="3132"/>
      <c r="G2748" s="3132"/>
      <c r="H2748" s="3132"/>
      <c r="I2748" s="3132"/>
      <c r="J2748" s="3132"/>
      <c r="K2748" s="3130"/>
      <c r="L2748" s="3130"/>
      <c r="M2748" s="3130"/>
      <c r="N2748" s="3130"/>
      <c r="O2748" s="3130"/>
      <c r="P2748" s="3130"/>
      <c r="Q2748" s="3130"/>
      <c r="R2748" s="3130"/>
      <c r="S2748" s="3130"/>
      <c r="T2748" s="3130"/>
      <c r="U2748" s="3130"/>
      <c r="V2748" s="3130"/>
      <c r="W2748" s="3130"/>
      <c r="X2748" s="3130"/>
      <c r="Y2748" s="3130"/>
      <c r="Z2748" s="3130"/>
      <c r="AA2748" s="3130"/>
      <c r="AB2748" s="3130"/>
      <c r="AC2748" s="3130"/>
      <c r="AD2748" s="3130"/>
    </row>
    <row r="2749" spans="1:30" x14ac:dyDescent="0.2">
      <c r="A2749" s="3130"/>
      <c r="B2749" s="3132" t="s">
        <v>3314</v>
      </c>
      <c r="C2749" s="3132"/>
      <c r="D2749" s="3132"/>
      <c r="E2749" s="3132"/>
      <c r="F2749" s="3132"/>
      <c r="G2749" s="3132"/>
      <c r="H2749" s="3132"/>
      <c r="I2749" s="3132"/>
      <c r="J2749" s="3132"/>
      <c r="K2749" s="3130"/>
      <c r="L2749" s="3134"/>
      <c r="M2749" s="3131"/>
      <c r="N2749" s="3131"/>
      <c r="O2749" s="3131"/>
      <c r="P2749" s="3131"/>
      <c r="Q2749" s="3131"/>
      <c r="R2749" s="3130"/>
      <c r="S2749" s="3130"/>
      <c r="T2749" s="3130"/>
      <c r="U2749" s="3130"/>
      <c r="V2749" s="3130"/>
      <c r="W2749" s="3130"/>
      <c r="X2749" s="3130"/>
      <c r="Y2749" s="3130"/>
      <c r="Z2749" s="3130"/>
      <c r="AA2749" s="3130"/>
      <c r="AB2749" s="3130"/>
      <c r="AC2749" s="3130"/>
      <c r="AD2749" s="3130"/>
    </row>
    <row r="2750" spans="1:30" x14ac:dyDescent="0.2">
      <c r="A2750" s="3130"/>
      <c r="B2750" s="3132"/>
      <c r="C2750" s="3132" t="s">
        <v>1082</v>
      </c>
      <c r="D2750" s="3132"/>
      <c r="E2750" s="3132"/>
      <c r="F2750" s="3132"/>
      <c r="G2750" s="3132"/>
      <c r="H2750" s="3132"/>
      <c r="I2750" s="3132"/>
      <c r="J2750" s="3132"/>
      <c r="K2750" s="3130"/>
      <c r="L2750" s="3131"/>
      <c r="M2750" s="3131"/>
      <c r="N2750" s="3131"/>
      <c r="O2750" s="3131"/>
      <c r="P2750" s="3131"/>
      <c r="Q2750" s="3131"/>
      <c r="R2750" s="3130"/>
      <c r="S2750" s="3130"/>
      <c r="T2750" s="3130"/>
      <c r="U2750" s="3130"/>
      <c r="V2750" s="3130"/>
      <c r="W2750" s="3130"/>
      <c r="X2750" s="3130"/>
      <c r="Y2750" s="3130"/>
      <c r="Z2750" s="3130"/>
      <c r="AA2750" s="3130"/>
      <c r="AB2750" s="3130"/>
      <c r="AC2750" s="3130"/>
      <c r="AD2750" s="3130"/>
    </row>
    <row r="2751" spans="1:30" x14ac:dyDescent="0.2">
      <c r="A2751" s="3130"/>
      <c r="B2751" s="3132" t="s">
        <v>1083</v>
      </c>
      <c r="C2751" s="3132" t="s">
        <v>1084</v>
      </c>
      <c r="D2751" s="3132" t="s">
        <v>1085</v>
      </c>
      <c r="E2751" s="3132" t="s">
        <v>3006</v>
      </c>
      <c r="F2751" s="3132" t="s">
        <v>3007</v>
      </c>
      <c r="G2751" s="3131"/>
      <c r="H2751" s="3132" t="s">
        <v>1488</v>
      </c>
      <c r="I2751" s="3132"/>
      <c r="J2751" s="3132"/>
      <c r="K2751" s="3132"/>
      <c r="L2751" s="3132"/>
      <c r="M2751" s="3132"/>
      <c r="N2751" s="3131"/>
      <c r="O2751" s="3131"/>
      <c r="P2751" s="3131"/>
      <c r="Q2751" s="3131"/>
      <c r="R2751" s="3130"/>
      <c r="S2751" s="3130"/>
      <c r="T2751" s="3130"/>
      <c r="U2751" s="3130"/>
      <c r="V2751" s="3130"/>
      <c r="W2751" s="3130"/>
      <c r="X2751" s="3130"/>
      <c r="Y2751" s="3130"/>
      <c r="Z2751" s="3130"/>
      <c r="AA2751" s="3130"/>
      <c r="AB2751" s="3130"/>
      <c r="AC2751" s="3130"/>
      <c r="AD2751" s="3130"/>
    </row>
    <row r="2752" spans="1:30" x14ac:dyDescent="0.2">
      <c r="A2752" s="3130"/>
      <c r="B2752" s="3132" t="s">
        <v>3008</v>
      </c>
      <c r="C2752" s="3132">
        <v>168.3</v>
      </c>
      <c r="D2752" s="3132">
        <v>151.80000000000001</v>
      </c>
      <c r="E2752" s="3132">
        <v>124.3</v>
      </c>
      <c r="F2752" s="3132">
        <v>101.5</v>
      </c>
      <c r="G2752" s="3131"/>
      <c r="H2752" s="3132" t="s">
        <v>1081</v>
      </c>
      <c r="I2752" s="3132"/>
      <c r="J2752" s="3132"/>
      <c r="K2752" s="3132"/>
      <c r="L2752" s="3132"/>
      <c r="M2752" s="3132"/>
      <c r="N2752" s="3131"/>
      <c r="O2752" s="3131"/>
      <c r="P2752" s="3131"/>
      <c r="Q2752" s="3131"/>
      <c r="R2752" s="3130"/>
      <c r="S2752" s="3130"/>
      <c r="T2752" s="3130"/>
      <c r="U2752" s="3130"/>
      <c r="V2752" s="3130"/>
      <c r="W2752" s="3130"/>
      <c r="X2752" s="3130"/>
      <c r="Y2752" s="3130"/>
      <c r="Z2752" s="3130"/>
      <c r="AA2752" s="3130"/>
      <c r="AB2752" s="3130"/>
      <c r="AC2752" s="3130"/>
      <c r="AD2752" s="3130"/>
    </row>
    <row r="2753" spans="1:30" x14ac:dyDescent="0.2">
      <c r="A2753" s="3130"/>
      <c r="B2753" s="3132" t="s">
        <v>3009</v>
      </c>
      <c r="C2753" s="3132">
        <v>159.4</v>
      </c>
      <c r="D2753" s="3132">
        <v>143.9</v>
      </c>
      <c r="E2753" s="3132">
        <v>117.9</v>
      </c>
      <c r="F2753" s="3132">
        <v>95.7</v>
      </c>
      <c r="G2753" s="3131"/>
      <c r="H2753" s="3132"/>
      <c r="I2753" s="3132" t="s">
        <v>1082</v>
      </c>
      <c r="J2753" s="3132"/>
      <c r="K2753" s="3132"/>
      <c r="L2753" s="3132"/>
      <c r="M2753" s="3132"/>
      <c r="N2753" s="3131"/>
      <c r="O2753" s="3131"/>
      <c r="P2753" s="3131"/>
      <c r="Q2753" s="3131"/>
      <c r="R2753" s="3130"/>
      <c r="S2753" s="3130"/>
      <c r="T2753" s="3130"/>
      <c r="U2753" s="3130"/>
      <c r="V2753" s="3130"/>
      <c r="W2753" s="3130"/>
      <c r="X2753" s="3130"/>
      <c r="Y2753" s="3130"/>
      <c r="Z2753" s="3130"/>
      <c r="AA2753" s="3130"/>
      <c r="AB2753" s="3130"/>
      <c r="AC2753" s="3130"/>
      <c r="AD2753" s="3130"/>
    </row>
    <row r="2754" spans="1:30" x14ac:dyDescent="0.2">
      <c r="A2754" s="3130"/>
      <c r="B2754" s="3132" t="s">
        <v>3010</v>
      </c>
      <c r="C2754" s="3132">
        <v>144.5</v>
      </c>
      <c r="D2754" s="3132">
        <v>132.5</v>
      </c>
      <c r="E2754" s="3132">
        <v>107.1</v>
      </c>
      <c r="F2754" s="3132">
        <v>86.9</v>
      </c>
      <c r="G2754" s="3131"/>
      <c r="H2754" s="3132" t="s">
        <v>5602</v>
      </c>
      <c r="I2754" s="3132" t="s">
        <v>1084</v>
      </c>
      <c r="J2754" s="3132" t="s">
        <v>1085</v>
      </c>
      <c r="K2754" s="3132" t="s">
        <v>3006</v>
      </c>
      <c r="L2754" s="3132" t="s">
        <v>3007</v>
      </c>
      <c r="M2754" s="3131"/>
      <c r="R2754" s="3130"/>
      <c r="S2754" s="3130"/>
      <c r="T2754" s="3130"/>
      <c r="U2754" s="3130"/>
      <c r="V2754" s="3130"/>
      <c r="W2754" s="3130"/>
      <c r="X2754" s="3130"/>
      <c r="Y2754" s="3130"/>
      <c r="Z2754" s="3130"/>
      <c r="AA2754" s="3130"/>
      <c r="AB2754" s="3130"/>
      <c r="AC2754" s="3130"/>
      <c r="AD2754" s="3130"/>
    </row>
    <row r="2755" spans="1:30" x14ac:dyDescent="0.2">
      <c r="A2755" s="3130"/>
      <c r="B2755" s="3132" t="s">
        <v>3011</v>
      </c>
      <c r="C2755" s="3132">
        <v>131.9</v>
      </c>
      <c r="D2755" s="3132">
        <v>121.3</v>
      </c>
      <c r="E2755" s="3132">
        <v>97.9</v>
      </c>
      <c r="F2755" s="3132">
        <v>79.5</v>
      </c>
      <c r="G2755" s="3131"/>
      <c r="H2755" s="3132" t="s">
        <v>3008</v>
      </c>
      <c r="I2755" s="3132">
        <v>43.6</v>
      </c>
      <c r="J2755" s="3132">
        <v>39.700000000000003</v>
      </c>
      <c r="K2755" s="3132">
        <v>31.7</v>
      </c>
      <c r="L2755" s="3132">
        <v>30.1</v>
      </c>
      <c r="M2755" s="3131"/>
      <c r="R2755" s="3130"/>
      <c r="S2755" s="3130"/>
      <c r="T2755" s="3130"/>
      <c r="U2755" s="3130"/>
      <c r="V2755" s="3130"/>
      <c r="W2755" s="3130"/>
      <c r="X2755" s="3130"/>
      <c r="Y2755" s="3130"/>
      <c r="Z2755" s="3130"/>
      <c r="AA2755" s="3130"/>
      <c r="AB2755" s="3130"/>
      <c r="AC2755" s="3130"/>
      <c r="AD2755" s="3130"/>
    </row>
    <row r="2756" spans="1:30" x14ac:dyDescent="0.2">
      <c r="A2756" s="3130"/>
      <c r="B2756" s="3132" t="s">
        <v>3012</v>
      </c>
      <c r="C2756" s="3132">
        <v>120.1</v>
      </c>
      <c r="D2756" s="3132">
        <v>111.4</v>
      </c>
      <c r="E2756" s="3132">
        <v>90</v>
      </c>
      <c r="F2756" s="3132">
        <v>73</v>
      </c>
      <c r="G2756" s="3131"/>
      <c r="H2756" s="3132" t="s">
        <v>3009</v>
      </c>
      <c r="I2756" s="3132">
        <v>42.4</v>
      </c>
      <c r="J2756" s="3132">
        <v>38.1</v>
      </c>
      <c r="K2756" s="3132">
        <v>30.9</v>
      </c>
      <c r="L2756" s="3132">
        <v>29.2</v>
      </c>
      <c r="M2756" s="3131"/>
      <c r="U2756" s="3130"/>
      <c r="V2756" s="3130"/>
      <c r="W2756" s="3130"/>
      <c r="X2756" s="3130"/>
      <c r="Y2756" s="3130"/>
      <c r="Z2756" s="3130"/>
      <c r="AA2756" s="3130"/>
      <c r="AB2756" s="3130"/>
      <c r="AC2756" s="3130"/>
      <c r="AD2756" s="3130"/>
    </row>
    <row r="2757" spans="1:30" x14ac:dyDescent="0.2">
      <c r="A2757" s="3130"/>
      <c r="B2757" s="3132" t="s">
        <v>3013</v>
      </c>
      <c r="C2757" s="3132">
        <v>112</v>
      </c>
      <c r="D2757" s="3132">
        <v>102.9</v>
      </c>
      <c r="E2757" s="3132">
        <v>83</v>
      </c>
      <c r="F2757" s="3132">
        <v>67.3</v>
      </c>
      <c r="G2757" s="3131"/>
      <c r="H2757" s="3132" t="s">
        <v>3010</v>
      </c>
      <c r="I2757" s="3132">
        <v>39</v>
      </c>
      <c r="J2757" s="3132">
        <v>35.6</v>
      </c>
      <c r="K2757" s="3132">
        <v>28.9</v>
      </c>
      <c r="L2757" s="3132">
        <v>27</v>
      </c>
      <c r="M2757" s="3131"/>
      <c r="U2757" s="3131"/>
      <c r="V2757" s="3131"/>
      <c r="W2757" s="3131"/>
      <c r="X2757" s="3130"/>
      <c r="Y2757" s="3134"/>
      <c r="Z2757" s="3131"/>
      <c r="AA2757" s="3131"/>
      <c r="AB2757" s="3131"/>
      <c r="AC2757" s="3131"/>
      <c r="AD2757" s="3131"/>
    </row>
    <row r="2758" spans="1:30" x14ac:dyDescent="0.2">
      <c r="A2758" s="3130"/>
      <c r="B2758" s="3132" t="s">
        <v>3014</v>
      </c>
      <c r="C2758" s="3132">
        <v>107</v>
      </c>
      <c r="D2758" s="3132">
        <v>95.4</v>
      </c>
      <c r="E2758" s="3132">
        <v>77.599999999999994</v>
      </c>
      <c r="F2758" s="3132">
        <v>63.5</v>
      </c>
      <c r="G2758" s="3131"/>
      <c r="H2758" s="3132" t="s">
        <v>3011</v>
      </c>
      <c r="I2758" s="3132">
        <v>36.1</v>
      </c>
      <c r="J2758" s="3132">
        <v>33.200000000000003</v>
      </c>
      <c r="K2758" s="3132">
        <v>26.6</v>
      </c>
      <c r="L2758" s="3132">
        <v>25</v>
      </c>
      <c r="M2758" s="3131"/>
      <c r="U2758" s="3131"/>
      <c r="V2758" s="3131"/>
      <c r="W2758" s="3131"/>
      <c r="X2758" s="3130"/>
      <c r="Y2758" s="3131"/>
      <c r="Z2758" s="3131"/>
      <c r="AA2758" s="3131"/>
      <c r="AB2758" s="3131"/>
      <c r="AC2758" s="3131"/>
      <c r="AD2758" s="3131"/>
    </row>
    <row r="2759" spans="1:30" x14ac:dyDescent="0.2">
      <c r="A2759" s="3130"/>
      <c r="B2759" s="3132" t="s">
        <v>3015</v>
      </c>
      <c r="C2759" s="3132">
        <v>97.5</v>
      </c>
      <c r="D2759" s="3132">
        <v>83.1</v>
      </c>
      <c r="E2759" s="3132">
        <v>69</v>
      </c>
      <c r="F2759" s="3132">
        <v>56.4</v>
      </c>
      <c r="G2759" s="3131"/>
      <c r="H2759" s="3132" t="s">
        <v>3012</v>
      </c>
      <c r="I2759" s="3132">
        <v>33.6</v>
      </c>
      <c r="J2759" s="3132">
        <v>30.7</v>
      </c>
      <c r="K2759" s="3132">
        <v>24.8</v>
      </c>
      <c r="L2759" s="3132">
        <v>22.9</v>
      </c>
      <c r="M2759" s="3131"/>
      <c r="U2759" s="3131"/>
      <c r="V2759" s="3131"/>
      <c r="W2759" s="3131"/>
      <c r="X2759" s="3130"/>
      <c r="Y2759" s="3131"/>
      <c r="Z2759" s="3131"/>
      <c r="AA2759" s="3131"/>
      <c r="AB2759" s="3131"/>
      <c r="AC2759" s="3131"/>
      <c r="AD2759" s="3131"/>
    </row>
    <row r="2760" spans="1:30" x14ac:dyDescent="0.2">
      <c r="A2760" s="3130"/>
      <c r="B2760" s="3132" t="s">
        <v>3016</v>
      </c>
      <c r="C2760" s="3132">
        <v>87.9</v>
      </c>
      <c r="D2760" s="3132">
        <v>78.3</v>
      </c>
      <c r="E2760" s="3132">
        <v>60.9</v>
      </c>
      <c r="F2760" s="3132">
        <v>49.7</v>
      </c>
      <c r="G2760" s="3131"/>
      <c r="H2760" s="3132" t="s">
        <v>3013</v>
      </c>
      <c r="I2760" s="3132">
        <v>31.3</v>
      </c>
      <c r="J2760" s="3132">
        <v>28.9</v>
      </c>
      <c r="K2760" s="3132">
        <v>23</v>
      </c>
      <c r="L2760" s="3132">
        <v>21</v>
      </c>
      <c r="M2760" s="3131"/>
      <c r="U2760" s="3131"/>
      <c r="V2760" s="3131"/>
      <c r="W2760" s="3131"/>
      <c r="X2760" s="3130"/>
      <c r="Y2760" s="3131"/>
      <c r="Z2760" s="3131"/>
      <c r="AA2760" s="3131"/>
      <c r="AB2760" s="3131"/>
      <c r="AC2760" s="3131"/>
      <c r="AD2760" s="3131"/>
    </row>
    <row r="2761" spans="1:30" x14ac:dyDescent="0.2">
      <c r="A2761" s="3130"/>
      <c r="B2761" s="3132" t="s">
        <v>3017</v>
      </c>
      <c r="C2761" s="3132">
        <v>78.7</v>
      </c>
      <c r="D2761" s="3132">
        <v>70.2</v>
      </c>
      <c r="E2761" s="3132">
        <v>53.5</v>
      </c>
      <c r="F2761" s="3132">
        <v>44.1</v>
      </c>
      <c r="G2761" s="3131"/>
      <c r="H2761" s="3132" t="s">
        <v>3014</v>
      </c>
      <c r="I2761" s="3132">
        <v>29.5</v>
      </c>
      <c r="J2761" s="3132">
        <v>26.7</v>
      </c>
      <c r="K2761" s="3132">
        <v>21.5</v>
      </c>
      <c r="L2761" s="3132">
        <v>19.3</v>
      </c>
      <c r="M2761" s="3131"/>
      <c r="U2761" s="3131"/>
      <c r="V2761" s="3131"/>
      <c r="W2761" s="3131"/>
      <c r="X2761" s="3130"/>
      <c r="Y2761" s="3131"/>
      <c r="Z2761" s="3131"/>
      <c r="AA2761" s="3131"/>
      <c r="AB2761" s="3131"/>
      <c r="AC2761" s="3131"/>
      <c r="AD2761" s="3131"/>
    </row>
    <row r="2762" spans="1:30" x14ac:dyDescent="0.2">
      <c r="A2762" s="3130"/>
      <c r="B2762" s="3132" t="s">
        <v>3018</v>
      </c>
      <c r="C2762" s="3132">
        <v>70.2</v>
      </c>
      <c r="D2762" s="3132">
        <v>62.6</v>
      </c>
      <c r="E2762" s="3132">
        <v>47.1</v>
      </c>
      <c r="F2762" s="3132">
        <v>38.4</v>
      </c>
      <c r="G2762" s="3131"/>
      <c r="H2762" s="3132" t="s">
        <v>3015</v>
      </c>
      <c r="I2762" s="3132">
        <v>27.1</v>
      </c>
      <c r="J2762" s="3132">
        <v>24.4</v>
      </c>
      <c r="K2762" s="3132">
        <v>19.3</v>
      </c>
      <c r="L2762" s="3132">
        <v>17.2</v>
      </c>
      <c r="M2762" s="3131"/>
      <c r="X2762" s="3130"/>
      <c r="AC2762" s="3134"/>
      <c r="AD2762" s="3134"/>
    </row>
    <row r="2763" spans="1:30" x14ac:dyDescent="0.2">
      <c r="A2763" s="3130"/>
      <c r="B2763" s="3132" t="s">
        <v>3019</v>
      </c>
      <c r="C2763" s="3132">
        <v>60.4</v>
      </c>
      <c r="D2763" s="3132">
        <v>55.1</v>
      </c>
      <c r="E2763" s="3132">
        <v>41.3</v>
      </c>
      <c r="F2763" s="3132">
        <v>33.700000000000003</v>
      </c>
      <c r="G2763" s="3131"/>
      <c r="H2763" s="3132" t="s">
        <v>3016</v>
      </c>
      <c r="I2763" s="3132">
        <v>24.6</v>
      </c>
      <c r="J2763" s="3132">
        <v>22</v>
      </c>
      <c r="K2763" s="3132">
        <v>17.2</v>
      </c>
      <c r="L2763" s="3132">
        <v>15.3</v>
      </c>
      <c r="M2763" s="3131"/>
      <c r="X2763" s="3130"/>
      <c r="AC2763" s="3134"/>
      <c r="AD2763" s="3134"/>
    </row>
    <row r="2764" spans="1:30" x14ac:dyDescent="0.2">
      <c r="A2764" s="3130"/>
      <c r="B2764" s="3132" t="s">
        <v>3020</v>
      </c>
      <c r="C2764" s="3132">
        <v>53.8</v>
      </c>
      <c r="D2764" s="3132">
        <v>49.2</v>
      </c>
      <c r="E2764" s="3132">
        <v>36.5</v>
      </c>
      <c r="F2764" s="3132">
        <v>29.7</v>
      </c>
      <c r="G2764" s="3131"/>
      <c r="H2764" s="3132" t="s">
        <v>3017</v>
      </c>
      <c r="I2764" s="3132">
        <v>22.2</v>
      </c>
      <c r="J2764" s="3132">
        <v>19.8</v>
      </c>
      <c r="K2764" s="3132">
        <v>15.3</v>
      </c>
      <c r="L2764" s="3132">
        <v>13.5</v>
      </c>
      <c r="M2764" s="3131"/>
      <c r="X2764" s="3130"/>
      <c r="AC2764" s="3134"/>
      <c r="AD2764" s="3134"/>
    </row>
    <row r="2765" spans="1:30" x14ac:dyDescent="0.2">
      <c r="A2765" s="3130"/>
      <c r="D2765" s="3130"/>
      <c r="H2765" s="3132" t="s">
        <v>3018</v>
      </c>
      <c r="I2765" s="3132">
        <v>19.100000000000001</v>
      </c>
      <c r="J2765" s="3132">
        <v>17.7</v>
      </c>
      <c r="K2765" s="3132">
        <v>13.5</v>
      </c>
      <c r="L2765" s="3132">
        <v>11.9</v>
      </c>
      <c r="M2765" s="3131"/>
      <c r="X2765" s="3130"/>
      <c r="AC2765" s="3134"/>
      <c r="AD2765" s="3134"/>
    </row>
    <row r="2766" spans="1:30" x14ac:dyDescent="0.2">
      <c r="A2766" s="3130"/>
      <c r="D2766" s="3130"/>
      <c r="H2766" s="3132" t="s">
        <v>3019</v>
      </c>
      <c r="I2766" s="3132">
        <v>17.399999999999999</v>
      </c>
      <c r="J2766" s="3132">
        <v>15.7</v>
      </c>
      <c r="K2766" s="3132">
        <v>12</v>
      </c>
      <c r="L2766" s="3132">
        <v>10.4</v>
      </c>
      <c r="M2766" s="3131"/>
      <c r="X2766" s="3130"/>
      <c r="AC2766" s="3134"/>
      <c r="AD2766" s="3134"/>
    </row>
    <row r="2767" spans="1:30" x14ac:dyDescent="0.2">
      <c r="A2767" s="3130"/>
      <c r="D2767" s="3130"/>
      <c r="H2767" s="3132" t="s">
        <v>3020</v>
      </c>
      <c r="I2767" s="3132">
        <v>15.6</v>
      </c>
      <c r="J2767" s="3132">
        <v>14</v>
      </c>
      <c r="K2767" s="3132">
        <v>10.6</v>
      </c>
      <c r="L2767" s="3132">
        <v>9.1999999999999993</v>
      </c>
      <c r="M2767" s="3131"/>
      <c r="X2767" s="3130"/>
      <c r="AC2767" s="3134"/>
      <c r="AD2767" s="3134"/>
    </row>
    <row r="2768" spans="1:30" x14ac:dyDescent="0.2">
      <c r="A2768" s="3130"/>
      <c r="D2768" s="3130"/>
      <c r="X2768" s="3130"/>
      <c r="AC2768" s="3134"/>
      <c r="AD2768" s="3134"/>
    </row>
    <row r="2770" spans="1:24" x14ac:dyDescent="0.2">
      <c r="A2770" s="3130"/>
      <c r="B2770" s="3131"/>
      <c r="C2770" s="3131"/>
      <c r="D2770" s="3130"/>
      <c r="X2770" s="3130"/>
    </row>
    <row r="2771" spans="1:24" x14ac:dyDescent="0.2">
      <c r="A2771" s="3130"/>
      <c r="B2771" s="3131"/>
      <c r="C2771" s="3131"/>
      <c r="D2771" s="3130"/>
      <c r="X2771" s="3130"/>
    </row>
    <row r="2772" spans="1:24" x14ac:dyDescent="0.2">
      <c r="X2772" s="3130"/>
    </row>
    <row r="2773" spans="1:24" ht="27" x14ac:dyDescent="0.35">
      <c r="A2773" s="3220" t="s">
        <v>3913</v>
      </c>
      <c r="B2773" s="3220"/>
      <c r="C2773" s="3220"/>
      <c r="D2773" s="3220"/>
      <c r="E2773" s="3220"/>
      <c r="F2773" s="3220"/>
      <c r="G2773" s="3220"/>
      <c r="H2773" s="3219"/>
      <c r="I2773" s="3219"/>
      <c r="J2773" s="3219"/>
    </row>
    <row r="2774" spans="1:24" x14ac:dyDescent="0.2">
      <c r="L2774" s="3146" t="s">
        <v>3915</v>
      </c>
      <c r="M2774" s="3146"/>
    </row>
    <row r="2775" spans="1:24" ht="12.75" customHeight="1" x14ac:dyDescent="0.2">
      <c r="I2775" s="4784" t="s">
        <v>2374</v>
      </c>
      <c r="J2775" s="4784"/>
      <c r="K2775" s="4784"/>
      <c r="L2775" s="4784"/>
      <c r="M2775" s="4784"/>
    </row>
    <row r="2776" spans="1:24" ht="12.75" customHeight="1" x14ac:dyDescent="0.2">
      <c r="E2776" s="3146" t="s">
        <v>3021</v>
      </c>
      <c r="F2776" s="3146"/>
      <c r="H2776" s="4787" t="s">
        <v>1441</v>
      </c>
      <c r="I2776" s="4787" t="s">
        <v>3313</v>
      </c>
      <c r="J2776" s="3215" t="s">
        <v>2376</v>
      </c>
      <c r="K2776" s="3214"/>
      <c r="L2776" s="3213"/>
      <c r="M2776" s="3150"/>
      <c r="O2776" s="3211" t="s">
        <v>966</v>
      </c>
      <c r="P2776" s="3211" t="s">
        <v>4816</v>
      </c>
      <c r="Q2776" s="3211" t="s">
        <v>4817</v>
      </c>
      <c r="R2776" s="3210" t="s">
        <v>1955</v>
      </c>
      <c r="S2776" s="3210" t="s">
        <v>1956</v>
      </c>
      <c r="T2776" s="3225"/>
      <c r="U2776" s="3225"/>
    </row>
    <row r="2777" spans="1:24" ht="51" customHeight="1" x14ac:dyDescent="0.2">
      <c r="A2777" s="4784" t="s">
        <v>5117</v>
      </c>
      <c r="B2777" s="4784"/>
      <c r="C2777" s="4784"/>
      <c r="D2777" s="4784"/>
      <c r="E2777" s="4784"/>
      <c r="F2777" s="4784"/>
      <c r="H2777" s="4787"/>
      <c r="I2777" s="4787"/>
      <c r="J2777" s="3163" t="s">
        <v>5123</v>
      </c>
      <c r="K2777" s="3163" t="s">
        <v>5124</v>
      </c>
      <c r="L2777" s="3163" t="s">
        <v>5125</v>
      </c>
      <c r="M2777" s="3150" t="s">
        <v>2490</v>
      </c>
      <c r="O2777" s="3211">
        <v>1</v>
      </c>
      <c r="P2777" s="3211">
        <v>1</v>
      </c>
      <c r="Q2777" s="3211">
        <v>1</v>
      </c>
      <c r="R2777" s="3210">
        <v>1</v>
      </c>
      <c r="S2777" s="3210">
        <v>1</v>
      </c>
      <c r="T2777" s="3225"/>
      <c r="U2777" s="3225"/>
    </row>
    <row r="2778" spans="1:24" ht="12.75" customHeight="1" x14ac:dyDescent="0.2">
      <c r="A2778" s="4785" t="s">
        <v>1441</v>
      </c>
      <c r="B2778" s="4785" t="s">
        <v>3313</v>
      </c>
      <c r="C2778" s="4786" t="s">
        <v>1431</v>
      </c>
      <c r="D2778" s="4786"/>
      <c r="E2778" s="4786"/>
      <c r="F2778" s="3150"/>
      <c r="H2778" s="3170"/>
      <c r="I2778" s="3170"/>
      <c r="J2778" s="3163"/>
      <c r="K2778" s="3163"/>
      <c r="L2778" s="3163"/>
      <c r="M2778" s="3150"/>
      <c r="O2778" s="3211">
        <v>2</v>
      </c>
      <c r="P2778" s="3211">
        <v>0.9</v>
      </c>
      <c r="Q2778" s="3211">
        <v>0.95</v>
      </c>
      <c r="R2778" s="3210">
        <v>2</v>
      </c>
      <c r="S2778" s="3210">
        <v>0.95</v>
      </c>
      <c r="T2778" s="3225"/>
      <c r="U2778" s="3225"/>
    </row>
    <row r="2779" spans="1:24" ht="38.25" x14ac:dyDescent="0.2">
      <c r="A2779" s="4785"/>
      <c r="B2779" s="4785"/>
      <c r="C2779" s="3163" t="s">
        <v>5123</v>
      </c>
      <c r="D2779" s="3163" t="s">
        <v>5124</v>
      </c>
      <c r="E2779" s="3163" t="s">
        <v>5125</v>
      </c>
      <c r="F2779" s="3150" t="s">
        <v>2490</v>
      </c>
      <c r="H2779" s="3181" t="s">
        <v>2846</v>
      </c>
      <c r="I2779" s="3181">
        <v>141</v>
      </c>
      <c r="J2779" s="3181">
        <v>127</v>
      </c>
      <c r="K2779" s="3181">
        <v>63.6</v>
      </c>
      <c r="L2779" s="3181">
        <v>43.3</v>
      </c>
      <c r="M2779" s="3138">
        <v>1</v>
      </c>
      <c r="O2779" s="3211">
        <v>3</v>
      </c>
      <c r="P2779" s="3211">
        <v>0.85</v>
      </c>
      <c r="Q2779" s="3211">
        <v>0.9</v>
      </c>
      <c r="R2779" s="3210">
        <v>3</v>
      </c>
      <c r="S2779" s="3210">
        <v>0.9</v>
      </c>
      <c r="T2779" s="3225"/>
      <c r="U2779" s="3225"/>
    </row>
    <row r="2780" spans="1:24" x14ac:dyDescent="0.2">
      <c r="A2780" s="3162"/>
      <c r="B2780" s="3162"/>
      <c r="C2780" s="3163"/>
      <c r="D2780" s="3163"/>
      <c r="E2780" s="3163"/>
      <c r="F2780" s="3150"/>
      <c r="H2780" s="3181" t="s">
        <v>2821</v>
      </c>
      <c r="I2780" s="3181">
        <v>136</v>
      </c>
      <c r="J2780" s="3181">
        <v>121</v>
      </c>
      <c r="K2780" s="3181">
        <v>61.3</v>
      </c>
      <c r="L2780" s="3181">
        <v>41.7</v>
      </c>
      <c r="M2780" s="3138">
        <v>2</v>
      </c>
      <c r="O2780" s="3211">
        <v>4</v>
      </c>
      <c r="P2780" s="3211">
        <v>0.8</v>
      </c>
      <c r="Q2780" s="3211">
        <v>0.85</v>
      </c>
      <c r="R2780" s="3226">
        <v>4</v>
      </c>
      <c r="S2780" s="3226">
        <v>0.85</v>
      </c>
      <c r="T2780" s="3225"/>
      <c r="U2780" s="3225"/>
    </row>
    <row r="2781" spans="1:24" x14ac:dyDescent="0.2">
      <c r="A2781" s="3181" t="s">
        <v>5128</v>
      </c>
      <c r="B2781" s="3181">
        <v>146</v>
      </c>
      <c r="C2781" s="3181">
        <v>118</v>
      </c>
      <c r="D2781" s="3181">
        <v>65</v>
      </c>
      <c r="E2781" s="3181">
        <v>44.9</v>
      </c>
      <c r="F2781" s="3138">
        <v>1</v>
      </c>
      <c r="H2781" s="3181" t="s">
        <v>2725</v>
      </c>
      <c r="I2781" s="3181">
        <v>130</v>
      </c>
      <c r="J2781" s="3181">
        <v>113</v>
      </c>
      <c r="K2781" s="3181">
        <v>57.6</v>
      </c>
      <c r="L2781" s="3181">
        <v>39.299999999999997</v>
      </c>
      <c r="M2781" s="3138">
        <v>3</v>
      </c>
      <c r="T2781" s="3225"/>
      <c r="U2781" s="3225"/>
    </row>
    <row r="2782" spans="1:24" x14ac:dyDescent="0.2">
      <c r="A2782" s="3181" t="s">
        <v>4803</v>
      </c>
      <c r="B2782" s="3181">
        <v>142</v>
      </c>
      <c r="C2782" s="3181">
        <v>112</v>
      </c>
      <c r="D2782" s="3181">
        <v>62.6</v>
      </c>
      <c r="E2782" s="3181">
        <v>43.4</v>
      </c>
      <c r="F2782" s="3138">
        <v>2</v>
      </c>
      <c r="H2782" s="3181" t="s">
        <v>2727</v>
      </c>
      <c r="I2782" s="3181">
        <v>124</v>
      </c>
      <c r="J2782" s="3181">
        <v>105</v>
      </c>
      <c r="K2782" s="3181">
        <v>54.2</v>
      </c>
      <c r="L2782" s="3181">
        <v>37</v>
      </c>
      <c r="M2782" s="3138">
        <v>4</v>
      </c>
      <c r="Q2782" s="3225"/>
      <c r="R2782" s="3225"/>
      <c r="S2782" s="3225"/>
      <c r="T2782" s="3225"/>
      <c r="U2782" s="3225"/>
    </row>
    <row r="2783" spans="1:24" x14ac:dyDescent="0.2">
      <c r="A2783" s="3181" t="s">
        <v>5443</v>
      </c>
      <c r="B2783" s="3181">
        <v>137</v>
      </c>
      <c r="C2783" s="3181">
        <v>105</v>
      </c>
      <c r="D2783" s="3181">
        <v>59.5</v>
      </c>
      <c r="E2783" s="3181">
        <v>41.4</v>
      </c>
      <c r="F2783" s="3138">
        <v>3</v>
      </c>
      <c r="H2783" s="3181" t="s">
        <v>2729</v>
      </c>
      <c r="I2783" s="3181">
        <v>117</v>
      </c>
      <c r="J2783" s="3181">
        <v>98.3</v>
      </c>
      <c r="K2783" s="3181">
        <v>50.8</v>
      </c>
      <c r="L2783" s="3181">
        <v>35</v>
      </c>
      <c r="M2783" s="3138">
        <v>5</v>
      </c>
      <c r="Q2783" s="3225"/>
      <c r="R2783" s="3225"/>
      <c r="S2783" s="3225"/>
      <c r="T2783" s="3225"/>
      <c r="U2783" s="3225"/>
    </row>
    <row r="2784" spans="1:24" x14ac:dyDescent="0.2">
      <c r="A2784" s="3181" t="s">
        <v>2214</v>
      </c>
      <c r="B2784" s="3181">
        <v>132</v>
      </c>
      <c r="C2784" s="3181">
        <v>98.8</v>
      </c>
      <c r="D2784" s="3181">
        <v>56.6</v>
      </c>
      <c r="E2784" s="3181">
        <v>39.6</v>
      </c>
      <c r="F2784" s="3138">
        <v>4</v>
      </c>
      <c r="H2784" s="3181" t="s">
        <v>2365</v>
      </c>
      <c r="I2784" s="3181">
        <v>111</v>
      </c>
      <c r="J2784" s="3181">
        <v>92</v>
      </c>
      <c r="K2784" s="3181">
        <v>47.8</v>
      </c>
      <c r="L2784" s="3181">
        <v>32.9</v>
      </c>
      <c r="M2784" s="3138">
        <v>6</v>
      </c>
      <c r="Q2784" s="4810"/>
      <c r="R2784" s="4810"/>
      <c r="S2784" s="4810"/>
      <c r="T2784" s="4810"/>
      <c r="U2784" s="4810"/>
    </row>
    <row r="2785" spans="1:21" x14ac:dyDescent="0.2">
      <c r="A2785" s="3181" t="s">
        <v>4339</v>
      </c>
      <c r="B2785" s="3181">
        <v>128</v>
      </c>
      <c r="C2785" s="3181">
        <v>92.9</v>
      </c>
      <c r="D2785" s="3181">
        <v>53.8</v>
      </c>
      <c r="E2785" s="3181">
        <v>37.799999999999997</v>
      </c>
      <c r="F2785" s="3138">
        <v>5</v>
      </c>
      <c r="H2785" s="3181" t="s">
        <v>2366</v>
      </c>
      <c r="I2785" s="3181">
        <v>106</v>
      </c>
      <c r="J2785" s="3181">
        <v>85.8</v>
      </c>
      <c r="K2785" s="3181">
        <v>44.9</v>
      </c>
      <c r="L2785" s="3181">
        <v>31</v>
      </c>
      <c r="M2785" s="3138">
        <v>7</v>
      </c>
      <c r="Q2785" s="3209"/>
      <c r="R2785" s="3209"/>
      <c r="S2785" s="3209"/>
      <c r="T2785" s="3209"/>
      <c r="U2785" s="3209"/>
    </row>
    <row r="2786" spans="1:21" x14ac:dyDescent="0.2">
      <c r="A2786" s="3181" t="s">
        <v>3372</v>
      </c>
      <c r="B2786" s="3181">
        <v>122</v>
      </c>
      <c r="C2786" s="3181">
        <v>87.2</v>
      </c>
      <c r="D2786" s="3181">
        <v>51</v>
      </c>
      <c r="E2786" s="3181">
        <v>36</v>
      </c>
      <c r="F2786" s="3138">
        <v>6</v>
      </c>
      <c r="H2786" s="3181" t="s">
        <v>2368</v>
      </c>
      <c r="I2786" s="3181">
        <v>99.8</v>
      </c>
      <c r="J2786" s="3181">
        <v>80</v>
      </c>
      <c r="K2786" s="3181">
        <v>42.1</v>
      </c>
      <c r="L2786" s="3181">
        <v>29.1</v>
      </c>
      <c r="M2786" s="3138">
        <v>8</v>
      </c>
      <c r="Q2786" s="3209"/>
      <c r="R2786" s="3209"/>
      <c r="S2786" s="3209"/>
      <c r="T2786" s="3209"/>
      <c r="U2786" s="3209"/>
    </row>
    <row r="2787" spans="1:21" x14ac:dyDescent="0.2">
      <c r="A2787" s="3181" t="s">
        <v>5428</v>
      </c>
      <c r="B2787" s="3181">
        <v>118</v>
      </c>
      <c r="C2787" s="3181">
        <v>81.900000000000006</v>
      </c>
      <c r="D2787" s="3181">
        <v>48.4</v>
      </c>
      <c r="E2787" s="3181">
        <v>34.299999999999997</v>
      </c>
      <c r="F2787" s="3138">
        <v>7</v>
      </c>
      <c r="H2787" s="3181" t="s">
        <v>2370</v>
      </c>
      <c r="I2787" s="3181">
        <v>94.4</v>
      </c>
      <c r="J2787" s="3181">
        <v>74.400000000000006</v>
      </c>
      <c r="K2787" s="3181">
        <v>39.4</v>
      </c>
      <c r="L2787" s="3181">
        <v>27.3</v>
      </c>
      <c r="M2787" s="3138">
        <v>9</v>
      </c>
      <c r="Q2787" s="3209"/>
      <c r="R2787" s="3209"/>
      <c r="S2787" s="3209"/>
      <c r="T2787" s="3209"/>
      <c r="U2787" s="3209"/>
    </row>
    <row r="2788" spans="1:21" x14ac:dyDescent="0.2">
      <c r="A2788" s="3181" t="s">
        <v>4256</v>
      </c>
      <c r="B2788" s="3181">
        <v>113</v>
      </c>
      <c r="C2788" s="3181">
        <v>76.8</v>
      </c>
      <c r="D2788" s="3181">
        <v>45.8</v>
      </c>
      <c r="E2788" s="3181">
        <v>32.6</v>
      </c>
      <c r="F2788" s="3138">
        <v>8</v>
      </c>
      <c r="H2788" s="3181" t="s">
        <v>2372</v>
      </c>
      <c r="I2788" s="3181">
        <v>88.8</v>
      </c>
      <c r="J2788" s="3181">
        <v>69</v>
      </c>
      <c r="K2788" s="3181">
        <v>36.700000000000003</v>
      </c>
      <c r="L2788" s="3181">
        <v>25.6</v>
      </c>
      <c r="M2788" s="3138">
        <v>10</v>
      </c>
      <c r="Q2788" s="3209"/>
      <c r="R2788" s="3209"/>
      <c r="S2788" s="3209"/>
      <c r="T2788" s="3209"/>
      <c r="U2788" s="3209"/>
    </row>
    <row r="2789" spans="1:21" x14ac:dyDescent="0.2">
      <c r="A2789" s="3181" t="s">
        <v>5228</v>
      </c>
      <c r="B2789" s="3181">
        <v>109</v>
      </c>
      <c r="C2789" s="3181">
        <v>72.099999999999994</v>
      </c>
      <c r="D2789" s="3181">
        <v>43.4</v>
      </c>
      <c r="E2789" s="3181">
        <v>31</v>
      </c>
      <c r="F2789" s="3138">
        <v>9</v>
      </c>
      <c r="H2789" s="3181" t="s">
        <v>771</v>
      </c>
      <c r="I2789" s="3181">
        <v>83.6</v>
      </c>
      <c r="J2789" s="3181">
        <v>64</v>
      </c>
      <c r="K2789" s="3181">
        <v>34.200000000000003</v>
      </c>
      <c r="L2789" s="3181">
        <v>23.9</v>
      </c>
      <c r="M2789" s="3138">
        <v>11</v>
      </c>
      <c r="Q2789" s="3209"/>
      <c r="R2789" s="3209"/>
      <c r="S2789" s="3209"/>
      <c r="T2789" s="3209"/>
      <c r="U2789" s="3209"/>
    </row>
    <row r="2790" spans="1:21" x14ac:dyDescent="0.2">
      <c r="A2790" s="3181" t="s">
        <v>5233</v>
      </c>
      <c r="B2790" s="3181">
        <v>104</v>
      </c>
      <c r="C2790" s="3181">
        <v>67.599999999999994</v>
      </c>
      <c r="D2790" s="3181">
        <v>41</v>
      </c>
      <c r="E2790" s="3181">
        <v>29.5</v>
      </c>
      <c r="F2790" s="3138">
        <v>10</v>
      </c>
      <c r="H2790" s="3181" t="s">
        <v>773</v>
      </c>
      <c r="I2790" s="3181">
        <v>78.599999999999994</v>
      </c>
      <c r="J2790" s="3181">
        <v>59.6</v>
      </c>
      <c r="K2790" s="3181">
        <v>32</v>
      </c>
      <c r="L2790" s="3181">
        <v>22.4</v>
      </c>
      <c r="M2790" s="3138">
        <v>12</v>
      </c>
      <c r="Q2790" s="3209"/>
      <c r="R2790" s="3209"/>
      <c r="S2790" s="3209"/>
      <c r="T2790" s="3209"/>
      <c r="U2790" s="3209"/>
    </row>
    <row r="2791" spans="1:21" ht="25.5" x14ac:dyDescent="0.2">
      <c r="A2791" s="3206" t="s">
        <v>4070</v>
      </c>
      <c r="B2791" s="3181">
        <v>99.5</v>
      </c>
      <c r="C2791" s="3181">
        <v>62.8</v>
      </c>
      <c r="D2791" s="3181">
        <v>38.5</v>
      </c>
      <c r="E2791" s="3181">
        <v>27.8</v>
      </c>
      <c r="F2791" s="3138">
        <v>11</v>
      </c>
      <c r="H2791" s="3206" t="s">
        <v>775</v>
      </c>
      <c r="I2791" s="3181">
        <v>72</v>
      </c>
      <c r="J2791" s="3181">
        <v>53.7</v>
      </c>
      <c r="K2791" s="3181">
        <v>29</v>
      </c>
      <c r="L2791" s="3181">
        <v>20.3</v>
      </c>
      <c r="M2791" s="3138">
        <v>13</v>
      </c>
      <c r="Q2791" s="3209"/>
      <c r="R2791" s="3209"/>
      <c r="S2791" s="3209"/>
      <c r="T2791" s="3209"/>
      <c r="U2791" s="3209"/>
    </row>
    <row r="2792" spans="1:21" x14ac:dyDescent="0.2">
      <c r="A2792" s="3209"/>
      <c r="B2792" s="3209"/>
      <c r="H2792" s="3224"/>
      <c r="I2792" s="3224"/>
      <c r="J2792" s="3224"/>
      <c r="K2792" s="3224"/>
      <c r="L2792" s="3224"/>
      <c r="M2792" s="3223"/>
      <c r="Q2792" s="3209"/>
      <c r="R2792" s="3209"/>
      <c r="S2792" s="3209"/>
      <c r="T2792" s="3209"/>
      <c r="U2792" s="3209"/>
    </row>
    <row r="2793" spans="1:21" x14ac:dyDescent="0.2">
      <c r="N2793" s="3187"/>
      <c r="O2793" s="3187"/>
      <c r="P2793" s="3187"/>
      <c r="Q2793" s="3187"/>
      <c r="R2793" s="3187"/>
    </row>
    <row r="2794" spans="1:21" x14ac:dyDescent="0.2">
      <c r="N2794" s="3187"/>
      <c r="O2794" s="3187"/>
      <c r="P2794" s="3187"/>
      <c r="Q2794" s="3187"/>
      <c r="R2794" s="3187"/>
    </row>
    <row r="2795" spans="1:21" ht="12.75" customHeight="1" x14ac:dyDescent="0.2">
      <c r="A2795" s="3208" t="s">
        <v>4083</v>
      </c>
      <c r="B2795" s="3207"/>
      <c r="D2795" s="4794" t="s">
        <v>4084</v>
      </c>
      <c r="E2795" s="4794"/>
      <c r="N2795" s="3187"/>
      <c r="O2795" s="3187"/>
      <c r="P2795" s="3187"/>
      <c r="Q2795" s="3187"/>
      <c r="R2795" s="3187"/>
    </row>
    <row r="2796" spans="1:21" ht="38.25" customHeight="1" x14ac:dyDescent="0.2">
      <c r="A2796" s="3206" t="s">
        <v>4088</v>
      </c>
      <c r="B2796" s="3206" t="s">
        <v>3501</v>
      </c>
      <c r="D2796" s="3181" t="s">
        <v>3502</v>
      </c>
      <c r="E2796" s="3206" t="s">
        <v>3503</v>
      </c>
      <c r="G2796" s="4794" t="s">
        <v>4892</v>
      </c>
      <c r="H2796" s="4794"/>
      <c r="J2796" s="4794" t="s">
        <v>4893</v>
      </c>
      <c r="K2796" s="4794"/>
      <c r="N2796" s="3187"/>
      <c r="O2796" s="3187"/>
      <c r="P2796" s="3187"/>
      <c r="Q2796" s="3187"/>
      <c r="R2796" s="3187"/>
    </row>
    <row r="2797" spans="1:21" ht="25.5" x14ac:dyDescent="0.2">
      <c r="A2797" s="3181" t="s">
        <v>4880</v>
      </c>
      <c r="B2797" s="3181">
        <v>0.9</v>
      </c>
      <c r="D2797" s="3181" t="s">
        <v>4881</v>
      </c>
      <c r="E2797" s="3181">
        <v>0.9</v>
      </c>
      <c r="G2797" s="3206" t="s">
        <v>3355</v>
      </c>
      <c r="H2797" s="3181">
        <v>0.85</v>
      </c>
      <c r="J2797" s="3181" t="s">
        <v>3356</v>
      </c>
      <c r="K2797" s="3181">
        <v>0.9</v>
      </c>
      <c r="N2797" s="3187"/>
      <c r="O2797" s="3187"/>
      <c r="P2797" s="3187"/>
      <c r="Q2797" s="3187"/>
      <c r="R2797" s="3187"/>
    </row>
    <row r="2798" spans="1:21" ht="25.5" x14ac:dyDescent="0.2">
      <c r="A2798" s="3206" t="s">
        <v>4887</v>
      </c>
      <c r="B2798" s="3181">
        <v>0.85</v>
      </c>
      <c r="D2798" s="3206" t="s">
        <v>4888</v>
      </c>
      <c r="E2798" s="3181">
        <v>0.8</v>
      </c>
      <c r="G2798" s="3206" t="s">
        <v>3358</v>
      </c>
      <c r="H2798" s="3181">
        <v>0.95</v>
      </c>
      <c r="J2798" s="3181" t="s">
        <v>3359</v>
      </c>
      <c r="K2798" s="3181">
        <v>0.85</v>
      </c>
      <c r="N2798" s="3187"/>
      <c r="O2798" s="3187"/>
      <c r="P2798" s="3187"/>
      <c r="Q2798" s="3187"/>
      <c r="R2798" s="3187"/>
    </row>
    <row r="2799" spans="1:21" x14ac:dyDescent="0.2">
      <c r="J2799" s="3181" t="s">
        <v>3361</v>
      </c>
      <c r="K2799" s="3181">
        <v>0.8</v>
      </c>
      <c r="N2799" s="3187"/>
      <c r="O2799" s="3187"/>
      <c r="P2799" s="3187"/>
      <c r="Q2799" s="3187"/>
      <c r="R2799" s="3187"/>
    </row>
    <row r="2800" spans="1:21" x14ac:dyDescent="0.2">
      <c r="N2800" s="3187"/>
      <c r="O2800" s="3187"/>
      <c r="P2800" s="3187"/>
      <c r="Q2800" s="3187"/>
      <c r="R2800" s="3187"/>
    </row>
    <row r="2801" spans="1:18" x14ac:dyDescent="0.2">
      <c r="N2801" s="3187"/>
      <c r="O2801" s="3187"/>
      <c r="P2801" s="3187"/>
      <c r="Q2801" s="3187"/>
      <c r="R2801" s="3187"/>
    </row>
    <row r="2802" spans="1:18" ht="12.75" customHeight="1" x14ac:dyDescent="0.2">
      <c r="A2802" s="4795" t="s">
        <v>5839</v>
      </c>
      <c r="B2802" s="4795"/>
      <c r="C2802" s="4795"/>
      <c r="D2802" s="4795"/>
      <c r="E2802" s="4795"/>
      <c r="F2802" s="4795"/>
      <c r="G2802" s="4795"/>
      <c r="N2802" s="3187"/>
      <c r="O2802" s="3187"/>
      <c r="P2802" s="3187"/>
      <c r="Q2802" s="3187"/>
      <c r="R2802" s="3187"/>
    </row>
    <row r="2803" spans="1:18" ht="12.75" customHeight="1" x14ac:dyDescent="0.2">
      <c r="A2803" s="4796" t="s">
        <v>5838</v>
      </c>
      <c r="B2803" s="4796"/>
      <c r="C2803" s="4796"/>
      <c r="D2803" s="4796"/>
      <c r="E2803" s="4797" t="s">
        <v>428</v>
      </c>
      <c r="F2803" s="4797"/>
      <c r="G2803" s="4797"/>
      <c r="N2803" s="3187"/>
      <c r="O2803" s="3187"/>
      <c r="P2803" s="3187"/>
      <c r="Q2803" s="3187"/>
      <c r="R2803" s="3187"/>
    </row>
    <row r="2804" spans="1:18" ht="12.75" customHeight="1" x14ac:dyDescent="0.2">
      <c r="A2804" s="4788" t="s">
        <v>3313</v>
      </c>
      <c r="B2804" s="4788"/>
      <c r="C2804" s="4788"/>
      <c r="D2804" s="4788"/>
      <c r="E2804" s="4788"/>
      <c r="F2804" s="4788"/>
      <c r="G2804" s="3198">
        <v>1.3</v>
      </c>
      <c r="N2804" s="3187"/>
      <c r="O2804" s="3187"/>
      <c r="P2804" s="3187"/>
      <c r="Q2804" s="3187"/>
      <c r="R2804" s="3187"/>
    </row>
    <row r="2805" spans="1:18" ht="12.75" customHeight="1" x14ac:dyDescent="0.2">
      <c r="A2805" s="4789" t="s">
        <v>3655</v>
      </c>
      <c r="B2805" s="4789"/>
      <c r="C2805" s="4789"/>
      <c r="D2805" s="4789"/>
      <c r="E2805" s="4789"/>
      <c r="F2805" s="3195"/>
      <c r="G2805" s="3181">
        <v>1.2</v>
      </c>
      <c r="N2805" s="3187"/>
      <c r="O2805" s="3187"/>
      <c r="P2805" s="3187"/>
      <c r="Q2805" s="3187"/>
      <c r="R2805" s="3187"/>
    </row>
    <row r="2806" spans="1:18" ht="12.75" customHeight="1" x14ac:dyDescent="0.2">
      <c r="A2806" s="4790" t="s">
        <v>5837</v>
      </c>
      <c r="B2806" s="4790"/>
      <c r="C2806" s="4790"/>
      <c r="D2806" s="4790"/>
      <c r="E2806" s="4790"/>
      <c r="F2806" s="3191"/>
      <c r="G2806" s="3190">
        <v>1.25</v>
      </c>
      <c r="N2806" s="3187"/>
      <c r="O2806" s="3187"/>
      <c r="P2806" s="3187"/>
      <c r="Q2806" s="3187"/>
      <c r="R2806" s="3187"/>
    </row>
    <row r="2807" spans="1:18" x14ac:dyDescent="0.2">
      <c r="L2807" s="3146"/>
      <c r="N2807" s="3187"/>
      <c r="O2807" s="3187"/>
      <c r="P2807" s="3187"/>
      <c r="Q2807" s="3187"/>
      <c r="R2807" s="3187"/>
    </row>
    <row r="2808" spans="1:18" ht="20.25" x14ac:dyDescent="0.3">
      <c r="A2808" s="4791" t="s">
        <v>5835</v>
      </c>
      <c r="B2808" s="4791"/>
      <c r="C2808" s="4791"/>
      <c r="D2808" s="4791"/>
      <c r="E2808" s="4791"/>
      <c r="F2808" s="4791"/>
      <c r="G2808" s="4791"/>
      <c r="H2808" s="4791"/>
      <c r="I2808" s="4791"/>
      <c r="J2808" s="4791"/>
      <c r="K2808" s="4791"/>
      <c r="L2808" s="4791"/>
      <c r="M2808" s="3146" t="s">
        <v>5836</v>
      </c>
      <c r="N2808" s="3187"/>
      <c r="O2808" s="3187"/>
      <c r="P2808" s="3187"/>
      <c r="Q2808" s="3187"/>
      <c r="R2808" s="3187"/>
    </row>
    <row r="2809" spans="1:18" ht="12.75" customHeight="1" x14ac:dyDescent="0.2">
      <c r="A2809" s="4796" t="s">
        <v>5831</v>
      </c>
      <c r="B2809" s="4801" t="s">
        <v>3785</v>
      </c>
      <c r="C2809" s="4801"/>
      <c r="D2809" s="4801"/>
      <c r="E2809" s="4801"/>
      <c r="F2809" s="3181" t="s">
        <v>2490</v>
      </c>
      <c r="G2809" s="4796" t="s">
        <v>5831</v>
      </c>
      <c r="H2809" s="4801" t="s">
        <v>3785</v>
      </c>
      <c r="I2809" s="4801"/>
      <c r="J2809" s="4801"/>
      <c r="K2809" s="4801"/>
      <c r="L2809" s="3181" t="s">
        <v>2490</v>
      </c>
      <c r="N2809" s="3187"/>
      <c r="O2809" s="3187"/>
      <c r="P2809" s="3187"/>
      <c r="Q2809" s="3187"/>
      <c r="R2809" s="3187"/>
    </row>
    <row r="2810" spans="1:18" x14ac:dyDescent="0.2">
      <c r="A2810" s="4796"/>
      <c r="B2810" s="3181" t="s">
        <v>1084</v>
      </c>
      <c r="C2810" s="3181" t="s">
        <v>1085</v>
      </c>
      <c r="D2810" s="3181" t="s">
        <v>3006</v>
      </c>
      <c r="E2810" s="3181" t="s">
        <v>5830</v>
      </c>
      <c r="F2810" s="3181"/>
      <c r="G2810" s="4796"/>
      <c r="H2810" s="3181" t="s">
        <v>1084</v>
      </c>
      <c r="I2810" s="3181" t="s">
        <v>1085</v>
      </c>
      <c r="J2810" s="3181" t="s">
        <v>3006</v>
      </c>
      <c r="K2810" s="3181" t="s">
        <v>5830</v>
      </c>
      <c r="L2810" s="3181"/>
      <c r="N2810" s="3187"/>
      <c r="O2810" s="3187"/>
      <c r="P2810" s="3187"/>
      <c r="Q2810" s="3187"/>
      <c r="R2810" s="3187"/>
    </row>
    <row r="2811" spans="1:18" ht="15.75" x14ac:dyDescent="0.25">
      <c r="A2811" s="4799" t="s">
        <v>5834</v>
      </c>
      <c r="B2811" s="4799"/>
      <c r="C2811" s="4799"/>
      <c r="D2811" s="4799"/>
      <c r="E2811" s="4799"/>
      <c r="F2811" s="4799"/>
      <c r="G2811" s="4799" t="s">
        <v>5833</v>
      </c>
      <c r="H2811" s="4799"/>
      <c r="I2811" s="4799"/>
      <c r="J2811" s="4799"/>
      <c r="K2811" s="4799"/>
      <c r="L2811" s="4799"/>
      <c r="N2811" s="3187"/>
      <c r="O2811" s="3187"/>
      <c r="P2811" s="3187"/>
      <c r="Q2811" s="3187"/>
      <c r="R2811" s="3187"/>
    </row>
    <row r="2812" spans="1:18" x14ac:dyDescent="0.2">
      <c r="A2812" s="3138" t="s">
        <v>3008</v>
      </c>
      <c r="B2812" s="3138">
        <v>90</v>
      </c>
      <c r="C2812" s="3138">
        <v>80.2</v>
      </c>
      <c r="D2812" s="3138">
        <v>64.5</v>
      </c>
      <c r="E2812" s="3138">
        <v>61.9</v>
      </c>
      <c r="F2812" s="3138">
        <v>1</v>
      </c>
      <c r="G2812" s="3177" t="s">
        <v>5827</v>
      </c>
      <c r="H2812" s="3138">
        <v>58.7</v>
      </c>
      <c r="I2812" s="3177">
        <v>52.5</v>
      </c>
      <c r="J2812" s="3177">
        <v>42.5</v>
      </c>
      <c r="K2812" s="3177">
        <v>40.5</v>
      </c>
      <c r="L2812" s="3177">
        <v>14</v>
      </c>
    </row>
    <row r="2813" spans="1:18" x14ac:dyDescent="0.2">
      <c r="A2813" s="3138" t="s">
        <v>3009</v>
      </c>
      <c r="B2813" s="3138">
        <v>90.3</v>
      </c>
      <c r="C2813" s="3138">
        <v>80.7</v>
      </c>
      <c r="D2813" s="3138">
        <v>65</v>
      </c>
      <c r="E2813" s="3138">
        <v>62.4</v>
      </c>
      <c r="F2813" s="3138">
        <v>2</v>
      </c>
      <c r="G2813" s="3177" t="s">
        <v>5826</v>
      </c>
      <c r="H2813" s="3138">
        <v>57.8</v>
      </c>
      <c r="I2813" s="3177">
        <v>51.7</v>
      </c>
      <c r="J2813" s="3177">
        <v>41.9</v>
      </c>
      <c r="K2813" s="3177">
        <v>39.799999999999997</v>
      </c>
      <c r="L2813" s="3177">
        <v>15</v>
      </c>
      <c r="P2813" s="3175">
        <v>0.5</v>
      </c>
      <c r="Q2813" s="3175">
        <v>18</v>
      </c>
    </row>
    <row r="2814" spans="1:18" x14ac:dyDescent="0.2">
      <c r="A2814" s="3138" t="s">
        <v>3010</v>
      </c>
      <c r="B2814" s="3138">
        <v>85</v>
      </c>
      <c r="C2814" s="3138">
        <v>77.599999999999994</v>
      </c>
      <c r="D2814" s="3138">
        <v>62.6</v>
      </c>
      <c r="E2814" s="3138">
        <v>59.9</v>
      </c>
      <c r="F2814" s="3138">
        <v>3</v>
      </c>
      <c r="G2814" s="3177" t="s">
        <v>4069</v>
      </c>
      <c r="H2814" s="3138">
        <v>53.5</v>
      </c>
      <c r="I2814" s="3177">
        <v>48.8</v>
      </c>
      <c r="J2814" s="3177">
        <v>39.5</v>
      </c>
      <c r="K2814" s="3177">
        <v>37.200000000000003</v>
      </c>
      <c r="L2814" s="3177">
        <v>16</v>
      </c>
      <c r="P2814" s="3175">
        <v>0.65</v>
      </c>
      <c r="Q2814" s="3175">
        <v>18</v>
      </c>
    </row>
    <row r="2815" spans="1:18" x14ac:dyDescent="0.2">
      <c r="A2815" s="3138" t="s">
        <v>3011</v>
      </c>
      <c r="B2815" s="3138">
        <v>78.8</v>
      </c>
      <c r="C2815" s="3138">
        <v>74.3</v>
      </c>
      <c r="D2815" s="3138">
        <v>59.9</v>
      </c>
      <c r="E2815" s="3138">
        <v>57.1</v>
      </c>
      <c r="F2815" s="3138">
        <v>4</v>
      </c>
      <c r="G2815" s="3177" t="s">
        <v>4072</v>
      </c>
      <c r="H2815" s="3138">
        <v>49.7</v>
      </c>
      <c r="I2815" s="3177">
        <v>45.9</v>
      </c>
      <c r="J2815" s="3177">
        <v>37.299999999999997</v>
      </c>
      <c r="K2815" s="3177">
        <v>34.700000000000003</v>
      </c>
      <c r="L2815" s="3177">
        <v>17</v>
      </c>
      <c r="P2815" s="3175">
        <v>0.5</v>
      </c>
      <c r="Q2815" s="3175">
        <v>19</v>
      </c>
    </row>
    <row r="2816" spans="1:18" x14ac:dyDescent="0.2">
      <c r="A2816" s="3138" t="s">
        <v>3012</v>
      </c>
      <c r="B2816" s="3138">
        <v>75.099999999999994</v>
      </c>
      <c r="C2816" s="3138">
        <v>69</v>
      </c>
      <c r="D2816" s="3138">
        <v>55.5</v>
      </c>
      <c r="E2816" s="3138">
        <v>52.7</v>
      </c>
      <c r="F2816" s="3138">
        <v>5</v>
      </c>
      <c r="G2816" s="3177" t="s">
        <v>4073</v>
      </c>
      <c r="H2816" s="3138">
        <v>46.4</v>
      </c>
      <c r="I2816" s="3177">
        <v>42.5</v>
      </c>
      <c r="J2816" s="3177">
        <v>34.299999999999997</v>
      </c>
      <c r="K2816" s="3177">
        <v>31.9</v>
      </c>
      <c r="L2816" s="3177">
        <v>18</v>
      </c>
      <c r="P2816" s="3175">
        <v>0.74</v>
      </c>
      <c r="Q2816" s="3175">
        <v>19</v>
      </c>
    </row>
    <row r="2817" spans="1:17" x14ac:dyDescent="0.2">
      <c r="A2817" s="3138" t="s">
        <v>3013</v>
      </c>
      <c r="B2817" s="3138">
        <v>69.099999999999994</v>
      </c>
      <c r="C2817" s="3138">
        <v>64.3</v>
      </c>
      <c r="D2817" s="3138">
        <v>51.7</v>
      </c>
      <c r="E2817" s="3138">
        <v>48.8</v>
      </c>
      <c r="F2817" s="3138">
        <v>6</v>
      </c>
      <c r="G2817" s="3177" t="s">
        <v>5825</v>
      </c>
      <c r="H2817" s="3138">
        <v>43.4</v>
      </c>
      <c r="I2817" s="3177">
        <v>39.5</v>
      </c>
      <c r="J2817" s="3177">
        <v>31.8</v>
      </c>
      <c r="K2817" s="3177">
        <v>29.4</v>
      </c>
      <c r="L2817" s="3177">
        <v>19</v>
      </c>
      <c r="P2817" s="3175">
        <v>0.56000000000000005</v>
      </c>
      <c r="Q2817" s="3175">
        <v>20</v>
      </c>
    </row>
    <row r="2818" spans="1:17" x14ac:dyDescent="0.2">
      <c r="A2818" s="3138" t="s">
        <v>3014</v>
      </c>
      <c r="B2818" s="3138">
        <v>67</v>
      </c>
      <c r="C2818" s="3138">
        <v>60.1</v>
      </c>
      <c r="D2818" s="3138">
        <v>48</v>
      </c>
      <c r="E2818" s="3138">
        <v>44.9</v>
      </c>
      <c r="F2818" s="3138">
        <v>7</v>
      </c>
      <c r="G2818" s="3177" t="s">
        <v>5824</v>
      </c>
      <c r="H2818" s="3138">
        <v>41.6</v>
      </c>
      <c r="I2818" s="3177">
        <v>37</v>
      </c>
      <c r="J2818" s="3177">
        <v>29.7</v>
      </c>
      <c r="K2818" s="3177">
        <v>27</v>
      </c>
      <c r="L2818" s="3177">
        <v>20</v>
      </c>
      <c r="P2818" s="3175">
        <v>0.8</v>
      </c>
      <c r="Q2818" s="3175">
        <v>20</v>
      </c>
    </row>
    <row r="2819" spans="1:17" x14ac:dyDescent="0.2">
      <c r="A2819" s="3138" t="s">
        <v>4082</v>
      </c>
      <c r="B2819" s="3138">
        <v>62</v>
      </c>
      <c r="C2819" s="3138">
        <v>55.2</v>
      </c>
      <c r="D2819" s="3138">
        <v>44.3</v>
      </c>
      <c r="E2819" s="3138">
        <v>40.4</v>
      </c>
      <c r="F2819" s="3138">
        <v>8</v>
      </c>
      <c r="G2819" s="3177" t="s">
        <v>4082</v>
      </c>
      <c r="H2819" s="3138">
        <v>38.299999999999997</v>
      </c>
      <c r="I2819" s="3177">
        <v>33.799999999999997</v>
      </c>
      <c r="J2819" s="3177">
        <v>26.8</v>
      </c>
      <c r="K2819" s="3177">
        <v>24.2</v>
      </c>
      <c r="L2819" s="3177">
        <v>21</v>
      </c>
      <c r="P2819" s="3175">
        <v>0.56000000000000005</v>
      </c>
      <c r="Q2819" s="3175">
        <v>21</v>
      </c>
    </row>
    <row r="2820" spans="1:17" x14ac:dyDescent="0.2">
      <c r="A2820" s="3138" t="s">
        <v>3016</v>
      </c>
      <c r="B2820" s="3138">
        <v>56.8</v>
      </c>
      <c r="C2820" s="3138">
        <v>50.2</v>
      </c>
      <c r="D2820" s="3138">
        <v>39.6</v>
      </c>
      <c r="E2820" s="3138">
        <v>36.6</v>
      </c>
      <c r="F2820" s="3138">
        <v>9</v>
      </c>
      <c r="G2820" s="3177" t="s">
        <v>5823</v>
      </c>
      <c r="H2820" s="3138">
        <v>34.9</v>
      </c>
      <c r="I2820" s="3177">
        <v>30.6</v>
      </c>
      <c r="J2820" s="3177">
        <v>24</v>
      </c>
      <c r="K2820" s="3177">
        <v>21.5</v>
      </c>
      <c r="L2820" s="3177">
        <v>22</v>
      </c>
      <c r="P2820" s="3175">
        <v>0.84</v>
      </c>
      <c r="Q2820" s="3175">
        <v>21</v>
      </c>
    </row>
    <row r="2821" spans="1:17" x14ac:dyDescent="0.2">
      <c r="A2821" s="3138" t="s">
        <v>3017</v>
      </c>
      <c r="B2821" s="3138">
        <v>51.8</v>
      </c>
      <c r="C2821" s="3138">
        <v>45.3</v>
      </c>
      <c r="D2821" s="3138">
        <v>35.5</v>
      </c>
      <c r="E2821" s="3138">
        <v>32.700000000000003</v>
      </c>
      <c r="F2821" s="3138">
        <v>10</v>
      </c>
      <c r="G2821" s="3177" t="s">
        <v>5822</v>
      </c>
      <c r="H2821" s="3138">
        <v>31.5</v>
      </c>
      <c r="I2821" s="3177">
        <v>27.6</v>
      </c>
      <c r="J2821" s="3177">
        <v>21.3</v>
      </c>
      <c r="K2821" s="3177">
        <v>18.8</v>
      </c>
      <c r="L2821" s="3177">
        <v>23</v>
      </c>
      <c r="P2821" s="3175">
        <v>0.63</v>
      </c>
      <c r="Q2821" s="3175">
        <v>22</v>
      </c>
    </row>
    <row r="2822" spans="1:17" x14ac:dyDescent="0.2">
      <c r="A2822" s="3138" t="s">
        <v>3018</v>
      </c>
      <c r="B2822" s="3138">
        <v>46.9</v>
      </c>
      <c r="C2822" s="3138">
        <v>40.700000000000003</v>
      </c>
      <c r="D2822" s="3138">
        <v>31.8</v>
      </c>
      <c r="E2822" s="3138">
        <v>29.2</v>
      </c>
      <c r="F2822" s="3138">
        <v>11</v>
      </c>
      <c r="G2822" s="3177" t="s">
        <v>5821</v>
      </c>
      <c r="H2822" s="3138">
        <v>28.3</v>
      </c>
      <c r="I2822" s="3177">
        <v>24.7</v>
      </c>
      <c r="J2822" s="3177">
        <v>19</v>
      </c>
      <c r="K2822" s="3177">
        <v>16.600000000000001</v>
      </c>
      <c r="L2822" s="3177">
        <v>24</v>
      </c>
      <c r="P2822" s="3175">
        <v>0.9</v>
      </c>
      <c r="Q2822" s="3175">
        <v>22</v>
      </c>
    </row>
    <row r="2823" spans="1:17" x14ac:dyDescent="0.2">
      <c r="A2823" s="3138" t="s">
        <v>3019</v>
      </c>
      <c r="B2823" s="3138">
        <v>41.4</v>
      </c>
      <c r="C2823" s="3138">
        <v>36.299999999999997</v>
      </c>
      <c r="D2823" s="3138">
        <v>28.4</v>
      </c>
      <c r="E2823" s="3138">
        <v>26.1</v>
      </c>
      <c r="F2823" s="3138">
        <v>12</v>
      </c>
      <c r="G2823" s="3177" t="s">
        <v>5820</v>
      </c>
      <c r="H2823" s="3138">
        <v>24.6</v>
      </c>
      <c r="I2823" s="3177">
        <v>21.9</v>
      </c>
      <c r="J2823" s="3177">
        <v>16.8</v>
      </c>
      <c r="K2823" s="3177">
        <v>14.9</v>
      </c>
      <c r="L2823" s="3177">
        <v>25</v>
      </c>
      <c r="P2823" s="3175">
        <v>0.63</v>
      </c>
      <c r="Q2823" s="3175">
        <v>23</v>
      </c>
    </row>
    <row r="2824" spans="1:17" x14ac:dyDescent="0.2">
      <c r="A2824" s="3138" t="s">
        <v>5832</v>
      </c>
      <c r="B2824" s="3138">
        <v>37.1</v>
      </c>
      <c r="C2824" s="3138">
        <v>32.5</v>
      </c>
      <c r="D2824" s="3138">
        <v>25.5</v>
      </c>
      <c r="E2824" s="3138">
        <v>23.3</v>
      </c>
      <c r="F2824" s="3138">
        <v>13</v>
      </c>
      <c r="G2824" s="3177" t="s">
        <v>5819</v>
      </c>
      <c r="H2824" s="3138">
        <v>21.8</v>
      </c>
      <c r="I2824" s="3177">
        <v>19.600000000000001</v>
      </c>
      <c r="J2824" s="3177">
        <v>15</v>
      </c>
      <c r="K2824" s="3177">
        <v>13.2</v>
      </c>
      <c r="L2824" s="3177">
        <v>26</v>
      </c>
      <c r="P2824" s="3175">
        <v>0.97</v>
      </c>
      <c r="Q2824" s="3175">
        <v>23</v>
      </c>
    </row>
    <row r="2825" spans="1:17" ht="12.75" customHeight="1" x14ac:dyDescent="0.2">
      <c r="A2825" s="4796" t="s">
        <v>5831</v>
      </c>
      <c r="B2825" s="4801" t="s">
        <v>3785</v>
      </c>
      <c r="C2825" s="4801"/>
      <c r="D2825" s="4801"/>
      <c r="E2825" s="4801"/>
      <c r="F2825" s="3181" t="s">
        <v>2490</v>
      </c>
      <c r="G2825" s="4796" t="s">
        <v>5831</v>
      </c>
      <c r="H2825" s="4801" t="s">
        <v>3785</v>
      </c>
      <c r="I2825" s="4801"/>
      <c r="J2825" s="4801"/>
      <c r="K2825" s="4801"/>
      <c r="L2825" s="3181" t="s">
        <v>2490</v>
      </c>
      <c r="P2825" s="3175">
        <v>0.71</v>
      </c>
      <c r="Q2825" s="3175">
        <v>24</v>
      </c>
    </row>
    <row r="2826" spans="1:17" x14ac:dyDescent="0.2">
      <c r="A2826" s="4796"/>
      <c r="B2826" s="3181" t="s">
        <v>1084</v>
      </c>
      <c r="C2826" s="3181" t="s">
        <v>1085</v>
      </c>
      <c r="D2826" s="3181" t="s">
        <v>3006</v>
      </c>
      <c r="E2826" s="3181" t="s">
        <v>5830</v>
      </c>
      <c r="F2826" s="3181"/>
      <c r="G2826" s="4796"/>
      <c r="H2826" s="3181" t="s">
        <v>1084</v>
      </c>
      <c r="I2826" s="3181" t="s">
        <v>1085</v>
      </c>
      <c r="J2826" s="3181" t="s">
        <v>3006</v>
      </c>
      <c r="K2826" s="3181" t="s">
        <v>5830</v>
      </c>
      <c r="L2826" s="3181"/>
      <c r="P2826" s="3175">
        <v>1</v>
      </c>
      <c r="Q2826" s="3175">
        <v>24</v>
      </c>
    </row>
    <row r="2827" spans="1:17" ht="15.75" x14ac:dyDescent="0.25">
      <c r="A2827" s="4799" t="s">
        <v>5829</v>
      </c>
      <c r="B2827" s="4799"/>
      <c r="C2827" s="4799"/>
      <c r="D2827" s="4799"/>
      <c r="E2827" s="4799"/>
      <c r="F2827" s="4799"/>
      <c r="G2827" s="4799" t="s">
        <v>5828</v>
      </c>
      <c r="H2827" s="4799"/>
      <c r="I2827" s="4799"/>
      <c r="J2827" s="4799"/>
      <c r="K2827" s="4799"/>
      <c r="L2827" s="4799"/>
      <c r="P2827" s="3175">
        <v>0.8</v>
      </c>
      <c r="Q2827" s="3175">
        <v>27</v>
      </c>
    </row>
    <row r="2828" spans="1:17" x14ac:dyDescent="0.2">
      <c r="A2828" s="3177" t="s">
        <v>5827</v>
      </c>
      <c r="B2828" s="3177">
        <v>43.6</v>
      </c>
      <c r="C2828" s="3177">
        <v>39.700000000000003</v>
      </c>
      <c r="D2828" s="3177">
        <v>31.7</v>
      </c>
      <c r="E2828" s="3177">
        <v>30.1</v>
      </c>
      <c r="F2828" s="3177">
        <v>27</v>
      </c>
      <c r="G2828" s="3138" t="s">
        <v>5827</v>
      </c>
      <c r="H2828" s="3177">
        <v>168.3</v>
      </c>
      <c r="I2828" s="3177">
        <v>151.80000000000001</v>
      </c>
      <c r="J2828" s="3177">
        <v>124.3</v>
      </c>
      <c r="K2828" s="3177">
        <v>101.5</v>
      </c>
      <c r="L2828" s="3177">
        <v>40</v>
      </c>
      <c r="P2828" s="3175">
        <v>1.1200000000000001</v>
      </c>
      <c r="Q2828" s="3175">
        <v>27</v>
      </c>
    </row>
    <row r="2829" spans="1:17" x14ac:dyDescent="0.2">
      <c r="A2829" s="3138" t="s">
        <v>5826</v>
      </c>
      <c r="B2829" s="3177">
        <v>42.4</v>
      </c>
      <c r="C2829" s="3177">
        <v>38.1</v>
      </c>
      <c r="D2829" s="3177">
        <v>30.9</v>
      </c>
      <c r="E2829" s="3177">
        <v>29.2</v>
      </c>
      <c r="F2829" s="3177">
        <v>28</v>
      </c>
      <c r="G2829" s="3138" t="s">
        <v>5826</v>
      </c>
      <c r="H2829" s="3177">
        <v>159.4</v>
      </c>
      <c r="I2829" s="3177">
        <v>143.9</v>
      </c>
      <c r="J2829" s="3177">
        <v>117.9</v>
      </c>
      <c r="K2829" s="3177">
        <v>95.7</v>
      </c>
      <c r="L2829" s="3177">
        <v>41</v>
      </c>
      <c r="P2829" s="3175">
        <v>0.8</v>
      </c>
      <c r="Q2829" s="3175">
        <v>28</v>
      </c>
    </row>
    <row r="2830" spans="1:17" x14ac:dyDescent="0.2">
      <c r="A2830" s="3138" t="s">
        <v>4069</v>
      </c>
      <c r="B2830" s="3177">
        <v>39</v>
      </c>
      <c r="C2830" s="3177">
        <v>35.6</v>
      </c>
      <c r="D2830" s="3177">
        <v>28.9</v>
      </c>
      <c r="E2830" s="3177">
        <v>27</v>
      </c>
      <c r="F2830" s="3177">
        <v>29</v>
      </c>
      <c r="G2830" s="3138" t="s">
        <v>4069</v>
      </c>
      <c r="H2830" s="3177">
        <v>144.5</v>
      </c>
      <c r="I2830" s="3177">
        <v>132.5</v>
      </c>
      <c r="J2830" s="3177">
        <v>107.1</v>
      </c>
      <c r="K2830" s="3177">
        <v>86.9</v>
      </c>
      <c r="L2830" s="3177">
        <v>42</v>
      </c>
      <c r="P2830" s="3175">
        <v>1.2</v>
      </c>
      <c r="Q2830" s="3175">
        <v>28</v>
      </c>
    </row>
    <row r="2831" spans="1:17" x14ac:dyDescent="0.2">
      <c r="A2831" s="3138" t="s">
        <v>4072</v>
      </c>
      <c r="B2831" s="3177">
        <v>36.1</v>
      </c>
      <c r="C2831" s="3177">
        <v>33.200000000000003</v>
      </c>
      <c r="D2831" s="3177">
        <v>26.6</v>
      </c>
      <c r="E2831" s="3177">
        <v>25</v>
      </c>
      <c r="F2831" s="3177">
        <v>30</v>
      </c>
      <c r="G2831" s="3138" t="s">
        <v>4072</v>
      </c>
      <c r="H2831" s="3177">
        <v>131.9</v>
      </c>
      <c r="I2831" s="3177">
        <v>121.3</v>
      </c>
      <c r="J2831" s="3177">
        <v>97.9</v>
      </c>
      <c r="K2831" s="3177">
        <v>79.5</v>
      </c>
      <c r="L2831" s="3177">
        <v>43</v>
      </c>
      <c r="P2831" s="3175">
        <v>0.9</v>
      </c>
      <c r="Q2831" s="3175">
        <v>30</v>
      </c>
    </row>
    <row r="2832" spans="1:17" x14ac:dyDescent="0.2">
      <c r="A2832" s="3138" t="s">
        <v>4073</v>
      </c>
      <c r="B2832" s="3177">
        <v>33.6</v>
      </c>
      <c r="C2832" s="3177">
        <v>30.7</v>
      </c>
      <c r="D2832" s="3177">
        <v>24.8</v>
      </c>
      <c r="E2832" s="3177">
        <v>22.9</v>
      </c>
      <c r="F2832" s="3177">
        <v>31</v>
      </c>
      <c r="G2832" s="3138" t="s">
        <v>4073</v>
      </c>
      <c r="H2832" s="3177">
        <v>120.1</v>
      </c>
      <c r="I2832" s="3177">
        <v>111.4</v>
      </c>
      <c r="J2832" s="3177">
        <v>90</v>
      </c>
      <c r="K2832" s="3177">
        <v>73</v>
      </c>
      <c r="L2832" s="3177">
        <v>44</v>
      </c>
      <c r="P2832" s="3175">
        <v>1.25</v>
      </c>
      <c r="Q2832" s="3175">
        <v>30</v>
      </c>
    </row>
    <row r="2833" spans="1:17" x14ac:dyDescent="0.2">
      <c r="A2833" s="3138" t="s">
        <v>5825</v>
      </c>
      <c r="B2833" s="3177">
        <v>31.3</v>
      </c>
      <c r="C2833" s="3177">
        <v>28.9</v>
      </c>
      <c r="D2833" s="3177">
        <v>23</v>
      </c>
      <c r="E2833" s="3177">
        <v>21</v>
      </c>
      <c r="F2833" s="3177">
        <v>32</v>
      </c>
      <c r="G2833" s="3138" t="s">
        <v>5825</v>
      </c>
      <c r="H2833" s="3177">
        <v>112</v>
      </c>
      <c r="I2833" s="3177">
        <v>102.9</v>
      </c>
      <c r="J2833" s="3177">
        <v>83</v>
      </c>
      <c r="K2833" s="3177">
        <v>67.3</v>
      </c>
      <c r="L2833" s="3177">
        <v>45</v>
      </c>
      <c r="P2833" s="3175">
        <v>1</v>
      </c>
      <c r="Q2833" s="3175">
        <v>32</v>
      </c>
    </row>
    <row r="2834" spans="1:17" x14ac:dyDescent="0.2">
      <c r="A2834" s="3138" t="s">
        <v>5824</v>
      </c>
      <c r="B2834" s="3177">
        <v>29.5</v>
      </c>
      <c r="C2834" s="3177">
        <v>26.7</v>
      </c>
      <c r="D2834" s="3177">
        <v>21.5</v>
      </c>
      <c r="E2834" s="3177">
        <v>19.3</v>
      </c>
      <c r="F2834" s="3177">
        <v>33</v>
      </c>
      <c r="G2834" s="3138" t="s">
        <v>5824</v>
      </c>
      <c r="H2834" s="3177">
        <v>107</v>
      </c>
      <c r="I2834" s="3177">
        <v>95.4</v>
      </c>
      <c r="J2834" s="3177">
        <v>77.599999999999994</v>
      </c>
      <c r="K2834" s="3177">
        <v>63.5</v>
      </c>
      <c r="L2834" s="3177">
        <v>46</v>
      </c>
      <c r="P2834" s="3175">
        <v>1.4</v>
      </c>
      <c r="Q2834" s="3175">
        <v>32</v>
      </c>
    </row>
    <row r="2835" spans="1:17" x14ac:dyDescent="0.2">
      <c r="A2835" s="3138" t="s">
        <v>4082</v>
      </c>
      <c r="B2835" s="3177">
        <v>27.1</v>
      </c>
      <c r="C2835" s="3177">
        <v>24.4</v>
      </c>
      <c r="D2835" s="3177">
        <v>19.3</v>
      </c>
      <c r="E2835" s="3177">
        <v>17.2</v>
      </c>
      <c r="F2835" s="3177">
        <v>34</v>
      </c>
      <c r="G2835" s="3138" t="s">
        <v>4082</v>
      </c>
      <c r="H2835" s="3177">
        <v>97.5</v>
      </c>
      <c r="I2835" s="3177">
        <v>83.1</v>
      </c>
      <c r="J2835" s="3177">
        <v>69</v>
      </c>
      <c r="K2835" s="3177">
        <v>56.4</v>
      </c>
      <c r="L2835" s="3177">
        <v>47</v>
      </c>
      <c r="P2835" s="3175">
        <v>1</v>
      </c>
      <c r="Q2835" s="3175">
        <v>32</v>
      </c>
    </row>
    <row r="2836" spans="1:17" x14ac:dyDescent="0.2">
      <c r="A2836" s="3138" t="s">
        <v>5823</v>
      </c>
      <c r="B2836" s="3177">
        <v>24.6</v>
      </c>
      <c r="C2836" s="3177">
        <v>22</v>
      </c>
      <c r="D2836" s="3177">
        <v>17.2</v>
      </c>
      <c r="E2836" s="3177">
        <v>15.3</v>
      </c>
      <c r="F2836" s="3177">
        <v>35</v>
      </c>
      <c r="G2836" s="3138" t="s">
        <v>5823</v>
      </c>
      <c r="H2836" s="3177">
        <v>87.9</v>
      </c>
      <c r="I2836" s="3177">
        <v>78.3</v>
      </c>
      <c r="J2836" s="3177">
        <v>60.9</v>
      </c>
      <c r="K2836" s="3177">
        <v>49.7</v>
      </c>
      <c r="L2836" s="3177">
        <v>48</v>
      </c>
      <c r="P2836" s="3175">
        <v>1.65</v>
      </c>
      <c r="Q2836" s="3175">
        <v>32</v>
      </c>
    </row>
    <row r="2837" spans="1:17" x14ac:dyDescent="0.2">
      <c r="A2837" s="3138" t="s">
        <v>5822</v>
      </c>
      <c r="B2837" s="3177">
        <v>22.2</v>
      </c>
      <c r="C2837" s="3177">
        <v>19.8</v>
      </c>
      <c r="D2837" s="3177">
        <v>15.3</v>
      </c>
      <c r="E2837" s="3177">
        <v>13.5</v>
      </c>
      <c r="F2837" s="3177">
        <v>36</v>
      </c>
      <c r="G2837" s="3138" t="s">
        <v>5822</v>
      </c>
      <c r="H2837" s="3177">
        <v>78.7</v>
      </c>
      <c r="I2837" s="3177">
        <v>70.2</v>
      </c>
      <c r="J2837" s="3177">
        <v>53.5</v>
      </c>
      <c r="K2837" s="3177">
        <v>44.1</v>
      </c>
      <c r="L2837" s="3177">
        <v>49</v>
      </c>
      <c r="P2837" s="3175">
        <v>1.1200000000000001</v>
      </c>
      <c r="Q2837" s="3175">
        <v>36</v>
      </c>
    </row>
    <row r="2838" spans="1:17" x14ac:dyDescent="0.2">
      <c r="A2838" s="3138" t="s">
        <v>5821</v>
      </c>
      <c r="B2838" s="3177">
        <v>19.100000000000001</v>
      </c>
      <c r="C2838" s="3177">
        <v>17.7</v>
      </c>
      <c r="D2838" s="3177">
        <v>13.5</v>
      </c>
      <c r="E2838" s="3177">
        <v>11.9</v>
      </c>
      <c r="F2838" s="3177">
        <v>37</v>
      </c>
      <c r="G2838" s="3138" t="s">
        <v>5821</v>
      </c>
      <c r="H2838" s="3177">
        <v>70.2</v>
      </c>
      <c r="I2838" s="3177">
        <v>62.6</v>
      </c>
      <c r="J2838" s="3177">
        <v>47.1</v>
      </c>
      <c r="K2838" s="3177">
        <v>38.4</v>
      </c>
      <c r="L2838" s="3177">
        <v>50</v>
      </c>
      <c r="P2838" s="3175">
        <v>1.6</v>
      </c>
      <c r="Q2838" s="3175">
        <v>36</v>
      </c>
    </row>
    <row r="2839" spans="1:17" x14ac:dyDescent="0.2">
      <c r="A2839" s="3138" t="s">
        <v>5820</v>
      </c>
      <c r="B2839" s="3177">
        <v>17.399999999999999</v>
      </c>
      <c r="C2839" s="3177">
        <v>15.7</v>
      </c>
      <c r="D2839" s="3177">
        <v>12</v>
      </c>
      <c r="E2839" s="3177">
        <v>10.4</v>
      </c>
      <c r="F2839" s="3177">
        <v>38</v>
      </c>
      <c r="G2839" s="3138" t="s">
        <v>5820</v>
      </c>
      <c r="H2839" s="3177">
        <v>60.4</v>
      </c>
      <c r="I2839" s="3177">
        <v>55.1</v>
      </c>
      <c r="J2839" s="3177">
        <v>41.3</v>
      </c>
      <c r="K2839" s="3177">
        <v>33.700000000000003</v>
      </c>
      <c r="L2839" s="3177">
        <v>51</v>
      </c>
      <c r="P2839" s="3175"/>
      <c r="Q2839" s="3175"/>
    </row>
    <row r="2840" spans="1:17" x14ac:dyDescent="0.2">
      <c r="A2840" s="3138" t="s">
        <v>5819</v>
      </c>
      <c r="B2840" s="3177">
        <v>15.6</v>
      </c>
      <c r="C2840" s="3177">
        <v>14</v>
      </c>
      <c r="D2840" s="3177">
        <v>10.6</v>
      </c>
      <c r="E2840" s="3177">
        <v>9.1999999999999993</v>
      </c>
      <c r="F2840" s="3177">
        <v>39</v>
      </c>
      <c r="G2840" s="3138" t="s">
        <v>5819</v>
      </c>
      <c r="H2840" s="3177">
        <v>53.8</v>
      </c>
      <c r="I2840" s="3177">
        <v>49.2</v>
      </c>
      <c r="J2840" s="3177">
        <v>36.5</v>
      </c>
      <c r="K2840" s="3177">
        <v>29.7</v>
      </c>
      <c r="L2840" s="3177">
        <v>52</v>
      </c>
      <c r="P2840" s="3175"/>
      <c r="Q2840" s="3175"/>
    </row>
    <row r="2841" spans="1:17" x14ac:dyDescent="0.2">
      <c r="P2841" s="3175"/>
      <c r="Q2841" s="3175"/>
    </row>
    <row r="2842" spans="1:17" x14ac:dyDescent="0.2">
      <c r="P2842" s="3175"/>
      <c r="Q2842" s="3175"/>
    </row>
    <row r="2843" spans="1:17" x14ac:dyDescent="0.2">
      <c r="P2843" s="3175"/>
      <c r="Q2843" s="3175"/>
    </row>
    <row r="2844" spans="1:17" x14ac:dyDescent="0.2">
      <c r="P2844" s="3175"/>
      <c r="Q2844" s="3175"/>
    </row>
    <row r="2845" spans="1:17" x14ac:dyDescent="0.2">
      <c r="D2845" s="3146" t="s">
        <v>3022</v>
      </c>
      <c r="E2845" s="3146"/>
      <c r="P2845" s="3175"/>
      <c r="Q2845" s="3175"/>
    </row>
    <row r="2846" spans="1:17" ht="18" customHeight="1" x14ac:dyDescent="0.25">
      <c r="A2846" s="4807" t="s">
        <v>5118</v>
      </c>
      <c r="B2846" s="4807"/>
      <c r="C2846" s="4807"/>
      <c r="D2846" s="4807"/>
      <c r="E2846" s="4807"/>
      <c r="F2846" s="3157"/>
      <c r="P2846" s="3175"/>
      <c r="Q2846" s="3175"/>
    </row>
    <row r="2847" spans="1:17" ht="12.75" customHeight="1" x14ac:dyDescent="0.2">
      <c r="A2847" s="4787" t="s">
        <v>5120</v>
      </c>
      <c r="B2847" s="4786" t="s">
        <v>5121</v>
      </c>
      <c r="C2847" s="4786"/>
      <c r="D2847" s="4786"/>
      <c r="E2847" s="4786"/>
      <c r="P2847" s="3175"/>
      <c r="Q2847" s="3175"/>
    </row>
    <row r="2848" spans="1:17" x14ac:dyDescent="0.2">
      <c r="A2848" s="4787"/>
      <c r="B2848" s="4786" t="s">
        <v>5126</v>
      </c>
      <c r="C2848" s="4786"/>
      <c r="D2848" s="4786" t="s">
        <v>5127</v>
      </c>
      <c r="E2848" s="4786"/>
      <c r="P2848" s="3175"/>
      <c r="Q2848" s="3175"/>
    </row>
    <row r="2849" spans="1:17" x14ac:dyDescent="0.2">
      <c r="A2849" s="4787"/>
      <c r="B2849" s="3150" t="s">
        <v>3713</v>
      </c>
      <c r="C2849" s="3150" t="s">
        <v>3714</v>
      </c>
      <c r="D2849" s="3150" t="s">
        <v>3713</v>
      </c>
      <c r="E2849" s="3150" t="s">
        <v>3714</v>
      </c>
    </row>
    <row r="2850" spans="1:17" x14ac:dyDescent="0.2">
      <c r="A2850" s="3167" t="s">
        <v>4804</v>
      </c>
      <c r="B2850" s="3138">
        <v>317</v>
      </c>
      <c r="C2850" s="3138">
        <v>444</v>
      </c>
      <c r="D2850" s="3138">
        <v>353</v>
      </c>
      <c r="E2850" s="3138">
        <v>452</v>
      </c>
    </row>
    <row r="2851" spans="1:17" x14ac:dyDescent="0.2">
      <c r="A2851" s="3167" t="s">
        <v>4806</v>
      </c>
      <c r="B2851" s="3138">
        <v>291</v>
      </c>
      <c r="C2851" s="3138">
        <v>444</v>
      </c>
      <c r="D2851" s="3138">
        <v>253</v>
      </c>
      <c r="E2851" s="3138">
        <v>452</v>
      </c>
    </row>
    <row r="2852" spans="1:17" x14ac:dyDescent="0.2">
      <c r="A2852" s="3167" t="s">
        <v>4809</v>
      </c>
      <c r="B2852" s="3138">
        <v>247</v>
      </c>
      <c r="C2852" s="3138">
        <v>369</v>
      </c>
      <c r="D2852" s="3138">
        <v>258</v>
      </c>
      <c r="E2852" s="3138">
        <v>376</v>
      </c>
    </row>
    <row r="2853" spans="1:17" x14ac:dyDescent="0.2">
      <c r="C2853" s="3146" t="s">
        <v>5818</v>
      </c>
      <c r="D2853" s="3146"/>
      <c r="H2853" s="3146" t="s">
        <v>5817</v>
      </c>
      <c r="I2853" s="3146"/>
      <c r="N2853" s="3146" t="s">
        <v>4062</v>
      </c>
      <c r="O2853" s="3146"/>
    </row>
    <row r="2854" spans="1:17" ht="15.75" customHeight="1" x14ac:dyDescent="0.25">
      <c r="A2854" s="4805" t="s">
        <v>5816</v>
      </c>
      <c r="B2854" s="4805"/>
      <c r="C2854" s="4805"/>
      <c r="D2854" s="4805"/>
      <c r="F2854" s="4805" t="s">
        <v>5119</v>
      </c>
      <c r="G2854" s="4805"/>
      <c r="H2854" s="4805"/>
      <c r="I2854" s="4805"/>
      <c r="K2854" s="4805" t="s">
        <v>4066</v>
      </c>
      <c r="L2854" s="4805"/>
      <c r="M2854" s="4805"/>
      <c r="N2854" s="4805"/>
      <c r="O2854" s="4805"/>
    </row>
    <row r="2855" spans="1:17" ht="25.5" customHeight="1" x14ac:dyDescent="0.2">
      <c r="A2855" s="3163" t="s">
        <v>2098</v>
      </c>
      <c r="B2855" s="3163" t="s">
        <v>5122</v>
      </c>
      <c r="C2855" s="3150" t="s">
        <v>2490</v>
      </c>
      <c r="F2855" s="3163" t="s">
        <v>2098</v>
      </c>
      <c r="G2855" s="3163" t="s">
        <v>5122</v>
      </c>
      <c r="H2855" s="3150" t="s">
        <v>2490</v>
      </c>
      <c r="K2855" s="4806" t="s">
        <v>5602</v>
      </c>
      <c r="L2855" s="4806"/>
      <c r="M2855" s="4806" t="s">
        <v>4068</v>
      </c>
      <c r="N2855" s="4806"/>
      <c r="O2855" s="3169" t="s">
        <v>2490</v>
      </c>
    </row>
    <row r="2856" spans="1:17" x14ac:dyDescent="0.2">
      <c r="A2856" s="3164" t="s">
        <v>5815</v>
      </c>
      <c r="B2856" s="3138">
        <v>323</v>
      </c>
      <c r="C2856" s="3138">
        <v>1</v>
      </c>
      <c r="F2856" s="3138" t="s">
        <v>1220</v>
      </c>
      <c r="G2856" s="3138">
        <v>281</v>
      </c>
      <c r="H2856" s="3138">
        <v>1</v>
      </c>
      <c r="K2856" s="4806"/>
      <c r="L2856" s="4806"/>
      <c r="M2856" s="3150" t="s">
        <v>1084</v>
      </c>
      <c r="N2856" s="3150" t="s">
        <v>4071</v>
      </c>
      <c r="O2856" s="3150"/>
    </row>
    <row r="2857" spans="1:17" ht="12.75" customHeight="1" x14ac:dyDescent="0.2">
      <c r="A2857" s="3164" t="s">
        <v>5814</v>
      </c>
      <c r="B2857" s="3138">
        <v>285</v>
      </c>
      <c r="C2857" s="3138">
        <v>2</v>
      </c>
      <c r="F2857" s="3138" t="s">
        <v>4802</v>
      </c>
      <c r="G2857" s="3138">
        <v>250</v>
      </c>
      <c r="H2857" s="3138">
        <v>2</v>
      </c>
      <c r="K2857" s="4803" t="s">
        <v>4067</v>
      </c>
      <c r="L2857" s="4803"/>
      <c r="M2857" s="3138"/>
      <c r="N2857" s="3138">
        <v>57.8</v>
      </c>
      <c r="O2857" s="3138">
        <v>1</v>
      </c>
    </row>
    <row r="2858" spans="1:17" ht="12.75" customHeight="1" x14ac:dyDescent="0.2">
      <c r="A2858" s="3164" t="s">
        <v>5813</v>
      </c>
      <c r="B2858" s="3138">
        <v>246</v>
      </c>
      <c r="C2858" s="3138">
        <v>3</v>
      </c>
      <c r="F2858" s="3138" t="s">
        <v>4805</v>
      </c>
      <c r="G2858" s="3138">
        <v>224</v>
      </c>
      <c r="H2858" s="3138">
        <v>3</v>
      </c>
      <c r="K2858" s="4803" t="s">
        <v>4074</v>
      </c>
      <c r="L2858" s="4803"/>
      <c r="M2858" s="3138">
        <v>71.2</v>
      </c>
      <c r="N2858" s="3138">
        <v>61.8</v>
      </c>
      <c r="O2858" s="3138">
        <v>2</v>
      </c>
    </row>
    <row r="2859" spans="1:17" ht="12.75" customHeight="1" x14ac:dyDescent="0.2">
      <c r="A2859" s="3164" t="s">
        <v>5812</v>
      </c>
      <c r="B2859" s="3138">
        <v>212</v>
      </c>
      <c r="C2859" s="3138">
        <v>4</v>
      </c>
      <c r="F2859" s="3138" t="s">
        <v>4807</v>
      </c>
      <c r="G2859" s="3138">
        <v>197</v>
      </c>
      <c r="H2859" s="3138">
        <v>4</v>
      </c>
      <c r="K2859" s="4803" t="s">
        <v>4078</v>
      </c>
      <c r="L2859" s="4803"/>
      <c r="M2859" s="3138">
        <v>81.3</v>
      </c>
      <c r="N2859" s="3138">
        <v>67.8</v>
      </c>
      <c r="O2859" s="3138">
        <v>3</v>
      </c>
    </row>
    <row r="2860" spans="1:17" ht="12.75" customHeight="1" x14ac:dyDescent="0.2">
      <c r="A2860" s="3164" t="s">
        <v>5811</v>
      </c>
      <c r="B2860" s="3138">
        <v>186</v>
      </c>
      <c r="C2860" s="3138">
        <v>5</v>
      </c>
      <c r="F2860" s="3138" t="s">
        <v>3150</v>
      </c>
      <c r="G2860" s="3138">
        <v>172</v>
      </c>
      <c r="H2860" s="3138">
        <v>5</v>
      </c>
      <c r="K2860" s="4803" t="s">
        <v>4080</v>
      </c>
      <c r="L2860" s="4803"/>
      <c r="M2860" s="3138">
        <v>89.7</v>
      </c>
      <c r="N2860" s="3138">
        <v>83.2</v>
      </c>
      <c r="O2860" s="3138">
        <v>4</v>
      </c>
    </row>
    <row r="2861" spans="1:17" ht="12.75" customHeight="1" x14ac:dyDescent="0.2">
      <c r="A2861" s="3164" t="s">
        <v>5810</v>
      </c>
      <c r="B2861" s="3138">
        <v>159</v>
      </c>
      <c r="C2861" s="3138">
        <v>6</v>
      </c>
      <c r="F2861" s="3138" t="s">
        <v>2470</v>
      </c>
      <c r="G2861" s="3138">
        <v>149</v>
      </c>
      <c r="H2861" s="3138">
        <v>6</v>
      </c>
      <c r="K2861" s="4803" t="s">
        <v>4086</v>
      </c>
      <c r="L2861" s="4803"/>
      <c r="M2861" s="3138">
        <v>71</v>
      </c>
      <c r="N2861" s="3138">
        <v>67.400000000000006</v>
      </c>
      <c r="O2861" s="3138">
        <v>5</v>
      </c>
    </row>
    <row r="2862" spans="1:17" ht="25.5" x14ac:dyDescent="0.2">
      <c r="A2862" s="3164" t="s">
        <v>5809</v>
      </c>
      <c r="B2862" s="3138">
        <v>139</v>
      </c>
      <c r="C2862" s="3138">
        <v>7</v>
      </c>
      <c r="F2862" s="3167" t="s">
        <v>2476</v>
      </c>
      <c r="G2862" s="3138">
        <v>128</v>
      </c>
      <c r="H2862" s="3138">
        <v>7</v>
      </c>
    </row>
    <row r="2863" spans="1:17" x14ac:dyDescent="0.2">
      <c r="A2863" s="3164" t="s">
        <v>5808</v>
      </c>
      <c r="B2863" s="3138">
        <v>122</v>
      </c>
      <c r="C2863" s="3138">
        <v>8</v>
      </c>
      <c r="M2863" s="3146" t="s">
        <v>4808</v>
      </c>
      <c r="N2863" s="3146"/>
    </row>
    <row r="2864" spans="1:17" ht="15.75" x14ac:dyDescent="0.25">
      <c r="A2864" s="3164" t="s">
        <v>5807</v>
      </c>
      <c r="B2864" s="3138">
        <v>110</v>
      </c>
      <c r="C2864" s="3138">
        <v>9</v>
      </c>
      <c r="J2864" s="3166" t="s">
        <v>5806</v>
      </c>
      <c r="K2864" s="3166"/>
      <c r="L2864" s="3166"/>
      <c r="M2864" s="3155"/>
      <c r="O2864" s="4804" t="s">
        <v>3152</v>
      </c>
      <c r="P2864" s="4804"/>
      <c r="Q2864" s="4804"/>
    </row>
    <row r="2865" spans="1:17" ht="12.75" customHeight="1" x14ac:dyDescent="0.2">
      <c r="A2865" s="3164" t="s">
        <v>5805</v>
      </c>
      <c r="B2865" s="3138">
        <v>97</v>
      </c>
      <c r="C2865" s="3138">
        <v>10</v>
      </c>
      <c r="J2865" s="4785" t="s">
        <v>2471</v>
      </c>
      <c r="K2865" s="4785"/>
      <c r="L2865" s="4786" t="s">
        <v>2472</v>
      </c>
      <c r="M2865" s="4786"/>
      <c r="N2865" s="3150" t="s">
        <v>2490</v>
      </c>
      <c r="O2865" s="3138" t="s">
        <v>2473</v>
      </c>
      <c r="P2865" s="3138"/>
      <c r="Q2865" s="3138"/>
    </row>
    <row r="2866" spans="1:17" x14ac:dyDescent="0.2">
      <c r="B2866" s="3146" t="s">
        <v>4085</v>
      </c>
      <c r="C2866" s="3146"/>
      <c r="J2866" s="4802" t="s">
        <v>2477</v>
      </c>
      <c r="K2866" s="4802"/>
      <c r="L2866" s="4802">
        <v>43.4</v>
      </c>
      <c r="M2866" s="4802"/>
      <c r="N2866" s="3138">
        <v>1</v>
      </c>
      <c r="O2866" s="3138">
        <f>(323+585)/2</f>
        <v>454</v>
      </c>
      <c r="P2866" s="3128">
        <f t="shared" ref="P2866:P2872" si="1263">O2866/1000</f>
        <v>0.45400000000000001</v>
      </c>
    </row>
    <row r="2867" spans="1:17" ht="15.75" customHeight="1" x14ac:dyDescent="0.25">
      <c r="A2867" s="4811" t="s">
        <v>5333</v>
      </c>
      <c r="B2867" s="4811"/>
      <c r="C2867" s="4811"/>
      <c r="J2867" s="4802">
        <v>1</v>
      </c>
      <c r="K2867" s="4802"/>
      <c r="L2867" s="4802">
        <v>44.9</v>
      </c>
      <c r="M2867" s="4802"/>
      <c r="N2867" s="3138">
        <v>2</v>
      </c>
      <c r="O2867" s="3138">
        <v>546.5</v>
      </c>
      <c r="P2867" s="3128">
        <f t="shared" si="1263"/>
        <v>0.54649999999999999</v>
      </c>
    </row>
    <row r="2868" spans="1:17" ht="12.75" customHeight="1" x14ac:dyDescent="0.2">
      <c r="A2868" s="4787" t="s">
        <v>4882</v>
      </c>
      <c r="B2868" s="4787"/>
      <c r="C2868" s="4787"/>
      <c r="D2868" s="3138" t="s">
        <v>4883</v>
      </c>
      <c r="E2868" s="3138" t="s">
        <v>4884</v>
      </c>
      <c r="F2868" s="4802" t="s">
        <v>4885</v>
      </c>
      <c r="G2868" s="4802"/>
      <c r="J2868" s="4802">
        <v>2</v>
      </c>
      <c r="K2868" s="4802"/>
      <c r="L2868" s="4802">
        <v>36.299999999999997</v>
      </c>
      <c r="M2868" s="4802"/>
      <c r="N2868" s="3138">
        <v>3</v>
      </c>
      <c r="O2868" s="3138">
        <v>660</v>
      </c>
      <c r="P2868" s="3128">
        <f t="shared" si="1263"/>
        <v>0.66</v>
      </c>
    </row>
    <row r="2869" spans="1:17" x14ac:dyDescent="0.2">
      <c r="A2869" s="4786" t="s">
        <v>2472</v>
      </c>
      <c r="B2869" s="4786"/>
      <c r="C2869" s="4786"/>
      <c r="D2869" s="3138">
        <v>138</v>
      </c>
      <c r="E2869" s="3138">
        <v>132</v>
      </c>
      <c r="F2869" s="4802">
        <v>125</v>
      </c>
      <c r="G2869" s="4802"/>
      <c r="J2869" s="4802">
        <v>3</v>
      </c>
      <c r="K2869" s="4802"/>
      <c r="L2869" s="4802">
        <v>31.1</v>
      </c>
      <c r="M2869" s="4802"/>
      <c r="N2869" s="3138">
        <v>4</v>
      </c>
      <c r="O2869" s="3138">
        <v>805</v>
      </c>
      <c r="P2869" s="3128">
        <f t="shared" si="1263"/>
        <v>0.80500000000000005</v>
      </c>
    </row>
    <row r="2870" spans="1:17" x14ac:dyDescent="0.2">
      <c r="J2870" s="4802">
        <v>4</v>
      </c>
      <c r="K2870" s="4802"/>
      <c r="L2870" s="4802">
        <v>24.9</v>
      </c>
      <c r="M2870" s="4802"/>
      <c r="N2870" s="3138">
        <v>5</v>
      </c>
      <c r="O2870" s="3138">
        <v>1007.5</v>
      </c>
      <c r="P2870" s="3128">
        <f t="shared" si="1263"/>
        <v>1.0075000000000001</v>
      </c>
    </row>
    <row r="2871" spans="1:17" x14ac:dyDescent="0.2">
      <c r="J2871" s="4802">
        <v>5</v>
      </c>
      <c r="K2871" s="4802"/>
      <c r="L2871" s="4802">
        <v>20.6</v>
      </c>
      <c r="M2871" s="4802"/>
      <c r="N2871" s="3138">
        <v>6</v>
      </c>
      <c r="O2871" s="3138">
        <v>1212.5</v>
      </c>
      <c r="P2871" s="3128">
        <f t="shared" si="1263"/>
        <v>1.2124999999999999</v>
      </c>
    </row>
    <row r="2872" spans="1:17" x14ac:dyDescent="0.2">
      <c r="G2872" s="3158"/>
      <c r="J2872" s="4802">
        <v>6</v>
      </c>
      <c r="K2872" s="4802"/>
      <c r="L2872" s="4802">
        <v>17.5</v>
      </c>
      <c r="M2872" s="4802"/>
      <c r="N2872" s="3138">
        <v>7</v>
      </c>
      <c r="O2872" s="3138">
        <v>1517.5</v>
      </c>
      <c r="P2872" s="3128">
        <f t="shared" si="1263"/>
        <v>1.5175000000000001</v>
      </c>
    </row>
    <row r="2873" spans="1:17" x14ac:dyDescent="0.2">
      <c r="O2873" s="3128" t="s">
        <v>4075</v>
      </c>
      <c r="P2873" s="3128" t="s">
        <v>4076</v>
      </c>
    </row>
    <row r="2874" spans="1:17" x14ac:dyDescent="0.2">
      <c r="C2874" s="3146" t="s">
        <v>2469</v>
      </c>
      <c r="D2874" s="3146"/>
    </row>
    <row r="2875" spans="1:17" ht="15.75" x14ac:dyDescent="0.25">
      <c r="A2875" s="3157" t="s">
        <v>2474</v>
      </c>
      <c r="B2875" s="3157"/>
      <c r="C2875" s="3157"/>
      <c r="D2875" s="3157"/>
      <c r="E2875" s="3157"/>
    </row>
    <row r="2876" spans="1:17" ht="15.75" x14ac:dyDescent="0.25">
      <c r="A2876" s="3156" t="s">
        <v>5333</v>
      </c>
      <c r="B2876" s="3156"/>
      <c r="C2876" s="3156"/>
      <c r="D2876" s="3155"/>
    </row>
    <row r="2877" spans="1:17" ht="12.75" customHeight="1" x14ac:dyDescent="0.2">
      <c r="A2877" s="4787" t="s">
        <v>4254</v>
      </c>
      <c r="B2877" s="4787"/>
      <c r="C2877" s="3150" t="s">
        <v>4255</v>
      </c>
      <c r="D2877" s="3150"/>
      <c r="E2877" s="3150" t="s">
        <v>2490</v>
      </c>
    </row>
    <row r="2878" spans="1:17" x14ac:dyDescent="0.2">
      <c r="A2878" s="4787"/>
      <c r="B2878" s="4787"/>
      <c r="C2878" s="3150" t="s">
        <v>4063</v>
      </c>
      <c r="D2878" s="3150" t="s">
        <v>4064</v>
      </c>
      <c r="E2878" s="3150"/>
    </row>
    <row r="2879" spans="1:17" x14ac:dyDescent="0.2">
      <c r="A2879" s="4802" t="s">
        <v>4067</v>
      </c>
      <c r="B2879" s="4802"/>
      <c r="C2879" s="3138">
        <v>110</v>
      </c>
      <c r="D2879" s="3138">
        <v>90</v>
      </c>
      <c r="E2879" s="3138">
        <v>1</v>
      </c>
    </row>
    <row r="2880" spans="1:17" x14ac:dyDescent="0.2">
      <c r="A2880" s="4802" t="s">
        <v>4069</v>
      </c>
      <c r="B2880" s="4802"/>
      <c r="C2880" s="3138">
        <v>104</v>
      </c>
      <c r="D2880" s="3138">
        <v>85</v>
      </c>
      <c r="E2880" s="3138">
        <v>2</v>
      </c>
    </row>
    <row r="2881" spans="1:11" x14ac:dyDescent="0.2">
      <c r="A2881" s="4802" t="s">
        <v>4072</v>
      </c>
      <c r="B2881" s="4802"/>
      <c r="C2881" s="3138">
        <v>99</v>
      </c>
      <c r="D2881" s="3138">
        <v>82</v>
      </c>
      <c r="E2881" s="3138">
        <v>3</v>
      </c>
    </row>
    <row r="2882" spans="1:11" x14ac:dyDescent="0.2">
      <c r="A2882" s="4802" t="s">
        <v>4073</v>
      </c>
      <c r="B2882" s="4802"/>
      <c r="C2882" s="3138">
        <v>93</v>
      </c>
      <c r="D2882" s="3138">
        <v>77</v>
      </c>
      <c r="E2882" s="3138">
        <v>4</v>
      </c>
    </row>
    <row r="2883" spans="1:11" x14ac:dyDescent="0.2">
      <c r="A2883" s="4802" t="s">
        <v>4077</v>
      </c>
      <c r="B2883" s="4802"/>
      <c r="C2883" s="3138">
        <v>89</v>
      </c>
      <c r="D2883" s="3138">
        <v>74</v>
      </c>
      <c r="E2883" s="3138">
        <v>5</v>
      </c>
    </row>
    <row r="2884" spans="1:11" x14ac:dyDescent="0.2">
      <c r="A2884" s="4802" t="s">
        <v>4079</v>
      </c>
      <c r="B2884" s="4802"/>
      <c r="C2884" s="3138">
        <v>85</v>
      </c>
      <c r="D2884" s="3138">
        <v>69</v>
      </c>
      <c r="E2884" s="3138">
        <v>6</v>
      </c>
    </row>
    <row r="2885" spans="1:11" x14ac:dyDescent="0.2">
      <c r="A2885" s="4802" t="s">
        <v>4082</v>
      </c>
      <c r="B2885" s="4802"/>
      <c r="C2885" s="3138">
        <v>78</v>
      </c>
      <c r="D2885" s="3138">
        <v>62</v>
      </c>
      <c r="E2885" s="3138">
        <v>7</v>
      </c>
    </row>
    <row r="2886" spans="1:11" x14ac:dyDescent="0.2">
      <c r="A2886" s="4802" t="s">
        <v>4087</v>
      </c>
      <c r="B2886" s="4802"/>
      <c r="C2886" s="3138">
        <v>73</v>
      </c>
      <c r="D2886" s="3138">
        <v>58</v>
      </c>
      <c r="E2886" s="3138">
        <v>8</v>
      </c>
    </row>
    <row r="2887" spans="1:11" x14ac:dyDescent="0.2">
      <c r="A2887" s="4802" t="s">
        <v>4879</v>
      </c>
      <c r="B2887" s="4802"/>
      <c r="C2887" s="3138">
        <v>67</v>
      </c>
      <c r="D2887" s="3138">
        <v>53</v>
      </c>
      <c r="E2887" s="3138">
        <v>9</v>
      </c>
    </row>
    <row r="2888" spans="1:11" x14ac:dyDescent="0.2">
      <c r="A2888" s="4802" t="s">
        <v>4886</v>
      </c>
      <c r="B2888" s="4802"/>
      <c r="C2888" s="3138">
        <v>58</v>
      </c>
      <c r="D2888" s="3138">
        <v>46</v>
      </c>
      <c r="E2888" s="3138">
        <v>10</v>
      </c>
    </row>
    <row r="2889" spans="1:11" x14ac:dyDescent="0.2">
      <c r="A2889" s="4802" t="s">
        <v>4889</v>
      </c>
      <c r="B2889" s="4802"/>
      <c r="C2889" s="3138">
        <v>51</v>
      </c>
      <c r="D2889" s="3138">
        <v>41</v>
      </c>
      <c r="E2889" s="3138">
        <v>11</v>
      </c>
    </row>
    <row r="2890" spans="1:11" x14ac:dyDescent="0.2">
      <c r="A2890" s="4802" t="s">
        <v>4890</v>
      </c>
      <c r="B2890" s="4802"/>
      <c r="C2890" s="3138">
        <v>47</v>
      </c>
      <c r="D2890" s="3138">
        <v>37</v>
      </c>
      <c r="E2890" s="3138">
        <v>12</v>
      </c>
    </row>
    <row r="2891" spans="1:11" x14ac:dyDescent="0.2">
      <c r="A2891" s="4802" t="s">
        <v>4891</v>
      </c>
      <c r="B2891" s="4802"/>
      <c r="C2891" s="3138">
        <v>43</v>
      </c>
      <c r="D2891" s="3138">
        <v>34</v>
      </c>
      <c r="E2891" s="3138">
        <v>13</v>
      </c>
    </row>
    <row r="2892" spans="1:11" x14ac:dyDescent="0.2">
      <c r="A2892" s="4802" t="s">
        <v>3354</v>
      </c>
      <c r="B2892" s="4802"/>
      <c r="C2892" s="3138">
        <v>39</v>
      </c>
      <c r="D2892" s="3138">
        <v>31</v>
      </c>
      <c r="E2892" s="3138">
        <v>14</v>
      </c>
      <c r="K2892" s="3149"/>
    </row>
    <row r="2893" spans="1:11" x14ac:dyDescent="0.2">
      <c r="A2893" s="4802" t="s">
        <v>3357</v>
      </c>
      <c r="B2893" s="4802"/>
      <c r="C2893" s="3138">
        <v>36</v>
      </c>
      <c r="D2893" s="3138">
        <v>28</v>
      </c>
      <c r="E2893" s="3138">
        <v>15</v>
      </c>
    </row>
    <row r="2894" spans="1:11" x14ac:dyDescent="0.2">
      <c r="A2894" s="4802" t="s">
        <v>3360</v>
      </c>
      <c r="B2894" s="4802"/>
      <c r="C2894" s="3138">
        <v>33</v>
      </c>
      <c r="D2894" s="3138">
        <v>26</v>
      </c>
      <c r="E2894" s="3138">
        <v>16</v>
      </c>
    </row>
    <row r="2895" spans="1:11" x14ac:dyDescent="0.2">
      <c r="A2895" s="4802" t="s">
        <v>3362</v>
      </c>
      <c r="B2895" s="4802"/>
      <c r="C2895" s="3138">
        <v>31</v>
      </c>
      <c r="D2895" s="3138">
        <v>25</v>
      </c>
      <c r="E2895" s="3138">
        <v>17</v>
      </c>
    </row>
    <row r="2896" spans="1:11" x14ac:dyDescent="0.2">
      <c r="A2896" s="4802" t="s">
        <v>3363</v>
      </c>
      <c r="B2896" s="4802"/>
      <c r="C2896" s="3138">
        <v>30</v>
      </c>
      <c r="D2896" s="3138">
        <v>23</v>
      </c>
      <c r="E2896" s="3138">
        <v>18</v>
      </c>
    </row>
    <row r="2897" spans="1:30" x14ac:dyDescent="0.2">
      <c r="A2897" s="4802" t="s">
        <v>3364</v>
      </c>
      <c r="B2897" s="4802"/>
      <c r="C2897" s="3138">
        <v>28</v>
      </c>
      <c r="D2897" s="3138">
        <v>22</v>
      </c>
      <c r="E2897" s="3138">
        <v>19</v>
      </c>
    </row>
    <row r="2900" spans="1:30" x14ac:dyDescent="0.2">
      <c r="G2900" s="3146" t="s">
        <v>5804</v>
      </c>
      <c r="H2900" s="3146"/>
    </row>
    <row r="2901" spans="1:30" ht="15.75" x14ac:dyDescent="0.25">
      <c r="A2901" s="4808" t="s">
        <v>5803</v>
      </c>
      <c r="B2901" s="4808"/>
      <c r="C2901" s="4808"/>
      <c r="D2901" s="4808"/>
      <c r="E2901" s="4808"/>
      <c r="F2901" s="4808"/>
      <c r="G2901" s="4808"/>
      <c r="H2901" s="4808"/>
      <c r="I2901" s="4808"/>
    </row>
    <row r="2902" spans="1:30" ht="15.75" x14ac:dyDescent="0.25">
      <c r="A2902" s="3142" t="s">
        <v>5802</v>
      </c>
      <c r="B2902" s="3142"/>
      <c r="C2902" s="3142"/>
      <c r="D2902" s="3142"/>
      <c r="E2902" s="3142"/>
      <c r="F2902" s="3142"/>
      <c r="G2902" s="3142"/>
      <c r="H2902" s="3141"/>
      <c r="I2902" s="3141"/>
    </row>
    <row r="2903" spans="1:30" ht="15.75" x14ac:dyDescent="0.25">
      <c r="A2903" s="4809" t="s">
        <v>5801</v>
      </c>
      <c r="B2903" s="4809"/>
      <c r="C2903" s="4809"/>
      <c r="D2903" s="4809"/>
      <c r="E2903" s="4809"/>
      <c r="F2903" s="4809"/>
      <c r="G2903" s="4809"/>
      <c r="H2903" s="4809"/>
      <c r="I2903" s="4809"/>
    </row>
    <row r="2904" spans="1:30" x14ac:dyDescent="0.2">
      <c r="A2904" s="3139" t="s">
        <v>5800</v>
      </c>
      <c r="B2904" s="3138" t="s">
        <v>5799</v>
      </c>
      <c r="C2904" s="3138" t="s">
        <v>5798</v>
      </c>
      <c r="D2904" s="3138" t="s">
        <v>5797</v>
      </c>
      <c r="E2904" s="3138" t="s">
        <v>5796</v>
      </c>
      <c r="F2904" s="3138" t="s">
        <v>5795</v>
      </c>
      <c r="G2904" s="3138" t="s">
        <v>5794</v>
      </c>
      <c r="H2904" s="4802" t="s">
        <v>5793</v>
      </c>
      <c r="I2904" s="4802"/>
    </row>
    <row r="2905" spans="1:30" x14ac:dyDescent="0.2">
      <c r="A2905" s="3138">
        <v>3.24</v>
      </c>
      <c r="B2905" s="3138">
        <v>2.83</v>
      </c>
      <c r="C2905" s="3138">
        <v>2.52</v>
      </c>
      <c r="D2905" s="3138">
        <v>2.2400000000000002</v>
      </c>
      <c r="E2905" s="3138">
        <v>2.0299999999999998</v>
      </c>
      <c r="F2905" s="3138">
        <v>1.87</v>
      </c>
      <c r="G2905" s="3138">
        <v>1.72</v>
      </c>
      <c r="H2905" s="4802">
        <v>1.6</v>
      </c>
      <c r="I2905" s="4802"/>
    </row>
    <row r="2908" spans="1:30" x14ac:dyDescent="0.2">
      <c r="A2908" s="3222"/>
      <c r="B2908" s="3222"/>
      <c r="C2908" s="3222"/>
      <c r="D2908" s="3222"/>
      <c r="E2908" s="3221"/>
      <c r="F2908" s="3221"/>
      <c r="G2908" s="3221"/>
      <c r="H2908" s="3221"/>
      <c r="I2908" s="3221"/>
      <c r="J2908" s="3221"/>
      <c r="K2908" s="3221"/>
      <c r="L2908" s="3221"/>
      <c r="M2908" s="3221"/>
      <c r="N2908" s="3221"/>
      <c r="O2908" s="3221"/>
      <c r="P2908" s="3221"/>
      <c r="Q2908" s="3221"/>
      <c r="R2908" s="3221"/>
      <c r="S2908" s="3221"/>
      <c r="T2908" s="3221"/>
      <c r="U2908" s="3221"/>
      <c r="V2908" s="3221"/>
      <c r="W2908" s="3221"/>
      <c r="X2908" s="3130"/>
      <c r="AC2908" s="3134"/>
      <c r="AD2908" s="3134"/>
    </row>
    <row r="2909" spans="1:30" x14ac:dyDescent="0.2">
      <c r="A2909" s="3129"/>
      <c r="B2909" s="3129"/>
      <c r="C2909" s="3129"/>
      <c r="D2909" s="3129"/>
      <c r="E2909" s="3129"/>
      <c r="F2909" s="3129"/>
      <c r="G2909" s="3129"/>
    </row>
    <row r="2910" spans="1:30" x14ac:dyDescent="0.2">
      <c r="Q2910" s="3209"/>
      <c r="R2910" s="3209"/>
      <c r="S2910" s="3209"/>
      <c r="T2910" s="3209"/>
      <c r="U2910" s="3209"/>
    </row>
    <row r="2911" spans="1:30" ht="27" x14ac:dyDescent="0.35">
      <c r="B2911" s="3220" t="s">
        <v>3913</v>
      </c>
      <c r="C2911" s="3220"/>
      <c r="D2911" s="3220"/>
      <c r="E2911" s="3220"/>
      <c r="F2911" s="3220"/>
      <c r="G2911" s="3220"/>
      <c r="H2911" s="3220"/>
      <c r="I2911" s="3219"/>
      <c r="J2911" s="3219"/>
      <c r="K2911" s="3219"/>
      <c r="Q2911" s="3209"/>
      <c r="R2911" s="3209"/>
      <c r="S2911" s="3209"/>
      <c r="T2911" s="3209"/>
      <c r="U2911" s="3209"/>
    </row>
    <row r="2912" spans="1:30" x14ac:dyDescent="0.2">
      <c r="Q2912" s="3209"/>
      <c r="R2912" s="3209"/>
      <c r="S2912" s="3209"/>
      <c r="T2912" s="3209"/>
      <c r="U2912" s="3209"/>
    </row>
    <row r="2913" spans="1:23" x14ac:dyDescent="0.2">
      <c r="E2913" s="3146" t="s">
        <v>3021</v>
      </c>
      <c r="F2913" s="3146"/>
      <c r="L2913" s="3146" t="s">
        <v>3915</v>
      </c>
      <c r="M2913" s="3146"/>
      <c r="Q2913" s="3209"/>
      <c r="R2913" s="3209"/>
      <c r="S2913" s="3209"/>
      <c r="T2913" s="3209"/>
      <c r="U2913" s="3209"/>
    </row>
    <row r="2914" spans="1:23" ht="12.75" customHeight="1" x14ac:dyDescent="0.2">
      <c r="A2914" s="3218" t="s">
        <v>5117</v>
      </c>
      <c r="B2914" s="3218"/>
      <c r="C2914" s="3218"/>
      <c r="D2914" s="3218"/>
      <c r="E2914" s="3218"/>
      <c r="F2914" s="3218"/>
      <c r="I2914" s="3218" t="s">
        <v>2374</v>
      </c>
      <c r="J2914" s="3218"/>
      <c r="K2914" s="3218"/>
      <c r="L2914" s="3218"/>
      <c r="M2914" s="3218"/>
      <c r="Q2914" s="3209"/>
      <c r="R2914" s="3209"/>
      <c r="S2914" s="3209"/>
      <c r="T2914" s="3209"/>
      <c r="U2914" s="3209"/>
    </row>
    <row r="2915" spans="1:23" ht="12.75" customHeight="1" x14ac:dyDescent="0.2">
      <c r="A2915" s="3217" t="s">
        <v>1441</v>
      </c>
      <c r="B2915" s="3217" t="s">
        <v>3313</v>
      </c>
      <c r="C2915" s="3215" t="s">
        <v>1431</v>
      </c>
      <c r="D2915" s="3214"/>
      <c r="E2915" s="3213"/>
      <c r="F2915" s="3150"/>
      <c r="H2915" s="3216" t="s">
        <v>1441</v>
      </c>
      <c r="I2915" s="3216" t="s">
        <v>3313</v>
      </c>
      <c r="J2915" s="3215" t="s">
        <v>2376</v>
      </c>
      <c r="K2915" s="3214"/>
      <c r="L2915" s="3213"/>
      <c r="M2915" s="3150"/>
      <c r="P2915" s="3211" t="s">
        <v>966</v>
      </c>
      <c r="Q2915" s="3211" t="s">
        <v>4816</v>
      </c>
      <c r="R2915" s="3211" t="s">
        <v>4817</v>
      </c>
      <c r="S2915" s="3209"/>
      <c r="T2915" s="3209"/>
      <c r="U2915" s="3209"/>
    </row>
    <row r="2916" spans="1:23" ht="51" x14ac:dyDescent="0.2">
      <c r="A2916" s="3212"/>
      <c r="B2916" s="3212"/>
      <c r="C2916" s="3163" t="s">
        <v>5123</v>
      </c>
      <c r="D2916" s="3163" t="s">
        <v>5124</v>
      </c>
      <c r="E2916" s="3163" t="s">
        <v>5125</v>
      </c>
      <c r="F2916" s="3150" t="s">
        <v>2490</v>
      </c>
      <c r="H2916" s="3170"/>
      <c r="I2916" s="3170"/>
      <c r="J2916" s="3163" t="s">
        <v>5123</v>
      </c>
      <c r="K2916" s="3163" t="s">
        <v>5124</v>
      </c>
      <c r="L2916" s="3163" t="s">
        <v>5125</v>
      </c>
      <c r="M2916" s="3150" t="s">
        <v>2490</v>
      </c>
      <c r="P2916" s="3211">
        <v>1</v>
      </c>
      <c r="Q2916" s="3211">
        <v>1</v>
      </c>
      <c r="R2916" s="3211">
        <v>1</v>
      </c>
      <c r="S2916" s="3209"/>
      <c r="T2916" s="3209"/>
      <c r="U2916" s="3209"/>
    </row>
    <row r="2917" spans="1:23" x14ac:dyDescent="0.2">
      <c r="A2917" s="3162"/>
      <c r="B2917" s="3162"/>
      <c r="C2917" s="3163"/>
      <c r="D2917" s="3163"/>
      <c r="E2917" s="3163"/>
      <c r="F2917" s="3150"/>
      <c r="H2917" s="3170"/>
      <c r="I2917" s="3170"/>
      <c r="J2917" s="3163"/>
      <c r="K2917" s="3163"/>
      <c r="L2917" s="3163"/>
      <c r="M2917" s="3150"/>
      <c r="P2917" s="3211">
        <v>2</v>
      </c>
      <c r="Q2917" s="3211">
        <v>0.9</v>
      </c>
      <c r="R2917" s="3211">
        <v>0.95</v>
      </c>
      <c r="S2917" s="3209"/>
      <c r="T2917" s="3209"/>
      <c r="U2917" s="3209"/>
    </row>
    <row r="2918" spans="1:23" x14ac:dyDescent="0.2">
      <c r="A2918" s="3181" t="s">
        <v>5128</v>
      </c>
      <c r="B2918" s="3181">
        <v>146</v>
      </c>
      <c r="C2918" s="3181">
        <v>118</v>
      </c>
      <c r="D2918" s="3181">
        <v>65</v>
      </c>
      <c r="E2918" s="3181">
        <v>44.9</v>
      </c>
      <c r="F2918" s="3138">
        <v>1</v>
      </c>
      <c r="H2918" s="3181" t="s">
        <v>2846</v>
      </c>
      <c r="I2918" s="3181">
        <v>141</v>
      </c>
      <c r="J2918" s="3181">
        <v>127</v>
      </c>
      <c r="K2918" s="3181">
        <v>63.6</v>
      </c>
      <c r="L2918" s="3181">
        <v>43.3</v>
      </c>
      <c r="M2918" s="3138">
        <v>1</v>
      </c>
      <c r="P2918" s="3211">
        <v>3</v>
      </c>
      <c r="Q2918" s="3211">
        <v>0.85</v>
      </c>
      <c r="R2918" s="3211">
        <v>0.9</v>
      </c>
    </row>
    <row r="2919" spans="1:23" x14ac:dyDescent="0.2">
      <c r="A2919" s="3181" t="s">
        <v>4803</v>
      </c>
      <c r="B2919" s="3181">
        <v>142</v>
      </c>
      <c r="C2919" s="3181">
        <v>112</v>
      </c>
      <c r="D2919" s="3181">
        <v>62.6</v>
      </c>
      <c r="E2919" s="3181">
        <v>43.4</v>
      </c>
      <c r="F2919" s="3138">
        <v>2</v>
      </c>
      <c r="H2919" s="3181" t="s">
        <v>2821</v>
      </c>
      <c r="I2919" s="3181">
        <v>136</v>
      </c>
      <c r="J2919" s="3181">
        <v>121</v>
      </c>
      <c r="K2919" s="3181">
        <v>61.3</v>
      </c>
      <c r="L2919" s="3181">
        <v>41.7</v>
      </c>
      <c r="M2919" s="3138">
        <v>2</v>
      </c>
      <c r="P2919" s="3211">
        <v>4</v>
      </c>
      <c r="Q2919" s="3211">
        <v>0.8</v>
      </c>
      <c r="R2919" s="3211">
        <v>0.85</v>
      </c>
    </row>
    <row r="2920" spans="1:23" x14ac:dyDescent="0.2">
      <c r="A2920" s="3181" t="s">
        <v>5443</v>
      </c>
      <c r="B2920" s="3181">
        <v>137</v>
      </c>
      <c r="C2920" s="3181">
        <v>105</v>
      </c>
      <c r="D2920" s="3181">
        <v>59.5</v>
      </c>
      <c r="E2920" s="3181">
        <v>41.4</v>
      </c>
      <c r="F2920" s="3138">
        <v>3</v>
      </c>
      <c r="H2920" s="3181" t="s">
        <v>2725</v>
      </c>
      <c r="I2920" s="3181">
        <v>130</v>
      </c>
      <c r="J2920" s="3181">
        <v>113</v>
      </c>
      <c r="K2920" s="3181">
        <v>57.6</v>
      </c>
      <c r="L2920" s="3181">
        <v>39.299999999999997</v>
      </c>
      <c r="M2920" s="3138">
        <v>3</v>
      </c>
    </row>
    <row r="2921" spans="1:23" x14ac:dyDescent="0.2">
      <c r="A2921" s="3181" t="s">
        <v>2214</v>
      </c>
      <c r="B2921" s="3181">
        <v>132</v>
      </c>
      <c r="C2921" s="3181">
        <v>98.8</v>
      </c>
      <c r="D2921" s="3181">
        <v>56.6</v>
      </c>
      <c r="E2921" s="3181">
        <v>39.6</v>
      </c>
      <c r="F2921" s="3138">
        <v>4</v>
      </c>
      <c r="H2921" s="3181" t="s">
        <v>2727</v>
      </c>
      <c r="I2921" s="3181">
        <v>124</v>
      </c>
      <c r="J2921" s="3181">
        <v>105</v>
      </c>
      <c r="K2921" s="3181">
        <v>54.2</v>
      </c>
      <c r="L2921" s="3181">
        <v>37</v>
      </c>
      <c r="M2921" s="3138">
        <v>4</v>
      </c>
      <c r="P2921" s="3210" t="s">
        <v>1955</v>
      </c>
      <c r="Q2921" s="3210" t="s">
        <v>1956</v>
      </c>
    </row>
    <row r="2922" spans="1:23" x14ac:dyDescent="0.2">
      <c r="A2922" s="3181" t="s">
        <v>4339</v>
      </c>
      <c r="B2922" s="3181">
        <v>128</v>
      </c>
      <c r="C2922" s="3181">
        <v>92.9</v>
      </c>
      <c r="D2922" s="3181">
        <v>53.8</v>
      </c>
      <c r="E2922" s="3181">
        <v>37.799999999999997</v>
      </c>
      <c r="F2922" s="3138">
        <v>5</v>
      </c>
      <c r="H2922" s="3181" t="s">
        <v>2729</v>
      </c>
      <c r="I2922" s="3181">
        <v>117</v>
      </c>
      <c r="J2922" s="3181">
        <v>98.3</v>
      </c>
      <c r="K2922" s="3181">
        <v>50.8</v>
      </c>
      <c r="L2922" s="3181">
        <v>35</v>
      </c>
      <c r="M2922" s="3138">
        <v>5</v>
      </c>
      <c r="P2922" s="3210">
        <v>1</v>
      </c>
      <c r="Q2922" s="3210">
        <v>1</v>
      </c>
    </row>
    <row r="2923" spans="1:23" x14ac:dyDescent="0.2">
      <c r="A2923" s="3181" t="s">
        <v>3372</v>
      </c>
      <c r="B2923" s="3181">
        <v>122</v>
      </c>
      <c r="C2923" s="3181">
        <v>87.2</v>
      </c>
      <c r="D2923" s="3181">
        <v>51</v>
      </c>
      <c r="E2923" s="3181">
        <v>36</v>
      </c>
      <c r="F2923" s="3138">
        <v>6</v>
      </c>
      <c r="H2923" s="3181" t="s">
        <v>2365</v>
      </c>
      <c r="I2923" s="3181">
        <v>111</v>
      </c>
      <c r="J2923" s="3181">
        <v>92</v>
      </c>
      <c r="K2923" s="3181">
        <v>47.8</v>
      </c>
      <c r="L2923" s="3181">
        <v>32.9</v>
      </c>
      <c r="M2923" s="3138">
        <v>6</v>
      </c>
      <c r="P2923" s="3210">
        <v>2</v>
      </c>
      <c r="Q2923" s="3210">
        <v>0.95</v>
      </c>
    </row>
    <row r="2924" spans="1:23" x14ac:dyDescent="0.2">
      <c r="A2924" s="3181" t="s">
        <v>5428</v>
      </c>
      <c r="B2924" s="3181">
        <v>118</v>
      </c>
      <c r="C2924" s="3181">
        <v>81.900000000000006</v>
      </c>
      <c r="D2924" s="3181">
        <v>48.4</v>
      </c>
      <c r="E2924" s="3181">
        <v>34.299999999999997</v>
      </c>
      <c r="F2924" s="3138">
        <v>7</v>
      </c>
      <c r="H2924" s="3181" t="s">
        <v>2366</v>
      </c>
      <c r="I2924" s="3181">
        <v>106</v>
      </c>
      <c r="J2924" s="3181">
        <v>85.8</v>
      </c>
      <c r="K2924" s="3181">
        <v>44.9</v>
      </c>
      <c r="L2924" s="3181">
        <v>31</v>
      </c>
      <c r="M2924" s="3138">
        <v>7</v>
      </c>
      <c r="P2924" s="3210">
        <v>3</v>
      </c>
      <c r="Q2924" s="3210">
        <v>0.9</v>
      </c>
    </row>
    <row r="2925" spans="1:23" x14ac:dyDescent="0.2">
      <c r="A2925" s="3181" t="s">
        <v>4256</v>
      </c>
      <c r="B2925" s="3181">
        <v>113</v>
      </c>
      <c r="C2925" s="3181">
        <v>76.8</v>
      </c>
      <c r="D2925" s="3181">
        <v>45.8</v>
      </c>
      <c r="E2925" s="3181">
        <v>32.6</v>
      </c>
      <c r="F2925" s="3138">
        <v>8</v>
      </c>
      <c r="H2925" s="3181" t="s">
        <v>2368</v>
      </c>
      <c r="I2925" s="3181">
        <v>99.8</v>
      </c>
      <c r="J2925" s="3181">
        <v>80</v>
      </c>
      <c r="K2925" s="3181">
        <v>42.1</v>
      </c>
      <c r="L2925" s="3181">
        <v>29.1</v>
      </c>
      <c r="M2925" s="3138">
        <v>8</v>
      </c>
      <c r="P2925" s="3210">
        <v>4</v>
      </c>
      <c r="Q2925" s="3210">
        <v>0.85</v>
      </c>
    </row>
    <row r="2926" spans="1:23" x14ac:dyDescent="0.2">
      <c r="A2926" s="3181" t="s">
        <v>5228</v>
      </c>
      <c r="B2926" s="3181">
        <v>109</v>
      </c>
      <c r="C2926" s="3181">
        <v>72.099999999999994</v>
      </c>
      <c r="D2926" s="3181">
        <v>43.4</v>
      </c>
      <c r="E2926" s="3181">
        <v>31</v>
      </c>
      <c r="F2926" s="3138">
        <v>9</v>
      </c>
      <c r="H2926" s="3181" t="s">
        <v>2370</v>
      </c>
      <c r="I2926" s="3181">
        <v>94.4</v>
      </c>
      <c r="J2926" s="3181">
        <v>74.400000000000006</v>
      </c>
      <c r="K2926" s="3181">
        <v>39.4</v>
      </c>
      <c r="L2926" s="3181">
        <v>27.3</v>
      </c>
      <c r="M2926" s="3138">
        <v>9</v>
      </c>
      <c r="O2926" s="3187"/>
      <c r="P2926" s="3187"/>
      <c r="Q2926" s="3187"/>
      <c r="R2926" s="3187"/>
      <c r="S2926" s="3187"/>
      <c r="T2926" s="3187"/>
      <c r="U2926" s="3187"/>
      <c r="V2926" s="3187"/>
      <c r="W2926" s="3187"/>
    </row>
    <row r="2927" spans="1:23" x14ac:dyDescent="0.2">
      <c r="A2927" s="3181" t="s">
        <v>5233</v>
      </c>
      <c r="B2927" s="3181">
        <v>104</v>
      </c>
      <c r="C2927" s="3181">
        <v>67.599999999999994</v>
      </c>
      <c r="D2927" s="3181">
        <v>41</v>
      </c>
      <c r="E2927" s="3181">
        <v>29.5</v>
      </c>
      <c r="F2927" s="3138">
        <v>10</v>
      </c>
      <c r="H2927" s="3181" t="s">
        <v>2372</v>
      </c>
      <c r="I2927" s="3181">
        <v>88.8</v>
      </c>
      <c r="J2927" s="3181">
        <v>69</v>
      </c>
      <c r="K2927" s="3181">
        <v>36.700000000000003</v>
      </c>
      <c r="L2927" s="3181">
        <v>25.6</v>
      </c>
      <c r="M2927" s="3138">
        <v>10</v>
      </c>
    </row>
    <row r="2928" spans="1:23" x14ac:dyDescent="0.2">
      <c r="A2928" s="3206" t="s">
        <v>4070</v>
      </c>
      <c r="B2928" s="3181">
        <v>99.5</v>
      </c>
      <c r="C2928" s="3181">
        <v>62.8</v>
      </c>
      <c r="D2928" s="3181">
        <v>38.5</v>
      </c>
      <c r="E2928" s="3181">
        <v>27.8</v>
      </c>
      <c r="F2928" s="3138">
        <v>11</v>
      </c>
      <c r="H2928" s="3181" t="s">
        <v>771</v>
      </c>
      <c r="I2928" s="3181">
        <v>83.6</v>
      </c>
      <c r="J2928" s="3181">
        <v>64</v>
      </c>
      <c r="K2928" s="3181">
        <v>34.200000000000003</v>
      </c>
      <c r="L2928" s="3181">
        <v>23.9</v>
      </c>
      <c r="M2928" s="3138">
        <v>11</v>
      </c>
    </row>
    <row r="2929" spans="1:18" x14ac:dyDescent="0.2">
      <c r="H2929" s="3181" t="s">
        <v>773</v>
      </c>
      <c r="I2929" s="3181">
        <v>78.599999999999994</v>
      </c>
      <c r="J2929" s="3181">
        <v>59.6</v>
      </c>
      <c r="K2929" s="3181">
        <v>32</v>
      </c>
      <c r="L2929" s="3181">
        <v>22.4</v>
      </c>
      <c r="M2929" s="3138">
        <v>12</v>
      </c>
    </row>
    <row r="2930" spans="1:18" ht="25.5" x14ac:dyDescent="0.2">
      <c r="H2930" s="3206" t="s">
        <v>775</v>
      </c>
      <c r="I2930" s="3181">
        <v>72</v>
      </c>
      <c r="J2930" s="3181">
        <v>53.7</v>
      </c>
      <c r="K2930" s="3181">
        <v>29</v>
      </c>
      <c r="L2930" s="3181">
        <v>20.3</v>
      </c>
      <c r="M2930" s="3138">
        <v>13</v>
      </c>
    </row>
    <row r="2931" spans="1:18" x14ac:dyDescent="0.2">
      <c r="A2931" s="3209"/>
      <c r="B2931" s="3209"/>
    </row>
    <row r="2933" spans="1:18" ht="12.75" customHeight="1" x14ac:dyDescent="0.2">
      <c r="A2933" s="3208" t="s">
        <v>4083</v>
      </c>
      <c r="B2933" s="3207"/>
      <c r="D2933" s="3205" t="s">
        <v>4084</v>
      </c>
      <c r="E2933" s="3203"/>
    </row>
    <row r="2934" spans="1:18" ht="51" customHeight="1" x14ac:dyDescent="0.2">
      <c r="A2934" s="3206" t="s">
        <v>4088</v>
      </c>
      <c r="B2934" s="3206" t="s">
        <v>3501</v>
      </c>
      <c r="D2934" s="3181" t="s">
        <v>3502</v>
      </c>
      <c r="E2934" s="3206" t="s">
        <v>3503</v>
      </c>
      <c r="G2934" s="3205" t="s">
        <v>4892</v>
      </c>
      <c r="H2934" s="3203"/>
      <c r="J2934" s="3205" t="s">
        <v>4893</v>
      </c>
      <c r="K2934" s="3203"/>
    </row>
    <row r="2935" spans="1:18" ht="25.5" x14ac:dyDescent="0.2">
      <c r="A2935" s="3181" t="s">
        <v>4880</v>
      </c>
      <c r="B2935" s="3181">
        <v>0.9</v>
      </c>
      <c r="D2935" s="3181" t="s">
        <v>4881</v>
      </c>
      <c r="E2935" s="3181">
        <v>0.9</v>
      </c>
      <c r="G2935" s="3206" t="s">
        <v>3355</v>
      </c>
      <c r="H2935" s="3181">
        <v>0.85</v>
      </c>
      <c r="J2935" s="3181" t="s">
        <v>3356</v>
      </c>
      <c r="K2935" s="3181">
        <v>0.9</v>
      </c>
    </row>
    <row r="2936" spans="1:18" ht="25.5" x14ac:dyDescent="0.2">
      <c r="A2936" s="3206" t="s">
        <v>4887</v>
      </c>
      <c r="B2936" s="3181">
        <v>0.85</v>
      </c>
      <c r="D2936" s="3206" t="s">
        <v>4888</v>
      </c>
      <c r="E2936" s="3181">
        <v>0.8</v>
      </c>
      <c r="G2936" s="3206" t="s">
        <v>3358</v>
      </c>
      <c r="H2936" s="3181">
        <v>0.95</v>
      </c>
      <c r="J2936" s="3181" t="s">
        <v>3359</v>
      </c>
      <c r="K2936" s="3181">
        <v>0.85</v>
      </c>
    </row>
    <row r="2937" spans="1:18" x14ac:dyDescent="0.2">
      <c r="J2937" s="3181" t="s">
        <v>3361</v>
      </c>
      <c r="K2937" s="3181">
        <v>0.8</v>
      </c>
    </row>
    <row r="2938" spans="1:18" x14ac:dyDescent="0.2">
      <c r="J2938" s="3187"/>
      <c r="K2938" s="3187"/>
    </row>
    <row r="2939" spans="1:18" x14ac:dyDescent="0.2">
      <c r="J2939" s="3187"/>
      <c r="K2939" s="3187"/>
    </row>
    <row r="2941" spans="1:18" ht="12.75" customHeight="1" x14ac:dyDescent="0.2">
      <c r="A2941" s="3205" t="s">
        <v>5839</v>
      </c>
      <c r="B2941" s="3204"/>
      <c r="C2941" s="3204"/>
      <c r="D2941" s="3204"/>
      <c r="E2941" s="3204"/>
      <c r="F2941" s="3204"/>
      <c r="G2941" s="3203"/>
    </row>
    <row r="2942" spans="1:18" ht="12.75" customHeight="1" x14ac:dyDescent="0.2">
      <c r="A2942" s="3197" t="s">
        <v>5838</v>
      </c>
      <c r="B2942" s="3196"/>
      <c r="C2942" s="3196"/>
      <c r="D2942" s="3199"/>
      <c r="E2942" s="3202" t="s">
        <v>428</v>
      </c>
      <c r="F2942" s="3201"/>
      <c r="G2942" s="3200"/>
      <c r="N2942" s="3187"/>
      <c r="O2942" s="3187"/>
      <c r="P2942" s="3187"/>
      <c r="Q2942" s="3187"/>
      <c r="R2942" s="3187"/>
    </row>
    <row r="2943" spans="1:18" ht="12.75" customHeight="1" x14ac:dyDescent="0.2">
      <c r="A2943" s="3197" t="s">
        <v>3313</v>
      </c>
      <c r="B2943" s="3196"/>
      <c r="C2943" s="3196"/>
      <c r="D2943" s="3196"/>
      <c r="E2943" s="3196"/>
      <c r="F2943" s="3199"/>
      <c r="G2943" s="3198">
        <v>1.3</v>
      </c>
      <c r="N2943" s="3187"/>
      <c r="O2943" s="3187"/>
      <c r="P2943" s="3187"/>
      <c r="Q2943" s="3187"/>
      <c r="R2943" s="3187"/>
    </row>
    <row r="2944" spans="1:18" ht="12.75" customHeight="1" x14ac:dyDescent="0.2">
      <c r="A2944" s="3197" t="s">
        <v>3655</v>
      </c>
      <c r="B2944" s="3196"/>
      <c r="C2944" s="3196"/>
      <c r="D2944" s="3196"/>
      <c r="E2944" s="3196"/>
      <c r="F2944" s="3195"/>
      <c r="G2944" s="3181">
        <v>1.2</v>
      </c>
      <c r="N2944" s="3194"/>
      <c r="O2944" s="3194"/>
      <c r="P2944" s="3194"/>
      <c r="Q2944" s="3194"/>
      <c r="R2944" s="3194"/>
    </row>
    <row r="2945" spans="1:18" ht="12.75" customHeight="1" x14ac:dyDescent="0.2">
      <c r="A2945" s="3193" t="s">
        <v>5837</v>
      </c>
      <c r="B2945" s="3192"/>
      <c r="C2945" s="3192"/>
      <c r="D2945" s="3192"/>
      <c r="E2945" s="3192"/>
      <c r="F2945" s="3191"/>
      <c r="G2945" s="3190">
        <v>1.25</v>
      </c>
      <c r="N2945" s="3187"/>
      <c r="O2945" s="3187"/>
      <c r="P2945" s="3187"/>
      <c r="Q2945" s="3187"/>
      <c r="R2945" s="3187"/>
    </row>
    <row r="2946" spans="1:18" x14ac:dyDescent="0.2">
      <c r="N2946" s="3187"/>
      <c r="O2946" s="3187"/>
      <c r="P2946" s="3187"/>
      <c r="Q2946" s="3187"/>
      <c r="R2946" s="3187"/>
    </row>
    <row r="2947" spans="1:18" x14ac:dyDescent="0.2">
      <c r="K2947" s="3146" t="s">
        <v>5836</v>
      </c>
      <c r="L2947" s="3146"/>
      <c r="N2947" s="3187"/>
      <c r="O2947" s="3187"/>
      <c r="P2947" s="3187"/>
      <c r="Q2947" s="3187"/>
      <c r="R2947" s="3187"/>
    </row>
    <row r="2948" spans="1:18" ht="20.25" x14ac:dyDescent="0.3">
      <c r="A2948" s="3189" t="s">
        <v>5835</v>
      </c>
      <c r="B2948" s="3188"/>
      <c r="C2948" s="3188"/>
      <c r="D2948" s="3188"/>
      <c r="E2948" s="3188"/>
      <c r="F2948" s="3188"/>
      <c r="G2948" s="3188"/>
      <c r="H2948" s="3188"/>
      <c r="I2948" s="3188"/>
      <c r="J2948" s="3188"/>
      <c r="K2948" s="3188"/>
      <c r="L2948" s="3188"/>
      <c r="N2948" s="3187"/>
      <c r="O2948" s="3187"/>
      <c r="P2948" s="3187"/>
      <c r="Q2948" s="3187"/>
      <c r="R2948" s="3187"/>
    </row>
    <row r="2949" spans="1:18" ht="12.75" customHeight="1" x14ac:dyDescent="0.2">
      <c r="A2949" s="3186" t="s">
        <v>5831</v>
      </c>
      <c r="B2949" s="3185" t="s">
        <v>3785</v>
      </c>
      <c r="C2949" s="3184"/>
      <c r="D2949" s="3184"/>
      <c r="E2949" s="3183"/>
      <c r="F2949" s="3181" t="s">
        <v>2490</v>
      </c>
      <c r="G2949" s="3186" t="s">
        <v>5831</v>
      </c>
      <c r="H2949" s="3185" t="s">
        <v>3785</v>
      </c>
      <c r="I2949" s="3184"/>
      <c r="J2949" s="3184"/>
      <c r="K2949" s="3183"/>
      <c r="L2949" s="3181" t="s">
        <v>2490</v>
      </c>
      <c r="N2949" s="3187"/>
      <c r="O2949" s="3187"/>
      <c r="P2949" s="3187"/>
      <c r="Q2949" s="3187"/>
      <c r="R2949" s="3187"/>
    </row>
    <row r="2950" spans="1:18" x14ac:dyDescent="0.2">
      <c r="A2950" s="3182"/>
      <c r="B2950" s="3181" t="s">
        <v>1084</v>
      </c>
      <c r="C2950" s="3181" t="s">
        <v>1085</v>
      </c>
      <c r="D2950" s="3181" t="s">
        <v>3006</v>
      </c>
      <c r="E2950" s="3181" t="s">
        <v>5830</v>
      </c>
      <c r="F2950" s="3181"/>
      <c r="G2950" s="3182"/>
      <c r="H2950" s="3181" t="s">
        <v>1084</v>
      </c>
      <c r="I2950" s="3181" t="s">
        <v>1085</v>
      </c>
      <c r="J2950" s="3181" t="s">
        <v>3006</v>
      </c>
      <c r="K2950" s="3181" t="s">
        <v>5830</v>
      </c>
      <c r="L2950" s="3181"/>
      <c r="N2950" s="3187"/>
      <c r="O2950" s="3187"/>
      <c r="P2950" s="3187"/>
      <c r="Q2950" s="3187"/>
      <c r="R2950" s="3187"/>
    </row>
    <row r="2951" spans="1:18" ht="15.75" x14ac:dyDescent="0.25">
      <c r="A2951" s="3180" t="s">
        <v>5834</v>
      </c>
      <c r="B2951" s="3179"/>
      <c r="C2951" s="3179"/>
      <c r="D2951" s="3179"/>
      <c r="E2951" s="3179"/>
      <c r="F2951" s="3178"/>
      <c r="G2951" s="3180" t="s">
        <v>5833</v>
      </c>
      <c r="H2951" s="3179"/>
      <c r="I2951" s="3179"/>
      <c r="J2951" s="3179"/>
      <c r="K2951" s="3179"/>
      <c r="L2951" s="3178"/>
      <c r="N2951" s="3187"/>
      <c r="O2951" s="3187"/>
      <c r="P2951" s="3187"/>
      <c r="Q2951" s="3187"/>
      <c r="R2951" s="3187"/>
    </row>
    <row r="2952" spans="1:18" x14ac:dyDescent="0.2">
      <c r="A2952" s="3138" t="s">
        <v>3008</v>
      </c>
      <c r="B2952" s="3138">
        <v>90</v>
      </c>
      <c r="C2952" s="3138">
        <v>80.2</v>
      </c>
      <c r="D2952" s="3138">
        <v>64.5</v>
      </c>
      <c r="E2952" s="3138">
        <v>61.9</v>
      </c>
      <c r="F2952" s="3138">
        <v>1</v>
      </c>
      <c r="G2952" s="3177" t="s">
        <v>5827</v>
      </c>
      <c r="H2952" s="3138">
        <v>58.7</v>
      </c>
      <c r="I2952" s="3177">
        <v>52.5</v>
      </c>
      <c r="J2952" s="3177">
        <v>42.5</v>
      </c>
      <c r="K2952" s="3177">
        <v>40.5</v>
      </c>
      <c r="L2952" s="3177">
        <v>14</v>
      </c>
    </row>
    <row r="2953" spans="1:18" x14ac:dyDescent="0.2">
      <c r="A2953" s="3138" t="s">
        <v>3009</v>
      </c>
      <c r="B2953" s="3138">
        <v>90.3</v>
      </c>
      <c r="C2953" s="3138">
        <v>80.7</v>
      </c>
      <c r="D2953" s="3138">
        <v>65</v>
      </c>
      <c r="E2953" s="3138">
        <v>62.4</v>
      </c>
      <c r="F2953" s="3138">
        <v>2</v>
      </c>
      <c r="G2953" s="3177" t="s">
        <v>5826</v>
      </c>
      <c r="H2953" s="3138">
        <v>57.8</v>
      </c>
      <c r="I2953" s="3177">
        <v>51.7</v>
      </c>
      <c r="J2953" s="3177">
        <v>41.9</v>
      </c>
      <c r="K2953" s="3177">
        <v>39.799999999999997</v>
      </c>
      <c r="L2953" s="3177">
        <v>15</v>
      </c>
      <c r="P2953" s="3175">
        <v>0.5</v>
      </c>
      <c r="Q2953" s="3175">
        <v>18</v>
      </c>
    </row>
    <row r="2954" spans="1:18" x14ac:dyDescent="0.2">
      <c r="A2954" s="3138" t="s">
        <v>3010</v>
      </c>
      <c r="B2954" s="3138">
        <v>85</v>
      </c>
      <c r="C2954" s="3138">
        <v>77.599999999999994</v>
      </c>
      <c r="D2954" s="3138">
        <v>62.6</v>
      </c>
      <c r="E2954" s="3138">
        <v>59.9</v>
      </c>
      <c r="F2954" s="3138">
        <v>3</v>
      </c>
      <c r="G2954" s="3177" t="s">
        <v>4069</v>
      </c>
      <c r="H2954" s="3138">
        <v>53.5</v>
      </c>
      <c r="I2954" s="3177">
        <v>48.8</v>
      </c>
      <c r="J2954" s="3177">
        <v>39.5</v>
      </c>
      <c r="K2954" s="3177">
        <v>37.200000000000003</v>
      </c>
      <c r="L2954" s="3177">
        <v>16</v>
      </c>
      <c r="P2954" s="3175">
        <v>0.65</v>
      </c>
      <c r="Q2954" s="3175">
        <v>18</v>
      </c>
    </row>
    <row r="2955" spans="1:18" x14ac:dyDescent="0.2">
      <c r="A2955" s="3138" t="s">
        <v>3011</v>
      </c>
      <c r="B2955" s="3138">
        <v>78.8</v>
      </c>
      <c r="C2955" s="3138">
        <v>74.3</v>
      </c>
      <c r="D2955" s="3138">
        <v>59.9</v>
      </c>
      <c r="E2955" s="3138">
        <v>57.1</v>
      </c>
      <c r="F2955" s="3138">
        <v>4</v>
      </c>
      <c r="G2955" s="3177" t="s">
        <v>4072</v>
      </c>
      <c r="H2955" s="3138">
        <v>49.7</v>
      </c>
      <c r="I2955" s="3177">
        <v>45.9</v>
      </c>
      <c r="J2955" s="3177">
        <v>37.299999999999997</v>
      </c>
      <c r="K2955" s="3177">
        <v>34.700000000000003</v>
      </c>
      <c r="L2955" s="3177">
        <v>17</v>
      </c>
      <c r="P2955" s="3175">
        <v>0.5</v>
      </c>
      <c r="Q2955" s="3175">
        <v>19</v>
      </c>
    </row>
    <row r="2956" spans="1:18" x14ac:dyDescent="0.2">
      <c r="A2956" s="3138" t="s">
        <v>3012</v>
      </c>
      <c r="B2956" s="3138">
        <v>75.099999999999994</v>
      </c>
      <c r="C2956" s="3138">
        <v>69</v>
      </c>
      <c r="D2956" s="3138">
        <v>55.5</v>
      </c>
      <c r="E2956" s="3138">
        <v>52.7</v>
      </c>
      <c r="F2956" s="3138">
        <v>5</v>
      </c>
      <c r="G2956" s="3177" t="s">
        <v>4073</v>
      </c>
      <c r="H2956" s="3138">
        <v>46.4</v>
      </c>
      <c r="I2956" s="3177">
        <v>42.5</v>
      </c>
      <c r="J2956" s="3177">
        <v>34.299999999999997</v>
      </c>
      <c r="K2956" s="3177">
        <v>31.9</v>
      </c>
      <c r="L2956" s="3177">
        <v>18</v>
      </c>
      <c r="P2956" s="3175">
        <v>0.74</v>
      </c>
      <c r="Q2956" s="3175">
        <v>19</v>
      </c>
    </row>
    <row r="2957" spans="1:18" x14ac:dyDescent="0.2">
      <c r="A2957" s="3138" t="s">
        <v>3013</v>
      </c>
      <c r="B2957" s="3138">
        <v>69.099999999999994</v>
      </c>
      <c r="C2957" s="3138">
        <v>64.3</v>
      </c>
      <c r="D2957" s="3138">
        <v>51.7</v>
      </c>
      <c r="E2957" s="3138">
        <v>48.8</v>
      </c>
      <c r="F2957" s="3138">
        <v>6</v>
      </c>
      <c r="G2957" s="3177" t="s">
        <v>5825</v>
      </c>
      <c r="H2957" s="3138">
        <v>43.4</v>
      </c>
      <c r="I2957" s="3177">
        <v>39.5</v>
      </c>
      <c r="J2957" s="3177">
        <v>31.8</v>
      </c>
      <c r="K2957" s="3177">
        <v>29.4</v>
      </c>
      <c r="L2957" s="3177">
        <v>19</v>
      </c>
      <c r="P2957" s="3175">
        <v>0.56000000000000005</v>
      </c>
      <c r="Q2957" s="3175">
        <v>20</v>
      </c>
    </row>
    <row r="2958" spans="1:18" x14ac:dyDescent="0.2">
      <c r="A2958" s="3138" t="s">
        <v>3014</v>
      </c>
      <c r="B2958" s="3138">
        <v>67</v>
      </c>
      <c r="C2958" s="3138">
        <v>60.1</v>
      </c>
      <c r="D2958" s="3138">
        <v>48</v>
      </c>
      <c r="E2958" s="3138">
        <v>44.9</v>
      </c>
      <c r="F2958" s="3138">
        <v>7</v>
      </c>
      <c r="G2958" s="3177" t="s">
        <v>5824</v>
      </c>
      <c r="H2958" s="3138">
        <v>41.6</v>
      </c>
      <c r="I2958" s="3177">
        <v>37</v>
      </c>
      <c r="J2958" s="3177">
        <v>29.7</v>
      </c>
      <c r="K2958" s="3177">
        <v>27</v>
      </c>
      <c r="L2958" s="3177">
        <v>20</v>
      </c>
      <c r="P2958" s="3175">
        <v>0.8</v>
      </c>
      <c r="Q2958" s="3175">
        <v>20</v>
      </c>
    </row>
    <row r="2959" spans="1:18" x14ac:dyDescent="0.2">
      <c r="A2959" s="3138" t="s">
        <v>4082</v>
      </c>
      <c r="B2959" s="3138">
        <v>62</v>
      </c>
      <c r="C2959" s="3138">
        <v>55.2</v>
      </c>
      <c r="D2959" s="3138">
        <v>44.3</v>
      </c>
      <c r="E2959" s="3138">
        <v>40.4</v>
      </c>
      <c r="F2959" s="3138">
        <v>8</v>
      </c>
      <c r="G2959" s="3177" t="s">
        <v>4082</v>
      </c>
      <c r="H2959" s="3138">
        <v>38.299999999999997</v>
      </c>
      <c r="I2959" s="3177">
        <v>33.799999999999997</v>
      </c>
      <c r="J2959" s="3177">
        <v>26.8</v>
      </c>
      <c r="K2959" s="3177">
        <v>24.2</v>
      </c>
      <c r="L2959" s="3177">
        <v>21</v>
      </c>
      <c r="P2959" s="3175">
        <v>0.56000000000000005</v>
      </c>
      <c r="Q2959" s="3175">
        <v>21</v>
      </c>
    </row>
    <row r="2960" spans="1:18" x14ac:dyDescent="0.2">
      <c r="A2960" s="3138" t="s">
        <v>3016</v>
      </c>
      <c r="B2960" s="3138">
        <v>56.8</v>
      </c>
      <c r="C2960" s="3138">
        <v>50.2</v>
      </c>
      <c r="D2960" s="3138">
        <v>39.6</v>
      </c>
      <c r="E2960" s="3138">
        <v>36.6</v>
      </c>
      <c r="F2960" s="3138">
        <v>9</v>
      </c>
      <c r="G2960" s="3177" t="s">
        <v>5823</v>
      </c>
      <c r="H2960" s="3138">
        <v>34.9</v>
      </c>
      <c r="I2960" s="3177">
        <v>30.6</v>
      </c>
      <c r="J2960" s="3177">
        <v>24</v>
      </c>
      <c r="K2960" s="3177">
        <v>21.5</v>
      </c>
      <c r="L2960" s="3177">
        <v>22</v>
      </c>
      <c r="P2960" s="3175">
        <v>0.84</v>
      </c>
      <c r="Q2960" s="3175">
        <v>21</v>
      </c>
    </row>
    <row r="2961" spans="1:17" x14ac:dyDescent="0.2">
      <c r="A2961" s="3138" t="s">
        <v>3017</v>
      </c>
      <c r="B2961" s="3138">
        <v>51.8</v>
      </c>
      <c r="C2961" s="3138">
        <v>45.3</v>
      </c>
      <c r="D2961" s="3138">
        <v>35.5</v>
      </c>
      <c r="E2961" s="3138">
        <v>32.700000000000003</v>
      </c>
      <c r="F2961" s="3138">
        <v>10</v>
      </c>
      <c r="G2961" s="3177" t="s">
        <v>5822</v>
      </c>
      <c r="H2961" s="3138">
        <v>31.5</v>
      </c>
      <c r="I2961" s="3177">
        <v>27.6</v>
      </c>
      <c r="J2961" s="3177">
        <v>21.3</v>
      </c>
      <c r="K2961" s="3177">
        <v>18.8</v>
      </c>
      <c r="L2961" s="3177">
        <v>23</v>
      </c>
      <c r="P2961" s="3175">
        <v>0.63</v>
      </c>
      <c r="Q2961" s="3175">
        <v>22</v>
      </c>
    </row>
    <row r="2962" spans="1:17" x14ac:dyDescent="0.2">
      <c r="A2962" s="3138" t="s">
        <v>3018</v>
      </c>
      <c r="B2962" s="3138">
        <v>46.9</v>
      </c>
      <c r="C2962" s="3138">
        <v>40.700000000000003</v>
      </c>
      <c r="D2962" s="3138">
        <v>31.8</v>
      </c>
      <c r="E2962" s="3138">
        <v>29.2</v>
      </c>
      <c r="F2962" s="3138">
        <v>11</v>
      </c>
      <c r="G2962" s="3177" t="s">
        <v>5821</v>
      </c>
      <c r="H2962" s="3138">
        <v>28.3</v>
      </c>
      <c r="I2962" s="3177">
        <v>24.7</v>
      </c>
      <c r="J2962" s="3177">
        <v>19</v>
      </c>
      <c r="K2962" s="3177">
        <v>16.600000000000001</v>
      </c>
      <c r="L2962" s="3177">
        <v>24</v>
      </c>
      <c r="P2962" s="3175">
        <v>0.9</v>
      </c>
      <c r="Q2962" s="3175">
        <v>22</v>
      </c>
    </row>
    <row r="2963" spans="1:17" x14ac:dyDescent="0.2">
      <c r="A2963" s="3138" t="s">
        <v>3019</v>
      </c>
      <c r="B2963" s="3138">
        <v>41.4</v>
      </c>
      <c r="C2963" s="3138">
        <v>36.299999999999997</v>
      </c>
      <c r="D2963" s="3138">
        <v>28.4</v>
      </c>
      <c r="E2963" s="3138">
        <v>26.1</v>
      </c>
      <c r="F2963" s="3138">
        <v>12</v>
      </c>
      <c r="G2963" s="3177" t="s">
        <v>5820</v>
      </c>
      <c r="H2963" s="3138">
        <v>24.6</v>
      </c>
      <c r="I2963" s="3177">
        <v>21.9</v>
      </c>
      <c r="J2963" s="3177">
        <v>16.8</v>
      </c>
      <c r="K2963" s="3177">
        <v>14.9</v>
      </c>
      <c r="L2963" s="3177">
        <v>25</v>
      </c>
      <c r="P2963" s="3175">
        <v>0.63</v>
      </c>
      <c r="Q2963" s="3175">
        <v>23</v>
      </c>
    </row>
    <row r="2964" spans="1:17" x14ac:dyDescent="0.2">
      <c r="A2964" s="3138" t="s">
        <v>5832</v>
      </c>
      <c r="B2964" s="3138">
        <v>37.1</v>
      </c>
      <c r="C2964" s="3138">
        <v>32.5</v>
      </c>
      <c r="D2964" s="3138">
        <v>25.5</v>
      </c>
      <c r="E2964" s="3138">
        <v>23.3</v>
      </c>
      <c r="F2964" s="3138">
        <v>13</v>
      </c>
      <c r="G2964" s="3177" t="s">
        <v>5819</v>
      </c>
      <c r="H2964" s="3138">
        <v>21.8</v>
      </c>
      <c r="I2964" s="3177">
        <v>19.600000000000001</v>
      </c>
      <c r="J2964" s="3177">
        <v>15</v>
      </c>
      <c r="K2964" s="3177">
        <v>13.2</v>
      </c>
      <c r="L2964" s="3177">
        <v>26</v>
      </c>
      <c r="P2964" s="3175">
        <v>0.97</v>
      </c>
      <c r="Q2964" s="3175">
        <v>23</v>
      </c>
    </row>
    <row r="2965" spans="1:17" ht="12.75" customHeight="1" x14ac:dyDescent="0.2">
      <c r="A2965" s="3186" t="s">
        <v>5831</v>
      </c>
      <c r="B2965" s="3185" t="s">
        <v>3785</v>
      </c>
      <c r="C2965" s="3184"/>
      <c r="D2965" s="3184"/>
      <c r="E2965" s="3183"/>
      <c r="F2965" s="3181" t="s">
        <v>2490</v>
      </c>
      <c r="G2965" s="3186" t="s">
        <v>5831</v>
      </c>
      <c r="H2965" s="3185" t="s">
        <v>3785</v>
      </c>
      <c r="I2965" s="3184"/>
      <c r="J2965" s="3184"/>
      <c r="K2965" s="3183"/>
      <c r="L2965" s="3181" t="s">
        <v>2490</v>
      </c>
      <c r="P2965" s="3175">
        <v>0.71</v>
      </c>
      <c r="Q2965" s="3175">
        <v>24</v>
      </c>
    </row>
    <row r="2966" spans="1:17" x14ac:dyDescent="0.2">
      <c r="A2966" s="3182"/>
      <c r="B2966" s="3181" t="s">
        <v>1084</v>
      </c>
      <c r="C2966" s="3181" t="s">
        <v>1085</v>
      </c>
      <c r="D2966" s="3181" t="s">
        <v>3006</v>
      </c>
      <c r="E2966" s="3181" t="s">
        <v>5830</v>
      </c>
      <c r="F2966" s="3181"/>
      <c r="G2966" s="3182"/>
      <c r="H2966" s="3181" t="s">
        <v>1084</v>
      </c>
      <c r="I2966" s="3181" t="s">
        <v>1085</v>
      </c>
      <c r="J2966" s="3181" t="s">
        <v>3006</v>
      </c>
      <c r="K2966" s="3181" t="s">
        <v>5830</v>
      </c>
      <c r="L2966" s="3181"/>
      <c r="P2966" s="3175">
        <v>1</v>
      </c>
      <c r="Q2966" s="3175">
        <v>24</v>
      </c>
    </row>
    <row r="2967" spans="1:17" ht="15.75" x14ac:dyDescent="0.25">
      <c r="A2967" s="3180" t="s">
        <v>5829</v>
      </c>
      <c r="B2967" s="3179"/>
      <c r="C2967" s="3179"/>
      <c r="D2967" s="3179"/>
      <c r="E2967" s="3179"/>
      <c r="F2967" s="3178"/>
      <c r="G2967" s="3180" t="s">
        <v>5828</v>
      </c>
      <c r="H2967" s="3179"/>
      <c r="I2967" s="3179"/>
      <c r="J2967" s="3179"/>
      <c r="K2967" s="3179"/>
      <c r="L2967" s="3178"/>
      <c r="P2967" s="3175">
        <v>0.8</v>
      </c>
      <c r="Q2967" s="3175">
        <v>27</v>
      </c>
    </row>
    <row r="2968" spans="1:17" x14ac:dyDescent="0.2">
      <c r="A2968" s="3177" t="s">
        <v>5827</v>
      </c>
      <c r="B2968" s="3177">
        <v>43.6</v>
      </c>
      <c r="C2968" s="3177">
        <v>39.700000000000003</v>
      </c>
      <c r="D2968" s="3177">
        <v>31.7</v>
      </c>
      <c r="E2968" s="3177">
        <v>30.1</v>
      </c>
      <c r="F2968" s="3177">
        <v>27</v>
      </c>
      <c r="G2968" s="3138" t="s">
        <v>5827</v>
      </c>
      <c r="H2968" s="3177">
        <v>168.3</v>
      </c>
      <c r="I2968" s="3177">
        <v>151.80000000000001</v>
      </c>
      <c r="J2968" s="3177">
        <v>124.3</v>
      </c>
      <c r="K2968" s="3177">
        <v>101.5</v>
      </c>
      <c r="L2968" s="3177">
        <v>40</v>
      </c>
      <c r="P2968" s="3175">
        <v>1.1200000000000001</v>
      </c>
      <c r="Q2968" s="3175">
        <v>27</v>
      </c>
    </row>
    <row r="2969" spans="1:17" x14ac:dyDescent="0.2">
      <c r="A2969" s="3138" t="s">
        <v>5826</v>
      </c>
      <c r="B2969" s="3177">
        <v>42.4</v>
      </c>
      <c r="C2969" s="3177">
        <v>38.1</v>
      </c>
      <c r="D2969" s="3177">
        <v>30.9</v>
      </c>
      <c r="E2969" s="3177">
        <v>29.2</v>
      </c>
      <c r="F2969" s="3177">
        <v>28</v>
      </c>
      <c r="G2969" s="3138" t="s">
        <v>5826</v>
      </c>
      <c r="H2969" s="3177">
        <v>159.4</v>
      </c>
      <c r="I2969" s="3177">
        <v>143.9</v>
      </c>
      <c r="J2969" s="3177">
        <v>117.9</v>
      </c>
      <c r="K2969" s="3177">
        <v>95.7</v>
      </c>
      <c r="L2969" s="3177">
        <v>41</v>
      </c>
      <c r="P2969" s="3175">
        <v>0.8</v>
      </c>
      <c r="Q2969" s="3175">
        <v>28</v>
      </c>
    </row>
    <row r="2970" spans="1:17" x14ac:dyDescent="0.2">
      <c r="A2970" s="3138" t="s">
        <v>4069</v>
      </c>
      <c r="B2970" s="3177">
        <v>39</v>
      </c>
      <c r="C2970" s="3177">
        <v>35.6</v>
      </c>
      <c r="D2970" s="3177">
        <v>28.9</v>
      </c>
      <c r="E2970" s="3177">
        <v>27</v>
      </c>
      <c r="F2970" s="3177">
        <v>29</v>
      </c>
      <c r="G2970" s="3138" t="s">
        <v>4069</v>
      </c>
      <c r="H2970" s="3177">
        <v>144.5</v>
      </c>
      <c r="I2970" s="3177">
        <v>132.5</v>
      </c>
      <c r="J2970" s="3177">
        <v>107.1</v>
      </c>
      <c r="K2970" s="3177">
        <v>86.9</v>
      </c>
      <c r="L2970" s="3177">
        <v>42</v>
      </c>
      <c r="P2970" s="3175">
        <v>1.2</v>
      </c>
      <c r="Q2970" s="3175">
        <v>28</v>
      </c>
    </row>
    <row r="2971" spans="1:17" x14ac:dyDescent="0.2">
      <c r="A2971" s="3138" t="s">
        <v>4072</v>
      </c>
      <c r="B2971" s="3177">
        <v>36.1</v>
      </c>
      <c r="C2971" s="3177">
        <v>33.200000000000003</v>
      </c>
      <c r="D2971" s="3177">
        <v>26.6</v>
      </c>
      <c r="E2971" s="3177">
        <v>25</v>
      </c>
      <c r="F2971" s="3177">
        <v>30</v>
      </c>
      <c r="G2971" s="3138" t="s">
        <v>4072</v>
      </c>
      <c r="H2971" s="3177">
        <v>131.9</v>
      </c>
      <c r="I2971" s="3177">
        <v>121.3</v>
      </c>
      <c r="J2971" s="3177">
        <v>97.9</v>
      </c>
      <c r="K2971" s="3177">
        <v>79.5</v>
      </c>
      <c r="L2971" s="3177">
        <v>43</v>
      </c>
      <c r="P2971" s="3175">
        <v>0.9</v>
      </c>
      <c r="Q2971" s="3175">
        <v>30</v>
      </c>
    </row>
    <row r="2972" spans="1:17" x14ac:dyDescent="0.2">
      <c r="A2972" s="3138" t="s">
        <v>4073</v>
      </c>
      <c r="B2972" s="3177">
        <v>33.6</v>
      </c>
      <c r="C2972" s="3177">
        <v>30.7</v>
      </c>
      <c r="D2972" s="3177">
        <v>24.8</v>
      </c>
      <c r="E2972" s="3177">
        <v>22.9</v>
      </c>
      <c r="F2972" s="3177">
        <v>31</v>
      </c>
      <c r="G2972" s="3138" t="s">
        <v>4073</v>
      </c>
      <c r="H2972" s="3177">
        <v>120.1</v>
      </c>
      <c r="I2972" s="3177">
        <v>111.4</v>
      </c>
      <c r="J2972" s="3177">
        <v>90</v>
      </c>
      <c r="K2972" s="3177">
        <v>73</v>
      </c>
      <c r="L2972" s="3177">
        <v>44</v>
      </c>
      <c r="P2972" s="3175">
        <v>1.25</v>
      </c>
      <c r="Q2972" s="3175">
        <v>30</v>
      </c>
    </row>
    <row r="2973" spans="1:17" x14ac:dyDescent="0.2">
      <c r="A2973" s="3138" t="s">
        <v>5825</v>
      </c>
      <c r="B2973" s="3177">
        <v>31.3</v>
      </c>
      <c r="C2973" s="3177">
        <v>28.9</v>
      </c>
      <c r="D2973" s="3177">
        <v>23</v>
      </c>
      <c r="E2973" s="3177">
        <v>21</v>
      </c>
      <c r="F2973" s="3177">
        <v>32</v>
      </c>
      <c r="G2973" s="3138" t="s">
        <v>5825</v>
      </c>
      <c r="H2973" s="3177">
        <v>112</v>
      </c>
      <c r="I2973" s="3177">
        <v>102.9</v>
      </c>
      <c r="J2973" s="3177">
        <v>83</v>
      </c>
      <c r="K2973" s="3177">
        <v>67.3</v>
      </c>
      <c r="L2973" s="3177">
        <v>45</v>
      </c>
      <c r="P2973" s="3175">
        <v>1</v>
      </c>
      <c r="Q2973" s="3175">
        <v>32</v>
      </c>
    </row>
    <row r="2974" spans="1:17" x14ac:dyDescent="0.2">
      <c r="A2974" s="3138" t="s">
        <v>5824</v>
      </c>
      <c r="B2974" s="3177">
        <v>29.5</v>
      </c>
      <c r="C2974" s="3177">
        <v>26.7</v>
      </c>
      <c r="D2974" s="3177">
        <v>21.5</v>
      </c>
      <c r="E2974" s="3177">
        <v>19.3</v>
      </c>
      <c r="F2974" s="3177">
        <v>33</v>
      </c>
      <c r="G2974" s="3138" t="s">
        <v>5824</v>
      </c>
      <c r="H2974" s="3177">
        <v>107</v>
      </c>
      <c r="I2974" s="3177">
        <v>95.4</v>
      </c>
      <c r="J2974" s="3177">
        <v>77.599999999999994</v>
      </c>
      <c r="K2974" s="3177">
        <v>63.5</v>
      </c>
      <c r="L2974" s="3177">
        <v>46</v>
      </c>
      <c r="P2974" s="3175">
        <v>1.4</v>
      </c>
      <c r="Q2974" s="3175">
        <v>32</v>
      </c>
    </row>
    <row r="2975" spans="1:17" x14ac:dyDescent="0.2">
      <c r="A2975" s="3138" t="s">
        <v>4082</v>
      </c>
      <c r="B2975" s="3177">
        <v>27.1</v>
      </c>
      <c r="C2975" s="3177">
        <v>24.4</v>
      </c>
      <c r="D2975" s="3177">
        <v>19.3</v>
      </c>
      <c r="E2975" s="3177">
        <v>17.2</v>
      </c>
      <c r="F2975" s="3177">
        <v>34</v>
      </c>
      <c r="G2975" s="3138" t="s">
        <v>4082</v>
      </c>
      <c r="H2975" s="3177">
        <v>97.5</v>
      </c>
      <c r="I2975" s="3177">
        <v>83.1</v>
      </c>
      <c r="J2975" s="3177">
        <v>69</v>
      </c>
      <c r="K2975" s="3177">
        <v>56.4</v>
      </c>
      <c r="L2975" s="3177">
        <v>47</v>
      </c>
      <c r="P2975" s="3175">
        <v>1</v>
      </c>
      <c r="Q2975" s="3175">
        <v>32</v>
      </c>
    </row>
    <row r="2976" spans="1:17" x14ac:dyDescent="0.2">
      <c r="A2976" s="3138" t="s">
        <v>5823</v>
      </c>
      <c r="B2976" s="3177">
        <v>24.6</v>
      </c>
      <c r="C2976" s="3177">
        <v>22</v>
      </c>
      <c r="D2976" s="3177">
        <v>17.2</v>
      </c>
      <c r="E2976" s="3177">
        <v>15.3</v>
      </c>
      <c r="F2976" s="3177">
        <v>35</v>
      </c>
      <c r="G2976" s="3138" t="s">
        <v>5823</v>
      </c>
      <c r="H2976" s="3177">
        <v>87.9</v>
      </c>
      <c r="I2976" s="3177">
        <v>78.3</v>
      </c>
      <c r="J2976" s="3177">
        <v>60.9</v>
      </c>
      <c r="K2976" s="3177">
        <v>49.7</v>
      </c>
      <c r="L2976" s="3177">
        <v>48</v>
      </c>
      <c r="P2976" s="3175">
        <v>1.65</v>
      </c>
      <c r="Q2976" s="3175">
        <v>32</v>
      </c>
    </row>
    <row r="2977" spans="1:20" x14ac:dyDescent="0.2">
      <c r="A2977" s="3138" t="s">
        <v>5822</v>
      </c>
      <c r="B2977" s="3177">
        <v>22.2</v>
      </c>
      <c r="C2977" s="3177">
        <v>19.8</v>
      </c>
      <c r="D2977" s="3177">
        <v>15.3</v>
      </c>
      <c r="E2977" s="3177">
        <v>13.5</v>
      </c>
      <c r="F2977" s="3177">
        <v>36</v>
      </c>
      <c r="G2977" s="3138" t="s">
        <v>5822</v>
      </c>
      <c r="H2977" s="3177">
        <v>78.7</v>
      </c>
      <c r="I2977" s="3177">
        <v>70.2</v>
      </c>
      <c r="J2977" s="3177">
        <v>53.5</v>
      </c>
      <c r="K2977" s="3177">
        <v>44.1</v>
      </c>
      <c r="L2977" s="3177">
        <v>49</v>
      </c>
      <c r="P2977" s="3175">
        <v>1.1200000000000001</v>
      </c>
      <c r="Q2977" s="3175">
        <v>36</v>
      </c>
    </row>
    <row r="2978" spans="1:20" x14ac:dyDescent="0.2">
      <c r="A2978" s="3138" t="s">
        <v>5821</v>
      </c>
      <c r="B2978" s="3177">
        <v>19.100000000000001</v>
      </c>
      <c r="C2978" s="3177">
        <v>17.7</v>
      </c>
      <c r="D2978" s="3177">
        <v>13.5</v>
      </c>
      <c r="E2978" s="3177">
        <v>11.9</v>
      </c>
      <c r="F2978" s="3177">
        <v>37</v>
      </c>
      <c r="G2978" s="3138" t="s">
        <v>5821</v>
      </c>
      <c r="H2978" s="3177">
        <v>70.2</v>
      </c>
      <c r="I2978" s="3177">
        <v>62.6</v>
      </c>
      <c r="J2978" s="3177">
        <v>47.1</v>
      </c>
      <c r="K2978" s="3177">
        <v>38.4</v>
      </c>
      <c r="L2978" s="3177">
        <v>50</v>
      </c>
      <c r="P2978" s="3175">
        <v>1.6</v>
      </c>
      <c r="Q2978" s="3175">
        <v>36</v>
      </c>
    </row>
    <row r="2979" spans="1:20" x14ac:dyDescent="0.2">
      <c r="A2979" s="3138" t="s">
        <v>5820</v>
      </c>
      <c r="B2979" s="3177">
        <v>17.399999999999999</v>
      </c>
      <c r="C2979" s="3177">
        <v>15.7</v>
      </c>
      <c r="D2979" s="3177">
        <v>12</v>
      </c>
      <c r="E2979" s="3177">
        <v>10.4</v>
      </c>
      <c r="F2979" s="3177">
        <v>38</v>
      </c>
      <c r="G2979" s="3138" t="s">
        <v>5820</v>
      </c>
      <c r="H2979" s="3177">
        <v>60.4</v>
      </c>
      <c r="I2979" s="3177">
        <v>55.1</v>
      </c>
      <c r="J2979" s="3177">
        <v>41.3</v>
      </c>
      <c r="K2979" s="3177">
        <v>33.700000000000003</v>
      </c>
      <c r="L2979" s="3177">
        <v>51</v>
      </c>
      <c r="P2979" s="3175"/>
      <c r="Q2979" s="3175"/>
    </row>
    <row r="2980" spans="1:20" x14ac:dyDescent="0.2">
      <c r="A2980" s="3138" t="s">
        <v>5819</v>
      </c>
      <c r="B2980" s="3177">
        <v>15.6</v>
      </c>
      <c r="C2980" s="3177">
        <v>14</v>
      </c>
      <c r="D2980" s="3177">
        <v>10.6</v>
      </c>
      <c r="E2980" s="3177">
        <v>9.1999999999999993</v>
      </c>
      <c r="F2980" s="3177">
        <v>39</v>
      </c>
      <c r="G2980" s="3138" t="s">
        <v>5819</v>
      </c>
      <c r="H2980" s="3177">
        <v>53.8</v>
      </c>
      <c r="I2980" s="3177">
        <v>49.2</v>
      </c>
      <c r="J2980" s="3177">
        <v>36.5</v>
      </c>
      <c r="K2980" s="3177">
        <v>29.7</v>
      </c>
      <c r="L2980" s="3177">
        <v>52</v>
      </c>
      <c r="P2980" s="3175"/>
      <c r="Q2980" s="3175"/>
    </row>
    <row r="2981" spans="1:20" x14ac:dyDescent="0.2">
      <c r="P2981" s="3175"/>
      <c r="Q2981" s="3175"/>
      <c r="S2981" s="3128">
        <v>0.58499999999999996</v>
      </c>
      <c r="T2981" s="3128">
        <v>1</v>
      </c>
    </row>
    <row r="2982" spans="1:20" x14ac:dyDescent="0.2">
      <c r="P2982" s="3175"/>
      <c r="Q2982" s="3175"/>
      <c r="S2982" s="3128">
        <v>0.70499999999999996</v>
      </c>
      <c r="T2982" s="3128">
        <v>2</v>
      </c>
    </row>
    <row r="2983" spans="1:20" x14ac:dyDescent="0.2">
      <c r="P2983" s="3175"/>
      <c r="Q2983" s="3175"/>
      <c r="S2983" s="3128">
        <v>0.86</v>
      </c>
      <c r="T2983" s="3128">
        <v>3</v>
      </c>
    </row>
    <row r="2984" spans="1:20" x14ac:dyDescent="0.2">
      <c r="P2984" s="3175"/>
      <c r="Q2984" s="3175"/>
      <c r="S2984" s="3128">
        <v>1.05</v>
      </c>
      <c r="T2984" s="3128">
        <v>4</v>
      </c>
    </row>
    <row r="2985" spans="1:20" x14ac:dyDescent="0.2">
      <c r="D2985" s="3146" t="s">
        <v>3022</v>
      </c>
      <c r="E2985" s="3146"/>
      <c r="P2985" s="3175"/>
      <c r="Q2985" s="3175"/>
      <c r="S2985" s="3128">
        <v>1.3149999999999999</v>
      </c>
      <c r="T2985" s="3128">
        <v>5</v>
      </c>
    </row>
    <row r="2986" spans="1:20" ht="18" customHeight="1" x14ac:dyDescent="0.25">
      <c r="A2986" s="3176" t="s">
        <v>5118</v>
      </c>
      <c r="B2986" s="3176"/>
      <c r="C2986" s="3176"/>
      <c r="D2986" s="3176"/>
      <c r="E2986" s="3176"/>
      <c r="F2986" s="3157"/>
      <c r="P2986" s="3175"/>
      <c r="Q2986" s="3175"/>
      <c r="S2986" s="3128">
        <v>1.6</v>
      </c>
      <c r="T2986" s="3128">
        <v>6</v>
      </c>
    </row>
    <row r="2987" spans="1:20" ht="12.75" customHeight="1" x14ac:dyDescent="0.2">
      <c r="A2987" s="3160" t="s">
        <v>5120</v>
      </c>
      <c r="B2987" s="3159" t="s">
        <v>5121</v>
      </c>
      <c r="C2987" s="3159"/>
      <c r="D2987" s="3159"/>
      <c r="E2987" s="3159"/>
      <c r="P2987" s="3175"/>
      <c r="Q2987" s="3175"/>
      <c r="S2987" s="3128">
        <v>2</v>
      </c>
      <c r="T2987" s="3128">
        <v>7</v>
      </c>
    </row>
    <row r="2988" spans="1:20" x14ac:dyDescent="0.2">
      <c r="A2988" s="3160"/>
      <c r="B2988" s="3159" t="s">
        <v>5126</v>
      </c>
      <c r="C2988" s="3159"/>
      <c r="D2988" s="3159" t="s">
        <v>5127</v>
      </c>
      <c r="E2988" s="3159"/>
      <c r="P2988" s="3175"/>
      <c r="Q2988" s="3175"/>
    </row>
    <row r="2989" spans="1:20" x14ac:dyDescent="0.2">
      <c r="A2989" s="3160"/>
      <c r="B2989" s="3150" t="s">
        <v>3713</v>
      </c>
      <c r="C2989" s="3150" t="s">
        <v>3714</v>
      </c>
      <c r="D2989" s="3150" t="s">
        <v>3713</v>
      </c>
      <c r="E2989" s="3150" t="s">
        <v>3714</v>
      </c>
    </row>
    <row r="2990" spans="1:20" x14ac:dyDescent="0.2">
      <c r="A2990" s="3167" t="s">
        <v>4804</v>
      </c>
      <c r="B2990" s="3138">
        <v>317</v>
      </c>
      <c r="C2990" s="3138">
        <v>444</v>
      </c>
      <c r="D2990" s="3138">
        <v>353</v>
      </c>
      <c r="E2990" s="3138">
        <v>452</v>
      </c>
    </row>
    <row r="2991" spans="1:20" x14ac:dyDescent="0.2">
      <c r="A2991" s="3167" t="s">
        <v>4806</v>
      </c>
      <c r="B2991" s="3138">
        <v>291</v>
      </c>
      <c r="C2991" s="3138">
        <v>444</v>
      </c>
      <c r="D2991" s="3138">
        <v>253</v>
      </c>
      <c r="E2991" s="3138">
        <v>452</v>
      </c>
    </row>
    <row r="2992" spans="1:20" x14ac:dyDescent="0.2">
      <c r="A2992" s="3167" t="s">
        <v>4809</v>
      </c>
      <c r="B2992" s="3138">
        <v>247</v>
      </c>
      <c r="C2992" s="3138">
        <v>369</v>
      </c>
      <c r="D2992" s="3138">
        <v>258</v>
      </c>
      <c r="E2992" s="3138">
        <v>376</v>
      </c>
    </row>
    <row r="2993" spans="1:17" x14ac:dyDescent="0.2">
      <c r="C2993" s="3146" t="s">
        <v>5818</v>
      </c>
      <c r="D2993" s="3146"/>
      <c r="H2993" s="3146" t="s">
        <v>5817</v>
      </c>
      <c r="I2993" s="3146"/>
      <c r="N2993" s="3146" t="s">
        <v>4062</v>
      </c>
      <c r="O2993" s="3146"/>
    </row>
    <row r="2994" spans="1:17" ht="15.75" customHeight="1" x14ac:dyDescent="0.25">
      <c r="A2994" s="3174" t="s">
        <v>5816</v>
      </c>
      <c r="B2994" s="3174"/>
      <c r="C2994" s="3174"/>
      <c r="D2994" s="3174"/>
      <c r="F2994" s="3174" t="s">
        <v>5119</v>
      </c>
      <c r="G2994" s="3174"/>
      <c r="H2994" s="3174"/>
      <c r="I2994" s="3174"/>
      <c r="K2994" s="3173" t="s">
        <v>4066</v>
      </c>
      <c r="L2994" s="3172"/>
      <c r="M2994" s="3172"/>
      <c r="N2994" s="3172"/>
      <c r="O2994" s="3171"/>
    </row>
    <row r="2995" spans="1:17" ht="38.25" customHeight="1" x14ac:dyDescent="0.2">
      <c r="A2995" s="3163" t="s">
        <v>2098</v>
      </c>
      <c r="B2995" s="3163" t="s">
        <v>5122</v>
      </c>
      <c r="C2995" s="3150" t="s">
        <v>2490</v>
      </c>
      <c r="F2995" s="3163" t="s">
        <v>2098</v>
      </c>
      <c r="G2995" s="3163" t="s">
        <v>5122</v>
      </c>
      <c r="H2995" s="3150" t="s">
        <v>2490</v>
      </c>
      <c r="K2995" s="3170" t="s">
        <v>5602</v>
      </c>
      <c r="L2995" s="3170"/>
      <c r="M2995" s="3170" t="s">
        <v>4068</v>
      </c>
      <c r="N2995" s="3170"/>
      <c r="O2995" s="3169" t="s">
        <v>2490</v>
      </c>
    </row>
    <row r="2996" spans="1:17" x14ac:dyDescent="0.2">
      <c r="A2996" s="3164" t="s">
        <v>5815</v>
      </c>
      <c r="B2996" s="3138">
        <v>323</v>
      </c>
      <c r="C2996" s="3138">
        <v>1</v>
      </c>
      <c r="F2996" s="3138" t="s">
        <v>1220</v>
      </c>
      <c r="G2996" s="3138">
        <v>281</v>
      </c>
      <c r="H2996" s="3138">
        <v>1</v>
      </c>
      <c r="K2996" s="3160"/>
      <c r="L2996" s="3160"/>
      <c r="M2996" s="3150" t="s">
        <v>1084</v>
      </c>
      <c r="N2996" s="3150" t="s">
        <v>4071</v>
      </c>
      <c r="O2996" s="3150"/>
    </row>
    <row r="2997" spans="1:17" x14ac:dyDescent="0.2">
      <c r="A2997" s="3164" t="s">
        <v>5814</v>
      </c>
      <c r="B2997" s="3138">
        <v>285</v>
      </c>
      <c r="C2997" s="3138">
        <v>2</v>
      </c>
      <c r="F2997" s="3138" t="s">
        <v>4802</v>
      </c>
      <c r="G2997" s="3138">
        <v>250</v>
      </c>
      <c r="H2997" s="3138">
        <v>2</v>
      </c>
      <c r="K2997" s="3168" t="s">
        <v>4067</v>
      </c>
      <c r="L2997" s="3168"/>
      <c r="M2997" s="3138"/>
      <c r="N2997" s="3138">
        <v>57.8</v>
      </c>
      <c r="O2997" s="3138">
        <v>1</v>
      </c>
    </row>
    <row r="2998" spans="1:17" x14ac:dyDescent="0.2">
      <c r="A2998" s="3164" t="s">
        <v>5813</v>
      </c>
      <c r="B2998" s="3138">
        <v>246</v>
      </c>
      <c r="C2998" s="3138">
        <v>3</v>
      </c>
      <c r="F2998" s="3138" t="s">
        <v>4805</v>
      </c>
      <c r="G2998" s="3138">
        <v>224</v>
      </c>
      <c r="H2998" s="3138">
        <v>3</v>
      </c>
      <c r="K2998" s="3168" t="s">
        <v>4074</v>
      </c>
      <c r="L2998" s="3168"/>
      <c r="M2998" s="3138">
        <v>71.2</v>
      </c>
      <c r="N2998" s="3138">
        <v>61.8</v>
      </c>
      <c r="O2998" s="3138">
        <v>2</v>
      </c>
    </row>
    <row r="2999" spans="1:17" x14ac:dyDescent="0.2">
      <c r="A2999" s="3164" t="s">
        <v>5812</v>
      </c>
      <c r="B2999" s="3138">
        <v>212</v>
      </c>
      <c r="C2999" s="3138">
        <v>4</v>
      </c>
      <c r="F2999" s="3138" t="s">
        <v>4807</v>
      </c>
      <c r="G2999" s="3138">
        <v>197</v>
      </c>
      <c r="H2999" s="3138">
        <v>4</v>
      </c>
      <c r="K2999" s="3168" t="s">
        <v>4078</v>
      </c>
      <c r="L2999" s="3168"/>
      <c r="M2999" s="3138">
        <v>81.3</v>
      </c>
      <c r="N2999" s="3138">
        <v>67.8</v>
      </c>
      <c r="O2999" s="3138">
        <v>3</v>
      </c>
    </row>
    <row r="3000" spans="1:17" x14ac:dyDescent="0.2">
      <c r="A3000" s="3164" t="s">
        <v>5811</v>
      </c>
      <c r="B3000" s="3138">
        <v>186</v>
      </c>
      <c r="C3000" s="3138">
        <v>5</v>
      </c>
      <c r="F3000" s="3138" t="s">
        <v>3150</v>
      </c>
      <c r="G3000" s="3138">
        <v>172</v>
      </c>
      <c r="H3000" s="3138">
        <v>5</v>
      </c>
      <c r="K3000" s="3168" t="s">
        <v>4080</v>
      </c>
      <c r="L3000" s="3168"/>
      <c r="M3000" s="3138">
        <v>89.7</v>
      </c>
      <c r="N3000" s="3138">
        <v>83.2</v>
      </c>
      <c r="O3000" s="3138">
        <v>4</v>
      </c>
    </row>
    <row r="3001" spans="1:17" ht="12.75" customHeight="1" x14ac:dyDescent="0.2">
      <c r="A3001" s="3164" t="s">
        <v>5810</v>
      </c>
      <c r="B3001" s="3138">
        <v>159</v>
      </c>
      <c r="C3001" s="3138">
        <v>6</v>
      </c>
      <c r="F3001" s="3138" t="s">
        <v>2470</v>
      </c>
      <c r="G3001" s="3138">
        <v>149</v>
      </c>
      <c r="H3001" s="3138">
        <v>6</v>
      </c>
      <c r="K3001" s="3168" t="s">
        <v>4086</v>
      </c>
      <c r="L3001" s="3168"/>
      <c r="M3001" s="3138">
        <v>71</v>
      </c>
      <c r="N3001" s="3138">
        <v>67.400000000000006</v>
      </c>
      <c r="O3001" s="3138">
        <v>5</v>
      </c>
    </row>
    <row r="3002" spans="1:17" ht="25.5" x14ac:dyDescent="0.2">
      <c r="A3002" s="3164" t="s">
        <v>5809</v>
      </c>
      <c r="B3002" s="3138">
        <v>139</v>
      </c>
      <c r="C3002" s="3138">
        <v>7</v>
      </c>
      <c r="F3002" s="3167" t="s">
        <v>2476</v>
      </c>
      <c r="G3002" s="3138">
        <v>128</v>
      </c>
      <c r="H3002" s="3138">
        <v>7</v>
      </c>
    </row>
    <row r="3003" spans="1:17" x14ac:dyDescent="0.2">
      <c r="A3003" s="3164" t="s">
        <v>5808</v>
      </c>
      <c r="B3003" s="3138">
        <v>122</v>
      </c>
      <c r="C3003" s="3138">
        <v>8</v>
      </c>
      <c r="M3003" s="3146" t="s">
        <v>4808</v>
      </c>
      <c r="N3003" s="3146"/>
    </row>
    <row r="3004" spans="1:17" ht="15.75" x14ac:dyDescent="0.25">
      <c r="A3004" s="3164" t="s">
        <v>5807</v>
      </c>
      <c r="B3004" s="3138">
        <v>110</v>
      </c>
      <c r="C3004" s="3138">
        <v>9</v>
      </c>
      <c r="J3004" s="3166" t="s">
        <v>5806</v>
      </c>
      <c r="K3004" s="3166"/>
      <c r="L3004" s="3166"/>
      <c r="M3004" s="3155"/>
      <c r="O3004" s="3165" t="s">
        <v>3152</v>
      </c>
      <c r="P3004" s="3165"/>
      <c r="Q3004" s="3165"/>
    </row>
    <row r="3005" spans="1:17" ht="25.5" customHeight="1" x14ac:dyDescent="0.2">
      <c r="A3005" s="3164" t="s">
        <v>5805</v>
      </c>
      <c r="B3005" s="3138">
        <v>97</v>
      </c>
      <c r="C3005" s="3138">
        <v>10</v>
      </c>
      <c r="J3005" s="3163" t="s">
        <v>2471</v>
      </c>
      <c r="K3005" s="3162"/>
      <c r="L3005" s="3159" t="s">
        <v>2472</v>
      </c>
      <c r="M3005" s="3159"/>
      <c r="N3005" s="3150" t="s">
        <v>2490</v>
      </c>
      <c r="O3005" s="3138" t="s">
        <v>2473</v>
      </c>
      <c r="P3005" s="3138"/>
      <c r="Q3005" s="3138"/>
    </row>
    <row r="3006" spans="1:17" x14ac:dyDescent="0.2">
      <c r="B3006" s="3146" t="s">
        <v>4085</v>
      </c>
      <c r="C3006" s="3146"/>
      <c r="J3006" s="3137" t="s">
        <v>2477</v>
      </c>
      <c r="K3006" s="3137"/>
      <c r="L3006" s="3148">
        <v>43.4</v>
      </c>
      <c r="M3006" s="3147"/>
      <c r="N3006" s="3138">
        <v>1</v>
      </c>
      <c r="O3006" s="3138">
        <f>(323+585)/2</f>
        <v>454</v>
      </c>
      <c r="P3006" s="3128">
        <f t="shared" ref="P3006:P3012" si="1264">O3006/1000</f>
        <v>0.45400000000000001</v>
      </c>
    </row>
    <row r="3007" spans="1:17" ht="15.75" customHeight="1" x14ac:dyDescent="0.25">
      <c r="A3007" s="3161" t="s">
        <v>5333</v>
      </c>
      <c r="B3007" s="3161"/>
      <c r="C3007" s="3161"/>
      <c r="J3007" s="3137">
        <v>1</v>
      </c>
      <c r="K3007" s="3137"/>
      <c r="L3007" s="3148">
        <v>44.9</v>
      </c>
      <c r="M3007" s="3147"/>
      <c r="N3007" s="3138">
        <v>2</v>
      </c>
      <c r="O3007" s="3138">
        <v>546.5</v>
      </c>
      <c r="P3007" s="3128">
        <f t="shared" si="1264"/>
        <v>0.54649999999999999</v>
      </c>
    </row>
    <row r="3008" spans="1:17" ht="12.75" customHeight="1" x14ac:dyDescent="0.2">
      <c r="A3008" s="3160" t="s">
        <v>4882</v>
      </c>
      <c r="B3008" s="3160"/>
      <c r="C3008" s="3160"/>
      <c r="D3008" s="3138" t="s">
        <v>4883</v>
      </c>
      <c r="E3008" s="3138" t="s">
        <v>4884</v>
      </c>
      <c r="F3008" s="3137" t="s">
        <v>4885</v>
      </c>
      <c r="G3008" s="3137"/>
      <c r="J3008" s="3137">
        <v>2</v>
      </c>
      <c r="K3008" s="3137"/>
      <c r="L3008" s="3148">
        <v>36.299999999999997</v>
      </c>
      <c r="M3008" s="3147"/>
      <c r="N3008" s="3138">
        <v>3</v>
      </c>
      <c r="O3008" s="3138">
        <v>660</v>
      </c>
      <c r="P3008" s="3128">
        <f t="shared" si="1264"/>
        <v>0.66</v>
      </c>
    </row>
    <row r="3009" spans="1:16" x14ac:dyDescent="0.2">
      <c r="A3009" s="3159" t="s">
        <v>2472</v>
      </c>
      <c r="B3009" s="3159"/>
      <c r="C3009" s="3159"/>
      <c r="D3009" s="3138">
        <v>138</v>
      </c>
      <c r="E3009" s="3138">
        <v>132</v>
      </c>
      <c r="F3009" s="3137">
        <v>125</v>
      </c>
      <c r="G3009" s="3137"/>
      <c r="J3009" s="3137">
        <v>3</v>
      </c>
      <c r="K3009" s="3137"/>
      <c r="L3009" s="3148">
        <v>31.1</v>
      </c>
      <c r="M3009" s="3147"/>
      <c r="N3009" s="3138">
        <v>4</v>
      </c>
      <c r="O3009" s="3138">
        <v>805</v>
      </c>
      <c r="P3009" s="3128">
        <f t="shared" si="1264"/>
        <v>0.80500000000000005</v>
      </c>
    </row>
    <row r="3010" spans="1:16" x14ac:dyDescent="0.2">
      <c r="J3010" s="3137">
        <v>4</v>
      </c>
      <c r="K3010" s="3137"/>
      <c r="L3010" s="3148">
        <v>24.9</v>
      </c>
      <c r="M3010" s="3147"/>
      <c r="N3010" s="3138">
        <v>5</v>
      </c>
      <c r="O3010" s="3138">
        <v>1007.5</v>
      </c>
      <c r="P3010" s="3128">
        <f t="shared" si="1264"/>
        <v>1.0075000000000001</v>
      </c>
    </row>
    <row r="3011" spans="1:16" x14ac:dyDescent="0.2">
      <c r="J3011" s="3137">
        <v>5</v>
      </c>
      <c r="K3011" s="3137"/>
      <c r="L3011" s="3148">
        <v>20.6</v>
      </c>
      <c r="M3011" s="3147"/>
      <c r="N3011" s="3138">
        <v>6</v>
      </c>
      <c r="O3011" s="3138">
        <v>1212.5</v>
      </c>
      <c r="P3011" s="3128">
        <f t="shared" si="1264"/>
        <v>1.2124999999999999</v>
      </c>
    </row>
    <row r="3012" spans="1:16" x14ac:dyDescent="0.2">
      <c r="G3012" s="3158"/>
      <c r="J3012" s="3137">
        <v>6</v>
      </c>
      <c r="K3012" s="3137"/>
      <c r="L3012" s="3148">
        <v>17.5</v>
      </c>
      <c r="M3012" s="3147"/>
      <c r="N3012" s="3138">
        <v>7</v>
      </c>
      <c r="O3012" s="3138">
        <v>1517.5</v>
      </c>
      <c r="P3012" s="3128">
        <f t="shared" si="1264"/>
        <v>1.5175000000000001</v>
      </c>
    </row>
    <row r="3013" spans="1:16" x14ac:dyDescent="0.2">
      <c r="O3013" s="3128" t="s">
        <v>4075</v>
      </c>
      <c r="P3013" s="3128" t="s">
        <v>4076</v>
      </c>
    </row>
    <row r="3014" spans="1:16" x14ac:dyDescent="0.2">
      <c r="C3014" s="3146" t="s">
        <v>2469</v>
      </c>
      <c r="D3014" s="3146"/>
    </row>
    <row r="3015" spans="1:16" ht="15.75" x14ac:dyDescent="0.25">
      <c r="A3015" s="3157" t="s">
        <v>2474</v>
      </c>
      <c r="B3015" s="3157"/>
      <c r="C3015" s="3157"/>
      <c r="D3015" s="3157"/>
      <c r="E3015" s="3157"/>
    </row>
    <row r="3016" spans="1:16" ht="15.75" x14ac:dyDescent="0.25">
      <c r="A3016" s="3156" t="s">
        <v>5333</v>
      </c>
      <c r="B3016" s="3156"/>
      <c r="C3016" s="3156"/>
      <c r="D3016" s="3155"/>
    </row>
    <row r="3017" spans="1:16" ht="12.75" customHeight="1" x14ac:dyDescent="0.2">
      <c r="A3017" s="3154" t="s">
        <v>4254</v>
      </c>
      <c r="B3017" s="3153"/>
      <c r="C3017" s="3150" t="s">
        <v>4255</v>
      </c>
      <c r="D3017" s="3150"/>
      <c r="E3017" s="3150" t="s">
        <v>2490</v>
      </c>
    </row>
    <row r="3018" spans="1:16" x14ac:dyDescent="0.2">
      <c r="A3018" s="3152"/>
      <c r="B3018" s="3151"/>
      <c r="C3018" s="3150" t="s">
        <v>4063</v>
      </c>
      <c r="D3018" s="3150" t="s">
        <v>4064</v>
      </c>
      <c r="E3018" s="3150"/>
    </row>
    <row r="3019" spans="1:16" x14ac:dyDescent="0.2">
      <c r="A3019" s="3148" t="s">
        <v>4067</v>
      </c>
      <c r="B3019" s="3147"/>
      <c r="C3019" s="3138">
        <v>110</v>
      </c>
      <c r="D3019" s="3138">
        <v>90</v>
      </c>
      <c r="E3019" s="3138">
        <v>1</v>
      </c>
    </row>
    <row r="3020" spans="1:16" x14ac:dyDescent="0.2">
      <c r="A3020" s="3148" t="s">
        <v>4069</v>
      </c>
      <c r="B3020" s="3147"/>
      <c r="C3020" s="3138">
        <v>104</v>
      </c>
      <c r="D3020" s="3138">
        <v>85</v>
      </c>
      <c r="E3020" s="3138">
        <v>2</v>
      </c>
    </row>
    <row r="3021" spans="1:16" x14ac:dyDescent="0.2">
      <c r="A3021" s="3148" t="s">
        <v>4072</v>
      </c>
      <c r="B3021" s="3147"/>
      <c r="C3021" s="3138">
        <v>99</v>
      </c>
      <c r="D3021" s="3138">
        <v>82</v>
      </c>
      <c r="E3021" s="3138">
        <v>3</v>
      </c>
    </row>
    <row r="3022" spans="1:16" x14ac:dyDescent="0.2">
      <c r="A3022" s="3148" t="s">
        <v>4073</v>
      </c>
      <c r="B3022" s="3147"/>
      <c r="C3022" s="3138">
        <v>93</v>
      </c>
      <c r="D3022" s="3138">
        <v>77</v>
      </c>
      <c r="E3022" s="3138">
        <v>4</v>
      </c>
    </row>
    <row r="3023" spans="1:16" x14ac:dyDescent="0.2">
      <c r="A3023" s="3148" t="s">
        <v>4077</v>
      </c>
      <c r="B3023" s="3147"/>
      <c r="C3023" s="3138">
        <v>89</v>
      </c>
      <c r="D3023" s="3138">
        <v>74</v>
      </c>
      <c r="E3023" s="3138">
        <v>5</v>
      </c>
    </row>
    <row r="3024" spans="1:16" x14ac:dyDescent="0.2">
      <c r="A3024" s="3148" t="s">
        <v>4079</v>
      </c>
      <c r="B3024" s="3147"/>
      <c r="C3024" s="3138">
        <v>85</v>
      </c>
      <c r="D3024" s="3138">
        <v>69</v>
      </c>
      <c r="E3024" s="3138">
        <v>6</v>
      </c>
    </row>
    <row r="3025" spans="1:11" x14ac:dyDescent="0.2">
      <c r="A3025" s="3148" t="s">
        <v>4082</v>
      </c>
      <c r="B3025" s="3147"/>
      <c r="C3025" s="3138">
        <v>78</v>
      </c>
      <c r="D3025" s="3138">
        <v>62</v>
      </c>
      <c r="E3025" s="3138">
        <v>7</v>
      </c>
    </row>
    <row r="3026" spans="1:11" x14ac:dyDescent="0.2">
      <c r="A3026" s="3148" t="s">
        <v>4087</v>
      </c>
      <c r="B3026" s="3147"/>
      <c r="C3026" s="3138">
        <v>73</v>
      </c>
      <c r="D3026" s="3138">
        <v>58</v>
      </c>
      <c r="E3026" s="3138">
        <v>8</v>
      </c>
    </row>
    <row r="3027" spans="1:11" x14ac:dyDescent="0.2">
      <c r="A3027" s="3148" t="s">
        <v>4879</v>
      </c>
      <c r="B3027" s="3147"/>
      <c r="C3027" s="3138">
        <v>67</v>
      </c>
      <c r="D3027" s="3138">
        <v>53</v>
      </c>
      <c r="E3027" s="3138">
        <v>9</v>
      </c>
    </row>
    <row r="3028" spans="1:11" x14ac:dyDescent="0.2">
      <c r="A3028" s="3148" t="s">
        <v>4886</v>
      </c>
      <c r="B3028" s="3147"/>
      <c r="C3028" s="3138">
        <v>58</v>
      </c>
      <c r="D3028" s="3138">
        <v>46</v>
      </c>
      <c r="E3028" s="3138">
        <v>10</v>
      </c>
    </row>
    <row r="3029" spans="1:11" x14ac:dyDescent="0.2">
      <c r="A3029" s="3148" t="s">
        <v>4889</v>
      </c>
      <c r="B3029" s="3147"/>
      <c r="C3029" s="3138">
        <v>51</v>
      </c>
      <c r="D3029" s="3138">
        <v>41</v>
      </c>
      <c r="E3029" s="3138">
        <v>11</v>
      </c>
    </row>
    <row r="3030" spans="1:11" x14ac:dyDescent="0.2">
      <c r="A3030" s="3148" t="s">
        <v>4890</v>
      </c>
      <c r="B3030" s="3147"/>
      <c r="C3030" s="3138">
        <v>47</v>
      </c>
      <c r="D3030" s="3138">
        <v>37</v>
      </c>
      <c r="E3030" s="3138">
        <v>12</v>
      </c>
    </row>
    <row r="3031" spans="1:11" x14ac:dyDescent="0.2">
      <c r="A3031" s="3148" t="s">
        <v>4891</v>
      </c>
      <c r="B3031" s="3147"/>
      <c r="C3031" s="3138">
        <v>43</v>
      </c>
      <c r="D3031" s="3138">
        <v>34</v>
      </c>
      <c r="E3031" s="3138">
        <v>13</v>
      </c>
    </row>
    <row r="3032" spans="1:11" x14ac:dyDescent="0.2">
      <c r="A3032" s="3148" t="s">
        <v>3354</v>
      </c>
      <c r="B3032" s="3147"/>
      <c r="C3032" s="3138">
        <v>39</v>
      </c>
      <c r="D3032" s="3138">
        <v>31</v>
      </c>
      <c r="E3032" s="3138">
        <v>14</v>
      </c>
      <c r="K3032" s="3149"/>
    </row>
    <row r="3033" spans="1:11" x14ac:dyDescent="0.2">
      <c r="A3033" s="3148" t="s">
        <v>3357</v>
      </c>
      <c r="B3033" s="3147"/>
      <c r="C3033" s="3138">
        <v>36</v>
      </c>
      <c r="D3033" s="3138">
        <v>28</v>
      </c>
      <c r="E3033" s="3138">
        <v>15</v>
      </c>
    </row>
    <row r="3034" spans="1:11" x14ac:dyDescent="0.2">
      <c r="A3034" s="3148" t="s">
        <v>3360</v>
      </c>
      <c r="B3034" s="3147"/>
      <c r="C3034" s="3138">
        <v>33</v>
      </c>
      <c r="D3034" s="3138">
        <v>26</v>
      </c>
      <c r="E3034" s="3138">
        <v>16</v>
      </c>
    </row>
    <row r="3035" spans="1:11" x14ac:dyDescent="0.2">
      <c r="A3035" s="3148" t="s">
        <v>3362</v>
      </c>
      <c r="B3035" s="3147"/>
      <c r="C3035" s="3138">
        <v>31</v>
      </c>
      <c r="D3035" s="3138">
        <v>25</v>
      </c>
      <c r="E3035" s="3138">
        <v>17</v>
      </c>
    </row>
    <row r="3036" spans="1:11" x14ac:dyDescent="0.2">
      <c r="A3036" s="3148" t="s">
        <v>3363</v>
      </c>
      <c r="B3036" s="3147"/>
      <c r="C3036" s="3138">
        <v>30</v>
      </c>
      <c r="D3036" s="3138">
        <v>23</v>
      </c>
      <c r="E3036" s="3138">
        <v>18</v>
      </c>
    </row>
    <row r="3037" spans="1:11" x14ac:dyDescent="0.2">
      <c r="A3037" s="3137" t="s">
        <v>3364</v>
      </c>
      <c r="B3037" s="3137"/>
      <c r="C3037" s="3138">
        <v>28</v>
      </c>
      <c r="D3037" s="3138">
        <v>22</v>
      </c>
      <c r="E3037" s="3138">
        <v>19</v>
      </c>
    </row>
    <row r="3040" spans="1:11" x14ac:dyDescent="0.2">
      <c r="G3040" s="3146" t="s">
        <v>5804</v>
      </c>
      <c r="H3040" s="3146"/>
    </row>
    <row r="3041" spans="1:13" ht="15.75" x14ac:dyDescent="0.25">
      <c r="A3041" s="3145" t="s">
        <v>5803</v>
      </c>
      <c r="B3041" s="3144"/>
      <c r="C3041" s="3144"/>
      <c r="D3041" s="3144"/>
      <c r="E3041" s="3144"/>
      <c r="F3041" s="3144"/>
      <c r="G3041" s="3144"/>
      <c r="H3041" s="3144"/>
      <c r="I3041" s="3143"/>
    </row>
    <row r="3042" spans="1:13" ht="15.75" x14ac:dyDescent="0.25">
      <c r="A3042" s="3142" t="s">
        <v>5802</v>
      </c>
      <c r="B3042" s="3142"/>
      <c r="C3042" s="3142"/>
      <c r="D3042" s="3142"/>
      <c r="E3042" s="3142"/>
      <c r="F3042" s="3142"/>
      <c r="G3042" s="3142"/>
      <c r="H3042" s="3141"/>
      <c r="I3042" s="3141"/>
    </row>
    <row r="3043" spans="1:13" ht="15.75" x14ac:dyDescent="0.25">
      <c r="A3043" s="3140" t="s">
        <v>5801</v>
      </c>
      <c r="B3043" s="3140"/>
      <c r="C3043" s="3140"/>
      <c r="D3043" s="3140"/>
      <c r="E3043" s="3140"/>
      <c r="F3043" s="3140"/>
      <c r="G3043" s="3140"/>
      <c r="H3043" s="3140"/>
      <c r="I3043" s="3140"/>
    </row>
    <row r="3044" spans="1:13" x14ac:dyDescent="0.2">
      <c r="A3044" s="3139" t="s">
        <v>5800</v>
      </c>
      <c r="B3044" s="3138" t="s">
        <v>5799</v>
      </c>
      <c r="C3044" s="3138" t="s">
        <v>5798</v>
      </c>
      <c r="D3044" s="3138" t="s">
        <v>5797</v>
      </c>
      <c r="E3044" s="3138" t="s">
        <v>5796</v>
      </c>
      <c r="F3044" s="3138" t="s">
        <v>5795</v>
      </c>
      <c r="G3044" s="3138" t="s">
        <v>5794</v>
      </c>
      <c r="H3044" s="3137" t="s">
        <v>5793</v>
      </c>
      <c r="I3044" s="3137"/>
    </row>
    <row r="3045" spans="1:13" x14ac:dyDescent="0.2">
      <c r="A3045" s="3138">
        <v>3.24</v>
      </c>
      <c r="B3045" s="3138">
        <v>2.83</v>
      </c>
      <c r="C3045" s="3138">
        <v>2.52</v>
      </c>
      <c r="D3045" s="3138">
        <v>2.2400000000000002</v>
      </c>
      <c r="E3045" s="3138">
        <v>2.0299999999999998</v>
      </c>
      <c r="F3045" s="3138">
        <v>1.87</v>
      </c>
      <c r="G3045" s="3138">
        <v>1.72</v>
      </c>
      <c r="H3045" s="3137">
        <v>1.6</v>
      </c>
      <c r="I3045" s="3137"/>
    </row>
    <row r="3048" spans="1:13" x14ac:dyDescent="0.2">
      <c r="A3048" s="3132" t="s">
        <v>1509</v>
      </c>
      <c r="B3048" s="3132"/>
      <c r="C3048" s="3132"/>
      <c r="D3048" s="3132"/>
      <c r="E3048" s="3132"/>
      <c r="F3048" s="3132"/>
      <c r="G3048" s="3132"/>
      <c r="H3048" s="3132"/>
      <c r="I3048" s="3132"/>
      <c r="J3048" s="3132"/>
    </row>
    <row r="3049" spans="1:13" x14ac:dyDescent="0.2">
      <c r="A3049" s="3132" t="s">
        <v>1428</v>
      </c>
      <c r="B3049" s="3132"/>
      <c r="C3049" s="3132"/>
      <c r="D3049" s="3132"/>
      <c r="E3049" s="3132"/>
      <c r="F3049" s="3132"/>
      <c r="G3049" s="3132"/>
      <c r="H3049" s="3132"/>
      <c r="I3049" s="3132"/>
      <c r="J3049" s="3132"/>
    </row>
    <row r="3050" spans="1:13" x14ac:dyDescent="0.2">
      <c r="A3050" s="3132"/>
      <c r="B3050" s="3132" t="s">
        <v>1430</v>
      </c>
      <c r="C3050" s="3132"/>
      <c r="D3050" s="3132"/>
      <c r="E3050" s="3132"/>
      <c r="F3050" s="3132"/>
      <c r="G3050" s="3132"/>
      <c r="H3050" s="3132"/>
      <c r="I3050" s="3132"/>
      <c r="J3050" s="3132"/>
    </row>
    <row r="3051" spans="1:13" x14ac:dyDescent="0.2">
      <c r="A3051" s="3132" t="s">
        <v>5602</v>
      </c>
      <c r="B3051" s="3132" t="s">
        <v>1432</v>
      </c>
      <c r="C3051" s="3132" t="s">
        <v>1433</v>
      </c>
      <c r="D3051" s="3132" t="s">
        <v>1434</v>
      </c>
      <c r="E3051" s="3132" t="s">
        <v>1435</v>
      </c>
      <c r="F3051" s="3132" t="s">
        <v>1436</v>
      </c>
      <c r="G3051" s="3132" t="s">
        <v>1437</v>
      </c>
      <c r="H3051" s="3132" t="s">
        <v>1438</v>
      </c>
      <c r="I3051" s="3132" t="s">
        <v>1439</v>
      </c>
      <c r="J3051" s="3132" t="s">
        <v>1440</v>
      </c>
    </row>
    <row r="3052" spans="1:13" x14ac:dyDescent="0.2">
      <c r="A3052" s="3132" t="s">
        <v>5792</v>
      </c>
      <c r="B3052" s="3132">
        <v>8.81</v>
      </c>
      <c r="C3052" s="3132">
        <v>8.17</v>
      </c>
      <c r="D3052" s="3132">
        <v>7.55</v>
      </c>
      <c r="E3052" s="3132">
        <v>6.9</v>
      </c>
      <c r="F3052" s="3132">
        <v>6.25</v>
      </c>
      <c r="G3052" s="3132">
        <v>5.62</v>
      </c>
      <c r="H3052" s="3132">
        <v>5.01</v>
      </c>
      <c r="I3052" s="3132">
        <v>4.43</v>
      </c>
      <c r="J3052" s="3132">
        <v>3.9</v>
      </c>
    </row>
    <row r="3053" spans="1:13" x14ac:dyDescent="0.2">
      <c r="A3053" s="3132" t="s">
        <v>5442</v>
      </c>
      <c r="B3053" s="3132">
        <v>12.4</v>
      </c>
      <c r="C3053" s="3132">
        <v>11.55</v>
      </c>
      <c r="D3053" s="3132">
        <v>10.69</v>
      </c>
      <c r="E3053" s="3132">
        <v>9.77</v>
      </c>
      <c r="F3053" s="3132">
        <v>8.89</v>
      </c>
      <c r="G3053" s="3132">
        <v>8</v>
      </c>
      <c r="H3053" s="3132">
        <v>7.13</v>
      </c>
      <c r="I3053" s="3132">
        <v>6.32</v>
      </c>
      <c r="J3053" s="3132">
        <v>5.56</v>
      </c>
    </row>
    <row r="3054" spans="1:13" x14ac:dyDescent="0.2">
      <c r="A3054" s="3132" t="s">
        <v>3370</v>
      </c>
      <c r="B3054" s="3132">
        <v>14.16</v>
      </c>
      <c r="C3054" s="3132">
        <v>13.25</v>
      </c>
      <c r="D3054" s="3132">
        <v>12.28</v>
      </c>
      <c r="E3054" s="3132">
        <v>11.3</v>
      </c>
      <c r="F3054" s="3132">
        <v>10.27</v>
      </c>
      <c r="G3054" s="3132">
        <v>9.3000000000000007</v>
      </c>
      <c r="H3054" s="3132">
        <v>8.34</v>
      </c>
      <c r="I3054" s="3132">
        <v>7.39</v>
      </c>
      <c r="J3054" s="3132">
        <v>6.52</v>
      </c>
    </row>
    <row r="3055" spans="1:13" x14ac:dyDescent="0.2">
      <c r="A3055" s="3132" t="s">
        <v>3371</v>
      </c>
      <c r="B3055" s="3132">
        <v>16.03</v>
      </c>
      <c r="C3055" s="3132">
        <v>15.03</v>
      </c>
      <c r="D3055" s="3132">
        <v>13.99</v>
      </c>
      <c r="E3055" s="3132">
        <v>12.91</v>
      </c>
      <c r="F3055" s="3132">
        <v>11.83</v>
      </c>
      <c r="G3055" s="3132">
        <v>10.71</v>
      </c>
      <c r="H3055" s="3132">
        <v>9.65</v>
      </c>
      <c r="I3055" s="3132">
        <v>8.61</v>
      </c>
      <c r="J3055" s="3132">
        <v>7.61</v>
      </c>
    </row>
    <row r="3056" spans="1:13" x14ac:dyDescent="0.2">
      <c r="A3056" s="3130"/>
      <c r="B3056" s="3130"/>
      <c r="M3056" s="3130"/>
    </row>
    <row r="3057" spans="1:23" x14ac:dyDescent="0.2">
      <c r="A3057" s="3132" t="s">
        <v>1425</v>
      </c>
      <c r="B3057" s="3132"/>
      <c r="C3057" s="3132"/>
      <c r="D3057" s="3132"/>
      <c r="E3057" s="3132"/>
      <c r="M3057" s="3130"/>
    </row>
    <row r="3058" spans="1:23" x14ac:dyDescent="0.2">
      <c r="A3058" s="3132" t="s">
        <v>1429</v>
      </c>
      <c r="B3058" s="3132"/>
      <c r="C3058" s="3132"/>
      <c r="D3058" s="3132"/>
      <c r="E3058" s="3132"/>
      <c r="M3058" s="3130"/>
    </row>
    <row r="3059" spans="1:23" x14ac:dyDescent="0.2">
      <c r="A3059" s="3132"/>
      <c r="B3059" s="3132"/>
      <c r="C3059" s="3132" t="s">
        <v>1431</v>
      </c>
      <c r="D3059" s="3132"/>
      <c r="E3059" s="3132"/>
      <c r="M3059" s="3130"/>
    </row>
    <row r="3060" spans="1:23" ht="51" x14ac:dyDescent="0.2">
      <c r="A3060" s="3132" t="s">
        <v>1441</v>
      </c>
      <c r="B3060" s="3136" t="s">
        <v>3313</v>
      </c>
      <c r="C3060" s="3136" t="s">
        <v>3655</v>
      </c>
      <c r="D3060" s="3136" t="s">
        <v>3656</v>
      </c>
      <c r="E3060" s="3136" t="s">
        <v>4318</v>
      </c>
      <c r="G3060" s="3135" t="s">
        <v>4319</v>
      </c>
      <c r="H3060" s="3135"/>
      <c r="I3060" s="3135"/>
      <c r="J3060" s="3135"/>
      <c r="K3060" s="3135"/>
      <c r="L3060" s="3135"/>
      <c r="M3060" s="3135"/>
      <c r="N3060" s="3135"/>
      <c r="O3060" s="3135"/>
      <c r="P3060" s="3135"/>
      <c r="Q3060" s="3135"/>
      <c r="R3060" s="3135"/>
      <c r="S3060" s="3135"/>
      <c r="T3060" s="3135"/>
      <c r="U3060" s="3135"/>
      <c r="V3060" s="3135"/>
    </row>
    <row r="3061" spans="1:23" x14ac:dyDescent="0.2">
      <c r="A3061" s="3132" t="s">
        <v>4321</v>
      </c>
      <c r="B3061" s="3132">
        <v>146</v>
      </c>
      <c r="C3061" s="3132">
        <v>118</v>
      </c>
      <c r="D3061" s="3132">
        <v>65</v>
      </c>
      <c r="E3061" s="3132">
        <v>44.9</v>
      </c>
      <c r="G3061" s="3135" t="s">
        <v>5441</v>
      </c>
      <c r="H3061" s="3135"/>
      <c r="I3061" s="3135"/>
      <c r="J3061" s="3135"/>
      <c r="K3061" s="3135"/>
      <c r="L3061" s="3135"/>
      <c r="M3061" s="3135"/>
      <c r="N3061" s="3135"/>
      <c r="O3061" s="3135"/>
      <c r="P3061" s="3135"/>
      <c r="Q3061" s="3135"/>
      <c r="R3061" s="3135"/>
      <c r="S3061" s="3135"/>
      <c r="T3061" s="3135"/>
      <c r="U3061" s="3135"/>
      <c r="V3061" s="3135"/>
    </row>
    <row r="3062" spans="1:23" x14ac:dyDescent="0.2">
      <c r="A3062" s="3132" t="s">
        <v>5443</v>
      </c>
      <c r="B3062" s="3132">
        <v>137</v>
      </c>
      <c r="C3062" s="3132">
        <v>105</v>
      </c>
      <c r="D3062" s="3132">
        <v>59.5</v>
      </c>
      <c r="E3062" s="3132">
        <v>41.4</v>
      </c>
      <c r="G3062" s="3135"/>
      <c r="H3062" s="3135" t="s">
        <v>5444</v>
      </c>
      <c r="I3062" s="3135"/>
      <c r="J3062" s="3135"/>
      <c r="K3062" s="3135"/>
      <c r="L3062" s="3135"/>
      <c r="M3062" s="3135"/>
      <c r="N3062" s="3135"/>
      <c r="O3062" s="3135"/>
      <c r="P3062" s="3135"/>
      <c r="Q3062" s="3135"/>
      <c r="R3062" s="3135"/>
      <c r="S3062" s="3135"/>
      <c r="T3062" s="3135"/>
      <c r="U3062" s="3135"/>
      <c r="V3062" s="3135"/>
    </row>
    <row r="3063" spans="1:23" x14ac:dyDescent="0.2">
      <c r="A3063" s="3132" t="s">
        <v>2214</v>
      </c>
      <c r="B3063" s="3132">
        <v>132</v>
      </c>
      <c r="C3063" s="3132">
        <v>98.8</v>
      </c>
      <c r="D3063" s="3132">
        <v>56.6</v>
      </c>
      <c r="E3063" s="3132">
        <v>39.6</v>
      </c>
      <c r="G3063" s="3135"/>
      <c r="H3063" s="3135" t="s">
        <v>1435</v>
      </c>
      <c r="I3063" s="3135" t="s">
        <v>1435</v>
      </c>
      <c r="J3063" s="3135" t="s">
        <v>1435</v>
      </c>
      <c r="K3063" s="3135" t="s">
        <v>1436</v>
      </c>
      <c r="L3063" s="3135" t="s">
        <v>1436</v>
      </c>
      <c r="M3063" s="3135" t="s">
        <v>1436</v>
      </c>
      <c r="N3063" s="3135" t="s">
        <v>1437</v>
      </c>
      <c r="O3063" s="3135" t="s">
        <v>1437</v>
      </c>
      <c r="P3063" s="3135" t="s">
        <v>1437</v>
      </c>
      <c r="Q3063" s="3135" t="s">
        <v>1438</v>
      </c>
      <c r="R3063" s="3135" t="s">
        <v>1438</v>
      </c>
      <c r="S3063" s="3135" t="s">
        <v>1438</v>
      </c>
      <c r="T3063" s="3135" t="s">
        <v>1439</v>
      </c>
      <c r="U3063" s="3135" t="s">
        <v>1439</v>
      </c>
      <c r="V3063" s="3135" t="s">
        <v>1439</v>
      </c>
    </row>
    <row r="3064" spans="1:23" x14ac:dyDescent="0.2">
      <c r="A3064" s="3132" t="s">
        <v>4339</v>
      </c>
      <c r="B3064" s="3132">
        <v>128</v>
      </c>
      <c r="C3064" s="3132">
        <v>92.9</v>
      </c>
      <c r="D3064" s="3132">
        <v>53.8</v>
      </c>
      <c r="E3064" s="3132">
        <v>37.799999999999997</v>
      </c>
      <c r="F3064" s="3130"/>
      <c r="G3064" s="3135"/>
      <c r="H3064" s="3135" t="s">
        <v>3785</v>
      </c>
      <c r="I3064" s="3135"/>
      <c r="J3064" s="3135"/>
      <c r="K3064" s="3135"/>
      <c r="L3064" s="3135"/>
      <c r="M3064" s="3135"/>
      <c r="N3064" s="3135"/>
      <c r="O3064" s="3135"/>
      <c r="P3064" s="3135"/>
      <c r="Q3064" s="3135"/>
      <c r="R3064" s="3135"/>
      <c r="S3064" s="3135"/>
      <c r="T3064" s="3135"/>
      <c r="U3064" s="3135"/>
      <c r="V3064" s="3135"/>
    </row>
    <row r="3065" spans="1:23" x14ac:dyDescent="0.2">
      <c r="A3065" s="3132" t="s">
        <v>3372</v>
      </c>
      <c r="B3065" s="3132">
        <v>122</v>
      </c>
      <c r="C3065" s="3132">
        <v>87.2</v>
      </c>
      <c r="D3065" s="3132">
        <v>51</v>
      </c>
      <c r="E3065" s="3132">
        <v>36</v>
      </c>
      <c r="F3065" s="3130"/>
      <c r="G3065" s="3135" t="s">
        <v>608</v>
      </c>
      <c r="H3065" s="3135" t="s">
        <v>3373</v>
      </c>
      <c r="I3065" s="3135" t="s">
        <v>3374</v>
      </c>
      <c r="J3065" s="3135" t="s">
        <v>3375</v>
      </c>
      <c r="K3065" s="3135" t="s">
        <v>3373</v>
      </c>
      <c r="L3065" s="3135" t="s">
        <v>3374</v>
      </c>
      <c r="M3065" s="3135" t="s">
        <v>3375</v>
      </c>
      <c r="N3065" s="3135" t="s">
        <v>3373</v>
      </c>
      <c r="O3065" s="3135" t="s">
        <v>3374</v>
      </c>
      <c r="P3065" s="3135" t="s">
        <v>3375</v>
      </c>
      <c r="Q3065" s="3135" t="s">
        <v>3373</v>
      </c>
      <c r="R3065" s="3135" t="s">
        <v>3374</v>
      </c>
      <c r="S3065" s="3135" t="s">
        <v>3375</v>
      </c>
      <c r="T3065" s="3135" t="s">
        <v>3373</v>
      </c>
      <c r="U3065" s="3135" t="s">
        <v>3374</v>
      </c>
      <c r="V3065" s="3135" t="s">
        <v>3375</v>
      </c>
    </row>
    <row r="3066" spans="1:23" x14ac:dyDescent="0.2">
      <c r="A3066" s="3132" t="s">
        <v>5428</v>
      </c>
      <c r="B3066" s="3132">
        <v>118</v>
      </c>
      <c r="C3066" s="3132">
        <v>81.900000000000006</v>
      </c>
      <c r="D3066" s="3132">
        <v>48.4</v>
      </c>
      <c r="E3066" s="3132">
        <v>34.299999999999997</v>
      </c>
      <c r="F3066" s="3130"/>
      <c r="G3066" s="3135" t="s">
        <v>4344</v>
      </c>
      <c r="H3066" s="3135">
        <v>192</v>
      </c>
      <c r="I3066" s="3135">
        <v>181</v>
      </c>
      <c r="J3066" s="3135">
        <v>165</v>
      </c>
      <c r="K3066" s="3135">
        <v>157</v>
      </c>
      <c r="L3066" s="3135">
        <v>146</v>
      </c>
      <c r="M3066" s="3135">
        <v>134</v>
      </c>
      <c r="N3066" s="3135">
        <v>125</v>
      </c>
      <c r="O3066" s="3135">
        <v>116</v>
      </c>
      <c r="P3066" s="3135">
        <v>109</v>
      </c>
      <c r="Q3066" s="3135">
        <v>102</v>
      </c>
      <c r="R3066" s="3135">
        <v>92</v>
      </c>
      <c r="S3066" s="3135">
        <v>89</v>
      </c>
      <c r="T3066" s="3135">
        <v>79</v>
      </c>
      <c r="U3066" s="3135">
        <v>72</v>
      </c>
      <c r="V3066" s="3135">
        <v>70</v>
      </c>
    </row>
    <row r="3067" spans="1:23" x14ac:dyDescent="0.2">
      <c r="A3067" s="3132" t="s">
        <v>5223</v>
      </c>
      <c r="B3067" s="3132">
        <v>113</v>
      </c>
      <c r="C3067" s="3132">
        <v>76.8</v>
      </c>
      <c r="D3067" s="3132">
        <v>45.8</v>
      </c>
      <c r="E3067" s="3132">
        <v>32.6</v>
      </c>
      <c r="F3067" s="3130"/>
      <c r="G3067" s="3135" t="s">
        <v>5224</v>
      </c>
      <c r="H3067" s="3135">
        <v>210</v>
      </c>
      <c r="I3067" s="3135">
        <v>192</v>
      </c>
      <c r="J3067" s="3135">
        <v>172</v>
      </c>
      <c r="K3067" s="3135">
        <v>166</v>
      </c>
      <c r="L3067" s="3135">
        <v>155</v>
      </c>
      <c r="M3067" s="3135">
        <v>140</v>
      </c>
      <c r="N3067" s="3135">
        <v>131</v>
      </c>
      <c r="O3067" s="3135">
        <v>122</v>
      </c>
      <c r="P3067" s="3135">
        <v>114</v>
      </c>
      <c r="Q3067" s="3135">
        <v>109</v>
      </c>
      <c r="R3067" s="3135">
        <v>97</v>
      </c>
      <c r="S3067" s="3135">
        <v>92</v>
      </c>
      <c r="T3067" s="3135">
        <v>83</v>
      </c>
      <c r="U3067" s="3135">
        <v>76</v>
      </c>
      <c r="V3067" s="3135">
        <v>74</v>
      </c>
      <c r="W3067" s="3130"/>
    </row>
    <row r="3068" spans="1:23" x14ac:dyDescent="0.2">
      <c r="A3068" s="3132" t="s">
        <v>5228</v>
      </c>
      <c r="B3068" s="3132">
        <v>109</v>
      </c>
      <c r="C3068" s="3132">
        <v>72.099999999999994</v>
      </c>
      <c r="D3068" s="3132">
        <v>43.4</v>
      </c>
      <c r="E3068" s="3132">
        <v>31</v>
      </c>
      <c r="F3068" s="3130"/>
      <c r="G3068" s="3135" t="s">
        <v>5229</v>
      </c>
      <c r="H3068" s="3135">
        <v>250</v>
      </c>
      <c r="I3068" s="3135">
        <v>214</v>
      </c>
      <c r="J3068" s="3135">
        <v>192</v>
      </c>
      <c r="K3068" s="3135">
        <v>184</v>
      </c>
      <c r="L3068" s="3135">
        <v>166</v>
      </c>
      <c r="M3068" s="3135">
        <v>152</v>
      </c>
      <c r="N3068" s="3135">
        <v>140</v>
      </c>
      <c r="O3068" s="3135">
        <v>129</v>
      </c>
      <c r="P3068" s="3135">
        <v>120</v>
      </c>
      <c r="Q3068" s="3135">
        <v>114</v>
      </c>
      <c r="R3068" s="3135">
        <v>102</v>
      </c>
      <c r="S3068" s="3135">
        <v>97</v>
      </c>
      <c r="T3068" s="3135">
        <v>87</v>
      </c>
      <c r="U3068" s="3135">
        <v>80</v>
      </c>
      <c r="V3068" s="3135">
        <v>78</v>
      </c>
      <c r="W3068" s="3130"/>
    </row>
    <row r="3069" spans="1:23" x14ac:dyDescent="0.2">
      <c r="A3069" s="3132" t="s">
        <v>5233</v>
      </c>
      <c r="B3069" s="3132">
        <v>104</v>
      </c>
      <c r="C3069" s="3132">
        <v>67.599999999999994</v>
      </c>
      <c r="D3069" s="3132">
        <v>41</v>
      </c>
      <c r="E3069" s="3132">
        <v>29.5</v>
      </c>
      <c r="F3069" s="3130"/>
      <c r="G3069" s="3135" t="s">
        <v>5234</v>
      </c>
      <c r="H3069" s="3135">
        <v>292</v>
      </c>
      <c r="I3069" s="3135">
        <v>234</v>
      </c>
      <c r="J3069" s="3135">
        <v>216</v>
      </c>
      <c r="K3069" s="3135">
        <v>209</v>
      </c>
      <c r="L3069" s="3135">
        <v>177</v>
      </c>
      <c r="M3069" s="3135">
        <v>166</v>
      </c>
      <c r="N3069" s="3135">
        <v>154</v>
      </c>
      <c r="O3069" s="3135">
        <v>135</v>
      </c>
      <c r="P3069" s="3135">
        <v>127</v>
      </c>
      <c r="Q3069" s="3135">
        <v>118</v>
      </c>
      <c r="R3069" s="3135">
        <v>107</v>
      </c>
      <c r="S3069" s="3135">
        <v>103</v>
      </c>
      <c r="T3069" s="3135">
        <v>91</v>
      </c>
      <c r="U3069" s="3135">
        <v>84</v>
      </c>
      <c r="V3069" s="3135">
        <v>82</v>
      </c>
      <c r="W3069" s="3130"/>
    </row>
    <row r="3070" spans="1:23" x14ac:dyDescent="0.2">
      <c r="A3070" s="3132" t="s">
        <v>5237</v>
      </c>
      <c r="B3070" s="3132">
        <v>99.5</v>
      </c>
      <c r="C3070" s="3132">
        <v>62.8</v>
      </c>
      <c r="D3070" s="3132">
        <v>38.5</v>
      </c>
      <c r="E3070" s="3132">
        <v>27.8</v>
      </c>
      <c r="F3070" s="3130"/>
      <c r="G3070" s="3135" t="s">
        <v>5238</v>
      </c>
      <c r="H3070" s="3135">
        <v>306</v>
      </c>
      <c r="I3070" s="3135">
        <v>246</v>
      </c>
      <c r="J3070" s="3135">
        <v>230</v>
      </c>
      <c r="K3070" s="3135">
        <v>217</v>
      </c>
      <c r="L3070" s="3135">
        <v>184</v>
      </c>
      <c r="M3070" s="3135">
        <v>175</v>
      </c>
      <c r="N3070" s="3135">
        <v>158</v>
      </c>
      <c r="O3070" s="3135">
        <v>140</v>
      </c>
      <c r="P3070" s="3135">
        <v>134</v>
      </c>
      <c r="Q3070" s="3135">
        <v>121</v>
      </c>
      <c r="R3070" s="3135">
        <v>110</v>
      </c>
      <c r="S3070" s="3135">
        <v>106</v>
      </c>
      <c r="T3070" s="3135">
        <v>93</v>
      </c>
      <c r="U3070" s="3135">
        <v>86</v>
      </c>
      <c r="V3070" s="3135">
        <v>84</v>
      </c>
      <c r="W3070" s="3130"/>
    </row>
    <row r="3071" spans="1:23" x14ac:dyDescent="0.2">
      <c r="A3071" s="3130"/>
      <c r="B3071" s="3130"/>
      <c r="C3071" s="3130"/>
      <c r="D3071" s="3130"/>
      <c r="E3071" s="3130"/>
      <c r="F3071" s="3130"/>
      <c r="G3071" s="3130"/>
      <c r="H3071" s="3130"/>
      <c r="I3071" s="3130"/>
      <c r="J3071" s="3130"/>
      <c r="K3071" s="3130"/>
      <c r="L3071" s="3130"/>
      <c r="M3071" s="3130"/>
      <c r="N3071" s="3130"/>
      <c r="O3071" s="3130"/>
      <c r="P3071" s="3130"/>
      <c r="Q3071" s="3130"/>
      <c r="R3071" s="3130"/>
      <c r="S3071" s="3130"/>
      <c r="T3071" s="3130"/>
      <c r="U3071" s="3130"/>
      <c r="V3071" s="3130"/>
      <c r="W3071" s="3130"/>
    </row>
    <row r="3072" spans="1:23" x14ac:dyDescent="0.2">
      <c r="A3072" s="3130"/>
      <c r="B3072" s="3130"/>
      <c r="C3072" s="3130"/>
      <c r="D3072" s="3130"/>
      <c r="E3072" s="3130"/>
      <c r="F3072" s="3130"/>
      <c r="G3072" s="3130"/>
      <c r="H3072" s="3130"/>
      <c r="I3072" s="3130"/>
      <c r="J3072" s="3130"/>
      <c r="K3072" s="3130"/>
      <c r="L3072" s="3130"/>
      <c r="M3072" s="3130"/>
      <c r="N3072" s="3130"/>
      <c r="O3072" s="3130"/>
      <c r="P3072" s="3130"/>
      <c r="Q3072" s="3130"/>
      <c r="R3072" s="3130"/>
      <c r="S3072" s="3130"/>
      <c r="T3072" s="3130"/>
      <c r="U3072" s="3130"/>
      <c r="V3072" s="3130"/>
      <c r="W3072" s="3130"/>
    </row>
    <row r="3073" spans="1:23" x14ac:dyDescent="0.2">
      <c r="A3073" s="3130"/>
      <c r="B3073" s="3130"/>
      <c r="C3073" s="3133" t="s">
        <v>2917</v>
      </c>
      <c r="D3073" s="3133"/>
      <c r="E3073" s="3133"/>
      <c r="F3073" s="3133"/>
      <c r="G3073" s="3133"/>
      <c r="H3073" s="3133"/>
      <c r="I3073" s="3130"/>
      <c r="J3073" s="3130"/>
      <c r="K3073" s="3130"/>
      <c r="L3073" s="3130"/>
      <c r="M3073" s="3130"/>
      <c r="N3073" s="3130"/>
      <c r="O3073" s="3130"/>
      <c r="P3073" s="3130"/>
      <c r="Q3073" s="3130"/>
      <c r="R3073" s="3130"/>
      <c r="S3073" s="3130"/>
      <c r="T3073" s="3130"/>
      <c r="U3073" s="3130"/>
      <c r="V3073" s="3130"/>
      <c r="W3073" s="3130"/>
    </row>
    <row r="3074" spans="1:23" x14ac:dyDescent="0.2">
      <c r="A3074" s="3130"/>
      <c r="B3074" s="3130"/>
      <c r="C3074" s="3133"/>
      <c r="D3074" s="3133">
        <v>0.5</v>
      </c>
      <c r="E3074" s="3133">
        <v>18</v>
      </c>
      <c r="F3074" s="3133"/>
      <c r="G3074" s="3133"/>
      <c r="H3074" s="3133"/>
      <c r="I3074" s="3130"/>
      <c r="J3074" s="3130"/>
      <c r="K3074" s="3130"/>
      <c r="L3074" s="3130"/>
      <c r="M3074" s="3130"/>
      <c r="N3074" s="3130"/>
      <c r="O3074" s="3130"/>
      <c r="P3074" s="3130"/>
      <c r="Q3074" s="3130"/>
      <c r="R3074" s="3130"/>
      <c r="S3074" s="3130"/>
      <c r="T3074" s="3130"/>
      <c r="U3074" s="3130"/>
      <c r="V3074" s="3130"/>
      <c r="W3074" s="3130"/>
    </row>
    <row r="3075" spans="1:23" x14ac:dyDescent="0.2">
      <c r="A3075" s="3130"/>
      <c r="B3075" s="3130"/>
      <c r="C3075" s="3133"/>
      <c r="D3075" s="3133">
        <v>0.65</v>
      </c>
      <c r="E3075" s="3133">
        <v>18</v>
      </c>
      <c r="F3075" s="3133"/>
      <c r="G3075" s="3133"/>
      <c r="H3075" s="3133"/>
      <c r="I3075" s="3130"/>
      <c r="J3075" s="3130"/>
      <c r="K3075" s="3130"/>
      <c r="L3075" s="3130"/>
      <c r="M3075" s="3130"/>
      <c r="N3075" s="3130"/>
      <c r="O3075" s="3130"/>
      <c r="P3075" s="3130"/>
      <c r="Q3075" s="3130"/>
      <c r="R3075" s="3130"/>
      <c r="S3075" s="3130"/>
      <c r="T3075" s="3130"/>
      <c r="U3075" s="3130"/>
      <c r="V3075" s="3130"/>
      <c r="W3075" s="3130"/>
    </row>
    <row r="3076" spans="1:23" x14ac:dyDescent="0.2">
      <c r="A3076" s="3130"/>
      <c r="B3076" s="3130"/>
      <c r="C3076" s="3133"/>
      <c r="D3076" s="3133">
        <v>0.56000000000000005</v>
      </c>
      <c r="E3076" s="3133">
        <v>20</v>
      </c>
      <c r="F3076" s="3133"/>
      <c r="G3076" s="3133"/>
      <c r="H3076" s="3133"/>
      <c r="I3076" s="3130"/>
      <c r="J3076" s="3130"/>
      <c r="K3076" s="3130"/>
      <c r="L3076" s="3130"/>
      <c r="M3076" s="3130"/>
      <c r="N3076" s="3130"/>
      <c r="O3076" s="3130"/>
      <c r="P3076" s="3130"/>
      <c r="Q3076" s="3130"/>
      <c r="R3076" s="3130"/>
      <c r="S3076" s="3130"/>
      <c r="T3076" s="3130"/>
      <c r="U3076" s="3130"/>
      <c r="V3076" s="3130"/>
      <c r="W3076" s="3130"/>
    </row>
    <row r="3077" spans="1:23" x14ac:dyDescent="0.2">
      <c r="A3077" s="3130"/>
      <c r="B3077" s="3130"/>
      <c r="C3077" s="3133"/>
      <c r="D3077" s="3133">
        <v>0.8</v>
      </c>
      <c r="E3077" s="3133">
        <v>20</v>
      </c>
      <c r="F3077" s="3133"/>
      <c r="G3077" s="3133"/>
      <c r="H3077" s="3133"/>
      <c r="I3077" s="3130"/>
      <c r="J3077" s="3130"/>
      <c r="K3077" s="3130"/>
      <c r="L3077" s="3130"/>
      <c r="M3077" s="3130"/>
      <c r="N3077" s="3130"/>
      <c r="O3077" s="3130"/>
      <c r="P3077" s="3130"/>
      <c r="Q3077" s="3130"/>
      <c r="R3077" s="3130"/>
      <c r="S3077" s="3130"/>
      <c r="T3077" s="3130"/>
      <c r="U3077" s="3130"/>
      <c r="V3077" s="3130"/>
      <c r="W3077" s="3130"/>
    </row>
    <row r="3078" spans="1:23" x14ac:dyDescent="0.2">
      <c r="A3078" s="3130"/>
      <c r="B3078" s="3130"/>
      <c r="C3078" s="3133"/>
      <c r="D3078" s="3133">
        <v>0.63</v>
      </c>
      <c r="E3078" s="3133">
        <v>22</v>
      </c>
      <c r="F3078" s="3133"/>
      <c r="G3078" s="3133"/>
      <c r="H3078" s="3133"/>
      <c r="I3078" s="3130"/>
      <c r="J3078" s="3130"/>
      <c r="K3078" s="3130"/>
      <c r="L3078" s="3130"/>
      <c r="M3078" s="3130"/>
      <c r="N3078" s="3130"/>
      <c r="O3078" s="3130"/>
      <c r="P3078" s="3130"/>
      <c r="Q3078" s="3130"/>
      <c r="R3078" s="3130"/>
      <c r="S3078" s="3130"/>
      <c r="T3078" s="3130"/>
      <c r="U3078" s="3130"/>
      <c r="V3078" s="3130"/>
      <c r="W3078" s="3130"/>
    </row>
    <row r="3079" spans="1:23" x14ac:dyDescent="0.2">
      <c r="A3079" s="3130"/>
      <c r="B3079" s="3130"/>
      <c r="C3079" s="3130"/>
      <c r="D3079" s="3130"/>
      <c r="E3079" s="3130"/>
      <c r="F3079" s="3130"/>
      <c r="G3079" s="3130"/>
      <c r="H3079" s="3130"/>
      <c r="I3079" s="3130"/>
      <c r="J3079" s="3130"/>
      <c r="K3079" s="3130"/>
      <c r="L3079" s="3130"/>
      <c r="M3079" s="3130"/>
      <c r="N3079" s="3130"/>
      <c r="O3079" s="3130"/>
      <c r="P3079" s="3130"/>
      <c r="Q3079" s="3130"/>
      <c r="R3079" s="3130"/>
      <c r="S3079" s="3130"/>
      <c r="T3079" s="3130"/>
      <c r="U3079" s="3130"/>
      <c r="V3079" s="3130"/>
      <c r="W3079" s="3130"/>
    </row>
    <row r="3080" spans="1:23" x14ac:dyDescent="0.2">
      <c r="A3080" s="3133">
        <v>0.9</v>
      </c>
      <c r="B3080" s="3133">
        <v>22</v>
      </c>
      <c r="C3080" s="3130"/>
      <c r="D3080" s="3132" t="s">
        <v>1487</v>
      </c>
      <c r="E3080" s="3132"/>
      <c r="F3080" s="3132"/>
      <c r="G3080" s="3132"/>
      <c r="H3080" s="3132"/>
      <c r="I3080" s="3132"/>
      <c r="J3080" s="3132"/>
      <c r="K3080" s="3132"/>
      <c r="L3080" s="3132"/>
      <c r="M3080" s="3130"/>
      <c r="N3080" s="3130"/>
      <c r="O3080" s="3130"/>
      <c r="P3080" s="3130"/>
      <c r="Q3080" s="3130"/>
      <c r="R3080" s="3130"/>
      <c r="S3080" s="3130"/>
      <c r="T3080" s="3130"/>
      <c r="U3080" s="3130"/>
      <c r="V3080" s="3130"/>
      <c r="W3080" s="3130"/>
    </row>
    <row r="3081" spans="1:23" x14ac:dyDescent="0.2">
      <c r="A3081" s="3133">
        <v>0.71</v>
      </c>
      <c r="B3081" s="3133">
        <v>24</v>
      </c>
      <c r="C3081" s="3130"/>
      <c r="D3081" s="3132" t="s">
        <v>3314</v>
      </c>
      <c r="E3081" s="3132"/>
      <c r="F3081" s="3132"/>
      <c r="G3081" s="3132"/>
      <c r="H3081" s="3132"/>
      <c r="I3081" s="3132"/>
      <c r="J3081" s="3132"/>
      <c r="K3081" s="3132"/>
      <c r="L3081" s="3132"/>
      <c r="M3081" s="3130"/>
      <c r="N3081" s="3134"/>
      <c r="O3081" s="3131"/>
      <c r="P3081" s="3131"/>
      <c r="Q3081" s="3131"/>
      <c r="R3081" s="3131"/>
      <c r="S3081" s="3131"/>
      <c r="T3081" s="3131"/>
      <c r="U3081" s="3131"/>
      <c r="V3081" s="3131"/>
      <c r="W3081" s="3130"/>
    </row>
    <row r="3082" spans="1:23" x14ac:dyDescent="0.2">
      <c r="A3082" s="3133">
        <v>1</v>
      </c>
      <c r="B3082" s="3133">
        <v>24</v>
      </c>
      <c r="C3082" s="3130"/>
      <c r="D3082" s="3132"/>
      <c r="E3082" s="3132" t="s">
        <v>1082</v>
      </c>
      <c r="F3082" s="3132"/>
      <c r="G3082" s="3132"/>
      <c r="H3082" s="3132"/>
      <c r="I3082" s="3132"/>
      <c r="J3082" s="3132"/>
      <c r="K3082" s="3132"/>
      <c r="L3082" s="3132"/>
      <c r="M3082" s="3130"/>
      <c r="N3082" s="3131"/>
      <c r="O3082" s="3131"/>
      <c r="P3082" s="3131"/>
      <c r="Q3082" s="3131"/>
      <c r="R3082" s="3131"/>
      <c r="S3082" s="3131"/>
      <c r="T3082" s="3131"/>
      <c r="U3082" s="3131"/>
      <c r="V3082" s="3131"/>
      <c r="W3082" s="3130"/>
    </row>
    <row r="3083" spans="1:23" x14ac:dyDescent="0.2">
      <c r="A3083" s="3133">
        <v>0.8</v>
      </c>
      <c r="B3083" s="3133">
        <v>27</v>
      </c>
      <c r="C3083" s="3130"/>
      <c r="D3083" s="3132" t="s">
        <v>1083</v>
      </c>
      <c r="E3083" s="3132" t="s">
        <v>1084</v>
      </c>
      <c r="F3083" s="3132" t="s">
        <v>1085</v>
      </c>
      <c r="G3083" s="3132" t="s">
        <v>3006</v>
      </c>
      <c r="H3083" s="3132" t="s">
        <v>3007</v>
      </c>
      <c r="I3083" s="3131"/>
      <c r="J3083" s="3132" t="s">
        <v>1488</v>
      </c>
      <c r="K3083" s="3132"/>
      <c r="L3083" s="3132"/>
      <c r="M3083" s="3132"/>
      <c r="N3083" s="3132"/>
      <c r="O3083" s="3132"/>
      <c r="P3083" s="3131"/>
      <c r="Q3083" s="3131"/>
      <c r="R3083" s="3131"/>
      <c r="S3083" s="3131"/>
      <c r="T3083" s="3131"/>
      <c r="U3083" s="3131"/>
      <c r="V3083" s="3131"/>
      <c r="W3083" s="3130"/>
    </row>
    <row r="3084" spans="1:23" x14ac:dyDescent="0.2">
      <c r="A3084" s="3133">
        <v>1.1200000000000001</v>
      </c>
      <c r="B3084" s="3133">
        <v>27</v>
      </c>
      <c r="C3084" s="3130"/>
      <c r="D3084" s="3132" t="s">
        <v>3008</v>
      </c>
      <c r="E3084" s="3132">
        <v>168.3</v>
      </c>
      <c r="F3084" s="3132">
        <v>151.80000000000001</v>
      </c>
      <c r="G3084" s="3132">
        <v>124.3</v>
      </c>
      <c r="H3084" s="3132">
        <v>101.5</v>
      </c>
      <c r="I3084" s="3131"/>
      <c r="J3084" s="3132" t="s">
        <v>1081</v>
      </c>
      <c r="K3084" s="3132"/>
      <c r="L3084" s="3132"/>
      <c r="M3084" s="3132"/>
      <c r="N3084" s="3132"/>
      <c r="O3084" s="3132"/>
      <c r="P3084" s="3131"/>
      <c r="Q3084" s="3131"/>
      <c r="R3084" s="3131"/>
      <c r="S3084" s="3131"/>
      <c r="T3084" s="3131"/>
      <c r="U3084" s="3131"/>
      <c r="V3084" s="3131"/>
      <c r="W3084" s="3130"/>
    </row>
    <row r="3085" spans="1:23" x14ac:dyDescent="0.2">
      <c r="A3085" s="3133">
        <v>0.9</v>
      </c>
      <c r="B3085" s="3133">
        <v>30</v>
      </c>
      <c r="C3085" s="3130"/>
      <c r="D3085" s="3132" t="s">
        <v>3009</v>
      </c>
      <c r="E3085" s="3132">
        <v>159.4</v>
      </c>
      <c r="F3085" s="3132">
        <v>143.9</v>
      </c>
      <c r="G3085" s="3132">
        <v>117.9</v>
      </c>
      <c r="H3085" s="3132">
        <v>95.7</v>
      </c>
      <c r="I3085" s="3131"/>
      <c r="J3085" s="3132"/>
      <c r="K3085" s="3132" t="s">
        <v>1082</v>
      </c>
      <c r="L3085" s="3132"/>
      <c r="M3085" s="3132"/>
      <c r="N3085" s="3132"/>
      <c r="O3085" s="3132"/>
      <c r="P3085" s="3131"/>
      <c r="Q3085" s="3131"/>
      <c r="R3085" s="3131"/>
      <c r="S3085" s="3131"/>
      <c r="T3085" s="3131"/>
      <c r="U3085" s="3131"/>
      <c r="V3085" s="3131"/>
      <c r="W3085" s="3130"/>
    </row>
    <row r="3086" spans="1:23" x14ac:dyDescent="0.2">
      <c r="A3086" s="3133">
        <v>1.25</v>
      </c>
      <c r="B3086" s="3133">
        <v>30</v>
      </c>
      <c r="C3086" s="3130"/>
      <c r="D3086" s="3132" t="s">
        <v>3010</v>
      </c>
      <c r="E3086" s="3132">
        <v>144.5</v>
      </c>
      <c r="F3086" s="3132">
        <v>132.5</v>
      </c>
      <c r="G3086" s="3132">
        <v>107.1</v>
      </c>
      <c r="H3086" s="3132">
        <v>86.9</v>
      </c>
      <c r="I3086" s="3131"/>
      <c r="J3086" s="3132" t="s">
        <v>5602</v>
      </c>
      <c r="K3086" s="3132" t="s">
        <v>1084</v>
      </c>
      <c r="L3086" s="3132" t="s">
        <v>1085</v>
      </c>
      <c r="M3086" s="3132" t="s">
        <v>3006</v>
      </c>
      <c r="N3086" s="3132" t="s">
        <v>3007</v>
      </c>
      <c r="O3086" s="3131"/>
      <c r="W3086" s="3130"/>
    </row>
    <row r="3087" spans="1:23" x14ac:dyDescent="0.2">
      <c r="A3087" s="3133">
        <v>1</v>
      </c>
      <c r="B3087" s="3133">
        <v>32</v>
      </c>
      <c r="C3087" s="3130"/>
      <c r="D3087" s="3132" t="s">
        <v>3011</v>
      </c>
      <c r="E3087" s="3132">
        <v>131.9</v>
      </c>
      <c r="F3087" s="3132">
        <v>121.3</v>
      </c>
      <c r="G3087" s="3132">
        <v>97.9</v>
      </c>
      <c r="H3087" s="3132">
        <v>79.5</v>
      </c>
      <c r="I3087" s="3131"/>
      <c r="J3087" s="3132" t="s">
        <v>3008</v>
      </c>
      <c r="K3087" s="3132">
        <v>43.6</v>
      </c>
      <c r="L3087" s="3132">
        <v>39.700000000000003</v>
      </c>
      <c r="M3087" s="3132">
        <v>31.7</v>
      </c>
      <c r="N3087" s="3132">
        <v>30.1</v>
      </c>
      <c r="O3087" s="3131"/>
      <c r="W3087" s="3130"/>
    </row>
    <row r="3088" spans="1:23" x14ac:dyDescent="0.2">
      <c r="A3088" s="3133">
        <v>1.4</v>
      </c>
      <c r="B3088" s="3133">
        <v>32</v>
      </c>
      <c r="C3088" s="3130"/>
      <c r="D3088" s="3132" t="s">
        <v>3012</v>
      </c>
      <c r="E3088" s="3132">
        <v>120.1</v>
      </c>
      <c r="F3088" s="3132">
        <v>111.4</v>
      </c>
      <c r="G3088" s="3132">
        <v>90</v>
      </c>
      <c r="H3088" s="3132">
        <v>73</v>
      </c>
      <c r="I3088" s="3131"/>
      <c r="J3088" s="3132" t="s">
        <v>3009</v>
      </c>
      <c r="K3088" s="3132">
        <v>42.4</v>
      </c>
      <c r="L3088" s="3132">
        <v>38.1</v>
      </c>
      <c r="M3088" s="3132">
        <v>30.9</v>
      </c>
      <c r="N3088" s="3132">
        <v>29.2</v>
      </c>
      <c r="O3088" s="3131"/>
      <c r="W3088" s="3130"/>
    </row>
    <row r="3089" spans="1:23" x14ac:dyDescent="0.2">
      <c r="A3089" s="3133">
        <v>1.1200000000000001</v>
      </c>
      <c r="B3089" s="3133">
        <v>36</v>
      </c>
      <c r="C3089" s="3130"/>
      <c r="D3089" s="3132" t="s">
        <v>3013</v>
      </c>
      <c r="E3089" s="3132">
        <v>112</v>
      </c>
      <c r="F3089" s="3132">
        <v>102.9</v>
      </c>
      <c r="G3089" s="3132">
        <v>83</v>
      </c>
      <c r="H3089" s="3132">
        <v>67.3</v>
      </c>
      <c r="I3089" s="3131"/>
      <c r="J3089" s="3132" t="s">
        <v>3010</v>
      </c>
      <c r="K3089" s="3132">
        <v>39</v>
      </c>
      <c r="L3089" s="3132">
        <v>35.6</v>
      </c>
      <c r="M3089" s="3132">
        <v>28.9</v>
      </c>
      <c r="N3089" s="3132">
        <v>27</v>
      </c>
      <c r="O3089" s="3131"/>
      <c r="W3089" s="3130"/>
    </row>
    <row r="3090" spans="1:23" x14ac:dyDescent="0.2">
      <c r="A3090" s="3133">
        <v>1.85</v>
      </c>
      <c r="B3090" s="3133">
        <v>58</v>
      </c>
      <c r="C3090" s="3130"/>
      <c r="D3090" s="3132" t="s">
        <v>3014</v>
      </c>
      <c r="E3090" s="3132">
        <v>107</v>
      </c>
      <c r="F3090" s="3132">
        <v>95.4</v>
      </c>
      <c r="G3090" s="3132">
        <v>77.599999999999994</v>
      </c>
      <c r="H3090" s="3132">
        <v>63.5</v>
      </c>
      <c r="I3090" s="3131"/>
      <c r="J3090" s="3132" t="s">
        <v>3011</v>
      </c>
      <c r="K3090" s="3132">
        <v>36.1</v>
      </c>
      <c r="L3090" s="3132">
        <v>33.200000000000003</v>
      </c>
      <c r="M3090" s="3132">
        <v>26.6</v>
      </c>
      <c r="N3090" s="3132">
        <v>25</v>
      </c>
      <c r="O3090" s="3131"/>
      <c r="W3090" s="3130"/>
    </row>
    <row r="3091" spans="1:23" x14ac:dyDescent="0.2">
      <c r="A3091" s="3133">
        <v>2.5</v>
      </c>
      <c r="B3091" s="3133">
        <v>58</v>
      </c>
      <c r="C3091" s="3130"/>
      <c r="D3091" s="3132" t="s">
        <v>3015</v>
      </c>
      <c r="E3091" s="3132">
        <v>97.5</v>
      </c>
      <c r="F3091" s="3132">
        <v>83.1</v>
      </c>
      <c r="G3091" s="3132">
        <v>69</v>
      </c>
      <c r="H3091" s="3132">
        <v>56.4</v>
      </c>
      <c r="I3091" s="3131"/>
      <c r="J3091" s="3132" t="s">
        <v>3012</v>
      </c>
      <c r="K3091" s="3132">
        <v>33.6</v>
      </c>
      <c r="L3091" s="3132">
        <v>30.7</v>
      </c>
      <c r="M3091" s="3132">
        <v>24.8</v>
      </c>
      <c r="N3091" s="3132">
        <v>22.9</v>
      </c>
      <c r="O3091" s="3131"/>
      <c r="W3091" s="3130"/>
    </row>
    <row r="3092" spans="1:23" x14ac:dyDescent="0.2">
      <c r="A3092" s="3133">
        <v>2.1</v>
      </c>
      <c r="B3092" s="3133">
        <v>62</v>
      </c>
      <c r="C3092" s="3130"/>
      <c r="D3092" s="3132" t="s">
        <v>3016</v>
      </c>
      <c r="E3092" s="3132">
        <v>87.9</v>
      </c>
      <c r="F3092" s="3132">
        <v>78.3</v>
      </c>
      <c r="G3092" s="3132">
        <v>60.9</v>
      </c>
      <c r="H3092" s="3132">
        <v>49.7</v>
      </c>
      <c r="I3092" s="3131"/>
      <c r="J3092" s="3132" t="s">
        <v>3013</v>
      </c>
      <c r="K3092" s="3132">
        <v>31.3</v>
      </c>
      <c r="L3092" s="3132">
        <v>28.9</v>
      </c>
      <c r="M3092" s="3132">
        <v>23</v>
      </c>
      <c r="N3092" s="3132">
        <v>21</v>
      </c>
      <c r="O3092" s="3131"/>
      <c r="W3092" s="3130"/>
    </row>
    <row r="3093" spans="1:23" x14ac:dyDescent="0.2">
      <c r="A3093" s="3133">
        <v>2.75</v>
      </c>
      <c r="B3093" s="3133">
        <v>62</v>
      </c>
      <c r="C3093" s="3130"/>
      <c r="D3093" s="3132" t="s">
        <v>3017</v>
      </c>
      <c r="E3093" s="3132">
        <v>78.7</v>
      </c>
      <c r="F3093" s="3132">
        <v>70.2</v>
      </c>
      <c r="G3093" s="3132">
        <v>53.5</v>
      </c>
      <c r="H3093" s="3132">
        <v>44.1</v>
      </c>
      <c r="I3093" s="3131"/>
      <c r="J3093" s="3132" t="s">
        <v>3014</v>
      </c>
      <c r="K3093" s="3132">
        <v>29.5</v>
      </c>
      <c r="L3093" s="3132">
        <v>26.7</v>
      </c>
      <c r="M3093" s="3132">
        <v>21.5</v>
      </c>
      <c r="N3093" s="3132">
        <v>19.3</v>
      </c>
      <c r="O3093" s="3131"/>
      <c r="W3093" s="3130"/>
    </row>
    <row r="3094" spans="1:23" x14ac:dyDescent="0.2">
      <c r="A3094" s="3133">
        <v>2.35</v>
      </c>
      <c r="B3094" s="3133">
        <v>64</v>
      </c>
      <c r="C3094" s="3130"/>
      <c r="D3094" s="3132" t="s">
        <v>3018</v>
      </c>
      <c r="E3094" s="3132">
        <v>70.2</v>
      </c>
      <c r="F3094" s="3132">
        <v>62.6</v>
      </c>
      <c r="G3094" s="3132">
        <v>47.1</v>
      </c>
      <c r="H3094" s="3132">
        <v>38.4</v>
      </c>
      <c r="I3094" s="3131"/>
      <c r="J3094" s="3132" t="s">
        <v>3015</v>
      </c>
      <c r="K3094" s="3132">
        <v>27.1</v>
      </c>
      <c r="L3094" s="3132">
        <v>24.4</v>
      </c>
      <c r="M3094" s="3132">
        <v>19.3</v>
      </c>
      <c r="N3094" s="3132">
        <v>17.2</v>
      </c>
      <c r="O3094" s="3131"/>
      <c r="W3094" s="3130"/>
    </row>
    <row r="3095" spans="1:23" x14ac:dyDescent="0.2">
      <c r="A3095" s="3133">
        <v>3</v>
      </c>
      <c r="B3095" s="3133">
        <v>64</v>
      </c>
      <c r="C3095" s="3130"/>
      <c r="D3095" s="3132" t="s">
        <v>3019</v>
      </c>
      <c r="E3095" s="3132">
        <v>60.4</v>
      </c>
      <c r="F3095" s="3132">
        <v>55.1</v>
      </c>
      <c r="G3095" s="3132">
        <v>41.3</v>
      </c>
      <c r="H3095" s="3132">
        <v>33.700000000000003</v>
      </c>
      <c r="I3095" s="3131"/>
      <c r="J3095" s="3132" t="s">
        <v>3016</v>
      </c>
      <c r="K3095" s="3132">
        <v>24.6</v>
      </c>
      <c r="L3095" s="3132">
        <v>22</v>
      </c>
      <c r="M3095" s="3132">
        <v>17.2</v>
      </c>
      <c r="N3095" s="3132">
        <v>15.3</v>
      </c>
      <c r="O3095" s="3131"/>
      <c r="W3095" s="3130"/>
    </row>
    <row r="3096" spans="1:23" x14ac:dyDescent="0.2">
      <c r="A3096" s="3133">
        <v>2.6</v>
      </c>
      <c r="B3096" s="3133">
        <v>67</v>
      </c>
      <c r="C3096" s="3130"/>
      <c r="D3096" s="3132" t="s">
        <v>3020</v>
      </c>
      <c r="E3096" s="3132">
        <v>53.8</v>
      </c>
      <c r="F3096" s="3132">
        <v>49.2</v>
      </c>
      <c r="G3096" s="3132">
        <v>36.5</v>
      </c>
      <c r="H3096" s="3132">
        <v>29.7</v>
      </c>
      <c r="I3096" s="3131"/>
      <c r="J3096" s="3132" t="s">
        <v>3017</v>
      </c>
      <c r="K3096" s="3132">
        <v>22.2</v>
      </c>
      <c r="L3096" s="3132">
        <v>19.8</v>
      </c>
      <c r="M3096" s="3132">
        <v>15.3</v>
      </c>
      <c r="N3096" s="3132">
        <v>13.5</v>
      </c>
      <c r="O3096" s="3131"/>
      <c r="W3096" s="3130"/>
    </row>
    <row r="3097" spans="1:23" x14ac:dyDescent="0.2">
      <c r="A3097" s="3133">
        <v>3.25</v>
      </c>
      <c r="B3097" s="3133">
        <v>67</v>
      </c>
      <c r="C3097" s="3130"/>
      <c r="F3097" s="3130"/>
      <c r="J3097" s="3132" t="s">
        <v>3018</v>
      </c>
      <c r="K3097" s="3132">
        <v>19.100000000000001</v>
      </c>
      <c r="L3097" s="3132">
        <v>17.7</v>
      </c>
      <c r="M3097" s="3132">
        <v>13.5</v>
      </c>
      <c r="N3097" s="3132">
        <v>11.9</v>
      </c>
      <c r="O3097" s="3131"/>
      <c r="W3097" s="3130"/>
    </row>
    <row r="3098" spans="1:23" x14ac:dyDescent="0.2">
      <c r="A3098" s="3133">
        <v>2.85</v>
      </c>
      <c r="B3098" s="3133">
        <v>70</v>
      </c>
      <c r="C3098" s="3130"/>
      <c r="F3098" s="3130"/>
      <c r="J3098" s="3132" t="s">
        <v>3019</v>
      </c>
      <c r="K3098" s="3132">
        <v>17.399999999999999</v>
      </c>
      <c r="L3098" s="3132">
        <v>15.7</v>
      </c>
      <c r="M3098" s="3132">
        <v>12</v>
      </c>
      <c r="N3098" s="3132">
        <v>10.4</v>
      </c>
      <c r="O3098" s="3131"/>
      <c r="W3098" s="3130"/>
    </row>
    <row r="3099" spans="1:23" x14ac:dyDescent="0.2">
      <c r="A3099" s="3133">
        <v>3.5</v>
      </c>
      <c r="B3099" s="3133">
        <v>70</v>
      </c>
      <c r="C3099" s="3130"/>
      <c r="F3099" s="3130"/>
      <c r="J3099" s="3132" t="s">
        <v>3020</v>
      </c>
      <c r="K3099" s="3132">
        <v>15.6</v>
      </c>
      <c r="L3099" s="3132">
        <v>14</v>
      </c>
      <c r="M3099" s="3132">
        <v>10.6</v>
      </c>
      <c r="N3099" s="3132">
        <v>9.1999999999999993</v>
      </c>
      <c r="O3099" s="3131"/>
      <c r="W3099" s="3130"/>
    </row>
    <row r="3100" spans="1:23" x14ac:dyDescent="0.2">
      <c r="A3100" s="3130"/>
      <c r="B3100" s="3130"/>
      <c r="C3100" s="3130"/>
      <c r="F3100" s="3130"/>
      <c r="W3100" s="3130"/>
    </row>
    <row r="3101" spans="1:23" x14ac:dyDescent="0.2">
      <c r="A3101" s="3130"/>
      <c r="B3101" s="3130"/>
      <c r="C3101" s="3130"/>
      <c r="F3101" s="3130"/>
      <c r="W3101" s="3130"/>
    </row>
    <row r="3102" spans="1:23" x14ac:dyDescent="0.2">
      <c r="A3102" s="3130"/>
      <c r="B3102" s="3130"/>
      <c r="C3102" s="3130"/>
      <c r="F3102" s="3130"/>
      <c r="W3102" s="3130"/>
    </row>
    <row r="3103" spans="1:23" x14ac:dyDescent="0.2">
      <c r="A3103" s="3130"/>
      <c r="B3103" s="3130"/>
      <c r="C3103" s="3130"/>
      <c r="F3103" s="3130"/>
      <c r="V3103" s="3131"/>
      <c r="W3103" s="3130"/>
    </row>
    <row r="3104" spans="1:23" x14ac:dyDescent="0.2">
      <c r="A3104" s="3130"/>
      <c r="B3104" s="3130"/>
      <c r="C3104" s="3130"/>
      <c r="F3104" s="3130"/>
      <c r="V3104" s="3130"/>
      <c r="W3104" s="3130"/>
    </row>
    <row r="3105" spans="1:7" x14ac:dyDescent="0.2">
      <c r="A3105" s="3129"/>
      <c r="B3105" s="3129"/>
      <c r="C3105" s="3129"/>
    </row>
    <row r="3106" spans="1:7" x14ac:dyDescent="0.2">
      <c r="A3106" s="3129"/>
      <c r="B3106" s="3129"/>
      <c r="C3106" s="3129"/>
    </row>
    <row r="3107" spans="1:7" x14ac:dyDescent="0.2">
      <c r="A3107" s="3129"/>
      <c r="B3107" s="3129"/>
      <c r="C3107" s="3129"/>
    </row>
    <row r="3108" spans="1:7" x14ac:dyDescent="0.2">
      <c r="A3108" s="3129"/>
      <c r="B3108" s="3129"/>
      <c r="C3108" s="3129"/>
    </row>
    <row r="3109" spans="1:7" x14ac:dyDescent="0.2">
      <c r="A3109" s="3129"/>
      <c r="B3109" s="3129"/>
      <c r="C3109" s="3129"/>
      <c r="D3109" s="3129"/>
      <c r="E3109" s="3129"/>
      <c r="F3109" s="3129"/>
      <c r="G3109" s="3129"/>
    </row>
    <row r="3110" spans="1:7" x14ac:dyDescent="0.2">
      <c r="A3110" s="3129"/>
      <c r="B3110" s="3129"/>
      <c r="C3110" s="3129"/>
      <c r="D3110" s="3129"/>
      <c r="E3110" s="3129"/>
      <c r="F3110" s="3129"/>
      <c r="G3110" s="3129"/>
    </row>
    <row r="3111" spans="1:7" x14ac:dyDescent="0.2">
      <c r="A3111" s="3129"/>
      <c r="B3111" s="3129"/>
      <c r="C3111" s="3129"/>
      <c r="D3111" s="3129"/>
      <c r="E3111" s="3129"/>
      <c r="F3111" s="3129"/>
      <c r="G3111" s="3129"/>
    </row>
    <row r="3112" spans="1:7" x14ac:dyDescent="0.2">
      <c r="A3112" s="3129"/>
      <c r="B3112" s="3129"/>
      <c r="C3112" s="3129"/>
      <c r="D3112" s="3129"/>
      <c r="E3112" s="3129"/>
      <c r="F3112" s="3129"/>
      <c r="G3112" s="3129"/>
    </row>
    <row r="3113" spans="1:7" x14ac:dyDescent="0.2">
      <c r="A3113" s="3129"/>
      <c r="B3113" s="3129"/>
      <c r="C3113" s="3129"/>
      <c r="D3113" s="3129"/>
      <c r="E3113" s="3129"/>
      <c r="F3113" s="3129"/>
      <c r="G3113" s="3129"/>
    </row>
    <row r="3114" spans="1:7" x14ac:dyDescent="0.2">
      <c r="A3114" s="3129"/>
      <c r="B3114" s="3129"/>
      <c r="C3114" s="3129"/>
      <c r="D3114" s="3129"/>
      <c r="E3114" s="3129"/>
      <c r="F3114" s="3129"/>
      <c r="G3114" s="3129"/>
    </row>
    <row r="3115" spans="1:7" x14ac:dyDescent="0.2">
      <c r="A3115" s="3129"/>
      <c r="B3115" s="3129"/>
      <c r="C3115" s="3129"/>
      <c r="D3115" s="3129"/>
      <c r="E3115" s="3129"/>
      <c r="F3115" s="3129"/>
      <c r="G3115" s="3129"/>
    </row>
    <row r="3116" spans="1:7" x14ac:dyDescent="0.2">
      <c r="A3116" s="3129"/>
      <c r="B3116" s="3129"/>
      <c r="C3116" s="3129"/>
      <c r="D3116" s="3129"/>
      <c r="E3116" s="3129"/>
      <c r="F3116" s="3129"/>
      <c r="G3116" s="3129"/>
    </row>
    <row r="3117" spans="1:7" x14ac:dyDescent="0.2">
      <c r="A3117" s="3129"/>
      <c r="B3117" s="3129"/>
      <c r="C3117" s="3129"/>
      <c r="D3117" s="3129"/>
      <c r="E3117" s="3129"/>
      <c r="F3117" s="3129"/>
      <c r="G3117" s="3129"/>
    </row>
    <row r="3118" spans="1:7" x14ac:dyDescent="0.2">
      <c r="A3118" s="3129"/>
      <c r="B3118" s="3129"/>
      <c r="C3118" s="3129"/>
      <c r="D3118" s="3129"/>
      <c r="E3118" s="3129"/>
      <c r="F3118" s="3129"/>
      <c r="G3118" s="3129"/>
    </row>
    <row r="3119" spans="1:7" x14ac:dyDescent="0.2">
      <c r="A3119" s="3129"/>
      <c r="B3119" s="3129"/>
      <c r="C3119" s="3129"/>
      <c r="D3119" s="3129"/>
      <c r="E3119" s="3129"/>
      <c r="F3119" s="3129"/>
      <c r="G3119" s="3129"/>
    </row>
    <row r="3120" spans="1:7" x14ac:dyDescent="0.2">
      <c r="A3120" s="3129"/>
      <c r="B3120" s="3129"/>
      <c r="C3120" s="3129"/>
      <c r="D3120" s="3129"/>
      <c r="E3120" s="3129"/>
      <c r="F3120" s="3129"/>
      <c r="G3120" s="3129"/>
    </row>
    <row r="3121" spans="1:7" x14ac:dyDescent="0.2">
      <c r="A3121" s="3129"/>
      <c r="B3121" s="3129"/>
      <c r="C3121" s="3129"/>
      <c r="D3121" s="3129"/>
      <c r="E3121" s="3129"/>
      <c r="F3121" s="3129"/>
      <c r="G3121" s="3129"/>
    </row>
    <row r="3122" spans="1:7" x14ac:dyDescent="0.2">
      <c r="A3122" s="3129"/>
      <c r="B3122" s="3129"/>
      <c r="C3122" s="3129"/>
      <c r="D3122" s="3129"/>
      <c r="E3122" s="3129"/>
      <c r="F3122" s="3129"/>
      <c r="G3122" s="3129"/>
    </row>
    <row r="3123" spans="1:7" x14ac:dyDescent="0.2">
      <c r="A3123" s="3129"/>
      <c r="B3123" s="3129"/>
      <c r="C3123" s="3129"/>
      <c r="D3123" s="3129"/>
      <c r="E3123" s="3129"/>
      <c r="F3123" s="3129"/>
      <c r="G3123" s="3129"/>
    </row>
    <row r="3124" spans="1:7" x14ac:dyDescent="0.2">
      <c r="A3124" s="3129"/>
      <c r="B3124" s="3129"/>
      <c r="C3124" s="3129"/>
      <c r="D3124" s="3129"/>
      <c r="E3124" s="3129"/>
      <c r="F3124" s="3129"/>
      <c r="G3124" s="3129"/>
    </row>
    <row r="3125" spans="1:7" x14ac:dyDescent="0.2">
      <c r="A3125" s="3129"/>
      <c r="B3125" s="3129"/>
      <c r="C3125" s="3129"/>
      <c r="D3125" s="3129"/>
      <c r="E3125" s="3129"/>
      <c r="F3125" s="3129"/>
      <c r="G3125" s="3129"/>
    </row>
    <row r="3126" spans="1:7" x14ac:dyDescent="0.2">
      <c r="A3126" s="3129"/>
      <c r="B3126" s="3129"/>
      <c r="C3126" s="3129"/>
      <c r="D3126" s="3129"/>
      <c r="E3126" s="3129"/>
      <c r="F3126" s="3129"/>
      <c r="G3126" s="3129"/>
    </row>
    <row r="3127" spans="1:7" x14ac:dyDescent="0.2">
      <c r="A3127" s="3129"/>
      <c r="B3127" s="3129"/>
      <c r="C3127" s="3129"/>
      <c r="D3127" s="3129"/>
      <c r="E3127" s="3129"/>
      <c r="F3127" s="3129"/>
      <c r="G3127" s="3129"/>
    </row>
    <row r="3128" spans="1:7" x14ac:dyDescent="0.2">
      <c r="A3128" s="3129"/>
      <c r="B3128" s="3129"/>
      <c r="C3128" s="3129"/>
      <c r="D3128" s="3129"/>
      <c r="E3128" s="3129"/>
      <c r="F3128" s="3129"/>
      <c r="G3128" s="3129"/>
    </row>
    <row r="3129" spans="1:7" x14ac:dyDescent="0.2">
      <c r="A3129" s="3129"/>
      <c r="B3129" s="3129"/>
      <c r="C3129" s="3129"/>
      <c r="D3129" s="3129"/>
      <c r="E3129" s="3129"/>
      <c r="F3129" s="3129"/>
      <c r="G3129" s="3129"/>
    </row>
    <row r="3130" spans="1:7" x14ac:dyDescent="0.2">
      <c r="A3130" s="3129"/>
      <c r="B3130" s="3129"/>
      <c r="C3130" s="3129"/>
      <c r="D3130" s="3129"/>
      <c r="E3130" s="3129"/>
      <c r="F3130" s="3129"/>
      <c r="G3130" s="3129"/>
    </row>
    <row r="3131" spans="1:7" x14ac:dyDescent="0.2">
      <c r="A3131" s="3129"/>
      <c r="B3131" s="3129"/>
      <c r="C3131" s="3129"/>
      <c r="D3131" s="3129"/>
      <c r="E3131" s="3129"/>
      <c r="F3131" s="3129"/>
      <c r="G3131" s="3129"/>
    </row>
    <row r="3132" spans="1:7" x14ac:dyDescent="0.2">
      <c r="A3132" s="3129"/>
      <c r="B3132" s="3129"/>
      <c r="C3132" s="3129"/>
      <c r="D3132" s="3129"/>
      <c r="E3132" s="3129"/>
      <c r="F3132" s="3129"/>
      <c r="G3132" s="3129"/>
    </row>
    <row r="3133" spans="1:7" x14ac:dyDescent="0.2">
      <c r="A3133" s="3129"/>
      <c r="B3133" s="3129"/>
      <c r="C3133" s="3129"/>
      <c r="D3133" s="3129"/>
      <c r="E3133" s="3129"/>
      <c r="F3133" s="3129"/>
      <c r="G3133" s="3129"/>
    </row>
    <row r="3134" spans="1:7" x14ac:dyDescent="0.2">
      <c r="A3134" s="3129"/>
      <c r="B3134" s="3129"/>
      <c r="C3134" s="3129"/>
      <c r="D3134" s="3129"/>
      <c r="E3134" s="3129"/>
      <c r="F3134" s="3129"/>
      <c r="G3134" s="3129"/>
    </row>
    <row r="3135" spans="1:7" x14ac:dyDescent="0.2">
      <c r="A3135" s="3129"/>
      <c r="B3135" s="3129"/>
      <c r="C3135" s="3129"/>
      <c r="D3135" s="3129"/>
      <c r="E3135" s="3129"/>
      <c r="F3135" s="3129"/>
      <c r="G3135" s="3129"/>
    </row>
    <row r="3136" spans="1:7" x14ac:dyDescent="0.2">
      <c r="A3136" s="3129"/>
      <c r="B3136" s="3129"/>
      <c r="C3136" s="3129"/>
      <c r="D3136" s="3129"/>
      <c r="E3136" s="3129"/>
      <c r="F3136" s="3129"/>
      <c r="G3136" s="3129"/>
    </row>
    <row r="3137" spans="1:7" x14ac:dyDescent="0.2">
      <c r="A3137" s="3129"/>
      <c r="B3137" s="3129"/>
      <c r="C3137" s="3129"/>
      <c r="D3137" s="3129"/>
      <c r="E3137" s="3129"/>
      <c r="F3137" s="3129"/>
      <c r="G3137" s="3129"/>
    </row>
    <row r="3138" spans="1:7" x14ac:dyDescent="0.2">
      <c r="A3138" s="3129"/>
      <c r="B3138" s="3129"/>
      <c r="C3138" s="3129"/>
      <c r="D3138" s="3129"/>
      <c r="E3138" s="3129"/>
      <c r="F3138" s="3129"/>
      <c r="G3138" s="3129"/>
    </row>
    <row r="3139" spans="1:7" x14ac:dyDescent="0.2">
      <c r="A3139" s="3129"/>
      <c r="B3139" s="3129"/>
      <c r="C3139" s="3129"/>
      <c r="D3139" s="3129"/>
      <c r="E3139" s="3129"/>
      <c r="F3139" s="3129"/>
      <c r="G3139" s="3129"/>
    </row>
    <row r="3140" spans="1:7" x14ac:dyDescent="0.2">
      <c r="A3140" s="3129"/>
      <c r="B3140" s="3129"/>
      <c r="C3140" s="3129"/>
      <c r="D3140" s="3129"/>
      <c r="E3140" s="3129"/>
      <c r="F3140" s="3129"/>
      <c r="G3140" s="3129"/>
    </row>
    <row r="3141" spans="1:7" x14ac:dyDescent="0.2">
      <c r="A3141" s="3129"/>
      <c r="B3141" s="3129"/>
      <c r="C3141" s="3129"/>
      <c r="D3141" s="3129"/>
      <c r="E3141" s="3129"/>
      <c r="F3141" s="3129"/>
      <c r="G3141" s="3129"/>
    </row>
    <row r="3142" spans="1:7" x14ac:dyDescent="0.2">
      <c r="A3142" s="3129"/>
      <c r="B3142" s="3129"/>
      <c r="C3142" s="3129"/>
      <c r="D3142" s="3129"/>
      <c r="E3142" s="3129"/>
      <c r="F3142" s="3129"/>
      <c r="G3142" s="3129"/>
    </row>
    <row r="3143" spans="1:7" x14ac:dyDescent="0.2">
      <c r="A3143" s="3129"/>
      <c r="B3143" s="3129"/>
      <c r="C3143" s="3129"/>
      <c r="D3143" s="3129"/>
      <c r="E3143" s="3129"/>
      <c r="F3143" s="3129"/>
      <c r="G3143" s="3129"/>
    </row>
    <row r="3144" spans="1:7" x14ac:dyDescent="0.2">
      <c r="A3144" s="3129"/>
      <c r="B3144" s="3129"/>
      <c r="C3144" s="3129"/>
      <c r="D3144" s="3129"/>
      <c r="E3144" s="3129"/>
      <c r="F3144" s="3129"/>
      <c r="G3144" s="3129"/>
    </row>
    <row r="3145" spans="1:7" x14ac:dyDescent="0.2">
      <c r="A3145" s="3129"/>
      <c r="B3145" s="3129"/>
      <c r="C3145" s="3129"/>
      <c r="D3145" s="3129"/>
      <c r="E3145" s="3129"/>
      <c r="F3145" s="3129"/>
      <c r="G3145" s="3129"/>
    </row>
    <row r="3146" spans="1:7" x14ac:dyDescent="0.2">
      <c r="A3146" s="3129"/>
      <c r="B3146" s="3129"/>
      <c r="C3146" s="3129"/>
      <c r="D3146" s="3129"/>
      <c r="E3146" s="3129"/>
      <c r="F3146" s="3129"/>
      <c r="G3146" s="3129"/>
    </row>
    <row r="3147" spans="1:7" x14ac:dyDescent="0.2">
      <c r="A3147" s="3129"/>
      <c r="B3147" s="3129"/>
      <c r="C3147" s="3129"/>
      <c r="D3147" s="3129"/>
      <c r="E3147" s="3129"/>
      <c r="F3147" s="3129"/>
      <c r="G3147" s="3129"/>
    </row>
    <row r="3148" spans="1:7" x14ac:dyDescent="0.2">
      <c r="A3148" s="3129"/>
      <c r="B3148" s="3129"/>
      <c r="C3148" s="3129"/>
      <c r="D3148" s="3129"/>
      <c r="E3148" s="3129"/>
      <c r="F3148" s="3129"/>
      <c r="G3148" s="3129"/>
    </row>
    <row r="3149" spans="1:7" x14ac:dyDescent="0.2">
      <c r="A3149" s="3129"/>
      <c r="B3149" s="3129"/>
      <c r="C3149" s="3129"/>
      <c r="D3149" s="3129"/>
      <c r="E3149" s="3129"/>
      <c r="F3149" s="3129"/>
      <c r="G3149" s="3129"/>
    </row>
    <row r="3150" spans="1:7" x14ac:dyDescent="0.2">
      <c r="A3150" s="3129"/>
      <c r="B3150" s="3129"/>
      <c r="C3150" s="3129"/>
      <c r="D3150" s="3129"/>
      <c r="E3150" s="3129"/>
      <c r="F3150" s="3129"/>
      <c r="G3150" s="3129"/>
    </row>
    <row r="3151" spans="1:7" x14ac:dyDescent="0.2">
      <c r="A3151" s="3129"/>
      <c r="B3151" s="3129"/>
      <c r="C3151" s="3129"/>
      <c r="D3151" s="3129"/>
      <c r="E3151" s="3129"/>
      <c r="F3151" s="3129"/>
      <c r="G3151" s="3129"/>
    </row>
    <row r="3152" spans="1:7" x14ac:dyDescent="0.2">
      <c r="A3152" s="3129"/>
      <c r="B3152" s="3129"/>
      <c r="C3152" s="3129"/>
      <c r="D3152" s="3129"/>
      <c r="E3152" s="3129"/>
      <c r="F3152" s="3129"/>
      <c r="G3152" s="3129"/>
    </row>
    <row r="3153" spans="1:7" x14ac:dyDescent="0.2">
      <c r="A3153" s="3129"/>
      <c r="B3153" s="3129"/>
      <c r="C3153" s="3129"/>
      <c r="D3153" s="3129"/>
      <c r="E3153" s="3129"/>
      <c r="F3153" s="3129"/>
      <c r="G3153" s="3129"/>
    </row>
    <row r="3154" spans="1:7" x14ac:dyDescent="0.2">
      <c r="A3154" s="3129"/>
      <c r="B3154" s="3129"/>
      <c r="C3154" s="3129"/>
      <c r="D3154" s="3129"/>
      <c r="E3154" s="3129"/>
      <c r="F3154" s="3129"/>
      <c r="G3154" s="3129"/>
    </row>
    <row r="3155" spans="1:7" x14ac:dyDescent="0.2">
      <c r="A3155" s="3129"/>
      <c r="B3155" s="3129"/>
      <c r="C3155" s="3129"/>
      <c r="D3155" s="3129"/>
      <c r="E3155" s="3129"/>
      <c r="F3155" s="3129"/>
      <c r="G3155" s="3129"/>
    </row>
    <row r="3156" spans="1:7" x14ac:dyDescent="0.2">
      <c r="A3156" s="3129"/>
      <c r="B3156" s="3129"/>
      <c r="C3156" s="3129"/>
      <c r="D3156" s="3129"/>
      <c r="E3156" s="3129"/>
      <c r="F3156" s="3129"/>
      <c r="G3156" s="3129"/>
    </row>
    <row r="3157" spans="1:7" x14ac:dyDescent="0.2">
      <c r="A3157" s="3129"/>
      <c r="B3157" s="3129"/>
      <c r="C3157" s="3129"/>
      <c r="D3157" s="3129"/>
      <c r="E3157" s="3129"/>
      <c r="F3157" s="3129"/>
      <c r="G3157" s="3129"/>
    </row>
    <row r="3158" spans="1:7" x14ac:dyDescent="0.2">
      <c r="A3158" s="3129"/>
      <c r="B3158" s="3129"/>
      <c r="C3158" s="3129"/>
      <c r="D3158" s="3129"/>
      <c r="E3158" s="3129"/>
      <c r="F3158" s="3129"/>
      <c r="G3158" s="3129"/>
    </row>
    <row r="3159" spans="1:7" x14ac:dyDescent="0.2">
      <c r="A3159" s="3129"/>
      <c r="B3159" s="3129"/>
      <c r="C3159" s="3129"/>
      <c r="D3159" s="3129"/>
      <c r="E3159" s="3129"/>
      <c r="F3159" s="3129"/>
      <c r="G3159" s="3129"/>
    </row>
    <row r="3160" spans="1:7" x14ac:dyDescent="0.2">
      <c r="A3160" s="3129"/>
      <c r="B3160" s="3129"/>
      <c r="C3160" s="3129"/>
      <c r="D3160" s="3129"/>
      <c r="E3160" s="3129"/>
      <c r="F3160" s="3129"/>
      <c r="G3160" s="3129"/>
    </row>
    <row r="3161" spans="1:7" x14ac:dyDescent="0.2">
      <c r="A3161" s="3129"/>
      <c r="B3161" s="3129"/>
      <c r="C3161" s="3129"/>
      <c r="D3161" s="3129"/>
      <c r="E3161" s="3129"/>
      <c r="F3161" s="3129"/>
      <c r="G3161" s="3129"/>
    </row>
    <row r="3162" spans="1:7" x14ac:dyDescent="0.2">
      <c r="A3162" s="3129"/>
      <c r="B3162" s="3129"/>
      <c r="C3162" s="3129"/>
      <c r="D3162" s="3129"/>
      <c r="E3162" s="3129"/>
      <c r="F3162" s="3129"/>
      <c r="G3162" s="3129"/>
    </row>
    <row r="3163" spans="1:7" x14ac:dyDescent="0.2">
      <c r="A3163" s="3129"/>
      <c r="B3163" s="3129"/>
      <c r="C3163" s="3129"/>
      <c r="D3163" s="3129"/>
      <c r="E3163" s="3129"/>
      <c r="F3163" s="3129"/>
      <c r="G3163" s="3129"/>
    </row>
    <row r="3164" spans="1:7" x14ac:dyDescent="0.2">
      <c r="A3164" s="3129"/>
      <c r="B3164" s="3129"/>
      <c r="C3164" s="3129"/>
      <c r="D3164" s="3129"/>
      <c r="E3164" s="3129"/>
      <c r="F3164" s="3129"/>
      <c r="G3164" s="3129"/>
    </row>
    <row r="3165" spans="1:7" x14ac:dyDescent="0.2">
      <c r="A3165" s="3129"/>
      <c r="B3165" s="3129"/>
      <c r="C3165" s="3129"/>
      <c r="D3165" s="3129"/>
      <c r="E3165" s="3129"/>
      <c r="F3165" s="3129"/>
      <c r="G3165" s="3129"/>
    </row>
    <row r="3166" spans="1:7" x14ac:dyDescent="0.2">
      <c r="A3166" s="3129"/>
      <c r="B3166" s="3129"/>
      <c r="C3166" s="3129"/>
      <c r="D3166" s="3129"/>
      <c r="E3166" s="3129"/>
      <c r="F3166" s="3129"/>
      <c r="G3166" s="3129"/>
    </row>
    <row r="3167" spans="1:7" x14ac:dyDescent="0.2">
      <c r="A3167" s="3129"/>
      <c r="B3167" s="3129"/>
      <c r="C3167" s="3129"/>
      <c r="D3167" s="3129"/>
      <c r="E3167" s="3129"/>
      <c r="F3167" s="3129"/>
      <c r="G3167" s="3129"/>
    </row>
    <row r="3168" spans="1:7" x14ac:dyDescent="0.2">
      <c r="A3168" s="3129"/>
      <c r="B3168" s="3129"/>
      <c r="C3168" s="3129"/>
      <c r="D3168" s="3129"/>
      <c r="E3168" s="3129"/>
      <c r="F3168" s="3129"/>
      <c r="G3168" s="3129"/>
    </row>
    <row r="3169" spans="1:7" x14ac:dyDescent="0.2">
      <c r="A3169" s="3129"/>
      <c r="B3169" s="3129"/>
      <c r="C3169" s="3129"/>
      <c r="D3169" s="3129"/>
      <c r="E3169" s="3129"/>
      <c r="F3169" s="3129"/>
      <c r="G3169" s="3129"/>
    </row>
    <row r="3170" spans="1:7" x14ac:dyDescent="0.2">
      <c r="A3170" s="3129"/>
      <c r="B3170" s="3129"/>
      <c r="C3170" s="3129"/>
      <c r="D3170" s="3129"/>
      <c r="E3170" s="3129"/>
      <c r="F3170" s="3129"/>
      <c r="G3170" s="3129"/>
    </row>
    <row r="3171" spans="1:7" x14ac:dyDescent="0.2">
      <c r="A3171" s="3129"/>
      <c r="B3171" s="3129"/>
      <c r="C3171" s="3129"/>
      <c r="D3171" s="3129"/>
      <c r="E3171" s="3129"/>
      <c r="F3171" s="3129"/>
      <c r="G3171" s="3129"/>
    </row>
    <row r="3172" spans="1:7" x14ac:dyDescent="0.2">
      <c r="A3172" s="3129"/>
      <c r="B3172" s="3129"/>
      <c r="C3172" s="3129"/>
      <c r="D3172" s="3129"/>
      <c r="E3172" s="3129"/>
      <c r="F3172" s="3129"/>
      <c r="G3172" s="3129"/>
    </row>
    <row r="3173" spans="1:7" x14ac:dyDescent="0.2">
      <c r="A3173" s="3129"/>
      <c r="B3173" s="3129"/>
      <c r="C3173" s="3129"/>
      <c r="D3173" s="3129"/>
      <c r="E3173" s="3129"/>
      <c r="F3173" s="3129"/>
      <c r="G3173" s="3129"/>
    </row>
    <row r="3174" spans="1:7" x14ac:dyDescent="0.2">
      <c r="A3174" s="3129"/>
      <c r="B3174" s="3129"/>
      <c r="C3174" s="3129"/>
      <c r="D3174" s="3129"/>
      <c r="E3174" s="3129"/>
      <c r="F3174" s="3129"/>
      <c r="G3174" s="3129"/>
    </row>
    <row r="3175" spans="1:7" x14ac:dyDescent="0.2">
      <c r="A3175" s="3129"/>
      <c r="B3175" s="3129"/>
      <c r="C3175" s="3129"/>
      <c r="D3175" s="3129"/>
      <c r="E3175" s="3129"/>
      <c r="F3175" s="3129"/>
      <c r="G3175" s="3129"/>
    </row>
    <row r="3176" spans="1:7" x14ac:dyDescent="0.2">
      <c r="A3176" s="3129"/>
      <c r="B3176" s="3129"/>
      <c r="C3176" s="3129"/>
      <c r="D3176" s="3129"/>
      <c r="E3176" s="3129"/>
      <c r="F3176" s="3129"/>
      <c r="G3176" s="3129"/>
    </row>
    <row r="3177" spans="1:7" x14ac:dyDescent="0.2">
      <c r="A3177" s="3129"/>
      <c r="B3177" s="3129"/>
      <c r="C3177" s="3129"/>
      <c r="D3177" s="3129"/>
      <c r="E3177" s="3129"/>
      <c r="F3177" s="3129"/>
      <c r="G3177" s="3129"/>
    </row>
    <row r="3178" spans="1:7" x14ac:dyDescent="0.2">
      <c r="A3178" s="3129"/>
      <c r="B3178" s="3129"/>
      <c r="C3178" s="3129"/>
      <c r="D3178" s="3129"/>
      <c r="E3178" s="3129"/>
      <c r="F3178" s="3129"/>
      <c r="G3178" s="3129"/>
    </row>
    <row r="3179" spans="1:7" x14ac:dyDescent="0.2">
      <c r="A3179" s="3129"/>
      <c r="B3179" s="3129"/>
      <c r="C3179" s="3129"/>
      <c r="D3179" s="3129"/>
      <c r="E3179" s="3129"/>
      <c r="F3179" s="3129"/>
      <c r="G3179" s="3129"/>
    </row>
    <row r="3180" spans="1:7" x14ac:dyDescent="0.2">
      <c r="A3180" s="3129"/>
      <c r="B3180" s="3129"/>
      <c r="C3180" s="3129"/>
      <c r="D3180" s="3129"/>
      <c r="E3180" s="3129"/>
      <c r="F3180" s="3129"/>
      <c r="G3180" s="3129"/>
    </row>
    <row r="3181" spans="1:7" x14ac:dyDescent="0.2">
      <c r="A3181" s="3129"/>
      <c r="B3181" s="3129"/>
      <c r="C3181" s="3129"/>
      <c r="D3181" s="3129"/>
      <c r="E3181" s="3129"/>
      <c r="F3181" s="3129"/>
      <c r="G3181" s="3129"/>
    </row>
    <row r="3182" spans="1:7" x14ac:dyDescent="0.2">
      <c r="A3182" s="3129"/>
      <c r="B3182" s="3129"/>
      <c r="C3182" s="3129"/>
      <c r="D3182" s="3129"/>
      <c r="E3182" s="3129"/>
      <c r="F3182" s="3129"/>
      <c r="G3182" s="3129"/>
    </row>
    <row r="3183" spans="1:7" x14ac:dyDescent="0.2">
      <c r="A3183" s="3129"/>
      <c r="B3183" s="3129"/>
      <c r="C3183" s="3129"/>
      <c r="D3183" s="3129"/>
      <c r="E3183" s="3129"/>
      <c r="F3183" s="3129"/>
      <c r="G3183" s="3129"/>
    </row>
    <row r="3184" spans="1:7" x14ac:dyDescent="0.2">
      <c r="A3184" s="3129"/>
      <c r="B3184" s="3129"/>
      <c r="C3184" s="3129"/>
      <c r="D3184" s="3129"/>
      <c r="E3184" s="3129"/>
      <c r="F3184" s="3129"/>
      <c r="G3184" s="3129"/>
    </row>
    <row r="3185" spans="1:7" x14ac:dyDescent="0.2">
      <c r="A3185" s="3129"/>
      <c r="B3185" s="3129"/>
      <c r="C3185" s="3129"/>
      <c r="D3185" s="3129"/>
      <c r="E3185" s="3129"/>
      <c r="F3185" s="3129"/>
      <c r="G3185" s="3129"/>
    </row>
    <row r="3186" spans="1:7" x14ac:dyDescent="0.2">
      <c r="A3186" s="3129"/>
      <c r="B3186" s="3129"/>
      <c r="C3186" s="3129"/>
      <c r="D3186" s="3129"/>
      <c r="E3186" s="3129"/>
      <c r="F3186" s="3129"/>
      <c r="G3186" s="3129"/>
    </row>
    <row r="3187" spans="1:7" x14ac:dyDescent="0.2">
      <c r="A3187" s="3129"/>
      <c r="B3187" s="3129"/>
      <c r="C3187" s="3129"/>
      <c r="D3187" s="3129"/>
      <c r="E3187" s="3129"/>
      <c r="F3187" s="3129"/>
      <c r="G3187" s="3129"/>
    </row>
    <row r="3188" spans="1:7" x14ac:dyDescent="0.2">
      <c r="A3188" s="3129"/>
      <c r="B3188" s="3129"/>
      <c r="C3188" s="3129"/>
      <c r="D3188" s="3129"/>
      <c r="E3188" s="3129"/>
      <c r="F3188" s="3129"/>
      <c r="G3188" s="3129"/>
    </row>
    <row r="3189" spans="1:7" x14ac:dyDescent="0.2">
      <c r="A3189" s="3129"/>
      <c r="B3189" s="3129"/>
      <c r="C3189" s="3129"/>
      <c r="D3189" s="3129"/>
      <c r="E3189" s="3129"/>
      <c r="F3189" s="3129"/>
      <c r="G3189" s="3129"/>
    </row>
    <row r="3190" spans="1:7" x14ac:dyDescent="0.2">
      <c r="A3190" s="3129"/>
      <c r="B3190" s="3129"/>
      <c r="C3190" s="3129"/>
      <c r="D3190" s="3129"/>
      <c r="E3190" s="3129"/>
      <c r="F3190" s="3129"/>
      <c r="G3190" s="3129"/>
    </row>
    <row r="3191" spans="1:7" x14ac:dyDescent="0.2">
      <c r="A3191" s="3129"/>
      <c r="B3191" s="3129"/>
      <c r="C3191" s="3129"/>
      <c r="D3191" s="3129"/>
      <c r="E3191" s="3129"/>
      <c r="F3191" s="3129"/>
      <c r="G3191" s="3129"/>
    </row>
    <row r="3192" spans="1:7" x14ac:dyDescent="0.2">
      <c r="A3192" s="3129"/>
      <c r="B3192" s="3129"/>
      <c r="C3192" s="3129"/>
      <c r="D3192" s="3129"/>
      <c r="E3192" s="3129"/>
      <c r="F3192" s="3129"/>
      <c r="G3192" s="3129"/>
    </row>
    <row r="3193" spans="1:7" x14ac:dyDescent="0.2">
      <c r="A3193" s="3129"/>
      <c r="B3193" s="3129"/>
      <c r="C3193" s="3129"/>
      <c r="D3193" s="3129"/>
      <c r="E3193" s="3129"/>
      <c r="F3193" s="3129"/>
      <c r="G3193" s="3129"/>
    </row>
    <row r="3194" spans="1:7" x14ac:dyDescent="0.2">
      <c r="A3194" s="3129"/>
      <c r="B3194" s="3129"/>
      <c r="C3194" s="3129"/>
      <c r="D3194" s="3129"/>
      <c r="E3194" s="3129"/>
      <c r="F3194" s="3129"/>
      <c r="G3194" s="3129"/>
    </row>
    <row r="3195" spans="1:7" x14ac:dyDescent="0.2">
      <c r="A3195" s="3129"/>
      <c r="B3195" s="3129"/>
      <c r="C3195" s="3129"/>
      <c r="D3195" s="3129"/>
      <c r="E3195" s="3129"/>
      <c r="F3195" s="3129"/>
      <c r="G3195" s="3129"/>
    </row>
    <row r="3196" spans="1:7" x14ac:dyDescent="0.2">
      <c r="A3196" s="3129"/>
      <c r="B3196" s="3129"/>
      <c r="C3196" s="3129"/>
      <c r="D3196" s="3129"/>
      <c r="E3196" s="3129"/>
      <c r="F3196" s="3129"/>
      <c r="G3196" s="3129"/>
    </row>
    <row r="3197" spans="1:7" x14ac:dyDescent="0.2">
      <c r="A3197" s="3129"/>
      <c r="B3197" s="3129"/>
      <c r="C3197" s="3129"/>
      <c r="D3197" s="3129"/>
      <c r="E3197" s="3129"/>
      <c r="F3197" s="3129"/>
      <c r="G3197" s="3129"/>
    </row>
    <row r="3198" spans="1:7" x14ac:dyDescent="0.2">
      <c r="A3198" s="3129"/>
      <c r="B3198" s="3129"/>
      <c r="C3198" s="3129"/>
      <c r="D3198" s="3129"/>
      <c r="E3198" s="3129"/>
      <c r="F3198" s="3129"/>
      <c r="G3198" s="3129"/>
    </row>
    <row r="3199" spans="1:7" x14ac:dyDescent="0.2">
      <c r="A3199" s="3129"/>
      <c r="B3199" s="3129"/>
      <c r="C3199" s="3129"/>
      <c r="D3199" s="3129"/>
      <c r="E3199" s="3129"/>
      <c r="F3199" s="3129"/>
      <c r="G3199" s="3129"/>
    </row>
    <row r="3200" spans="1:7" x14ac:dyDescent="0.2">
      <c r="A3200" s="3129"/>
      <c r="B3200" s="3129"/>
      <c r="C3200" s="3129"/>
      <c r="D3200" s="3129"/>
      <c r="E3200" s="3129"/>
      <c r="F3200" s="3129"/>
      <c r="G3200" s="3129"/>
    </row>
    <row r="3201" spans="1:7" x14ac:dyDescent="0.2">
      <c r="A3201" s="3129"/>
      <c r="B3201" s="3129"/>
      <c r="C3201" s="3129"/>
      <c r="D3201" s="3129"/>
      <c r="E3201" s="3129"/>
      <c r="F3201" s="3129"/>
      <c r="G3201" s="3129"/>
    </row>
    <row r="3202" spans="1:7" x14ac:dyDescent="0.2">
      <c r="A3202" s="3129"/>
      <c r="B3202" s="3129"/>
      <c r="C3202" s="3129"/>
      <c r="D3202" s="3129"/>
      <c r="E3202" s="3129"/>
      <c r="F3202" s="3129"/>
      <c r="G3202" s="3129"/>
    </row>
    <row r="3203" spans="1:7" x14ac:dyDescent="0.2">
      <c r="A3203" s="3129"/>
      <c r="B3203" s="3129"/>
      <c r="C3203" s="3129"/>
      <c r="D3203" s="3129"/>
      <c r="E3203" s="3129"/>
      <c r="F3203" s="3129"/>
      <c r="G3203" s="3129"/>
    </row>
    <row r="3204" spans="1:7" x14ac:dyDescent="0.2">
      <c r="A3204" s="3129"/>
      <c r="B3204" s="3129"/>
      <c r="C3204" s="3129"/>
      <c r="D3204" s="3129"/>
      <c r="E3204" s="3129"/>
      <c r="F3204" s="3129"/>
      <c r="G3204" s="3129"/>
    </row>
    <row r="3205" spans="1:7" x14ac:dyDescent="0.2">
      <c r="A3205" s="3129"/>
      <c r="B3205" s="3129"/>
      <c r="C3205" s="3129"/>
      <c r="D3205" s="3129"/>
      <c r="E3205" s="3129"/>
      <c r="F3205" s="3129"/>
      <c r="G3205" s="3129"/>
    </row>
    <row r="3206" spans="1:7" x14ac:dyDescent="0.2">
      <c r="A3206" s="3129"/>
      <c r="B3206" s="3129"/>
      <c r="C3206" s="3129"/>
      <c r="D3206" s="3129"/>
      <c r="E3206" s="3129"/>
      <c r="F3206" s="3129"/>
      <c r="G3206" s="3129"/>
    </row>
    <row r="3207" spans="1:7" x14ac:dyDescent="0.2">
      <c r="A3207" s="3129"/>
      <c r="B3207" s="3129"/>
      <c r="C3207" s="3129"/>
      <c r="D3207" s="3129"/>
      <c r="E3207" s="3129"/>
      <c r="F3207" s="3129"/>
      <c r="G3207" s="3129"/>
    </row>
    <row r="3208" spans="1:7" x14ac:dyDescent="0.2">
      <c r="A3208" s="3129"/>
      <c r="B3208" s="3129"/>
      <c r="C3208" s="3129"/>
      <c r="D3208" s="3129"/>
      <c r="E3208" s="3129"/>
      <c r="F3208" s="3129"/>
      <c r="G3208" s="3129"/>
    </row>
    <row r="3209" spans="1:7" x14ac:dyDescent="0.2">
      <c r="A3209" s="3129"/>
      <c r="B3209" s="3129"/>
      <c r="C3209" s="3129"/>
      <c r="D3209" s="3129"/>
      <c r="E3209" s="3129"/>
      <c r="F3209" s="3129"/>
      <c r="G3209" s="3129"/>
    </row>
    <row r="3210" spans="1:7" x14ac:dyDescent="0.2">
      <c r="A3210" s="3129"/>
      <c r="B3210" s="3129"/>
      <c r="C3210" s="3129"/>
      <c r="D3210" s="3129"/>
      <c r="E3210" s="3129"/>
      <c r="F3210" s="3129"/>
      <c r="G3210" s="3129"/>
    </row>
    <row r="3211" spans="1:7" x14ac:dyDescent="0.2">
      <c r="A3211" s="3129"/>
      <c r="B3211" s="3129"/>
      <c r="C3211" s="3129"/>
      <c r="D3211" s="3129"/>
      <c r="E3211" s="3129"/>
      <c r="F3211" s="3129"/>
      <c r="G3211" s="3129"/>
    </row>
    <row r="3212" spans="1:7" x14ac:dyDescent="0.2">
      <c r="A3212" s="3129"/>
      <c r="B3212" s="3129"/>
      <c r="C3212" s="3129"/>
      <c r="D3212" s="3129"/>
      <c r="E3212" s="3129"/>
      <c r="F3212" s="3129"/>
      <c r="G3212" s="3129"/>
    </row>
    <row r="3213" spans="1:7" x14ac:dyDescent="0.2">
      <c r="A3213" s="3129"/>
      <c r="B3213" s="3129"/>
      <c r="C3213" s="3129"/>
      <c r="D3213" s="3129"/>
      <c r="E3213" s="3129"/>
      <c r="F3213" s="3129"/>
      <c r="G3213" s="3129"/>
    </row>
    <row r="3214" spans="1:7" x14ac:dyDescent="0.2">
      <c r="A3214" s="3129"/>
      <c r="B3214" s="3129"/>
      <c r="C3214" s="3129"/>
      <c r="D3214" s="3129"/>
      <c r="E3214" s="3129"/>
      <c r="F3214" s="3129"/>
      <c r="G3214" s="3129"/>
    </row>
    <row r="3215" spans="1:7" x14ac:dyDescent="0.2">
      <c r="A3215" s="3129"/>
      <c r="B3215" s="3129"/>
      <c r="C3215" s="3129"/>
      <c r="D3215" s="3129"/>
      <c r="E3215" s="3129"/>
      <c r="F3215" s="3129"/>
      <c r="G3215" s="3129"/>
    </row>
    <row r="3216" spans="1:7" x14ac:dyDescent="0.2">
      <c r="A3216" s="3129"/>
      <c r="B3216" s="3129"/>
      <c r="C3216" s="3129"/>
      <c r="D3216" s="3129"/>
      <c r="E3216" s="3129"/>
      <c r="F3216" s="3129"/>
      <c r="G3216" s="3129"/>
    </row>
    <row r="3217" spans="1:7" x14ac:dyDescent="0.2">
      <c r="A3217" s="3129"/>
      <c r="B3217" s="3129"/>
      <c r="C3217" s="3129"/>
      <c r="D3217" s="3129"/>
      <c r="E3217" s="3129"/>
      <c r="F3217" s="3129"/>
      <c r="G3217" s="3129"/>
    </row>
    <row r="3218" spans="1:7" x14ac:dyDescent="0.2">
      <c r="A3218" s="3129"/>
      <c r="B3218" s="3129"/>
      <c r="C3218" s="3129"/>
      <c r="D3218" s="3129"/>
      <c r="E3218" s="3129"/>
      <c r="F3218" s="3129"/>
      <c r="G3218" s="3129"/>
    </row>
    <row r="3219" spans="1:7" x14ac:dyDescent="0.2">
      <c r="A3219" s="3129"/>
      <c r="B3219" s="3129"/>
      <c r="C3219" s="3129"/>
      <c r="D3219" s="3129"/>
      <c r="E3219" s="3129"/>
      <c r="F3219" s="3129"/>
      <c r="G3219" s="3129"/>
    </row>
    <row r="3220" spans="1:7" x14ac:dyDescent="0.2">
      <c r="A3220" s="3129"/>
      <c r="B3220" s="3129"/>
      <c r="C3220" s="3129"/>
      <c r="D3220" s="3129"/>
      <c r="E3220" s="3129"/>
      <c r="F3220" s="3129"/>
      <c r="G3220" s="3129"/>
    </row>
    <row r="3221" spans="1:7" x14ac:dyDescent="0.2">
      <c r="A3221" s="3129"/>
      <c r="B3221" s="3129"/>
      <c r="C3221" s="3129"/>
      <c r="D3221" s="3129"/>
      <c r="E3221" s="3129"/>
      <c r="F3221" s="3129"/>
      <c r="G3221" s="3129"/>
    </row>
    <row r="3222" spans="1:7" x14ac:dyDescent="0.2">
      <c r="A3222" s="3129"/>
      <c r="B3222" s="3129"/>
      <c r="C3222" s="3129"/>
      <c r="D3222" s="3129"/>
      <c r="E3222" s="3129"/>
      <c r="F3222" s="3129"/>
      <c r="G3222" s="3129"/>
    </row>
    <row r="3223" spans="1:7" x14ac:dyDescent="0.2">
      <c r="A3223" s="3129"/>
      <c r="B3223" s="3129"/>
      <c r="C3223" s="3129"/>
      <c r="D3223" s="3129"/>
      <c r="E3223" s="3129"/>
      <c r="F3223" s="3129"/>
      <c r="G3223" s="3129"/>
    </row>
    <row r="3224" spans="1:7" x14ac:dyDescent="0.2">
      <c r="A3224" s="3129"/>
      <c r="B3224" s="3129"/>
      <c r="C3224" s="3129"/>
      <c r="D3224" s="3129"/>
      <c r="E3224" s="3129"/>
      <c r="F3224" s="3129"/>
      <c r="G3224" s="3129"/>
    </row>
    <row r="3225" spans="1:7" x14ac:dyDescent="0.2">
      <c r="A3225" s="3129"/>
      <c r="B3225" s="3129"/>
      <c r="C3225" s="3129"/>
      <c r="D3225" s="3129"/>
      <c r="E3225" s="3129"/>
      <c r="F3225" s="3129"/>
      <c r="G3225" s="3129"/>
    </row>
    <row r="3226" spans="1:7" x14ac:dyDescent="0.2">
      <c r="A3226" s="3129"/>
      <c r="B3226" s="3129"/>
      <c r="C3226" s="3129"/>
      <c r="D3226" s="3129"/>
      <c r="E3226" s="3129"/>
      <c r="F3226" s="3129"/>
      <c r="G3226" s="3129"/>
    </row>
    <row r="3227" spans="1:7" x14ac:dyDescent="0.2">
      <c r="A3227" s="3129"/>
      <c r="B3227" s="3129"/>
      <c r="C3227" s="3129"/>
      <c r="D3227" s="3129"/>
      <c r="E3227" s="3129"/>
      <c r="F3227" s="3129"/>
      <c r="G3227" s="3129"/>
    </row>
  </sheetData>
  <mergeCells count="231">
    <mergeCell ref="A2901:I2901"/>
    <mergeCell ref="A2903:I2903"/>
    <mergeCell ref="H2904:I2904"/>
    <mergeCell ref="H2905:I2905"/>
    <mergeCell ref="A2892:B2892"/>
    <mergeCell ref="A2893:B2893"/>
    <mergeCell ref="A2894:B2894"/>
    <mergeCell ref="A2895:B2895"/>
    <mergeCell ref="A2896:B2896"/>
    <mergeCell ref="A2897:B2897"/>
    <mergeCell ref="A2886:B2886"/>
    <mergeCell ref="A2887:B2887"/>
    <mergeCell ref="A2888:B2888"/>
    <mergeCell ref="A2889:B2889"/>
    <mergeCell ref="A2890:B2890"/>
    <mergeCell ref="A2891:B2891"/>
    <mergeCell ref="A2880:B2880"/>
    <mergeCell ref="A2881:B2881"/>
    <mergeCell ref="A2882:B2882"/>
    <mergeCell ref="A2883:B2883"/>
    <mergeCell ref="A2884:B2884"/>
    <mergeCell ref="A2885:B2885"/>
    <mergeCell ref="J2871:K2871"/>
    <mergeCell ref="L2871:M2871"/>
    <mergeCell ref="J2872:K2872"/>
    <mergeCell ref="L2872:M2872"/>
    <mergeCell ref="A2877:B2878"/>
    <mergeCell ref="A2879:B2879"/>
    <mergeCell ref="A2869:C2869"/>
    <mergeCell ref="F2869:G2869"/>
    <mergeCell ref="J2869:K2869"/>
    <mergeCell ref="L2869:M2869"/>
    <mergeCell ref="J2870:K2870"/>
    <mergeCell ref="L2870:M2870"/>
    <mergeCell ref="J2866:K2866"/>
    <mergeCell ref="L2866:M2866"/>
    <mergeCell ref="A2867:C2867"/>
    <mergeCell ref="J2867:K2867"/>
    <mergeCell ref="L2867:M2867"/>
    <mergeCell ref="A2868:C2868"/>
    <mergeCell ref="F2868:G2868"/>
    <mergeCell ref="J2868:K2868"/>
    <mergeCell ref="L2868:M2868"/>
    <mergeCell ref="K2858:L2858"/>
    <mergeCell ref="K2859:L2859"/>
    <mergeCell ref="K2860:L2860"/>
    <mergeCell ref="K2861:L2861"/>
    <mergeCell ref="O2864:Q2864"/>
    <mergeCell ref="J2865:K2865"/>
    <mergeCell ref="L2865:M2865"/>
    <mergeCell ref="A2854:D2854"/>
    <mergeCell ref="F2854:I2854"/>
    <mergeCell ref="K2854:O2854"/>
    <mergeCell ref="K2855:L2856"/>
    <mergeCell ref="M2855:N2855"/>
    <mergeCell ref="K2857:L2857"/>
    <mergeCell ref="A2827:F2827"/>
    <mergeCell ref="G2827:L2827"/>
    <mergeCell ref="A2846:E2846"/>
    <mergeCell ref="A2847:A2849"/>
    <mergeCell ref="B2847:E2847"/>
    <mergeCell ref="B2848:C2848"/>
    <mergeCell ref="D2848:E2848"/>
    <mergeCell ref="A2811:F2811"/>
    <mergeCell ref="G2811:L2811"/>
    <mergeCell ref="A2825:A2826"/>
    <mergeCell ref="B2825:E2825"/>
    <mergeCell ref="G2825:G2826"/>
    <mergeCell ref="H2825:K2825"/>
    <mergeCell ref="A2804:F2804"/>
    <mergeCell ref="A2805:E2805"/>
    <mergeCell ref="A2806:E2806"/>
    <mergeCell ref="A2808:L2808"/>
    <mergeCell ref="A2809:A2810"/>
    <mergeCell ref="B2809:E2809"/>
    <mergeCell ref="G2809:G2810"/>
    <mergeCell ref="H2809:K2809"/>
    <mergeCell ref="Q2784:U2784"/>
    <mergeCell ref="D2795:E2795"/>
    <mergeCell ref="G2796:H2796"/>
    <mergeCell ref="J2796:K2796"/>
    <mergeCell ref="A2802:G2802"/>
    <mergeCell ref="A2803:D2803"/>
    <mergeCell ref="E2803:G2803"/>
    <mergeCell ref="I2721:J2721"/>
    <mergeCell ref="I2775:M2775"/>
    <mergeCell ref="H2776:H2777"/>
    <mergeCell ref="I2776:I2777"/>
    <mergeCell ref="A2777:F2777"/>
    <mergeCell ref="A2778:A2779"/>
    <mergeCell ref="B2778:B2779"/>
    <mergeCell ref="C2778:E2778"/>
    <mergeCell ref="B2711:C2711"/>
    <mergeCell ref="B2712:C2712"/>
    <mergeCell ref="B2713:C2713"/>
    <mergeCell ref="B2717:J2717"/>
    <mergeCell ref="B2719:J2719"/>
    <mergeCell ref="I2720:J2720"/>
    <mergeCell ref="B2707:C2707"/>
    <mergeCell ref="H2707:L2707"/>
    <mergeCell ref="B2708:C2708"/>
    <mergeCell ref="H2708:H2710"/>
    <mergeCell ref="I2708:L2708"/>
    <mergeCell ref="B2709:C2709"/>
    <mergeCell ref="I2709:J2709"/>
    <mergeCell ref="K2709:L2709"/>
    <mergeCell ref="B2710:C2710"/>
    <mergeCell ref="B2701:C2701"/>
    <mergeCell ref="B2702:C2702"/>
    <mergeCell ref="B2703:C2703"/>
    <mergeCell ref="B2704:C2704"/>
    <mergeCell ref="B2705:C2705"/>
    <mergeCell ref="B2706:C2706"/>
    <mergeCell ref="B2695:C2695"/>
    <mergeCell ref="B2696:C2696"/>
    <mergeCell ref="B2697:C2697"/>
    <mergeCell ref="B2698:C2698"/>
    <mergeCell ref="B2699:C2699"/>
    <mergeCell ref="B2700:C2700"/>
    <mergeCell ref="K2688:L2688"/>
    <mergeCell ref="M2688:N2688"/>
    <mergeCell ref="T2688:U2688"/>
    <mergeCell ref="B2693:C2694"/>
    <mergeCell ref="H2693:K2693"/>
    <mergeCell ref="M2693:P2693"/>
    <mergeCell ref="K2686:L2686"/>
    <mergeCell ref="M2686:N2686"/>
    <mergeCell ref="T2686:U2686"/>
    <mergeCell ref="K2687:L2687"/>
    <mergeCell ref="M2687:N2687"/>
    <mergeCell ref="T2687:U2687"/>
    <mergeCell ref="G2684:H2684"/>
    <mergeCell ref="K2684:L2684"/>
    <mergeCell ref="M2684:N2684"/>
    <mergeCell ref="T2684:U2684"/>
    <mergeCell ref="G2685:H2685"/>
    <mergeCell ref="K2685:L2685"/>
    <mergeCell ref="M2685:N2685"/>
    <mergeCell ref="T2685:U2685"/>
    <mergeCell ref="P2680:R2680"/>
    <mergeCell ref="M2681:N2681"/>
    <mergeCell ref="T2681:X2681"/>
    <mergeCell ref="K2682:L2682"/>
    <mergeCell ref="M2682:N2682"/>
    <mergeCell ref="T2682:U2683"/>
    <mergeCell ref="V2682:W2682"/>
    <mergeCell ref="K2683:L2683"/>
    <mergeCell ref="M2683:N2683"/>
    <mergeCell ref="B2661:B2662"/>
    <mergeCell ref="C2661:F2661"/>
    <mergeCell ref="H2661:H2662"/>
    <mergeCell ref="I2661:L2661"/>
    <mergeCell ref="B2663:G2663"/>
    <mergeCell ref="H2663:M2663"/>
    <mergeCell ref="B2644:M2644"/>
    <mergeCell ref="B2645:B2646"/>
    <mergeCell ref="H2645:H2646"/>
    <mergeCell ref="O2645:R2645"/>
    <mergeCell ref="B2647:G2647"/>
    <mergeCell ref="H2647:M2647"/>
    <mergeCell ref="B2619:B2620"/>
    <mergeCell ref="C2619:C2620"/>
    <mergeCell ref="D2619:F2619"/>
    <mergeCell ref="I2619:I2620"/>
    <mergeCell ref="J2619:J2620"/>
    <mergeCell ref="O2640:S2640"/>
    <mergeCell ref="B2490:G2490"/>
    <mergeCell ref="B2491:F2491"/>
    <mergeCell ref="B2492:F2492"/>
    <mergeCell ref="B2495:M2495"/>
    <mergeCell ref="A2599:B2599"/>
    <mergeCell ref="B2618:G2618"/>
    <mergeCell ref="J2618:N2618"/>
    <mergeCell ref="R2468:V2468"/>
    <mergeCell ref="E2482:F2482"/>
    <mergeCell ref="H2483:I2483"/>
    <mergeCell ref="K2483:L2483"/>
    <mergeCell ref="B2488:H2488"/>
    <mergeCell ref="B2489:E2489"/>
    <mergeCell ref="F2489:H2489"/>
    <mergeCell ref="L2423:O2423"/>
    <mergeCell ref="R2424:U2424"/>
    <mergeCell ref="A2438:D2438"/>
    <mergeCell ref="B2463:G2463"/>
    <mergeCell ref="J2463:N2463"/>
    <mergeCell ref="B2464:B2465"/>
    <mergeCell ref="C2464:C2465"/>
    <mergeCell ref="D2464:F2464"/>
    <mergeCell ref="I2464:I2465"/>
    <mergeCell ref="J2464:J2465"/>
    <mergeCell ref="A2351:P2351"/>
    <mergeCell ref="A2365:P2365"/>
    <mergeCell ref="A2367:P2367"/>
    <mergeCell ref="A2368:P2368"/>
    <mergeCell ref="A2380:P2380"/>
    <mergeCell ref="A2392:P2392"/>
    <mergeCell ref="A1385:G1385"/>
    <mergeCell ref="Z1430:AD1430"/>
    <mergeCell ref="B2321:P2321"/>
    <mergeCell ref="A2323:P2324"/>
    <mergeCell ref="A2325:P2325"/>
    <mergeCell ref="A2338:P2338"/>
    <mergeCell ref="A673:G673"/>
    <mergeCell ref="A731:G732"/>
    <mergeCell ref="Z773:AD773"/>
    <mergeCell ref="A430:G430"/>
    <mergeCell ref="A469:G469"/>
    <mergeCell ref="A550:G550"/>
    <mergeCell ref="A604:G604"/>
    <mergeCell ref="A605:G605"/>
    <mergeCell ref="A612:G612"/>
    <mergeCell ref="A349:G349"/>
    <mergeCell ref="A373:G373"/>
    <mergeCell ref="A374:G374"/>
    <mergeCell ref="A397:G397"/>
    <mergeCell ref="A418:G418"/>
    <mergeCell ref="A419:G419"/>
    <mergeCell ref="A629:G629"/>
    <mergeCell ref="A640:G640"/>
    <mergeCell ref="A645:G645"/>
    <mergeCell ref="A45:H45"/>
    <mergeCell ref="A47:H47"/>
    <mergeCell ref="A36:H36"/>
    <mergeCell ref="A37:H37"/>
    <mergeCell ref="A38:H38"/>
    <mergeCell ref="A39:H39"/>
    <mergeCell ref="A40:H40"/>
    <mergeCell ref="A41:H41"/>
    <mergeCell ref="A42:H42"/>
    <mergeCell ref="A43:H43"/>
    <mergeCell ref="A44:H44"/>
  </mergeCells>
  <hyperlinks>
    <hyperlink ref="A96" location="kursovoy!A70" display="Расчет окончен. Переходите к составлению отчета"/>
    <hyperlink ref="A95" location="kursovoy!A1482" display="Переходите для продолжения вычислений"/>
  </hyperlinks>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269"/>
  <sheetViews>
    <sheetView topLeftCell="A874" zoomScale="130" zoomScaleNormal="130" zoomScaleSheetLayoutView="100" workbookViewId="0">
      <pane xSplit="17700" topLeftCell="R1"/>
      <selection activeCell="H709" sqref="H709:H713"/>
      <selection pane="topRight" activeCell="S76" sqref="S76"/>
    </sheetView>
  </sheetViews>
  <sheetFormatPr defaultRowHeight="12.75" x14ac:dyDescent="0.2"/>
  <cols>
    <col min="1" max="1" width="44.42578125" customWidth="1"/>
    <col min="2" max="2" width="11.85546875" customWidth="1"/>
    <col min="4" max="4" width="9.7109375" customWidth="1"/>
    <col min="6" max="6" width="10.5703125" customWidth="1"/>
    <col min="7" max="7" width="10.7109375" customWidth="1"/>
    <col min="8" max="8" width="12.140625" customWidth="1"/>
    <col min="9" max="9" width="8.28515625" customWidth="1"/>
    <col min="10" max="10" width="9.5703125" customWidth="1"/>
    <col min="11" max="11" width="8.28515625" customWidth="1"/>
    <col min="12" max="12" width="9.28515625" customWidth="1"/>
    <col min="14" max="14" width="10.28515625" bestFit="1" customWidth="1"/>
    <col min="15" max="15" width="12.28515625" customWidth="1"/>
    <col min="16" max="16" width="10.42578125" customWidth="1"/>
    <col min="17" max="17" width="10.28515625" bestFit="1" customWidth="1"/>
    <col min="19" max="19" width="10.140625" bestFit="1" customWidth="1"/>
    <col min="20" max="21" width="10.140625" customWidth="1"/>
    <col min="22" max="22" width="13.5703125" customWidth="1"/>
    <col min="23" max="23" width="9.140625" hidden="1" customWidth="1"/>
  </cols>
  <sheetData>
    <row r="1" spans="1:8" ht="20.25" x14ac:dyDescent="0.3">
      <c r="A1" s="2450"/>
      <c r="B1" s="2451" t="s">
        <v>4161</v>
      </c>
      <c r="C1" s="2"/>
      <c r="D1" s="2"/>
      <c r="E1" s="2"/>
      <c r="F1" s="2"/>
      <c r="G1" s="2"/>
      <c r="H1" s="3"/>
    </row>
    <row r="2" spans="1:8" ht="19.5" x14ac:dyDescent="0.35">
      <c r="A2" s="4"/>
      <c r="B2" s="1306" t="s">
        <v>268</v>
      </c>
      <c r="C2" s="1"/>
      <c r="D2" s="1"/>
      <c r="E2" s="1"/>
      <c r="F2" s="1"/>
      <c r="G2" s="1"/>
      <c r="H2" s="253"/>
    </row>
    <row r="3" spans="1:8" ht="15.75" x14ac:dyDescent="0.25">
      <c r="A3" s="476" t="s">
        <v>4162</v>
      </c>
      <c r="B3" s="1"/>
      <c r="C3" s="1"/>
      <c r="D3" s="1"/>
      <c r="E3" s="1"/>
      <c r="F3" s="1"/>
      <c r="G3" s="1"/>
      <c r="H3" s="253"/>
    </row>
    <row r="4" spans="1:8" ht="15.75" x14ac:dyDescent="0.25">
      <c r="A4" s="476" t="s">
        <v>4163</v>
      </c>
      <c r="B4" s="357"/>
      <c r="C4" s="1"/>
      <c r="D4" s="1"/>
      <c r="E4" s="1"/>
      <c r="F4" s="1"/>
      <c r="G4" s="1"/>
      <c r="H4" s="253"/>
    </row>
    <row r="5" spans="1:8" ht="15.75" x14ac:dyDescent="0.25">
      <c r="A5" s="476" t="s">
        <v>4164</v>
      </c>
      <c r="B5" s="1"/>
      <c r="C5" s="1"/>
      <c r="D5" s="1"/>
      <c r="E5" s="1"/>
      <c r="F5" s="1"/>
      <c r="G5" s="1"/>
      <c r="H5" s="253"/>
    </row>
    <row r="6" spans="1:8" ht="15.75" x14ac:dyDescent="0.25">
      <c r="A6" s="476" t="s">
        <v>4165</v>
      </c>
      <c r="B6" s="1"/>
      <c r="C6" s="1"/>
      <c r="D6" s="1"/>
      <c r="E6" s="1"/>
      <c r="F6" s="1"/>
      <c r="G6" s="1"/>
      <c r="H6" s="253"/>
    </row>
    <row r="7" spans="1:8" ht="15.75" x14ac:dyDescent="0.25">
      <c r="A7" s="476" t="s">
        <v>4166</v>
      </c>
      <c r="B7" s="1"/>
      <c r="C7" s="1"/>
      <c r="D7" s="1"/>
      <c r="E7" s="1"/>
      <c r="F7" s="1"/>
      <c r="G7" s="1"/>
      <c r="H7" s="253"/>
    </row>
    <row r="8" spans="1:8" ht="15.75" x14ac:dyDescent="0.25">
      <c r="A8" s="476" t="s">
        <v>4167</v>
      </c>
      <c r="B8" s="1"/>
      <c r="C8" s="1"/>
      <c r="D8" s="1"/>
      <c r="E8" s="1"/>
      <c r="F8" s="1"/>
      <c r="G8" s="1"/>
      <c r="H8" s="253"/>
    </row>
    <row r="9" spans="1:8" ht="15.75" x14ac:dyDescent="0.25">
      <c r="A9" s="474" t="s">
        <v>4168</v>
      </c>
      <c r="B9" s="1"/>
      <c r="C9" s="1"/>
      <c r="D9" s="1"/>
      <c r="E9" s="1"/>
      <c r="F9" s="1"/>
      <c r="G9" s="1"/>
      <c r="H9" s="253"/>
    </row>
    <row r="10" spans="1:8" ht="15.75" x14ac:dyDescent="0.25">
      <c r="A10" s="474" t="s">
        <v>1070</v>
      </c>
      <c r="B10" s="1"/>
      <c r="C10" s="1"/>
      <c r="D10" s="1"/>
      <c r="E10" s="1"/>
      <c r="F10" s="1"/>
      <c r="G10" s="1"/>
      <c r="H10" s="253"/>
    </row>
    <row r="11" spans="1:8" ht="15.75" x14ac:dyDescent="0.25">
      <c r="A11" s="2452" t="s">
        <v>4091</v>
      </c>
      <c r="B11" s="1"/>
      <c r="C11" s="1"/>
      <c r="D11" s="1"/>
      <c r="E11" s="1"/>
      <c r="F11" s="1"/>
      <c r="G11" s="1"/>
      <c r="H11" s="253"/>
    </row>
    <row r="12" spans="1:8" ht="15.75" x14ac:dyDescent="0.25">
      <c r="A12" s="476" t="s">
        <v>1071</v>
      </c>
      <c r="B12" s="1"/>
      <c r="C12" s="1"/>
      <c r="D12" s="1"/>
      <c r="E12" s="1"/>
      <c r="F12" s="1"/>
      <c r="G12" s="1"/>
      <c r="H12" s="253"/>
    </row>
    <row r="13" spans="1:8" ht="15.75" x14ac:dyDescent="0.25">
      <c r="A13" s="476" t="s">
        <v>1072</v>
      </c>
      <c r="B13" s="1"/>
      <c r="C13" s="1"/>
      <c r="D13" s="1"/>
      <c r="E13" s="1"/>
      <c r="F13" s="1"/>
      <c r="G13" s="1"/>
      <c r="H13" s="253"/>
    </row>
    <row r="14" spans="1:8" ht="15.75" x14ac:dyDescent="0.25">
      <c r="A14" s="476" t="s">
        <v>1073</v>
      </c>
      <c r="B14" s="1"/>
      <c r="C14" s="1"/>
      <c r="D14" s="1"/>
      <c r="E14" s="1"/>
      <c r="F14" s="1"/>
      <c r="G14" s="1"/>
      <c r="H14" s="253"/>
    </row>
    <row r="15" spans="1:8" ht="15.75" x14ac:dyDescent="0.25">
      <c r="A15" s="476" t="s">
        <v>1074</v>
      </c>
      <c r="B15" s="357"/>
      <c r="C15" s="357"/>
      <c r="D15" s="357"/>
      <c r="E15" s="357"/>
      <c r="F15" s="357"/>
      <c r="G15" s="357"/>
      <c r="H15" s="2453"/>
    </row>
    <row r="16" spans="1:8" ht="15.75" x14ac:dyDescent="0.25">
      <c r="A16" s="2454" t="s">
        <v>1075</v>
      </c>
      <c r="B16" s="357"/>
      <c r="C16" s="357"/>
      <c r="D16" s="357"/>
      <c r="E16" s="357"/>
      <c r="F16" s="357"/>
      <c r="G16" s="357"/>
      <c r="H16" s="2453"/>
    </row>
    <row r="17" spans="1:12" ht="15.75" x14ac:dyDescent="0.25">
      <c r="A17" s="2454" t="s">
        <v>6568</v>
      </c>
      <c r="B17" s="357"/>
      <c r="C17" s="357"/>
      <c r="D17" s="357"/>
      <c r="E17" s="357"/>
      <c r="F17" s="357"/>
      <c r="G17" s="357"/>
      <c r="H17" s="2453"/>
    </row>
    <row r="18" spans="1:12" ht="15.75" x14ac:dyDescent="0.25">
      <c r="A18" s="2455" t="s">
        <v>3305</v>
      </c>
      <c r="B18" s="2456"/>
      <c r="C18" s="2456"/>
      <c r="D18" s="667"/>
      <c r="E18" s="667"/>
      <c r="F18" s="667"/>
      <c r="G18" s="667"/>
      <c r="H18" s="2457"/>
    </row>
    <row r="19" spans="1:12" ht="15.75" x14ac:dyDescent="0.25">
      <c r="A19" s="2455" t="s">
        <v>5592</v>
      </c>
      <c r="B19" s="2456"/>
      <c r="C19" s="2456"/>
      <c r="D19" s="667"/>
      <c r="E19" s="667"/>
      <c r="F19" s="667"/>
      <c r="G19" s="667"/>
      <c r="H19" s="2457"/>
    </row>
    <row r="20" spans="1:12" ht="15.75" x14ac:dyDescent="0.25">
      <c r="A20" s="2455" t="s">
        <v>3576</v>
      </c>
      <c r="B20" s="2456"/>
      <c r="C20" s="2456"/>
      <c r="D20" s="667"/>
      <c r="E20" s="667"/>
      <c r="F20" s="667"/>
      <c r="G20" s="667"/>
      <c r="H20" s="2457"/>
    </row>
    <row r="21" spans="1:12" ht="15.75" x14ac:dyDescent="0.25">
      <c r="A21" s="2455" t="s">
        <v>3155</v>
      </c>
      <c r="B21" s="2456"/>
      <c r="C21" s="2456"/>
      <c r="D21" s="667"/>
      <c r="E21" s="667"/>
      <c r="F21" s="667"/>
      <c r="G21" s="667"/>
      <c r="H21" s="2457"/>
    </row>
    <row r="22" spans="1:12" ht="16.5" thickBot="1" x14ac:dyDescent="0.3">
      <c r="A22" s="2458" t="s">
        <v>3156</v>
      </c>
      <c r="B22" s="2459"/>
      <c r="C22" s="2459"/>
      <c r="D22" s="2460"/>
      <c r="E22" s="2460"/>
      <c r="F22" s="2460"/>
      <c r="G22" s="2460"/>
      <c r="H22" s="2461"/>
    </row>
    <row r="23" spans="1:12" ht="15.75" x14ac:dyDescent="0.25">
      <c r="A23" s="2449"/>
      <c r="B23" s="1029"/>
      <c r="C23" s="1029"/>
      <c r="D23" s="459"/>
      <c r="E23" s="459"/>
      <c r="F23" s="459"/>
      <c r="G23" s="459"/>
      <c r="H23" s="222"/>
    </row>
    <row r="24" spans="1:12" ht="33" customHeight="1" x14ac:dyDescent="0.25">
      <c r="A24" s="4410" t="s">
        <v>2405</v>
      </c>
      <c r="B24" s="4411"/>
      <c r="C24" s="4411"/>
      <c r="D24" s="4411"/>
      <c r="E24" s="4411"/>
      <c r="F24" s="4411"/>
      <c r="G24" s="4411"/>
      <c r="H24" s="4412"/>
      <c r="I24" s="865"/>
    </row>
    <row r="25" spans="1:12" ht="19.5" x14ac:dyDescent="0.35">
      <c r="A25" s="829"/>
      <c r="B25" s="1178" t="s">
        <v>3762</v>
      </c>
      <c r="C25" s="29"/>
      <c r="D25" s="201"/>
      <c r="E25" s="1181" t="str">
        <f>IF(I24=2,ROW(404:404),"")</f>
        <v/>
      </c>
      <c r="F25" s="894" t="str">
        <f>IF(I24=1,ROW(28:28),"")</f>
        <v/>
      </c>
      <c r="G25" s="201"/>
    </row>
    <row r="26" spans="1:12" ht="15.75" x14ac:dyDescent="0.25">
      <c r="A26" s="829"/>
      <c r="B26" s="29"/>
      <c r="C26" s="29"/>
      <c r="D26" s="201"/>
      <c r="E26" s="201"/>
      <c r="F26" s="201"/>
      <c r="G26" s="201"/>
      <c r="H26" s="8"/>
    </row>
    <row r="27" spans="1:12" ht="15.75" x14ac:dyDescent="0.25">
      <c r="A27" s="829"/>
      <c r="B27" s="29"/>
      <c r="C27" s="29"/>
      <c r="D27" s="201"/>
      <c r="E27" s="201"/>
      <c r="F27" s="201"/>
      <c r="G27" s="201"/>
      <c r="H27" s="8"/>
    </row>
    <row r="28" spans="1:12" ht="15.75" x14ac:dyDescent="0.25">
      <c r="A28" s="1025" t="s">
        <v>2009</v>
      </c>
      <c r="B28" s="206"/>
      <c r="C28" s="206"/>
      <c r="D28" s="1026"/>
      <c r="E28" s="1026"/>
      <c r="F28" s="1026"/>
      <c r="G28" s="1026"/>
      <c r="H28" s="242"/>
      <c r="I28" s="242"/>
      <c r="J28" s="242"/>
      <c r="K28" s="242"/>
      <c r="L28" s="242"/>
    </row>
    <row r="29" spans="1:12" ht="15.75" x14ac:dyDescent="0.25">
      <c r="A29" s="829"/>
      <c r="B29" s="29"/>
      <c r="C29" s="29"/>
      <c r="D29" s="201"/>
      <c r="E29" s="201"/>
      <c r="F29" s="201"/>
      <c r="G29" s="201"/>
      <c r="H29" s="8"/>
    </row>
    <row r="30" spans="1:12" ht="18" x14ac:dyDescent="0.25">
      <c r="A30" s="4286" t="s">
        <v>6853</v>
      </c>
      <c r="B30" s="14"/>
      <c r="C30" s="14"/>
      <c r="D30" s="361"/>
      <c r="E30" s="361"/>
      <c r="F30" s="361"/>
      <c r="G30" s="361"/>
      <c r="H30" s="239"/>
      <c r="I30" s="8"/>
      <c r="J30" s="8"/>
      <c r="K30" s="8"/>
    </row>
    <row r="31" spans="1:12" ht="18" x14ac:dyDescent="0.25">
      <c r="A31" s="4287" t="s">
        <v>6855</v>
      </c>
      <c r="B31" s="1"/>
      <c r="C31" s="1"/>
      <c r="D31" s="1"/>
      <c r="E31" s="1"/>
      <c r="F31" s="1"/>
      <c r="G31" s="1"/>
      <c r="H31" s="1"/>
    </row>
    <row r="32" spans="1:12" x14ac:dyDescent="0.2">
      <c r="A32" s="357" t="s">
        <v>668</v>
      </c>
      <c r="B32" s="1"/>
      <c r="C32" s="1"/>
      <c r="D32" s="1"/>
      <c r="E32" s="1"/>
      <c r="F32" s="1"/>
      <c r="G32" s="1"/>
      <c r="H32" s="1"/>
    </row>
    <row r="33" spans="1:8" x14ac:dyDescent="0.2">
      <c r="A33" s="465"/>
      <c r="B33" s="1"/>
      <c r="C33" s="1"/>
      <c r="D33" s="1"/>
      <c r="E33" s="1"/>
      <c r="F33" s="1"/>
      <c r="G33" s="1"/>
      <c r="H33" s="1"/>
    </row>
    <row r="34" spans="1:8" x14ac:dyDescent="0.2">
      <c r="A34" s="465" t="s">
        <v>3463</v>
      </c>
      <c r="B34" s="1"/>
      <c r="C34" s="1"/>
      <c r="D34" s="1"/>
      <c r="E34" s="1"/>
      <c r="F34" s="1"/>
      <c r="G34" s="1"/>
      <c r="H34" s="1"/>
    </row>
    <row r="35" spans="1:8" x14ac:dyDescent="0.2">
      <c r="A35" s="1" t="s">
        <v>3464</v>
      </c>
      <c r="C35" s="1"/>
      <c r="D35" s="1"/>
      <c r="E35" s="1"/>
      <c r="F35" s="1"/>
      <c r="G35" s="1"/>
      <c r="H35" s="1"/>
    </row>
    <row r="36" spans="1:8" x14ac:dyDescent="0.2">
      <c r="A36" s="465" t="s">
        <v>3465</v>
      </c>
      <c r="B36" s="1"/>
      <c r="C36" s="1"/>
      <c r="D36" s="1"/>
      <c r="E36" s="1"/>
      <c r="F36" s="1"/>
      <c r="G36" s="1"/>
      <c r="H36" s="1"/>
    </row>
    <row r="37" spans="1:8" x14ac:dyDescent="0.2">
      <c r="A37" s="1" t="s">
        <v>669</v>
      </c>
      <c r="C37" s="1"/>
      <c r="D37" s="1"/>
      <c r="E37" s="1"/>
      <c r="F37" s="1"/>
      <c r="G37" s="1"/>
      <c r="H37" s="1"/>
    </row>
    <row r="38" spans="1:8" x14ac:dyDescent="0.2">
      <c r="A38" s="465" t="s">
        <v>4923</v>
      </c>
      <c r="B38" s="1"/>
      <c r="C38" s="1"/>
      <c r="D38" s="1"/>
      <c r="E38" s="1"/>
      <c r="F38" s="1"/>
      <c r="G38" s="1"/>
      <c r="H38" s="1"/>
    </row>
    <row r="39" spans="1:8" x14ac:dyDescent="0.2">
      <c r="A39" s="1" t="s">
        <v>4924</v>
      </c>
      <c r="C39" s="1"/>
      <c r="D39" s="1"/>
      <c r="E39" s="1"/>
      <c r="F39" s="1"/>
      <c r="G39" s="1"/>
      <c r="H39" s="1"/>
    </row>
    <row r="40" spans="1:8" x14ac:dyDescent="0.2">
      <c r="A40" s="465" t="s">
        <v>2455</v>
      </c>
      <c r="B40" s="1"/>
      <c r="C40" s="1"/>
      <c r="D40" s="1"/>
      <c r="E40" s="1"/>
      <c r="F40" s="1"/>
      <c r="G40" s="1"/>
      <c r="H40" s="1"/>
    </row>
    <row r="41" spans="1:8" x14ac:dyDescent="0.2">
      <c r="A41" s="1" t="s">
        <v>2456</v>
      </c>
      <c r="C41" s="1"/>
      <c r="D41" s="1"/>
      <c r="E41" s="1"/>
      <c r="F41" s="1"/>
      <c r="G41" s="1"/>
      <c r="H41" s="1"/>
    </row>
    <row r="42" spans="1:8" x14ac:dyDescent="0.2">
      <c r="A42" s="1" t="s">
        <v>2457</v>
      </c>
      <c r="C42" s="1"/>
      <c r="D42" s="1"/>
      <c r="E42" s="1"/>
      <c r="F42" s="1"/>
      <c r="G42" s="1"/>
      <c r="H42" s="1"/>
    </row>
    <row r="43" spans="1:8" x14ac:dyDescent="0.2">
      <c r="A43" s="1" t="s">
        <v>353</v>
      </c>
      <c r="C43" s="1"/>
      <c r="D43" s="1"/>
      <c r="E43" s="1"/>
      <c r="F43" s="1"/>
      <c r="G43" s="1"/>
      <c r="H43" s="1"/>
    </row>
    <row r="44" spans="1:8" x14ac:dyDescent="0.2">
      <c r="A44" s="1"/>
      <c r="C44" s="1"/>
      <c r="D44" s="1"/>
      <c r="E44" s="1"/>
      <c r="F44" s="1"/>
      <c r="G44" s="1"/>
      <c r="H44" s="1"/>
    </row>
    <row r="45" spans="1:8" x14ac:dyDescent="0.2">
      <c r="A45" s="465" t="s">
        <v>670</v>
      </c>
      <c r="B45" s="1"/>
      <c r="C45" s="1"/>
      <c r="D45" s="1"/>
      <c r="E45" s="1"/>
      <c r="F45" s="1"/>
      <c r="G45" s="1"/>
      <c r="H45" s="1"/>
    </row>
    <row r="46" spans="1:8" x14ac:dyDescent="0.2">
      <c r="A46" s="4288" t="s">
        <v>6856</v>
      </c>
      <c r="C46" s="1"/>
      <c r="D46" s="1"/>
      <c r="E46" s="1"/>
      <c r="F46" s="1"/>
      <c r="G46" s="1"/>
      <c r="H46" s="1"/>
    </row>
    <row r="47" spans="1:8" x14ac:dyDescent="0.2">
      <c r="A47" s="465" t="s">
        <v>2581</v>
      </c>
      <c r="B47" s="1"/>
      <c r="C47" s="1"/>
      <c r="D47" s="1"/>
      <c r="E47" s="1"/>
      <c r="F47" s="1"/>
      <c r="G47" s="1"/>
      <c r="H47" s="1"/>
    </row>
    <row r="48" spans="1:8" x14ac:dyDescent="0.2">
      <c r="A48" s="1" t="s">
        <v>2582</v>
      </c>
      <c r="B48" s="1"/>
      <c r="C48" s="1"/>
      <c r="D48" s="1"/>
      <c r="E48" s="1"/>
      <c r="F48" s="1"/>
      <c r="G48" s="1"/>
      <c r="H48" s="1"/>
    </row>
    <row r="49" spans="1:8" x14ac:dyDescent="0.2">
      <c r="A49" s="465" t="s">
        <v>671</v>
      </c>
      <c r="C49" s="1"/>
      <c r="D49" s="1"/>
      <c r="E49" s="1"/>
      <c r="F49" s="1"/>
      <c r="G49" s="1"/>
      <c r="H49" s="1"/>
    </row>
    <row r="50" spans="1:8" x14ac:dyDescent="0.2">
      <c r="A50" s="465" t="s">
        <v>2583</v>
      </c>
      <c r="B50" s="1"/>
      <c r="C50" s="1"/>
      <c r="D50" s="1"/>
      <c r="E50" s="1"/>
      <c r="F50" s="1"/>
      <c r="G50" s="1"/>
      <c r="H50" s="1"/>
    </row>
    <row r="51" spans="1:8" x14ac:dyDescent="0.2">
      <c r="A51" s="1" t="s">
        <v>2584</v>
      </c>
      <c r="C51" s="1"/>
      <c r="D51" s="1"/>
      <c r="E51" s="1"/>
      <c r="F51" s="1"/>
      <c r="G51" s="1"/>
      <c r="H51" s="1"/>
    </row>
    <row r="52" spans="1:8" x14ac:dyDescent="0.2">
      <c r="A52" s="1" t="s">
        <v>1448</v>
      </c>
      <c r="C52" s="1"/>
      <c r="D52" s="1"/>
      <c r="E52" s="1"/>
      <c r="F52" s="1"/>
      <c r="G52" s="1"/>
      <c r="H52" s="1"/>
    </row>
    <row r="53" spans="1:8" x14ac:dyDescent="0.2">
      <c r="A53" s="919" t="s">
        <v>4092</v>
      </c>
      <c r="B53" s="1"/>
      <c r="C53" s="1"/>
      <c r="D53" s="1"/>
      <c r="E53" s="1"/>
      <c r="F53" s="1"/>
      <c r="G53" s="1"/>
      <c r="H53" s="1"/>
    </row>
    <row r="54" spans="1:8" x14ac:dyDescent="0.2">
      <c r="A54" s="465" t="s">
        <v>5268</v>
      </c>
      <c r="B54" s="1"/>
      <c r="C54" s="1"/>
      <c r="D54" s="1"/>
      <c r="E54" s="1"/>
      <c r="F54" s="1"/>
      <c r="G54" s="1"/>
      <c r="H54" s="1"/>
    </row>
    <row r="55" spans="1:8" x14ac:dyDescent="0.2">
      <c r="A55" s="465" t="s">
        <v>5269</v>
      </c>
      <c r="B55" s="1"/>
      <c r="C55" s="1"/>
      <c r="D55" s="1"/>
      <c r="E55" s="1"/>
      <c r="F55" s="1"/>
      <c r="G55" s="1"/>
      <c r="H55" s="1"/>
    </row>
    <row r="56" spans="1:8" x14ac:dyDescent="0.2">
      <c r="A56" s="1" t="s">
        <v>497</v>
      </c>
      <c r="C56" s="1"/>
      <c r="D56" s="1"/>
      <c r="E56" s="1"/>
      <c r="F56" s="1"/>
      <c r="G56" s="1"/>
      <c r="H56" s="1"/>
    </row>
    <row r="57" spans="1:8" x14ac:dyDescent="0.2">
      <c r="A57" s="1" t="s">
        <v>4093</v>
      </c>
      <c r="C57" s="1"/>
      <c r="D57" s="1"/>
      <c r="E57" s="1"/>
      <c r="F57" s="1"/>
      <c r="G57" s="1"/>
      <c r="H57" s="1"/>
    </row>
    <row r="58" spans="1:8" x14ac:dyDescent="0.2">
      <c r="A58" s="465" t="s">
        <v>5270</v>
      </c>
      <c r="B58" s="1"/>
      <c r="C58" s="1"/>
      <c r="D58" s="1"/>
      <c r="E58" s="1"/>
      <c r="F58" s="1"/>
      <c r="G58" s="1"/>
      <c r="H58" s="1"/>
    </row>
    <row r="59" spans="1:8" x14ac:dyDescent="0.2">
      <c r="A59" s="1" t="s">
        <v>4094</v>
      </c>
      <c r="C59" s="1"/>
      <c r="D59" s="1"/>
      <c r="E59" s="1"/>
      <c r="F59" s="1"/>
      <c r="G59" s="1"/>
      <c r="H59" s="1"/>
    </row>
    <row r="60" spans="1:8" x14ac:dyDescent="0.2">
      <c r="A60" s="1" t="s">
        <v>5262</v>
      </c>
      <c r="C60" s="1"/>
      <c r="D60" s="1"/>
      <c r="E60" s="1"/>
      <c r="F60" s="1"/>
      <c r="G60" s="1"/>
      <c r="H60" s="1"/>
    </row>
    <row r="61" spans="1:8" x14ac:dyDescent="0.2">
      <c r="A61" s="1" t="s">
        <v>5263</v>
      </c>
      <c r="C61" s="1"/>
      <c r="D61" s="1"/>
      <c r="E61" s="1"/>
      <c r="F61" s="1"/>
      <c r="G61" s="1"/>
      <c r="H61" s="1"/>
    </row>
    <row r="62" spans="1:8" x14ac:dyDescent="0.2">
      <c r="A62" s="465" t="s">
        <v>5264</v>
      </c>
      <c r="C62" s="1"/>
      <c r="D62" s="1"/>
      <c r="E62" s="1"/>
      <c r="F62" s="1"/>
      <c r="G62" s="1"/>
      <c r="H62" s="1"/>
    </row>
    <row r="63" spans="1:8" x14ac:dyDescent="0.2">
      <c r="A63" s="919" t="s">
        <v>5265</v>
      </c>
      <c r="C63" s="1"/>
      <c r="D63" s="1"/>
      <c r="E63" s="1"/>
      <c r="F63" s="1"/>
      <c r="G63" s="1"/>
      <c r="H63" s="1"/>
    </row>
    <row r="64" spans="1:8" x14ac:dyDescent="0.2">
      <c r="A64" s="919" t="s">
        <v>5266</v>
      </c>
      <c r="C64" s="1"/>
      <c r="D64" s="1"/>
      <c r="E64" s="1"/>
      <c r="F64" s="1"/>
      <c r="G64" s="1"/>
      <c r="H64" s="1"/>
    </row>
    <row r="65" spans="1:21" ht="15.75" x14ac:dyDescent="0.25">
      <c r="A65" s="465" t="s">
        <v>5271</v>
      </c>
      <c r="C65" s="1"/>
      <c r="D65" s="363"/>
      <c r="E65" s="1"/>
      <c r="F65" s="1"/>
      <c r="G65" s="1"/>
      <c r="H65" s="1"/>
    </row>
    <row r="66" spans="1:21" ht="15.75" x14ac:dyDescent="0.25">
      <c r="A66" s="1" t="s">
        <v>4982</v>
      </c>
      <c r="C66" s="1"/>
      <c r="D66" s="363"/>
      <c r="E66" s="1"/>
      <c r="F66" s="1"/>
      <c r="G66" s="1"/>
      <c r="H66" s="1"/>
    </row>
    <row r="67" spans="1:21" x14ac:dyDescent="0.2">
      <c r="A67" s="357" t="s">
        <v>4983</v>
      </c>
      <c r="B67" s="1"/>
      <c r="C67" s="1"/>
      <c r="D67" s="1"/>
      <c r="E67" s="1"/>
      <c r="F67" s="1"/>
      <c r="G67" s="1"/>
      <c r="H67" s="1"/>
    </row>
    <row r="68" spans="1:21" x14ac:dyDescent="0.2">
      <c r="A68" s="465"/>
      <c r="B68" s="357" t="s">
        <v>5680</v>
      </c>
      <c r="C68" s="1"/>
      <c r="D68" s="1"/>
      <c r="E68" s="1"/>
      <c r="F68" s="1"/>
      <c r="G68" s="1"/>
      <c r="H68" s="1"/>
    </row>
    <row r="69" spans="1:21" x14ac:dyDescent="0.2">
      <c r="A69" s="357" t="s">
        <v>6854</v>
      </c>
      <c r="B69" s="357"/>
      <c r="C69" s="1"/>
      <c r="D69" s="1"/>
      <c r="E69" s="1"/>
      <c r="F69" s="1"/>
      <c r="G69" s="1"/>
      <c r="H69" s="1"/>
    </row>
    <row r="70" spans="1:21" x14ac:dyDescent="0.2">
      <c r="B70" s="214"/>
    </row>
    <row r="71" spans="1:21" x14ac:dyDescent="0.2">
      <c r="A71" s="321" t="s">
        <v>5221</v>
      </c>
      <c r="B71" s="214"/>
    </row>
    <row r="72" spans="1:21" ht="59.25" customHeight="1" x14ac:dyDescent="0.2">
      <c r="A72" s="217" t="s">
        <v>2362</v>
      </c>
      <c r="B72" s="332"/>
      <c r="S72" s="322">
        <f>IF(B72=2,1,0)</f>
        <v>0</v>
      </c>
      <c r="T72" s="322"/>
      <c r="U72" s="322"/>
    </row>
    <row r="73" spans="1:21" ht="63.75" customHeight="1" x14ac:dyDescent="0.2">
      <c r="A73" s="223" t="s">
        <v>354</v>
      </c>
      <c r="B73" s="332"/>
      <c r="C73" s="217"/>
      <c r="D73" s="217"/>
      <c r="E73" s="217"/>
      <c r="F73" s="217"/>
      <c r="G73" s="217"/>
      <c r="S73" s="322">
        <f>IF(B73=0,1,0)</f>
        <v>1</v>
      </c>
      <c r="T73" s="322"/>
      <c r="U73" s="322"/>
    </row>
    <row r="74" spans="1:21" ht="67.5" customHeight="1" x14ac:dyDescent="0.2">
      <c r="A74" s="223" t="s">
        <v>4479</v>
      </c>
      <c r="B74" s="332"/>
      <c r="C74" s="217"/>
      <c r="D74" s="217"/>
      <c r="E74" s="217"/>
      <c r="F74" s="217"/>
      <c r="G74" s="217"/>
      <c r="S74" s="322">
        <f>IF(B74=0,1,0)</f>
        <v>1</v>
      </c>
      <c r="T74" s="322"/>
      <c r="U74" s="322"/>
    </row>
    <row r="75" spans="1:21" ht="57.75" customHeight="1" x14ac:dyDescent="0.2">
      <c r="A75" s="223" t="s">
        <v>5267</v>
      </c>
      <c r="B75" s="332"/>
      <c r="C75" s="217"/>
      <c r="D75" s="217"/>
      <c r="E75" s="217"/>
      <c r="F75" s="217"/>
      <c r="G75" s="217"/>
      <c r="S75" s="322">
        <f>IF(B75=2,1,0)</f>
        <v>0</v>
      </c>
      <c r="T75" s="322"/>
      <c r="U75" s="322"/>
    </row>
    <row r="76" spans="1:21" ht="60.75" customHeight="1" x14ac:dyDescent="0.2">
      <c r="A76" s="223" t="s">
        <v>352</v>
      </c>
      <c r="B76" s="332"/>
      <c r="C76" s="217"/>
      <c r="D76" s="217"/>
      <c r="E76" s="217"/>
      <c r="F76" s="217"/>
      <c r="G76" s="217"/>
      <c r="S76" s="322">
        <f>IF(B76=0,1,0)</f>
        <v>1</v>
      </c>
      <c r="T76" s="322"/>
      <c r="U76" s="322"/>
    </row>
    <row r="77" spans="1:21" x14ac:dyDescent="0.2">
      <c r="A77" s="210"/>
      <c r="B77" s="214"/>
    </row>
    <row r="78" spans="1:21" ht="15" x14ac:dyDescent="0.2">
      <c r="A78" s="308" t="str">
        <f>IF(SUM(S72:S76)=5,"Можете приступать к работе!","Отвечайте на поставленные вопросы!  Могут быть проблемы!")</f>
        <v>Отвечайте на поставленные вопросы!  Могут быть проблемы!</v>
      </c>
      <c r="B78" s="214"/>
    </row>
    <row r="79" spans="1:21" ht="15" x14ac:dyDescent="0.2">
      <c r="A79" s="308"/>
      <c r="B79" s="214"/>
    </row>
    <row r="80" spans="1:21" ht="15.75" x14ac:dyDescent="0.25">
      <c r="A80" s="818" t="s">
        <v>1257</v>
      </c>
      <c r="B80" s="214"/>
    </row>
    <row r="81" spans="1:10" ht="15.75" x14ac:dyDescent="0.25">
      <c r="A81" s="818" t="s">
        <v>1258</v>
      </c>
      <c r="B81" s="214"/>
    </row>
    <row r="82" spans="1:10" ht="15.75" x14ac:dyDescent="0.25">
      <c r="A82" s="818" t="s">
        <v>234</v>
      </c>
      <c r="B82" s="214"/>
    </row>
    <row r="83" spans="1:10" ht="15.75" x14ac:dyDescent="0.25">
      <c r="A83" s="818" t="s">
        <v>1255</v>
      </c>
    </row>
    <row r="84" spans="1:10" ht="15.75" x14ac:dyDescent="0.25">
      <c r="A84" s="818" t="s">
        <v>233</v>
      </c>
    </row>
    <row r="85" spans="1:10" ht="15.75" x14ac:dyDescent="0.25">
      <c r="A85" s="818" t="s">
        <v>1259</v>
      </c>
      <c r="B85" s="214"/>
    </row>
    <row r="86" spans="1:10" ht="15.75" x14ac:dyDescent="0.25">
      <c r="A86" s="818" t="s">
        <v>1260</v>
      </c>
      <c r="B86" s="214"/>
    </row>
    <row r="87" spans="1:10" ht="15.75" x14ac:dyDescent="0.25">
      <c r="A87" s="818" t="s">
        <v>1256</v>
      </c>
      <c r="B87" s="214"/>
    </row>
    <row r="88" spans="1:10" ht="15.75" x14ac:dyDescent="0.25">
      <c r="A88" s="818" t="s">
        <v>1261</v>
      </c>
      <c r="B88" s="214"/>
    </row>
    <row r="89" spans="1:10" ht="15.75" x14ac:dyDescent="0.25">
      <c r="A89" s="818" t="s">
        <v>1262</v>
      </c>
      <c r="B89" s="214"/>
    </row>
    <row r="90" spans="1:10" ht="15.75" x14ac:dyDescent="0.25">
      <c r="A90" s="818" t="s">
        <v>1263</v>
      </c>
      <c r="B90" s="214"/>
    </row>
    <row r="91" spans="1:10" ht="18" x14ac:dyDescent="0.25">
      <c r="A91" s="850" t="s">
        <v>232</v>
      </c>
      <c r="B91" s="214"/>
      <c r="J91" s="848">
        <f>ROW(126:126)</f>
        <v>126</v>
      </c>
    </row>
    <row r="92" spans="1:10" ht="15" x14ac:dyDescent="0.2">
      <c r="A92" s="308"/>
      <c r="B92" s="214"/>
    </row>
    <row r="93" spans="1:10" ht="15" x14ac:dyDescent="0.2">
      <c r="A93" s="308" t="s">
        <v>1810</v>
      </c>
      <c r="B93" s="214"/>
    </row>
    <row r="94" spans="1:10" ht="15" x14ac:dyDescent="0.2">
      <c r="A94" s="308" t="s">
        <v>1811</v>
      </c>
      <c r="B94" s="214"/>
    </row>
    <row r="95" spans="1:10" ht="15" x14ac:dyDescent="0.2">
      <c r="A95" s="308" t="s">
        <v>4436</v>
      </c>
      <c r="B95" s="214"/>
    </row>
    <row r="96" spans="1:10" ht="15" x14ac:dyDescent="0.2">
      <c r="A96" s="308"/>
      <c r="B96" s="214"/>
      <c r="G96" s="241"/>
      <c r="H96" s="214"/>
      <c r="I96" s="241"/>
    </row>
    <row r="97" spans="1:11" ht="15" x14ac:dyDescent="0.2">
      <c r="A97" s="308"/>
      <c r="B97" s="214" t="s">
        <v>6857</v>
      </c>
      <c r="F97" s="241"/>
      <c r="G97" s="241"/>
      <c r="H97" s="241">
        <f>ROW(210:210)</f>
        <v>210</v>
      </c>
      <c r="I97" s="241" t="s">
        <v>442</v>
      </c>
      <c r="J97" s="241">
        <f>ROW(243:243)</f>
        <v>243</v>
      </c>
      <c r="K97" s="241"/>
    </row>
    <row r="98" spans="1:11" ht="15" x14ac:dyDescent="0.2">
      <c r="A98" s="308"/>
      <c r="B98" s="214" t="s">
        <v>2003</v>
      </c>
      <c r="D98" s="241">
        <f>ROW(130:130)</f>
        <v>130</v>
      </c>
      <c r="G98" s="346"/>
      <c r="I98" s="346"/>
    </row>
    <row r="99" spans="1:11" ht="15" x14ac:dyDescent="0.2">
      <c r="A99" s="308"/>
      <c r="B99" s="214" t="s">
        <v>441</v>
      </c>
      <c r="G99" s="346"/>
      <c r="I99" s="346"/>
    </row>
    <row r="100" spans="1:11" ht="15" x14ac:dyDescent="0.2">
      <c r="A100" s="308"/>
      <c r="B100" s="214"/>
      <c r="G100" s="346"/>
      <c r="H100" s="241"/>
      <c r="I100" s="241"/>
      <c r="J100" s="241"/>
    </row>
    <row r="101" spans="1:11" ht="15.75" x14ac:dyDescent="0.25">
      <c r="A101" s="308"/>
      <c r="B101" s="214"/>
      <c r="C101" s="345" t="s">
        <v>443</v>
      </c>
    </row>
    <row r="102" spans="1:11" ht="12.75" customHeight="1" x14ac:dyDescent="0.2">
      <c r="B102" s="223"/>
      <c r="C102" s="223"/>
      <c r="D102" s="223"/>
      <c r="E102" s="223"/>
      <c r="F102" s="223"/>
      <c r="G102" s="214"/>
      <c r="H102" s="36"/>
    </row>
    <row r="103" spans="1:11" x14ac:dyDescent="0.2">
      <c r="A103" s="2879" t="s">
        <v>3999</v>
      </c>
      <c r="B103" s="230">
        <f>ROW(130:130)</f>
        <v>130</v>
      </c>
      <c r="C103" t="s">
        <v>4590</v>
      </c>
    </row>
    <row r="104" spans="1:11" x14ac:dyDescent="0.2">
      <c r="A104" s="210" t="s">
        <v>1267</v>
      </c>
      <c r="D104" s="230"/>
    </row>
    <row r="105" spans="1:11" x14ac:dyDescent="0.2">
      <c r="A105" s="210" t="s">
        <v>1268</v>
      </c>
      <c r="D105" s="230"/>
    </row>
    <row r="106" spans="1:11" x14ac:dyDescent="0.2">
      <c r="A106" t="s">
        <v>5762</v>
      </c>
      <c r="B106" s="230">
        <f>ROW(129:129)</f>
        <v>129</v>
      </c>
      <c r="C106" t="s">
        <v>5763</v>
      </c>
    </row>
    <row r="107" spans="1:11" x14ac:dyDescent="0.2">
      <c r="A107" t="s">
        <v>5764</v>
      </c>
      <c r="I107" s="231"/>
    </row>
    <row r="108" spans="1:11" x14ac:dyDescent="0.2">
      <c r="A108" t="s">
        <v>5762</v>
      </c>
      <c r="B108" s="232">
        <f>ROW(128:128)</f>
        <v>128</v>
      </c>
      <c r="C108" s="210" t="s">
        <v>1449</v>
      </c>
      <c r="I108" s="11"/>
    </row>
    <row r="109" spans="1:11" x14ac:dyDescent="0.2">
      <c r="G109" s="232"/>
      <c r="H109" s="210"/>
      <c r="I109" s="11"/>
    </row>
    <row r="110" spans="1:11" ht="15" x14ac:dyDescent="0.2">
      <c r="A110" s="308" t="s">
        <v>4810</v>
      </c>
      <c r="B110" s="214"/>
      <c r="C110" s="214"/>
      <c r="D110" s="214"/>
      <c r="E110" s="214"/>
      <c r="F110" s="214"/>
      <c r="G110" s="254"/>
      <c r="I110" s="11"/>
    </row>
    <row r="111" spans="1:11" ht="15" x14ac:dyDescent="0.2">
      <c r="A111" s="308" t="s">
        <v>4811</v>
      </c>
      <c r="B111" s="214"/>
      <c r="C111" s="214"/>
      <c r="D111" s="214"/>
      <c r="E111" s="214"/>
      <c r="F111" s="214"/>
      <c r="G111" s="254"/>
      <c r="I111" s="11"/>
    </row>
    <row r="112" spans="1:11" x14ac:dyDescent="0.2">
      <c r="A112" t="s">
        <v>1450</v>
      </c>
      <c r="B112" s="234">
        <f>ROW(130:130)</f>
        <v>130</v>
      </c>
      <c r="G112" s="233"/>
      <c r="I112" s="11"/>
    </row>
    <row r="113" spans="1:59" x14ac:dyDescent="0.2">
      <c r="A113" s="210" t="s">
        <v>4573</v>
      </c>
      <c r="C113" s="211"/>
      <c r="G113" s="233"/>
      <c r="I113" s="11"/>
    </row>
    <row r="114" spans="1:59" x14ac:dyDescent="0.2">
      <c r="A114" s="210" t="s">
        <v>1454</v>
      </c>
      <c r="C114" s="211"/>
      <c r="G114" s="233"/>
      <c r="I114" s="11"/>
    </row>
    <row r="115" spans="1:59" x14ac:dyDescent="0.2">
      <c r="A115" s="210" t="s">
        <v>1455</v>
      </c>
      <c r="C115" s="211"/>
      <c r="G115" s="233"/>
      <c r="I115" s="11"/>
    </row>
    <row r="116" spans="1:59" x14ac:dyDescent="0.2">
      <c r="A116" s="210" t="s">
        <v>1456</v>
      </c>
      <c r="C116" s="211"/>
      <c r="G116" s="233"/>
      <c r="I116" s="11"/>
    </row>
    <row r="117" spans="1:59" x14ac:dyDescent="0.2">
      <c r="A117" s="210" t="s">
        <v>2105</v>
      </c>
      <c r="C117" s="211"/>
      <c r="G117" s="233"/>
      <c r="I117" s="11"/>
    </row>
    <row r="118" spans="1:59" x14ac:dyDescent="0.2">
      <c r="A118" t="s">
        <v>2106</v>
      </c>
      <c r="C118" s="211"/>
      <c r="G118" s="233"/>
      <c r="I118" s="11"/>
    </row>
    <row r="119" spans="1:59" x14ac:dyDescent="0.2">
      <c r="A119" t="s">
        <v>4812</v>
      </c>
      <c r="C119" s="211"/>
      <c r="H119" s="230">
        <f>ROW(128:128)</f>
        <v>128</v>
      </c>
      <c r="I119" s="11"/>
    </row>
    <row r="120" spans="1:59" x14ac:dyDescent="0.2">
      <c r="A120" t="s">
        <v>4154</v>
      </c>
      <c r="C120" s="211"/>
      <c r="E120" s="230">
        <f>ROW(129:129)</f>
        <v>129</v>
      </c>
      <c r="M120" s="230"/>
    </row>
    <row r="121" spans="1:59" x14ac:dyDescent="0.2">
      <c r="A121" s="212"/>
      <c r="B121" t="s">
        <v>1457</v>
      </c>
      <c r="C121" s="211"/>
      <c r="G121" s="230"/>
      <c r="I121" s="11"/>
      <c r="M121" s="230"/>
    </row>
    <row r="122" spans="1:59" x14ac:dyDescent="0.2">
      <c r="A122" s="212"/>
      <c r="C122" s="211"/>
      <c r="G122" s="233"/>
      <c r="I122" s="11"/>
    </row>
    <row r="123" spans="1:59" x14ac:dyDescent="0.2">
      <c r="A123" t="s">
        <v>2458</v>
      </c>
      <c r="C123" s="211"/>
      <c r="G123" s="233"/>
      <c r="I123" s="11"/>
    </row>
    <row r="126" spans="1:59" x14ac:dyDescent="0.2">
      <c r="A126" s="237"/>
      <c r="B126" s="237"/>
      <c r="C126" s="237"/>
      <c r="D126" s="237"/>
      <c r="E126" s="243" t="s">
        <v>4153</v>
      </c>
      <c r="F126" s="235"/>
      <c r="G126" s="235"/>
      <c r="H126" s="235"/>
      <c r="I126" s="235"/>
      <c r="J126" s="235"/>
      <c r="K126" s="235"/>
      <c r="L126" s="236"/>
      <c r="M126" s="235"/>
      <c r="N126" s="235"/>
      <c r="O126" s="235"/>
      <c r="P126" s="235"/>
      <c r="Q126" s="235"/>
      <c r="R126" s="235"/>
      <c r="S126" s="237"/>
      <c r="T126" s="237"/>
      <c r="U126" s="237"/>
      <c r="V126" s="237"/>
      <c r="W126" s="237"/>
      <c r="X126" s="237"/>
      <c r="Z126" s="237"/>
      <c r="AB126" s="237"/>
      <c r="AC126" s="237"/>
      <c r="AD126" s="237"/>
      <c r="AE126" s="237"/>
      <c r="AF126" s="237"/>
      <c r="AG126" s="237"/>
      <c r="AH126" s="237"/>
      <c r="AI126" s="237"/>
      <c r="AJ126" s="237"/>
      <c r="AK126" s="237"/>
      <c r="AL126" s="237"/>
      <c r="AM126" s="237"/>
      <c r="AN126" s="237"/>
      <c r="AO126" s="237"/>
      <c r="AQ126" s="237"/>
      <c r="AR126" s="237"/>
      <c r="AS126" s="237"/>
      <c r="AT126" s="237"/>
      <c r="AU126" s="237"/>
      <c r="AV126" s="237"/>
      <c r="AW126" s="238"/>
      <c r="AX126" s="238"/>
      <c r="AY126" s="238"/>
      <c r="AZ126" s="237"/>
      <c r="BA126" s="237"/>
      <c r="BB126" s="237"/>
      <c r="BC126" s="239"/>
      <c r="BD126" s="237"/>
      <c r="BE126" s="237"/>
    </row>
    <row r="127" spans="1:59" ht="33.75" x14ac:dyDescent="0.2">
      <c r="A127" s="237"/>
      <c r="B127" s="237"/>
      <c r="C127" s="237"/>
      <c r="D127" s="237"/>
      <c r="E127" s="240" t="s">
        <v>1458</v>
      </c>
      <c r="F127" s="240" t="s">
        <v>1458</v>
      </c>
      <c r="G127" s="240" t="s">
        <v>1458</v>
      </c>
      <c r="H127" s="240" t="s">
        <v>1458</v>
      </c>
      <c r="I127" s="240" t="s">
        <v>1458</v>
      </c>
      <c r="J127" s="240" t="s">
        <v>1458</v>
      </c>
      <c r="K127" s="240" t="s">
        <v>1458</v>
      </c>
      <c r="L127" s="240" t="s">
        <v>1458</v>
      </c>
      <c r="M127" s="240" t="s">
        <v>1458</v>
      </c>
      <c r="N127" s="240" t="s">
        <v>1458</v>
      </c>
      <c r="O127" s="240" t="s">
        <v>1458</v>
      </c>
      <c r="P127" s="240" t="s">
        <v>1458</v>
      </c>
      <c r="Q127" s="240" t="s">
        <v>1458</v>
      </c>
      <c r="R127" s="240" t="s">
        <v>1458</v>
      </c>
      <c r="AG127" s="304"/>
      <c r="AH127" s="304"/>
      <c r="AI127" s="304"/>
      <c r="AJ127" s="303" t="s">
        <v>583</v>
      </c>
      <c r="AK127" s="304"/>
      <c r="AL127" s="304"/>
      <c r="AM127" s="304"/>
      <c r="AN127" s="304"/>
      <c r="AO127" s="242"/>
      <c r="AP127" s="304"/>
      <c r="AQ127" s="304"/>
      <c r="AR127" s="304"/>
      <c r="AS127" s="304"/>
      <c r="AT127" s="304"/>
      <c r="AU127" s="304"/>
      <c r="AV127" s="307"/>
      <c r="AW127" s="307"/>
      <c r="AX127" s="307"/>
      <c r="AY127" s="304"/>
      <c r="AZ127" s="304"/>
      <c r="BA127" s="304"/>
      <c r="BC127" s="239"/>
      <c r="BE127" s="237"/>
    </row>
    <row r="128" spans="1:59" ht="15.75" x14ac:dyDescent="0.25">
      <c r="A128" s="303" t="s">
        <v>584</v>
      </c>
      <c r="B128" s="304"/>
      <c r="C128" s="304"/>
      <c r="D128" s="304"/>
      <c r="E128" s="241" t="s">
        <v>1460</v>
      </c>
      <c r="F128" s="241" t="s">
        <v>1459</v>
      </c>
      <c r="G128" s="241" t="s">
        <v>1460</v>
      </c>
      <c r="H128" s="241" t="s">
        <v>1460</v>
      </c>
      <c r="I128" s="241" t="s">
        <v>1459</v>
      </c>
      <c r="J128" s="241" t="s">
        <v>1459</v>
      </c>
      <c r="K128" s="241" t="s">
        <v>1460</v>
      </c>
      <c r="L128" s="241" t="s">
        <v>1460</v>
      </c>
      <c r="M128" s="241" t="s">
        <v>1460</v>
      </c>
      <c r="N128" s="241" t="s">
        <v>1460</v>
      </c>
      <c r="O128" s="241" t="s">
        <v>1460</v>
      </c>
      <c r="P128" s="241" t="s">
        <v>1460</v>
      </c>
      <c r="Q128" s="241" t="s">
        <v>1459</v>
      </c>
      <c r="R128" s="241" t="s">
        <v>1459</v>
      </c>
      <c r="S128" s="306" t="s">
        <v>4589</v>
      </c>
      <c r="T128" s="306"/>
      <c r="U128" s="306"/>
      <c r="V128" s="242"/>
      <c r="W128" s="242"/>
      <c r="Y128" s="242"/>
      <c r="Z128" s="304"/>
      <c r="AA128" s="242"/>
      <c r="AB128" s="306"/>
      <c r="AC128" s="306"/>
      <c r="AD128" s="306"/>
      <c r="AE128" s="306"/>
      <c r="AF128" s="237"/>
      <c r="AG128" s="304"/>
      <c r="AL128" s="240"/>
      <c r="AM128" s="240"/>
      <c r="AO128" s="240"/>
      <c r="AP128" s="237"/>
      <c r="AQ128" s="237"/>
      <c r="AR128" s="237"/>
      <c r="AS128" s="237"/>
      <c r="AT128" s="238"/>
      <c r="AU128" s="238"/>
      <c r="AV128" s="238"/>
      <c r="AW128" s="237"/>
      <c r="AX128" s="237"/>
      <c r="AY128" s="237"/>
      <c r="AZ128" s="239"/>
      <c r="BA128" s="242"/>
      <c r="BB128" s="237"/>
      <c r="BC128" s="237"/>
      <c r="BE128" s="8"/>
      <c r="BF128" s="8"/>
      <c r="BG128" s="8"/>
    </row>
    <row r="129" spans="1:55" s="215" customFormat="1" ht="25.5" x14ac:dyDescent="0.2">
      <c r="A129" s="264"/>
      <c r="B129" s="264"/>
      <c r="C129" s="264"/>
      <c r="D129" s="264"/>
      <c r="E129" s="311" t="str">
        <f>обор!H1110</f>
        <v/>
      </c>
      <c r="F129" s="311" t="e">
        <f>(обор!H1092)*1000</f>
        <v>#VALUE!</v>
      </c>
      <c r="G129" s="311" t="e">
        <f>(обор!H1093)*1000</f>
        <v>#VALUE!</v>
      </c>
      <c r="H129" s="311" t="str">
        <f>обор!H1111</f>
        <v/>
      </c>
      <c r="I129" s="311" t="str">
        <f>обор!H1112</f>
        <v/>
      </c>
      <c r="J129" s="311" t="str">
        <f>обор!H1115</f>
        <v/>
      </c>
      <c r="K129" s="311" t="e">
        <f>обор!H1103</f>
        <v>#VALUE!</v>
      </c>
      <c r="L129" s="311" t="e">
        <f>обор!H1104</f>
        <v>#VALUE!</v>
      </c>
      <c r="M129" s="311" t="s">
        <v>1461</v>
      </c>
      <c r="N129" s="311">
        <v>500</v>
      </c>
      <c r="O129" s="311" t="s">
        <v>6797</v>
      </c>
      <c r="P129" s="323" t="str">
        <f>IF(обор!H1108=1,обор!H1109,"не сорти-ровать")</f>
        <v>не сорти-ровать</v>
      </c>
      <c r="Q129" s="319" t="str">
        <f>IF(OR(H1108=2,H1108=3),H1109,"не сортиро-вать")</f>
        <v>не сортиро-вать</v>
      </c>
      <c r="R129" s="311">
        <f>(обор!H1105)*100</f>
        <v>0</v>
      </c>
      <c r="S129" s="320"/>
      <c r="T129" s="320"/>
      <c r="U129" s="320"/>
      <c r="V129" s="311">
        <f>обор!H1161</f>
        <v>20</v>
      </c>
      <c r="W129" s="311">
        <f>обор!H1160</f>
        <v>20</v>
      </c>
      <c r="X129" s="311" t="e">
        <f>(обор!H1092)*1000</f>
        <v>#VALUE!</v>
      </c>
      <c r="Y129" s="311" t="e">
        <f>обор!H1106</f>
        <v>#VALUE!</v>
      </c>
      <c r="Z129" s="311"/>
      <c r="AA129" s="311"/>
      <c r="AB129" s="311"/>
      <c r="AC129" s="311"/>
      <c r="AD129" s="311"/>
      <c r="AE129" s="311"/>
      <c r="AF129" s="311"/>
      <c r="AG129" s="320"/>
      <c r="AH129" s="311"/>
      <c r="AI129" s="311"/>
      <c r="AJ129" s="311"/>
      <c r="AK129" s="311"/>
      <c r="AL129" s="311"/>
      <c r="AM129" s="311"/>
      <c r="AN129" s="311"/>
      <c r="AO129" s="311"/>
      <c r="AP129" s="311"/>
      <c r="AQ129" s="311"/>
      <c r="AR129" s="311"/>
      <c r="AS129" s="311"/>
      <c r="AT129" s="311"/>
      <c r="AU129" s="311"/>
      <c r="AV129" s="311"/>
      <c r="AW129" s="311"/>
      <c r="AX129" s="311"/>
      <c r="AY129" s="311"/>
      <c r="AZ129" s="311"/>
      <c r="BA129" s="206"/>
      <c r="BB129" s="264"/>
      <c r="BC129" s="264"/>
    </row>
    <row r="130" spans="1:55" s="215" customFormat="1" ht="155.25" customHeight="1" x14ac:dyDescent="0.2">
      <c r="A130" s="266" t="s">
        <v>5484</v>
      </c>
      <c r="B130" s="266" t="s">
        <v>3673</v>
      </c>
      <c r="C130" s="266" t="s">
        <v>6426</v>
      </c>
      <c r="D130" s="266" t="s">
        <v>5485</v>
      </c>
      <c r="E130" s="266" t="s">
        <v>259</v>
      </c>
      <c r="F130" s="266" t="s">
        <v>764</v>
      </c>
      <c r="G130" s="266" t="s">
        <v>3206</v>
      </c>
      <c r="H130" s="266" t="s">
        <v>258</v>
      </c>
      <c r="I130" s="266" t="s">
        <v>5486</v>
      </c>
      <c r="J130" s="266" t="s">
        <v>4326</v>
      </c>
      <c r="K130" s="266" t="s">
        <v>4327</v>
      </c>
      <c r="L130" s="266" t="s">
        <v>3474</v>
      </c>
      <c r="M130" s="268" t="s">
        <v>766</v>
      </c>
      <c r="N130" s="268" t="s">
        <v>767</v>
      </c>
      <c r="O130" s="268" t="s">
        <v>6799</v>
      </c>
      <c r="P130" s="266" t="s">
        <v>762</v>
      </c>
      <c r="Q130" s="266" t="s">
        <v>763</v>
      </c>
      <c r="R130" s="267" t="s">
        <v>765</v>
      </c>
      <c r="S130" s="305"/>
      <c r="T130" s="305"/>
      <c r="U130" s="305"/>
      <c r="V130" s="268" t="s">
        <v>1563</v>
      </c>
      <c r="W130" s="268" t="s">
        <v>1562</v>
      </c>
      <c r="X130" s="268" t="s">
        <v>770</v>
      </c>
      <c r="Y130" s="268" t="s">
        <v>750</v>
      </c>
      <c r="Z130" s="268" t="s">
        <v>1908</v>
      </c>
      <c r="AA130" s="268" t="s">
        <v>1909</v>
      </c>
      <c r="AB130" s="268" t="s">
        <v>1500</v>
      </c>
      <c r="AC130" s="268" t="s">
        <v>1202</v>
      </c>
      <c r="AD130" s="268" t="s">
        <v>1203</v>
      </c>
      <c r="AE130" s="268" t="s">
        <v>789</v>
      </c>
      <c r="AF130" s="265"/>
      <c r="AG130" s="269" t="s">
        <v>768</v>
      </c>
      <c r="AH130" s="269" t="s">
        <v>769</v>
      </c>
      <c r="AI130" s="266" t="s">
        <v>790</v>
      </c>
      <c r="AJ130" s="266" t="s">
        <v>4586</v>
      </c>
      <c r="AK130" s="266" t="s">
        <v>4587</v>
      </c>
      <c r="AL130" s="270" t="s">
        <v>4588</v>
      </c>
      <c r="AM130" s="266" t="s">
        <v>5152</v>
      </c>
      <c r="AN130" s="270" t="s">
        <v>5153</v>
      </c>
      <c r="AO130" s="270" t="s">
        <v>5154</v>
      </c>
      <c r="AP130" s="266" t="s">
        <v>3207</v>
      </c>
      <c r="AQ130" s="271" t="s">
        <v>5155</v>
      </c>
      <c r="AR130" s="272" t="s">
        <v>853</v>
      </c>
      <c r="AS130" s="272" t="s">
        <v>3208</v>
      </c>
      <c r="AT130" s="266" t="s">
        <v>854</v>
      </c>
      <c r="AU130" s="273" t="s">
        <v>855</v>
      </c>
      <c r="AV130" s="273" t="s">
        <v>1098</v>
      </c>
      <c r="AW130" s="273" t="s">
        <v>1099</v>
      </c>
      <c r="AX130" s="273" t="s">
        <v>1100</v>
      </c>
      <c r="AY130" s="3004"/>
      <c r="AZ130" s="273"/>
      <c r="BA130" s="266" t="s">
        <v>1101</v>
      </c>
    </row>
    <row r="131" spans="1:55" s="215" customFormat="1" x14ac:dyDescent="0.2">
      <c r="A131" s="274" t="s">
        <v>5767</v>
      </c>
      <c r="B131" s="274" t="s">
        <v>1918</v>
      </c>
      <c r="C131" s="274" t="s">
        <v>5622</v>
      </c>
      <c r="D131" s="275" t="s">
        <v>2778</v>
      </c>
      <c r="E131" s="278">
        <v>360</v>
      </c>
      <c r="F131" s="278">
        <v>600</v>
      </c>
      <c r="G131" s="278">
        <v>1240</v>
      </c>
      <c r="H131" s="276">
        <v>2</v>
      </c>
      <c r="I131" s="277">
        <v>3</v>
      </c>
      <c r="J131" s="278">
        <v>2</v>
      </c>
      <c r="K131" s="2998">
        <v>0.42880000000000001</v>
      </c>
      <c r="L131" s="2994">
        <v>0.46740000000000004</v>
      </c>
      <c r="M131" s="280" t="e">
        <f t="shared" ref="M131:M162" si="0">X131-AC131-Z131-AU131-W131</f>
        <v>#VALUE!</v>
      </c>
      <c r="N131" s="280" t="e">
        <f t="shared" ref="N131:N162" si="1">X131-AD131-AA131-V131-AW131</f>
        <v>#VALUE!</v>
      </c>
      <c r="O131" s="280" t="e">
        <f t="shared" ref="O131:O162" si="2">X131-AE131-AB131-V131-F131</f>
        <v>#VALUE!</v>
      </c>
      <c r="P131" s="278">
        <v>35</v>
      </c>
      <c r="Q131" s="278">
        <v>10</v>
      </c>
      <c r="R131" s="279">
        <f t="shared" ref="R131:R162" si="3">IF(BA131&gt;0,300,AL131)</f>
        <v>300</v>
      </c>
      <c r="S131" s="305"/>
      <c r="T131" s="305"/>
      <c r="U131" s="305"/>
      <c r="V131" s="282">
        <f t="shared" ref="V131:V162" si="4">$V$129</f>
        <v>20</v>
      </c>
      <c r="W131" s="281">
        <f t="shared" ref="W131:W162" si="5">$W$129</f>
        <v>20</v>
      </c>
      <c r="X131" s="283" t="e">
        <f t="shared" ref="X131:X162" si="6">$X$129</f>
        <v>#VALUE!</v>
      </c>
      <c r="Y131" s="283" t="e">
        <f t="shared" ref="Y131:Y162" si="7">$Y$129</f>
        <v>#VALUE!</v>
      </c>
      <c r="Z131" s="284">
        <f>обор!$H$1157</f>
        <v>10</v>
      </c>
      <c r="AA131" s="282">
        <f>обор!$H$1158</f>
        <v>15</v>
      </c>
      <c r="AB131" s="282">
        <f>обор!$H$1159</f>
        <v>20</v>
      </c>
      <c r="AC131" s="280" t="e">
        <f t="shared" ref="AC131:AC162" si="8">X131*AQ131*Y131/1000</f>
        <v>#VALUE!</v>
      </c>
      <c r="AD131" s="280" t="e">
        <f t="shared" ref="AD131:AD162" si="9">AR131*Y131*X131/1000</f>
        <v>#VALUE!</v>
      </c>
      <c r="AE131" s="280" t="e">
        <f t="shared" ref="AE131:AE162" si="10">Y131*X131*AS131/1000</f>
        <v>#VALUE!</v>
      </c>
      <c r="AF131" s="265"/>
      <c r="AG131" s="278">
        <v>0.63</v>
      </c>
      <c r="AH131" s="278">
        <v>0.8</v>
      </c>
      <c r="AI131" s="285">
        <v>3545</v>
      </c>
      <c r="AJ131" s="278">
        <v>5400</v>
      </c>
      <c r="AK131" s="278">
        <v>2415</v>
      </c>
      <c r="AL131" s="278">
        <v>150</v>
      </c>
      <c r="AM131" s="278">
        <v>90</v>
      </c>
      <c r="AN131" s="278">
        <v>80</v>
      </c>
      <c r="AO131" s="278">
        <v>80</v>
      </c>
      <c r="AP131" s="278">
        <v>1460</v>
      </c>
      <c r="AQ131" s="286">
        <f>960+AN131</f>
        <v>1040</v>
      </c>
      <c r="AR131" s="292">
        <f>AN131*10+300+AK131+500</f>
        <v>4015</v>
      </c>
      <c r="AS131" s="292">
        <f>AR131+500</f>
        <v>4515</v>
      </c>
      <c r="AT131" s="293">
        <v>7</v>
      </c>
      <c r="AU131" s="294">
        <v>700</v>
      </c>
      <c r="AV131" s="294">
        <v>80</v>
      </c>
      <c r="AW131" s="295">
        <v>40</v>
      </c>
      <c r="AX131" s="294">
        <f t="shared" ref="AX131:AX162" si="11">AV131*2</f>
        <v>160</v>
      </c>
      <c r="AY131" s="301"/>
      <c r="AZ131" s="296"/>
      <c r="BA131" s="297">
        <v>10</v>
      </c>
      <c r="BC131" s="215">
        <v>1</v>
      </c>
    </row>
    <row r="132" spans="1:55" s="215" customFormat="1" x14ac:dyDescent="0.2">
      <c r="A132" s="274" t="s">
        <v>5767</v>
      </c>
      <c r="B132" s="274" t="s">
        <v>5623</v>
      </c>
      <c r="C132" s="274" t="s">
        <v>5630</v>
      </c>
      <c r="D132" s="275" t="s">
        <v>2778</v>
      </c>
      <c r="E132" s="289">
        <v>360</v>
      </c>
      <c r="F132" s="289">
        <v>600</v>
      </c>
      <c r="G132" s="289">
        <v>1240</v>
      </c>
      <c r="H132" s="276">
        <v>2</v>
      </c>
      <c r="I132" s="288">
        <v>3</v>
      </c>
      <c r="J132" s="289">
        <v>2</v>
      </c>
      <c r="K132" s="2998">
        <v>0.42880000000000001</v>
      </c>
      <c r="L132" s="2994">
        <v>0.46740000000000004</v>
      </c>
      <c r="M132" s="280" t="e">
        <f t="shared" si="0"/>
        <v>#VALUE!</v>
      </c>
      <c r="N132" s="280" t="e">
        <f t="shared" si="1"/>
        <v>#VALUE!</v>
      </c>
      <c r="O132" s="280" t="e">
        <f t="shared" si="2"/>
        <v>#VALUE!</v>
      </c>
      <c r="P132" s="289">
        <v>35</v>
      </c>
      <c r="Q132" s="289">
        <v>10</v>
      </c>
      <c r="R132" s="279">
        <f t="shared" si="3"/>
        <v>300</v>
      </c>
      <c r="S132" s="305"/>
      <c r="T132" s="305"/>
      <c r="U132" s="305"/>
      <c r="V132" s="282">
        <f t="shared" si="4"/>
        <v>20</v>
      </c>
      <c r="W132" s="281">
        <f t="shared" si="5"/>
        <v>20</v>
      </c>
      <c r="X132" s="283" t="e">
        <f t="shared" si="6"/>
        <v>#VALUE!</v>
      </c>
      <c r="Y132" s="283" t="e">
        <f t="shared" si="7"/>
        <v>#VALUE!</v>
      </c>
      <c r="Z132" s="284">
        <f>обор!$H$1157</f>
        <v>10</v>
      </c>
      <c r="AA132" s="282">
        <f>обор!$H$1158</f>
        <v>15</v>
      </c>
      <c r="AB132" s="282">
        <f>обор!$H$1159</f>
        <v>20</v>
      </c>
      <c r="AC132" s="280" t="e">
        <f t="shared" si="8"/>
        <v>#VALUE!</v>
      </c>
      <c r="AD132" s="280" t="e">
        <f t="shared" si="9"/>
        <v>#VALUE!</v>
      </c>
      <c r="AE132" s="280" t="e">
        <f t="shared" si="10"/>
        <v>#VALUE!</v>
      </c>
      <c r="AF132" s="265"/>
      <c r="AG132" s="278">
        <v>0.63</v>
      </c>
      <c r="AH132" s="278">
        <v>0.8</v>
      </c>
      <c r="AI132" s="290">
        <v>3545</v>
      </c>
      <c r="AJ132" s="289">
        <v>5400</v>
      </c>
      <c r="AK132" s="289">
        <v>2415</v>
      </c>
      <c r="AL132" s="289">
        <v>150</v>
      </c>
      <c r="AM132" s="289">
        <v>90</v>
      </c>
      <c r="AN132" s="289">
        <v>80</v>
      </c>
      <c r="AO132" s="289">
        <v>80</v>
      </c>
      <c r="AP132" s="289">
        <v>1460</v>
      </c>
      <c r="AQ132" s="286">
        <f>960+AN132</f>
        <v>1040</v>
      </c>
      <c r="AR132" s="298">
        <f>AN132*10+300+AK132+500</f>
        <v>4015</v>
      </c>
      <c r="AS132" s="298">
        <f>AR132+500</f>
        <v>4515</v>
      </c>
      <c r="AT132" s="299">
        <v>7</v>
      </c>
      <c r="AU132" s="294">
        <v>700</v>
      </c>
      <c r="AV132" s="294">
        <v>80</v>
      </c>
      <c r="AW132" s="295">
        <v>40</v>
      </c>
      <c r="AX132" s="294">
        <f t="shared" si="11"/>
        <v>160</v>
      </c>
      <c r="AY132" s="302"/>
      <c r="AZ132" s="296"/>
      <c r="BA132" s="300">
        <v>10</v>
      </c>
      <c r="BC132" s="215">
        <v>2</v>
      </c>
    </row>
    <row r="133" spans="1:55" s="215" customFormat="1" x14ac:dyDescent="0.2">
      <c r="A133" s="274" t="s">
        <v>5766</v>
      </c>
      <c r="B133" s="274" t="s">
        <v>5641</v>
      </c>
      <c r="C133" s="274" t="s">
        <v>5614</v>
      </c>
      <c r="D133" s="275" t="s">
        <v>5634</v>
      </c>
      <c r="E133" s="289">
        <v>360</v>
      </c>
      <c r="F133" s="289">
        <v>850</v>
      </c>
      <c r="G133" s="289">
        <v>1200</v>
      </c>
      <c r="H133" s="276">
        <v>4</v>
      </c>
      <c r="I133" s="288">
        <v>4</v>
      </c>
      <c r="J133" s="289">
        <v>2</v>
      </c>
      <c r="K133" s="2998">
        <v>0.56879999999999997</v>
      </c>
      <c r="L133" s="2994">
        <v>0.8974000000000002</v>
      </c>
      <c r="M133" s="280" t="e">
        <f t="shared" si="0"/>
        <v>#VALUE!</v>
      </c>
      <c r="N133" s="280" t="e">
        <f t="shared" si="1"/>
        <v>#VALUE!</v>
      </c>
      <c r="O133" s="280" t="e">
        <f t="shared" si="2"/>
        <v>#VALUE!</v>
      </c>
      <c r="P133" s="289">
        <v>35</v>
      </c>
      <c r="Q133" s="289">
        <v>10</v>
      </c>
      <c r="R133" s="279">
        <f t="shared" si="3"/>
        <v>95</v>
      </c>
      <c r="S133" s="305"/>
      <c r="T133" s="305"/>
      <c r="U133" s="305"/>
      <c r="V133" s="282">
        <f t="shared" si="4"/>
        <v>20</v>
      </c>
      <c r="W133" s="281">
        <f t="shared" si="5"/>
        <v>20</v>
      </c>
      <c r="X133" s="283" t="e">
        <f t="shared" si="6"/>
        <v>#VALUE!</v>
      </c>
      <c r="Y133" s="283" t="e">
        <f t="shared" si="7"/>
        <v>#VALUE!</v>
      </c>
      <c r="Z133" s="284">
        <f>обор!$H$1157</f>
        <v>10</v>
      </c>
      <c r="AA133" s="282">
        <f>обор!$H$1158</f>
        <v>15</v>
      </c>
      <c r="AB133" s="282">
        <f>обор!$H$1159</f>
        <v>20</v>
      </c>
      <c r="AC133" s="280" t="e">
        <f t="shared" si="8"/>
        <v>#VALUE!</v>
      </c>
      <c r="AD133" s="280" t="e">
        <f t="shared" si="9"/>
        <v>#VALUE!</v>
      </c>
      <c r="AE133" s="280" t="e">
        <f t="shared" si="10"/>
        <v>#VALUE!</v>
      </c>
      <c r="AF133" s="265"/>
      <c r="AG133" s="289">
        <v>0.63</v>
      </c>
      <c r="AH133" s="289">
        <v>0.63</v>
      </c>
      <c r="AI133" s="290">
        <v>3850</v>
      </c>
      <c r="AJ133" s="289">
        <v>3850</v>
      </c>
      <c r="AK133" s="289">
        <v>1800</v>
      </c>
      <c r="AL133" s="289">
        <v>95</v>
      </c>
      <c r="AM133" s="289">
        <v>90</v>
      </c>
      <c r="AN133" s="289">
        <v>63</v>
      </c>
      <c r="AO133" s="289">
        <v>63</v>
      </c>
      <c r="AP133" s="289">
        <v>920</v>
      </c>
      <c r="AQ133" s="286">
        <f>960+AN133</f>
        <v>1023</v>
      </c>
      <c r="AR133" s="298">
        <f t="shared" ref="AR133:AR139" si="12">AN133*10+300+AK133+625</f>
        <v>3355</v>
      </c>
      <c r="AS133" s="298">
        <f t="shared" ref="AS133:AS139" si="13">AR133+625</f>
        <v>3980</v>
      </c>
      <c r="AT133" s="299">
        <v>2.0680000000000001</v>
      </c>
      <c r="AU133" s="294">
        <v>850</v>
      </c>
      <c r="AV133" s="294">
        <v>70</v>
      </c>
      <c r="AW133" s="295">
        <v>220</v>
      </c>
      <c r="AX133" s="294">
        <f t="shared" si="11"/>
        <v>140</v>
      </c>
      <c r="AY133" s="302"/>
      <c r="AZ133" s="296"/>
      <c r="BA133" s="300">
        <v>0</v>
      </c>
      <c r="BC133" s="215">
        <v>16</v>
      </c>
    </row>
    <row r="134" spans="1:55" s="215" customFormat="1" x14ac:dyDescent="0.2">
      <c r="A134" s="274" t="s">
        <v>5766</v>
      </c>
      <c r="B134" s="274" t="s">
        <v>1918</v>
      </c>
      <c r="C134" s="274" t="s">
        <v>3478</v>
      </c>
      <c r="D134" s="275" t="s">
        <v>5634</v>
      </c>
      <c r="E134" s="289">
        <v>350</v>
      </c>
      <c r="F134" s="289">
        <v>850</v>
      </c>
      <c r="G134" s="289">
        <v>1200</v>
      </c>
      <c r="H134" s="276">
        <v>4</v>
      </c>
      <c r="I134" s="288">
        <v>4</v>
      </c>
      <c r="J134" s="289">
        <v>2</v>
      </c>
      <c r="K134" s="2998">
        <v>0.56879999999999997</v>
      </c>
      <c r="L134" s="2994">
        <v>0.8974000000000002</v>
      </c>
      <c r="M134" s="280" t="e">
        <f t="shared" si="0"/>
        <v>#VALUE!</v>
      </c>
      <c r="N134" s="280" t="e">
        <f t="shared" si="1"/>
        <v>#VALUE!</v>
      </c>
      <c r="O134" s="280" t="e">
        <f t="shared" si="2"/>
        <v>#VALUE!</v>
      </c>
      <c r="P134" s="289">
        <v>35</v>
      </c>
      <c r="Q134" s="289">
        <v>10</v>
      </c>
      <c r="R134" s="279">
        <f t="shared" si="3"/>
        <v>95</v>
      </c>
      <c r="S134" s="305"/>
      <c r="T134" s="305"/>
      <c r="U134" s="305"/>
      <c r="V134" s="282">
        <f t="shared" si="4"/>
        <v>20</v>
      </c>
      <c r="W134" s="281">
        <f t="shared" si="5"/>
        <v>20</v>
      </c>
      <c r="X134" s="283" t="e">
        <f t="shared" si="6"/>
        <v>#VALUE!</v>
      </c>
      <c r="Y134" s="283" t="e">
        <f t="shared" si="7"/>
        <v>#VALUE!</v>
      </c>
      <c r="Z134" s="284">
        <f>обор!$H$1157</f>
        <v>10</v>
      </c>
      <c r="AA134" s="282">
        <f>обор!$H$1158</f>
        <v>15</v>
      </c>
      <c r="AB134" s="282">
        <f>обор!$H$1159</f>
        <v>20</v>
      </c>
      <c r="AC134" s="280" t="e">
        <f t="shared" si="8"/>
        <v>#VALUE!</v>
      </c>
      <c r="AD134" s="280" t="e">
        <f t="shared" si="9"/>
        <v>#VALUE!</v>
      </c>
      <c r="AE134" s="280" t="e">
        <f t="shared" si="10"/>
        <v>#VALUE!</v>
      </c>
      <c r="AF134" s="265"/>
      <c r="AG134" s="289">
        <v>0.63</v>
      </c>
      <c r="AH134" s="289">
        <v>0.8</v>
      </c>
      <c r="AI134" s="290">
        <v>3850</v>
      </c>
      <c r="AJ134" s="289">
        <v>3850</v>
      </c>
      <c r="AK134" s="289">
        <v>1800</v>
      </c>
      <c r="AL134" s="289">
        <v>95</v>
      </c>
      <c r="AM134" s="289">
        <v>90</v>
      </c>
      <c r="AN134" s="289">
        <v>63</v>
      </c>
      <c r="AO134" s="289">
        <v>63</v>
      </c>
      <c r="AP134" s="289">
        <v>920</v>
      </c>
      <c r="AQ134" s="286">
        <f>960+AN134</f>
        <v>1023</v>
      </c>
      <c r="AR134" s="298">
        <f t="shared" si="12"/>
        <v>3355</v>
      </c>
      <c r="AS134" s="298">
        <f t="shared" si="13"/>
        <v>3980</v>
      </c>
      <c r="AT134" s="299">
        <v>2.0680000000000001</v>
      </c>
      <c r="AU134" s="294">
        <v>700</v>
      </c>
      <c r="AV134" s="294">
        <v>70</v>
      </c>
      <c r="AW134" s="295">
        <v>220</v>
      </c>
      <c r="AX134" s="294">
        <f t="shared" si="11"/>
        <v>140</v>
      </c>
      <c r="AY134" s="302"/>
      <c r="AZ134" s="296"/>
      <c r="BA134" s="300">
        <v>0</v>
      </c>
      <c r="BC134" s="215">
        <v>15</v>
      </c>
    </row>
    <row r="135" spans="1:55" s="215" customFormat="1" x14ac:dyDescent="0.2">
      <c r="A135" s="274" t="s">
        <v>5766</v>
      </c>
      <c r="B135" s="274" t="s">
        <v>5628</v>
      </c>
      <c r="C135" s="274" t="s">
        <v>658</v>
      </c>
      <c r="D135" s="275" t="s">
        <v>5634</v>
      </c>
      <c r="E135" s="289">
        <v>250</v>
      </c>
      <c r="F135" s="289">
        <v>850</v>
      </c>
      <c r="G135" s="289">
        <v>1200</v>
      </c>
      <c r="H135" s="276">
        <v>4</v>
      </c>
      <c r="I135" s="288">
        <v>4</v>
      </c>
      <c r="J135" s="289">
        <v>2</v>
      </c>
      <c r="K135" s="2998">
        <v>0.56879999999999997</v>
      </c>
      <c r="L135" s="2994">
        <v>0.8974000000000002</v>
      </c>
      <c r="M135" s="280" t="e">
        <f t="shared" si="0"/>
        <v>#VALUE!</v>
      </c>
      <c r="N135" s="280" t="e">
        <f t="shared" si="1"/>
        <v>#VALUE!</v>
      </c>
      <c r="O135" s="280" t="e">
        <f t="shared" si="2"/>
        <v>#VALUE!</v>
      </c>
      <c r="P135" s="289">
        <v>20</v>
      </c>
      <c r="Q135" s="289">
        <v>5</v>
      </c>
      <c r="R135" s="279">
        <f t="shared" si="3"/>
        <v>200</v>
      </c>
      <c r="S135" s="305"/>
      <c r="T135" s="305"/>
      <c r="U135" s="305"/>
      <c r="V135" s="282">
        <f t="shared" si="4"/>
        <v>20</v>
      </c>
      <c r="W135" s="281">
        <f t="shared" si="5"/>
        <v>20</v>
      </c>
      <c r="X135" s="283" t="e">
        <f t="shared" si="6"/>
        <v>#VALUE!</v>
      </c>
      <c r="Y135" s="283" t="e">
        <f t="shared" si="7"/>
        <v>#VALUE!</v>
      </c>
      <c r="Z135" s="284">
        <f>обор!$H$1157</f>
        <v>10</v>
      </c>
      <c r="AA135" s="282">
        <f>обор!$H$1158</f>
        <v>15</v>
      </c>
      <c r="AB135" s="282">
        <f>обор!$H$1159</f>
        <v>20</v>
      </c>
      <c r="AC135" s="280" t="e">
        <f t="shared" si="8"/>
        <v>#VALUE!</v>
      </c>
      <c r="AD135" s="280" t="e">
        <f t="shared" si="9"/>
        <v>#VALUE!</v>
      </c>
      <c r="AE135" s="280" t="e">
        <f t="shared" si="10"/>
        <v>#VALUE!</v>
      </c>
      <c r="AF135" s="265"/>
      <c r="AG135" s="289">
        <v>0.63</v>
      </c>
      <c r="AH135" s="289">
        <v>0.8</v>
      </c>
      <c r="AI135" s="290">
        <v>2975</v>
      </c>
      <c r="AJ135" s="289">
        <v>3975</v>
      </c>
      <c r="AK135" s="289">
        <v>1800</v>
      </c>
      <c r="AL135" s="289">
        <v>200</v>
      </c>
      <c r="AM135" s="289">
        <v>72</v>
      </c>
      <c r="AN135" s="289">
        <v>65</v>
      </c>
      <c r="AO135" s="289">
        <v>130</v>
      </c>
      <c r="AP135" s="289">
        <v>1590</v>
      </c>
      <c r="AQ135" s="286">
        <f>1300+AN135</f>
        <v>1365</v>
      </c>
      <c r="AR135" s="298">
        <f t="shared" si="12"/>
        <v>3375</v>
      </c>
      <c r="AS135" s="298">
        <f t="shared" si="13"/>
        <v>4000</v>
      </c>
      <c r="AT135" s="299">
        <v>3.57</v>
      </c>
      <c r="AU135" s="294">
        <v>420</v>
      </c>
      <c r="AV135" s="294">
        <v>70</v>
      </c>
      <c r="AW135" s="295">
        <v>220</v>
      </c>
      <c r="AX135" s="294">
        <f t="shared" si="11"/>
        <v>140</v>
      </c>
      <c r="AY135" s="302"/>
      <c r="AZ135" s="296"/>
      <c r="BA135" s="300">
        <v>0</v>
      </c>
      <c r="BC135" s="215">
        <v>17</v>
      </c>
    </row>
    <row r="136" spans="1:55" s="215" customFormat="1" ht="21.75" x14ac:dyDescent="0.2">
      <c r="A136" s="274" t="s">
        <v>5766</v>
      </c>
      <c r="B136" s="274" t="s">
        <v>1917</v>
      </c>
      <c r="C136" s="274" t="s">
        <v>5617</v>
      </c>
      <c r="D136" s="275" t="s">
        <v>5634</v>
      </c>
      <c r="E136" s="289">
        <v>250</v>
      </c>
      <c r="F136" s="289">
        <v>850</v>
      </c>
      <c r="G136" s="289">
        <v>1200</v>
      </c>
      <c r="H136" s="276">
        <v>4</v>
      </c>
      <c r="I136" s="288">
        <v>4</v>
      </c>
      <c r="J136" s="289">
        <v>2</v>
      </c>
      <c r="K136" s="2998">
        <v>0.56879999999999997</v>
      </c>
      <c r="L136" s="2994">
        <v>0.8974000000000002</v>
      </c>
      <c r="M136" s="280" t="e">
        <f t="shared" si="0"/>
        <v>#VALUE!</v>
      </c>
      <c r="N136" s="280" t="e">
        <f t="shared" si="1"/>
        <v>#VALUE!</v>
      </c>
      <c r="O136" s="280" t="e">
        <f t="shared" si="2"/>
        <v>#VALUE!</v>
      </c>
      <c r="P136" s="289">
        <v>20</v>
      </c>
      <c r="Q136" s="289">
        <v>5</v>
      </c>
      <c r="R136" s="279">
        <f t="shared" si="3"/>
        <v>200</v>
      </c>
      <c r="S136" s="305"/>
      <c r="T136" s="305"/>
      <c r="U136" s="305"/>
      <c r="V136" s="282">
        <f t="shared" si="4"/>
        <v>20</v>
      </c>
      <c r="W136" s="281">
        <f t="shared" si="5"/>
        <v>20</v>
      </c>
      <c r="X136" s="283" t="e">
        <f t="shared" si="6"/>
        <v>#VALUE!</v>
      </c>
      <c r="Y136" s="283" t="e">
        <f t="shared" si="7"/>
        <v>#VALUE!</v>
      </c>
      <c r="Z136" s="284">
        <f>обор!$H$1157</f>
        <v>10</v>
      </c>
      <c r="AA136" s="282">
        <f>обор!$H$1158</f>
        <v>15</v>
      </c>
      <c r="AB136" s="282">
        <f>обор!$H$1159</f>
        <v>20</v>
      </c>
      <c r="AC136" s="280" t="e">
        <f t="shared" si="8"/>
        <v>#VALUE!</v>
      </c>
      <c r="AD136" s="280" t="e">
        <f t="shared" si="9"/>
        <v>#VALUE!</v>
      </c>
      <c r="AE136" s="280" t="e">
        <f t="shared" si="10"/>
        <v>#VALUE!</v>
      </c>
      <c r="AF136" s="265"/>
      <c r="AG136" s="289">
        <v>0.63</v>
      </c>
      <c r="AH136" s="289">
        <v>0.8</v>
      </c>
      <c r="AI136" s="290">
        <v>2975</v>
      </c>
      <c r="AJ136" s="289">
        <v>3975</v>
      </c>
      <c r="AK136" s="289">
        <v>1800</v>
      </c>
      <c r="AL136" s="289">
        <v>200</v>
      </c>
      <c r="AM136" s="289">
        <v>94</v>
      </c>
      <c r="AN136" s="289">
        <v>65</v>
      </c>
      <c r="AO136" s="289">
        <v>130</v>
      </c>
      <c r="AP136" s="289">
        <v>1590</v>
      </c>
      <c r="AQ136" s="286">
        <f>1300+AN136</f>
        <v>1365</v>
      </c>
      <c r="AR136" s="298">
        <f t="shared" si="12"/>
        <v>3375</v>
      </c>
      <c r="AS136" s="298">
        <f t="shared" si="13"/>
        <v>4000</v>
      </c>
      <c r="AT136" s="299">
        <v>3.57</v>
      </c>
      <c r="AU136" s="294">
        <v>420</v>
      </c>
      <c r="AV136" s="294">
        <v>70</v>
      </c>
      <c r="AW136" s="295">
        <v>220</v>
      </c>
      <c r="AX136" s="294">
        <f t="shared" si="11"/>
        <v>140</v>
      </c>
      <c r="AY136" s="302"/>
      <c r="AZ136" s="296"/>
      <c r="BA136" s="300">
        <v>0</v>
      </c>
      <c r="BC136" s="215">
        <v>18</v>
      </c>
    </row>
    <row r="137" spans="1:55" s="215" customFormat="1" ht="15.75" customHeight="1" x14ac:dyDescent="0.2">
      <c r="A137" s="274" t="s">
        <v>5766</v>
      </c>
      <c r="B137" s="274" t="s">
        <v>6431</v>
      </c>
      <c r="C137" s="274" t="s">
        <v>5620</v>
      </c>
      <c r="D137" s="275" t="s">
        <v>5634</v>
      </c>
      <c r="E137" s="289">
        <v>250</v>
      </c>
      <c r="F137" s="289">
        <v>850</v>
      </c>
      <c r="G137" s="289">
        <v>1200</v>
      </c>
      <c r="H137" s="276">
        <v>4</v>
      </c>
      <c r="I137" s="288">
        <v>4</v>
      </c>
      <c r="J137" s="289">
        <v>2</v>
      </c>
      <c r="K137" s="2998">
        <v>0.56879999999999997</v>
      </c>
      <c r="L137" s="2994">
        <v>0.8974000000000002</v>
      </c>
      <c r="M137" s="280" t="e">
        <f t="shared" si="0"/>
        <v>#VALUE!</v>
      </c>
      <c r="N137" s="280" t="e">
        <f t="shared" si="1"/>
        <v>#VALUE!</v>
      </c>
      <c r="O137" s="280" t="e">
        <f t="shared" si="2"/>
        <v>#VALUE!</v>
      </c>
      <c r="P137" s="289">
        <v>20</v>
      </c>
      <c r="Q137" s="289">
        <v>5</v>
      </c>
      <c r="R137" s="279">
        <f t="shared" si="3"/>
        <v>200</v>
      </c>
      <c r="S137" s="305"/>
      <c r="T137" s="305"/>
      <c r="U137" s="305"/>
      <c r="V137" s="282">
        <f t="shared" si="4"/>
        <v>20</v>
      </c>
      <c r="W137" s="281">
        <f t="shared" si="5"/>
        <v>20</v>
      </c>
      <c r="X137" s="283" t="e">
        <f t="shared" si="6"/>
        <v>#VALUE!</v>
      </c>
      <c r="Y137" s="283" t="e">
        <f t="shared" si="7"/>
        <v>#VALUE!</v>
      </c>
      <c r="Z137" s="284">
        <f>обор!$H$1157</f>
        <v>10</v>
      </c>
      <c r="AA137" s="282">
        <f>обор!$H$1158</f>
        <v>15</v>
      </c>
      <c r="AB137" s="282">
        <f>обор!$H$1159</f>
        <v>20</v>
      </c>
      <c r="AC137" s="280" t="e">
        <f t="shared" si="8"/>
        <v>#VALUE!</v>
      </c>
      <c r="AD137" s="280" t="e">
        <f t="shared" si="9"/>
        <v>#VALUE!</v>
      </c>
      <c r="AE137" s="280" t="e">
        <f t="shared" si="10"/>
        <v>#VALUE!</v>
      </c>
      <c r="AF137" s="265"/>
      <c r="AG137" s="289">
        <v>0.63</v>
      </c>
      <c r="AH137" s="289">
        <v>0.8</v>
      </c>
      <c r="AI137" s="290">
        <v>2975</v>
      </c>
      <c r="AJ137" s="289">
        <v>3975</v>
      </c>
      <c r="AK137" s="289">
        <v>1800</v>
      </c>
      <c r="AL137" s="289">
        <v>200</v>
      </c>
      <c r="AM137" s="289">
        <v>72</v>
      </c>
      <c r="AN137" s="289">
        <v>65</v>
      </c>
      <c r="AO137" s="289">
        <v>130</v>
      </c>
      <c r="AP137" s="289">
        <v>1590</v>
      </c>
      <c r="AQ137" s="286">
        <f>1300+AN137</f>
        <v>1365</v>
      </c>
      <c r="AR137" s="298">
        <f t="shared" si="12"/>
        <v>3375</v>
      </c>
      <c r="AS137" s="298">
        <f t="shared" si="13"/>
        <v>4000</v>
      </c>
      <c r="AT137" s="299">
        <v>3.57</v>
      </c>
      <c r="AU137" s="294">
        <v>420</v>
      </c>
      <c r="AV137" s="294">
        <v>70</v>
      </c>
      <c r="AW137" s="295">
        <v>220</v>
      </c>
      <c r="AX137" s="294">
        <f t="shared" si="11"/>
        <v>140</v>
      </c>
      <c r="AY137" s="302"/>
      <c r="AZ137" s="296"/>
      <c r="BA137" s="300">
        <v>0</v>
      </c>
      <c r="BC137" s="215">
        <v>19</v>
      </c>
    </row>
    <row r="138" spans="1:55" s="215" customFormat="1" x14ac:dyDescent="0.2">
      <c r="A138" s="274" t="s">
        <v>5766</v>
      </c>
      <c r="B138" s="337" t="s">
        <v>152</v>
      </c>
      <c r="C138" s="274" t="s">
        <v>5630</v>
      </c>
      <c r="D138" s="275" t="s">
        <v>5634</v>
      </c>
      <c r="E138" s="289">
        <v>350</v>
      </c>
      <c r="F138" s="289">
        <v>850</v>
      </c>
      <c r="G138" s="289">
        <v>1200</v>
      </c>
      <c r="H138" s="276">
        <v>4</v>
      </c>
      <c r="I138" s="288">
        <v>4</v>
      </c>
      <c r="J138" s="289">
        <v>2</v>
      </c>
      <c r="K138" s="2998">
        <v>0.56879999999999997</v>
      </c>
      <c r="L138" s="2994">
        <v>0.8974000000000002</v>
      </c>
      <c r="M138" s="280" t="e">
        <f t="shared" si="0"/>
        <v>#VALUE!</v>
      </c>
      <c r="N138" s="280" t="e">
        <f t="shared" si="1"/>
        <v>#VALUE!</v>
      </c>
      <c r="O138" s="280" t="e">
        <f t="shared" si="2"/>
        <v>#VALUE!</v>
      </c>
      <c r="P138" s="289">
        <v>20</v>
      </c>
      <c r="Q138" s="289">
        <v>10</v>
      </c>
      <c r="R138" s="279">
        <f t="shared" si="3"/>
        <v>300</v>
      </c>
      <c r="S138" s="305"/>
      <c r="T138" s="305"/>
      <c r="U138" s="305"/>
      <c r="V138" s="282">
        <f t="shared" si="4"/>
        <v>20</v>
      </c>
      <c r="W138" s="281">
        <f t="shared" si="5"/>
        <v>20</v>
      </c>
      <c r="X138" s="283" t="e">
        <f t="shared" si="6"/>
        <v>#VALUE!</v>
      </c>
      <c r="Y138" s="283" t="e">
        <f t="shared" si="7"/>
        <v>#VALUE!</v>
      </c>
      <c r="Z138" s="284">
        <f>обор!$H$1157</f>
        <v>10</v>
      </c>
      <c r="AA138" s="282">
        <f>обор!$H$1158</f>
        <v>15</v>
      </c>
      <c r="AB138" s="282">
        <f>обор!$H$1159</f>
        <v>20</v>
      </c>
      <c r="AC138" s="280" t="e">
        <f t="shared" si="8"/>
        <v>#VALUE!</v>
      </c>
      <c r="AD138" s="280" t="e">
        <f t="shared" si="9"/>
        <v>#VALUE!</v>
      </c>
      <c r="AE138" s="280" t="e">
        <f t="shared" si="10"/>
        <v>#VALUE!</v>
      </c>
      <c r="AF138" s="265"/>
      <c r="AG138" s="289">
        <v>0.63</v>
      </c>
      <c r="AH138" s="289">
        <v>0.8</v>
      </c>
      <c r="AI138" s="290">
        <v>3540</v>
      </c>
      <c r="AJ138" s="289">
        <v>3540</v>
      </c>
      <c r="AK138" s="289">
        <v>1800</v>
      </c>
      <c r="AL138" s="289">
        <v>95</v>
      </c>
      <c r="AM138" s="289">
        <v>90</v>
      </c>
      <c r="AN138" s="289">
        <v>63</v>
      </c>
      <c r="AO138" s="289">
        <v>63</v>
      </c>
      <c r="AP138" s="289">
        <v>620</v>
      </c>
      <c r="AQ138" s="286">
        <f t="shared" ref="AQ138:AQ173" si="14">960+AN138</f>
        <v>1023</v>
      </c>
      <c r="AR138" s="298">
        <f t="shared" si="12"/>
        <v>3355</v>
      </c>
      <c r="AS138" s="298">
        <f t="shared" si="13"/>
        <v>3980</v>
      </c>
      <c r="AT138" s="299">
        <v>2.15</v>
      </c>
      <c r="AU138" s="294">
        <v>700</v>
      </c>
      <c r="AV138" s="294">
        <v>70</v>
      </c>
      <c r="AW138" s="295">
        <v>220</v>
      </c>
      <c r="AX138" s="294">
        <f t="shared" si="11"/>
        <v>140</v>
      </c>
      <c r="AY138" s="302"/>
      <c r="AZ138" s="296"/>
      <c r="BA138" s="300">
        <v>800</v>
      </c>
      <c r="BC138" s="215">
        <v>20</v>
      </c>
    </row>
    <row r="139" spans="1:55" s="215" customFormat="1" x14ac:dyDescent="0.2">
      <c r="A139" s="274" t="s">
        <v>5766</v>
      </c>
      <c r="B139" s="274" t="s">
        <v>1917</v>
      </c>
      <c r="C139" s="274" t="s">
        <v>5630</v>
      </c>
      <c r="D139" s="275" t="s">
        <v>5634</v>
      </c>
      <c r="E139" s="289">
        <v>300</v>
      </c>
      <c r="F139" s="289">
        <v>850</v>
      </c>
      <c r="G139" s="289">
        <v>1200</v>
      </c>
      <c r="H139" s="276">
        <v>4</v>
      </c>
      <c r="I139" s="288">
        <v>4</v>
      </c>
      <c r="J139" s="289">
        <v>2</v>
      </c>
      <c r="K139" s="2998">
        <v>0.56879999999999997</v>
      </c>
      <c r="L139" s="2994">
        <v>0.8974000000000002</v>
      </c>
      <c r="M139" s="280" t="e">
        <f t="shared" si="0"/>
        <v>#VALUE!</v>
      </c>
      <c r="N139" s="280" t="e">
        <f t="shared" si="1"/>
        <v>#VALUE!</v>
      </c>
      <c r="O139" s="280" t="e">
        <f t="shared" si="2"/>
        <v>#VALUE!</v>
      </c>
      <c r="P139" s="289">
        <v>20</v>
      </c>
      <c r="Q139" s="289">
        <v>10</v>
      </c>
      <c r="R139" s="279">
        <f t="shared" si="3"/>
        <v>300</v>
      </c>
      <c r="S139" s="305"/>
      <c r="T139" s="305"/>
      <c r="U139" s="305"/>
      <c r="V139" s="282">
        <f t="shared" si="4"/>
        <v>20</v>
      </c>
      <c r="W139" s="281">
        <f t="shared" si="5"/>
        <v>20</v>
      </c>
      <c r="X139" s="283" t="e">
        <f t="shared" si="6"/>
        <v>#VALUE!</v>
      </c>
      <c r="Y139" s="283" t="e">
        <f t="shared" si="7"/>
        <v>#VALUE!</v>
      </c>
      <c r="Z139" s="284">
        <f>обор!$H$1157</f>
        <v>10</v>
      </c>
      <c r="AA139" s="282">
        <f>обор!$H$1158</f>
        <v>15</v>
      </c>
      <c r="AB139" s="282">
        <f>обор!$H$1159</f>
        <v>20</v>
      </c>
      <c r="AC139" s="280" t="e">
        <f t="shared" si="8"/>
        <v>#VALUE!</v>
      </c>
      <c r="AD139" s="280" t="e">
        <f t="shared" si="9"/>
        <v>#VALUE!</v>
      </c>
      <c r="AE139" s="280" t="e">
        <f t="shared" si="10"/>
        <v>#VALUE!</v>
      </c>
      <c r="AF139" s="265"/>
      <c r="AG139" s="289">
        <v>0.63</v>
      </c>
      <c r="AH139" s="289">
        <v>0.63</v>
      </c>
      <c r="AI139" s="290">
        <v>3540</v>
      </c>
      <c r="AJ139" s="289">
        <v>3540</v>
      </c>
      <c r="AK139" s="289">
        <v>1800</v>
      </c>
      <c r="AL139" s="289">
        <v>95</v>
      </c>
      <c r="AM139" s="289">
        <v>90</v>
      </c>
      <c r="AN139" s="289">
        <v>63</v>
      </c>
      <c r="AO139" s="289">
        <v>63</v>
      </c>
      <c r="AP139" s="289">
        <v>620</v>
      </c>
      <c r="AQ139" s="286">
        <f t="shared" si="14"/>
        <v>1023</v>
      </c>
      <c r="AR139" s="298">
        <f t="shared" si="12"/>
        <v>3355</v>
      </c>
      <c r="AS139" s="298">
        <f t="shared" si="13"/>
        <v>3980</v>
      </c>
      <c r="AT139" s="299">
        <v>2.15</v>
      </c>
      <c r="AU139" s="294">
        <v>855</v>
      </c>
      <c r="AV139" s="294">
        <v>70</v>
      </c>
      <c r="AW139" s="295">
        <v>220</v>
      </c>
      <c r="AX139" s="294">
        <f t="shared" si="11"/>
        <v>140</v>
      </c>
      <c r="AY139" s="302"/>
      <c r="AZ139" s="296"/>
      <c r="BA139" s="300">
        <v>800</v>
      </c>
      <c r="BC139" s="215">
        <v>21</v>
      </c>
    </row>
    <row r="140" spans="1:55" s="215" customFormat="1" x14ac:dyDescent="0.2">
      <c r="A140" s="274" t="s">
        <v>5767</v>
      </c>
      <c r="B140" s="274" t="s">
        <v>5618</v>
      </c>
      <c r="C140" s="274" t="s">
        <v>3480</v>
      </c>
      <c r="D140" s="275" t="s">
        <v>2778</v>
      </c>
      <c r="E140" s="289">
        <v>360</v>
      </c>
      <c r="F140" s="289">
        <v>850</v>
      </c>
      <c r="G140" s="289">
        <v>1250</v>
      </c>
      <c r="H140" s="276">
        <v>2</v>
      </c>
      <c r="I140" s="288">
        <v>3</v>
      </c>
      <c r="J140" s="289">
        <v>2</v>
      </c>
      <c r="K140" s="2998">
        <v>0.42880000000000001</v>
      </c>
      <c r="L140" s="2994">
        <v>0.46740000000000004</v>
      </c>
      <c r="M140" s="280" t="e">
        <f t="shared" si="0"/>
        <v>#VALUE!</v>
      </c>
      <c r="N140" s="280" t="e">
        <f t="shared" si="1"/>
        <v>#VALUE!</v>
      </c>
      <c r="O140" s="280" t="e">
        <f t="shared" si="2"/>
        <v>#VALUE!</v>
      </c>
      <c r="P140" s="289">
        <v>35</v>
      </c>
      <c r="Q140" s="289">
        <v>10</v>
      </c>
      <c r="R140" s="279">
        <f t="shared" si="3"/>
        <v>300</v>
      </c>
      <c r="S140" s="305"/>
      <c r="T140" s="305"/>
      <c r="U140" s="305"/>
      <c r="V140" s="282">
        <f t="shared" si="4"/>
        <v>20</v>
      </c>
      <c r="W140" s="281">
        <f t="shared" si="5"/>
        <v>20</v>
      </c>
      <c r="X140" s="283" t="e">
        <f t="shared" si="6"/>
        <v>#VALUE!</v>
      </c>
      <c r="Y140" s="283" t="e">
        <f t="shared" si="7"/>
        <v>#VALUE!</v>
      </c>
      <c r="Z140" s="284">
        <f>обор!$H$1157</f>
        <v>10</v>
      </c>
      <c r="AA140" s="282">
        <f>обор!$H$1158</f>
        <v>15</v>
      </c>
      <c r="AB140" s="282">
        <f>обор!$H$1159</f>
        <v>20</v>
      </c>
      <c r="AC140" s="280" t="e">
        <f t="shared" si="8"/>
        <v>#VALUE!</v>
      </c>
      <c r="AD140" s="280" t="e">
        <f t="shared" si="9"/>
        <v>#VALUE!</v>
      </c>
      <c r="AE140" s="280" t="e">
        <f t="shared" si="10"/>
        <v>#VALUE!</v>
      </c>
      <c r="AF140" s="265"/>
      <c r="AG140" s="289">
        <v>0.8</v>
      </c>
      <c r="AH140" s="289">
        <v>0.8</v>
      </c>
      <c r="AI140" s="290">
        <v>3545</v>
      </c>
      <c r="AJ140" s="289">
        <v>5400</v>
      </c>
      <c r="AK140" s="289">
        <v>2415</v>
      </c>
      <c r="AL140" s="289">
        <v>150</v>
      </c>
      <c r="AM140" s="289">
        <v>90</v>
      </c>
      <c r="AN140" s="289">
        <v>80</v>
      </c>
      <c r="AO140" s="289">
        <v>80</v>
      </c>
      <c r="AP140" s="289">
        <v>1460</v>
      </c>
      <c r="AQ140" s="286">
        <f t="shared" si="14"/>
        <v>1040</v>
      </c>
      <c r="AR140" s="298">
        <f t="shared" ref="AR140:AR147" si="15">AN140*10+300+AK140+500</f>
        <v>4015</v>
      </c>
      <c r="AS140" s="298">
        <f t="shared" ref="AS140:AS147" si="16">AR140+500</f>
        <v>4515</v>
      </c>
      <c r="AT140" s="299">
        <v>7</v>
      </c>
      <c r="AU140" s="294">
        <v>400</v>
      </c>
      <c r="AV140" s="294">
        <v>80</v>
      </c>
      <c r="AW140" s="295">
        <v>40</v>
      </c>
      <c r="AX140" s="294">
        <f t="shared" si="11"/>
        <v>160</v>
      </c>
      <c r="AY140" s="302"/>
      <c r="AZ140" s="296"/>
      <c r="BA140" s="300">
        <v>10</v>
      </c>
      <c r="BC140" s="215">
        <v>6</v>
      </c>
    </row>
    <row r="141" spans="1:55" s="215" customFormat="1" x14ac:dyDescent="0.2">
      <c r="A141" s="274" t="s">
        <v>5767</v>
      </c>
      <c r="B141" s="274" t="s">
        <v>1918</v>
      </c>
      <c r="C141" s="274" t="s">
        <v>3478</v>
      </c>
      <c r="D141" s="275" t="s">
        <v>2778</v>
      </c>
      <c r="E141" s="289">
        <v>360</v>
      </c>
      <c r="F141" s="289">
        <v>850</v>
      </c>
      <c r="G141" s="289">
        <v>1250</v>
      </c>
      <c r="H141" s="276">
        <v>2</v>
      </c>
      <c r="I141" s="288">
        <v>3</v>
      </c>
      <c r="J141" s="289">
        <v>2</v>
      </c>
      <c r="K141" s="2998">
        <v>0.42880000000000001</v>
      </c>
      <c r="L141" s="2994">
        <v>0.46740000000000004</v>
      </c>
      <c r="M141" s="280" t="e">
        <f t="shared" si="0"/>
        <v>#VALUE!</v>
      </c>
      <c r="N141" s="280" t="e">
        <f t="shared" si="1"/>
        <v>#VALUE!</v>
      </c>
      <c r="O141" s="280" t="e">
        <f t="shared" si="2"/>
        <v>#VALUE!</v>
      </c>
      <c r="P141" s="289">
        <v>35</v>
      </c>
      <c r="Q141" s="289">
        <v>10</v>
      </c>
      <c r="R141" s="279">
        <f t="shared" si="3"/>
        <v>300</v>
      </c>
      <c r="S141" s="305"/>
      <c r="T141" s="305"/>
      <c r="U141" s="305"/>
      <c r="V141" s="282">
        <f t="shared" si="4"/>
        <v>20</v>
      </c>
      <c r="W141" s="281">
        <f t="shared" si="5"/>
        <v>20</v>
      </c>
      <c r="X141" s="283" t="e">
        <f t="shared" si="6"/>
        <v>#VALUE!</v>
      </c>
      <c r="Y141" s="283" t="e">
        <f t="shared" si="7"/>
        <v>#VALUE!</v>
      </c>
      <c r="Z141" s="284">
        <f>обор!$H$1157</f>
        <v>10</v>
      </c>
      <c r="AA141" s="282">
        <f>обор!$H$1158</f>
        <v>15</v>
      </c>
      <c r="AB141" s="282">
        <f>обор!$H$1159</f>
        <v>20</v>
      </c>
      <c r="AC141" s="280" t="e">
        <f t="shared" si="8"/>
        <v>#VALUE!</v>
      </c>
      <c r="AD141" s="280" t="e">
        <f t="shared" si="9"/>
        <v>#VALUE!</v>
      </c>
      <c r="AE141" s="280" t="e">
        <f t="shared" si="10"/>
        <v>#VALUE!</v>
      </c>
      <c r="AF141" s="265"/>
      <c r="AG141" s="289">
        <v>0.63</v>
      </c>
      <c r="AH141" s="289">
        <v>0.8</v>
      </c>
      <c r="AI141" s="290">
        <v>3545</v>
      </c>
      <c r="AJ141" s="289">
        <v>5400</v>
      </c>
      <c r="AK141" s="289">
        <v>2415</v>
      </c>
      <c r="AL141" s="289">
        <v>150</v>
      </c>
      <c r="AM141" s="289">
        <v>90</v>
      </c>
      <c r="AN141" s="289">
        <v>80</v>
      </c>
      <c r="AO141" s="289">
        <v>80</v>
      </c>
      <c r="AP141" s="289">
        <v>1460</v>
      </c>
      <c r="AQ141" s="286">
        <f t="shared" si="14"/>
        <v>1040</v>
      </c>
      <c r="AR141" s="298">
        <f t="shared" si="15"/>
        <v>4015</v>
      </c>
      <c r="AS141" s="298">
        <f t="shared" si="16"/>
        <v>4515</v>
      </c>
      <c r="AT141" s="299">
        <v>7</v>
      </c>
      <c r="AU141" s="294">
        <v>400</v>
      </c>
      <c r="AV141" s="294">
        <v>80</v>
      </c>
      <c r="AW141" s="295">
        <v>40</v>
      </c>
      <c r="AX141" s="294">
        <f t="shared" si="11"/>
        <v>160</v>
      </c>
      <c r="AY141" s="302"/>
      <c r="AZ141" s="296"/>
      <c r="BA141" s="300">
        <v>10</v>
      </c>
      <c r="BC141" s="215">
        <v>3</v>
      </c>
    </row>
    <row r="142" spans="1:55" s="215" customFormat="1" x14ac:dyDescent="0.2">
      <c r="A142" s="274" t="s">
        <v>5767</v>
      </c>
      <c r="B142" s="274" t="s">
        <v>5675</v>
      </c>
      <c r="C142" s="274" t="s">
        <v>5631</v>
      </c>
      <c r="D142" s="275" t="s">
        <v>2778</v>
      </c>
      <c r="E142" s="289">
        <v>360</v>
      </c>
      <c r="F142" s="289">
        <v>850</v>
      </c>
      <c r="G142" s="289">
        <v>1250</v>
      </c>
      <c r="H142" s="276">
        <v>2</v>
      </c>
      <c r="I142" s="288">
        <v>3</v>
      </c>
      <c r="J142" s="289">
        <v>2</v>
      </c>
      <c r="K142" s="2998">
        <v>0.42880000000000001</v>
      </c>
      <c r="L142" s="2994">
        <v>0.46740000000000004</v>
      </c>
      <c r="M142" s="280" t="e">
        <f t="shared" si="0"/>
        <v>#VALUE!</v>
      </c>
      <c r="N142" s="280" t="e">
        <f t="shared" si="1"/>
        <v>#VALUE!</v>
      </c>
      <c r="O142" s="280" t="e">
        <f t="shared" si="2"/>
        <v>#VALUE!</v>
      </c>
      <c r="P142" s="289">
        <v>35</v>
      </c>
      <c r="Q142" s="289">
        <v>10</v>
      </c>
      <c r="R142" s="279">
        <f t="shared" si="3"/>
        <v>300</v>
      </c>
      <c r="S142" s="305"/>
      <c r="T142" s="305"/>
      <c r="U142" s="305"/>
      <c r="V142" s="282">
        <f t="shared" si="4"/>
        <v>20</v>
      </c>
      <c r="W142" s="281">
        <f t="shared" si="5"/>
        <v>20</v>
      </c>
      <c r="X142" s="283" t="e">
        <f t="shared" si="6"/>
        <v>#VALUE!</v>
      </c>
      <c r="Y142" s="283" t="e">
        <f t="shared" si="7"/>
        <v>#VALUE!</v>
      </c>
      <c r="Z142" s="284">
        <f>обор!$H$1157</f>
        <v>10</v>
      </c>
      <c r="AA142" s="282">
        <f>обор!$H$1158</f>
        <v>15</v>
      </c>
      <c r="AB142" s="282">
        <f>обор!$H$1159</f>
        <v>20</v>
      </c>
      <c r="AC142" s="280" t="e">
        <f t="shared" si="8"/>
        <v>#VALUE!</v>
      </c>
      <c r="AD142" s="280" t="e">
        <f t="shared" si="9"/>
        <v>#VALUE!</v>
      </c>
      <c r="AE142" s="280" t="e">
        <f t="shared" si="10"/>
        <v>#VALUE!</v>
      </c>
      <c r="AF142" s="265"/>
      <c r="AG142" s="289">
        <v>0.63</v>
      </c>
      <c r="AH142" s="289">
        <v>0.8</v>
      </c>
      <c r="AI142" s="290">
        <v>3545</v>
      </c>
      <c r="AJ142" s="289">
        <v>5400</v>
      </c>
      <c r="AK142" s="289">
        <v>2415</v>
      </c>
      <c r="AL142" s="289">
        <v>150</v>
      </c>
      <c r="AM142" s="289">
        <v>90</v>
      </c>
      <c r="AN142" s="289">
        <v>80</v>
      </c>
      <c r="AO142" s="289">
        <v>80</v>
      </c>
      <c r="AP142" s="289">
        <v>1460</v>
      </c>
      <c r="AQ142" s="286">
        <f t="shared" si="14"/>
        <v>1040</v>
      </c>
      <c r="AR142" s="298">
        <f t="shared" si="15"/>
        <v>4015</v>
      </c>
      <c r="AS142" s="298">
        <f t="shared" si="16"/>
        <v>4515</v>
      </c>
      <c r="AT142" s="299">
        <v>7</v>
      </c>
      <c r="AU142" s="294">
        <v>400</v>
      </c>
      <c r="AV142" s="294">
        <v>80</v>
      </c>
      <c r="AW142" s="295">
        <v>40</v>
      </c>
      <c r="AX142" s="294">
        <f t="shared" si="11"/>
        <v>160</v>
      </c>
      <c r="AY142" s="302"/>
      <c r="AZ142" s="296"/>
      <c r="BA142" s="300">
        <v>10</v>
      </c>
      <c r="BC142" s="215">
        <v>4</v>
      </c>
    </row>
    <row r="143" spans="1:55" s="215" customFormat="1" x14ac:dyDescent="0.2">
      <c r="A143" s="274" t="s">
        <v>5767</v>
      </c>
      <c r="B143" s="274" t="s">
        <v>1918</v>
      </c>
      <c r="C143" s="274" t="s">
        <v>5630</v>
      </c>
      <c r="D143" s="275" t="s">
        <v>2778</v>
      </c>
      <c r="E143" s="289">
        <v>360</v>
      </c>
      <c r="F143" s="289">
        <v>850</v>
      </c>
      <c r="G143" s="289">
        <v>1250</v>
      </c>
      <c r="H143" s="276">
        <v>2</v>
      </c>
      <c r="I143" s="288">
        <v>3</v>
      </c>
      <c r="J143" s="289">
        <v>2</v>
      </c>
      <c r="K143" s="2998">
        <v>0.42880000000000001</v>
      </c>
      <c r="L143" s="2994">
        <v>0.46740000000000004</v>
      </c>
      <c r="M143" s="280" t="e">
        <f t="shared" si="0"/>
        <v>#VALUE!</v>
      </c>
      <c r="N143" s="280" t="e">
        <f t="shared" si="1"/>
        <v>#VALUE!</v>
      </c>
      <c r="O143" s="280" t="e">
        <f t="shared" si="2"/>
        <v>#VALUE!</v>
      </c>
      <c r="P143" s="289">
        <v>35</v>
      </c>
      <c r="Q143" s="289">
        <v>10</v>
      </c>
      <c r="R143" s="279">
        <f t="shared" si="3"/>
        <v>300</v>
      </c>
      <c r="S143" s="305"/>
      <c r="T143" s="305"/>
      <c r="U143" s="305"/>
      <c r="V143" s="282">
        <f t="shared" si="4"/>
        <v>20</v>
      </c>
      <c r="W143" s="281">
        <f t="shared" si="5"/>
        <v>20</v>
      </c>
      <c r="X143" s="283" t="e">
        <f t="shared" si="6"/>
        <v>#VALUE!</v>
      </c>
      <c r="Y143" s="283" t="e">
        <f t="shared" si="7"/>
        <v>#VALUE!</v>
      </c>
      <c r="Z143" s="284">
        <f>обор!$H$1157</f>
        <v>10</v>
      </c>
      <c r="AA143" s="282">
        <f>обор!$H$1158</f>
        <v>15</v>
      </c>
      <c r="AB143" s="282">
        <f>обор!$H$1159</f>
        <v>20</v>
      </c>
      <c r="AC143" s="280" t="e">
        <f t="shared" si="8"/>
        <v>#VALUE!</v>
      </c>
      <c r="AD143" s="280" t="e">
        <f t="shared" si="9"/>
        <v>#VALUE!</v>
      </c>
      <c r="AE143" s="280" t="e">
        <f t="shared" si="10"/>
        <v>#VALUE!</v>
      </c>
      <c r="AF143" s="265"/>
      <c r="AG143" s="289">
        <v>0.8</v>
      </c>
      <c r="AH143" s="289">
        <v>0.8</v>
      </c>
      <c r="AI143" s="290">
        <v>3545</v>
      </c>
      <c r="AJ143" s="289">
        <v>5400</v>
      </c>
      <c r="AK143" s="289">
        <v>2415</v>
      </c>
      <c r="AL143" s="289">
        <v>150</v>
      </c>
      <c r="AM143" s="289">
        <v>90</v>
      </c>
      <c r="AN143" s="289">
        <v>80</v>
      </c>
      <c r="AO143" s="289">
        <v>80</v>
      </c>
      <c r="AP143" s="289">
        <v>1460</v>
      </c>
      <c r="AQ143" s="286">
        <f t="shared" si="14"/>
        <v>1040</v>
      </c>
      <c r="AR143" s="298">
        <f t="shared" si="15"/>
        <v>4015</v>
      </c>
      <c r="AS143" s="298">
        <f t="shared" si="16"/>
        <v>4515</v>
      </c>
      <c r="AT143" s="299">
        <v>7</v>
      </c>
      <c r="AU143" s="294">
        <v>400</v>
      </c>
      <c r="AV143" s="294">
        <v>80</v>
      </c>
      <c r="AW143" s="295">
        <v>40</v>
      </c>
      <c r="AX143" s="294">
        <f t="shared" si="11"/>
        <v>160</v>
      </c>
      <c r="AY143" s="302"/>
      <c r="AZ143" s="296"/>
      <c r="BA143" s="300">
        <v>10</v>
      </c>
      <c r="BC143" s="215">
        <v>5</v>
      </c>
    </row>
    <row r="144" spans="1:55" s="215" customFormat="1" ht="21.75" x14ac:dyDescent="0.2">
      <c r="A144" s="274" t="s">
        <v>5776</v>
      </c>
      <c r="B144" s="274" t="s">
        <v>5626</v>
      </c>
      <c r="C144" s="274" t="s">
        <v>5620</v>
      </c>
      <c r="D144" s="275" t="s">
        <v>5640</v>
      </c>
      <c r="E144" s="289">
        <v>350</v>
      </c>
      <c r="F144" s="289">
        <v>850</v>
      </c>
      <c r="G144" s="289">
        <v>1500</v>
      </c>
      <c r="H144" s="276">
        <v>3</v>
      </c>
      <c r="I144" s="288">
        <v>3</v>
      </c>
      <c r="J144" s="289">
        <v>2</v>
      </c>
      <c r="K144" s="2998">
        <v>0.49879999999999997</v>
      </c>
      <c r="L144" s="2994">
        <v>0.6823999999999999</v>
      </c>
      <c r="M144" s="280" t="e">
        <f t="shared" si="0"/>
        <v>#VALUE!</v>
      </c>
      <c r="N144" s="280" t="e">
        <f t="shared" si="1"/>
        <v>#VALUE!</v>
      </c>
      <c r="O144" s="280" t="e">
        <f t="shared" si="2"/>
        <v>#VALUE!</v>
      </c>
      <c r="P144" s="289">
        <v>35</v>
      </c>
      <c r="Q144" s="289">
        <v>10</v>
      </c>
      <c r="R144" s="279">
        <f t="shared" si="3"/>
        <v>300</v>
      </c>
      <c r="S144" s="305"/>
      <c r="T144" s="305"/>
      <c r="U144" s="305"/>
      <c r="V144" s="282">
        <f t="shared" si="4"/>
        <v>20</v>
      </c>
      <c r="W144" s="281">
        <f t="shared" si="5"/>
        <v>20</v>
      </c>
      <c r="X144" s="283" t="e">
        <f t="shared" si="6"/>
        <v>#VALUE!</v>
      </c>
      <c r="Y144" s="283" t="e">
        <f t="shared" si="7"/>
        <v>#VALUE!</v>
      </c>
      <c r="Z144" s="284">
        <f>обор!$H$1157</f>
        <v>10</v>
      </c>
      <c r="AA144" s="282">
        <f>обор!$H$1158</f>
        <v>15</v>
      </c>
      <c r="AB144" s="282">
        <f>обор!$H$1159</f>
        <v>20</v>
      </c>
      <c r="AC144" s="280" t="e">
        <f t="shared" si="8"/>
        <v>#VALUE!</v>
      </c>
      <c r="AD144" s="280" t="e">
        <f t="shared" si="9"/>
        <v>#VALUE!</v>
      </c>
      <c r="AE144" s="280" t="e">
        <f t="shared" si="10"/>
        <v>#VALUE!</v>
      </c>
      <c r="AF144" s="265"/>
      <c r="AG144" s="289">
        <v>0.63</v>
      </c>
      <c r="AH144" s="289">
        <v>0.8</v>
      </c>
      <c r="AI144" s="290">
        <v>3565</v>
      </c>
      <c r="AJ144" s="289">
        <v>5100</v>
      </c>
      <c r="AK144" s="289">
        <v>2415</v>
      </c>
      <c r="AL144" s="289">
        <v>135</v>
      </c>
      <c r="AM144" s="289">
        <v>90</v>
      </c>
      <c r="AN144" s="289">
        <v>80</v>
      </c>
      <c r="AO144" s="289">
        <v>80</v>
      </c>
      <c r="AP144" s="289">
        <v>1300</v>
      </c>
      <c r="AQ144" s="286">
        <f t="shared" si="14"/>
        <v>1040</v>
      </c>
      <c r="AR144" s="298">
        <f t="shared" si="15"/>
        <v>4015</v>
      </c>
      <c r="AS144" s="298">
        <f t="shared" si="16"/>
        <v>4515</v>
      </c>
      <c r="AT144" s="299">
        <v>5.6</v>
      </c>
      <c r="AU144" s="294">
        <v>400</v>
      </c>
      <c r="AV144" s="294">
        <v>100</v>
      </c>
      <c r="AW144" s="295">
        <v>108</v>
      </c>
      <c r="AX144" s="294">
        <f t="shared" si="11"/>
        <v>200</v>
      </c>
      <c r="AY144" s="302"/>
      <c r="AZ144" s="296"/>
      <c r="BA144" s="300">
        <v>10</v>
      </c>
      <c r="BC144" s="215">
        <v>72</v>
      </c>
    </row>
    <row r="145" spans="1:55" s="215" customFormat="1" ht="16.5" customHeight="1" x14ac:dyDescent="0.2">
      <c r="A145" s="274" t="s">
        <v>5776</v>
      </c>
      <c r="B145" s="274" t="s">
        <v>1917</v>
      </c>
      <c r="C145" s="274" t="s">
        <v>5631</v>
      </c>
      <c r="D145" s="275" t="s">
        <v>5640</v>
      </c>
      <c r="E145" s="289">
        <v>350</v>
      </c>
      <c r="F145" s="289">
        <v>850</v>
      </c>
      <c r="G145" s="289">
        <v>1500</v>
      </c>
      <c r="H145" s="276">
        <v>3</v>
      </c>
      <c r="I145" s="288">
        <v>3</v>
      </c>
      <c r="J145" s="289">
        <v>2</v>
      </c>
      <c r="K145" s="2998">
        <v>0.49879999999999997</v>
      </c>
      <c r="L145" s="2994">
        <v>0.6823999999999999</v>
      </c>
      <c r="M145" s="280" t="e">
        <f t="shared" si="0"/>
        <v>#VALUE!</v>
      </c>
      <c r="N145" s="280" t="e">
        <f t="shared" si="1"/>
        <v>#VALUE!</v>
      </c>
      <c r="O145" s="280" t="e">
        <f t="shared" si="2"/>
        <v>#VALUE!</v>
      </c>
      <c r="P145" s="288">
        <v>35</v>
      </c>
      <c r="Q145" s="289">
        <v>10</v>
      </c>
      <c r="R145" s="279">
        <f t="shared" si="3"/>
        <v>300</v>
      </c>
      <c r="S145" s="305"/>
      <c r="T145" s="305"/>
      <c r="U145" s="305"/>
      <c r="V145" s="282">
        <f t="shared" si="4"/>
        <v>20</v>
      </c>
      <c r="W145" s="281">
        <f t="shared" si="5"/>
        <v>20</v>
      </c>
      <c r="X145" s="283" t="e">
        <f t="shared" si="6"/>
        <v>#VALUE!</v>
      </c>
      <c r="Y145" s="283" t="e">
        <f t="shared" si="7"/>
        <v>#VALUE!</v>
      </c>
      <c r="Z145" s="284">
        <f>обор!$H$1157</f>
        <v>10</v>
      </c>
      <c r="AA145" s="282">
        <f>обор!$H$1158</f>
        <v>15</v>
      </c>
      <c r="AB145" s="282">
        <f>обор!$H$1159</f>
        <v>20</v>
      </c>
      <c r="AC145" s="280" t="e">
        <f t="shared" si="8"/>
        <v>#VALUE!</v>
      </c>
      <c r="AD145" s="280" t="e">
        <f t="shared" si="9"/>
        <v>#VALUE!</v>
      </c>
      <c r="AE145" s="280" t="e">
        <f t="shared" si="10"/>
        <v>#VALUE!</v>
      </c>
      <c r="AF145" s="265"/>
      <c r="AG145" s="289">
        <v>0.63</v>
      </c>
      <c r="AH145" s="289">
        <v>0.8</v>
      </c>
      <c r="AI145" s="290">
        <v>3565</v>
      </c>
      <c r="AJ145" s="289">
        <v>5100</v>
      </c>
      <c r="AK145" s="289">
        <v>2415</v>
      </c>
      <c r="AL145" s="289">
        <v>135</v>
      </c>
      <c r="AM145" s="289">
        <v>90</v>
      </c>
      <c r="AN145" s="289">
        <v>80</v>
      </c>
      <c r="AO145" s="289">
        <v>80</v>
      </c>
      <c r="AP145" s="289">
        <v>1300</v>
      </c>
      <c r="AQ145" s="286">
        <f t="shared" si="14"/>
        <v>1040</v>
      </c>
      <c r="AR145" s="298">
        <f t="shared" si="15"/>
        <v>4015</v>
      </c>
      <c r="AS145" s="298">
        <f t="shared" si="16"/>
        <v>4515</v>
      </c>
      <c r="AT145" s="299">
        <v>5.6</v>
      </c>
      <c r="AU145" s="294">
        <v>400</v>
      </c>
      <c r="AV145" s="294">
        <v>100</v>
      </c>
      <c r="AW145" s="295">
        <v>108</v>
      </c>
      <c r="AX145" s="294">
        <f t="shared" si="11"/>
        <v>200</v>
      </c>
      <c r="AY145" s="302"/>
      <c r="AZ145" s="296"/>
      <c r="BA145" s="300">
        <v>10</v>
      </c>
      <c r="BC145" s="215">
        <v>73</v>
      </c>
    </row>
    <row r="146" spans="1:55" s="215" customFormat="1" ht="18" customHeight="1" x14ac:dyDescent="0.2">
      <c r="A146" s="274" t="s">
        <v>5776</v>
      </c>
      <c r="B146" s="274" t="s">
        <v>1918</v>
      </c>
      <c r="C146" s="274" t="s">
        <v>5630</v>
      </c>
      <c r="D146" s="275" t="s">
        <v>5640</v>
      </c>
      <c r="E146" s="289">
        <v>360</v>
      </c>
      <c r="F146" s="289">
        <v>850</v>
      </c>
      <c r="G146" s="289">
        <v>1500</v>
      </c>
      <c r="H146" s="276">
        <v>3</v>
      </c>
      <c r="I146" s="288">
        <v>3</v>
      </c>
      <c r="J146" s="289">
        <v>2</v>
      </c>
      <c r="K146" s="2998">
        <v>0.49879999999999997</v>
      </c>
      <c r="L146" s="2994">
        <v>0.6823999999999999</v>
      </c>
      <c r="M146" s="280" t="e">
        <f t="shared" si="0"/>
        <v>#VALUE!</v>
      </c>
      <c r="N146" s="280" t="e">
        <f t="shared" si="1"/>
        <v>#VALUE!</v>
      </c>
      <c r="O146" s="280" t="e">
        <f t="shared" si="2"/>
        <v>#VALUE!</v>
      </c>
      <c r="P146" s="289">
        <v>35</v>
      </c>
      <c r="Q146" s="289">
        <v>10</v>
      </c>
      <c r="R146" s="279">
        <f t="shared" si="3"/>
        <v>300</v>
      </c>
      <c r="S146" s="305"/>
      <c r="T146" s="305"/>
      <c r="U146" s="305"/>
      <c r="V146" s="282">
        <f t="shared" si="4"/>
        <v>20</v>
      </c>
      <c r="W146" s="281">
        <f t="shared" si="5"/>
        <v>20</v>
      </c>
      <c r="X146" s="283" t="e">
        <f t="shared" si="6"/>
        <v>#VALUE!</v>
      </c>
      <c r="Y146" s="283" t="e">
        <f t="shared" si="7"/>
        <v>#VALUE!</v>
      </c>
      <c r="Z146" s="284">
        <f>обор!$H$1157</f>
        <v>10</v>
      </c>
      <c r="AA146" s="282">
        <f>обор!$H$1158</f>
        <v>15</v>
      </c>
      <c r="AB146" s="282">
        <f>обор!$H$1159</f>
        <v>20</v>
      </c>
      <c r="AC146" s="280" t="e">
        <f t="shared" si="8"/>
        <v>#VALUE!</v>
      </c>
      <c r="AD146" s="280" t="e">
        <f t="shared" si="9"/>
        <v>#VALUE!</v>
      </c>
      <c r="AE146" s="280" t="e">
        <f t="shared" si="10"/>
        <v>#VALUE!</v>
      </c>
      <c r="AF146" s="265"/>
      <c r="AG146" s="289">
        <v>0.8</v>
      </c>
      <c r="AH146" s="289">
        <v>0.8</v>
      </c>
      <c r="AI146" s="290">
        <v>3565</v>
      </c>
      <c r="AJ146" s="289">
        <v>5100</v>
      </c>
      <c r="AK146" s="289">
        <v>2415</v>
      </c>
      <c r="AL146" s="289">
        <v>135</v>
      </c>
      <c r="AM146" s="289">
        <v>90</v>
      </c>
      <c r="AN146" s="289">
        <v>80</v>
      </c>
      <c r="AO146" s="289">
        <v>80</v>
      </c>
      <c r="AP146" s="289">
        <v>1300</v>
      </c>
      <c r="AQ146" s="286">
        <f t="shared" si="14"/>
        <v>1040</v>
      </c>
      <c r="AR146" s="298">
        <f t="shared" si="15"/>
        <v>4015</v>
      </c>
      <c r="AS146" s="298">
        <f t="shared" si="16"/>
        <v>4515</v>
      </c>
      <c r="AT146" s="299">
        <v>5.6</v>
      </c>
      <c r="AU146" s="294">
        <v>400</v>
      </c>
      <c r="AV146" s="294">
        <v>100</v>
      </c>
      <c r="AW146" s="295">
        <v>108</v>
      </c>
      <c r="AX146" s="294">
        <f t="shared" si="11"/>
        <v>200</v>
      </c>
      <c r="AY146" s="302"/>
      <c r="AZ146" s="296"/>
      <c r="BA146" s="300">
        <v>10</v>
      </c>
      <c r="BC146" s="215">
        <v>75</v>
      </c>
    </row>
    <row r="147" spans="1:55" s="215" customFormat="1" ht="15" customHeight="1" x14ac:dyDescent="0.2">
      <c r="A147" s="274" t="s">
        <v>5776</v>
      </c>
      <c r="B147" s="274" t="s">
        <v>5618</v>
      </c>
      <c r="C147" s="274" t="s">
        <v>5630</v>
      </c>
      <c r="D147" s="275" t="s">
        <v>5640</v>
      </c>
      <c r="E147" s="289">
        <v>360</v>
      </c>
      <c r="F147" s="289">
        <v>850</v>
      </c>
      <c r="G147" s="289">
        <v>1500</v>
      </c>
      <c r="H147" s="276">
        <v>3</v>
      </c>
      <c r="I147" s="288">
        <v>3</v>
      </c>
      <c r="J147" s="289">
        <v>2</v>
      </c>
      <c r="K147" s="2998">
        <v>0.49879999999999997</v>
      </c>
      <c r="L147" s="2994">
        <v>0.6823999999999999</v>
      </c>
      <c r="M147" s="280" t="e">
        <f t="shared" si="0"/>
        <v>#VALUE!</v>
      </c>
      <c r="N147" s="280" t="e">
        <f t="shared" si="1"/>
        <v>#VALUE!</v>
      </c>
      <c r="O147" s="280" t="e">
        <f t="shared" si="2"/>
        <v>#VALUE!</v>
      </c>
      <c r="P147" s="289">
        <v>35</v>
      </c>
      <c r="Q147" s="289">
        <v>10</v>
      </c>
      <c r="R147" s="279">
        <f t="shared" si="3"/>
        <v>300</v>
      </c>
      <c r="S147" s="305"/>
      <c r="T147" s="305"/>
      <c r="U147" s="305"/>
      <c r="V147" s="282">
        <f t="shared" si="4"/>
        <v>20</v>
      </c>
      <c r="W147" s="281">
        <f t="shared" si="5"/>
        <v>20</v>
      </c>
      <c r="X147" s="283" t="e">
        <f t="shared" si="6"/>
        <v>#VALUE!</v>
      </c>
      <c r="Y147" s="283" t="e">
        <f t="shared" si="7"/>
        <v>#VALUE!</v>
      </c>
      <c r="Z147" s="284">
        <f>обор!$H$1157</f>
        <v>10</v>
      </c>
      <c r="AA147" s="282">
        <f>обор!$H$1158</f>
        <v>15</v>
      </c>
      <c r="AB147" s="282">
        <f>обор!$H$1159</f>
        <v>20</v>
      </c>
      <c r="AC147" s="280" t="e">
        <f t="shared" si="8"/>
        <v>#VALUE!</v>
      </c>
      <c r="AD147" s="280" t="e">
        <f t="shared" si="9"/>
        <v>#VALUE!</v>
      </c>
      <c r="AE147" s="280" t="e">
        <f t="shared" si="10"/>
        <v>#VALUE!</v>
      </c>
      <c r="AF147" s="265"/>
      <c r="AG147" s="289">
        <v>0.8</v>
      </c>
      <c r="AH147" s="289">
        <v>0.8</v>
      </c>
      <c r="AI147" s="290">
        <v>3565</v>
      </c>
      <c r="AJ147" s="289">
        <v>5100</v>
      </c>
      <c r="AK147" s="289">
        <v>2415</v>
      </c>
      <c r="AL147" s="289">
        <v>135</v>
      </c>
      <c r="AM147" s="289">
        <v>90</v>
      </c>
      <c r="AN147" s="289">
        <v>80</v>
      </c>
      <c r="AO147" s="289">
        <v>80</v>
      </c>
      <c r="AP147" s="289">
        <v>1300</v>
      </c>
      <c r="AQ147" s="286">
        <f t="shared" si="14"/>
        <v>1040</v>
      </c>
      <c r="AR147" s="298">
        <f t="shared" si="15"/>
        <v>4015</v>
      </c>
      <c r="AS147" s="298">
        <f t="shared" si="16"/>
        <v>4515</v>
      </c>
      <c r="AT147" s="299">
        <v>5.6</v>
      </c>
      <c r="AU147" s="294">
        <v>400</v>
      </c>
      <c r="AV147" s="294">
        <v>100</v>
      </c>
      <c r="AW147" s="295">
        <v>108</v>
      </c>
      <c r="AX147" s="294">
        <f t="shared" si="11"/>
        <v>200</v>
      </c>
      <c r="AY147" s="302"/>
      <c r="AZ147" s="296"/>
      <c r="BA147" s="300">
        <v>10</v>
      </c>
      <c r="BC147" s="215">
        <v>74</v>
      </c>
    </row>
    <row r="148" spans="1:55" s="215" customFormat="1" ht="16.5" customHeight="1" x14ac:dyDescent="0.2">
      <c r="A148" s="274" t="s">
        <v>5768</v>
      </c>
      <c r="B148" s="274" t="s">
        <v>152</v>
      </c>
      <c r="C148" s="274" t="s">
        <v>5631</v>
      </c>
      <c r="D148" s="275" t="s">
        <v>5629</v>
      </c>
      <c r="E148" s="289">
        <v>360</v>
      </c>
      <c r="F148" s="289">
        <v>900</v>
      </c>
      <c r="G148" s="289">
        <v>1200</v>
      </c>
      <c r="H148" s="276">
        <v>4</v>
      </c>
      <c r="I148" s="288">
        <v>4</v>
      </c>
      <c r="J148" s="289">
        <v>2</v>
      </c>
      <c r="K148" s="2998">
        <v>0.97479999999999989</v>
      </c>
      <c r="L148" s="2994">
        <v>2.1444000000000001</v>
      </c>
      <c r="M148" s="280" t="e">
        <f t="shared" si="0"/>
        <v>#VALUE!</v>
      </c>
      <c r="N148" s="280" t="e">
        <f t="shared" si="1"/>
        <v>#VALUE!</v>
      </c>
      <c r="O148" s="280" t="e">
        <f t="shared" si="2"/>
        <v>#VALUE!</v>
      </c>
      <c r="P148" s="289">
        <v>35</v>
      </c>
      <c r="Q148" s="289">
        <v>12</v>
      </c>
      <c r="R148" s="279">
        <f t="shared" si="3"/>
        <v>300</v>
      </c>
      <c r="S148" s="305"/>
      <c r="T148" s="305"/>
      <c r="U148" s="305"/>
      <c r="V148" s="282">
        <f t="shared" si="4"/>
        <v>20</v>
      </c>
      <c r="W148" s="281">
        <f t="shared" si="5"/>
        <v>20</v>
      </c>
      <c r="X148" s="283" t="e">
        <f t="shared" si="6"/>
        <v>#VALUE!</v>
      </c>
      <c r="Y148" s="283" t="e">
        <f t="shared" si="7"/>
        <v>#VALUE!</v>
      </c>
      <c r="Z148" s="284">
        <f>обор!$H$1157</f>
        <v>10</v>
      </c>
      <c r="AA148" s="282">
        <f>обор!$H$1158</f>
        <v>15</v>
      </c>
      <c r="AB148" s="282">
        <f>обор!$H$1159</f>
        <v>20</v>
      </c>
      <c r="AC148" s="280" t="e">
        <f t="shared" si="8"/>
        <v>#VALUE!</v>
      </c>
      <c r="AD148" s="280" t="e">
        <f t="shared" si="9"/>
        <v>#VALUE!</v>
      </c>
      <c r="AE148" s="280" t="e">
        <f t="shared" si="10"/>
        <v>#VALUE!</v>
      </c>
      <c r="AF148" s="265"/>
      <c r="AG148" s="289">
        <v>0.63</v>
      </c>
      <c r="AH148" s="289">
        <v>0.63</v>
      </c>
      <c r="AI148" s="290">
        <v>4080</v>
      </c>
      <c r="AJ148" s="289">
        <v>5150</v>
      </c>
      <c r="AK148" s="289">
        <v>2750</v>
      </c>
      <c r="AL148" s="289">
        <v>150</v>
      </c>
      <c r="AM148" s="289">
        <v>92</v>
      </c>
      <c r="AN148" s="289">
        <v>80</v>
      </c>
      <c r="AO148" s="289">
        <v>80</v>
      </c>
      <c r="AP148" s="289">
        <v>1440</v>
      </c>
      <c r="AQ148" s="286">
        <f t="shared" si="14"/>
        <v>1040</v>
      </c>
      <c r="AR148" s="298">
        <f>((AJ148-AK148)/2)+AK148+AN148*10</f>
        <v>4750</v>
      </c>
      <c r="AS148" s="298">
        <f>AJ148+AN148</f>
        <v>5230</v>
      </c>
      <c r="AT148" s="299">
        <v>7.5</v>
      </c>
      <c r="AU148" s="294">
        <v>850</v>
      </c>
      <c r="AV148" s="294">
        <v>100</v>
      </c>
      <c r="AW148" s="295">
        <v>0</v>
      </c>
      <c r="AX148" s="294">
        <f t="shared" si="11"/>
        <v>200</v>
      </c>
      <c r="AY148" s="302"/>
      <c r="AZ148" s="296"/>
      <c r="BA148" s="300">
        <v>30</v>
      </c>
      <c r="BC148" s="215">
        <v>77</v>
      </c>
    </row>
    <row r="149" spans="1:55" s="215" customFormat="1" ht="13.5" customHeight="1" x14ac:dyDescent="0.2">
      <c r="A149" s="274" t="s">
        <v>5768</v>
      </c>
      <c r="B149" s="274" t="s">
        <v>5641</v>
      </c>
      <c r="C149" s="274" t="s">
        <v>5631</v>
      </c>
      <c r="D149" s="275" t="s">
        <v>5629</v>
      </c>
      <c r="E149" s="289">
        <v>350</v>
      </c>
      <c r="F149" s="289">
        <v>900</v>
      </c>
      <c r="G149" s="289">
        <v>1200</v>
      </c>
      <c r="H149" s="276">
        <v>4</v>
      </c>
      <c r="I149" s="288">
        <v>4</v>
      </c>
      <c r="J149" s="289">
        <v>2</v>
      </c>
      <c r="K149" s="2998">
        <v>0.97479999999999989</v>
      </c>
      <c r="L149" s="2994">
        <v>2.1444000000000001</v>
      </c>
      <c r="M149" s="280" t="e">
        <f t="shared" si="0"/>
        <v>#VALUE!</v>
      </c>
      <c r="N149" s="280" t="e">
        <f t="shared" si="1"/>
        <v>#VALUE!</v>
      </c>
      <c r="O149" s="280" t="e">
        <f t="shared" si="2"/>
        <v>#VALUE!</v>
      </c>
      <c r="P149" s="289">
        <v>35</v>
      </c>
      <c r="Q149" s="289">
        <v>12</v>
      </c>
      <c r="R149" s="279">
        <f t="shared" si="3"/>
        <v>300</v>
      </c>
      <c r="S149" s="305"/>
      <c r="T149" s="305"/>
      <c r="U149" s="305"/>
      <c r="V149" s="282">
        <f t="shared" si="4"/>
        <v>20</v>
      </c>
      <c r="W149" s="281">
        <f t="shared" si="5"/>
        <v>20</v>
      </c>
      <c r="X149" s="283" t="e">
        <f t="shared" si="6"/>
        <v>#VALUE!</v>
      </c>
      <c r="Y149" s="283" t="e">
        <f t="shared" si="7"/>
        <v>#VALUE!</v>
      </c>
      <c r="Z149" s="284">
        <f>обор!$H$1157</f>
        <v>10</v>
      </c>
      <c r="AA149" s="282">
        <f>обор!$H$1158</f>
        <v>15</v>
      </c>
      <c r="AB149" s="282">
        <f>обор!$H$1159</f>
        <v>20</v>
      </c>
      <c r="AC149" s="280" t="e">
        <f t="shared" si="8"/>
        <v>#VALUE!</v>
      </c>
      <c r="AD149" s="280" t="e">
        <f t="shared" si="9"/>
        <v>#VALUE!</v>
      </c>
      <c r="AE149" s="280" t="e">
        <f t="shared" si="10"/>
        <v>#VALUE!</v>
      </c>
      <c r="AF149" s="265"/>
      <c r="AG149" s="289">
        <v>0.63</v>
      </c>
      <c r="AH149" s="289">
        <v>0.8</v>
      </c>
      <c r="AI149" s="290">
        <v>4080</v>
      </c>
      <c r="AJ149" s="289">
        <v>5150</v>
      </c>
      <c r="AK149" s="289">
        <v>2750</v>
      </c>
      <c r="AL149" s="289">
        <v>150</v>
      </c>
      <c r="AM149" s="289">
        <v>92</v>
      </c>
      <c r="AN149" s="289">
        <v>80</v>
      </c>
      <c r="AO149" s="289">
        <v>80</v>
      </c>
      <c r="AP149" s="289">
        <v>1440</v>
      </c>
      <c r="AQ149" s="286">
        <f t="shared" si="14"/>
        <v>1040</v>
      </c>
      <c r="AR149" s="298">
        <f>((AJ149-AK149)/2)+AK149+AN149*10</f>
        <v>4750</v>
      </c>
      <c r="AS149" s="298">
        <f>AJ149+AN149</f>
        <v>5230</v>
      </c>
      <c r="AT149" s="299">
        <v>7.5</v>
      </c>
      <c r="AU149" s="294">
        <v>700</v>
      </c>
      <c r="AV149" s="294">
        <v>100</v>
      </c>
      <c r="AW149" s="295">
        <v>0</v>
      </c>
      <c r="AX149" s="294">
        <f t="shared" si="11"/>
        <v>200</v>
      </c>
      <c r="AY149" s="302"/>
      <c r="AZ149" s="296"/>
      <c r="BA149" s="300">
        <v>30</v>
      </c>
      <c r="BC149" s="215">
        <v>76</v>
      </c>
    </row>
    <row r="150" spans="1:55" s="215" customFormat="1" x14ac:dyDescent="0.2">
      <c r="A150" s="274" t="s">
        <v>5777</v>
      </c>
      <c r="B150" s="274" t="s">
        <v>5675</v>
      </c>
      <c r="C150" s="274" t="s">
        <v>5631</v>
      </c>
      <c r="D150" s="275" t="s">
        <v>5635</v>
      </c>
      <c r="E150" s="289">
        <v>350</v>
      </c>
      <c r="F150" s="289">
        <v>950</v>
      </c>
      <c r="G150" s="289">
        <v>1500</v>
      </c>
      <c r="H150" s="276">
        <v>4</v>
      </c>
      <c r="I150" s="288">
        <v>4</v>
      </c>
      <c r="J150" s="289">
        <v>2</v>
      </c>
      <c r="K150" s="2998">
        <v>0.77879999999999994</v>
      </c>
      <c r="L150" s="2994">
        <v>1.5423999999999998</v>
      </c>
      <c r="M150" s="280" t="e">
        <f t="shared" si="0"/>
        <v>#VALUE!</v>
      </c>
      <c r="N150" s="280" t="e">
        <f t="shared" si="1"/>
        <v>#VALUE!</v>
      </c>
      <c r="O150" s="280" t="e">
        <f t="shared" si="2"/>
        <v>#VALUE!</v>
      </c>
      <c r="P150" s="289">
        <v>20</v>
      </c>
      <c r="Q150" s="289">
        <v>10</v>
      </c>
      <c r="R150" s="279">
        <f t="shared" si="3"/>
        <v>160</v>
      </c>
      <c r="S150" s="305"/>
      <c r="T150" s="305"/>
      <c r="U150" s="305"/>
      <c r="V150" s="282">
        <f t="shared" si="4"/>
        <v>20</v>
      </c>
      <c r="W150" s="281">
        <f t="shared" si="5"/>
        <v>20</v>
      </c>
      <c r="X150" s="283" t="e">
        <f t="shared" si="6"/>
        <v>#VALUE!</v>
      </c>
      <c r="Y150" s="283" t="e">
        <f t="shared" si="7"/>
        <v>#VALUE!</v>
      </c>
      <c r="Z150" s="284">
        <f>обор!$H$1157</f>
        <v>10</v>
      </c>
      <c r="AA150" s="282">
        <f>обор!$H$1158</f>
        <v>15</v>
      </c>
      <c r="AB150" s="282">
        <f>обор!$H$1159</f>
        <v>20</v>
      </c>
      <c r="AC150" s="280" t="e">
        <f t="shared" si="8"/>
        <v>#VALUE!</v>
      </c>
      <c r="AD150" s="280" t="e">
        <f t="shared" si="9"/>
        <v>#VALUE!</v>
      </c>
      <c r="AE150" s="280" t="e">
        <f t="shared" si="10"/>
        <v>#VALUE!</v>
      </c>
      <c r="AF150" s="265"/>
      <c r="AG150" s="289">
        <v>0.63</v>
      </c>
      <c r="AH150" s="289">
        <v>0.8</v>
      </c>
      <c r="AI150" s="290">
        <v>3460</v>
      </c>
      <c r="AJ150" s="289">
        <v>3460</v>
      </c>
      <c r="AK150" s="289">
        <v>1850</v>
      </c>
      <c r="AL150" s="289">
        <v>160</v>
      </c>
      <c r="AM150" s="289">
        <v>70</v>
      </c>
      <c r="AN150" s="289">
        <v>80</v>
      </c>
      <c r="AO150" s="289">
        <v>80</v>
      </c>
      <c r="AP150" s="289">
        <v>1400</v>
      </c>
      <c r="AQ150" s="286">
        <f t="shared" si="14"/>
        <v>1040</v>
      </c>
      <c r="AR150" s="298">
        <f>AN150*10+300+AK150+625</f>
        <v>3575</v>
      </c>
      <c r="AS150" s="298">
        <f>AR150+550</f>
        <v>4125</v>
      </c>
      <c r="AT150" s="299">
        <v>2.2149999999999999</v>
      </c>
      <c r="AU150" s="294">
        <v>400</v>
      </c>
      <c r="AV150" s="294">
        <v>70</v>
      </c>
      <c r="AW150" s="295">
        <v>0</v>
      </c>
      <c r="AX150" s="294">
        <f t="shared" si="11"/>
        <v>140</v>
      </c>
      <c r="AY150" s="302"/>
      <c r="AZ150" s="296"/>
      <c r="BA150" s="300">
        <v>0</v>
      </c>
      <c r="BC150" s="215">
        <v>26</v>
      </c>
    </row>
    <row r="151" spans="1:55" s="215" customFormat="1" ht="13.5" customHeight="1" x14ac:dyDescent="0.2">
      <c r="A151" s="274" t="s">
        <v>5777</v>
      </c>
      <c r="B151" s="274" t="s">
        <v>5618</v>
      </c>
      <c r="C151" s="274" t="s">
        <v>5630</v>
      </c>
      <c r="D151" s="275" t="s">
        <v>5635</v>
      </c>
      <c r="E151" s="289">
        <v>350</v>
      </c>
      <c r="F151" s="289">
        <v>950</v>
      </c>
      <c r="G151" s="289">
        <v>1500</v>
      </c>
      <c r="H151" s="276">
        <v>4</v>
      </c>
      <c r="I151" s="288">
        <v>4</v>
      </c>
      <c r="J151" s="289">
        <v>2</v>
      </c>
      <c r="K151" s="2998">
        <v>0.77879999999999994</v>
      </c>
      <c r="L151" s="2994">
        <v>1.5423999999999998</v>
      </c>
      <c r="M151" s="280" t="e">
        <f t="shared" si="0"/>
        <v>#VALUE!</v>
      </c>
      <c r="N151" s="280" t="e">
        <f t="shared" si="1"/>
        <v>#VALUE!</v>
      </c>
      <c r="O151" s="280" t="e">
        <f t="shared" si="2"/>
        <v>#VALUE!</v>
      </c>
      <c r="P151" s="289">
        <v>20</v>
      </c>
      <c r="Q151" s="289">
        <v>10</v>
      </c>
      <c r="R151" s="279">
        <f t="shared" si="3"/>
        <v>160</v>
      </c>
      <c r="S151" s="305"/>
      <c r="T151" s="305"/>
      <c r="U151" s="305"/>
      <c r="V151" s="282">
        <f t="shared" si="4"/>
        <v>20</v>
      </c>
      <c r="W151" s="281">
        <f t="shared" si="5"/>
        <v>20</v>
      </c>
      <c r="X151" s="283" t="e">
        <f t="shared" si="6"/>
        <v>#VALUE!</v>
      </c>
      <c r="Y151" s="283" t="e">
        <f t="shared" si="7"/>
        <v>#VALUE!</v>
      </c>
      <c r="Z151" s="284">
        <f>обор!$H$1157</f>
        <v>10</v>
      </c>
      <c r="AA151" s="282">
        <f>обор!$H$1158</f>
        <v>15</v>
      </c>
      <c r="AB151" s="282">
        <f>обор!$H$1159</f>
        <v>20</v>
      </c>
      <c r="AC151" s="280" t="e">
        <f t="shared" si="8"/>
        <v>#VALUE!</v>
      </c>
      <c r="AD151" s="280" t="e">
        <f t="shared" si="9"/>
        <v>#VALUE!</v>
      </c>
      <c r="AE151" s="280" t="e">
        <f t="shared" si="10"/>
        <v>#VALUE!</v>
      </c>
      <c r="AF151" s="265"/>
      <c r="AG151" s="289">
        <v>0.63</v>
      </c>
      <c r="AH151" s="289">
        <v>0.8</v>
      </c>
      <c r="AI151" s="290">
        <v>3460</v>
      </c>
      <c r="AJ151" s="289">
        <v>3460</v>
      </c>
      <c r="AK151" s="289">
        <v>1850</v>
      </c>
      <c r="AL151" s="289">
        <v>160</v>
      </c>
      <c r="AM151" s="289">
        <v>70</v>
      </c>
      <c r="AN151" s="289">
        <v>80</v>
      </c>
      <c r="AO151" s="289">
        <v>80</v>
      </c>
      <c r="AP151" s="289">
        <v>1400</v>
      </c>
      <c r="AQ151" s="286">
        <f t="shared" si="14"/>
        <v>1040</v>
      </c>
      <c r="AR151" s="298">
        <f>AN151*10+300+AK151+625</f>
        <v>3575</v>
      </c>
      <c r="AS151" s="298">
        <f>AR151+550</f>
        <v>4125</v>
      </c>
      <c r="AT151" s="299">
        <v>2.2149999999999999</v>
      </c>
      <c r="AU151" s="294">
        <v>400</v>
      </c>
      <c r="AV151" s="294">
        <v>70</v>
      </c>
      <c r="AW151" s="295">
        <v>0</v>
      </c>
      <c r="AX151" s="294">
        <f t="shared" si="11"/>
        <v>140</v>
      </c>
      <c r="AY151" s="302"/>
      <c r="AZ151" s="296"/>
      <c r="BA151" s="300">
        <v>0</v>
      </c>
      <c r="BC151" s="215">
        <v>27</v>
      </c>
    </row>
    <row r="152" spans="1:55" s="215" customFormat="1" x14ac:dyDescent="0.2">
      <c r="A152" s="274" t="s">
        <v>5769</v>
      </c>
      <c r="B152" s="274" t="s">
        <v>5618</v>
      </c>
      <c r="C152" s="274" t="s">
        <v>3482</v>
      </c>
      <c r="D152" s="275" t="s">
        <v>660</v>
      </c>
      <c r="E152" s="289">
        <v>360</v>
      </c>
      <c r="F152" s="289">
        <v>1000</v>
      </c>
      <c r="G152" s="289">
        <v>1600</v>
      </c>
      <c r="H152" s="276">
        <v>3</v>
      </c>
      <c r="I152" s="288">
        <v>3</v>
      </c>
      <c r="J152" s="289">
        <v>2</v>
      </c>
      <c r="K152" s="2998">
        <v>0.49879999999999997</v>
      </c>
      <c r="L152" s="2994">
        <v>0.6823999999999999</v>
      </c>
      <c r="M152" s="280" t="e">
        <f t="shared" si="0"/>
        <v>#VALUE!</v>
      </c>
      <c r="N152" s="280" t="e">
        <f t="shared" si="1"/>
        <v>#VALUE!</v>
      </c>
      <c r="O152" s="280" t="e">
        <f t="shared" si="2"/>
        <v>#VALUE!</v>
      </c>
      <c r="P152" s="289">
        <v>35</v>
      </c>
      <c r="Q152" s="289">
        <v>10</v>
      </c>
      <c r="R152" s="279">
        <f t="shared" si="3"/>
        <v>150</v>
      </c>
      <c r="S152" s="305"/>
      <c r="T152" s="305"/>
      <c r="U152" s="305"/>
      <c r="V152" s="282">
        <f t="shared" si="4"/>
        <v>20</v>
      </c>
      <c r="W152" s="281">
        <f t="shared" si="5"/>
        <v>20</v>
      </c>
      <c r="X152" s="283" t="e">
        <f t="shared" si="6"/>
        <v>#VALUE!</v>
      </c>
      <c r="Y152" s="283" t="e">
        <f t="shared" si="7"/>
        <v>#VALUE!</v>
      </c>
      <c r="Z152" s="284">
        <f>обор!$H$1157</f>
        <v>10</v>
      </c>
      <c r="AA152" s="282">
        <f>обор!$H$1158</f>
        <v>15</v>
      </c>
      <c r="AB152" s="282">
        <f>обор!$H$1159</f>
        <v>20</v>
      </c>
      <c r="AC152" s="280" t="e">
        <f t="shared" si="8"/>
        <v>#VALUE!</v>
      </c>
      <c r="AD152" s="280" t="e">
        <f t="shared" si="9"/>
        <v>#VALUE!</v>
      </c>
      <c r="AE152" s="280" t="e">
        <f t="shared" si="10"/>
        <v>#VALUE!</v>
      </c>
      <c r="AF152" s="265"/>
      <c r="AG152" s="289">
        <v>0.8</v>
      </c>
      <c r="AH152" s="289">
        <v>0.8</v>
      </c>
      <c r="AI152" s="290">
        <v>3441</v>
      </c>
      <c r="AJ152" s="289">
        <v>4505</v>
      </c>
      <c r="AK152" s="289">
        <v>2630</v>
      </c>
      <c r="AL152" s="289">
        <v>150</v>
      </c>
      <c r="AM152" s="291">
        <v>90</v>
      </c>
      <c r="AN152" s="289">
        <v>63</v>
      </c>
      <c r="AO152" s="289">
        <v>63</v>
      </c>
      <c r="AP152" s="289">
        <v>1440</v>
      </c>
      <c r="AQ152" s="286">
        <f t="shared" si="14"/>
        <v>1023</v>
      </c>
      <c r="AR152" s="298">
        <f>AN152*10+300+AK152+500</f>
        <v>4060</v>
      </c>
      <c r="AS152" s="298">
        <f>AR152+500</f>
        <v>4560</v>
      </c>
      <c r="AT152" s="299">
        <v>7.9</v>
      </c>
      <c r="AU152" s="294">
        <v>950</v>
      </c>
      <c r="AV152" s="294">
        <v>80</v>
      </c>
      <c r="AW152" s="295">
        <v>40</v>
      </c>
      <c r="AX152" s="294">
        <f t="shared" si="11"/>
        <v>160</v>
      </c>
      <c r="AY152" s="302"/>
      <c r="AZ152" s="296"/>
      <c r="BA152" s="300">
        <v>0</v>
      </c>
      <c r="BC152" s="215">
        <v>7</v>
      </c>
    </row>
    <row r="153" spans="1:55" s="215" customFormat="1" x14ac:dyDescent="0.2">
      <c r="A153" s="274" t="s">
        <v>5769</v>
      </c>
      <c r="B153" s="274" t="s">
        <v>5637</v>
      </c>
      <c r="C153" s="274" t="s">
        <v>658</v>
      </c>
      <c r="D153" s="275" t="s">
        <v>660</v>
      </c>
      <c r="E153" s="289">
        <v>360</v>
      </c>
      <c r="F153" s="289">
        <v>1000</v>
      </c>
      <c r="G153" s="289">
        <v>1600</v>
      </c>
      <c r="H153" s="276">
        <v>3</v>
      </c>
      <c r="I153" s="288">
        <v>3</v>
      </c>
      <c r="J153" s="289">
        <v>2</v>
      </c>
      <c r="K153" s="2998">
        <v>0.49879999999999997</v>
      </c>
      <c r="L153" s="2994">
        <v>0.6823999999999999</v>
      </c>
      <c r="M153" s="280" t="e">
        <f t="shared" si="0"/>
        <v>#VALUE!</v>
      </c>
      <c r="N153" s="280" t="e">
        <f t="shared" si="1"/>
        <v>#VALUE!</v>
      </c>
      <c r="O153" s="280" t="e">
        <f t="shared" si="2"/>
        <v>#VALUE!</v>
      </c>
      <c r="P153" s="289">
        <v>35</v>
      </c>
      <c r="Q153" s="289">
        <v>10</v>
      </c>
      <c r="R153" s="279">
        <f t="shared" si="3"/>
        <v>150</v>
      </c>
      <c r="S153" s="305"/>
      <c r="T153" s="305"/>
      <c r="U153" s="305"/>
      <c r="V153" s="282">
        <f t="shared" si="4"/>
        <v>20</v>
      </c>
      <c r="W153" s="281">
        <f t="shared" si="5"/>
        <v>20</v>
      </c>
      <c r="X153" s="283" t="e">
        <f t="shared" si="6"/>
        <v>#VALUE!</v>
      </c>
      <c r="Y153" s="283" t="e">
        <f t="shared" si="7"/>
        <v>#VALUE!</v>
      </c>
      <c r="Z153" s="284">
        <f>обор!$H$1157</f>
        <v>10</v>
      </c>
      <c r="AA153" s="282">
        <f>обор!$H$1158</f>
        <v>15</v>
      </c>
      <c r="AB153" s="282">
        <f>обор!$H$1159</f>
        <v>20</v>
      </c>
      <c r="AC153" s="280" t="e">
        <f t="shared" si="8"/>
        <v>#VALUE!</v>
      </c>
      <c r="AD153" s="280" t="e">
        <f t="shared" si="9"/>
        <v>#VALUE!</v>
      </c>
      <c r="AE153" s="280" t="e">
        <f t="shared" si="10"/>
        <v>#VALUE!</v>
      </c>
      <c r="AF153" s="265"/>
      <c r="AG153" s="289">
        <v>0.63</v>
      </c>
      <c r="AH153" s="289">
        <v>0.8</v>
      </c>
      <c r="AI153" s="290">
        <v>3441</v>
      </c>
      <c r="AJ153" s="289">
        <v>4505</v>
      </c>
      <c r="AK153" s="289">
        <v>2630</v>
      </c>
      <c r="AL153" s="289">
        <v>150</v>
      </c>
      <c r="AM153" s="291">
        <v>90</v>
      </c>
      <c r="AN153" s="289">
        <v>80</v>
      </c>
      <c r="AO153" s="289">
        <v>80</v>
      </c>
      <c r="AP153" s="289">
        <v>1440</v>
      </c>
      <c r="AQ153" s="286">
        <f t="shared" si="14"/>
        <v>1040</v>
      </c>
      <c r="AR153" s="298">
        <f>AN153*10+300+AK153+500</f>
        <v>4230</v>
      </c>
      <c r="AS153" s="298">
        <f>AR153+500</f>
        <v>4730</v>
      </c>
      <c r="AT153" s="299">
        <v>7.9</v>
      </c>
      <c r="AU153" s="294">
        <v>400</v>
      </c>
      <c r="AV153" s="294">
        <v>80</v>
      </c>
      <c r="AW153" s="295">
        <v>40</v>
      </c>
      <c r="AX153" s="294">
        <f t="shared" si="11"/>
        <v>160</v>
      </c>
      <c r="AY153" s="302"/>
      <c r="AZ153" s="296"/>
      <c r="BA153" s="300">
        <v>0</v>
      </c>
      <c r="BC153" s="215">
        <v>8</v>
      </c>
    </row>
    <row r="154" spans="1:55" s="215" customFormat="1" x14ac:dyDescent="0.2">
      <c r="A154" s="274" t="s">
        <v>5769</v>
      </c>
      <c r="B154" s="274" t="s">
        <v>5621</v>
      </c>
      <c r="C154" s="274" t="s">
        <v>658</v>
      </c>
      <c r="D154" s="275" t="s">
        <v>660</v>
      </c>
      <c r="E154" s="289">
        <v>360</v>
      </c>
      <c r="F154" s="289">
        <v>1000</v>
      </c>
      <c r="G154" s="289">
        <v>1600</v>
      </c>
      <c r="H154" s="276">
        <v>3</v>
      </c>
      <c r="I154" s="288">
        <v>3</v>
      </c>
      <c r="J154" s="289">
        <v>2</v>
      </c>
      <c r="K154" s="2998">
        <v>0.49879999999999997</v>
      </c>
      <c r="L154" s="2994">
        <v>0.6823999999999999</v>
      </c>
      <c r="M154" s="280" t="e">
        <f t="shared" si="0"/>
        <v>#VALUE!</v>
      </c>
      <c r="N154" s="280" t="e">
        <f t="shared" si="1"/>
        <v>#VALUE!</v>
      </c>
      <c r="O154" s="280" t="e">
        <f t="shared" si="2"/>
        <v>#VALUE!</v>
      </c>
      <c r="P154" s="289">
        <v>35</v>
      </c>
      <c r="Q154" s="289">
        <v>10</v>
      </c>
      <c r="R154" s="279">
        <f t="shared" si="3"/>
        <v>150</v>
      </c>
      <c r="S154" s="305"/>
      <c r="T154" s="305"/>
      <c r="U154" s="305"/>
      <c r="V154" s="282">
        <f t="shared" si="4"/>
        <v>20</v>
      </c>
      <c r="W154" s="281">
        <f t="shared" si="5"/>
        <v>20</v>
      </c>
      <c r="X154" s="283" t="e">
        <f t="shared" si="6"/>
        <v>#VALUE!</v>
      </c>
      <c r="Y154" s="283" t="e">
        <f t="shared" si="7"/>
        <v>#VALUE!</v>
      </c>
      <c r="Z154" s="284">
        <f>обор!$H$1157</f>
        <v>10</v>
      </c>
      <c r="AA154" s="282">
        <f>обор!$H$1158</f>
        <v>15</v>
      </c>
      <c r="AB154" s="282">
        <f>обор!$H$1159</f>
        <v>20</v>
      </c>
      <c r="AC154" s="280" t="e">
        <f t="shared" si="8"/>
        <v>#VALUE!</v>
      </c>
      <c r="AD154" s="280" t="e">
        <f t="shared" si="9"/>
        <v>#VALUE!</v>
      </c>
      <c r="AE154" s="280" t="e">
        <f t="shared" si="10"/>
        <v>#VALUE!</v>
      </c>
      <c r="AF154" s="265"/>
      <c r="AG154" s="289">
        <v>0.63</v>
      </c>
      <c r="AH154" s="289">
        <v>0.8</v>
      </c>
      <c r="AI154" s="290">
        <v>3441</v>
      </c>
      <c r="AJ154" s="289">
        <v>4505</v>
      </c>
      <c r="AK154" s="289">
        <v>2630</v>
      </c>
      <c r="AL154" s="289">
        <v>150</v>
      </c>
      <c r="AM154" s="291">
        <v>90</v>
      </c>
      <c r="AN154" s="289">
        <v>63</v>
      </c>
      <c r="AO154" s="289">
        <v>63</v>
      </c>
      <c r="AP154" s="289">
        <v>1440</v>
      </c>
      <c r="AQ154" s="286">
        <f t="shared" si="14"/>
        <v>1023</v>
      </c>
      <c r="AR154" s="298">
        <f>AN154*10+300+AK154+500</f>
        <v>4060</v>
      </c>
      <c r="AS154" s="298">
        <f>AR154+500</f>
        <v>4560</v>
      </c>
      <c r="AT154" s="299">
        <v>7.9</v>
      </c>
      <c r="AU154" s="294">
        <v>850</v>
      </c>
      <c r="AV154" s="294">
        <v>80</v>
      </c>
      <c r="AW154" s="295">
        <v>40</v>
      </c>
      <c r="AX154" s="294">
        <f t="shared" si="11"/>
        <v>160</v>
      </c>
      <c r="AY154" s="302"/>
      <c r="AZ154" s="296"/>
      <c r="BA154" s="300">
        <v>0</v>
      </c>
      <c r="BC154" s="215">
        <v>9</v>
      </c>
    </row>
    <row r="155" spans="1:55" s="215" customFormat="1" x14ac:dyDescent="0.2">
      <c r="A155" s="274" t="s">
        <v>5775</v>
      </c>
      <c r="B155" s="274" t="s">
        <v>5627</v>
      </c>
      <c r="C155" s="274" t="s">
        <v>5624</v>
      </c>
      <c r="D155" s="275" t="s">
        <v>659</v>
      </c>
      <c r="E155" s="289">
        <v>360</v>
      </c>
      <c r="F155" s="289">
        <v>1000</v>
      </c>
      <c r="G155" s="289">
        <v>1200</v>
      </c>
      <c r="H155" s="276">
        <v>4</v>
      </c>
      <c r="I155" s="288">
        <v>3</v>
      </c>
      <c r="J155" s="289">
        <v>2</v>
      </c>
      <c r="K155" s="2998">
        <v>1.0167999999999999</v>
      </c>
      <c r="L155" s="2994">
        <v>2.2734000000000001</v>
      </c>
      <c r="M155" s="280" t="e">
        <f t="shared" si="0"/>
        <v>#VALUE!</v>
      </c>
      <c r="N155" s="280" t="e">
        <f t="shared" si="1"/>
        <v>#VALUE!</v>
      </c>
      <c r="O155" s="280" t="e">
        <f t="shared" si="2"/>
        <v>#VALUE!</v>
      </c>
      <c r="P155" s="289">
        <v>35</v>
      </c>
      <c r="Q155" s="289">
        <v>10</v>
      </c>
      <c r="R155" s="279">
        <f t="shared" si="3"/>
        <v>300</v>
      </c>
      <c r="S155" s="305"/>
      <c r="T155" s="305"/>
      <c r="U155" s="305"/>
      <c r="V155" s="282">
        <f t="shared" si="4"/>
        <v>20</v>
      </c>
      <c r="W155" s="281">
        <f t="shared" si="5"/>
        <v>20</v>
      </c>
      <c r="X155" s="283" t="e">
        <f t="shared" si="6"/>
        <v>#VALUE!</v>
      </c>
      <c r="Y155" s="283" t="e">
        <f t="shared" si="7"/>
        <v>#VALUE!</v>
      </c>
      <c r="Z155" s="284">
        <f>обор!$H$1157</f>
        <v>10</v>
      </c>
      <c r="AA155" s="282">
        <f>обор!$H$1158</f>
        <v>15</v>
      </c>
      <c r="AB155" s="282">
        <f>обор!$H$1159</f>
        <v>20</v>
      </c>
      <c r="AC155" s="280" t="e">
        <f t="shared" si="8"/>
        <v>#VALUE!</v>
      </c>
      <c r="AD155" s="280" t="e">
        <f t="shared" si="9"/>
        <v>#VALUE!</v>
      </c>
      <c r="AE155" s="280" t="e">
        <f t="shared" si="10"/>
        <v>#VALUE!</v>
      </c>
      <c r="AF155" s="265"/>
      <c r="AG155" s="289">
        <v>0.63</v>
      </c>
      <c r="AH155" s="289">
        <v>0.63</v>
      </c>
      <c r="AI155" s="290">
        <v>3545</v>
      </c>
      <c r="AJ155" s="289">
        <v>5000</v>
      </c>
      <c r="AK155" s="289">
        <v>2020</v>
      </c>
      <c r="AL155" s="289">
        <v>150</v>
      </c>
      <c r="AM155" s="289">
        <v>90</v>
      </c>
      <c r="AN155" s="289">
        <v>63</v>
      </c>
      <c r="AO155" s="289">
        <v>63</v>
      </c>
      <c r="AP155" s="289">
        <v>1460</v>
      </c>
      <c r="AQ155" s="286">
        <f t="shared" si="14"/>
        <v>1023</v>
      </c>
      <c r="AR155" s="298">
        <f t="shared" ref="AR155:AR160" si="17">((AJ155-AK155)/2)+AK155+AN155*10</f>
        <v>4140</v>
      </c>
      <c r="AS155" s="298">
        <f t="shared" ref="AS155:AS160" si="18">AJ155+AN155</f>
        <v>5063</v>
      </c>
      <c r="AT155" s="299">
        <v>9.6</v>
      </c>
      <c r="AU155" s="294">
        <v>900</v>
      </c>
      <c r="AV155" s="294">
        <v>100</v>
      </c>
      <c r="AW155" s="295">
        <v>220</v>
      </c>
      <c r="AX155" s="294">
        <f t="shared" si="11"/>
        <v>200</v>
      </c>
      <c r="AY155" s="302"/>
      <c r="AZ155" s="296"/>
      <c r="BA155" s="300">
        <v>10</v>
      </c>
      <c r="BC155" s="215">
        <v>67</v>
      </c>
    </row>
    <row r="156" spans="1:55" s="215" customFormat="1" x14ac:dyDescent="0.2">
      <c r="A156" s="274" t="s">
        <v>5775</v>
      </c>
      <c r="B156" s="274" t="s">
        <v>5619</v>
      </c>
      <c r="C156" s="274" t="s">
        <v>5624</v>
      </c>
      <c r="D156" s="275" t="s">
        <v>659</v>
      </c>
      <c r="E156" s="289">
        <v>360</v>
      </c>
      <c r="F156" s="289">
        <v>1000</v>
      </c>
      <c r="G156" s="289">
        <v>1200</v>
      </c>
      <c r="H156" s="276">
        <v>4</v>
      </c>
      <c r="I156" s="288">
        <v>3</v>
      </c>
      <c r="J156" s="289">
        <v>2</v>
      </c>
      <c r="K156" s="2998">
        <v>1.0167999999999999</v>
      </c>
      <c r="L156" s="2994">
        <v>2.2734000000000001</v>
      </c>
      <c r="M156" s="280" t="e">
        <f t="shared" si="0"/>
        <v>#VALUE!</v>
      </c>
      <c r="N156" s="280" t="e">
        <f t="shared" si="1"/>
        <v>#VALUE!</v>
      </c>
      <c r="O156" s="280" t="e">
        <f t="shared" si="2"/>
        <v>#VALUE!</v>
      </c>
      <c r="P156" s="289">
        <v>35</v>
      </c>
      <c r="Q156" s="289">
        <v>10</v>
      </c>
      <c r="R156" s="279">
        <f t="shared" si="3"/>
        <v>300</v>
      </c>
      <c r="S156" s="305"/>
      <c r="T156" s="305"/>
      <c r="U156" s="305"/>
      <c r="V156" s="282">
        <f t="shared" si="4"/>
        <v>20</v>
      </c>
      <c r="W156" s="281">
        <f t="shared" si="5"/>
        <v>20</v>
      </c>
      <c r="X156" s="283" t="e">
        <f t="shared" si="6"/>
        <v>#VALUE!</v>
      </c>
      <c r="Y156" s="283" t="e">
        <f t="shared" si="7"/>
        <v>#VALUE!</v>
      </c>
      <c r="Z156" s="284">
        <f>обор!$H$1157</f>
        <v>10</v>
      </c>
      <c r="AA156" s="282">
        <f>обор!$H$1158</f>
        <v>15</v>
      </c>
      <c r="AB156" s="282">
        <f>обор!$H$1159</f>
        <v>20</v>
      </c>
      <c r="AC156" s="280" t="e">
        <f t="shared" si="8"/>
        <v>#VALUE!</v>
      </c>
      <c r="AD156" s="280" t="e">
        <f t="shared" si="9"/>
        <v>#VALUE!</v>
      </c>
      <c r="AE156" s="280" t="e">
        <f t="shared" si="10"/>
        <v>#VALUE!</v>
      </c>
      <c r="AF156" s="265"/>
      <c r="AG156" s="289">
        <v>0.63</v>
      </c>
      <c r="AH156" s="289">
        <v>0.63</v>
      </c>
      <c r="AI156" s="290">
        <v>3545</v>
      </c>
      <c r="AJ156" s="289">
        <v>5000</v>
      </c>
      <c r="AK156" s="289">
        <v>2020</v>
      </c>
      <c r="AL156" s="289">
        <v>150</v>
      </c>
      <c r="AM156" s="289">
        <v>90</v>
      </c>
      <c r="AN156" s="289">
        <v>63</v>
      </c>
      <c r="AO156" s="289">
        <v>63</v>
      </c>
      <c r="AP156" s="289">
        <v>1460</v>
      </c>
      <c r="AQ156" s="286">
        <f t="shared" si="14"/>
        <v>1023</v>
      </c>
      <c r="AR156" s="298">
        <f t="shared" si="17"/>
        <v>4140</v>
      </c>
      <c r="AS156" s="298">
        <f t="shared" si="18"/>
        <v>5063</v>
      </c>
      <c r="AT156" s="299">
        <v>9.6</v>
      </c>
      <c r="AU156" s="294">
        <v>900</v>
      </c>
      <c r="AV156" s="294">
        <v>100</v>
      </c>
      <c r="AW156" s="295">
        <v>220</v>
      </c>
      <c r="AX156" s="294">
        <f t="shared" si="11"/>
        <v>200</v>
      </c>
      <c r="AY156" s="302"/>
      <c r="AZ156" s="296"/>
      <c r="BA156" s="300">
        <v>10</v>
      </c>
      <c r="BC156" s="215">
        <v>66</v>
      </c>
    </row>
    <row r="157" spans="1:55" s="215" customFormat="1" x14ac:dyDescent="0.2">
      <c r="A157" s="274" t="s">
        <v>5765</v>
      </c>
      <c r="B157" s="274" t="s">
        <v>1918</v>
      </c>
      <c r="C157" s="274" t="s">
        <v>5624</v>
      </c>
      <c r="D157" s="275" t="s">
        <v>5633</v>
      </c>
      <c r="E157" s="289">
        <v>360</v>
      </c>
      <c r="F157" s="289">
        <v>1100</v>
      </c>
      <c r="G157" s="289">
        <v>1800</v>
      </c>
      <c r="H157" s="276">
        <v>4</v>
      </c>
      <c r="I157" s="288">
        <v>4</v>
      </c>
      <c r="J157" s="289">
        <v>2</v>
      </c>
      <c r="K157" s="2998">
        <v>0.91879999999999984</v>
      </c>
      <c r="L157" s="2994">
        <v>1.9723999999999999</v>
      </c>
      <c r="M157" s="280" t="e">
        <f t="shared" si="0"/>
        <v>#VALUE!</v>
      </c>
      <c r="N157" s="280" t="e">
        <f t="shared" si="1"/>
        <v>#VALUE!</v>
      </c>
      <c r="O157" s="280" t="e">
        <f t="shared" si="2"/>
        <v>#VALUE!</v>
      </c>
      <c r="P157" s="289">
        <v>35</v>
      </c>
      <c r="Q157" s="289">
        <v>12</v>
      </c>
      <c r="R157" s="279">
        <f t="shared" si="3"/>
        <v>300</v>
      </c>
      <c r="S157" s="305"/>
      <c r="T157" s="305"/>
      <c r="U157" s="305"/>
      <c r="V157" s="282">
        <f t="shared" si="4"/>
        <v>20</v>
      </c>
      <c r="W157" s="281">
        <f t="shared" si="5"/>
        <v>20</v>
      </c>
      <c r="X157" s="283" t="e">
        <f t="shared" si="6"/>
        <v>#VALUE!</v>
      </c>
      <c r="Y157" s="283" t="e">
        <f t="shared" si="7"/>
        <v>#VALUE!</v>
      </c>
      <c r="Z157" s="284">
        <f>обор!$H$1157</f>
        <v>10</v>
      </c>
      <c r="AA157" s="282">
        <f>обор!$H$1158</f>
        <v>15</v>
      </c>
      <c r="AB157" s="282">
        <f>обор!$H$1159</f>
        <v>20</v>
      </c>
      <c r="AC157" s="280" t="e">
        <f t="shared" si="8"/>
        <v>#VALUE!</v>
      </c>
      <c r="AD157" s="280" t="e">
        <f t="shared" si="9"/>
        <v>#VALUE!</v>
      </c>
      <c r="AE157" s="280" t="e">
        <f t="shared" si="10"/>
        <v>#VALUE!</v>
      </c>
      <c r="AF157" s="265"/>
      <c r="AG157" s="289">
        <v>0.63</v>
      </c>
      <c r="AH157" s="289">
        <v>0.8</v>
      </c>
      <c r="AI157" s="290">
        <v>4500</v>
      </c>
      <c r="AJ157" s="289">
        <v>5000</v>
      </c>
      <c r="AK157" s="289">
        <v>2350</v>
      </c>
      <c r="AL157" s="289">
        <v>150</v>
      </c>
      <c r="AM157" s="289">
        <v>90</v>
      </c>
      <c r="AN157" s="289">
        <v>63</v>
      </c>
      <c r="AO157" s="289">
        <v>63</v>
      </c>
      <c r="AP157" s="289">
        <v>1420</v>
      </c>
      <c r="AQ157" s="286">
        <f t="shared" si="14"/>
        <v>1023</v>
      </c>
      <c r="AR157" s="298">
        <f t="shared" si="17"/>
        <v>4305</v>
      </c>
      <c r="AS157" s="298">
        <f t="shared" si="18"/>
        <v>5063</v>
      </c>
      <c r="AT157" s="299">
        <v>12</v>
      </c>
      <c r="AU157" s="294">
        <v>850</v>
      </c>
      <c r="AV157" s="294">
        <v>90</v>
      </c>
      <c r="AW157" s="295">
        <v>0</v>
      </c>
      <c r="AX157" s="294">
        <f t="shared" si="11"/>
        <v>180</v>
      </c>
      <c r="AY157" s="302"/>
      <c r="AZ157" s="296"/>
      <c r="BA157" s="300">
        <v>30</v>
      </c>
      <c r="BC157" s="215">
        <v>14</v>
      </c>
    </row>
    <row r="158" spans="1:55" s="215" customFormat="1" ht="15.75" customHeight="1" x14ac:dyDescent="0.2">
      <c r="A158" s="274" t="s">
        <v>5765</v>
      </c>
      <c r="B158" s="274" t="s">
        <v>5641</v>
      </c>
      <c r="C158" s="274" t="s">
        <v>5655</v>
      </c>
      <c r="D158" s="275" t="s">
        <v>5633</v>
      </c>
      <c r="E158" s="289">
        <v>360</v>
      </c>
      <c r="F158" s="289">
        <v>1100</v>
      </c>
      <c r="G158" s="289">
        <v>1800</v>
      </c>
      <c r="H158" s="276">
        <v>4</v>
      </c>
      <c r="I158" s="288">
        <v>4</v>
      </c>
      <c r="J158" s="289">
        <v>2</v>
      </c>
      <c r="K158" s="2998">
        <v>0.91879999999999984</v>
      </c>
      <c r="L158" s="2994">
        <v>1.9723999999999999</v>
      </c>
      <c r="M158" s="280" t="e">
        <f t="shared" si="0"/>
        <v>#VALUE!</v>
      </c>
      <c r="N158" s="280" t="e">
        <f t="shared" si="1"/>
        <v>#VALUE!</v>
      </c>
      <c r="O158" s="280" t="e">
        <f t="shared" si="2"/>
        <v>#VALUE!</v>
      </c>
      <c r="P158" s="289">
        <v>35</v>
      </c>
      <c r="Q158" s="289">
        <v>12</v>
      </c>
      <c r="R158" s="279">
        <f t="shared" si="3"/>
        <v>300</v>
      </c>
      <c r="S158" s="305"/>
      <c r="T158" s="305"/>
      <c r="U158" s="305"/>
      <c r="V158" s="282">
        <f t="shared" si="4"/>
        <v>20</v>
      </c>
      <c r="W158" s="281">
        <f t="shared" si="5"/>
        <v>20</v>
      </c>
      <c r="X158" s="283" t="e">
        <f t="shared" si="6"/>
        <v>#VALUE!</v>
      </c>
      <c r="Y158" s="283" t="e">
        <f t="shared" si="7"/>
        <v>#VALUE!</v>
      </c>
      <c r="Z158" s="284">
        <f>обор!$H$1157</f>
        <v>10</v>
      </c>
      <c r="AA158" s="282">
        <f>обор!$H$1158</f>
        <v>15</v>
      </c>
      <c r="AB158" s="282">
        <f>обор!$H$1159</f>
        <v>20</v>
      </c>
      <c r="AC158" s="280" t="e">
        <f t="shared" si="8"/>
        <v>#VALUE!</v>
      </c>
      <c r="AD158" s="280" t="e">
        <f t="shared" si="9"/>
        <v>#VALUE!</v>
      </c>
      <c r="AE158" s="280" t="e">
        <f t="shared" si="10"/>
        <v>#VALUE!</v>
      </c>
      <c r="AF158" s="265"/>
      <c r="AG158" s="289">
        <v>0.63</v>
      </c>
      <c r="AH158" s="289">
        <v>0.63</v>
      </c>
      <c r="AI158" s="290">
        <v>4500</v>
      </c>
      <c r="AJ158" s="289">
        <v>5000</v>
      </c>
      <c r="AK158" s="289">
        <v>2350</v>
      </c>
      <c r="AL158" s="289">
        <v>150</v>
      </c>
      <c r="AM158" s="289">
        <v>90</v>
      </c>
      <c r="AN158" s="289">
        <v>63</v>
      </c>
      <c r="AO158" s="289">
        <v>63</v>
      </c>
      <c r="AP158" s="289">
        <v>1420</v>
      </c>
      <c r="AQ158" s="286">
        <f t="shared" si="14"/>
        <v>1023</v>
      </c>
      <c r="AR158" s="298">
        <f t="shared" si="17"/>
        <v>4305</v>
      </c>
      <c r="AS158" s="298">
        <f t="shared" si="18"/>
        <v>5063</v>
      </c>
      <c r="AT158" s="299">
        <v>12</v>
      </c>
      <c r="AU158" s="294">
        <v>850</v>
      </c>
      <c r="AV158" s="294">
        <v>90</v>
      </c>
      <c r="AW158" s="295">
        <v>0</v>
      </c>
      <c r="AX158" s="294">
        <f t="shared" si="11"/>
        <v>180</v>
      </c>
      <c r="AY158" s="302"/>
      <c r="AZ158" s="296"/>
      <c r="BA158" s="300">
        <v>30</v>
      </c>
      <c r="BC158" s="215">
        <v>12</v>
      </c>
    </row>
    <row r="159" spans="1:55" s="215" customFormat="1" x14ac:dyDescent="0.2">
      <c r="A159" s="274" t="s">
        <v>5765</v>
      </c>
      <c r="B159" s="274" t="s">
        <v>152</v>
      </c>
      <c r="C159" s="274" t="s">
        <v>3482</v>
      </c>
      <c r="D159" s="275" t="s">
        <v>5633</v>
      </c>
      <c r="E159" s="289">
        <v>360</v>
      </c>
      <c r="F159" s="289">
        <v>1100</v>
      </c>
      <c r="G159" s="289">
        <v>1800</v>
      </c>
      <c r="H159" s="276">
        <v>4</v>
      </c>
      <c r="I159" s="288">
        <v>4</v>
      </c>
      <c r="J159" s="289">
        <v>2</v>
      </c>
      <c r="K159" s="2998">
        <v>0.91879999999999984</v>
      </c>
      <c r="L159" s="2994">
        <v>1.9723999999999999</v>
      </c>
      <c r="M159" s="280" t="e">
        <f t="shared" si="0"/>
        <v>#VALUE!</v>
      </c>
      <c r="N159" s="280" t="e">
        <f t="shared" si="1"/>
        <v>#VALUE!</v>
      </c>
      <c r="O159" s="280" t="e">
        <f t="shared" si="2"/>
        <v>#VALUE!</v>
      </c>
      <c r="P159" s="289">
        <v>35</v>
      </c>
      <c r="Q159" s="289">
        <v>12</v>
      </c>
      <c r="R159" s="279">
        <f t="shared" si="3"/>
        <v>300</v>
      </c>
      <c r="S159" s="305"/>
      <c r="T159" s="305"/>
      <c r="U159" s="305"/>
      <c r="V159" s="282">
        <f t="shared" si="4"/>
        <v>20</v>
      </c>
      <c r="W159" s="281">
        <f t="shared" si="5"/>
        <v>20</v>
      </c>
      <c r="X159" s="283" t="e">
        <f t="shared" si="6"/>
        <v>#VALUE!</v>
      </c>
      <c r="Y159" s="283" t="e">
        <f t="shared" si="7"/>
        <v>#VALUE!</v>
      </c>
      <c r="Z159" s="284">
        <f>обор!$H$1157</f>
        <v>10</v>
      </c>
      <c r="AA159" s="282">
        <f>обор!$H$1158</f>
        <v>15</v>
      </c>
      <c r="AB159" s="282">
        <f>обор!$H$1159</f>
        <v>20</v>
      </c>
      <c r="AC159" s="280" t="e">
        <f t="shared" si="8"/>
        <v>#VALUE!</v>
      </c>
      <c r="AD159" s="280" t="e">
        <f t="shared" si="9"/>
        <v>#VALUE!</v>
      </c>
      <c r="AE159" s="280" t="e">
        <f t="shared" si="10"/>
        <v>#VALUE!</v>
      </c>
      <c r="AF159" s="265"/>
      <c r="AG159" s="289">
        <v>0.63</v>
      </c>
      <c r="AH159" s="289">
        <v>0.8</v>
      </c>
      <c r="AI159" s="290">
        <v>4500</v>
      </c>
      <c r="AJ159" s="289">
        <v>5000</v>
      </c>
      <c r="AK159" s="289">
        <v>2350</v>
      </c>
      <c r="AL159" s="289">
        <v>150</v>
      </c>
      <c r="AM159" s="289">
        <v>90</v>
      </c>
      <c r="AN159" s="289">
        <v>63</v>
      </c>
      <c r="AO159" s="289">
        <v>63</v>
      </c>
      <c r="AP159" s="289">
        <v>1420</v>
      </c>
      <c r="AQ159" s="286">
        <f t="shared" si="14"/>
        <v>1023</v>
      </c>
      <c r="AR159" s="298">
        <f t="shared" si="17"/>
        <v>4305</v>
      </c>
      <c r="AS159" s="298">
        <f t="shared" si="18"/>
        <v>5063</v>
      </c>
      <c r="AT159" s="299">
        <v>12</v>
      </c>
      <c r="AU159" s="294">
        <v>850</v>
      </c>
      <c r="AV159" s="294">
        <v>90</v>
      </c>
      <c r="AW159" s="295">
        <v>0</v>
      </c>
      <c r="AX159" s="294">
        <f t="shared" si="11"/>
        <v>180</v>
      </c>
      <c r="AY159" s="302"/>
      <c r="AZ159" s="296"/>
      <c r="BA159" s="300">
        <v>30</v>
      </c>
      <c r="BC159" s="215">
        <v>13</v>
      </c>
    </row>
    <row r="160" spans="1:55" s="215" customFormat="1" x14ac:dyDescent="0.2">
      <c r="A160" s="274" t="s">
        <v>5765</v>
      </c>
      <c r="B160" s="274" t="s">
        <v>5623</v>
      </c>
      <c r="C160" s="274" t="s">
        <v>5631</v>
      </c>
      <c r="D160" s="275" t="s">
        <v>5633</v>
      </c>
      <c r="E160" s="289">
        <v>360</v>
      </c>
      <c r="F160" s="289">
        <v>1100</v>
      </c>
      <c r="G160" s="289">
        <v>1800</v>
      </c>
      <c r="H160" s="276">
        <v>4</v>
      </c>
      <c r="I160" s="288">
        <v>4</v>
      </c>
      <c r="J160" s="289">
        <v>2</v>
      </c>
      <c r="K160" s="2998">
        <v>0.91879999999999984</v>
      </c>
      <c r="L160" s="2994">
        <v>1.9723999999999999</v>
      </c>
      <c r="M160" s="280" t="e">
        <f t="shared" si="0"/>
        <v>#VALUE!</v>
      </c>
      <c r="N160" s="280" t="e">
        <f t="shared" si="1"/>
        <v>#VALUE!</v>
      </c>
      <c r="O160" s="280" t="e">
        <f t="shared" si="2"/>
        <v>#VALUE!</v>
      </c>
      <c r="P160" s="289">
        <v>35</v>
      </c>
      <c r="Q160" s="289">
        <v>12</v>
      </c>
      <c r="R160" s="279">
        <f t="shared" si="3"/>
        <v>300</v>
      </c>
      <c r="S160" s="305"/>
      <c r="T160" s="305"/>
      <c r="U160" s="305"/>
      <c r="V160" s="282">
        <f t="shared" si="4"/>
        <v>20</v>
      </c>
      <c r="W160" s="281">
        <f t="shared" si="5"/>
        <v>20</v>
      </c>
      <c r="X160" s="283" t="e">
        <f t="shared" si="6"/>
        <v>#VALUE!</v>
      </c>
      <c r="Y160" s="283" t="e">
        <f t="shared" si="7"/>
        <v>#VALUE!</v>
      </c>
      <c r="Z160" s="284">
        <f>обор!$H$1157</f>
        <v>10</v>
      </c>
      <c r="AA160" s="282">
        <f>обор!$H$1158</f>
        <v>15</v>
      </c>
      <c r="AB160" s="282">
        <f>обор!$H$1159</f>
        <v>20</v>
      </c>
      <c r="AC160" s="280" t="e">
        <f t="shared" si="8"/>
        <v>#VALUE!</v>
      </c>
      <c r="AD160" s="280" t="e">
        <f t="shared" si="9"/>
        <v>#VALUE!</v>
      </c>
      <c r="AE160" s="280" t="e">
        <f t="shared" si="10"/>
        <v>#VALUE!</v>
      </c>
      <c r="AF160" s="265"/>
      <c r="AG160" s="289">
        <v>0.63</v>
      </c>
      <c r="AH160" s="289">
        <v>0.63</v>
      </c>
      <c r="AI160" s="290">
        <v>4500</v>
      </c>
      <c r="AJ160" s="289">
        <v>5000</v>
      </c>
      <c r="AK160" s="289">
        <v>2350</v>
      </c>
      <c r="AL160" s="289">
        <v>150</v>
      </c>
      <c r="AM160" s="289">
        <v>90</v>
      </c>
      <c r="AN160" s="289">
        <v>63</v>
      </c>
      <c r="AO160" s="289">
        <v>63</v>
      </c>
      <c r="AP160" s="289">
        <v>1420</v>
      </c>
      <c r="AQ160" s="286">
        <f t="shared" si="14"/>
        <v>1023</v>
      </c>
      <c r="AR160" s="298">
        <f t="shared" si="17"/>
        <v>4305</v>
      </c>
      <c r="AS160" s="298">
        <f t="shared" si="18"/>
        <v>5063</v>
      </c>
      <c r="AT160" s="299">
        <v>12</v>
      </c>
      <c r="AU160" s="294">
        <v>850</v>
      </c>
      <c r="AV160" s="294">
        <v>90</v>
      </c>
      <c r="AW160" s="295">
        <v>0</v>
      </c>
      <c r="AX160" s="294">
        <f t="shared" si="11"/>
        <v>180</v>
      </c>
      <c r="AY160" s="302"/>
      <c r="AZ160" s="296"/>
      <c r="BA160" s="300">
        <v>30</v>
      </c>
      <c r="BC160" s="215">
        <v>11</v>
      </c>
    </row>
    <row r="161" spans="1:55" s="215" customFormat="1" ht="15.75" customHeight="1" x14ac:dyDescent="0.2">
      <c r="A161" s="274" t="s">
        <v>5771</v>
      </c>
      <c r="B161" s="274" t="s">
        <v>5641</v>
      </c>
      <c r="C161" s="274" t="s">
        <v>5622</v>
      </c>
      <c r="D161" s="275" t="s">
        <v>5638</v>
      </c>
      <c r="E161" s="289">
        <v>360</v>
      </c>
      <c r="F161" s="289">
        <v>1100</v>
      </c>
      <c r="G161" s="289">
        <v>1500</v>
      </c>
      <c r="H161" s="276">
        <v>4</v>
      </c>
      <c r="I161" s="288">
        <v>4</v>
      </c>
      <c r="J161" s="289">
        <v>2</v>
      </c>
      <c r="K161" s="2998">
        <v>1.0027999999999999</v>
      </c>
      <c r="L161" s="2994">
        <v>2.2303999999999999</v>
      </c>
      <c r="M161" s="280" t="e">
        <f t="shared" si="0"/>
        <v>#VALUE!</v>
      </c>
      <c r="N161" s="280" t="e">
        <f t="shared" si="1"/>
        <v>#VALUE!</v>
      </c>
      <c r="O161" s="280" t="e">
        <f t="shared" si="2"/>
        <v>#VALUE!</v>
      </c>
      <c r="P161" s="289">
        <v>35</v>
      </c>
      <c r="Q161" s="289">
        <v>12</v>
      </c>
      <c r="R161" s="279">
        <f t="shared" si="3"/>
        <v>300</v>
      </c>
      <c r="S161" s="305"/>
      <c r="T161" s="305"/>
      <c r="U161" s="305"/>
      <c r="V161" s="282">
        <f t="shared" si="4"/>
        <v>20</v>
      </c>
      <c r="W161" s="281">
        <f t="shared" si="5"/>
        <v>20</v>
      </c>
      <c r="X161" s="283" t="e">
        <f t="shared" si="6"/>
        <v>#VALUE!</v>
      </c>
      <c r="Y161" s="283" t="e">
        <f t="shared" si="7"/>
        <v>#VALUE!</v>
      </c>
      <c r="Z161" s="284">
        <f>обор!$H$1157</f>
        <v>10</v>
      </c>
      <c r="AA161" s="282">
        <f>обор!$H$1158</f>
        <v>15</v>
      </c>
      <c r="AB161" s="282">
        <f>обор!$H$1159</f>
        <v>20</v>
      </c>
      <c r="AC161" s="280" t="e">
        <f t="shared" si="8"/>
        <v>#VALUE!</v>
      </c>
      <c r="AD161" s="280" t="e">
        <f t="shared" si="9"/>
        <v>#VALUE!</v>
      </c>
      <c r="AE161" s="280" t="e">
        <f t="shared" si="10"/>
        <v>#VALUE!</v>
      </c>
      <c r="AF161" s="265"/>
      <c r="AG161" s="289">
        <v>0.63</v>
      </c>
      <c r="AH161" s="289">
        <v>0.63</v>
      </c>
      <c r="AI161" s="290">
        <v>4500</v>
      </c>
      <c r="AJ161" s="289">
        <v>5000</v>
      </c>
      <c r="AK161" s="289">
        <v>2350</v>
      </c>
      <c r="AL161" s="289">
        <v>150</v>
      </c>
      <c r="AM161" s="289">
        <v>90</v>
      </c>
      <c r="AN161" s="289">
        <v>63</v>
      </c>
      <c r="AO161" s="289">
        <v>63</v>
      </c>
      <c r="AP161" s="289">
        <v>1420</v>
      </c>
      <c r="AQ161" s="286">
        <f t="shared" si="14"/>
        <v>1023</v>
      </c>
      <c r="AR161" s="298">
        <f t="shared" ref="AR161:AR166" si="19">AN161*10+300+AK161+600</f>
        <v>3880</v>
      </c>
      <c r="AS161" s="298">
        <f t="shared" ref="AS161:AS166" si="20">AR161+600</f>
        <v>4480</v>
      </c>
      <c r="AT161" s="299">
        <v>12</v>
      </c>
      <c r="AU161" s="294">
        <v>850</v>
      </c>
      <c r="AV161" s="294">
        <v>80</v>
      </c>
      <c r="AW161" s="295">
        <v>0</v>
      </c>
      <c r="AX161" s="294">
        <f t="shared" si="11"/>
        <v>160</v>
      </c>
      <c r="AY161" s="302"/>
      <c r="AZ161" s="296"/>
      <c r="BA161" s="300">
        <v>30</v>
      </c>
      <c r="BC161" s="215">
        <v>43</v>
      </c>
    </row>
    <row r="162" spans="1:55" s="215" customFormat="1" x14ac:dyDescent="0.2">
      <c r="A162" s="274" t="s">
        <v>5771</v>
      </c>
      <c r="B162" s="274" t="s">
        <v>5637</v>
      </c>
      <c r="C162" s="274" t="s">
        <v>5622</v>
      </c>
      <c r="D162" s="275" t="s">
        <v>5638</v>
      </c>
      <c r="E162" s="289">
        <v>360</v>
      </c>
      <c r="F162" s="289">
        <v>1100</v>
      </c>
      <c r="G162" s="289">
        <v>1500</v>
      </c>
      <c r="H162" s="276">
        <v>4</v>
      </c>
      <c r="I162" s="288">
        <v>4</v>
      </c>
      <c r="J162" s="289">
        <v>2</v>
      </c>
      <c r="K162" s="2998">
        <v>1.0027999999999999</v>
      </c>
      <c r="L162" s="2994">
        <v>2.2303999999999999</v>
      </c>
      <c r="M162" s="280" t="e">
        <f t="shared" si="0"/>
        <v>#VALUE!</v>
      </c>
      <c r="N162" s="280" t="e">
        <f t="shared" si="1"/>
        <v>#VALUE!</v>
      </c>
      <c r="O162" s="280" t="e">
        <f t="shared" si="2"/>
        <v>#VALUE!</v>
      </c>
      <c r="P162" s="289">
        <v>35</v>
      </c>
      <c r="Q162" s="289">
        <v>12</v>
      </c>
      <c r="R162" s="279">
        <f t="shared" si="3"/>
        <v>300</v>
      </c>
      <c r="S162" s="305"/>
      <c r="T162" s="305"/>
      <c r="U162" s="305"/>
      <c r="V162" s="282">
        <f t="shared" si="4"/>
        <v>20</v>
      </c>
      <c r="W162" s="281">
        <f t="shared" si="5"/>
        <v>20</v>
      </c>
      <c r="X162" s="283" t="e">
        <f t="shared" si="6"/>
        <v>#VALUE!</v>
      </c>
      <c r="Y162" s="283" t="e">
        <f t="shared" si="7"/>
        <v>#VALUE!</v>
      </c>
      <c r="Z162" s="284">
        <f>обор!$H$1157</f>
        <v>10</v>
      </c>
      <c r="AA162" s="282">
        <f>обор!$H$1158</f>
        <v>15</v>
      </c>
      <c r="AB162" s="282">
        <f>обор!$H$1159</f>
        <v>20</v>
      </c>
      <c r="AC162" s="280" t="e">
        <f t="shared" si="8"/>
        <v>#VALUE!</v>
      </c>
      <c r="AD162" s="280" t="e">
        <f t="shared" si="9"/>
        <v>#VALUE!</v>
      </c>
      <c r="AE162" s="280" t="e">
        <f t="shared" si="10"/>
        <v>#VALUE!</v>
      </c>
      <c r="AF162" s="265"/>
      <c r="AG162" s="289">
        <v>0.63</v>
      </c>
      <c r="AH162" s="289">
        <v>0.63</v>
      </c>
      <c r="AI162" s="290">
        <v>4500</v>
      </c>
      <c r="AJ162" s="289">
        <v>5000</v>
      </c>
      <c r="AK162" s="289">
        <v>2350</v>
      </c>
      <c r="AL162" s="289">
        <v>150</v>
      </c>
      <c r="AM162" s="289">
        <v>90</v>
      </c>
      <c r="AN162" s="289">
        <v>63</v>
      </c>
      <c r="AO162" s="289">
        <v>63</v>
      </c>
      <c r="AP162" s="289">
        <v>1420</v>
      </c>
      <c r="AQ162" s="286">
        <f t="shared" si="14"/>
        <v>1023</v>
      </c>
      <c r="AR162" s="298">
        <f t="shared" si="19"/>
        <v>3880</v>
      </c>
      <c r="AS162" s="298">
        <f t="shared" si="20"/>
        <v>4480</v>
      </c>
      <c r="AT162" s="299">
        <v>12</v>
      </c>
      <c r="AU162" s="294">
        <v>900</v>
      </c>
      <c r="AV162" s="294">
        <v>80</v>
      </c>
      <c r="AW162" s="295">
        <v>0</v>
      </c>
      <c r="AX162" s="294">
        <f t="shared" si="11"/>
        <v>160</v>
      </c>
      <c r="AY162" s="302"/>
      <c r="AZ162" s="296"/>
      <c r="BA162" s="300">
        <v>30</v>
      </c>
      <c r="BC162" s="215">
        <v>39</v>
      </c>
    </row>
    <row r="163" spans="1:55" s="215" customFormat="1" ht="21.75" x14ac:dyDescent="0.2">
      <c r="A163" s="274" t="s">
        <v>5771</v>
      </c>
      <c r="B163" s="274" t="s">
        <v>1917</v>
      </c>
      <c r="C163" s="274" t="s">
        <v>5617</v>
      </c>
      <c r="D163" s="275" t="s">
        <v>5638</v>
      </c>
      <c r="E163" s="289">
        <v>360</v>
      </c>
      <c r="F163" s="289">
        <v>1100</v>
      </c>
      <c r="G163" s="289">
        <v>1500</v>
      </c>
      <c r="H163" s="276">
        <v>4</v>
      </c>
      <c r="I163" s="288">
        <v>4</v>
      </c>
      <c r="J163" s="289">
        <v>2</v>
      </c>
      <c r="K163" s="2998">
        <v>1.0027999999999999</v>
      </c>
      <c r="L163" s="2994">
        <v>2.2303999999999999</v>
      </c>
      <c r="M163" s="280" t="e">
        <f t="shared" ref="M163:M185" si="21">X163-AC163-Z163-AU163-W163</f>
        <v>#VALUE!</v>
      </c>
      <c r="N163" s="280" t="e">
        <f t="shared" ref="N163:N185" si="22">X163-AD163-AA163-V163-AW163</f>
        <v>#VALUE!</v>
      </c>
      <c r="O163" s="280" t="e">
        <f t="shared" ref="O163:O185" si="23">X163-AE163-AB163-V163-F163</f>
        <v>#VALUE!</v>
      </c>
      <c r="P163" s="289">
        <v>35</v>
      </c>
      <c r="Q163" s="289">
        <v>12</v>
      </c>
      <c r="R163" s="279">
        <f t="shared" ref="R163:R185" si="24">IF(BA163&gt;0,300,AL163)</f>
        <v>300</v>
      </c>
      <c r="S163" s="305"/>
      <c r="T163" s="305"/>
      <c r="U163" s="305"/>
      <c r="V163" s="282">
        <f t="shared" ref="V163:V185" si="25">$V$129</f>
        <v>20</v>
      </c>
      <c r="W163" s="281">
        <f t="shared" ref="W163:W185" si="26">$W$129</f>
        <v>20</v>
      </c>
      <c r="X163" s="283" t="e">
        <f t="shared" ref="X163:X185" si="27">$X$129</f>
        <v>#VALUE!</v>
      </c>
      <c r="Y163" s="283" t="e">
        <f t="shared" ref="Y163:Y185" si="28">$Y$129</f>
        <v>#VALUE!</v>
      </c>
      <c r="Z163" s="284">
        <f>обор!$H$1157</f>
        <v>10</v>
      </c>
      <c r="AA163" s="282">
        <f>обор!$H$1158</f>
        <v>15</v>
      </c>
      <c r="AB163" s="282">
        <f>обор!$H$1159</f>
        <v>20</v>
      </c>
      <c r="AC163" s="280" t="e">
        <f t="shared" ref="AC163:AC185" si="29">X163*AQ163*Y163/1000</f>
        <v>#VALUE!</v>
      </c>
      <c r="AD163" s="280" t="e">
        <f t="shared" ref="AD163:AD185" si="30">AR163*Y163*X163/1000</f>
        <v>#VALUE!</v>
      </c>
      <c r="AE163" s="280" t="e">
        <f t="shared" ref="AE163:AE185" si="31">Y163*X163*AS163/1000</f>
        <v>#VALUE!</v>
      </c>
      <c r="AF163" s="265"/>
      <c r="AG163" s="289">
        <v>0.63</v>
      </c>
      <c r="AH163" s="289">
        <v>0.63</v>
      </c>
      <c r="AI163" s="290">
        <v>4500</v>
      </c>
      <c r="AJ163" s="289">
        <v>5000</v>
      </c>
      <c r="AK163" s="289">
        <v>2350</v>
      </c>
      <c r="AL163" s="289">
        <v>150</v>
      </c>
      <c r="AM163" s="289">
        <v>90</v>
      </c>
      <c r="AN163" s="289">
        <v>63</v>
      </c>
      <c r="AO163" s="289">
        <v>63</v>
      </c>
      <c r="AP163" s="289">
        <v>1420</v>
      </c>
      <c r="AQ163" s="286">
        <f t="shared" si="14"/>
        <v>1023</v>
      </c>
      <c r="AR163" s="298">
        <f t="shared" si="19"/>
        <v>3880</v>
      </c>
      <c r="AS163" s="298">
        <f t="shared" si="20"/>
        <v>4480</v>
      </c>
      <c r="AT163" s="299">
        <v>12</v>
      </c>
      <c r="AU163" s="294">
        <v>900</v>
      </c>
      <c r="AV163" s="294">
        <v>80</v>
      </c>
      <c r="AW163" s="295">
        <v>0</v>
      </c>
      <c r="AX163" s="294">
        <f t="shared" ref="AX163:AX185" si="32">AV163*2</f>
        <v>160</v>
      </c>
      <c r="AY163" s="302"/>
      <c r="AZ163" s="296"/>
      <c r="BA163" s="300">
        <v>30</v>
      </c>
      <c r="BC163" s="215">
        <v>41</v>
      </c>
    </row>
    <row r="164" spans="1:55" s="215" customFormat="1" x14ac:dyDescent="0.2">
      <c r="A164" s="274" t="s">
        <v>5771</v>
      </c>
      <c r="B164" s="274" t="s">
        <v>5675</v>
      </c>
      <c r="C164" s="274" t="s">
        <v>5631</v>
      </c>
      <c r="D164" s="275" t="s">
        <v>5638</v>
      </c>
      <c r="E164" s="289">
        <v>360</v>
      </c>
      <c r="F164" s="289">
        <v>1100</v>
      </c>
      <c r="G164" s="289">
        <v>1500</v>
      </c>
      <c r="H164" s="276">
        <v>4</v>
      </c>
      <c r="I164" s="288">
        <v>4</v>
      </c>
      <c r="J164" s="289">
        <v>2</v>
      </c>
      <c r="K164" s="2998">
        <v>1.0027999999999999</v>
      </c>
      <c r="L164" s="2994">
        <v>2.2303999999999999</v>
      </c>
      <c r="M164" s="280" t="e">
        <f t="shared" si="21"/>
        <v>#VALUE!</v>
      </c>
      <c r="N164" s="280" t="e">
        <f t="shared" si="22"/>
        <v>#VALUE!</v>
      </c>
      <c r="O164" s="280" t="e">
        <f t="shared" si="23"/>
        <v>#VALUE!</v>
      </c>
      <c r="P164" s="289">
        <v>35</v>
      </c>
      <c r="Q164" s="289">
        <v>12</v>
      </c>
      <c r="R164" s="279">
        <f t="shared" si="24"/>
        <v>300</v>
      </c>
      <c r="S164" s="305"/>
      <c r="T164" s="305"/>
      <c r="U164" s="305"/>
      <c r="V164" s="282">
        <f t="shared" si="25"/>
        <v>20</v>
      </c>
      <c r="W164" s="281">
        <f t="shared" si="26"/>
        <v>20</v>
      </c>
      <c r="X164" s="283" t="e">
        <f t="shared" si="27"/>
        <v>#VALUE!</v>
      </c>
      <c r="Y164" s="283" t="e">
        <f t="shared" si="28"/>
        <v>#VALUE!</v>
      </c>
      <c r="Z164" s="284">
        <f>обор!$H$1157</f>
        <v>10</v>
      </c>
      <c r="AA164" s="282">
        <f>обор!$H$1158</f>
        <v>15</v>
      </c>
      <c r="AB164" s="282">
        <f>обор!$H$1159</f>
        <v>20</v>
      </c>
      <c r="AC164" s="280" t="e">
        <f t="shared" si="29"/>
        <v>#VALUE!</v>
      </c>
      <c r="AD164" s="280" t="e">
        <f t="shared" si="30"/>
        <v>#VALUE!</v>
      </c>
      <c r="AE164" s="280" t="e">
        <f t="shared" si="31"/>
        <v>#VALUE!</v>
      </c>
      <c r="AF164" s="265"/>
      <c r="AG164" s="289">
        <v>0.63</v>
      </c>
      <c r="AH164" s="289">
        <v>0.63</v>
      </c>
      <c r="AI164" s="290">
        <v>4500</v>
      </c>
      <c r="AJ164" s="289">
        <v>5000</v>
      </c>
      <c r="AK164" s="289">
        <v>2350</v>
      </c>
      <c r="AL164" s="289">
        <v>150</v>
      </c>
      <c r="AM164" s="289">
        <v>90</v>
      </c>
      <c r="AN164" s="289">
        <v>63</v>
      </c>
      <c r="AO164" s="289">
        <v>63</v>
      </c>
      <c r="AP164" s="289">
        <v>1420</v>
      </c>
      <c r="AQ164" s="286">
        <f t="shared" si="14"/>
        <v>1023</v>
      </c>
      <c r="AR164" s="298">
        <f t="shared" si="19"/>
        <v>3880</v>
      </c>
      <c r="AS164" s="298">
        <f t="shared" si="20"/>
        <v>4480</v>
      </c>
      <c r="AT164" s="299">
        <v>12</v>
      </c>
      <c r="AU164" s="294">
        <v>900</v>
      </c>
      <c r="AV164" s="294">
        <v>80</v>
      </c>
      <c r="AW164" s="295">
        <v>0</v>
      </c>
      <c r="AX164" s="294">
        <f t="shared" si="32"/>
        <v>160</v>
      </c>
      <c r="AY164" s="302"/>
      <c r="AZ164" s="296"/>
      <c r="BA164" s="300">
        <v>30</v>
      </c>
      <c r="BC164" s="215">
        <v>42</v>
      </c>
    </row>
    <row r="165" spans="1:55" s="215" customFormat="1" ht="15.75" customHeight="1" x14ac:dyDescent="0.2">
      <c r="A165" s="274" t="s">
        <v>5771</v>
      </c>
      <c r="B165" s="274" t="s">
        <v>5641</v>
      </c>
      <c r="C165" s="274" t="s">
        <v>5631</v>
      </c>
      <c r="D165" s="275" t="s">
        <v>5638</v>
      </c>
      <c r="E165" s="289">
        <v>360</v>
      </c>
      <c r="F165" s="289">
        <v>1100</v>
      </c>
      <c r="G165" s="289">
        <v>1500</v>
      </c>
      <c r="H165" s="276">
        <v>4</v>
      </c>
      <c r="I165" s="288">
        <v>4</v>
      </c>
      <c r="J165" s="289">
        <v>2</v>
      </c>
      <c r="K165" s="2998">
        <v>1.0027999999999999</v>
      </c>
      <c r="L165" s="2994">
        <v>2.2303999999999999</v>
      </c>
      <c r="M165" s="280" t="e">
        <f t="shared" si="21"/>
        <v>#VALUE!</v>
      </c>
      <c r="N165" s="280" t="e">
        <f t="shared" si="22"/>
        <v>#VALUE!</v>
      </c>
      <c r="O165" s="280" t="e">
        <f t="shared" si="23"/>
        <v>#VALUE!</v>
      </c>
      <c r="P165" s="289">
        <v>35</v>
      </c>
      <c r="Q165" s="289">
        <v>12</v>
      </c>
      <c r="R165" s="279">
        <f t="shared" si="24"/>
        <v>300</v>
      </c>
      <c r="S165" s="305"/>
      <c r="T165" s="305"/>
      <c r="U165" s="305"/>
      <c r="V165" s="282">
        <f t="shared" si="25"/>
        <v>20</v>
      </c>
      <c r="W165" s="281">
        <f t="shared" si="26"/>
        <v>20</v>
      </c>
      <c r="X165" s="283" t="e">
        <f t="shared" si="27"/>
        <v>#VALUE!</v>
      </c>
      <c r="Y165" s="283" t="e">
        <f t="shared" si="28"/>
        <v>#VALUE!</v>
      </c>
      <c r="Z165" s="284">
        <f>обор!$H$1157</f>
        <v>10</v>
      </c>
      <c r="AA165" s="282">
        <f>обор!$H$1158</f>
        <v>15</v>
      </c>
      <c r="AB165" s="282">
        <f>обор!$H$1159</f>
        <v>20</v>
      </c>
      <c r="AC165" s="280" t="e">
        <f t="shared" si="29"/>
        <v>#VALUE!</v>
      </c>
      <c r="AD165" s="280" t="e">
        <f t="shared" si="30"/>
        <v>#VALUE!</v>
      </c>
      <c r="AE165" s="280" t="e">
        <f t="shared" si="31"/>
        <v>#VALUE!</v>
      </c>
      <c r="AF165" s="265"/>
      <c r="AG165" s="289">
        <v>0.63</v>
      </c>
      <c r="AH165" s="289">
        <v>0.63</v>
      </c>
      <c r="AI165" s="290">
        <v>4500</v>
      </c>
      <c r="AJ165" s="289">
        <v>5000</v>
      </c>
      <c r="AK165" s="289">
        <v>2350</v>
      </c>
      <c r="AL165" s="289">
        <v>150</v>
      </c>
      <c r="AM165" s="289">
        <v>90</v>
      </c>
      <c r="AN165" s="289">
        <v>63</v>
      </c>
      <c r="AO165" s="289">
        <v>63</v>
      </c>
      <c r="AP165" s="289">
        <v>1420</v>
      </c>
      <c r="AQ165" s="286">
        <f t="shared" si="14"/>
        <v>1023</v>
      </c>
      <c r="AR165" s="298">
        <f t="shared" si="19"/>
        <v>3880</v>
      </c>
      <c r="AS165" s="298">
        <f t="shared" si="20"/>
        <v>4480</v>
      </c>
      <c r="AT165" s="299">
        <v>12</v>
      </c>
      <c r="AU165" s="294">
        <v>850</v>
      </c>
      <c r="AV165" s="294">
        <v>80</v>
      </c>
      <c r="AW165" s="295">
        <v>0</v>
      </c>
      <c r="AX165" s="294">
        <f t="shared" si="32"/>
        <v>160</v>
      </c>
      <c r="AY165" s="302"/>
      <c r="AZ165" s="296"/>
      <c r="BA165" s="300">
        <v>30</v>
      </c>
      <c r="BC165" s="215">
        <v>44</v>
      </c>
    </row>
    <row r="166" spans="1:55" s="215" customFormat="1" x14ac:dyDescent="0.2">
      <c r="A166" s="274" t="s">
        <v>5771</v>
      </c>
      <c r="B166" s="274" t="s">
        <v>1918</v>
      </c>
      <c r="C166" s="274" t="s">
        <v>5630</v>
      </c>
      <c r="D166" s="310" t="s">
        <v>5638</v>
      </c>
      <c r="E166" s="289">
        <v>360</v>
      </c>
      <c r="F166" s="289">
        <v>1100</v>
      </c>
      <c r="G166" s="289">
        <v>1500</v>
      </c>
      <c r="H166" s="276">
        <v>4</v>
      </c>
      <c r="I166" s="287">
        <v>4</v>
      </c>
      <c r="J166" s="289">
        <v>2</v>
      </c>
      <c r="K166" s="2998">
        <v>1.0027999999999999</v>
      </c>
      <c r="L166" s="2994">
        <v>2.2303999999999999</v>
      </c>
      <c r="M166" s="280" t="e">
        <f t="shared" si="21"/>
        <v>#VALUE!</v>
      </c>
      <c r="N166" s="280" t="e">
        <f t="shared" si="22"/>
        <v>#VALUE!</v>
      </c>
      <c r="O166" s="280" t="e">
        <f t="shared" si="23"/>
        <v>#VALUE!</v>
      </c>
      <c r="P166" s="289">
        <v>35</v>
      </c>
      <c r="Q166" s="289">
        <v>12</v>
      </c>
      <c r="R166" s="279">
        <f t="shared" si="24"/>
        <v>300</v>
      </c>
      <c r="S166" s="305"/>
      <c r="T166" s="305"/>
      <c r="U166" s="305"/>
      <c r="V166" s="282">
        <f t="shared" si="25"/>
        <v>20</v>
      </c>
      <c r="W166" s="281">
        <f t="shared" si="26"/>
        <v>20</v>
      </c>
      <c r="X166" s="283" t="e">
        <f t="shared" si="27"/>
        <v>#VALUE!</v>
      </c>
      <c r="Y166" s="283" t="e">
        <f t="shared" si="28"/>
        <v>#VALUE!</v>
      </c>
      <c r="Z166" s="284">
        <f>обор!$H$1157</f>
        <v>10</v>
      </c>
      <c r="AA166" s="282">
        <f>обор!$H$1158</f>
        <v>15</v>
      </c>
      <c r="AB166" s="282">
        <f>обор!$H$1159</f>
        <v>20</v>
      </c>
      <c r="AC166" s="280" t="e">
        <f t="shared" si="29"/>
        <v>#VALUE!</v>
      </c>
      <c r="AD166" s="280" t="e">
        <f t="shared" si="30"/>
        <v>#VALUE!</v>
      </c>
      <c r="AE166" s="280" t="e">
        <f t="shared" si="31"/>
        <v>#VALUE!</v>
      </c>
      <c r="AF166" s="265"/>
      <c r="AG166" s="289">
        <v>0.63</v>
      </c>
      <c r="AH166" s="289">
        <v>0.63</v>
      </c>
      <c r="AI166" s="290">
        <v>4500</v>
      </c>
      <c r="AJ166" s="289">
        <v>5000</v>
      </c>
      <c r="AK166" s="289">
        <v>2350</v>
      </c>
      <c r="AL166" s="289">
        <v>150</v>
      </c>
      <c r="AM166" s="289">
        <v>90</v>
      </c>
      <c r="AN166" s="289">
        <v>63</v>
      </c>
      <c r="AO166" s="289">
        <v>63</v>
      </c>
      <c r="AP166" s="289">
        <v>1420</v>
      </c>
      <c r="AQ166" s="286">
        <f t="shared" si="14"/>
        <v>1023</v>
      </c>
      <c r="AR166" s="298">
        <f t="shared" si="19"/>
        <v>3880</v>
      </c>
      <c r="AS166" s="298">
        <f t="shared" si="20"/>
        <v>4480</v>
      </c>
      <c r="AT166" s="299">
        <v>12</v>
      </c>
      <c r="AU166" s="294">
        <v>900</v>
      </c>
      <c r="AV166" s="294">
        <v>80</v>
      </c>
      <c r="AW166" s="295">
        <v>0</v>
      </c>
      <c r="AX166" s="294">
        <f t="shared" si="32"/>
        <v>160</v>
      </c>
      <c r="AY166" s="302"/>
      <c r="AZ166" s="296"/>
      <c r="BA166" s="300">
        <v>30</v>
      </c>
      <c r="BC166" s="215">
        <v>40</v>
      </c>
    </row>
    <row r="167" spans="1:55" s="215" customFormat="1" x14ac:dyDescent="0.2">
      <c r="A167" s="274" t="s">
        <v>5772</v>
      </c>
      <c r="B167" s="274" t="s">
        <v>5623</v>
      </c>
      <c r="C167" s="274" t="s">
        <v>5622</v>
      </c>
      <c r="D167" s="275" t="s">
        <v>3481</v>
      </c>
      <c r="E167" s="289">
        <v>360</v>
      </c>
      <c r="F167" s="289">
        <v>1100</v>
      </c>
      <c r="G167" s="289">
        <v>1500</v>
      </c>
      <c r="H167" s="276">
        <v>4</v>
      </c>
      <c r="I167" s="288">
        <v>3</v>
      </c>
      <c r="J167" s="289">
        <v>2</v>
      </c>
      <c r="K167" s="2998">
        <v>0.56879999999999997</v>
      </c>
      <c r="L167" s="2994">
        <v>0.8974000000000002</v>
      </c>
      <c r="M167" s="280" t="e">
        <f t="shared" si="21"/>
        <v>#VALUE!</v>
      </c>
      <c r="N167" s="280" t="e">
        <f t="shared" si="22"/>
        <v>#VALUE!</v>
      </c>
      <c r="O167" s="280" t="e">
        <f t="shared" si="23"/>
        <v>#VALUE!</v>
      </c>
      <c r="P167" s="289">
        <v>35</v>
      </c>
      <c r="Q167" s="289">
        <v>10</v>
      </c>
      <c r="R167" s="279">
        <f t="shared" si="24"/>
        <v>300</v>
      </c>
      <c r="S167" s="305"/>
      <c r="T167" s="305"/>
      <c r="U167" s="305"/>
      <c r="V167" s="282">
        <f t="shared" si="25"/>
        <v>20</v>
      </c>
      <c r="W167" s="281">
        <f t="shared" si="26"/>
        <v>20</v>
      </c>
      <c r="X167" s="283" t="e">
        <f t="shared" si="27"/>
        <v>#VALUE!</v>
      </c>
      <c r="Y167" s="283" t="e">
        <f t="shared" si="28"/>
        <v>#VALUE!</v>
      </c>
      <c r="Z167" s="284">
        <f>обор!$H$1157</f>
        <v>10</v>
      </c>
      <c r="AA167" s="282">
        <f>обор!$H$1158</f>
        <v>15</v>
      </c>
      <c r="AB167" s="282">
        <f>обор!$H$1159</f>
        <v>20</v>
      </c>
      <c r="AC167" s="280" t="e">
        <f t="shared" si="29"/>
        <v>#VALUE!</v>
      </c>
      <c r="AD167" s="280" t="e">
        <f t="shared" si="30"/>
        <v>#VALUE!</v>
      </c>
      <c r="AE167" s="280" t="e">
        <f t="shared" si="31"/>
        <v>#VALUE!</v>
      </c>
      <c r="AF167" s="265"/>
      <c r="AG167" s="289">
        <v>0.63</v>
      </c>
      <c r="AH167" s="289">
        <v>0.63</v>
      </c>
      <c r="AI167" s="290">
        <v>3545</v>
      </c>
      <c r="AJ167" s="289">
        <v>5000</v>
      </c>
      <c r="AK167" s="289">
        <v>2020</v>
      </c>
      <c r="AL167" s="289">
        <v>150</v>
      </c>
      <c r="AM167" s="289">
        <v>90</v>
      </c>
      <c r="AN167" s="289">
        <v>63</v>
      </c>
      <c r="AO167" s="289">
        <v>63</v>
      </c>
      <c r="AP167" s="289">
        <v>1460</v>
      </c>
      <c r="AQ167" s="286">
        <f t="shared" si="14"/>
        <v>1023</v>
      </c>
      <c r="AR167" s="298">
        <f>AN167*10+300+AK167+500</f>
        <v>3450</v>
      </c>
      <c r="AS167" s="298">
        <f>AR167+500</f>
        <v>3950</v>
      </c>
      <c r="AT167" s="299">
        <v>7.1</v>
      </c>
      <c r="AU167" s="294">
        <v>850</v>
      </c>
      <c r="AV167" s="294">
        <v>90</v>
      </c>
      <c r="AW167" s="295">
        <v>110</v>
      </c>
      <c r="AX167" s="294">
        <f t="shared" si="32"/>
        <v>180</v>
      </c>
      <c r="AY167" s="302"/>
      <c r="AZ167" s="296"/>
      <c r="BA167" s="300">
        <v>10</v>
      </c>
      <c r="BC167" s="215">
        <v>37</v>
      </c>
    </row>
    <row r="168" spans="1:55" s="215" customFormat="1" x14ac:dyDescent="0.2">
      <c r="A168" s="274" t="s">
        <v>5772</v>
      </c>
      <c r="B168" s="274" t="s">
        <v>152</v>
      </c>
      <c r="C168" s="274" t="s">
        <v>5655</v>
      </c>
      <c r="D168" s="275" t="s">
        <v>3481</v>
      </c>
      <c r="E168" s="289">
        <v>360</v>
      </c>
      <c r="F168" s="289">
        <v>1100</v>
      </c>
      <c r="G168" s="289">
        <v>1500</v>
      </c>
      <c r="H168" s="276">
        <v>4</v>
      </c>
      <c r="I168" s="288">
        <v>3</v>
      </c>
      <c r="J168" s="289">
        <v>2</v>
      </c>
      <c r="K168" s="2998">
        <v>0.56879999999999997</v>
      </c>
      <c r="L168" s="2994">
        <v>0.8974000000000002</v>
      </c>
      <c r="M168" s="280" t="e">
        <f t="shared" si="21"/>
        <v>#VALUE!</v>
      </c>
      <c r="N168" s="280" t="e">
        <f t="shared" si="22"/>
        <v>#VALUE!</v>
      </c>
      <c r="O168" s="280" t="e">
        <f t="shared" si="23"/>
        <v>#VALUE!</v>
      </c>
      <c r="P168" s="289">
        <v>35</v>
      </c>
      <c r="Q168" s="289">
        <v>10</v>
      </c>
      <c r="R168" s="279">
        <f t="shared" si="24"/>
        <v>300</v>
      </c>
      <c r="S168" s="305"/>
      <c r="T168" s="305"/>
      <c r="U168" s="305"/>
      <c r="V168" s="282">
        <f t="shared" si="25"/>
        <v>20</v>
      </c>
      <c r="W168" s="281">
        <f t="shared" si="26"/>
        <v>20</v>
      </c>
      <c r="X168" s="283" t="e">
        <f t="shared" si="27"/>
        <v>#VALUE!</v>
      </c>
      <c r="Y168" s="283" t="e">
        <f t="shared" si="28"/>
        <v>#VALUE!</v>
      </c>
      <c r="Z168" s="284">
        <f>обор!$H$1157</f>
        <v>10</v>
      </c>
      <c r="AA168" s="282">
        <f>обор!$H$1158</f>
        <v>15</v>
      </c>
      <c r="AB168" s="282">
        <f>обор!$H$1159</f>
        <v>20</v>
      </c>
      <c r="AC168" s="280" t="e">
        <f t="shared" si="29"/>
        <v>#VALUE!</v>
      </c>
      <c r="AD168" s="280" t="e">
        <f t="shared" si="30"/>
        <v>#VALUE!</v>
      </c>
      <c r="AE168" s="280" t="e">
        <f t="shared" si="31"/>
        <v>#VALUE!</v>
      </c>
      <c r="AF168" s="265"/>
      <c r="AG168" s="289">
        <v>0.8</v>
      </c>
      <c r="AH168" s="289">
        <v>0.8</v>
      </c>
      <c r="AI168" s="290">
        <v>3545</v>
      </c>
      <c r="AJ168" s="289">
        <v>5000</v>
      </c>
      <c r="AK168" s="289">
        <v>2020</v>
      </c>
      <c r="AL168" s="289">
        <v>150</v>
      </c>
      <c r="AM168" s="289">
        <v>90</v>
      </c>
      <c r="AN168" s="289">
        <v>63</v>
      </c>
      <c r="AO168" s="289">
        <v>63</v>
      </c>
      <c r="AP168" s="289">
        <v>1460</v>
      </c>
      <c r="AQ168" s="286">
        <f t="shared" si="14"/>
        <v>1023</v>
      </c>
      <c r="AR168" s="298">
        <f>AN168*10+300+AK168+500</f>
        <v>3450</v>
      </c>
      <c r="AS168" s="298">
        <f>AR168+500</f>
        <v>3950</v>
      </c>
      <c r="AT168" s="299">
        <v>7.1</v>
      </c>
      <c r="AU168" s="294">
        <v>950</v>
      </c>
      <c r="AV168" s="294">
        <v>90</v>
      </c>
      <c r="AW168" s="295">
        <v>110</v>
      </c>
      <c r="AX168" s="294">
        <f t="shared" si="32"/>
        <v>180</v>
      </c>
      <c r="AY168" s="302"/>
      <c r="AZ168" s="296"/>
      <c r="BA168" s="300">
        <v>10</v>
      </c>
      <c r="BC168" s="215">
        <v>34</v>
      </c>
    </row>
    <row r="169" spans="1:55" s="215" customFormat="1" ht="21.75" x14ac:dyDescent="0.2">
      <c r="A169" s="274" t="s">
        <v>5772</v>
      </c>
      <c r="B169" s="274" t="s">
        <v>5628</v>
      </c>
      <c r="C169" s="274" t="s">
        <v>5620</v>
      </c>
      <c r="D169" s="275" t="s">
        <v>3481</v>
      </c>
      <c r="E169" s="289">
        <v>360</v>
      </c>
      <c r="F169" s="289">
        <v>1100</v>
      </c>
      <c r="G169" s="289">
        <v>1500</v>
      </c>
      <c r="H169" s="276">
        <v>4</v>
      </c>
      <c r="I169" s="288">
        <v>3</v>
      </c>
      <c r="J169" s="289">
        <v>2</v>
      </c>
      <c r="K169" s="2998">
        <v>0.56879999999999997</v>
      </c>
      <c r="L169" s="2994">
        <v>0.8974000000000002</v>
      </c>
      <c r="M169" s="280" t="e">
        <f t="shared" si="21"/>
        <v>#VALUE!</v>
      </c>
      <c r="N169" s="280" t="e">
        <f t="shared" si="22"/>
        <v>#VALUE!</v>
      </c>
      <c r="O169" s="280" t="e">
        <f t="shared" si="23"/>
        <v>#VALUE!</v>
      </c>
      <c r="P169" s="289">
        <v>35</v>
      </c>
      <c r="Q169" s="289">
        <v>10</v>
      </c>
      <c r="R169" s="279">
        <f t="shared" si="24"/>
        <v>300</v>
      </c>
      <c r="S169" s="305"/>
      <c r="T169" s="305"/>
      <c r="U169" s="305"/>
      <c r="V169" s="282">
        <f t="shared" si="25"/>
        <v>20</v>
      </c>
      <c r="W169" s="281">
        <f t="shared" si="26"/>
        <v>20</v>
      </c>
      <c r="X169" s="283" t="e">
        <f t="shared" si="27"/>
        <v>#VALUE!</v>
      </c>
      <c r="Y169" s="283" t="e">
        <f t="shared" si="28"/>
        <v>#VALUE!</v>
      </c>
      <c r="Z169" s="284">
        <f>обор!$H$1157</f>
        <v>10</v>
      </c>
      <c r="AA169" s="282">
        <f>обор!$H$1158</f>
        <v>15</v>
      </c>
      <c r="AB169" s="282">
        <f>обор!$H$1159</f>
        <v>20</v>
      </c>
      <c r="AC169" s="280" t="e">
        <f t="shared" si="29"/>
        <v>#VALUE!</v>
      </c>
      <c r="AD169" s="280" t="e">
        <f t="shared" si="30"/>
        <v>#VALUE!</v>
      </c>
      <c r="AE169" s="280" t="e">
        <f t="shared" si="31"/>
        <v>#VALUE!</v>
      </c>
      <c r="AF169" s="265"/>
      <c r="AG169" s="289">
        <v>0.8</v>
      </c>
      <c r="AH169" s="289">
        <v>0.8</v>
      </c>
      <c r="AI169" s="290">
        <v>3545</v>
      </c>
      <c r="AJ169" s="289">
        <v>5000</v>
      </c>
      <c r="AK169" s="289">
        <v>2020</v>
      </c>
      <c r="AL169" s="289">
        <v>150</v>
      </c>
      <c r="AM169" s="289">
        <v>90</v>
      </c>
      <c r="AN169" s="289">
        <v>63</v>
      </c>
      <c r="AO169" s="289">
        <v>63</v>
      </c>
      <c r="AP169" s="289">
        <v>1460</v>
      </c>
      <c r="AQ169" s="286">
        <f t="shared" si="14"/>
        <v>1023</v>
      </c>
      <c r="AR169" s="298">
        <f>AN169*10+300+AK169+500</f>
        <v>3450</v>
      </c>
      <c r="AS169" s="298">
        <f>AR169+500</f>
        <v>3950</v>
      </c>
      <c r="AT169" s="299">
        <v>7.1</v>
      </c>
      <c r="AU169" s="294">
        <v>950</v>
      </c>
      <c r="AV169" s="294">
        <v>90</v>
      </c>
      <c r="AW169" s="295">
        <v>110</v>
      </c>
      <c r="AX169" s="294">
        <f t="shared" si="32"/>
        <v>180</v>
      </c>
      <c r="AY169" s="302"/>
      <c r="AZ169" s="296"/>
      <c r="BA169" s="300">
        <v>10</v>
      </c>
      <c r="BC169" s="215">
        <v>35</v>
      </c>
    </row>
    <row r="170" spans="1:55" s="215" customFormat="1" ht="21.75" x14ac:dyDescent="0.2">
      <c r="A170" s="274" t="s">
        <v>5772</v>
      </c>
      <c r="B170" s="274" t="s">
        <v>1917</v>
      </c>
      <c r="C170" s="274" t="s">
        <v>5620</v>
      </c>
      <c r="D170" s="275" t="s">
        <v>3481</v>
      </c>
      <c r="E170" s="289">
        <v>360</v>
      </c>
      <c r="F170" s="289">
        <v>1100</v>
      </c>
      <c r="G170" s="289">
        <v>1500</v>
      </c>
      <c r="H170" s="276">
        <v>4</v>
      </c>
      <c r="I170" s="288">
        <v>3</v>
      </c>
      <c r="J170" s="289">
        <v>2</v>
      </c>
      <c r="K170" s="2998">
        <v>0.56879999999999997</v>
      </c>
      <c r="L170" s="2994">
        <v>0.8974000000000002</v>
      </c>
      <c r="M170" s="280" t="e">
        <f t="shared" si="21"/>
        <v>#VALUE!</v>
      </c>
      <c r="N170" s="280" t="e">
        <f t="shared" si="22"/>
        <v>#VALUE!</v>
      </c>
      <c r="O170" s="280" t="e">
        <f t="shared" si="23"/>
        <v>#VALUE!</v>
      </c>
      <c r="P170" s="289">
        <v>35</v>
      </c>
      <c r="Q170" s="289">
        <v>10</v>
      </c>
      <c r="R170" s="279">
        <f t="shared" si="24"/>
        <v>300</v>
      </c>
      <c r="S170" s="305"/>
      <c r="T170" s="305"/>
      <c r="U170" s="305"/>
      <c r="V170" s="282">
        <f t="shared" si="25"/>
        <v>20</v>
      </c>
      <c r="W170" s="281">
        <f t="shared" si="26"/>
        <v>20</v>
      </c>
      <c r="X170" s="283" t="e">
        <f t="shared" si="27"/>
        <v>#VALUE!</v>
      </c>
      <c r="Y170" s="283" t="e">
        <f t="shared" si="28"/>
        <v>#VALUE!</v>
      </c>
      <c r="Z170" s="284">
        <f>обор!$H$1157</f>
        <v>10</v>
      </c>
      <c r="AA170" s="282">
        <f>обор!$H$1158</f>
        <v>15</v>
      </c>
      <c r="AB170" s="282">
        <f>обор!$H$1159</f>
        <v>20</v>
      </c>
      <c r="AC170" s="280" t="e">
        <f t="shared" si="29"/>
        <v>#VALUE!</v>
      </c>
      <c r="AD170" s="280" t="e">
        <f t="shared" si="30"/>
        <v>#VALUE!</v>
      </c>
      <c r="AE170" s="280" t="e">
        <f t="shared" si="31"/>
        <v>#VALUE!</v>
      </c>
      <c r="AF170" s="265"/>
      <c r="AG170" s="289">
        <v>0.63</v>
      </c>
      <c r="AH170" s="289">
        <v>0.63</v>
      </c>
      <c r="AI170" s="290">
        <v>3545</v>
      </c>
      <c r="AJ170" s="289">
        <v>5000</v>
      </c>
      <c r="AK170" s="289">
        <v>2020</v>
      </c>
      <c r="AL170" s="289">
        <v>150</v>
      </c>
      <c r="AM170" s="289">
        <v>90</v>
      </c>
      <c r="AN170" s="289">
        <v>63</v>
      </c>
      <c r="AO170" s="289">
        <v>63</v>
      </c>
      <c r="AP170" s="289">
        <v>1460</v>
      </c>
      <c r="AQ170" s="286">
        <f t="shared" si="14"/>
        <v>1023</v>
      </c>
      <c r="AR170" s="298">
        <f>AN170*10+300+AK170+500</f>
        <v>3450</v>
      </c>
      <c r="AS170" s="298">
        <f>AR170+500</f>
        <v>3950</v>
      </c>
      <c r="AT170" s="299">
        <v>7.1</v>
      </c>
      <c r="AU170" s="294">
        <v>850</v>
      </c>
      <c r="AV170" s="294">
        <v>90</v>
      </c>
      <c r="AW170" s="295">
        <v>110</v>
      </c>
      <c r="AX170" s="294">
        <f t="shared" si="32"/>
        <v>180</v>
      </c>
      <c r="AY170" s="302"/>
      <c r="AZ170" s="296"/>
      <c r="BA170" s="300">
        <v>10</v>
      </c>
      <c r="BC170" s="215">
        <v>36</v>
      </c>
    </row>
    <row r="171" spans="1:55" s="215" customFormat="1" x14ac:dyDescent="0.2">
      <c r="A171" s="274" t="s">
        <v>5771</v>
      </c>
      <c r="B171" s="274" t="s">
        <v>5637</v>
      </c>
      <c r="C171" s="274" t="s">
        <v>3480</v>
      </c>
      <c r="D171" s="275" t="s">
        <v>3484</v>
      </c>
      <c r="E171" s="289">
        <v>350</v>
      </c>
      <c r="F171" s="289">
        <v>1100</v>
      </c>
      <c r="G171" s="289">
        <v>1500</v>
      </c>
      <c r="H171" s="276">
        <v>4</v>
      </c>
      <c r="I171" s="288">
        <v>3</v>
      </c>
      <c r="J171" s="289">
        <v>2</v>
      </c>
      <c r="K171" s="2998">
        <v>1.0027999999999999</v>
      </c>
      <c r="L171" s="2994">
        <v>2.2303999999999999</v>
      </c>
      <c r="M171" s="280" t="e">
        <f t="shared" si="21"/>
        <v>#VALUE!</v>
      </c>
      <c r="N171" s="280" t="e">
        <f t="shared" si="22"/>
        <v>#VALUE!</v>
      </c>
      <c r="O171" s="280" t="e">
        <f t="shared" si="23"/>
        <v>#VALUE!</v>
      </c>
      <c r="P171" s="289">
        <v>35</v>
      </c>
      <c r="Q171" s="289">
        <v>10</v>
      </c>
      <c r="R171" s="279">
        <f t="shared" si="24"/>
        <v>300</v>
      </c>
      <c r="S171" s="305"/>
      <c r="T171" s="305"/>
      <c r="U171" s="305"/>
      <c r="V171" s="282">
        <f t="shared" si="25"/>
        <v>20</v>
      </c>
      <c r="W171" s="281">
        <f t="shared" si="26"/>
        <v>20</v>
      </c>
      <c r="X171" s="283" t="e">
        <f t="shared" si="27"/>
        <v>#VALUE!</v>
      </c>
      <c r="Y171" s="283" t="e">
        <f t="shared" si="28"/>
        <v>#VALUE!</v>
      </c>
      <c r="Z171" s="284">
        <f>обор!$H$1157</f>
        <v>10</v>
      </c>
      <c r="AA171" s="282">
        <f>обор!$H$1158</f>
        <v>15</v>
      </c>
      <c r="AB171" s="282">
        <f>обор!$H$1159</f>
        <v>20</v>
      </c>
      <c r="AC171" s="280" t="e">
        <f t="shared" si="29"/>
        <v>#VALUE!</v>
      </c>
      <c r="AD171" s="280" t="e">
        <f t="shared" si="30"/>
        <v>#VALUE!</v>
      </c>
      <c r="AE171" s="280" t="e">
        <f t="shared" si="31"/>
        <v>#VALUE!</v>
      </c>
      <c r="AF171" s="265"/>
      <c r="AG171" s="289">
        <v>0.63</v>
      </c>
      <c r="AH171" s="289">
        <v>0.8</v>
      </c>
      <c r="AI171" s="290">
        <v>3545</v>
      </c>
      <c r="AJ171" s="289">
        <v>5000</v>
      </c>
      <c r="AK171" s="289">
        <v>2020</v>
      </c>
      <c r="AL171" s="289">
        <v>150</v>
      </c>
      <c r="AM171" s="289">
        <v>90</v>
      </c>
      <c r="AN171" s="289">
        <v>63</v>
      </c>
      <c r="AO171" s="289">
        <v>63</v>
      </c>
      <c r="AP171" s="289">
        <v>1460</v>
      </c>
      <c r="AQ171" s="286">
        <f t="shared" si="14"/>
        <v>1023</v>
      </c>
      <c r="AR171" s="298">
        <f>AN171*10+300+AK171+500</f>
        <v>3450</v>
      </c>
      <c r="AS171" s="298">
        <f>AR171+500</f>
        <v>3950</v>
      </c>
      <c r="AT171" s="299">
        <v>9</v>
      </c>
      <c r="AU171" s="294">
        <v>700</v>
      </c>
      <c r="AV171" s="294">
        <v>90</v>
      </c>
      <c r="AW171" s="295">
        <v>110</v>
      </c>
      <c r="AX171" s="294">
        <f t="shared" si="32"/>
        <v>180</v>
      </c>
      <c r="AY171" s="302"/>
      <c r="AZ171" s="296"/>
      <c r="BA171" s="300">
        <v>10</v>
      </c>
      <c r="BC171" s="215">
        <v>38</v>
      </c>
    </row>
    <row r="172" spans="1:55" s="215" customFormat="1" x14ac:dyDescent="0.2">
      <c r="A172" s="274" t="s">
        <v>5773</v>
      </c>
      <c r="B172" s="274" t="s">
        <v>1918</v>
      </c>
      <c r="C172" s="274" t="s">
        <v>3483</v>
      </c>
      <c r="D172" s="275" t="s">
        <v>5636</v>
      </c>
      <c r="E172" s="289">
        <v>350</v>
      </c>
      <c r="F172" s="289">
        <v>1350</v>
      </c>
      <c r="G172" s="289">
        <v>2400</v>
      </c>
      <c r="H172" s="276">
        <v>3</v>
      </c>
      <c r="I172" s="288">
        <v>4</v>
      </c>
      <c r="J172" s="289">
        <v>2</v>
      </c>
      <c r="K172" s="2998">
        <v>0.49879999999999997</v>
      </c>
      <c r="L172" s="2994">
        <v>0.6823999999999999</v>
      </c>
      <c r="M172" s="280" t="e">
        <f t="shared" si="21"/>
        <v>#VALUE!</v>
      </c>
      <c r="N172" s="280" t="e">
        <f t="shared" si="22"/>
        <v>#VALUE!</v>
      </c>
      <c r="O172" s="280" t="e">
        <f t="shared" si="23"/>
        <v>#VALUE!</v>
      </c>
      <c r="P172" s="289">
        <v>20</v>
      </c>
      <c r="Q172" s="289">
        <v>10</v>
      </c>
      <c r="R172" s="279">
        <f t="shared" si="24"/>
        <v>160</v>
      </c>
      <c r="S172" s="305"/>
      <c r="T172" s="305"/>
      <c r="U172" s="305"/>
      <c r="V172" s="282">
        <f t="shared" si="25"/>
        <v>20</v>
      </c>
      <c r="W172" s="281">
        <f t="shared" si="26"/>
        <v>20</v>
      </c>
      <c r="X172" s="283" t="e">
        <f t="shared" si="27"/>
        <v>#VALUE!</v>
      </c>
      <c r="Y172" s="283" t="e">
        <f t="shared" si="28"/>
        <v>#VALUE!</v>
      </c>
      <c r="Z172" s="284">
        <f>обор!$H$1157</f>
        <v>10</v>
      </c>
      <c r="AA172" s="282">
        <f>обор!$H$1158</f>
        <v>15</v>
      </c>
      <c r="AB172" s="282">
        <f>обор!$H$1159</f>
        <v>20</v>
      </c>
      <c r="AC172" s="280" t="e">
        <f t="shared" si="29"/>
        <v>#VALUE!</v>
      </c>
      <c r="AD172" s="280" t="e">
        <f t="shared" si="30"/>
        <v>#VALUE!</v>
      </c>
      <c r="AE172" s="280" t="e">
        <f t="shared" si="31"/>
        <v>#VALUE!</v>
      </c>
      <c r="AF172" s="265"/>
      <c r="AG172" s="289">
        <v>0.8</v>
      </c>
      <c r="AH172" s="289">
        <v>0.8</v>
      </c>
      <c r="AI172" s="290">
        <v>3460</v>
      </c>
      <c r="AJ172" s="289">
        <v>3460</v>
      </c>
      <c r="AK172" s="289">
        <v>1850</v>
      </c>
      <c r="AL172" s="289">
        <v>160</v>
      </c>
      <c r="AM172" s="289">
        <v>70</v>
      </c>
      <c r="AN172" s="289">
        <v>80</v>
      </c>
      <c r="AO172" s="289">
        <v>80</v>
      </c>
      <c r="AP172" s="289">
        <v>1400</v>
      </c>
      <c r="AQ172" s="286">
        <f t="shared" si="14"/>
        <v>1040</v>
      </c>
      <c r="AR172" s="298">
        <f>AN172*10+300+AK172+625</f>
        <v>3575</v>
      </c>
      <c r="AS172" s="298">
        <f>AR172+550</f>
        <v>4125</v>
      </c>
      <c r="AT172" s="299">
        <v>2.2149999999999999</v>
      </c>
      <c r="AU172" s="294">
        <v>590</v>
      </c>
      <c r="AV172" s="294">
        <v>70</v>
      </c>
      <c r="AW172" s="295">
        <v>0</v>
      </c>
      <c r="AX172" s="294">
        <f t="shared" si="32"/>
        <v>140</v>
      </c>
      <c r="AY172" s="302"/>
      <c r="AZ172" s="296"/>
      <c r="BA172" s="300">
        <v>0</v>
      </c>
      <c r="BC172" s="215">
        <v>28</v>
      </c>
    </row>
    <row r="173" spans="1:55" s="215" customFormat="1" x14ac:dyDescent="0.2">
      <c r="A173" s="274" t="s">
        <v>5773</v>
      </c>
      <c r="B173" s="274" t="s">
        <v>152</v>
      </c>
      <c r="C173" s="274" t="s">
        <v>2776</v>
      </c>
      <c r="D173" s="275" t="s">
        <v>5636</v>
      </c>
      <c r="E173" s="289">
        <v>350</v>
      </c>
      <c r="F173" s="289">
        <v>1350</v>
      </c>
      <c r="G173" s="289">
        <v>2400</v>
      </c>
      <c r="H173" s="276">
        <v>3</v>
      </c>
      <c r="I173" s="288">
        <v>4</v>
      </c>
      <c r="J173" s="289">
        <v>2</v>
      </c>
      <c r="K173" s="2998">
        <v>0.49879999999999997</v>
      </c>
      <c r="L173" s="2994">
        <v>0.6823999999999999</v>
      </c>
      <c r="M173" s="280" t="e">
        <f t="shared" si="21"/>
        <v>#VALUE!</v>
      </c>
      <c r="N173" s="280" t="e">
        <f t="shared" si="22"/>
        <v>#VALUE!</v>
      </c>
      <c r="O173" s="280" t="e">
        <f t="shared" si="23"/>
        <v>#VALUE!</v>
      </c>
      <c r="P173" s="289">
        <v>20</v>
      </c>
      <c r="Q173" s="289">
        <v>10</v>
      </c>
      <c r="R173" s="279">
        <f t="shared" si="24"/>
        <v>160</v>
      </c>
      <c r="S173" s="305"/>
      <c r="T173" s="305"/>
      <c r="U173" s="305"/>
      <c r="V173" s="282">
        <f t="shared" si="25"/>
        <v>20</v>
      </c>
      <c r="W173" s="281">
        <f t="shared" si="26"/>
        <v>20</v>
      </c>
      <c r="X173" s="283" t="e">
        <f t="shared" si="27"/>
        <v>#VALUE!</v>
      </c>
      <c r="Y173" s="283" t="e">
        <f t="shared" si="28"/>
        <v>#VALUE!</v>
      </c>
      <c r="Z173" s="284">
        <f>обор!$H$1157</f>
        <v>10</v>
      </c>
      <c r="AA173" s="282">
        <f>обор!$H$1158</f>
        <v>15</v>
      </c>
      <c r="AB173" s="282">
        <f>обор!$H$1159</f>
        <v>20</v>
      </c>
      <c r="AC173" s="280" t="e">
        <f t="shared" si="29"/>
        <v>#VALUE!</v>
      </c>
      <c r="AD173" s="280" t="e">
        <f t="shared" si="30"/>
        <v>#VALUE!</v>
      </c>
      <c r="AE173" s="280" t="e">
        <f t="shared" si="31"/>
        <v>#VALUE!</v>
      </c>
      <c r="AF173" s="265"/>
      <c r="AG173" s="289">
        <v>0.8</v>
      </c>
      <c r="AH173" s="289">
        <v>0.8</v>
      </c>
      <c r="AI173" s="290">
        <v>3460</v>
      </c>
      <c r="AJ173" s="289">
        <v>3460</v>
      </c>
      <c r="AK173" s="289">
        <v>1850</v>
      </c>
      <c r="AL173" s="289">
        <v>160</v>
      </c>
      <c r="AM173" s="289">
        <v>70</v>
      </c>
      <c r="AN173" s="289">
        <v>80</v>
      </c>
      <c r="AO173" s="289">
        <v>80</v>
      </c>
      <c r="AP173" s="289">
        <v>1400</v>
      </c>
      <c r="AQ173" s="286">
        <f t="shared" si="14"/>
        <v>1040</v>
      </c>
      <c r="AR173" s="298">
        <f>AN173*10+300+AK173+625</f>
        <v>3575</v>
      </c>
      <c r="AS173" s="298">
        <f>AR173+550</f>
        <v>4125</v>
      </c>
      <c r="AT173" s="299">
        <v>2.2149999999999999</v>
      </c>
      <c r="AU173" s="294">
        <v>590</v>
      </c>
      <c r="AV173" s="294">
        <v>70</v>
      </c>
      <c r="AW173" s="295">
        <v>0</v>
      </c>
      <c r="AX173" s="294">
        <f t="shared" si="32"/>
        <v>140</v>
      </c>
      <c r="AY173" s="302"/>
      <c r="AZ173" s="296"/>
      <c r="BA173" s="300">
        <v>0</v>
      </c>
      <c r="BC173" s="215">
        <v>29</v>
      </c>
    </row>
    <row r="174" spans="1:55" s="215" customFormat="1" x14ac:dyDescent="0.2">
      <c r="A174" s="274" t="s">
        <v>5773</v>
      </c>
      <c r="B174" s="274" t="s">
        <v>5627</v>
      </c>
      <c r="C174" s="274" t="s">
        <v>5624</v>
      </c>
      <c r="D174" s="275" t="s">
        <v>5636</v>
      </c>
      <c r="E174" s="289">
        <v>250</v>
      </c>
      <c r="F174" s="289">
        <v>1350</v>
      </c>
      <c r="G174" s="289">
        <v>2400</v>
      </c>
      <c r="H174" s="276">
        <v>3</v>
      </c>
      <c r="I174" s="288">
        <v>4</v>
      </c>
      <c r="J174" s="289">
        <v>2</v>
      </c>
      <c r="K174" s="2998">
        <v>0.49879999999999997</v>
      </c>
      <c r="L174" s="2994">
        <v>0.6823999999999999</v>
      </c>
      <c r="M174" s="280" t="e">
        <f t="shared" si="21"/>
        <v>#VALUE!</v>
      </c>
      <c r="N174" s="280" t="e">
        <f t="shared" si="22"/>
        <v>#VALUE!</v>
      </c>
      <c r="O174" s="280" t="e">
        <f t="shared" si="23"/>
        <v>#VALUE!</v>
      </c>
      <c r="P174" s="289">
        <v>20</v>
      </c>
      <c r="Q174" s="289">
        <v>8</v>
      </c>
      <c r="R174" s="279">
        <f t="shared" si="24"/>
        <v>160</v>
      </c>
      <c r="S174" s="305"/>
      <c r="T174" s="305"/>
      <c r="U174" s="305"/>
      <c r="V174" s="282">
        <f t="shared" si="25"/>
        <v>20</v>
      </c>
      <c r="W174" s="281">
        <f t="shared" si="26"/>
        <v>20</v>
      </c>
      <c r="X174" s="283" t="e">
        <f t="shared" si="27"/>
        <v>#VALUE!</v>
      </c>
      <c r="Y174" s="283" t="e">
        <f t="shared" si="28"/>
        <v>#VALUE!</v>
      </c>
      <c r="Z174" s="284">
        <f>обор!$H$1157</f>
        <v>10</v>
      </c>
      <c r="AA174" s="282">
        <f>обор!$H$1158</f>
        <v>15</v>
      </c>
      <c r="AB174" s="282">
        <f>обор!$H$1159</f>
        <v>20</v>
      </c>
      <c r="AC174" s="280" t="e">
        <f t="shared" si="29"/>
        <v>#VALUE!</v>
      </c>
      <c r="AD174" s="280" t="e">
        <f t="shared" si="30"/>
        <v>#VALUE!</v>
      </c>
      <c r="AE174" s="280" t="e">
        <f t="shared" si="31"/>
        <v>#VALUE!</v>
      </c>
      <c r="AF174" s="265"/>
      <c r="AG174" s="289">
        <v>0.63</v>
      </c>
      <c r="AH174" s="289">
        <v>0.8</v>
      </c>
      <c r="AI174" s="290">
        <v>3160</v>
      </c>
      <c r="AJ174" s="289">
        <v>3160</v>
      </c>
      <c r="AK174" s="289">
        <v>1550</v>
      </c>
      <c r="AL174" s="289">
        <v>160</v>
      </c>
      <c r="AM174" s="289">
        <v>67</v>
      </c>
      <c r="AN174" s="289">
        <v>70</v>
      </c>
      <c r="AO174" s="289">
        <v>70</v>
      </c>
      <c r="AP174" s="289">
        <v>1400</v>
      </c>
      <c r="AQ174" s="286">
        <f>1300+AN174</f>
        <v>1370</v>
      </c>
      <c r="AR174" s="298">
        <f>AN174*10+300+AK174+625</f>
        <v>3175</v>
      </c>
      <c r="AS174" s="298">
        <f>AR174+550</f>
        <v>3725</v>
      </c>
      <c r="AT174" s="299">
        <v>2.2149999999999999</v>
      </c>
      <c r="AU174" s="294">
        <v>420</v>
      </c>
      <c r="AV174" s="294">
        <v>70</v>
      </c>
      <c r="AW174" s="295">
        <v>0</v>
      </c>
      <c r="AX174" s="294">
        <f t="shared" si="32"/>
        <v>140</v>
      </c>
      <c r="AY174" s="302"/>
      <c r="AZ174" s="296"/>
      <c r="BA174" s="300">
        <v>0</v>
      </c>
      <c r="BC174" s="215">
        <v>31</v>
      </c>
    </row>
    <row r="175" spans="1:55" s="215" customFormat="1" x14ac:dyDescent="0.2">
      <c r="A175" s="274" t="s">
        <v>5773</v>
      </c>
      <c r="B175" s="274" t="s">
        <v>5618</v>
      </c>
      <c r="C175" s="274" t="s">
        <v>5655</v>
      </c>
      <c r="D175" s="275" t="s">
        <v>5636</v>
      </c>
      <c r="E175" s="289">
        <v>360</v>
      </c>
      <c r="F175" s="289">
        <v>1350</v>
      </c>
      <c r="G175" s="289">
        <v>2400</v>
      </c>
      <c r="H175" s="276">
        <v>3</v>
      </c>
      <c r="I175" s="288">
        <v>4</v>
      </c>
      <c r="J175" s="289">
        <v>2</v>
      </c>
      <c r="K175" s="2998">
        <v>0.49879999999999997</v>
      </c>
      <c r="L175" s="2994">
        <v>0.6823999999999999</v>
      </c>
      <c r="M175" s="280" t="e">
        <f t="shared" si="21"/>
        <v>#VALUE!</v>
      </c>
      <c r="N175" s="280" t="e">
        <f t="shared" si="22"/>
        <v>#VALUE!</v>
      </c>
      <c r="O175" s="280" t="e">
        <f t="shared" si="23"/>
        <v>#VALUE!</v>
      </c>
      <c r="P175" s="289">
        <v>35</v>
      </c>
      <c r="Q175" s="289">
        <v>10</v>
      </c>
      <c r="R175" s="279">
        <f t="shared" si="24"/>
        <v>126</v>
      </c>
      <c r="S175" s="305"/>
      <c r="T175" s="305"/>
      <c r="U175" s="305"/>
      <c r="V175" s="282">
        <f t="shared" si="25"/>
        <v>20</v>
      </c>
      <c r="W175" s="281">
        <f t="shared" si="26"/>
        <v>20</v>
      </c>
      <c r="X175" s="283" t="e">
        <f t="shared" si="27"/>
        <v>#VALUE!</v>
      </c>
      <c r="Y175" s="283" t="e">
        <f t="shared" si="28"/>
        <v>#VALUE!</v>
      </c>
      <c r="Z175" s="284">
        <f>обор!$H$1157</f>
        <v>10</v>
      </c>
      <c r="AA175" s="282">
        <f>обор!$H$1158</f>
        <v>15</v>
      </c>
      <c r="AB175" s="282">
        <f>обор!$H$1159</f>
        <v>20</v>
      </c>
      <c r="AC175" s="280" t="e">
        <f t="shared" si="29"/>
        <v>#VALUE!</v>
      </c>
      <c r="AD175" s="280" t="e">
        <f t="shared" si="30"/>
        <v>#VALUE!</v>
      </c>
      <c r="AE175" s="280" t="e">
        <f t="shared" si="31"/>
        <v>#VALUE!</v>
      </c>
      <c r="AF175" s="265"/>
      <c r="AG175" s="289">
        <v>0.63</v>
      </c>
      <c r="AH175" s="289">
        <v>0.63</v>
      </c>
      <c r="AI175" s="290">
        <v>4000</v>
      </c>
      <c r="AJ175" s="289">
        <v>4000</v>
      </c>
      <c r="AK175" s="289">
        <v>2225</v>
      </c>
      <c r="AL175" s="289">
        <v>126</v>
      </c>
      <c r="AM175" s="289">
        <v>90</v>
      </c>
      <c r="AN175" s="289">
        <v>63</v>
      </c>
      <c r="AO175" s="289">
        <v>63</v>
      </c>
      <c r="AP175" s="289">
        <v>1230</v>
      </c>
      <c r="AQ175" s="286">
        <f>960+AN175</f>
        <v>1023</v>
      </c>
      <c r="AR175" s="298">
        <f>AN175*10+300+AK175+600</f>
        <v>3755</v>
      </c>
      <c r="AS175" s="298">
        <f>AR175+550</f>
        <v>4305</v>
      </c>
      <c r="AT175" s="299">
        <v>4.9000000000000004</v>
      </c>
      <c r="AU175" s="294">
        <v>900</v>
      </c>
      <c r="AV175" s="294">
        <v>70</v>
      </c>
      <c r="AW175" s="295">
        <v>220</v>
      </c>
      <c r="AX175" s="294">
        <f t="shared" si="32"/>
        <v>140</v>
      </c>
      <c r="AY175" s="302"/>
      <c r="AZ175" s="296"/>
      <c r="BA175" s="300">
        <v>0</v>
      </c>
      <c r="BC175" s="215">
        <v>33</v>
      </c>
    </row>
    <row r="176" spans="1:55" s="215" customFormat="1" x14ac:dyDescent="0.2">
      <c r="A176" s="274" t="s">
        <v>5773</v>
      </c>
      <c r="B176" s="274" t="s">
        <v>5619</v>
      </c>
      <c r="C176" s="274" t="s">
        <v>3482</v>
      </c>
      <c r="D176" s="275" t="s">
        <v>5636</v>
      </c>
      <c r="E176" s="289">
        <v>250</v>
      </c>
      <c r="F176" s="289">
        <v>1350</v>
      </c>
      <c r="G176" s="289">
        <v>2400</v>
      </c>
      <c r="H176" s="276">
        <v>3</v>
      </c>
      <c r="I176" s="288">
        <v>4</v>
      </c>
      <c r="J176" s="289">
        <v>2</v>
      </c>
      <c r="K176" s="2998">
        <v>0.49879999999999997</v>
      </c>
      <c r="L176" s="2994">
        <v>0.6823999999999999</v>
      </c>
      <c r="M176" s="280" t="e">
        <f t="shared" si="21"/>
        <v>#VALUE!</v>
      </c>
      <c r="N176" s="280" t="e">
        <f t="shared" si="22"/>
        <v>#VALUE!</v>
      </c>
      <c r="O176" s="280" t="e">
        <f t="shared" si="23"/>
        <v>#VALUE!</v>
      </c>
      <c r="P176" s="289">
        <v>20</v>
      </c>
      <c r="Q176" s="289">
        <v>8</v>
      </c>
      <c r="R176" s="279">
        <f t="shared" si="24"/>
        <v>160</v>
      </c>
      <c r="S176" s="305"/>
      <c r="T176" s="305"/>
      <c r="U176" s="305"/>
      <c r="V176" s="282">
        <f t="shared" si="25"/>
        <v>20</v>
      </c>
      <c r="W176" s="281">
        <f t="shared" si="26"/>
        <v>20</v>
      </c>
      <c r="X176" s="283" t="e">
        <f t="shared" si="27"/>
        <v>#VALUE!</v>
      </c>
      <c r="Y176" s="283" t="e">
        <f t="shared" si="28"/>
        <v>#VALUE!</v>
      </c>
      <c r="Z176" s="284">
        <f>обор!$H$1157</f>
        <v>10</v>
      </c>
      <c r="AA176" s="282">
        <f>обор!$H$1158</f>
        <v>15</v>
      </c>
      <c r="AB176" s="282">
        <f>обор!$H$1159</f>
        <v>20</v>
      </c>
      <c r="AC176" s="280" t="e">
        <f t="shared" si="29"/>
        <v>#VALUE!</v>
      </c>
      <c r="AD176" s="280" t="e">
        <f t="shared" si="30"/>
        <v>#VALUE!</v>
      </c>
      <c r="AE176" s="280" t="e">
        <f t="shared" si="31"/>
        <v>#VALUE!</v>
      </c>
      <c r="AF176" s="265"/>
      <c r="AG176" s="289">
        <v>0.63</v>
      </c>
      <c r="AH176" s="289">
        <v>0.8</v>
      </c>
      <c r="AI176" s="290">
        <v>3160</v>
      </c>
      <c r="AJ176" s="289">
        <v>3160</v>
      </c>
      <c r="AK176" s="289">
        <v>1550</v>
      </c>
      <c r="AL176" s="289">
        <v>160</v>
      </c>
      <c r="AM176" s="289">
        <v>67</v>
      </c>
      <c r="AN176" s="289">
        <v>70</v>
      </c>
      <c r="AO176" s="289">
        <v>70</v>
      </c>
      <c r="AP176" s="289">
        <v>1400</v>
      </c>
      <c r="AQ176" s="286">
        <f>960+AN176</f>
        <v>1030</v>
      </c>
      <c r="AR176" s="298">
        <f>AN176*10+300+AK176+625</f>
        <v>3175</v>
      </c>
      <c r="AS176" s="298">
        <f>AR176+600</f>
        <v>3775</v>
      </c>
      <c r="AT176" s="299">
        <v>2.2149999999999999</v>
      </c>
      <c r="AU176" s="294">
        <v>420</v>
      </c>
      <c r="AV176" s="294">
        <v>70</v>
      </c>
      <c r="AW176" s="295">
        <v>0</v>
      </c>
      <c r="AX176" s="294">
        <f t="shared" si="32"/>
        <v>140</v>
      </c>
      <c r="AY176" s="302"/>
      <c r="AZ176" s="296"/>
      <c r="BA176" s="300">
        <v>0</v>
      </c>
      <c r="BC176" s="215">
        <v>32</v>
      </c>
    </row>
    <row r="177" spans="1:59" s="215" customFormat="1" x14ac:dyDescent="0.2">
      <c r="A177" s="274" t="s">
        <v>5773</v>
      </c>
      <c r="B177" s="274" t="s">
        <v>5627</v>
      </c>
      <c r="C177" s="274" t="s">
        <v>658</v>
      </c>
      <c r="D177" s="275" t="s">
        <v>5636</v>
      </c>
      <c r="E177" s="289">
        <v>250</v>
      </c>
      <c r="F177" s="289">
        <v>1350</v>
      </c>
      <c r="G177" s="289">
        <v>2400</v>
      </c>
      <c r="H177" s="276">
        <v>3</v>
      </c>
      <c r="I177" s="288">
        <v>4</v>
      </c>
      <c r="J177" s="289">
        <v>2</v>
      </c>
      <c r="K177" s="2998">
        <v>0.49879999999999997</v>
      </c>
      <c r="L177" s="2994">
        <v>0.6823999999999999</v>
      </c>
      <c r="M177" s="280" t="e">
        <f t="shared" si="21"/>
        <v>#VALUE!</v>
      </c>
      <c r="N177" s="280" t="e">
        <f t="shared" si="22"/>
        <v>#VALUE!</v>
      </c>
      <c r="O177" s="280" t="e">
        <f t="shared" si="23"/>
        <v>#VALUE!</v>
      </c>
      <c r="P177" s="289">
        <v>20</v>
      </c>
      <c r="Q177" s="289">
        <v>8</v>
      </c>
      <c r="R177" s="279">
        <f t="shared" si="24"/>
        <v>160</v>
      </c>
      <c r="S177" s="305"/>
      <c r="T177" s="305"/>
      <c r="U177" s="305"/>
      <c r="V177" s="282">
        <f t="shared" si="25"/>
        <v>20</v>
      </c>
      <c r="W177" s="281">
        <f t="shared" si="26"/>
        <v>20</v>
      </c>
      <c r="X177" s="283" t="e">
        <f t="shared" si="27"/>
        <v>#VALUE!</v>
      </c>
      <c r="Y177" s="283" t="e">
        <f t="shared" si="28"/>
        <v>#VALUE!</v>
      </c>
      <c r="Z177" s="284">
        <f>обор!$H$1157</f>
        <v>10</v>
      </c>
      <c r="AA177" s="282">
        <f>обор!$H$1158</f>
        <v>15</v>
      </c>
      <c r="AB177" s="282">
        <f>обор!$H$1159</f>
        <v>20</v>
      </c>
      <c r="AC177" s="280" t="e">
        <f t="shared" si="29"/>
        <v>#VALUE!</v>
      </c>
      <c r="AD177" s="280" t="e">
        <f t="shared" si="30"/>
        <v>#VALUE!</v>
      </c>
      <c r="AE177" s="280" t="e">
        <f t="shared" si="31"/>
        <v>#VALUE!</v>
      </c>
      <c r="AF177" s="265"/>
      <c r="AG177" s="289">
        <v>0.63</v>
      </c>
      <c r="AH177" s="289">
        <v>0.8</v>
      </c>
      <c r="AI177" s="290">
        <v>3160</v>
      </c>
      <c r="AJ177" s="289">
        <v>3160</v>
      </c>
      <c r="AK177" s="289">
        <v>1550</v>
      </c>
      <c r="AL177" s="289">
        <v>160</v>
      </c>
      <c r="AM177" s="289">
        <v>67</v>
      </c>
      <c r="AN177" s="289">
        <v>70</v>
      </c>
      <c r="AO177" s="289">
        <v>70</v>
      </c>
      <c r="AP177" s="289">
        <v>1400</v>
      </c>
      <c r="AQ177" s="286">
        <f>1300+AN177</f>
        <v>1370</v>
      </c>
      <c r="AR177" s="298">
        <f>AN177*10+300+AK177+625</f>
        <v>3175</v>
      </c>
      <c r="AS177" s="298">
        <f>AR177+550</f>
        <v>3725</v>
      </c>
      <c r="AT177" s="299">
        <v>2.2149999999999999</v>
      </c>
      <c r="AU177" s="294">
        <v>420</v>
      </c>
      <c r="AV177" s="294">
        <v>70</v>
      </c>
      <c r="AW177" s="295">
        <v>0</v>
      </c>
      <c r="AX177" s="294">
        <f t="shared" si="32"/>
        <v>140</v>
      </c>
      <c r="AY177" s="302"/>
      <c r="AZ177" s="296"/>
      <c r="BA177" s="300">
        <v>0</v>
      </c>
      <c r="BC177" s="215">
        <v>30</v>
      </c>
    </row>
    <row r="178" spans="1:59" s="215" customFormat="1" x14ac:dyDescent="0.2">
      <c r="A178" s="274" t="s">
        <v>5774</v>
      </c>
      <c r="B178" s="274" t="s">
        <v>5618</v>
      </c>
      <c r="C178" s="274" t="s">
        <v>2776</v>
      </c>
      <c r="D178" s="275" t="s">
        <v>657</v>
      </c>
      <c r="E178" s="289">
        <v>360</v>
      </c>
      <c r="F178" s="289">
        <v>1350</v>
      </c>
      <c r="G178" s="289">
        <v>2000</v>
      </c>
      <c r="H178" s="276">
        <v>4</v>
      </c>
      <c r="I178" s="288">
        <v>3</v>
      </c>
      <c r="J178" s="289">
        <v>2</v>
      </c>
      <c r="K178" s="2998">
        <v>0.56879999999999997</v>
      </c>
      <c r="L178" s="2994">
        <v>0.8974000000000002</v>
      </c>
      <c r="M178" s="280" t="e">
        <f t="shared" si="21"/>
        <v>#VALUE!</v>
      </c>
      <c r="N178" s="280" t="e">
        <f t="shared" si="22"/>
        <v>#VALUE!</v>
      </c>
      <c r="O178" s="280" t="e">
        <f t="shared" si="23"/>
        <v>#VALUE!</v>
      </c>
      <c r="P178" s="289">
        <v>35</v>
      </c>
      <c r="Q178" s="289">
        <v>10</v>
      </c>
      <c r="R178" s="279">
        <f t="shared" si="24"/>
        <v>300</v>
      </c>
      <c r="S178" s="305"/>
      <c r="T178" s="305"/>
      <c r="U178" s="305"/>
      <c r="V178" s="282">
        <f t="shared" si="25"/>
        <v>20</v>
      </c>
      <c r="W178" s="281">
        <f t="shared" si="26"/>
        <v>20</v>
      </c>
      <c r="X178" s="283" t="e">
        <f t="shared" si="27"/>
        <v>#VALUE!</v>
      </c>
      <c r="Y178" s="283" t="e">
        <f t="shared" si="28"/>
        <v>#VALUE!</v>
      </c>
      <c r="Z178" s="284">
        <f>обор!$H$1157</f>
        <v>10</v>
      </c>
      <c r="AA178" s="282">
        <f>обор!$H$1158</f>
        <v>15</v>
      </c>
      <c r="AB178" s="282">
        <f>обор!$H$1159</f>
        <v>20</v>
      </c>
      <c r="AC178" s="280" t="e">
        <f t="shared" si="29"/>
        <v>#VALUE!</v>
      </c>
      <c r="AD178" s="280" t="e">
        <f t="shared" si="30"/>
        <v>#VALUE!</v>
      </c>
      <c r="AE178" s="280" t="e">
        <f t="shared" si="31"/>
        <v>#VALUE!</v>
      </c>
      <c r="AF178" s="265"/>
      <c r="AG178" s="289">
        <v>0.63</v>
      </c>
      <c r="AH178" s="289">
        <v>0.8</v>
      </c>
      <c r="AI178" s="290">
        <v>3545</v>
      </c>
      <c r="AJ178" s="289">
        <v>5000</v>
      </c>
      <c r="AK178" s="289">
        <v>2020</v>
      </c>
      <c r="AL178" s="289">
        <v>150</v>
      </c>
      <c r="AM178" s="289">
        <v>90</v>
      </c>
      <c r="AN178" s="289">
        <v>63</v>
      </c>
      <c r="AO178" s="289">
        <v>63</v>
      </c>
      <c r="AP178" s="289">
        <v>1460</v>
      </c>
      <c r="AQ178" s="286">
        <f t="shared" ref="AQ178:AQ185" si="33">960+AN178</f>
        <v>1023</v>
      </c>
      <c r="AR178" s="298">
        <f t="shared" ref="AR178:AR185" si="34">((AJ178-AK178)/2)+AK178+AN178*10</f>
        <v>4140</v>
      </c>
      <c r="AS178" s="298">
        <f t="shared" ref="AS178:AS185" si="35">AJ178+AN178</f>
        <v>5063</v>
      </c>
      <c r="AT178" s="299">
        <v>7.4</v>
      </c>
      <c r="AU178" s="294">
        <v>850</v>
      </c>
      <c r="AV178" s="294">
        <v>100</v>
      </c>
      <c r="AW178" s="295">
        <v>220</v>
      </c>
      <c r="AX178" s="294">
        <f t="shared" si="32"/>
        <v>200</v>
      </c>
      <c r="AY178" s="302"/>
      <c r="AZ178" s="296"/>
      <c r="BA178" s="300">
        <v>10</v>
      </c>
      <c r="BC178" s="215">
        <v>65</v>
      </c>
    </row>
    <row r="179" spans="1:59" s="215" customFormat="1" ht="15.75" customHeight="1" x14ac:dyDescent="0.2">
      <c r="A179" s="274" t="s">
        <v>5774</v>
      </c>
      <c r="B179" s="274" t="s">
        <v>5625</v>
      </c>
      <c r="C179" s="274" t="s">
        <v>5624</v>
      </c>
      <c r="D179" s="275" t="s">
        <v>657</v>
      </c>
      <c r="E179" s="289">
        <v>360</v>
      </c>
      <c r="F179" s="289">
        <v>1350</v>
      </c>
      <c r="G179" s="289">
        <v>2000</v>
      </c>
      <c r="H179" s="276">
        <v>4</v>
      </c>
      <c r="I179" s="288">
        <v>3</v>
      </c>
      <c r="J179" s="289">
        <v>2</v>
      </c>
      <c r="K179" s="2998">
        <v>0.56879999999999997</v>
      </c>
      <c r="L179" s="2994">
        <v>0.8974000000000002</v>
      </c>
      <c r="M179" s="280" t="e">
        <f t="shared" si="21"/>
        <v>#VALUE!</v>
      </c>
      <c r="N179" s="280" t="e">
        <f t="shared" si="22"/>
        <v>#VALUE!</v>
      </c>
      <c r="O179" s="280" t="e">
        <f t="shared" si="23"/>
        <v>#VALUE!</v>
      </c>
      <c r="P179" s="289">
        <v>35</v>
      </c>
      <c r="Q179" s="289">
        <v>10</v>
      </c>
      <c r="R179" s="279">
        <f t="shared" si="24"/>
        <v>300</v>
      </c>
      <c r="S179" s="305"/>
      <c r="T179" s="305"/>
      <c r="U179" s="305"/>
      <c r="V179" s="282">
        <f t="shared" si="25"/>
        <v>20</v>
      </c>
      <c r="W179" s="281">
        <f t="shared" si="26"/>
        <v>20</v>
      </c>
      <c r="X179" s="283" t="e">
        <f t="shared" si="27"/>
        <v>#VALUE!</v>
      </c>
      <c r="Y179" s="283" t="e">
        <f t="shared" si="28"/>
        <v>#VALUE!</v>
      </c>
      <c r="Z179" s="284">
        <f>обор!$H$1157</f>
        <v>10</v>
      </c>
      <c r="AA179" s="282">
        <f>обор!$H$1158</f>
        <v>15</v>
      </c>
      <c r="AB179" s="282">
        <f>обор!$H$1159</f>
        <v>20</v>
      </c>
      <c r="AC179" s="280" t="e">
        <f t="shared" si="29"/>
        <v>#VALUE!</v>
      </c>
      <c r="AD179" s="280" t="e">
        <f t="shared" si="30"/>
        <v>#VALUE!</v>
      </c>
      <c r="AE179" s="280" t="e">
        <f t="shared" si="31"/>
        <v>#VALUE!</v>
      </c>
      <c r="AF179" s="265"/>
      <c r="AG179" s="289">
        <v>0.63</v>
      </c>
      <c r="AH179" s="289">
        <v>0.63</v>
      </c>
      <c r="AI179" s="290">
        <v>3545</v>
      </c>
      <c r="AJ179" s="289">
        <v>5000</v>
      </c>
      <c r="AK179" s="289">
        <v>2020</v>
      </c>
      <c r="AL179" s="289">
        <v>150</v>
      </c>
      <c r="AM179" s="289">
        <v>90</v>
      </c>
      <c r="AN179" s="289">
        <v>63</v>
      </c>
      <c r="AO179" s="289">
        <v>63</v>
      </c>
      <c r="AP179" s="289">
        <v>1460</v>
      </c>
      <c r="AQ179" s="286">
        <f t="shared" si="33"/>
        <v>1023</v>
      </c>
      <c r="AR179" s="298">
        <f t="shared" si="34"/>
        <v>4140</v>
      </c>
      <c r="AS179" s="298">
        <f t="shared" si="35"/>
        <v>5063</v>
      </c>
      <c r="AT179" s="299">
        <v>7.4</v>
      </c>
      <c r="AU179" s="294">
        <v>950</v>
      </c>
      <c r="AV179" s="294">
        <v>100</v>
      </c>
      <c r="AW179" s="295">
        <v>220</v>
      </c>
      <c r="AX179" s="294">
        <f t="shared" si="32"/>
        <v>200</v>
      </c>
      <c r="AY179" s="302"/>
      <c r="AZ179" s="296"/>
      <c r="BA179" s="300">
        <v>10</v>
      </c>
      <c r="BC179" s="215">
        <v>63</v>
      </c>
    </row>
    <row r="180" spans="1:59" s="215" customFormat="1" x14ac:dyDescent="0.2">
      <c r="A180" s="274" t="s">
        <v>5774</v>
      </c>
      <c r="B180" s="274" t="s">
        <v>152</v>
      </c>
      <c r="C180" s="274" t="s">
        <v>3482</v>
      </c>
      <c r="D180" s="275" t="s">
        <v>657</v>
      </c>
      <c r="E180" s="289">
        <v>360</v>
      </c>
      <c r="F180" s="289">
        <v>1350</v>
      </c>
      <c r="G180" s="289">
        <v>2000</v>
      </c>
      <c r="H180" s="276">
        <v>4</v>
      </c>
      <c r="I180" s="288">
        <v>3</v>
      </c>
      <c r="J180" s="289">
        <v>2</v>
      </c>
      <c r="K180" s="2998">
        <v>0.56879999999999997</v>
      </c>
      <c r="L180" s="2994">
        <v>0.8974000000000002</v>
      </c>
      <c r="M180" s="280" t="e">
        <f t="shared" si="21"/>
        <v>#VALUE!</v>
      </c>
      <c r="N180" s="280" t="e">
        <f t="shared" si="22"/>
        <v>#VALUE!</v>
      </c>
      <c r="O180" s="280" t="e">
        <f t="shared" si="23"/>
        <v>#VALUE!</v>
      </c>
      <c r="P180" s="289">
        <v>35</v>
      </c>
      <c r="Q180" s="289">
        <v>10</v>
      </c>
      <c r="R180" s="279">
        <f t="shared" si="24"/>
        <v>300</v>
      </c>
      <c r="S180" s="305"/>
      <c r="T180" s="305"/>
      <c r="U180" s="305"/>
      <c r="V180" s="282">
        <f t="shared" si="25"/>
        <v>20</v>
      </c>
      <c r="W180" s="281">
        <f t="shared" si="26"/>
        <v>20</v>
      </c>
      <c r="X180" s="283" t="e">
        <f t="shared" si="27"/>
        <v>#VALUE!</v>
      </c>
      <c r="Y180" s="283" t="e">
        <f t="shared" si="28"/>
        <v>#VALUE!</v>
      </c>
      <c r="Z180" s="284">
        <f>обор!$H$1157</f>
        <v>10</v>
      </c>
      <c r="AA180" s="282">
        <f>обор!$H$1158</f>
        <v>15</v>
      </c>
      <c r="AB180" s="282">
        <f>обор!$H$1159</f>
        <v>20</v>
      </c>
      <c r="AC180" s="280" t="e">
        <f t="shared" si="29"/>
        <v>#VALUE!</v>
      </c>
      <c r="AD180" s="280" t="e">
        <f t="shared" si="30"/>
        <v>#VALUE!</v>
      </c>
      <c r="AE180" s="280" t="e">
        <f t="shared" si="31"/>
        <v>#VALUE!</v>
      </c>
      <c r="AF180" s="265"/>
      <c r="AG180" s="289">
        <v>0.63</v>
      </c>
      <c r="AH180" s="289">
        <v>0.63</v>
      </c>
      <c r="AI180" s="290">
        <v>3545</v>
      </c>
      <c r="AJ180" s="289">
        <v>5000</v>
      </c>
      <c r="AK180" s="289">
        <v>2020</v>
      </c>
      <c r="AL180" s="289">
        <v>150</v>
      </c>
      <c r="AM180" s="289">
        <v>90</v>
      </c>
      <c r="AN180" s="289">
        <v>63</v>
      </c>
      <c r="AO180" s="289">
        <v>63</v>
      </c>
      <c r="AP180" s="289">
        <v>1460</v>
      </c>
      <c r="AQ180" s="286">
        <f t="shared" si="33"/>
        <v>1023</v>
      </c>
      <c r="AR180" s="298">
        <f t="shared" si="34"/>
        <v>4140</v>
      </c>
      <c r="AS180" s="298">
        <f t="shared" si="35"/>
        <v>5063</v>
      </c>
      <c r="AT180" s="299">
        <v>7.4</v>
      </c>
      <c r="AU180" s="294">
        <v>950</v>
      </c>
      <c r="AV180" s="294">
        <v>100</v>
      </c>
      <c r="AW180" s="295">
        <v>220</v>
      </c>
      <c r="AX180" s="294">
        <f t="shared" si="32"/>
        <v>200</v>
      </c>
      <c r="AY180" s="302"/>
      <c r="AZ180" s="296"/>
      <c r="BA180" s="300">
        <v>10</v>
      </c>
      <c r="BC180" s="215">
        <v>62</v>
      </c>
    </row>
    <row r="181" spans="1:59" s="215" customFormat="1" x14ac:dyDescent="0.2">
      <c r="A181" s="274" t="s">
        <v>5774</v>
      </c>
      <c r="B181" s="274" t="s">
        <v>5627</v>
      </c>
      <c r="C181" s="274" t="s">
        <v>658</v>
      </c>
      <c r="D181" s="275" t="s">
        <v>657</v>
      </c>
      <c r="E181" s="289">
        <v>360</v>
      </c>
      <c r="F181" s="289">
        <v>1350</v>
      </c>
      <c r="G181" s="289">
        <v>2000</v>
      </c>
      <c r="H181" s="276">
        <v>4</v>
      </c>
      <c r="I181" s="288">
        <v>3</v>
      </c>
      <c r="J181" s="289">
        <v>2</v>
      </c>
      <c r="K181" s="2998">
        <v>0.56879999999999997</v>
      </c>
      <c r="L181" s="2994">
        <v>0.8974000000000002</v>
      </c>
      <c r="M181" s="280" t="e">
        <f t="shared" si="21"/>
        <v>#VALUE!</v>
      </c>
      <c r="N181" s="280" t="e">
        <f t="shared" si="22"/>
        <v>#VALUE!</v>
      </c>
      <c r="O181" s="280" t="e">
        <f t="shared" si="23"/>
        <v>#VALUE!</v>
      </c>
      <c r="P181" s="289">
        <v>35</v>
      </c>
      <c r="Q181" s="289">
        <v>10</v>
      </c>
      <c r="R181" s="279">
        <f t="shared" si="24"/>
        <v>300</v>
      </c>
      <c r="S181" s="305"/>
      <c r="T181" s="305"/>
      <c r="U181" s="305"/>
      <c r="V181" s="282">
        <f t="shared" si="25"/>
        <v>20</v>
      </c>
      <c r="W181" s="281">
        <f t="shared" si="26"/>
        <v>20</v>
      </c>
      <c r="X181" s="283" t="e">
        <f t="shared" si="27"/>
        <v>#VALUE!</v>
      </c>
      <c r="Y181" s="283" t="e">
        <f t="shared" si="28"/>
        <v>#VALUE!</v>
      </c>
      <c r="Z181" s="284">
        <f>обор!$H$1157</f>
        <v>10</v>
      </c>
      <c r="AA181" s="282">
        <f>обор!$H$1158</f>
        <v>15</v>
      </c>
      <c r="AB181" s="282">
        <f>обор!$H$1159</f>
        <v>20</v>
      </c>
      <c r="AC181" s="280" t="e">
        <f t="shared" si="29"/>
        <v>#VALUE!</v>
      </c>
      <c r="AD181" s="280" t="e">
        <f t="shared" si="30"/>
        <v>#VALUE!</v>
      </c>
      <c r="AE181" s="280" t="e">
        <f t="shared" si="31"/>
        <v>#VALUE!</v>
      </c>
      <c r="AF181" s="265"/>
      <c r="AG181" s="289">
        <v>0.63</v>
      </c>
      <c r="AH181" s="289">
        <v>0.8</v>
      </c>
      <c r="AI181" s="290">
        <v>3545</v>
      </c>
      <c r="AJ181" s="289">
        <v>5000</v>
      </c>
      <c r="AK181" s="289">
        <v>2020</v>
      </c>
      <c r="AL181" s="289">
        <v>150</v>
      </c>
      <c r="AM181" s="289">
        <v>90</v>
      </c>
      <c r="AN181" s="289">
        <v>63</v>
      </c>
      <c r="AO181" s="289">
        <v>63</v>
      </c>
      <c r="AP181" s="289">
        <v>1460</v>
      </c>
      <c r="AQ181" s="286">
        <f t="shared" si="33"/>
        <v>1023</v>
      </c>
      <c r="AR181" s="298">
        <f t="shared" si="34"/>
        <v>4140</v>
      </c>
      <c r="AS181" s="298">
        <f t="shared" si="35"/>
        <v>5063</v>
      </c>
      <c r="AT181" s="299">
        <v>7.4</v>
      </c>
      <c r="AU181" s="294">
        <v>850</v>
      </c>
      <c r="AV181" s="294">
        <v>100</v>
      </c>
      <c r="AW181" s="295">
        <v>220</v>
      </c>
      <c r="AX181" s="294">
        <f t="shared" si="32"/>
        <v>200</v>
      </c>
      <c r="AY181" s="302"/>
      <c r="AZ181" s="296"/>
      <c r="BA181" s="300">
        <v>10</v>
      </c>
      <c r="BC181" s="215">
        <v>64</v>
      </c>
    </row>
    <row r="182" spans="1:59" s="215" customFormat="1" x14ac:dyDescent="0.2">
      <c r="A182" s="274" t="s">
        <v>5770</v>
      </c>
      <c r="B182" s="274" t="s">
        <v>5621</v>
      </c>
      <c r="C182" s="274" t="s">
        <v>3483</v>
      </c>
      <c r="D182" s="275" t="s">
        <v>5632</v>
      </c>
      <c r="E182" s="289">
        <v>360</v>
      </c>
      <c r="F182" s="289">
        <v>1450</v>
      </c>
      <c r="G182" s="289">
        <v>2500</v>
      </c>
      <c r="H182" s="276">
        <v>4</v>
      </c>
      <c r="I182" s="288">
        <v>3</v>
      </c>
      <c r="J182" s="289">
        <v>2</v>
      </c>
      <c r="K182" s="2998">
        <v>0.97479999999999989</v>
      </c>
      <c r="L182" s="2994">
        <v>2.1444000000000001</v>
      </c>
      <c r="M182" s="280" t="e">
        <f t="shared" si="21"/>
        <v>#VALUE!</v>
      </c>
      <c r="N182" s="280" t="e">
        <f t="shared" si="22"/>
        <v>#VALUE!</v>
      </c>
      <c r="O182" s="280" t="e">
        <f t="shared" si="23"/>
        <v>#VALUE!</v>
      </c>
      <c r="P182" s="289">
        <v>35</v>
      </c>
      <c r="Q182" s="289">
        <v>10</v>
      </c>
      <c r="R182" s="279">
        <f t="shared" si="24"/>
        <v>300</v>
      </c>
      <c r="S182" s="305"/>
      <c r="T182" s="305"/>
      <c r="U182" s="305"/>
      <c r="V182" s="282">
        <f t="shared" si="25"/>
        <v>20</v>
      </c>
      <c r="W182" s="281">
        <f t="shared" si="26"/>
        <v>20</v>
      </c>
      <c r="X182" s="283" t="e">
        <f t="shared" si="27"/>
        <v>#VALUE!</v>
      </c>
      <c r="Y182" s="283" t="e">
        <f t="shared" si="28"/>
        <v>#VALUE!</v>
      </c>
      <c r="Z182" s="284">
        <f>обор!$H$1157</f>
        <v>10</v>
      </c>
      <c r="AA182" s="282">
        <f>обор!$H$1158</f>
        <v>15</v>
      </c>
      <c r="AB182" s="282">
        <f>обор!$H$1159</f>
        <v>20</v>
      </c>
      <c r="AC182" s="280" t="e">
        <f t="shared" si="29"/>
        <v>#VALUE!</v>
      </c>
      <c r="AD182" s="280" t="e">
        <f t="shared" si="30"/>
        <v>#VALUE!</v>
      </c>
      <c r="AE182" s="280" t="e">
        <f t="shared" si="31"/>
        <v>#VALUE!</v>
      </c>
      <c r="AF182" s="265"/>
      <c r="AG182" s="289">
        <v>0.63</v>
      </c>
      <c r="AH182" s="289">
        <v>0.63</v>
      </c>
      <c r="AI182" s="290">
        <v>4025</v>
      </c>
      <c r="AJ182" s="289">
        <v>5000</v>
      </c>
      <c r="AK182" s="289">
        <v>2515</v>
      </c>
      <c r="AL182" s="289">
        <v>150</v>
      </c>
      <c r="AM182" s="289">
        <v>90</v>
      </c>
      <c r="AN182" s="289">
        <v>63</v>
      </c>
      <c r="AO182" s="289">
        <v>63</v>
      </c>
      <c r="AP182" s="289">
        <v>1460</v>
      </c>
      <c r="AQ182" s="286">
        <f t="shared" si="33"/>
        <v>1023</v>
      </c>
      <c r="AR182" s="298">
        <f t="shared" si="34"/>
        <v>4387.5</v>
      </c>
      <c r="AS182" s="298">
        <f t="shared" si="35"/>
        <v>5063</v>
      </c>
      <c r="AT182" s="299">
        <v>8</v>
      </c>
      <c r="AU182" s="294">
        <v>950</v>
      </c>
      <c r="AV182" s="294">
        <v>100</v>
      </c>
      <c r="AW182" s="295">
        <v>220</v>
      </c>
      <c r="AX182" s="294">
        <f t="shared" si="32"/>
        <v>200</v>
      </c>
      <c r="AY182" s="302"/>
      <c r="AZ182" s="296"/>
      <c r="BA182" s="300">
        <v>10</v>
      </c>
      <c r="BC182" s="215">
        <v>71</v>
      </c>
    </row>
    <row r="183" spans="1:59" s="215" customFormat="1" ht="15.75" customHeight="1" x14ac:dyDescent="0.2">
      <c r="A183" s="274" t="s">
        <v>5770</v>
      </c>
      <c r="B183" s="274" t="s">
        <v>152</v>
      </c>
      <c r="C183" s="274" t="s">
        <v>2776</v>
      </c>
      <c r="D183" s="275" t="s">
        <v>5632</v>
      </c>
      <c r="E183" s="289">
        <v>360</v>
      </c>
      <c r="F183" s="289">
        <v>1450</v>
      </c>
      <c r="G183" s="289">
        <v>2500</v>
      </c>
      <c r="H183" s="276">
        <v>4</v>
      </c>
      <c r="I183" s="288">
        <v>3</v>
      </c>
      <c r="J183" s="289">
        <v>2</v>
      </c>
      <c r="K183" s="2998">
        <v>0.97479999999999989</v>
      </c>
      <c r="L183" s="2994">
        <v>2.1444000000000001</v>
      </c>
      <c r="M183" s="280" t="e">
        <f t="shared" si="21"/>
        <v>#VALUE!</v>
      </c>
      <c r="N183" s="280" t="e">
        <f t="shared" si="22"/>
        <v>#VALUE!</v>
      </c>
      <c r="O183" s="280" t="e">
        <f t="shared" si="23"/>
        <v>#VALUE!</v>
      </c>
      <c r="P183" s="289">
        <v>35</v>
      </c>
      <c r="Q183" s="289">
        <v>10</v>
      </c>
      <c r="R183" s="279">
        <f t="shared" si="24"/>
        <v>300</v>
      </c>
      <c r="S183" s="305"/>
      <c r="T183" s="305"/>
      <c r="U183" s="305"/>
      <c r="V183" s="282">
        <f t="shared" si="25"/>
        <v>20</v>
      </c>
      <c r="W183" s="281">
        <f t="shared" si="26"/>
        <v>20</v>
      </c>
      <c r="X183" s="283" t="e">
        <f t="shared" si="27"/>
        <v>#VALUE!</v>
      </c>
      <c r="Y183" s="283" t="e">
        <f t="shared" si="28"/>
        <v>#VALUE!</v>
      </c>
      <c r="Z183" s="284">
        <f>обор!$H$1157</f>
        <v>10</v>
      </c>
      <c r="AA183" s="282">
        <f>обор!$H$1158</f>
        <v>15</v>
      </c>
      <c r="AB183" s="282">
        <f>обор!$H$1159</f>
        <v>20</v>
      </c>
      <c r="AC183" s="280" t="e">
        <f t="shared" si="29"/>
        <v>#VALUE!</v>
      </c>
      <c r="AD183" s="280" t="e">
        <f t="shared" si="30"/>
        <v>#VALUE!</v>
      </c>
      <c r="AE183" s="280" t="e">
        <f t="shared" si="31"/>
        <v>#VALUE!</v>
      </c>
      <c r="AF183" s="265"/>
      <c r="AG183" s="289">
        <v>0.63</v>
      </c>
      <c r="AH183" s="289">
        <v>0.63</v>
      </c>
      <c r="AI183" s="290">
        <v>4025</v>
      </c>
      <c r="AJ183" s="289">
        <v>5000</v>
      </c>
      <c r="AK183" s="289">
        <v>2515</v>
      </c>
      <c r="AL183" s="289">
        <v>150</v>
      </c>
      <c r="AM183" s="289">
        <v>90</v>
      </c>
      <c r="AN183" s="289">
        <v>63</v>
      </c>
      <c r="AO183" s="289">
        <v>63</v>
      </c>
      <c r="AP183" s="289">
        <v>1460</v>
      </c>
      <c r="AQ183" s="286">
        <f t="shared" si="33"/>
        <v>1023</v>
      </c>
      <c r="AR183" s="298">
        <f t="shared" si="34"/>
        <v>4387.5</v>
      </c>
      <c r="AS183" s="298">
        <f t="shared" si="35"/>
        <v>5063</v>
      </c>
      <c r="AT183" s="299">
        <v>8</v>
      </c>
      <c r="AU183" s="294">
        <v>900</v>
      </c>
      <c r="AV183" s="294">
        <v>100</v>
      </c>
      <c r="AW183" s="295">
        <v>220</v>
      </c>
      <c r="AX183" s="294">
        <f t="shared" si="32"/>
        <v>200</v>
      </c>
      <c r="AY183" s="302"/>
      <c r="AZ183" s="296"/>
      <c r="BA183" s="300">
        <v>10</v>
      </c>
      <c r="BC183" s="215">
        <v>68</v>
      </c>
    </row>
    <row r="184" spans="1:59" s="215" customFormat="1" x14ac:dyDescent="0.2">
      <c r="A184" s="274" t="s">
        <v>5770</v>
      </c>
      <c r="B184" s="274" t="s">
        <v>5619</v>
      </c>
      <c r="C184" s="274" t="s">
        <v>5624</v>
      </c>
      <c r="D184" s="275" t="s">
        <v>5632</v>
      </c>
      <c r="E184" s="289">
        <v>360</v>
      </c>
      <c r="F184" s="289">
        <v>1450</v>
      </c>
      <c r="G184" s="289">
        <v>2500</v>
      </c>
      <c r="H184" s="276">
        <v>4</v>
      </c>
      <c r="I184" s="288">
        <v>3</v>
      </c>
      <c r="J184" s="289">
        <v>2</v>
      </c>
      <c r="K184" s="2998">
        <v>0.97479999999999989</v>
      </c>
      <c r="L184" s="2994">
        <v>2.1444000000000001</v>
      </c>
      <c r="M184" s="280" t="e">
        <f t="shared" si="21"/>
        <v>#VALUE!</v>
      </c>
      <c r="N184" s="280" t="e">
        <f t="shared" si="22"/>
        <v>#VALUE!</v>
      </c>
      <c r="O184" s="280" t="e">
        <f t="shared" si="23"/>
        <v>#VALUE!</v>
      </c>
      <c r="P184" s="289">
        <v>35</v>
      </c>
      <c r="Q184" s="289">
        <v>10</v>
      </c>
      <c r="R184" s="279">
        <f t="shared" si="24"/>
        <v>300</v>
      </c>
      <c r="S184" s="305"/>
      <c r="T184" s="305"/>
      <c r="U184" s="305"/>
      <c r="V184" s="282">
        <f t="shared" si="25"/>
        <v>20</v>
      </c>
      <c r="W184" s="281">
        <f t="shared" si="26"/>
        <v>20</v>
      </c>
      <c r="X184" s="283" t="e">
        <f t="shared" si="27"/>
        <v>#VALUE!</v>
      </c>
      <c r="Y184" s="283" t="e">
        <f t="shared" si="28"/>
        <v>#VALUE!</v>
      </c>
      <c r="Z184" s="284">
        <f>обор!$H$1157</f>
        <v>10</v>
      </c>
      <c r="AA184" s="282">
        <f>обор!$H$1158</f>
        <v>15</v>
      </c>
      <c r="AB184" s="282">
        <f>обор!$H$1159</f>
        <v>20</v>
      </c>
      <c r="AC184" s="280" t="e">
        <f t="shared" si="29"/>
        <v>#VALUE!</v>
      </c>
      <c r="AD184" s="280" t="e">
        <f t="shared" si="30"/>
        <v>#VALUE!</v>
      </c>
      <c r="AE184" s="280" t="e">
        <f t="shared" si="31"/>
        <v>#VALUE!</v>
      </c>
      <c r="AF184" s="265"/>
      <c r="AG184" s="289">
        <v>0.63</v>
      </c>
      <c r="AH184" s="289">
        <v>0.63</v>
      </c>
      <c r="AI184" s="290">
        <v>4025</v>
      </c>
      <c r="AJ184" s="289">
        <v>5000</v>
      </c>
      <c r="AK184" s="289">
        <v>2515</v>
      </c>
      <c r="AL184" s="289">
        <v>150</v>
      </c>
      <c r="AM184" s="289">
        <v>90</v>
      </c>
      <c r="AN184" s="289">
        <v>63</v>
      </c>
      <c r="AO184" s="289">
        <v>63</v>
      </c>
      <c r="AP184" s="289">
        <v>1460</v>
      </c>
      <c r="AQ184" s="286">
        <f t="shared" si="33"/>
        <v>1023</v>
      </c>
      <c r="AR184" s="298">
        <f t="shared" si="34"/>
        <v>4387.5</v>
      </c>
      <c r="AS184" s="298">
        <f t="shared" si="35"/>
        <v>5063</v>
      </c>
      <c r="AT184" s="299">
        <v>8</v>
      </c>
      <c r="AU184" s="294">
        <v>950</v>
      </c>
      <c r="AV184" s="294">
        <v>100</v>
      </c>
      <c r="AW184" s="295">
        <v>220</v>
      </c>
      <c r="AX184" s="294">
        <f t="shared" si="32"/>
        <v>200</v>
      </c>
      <c r="AY184" s="302"/>
      <c r="AZ184" s="296"/>
      <c r="BA184" s="300">
        <v>10</v>
      </c>
      <c r="BC184" s="215">
        <v>70</v>
      </c>
    </row>
    <row r="185" spans="1:59" s="215" customFormat="1" x14ac:dyDescent="0.2">
      <c r="A185" s="274" t="s">
        <v>5770</v>
      </c>
      <c r="B185" s="274" t="s">
        <v>5618</v>
      </c>
      <c r="C185" s="274" t="s">
        <v>5624</v>
      </c>
      <c r="D185" s="275" t="s">
        <v>5632</v>
      </c>
      <c r="E185" s="3049">
        <v>360</v>
      </c>
      <c r="F185" s="3049">
        <v>1450</v>
      </c>
      <c r="G185" s="3049">
        <v>2500</v>
      </c>
      <c r="H185" s="3050">
        <v>4</v>
      </c>
      <c r="I185" s="3050">
        <v>3</v>
      </c>
      <c r="J185" s="3049">
        <v>2</v>
      </c>
      <c r="K185" s="3051">
        <v>0.97479999999999989</v>
      </c>
      <c r="L185" s="3052">
        <v>2.1444000000000001</v>
      </c>
      <c r="M185" s="280" t="e">
        <f t="shared" si="21"/>
        <v>#VALUE!</v>
      </c>
      <c r="N185" s="280" t="e">
        <f t="shared" si="22"/>
        <v>#VALUE!</v>
      </c>
      <c r="O185" s="280" t="e">
        <f t="shared" si="23"/>
        <v>#VALUE!</v>
      </c>
      <c r="P185" s="3049">
        <v>35</v>
      </c>
      <c r="Q185" s="3049">
        <v>10</v>
      </c>
      <c r="R185" s="3053">
        <f t="shared" si="24"/>
        <v>300</v>
      </c>
      <c r="S185" s="305"/>
      <c r="T185" s="305"/>
      <c r="U185" s="305"/>
      <c r="V185" s="282">
        <f t="shared" si="25"/>
        <v>20</v>
      </c>
      <c r="W185" s="281">
        <f t="shared" si="26"/>
        <v>20</v>
      </c>
      <c r="X185" s="283" t="e">
        <f t="shared" si="27"/>
        <v>#VALUE!</v>
      </c>
      <c r="Y185" s="3053" t="e">
        <f t="shared" si="28"/>
        <v>#VALUE!</v>
      </c>
      <c r="Z185" s="284">
        <f>обор!$H$1157</f>
        <v>10</v>
      </c>
      <c r="AA185" s="282">
        <f>обор!$H$1158</f>
        <v>15</v>
      </c>
      <c r="AB185" s="282">
        <f>обор!$H$1159</f>
        <v>20</v>
      </c>
      <c r="AC185" s="280" t="e">
        <f t="shared" si="29"/>
        <v>#VALUE!</v>
      </c>
      <c r="AD185" s="280" t="e">
        <f t="shared" si="30"/>
        <v>#VALUE!</v>
      </c>
      <c r="AE185" s="280" t="e">
        <f t="shared" si="31"/>
        <v>#VALUE!</v>
      </c>
      <c r="AF185" s="265"/>
      <c r="AG185" s="3049">
        <v>0.63</v>
      </c>
      <c r="AH185" s="3049">
        <v>0.63</v>
      </c>
      <c r="AI185" s="3049">
        <v>4025</v>
      </c>
      <c r="AJ185" s="3049">
        <v>5000</v>
      </c>
      <c r="AK185" s="3049">
        <v>2515</v>
      </c>
      <c r="AL185" s="3049">
        <v>150</v>
      </c>
      <c r="AM185" s="3049">
        <v>90</v>
      </c>
      <c r="AN185" s="3049">
        <v>63</v>
      </c>
      <c r="AO185" s="3049">
        <v>63</v>
      </c>
      <c r="AP185" s="3049">
        <v>1460</v>
      </c>
      <c r="AQ185" s="286">
        <f t="shared" si="33"/>
        <v>1023</v>
      </c>
      <c r="AR185" s="298">
        <f t="shared" si="34"/>
        <v>4387.5</v>
      </c>
      <c r="AS185" s="298">
        <f t="shared" si="35"/>
        <v>5063</v>
      </c>
      <c r="AT185" s="3054">
        <v>8</v>
      </c>
      <c r="AU185" s="294">
        <v>900</v>
      </c>
      <c r="AV185" s="294">
        <v>100</v>
      </c>
      <c r="AW185" s="295">
        <v>220</v>
      </c>
      <c r="AX185" s="294">
        <f t="shared" si="32"/>
        <v>200</v>
      </c>
      <c r="AY185" s="3055"/>
      <c r="AZ185" s="296"/>
      <c r="BA185" s="3056">
        <v>10</v>
      </c>
      <c r="BC185" s="215">
        <v>69</v>
      </c>
    </row>
    <row r="186" spans="1:59" s="215" customFormat="1" ht="18.75" customHeight="1" x14ac:dyDescent="0.2">
      <c r="A186" s="2993"/>
      <c r="B186" s="3922"/>
      <c r="C186" s="3922"/>
      <c r="D186" s="3048"/>
      <c r="E186" s="3049"/>
      <c r="F186" s="3049"/>
      <c r="G186" s="3049"/>
      <c r="H186" s="3050"/>
      <c r="I186" s="3050"/>
      <c r="J186" s="3049"/>
      <c r="K186" s="3051"/>
      <c r="L186" s="3052"/>
      <c r="M186" s="280"/>
      <c r="N186" s="280"/>
      <c r="O186" s="280"/>
      <c r="P186" s="3049"/>
      <c r="Q186" s="3049"/>
      <c r="R186" s="3053"/>
      <c r="S186" s="305"/>
      <c r="T186" s="305"/>
      <c r="U186" s="305"/>
      <c r="V186" s="282"/>
      <c r="W186" s="281"/>
      <c r="X186" s="283"/>
      <c r="Y186" s="3053"/>
      <c r="Z186" s="284"/>
      <c r="AA186" s="282"/>
      <c r="AB186" s="282"/>
      <c r="AC186" s="280"/>
      <c r="AD186" s="280"/>
      <c r="AE186" s="280"/>
      <c r="AF186" s="265"/>
      <c r="AG186" s="3049"/>
      <c r="AH186" s="3049"/>
      <c r="AI186" s="3049"/>
      <c r="AJ186" s="3049"/>
      <c r="AK186" s="3049"/>
      <c r="AL186" s="3049"/>
      <c r="AM186" s="3049"/>
      <c r="AN186" s="3049"/>
      <c r="AO186" s="3049"/>
      <c r="AP186" s="3049"/>
      <c r="AQ186" s="286"/>
      <c r="AR186" s="298"/>
      <c r="AS186" s="298"/>
      <c r="AT186" s="3054"/>
      <c r="AU186" s="294"/>
      <c r="AV186" s="294"/>
      <c r="AW186" s="295"/>
      <c r="AX186" s="294"/>
      <c r="AY186" s="3055"/>
      <c r="AZ186" s="296"/>
      <c r="BA186" s="3056"/>
    </row>
    <row r="187" spans="1:59" x14ac:dyDescent="0.2">
      <c r="B187" s="2993"/>
      <c r="C187" s="2993"/>
      <c r="D187" s="3048"/>
      <c r="E187" s="3049"/>
      <c r="F187" s="3049"/>
      <c r="G187" s="3049"/>
      <c r="H187" s="3050"/>
      <c r="I187" s="3050"/>
      <c r="J187" s="3049"/>
      <c r="K187" s="3051"/>
      <c r="L187" s="3052"/>
      <c r="M187" s="280"/>
      <c r="N187" s="280"/>
      <c r="O187" s="280"/>
      <c r="P187" s="3049"/>
      <c r="Q187" s="3049"/>
      <c r="R187" s="3053"/>
      <c r="S187" s="305"/>
      <c r="T187" s="305"/>
      <c r="U187" s="305"/>
      <c r="V187" s="282"/>
      <c r="W187" s="281"/>
      <c r="X187" s="283"/>
      <c r="Y187" s="3053"/>
      <c r="Z187" s="284"/>
      <c r="AA187" s="282"/>
      <c r="AB187" s="282"/>
      <c r="AC187" s="280"/>
      <c r="AD187" s="280"/>
      <c r="AE187" s="280"/>
      <c r="AF187" s="265"/>
      <c r="AG187" s="3049"/>
      <c r="AH187" s="3049"/>
      <c r="AI187" s="3049"/>
      <c r="AJ187" s="3049"/>
      <c r="AK187" s="3049"/>
      <c r="AL187" s="3049"/>
      <c r="AM187" s="3049"/>
      <c r="AN187" s="3049"/>
      <c r="AO187" s="3049"/>
      <c r="AP187" s="3049"/>
      <c r="AQ187" s="286"/>
      <c r="AR187" s="298"/>
      <c r="AS187" s="298"/>
      <c r="AT187" s="3054"/>
      <c r="AU187" s="294"/>
      <c r="AV187" s="294"/>
      <c r="AW187" s="295"/>
      <c r="AX187" s="294"/>
      <c r="AY187" s="3055"/>
      <c r="AZ187" s="296"/>
      <c r="BA187" s="3056"/>
      <c r="BB187" s="215"/>
      <c r="BC187" s="215"/>
      <c r="BD187" s="215"/>
      <c r="BE187" s="215"/>
      <c r="BF187" s="215"/>
      <c r="BG187" s="215"/>
    </row>
    <row r="188" spans="1:59" ht="12.75" customHeight="1" x14ac:dyDescent="0.2">
      <c r="B188" s="2993"/>
      <c r="X188" s="3053"/>
    </row>
    <row r="189" spans="1:59" ht="12.75" customHeight="1" x14ac:dyDescent="0.2">
      <c r="B189" s="2993"/>
      <c r="X189" s="3053"/>
    </row>
    <row r="190" spans="1:59" ht="12.75" customHeight="1" x14ac:dyDescent="0.2">
      <c r="B190" s="2993"/>
      <c r="X190" s="3053"/>
    </row>
    <row r="191" spans="1:59" ht="12.75" customHeight="1" x14ac:dyDescent="0.2">
      <c r="B191" s="2993"/>
      <c r="X191" s="3053"/>
    </row>
    <row r="192" spans="1:59" ht="12.75" customHeight="1" x14ac:dyDescent="0.2">
      <c r="B192" s="2993"/>
      <c r="X192" s="3053"/>
    </row>
    <row r="193" spans="1:24" ht="38.25" customHeight="1" x14ac:dyDescent="0.3">
      <c r="A193" s="4257" t="s">
        <v>6798</v>
      </c>
      <c r="B193" s="4236"/>
      <c r="C193" s="4349" t="str">
        <f>IF(B193=1,"Запас раздвижности на разгрузку крепи более 30 мм  1 - Да, 2 - Нет","Не вводить")</f>
        <v>Не вводить</v>
      </c>
      <c r="D193" s="4349"/>
      <c r="E193" s="4349"/>
      <c r="F193" s="4159"/>
      <c r="G193" s="4408" t="str">
        <f>IF(F193=2,"Обоснуйте порядок передвижки крепи в зоне с минимальной мощностью пласта","")</f>
        <v/>
      </c>
      <c r="H193" s="4409"/>
      <c r="I193" s="4409"/>
      <c r="J193" s="4409"/>
      <c r="K193" s="4409"/>
      <c r="L193" s="4409"/>
      <c r="X193" s="3053"/>
    </row>
    <row r="194" spans="1:24" ht="12.75" customHeight="1" x14ac:dyDescent="0.3">
      <c r="A194" s="3057" t="str">
        <f>IF(B193=2,"В заданных условиях применить существующие механизированные комплексы  невозможно! ","В заданных условиях существующие механизированные комплексы применимы!")</f>
        <v>В заданных условиях существующие механизированные комплексы применимы!</v>
      </c>
      <c r="B194" s="2993"/>
      <c r="X194" s="3053"/>
    </row>
    <row r="195" spans="1:24" ht="24" customHeight="1" x14ac:dyDescent="0.35">
      <c r="A195" s="4237" t="str">
        <f>IF(B193=2,"Переходите к строке  ","Продолжаем работу!")</f>
        <v>Продолжаем работу!</v>
      </c>
      <c r="B195" s="4238" t="str">
        <f>IF(B193=2,ROW(24:24),"")</f>
        <v/>
      </c>
      <c r="X195" s="3053"/>
    </row>
    <row r="196" spans="1:24" x14ac:dyDescent="0.2">
      <c r="A196" s="210" t="s">
        <v>4813</v>
      </c>
      <c r="C196" s="211"/>
      <c r="G196" s="233"/>
      <c r="I196" s="11"/>
    </row>
    <row r="197" spans="1:24" ht="15.75" customHeight="1" x14ac:dyDescent="0.2">
      <c r="A197" t="s">
        <v>2406</v>
      </c>
      <c r="C197" s="211"/>
      <c r="G197" s="233"/>
      <c r="I197" s="4258"/>
    </row>
    <row r="198" spans="1:24" ht="15.75" x14ac:dyDescent="0.25">
      <c r="A198" s="2554" t="s">
        <v>6800</v>
      </c>
      <c r="B198" s="2555"/>
      <c r="C198" s="1015"/>
      <c r="D198" s="2555"/>
      <c r="E198" s="2555"/>
      <c r="F198" s="2555"/>
      <c r="G198" s="1078"/>
      <c r="H198" s="2555"/>
      <c r="I198" s="11"/>
    </row>
    <row r="199" spans="1:24" ht="15.75" x14ac:dyDescent="0.25">
      <c r="A199" s="210" t="s">
        <v>994</v>
      </c>
      <c r="C199" s="211"/>
      <c r="G199" s="233"/>
      <c r="I199" s="11"/>
    </row>
    <row r="200" spans="1:24" ht="15.75" x14ac:dyDescent="0.25">
      <c r="A200" s="210" t="s">
        <v>2793</v>
      </c>
      <c r="C200" s="211"/>
      <c r="G200" s="347">
        <f>ROW(210:210)</f>
        <v>210</v>
      </c>
      <c r="I200" s="11"/>
    </row>
    <row r="201" spans="1:24" x14ac:dyDescent="0.2">
      <c r="A201" s="210" t="s">
        <v>995</v>
      </c>
      <c r="C201" s="211"/>
      <c r="G201" s="233"/>
      <c r="I201" s="11"/>
    </row>
    <row r="202" spans="1:24" x14ac:dyDescent="0.2">
      <c r="A202" s="210" t="s">
        <v>3972</v>
      </c>
      <c r="C202" s="211"/>
      <c r="G202" s="233"/>
      <c r="I202" s="11"/>
    </row>
    <row r="203" spans="1:24" x14ac:dyDescent="0.2">
      <c r="A203" s="212"/>
      <c r="C203" s="211"/>
      <c r="G203" s="233"/>
      <c r="I203" s="11"/>
    </row>
    <row r="204" spans="1:24" ht="15.75" x14ac:dyDescent="0.25">
      <c r="A204" s="212"/>
      <c r="C204" s="211"/>
      <c r="G204" s="233"/>
      <c r="I204" s="11"/>
      <c r="N204" s="1044"/>
      <c r="O204" s="362"/>
      <c r="P204" s="362"/>
      <c r="Q204" s="362"/>
      <c r="R204" s="362"/>
      <c r="S204" s="2645"/>
    </row>
    <row r="205" spans="1:24" x14ac:dyDescent="0.2">
      <c r="A205" s="212"/>
      <c r="B205" s="214" t="s">
        <v>2670</v>
      </c>
      <c r="C205" s="211"/>
      <c r="G205" s="233"/>
      <c r="I205" s="11"/>
    </row>
    <row r="206" spans="1:24" x14ac:dyDescent="0.2">
      <c r="A206" s="212"/>
      <c r="C206" s="211"/>
      <c r="G206" s="233"/>
      <c r="I206" s="11"/>
    </row>
    <row r="207" spans="1:24" ht="32.25" customHeight="1" x14ac:dyDescent="0.2">
      <c r="A207" s="4413" t="s">
        <v>5681</v>
      </c>
      <c r="B207" s="4414"/>
      <c r="C207" s="4414"/>
      <c r="D207" s="4415"/>
      <c r="E207" s="354" t="str">
        <f t="shared" ref="E207:O207" si="36">E129</f>
        <v/>
      </c>
      <c r="F207" s="354" t="e">
        <f t="shared" si="36"/>
        <v>#VALUE!</v>
      </c>
      <c r="G207" s="354" t="e">
        <f t="shared" si="36"/>
        <v>#VALUE!</v>
      </c>
      <c r="H207" s="354" t="str">
        <f t="shared" si="36"/>
        <v/>
      </c>
      <c r="I207" s="354" t="str">
        <f t="shared" si="36"/>
        <v/>
      </c>
      <c r="J207" s="354" t="str">
        <f t="shared" si="36"/>
        <v/>
      </c>
      <c r="K207" s="354" t="e">
        <f t="shared" si="36"/>
        <v>#VALUE!</v>
      </c>
      <c r="L207" s="354" t="e">
        <f t="shared" si="36"/>
        <v>#VALUE!</v>
      </c>
      <c r="M207" s="354" t="str">
        <f t="shared" si="36"/>
        <v>120…170</v>
      </c>
      <c r="N207" s="354">
        <f t="shared" si="36"/>
        <v>500</v>
      </c>
      <c r="O207" s="354" t="str">
        <f t="shared" si="36"/>
        <v>30 - 50</v>
      </c>
    </row>
    <row r="208" spans="1:24" ht="18.75" x14ac:dyDescent="0.3">
      <c r="C208" s="349" t="s">
        <v>1452</v>
      </c>
    </row>
    <row r="209" spans="1:16" ht="168.75" x14ac:dyDescent="0.2">
      <c r="A209" s="348" t="s">
        <v>5484</v>
      </c>
      <c r="B209" s="348" t="s">
        <v>3673</v>
      </c>
      <c r="C209" s="348" t="s">
        <v>6426</v>
      </c>
      <c r="D209" s="348" t="s">
        <v>5485</v>
      </c>
      <c r="E209" s="348" t="s">
        <v>4599</v>
      </c>
      <c r="F209" s="348" t="s">
        <v>4600</v>
      </c>
      <c r="G209" s="348" t="s">
        <v>4601</v>
      </c>
      <c r="H209" s="348" t="s">
        <v>4602</v>
      </c>
      <c r="I209" s="348" t="s">
        <v>4603</v>
      </c>
      <c r="J209" s="348" t="s">
        <v>4604</v>
      </c>
      <c r="K209" s="348" t="s">
        <v>4605</v>
      </c>
      <c r="L209" s="348" t="s">
        <v>4606</v>
      </c>
      <c r="M209" s="348" t="s">
        <v>4607</v>
      </c>
      <c r="N209" s="348" t="s">
        <v>2791</v>
      </c>
      <c r="O209" s="348" t="s">
        <v>2792</v>
      </c>
    </row>
    <row r="210" spans="1:16" x14ac:dyDescent="0.2">
      <c r="A210" s="3058"/>
      <c r="B210" s="3059"/>
      <c r="C210" s="3059"/>
      <c r="D210" s="3060"/>
      <c r="E210" s="289"/>
      <c r="F210" s="289"/>
      <c r="G210" s="289"/>
      <c r="H210" s="287"/>
      <c r="I210" s="288"/>
      <c r="J210" s="289"/>
      <c r="K210" s="289"/>
      <c r="L210" s="291"/>
      <c r="M210" s="280"/>
      <c r="N210" s="280"/>
      <c r="O210" s="280"/>
    </row>
    <row r="211" spans="1:16" x14ac:dyDescent="0.2">
      <c r="A211" s="3058"/>
      <c r="B211" s="2993"/>
      <c r="C211" s="2993"/>
      <c r="D211" s="3048"/>
      <c r="E211" s="290"/>
      <c r="F211" s="289"/>
      <c r="G211" s="289"/>
      <c r="H211" s="287"/>
      <c r="I211" s="288"/>
      <c r="J211" s="289"/>
      <c r="K211" s="289"/>
      <c r="L211" s="291"/>
      <c r="M211" s="280"/>
      <c r="N211" s="280"/>
      <c r="O211" s="280"/>
    </row>
    <row r="212" spans="1:16" x14ac:dyDescent="0.2">
      <c r="A212" s="3058"/>
      <c r="B212" s="2993"/>
      <c r="C212" s="2993"/>
      <c r="D212" s="3048"/>
      <c r="E212" s="290"/>
      <c r="F212" s="289"/>
      <c r="G212" s="289"/>
      <c r="H212" s="287"/>
      <c r="I212" s="288"/>
      <c r="J212" s="289"/>
      <c r="K212" s="289"/>
      <c r="L212" s="289"/>
      <c r="M212" s="280"/>
      <c r="N212" s="280"/>
      <c r="O212" s="280"/>
    </row>
    <row r="213" spans="1:16" x14ac:dyDescent="0.2">
      <c r="A213" s="3058"/>
      <c r="B213" s="2993"/>
      <c r="C213" s="2993"/>
      <c r="D213" s="3048"/>
      <c r="E213" s="290"/>
      <c r="F213" s="289"/>
      <c r="G213" s="289"/>
      <c r="H213" s="287"/>
      <c r="I213" s="288"/>
      <c r="J213" s="289"/>
      <c r="K213" s="289"/>
      <c r="L213" s="289"/>
      <c r="M213" s="280"/>
      <c r="N213" s="280"/>
      <c r="O213" s="280"/>
    </row>
    <row r="214" spans="1:16" x14ac:dyDescent="0.2">
      <c r="A214" s="3058"/>
      <c r="C214" s="210"/>
      <c r="G214" s="1205"/>
      <c r="I214" s="11"/>
      <c r="K214" s="2465"/>
      <c r="L214" s="2465"/>
      <c r="M214" s="352"/>
      <c r="N214" s="352"/>
      <c r="O214" s="352"/>
    </row>
    <row r="215" spans="1:16" x14ac:dyDescent="0.2">
      <c r="A215" s="3058"/>
      <c r="C215" s="210"/>
      <c r="G215" s="1205"/>
      <c r="I215" s="11"/>
      <c r="K215" s="2465"/>
      <c r="L215" s="2465"/>
      <c r="M215" s="352"/>
      <c r="N215" s="352"/>
      <c r="O215" s="352"/>
    </row>
    <row r="216" spans="1:16" x14ac:dyDescent="0.2">
      <c r="A216" s="210"/>
      <c r="C216" s="210"/>
      <c r="G216" s="1205"/>
      <c r="I216" s="11"/>
      <c r="K216" s="2465"/>
      <c r="L216" s="2465"/>
      <c r="M216" s="352"/>
      <c r="N216" s="352"/>
      <c r="O216" s="352"/>
    </row>
    <row r="217" spans="1:16" x14ac:dyDescent="0.2">
      <c r="A217" s="1260"/>
      <c r="B217" s="8"/>
      <c r="C217" s="1260"/>
      <c r="D217" s="8"/>
      <c r="G217" s="1205"/>
      <c r="I217" s="11"/>
      <c r="K217" s="2465"/>
      <c r="L217" s="2465"/>
      <c r="M217" s="352"/>
      <c r="N217" s="352"/>
      <c r="O217" s="352"/>
    </row>
    <row r="218" spans="1:16" x14ac:dyDescent="0.2">
      <c r="A218" s="210"/>
      <c r="C218" s="210"/>
      <c r="G218" s="1205"/>
      <c r="I218" s="11"/>
      <c r="K218" s="2465"/>
      <c r="L218" s="2465"/>
      <c r="M218" s="352"/>
      <c r="N218" s="352"/>
      <c r="O218" s="352"/>
    </row>
    <row r="219" spans="1:16" x14ac:dyDescent="0.2">
      <c r="A219" s="210"/>
      <c r="C219" s="210"/>
      <c r="G219" s="1205"/>
      <c r="I219" s="11"/>
      <c r="K219" s="2465"/>
      <c r="L219" s="2465"/>
      <c r="M219" s="352"/>
      <c r="N219" s="2466"/>
      <c r="O219" s="2466"/>
      <c r="P219" s="14"/>
    </row>
    <row r="220" spans="1:16" x14ac:dyDescent="0.2">
      <c r="A220" s="210"/>
      <c r="C220" s="210"/>
      <c r="G220" s="1205"/>
      <c r="I220" s="11"/>
      <c r="K220" s="2465"/>
      <c r="L220" s="2465"/>
      <c r="M220" s="352"/>
      <c r="N220" s="2466"/>
      <c r="O220" s="2466"/>
      <c r="P220" s="14"/>
    </row>
    <row r="221" spans="1:16" x14ac:dyDescent="0.2">
      <c r="A221" s="210"/>
      <c r="C221" s="210"/>
      <c r="G221" s="1205"/>
      <c r="I221" s="11"/>
      <c r="K221" s="2465"/>
      <c r="L221" s="2465"/>
      <c r="M221" s="352"/>
      <c r="N221" s="2466"/>
      <c r="O221" s="2466"/>
      <c r="P221" s="14"/>
    </row>
    <row r="222" spans="1:16" x14ac:dyDescent="0.2">
      <c r="A222" s="210"/>
      <c r="C222" s="210"/>
      <c r="G222" s="1205"/>
      <c r="I222" s="11"/>
      <c r="K222" s="2465"/>
      <c r="L222" s="2465"/>
      <c r="M222" s="352"/>
      <c r="N222" s="2466"/>
      <c r="O222" s="2466"/>
      <c r="P222" s="14"/>
    </row>
    <row r="223" spans="1:16" x14ac:dyDescent="0.2">
      <c r="A223" s="210"/>
      <c r="C223" s="210"/>
      <c r="G223" s="1205"/>
      <c r="I223" s="11"/>
      <c r="K223" s="2465"/>
      <c r="L223" s="2465"/>
      <c r="M223" s="352"/>
      <c r="N223" s="2466"/>
      <c r="O223" s="2466"/>
      <c r="P223" s="14"/>
    </row>
    <row r="224" spans="1:16" x14ac:dyDescent="0.2">
      <c r="A224" s="210"/>
      <c r="C224" s="1260"/>
      <c r="D224" s="8"/>
      <c r="G224" s="1205"/>
      <c r="I224" s="11"/>
      <c r="K224" s="2465"/>
      <c r="L224" s="2465"/>
      <c r="M224" s="352"/>
      <c r="N224" s="2466"/>
      <c r="O224" s="2466"/>
      <c r="P224" s="14"/>
    </row>
    <row r="225" spans="1:16" x14ac:dyDescent="0.2">
      <c r="A225" s="210"/>
      <c r="C225" s="210"/>
      <c r="G225" s="1205"/>
      <c r="I225" s="11"/>
      <c r="K225" s="2465"/>
      <c r="L225" s="2465"/>
      <c r="M225" s="352"/>
      <c r="N225" s="2466"/>
      <c r="O225" s="2466"/>
      <c r="P225" s="14"/>
    </row>
    <row r="226" spans="1:16" x14ac:dyDescent="0.2">
      <c r="A226" s="210"/>
      <c r="C226" s="210"/>
      <c r="G226" s="1205"/>
      <c r="I226" s="11"/>
      <c r="K226" s="2465"/>
      <c r="L226" s="2465"/>
      <c r="M226" s="352"/>
      <c r="N226" s="2466"/>
      <c r="O226" s="2466"/>
      <c r="P226" s="14"/>
    </row>
    <row r="227" spans="1:16" x14ac:dyDescent="0.2">
      <c r="A227" s="210"/>
      <c r="C227" s="210"/>
      <c r="G227" s="1205"/>
      <c r="I227" s="11"/>
      <c r="K227" s="2465"/>
      <c r="L227" s="2465"/>
      <c r="M227" s="352"/>
      <c r="N227" s="2466"/>
      <c r="O227" s="2466"/>
      <c r="P227" s="14"/>
    </row>
    <row r="228" spans="1:16" x14ac:dyDescent="0.2">
      <c r="A228" s="210"/>
      <c r="C228" s="210"/>
      <c r="G228" s="1205"/>
      <c r="I228" s="11"/>
      <c r="K228" s="2465"/>
      <c r="L228" s="2465"/>
      <c r="M228" s="352"/>
      <c r="N228" s="2466"/>
      <c r="O228" s="2466"/>
      <c r="P228" s="14"/>
    </row>
    <row r="229" spans="1:16" x14ac:dyDescent="0.2">
      <c r="A229" s="210"/>
      <c r="B229" s="8"/>
      <c r="C229" s="1260"/>
      <c r="D229" s="8"/>
      <c r="E229" s="8"/>
      <c r="F229" s="8"/>
      <c r="G229" s="1259"/>
      <c r="I229" s="11"/>
      <c r="K229" s="2465"/>
      <c r="L229" s="2465"/>
      <c r="M229" s="352"/>
      <c r="N229" s="2466"/>
      <c r="O229" s="2466"/>
      <c r="P229" s="14"/>
    </row>
    <row r="230" spans="1:16" x14ac:dyDescent="0.2">
      <c r="A230" s="210"/>
      <c r="B230" s="8"/>
      <c r="C230" s="1260"/>
      <c r="D230" s="8"/>
      <c r="E230" s="8"/>
      <c r="F230" s="8"/>
      <c r="G230" s="1259"/>
      <c r="I230" s="11"/>
      <c r="K230" s="2465"/>
      <c r="L230" s="2465"/>
      <c r="M230" s="352"/>
      <c r="N230" s="2466"/>
      <c r="O230" s="2466"/>
      <c r="P230" s="14"/>
    </row>
    <row r="231" spans="1:16" x14ac:dyDescent="0.2">
      <c r="A231" s="210"/>
      <c r="B231" s="8"/>
      <c r="C231" s="1260"/>
      <c r="D231" s="8"/>
      <c r="E231" s="8"/>
      <c r="F231" s="8"/>
      <c r="G231" s="1259"/>
      <c r="I231" s="11"/>
      <c r="K231" s="2465"/>
      <c r="L231" s="2465"/>
      <c r="M231" s="352"/>
      <c r="N231" s="2466"/>
      <c r="O231" s="2466"/>
      <c r="P231" s="14"/>
    </row>
    <row r="232" spans="1:16" x14ac:dyDescent="0.2">
      <c r="A232" s="210"/>
      <c r="B232" s="8"/>
      <c r="C232" s="1260"/>
      <c r="D232" s="8"/>
      <c r="E232" s="8"/>
      <c r="F232" s="8"/>
      <c r="G232" s="1259"/>
      <c r="I232" s="11"/>
      <c r="K232" s="2465"/>
      <c r="L232" s="2465"/>
      <c r="M232" s="352"/>
      <c r="N232" s="2466"/>
      <c r="O232" s="2466"/>
      <c r="P232" s="14"/>
    </row>
    <row r="233" spans="1:16" x14ac:dyDescent="0.2">
      <c r="A233" s="210"/>
      <c r="B233" s="8"/>
      <c r="C233" s="1260"/>
      <c r="D233" s="8"/>
      <c r="E233" s="8"/>
      <c r="F233" s="8"/>
      <c r="G233" s="1259"/>
      <c r="I233" s="11"/>
      <c r="K233" s="2465"/>
      <c r="L233" s="2465"/>
      <c r="M233" s="352"/>
      <c r="N233" s="2466"/>
      <c r="O233" s="2466"/>
      <c r="P233" s="14"/>
    </row>
    <row r="234" spans="1:16" x14ac:dyDescent="0.2">
      <c r="A234" s="210"/>
      <c r="B234" s="8"/>
      <c r="C234" s="1260"/>
      <c r="D234" s="8"/>
      <c r="E234" s="8"/>
      <c r="F234" s="8"/>
      <c r="G234" s="1259"/>
      <c r="I234" s="11"/>
      <c r="K234" s="2465"/>
      <c r="L234" s="2465"/>
      <c r="M234" s="352"/>
      <c r="N234" s="2466"/>
      <c r="O234" s="2466"/>
      <c r="P234" s="14"/>
    </row>
    <row r="235" spans="1:16" x14ac:dyDescent="0.2">
      <c r="A235" s="210"/>
      <c r="B235" s="8"/>
      <c r="C235" s="1260"/>
      <c r="D235" s="8"/>
      <c r="E235" s="8"/>
      <c r="F235" s="8"/>
      <c r="G235" s="1259"/>
      <c r="I235" s="11"/>
      <c r="K235" s="2465"/>
      <c r="L235" s="2465"/>
      <c r="M235" s="352"/>
      <c r="N235" s="2466"/>
      <c r="O235" s="2466"/>
      <c r="P235" s="14"/>
    </row>
    <row r="236" spans="1:16" x14ac:dyDescent="0.2">
      <c r="C236" s="1260"/>
      <c r="D236" s="8"/>
      <c r="E236" s="8"/>
      <c r="F236" s="8"/>
      <c r="G236" s="1259"/>
      <c r="I236" s="11"/>
      <c r="K236" s="2465"/>
      <c r="L236" s="2465"/>
      <c r="M236" s="352"/>
      <c r="N236" s="2466"/>
      <c r="O236" s="2466"/>
      <c r="P236" s="14"/>
    </row>
    <row r="237" spans="1:16" x14ac:dyDescent="0.2">
      <c r="A237" s="210"/>
      <c r="B237" s="8"/>
      <c r="C237" s="1260"/>
      <c r="D237" s="8"/>
      <c r="E237" s="8"/>
      <c r="F237" s="8"/>
      <c r="G237" s="1259"/>
      <c r="I237" s="11"/>
      <c r="K237" s="2465"/>
      <c r="L237" s="2465"/>
      <c r="M237" s="352"/>
      <c r="N237" s="2466"/>
      <c r="O237" s="2466"/>
      <c r="P237" s="14"/>
    </row>
    <row r="238" spans="1:16" x14ac:dyDescent="0.2">
      <c r="A238" s="210"/>
      <c r="C238" s="210"/>
      <c r="G238" s="1205"/>
      <c r="I238" s="11"/>
      <c r="K238" s="2465"/>
      <c r="L238" s="2465"/>
      <c r="M238" s="352"/>
      <c r="N238" s="2466"/>
      <c r="O238" s="2466"/>
      <c r="P238" s="15"/>
    </row>
    <row r="239" spans="1:16" x14ac:dyDescent="0.2">
      <c r="A239" s="210"/>
      <c r="C239" s="210"/>
      <c r="G239" s="1205"/>
      <c r="I239" s="11"/>
      <c r="K239" s="2465"/>
      <c r="L239" s="2465"/>
      <c r="M239" s="352"/>
      <c r="N239" s="2466"/>
      <c r="O239" s="2466"/>
      <c r="P239" s="15"/>
    </row>
    <row r="240" spans="1:16" x14ac:dyDescent="0.2">
      <c r="A240" s="210"/>
      <c r="C240" s="210"/>
      <c r="G240" s="1205"/>
      <c r="I240" s="11"/>
      <c r="K240" s="2465"/>
      <c r="L240" s="2465"/>
      <c r="M240" s="352"/>
      <c r="N240" s="2466"/>
      <c r="O240" s="2466"/>
      <c r="P240" s="15"/>
    </row>
    <row r="241" spans="1:17" x14ac:dyDescent="0.2">
      <c r="A241" s="210"/>
      <c r="C241" s="210"/>
      <c r="G241" s="1205"/>
      <c r="I241" s="11"/>
      <c r="K241" s="2465"/>
      <c r="L241" s="2465"/>
      <c r="M241" s="352"/>
      <c r="N241" s="2466"/>
      <c r="O241" s="2466"/>
      <c r="P241" s="15"/>
    </row>
    <row r="242" spans="1:17" x14ac:dyDescent="0.2">
      <c r="A242" s="212"/>
      <c r="C242" s="211"/>
      <c r="G242" s="233"/>
      <c r="I242" s="11"/>
      <c r="K242" s="2465"/>
      <c r="L242" s="2465"/>
      <c r="N242" s="14"/>
      <c r="O242" s="14"/>
      <c r="P242" s="15"/>
    </row>
    <row r="243" spans="1:17" x14ac:dyDescent="0.2">
      <c r="A243" s="212"/>
      <c r="C243" s="211"/>
      <c r="G243" s="233"/>
      <c r="I243" s="11"/>
      <c r="K243" s="239"/>
      <c r="L243" s="239"/>
      <c r="M243" s="239"/>
      <c r="N243" s="14"/>
      <c r="O243" s="14"/>
      <c r="P243" s="14"/>
      <c r="Q243" s="239"/>
    </row>
    <row r="244" spans="1:17" ht="15" x14ac:dyDescent="0.2">
      <c r="A244" s="850" t="s">
        <v>1499</v>
      </c>
      <c r="C244" s="211"/>
      <c r="G244" s="233"/>
      <c r="I244" s="11"/>
      <c r="N244" s="14"/>
      <c r="O244" s="14"/>
      <c r="P244" s="14"/>
    </row>
    <row r="245" spans="1:17" ht="15" x14ac:dyDescent="0.2">
      <c r="A245" s="2554" t="s">
        <v>661</v>
      </c>
      <c r="C245" s="211"/>
      <c r="G245" s="233"/>
      <c r="I245" s="11"/>
      <c r="N245" s="14"/>
      <c r="O245" s="14"/>
      <c r="P245" s="14"/>
    </row>
    <row r="246" spans="1:17" ht="15" x14ac:dyDescent="0.2">
      <c r="A246" s="2554" t="s">
        <v>662</v>
      </c>
      <c r="C246" s="211"/>
      <c r="G246" s="233"/>
      <c r="I246" s="11"/>
      <c r="N246" s="14"/>
      <c r="O246" s="14"/>
      <c r="P246" s="14"/>
    </row>
    <row r="247" spans="1:17" ht="15" x14ac:dyDescent="0.2">
      <c r="A247" s="308" t="s">
        <v>2773</v>
      </c>
      <c r="C247" s="211"/>
      <c r="G247" s="233"/>
      <c r="I247" s="11"/>
      <c r="N247" s="14"/>
      <c r="O247" s="14"/>
      <c r="P247" s="14"/>
    </row>
    <row r="248" spans="1:17" ht="15" x14ac:dyDescent="0.2">
      <c r="A248" s="908" t="s">
        <v>2774</v>
      </c>
      <c r="C248" s="211"/>
      <c r="G248" s="233"/>
      <c r="I248" s="11"/>
      <c r="N248" s="14"/>
      <c r="O248" s="14"/>
      <c r="P248" s="14"/>
    </row>
    <row r="249" spans="1:17" ht="15" x14ac:dyDescent="0.2">
      <c r="A249" s="908" t="s">
        <v>2775</v>
      </c>
      <c r="C249" s="211"/>
      <c r="G249" s="233"/>
      <c r="I249" s="11"/>
      <c r="N249" s="14"/>
      <c r="O249" s="14"/>
      <c r="P249" s="14"/>
    </row>
    <row r="250" spans="1:17" ht="15" x14ac:dyDescent="0.2">
      <c r="A250" s="908" t="s">
        <v>5726</v>
      </c>
      <c r="C250" s="211"/>
      <c r="G250" s="233"/>
      <c r="I250" s="11"/>
      <c r="N250" s="14"/>
      <c r="O250" s="14"/>
      <c r="P250" s="14"/>
    </row>
    <row r="251" spans="1:17" ht="15" x14ac:dyDescent="0.2">
      <c r="A251" s="908" t="s">
        <v>5728</v>
      </c>
      <c r="C251" s="211"/>
      <c r="G251" s="233"/>
      <c r="I251" s="11"/>
      <c r="N251" s="14"/>
      <c r="O251" s="14"/>
      <c r="P251" s="14"/>
    </row>
    <row r="252" spans="1:17" ht="15" x14ac:dyDescent="0.2">
      <c r="A252" s="308" t="s">
        <v>5716</v>
      </c>
      <c r="C252" s="211"/>
      <c r="G252" s="233"/>
      <c r="I252" s="11"/>
      <c r="N252" s="14"/>
      <c r="O252" s="14"/>
      <c r="P252" s="14"/>
    </row>
    <row r="253" spans="1:17" ht="18.75" x14ac:dyDescent="0.3">
      <c r="A253" s="14"/>
      <c r="B253" s="222" t="s">
        <v>5658</v>
      </c>
      <c r="C253" s="2647"/>
      <c r="D253" s="8"/>
      <c r="E253" s="8"/>
      <c r="F253" s="8"/>
      <c r="G253" s="8"/>
      <c r="H253" s="8"/>
      <c r="I253" s="8"/>
      <c r="J253" s="8"/>
      <c r="K253" s="222"/>
      <c r="N253" s="14"/>
      <c r="O253" s="14"/>
      <c r="P253" s="14"/>
    </row>
    <row r="254" spans="1:17" ht="127.5" x14ac:dyDescent="0.2">
      <c r="A254" s="14" t="s">
        <v>6754</v>
      </c>
      <c r="B254" s="857" t="s">
        <v>3185</v>
      </c>
      <c r="C254" s="2987" t="s">
        <v>5659</v>
      </c>
      <c r="D254" s="2987" t="s">
        <v>5660</v>
      </c>
      <c r="E254" s="2987" t="s">
        <v>5661</v>
      </c>
      <c r="F254" s="2987" t="s">
        <v>5662</v>
      </c>
      <c r="G254" s="2987" t="s">
        <v>5663</v>
      </c>
      <c r="H254" s="2987" t="s">
        <v>5664</v>
      </c>
      <c r="I254" s="2987" t="s">
        <v>5665</v>
      </c>
      <c r="J254" s="2987" t="s">
        <v>5666</v>
      </c>
      <c r="K254" s="2987" t="s">
        <v>5667</v>
      </c>
      <c r="N254" s="14"/>
      <c r="O254" s="14"/>
      <c r="P254" s="14"/>
    </row>
    <row r="255" spans="1:17" ht="15" x14ac:dyDescent="0.2">
      <c r="A255" s="3008">
        <v>1</v>
      </c>
      <c r="B255" s="2990" t="s">
        <v>5634</v>
      </c>
      <c r="C255" s="2990">
        <v>0.85</v>
      </c>
      <c r="D255" s="2990">
        <v>1.2</v>
      </c>
      <c r="E255" s="2990">
        <v>580</v>
      </c>
      <c r="F255" s="2990">
        <v>1090</v>
      </c>
      <c r="G255" s="2990">
        <v>1300</v>
      </c>
      <c r="H255" s="2990">
        <v>4800</v>
      </c>
      <c r="I255" s="2990">
        <v>1.35</v>
      </c>
      <c r="J255" s="2990">
        <v>5250</v>
      </c>
      <c r="K255" s="2990">
        <v>3</v>
      </c>
      <c r="L255" s="3040"/>
      <c r="N255" s="14"/>
      <c r="O255" s="14"/>
      <c r="P255" s="14"/>
    </row>
    <row r="256" spans="1:17" ht="15" x14ac:dyDescent="0.2">
      <c r="A256" s="3008">
        <v>2</v>
      </c>
      <c r="B256" s="2990" t="s">
        <v>5639</v>
      </c>
      <c r="C256" s="2990">
        <v>1.1000000000000001</v>
      </c>
      <c r="D256" s="2990">
        <v>1.5</v>
      </c>
      <c r="E256" s="2990">
        <v>710</v>
      </c>
      <c r="F256" s="2990">
        <v>1450</v>
      </c>
      <c r="G256" s="2990">
        <v>1300</v>
      </c>
      <c r="H256" s="2990">
        <v>4900</v>
      </c>
      <c r="I256" s="2990">
        <v>1.35</v>
      </c>
      <c r="J256" s="2990">
        <v>5400</v>
      </c>
      <c r="K256" s="2990">
        <v>3</v>
      </c>
      <c r="L256" s="3042"/>
      <c r="N256" s="14"/>
      <c r="O256" s="14"/>
      <c r="P256" s="14"/>
    </row>
    <row r="257" spans="1:16" ht="15" x14ac:dyDescent="0.2">
      <c r="A257" s="3008">
        <v>3</v>
      </c>
      <c r="B257" s="2990" t="s">
        <v>2778</v>
      </c>
      <c r="C257" s="2990">
        <v>0.85</v>
      </c>
      <c r="D257" s="2990">
        <v>1.25</v>
      </c>
      <c r="E257" s="2990">
        <v>600</v>
      </c>
      <c r="F257" s="2990">
        <v>1230</v>
      </c>
      <c r="G257" s="2990">
        <v>1420</v>
      </c>
      <c r="H257" s="2990">
        <v>5000</v>
      </c>
      <c r="I257" s="2990">
        <v>1.5</v>
      </c>
      <c r="J257" s="2990">
        <v>6550</v>
      </c>
      <c r="K257" s="2990">
        <v>3</v>
      </c>
      <c r="L257" s="3042"/>
      <c r="N257" s="14"/>
      <c r="O257" s="14"/>
      <c r="P257" s="14"/>
    </row>
    <row r="258" spans="1:16" ht="15" x14ac:dyDescent="0.2">
      <c r="A258" s="3008">
        <v>4</v>
      </c>
      <c r="B258" s="2990" t="s">
        <v>3481</v>
      </c>
      <c r="C258" s="2990">
        <v>1.1000000000000001</v>
      </c>
      <c r="D258" s="2990">
        <v>1.5</v>
      </c>
      <c r="E258" s="2990">
        <v>710</v>
      </c>
      <c r="F258" s="2990">
        <v>1450</v>
      </c>
      <c r="G258" s="2990">
        <v>1420</v>
      </c>
      <c r="H258" s="2990">
        <v>5100</v>
      </c>
      <c r="I258" s="2990">
        <v>1.5</v>
      </c>
      <c r="J258" s="2990">
        <v>5500</v>
      </c>
      <c r="K258" s="2990">
        <v>3</v>
      </c>
      <c r="L258" s="3042"/>
      <c r="N258" s="14"/>
      <c r="O258" s="14"/>
      <c r="P258" s="14"/>
    </row>
    <row r="259" spans="1:16" ht="15" x14ac:dyDescent="0.2">
      <c r="A259" s="3008">
        <v>5</v>
      </c>
      <c r="B259" s="2990" t="s">
        <v>657</v>
      </c>
      <c r="C259" s="2990">
        <v>1.35</v>
      </c>
      <c r="D259" s="2990">
        <v>2</v>
      </c>
      <c r="E259" s="2990">
        <v>1000</v>
      </c>
      <c r="F259" s="2990">
        <v>2000</v>
      </c>
      <c r="G259" s="2990">
        <v>1420</v>
      </c>
      <c r="H259" s="2990">
        <v>5200</v>
      </c>
      <c r="I259" s="2990">
        <v>1.5</v>
      </c>
      <c r="J259" s="2990">
        <v>7200</v>
      </c>
      <c r="K259" s="2990">
        <v>3</v>
      </c>
      <c r="L259" s="3042"/>
      <c r="N259" s="14"/>
      <c r="O259" s="14"/>
      <c r="P259" s="14"/>
    </row>
    <row r="260" spans="1:16" ht="15" x14ac:dyDescent="0.2">
      <c r="A260" s="3008">
        <v>6</v>
      </c>
      <c r="B260" s="2990" t="s">
        <v>5629</v>
      </c>
      <c r="C260" s="2990">
        <v>0.9</v>
      </c>
      <c r="D260" s="2990">
        <v>1.2</v>
      </c>
      <c r="E260" s="2990">
        <v>640</v>
      </c>
      <c r="F260" s="2990">
        <v>1180</v>
      </c>
      <c r="G260" s="2990">
        <v>1420</v>
      </c>
      <c r="H260" s="2990">
        <v>5000</v>
      </c>
      <c r="I260" s="2990">
        <v>1.5</v>
      </c>
      <c r="J260" s="2990">
        <v>8250</v>
      </c>
      <c r="K260" s="2990">
        <v>3</v>
      </c>
      <c r="L260" s="3042"/>
      <c r="N260" s="14"/>
      <c r="O260" s="14"/>
      <c r="P260" s="14"/>
    </row>
    <row r="261" spans="1:16" ht="15" x14ac:dyDescent="0.2">
      <c r="A261" s="3008">
        <v>7</v>
      </c>
      <c r="B261" s="2990" t="s">
        <v>3484</v>
      </c>
      <c r="C261" s="2990">
        <v>1.1000000000000001</v>
      </c>
      <c r="D261" s="2990">
        <v>1.5</v>
      </c>
      <c r="E261" s="2990">
        <v>700</v>
      </c>
      <c r="F261" s="2990">
        <v>1450</v>
      </c>
      <c r="G261" s="2990">
        <v>1420</v>
      </c>
      <c r="H261" s="2990">
        <v>5000</v>
      </c>
      <c r="I261" s="2990">
        <v>1.5</v>
      </c>
      <c r="J261" s="2990">
        <v>8500</v>
      </c>
      <c r="K261" s="2990">
        <v>3</v>
      </c>
      <c r="L261" s="3042"/>
      <c r="N261" s="14"/>
      <c r="O261" s="14"/>
      <c r="P261" s="14"/>
    </row>
    <row r="262" spans="1:16" ht="15" x14ac:dyDescent="0.2">
      <c r="A262" s="3008">
        <v>8</v>
      </c>
      <c r="B262" s="2990" t="s">
        <v>659</v>
      </c>
      <c r="C262" s="2990">
        <v>1.35</v>
      </c>
      <c r="D262" s="2990">
        <v>2</v>
      </c>
      <c r="E262" s="2990">
        <v>1000</v>
      </c>
      <c r="F262" s="2990">
        <v>2030</v>
      </c>
      <c r="G262" s="2990">
        <v>1420</v>
      </c>
      <c r="H262" s="2990">
        <v>5000</v>
      </c>
      <c r="I262" s="2990">
        <v>1.5</v>
      </c>
      <c r="J262" s="2990">
        <v>9200</v>
      </c>
      <c r="K262" s="2990">
        <v>3</v>
      </c>
      <c r="L262" s="3042"/>
      <c r="N262" s="14"/>
      <c r="O262" s="14"/>
      <c r="P262" s="14"/>
    </row>
    <row r="263" spans="1:16" ht="15" x14ac:dyDescent="0.2">
      <c r="A263" s="3008">
        <v>9</v>
      </c>
      <c r="B263" s="2990" t="s">
        <v>660</v>
      </c>
      <c r="C263" s="2990">
        <v>1</v>
      </c>
      <c r="D263" s="2990">
        <v>1.6</v>
      </c>
      <c r="E263" s="2990">
        <v>740</v>
      </c>
      <c r="F263" s="2990">
        <v>1600</v>
      </c>
      <c r="G263" s="2990">
        <v>1410</v>
      </c>
      <c r="H263" s="2990">
        <v>4840</v>
      </c>
      <c r="I263" s="2990">
        <v>1.5</v>
      </c>
      <c r="J263" s="2990">
        <v>7900</v>
      </c>
      <c r="K263" s="2990">
        <v>3</v>
      </c>
      <c r="L263" s="3042"/>
      <c r="N263" s="14"/>
      <c r="O263" s="14"/>
      <c r="P263" s="14"/>
    </row>
    <row r="264" spans="1:16" ht="15" x14ac:dyDescent="0.2">
      <c r="A264" s="3008">
        <v>10</v>
      </c>
      <c r="B264" s="2990" t="s">
        <v>5636</v>
      </c>
      <c r="C264" s="2990">
        <v>1.35</v>
      </c>
      <c r="D264" s="2990">
        <v>2.4</v>
      </c>
      <c r="E264" s="2990">
        <v>1115</v>
      </c>
      <c r="F264" s="2990">
        <v>2400</v>
      </c>
      <c r="G264" s="2990">
        <v>1410</v>
      </c>
      <c r="H264" s="2990">
        <v>5110</v>
      </c>
      <c r="I264" s="2990">
        <v>1.5</v>
      </c>
      <c r="J264" s="2990">
        <v>8600</v>
      </c>
      <c r="K264" s="2990">
        <v>3</v>
      </c>
      <c r="L264" s="3042"/>
      <c r="N264" s="14"/>
      <c r="O264" s="14"/>
      <c r="P264" s="14"/>
    </row>
    <row r="265" spans="1:16" ht="15" x14ac:dyDescent="0.2">
      <c r="A265" s="3008">
        <v>11</v>
      </c>
      <c r="B265" s="2990" t="s">
        <v>5640</v>
      </c>
      <c r="C265" s="2990">
        <v>0.85</v>
      </c>
      <c r="D265" s="2990">
        <v>1.5</v>
      </c>
      <c r="E265" s="2990">
        <v>610</v>
      </c>
      <c r="F265" s="2990">
        <v>1500</v>
      </c>
      <c r="G265" s="2990">
        <v>1440</v>
      </c>
      <c r="H265" s="2990">
        <v>4700</v>
      </c>
      <c r="I265" s="2990">
        <v>1.5</v>
      </c>
      <c r="J265" s="2990">
        <v>7400</v>
      </c>
      <c r="K265" s="2990">
        <v>2.6</v>
      </c>
      <c r="L265" s="3042"/>
      <c r="N265" s="14"/>
      <c r="O265" s="14"/>
      <c r="P265" s="14"/>
    </row>
    <row r="266" spans="1:16" ht="15" x14ac:dyDescent="0.2">
      <c r="A266" s="3008">
        <v>12</v>
      </c>
      <c r="B266" s="2990" t="s">
        <v>5668</v>
      </c>
      <c r="C266" s="2990">
        <v>0.95</v>
      </c>
      <c r="D266" s="2990">
        <v>1.75</v>
      </c>
      <c r="E266" s="2990">
        <v>730</v>
      </c>
      <c r="F266" s="2990">
        <v>1750</v>
      </c>
      <c r="G266" s="2990">
        <v>1440</v>
      </c>
      <c r="H266" s="2990">
        <v>4800</v>
      </c>
      <c r="I266" s="2990">
        <v>1.5</v>
      </c>
      <c r="J266" s="2990">
        <v>7700</v>
      </c>
      <c r="K266" s="2990">
        <v>2.6</v>
      </c>
      <c r="L266" s="3042"/>
      <c r="N266" s="14"/>
      <c r="O266" s="14"/>
      <c r="P266" s="14"/>
    </row>
    <row r="267" spans="1:16" ht="15" x14ac:dyDescent="0.2">
      <c r="A267" s="3008">
        <v>13</v>
      </c>
      <c r="B267" s="2990" t="s">
        <v>5635</v>
      </c>
      <c r="C267" s="2990">
        <v>0.95</v>
      </c>
      <c r="D267" s="2990">
        <v>1.5</v>
      </c>
      <c r="E267" s="2990">
        <v>720</v>
      </c>
      <c r="F267" s="2990">
        <v>1520</v>
      </c>
      <c r="G267" s="2990">
        <v>1440</v>
      </c>
      <c r="H267" s="2990">
        <v>5150</v>
      </c>
      <c r="I267" s="2990">
        <v>1.5</v>
      </c>
      <c r="J267" s="2990">
        <v>8400</v>
      </c>
      <c r="K267" s="2990">
        <v>2.6</v>
      </c>
      <c r="L267" s="3042"/>
      <c r="N267" s="14"/>
      <c r="O267" s="14"/>
      <c r="P267" s="14"/>
    </row>
    <row r="268" spans="1:16" ht="15" x14ac:dyDescent="0.2">
      <c r="A268" s="3008">
        <v>14</v>
      </c>
      <c r="B268" s="2990" t="s">
        <v>5633</v>
      </c>
      <c r="C268" s="2990">
        <v>1.1000000000000001</v>
      </c>
      <c r="D268" s="2990">
        <v>1.8</v>
      </c>
      <c r="E268" s="2990">
        <v>880</v>
      </c>
      <c r="F268" s="2990">
        <v>1800</v>
      </c>
      <c r="G268" s="2990">
        <v>1440</v>
      </c>
      <c r="H268" s="2990">
        <v>5030</v>
      </c>
      <c r="I268" s="2990">
        <v>1.5</v>
      </c>
      <c r="J268" s="2990">
        <v>9500</v>
      </c>
      <c r="K268" s="2990">
        <v>2.6</v>
      </c>
      <c r="L268" s="3042"/>
      <c r="N268" s="14"/>
      <c r="O268" s="14"/>
      <c r="P268" s="14"/>
    </row>
    <row r="269" spans="1:16" ht="15" x14ac:dyDescent="0.2">
      <c r="A269" s="3008">
        <v>15</v>
      </c>
      <c r="B269" s="2990" t="s">
        <v>5632</v>
      </c>
      <c r="C269" s="2990">
        <v>1.45</v>
      </c>
      <c r="D269" s="2990">
        <v>2.5</v>
      </c>
      <c r="E269" s="2990">
        <v>1175</v>
      </c>
      <c r="F269" s="2990">
        <v>2500</v>
      </c>
      <c r="G269" s="2990">
        <v>1440</v>
      </c>
      <c r="H269" s="2990">
        <v>5170</v>
      </c>
      <c r="I269" s="2990">
        <v>1.5</v>
      </c>
      <c r="J269" s="2990">
        <v>10100</v>
      </c>
      <c r="K269" s="2990">
        <v>2.6</v>
      </c>
      <c r="L269" s="3042"/>
      <c r="N269" s="14"/>
      <c r="O269" s="14"/>
      <c r="P269" s="14"/>
    </row>
    <row r="270" spans="1:16" ht="15" x14ac:dyDescent="0.2">
      <c r="A270" s="2554"/>
      <c r="C270" s="211"/>
      <c r="G270" s="233"/>
      <c r="I270" s="11"/>
      <c r="L270" s="3042"/>
      <c r="N270" s="14"/>
      <c r="O270" s="14"/>
      <c r="P270" s="14"/>
    </row>
    <row r="271" spans="1:16" ht="15" x14ac:dyDescent="0.2">
      <c r="A271" s="2554"/>
      <c r="C271" s="211"/>
      <c r="G271" s="233"/>
      <c r="I271" s="11"/>
      <c r="N271" s="14"/>
      <c r="O271" s="14"/>
      <c r="P271" s="14"/>
    </row>
    <row r="272" spans="1:16" ht="15.75" x14ac:dyDescent="0.25">
      <c r="A272" s="818" t="s">
        <v>5718</v>
      </c>
      <c r="C272" s="3062"/>
      <c r="G272" s="233"/>
      <c r="I272" s="11"/>
      <c r="N272" s="14"/>
      <c r="O272" s="14"/>
      <c r="P272" s="14"/>
    </row>
    <row r="273" spans="1:16" ht="15.75" x14ac:dyDescent="0.25">
      <c r="A273" s="3068" t="s">
        <v>5725</v>
      </c>
      <c r="C273" s="218"/>
      <c r="G273" s="233"/>
      <c r="I273" s="11"/>
      <c r="N273" s="14"/>
      <c r="O273" s="14"/>
      <c r="P273" s="14"/>
    </row>
    <row r="274" spans="1:16" ht="102" x14ac:dyDescent="0.2">
      <c r="A274" s="2554"/>
      <c r="C274" s="211"/>
      <c r="D274" s="3038" t="s">
        <v>5721</v>
      </c>
      <c r="E274" s="3038" t="s">
        <v>5722</v>
      </c>
      <c r="F274" s="3038" t="s">
        <v>5723</v>
      </c>
      <c r="G274" s="3067" t="s">
        <v>5724</v>
      </c>
      <c r="H274" s="1740" t="s">
        <v>5727</v>
      </c>
      <c r="I274" s="11"/>
      <c r="N274" s="14"/>
      <c r="O274" s="14"/>
      <c r="P274" s="14"/>
    </row>
    <row r="275" spans="1:16" ht="15.75" x14ac:dyDescent="0.25">
      <c r="A275" s="1392" t="s">
        <v>5720</v>
      </c>
      <c r="B275" s="5"/>
      <c r="C275" s="3061"/>
      <c r="D275" s="2992" t="e">
        <f>INDEX($J$255:$J$269,C276)/1000</f>
        <v>#VALUE!</v>
      </c>
      <c r="E275" s="2992" t="e">
        <f>INDEX($K$255:$K$269,C276)</f>
        <v>#VALUE!</v>
      </c>
      <c r="F275" s="2992" t="e">
        <f>INDEX($F$255:$F$269,C276)-$G$207</f>
        <v>#VALUE!</v>
      </c>
      <c r="G275" s="3069" t="e">
        <f>$F$207-INDEX($E$255:$E$269,C276)</f>
        <v>#VALUE!</v>
      </c>
      <c r="H275" s="3070" t="e">
        <f>INDEX(вен!$R$422:$R$436,C276)</f>
        <v>#VALUE!</v>
      </c>
      <c r="I275" s="11"/>
      <c r="N275" s="14"/>
      <c r="O275" s="14"/>
      <c r="P275" s="14"/>
    </row>
    <row r="276" spans="1:16" ht="15.75" x14ac:dyDescent="0.25">
      <c r="A276" s="1392" t="s">
        <v>5719</v>
      </c>
      <c r="B276" s="5"/>
      <c r="C276" s="3065"/>
      <c r="G276" s="3063"/>
      <c r="H276" s="2465"/>
      <c r="I276" s="11"/>
      <c r="N276" s="14"/>
      <c r="O276" s="14"/>
      <c r="P276" s="14"/>
    </row>
    <row r="277" spans="1:16" ht="15.75" x14ac:dyDescent="0.25">
      <c r="A277" s="1392" t="str">
        <f>IF(C272&gt;1,"2-ой возможный тип крепи","")</f>
        <v/>
      </c>
      <c r="B277" s="5"/>
      <c r="C277" s="3062"/>
      <c r="D277" s="2992" t="str">
        <f>IF(C272&gt;1,INDEX($J$255:$J$269,C278)/1000,"")</f>
        <v/>
      </c>
      <c r="E277" s="2992" t="str">
        <f>IF(C272&gt;1,INDEX($K$255:$K$269,C278),"")</f>
        <v/>
      </c>
      <c r="F277" s="2992" t="str">
        <f>IF(C272&gt;1,INDEX($F$255:$F$269,C278)-$G$207,"")</f>
        <v/>
      </c>
      <c r="G277" s="3069" t="str">
        <f>IF(C272&gt;1,$F$207-INDEX($E$255:$E$269,C278),"")</f>
        <v/>
      </c>
      <c r="H277" s="3070" t="str">
        <f>IF(C272&gt;1,INDEX(вен!$R$422:$R$436,C278),"")</f>
        <v/>
      </c>
      <c r="N277" s="14"/>
      <c r="O277" s="14"/>
      <c r="P277" s="14"/>
    </row>
    <row r="278" spans="1:16" ht="15.75" x14ac:dyDescent="0.25">
      <c r="A278" s="1392" t="str">
        <f>IF(C272&gt;1,"Его номер в таблице крепей","")</f>
        <v/>
      </c>
      <c r="B278" s="5"/>
      <c r="C278" s="3066"/>
      <c r="G278" s="3063"/>
      <c r="H278" s="2465"/>
      <c r="I278" s="11"/>
      <c r="N278" s="14"/>
      <c r="O278" s="14"/>
      <c r="P278" s="14"/>
    </row>
    <row r="279" spans="1:16" ht="15.75" x14ac:dyDescent="0.25">
      <c r="A279" s="1392" t="str">
        <f>IF(C272&gt;2,"3-ий возможный тип крепи","")</f>
        <v/>
      </c>
      <c r="B279" s="5"/>
      <c r="C279" s="3062"/>
      <c r="D279" s="2992" t="str">
        <f>IF(C272&gt;2,INDEX($J$255:$J$269,C280)/1000,"")</f>
        <v/>
      </c>
      <c r="E279" s="2992" t="str">
        <f>IF(C272&gt;2,INDEX($K$255:$K$269,C280),"")</f>
        <v/>
      </c>
      <c r="F279" s="2992" t="str">
        <f>IF(C272&gt;2,INDEX($F$255:$F$269,C280)-$G$207,"")</f>
        <v/>
      </c>
      <c r="G279" s="3069" t="str">
        <f>IF(C272&gt;2,$F$207-INDEX($E$255:$E$269,C280),"")</f>
        <v/>
      </c>
      <c r="H279" s="3070" t="str">
        <f>IF(C272&gt;2,INDEX(вен!$R$422:$R$436,C280),"")</f>
        <v/>
      </c>
      <c r="I279" s="11"/>
      <c r="N279" s="14"/>
      <c r="O279" s="14"/>
      <c r="P279" s="14"/>
    </row>
    <row r="280" spans="1:16" ht="15.75" x14ac:dyDescent="0.25">
      <c r="A280" s="1392" t="str">
        <f>IF(C272&gt;2,"Его номер в таблице крепей","")</f>
        <v/>
      </c>
      <c r="B280" s="5"/>
      <c r="C280" s="3062"/>
      <c r="G280" s="3063"/>
      <c r="H280" s="2465"/>
      <c r="I280" s="11"/>
      <c r="N280" s="14"/>
      <c r="O280" s="14"/>
      <c r="P280" s="14"/>
    </row>
    <row r="281" spans="1:16" x14ac:dyDescent="0.2">
      <c r="A281" s="2027" t="str">
        <f>IF(C272&gt;3,"4-ый возможный тип крепи","")</f>
        <v/>
      </c>
      <c r="B281" s="5"/>
      <c r="C281" s="3062"/>
      <c r="D281" s="2992" t="str">
        <f>IF(C272&gt;3,INDEX($J$255:$J$269,C282)/1000,"")</f>
        <v/>
      </c>
      <c r="E281" s="2992" t="str">
        <f>IF(C272&gt;3,INDEX($K$255:$K$269,C282),"")</f>
        <v/>
      </c>
      <c r="F281" s="2992" t="str">
        <f>IF(C272&gt;3,INDEX($F$255:$F$269,C282)-$G$207,"")</f>
        <v/>
      </c>
      <c r="G281" s="3069" t="str">
        <f>IF(C272&gt;3,$F$207-INDEX($E$255:$E$269,C282),"")</f>
        <v/>
      </c>
      <c r="H281" s="3070" t="str">
        <f>IF(C272&gt;3,INDEX(вен!$R$422:$R$436,C282),"")</f>
        <v/>
      </c>
      <c r="I281" s="11"/>
      <c r="N281" s="14"/>
      <c r="O281" s="14"/>
      <c r="P281" s="14"/>
    </row>
    <row r="282" spans="1:16" ht="15.75" x14ac:dyDescent="0.25">
      <c r="A282" s="1392" t="str">
        <f>IF(C272&gt;3,"Его номер в таблице крепей","")</f>
        <v/>
      </c>
      <c r="B282" s="5"/>
      <c r="C282" s="3062"/>
      <c r="G282" s="3063"/>
      <c r="H282" s="2465"/>
      <c r="I282" s="11"/>
      <c r="N282" s="14"/>
      <c r="O282" s="14"/>
      <c r="P282" s="14"/>
    </row>
    <row r="283" spans="1:16" ht="15.75" x14ac:dyDescent="0.25">
      <c r="A283" s="1392" t="str">
        <f>IF(C272&gt;4,"5-ый возможный тип крепи","")</f>
        <v/>
      </c>
      <c r="B283" s="5"/>
      <c r="C283" s="3062"/>
      <c r="D283" s="2992" t="str">
        <f>IF(C272&gt;4,INDEX($J$255:$J$269,C284)/1000,"")</f>
        <v/>
      </c>
      <c r="E283" s="2992" t="str">
        <f>IF(C272&gt;4,INDEX($K$255:$K$269,C284),"")</f>
        <v/>
      </c>
      <c r="F283" s="2992" t="str">
        <f>IF(C272&gt;4,INDEX($F$255:$F$269,C284)-$G$207,"")</f>
        <v/>
      </c>
      <c r="G283" s="3069" t="str">
        <f>IF(C272&gt;4,$F$207-INDEX($E$255:$E$269,C284),"")</f>
        <v/>
      </c>
      <c r="H283" s="3070" t="str">
        <f>IF(C272&gt;4,INDEX(вен!$R$422:$R$436,C284),"")</f>
        <v/>
      </c>
      <c r="I283" s="11"/>
      <c r="N283" s="14"/>
      <c r="O283" s="14"/>
      <c r="P283" s="14"/>
    </row>
    <row r="284" spans="1:16" x14ac:dyDescent="0.2">
      <c r="A284" s="2027" t="str">
        <f>IF(C272&gt;4,"Его номер в таблице крепей","")</f>
        <v/>
      </c>
      <c r="B284" s="5"/>
      <c r="C284" s="3062"/>
      <c r="G284" s="3063"/>
      <c r="I284" s="11"/>
      <c r="N284" s="14"/>
      <c r="O284" s="14"/>
      <c r="P284" s="14"/>
    </row>
    <row r="285" spans="1:16" ht="15" x14ac:dyDescent="0.2">
      <c r="A285" s="2554"/>
      <c r="C285" s="211"/>
      <c r="G285" s="233"/>
      <c r="I285" s="11"/>
      <c r="N285" s="14"/>
      <c r="O285" s="14"/>
      <c r="P285" s="14"/>
    </row>
    <row r="286" spans="1:16" ht="15.75" x14ac:dyDescent="0.25">
      <c r="A286" s="2464" t="s">
        <v>5717</v>
      </c>
      <c r="B286" s="3061"/>
      <c r="C286" s="211"/>
      <c r="G286" s="233"/>
      <c r="I286" s="11"/>
      <c r="N286" s="14"/>
      <c r="O286" s="14"/>
      <c r="P286" s="14"/>
    </row>
    <row r="287" spans="1:16" ht="15.75" x14ac:dyDescent="0.25">
      <c r="A287" s="2464" t="s">
        <v>5733</v>
      </c>
      <c r="B287" s="4259"/>
      <c r="C287" s="211"/>
      <c r="G287" s="233"/>
      <c r="I287" s="11"/>
      <c r="N287" s="14"/>
      <c r="O287" s="14"/>
      <c r="P287" s="14"/>
    </row>
    <row r="288" spans="1:16" ht="90" x14ac:dyDescent="0.25">
      <c r="A288" s="2464" t="s">
        <v>6802</v>
      </c>
      <c r="B288" s="4249" t="s">
        <v>6803</v>
      </c>
      <c r="C288" s="4260"/>
      <c r="D288" s="4248" t="s">
        <v>6804</v>
      </c>
      <c r="E288" s="4159"/>
      <c r="F288" s="4248" t="s">
        <v>6805</v>
      </c>
      <c r="G288" s="4261"/>
      <c r="I288" s="11"/>
      <c r="N288" s="14"/>
      <c r="O288" s="14"/>
      <c r="P288" s="14"/>
    </row>
    <row r="289" spans="1:44" ht="15.75" x14ac:dyDescent="0.25">
      <c r="A289" s="2464"/>
      <c r="B289" s="239"/>
      <c r="C289" s="211"/>
      <c r="G289" s="233"/>
      <c r="I289" s="11"/>
      <c r="N289" s="14"/>
      <c r="O289" s="14"/>
      <c r="P289" s="14"/>
    </row>
    <row r="290" spans="1:44" ht="15.75" x14ac:dyDescent="0.25">
      <c r="A290" s="2464"/>
      <c r="B290" s="239"/>
      <c r="C290" s="211"/>
      <c r="G290" s="233"/>
      <c r="I290" s="11"/>
      <c r="N290" s="14"/>
      <c r="O290" s="14"/>
      <c r="P290" s="14"/>
    </row>
    <row r="291" spans="1:44" ht="15" x14ac:dyDescent="0.2">
      <c r="A291" s="308" t="s">
        <v>22</v>
      </c>
      <c r="C291" s="211"/>
      <c r="G291" s="233"/>
      <c r="I291" s="11"/>
      <c r="N291" s="14"/>
      <c r="O291" s="14"/>
      <c r="P291" s="14"/>
    </row>
    <row r="292" spans="1:44" ht="15" x14ac:dyDescent="0.2">
      <c r="A292" s="2554" t="s">
        <v>23</v>
      </c>
      <c r="C292" s="211"/>
      <c r="G292" s="233"/>
      <c r="I292" s="11"/>
      <c r="N292" s="14"/>
      <c r="O292" s="14"/>
      <c r="P292" s="14"/>
    </row>
    <row r="293" spans="1:44" ht="15" x14ac:dyDescent="0.2">
      <c r="A293" s="2554" t="s">
        <v>70</v>
      </c>
      <c r="C293" s="211"/>
      <c r="G293" s="233"/>
      <c r="I293" s="11"/>
      <c r="N293" s="14"/>
      <c r="O293" s="14"/>
      <c r="P293" s="14"/>
    </row>
    <row r="294" spans="1:44" ht="15" x14ac:dyDescent="0.2">
      <c r="A294" s="2554" t="s">
        <v>5734</v>
      </c>
      <c r="C294" s="211"/>
      <c r="G294" s="233"/>
      <c r="I294" s="11"/>
      <c r="N294" s="14"/>
      <c r="O294" s="14"/>
      <c r="P294" s="15"/>
    </row>
    <row r="295" spans="1:44" ht="15" x14ac:dyDescent="0.2">
      <c r="A295" s="2554" t="s">
        <v>5735</v>
      </c>
      <c r="C295" s="211"/>
      <c r="G295" s="233"/>
      <c r="I295" s="11"/>
      <c r="N295" s="14"/>
      <c r="O295" s="14"/>
      <c r="P295" s="15"/>
    </row>
    <row r="296" spans="1:44" ht="18" customHeight="1" x14ac:dyDescent="0.2">
      <c r="A296" s="308" t="s">
        <v>5683</v>
      </c>
      <c r="D296" s="223"/>
      <c r="G296" s="1180"/>
      <c r="Q296" s="14"/>
      <c r="R296" s="15"/>
      <c r="S296" s="14"/>
      <c r="T296" s="14"/>
      <c r="U296" s="14"/>
      <c r="V296" s="14"/>
      <c r="W296" s="315"/>
      <c r="X296" s="14"/>
      <c r="Y296" s="42"/>
      <c r="Z296" s="42"/>
      <c r="AA296" s="42"/>
      <c r="AB296" s="42"/>
      <c r="AC296" s="42"/>
      <c r="AD296" s="42"/>
      <c r="AE296" s="42"/>
      <c r="AF296" s="42"/>
      <c r="AG296" s="42"/>
      <c r="AH296" s="42"/>
      <c r="AI296" s="42"/>
      <c r="AJ296" s="42"/>
      <c r="AK296" s="42"/>
      <c r="AL296" s="42"/>
      <c r="AM296" s="42"/>
      <c r="AN296" s="42"/>
      <c r="AO296" s="42"/>
      <c r="AP296" s="42"/>
      <c r="AQ296" s="42"/>
      <c r="AR296" s="42"/>
    </row>
    <row r="297" spans="1:44" ht="18" customHeight="1" x14ac:dyDescent="0.25">
      <c r="A297" s="3007" t="s">
        <v>5642</v>
      </c>
      <c r="B297" s="2986"/>
      <c r="C297" s="2986"/>
      <c r="D297" s="2986"/>
      <c r="E297" s="2986"/>
      <c r="F297" s="2986"/>
      <c r="G297" s="2986"/>
      <c r="H297" s="2986"/>
      <c r="I297" s="2986"/>
      <c r="J297" s="222"/>
      <c r="K297" s="8"/>
      <c r="M297" s="14"/>
      <c r="Q297" s="14"/>
      <c r="R297" s="15"/>
      <c r="S297" s="14"/>
      <c r="T297" s="14"/>
      <c r="U297" s="14"/>
      <c r="V297" s="14"/>
      <c r="W297" s="315"/>
      <c r="X297" s="14"/>
      <c r="Y297" s="2995"/>
      <c r="Z297" s="2995"/>
      <c r="AA297" s="2995"/>
      <c r="AB297" s="2995"/>
      <c r="AC297" s="2995"/>
      <c r="AD297" s="2995"/>
      <c r="AE297" s="2995"/>
      <c r="AF297" s="2995"/>
      <c r="AG297" s="2995"/>
      <c r="AH297" s="2995"/>
      <c r="AI297" s="2995"/>
      <c r="AJ297" s="2995"/>
      <c r="AK297" s="2995"/>
      <c r="AL297" s="2995"/>
      <c r="AM297" s="2995"/>
      <c r="AN297" s="2995"/>
      <c r="AO297" s="2995"/>
      <c r="AP297" s="2995"/>
      <c r="AQ297" s="2995"/>
      <c r="AR297" s="2995"/>
    </row>
    <row r="298" spans="1:44" ht="111.75" customHeight="1" x14ac:dyDescent="0.2">
      <c r="A298" s="2987" t="s">
        <v>5488</v>
      </c>
      <c r="B298" s="2988" t="s">
        <v>3449</v>
      </c>
      <c r="C298" s="2988" t="s">
        <v>3450</v>
      </c>
      <c r="D298" s="2988" t="s">
        <v>5643</v>
      </c>
      <c r="E298" s="2988" t="s">
        <v>5644</v>
      </c>
      <c r="F298" s="2988" t="s">
        <v>5645</v>
      </c>
      <c r="G298" s="2988" t="s">
        <v>5646</v>
      </c>
      <c r="H298" s="2988" t="s">
        <v>5647</v>
      </c>
      <c r="I298" s="2988" t="s">
        <v>5648</v>
      </c>
      <c r="J298" s="2988" t="s">
        <v>5649</v>
      </c>
      <c r="K298" s="2988" t="s">
        <v>3662</v>
      </c>
      <c r="L298" s="2987" t="s">
        <v>5656</v>
      </c>
      <c r="M298" s="2987" t="s">
        <v>5657</v>
      </c>
      <c r="N298" s="2927" t="s">
        <v>5650</v>
      </c>
      <c r="O298" s="2987" t="s">
        <v>5682</v>
      </c>
      <c r="Q298" s="14"/>
      <c r="R298" s="15"/>
      <c r="S298" s="14"/>
      <c r="T298" s="14"/>
      <c r="U298" s="14"/>
      <c r="V298" s="14"/>
      <c r="W298" s="315"/>
      <c r="X298" s="14"/>
      <c r="Y298" s="2995"/>
      <c r="Z298" s="2995"/>
      <c r="AA298" s="2995"/>
      <c r="AB298" s="2995"/>
      <c r="AC298" s="2995"/>
      <c r="AD298" s="2995"/>
      <c r="AE298" s="2995"/>
      <c r="AF298" s="2995"/>
      <c r="AG298" s="2995"/>
      <c r="AH298" s="2995"/>
      <c r="AI298" s="2995"/>
      <c r="AJ298" s="2995"/>
      <c r="AK298" s="2995"/>
      <c r="AL298" s="2995"/>
      <c r="AM298" s="2995"/>
      <c r="AN298" s="2995"/>
      <c r="AO298" s="2995"/>
      <c r="AP298" s="2995"/>
      <c r="AQ298" s="2995"/>
      <c r="AR298" s="2995"/>
    </row>
    <row r="299" spans="1:44" ht="18" customHeight="1" x14ac:dyDescent="0.25">
      <c r="A299" s="2990" t="s">
        <v>5651</v>
      </c>
      <c r="B299" s="2990">
        <v>0.85</v>
      </c>
      <c r="C299" s="2990">
        <v>1.3</v>
      </c>
      <c r="D299" s="2990">
        <v>5.5</v>
      </c>
      <c r="E299" s="2990">
        <v>3.3</v>
      </c>
      <c r="F299" s="2990">
        <v>330</v>
      </c>
      <c r="G299" s="2990">
        <v>5</v>
      </c>
      <c r="H299" s="2990">
        <v>200</v>
      </c>
      <c r="I299" s="2990">
        <v>5870</v>
      </c>
      <c r="J299" s="2990">
        <v>630</v>
      </c>
      <c r="K299" s="2990">
        <v>14.8</v>
      </c>
      <c r="L299" s="2027">
        <v>0.63</v>
      </c>
      <c r="M299" s="2990">
        <v>0.8</v>
      </c>
      <c r="N299" s="71">
        <v>2</v>
      </c>
      <c r="O299" s="3006">
        <v>1</v>
      </c>
      <c r="Q299" s="14"/>
      <c r="R299" s="15"/>
      <c r="S299" s="14"/>
      <c r="T299" s="14"/>
      <c r="U299" s="14"/>
      <c r="V299" s="14"/>
      <c r="W299" s="315"/>
      <c r="X299" s="14"/>
      <c r="Y299" s="2995"/>
      <c r="Z299" s="2995"/>
      <c r="AA299" s="2995"/>
      <c r="AB299" s="2995"/>
      <c r="AC299" s="2995"/>
      <c r="AD299" s="2995"/>
      <c r="AE299" s="2995"/>
      <c r="AF299" s="2995"/>
      <c r="AG299" s="2995"/>
      <c r="AH299" s="2995"/>
      <c r="AI299" s="2995"/>
      <c r="AJ299" s="2995"/>
      <c r="AK299" s="2995"/>
      <c r="AL299" s="2995"/>
      <c r="AM299" s="2995"/>
      <c r="AN299" s="2995"/>
      <c r="AO299" s="2995"/>
      <c r="AP299" s="2995"/>
      <c r="AQ299" s="2995"/>
      <c r="AR299" s="2995"/>
    </row>
    <row r="300" spans="1:44" ht="18" customHeight="1" x14ac:dyDescent="0.25">
      <c r="A300" s="2990" t="s">
        <v>5653</v>
      </c>
      <c r="B300" s="2990">
        <v>0.85</v>
      </c>
      <c r="C300" s="2990">
        <v>1.6</v>
      </c>
      <c r="D300" s="2990">
        <v>6</v>
      </c>
      <c r="E300" s="2990">
        <v>4</v>
      </c>
      <c r="F300" s="2990">
        <v>510</v>
      </c>
      <c r="G300" s="2990">
        <v>5</v>
      </c>
      <c r="H300" s="2990">
        <v>250</v>
      </c>
      <c r="I300" s="2990">
        <v>5880</v>
      </c>
      <c r="J300" s="2990">
        <v>625</v>
      </c>
      <c r="K300" s="2990">
        <v>16.5</v>
      </c>
      <c r="L300" s="2027">
        <v>0.63</v>
      </c>
      <c r="M300" s="2990">
        <v>0.63</v>
      </c>
      <c r="N300" s="71">
        <v>2</v>
      </c>
      <c r="O300" s="3006">
        <v>2</v>
      </c>
      <c r="Q300" s="14"/>
      <c r="R300" s="15"/>
      <c r="S300" s="14"/>
      <c r="T300" s="14"/>
      <c r="U300" s="14"/>
      <c r="V300" s="14"/>
      <c r="W300" s="315"/>
      <c r="X300" s="14"/>
      <c r="Y300" s="2995"/>
      <c r="Z300" s="2995"/>
      <c r="AA300" s="2995"/>
      <c r="AB300" s="2995"/>
      <c r="AC300" s="2995"/>
      <c r="AD300" s="2995"/>
      <c r="AE300" s="2995"/>
      <c r="AF300" s="2995"/>
      <c r="AG300" s="2995"/>
      <c r="AH300" s="2995"/>
      <c r="AI300" s="2995"/>
      <c r="AJ300" s="2995"/>
      <c r="AK300" s="2995"/>
      <c r="AL300" s="2995"/>
      <c r="AM300" s="2995"/>
      <c r="AN300" s="2995"/>
      <c r="AO300" s="2995"/>
      <c r="AP300" s="2995"/>
      <c r="AQ300" s="2995"/>
      <c r="AR300" s="2995"/>
    </row>
    <row r="301" spans="1:44" ht="18" customHeight="1" x14ac:dyDescent="0.25">
      <c r="A301" s="2990" t="s">
        <v>5631</v>
      </c>
      <c r="B301" s="2990">
        <v>0.85</v>
      </c>
      <c r="C301" s="2991">
        <v>1.5</v>
      </c>
      <c r="D301" s="2990">
        <v>10</v>
      </c>
      <c r="E301" s="2990">
        <v>4.5</v>
      </c>
      <c r="F301" s="2990">
        <v>420</v>
      </c>
      <c r="G301" s="2990">
        <v>12</v>
      </c>
      <c r="H301" s="2990">
        <v>300</v>
      </c>
      <c r="I301" s="2990">
        <v>7440</v>
      </c>
      <c r="J301" s="2990">
        <v>705</v>
      </c>
      <c r="K301" s="2990">
        <v>21</v>
      </c>
      <c r="L301" s="2027">
        <v>0.7</v>
      </c>
      <c r="M301" s="2990">
        <v>0.7</v>
      </c>
      <c r="N301" s="71">
        <v>2</v>
      </c>
      <c r="O301" s="3006">
        <v>3</v>
      </c>
      <c r="Q301" s="14"/>
      <c r="R301" s="15"/>
      <c r="S301" s="14"/>
      <c r="T301" s="14"/>
      <c r="U301" s="14"/>
      <c r="V301" s="14"/>
      <c r="W301" s="315"/>
      <c r="X301" s="14"/>
      <c r="Y301" s="2995"/>
      <c r="Z301" s="2995"/>
      <c r="AA301" s="2995"/>
      <c r="AB301" s="2995"/>
      <c r="AC301" s="2995"/>
      <c r="AD301" s="2995"/>
      <c r="AE301" s="2995"/>
      <c r="AF301" s="2995"/>
      <c r="AG301" s="2995"/>
      <c r="AH301" s="2995"/>
      <c r="AI301" s="2995"/>
      <c r="AJ301" s="2995"/>
      <c r="AK301" s="2995"/>
      <c r="AL301" s="2995"/>
      <c r="AM301" s="2995"/>
      <c r="AN301" s="2995"/>
      <c r="AO301" s="2995"/>
      <c r="AP301" s="2995"/>
      <c r="AQ301" s="2995"/>
      <c r="AR301" s="2995"/>
    </row>
    <row r="302" spans="1:44" ht="18" customHeight="1" x14ac:dyDescent="0.25">
      <c r="A302" s="2990" t="s">
        <v>5616</v>
      </c>
      <c r="B302" s="2990">
        <v>0.85</v>
      </c>
      <c r="C302" s="2990">
        <v>1.5</v>
      </c>
      <c r="D302" s="2990">
        <v>12</v>
      </c>
      <c r="E302" s="2990">
        <v>5</v>
      </c>
      <c r="F302" s="2990">
        <v>460</v>
      </c>
      <c r="G302" s="2990">
        <v>12</v>
      </c>
      <c r="H302" s="2990">
        <v>300</v>
      </c>
      <c r="I302" s="2990">
        <v>7650</v>
      </c>
      <c r="J302" s="2990">
        <v>560</v>
      </c>
      <c r="K302" s="2990">
        <v>21</v>
      </c>
      <c r="L302" s="2027">
        <v>0.7</v>
      </c>
      <c r="M302" s="2990">
        <v>0.8</v>
      </c>
      <c r="N302" s="71">
        <v>2</v>
      </c>
      <c r="O302" s="3006">
        <v>4</v>
      </c>
      <c r="Q302" s="14"/>
      <c r="R302" s="15"/>
      <c r="S302" s="14"/>
      <c r="T302" s="14"/>
      <c r="U302" s="14"/>
      <c r="V302" s="14"/>
      <c r="W302" s="315"/>
      <c r="X302" s="14"/>
      <c r="Y302" s="2995"/>
      <c r="Z302" s="2995"/>
      <c r="AA302" s="2995"/>
      <c r="AB302" s="2995"/>
      <c r="AC302" s="2995"/>
      <c r="AD302" s="2995"/>
      <c r="AE302" s="2995"/>
      <c r="AF302" s="2995"/>
      <c r="AG302" s="2995"/>
      <c r="AH302" s="2995"/>
      <c r="AI302" s="2995"/>
      <c r="AJ302" s="2995"/>
      <c r="AK302" s="2995"/>
      <c r="AL302" s="2995"/>
      <c r="AM302" s="2995"/>
      <c r="AN302" s="2995"/>
      <c r="AO302" s="2995"/>
      <c r="AP302" s="2995"/>
      <c r="AQ302" s="2995"/>
      <c r="AR302" s="2995"/>
    </row>
    <row r="303" spans="1:44" ht="18" customHeight="1" x14ac:dyDescent="0.25">
      <c r="A303" s="2990" t="s">
        <v>3478</v>
      </c>
      <c r="B303" s="2990">
        <v>0.85</v>
      </c>
      <c r="C303" s="2990">
        <v>1.2</v>
      </c>
      <c r="D303" s="2990">
        <v>3.3</v>
      </c>
      <c r="E303" s="2990">
        <v>2.2000000000000002</v>
      </c>
      <c r="F303" s="2990">
        <v>290</v>
      </c>
      <c r="G303" s="2990">
        <v>5</v>
      </c>
      <c r="H303" s="2990">
        <v>200</v>
      </c>
      <c r="I303" s="2990">
        <v>3530</v>
      </c>
      <c r="J303" s="2990">
        <v>536</v>
      </c>
      <c r="K303" s="2990">
        <v>12.33</v>
      </c>
      <c r="L303" s="2027">
        <v>0.8</v>
      </c>
      <c r="M303" s="2990">
        <v>0.8</v>
      </c>
      <c r="N303" s="71">
        <v>2</v>
      </c>
      <c r="O303" s="3006">
        <v>5</v>
      </c>
      <c r="Q303" s="14"/>
      <c r="R303" s="15"/>
      <c r="S303" s="14"/>
      <c r="T303" s="14"/>
      <c r="U303" s="14"/>
      <c r="V303" s="14"/>
      <c r="W303" s="315"/>
      <c r="X303" s="14"/>
      <c r="Y303" s="2995"/>
      <c r="Z303" s="2995"/>
      <c r="AA303" s="2995"/>
      <c r="AB303" s="2995"/>
      <c r="AC303" s="2995"/>
      <c r="AD303" s="2995"/>
      <c r="AE303" s="2995"/>
      <c r="AF303" s="2995"/>
      <c r="AG303" s="2995"/>
      <c r="AH303" s="2995"/>
      <c r="AI303" s="2995"/>
      <c r="AJ303" s="2995"/>
      <c r="AK303" s="2995"/>
      <c r="AL303" s="2995"/>
      <c r="AM303" s="2995"/>
      <c r="AN303" s="2995"/>
      <c r="AO303" s="2995"/>
      <c r="AP303" s="2995"/>
      <c r="AQ303" s="2995"/>
      <c r="AR303" s="2995"/>
    </row>
    <row r="304" spans="1:44" ht="18" customHeight="1" x14ac:dyDescent="0.25">
      <c r="A304" s="2990" t="s">
        <v>5614</v>
      </c>
      <c r="B304" s="2990">
        <v>0.85</v>
      </c>
      <c r="C304" s="2990">
        <v>1.2</v>
      </c>
      <c r="D304" s="2990">
        <v>3.3</v>
      </c>
      <c r="E304" s="2990">
        <v>2.2000000000000002</v>
      </c>
      <c r="F304" s="2990">
        <v>290</v>
      </c>
      <c r="G304" s="2990">
        <v>5</v>
      </c>
      <c r="H304" s="2990">
        <v>200</v>
      </c>
      <c r="I304" s="2990">
        <v>3730</v>
      </c>
      <c r="J304" s="2990">
        <v>546</v>
      </c>
      <c r="K304" s="2990">
        <v>12.85</v>
      </c>
      <c r="L304" s="2027">
        <v>0.8</v>
      </c>
      <c r="M304" s="2990">
        <v>0.8</v>
      </c>
      <c r="N304" s="71">
        <v>2</v>
      </c>
      <c r="O304" s="3006">
        <v>6</v>
      </c>
      <c r="Q304" s="14"/>
      <c r="R304" s="15"/>
      <c r="S304" s="14"/>
      <c r="T304" s="14"/>
      <c r="U304" s="14"/>
      <c r="V304" s="14"/>
      <c r="W304" s="315"/>
      <c r="X304" s="14"/>
      <c r="Y304" s="2995"/>
      <c r="Z304" s="2995"/>
      <c r="AA304" s="2995"/>
      <c r="AB304" s="2995"/>
      <c r="AC304" s="2995"/>
      <c r="AD304" s="2995"/>
      <c r="AE304" s="2995"/>
      <c r="AF304" s="2995"/>
      <c r="AG304" s="2995"/>
      <c r="AH304" s="2995"/>
      <c r="AI304" s="2995"/>
      <c r="AJ304" s="2995"/>
      <c r="AK304" s="2995"/>
      <c r="AL304" s="2995"/>
      <c r="AM304" s="2995"/>
      <c r="AN304" s="2995"/>
      <c r="AO304" s="2995"/>
      <c r="AP304" s="2995"/>
      <c r="AQ304" s="2995"/>
      <c r="AR304" s="2995"/>
    </row>
    <row r="305" spans="1:44" ht="18" customHeight="1" x14ac:dyDescent="0.25">
      <c r="A305" s="2990" t="s">
        <v>3480</v>
      </c>
      <c r="B305" s="2990">
        <v>1.1499999999999999</v>
      </c>
      <c r="C305" s="2990">
        <v>1.3</v>
      </c>
      <c r="D305" s="2990">
        <v>3</v>
      </c>
      <c r="E305" s="2990">
        <v>1.8</v>
      </c>
      <c r="F305" s="2990">
        <v>230</v>
      </c>
      <c r="G305" s="2990">
        <v>4.5</v>
      </c>
      <c r="H305" s="2990">
        <v>250</v>
      </c>
      <c r="I305" s="2990">
        <v>1450</v>
      </c>
      <c r="J305" s="2990">
        <v>750</v>
      </c>
      <c r="K305" s="2990">
        <v>10.35</v>
      </c>
      <c r="L305" s="2027">
        <v>0.63</v>
      </c>
      <c r="M305" s="2990">
        <v>0.8</v>
      </c>
      <c r="N305" s="71">
        <v>1</v>
      </c>
      <c r="O305" s="3006">
        <v>7</v>
      </c>
      <c r="Q305" s="14"/>
      <c r="R305" s="15"/>
      <c r="S305" s="14"/>
      <c r="T305" s="14"/>
      <c r="U305" s="14"/>
      <c r="V305" s="14"/>
      <c r="W305" s="315"/>
      <c r="X305" s="14"/>
      <c r="Y305" s="2995"/>
      <c r="Z305" s="2995"/>
      <c r="AA305" s="2995"/>
      <c r="AB305" s="2995"/>
      <c r="AC305" s="2995"/>
      <c r="AD305" s="2995"/>
      <c r="AE305" s="2995"/>
      <c r="AF305" s="2995"/>
      <c r="AG305" s="2995"/>
      <c r="AH305" s="2995"/>
      <c r="AI305" s="2995"/>
      <c r="AJ305" s="2995"/>
      <c r="AK305" s="2995"/>
      <c r="AL305" s="2995"/>
      <c r="AM305" s="2995"/>
      <c r="AN305" s="2995"/>
      <c r="AO305" s="2995"/>
      <c r="AP305" s="2995"/>
      <c r="AQ305" s="2995"/>
      <c r="AR305" s="2995"/>
    </row>
    <row r="306" spans="1:44" ht="18" customHeight="1" x14ac:dyDescent="0.25">
      <c r="A306" s="2990" t="s">
        <v>3483</v>
      </c>
      <c r="B306" s="2990">
        <v>1.25</v>
      </c>
      <c r="C306" s="2990">
        <v>2.5</v>
      </c>
      <c r="D306" s="2990">
        <v>5</v>
      </c>
      <c r="E306" s="2990">
        <v>4.3</v>
      </c>
      <c r="F306" s="2990">
        <v>300</v>
      </c>
      <c r="G306" s="2990">
        <v>4.4000000000000004</v>
      </c>
      <c r="H306" s="2990">
        <v>250</v>
      </c>
      <c r="I306" s="2990">
        <v>9600</v>
      </c>
      <c r="J306" s="2990">
        <v>950</v>
      </c>
      <c r="K306" s="2990">
        <v>19.100000000000001</v>
      </c>
      <c r="L306" s="2027">
        <v>0.63</v>
      </c>
      <c r="M306" s="2990">
        <v>0.8</v>
      </c>
      <c r="N306" s="71">
        <v>2</v>
      </c>
      <c r="O306" s="3006">
        <v>8</v>
      </c>
      <c r="Q306" s="14"/>
      <c r="R306" s="15"/>
      <c r="S306" s="14"/>
      <c r="T306" s="14"/>
      <c r="U306" s="14"/>
      <c r="V306" s="14"/>
      <c r="W306" s="315"/>
      <c r="X306" s="14"/>
      <c r="Y306" s="2995"/>
      <c r="Z306" s="2995"/>
      <c r="AA306" s="2995"/>
      <c r="AB306" s="2995"/>
      <c r="AC306" s="2995"/>
      <c r="AD306" s="2995"/>
      <c r="AE306" s="2995"/>
      <c r="AF306" s="2995"/>
      <c r="AG306" s="2995"/>
      <c r="AH306" s="2995"/>
      <c r="AI306" s="2995"/>
      <c r="AJ306" s="2995"/>
      <c r="AK306" s="2995"/>
      <c r="AL306" s="2995"/>
      <c r="AM306" s="2995"/>
      <c r="AN306" s="2995"/>
      <c r="AO306" s="2995"/>
      <c r="AP306" s="2995"/>
      <c r="AQ306" s="2995"/>
      <c r="AR306" s="2995"/>
    </row>
    <row r="307" spans="1:44" ht="18" customHeight="1" x14ac:dyDescent="0.25">
      <c r="A307" s="2990" t="s">
        <v>2776</v>
      </c>
      <c r="B307" s="2990">
        <v>1.4</v>
      </c>
      <c r="C307" s="2990">
        <v>2.5</v>
      </c>
      <c r="D307" s="2990">
        <v>5</v>
      </c>
      <c r="E307" s="2990">
        <v>4.3</v>
      </c>
      <c r="F307" s="2990">
        <v>370</v>
      </c>
      <c r="G307" s="2990">
        <v>6</v>
      </c>
      <c r="H307" s="2990">
        <v>300</v>
      </c>
      <c r="I307" s="2990">
        <v>8820</v>
      </c>
      <c r="J307" s="2990">
        <v>950</v>
      </c>
      <c r="K307" s="2990">
        <v>21</v>
      </c>
      <c r="L307" s="2027">
        <v>0.63</v>
      </c>
      <c r="M307" s="2990">
        <v>0.8</v>
      </c>
      <c r="N307" s="71">
        <v>2</v>
      </c>
      <c r="O307" s="3006">
        <v>9</v>
      </c>
      <c r="Q307" s="14"/>
      <c r="R307" s="15"/>
      <c r="S307" s="14"/>
      <c r="T307" s="14"/>
      <c r="U307" s="14"/>
      <c r="V307" s="14"/>
      <c r="W307" s="315"/>
      <c r="X307" s="14"/>
      <c r="Y307" s="2995"/>
      <c r="Z307" s="2995"/>
      <c r="AA307" s="2995"/>
      <c r="AB307" s="2995"/>
      <c r="AC307" s="2995"/>
      <c r="AD307" s="2995"/>
      <c r="AE307" s="2995"/>
      <c r="AF307" s="2995"/>
      <c r="AG307" s="2995"/>
      <c r="AH307" s="2995"/>
      <c r="AI307" s="2995"/>
      <c r="AJ307" s="2995"/>
      <c r="AK307" s="2995"/>
      <c r="AL307" s="2995"/>
      <c r="AM307" s="2995"/>
      <c r="AN307" s="2995"/>
      <c r="AO307" s="2995"/>
      <c r="AP307" s="2995"/>
      <c r="AQ307" s="2995"/>
      <c r="AR307" s="2995"/>
    </row>
    <row r="308" spans="1:44" ht="18" customHeight="1" x14ac:dyDescent="0.25">
      <c r="A308" s="2990" t="s">
        <v>3482</v>
      </c>
      <c r="B308" s="2990">
        <v>1.35</v>
      </c>
      <c r="C308" s="2990">
        <v>2.5</v>
      </c>
      <c r="D308" s="2990">
        <v>7</v>
      </c>
      <c r="E308" s="2990">
        <v>5</v>
      </c>
      <c r="F308" s="2990">
        <v>400</v>
      </c>
      <c r="G308" s="2990">
        <v>10</v>
      </c>
      <c r="H308" s="2990">
        <v>250</v>
      </c>
      <c r="I308" s="2990">
        <v>6570</v>
      </c>
      <c r="J308" s="2990">
        <v>800</v>
      </c>
      <c r="K308" s="2990">
        <v>1.89</v>
      </c>
      <c r="L308" s="2027">
        <v>0.63</v>
      </c>
      <c r="M308" s="2990">
        <v>0.8</v>
      </c>
      <c r="N308" s="71">
        <v>2</v>
      </c>
      <c r="O308" s="3006">
        <v>10</v>
      </c>
      <c r="Q308" s="14"/>
      <c r="R308" s="15"/>
      <c r="S308" s="14"/>
      <c r="T308" s="14"/>
      <c r="U308" s="14"/>
      <c r="V308" s="14"/>
      <c r="W308" s="315"/>
      <c r="X308" s="14"/>
      <c r="Y308" s="2995"/>
      <c r="Z308" s="2995"/>
      <c r="AA308" s="2995"/>
      <c r="AB308" s="2995"/>
      <c r="AC308" s="2995"/>
      <c r="AD308" s="2995"/>
      <c r="AE308" s="2995"/>
      <c r="AF308" s="2995"/>
      <c r="AG308" s="2995"/>
      <c r="AH308" s="2995"/>
      <c r="AI308" s="2995"/>
      <c r="AJ308" s="2995"/>
      <c r="AK308" s="2995"/>
      <c r="AL308" s="2995"/>
      <c r="AM308" s="2995"/>
      <c r="AN308" s="2995"/>
      <c r="AO308" s="2995"/>
      <c r="AP308" s="2995"/>
      <c r="AQ308" s="2995"/>
      <c r="AR308" s="2995"/>
    </row>
    <row r="309" spans="1:44" ht="18" customHeight="1" x14ac:dyDescent="0.25">
      <c r="A309" s="2990" t="s">
        <v>658</v>
      </c>
      <c r="B309" s="2990">
        <v>1.35</v>
      </c>
      <c r="C309" s="2990">
        <v>2.6</v>
      </c>
      <c r="D309" s="2990">
        <v>7</v>
      </c>
      <c r="E309" s="2990">
        <v>5</v>
      </c>
      <c r="F309" s="2990">
        <v>400</v>
      </c>
      <c r="G309" s="2990">
        <v>10</v>
      </c>
      <c r="H309" s="2990">
        <v>250</v>
      </c>
      <c r="I309" s="2990">
        <v>6570</v>
      </c>
      <c r="J309" s="2990">
        <v>950</v>
      </c>
      <c r="K309" s="2990">
        <v>23.85</v>
      </c>
      <c r="L309" s="2027">
        <v>0.63</v>
      </c>
      <c r="M309" s="2990">
        <v>0.63</v>
      </c>
      <c r="N309" s="71">
        <v>2</v>
      </c>
      <c r="O309" s="3006">
        <v>11</v>
      </c>
      <c r="Q309" s="14"/>
      <c r="R309" s="15"/>
      <c r="S309" s="14"/>
      <c r="T309" s="14"/>
      <c r="U309" s="14"/>
      <c r="V309" s="14"/>
      <c r="W309" s="315"/>
      <c r="X309" s="14"/>
      <c r="Y309" s="2995"/>
      <c r="Z309" s="2995"/>
      <c r="AA309" s="2995"/>
      <c r="AB309" s="2995"/>
      <c r="AC309" s="2995"/>
      <c r="AD309" s="2995"/>
      <c r="AE309" s="2995"/>
      <c r="AF309" s="2995"/>
      <c r="AG309" s="2995"/>
      <c r="AH309" s="2995"/>
      <c r="AI309" s="2995"/>
      <c r="AJ309" s="2995"/>
      <c r="AK309" s="2995"/>
      <c r="AL309" s="2995"/>
      <c r="AM309" s="2995"/>
      <c r="AN309" s="2995"/>
      <c r="AO309" s="2995"/>
      <c r="AP309" s="2995"/>
      <c r="AQ309" s="2995"/>
      <c r="AR309" s="2995"/>
    </row>
    <row r="310" spans="1:44" ht="18" customHeight="1" x14ac:dyDescent="0.25">
      <c r="A310" s="2990" t="s">
        <v>5622</v>
      </c>
      <c r="B310" s="2990">
        <v>1.1000000000000001</v>
      </c>
      <c r="C310" s="2990">
        <v>2.1</v>
      </c>
      <c r="D310" s="2990">
        <v>11</v>
      </c>
      <c r="E310" s="2990">
        <v>7</v>
      </c>
      <c r="F310" s="2990">
        <v>467</v>
      </c>
      <c r="G310" s="2990">
        <v>14</v>
      </c>
      <c r="H310" s="2990">
        <v>360</v>
      </c>
      <c r="I310" s="2990">
        <v>7200</v>
      </c>
      <c r="J310" s="2990">
        <v>770</v>
      </c>
      <c r="K310" s="2990">
        <v>21.5</v>
      </c>
      <c r="L310" s="2027">
        <v>0.63</v>
      </c>
      <c r="M310" s="2990">
        <v>0.8</v>
      </c>
      <c r="N310" s="71">
        <v>2</v>
      </c>
      <c r="O310" s="3006">
        <v>12</v>
      </c>
      <c r="Q310" s="14"/>
      <c r="R310" s="15"/>
      <c r="S310" s="14"/>
      <c r="T310" s="14"/>
      <c r="U310" s="14"/>
      <c r="V310" s="14"/>
      <c r="W310" s="315"/>
      <c r="X310" s="14"/>
      <c r="Y310" s="2995"/>
      <c r="Z310" s="2995"/>
      <c r="AA310" s="2995"/>
      <c r="AB310" s="2995"/>
      <c r="AC310" s="2995"/>
      <c r="AD310" s="2995"/>
      <c r="AE310" s="2995"/>
      <c r="AF310" s="2995"/>
      <c r="AG310" s="2995"/>
      <c r="AH310" s="2995"/>
      <c r="AI310" s="2995"/>
      <c r="AJ310" s="2995"/>
      <c r="AK310" s="2995"/>
      <c r="AL310" s="2995"/>
      <c r="AM310" s="2995"/>
      <c r="AN310" s="2995"/>
      <c r="AO310" s="2995"/>
      <c r="AP310" s="2995"/>
      <c r="AQ310" s="2995"/>
      <c r="AR310" s="2995"/>
    </row>
    <row r="311" spans="1:44" ht="18" customHeight="1" x14ac:dyDescent="0.25">
      <c r="A311" s="2990" t="s">
        <v>5624</v>
      </c>
      <c r="B311" s="2990">
        <v>1.35</v>
      </c>
      <c r="C311" s="2990">
        <v>3.2</v>
      </c>
      <c r="D311" s="2990">
        <v>18</v>
      </c>
      <c r="E311" s="2990">
        <v>8</v>
      </c>
      <c r="F311" s="2990">
        <v>697</v>
      </c>
      <c r="G311" s="2990">
        <v>20</v>
      </c>
      <c r="H311" s="2990">
        <v>450</v>
      </c>
      <c r="I311" s="2990">
        <v>8620</v>
      </c>
      <c r="J311" s="2990">
        <v>1150</v>
      </c>
      <c r="K311" s="2990">
        <v>33.5</v>
      </c>
      <c r="L311" s="2027">
        <v>0.8</v>
      </c>
      <c r="M311" s="2990">
        <v>0.8</v>
      </c>
      <c r="N311" s="71">
        <v>2</v>
      </c>
      <c r="O311" s="3006">
        <v>13</v>
      </c>
      <c r="Q311" s="14"/>
      <c r="R311" s="15"/>
      <c r="S311" s="14"/>
      <c r="T311" s="14"/>
      <c r="U311" s="14"/>
      <c r="V311" s="14"/>
      <c r="W311" s="315"/>
      <c r="X311" s="14"/>
      <c r="Y311" s="2995"/>
      <c r="Z311" s="2995"/>
      <c r="AA311" s="2995"/>
      <c r="AB311" s="2995"/>
      <c r="AC311" s="2995"/>
      <c r="AD311" s="2995"/>
      <c r="AE311" s="2995"/>
      <c r="AF311" s="2995"/>
      <c r="AG311" s="2995"/>
      <c r="AH311" s="2995"/>
      <c r="AI311" s="2995"/>
      <c r="AJ311" s="2995"/>
      <c r="AK311" s="2995"/>
      <c r="AL311" s="2995"/>
      <c r="AM311" s="2995"/>
      <c r="AN311" s="2995"/>
      <c r="AO311" s="2995"/>
      <c r="AP311" s="2995"/>
      <c r="AQ311" s="2995"/>
      <c r="AR311" s="2995"/>
    </row>
    <row r="312" spans="1:44" ht="18" customHeight="1" x14ac:dyDescent="0.25">
      <c r="A312" s="2990" t="s">
        <v>5655</v>
      </c>
      <c r="B312" s="2990">
        <v>1.35</v>
      </c>
      <c r="C312" s="2990">
        <v>3.2</v>
      </c>
      <c r="D312" s="2990">
        <v>18</v>
      </c>
      <c r="E312" s="2990">
        <v>8</v>
      </c>
      <c r="F312" s="2990">
        <v>697</v>
      </c>
      <c r="G312" s="2990">
        <v>20</v>
      </c>
      <c r="H312" s="2990">
        <v>450</v>
      </c>
      <c r="I312" s="2990">
        <v>9420</v>
      </c>
      <c r="J312" s="2990">
        <v>1150</v>
      </c>
      <c r="K312" s="2990">
        <v>34.5</v>
      </c>
      <c r="L312" s="2027">
        <v>0.8</v>
      </c>
      <c r="M312" s="2990">
        <v>0.8</v>
      </c>
      <c r="N312" s="71">
        <v>2</v>
      </c>
      <c r="O312" s="3006">
        <v>14</v>
      </c>
      <c r="Q312" s="14"/>
      <c r="R312" s="15"/>
      <c r="S312" s="14"/>
      <c r="T312" s="14"/>
      <c r="U312" s="14"/>
      <c r="V312" s="14"/>
      <c r="W312" s="315"/>
      <c r="X312" s="14"/>
      <c r="Y312" s="2995"/>
      <c r="Z312" s="2995"/>
      <c r="AA312" s="2995"/>
      <c r="AB312" s="2995"/>
      <c r="AC312" s="2995"/>
      <c r="AD312" s="2995"/>
      <c r="AE312" s="2995"/>
      <c r="AF312" s="2995"/>
      <c r="AG312" s="2995"/>
      <c r="AH312" s="2995"/>
      <c r="AI312" s="2995"/>
      <c r="AJ312" s="2995"/>
      <c r="AK312" s="2995"/>
      <c r="AL312" s="2995"/>
      <c r="AM312" s="2995"/>
      <c r="AN312" s="2995"/>
      <c r="AO312" s="2995"/>
      <c r="AP312" s="2995"/>
      <c r="AQ312" s="2995"/>
      <c r="AR312" s="2995"/>
    </row>
    <row r="313" spans="1:44" ht="18" customHeight="1" x14ac:dyDescent="0.2">
      <c r="A313" s="308"/>
      <c r="D313" s="2996"/>
      <c r="G313" s="1180"/>
      <c r="Q313" s="14"/>
      <c r="R313" s="15"/>
      <c r="S313" s="14"/>
      <c r="T313" s="14"/>
      <c r="U313" s="14"/>
      <c r="V313" s="14"/>
      <c r="W313" s="315"/>
      <c r="X313" s="14"/>
      <c r="Y313" s="2995"/>
      <c r="Z313" s="2995"/>
      <c r="AA313" s="2995"/>
      <c r="AB313" s="2995"/>
      <c r="AC313" s="2995"/>
      <c r="AD313" s="2995"/>
      <c r="AE313" s="2995"/>
      <c r="AF313" s="2995"/>
      <c r="AG313" s="2995"/>
      <c r="AH313" s="2995"/>
      <c r="AI313" s="2995"/>
      <c r="AJ313" s="2995"/>
      <c r="AK313" s="2995"/>
      <c r="AL313" s="2995"/>
      <c r="AM313" s="2995"/>
      <c r="AN313" s="2995"/>
      <c r="AO313" s="2995"/>
      <c r="AP313" s="2995"/>
      <c r="AQ313" s="2995"/>
      <c r="AR313" s="2995"/>
    </row>
    <row r="314" spans="1:44" ht="18" customHeight="1" x14ac:dyDescent="0.25">
      <c r="A314" s="825" t="s">
        <v>5729</v>
      </c>
      <c r="D314" s="223"/>
      <c r="F314" s="3061"/>
      <c r="G314" s="848"/>
      <c r="Q314" s="14"/>
      <c r="R314" s="15"/>
      <c r="S314" s="14"/>
      <c r="T314" s="14"/>
      <c r="U314" s="14"/>
      <c r="V314" s="14"/>
      <c r="W314" s="315"/>
      <c r="X314" s="14"/>
      <c r="Y314" s="42"/>
      <c r="Z314" s="42"/>
      <c r="AA314" s="42"/>
      <c r="AB314" s="42"/>
      <c r="AC314" s="42"/>
      <c r="AD314" s="42"/>
      <c r="AE314" s="42"/>
      <c r="AF314" s="42"/>
      <c r="AG314" s="42"/>
      <c r="AH314" s="42"/>
      <c r="AI314" s="42"/>
      <c r="AJ314" s="42"/>
      <c r="AK314" s="42"/>
      <c r="AL314" s="42"/>
      <c r="AM314" s="42"/>
      <c r="AN314" s="42"/>
      <c r="AO314" s="42"/>
      <c r="AP314" s="42"/>
      <c r="AQ314" s="42"/>
      <c r="AR314" s="42"/>
    </row>
    <row r="315" spans="1:44" ht="18" customHeight="1" x14ac:dyDescent="0.3">
      <c r="A315" s="3071" t="s">
        <v>5730</v>
      </c>
      <c r="D315" s="223"/>
      <c r="G315" s="848"/>
      <c r="O315" s="347"/>
      <c r="Q315" s="14"/>
      <c r="R315" s="15"/>
      <c r="S315" s="14"/>
      <c r="T315" s="14"/>
      <c r="U315" s="14"/>
      <c r="V315" s="14"/>
      <c r="W315" s="315"/>
      <c r="X315" s="14"/>
      <c r="Y315" s="42"/>
      <c r="Z315" s="42"/>
      <c r="AA315" s="42"/>
      <c r="AB315" s="42"/>
      <c r="AC315" s="42"/>
      <c r="AD315" s="42"/>
      <c r="AE315" s="42"/>
      <c r="AF315" s="42"/>
      <c r="AG315" s="42"/>
      <c r="AH315" s="42"/>
      <c r="AI315" s="42"/>
      <c r="AJ315" s="42"/>
      <c r="AK315" s="42"/>
      <c r="AL315" s="42"/>
      <c r="AM315" s="42"/>
      <c r="AN315" s="42"/>
      <c r="AO315" s="42"/>
      <c r="AP315" s="42"/>
      <c r="AQ315" s="42"/>
      <c r="AR315" s="42"/>
    </row>
    <row r="316" spans="1:44" ht="100.5" customHeight="1" x14ac:dyDescent="0.3">
      <c r="A316" s="3071"/>
      <c r="C316" s="2987" t="s">
        <v>5644</v>
      </c>
      <c r="D316" s="2987" t="s">
        <v>5646</v>
      </c>
      <c r="E316" s="2987" t="s">
        <v>3662</v>
      </c>
      <c r="F316" s="2927" t="s">
        <v>5650</v>
      </c>
      <c r="G316" s="3074" t="s">
        <v>5744</v>
      </c>
      <c r="H316" s="3074" t="s">
        <v>5745</v>
      </c>
      <c r="O316" s="347"/>
      <c r="Q316" s="14"/>
      <c r="R316" s="15"/>
      <c r="S316" s="14"/>
      <c r="T316" s="14"/>
      <c r="U316" s="14"/>
      <c r="V316" s="14"/>
      <c r="W316" s="315"/>
      <c r="X316" s="14"/>
      <c r="Y316" s="3036"/>
      <c r="Z316" s="3036"/>
      <c r="AA316" s="3036"/>
      <c r="AB316" s="3036"/>
      <c r="AC316" s="3036"/>
      <c r="AD316" s="3036"/>
      <c r="AE316" s="3036"/>
      <c r="AF316" s="3036"/>
      <c r="AG316" s="3036"/>
      <c r="AH316" s="3036"/>
      <c r="AI316" s="3036"/>
      <c r="AJ316" s="3036"/>
      <c r="AK316" s="3036"/>
      <c r="AL316" s="3036"/>
      <c r="AM316" s="3036"/>
      <c r="AN316" s="3036"/>
      <c r="AO316" s="3036"/>
      <c r="AP316" s="3036"/>
      <c r="AQ316" s="3036"/>
      <c r="AR316" s="3036"/>
    </row>
    <row r="317" spans="1:44" ht="18" customHeight="1" x14ac:dyDescent="0.25">
      <c r="A317" s="1392" t="s">
        <v>5731</v>
      </c>
      <c r="B317" s="3061"/>
      <c r="C317" s="3041" t="e">
        <f>INDEX($E$299:$E$312,B318)</f>
        <v>#VALUE!</v>
      </c>
      <c r="D317" s="3072" t="e">
        <f>INDEX($G$299:$G$312,B318)</f>
        <v>#VALUE!</v>
      </c>
      <c r="E317" s="3041" t="e">
        <f>INDEX($K$299:$K$312,B318)</f>
        <v>#VALUE!</v>
      </c>
      <c r="F317" s="3041" t="e">
        <f>INDEX($N$299:$N$312,B318)</f>
        <v>#VALUE!</v>
      </c>
      <c r="G317" s="232" t="e">
        <f>INDEX($L$299:$L$312,B318)</f>
        <v>#VALUE!</v>
      </c>
      <c r="H317" s="3041" t="e">
        <f>INDEX($M$299:$M$312,B318)</f>
        <v>#VALUE!</v>
      </c>
      <c r="Q317" s="14"/>
      <c r="R317" s="15"/>
      <c r="S317" s="14"/>
      <c r="T317" s="14"/>
      <c r="U317" s="14"/>
      <c r="V317" s="14"/>
      <c r="W317" s="315"/>
      <c r="X317" s="14"/>
      <c r="Y317" s="42"/>
      <c r="Z317" s="42"/>
      <c r="AA317" s="42"/>
      <c r="AB317" s="42"/>
      <c r="AC317" s="42"/>
      <c r="AD317" s="42"/>
      <c r="AE317" s="42"/>
      <c r="AF317" s="42"/>
      <c r="AG317" s="42"/>
      <c r="AH317" s="42"/>
      <c r="AI317" s="42"/>
      <c r="AJ317" s="42"/>
      <c r="AK317" s="42"/>
      <c r="AL317" s="42"/>
      <c r="AM317" s="42"/>
      <c r="AN317" s="42"/>
      <c r="AO317" s="42"/>
      <c r="AP317" s="42"/>
      <c r="AQ317" s="42"/>
      <c r="AR317" s="42"/>
    </row>
    <row r="318" spans="1:44" ht="18" customHeight="1" x14ac:dyDescent="0.25">
      <c r="A318" s="1392" t="s">
        <v>5732</v>
      </c>
      <c r="B318" s="3061"/>
      <c r="C318" s="3041"/>
      <c r="D318" s="3072"/>
      <c r="E318" s="3041"/>
      <c r="F318" s="3041"/>
      <c r="G318" s="232"/>
      <c r="H318" s="3041"/>
      <c r="Q318" s="14"/>
      <c r="R318" s="15"/>
      <c r="S318" s="14"/>
      <c r="T318" s="14"/>
      <c r="U318" s="14"/>
      <c r="V318" s="14"/>
      <c r="W318" s="315"/>
      <c r="X318" s="14"/>
      <c r="Y318" s="42"/>
      <c r="Z318" s="42"/>
      <c r="AA318" s="42"/>
      <c r="AB318" s="42"/>
      <c r="AC318" s="42"/>
      <c r="AD318" s="42"/>
      <c r="AE318" s="42"/>
      <c r="AF318" s="42"/>
      <c r="AG318" s="42"/>
      <c r="AH318" s="42"/>
      <c r="AI318" s="42"/>
      <c r="AJ318" s="42"/>
      <c r="AK318" s="42"/>
      <c r="AL318" s="42"/>
      <c r="AM318" s="42"/>
      <c r="AN318" s="42"/>
      <c r="AO318" s="42"/>
      <c r="AP318" s="42"/>
      <c r="AQ318" s="42"/>
      <c r="AR318" s="42"/>
    </row>
    <row r="319" spans="1:44" ht="18" customHeight="1" x14ac:dyDescent="0.25">
      <c r="A319" s="1392" t="str">
        <f>IF(F314&gt;1,"2-ой возможный тип комбайна","")</f>
        <v/>
      </c>
      <c r="B319" s="3061"/>
      <c r="C319" s="3041" t="str">
        <f>IF(F314&gt;1,INDEX($E$299:$E$312,B320),"")</f>
        <v/>
      </c>
      <c r="D319" s="3072" t="str">
        <f>IF(F314&gt;1,INDEX($G$299:$G$312,B320),"")</f>
        <v/>
      </c>
      <c r="E319" s="3041" t="str">
        <f>IF(F314&gt;1,INDEX($K$299:$K$312,B320),"")</f>
        <v/>
      </c>
      <c r="F319" s="3041" t="str">
        <f>IF(F314&gt;1,INDEX($N$299:$N$312,B320),"")</f>
        <v/>
      </c>
      <c r="G319" s="232" t="e">
        <f>INDEX($L$299:$L$312,B320)</f>
        <v>#VALUE!</v>
      </c>
      <c r="H319" s="3041" t="e">
        <f>INDEX($M$299:$M$312,B320)</f>
        <v>#VALUE!</v>
      </c>
      <c r="Q319" s="14"/>
      <c r="R319" s="15"/>
      <c r="S319" s="14"/>
      <c r="T319" s="14"/>
      <c r="U319" s="14"/>
      <c r="V319" s="14"/>
      <c r="W319" s="315"/>
      <c r="X319" s="14"/>
      <c r="Y319" s="42"/>
      <c r="Z319" s="42"/>
      <c r="AA319" s="42"/>
      <c r="AB319" s="42"/>
      <c r="AC319" s="42"/>
      <c r="AD319" s="42"/>
      <c r="AE319" s="42"/>
      <c r="AF319" s="42"/>
      <c r="AG319" s="42"/>
      <c r="AH319" s="42"/>
      <c r="AI319" s="42"/>
      <c r="AJ319" s="42"/>
      <c r="AK319" s="42"/>
      <c r="AL319" s="42"/>
      <c r="AM319" s="42"/>
      <c r="AN319" s="42"/>
      <c r="AO319" s="42"/>
      <c r="AP319" s="42"/>
      <c r="AQ319" s="42"/>
      <c r="AR319" s="42"/>
    </row>
    <row r="320" spans="1:44" ht="18" customHeight="1" x14ac:dyDescent="0.25">
      <c r="A320" s="1392" t="str">
        <f>IF(F314&gt;1,"Его номер в таблице комбайнов","")</f>
        <v/>
      </c>
      <c r="B320" s="3061"/>
      <c r="C320" s="3041"/>
      <c r="D320" s="3072"/>
      <c r="E320" s="3041"/>
      <c r="F320" s="3041"/>
      <c r="G320" s="232"/>
      <c r="H320" s="3041"/>
      <c r="Q320" s="14"/>
      <c r="R320" s="15"/>
      <c r="S320" s="14"/>
      <c r="T320" s="14"/>
      <c r="U320" s="14"/>
      <c r="V320" s="14"/>
      <c r="W320" s="315"/>
      <c r="X320" s="14"/>
      <c r="Y320" s="42"/>
      <c r="Z320" s="42"/>
      <c r="AA320" s="42"/>
      <c r="AB320" s="42"/>
      <c r="AC320" s="42"/>
      <c r="AD320" s="42"/>
      <c r="AE320" s="42"/>
      <c r="AF320" s="42"/>
      <c r="AG320" s="42"/>
      <c r="AH320" s="42"/>
      <c r="AI320" s="42"/>
      <c r="AJ320" s="42"/>
      <c r="AK320" s="42"/>
      <c r="AL320" s="42"/>
      <c r="AM320" s="42"/>
      <c r="AN320" s="42"/>
      <c r="AO320" s="42"/>
      <c r="AP320" s="42"/>
      <c r="AQ320" s="42"/>
      <c r="AR320" s="42"/>
    </row>
    <row r="321" spans="1:44" ht="18" customHeight="1" x14ac:dyDescent="0.25">
      <c r="A321" s="1392" t="str">
        <f>IF(F314&gt;2,"3-ий возможный тип комбайна","")</f>
        <v/>
      </c>
      <c r="B321" s="3061"/>
      <c r="C321" s="3041" t="str">
        <f>IF(F314&gt;2,INDEX($E$299:$E$312,B322),"")</f>
        <v/>
      </c>
      <c r="D321" s="3072" t="str">
        <f>IF(F314&gt;2,INDEX($G$299:$G$312,B322),"")</f>
        <v/>
      </c>
      <c r="E321" s="3041" t="str">
        <f>IF(F314&gt;2,INDEX($K$299:$K$312,B322),"")</f>
        <v/>
      </c>
      <c r="F321" s="3041" t="str">
        <f>IF(F314&gt;2,INDEX($N$299:$N$312,B322),"")</f>
        <v/>
      </c>
      <c r="G321" s="232" t="e">
        <f>INDEX($L$299:$L$312,B322)</f>
        <v>#VALUE!</v>
      </c>
      <c r="H321" s="3041" t="e">
        <f>INDEX($M$299:$M$312,B322)</f>
        <v>#VALUE!</v>
      </c>
      <c r="Q321" s="14"/>
      <c r="R321" s="15"/>
      <c r="S321" s="14"/>
      <c r="T321" s="14"/>
      <c r="U321" s="14"/>
      <c r="V321" s="14"/>
      <c r="W321" s="315"/>
      <c r="X321" s="14"/>
      <c r="Y321" s="2995"/>
      <c r="Z321" s="2995"/>
      <c r="AA321" s="2995"/>
      <c r="AB321" s="2995"/>
      <c r="AC321" s="2995"/>
      <c r="AD321" s="2995"/>
      <c r="AE321" s="2995"/>
      <c r="AF321" s="2995"/>
      <c r="AG321" s="2995"/>
      <c r="AH321" s="2995"/>
      <c r="AI321" s="2995"/>
      <c r="AJ321" s="2995"/>
      <c r="AK321" s="2995"/>
      <c r="AL321" s="2995"/>
      <c r="AM321" s="2995"/>
      <c r="AN321" s="2995"/>
      <c r="AO321" s="2995"/>
      <c r="AP321" s="2995"/>
      <c r="AQ321" s="2995"/>
      <c r="AR321" s="2995"/>
    </row>
    <row r="322" spans="1:44" ht="22.5" customHeight="1" x14ac:dyDescent="0.25">
      <c r="A322" s="1392" t="str">
        <f>IF(F314&gt;2,"Его номер в таблице комбайнов","")</f>
        <v/>
      </c>
      <c r="B322" s="3061"/>
      <c r="C322" s="3041"/>
      <c r="D322" s="3072"/>
      <c r="E322" s="3041"/>
      <c r="F322" s="3041"/>
      <c r="G322" s="232"/>
      <c r="H322" s="3041"/>
      <c r="Q322" s="14"/>
      <c r="R322" s="15"/>
      <c r="S322" s="14"/>
      <c r="T322" s="14"/>
      <c r="U322" s="14"/>
      <c r="V322" s="14"/>
      <c r="W322" s="315"/>
      <c r="X322" s="14"/>
      <c r="Y322" s="2995"/>
      <c r="Z322" s="2995"/>
      <c r="AA322" s="2995"/>
      <c r="AB322" s="2995"/>
      <c r="AC322" s="2995"/>
      <c r="AD322" s="2995"/>
      <c r="AE322" s="2995"/>
      <c r="AF322" s="2995"/>
      <c r="AG322" s="2995"/>
      <c r="AH322" s="2995"/>
      <c r="AI322" s="2995"/>
      <c r="AJ322" s="2995"/>
      <c r="AK322" s="2995"/>
      <c r="AL322" s="2995"/>
      <c r="AM322" s="2995"/>
      <c r="AN322" s="2995"/>
      <c r="AO322" s="2995"/>
      <c r="AP322" s="2995"/>
      <c r="AQ322" s="2995"/>
      <c r="AR322" s="2995"/>
    </row>
    <row r="323" spans="1:44" ht="18" customHeight="1" x14ac:dyDescent="0.2">
      <c r="A323" s="2027" t="str">
        <f>IF(F314&gt;3,"4-ый возможный тип кмбайна","")</f>
        <v/>
      </c>
      <c r="B323" s="3061"/>
      <c r="C323" s="3041" t="str">
        <f>IF(F314&gt;3,INDEX($E$299:$E$312,B324),"")</f>
        <v/>
      </c>
      <c r="D323" s="3072" t="str">
        <f>IF(F314&gt;3,INDEX($G$299:$G$312,B324),"")</f>
        <v/>
      </c>
      <c r="E323" s="3041" t="str">
        <f>IF(F314&gt;3,INDEX($K$299:$K$312,B324),"")</f>
        <v/>
      </c>
      <c r="F323" s="3041" t="str">
        <f>IF(F314&gt;3,INDEX($N$299:$N$312,B324),"")</f>
        <v/>
      </c>
      <c r="G323" s="232" t="e">
        <f>INDEX($L$299:$L$312,B324)</f>
        <v>#VALUE!</v>
      </c>
      <c r="H323" s="3041" t="e">
        <f>INDEX($M$299:$M$312,B324)</f>
        <v>#VALUE!</v>
      </c>
      <c r="Q323" s="14"/>
      <c r="R323" s="15"/>
      <c r="S323" s="14"/>
      <c r="T323" s="14"/>
      <c r="U323" s="14"/>
      <c r="V323" s="14"/>
      <c r="W323" s="315"/>
      <c r="X323" s="14"/>
      <c r="Y323" s="2995"/>
      <c r="Z323" s="2995"/>
      <c r="AA323" s="2995"/>
      <c r="AB323" s="2995"/>
      <c r="AC323" s="2995"/>
      <c r="AD323" s="2995"/>
      <c r="AE323" s="2995"/>
      <c r="AF323" s="2995"/>
      <c r="AG323" s="2995"/>
      <c r="AH323" s="2995"/>
      <c r="AI323" s="2995"/>
      <c r="AJ323" s="2995"/>
      <c r="AK323" s="2995"/>
      <c r="AL323" s="2995"/>
      <c r="AM323" s="2995"/>
      <c r="AN323" s="2995"/>
      <c r="AO323" s="2995"/>
      <c r="AP323" s="2995"/>
      <c r="AQ323" s="2995"/>
      <c r="AR323" s="2995"/>
    </row>
    <row r="324" spans="1:44" ht="18" customHeight="1" x14ac:dyDescent="0.25">
      <c r="A324" s="1392" t="str">
        <f>IF(F314&gt;3,"Его номер в таблице комбайнов","")</f>
        <v/>
      </c>
      <c r="B324" s="3061"/>
      <c r="C324" s="3041"/>
      <c r="D324" s="3072"/>
      <c r="E324" s="3041"/>
      <c r="F324" s="3041"/>
      <c r="G324" s="232"/>
      <c r="H324" s="3041"/>
      <c r="Q324" s="14"/>
      <c r="R324" s="15"/>
      <c r="S324" s="14"/>
      <c r="T324" s="14"/>
      <c r="U324" s="14"/>
      <c r="V324" s="14"/>
      <c r="W324" s="315"/>
      <c r="X324" s="14"/>
      <c r="Y324" s="2995"/>
      <c r="Z324" s="2995"/>
      <c r="AA324" s="2995"/>
      <c r="AB324" s="2995"/>
      <c r="AC324" s="2995"/>
      <c r="AD324" s="2995"/>
      <c r="AE324" s="2995"/>
      <c r="AF324" s="2995"/>
      <c r="AG324" s="2995"/>
      <c r="AH324" s="2995"/>
      <c r="AI324" s="2995"/>
      <c r="AJ324" s="2995"/>
      <c r="AK324" s="2995"/>
      <c r="AL324" s="2995"/>
      <c r="AM324" s="2995"/>
      <c r="AN324" s="2995"/>
      <c r="AO324" s="2995"/>
      <c r="AP324" s="2995"/>
      <c r="AQ324" s="2995"/>
      <c r="AR324" s="2995"/>
    </row>
    <row r="325" spans="1:44" ht="18" customHeight="1" x14ac:dyDescent="0.25">
      <c r="A325" s="1392" t="str">
        <f>IF(F314&gt;4,"5-ый возможный тип комбайна","")</f>
        <v/>
      </c>
      <c r="B325" s="3061"/>
      <c r="C325" s="3041" t="str">
        <f>IF(F314&gt;4,INDEX($E$299:$E$312,B326),"")</f>
        <v/>
      </c>
      <c r="D325" s="3072" t="str">
        <f>IF(F314&gt;4,INDEX($G$299:$G$312,B326),"")</f>
        <v/>
      </c>
      <c r="E325" s="3041" t="str">
        <f>IF(F314&gt;4,INDEX($K$299:$K$312,B326),"")</f>
        <v/>
      </c>
      <c r="F325" s="3041" t="str">
        <f>IF(F314&gt;4,INDEX($N$299:$N$312,B326),"")</f>
        <v/>
      </c>
      <c r="G325" s="232" t="e">
        <f>INDEX($L$299:$L$312,B326)</f>
        <v>#VALUE!</v>
      </c>
      <c r="H325" s="3041" t="e">
        <f>INDEX($M$299:$M$312,B326)</f>
        <v>#VALUE!</v>
      </c>
      <c r="Q325" s="14"/>
      <c r="R325" s="15"/>
      <c r="S325" s="14"/>
      <c r="T325" s="14"/>
      <c r="U325" s="14"/>
      <c r="V325" s="14"/>
      <c r="W325" s="315"/>
      <c r="X325" s="14"/>
      <c r="Y325" s="2995"/>
      <c r="Z325" s="2995"/>
      <c r="AA325" s="2995"/>
      <c r="AB325" s="2995"/>
      <c r="AC325" s="2995"/>
      <c r="AD325" s="2995"/>
      <c r="AE325" s="2995"/>
      <c r="AF325" s="2995"/>
      <c r="AG325" s="2995"/>
      <c r="AH325" s="2995"/>
      <c r="AI325" s="2995"/>
      <c r="AJ325" s="2995"/>
      <c r="AK325" s="2995"/>
      <c r="AL325" s="2995"/>
      <c r="AM325" s="2995"/>
      <c r="AN325" s="2995"/>
      <c r="AO325" s="2995"/>
      <c r="AP325" s="2995"/>
      <c r="AQ325" s="2995"/>
      <c r="AR325" s="2995"/>
    </row>
    <row r="326" spans="1:44" ht="18" customHeight="1" x14ac:dyDescent="0.2">
      <c r="A326" s="2027" t="str">
        <f>IF(F314&gt;4,"Его номер в таблице комбайнов","")</f>
        <v/>
      </c>
      <c r="B326" s="3061"/>
      <c r="C326" s="3041"/>
      <c r="D326" s="3072"/>
      <c r="E326" s="3041"/>
      <c r="F326" s="3041"/>
      <c r="G326" s="232"/>
      <c r="H326" s="3041"/>
      <c r="Q326" s="14"/>
      <c r="R326" s="15"/>
      <c r="S326" s="14"/>
      <c r="T326" s="14"/>
      <c r="U326" s="14"/>
      <c r="V326" s="14"/>
      <c r="W326" s="315"/>
      <c r="X326" s="14"/>
      <c r="Y326" s="2995"/>
      <c r="Z326" s="2995"/>
      <c r="AA326" s="2995"/>
      <c r="AB326" s="2995"/>
      <c r="AC326" s="2995"/>
      <c r="AD326" s="2995"/>
      <c r="AE326" s="2995"/>
      <c r="AF326" s="2995"/>
      <c r="AG326" s="2995"/>
      <c r="AH326" s="2995"/>
      <c r="AI326" s="2995"/>
      <c r="AJ326" s="2995"/>
      <c r="AK326" s="2995"/>
      <c r="AL326" s="2995"/>
      <c r="AM326" s="2995"/>
      <c r="AN326" s="2995"/>
      <c r="AO326" s="2995"/>
      <c r="AP326" s="2995"/>
      <c r="AQ326" s="2995"/>
      <c r="AR326" s="2995"/>
    </row>
    <row r="327" spans="1:44" ht="18" customHeight="1" x14ac:dyDescent="0.25">
      <c r="A327" s="4182" t="s">
        <v>6755</v>
      </c>
      <c r="Q327" s="14"/>
      <c r="R327" s="15"/>
      <c r="S327" s="14"/>
      <c r="T327" s="14"/>
      <c r="U327" s="14"/>
      <c r="V327" s="14"/>
      <c r="W327" s="315"/>
      <c r="X327" s="14"/>
      <c r="Y327" s="2995"/>
      <c r="Z327" s="2995"/>
      <c r="AA327" s="2995"/>
      <c r="AB327" s="2995"/>
      <c r="AC327" s="2995"/>
      <c r="AD327" s="2995"/>
      <c r="AE327" s="2995"/>
      <c r="AF327" s="2995"/>
      <c r="AG327" s="2995"/>
      <c r="AH327" s="2995"/>
      <c r="AI327" s="2995"/>
      <c r="AJ327" s="2995"/>
      <c r="AK327" s="2995"/>
      <c r="AL327" s="2995"/>
      <c r="AM327" s="2995"/>
      <c r="AN327" s="2995"/>
      <c r="AO327" s="2995"/>
      <c r="AP327" s="2995"/>
      <c r="AQ327" s="2995"/>
      <c r="AR327" s="2995"/>
    </row>
    <row r="328" spans="1:44" ht="18" customHeight="1" x14ac:dyDescent="0.25">
      <c r="A328" s="1090" t="s">
        <v>5736</v>
      </c>
      <c r="B328" s="3061"/>
      <c r="Q328" s="14"/>
      <c r="R328" s="15"/>
      <c r="S328" s="14"/>
      <c r="T328" s="14"/>
      <c r="U328" s="14"/>
      <c r="V328" s="14"/>
      <c r="W328" s="315"/>
      <c r="X328" s="14"/>
      <c r="Y328" s="2995"/>
      <c r="Z328" s="2995"/>
      <c r="AA328" s="2995"/>
      <c r="AB328" s="2995"/>
      <c r="AC328" s="2995"/>
      <c r="AD328" s="2995"/>
      <c r="AE328" s="2995"/>
      <c r="AF328" s="2995"/>
      <c r="AG328" s="2995"/>
      <c r="AH328" s="2995"/>
      <c r="AI328" s="2995"/>
      <c r="AJ328" s="2995"/>
      <c r="AK328" s="2995"/>
      <c r="AL328" s="2995"/>
      <c r="AM328" s="2995"/>
      <c r="AN328" s="2995"/>
      <c r="AO328" s="2995"/>
      <c r="AP328" s="2995"/>
      <c r="AQ328" s="2995"/>
      <c r="AR328" s="2995"/>
    </row>
    <row r="329" spans="1:44" ht="18" customHeight="1" x14ac:dyDescent="0.25">
      <c r="A329" s="1090" t="s">
        <v>5737</v>
      </c>
      <c r="B329" s="3061"/>
      <c r="Q329" s="14"/>
      <c r="R329" s="15"/>
      <c r="S329" s="14"/>
      <c r="T329" s="14"/>
      <c r="U329" s="14"/>
      <c r="V329" s="14"/>
      <c r="W329" s="315"/>
      <c r="X329" s="14"/>
      <c r="Y329" s="2995"/>
      <c r="Z329" s="2995"/>
      <c r="AA329" s="2995"/>
      <c r="AB329" s="2995"/>
      <c r="AC329" s="2995"/>
      <c r="AD329" s="2995"/>
      <c r="AE329" s="2995"/>
      <c r="AF329" s="2995"/>
      <c r="AG329" s="2995"/>
      <c r="AH329" s="2995"/>
      <c r="AI329" s="2995"/>
      <c r="AJ329" s="2995"/>
      <c r="AK329" s="2995"/>
      <c r="AL329" s="2995"/>
      <c r="AM329" s="2995"/>
      <c r="AN329" s="2995"/>
      <c r="AO329" s="2995"/>
      <c r="AP329" s="2995"/>
      <c r="AQ329" s="2995"/>
      <c r="AR329" s="2995"/>
    </row>
    <row r="330" spans="1:44" ht="18" customHeight="1" x14ac:dyDescent="0.25">
      <c r="A330" s="1090" t="s">
        <v>3672</v>
      </c>
      <c r="B330" s="4159"/>
      <c r="Q330" s="14"/>
      <c r="R330" s="15"/>
      <c r="S330" s="14"/>
      <c r="T330" s="14"/>
      <c r="U330" s="14"/>
      <c r="V330" s="14"/>
      <c r="W330" s="315"/>
      <c r="X330" s="14"/>
      <c r="Y330" s="2995"/>
      <c r="Z330" s="2995"/>
      <c r="AA330" s="2995"/>
      <c r="AB330" s="2995"/>
      <c r="AC330" s="2995"/>
      <c r="AD330" s="2995"/>
      <c r="AE330" s="2995"/>
      <c r="AF330" s="2995"/>
      <c r="AG330" s="2995"/>
      <c r="AH330" s="2995"/>
      <c r="AI330" s="2995"/>
      <c r="AJ330" s="2995"/>
      <c r="AK330" s="2995"/>
      <c r="AL330" s="2995"/>
      <c r="AM330" s="2995"/>
      <c r="AN330" s="2995"/>
      <c r="AO330" s="2995"/>
      <c r="AP330" s="2995"/>
      <c r="AQ330" s="2995"/>
      <c r="AR330" s="2995"/>
    </row>
    <row r="331" spans="1:44" ht="18" customHeight="1" x14ac:dyDescent="0.25">
      <c r="A331" s="4262"/>
      <c r="B331" s="239"/>
      <c r="Q331" s="14"/>
      <c r="R331" s="15"/>
      <c r="S331" s="14"/>
      <c r="T331" s="14"/>
      <c r="U331" s="14"/>
      <c r="V331" s="14"/>
      <c r="W331" s="315"/>
      <c r="X331" s="14"/>
      <c r="Y331" s="4247"/>
      <c r="Z331" s="4247"/>
      <c r="AA331" s="4247"/>
      <c r="AB331" s="4247"/>
      <c r="AC331" s="4247"/>
      <c r="AD331" s="4247"/>
      <c r="AE331" s="4247"/>
      <c r="AF331" s="4247"/>
      <c r="AG331" s="4247"/>
      <c r="AH331" s="4247"/>
      <c r="AI331" s="4247"/>
      <c r="AJ331" s="4247"/>
      <c r="AK331" s="4247"/>
      <c r="AL331" s="4247"/>
      <c r="AM331" s="4247"/>
      <c r="AN331" s="4247"/>
      <c r="AO331" s="4247"/>
      <c r="AP331" s="4247"/>
      <c r="AQ331" s="4247"/>
      <c r="AR331" s="4247"/>
    </row>
    <row r="332" spans="1:44" ht="66" customHeight="1" x14ac:dyDescent="0.25">
      <c r="A332" s="4262" t="s">
        <v>6807</v>
      </c>
      <c r="B332" s="4249" t="s">
        <v>6810</v>
      </c>
      <c r="C332" s="4159"/>
      <c r="D332" s="4248" t="s">
        <v>6811</v>
      </c>
      <c r="E332" s="4159"/>
      <c r="F332" s="4248" t="s">
        <v>6808</v>
      </c>
      <c r="G332" s="4159">
        <v>1</v>
      </c>
      <c r="H332" s="4248" t="s">
        <v>6809</v>
      </c>
      <c r="I332" s="4159"/>
      <c r="Q332" s="14"/>
      <c r="R332" s="15"/>
      <c r="S332" s="14"/>
      <c r="T332" s="14"/>
      <c r="U332" s="14"/>
      <c r="V332" s="14"/>
      <c r="W332" s="315"/>
      <c r="X332" s="14"/>
      <c r="Y332" s="4247"/>
      <c r="Z332" s="4247"/>
      <c r="AA332" s="4247"/>
      <c r="AB332" s="4247"/>
      <c r="AC332" s="4247"/>
      <c r="AD332" s="4247"/>
      <c r="AE332" s="4247"/>
      <c r="AF332" s="4247"/>
      <c r="AG332" s="4247"/>
      <c r="AH332" s="4247"/>
      <c r="AI332" s="4247"/>
      <c r="AJ332" s="4247"/>
      <c r="AK332" s="4247"/>
      <c r="AL332" s="4247"/>
      <c r="AM332" s="4247"/>
      <c r="AN332" s="4247"/>
      <c r="AO332" s="4247"/>
      <c r="AP332" s="4247"/>
      <c r="AQ332" s="4247"/>
      <c r="AR332" s="4247"/>
    </row>
    <row r="333" spans="1:44" ht="18" customHeight="1" x14ac:dyDescent="0.25">
      <c r="A333" s="4262"/>
      <c r="B333" s="239"/>
      <c r="Q333" s="14"/>
      <c r="R333" s="15"/>
      <c r="S333" s="14"/>
      <c r="T333" s="14"/>
      <c r="U333" s="14"/>
      <c r="V333" s="14"/>
      <c r="W333" s="315"/>
      <c r="X333" s="14"/>
      <c r="Y333" s="4247"/>
      <c r="Z333" s="4247"/>
      <c r="AA333" s="4247"/>
      <c r="AB333" s="4247"/>
      <c r="AC333" s="4247"/>
      <c r="AD333" s="4247"/>
      <c r="AE333" s="4247"/>
      <c r="AF333" s="4247"/>
      <c r="AG333" s="4247"/>
      <c r="AH333" s="4247"/>
      <c r="AI333" s="4247"/>
      <c r="AJ333" s="4247"/>
      <c r="AK333" s="4247"/>
      <c r="AL333" s="4247"/>
      <c r="AM333" s="4247"/>
      <c r="AN333" s="4247"/>
      <c r="AO333" s="4247"/>
      <c r="AP333" s="4247"/>
      <c r="AQ333" s="4247"/>
      <c r="AR333" s="4247"/>
    </row>
    <row r="334" spans="1:44" ht="18" customHeight="1" x14ac:dyDescent="0.25">
      <c r="A334" s="4262"/>
      <c r="B334" s="239"/>
      <c r="Q334" s="14"/>
      <c r="R334" s="15"/>
      <c r="S334" s="14"/>
      <c r="T334" s="14"/>
      <c r="U334" s="14"/>
      <c r="V334" s="14"/>
      <c r="W334" s="315"/>
      <c r="X334" s="14"/>
      <c r="Y334" s="4247"/>
      <c r="Z334" s="4247"/>
      <c r="AA334" s="4247"/>
      <c r="AB334" s="4247"/>
      <c r="AC334" s="4247"/>
      <c r="AD334" s="4247"/>
      <c r="AE334" s="4247"/>
      <c r="AF334" s="4247"/>
      <c r="AG334" s="4247"/>
      <c r="AH334" s="4247"/>
      <c r="AI334" s="4247"/>
      <c r="AJ334" s="4247"/>
      <c r="AK334" s="4247"/>
      <c r="AL334" s="4247"/>
      <c r="AM334" s="4247"/>
      <c r="AN334" s="4247"/>
      <c r="AO334" s="4247"/>
      <c r="AP334" s="4247"/>
      <c r="AQ334" s="4247"/>
      <c r="AR334" s="4247"/>
    </row>
    <row r="335" spans="1:44" ht="18" customHeight="1" x14ac:dyDescent="0.25">
      <c r="A335" s="4262"/>
      <c r="B335" s="239"/>
      <c r="Q335" s="14"/>
      <c r="R335" s="15"/>
      <c r="S335" s="14"/>
      <c r="T335" s="14"/>
      <c r="U335" s="14"/>
      <c r="V335" s="14"/>
      <c r="W335" s="315"/>
      <c r="X335" s="14"/>
      <c r="Y335" s="4247"/>
      <c r="Z335" s="4247"/>
      <c r="AA335" s="4247"/>
      <c r="AB335" s="4247"/>
      <c r="AC335" s="4247"/>
      <c r="AD335" s="4247"/>
      <c r="AE335" s="4247"/>
      <c r="AF335" s="4247"/>
      <c r="AG335" s="4247"/>
      <c r="AH335" s="4247"/>
      <c r="AI335" s="4247"/>
      <c r="AJ335" s="4247"/>
      <c r="AK335" s="4247"/>
      <c r="AL335" s="4247"/>
      <c r="AM335" s="4247"/>
      <c r="AN335" s="4247"/>
      <c r="AO335" s="4247"/>
      <c r="AP335" s="4247"/>
      <c r="AQ335" s="4247"/>
      <c r="AR335" s="4247"/>
    </row>
    <row r="336" spans="1:44" ht="18" customHeight="1" x14ac:dyDescent="0.25">
      <c r="A336" s="4262"/>
      <c r="B336" s="239"/>
      <c r="Q336" s="14"/>
      <c r="R336" s="15"/>
      <c r="S336" s="14"/>
      <c r="T336" s="14"/>
      <c r="U336" s="14"/>
      <c r="V336" s="14"/>
      <c r="W336" s="315"/>
      <c r="X336" s="14"/>
      <c r="Y336" s="4247"/>
      <c r="Z336" s="4247"/>
      <c r="AA336" s="4247"/>
      <c r="AB336" s="4247"/>
      <c r="AC336" s="4247"/>
      <c r="AD336" s="4247"/>
      <c r="AE336" s="4247"/>
      <c r="AF336" s="4247"/>
      <c r="AG336" s="4247"/>
      <c r="AH336" s="4247"/>
      <c r="AI336" s="4247"/>
      <c r="AJ336" s="4247"/>
      <c r="AK336" s="4247"/>
      <c r="AL336" s="4247"/>
      <c r="AM336" s="4247"/>
      <c r="AN336" s="4247"/>
      <c r="AO336" s="4247"/>
      <c r="AP336" s="4247"/>
      <c r="AQ336" s="4247"/>
      <c r="AR336" s="4247"/>
    </row>
    <row r="337" spans="1:44" ht="18" customHeight="1" x14ac:dyDescent="0.25">
      <c r="A337" s="4262"/>
      <c r="B337" s="239"/>
      <c r="Q337" s="14"/>
      <c r="R337" s="15"/>
      <c r="S337" s="14"/>
      <c r="T337" s="14"/>
      <c r="U337" s="14"/>
      <c r="V337" s="14"/>
      <c r="W337" s="315"/>
      <c r="X337" s="14"/>
      <c r="Y337" s="4247"/>
      <c r="Z337" s="4247"/>
      <c r="AA337" s="4247"/>
      <c r="AB337" s="4247"/>
      <c r="AC337" s="4247"/>
      <c r="AD337" s="4247"/>
      <c r="AE337" s="4247"/>
      <c r="AF337" s="4247"/>
      <c r="AG337" s="4247"/>
      <c r="AH337" s="4247"/>
      <c r="AI337" s="4247"/>
      <c r="AJ337" s="4247"/>
      <c r="AK337" s="4247"/>
      <c r="AL337" s="4247"/>
      <c r="AM337" s="4247"/>
      <c r="AN337" s="4247"/>
      <c r="AO337" s="4247"/>
      <c r="AP337" s="4247"/>
      <c r="AQ337" s="4247"/>
      <c r="AR337" s="4247"/>
    </row>
    <row r="338" spans="1:44" ht="18" customHeight="1" x14ac:dyDescent="0.25">
      <c r="A338" s="4262"/>
      <c r="B338" s="239"/>
      <c r="Q338" s="14"/>
      <c r="R338" s="15"/>
      <c r="S338" s="14"/>
      <c r="T338" s="14"/>
      <c r="U338" s="14"/>
      <c r="V338" s="14"/>
      <c r="W338" s="315"/>
      <c r="X338" s="14"/>
      <c r="Y338" s="4247"/>
      <c r="Z338" s="4247"/>
      <c r="AA338" s="4247"/>
      <c r="AB338" s="4247"/>
      <c r="AC338" s="4247"/>
      <c r="AD338" s="4247"/>
      <c r="AE338" s="4247"/>
      <c r="AF338" s="4247"/>
      <c r="AG338" s="4247"/>
      <c r="AH338" s="4247"/>
      <c r="AI338" s="4247"/>
      <c r="AJ338" s="4247"/>
      <c r="AK338" s="4247"/>
      <c r="AL338" s="4247"/>
      <c r="AM338" s="4247"/>
      <c r="AN338" s="4247"/>
      <c r="AO338" s="4247"/>
      <c r="AP338" s="4247"/>
      <c r="AQ338" s="4247"/>
      <c r="AR338" s="4247"/>
    </row>
    <row r="339" spans="1:44" ht="18" customHeight="1" x14ac:dyDescent="0.25">
      <c r="A339" s="308" t="s">
        <v>3438</v>
      </c>
      <c r="D339" s="223"/>
      <c r="G339" s="848"/>
      <c r="Q339" s="14"/>
      <c r="R339" s="15"/>
      <c r="S339" s="14"/>
      <c r="T339" s="14"/>
      <c r="U339" s="14"/>
      <c r="V339" s="14"/>
      <c r="W339" s="315"/>
      <c r="X339" s="14"/>
      <c r="Y339" s="42"/>
      <c r="Z339" s="42"/>
      <c r="AA339" s="42"/>
      <c r="AB339" s="42"/>
      <c r="AC339" s="42"/>
      <c r="AD339" s="42"/>
      <c r="AE339" s="42"/>
      <c r="AF339" s="42"/>
      <c r="AG339" s="42"/>
      <c r="AH339" s="42"/>
      <c r="AI339" s="42"/>
      <c r="AJ339" s="42"/>
      <c r="AK339" s="42"/>
      <c r="AL339" s="42"/>
      <c r="AM339" s="42"/>
      <c r="AN339" s="42"/>
      <c r="AO339" s="42"/>
      <c r="AP339" s="42"/>
      <c r="AQ339" s="42"/>
      <c r="AR339" s="42"/>
    </row>
    <row r="340" spans="1:44" ht="18" customHeight="1" x14ac:dyDescent="0.25">
      <c r="A340" s="908" t="s">
        <v>622</v>
      </c>
      <c r="D340" s="223"/>
      <c r="G340" s="848"/>
      <c r="Q340" s="14"/>
      <c r="R340" s="15"/>
      <c r="S340" s="14"/>
      <c r="T340" s="14"/>
      <c r="U340" s="14"/>
      <c r="V340" s="14"/>
      <c r="W340" s="315"/>
      <c r="X340" s="14"/>
      <c r="Y340" s="42"/>
      <c r="Z340" s="42"/>
      <c r="AA340" s="42"/>
      <c r="AB340" s="42"/>
      <c r="AC340" s="42"/>
      <c r="AD340" s="42"/>
      <c r="AE340" s="42"/>
      <c r="AF340" s="42"/>
      <c r="AG340" s="42"/>
      <c r="AH340" s="42"/>
      <c r="AI340" s="42"/>
      <c r="AJ340" s="42"/>
      <c r="AK340" s="42"/>
      <c r="AL340" s="42"/>
      <c r="AM340" s="42"/>
      <c r="AN340" s="42"/>
      <c r="AO340" s="42"/>
      <c r="AP340" s="42"/>
      <c r="AQ340" s="42"/>
      <c r="AR340" s="42"/>
    </row>
    <row r="341" spans="1:44" ht="18" customHeight="1" x14ac:dyDescent="0.2">
      <c r="A341" s="308" t="s">
        <v>5738</v>
      </c>
      <c r="D341" s="223"/>
      <c r="G341" s="1180"/>
      <c r="Q341" s="14"/>
      <c r="R341" s="15"/>
      <c r="S341" s="14"/>
      <c r="T341" s="14"/>
      <c r="U341" s="14"/>
      <c r="V341" s="14"/>
      <c r="W341" s="315"/>
      <c r="X341" s="14"/>
      <c r="Y341" s="42"/>
      <c r="Z341" s="42"/>
      <c r="AA341" s="42"/>
      <c r="AB341" s="42"/>
      <c r="AC341" s="42"/>
      <c r="AD341" s="42"/>
      <c r="AE341" s="42"/>
      <c r="AF341" s="42"/>
      <c r="AG341" s="42"/>
      <c r="AH341" s="42"/>
      <c r="AI341" s="42"/>
      <c r="AJ341" s="42"/>
      <c r="AK341" s="42"/>
      <c r="AL341" s="42"/>
      <c r="AM341" s="42"/>
      <c r="AN341" s="42"/>
      <c r="AO341" s="42"/>
      <c r="AP341" s="42"/>
      <c r="AQ341" s="42"/>
      <c r="AR341" s="42"/>
    </row>
    <row r="342" spans="1:44" ht="18" customHeight="1" x14ac:dyDescent="0.3">
      <c r="A342" s="14"/>
      <c r="B342" s="900" t="s">
        <v>5669</v>
      </c>
      <c r="C342" s="2647"/>
      <c r="D342" s="8"/>
      <c r="E342" s="8"/>
      <c r="F342" s="8"/>
      <c r="G342" s="8"/>
      <c r="Q342" s="14"/>
      <c r="R342" s="15"/>
      <c r="S342" s="14"/>
      <c r="T342" s="14"/>
      <c r="U342" s="14"/>
      <c r="V342" s="14"/>
      <c r="W342" s="315"/>
      <c r="X342" s="14"/>
      <c r="Y342" s="2995"/>
      <c r="Z342" s="2995"/>
      <c r="AA342" s="2995"/>
      <c r="AB342" s="2995"/>
      <c r="AC342" s="2995"/>
      <c r="AD342" s="2995"/>
      <c r="AE342" s="2995"/>
      <c r="AF342" s="2995"/>
      <c r="AG342" s="2995"/>
      <c r="AH342" s="2995"/>
      <c r="AI342" s="2995"/>
      <c r="AJ342" s="2995"/>
      <c r="AK342" s="2995"/>
      <c r="AL342" s="2995"/>
      <c r="AM342" s="2995"/>
      <c r="AN342" s="2995"/>
      <c r="AO342" s="2995"/>
      <c r="AP342" s="2995"/>
      <c r="AQ342" s="2995"/>
      <c r="AR342" s="2995"/>
    </row>
    <row r="343" spans="1:44" ht="87" customHeight="1" x14ac:dyDescent="0.2">
      <c r="A343" s="5" t="s">
        <v>649</v>
      </c>
      <c r="B343" s="2997" t="s">
        <v>3673</v>
      </c>
      <c r="C343" s="2997" t="s">
        <v>3674</v>
      </c>
      <c r="D343" s="2997" t="s">
        <v>5670</v>
      </c>
      <c r="E343" s="2997" t="s">
        <v>5671</v>
      </c>
      <c r="F343" s="2997" t="s">
        <v>5672</v>
      </c>
      <c r="G343" s="2997" t="s">
        <v>5673</v>
      </c>
      <c r="Q343" s="14"/>
      <c r="R343" s="15"/>
      <c r="S343" s="14"/>
      <c r="T343" s="14"/>
      <c r="U343" s="14"/>
      <c r="V343" s="14"/>
      <c r="W343" s="315"/>
      <c r="X343" s="14"/>
      <c r="Y343" s="2995"/>
      <c r="Z343" s="2995"/>
      <c r="AA343" s="2995"/>
      <c r="AB343" s="2995"/>
      <c r="AC343" s="2995"/>
      <c r="AD343" s="2995"/>
      <c r="AE343" s="2995"/>
      <c r="AF343" s="2995"/>
      <c r="AG343" s="2995"/>
      <c r="AH343" s="2995"/>
      <c r="AI343" s="2995"/>
      <c r="AJ343" s="2995"/>
      <c r="AK343" s="2995"/>
      <c r="AL343" s="2995"/>
      <c r="AM343" s="2995"/>
      <c r="AN343" s="2995"/>
      <c r="AO343" s="2995"/>
      <c r="AP343" s="2995"/>
      <c r="AQ343" s="2995"/>
      <c r="AR343" s="2995"/>
    </row>
    <row r="344" spans="1:44" ht="18" customHeight="1" x14ac:dyDescent="0.2">
      <c r="A344" s="3009">
        <v>1</v>
      </c>
      <c r="B344" s="5" t="s">
        <v>5619</v>
      </c>
      <c r="C344" s="5">
        <v>8</v>
      </c>
      <c r="D344" s="5">
        <v>320</v>
      </c>
      <c r="E344" s="5">
        <v>190</v>
      </c>
      <c r="F344" s="5">
        <v>642</v>
      </c>
      <c r="G344" s="5">
        <v>1500</v>
      </c>
      <c r="Q344" s="14"/>
      <c r="R344" s="15"/>
      <c r="S344" s="14"/>
      <c r="T344" s="14"/>
      <c r="U344" s="14"/>
      <c r="V344" s="14"/>
      <c r="W344" s="315"/>
      <c r="X344" s="14"/>
      <c r="Y344" s="2995"/>
      <c r="Z344" s="2995"/>
      <c r="AA344" s="2995"/>
      <c r="AB344" s="2995"/>
      <c r="AC344" s="2995"/>
      <c r="AD344" s="2995"/>
      <c r="AE344" s="2995"/>
      <c r="AF344" s="2995"/>
      <c r="AG344" s="2995"/>
      <c r="AH344" s="2995"/>
      <c r="AI344" s="2995"/>
      <c r="AJ344" s="2995"/>
      <c r="AK344" s="2995"/>
      <c r="AL344" s="2995"/>
      <c r="AM344" s="2995"/>
      <c r="AN344" s="2995"/>
      <c r="AO344" s="2995"/>
      <c r="AP344" s="2995"/>
      <c r="AQ344" s="2995"/>
      <c r="AR344" s="2995"/>
    </row>
    <row r="345" spans="1:44" ht="18" customHeight="1" x14ac:dyDescent="0.2">
      <c r="A345" s="3009">
        <v>2</v>
      </c>
      <c r="B345" s="5" t="s">
        <v>5637</v>
      </c>
      <c r="C345" s="5">
        <v>8</v>
      </c>
      <c r="D345" s="5">
        <v>320</v>
      </c>
      <c r="E345" s="5">
        <v>190</v>
      </c>
      <c r="F345" s="5">
        <v>642</v>
      </c>
      <c r="G345" s="5">
        <v>1500</v>
      </c>
      <c r="Q345" s="14"/>
      <c r="R345" s="15"/>
      <c r="S345" s="14"/>
      <c r="T345" s="14"/>
      <c r="U345" s="14"/>
      <c r="V345" s="14"/>
      <c r="W345" s="315"/>
      <c r="X345" s="14"/>
      <c r="Y345" s="2995"/>
      <c r="Z345" s="2995"/>
      <c r="AA345" s="2995"/>
      <c r="AB345" s="2995"/>
      <c r="AC345" s="2995"/>
      <c r="AD345" s="2995"/>
      <c r="AE345" s="2995"/>
      <c r="AF345" s="2995"/>
      <c r="AG345" s="2995"/>
      <c r="AH345" s="2995"/>
      <c r="AI345" s="2995"/>
      <c r="AJ345" s="2995"/>
      <c r="AK345" s="2995"/>
      <c r="AL345" s="2995"/>
      <c r="AM345" s="2995"/>
      <c r="AN345" s="2995"/>
      <c r="AO345" s="2995"/>
      <c r="AP345" s="2995"/>
      <c r="AQ345" s="2995"/>
      <c r="AR345" s="2995"/>
    </row>
    <row r="346" spans="1:44" ht="18" customHeight="1" x14ac:dyDescent="0.2">
      <c r="A346" s="3009">
        <v>3</v>
      </c>
      <c r="B346" s="5" t="s">
        <v>152</v>
      </c>
      <c r="C346" s="5">
        <v>8</v>
      </c>
      <c r="D346" s="5">
        <v>220</v>
      </c>
      <c r="E346" s="5">
        <v>190</v>
      </c>
      <c r="F346" s="5">
        <v>642</v>
      </c>
      <c r="G346" s="5">
        <v>1350</v>
      </c>
      <c r="Q346" s="14"/>
      <c r="R346" s="15"/>
      <c r="S346" s="14"/>
      <c r="T346" s="14"/>
      <c r="U346" s="14"/>
      <c r="V346" s="14"/>
      <c r="W346" s="315"/>
      <c r="X346" s="14"/>
      <c r="Y346" s="2995"/>
      <c r="Z346" s="2995"/>
      <c r="AA346" s="2995"/>
      <c r="AB346" s="2995"/>
      <c r="AC346" s="2995"/>
      <c r="AD346" s="2995"/>
      <c r="AE346" s="2995"/>
      <c r="AF346" s="2995"/>
      <c r="AG346" s="2995"/>
      <c r="AH346" s="2995"/>
      <c r="AI346" s="2995"/>
      <c r="AJ346" s="2995"/>
      <c r="AK346" s="2995"/>
      <c r="AL346" s="2995"/>
      <c r="AM346" s="2995"/>
      <c r="AN346" s="2995"/>
      <c r="AO346" s="2995"/>
      <c r="AP346" s="2995"/>
      <c r="AQ346" s="2995"/>
      <c r="AR346" s="2995"/>
    </row>
    <row r="347" spans="1:44" ht="18" customHeight="1" x14ac:dyDescent="0.2">
      <c r="A347" s="3009">
        <v>4</v>
      </c>
      <c r="B347" s="5" t="s">
        <v>1918</v>
      </c>
      <c r="C347" s="5">
        <v>10</v>
      </c>
      <c r="D347" s="5">
        <v>220</v>
      </c>
      <c r="E347" s="5">
        <v>190</v>
      </c>
      <c r="F347" s="5">
        <v>643</v>
      </c>
      <c r="G347" s="5">
        <v>1900</v>
      </c>
      <c r="Q347" s="14"/>
      <c r="R347" s="15"/>
      <c r="S347" s="14"/>
      <c r="T347" s="14"/>
      <c r="U347" s="14"/>
      <c r="V347" s="14"/>
      <c r="W347" s="315"/>
      <c r="X347" s="14"/>
      <c r="Y347" s="2995"/>
      <c r="Z347" s="2995"/>
      <c r="AA347" s="2995"/>
      <c r="AB347" s="2995"/>
      <c r="AC347" s="2995"/>
      <c r="AD347" s="2995"/>
      <c r="AE347" s="2995"/>
      <c r="AF347" s="2995"/>
      <c r="AG347" s="2995"/>
      <c r="AH347" s="2995"/>
      <c r="AI347" s="2995"/>
      <c r="AJ347" s="2995"/>
      <c r="AK347" s="2995"/>
      <c r="AL347" s="2995"/>
      <c r="AM347" s="2995"/>
      <c r="AN347" s="2995"/>
      <c r="AO347" s="2995"/>
      <c r="AP347" s="2995"/>
      <c r="AQ347" s="2995"/>
      <c r="AR347" s="2995"/>
    </row>
    <row r="348" spans="1:44" ht="18" customHeight="1" x14ac:dyDescent="0.2">
      <c r="A348" s="3009">
        <v>5</v>
      </c>
      <c r="B348" s="5" t="s">
        <v>5621</v>
      </c>
      <c r="C348" s="5">
        <v>8.6</v>
      </c>
      <c r="D348" s="5">
        <v>320</v>
      </c>
      <c r="E348" s="5">
        <v>192</v>
      </c>
      <c r="F348" s="5">
        <v>642</v>
      </c>
      <c r="G348" s="5">
        <v>1500</v>
      </c>
      <c r="Q348" s="14"/>
      <c r="R348" s="15"/>
      <c r="S348" s="14"/>
      <c r="T348" s="14"/>
      <c r="U348" s="14"/>
      <c r="V348" s="14"/>
      <c r="W348" s="315"/>
      <c r="X348" s="14"/>
      <c r="Y348" s="2995"/>
      <c r="Z348" s="2995"/>
      <c r="AA348" s="2995"/>
      <c r="AB348" s="2995"/>
      <c r="AC348" s="2995"/>
      <c r="AD348" s="2995"/>
      <c r="AE348" s="2995"/>
      <c r="AF348" s="2995"/>
      <c r="AG348" s="2995"/>
      <c r="AH348" s="2995"/>
      <c r="AI348" s="2995"/>
      <c r="AJ348" s="2995"/>
      <c r="AK348" s="2995"/>
      <c r="AL348" s="2995"/>
      <c r="AM348" s="2995"/>
      <c r="AN348" s="2995"/>
      <c r="AO348" s="2995"/>
      <c r="AP348" s="2995"/>
      <c r="AQ348" s="2995"/>
      <c r="AR348" s="2995"/>
    </row>
    <row r="349" spans="1:44" ht="18" customHeight="1" x14ac:dyDescent="0.2">
      <c r="A349" s="3009">
        <v>6</v>
      </c>
      <c r="B349" s="5" t="s">
        <v>1917</v>
      </c>
      <c r="C349" s="5">
        <v>8.6</v>
      </c>
      <c r="D349" s="5">
        <v>320</v>
      </c>
      <c r="E349" s="5">
        <v>192</v>
      </c>
      <c r="F349" s="5">
        <v>642</v>
      </c>
      <c r="G349" s="5">
        <v>1500</v>
      </c>
      <c r="Q349" s="14"/>
      <c r="R349" s="15"/>
      <c r="S349" s="14"/>
      <c r="T349" s="14"/>
      <c r="U349" s="14"/>
      <c r="V349" s="14"/>
      <c r="W349" s="315"/>
      <c r="X349" s="14"/>
      <c r="Y349" s="2995"/>
      <c r="Z349" s="2995"/>
      <c r="AA349" s="2995"/>
      <c r="AB349" s="2995"/>
      <c r="AC349" s="2995"/>
      <c r="AD349" s="2995"/>
      <c r="AE349" s="2995"/>
      <c r="AF349" s="2995"/>
      <c r="AG349" s="2995"/>
      <c r="AH349" s="2995"/>
      <c r="AI349" s="2995"/>
      <c r="AJ349" s="2995"/>
      <c r="AK349" s="2995"/>
      <c r="AL349" s="2995"/>
      <c r="AM349" s="2995"/>
      <c r="AN349" s="2995"/>
      <c r="AO349" s="2995"/>
      <c r="AP349" s="2995"/>
      <c r="AQ349" s="2995"/>
      <c r="AR349" s="2995"/>
    </row>
    <row r="350" spans="1:44" ht="18" customHeight="1" x14ac:dyDescent="0.2">
      <c r="A350" s="3009">
        <v>7</v>
      </c>
      <c r="B350" s="5" t="s">
        <v>5641</v>
      </c>
      <c r="C350" s="5">
        <v>9.3000000000000007</v>
      </c>
      <c r="D350" s="5">
        <v>400</v>
      </c>
      <c r="E350" s="5">
        <v>192</v>
      </c>
      <c r="F350" s="5">
        <v>642</v>
      </c>
      <c r="G350" s="5">
        <v>1500</v>
      </c>
      <c r="Q350" s="14"/>
      <c r="R350" s="15"/>
      <c r="S350" s="14"/>
      <c r="T350" s="14"/>
      <c r="U350" s="14"/>
      <c r="V350" s="14"/>
      <c r="W350" s="315"/>
      <c r="X350" s="14"/>
      <c r="Y350" s="2995"/>
      <c r="Z350" s="2995"/>
      <c r="AA350" s="2995"/>
      <c r="AB350" s="2995"/>
      <c r="AC350" s="2995"/>
      <c r="AD350" s="2995"/>
      <c r="AE350" s="2995"/>
      <c r="AF350" s="2995"/>
      <c r="AG350" s="2995"/>
      <c r="AH350" s="2995"/>
      <c r="AI350" s="2995"/>
      <c r="AJ350" s="2995"/>
      <c r="AK350" s="2995"/>
      <c r="AL350" s="2995"/>
      <c r="AM350" s="2995"/>
      <c r="AN350" s="2995"/>
      <c r="AO350" s="2995"/>
      <c r="AP350" s="2995"/>
      <c r="AQ350" s="2995"/>
      <c r="AR350" s="2995"/>
    </row>
    <row r="351" spans="1:44" ht="18" customHeight="1" x14ac:dyDescent="0.2">
      <c r="A351" s="3009">
        <v>8</v>
      </c>
      <c r="B351" s="5" t="s">
        <v>5623</v>
      </c>
      <c r="C351" s="5">
        <v>13</v>
      </c>
      <c r="D351" s="5">
        <v>320</v>
      </c>
      <c r="E351" s="5">
        <v>230</v>
      </c>
      <c r="F351" s="5">
        <v>642</v>
      </c>
      <c r="G351" s="5">
        <v>1500</v>
      </c>
      <c r="Q351" s="14"/>
      <c r="R351" s="15"/>
      <c r="S351" s="14"/>
      <c r="T351" s="14"/>
      <c r="U351" s="14"/>
      <c r="V351" s="14"/>
      <c r="W351" s="315"/>
      <c r="X351" s="14"/>
      <c r="Y351" s="2995"/>
      <c r="Z351" s="2995"/>
      <c r="AA351" s="2995"/>
      <c r="AB351" s="2995"/>
      <c r="AC351" s="2995"/>
      <c r="AD351" s="2995"/>
      <c r="AE351" s="2995"/>
      <c r="AF351" s="2995"/>
      <c r="AG351" s="2995"/>
      <c r="AH351" s="2995"/>
      <c r="AI351" s="2995"/>
      <c r="AJ351" s="2995"/>
      <c r="AK351" s="2995"/>
      <c r="AL351" s="2995"/>
      <c r="AM351" s="2995"/>
      <c r="AN351" s="2995"/>
      <c r="AO351" s="2995"/>
      <c r="AP351" s="2995"/>
      <c r="AQ351" s="2995"/>
      <c r="AR351" s="2995"/>
    </row>
    <row r="352" spans="1:44" ht="18" customHeight="1" x14ac:dyDescent="0.2">
      <c r="A352" s="3009">
        <v>9</v>
      </c>
      <c r="B352" s="5" t="s">
        <v>5626</v>
      </c>
      <c r="C352" s="5">
        <v>13</v>
      </c>
      <c r="D352" s="5">
        <v>320</v>
      </c>
      <c r="E352" s="5">
        <v>230</v>
      </c>
      <c r="F352" s="5">
        <v>636</v>
      </c>
      <c r="G352" s="5">
        <v>1500</v>
      </c>
      <c r="Q352" s="14"/>
      <c r="R352" s="15"/>
      <c r="S352" s="14"/>
      <c r="T352" s="14"/>
      <c r="U352" s="14"/>
      <c r="V352" s="14"/>
      <c r="W352" s="315"/>
      <c r="X352" s="14"/>
      <c r="Y352" s="2995"/>
      <c r="Z352" s="2995"/>
      <c r="AA352" s="2995"/>
      <c r="AB352" s="2995"/>
      <c r="AC352" s="2995"/>
      <c r="AD352" s="2995"/>
      <c r="AE352" s="2995"/>
      <c r="AF352" s="2995"/>
      <c r="AG352" s="2995"/>
      <c r="AH352" s="2995"/>
      <c r="AI352" s="2995"/>
      <c r="AJ352" s="2995"/>
      <c r="AK352" s="2995"/>
      <c r="AL352" s="2995"/>
      <c r="AM352" s="2995"/>
      <c r="AN352" s="2995"/>
      <c r="AO352" s="2995"/>
      <c r="AP352" s="2995"/>
      <c r="AQ352" s="2995"/>
      <c r="AR352" s="2995"/>
    </row>
    <row r="353" spans="1:44" ht="18" customHeight="1" x14ac:dyDescent="0.2">
      <c r="A353" s="3009">
        <v>10</v>
      </c>
      <c r="B353" s="5" t="s">
        <v>5618</v>
      </c>
      <c r="C353" s="5">
        <v>10</v>
      </c>
      <c r="D353" s="5">
        <v>400</v>
      </c>
      <c r="E353" s="5">
        <v>245</v>
      </c>
      <c r="F353" s="5">
        <v>620</v>
      </c>
      <c r="G353" s="5">
        <v>1500</v>
      </c>
      <c r="Q353" s="14"/>
      <c r="R353" s="15"/>
      <c r="S353" s="14"/>
      <c r="T353" s="14"/>
      <c r="U353" s="14"/>
      <c r="V353" s="14"/>
      <c r="W353" s="315"/>
      <c r="X353" s="14"/>
      <c r="Y353" s="2995"/>
      <c r="Z353" s="2995"/>
      <c r="AA353" s="2995"/>
      <c r="AB353" s="2995"/>
      <c r="AC353" s="2995"/>
      <c r="AD353" s="2995"/>
      <c r="AE353" s="2995"/>
      <c r="AF353" s="2995"/>
      <c r="AG353" s="2995"/>
      <c r="AH353" s="2995"/>
      <c r="AI353" s="2995"/>
      <c r="AJ353" s="2995"/>
      <c r="AK353" s="2995"/>
      <c r="AL353" s="2995"/>
      <c r="AM353" s="2995"/>
      <c r="AN353" s="2995"/>
      <c r="AO353" s="2995"/>
      <c r="AP353" s="2995"/>
      <c r="AQ353" s="2995"/>
      <c r="AR353" s="2995"/>
    </row>
    <row r="354" spans="1:44" ht="18" customHeight="1" x14ac:dyDescent="0.2">
      <c r="A354" s="3009">
        <v>11</v>
      </c>
      <c r="B354" s="5" t="s">
        <v>5628</v>
      </c>
      <c r="C354" s="5">
        <v>14</v>
      </c>
      <c r="D354" s="5">
        <v>400</v>
      </c>
      <c r="E354" s="5">
        <v>245</v>
      </c>
      <c r="F354" s="5">
        <v>754</v>
      </c>
      <c r="G354" s="5">
        <v>1500</v>
      </c>
      <c r="Q354" s="14"/>
      <c r="R354" s="15"/>
      <c r="S354" s="14"/>
      <c r="T354" s="14"/>
      <c r="U354" s="14"/>
      <c r="V354" s="14"/>
      <c r="W354" s="315"/>
      <c r="X354" s="14"/>
      <c r="Y354" s="2995"/>
      <c r="Z354" s="2995"/>
      <c r="AA354" s="2995"/>
      <c r="AB354" s="2995"/>
      <c r="AC354" s="2995"/>
      <c r="AD354" s="2995"/>
      <c r="AE354" s="2995"/>
      <c r="AF354" s="2995"/>
      <c r="AG354" s="2995"/>
      <c r="AH354" s="2995"/>
      <c r="AI354" s="2995"/>
      <c r="AJ354" s="2995"/>
      <c r="AK354" s="2995"/>
      <c r="AL354" s="2995"/>
      <c r="AM354" s="2995"/>
      <c r="AN354" s="2995"/>
      <c r="AO354" s="2995"/>
      <c r="AP354" s="2995"/>
      <c r="AQ354" s="2995"/>
      <c r="AR354" s="2995"/>
    </row>
    <row r="355" spans="1:44" ht="18" customHeight="1" x14ac:dyDescent="0.2">
      <c r="A355" s="3009">
        <v>12</v>
      </c>
      <c r="B355" s="5" t="s">
        <v>5627</v>
      </c>
      <c r="C355" s="5">
        <v>14.3</v>
      </c>
      <c r="D355" s="5">
        <v>320</v>
      </c>
      <c r="E355" s="5">
        <v>245</v>
      </c>
      <c r="F355" s="5">
        <v>754</v>
      </c>
      <c r="G355" s="5">
        <v>1500</v>
      </c>
      <c r="Q355" s="14"/>
      <c r="R355" s="15"/>
      <c r="S355" s="14"/>
      <c r="T355" s="14"/>
      <c r="U355" s="14"/>
      <c r="V355" s="14"/>
      <c r="W355" s="315"/>
      <c r="X355" s="14"/>
      <c r="Y355" s="2995"/>
      <c r="Z355" s="2995"/>
      <c r="AA355" s="2995"/>
      <c r="AB355" s="2995"/>
      <c r="AC355" s="2995"/>
      <c r="AD355" s="2995"/>
      <c r="AE355" s="2995"/>
      <c r="AF355" s="2995"/>
      <c r="AG355" s="2995"/>
      <c r="AH355" s="2995"/>
      <c r="AI355" s="2995"/>
      <c r="AJ355" s="2995"/>
      <c r="AK355" s="2995"/>
      <c r="AL355" s="2995"/>
      <c r="AM355" s="2995"/>
      <c r="AN355" s="2995"/>
      <c r="AO355" s="2995"/>
      <c r="AP355" s="2995"/>
      <c r="AQ355" s="2995"/>
      <c r="AR355" s="2995"/>
    </row>
    <row r="356" spans="1:44" ht="18" customHeight="1" x14ac:dyDescent="0.2">
      <c r="A356" s="3009">
        <v>13</v>
      </c>
      <c r="B356" s="5" t="s">
        <v>5674</v>
      </c>
      <c r="C356" s="5">
        <v>19</v>
      </c>
      <c r="D356" s="5">
        <v>500</v>
      </c>
      <c r="E356" s="5">
        <v>255</v>
      </c>
      <c r="F356" s="5">
        <v>754</v>
      </c>
      <c r="G356" s="5">
        <v>1500</v>
      </c>
      <c r="Q356" s="14"/>
      <c r="R356" s="15"/>
      <c r="S356" s="14"/>
      <c r="T356" s="14"/>
      <c r="U356" s="14"/>
      <c r="V356" s="14"/>
      <c r="W356" s="315"/>
      <c r="X356" s="14"/>
      <c r="Y356" s="2995"/>
      <c r="Z356" s="2995"/>
      <c r="AA356" s="2995"/>
      <c r="AB356" s="2995"/>
      <c r="AC356" s="2995"/>
      <c r="AD356" s="2995"/>
      <c r="AE356" s="2995"/>
      <c r="AF356" s="2995"/>
      <c r="AG356" s="2995"/>
      <c r="AH356" s="2995"/>
      <c r="AI356" s="2995"/>
      <c r="AJ356" s="2995"/>
      <c r="AK356" s="2995"/>
      <c r="AL356" s="2995"/>
      <c r="AM356" s="2995"/>
      <c r="AN356" s="2995"/>
      <c r="AO356" s="2995"/>
      <c r="AP356" s="2995"/>
      <c r="AQ356" s="2995"/>
      <c r="AR356" s="2995"/>
    </row>
    <row r="357" spans="1:44" ht="18" customHeight="1" x14ac:dyDescent="0.2">
      <c r="A357" s="3009">
        <v>14</v>
      </c>
      <c r="B357" s="5" t="s">
        <v>5675</v>
      </c>
      <c r="C357" s="5">
        <v>20</v>
      </c>
      <c r="D357" s="5">
        <v>500</v>
      </c>
      <c r="E357" s="5">
        <v>255</v>
      </c>
      <c r="F357" s="5">
        <v>754</v>
      </c>
      <c r="G357" s="5">
        <v>1500</v>
      </c>
      <c r="Q357" s="14"/>
      <c r="R357" s="15"/>
      <c r="S357" s="14"/>
      <c r="T357" s="14"/>
      <c r="U357" s="14"/>
      <c r="V357" s="14"/>
      <c r="W357" s="315"/>
      <c r="X357" s="14"/>
      <c r="Y357" s="2995"/>
      <c r="Z357" s="2995"/>
      <c r="AA357" s="2995"/>
      <c r="AB357" s="2995"/>
      <c r="AC357" s="2995"/>
      <c r="AD357" s="2995"/>
      <c r="AE357" s="2995"/>
      <c r="AF357" s="2995"/>
      <c r="AG357" s="2995"/>
      <c r="AH357" s="2995"/>
      <c r="AI357" s="2995"/>
      <c r="AJ357" s="2995"/>
      <c r="AK357" s="2995"/>
      <c r="AL357" s="2995"/>
      <c r="AM357" s="2995"/>
      <c r="AN357" s="2995"/>
      <c r="AO357" s="2995"/>
      <c r="AP357" s="2995"/>
      <c r="AQ357" s="2995"/>
      <c r="AR357" s="2995"/>
    </row>
    <row r="358" spans="1:44" ht="18" customHeight="1" x14ac:dyDescent="0.2">
      <c r="A358" s="3009">
        <v>15</v>
      </c>
      <c r="B358" s="5" t="s">
        <v>5676</v>
      </c>
      <c r="C358" s="5">
        <v>21</v>
      </c>
      <c r="D358" s="5">
        <v>720</v>
      </c>
      <c r="E358" s="5">
        <v>255</v>
      </c>
      <c r="F358" s="5">
        <v>834</v>
      </c>
      <c r="G358" s="5">
        <v>1500</v>
      </c>
      <c r="Q358" s="14"/>
      <c r="R358" s="15"/>
      <c r="S358" s="14"/>
      <c r="T358" s="14"/>
      <c r="U358" s="14"/>
      <c r="V358" s="14"/>
      <c r="W358" s="315"/>
      <c r="X358" s="14"/>
      <c r="Y358" s="2995"/>
      <c r="Z358" s="2995"/>
      <c r="AA358" s="2995"/>
      <c r="AB358" s="2995"/>
      <c r="AC358" s="2995"/>
      <c r="AD358" s="2995"/>
      <c r="AE358" s="2995"/>
      <c r="AF358" s="2995"/>
      <c r="AG358" s="2995"/>
      <c r="AH358" s="2995"/>
      <c r="AI358" s="2995"/>
      <c r="AJ358" s="2995"/>
      <c r="AK358" s="2995"/>
      <c r="AL358" s="2995"/>
      <c r="AM358" s="2995"/>
      <c r="AN358" s="2995"/>
      <c r="AO358" s="2995"/>
      <c r="AP358" s="2995"/>
      <c r="AQ358" s="2995"/>
      <c r="AR358" s="2995"/>
    </row>
    <row r="359" spans="1:44" ht="18" customHeight="1" x14ac:dyDescent="0.2">
      <c r="A359" s="3073"/>
      <c r="B359" s="1"/>
      <c r="C359" s="1"/>
      <c r="D359" s="1"/>
      <c r="E359" s="1"/>
      <c r="F359" s="1"/>
      <c r="G359" s="1"/>
      <c r="Q359" s="14"/>
      <c r="R359" s="15"/>
      <c r="S359" s="14"/>
      <c r="T359" s="14"/>
      <c r="U359" s="14"/>
      <c r="V359" s="14"/>
      <c r="W359" s="315"/>
      <c r="X359" s="14"/>
      <c r="Y359" s="3036"/>
      <c r="Z359" s="3036"/>
      <c r="AA359" s="3036"/>
      <c r="AB359" s="3036"/>
      <c r="AC359" s="3036"/>
      <c r="AD359" s="3036"/>
      <c r="AE359" s="3036"/>
      <c r="AF359" s="3036"/>
      <c r="AG359" s="3036"/>
      <c r="AH359" s="3036"/>
      <c r="AI359" s="3036"/>
      <c r="AJ359" s="3036"/>
      <c r="AK359" s="3036"/>
      <c r="AL359" s="3036"/>
      <c r="AM359" s="3036"/>
      <c r="AN359" s="3036"/>
      <c r="AO359" s="3036"/>
      <c r="AP359" s="3036"/>
      <c r="AQ359" s="3036"/>
      <c r="AR359" s="3036"/>
    </row>
    <row r="360" spans="1:44" ht="18" customHeight="1" x14ac:dyDescent="0.25">
      <c r="A360" s="821" t="s">
        <v>5743</v>
      </c>
      <c r="B360" s="1"/>
      <c r="C360" s="1"/>
      <c r="D360" s="1"/>
      <c r="E360" s="1"/>
      <c r="F360" s="3061"/>
      <c r="G360" s="1"/>
      <c r="Q360" s="14"/>
      <c r="R360" s="15"/>
      <c r="S360" s="14"/>
      <c r="T360" s="14"/>
      <c r="U360" s="14"/>
      <c r="V360" s="14"/>
      <c r="W360" s="315"/>
      <c r="X360" s="14"/>
      <c r="Y360" s="3036"/>
      <c r="Z360" s="3036"/>
      <c r="AA360" s="3036"/>
      <c r="AB360" s="3036"/>
      <c r="AC360" s="3036"/>
      <c r="AD360" s="3036"/>
      <c r="AE360" s="3036"/>
      <c r="AF360" s="3036"/>
      <c r="AG360" s="3036"/>
      <c r="AH360" s="3036"/>
      <c r="AI360" s="3036"/>
      <c r="AJ360" s="3036"/>
      <c r="AK360" s="3036"/>
      <c r="AL360" s="3036"/>
      <c r="AM360" s="3036"/>
      <c r="AN360" s="3036"/>
      <c r="AO360" s="3036"/>
      <c r="AP360" s="3036"/>
      <c r="AQ360" s="3036"/>
      <c r="AR360" s="3036"/>
    </row>
    <row r="361" spans="1:44" ht="60.75" customHeight="1" x14ac:dyDescent="0.2">
      <c r="A361" s="3073"/>
      <c r="C361" s="1740" t="s">
        <v>5739</v>
      </c>
      <c r="D361" s="4248" t="s">
        <v>5670</v>
      </c>
      <c r="E361" s="1"/>
      <c r="F361" s="1"/>
      <c r="G361" s="1"/>
      <c r="Q361" s="14"/>
      <c r="R361" s="15"/>
      <c r="S361" s="14"/>
      <c r="T361" s="14"/>
      <c r="U361" s="14"/>
      <c r="V361" s="14"/>
      <c r="W361" s="315"/>
      <c r="X361" s="14"/>
      <c r="Y361" s="3036"/>
      <c r="Z361" s="3036"/>
      <c r="AA361" s="3036"/>
      <c r="AB361" s="3036"/>
      <c r="AC361" s="3036"/>
      <c r="AD361" s="3036"/>
      <c r="AE361" s="3036"/>
      <c r="AF361" s="3036"/>
      <c r="AG361" s="3036"/>
      <c r="AH361" s="3036"/>
      <c r="AI361" s="3036"/>
      <c r="AJ361" s="3036"/>
      <c r="AK361" s="3036"/>
      <c r="AL361" s="3036"/>
      <c r="AM361" s="3036"/>
      <c r="AN361" s="3036"/>
      <c r="AO361" s="3036"/>
      <c r="AP361" s="3036"/>
      <c r="AQ361" s="3036"/>
      <c r="AR361" s="3036"/>
    </row>
    <row r="362" spans="1:44" ht="18" customHeight="1" x14ac:dyDescent="0.25">
      <c r="A362" s="1392" t="s">
        <v>5742</v>
      </c>
      <c r="B362" s="3064"/>
      <c r="C362" s="2992" t="e">
        <f>INDEX($C$344:$C$358,B363)</f>
        <v>#VALUE!</v>
      </c>
      <c r="D362" s="2992" t="e">
        <f>INDEX($D$344:$D$358,B363)</f>
        <v>#VALUE!</v>
      </c>
      <c r="E362" s="1"/>
      <c r="F362" s="1"/>
      <c r="G362" s="1"/>
      <c r="Q362" s="14"/>
      <c r="R362" s="15"/>
      <c r="S362" s="14"/>
      <c r="T362" s="14"/>
      <c r="U362" s="14"/>
      <c r="V362" s="14"/>
      <c r="W362" s="315"/>
      <c r="X362" s="14"/>
      <c r="Y362" s="3036"/>
      <c r="Z362" s="3036"/>
      <c r="AA362" s="3036"/>
      <c r="AB362" s="3036"/>
      <c r="AC362" s="3036"/>
      <c r="AD362" s="3036"/>
      <c r="AE362" s="3036"/>
      <c r="AF362" s="3036"/>
      <c r="AG362" s="3036"/>
      <c r="AH362" s="3036"/>
      <c r="AI362" s="3036"/>
      <c r="AJ362" s="3036"/>
      <c r="AK362" s="3036"/>
      <c r="AL362" s="3036"/>
      <c r="AM362" s="3036"/>
      <c r="AN362" s="3036"/>
      <c r="AO362" s="3036"/>
      <c r="AP362" s="3036"/>
      <c r="AQ362" s="3036"/>
      <c r="AR362" s="3036"/>
    </row>
    <row r="363" spans="1:44" ht="18" customHeight="1" x14ac:dyDescent="0.25">
      <c r="A363" s="1392" t="s">
        <v>5741</v>
      </c>
      <c r="B363" s="3064"/>
      <c r="C363" s="2992"/>
      <c r="D363" s="5"/>
      <c r="E363" s="1"/>
      <c r="F363" s="1"/>
      <c r="G363" s="1"/>
      <c r="Q363" s="14"/>
      <c r="R363" s="15"/>
      <c r="S363" s="14"/>
      <c r="T363" s="14"/>
      <c r="U363" s="14"/>
      <c r="V363" s="14"/>
      <c r="W363" s="315"/>
      <c r="X363" s="14"/>
      <c r="Y363" s="3036"/>
      <c r="Z363" s="3036"/>
      <c r="AA363" s="3036"/>
      <c r="AB363" s="3036"/>
      <c r="AC363" s="3036"/>
      <c r="AD363" s="3036"/>
      <c r="AE363" s="3036"/>
      <c r="AF363" s="3036"/>
      <c r="AG363" s="3036"/>
      <c r="AH363" s="3036"/>
      <c r="AI363" s="3036"/>
      <c r="AJ363" s="3036"/>
      <c r="AK363" s="3036"/>
      <c r="AL363" s="3036"/>
      <c r="AM363" s="3036"/>
      <c r="AN363" s="3036"/>
      <c r="AO363" s="3036"/>
      <c r="AP363" s="3036"/>
      <c r="AQ363" s="3036"/>
      <c r="AR363" s="3036"/>
    </row>
    <row r="364" spans="1:44" ht="18" customHeight="1" x14ac:dyDescent="0.25">
      <c r="A364" s="1392" t="str">
        <f>IF(F360&gt;1,"2-ой возможный тип конвейера","")</f>
        <v/>
      </c>
      <c r="B364" s="3064"/>
      <c r="C364" s="2992" t="str">
        <f>IF(F360&gt;1,INDEX($C$344:$C$358,B365),"")</f>
        <v/>
      </c>
      <c r="D364" s="5" t="e">
        <f t="shared" ref="D364:D370" si="37">INDEX($D$344:$D$358,B365)</f>
        <v>#VALUE!</v>
      </c>
      <c r="E364" s="1"/>
      <c r="F364" s="1"/>
      <c r="G364" s="1"/>
      <c r="Q364" s="14"/>
      <c r="R364" s="15"/>
      <c r="S364" s="14"/>
      <c r="T364" s="14"/>
      <c r="U364" s="14"/>
      <c r="V364" s="14"/>
      <c r="W364" s="315"/>
      <c r="X364" s="14"/>
      <c r="Y364" s="3036"/>
      <c r="Z364" s="3036"/>
      <c r="AA364" s="3036"/>
      <c r="AB364" s="3036"/>
      <c r="AC364" s="3036"/>
      <c r="AD364" s="3036"/>
      <c r="AE364" s="3036"/>
      <c r="AF364" s="3036"/>
      <c r="AG364" s="3036"/>
      <c r="AH364" s="3036"/>
      <c r="AI364" s="3036"/>
      <c r="AJ364" s="3036"/>
      <c r="AK364" s="3036"/>
      <c r="AL364" s="3036"/>
      <c r="AM364" s="3036"/>
      <c r="AN364" s="3036"/>
      <c r="AO364" s="3036"/>
      <c r="AP364" s="3036"/>
      <c r="AQ364" s="3036"/>
      <c r="AR364" s="3036"/>
    </row>
    <row r="365" spans="1:44" ht="18" customHeight="1" x14ac:dyDescent="0.25">
      <c r="A365" s="1392" t="str">
        <f>IF(F360&gt;1,"Его номер в таблице конвейеров","")</f>
        <v/>
      </c>
      <c r="B365" s="3064"/>
      <c r="C365" s="2992"/>
      <c r="D365" s="5"/>
      <c r="E365" s="1"/>
      <c r="F365" s="1"/>
      <c r="G365" s="1"/>
      <c r="Q365" s="14"/>
      <c r="R365" s="15"/>
      <c r="S365" s="14"/>
      <c r="T365" s="14"/>
      <c r="U365" s="14"/>
      <c r="V365" s="14"/>
      <c r="W365" s="315"/>
      <c r="X365" s="14"/>
      <c r="Y365" s="3036"/>
      <c r="Z365" s="3036"/>
      <c r="AA365" s="3036"/>
      <c r="AB365" s="3036"/>
      <c r="AC365" s="3036"/>
      <c r="AD365" s="3036"/>
      <c r="AE365" s="3036"/>
      <c r="AF365" s="3036"/>
      <c r="AG365" s="3036"/>
      <c r="AH365" s="3036"/>
      <c r="AI365" s="3036"/>
      <c r="AJ365" s="3036"/>
      <c r="AK365" s="3036"/>
      <c r="AL365" s="3036"/>
      <c r="AM365" s="3036"/>
      <c r="AN365" s="3036"/>
      <c r="AO365" s="3036"/>
      <c r="AP365" s="3036"/>
      <c r="AQ365" s="3036"/>
      <c r="AR365" s="3036"/>
    </row>
    <row r="366" spans="1:44" ht="18" customHeight="1" x14ac:dyDescent="0.25">
      <c r="A366" s="1392" t="str">
        <f>IF(F360&gt;2,"3-ий возможный тип конвейера","")</f>
        <v/>
      </c>
      <c r="B366" s="3064"/>
      <c r="C366" s="2992" t="str">
        <f>IF(F360&gt;2,INDEX($C$344:$C$358,B367),"")</f>
        <v/>
      </c>
      <c r="D366" s="5" t="e">
        <f t="shared" si="37"/>
        <v>#VALUE!</v>
      </c>
      <c r="E366" s="1"/>
      <c r="F366" s="1"/>
      <c r="G366" s="1"/>
      <c r="Q366" s="14"/>
      <c r="R366" s="15"/>
      <c r="S366" s="14"/>
      <c r="T366" s="14"/>
      <c r="U366" s="14"/>
      <c r="V366" s="14"/>
      <c r="W366" s="315"/>
      <c r="X366" s="14"/>
      <c r="Y366" s="3036"/>
      <c r="Z366" s="3036"/>
      <c r="AA366" s="3036"/>
      <c r="AB366" s="3036"/>
      <c r="AC366" s="3036"/>
      <c r="AD366" s="3036"/>
      <c r="AE366" s="3036"/>
      <c r="AF366" s="3036"/>
      <c r="AG366" s="3036"/>
      <c r="AH366" s="3036"/>
      <c r="AI366" s="3036"/>
      <c r="AJ366" s="3036"/>
      <c r="AK366" s="3036"/>
      <c r="AL366" s="3036"/>
      <c r="AM366" s="3036"/>
      <c r="AN366" s="3036"/>
      <c r="AO366" s="3036"/>
      <c r="AP366" s="3036"/>
      <c r="AQ366" s="3036"/>
      <c r="AR366" s="3036"/>
    </row>
    <row r="367" spans="1:44" ht="18" customHeight="1" x14ac:dyDescent="0.25">
      <c r="A367" s="1392" t="str">
        <f>IF(F360&gt;2,"Его номер в таблице конвейеров","")</f>
        <v/>
      </c>
      <c r="B367" s="3064"/>
      <c r="C367" s="2992"/>
      <c r="D367" s="5"/>
      <c r="E367" s="1"/>
      <c r="F367" s="1"/>
      <c r="G367" s="1"/>
      <c r="Q367" s="14"/>
      <c r="R367" s="15"/>
      <c r="S367" s="14"/>
      <c r="T367" s="14"/>
      <c r="U367" s="14"/>
      <c r="V367" s="14"/>
      <c r="W367" s="315"/>
      <c r="X367" s="14"/>
      <c r="Y367" s="3036"/>
      <c r="Z367" s="3036"/>
      <c r="AA367" s="3036"/>
      <c r="AB367" s="3036"/>
      <c r="AC367" s="3036"/>
      <c r="AD367" s="3036"/>
      <c r="AE367" s="3036"/>
      <c r="AF367" s="3036"/>
      <c r="AG367" s="3036"/>
      <c r="AH367" s="3036"/>
      <c r="AI367" s="3036"/>
      <c r="AJ367" s="3036"/>
      <c r="AK367" s="3036"/>
      <c r="AL367" s="3036"/>
      <c r="AM367" s="3036"/>
      <c r="AN367" s="3036"/>
      <c r="AO367" s="3036"/>
      <c r="AP367" s="3036"/>
      <c r="AQ367" s="3036"/>
      <c r="AR367" s="3036"/>
    </row>
    <row r="368" spans="1:44" ht="18" customHeight="1" x14ac:dyDescent="0.2">
      <c r="A368" s="2027" t="str">
        <f>IF(F360&gt;3,"4-ый возможный тип конвейера","")</f>
        <v/>
      </c>
      <c r="B368" s="3064"/>
      <c r="C368" s="2992" t="str">
        <f>IF(F360&gt;3,INDEX($C$344:$C$358,B369),"")</f>
        <v/>
      </c>
      <c r="D368" s="5" t="e">
        <f t="shared" si="37"/>
        <v>#VALUE!</v>
      </c>
      <c r="E368" s="1"/>
      <c r="F368" s="1"/>
      <c r="G368" s="1"/>
      <c r="Q368" s="14"/>
      <c r="R368" s="15"/>
      <c r="S368" s="14"/>
      <c r="T368" s="14"/>
      <c r="U368" s="14"/>
      <c r="V368" s="14"/>
      <c r="W368" s="315"/>
      <c r="X368" s="14"/>
      <c r="Y368" s="3036"/>
      <c r="Z368" s="3036"/>
      <c r="AA368" s="3036"/>
      <c r="AB368" s="3036"/>
      <c r="AC368" s="3036"/>
      <c r="AD368" s="3036"/>
      <c r="AE368" s="3036"/>
      <c r="AF368" s="3036"/>
      <c r="AG368" s="3036"/>
      <c r="AH368" s="3036"/>
      <c r="AI368" s="3036"/>
      <c r="AJ368" s="3036"/>
      <c r="AK368" s="3036"/>
      <c r="AL368" s="3036"/>
      <c r="AM368" s="3036"/>
      <c r="AN368" s="3036"/>
      <c r="AO368" s="3036"/>
      <c r="AP368" s="3036"/>
      <c r="AQ368" s="3036"/>
      <c r="AR368" s="3036"/>
    </row>
    <row r="369" spans="1:44" ht="18" customHeight="1" x14ac:dyDescent="0.25">
      <c r="A369" s="1392" t="str">
        <f>IF(F360&gt;3,"Его номер в таблице конвейеров","")</f>
        <v/>
      </c>
      <c r="B369" s="3064"/>
      <c r="C369" s="2992"/>
      <c r="D369" s="5"/>
      <c r="E369" s="1"/>
      <c r="F369" s="1"/>
      <c r="G369" s="1"/>
      <c r="Q369" s="14"/>
      <c r="R369" s="15"/>
      <c r="S369" s="14"/>
      <c r="T369" s="14"/>
      <c r="U369" s="14"/>
      <c r="V369" s="14"/>
      <c r="W369" s="315"/>
      <c r="X369" s="14"/>
      <c r="Y369" s="3036"/>
      <c r="Z369" s="3036"/>
      <c r="AA369" s="3036"/>
      <c r="AB369" s="3036"/>
      <c r="AC369" s="3036"/>
      <c r="AD369" s="3036"/>
      <c r="AE369" s="3036"/>
      <c r="AF369" s="3036"/>
      <c r="AG369" s="3036"/>
      <c r="AH369" s="3036"/>
      <c r="AI369" s="3036"/>
      <c r="AJ369" s="3036"/>
      <c r="AK369" s="3036"/>
      <c r="AL369" s="3036"/>
      <c r="AM369" s="3036"/>
      <c r="AN369" s="3036"/>
      <c r="AO369" s="3036"/>
      <c r="AP369" s="3036"/>
      <c r="AQ369" s="3036"/>
      <c r="AR369" s="3036"/>
    </row>
    <row r="370" spans="1:44" ht="18" customHeight="1" x14ac:dyDescent="0.25">
      <c r="A370" s="1392" t="str">
        <f>IF(F360&gt;4,"5-ый возможный тип конвейера","")</f>
        <v/>
      </c>
      <c r="B370" s="3064"/>
      <c r="C370" s="2992" t="str">
        <f>IF(F360&gt;4,INDEX($C$344:$C$358,B371),"")</f>
        <v/>
      </c>
      <c r="D370" s="5" t="e">
        <f t="shared" si="37"/>
        <v>#VALUE!</v>
      </c>
      <c r="E370" s="1"/>
      <c r="F370" s="1"/>
      <c r="G370" s="1"/>
      <c r="Q370" s="14"/>
      <c r="R370" s="15"/>
      <c r="S370" s="14"/>
      <c r="T370" s="14"/>
      <c r="U370" s="14"/>
      <c r="V370" s="14"/>
      <c r="W370" s="315"/>
      <c r="X370" s="14"/>
      <c r="Y370" s="3036"/>
      <c r="Z370" s="3036"/>
      <c r="AA370" s="3036"/>
      <c r="AB370" s="3036"/>
      <c r="AC370" s="3036"/>
      <c r="AD370" s="3036"/>
      <c r="AE370" s="3036"/>
      <c r="AF370" s="3036"/>
      <c r="AG370" s="3036"/>
      <c r="AH370" s="3036"/>
      <c r="AI370" s="3036"/>
      <c r="AJ370" s="3036"/>
      <c r="AK370" s="3036"/>
      <c r="AL370" s="3036"/>
      <c r="AM370" s="3036"/>
      <c r="AN370" s="3036"/>
      <c r="AO370" s="3036"/>
      <c r="AP370" s="3036"/>
      <c r="AQ370" s="3036"/>
      <c r="AR370" s="3036"/>
    </row>
    <row r="371" spans="1:44" ht="18" customHeight="1" x14ac:dyDescent="0.2">
      <c r="A371" s="2027" t="str">
        <f>IF(F360&gt;4,"Его номер в таблице конвейеров","")</f>
        <v/>
      </c>
      <c r="B371" s="3064"/>
      <c r="C371" s="2992"/>
      <c r="D371" s="5"/>
      <c r="E371" s="1"/>
      <c r="F371" s="1"/>
      <c r="G371" s="1"/>
      <c r="Q371" s="14"/>
      <c r="R371" s="15"/>
      <c r="S371" s="14"/>
      <c r="T371" s="14"/>
      <c r="U371" s="14"/>
      <c r="V371" s="14"/>
      <c r="W371" s="315"/>
      <c r="X371" s="14"/>
      <c r="Y371" s="3036"/>
      <c r="Z371" s="3036"/>
      <c r="AA371" s="3036"/>
      <c r="AB371" s="3036"/>
      <c r="AC371" s="3036"/>
      <c r="AD371" s="3036"/>
      <c r="AE371" s="3036"/>
      <c r="AF371" s="3036"/>
      <c r="AG371" s="3036"/>
      <c r="AH371" s="3036"/>
      <c r="AI371" s="3036"/>
      <c r="AJ371" s="3036"/>
      <c r="AK371" s="3036"/>
      <c r="AL371" s="3036"/>
      <c r="AM371" s="3036"/>
      <c r="AN371" s="3036"/>
      <c r="AO371" s="3036"/>
      <c r="AP371" s="3036"/>
      <c r="AQ371" s="3036"/>
      <c r="AR371" s="3036"/>
    </row>
    <row r="372" spans="1:44" ht="18" customHeight="1" x14ac:dyDescent="0.2">
      <c r="A372" s="308"/>
      <c r="D372" s="2996"/>
      <c r="G372" s="1180"/>
      <c r="Q372" s="14"/>
      <c r="R372" s="15"/>
      <c r="S372" s="14"/>
      <c r="T372" s="14"/>
      <c r="U372" s="14"/>
      <c r="V372" s="14"/>
      <c r="W372" s="315"/>
      <c r="X372" s="14"/>
      <c r="Y372" s="2995"/>
      <c r="Z372" s="2995"/>
      <c r="AA372" s="2995"/>
      <c r="AB372" s="2995"/>
      <c r="AC372" s="2995"/>
      <c r="AD372" s="2995"/>
      <c r="AE372" s="2995"/>
      <c r="AF372" s="2995"/>
      <c r="AG372" s="2995"/>
      <c r="AH372" s="2995"/>
      <c r="AI372" s="2995"/>
      <c r="AJ372" s="2995"/>
      <c r="AK372" s="2995"/>
      <c r="AL372" s="2995"/>
      <c r="AM372" s="2995"/>
      <c r="AN372" s="2995"/>
      <c r="AO372" s="2995"/>
      <c r="AP372" s="2995"/>
      <c r="AQ372" s="2995"/>
      <c r="AR372" s="2995"/>
    </row>
    <row r="373" spans="1:44" ht="18" customHeight="1" x14ac:dyDescent="0.25">
      <c r="A373" s="1090" t="s">
        <v>5740</v>
      </c>
      <c r="B373" s="3061"/>
      <c r="D373" s="3037"/>
      <c r="G373" s="1180"/>
      <c r="Q373" s="14"/>
      <c r="R373" s="15"/>
      <c r="S373" s="14"/>
      <c r="T373" s="14"/>
      <c r="U373" s="14"/>
      <c r="V373" s="14"/>
      <c r="W373" s="315"/>
      <c r="X373" s="14"/>
      <c r="Y373" s="3036"/>
      <c r="Z373" s="3036"/>
      <c r="AA373" s="3036"/>
      <c r="AB373" s="3036"/>
      <c r="AC373" s="3036"/>
      <c r="AD373" s="3036"/>
      <c r="AE373" s="3036"/>
      <c r="AF373" s="3036"/>
      <c r="AG373" s="3036"/>
      <c r="AH373" s="3036"/>
      <c r="AI373" s="3036"/>
      <c r="AJ373" s="3036"/>
      <c r="AK373" s="3036"/>
      <c r="AL373" s="3036"/>
      <c r="AM373" s="3036"/>
      <c r="AN373" s="3036"/>
      <c r="AO373" s="3036"/>
      <c r="AP373" s="3036"/>
      <c r="AQ373" s="3036"/>
      <c r="AR373" s="3036"/>
    </row>
    <row r="374" spans="1:44" ht="18" customHeight="1" x14ac:dyDescent="0.25">
      <c r="A374" s="1090" t="s">
        <v>5741</v>
      </c>
      <c r="B374" s="3061"/>
      <c r="D374" s="3037"/>
      <c r="G374" s="1180"/>
      <c r="Q374" s="14"/>
      <c r="R374" s="15"/>
      <c r="S374" s="14"/>
      <c r="T374" s="14"/>
      <c r="U374" s="14"/>
      <c r="V374" s="14"/>
      <c r="W374" s="315"/>
      <c r="X374" s="14"/>
      <c r="Y374" s="3036"/>
      <c r="Z374" s="3036"/>
      <c r="AA374" s="3036"/>
      <c r="AB374" s="3036"/>
      <c r="AC374" s="3036"/>
      <c r="AD374" s="3036"/>
      <c r="AE374" s="3036"/>
      <c r="AF374" s="3036"/>
      <c r="AG374" s="3036"/>
      <c r="AH374" s="3036"/>
      <c r="AI374" s="3036"/>
      <c r="AJ374" s="3036"/>
      <c r="AK374" s="3036"/>
      <c r="AL374" s="3036"/>
      <c r="AM374" s="3036"/>
      <c r="AN374" s="3036"/>
      <c r="AO374" s="3036"/>
      <c r="AP374" s="3036"/>
      <c r="AQ374" s="3036"/>
      <c r="AR374" s="3036"/>
    </row>
    <row r="375" spans="1:44" ht="70.5" customHeight="1" x14ac:dyDescent="0.25">
      <c r="A375" s="893" t="s">
        <v>6812</v>
      </c>
      <c r="C375" s="4248" t="s">
        <v>6813</v>
      </c>
      <c r="D375" s="4264"/>
      <c r="E375" s="4248" t="s">
        <v>6814</v>
      </c>
      <c r="F375" s="3061"/>
      <c r="G375" s="1180"/>
      <c r="Q375" s="14"/>
      <c r="R375" s="15"/>
      <c r="S375" s="14"/>
      <c r="T375" s="14"/>
      <c r="U375" s="14"/>
      <c r="V375" s="14"/>
      <c r="W375" s="315"/>
      <c r="X375" s="14"/>
      <c r="Y375" s="3036"/>
      <c r="Z375" s="3036"/>
      <c r="AA375" s="3036"/>
      <c r="AB375" s="3036"/>
      <c r="AC375" s="3036"/>
      <c r="AD375" s="3036"/>
      <c r="AE375" s="3036"/>
      <c r="AF375" s="3036"/>
      <c r="AG375" s="3036"/>
      <c r="AH375" s="3036"/>
      <c r="AI375" s="3036"/>
      <c r="AJ375" s="3036"/>
      <c r="AK375" s="3036"/>
      <c r="AL375" s="3036"/>
      <c r="AM375" s="3036"/>
      <c r="AN375" s="3036"/>
      <c r="AO375" s="3036"/>
      <c r="AP375" s="3036"/>
      <c r="AQ375" s="3036"/>
      <c r="AR375" s="3036"/>
    </row>
    <row r="376" spans="1:44" ht="18" customHeight="1" x14ac:dyDescent="0.2">
      <c r="A376" s="308"/>
      <c r="D376" s="3037"/>
      <c r="G376" s="1180"/>
      <c r="Q376" s="14"/>
      <c r="R376" s="15"/>
      <c r="S376" s="14"/>
      <c r="T376" s="14"/>
      <c r="U376" s="14"/>
      <c r="V376" s="14"/>
      <c r="W376" s="315"/>
      <c r="X376" s="14"/>
      <c r="Y376" s="3036"/>
      <c r="Z376" s="3036"/>
      <c r="AA376" s="3036"/>
      <c r="AB376" s="3036"/>
      <c r="AC376" s="3036"/>
      <c r="AD376" s="3036"/>
      <c r="AE376" s="3036"/>
      <c r="AF376" s="3036"/>
      <c r="AG376" s="3036"/>
      <c r="AH376" s="3036"/>
      <c r="AI376" s="3036"/>
      <c r="AJ376" s="3036"/>
      <c r="AK376" s="3036"/>
      <c r="AL376" s="3036"/>
      <c r="AM376" s="3036"/>
      <c r="AN376" s="3036"/>
      <c r="AO376" s="3036"/>
      <c r="AP376" s="3036"/>
      <c r="AQ376" s="3036"/>
      <c r="AR376" s="3036"/>
    </row>
    <row r="377" spans="1:44" ht="18" customHeight="1" x14ac:dyDescent="0.25">
      <c r="A377" s="847"/>
      <c r="B377" s="345" t="s">
        <v>5685</v>
      </c>
      <c r="D377" s="223"/>
      <c r="G377" s="848"/>
      <c r="Q377" s="14"/>
      <c r="R377" s="15"/>
      <c r="S377" s="14"/>
      <c r="T377" s="14"/>
      <c r="U377" s="14"/>
      <c r="V377" s="14"/>
      <c r="W377" s="315"/>
      <c r="X377" s="14"/>
      <c r="Y377" s="42"/>
      <c r="Z377" s="42"/>
      <c r="AA377" s="42"/>
      <c r="AB377" s="42"/>
      <c r="AC377" s="42"/>
      <c r="AD377" s="42"/>
      <c r="AE377" s="42"/>
      <c r="AF377" s="42"/>
      <c r="AG377" s="42"/>
      <c r="AH377" s="42"/>
      <c r="AI377" s="42"/>
      <c r="AJ377" s="42"/>
      <c r="AK377" s="42"/>
      <c r="AL377" s="42"/>
      <c r="AM377" s="42"/>
      <c r="AN377" s="42"/>
      <c r="AO377" s="42"/>
      <c r="AP377" s="42"/>
      <c r="AQ377" s="42"/>
      <c r="AR377" s="42"/>
    </row>
    <row r="378" spans="1:44" ht="81.75" customHeight="1" x14ac:dyDescent="0.25">
      <c r="A378" s="4418" t="s">
        <v>1125</v>
      </c>
      <c r="B378" s="4411"/>
      <c r="C378" s="4411"/>
      <c r="D378" s="4411"/>
      <c r="E378" s="4411"/>
      <c r="F378" s="4412"/>
      <c r="G378" s="1013"/>
      <c r="Q378" s="14"/>
      <c r="R378" s="15"/>
      <c r="S378" s="14"/>
      <c r="T378" s="14"/>
      <c r="U378" s="14"/>
      <c r="V378" s="14"/>
      <c r="W378" s="315"/>
      <c r="X378" s="14"/>
      <c r="Y378" s="42"/>
      <c r="Z378" s="42"/>
      <c r="AA378" s="42"/>
      <c r="AB378" s="42"/>
      <c r="AC378" s="42"/>
      <c r="AD378" s="42"/>
      <c r="AE378" s="42"/>
      <c r="AF378" s="42"/>
      <c r="AG378" s="42"/>
      <c r="AH378" s="42"/>
      <c r="AI378" s="42"/>
      <c r="AJ378" s="42"/>
      <c r="AK378" s="42"/>
      <c r="AL378" s="42"/>
      <c r="AM378" s="42"/>
      <c r="AN378" s="42"/>
      <c r="AO378" s="42"/>
      <c r="AP378" s="42"/>
      <c r="AQ378" s="42"/>
      <c r="AR378" s="42"/>
    </row>
    <row r="379" spans="1:44" ht="39" customHeight="1" x14ac:dyDescent="0.25">
      <c r="A379" s="4398" t="str">
        <f>IF(G378="","",IF(G378=1,"Какой же комплект оборудования Вы принимаете в проекте?  1 - комбайн и мехкрепь, 2 - струг и мехкрепь",IF(G378=2,"")))</f>
        <v/>
      </c>
      <c r="B379" s="4399"/>
      <c r="C379" s="4399"/>
      <c r="D379" s="4399"/>
      <c r="E379" s="4399"/>
      <c r="F379" s="4400"/>
      <c r="G379" s="865"/>
      <c r="H379" s="345" t="s">
        <v>6756</v>
      </c>
      <c r="Q379" s="14"/>
      <c r="R379" s="15"/>
      <c r="S379" s="14"/>
      <c r="T379" s="14"/>
      <c r="U379" s="14"/>
      <c r="V379" s="14"/>
      <c r="W379" s="315"/>
      <c r="X379" s="14"/>
      <c r="Y379" s="42"/>
      <c r="Z379" s="42"/>
      <c r="AA379" s="42"/>
      <c r="AB379" s="42"/>
      <c r="AC379" s="42"/>
      <c r="AD379" s="42"/>
      <c r="AE379" s="42"/>
      <c r="AF379" s="42"/>
      <c r="AG379" s="42"/>
      <c r="AH379" s="42"/>
      <c r="AI379" s="42"/>
      <c r="AJ379" s="42"/>
      <c r="AK379" s="42"/>
      <c r="AL379" s="42"/>
      <c r="AM379" s="42"/>
      <c r="AN379" s="42"/>
      <c r="AO379" s="42"/>
      <c r="AP379" s="42"/>
      <c r="AQ379" s="42"/>
      <c r="AR379" s="42"/>
    </row>
    <row r="380" spans="1:44" ht="20.25" customHeight="1" x14ac:dyDescent="0.3">
      <c r="A380" s="1051"/>
      <c r="B380" s="1261" t="str">
        <f>IF(G378=2,"Переходите к строке","")</f>
        <v/>
      </c>
      <c r="C380" s="1262"/>
      <c r="D380" s="1262"/>
      <c r="E380" s="1262"/>
      <c r="F380" s="1263" t="str">
        <f>IF(G378=2,ROW(404:404),"")</f>
        <v/>
      </c>
      <c r="G380" s="1053"/>
      <c r="Q380" s="14"/>
      <c r="R380" s="15"/>
      <c r="S380" s="14"/>
      <c r="T380" s="14"/>
      <c r="U380" s="14"/>
      <c r="V380" s="14"/>
      <c r="W380" s="315"/>
      <c r="X380" s="14"/>
      <c r="Y380" s="42"/>
      <c r="Z380" s="42"/>
      <c r="AA380" s="42"/>
      <c r="AB380" s="42"/>
      <c r="AC380" s="42"/>
      <c r="AD380" s="42"/>
      <c r="AE380" s="42"/>
      <c r="AF380" s="42"/>
      <c r="AG380" s="42"/>
      <c r="AH380" s="42"/>
      <c r="AI380" s="42"/>
      <c r="AJ380" s="42"/>
      <c r="AK380" s="42"/>
      <c r="AL380" s="42"/>
      <c r="AM380" s="42"/>
      <c r="AN380" s="42"/>
      <c r="AO380" s="42"/>
      <c r="AP380" s="42"/>
      <c r="AQ380" s="42"/>
      <c r="AR380" s="42"/>
    </row>
    <row r="381" spans="1:44" ht="21" customHeight="1" x14ac:dyDescent="0.25">
      <c r="A381" s="1051"/>
      <c r="B381" s="1051"/>
      <c r="C381" s="1051"/>
      <c r="D381" s="1051"/>
      <c r="E381" s="1051"/>
      <c r="F381" s="1051"/>
      <c r="G381" s="1053"/>
      <c r="Q381" s="14"/>
      <c r="R381" s="15"/>
      <c r="S381" s="14"/>
      <c r="T381" s="14"/>
      <c r="U381" s="14"/>
      <c r="V381" s="14"/>
      <c r="W381" s="315"/>
      <c r="X381" s="14"/>
      <c r="Y381" s="42"/>
      <c r="Z381" s="42"/>
      <c r="AA381" s="42"/>
      <c r="AB381" s="42"/>
      <c r="AC381" s="42"/>
      <c r="AD381" s="42"/>
      <c r="AE381" s="42"/>
      <c r="AF381" s="42"/>
      <c r="AG381" s="42"/>
      <c r="AH381" s="42"/>
      <c r="AI381" s="42"/>
      <c r="AJ381" s="42"/>
      <c r="AK381" s="42"/>
      <c r="AL381" s="42"/>
      <c r="AM381" s="42"/>
      <c r="AN381" s="42"/>
      <c r="AO381" s="42"/>
      <c r="AP381" s="42"/>
      <c r="AQ381" s="42"/>
      <c r="AR381" s="42"/>
    </row>
    <row r="382" spans="1:44" ht="15" customHeight="1" x14ac:dyDescent="0.25">
      <c r="A382" s="1051"/>
      <c r="B382" s="1051"/>
      <c r="C382" s="1051"/>
      <c r="D382" s="1051"/>
      <c r="E382" s="1051"/>
      <c r="F382" s="1051"/>
      <c r="G382" s="1053"/>
      <c r="I382" s="1052"/>
      <c r="J382" s="1"/>
      <c r="K382" s="1"/>
      <c r="L382" s="1"/>
      <c r="M382" s="1"/>
      <c r="N382" s="1"/>
      <c r="O382" s="1"/>
      <c r="Q382" s="14"/>
      <c r="R382" s="15"/>
      <c r="S382" s="14"/>
      <c r="T382" s="14"/>
      <c r="U382" s="14"/>
      <c r="V382" s="14"/>
      <c r="W382" s="315"/>
      <c r="X382" s="14"/>
      <c r="Y382" s="42"/>
      <c r="Z382" s="42"/>
      <c r="AA382" s="42"/>
      <c r="AB382" s="42"/>
      <c r="AC382" s="42"/>
      <c r="AD382" s="42"/>
      <c r="AE382" s="42"/>
      <c r="AF382" s="42"/>
      <c r="AG382" s="42"/>
      <c r="AH382" s="42"/>
      <c r="AI382" s="42"/>
      <c r="AJ382" s="42"/>
      <c r="AK382" s="42"/>
      <c r="AL382" s="42"/>
      <c r="AM382" s="42"/>
      <c r="AN382" s="42"/>
      <c r="AO382" s="42"/>
      <c r="AP382" s="42"/>
      <c r="AQ382" s="42"/>
      <c r="AR382" s="42"/>
    </row>
    <row r="383" spans="1:44" ht="23.25" customHeight="1" x14ac:dyDescent="0.25">
      <c r="B383" s="1059" t="s">
        <v>5405</v>
      </c>
      <c r="D383" s="1060">
        <f>ROW(387:387)</f>
        <v>387</v>
      </c>
      <c r="E383" s="1059" t="s">
        <v>3322</v>
      </c>
      <c r="I383" s="1052"/>
      <c r="J383" s="1"/>
      <c r="K383" s="1"/>
      <c r="L383" s="1"/>
      <c r="M383" s="1"/>
      <c r="N383" s="1"/>
      <c r="O383" s="1"/>
      <c r="Q383" s="14"/>
      <c r="R383" s="15"/>
      <c r="S383" s="14"/>
      <c r="T383" s="14"/>
      <c r="U383" s="14"/>
      <c r="V383" s="14"/>
      <c r="W383" s="315"/>
      <c r="X383" s="14"/>
      <c r="Y383" s="42"/>
      <c r="Z383" s="42"/>
      <c r="AA383" s="42"/>
      <c r="AB383" s="42"/>
      <c r="AC383" s="42"/>
      <c r="AD383" s="42"/>
      <c r="AE383" s="42"/>
      <c r="AF383" s="42"/>
      <c r="AG383" s="42"/>
      <c r="AH383" s="42"/>
      <c r="AI383" s="42"/>
      <c r="AJ383" s="42"/>
      <c r="AK383" s="42"/>
      <c r="AL383" s="42"/>
      <c r="AM383" s="42"/>
      <c r="AN383" s="42"/>
      <c r="AO383" s="42"/>
      <c r="AP383" s="42"/>
      <c r="AQ383" s="42"/>
      <c r="AR383" s="42"/>
    </row>
    <row r="384" spans="1:44" ht="15" customHeight="1" x14ac:dyDescent="0.25">
      <c r="A384" s="1051"/>
      <c r="B384" s="1184" t="s">
        <v>3939</v>
      </c>
      <c r="C384" s="1051"/>
      <c r="D384" s="1051"/>
      <c r="E384" s="1051"/>
      <c r="F384" s="1051"/>
      <c r="G384" s="1053"/>
      <c r="I384" s="1052"/>
      <c r="J384" s="1"/>
      <c r="K384" s="1"/>
      <c r="L384" s="1"/>
      <c r="M384" s="1"/>
      <c r="N384" s="1"/>
      <c r="O384" s="1"/>
      <c r="Q384" s="14"/>
      <c r="R384" s="15"/>
      <c r="S384" s="14"/>
      <c r="T384" s="14"/>
      <c r="U384" s="14"/>
      <c r="V384" s="14"/>
      <c r="W384" s="315"/>
      <c r="X384" s="14"/>
      <c r="Y384" s="42"/>
      <c r="Z384" s="42"/>
      <c r="AA384" s="42"/>
      <c r="AB384" s="42"/>
      <c r="AC384" s="42"/>
      <c r="AD384" s="42"/>
      <c r="AE384" s="42"/>
      <c r="AF384" s="42"/>
      <c r="AG384" s="42"/>
      <c r="AH384" s="42"/>
      <c r="AI384" s="42"/>
      <c r="AJ384" s="42"/>
      <c r="AK384" s="42"/>
      <c r="AL384" s="42"/>
      <c r="AM384" s="42"/>
      <c r="AN384" s="42"/>
      <c r="AO384" s="42"/>
      <c r="AP384" s="42"/>
      <c r="AQ384" s="42"/>
      <c r="AR384" s="42"/>
    </row>
    <row r="385" spans="1:44" ht="15" customHeight="1" x14ac:dyDescent="0.25">
      <c r="A385" s="1051"/>
      <c r="B385" s="1184" t="s">
        <v>2794</v>
      </c>
      <c r="C385" s="1051"/>
      <c r="D385" s="1051"/>
      <c r="E385" s="1060">
        <f>ROW(205:205)</f>
        <v>205</v>
      </c>
      <c r="F385" s="1051"/>
      <c r="G385" s="1053"/>
      <c r="I385" s="1052"/>
      <c r="J385" s="1"/>
      <c r="K385" s="1"/>
      <c r="L385" s="1"/>
      <c r="M385" s="1"/>
      <c r="N385" s="1"/>
      <c r="O385" s="1"/>
      <c r="Q385" s="14"/>
      <c r="R385" s="15"/>
      <c r="S385" s="14"/>
      <c r="T385" s="14"/>
      <c r="U385" s="14"/>
      <c r="V385" s="14"/>
      <c r="W385" s="315"/>
      <c r="X385" s="14"/>
      <c r="Y385" s="42"/>
      <c r="Z385" s="42"/>
      <c r="AA385" s="42"/>
      <c r="AB385" s="42"/>
      <c r="AC385" s="42"/>
      <c r="AD385" s="42"/>
      <c r="AE385" s="42"/>
      <c r="AF385" s="42"/>
      <c r="AG385" s="42"/>
      <c r="AH385" s="42"/>
      <c r="AI385" s="42"/>
      <c r="AJ385" s="42"/>
      <c r="AK385" s="42"/>
      <c r="AL385" s="42"/>
      <c r="AM385" s="42"/>
      <c r="AN385" s="42"/>
      <c r="AO385" s="42"/>
      <c r="AP385" s="42"/>
      <c r="AQ385" s="42"/>
      <c r="AR385" s="42"/>
    </row>
    <row r="386" spans="1:44" ht="15" customHeight="1" x14ac:dyDescent="0.25">
      <c r="A386" s="1051"/>
      <c r="B386" s="1184"/>
      <c r="C386" s="1051"/>
      <c r="D386" s="1051"/>
      <c r="E386" s="1060"/>
      <c r="F386" s="1051"/>
      <c r="G386" s="1053"/>
      <c r="I386" s="1052"/>
      <c r="J386" s="1"/>
      <c r="K386" s="1"/>
      <c r="L386" s="1"/>
      <c r="M386" s="1"/>
      <c r="N386" s="1"/>
      <c r="O386" s="1"/>
      <c r="Q386" s="14"/>
      <c r="R386" s="15"/>
      <c r="S386" s="14"/>
      <c r="T386" s="14"/>
      <c r="U386" s="14"/>
      <c r="V386" s="14"/>
      <c r="W386" s="315"/>
      <c r="X386" s="14"/>
      <c r="Y386" s="42"/>
      <c r="Z386" s="42"/>
      <c r="AA386" s="42"/>
      <c r="AB386" s="42"/>
      <c r="AC386" s="42"/>
      <c r="AD386" s="42"/>
      <c r="AE386" s="42"/>
      <c r="AF386" s="42"/>
      <c r="AG386" s="42"/>
      <c r="AH386" s="42"/>
      <c r="AI386" s="42"/>
      <c r="AJ386" s="42"/>
      <c r="AK386" s="42"/>
      <c r="AL386" s="42"/>
      <c r="AM386" s="42"/>
      <c r="AN386" s="42"/>
      <c r="AO386" s="42"/>
      <c r="AP386" s="42"/>
      <c r="AQ386" s="42"/>
      <c r="AR386" s="42"/>
    </row>
    <row r="387" spans="1:44" ht="15" customHeight="1" x14ac:dyDescent="0.3">
      <c r="A387" s="1051"/>
      <c r="B387" s="1075" t="str">
        <f>IF(AND(G378=1,G379=1),"Проектом принята комплексно механизированная комбайновая лава",IF(AND(G378=1,G379=2),"Проектом принята комплексно механизированная струговая лава",""))</f>
        <v/>
      </c>
      <c r="C387" s="1051"/>
      <c r="D387" s="1051"/>
      <c r="F387" s="1051"/>
      <c r="G387" s="1053"/>
      <c r="I387" s="1052"/>
      <c r="J387" s="1"/>
      <c r="K387" s="1"/>
      <c r="L387" s="1"/>
      <c r="M387" s="1"/>
      <c r="N387" s="1"/>
      <c r="O387" s="1"/>
      <c r="Q387" s="14"/>
      <c r="R387" s="15"/>
      <c r="S387" s="14"/>
      <c r="T387" s="14"/>
      <c r="U387" s="14"/>
      <c r="V387" s="14"/>
      <c r="W387" s="315"/>
      <c r="X387" s="14"/>
      <c r="Y387" s="42"/>
      <c r="Z387" s="42"/>
      <c r="AA387" s="42"/>
      <c r="AB387" s="42"/>
      <c r="AC387" s="42"/>
      <c r="AD387" s="42"/>
      <c r="AE387" s="42"/>
      <c r="AF387" s="42"/>
      <c r="AG387" s="42"/>
      <c r="AH387" s="42"/>
      <c r="AI387" s="42"/>
      <c r="AJ387" s="42"/>
      <c r="AK387" s="42"/>
      <c r="AL387" s="42"/>
      <c r="AM387" s="42"/>
      <c r="AN387" s="42"/>
      <c r="AO387" s="42"/>
      <c r="AP387" s="42"/>
      <c r="AQ387" s="42"/>
      <c r="AR387" s="42"/>
    </row>
    <row r="388" spans="1:44" ht="15" customHeight="1" x14ac:dyDescent="0.25">
      <c r="A388" s="1051"/>
      <c r="H388" s="795" t="s">
        <v>714</v>
      </c>
      <c r="I388" s="795" t="s">
        <v>1863</v>
      </c>
      <c r="J388" s="1"/>
      <c r="K388" s="1"/>
      <c r="L388" s="1"/>
      <c r="M388" s="1"/>
      <c r="N388" s="1"/>
      <c r="O388" s="1"/>
      <c r="Q388" s="14"/>
      <c r="R388" s="15"/>
      <c r="S388" s="14"/>
      <c r="T388" s="14"/>
      <c r="U388" s="14"/>
      <c r="V388" s="14"/>
      <c r="W388" s="315"/>
      <c r="X388" s="14"/>
      <c r="Y388" s="42"/>
      <c r="Z388" s="42"/>
      <c r="AA388" s="42"/>
      <c r="AB388" s="42"/>
      <c r="AC388" s="42"/>
      <c r="AD388" s="42"/>
      <c r="AE388" s="42"/>
      <c r="AF388" s="42"/>
      <c r="AG388" s="42"/>
      <c r="AH388" s="42"/>
      <c r="AI388" s="42"/>
      <c r="AJ388" s="42"/>
      <c r="AK388" s="42"/>
      <c r="AL388" s="42"/>
      <c r="AM388" s="42"/>
      <c r="AN388" s="42"/>
      <c r="AO388" s="42"/>
      <c r="AP388" s="42"/>
      <c r="AQ388" s="42"/>
      <c r="AR388" s="42"/>
    </row>
    <row r="389" spans="1:44" ht="15" customHeight="1" x14ac:dyDescent="0.25">
      <c r="A389" s="405"/>
      <c r="B389" s="1191" t="str">
        <f>IF(AND(G378=1,G379=1),"Принятый в проекте тип комбайна","Не заполнять!")</f>
        <v>Не заполнять!</v>
      </c>
      <c r="C389" s="861"/>
      <c r="D389" s="861"/>
      <c r="E389" s="861"/>
      <c r="F389" s="861"/>
      <c r="G389" s="863"/>
      <c r="H389" s="3075">
        <f>B328</f>
        <v>0</v>
      </c>
      <c r="I389" s="3075">
        <f>B329</f>
        <v>0</v>
      </c>
      <c r="J389" s="362"/>
      <c r="K389" s="1"/>
      <c r="L389" s="73"/>
      <c r="M389" s="73"/>
      <c r="Q389" s="14"/>
      <c r="R389" s="15"/>
      <c r="S389" s="14"/>
      <c r="T389" s="14"/>
      <c r="U389" s="14"/>
      <c r="V389" s="14"/>
      <c r="W389" s="315"/>
      <c r="X389" s="14"/>
      <c r="Y389" s="42"/>
      <c r="Z389" s="42"/>
      <c r="AA389" s="42"/>
      <c r="AB389" s="42"/>
      <c r="AC389" s="42"/>
      <c r="AD389" s="42"/>
      <c r="AE389" s="42"/>
      <c r="AF389" s="42"/>
      <c r="AG389" s="42"/>
      <c r="AH389" s="42"/>
      <c r="AI389" s="42"/>
      <c r="AJ389" s="42"/>
      <c r="AK389" s="42"/>
      <c r="AL389" s="42"/>
      <c r="AM389" s="42"/>
      <c r="AN389" s="42"/>
      <c r="AO389" s="42"/>
      <c r="AP389" s="42"/>
      <c r="AQ389" s="42"/>
      <c r="AR389" s="42"/>
    </row>
    <row r="390" spans="1:44" ht="15" customHeight="1" x14ac:dyDescent="0.25">
      <c r="A390" s="405"/>
      <c r="B390" s="1191" t="str">
        <f>IF(AND(G378=1,G379=1),"Ширина захвата комбайна, м","Не заполнять !")</f>
        <v>Не заполнять !</v>
      </c>
      <c r="C390" s="861"/>
      <c r="D390" s="861"/>
      <c r="E390" s="861"/>
      <c r="F390" s="861"/>
      <c r="G390" s="863"/>
      <c r="H390" s="3075">
        <f>B330</f>
        <v>0</v>
      </c>
      <c r="I390" s="3075"/>
      <c r="J390" s="362"/>
      <c r="K390" s="1"/>
      <c r="L390" s="73"/>
      <c r="M390" s="73"/>
      <c r="Q390" s="14"/>
      <c r="R390" s="15"/>
      <c r="S390" s="14"/>
      <c r="T390" s="14"/>
      <c r="U390" s="14"/>
      <c r="V390" s="14"/>
      <c r="W390" s="315"/>
      <c r="X390" s="14"/>
      <c r="Y390" s="42"/>
      <c r="Z390" s="42"/>
      <c r="AA390" s="42"/>
      <c r="AB390" s="42"/>
      <c r="AC390" s="42"/>
      <c r="AD390" s="42"/>
      <c r="AE390" s="42"/>
      <c r="AF390" s="42"/>
      <c r="AG390" s="42"/>
      <c r="AH390" s="42"/>
      <c r="AI390" s="42"/>
      <c r="AJ390" s="42"/>
      <c r="AK390" s="42"/>
      <c r="AL390" s="42"/>
      <c r="AM390" s="42"/>
      <c r="AN390" s="42"/>
      <c r="AO390" s="42"/>
      <c r="AP390" s="42"/>
      <c r="AQ390" s="42"/>
      <c r="AR390" s="42"/>
    </row>
    <row r="391" spans="1:44" ht="15" customHeight="1" x14ac:dyDescent="0.25">
      <c r="A391" s="29"/>
      <c r="B391" s="1191" t="str">
        <f>IF(AND(G378=1,G379=1),"Принятый в проекте тип конвейера","Не заполнять !")</f>
        <v>Не заполнять !</v>
      </c>
      <c r="C391" s="861"/>
      <c r="D391" s="861"/>
      <c r="E391" s="861"/>
      <c r="F391" s="861"/>
      <c r="G391" s="863"/>
      <c r="H391" s="3075">
        <f>B373</f>
        <v>0</v>
      </c>
      <c r="I391" s="3075">
        <f>B374</f>
        <v>0</v>
      </c>
      <c r="J391" s="362"/>
      <c r="K391" s="1"/>
      <c r="L391" s="73"/>
      <c r="M391" s="73"/>
      <c r="Q391" s="14"/>
      <c r="R391" s="15"/>
      <c r="S391" s="14"/>
      <c r="T391" s="14"/>
      <c r="U391" s="14"/>
      <c r="V391" s="14"/>
      <c r="W391" s="315"/>
      <c r="X391" s="14"/>
      <c r="Y391" s="42"/>
      <c r="Z391" s="42"/>
      <c r="AA391" s="42"/>
      <c r="AB391" s="42"/>
      <c r="AC391" s="42"/>
      <c r="AD391" s="42"/>
      <c r="AE391" s="42"/>
      <c r="AF391" s="42"/>
      <c r="AG391" s="42"/>
      <c r="AH391" s="42"/>
      <c r="AI391" s="42"/>
      <c r="AJ391" s="42"/>
      <c r="AK391" s="42"/>
      <c r="AL391" s="42"/>
      <c r="AM391" s="42"/>
      <c r="AN391" s="42"/>
      <c r="AO391" s="42"/>
      <c r="AP391" s="42"/>
      <c r="AQ391" s="42"/>
      <c r="AR391" s="42"/>
    </row>
    <row r="392" spans="1:44" ht="15" customHeight="1" x14ac:dyDescent="0.25">
      <c r="B392" s="1191" t="str">
        <f>IF(AND(G378=1,G379=1),"Принятый в проекте тип крепи в комбайновой лаве","Не заполнять !")</f>
        <v>Не заполнять !</v>
      </c>
      <c r="C392" s="861"/>
      <c r="D392" s="861"/>
      <c r="E392" s="861"/>
      <c r="F392" s="861"/>
      <c r="G392" s="863"/>
      <c r="H392" s="3075">
        <f>B286</f>
        <v>0</v>
      </c>
      <c r="I392" s="3075">
        <f>B287</f>
        <v>0</v>
      </c>
      <c r="J392" s="362"/>
      <c r="K392" s="1"/>
      <c r="Q392" s="14"/>
      <c r="R392" s="15"/>
      <c r="S392" s="14"/>
      <c r="T392" s="14"/>
      <c r="U392" s="14"/>
      <c r="V392" s="14"/>
      <c r="W392" s="315"/>
      <c r="X392" s="14"/>
      <c r="Y392" s="42"/>
      <c r="Z392" s="42"/>
      <c r="AA392" s="42"/>
      <c r="AB392" s="42"/>
      <c r="AC392" s="42"/>
      <c r="AD392" s="42"/>
      <c r="AE392" s="42"/>
      <c r="AF392" s="42"/>
      <c r="AG392" s="42"/>
      <c r="AH392" s="42"/>
      <c r="AI392" s="42"/>
      <c r="AJ392" s="42"/>
      <c r="AK392" s="42"/>
      <c r="AL392" s="42"/>
      <c r="AM392" s="42"/>
      <c r="AN392" s="42"/>
      <c r="AO392" s="42"/>
      <c r="AP392" s="42"/>
      <c r="AQ392" s="42"/>
      <c r="AR392" s="42"/>
    </row>
    <row r="393" spans="1:44" ht="15" customHeight="1" x14ac:dyDescent="0.25">
      <c r="B393" s="1191" t="str">
        <f>IF(AND(G378=1,G379=2),"Принятый в проекте тип струговой установки","Не заполнять !")</f>
        <v>Не заполнять !</v>
      </c>
      <c r="C393" s="861"/>
      <c r="D393" s="861"/>
      <c r="E393" s="861"/>
      <c r="F393" s="861"/>
      <c r="G393" s="863"/>
      <c r="H393" s="3075"/>
      <c r="I393" s="3075"/>
      <c r="J393" s="362"/>
      <c r="K393" s="1"/>
      <c r="Q393" s="14"/>
      <c r="R393" s="15"/>
      <c r="S393" s="14"/>
      <c r="T393" s="14"/>
      <c r="U393" s="14"/>
      <c r="V393" s="14"/>
      <c r="W393" s="315"/>
      <c r="X393" s="14"/>
      <c r="Y393" s="42"/>
      <c r="Z393" s="42"/>
      <c r="AA393" s="42"/>
      <c r="AB393" s="42"/>
      <c r="AC393" s="42"/>
      <c r="AD393" s="42"/>
      <c r="AE393" s="42"/>
      <c r="AF393" s="42"/>
      <c r="AG393" s="42"/>
      <c r="AH393" s="42"/>
      <c r="AI393" s="42"/>
      <c r="AJ393" s="42"/>
      <c r="AK393" s="42"/>
      <c r="AL393" s="42"/>
      <c r="AM393" s="42"/>
      <c r="AN393" s="42"/>
      <c r="AO393" s="42"/>
      <c r="AP393" s="42"/>
      <c r="AQ393" s="42"/>
      <c r="AR393" s="42"/>
    </row>
    <row r="394" spans="1:44" ht="15" customHeight="1" x14ac:dyDescent="0.25">
      <c r="B394" s="1191" t="str">
        <f>IF(AND(G378=1,G379=2),"Принятый в проекте тип крепи в струговой лаве","Не заполнять !")</f>
        <v>Не заполнять !</v>
      </c>
      <c r="C394" s="861"/>
      <c r="D394" s="861"/>
      <c r="E394" s="861"/>
      <c r="F394" s="861"/>
      <c r="G394" s="863"/>
      <c r="H394" s="3075"/>
      <c r="I394" s="3075"/>
      <c r="J394" s="1"/>
      <c r="K394" s="1"/>
      <c r="M394" s="239"/>
      <c r="N394" s="239"/>
      <c r="O394" s="239"/>
      <c r="P394" s="239"/>
      <c r="Q394" s="14"/>
      <c r="R394" s="14"/>
      <c r="S394" s="14"/>
      <c r="T394" s="14"/>
      <c r="U394" s="14"/>
      <c r="V394" s="14"/>
      <c r="W394" s="315"/>
      <c r="X394" s="14"/>
      <c r="Y394" s="42"/>
      <c r="Z394" s="42"/>
      <c r="AA394" s="42"/>
      <c r="AB394" s="42"/>
      <c r="AC394" s="42"/>
      <c r="AD394" s="42"/>
      <c r="AE394" s="42"/>
      <c r="AF394" s="42"/>
      <c r="AG394" s="42"/>
      <c r="AH394" s="42"/>
      <c r="AI394" s="42"/>
      <c r="AJ394" s="42"/>
      <c r="AK394" s="42"/>
      <c r="AL394" s="42"/>
      <c r="AM394" s="42"/>
      <c r="AN394" s="42"/>
      <c r="AO394" s="42"/>
      <c r="AP394" s="42"/>
      <c r="AQ394" s="42"/>
      <c r="AR394" s="42"/>
    </row>
    <row r="395" spans="1:44" ht="15" customHeight="1" x14ac:dyDescent="0.2">
      <c r="Q395" s="14"/>
      <c r="R395" s="15"/>
      <c r="S395" s="14"/>
      <c r="T395" s="14"/>
      <c r="U395" s="14"/>
      <c r="V395" s="14"/>
      <c r="W395" s="315"/>
      <c r="X395" s="14"/>
      <c r="Y395" s="42"/>
      <c r="Z395" s="42"/>
      <c r="AA395" s="42"/>
      <c r="AB395" s="42"/>
      <c r="AC395" s="42"/>
      <c r="AD395" s="42"/>
      <c r="AE395" s="42"/>
      <c r="AF395" s="42"/>
      <c r="AG395" s="42"/>
      <c r="AH395" s="42"/>
      <c r="AI395" s="42"/>
      <c r="AJ395" s="42"/>
      <c r="AK395" s="42"/>
      <c r="AL395" s="42"/>
      <c r="AM395" s="42"/>
      <c r="AN395" s="42"/>
      <c r="AO395" s="42"/>
      <c r="AP395" s="42"/>
      <c r="AQ395" s="42"/>
      <c r="AR395" s="42"/>
    </row>
    <row r="396" spans="1:44" ht="15" customHeight="1" x14ac:dyDescent="0.25">
      <c r="B396" s="345" t="str">
        <f>IF(G378=2,"","Переходите к выбору типа крепи в нишах (строка")</f>
        <v>Переходите к выбору типа крепи в нишах (строка</v>
      </c>
      <c r="H396" s="2428">
        <f>IF(G378=2,"",ROW(851:851))</f>
        <v>851</v>
      </c>
      <c r="Q396" s="14"/>
      <c r="R396" s="15"/>
      <c r="S396" s="14"/>
      <c r="T396" s="14"/>
      <c r="U396" s="14"/>
      <c r="V396" s="14"/>
      <c r="W396" s="315"/>
      <c r="X396" s="14"/>
      <c r="Y396" s="42"/>
      <c r="Z396" s="42"/>
      <c r="AA396" s="42"/>
      <c r="AB396" s="42"/>
      <c r="AC396" s="42"/>
      <c r="AD396" s="42"/>
      <c r="AE396" s="42"/>
      <c r="AF396" s="42"/>
      <c r="AG396" s="42"/>
      <c r="AH396" s="42"/>
      <c r="AI396" s="42"/>
      <c r="AJ396" s="42"/>
      <c r="AK396" s="42"/>
      <c r="AL396" s="42"/>
      <c r="AM396" s="42"/>
      <c r="AN396" s="42"/>
      <c r="AO396" s="42"/>
      <c r="AP396" s="42"/>
      <c r="AQ396" s="42"/>
      <c r="AR396" s="42"/>
    </row>
    <row r="397" spans="1:44" ht="19.5" customHeight="1" x14ac:dyDescent="0.25">
      <c r="A397" s="214"/>
      <c r="B397" s="14"/>
      <c r="C397" s="15"/>
      <c r="D397" s="14"/>
      <c r="E397" s="14"/>
      <c r="F397" s="14"/>
      <c r="G397" s="14"/>
      <c r="H397" s="14"/>
      <c r="I397" s="14"/>
      <c r="M397" s="1"/>
      <c r="N397" s="1"/>
      <c r="O397" s="1"/>
      <c r="P397" s="335"/>
      <c r="Q397" s="14"/>
      <c r="R397" s="15"/>
      <c r="S397" s="14"/>
      <c r="T397" s="14"/>
      <c r="U397" s="14"/>
      <c r="V397" s="14"/>
      <c r="W397" s="315"/>
      <c r="X397" s="14"/>
      <c r="Y397" s="42"/>
      <c r="Z397" s="42"/>
      <c r="AA397" s="42"/>
      <c r="AB397" s="42"/>
      <c r="AC397" s="42"/>
      <c r="AD397" s="42"/>
      <c r="AE397" s="42"/>
      <c r="AF397" s="42"/>
      <c r="AG397" s="42"/>
      <c r="AH397" s="42"/>
      <c r="AI397" s="42"/>
      <c r="AJ397" s="42"/>
      <c r="AK397" s="42"/>
      <c r="AL397" s="42"/>
      <c r="AM397" s="42"/>
      <c r="AN397" s="42"/>
      <c r="AO397" s="42"/>
      <c r="AP397" s="42"/>
      <c r="AQ397" s="42"/>
      <c r="AR397" s="42"/>
    </row>
    <row r="398" spans="1:44" ht="17.25" customHeight="1" x14ac:dyDescent="0.2">
      <c r="A398" s="308"/>
      <c r="C398" s="1061"/>
      <c r="D398" s="985"/>
      <c r="E398" s="1061"/>
      <c r="F398" s="985"/>
      <c r="G398" s="1061"/>
      <c r="H398" s="985"/>
      <c r="I398" s="1061"/>
      <c r="J398" s="985"/>
      <c r="K398" s="1192"/>
      <c r="M398" s="1"/>
      <c r="W398" s="315"/>
      <c r="X398" s="14"/>
      <c r="Y398" s="42"/>
      <c r="Z398" s="42"/>
      <c r="AA398" s="42"/>
      <c r="AB398" s="42"/>
      <c r="AC398" s="42"/>
      <c r="AD398" s="42"/>
      <c r="AE398" s="42"/>
      <c r="AF398" s="42"/>
      <c r="AG398" s="42"/>
      <c r="AH398" s="42"/>
      <c r="AI398" s="42"/>
      <c r="AJ398" s="42"/>
      <c r="AK398" s="42"/>
      <c r="AL398" s="42"/>
      <c r="AM398" s="42"/>
      <c r="AN398" s="42"/>
      <c r="AO398" s="42"/>
      <c r="AP398" s="42"/>
      <c r="AQ398" s="42"/>
      <c r="AR398" s="42"/>
    </row>
    <row r="399" spans="1:44" ht="17.25" customHeight="1" x14ac:dyDescent="0.2">
      <c r="A399" s="405"/>
      <c r="C399" s="1"/>
      <c r="D399" s="1"/>
      <c r="E399" s="1"/>
      <c r="F399" s="1"/>
      <c r="G399" s="1"/>
      <c r="H399" s="1"/>
      <c r="I399" s="1"/>
      <c r="J399" s="1"/>
      <c r="K399" s="73"/>
      <c r="L399" s="73"/>
      <c r="M399" s="73"/>
      <c r="W399" s="315"/>
      <c r="X399" s="14"/>
      <c r="Y399" s="42"/>
      <c r="Z399" s="42"/>
      <c r="AA399" s="42"/>
      <c r="AB399" s="42"/>
      <c r="AC399" s="42"/>
      <c r="AD399" s="42"/>
      <c r="AE399" s="42"/>
      <c r="AF399" s="42"/>
      <c r="AG399" s="42"/>
      <c r="AH399" s="42"/>
      <c r="AI399" s="42"/>
      <c r="AJ399" s="42"/>
      <c r="AK399" s="42"/>
      <c r="AL399" s="42"/>
      <c r="AM399" s="42"/>
      <c r="AN399" s="42"/>
      <c r="AO399" s="42"/>
      <c r="AP399" s="42"/>
      <c r="AQ399" s="42"/>
      <c r="AR399" s="42"/>
    </row>
    <row r="400" spans="1:44" ht="17.25" customHeight="1" x14ac:dyDescent="0.2">
      <c r="A400" s="405"/>
      <c r="I400" s="488"/>
      <c r="J400" s="488"/>
      <c r="K400" s="73"/>
      <c r="L400" s="73"/>
      <c r="M400" s="73"/>
      <c r="W400" s="315"/>
      <c r="X400" s="14"/>
      <c r="Y400" s="42"/>
      <c r="Z400" s="42"/>
      <c r="AA400" s="42"/>
      <c r="AB400" s="42"/>
      <c r="AC400" s="42"/>
      <c r="AD400" s="42"/>
      <c r="AE400" s="42"/>
      <c r="AF400" s="42"/>
      <c r="AG400" s="42"/>
      <c r="AH400" s="42"/>
      <c r="AI400" s="42"/>
      <c r="AJ400" s="42"/>
      <c r="AK400" s="42"/>
      <c r="AL400" s="42"/>
      <c r="AM400" s="42"/>
      <c r="AN400" s="42"/>
      <c r="AO400" s="42"/>
      <c r="AP400" s="42"/>
      <c r="AQ400" s="42"/>
      <c r="AR400" s="42"/>
    </row>
    <row r="401" spans="1:44" ht="17.25" customHeight="1" x14ac:dyDescent="0.2">
      <c r="A401" s="242"/>
      <c r="B401" s="242"/>
      <c r="C401" s="242"/>
      <c r="D401" s="242"/>
      <c r="E401" s="242"/>
      <c r="F401" s="242"/>
      <c r="G401" s="242"/>
      <c r="H401" s="242"/>
      <c r="I401" s="242"/>
      <c r="J401" s="242"/>
      <c r="K401" s="242"/>
      <c r="L401" s="242"/>
      <c r="M401" s="242"/>
      <c r="N401" s="242"/>
      <c r="O401" s="242"/>
      <c r="P401" s="242"/>
      <c r="W401" s="315"/>
      <c r="X401" s="14"/>
      <c r="Y401" s="42"/>
      <c r="Z401" s="42"/>
      <c r="AA401" s="42"/>
      <c r="AB401" s="42"/>
      <c r="AC401" s="42"/>
      <c r="AD401" s="42"/>
      <c r="AE401" s="42"/>
      <c r="AF401" s="42"/>
      <c r="AG401" s="42"/>
      <c r="AH401" s="42"/>
      <c r="AI401" s="42"/>
      <c r="AJ401" s="42"/>
      <c r="AK401" s="42"/>
      <c r="AL401" s="42"/>
      <c r="AM401" s="42"/>
      <c r="AN401" s="42"/>
      <c r="AO401" s="42"/>
      <c r="AP401" s="42"/>
      <c r="AQ401" s="42"/>
      <c r="AR401" s="42"/>
    </row>
    <row r="402" spans="1:44" ht="17.25" customHeight="1" x14ac:dyDescent="0.2">
      <c r="R402" s="15"/>
      <c r="S402" s="14"/>
      <c r="T402" s="14"/>
      <c r="U402" s="14"/>
      <c r="V402" s="14"/>
      <c r="W402" s="315"/>
      <c r="X402" s="14"/>
      <c r="Y402" s="42"/>
      <c r="Z402" s="42"/>
      <c r="AA402" s="42"/>
      <c r="AB402" s="42"/>
      <c r="AC402" s="42"/>
      <c r="AD402" s="42"/>
      <c r="AE402" s="42"/>
      <c r="AF402" s="42"/>
      <c r="AG402" s="42"/>
      <c r="AH402" s="42"/>
      <c r="AI402" s="42"/>
      <c r="AJ402" s="42"/>
      <c r="AK402" s="42"/>
      <c r="AL402" s="42"/>
      <c r="AM402" s="42"/>
      <c r="AN402" s="42"/>
      <c r="AO402" s="42"/>
      <c r="AP402" s="42"/>
      <c r="AQ402" s="42"/>
      <c r="AR402" s="42"/>
    </row>
    <row r="403" spans="1:44" ht="17.25" customHeight="1" x14ac:dyDescent="0.2">
      <c r="A403" s="8"/>
      <c r="B403" s="8"/>
      <c r="C403" s="8"/>
      <c r="D403" s="8"/>
      <c r="E403" s="8"/>
      <c r="F403" s="8"/>
      <c r="G403" s="8"/>
      <c r="H403" s="8"/>
      <c r="I403" s="8"/>
      <c r="J403" s="8"/>
      <c r="K403" s="8"/>
      <c r="L403" s="8"/>
      <c r="M403" s="8"/>
      <c r="N403" s="8"/>
      <c r="O403" s="8"/>
      <c r="P403" s="8"/>
      <c r="R403" s="15"/>
      <c r="S403" s="14"/>
      <c r="T403" s="14"/>
      <c r="U403" s="14"/>
      <c r="V403" s="14"/>
      <c r="W403" s="315"/>
      <c r="X403" s="14"/>
      <c r="Y403" s="42"/>
      <c r="Z403" s="42"/>
      <c r="AA403" s="42"/>
      <c r="AB403" s="42"/>
      <c r="AC403" s="42"/>
      <c r="AD403" s="42"/>
      <c r="AE403" s="42"/>
      <c r="AF403" s="42"/>
      <c r="AG403" s="42"/>
      <c r="AH403" s="42"/>
      <c r="AI403" s="42"/>
      <c r="AJ403" s="42"/>
      <c r="AK403" s="42"/>
      <c r="AL403" s="42"/>
      <c r="AM403" s="42"/>
      <c r="AN403" s="42"/>
      <c r="AO403" s="42"/>
      <c r="AP403" s="42"/>
      <c r="AQ403" s="42"/>
      <c r="AR403" s="42"/>
    </row>
    <row r="404" spans="1:44" ht="17.25" customHeight="1" x14ac:dyDescent="0.25">
      <c r="A404" s="242"/>
      <c r="B404" s="856" t="s">
        <v>1379</v>
      </c>
      <c r="C404" s="242"/>
      <c r="D404" s="242"/>
      <c r="E404" s="242"/>
      <c r="F404" s="242"/>
      <c r="G404" s="242"/>
      <c r="H404" s="242"/>
      <c r="I404" s="242"/>
      <c r="J404" s="242"/>
      <c r="K404" s="242"/>
      <c r="L404" s="242"/>
      <c r="M404" s="242"/>
      <c r="N404" s="242"/>
      <c r="O404" s="8"/>
      <c r="P404" s="8"/>
      <c r="R404" s="15"/>
      <c r="S404" s="14"/>
      <c r="T404" s="14"/>
      <c r="U404" s="14"/>
      <c r="V404" s="14"/>
      <c r="W404" s="315"/>
      <c r="X404" s="14"/>
      <c r="Y404" s="42"/>
      <c r="Z404" s="42"/>
      <c r="AA404" s="42"/>
      <c r="AB404" s="42"/>
      <c r="AC404" s="42"/>
      <c r="AD404" s="42"/>
      <c r="AE404" s="42"/>
      <c r="AF404" s="42"/>
      <c r="AG404" s="42"/>
      <c r="AH404" s="42"/>
      <c r="AI404" s="42"/>
      <c r="AJ404" s="42"/>
      <c r="AK404" s="42"/>
      <c r="AL404" s="42"/>
      <c r="AM404" s="42"/>
      <c r="AN404" s="42"/>
      <c r="AO404" s="42"/>
      <c r="AP404" s="42"/>
      <c r="AQ404" s="42"/>
      <c r="AR404" s="42"/>
    </row>
    <row r="405" spans="1:44" ht="17.25" customHeight="1" x14ac:dyDescent="0.25">
      <c r="A405" s="997" t="s">
        <v>6529</v>
      </c>
      <c r="C405" s="8"/>
      <c r="D405" s="8"/>
      <c r="E405" s="8"/>
      <c r="F405" s="8"/>
      <c r="G405" s="8"/>
      <c r="H405" s="8"/>
      <c r="I405" s="8"/>
      <c r="K405" s="332"/>
      <c r="M405" s="8"/>
      <c r="N405" s="8"/>
      <c r="O405" s="8"/>
      <c r="P405" s="8"/>
      <c r="R405" s="15"/>
      <c r="S405" s="14"/>
      <c r="T405" s="14"/>
      <c r="U405" s="14"/>
      <c r="V405" s="14"/>
      <c r="W405" s="315"/>
      <c r="X405" s="14"/>
      <c r="Y405" s="42"/>
      <c r="Z405" s="42"/>
      <c r="AA405" s="42"/>
      <c r="AB405" s="42"/>
      <c r="AC405" s="42"/>
      <c r="AD405" s="42"/>
      <c r="AE405" s="42"/>
      <c r="AF405" s="42"/>
      <c r="AG405" s="42"/>
      <c r="AH405" s="42"/>
      <c r="AI405" s="42"/>
      <c r="AJ405" s="42"/>
      <c r="AK405" s="42"/>
      <c r="AL405" s="42"/>
      <c r="AM405" s="42"/>
      <c r="AN405" s="42"/>
      <c r="AO405" s="42"/>
      <c r="AP405" s="42"/>
      <c r="AQ405" s="42"/>
      <c r="AR405" s="42"/>
    </row>
    <row r="406" spans="1:44" ht="17.25" customHeight="1" x14ac:dyDescent="0.25">
      <c r="A406" s="4012" t="s">
        <v>6528</v>
      </c>
      <c r="B406" s="858"/>
      <c r="C406" s="829"/>
      <c r="D406" s="8"/>
      <c r="E406" s="8"/>
      <c r="F406" s="8"/>
      <c r="G406" s="8"/>
      <c r="H406" s="8"/>
      <c r="J406" s="8"/>
      <c r="K406" s="8"/>
      <c r="L406" s="8"/>
      <c r="M406" s="8"/>
      <c r="N406" s="8"/>
      <c r="O406" s="8"/>
      <c r="P406" s="8"/>
      <c r="R406" s="15"/>
      <c r="S406" s="14"/>
      <c r="T406" s="14"/>
      <c r="U406" s="14"/>
      <c r="V406" s="14"/>
      <c r="W406" s="315"/>
      <c r="X406" s="14"/>
      <c r="Y406" s="42"/>
      <c r="Z406" s="42"/>
      <c r="AA406" s="42"/>
      <c r="AB406" s="42"/>
      <c r="AC406" s="42"/>
      <c r="AD406" s="42"/>
      <c r="AE406" s="42"/>
      <c r="AF406" s="42"/>
      <c r="AG406" s="42"/>
      <c r="AH406" s="42"/>
      <c r="AI406" s="42"/>
      <c r="AJ406" s="42"/>
      <c r="AK406" s="42"/>
      <c r="AL406" s="42"/>
      <c r="AM406" s="42"/>
      <c r="AN406" s="42"/>
      <c r="AO406" s="42"/>
      <c r="AP406" s="42"/>
      <c r="AQ406" s="42"/>
      <c r="AR406" s="42"/>
    </row>
    <row r="407" spans="1:44" ht="17.25" customHeight="1" x14ac:dyDescent="0.25">
      <c r="A407" s="8"/>
      <c r="B407" s="858"/>
      <c r="C407" s="8"/>
      <c r="D407" s="8"/>
      <c r="E407" s="833" t="s">
        <v>3762</v>
      </c>
      <c r="F407" s="8"/>
      <c r="G407" s="8"/>
      <c r="H407" s="4013" t="str">
        <f>IF(K405=1,ROW(409:409),IF(K405=2,ROW(#REF!),""))</f>
        <v/>
      </c>
      <c r="I407" s="8"/>
      <c r="J407" s="8"/>
      <c r="K407" s="8"/>
      <c r="L407" s="8"/>
      <c r="M407" s="8"/>
      <c r="N407" s="8"/>
      <c r="O407" s="8"/>
      <c r="P407" s="8"/>
      <c r="R407" s="15"/>
      <c r="S407" s="14"/>
      <c r="T407" s="14"/>
      <c r="U407" s="14"/>
      <c r="V407" s="14"/>
      <c r="W407" s="315"/>
      <c r="X407" s="14"/>
      <c r="Y407" s="42"/>
      <c r="Z407" s="42"/>
      <c r="AA407" s="42"/>
      <c r="AB407" s="42"/>
      <c r="AC407" s="42"/>
      <c r="AD407" s="42"/>
      <c r="AE407" s="42"/>
      <c r="AF407" s="42"/>
      <c r="AG407" s="42"/>
      <c r="AH407" s="42"/>
      <c r="AI407" s="42"/>
      <c r="AJ407" s="42"/>
      <c r="AK407" s="42"/>
      <c r="AL407" s="42"/>
      <c r="AM407" s="42"/>
      <c r="AN407" s="42"/>
      <c r="AO407" s="42"/>
      <c r="AP407" s="42"/>
      <c r="AQ407" s="42"/>
      <c r="AR407" s="42"/>
    </row>
    <row r="408" spans="1:44" ht="17.25" customHeight="1" x14ac:dyDescent="0.25">
      <c r="A408" s="8"/>
      <c r="B408" s="858"/>
      <c r="C408" s="8"/>
      <c r="D408" s="8"/>
      <c r="E408" s="8"/>
      <c r="F408" s="8"/>
      <c r="G408" s="8"/>
      <c r="H408" s="8"/>
      <c r="I408" s="8"/>
      <c r="J408" s="8"/>
      <c r="K408" s="8"/>
      <c r="L408" s="8"/>
      <c r="M408" s="8"/>
      <c r="N408" s="8"/>
      <c r="O408" s="8"/>
      <c r="P408" s="8"/>
      <c r="R408" s="15"/>
      <c r="S408" s="14"/>
      <c r="T408" s="14"/>
      <c r="U408" s="14"/>
      <c r="V408" s="14"/>
      <c r="W408" s="315"/>
      <c r="X408" s="14"/>
      <c r="Y408" s="42"/>
      <c r="Z408" s="42"/>
      <c r="AA408" s="42"/>
      <c r="AB408" s="42"/>
      <c r="AC408" s="42"/>
      <c r="AD408" s="42"/>
      <c r="AE408" s="42"/>
      <c r="AF408" s="42"/>
      <c r="AG408" s="42"/>
      <c r="AH408" s="42"/>
      <c r="AI408" s="42"/>
      <c r="AJ408" s="42"/>
      <c r="AK408" s="42"/>
      <c r="AL408" s="42"/>
      <c r="AM408" s="42"/>
      <c r="AN408" s="42"/>
      <c r="AO408" s="42"/>
      <c r="AP408" s="42"/>
      <c r="AQ408" s="42"/>
      <c r="AR408" s="42"/>
    </row>
    <row r="409" spans="1:44" ht="17.25" customHeight="1" x14ac:dyDescent="0.3">
      <c r="A409" s="8"/>
      <c r="B409" s="858"/>
      <c r="C409" s="859" t="s">
        <v>1910</v>
      </c>
      <c r="D409" s="8"/>
      <c r="E409" s="8"/>
      <c r="F409" s="8"/>
      <c r="G409" s="8"/>
      <c r="H409" s="8"/>
      <c r="I409" s="8"/>
      <c r="J409" s="8"/>
      <c r="K409" s="8"/>
      <c r="L409" s="8"/>
      <c r="M409" s="8"/>
      <c r="N409" s="8"/>
      <c r="O409" s="8"/>
      <c r="P409" s="8"/>
      <c r="R409" s="15"/>
      <c r="S409" s="14"/>
      <c r="T409" s="14"/>
      <c r="U409" s="14"/>
      <c r="V409" s="14"/>
      <c r="W409" s="315"/>
      <c r="X409" s="14"/>
      <c r="Y409" s="42"/>
      <c r="Z409" s="42"/>
      <c r="AA409" s="42"/>
      <c r="AB409" s="42"/>
      <c r="AC409" s="42"/>
      <c r="AD409" s="42"/>
      <c r="AE409" s="42"/>
      <c r="AF409" s="42"/>
      <c r="AG409" s="42"/>
      <c r="AH409" s="42"/>
      <c r="AI409" s="42"/>
      <c r="AJ409" s="42"/>
      <c r="AK409" s="42"/>
      <c r="AL409" s="42"/>
      <c r="AM409" s="42"/>
      <c r="AN409" s="42"/>
      <c r="AO409" s="42"/>
      <c r="AP409" s="42"/>
      <c r="AQ409" s="42"/>
      <c r="AR409" s="42"/>
    </row>
    <row r="410" spans="1:44" ht="17.25" customHeight="1" x14ac:dyDescent="0.3">
      <c r="A410" s="1076" t="s">
        <v>1993</v>
      </c>
      <c r="B410" s="858"/>
      <c r="C410" s="859"/>
      <c r="D410" s="8"/>
      <c r="E410" s="8"/>
      <c r="F410" s="8"/>
      <c r="G410" s="8"/>
      <c r="H410" s="8"/>
      <c r="I410" s="8"/>
      <c r="J410" s="8"/>
      <c r="K410" s="8"/>
      <c r="L410" s="8"/>
      <c r="M410" s="8"/>
      <c r="N410" s="8"/>
      <c r="O410" s="8"/>
      <c r="P410" s="8"/>
      <c r="R410" s="15"/>
      <c r="S410" s="14"/>
      <c r="T410" s="14"/>
      <c r="U410" s="14"/>
      <c r="V410" s="14"/>
      <c r="W410" s="315"/>
      <c r="X410" s="14"/>
      <c r="Y410" s="42"/>
      <c r="Z410" s="42"/>
      <c r="AA410" s="42"/>
      <c r="AB410" s="42"/>
      <c r="AC410" s="42"/>
      <c r="AD410" s="42"/>
      <c r="AE410" s="42"/>
      <c r="AF410" s="42"/>
      <c r="AG410" s="42"/>
      <c r="AH410" s="42"/>
      <c r="AI410" s="42"/>
      <c r="AJ410" s="42"/>
      <c r="AK410" s="42"/>
      <c r="AL410" s="42"/>
      <c r="AM410" s="42"/>
      <c r="AN410" s="42"/>
      <c r="AO410" s="42"/>
      <c r="AP410" s="42"/>
      <c r="AQ410" s="42"/>
      <c r="AR410" s="42"/>
    </row>
    <row r="411" spans="1:44" ht="17.25" customHeight="1" x14ac:dyDescent="0.3">
      <c r="A411" s="1076" t="s">
        <v>3225</v>
      </c>
      <c r="B411" s="858"/>
      <c r="C411" s="859"/>
      <c r="D411" s="8"/>
      <c r="E411" s="8"/>
      <c r="F411" s="8"/>
      <c r="G411" s="8"/>
      <c r="H411" s="8"/>
      <c r="I411" s="8"/>
      <c r="J411" s="8"/>
      <c r="K411" s="8"/>
      <c r="L411" s="8"/>
      <c r="M411" s="8"/>
      <c r="N411" s="8"/>
      <c r="O411" s="8"/>
      <c r="P411" s="8"/>
      <c r="R411" s="15"/>
      <c r="S411" s="14"/>
      <c r="T411" s="14"/>
      <c r="U411" s="14"/>
      <c r="V411" s="14"/>
      <c r="W411" s="315"/>
      <c r="X411" s="14"/>
      <c r="Y411" s="42"/>
      <c r="Z411" s="42"/>
      <c r="AA411" s="42"/>
      <c r="AB411" s="42"/>
      <c r="AC411" s="42"/>
      <c r="AD411" s="42"/>
      <c r="AE411" s="42"/>
      <c r="AF411" s="42"/>
      <c r="AG411" s="42"/>
      <c r="AH411" s="42"/>
      <c r="AI411" s="42"/>
      <c r="AJ411" s="42"/>
      <c r="AK411" s="42"/>
      <c r="AL411" s="42"/>
      <c r="AM411" s="42"/>
      <c r="AN411" s="42"/>
      <c r="AO411" s="42"/>
      <c r="AP411" s="42"/>
      <c r="AQ411" s="42"/>
      <c r="AR411" s="42"/>
    </row>
    <row r="412" spans="1:44" ht="17.25" customHeight="1" x14ac:dyDescent="0.3">
      <c r="A412" s="1076" t="s">
        <v>3226</v>
      </c>
      <c r="B412" s="858"/>
      <c r="C412" s="859"/>
      <c r="D412" s="8"/>
      <c r="E412" s="8"/>
      <c r="F412" s="8"/>
      <c r="G412" s="8"/>
      <c r="H412" s="8"/>
      <c r="I412" s="8"/>
      <c r="J412" s="8"/>
      <c r="K412" s="8"/>
      <c r="L412" s="8"/>
      <c r="M412" s="8"/>
      <c r="N412" s="8"/>
      <c r="O412" s="8"/>
      <c r="P412" s="8"/>
      <c r="R412" s="15"/>
      <c r="S412" s="14"/>
      <c r="T412" s="14"/>
      <c r="U412" s="14"/>
      <c r="V412" s="14"/>
      <c r="W412" s="315"/>
      <c r="X412" s="14"/>
      <c r="Y412" s="42"/>
      <c r="Z412" s="42"/>
      <c r="AA412" s="42"/>
      <c r="AB412" s="42"/>
      <c r="AC412" s="42"/>
      <c r="AD412" s="42"/>
      <c r="AE412" s="42"/>
      <c r="AF412" s="42"/>
      <c r="AG412" s="42"/>
      <c r="AH412" s="42"/>
      <c r="AI412" s="42"/>
      <c r="AJ412" s="42"/>
      <c r="AK412" s="42"/>
      <c r="AL412" s="42"/>
      <c r="AM412" s="42"/>
      <c r="AN412" s="42"/>
      <c r="AO412" s="42"/>
      <c r="AP412" s="42"/>
      <c r="AQ412" s="42"/>
      <c r="AR412" s="42"/>
    </row>
    <row r="413" spans="1:44" ht="17.25" customHeight="1" x14ac:dyDescent="0.3">
      <c r="A413" s="1076" t="s">
        <v>3227</v>
      </c>
      <c r="B413" s="858"/>
      <c r="C413" s="859"/>
      <c r="D413" s="8"/>
      <c r="E413" s="8"/>
      <c r="F413" s="8"/>
      <c r="G413" s="8"/>
      <c r="H413" s="8"/>
      <c r="I413" s="8"/>
      <c r="J413" s="8"/>
      <c r="K413" s="8"/>
      <c r="L413" s="8"/>
      <c r="M413" s="8"/>
      <c r="N413" s="8"/>
      <c r="O413" s="8"/>
      <c r="P413" s="8"/>
      <c r="R413" s="15"/>
      <c r="S413" s="14"/>
      <c r="T413" s="14"/>
      <c r="U413" s="14"/>
      <c r="V413" s="14"/>
      <c r="W413" s="315"/>
      <c r="X413" s="14"/>
      <c r="Y413" s="42"/>
      <c r="Z413" s="42"/>
      <c r="AA413" s="42"/>
      <c r="AB413" s="42"/>
      <c r="AC413" s="42"/>
      <c r="AD413" s="42"/>
      <c r="AE413" s="42"/>
      <c r="AF413" s="42"/>
      <c r="AG413" s="42"/>
      <c r="AH413" s="42"/>
      <c r="AI413" s="42"/>
      <c r="AJ413" s="42"/>
      <c r="AK413" s="42"/>
      <c r="AL413" s="42"/>
      <c r="AM413" s="42"/>
      <c r="AN413" s="42"/>
      <c r="AO413" s="42"/>
      <c r="AP413" s="42"/>
      <c r="AQ413" s="42"/>
      <c r="AR413" s="42"/>
    </row>
    <row r="414" spans="1:44" ht="17.25" customHeight="1" x14ac:dyDescent="0.3">
      <c r="A414" s="1076" t="s">
        <v>3947</v>
      </c>
      <c r="B414" s="858"/>
      <c r="C414" s="859"/>
      <c r="D414" s="8"/>
      <c r="E414" s="8"/>
      <c r="F414" s="8"/>
      <c r="G414" s="8"/>
      <c r="H414" s="8"/>
      <c r="I414" s="8"/>
      <c r="J414" s="8"/>
      <c r="K414" s="8"/>
      <c r="L414" s="8"/>
      <c r="M414" s="8"/>
      <c r="N414" s="8"/>
      <c r="O414" s="8"/>
      <c r="P414" s="8"/>
      <c r="R414" s="15"/>
      <c r="S414" s="14"/>
      <c r="T414" s="14"/>
      <c r="U414" s="14"/>
      <c r="V414" s="14"/>
      <c r="W414" s="315"/>
      <c r="X414" s="14"/>
      <c r="Y414" s="42"/>
      <c r="Z414" s="42"/>
      <c r="AA414" s="42"/>
      <c r="AB414" s="42"/>
      <c r="AC414" s="42"/>
      <c r="AD414" s="42"/>
      <c r="AE414" s="42"/>
      <c r="AF414" s="42"/>
      <c r="AG414" s="42"/>
      <c r="AH414" s="42"/>
      <c r="AI414" s="42"/>
      <c r="AJ414" s="42"/>
      <c r="AK414" s="42"/>
      <c r="AL414" s="42"/>
      <c r="AM414" s="42"/>
      <c r="AN414" s="42"/>
      <c r="AO414" s="42"/>
      <c r="AP414" s="42"/>
      <c r="AQ414" s="42"/>
      <c r="AR414" s="42"/>
    </row>
    <row r="415" spans="1:44" ht="17.25" customHeight="1" x14ac:dyDescent="0.3">
      <c r="A415" s="1076" t="s">
        <v>2957</v>
      </c>
      <c r="B415" s="858"/>
      <c r="C415" s="859"/>
      <c r="D415" s="8"/>
      <c r="E415" s="8"/>
      <c r="F415" s="8"/>
      <c r="G415" s="8"/>
      <c r="H415" s="8"/>
      <c r="I415" s="8"/>
      <c r="J415" s="8"/>
      <c r="L415" s="8"/>
      <c r="M415" s="8"/>
      <c r="N415" s="8"/>
      <c r="O415" s="8"/>
      <c r="P415" s="8"/>
      <c r="R415" s="15"/>
      <c r="S415" s="14"/>
      <c r="T415" s="14"/>
      <c r="U415" s="14"/>
      <c r="V415" s="14"/>
      <c r="W415" s="315"/>
      <c r="X415" s="14"/>
      <c r="Y415" s="42"/>
      <c r="Z415" s="42"/>
      <c r="AA415" s="42"/>
      <c r="AB415" s="42"/>
      <c r="AC415" s="42"/>
      <c r="AD415" s="42"/>
      <c r="AE415" s="42"/>
      <c r="AF415" s="42"/>
      <c r="AG415" s="42"/>
      <c r="AH415" s="42"/>
      <c r="AI415" s="42"/>
      <c r="AJ415" s="42"/>
      <c r="AK415" s="42"/>
      <c r="AL415" s="42"/>
      <c r="AM415" s="42"/>
      <c r="AN415" s="42"/>
      <c r="AO415" s="42"/>
      <c r="AP415" s="42"/>
      <c r="AQ415" s="42"/>
      <c r="AR415" s="42"/>
    </row>
    <row r="416" spans="1:44" ht="17.25" customHeight="1" x14ac:dyDescent="0.3">
      <c r="A416" s="1076" t="s">
        <v>3948</v>
      </c>
      <c r="B416" s="858"/>
      <c r="C416" s="859"/>
      <c r="D416" s="8"/>
      <c r="E416" s="8"/>
      <c r="F416" s="8"/>
      <c r="G416" s="8"/>
      <c r="H416" s="8"/>
      <c r="I416" s="4014">
        <f>ROW(436:436)</f>
        <v>436</v>
      </c>
      <c r="J416" s="8"/>
      <c r="L416" s="8"/>
      <c r="M416" s="8"/>
      <c r="N416" s="8"/>
      <c r="O416" s="8"/>
      <c r="P416" s="8"/>
      <c r="R416" s="15"/>
      <c r="S416" s="14"/>
      <c r="T416" s="14"/>
      <c r="U416" s="14"/>
      <c r="V416" s="14"/>
      <c r="W416" s="315"/>
      <c r="X416" s="14"/>
      <c r="Y416" s="42"/>
      <c r="Z416" s="42"/>
      <c r="AA416" s="42"/>
      <c r="AB416" s="42"/>
      <c r="AC416" s="42"/>
      <c r="AD416" s="42"/>
      <c r="AE416" s="42"/>
      <c r="AF416" s="42"/>
      <c r="AG416" s="42"/>
      <c r="AH416" s="42"/>
      <c r="AI416" s="42"/>
      <c r="AJ416" s="42"/>
      <c r="AK416" s="42"/>
      <c r="AL416" s="42"/>
      <c r="AM416" s="42"/>
      <c r="AN416" s="42"/>
      <c r="AO416" s="42"/>
      <c r="AP416" s="42"/>
      <c r="AQ416" s="42"/>
      <c r="AR416" s="42"/>
    </row>
    <row r="417" spans="1:44" ht="17.25" customHeight="1" x14ac:dyDescent="0.3">
      <c r="A417" s="8"/>
      <c r="B417" s="858"/>
      <c r="C417" s="859"/>
      <c r="D417" s="8"/>
      <c r="E417" s="8"/>
      <c r="F417" s="8"/>
      <c r="G417" s="8"/>
      <c r="H417" s="8"/>
      <c r="I417" s="8"/>
      <c r="J417" s="8"/>
      <c r="K417" s="8"/>
      <c r="L417" s="8"/>
      <c r="M417" s="8"/>
      <c r="N417" s="8"/>
      <c r="O417" s="8"/>
      <c r="P417" s="8"/>
      <c r="R417" s="15"/>
      <c r="S417" s="14"/>
      <c r="T417" s="14"/>
      <c r="U417" s="14"/>
      <c r="V417" s="14"/>
      <c r="W417" s="315"/>
      <c r="X417" s="14"/>
      <c r="Y417" s="42"/>
      <c r="Z417" s="42"/>
      <c r="AA417" s="42"/>
      <c r="AB417" s="42"/>
      <c r="AC417" s="42"/>
      <c r="AD417" s="42"/>
      <c r="AE417" s="42"/>
      <c r="AF417" s="42"/>
      <c r="AG417" s="42"/>
      <c r="AH417" s="42"/>
      <c r="AI417" s="42"/>
      <c r="AJ417" s="42"/>
      <c r="AK417" s="42"/>
      <c r="AL417" s="42"/>
      <c r="AM417" s="42"/>
      <c r="AN417" s="42"/>
      <c r="AO417" s="42"/>
      <c r="AP417" s="42"/>
      <c r="AQ417" s="42"/>
      <c r="AR417" s="42"/>
    </row>
    <row r="418" spans="1:44" ht="17.25" customHeight="1" x14ac:dyDescent="0.2">
      <c r="A418" s="308" t="s">
        <v>3211</v>
      </c>
      <c r="B418" s="214"/>
      <c r="C418" s="214"/>
      <c r="D418" s="214"/>
      <c r="E418" s="214"/>
      <c r="F418" s="214"/>
      <c r="G418" s="254"/>
      <c r="I418" s="11"/>
      <c r="K418" s="8"/>
      <c r="L418" s="8"/>
      <c r="M418" s="8"/>
      <c r="N418" s="8"/>
      <c r="O418" s="8"/>
      <c r="P418" s="8"/>
      <c r="R418" s="15"/>
      <c r="S418" s="14"/>
      <c r="T418" s="14"/>
      <c r="U418" s="14"/>
      <c r="V418" s="14"/>
      <c r="W418" s="315"/>
      <c r="X418" s="14"/>
      <c r="Y418" s="42"/>
      <c r="Z418" s="42"/>
      <c r="AA418" s="42"/>
      <c r="AB418" s="42"/>
      <c r="AC418" s="42"/>
      <c r="AD418" s="42"/>
      <c r="AE418" s="42"/>
      <c r="AF418" s="42"/>
      <c r="AG418" s="42"/>
      <c r="AH418" s="42"/>
      <c r="AI418" s="42"/>
      <c r="AJ418" s="42"/>
      <c r="AK418" s="42"/>
      <c r="AL418" s="42"/>
      <c r="AM418" s="42"/>
      <c r="AN418" s="42"/>
      <c r="AO418" s="42"/>
      <c r="AP418" s="42"/>
      <c r="AQ418" s="42"/>
      <c r="AR418" s="42"/>
    </row>
    <row r="419" spans="1:44" ht="17.25" customHeight="1" x14ac:dyDescent="0.2">
      <c r="A419" s="308" t="s">
        <v>4811</v>
      </c>
      <c r="B419" s="214"/>
      <c r="C419" s="214"/>
      <c r="D419" s="214"/>
      <c r="E419" s="214"/>
      <c r="F419" s="214"/>
      <c r="G419" s="254"/>
      <c r="I419" s="11"/>
      <c r="K419" s="8"/>
      <c r="L419" s="8"/>
      <c r="M419" s="8"/>
      <c r="N419" s="8"/>
      <c r="O419" s="8"/>
      <c r="P419" s="8"/>
      <c r="R419" s="15"/>
      <c r="S419" s="14"/>
      <c r="T419" s="14"/>
      <c r="U419" s="14"/>
      <c r="V419" s="14"/>
      <c r="W419" s="315"/>
      <c r="X419" s="14"/>
      <c r="Y419" s="42"/>
      <c r="Z419" s="42"/>
      <c r="AA419" s="42"/>
      <c r="AB419" s="42"/>
      <c r="AC419" s="42"/>
      <c r="AD419" s="42"/>
      <c r="AE419" s="42"/>
      <c r="AF419" s="42"/>
      <c r="AG419" s="42"/>
      <c r="AH419" s="42"/>
      <c r="AI419" s="42"/>
      <c r="AJ419" s="42"/>
      <c r="AK419" s="42"/>
      <c r="AL419" s="42"/>
      <c r="AM419" s="42"/>
      <c r="AN419" s="42"/>
      <c r="AO419" s="42"/>
      <c r="AP419" s="42"/>
      <c r="AQ419" s="42"/>
      <c r="AR419" s="42"/>
    </row>
    <row r="420" spans="1:44" ht="17.25" customHeight="1" x14ac:dyDescent="0.2">
      <c r="A420" t="s">
        <v>1450</v>
      </c>
      <c r="C420" s="234">
        <f>ROW(437:437)</f>
        <v>437</v>
      </c>
      <c r="G420" s="233"/>
      <c r="I420" s="11"/>
      <c r="K420" s="8"/>
      <c r="L420" s="8"/>
      <c r="M420" s="8"/>
      <c r="N420" s="8"/>
      <c r="O420" s="8"/>
      <c r="P420" s="8"/>
      <c r="R420" s="15"/>
      <c r="S420" s="14"/>
      <c r="T420" s="14"/>
      <c r="U420" s="14"/>
      <c r="V420" s="14"/>
      <c r="W420" s="315"/>
      <c r="X420" s="14"/>
      <c r="Y420" s="42"/>
      <c r="Z420" s="42"/>
      <c r="AA420" s="42"/>
      <c r="AB420" s="42"/>
      <c r="AC420" s="42"/>
      <c r="AD420" s="42"/>
      <c r="AE420" s="42"/>
      <c r="AF420" s="42"/>
      <c r="AG420" s="42"/>
      <c r="AH420" s="42"/>
      <c r="AI420" s="42"/>
      <c r="AJ420" s="42"/>
      <c r="AK420" s="42"/>
      <c r="AL420" s="42"/>
      <c r="AM420" s="42"/>
      <c r="AN420" s="42"/>
      <c r="AO420" s="42"/>
      <c r="AP420" s="42"/>
      <c r="AQ420" s="42"/>
      <c r="AR420" s="42"/>
    </row>
    <row r="421" spans="1:44" ht="17.25" customHeight="1" x14ac:dyDescent="0.2">
      <c r="A421" s="210" t="s">
        <v>4573</v>
      </c>
      <c r="C421" s="211"/>
      <c r="G421" s="233"/>
      <c r="I421" s="11"/>
      <c r="K421" s="8"/>
      <c r="L421" s="8"/>
      <c r="M421" s="8"/>
      <c r="N421" s="8"/>
      <c r="O421" s="8"/>
      <c r="P421" s="8"/>
      <c r="R421" s="15"/>
      <c r="S421" s="14"/>
      <c r="T421" s="14"/>
      <c r="U421" s="14"/>
      <c r="V421" s="14"/>
      <c r="W421" s="315"/>
      <c r="X421" s="14"/>
      <c r="Y421" s="42"/>
      <c r="Z421" s="42"/>
      <c r="AA421" s="42"/>
      <c r="AB421" s="42"/>
      <c r="AC421" s="42"/>
      <c r="AD421" s="42"/>
      <c r="AE421" s="42"/>
      <c r="AF421" s="42"/>
      <c r="AG421" s="42"/>
      <c r="AH421" s="42"/>
      <c r="AI421" s="42"/>
      <c r="AJ421" s="42"/>
      <c r="AK421" s="42"/>
      <c r="AL421" s="42"/>
      <c r="AM421" s="42"/>
      <c r="AN421" s="42"/>
      <c r="AO421" s="42"/>
      <c r="AP421" s="42"/>
      <c r="AQ421" s="42"/>
      <c r="AR421" s="42"/>
    </row>
    <row r="422" spans="1:44" ht="17.25" customHeight="1" x14ac:dyDescent="0.2">
      <c r="A422" s="210" t="s">
        <v>1454</v>
      </c>
      <c r="C422" s="211"/>
      <c r="G422" s="233"/>
      <c r="I422" s="11"/>
      <c r="K422" s="8"/>
      <c r="L422" s="8"/>
      <c r="M422" s="8"/>
      <c r="N422" s="8"/>
      <c r="O422" s="8"/>
      <c r="P422" s="8"/>
      <c r="R422" s="15"/>
      <c r="S422" s="14"/>
      <c r="T422" s="14"/>
      <c r="U422" s="14"/>
      <c r="V422" s="14"/>
      <c r="W422" s="315"/>
      <c r="X422" s="14"/>
      <c r="Y422" s="42"/>
      <c r="Z422" s="42"/>
      <c r="AA422" s="42"/>
      <c r="AB422" s="42"/>
      <c r="AC422" s="42"/>
      <c r="AD422" s="42"/>
      <c r="AE422" s="42"/>
      <c r="AF422" s="42"/>
      <c r="AG422" s="42"/>
      <c r="AH422" s="42"/>
      <c r="AI422" s="42"/>
      <c r="AJ422" s="42"/>
      <c r="AK422" s="42"/>
      <c r="AL422" s="42"/>
      <c r="AM422" s="42"/>
      <c r="AN422" s="42"/>
      <c r="AO422" s="42"/>
      <c r="AP422" s="42"/>
      <c r="AQ422" s="42"/>
      <c r="AR422" s="42"/>
    </row>
    <row r="423" spans="1:44" ht="17.25" customHeight="1" x14ac:dyDescent="0.2">
      <c r="A423" s="210" t="s">
        <v>1455</v>
      </c>
      <c r="C423" s="211"/>
      <c r="G423" s="233"/>
      <c r="I423" s="11"/>
      <c r="K423" s="8"/>
      <c r="L423" s="8"/>
      <c r="M423" s="8"/>
      <c r="N423" s="8"/>
      <c r="O423" s="8"/>
      <c r="P423" s="8"/>
      <c r="R423" s="15"/>
      <c r="S423" s="14"/>
      <c r="T423" s="14"/>
      <c r="U423" s="14"/>
      <c r="V423" s="14"/>
      <c r="W423" s="315"/>
      <c r="X423" s="14"/>
      <c r="Y423" s="42"/>
      <c r="Z423" s="42"/>
      <c r="AA423" s="42"/>
      <c r="AB423" s="42"/>
      <c r="AC423" s="42"/>
      <c r="AD423" s="42"/>
      <c r="AE423" s="42"/>
      <c r="AF423" s="42"/>
      <c r="AG423" s="42"/>
      <c r="AH423" s="42"/>
      <c r="AI423" s="42"/>
      <c r="AJ423" s="42"/>
      <c r="AK423" s="42"/>
      <c r="AL423" s="42"/>
      <c r="AM423" s="42"/>
      <c r="AN423" s="42"/>
      <c r="AO423" s="42"/>
      <c r="AP423" s="42"/>
      <c r="AQ423" s="42"/>
      <c r="AR423" s="42"/>
    </row>
    <row r="424" spans="1:44" ht="17.25" customHeight="1" x14ac:dyDescent="0.2">
      <c r="A424" s="210" t="s">
        <v>1456</v>
      </c>
      <c r="C424" s="211"/>
      <c r="G424" s="233"/>
      <c r="I424" s="11"/>
      <c r="K424" s="8"/>
      <c r="L424" s="8"/>
      <c r="M424" s="8"/>
      <c r="N424" s="8"/>
      <c r="O424" s="8"/>
      <c r="P424" s="8"/>
      <c r="R424" s="15"/>
      <c r="S424" s="14"/>
      <c r="T424" s="14"/>
      <c r="U424" s="14"/>
      <c r="V424" s="14"/>
      <c r="W424" s="315"/>
      <c r="X424" s="14"/>
      <c r="Y424" s="42"/>
      <c r="Z424" s="42"/>
      <c r="AA424" s="42"/>
      <c r="AB424" s="42"/>
      <c r="AC424" s="42"/>
      <c r="AD424" s="42"/>
      <c r="AE424" s="42"/>
      <c r="AF424" s="42"/>
      <c r="AG424" s="42"/>
      <c r="AH424" s="42"/>
      <c r="AI424" s="42"/>
      <c r="AJ424" s="42"/>
      <c r="AK424" s="42"/>
      <c r="AL424" s="42"/>
      <c r="AM424" s="42"/>
      <c r="AN424" s="42"/>
      <c r="AO424" s="42"/>
      <c r="AP424" s="42"/>
      <c r="AQ424" s="42"/>
      <c r="AR424" s="42"/>
    </row>
    <row r="425" spans="1:44" ht="17.25" customHeight="1" x14ac:dyDescent="0.2">
      <c r="A425" s="210" t="s">
        <v>2105</v>
      </c>
      <c r="C425" s="211"/>
      <c r="G425" s="233"/>
      <c r="I425" s="11"/>
      <c r="K425" s="8"/>
      <c r="L425" s="8"/>
      <c r="M425" s="8"/>
      <c r="N425" s="8"/>
      <c r="O425" s="8"/>
      <c r="P425" s="8"/>
      <c r="R425" s="15"/>
      <c r="S425" s="14"/>
      <c r="T425" s="14"/>
      <c r="U425" s="14"/>
      <c r="V425" s="14"/>
      <c r="W425" s="315"/>
      <c r="X425" s="14"/>
      <c r="Y425" s="42"/>
      <c r="Z425" s="42"/>
      <c r="AA425" s="42"/>
      <c r="AB425" s="42"/>
      <c r="AC425" s="42"/>
      <c r="AD425" s="42"/>
      <c r="AE425" s="42"/>
      <c r="AF425" s="42"/>
      <c r="AG425" s="42"/>
      <c r="AH425" s="42"/>
      <c r="AI425" s="42"/>
      <c r="AJ425" s="42"/>
      <c r="AK425" s="42"/>
      <c r="AL425" s="42"/>
      <c r="AM425" s="42"/>
      <c r="AN425" s="42"/>
      <c r="AO425" s="42"/>
      <c r="AP425" s="42"/>
      <c r="AQ425" s="42"/>
      <c r="AR425" s="42"/>
    </row>
    <row r="426" spans="1:44" ht="17.25" customHeight="1" x14ac:dyDescent="0.2">
      <c r="A426" t="s">
        <v>2106</v>
      </c>
      <c r="C426" s="211"/>
      <c r="G426" s="233"/>
      <c r="I426" s="11"/>
      <c r="K426" s="8"/>
      <c r="L426" s="8"/>
      <c r="M426" s="8"/>
      <c r="N426" s="8"/>
      <c r="O426" s="8"/>
      <c r="P426" s="8"/>
      <c r="R426" s="15"/>
      <c r="S426" s="14"/>
      <c r="T426" s="14"/>
      <c r="U426" s="14"/>
      <c r="V426" s="14"/>
      <c r="W426" s="315"/>
      <c r="X426" s="14"/>
      <c r="Y426" s="42"/>
      <c r="Z426" s="42"/>
      <c r="AA426" s="42"/>
      <c r="AB426" s="42"/>
      <c r="AC426" s="42"/>
      <c r="AD426" s="42"/>
      <c r="AE426" s="42"/>
      <c r="AF426" s="42"/>
      <c r="AG426" s="42"/>
      <c r="AH426" s="42"/>
      <c r="AI426" s="42"/>
      <c r="AJ426" s="42"/>
      <c r="AK426" s="42"/>
      <c r="AL426" s="42"/>
      <c r="AM426" s="42"/>
      <c r="AN426" s="42"/>
      <c r="AO426" s="42"/>
      <c r="AP426" s="42"/>
      <c r="AQ426" s="42"/>
      <c r="AR426" s="42"/>
    </row>
    <row r="427" spans="1:44" ht="17.25" customHeight="1" x14ac:dyDescent="0.2">
      <c r="A427" t="s">
        <v>4812</v>
      </c>
      <c r="C427" s="211"/>
      <c r="I427" s="11"/>
      <c r="J427" s="230">
        <f>ROW(435:435)</f>
        <v>435</v>
      </c>
      <c r="K427" s="8"/>
      <c r="L427" s="8"/>
      <c r="M427" s="8"/>
      <c r="N427" s="8"/>
      <c r="O427" s="8"/>
      <c r="P427" s="8"/>
      <c r="R427" s="15"/>
      <c r="S427" s="14"/>
      <c r="T427" s="14"/>
      <c r="U427" s="14"/>
      <c r="V427" s="14"/>
      <c r="W427" s="315"/>
      <c r="X427" s="14"/>
      <c r="Y427" s="42"/>
      <c r="Z427" s="42"/>
      <c r="AA427" s="42"/>
      <c r="AB427" s="42"/>
      <c r="AC427" s="42"/>
      <c r="AD427" s="42"/>
      <c r="AE427" s="42"/>
      <c r="AF427" s="42"/>
      <c r="AG427" s="42"/>
      <c r="AH427" s="42"/>
      <c r="AI427" s="42"/>
      <c r="AJ427" s="42"/>
      <c r="AK427" s="42"/>
      <c r="AL427" s="42"/>
      <c r="AM427" s="42"/>
      <c r="AN427" s="42"/>
      <c r="AO427" s="42"/>
      <c r="AP427" s="42"/>
      <c r="AQ427" s="42"/>
      <c r="AR427" s="42"/>
    </row>
    <row r="428" spans="1:44" ht="17.25" customHeight="1" x14ac:dyDescent="0.2">
      <c r="A428" t="s">
        <v>4154</v>
      </c>
      <c r="C428" s="211"/>
      <c r="G428" s="230">
        <f>ROW(436:436)</f>
        <v>436</v>
      </c>
      <c r="K428" s="8"/>
      <c r="L428" s="8"/>
      <c r="M428" s="8"/>
      <c r="N428" s="8"/>
      <c r="O428" s="8"/>
      <c r="P428" s="8"/>
      <c r="R428" s="15"/>
      <c r="S428" s="14"/>
      <c r="T428" s="14"/>
      <c r="U428" s="14"/>
      <c r="V428" s="14"/>
      <c r="W428" s="315"/>
      <c r="X428" s="14"/>
      <c r="Y428" s="42"/>
      <c r="Z428" s="42"/>
      <c r="AA428" s="42"/>
      <c r="AB428" s="42"/>
      <c r="AC428" s="42"/>
      <c r="AD428" s="42"/>
      <c r="AE428" s="42"/>
      <c r="AF428" s="42"/>
      <c r="AG428" s="42"/>
      <c r="AH428" s="42"/>
      <c r="AI428" s="42"/>
      <c r="AJ428" s="42"/>
      <c r="AK428" s="42"/>
      <c r="AL428" s="42"/>
      <c r="AM428" s="42"/>
      <c r="AN428" s="42"/>
      <c r="AO428" s="42"/>
      <c r="AP428" s="42"/>
      <c r="AQ428" s="42"/>
      <c r="AR428" s="42"/>
    </row>
    <row r="429" spans="1:44" ht="17.25" customHeight="1" x14ac:dyDescent="0.2">
      <c r="A429" s="212"/>
      <c r="B429" t="s">
        <v>1457</v>
      </c>
      <c r="C429" s="211"/>
      <c r="G429" s="230"/>
      <c r="I429" s="11"/>
      <c r="K429" s="8"/>
      <c r="L429" s="8"/>
      <c r="M429" s="8"/>
      <c r="N429" s="8"/>
      <c r="O429" s="8"/>
      <c r="P429" s="8"/>
      <c r="R429" s="15"/>
      <c r="S429" s="14"/>
      <c r="T429" s="14"/>
      <c r="U429" s="14"/>
      <c r="V429" s="14"/>
      <c r="W429" s="315"/>
      <c r="X429" s="14"/>
      <c r="Y429" s="42"/>
      <c r="Z429" s="42"/>
      <c r="AA429" s="42"/>
      <c r="AB429" s="42"/>
      <c r="AC429" s="42"/>
      <c r="AD429" s="42"/>
      <c r="AE429" s="42"/>
      <c r="AF429" s="42"/>
      <c r="AG429" s="42"/>
      <c r="AH429" s="42"/>
      <c r="AI429" s="42"/>
      <c r="AJ429" s="42"/>
      <c r="AK429" s="42"/>
      <c r="AL429" s="42"/>
      <c r="AM429" s="42"/>
      <c r="AN429" s="42"/>
      <c r="AO429" s="42"/>
      <c r="AP429" s="42"/>
      <c r="AQ429" s="42"/>
      <c r="AR429" s="42"/>
    </row>
    <row r="430" spans="1:44" ht="17.25" customHeight="1" x14ac:dyDescent="0.2">
      <c r="A430" s="212"/>
      <c r="C430" s="211"/>
      <c r="G430" s="233"/>
      <c r="I430" s="11"/>
      <c r="K430" s="8"/>
      <c r="L430" s="8"/>
      <c r="M430" s="8"/>
      <c r="N430" s="8"/>
      <c r="O430" s="8"/>
      <c r="P430" s="8"/>
      <c r="R430" s="15"/>
      <c r="S430" s="14"/>
      <c r="T430" s="14"/>
      <c r="U430" s="14"/>
      <c r="V430" s="14"/>
      <c r="W430" s="315"/>
      <c r="X430" s="14"/>
      <c r="Y430" s="42"/>
      <c r="Z430" s="42"/>
      <c r="AA430" s="42"/>
      <c r="AB430" s="42"/>
      <c r="AC430" s="42"/>
      <c r="AD430" s="42"/>
      <c r="AE430" s="42"/>
      <c r="AF430" s="42"/>
      <c r="AG430" s="42"/>
      <c r="AH430" s="42"/>
      <c r="AI430" s="42"/>
      <c r="AJ430" s="42"/>
      <c r="AK430" s="42"/>
      <c r="AL430" s="42"/>
      <c r="AM430" s="42"/>
      <c r="AN430" s="42"/>
      <c r="AO430" s="42"/>
      <c r="AP430" s="42"/>
      <c r="AQ430" s="42"/>
      <c r="AR430" s="42"/>
    </row>
    <row r="431" spans="1:44" ht="17.25" customHeight="1" x14ac:dyDescent="0.2">
      <c r="A431" t="s">
        <v>3223</v>
      </c>
      <c r="C431" s="211"/>
      <c r="G431" s="233"/>
      <c r="I431" s="11"/>
      <c r="K431" s="8"/>
      <c r="L431" s="8"/>
      <c r="M431" s="8"/>
      <c r="N431" s="8"/>
      <c r="O431" s="8"/>
      <c r="P431" s="8"/>
      <c r="R431" s="15"/>
      <c r="S431" s="14"/>
      <c r="T431" s="14"/>
      <c r="U431" s="14"/>
      <c r="V431" s="14"/>
      <c r="W431" s="315"/>
      <c r="X431" s="14"/>
      <c r="Y431" s="42"/>
      <c r="Z431" s="42"/>
      <c r="AA431" s="42"/>
      <c r="AB431" s="42"/>
      <c r="AC431" s="42"/>
      <c r="AD431" s="42"/>
      <c r="AE431" s="42"/>
      <c r="AF431" s="42"/>
      <c r="AG431" s="42"/>
      <c r="AH431" s="42"/>
      <c r="AI431" s="42"/>
      <c r="AJ431" s="42"/>
      <c r="AK431" s="42"/>
      <c r="AL431" s="42"/>
      <c r="AM431" s="42"/>
      <c r="AN431" s="42"/>
      <c r="AO431" s="42"/>
      <c r="AP431" s="42"/>
      <c r="AQ431" s="42"/>
      <c r="AR431" s="42"/>
    </row>
    <row r="432" spans="1:44" ht="17.25" customHeight="1" x14ac:dyDescent="0.2">
      <c r="A432" s="8"/>
      <c r="B432" s="8"/>
      <c r="C432" s="8"/>
      <c r="D432" s="8"/>
      <c r="E432" s="8"/>
      <c r="F432" s="8"/>
      <c r="G432" s="8"/>
      <c r="H432" s="8"/>
      <c r="I432" s="8"/>
      <c r="J432" s="8"/>
      <c r="K432" s="8"/>
      <c r="L432" s="8"/>
      <c r="M432" s="8"/>
      <c r="N432" s="8"/>
      <c r="O432" s="8"/>
      <c r="P432" s="8"/>
      <c r="R432" s="15"/>
      <c r="S432" s="14"/>
      <c r="T432" s="14"/>
      <c r="U432" s="14"/>
      <c r="V432" s="14"/>
      <c r="W432" s="315"/>
      <c r="X432" s="14"/>
      <c r="Y432" s="42"/>
      <c r="Z432" s="42"/>
      <c r="AA432" s="42"/>
      <c r="AB432" s="42"/>
      <c r="AC432" s="42"/>
      <c r="AD432" s="42"/>
      <c r="AE432" s="42"/>
      <c r="AF432" s="42"/>
      <c r="AG432" s="42"/>
      <c r="AH432" s="42"/>
      <c r="AI432" s="42"/>
      <c r="AJ432" s="42"/>
      <c r="AK432" s="42"/>
      <c r="AL432" s="42"/>
      <c r="AM432" s="42"/>
      <c r="AN432" s="42"/>
      <c r="AO432" s="42"/>
      <c r="AP432" s="42"/>
      <c r="AQ432" s="42"/>
      <c r="AR432" s="42"/>
    </row>
    <row r="433" spans="1:44" ht="17.25" customHeight="1" x14ac:dyDescent="0.2">
      <c r="A433" s="8"/>
      <c r="B433" s="8"/>
      <c r="C433" s="242"/>
      <c r="D433" s="303" t="s">
        <v>3219</v>
      </c>
      <c r="E433" s="242"/>
      <c r="F433" s="242"/>
      <c r="G433" s="242"/>
      <c r="H433" s="242"/>
      <c r="I433" s="242"/>
      <c r="J433" s="8"/>
      <c r="K433" s="8"/>
      <c r="L433" s="8"/>
      <c r="M433" s="8"/>
      <c r="N433" s="8"/>
      <c r="O433" s="8"/>
      <c r="P433" s="8"/>
      <c r="R433" s="15"/>
      <c r="S433" s="14"/>
      <c r="T433" s="14"/>
      <c r="U433" s="14"/>
      <c r="V433" s="14"/>
      <c r="W433" s="315"/>
      <c r="X433" s="14"/>
      <c r="Y433" s="42"/>
      <c r="Z433" s="42"/>
      <c r="AA433" s="42"/>
      <c r="AB433" s="42"/>
      <c r="AC433" s="42"/>
      <c r="AD433" s="42"/>
      <c r="AE433" s="42"/>
      <c r="AF433" s="42"/>
      <c r="AG433" s="42"/>
      <c r="AH433" s="42"/>
      <c r="AI433" s="42"/>
      <c r="AJ433" s="42"/>
      <c r="AK433" s="42"/>
      <c r="AL433" s="42"/>
      <c r="AM433" s="42"/>
      <c r="AN433" s="42"/>
      <c r="AO433" s="42"/>
      <c r="AP433" s="42"/>
      <c r="AQ433" s="42"/>
      <c r="AR433" s="42"/>
    </row>
    <row r="434" spans="1:44" ht="36.75" customHeight="1" x14ac:dyDescent="0.2">
      <c r="A434" s="8"/>
      <c r="B434" s="8"/>
      <c r="C434" s="240" t="s">
        <v>1458</v>
      </c>
      <c r="D434" s="240" t="s">
        <v>1458</v>
      </c>
      <c r="E434" s="240" t="s">
        <v>1458</v>
      </c>
      <c r="F434" s="240" t="s">
        <v>1458</v>
      </c>
      <c r="G434" s="240"/>
      <c r="H434" s="240"/>
      <c r="J434" s="240"/>
      <c r="L434" s="8"/>
      <c r="M434" s="8"/>
      <c r="N434" s="8"/>
      <c r="O434" s="8"/>
      <c r="P434" s="8"/>
      <c r="R434" s="15"/>
      <c r="S434" s="14"/>
      <c r="T434" s="14"/>
      <c r="U434" s="14"/>
      <c r="V434" s="14"/>
      <c r="W434" s="315"/>
      <c r="X434" s="14"/>
      <c r="Y434" s="42"/>
      <c r="Z434" s="42"/>
      <c r="AA434" s="42"/>
      <c r="AB434" s="42"/>
      <c r="AC434" s="42"/>
      <c r="AD434" s="42"/>
      <c r="AE434" s="42"/>
      <c r="AF434" s="42"/>
      <c r="AG434" s="42"/>
      <c r="AH434" s="42"/>
      <c r="AI434" s="42"/>
      <c r="AJ434" s="42"/>
      <c r="AK434" s="42"/>
      <c r="AL434" s="42"/>
      <c r="AM434" s="42"/>
      <c r="AN434" s="42"/>
      <c r="AO434" s="42"/>
      <c r="AP434" s="42"/>
      <c r="AQ434" s="42"/>
      <c r="AR434" s="42"/>
    </row>
    <row r="435" spans="1:44" ht="17.25" customHeight="1" x14ac:dyDescent="0.2">
      <c r="A435" s="8"/>
      <c r="B435" s="8"/>
      <c r="C435" s="3924" t="s">
        <v>3220</v>
      </c>
      <c r="D435" s="3924" t="s">
        <v>3221</v>
      </c>
      <c r="E435" s="3924" t="s">
        <v>1460</v>
      </c>
      <c r="F435" s="851"/>
      <c r="G435" s="851"/>
      <c r="H435" s="851"/>
      <c r="J435" s="851"/>
      <c r="L435" s="8"/>
      <c r="M435" s="8"/>
      <c r="N435" s="8"/>
      <c r="O435" s="8"/>
      <c r="P435" s="8"/>
      <c r="R435" s="15"/>
      <c r="S435" s="14"/>
      <c r="T435" s="14"/>
      <c r="U435" s="14"/>
      <c r="V435" s="14"/>
      <c r="W435" s="315"/>
      <c r="X435" s="14"/>
      <c r="Y435" s="42"/>
      <c r="Z435" s="42"/>
      <c r="AA435" s="42"/>
      <c r="AB435" s="42"/>
      <c r="AC435" s="42"/>
      <c r="AD435" s="42"/>
      <c r="AE435" s="42"/>
      <c r="AF435" s="42"/>
      <c r="AG435" s="42"/>
      <c r="AH435" s="42"/>
      <c r="AI435" s="42"/>
      <c r="AJ435" s="42"/>
      <c r="AK435" s="42"/>
      <c r="AL435" s="42"/>
      <c r="AM435" s="42"/>
      <c r="AN435" s="42"/>
      <c r="AO435" s="42"/>
      <c r="AP435" s="42"/>
      <c r="AQ435" s="42"/>
      <c r="AR435" s="42"/>
    </row>
    <row r="436" spans="1:44" ht="17.25" customHeight="1" x14ac:dyDescent="0.2">
      <c r="A436" s="4425" t="s">
        <v>3222</v>
      </c>
      <c r="B436" s="4426"/>
      <c r="C436" s="802" t="str">
        <f>kursovoy!$B$402</f>
        <v/>
      </c>
      <c r="D436" s="802" t="str">
        <f>kursovoy!$B$403</f>
        <v/>
      </c>
      <c r="E436" s="802" t="str">
        <f>kursovoy!B206</f>
        <v/>
      </c>
      <c r="F436" s="1266"/>
      <c r="L436" s="1266"/>
      <c r="M436" s="1266"/>
      <c r="N436" s="1266"/>
      <c r="O436" s="8"/>
      <c r="P436" s="8"/>
      <c r="R436" s="15"/>
      <c r="S436" s="14"/>
      <c r="T436" s="14"/>
      <c r="U436" s="14"/>
      <c r="V436" s="14"/>
      <c r="W436" s="315"/>
      <c r="X436" s="14"/>
      <c r="Y436" s="42"/>
      <c r="Z436" s="42"/>
      <c r="AA436" s="42"/>
      <c r="AB436" s="42"/>
      <c r="AC436" s="42"/>
      <c r="AD436" s="42"/>
      <c r="AE436" s="42"/>
      <c r="AF436" s="42"/>
      <c r="AG436" s="42"/>
      <c r="AH436" s="42"/>
      <c r="AI436" s="42"/>
      <c r="AJ436" s="42"/>
      <c r="AK436" s="42"/>
      <c r="AL436" s="42"/>
      <c r="AM436" s="42"/>
      <c r="AN436" s="42"/>
      <c r="AO436" s="42"/>
      <c r="AP436" s="42"/>
      <c r="AQ436" s="42"/>
      <c r="AR436" s="42"/>
    </row>
    <row r="437" spans="1:44" ht="121.5" customHeight="1" x14ac:dyDescent="0.2">
      <c r="A437" s="266" t="s">
        <v>3673</v>
      </c>
      <c r="B437" s="266" t="s">
        <v>6426</v>
      </c>
      <c r="C437" s="853" t="s">
        <v>623</v>
      </c>
      <c r="D437" s="853" t="s">
        <v>624</v>
      </c>
      <c r="E437" s="853" t="s">
        <v>3786</v>
      </c>
      <c r="F437" s="853" t="s">
        <v>6427</v>
      </c>
      <c r="G437" s="853" t="s">
        <v>6428</v>
      </c>
      <c r="H437" s="853" t="s">
        <v>6429</v>
      </c>
      <c r="I437" s="853" t="s">
        <v>631</v>
      </c>
      <c r="J437" s="2552" t="s">
        <v>6430</v>
      </c>
      <c r="K437" s="2552" t="s">
        <v>1270</v>
      </c>
      <c r="L437" s="2552" t="s">
        <v>5739</v>
      </c>
      <c r="N437" s="3923"/>
      <c r="O437" s="8"/>
      <c r="P437" s="8"/>
      <c r="R437" s="15"/>
      <c r="S437" s="14"/>
      <c r="T437" s="14"/>
      <c r="U437" s="14"/>
      <c r="V437" s="14"/>
      <c r="W437" s="315"/>
      <c r="X437" s="14"/>
      <c r="Y437" s="42"/>
      <c r="Z437" s="42"/>
      <c r="AA437" s="42"/>
      <c r="AB437" s="42"/>
      <c r="AC437" s="42"/>
      <c r="AD437" s="42"/>
      <c r="AE437" s="42"/>
      <c r="AF437" s="42"/>
      <c r="AG437" s="42"/>
      <c r="AH437" s="42"/>
      <c r="AI437" s="42"/>
      <c r="AJ437" s="42"/>
      <c r="AK437" s="42"/>
      <c r="AL437" s="42"/>
      <c r="AM437" s="42"/>
      <c r="AN437" s="42"/>
      <c r="AO437" s="42"/>
      <c r="AP437" s="42"/>
      <c r="AQ437" s="42"/>
      <c r="AR437" s="42"/>
    </row>
    <row r="438" spans="1:44" ht="17.25" customHeight="1" x14ac:dyDescent="0.2">
      <c r="A438" s="274" t="s">
        <v>5619</v>
      </c>
      <c r="B438" s="274" t="s">
        <v>5614</v>
      </c>
      <c r="C438" s="5">
        <v>0.8</v>
      </c>
      <c r="D438" s="5">
        <v>1.25</v>
      </c>
      <c r="E438" s="857">
        <v>360</v>
      </c>
      <c r="F438" s="5">
        <v>5</v>
      </c>
      <c r="G438" s="3034">
        <v>3</v>
      </c>
      <c r="H438" s="3034">
        <v>2</v>
      </c>
      <c r="I438" s="3034">
        <v>3.73</v>
      </c>
      <c r="J438" s="239">
        <v>0.8</v>
      </c>
      <c r="K438" s="239">
        <v>0.8</v>
      </c>
      <c r="L438" s="239">
        <v>8</v>
      </c>
      <c r="N438" s="1"/>
      <c r="O438" s="8"/>
      <c r="P438" s="8"/>
      <c r="R438" s="15"/>
      <c r="S438" s="14"/>
      <c r="T438" s="14"/>
      <c r="U438" s="14"/>
      <c r="V438" s="14"/>
      <c r="W438" s="315"/>
      <c r="X438" s="14"/>
      <c r="Y438" s="42"/>
      <c r="Z438" s="42"/>
      <c r="AA438" s="42"/>
      <c r="AB438" s="42"/>
      <c r="AC438" s="42"/>
      <c r="AD438" s="42"/>
      <c r="AE438" s="42"/>
      <c r="AF438" s="42"/>
      <c r="AG438" s="42"/>
      <c r="AH438" s="42"/>
      <c r="AI438" s="42"/>
      <c r="AJ438" s="42"/>
      <c r="AK438" s="42"/>
      <c r="AL438" s="42"/>
      <c r="AM438" s="42"/>
      <c r="AN438" s="42"/>
      <c r="AO438" s="42"/>
      <c r="AP438" s="42"/>
      <c r="AQ438" s="42"/>
      <c r="AR438" s="42"/>
    </row>
    <row r="439" spans="1:44" ht="17.25" customHeight="1" x14ac:dyDescent="0.2">
      <c r="A439" s="274" t="s">
        <v>5637</v>
      </c>
      <c r="B439" s="274" t="s">
        <v>5614</v>
      </c>
      <c r="C439" s="5">
        <v>0.8</v>
      </c>
      <c r="D439" s="5">
        <v>1.25</v>
      </c>
      <c r="E439" s="857">
        <v>360</v>
      </c>
      <c r="F439" s="5">
        <v>5</v>
      </c>
      <c r="G439" s="3034">
        <v>3</v>
      </c>
      <c r="H439" s="3034">
        <v>2</v>
      </c>
      <c r="I439" s="3034">
        <v>3.73</v>
      </c>
      <c r="J439" s="239">
        <v>0.8</v>
      </c>
      <c r="K439" s="239">
        <v>0.8</v>
      </c>
      <c r="L439" s="239">
        <v>8</v>
      </c>
      <c r="N439" s="1"/>
      <c r="O439" s="8"/>
      <c r="P439" s="8"/>
      <c r="R439" s="15"/>
      <c r="S439" s="14"/>
      <c r="T439" s="14"/>
      <c r="U439" s="14"/>
      <c r="V439" s="14"/>
      <c r="W439" s="315"/>
      <c r="X439" s="14"/>
      <c r="Y439" s="42"/>
      <c r="Z439" s="42"/>
      <c r="AA439" s="42"/>
      <c r="AB439" s="42"/>
      <c r="AC439" s="42"/>
      <c r="AD439" s="42"/>
      <c r="AE439" s="42"/>
      <c r="AF439" s="42"/>
      <c r="AG439" s="42"/>
      <c r="AH439" s="42"/>
      <c r="AI439" s="42"/>
      <c r="AJ439" s="42"/>
      <c r="AK439" s="42"/>
      <c r="AL439" s="42"/>
      <c r="AM439" s="42"/>
      <c r="AN439" s="42"/>
      <c r="AO439" s="42"/>
      <c r="AP439" s="42"/>
      <c r="AQ439" s="42"/>
      <c r="AR439" s="42"/>
    </row>
    <row r="440" spans="1:44" ht="17.25" customHeight="1" x14ac:dyDescent="0.2">
      <c r="A440" s="274" t="s">
        <v>5619</v>
      </c>
      <c r="B440" s="274" t="s">
        <v>3478</v>
      </c>
      <c r="C440" s="5">
        <v>0.85</v>
      </c>
      <c r="D440" s="5">
        <v>1.2</v>
      </c>
      <c r="E440" s="857">
        <v>360</v>
      </c>
      <c r="F440" s="5">
        <v>3.5</v>
      </c>
      <c r="G440" s="3034">
        <v>2.2000000000000002</v>
      </c>
      <c r="H440" s="3034">
        <v>2</v>
      </c>
      <c r="I440" s="3034">
        <v>3.53</v>
      </c>
      <c r="J440" s="239">
        <v>0.8</v>
      </c>
      <c r="K440" s="1">
        <v>0.8</v>
      </c>
      <c r="L440" s="239">
        <v>8</v>
      </c>
      <c r="N440" s="1"/>
      <c r="O440" s="8"/>
      <c r="P440" s="8"/>
      <c r="R440" s="15"/>
      <c r="S440" s="14"/>
      <c r="T440" s="14"/>
      <c r="U440" s="14"/>
      <c r="V440" s="14"/>
      <c r="W440" s="315"/>
      <c r="X440" s="14"/>
      <c r="Y440" s="42"/>
      <c r="Z440" s="42"/>
      <c r="AA440" s="42"/>
      <c r="AB440" s="42"/>
      <c r="AC440" s="42"/>
      <c r="AD440" s="42"/>
      <c r="AE440" s="42"/>
      <c r="AF440" s="42"/>
      <c r="AG440" s="42"/>
      <c r="AH440" s="42"/>
      <c r="AI440" s="42"/>
      <c r="AJ440" s="42"/>
      <c r="AK440" s="42"/>
      <c r="AL440" s="42"/>
      <c r="AM440" s="42"/>
      <c r="AN440" s="42"/>
      <c r="AO440" s="42"/>
      <c r="AP440" s="42"/>
      <c r="AQ440" s="42"/>
      <c r="AR440" s="42"/>
    </row>
    <row r="441" spans="1:44" ht="17.25" customHeight="1" x14ac:dyDescent="0.2">
      <c r="A441" s="274" t="s">
        <v>5637</v>
      </c>
      <c r="B441" s="274" t="s">
        <v>3478</v>
      </c>
      <c r="C441" s="5">
        <v>0.85</v>
      </c>
      <c r="D441" s="5">
        <v>1.2</v>
      </c>
      <c r="E441" s="857">
        <v>360</v>
      </c>
      <c r="F441" s="5">
        <v>3.5</v>
      </c>
      <c r="G441" s="3034">
        <v>2.2000000000000002</v>
      </c>
      <c r="H441" s="3034">
        <v>2</v>
      </c>
      <c r="I441" s="3034">
        <v>3.53</v>
      </c>
      <c r="J441" s="239">
        <v>0.8</v>
      </c>
      <c r="K441" s="1">
        <v>0.8</v>
      </c>
      <c r="L441" s="239">
        <v>8</v>
      </c>
      <c r="N441" s="1"/>
      <c r="O441" s="8"/>
      <c r="P441" s="8"/>
      <c r="R441" s="15"/>
      <c r="S441" s="14"/>
      <c r="T441" s="14"/>
      <c r="U441" s="14"/>
      <c r="V441" s="14"/>
      <c r="W441" s="315"/>
      <c r="X441" s="14"/>
      <c r="Y441" s="42"/>
      <c r="Z441" s="42"/>
      <c r="AA441" s="42"/>
      <c r="AB441" s="42"/>
      <c r="AC441" s="42"/>
      <c r="AD441" s="42"/>
      <c r="AE441" s="42"/>
      <c r="AF441" s="42"/>
      <c r="AG441" s="42"/>
      <c r="AH441" s="42"/>
      <c r="AI441" s="42"/>
      <c r="AJ441" s="42"/>
      <c r="AK441" s="42"/>
      <c r="AL441" s="42"/>
      <c r="AM441" s="42"/>
      <c r="AN441" s="42"/>
      <c r="AO441" s="42"/>
      <c r="AP441" s="42"/>
      <c r="AQ441" s="42"/>
      <c r="AR441" s="42"/>
    </row>
    <row r="442" spans="1:44" ht="17.25" customHeight="1" x14ac:dyDescent="0.2">
      <c r="A442" s="274" t="s">
        <v>5621</v>
      </c>
      <c r="B442" s="274" t="s">
        <v>5617</v>
      </c>
      <c r="C442" s="857">
        <v>0.85</v>
      </c>
      <c r="D442" s="857">
        <v>1.3</v>
      </c>
      <c r="E442" s="857">
        <v>360</v>
      </c>
      <c r="F442" s="857">
        <v>5.5</v>
      </c>
      <c r="G442" s="1746">
        <v>3.3</v>
      </c>
      <c r="H442" s="3034">
        <v>2</v>
      </c>
      <c r="I442" s="3034">
        <v>5.87</v>
      </c>
      <c r="J442" s="239">
        <v>0.63</v>
      </c>
      <c r="K442" s="239">
        <v>0.8</v>
      </c>
      <c r="L442" s="239">
        <v>8.6</v>
      </c>
      <c r="N442" s="239"/>
      <c r="O442" s="8"/>
      <c r="P442" s="8"/>
      <c r="R442" s="15"/>
      <c r="S442" s="14"/>
      <c r="T442" s="14"/>
      <c r="U442" s="14"/>
      <c r="V442" s="14"/>
      <c r="W442" s="315"/>
      <c r="X442" s="14"/>
      <c r="Y442" s="42"/>
      <c r="Z442" s="42"/>
      <c r="AA442" s="42"/>
      <c r="AB442" s="42"/>
      <c r="AC442" s="42"/>
      <c r="AD442" s="42"/>
      <c r="AE442" s="42"/>
      <c r="AF442" s="42"/>
      <c r="AG442" s="42"/>
      <c r="AH442" s="42"/>
      <c r="AI442" s="42"/>
      <c r="AJ442" s="42"/>
      <c r="AK442" s="42"/>
      <c r="AL442" s="42"/>
      <c r="AM442" s="42"/>
      <c r="AN442" s="42"/>
      <c r="AO442" s="42"/>
      <c r="AP442" s="42"/>
      <c r="AQ442" s="42"/>
      <c r="AR442" s="42"/>
    </row>
    <row r="443" spans="1:44" ht="17.25" customHeight="1" x14ac:dyDescent="0.2">
      <c r="A443" s="274" t="s">
        <v>5626</v>
      </c>
      <c r="B443" s="274" t="s">
        <v>5617</v>
      </c>
      <c r="C443" s="857">
        <v>0.85</v>
      </c>
      <c r="D443" s="857">
        <v>1.3</v>
      </c>
      <c r="E443" s="857">
        <v>360</v>
      </c>
      <c r="F443" s="857">
        <v>5.5</v>
      </c>
      <c r="G443" s="1746">
        <v>3.3</v>
      </c>
      <c r="H443" s="3034">
        <v>2</v>
      </c>
      <c r="I443" s="3034">
        <v>5.87</v>
      </c>
      <c r="J443" s="239">
        <v>0.63</v>
      </c>
      <c r="K443" s="239">
        <v>0.8</v>
      </c>
      <c r="L443" s="239">
        <v>13</v>
      </c>
      <c r="N443" s="1"/>
      <c r="O443" s="8"/>
      <c r="P443" s="8"/>
      <c r="R443" s="15"/>
      <c r="S443" s="14"/>
      <c r="T443" s="14"/>
      <c r="U443" s="14"/>
      <c r="V443" s="14"/>
      <c r="W443" s="315"/>
      <c r="X443" s="14"/>
      <c r="Y443" s="42"/>
      <c r="Z443" s="42"/>
      <c r="AA443" s="42"/>
      <c r="AB443" s="42"/>
      <c r="AC443" s="42"/>
      <c r="AD443" s="42"/>
      <c r="AE443" s="42"/>
      <c r="AF443" s="42"/>
      <c r="AG443" s="42"/>
      <c r="AH443" s="42"/>
      <c r="AI443" s="42"/>
      <c r="AJ443" s="42"/>
      <c r="AK443" s="42"/>
      <c r="AL443" s="42"/>
      <c r="AM443" s="42"/>
      <c r="AN443" s="42"/>
      <c r="AO443" s="42"/>
      <c r="AP443" s="42"/>
      <c r="AQ443" s="42"/>
      <c r="AR443" s="42"/>
    </row>
    <row r="444" spans="1:44" ht="17.25" customHeight="1" x14ac:dyDescent="0.2">
      <c r="A444" s="274" t="s">
        <v>1917</v>
      </c>
      <c r="B444" s="274" t="s">
        <v>5620</v>
      </c>
      <c r="C444" s="5">
        <v>0.85</v>
      </c>
      <c r="D444" s="5">
        <v>1.6</v>
      </c>
      <c r="E444" s="857">
        <v>360</v>
      </c>
      <c r="F444" s="5">
        <v>6</v>
      </c>
      <c r="G444" s="1746">
        <v>4</v>
      </c>
      <c r="H444" s="3034">
        <v>2</v>
      </c>
      <c r="I444" s="3034">
        <v>5.87</v>
      </c>
      <c r="J444" s="3034">
        <v>0.7</v>
      </c>
      <c r="K444" s="3034">
        <v>0.8</v>
      </c>
      <c r="L444" s="239">
        <v>8.6</v>
      </c>
      <c r="N444" s="1"/>
      <c r="O444" s="8"/>
      <c r="P444" s="8"/>
      <c r="R444" s="15"/>
      <c r="S444" s="14"/>
      <c r="T444" s="14"/>
      <c r="U444" s="14"/>
      <c r="V444" s="14"/>
      <c r="W444" s="315"/>
      <c r="X444" s="14"/>
      <c r="Y444" s="42"/>
      <c r="Z444" s="42"/>
      <c r="AA444" s="42"/>
      <c r="AB444" s="42"/>
      <c r="AC444" s="42"/>
      <c r="AD444" s="42"/>
      <c r="AE444" s="42"/>
      <c r="AF444" s="42"/>
      <c r="AG444" s="42"/>
      <c r="AH444" s="42"/>
      <c r="AI444" s="42"/>
      <c r="AJ444" s="42"/>
      <c r="AK444" s="42"/>
      <c r="AL444" s="42"/>
      <c r="AM444" s="42"/>
      <c r="AN444" s="42"/>
      <c r="AO444" s="42"/>
      <c r="AP444" s="42"/>
      <c r="AQ444" s="42"/>
      <c r="AR444" s="42"/>
    </row>
    <row r="445" spans="1:44" ht="17.25" customHeight="1" x14ac:dyDescent="0.2">
      <c r="A445" s="274" t="s">
        <v>5637</v>
      </c>
      <c r="B445" s="274" t="s">
        <v>5620</v>
      </c>
      <c r="C445" s="5">
        <v>0.85</v>
      </c>
      <c r="D445" s="5">
        <v>1.6</v>
      </c>
      <c r="E445" s="857">
        <v>360</v>
      </c>
      <c r="F445" s="5">
        <v>6</v>
      </c>
      <c r="G445" s="1746">
        <v>4</v>
      </c>
      <c r="H445" s="3034">
        <v>2</v>
      </c>
      <c r="I445" s="3034">
        <v>5.87</v>
      </c>
      <c r="J445" s="3034">
        <v>0.7</v>
      </c>
      <c r="K445" s="3034">
        <v>0.8</v>
      </c>
      <c r="L445" s="239">
        <v>8</v>
      </c>
      <c r="N445" s="1"/>
      <c r="O445" s="8"/>
      <c r="P445" s="8"/>
      <c r="R445" s="15"/>
      <c r="S445" s="14"/>
      <c r="T445" s="14"/>
      <c r="U445" s="14"/>
      <c r="V445" s="14"/>
      <c r="W445" s="315"/>
      <c r="X445" s="14"/>
      <c r="Y445" s="42"/>
      <c r="Z445" s="42"/>
      <c r="AA445" s="42"/>
      <c r="AB445" s="42"/>
      <c r="AC445" s="42"/>
      <c r="AD445" s="42"/>
      <c r="AE445" s="42"/>
      <c r="AF445" s="42"/>
      <c r="AG445" s="42"/>
      <c r="AH445" s="42"/>
      <c r="AI445" s="42"/>
      <c r="AJ445" s="42"/>
      <c r="AK445" s="42"/>
      <c r="AL445" s="42"/>
      <c r="AM445" s="42"/>
      <c r="AN445" s="42"/>
      <c r="AO445" s="42"/>
      <c r="AP445" s="42"/>
      <c r="AQ445" s="42"/>
      <c r="AR445" s="42"/>
    </row>
    <row r="446" spans="1:44" ht="17.25" customHeight="1" x14ac:dyDescent="0.2">
      <c r="A446" s="274" t="s">
        <v>5621</v>
      </c>
      <c r="B446" s="274" t="s">
        <v>5620</v>
      </c>
      <c r="C446" s="5">
        <v>0.85</v>
      </c>
      <c r="D446" s="5">
        <v>1.6</v>
      </c>
      <c r="E446" s="857">
        <v>360</v>
      </c>
      <c r="F446" s="5">
        <v>6</v>
      </c>
      <c r="G446" s="1746">
        <v>4</v>
      </c>
      <c r="H446" s="3034">
        <v>2</v>
      </c>
      <c r="I446" s="3034">
        <v>5.87</v>
      </c>
      <c r="J446" s="1746">
        <v>0.7</v>
      </c>
      <c r="K446" s="239">
        <v>0.8</v>
      </c>
      <c r="L446" s="239">
        <v>8.6</v>
      </c>
      <c r="N446" s="1"/>
      <c r="O446" s="8"/>
      <c r="P446" s="8"/>
      <c r="R446" s="15"/>
      <c r="S446" s="14"/>
      <c r="T446" s="14"/>
      <c r="U446" s="14"/>
      <c r="V446" s="14"/>
      <c r="W446" s="315"/>
      <c r="X446" s="14"/>
      <c r="Y446" s="42"/>
      <c r="Z446" s="42"/>
      <c r="AA446" s="42"/>
      <c r="AB446" s="42"/>
      <c r="AC446" s="42"/>
      <c r="AD446" s="42"/>
      <c r="AE446" s="42"/>
      <c r="AF446" s="42"/>
      <c r="AG446" s="42"/>
      <c r="AH446" s="42"/>
      <c r="AI446" s="42"/>
      <c r="AJ446" s="42"/>
      <c r="AK446" s="42"/>
      <c r="AL446" s="42"/>
      <c r="AM446" s="42"/>
      <c r="AN446" s="42"/>
      <c r="AO446" s="42"/>
      <c r="AP446" s="42"/>
      <c r="AQ446" s="42"/>
      <c r="AR446" s="42"/>
    </row>
    <row r="447" spans="1:44" ht="17.25" customHeight="1" x14ac:dyDescent="0.2">
      <c r="A447" s="274" t="s">
        <v>5621</v>
      </c>
      <c r="B447" s="274" t="s">
        <v>5620</v>
      </c>
      <c r="C447" s="5">
        <v>0.85</v>
      </c>
      <c r="D447" s="5">
        <v>1.6</v>
      </c>
      <c r="E447" s="857">
        <v>360</v>
      </c>
      <c r="F447" s="5">
        <v>6</v>
      </c>
      <c r="G447" s="1746">
        <v>4</v>
      </c>
      <c r="H447" s="3034">
        <v>2</v>
      </c>
      <c r="I447" s="3034">
        <v>5.87</v>
      </c>
      <c r="J447" s="1746">
        <v>0.7</v>
      </c>
      <c r="K447" s="239">
        <v>0.8</v>
      </c>
      <c r="L447" s="239">
        <v>8.6</v>
      </c>
      <c r="N447" s="1"/>
      <c r="O447" s="8"/>
      <c r="P447" s="8"/>
      <c r="R447" s="15"/>
      <c r="S447" s="14"/>
      <c r="T447" s="14"/>
      <c r="U447" s="14"/>
      <c r="V447" s="14"/>
      <c r="W447" s="315"/>
      <c r="X447" s="14"/>
      <c r="Y447" s="42"/>
      <c r="Z447" s="42"/>
      <c r="AA447" s="42"/>
      <c r="AB447" s="42"/>
      <c r="AC447" s="42"/>
      <c r="AD447" s="42"/>
      <c r="AE447" s="42"/>
      <c r="AF447" s="42"/>
      <c r="AG447" s="42"/>
      <c r="AH447" s="42"/>
      <c r="AI447" s="42"/>
      <c r="AJ447" s="42"/>
      <c r="AK447" s="42"/>
      <c r="AL447" s="42"/>
      <c r="AM447" s="42"/>
      <c r="AN447" s="42"/>
      <c r="AO447" s="42"/>
      <c r="AP447" s="42"/>
      <c r="AQ447" s="42"/>
      <c r="AR447" s="42"/>
    </row>
    <row r="448" spans="1:44" ht="17.25" customHeight="1" x14ac:dyDescent="0.2">
      <c r="A448" s="274" t="s">
        <v>5626</v>
      </c>
      <c r="B448" s="274" t="s">
        <v>5620</v>
      </c>
      <c r="C448" s="5">
        <v>0.85</v>
      </c>
      <c r="D448" s="5">
        <v>1.6</v>
      </c>
      <c r="E448" s="857">
        <v>360</v>
      </c>
      <c r="F448" s="5">
        <v>6</v>
      </c>
      <c r="G448" s="1746">
        <v>4</v>
      </c>
      <c r="H448" s="3034">
        <v>2</v>
      </c>
      <c r="I448" s="3034">
        <v>5.87</v>
      </c>
      <c r="J448" s="1746">
        <v>0.7</v>
      </c>
      <c r="K448" s="1746">
        <v>0.8</v>
      </c>
      <c r="L448" s="3034">
        <v>13</v>
      </c>
      <c r="N448" s="1"/>
      <c r="O448" s="8"/>
      <c r="P448" s="8"/>
      <c r="R448" s="15"/>
      <c r="S448" s="14"/>
      <c r="T448" s="14"/>
      <c r="U448" s="14"/>
      <c r="V448" s="14"/>
      <c r="W448" s="315"/>
      <c r="X448" s="14"/>
      <c r="Y448" s="42"/>
      <c r="Z448" s="42"/>
      <c r="AA448" s="42"/>
      <c r="AB448" s="42"/>
      <c r="AC448" s="42"/>
      <c r="AD448" s="42"/>
      <c r="AE448" s="42"/>
      <c r="AF448" s="42"/>
      <c r="AG448" s="42"/>
      <c r="AH448" s="42"/>
      <c r="AI448" s="42"/>
      <c r="AJ448" s="42"/>
      <c r="AK448" s="42"/>
      <c r="AL448" s="42"/>
      <c r="AM448" s="42"/>
      <c r="AN448" s="42"/>
      <c r="AO448" s="42"/>
      <c r="AP448" s="42"/>
      <c r="AQ448" s="42"/>
      <c r="AR448" s="42"/>
    </row>
    <row r="449" spans="1:44" ht="17.25" customHeight="1" x14ac:dyDescent="0.2">
      <c r="A449" s="274" t="s">
        <v>1917</v>
      </c>
      <c r="B449" s="274" t="s">
        <v>5631</v>
      </c>
      <c r="C449" s="5">
        <v>0.85</v>
      </c>
      <c r="D449" s="5">
        <v>1.5</v>
      </c>
      <c r="E449" s="857">
        <v>360</v>
      </c>
      <c r="F449" s="5">
        <v>10</v>
      </c>
      <c r="G449" s="1746">
        <v>4.5</v>
      </c>
      <c r="H449" s="3034">
        <v>2</v>
      </c>
      <c r="I449" s="3034">
        <v>7.44</v>
      </c>
      <c r="J449" s="1746">
        <v>0.7</v>
      </c>
      <c r="K449" s="1746">
        <v>0.7</v>
      </c>
      <c r="L449" s="3034">
        <v>8.6</v>
      </c>
      <c r="N449" s="239"/>
      <c r="O449" s="8"/>
      <c r="P449" s="8"/>
      <c r="R449" s="15"/>
      <c r="S449" s="14"/>
      <c r="T449" s="14"/>
      <c r="U449" s="14"/>
      <c r="V449" s="14"/>
      <c r="W449" s="315"/>
      <c r="X449" s="14"/>
      <c r="Y449" s="42"/>
      <c r="Z449" s="42"/>
      <c r="AA449" s="42"/>
      <c r="AB449" s="42"/>
      <c r="AC449" s="42"/>
      <c r="AD449" s="42"/>
      <c r="AE449" s="42"/>
      <c r="AF449" s="42"/>
      <c r="AG449" s="42"/>
      <c r="AH449" s="42"/>
      <c r="AI449" s="42"/>
      <c r="AJ449" s="42"/>
      <c r="AK449" s="42"/>
      <c r="AL449" s="42"/>
      <c r="AM449" s="42"/>
      <c r="AN449" s="42"/>
      <c r="AO449" s="42"/>
      <c r="AP449" s="42"/>
      <c r="AQ449" s="42"/>
      <c r="AR449" s="42"/>
    </row>
    <row r="450" spans="1:44" ht="17.25" customHeight="1" x14ac:dyDescent="0.2">
      <c r="A450" s="274" t="s">
        <v>1917</v>
      </c>
      <c r="B450" s="274" t="s">
        <v>5631</v>
      </c>
      <c r="C450" s="5">
        <v>0.85</v>
      </c>
      <c r="D450" s="5">
        <v>1.5</v>
      </c>
      <c r="E450" s="857">
        <v>360</v>
      </c>
      <c r="F450" s="5">
        <v>10</v>
      </c>
      <c r="G450" s="1746">
        <v>4.5</v>
      </c>
      <c r="H450" s="3034">
        <v>2</v>
      </c>
      <c r="I450" s="3034">
        <v>7.44</v>
      </c>
      <c r="J450" s="1746">
        <v>0.7</v>
      </c>
      <c r="K450" s="1746">
        <v>0.7</v>
      </c>
      <c r="L450" s="3034">
        <v>8.6</v>
      </c>
      <c r="N450" s="1"/>
      <c r="O450" s="8"/>
      <c r="P450" s="8"/>
      <c r="R450" s="15"/>
      <c r="S450" s="14"/>
      <c r="T450" s="14"/>
      <c r="U450" s="14"/>
      <c r="V450" s="14"/>
      <c r="W450" s="315"/>
      <c r="X450" s="14"/>
      <c r="Y450" s="42"/>
      <c r="Z450" s="42"/>
      <c r="AA450" s="42"/>
      <c r="AB450" s="42"/>
      <c r="AC450" s="42"/>
      <c r="AD450" s="42"/>
      <c r="AE450" s="42"/>
      <c r="AF450" s="42"/>
      <c r="AG450" s="42"/>
      <c r="AH450" s="42"/>
      <c r="AI450" s="42"/>
      <c r="AJ450" s="42"/>
      <c r="AK450" s="42"/>
      <c r="AL450" s="42"/>
      <c r="AM450" s="42"/>
      <c r="AN450" s="42"/>
      <c r="AO450" s="42"/>
      <c r="AP450" s="42"/>
      <c r="AQ450" s="42"/>
      <c r="AR450" s="42"/>
    </row>
    <row r="451" spans="1:44" ht="17.25" customHeight="1" x14ac:dyDescent="0.2">
      <c r="A451" s="274" t="s">
        <v>1917</v>
      </c>
      <c r="B451" s="274" t="s">
        <v>5631</v>
      </c>
      <c r="C451" s="5">
        <v>0.85</v>
      </c>
      <c r="D451" s="5">
        <v>1.5</v>
      </c>
      <c r="E451" s="857">
        <v>360</v>
      </c>
      <c r="F451" s="5">
        <v>10</v>
      </c>
      <c r="G451" s="1746">
        <v>4.5</v>
      </c>
      <c r="H451" s="3034">
        <v>2</v>
      </c>
      <c r="I451" s="3034">
        <v>7.44</v>
      </c>
      <c r="J451" s="1746">
        <v>0.7</v>
      </c>
      <c r="K451" s="1746">
        <v>0.7</v>
      </c>
      <c r="L451" s="3034">
        <v>8.6</v>
      </c>
      <c r="N451" s="239"/>
      <c r="O451" s="8"/>
      <c r="P451" s="8"/>
      <c r="R451" s="15"/>
      <c r="S451" s="14"/>
      <c r="T451" s="14"/>
      <c r="U451" s="14"/>
      <c r="V451" s="14"/>
      <c r="W451" s="315"/>
      <c r="X451" s="14"/>
      <c r="Y451" s="42"/>
      <c r="Z451" s="42"/>
      <c r="AA451" s="42"/>
      <c r="AB451" s="42"/>
      <c r="AC451" s="42"/>
      <c r="AD451" s="42"/>
      <c r="AE451" s="42"/>
      <c r="AF451" s="42"/>
      <c r="AG451" s="42"/>
      <c r="AH451" s="42"/>
      <c r="AI451" s="42"/>
      <c r="AJ451" s="42"/>
      <c r="AK451" s="42"/>
      <c r="AL451" s="42"/>
      <c r="AM451" s="42"/>
      <c r="AN451" s="42"/>
      <c r="AO451" s="42"/>
      <c r="AP451" s="42"/>
      <c r="AQ451" s="42"/>
      <c r="AR451" s="42"/>
    </row>
    <row r="452" spans="1:44" ht="17.25" customHeight="1" x14ac:dyDescent="0.2">
      <c r="A452" s="274" t="s">
        <v>152</v>
      </c>
      <c r="B452" s="274" t="s">
        <v>5631</v>
      </c>
      <c r="C452" s="5">
        <v>0.85</v>
      </c>
      <c r="D452" s="5">
        <v>1.5</v>
      </c>
      <c r="E452" s="857">
        <v>360</v>
      </c>
      <c r="F452" s="5">
        <v>10</v>
      </c>
      <c r="G452" s="1746">
        <v>4.5</v>
      </c>
      <c r="H452" s="3034">
        <v>2</v>
      </c>
      <c r="I452" s="3034">
        <v>7.44</v>
      </c>
      <c r="J452" s="1746">
        <v>0.7</v>
      </c>
      <c r="K452" s="1746">
        <v>0.7</v>
      </c>
      <c r="L452" s="3034">
        <v>8</v>
      </c>
      <c r="N452" s="239"/>
      <c r="O452" s="8"/>
      <c r="P452" s="8"/>
      <c r="R452" s="15"/>
      <c r="S452" s="14"/>
      <c r="T452" s="14"/>
      <c r="U452" s="14"/>
      <c r="V452" s="14"/>
      <c r="W452" s="315"/>
      <c r="X452" s="14"/>
      <c r="Y452" s="42"/>
      <c r="Z452" s="42"/>
      <c r="AA452" s="42"/>
      <c r="AB452" s="42"/>
      <c r="AC452" s="42"/>
      <c r="AD452" s="42"/>
      <c r="AE452" s="42"/>
      <c r="AF452" s="42"/>
      <c r="AG452" s="42"/>
      <c r="AH452" s="42"/>
      <c r="AI452" s="42"/>
      <c r="AJ452" s="42"/>
      <c r="AK452" s="42"/>
      <c r="AL452" s="42"/>
      <c r="AM452" s="42"/>
      <c r="AN452" s="42"/>
      <c r="AO452" s="42"/>
      <c r="AP452" s="42"/>
      <c r="AQ452" s="42"/>
      <c r="AR452" s="42"/>
    </row>
    <row r="453" spans="1:44" ht="17.25" customHeight="1" x14ac:dyDescent="0.2">
      <c r="A453" s="274" t="s">
        <v>5623</v>
      </c>
      <c r="B453" s="274" t="s">
        <v>5630</v>
      </c>
      <c r="C453" s="857">
        <v>0.85</v>
      </c>
      <c r="D453" s="857">
        <v>1.5</v>
      </c>
      <c r="E453" s="857">
        <v>360</v>
      </c>
      <c r="F453" s="857">
        <v>12</v>
      </c>
      <c r="G453" s="1746">
        <v>5</v>
      </c>
      <c r="H453" s="3034">
        <v>2</v>
      </c>
      <c r="I453" s="3034">
        <v>7.65</v>
      </c>
      <c r="J453" s="1746">
        <v>0.7</v>
      </c>
      <c r="K453" s="1746">
        <v>0.8</v>
      </c>
      <c r="L453" s="3034">
        <v>13</v>
      </c>
      <c r="N453" s="239"/>
      <c r="O453" s="8"/>
      <c r="P453" s="8"/>
      <c r="R453" s="15"/>
      <c r="S453" s="14"/>
      <c r="T453" s="14"/>
      <c r="U453" s="14"/>
      <c r="V453" s="14"/>
      <c r="W453" s="315"/>
      <c r="X453" s="14"/>
      <c r="Y453" s="42"/>
      <c r="Z453" s="42"/>
      <c r="AA453" s="42"/>
      <c r="AB453" s="42"/>
      <c r="AC453" s="42"/>
      <c r="AD453" s="42"/>
      <c r="AE453" s="42"/>
      <c r="AF453" s="42"/>
      <c r="AG453" s="42"/>
      <c r="AH453" s="42"/>
      <c r="AI453" s="42"/>
      <c r="AJ453" s="42"/>
      <c r="AK453" s="42"/>
      <c r="AL453" s="42"/>
      <c r="AM453" s="42"/>
      <c r="AN453" s="42"/>
      <c r="AO453" s="42"/>
      <c r="AP453" s="42"/>
      <c r="AQ453" s="42"/>
      <c r="AR453" s="42"/>
    </row>
    <row r="454" spans="1:44" ht="17.25" customHeight="1" x14ac:dyDescent="0.2">
      <c r="A454" s="274" t="s">
        <v>5641</v>
      </c>
      <c r="B454" s="274" t="s">
        <v>5630</v>
      </c>
      <c r="C454" s="857">
        <v>0.85</v>
      </c>
      <c r="D454" s="857">
        <v>1.5</v>
      </c>
      <c r="E454" s="857">
        <v>360</v>
      </c>
      <c r="F454" s="857">
        <v>12</v>
      </c>
      <c r="G454" s="1746">
        <v>5</v>
      </c>
      <c r="H454" s="3034">
        <v>2</v>
      </c>
      <c r="I454" s="3034">
        <v>7.65</v>
      </c>
      <c r="J454" s="1746">
        <v>0.7</v>
      </c>
      <c r="K454" s="1746">
        <v>0.8</v>
      </c>
      <c r="L454" s="3034">
        <v>9.3000000000000007</v>
      </c>
      <c r="N454" s="239"/>
      <c r="O454" s="8"/>
      <c r="P454" s="8"/>
      <c r="R454" s="15"/>
      <c r="S454" s="14"/>
      <c r="T454" s="14"/>
      <c r="U454" s="14"/>
      <c r="V454" s="14"/>
      <c r="W454" s="315"/>
      <c r="X454" s="14"/>
      <c r="Y454" s="42"/>
      <c r="Z454" s="42"/>
      <c r="AA454" s="42"/>
      <c r="AB454" s="42"/>
      <c r="AC454" s="42"/>
      <c r="AD454" s="42"/>
      <c r="AE454" s="42"/>
      <c r="AF454" s="42"/>
      <c r="AG454" s="42"/>
      <c r="AH454" s="42"/>
      <c r="AI454" s="42"/>
      <c r="AJ454" s="42"/>
      <c r="AK454" s="42"/>
      <c r="AL454" s="42"/>
      <c r="AM454" s="42"/>
      <c r="AN454" s="42"/>
      <c r="AO454" s="42"/>
      <c r="AP454" s="42"/>
      <c r="AQ454" s="42"/>
      <c r="AR454" s="42"/>
    </row>
    <row r="455" spans="1:44" ht="17.25" customHeight="1" x14ac:dyDescent="0.2">
      <c r="A455" s="274" t="s">
        <v>5641</v>
      </c>
      <c r="B455" s="274" t="s">
        <v>5630</v>
      </c>
      <c r="C455" s="857">
        <v>0.85</v>
      </c>
      <c r="D455" s="857">
        <v>1.5</v>
      </c>
      <c r="E455" s="857">
        <v>360</v>
      </c>
      <c r="F455" s="857">
        <v>12</v>
      </c>
      <c r="G455" s="1746">
        <v>5</v>
      </c>
      <c r="H455" s="3034">
        <v>2</v>
      </c>
      <c r="I455" s="3034">
        <v>7.65</v>
      </c>
      <c r="J455" s="1746">
        <v>0.7</v>
      </c>
      <c r="K455" s="1746">
        <v>0.8</v>
      </c>
      <c r="L455" s="3034">
        <v>9.3000000000000007</v>
      </c>
      <c r="N455" s="239"/>
      <c r="O455" s="8"/>
      <c r="P455" s="8"/>
      <c r="R455" s="15"/>
      <c r="S455" s="14"/>
      <c r="T455" s="14"/>
      <c r="U455" s="14"/>
      <c r="V455" s="14"/>
      <c r="W455" s="315"/>
      <c r="X455" s="14"/>
      <c r="Y455" s="42"/>
      <c r="Z455" s="42"/>
      <c r="AA455" s="42"/>
      <c r="AB455" s="42"/>
      <c r="AC455" s="42"/>
      <c r="AD455" s="42"/>
      <c r="AE455" s="42"/>
      <c r="AF455" s="42"/>
      <c r="AG455" s="42"/>
      <c r="AH455" s="42"/>
      <c r="AI455" s="42"/>
      <c r="AJ455" s="42"/>
      <c r="AK455" s="42"/>
      <c r="AL455" s="42"/>
      <c r="AM455" s="42"/>
      <c r="AN455" s="42"/>
      <c r="AO455" s="42"/>
      <c r="AP455" s="42"/>
      <c r="AQ455" s="42"/>
      <c r="AR455" s="42"/>
    </row>
    <row r="456" spans="1:44" ht="17.25" customHeight="1" x14ac:dyDescent="0.2">
      <c r="A456" s="274" t="s">
        <v>6431</v>
      </c>
      <c r="B456" s="274" t="s">
        <v>5630</v>
      </c>
      <c r="C456" s="857">
        <v>0.85</v>
      </c>
      <c r="D456" s="857">
        <v>1.5</v>
      </c>
      <c r="E456" s="857">
        <v>360</v>
      </c>
      <c r="F456" s="857">
        <v>12</v>
      </c>
      <c r="G456" s="1746">
        <v>5</v>
      </c>
      <c r="H456" s="3034">
        <v>2</v>
      </c>
      <c r="I456" s="3034">
        <v>7.65</v>
      </c>
      <c r="J456" s="1746">
        <v>0.7</v>
      </c>
      <c r="K456" s="1746">
        <v>0.8</v>
      </c>
      <c r="L456" s="3034">
        <v>8</v>
      </c>
      <c r="N456" s="239"/>
      <c r="O456" s="8"/>
      <c r="P456" s="8"/>
      <c r="R456" s="15"/>
      <c r="S456" s="14"/>
      <c r="T456" s="14"/>
      <c r="U456" s="14"/>
      <c r="V456" s="14"/>
      <c r="W456" s="315"/>
      <c r="X456" s="14"/>
      <c r="Y456" s="42"/>
      <c r="Z456" s="42"/>
      <c r="AA456" s="42"/>
      <c r="AB456" s="42"/>
      <c r="AC456" s="42"/>
      <c r="AD456" s="42"/>
      <c r="AE456" s="42"/>
      <c r="AF456" s="42"/>
      <c r="AG456" s="42"/>
      <c r="AH456" s="42"/>
      <c r="AI456" s="42"/>
      <c r="AJ456" s="42"/>
      <c r="AK456" s="42"/>
      <c r="AL456" s="42"/>
      <c r="AM456" s="42"/>
      <c r="AN456" s="42"/>
      <c r="AO456" s="42"/>
      <c r="AP456" s="42"/>
      <c r="AQ456" s="42"/>
      <c r="AR456" s="42"/>
    </row>
    <row r="457" spans="1:44" ht="17.25" customHeight="1" x14ac:dyDescent="0.2">
      <c r="A457" s="274" t="s">
        <v>1918</v>
      </c>
      <c r="B457" s="274" t="s">
        <v>5630</v>
      </c>
      <c r="C457" s="857">
        <v>0.85</v>
      </c>
      <c r="D457" s="857">
        <v>1.5</v>
      </c>
      <c r="E457" s="857">
        <v>360</v>
      </c>
      <c r="F457" s="857">
        <v>12</v>
      </c>
      <c r="G457" s="1746">
        <v>5</v>
      </c>
      <c r="H457" s="3034">
        <v>2</v>
      </c>
      <c r="I457" s="3034">
        <v>7.65</v>
      </c>
      <c r="J457" s="1746">
        <v>0.7</v>
      </c>
      <c r="K457" s="1746">
        <v>0.8</v>
      </c>
      <c r="L457" s="3034">
        <v>10</v>
      </c>
      <c r="N457" s="239"/>
      <c r="O457" s="8"/>
      <c r="P457" s="8"/>
      <c r="R457" s="15"/>
      <c r="S457" s="14"/>
      <c r="T457" s="14"/>
      <c r="U457" s="14"/>
      <c r="V457" s="14"/>
      <c r="W457" s="315"/>
      <c r="X457" s="14"/>
      <c r="Y457" s="42"/>
      <c r="Z457" s="42"/>
      <c r="AA457" s="42"/>
      <c r="AB457" s="42"/>
      <c r="AC457" s="42"/>
      <c r="AD457" s="42"/>
      <c r="AE457" s="42"/>
      <c r="AF457" s="42"/>
      <c r="AG457" s="42"/>
      <c r="AH457" s="42"/>
      <c r="AI457" s="42"/>
      <c r="AJ457" s="42"/>
      <c r="AK457" s="42"/>
      <c r="AL457" s="42"/>
      <c r="AM457" s="42"/>
      <c r="AN457" s="42"/>
      <c r="AO457" s="42"/>
      <c r="AP457" s="42"/>
      <c r="AQ457" s="42"/>
      <c r="AR457" s="42"/>
    </row>
    <row r="458" spans="1:44" ht="17.25" customHeight="1" x14ac:dyDescent="0.2">
      <c r="A458" s="274" t="s">
        <v>5618</v>
      </c>
      <c r="B458" s="274" t="s">
        <v>5630</v>
      </c>
      <c r="C458" s="857">
        <v>0.85</v>
      </c>
      <c r="D458" s="857">
        <v>1.5</v>
      </c>
      <c r="E458" s="857">
        <v>360</v>
      </c>
      <c r="F458" s="857">
        <v>12</v>
      </c>
      <c r="G458" s="1746">
        <v>5</v>
      </c>
      <c r="H458" s="3034">
        <v>2</v>
      </c>
      <c r="I458" s="3034">
        <v>7.65</v>
      </c>
      <c r="J458" s="1746">
        <v>0.7</v>
      </c>
      <c r="K458" s="1746">
        <v>0.8</v>
      </c>
      <c r="L458" s="3034">
        <v>10</v>
      </c>
      <c r="N458" s="239"/>
      <c r="O458" s="8"/>
      <c r="P458" s="8"/>
      <c r="R458" s="15"/>
      <c r="S458" s="14"/>
      <c r="T458" s="14"/>
      <c r="U458" s="14"/>
      <c r="V458" s="14"/>
      <c r="W458" s="315"/>
      <c r="X458" s="14"/>
      <c r="Y458" s="42"/>
      <c r="Z458" s="42"/>
      <c r="AA458" s="42"/>
      <c r="AB458" s="42"/>
      <c r="AC458" s="42"/>
      <c r="AD458" s="42"/>
      <c r="AE458" s="42"/>
      <c r="AF458" s="42"/>
      <c r="AG458" s="42"/>
      <c r="AH458" s="42"/>
      <c r="AI458" s="42"/>
      <c r="AJ458" s="42"/>
      <c r="AK458" s="42"/>
      <c r="AL458" s="42"/>
      <c r="AM458" s="42"/>
      <c r="AN458" s="42"/>
      <c r="AO458" s="42"/>
      <c r="AP458" s="42"/>
      <c r="AQ458" s="42"/>
      <c r="AR458" s="42"/>
    </row>
    <row r="459" spans="1:44" ht="17.25" customHeight="1" x14ac:dyDescent="0.2">
      <c r="A459" s="274" t="s">
        <v>5623</v>
      </c>
      <c r="B459" s="274" t="s">
        <v>5622</v>
      </c>
      <c r="C459" s="5">
        <v>1.1000000000000001</v>
      </c>
      <c r="D459" s="5">
        <v>2.1</v>
      </c>
      <c r="E459" s="857">
        <v>360</v>
      </c>
      <c r="F459" s="5">
        <v>11</v>
      </c>
      <c r="G459" s="1746">
        <v>7</v>
      </c>
      <c r="H459" s="3034">
        <v>2</v>
      </c>
      <c r="I459" s="3034">
        <v>7.2</v>
      </c>
      <c r="J459" s="1746">
        <v>0.63</v>
      </c>
      <c r="K459" s="1746">
        <v>0.8</v>
      </c>
      <c r="L459" s="3034">
        <v>13</v>
      </c>
      <c r="N459" s="1"/>
      <c r="O459" s="8"/>
      <c r="P459" s="8"/>
      <c r="R459" s="15"/>
      <c r="S459" s="14"/>
      <c r="T459" s="14"/>
      <c r="U459" s="14"/>
      <c r="V459" s="14"/>
      <c r="W459" s="315"/>
      <c r="X459" s="14"/>
      <c r="Y459" s="42"/>
      <c r="Z459" s="42"/>
      <c r="AA459" s="42"/>
      <c r="AB459" s="42"/>
      <c r="AC459" s="42"/>
      <c r="AD459" s="42"/>
      <c r="AE459" s="42"/>
      <c r="AF459" s="42"/>
      <c r="AG459" s="42"/>
      <c r="AH459" s="42"/>
      <c r="AI459" s="42"/>
      <c r="AJ459" s="42"/>
      <c r="AK459" s="42"/>
      <c r="AL459" s="42"/>
      <c r="AM459" s="42"/>
      <c r="AN459" s="42"/>
      <c r="AO459" s="42"/>
      <c r="AP459" s="42"/>
      <c r="AQ459" s="42"/>
      <c r="AR459" s="42"/>
    </row>
    <row r="460" spans="1:44" ht="17.25" customHeight="1" x14ac:dyDescent="0.2">
      <c r="A460" s="274" t="s">
        <v>152</v>
      </c>
      <c r="B460" s="274" t="s">
        <v>5622</v>
      </c>
      <c r="C460" s="5">
        <v>1.1000000000000001</v>
      </c>
      <c r="D460" s="5">
        <v>2.1</v>
      </c>
      <c r="E460" s="857">
        <v>360</v>
      </c>
      <c r="F460" s="5">
        <v>11</v>
      </c>
      <c r="G460" s="1746">
        <v>7</v>
      </c>
      <c r="H460" s="3034">
        <v>2</v>
      </c>
      <c r="I460" s="3034">
        <v>7.2</v>
      </c>
      <c r="J460" s="1746">
        <v>0.63</v>
      </c>
      <c r="K460" s="1746">
        <v>0.8</v>
      </c>
      <c r="L460" s="3034">
        <v>8</v>
      </c>
      <c r="N460" s="1"/>
      <c r="O460" s="8"/>
      <c r="P460" s="8"/>
      <c r="R460" s="15"/>
      <c r="S460" s="14"/>
      <c r="T460" s="14"/>
      <c r="U460" s="14"/>
      <c r="V460" s="14"/>
      <c r="W460" s="315"/>
      <c r="X460" s="14"/>
      <c r="Y460" s="42"/>
      <c r="Z460" s="42"/>
      <c r="AA460" s="42"/>
      <c r="AB460" s="42"/>
      <c r="AC460" s="42"/>
      <c r="AD460" s="42"/>
      <c r="AE460" s="42"/>
      <c r="AF460" s="42"/>
      <c r="AG460" s="42"/>
      <c r="AH460" s="42"/>
      <c r="AI460" s="42"/>
      <c r="AJ460" s="42"/>
      <c r="AK460" s="42"/>
      <c r="AL460" s="42"/>
      <c r="AM460" s="42"/>
      <c r="AN460" s="42"/>
      <c r="AO460" s="42"/>
      <c r="AP460" s="42"/>
      <c r="AQ460" s="42"/>
      <c r="AR460" s="42"/>
    </row>
    <row r="461" spans="1:44" ht="17.25" customHeight="1" x14ac:dyDescent="0.2">
      <c r="A461" s="274" t="s">
        <v>5618</v>
      </c>
      <c r="B461" s="274" t="s">
        <v>5622</v>
      </c>
      <c r="C461" s="5">
        <v>1.1000000000000001</v>
      </c>
      <c r="D461" s="5">
        <v>2.1</v>
      </c>
      <c r="E461" s="857">
        <v>360</v>
      </c>
      <c r="F461" s="5">
        <v>11</v>
      </c>
      <c r="G461" s="1746">
        <v>7</v>
      </c>
      <c r="H461" s="3034">
        <v>2</v>
      </c>
      <c r="I461" s="3034">
        <v>7.2</v>
      </c>
      <c r="J461" s="1746">
        <v>0.63</v>
      </c>
      <c r="K461" s="1746">
        <v>0.8</v>
      </c>
      <c r="L461" s="3034">
        <v>10</v>
      </c>
      <c r="N461" s="1"/>
      <c r="O461" s="8"/>
      <c r="P461" s="8"/>
      <c r="R461" s="15"/>
      <c r="S461" s="14"/>
      <c r="T461" s="14"/>
      <c r="U461" s="14"/>
      <c r="V461" s="14"/>
      <c r="W461" s="315"/>
      <c r="X461" s="14"/>
      <c r="Y461" s="42"/>
      <c r="Z461" s="42"/>
      <c r="AA461" s="42"/>
      <c r="AB461" s="42"/>
      <c r="AC461" s="42"/>
      <c r="AD461" s="42"/>
      <c r="AE461" s="42"/>
      <c r="AF461" s="42"/>
      <c r="AG461" s="42"/>
      <c r="AH461" s="42"/>
      <c r="AI461" s="42"/>
      <c r="AJ461" s="42"/>
      <c r="AK461" s="42"/>
      <c r="AL461" s="42"/>
      <c r="AM461" s="42"/>
      <c r="AN461" s="42"/>
      <c r="AO461" s="42"/>
      <c r="AP461" s="42"/>
      <c r="AQ461" s="42"/>
      <c r="AR461" s="42"/>
    </row>
    <row r="462" spans="1:44" ht="17.25" customHeight="1" x14ac:dyDescent="0.2">
      <c r="A462" s="274" t="s">
        <v>5628</v>
      </c>
      <c r="B462" s="274" t="s">
        <v>5622</v>
      </c>
      <c r="C462" s="5">
        <v>1.1000000000000001</v>
      </c>
      <c r="D462" s="5">
        <v>2.1</v>
      </c>
      <c r="E462" s="857">
        <v>360</v>
      </c>
      <c r="F462" s="5">
        <v>11</v>
      </c>
      <c r="G462" s="1746">
        <v>7</v>
      </c>
      <c r="H462" s="3034">
        <v>2</v>
      </c>
      <c r="I462" s="3034">
        <v>7.2</v>
      </c>
      <c r="J462" s="1746">
        <v>0.63</v>
      </c>
      <c r="K462" s="1746">
        <v>0.8</v>
      </c>
      <c r="L462" s="3034">
        <v>14</v>
      </c>
      <c r="N462" s="239"/>
      <c r="O462" s="8"/>
      <c r="P462" s="8"/>
      <c r="R462" s="15"/>
      <c r="S462" s="14"/>
      <c r="T462" s="14"/>
      <c r="U462" s="14"/>
      <c r="V462" s="14"/>
      <c r="W462" s="315"/>
      <c r="X462" s="14"/>
      <c r="Y462" s="42"/>
      <c r="Z462" s="42"/>
      <c r="AA462" s="42"/>
      <c r="AB462" s="42"/>
      <c r="AC462" s="42"/>
      <c r="AD462" s="42"/>
      <c r="AE462" s="42"/>
      <c r="AF462" s="42"/>
      <c r="AG462" s="42"/>
      <c r="AH462" s="42"/>
      <c r="AI462" s="42"/>
      <c r="AJ462" s="42"/>
      <c r="AK462" s="42"/>
      <c r="AL462" s="42"/>
      <c r="AM462" s="42"/>
      <c r="AN462" s="42"/>
      <c r="AO462" s="42"/>
      <c r="AP462" s="42"/>
      <c r="AQ462" s="42"/>
      <c r="AR462" s="42"/>
    </row>
    <row r="463" spans="1:44" ht="17.25" customHeight="1" x14ac:dyDescent="0.2">
      <c r="A463" s="274" t="s">
        <v>5641</v>
      </c>
      <c r="B463" s="274" t="s">
        <v>3480</v>
      </c>
      <c r="C463" s="5">
        <v>1.1499999999999999</v>
      </c>
      <c r="D463" s="5">
        <v>1.3</v>
      </c>
      <c r="E463" s="857">
        <v>360</v>
      </c>
      <c r="F463" s="5">
        <v>3</v>
      </c>
      <c r="G463" s="1746">
        <v>1.8</v>
      </c>
      <c r="H463" s="3034">
        <v>1</v>
      </c>
      <c r="I463" s="3034">
        <v>14.5</v>
      </c>
      <c r="J463" s="2777">
        <v>0.63</v>
      </c>
      <c r="K463" s="2777">
        <v>0.8</v>
      </c>
      <c r="L463" s="3034">
        <v>9.3000000000000007</v>
      </c>
      <c r="N463" s="1"/>
      <c r="O463" s="8"/>
      <c r="P463" s="8"/>
      <c r="R463" s="15"/>
      <c r="S463" s="14"/>
      <c r="T463" s="14"/>
      <c r="U463" s="14"/>
      <c r="V463" s="14"/>
      <c r="W463" s="315"/>
      <c r="X463" s="14"/>
      <c r="Y463" s="42"/>
      <c r="Z463" s="42"/>
      <c r="AA463" s="42"/>
      <c r="AB463" s="42"/>
      <c r="AC463" s="42"/>
      <c r="AD463" s="42"/>
      <c r="AE463" s="42"/>
      <c r="AF463" s="42"/>
      <c r="AG463" s="42"/>
      <c r="AH463" s="42"/>
      <c r="AI463" s="42"/>
      <c r="AJ463" s="42"/>
      <c r="AK463" s="42"/>
      <c r="AL463" s="42"/>
      <c r="AM463" s="42"/>
      <c r="AN463" s="42"/>
      <c r="AO463" s="42"/>
      <c r="AP463" s="42"/>
      <c r="AQ463" s="42"/>
      <c r="AR463" s="42"/>
    </row>
    <row r="464" spans="1:44" ht="17.25" customHeight="1" x14ac:dyDescent="0.2">
      <c r="A464" s="274" t="s">
        <v>5618</v>
      </c>
      <c r="B464" s="274" t="s">
        <v>3480</v>
      </c>
      <c r="C464" s="5">
        <v>1.1499999999999999</v>
      </c>
      <c r="D464" s="5">
        <v>1.3</v>
      </c>
      <c r="E464" s="857">
        <v>360</v>
      </c>
      <c r="F464" s="5">
        <v>3</v>
      </c>
      <c r="G464" s="1746">
        <v>1.8</v>
      </c>
      <c r="H464" s="3034">
        <v>1</v>
      </c>
      <c r="I464" s="3034">
        <v>14.5</v>
      </c>
      <c r="J464" s="2777">
        <v>0.63</v>
      </c>
      <c r="K464" s="2777">
        <v>0.8</v>
      </c>
      <c r="L464" s="3034">
        <v>10</v>
      </c>
      <c r="N464" s="1"/>
      <c r="O464" s="8"/>
      <c r="P464" s="8"/>
      <c r="R464" s="15"/>
      <c r="S464" s="14"/>
      <c r="T464" s="14"/>
      <c r="U464" s="14"/>
      <c r="V464" s="14"/>
      <c r="W464" s="315"/>
      <c r="X464" s="14"/>
      <c r="Y464" s="42"/>
      <c r="Z464" s="42"/>
      <c r="AA464" s="42"/>
      <c r="AB464" s="42"/>
      <c r="AC464" s="42"/>
      <c r="AD464" s="42"/>
      <c r="AE464" s="42"/>
      <c r="AF464" s="42"/>
      <c r="AG464" s="42"/>
      <c r="AH464" s="42"/>
      <c r="AI464" s="42"/>
      <c r="AJ464" s="42"/>
      <c r="AK464" s="42"/>
      <c r="AL464" s="42"/>
      <c r="AM464" s="42"/>
      <c r="AN464" s="42"/>
      <c r="AO464" s="42"/>
      <c r="AP464" s="42"/>
      <c r="AQ464" s="42"/>
      <c r="AR464" s="42"/>
    </row>
    <row r="465" spans="1:44" ht="17.25" customHeight="1" x14ac:dyDescent="0.2">
      <c r="A465" s="274" t="s">
        <v>5637</v>
      </c>
      <c r="B465" s="274" t="s">
        <v>3483</v>
      </c>
      <c r="C465" s="5">
        <v>1.25</v>
      </c>
      <c r="D465" s="5">
        <v>2.5</v>
      </c>
      <c r="E465" s="857">
        <v>360</v>
      </c>
      <c r="F465" s="5">
        <v>5</v>
      </c>
      <c r="G465" s="1746">
        <v>4.3</v>
      </c>
      <c r="H465" s="3034">
        <v>2</v>
      </c>
      <c r="I465" s="3034">
        <v>9.6</v>
      </c>
      <c r="J465" s="2777">
        <v>0.63</v>
      </c>
      <c r="K465" s="2777">
        <v>0.8</v>
      </c>
      <c r="L465" s="3034">
        <v>8</v>
      </c>
      <c r="N465" s="1"/>
      <c r="O465" s="8"/>
      <c r="P465" s="8"/>
      <c r="R465" s="15"/>
      <c r="S465" s="14"/>
      <c r="T465" s="14"/>
      <c r="U465" s="14"/>
      <c r="V465" s="14"/>
      <c r="W465" s="315"/>
      <c r="X465" s="14"/>
      <c r="Y465" s="42"/>
      <c r="Z465" s="42"/>
      <c r="AA465" s="42"/>
      <c r="AB465" s="42"/>
      <c r="AC465" s="42"/>
      <c r="AD465" s="42"/>
      <c r="AE465" s="42"/>
      <c r="AF465" s="42"/>
      <c r="AG465" s="42"/>
      <c r="AH465" s="42"/>
      <c r="AI465" s="42"/>
      <c r="AJ465" s="42"/>
      <c r="AK465" s="42"/>
      <c r="AL465" s="42"/>
      <c r="AM465" s="42"/>
      <c r="AN465" s="42"/>
      <c r="AO465" s="42"/>
      <c r="AP465" s="42"/>
      <c r="AQ465" s="42"/>
      <c r="AR465" s="42"/>
    </row>
    <row r="466" spans="1:44" ht="17.25" customHeight="1" x14ac:dyDescent="0.2">
      <c r="A466" s="274" t="s">
        <v>5626</v>
      </c>
      <c r="B466" s="274" t="s">
        <v>3483</v>
      </c>
      <c r="C466" s="5">
        <v>1.25</v>
      </c>
      <c r="D466" s="5">
        <v>2.5</v>
      </c>
      <c r="E466" s="857">
        <v>360</v>
      </c>
      <c r="F466" s="5">
        <v>5</v>
      </c>
      <c r="G466" s="1746">
        <v>4.3</v>
      </c>
      <c r="H466" s="3034">
        <v>2</v>
      </c>
      <c r="I466" s="3034">
        <v>9.6</v>
      </c>
      <c r="J466" s="2777">
        <v>0.63</v>
      </c>
      <c r="K466" s="2777">
        <v>0.8</v>
      </c>
      <c r="L466" s="3034">
        <v>13</v>
      </c>
      <c r="N466" s="1"/>
      <c r="O466" s="8"/>
      <c r="P466" s="8"/>
      <c r="R466" s="15"/>
      <c r="S466" s="14"/>
      <c r="T466" s="14"/>
      <c r="U466" s="14"/>
      <c r="V466" s="14"/>
      <c r="W466" s="315"/>
      <c r="X466" s="14"/>
      <c r="Y466" s="42"/>
      <c r="Z466" s="42"/>
      <c r="AA466" s="42"/>
      <c r="AB466" s="42"/>
      <c r="AC466" s="42"/>
      <c r="AD466" s="42"/>
      <c r="AE466" s="42"/>
      <c r="AF466" s="42"/>
      <c r="AG466" s="42"/>
      <c r="AH466" s="42"/>
      <c r="AI466" s="42"/>
      <c r="AJ466" s="42"/>
      <c r="AK466" s="42"/>
      <c r="AL466" s="42"/>
      <c r="AM466" s="42"/>
      <c r="AN466" s="42"/>
      <c r="AO466" s="42"/>
      <c r="AP466" s="42"/>
      <c r="AQ466" s="42"/>
      <c r="AR466" s="42"/>
    </row>
    <row r="467" spans="1:44" ht="17.25" customHeight="1" x14ac:dyDescent="0.2">
      <c r="A467" s="274" t="s">
        <v>5641</v>
      </c>
      <c r="B467" s="274" t="s">
        <v>3482</v>
      </c>
      <c r="C467" s="5">
        <v>1.25</v>
      </c>
      <c r="D467" s="5">
        <v>1.93</v>
      </c>
      <c r="E467" s="857">
        <v>360</v>
      </c>
      <c r="F467" s="5">
        <v>5</v>
      </c>
      <c r="G467" s="1746">
        <v>3.2</v>
      </c>
      <c r="H467" s="3034">
        <v>2</v>
      </c>
      <c r="I467" s="3034">
        <v>6.57</v>
      </c>
      <c r="J467" s="1746">
        <v>0.63</v>
      </c>
      <c r="K467" s="1746">
        <v>0.8</v>
      </c>
      <c r="L467" s="3034">
        <v>9.3000000000000007</v>
      </c>
      <c r="N467" s="239"/>
      <c r="O467" s="8"/>
      <c r="P467" s="8"/>
      <c r="R467" s="15"/>
      <c r="S467" s="14"/>
      <c r="T467" s="14"/>
      <c r="U467" s="14"/>
      <c r="V467" s="14"/>
      <c r="W467" s="315"/>
      <c r="X467" s="14"/>
      <c r="Y467" s="42"/>
      <c r="Z467" s="42"/>
      <c r="AA467" s="42"/>
      <c r="AB467" s="42"/>
      <c r="AC467" s="42"/>
      <c r="AD467" s="42"/>
      <c r="AE467" s="42"/>
      <c r="AF467" s="42"/>
      <c r="AG467" s="42"/>
      <c r="AH467" s="42"/>
      <c r="AI467" s="42"/>
      <c r="AJ467" s="42"/>
      <c r="AK467" s="42"/>
      <c r="AL467" s="42"/>
      <c r="AM467" s="42"/>
      <c r="AN467" s="42"/>
      <c r="AO467" s="42"/>
      <c r="AP467" s="42"/>
      <c r="AQ467" s="42"/>
      <c r="AR467" s="42"/>
    </row>
    <row r="468" spans="1:44" ht="17.25" customHeight="1" x14ac:dyDescent="0.2">
      <c r="A468" s="274" t="s">
        <v>152</v>
      </c>
      <c r="B468" s="274" t="s">
        <v>3482</v>
      </c>
      <c r="C468" s="5">
        <v>1.25</v>
      </c>
      <c r="D468" s="5">
        <v>1.93</v>
      </c>
      <c r="E468" s="857">
        <v>360</v>
      </c>
      <c r="F468" s="5">
        <v>5</v>
      </c>
      <c r="G468" s="1746">
        <v>3.2</v>
      </c>
      <c r="H468" s="3034">
        <v>2</v>
      </c>
      <c r="I468" s="3034">
        <v>6.57</v>
      </c>
      <c r="J468" s="1746">
        <v>0.63</v>
      </c>
      <c r="K468" s="1746">
        <v>0.8</v>
      </c>
      <c r="L468" s="3034">
        <v>8</v>
      </c>
      <c r="N468" s="1"/>
      <c r="O468" s="8"/>
      <c r="P468" s="8"/>
      <c r="R468" s="15"/>
      <c r="S468" s="14"/>
      <c r="T468" s="14"/>
      <c r="U468" s="14"/>
      <c r="V468" s="14"/>
      <c r="W468" s="315"/>
      <c r="X468" s="14"/>
      <c r="Y468" s="42"/>
      <c r="Z468" s="42"/>
      <c r="AA468" s="42"/>
      <c r="AB468" s="42"/>
      <c r="AC468" s="42"/>
      <c r="AD468" s="42"/>
      <c r="AE468" s="42"/>
      <c r="AF468" s="42"/>
      <c r="AG468" s="42"/>
      <c r="AH468" s="42"/>
      <c r="AI468" s="42"/>
      <c r="AJ468" s="42"/>
      <c r="AK468" s="42"/>
      <c r="AL468" s="42"/>
      <c r="AM468" s="42"/>
      <c r="AN468" s="42"/>
      <c r="AO468" s="42"/>
      <c r="AP468" s="42"/>
      <c r="AQ468" s="42"/>
      <c r="AR468" s="42"/>
    </row>
    <row r="469" spans="1:44" ht="17.25" customHeight="1" x14ac:dyDescent="0.2">
      <c r="A469" s="274" t="s">
        <v>1918</v>
      </c>
      <c r="B469" s="274" t="s">
        <v>3482</v>
      </c>
      <c r="C469" s="5">
        <v>1.25</v>
      </c>
      <c r="D469" s="5">
        <v>1.93</v>
      </c>
      <c r="E469" s="857">
        <v>360</v>
      </c>
      <c r="F469" s="5">
        <v>5</v>
      </c>
      <c r="G469" s="1746">
        <v>3.2</v>
      </c>
      <c r="H469" s="3034">
        <v>2</v>
      </c>
      <c r="I469" s="3034">
        <v>6.57</v>
      </c>
      <c r="J469" s="1746">
        <v>0.63</v>
      </c>
      <c r="K469" s="1746">
        <v>0.8</v>
      </c>
      <c r="L469" s="3034">
        <v>10</v>
      </c>
      <c r="N469" s="1"/>
      <c r="O469" s="8"/>
      <c r="P469" s="8"/>
      <c r="R469" s="15"/>
      <c r="S469" s="14"/>
      <c r="T469" s="14"/>
      <c r="U469" s="14"/>
      <c r="V469" s="14"/>
      <c r="W469" s="315"/>
      <c r="X469" s="14"/>
      <c r="Y469" s="42"/>
      <c r="Z469" s="42"/>
      <c r="AA469" s="42"/>
      <c r="AB469" s="42"/>
      <c r="AC469" s="42"/>
      <c r="AD469" s="42"/>
      <c r="AE469" s="42"/>
      <c r="AF469" s="42"/>
      <c r="AG469" s="42"/>
      <c r="AH469" s="42"/>
      <c r="AI469" s="42"/>
      <c r="AJ469" s="42"/>
      <c r="AK469" s="42"/>
      <c r="AL469" s="42"/>
      <c r="AM469" s="42"/>
      <c r="AN469" s="42"/>
      <c r="AO469" s="42"/>
      <c r="AP469" s="42"/>
      <c r="AQ469" s="42"/>
      <c r="AR469" s="42"/>
    </row>
    <row r="470" spans="1:44" ht="17.25" customHeight="1" x14ac:dyDescent="0.2">
      <c r="A470" s="274" t="s">
        <v>5625</v>
      </c>
      <c r="B470" s="274" t="s">
        <v>5624</v>
      </c>
      <c r="C470" s="5">
        <v>1.35</v>
      </c>
      <c r="D470" s="5">
        <v>3.2</v>
      </c>
      <c r="E470" s="857">
        <v>360</v>
      </c>
      <c r="F470" s="5">
        <v>18</v>
      </c>
      <c r="G470" s="1746">
        <v>8</v>
      </c>
      <c r="H470" s="3034">
        <v>2</v>
      </c>
      <c r="I470" s="3034">
        <v>8.6199999999999992</v>
      </c>
      <c r="J470" s="1746">
        <v>0.63</v>
      </c>
      <c r="K470" s="1746">
        <v>0.8</v>
      </c>
      <c r="L470" s="3034">
        <v>13</v>
      </c>
      <c r="N470" s="1"/>
      <c r="O470" s="8"/>
      <c r="P470" s="8"/>
      <c r="R470" s="15"/>
      <c r="S470" s="14"/>
      <c r="T470" s="14"/>
      <c r="U470" s="14"/>
      <c r="V470" s="14"/>
      <c r="W470" s="315"/>
      <c r="X470" s="14"/>
      <c r="Y470" s="42"/>
      <c r="Z470" s="42"/>
      <c r="AA470" s="42"/>
      <c r="AB470" s="42"/>
      <c r="AC470" s="42"/>
      <c r="AD470" s="42"/>
      <c r="AE470" s="42"/>
      <c r="AF470" s="42"/>
      <c r="AG470" s="42"/>
      <c r="AH470" s="42"/>
      <c r="AI470" s="42"/>
      <c r="AJ470" s="42"/>
      <c r="AK470" s="42"/>
      <c r="AL470" s="42"/>
      <c r="AM470" s="42"/>
      <c r="AN470" s="42"/>
      <c r="AO470" s="42"/>
      <c r="AP470" s="42"/>
      <c r="AQ470" s="42"/>
      <c r="AR470" s="42"/>
    </row>
    <row r="471" spans="1:44" ht="17.25" customHeight="1" x14ac:dyDescent="0.2">
      <c r="A471" s="274" t="s">
        <v>5675</v>
      </c>
      <c r="B471" s="274" t="s">
        <v>5624</v>
      </c>
      <c r="C471" s="5">
        <v>1.35</v>
      </c>
      <c r="D471" s="5">
        <v>3.2</v>
      </c>
      <c r="E471" s="857">
        <v>360</v>
      </c>
      <c r="F471" s="5">
        <v>18</v>
      </c>
      <c r="G471" s="1746">
        <v>8</v>
      </c>
      <c r="H471" s="3034">
        <v>2</v>
      </c>
      <c r="I471" s="3034">
        <v>8.6199999999999992</v>
      </c>
      <c r="J471" s="1746">
        <v>0.63</v>
      </c>
      <c r="K471" s="1746">
        <v>0.8</v>
      </c>
      <c r="L471" s="3034">
        <v>20</v>
      </c>
      <c r="N471" s="1"/>
      <c r="O471" s="8"/>
      <c r="P471" s="8"/>
      <c r="R471" s="15"/>
      <c r="S471" s="14"/>
      <c r="T471" s="14"/>
      <c r="U471" s="14"/>
      <c r="V471" s="14"/>
      <c r="W471" s="315"/>
      <c r="X471" s="14"/>
      <c r="Y471" s="42"/>
      <c r="Z471" s="42"/>
      <c r="AA471" s="42"/>
      <c r="AB471" s="42"/>
      <c r="AC471" s="42"/>
      <c r="AD471" s="42"/>
      <c r="AE471" s="42"/>
      <c r="AF471" s="42"/>
      <c r="AG471" s="42"/>
      <c r="AH471" s="42"/>
      <c r="AI471" s="42"/>
      <c r="AJ471" s="42"/>
      <c r="AK471" s="42"/>
      <c r="AL471" s="42"/>
      <c r="AM471" s="42"/>
      <c r="AN471" s="42"/>
      <c r="AO471" s="42"/>
      <c r="AP471" s="42"/>
      <c r="AQ471" s="42"/>
      <c r="AR471" s="42"/>
    </row>
    <row r="472" spans="1:44" ht="17.25" customHeight="1" x14ac:dyDescent="0.2">
      <c r="A472" s="274" t="s">
        <v>5675</v>
      </c>
      <c r="B472" s="274" t="s">
        <v>5624</v>
      </c>
      <c r="C472" s="5">
        <v>1.35</v>
      </c>
      <c r="D472" s="5">
        <v>3.2</v>
      </c>
      <c r="E472" s="857">
        <v>360</v>
      </c>
      <c r="F472" s="5">
        <v>18</v>
      </c>
      <c r="G472" s="1746">
        <v>8</v>
      </c>
      <c r="H472" s="3034">
        <v>2</v>
      </c>
      <c r="I472" s="3034">
        <v>8.6199999999999992</v>
      </c>
      <c r="J472" s="1746">
        <v>0.63</v>
      </c>
      <c r="K472" s="1746">
        <v>0.8</v>
      </c>
      <c r="L472" s="3034">
        <v>20</v>
      </c>
      <c r="N472" s="1"/>
      <c r="O472" s="8"/>
      <c r="P472" s="8"/>
      <c r="R472" s="15"/>
      <c r="S472" s="14"/>
      <c r="T472" s="14"/>
      <c r="U472" s="14"/>
      <c r="V472" s="14"/>
      <c r="W472" s="315"/>
      <c r="X472" s="14"/>
      <c r="Y472" s="42"/>
      <c r="Z472" s="42"/>
      <c r="AA472" s="42"/>
      <c r="AB472" s="42"/>
      <c r="AC472" s="42"/>
      <c r="AD472" s="42"/>
      <c r="AE472" s="42"/>
      <c r="AF472" s="42"/>
      <c r="AG472" s="42"/>
      <c r="AH472" s="42"/>
      <c r="AI472" s="42"/>
      <c r="AJ472" s="42"/>
      <c r="AK472" s="42"/>
      <c r="AL472" s="42"/>
      <c r="AM472" s="42"/>
      <c r="AN472" s="42"/>
      <c r="AO472" s="42"/>
      <c r="AP472" s="42"/>
      <c r="AQ472" s="42"/>
      <c r="AR472" s="42"/>
    </row>
    <row r="473" spans="1:44" ht="17.25" customHeight="1" x14ac:dyDescent="0.2">
      <c r="A473" s="274" t="s">
        <v>5627</v>
      </c>
      <c r="B473" s="274" t="s">
        <v>5624</v>
      </c>
      <c r="C473" s="5">
        <v>1.35</v>
      </c>
      <c r="D473" s="5">
        <v>3.2</v>
      </c>
      <c r="E473" s="857">
        <v>360</v>
      </c>
      <c r="F473" s="5">
        <v>18</v>
      </c>
      <c r="G473" s="1746">
        <v>8</v>
      </c>
      <c r="H473" s="3034">
        <v>2</v>
      </c>
      <c r="I473" s="3034">
        <v>7.2</v>
      </c>
      <c r="J473" s="1746">
        <v>0.63</v>
      </c>
      <c r="K473" s="1746">
        <v>0.8</v>
      </c>
      <c r="L473" s="3034">
        <v>14.3</v>
      </c>
      <c r="N473" s="1"/>
      <c r="O473" s="8"/>
      <c r="P473" s="8"/>
      <c r="R473" s="15"/>
      <c r="S473" s="14"/>
      <c r="T473" s="14"/>
      <c r="U473" s="14"/>
      <c r="V473" s="14"/>
      <c r="W473" s="315"/>
      <c r="X473" s="14"/>
      <c r="Y473" s="42"/>
      <c r="Z473" s="42"/>
      <c r="AA473" s="42"/>
      <c r="AB473" s="42"/>
      <c r="AC473" s="42"/>
      <c r="AD473" s="42"/>
      <c r="AE473" s="42"/>
      <c r="AF473" s="42"/>
      <c r="AG473" s="42"/>
      <c r="AH473" s="42"/>
      <c r="AI473" s="42"/>
      <c r="AJ473" s="42"/>
      <c r="AK473" s="42"/>
      <c r="AL473" s="42"/>
      <c r="AM473" s="42"/>
      <c r="AN473" s="42"/>
      <c r="AO473" s="42"/>
      <c r="AP473" s="42"/>
      <c r="AQ473" s="42"/>
      <c r="AR473" s="42"/>
    </row>
    <row r="474" spans="1:44" ht="17.25" customHeight="1" x14ac:dyDescent="0.2">
      <c r="A474" s="274" t="s">
        <v>5627</v>
      </c>
      <c r="B474" s="274" t="s">
        <v>5624</v>
      </c>
      <c r="C474" s="5">
        <v>1.35</v>
      </c>
      <c r="D474" s="5">
        <v>3.2</v>
      </c>
      <c r="E474" s="857">
        <v>360</v>
      </c>
      <c r="F474" s="5">
        <v>18</v>
      </c>
      <c r="G474" s="1746">
        <v>8</v>
      </c>
      <c r="H474" s="3034">
        <v>2</v>
      </c>
      <c r="I474" s="3034">
        <v>8.6199999999999992</v>
      </c>
      <c r="J474" s="1746">
        <v>0.63</v>
      </c>
      <c r="K474" s="1746">
        <v>0.8</v>
      </c>
      <c r="L474" s="3034">
        <v>14.3</v>
      </c>
      <c r="N474" s="1"/>
      <c r="O474" s="8"/>
      <c r="P474" s="8"/>
      <c r="R474" s="15"/>
      <c r="S474" s="14"/>
      <c r="T474" s="14"/>
      <c r="U474" s="14"/>
      <c r="V474" s="14"/>
      <c r="W474" s="315"/>
      <c r="X474" s="14"/>
      <c r="Y474" s="42"/>
      <c r="Z474" s="42"/>
      <c r="AA474" s="42"/>
      <c r="AB474" s="42"/>
      <c r="AC474" s="42"/>
      <c r="AD474" s="42"/>
      <c r="AE474" s="42"/>
      <c r="AF474" s="42"/>
      <c r="AG474" s="42"/>
      <c r="AH474" s="42"/>
      <c r="AI474" s="42"/>
      <c r="AJ474" s="42"/>
      <c r="AK474" s="42"/>
      <c r="AL474" s="42"/>
      <c r="AM474" s="42"/>
      <c r="AN474" s="42"/>
      <c r="AO474" s="42"/>
      <c r="AP474" s="42"/>
      <c r="AQ474" s="42"/>
      <c r="AR474" s="42"/>
    </row>
    <row r="475" spans="1:44" ht="17.25" customHeight="1" x14ac:dyDescent="0.2">
      <c r="A475" s="274" t="s">
        <v>5628</v>
      </c>
      <c r="B475" s="274" t="s">
        <v>5624</v>
      </c>
      <c r="C475" s="5">
        <v>1.35</v>
      </c>
      <c r="D475" s="5">
        <v>3.2</v>
      </c>
      <c r="E475" s="857">
        <v>360</v>
      </c>
      <c r="F475" s="5">
        <v>18</v>
      </c>
      <c r="G475" s="1746">
        <v>8</v>
      </c>
      <c r="H475" s="3034">
        <v>2</v>
      </c>
      <c r="I475" s="3034">
        <v>8.6199999999999992</v>
      </c>
      <c r="J475" s="1746">
        <v>0.63</v>
      </c>
      <c r="K475" s="1746">
        <v>0.8</v>
      </c>
      <c r="L475" s="3034">
        <v>14</v>
      </c>
      <c r="N475" s="1"/>
      <c r="O475" s="8"/>
      <c r="P475" s="8"/>
      <c r="R475" s="15"/>
      <c r="S475" s="14"/>
      <c r="T475" s="14"/>
      <c r="U475" s="14"/>
      <c r="V475" s="14"/>
      <c r="W475" s="315"/>
      <c r="X475" s="14"/>
      <c r="Y475" s="42"/>
      <c r="Z475" s="42"/>
      <c r="AA475" s="42"/>
      <c r="AB475" s="42"/>
      <c r="AC475" s="42"/>
      <c r="AD475" s="42"/>
      <c r="AE475" s="42"/>
      <c r="AF475" s="42"/>
      <c r="AG475" s="42"/>
      <c r="AH475" s="42"/>
      <c r="AI475" s="42"/>
      <c r="AJ475" s="42"/>
      <c r="AK475" s="42"/>
      <c r="AL475" s="42"/>
      <c r="AM475" s="42"/>
      <c r="AN475" s="42"/>
      <c r="AO475" s="42"/>
      <c r="AP475" s="42"/>
      <c r="AQ475" s="42"/>
      <c r="AR475" s="42"/>
    </row>
    <row r="476" spans="1:44" ht="17.25" customHeight="1" x14ac:dyDescent="0.2">
      <c r="A476" s="274" t="s">
        <v>1918</v>
      </c>
      <c r="B476" s="274" t="s">
        <v>658</v>
      </c>
      <c r="C476" s="5">
        <v>1.35</v>
      </c>
      <c r="D476" s="5">
        <v>2.6</v>
      </c>
      <c r="E476" s="857">
        <v>360</v>
      </c>
      <c r="F476" s="5">
        <v>7</v>
      </c>
      <c r="G476" s="1746">
        <v>5</v>
      </c>
      <c r="H476" s="3034">
        <v>2</v>
      </c>
      <c r="I476" s="3034">
        <v>6.57</v>
      </c>
      <c r="J476" s="1746">
        <v>0.63</v>
      </c>
      <c r="K476" s="1746">
        <v>0.8</v>
      </c>
      <c r="L476" s="3034">
        <v>10</v>
      </c>
      <c r="N476" s="1"/>
      <c r="O476" s="8"/>
      <c r="P476" s="8"/>
      <c r="R476" s="15"/>
      <c r="S476" s="14"/>
      <c r="T476" s="14"/>
      <c r="U476" s="14"/>
      <c r="V476" s="14"/>
      <c r="W476" s="315"/>
      <c r="X476" s="14"/>
      <c r="Y476" s="3125"/>
      <c r="Z476" s="3125"/>
      <c r="AA476" s="3125"/>
      <c r="AB476" s="3125"/>
      <c r="AC476" s="3125"/>
      <c r="AD476" s="3125"/>
      <c r="AE476" s="3125"/>
      <c r="AF476" s="3125"/>
      <c r="AG476" s="3125"/>
      <c r="AH476" s="3125"/>
      <c r="AI476" s="3125"/>
      <c r="AJ476" s="3125"/>
      <c r="AK476" s="3125"/>
      <c r="AL476" s="3125"/>
      <c r="AM476" s="3125"/>
      <c r="AN476" s="3125"/>
      <c r="AO476" s="3125"/>
      <c r="AP476" s="3125"/>
      <c r="AQ476" s="3125"/>
      <c r="AR476" s="3125"/>
    </row>
    <row r="477" spans="1:44" ht="17.25" customHeight="1" x14ac:dyDescent="0.2">
      <c r="A477" s="274" t="s">
        <v>5627</v>
      </c>
      <c r="B477" s="274" t="s">
        <v>658</v>
      </c>
      <c r="C477" s="2733">
        <v>1.35</v>
      </c>
      <c r="D477" s="2733">
        <v>2.6</v>
      </c>
      <c r="E477" s="857">
        <v>360</v>
      </c>
      <c r="F477" s="2733">
        <v>7</v>
      </c>
      <c r="G477" s="1746">
        <v>5</v>
      </c>
      <c r="H477" s="3034">
        <v>2</v>
      </c>
      <c r="I477" s="3034">
        <v>6.57</v>
      </c>
      <c r="J477" s="1746">
        <v>0.63</v>
      </c>
      <c r="K477" s="1746">
        <v>0.8</v>
      </c>
      <c r="L477" s="3034">
        <v>14.3</v>
      </c>
      <c r="N477" s="1"/>
      <c r="O477" s="8"/>
      <c r="P477" s="8"/>
      <c r="R477" s="15"/>
      <c r="S477" s="14"/>
      <c r="T477" s="14"/>
      <c r="U477" s="14"/>
      <c r="V477" s="14"/>
      <c r="W477" s="315"/>
      <c r="X477" s="14"/>
      <c r="Y477" s="3125"/>
      <c r="Z477" s="3125"/>
      <c r="AA477" s="3125"/>
      <c r="AB477" s="3125"/>
      <c r="AC477" s="3125"/>
      <c r="AD477" s="3125"/>
      <c r="AE477" s="3125"/>
      <c r="AF477" s="3125"/>
      <c r="AG477" s="3125"/>
      <c r="AH477" s="3125"/>
      <c r="AI477" s="3125"/>
      <c r="AJ477" s="3125"/>
      <c r="AK477" s="3125"/>
      <c r="AL477" s="3125"/>
      <c r="AM477" s="3125"/>
      <c r="AN477" s="3125"/>
      <c r="AO477" s="3125"/>
      <c r="AP477" s="3125"/>
      <c r="AQ477" s="3125"/>
      <c r="AR477" s="3125"/>
    </row>
    <row r="478" spans="1:44" ht="17.25" customHeight="1" x14ac:dyDescent="0.2">
      <c r="A478" s="274" t="s">
        <v>5618</v>
      </c>
      <c r="B478" s="274" t="s">
        <v>658</v>
      </c>
      <c r="C478" s="2733">
        <v>1.35</v>
      </c>
      <c r="D478" s="2733">
        <v>2.6</v>
      </c>
      <c r="E478" s="857">
        <v>360</v>
      </c>
      <c r="F478" s="2733">
        <v>7</v>
      </c>
      <c r="G478" s="1746">
        <v>5</v>
      </c>
      <c r="H478" s="3034">
        <v>2</v>
      </c>
      <c r="I478" s="3034">
        <v>6.57</v>
      </c>
      <c r="J478" s="1746">
        <v>0.63</v>
      </c>
      <c r="K478" s="1746">
        <v>0.8</v>
      </c>
      <c r="L478" s="3034">
        <v>10</v>
      </c>
      <c r="N478" s="239"/>
      <c r="O478" s="8"/>
      <c r="P478" s="8"/>
      <c r="R478" s="15"/>
      <c r="S478" s="14"/>
      <c r="T478" s="14"/>
      <c r="U478" s="14"/>
      <c r="V478" s="14"/>
      <c r="W478" s="315"/>
      <c r="X478" s="14"/>
      <c r="Y478" s="3125"/>
      <c r="Z478" s="3125"/>
      <c r="AA478" s="3125"/>
      <c r="AB478" s="3125"/>
      <c r="AC478" s="3125"/>
      <c r="AD478" s="3125"/>
      <c r="AE478" s="3125"/>
      <c r="AF478" s="3125"/>
      <c r="AG478" s="3125"/>
      <c r="AH478" s="3125"/>
      <c r="AI478" s="3125"/>
      <c r="AJ478" s="3125"/>
      <c r="AK478" s="3125"/>
      <c r="AL478" s="3125"/>
      <c r="AM478" s="3125"/>
      <c r="AN478" s="3125"/>
      <c r="AO478" s="3125"/>
      <c r="AP478" s="3125"/>
      <c r="AQ478" s="3125"/>
      <c r="AR478" s="3125"/>
    </row>
    <row r="479" spans="1:44" ht="17.25" customHeight="1" x14ac:dyDescent="0.2">
      <c r="A479" s="274" t="s">
        <v>5675</v>
      </c>
      <c r="B479" s="274" t="s">
        <v>2776</v>
      </c>
      <c r="C479" s="2733">
        <v>1.4</v>
      </c>
      <c r="D479" s="2733">
        <v>2.5</v>
      </c>
      <c r="E479" s="857">
        <v>360</v>
      </c>
      <c r="F479" s="2733">
        <v>5</v>
      </c>
      <c r="G479" s="1746">
        <v>4.3</v>
      </c>
      <c r="H479" s="3034">
        <v>2</v>
      </c>
      <c r="I479" s="3034">
        <v>8.82</v>
      </c>
      <c r="J479" s="2777">
        <v>0.63</v>
      </c>
      <c r="K479" s="2777">
        <v>0.8</v>
      </c>
      <c r="L479" s="3034">
        <v>20</v>
      </c>
      <c r="N479" s="1"/>
      <c r="O479" s="8"/>
      <c r="P479" s="8"/>
      <c r="R479" s="15"/>
      <c r="S479" s="14"/>
      <c r="T479" s="14"/>
      <c r="U479" s="14"/>
      <c r="V479" s="14"/>
      <c r="W479" s="315"/>
      <c r="X479" s="14"/>
      <c r="Y479" s="3125"/>
      <c r="Z479" s="3125"/>
      <c r="AA479" s="3125"/>
      <c r="AB479" s="3125"/>
      <c r="AC479" s="3125"/>
      <c r="AD479" s="3125"/>
      <c r="AE479" s="3125"/>
      <c r="AF479" s="3125"/>
      <c r="AG479" s="3125"/>
      <c r="AH479" s="3125"/>
      <c r="AI479" s="3125"/>
      <c r="AJ479" s="3125"/>
      <c r="AK479" s="3125"/>
      <c r="AL479" s="3125"/>
      <c r="AM479" s="3125"/>
      <c r="AN479" s="3125"/>
      <c r="AO479" s="3125"/>
      <c r="AP479" s="3125"/>
      <c r="AQ479" s="3125"/>
      <c r="AR479" s="3125"/>
    </row>
    <row r="480" spans="1:44" ht="17.25" customHeight="1" x14ac:dyDescent="0.2">
      <c r="A480" s="274" t="s">
        <v>1918</v>
      </c>
      <c r="B480" s="274" t="s">
        <v>2776</v>
      </c>
      <c r="C480" s="2733">
        <v>1.4</v>
      </c>
      <c r="D480" s="2733">
        <v>2.5</v>
      </c>
      <c r="E480" s="857">
        <v>360</v>
      </c>
      <c r="F480" s="2733">
        <v>5</v>
      </c>
      <c r="G480" s="1746">
        <v>4.3</v>
      </c>
      <c r="H480" s="3034">
        <v>2</v>
      </c>
      <c r="I480" s="3034">
        <v>8.82</v>
      </c>
      <c r="J480" s="2777">
        <v>0.63</v>
      </c>
      <c r="K480" s="2777">
        <v>0.8</v>
      </c>
      <c r="L480" s="3034">
        <v>10</v>
      </c>
      <c r="N480" s="1"/>
      <c r="O480" s="8"/>
      <c r="P480" s="8"/>
      <c r="R480" s="15"/>
      <c r="S480" s="14"/>
      <c r="T480" s="14"/>
      <c r="U480" s="14"/>
      <c r="V480" s="14"/>
      <c r="W480" s="315"/>
      <c r="X480" s="14"/>
      <c r="Y480" s="3125"/>
      <c r="Z480" s="3125"/>
      <c r="AA480" s="3125"/>
      <c r="AB480" s="3125"/>
      <c r="AC480" s="3125"/>
      <c r="AD480" s="3125"/>
      <c r="AE480" s="3125"/>
      <c r="AF480" s="3125"/>
      <c r="AG480" s="3125"/>
      <c r="AH480" s="3125"/>
      <c r="AI480" s="3125"/>
      <c r="AJ480" s="3125"/>
      <c r="AK480" s="3125"/>
      <c r="AL480" s="3125"/>
      <c r="AM480" s="3125"/>
      <c r="AN480" s="3125"/>
      <c r="AO480" s="3125"/>
      <c r="AP480" s="3125"/>
      <c r="AQ480" s="3125"/>
      <c r="AR480" s="3125"/>
    </row>
    <row r="481" spans="1:44" ht="17.25" customHeight="1" x14ac:dyDescent="0.2">
      <c r="A481" s="274" t="s">
        <v>5623</v>
      </c>
      <c r="B481" s="274" t="s">
        <v>5655</v>
      </c>
      <c r="C481" s="3034">
        <v>1.4</v>
      </c>
      <c r="D481" s="3034">
        <v>3.5</v>
      </c>
      <c r="E481" s="857">
        <v>360</v>
      </c>
      <c r="F481" s="3034">
        <v>18</v>
      </c>
      <c r="G481" s="1746">
        <v>8</v>
      </c>
      <c r="H481" s="3034">
        <v>2</v>
      </c>
      <c r="I481" s="3034">
        <v>9.42</v>
      </c>
      <c r="J481" s="1746">
        <v>0.63</v>
      </c>
      <c r="K481" s="1746">
        <v>0.8</v>
      </c>
      <c r="L481" s="3034">
        <v>13</v>
      </c>
      <c r="N481" s="239"/>
      <c r="O481" s="8"/>
      <c r="P481" s="8"/>
      <c r="R481" s="15"/>
      <c r="S481" s="14"/>
      <c r="T481" s="14"/>
      <c r="U481" s="14"/>
      <c r="V481" s="14"/>
      <c r="W481" s="315"/>
      <c r="X481" s="14"/>
      <c r="Y481" s="3125"/>
      <c r="Z481" s="3125"/>
      <c r="AA481" s="3125"/>
      <c r="AB481" s="3125"/>
      <c r="AC481" s="3125"/>
      <c r="AD481" s="3125"/>
      <c r="AE481" s="3125"/>
      <c r="AF481" s="3125"/>
      <c r="AG481" s="3125"/>
      <c r="AH481" s="3125"/>
      <c r="AI481" s="3125"/>
      <c r="AJ481" s="3125"/>
      <c r="AK481" s="3125"/>
      <c r="AL481" s="3125"/>
      <c r="AM481" s="3125"/>
      <c r="AN481" s="3125"/>
      <c r="AO481" s="3125"/>
      <c r="AP481" s="3125"/>
      <c r="AQ481" s="3125"/>
      <c r="AR481" s="3125"/>
    </row>
    <row r="482" spans="1:44" ht="17.25" customHeight="1" x14ac:dyDescent="0.2">
      <c r="A482" s="274" t="s">
        <v>5618</v>
      </c>
      <c r="B482" s="274" t="s">
        <v>5655</v>
      </c>
      <c r="C482" s="3034">
        <v>1.4</v>
      </c>
      <c r="D482" s="3034">
        <v>3.5</v>
      </c>
      <c r="E482" s="857">
        <v>360</v>
      </c>
      <c r="F482" s="3034">
        <v>18</v>
      </c>
      <c r="G482" s="1746">
        <v>8</v>
      </c>
      <c r="H482" s="3034">
        <v>2</v>
      </c>
      <c r="I482" s="3034">
        <v>9.42</v>
      </c>
      <c r="J482" s="1746">
        <v>0.63</v>
      </c>
      <c r="K482" s="1746">
        <v>0.8</v>
      </c>
      <c r="L482" s="3034">
        <v>10</v>
      </c>
      <c r="N482" s="239"/>
      <c r="O482" s="8"/>
      <c r="P482" s="8"/>
      <c r="R482" s="15"/>
      <c r="S482" s="14"/>
      <c r="T482" s="14"/>
      <c r="U482" s="14"/>
      <c r="V482" s="14"/>
      <c r="W482" s="315"/>
      <c r="X482" s="14"/>
      <c r="Y482" s="3125"/>
      <c r="Z482" s="3125"/>
      <c r="AA482" s="3125"/>
      <c r="AB482" s="3125"/>
      <c r="AC482" s="3125"/>
      <c r="AD482" s="3125"/>
      <c r="AE482" s="3125"/>
      <c r="AF482" s="3125"/>
      <c r="AG482" s="3125"/>
      <c r="AH482" s="3125"/>
      <c r="AI482" s="3125"/>
      <c r="AJ482" s="3125"/>
      <c r="AK482" s="3125"/>
      <c r="AL482" s="3125"/>
      <c r="AM482" s="3125"/>
      <c r="AN482" s="3125"/>
      <c r="AO482" s="3125"/>
      <c r="AP482" s="3125"/>
      <c r="AQ482" s="3125"/>
      <c r="AR482" s="3125"/>
    </row>
    <row r="483" spans="1:44" ht="17.25" customHeight="1" x14ac:dyDescent="0.2">
      <c r="A483" s="274" t="s">
        <v>5626</v>
      </c>
      <c r="B483" s="3922" t="s">
        <v>5655</v>
      </c>
      <c r="C483" s="3034">
        <v>1.4</v>
      </c>
      <c r="D483" s="3034">
        <v>3.5</v>
      </c>
      <c r="E483" s="3034">
        <v>360</v>
      </c>
      <c r="F483" s="3034">
        <v>18</v>
      </c>
      <c r="G483" s="1746">
        <v>8</v>
      </c>
      <c r="H483" s="3034">
        <v>2</v>
      </c>
      <c r="I483" s="3034">
        <v>9.42</v>
      </c>
      <c r="J483" s="1746">
        <v>0.63</v>
      </c>
      <c r="K483" s="1746">
        <v>0.8</v>
      </c>
      <c r="L483" s="3034">
        <v>13</v>
      </c>
      <c r="N483" s="239"/>
      <c r="O483" s="8"/>
      <c r="P483" s="8"/>
      <c r="R483" s="15"/>
      <c r="S483" s="14"/>
      <c r="T483" s="14"/>
      <c r="U483" s="14"/>
      <c r="V483" s="14"/>
      <c r="W483" s="315"/>
      <c r="X483" s="14"/>
      <c r="Y483" s="3125"/>
      <c r="Z483" s="3125"/>
      <c r="AA483" s="3125"/>
      <c r="AB483" s="3125"/>
      <c r="AC483" s="3125"/>
      <c r="AD483" s="3125"/>
      <c r="AE483" s="3125"/>
      <c r="AF483" s="3125"/>
      <c r="AG483" s="3125"/>
      <c r="AH483" s="3125"/>
      <c r="AI483" s="3125"/>
      <c r="AJ483" s="3125"/>
      <c r="AK483" s="3125"/>
      <c r="AL483" s="3125"/>
      <c r="AM483" s="3125"/>
      <c r="AN483" s="3125"/>
      <c r="AO483" s="3125"/>
      <c r="AP483" s="3125"/>
      <c r="AQ483" s="3125"/>
      <c r="AR483" s="3125"/>
    </row>
    <row r="484" spans="1:44" ht="17.25" customHeight="1" x14ac:dyDescent="0.2">
      <c r="A484" s="2993"/>
      <c r="B484" s="2993"/>
      <c r="C484" s="1"/>
      <c r="D484" s="1"/>
      <c r="E484" s="239"/>
      <c r="F484" s="1"/>
      <c r="G484" s="1"/>
      <c r="H484" s="1"/>
      <c r="I484" s="1"/>
      <c r="J484" s="1"/>
      <c r="L484" s="8"/>
      <c r="M484" s="8"/>
      <c r="N484" s="8"/>
      <c r="O484" s="8"/>
      <c r="P484" s="8"/>
      <c r="R484" s="15"/>
      <c r="S484" s="14"/>
      <c r="T484" s="14"/>
      <c r="U484" s="14"/>
      <c r="V484" s="14"/>
      <c r="W484" s="315"/>
      <c r="X484" s="14"/>
      <c r="Y484" s="3125"/>
      <c r="Z484" s="3125"/>
      <c r="AA484" s="3125"/>
      <c r="AB484" s="3125"/>
      <c r="AC484" s="3125"/>
      <c r="AD484" s="3125"/>
      <c r="AE484" s="3125"/>
      <c r="AF484" s="3125"/>
      <c r="AG484" s="3125"/>
      <c r="AH484" s="3125"/>
      <c r="AI484" s="3125"/>
      <c r="AJ484" s="3125"/>
      <c r="AK484" s="3125"/>
      <c r="AL484" s="3125"/>
      <c r="AM484" s="3125"/>
      <c r="AN484" s="3125"/>
      <c r="AO484" s="3125"/>
      <c r="AP484" s="3125"/>
      <c r="AQ484" s="3125"/>
      <c r="AR484" s="3125"/>
    </row>
    <row r="485" spans="1:44" ht="17.25" customHeight="1" x14ac:dyDescent="0.2">
      <c r="A485" s="2993"/>
      <c r="B485" s="2993"/>
      <c r="C485" s="1"/>
      <c r="D485" s="1"/>
      <c r="E485" s="239"/>
      <c r="F485" s="1"/>
      <c r="G485" s="1"/>
      <c r="H485" s="1"/>
      <c r="I485" s="1"/>
      <c r="J485" s="1"/>
      <c r="L485" s="8"/>
      <c r="M485" s="8"/>
      <c r="N485" s="8"/>
      <c r="O485" s="8"/>
      <c r="P485" s="8"/>
      <c r="R485" s="15"/>
      <c r="S485" s="14"/>
      <c r="T485" s="14"/>
      <c r="U485" s="14"/>
      <c r="V485" s="14"/>
      <c r="W485" s="315"/>
      <c r="X485" s="14"/>
      <c r="Y485" s="3125"/>
      <c r="Z485" s="3125"/>
      <c r="AA485" s="3125"/>
      <c r="AB485" s="3125"/>
      <c r="AC485" s="3125"/>
      <c r="AD485" s="3125"/>
      <c r="AE485" s="3125"/>
      <c r="AF485" s="3125"/>
      <c r="AG485" s="3125"/>
      <c r="AH485" s="3125"/>
      <c r="AI485" s="3125"/>
      <c r="AJ485" s="3125"/>
      <c r="AK485" s="3125"/>
      <c r="AL485" s="3125"/>
      <c r="AM485" s="3125"/>
      <c r="AN485" s="3125"/>
      <c r="AO485" s="3125"/>
      <c r="AP485" s="3125"/>
      <c r="AQ485" s="3125"/>
      <c r="AR485" s="3125"/>
    </row>
    <row r="486" spans="1:44" ht="17.25" customHeight="1" x14ac:dyDescent="0.2">
      <c r="A486" s="8"/>
      <c r="B486" s="8"/>
      <c r="C486" s="8"/>
      <c r="D486" s="8"/>
      <c r="E486" s="8"/>
      <c r="F486" s="8"/>
      <c r="G486" s="8"/>
      <c r="H486" s="8"/>
      <c r="I486" s="8"/>
      <c r="J486" s="8"/>
      <c r="K486" s="8"/>
      <c r="L486" s="8"/>
      <c r="M486" s="8"/>
      <c r="N486" s="8"/>
      <c r="O486" s="8"/>
      <c r="P486" s="8"/>
      <c r="R486" s="15"/>
      <c r="S486" s="14"/>
      <c r="T486" s="14"/>
      <c r="U486" s="14"/>
      <c r="V486" s="14"/>
      <c r="W486" s="315"/>
      <c r="X486" s="14"/>
      <c r="Y486" s="42"/>
      <c r="Z486" s="42"/>
      <c r="AA486" s="42"/>
      <c r="AB486" s="42"/>
      <c r="AC486" s="42"/>
      <c r="AD486" s="42"/>
      <c r="AE486" s="42"/>
      <c r="AF486" s="42"/>
      <c r="AG486" s="42"/>
      <c r="AH486" s="42"/>
      <c r="AI486" s="42"/>
      <c r="AJ486" s="42"/>
      <c r="AK486" s="42"/>
      <c r="AL486" s="42"/>
      <c r="AM486" s="42"/>
      <c r="AN486" s="42"/>
      <c r="AO486" s="42"/>
      <c r="AP486" s="42"/>
      <c r="AQ486" s="42"/>
      <c r="AR486" s="42"/>
    </row>
    <row r="487" spans="1:44" ht="17.25" customHeight="1" x14ac:dyDescent="0.2">
      <c r="A487" s="210" t="s">
        <v>4813</v>
      </c>
      <c r="C487" s="211"/>
      <c r="G487" s="233"/>
      <c r="I487" s="11"/>
      <c r="M487" s="8"/>
      <c r="N487" s="8"/>
      <c r="O487" s="8"/>
      <c r="P487" s="8"/>
      <c r="R487" s="15"/>
      <c r="S487" s="14"/>
      <c r="T487" s="14"/>
      <c r="U487" s="14"/>
      <c r="V487" s="14"/>
      <c r="W487" s="315"/>
      <c r="X487" s="14"/>
      <c r="Y487" s="42"/>
      <c r="Z487" s="42"/>
      <c r="AA487" s="42"/>
      <c r="AB487" s="42"/>
      <c r="AC487" s="42"/>
      <c r="AD487" s="42"/>
      <c r="AE487" s="42"/>
      <c r="AF487" s="42"/>
      <c r="AG487" s="42"/>
      <c r="AH487" s="42"/>
      <c r="AI487" s="42"/>
      <c r="AJ487" s="42"/>
      <c r="AK487" s="42"/>
      <c r="AL487" s="42"/>
      <c r="AM487" s="42"/>
      <c r="AN487" s="42"/>
      <c r="AO487" s="42"/>
      <c r="AP487" s="42"/>
      <c r="AQ487" s="42"/>
      <c r="AR487" s="42"/>
    </row>
    <row r="488" spans="1:44" ht="17.25" customHeight="1" x14ac:dyDescent="0.2">
      <c r="A488" t="s">
        <v>3224</v>
      </c>
      <c r="C488" s="211"/>
      <c r="G488" s="233"/>
      <c r="I488" s="11"/>
      <c r="M488" s="8"/>
      <c r="N488" s="8"/>
      <c r="O488" s="8"/>
      <c r="P488" s="8"/>
      <c r="R488" s="15"/>
      <c r="S488" s="14"/>
      <c r="T488" s="14"/>
      <c r="U488" s="14"/>
      <c r="V488" s="14"/>
      <c r="W488" s="315"/>
      <c r="X488" s="14"/>
      <c r="Y488" s="42"/>
      <c r="Z488" s="42"/>
      <c r="AA488" s="42"/>
      <c r="AB488" s="42"/>
      <c r="AC488" s="42"/>
      <c r="AD488" s="42"/>
      <c r="AE488" s="42"/>
      <c r="AF488" s="42"/>
      <c r="AG488" s="42"/>
      <c r="AH488" s="42"/>
      <c r="AI488" s="42"/>
      <c r="AJ488" s="42"/>
      <c r="AK488" s="42"/>
      <c r="AL488" s="42"/>
      <c r="AM488" s="42"/>
      <c r="AN488" s="42"/>
      <c r="AO488" s="42"/>
      <c r="AP488" s="42"/>
      <c r="AQ488" s="42"/>
      <c r="AR488" s="42"/>
    </row>
    <row r="489" spans="1:44" ht="17.25" customHeight="1" x14ac:dyDescent="0.2">
      <c r="A489" t="s">
        <v>1011</v>
      </c>
      <c r="C489" s="211"/>
      <c r="G489" s="233"/>
      <c r="I489" s="11"/>
      <c r="M489" s="8"/>
      <c r="N489" s="8"/>
      <c r="O489" s="8"/>
      <c r="P489" s="8"/>
      <c r="R489" s="15"/>
      <c r="S489" s="14"/>
      <c r="T489" s="14"/>
      <c r="U489" s="14"/>
      <c r="V489" s="14"/>
      <c r="W489" s="315"/>
      <c r="X489" s="14"/>
      <c r="Y489" s="42"/>
      <c r="Z489" s="42"/>
      <c r="AA489" s="42"/>
      <c r="AB489" s="42"/>
      <c r="AC489" s="42"/>
      <c r="AD489" s="42"/>
      <c r="AE489" s="42"/>
      <c r="AF489" s="42"/>
      <c r="AG489" s="42"/>
      <c r="AH489" s="42"/>
      <c r="AI489" s="42"/>
      <c r="AJ489" s="42"/>
      <c r="AK489" s="42"/>
      <c r="AL489" s="42"/>
      <c r="AM489" s="42"/>
      <c r="AN489" s="42"/>
      <c r="AO489" s="42"/>
      <c r="AP489" s="42"/>
      <c r="AQ489" s="42"/>
      <c r="AR489" s="42"/>
    </row>
    <row r="490" spans="1:44" ht="17.25" customHeight="1" x14ac:dyDescent="0.2">
      <c r="A490" t="s">
        <v>3210</v>
      </c>
      <c r="C490" s="211"/>
      <c r="G490" s="233"/>
      <c r="I490" s="11"/>
      <c r="M490" s="8"/>
      <c r="N490" s="8"/>
      <c r="O490" s="8"/>
      <c r="P490" s="8"/>
      <c r="R490" s="15"/>
      <c r="S490" s="14"/>
      <c r="T490" s="14"/>
      <c r="U490" s="14"/>
      <c r="V490" s="14"/>
      <c r="W490" s="315"/>
      <c r="X490" s="14"/>
      <c r="Y490" s="42"/>
      <c r="Z490" s="42"/>
      <c r="AA490" s="42"/>
      <c r="AB490" s="42"/>
      <c r="AC490" s="42"/>
      <c r="AD490" s="42"/>
      <c r="AE490" s="42"/>
      <c r="AF490" s="42"/>
      <c r="AG490" s="42"/>
      <c r="AH490" s="42"/>
      <c r="AI490" s="42"/>
      <c r="AJ490" s="42"/>
      <c r="AK490" s="42"/>
      <c r="AL490" s="42"/>
      <c r="AM490" s="42"/>
      <c r="AN490" s="42"/>
      <c r="AO490" s="42"/>
      <c r="AP490" s="42"/>
      <c r="AQ490" s="42"/>
      <c r="AR490" s="42"/>
    </row>
    <row r="491" spans="1:44" ht="17.25" customHeight="1" x14ac:dyDescent="0.2">
      <c r="A491" t="s">
        <v>2958</v>
      </c>
      <c r="C491" s="211"/>
      <c r="G491" s="233"/>
      <c r="I491" s="11"/>
      <c r="M491" s="8"/>
      <c r="N491" s="8"/>
      <c r="O491" s="8"/>
      <c r="P491" s="8"/>
      <c r="R491" s="15"/>
      <c r="S491" s="14"/>
      <c r="T491" s="14"/>
      <c r="U491" s="14"/>
      <c r="V491" s="14"/>
      <c r="W491" s="315"/>
      <c r="X491" s="14"/>
      <c r="Y491" s="42"/>
      <c r="Z491" s="42"/>
      <c r="AA491" s="42"/>
      <c r="AB491" s="42"/>
      <c r="AC491" s="42"/>
      <c r="AD491" s="42"/>
      <c r="AE491" s="42"/>
      <c r="AF491" s="42"/>
      <c r="AG491" s="42"/>
      <c r="AH491" s="42"/>
      <c r="AI491" s="42"/>
      <c r="AJ491" s="42"/>
      <c r="AK491" s="42"/>
      <c r="AL491" s="42"/>
      <c r="AM491" s="42"/>
      <c r="AN491" s="42"/>
      <c r="AO491" s="42"/>
      <c r="AP491" s="42"/>
      <c r="AQ491" s="42"/>
      <c r="AR491" s="42"/>
    </row>
    <row r="492" spans="1:44" ht="17.25" customHeight="1" x14ac:dyDescent="0.2">
      <c r="A492" t="s">
        <v>2959</v>
      </c>
      <c r="C492" s="211"/>
      <c r="G492" s="233"/>
      <c r="I492" s="11"/>
      <c r="M492" s="8"/>
      <c r="N492" s="8"/>
      <c r="O492" s="8"/>
      <c r="P492" s="8"/>
      <c r="R492" s="15"/>
      <c r="S492" s="14"/>
      <c r="T492" s="14"/>
      <c r="U492" s="14"/>
      <c r="V492" s="14"/>
      <c r="W492" s="315"/>
      <c r="X492" s="14"/>
      <c r="Y492" s="42"/>
      <c r="Z492" s="42"/>
      <c r="AA492" s="42"/>
      <c r="AB492" s="42"/>
      <c r="AC492" s="42"/>
      <c r="AD492" s="42"/>
      <c r="AE492" s="42"/>
      <c r="AF492" s="42"/>
      <c r="AG492" s="42"/>
      <c r="AH492" s="42"/>
      <c r="AI492" s="42"/>
      <c r="AJ492" s="42"/>
      <c r="AK492" s="42"/>
      <c r="AL492" s="42"/>
      <c r="AM492" s="42"/>
      <c r="AN492" s="42"/>
      <c r="AO492" s="42"/>
      <c r="AP492" s="42"/>
      <c r="AQ492" s="42"/>
      <c r="AR492" s="42"/>
    </row>
    <row r="493" spans="1:44" ht="17.25" customHeight="1" x14ac:dyDescent="0.25">
      <c r="A493" s="345" t="s">
        <v>6531</v>
      </c>
      <c r="B493" s="345"/>
      <c r="C493" s="345"/>
      <c r="D493" s="345"/>
      <c r="E493" s="345"/>
      <c r="G493" s="233"/>
      <c r="I493" s="11"/>
      <c r="M493" s="8"/>
      <c r="N493" s="8"/>
      <c r="O493" s="8"/>
      <c r="P493" s="8"/>
      <c r="R493" s="15"/>
      <c r="S493" s="14"/>
      <c r="T493" s="14"/>
      <c r="U493" s="14"/>
      <c r="V493" s="14"/>
      <c r="W493" s="315"/>
      <c r="X493" s="14"/>
      <c r="Y493" s="42"/>
      <c r="Z493" s="42"/>
      <c r="AA493" s="42"/>
      <c r="AB493" s="42"/>
      <c r="AC493" s="42"/>
      <c r="AD493" s="42"/>
      <c r="AE493" s="42"/>
      <c r="AF493" s="42"/>
      <c r="AG493" s="42"/>
      <c r="AH493" s="42"/>
      <c r="AI493" s="42"/>
      <c r="AJ493" s="42"/>
      <c r="AK493" s="42"/>
      <c r="AL493" s="42"/>
      <c r="AM493" s="42"/>
      <c r="AN493" s="42"/>
      <c r="AO493" s="42"/>
      <c r="AP493" s="42"/>
      <c r="AQ493" s="42"/>
      <c r="AR493" s="42"/>
    </row>
    <row r="494" spans="1:44" ht="17.25" customHeight="1" x14ac:dyDescent="0.25">
      <c r="A494" s="345" t="s">
        <v>6530</v>
      </c>
      <c r="B494" s="347">
        <f>ROW(503:503)</f>
        <v>503</v>
      </c>
      <c r="C494" s="345" t="s">
        <v>996</v>
      </c>
      <c r="D494" s="345"/>
      <c r="E494" s="345"/>
      <c r="G494" s="233"/>
      <c r="I494" s="11"/>
      <c r="M494" s="8"/>
      <c r="N494" s="8"/>
      <c r="O494" s="8"/>
      <c r="P494" s="8"/>
      <c r="R494" s="15"/>
      <c r="S494" s="14"/>
      <c r="T494" s="14"/>
      <c r="U494" s="14"/>
      <c r="V494" s="14"/>
      <c r="W494" s="315"/>
      <c r="X494" s="14"/>
      <c r="Y494" s="42"/>
      <c r="Z494" s="42"/>
      <c r="AA494" s="42"/>
      <c r="AB494" s="42"/>
      <c r="AC494" s="42"/>
      <c r="AD494" s="42"/>
      <c r="AE494" s="42"/>
      <c r="AF494" s="42"/>
      <c r="AG494" s="42"/>
      <c r="AH494" s="42"/>
      <c r="AI494" s="42"/>
      <c r="AJ494" s="42"/>
      <c r="AK494" s="42"/>
      <c r="AL494" s="42"/>
      <c r="AM494" s="42"/>
      <c r="AN494" s="42"/>
      <c r="AO494" s="42"/>
      <c r="AP494" s="42"/>
      <c r="AQ494" s="42"/>
      <c r="AR494" s="42"/>
    </row>
    <row r="495" spans="1:44" ht="17.25" customHeight="1" x14ac:dyDescent="0.25">
      <c r="A495" s="4015" t="s">
        <v>6772</v>
      </c>
      <c r="C495" s="211"/>
      <c r="G495" s="233"/>
      <c r="I495" s="11"/>
      <c r="M495" s="8"/>
      <c r="N495" s="8"/>
      <c r="O495" s="8"/>
      <c r="P495" s="8"/>
      <c r="R495" s="15"/>
      <c r="S495" s="14"/>
      <c r="T495" s="14"/>
      <c r="U495" s="14"/>
      <c r="V495" s="14"/>
      <c r="W495" s="315"/>
      <c r="X495" s="14"/>
      <c r="Y495" s="42"/>
      <c r="Z495" s="42"/>
      <c r="AA495" s="42"/>
      <c r="AB495" s="42"/>
      <c r="AC495" s="42"/>
      <c r="AD495" s="42"/>
      <c r="AE495" s="42"/>
      <c r="AF495" s="42"/>
      <c r="AG495" s="42"/>
      <c r="AH495" s="42"/>
      <c r="AI495" s="42"/>
      <c r="AJ495" s="42"/>
      <c r="AK495" s="42"/>
      <c r="AL495" s="42"/>
      <c r="AM495" s="42"/>
      <c r="AN495" s="42"/>
      <c r="AO495" s="42"/>
      <c r="AP495" s="42"/>
      <c r="AQ495" s="42"/>
      <c r="AR495" s="42"/>
    </row>
    <row r="496" spans="1:44" ht="17.25" customHeight="1" x14ac:dyDescent="0.25">
      <c r="A496" s="210" t="s">
        <v>1453</v>
      </c>
      <c r="C496" s="211"/>
      <c r="G496" s="347">
        <f>ROW(503:503)</f>
        <v>503</v>
      </c>
      <c r="I496" s="11"/>
      <c r="M496" s="8"/>
      <c r="N496" s="8"/>
      <c r="O496" s="8"/>
      <c r="P496" s="8"/>
      <c r="R496" s="15"/>
      <c r="S496" s="14"/>
      <c r="T496" s="14"/>
      <c r="U496" s="14"/>
      <c r="V496" s="14"/>
      <c r="W496" s="315"/>
      <c r="X496" s="14"/>
      <c r="Y496" s="42"/>
      <c r="Z496" s="42"/>
      <c r="AA496" s="42"/>
      <c r="AB496" s="42"/>
      <c r="AC496" s="42"/>
      <c r="AD496" s="42"/>
      <c r="AE496" s="42"/>
      <c r="AF496" s="42"/>
      <c r="AG496" s="42"/>
      <c r="AH496" s="42"/>
      <c r="AI496" s="42"/>
      <c r="AJ496" s="42"/>
      <c r="AK496" s="42"/>
      <c r="AL496" s="42"/>
      <c r="AM496" s="42"/>
      <c r="AN496" s="42"/>
      <c r="AO496" s="42"/>
      <c r="AP496" s="42"/>
      <c r="AQ496" s="42"/>
      <c r="AR496" s="42"/>
    </row>
    <row r="497" spans="1:44" ht="17.25" customHeight="1" x14ac:dyDescent="0.2">
      <c r="A497" s="210" t="s">
        <v>995</v>
      </c>
      <c r="C497" s="211"/>
      <c r="G497" s="233"/>
      <c r="I497" s="11"/>
      <c r="M497" s="8"/>
      <c r="N497" s="8"/>
      <c r="O497" s="8"/>
      <c r="P497" s="8"/>
      <c r="R497" s="15"/>
      <c r="S497" s="14"/>
      <c r="T497" s="14"/>
      <c r="U497" s="14"/>
      <c r="V497" s="14"/>
      <c r="W497" s="315"/>
      <c r="X497" s="14"/>
      <c r="Y497" s="42"/>
      <c r="Z497" s="42"/>
      <c r="AA497" s="42"/>
      <c r="AB497" s="42"/>
      <c r="AC497" s="42"/>
      <c r="AD497" s="42"/>
      <c r="AE497" s="42"/>
      <c r="AF497" s="42"/>
      <c r="AG497" s="42"/>
      <c r="AH497" s="42"/>
      <c r="AI497" s="42"/>
      <c r="AJ497" s="42"/>
      <c r="AK497" s="42"/>
      <c r="AL497" s="42"/>
      <c r="AM497" s="42"/>
      <c r="AN497" s="42"/>
      <c r="AO497" s="42"/>
      <c r="AP497" s="42"/>
      <c r="AQ497" s="42"/>
      <c r="AR497" s="42"/>
    </row>
    <row r="498" spans="1:44" ht="17.25" customHeight="1" x14ac:dyDescent="0.2">
      <c r="A498" s="210" t="s">
        <v>3209</v>
      </c>
      <c r="C498" s="211"/>
      <c r="G498" s="233"/>
      <c r="I498" s="11"/>
      <c r="M498" s="8"/>
      <c r="N498" s="8"/>
      <c r="O498" s="8"/>
      <c r="P498" s="8"/>
      <c r="R498" s="15"/>
      <c r="S498" s="14"/>
      <c r="T498" s="14"/>
      <c r="U498" s="14"/>
      <c r="V498" s="14"/>
      <c r="W498" s="315"/>
      <c r="X498" s="14"/>
      <c r="Y498" s="42"/>
      <c r="Z498" s="42"/>
      <c r="AA498" s="42"/>
      <c r="AB498" s="42"/>
      <c r="AC498" s="42"/>
      <c r="AD498" s="42"/>
      <c r="AE498" s="42"/>
      <c r="AF498" s="42"/>
      <c r="AG498" s="42"/>
      <c r="AH498" s="42"/>
      <c r="AI498" s="42"/>
      <c r="AJ498" s="42"/>
      <c r="AK498" s="42"/>
      <c r="AL498" s="42"/>
      <c r="AM498" s="42"/>
      <c r="AN498" s="42"/>
      <c r="AO498" s="42"/>
      <c r="AP498" s="42"/>
      <c r="AQ498" s="42"/>
      <c r="AR498" s="42"/>
    </row>
    <row r="499" spans="1:44" ht="17.25" customHeight="1" x14ac:dyDescent="0.2">
      <c r="A499" s="210" t="s">
        <v>3350</v>
      </c>
      <c r="C499" s="211"/>
      <c r="G499" s="233"/>
      <c r="I499" s="11"/>
      <c r="M499" s="8"/>
      <c r="N499" s="8"/>
      <c r="O499" s="8"/>
      <c r="P499" s="8"/>
      <c r="R499" s="15"/>
      <c r="S499" s="14"/>
      <c r="T499" s="14"/>
      <c r="U499" s="14"/>
      <c r="V499" s="14"/>
      <c r="W499" s="315"/>
      <c r="X499" s="14"/>
      <c r="Y499" s="42"/>
      <c r="Z499" s="42"/>
      <c r="AA499" s="42"/>
      <c r="AB499" s="42"/>
      <c r="AC499" s="42"/>
      <c r="AD499" s="42"/>
      <c r="AE499" s="42"/>
      <c r="AF499" s="42"/>
      <c r="AG499" s="42"/>
      <c r="AH499" s="42"/>
      <c r="AI499" s="42"/>
      <c r="AJ499" s="42"/>
      <c r="AK499" s="42"/>
      <c r="AL499" s="42"/>
      <c r="AM499" s="42"/>
      <c r="AN499" s="42"/>
      <c r="AO499" s="42"/>
      <c r="AP499" s="42"/>
      <c r="AQ499" s="42"/>
      <c r="AR499" s="42"/>
    </row>
    <row r="500" spans="1:44" ht="17.25" customHeight="1" x14ac:dyDescent="0.2">
      <c r="A500" s="212"/>
      <c r="B500" s="214" t="s">
        <v>2671</v>
      </c>
      <c r="C500" s="211"/>
      <c r="G500" s="233"/>
      <c r="I500" s="11"/>
      <c r="M500" s="8"/>
      <c r="N500" s="8"/>
      <c r="O500" s="8"/>
      <c r="P500" s="8"/>
      <c r="R500" s="15"/>
      <c r="S500" s="14"/>
      <c r="T500" s="14"/>
      <c r="U500" s="14"/>
      <c r="V500" s="14"/>
      <c r="W500" s="315"/>
      <c r="X500" s="14"/>
      <c r="Y500" s="42"/>
      <c r="Z500" s="42"/>
      <c r="AA500" s="42"/>
      <c r="AB500" s="42"/>
      <c r="AC500" s="42"/>
      <c r="AD500" s="42"/>
      <c r="AE500" s="42"/>
      <c r="AF500" s="42"/>
      <c r="AG500" s="42"/>
      <c r="AH500" s="42"/>
      <c r="AI500" s="42"/>
      <c r="AJ500" s="42"/>
      <c r="AK500" s="42"/>
      <c r="AL500" s="42"/>
      <c r="AM500" s="42"/>
      <c r="AN500" s="42"/>
      <c r="AO500" s="42"/>
      <c r="AP500" s="42"/>
      <c r="AQ500" s="42"/>
      <c r="AR500" s="42"/>
    </row>
    <row r="501" spans="1:44" ht="17.25" customHeight="1" x14ac:dyDescent="0.25">
      <c r="A501" s="212"/>
      <c r="C501" s="211"/>
      <c r="G501" s="233"/>
      <c r="I501" s="11"/>
      <c r="M501" s="8"/>
      <c r="N501" s="2646"/>
      <c r="O501" s="239"/>
      <c r="P501" s="239"/>
      <c r="Q501" s="1"/>
      <c r="R501" s="1"/>
      <c r="S501" s="696"/>
      <c r="T501" s="14"/>
      <c r="U501" s="14"/>
      <c r="V501" s="14"/>
      <c r="W501" s="315"/>
      <c r="X501" s="14"/>
      <c r="Y501" s="42"/>
      <c r="Z501" s="42"/>
      <c r="AA501" s="42"/>
      <c r="AB501" s="42"/>
      <c r="AC501" s="42"/>
      <c r="AD501" s="42"/>
      <c r="AE501" s="42"/>
      <c r="AF501" s="42"/>
      <c r="AG501" s="42"/>
      <c r="AH501" s="42"/>
      <c r="AI501" s="42"/>
      <c r="AJ501" s="42"/>
      <c r="AK501" s="42"/>
      <c r="AL501" s="42"/>
      <c r="AM501" s="42"/>
      <c r="AN501" s="42"/>
      <c r="AO501" s="42"/>
      <c r="AP501" s="42"/>
      <c r="AQ501" s="42"/>
      <c r="AR501" s="42"/>
    </row>
    <row r="502" spans="1:44" ht="109.5" customHeight="1" x14ac:dyDescent="0.2">
      <c r="A502" s="266" t="s">
        <v>3673</v>
      </c>
      <c r="B502" s="266" t="s">
        <v>6426</v>
      </c>
      <c r="C502" s="853" t="s">
        <v>623</v>
      </c>
      <c r="D502" s="853" t="s">
        <v>624</v>
      </c>
      <c r="E502" s="853" t="s">
        <v>3786</v>
      </c>
      <c r="F502" s="853" t="s">
        <v>6427</v>
      </c>
      <c r="G502" s="853" t="s">
        <v>6428</v>
      </c>
      <c r="H502" s="853" t="s">
        <v>6429</v>
      </c>
      <c r="I502" s="853" t="s">
        <v>631</v>
      </c>
      <c r="J502" s="2552" t="s">
        <v>6430</v>
      </c>
      <c r="K502" s="2552" t="s">
        <v>1270</v>
      </c>
      <c r="L502" s="2552" t="s">
        <v>5739</v>
      </c>
      <c r="M502" s="8"/>
      <c r="N502" s="8"/>
      <c r="O502" s="8"/>
      <c r="P502" s="8"/>
      <c r="R502" s="15"/>
      <c r="S502" s="14"/>
      <c r="T502" s="14"/>
      <c r="U502" s="14"/>
      <c r="V502" s="14"/>
      <c r="W502" s="315"/>
      <c r="X502" s="14"/>
      <c r="Y502" s="42"/>
      <c r="Z502" s="42"/>
      <c r="AA502" s="42"/>
      <c r="AB502" s="42"/>
      <c r="AC502" s="42"/>
      <c r="AD502" s="42"/>
      <c r="AE502" s="42"/>
      <c r="AF502" s="42"/>
      <c r="AG502" s="42"/>
      <c r="AH502" s="42"/>
      <c r="AI502" s="42"/>
      <c r="AJ502" s="42"/>
      <c r="AK502" s="42"/>
      <c r="AL502" s="42"/>
      <c r="AM502" s="42"/>
      <c r="AN502" s="42"/>
      <c r="AO502" s="42"/>
      <c r="AP502" s="42"/>
      <c r="AQ502" s="42"/>
      <c r="AR502" s="42"/>
    </row>
    <row r="503" spans="1:44" ht="17.25" customHeight="1" x14ac:dyDescent="0.2">
      <c r="A503" s="274"/>
      <c r="B503" s="274"/>
      <c r="C503" s="5"/>
      <c r="D503" s="5"/>
      <c r="E503" s="857"/>
      <c r="F503" s="5"/>
      <c r="G503" s="3034"/>
      <c r="H503" s="3034"/>
      <c r="I503" s="3034"/>
      <c r="J503" s="239"/>
      <c r="K503" s="239"/>
      <c r="L503" s="239"/>
      <c r="M503" s="8"/>
      <c r="N503" s="8"/>
      <c r="O503" s="8"/>
      <c r="P503" s="8"/>
      <c r="R503" s="15"/>
      <c r="S503" s="14"/>
      <c r="T503" s="14"/>
      <c r="U503" s="14"/>
      <c r="V503" s="14"/>
      <c r="W503" s="315"/>
      <c r="X503" s="14"/>
      <c r="Y503" s="42"/>
      <c r="Z503" s="42"/>
      <c r="AA503" s="42"/>
      <c r="AB503" s="42"/>
      <c r="AC503" s="42"/>
      <c r="AD503" s="42"/>
      <c r="AE503" s="42"/>
      <c r="AF503" s="42"/>
      <c r="AG503" s="42"/>
      <c r="AH503" s="42"/>
      <c r="AI503" s="42"/>
      <c r="AJ503" s="42"/>
      <c r="AK503" s="42"/>
      <c r="AL503" s="42"/>
      <c r="AM503" s="42"/>
      <c r="AN503" s="42"/>
      <c r="AO503" s="42"/>
      <c r="AP503" s="42"/>
      <c r="AQ503" s="42"/>
      <c r="AR503" s="42"/>
    </row>
    <row r="504" spans="1:44" ht="17.25" customHeight="1" x14ac:dyDescent="0.2">
      <c r="A504" s="274"/>
      <c r="B504" s="274"/>
      <c r="C504" s="5"/>
      <c r="D504" s="5"/>
      <c r="E504" s="857"/>
      <c r="F504" s="5"/>
      <c r="G504" s="3034"/>
      <c r="H504" s="3034"/>
      <c r="I504" s="3034"/>
      <c r="J504" s="239"/>
      <c r="K504" s="239"/>
      <c r="L504" s="239"/>
      <c r="M504" s="8"/>
      <c r="N504" s="8"/>
      <c r="O504" s="8"/>
      <c r="P504" s="8"/>
      <c r="R504" s="15"/>
      <c r="S504" s="14"/>
      <c r="T504" s="14"/>
      <c r="U504" s="14"/>
      <c r="V504" s="14"/>
      <c r="W504" s="315"/>
      <c r="X504" s="14"/>
      <c r="Y504" s="42"/>
      <c r="Z504" s="42"/>
      <c r="AA504" s="42"/>
      <c r="AB504" s="42"/>
      <c r="AC504" s="42"/>
      <c r="AD504" s="42"/>
      <c r="AE504" s="42"/>
      <c r="AF504" s="42"/>
      <c r="AG504" s="42"/>
      <c r="AH504" s="42"/>
      <c r="AI504" s="42"/>
      <c r="AJ504" s="42"/>
      <c r="AK504" s="42"/>
      <c r="AL504" s="42"/>
      <c r="AM504" s="42"/>
      <c r="AN504" s="42"/>
      <c r="AO504" s="42"/>
      <c r="AP504" s="42"/>
      <c r="AQ504" s="42"/>
      <c r="AR504" s="42"/>
    </row>
    <row r="505" spans="1:44" ht="17.25" customHeight="1" x14ac:dyDescent="0.2">
      <c r="A505" s="274"/>
      <c r="B505" s="274"/>
      <c r="C505" s="5"/>
      <c r="D505" s="5"/>
      <c r="E505" s="857"/>
      <c r="F505" s="5"/>
      <c r="G505" s="3034"/>
      <c r="H505" s="3034"/>
      <c r="I505" s="3034"/>
      <c r="J505" s="239"/>
      <c r="K505" s="1"/>
      <c r="L505" s="239"/>
      <c r="M505" s="8"/>
      <c r="N505" s="8"/>
      <c r="O505" s="8"/>
      <c r="P505" s="8"/>
      <c r="R505" s="15"/>
      <c r="S505" s="14"/>
      <c r="T505" s="14"/>
      <c r="U505" s="14"/>
      <c r="V505" s="14"/>
      <c r="W505" s="315"/>
      <c r="X505" s="14"/>
      <c r="Y505" s="42"/>
      <c r="Z505" s="42"/>
      <c r="AA505" s="42"/>
      <c r="AB505" s="42"/>
      <c r="AC505" s="42"/>
      <c r="AD505" s="42"/>
      <c r="AE505" s="42"/>
      <c r="AF505" s="42"/>
      <c r="AG505" s="42"/>
      <c r="AH505" s="42"/>
      <c r="AI505" s="42"/>
      <c r="AJ505" s="42"/>
      <c r="AK505" s="42"/>
      <c r="AL505" s="42"/>
      <c r="AM505" s="42"/>
      <c r="AN505" s="42"/>
      <c r="AO505" s="42"/>
      <c r="AP505" s="42"/>
      <c r="AQ505" s="42"/>
      <c r="AR505" s="42"/>
    </row>
    <row r="506" spans="1:44" ht="17.25" customHeight="1" x14ac:dyDescent="0.2">
      <c r="A506" s="274"/>
      <c r="B506" s="274"/>
      <c r="C506" s="5"/>
      <c r="D506" s="5"/>
      <c r="E506" s="857"/>
      <c r="F506" s="5"/>
      <c r="G506" s="3034"/>
      <c r="H506" s="3034"/>
      <c r="I506" s="3034"/>
      <c r="J506" s="239"/>
      <c r="K506" s="1"/>
      <c r="L506" s="239"/>
      <c r="M506" s="8"/>
      <c r="N506" s="8"/>
      <c r="O506" s="8"/>
      <c r="P506" s="8"/>
      <c r="R506" s="15"/>
      <c r="S506" s="14"/>
      <c r="T506" s="14"/>
      <c r="U506" s="14"/>
      <c r="V506" s="14"/>
      <c r="W506" s="315"/>
      <c r="X506" s="14"/>
      <c r="Y506" s="42"/>
      <c r="Z506" s="42"/>
      <c r="AA506" s="42"/>
      <c r="AB506" s="42"/>
      <c r="AC506" s="42"/>
      <c r="AD506" s="42"/>
      <c r="AE506" s="42"/>
      <c r="AF506" s="42"/>
      <c r="AG506" s="42"/>
      <c r="AH506" s="42"/>
      <c r="AI506" s="42"/>
      <c r="AJ506" s="42"/>
      <c r="AK506" s="42"/>
      <c r="AL506" s="42"/>
      <c r="AM506" s="42"/>
      <c r="AN506" s="42"/>
      <c r="AO506" s="42"/>
      <c r="AP506" s="42"/>
      <c r="AQ506" s="42"/>
      <c r="AR506" s="42"/>
    </row>
    <row r="507" spans="1:44" ht="17.25" customHeight="1" x14ac:dyDescent="0.2">
      <c r="A507" s="274"/>
      <c r="B507" s="274"/>
      <c r="C507" s="857"/>
      <c r="D507" s="857"/>
      <c r="E507" s="857"/>
      <c r="F507" s="857"/>
      <c r="G507" s="1746"/>
      <c r="H507" s="3034"/>
      <c r="I507" s="3034"/>
      <c r="J507" s="239"/>
      <c r="K507" s="239"/>
      <c r="L507" s="239"/>
      <c r="M507" s="8"/>
      <c r="N507" s="8"/>
      <c r="O507" s="8"/>
      <c r="P507" s="8"/>
      <c r="R507" s="15"/>
      <c r="S507" s="14"/>
      <c r="T507" s="14"/>
      <c r="U507" s="14"/>
      <c r="V507" s="14"/>
      <c r="W507" s="315"/>
      <c r="X507" s="14"/>
      <c r="Y507" s="42"/>
      <c r="Z507" s="42"/>
      <c r="AA507" s="42"/>
      <c r="AB507" s="42"/>
      <c r="AC507" s="42"/>
      <c r="AD507" s="42"/>
      <c r="AE507" s="42"/>
      <c r="AF507" s="42"/>
      <c r="AG507" s="42"/>
      <c r="AH507" s="42"/>
      <c r="AI507" s="42"/>
      <c r="AJ507" s="42"/>
      <c r="AK507" s="42"/>
      <c r="AL507" s="42"/>
      <c r="AM507" s="42"/>
      <c r="AN507" s="42"/>
      <c r="AO507" s="42"/>
      <c r="AP507" s="42"/>
      <c r="AQ507" s="42"/>
      <c r="AR507" s="42"/>
    </row>
    <row r="508" spans="1:44" ht="17.25" customHeight="1" x14ac:dyDescent="0.2">
      <c r="A508" s="274"/>
      <c r="B508" s="274"/>
      <c r="C508" s="857"/>
      <c r="D508" s="857"/>
      <c r="E508" s="857"/>
      <c r="F508" s="857"/>
      <c r="G508" s="1746"/>
      <c r="H508" s="3034"/>
      <c r="I508" s="3034"/>
      <c r="J508" s="239"/>
      <c r="K508" s="239"/>
      <c r="L508" s="239"/>
      <c r="M508" s="8"/>
      <c r="N508" s="8"/>
      <c r="O508" s="8"/>
      <c r="P508" s="8"/>
      <c r="R508" s="15"/>
      <c r="S508" s="14"/>
      <c r="T508" s="14"/>
      <c r="U508" s="14"/>
      <c r="V508" s="14"/>
      <c r="W508" s="315"/>
      <c r="X508" s="14"/>
      <c r="Y508" s="42"/>
      <c r="Z508" s="42"/>
      <c r="AA508" s="42"/>
      <c r="AB508" s="42"/>
      <c r="AC508" s="42"/>
      <c r="AD508" s="42"/>
      <c r="AE508" s="42"/>
      <c r="AF508" s="42"/>
      <c r="AG508" s="42"/>
      <c r="AH508" s="42"/>
      <c r="AI508" s="42"/>
      <c r="AJ508" s="42"/>
      <c r="AK508" s="42"/>
      <c r="AL508" s="42"/>
      <c r="AM508" s="42"/>
      <c r="AN508" s="42"/>
      <c r="AO508" s="42"/>
      <c r="AP508" s="42"/>
      <c r="AQ508" s="42"/>
      <c r="AR508" s="42"/>
    </row>
    <row r="509" spans="1:44" ht="17.25" customHeight="1" x14ac:dyDescent="0.2">
      <c r="A509" s="274"/>
      <c r="B509" s="274"/>
      <c r="C509" s="5"/>
      <c r="D509" s="5"/>
      <c r="E509" s="857"/>
      <c r="F509" s="5"/>
      <c r="G509" s="1746"/>
      <c r="H509" s="3034"/>
      <c r="I509" s="3034"/>
      <c r="J509" s="3034"/>
      <c r="K509" s="3034"/>
      <c r="L509" s="239"/>
      <c r="M509" s="8"/>
      <c r="N509" s="8"/>
      <c r="O509" s="8"/>
      <c r="P509" s="8"/>
      <c r="R509" s="15"/>
      <c r="S509" s="14"/>
      <c r="T509" s="14"/>
      <c r="U509" s="14"/>
      <c r="V509" s="14"/>
      <c r="W509" s="315"/>
      <c r="X509" s="14"/>
      <c r="Y509" s="42"/>
      <c r="Z509" s="42"/>
      <c r="AA509" s="42"/>
      <c r="AB509" s="42"/>
      <c r="AC509" s="42"/>
      <c r="AD509" s="42"/>
      <c r="AE509" s="42"/>
      <c r="AF509" s="42"/>
      <c r="AG509" s="42"/>
      <c r="AH509" s="42"/>
      <c r="AI509" s="42"/>
      <c r="AJ509" s="42"/>
      <c r="AK509" s="42"/>
      <c r="AL509" s="42"/>
      <c r="AM509" s="42"/>
      <c r="AN509" s="42"/>
      <c r="AO509" s="42"/>
      <c r="AP509" s="42"/>
      <c r="AQ509" s="42"/>
      <c r="AR509" s="42"/>
    </row>
    <row r="510" spans="1:44" ht="17.25" customHeight="1" x14ac:dyDescent="0.2">
      <c r="A510" s="274"/>
      <c r="B510" s="274"/>
      <c r="C510" s="5"/>
      <c r="D510" s="5"/>
      <c r="E510" s="857"/>
      <c r="F510" s="5"/>
      <c r="G510" s="1746"/>
      <c r="H510" s="3034"/>
      <c r="I510" s="3034"/>
      <c r="J510" s="3034"/>
      <c r="K510" s="3034"/>
      <c r="L510" s="239"/>
      <c r="M510" s="8"/>
      <c r="N510" s="8"/>
      <c r="O510" s="8"/>
      <c r="P510" s="8"/>
      <c r="R510" s="15"/>
      <c r="S510" s="14"/>
      <c r="T510" s="14"/>
      <c r="U510" s="14"/>
      <c r="V510" s="14"/>
      <c r="W510" s="315"/>
      <c r="X510" s="14"/>
      <c r="Y510" s="42"/>
      <c r="Z510" s="42"/>
      <c r="AA510" s="42"/>
      <c r="AB510" s="42"/>
      <c r="AC510" s="42"/>
      <c r="AD510" s="42"/>
      <c r="AE510" s="42"/>
      <c r="AF510" s="42"/>
      <c r="AG510" s="42"/>
      <c r="AH510" s="42"/>
      <c r="AI510" s="42"/>
      <c r="AJ510" s="42"/>
      <c r="AK510" s="42"/>
      <c r="AL510" s="42"/>
      <c r="AM510" s="42"/>
      <c r="AN510" s="42"/>
      <c r="AO510" s="42"/>
      <c r="AP510" s="42"/>
      <c r="AQ510" s="42"/>
      <c r="AR510" s="42"/>
    </row>
    <row r="511" spans="1:44" ht="17.25" customHeight="1" x14ac:dyDescent="0.2">
      <c r="A511" s="274"/>
      <c r="B511" s="274"/>
      <c r="C511" s="5"/>
      <c r="D511" s="5"/>
      <c r="E511" s="857"/>
      <c r="F511" s="5"/>
      <c r="G511" s="1746"/>
      <c r="H511" s="3034"/>
      <c r="I511" s="3034"/>
      <c r="J511" s="1746"/>
      <c r="K511" s="239"/>
      <c r="L511" s="239"/>
      <c r="M511" s="8"/>
      <c r="N511" s="8"/>
      <c r="O511" s="8"/>
      <c r="P511" s="8"/>
      <c r="R511" s="15"/>
      <c r="S511" s="14"/>
      <c r="T511" s="14"/>
      <c r="U511" s="14"/>
      <c r="V511" s="14"/>
      <c r="W511" s="315"/>
      <c r="X511" s="14"/>
      <c r="Y511" s="42"/>
      <c r="Z511" s="42"/>
      <c r="AA511" s="42"/>
      <c r="AB511" s="42"/>
      <c r="AC511" s="42"/>
      <c r="AD511" s="42"/>
      <c r="AE511" s="42"/>
      <c r="AF511" s="42"/>
      <c r="AG511" s="42"/>
      <c r="AH511" s="42"/>
      <c r="AI511" s="42"/>
      <c r="AJ511" s="42"/>
      <c r="AK511" s="42"/>
      <c r="AL511" s="42"/>
      <c r="AM511" s="42"/>
      <c r="AN511" s="42"/>
      <c r="AO511" s="42"/>
      <c r="AP511" s="42"/>
      <c r="AQ511" s="42"/>
      <c r="AR511" s="42"/>
    </row>
    <row r="512" spans="1:44" ht="17.25" customHeight="1" x14ac:dyDescent="0.2">
      <c r="A512" s="274"/>
      <c r="B512" s="274"/>
      <c r="C512" s="5"/>
      <c r="D512" s="5"/>
      <c r="E512" s="857"/>
      <c r="F512" s="5"/>
      <c r="G512" s="1746"/>
      <c r="H512" s="3034"/>
      <c r="I512" s="3034"/>
      <c r="J512" s="1746"/>
      <c r="K512" s="239"/>
      <c r="L512" s="239"/>
      <c r="M512" s="8"/>
      <c r="N512" s="8"/>
      <c r="O512" s="8"/>
      <c r="P512" s="8"/>
      <c r="R512" s="15"/>
      <c r="S512" s="14"/>
      <c r="T512" s="14"/>
      <c r="U512" s="14"/>
      <c r="V512" s="14"/>
      <c r="W512" s="315"/>
      <c r="X512" s="14"/>
      <c r="Y512" s="42"/>
      <c r="Z512" s="42"/>
      <c r="AA512" s="42"/>
      <c r="AB512" s="42"/>
      <c r="AC512" s="42"/>
      <c r="AD512" s="42"/>
      <c r="AE512" s="42"/>
      <c r="AF512" s="42"/>
      <c r="AG512" s="42"/>
      <c r="AH512" s="42"/>
      <c r="AI512" s="42"/>
      <c r="AJ512" s="42"/>
      <c r="AK512" s="42"/>
      <c r="AL512" s="42"/>
      <c r="AM512" s="42"/>
      <c r="AN512" s="42"/>
      <c r="AO512" s="42"/>
      <c r="AP512" s="42"/>
      <c r="AQ512" s="42"/>
      <c r="AR512" s="42"/>
    </row>
    <row r="513" spans="1:44" ht="17.25" customHeight="1" x14ac:dyDescent="0.2">
      <c r="A513" s="274"/>
      <c r="B513" s="274"/>
      <c r="C513" s="5"/>
      <c r="D513" s="5"/>
      <c r="E513" s="857"/>
      <c r="F513" s="5"/>
      <c r="G513" s="1746"/>
      <c r="H513" s="3034"/>
      <c r="I513" s="3034"/>
      <c r="J513" s="1746"/>
      <c r="K513" s="1746"/>
      <c r="L513" s="3034"/>
      <c r="M513" s="239"/>
      <c r="N513" s="239"/>
      <c r="O513" s="239"/>
      <c r="P513" s="239"/>
      <c r="Q513" s="239"/>
      <c r="R513" s="14"/>
      <c r="S513" s="14"/>
      <c r="T513" s="14"/>
      <c r="U513" s="14"/>
      <c r="V513" s="14"/>
      <c r="W513" s="315"/>
      <c r="X513" s="14"/>
      <c r="Y513" s="42"/>
      <c r="Z513" s="42"/>
      <c r="AA513" s="42"/>
      <c r="AB513" s="42"/>
      <c r="AC513" s="42"/>
      <c r="AD513" s="42"/>
      <c r="AE513" s="42"/>
      <c r="AF513" s="42"/>
      <c r="AG513" s="42"/>
      <c r="AH513" s="42"/>
      <c r="AI513" s="42"/>
      <c r="AJ513" s="42"/>
      <c r="AK513" s="42"/>
      <c r="AL513" s="42"/>
      <c r="AM513" s="42"/>
      <c r="AN513" s="42"/>
      <c r="AO513" s="42"/>
      <c r="AP513" s="42"/>
      <c r="AQ513" s="42"/>
      <c r="AR513" s="42"/>
    </row>
    <row r="514" spans="1:44" ht="17.25" customHeight="1" x14ac:dyDescent="0.2">
      <c r="A514" s="274"/>
      <c r="B514" s="274"/>
      <c r="C514" s="5"/>
      <c r="D514" s="5"/>
      <c r="E514" s="857"/>
      <c r="F514" s="5"/>
      <c r="G514" s="1746"/>
      <c r="H514" s="3034"/>
      <c r="I514" s="3034"/>
      <c r="J514" s="1746"/>
      <c r="K514" s="1746"/>
      <c r="L514" s="3034"/>
      <c r="M514" s="8"/>
      <c r="N514" s="8"/>
      <c r="O514" s="8"/>
      <c r="P514" s="8"/>
      <c r="R514" s="15"/>
      <c r="S514" s="14"/>
      <c r="T514" s="14"/>
      <c r="U514" s="14"/>
      <c r="V514" s="14"/>
      <c r="W514" s="315"/>
      <c r="X514" s="14"/>
      <c r="Y514" s="42"/>
      <c r="Z514" s="42"/>
      <c r="AA514" s="42"/>
      <c r="AB514" s="42"/>
      <c r="AC514" s="42"/>
      <c r="AD514" s="42"/>
      <c r="AE514" s="42"/>
      <c r="AF514" s="42"/>
      <c r="AG514" s="42"/>
      <c r="AH514" s="42"/>
      <c r="AI514" s="42"/>
      <c r="AJ514" s="42"/>
      <c r="AK514" s="42"/>
      <c r="AL514" s="42"/>
      <c r="AM514" s="42"/>
      <c r="AN514" s="42"/>
      <c r="AO514" s="42"/>
      <c r="AP514" s="42"/>
      <c r="AQ514" s="42"/>
      <c r="AR514" s="42"/>
    </row>
    <row r="515" spans="1:44" ht="17.25" customHeight="1" x14ac:dyDescent="0.2">
      <c r="A515" s="274"/>
      <c r="B515" s="274"/>
      <c r="C515" s="5"/>
      <c r="D515" s="5"/>
      <c r="E515" s="857"/>
      <c r="F515" s="5"/>
      <c r="G515" s="1746"/>
      <c r="H515" s="3034"/>
      <c r="I515" s="3034"/>
      <c r="J515" s="1746"/>
      <c r="K515" s="1746"/>
      <c r="L515" s="3034"/>
      <c r="M515" s="8"/>
      <c r="N515" s="8"/>
      <c r="O515" s="8"/>
      <c r="P515" s="8"/>
      <c r="R515" s="15"/>
      <c r="S515" s="14"/>
      <c r="T515" s="14"/>
      <c r="U515" s="14"/>
      <c r="V515" s="14"/>
      <c r="W515" s="315"/>
      <c r="X515" s="14"/>
      <c r="Y515" s="42"/>
      <c r="Z515" s="42"/>
      <c r="AA515" s="42"/>
      <c r="AB515" s="42"/>
      <c r="AC515" s="42"/>
      <c r="AD515" s="42"/>
      <c r="AE515" s="42"/>
      <c r="AF515" s="42"/>
      <c r="AG515" s="42"/>
      <c r="AH515" s="42"/>
      <c r="AI515" s="42"/>
      <c r="AJ515" s="42"/>
      <c r="AK515" s="42"/>
      <c r="AL515" s="42"/>
      <c r="AM515" s="42"/>
      <c r="AN515" s="42"/>
      <c r="AO515" s="42"/>
      <c r="AP515" s="42"/>
      <c r="AQ515" s="42"/>
      <c r="AR515" s="42"/>
    </row>
    <row r="516" spans="1:44" ht="17.25" customHeight="1" x14ac:dyDescent="0.2">
      <c r="A516" s="274"/>
      <c r="B516" s="274"/>
      <c r="C516" s="5"/>
      <c r="D516" s="5"/>
      <c r="E516" s="857"/>
      <c r="F516" s="5"/>
      <c r="G516" s="1746"/>
      <c r="H516" s="3034"/>
      <c r="I516" s="3034"/>
      <c r="J516" s="1746"/>
      <c r="K516" s="1746"/>
      <c r="L516" s="3034"/>
      <c r="M516" s="239"/>
      <c r="N516" s="239"/>
      <c r="O516" s="239"/>
      <c r="P516" s="239"/>
      <c r="Q516" s="239"/>
      <c r="R516" s="14"/>
      <c r="S516" s="14"/>
      <c r="T516" s="14"/>
      <c r="U516" s="14"/>
      <c r="V516" s="14"/>
      <c r="W516" s="315"/>
      <c r="X516" s="14"/>
      <c r="Y516" s="42"/>
      <c r="Z516" s="42"/>
      <c r="AA516" s="42"/>
      <c r="AB516" s="42"/>
      <c r="AC516" s="42"/>
      <c r="AD516" s="42"/>
      <c r="AE516" s="42"/>
      <c r="AF516" s="42"/>
      <c r="AG516" s="42"/>
      <c r="AH516" s="42"/>
      <c r="AI516" s="42"/>
      <c r="AJ516" s="42"/>
      <c r="AK516" s="42"/>
      <c r="AL516" s="42"/>
      <c r="AM516" s="42"/>
      <c r="AN516" s="42"/>
      <c r="AO516" s="42"/>
      <c r="AP516" s="42"/>
      <c r="AQ516" s="42"/>
      <c r="AR516" s="42"/>
    </row>
    <row r="517" spans="1:44" ht="17.25" customHeight="1" x14ac:dyDescent="0.2">
      <c r="A517" s="274"/>
      <c r="B517" s="274"/>
      <c r="C517" s="5"/>
      <c r="D517" s="5"/>
      <c r="E517" s="857"/>
      <c r="F517" s="5"/>
      <c r="G517" s="1746"/>
      <c r="H517" s="3034"/>
      <c r="I517" s="3034"/>
      <c r="J517" s="1746"/>
      <c r="K517" s="1746"/>
      <c r="L517" s="3034"/>
      <c r="M517" s="8"/>
      <c r="N517" s="8"/>
      <c r="O517" s="8"/>
      <c r="P517" s="8"/>
      <c r="R517" s="15"/>
      <c r="S517" s="14"/>
      <c r="T517" s="14"/>
      <c r="U517" s="14"/>
      <c r="V517" s="14"/>
      <c r="W517" s="315"/>
      <c r="X517" s="14"/>
      <c r="Y517" s="42"/>
      <c r="Z517" s="42"/>
      <c r="AA517" s="42"/>
      <c r="AB517" s="42"/>
      <c r="AC517" s="42"/>
      <c r="AD517" s="42"/>
      <c r="AE517" s="42"/>
      <c r="AF517" s="42"/>
      <c r="AG517" s="42"/>
      <c r="AH517" s="42"/>
      <c r="AI517" s="42"/>
      <c r="AJ517" s="42"/>
      <c r="AK517" s="42"/>
      <c r="AL517" s="42"/>
      <c r="AM517" s="42"/>
      <c r="AN517" s="42"/>
      <c r="AO517" s="42"/>
      <c r="AP517" s="42"/>
      <c r="AQ517" s="42"/>
      <c r="AR517" s="42"/>
    </row>
    <row r="518" spans="1:44" ht="17.25" customHeight="1" x14ac:dyDescent="0.2">
      <c r="A518" s="274"/>
      <c r="B518" s="274"/>
      <c r="C518" s="857"/>
      <c r="D518" s="857"/>
      <c r="E518" s="857"/>
      <c r="F518" s="857"/>
      <c r="G518" s="1746"/>
      <c r="H518" s="3034"/>
      <c r="I518" s="3034"/>
      <c r="J518" s="1746"/>
      <c r="K518" s="1746"/>
      <c r="L518" s="3034"/>
      <c r="M518" s="8"/>
      <c r="N518" s="8"/>
      <c r="O518" s="8"/>
      <c r="P518" s="8"/>
      <c r="R518" s="15"/>
      <c r="S518" s="14"/>
      <c r="T518" s="14"/>
      <c r="U518" s="14"/>
      <c r="V518" s="14"/>
      <c r="W518" s="315"/>
      <c r="X518" s="14"/>
      <c r="Y518" s="42"/>
      <c r="Z518" s="42"/>
      <c r="AA518" s="42"/>
      <c r="AB518" s="42"/>
      <c r="AC518" s="42"/>
      <c r="AD518" s="42"/>
      <c r="AE518" s="42"/>
      <c r="AF518" s="42"/>
      <c r="AG518" s="42"/>
      <c r="AH518" s="42"/>
      <c r="AI518" s="42"/>
      <c r="AJ518" s="42"/>
      <c r="AK518" s="42"/>
      <c r="AL518" s="42"/>
      <c r="AM518" s="42"/>
      <c r="AN518" s="42"/>
      <c r="AO518" s="42"/>
      <c r="AP518" s="42"/>
      <c r="AQ518" s="42"/>
      <c r="AR518" s="42"/>
    </row>
    <row r="519" spans="1:44" ht="17.25" customHeight="1" x14ac:dyDescent="0.2">
      <c r="A519" s="274"/>
      <c r="B519" s="274"/>
      <c r="C519" s="857"/>
      <c r="D519" s="857"/>
      <c r="E519" s="857"/>
      <c r="F519" s="857"/>
      <c r="G519" s="1746"/>
      <c r="H519" s="3034"/>
      <c r="I519" s="3034"/>
      <c r="J519" s="1746"/>
      <c r="K519" s="1746"/>
      <c r="L519" s="3034"/>
      <c r="M519" s="8"/>
      <c r="N519" s="8"/>
      <c r="O519" s="8"/>
      <c r="P519" s="8"/>
      <c r="R519" s="15"/>
      <c r="S519" s="14"/>
      <c r="T519" s="14"/>
      <c r="U519" s="14"/>
      <c r="V519" s="14"/>
      <c r="W519" s="315"/>
      <c r="X519" s="14"/>
      <c r="Y519" s="42"/>
      <c r="Z519" s="42"/>
      <c r="AA519" s="42"/>
      <c r="AB519" s="42"/>
      <c r="AC519" s="42"/>
      <c r="AD519" s="42"/>
      <c r="AE519" s="42"/>
      <c r="AF519" s="42"/>
      <c r="AG519" s="42"/>
      <c r="AH519" s="42"/>
      <c r="AI519" s="42"/>
      <c r="AJ519" s="42"/>
      <c r="AK519" s="42"/>
      <c r="AL519" s="42"/>
      <c r="AM519" s="42"/>
      <c r="AN519" s="42"/>
      <c r="AO519" s="42"/>
      <c r="AP519" s="42"/>
      <c r="AQ519" s="42"/>
      <c r="AR519" s="42"/>
    </row>
    <row r="520" spans="1:44" ht="17.25" customHeight="1" x14ac:dyDescent="0.2">
      <c r="A520" s="274"/>
      <c r="B520" s="274"/>
      <c r="C520" s="857"/>
      <c r="D520" s="857"/>
      <c r="E520" s="857"/>
      <c r="F520" s="857"/>
      <c r="G520" s="1746"/>
      <c r="H520" s="3034"/>
      <c r="I520" s="3034"/>
      <c r="J520" s="1746"/>
      <c r="K520" s="1746"/>
      <c r="L520" s="3034"/>
      <c r="M520" s="8"/>
      <c r="N520" s="8"/>
      <c r="O520" s="8"/>
      <c r="P520" s="8"/>
      <c r="R520" s="15"/>
      <c r="S520" s="14"/>
      <c r="T520" s="14"/>
      <c r="U520" s="14"/>
      <c r="V520" s="14"/>
      <c r="W520" s="315"/>
      <c r="X520" s="14"/>
      <c r="Y520" s="42"/>
      <c r="Z520" s="42"/>
      <c r="AA520" s="42"/>
      <c r="AB520" s="42"/>
      <c r="AC520" s="42"/>
      <c r="AD520" s="42"/>
      <c r="AE520" s="42"/>
      <c r="AF520" s="42"/>
      <c r="AG520" s="42"/>
      <c r="AH520" s="42"/>
      <c r="AI520" s="42"/>
      <c r="AJ520" s="42"/>
      <c r="AK520" s="42"/>
      <c r="AL520" s="42"/>
      <c r="AM520" s="42"/>
      <c r="AN520" s="42"/>
      <c r="AO520" s="42"/>
      <c r="AP520" s="42"/>
      <c r="AQ520" s="42"/>
      <c r="AR520" s="42"/>
    </row>
    <row r="521" spans="1:44" ht="17.25" customHeight="1" x14ac:dyDescent="0.2">
      <c r="A521" s="274"/>
      <c r="B521" s="274"/>
      <c r="C521" s="857"/>
      <c r="D521" s="857"/>
      <c r="E521" s="857"/>
      <c r="F521" s="857"/>
      <c r="G521" s="1746"/>
      <c r="H521" s="3034"/>
      <c r="I521" s="3034"/>
      <c r="J521" s="1746"/>
      <c r="K521" s="1746"/>
      <c r="L521" s="3034"/>
      <c r="M521" s="8"/>
      <c r="N521" s="8"/>
      <c r="O521" s="8"/>
      <c r="P521" s="8"/>
      <c r="R521" s="15"/>
      <c r="S521" s="14"/>
      <c r="T521" s="14"/>
      <c r="U521" s="14"/>
      <c r="V521" s="14"/>
      <c r="W521" s="315"/>
      <c r="X521" s="14"/>
      <c r="Y521" s="42"/>
      <c r="Z521" s="42"/>
      <c r="AA521" s="42"/>
      <c r="AB521" s="42"/>
      <c r="AC521" s="42"/>
      <c r="AD521" s="42"/>
      <c r="AE521" s="42"/>
      <c r="AF521" s="42"/>
      <c r="AG521" s="42"/>
      <c r="AH521" s="42"/>
      <c r="AI521" s="42"/>
      <c r="AJ521" s="42"/>
      <c r="AK521" s="42"/>
      <c r="AL521" s="42"/>
      <c r="AM521" s="42"/>
      <c r="AN521" s="42"/>
      <c r="AO521" s="42"/>
      <c r="AP521" s="42"/>
      <c r="AQ521" s="42"/>
      <c r="AR521" s="42"/>
    </row>
    <row r="522" spans="1:44" ht="17.25" customHeight="1" x14ac:dyDescent="0.2">
      <c r="A522" s="274"/>
      <c r="B522" s="274"/>
      <c r="C522" s="857"/>
      <c r="D522" s="857"/>
      <c r="E522" s="857"/>
      <c r="F522" s="857"/>
      <c r="G522" s="1746"/>
      <c r="H522" s="3034"/>
      <c r="I522" s="3034"/>
      <c r="J522" s="1746"/>
      <c r="K522" s="1746"/>
      <c r="L522" s="3034"/>
      <c r="M522" s="8"/>
      <c r="N522" s="8"/>
      <c r="O522" s="8"/>
      <c r="P522" s="8"/>
      <c r="R522" s="15"/>
      <c r="S522" s="14"/>
      <c r="T522" s="14"/>
      <c r="U522" s="14"/>
      <c r="V522" s="14"/>
      <c r="W522" s="315"/>
      <c r="X522" s="14"/>
      <c r="Y522" s="42"/>
      <c r="Z522" s="42"/>
      <c r="AA522" s="42"/>
      <c r="AB522" s="42"/>
      <c r="AC522" s="42"/>
      <c r="AD522" s="42"/>
      <c r="AE522" s="42"/>
      <c r="AF522" s="42"/>
      <c r="AG522" s="42"/>
      <c r="AH522" s="42"/>
      <c r="AI522" s="42"/>
      <c r="AJ522" s="42"/>
      <c r="AK522" s="42"/>
      <c r="AL522" s="42"/>
      <c r="AM522" s="42"/>
      <c r="AN522" s="42"/>
      <c r="AO522" s="42"/>
      <c r="AP522" s="42"/>
      <c r="AQ522" s="42"/>
      <c r="AR522" s="42"/>
    </row>
    <row r="523" spans="1:44" ht="17.25" customHeight="1" x14ac:dyDescent="0.2">
      <c r="A523" s="274"/>
      <c r="B523" s="274"/>
      <c r="C523" s="857"/>
      <c r="D523" s="857"/>
      <c r="E523" s="857"/>
      <c r="F523" s="857"/>
      <c r="G523" s="1746"/>
      <c r="H523" s="3034"/>
      <c r="I523" s="3034"/>
      <c r="J523" s="1746"/>
      <c r="K523" s="1746"/>
      <c r="L523" s="3034"/>
      <c r="M523" s="8"/>
      <c r="N523" s="8"/>
      <c r="O523" s="8"/>
      <c r="P523" s="8"/>
      <c r="R523" s="15"/>
      <c r="S523" s="14"/>
      <c r="T523" s="14"/>
      <c r="U523" s="14"/>
      <c r="V523" s="14"/>
      <c r="W523" s="315"/>
      <c r="X523" s="14"/>
      <c r="Y523" s="42"/>
      <c r="Z523" s="42"/>
      <c r="AA523" s="42"/>
      <c r="AB523" s="42"/>
      <c r="AC523" s="42"/>
      <c r="AD523" s="42"/>
      <c r="AE523" s="42"/>
      <c r="AF523" s="42"/>
      <c r="AG523" s="42"/>
      <c r="AH523" s="42"/>
      <c r="AI523" s="42"/>
      <c r="AJ523" s="42"/>
      <c r="AK523" s="42"/>
      <c r="AL523" s="42"/>
      <c r="AM523" s="42"/>
      <c r="AN523" s="42"/>
      <c r="AO523" s="42"/>
      <c r="AP523" s="42"/>
      <c r="AQ523" s="42"/>
      <c r="AR523" s="42"/>
    </row>
    <row r="524" spans="1:44" ht="17.25" customHeight="1" x14ac:dyDescent="0.2">
      <c r="A524" s="212"/>
      <c r="C524" s="211"/>
      <c r="G524" s="233"/>
      <c r="I524" s="11"/>
      <c r="M524" s="8"/>
      <c r="N524" s="8"/>
      <c r="O524" s="8"/>
      <c r="P524" s="8"/>
      <c r="R524" s="15"/>
      <c r="S524" s="14"/>
      <c r="T524" s="14"/>
      <c r="U524" s="14"/>
      <c r="V524" s="14"/>
      <c r="W524" s="315"/>
      <c r="X524" s="14"/>
      <c r="Y524" s="42"/>
      <c r="Z524" s="42"/>
      <c r="AA524" s="42"/>
      <c r="AB524" s="42"/>
      <c r="AC524" s="42"/>
      <c r="AD524" s="42"/>
      <c r="AE524" s="42"/>
      <c r="AF524" s="42"/>
      <c r="AG524" s="42"/>
      <c r="AH524" s="42"/>
      <c r="AI524" s="42"/>
      <c r="AJ524" s="42"/>
      <c r="AK524" s="42"/>
      <c r="AL524" s="42"/>
      <c r="AM524" s="42"/>
      <c r="AN524" s="42"/>
      <c r="AO524" s="42"/>
      <c r="AP524" s="42"/>
      <c r="AQ524" s="42"/>
      <c r="AR524" s="42"/>
    </row>
    <row r="525" spans="1:44" ht="17.25" customHeight="1" x14ac:dyDescent="0.2">
      <c r="A525" s="212"/>
      <c r="C525" s="211"/>
      <c r="G525" s="233"/>
      <c r="I525" s="11"/>
      <c r="M525" s="8"/>
      <c r="N525" s="8"/>
      <c r="O525" s="8"/>
      <c r="P525" s="8"/>
      <c r="R525" s="15"/>
      <c r="S525" s="14"/>
      <c r="T525" s="14"/>
      <c r="U525" s="14"/>
      <c r="V525" s="14"/>
      <c r="W525" s="315"/>
      <c r="X525" s="14"/>
      <c r="Y525" s="42"/>
      <c r="Z525" s="42"/>
      <c r="AA525" s="42"/>
      <c r="AB525" s="42"/>
      <c r="AC525" s="42"/>
      <c r="AD525" s="42"/>
      <c r="AE525" s="42"/>
      <c r="AF525" s="42"/>
      <c r="AG525" s="42"/>
      <c r="AH525" s="42"/>
      <c r="AI525" s="42"/>
      <c r="AJ525" s="42"/>
      <c r="AK525" s="42"/>
      <c r="AL525" s="42"/>
      <c r="AM525" s="42"/>
      <c r="AN525" s="42"/>
      <c r="AO525" s="42"/>
      <c r="AP525" s="42"/>
      <c r="AQ525" s="42"/>
      <c r="AR525" s="42"/>
    </row>
    <row r="526" spans="1:44" ht="17.25" customHeight="1" x14ac:dyDescent="0.2">
      <c r="A526" s="212"/>
      <c r="C526" s="211"/>
      <c r="G526" s="233"/>
      <c r="I526" s="11"/>
      <c r="M526" s="8"/>
      <c r="N526" s="8"/>
      <c r="O526" s="8"/>
      <c r="P526" s="8"/>
      <c r="R526" s="15"/>
      <c r="S526" s="14"/>
      <c r="T526" s="14"/>
      <c r="U526" s="14"/>
      <c r="V526" s="14"/>
      <c r="W526" s="315"/>
      <c r="X526" s="14"/>
      <c r="Y526" s="3125"/>
      <c r="Z526" s="3125"/>
      <c r="AA526" s="3125"/>
      <c r="AB526" s="3125"/>
      <c r="AC526" s="3125"/>
      <c r="AD526" s="3125"/>
      <c r="AE526" s="3125"/>
      <c r="AF526" s="3125"/>
      <c r="AG526" s="3125"/>
      <c r="AH526" s="3125"/>
      <c r="AI526" s="3125"/>
      <c r="AJ526" s="3125"/>
      <c r="AK526" s="3125"/>
      <c r="AL526" s="3125"/>
      <c r="AM526" s="3125"/>
      <c r="AN526" s="3125"/>
      <c r="AO526" s="3125"/>
      <c r="AP526" s="3125"/>
      <c r="AQ526" s="3125"/>
      <c r="AR526" s="3125"/>
    </row>
    <row r="527" spans="1:44" ht="17.25" customHeight="1" x14ac:dyDescent="0.2">
      <c r="A527" s="212"/>
      <c r="C527" s="211"/>
      <c r="G527" s="233"/>
      <c r="I527" s="11"/>
      <c r="M527" s="8"/>
      <c r="N527" s="8"/>
      <c r="O527" s="8"/>
      <c r="P527" s="8"/>
      <c r="R527" s="15"/>
      <c r="S527" s="14"/>
      <c r="T527" s="14"/>
      <c r="U527" s="14"/>
      <c r="V527" s="14"/>
      <c r="W527" s="315"/>
      <c r="X527" s="14"/>
      <c r="Y527" s="3125"/>
      <c r="Z527" s="3125"/>
      <c r="AA527" s="3125"/>
      <c r="AB527" s="3125"/>
      <c r="AC527" s="3125"/>
      <c r="AD527" s="3125"/>
      <c r="AE527" s="3125"/>
      <c r="AF527" s="3125"/>
      <c r="AG527" s="3125"/>
      <c r="AH527" s="3125"/>
      <c r="AI527" s="3125"/>
      <c r="AJ527" s="3125"/>
      <c r="AK527" s="3125"/>
      <c r="AL527" s="3125"/>
      <c r="AM527" s="3125"/>
      <c r="AN527" s="3125"/>
      <c r="AO527" s="3125"/>
      <c r="AP527" s="3125"/>
      <c r="AQ527" s="3125"/>
      <c r="AR527" s="3125"/>
    </row>
    <row r="528" spans="1:44" ht="17.25" customHeight="1" x14ac:dyDescent="0.2">
      <c r="A528" s="212"/>
      <c r="C528" s="211"/>
      <c r="G528" s="233"/>
      <c r="I528" s="11"/>
      <c r="M528" s="8"/>
      <c r="N528" s="8"/>
      <c r="O528" s="8"/>
      <c r="P528" s="8"/>
      <c r="R528" s="15"/>
      <c r="S528" s="14"/>
      <c r="T528" s="14"/>
      <c r="U528" s="14"/>
      <c r="V528" s="14"/>
      <c r="W528" s="315"/>
      <c r="X528" s="14"/>
      <c r="Y528" s="3125"/>
      <c r="Z528" s="3125"/>
      <c r="AA528" s="3125"/>
      <c r="AB528" s="3125"/>
      <c r="AC528" s="3125"/>
      <c r="AD528" s="3125"/>
      <c r="AE528" s="3125"/>
      <c r="AF528" s="3125"/>
      <c r="AG528" s="3125"/>
      <c r="AH528" s="3125"/>
      <c r="AI528" s="3125"/>
      <c r="AJ528" s="3125"/>
      <c r="AK528" s="3125"/>
      <c r="AL528" s="3125"/>
      <c r="AM528" s="3125"/>
      <c r="AN528" s="3125"/>
      <c r="AO528" s="3125"/>
      <c r="AP528" s="3125"/>
      <c r="AQ528" s="3125"/>
      <c r="AR528" s="3125"/>
    </row>
    <row r="529" spans="1:44" ht="17.25" customHeight="1" x14ac:dyDescent="0.2">
      <c r="A529" s="212"/>
      <c r="C529" s="211"/>
      <c r="G529" s="233"/>
      <c r="I529" s="11"/>
      <c r="M529" s="8"/>
      <c r="N529" s="8"/>
      <c r="O529" s="8"/>
      <c r="P529" s="8"/>
      <c r="R529" s="15"/>
      <c r="S529" s="14"/>
      <c r="T529" s="14"/>
      <c r="U529" s="14"/>
      <c r="V529" s="14"/>
      <c r="W529" s="315"/>
      <c r="X529" s="14"/>
      <c r="Y529" s="3125"/>
      <c r="Z529" s="3125"/>
      <c r="AA529" s="3125"/>
      <c r="AB529" s="3125"/>
      <c r="AC529" s="3125"/>
      <c r="AD529" s="3125"/>
      <c r="AE529" s="3125"/>
      <c r="AF529" s="3125"/>
      <c r="AG529" s="3125"/>
      <c r="AH529" s="3125"/>
      <c r="AI529" s="3125"/>
      <c r="AJ529" s="3125"/>
      <c r="AK529" s="3125"/>
      <c r="AL529" s="3125"/>
      <c r="AM529" s="3125"/>
      <c r="AN529" s="3125"/>
      <c r="AO529" s="3125"/>
      <c r="AP529" s="3125"/>
      <c r="AQ529" s="3125"/>
      <c r="AR529" s="3125"/>
    </row>
    <row r="530" spans="1:44" ht="17.25" customHeight="1" x14ac:dyDescent="0.2">
      <c r="A530" s="212"/>
      <c r="C530" s="211"/>
      <c r="G530" s="233"/>
      <c r="I530" s="11"/>
      <c r="M530" s="8"/>
      <c r="N530" s="8"/>
      <c r="O530" s="8"/>
      <c r="P530" s="8"/>
      <c r="R530" s="15"/>
      <c r="S530" s="14"/>
      <c r="T530" s="14"/>
      <c r="U530" s="14"/>
      <c r="V530" s="14"/>
      <c r="W530" s="315"/>
      <c r="X530" s="14"/>
      <c r="Y530" s="3125"/>
      <c r="Z530" s="3125"/>
      <c r="AA530" s="3125"/>
      <c r="AB530" s="3125"/>
      <c r="AC530" s="3125"/>
      <c r="AD530" s="3125"/>
      <c r="AE530" s="3125"/>
      <c r="AF530" s="3125"/>
      <c r="AG530" s="3125"/>
      <c r="AH530" s="3125"/>
      <c r="AI530" s="3125"/>
      <c r="AJ530" s="3125"/>
      <c r="AK530" s="3125"/>
      <c r="AL530" s="3125"/>
      <c r="AM530" s="3125"/>
      <c r="AN530" s="3125"/>
      <c r="AO530" s="3125"/>
      <c r="AP530" s="3125"/>
      <c r="AQ530" s="3125"/>
      <c r="AR530" s="3125"/>
    </row>
    <row r="531" spans="1:44" ht="17.25" customHeight="1" x14ac:dyDescent="0.2">
      <c r="A531" s="212"/>
      <c r="C531" s="211"/>
      <c r="G531" s="233"/>
      <c r="I531" s="11"/>
      <c r="M531" s="8"/>
      <c r="N531" s="8"/>
      <c r="O531" s="8"/>
      <c r="P531" s="8"/>
      <c r="R531" s="15"/>
      <c r="S531" s="14"/>
      <c r="T531" s="14"/>
      <c r="U531" s="14"/>
      <c r="V531" s="14"/>
      <c r="W531" s="315"/>
      <c r="X531" s="14"/>
      <c r="Y531" s="42"/>
      <c r="Z531" s="42"/>
      <c r="AA531" s="42"/>
      <c r="AB531" s="42"/>
      <c r="AC531" s="42"/>
      <c r="AD531" s="42"/>
      <c r="AE531" s="42"/>
      <c r="AF531" s="42"/>
      <c r="AG531" s="42"/>
      <c r="AH531" s="42"/>
      <c r="AI531" s="42"/>
      <c r="AJ531" s="42"/>
      <c r="AK531" s="42"/>
      <c r="AL531" s="42"/>
      <c r="AM531" s="42"/>
      <c r="AN531" s="42"/>
      <c r="AO531" s="42"/>
      <c r="AP531" s="42"/>
      <c r="AQ531" s="42"/>
      <c r="AR531" s="42"/>
    </row>
    <row r="532" spans="1:44" ht="17.25" customHeight="1" x14ac:dyDescent="0.2">
      <c r="A532" s="308" t="s">
        <v>22</v>
      </c>
      <c r="C532" s="211"/>
      <c r="G532" s="233"/>
      <c r="I532" s="11"/>
      <c r="M532" s="8"/>
      <c r="N532" s="8"/>
      <c r="O532" s="8"/>
      <c r="P532" s="8"/>
      <c r="R532" s="15"/>
      <c r="S532" s="14"/>
      <c r="T532" s="14"/>
      <c r="U532" s="14"/>
      <c r="V532" s="14"/>
      <c r="W532" s="315"/>
      <c r="X532" s="14"/>
      <c r="Y532" s="42"/>
      <c r="Z532" s="42"/>
      <c r="AA532" s="42"/>
      <c r="AB532" s="42"/>
      <c r="AC532" s="42"/>
      <c r="AD532" s="42"/>
      <c r="AE532" s="42"/>
      <c r="AF532" s="42"/>
      <c r="AG532" s="42"/>
      <c r="AH532" s="42"/>
      <c r="AI532" s="42"/>
      <c r="AJ532" s="42"/>
      <c r="AK532" s="42"/>
      <c r="AL532" s="42"/>
      <c r="AM532" s="42"/>
      <c r="AN532" s="42"/>
      <c r="AO532" s="42"/>
      <c r="AP532" s="42"/>
      <c r="AQ532" s="42"/>
      <c r="AR532" s="42"/>
    </row>
    <row r="533" spans="1:44" ht="17.25" customHeight="1" x14ac:dyDescent="0.2">
      <c r="A533" s="2554" t="s">
        <v>23</v>
      </c>
      <c r="C533" s="211"/>
      <c r="G533" s="233"/>
      <c r="I533" s="11"/>
      <c r="M533" s="8"/>
      <c r="N533" s="8"/>
      <c r="O533" s="8"/>
      <c r="P533" s="8"/>
      <c r="R533" s="15"/>
      <c r="S533" s="14"/>
      <c r="T533" s="14"/>
      <c r="U533" s="14"/>
      <c r="V533" s="14"/>
      <c r="W533" s="315"/>
      <c r="X533" s="14"/>
      <c r="Y533" s="42"/>
      <c r="Z533" s="42"/>
      <c r="AA533" s="42"/>
      <c r="AB533" s="42"/>
      <c r="AC533" s="42"/>
      <c r="AD533" s="42"/>
      <c r="AE533" s="42"/>
      <c r="AF533" s="42"/>
      <c r="AG533" s="42"/>
      <c r="AH533" s="42"/>
      <c r="AI533" s="42"/>
      <c r="AJ533" s="42"/>
      <c r="AK533" s="42"/>
      <c r="AL533" s="42"/>
      <c r="AM533" s="42"/>
      <c r="AN533" s="42"/>
      <c r="AO533" s="42"/>
      <c r="AP533" s="42"/>
      <c r="AQ533" s="42"/>
      <c r="AR533" s="42"/>
    </row>
    <row r="534" spans="1:44" ht="17.25" customHeight="1" x14ac:dyDescent="0.2">
      <c r="A534" s="2554" t="s">
        <v>70</v>
      </c>
      <c r="C534" s="211"/>
      <c r="G534" s="233"/>
      <c r="I534" s="11"/>
      <c r="M534" s="8"/>
      <c r="N534" s="8"/>
      <c r="O534" s="8"/>
      <c r="P534" s="8"/>
      <c r="R534" s="15"/>
      <c r="S534" s="14"/>
      <c r="T534" s="14"/>
      <c r="U534" s="14"/>
      <c r="V534" s="14"/>
      <c r="W534" s="315"/>
      <c r="X534" s="14"/>
      <c r="Y534" s="42"/>
      <c r="Z534" s="42"/>
      <c r="AA534" s="42"/>
      <c r="AB534" s="42"/>
      <c r="AC534" s="42"/>
      <c r="AD534" s="42"/>
      <c r="AE534" s="42"/>
      <c r="AF534" s="42"/>
      <c r="AG534" s="42"/>
      <c r="AH534" s="42"/>
      <c r="AI534" s="42"/>
      <c r="AJ534" s="42"/>
      <c r="AK534" s="42"/>
      <c r="AL534" s="42"/>
      <c r="AM534" s="42"/>
      <c r="AN534" s="42"/>
      <c r="AO534" s="42"/>
      <c r="AP534" s="42"/>
      <c r="AQ534" s="42"/>
      <c r="AR534" s="42"/>
    </row>
    <row r="535" spans="1:44" ht="17.25" customHeight="1" x14ac:dyDescent="0.2">
      <c r="A535" s="2554" t="s">
        <v>5734</v>
      </c>
      <c r="C535" s="211"/>
      <c r="G535" s="233"/>
      <c r="I535" s="11"/>
      <c r="M535" s="8"/>
      <c r="N535" s="8"/>
      <c r="O535" s="8"/>
      <c r="P535" s="8"/>
      <c r="R535" s="15"/>
      <c r="S535" s="14"/>
      <c r="T535" s="14"/>
      <c r="U535" s="14"/>
      <c r="V535" s="14"/>
      <c r="W535" s="315"/>
      <c r="X535" s="14"/>
      <c r="Y535" s="42"/>
      <c r="Z535" s="42"/>
      <c r="AA535" s="42"/>
      <c r="AB535" s="42"/>
      <c r="AC535" s="42"/>
      <c r="AD535" s="42"/>
      <c r="AE535" s="42"/>
      <c r="AF535" s="42"/>
      <c r="AG535" s="42"/>
      <c r="AH535" s="42"/>
      <c r="AI535" s="42"/>
      <c r="AJ535" s="42"/>
      <c r="AK535" s="42"/>
      <c r="AL535" s="42"/>
      <c r="AM535" s="42"/>
      <c r="AN535" s="42"/>
      <c r="AO535" s="42"/>
      <c r="AP535" s="42"/>
      <c r="AQ535" s="42"/>
      <c r="AR535" s="42"/>
    </row>
    <row r="536" spans="1:44" ht="17.25" customHeight="1" x14ac:dyDescent="0.2">
      <c r="A536" s="2554" t="s">
        <v>5735</v>
      </c>
      <c r="C536" s="211"/>
      <c r="G536" s="233"/>
      <c r="I536" s="11"/>
      <c r="M536" s="8"/>
      <c r="N536" s="8"/>
      <c r="O536" s="8"/>
      <c r="P536" s="8"/>
      <c r="R536" s="15"/>
      <c r="S536" s="14"/>
      <c r="T536" s="14"/>
      <c r="U536" s="14"/>
      <c r="V536" s="14"/>
      <c r="W536" s="315"/>
      <c r="X536" s="14"/>
      <c r="Y536" s="42"/>
      <c r="Z536" s="42"/>
      <c r="AA536" s="42"/>
      <c r="AB536" s="42"/>
      <c r="AC536" s="42"/>
      <c r="AD536" s="42"/>
      <c r="AE536" s="42"/>
      <c r="AF536" s="42"/>
      <c r="AG536" s="42"/>
      <c r="AH536" s="42"/>
      <c r="AI536" s="42"/>
      <c r="AJ536" s="42"/>
      <c r="AK536" s="42"/>
      <c r="AL536" s="42"/>
      <c r="AM536" s="42"/>
      <c r="AN536" s="42"/>
      <c r="AO536" s="42"/>
      <c r="AP536" s="42"/>
      <c r="AQ536" s="42"/>
      <c r="AR536" s="42"/>
    </row>
    <row r="537" spans="1:44" ht="17.25" customHeight="1" x14ac:dyDescent="0.2">
      <c r="A537" s="847" t="s">
        <v>5683</v>
      </c>
      <c r="D537" s="223"/>
      <c r="G537" s="1180"/>
      <c r="I537" s="11"/>
      <c r="M537" s="8"/>
      <c r="N537" s="8"/>
      <c r="O537" s="8"/>
      <c r="P537" s="8"/>
      <c r="R537" s="15"/>
      <c r="S537" s="14"/>
      <c r="T537" s="14"/>
      <c r="U537" s="14"/>
      <c r="V537" s="14"/>
      <c r="W537" s="315"/>
      <c r="X537" s="14"/>
      <c r="Y537" s="42"/>
      <c r="Z537" s="42"/>
      <c r="AA537" s="42"/>
      <c r="AB537" s="42"/>
      <c r="AC537" s="42"/>
      <c r="AD537" s="42"/>
      <c r="AE537" s="42"/>
      <c r="AF537" s="42"/>
      <c r="AG537" s="42"/>
      <c r="AH537" s="42"/>
      <c r="AI537" s="42"/>
      <c r="AJ537" s="42"/>
      <c r="AK537" s="42"/>
      <c r="AL537" s="42"/>
      <c r="AM537" s="42"/>
      <c r="AN537" s="42"/>
      <c r="AO537" s="42"/>
      <c r="AP537" s="42"/>
      <c r="AQ537" s="42"/>
      <c r="AR537" s="42"/>
    </row>
    <row r="538" spans="1:44" ht="18" customHeight="1" x14ac:dyDescent="0.25">
      <c r="A538" s="3007" t="s">
        <v>5642</v>
      </c>
      <c r="B538" s="2986"/>
      <c r="C538" s="2986"/>
      <c r="D538" s="2986"/>
      <c r="E538" s="2986"/>
      <c r="F538" s="2986"/>
      <c r="G538" s="2986"/>
      <c r="H538" s="2986"/>
      <c r="I538" s="2986"/>
      <c r="J538" s="222"/>
      <c r="K538" s="8"/>
      <c r="M538" s="14"/>
      <c r="Q538" s="14"/>
      <c r="R538" s="15"/>
      <c r="S538" s="14"/>
      <c r="T538" s="14"/>
      <c r="U538" s="14"/>
      <c r="V538" s="14"/>
      <c r="W538" s="315"/>
      <c r="X538" s="14"/>
      <c r="Y538" s="3125"/>
      <c r="Z538" s="3125"/>
      <c r="AA538" s="3125"/>
      <c r="AB538" s="3125"/>
      <c r="AC538" s="3125"/>
      <c r="AD538" s="3125"/>
      <c r="AE538" s="3125"/>
      <c r="AF538" s="3125"/>
      <c r="AG538" s="3125"/>
      <c r="AH538" s="3125"/>
      <c r="AI538" s="3125"/>
      <c r="AJ538" s="3125"/>
      <c r="AK538" s="3125"/>
      <c r="AL538" s="3125"/>
      <c r="AM538" s="3125"/>
      <c r="AN538" s="3125"/>
      <c r="AO538" s="3125"/>
      <c r="AP538" s="3125"/>
      <c r="AQ538" s="3125"/>
      <c r="AR538" s="3125"/>
    </row>
    <row r="539" spans="1:44" ht="111.75" customHeight="1" x14ac:dyDescent="0.2">
      <c r="A539" s="2987" t="s">
        <v>5488</v>
      </c>
      <c r="B539" s="2988" t="s">
        <v>3449</v>
      </c>
      <c r="C539" s="2988" t="s">
        <v>3450</v>
      </c>
      <c r="D539" s="2988" t="s">
        <v>5643</v>
      </c>
      <c r="E539" s="2988" t="s">
        <v>5644</v>
      </c>
      <c r="F539" s="2988" t="s">
        <v>5645</v>
      </c>
      <c r="G539" s="2988" t="s">
        <v>5646</v>
      </c>
      <c r="H539" s="2988" t="s">
        <v>5647</v>
      </c>
      <c r="I539" s="2988" t="s">
        <v>5648</v>
      </c>
      <c r="J539" s="2988" t="s">
        <v>5649</v>
      </c>
      <c r="K539" s="2988" t="s">
        <v>3662</v>
      </c>
      <c r="L539" s="2987" t="s">
        <v>5656</v>
      </c>
      <c r="M539" s="2987" t="s">
        <v>5657</v>
      </c>
      <c r="N539" s="2927" t="s">
        <v>5650</v>
      </c>
      <c r="O539" s="2987" t="s">
        <v>5682</v>
      </c>
      <c r="Q539" s="14"/>
      <c r="R539" s="15"/>
      <c r="S539" s="14"/>
      <c r="T539" s="14"/>
      <c r="U539" s="14"/>
      <c r="V539" s="14"/>
      <c r="W539" s="315"/>
      <c r="X539" s="14"/>
      <c r="Y539" s="3125"/>
      <c r="Z539" s="3125"/>
      <c r="AA539" s="3125"/>
      <c r="AB539" s="3125"/>
      <c r="AC539" s="3125"/>
      <c r="AD539" s="3125"/>
      <c r="AE539" s="3125"/>
      <c r="AF539" s="3125"/>
      <c r="AG539" s="3125"/>
      <c r="AH539" s="3125"/>
      <c r="AI539" s="3125"/>
      <c r="AJ539" s="3125"/>
      <c r="AK539" s="3125"/>
      <c r="AL539" s="3125"/>
      <c r="AM539" s="3125"/>
      <c r="AN539" s="3125"/>
      <c r="AO539" s="3125"/>
      <c r="AP539" s="3125"/>
      <c r="AQ539" s="3125"/>
      <c r="AR539" s="3125"/>
    </row>
    <row r="540" spans="1:44" ht="18" customHeight="1" x14ac:dyDescent="0.25">
      <c r="A540" s="2990" t="s">
        <v>5617</v>
      </c>
      <c r="B540" s="2990">
        <v>0.85</v>
      </c>
      <c r="C540" s="2990">
        <v>1.3</v>
      </c>
      <c r="D540" s="2990">
        <v>5.5</v>
      </c>
      <c r="E540" s="2990">
        <v>3.3</v>
      </c>
      <c r="F540" s="2990">
        <v>330</v>
      </c>
      <c r="G540" s="2990">
        <v>5</v>
      </c>
      <c r="H540" s="2990">
        <v>200</v>
      </c>
      <c r="I540" s="2990">
        <v>5870</v>
      </c>
      <c r="J540" s="2990">
        <v>630</v>
      </c>
      <c r="K540" s="2990">
        <v>14.8</v>
      </c>
      <c r="L540" s="2027">
        <v>0.63</v>
      </c>
      <c r="M540" s="2990">
        <v>0.8</v>
      </c>
      <c r="N540" s="71">
        <v>2</v>
      </c>
      <c r="O540" s="3006">
        <v>1</v>
      </c>
      <c r="Q540" s="14"/>
      <c r="R540" s="15"/>
      <c r="S540" s="14"/>
      <c r="T540" s="14"/>
      <c r="U540" s="14"/>
      <c r="V540" s="14"/>
      <c r="W540" s="315"/>
      <c r="X540" s="14"/>
      <c r="Y540" s="3125"/>
      <c r="Z540" s="3125"/>
      <c r="AA540" s="3125"/>
      <c r="AB540" s="3125"/>
      <c r="AC540" s="3125"/>
      <c r="AD540" s="3125"/>
      <c r="AE540" s="3125"/>
      <c r="AF540" s="3125"/>
      <c r="AG540" s="3125"/>
      <c r="AH540" s="3125"/>
      <c r="AI540" s="3125"/>
      <c r="AJ540" s="3125"/>
      <c r="AK540" s="3125"/>
      <c r="AL540" s="3125"/>
      <c r="AM540" s="3125"/>
      <c r="AN540" s="3125"/>
      <c r="AO540" s="3125"/>
      <c r="AP540" s="3125"/>
      <c r="AQ540" s="3125"/>
      <c r="AR540" s="3125"/>
    </row>
    <row r="541" spans="1:44" ht="18" customHeight="1" x14ac:dyDescent="0.25">
      <c r="A541" s="2990" t="s">
        <v>5620</v>
      </c>
      <c r="B541" s="2990">
        <v>0.85</v>
      </c>
      <c r="C541" s="2990">
        <v>1.6</v>
      </c>
      <c r="D541" s="2990">
        <v>6</v>
      </c>
      <c r="E541" s="2990">
        <v>4</v>
      </c>
      <c r="F541" s="2990">
        <v>510</v>
      </c>
      <c r="G541" s="2990">
        <v>5</v>
      </c>
      <c r="H541" s="2990">
        <v>250</v>
      </c>
      <c r="I541" s="2990">
        <v>5880</v>
      </c>
      <c r="J541" s="2990">
        <v>625</v>
      </c>
      <c r="K541" s="2990">
        <v>16.5</v>
      </c>
      <c r="L541" s="2027">
        <v>0.63</v>
      </c>
      <c r="M541" s="2990">
        <v>0.63</v>
      </c>
      <c r="N541" s="71">
        <v>2</v>
      </c>
      <c r="O541" s="3006">
        <v>2</v>
      </c>
      <c r="Q541" s="14"/>
      <c r="R541" s="15"/>
      <c r="S541" s="14"/>
      <c r="T541" s="14"/>
      <c r="U541" s="14"/>
      <c r="V541" s="14"/>
      <c r="W541" s="315"/>
      <c r="X541" s="14"/>
      <c r="Y541" s="3125"/>
      <c r="Z541" s="3125"/>
      <c r="AA541" s="3125"/>
      <c r="AB541" s="3125"/>
      <c r="AC541" s="3125"/>
      <c r="AD541" s="3125"/>
      <c r="AE541" s="3125"/>
      <c r="AF541" s="3125"/>
      <c r="AG541" s="3125"/>
      <c r="AH541" s="3125"/>
      <c r="AI541" s="3125"/>
      <c r="AJ541" s="3125"/>
      <c r="AK541" s="3125"/>
      <c r="AL541" s="3125"/>
      <c r="AM541" s="3125"/>
      <c r="AN541" s="3125"/>
      <c r="AO541" s="3125"/>
      <c r="AP541" s="3125"/>
      <c r="AQ541" s="3125"/>
      <c r="AR541" s="3125"/>
    </row>
    <row r="542" spans="1:44" ht="18" customHeight="1" x14ac:dyDescent="0.25">
      <c r="A542" s="2990" t="s">
        <v>5615</v>
      </c>
      <c r="B542" s="2990">
        <v>0.85</v>
      </c>
      <c r="C542" s="2991">
        <v>1.5</v>
      </c>
      <c r="D542" s="2990">
        <v>10</v>
      </c>
      <c r="E542" s="2990">
        <v>4.5</v>
      </c>
      <c r="F542" s="2990">
        <v>420</v>
      </c>
      <c r="G542" s="2990">
        <v>12</v>
      </c>
      <c r="H542" s="2990">
        <v>300</v>
      </c>
      <c r="I542" s="2990">
        <v>7440</v>
      </c>
      <c r="J542" s="2990">
        <v>705</v>
      </c>
      <c r="K542" s="2990">
        <v>21</v>
      </c>
      <c r="L542" s="2027">
        <v>0.7</v>
      </c>
      <c r="M542" s="2990">
        <v>0.7</v>
      </c>
      <c r="N542" s="71">
        <v>2</v>
      </c>
      <c r="O542" s="3006">
        <v>3</v>
      </c>
      <c r="Q542" s="14"/>
      <c r="R542" s="15"/>
      <c r="S542" s="14"/>
      <c r="T542" s="14"/>
      <c r="U542" s="14"/>
      <c r="V542" s="14"/>
      <c r="W542" s="315"/>
      <c r="X542" s="14"/>
      <c r="Y542" s="3125"/>
      <c r="Z542" s="3125"/>
      <c r="AA542" s="3125"/>
      <c r="AB542" s="3125"/>
      <c r="AC542" s="3125"/>
      <c r="AD542" s="3125"/>
      <c r="AE542" s="3125"/>
      <c r="AF542" s="3125"/>
      <c r="AG542" s="3125"/>
      <c r="AH542" s="3125"/>
      <c r="AI542" s="3125"/>
      <c r="AJ542" s="3125"/>
      <c r="AK542" s="3125"/>
      <c r="AL542" s="3125"/>
      <c r="AM542" s="3125"/>
      <c r="AN542" s="3125"/>
      <c r="AO542" s="3125"/>
      <c r="AP542" s="3125"/>
      <c r="AQ542" s="3125"/>
      <c r="AR542" s="3125"/>
    </row>
    <row r="543" spans="1:44" ht="18" customHeight="1" x14ac:dyDescent="0.25">
      <c r="A543" s="2990" t="s">
        <v>5616</v>
      </c>
      <c r="B543" s="2990">
        <v>0.85</v>
      </c>
      <c r="C543" s="2990">
        <v>1.5</v>
      </c>
      <c r="D543" s="2990">
        <v>12</v>
      </c>
      <c r="E543" s="2990">
        <v>5</v>
      </c>
      <c r="F543" s="2990">
        <v>460</v>
      </c>
      <c r="G543" s="2990">
        <v>12</v>
      </c>
      <c r="H543" s="2990">
        <v>300</v>
      </c>
      <c r="I543" s="2990">
        <v>7650</v>
      </c>
      <c r="J543" s="2990">
        <v>560</v>
      </c>
      <c r="K543" s="2990">
        <v>21</v>
      </c>
      <c r="L543" s="2027">
        <v>0.7</v>
      </c>
      <c r="M543" s="2990">
        <v>0.8</v>
      </c>
      <c r="N543" s="71">
        <v>2</v>
      </c>
      <c r="O543" s="3006">
        <v>4</v>
      </c>
      <c r="Q543" s="14"/>
      <c r="R543" s="15"/>
      <c r="S543" s="14"/>
      <c r="T543" s="14"/>
      <c r="U543" s="14"/>
      <c r="V543" s="14"/>
      <c r="W543" s="315"/>
      <c r="X543" s="14"/>
      <c r="Y543" s="3125"/>
      <c r="Z543" s="3125"/>
      <c r="AA543" s="3125"/>
      <c r="AB543" s="3125"/>
      <c r="AC543" s="3125"/>
      <c r="AD543" s="3125"/>
      <c r="AE543" s="3125"/>
      <c r="AF543" s="3125"/>
      <c r="AG543" s="3125"/>
      <c r="AH543" s="3125"/>
      <c r="AI543" s="3125"/>
      <c r="AJ543" s="3125"/>
      <c r="AK543" s="3125"/>
      <c r="AL543" s="3125"/>
      <c r="AM543" s="3125"/>
      <c r="AN543" s="3125"/>
      <c r="AO543" s="3125"/>
      <c r="AP543" s="3125"/>
      <c r="AQ543" s="3125"/>
      <c r="AR543" s="3125"/>
    </row>
    <row r="544" spans="1:44" ht="18" customHeight="1" x14ac:dyDescent="0.25">
      <c r="A544" s="2990" t="s">
        <v>3478</v>
      </c>
      <c r="B544" s="2990">
        <v>0.85</v>
      </c>
      <c r="C544" s="2990">
        <v>1.2</v>
      </c>
      <c r="D544" s="2990">
        <v>3.3</v>
      </c>
      <c r="E544" s="2990">
        <v>2.2000000000000002</v>
      </c>
      <c r="F544" s="2990">
        <v>290</v>
      </c>
      <c r="G544" s="2990">
        <v>5</v>
      </c>
      <c r="H544" s="2990">
        <v>200</v>
      </c>
      <c r="I544" s="2990">
        <v>3530</v>
      </c>
      <c r="J544" s="2990">
        <v>536</v>
      </c>
      <c r="K544" s="2990">
        <v>12.33</v>
      </c>
      <c r="L544" s="2027">
        <v>0.8</v>
      </c>
      <c r="M544" s="2990">
        <v>0.8</v>
      </c>
      <c r="N544" s="71">
        <v>2</v>
      </c>
      <c r="O544" s="3006">
        <v>5</v>
      </c>
      <c r="Q544" s="14"/>
      <c r="R544" s="15"/>
      <c r="S544" s="14"/>
      <c r="T544" s="14"/>
      <c r="U544" s="14"/>
      <c r="V544" s="14"/>
      <c r="W544" s="315"/>
      <c r="X544" s="14"/>
      <c r="Y544" s="3125"/>
      <c r="Z544" s="3125"/>
      <c r="AA544" s="3125"/>
      <c r="AB544" s="3125"/>
      <c r="AC544" s="3125"/>
      <c r="AD544" s="3125"/>
      <c r="AE544" s="3125"/>
      <c r="AF544" s="3125"/>
      <c r="AG544" s="3125"/>
      <c r="AH544" s="3125"/>
      <c r="AI544" s="3125"/>
      <c r="AJ544" s="3125"/>
      <c r="AK544" s="3125"/>
      <c r="AL544" s="3125"/>
      <c r="AM544" s="3125"/>
      <c r="AN544" s="3125"/>
      <c r="AO544" s="3125"/>
      <c r="AP544" s="3125"/>
      <c r="AQ544" s="3125"/>
      <c r="AR544" s="3125"/>
    </row>
    <row r="545" spans="1:44" ht="18" customHeight="1" x14ac:dyDescent="0.25">
      <c r="A545" s="2990" t="s">
        <v>5614</v>
      </c>
      <c r="B545" s="2990">
        <v>0.85</v>
      </c>
      <c r="C545" s="2990">
        <v>1.2</v>
      </c>
      <c r="D545" s="2990">
        <v>3.3</v>
      </c>
      <c r="E545" s="2990">
        <v>2.2000000000000002</v>
      </c>
      <c r="F545" s="2990">
        <v>290</v>
      </c>
      <c r="G545" s="2990">
        <v>5</v>
      </c>
      <c r="H545" s="2990">
        <v>200</v>
      </c>
      <c r="I545" s="2990">
        <v>3730</v>
      </c>
      <c r="J545" s="2990">
        <v>546</v>
      </c>
      <c r="K545" s="2990">
        <v>12.85</v>
      </c>
      <c r="L545" s="2027">
        <v>0.8</v>
      </c>
      <c r="M545" s="2990">
        <v>0.8</v>
      </c>
      <c r="N545" s="71">
        <v>2</v>
      </c>
      <c r="O545" s="3006">
        <v>6</v>
      </c>
      <c r="Q545" s="14"/>
      <c r="R545" s="15"/>
      <c r="S545" s="14"/>
      <c r="T545" s="14"/>
      <c r="U545" s="14"/>
      <c r="V545" s="14"/>
      <c r="W545" s="315"/>
      <c r="X545" s="14"/>
      <c r="Y545" s="3125"/>
      <c r="Z545" s="3125"/>
      <c r="AA545" s="3125"/>
      <c r="AB545" s="3125"/>
      <c r="AC545" s="3125"/>
      <c r="AD545" s="3125"/>
      <c r="AE545" s="3125"/>
      <c r="AF545" s="3125"/>
      <c r="AG545" s="3125"/>
      <c r="AH545" s="3125"/>
      <c r="AI545" s="3125"/>
      <c r="AJ545" s="3125"/>
      <c r="AK545" s="3125"/>
      <c r="AL545" s="3125"/>
      <c r="AM545" s="3125"/>
      <c r="AN545" s="3125"/>
      <c r="AO545" s="3125"/>
      <c r="AP545" s="3125"/>
      <c r="AQ545" s="3125"/>
      <c r="AR545" s="3125"/>
    </row>
    <row r="546" spans="1:44" ht="18" customHeight="1" x14ac:dyDescent="0.25">
      <c r="A546" s="2990" t="s">
        <v>3480</v>
      </c>
      <c r="B546" s="2990">
        <v>1.1499999999999999</v>
      </c>
      <c r="C546" s="2990">
        <v>1.3</v>
      </c>
      <c r="D546" s="2990">
        <v>3</v>
      </c>
      <c r="E546" s="2990">
        <v>1.8</v>
      </c>
      <c r="F546" s="2990">
        <v>230</v>
      </c>
      <c r="G546" s="2990">
        <v>4.5</v>
      </c>
      <c r="H546" s="2990">
        <v>250</v>
      </c>
      <c r="I546" s="2990">
        <v>1450</v>
      </c>
      <c r="J546" s="2990">
        <v>750</v>
      </c>
      <c r="K546" s="2990">
        <v>10.35</v>
      </c>
      <c r="L546" s="2027">
        <v>0.63</v>
      </c>
      <c r="M546" s="2990">
        <v>0.8</v>
      </c>
      <c r="N546" s="71">
        <v>1</v>
      </c>
      <c r="O546" s="3006">
        <v>7</v>
      </c>
      <c r="Q546" s="14"/>
      <c r="R546" s="15"/>
      <c r="S546" s="14"/>
      <c r="T546" s="14"/>
      <c r="U546" s="14"/>
      <c r="V546" s="14"/>
      <c r="W546" s="315"/>
      <c r="X546" s="14"/>
      <c r="Y546" s="3125"/>
      <c r="Z546" s="3125"/>
      <c r="AA546" s="3125"/>
      <c r="AB546" s="3125"/>
      <c r="AC546" s="3125"/>
      <c r="AD546" s="3125"/>
      <c r="AE546" s="3125"/>
      <c r="AF546" s="3125"/>
      <c r="AG546" s="3125"/>
      <c r="AH546" s="3125"/>
      <c r="AI546" s="3125"/>
      <c r="AJ546" s="3125"/>
      <c r="AK546" s="3125"/>
      <c r="AL546" s="3125"/>
      <c r="AM546" s="3125"/>
      <c r="AN546" s="3125"/>
      <c r="AO546" s="3125"/>
      <c r="AP546" s="3125"/>
      <c r="AQ546" s="3125"/>
      <c r="AR546" s="3125"/>
    </row>
    <row r="547" spans="1:44" ht="18" customHeight="1" x14ac:dyDescent="0.25">
      <c r="A547" s="2990" t="s">
        <v>3483</v>
      </c>
      <c r="B547" s="2990">
        <v>1.25</v>
      </c>
      <c r="C547" s="2990">
        <v>2.5</v>
      </c>
      <c r="D547" s="2990">
        <v>5</v>
      </c>
      <c r="E547" s="2990">
        <v>4.3</v>
      </c>
      <c r="F547" s="2990">
        <v>300</v>
      </c>
      <c r="G547" s="2990">
        <v>4.4000000000000004</v>
      </c>
      <c r="H547" s="2990">
        <v>250</v>
      </c>
      <c r="I547" s="2990">
        <v>9600</v>
      </c>
      <c r="J547" s="2990">
        <v>950</v>
      </c>
      <c r="K547" s="2990">
        <v>19.100000000000001</v>
      </c>
      <c r="L547" s="2027">
        <v>0.63</v>
      </c>
      <c r="M547" s="2990">
        <v>0.8</v>
      </c>
      <c r="N547" s="71">
        <v>2</v>
      </c>
      <c r="O547" s="3006">
        <v>8</v>
      </c>
      <c r="Q547" s="14"/>
      <c r="R547" s="15"/>
      <c r="S547" s="14"/>
      <c r="T547" s="14"/>
      <c r="U547" s="14"/>
      <c r="V547" s="14"/>
      <c r="W547" s="315"/>
      <c r="X547" s="14"/>
      <c r="Y547" s="3125"/>
      <c r="Z547" s="3125"/>
      <c r="AA547" s="3125"/>
      <c r="AB547" s="3125"/>
      <c r="AC547" s="3125"/>
      <c r="AD547" s="3125"/>
      <c r="AE547" s="3125"/>
      <c r="AF547" s="3125"/>
      <c r="AG547" s="3125"/>
      <c r="AH547" s="3125"/>
      <c r="AI547" s="3125"/>
      <c r="AJ547" s="3125"/>
      <c r="AK547" s="3125"/>
      <c r="AL547" s="3125"/>
      <c r="AM547" s="3125"/>
      <c r="AN547" s="3125"/>
      <c r="AO547" s="3125"/>
      <c r="AP547" s="3125"/>
      <c r="AQ547" s="3125"/>
      <c r="AR547" s="3125"/>
    </row>
    <row r="548" spans="1:44" ht="18" customHeight="1" x14ac:dyDescent="0.25">
      <c r="A548" s="2990" t="s">
        <v>2776</v>
      </c>
      <c r="B548" s="2990">
        <v>1.4</v>
      </c>
      <c r="C548" s="2990">
        <v>2.5</v>
      </c>
      <c r="D548" s="2990">
        <v>5</v>
      </c>
      <c r="E548" s="2990">
        <v>4.3</v>
      </c>
      <c r="F548" s="2990">
        <v>370</v>
      </c>
      <c r="G548" s="2990">
        <v>6</v>
      </c>
      <c r="H548" s="2990">
        <v>300</v>
      </c>
      <c r="I548" s="2990">
        <v>8820</v>
      </c>
      <c r="J548" s="2990">
        <v>950</v>
      </c>
      <c r="K548" s="2990">
        <v>21</v>
      </c>
      <c r="L548" s="2027">
        <v>0.63</v>
      </c>
      <c r="M548" s="2990">
        <v>0.8</v>
      </c>
      <c r="N548" s="71">
        <v>2</v>
      </c>
      <c r="O548" s="3006">
        <v>9</v>
      </c>
      <c r="Q548" s="14"/>
      <c r="R548" s="15"/>
      <c r="S548" s="14"/>
      <c r="T548" s="14"/>
      <c r="U548" s="14"/>
      <c r="V548" s="14"/>
      <c r="W548" s="315"/>
      <c r="X548" s="14"/>
      <c r="Y548" s="3125"/>
      <c r="Z548" s="3125"/>
      <c r="AA548" s="3125"/>
      <c r="AB548" s="3125"/>
      <c r="AC548" s="3125"/>
      <c r="AD548" s="3125"/>
      <c r="AE548" s="3125"/>
      <c r="AF548" s="3125"/>
      <c r="AG548" s="3125"/>
      <c r="AH548" s="3125"/>
      <c r="AI548" s="3125"/>
      <c r="AJ548" s="3125"/>
      <c r="AK548" s="3125"/>
      <c r="AL548" s="3125"/>
      <c r="AM548" s="3125"/>
      <c r="AN548" s="3125"/>
      <c r="AO548" s="3125"/>
      <c r="AP548" s="3125"/>
      <c r="AQ548" s="3125"/>
      <c r="AR548" s="3125"/>
    </row>
    <row r="549" spans="1:44" ht="18" customHeight="1" x14ac:dyDescent="0.25">
      <c r="A549" s="2990" t="s">
        <v>3482</v>
      </c>
      <c r="B549" s="2990">
        <v>1.35</v>
      </c>
      <c r="C549" s="2990">
        <v>2.5</v>
      </c>
      <c r="D549" s="2990">
        <v>7</v>
      </c>
      <c r="E549" s="2990">
        <v>5</v>
      </c>
      <c r="F549" s="2990">
        <v>400</v>
      </c>
      <c r="G549" s="2990">
        <v>10</v>
      </c>
      <c r="H549" s="2990">
        <v>250</v>
      </c>
      <c r="I549" s="2990">
        <v>6570</v>
      </c>
      <c r="J549" s="2990">
        <v>800</v>
      </c>
      <c r="K549" s="2990">
        <v>1.89</v>
      </c>
      <c r="L549" s="2027">
        <v>0.63</v>
      </c>
      <c r="M549" s="2990">
        <v>0.8</v>
      </c>
      <c r="N549" s="71">
        <v>2</v>
      </c>
      <c r="O549" s="3006">
        <v>10</v>
      </c>
      <c r="Q549" s="14"/>
      <c r="R549" s="15"/>
      <c r="S549" s="14"/>
      <c r="T549" s="14"/>
      <c r="U549" s="14"/>
      <c r="V549" s="14"/>
      <c r="W549" s="315"/>
      <c r="X549" s="14"/>
      <c r="Y549" s="3125"/>
      <c r="Z549" s="3125"/>
      <c r="AA549" s="3125"/>
      <c r="AB549" s="3125"/>
      <c r="AC549" s="3125"/>
      <c r="AD549" s="3125"/>
      <c r="AE549" s="3125"/>
      <c r="AF549" s="3125"/>
      <c r="AG549" s="3125"/>
      <c r="AH549" s="3125"/>
      <c r="AI549" s="3125"/>
      <c r="AJ549" s="3125"/>
      <c r="AK549" s="3125"/>
      <c r="AL549" s="3125"/>
      <c r="AM549" s="3125"/>
      <c r="AN549" s="3125"/>
      <c r="AO549" s="3125"/>
      <c r="AP549" s="3125"/>
      <c r="AQ549" s="3125"/>
      <c r="AR549" s="3125"/>
    </row>
    <row r="550" spans="1:44" ht="18" customHeight="1" x14ac:dyDescent="0.25">
      <c r="A550" s="2990" t="s">
        <v>658</v>
      </c>
      <c r="B550" s="2990">
        <v>1.35</v>
      </c>
      <c r="C550" s="2990">
        <v>2.6</v>
      </c>
      <c r="D550" s="2990">
        <v>7</v>
      </c>
      <c r="E550" s="2990">
        <v>5</v>
      </c>
      <c r="F550" s="2990">
        <v>400</v>
      </c>
      <c r="G550" s="2990">
        <v>10</v>
      </c>
      <c r="H550" s="2990">
        <v>250</v>
      </c>
      <c r="I550" s="2990">
        <v>6570</v>
      </c>
      <c r="J550" s="2990">
        <v>950</v>
      </c>
      <c r="K550" s="2990">
        <v>23.85</v>
      </c>
      <c r="L550" s="2027">
        <v>0.63</v>
      </c>
      <c r="M550" s="2990">
        <v>0.63</v>
      </c>
      <c r="N550" s="71">
        <v>2</v>
      </c>
      <c r="O550" s="3006">
        <v>11</v>
      </c>
      <c r="Q550" s="14"/>
      <c r="R550" s="15"/>
      <c r="S550" s="14"/>
      <c r="T550" s="14"/>
      <c r="U550" s="14"/>
      <c r="V550" s="14"/>
      <c r="W550" s="315"/>
      <c r="X550" s="14"/>
      <c r="Y550" s="3125"/>
      <c r="Z550" s="3125"/>
      <c r="AA550" s="3125"/>
      <c r="AB550" s="3125"/>
      <c r="AC550" s="3125"/>
      <c r="AD550" s="3125"/>
      <c r="AE550" s="3125"/>
      <c r="AF550" s="3125"/>
      <c r="AG550" s="3125"/>
      <c r="AH550" s="3125"/>
      <c r="AI550" s="3125"/>
      <c r="AJ550" s="3125"/>
      <c r="AK550" s="3125"/>
      <c r="AL550" s="3125"/>
      <c r="AM550" s="3125"/>
      <c r="AN550" s="3125"/>
      <c r="AO550" s="3125"/>
      <c r="AP550" s="3125"/>
      <c r="AQ550" s="3125"/>
      <c r="AR550" s="3125"/>
    </row>
    <row r="551" spans="1:44" ht="18" customHeight="1" x14ac:dyDescent="0.25">
      <c r="A551" s="2990" t="s">
        <v>5622</v>
      </c>
      <c r="B551" s="2990">
        <v>1.1000000000000001</v>
      </c>
      <c r="C551" s="2990">
        <v>2.1</v>
      </c>
      <c r="D551" s="2990">
        <v>11</v>
      </c>
      <c r="E551" s="2990">
        <v>7</v>
      </c>
      <c r="F551" s="2990">
        <v>467</v>
      </c>
      <c r="G551" s="2990">
        <v>14</v>
      </c>
      <c r="H551" s="2990">
        <v>360</v>
      </c>
      <c r="I551" s="2990">
        <v>7200</v>
      </c>
      <c r="J551" s="2990">
        <v>770</v>
      </c>
      <c r="K551" s="2990">
        <v>21.5</v>
      </c>
      <c r="L551" s="2027">
        <v>0.63</v>
      </c>
      <c r="M551" s="2990">
        <v>0.8</v>
      </c>
      <c r="N551" s="71">
        <v>2</v>
      </c>
      <c r="O551" s="3006">
        <v>12</v>
      </c>
      <c r="Q551" s="14"/>
      <c r="R551" s="15"/>
      <c r="S551" s="14"/>
      <c r="T551" s="14"/>
      <c r="U551" s="14"/>
      <c r="V551" s="14"/>
      <c r="W551" s="315"/>
      <c r="X551" s="14"/>
      <c r="Y551" s="3125"/>
      <c r="Z551" s="3125"/>
      <c r="AA551" s="3125"/>
      <c r="AB551" s="3125"/>
      <c r="AC551" s="3125"/>
      <c r="AD551" s="3125"/>
      <c r="AE551" s="3125"/>
      <c r="AF551" s="3125"/>
      <c r="AG551" s="3125"/>
      <c r="AH551" s="3125"/>
      <c r="AI551" s="3125"/>
      <c r="AJ551" s="3125"/>
      <c r="AK551" s="3125"/>
      <c r="AL551" s="3125"/>
      <c r="AM551" s="3125"/>
      <c r="AN551" s="3125"/>
      <c r="AO551" s="3125"/>
      <c r="AP551" s="3125"/>
      <c r="AQ551" s="3125"/>
      <c r="AR551" s="3125"/>
    </row>
    <row r="552" spans="1:44" ht="18" customHeight="1" x14ac:dyDescent="0.25">
      <c r="A552" s="2990" t="s">
        <v>5624</v>
      </c>
      <c r="B552" s="2990">
        <v>1.35</v>
      </c>
      <c r="C552" s="2990">
        <v>3.2</v>
      </c>
      <c r="D552" s="2990">
        <v>18</v>
      </c>
      <c r="E552" s="2990">
        <v>8</v>
      </c>
      <c r="F552" s="2990">
        <v>697</v>
      </c>
      <c r="G552" s="2990">
        <v>20</v>
      </c>
      <c r="H552" s="2990">
        <v>450</v>
      </c>
      <c r="I552" s="2990">
        <v>8620</v>
      </c>
      <c r="J552" s="2990">
        <v>1150</v>
      </c>
      <c r="K552" s="2990">
        <v>33.5</v>
      </c>
      <c r="L552" s="2027">
        <v>0.8</v>
      </c>
      <c r="M552" s="2990">
        <v>0.8</v>
      </c>
      <c r="N552" s="71">
        <v>2</v>
      </c>
      <c r="O552" s="3006">
        <v>13</v>
      </c>
      <c r="Q552" s="14"/>
      <c r="R552" s="15"/>
      <c r="S552" s="14"/>
      <c r="T552" s="14"/>
      <c r="U552" s="14"/>
      <c r="V552" s="14"/>
      <c r="W552" s="315"/>
      <c r="X552" s="14"/>
      <c r="Y552" s="3125"/>
      <c r="Z552" s="3125"/>
      <c r="AA552" s="3125"/>
      <c r="AB552" s="3125"/>
      <c r="AC552" s="3125"/>
      <c r="AD552" s="3125"/>
      <c r="AE552" s="3125"/>
      <c r="AF552" s="3125"/>
      <c r="AG552" s="3125"/>
      <c r="AH552" s="3125"/>
      <c r="AI552" s="3125"/>
      <c r="AJ552" s="3125"/>
      <c r="AK552" s="3125"/>
      <c r="AL552" s="3125"/>
      <c r="AM552" s="3125"/>
      <c r="AN552" s="3125"/>
      <c r="AO552" s="3125"/>
      <c r="AP552" s="3125"/>
      <c r="AQ552" s="3125"/>
      <c r="AR552" s="3125"/>
    </row>
    <row r="553" spans="1:44" ht="18" customHeight="1" x14ac:dyDescent="0.25">
      <c r="A553" s="2990" t="s">
        <v>5655</v>
      </c>
      <c r="B553" s="2990">
        <v>1.35</v>
      </c>
      <c r="C553" s="2990">
        <v>3.2</v>
      </c>
      <c r="D553" s="2990">
        <v>18</v>
      </c>
      <c r="E553" s="2990">
        <v>8</v>
      </c>
      <c r="F553" s="2990">
        <v>697</v>
      </c>
      <c r="G553" s="2990">
        <v>20</v>
      </c>
      <c r="H553" s="2990">
        <v>450</v>
      </c>
      <c r="I553" s="2990">
        <v>9420</v>
      </c>
      <c r="J553" s="2990">
        <v>1150</v>
      </c>
      <c r="K553" s="2990">
        <v>34.5</v>
      </c>
      <c r="L553" s="2027">
        <v>0.8</v>
      </c>
      <c r="M553" s="2990">
        <v>0.8</v>
      </c>
      <c r="N553" s="71">
        <v>2</v>
      </c>
      <c r="O553" s="3006">
        <v>14</v>
      </c>
      <c r="Q553" s="14"/>
      <c r="R553" s="15"/>
      <c r="S553" s="14"/>
      <c r="T553" s="14"/>
      <c r="U553" s="14"/>
      <c r="V553" s="14"/>
      <c r="W553" s="315"/>
      <c r="X553" s="14"/>
      <c r="Y553" s="3125"/>
      <c r="Z553" s="3125"/>
      <c r="AA553" s="3125"/>
      <c r="AB553" s="3125"/>
      <c r="AC553" s="3125"/>
      <c r="AD553" s="3125"/>
      <c r="AE553" s="3125"/>
      <c r="AF553" s="3125"/>
      <c r="AG553" s="3125"/>
      <c r="AH553" s="3125"/>
      <c r="AI553" s="3125"/>
      <c r="AJ553" s="3125"/>
      <c r="AK553" s="3125"/>
      <c r="AL553" s="3125"/>
      <c r="AM553" s="3125"/>
      <c r="AN553" s="3125"/>
      <c r="AO553" s="3125"/>
      <c r="AP553" s="3125"/>
      <c r="AQ553" s="3125"/>
      <c r="AR553" s="3125"/>
    </row>
    <row r="554" spans="1:44" ht="17.25" customHeight="1" x14ac:dyDescent="0.2">
      <c r="A554" s="847"/>
      <c r="D554" s="3127"/>
      <c r="G554" s="1180"/>
      <c r="I554" s="11"/>
      <c r="M554" s="8"/>
      <c r="N554" s="8"/>
      <c r="O554" s="8"/>
      <c r="P554" s="8"/>
      <c r="R554" s="15"/>
      <c r="S554" s="14"/>
      <c r="T554" s="14"/>
      <c r="U554" s="14"/>
      <c r="V554" s="14"/>
      <c r="W554" s="315"/>
      <c r="X554" s="14"/>
      <c r="Y554" s="3125"/>
      <c r="Z554" s="3125"/>
      <c r="AA554" s="3125"/>
      <c r="AB554" s="3125"/>
      <c r="AC554" s="3125"/>
      <c r="AD554" s="3125"/>
      <c r="AE554" s="3125"/>
      <c r="AF554" s="3125"/>
      <c r="AG554" s="3125"/>
      <c r="AH554" s="3125"/>
      <c r="AI554" s="3125"/>
      <c r="AJ554" s="3125"/>
      <c r="AK554" s="3125"/>
      <c r="AL554" s="3125"/>
      <c r="AM554" s="3125"/>
      <c r="AN554" s="3125"/>
      <c r="AO554" s="3125"/>
      <c r="AP554" s="3125"/>
      <c r="AQ554" s="3125"/>
      <c r="AR554" s="3125"/>
    </row>
    <row r="555" spans="1:44" ht="17.25" customHeight="1" x14ac:dyDescent="0.25">
      <c r="A555" s="825" t="s">
        <v>6432</v>
      </c>
      <c r="D555" s="3127"/>
      <c r="F555" s="3061"/>
      <c r="G555" s="1180"/>
      <c r="I555" s="11"/>
      <c r="M555" s="8"/>
      <c r="N555" s="8"/>
      <c r="O555" s="8"/>
      <c r="P555" s="8"/>
      <c r="R555" s="15"/>
      <c r="S555" s="14"/>
      <c r="T555" s="14"/>
      <c r="U555" s="14"/>
      <c r="V555" s="14"/>
      <c r="W555" s="315"/>
      <c r="X555" s="14"/>
      <c r="Y555" s="3125"/>
      <c r="Z555" s="3125"/>
      <c r="AA555" s="3125"/>
      <c r="AB555" s="3125"/>
      <c r="AC555" s="3125"/>
      <c r="AD555" s="3125"/>
      <c r="AE555" s="3125"/>
      <c r="AF555" s="3125"/>
      <c r="AG555" s="3125"/>
      <c r="AH555" s="3125"/>
      <c r="AI555" s="3125"/>
      <c r="AJ555" s="3125"/>
      <c r="AK555" s="3125"/>
      <c r="AL555" s="3125"/>
      <c r="AM555" s="3125"/>
      <c r="AN555" s="3125"/>
      <c r="AO555" s="3125"/>
      <c r="AP555" s="3125"/>
      <c r="AQ555" s="3125"/>
      <c r="AR555" s="3125"/>
    </row>
    <row r="556" spans="1:44" ht="17.25" customHeight="1" x14ac:dyDescent="0.3">
      <c r="A556" s="3071" t="s">
        <v>6433</v>
      </c>
      <c r="D556" s="3127"/>
      <c r="G556" s="1180"/>
      <c r="I556" s="11"/>
      <c r="M556" s="8"/>
      <c r="N556" s="8"/>
      <c r="O556" s="8"/>
      <c r="P556" s="8"/>
      <c r="R556" s="15"/>
      <c r="S556" s="14"/>
      <c r="T556" s="14"/>
      <c r="U556" s="14"/>
      <c r="V556" s="14"/>
      <c r="W556" s="315"/>
      <c r="X556" s="14"/>
      <c r="Y556" s="3125"/>
      <c r="Z556" s="3125"/>
      <c r="AA556" s="3125"/>
      <c r="AB556" s="3125"/>
      <c r="AC556" s="3125"/>
      <c r="AD556" s="3125"/>
      <c r="AE556" s="3125"/>
      <c r="AF556" s="3125"/>
      <c r="AG556" s="3125"/>
      <c r="AH556" s="3125"/>
      <c r="AI556" s="3125"/>
      <c r="AJ556" s="3125"/>
      <c r="AK556" s="3125"/>
      <c r="AL556" s="3125"/>
      <c r="AM556" s="3125"/>
      <c r="AN556" s="3125"/>
      <c r="AO556" s="3125"/>
      <c r="AP556" s="3125"/>
      <c r="AQ556" s="3125"/>
      <c r="AR556" s="3125"/>
    </row>
    <row r="557" spans="1:44" ht="113.25" customHeight="1" x14ac:dyDescent="0.3">
      <c r="A557" s="3071"/>
      <c r="C557" s="2988" t="s">
        <v>5644</v>
      </c>
      <c r="D557" s="2988" t="s">
        <v>5646</v>
      </c>
      <c r="E557" s="2988" t="s">
        <v>3662</v>
      </c>
      <c r="F557" s="3925" t="s">
        <v>5650</v>
      </c>
      <c r="G557" s="2987" t="s">
        <v>5744</v>
      </c>
      <c r="H557" s="2987" t="s">
        <v>5745</v>
      </c>
      <c r="I557" s="11"/>
      <c r="M557" s="8"/>
      <c r="N557" s="8"/>
      <c r="O557" s="8"/>
      <c r="P557" s="8"/>
      <c r="R557" s="15"/>
      <c r="S557" s="14"/>
      <c r="T557" s="14"/>
      <c r="U557" s="14"/>
      <c r="V557" s="14"/>
      <c r="W557" s="315"/>
      <c r="X557" s="14"/>
      <c r="Y557" s="3125"/>
      <c r="Z557" s="3125"/>
      <c r="AA557" s="3125"/>
      <c r="AB557" s="3125"/>
      <c r="AC557" s="3125"/>
      <c r="AD557" s="3125"/>
      <c r="AE557" s="3125"/>
      <c r="AF557" s="3125"/>
      <c r="AG557" s="3125"/>
      <c r="AH557" s="3125"/>
      <c r="AI557" s="3125"/>
      <c r="AJ557" s="3125"/>
      <c r="AK557" s="3125"/>
      <c r="AL557" s="3125"/>
      <c r="AM557" s="3125"/>
      <c r="AN557" s="3125"/>
      <c r="AO557" s="3125"/>
      <c r="AP557" s="3125"/>
      <c r="AQ557" s="3125"/>
      <c r="AR557" s="3125"/>
    </row>
    <row r="558" spans="1:44" ht="17.25" customHeight="1" x14ac:dyDescent="0.25">
      <c r="A558" s="1392" t="s">
        <v>5731</v>
      </c>
      <c r="B558" s="3061"/>
      <c r="C558" s="2992" t="e">
        <f>INDEX($E$540:$E$553,B559)</f>
        <v>#VALUE!</v>
      </c>
      <c r="D558" s="3926" t="e">
        <f>INDEX($G$540:$G$553,B559)</f>
        <v>#VALUE!</v>
      </c>
      <c r="E558" s="2992" t="e">
        <f>INDEX($K$540:$K$553,B559)</f>
        <v>#VALUE!</v>
      </c>
      <c r="F558" s="2992" t="e">
        <f>INDEX($N$540:$N$553,B559)</f>
        <v>#VALUE!</v>
      </c>
      <c r="G558" s="3927" t="e">
        <f>INDEX($L$540:$L$553,B559)</f>
        <v>#VALUE!</v>
      </c>
      <c r="H558" s="2992" t="e">
        <f>INDEX($M$540:$M$553,B559)</f>
        <v>#VALUE!</v>
      </c>
      <c r="I558" s="11"/>
      <c r="M558" s="8"/>
      <c r="N558" s="8"/>
      <c r="O558" s="8"/>
      <c r="P558" s="8"/>
      <c r="R558" s="15"/>
      <c r="S558" s="14"/>
      <c r="T558" s="14"/>
      <c r="U558" s="14"/>
      <c r="V558" s="14"/>
      <c r="W558" s="315"/>
      <c r="X558" s="14"/>
      <c r="Y558" s="3125"/>
      <c r="Z558" s="3125"/>
      <c r="AA558" s="3125"/>
      <c r="AB558" s="3125"/>
      <c r="AC558" s="3125"/>
      <c r="AD558" s="3125"/>
      <c r="AE558" s="3125"/>
      <c r="AF558" s="3125"/>
      <c r="AG558" s="3125"/>
      <c r="AH558" s="3125"/>
      <c r="AI558" s="3125"/>
      <c r="AJ558" s="3125"/>
      <c r="AK558" s="3125"/>
      <c r="AL558" s="3125"/>
      <c r="AM558" s="3125"/>
      <c r="AN558" s="3125"/>
      <c r="AO558" s="3125"/>
      <c r="AP558" s="3125"/>
      <c r="AQ558" s="3125"/>
      <c r="AR558" s="3125"/>
    </row>
    <row r="559" spans="1:44" ht="17.25" customHeight="1" x14ac:dyDescent="0.25">
      <c r="A559" s="1392" t="s">
        <v>5732</v>
      </c>
      <c r="B559" s="3061"/>
      <c r="C559" s="2992"/>
      <c r="D559" s="3926"/>
      <c r="E559" s="2992"/>
      <c r="F559" s="2992"/>
      <c r="G559" s="3927"/>
      <c r="H559" s="2992"/>
      <c r="I559" s="11"/>
      <c r="M559" s="8"/>
      <c r="N559" s="8"/>
      <c r="O559" s="8"/>
      <c r="P559" s="8"/>
      <c r="R559" s="15"/>
      <c r="S559" s="14"/>
      <c r="T559" s="14"/>
      <c r="U559" s="14"/>
      <c r="V559" s="14"/>
      <c r="W559" s="315"/>
      <c r="X559" s="14"/>
      <c r="Y559" s="3125"/>
      <c r="Z559" s="3125"/>
      <c r="AA559" s="3125"/>
      <c r="AB559" s="3125"/>
      <c r="AC559" s="3125"/>
      <c r="AD559" s="3125"/>
      <c r="AE559" s="3125"/>
      <c r="AF559" s="3125"/>
      <c r="AG559" s="3125"/>
      <c r="AH559" s="3125"/>
      <c r="AI559" s="3125"/>
      <c r="AJ559" s="3125"/>
      <c r="AK559" s="3125"/>
      <c r="AL559" s="3125"/>
      <c r="AM559" s="3125"/>
      <c r="AN559" s="3125"/>
      <c r="AO559" s="3125"/>
      <c r="AP559" s="3125"/>
      <c r="AQ559" s="3125"/>
      <c r="AR559" s="3125"/>
    </row>
    <row r="560" spans="1:44" ht="17.25" customHeight="1" x14ac:dyDescent="0.25">
      <c r="A560" s="1392" t="str">
        <f>IF(F555,"2-ой возможный тип комбайна","")</f>
        <v/>
      </c>
      <c r="B560" s="3061"/>
      <c r="C560" s="2992" t="e">
        <f t="shared" ref="C560:C568" si="38">INDEX($E$540:$E$553,B561)</f>
        <v>#VALUE!</v>
      </c>
      <c r="D560" s="3926" t="e">
        <f t="shared" ref="D560:D568" si="39">INDEX($G$540:$G$553,B561)</f>
        <v>#VALUE!</v>
      </c>
      <c r="E560" s="2992" t="e">
        <f t="shared" ref="E560:E568" si="40">INDEX($K$540:$K$553,B561)</f>
        <v>#VALUE!</v>
      </c>
      <c r="F560" s="2992" t="e">
        <f t="shared" ref="F560:F568" si="41">INDEX($N$540:$N$553,B561)</f>
        <v>#VALUE!</v>
      </c>
      <c r="G560" s="3927" t="e">
        <f t="shared" ref="G560:G568" si="42">INDEX($L$540:$L$553,B561)</f>
        <v>#VALUE!</v>
      </c>
      <c r="H560" s="2992" t="e">
        <f t="shared" ref="H560:H568" si="43">INDEX($M$540:$M$553,B561)</f>
        <v>#VALUE!</v>
      </c>
      <c r="I560" s="11"/>
      <c r="M560" s="8"/>
      <c r="N560" s="8"/>
      <c r="O560" s="8"/>
      <c r="P560" s="8"/>
      <c r="R560" s="15"/>
      <c r="S560" s="14"/>
      <c r="T560" s="14"/>
      <c r="U560" s="14"/>
      <c r="V560" s="14"/>
      <c r="W560" s="315"/>
      <c r="X560" s="14"/>
      <c r="Y560" s="3125"/>
      <c r="Z560" s="3125"/>
      <c r="AA560" s="3125"/>
      <c r="AB560" s="3125"/>
      <c r="AC560" s="3125"/>
      <c r="AD560" s="3125"/>
      <c r="AE560" s="3125"/>
      <c r="AF560" s="3125"/>
      <c r="AG560" s="3125"/>
      <c r="AH560" s="3125"/>
      <c r="AI560" s="3125"/>
      <c r="AJ560" s="3125"/>
      <c r="AK560" s="3125"/>
      <c r="AL560" s="3125"/>
      <c r="AM560" s="3125"/>
      <c r="AN560" s="3125"/>
      <c r="AO560" s="3125"/>
      <c r="AP560" s="3125"/>
      <c r="AQ560" s="3125"/>
      <c r="AR560" s="3125"/>
    </row>
    <row r="561" spans="1:44" ht="17.25" customHeight="1" x14ac:dyDescent="0.25">
      <c r="A561" s="1392" t="str">
        <f>IF(F555&gt;1,"Его номер в таблице комбайнов","")</f>
        <v/>
      </c>
      <c r="B561" s="3061"/>
      <c r="C561" s="2992"/>
      <c r="D561" s="3926"/>
      <c r="E561" s="2992"/>
      <c r="F561" s="2992"/>
      <c r="G561" s="3927"/>
      <c r="H561" s="2992"/>
      <c r="I561" s="11"/>
      <c r="M561" s="8"/>
      <c r="N561" s="8"/>
      <c r="O561" s="8"/>
      <c r="P561" s="8"/>
      <c r="R561" s="15"/>
      <c r="S561" s="14"/>
      <c r="T561" s="14"/>
      <c r="U561" s="14"/>
      <c r="V561" s="14"/>
      <c r="W561" s="315"/>
      <c r="X561" s="14"/>
      <c r="Y561" s="3125"/>
      <c r="Z561" s="3125"/>
      <c r="AA561" s="3125"/>
      <c r="AB561" s="3125"/>
      <c r="AC561" s="3125"/>
      <c r="AD561" s="3125"/>
      <c r="AE561" s="3125"/>
      <c r="AF561" s="3125"/>
      <c r="AG561" s="3125"/>
      <c r="AH561" s="3125"/>
      <c r="AI561" s="3125"/>
      <c r="AJ561" s="3125"/>
      <c r="AK561" s="3125"/>
      <c r="AL561" s="3125"/>
      <c r="AM561" s="3125"/>
      <c r="AN561" s="3125"/>
      <c r="AO561" s="3125"/>
      <c r="AP561" s="3125"/>
      <c r="AQ561" s="3125"/>
      <c r="AR561" s="3125"/>
    </row>
    <row r="562" spans="1:44" ht="17.25" customHeight="1" x14ac:dyDescent="0.25">
      <c r="A562" s="1392" t="str">
        <f>IF(F555&gt;2,"3-ий возможный тип комбайна","")</f>
        <v/>
      </c>
      <c r="B562" s="3061"/>
      <c r="C562" s="2992" t="e">
        <f t="shared" si="38"/>
        <v>#VALUE!</v>
      </c>
      <c r="D562" s="3926" t="e">
        <f t="shared" si="39"/>
        <v>#VALUE!</v>
      </c>
      <c r="E562" s="2992" t="e">
        <f t="shared" si="40"/>
        <v>#VALUE!</v>
      </c>
      <c r="F562" s="2992" t="e">
        <f t="shared" si="41"/>
        <v>#VALUE!</v>
      </c>
      <c r="G562" s="3927" t="e">
        <f t="shared" si="42"/>
        <v>#VALUE!</v>
      </c>
      <c r="H562" s="2992" t="e">
        <f t="shared" si="43"/>
        <v>#VALUE!</v>
      </c>
      <c r="I562" s="11"/>
      <c r="M562" s="8"/>
      <c r="N562" s="8"/>
      <c r="O562" s="8"/>
      <c r="P562" s="8"/>
      <c r="R562" s="15"/>
      <c r="S562" s="14"/>
      <c r="T562" s="14"/>
      <c r="U562" s="14"/>
      <c r="V562" s="14"/>
      <c r="W562" s="315"/>
      <c r="X562" s="14"/>
      <c r="Y562" s="3125"/>
      <c r="Z562" s="3125"/>
      <c r="AA562" s="3125"/>
      <c r="AB562" s="3125"/>
      <c r="AC562" s="3125"/>
      <c r="AD562" s="3125"/>
      <c r="AE562" s="3125"/>
      <c r="AF562" s="3125"/>
      <c r="AG562" s="3125"/>
      <c r="AH562" s="3125"/>
      <c r="AI562" s="3125"/>
      <c r="AJ562" s="3125"/>
      <c r="AK562" s="3125"/>
      <c r="AL562" s="3125"/>
      <c r="AM562" s="3125"/>
      <c r="AN562" s="3125"/>
      <c r="AO562" s="3125"/>
      <c r="AP562" s="3125"/>
      <c r="AQ562" s="3125"/>
      <c r="AR562" s="3125"/>
    </row>
    <row r="563" spans="1:44" ht="17.25" customHeight="1" x14ac:dyDescent="0.25">
      <c r="A563" s="1392" t="str">
        <f>IF(F555&gt;2,"Его номер в таблице комбайнов","")</f>
        <v/>
      </c>
      <c r="B563" s="3061"/>
      <c r="C563" s="2992"/>
      <c r="D563" s="3926"/>
      <c r="E563" s="2992"/>
      <c r="F563" s="2992"/>
      <c r="G563" s="3927"/>
      <c r="H563" s="2992"/>
      <c r="I563" s="11"/>
      <c r="M563" s="8"/>
      <c r="N563" s="8"/>
      <c r="O563" s="8"/>
      <c r="P563" s="8"/>
      <c r="R563" s="15"/>
      <c r="S563" s="14"/>
      <c r="T563" s="14"/>
      <c r="U563" s="14"/>
      <c r="V563" s="14"/>
      <c r="W563" s="315"/>
      <c r="X563" s="14"/>
      <c r="Y563" s="3125"/>
      <c r="Z563" s="3125"/>
      <c r="AA563" s="3125"/>
      <c r="AB563" s="3125"/>
      <c r="AC563" s="3125"/>
      <c r="AD563" s="3125"/>
      <c r="AE563" s="3125"/>
      <c r="AF563" s="3125"/>
      <c r="AG563" s="3125"/>
      <c r="AH563" s="3125"/>
      <c r="AI563" s="3125"/>
      <c r="AJ563" s="3125"/>
      <c r="AK563" s="3125"/>
      <c r="AL563" s="3125"/>
      <c r="AM563" s="3125"/>
      <c r="AN563" s="3125"/>
      <c r="AO563" s="3125"/>
      <c r="AP563" s="3125"/>
      <c r="AQ563" s="3125"/>
      <c r="AR563" s="3125"/>
    </row>
    <row r="564" spans="1:44" ht="17.25" customHeight="1" x14ac:dyDescent="0.2">
      <c r="A564" s="2027" t="str">
        <f>IF(F555&gt;3,"4-ый возможный тип кмбайна","")</f>
        <v/>
      </c>
      <c r="B564" s="3061"/>
      <c r="C564" s="2992" t="e">
        <f t="shared" si="38"/>
        <v>#VALUE!</v>
      </c>
      <c r="D564" s="3926" t="e">
        <f t="shared" si="39"/>
        <v>#VALUE!</v>
      </c>
      <c r="E564" s="2992" t="e">
        <f t="shared" si="40"/>
        <v>#VALUE!</v>
      </c>
      <c r="F564" s="2992" t="e">
        <f t="shared" si="41"/>
        <v>#VALUE!</v>
      </c>
      <c r="G564" s="3927" t="e">
        <f t="shared" si="42"/>
        <v>#VALUE!</v>
      </c>
      <c r="H564" s="2992" t="e">
        <f t="shared" si="43"/>
        <v>#VALUE!</v>
      </c>
      <c r="I564" s="11"/>
      <c r="M564" s="8"/>
      <c r="N564" s="8"/>
      <c r="O564" s="8"/>
      <c r="P564" s="8"/>
      <c r="R564" s="15"/>
      <c r="S564" s="14"/>
      <c r="T564" s="14"/>
      <c r="U564" s="14"/>
      <c r="V564" s="14"/>
      <c r="W564" s="315"/>
      <c r="X564" s="14"/>
      <c r="Y564" s="3125"/>
      <c r="Z564" s="3125"/>
      <c r="AA564" s="3125"/>
      <c r="AB564" s="3125"/>
      <c r="AC564" s="3125"/>
      <c r="AD564" s="3125"/>
      <c r="AE564" s="3125"/>
      <c r="AF564" s="3125"/>
      <c r="AG564" s="3125"/>
      <c r="AH564" s="3125"/>
      <c r="AI564" s="3125"/>
      <c r="AJ564" s="3125"/>
      <c r="AK564" s="3125"/>
      <c r="AL564" s="3125"/>
      <c r="AM564" s="3125"/>
      <c r="AN564" s="3125"/>
      <c r="AO564" s="3125"/>
      <c r="AP564" s="3125"/>
      <c r="AQ564" s="3125"/>
      <c r="AR564" s="3125"/>
    </row>
    <row r="565" spans="1:44" ht="17.25" customHeight="1" x14ac:dyDescent="0.25">
      <c r="A565" s="1392" t="str">
        <f>IF(F555&gt;3,"Его номер в таблице комбайнов","")</f>
        <v/>
      </c>
      <c r="B565" s="3061"/>
      <c r="C565" s="2992"/>
      <c r="D565" s="3926"/>
      <c r="E565" s="2992"/>
      <c r="F565" s="2992"/>
      <c r="G565" s="3927"/>
      <c r="H565" s="2992"/>
      <c r="I565" s="11"/>
      <c r="M565" s="8"/>
      <c r="N565" s="8"/>
      <c r="O565" s="8"/>
      <c r="P565" s="8"/>
      <c r="R565" s="15"/>
      <c r="S565" s="14"/>
      <c r="T565" s="14"/>
      <c r="U565" s="14"/>
      <c r="V565" s="14"/>
      <c r="W565" s="315"/>
      <c r="X565" s="14"/>
      <c r="Y565" s="3125"/>
      <c r="Z565" s="3125"/>
      <c r="AA565" s="3125"/>
      <c r="AB565" s="3125"/>
      <c r="AC565" s="3125"/>
      <c r="AD565" s="3125"/>
      <c r="AE565" s="3125"/>
      <c r="AF565" s="3125"/>
      <c r="AG565" s="3125"/>
      <c r="AH565" s="3125"/>
      <c r="AI565" s="3125"/>
      <c r="AJ565" s="3125"/>
      <c r="AK565" s="3125"/>
      <c r="AL565" s="3125"/>
      <c r="AM565" s="3125"/>
      <c r="AN565" s="3125"/>
      <c r="AO565" s="3125"/>
      <c r="AP565" s="3125"/>
      <c r="AQ565" s="3125"/>
      <c r="AR565" s="3125"/>
    </row>
    <row r="566" spans="1:44" ht="17.25" customHeight="1" x14ac:dyDescent="0.25">
      <c r="A566" s="1392" t="str">
        <f>IF(F555&gt;4,"5-ый возможный тип комбайна","")</f>
        <v/>
      </c>
      <c r="B566" s="3061"/>
      <c r="C566" s="2992" t="e">
        <f t="shared" si="38"/>
        <v>#VALUE!</v>
      </c>
      <c r="D566" s="3926" t="e">
        <f t="shared" si="39"/>
        <v>#VALUE!</v>
      </c>
      <c r="E566" s="2992" t="e">
        <f t="shared" si="40"/>
        <v>#VALUE!</v>
      </c>
      <c r="F566" s="2992" t="e">
        <f t="shared" si="41"/>
        <v>#VALUE!</v>
      </c>
      <c r="G566" s="3927" t="e">
        <f t="shared" si="42"/>
        <v>#VALUE!</v>
      </c>
      <c r="H566" s="2992" t="e">
        <f t="shared" si="43"/>
        <v>#VALUE!</v>
      </c>
      <c r="I566" s="11"/>
      <c r="M566" s="8"/>
      <c r="N566" s="8"/>
      <c r="O566" s="8"/>
      <c r="P566" s="8"/>
      <c r="R566" s="15"/>
      <c r="S566" s="14"/>
      <c r="T566" s="14"/>
      <c r="U566" s="14"/>
      <c r="V566" s="14"/>
      <c r="W566" s="315"/>
      <c r="X566" s="14"/>
      <c r="Y566" s="3125"/>
      <c r="Z566" s="3125"/>
      <c r="AA566" s="3125"/>
      <c r="AB566" s="3125"/>
      <c r="AC566" s="3125"/>
      <c r="AD566" s="3125"/>
      <c r="AE566" s="3125"/>
      <c r="AF566" s="3125"/>
      <c r="AG566" s="3125"/>
      <c r="AH566" s="3125"/>
      <c r="AI566" s="3125"/>
      <c r="AJ566" s="3125"/>
      <c r="AK566" s="3125"/>
      <c r="AL566" s="3125"/>
      <c r="AM566" s="3125"/>
      <c r="AN566" s="3125"/>
      <c r="AO566" s="3125"/>
      <c r="AP566" s="3125"/>
      <c r="AQ566" s="3125"/>
      <c r="AR566" s="3125"/>
    </row>
    <row r="567" spans="1:44" ht="17.25" customHeight="1" x14ac:dyDescent="0.25">
      <c r="A567" s="1392" t="str">
        <f>IF(F555&gt;4,"Его номер в таблице комбайнов","")</f>
        <v/>
      </c>
      <c r="B567" s="3061"/>
      <c r="C567" s="2992"/>
      <c r="D567" s="3926"/>
      <c r="E567" s="2992"/>
      <c r="F567" s="2992"/>
      <c r="G567" s="3927"/>
      <c r="H567" s="2992"/>
      <c r="I567" s="11"/>
      <c r="M567" s="8"/>
      <c r="N567" s="8"/>
      <c r="O567" s="8"/>
      <c r="P567" s="8"/>
      <c r="R567" s="15"/>
      <c r="S567" s="14"/>
      <c r="T567" s="14"/>
      <c r="U567" s="14"/>
      <c r="V567" s="14"/>
      <c r="W567" s="315"/>
      <c r="X567" s="14"/>
      <c r="Y567" s="3125"/>
      <c r="Z567" s="3125"/>
      <c r="AA567" s="3125"/>
      <c r="AB567" s="3125"/>
      <c r="AC567" s="3125"/>
      <c r="AD567" s="3125"/>
      <c r="AE567" s="3125"/>
      <c r="AF567" s="3125"/>
      <c r="AG567" s="3125"/>
      <c r="AH567" s="3125"/>
      <c r="AI567" s="3125"/>
      <c r="AJ567" s="3125"/>
      <c r="AK567" s="3125"/>
      <c r="AL567" s="3125"/>
      <c r="AM567" s="3125"/>
      <c r="AN567" s="3125"/>
      <c r="AO567" s="3125"/>
      <c r="AP567" s="3125"/>
      <c r="AQ567" s="3125"/>
      <c r="AR567" s="3125"/>
    </row>
    <row r="568" spans="1:44" ht="17.25" customHeight="1" x14ac:dyDescent="0.25">
      <c r="A568" s="1392" t="str">
        <f>IF(F555&gt;5,"6-ый возможный тип комбайна","")</f>
        <v/>
      </c>
      <c r="B568" s="3061"/>
      <c r="C568" s="2992" t="e">
        <f t="shared" si="38"/>
        <v>#VALUE!</v>
      </c>
      <c r="D568" s="3926" t="e">
        <f t="shared" si="39"/>
        <v>#VALUE!</v>
      </c>
      <c r="E568" s="2992" t="e">
        <f t="shared" si="40"/>
        <v>#VALUE!</v>
      </c>
      <c r="F568" s="2992" t="e">
        <f t="shared" si="41"/>
        <v>#VALUE!</v>
      </c>
      <c r="G568" s="3927" t="e">
        <f t="shared" si="42"/>
        <v>#VALUE!</v>
      </c>
      <c r="H568" s="2992" t="e">
        <f t="shared" si="43"/>
        <v>#VALUE!</v>
      </c>
      <c r="I568" s="11"/>
      <c r="M568" s="8"/>
      <c r="N568" s="8"/>
      <c r="O568" s="8"/>
      <c r="P568" s="8"/>
      <c r="R568" s="15"/>
      <c r="S568" s="14"/>
      <c r="T568" s="14"/>
      <c r="U568" s="14"/>
      <c r="V568" s="14"/>
      <c r="W568" s="315"/>
      <c r="X568" s="14"/>
      <c r="Y568" s="3125"/>
      <c r="Z568" s="3125"/>
      <c r="AA568" s="3125"/>
      <c r="AB568" s="3125"/>
      <c r="AC568" s="3125"/>
      <c r="AD568" s="3125"/>
      <c r="AE568" s="3125"/>
      <c r="AF568" s="3125"/>
      <c r="AG568" s="3125"/>
      <c r="AH568" s="3125"/>
      <c r="AI568" s="3125"/>
      <c r="AJ568" s="3125"/>
      <c r="AK568" s="3125"/>
      <c r="AL568" s="3125"/>
      <c r="AM568" s="3125"/>
      <c r="AN568" s="3125"/>
      <c r="AO568" s="3125"/>
      <c r="AP568" s="3125"/>
      <c r="AQ568" s="3125"/>
      <c r="AR568" s="3125"/>
    </row>
    <row r="569" spans="1:44" ht="17.25" customHeight="1" x14ac:dyDescent="0.25">
      <c r="A569" s="1392" t="str">
        <f>IF(F555&gt;5,"Его номер в таблице комбайнов","")</f>
        <v/>
      </c>
      <c r="B569" s="3061"/>
      <c r="D569" s="3127"/>
      <c r="G569" s="1180"/>
      <c r="I569" s="11"/>
      <c r="M569" s="8"/>
      <c r="N569" s="8"/>
      <c r="O569" s="8"/>
      <c r="P569" s="8"/>
      <c r="R569" s="15"/>
      <c r="S569" s="14"/>
      <c r="T569" s="14"/>
      <c r="U569" s="14"/>
      <c r="V569" s="14"/>
      <c r="W569" s="315"/>
      <c r="X569" s="14"/>
      <c r="Y569" s="3125"/>
      <c r="Z569" s="3125"/>
      <c r="AA569" s="3125"/>
      <c r="AB569" s="3125"/>
      <c r="AC569" s="3125"/>
      <c r="AD569" s="3125"/>
      <c r="AE569" s="3125"/>
      <c r="AF569" s="3125"/>
      <c r="AG569" s="3125"/>
      <c r="AH569" s="3125"/>
      <c r="AI569" s="3125"/>
      <c r="AJ569" s="3125"/>
      <c r="AK569" s="3125"/>
      <c r="AL569" s="3125"/>
      <c r="AM569" s="3125"/>
      <c r="AN569" s="3125"/>
      <c r="AO569" s="3125"/>
      <c r="AP569" s="3125"/>
      <c r="AQ569" s="3125"/>
      <c r="AR569" s="3125"/>
    </row>
    <row r="570" spans="1:44" ht="17.25" customHeight="1" x14ac:dyDescent="0.2">
      <c r="A570" s="847"/>
      <c r="D570" s="3127"/>
      <c r="G570" s="1180"/>
      <c r="I570" s="11"/>
      <c r="M570" s="8"/>
      <c r="N570" s="8"/>
      <c r="O570" s="8"/>
      <c r="P570" s="8"/>
      <c r="R570" s="15"/>
      <c r="S570" s="14"/>
      <c r="T570" s="14"/>
      <c r="U570" s="14"/>
      <c r="V570" s="14"/>
      <c r="W570" s="315"/>
      <c r="X570" s="14"/>
      <c r="Y570" s="3125"/>
      <c r="Z570" s="3125"/>
      <c r="AA570" s="3125"/>
      <c r="AB570" s="3125"/>
      <c r="AC570" s="3125"/>
      <c r="AD570" s="3125"/>
      <c r="AE570" s="3125"/>
      <c r="AF570" s="3125"/>
      <c r="AG570" s="3125"/>
      <c r="AH570" s="3125"/>
      <c r="AI570" s="3125"/>
      <c r="AJ570" s="3125"/>
      <c r="AK570" s="3125"/>
      <c r="AL570" s="3125"/>
      <c r="AM570" s="3125"/>
      <c r="AN570" s="3125"/>
      <c r="AO570" s="3125"/>
      <c r="AP570" s="3125"/>
      <c r="AQ570" s="3125"/>
      <c r="AR570" s="3125"/>
    </row>
    <row r="571" spans="1:44" ht="17.25" customHeight="1" x14ac:dyDescent="0.25">
      <c r="A571" s="1090" t="s">
        <v>5736</v>
      </c>
      <c r="B571" s="3061"/>
      <c r="D571" s="3127"/>
      <c r="G571" s="1180"/>
      <c r="I571" s="11"/>
      <c r="M571" s="8"/>
      <c r="N571" s="8"/>
      <c r="O571" s="8"/>
      <c r="P571" s="8"/>
      <c r="R571" s="15"/>
      <c r="S571" s="14"/>
      <c r="T571" s="14"/>
      <c r="U571" s="14"/>
      <c r="V571" s="14"/>
      <c r="W571" s="315"/>
      <c r="X571" s="14"/>
      <c r="Y571" s="3125"/>
      <c r="Z571" s="3125"/>
      <c r="AA571" s="3125"/>
      <c r="AB571" s="3125"/>
      <c r="AC571" s="3125"/>
      <c r="AD571" s="3125"/>
      <c r="AE571" s="3125"/>
      <c r="AF571" s="3125"/>
      <c r="AG571" s="3125"/>
      <c r="AH571" s="3125"/>
      <c r="AI571" s="3125"/>
      <c r="AJ571" s="3125"/>
      <c r="AK571" s="3125"/>
      <c r="AL571" s="3125"/>
      <c r="AM571" s="3125"/>
      <c r="AN571" s="3125"/>
      <c r="AO571" s="3125"/>
      <c r="AP571" s="3125"/>
      <c r="AQ571" s="3125"/>
      <c r="AR571" s="3125"/>
    </row>
    <row r="572" spans="1:44" ht="17.25" customHeight="1" x14ac:dyDescent="0.25">
      <c r="A572" s="1090" t="s">
        <v>5737</v>
      </c>
      <c r="B572" s="4259"/>
      <c r="D572" s="3127"/>
      <c r="G572" s="1180"/>
      <c r="I572" s="11"/>
      <c r="M572" s="8"/>
      <c r="N572" s="8"/>
      <c r="O572" s="8"/>
      <c r="P572" s="8"/>
      <c r="R572" s="15"/>
      <c r="S572" s="14"/>
      <c r="T572" s="14"/>
      <c r="U572" s="14"/>
      <c r="V572" s="14"/>
      <c r="W572" s="315"/>
      <c r="X572" s="14"/>
      <c r="Y572" s="3125"/>
      <c r="Z572" s="3125"/>
      <c r="AA572" s="3125"/>
      <c r="AB572" s="3125"/>
      <c r="AC572" s="3125"/>
      <c r="AD572" s="3125"/>
      <c r="AE572" s="3125"/>
      <c r="AF572" s="3125"/>
      <c r="AG572" s="3125"/>
      <c r="AH572" s="3125"/>
      <c r="AI572" s="3125"/>
      <c r="AJ572" s="3125"/>
      <c r="AK572" s="3125"/>
      <c r="AL572" s="3125"/>
      <c r="AM572" s="3125"/>
      <c r="AN572" s="3125"/>
      <c r="AO572" s="3125"/>
      <c r="AP572" s="3125"/>
      <c r="AQ572" s="3125"/>
      <c r="AR572" s="3125"/>
    </row>
    <row r="573" spans="1:44" ht="60.75" customHeight="1" x14ac:dyDescent="0.25">
      <c r="A573" s="4267" t="s">
        <v>6818</v>
      </c>
      <c r="B573" s="4251" t="s">
        <v>6816</v>
      </c>
      <c r="C573" s="4165"/>
      <c r="D573" s="4268" t="s">
        <v>6817</v>
      </c>
      <c r="E573" s="4159"/>
      <c r="F573" s="4251" t="s">
        <v>6808</v>
      </c>
      <c r="G573" s="4269"/>
      <c r="H573" s="4251" t="s">
        <v>6809</v>
      </c>
      <c r="I573" s="4270"/>
      <c r="M573" s="8"/>
      <c r="N573" s="8"/>
      <c r="O573" s="8"/>
      <c r="P573" s="8"/>
      <c r="R573" s="15"/>
      <c r="S573" s="14"/>
      <c r="T573" s="14"/>
      <c r="U573" s="14"/>
      <c r="V573" s="14"/>
      <c r="W573" s="315"/>
      <c r="X573" s="14"/>
      <c r="Y573" s="3125"/>
      <c r="Z573" s="3125"/>
      <c r="AA573" s="3125"/>
      <c r="AB573" s="3125"/>
      <c r="AC573" s="3125"/>
      <c r="AD573" s="3125"/>
      <c r="AE573" s="3125"/>
      <c r="AF573" s="3125"/>
      <c r="AG573" s="3125"/>
      <c r="AH573" s="3125"/>
      <c r="AI573" s="3125"/>
      <c r="AJ573" s="3125"/>
      <c r="AK573" s="3125"/>
      <c r="AL573" s="3125"/>
      <c r="AM573" s="3125"/>
      <c r="AN573" s="3125"/>
      <c r="AO573" s="3125"/>
      <c r="AP573" s="3125"/>
      <c r="AQ573" s="3125"/>
      <c r="AR573" s="3125"/>
    </row>
    <row r="574" spans="1:44" ht="17.25" customHeight="1" x14ac:dyDescent="0.2">
      <c r="A574" s="308" t="s">
        <v>3438</v>
      </c>
      <c r="D574" s="3127"/>
      <c r="G574" s="1180"/>
      <c r="I574" s="11"/>
      <c r="M574" s="8"/>
      <c r="N574" s="8"/>
      <c r="O574" s="8"/>
      <c r="P574" s="8"/>
      <c r="R574" s="15"/>
      <c r="S574" s="14"/>
      <c r="T574" s="14"/>
      <c r="U574" s="14"/>
      <c r="V574" s="14"/>
      <c r="W574" s="315"/>
      <c r="X574" s="14"/>
      <c r="Y574" s="3125"/>
      <c r="Z574" s="3125"/>
      <c r="AA574" s="3125"/>
      <c r="AB574" s="3125"/>
      <c r="AC574" s="3125"/>
      <c r="AD574" s="3125"/>
      <c r="AE574" s="3125"/>
      <c r="AF574" s="3125"/>
      <c r="AG574" s="3125"/>
      <c r="AH574" s="3125"/>
      <c r="AI574" s="3125"/>
      <c r="AJ574" s="3125"/>
      <c r="AK574" s="3125"/>
      <c r="AL574" s="3125"/>
      <c r="AM574" s="3125"/>
      <c r="AN574" s="3125"/>
      <c r="AO574" s="3125"/>
      <c r="AP574" s="3125"/>
      <c r="AQ574" s="3125"/>
      <c r="AR574" s="3125"/>
    </row>
    <row r="575" spans="1:44" ht="17.25" customHeight="1" x14ac:dyDescent="0.2">
      <c r="A575" s="908" t="s">
        <v>622</v>
      </c>
      <c r="D575" s="3127"/>
      <c r="G575" s="1180"/>
      <c r="I575" s="11"/>
      <c r="M575" s="8"/>
      <c r="N575" s="8"/>
      <c r="O575" s="8"/>
      <c r="P575" s="8"/>
      <c r="R575" s="15"/>
      <c r="S575" s="14"/>
      <c r="T575" s="14"/>
      <c r="U575" s="14"/>
      <c r="V575" s="14"/>
      <c r="W575" s="315"/>
      <c r="X575" s="14"/>
      <c r="Y575" s="3125"/>
      <c r="Z575" s="3125"/>
      <c r="AA575" s="3125"/>
      <c r="AB575" s="3125"/>
      <c r="AC575" s="3125"/>
      <c r="AD575" s="3125"/>
      <c r="AE575" s="3125"/>
      <c r="AF575" s="3125"/>
      <c r="AG575" s="3125"/>
      <c r="AH575" s="3125"/>
      <c r="AI575" s="3125"/>
      <c r="AJ575" s="3125"/>
      <c r="AK575" s="3125"/>
      <c r="AL575" s="3125"/>
      <c r="AM575" s="3125"/>
      <c r="AN575" s="3125"/>
      <c r="AO575" s="3125"/>
      <c r="AP575" s="3125"/>
      <c r="AQ575" s="3125"/>
      <c r="AR575" s="3125"/>
    </row>
    <row r="576" spans="1:44" ht="17.25" customHeight="1" x14ac:dyDescent="0.2">
      <c r="A576" s="308" t="s">
        <v>5738</v>
      </c>
      <c r="D576" s="3127"/>
      <c r="G576" s="1180"/>
      <c r="I576" s="11"/>
      <c r="M576" s="8"/>
      <c r="N576" s="8"/>
      <c r="O576" s="8"/>
      <c r="P576" s="8"/>
      <c r="R576" s="15"/>
      <c r="S576" s="14"/>
      <c r="T576" s="14"/>
      <c r="U576" s="14"/>
      <c r="V576" s="14"/>
      <c r="W576" s="315"/>
      <c r="X576" s="14"/>
      <c r="Y576" s="3125"/>
      <c r="Z576" s="3125"/>
      <c r="AA576" s="3125"/>
      <c r="AB576" s="3125"/>
      <c r="AC576" s="3125"/>
      <c r="AD576" s="3125"/>
      <c r="AE576" s="3125"/>
      <c r="AF576" s="3125"/>
      <c r="AG576" s="3125"/>
      <c r="AH576" s="3125"/>
      <c r="AI576" s="3125"/>
      <c r="AJ576" s="3125"/>
      <c r="AK576" s="3125"/>
      <c r="AL576" s="3125"/>
      <c r="AM576" s="3125"/>
      <c r="AN576" s="3125"/>
      <c r="AO576" s="3125"/>
      <c r="AP576" s="3125"/>
      <c r="AQ576" s="3125"/>
      <c r="AR576" s="3125"/>
    </row>
    <row r="577" spans="1:44" ht="17.25" customHeight="1" x14ac:dyDescent="0.3">
      <c r="A577" s="14"/>
      <c r="B577" s="900" t="s">
        <v>5669</v>
      </c>
      <c r="C577" s="2647"/>
      <c r="D577" s="8"/>
      <c r="E577" s="8"/>
      <c r="F577" s="8"/>
      <c r="G577" s="8"/>
      <c r="I577" s="11"/>
      <c r="M577" s="8"/>
      <c r="N577" s="8"/>
      <c r="O577" s="8"/>
      <c r="P577" s="8"/>
      <c r="R577" s="15"/>
      <c r="S577" s="14"/>
      <c r="T577" s="14"/>
      <c r="U577" s="14"/>
      <c r="V577" s="14"/>
      <c r="W577" s="315"/>
      <c r="X577" s="14"/>
      <c r="Y577" s="3125"/>
      <c r="Z577" s="3125"/>
      <c r="AA577" s="3125"/>
      <c r="AB577" s="3125"/>
      <c r="AC577" s="3125"/>
      <c r="AD577" s="3125"/>
      <c r="AE577" s="3125"/>
      <c r="AF577" s="3125"/>
      <c r="AG577" s="3125"/>
      <c r="AH577" s="3125"/>
      <c r="AI577" s="3125"/>
      <c r="AJ577" s="3125"/>
      <c r="AK577" s="3125"/>
      <c r="AL577" s="3125"/>
      <c r="AM577" s="3125"/>
      <c r="AN577" s="3125"/>
      <c r="AO577" s="3125"/>
      <c r="AP577" s="3125"/>
      <c r="AQ577" s="3125"/>
      <c r="AR577" s="3125"/>
    </row>
    <row r="578" spans="1:44" ht="54" customHeight="1" x14ac:dyDescent="0.2">
      <c r="A578" s="5" t="s">
        <v>649</v>
      </c>
      <c r="B578" s="3126" t="s">
        <v>3673</v>
      </c>
      <c r="C578" s="3126" t="s">
        <v>3674</v>
      </c>
      <c r="D578" s="3126" t="s">
        <v>5670</v>
      </c>
      <c r="E578" s="3126" t="s">
        <v>5671</v>
      </c>
      <c r="F578" s="3126" t="s">
        <v>5672</v>
      </c>
      <c r="G578" s="3126" t="s">
        <v>5673</v>
      </c>
      <c r="I578" s="11"/>
      <c r="M578" s="8"/>
      <c r="N578" s="8"/>
      <c r="O578" s="8"/>
      <c r="P578" s="8"/>
      <c r="R578" s="15"/>
      <c r="S578" s="14"/>
      <c r="T578" s="14"/>
      <c r="U578" s="14"/>
      <c r="V578" s="14"/>
      <c r="W578" s="315"/>
      <c r="X578" s="14"/>
      <c r="Y578" s="3125"/>
      <c r="Z578" s="3125"/>
      <c r="AA578" s="3125"/>
      <c r="AB578" s="3125"/>
      <c r="AC578" s="3125"/>
      <c r="AD578" s="3125"/>
      <c r="AE578" s="3125"/>
      <c r="AF578" s="3125"/>
      <c r="AG578" s="3125"/>
      <c r="AH578" s="3125"/>
      <c r="AI578" s="3125"/>
      <c r="AJ578" s="3125"/>
      <c r="AK578" s="3125"/>
      <c r="AL578" s="3125"/>
      <c r="AM578" s="3125"/>
      <c r="AN578" s="3125"/>
      <c r="AO578" s="3125"/>
      <c r="AP578" s="3125"/>
      <c r="AQ578" s="3125"/>
      <c r="AR578" s="3125"/>
    </row>
    <row r="579" spans="1:44" ht="17.25" customHeight="1" x14ac:dyDescent="0.2">
      <c r="A579" s="3009">
        <v>1</v>
      </c>
      <c r="B579" s="5" t="s">
        <v>5619</v>
      </c>
      <c r="C579" s="5">
        <v>8</v>
      </c>
      <c r="D579" s="5">
        <v>320</v>
      </c>
      <c r="E579" s="5">
        <v>190</v>
      </c>
      <c r="F579" s="5">
        <v>642</v>
      </c>
      <c r="G579" s="5">
        <v>1500</v>
      </c>
      <c r="I579" s="11"/>
      <c r="M579" s="8"/>
      <c r="N579" s="8"/>
      <c r="O579" s="8"/>
      <c r="P579" s="8"/>
      <c r="R579" s="15"/>
      <c r="S579" s="14"/>
      <c r="T579" s="14"/>
      <c r="U579" s="14"/>
      <c r="V579" s="14"/>
      <c r="W579" s="315"/>
      <c r="X579" s="14"/>
      <c r="Y579" s="3125"/>
      <c r="Z579" s="3125"/>
      <c r="AA579" s="3125"/>
      <c r="AB579" s="3125"/>
      <c r="AC579" s="3125"/>
      <c r="AD579" s="3125"/>
      <c r="AE579" s="3125"/>
      <c r="AF579" s="3125"/>
      <c r="AG579" s="3125"/>
      <c r="AH579" s="3125"/>
      <c r="AI579" s="3125"/>
      <c r="AJ579" s="3125"/>
      <c r="AK579" s="3125"/>
      <c r="AL579" s="3125"/>
      <c r="AM579" s="3125"/>
      <c r="AN579" s="3125"/>
      <c r="AO579" s="3125"/>
      <c r="AP579" s="3125"/>
      <c r="AQ579" s="3125"/>
      <c r="AR579" s="3125"/>
    </row>
    <row r="580" spans="1:44" ht="17.25" customHeight="1" x14ac:dyDescent="0.2">
      <c r="A580" s="3009">
        <v>2</v>
      </c>
      <c r="B580" s="5" t="s">
        <v>5637</v>
      </c>
      <c r="C580" s="5">
        <v>8</v>
      </c>
      <c r="D580" s="5">
        <v>320</v>
      </c>
      <c r="E580" s="5">
        <v>190</v>
      </c>
      <c r="F580" s="5">
        <v>642</v>
      </c>
      <c r="G580" s="5">
        <v>1500</v>
      </c>
      <c r="I580" s="11"/>
      <c r="M580" s="8"/>
      <c r="N580" s="8"/>
      <c r="O580" s="8"/>
      <c r="P580" s="8"/>
      <c r="R580" s="15"/>
      <c r="S580" s="14"/>
      <c r="T580" s="14"/>
      <c r="U580" s="14"/>
      <c r="V580" s="14"/>
      <c r="W580" s="315"/>
      <c r="X580" s="14"/>
      <c r="Y580" s="3125"/>
      <c r="Z580" s="3125"/>
      <c r="AA580" s="3125"/>
      <c r="AB580" s="3125"/>
      <c r="AC580" s="3125"/>
      <c r="AD580" s="3125"/>
      <c r="AE580" s="3125"/>
      <c r="AF580" s="3125"/>
      <c r="AG580" s="3125"/>
      <c r="AH580" s="3125"/>
      <c r="AI580" s="3125"/>
      <c r="AJ580" s="3125"/>
      <c r="AK580" s="3125"/>
      <c r="AL580" s="3125"/>
      <c r="AM580" s="3125"/>
      <c r="AN580" s="3125"/>
      <c r="AO580" s="3125"/>
      <c r="AP580" s="3125"/>
      <c r="AQ580" s="3125"/>
      <c r="AR580" s="3125"/>
    </row>
    <row r="581" spans="1:44" ht="17.25" customHeight="1" x14ac:dyDescent="0.2">
      <c r="A581" s="3009">
        <v>3</v>
      </c>
      <c r="B581" s="5" t="s">
        <v>152</v>
      </c>
      <c r="C581" s="5">
        <v>8</v>
      </c>
      <c r="D581" s="5">
        <v>220</v>
      </c>
      <c r="E581" s="5">
        <v>190</v>
      </c>
      <c r="F581" s="5">
        <v>642</v>
      </c>
      <c r="G581" s="5">
        <v>1350</v>
      </c>
      <c r="I581" s="11"/>
      <c r="M581" s="8"/>
      <c r="N581" s="8"/>
      <c r="O581" s="8"/>
      <c r="P581" s="8"/>
      <c r="R581" s="15"/>
      <c r="S581" s="14"/>
      <c r="T581" s="14"/>
      <c r="U581" s="14"/>
      <c r="V581" s="14"/>
      <c r="W581" s="315"/>
      <c r="X581" s="14"/>
      <c r="Y581" s="3125"/>
      <c r="Z581" s="3125"/>
      <c r="AA581" s="3125"/>
      <c r="AB581" s="3125"/>
      <c r="AC581" s="3125"/>
      <c r="AD581" s="3125"/>
      <c r="AE581" s="3125"/>
      <c r="AF581" s="3125"/>
      <c r="AG581" s="3125"/>
      <c r="AH581" s="3125"/>
      <c r="AI581" s="3125"/>
      <c r="AJ581" s="3125"/>
      <c r="AK581" s="3125"/>
      <c r="AL581" s="3125"/>
      <c r="AM581" s="3125"/>
      <c r="AN581" s="3125"/>
      <c r="AO581" s="3125"/>
      <c r="AP581" s="3125"/>
      <c r="AQ581" s="3125"/>
      <c r="AR581" s="3125"/>
    </row>
    <row r="582" spans="1:44" ht="17.25" customHeight="1" x14ac:dyDescent="0.2">
      <c r="A582" s="3009">
        <v>4</v>
      </c>
      <c r="B582" s="5" t="s">
        <v>1918</v>
      </c>
      <c r="C582" s="5">
        <v>10</v>
      </c>
      <c r="D582" s="5">
        <v>220</v>
      </c>
      <c r="E582" s="5">
        <v>190</v>
      </c>
      <c r="F582" s="5">
        <v>643</v>
      </c>
      <c r="G582" s="5">
        <v>1900</v>
      </c>
      <c r="I582" s="11"/>
      <c r="M582" s="8"/>
      <c r="N582" s="8"/>
      <c r="O582" s="8"/>
      <c r="P582" s="8"/>
      <c r="R582" s="15"/>
      <c r="S582" s="14"/>
      <c r="T582" s="14"/>
      <c r="U582" s="14"/>
      <c r="V582" s="14"/>
      <c r="W582" s="315"/>
      <c r="X582" s="14"/>
      <c r="Y582" s="3125"/>
      <c r="Z582" s="3125"/>
      <c r="AA582" s="3125"/>
      <c r="AB582" s="3125"/>
      <c r="AC582" s="3125"/>
      <c r="AD582" s="3125"/>
      <c r="AE582" s="3125"/>
      <c r="AF582" s="3125"/>
      <c r="AG582" s="3125"/>
      <c r="AH582" s="3125"/>
      <c r="AI582" s="3125"/>
      <c r="AJ582" s="3125"/>
      <c r="AK582" s="3125"/>
      <c r="AL582" s="3125"/>
      <c r="AM582" s="3125"/>
      <c r="AN582" s="3125"/>
      <c r="AO582" s="3125"/>
      <c r="AP582" s="3125"/>
      <c r="AQ582" s="3125"/>
      <c r="AR582" s="3125"/>
    </row>
    <row r="583" spans="1:44" ht="17.25" customHeight="1" x14ac:dyDescent="0.2">
      <c r="A583" s="3009">
        <v>5</v>
      </c>
      <c r="B583" s="5" t="s">
        <v>5621</v>
      </c>
      <c r="C583" s="5">
        <v>8.6</v>
      </c>
      <c r="D583" s="5">
        <v>320</v>
      </c>
      <c r="E583" s="5">
        <v>192</v>
      </c>
      <c r="F583" s="5">
        <v>642</v>
      </c>
      <c r="G583" s="5">
        <v>1500</v>
      </c>
      <c r="I583" s="11"/>
      <c r="M583" s="8"/>
      <c r="N583" s="8"/>
      <c r="O583" s="8"/>
      <c r="P583" s="8"/>
      <c r="R583" s="15"/>
      <c r="S583" s="14"/>
      <c r="T583" s="14"/>
      <c r="U583" s="14"/>
      <c r="V583" s="14"/>
      <c r="W583" s="315"/>
      <c r="X583" s="14"/>
      <c r="Y583" s="3125"/>
      <c r="Z583" s="3125"/>
      <c r="AA583" s="3125"/>
      <c r="AB583" s="3125"/>
      <c r="AC583" s="3125"/>
      <c r="AD583" s="3125"/>
      <c r="AE583" s="3125"/>
      <c r="AF583" s="3125"/>
      <c r="AG583" s="3125"/>
      <c r="AH583" s="3125"/>
      <c r="AI583" s="3125"/>
      <c r="AJ583" s="3125"/>
      <c r="AK583" s="3125"/>
      <c r="AL583" s="3125"/>
      <c r="AM583" s="3125"/>
      <c r="AN583" s="3125"/>
      <c r="AO583" s="3125"/>
      <c r="AP583" s="3125"/>
      <c r="AQ583" s="3125"/>
      <c r="AR583" s="3125"/>
    </row>
    <row r="584" spans="1:44" ht="17.25" customHeight="1" x14ac:dyDescent="0.2">
      <c r="A584" s="3009">
        <v>6</v>
      </c>
      <c r="B584" s="5" t="s">
        <v>1917</v>
      </c>
      <c r="C584" s="5">
        <v>8.6</v>
      </c>
      <c r="D584" s="5">
        <v>320</v>
      </c>
      <c r="E584" s="5">
        <v>192</v>
      </c>
      <c r="F584" s="5">
        <v>642</v>
      </c>
      <c r="G584" s="5">
        <v>1500</v>
      </c>
      <c r="I584" s="11"/>
      <c r="M584" s="8"/>
      <c r="N584" s="8"/>
      <c r="O584" s="8"/>
      <c r="P584" s="8"/>
      <c r="R584" s="15"/>
      <c r="S584" s="14"/>
      <c r="T584" s="14"/>
      <c r="U584" s="14"/>
      <c r="V584" s="14"/>
      <c r="W584" s="315"/>
      <c r="X584" s="14"/>
      <c r="Y584" s="3125"/>
      <c r="Z584" s="3125"/>
      <c r="AA584" s="3125"/>
      <c r="AB584" s="3125"/>
      <c r="AC584" s="3125"/>
      <c r="AD584" s="3125"/>
      <c r="AE584" s="3125"/>
      <c r="AF584" s="3125"/>
      <c r="AG584" s="3125"/>
      <c r="AH584" s="3125"/>
      <c r="AI584" s="3125"/>
      <c r="AJ584" s="3125"/>
      <c r="AK584" s="3125"/>
      <c r="AL584" s="3125"/>
      <c r="AM584" s="3125"/>
      <c r="AN584" s="3125"/>
      <c r="AO584" s="3125"/>
      <c r="AP584" s="3125"/>
      <c r="AQ584" s="3125"/>
      <c r="AR584" s="3125"/>
    </row>
    <row r="585" spans="1:44" ht="17.25" customHeight="1" x14ac:dyDescent="0.2">
      <c r="A585" s="3009">
        <v>7</v>
      </c>
      <c r="B585" s="5" t="s">
        <v>5641</v>
      </c>
      <c r="C585" s="5">
        <v>9.3000000000000007</v>
      </c>
      <c r="D585" s="5">
        <v>400</v>
      </c>
      <c r="E585" s="5">
        <v>192</v>
      </c>
      <c r="F585" s="5">
        <v>642</v>
      </c>
      <c r="G585" s="5">
        <v>1500</v>
      </c>
      <c r="I585" s="11"/>
      <c r="M585" s="8"/>
      <c r="N585" s="8"/>
      <c r="O585" s="8"/>
      <c r="P585" s="8"/>
      <c r="R585" s="15"/>
      <c r="S585" s="14"/>
      <c r="T585" s="14"/>
      <c r="U585" s="14"/>
      <c r="V585" s="14"/>
      <c r="W585" s="315"/>
      <c r="X585" s="14"/>
      <c r="Y585" s="3125"/>
      <c r="Z585" s="3125"/>
      <c r="AA585" s="3125"/>
      <c r="AB585" s="3125"/>
      <c r="AC585" s="3125"/>
      <c r="AD585" s="3125"/>
      <c r="AE585" s="3125"/>
      <c r="AF585" s="3125"/>
      <c r="AG585" s="3125"/>
      <c r="AH585" s="3125"/>
      <c r="AI585" s="3125"/>
      <c r="AJ585" s="3125"/>
      <c r="AK585" s="3125"/>
      <c r="AL585" s="3125"/>
      <c r="AM585" s="3125"/>
      <c r="AN585" s="3125"/>
      <c r="AO585" s="3125"/>
      <c r="AP585" s="3125"/>
      <c r="AQ585" s="3125"/>
      <c r="AR585" s="3125"/>
    </row>
    <row r="586" spans="1:44" ht="17.25" customHeight="1" x14ac:dyDescent="0.2">
      <c r="A586" s="3009">
        <v>8</v>
      </c>
      <c r="B586" s="5" t="s">
        <v>5623</v>
      </c>
      <c r="C586" s="5">
        <v>13</v>
      </c>
      <c r="D586" s="5">
        <v>320</v>
      </c>
      <c r="E586" s="5">
        <v>230</v>
      </c>
      <c r="F586" s="5">
        <v>642</v>
      </c>
      <c r="G586" s="5">
        <v>1500</v>
      </c>
      <c r="I586" s="11"/>
      <c r="M586" s="8"/>
      <c r="N586" s="8"/>
      <c r="O586" s="8"/>
      <c r="P586" s="8"/>
      <c r="R586" s="15"/>
      <c r="S586" s="14"/>
      <c r="T586" s="14"/>
      <c r="U586" s="14"/>
      <c r="V586" s="14"/>
      <c r="W586" s="315"/>
      <c r="X586" s="14"/>
      <c r="Y586" s="3125"/>
      <c r="Z586" s="3125"/>
      <c r="AA586" s="3125"/>
      <c r="AB586" s="3125"/>
      <c r="AC586" s="3125"/>
      <c r="AD586" s="3125"/>
      <c r="AE586" s="3125"/>
      <c r="AF586" s="3125"/>
      <c r="AG586" s="3125"/>
      <c r="AH586" s="3125"/>
      <c r="AI586" s="3125"/>
      <c r="AJ586" s="3125"/>
      <c r="AK586" s="3125"/>
      <c r="AL586" s="3125"/>
      <c r="AM586" s="3125"/>
      <c r="AN586" s="3125"/>
      <c r="AO586" s="3125"/>
      <c r="AP586" s="3125"/>
      <c r="AQ586" s="3125"/>
      <c r="AR586" s="3125"/>
    </row>
    <row r="587" spans="1:44" ht="17.25" customHeight="1" x14ac:dyDescent="0.2">
      <c r="A587" s="3009">
        <v>9</v>
      </c>
      <c r="B587" s="5" t="s">
        <v>5626</v>
      </c>
      <c r="C587" s="5">
        <v>13</v>
      </c>
      <c r="D587" s="5">
        <v>320</v>
      </c>
      <c r="E587" s="5">
        <v>230</v>
      </c>
      <c r="F587" s="5">
        <v>636</v>
      </c>
      <c r="G587" s="5">
        <v>1500</v>
      </c>
      <c r="I587" s="11"/>
      <c r="M587" s="8"/>
      <c r="N587" s="8"/>
      <c r="O587" s="8"/>
      <c r="P587" s="8"/>
      <c r="R587" s="15"/>
      <c r="S587" s="14"/>
      <c r="T587" s="14"/>
      <c r="U587" s="14"/>
      <c r="V587" s="14"/>
      <c r="W587" s="315"/>
      <c r="X587" s="14"/>
      <c r="Y587" s="3125"/>
      <c r="Z587" s="3125"/>
      <c r="AA587" s="3125"/>
      <c r="AB587" s="3125"/>
      <c r="AC587" s="3125"/>
      <c r="AD587" s="3125"/>
      <c r="AE587" s="3125"/>
      <c r="AF587" s="3125"/>
      <c r="AG587" s="3125"/>
      <c r="AH587" s="3125"/>
      <c r="AI587" s="3125"/>
      <c r="AJ587" s="3125"/>
      <c r="AK587" s="3125"/>
      <c r="AL587" s="3125"/>
      <c r="AM587" s="3125"/>
      <c r="AN587" s="3125"/>
      <c r="AO587" s="3125"/>
      <c r="AP587" s="3125"/>
      <c r="AQ587" s="3125"/>
      <c r="AR587" s="3125"/>
    </row>
    <row r="588" spans="1:44" ht="17.25" customHeight="1" x14ac:dyDescent="0.2">
      <c r="A588" s="3009">
        <v>10</v>
      </c>
      <c r="B588" s="5" t="s">
        <v>5618</v>
      </c>
      <c r="C588" s="5">
        <v>10</v>
      </c>
      <c r="D588" s="5">
        <v>400</v>
      </c>
      <c r="E588" s="5">
        <v>245</v>
      </c>
      <c r="F588" s="5">
        <v>620</v>
      </c>
      <c r="G588" s="5">
        <v>1500</v>
      </c>
      <c r="I588" s="11"/>
      <c r="M588" s="8"/>
      <c r="N588" s="8"/>
      <c r="O588" s="8"/>
      <c r="P588" s="8"/>
      <c r="R588" s="15"/>
      <c r="S588" s="14"/>
      <c r="T588" s="14"/>
      <c r="U588" s="14"/>
      <c r="V588" s="14"/>
      <c r="W588" s="315"/>
      <c r="X588" s="14"/>
      <c r="Y588" s="3125"/>
      <c r="Z588" s="3125"/>
      <c r="AA588" s="3125"/>
      <c r="AB588" s="3125"/>
      <c r="AC588" s="3125"/>
      <c r="AD588" s="3125"/>
      <c r="AE588" s="3125"/>
      <c r="AF588" s="3125"/>
      <c r="AG588" s="3125"/>
      <c r="AH588" s="3125"/>
      <c r="AI588" s="3125"/>
      <c r="AJ588" s="3125"/>
      <c r="AK588" s="3125"/>
      <c r="AL588" s="3125"/>
      <c r="AM588" s="3125"/>
      <c r="AN588" s="3125"/>
      <c r="AO588" s="3125"/>
      <c r="AP588" s="3125"/>
      <c r="AQ588" s="3125"/>
      <c r="AR588" s="3125"/>
    </row>
    <row r="589" spans="1:44" ht="17.25" customHeight="1" x14ac:dyDescent="0.2">
      <c r="A589" s="3009">
        <v>11</v>
      </c>
      <c r="B589" s="5" t="s">
        <v>5628</v>
      </c>
      <c r="C589" s="5">
        <v>14</v>
      </c>
      <c r="D589" s="5">
        <v>400</v>
      </c>
      <c r="E589" s="5">
        <v>245</v>
      </c>
      <c r="F589" s="5">
        <v>754</v>
      </c>
      <c r="G589" s="5">
        <v>1500</v>
      </c>
      <c r="I589" s="11"/>
      <c r="M589" s="8"/>
      <c r="N589" s="8"/>
      <c r="O589" s="8"/>
      <c r="P589" s="8"/>
      <c r="R589" s="15"/>
      <c r="S589" s="14"/>
      <c r="T589" s="14"/>
      <c r="U589" s="14"/>
      <c r="V589" s="14"/>
      <c r="W589" s="315"/>
      <c r="X589" s="14"/>
      <c r="Y589" s="3125"/>
      <c r="Z589" s="3125"/>
      <c r="AA589" s="3125"/>
      <c r="AB589" s="3125"/>
      <c r="AC589" s="3125"/>
      <c r="AD589" s="3125"/>
      <c r="AE589" s="3125"/>
      <c r="AF589" s="3125"/>
      <c r="AG589" s="3125"/>
      <c r="AH589" s="3125"/>
      <c r="AI589" s="3125"/>
      <c r="AJ589" s="3125"/>
      <c r="AK589" s="3125"/>
      <c r="AL589" s="3125"/>
      <c r="AM589" s="3125"/>
      <c r="AN589" s="3125"/>
      <c r="AO589" s="3125"/>
      <c r="AP589" s="3125"/>
      <c r="AQ589" s="3125"/>
      <c r="AR589" s="3125"/>
    </row>
    <row r="590" spans="1:44" ht="17.25" customHeight="1" x14ac:dyDescent="0.2">
      <c r="A590" s="3009">
        <v>12</v>
      </c>
      <c r="B590" s="5" t="s">
        <v>5627</v>
      </c>
      <c r="C590" s="5">
        <v>14.3</v>
      </c>
      <c r="D590" s="5">
        <v>320</v>
      </c>
      <c r="E590" s="5">
        <v>245</v>
      </c>
      <c r="F590" s="5">
        <v>754</v>
      </c>
      <c r="G590" s="5">
        <v>1500</v>
      </c>
      <c r="I590" s="11"/>
      <c r="M590" s="8"/>
      <c r="N590" s="8"/>
      <c r="O590" s="8"/>
      <c r="P590" s="8"/>
      <c r="R590" s="15"/>
      <c r="S590" s="14"/>
      <c r="T590" s="14"/>
      <c r="U590" s="14"/>
      <c r="V590" s="14"/>
      <c r="W590" s="315"/>
      <c r="X590" s="14"/>
      <c r="Y590" s="3125"/>
      <c r="Z590" s="3125"/>
      <c r="AA590" s="3125"/>
      <c r="AB590" s="3125"/>
      <c r="AC590" s="3125"/>
      <c r="AD590" s="3125"/>
      <c r="AE590" s="3125"/>
      <c r="AF590" s="3125"/>
      <c r="AG590" s="3125"/>
      <c r="AH590" s="3125"/>
      <c r="AI590" s="3125"/>
      <c r="AJ590" s="3125"/>
      <c r="AK590" s="3125"/>
      <c r="AL590" s="3125"/>
      <c r="AM590" s="3125"/>
      <c r="AN590" s="3125"/>
      <c r="AO590" s="3125"/>
      <c r="AP590" s="3125"/>
      <c r="AQ590" s="3125"/>
      <c r="AR590" s="3125"/>
    </row>
    <row r="591" spans="1:44" ht="17.25" customHeight="1" x14ac:dyDescent="0.2">
      <c r="A591" s="3009">
        <v>13</v>
      </c>
      <c r="B591" s="5" t="s">
        <v>5674</v>
      </c>
      <c r="C591" s="5">
        <v>19</v>
      </c>
      <c r="D591" s="5">
        <v>500</v>
      </c>
      <c r="E591" s="5">
        <v>255</v>
      </c>
      <c r="F591" s="5">
        <v>754</v>
      </c>
      <c r="G591" s="5">
        <v>1500</v>
      </c>
      <c r="I591" s="11"/>
      <c r="M591" s="8"/>
      <c r="N591" s="8"/>
      <c r="O591" s="8"/>
      <c r="P591" s="8"/>
      <c r="R591" s="15"/>
      <c r="S591" s="14"/>
      <c r="T591" s="14"/>
      <c r="U591" s="14"/>
      <c r="V591" s="14"/>
      <c r="W591" s="315"/>
      <c r="X591" s="14"/>
      <c r="Y591" s="3125"/>
      <c r="Z591" s="3125"/>
      <c r="AA591" s="3125"/>
      <c r="AB591" s="3125"/>
      <c r="AC591" s="3125"/>
      <c r="AD591" s="3125"/>
      <c r="AE591" s="3125"/>
      <c r="AF591" s="3125"/>
      <c r="AG591" s="3125"/>
      <c r="AH591" s="3125"/>
      <c r="AI591" s="3125"/>
      <c r="AJ591" s="3125"/>
      <c r="AK591" s="3125"/>
      <c r="AL591" s="3125"/>
      <c r="AM591" s="3125"/>
      <c r="AN591" s="3125"/>
      <c r="AO591" s="3125"/>
      <c r="AP591" s="3125"/>
      <c r="AQ591" s="3125"/>
      <c r="AR591" s="3125"/>
    </row>
    <row r="592" spans="1:44" ht="17.25" customHeight="1" x14ac:dyDescent="0.2">
      <c r="A592" s="3009">
        <v>14</v>
      </c>
      <c r="B592" s="5" t="s">
        <v>5675</v>
      </c>
      <c r="C592" s="5">
        <v>20</v>
      </c>
      <c r="D592" s="5">
        <v>500</v>
      </c>
      <c r="E592" s="5">
        <v>255</v>
      </c>
      <c r="F592" s="5">
        <v>754</v>
      </c>
      <c r="G592" s="5">
        <v>1500</v>
      </c>
      <c r="I592" s="11"/>
      <c r="M592" s="8"/>
      <c r="N592" s="8"/>
      <c r="O592" s="8"/>
      <c r="P592" s="8"/>
      <c r="R592" s="15"/>
      <c r="S592" s="14"/>
      <c r="T592" s="14"/>
      <c r="U592" s="14"/>
      <c r="V592" s="14"/>
      <c r="W592" s="315"/>
      <c r="X592" s="14"/>
      <c r="Y592" s="3125"/>
      <c r="Z592" s="3125"/>
      <c r="AA592" s="3125"/>
      <c r="AB592" s="3125"/>
      <c r="AC592" s="3125"/>
      <c r="AD592" s="3125"/>
      <c r="AE592" s="3125"/>
      <c r="AF592" s="3125"/>
      <c r="AG592" s="3125"/>
      <c r="AH592" s="3125"/>
      <c r="AI592" s="3125"/>
      <c r="AJ592" s="3125"/>
      <c r="AK592" s="3125"/>
      <c r="AL592" s="3125"/>
      <c r="AM592" s="3125"/>
      <c r="AN592" s="3125"/>
      <c r="AO592" s="3125"/>
      <c r="AP592" s="3125"/>
      <c r="AQ592" s="3125"/>
      <c r="AR592" s="3125"/>
    </row>
    <row r="593" spans="1:44" ht="17.25" customHeight="1" x14ac:dyDescent="0.2">
      <c r="A593" s="3009">
        <v>15</v>
      </c>
      <c r="B593" s="5" t="s">
        <v>5676</v>
      </c>
      <c r="C593" s="5">
        <v>21</v>
      </c>
      <c r="D593" s="5">
        <v>720</v>
      </c>
      <c r="E593" s="5">
        <v>255</v>
      </c>
      <c r="F593" s="5">
        <v>834</v>
      </c>
      <c r="G593" s="5">
        <v>1500</v>
      </c>
      <c r="I593" s="11"/>
      <c r="M593" s="8"/>
      <c r="N593" s="8"/>
      <c r="O593" s="8"/>
      <c r="P593" s="8"/>
      <c r="R593" s="15"/>
      <c r="S593" s="14"/>
      <c r="T593" s="14"/>
      <c r="U593" s="14"/>
      <c r="V593" s="14"/>
      <c r="W593" s="315"/>
      <c r="X593" s="14"/>
      <c r="Y593" s="3125"/>
      <c r="Z593" s="3125"/>
      <c r="AA593" s="3125"/>
      <c r="AB593" s="3125"/>
      <c r="AC593" s="3125"/>
      <c r="AD593" s="3125"/>
      <c r="AE593" s="3125"/>
      <c r="AF593" s="3125"/>
      <c r="AG593" s="3125"/>
      <c r="AH593" s="3125"/>
      <c r="AI593" s="3125"/>
      <c r="AJ593" s="3125"/>
      <c r="AK593" s="3125"/>
      <c r="AL593" s="3125"/>
      <c r="AM593" s="3125"/>
      <c r="AN593" s="3125"/>
      <c r="AO593" s="3125"/>
      <c r="AP593" s="3125"/>
      <c r="AQ593" s="3125"/>
      <c r="AR593" s="3125"/>
    </row>
    <row r="594" spans="1:44" ht="17.25" customHeight="1" x14ac:dyDescent="0.2">
      <c r="A594" s="847"/>
      <c r="D594" s="3127"/>
      <c r="G594" s="1180"/>
      <c r="I594" s="11"/>
      <c r="M594" s="8"/>
      <c r="N594" s="8"/>
      <c r="O594" s="8"/>
      <c r="P594" s="8"/>
      <c r="R594" s="15"/>
      <c r="S594" s="14"/>
      <c r="T594" s="14"/>
      <c r="U594" s="14"/>
      <c r="V594" s="14"/>
      <c r="W594" s="315"/>
      <c r="X594" s="14"/>
      <c r="Y594" s="3125"/>
      <c r="Z594" s="3125"/>
      <c r="AA594" s="3125"/>
      <c r="AB594" s="3125"/>
      <c r="AC594" s="3125"/>
      <c r="AD594" s="3125"/>
      <c r="AE594" s="3125"/>
      <c r="AF594" s="3125"/>
      <c r="AG594" s="3125"/>
      <c r="AH594" s="3125"/>
      <c r="AI594" s="3125"/>
      <c r="AJ594" s="3125"/>
      <c r="AK594" s="3125"/>
      <c r="AL594" s="3125"/>
      <c r="AM594" s="3125"/>
      <c r="AN594" s="3125"/>
      <c r="AO594" s="3125"/>
      <c r="AP594" s="3125"/>
      <c r="AQ594" s="3125"/>
      <c r="AR594" s="3125"/>
    </row>
    <row r="595" spans="1:44" ht="17.25" customHeight="1" x14ac:dyDescent="0.25">
      <c r="A595" s="821" t="s">
        <v>5743</v>
      </c>
      <c r="D595" s="3127"/>
      <c r="F595" s="3061"/>
      <c r="G595" s="1180"/>
      <c r="I595" s="11"/>
      <c r="M595" s="8"/>
      <c r="N595" s="8"/>
      <c r="O595" s="8"/>
      <c r="P595" s="8"/>
      <c r="R595" s="15"/>
      <c r="S595" s="14"/>
      <c r="T595" s="14"/>
      <c r="U595" s="14"/>
      <c r="V595" s="14"/>
      <c r="W595" s="315"/>
      <c r="X595" s="14"/>
      <c r="Y595" s="3125"/>
      <c r="Z595" s="3125"/>
      <c r="AA595" s="3125"/>
      <c r="AB595" s="3125"/>
      <c r="AC595" s="3125"/>
      <c r="AD595" s="3125"/>
      <c r="AE595" s="3125"/>
      <c r="AF595" s="3125"/>
      <c r="AG595" s="3125"/>
      <c r="AH595" s="3125"/>
      <c r="AI595" s="3125"/>
      <c r="AJ595" s="3125"/>
      <c r="AK595" s="3125"/>
      <c r="AL595" s="3125"/>
      <c r="AM595" s="3125"/>
      <c r="AN595" s="3125"/>
      <c r="AO595" s="3125"/>
      <c r="AP595" s="3125"/>
      <c r="AQ595" s="3125"/>
      <c r="AR595" s="3125"/>
    </row>
    <row r="596" spans="1:44" ht="89.25" customHeight="1" x14ac:dyDescent="0.2">
      <c r="A596" s="3073"/>
      <c r="C596" s="1740" t="s">
        <v>5739</v>
      </c>
      <c r="D596" s="4268" t="s">
        <v>6819</v>
      </c>
      <c r="G596" s="1180"/>
      <c r="I596" s="11"/>
      <c r="M596" s="8"/>
      <c r="N596" s="8"/>
      <c r="O596" s="8"/>
      <c r="P596" s="8"/>
      <c r="R596" s="15"/>
      <c r="S596" s="14"/>
      <c r="T596" s="14"/>
      <c r="U596" s="14"/>
      <c r="V596" s="14"/>
      <c r="W596" s="315"/>
      <c r="X596" s="14"/>
      <c r="Y596" s="3125"/>
      <c r="Z596" s="3125"/>
      <c r="AA596" s="3125"/>
      <c r="AB596" s="3125"/>
      <c r="AC596" s="3125"/>
      <c r="AD596" s="3125"/>
      <c r="AE596" s="3125"/>
      <c r="AF596" s="3125"/>
      <c r="AG596" s="3125"/>
      <c r="AH596" s="3125"/>
      <c r="AI596" s="3125"/>
      <c r="AJ596" s="3125"/>
      <c r="AK596" s="3125"/>
      <c r="AL596" s="3125"/>
      <c r="AM596" s="3125"/>
      <c r="AN596" s="3125"/>
      <c r="AO596" s="3125"/>
      <c r="AP596" s="3125"/>
      <c r="AQ596" s="3125"/>
      <c r="AR596" s="3125"/>
    </row>
    <row r="597" spans="1:44" ht="17.25" customHeight="1" x14ac:dyDescent="0.25">
      <c r="A597" s="1392" t="s">
        <v>5742</v>
      </c>
      <c r="B597" s="3064"/>
      <c r="C597" s="2992" t="e">
        <f>INDEX($C$579:$C$593,B598)</f>
        <v>#VALUE!</v>
      </c>
      <c r="D597" s="3926" t="e">
        <f>INDEX($D$579:$D$593,B598)</f>
        <v>#VALUE!</v>
      </c>
      <c r="G597" s="1180"/>
      <c r="I597" s="11"/>
      <c r="M597" s="8"/>
      <c r="N597" s="8"/>
      <c r="O597" s="8"/>
      <c r="P597" s="8"/>
      <c r="R597" s="15"/>
      <c r="S597" s="14"/>
      <c r="T597" s="14"/>
      <c r="U597" s="14"/>
      <c r="V597" s="14"/>
      <c r="W597" s="315"/>
      <c r="X597" s="14"/>
      <c r="Y597" s="3125"/>
      <c r="Z597" s="3125"/>
      <c r="AA597" s="3125"/>
      <c r="AB597" s="3125"/>
      <c r="AC597" s="3125"/>
      <c r="AD597" s="3125"/>
      <c r="AE597" s="3125"/>
      <c r="AF597" s="3125"/>
      <c r="AG597" s="3125"/>
      <c r="AH597" s="3125"/>
      <c r="AI597" s="3125"/>
      <c r="AJ597" s="3125"/>
      <c r="AK597" s="3125"/>
      <c r="AL597" s="3125"/>
      <c r="AM597" s="3125"/>
      <c r="AN597" s="3125"/>
      <c r="AO597" s="3125"/>
      <c r="AP597" s="3125"/>
      <c r="AQ597" s="3125"/>
      <c r="AR597" s="3125"/>
    </row>
    <row r="598" spans="1:44" ht="17.25" customHeight="1" x14ac:dyDescent="0.25">
      <c r="A598" s="1392" t="s">
        <v>5741</v>
      </c>
      <c r="B598" s="3064"/>
      <c r="C598" s="2992"/>
      <c r="D598" s="3926"/>
      <c r="G598" s="1180"/>
      <c r="I598" s="11"/>
      <c r="M598" s="8"/>
      <c r="N598" s="8"/>
      <c r="O598" s="8"/>
      <c r="P598" s="8"/>
      <c r="R598" s="15"/>
      <c r="S598" s="14"/>
      <c r="T598" s="14"/>
      <c r="U598" s="14"/>
      <c r="V598" s="14"/>
      <c r="W598" s="315"/>
      <c r="X598" s="14"/>
      <c r="Y598" s="3125"/>
      <c r="Z598" s="3125"/>
      <c r="AA598" s="3125"/>
      <c r="AB598" s="3125"/>
      <c r="AC598" s="3125"/>
      <c r="AD598" s="3125"/>
      <c r="AE598" s="3125"/>
      <c r="AF598" s="3125"/>
      <c r="AG598" s="3125"/>
      <c r="AH598" s="3125"/>
      <c r="AI598" s="3125"/>
      <c r="AJ598" s="3125"/>
      <c r="AK598" s="3125"/>
      <c r="AL598" s="3125"/>
      <c r="AM598" s="3125"/>
      <c r="AN598" s="3125"/>
      <c r="AO598" s="3125"/>
      <c r="AP598" s="3125"/>
      <c r="AQ598" s="3125"/>
      <c r="AR598" s="3125"/>
    </row>
    <row r="599" spans="1:44" ht="17.25" customHeight="1" x14ac:dyDescent="0.25">
      <c r="A599" s="1392" t="str">
        <f>IF(F595&gt;1,"2-ой возможный тип конвейера","")</f>
        <v/>
      </c>
      <c r="B599" s="3064"/>
      <c r="C599" s="2992" t="e">
        <f t="shared" ref="C599:C605" si="44">INDEX($C$579:$C$593,B600)</f>
        <v>#VALUE!</v>
      </c>
      <c r="D599" s="3926" t="e">
        <f t="shared" ref="D599:D605" si="45">INDEX($D$579:$D$593,B600)</f>
        <v>#VALUE!</v>
      </c>
      <c r="G599" s="1180"/>
      <c r="I599" s="11"/>
      <c r="M599" s="8"/>
      <c r="N599" s="8"/>
      <c r="O599" s="8"/>
      <c r="P599" s="8"/>
      <c r="R599" s="15"/>
      <c r="S599" s="14"/>
      <c r="T599" s="14"/>
      <c r="U599" s="14"/>
      <c r="V599" s="14"/>
      <c r="W599" s="315"/>
      <c r="X599" s="14"/>
      <c r="Y599" s="3125"/>
      <c r="Z599" s="3125"/>
      <c r="AA599" s="3125"/>
      <c r="AB599" s="3125"/>
      <c r="AC599" s="3125"/>
      <c r="AD599" s="3125"/>
      <c r="AE599" s="3125"/>
      <c r="AF599" s="3125"/>
      <c r="AG599" s="3125"/>
      <c r="AH599" s="3125"/>
      <c r="AI599" s="3125"/>
      <c r="AJ599" s="3125"/>
      <c r="AK599" s="3125"/>
      <c r="AL599" s="3125"/>
      <c r="AM599" s="3125"/>
      <c r="AN599" s="3125"/>
      <c r="AO599" s="3125"/>
      <c r="AP599" s="3125"/>
      <c r="AQ599" s="3125"/>
      <c r="AR599" s="3125"/>
    </row>
    <row r="600" spans="1:44" ht="17.25" customHeight="1" x14ac:dyDescent="0.25">
      <c r="A600" s="1392" t="str">
        <f>IF(F595&gt;1,"Его номер в таблице конвейеров","")</f>
        <v/>
      </c>
      <c r="B600" s="3064"/>
      <c r="C600" s="2992"/>
      <c r="D600" s="3926"/>
      <c r="G600" s="1180"/>
      <c r="I600" s="11"/>
      <c r="M600" s="8"/>
      <c r="N600" s="8"/>
      <c r="O600" s="8"/>
      <c r="P600" s="8"/>
      <c r="R600" s="15"/>
      <c r="S600" s="14"/>
      <c r="T600" s="14"/>
      <c r="U600" s="14"/>
      <c r="V600" s="14"/>
      <c r="W600" s="315"/>
      <c r="X600" s="14"/>
      <c r="Y600" s="3125"/>
      <c r="Z600" s="3125"/>
      <c r="AA600" s="3125"/>
      <c r="AB600" s="3125"/>
      <c r="AC600" s="3125"/>
      <c r="AD600" s="3125"/>
      <c r="AE600" s="3125"/>
      <c r="AF600" s="3125"/>
      <c r="AG600" s="3125"/>
      <c r="AH600" s="3125"/>
      <c r="AI600" s="3125"/>
      <c r="AJ600" s="3125"/>
      <c r="AK600" s="3125"/>
      <c r="AL600" s="3125"/>
      <c r="AM600" s="3125"/>
      <c r="AN600" s="3125"/>
      <c r="AO600" s="3125"/>
      <c r="AP600" s="3125"/>
      <c r="AQ600" s="3125"/>
      <c r="AR600" s="3125"/>
    </row>
    <row r="601" spans="1:44" ht="17.25" customHeight="1" x14ac:dyDescent="0.25">
      <c r="A601" s="1392" t="str">
        <f>IF(F595&gt;2,"3-ий возможный тип конвейера","")</f>
        <v/>
      </c>
      <c r="B601" s="3064"/>
      <c r="C601" s="2992" t="e">
        <f t="shared" si="44"/>
        <v>#VALUE!</v>
      </c>
      <c r="D601" s="3926" t="e">
        <f t="shared" si="45"/>
        <v>#VALUE!</v>
      </c>
      <c r="G601" s="1180"/>
      <c r="I601" s="11"/>
      <c r="M601" s="8"/>
      <c r="N601" s="8"/>
      <c r="O601" s="8"/>
      <c r="P601" s="8"/>
      <c r="R601" s="15"/>
      <c r="S601" s="14"/>
      <c r="T601" s="14"/>
      <c r="U601" s="14"/>
      <c r="V601" s="14"/>
      <c r="W601" s="315"/>
      <c r="X601" s="14"/>
      <c r="Y601" s="3125"/>
      <c r="Z601" s="3125"/>
      <c r="AA601" s="3125"/>
      <c r="AB601" s="3125"/>
      <c r="AC601" s="3125"/>
      <c r="AD601" s="3125"/>
      <c r="AE601" s="3125"/>
      <c r="AF601" s="3125"/>
      <c r="AG601" s="3125"/>
      <c r="AH601" s="3125"/>
      <c r="AI601" s="3125"/>
      <c r="AJ601" s="3125"/>
      <c r="AK601" s="3125"/>
      <c r="AL601" s="3125"/>
      <c r="AM601" s="3125"/>
      <c r="AN601" s="3125"/>
      <c r="AO601" s="3125"/>
      <c r="AP601" s="3125"/>
      <c r="AQ601" s="3125"/>
      <c r="AR601" s="3125"/>
    </row>
    <row r="602" spans="1:44" ht="17.25" customHeight="1" x14ac:dyDescent="0.25">
      <c r="A602" s="1392" t="str">
        <f>IF(F595&gt;2,"Его номер в таблице конвейеров","")</f>
        <v/>
      </c>
      <c r="B602" s="3064"/>
      <c r="C602" s="2992"/>
      <c r="D602" s="3926"/>
      <c r="G602" s="1180"/>
      <c r="I602" s="11"/>
      <c r="M602" s="8"/>
      <c r="N602" s="8"/>
      <c r="O602" s="8"/>
      <c r="P602" s="8"/>
      <c r="R602" s="15"/>
      <c r="S602" s="14"/>
      <c r="T602" s="14"/>
      <c r="U602" s="14"/>
      <c r="V602" s="14"/>
      <c r="W602" s="315"/>
      <c r="X602" s="14"/>
      <c r="Y602" s="3125"/>
      <c r="Z602" s="3125"/>
      <c r="AA602" s="3125"/>
      <c r="AB602" s="3125"/>
      <c r="AC602" s="3125"/>
      <c r="AD602" s="3125"/>
      <c r="AE602" s="3125"/>
      <c r="AF602" s="3125"/>
      <c r="AG602" s="3125"/>
      <c r="AH602" s="3125"/>
      <c r="AI602" s="3125"/>
      <c r="AJ602" s="3125"/>
      <c r="AK602" s="3125"/>
      <c r="AL602" s="3125"/>
      <c r="AM602" s="3125"/>
      <c r="AN602" s="3125"/>
      <c r="AO602" s="3125"/>
      <c r="AP602" s="3125"/>
      <c r="AQ602" s="3125"/>
      <c r="AR602" s="3125"/>
    </row>
    <row r="603" spans="1:44" ht="17.25" customHeight="1" x14ac:dyDescent="0.2">
      <c r="A603" s="2027" t="str">
        <f>IF(F595&gt;3,"4-ый возможный тип конвейера","")</f>
        <v/>
      </c>
      <c r="B603" s="3064"/>
      <c r="C603" s="2992" t="e">
        <f t="shared" si="44"/>
        <v>#VALUE!</v>
      </c>
      <c r="D603" s="3926" t="e">
        <f t="shared" si="45"/>
        <v>#VALUE!</v>
      </c>
      <c r="G603" s="1180"/>
      <c r="I603" s="11"/>
      <c r="M603" s="8"/>
      <c r="N603" s="8"/>
      <c r="O603" s="8"/>
      <c r="P603" s="8"/>
      <c r="R603" s="15"/>
      <c r="S603" s="14"/>
      <c r="T603" s="14"/>
      <c r="U603" s="14"/>
      <c r="V603" s="14"/>
      <c r="W603" s="315"/>
      <c r="X603" s="14"/>
      <c r="Y603" s="3125"/>
      <c r="Z603" s="3125"/>
      <c r="AA603" s="3125"/>
      <c r="AB603" s="3125"/>
      <c r="AC603" s="3125"/>
      <c r="AD603" s="3125"/>
      <c r="AE603" s="3125"/>
      <c r="AF603" s="3125"/>
      <c r="AG603" s="3125"/>
      <c r="AH603" s="3125"/>
      <c r="AI603" s="3125"/>
      <c r="AJ603" s="3125"/>
      <c r="AK603" s="3125"/>
      <c r="AL603" s="3125"/>
      <c r="AM603" s="3125"/>
      <c r="AN603" s="3125"/>
      <c r="AO603" s="3125"/>
      <c r="AP603" s="3125"/>
      <c r="AQ603" s="3125"/>
      <c r="AR603" s="3125"/>
    </row>
    <row r="604" spans="1:44" ht="17.25" customHeight="1" x14ac:dyDescent="0.25">
      <c r="A604" s="1392" t="str">
        <f>IF(F595&gt;3,"Его номер в таблице конвейеров","")</f>
        <v/>
      </c>
      <c r="B604" s="3064"/>
      <c r="C604" s="2992"/>
      <c r="D604" s="3926"/>
      <c r="G604" s="1180"/>
      <c r="I604" s="11"/>
      <c r="M604" s="8"/>
      <c r="N604" s="8"/>
      <c r="O604" s="8"/>
      <c r="P604" s="8"/>
      <c r="R604" s="15"/>
      <c r="S604" s="14"/>
      <c r="T604" s="14"/>
      <c r="U604" s="14"/>
      <c r="V604" s="14"/>
      <c r="W604" s="315"/>
      <c r="X604" s="14"/>
      <c r="Y604" s="3125"/>
      <c r="Z604" s="3125"/>
      <c r="AA604" s="3125"/>
      <c r="AB604" s="3125"/>
      <c r="AC604" s="3125"/>
      <c r="AD604" s="3125"/>
      <c r="AE604" s="3125"/>
      <c r="AF604" s="3125"/>
      <c r="AG604" s="3125"/>
      <c r="AH604" s="3125"/>
      <c r="AI604" s="3125"/>
      <c r="AJ604" s="3125"/>
      <c r="AK604" s="3125"/>
      <c r="AL604" s="3125"/>
      <c r="AM604" s="3125"/>
      <c r="AN604" s="3125"/>
      <c r="AO604" s="3125"/>
      <c r="AP604" s="3125"/>
      <c r="AQ604" s="3125"/>
      <c r="AR604" s="3125"/>
    </row>
    <row r="605" spans="1:44" ht="17.25" customHeight="1" x14ac:dyDescent="0.25">
      <c r="A605" s="1392" t="str">
        <f>IF(F595&gt;4,"5-ый возможный тип конвейера","")</f>
        <v/>
      </c>
      <c r="B605" s="3064"/>
      <c r="C605" s="2992" t="e">
        <f t="shared" si="44"/>
        <v>#VALUE!</v>
      </c>
      <c r="D605" s="3926" t="e">
        <f t="shared" si="45"/>
        <v>#VALUE!</v>
      </c>
      <c r="G605" s="1180"/>
      <c r="I605" s="11"/>
      <c r="M605" s="8"/>
      <c r="N605" s="8"/>
      <c r="O605" s="8"/>
      <c r="P605" s="8"/>
      <c r="R605" s="15"/>
      <c r="S605" s="14"/>
      <c r="T605" s="14"/>
      <c r="U605" s="14"/>
      <c r="V605" s="14"/>
      <c r="W605" s="315"/>
      <c r="X605" s="14"/>
      <c r="Y605" s="3125"/>
      <c r="Z605" s="3125"/>
      <c r="AA605" s="3125"/>
      <c r="AB605" s="3125"/>
      <c r="AC605" s="3125"/>
      <c r="AD605" s="3125"/>
      <c r="AE605" s="3125"/>
      <c r="AF605" s="3125"/>
      <c r="AG605" s="3125"/>
      <c r="AH605" s="3125"/>
      <c r="AI605" s="3125"/>
      <c r="AJ605" s="3125"/>
      <c r="AK605" s="3125"/>
      <c r="AL605" s="3125"/>
      <c r="AM605" s="3125"/>
      <c r="AN605" s="3125"/>
      <c r="AO605" s="3125"/>
      <c r="AP605" s="3125"/>
      <c r="AQ605" s="3125"/>
      <c r="AR605" s="3125"/>
    </row>
    <row r="606" spans="1:44" ht="17.25" customHeight="1" x14ac:dyDescent="0.2">
      <c r="A606" s="2027" t="str">
        <f>IF(F595&gt;4,"Его номер в таблице конвейеров","")</f>
        <v/>
      </c>
      <c r="B606" s="3064"/>
      <c r="C606" s="2992"/>
      <c r="D606" s="3926"/>
      <c r="G606" s="1180"/>
      <c r="I606" s="11"/>
      <c r="M606" s="8"/>
      <c r="N606" s="8"/>
      <c r="O606" s="8"/>
      <c r="P606" s="8"/>
      <c r="R606" s="15"/>
      <c r="S606" s="14"/>
      <c r="T606" s="14"/>
      <c r="U606" s="14"/>
      <c r="V606" s="14"/>
      <c r="W606" s="315"/>
      <c r="X606" s="14"/>
      <c r="Y606" s="3125"/>
      <c r="Z606" s="3125"/>
      <c r="AA606" s="3125"/>
      <c r="AB606" s="3125"/>
      <c r="AC606" s="3125"/>
      <c r="AD606" s="3125"/>
      <c r="AE606" s="3125"/>
      <c r="AF606" s="3125"/>
      <c r="AG606" s="3125"/>
      <c r="AH606" s="3125"/>
      <c r="AI606" s="3125"/>
      <c r="AJ606" s="3125"/>
      <c r="AK606" s="3125"/>
      <c r="AL606" s="3125"/>
      <c r="AM606" s="3125"/>
      <c r="AN606" s="3125"/>
      <c r="AO606" s="3125"/>
      <c r="AP606" s="3125"/>
      <c r="AQ606" s="3125"/>
      <c r="AR606" s="3125"/>
    </row>
    <row r="607" spans="1:44" ht="17.25" customHeight="1" x14ac:dyDescent="0.2">
      <c r="A607" s="847"/>
      <c r="D607" s="3127"/>
      <c r="G607" s="1180"/>
      <c r="I607" s="11"/>
      <c r="M607" s="8"/>
      <c r="N607" s="8"/>
      <c r="O607" s="8"/>
      <c r="P607" s="8"/>
      <c r="R607" s="15"/>
      <c r="S607" s="14"/>
      <c r="T607" s="14"/>
      <c r="U607" s="14"/>
      <c r="V607" s="14"/>
      <c r="W607" s="315"/>
      <c r="X607" s="14"/>
      <c r="Y607" s="3125"/>
      <c r="Z607" s="3125"/>
      <c r="AA607" s="3125"/>
      <c r="AB607" s="3125"/>
      <c r="AC607" s="3125"/>
      <c r="AD607" s="3125"/>
      <c r="AE607" s="3125"/>
      <c r="AF607" s="3125"/>
      <c r="AG607" s="3125"/>
      <c r="AH607" s="3125"/>
      <c r="AI607" s="3125"/>
      <c r="AJ607" s="3125"/>
      <c r="AK607" s="3125"/>
      <c r="AL607" s="3125"/>
      <c r="AM607" s="3125"/>
      <c r="AN607" s="3125"/>
      <c r="AO607" s="3125"/>
      <c r="AP607" s="3125"/>
      <c r="AQ607" s="3125"/>
      <c r="AR607" s="3125"/>
    </row>
    <row r="608" spans="1:44" ht="17.25" customHeight="1" x14ac:dyDescent="0.25">
      <c r="A608" s="1090" t="s">
        <v>5740</v>
      </c>
      <c r="B608" s="3061"/>
      <c r="D608" s="3127"/>
      <c r="G608" s="1180"/>
      <c r="I608" s="11"/>
      <c r="M608" s="8"/>
      <c r="N608" s="8"/>
      <c r="O608" s="8"/>
      <c r="P608" s="8"/>
      <c r="R608" s="15"/>
      <c r="S608" s="14"/>
      <c r="T608" s="14"/>
      <c r="U608" s="14"/>
      <c r="V608" s="14"/>
      <c r="W608" s="315"/>
      <c r="X608" s="14"/>
      <c r="Y608" s="3125"/>
      <c r="Z608" s="3125"/>
      <c r="AA608" s="3125"/>
      <c r="AB608" s="3125"/>
      <c r="AC608" s="3125"/>
      <c r="AD608" s="3125"/>
      <c r="AE608" s="3125"/>
      <c r="AF608" s="3125"/>
      <c r="AG608" s="3125"/>
      <c r="AH608" s="3125"/>
      <c r="AI608" s="3125"/>
      <c r="AJ608" s="3125"/>
      <c r="AK608" s="3125"/>
      <c r="AL608" s="3125"/>
      <c r="AM608" s="3125"/>
      <c r="AN608" s="3125"/>
      <c r="AO608" s="3125"/>
      <c r="AP608" s="3125"/>
      <c r="AQ608" s="3125"/>
      <c r="AR608" s="3125"/>
    </row>
    <row r="609" spans="1:44" ht="17.25" customHeight="1" x14ac:dyDescent="0.25">
      <c r="A609" s="1090" t="s">
        <v>5741</v>
      </c>
      <c r="B609" s="3061"/>
      <c r="D609" s="3127"/>
      <c r="G609" s="1180"/>
      <c r="I609" s="11"/>
      <c r="M609" s="8"/>
      <c r="N609" s="8"/>
      <c r="O609" s="8"/>
      <c r="P609" s="8"/>
      <c r="R609" s="15"/>
      <c r="S609" s="14"/>
      <c r="T609" s="14"/>
      <c r="U609" s="14"/>
      <c r="V609" s="14"/>
      <c r="W609" s="315"/>
      <c r="X609" s="14"/>
      <c r="Y609" s="3125"/>
      <c r="Z609" s="3125"/>
      <c r="AA609" s="3125"/>
      <c r="AB609" s="3125"/>
      <c r="AC609" s="3125"/>
      <c r="AD609" s="3125"/>
      <c r="AE609" s="3125"/>
      <c r="AF609" s="3125"/>
      <c r="AG609" s="3125"/>
      <c r="AH609" s="3125"/>
      <c r="AI609" s="3125"/>
      <c r="AJ609" s="3125"/>
      <c r="AK609" s="3125"/>
      <c r="AL609" s="3125"/>
      <c r="AM609" s="3125"/>
      <c r="AN609" s="3125"/>
      <c r="AO609" s="3125"/>
      <c r="AP609" s="3125"/>
      <c r="AQ609" s="3125"/>
      <c r="AR609" s="3125"/>
    </row>
    <row r="610" spans="1:44" ht="69" customHeight="1" x14ac:dyDescent="0.25">
      <c r="A610" s="893" t="s">
        <v>6812</v>
      </c>
      <c r="C610" s="4251" t="s">
        <v>6813</v>
      </c>
      <c r="D610" s="4264"/>
      <c r="E610" s="4251" t="s">
        <v>6814</v>
      </c>
      <c r="F610" s="3061"/>
      <c r="G610" s="1180"/>
      <c r="I610" s="11"/>
      <c r="M610" s="8"/>
      <c r="N610" s="8"/>
      <c r="O610" s="8"/>
      <c r="P610" s="8"/>
      <c r="R610" s="15"/>
      <c r="S610" s="14"/>
      <c r="T610" s="14"/>
      <c r="U610" s="14"/>
      <c r="V610" s="14"/>
      <c r="W610" s="315"/>
      <c r="X610" s="14"/>
      <c r="Y610" s="3125"/>
      <c r="Z610" s="3125"/>
      <c r="AA610" s="3125"/>
      <c r="AB610" s="3125"/>
      <c r="AC610" s="3125"/>
      <c r="AD610" s="3125"/>
      <c r="AE610" s="3125"/>
      <c r="AF610" s="3125"/>
      <c r="AG610" s="3125"/>
      <c r="AH610" s="3125"/>
      <c r="AI610" s="3125"/>
      <c r="AJ610" s="3125"/>
      <c r="AK610" s="3125"/>
      <c r="AL610" s="3125"/>
      <c r="AM610" s="3125"/>
      <c r="AN610" s="3125"/>
      <c r="AO610" s="3125"/>
      <c r="AP610" s="3125"/>
      <c r="AQ610" s="3125"/>
      <c r="AR610" s="3125"/>
    </row>
    <row r="611" spans="1:44" ht="17.25" customHeight="1" x14ac:dyDescent="0.25">
      <c r="A611" s="345" t="s">
        <v>5685</v>
      </c>
      <c r="D611" s="3127"/>
      <c r="G611" s="1180"/>
      <c r="I611" s="11"/>
      <c r="M611" s="8"/>
      <c r="N611" s="8"/>
      <c r="O611" s="8"/>
      <c r="P611" s="8"/>
      <c r="R611" s="15"/>
      <c r="S611" s="14"/>
      <c r="T611" s="14"/>
      <c r="U611" s="14"/>
      <c r="V611" s="14"/>
      <c r="W611" s="315"/>
      <c r="X611" s="14"/>
      <c r="Y611" s="3125"/>
      <c r="Z611" s="3125"/>
      <c r="AA611" s="3125"/>
      <c r="AB611" s="3125"/>
      <c r="AC611" s="3125"/>
      <c r="AD611" s="3125"/>
      <c r="AE611" s="3125"/>
      <c r="AF611" s="3125"/>
      <c r="AG611" s="3125"/>
      <c r="AH611" s="3125"/>
      <c r="AI611" s="3125"/>
      <c r="AJ611" s="3125"/>
      <c r="AK611" s="3125"/>
      <c r="AL611" s="3125"/>
      <c r="AM611" s="3125"/>
      <c r="AN611" s="3125"/>
      <c r="AO611" s="3125"/>
      <c r="AP611" s="3125"/>
      <c r="AQ611" s="3125"/>
      <c r="AR611" s="3125"/>
    </row>
    <row r="612" spans="1:44" ht="17.25" customHeight="1" x14ac:dyDescent="0.2">
      <c r="A612" s="847"/>
      <c r="D612" s="3127"/>
      <c r="G612" s="1180"/>
      <c r="I612" s="11"/>
      <c r="M612" s="8"/>
      <c r="N612" s="8"/>
      <c r="O612" s="8"/>
      <c r="P612" s="8"/>
      <c r="R612" s="15"/>
      <c r="S612" s="14"/>
      <c r="T612" s="14"/>
      <c r="U612" s="14"/>
      <c r="V612" s="14"/>
      <c r="W612" s="315"/>
      <c r="X612" s="14"/>
      <c r="Y612" s="3125"/>
      <c r="Z612" s="3125"/>
      <c r="AA612" s="3125"/>
      <c r="AB612" s="3125"/>
      <c r="AC612" s="3125"/>
      <c r="AD612" s="3125"/>
      <c r="AE612" s="3125"/>
      <c r="AF612" s="3125"/>
      <c r="AG612" s="3125"/>
      <c r="AH612" s="3125"/>
      <c r="AI612" s="3125"/>
      <c r="AJ612" s="3125"/>
      <c r="AK612" s="3125"/>
      <c r="AL612" s="3125"/>
      <c r="AM612" s="3125"/>
      <c r="AN612" s="3125"/>
      <c r="AO612" s="3125"/>
      <c r="AP612" s="3125"/>
      <c r="AQ612" s="3125"/>
      <c r="AR612" s="3125"/>
    </row>
    <row r="613" spans="1:44" ht="17.25" customHeight="1" x14ac:dyDescent="0.25">
      <c r="A613" s="893" t="s">
        <v>2408</v>
      </c>
      <c r="B613" s="3127"/>
      <c r="E613" s="233"/>
      <c r="G613" s="11"/>
      <c r="J613" s="1014"/>
      <c r="K613" s="1"/>
      <c r="L613" s="1"/>
      <c r="M613" s="8"/>
      <c r="N613" s="8"/>
      <c r="O613" s="8"/>
      <c r="P613" s="8"/>
      <c r="R613" s="15"/>
      <c r="S613" s="14"/>
      <c r="T613" s="14"/>
      <c r="U613" s="14"/>
      <c r="V613" s="14"/>
      <c r="W613" s="315"/>
      <c r="X613" s="14"/>
      <c r="Y613" s="3125"/>
      <c r="Z613" s="3125"/>
      <c r="AA613" s="3125"/>
      <c r="AB613" s="3125"/>
      <c r="AC613" s="3125"/>
      <c r="AD613" s="3125"/>
      <c r="AE613" s="3125"/>
      <c r="AF613" s="3125"/>
      <c r="AG613" s="3125"/>
      <c r="AH613" s="3125"/>
      <c r="AI613" s="3125"/>
      <c r="AJ613" s="3125"/>
      <c r="AK613" s="3125"/>
      <c r="AL613" s="3125"/>
      <c r="AM613" s="3125"/>
      <c r="AN613" s="3125"/>
      <c r="AO613" s="3125"/>
      <c r="AP613" s="3125"/>
      <c r="AQ613" s="3125"/>
      <c r="AR613" s="3125"/>
    </row>
    <row r="614" spans="1:44" ht="17.25" customHeight="1" x14ac:dyDescent="0.2">
      <c r="B614" s="3127"/>
      <c r="E614" s="222" t="s">
        <v>3967</v>
      </c>
      <c r="M614" s="8"/>
      <c r="N614" s="8"/>
      <c r="O614" s="8"/>
      <c r="P614" s="8"/>
      <c r="R614" s="15"/>
      <c r="S614" s="14"/>
      <c r="T614" s="14"/>
      <c r="U614" s="14"/>
      <c r="V614" s="14"/>
      <c r="W614" s="315"/>
      <c r="X614" s="14"/>
      <c r="Y614" s="3125"/>
      <c r="Z614" s="3125"/>
      <c r="AA614" s="3125"/>
      <c r="AB614" s="3125"/>
      <c r="AC614" s="3125"/>
      <c r="AD614" s="3125"/>
      <c r="AE614" s="3125"/>
      <c r="AF614" s="3125"/>
      <c r="AG614" s="3125"/>
      <c r="AH614" s="3125"/>
      <c r="AI614" s="3125"/>
      <c r="AJ614" s="3125"/>
      <c r="AK614" s="3125"/>
      <c r="AL614" s="3125"/>
      <c r="AM614" s="3125"/>
      <c r="AN614" s="3125"/>
      <c r="AO614" s="3125"/>
      <c r="AP614" s="3125"/>
      <c r="AQ614" s="3125"/>
      <c r="AR614" s="3125"/>
    </row>
    <row r="615" spans="1:44" ht="17.25" customHeight="1" x14ac:dyDescent="0.25">
      <c r="A615" s="345" t="s">
        <v>1911</v>
      </c>
      <c r="B615" s="3127"/>
      <c r="D615" s="3075">
        <f>B571</f>
        <v>0</v>
      </c>
      <c r="E615" s="3075">
        <f>B572</f>
        <v>0</v>
      </c>
      <c r="F615" s="1164"/>
      <c r="G615" s="239"/>
      <c r="I615" s="1140"/>
      <c r="J615" s="1140"/>
      <c r="M615" s="8"/>
      <c r="N615" s="8"/>
      <c r="O615" s="8"/>
      <c r="P615" s="8"/>
      <c r="R615" s="15"/>
      <c r="S615" s="14"/>
      <c r="T615" s="14"/>
      <c r="U615" s="14"/>
      <c r="V615" s="14"/>
      <c r="W615" s="315"/>
      <c r="X615" s="14"/>
      <c r="Y615" s="3125"/>
      <c r="Z615" s="3125"/>
      <c r="AA615" s="3125"/>
      <c r="AB615" s="3125"/>
      <c r="AC615" s="3125"/>
      <c r="AD615" s="3125"/>
      <c r="AE615" s="3125"/>
      <c r="AF615" s="3125"/>
      <c r="AG615" s="3125"/>
      <c r="AH615" s="3125"/>
      <c r="AI615" s="3125"/>
      <c r="AJ615" s="3125"/>
      <c r="AK615" s="3125"/>
      <c r="AL615" s="3125"/>
      <c r="AM615" s="3125"/>
      <c r="AN615" s="3125"/>
      <c r="AO615" s="3125"/>
      <c r="AP615" s="3125"/>
      <c r="AQ615" s="3125"/>
      <c r="AR615" s="3125"/>
    </row>
    <row r="616" spans="1:44" ht="17.25" customHeight="1" x14ac:dyDescent="0.25">
      <c r="A616" s="345" t="s">
        <v>3790</v>
      </c>
      <c r="D616" s="793"/>
      <c r="E616" s="857"/>
      <c r="F616" s="1164"/>
      <c r="G616" s="239"/>
      <c r="I616" s="2467"/>
      <c r="J616" s="2467"/>
      <c r="M616" s="8"/>
      <c r="N616" s="8"/>
      <c r="O616" s="8"/>
      <c r="P616" s="8"/>
      <c r="R616" s="15"/>
      <c r="S616" s="14"/>
      <c r="T616" s="14"/>
      <c r="U616" s="14"/>
      <c r="V616" s="14"/>
      <c r="W616" s="315"/>
      <c r="X616" s="14"/>
      <c r="Y616" s="3125"/>
      <c r="Z616" s="3125"/>
      <c r="AA616" s="3125"/>
      <c r="AB616" s="3125"/>
      <c r="AC616" s="3125"/>
      <c r="AD616" s="3125"/>
      <c r="AE616" s="3125"/>
      <c r="AF616" s="3125"/>
      <c r="AG616" s="3125"/>
      <c r="AH616" s="3125"/>
      <c r="AI616" s="3125"/>
      <c r="AJ616" s="3125"/>
      <c r="AK616" s="3125"/>
      <c r="AL616" s="3125"/>
      <c r="AM616" s="3125"/>
      <c r="AN616" s="3125"/>
      <c r="AO616" s="3125"/>
      <c r="AP616" s="3125"/>
      <c r="AQ616" s="3125"/>
      <c r="AR616" s="3125"/>
    </row>
    <row r="617" spans="1:44" ht="17.25" customHeight="1" x14ac:dyDescent="0.25">
      <c r="A617" s="345" t="s">
        <v>1273</v>
      </c>
      <c r="D617" s="3075">
        <f>B608</f>
        <v>0</v>
      </c>
      <c r="E617" s="3075">
        <f>B609</f>
        <v>0</v>
      </c>
      <c r="F617" s="1164"/>
      <c r="G617" s="239"/>
      <c r="I617" s="2467"/>
      <c r="J617" s="2467"/>
      <c r="M617" s="8"/>
      <c r="N617" s="8"/>
      <c r="O617" s="8"/>
      <c r="P617" s="8"/>
      <c r="R617" s="15"/>
      <c r="S617" s="14"/>
      <c r="T617" s="14"/>
      <c r="U617" s="14"/>
      <c r="V617" s="14"/>
      <c r="W617" s="315"/>
      <c r="X617" s="14"/>
      <c r="Y617" s="3125"/>
      <c r="Z617" s="3125"/>
      <c r="AA617" s="3125"/>
      <c r="AB617" s="3125"/>
      <c r="AC617" s="3125"/>
      <c r="AD617" s="3125"/>
      <c r="AE617" s="3125"/>
      <c r="AF617" s="3125"/>
      <c r="AG617" s="3125"/>
      <c r="AH617" s="3125"/>
      <c r="AI617" s="3125"/>
      <c r="AJ617" s="3125"/>
      <c r="AK617" s="3125"/>
      <c r="AL617" s="3125"/>
      <c r="AM617" s="3125"/>
      <c r="AN617" s="3125"/>
      <c r="AO617" s="3125"/>
      <c r="AP617" s="3125"/>
      <c r="AQ617" s="3125"/>
      <c r="AR617" s="3125"/>
    </row>
    <row r="618" spans="1:44" ht="17.25" customHeight="1" x14ac:dyDescent="0.2">
      <c r="A618" s="847"/>
      <c r="D618" s="3127"/>
      <c r="G618" s="1180"/>
      <c r="I618" s="11"/>
      <c r="M618" s="8"/>
      <c r="N618" s="8"/>
      <c r="O618" s="8"/>
      <c r="P618" s="8"/>
      <c r="R618" s="15"/>
      <c r="S618" s="14"/>
      <c r="T618" s="14"/>
      <c r="U618" s="14"/>
      <c r="V618" s="14"/>
      <c r="W618" s="315"/>
      <c r="X618" s="14"/>
      <c r="Y618" s="3125"/>
      <c r="Z618" s="3125"/>
      <c r="AA618" s="3125"/>
      <c r="AB618" s="3125"/>
      <c r="AC618" s="3125"/>
      <c r="AD618" s="3125"/>
      <c r="AE618" s="3125"/>
      <c r="AF618" s="3125"/>
      <c r="AG618" s="3125"/>
      <c r="AH618" s="3125"/>
      <c r="AI618" s="3125"/>
      <c r="AJ618" s="3125"/>
      <c r="AK618" s="3125"/>
      <c r="AL618" s="3125"/>
      <c r="AM618" s="3125"/>
      <c r="AN618" s="3125"/>
      <c r="AO618" s="3125"/>
      <c r="AP618" s="3125"/>
      <c r="AQ618" s="3125"/>
      <c r="AR618" s="3125"/>
    </row>
    <row r="619" spans="1:44" s="8" customFormat="1" ht="19.5" customHeight="1" x14ac:dyDescent="0.25">
      <c r="A619" s="997" t="s">
        <v>2408</v>
      </c>
      <c r="B619" s="4016"/>
      <c r="E619" s="1020"/>
      <c r="G619" s="29"/>
      <c r="J619" s="928"/>
      <c r="Q619" s="14"/>
      <c r="R619" s="14"/>
      <c r="S619" s="14"/>
      <c r="T619" s="14"/>
      <c r="U619" s="14"/>
      <c r="V619" s="14"/>
      <c r="W619" s="14"/>
      <c r="X619" s="14"/>
      <c r="Y619" s="41"/>
      <c r="Z619" s="41"/>
      <c r="AA619" s="41"/>
      <c r="AB619" s="41"/>
      <c r="AC619" s="41"/>
      <c r="AD619" s="41"/>
      <c r="AE619" s="41"/>
      <c r="AF619" s="41"/>
      <c r="AG619" s="41"/>
      <c r="AH619" s="41"/>
      <c r="AI619" s="41"/>
      <c r="AJ619" s="41"/>
      <c r="AK619" s="41"/>
      <c r="AL619" s="41"/>
      <c r="AM619" s="41"/>
      <c r="AN619" s="41"/>
      <c r="AO619" s="41"/>
      <c r="AP619" s="41"/>
      <c r="AQ619" s="41"/>
      <c r="AR619" s="41"/>
    </row>
    <row r="620" spans="1:44" s="8" customFormat="1" ht="19.5" customHeight="1" x14ac:dyDescent="0.2">
      <c r="B620" s="4016"/>
      <c r="E620" s="1020"/>
      <c r="G620" s="222" t="s">
        <v>3967</v>
      </c>
      <c r="Q620" s="14"/>
      <c r="R620" s="14"/>
      <c r="S620" s="14"/>
      <c r="T620" s="14"/>
      <c r="U620" s="14"/>
      <c r="V620" s="14"/>
      <c r="W620" s="14"/>
      <c r="X620" s="14"/>
      <c r="Y620" s="41"/>
      <c r="Z620" s="41"/>
      <c r="AA620" s="41"/>
      <c r="AB620" s="41"/>
      <c r="AC620" s="41"/>
      <c r="AD620" s="41"/>
      <c r="AE620" s="41"/>
      <c r="AF620" s="41"/>
      <c r="AG620" s="41"/>
      <c r="AH620" s="41"/>
      <c r="AI620" s="41"/>
      <c r="AJ620" s="41"/>
      <c r="AK620" s="41"/>
      <c r="AL620" s="41"/>
      <c r="AM620" s="41"/>
      <c r="AN620" s="41"/>
      <c r="AO620" s="41"/>
      <c r="AP620" s="41"/>
      <c r="AQ620" s="41"/>
      <c r="AR620" s="41"/>
    </row>
    <row r="621" spans="1:44" s="8" customFormat="1" ht="19.5" customHeight="1" x14ac:dyDescent="0.25">
      <c r="A621" s="1077" t="s">
        <v>1911</v>
      </c>
      <c r="B621" s="4016"/>
      <c r="E621" s="1020"/>
      <c r="F621" s="857">
        <f>D615</f>
        <v>0</v>
      </c>
      <c r="G621" s="857">
        <f>E615</f>
        <v>0</v>
      </c>
      <c r="H621" s="899"/>
      <c r="I621" s="864"/>
      <c r="Q621" s="14"/>
      <c r="R621" s="14"/>
      <c r="S621" s="14"/>
      <c r="T621" s="14"/>
      <c r="U621" s="14"/>
      <c r="V621" s="14"/>
      <c r="W621" s="14"/>
      <c r="X621" s="14"/>
      <c r="Y621" s="41"/>
      <c r="Z621" s="41"/>
      <c r="AA621" s="41"/>
      <c r="AB621" s="41"/>
      <c r="AC621" s="41"/>
      <c r="AD621" s="41"/>
      <c r="AE621" s="41"/>
      <c r="AF621" s="41"/>
      <c r="AG621" s="41"/>
      <c r="AH621" s="41"/>
      <c r="AI621" s="41"/>
      <c r="AJ621" s="41"/>
      <c r="AK621" s="41"/>
      <c r="AL621" s="41"/>
      <c r="AM621" s="41"/>
      <c r="AN621" s="41"/>
      <c r="AO621" s="41"/>
      <c r="AP621" s="41"/>
      <c r="AQ621" s="41"/>
      <c r="AR621" s="41"/>
    </row>
    <row r="622" spans="1:44" s="8" customFormat="1" ht="19.5" customHeight="1" x14ac:dyDescent="0.25">
      <c r="A622" s="1077" t="s">
        <v>3790</v>
      </c>
      <c r="E622" s="1020"/>
      <c r="F622" s="857">
        <f>D616</f>
        <v>0</v>
      </c>
      <c r="H622" s="898"/>
      <c r="Q622" s="14"/>
      <c r="R622" s="14"/>
      <c r="S622" s="14"/>
      <c r="T622" s="14"/>
      <c r="U622" s="14"/>
      <c r="V622" s="14"/>
      <c r="W622" s="14"/>
      <c r="X622" s="14"/>
      <c r="Y622" s="41"/>
      <c r="Z622" s="41"/>
      <c r="AA622" s="41"/>
      <c r="AB622" s="41"/>
      <c r="AC622" s="41"/>
      <c r="AD622" s="41"/>
      <c r="AE622" s="41"/>
      <c r="AF622" s="41"/>
      <c r="AG622" s="41"/>
      <c r="AH622" s="41"/>
      <c r="AI622" s="41"/>
      <c r="AJ622" s="41"/>
      <c r="AK622" s="41"/>
      <c r="AL622" s="41"/>
      <c r="AM622" s="41"/>
      <c r="AN622" s="41"/>
      <c r="AO622" s="41"/>
      <c r="AP622" s="41"/>
      <c r="AQ622" s="41"/>
      <c r="AR622" s="41"/>
    </row>
    <row r="623" spans="1:44" s="8" customFormat="1" ht="19.5" customHeight="1" x14ac:dyDescent="0.25">
      <c r="A623" s="1077" t="s">
        <v>1273</v>
      </c>
      <c r="E623" s="1020"/>
      <c r="F623" s="857">
        <f>D617</f>
        <v>0</v>
      </c>
      <c r="G623" s="857">
        <f>E617</f>
        <v>0</v>
      </c>
      <c r="H623" s="944"/>
      <c r="I623" s="857"/>
      <c r="Q623" s="14"/>
      <c r="R623" s="14"/>
      <c r="S623" s="14"/>
      <c r="T623" s="14"/>
      <c r="U623" s="14"/>
      <c r="V623" s="14"/>
      <c r="W623" s="14"/>
      <c r="X623" s="14"/>
      <c r="Y623" s="41"/>
      <c r="Z623" s="41"/>
      <c r="AA623" s="41"/>
      <c r="AB623" s="41"/>
      <c r="AC623" s="41"/>
      <c r="AD623" s="41"/>
      <c r="AE623" s="41"/>
      <c r="AF623" s="41"/>
      <c r="AG623" s="41"/>
      <c r="AH623" s="41"/>
      <c r="AI623" s="41"/>
      <c r="AJ623" s="41"/>
      <c r="AK623" s="41"/>
      <c r="AL623" s="41"/>
      <c r="AM623" s="41"/>
      <c r="AN623" s="41"/>
      <c r="AO623" s="41"/>
      <c r="AP623" s="41"/>
      <c r="AQ623" s="41"/>
      <c r="AR623" s="41"/>
    </row>
    <row r="624" spans="1:44" s="8" customFormat="1" ht="19.5" customHeight="1" x14ac:dyDescent="0.25">
      <c r="A624" s="953"/>
      <c r="B624" s="239"/>
      <c r="C624" s="239"/>
      <c r="D624" s="239"/>
      <c r="E624" s="239"/>
      <c r="F624" s="2763"/>
      <c r="G624" s="1077"/>
      <c r="K624" s="1020"/>
      <c r="L624" s="239"/>
      <c r="M624" s="239"/>
      <c r="N624" s="1164"/>
      <c r="O624" s="239"/>
      <c r="Q624" s="14"/>
      <c r="R624" s="14"/>
      <c r="S624" s="14"/>
      <c r="T624" s="14"/>
      <c r="U624" s="14"/>
      <c r="V624" s="14"/>
      <c r="W624" s="14"/>
      <c r="X624" s="14"/>
      <c r="Y624" s="41"/>
      <c r="Z624" s="41"/>
      <c r="AA624" s="41"/>
      <c r="AB624" s="41"/>
      <c r="AC624" s="41"/>
      <c r="AD624" s="41"/>
      <c r="AE624" s="41"/>
      <c r="AF624" s="41"/>
      <c r="AG624" s="41"/>
      <c r="AH624" s="41"/>
      <c r="AI624" s="41"/>
      <c r="AJ624" s="41"/>
      <c r="AK624" s="41"/>
      <c r="AL624" s="41"/>
      <c r="AM624" s="41"/>
      <c r="AN624" s="41"/>
      <c r="AO624" s="41"/>
      <c r="AP624" s="41"/>
      <c r="AQ624" s="41"/>
      <c r="AR624" s="41"/>
    </row>
    <row r="625" spans="1:44" s="8" customFormat="1" ht="17.25" customHeight="1" x14ac:dyDescent="0.2">
      <c r="A625" s="4017"/>
      <c r="C625" s="218"/>
      <c r="G625" s="1020"/>
      <c r="I625" s="29"/>
      <c r="R625" s="14"/>
      <c r="S625" s="14"/>
      <c r="T625" s="14"/>
      <c r="U625" s="14"/>
      <c r="V625" s="14"/>
      <c r="W625" s="315"/>
      <c r="X625" s="14"/>
      <c r="Y625" s="41"/>
      <c r="Z625" s="41"/>
      <c r="AA625" s="41"/>
      <c r="AB625" s="41"/>
      <c r="AC625" s="41"/>
      <c r="AD625" s="41"/>
      <c r="AE625" s="41"/>
      <c r="AF625" s="41"/>
      <c r="AG625" s="41"/>
      <c r="AH625" s="41"/>
      <c r="AI625" s="41"/>
      <c r="AJ625" s="41"/>
      <c r="AK625" s="41"/>
      <c r="AL625" s="41"/>
      <c r="AM625" s="41"/>
      <c r="AN625" s="41"/>
      <c r="AO625" s="41"/>
      <c r="AP625" s="41"/>
      <c r="AQ625" s="41"/>
      <c r="AR625" s="41"/>
    </row>
    <row r="626" spans="1:44" ht="17.25" customHeight="1" x14ac:dyDescent="0.25">
      <c r="A626" s="1015" t="s">
        <v>236</v>
      </c>
      <c r="G626" s="233"/>
      <c r="I626" s="11"/>
      <c r="M626" s="8"/>
      <c r="N626" s="8"/>
      <c r="O626" s="8"/>
      <c r="P626" s="8"/>
      <c r="R626" s="15"/>
      <c r="S626" s="14"/>
      <c r="T626" s="14"/>
      <c r="U626" s="14"/>
      <c r="V626" s="14"/>
      <c r="W626" s="315"/>
      <c r="X626" s="14"/>
      <c r="Y626" s="42"/>
      <c r="Z626" s="42"/>
      <c r="AA626" s="42"/>
      <c r="AB626" s="42"/>
      <c r="AC626" s="42"/>
      <c r="AD626" s="42"/>
      <c r="AE626" s="42"/>
      <c r="AF626" s="42"/>
      <c r="AG626" s="42"/>
      <c r="AH626" s="42"/>
      <c r="AI626" s="42"/>
      <c r="AJ626" s="42"/>
      <c r="AK626" s="42"/>
      <c r="AL626" s="42"/>
      <c r="AM626" s="42"/>
      <c r="AN626" s="42"/>
      <c r="AO626" s="42"/>
      <c r="AP626" s="42"/>
      <c r="AQ626" s="42"/>
      <c r="AR626" s="42"/>
    </row>
    <row r="627" spans="1:44" ht="17.25" customHeight="1" x14ac:dyDescent="0.25">
      <c r="A627" s="1015" t="s">
        <v>2786</v>
      </c>
      <c r="G627" s="233"/>
      <c r="I627" s="11"/>
      <c r="M627" s="8"/>
      <c r="N627" s="8"/>
      <c r="O627" s="8"/>
      <c r="P627" s="8"/>
      <c r="R627" s="15"/>
      <c r="S627" s="14"/>
      <c r="T627" s="14"/>
      <c r="U627" s="14"/>
      <c r="V627" s="14"/>
      <c r="W627" s="315"/>
      <c r="X627" s="14"/>
      <c r="Y627" s="42"/>
      <c r="Z627" s="42"/>
      <c r="AA627" s="42"/>
      <c r="AB627" s="42"/>
      <c r="AC627" s="42"/>
      <c r="AD627" s="42"/>
      <c r="AE627" s="42"/>
      <c r="AF627" s="42"/>
      <c r="AG627" s="42"/>
      <c r="AH627" s="42"/>
      <c r="AI627" s="42"/>
      <c r="AJ627" s="42"/>
      <c r="AK627" s="42"/>
      <c r="AL627" s="42"/>
      <c r="AM627" s="42"/>
      <c r="AN627" s="42"/>
      <c r="AO627" s="42"/>
      <c r="AP627" s="42"/>
      <c r="AQ627" s="42"/>
      <c r="AR627" s="42"/>
    </row>
    <row r="628" spans="1:44" ht="17.25" customHeight="1" x14ac:dyDescent="0.3">
      <c r="A628" s="212"/>
      <c r="B628" s="1016" t="s">
        <v>4173</v>
      </c>
      <c r="G628" s="233"/>
      <c r="I628" s="11"/>
      <c r="K628" s="1017">
        <f>ROW(629:629)</f>
        <v>629</v>
      </c>
      <c r="N628" s="8"/>
      <c r="O628" s="8"/>
      <c r="P628" s="8"/>
      <c r="R628" s="15"/>
      <c r="S628" s="14"/>
      <c r="T628" s="14"/>
      <c r="U628" s="14"/>
      <c r="V628" s="14"/>
      <c r="W628" s="315"/>
      <c r="X628" s="14"/>
      <c r="Y628" s="42"/>
      <c r="Z628" s="42"/>
      <c r="AA628" s="42"/>
      <c r="AB628" s="42"/>
      <c r="AC628" s="42"/>
      <c r="AD628" s="42"/>
      <c r="AE628" s="42"/>
      <c r="AF628" s="42"/>
      <c r="AG628" s="42"/>
      <c r="AH628" s="42"/>
      <c r="AI628" s="42"/>
      <c r="AJ628" s="42"/>
      <c r="AK628" s="42"/>
      <c r="AL628" s="42"/>
      <c r="AM628" s="42"/>
      <c r="AN628" s="42"/>
      <c r="AO628" s="42"/>
      <c r="AP628" s="42"/>
      <c r="AQ628" s="42"/>
      <c r="AR628" s="42"/>
    </row>
    <row r="629" spans="1:44" ht="17.25" customHeight="1" x14ac:dyDescent="0.2">
      <c r="A629" s="308"/>
      <c r="B629" s="243"/>
      <c r="C629" s="907" t="s">
        <v>5374</v>
      </c>
      <c r="D629" s="6"/>
      <c r="E629" s="6"/>
      <c r="F629" s="6"/>
      <c r="G629" s="906"/>
      <c r="H629" s="6"/>
      <c r="I629" s="28"/>
      <c r="J629" s="6"/>
      <c r="K629" s="6"/>
      <c r="L629" s="6"/>
      <c r="M629" s="6"/>
      <c r="N629" s="6"/>
      <c r="O629" s="6"/>
      <c r="R629" s="15"/>
      <c r="S629" s="14"/>
      <c r="T629" s="14"/>
      <c r="U629" s="14"/>
      <c r="V629" s="14"/>
      <c r="W629" s="315"/>
      <c r="X629" s="14"/>
      <c r="Y629" s="42"/>
      <c r="Z629" s="42"/>
      <c r="AA629" s="42"/>
      <c r="AB629" s="42"/>
      <c r="AC629" s="42"/>
      <c r="AD629" s="42"/>
      <c r="AE629" s="42"/>
      <c r="AF629" s="42"/>
      <c r="AG629" s="42"/>
      <c r="AH629" s="42"/>
      <c r="AI629" s="42"/>
      <c r="AJ629" s="42"/>
      <c r="AK629" s="42"/>
      <c r="AL629" s="42"/>
      <c r="AM629" s="42"/>
      <c r="AN629" s="42"/>
      <c r="AO629" s="42"/>
      <c r="AP629" s="42"/>
      <c r="AQ629" s="42"/>
      <c r="AR629" s="42"/>
    </row>
    <row r="630" spans="1:44" ht="17.25" customHeight="1" x14ac:dyDescent="0.2">
      <c r="A630" s="833"/>
      <c r="B630" s="222"/>
      <c r="C630" s="1019"/>
      <c r="D630" s="8"/>
      <c r="E630" s="8"/>
      <c r="F630" s="8"/>
      <c r="G630" s="1020"/>
      <c r="H630" s="8"/>
      <c r="I630" s="29"/>
      <c r="J630" s="8"/>
      <c r="K630" s="8"/>
      <c r="L630" s="8"/>
      <c r="M630" s="8"/>
      <c r="N630" s="8"/>
      <c r="O630" s="8"/>
      <c r="R630" s="15"/>
      <c r="S630" s="14"/>
      <c r="T630" s="14"/>
      <c r="U630" s="14"/>
      <c r="V630" s="14"/>
      <c r="W630" s="315"/>
      <c r="X630" s="14"/>
      <c r="Y630" s="42"/>
      <c r="Z630" s="42"/>
      <c r="AA630" s="42"/>
      <c r="AB630" s="42"/>
      <c r="AC630" s="42"/>
      <c r="AD630" s="42"/>
      <c r="AE630" s="42"/>
      <c r="AF630" s="42"/>
      <c r="AG630" s="42"/>
      <c r="AH630" s="42"/>
      <c r="AI630" s="42"/>
      <c r="AJ630" s="42"/>
      <c r="AK630" s="42"/>
      <c r="AL630" s="42"/>
      <c r="AM630" s="42"/>
      <c r="AN630" s="42"/>
      <c r="AO630" s="42"/>
      <c r="AP630" s="42"/>
      <c r="AQ630" s="42"/>
      <c r="AR630" s="42"/>
    </row>
    <row r="631" spans="1:44" ht="17.25" customHeight="1" x14ac:dyDescent="0.2">
      <c r="A631" s="1027" t="s">
        <v>5550</v>
      </c>
      <c r="B631" s="222"/>
      <c r="C631" s="1019"/>
      <c r="D631" s="8"/>
      <c r="E631" s="8"/>
      <c r="F631" s="8"/>
      <c r="G631" s="1020"/>
      <c r="H631" s="8"/>
      <c r="I631" s="29"/>
      <c r="J631" s="8"/>
      <c r="K631" s="8"/>
      <c r="L631" s="8"/>
      <c r="M631" s="8"/>
      <c r="N631" s="8"/>
      <c r="O631" s="8"/>
      <c r="R631" s="15"/>
      <c r="S631" s="14"/>
      <c r="T631" s="14"/>
      <c r="U631" s="14"/>
      <c r="V631" s="14"/>
      <c r="W631" s="315"/>
      <c r="X631" s="14"/>
      <c r="Y631" s="42"/>
      <c r="Z631" s="42"/>
      <c r="AA631" s="42"/>
      <c r="AB631" s="42"/>
      <c r="AC631" s="42"/>
      <c r="AD631" s="42"/>
      <c r="AE631" s="42"/>
      <c r="AF631" s="42"/>
      <c r="AG631" s="42"/>
      <c r="AH631" s="42"/>
      <c r="AI631" s="42"/>
      <c r="AJ631" s="42"/>
      <c r="AK631" s="42"/>
      <c r="AL631" s="42"/>
      <c r="AM631" s="42"/>
      <c r="AN631" s="42"/>
      <c r="AO631" s="42"/>
      <c r="AP631" s="42"/>
      <c r="AQ631" s="42"/>
      <c r="AR631" s="42"/>
    </row>
    <row r="632" spans="1:44" ht="17.25" customHeight="1" x14ac:dyDescent="0.2">
      <c r="A632" s="1027" t="s">
        <v>2348</v>
      </c>
      <c r="B632" s="222"/>
      <c r="C632" s="1019"/>
      <c r="D632" s="8"/>
      <c r="E632" s="8"/>
      <c r="F632" s="8"/>
      <c r="G632" s="1020"/>
      <c r="H632" s="8"/>
      <c r="I632" s="29"/>
      <c r="J632" s="8"/>
      <c r="K632" s="8"/>
      <c r="L632" s="8"/>
      <c r="M632" s="8"/>
      <c r="N632" s="8"/>
      <c r="O632" s="8"/>
      <c r="R632" s="15"/>
      <c r="S632" s="14"/>
      <c r="T632" s="14"/>
      <c r="U632" s="14"/>
      <c r="V632" s="14"/>
      <c r="W632" s="315"/>
      <c r="X632" s="14"/>
      <c r="Y632" s="42"/>
      <c r="Z632" s="42"/>
      <c r="AA632" s="42"/>
      <c r="AB632" s="42"/>
      <c r="AC632" s="42"/>
      <c r="AD632" s="42"/>
      <c r="AE632" s="42"/>
      <c r="AF632" s="42"/>
      <c r="AG632" s="42"/>
      <c r="AH632" s="42"/>
      <c r="AI632" s="42"/>
      <c r="AJ632" s="42"/>
      <c r="AK632" s="42"/>
      <c r="AL632" s="42"/>
      <c r="AM632" s="42"/>
      <c r="AN632" s="42"/>
      <c r="AO632" s="42"/>
      <c r="AP632" s="42"/>
      <c r="AQ632" s="42"/>
      <c r="AR632" s="42"/>
    </row>
    <row r="633" spans="1:44" ht="17.25" customHeight="1" x14ac:dyDescent="0.2">
      <c r="A633" s="1027" t="s">
        <v>3802</v>
      </c>
      <c r="B633" s="222"/>
      <c r="C633" s="1019"/>
      <c r="D633" s="8"/>
      <c r="E633" s="8"/>
      <c r="F633" s="8"/>
      <c r="G633" s="1020"/>
      <c r="H633" s="8"/>
      <c r="I633" s="29"/>
      <c r="J633" s="8"/>
      <c r="K633" s="8"/>
      <c r="L633" s="8"/>
      <c r="M633" s="8"/>
      <c r="N633" s="8"/>
      <c r="O633" s="8"/>
      <c r="R633" s="15"/>
      <c r="S633" s="14"/>
      <c r="T633" s="14"/>
      <c r="U633" s="14"/>
      <c r="V633" s="14"/>
      <c r="W633" s="315"/>
      <c r="X633" s="14"/>
      <c r="Y633" s="42"/>
      <c r="Z633" s="42"/>
      <c r="AA633" s="42"/>
      <c r="AB633" s="42"/>
      <c r="AC633" s="42"/>
      <c r="AD633" s="42"/>
      <c r="AE633" s="42"/>
      <c r="AF633" s="42"/>
      <c r="AG633" s="42"/>
      <c r="AH633" s="42"/>
      <c r="AI633" s="42"/>
      <c r="AJ633" s="42"/>
      <c r="AK633" s="42"/>
      <c r="AL633" s="42"/>
      <c r="AM633" s="42"/>
      <c r="AN633" s="42"/>
      <c r="AO633" s="42"/>
      <c r="AP633" s="42"/>
      <c r="AQ633" s="42"/>
      <c r="AR633" s="42"/>
    </row>
    <row r="634" spans="1:44" ht="17.25" customHeight="1" x14ac:dyDescent="0.2">
      <c r="A634" s="833"/>
      <c r="B634" s="222"/>
      <c r="C634" s="1019"/>
      <c r="D634" s="8"/>
      <c r="E634" s="8"/>
      <c r="F634" s="8"/>
      <c r="G634" s="1020"/>
      <c r="H634" s="8"/>
      <c r="I634" s="29"/>
      <c r="J634" s="8"/>
      <c r="K634" s="8"/>
      <c r="L634" s="8"/>
      <c r="M634" s="8"/>
      <c r="N634" s="8"/>
      <c r="O634" s="8"/>
      <c r="R634" s="15"/>
      <c r="S634" s="14"/>
      <c r="T634" s="14"/>
      <c r="U634" s="14"/>
      <c r="V634" s="14"/>
      <c r="W634" s="315"/>
      <c r="X634" s="14"/>
      <c r="Y634" s="42"/>
      <c r="Z634" s="42"/>
      <c r="AA634" s="42"/>
      <c r="AB634" s="42"/>
      <c r="AC634" s="42"/>
      <c r="AD634" s="42"/>
      <c r="AE634" s="42"/>
      <c r="AF634" s="42"/>
      <c r="AG634" s="42"/>
      <c r="AH634" s="42"/>
      <c r="AI634" s="42"/>
      <c r="AJ634" s="42"/>
      <c r="AK634" s="42"/>
      <c r="AL634" s="42"/>
      <c r="AM634" s="42"/>
      <c r="AN634" s="42"/>
      <c r="AO634" s="42"/>
      <c r="AP634" s="42"/>
      <c r="AQ634" s="42"/>
      <c r="AR634" s="42"/>
    </row>
    <row r="635" spans="1:44" ht="17.25" customHeight="1" x14ac:dyDescent="0.2">
      <c r="A635" s="833"/>
      <c r="B635" s="222"/>
      <c r="C635" s="1019"/>
      <c r="D635" s="8"/>
      <c r="E635" s="8"/>
      <c r="F635" s="8"/>
      <c r="G635" s="1020"/>
      <c r="H635" s="8"/>
      <c r="I635" s="29"/>
      <c r="J635" s="8"/>
      <c r="K635" s="8"/>
      <c r="L635" s="8"/>
      <c r="M635" s="8"/>
      <c r="N635" s="8"/>
      <c r="O635" s="8"/>
      <c r="R635" s="15"/>
      <c r="S635" s="14"/>
      <c r="T635" s="14"/>
      <c r="U635" s="14"/>
      <c r="V635" s="14"/>
      <c r="W635" s="315"/>
      <c r="X635" s="14"/>
      <c r="Y635" s="42"/>
      <c r="Z635" s="42"/>
      <c r="AA635" s="42"/>
      <c r="AB635" s="42"/>
      <c r="AC635" s="42"/>
      <c r="AD635" s="42"/>
      <c r="AE635" s="42"/>
      <c r="AF635" s="42"/>
      <c r="AG635" s="42"/>
      <c r="AH635" s="42"/>
      <c r="AI635" s="42"/>
      <c r="AJ635" s="42"/>
      <c r="AK635" s="42"/>
      <c r="AL635" s="42"/>
      <c r="AM635" s="42"/>
      <c r="AN635" s="42"/>
      <c r="AO635" s="42"/>
      <c r="AP635" s="42"/>
      <c r="AQ635" s="42"/>
      <c r="AR635" s="42"/>
    </row>
    <row r="636" spans="1:44" ht="17.25" customHeight="1" x14ac:dyDescent="0.2">
      <c r="A636" s="833"/>
      <c r="B636" s="222"/>
      <c r="C636" s="1019"/>
      <c r="D636" s="8"/>
      <c r="E636" s="8"/>
      <c r="F636" s="8"/>
      <c r="G636" s="1020"/>
      <c r="H636" s="8"/>
      <c r="I636" s="29"/>
      <c r="J636" s="8"/>
      <c r="K636" s="8"/>
      <c r="L636" s="8"/>
      <c r="M636" s="8"/>
      <c r="N636" s="8"/>
      <c r="O636" s="8"/>
      <c r="R636" s="15"/>
      <c r="S636" s="14"/>
      <c r="T636" s="14"/>
      <c r="U636" s="14"/>
      <c r="V636" s="14"/>
      <c r="W636" s="315"/>
      <c r="X636" s="14"/>
      <c r="Y636" s="42"/>
      <c r="Z636" s="42"/>
      <c r="AA636" s="42"/>
      <c r="AB636" s="42"/>
      <c r="AC636" s="42"/>
      <c r="AD636" s="42"/>
      <c r="AE636" s="42"/>
      <c r="AF636" s="42"/>
      <c r="AG636" s="42"/>
      <c r="AH636" s="42"/>
      <c r="AI636" s="42"/>
      <c r="AJ636" s="42"/>
      <c r="AK636" s="42"/>
      <c r="AL636" s="42"/>
      <c r="AM636" s="42"/>
      <c r="AN636" s="42"/>
      <c r="AO636" s="42"/>
      <c r="AP636" s="42"/>
      <c r="AQ636" s="42"/>
      <c r="AR636" s="42"/>
    </row>
    <row r="637" spans="1:44" ht="17.25" customHeight="1" x14ac:dyDescent="0.2">
      <c r="A637" s="833"/>
      <c r="B637" s="222"/>
      <c r="C637" s="1019"/>
      <c r="D637" s="8"/>
      <c r="E637" s="8"/>
      <c r="F637" s="8"/>
      <c r="G637" s="1020"/>
      <c r="H637" s="8"/>
      <c r="I637" s="29"/>
      <c r="J637" s="8"/>
      <c r="K637" s="8"/>
      <c r="L637" s="8"/>
      <c r="M637" s="8"/>
      <c r="N637" s="8"/>
      <c r="O637" s="8"/>
      <c r="R637" s="15"/>
      <c r="S637" s="14"/>
      <c r="T637" s="14"/>
      <c r="U637" s="14"/>
      <c r="V637" s="14"/>
      <c r="W637" s="315"/>
      <c r="X637" s="14"/>
      <c r="Y637" s="42"/>
      <c r="Z637" s="42"/>
      <c r="AA637" s="42"/>
      <c r="AB637" s="42"/>
      <c r="AC637" s="42"/>
      <c r="AD637" s="42"/>
      <c r="AE637" s="42"/>
      <c r="AF637" s="42"/>
      <c r="AG637" s="42"/>
      <c r="AH637" s="42"/>
      <c r="AI637" s="42"/>
      <c r="AJ637" s="42"/>
      <c r="AK637" s="42"/>
      <c r="AL637" s="42"/>
      <c r="AM637" s="42"/>
      <c r="AN637" s="42"/>
      <c r="AO637" s="42"/>
      <c r="AP637" s="42"/>
      <c r="AQ637" s="42"/>
      <c r="AR637" s="42"/>
    </row>
    <row r="638" spans="1:44" ht="17.25" customHeight="1" x14ac:dyDescent="0.2">
      <c r="A638" s="833"/>
      <c r="B638" s="222"/>
      <c r="C638" s="1019"/>
      <c r="D638" s="8"/>
      <c r="E638" s="8"/>
      <c r="F638" s="8"/>
      <c r="G638" s="1020"/>
      <c r="H638" s="8"/>
      <c r="I638" s="29"/>
      <c r="J638" s="8"/>
      <c r="K638" s="8"/>
      <c r="L638" s="8"/>
      <c r="M638" s="8"/>
      <c r="N638" s="8"/>
      <c r="O638" s="8"/>
      <c r="R638" s="15"/>
      <c r="S638" s="14"/>
      <c r="T638" s="14"/>
      <c r="U638" s="14"/>
      <c r="V638" s="14"/>
      <c r="W638" s="315"/>
      <c r="X638" s="14"/>
      <c r="Y638" s="42"/>
      <c r="Z638" s="42"/>
      <c r="AA638" s="42"/>
      <c r="AB638" s="42"/>
      <c r="AC638" s="42"/>
      <c r="AD638" s="42"/>
      <c r="AE638" s="42"/>
      <c r="AF638" s="42"/>
      <c r="AG638" s="42"/>
      <c r="AH638" s="42"/>
      <c r="AI638" s="42"/>
      <c r="AJ638" s="42"/>
      <c r="AK638" s="42"/>
      <c r="AL638" s="42"/>
      <c r="AM638" s="42"/>
      <c r="AN638" s="42"/>
      <c r="AO638" s="42"/>
      <c r="AP638" s="42"/>
      <c r="AQ638" s="42"/>
      <c r="AR638" s="42"/>
    </row>
    <row r="639" spans="1:44" ht="17.25" customHeight="1" x14ac:dyDescent="0.2">
      <c r="A639" s="833"/>
      <c r="B639" s="222"/>
      <c r="C639" s="1019"/>
      <c r="D639" s="8"/>
      <c r="E639" s="8"/>
      <c r="F639" s="8"/>
      <c r="G639" s="1020"/>
      <c r="H639" s="8"/>
      <c r="I639" s="29"/>
      <c r="J639" s="8"/>
      <c r="K639" s="8"/>
      <c r="L639" s="8"/>
      <c r="M639" s="8"/>
      <c r="N639" s="8"/>
      <c r="O639" s="8"/>
      <c r="R639" s="15"/>
      <c r="S639" s="14"/>
      <c r="T639" s="14"/>
      <c r="U639" s="14"/>
      <c r="V639" s="14"/>
      <c r="W639" s="315"/>
      <c r="X639" s="14"/>
      <c r="Y639" s="42"/>
      <c r="Z639" s="42"/>
      <c r="AA639" s="42"/>
      <c r="AB639" s="42"/>
      <c r="AC639" s="42"/>
      <c r="AD639" s="42"/>
      <c r="AE639" s="42"/>
      <c r="AF639" s="42"/>
      <c r="AG639" s="42"/>
      <c r="AH639" s="42"/>
      <c r="AI639" s="42"/>
      <c r="AJ639" s="42"/>
      <c r="AK639" s="42"/>
      <c r="AL639" s="42"/>
      <c r="AM639" s="42"/>
      <c r="AN639" s="42"/>
      <c r="AO639" s="42"/>
      <c r="AP639" s="42"/>
      <c r="AQ639" s="42"/>
      <c r="AR639" s="42"/>
    </row>
    <row r="640" spans="1:44" ht="17.25" customHeight="1" x14ac:dyDescent="0.2">
      <c r="A640" s="833"/>
      <c r="B640" s="222"/>
      <c r="C640" s="1019"/>
      <c r="D640" s="8"/>
      <c r="E640" s="8"/>
      <c r="F640" s="8"/>
      <c r="G640" s="1020"/>
      <c r="H640" s="8"/>
      <c r="I640" s="29"/>
      <c r="J640" s="8"/>
      <c r="K640" s="8"/>
      <c r="L640" s="8"/>
      <c r="M640" s="8"/>
      <c r="N640" s="8"/>
      <c r="O640" s="8"/>
      <c r="R640" s="15"/>
      <c r="S640" s="14"/>
      <c r="T640" s="14"/>
      <c r="U640" s="14"/>
      <c r="V640" s="14"/>
      <c r="W640" s="315"/>
      <c r="X640" s="14"/>
      <c r="Y640" s="42"/>
      <c r="Z640" s="42"/>
      <c r="AA640" s="42"/>
      <c r="AB640" s="42"/>
      <c r="AC640" s="42"/>
      <c r="AD640" s="42"/>
      <c r="AE640" s="42"/>
      <c r="AF640" s="42"/>
      <c r="AG640" s="42"/>
      <c r="AH640" s="42"/>
      <c r="AI640" s="42"/>
      <c r="AJ640" s="42"/>
      <c r="AK640" s="42"/>
      <c r="AL640" s="42"/>
      <c r="AM640" s="42"/>
      <c r="AN640" s="42"/>
      <c r="AO640" s="42"/>
      <c r="AP640" s="42"/>
      <c r="AQ640" s="42"/>
      <c r="AR640" s="42"/>
    </row>
    <row r="641" spans="1:44" ht="17.25" customHeight="1" x14ac:dyDescent="0.2">
      <c r="A641" s="833"/>
      <c r="B641" s="222"/>
      <c r="C641" s="1019"/>
      <c r="D641" s="8"/>
      <c r="E641" s="8"/>
      <c r="F641" s="8"/>
      <c r="G641" s="1020"/>
      <c r="H641" s="8"/>
      <c r="I641" s="29"/>
      <c r="J641" s="8"/>
      <c r="K641" s="8"/>
      <c r="L641" s="8"/>
      <c r="M641" s="8"/>
      <c r="N641" s="8"/>
      <c r="O641" s="8"/>
      <c r="R641" s="15"/>
      <c r="S641" s="14"/>
      <c r="T641" s="14"/>
      <c r="U641" s="14"/>
      <c r="V641" s="14"/>
      <c r="W641" s="315"/>
      <c r="X641" s="14"/>
      <c r="Y641" s="42"/>
      <c r="Z641" s="42"/>
      <c r="AA641" s="42"/>
      <c r="AB641" s="42"/>
      <c r="AC641" s="42"/>
      <c r="AD641" s="42"/>
      <c r="AE641" s="42"/>
      <c r="AF641" s="42"/>
      <c r="AG641" s="42"/>
      <c r="AH641" s="42"/>
      <c r="AI641" s="42"/>
      <c r="AJ641" s="42"/>
      <c r="AK641" s="42"/>
      <c r="AL641" s="42"/>
      <c r="AM641" s="42"/>
      <c r="AN641" s="42"/>
      <c r="AO641" s="42"/>
      <c r="AP641" s="42"/>
      <c r="AQ641" s="42"/>
      <c r="AR641" s="42"/>
    </row>
    <row r="642" spans="1:44" ht="17.25" customHeight="1" x14ac:dyDescent="0.2">
      <c r="A642" s="833"/>
      <c r="B642" s="222"/>
      <c r="C642" s="1019"/>
      <c r="D642" s="8"/>
      <c r="E642" s="8"/>
      <c r="F642" s="8"/>
      <c r="G642" s="1020"/>
      <c r="H642" s="8"/>
      <c r="I642" s="29"/>
      <c r="J642" s="8"/>
      <c r="K642" s="8"/>
      <c r="L642" s="8"/>
      <c r="M642" s="8"/>
      <c r="N642" s="8"/>
      <c r="O642" s="8"/>
      <c r="R642" s="15"/>
      <c r="S642" s="14"/>
      <c r="T642" s="14"/>
      <c r="U642" s="14"/>
      <c r="V642" s="14"/>
      <c r="W642" s="315"/>
      <c r="X642" s="14"/>
      <c r="Y642" s="42"/>
      <c r="Z642" s="42"/>
      <c r="AA642" s="42"/>
      <c r="AB642" s="42"/>
      <c r="AC642" s="42"/>
      <c r="AD642" s="42"/>
      <c r="AE642" s="42"/>
      <c r="AF642" s="42"/>
      <c r="AG642" s="42"/>
      <c r="AH642" s="42"/>
      <c r="AI642" s="42"/>
      <c r="AJ642" s="42"/>
      <c r="AK642" s="42"/>
      <c r="AL642" s="42"/>
      <c r="AM642" s="42"/>
      <c r="AN642" s="42"/>
      <c r="AO642" s="42"/>
      <c r="AP642" s="42"/>
      <c r="AQ642" s="42"/>
      <c r="AR642" s="42"/>
    </row>
    <row r="643" spans="1:44" ht="17.25" customHeight="1" x14ac:dyDescent="0.2">
      <c r="A643" s="833"/>
      <c r="B643" s="222"/>
      <c r="C643" s="1019"/>
      <c r="D643" s="8"/>
      <c r="E643" s="8"/>
      <c r="F643" s="8"/>
      <c r="G643" s="1020"/>
      <c r="H643" s="8"/>
      <c r="I643" s="29"/>
      <c r="J643" s="8"/>
      <c r="K643" s="8"/>
      <c r="L643" s="8"/>
      <c r="M643" s="8"/>
      <c r="N643" s="8"/>
      <c r="O643" s="8"/>
      <c r="R643" s="15"/>
      <c r="S643" s="14"/>
      <c r="T643" s="14"/>
      <c r="U643" s="14"/>
      <c r="V643" s="14"/>
      <c r="W643" s="315"/>
      <c r="X643" s="14"/>
      <c r="Y643" s="42"/>
      <c r="Z643" s="42"/>
      <c r="AA643" s="42"/>
      <c r="AB643" s="42"/>
      <c r="AC643" s="42"/>
      <c r="AD643" s="42"/>
      <c r="AE643" s="42"/>
      <c r="AF643" s="42"/>
      <c r="AG643" s="42"/>
      <c r="AH643" s="42"/>
      <c r="AI643" s="42"/>
      <c r="AJ643" s="42"/>
      <c r="AK643" s="42"/>
      <c r="AL643" s="42"/>
      <c r="AM643" s="42"/>
      <c r="AN643" s="42"/>
      <c r="AO643" s="42"/>
      <c r="AP643" s="42"/>
      <c r="AQ643" s="42"/>
      <c r="AR643" s="42"/>
    </row>
    <row r="644" spans="1:44" ht="17.25" customHeight="1" x14ac:dyDescent="0.2">
      <c r="A644" s="833"/>
      <c r="B644" s="222"/>
      <c r="C644" s="1019"/>
      <c r="D644" s="8"/>
      <c r="E644" s="8"/>
      <c r="F644" s="8"/>
      <c r="G644" s="1020"/>
      <c r="H644" s="8"/>
      <c r="I644" s="29"/>
      <c r="J644" s="8"/>
      <c r="K644" s="8"/>
      <c r="L644" s="8"/>
      <c r="M644" s="8"/>
      <c r="N644" s="8"/>
      <c r="O644" s="8"/>
      <c r="R644" s="15"/>
      <c r="S644" s="14"/>
      <c r="T644" s="14"/>
      <c r="U644" s="14"/>
      <c r="V644" s="14"/>
      <c r="W644" s="315"/>
      <c r="X644" s="14"/>
      <c r="Y644" s="42"/>
      <c r="Z644" s="42"/>
      <c r="AA644" s="42"/>
      <c r="AB644" s="42"/>
      <c r="AC644" s="42"/>
      <c r="AD644" s="42"/>
      <c r="AE644" s="42"/>
      <c r="AF644" s="42"/>
      <c r="AG644" s="42"/>
      <c r="AH644" s="42"/>
      <c r="AI644" s="42"/>
      <c r="AJ644" s="42"/>
      <c r="AK644" s="42"/>
      <c r="AL644" s="42"/>
      <c r="AM644" s="42"/>
      <c r="AN644" s="42"/>
      <c r="AO644" s="42"/>
      <c r="AP644" s="42"/>
      <c r="AQ644" s="42"/>
      <c r="AR644" s="42"/>
    </row>
    <row r="645" spans="1:44" ht="17.25" customHeight="1" x14ac:dyDescent="0.2">
      <c r="A645" s="833"/>
      <c r="B645" s="222"/>
      <c r="C645" s="1019"/>
      <c r="D645" s="8"/>
      <c r="E645" s="8"/>
      <c r="F645" s="8"/>
      <c r="G645" s="1020"/>
      <c r="H645" s="8"/>
      <c r="I645" s="29"/>
      <c r="J645" s="8"/>
      <c r="K645" s="8"/>
      <c r="L645" s="8"/>
      <c r="M645" s="8"/>
      <c r="N645" s="8"/>
      <c r="O645" s="8"/>
      <c r="R645" s="15"/>
      <c r="S645" s="14"/>
      <c r="T645" s="14"/>
      <c r="U645" s="14"/>
      <c r="V645" s="14"/>
      <c r="W645" s="315"/>
      <c r="X645" s="14"/>
      <c r="Y645" s="42"/>
      <c r="Z645" s="42"/>
      <c r="AA645" s="42"/>
      <c r="AB645" s="42"/>
      <c r="AC645" s="42"/>
      <c r="AD645" s="42"/>
      <c r="AE645" s="42"/>
      <c r="AF645" s="42"/>
      <c r="AG645" s="42"/>
      <c r="AH645" s="42"/>
      <c r="AI645" s="42"/>
      <c r="AJ645" s="42"/>
      <c r="AK645" s="42"/>
      <c r="AL645" s="42"/>
      <c r="AM645" s="42"/>
      <c r="AN645" s="42"/>
      <c r="AO645" s="42"/>
      <c r="AP645" s="42"/>
      <c r="AQ645" s="42"/>
      <c r="AR645" s="42"/>
    </row>
    <row r="646" spans="1:44" ht="17.25" customHeight="1" x14ac:dyDescent="0.2">
      <c r="A646" s="833"/>
      <c r="B646" s="222"/>
      <c r="C646" s="1019"/>
      <c r="D646" s="8"/>
      <c r="E646" s="8"/>
      <c r="F646" s="8"/>
      <c r="G646" s="1020"/>
      <c r="H646" s="8"/>
      <c r="I646" s="29"/>
      <c r="J646" s="8"/>
      <c r="K646" s="8"/>
      <c r="L646" s="8"/>
      <c r="M646" s="8"/>
      <c r="N646" s="8"/>
      <c r="O646" s="8"/>
      <c r="R646" s="15"/>
      <c r="S646" s="14"/>
      <c r="T646" s="14"/>
      <c r="U646" s="14"/>
      <c r="V646" s="14"/>
      <c r="W646" s="315"/>
      <c r="X646" s="14"/>
      <c r="Y646" s="42"/>
      <c r="Z646" s="42"/>
      <c r="AA646" s="42"/>
      <c r="AB646" s="42"/>
      <c r="AC646" s="42"/>
      <c r="AD646" s="42"/>
      <c r="AE646" s="42"/>
      <c r="AF646" s="42"/>
      <c r="AG646" s="42"/>
      <c r="AH646" s="42"/>
      <c r="AI646" s="42"/>
      <c r="AJ646" s="42"/>
      <c r="AK646" s="42"/>
      <c r="AL646" s="42"/>
      <c r="AM646" s="42"/>
      <c r="AN646" s="42"/>
      <c r="AO646" s="42"/>
      <c r="AP646" s="42"/>
      <c r="AQ646" s="42"/>
      <c r="AR646" s="42"/>
    </row>
    <row r="647" spans="1:44" ht="17.25" customHeight="1" x14ac:dyDescent="0.2">
      <c r="A647" s="833"/>
      <c r="B647" s="222"/>
      <c r="C647" s="1019"/>
      <c r="D647" s="8"/>
      <c r="E647" s="8"/>
      <c r="F647" s="8"/>
      <c r="G647" s="1020"/>
      <c r="H647" s="8"/>
      <c r="I647" s="29"/>
      <c r="J647" s="8"/>
      <c r="K647" s="8"/>
      <c r="L647" s="8"/>
      <c r="M647" s="8"/>
      <c r="N647" s="8"/>
      <c r="O647" s="8"/>
      <c r="R647" s="15"/>
      <c r="S647" s="14"/>
      <c r="T647" s="14"/>
      <c r="U647" s="14"/>
      <c r="V647" s="14"/>
      <c r="W647" s="315"/>
      <c r="X647" s="14"/>
      <c r="Y647" s="42"/>
      <c r="Z647" s="42"/>
      <c r="AA647" s="42"/>
      <c r="AB647" s="42"/>
      <c r="AC647" s="42"/>
      <c r="AD647" s="42"/>
      <c r="AE647" s="42"/>
      <c r="AF647" s="42"/>
      <c r="AG647" s="42"/>
      <c r="AH647" s="42"/>
      <c r="AI647" s="42"/>
      <c r="AJ647" s="42"/>
      <c r="AK647" s="42"/>
      <c r="AL647" s="42"/>
      <c r="AM647" s="42"/>
      <c r="AN647" s="42"/>
      <c r="AO647" s="42"/>
      <c r="AP647" s="42"/>
      <c r="AQ647" s="42"/>
      <c r="AR647" s="42"/>
    </row>
    <row r="648" spans="1:44" ht="17.25" customHeight="1" x14ac:dyDescent="0.2">
      <c r="A648" s="917" t="s">
        <v>5401</v>
      </c>
      <c r="B648" s="214"/>
      <c r="C648" s="211"/>
      <c r="G648" s="233"/>
      <c r="R648" s="15"/>
      <c r="S648" s="14"/>
      <c r="T648" s="14"/>
      <c r="U648" s="14"/>
      <c r="V648" s="14"/>
      <c r="W648" s="315"/>
      <c r="X648" s="14"/>
      <c r="Y648" s="42"/>
      <c r="Z648" s="42"/>
      <c r="AA648" s="42"/>
      <c r="AB648" s="42"/>
      <c r="AC648" s="42"/>
      <c r="AD648" s="42"/>
      <c r="AE648" s="42"/>
      <c r="AF648" s="42"/>
      <c r="AG648" s="42"/>
      <c r="AH648" s="42"/>
      <c r="AI648" s="42"/>
      <c r="AJ648" s="42"/>
      <c r="AK648" s="42"/>
      <c r="AL648" s="42"/>
      <c r="AM648" s="42"/>
      <c r="AN648" s="42"/>
      <c r="AO648" s="42"/>
      <c r="AP648" s="42"/>
      <c r="AQ648" s="42"/>
      <c r="AR648" s="42"/>
    </row>
    <row r="649" spans="1:44" ht="17.25" customHeight="1" x14ac:dyDescent="0.2">
      <c r="A649" s="917" t="s">
        <v>5402</v>
      </c>
      <c r="B649" s="214"/>
      <c r="C649" s="211"/>
      <c r="G649" s="233"/>
      <c r="R649" s="15"/>
      <c r="S649" s="14"/>
      <c r="T649" s="14"/>
      <c r="U649" s="14"/>
      <c r="V649" s="14"/>
      <c r="W649" s="315"/>
      <c r="X649" s="14"/>
      <c r="Y649" s="42"/>
      <c r="Z649" s="42"/>
      <c r="AA649" s="42"/>
      <c r="AB649" s="42"/>
      <c r="AC649" s="42"/>
      <c r="AD649" s="42"/>
      <c r="AE649" s="42"/>
      <c r="AF649" s="42"/>
      <c r="AG649" s="42"/>
      <c r="AH649" s="42"/>
      <c r="AI649" s="42"/>
      <c r="AJ649" s="42"/>
      <c r="AK649" s="42"/>
      <c r="AL649" s="42"/>
      <c r="AM649" s="42"/>
      <c r="AN649" s="42"/>
      <c r="AO649" s="42"/>
      <c r="AP649" s="42"/>
      <c r="AQ649" s="42"/>
      <c r="AR649" s="42"/>
    </row>
    <row r="650" spans="1:44" ht="17.25" customHeight="1" x14ac:dyDescent="0.2">
      <c r="A650" s="917" t="s">
        <v>5176</v>
      </c>
      <c r="B650" s="214"/>
      <c r="C650" s="211"/>
      <c r="G650" s="233"/>
      <c r="R650" s="15"/>
      <c r="S650" s="14"/>
      <c r="T650" s="14"/>
      <c r="U650" s="14"/>
      <c r="V650" s="14"/>
      <c r="W650" s="315"/>
      <c r="X650" s="14"/>
      <c r="Y650" s="42"/>
      <c r="Z650" s="42"/>
      <c r="AA650" s="42"/>
      <c r="AB650" s="42"/>
      <c r="AC650" s="42"/>
      <c r="AD650" s="42"/>
      <c r="AE650" s="42"/>
      <c r="AF650" s="42"/>
      <c r="AG650" s="42"/>
      <c r="AH650" s="42"/>
      <c r="AI650" s="42"/>
      <c r="AJ650" s="42"/>
      <c r="AK650" s="42"/>
      <c r="AL650" s="42"/>
      <c r="AM650" s="42"/>
      <c r="AN650" s="42"/>
      <c r="AO650" s="42"/>
      <c r="AP650" s="42"/>
      <c r="AQ650" s="42"/>
      <c r="AR650" s="42"/>
    </row>
    <row r="651" spans="1:44" ht="17.25" customHeight="1" x14ac:dyDescent="0.2">
      <c r="A651" s="917" t="s">
        <v>5177</v>
      </c>
      <c r="B651" s="214"/>
      <c r="C651" s="211"/>
      <c r="G651" s="233"/>
      <c r="R651" s="15"/>
      <c r="S651" s="14"/>
      <c r="T651" s="14"/>
      <c r="U651" s="14"/>
      <c r="V651" s="14"/>
      <c r="W651" s="315"/>
      <c r="X651" s="14"/>
      <c r="Y651" s="42"/>
      <c r="Z651" s="42"/>
      <c r="AA651" s="42"/>
      <c r="AB651" s="42"/>
      <c r="AC651" s="42"/>
      <c r="AD651" s="42"/>
      <c r="AE651" s="42"/>
      <c r="AF651" s="42"/>
      <c r="AG651" s="42"/>
      <c r="AH651" s="42"/>
      <c r="AI651" s="42"/>
      <c r="AJ651" s="42"/>
      <c r="AK651" s="42"/>
      <c r="AL651" s="42"/>
      <c r="AM651" s="42"/>
      <c r="AN651" s="42"/>
      <c r="AO651" s="42"/>
      <c r="AP651" s="42"/>
      <c r="AQ651" s="42"/>
      <c r="AR651" s="42"/>
    </row>
    <row r="652" spans="1:44" ht="17.25" customHeight="1" x14ac:dyDescent="0.2">
      <c r="A652" s="917" t="s">
        <v>6434</v>
      </c>
      <c r="B652" s="214"/>
      <c r="C652" s="211"/>
      <c r="G652" s="233"/>
      <c r="R652" s="15"/>
      <c r="S652" s="14"/>
      <c r="T652" s="14"/>
      <c r="U652" s="14"/>
      <c r="V652" s="14"/>
      <c r="W652" s="315"/>
      <c r="X652" s="14"/>
      <c r="Y652" s="42"/>
      <c r="Z652" s="42"/>
      <c r="AA652" s="42"/>
      <c r="AB652" s="42"/>
      <c r="AC652" s="42"/>
      <c r="AD652" s="42"/>
      <c r="AE652" s="42"/>
      <c r="AF652" s="42"/>
      <c r="AG652" s="42"/>
      <c r="AH652" s="42"/>
      <c r="AI652" s="42"/>
      <c r="AJ652" s="42"/>
      <c r="AK652" s="42"/>
      <c r="AL652" s="42"/>
      <c r="AM652" s="42"/>
      <c r="AN652" s="42"/>
      <c r="AO652" s="42"/>
      <c r="AP652" s="42"/>
      <c r="AQ652" s="42"/>
      <c r="AR652" s="42"/>
    </row>
    <row r="653" spans="1:44" ht="17.25" customHeight="1" x14ac:dyDescent="0.2">
      <c r="A653" s="917" t="s">
        <v>3239</v>
      </c>
      <c r="B653" s="214"/>
      <c r="C653" s="211"/>
      <c r="G653" s="233"/>
      <c r="R653" s="15"/>
      <c r="S653" s="14"/>
      <c r="T653" s="14"/>
      <c r="U653" s="14"/>
      <c r="V653" s="14"/>
      <c r="W653" s="315"/>
      <c r="X653" s="14"/>
      <c r="Y653" s="42"/>
      <c r="Z653" s="42"/>
      <c r="AA653" s="42"/>
      <c r="AB653" s="42"/>
      <c r="AC653" s="42"/>
      <c r="AD653" s="42"/>
      <c r="AE653" s="42"/>
      <c r="AF653" s="42"/>
      <c r="AG653" s="42"/>
      <c r="AH653" s="42"/>
      <c r="AI653" s="42"/>
      <c r="AJ653" s="42"/>
      <c r="AK653" s="42"/>
      <c r="AL653" s="42"/>
      <c r="AM653" s="42"/>
      <c r="AN653" s="42"/>
      <c r="AO653" s="42"/>
      <c r="AP653" s="42"/>
      <c r="AQ653" s="42"/>
      <c r="AR653" s="42"/>
    </row>
    <row r="654" spans="1:44" ht="17.25" customHeight="1" x14ac:dyDescent="0.3">
      <c r="A654" s="917" t="s">
        <v>2342</v>
      </c>
      <c r="B654" s="214"/>
      <c r="C654" s="211"/>
      <c r="G654" s="233"/>
      <c r="R654" s="15"/>
      <c r="S654" s="14"/>
      <c r="T654" s="14"/>
      <c r="U654" s="14"/>
      <c r="V654" s="14"/>
      <c r="W654" s="315"/>
      <c r="X654" s="14"/>
      <c r="Y654" s="42"/>
      <c r="Z654" s="42"/>
      <c r="AA654" s="42"/>
      <c r="AB654" s="42"/>
      <c r="AC654" s="42"/>
      <c r="AD654" s="42"/>
      <c r="AE654" s="42"/>
      <c r="AF654" s="42"/>
      <c r="AG654" s="42"/>
      <c r="AH654" s="42"/>
      <c r="AI654" s="42"/>
      <c r="AJ654" s="42"/>
      <c r="AK654" s="42"/>
      <c r="AL654" s="42"/>
      <c r="AM654" s="42"/>
      <c r="AN654" s="42"/>
      <c r="AO654" s="42"/>
      <c r="AP654" s="42"/>
      <c r="AQ654" s="42"/>
      <c r="AR654" s="42"/>
    </row>
    <row r="655" spans="1:44" ht="17.25" customHeight="1" x14ac:dyDescent="0.2">
      <c r="A655" s="917" t="s">
        <v>2319</v>
      </c>
      <c r="B655" s="214"/>
      <c r="C655" s="211"/>
      <c r="G655" s="233"/>
      <c r="R655" s="15"/>
      <c r="S655" s="14"/>
      <c r="T655" s="14"/>
      <c r="U655" s="14"/>
      <c r="V655" s="14"/>
      <c r="W655" s="315"/>
      <c r="X655" s="14"/>
      <c r="Y655" s="42"/>
      <c r="Z655" s="42"/>
      <c r="AA655" s="42"/>
      <c r="AB655" s="42"/>
      <c r="AC655" s="42"/>
      <c r="AD655" s="42"/>
      <c r="AE655" s="42"/>
      <c r="AF655" s="42"/>
      <c r="AG655" s="42"/>
      <c r="AH655" s="42"/>
      <c r="AI655" s="42"/>
      <c r="AJ655" s="42"/>
      <c r="AK655" s="42"/>
      <c r="AL655" s="42"/>
      <c r="AM655" s="42"/>
      <c r="AN655" s="42"/>
      <c r="AO655" s="42"/>
      <c r="AP655" s="42"/>
      <c r="AQ655" s="42"/>
      <c r="AR655" s="42"/>
    </row>
    <row r="656" spans="1:44" ht="17.25" customHeight="1" x14ac:dyDescent="0.2">
      <c r="A656" s="917" t="s">
        <v>2343</v>
      </c>
      <c r="B656" s="214"/>
      <c r="C656" s="211"/>
      <c r="G656" s="233"/>
      <c r="R656" s="15"/>
      <c r="S656" s="14"/>
      <c r="T656" s="14"/>
      <c r="U656" s="14"/>
      <c r="V656" s="14"/>
      <c r="W656" s="315"/>
      <c r="X656" s="14"/>
      <c r="Y656" s="42"/>
      <c r="Z656" s="42"/>
      <c r="AA656" s="42"/>
      <c r="AB656" s="42"/>
      <c r="AC656" s="42"/>
      <c r="AD656" s="42"/>
      <c r="AE656" s="42"/>
      <c r="AF656" s="42"/>
      <c r="AG656" s="42"/>
      <c r="AH656" s="42"/>
      <c r="AI656" s="42"/>
      <c r="AJ656" s="42"/>
      <c r="AK656" s="42"/>
      <c r="AL656" s="42"/>
      <c r="AM656" s="42"/>
      <c r="AN656" s="42"/>
      <c r="AO656" s="42"/>
      <c r="AP656" s="42"/>
      <c r="AQ656" s="42"/>
      <c r="AR656" s="42"/>
    </row>
    <row r="657" spans="1:44" ht="17.25" customHeight="1" x14ac:dyDescent="0.2">
      <c r="A657" s="917" t="s">
        <v>2344</v>
      </c>
      <c r="B657" s="214"/>
      <c r="C657" s="211"/>
      <c r="G657" s="233"/>
      <c r="R657" s="15"/>
      <c r="S657" s="14"/>
      <c r="T657" s="14"/>
      <c r="U657" s="14"/>
      <c r="V657" s="14"/>
      <c r="W657" s="315"/>
      <c r="X657" s="14"/>
      <c r="Y657" s="42"/>
      <c r="Z657" s="42"/>
      <c r="AA657" s="42"/>
      <c r="AB657" s="42"/>
      <c r="AC657" s="42"/>
      <c r="AD657" s="42"/>
      <c r="AE657" s="42"/>
      <c r="AF657" s="42"/>
      <c r="AG657" s="42"/>
      <c r="AH657" s="42"/>
      <c r="AI657" s="42"/>
      <c r="AJ657" s="42"/>
      <c r="AK657" s="42"/>
      <c r="AL657" s="42"/>
      <c r="AM657" s="42"/>
      <c r="AN657" s="42"/>
      <c r="AO657" s="42"/>
      <c r="AP657" s="42"/>
      <c r="AQ657" s="42"/>
      <c r="AR657" s="42"/>
    </row>
    <row r="658" spans="1:44" ht="17.25" customHeight="1" x14ac:dyDescent="0.35">
      <c r="A658" s="850" t="s">
        <v>2345</v>
      </c>
      <c r="B658" s="214"/>
      <c r="C658" s="211"/>
      <c r="G658" s="233"/>
      <c r="R658" s="15"/>
      <c r="S658" s="14"/>
      <c r="T658" s="14"/>
      <c r="U658" s="14"/>
      <c r="V658" s="14"/>
      <c r="W658" s="315"/>
      <c r="X658" s="14"/>
      <c r="Y658" s="42"/>
      <c r="Z658" s="42"/>
      <c r="AA658" s="42"/>
      <c r="AB658" s="42"/>
      <c r="AC658" s="42"/>
      <c r="AD658" s="42"/>
      <c r="AE658" s="42"/>
      <c r="AF658" s="42"/>
      <c r="AG658" s="42"/>
      <c r="AH658" s="42"/>
      <c r="AI658" s="42"/>
      <c r="AJ658" s="42"/>
      <c r="AK658" s="42"/>
      <c r="AL658" s="42"/>
      <c r="AM658" s="42"/>
      <c r="AN658" s="42"/>
      <c r="AO658" s="42"/>
      <c r="AP658" s="42"/>
      <c r="AQ658" s="42"/>
      <c r="AR658" s="42"/>
    </row>
    <row r="659" spans="1:44" ht="17.25" customHeight="1" x14ac:dyDescent="0.2">
      <c r="A659" s="917" t="s">
        <v>322</v>
      </c>
      <c r="B659" s="214"/>
      <c r="C659" s="211"/>
      <c r="G659" s="233"/>
      <c r="R659" s="15"/>
      <c r="S659" s="14"/>
      <c r="T659" s="14"/>
      <c r="U659" s="14"/>
      <c r="V659" s="14"/>
      <c r="W659" s="315"/>
      <c r="X659" s="14"/>
      <c r="Y659" s="42"/>
      <c r="Z659" s="42"/>
      <c r="AA659" s="42"/>
      <c r="AB659" s="42"/>
      <c r="AC659" s="42"/>
      <c r="AD659" s="42"/>
      <c r="AE659" s="42"/>
      <c r="AF659" s="42"/>
      <c r="AG659" s="42"/>
      <c r="AH659" s="42"/>
      <c r="AI659" s="42"/>
      <c r="AJ659" s="42"/>
      <c r="AK659" s="42"/>
      <c r="AL659" s="42"/>
      <c r="AM659" s="42"/>
      <c r="AN659" s="42"/>
      <c r="AO659" s="42"/>
      <c r="AP659" s="42"/>
      <c r="AQ659" s="42"/>
      <c r="AR659" s="42"/>
    </row>
    <row r="660" spans="1:44" ht="17.25" customHeight="1" x14ac:dyDescent="0.35">
      <c r="A660" s="850" t="s">
        <v>503</v>
      </c>
      <c r="B660" s="214"/>
      <c r="C660" s="211"/>
      <c r="G660" s="233"/>
      <c r="R660" s="15"/>
      <c r="S660" s="14"/>
      <c r="T660" s="14"/>
      <c r="U660" s="14"/>
      <c r="V660" s="14"/>
      <c r="W660" s="315"/>
      <c r="X660" s="14"/>
      <c r="Y660" s="42"/>
      <c r="Z660" s="42"/>
      <c r="AA660" s="42"/>
      <c r="AB660" s="42"/>
      <c r="AC660" s="42"/>
      <c r="AD660" s="42"/>
      <c r="AE660" s="42"/>
      <c r="AF660" s="42"/>
      <c r="AG660" s="42"/>
      <c r="AH660" s="42"/>
      <c r="AI660" s="42"/>
      <c r="AJ660" s="42"/>
      <c r="AK660" s="42"/>
      <c r="AL660" s="42"/>
      <c r="AM660" s="42"/>
      <c r="AN660" s="42"/>
      <c r="AO660" s="42"/>
      <c r="AP660" s="42"/>
      <c r="AQ660" s="42"/>
      <c r="AR660" s="42"/>
    </row>
    <row r="661" spans="1:44" ht="17.25" customHeight="1" x14ac:dyDescent="0.2">
      <c r="A661" s="917" t="s">
        <v>323</v>
      </c>
      <c r="B661" s="214"/>
      <c r="C661" s="211"/>
      <c r="G661" s="233"/>
      <c r="R661" s="15"/>
      <c r="S661" s="14"/>
      <c r="T661" s="14"/>
      <c r="U661" s="14"/>
      <c r="V661" s="14"/>
      <c r="W661" s="315"/>
      <c r="X661" s="14"/>
      <c r="Y661" s="42"/>
      <c r="Z661" s="42"/>
      <c r="AA661" s="42"/>
      <c r="AB661" s="42"/>
      <c r="AC661" s="42"/>
      <c r="AD661" s="42"/>
      <c r="AE661" s="42"/>
      <c r="AF661" s="42"/>
      <c r="AG661" s="42"/>
      <c r="AH661" s="42"/>
      <c r="AI661" s="42"/>
      <c r="AJ661" s="42"/>
      <c r="AK661" s="42"/>
      <c r="AL661" s="42"/>
      <c r="AM661" s="42"/>
      <c r="AN661" s="42"/>
      <c r="AO661" s="42"/>
      <c r="AP661" s="42"/>
      <c r="AQ661" s="42"/>
      <c r="AR661" s="42"/>
    </row>
    <row r="662" spans="1:44" ht="17.25" customHeight="1" x14ac:dyDescent="0.2">
      <c r="A662" s="850" t="s">
        <v>3143</v>
      </c>
      <c r="B662" s="214"/>
      <c r="C662" s="211"/>
      <c r="G662" s="233"/>
      <c r="R662" s="15"/>
      <c r="S662" s="14"/>
      <c r="T662" s="14"/>
      <c r="U662" s="14"/>
      <c r="V662" s="14"/>
      <c r="W662" s="315"/>
      <c r="X662" s="14"/>
      <c r="Y662" s="42"/>
      <c r="Z662" s="42"/>
      <c r="AA662" s="42"/>
      <c r="AB662" s="42"/>
      <c r="AC662" s="42"/>
      <c r="AD662" s="42"/>
      <c r="AE662" s="42"/>
      <c r="AF662" s="42"/>
      <c r="AG662" s="42"/>
      <c r="AH662" s="42"/>
      <c r="AI662" s="42"/>
      <c r="AJ662" s="42"/>
      <c r="AK662" s="42"/>
      <c r="AL662" s="42"/>
      <c r="AM662" s="42"/>
      <c r="AN662" s="42"/>
      <c r="AO662" s="42"/>
      <c r="AP662" s="42"/>
      <c r="AQ662" s="42"/>
      <c r="AR662" s="42"/>
    </row>
    <row r="663" spans="1:44" ht="17.25" customHeight="1" x14ac:dyDescent="0.35">
      <c r="A663" s="924" t="s">
        <v>3216</v>
      </c>
      <c r="B663" s="214"/>
      <c r="C663" s="211"/>
      <c r="G663" s="233"/>
      <c r="R663" s="15"/>
      <c r="S663" s="14"/>
      <c r="T663" s="14"/>
      <c r="U663" s="14"/>
      <c r="V663" s="14"/>
      <c r="W663" s="315"/>
      <c r="X663" s="14"/>
      <c r="Y663" s="42"/>
      <c r="Z663" s="42"/>
      <c r="AA663" s="42"/>
      <c r="AB663" s="42"/>
      <c r="AC663" s="42"/>
      <c r="AD663" s="42"/>
      <c r="AE663" s="42"/>
      <c r="AF663" s="42"/>
      <c r="AG663" s="42"/>
      <c r="AH663" s="42"/>
      <c r="AI663" s="42"/>
      <c r="AJ663" s="42"/>
      <c r="AK663" s="42"/>
      <c r="AL663" s="42"/>
      <c r="AM663" s="42"/>
      <c r="AN663" s="42"/>
      <c r="AO663" s="42"/>
      <c r="AP663" s="42"/>
      <c r="AQ663" s="42"/>
      <c r="AR663" s="42"/>
    </row>
    <row r="664" spans="1:44" ht="17.25" customHeight="1" x14ac:dyDescent="0.2">
      <c r="A664" s="917" t="s">
        <v>3217</v>
      </c>
      <c r="B664" s="214"/>
      <c r="C664" s="211"/>
      <c r="G664" s="233"/>
      <c r="R664" s="15"/>
      <c r="S664" s="14"/>
      <c r="T664" s="14"/>
      <c r="U664" s="14"/>
      <c r="V664" s="14"/>
      <c r="W664" s="315"/>
      <c r="X664" s="14"/>
      <c r="Y664" s="42"/>
      <c r="Z664" s="42"/>
      <c r="AA664" s="42"/>
      <c r="AB664" s="42"/>
      <c r="AC664" s="42"/>
      <c r="AD664" s="42"/>
      <c r="AE664" s="42"/>
      <c r="AF664" s="42"/>
      <c r="AG664" s="42"/>
      <c r="AH664" s="42"/>
      <c r="AI664" s="42"/>
      <c r="AJ664" s="42"/>
      <c r="AK664" s="42"/>
      <c r="AL664" s="42"/>
      <c r="AM664" s="42"/>
      <c r="AN664" s="42"/>
      <c r="AO664" s="42"/>
      <c r="AP664" s="42"/>
      <c r="AQ664" s="42"/>
      <c r="AR664" s="42"/>
    </row>
    <row r="665" spans="1:44" ht="17.25" customHeight="1" x14ac:dyDescent="0.25">
      <c r="A665" s="917" t="s">
        <v>2640</v>
      </c>
      <c r="B665" s="214"/>
      <c r="C665" s="211"/>
      <c r="G665" s="233"/>
      <c r="L665" s="1028"/>
      <c r="R665" s="15"/>
      <c r="S665" s="14"/>
      <c r="T665" s="14"/>
      <c r="U665" s="14"/>
      <c r="V665" s="14"/>
      <c r="W665" s="315"/>
      <c r="X665" s="14"/>
      <c r="Y665" s="42"/>
      <c r="Z665" s="42"/>
      <c r="AA665" s="42"/>
      <c r="AB665" s="42"/>
      <c r="AC665" s="42"/>
      <c r="AD665" s="42"/>
      <c r="AE665" s="42"/>
      <c r="AF665" s="42"/>
      <c r="AG665" s="42"/>
      <c r="AH665" s="42"/>
      <c r="AI665" s="42"/>
      <c r="AJ665" s="42"/>
      <c r="AK665" s="42"/>
      <c r="AL665" s="42"/>
      <c r="AM665" s="42"/>
      <c r="AN665" s="42"/>
      <c r="AO665" s="42"/>
      <c r="AP665" s="42"/>
      <c r="AQ665" s="42"/>
      <c r="AR665" s="42"/>
    </row>
    <row r="666" spans="1:44" ht="17.25" customHeight="1" x14ac:dyDescent="0.3">
      <c r="A666" s="917" t="s">
        <v>2349</v>
      </c>
      <c r="B666" s="214"/>
      <c r="C666" s="211"/>
      <c r="G666" s="233"/>
      <c r="R666" s="15"/>
      <c r="S666" s="14"/>
      <c r="T666" s="14"/>
      <c r="U666" s="14"/>
      <c r="V666" s="14"/>
      <c r="W666" s="315"/>
      <c r="X666" s="14"/>
      <c r="Y666" s="42"/>
      <c r="Z666" s="42"/>
      <c r="AA666" s="42"/>
      <c r="AB666" s="42"/>
      <c r="AC666" s="42"/>
      <c r="AD666" s="42"/>
      <c r="AE666" s="42"/>
      <c r="AF666" s="42"/>
      <c r="AG666" s="42"/>
      <c r="AH666" s="42"/>
      <c r="AI666" s="42"/>
      <c r="AJ666" s="42"/>
      <c r="AK666" s="42"/>
      <c r="AL666" s="42"/>
      <c r="AM666" s="42"/>
      <c r="AN666" s="42"/>
      <c r="AO666" s="42"/>
      <c r="AP666" s="42"/>
      <c r="AQ666" s="42"/>
      <c r="AR666" s="42"/>
    </row>
    <row r="667" spans="1:44" ht="17.25" customHeight="1" x14ac:dyDescent="0.3">
      <c r="A667" s="917" t="s">
        <v>3258</v>
      </c>
      <c r="B667" s="214"/>
      <c r="C667" s="211"/>
      <c r="G667" s="233"/>
      <c r="R667" s="15"/>
      <c r="S667" s="14"/>
      <c r="T667" s="14"/>
      <c r="U667" s="14"/>
      <c r="V667" s="14"/>
      <c r="W667" s="315"/>
      <c r="X667" s="14"/>
      <c r="Y667" s="42"/>
      <c r="Z667" s="42"/>
      <c r="AA667" s="42"/>
      <c r="AB667" s="42"/>
      <c r="AC667" s="42"/>
      <c r="AD667" s="42"/>
      <c r="AE667" s="42"/>
      <c r="AF667" s="42"/>
      <c r="AG667" s="42"/>
      <c r="AH667" s="42"/>
      <c r="AI667" s="42"/>
      <c r="AJ667" s="42"/>
      <c r="AK667" s="42"/>
      <c r="AL667" s="42"/>
      <c r="AM667" s="42"/>
      <c r="AN667" s="42"/>
      <c r="AO667" s="42"/>
      <c r="AP667" s="42"/>
      <c r="AQ667" s="42"/>
      <c r="AR667" s="42"/>
    </row>
    <row r="668" spans="1:44" ht="17.25" customHeight="1" x14ac:dyDescent="0.2">
      <c r="A668" s="917" t="s">
        <v>4580</v>
      </c>
      <c r="B668" s="214"/>
      <c r="C668" s="211"/>
      <c r="G668" s="233"/>
      <c r="R668" s="15"/>
      <c r="S668" s="14"/>
      <c r="T668" s="14"/>
      <c r="U668" s="14"/>
      <c r="V668" s="14"/>
      <c r="W668" s="315"/>
      <c r="X668" s="14"/>
      <c r="Y668" s="42"/>
      <c r="Z668" s="42"/>
      <c r="AA668" s="42"/>
      <c r="AB668" s="42"/>
      <c r="AC668" s="42"/>
      <c r="AD668" s="42"/>
      <c r="AE668" s="42"/>
      <c r="AF668" s="42"/>
      <c r="AG668" s="42"/>
      <c r="AH668" s="42"/>
      <c r="AI668" s="42"/>
      <c r="AJ668" s="42"/>
      <c r="AK668" s="42"/>
      <c r="AL668" s="42"/>
      <c r="AM668" s="42"/>
      <c r="AN668" s="42"/>
      <c r="AO668" s="42"/>
      <c r="AP668" s="42"/>
      <c r="AQ668" s="42"/>
      <c r="AR668" s="42"/>
    </row>
    <row r="669" spans="1:44" ht="17.25" customHeight="1" x14ac:dyDescent="0.2">
      <c r="A669" s="917" t="s">
        <v>4581</v>
      </c>
      <c r="B669" s="860"/>
      <c r="C669" s="916"/>
      <c r="D669" s="916"/>
      <c r="E669" s="992"/>
      <c r="F669" s="992"/>
      <c r="G669" s="992"/>
      <c r="H669" s="860"/>
      <c r="I669" s="860"/>
      <c r="J669" s="860"/>
      <c r="R669" s="15"/>
      <c r="S669" s="14"/>
      <c r="T669" s="14"/>
      <c r="U669" s="14"/>
      <c r="V669" s="14"/>
      <c r="W669" s="315"/>
      <c r="X669" s="14"/>
      <c r="Y669" s="42"/>
      <c r="Z669" s="42"/>
      <c r="AA669" s="42"/>
      <c r="AB669" s="42"/>
      <c r="AC669" s="42"/>
      <c r="AD669" s="42"/>
      <c r="AE669" s="42"/>
      <c r="AF669" s="42"/>
      <c r="AG669" s="42"/>
      <c r="AH669" s="42"/>
      <c r="AI669" s="42"/>
      <c r="AJ669" s="42"/>
      <c r="AK669" s="42"/>
      <c r="AL669" s="42"/>
      <c r="AM669" s="42"/>
      <c r="AN669" s="42"/>
      <c r="AO669" s="42"/>
      <c r="AP669" s="42"/>
      <c r="AQ669" s="42"/>
      <c r="AR669" s="42"/>
    </row>
    <row r="670" spans="1:44" ht="17.25" customHeight="1" x14ac:dyDescent="0.35">
      <c r="A670" s="850" t="s">
        <v>4582</v>
      </c>
      <c r="B670" s="860"/>
      <c r="C670" s="916"/>
      <c r="D670" s="916"/>
      <c r="E670" s="992"/>
      <c r="F670" s="992"/>
      <c r="G670" s="992"/>
      <c r="H670" s="860"/>
      <c r="I670" s="860"/>
      <c r="J670" s="860"/>
      <c r="R670" s="15"/>
      <c r="S670" s="14"/>
      <c r="T670" s="14"/>
      <c r="U670" s="14"/>
      <c r="V670" s="14"/>
      <c r="W670" s="315"/>
      <c r="X670" s="14"/>
      <c r="Y670" s="42"/>
      <c r="Z670" s="42"/>
      <c r="AA670" s="42"/>
      <c r="AB670" s="42"/>
      <c r="AC670" s="42"/>
      <c r="AD670" s="42"/>
      <c r="AE670" s="42"/>
      <c r="AF670" s="42"/>
      <c r="AG670" s="42"/>
      <c r="AH670" s="42"/>
      <c r="AI670" s="42"/>
      <c r="AJ670" s="42"/>
      <c r="AK670" s="42"/>
      <c r="AL670" s="42"/>
      <c r="AM670" s="42"/>
      <c r="AN670" s="42"/>
      <c r="AO670" s="42"/>
      <c r="AP670" s="42"/>
      <c r="AQ670" s="42"/>
      <c r="AR670" s="42"/>
    </row>
    <row r="671" spans="1:44" ht="17.25" customHeight="1" x14ac:dyDescent="0.2">
      <c r="A671" s="917" t="s">
        <v>322</v>
      </c>
      <c r="B671" s="860"/>
      <c r="C671" s="916"/>
      <c r="D671" s="916"/>
      <c r="E671" s="992"/>
      <c r="F671" s="992"/>
      <c r="G671" s="992"/>
      <c r="H671" s="860"/>
      <c r="I671" s="860"/>
      <c r="J671" s="860"/>
      <c r="R671" s="15"/>
      <c r="S671" s="14"/>
      <c r="T671" s="14"/>
      <c r="U671" s="14"/>
      <c r="V671" s="14"/>
      <c r="W671" s="315"/>
      <c r="X671" s="14"/>
      <c r="Y671" s="42"/>
      <c r="Z671" s="42"/>
      <c r="AA671" s="42"/>
      <c r="AB671" s="42"/>
      <c r="AC671" s="42"/>
      <c r="AD671" s="42"/>
      <c r="AE671" s="42"/>
      <c r="AF671" s="42"/>
      <c r="AG671" s="42"/>
      <c r="AH671" s="42"/>
      <c r="AI671" s="42"/>
      <c r="AJ671" s="42"/>
      <c r="AK671" s="42"/>
      <c r="AL671" s="42"/>
      <c r="AM671" s="42"/>
      <c r="AN671" s="42"/>
      <c r="AO671" s="42"/>
      <c r="AP671" s="42"/>
      <c r="AQ671" s="42"/>
      <c r="AR671" s="42"/>
    </row>
    <row r="672" spans="1:44" ht="17.25" customHeight="1" x14ac:dyDescent="0.35">
      <c r="A672" s="850" t="s">
        <v>2287</v>
      </c>
      <c r="B672" s="860"/>
      <c r="C672" s="916"/>
      <c r="D672" s="916"/>
      <c r="E672" s="992"/>
      <c r="F672" s="992"/>
      <c r="G672" s="992"/>
      <c r="H672" s="860"/>
      <c r="I672" s="860"/>
      <c r="J672" s="860"/>
      <c r="R672" s="15"/>
      <c r="S672" s="14"/>
      <c r="T672" s="14"/>
      <c r="U672" s="14"/>
      <c r="V672" s="14"/>
      <c r="W672" s="315"/>
      <c r="X672" s="14"/>
      <c r="Y672" s="42"/>
      <c r="Z672" s="42"/>
      <c r="AA672" s="42"/>
      <c r="AB672" s="42"/>
      <c r="AC672" s="42"/>
      <c r="AD672" s="42"/>
      <c r="AE672" s="42"/>
      <c r="AF672" s="42"/>
      <c r="AG672" s="42"/>
      <c r="AH672" s="42"/>
      <c r="AI672" s="42"/>
      <c r="AJ672" s="42"/>
      <c r="AK672" s="42"/>
      <c r="AL672" s="42"/>
      <c r="AM672" s="42"/>
      <c r="AN672" s="42"/>
      <c r="AO672" s="42"/>
      <c r="AP672" s="42"/>
      <c r="AQ672" s="42"/>
      <c r="AR672" s="42"/>
    </row>
    <row r="673" spans="1:44" ht="17.25" customHeight="1" x14ac:dyDescent="0.3">
      <c r="A673" s="917" t="s">
        <v>968</v>
      </c>
      <c r="B673" s="860"/>
      <c r="C673" s="916"/>
      <c r="D673" s="916"/>
      <c r="E673" s="992"/>
      <c r="F673" s="992"/>
      <c r="G673" s="992"/>
      <c r="H673" s="860"/>
      <c r="I673" s="860"/>
      <c r="J673" s="860"/>
      <c r="R673" s="15"/>
      <c r="S673" s="14"/>
      <c r="T673" s="14"/>
      <c r="U673" s="14"/>
      <c r="V673" s="14"/>
      <c r="W673" s="315"/>
      <c r="X673" s="14"/>
      <c r="Y673" s="42"/>
      <c r="Z673" s="42"/>
      <c r="AA673" s="42"/>
      <c r="AB673" s="42"/>
      <c r="AC673" s="42"/>
      <c r="AD673" s="42"/>
      <c r="AE673" s="42"/>
      <c r="AF673" s="42"/>
      <c r="AG673" s="42"/>
      <c r="AH673" s="42"/>
      <c r="AI673" s="42"/>
      <c r="AJ673" s="42"/>
      <c r="AK673" s="42"/>
      <c r="AL673" s="42"/>
      <c r="AM673" s="42"/>
      <c r="AN673" s="42"/>
      <c r="AO673" s="42"/>
      <c r="AP673" s="42"/>
      <c r="AQ673" s="42"/>
      <c r="AR673" s="42"/>
    </row>
    <row r="674" spans="1:44" ht="17.25" customHeight="1" x14ac:dyDescent="0.3">
      <c r="A674" s="917" t="s">
        <v>969</v>
      </c>
      <c r="B674" s="860"/>
      <c r="C674" s="916"/>
      <c r="D674" s="916"/>
      <c r="E674" s="992"/>
      <c r="F674" s="992"/>
      <c r="G674" s="992"/>
      <c r="H674" s="860"/>
      <c r="I674" s="860"/>
      <c r="J674" s="860"/>
      <c r="R674" s="15"/>
      <c r="S674" s="14"/>
      <c r="T674" s="14"/>
      <c r="U674" s="14"/>
      <c r="V674" s="14"/>
      <c r="W674" s="315"/>
      <c r="X674" s="14"/>
      <c r="Y674" s="42"/>
      <c r="Z674" s="42"/>
      <c r="AA674" s="42"/>
      <c r="AB674" s="42"/>
      <c r="AC674" s="42"/>
      <c r="AD674" s="42"/>
      <c r="AE674" s="42"/>
      <c r="AF674" s="42"/>
      <c r="AG674" s="42"/>
      <c r="AH674" s="42"/>
      <c r="AI674" s="42"/>
      <c r="AJ674" s="42"/>
      <c r="AK674" s="42"/>
      <c r="AL674" s="42"/>
      <c r="AM674" s="42"/>
      <c r="AN674" s="42"/>
      <c r="AO674" s="42"/>
      <c r="AP674" s="42"/>
      <c r="AQ674" s="42"/>
      <c r="AR674" s="42"/>
    </row>
    <row r="675" spans="1:44" ht="17.25" customHeight="1" x14ac:dyDescent="0.35">
      <c r="A675" s="924" t="s">
        <v>2288</v>
      </c>
      <c r="B675" s="860"/>
      <c r="C675" s="916"/>
      <c r="D675" s="916"/>
      <c r="E675" s="992"/>
      <c r="F675" s="992"/>
      <c r="G675" s="992"/>
      <c r="H675" s="860"/>
      <c r="I675" s="860"/>
      <c r="J675" s="860"/>
      <c r="M675" s="239"/>
      <c r="N675" s="239"/>
      <c r="O675" s="239"/>
      <c r="P675" s="239"/>
      <c r="R675" s="15"/>
      <c r="S675" s="14"/>
      <c r="T675" s="14"/>
      <c r="U675" s="14"/>
      <c r="V675" s="14"/>
      <c r="W675" s="315"/>
      <c r="X675" s="14"/>
      <c r="Y675" s="42"/>
      <c r="Z675" s="42"/>
      <c r="AA675" s="42"/>
      <c r="AB675" s="42"/>
      <c r="AC675" s="42"/>
      <c r="AD675" s="42"/>
      <c r="AE675" s="42"/>
      <c r="AF675" s="42"/>
      <c r="AG675" s="42"/>
      <c r="AH675" s="42"/>
      <c r="AI675" s="42"/>
      <c r="AJ675" s="42"/>
      <c r="AK675" s="42"/>
      <c r="AL675" s="42"/>
      <c r="AM675" s="42"/>
      <c r="AN675" s="42"/>
      <c r="AO675" s="42"/>
      <c r="AP675" s="42"/>
      <c r="AQ675" s="42"/>
      <c r="AR675" s="42"/>
    </row>
    <row r="676" spans="1:44" ht="17.25" customHeight="1" x14ac:dyDescent="0.2">
      <c r="A676" s="917" t="s">
        <v>2289</v>
      </c>
      <c r="B676" s="915"/>
      <c r="C676" s="916"/>
      <c r="D676" s="916"/>
      <c r="E676" s="913"/>
      <c r="F676" s="913"/>
      <c r="G676" s="860"/>
      <c r="H676" s="321"/>
      <c r="I676" s="860"/>
      <c r="J676" s="860"/>
      <c r="R676" s="15"/>
      <c r="S676" s="14"/>
      <c r="T676" s="14"/>
      <c r="U676" s="14"/>
      <c r="V676" s="14"/>
      <c r="W676" s="315"/>
      <c r="X676" s="14"/>
      <c r="Y676" s="42"/>
      <c r="Z676" s="42"/>
      <c r="AA676" s="42"/>
      <c r="AB676" s="42"/>
      <c r="AC676" s="42"/>
      <c r="AD676" s="42"/>
      <c r="AE676" s="42"/>
      <c r="AF676" s="42"/>
      <c r="AG676" s="42"/>
      <c r="AH676" s="42"/>
      <c r="AI676" s="42"/>
      <c r="AJ676" s="42"/>
      <c r="AK676" s="42"/>
      <c r="AL676" s="42"/>
      <c r="AM676" s="42"/>
      <c r="AN676" s="42"/>
      <c r="AO676" s="42"/>
      <c r="AP676" s="42"/>
      <c r="AQ676" s="42"/>
      <c r="AR676" s="42"/>
    </row>
    <row r="677" spans="1:44" ht="17.25" customHeight="1" x14ac:dyDescent="0.2">
      <c r="A677" s="917" t="s">
        <v>2290</v>
      </c>
      <c r="B677" s="172"/>
      <c r="C677" s="15"/>
      <c r="D677" s="15"/>
      <c r="E677" s="15"/>
      <c r="F677" s="15"/>
      <c r="R677" s="15"/>
      <c r="S677" s="14"/>
      <c r="T677" s="14"/>
      <c r="U677" s="14"/>
      <c r="V677" s="14"/>
      <c r="W677" s="315"/>
      <c r="X677" s="14"/>
      <c r="Y677" s="42"/>
      <c r="Z677" s="42"/>
      <c r="AA677" s="42"/>
      <c r="AB677" s="42"/>
      <c r="AC677" s="42"/>
      <c r="AD677" s="42"/>
      <c r="AE677" s="42"/>
      <c r="AF677" s="42"/>
      <c r="AG677" s="42"/>
      <c r="AH677" s="42"/>
      <c r="AI677" s="42"/>
      <c r="AJ677" s="42"/>
      <c r="AK677" s="42"/>
      <c r="AL677" s="42"/>
      <c r="AM677" s="42"/>
      <c r="AN677" s="42"/>
      <c r="AO677" s="42"/>
      <c r="AP677" s="42"/>
      <c r="AQ677" s="42"/>
      <c r="AR677" s="42"/>
    </row>
    <row r="678" spans="1:44" ht="17.25" customHeight="1" x14ac:dyDescent="0.2">
      <c r="A678" s="917" t="s">
        <v>2291</v>
      </c>
      <c r="B678" s="214"/>
      <c r="C678" s="211"/>
      <c r="G678" s="233"/>
      <c r="R678" s="15"/>
      <c r="S678" s="14"/>
      <c r="T678" s="14"/>
      <c r="U678" s="14"/>
      <c r="V678" s="14"/>
      <c r="W678" s="315"/>
      <c r="X678" s="14"/>
      <c r="Y678" s="42"/>
      <c r="Z678" s="42"/>
      <c r="AA678" s="42"/>
      <c r="AB678" s="42"/>
      <c r="AC678" s="42"/>
      <c r="AD678" s="42"/>
      <c r="AE678" s="42"/>
      <c r="AF678" s="42"/>
      <c r="AG678" s="42"/>
      <c r="AH678" s="42"/>
      <c r="AI678" s="42"/>
      <c r="AJ678" s="42"/>
      <c r="AK678" s="42"/>
      <c r="AL678" s="42"/>
      <c r="AM678" s="42"/>
      <c r="AN678" s="42"/>
      <c r="AO678" s="42"/>
      <c r="AP678" s="42"/>
      <c r="AQ678" s="42"/>
      <c r="AR678" s="42"/>
    </row>
    <row r="679" spans="1:44" ht="17.25" customHeight="1" x14ac:dyDescent="0.2">
      <c r="A679" s="917"/>
      <c r="B679" s="214"/>
      <c r="C679" s="850" t="s">
        <v>2292</v>
      </c>
      <c r="G679" s="233"/>
      <c r="R679" s="15"/>
      <c r="S679" s="14"/>
      <c r="T679" s="14"/>
      <c r="U679" s="14"/>
      <c r="V679" s="14"/>
      <c r="W679" s="315"/>
      <c r="X679" s="14"/>
      <c r="Y679" s="42"/>
      <c r="Z679" s="42"/>
      <c r="AA679" s="42"/>
      <c r="AB679" s="42"/>
      <c r="AC679" s="42"/>
      <c r="AD679" s="42"/>
      <c r="AE679" s="42"/>
      <c r="AF679" s="42"/>
      <c r="AG679" s="42"/>
      <c r="AH679" s="42"/>
      <c r="AI679" s="42"/>
      <c r="AJ679" s="42"/>
      <c r="AK679" s="42"/>
      <c r="AL679" s="42"/>
      <c r="AM679" s="42"/>
      <c r="AN679" s="42"/>
      <c r="AO679" s="42"/>
      <c r="AP679" s="42"/>
      <c r="AQ679" s="42"/>
      <c r="AR679" s="42"/>
    </row>
    <row r="680" spans="1:44" ht="17.25" customHeight="1" x14ac:dyDescent="0.2">
      <c r="A680" s="917" t="s">
        <v>2293</v>
      </c>
      <c r="B680" s="214"/>
      <c r="C680" s="211"/>
      <c r="G680" s="233"/>
      <c r="R680" s="15"/>
      <c r="S680" s="14"/>
      <c r="T680" s="14"/>
      <c r="U680" s="14"/>
      <c r="V680" s="14"/>
      <c r="W680" s="315"/>
      <c r="X680" s="14"/>
      <c r="Y680" s="42"/>
      <c r="Z680" s="42"/>
      <c r="AA680" s="42"/>
      <c r="AB680" s="42"/>
      <c r="AC680" s="42"/>
      <c r="AD680" s="42"/>
      <c r="AE680" s="42"/>
      <c r="AF680" s="42"/>
      <c r="AG680" s="42"/>
      <c r="AH680" s="42"/>
      <c r="AI680" s="42"/>
      <c r="AJ680" s="42"/>
      <c r="AK680" s="42"/>
      <c r="AL680" s="42"/>
      <c r="AM680" s="42"/>
      <c r="AN680" s="42"/>
      <c r="AO680" s="42"/>
      <c r="AP680" s="42"/>
      <c r="AQ680" s="42"/>
      <c r="AR680" s="42"/>
    </row>
    <row r="681" spans="1:44" ht="17.25" customHeight="1" x14ac:dyDescent="0.2">
      <c r="A681" s="917" t="s">
        <v>2294</v>
      </c>
      <c r="B681" s="214"/>
      <c r="C681" s="211"/>
      <c r="G681" s="233"/>
      <c r="R681" s="15"/>
      <c r="S681" s="14"/>
      <c r="T681" s="14"/>
      <c r="U681" s="14"/>
      <c r="V681" s="14"/>
      <c r="W681" s="315"/>
      <c r="X681" s="14"/>
      <c r="Y681" s="42"/>
      <c r="Z681" s="42"/>
      <c r="AA681" s="42"/>
      <c r="AB681" s="42"/>
      <c r="AC681" s="42"/>
      <c r="AD681" s="42"/>
      <c r="AE681" s="42"/>
      <c r="AF681" s="42"/>
      <c r="AG681" s="42"/>
      <c r="AH681" s="42"/>
      <c r="AI681" s="42"/>
      <c r="AJ681" s="42"/>
      <c r="AK681" s="42"/>
      <c r="AL681" s="42"/>
      <c r="AM681" s="42"/>
      <c r="AN681" s="42"/>
      <c r="AO681" s="42"/>
      <c r="AP681" s="42"/>
      <c r="AQ681" s="42"/>
      <c r="AR681" s="42"/>
    </row>
    <row r="682" spans="1:44" ht="17.25" customHeight="1" x14ac:dyDescent="0.2">
      <c r="A682" s="917" t="s">
        <v>2295</v>
      </c>
      <c r="B682" s="214"/>
      <c r="C682" s="211"/>
      <c r="G682" s="233"/>
      <c r="R682" s="15"/>
      <c r="S682" s="14"/>
      <c r="T682" s="14"/>
      <c r="U682" s="14"/>
      <c r="V682" s="14"/>
      <c r="W682" s="315"/>
      <c r="X682" s="14"/>
      <c r="Y682" s="42"/>
      <c r="Z682" s="42"/>
      <c r="AA682" s="42"/>
      <c r="AB682" s="42"/>
      <c r="AC682" s="42"/>
      <c r="AD682" s="42"/>
      <c r="AE682" s="42"/>
      <c r="AF682" s="42"/>
      <c r="AG682" s="42"/>
      <c r="AH682" s="42"/>
      <c r="AI682" s="42"/>
      <c r="AJ682" s="42"/>
      <c r="AK682" s="42"/>
      <c r="AL682" s="42"/>
      <c r="AM682" s="42"/>
      <c r="AN682" s="42"/>
      <c r="AO682" s="42"/>
      <c r="AP682" s="42"/>
      <c r="AQ682" s="42"/>
      <c r="AR682" s="42"/>
    </row>
    <row r="683" spans="1:44" ht="17.25" customHeight="1" x14ac:dyDescent="0.2">
      <c r="A683" s="917" t="s">
        <v>3628</v>
      </c>
      <c r="B683" s="214"/>
      <c r="C683" s="211"/>
      <c r="G683" s="233"/>
      <c r="R683" s="15"/>
      <c r="S683" s="14"/>
      <c r="T683" s="14"/>
      <c r="U683" s="14"/>
      <c r="V683" s="14"/>
      <c r="W683" s="315"/>
      <c r="X683" s="14"/>
      <c r="Y683" s="42"/>
      <c r="Z683" s="42"/>
      <c r="AA683" s="42"/>
      <c r="AB683" s="42"/>
      <c r="AC683" s="42"/>
      <c r="AD683" s="42"/>
      <c r="AE683" s="42"/>
      <c r="AF683" s="42"/>
      <c r="AG683" s="42"/>
      <c r="AH683" s="42"/>
      <c r="AI683" s="42"/>
      <c r="AJ683" s="42"/>
      <c r="AK683" s="42"/>
      <c r="AL683" s="42"/>
      <c r="AM683" s="42"/>
      <c r="AN683" s="42"/>
      <c r="AO683" s="42"/>
      <c r="AP683" s="42"/>
      <c r="AQ683" s="42"/>
      <c r="AR683" s="42"/>
    </row>
    <row r="684" spans="1:44" ht="17.25" customHeight="1" x14ac:dyDescent="0.2">
      <c r="A684" s="917" t="s">
        <v>3215</v>
      </c>
      <c r="B684" s="214"/>
      <c r="C684" s="211"/>
      <c r="G684" s="233"/>
      <c r="R684" s="15"/>
      <c r="S684" s="14"/>
      <c r="T684" s="14"/>
      <c r="U684" s="14"/>
      <c r="V684" s="14"/>
      <c r="W684" s="315"/>
      <c r="X684" s="14"/>
      <c r="Y684" s="42"/>
      <c r="Z684" s="42"/>
      <c r="AA684" s="42"/>
      <c r="AB684" s="42"/>
      <c r="AC684" s="42"/>
      <c r="AD684" s="42"/>
      <c r="AE684" s="42"/>
      <c r="AF684" s="42"/>
      <c r="AG684" s="42"/>
      <c r="AH684" s="42"/>
      <c r="AI684" s="42"/>
      <c r="AJ684" s="42"/>
      <c r="AK684" s="42"/>
      <c r="AL684" s="42"/>
      <c r="AM684" s="42"/>
      <c r="AN684" s="42"/>
      <c r="AO684" s="42"/>
      <c r="AP684" s="42"/>
      <c r="AQ684" s="42"/>
      <c r="AR684" s="42"/>
    </row>
    <row r="685" spans="1:44" ht="17.25" customHeight="1" x14ac:dyDescent="0.3">
      <c r="A685" s="917" t="s">
        <v>1129</v>
      </c>
      <c r="B685" s="1030"/>
      <c r="C685" s="1030"/>
      <c r="D685" s="331"/>
      <c r="E685" s="331"/>
      <c r="G685" s="233"/>
      <c r="R685" s="15"/>
      <c r="S685" s="14"/>
      <c r="T685" s="14"/>
      <c r="U685" s="14"/>
      <c r="V685" s="14"/>
      <c r="W685" s="315"/>
      <c r="X685" s="14"/>
      <c r="Y685" s="42"/>
      <c r="Z685" s="42"/>
      <c r="AA685" s="42"/>
      <c r="AB685" s="42"/>
      <c r="AC685" s="42"/>
      <c r="AD685" s="42"/>
      <c r="AE685" s="42"/>
      <c r="AF685" s="42"/>
      <c r="AG685" s="42"/>
      <c r="AH685" s="42"/>
      <c r="AI685" s="42"/>
      <c r="AJ685" s="42"/>
      <c r="AK685" s="42"/>
      <c r="AL685" s="42"/>
      <c r="AM685" s="42"/>
      <c r="AN685" s="42"/>
      <c r="AO685" s="42"/>
      <c r="AP685" s="42"/>
      <c r="AQ685" s="42"/>
      <c r="AR685" s="42"/>
    </row>
    <row r="686" spans="1:44" ht="17.25" customHeight="1" x14ac:dyDescent="0.2">
      <c r="A686" s="917" t="s">
        <v>1829</v>
      </c>
      <c r="B686" s="214"/>
      <c r="C686" s="211"/>
      <c r="G686" s="233"/>
      <c r="R686" s="15"/>
      <c r="S686" s="14"/>
      <c r="T686" s="14"/>
      <c r="U686" s="14"/>
      <c r="V686" s="14"/>
      <c r="W686" s="315"/>
      <c r="X686" s="14"/>
      <c r="Y686" s="42"/>
      <c r="Z686" s="42"/>
      <c r="AA686" s="42"/>
      <c r="AB686" s="42"/>
      <c r="AC686" s="42"/>
      <c r="AD686" s="42"/>
      <c r="AE686" s="42"/>
      <c r="AF686" s="42"/>
      <c r="AG686" s="42"/>
      <c r="AH686" s="42"/>
      <c r="AI686" s="42"/>
      <c r="AJ686" s="42"/>
      <c r="AK686" s="42"/>
      <c r="AL686" s="42"/>
      <c r="AM686" s="42"/>
      <c r="AN686" s="42"/>
      <c r="AO686" s="42"/>
      <c r="AP686" s="42"/>
      <c r="AQ686" s="42"/>
      <c r="AR686" s="42"/>
    </row>
    <row r="687" spans="1:44" ht="17.25" customHeight="1" x14ac:dyDescent="0.2">
      <c r="A687" s="917" t="s">
        <v>1830</v>
      </c>
      <c r="B687" s="214"/>
      <c r="C687" s="211"/>
      <c r="G687" s="233"/>
      <c r="R687" s="15"/>
      <c r="S687" s="14"/>
      <c r="T687" s="14"/>
      <c r="U687" s="14"/>
      <c r="V687" s="14"/>
      <c r="W687" s="315"/>
      <c r="X687" s="14"/>
      <c r="Y687" s="42"/>
      <c r="Z687" s="42"/>
      <c r="AA687" s="42"/>
      <c r="AB687" s="42"/>
      <c r="AC687" s="42"/>
      <c r="AD687" s="42"/>
      <c r="AE687" s="42"/>
      <c r="AF687" s="42"/>
      <c r="AG687" s="42"/>
      <c r="AH687" s="42"/>
      <c r="AI687" s="42"/>
      <c r="AJ687" s="42"/>
      <c r="AK687" s="42"/>
      <c r="AL687" s="42"/>
      <c r="AM687" s="42"/>
      <c r="AN687" s="42"/>
      <c r="AO687" s="42"/>
      <c r="AP687" s="42"/>
      <c r="AQ687" s="42"/>
      <c r="AR687" s="42"/>
    </row>
    <row r="688" spans="1:44" ht="17.25" customHeight="1" x14ac:dyDescent="0.35">
      <c r="A688" s="917" t="s">
        <v>3423</v>
      </c>
      <c r="B688" s="214"/>
      <c r="C688" s="211"/>
      <c r="G688" s="233"/>
      <c r="R688" s="15"/>
      <c r="S688" s="14"/>
      <c r="T688" s="14"/>
      <c r="U688" s="14"/>
      <c r="V688" s="14"/>
      <c r="W688" s="315"/>
      <c r="X688" s="14"/>
      <c r="Y688" s="42"/>
      <c r="Z688" s="42"/>
      <c r="AA688" s="42"/>
      <c r="AB688" s="42"/>
      <c r="AC688" s="42"/>
      <c r="AD688" s="42"/>
      <c r="AE688" s="42"/>
      <c r="AF688" s="42"/>
      <c r="AG688" s="42"/>
      <c r="AH688" s="42"/>
      <c r="AI688" s="42"/>
      <c r="AJ688" s="42"/>
      <c r="AK688" s="42"/>
      <c r="AL688" s="42"/>
      <c r="AM688" s="42"/>
      <c r="AN688" s="42"/>
      <c r="AO688" s="42"/>
      <c r="AP688" s="42"/>
      <c r="AQ688" s="42"/>
      <c r="AR688" s="42"/>
    </row>
    <row r="689" spans="1:44" ht="17.25" customHeight="1" x14ac:dyDescent="0.2">
      <c r="A689" s="917" t="s">
        <v>2414</v>
      </c>
      <c r="B689" s="214"/>
      <c r="C689" s="211"/>
      <c r="G689" s="233"/>
      <c r="R689" s="15"/>
      <c r="S689" s="14"/>
      <c r="T689" s="14"/>
      <c r="U689" s="14"/>
      <c r="V689" s="14"/>
      <c r="W689" s="315"/>
      <c r="X689" s="14"/>
      <c r="Y689" s="42"/>
      <c r="Z689" s="42"/>
      <c r="AA689" s="42"/>
      <c r="AB689" s="42"/>
      <c r="AC689" s="42"/>
      <c r="AD689" s="42"/>
      <c r="AE689" s="42"/>
      <c r="AF689" s="42"/>
      <c r="AG689" s="42"/>
      <c r="AH689" s="42"/>
      <c r="AI689" s="42"/>
      <c r="AJ689" s="42"/>
      <c r="AK689" s="42"/>
      <c r="AL689" s="42"/>
      <c r="AM689" s="42"/>
      <c r="AN689" s="42"/>
      <c r="AO689" s="42"/>
      <c r="AP689" s="42"/>
      <c r="AQ689" s="42"/>
      <c r="AR689" s="42"/>
    </row>
    <row r="690" spans="1:44" ht="17.25" customHeight="1" x14ac:dyDescent="0.2">
      <c r="A690" s="917" t="s">
        <v>4684</v>
      </c>
      <c r="B690" s="214"/>
      <c r="C690" s="211"/>
      <c r="G690" s="233"/>
      <c r="R690" s="15"/>
      <c r="S690" s="14"/>
      <c r="T690" s="14"/>
      <c r="U690" s="14"/>
      <c r="V690" s="14"/>
      <c r="W690" s="315"/>
      <c r="X690" s="14"/>
      <c r="Y690" s="42"/>
      <c r="Z690" s="42"/>
      <c r="AA690" s="42"/>
      <c r="AB690" s="42"/>
      <c r="AC690" s="42"/>
      <c r="AD690" s="42"/>
      <c r="AE690" s="42"/>
      <c r="AF690" s="42"/>
      <c r="AG690" s="42"/>
      <c r="AH690" s="42"/>
      <c r="AI690" s="42"/>
      <c r="AJ690" s="42"/>
      <c r="AK690" s="42"/>
      <c r="AL690" s="42"/>
      <c r="AM690" s="42"/>
      <c r="AN690" s="42"/>
      <c r="AO690" s="42"/>
      <c r="AP690" s="42"/>
      <c r="AQ690" s="42"/>
      <c r="AR690" s="42"/>
    </row>
    <row r="691" spans="1:44" ht="17.25" customHeight="1" x14ac:dyDescent="0.35">
      <c r="A691" s="917" t="s">
        <v>2416</v>
      </c>
      <c r="B691" s="214"/>
      <c r="C691" s="211"/>
      <c r="G691" s="233"/>
      <c r="R691" s="15"/>
      <c r="S691" s="14"/>
      <c r="T691" s="14"/>
      <c r="U691" s="14"/>
      <c r="V691" s="14"/>
      <c r="W691" s="315"/>
      <c r="X691" s="14"/>
      <c r="Y691" s="42"/>
      <c r="Z691" s="42"/>
      <c r="AA691" s="42"/>
      <c r="AB691" s="42"/>
      <c r="AC691" s="42"/>
      <c r="AD691" s="42"/>
      <c r="AE691" s="42"/>
      <c r="AF691" s="42"/>
      <c r="AG691" s="42"/>
      <c r="AH691" s="42"/>
      <c r="AI691" s="42"/>
      <c r="AJ691" s="42"/>
      <c r="AK691" s="42"/>
      <c r="AL691" s="42"/>
      <c r="AM691" s="42"/>
      <c r="AN691" s="42"/>
      <c r="AO691" s="42"/>
      <c r="AP691" s="42"/>
      <c r="AQ691" s="42"/>
      <c r="AR691" s="42"/>
    </row>
    <row r="692" spans="1:44" ht="17.25" customHeight="1" x14ac:dyDescent="0.2">
      <c r="A692" s="917" t="s">
        <v>2415</v>
      </c>
      <c r="B692" s="214"/>
      <c r="C692" s="211"/>
      <c r="G692" s="233"/>
      <c r="R692" s="15"/>
      <c r="S692" s="14"/>
      <c r="T692" s="14"/>
      <c r="U692" s="14"/>
      <c r="V692" s="14"/>
      <c r="W692" s="315"/>
      <c r="X692" s="14"/>
      <c r="Y692" s="42"/>
      <c r="Z692" s="42"/>
      <c r="AA692" s="42"/>
      <c r="AB692" s="42"/>
      <c r="AC692" s="42"/>
      <c r="AD692" s="42"/>
      <c r="AE692" s="42"/>
      <c r="AF692" s="42"/>
      <c r="AG692" s="42"/>
      <c r="AH692" s="42"/>
      <c r="AI692" s="42"/>
      <c r="AJ692" s="42"/>
      <c r="AK692" s="42"/>
      <c r="AL692" s="42"/>
      <c r="AM692" s="42"/>
      <c r="AN692" s="42"/>
      <c r="AO692" s="42"/>
      <c r="AP692" s="42"/>
      <c r="AQ692" s="42"/>
      <c r="AR692" s="42"/>
    </row>
    <row r="693" spans="1:44" ht="17.25" customHeight="1" x14ac:dyDescent="0.2">
      <c r="A693" s="919" t="s">
        <v>2411</v>
      </c>
      <c r="B693" s="1"/>
      <c r="C693" s="1"/>
      <c r="D693" s="1"/>
      <c r="E693" s="1"/>
      <c r="F693" s="1"/>
      <c r="G693" s="1"/>
      <c r="R693" s="15"/>
      <c r="S693" s="14"/>
      <c r="T693" s="14"/>
      <c r="U693" s="14"/>
      <c r="V693" s="14"/>
      <c r="W693" s="315"/>
      <c r="X693" s="14"/>
      <c r="Y693" s="42"/>
      <c r="Z693" s="42"/>
      <c r="AA693" s="42"/>
      <c r="AB693" s="42"/>
      <c r="AC693" s="42"/>
      <c r="AD693" s="42"/>
      <c r="AE693" s="42"/>
      <c r="AF693" s="42"/>
      <c r="AG693" s="42"/>
      <c r="AH693" s="42"/>
      <c r="AI693" s="42"/>
      <c r="AJ693" s="42"/>
      <c r="AK693" s="42"/>
      <c r="AL693" s="42"/>
      <c r="AM693" s="42"/>
      <c r="AN693" s="42"/>
      <c r="AO693" s="42"/>
      <c r="AP693" s="42"/>
      <c r="AQ693" s="42"/>
      <c r="AR693" s="42"/>
    </row>
    <row r="694" spans="1:44" ht="17.25" customHeight="1" x14ac:dyDescent="0.25">
      <c r="A694" s="43"/>
      <c r="B694" s="43"/>
      <c r="C694" s="4388" t="s">
        <v>5027</v>
      </c>
      <c r="D694" s="4388"/>
      <c r="E694" s="4388"/>
      <c r="F694" s="4388"/>
      <c r="G694" s="4385" t="s">
        <v>2413</v>
      </c>
      <c r="R694" s="15"/>
      <c r="S694" s="14"/>
      <c r="T694" s="14"/>
      <c r="U694" s="14"/>
      <c r="V694" s="14"/>
      <c r="W694" s="315"/>
      <c r="X694" s="14"/>
      <c r="Y694" s="42"/>
      <c r="Z694" s="42"/>
      <c r="AA694" s="42"/>
      <c r="AB694" s="42"/>
      <c r="AC694" s="42"/>
      <c r="AD694" s="42"/>
      <c r="AE694" s="42"/>
      <c r="AF694" s="42"/>
      <c r="AG694" s="42"/>
      <c r="AH694" s="42"/>
      <c r="AI694" s="42"/>
      <c r="AJ694" s="42"/>
      <c r="AK694" s="42"/>
      <c r="AL694" s="42"/>
      <c r="AM694" s="42"/>
      <c r="AN694" s="42"/>
      <c r="AO694" s="42"/>
      <c r="AP694" s="42"/>
      <c r="AQ694" s="42"/>
      <c r="AR694" s="42"/>
    </row>
    <row r="695" spans="1:44" ht="17.25" customHeight="1" x14ac:dyDescent="0.2">
      <c r="A695" s="43"/>
      <c r="B695" s="43"/>
      <c r="C695" s="4388"/>
      <c r="D695" s="4396" t="s">
        <v>2412</v>
      </c>
      <c r="E695" s="4397"/>
      <c r="F695" s="4397"/>
      <c r="G695" s="4386"/>
      <c r="R695" s="15"/>
      <c r="S695" s="14"/>
      <c r="T695" s="14"/>
      <c r="U695" s="14"/>
      <c r="V695" s="14"/>
      <c r="W695" s="315"/>
      <c r="X695" s="14"/>
      <c r="Y695" s="42"/>
      <c r="Z695" s="42"/>
      <c r="AA695" s="42"/>
      <c r="AB695" s="42"/>
      <c r="AC695" s="42"/>
      <c r="AD695" s="42"/>
      <c r="AE695" s="42"/>
      <c r="AF695" s="42"/>
      <c r="AG695" s="42"/>
      <c r="AH695" s="42"/>
      <c r="AI695" s="42"/>
      <c r="AJ695" s="42"/>
      <c r="AK695" s="42"/>
      <c r="AL695" s="42"/>
      <c r="AM695" s="42"/>
      <c r="AN695" s="42"/>
      <c r="AO695" s="42"/>
      <c r="AP695" s="42"/>
      <c r="AQ695" s="42"/>
      <c r="AR695" s="42"/>
    </row>
    <row r="696" spans="1:44" ht="17.25" customHeight="1" x14ac:dyDescent="0.2">
      <c r="A696" s="43"/>
      <c r="B696" s="43"/>
      <c r="C696" s="4389"/>
      <c r="D696" s="3076" t="s">
        <v>5030</v>
      </c>
      <c r="E696" s="3076" t="s">
        <v>5031</v>
      </c>
      <c r="F696" s="3076" t="s">
        <v>5032</v>
      </c>
      <c r="G696" s="4386"/>
      <c r="R696" s="15"/>
      <c r="S696" s="14"/>
      <c r="T696" s="14"/>
      <c r="U696" s="14"/>
      <c r="V696" s="14"/>
      <c r="W696" s="315"/>
      <c r="X696" s="14"/>
      <c r="Y696" s="42"/>
      <c r="Z696" s="42"/>
      <c r="AA696" s="42"/>
      <c r="AB696" s="42"/>
      <c r="AC696" s="42"/>
      <c r="AD696" s="42"/>
      <c r="AE696" s="42"/>
      <c r="AF696" s="42"/>
      <c r="AG696" s="42"/>
      <c r="AH696" s="42"/>
      <c r="AI696" s="42"/>
      <c r="AJ696" s="42"/>
      <c r="AK696" s="42"/>
      <c r="AL696" s="42"/>
      <c r="AM696" s="42"/>
      <c r="AN696" s="42"/>
      <c r="AO696" s="42"/>
      <c r="AP696" s="42"/>
      <c r="AQ696" s="42"/>
      <c r="AR696" s="42"/>
    </row>
    <row r="697" spans="1:44" ht="17.25" customHeight="1" x14ac:dyDescent="0.2">
      <c r="A697" s="4390" t="s">
        <v>3926</v>
      </c>
      <c r="B697" s="4391"/>
      <c r="C697" s="3076" t="s">
        <v>3927</v>
      </c>
      <c r="D697" s="5">
        <v>0.2</v>
      </c>
      <c r="E697" s="5">
        <v>0.3</v>
      </c>
      <c r="F697" s="5">
        <v>0.4</v>
      </c>
      <c r="G697" s="5">
        <v>0.4</v>
      </c>
      <c r="R697" s="15"/>
      <c r="S697" s="14"/>
      <c r="T697" s="14"/>
      <c r="U697" s="14"/>
      <c r="V697" s="14"/>
      <c r="W697" s="315"/>
      <c r="X697" s="14"/>
      <c r="Y697" s="42"/>
      <c r="Z697" s="42"/>
      <c r="AA697" s="42"/>
      <c r="AB697" s="42"/>
      <c r="AC697" s="42"/>
      <c r="AD697" s="42"/>
      <c r="AE697" s="42"/>
      <c r="AF697" s="42"/>
      <c r="AG697" s="42"/>
      <c r="AH697" s="42"/>
      <c r="AI697" s="42"/>
      <c r="AJ697" s="42"/>
      <c r="AK697" s="42"/>
      <c r="AL697" s="42"/>
      <c r="AM697" s="42"/>
      <c r="AN697" s="42"/>
      <c r="AO697" s="42"/>
      <c r="AP697" s="42"/>
      <c r="AQ697" s="42"/>
      <c r="AR697" s="42"/>
    </row>
    <row r="698" spans="1:44" ht="17.25" customHeight="1" x14ac:dyDescent="0.2">
      <c r="A698" s="4392"/>
      <c r="B698" s="4393"/>
      <c r="C698" s="3076" t="s">
        <v>3928</v>
      </c>
      <c r="D698" s="5">
        <v>0.25</v>
      </c>
      <c r="E698" s="5">
        <v>0.35</v>
      </c>
      <c r="F698" s="5">
        <v>0.45</v>
      </c>
      <c r="G698" s="5">
        <v>0.6</v>
      </c>
      <c r="R698" s="15"/>
      <c r="S698" s="14"/>
      <c r="T698" s="14"/>
      <c r="U698" s="14"/>
      <c r="V698" s="14"/>
      <c r="W698" s="315"/>
      <c r="X698" s="14"/>
      <c r="Y698" s="42"/>
      <c r="Z698" s="42"/>
      <c r="AA698" s="42"/>
      <c r="AB698" s="42"/>
      <c r="AC698" s="42"/>
      <c r="AD698" s="42"/>
      <c r="AE698" s="42"/>
      <c r="AF698" s="42"/>
      <c r="AG698" s="42"/>
      <c r="AH698" s="42"/>
      <c r="AI698" s="42"/>
      <c r="AJ698" s="42"/>
      <c r="AK698" s="42"/>
      <c r="AL698" s="42"/>
      <c r="AM698" s="42"/>
      <c r="AN698" s="42"/>
      <c r="AO698" s="42"/>
      <c r="AP698" s="42"/>
      <c r="AQ698" s="42"/>
      <c r="AR698" s="42"/>
    </row>
    <row r="699" spans="1:44" ht="17.25" customHeight="1" x14ac:dyDescent="0.2">
      <c r="A699" s="4392"/>
      <c r="B699" s="4393"/>
      <c r="C699" s="3076" t="s">
        <v>5021</v>
      </c>
      <c r="D699" s="5">
        <v>0.4</v>
      </c>
      <c r="E699" s="5">
        <v>0.6</v>
      </c>
      <c r="F699" s="5">
        <v>0.8</v>
      </c>
      <c r="G699" s="5">
        <v>0.8</v>
      </c>
      <c r="R699" s="15"/>
      <c r="S699" s="14"/>
      <c r="T699" s="14"/>
      <c r="U699" s="14"/>
      <c r="V699" s="14"/>
      <c r="W699" s="315"/>
      <c r="X699" s="14"/>
      <c r="Y699" s="42"/>
      <c r="Z699" s="42"/>
      <c r="AA699" s="42"/>
      <c r="AB699" s="42"/>
      <c r="AC699" s="42"/>
      <c r="AD699" s="42"/>
      <c r="AE699" s="42"/>
      <c r="AF699" s="42"/>
      <c r="AG699" s="42"/>
      <c r="AH699" s="42"/>
      <c r="AI699" s="42"/>
      <c r="AJ699" s="42"/>
      <c r="AK699" s="42"/>
      <c r="AL699" s="42"/>
      <c r="AM699" s="42"/>
      <c r="AN699" s="42"/>
      <c r="AO699" s="42"/>
      <c r="AP699" s="42"/>
      <c r="AQ699" s="42"/>
      <c r="AR699" s="42"/>
    </row>
    <row r="700" spans="1:44" ht="17.25" customHeight="1" x14ac:dyDescent="0.2">
      <c r="A700" s="4394"/>
      <c r="B700" s="4395"/>
      <c r="C700" s="3076" t="s">
        <v>5033</v>
      </c>
      <c r="D700" s="5">
        <v>0.4</v>
      </c>
      <c r="E700" s="5">
        <v>0.6</v>
      </c>
      <c r="F700" s="5">
        <v>0.8</v>
      </c>
      <c r="G700" s="5">
        <v>0.8</v>
      </c>
      <c r="R700" s="15"/>
      <c r="S700" s="14"/>
      <c r="T700" s="14"/>
      <c r="U700" s="14"/>
      <c r="V700" s="14"/>
      <c r="W700" s="315"/>
      <c r="X700" s="14"/>
      <c r="Y700" s="42"/>
      <c r="Z700" s="42"/>
      <c r="AA700" s="42"/>
      <c r="AB700" s="42"/>
      <c r="AC700" s="42"/>
      <c r="AD700" s="42"/>
      <c r="AE700" s="42"/>
      <c r="AF700" s="42"/>
      <c r="AG700" s="42"/>
      <c r="AH700" s="42"/>
      <c r="AI700" s="42"/>
      <c r="AJ700" s="42"/>
      <c r="AK700" s="42"/>
      <c r="AL700" s="42"/>
      <c r="AM700" s="42"/>
      <c r="AN700" s="42"/>
      <c r="AO700" s="42"/>
      <c r="AP700" s="42"/>
      <c r="AQ700" s="42"/>
      <c r="AR700" s="42"/>
    </row>
    <row r="701" spans="1:44" ht="17.25" customHeight="1" x14ac:dyDescent="0.2">
      <c r="A701" s="39"/>
      <c r="B701" s="39"/>
      <c r="C701" s="1"/>
      <c r="D701" s="1"/>
      <c r="E701" s="1"/>
      <c r="F701" s="1"/>
      <c r="G701" s="1"/>
      <c r="R701" s="15"/>
      <c r="S701" s="14"/>
      <c r="T701" s="14"/>
      <c r="U701" s="14"/>
      <c r="V701" s="14"/>
      <c r="W701" s="315"/>
      <c r="X701" s="14"/>
      <c r="Y701" s="42"/>
      <c r="Z701" s="42"/>
      <c r="AA701" s="42"/>
      <c r="AB701" s="42"/>
      <c r="AC701" s="42"/>
      <c r="AD701" s="42"/>
      <c r="AE701" s="42"/>
      <c r="AF701" s="42"/>
      <c r="AG701" s="42"/>
      <c r="AH701" s="42"/>
      <c r="AI701" s="42"/>
      <c r="AJ701" s="42"/>
      <c r="AK701" s="42"/>
      <c r="AL701" s="42"/>
      <c r="AM701" s="42"/>
      <c r="AN701" s="42"/>
      <c r="AO701" s="42"/>
      <c r="AP701" s="42"/>
      <c r="AQ701" s="42"/>
      <c r="AR701" s="42"/>
    </row>
    <row r="702" spans="1:44" ht="17.25" customHeight="1" x14ac:dyDescent="0.2">
      <c r="A702" s="1031" t="s">
        <v>3621</v>
      </c>
      <c r="B702" s="39"/>
      <c r="C702" s="1"/>
      <c r="D702" s="1"/>
      <c r="E702" s="1"/>
      <c r="F702" s="1"/>
      <c r="G702" s="1"/>
      <c r="R702" s="15"/>
      <c r="S702" s="14"/>
      <c r="T702" s="14"/>
      <c r="U702" s="14"/>
      <c r="V702" s="14"/>
      <c r="W702" s="315"/>
      <c r="X702" s="14"/>
      <c r="Y702" s="42"/>
      <c r="Z702" s="42"/>
      <c r="AA702" s="42"/>
      <c r="AB702" s="42"/>
      <c r="AC702" s="42"/>
      <c r="AD702" s="42"/>
      <c r="AE702" s="42"/>
      <c r="AF702" s="42"/>
      <c r="AG702" s="42"/>
      <c r="AH702" s="42"/>
      <c r="AI702" s="42"/>
      <c r="AJ702" s="42"/>
      <c r="AK702" s="42"/>
      <c r="AL702" s="42"/>
      <c r="AM702" s="42"/>
      <c r="AN702" s="42"/>
      <c r="AO702" s="42"/>
      <c r="AP702" s="42"/>
      <c r="AQ702" s="42"/>
      <c r="AR702" s="42"/>
    </row>
    <row r="703" spans="1:44" ht="17.25" customHeight="1" x14ac:dyDescent="0.35">
      <c r="A703" s="39"/>
      <c r="B703" s="39"/>
      <c r="C703" s="1021" t="s">
        <v>1312</v>
      </c>
      <c r="D703" s="1"/>
      <c r="E703" s="1"/>
      <c r="F703" s="1"/>
      <c r="G703" s="1"/>
      <c r="R703" s="15"/>
      <c r="S703" s="14"/>
      <c r="T703" s="14"/>
      <c r="U703" s="14"/>
      <c r="V703" s="14"/>
      <c r="W703" s="315"/>
      <c r="X703" s="14"/>
      <c r="Y703" s="42"/>
      <c r="Z703" s="42"/>
      <c r="AA703" s="42"/>
      <c r="AB703" s="42"/>
      <c r="AC703" s="42"/>
      <c r="AD703" s="42"/>
      <c r="AE703" s="42"/>
      <c r="AF703" s="42"/>
      <c r="AG703" s="42"/>
      <c r="AH703" s="42"/>
      <c r="AI703" s="42"/>
      <c r="AJ703" s="42"/>
      <c r="AK703" s="42"/>
      <c r="AL703" s="42"/>
      <c r="AM703" s="42"/>
      <c r="AN703" s="42"/>
      <c r="AO703" s="42"/>
      <c r="AP703" s="42"/>
      <c r="AQ703" s="42"/>
      <c r="AR703" s="42"/>
    </row>
    <row r="704" spans="1:44" ht="17.25" customHeight="1" x14ac:dyDescent="0.35">
      <c r="A704" s="917" t="s">
        <v>2417</v>
      </c>
      <c r="B704" s="214"/>
      <c r="C704" s="211"/>
      <c r="G704" s="233"/>
      <c r="R704" s="15"/>
      <c r="S704" s="14"/>
      <c r="T704" s="14"/>
      <c r="U704" s="14"/>
      <c r="V704" s="14"/>
      <c r="W704" s="315"/>
      <c r="X704" s="14"/>
      <c r="Y704" s="42"/>
      <c r="Z704" s="42"/>
      <c r="AA704" s="42"/>
      <c r="AB704" s="42"/>
      <c r="AC704" s="42"/>
      <c r="AD704" s="42"/>
      <c r="AE704" s="42"/>
      <c r="AF704" s="42"/>
      <c r="AG704" s="42"/>
      <c r="AH704" s="42"/>
      <c r="AI704" s="42"/>
      <c r="AJ704" s="42"/>
      <c r="AK704" s="42"/>
      <c r="AL704" s="42"/>
      <c r="AM704" s="42"/>
      <c r="AN704" s="42"/>
      <c r="AO704" s="42"/>
      <c r="AP704" s="42"/>
      <c r="AQ704" s="42"/>
      <c r="AR704" s="42"/>
    </row>
    <row r="705" spans="1:44" ht="17.25" customHeight="1" x14ac:dyDescent="0.2">
      <c r="A705" s="917"/>
      <c r="B705" s="892" t="s">
        <v>2418</v>
      </c>
      <c r="C705" s="211"/>
      <c r="G705" s="233"/>
      <c r="R705" s="15"/>
      <c r="S705" s="14"/>
      <c r="T705" s="14"/>
      <c r="U705" s="14"/>
      <c r="V705" s="14"/>
      <c r="W705" s="315"/>
      <c r="X705" s="14"/>
      <c r="Y705" s="42"/>
      <c r="Z705" s="42"/>
      <c r="AA705" s="42"/>
      <c r="AB705" s="42"/>
      <c r="AC705" s="42"/>
      <c r="AD705" s="42"/>
      <c r="AE705" s="42"/>
      <c r="AF705" s="42"/>
      <c r="AG705" s="42"/>
      <c r="AH705" s="42"/>
      <c r="AI705" s="42"/>
      <c r="AJ705" s="42"/>
      <c r="AK705" s="42"/>
      <c r="AL705" s="42"/>
      <c r="AM705" s="42"/>
      <c r="AN705" s="42"/>
      <c r="AO705" s="42"/>
      <c r="AP705" s="42"/>
      <c r="AQ705" s="42"/>
      <c r="AR705" s="42"/>
    </row>
    <row r="706" spans="1:44" ht="17.25" customHeight="1" x14ac:dyDescent="0.35">
      <c r="A706" s="917" t="s">
        <v>2700</v>
      </c>
      <c r="B706" s="214"/>
      <c r="C706" s="211"/>
      <c r="G706" s="233"/>
      <c r="R706" s="15"/>
      <c r="S706" s="14"/>
      <c r="T706" s="14"/>
      <c r="U706" s="14"/>
      <c r="V706" s="14"/>
      <c r="W706" s="315"/>
      <c r="X706" s="14"/>
      <c r="Y706" s="42"/>
      <c r="Z706" s="42"/>
      <c r="AA706" s="42"/>
      <c r="AB706" s="42"/>
      <c r="AC706" s="42"/>
      <c r="AD706" s="42"/>
      <c r="AE706" s="42"/>
      <c r="AF706" s="42"/>
      <c r="AG706" s="42"/>
      <c r="AH706" s="42"/>
      <c r="AI706" s="42"/>
      <c r="AJ706" s="42"/>
      <c r="AK706" s="42"/>
      <c r="AL706" s="42"/>
      <c r="AM706" s="42"/>
      <c r="AN706" s="42"/>
      <c r="AO706" s="42"/>
      <c r="AP706" s="42"/>
      <c r="AQ706" s="42"/>
      <c r="AR706" s="42"/>
    </row>
    <row r="707" spans="1:44" ht="17.25" customHeight="1" x14ac:dyDescent="0.2">
      <c r="A707" s="917"/>
      <c r="B707" s="214"/>
      <c r="C707" s="211"/>
      <c r="G707" s="233"/>
      <c r="R707" s="15"/>
      <c r="S707" s="14"/>
      <c r="T707" s="14"/>
      <c r="U707" s="14"/>
      <c r="V707" s="14"/>
      <c r="W707" s="315"/>
      <c r="X707" s="14"/>
      <c r="Y707" s="42"/>
      <c r="Z707" s="42"/>
      <c r="AA707" s="42"/>
      <c r="AB707" s="42"/>
      <c r="AC707" s="42"/>
      <c r="AD707" s="42"/>
      <c r="AE707" s="42"/>
      <c r="AF707" s="42"/>
      <c r="AG707" s="42"/>
      <c r="AH707" s="42"/>
      <c r="AI707" s="42"/>
      <c r="AJ707" s="42"/>
      <c r="AK707" s="42"/>
      <c r="AL707" s="42"/>
      <c r="AM707" s="42"/>
      <c r="AN707" s="42"/>
      <c r="AO707" s="42"/>
      <c r="AP707" s="42"/>
      <c r="AQ707" s="42"/>
      <c r="AR707" s="42"/>
    </row>
    <row r="708" spans="1:44" ht="17.25" customHeight="1" x14ac:dyDescent="0.25">
      <c r="A708" s="256" t="s">
        <v>1347</v>
      </c>
      <c r="C708" s="211"/>
      <c r="G708" s="233"/>
      <c r="R708" s="15"/>
      <c r="S708" s="14"/>
      <c r="T708" s="14"/>
      <c r="U708" s="14"/>
      <c r="V708" s="14"/>
      <c r="W708" s="315"/>
      <c r="X708" s="14"/>
      <c r="Y708" s="42"/>
      <c r="Z708" s="42"/>
      <c r="AA708" s="42"/>
      <c r="AB708" s="42"/>
      <c r="AC708" s="42"/>
      <c r="AD708" s="42"/>
      <c r="AE708" s="42"/>
      <c r="AF708" s="42"/>
      <c r="AG708" s="42"/>
      <c r="AH708" s="42"/>
      <c r="AI708" s="42"/>
      <c r="AJ708" s="42"/>
      <c r="AK708" s="42"/>
      <c r="AL708" s="42"/>
      <c r="AM708" s="42"/>
      <c r="AN708" s="42"/>
      <c r="AO708" s="42"/>
      <c r="AP708" s="42"/>
      <c r="AQ708" s="42"/>
      <c r="AR708" s="42"/>
    </row>
    <row r="709" spans="1:44" ht="53.25" customHeight="1" x14ac:dyDescent="0.2">
      <c r="A709" s="4387" t="s">
        <v>1348</v>
      </c>
      <c r="B709" s="4349"/>
      <c r="C709" s="4349"/>
      <c r="D709" s="4349"/>
      <c r="E709" s="4349"/>
      <c r="F709" s="4349"/>
      <c r="G709" s="4349"/>
      <c r="H709" s="332"/>
      <c r="R709" s="15"/>
      <c r="S709" s="14"/>
      <c r="T709" s="14"/>
      <c r="U709" s="14"/>
      <c r="V709" s="14"/>
      <c r="W709" s="315"/>
      <c r="X709" s="14"/>
      <c r="Y709" s="42"/>
      <c r="Z709" s="42"/>
      <c r="AA709" s="42"/>
      <c r="AB709" s="42"/>
      <c r="AC709" s="42"/>
      <c r="AD709" s="42"/>
      <c r="AE709" s="42"/>
      <c r="AF709" s="42"/>
      <c r="AG709" s="42"/>
      <c r="AH709" s="42"/>
      <c r="AI709" s="42"/>
      <c r="AJ709" s="42"/>
      <c r="AK709" s="42"/>
      <c r="AL709" s="42"/>
      <c r="AM709" s="42"/>
      <c r="AN709" s="42"/>
      <c r="AO709" s="42"/>
      <c r="AP709" s="42"/>
      <c r="AQ709" s="42"/>
      <c r="AR709" s="42"/>
    </row>
    <row r="710" spans="1:44" ht="38.25" customHeight="1" x14ac:dyDescent="0.2">
      <c r="A710" s="4387" t="s">
        <v>2160</v>
      </c>
      <c r="B710" s="4387"/>
      <c r="C710" s="4387"/>
      <c r="D710" s="4387"/>
      <c r="E710" s="4387"/>
      <c r="F710" s="4387"/>
      <c r="G710" s="4387"/>
      <c r="H710" s="793"/>
      <c r="R710" s="15"/>
      <c r="S710" s="14"/>
      <c r="T710" s="14"/>
      <c r="U710" s="14"/>
      <c r="V710" s="14"/>
      <c r="W710" s="315"/>
      <c r="X710" s="14"/>
      <c r="Y710" s="42"/>
      <c r="Z710" s="42"/>
      <c r="AA710" s="42"/>
      <c r="AB710" s="42"/>
      <c r="AC710" s="42"/>
      <c r="AD710" s="42"/>
      <c r="AE710" s="42"/>
      <c r="AF710" s="42"/>
      <c r="AG710" s="42"/>
      <c r="AH710" s="42"/>
      <c r="AI710" s="42"/>
      <c r="AJ710" s="42"/>
      <c r="AK710" s="42"/>
      <c r="AL710" s="42"/>
      <c r="AM710" s="42"/>
      <c r="AN710" s="42"/>
      <c r="AO710" s="42"/>
      <c r="AP710" s="42"/>
      <c r="AQ710" s="42"/>
      <c r="AR710" s="42"/>
    </row>
    <row r="711" spans="1:44" ht="38.25" customHeight="1" x14ac:dyDescent="0.2">
      <c r="A711" s="4387" t="s">
        <v>1128</v>
      </c>
      <c r="B711" s="4387"/>
      <c r="C711" s="4387"/>
      <c r="D711" s="4387"/>
      <c r="E711" s="4387"/>
      <c r="F711" s="4387"/>
      <c r="G711" s="4387"/>
      <c r="H711" s="793"/>
      <c r="R711" s="15"/>
      <c r="S711" s="14"/>
      <c r="T711" s="14"/>
      <c r="U711" s="14"/>
      <c r="V711" s="14"/>
      <c r="W711" s="315"/>
      <c r="X711" s="14"/>
      <c r="Y711" s="42"/>
      <c r="Z711" s="42"/>
      <c r="AA711" s="42"/>
      <c r="AB711" s="42"/>
      <c r="AC711" s="42"/>
      <c r="AD711" s="42"/>
      <c r="AE711" s="42"/>
      <c r="AF711" s="42"/>
      <c r="AG711" s="42"/>
      <c r="AH711" s="42"/>
      <c r="AI711" s="42"/>
      <c r="AJ711" s="42"/>
      <c r="AK711" s="42"/>
      <c r="AL711" s="42"/>
      <c r="AM711" s="42"/>
      <c r="AN711" s="42"/>
      <c r="AO711" s="42"/>
      <c r="AP711" s="42"/>
      <c r="AQ711" s="42"/>
      <c r="AR711" s="42"/>
    </row>
    <row r="712" spans="1:44" ht="54" customHeight="1" x14ac:dyDescent="0.2">
      <c r="A712" s="4387" t="s">
        <v>3422</v>
      </c>
      <c r="B712" s="4387"/>
      <c r="C712" s="4387"/>
      <c r="D712" s="4387"/>
      <c r="E712" s="4387"/>
      <c r="F712" s="4387"/>
      <c r="G712" s="4387"/>
      <c r="H712" s="793"/>
      <c r="R712" s="15"/>
      <c r="S712" s="14"/>
      <c r="T712" s="14"/>
      <c r="U712" s="14"/>
      <c r="V712" s="14"/>
      <c r="W712" s="315"/>
      <c r="X712" s="14"/>
      <c r="Y712" s="42"/>
      <c r="Z712" s="42"/>
      <c r="AA712" s="42"/>
      <c r="AB712" s="42"/>
      <c r="AC712" s="42"/>
      <c r="AD712" s="42"/>
      <c r="AE712" s="42"/>
      <c r="AF712" s="42"/>
      <c r="AG712" s="42"/>
      <c r="AH712" s="42"/>
      <c r="AI712" s="42"/>
      <c r="AJ712" s="42"/>
      <c r="AK712" s="42"/>
      <c r="AL712" s="42"/>
      <c r="AM712" s="42"/>
      <c r="AN712" s="42"/>
      <c r="AO712" s="42"/>
      <c r="AP712" s="42"/>
      <c r="AQ712" s="42"/>
      <c r="AR712" s="42"/>
    </row>
    <row r="713" spans="1:44" ht="48" customHeight="1" x14ac:dyDescent="0.2">
      <c r="A713" s="4387" t="s">
        <v>3424</v>
      </c>
      <c r="B713" s="4387"/>
      <c r="C713" s="4387"/>
      <c r="D713" s="4387"/>
      <c r="E713" s="4387"/>
      <c r="F713" s="4387"/>
      <c r="G713" s="4387"/>
      <c r="H713" s="793"/>
      <c r="R713" s="15"/>
      <c r="S713" s="14"/>
      <c r="T713" s="14"/>
      <c r="U713" s="14"/>
      <c r="V713" s="14"/>
      <c r="W713" s="315"/>
      <c r="X713" s="14"/>
      <c r="Y713" s="42"/>
      <c r="Z713" s="42"/>
      <c r="AA713" s="42"/>
      <c r="AB713" s="42"/>
      <c r="AC713" s="42"/>
      <c r="AD713" s="42"/>
      <c r="AE713" s="42"/>
      <c r="AF713" s="42"/>
      <c r="AG713" s="42"/>
      <c r="AH713" s="42"/>
      <c r="AI713" s="42"/>
      <c r="AJ713" s="42"/>
      <c r="AK713" s="42"/>
      <c r="AL713" s="42"/>
      <c r="AM713" s="42"/>
      <c r="AN713" s="42"/>
      <c r="AO713" s="42"/>
      <c r="AP713" s="42"/>
      <c r="AQ713" s="42"/>
      <c r="AR713" s="42"/>
    </row>
    <row r="714" spans="1:44" ht="17.25" customHeight="1" x14ac:dyDescent="0.25">
      <c r="A714" s="256"/>
      <c r="C714" s="211"/>
      <c r="G714" s="233"/>
      <c r="R714" s="15"/>
      <c r="S714" s="14"/>
      <c r="T714" s="14"/>
      <c r="U714" s="14"/>
      <c r="V714" s="14"/>
      <c r="W714" s="315"/>
      <c r="X714" s="14"/>
      <c r="Y714" s="42"/>
      <c r="Z714" s="42"/>
      <c r="AA714" s="42"/>
      <c r="AB714" s="42"/>
      <c r="AC714" s="42"/>
      <c r="AD714" s="42"/>
      <c r="AE714" s="42"/>
      <c r="AF714" s="42"/>
      <c r="AG714" s="42"/>
      <c r="AH714" s="42"/>
      <c r="AI714" s="42"/>
      <c r="AJ714" s="42"/>
      <c r="AK714" s="42"/>
      <c r="AL714" s="42"/>
      <c r="AM714" s="42"/>
      <c r="AN714" s="42"/>
      <c r="AO714" s="42"/>
      <c r="AP714" s="42"/>
      <c r="AQ714" s="42"/>
      <c r="AR714" s="42"/>
    </row>
    <row r="715" spans="1:44" ht="17.25" customHeight="1" x14ac:dyDescent="0.25">
      <c r="A715" s="256" t="str">
        <f xml:space="preserve"> IF(SUM(H709:H713)=8," Продолжайте работу !","Думайте !!!")</f>
        <v>Думайте !!!</v>
      </c>
      <c r="C715" s="211"/>
      <c r="G715" s="233"/>
      <c r="R715" s="15"/>
      <c r="S715" s="14"/>
      <c r="T715" s="14"/>
      <c r="U715" s="14"/>
      <c r="V715" s="14"/>
      <c r="W715" s="315"/>
      <c r="X715" s="14"/>
      <c r="Y715" s="42"/>
      <c r="Z715" s="42"/>
      <c r="AA715" s="42"/>
      <c r="AB715" s="42"/>
      <c r="AC715" s="42"/>
      <c r="AD715" s="42"/>
      <c r="AE715" s="42"/>
      <c r="AF715" s="42"/>
      <c r="AG715" s="42"/>
      <c r="AH715" s="42"/>
      <c r="AI715" s="42"/>
      <c r="AJ715" s="42"/>
      <c r="AK715" s="42"/>
      <c r="AL715" s="42"/>
      <c r="AM715" s="42"/>
      <c r="AN715" s="42"/>
      <c r="AO715" s="42"/>
      <c r="AP715" s="42"/>
      <c r="AQ715" s="42"/>
      <c r="AR715" s="42"/>
    </row>
    <row r="716" spans="1:44" ht="17.25" customHeight="1" x14ac:dyDescent="0.25">
      <c r="A716" s="256"/>
      <c r="C716" s="211"/>
      <c r="G716" s="233"/>
      <c r="R716" s="15"/>
      <c r="S716" s="14"/>
      <c r="T716" s="14"/>
      <c r="U716" s="14"/>
      <c r="V716" s="14"/>
      <c r="W716" s="315"/>
      <c r="X716" s="14"/>
      <c r="Y716" s="42"/>
      <c r="Z716" s="42"/>
      <c r="AA716" s="42"/>
      <c r="AB716" s="42"/>
      <c r="AC716" s="42"/>
      <c r="AD716" s="42"/>
      <c r="AE716" s="42"/>
      <c r="AF716" s="42"/>
      <c r="AG716" s="42"/>
      <c r="AH716" s="42"/>
      <c r="AI716" s="42"/>
      <c r="AJ716" s="42"/>
      <c r="AK716" s="42"/>
      <c r="AL716" s="42"/>
      <c r="AM716" s="42"/>
      <c r="AN716" s="42"/>
      <c r="AO716" s="42"/>
      <c r="AP716" s="42"/>
      <c r="AQ716" s="42"/>
      <c r="AR716" s="42"/>
    </row>
    <row r="717" spans="1:44" ht="17.25" customHeight="1" x14ac:dyDescent="0.2">
      <c r="A717" s="907" t="str">
        <f xml:space="preserve"> IF(SUM(H709:H713)=8,"               Выбор типа верхняка и стоек для лавы с индивидуальной крепью","Вы не готовы к работе !")</f>
        <v>Вы не готовы к работе !</v>
      </c>
      <c r="B717" s="931"/>
      <c r="C717" s="932"/>
      <c r="D717" s="932"/>
      <c r="E717" s="933"/>
      <c r="F717" s="933"/>
      <c r="G717" s="934"/>
      <c r="H717" s="987"/>
      <c r="R717" s="15"/>
      <c r="S717" s="14"/>
      <c r="T717" s="14"/>
      <c r="U717" s="14"/>
      <c r="V717" s="14"/>
      <c r="W717" s="315"/>
      <c r="X717" s="14"/>
      <c r="Y717" s="42"/>
      <c r="Z717" s="42"/>
      <c r="AA717" s="42"/>
      <c r="AB717" s="42"/>
      <c r="AC717" s="42"/>
      <c r="AD717" s="42"/>
      <c r="AE717" s="42"/>
      <c r="AF717" s="42"/>
      <c r="AG717" s="42"/>
      <c r="AH717" s="42"/>
      <c r="AI717" s="42"/>
      <c r="AJ717" s="42"/>
      <c r="AK717" s="42"/>
      <c r="AL717" s="42"/>
      <c r="AM717" s="42"/>
      <c r="AN717" s="42"/>
      <c r="AO717" s="42"/>
      <c r="AP717" s="42"/>
      <c r="AQ717" s="42"/>
      <c r="AR717" s="42"/>
    </row>
    <row r="718" spans="1:44" ht="17.25" customHeight="1" x14ac:dyDescent="0.2">
      <c r="A718" s="1037" t="s">
        <v>2771</v>
      </c>
      <c r="B718" s="1038"/>
      <c r="C718" s="1034"/>
      <c r="D718" s="1034"/>
      <c r="E718" s="1035"/>
      <c r="F718" s="1035"/>
      <c r="G718" s="1036"/>
      <c r="H718" s="460"/>
      <c r="R718" s="15"/>
      <c r="S718" s="14"/>
      <c r="T718" s="14"/>
      <c r="U718" s="14"/>
      <c r="V718" s="14"/>
      <c r="W718" s="315"/>
      <c r="X718" s="14"/>
      <c r="Y718" s="42"/>
      <c r="Z718" s="42"/>
      <c r="AA718" s="42"/>
      <c r="AB718" s="42"/>
      <c r="AC718" s="42"/>
      <c r="AD718" s="42"/>
      <c r="AE718" s="42"/>
      <c r="AF718" s="42"/>
      <c r="AG718" s="42"/>
      <c r="AH718" s="42"/>
      <c r="AI718" s="42"/>
      <c r="AJ718" s="42"/>
      <c r="AK718" s="42"/>
      <c r="AL718" s="42"/>
      <c r="AM718" s="42"/>
      <c r="AN718" s="42"/>
      <c r="AO718" s="42"/>
      <c r="AP718" s="42"/>
      <c r="AQ718" s="42"/>
      <c r="AR718" s="42"/>
    </row>
    <row r="719" spans="1:44" ht="17.25" customHeight="1" x14ac:dyDescent="0.25">
      <c r="A719" s="917"/>
      <c r="B719" s="1073" t="b">
        <f>IF(K405=1,"Расчет ведется для комбайновой лавы !",IF(K405=2,"Расчет ведется для струговой лавы !"))</f>
        <v>0</v>
      </c>
      <c r="C719" s="916"/>
      <c r="D719" s="916"/>
      <c r="E719" s="860"/>
      <c r="G719" s="937"/>
      <c r="H719" s="938"/>
      <c r="R719" s="15"/>
      <c r="S719" s="14"/>
      <c r="T719" s="14"/>
      <c r="U719" s="14"/>
      <c r="V719" s="14"/>
      <c r="W719" s="315"/>
      <c r="X719" s="14"/>
      <c r="Y719" s="42"/>
      <c r="Z719" s="42"/>
      <c r="AA719" s="42"/>
      <c r="AB719" s="42"/>
      <c r="AC719" s="42"/>
      <c r="AD719" s="42"/>
      <c r="AE719" s="42"/>
      <c r="AF719" s="42"/>
      <c r="AG719" s="42"/>
      <c r="AH719" s="42"/>
      <c r="AI719" s="42"/>
      <c r="AJ719" s="42"/>
      <c r="AK719" s="42"/>
      <c r="AL719" s="42"/>
      <c r="AM719" s="42"/>
      <c r="AN719" s="42"/>
      <c r="AO719" s="42"/>
      <c r="AP719" s="42"/>
      <c r="AQ719" s="42"/>
      <c r="AR719" s="42"/>
    </row>
    <row r="720" spans="1:44" ht="17.25" customHeight="1" x14ac:dyDescent="0.25">
      <c r="A720" s="917"/>
      <c r="B720" s="1046" t="str">
        <f>IF(K405=1,"Принятая ширина захвата комбайна, м","")</f>
        <v/>
      </c>
      <c r="C720" s="916"/>
      <c r="D720" s="916"/>
      <c r="E720" s="913"/>
      <c r="F720" s="936"/>
      <c r="G720" s="819" t="str">
        <f>IF(K405=1,D616,"")</f>
        <v/>
      </c>
      <c r="H720" s="321"/>
      <c r="R720" s="15"/>
      <c r="S720" s="14"/>
      <c r="T720" s="14"/>
      <c r="U720" s="14"/>
      <c r="V720" s="14"/>
      <c r="W720" s="315"/>
      <c r="X720" s="14"/>
      <c r="Y720" s="42"/>
      <c r="Z720" s="42"/>
      <c r="AA720" s="42"/>
      <c r="AB720" s="42"/>
      <c r="AC720" s="42"/>
      <c r="AD720" s="42"/>
      <c r="AE720" s="42"/>
      <c r="AF720" s="42"/>
      <c r="AG720" s="42"/>
      <c r="AH720" s="42"/>
      <c r="AI720" s="42"/>
      <c r="AJ720" s="42"/>
      <c r="AK720" s="42"/>
      <c r="AL720" s="42"/>
      <c r="AM720" s="42"/>
      <c r="AN720" s="42"/>
      <c r="AO720" s="42"/>
      <c r="AP720" s="42"/>
      <c r="AQ720" s="42"/>
      <c r="AR720" s="42"/>
    </row>
    <row r="721" spans="1:44" ht="17.25" customHeight="1" x14ac:dyDescent="0.25">
      <c r="B721" s="860"/>
      <c r="C721" s="916"/>
      <c r="D721" s="916"/>
      <c r="E721" s="913"/>
      <c r="F721" s="983"/>
      <c r="H721" s="321"/>
      <c r="I721" s="986"/>
      <c r="J721" s="239"/>
      <c r="K721" s="239"/>
      <c r="L721" s="239"/>
      <c r="M721" s="239"/>
      <c r="N721" s="239"/>
      <c r="O721" s="239"/>
      <c r="P721" s="239"/>
      <c r="Q721" s="992"/>
      <c r="R721" s="14"/>
      <c r="S721" s="14"/>
      <c r="T721" s="14"/>
      <c r="U721" s="14"/>
      <c r="V721" s="14"/>
      <c r="W721" s="315"/>
      <c r="X721" s="14"/>
      <c r="Y721" s="42"/>
      <c r="Z721" s="42"/>
      <c r="AA721" s="42"/>
      <c r="AB721" s="42"/>
      <c r="AC721" s="42"/>
      <c r="AD721" s="42"/>
      <c r="AE721" s="42"/>
      <c r="AF721" s="42"/>
      <c r="AG721" s="42"/>
      <c r="AH721" s="42"/>
      <c r="AI721" s="42"/>
      <c r="AJ721" s="42"/>
      <c r="AK721" s="42"/>
      <c r="AL721" s="42"/>
      <c r="AM721" s="42"/>
      <c r="AN721" s="42"/>
      <c r="AO721" s="42"/>
      <c r="AP721" s="42"/>
      <c r="AQ721" s="42"/>
      <c r="AR721" s="42"/>
    </row>
    <row r="722" spans="1:44" ht="17.25" customHeight="1" x14ac:dyDescent="0.2">
      <c r="A722" s="917" t="s">
        <v>2803</v>
      </c>
      <c r="B722" s="214"/>
      <c r="C722" s="211"/>
      <c r="G722" s="233"/>
      <c r="R722" s="15"/>
      <c r="S722" s="14"/>
      <c r="T722" s="14"/>
      <c r="U722" s="14"/>
      <c r="V722" s="14"/>
      <c r="W722" s="315"/>
      <c r="X722" s="14"/>
      <c r="Y722" s="42"/>
      <c r="Z722" s="42"/>
      <c r="AA722" s="42"/>
      <c r="AB722" s="42"/>
      <c r="AC722" s="42"/>
      <c r="AD722" s="42"/>
      <c r="AE722" s="42"/>
      <c r="AF722" s="42"/>
      <c r="AG722" s="42"/>
      <c r="AH722" s="42"/>
      <c r="AI722" s="42"/>
      <c r="AJ722" s="42"/>
      <c r="AK722" s="42"/>
      <c r="AL722" s="42"/>
      <c r="AM722" s="42"/>
      <c r="AN722" s="42"/>
      <c r="AO722" s="42"/>
      <c r="AP722" s="42"/>
      <c r="AQ722" s="42"/>
      <c r="AR722" s="42"/>
    </row>
    <row r="723" spans="1:44" ht="44.25" customHeight="1" x14ac:dyDescent="0.2">
      <c r="A723" s="975" t="s">
        <v>2804</v>
      </c>
      <c r="B723" s="971" t="s">
        <v>2805</v>
      </c>
      <c r="C723" s="971" t="s">
        <v>5019</v>
      </c>
      <c r="D723" s="920" t="s">
        <v>5092</v>
      </c>
      <c r="G723" s="233"/>
      <c r="R723" s="15"/>
      <c r="S723" s="14"/>
      <c r="T723" s="14"/>
      <c r="U723" s="14"/>
      <c r="V723" s="14"/>
      <c r="W723" s="315"/>
      <c r="X723" s="14"/>
      <c r="Y723" s="42"/>
      <c r="Z723" s="42"/>
      <c r="AA723" s="42"/>
      <c r="AB723" s="42"/>
      <c r="AC723" s="42"/>
      <c r="AD723" s="42"/>
      <c r="AE723" s="42"/>
      <c r="AF723" s="42"/>
      <c r="AG723" s="42"/>
      <c r="AH723" s="42"/>
      <c r="AI723" s="42"/>
      <c r="AJ723" s="42"/>
      <c r="AK723" s="42"/>
      <c r="AL723" s="42"/>
      <c r="AM723" s="42"/>
      <c r="AN723" s="42"/>
      <c r="AO723" s="42"/>
      <c r="AP723" s="42"/>
      <c r="AQ723" s="42"/>
      <c r="AR723" s="42"/>
    </row>
    <row r="724" spans="1:44" ht="17.25" customHeight="1" x14ac:dyDescent="0.2">
      <c r="A724" s="976"/>
      <c r="B724" s="974" t="s">
        <v>2807</v>
      </c>
      <c r="C724" s="977">
        <v>0.8</v>
      </c>
      <c r="D724" s="923">
        <v>80</v>
      </c>
      <c r="G724" s="1045"/>
      <c r="H724" s="1"/>
      <c r="I724" s="1"/>
      <c r="R724" s="15"/>
      <c r="S724" s="14"/>
      <c r="T724" s="14"/>
      <c r="U724" s="14"/>
      <c r="V724" s="14"/>
      <c r="W724" s="315"/>
      <c r="X724" s="14"/>
      <c r="Y724" s="42"/>
      <c r="Z724" s="42"/>
      <c r="AA724" s="42"/>
      <c r="AB724" s="42"/>
      <c r="AC724" s="42"/>
      <c r="AD724" s="42"/>
      <c r="AE724" s="42"/>
      <c r="AF724" s="42"/>
      <c r="AG724" s="42"/>
      <c r="AH724" s="42"/>
      <c r="AI724" s="42"/>
      <c r="AJ724" s="42"/>
      <c r="AK724" s="42"/>
      <c r="AL724" s="42"/>
      <c r="AM724" s="42"/>
      <c r="AN724" s="42"/>
      <c r="AO724" s="42"/>
      <c r="AP724" s="42"/>
      <c r="AQ724" s="42"/>
      <c r="AR724" s="42"/>
    </row>
    <row r="725" spans="1:44" ht="17.25" customHeight="1" x14ac:dyDescent="0.2">
      <c r="A725" s="972" t="s">
        <v>2806</v>
      </c>
      <c r="B725" s="974" t="s">
        <v>2808</v>
      </c>
      <c r="C725" s="977">
        <v>1</v>
      </c>
      <c r="D725" s="923">
        <v>80</v>
      </c>
      <c r="G725" s="233"/>
      <c r="R725" s="15"/>
      <c r="S725" s="14"/>
      <c r="T725" s="14"/>
      <c r="U725" s="14"/>
      <c r="V725" s="14"/>
      <c r="W725" s="315"/>
      <c r="X725" s="14"/>
      <c r="Y725" s="42"/>
      <c r="Z725" s="42"/>
      <c r="AA725" s="42"/>
      <c r="AB725" s="42"/>
      <c r="AC725" s="42"/>
      <c r="AD725" s="42"/>
      <c r="AE725" s="42"/>
      <c r="AF725" s="42"/>
      <c r="AG725" s="42"/>
      <c r="AH725" s="42"/>
      <c r="AI725" s="42"/>
      <c r="AJ725" s="42"/>
      <c r="AK725" s="42"/>
      <c r="AL725" s="42"/>
      <c r="AM725" s="42"/>
      <c r="AN725" s="42"/>
      <c r="AO725" s="42"/>
      <c r="AP725" s="42"/>
      <c r="AQ725" s="42"/>
      <c r="AR725" s="42"/>
    </row>
    <row r="726" spans="1:44" ht="17.25" customHeight="1" x14ac:dyDescent="0.2">
      <c r="A726" s="973"/>
      <c r="B726" s="974" t="s">
        <v>2809</v>
      </c>
      <c r="C726" s="977">
        <v>1.26</v>
      </c>
      <c r="D726" s="923">
        <v>80</v>
      </c>
      <c r="G726" s="233"/>
      <c r="R726" s="15"/>
      <c r="S726" s="14"/>
      <c r="T726" s="14"/>
      <c r="U726" s="14"/>
      <c r="V726" s="14"/>
      <c r="W726" s="315"/>
      <c r="X726" s="14"/>
      <c r="Y726" s="42"/>
      <c r="Z726" s="42"/>
      <c r="AA726" s="42"/>
      <c r="AB726" s="42"/>
      <c r="AC726" s="42"/>
      <c r="AD726" s="42"/>
      <c r="AE726" s="42"/>
      <c r="AF726" s="42"/>
      <c r="AG726" s="42"/>
      <c r="AH726" s="42"/>
      <c r="AI726" s="42"/>
      <c r="AJ726" s="42"/>
      <c r="AK726" s="42"/>
      <c r="AL726" s="42"/>
      <c r="AM726" s="42"/>
      <c r="AN726" s="42"/>
      <c r="AO726" s="42"/>
      <c r="AP726" s="42"/>
      <c r="AQ726" s="42"/>
      <c r="AR726" s="42"/>
    </row>
    <row r="727" spans="1:44" ht="17.25" customHeight="1" x14ac:dyDescent="0.2">
      <c r="A727" s="972" t="s">
        <v>2810</v>
      </c>
      <c r="B727" s="895" t="s">
        <v>2811</v>
      </c>
      <c r="C727" s="977">
        <v>0.8</v>
      </c>
      <c r="D727" s="923">
        <v>40</v>
      </c>
      <c r="G727" s="233"/>
      <c r="R727" s="15"/>
      <c r="S727" s="14"/>
      <c r="T727" s="14"/>
      <c r="U727" s="14"/>
      <c r="V727" s="14"/>
      <c r="W727" s="315"/>
      <c r="X727" s="14"/>
      <c r="Y727" s="42"/>
      <c r="Z727" s="42"/>
      <c r="AA727" s="42"/>
      <c r="AB727" s="42"/>
      <c r="AC727" s="42"/>
      <c r="AD727" s="42"/>
      <c r="AE727" s="42"/>
      <c r="AF727" s="42"/>
      <c r="AG727" s="42"/>
      <c r="AH727" s="42"/>
      <c r="AI727" s="42"/>
      <c r="AJ727" s="42"/>
      <c r="AK727" s="42"/>
      <c r="AL727" s="42"/>
      <c r="AM727" s="42"/>
      <c r="AN727" s="42"/>
      <c r="AO727" s="42"/>
      <c r="AP727" s="42"/>
      <c r="AQ727" s="42"/>
      <c r="AR727" s="42"/>
    </row>
    <row r="728" spans="1:44" ht="17.25" customHeight="1" x14ac:dyDescent="0.2">
      <c r="A728" s="972"/>
      <c r="B728" s="1214" t="s">
        <v>2812</v>
      </c>
      <c r="C728" s="1215">
        <v>1</v>
      </c>
      <c r="D728" s="1177">
        <v>40</v>
      </c>
      <c r="G728" s="233"/>
      <c r="R728" s="15"/>
      <c r="S728" s="14"/>
      <c r="T728" s="14"/>
      <c r="U728" s="14"/>
      <c r="V728" s="14"/>
      <c r="W728" s="315"/>
      <c r="X728" s="14"/>
      <c r="Y728" s="42"/>
      <c r="Z728" s="42"/>
      <c r="AA728" s="42"/>
      <c r="AB728" s="42"/>
      <c r="AC728" s="42"/>
      <c r="AD728" s="42"/>
      <c r="AE728" s="42"/>
      <c r="AF728" s="42"/>
      <c r="AG728" s="42"/>
      <c r="AH728" s="42"/>
      <c r="AI728" s="42"/>
      <c r="AJ728" s="42"/>
      <c r="AK728" s="42"/>
      <c r="AL728" s="42"/>
      <c r="AM728" s="42"/>
      <c r="AN728" s="42"/>
      <c r="AO728" s="42"/>
      <c r="AP728" s="42"/>
      <c r="AQ728" s="42"/>
      <c r="AR728" s="42"/>
    </row>
    <row r="729" spans="1:44" ht="17.25" customHeight="1" x14ac:dyDescent="0.25">
      <c r="A729" s="1194" t="str">
        <f>IF(K405=1,"Принятый в проекте тип верхняка в комбайновой лаве","")</f>
        <v/>
      </c>
      <c r="B729" s="861"/>
      <c r="C729" s="861"/>
      <c r="D729" s="861"/>
      <c r="E729" s="861"/>
      <c r="F729" s="863"/>
      <c r="H729" s="1213"/>
      <c r="I729" s="1210"/>
      <c r="J729" s="1210"/>
      <c r="K729" s="861"/>
      <c r="L729" s="861"/>
      <c r="M729" s="863"/>
      <c r="R729" s="15"/>
      <c r="S729" s="14"/>
      <c r="T729" s="14"/>
      <c r="U729" s="14"/>
      <c r="V729" s="14"/>
      <c r="W729" s="315"/>
      <c r="X729" s="14"/>
      <c r="Y729" s="42"/>
      <c r="Z729" s="42"/>
      <c r="AA729" s="42"/>
      <c r="AB729" s="42"/>
      <c r="AC729" s="42"/>
      <c r="AD729" s="42"/>
      <c r="AE729" s="42"/>
      <c r="AF729" s="42"/>
      <c r="AG729" s="42"/>
      <c r="AH729" s="42"/>
      <c r="AI729" s="42"/>
      <c r="AJ729" s="42"/>
      <c r="AK729" s="42"/>
      <c r="AL729" s="42"/>
      <c r="AM729" s="42"/>
      <c r="AN729" s="42"/>
      <c r="AO729" s="42"/>
      <c r="AP729" s="42"/>
      <c r="AQ729" s="42"/>
      <c r="AR729" s="42"/>
    </row>
    <row r="730" spans="1:44" ht="17.25" customHeight="1" x14ac:dyDescent="0.25">
      <c r="A730" s="1216" t="str">
        <f>IF(K405=1,"Принятый в проекте тип верхняка в лаве","")</f>
        <v/>
      </c>
      <c r="B730" s="1217"/>
      <c r="C730" s="1217"/>
      <c r="D730" s="1218"/>
      <c r="E730" s="1201"/>
      <c r="G730" s="1078"/>
      <c r="H730" s="1197"/>
      <c r="I730" s="1212"/>
      <c r="J730" s="1212"/>
      <c r="K730" s="1200"/>
      <c r="L730" s="1201"/>
      <c r="R730" s="15"/>
      <c r="S730" s="14"/>
      <c r="T730" s="14"/>
      <c r="U730" s="14"/>
      <c r="V730" s="14"/>
      <c r="W730" s="315"/>
      <c r="X730" s="14"/>
      <c r="Y730" s="42"/>
      <c r="Z730" s="42"/>
      <c r="AA730" s="42"/>
      <c r="AB730" s="42"/>
      <c r="AC730" s="42"/>
      <c r="AD730" s="42"/>
      <c r="AE730" s="42"/>
      <c r="AF730" s="42"/>
      <c r="AG730" s="42"/>
      <c r="AH730" s="42"/>
      <c r="AI730" s="42"/>
      <c r="AJ730" s="42"/>
      <c r="AK730" s="42"/>
      <c r="AL730" s="42"/>
      <c r="AM730" s="42"/>
      <c r="AN730" s="42"/>
      <c r="AO730" s="42"/>
      <c r="AP730" s="42"/>
      <c r="AQ730" s="42"/>
      <c r="AR730" s="42"/>
    </row>
    <row r="731" spans="1:44" ht="17.25" customHeight="1" x14ac:dyDescent="0.25">
      <c r="A731" s="979"/>
      <c r="B731" s="980" t="str">
        <f>IF(K405=1,"Толщина верхняка, мм","")</f>
        <v/>
      </c>
      <c r="C731" s="981"/>
      <c r="D731" s="863"/>
      <c r="E731" s="3929"/>
      <c r="G731" s="1078"/>
      <c r="H731" s="1211"/>
      <c r="I731" s="1210"/>
      <c r="J731" s="1210"/>
      <c r="K731" s="864"/>
      <c r="L731" s="3928"/>
      <c r="M731" s="1070"/>
      <c r="N731" s="1071"/>
      <c r="O731" s="239"/>
      <c r="P731" s="1072"/>
      <c r="R731" s="15"/>
      <c r="S731" s="14"/>
      <c r="T731" s="14"/>
      <c r="U731" s="14"/>
      <c r="V731" s="14"/>
      <c r="W731" s="315"/>
      <c r="X731" s="14"/>
      <c r="Y731" s="42"/>
      <c r="Z731" s="42"/>
      <c r="AA731" s="42"/>
      <c r="AB731" s="42"/>
      <c r="AC731" s="42"/>
      <c r="AD731" s="42"/>
      <c r="AE731" s="42"/>
      <c r="AF731" s="42"/>
      <c r="AG731" s="42"/>
      <c r="AH731" s="42"/>
      <c r="AI731" s="42"/>
      <c r="AJ731" s="42"/>
      <c r="AK731" s="42"/>
      <c r="AL731" s="42"/>
      <c r="AM731" s="42"/>
      <c r="AN731" s="42"/>
      <c r="AO731" s="42"/>
      <c r="AP731" s="42"/>
      <c r="AQ731" s="42"/>
      <c r="AR731" s="42"/>
    </row>
    <row r="732" spans="1:44" ht="17.25" customHeight="1" x14ac:dyDescent="0.2">
      <c r="A732" s="945"/>
      <c r="B732" s="1047" t="str">
        <f>IF(K405=1,"Длина верхняка, м","")</f>
        <v/>
      </c>
      <c r="C732" s="861"/>
      <c r="D732" s="863"/>
      <c r="E732" s="793"/>
      <c r="G732" s="233"/>
      <c r="H732" s="1211"/>
      <c r="I732" s="861"/>
      <c r="J732" s="861"/>
      <c r="K732" s="864"/>
      <c r="L732" s="1079"/>
      <c r="M732" s="239"/>
      <c r="N732" s="239"/>
      <c r="O732" s="239"/>
      <c r="P732" s="239"/>
      <c r="R732" s="15"/>
      <c r="S732" s="14"/>
      <c r="T732" s="14"/>
      <c r="U732" s="14"/>
      <c r="V732" s="14"/>
      <c r="W732" s="315"/>
      <c r="X732" s="14"/>
      <c r="Y732" s="42"/>
      <c r="Z732" s="42"/>
      <c r="AA732" s="42"/>
      <c r="AB732" s="42"/>
      <c r="AC732" s="42"/>
      <c r="AD732" s="42"/>
      <c r="AE732" s="42"/>
      <c r="AF732" s="42"/>
      <c r="AG732" s="42"/>
      <c r="AH732" s="42"/>
      <c r="AI732" s="42"/>
      <c r="AJ732" s="42"/>
      <c r="AK732" s="42"/>
      <c r="AL732" s="42"/>
      <c r="AM732" s="42"/>
      <c r="AN732" s="42"/>
      <c r="AO732" s="42"/>
      <c r="AP732" s="42"/>
      <c r="AQ732" s="42"/>
      <c r="AR732" s="42"/>
    </row>
    <row r="733" spans="1:44" ht="17.25" customHeight="1" x14ac:dyDescent="0.2">
      <c r="G733" s="233"/>
      <c r="K733" s="239"/>
      <c r="L733" s="986"/>
      <c r="M733" s="239"/>
      <c r="N733" s="239"/>
      <c r="O733" s="239"/>
      <c r="P733" s="489"/>
      <c r="R733" s="15"/>
      <c r="S733" s="14"/>
      <c r="T733" s="14"/>
      <c r="U733" s="14"/>
      <c r="V733" s="14"/>
      <c r="W733" s="315"/>
      <c r="X733" s="14"/>
      <c r="Y733" s="42"/>
      <c r="Z733" s="42"/>
      <c r="AA733" s="42"/>
      <c r="AB733" s="42"/>
      <c r="AC733" s="42"/>
      <c r="AD733" s="42"/>
      <c r="AE733" s="42"/>
      <c r="AF733" s="42"/>
      <c r="AG733" s="42"/>
      <c r="AH733" s="42"/>
      <c r="AI733" s="42"/>
      <c r="AJ733" s="42"/>
      <c r="AK733" s="42"/>
      <c r="AL733" s="42"/>
      <c r="AM733" s="42"/>
      <c r="AN733" s="42"/>
      <c r="AO733" s="42"/>
      <c r="AP733" s="42"/>
      <c r="AQ733" s="42"/>
      <c r="AR733" s="42"/>
    </row>
    <row r="734" spans="1:44" ht="17.25" customHeight="1" x14ac:dyDescent="0.2">
      <c r="A734" s="303" t="s">
        <v>2772</v>
      </c>
      <c r="B734" s="308" t="b">
        <f>IF(K405=1,"Расчет ведется для комбайновой лавы !",IF(K405=2,"Расчет ведется для струговой лавы !"))</f>
        <v>0</v>
      </c>
      <c r="G734" s="233"/>
      <c r="H734" s="986"/>
      <c r="K734" s="239"/>
      <c r="L734" s="489"/>
      <c r="M734" s="239"/>
      <c r="N734" s="239"/>
      <c r="O734" s="239"/>
      <c r="P734" s="239"/>
      <c r="R734" s="15"/>
      <c r="S734" s="14"/>
      <c r="T734" s="14"/>
      <c r="U734" s="14"/>
      <c r="V734" s="14"/>
      <c r="W734" s="315"/>
      <c r="X734" s="14"/>
      <c r="Y734" s="42"/>
      <c r="Z734" s="42"/>
      <c r="AA734" s="42"/>
      <c r="AB734" s="42"/>
      <c r="AC734" s="42"/>
      <c r="AD734" s="42"/>
      <c r="AE734" s="42"/>
      <c r="AF734" s="42"/>
      <c r="AG734" s="42"/>
      <c r="AH734" s="42"/>
      <c r="AI734" s="42"/>
      <c r="AJ734" s="42"/>
      <c r="AK734" s="42"/>
      <c r="AL734" s="42"/>
      <c r="AM734" s="42"/>
      <c r="AN734" s="42"/>
      <c r="AO734" s="42"/>
      <c r="AP734" s="42"/>
      <c r="AQ734" s="42"/>
      <c r="AR734" s="42"/>
    </row>
    <row r="735" spans="1:44" ht="17.25" customHeight="1" x14ac:dyDescent="0.2">
      <c r="A735" s="979" t="s">
        <v>5093</v>
      </c>
      <c r="B735" s="980"/>
      <c r="C735" s="981"/>
      <c r="D735" s="861"/>
      <c r="E735" s="982"/>
      <c r="F735" s="862" t="e">
        <f>kursovoy!B402*1000*(1-IF(kursovoy!B207=1,0.04,IF(kursovoy!B207=2,0.025,IF(kursovoy!B207=3,0.015,IF(kursovoy!B207=4,0.015,IF(kursovoy!B207=5,0.05)))))*4.6)-IF(K405=1,E731,L731)-50</f>
        <v>#VALUE!</v>
      </c>
      <c r="G735" s="233"/>
      <c r="R735" s="15"/>
      <c r="S735" s="14"/>
      <c r="T735" s="14"/>
      <c r="U735" s="14"/>
      <c r="V735" s="14"/>
      <c r="W735" s="315"/>
      <c r="X735" s="14"/>
      <c r="Y735" s="42"/>
      <c r="Z735" s="42"/>
      <c r="AA735" s="42"/>
      <c r="AB735" s="42"/>
      <c r="AC735" s="42"/>
      <c r="AD735" s="42"/>
      <c r="AE735" s="42"/>
      <c r="AF735" s="42"/>
      <c r="AG735" s="42"/>
      <c r="AH735" s="42"/>
      <c r="AI735" s="42"/>
      <c r="AJ735" s="42"/>
      <c r="AK735" s="42"/>
      <c r="AL735" s="42"/>
      <c r="AM735" s="42"/>
      <c r="AN735" s="42"/>
      <c r="AO735" s="42"/>
      <c r="AP735" s="42"/>
      <c r="AQ735" s="42"/>
      <c r="AR735" s="42"/>
    </row>
    <row r="736" spans="1:44" ht="17.25" customHeight="1" x14ac:dyDescent="0.2">
      <c r="A736" s="979" t="s">
        <v>4258</v>
      </c>
      <c r="B736" s="980"/>
      <c r="C736" s="981"/>
      <c r="D736" s="861"/>
      <c r="E736" s="982"/>
      <c r="F736" s="862" t="e">
        <f>kursovoy!B403*1000*(1-IF(kursovoy!B207=1,0.04,IF(kursovoy!B207=2,0.025,IF(kursovoy!B207=3,0.015,IF(kursovoy!B207=4,0.015,IF(kursovoy!B207=5,0.05)))))*1.6)-IF(K405=1,E731,L731)</f>
        <v>#VALUE!</v>
      </c>
      <c r="G736" s="233"/>
      <c r="R736" s="15"/>
      <c r="S736" s="14"/>
      <c r="T736" s="14"/>
      <c r="U736" s="14"/>
      <c r="V736" s="14"/>
      <c r="W736" s="315"/>
      <c r="X736" s="14"/>
      <c r="Y736" s="42"/>
      <c r="Z736" s="42"/>
      <c r="AA736" s="42"/>
      <c r="AB736" s="42"/>
      <c r="AC736" s="42"/>
      <c r="AD736" s="42"/>
      <c r="AE736" s="42"/>
      <c r="AF736" s="42"/>
      <c r="AG736" s="42"/>
      <c r="AH736" s="42"/>
      <c r="AI736" s="42"/>
      <c r="AJ736" s="42"/>
      <c r="AK736" s="42"/>
      <c r="AL736" s="42"/>
      <c r="AM736" s="42"/>
      <c r="AN736" s="42"/>
      <c r="AO736" s="42"/>
      <c r="AP736" s="42"/>
      <c r="AQ736" s="42"/>
      <c r="AR736" s="42"/>
    </row>
    <row r="737" spans="1:44" ht="17.25" customHeight="1" x14ac:dyDescent="0.2">
      <c r="A737" s="917" t="s">
        <v>3218</v>
      </c>
      <c r="B737" s="230">
        <f>ROW(744:744)</f>
        <v>744</v>
      </c>
      <c r="C737" s="917" t="s">
        <v>3144</v>
      </c>
      <c r="D737" s="917"/>
      <c r="E737" s="917"/>
      <c r="F737" s="917"/>
      <c r="G737" s="925"/>
      <c r="H737" s="917"/>
      <c r="R737" s="15"/>
      <c r="S737" s="14"/>
      <c r="T737" s="14"/>
      <c r="U737" s="14"/>
      <c r="V737" s="14"/>
      <c r="W737" s="315"/>
      <c r="X737" s="14"/>
      <c r="Y737" s="42"/>
      <c r="Z737" s="42"/>
      <c r="AA737" s="42"/>
      <c r="AB737" s="42"/>
      <c r="AC737" s="42"/>
      <c r="AD737" s="42"/>
      <c r="AE737" s="42"/>
      <c r="AF737" s="42"/>
      <c r="AG737" s="42"/>
      <c r="AH737" s="42"/>
      <c r="AI737" s="42"/>
      <c r="AJ737" s="42"/>
      <c r="AK737" s="42"/>
      <c r="AL737" s="42"/>
      <c r="AM737" s="42"/>
      <c r="AN737" s="42"/>
      <c r="AO737" s="42"/>
      <c r="AP737" s="42"/>
      <c r="AQ737" s="42"/>
      <c r="AR737" s="42"/>
    </row>
    <row r="738" spans="1:44" ht="17.25" customHeight="1" x14ac:dyDescent="0.2">
      <c r="A738" s="917" t="s">
        <v>3145</v>
      </c>
      <c r="B738" s="214"/>
      <c r="C738" s="211"/>
      <c r="G738" s="233"/>
      <c r="R738" s="15"/>
      <c r="S738" s="14"/>
      <c r="T738" s="14"/>
      <c r="U738" s="14"/>
      <c r="V738" s="14"/>
      <c r="W738" s="315"/>
      <c r="X738" s="14"/>
      <c r="Y738" s="42"/>
      <c r="Z738" s="42"/>
      <c r="AA738" s="42"/>
      <c r="AB738" s="42"/>
      <c r="AC738" s="42"/>
      <c r="AD738" s="42"/>
      <c r="AE738" s="42"/>
      <c r="AF738" s="42"/>
      <c r="AG738" s="42"/>
      <c r="AH738" s="42"/>
      <c r="AI738" s="42"/>
      <c r="AJ738" s="42"/>
      <c r="AK738" s="42"/>
      <c r="AL738" s="42"/>
      <c r="AM738" s="42"/>
      <c r="AN738" s="42"/>
      <c r="AO738" s="42"/>
      <c r="AP738" s="42"/>
      <c r="AQ738" s="42"/>
      <c r="AR738" s="42"/>
    </row>
    <row r="739" spans="1:44" ht="17.25" customHeight="1" x14ac:dyDescent="0.2">
      <c r="A739" s="917" t="s">
        <v>3146</v>
      </c>
      <c r="B739" s="214"/>
      <c r="C739" s="211"/>
      <c r="G739" s="233"/>
      <c r="R739" s="15"/>
      <c r="S739" s="14"/>
      <c r="T739" s="14"/>
      <c r="U739" s="14"/>
      <c r="V739" s="14"/>
      <c r="W739" s="315"/>
      <c r="X739" s="14"/>
      <c r="Y739" s="42"/>
      <c r="Z739" s="42"/>
      <c r="AA739" s="42"/>
      <c r="AB739" s="42"/>
      <c r="AC739" s="42"/>
      <c r="AD739" s="42"/>
      <c r="AE739" s="42"/>
      <c r="AF739" s="42"/>
      <c r="AG739" s="42"/>
      <c r="AH739" s="42"/>
      <c r="AI739" s="42"/>
      <c r="AJ739" s="42"/>
      <c r="AK739" s="42"/>
      <c r="AL739" s="42"/>
      <c r="AM739" s="42"/>
      <c r="AN739" s="42"/>
      <c r="AO739" s="42"/>
      <c r="AP739" s="42"/>
      <c r="AQ739" s="42"/>
      <c r="AR739" s="42"/>
    </row>
    <row r="740" spans="1:44" ht="17.25" customHeight="1" x14ac:dyDescent="0.25">
      <c r="A740" s="345" t="s">
        <v>2409</v>
      </c>
      <c r="C740" s="211"/>
      <c r="G740" s="233"/>
      <c r="K740" s="347">
        <f>ROW(778:778)</f>
        <v>778</v>
      </c>
      <c r="R740" s="15"/>
      <c r="S740" s="14"/>
      <c r="T740" s="14"/>
      <c r="U740" s="14"/>
      <c r="V740" s="14"/>
      <c r="W740" s="315"/>
      <c r="X740" s="14"/>
      <c r="Y740" s="42"/>
      <c r="Z740" s="42"/>
      <c r="AA740" s="42"/>
      <c r="AB740" s="42"/>
      <c r="AC740" s="42"/>
      <c r="AD740" s="42"/>
      <c r="AE740" s="42"/>
      <c r="AF740" s="42"/>
      <c r="AG740" s="42"/>
      <c r="AH740" s="42"/>
      <c r="AI740" s="42"/>
      <c r="AJ740" s="42"/>
      <c r="AK740" s="42"/>
      <c r="AL740" s="42"/>
      <c r="AM740" s="42"/>
      <c r="AN740" s="42"/>
      <c r="AO740" s="42"/>
      <c r="AP740" s="42"/>
      <c r="AQ740" s="42"/>
      <c r="AR740" s="42"/>
    </row>
    <row r="741" spans="1:44" ht="17.25" customHeight="1" x14ac:dyDescent="0.25">
      <c r="A741" s="345" t="s">
        <v>3219</v>
      </c>
      <c r="C741" s="211"/>
      <c r="G741" s="233"/>
      <c r="K741" s="347"/>
      <c r="R741" s="15"/>
      <c r="S741" s="14"/>
      <c r="T741" s="14"/>
      <c r="U741" s="14"/>
      <c r="V741" s="14"/>
      <c r="W741" s="315"/>
      <c r="X741" s="14"/>
      <c r="Y741" s="42"/>
      <c r="Z741" s="42"/>
      <c r="AA741" s="42"/>
      <c r="AB741" s="42"/>
      <c r="AC741" s="42"/>
      <c r="AD741" s="42"/>
      <c r="AE741" s="42"/>
      <c r="AF741" s="42"/>
      <c r="AG741" s="42"/>
      <c r="AH741" s="42"/>
      <c r="AI741" s="42"/>
      <c r="AJ741" s="42"/>
      <c r="AK741" s="42"/>
      <c r="AL741" s="42"/>
      <c r="AM741" s="42"/>
      <c r="AN741" s="42"/>
      <c r="AO741" s="42"/>
      <c r="AP741" s="42"/>
      <c r="AQ741" s="42"/>
      <c r="AR741" s="42"/>
    </row>
    <row r="742" spans="1:44" ht="45" customHeight="1" x14ac:dyDescent="0.2">
      <c r="A742" s="917"/>
      <c r="B742" s="935" t="s">
        <v>1458</v>
      </c>
      <c r="C742" s="935" t="s">
        <v>1458</v>
      </c>
      <c r="G742" s="233"/>
      <c r="R742" s="15"/>
      <c r="S742" s="14"/>
      <c r="T742" s="14"/>
      <c r="U742" s="14"/>
      <c r="V742" s="14"/>
      <c r="W742" s="315"/>
      <c r="X742" s="14"/>
      <c r="Y742" s="42"/>
      <c r="Z742" s="42"/>
      <c r="AA742" s="42"/>
      <c r="AB742" s="42"/>
      <c r="AC742" s="42"/>
      <c r="AD742" s="42"/>
      <c r="AE742" s="42"/>
      <c r="AF742" s="42"/>
      <c r="AG742" s="42"/>
      <c r="AH742" s="42"/>
      <c r="AI742" s="42"/>
      <c r="AJ742" s="42"/>
      <c r="AK742" s="42"/>
      <c r="AL742" s="42"/>
      <c r="AM742" s="42"/>
      <c r="AN742" s="42"/>
      <c r="AO742" s="42"/>
      <c r="AP742" s="42"/>
      <c r="AQ742" s="42"/>
      <c r="AR742" s="42"/>
    </row>
    <row r="743" spans="1:44" ht="17.25" customHeight="1" x14ac:dyDescent="0.3">
      <c r="A743" s="917"/>
      <c r="B743" s="926" t="s">
        <v>1459</v>
      </c>
      <c r="C743" s="926" t="s">
        <v>1460</v>
      </c>
      <c r="G743" s="233"/>
      <c r="R743" s="15"/>
      <c r="S743" s="14"/>
      <c r="T743" s="14"/>
      <c r="U743" s="14"/>
      <c r="V743" s="14"/>
      <c r="W743" s="315"/>
      <c r="X743" s="14"/>
      <c r="Y743" s="42"/>
      <c r="Z743" s="42"/>
      <c r="AA743" s="42"/>
      <c r="AB743" s="42"/>
      <c r="AC743" s="42"/>
      <c r="AD743" s="42"/>
      <c r="AE743" s="42"/>
      <c r="AF743" s="42"/>
      <c r="AG743" s="42"/>
      <c r="AH743" s="42"/>
      <c r="AI743" s="42"/>
      <c r="AJ743" s="42"/>
      <c r="AK743" s="42"/>
      <c r="AL743" s="42"/>
      <c r="AM743" s="42"/>
      <c r="AN743" s="42"/>
      <c r="AO743" s="42"/>
      <c r="AP743" s="42"/>
      <c r="AQ743" s="42"/>
      <c r="AR743" s="42"/>
    </row>
    <row r="744" spans="1:44" s="331" customFormat="1" ht="17.25" customHeight="1" x14ac:dyDescent="0.2">
      <c r="A744" s="917"/>
      <c r="B744" s="862" t="e">
        <f>F735</f>
        <v>#VALUE!</v>
      </c>
      <c r="C744" s="862" t="e">
        <f>F736</f>
        <v>#VALUE!</v>
      </c>
      <c r="G744" s="918"/>
      <c r="H744" s="908"/>
      <c r="M744" s="919"/>
      <c r="R744" s="394"/>
      <c r="S744" s="921"/>
      <c r="T744" s="921"/>
      <c r="U744" s="921"/>
      <c r="V744" s="921"/>
      <c r="W744" s="922"/>
      <c r="X744" s="921"/>
      <c r="Y744" s="330"/>
      <c r="Z744" s="330"/>
      <c r="AA744" s="330"/>
      <c r="AB744" s="330"/>
      <c r="AC744" s="330"/>
      <c r="AD744" s="330"/>
      <c r="AE744" s="330"/>
      <c r="AF744" s="330"/>
      <c r="AG744" s="330"/>
      <c r="AH744" s="330"/>
      <c r="AI744" s="330"/>
      <c r="AJ744" s="330"/>
      <c r="AK744" s="330"/>
      <c r="AL744" s="330"/>
      <c r="AM744" s="330"/>
      <c r="AN744" s="330"/>
      <c r="AO744" s="330"/>
      <c r="AP744" s="330"/>
      <c r="AQ744" s="330"/>
      <c r="AR744" s="330"/>
    </row>
    <row r="745" spans="1:44" ht="49.5" customHeight="1" x14ac:dyDescent="0.25">
      <c r="A745" s="889" t="s">
        <v>5398</v>
      </c>
      <c r="B745" s="889" t="s">
        <v>5399</v>
      </c>
      <c r="C745" s="889" t="s">
        <v>5400</v>
      </c>
      <c r="G745" s="233"/>
      <c r="H745" s="345"/>
      <c r="M745" s="1"/>
      <c r="R745" s="15"/>
      <c r="S745" s="14"/>
      <c r="T745" s="14"/>
      <c r="U745" s="14"/>
      <c r="V745" s="14"/>
      <c r="W745" s="315"/>
      <c r="X745" s="14"/>
      <c r="Y745" s="42"/>
      <c r="Z745" s="42"/>
      <c r="AA745" s="42"/>
      <c r="AB745" s="42"/>
      <c r="AC745" s="42"/>
      <c r="AD745" s="42"/>
      <c r="AE745" s="42"/>
      <c r="AF745" s="42"/>
      <c r="AG745" s="42"/>
      <c r="AH745" s="42"/>
      <c r="AI745" s="42"/>
      <c r="AJ745" s="42"/>
      <c r="AK745" s="42"/>
      <c r="AL745" s="42"/>
      <c r="AM745" s="42"/>
      <c r="AN745" s="42"/>
      <c r="AO745" s="42"/>
      <c r="AP745" s="42"/>
      <c r="AQ745" s="42"/>
      <c r="AR745" s="42"/>
    </row>
    <row r="746" spans="1:44" ht="17.25" customHeight="1" x14ac:dyDescent="0.25">
      <c r="A746" s="929" t="s">
        <v>5375</v>
      </c>
      <c r="B746" s="895">
        <v>360</v>
      </c>
      <c r="C746" s="225">
        <v>720</v>
      </c>
      <c r="G746" s="233"/>
      <c r="H746" s="345"/>
      <c r="M746" s="1"/>
      <c r="R746" s="15"/>
      <c r="S746" s="14"/>
      <c r="T746" s="14"/>
      <c r="U746" s="14"/>
      <c r="V746" s="14"/>
      <c r="W746" s="315"/>
      <c r="X746" s="14"/>
      <c r="Y746" s="42"/>
      <c r="Z746" s="42"/>
      <c r="AA746" s="42"/>
      <c r="AB746" s="42"/>
      <c r="AC746" s="42"/>
      <c r="AD746" s="42"/>
      <c r="AE746" s="42"/>
      <c r="AF746" s="42"/>
      <c r="AG746" s="42"/>
      <c r="AH746" s="42"/>
      <c r="AI746" s="42"/>
      <c r="AJ746" s="42"/>
      <c r="AK746" s="42"/>
      <c r="AL746" s="42"/>
      <c r="AM746" s="42"/>
      <c r="AN746" s="42"/>
      <c r="AO746" s="42"/>
      <c r="AP746" s="42"/>
      <c r="AQ746" s="42"/>
      <c r="AR746" s="42"/>
    </row>
    <row r="747" spans="1:44" ht="17.25" customHeight="1" x14ac:dyDescent="0.25">
      <c r="A747" s="929" t="s">
        <v>5376</v>
      </c>
      <c r="B747" s="895">
        <v>400</v>
      </c>
      <c r="C747" s="225">
        <v>800</v>
      </c>
      <c r="G747" s="233"/>
      <c r="H747" s="345"/>
      <c r="M747" s="1"/>
      <c r="R747" s="15"/>
      <c r="S747" s="14"/>
      <c r="T747" s="14"/>
      <c r="U747" s="14"/>
      <c r="V747" s="14"/>
      <c r="W747" s="315"/>
      <c r="X747" s="14"/>
      <c r="Y747" s="42"/>
      <c r="Z747" s="42"/>
      <c r="AA747" s="42"/>
      <c r="AB747" s="42"/>
      <c r="AC747" s="42"/>
      <c r="AD747" s="42"/>
      <c r="AE747" s="42"/>
      <c r="AF747" s="42"/>
      <c r="AG747" s="42"/>
      <c r="AH747" s="42"/>
      <c r="AI747" s="42"/>
      <c r="AJ747" s="42"/>
      <c r="AK747" s="42"/>
      <c r="AL747" s="42"/>
      <c r="AM747" s="42"/>
      <c r="AN747" s="42"/>
      <c r="AO747" s="42"/>
      <c r="AP747" s="42"/>
      <c r="AQ747" s="42"/>
      <c r="AR747" s="42"/>
    </row>
    <row r="748" spans="1:44" ht="17.25" customHeight="1" x14ac:dyDescent="0.25">
      <c r="A748" s="929" t="s">
        <v>5377</v>
      </c>
      <c r="B748" s="895">
        <v>450</v>
      </c>
      <c r="C748" s="225">
        <v>930</v>
      </c>
      <c r="G748" s="233"/>
      <c r="H748" s="345"/>
      <c r="M748" s="1"/>
      <c r="R748" s="15"/>
      <c r="S748" s="14"/>
      <c r="T748" s="14"/>
      <c r="U748" s="14"/>
      <c r="V748" s="14"/>
      <c r="W748" s="315"/>
      <c r="X748" s="14"/>
      <c r="Y748" s="42"/>
      <c r="Z748" s="42"/>
      <c r="AA748" s="42"/>
      <c r="AB748" s="42"/>
      <c r="AC748" s="42"/>
      <c r="AD748" s="42"/>
      <c r="AE748" s="42"/>
      <c r="AF748" s="42"/>
      <c r="AG748" s="42"/>
      <c r="AH748" s="42"/>
      <c r="AI748" s="42"/>
      <c r="AJ748" s="42"/>
      <c r="AK748" s="42"/>
      <c r="AL748" s="42"/>
      <c r="AM748" s="42"/>
      <c r="AN748" s="42"/>
      <c r="AO748" s="42"/>
      <c r="AP748" s="42"/>
      <c r="AQ748" s="42"/>
      <c r="AR748" s="42"/>
    </row>
    <row r="749" spans="1:44" ht="17.25" customHeight="1" x14ac:dyDescent="0.25">
      <c r="A749" s="929" t="s">
        <v>5378</v>
      </c>
      <c r="B749" s="895">
        <v>500</v>
      </c>
      <c r="C749" s="225">
        <v>1070</v>
      </c>
      <c r="G749" s="233"/>
      <c r="H749" s="345"/>
      <c r="M749" s="1"/>
      <c r="R749" s="15"/>
      <c r="S749" s="14"/>
      <c r="T749" s="14"/>
      <c r="U749" s="14"/>
      <c r="V749" s="14"/>
      <c r="W749" s="315"/>
      <c r="X749" s="14"/>
      <c r="Y749" s="42"/>
      <c r="Z749" s="42"/>
      <c r="AA749" s="42"/>
      <c r="AB749" s="42"/>
      <c r="AC749" s="42"/>
      <c r="AD749" s="42"/>
      <c r="AE749" s="42"/>
      <c r="AF749" s="42"/>
      <c r="AG749" s="42"/>
      <c r="AH749" s="42"/>
      <c r="AI749" s="42"/>
      <c r="AJ749" s="42"/>
      <c r="AK749" s="42"/>
      <c r="AL749" s="42"/>
      <c r="AM749" s="42"/>
      <c r="AN749" s="42"/>
      <c r="AO749" s="42"/>
      <c r="AP749" s="42"/>
      <c r="AQ749" s="42"/>
      <c r="AR749" s="42"/>
    </row>
    <row r="750" spans="1:44" ht="17.25" customHeight="1" x14ac:dyDescent="0.25">
      <c r="A750" s="929" t="s">
        <v>5379</v>
      </c>
      <c r="B750" s="895">
        <v>560</v>
      </c>
      <c r="C750" s="225">
        <v>1200</v>
      </c>
      <c r="G750" s="233"/>
      <c r="H750" s="345"/>
      <c r="M750" s="1"/>
      <c r="R750" s="15"/>
      <c r="S750" s="14"/>
      <c r="T750" s="14"/>
      <c r="U750" s="14"/>
      <c r="V750" s="14"/>
      <c r="W750" s="315"/>
      <c r="X750" s="14"/>
      <c r="Y750" s="42"/>
      <c r="Z750" s="42"/>
      <c r="AA750" s="42"/>
      <c r="AB750" s="42"/>
      <c r="AC750" s="42"/>
      <c r="AD750" s="42"/>
      <c r="AE750" s="42"/>
      <c r="AF750" s="42"/>
      <c r="AG750" s="42"/>
      <c r="AH750" s="42"/>
      <c r="AI750" s="42"/>
      <c r="AJ750" s="42"/>
      <c r="AK750" s="42"/>
      <c r="AL750" s="42"/>
      <c r="AM750" s="42"/>
      <c r="AN750" s="42"/>
      <c r="AO750" s="42"/>
      <c r="AP750" s="42"/>
      <c r="AQ750" s="42"/>
      <c r="AR750" s="42"/>
    </row>
    <row r="751" spans="1:44" ht="17.25" customHeight="1" x14ac:dyDescent="0.25">
      <c r="A751" s="929" t="s">
        <v>5380</v>
      </c>
      <c r="B751" s="895">
        <v>630</v>
      </c>
      <c r="C751" s="225">
        <v>1300</v>
      </c>
      <c r="G751" s="233"/>
      <c r="H751" s="345"/>
      <c r="M751" s="1"/>
      <c r="R751" s="15"/>
      <c r="S751" s="14"/>
      <c r="T751" s="14"/>
      <c r="U751" s="14"/>
      <c r="V751" s="14"/>
      <c r="W751" s="315"/>
      <c r="X751" s="14"/>
      <c r="Y751" s="42"/>
      <c r="Z751" s="42"/>
      <c r="AA751" s="42"/>
      <c r="AB751" s="42"/>
      <c r="AC751" s="42"/>
      <c r="AD751" s="42"/>
      <c r="AE751" s="42"/>
      <c r="AF751" s="42"/>
      <c r="AG751" s="42"/>
      <c r="AH751" s="42"/>
      <c r="AI751" s="42"/>
      <c r="AJ751" s="42"/>
      <c r="AK751" s="42"/>
      <c r="AL751" s="42"/>
      <c r="AM751" s="42"/>
      <c r="AN751" s="42"/>
      <c r="AO751" s="42"/>
      <c r="AP751" s="42"/>
      <c r="AQ751" s="42"/>
      <c r="AR751" s="42"/>
    </row>
    <row r="752" spans="1:44" s="860" customFormat="1" ht="17.25" customHeight="1" x14ac:dyDescent="0.2">
      <c r="A752" s="929" t="s">
        <v>5381</v>
      </c>
      <c r="B752" s="895">
        <v>500</v>
      </c>
      <c r="C752" s="895">
        <v>710</v>
      </c>
      <c r="E752"/>
      <c r="G752" s="254"/>
      <c r="H752" s="321"/>
      <c r="M752" s="909"/>
      <c r="R752" s="910"/>
      <c r="S752" s="911"/>
      <c r="T752" s="911"/>
      <c r="U752" s="911"/>
      <c r="V752" s="911"/>
      <c r="W752" s="912"/>
      <c r="X752" s="911"/>
      <c r="Y752" s="913"/>
      <c r="Z752" s="913"/>
      <c r="AA752" s="913"/>
      <c r="AB752" s="913"/>
      <c r="AC752" s="913"/>
      <c r="AD752" s="913"/>
      <c r="AE752" s="913"/>
      <c r="AF752" s="913"/>
      <c r="AG752" s="913"/>
      <c r="AH752" s="913"/>
      <c r="AI752" s="913"/>
      <c r="AJ752" s="913"/>
      <c r="AK752" s="913"/>
      <c r="AL752" s="913"/>
      <c r="AM752" s="913"/>
      <c r="AN752" s="913"/>
      <c r="AO752" s="913"/>
      <c r="AP752" s="913"/>
      <c r="AQ752" s="913"/>
      <c r="AR752" s="913"/>
    </row>
    <row r="753" spans="1:44" s="860" customFormat="1" ht="17.25" customHeight="1" x14ac:dyDescent="0.2">
      <c r="A753" s="929" t="s">
        <v>5382</v>
      </c>
      <c r="B753" s="895">
        <v>560</v>
      </c>
      <c r="C753" s="895">
        <v>830</v>
      </c>
      <c r="E753"/>
      <c r="G753" s="254"/>
      <c r="H753" s="321"/>
      <c r="M753" s="909"/>
      <c r="R753" s="910"/>
      <c r="S753" s="911"/>
      <c r="T753" s="911"/>
      <c r="U753" s="911"/>
      <c r="V753" s="911"/>
      <c r="W753" s="912"/>
      <c r="X753" s="911"/>
      <c r="Y753" s="913"/>
      <c r="Z753" s="913"/>
      <c r="AA753" s="913"/>
      <c r="AB753" s="913"/>
      <c r="AC753" s="913"/>
      <c r="AD753" s="913"/>
      <c r="AE753" s="913"/>
      <c r="AF753" s="913"/>
      <c r="AG753" s="913"/>
      <c r="AH753" s="913"/>
      <c r="AI753" s="913"/>
      <c r="AJ753" s="913"/>
      <c r="AK753" s="913"/>
      <c r="AL753" s="913"/>
      <c r="AM753" s="913"/>
      <c r="AN753" s="913"/>
      <c r="AO753" s="913"/>
      <c r="AP753" s="913"/>
      <c r="AQ753" s="913"/>
      <c r="AR753" s="913"/>
    </row>
    <row r="754" spans="1:44" s="860" customFormat="1" ht="17.25" customHeight="1" x14ac:dyDescent="0.2">
      <c r="A754" s="929" t="s">
        <v>5383</v>
      </c>
      <c r="B754" s="895">
        <v>630</v>
      </c>
      <c r="C754" s="895">
        <v>950</v>
      </c>
      <c r="E754"/>
      <c r="G754" s="254"/>
      <c r="H754" s="321"/>
      <c r="M754" s="909"/>
      <c r="R754" s="910"/>
      <c r="S754" s="911"/>
      <c r="T754" s="911"/>
      <c r="U754" s="911"/>
      <c r="V754" s="911"/>
      <c r="W754" s="912"/>
      <c r="X754" s="911"/>
      <c r="Y754" s="913"/>
      <c r="Z754" s="913"/>
      <c r="AA754" s="913"/>
      <c r="AB754" s="913"/>
      <c r="AC754" s="913"/>
      <c r="AD754" s="913"/>
      <c r="AE754" s="913"/>
      <c r="AF754" s="913"/>
      <c r="AG754" s="913"/>
      <c r="AH754" s="913"/>
      <c r="AI754" s="913"/>
      <c r="AJ754" s="913"/>
      <c r="AK754" s="913"/>
      <c r="AL754" s="913"/>
      <c r="AM754" s="913"/>
      <c r="AN754" s="913"/>
      <c r="AO754" s="913"/>
      <c r="AP754" s="913"/>
      <c r="AQ754" s="913"/>
      <c r="AR754" s="913"/>
    </row>
    <row r="755" spans="1:44" s="860" customFormat="1" ht="17.25" customHeight="1" x14ac:dyDescent="0.2">
      <c r="A755" s="929" t="s">
        <v>5384</v>
      </c>
      <c r="B755" s="895">
        <v>710</v>
      </c>
      <c r="C755" s="895">
        <v>1100</v>
      </c>
      <c r="E755"/>
      <c r="G755" s="254"/>
      <c r="R755" s="910"/>
      <c r="S755" s="911"/>
      <c r="T755" s="911"/>
      <c r="U755" s="911"/>
      <c r="V755" s="911"/>
      <c r="W755" s="912"/>
      <c r="X755" s="911"/>
      <c r="Y755" s="913"/>
      <c r="Z755" s="913"/>
      <c r="AA755" s="913"/>
      <c r="AB755" s="913"/>
      <c r="AC755" s="913"/>
      <c r="AD755" s="913"/>
      <c r="AE755" s="913"/>
      <c r="AF755" s="913"/>
      <c r="AG755" s="913"/>
      <c r="AH755" s="913"/>
      <c r="AI755" s="913"/>
      <c r="AJ755" s="913"/>
      <c r="AK755" s="913"/>
      <c r="AL755" s="913"/>
      <c r="AM755" s="913"/>
      <c r="AN755" s="913"/>
      <c r="AO755" s="913"/>
      <c r="AP755" s="913"/>
      <c r="AQ755" s="913"/>
      <c r="AR755" s="913"/>
    </row>
    <row r="756" spans="1:44" s="860" customFormat="1" ht="17.25" customHeight="1" x14ac:dyDescent="0.2">
      <c r="A756" s="929" t="s">
        <v>5385</v>
      </c>
      <c r="B756" s="927">
        <v>800</v>
      </c>
      <c r="C756" s="927">
        <v>1250</v>
      </c>
      <c r="D756" s="914"/>
      <c r="E756"/>
      <c r="F756" s="914"/>
      <c r="H756" s="321"/>
      <c r="M756" s="909"/>
      <c r="S756" s="911"/>
      <c r="T756" s="911"/>
      <c r="U756" s="911"/>
      <c r="V756" s="911"/>
      <c r="W756" s="912"/>
      <c r="X756" s="911"/>
      <c r="Y756" s="913"/>
      <c r="Z756" s="913"/>
      <c r="AA756" s="913"/>
      <c r="AB756" s="913"/>
      <c r="AC756" s="913"/>
      <c r="AD756" s="913"/>
      <c r="AE756" s="913"/>
      <c r="AF756" s="913"/>
      <c r="AG756" s="913"/>
      <c r="AH756" s="913"/>
      <c r="AI756" s="913"/>
      <c r="AJ756" s="913"/>
      <c r="AK756" s="913"/>
      <c r="AL756" s="913"/>
      <c r="AM756" s="913"/>
      <c r="AN756" s="913"/>
      <c r="AO756" s="913"/>
      <c r="AP756" s="913"/>
      <c r="AQ756" s="913"/>
      <c r="AR756" s="913"/>
    </row>
    <row r="757" spans="1:44" s="860" customFormat="1" ht="17.25" customHeight="1" x14ac:dyDescent="0.2">
      <c r="A757" s="929" t="s">
        <v>5386</v>
      </c>
      <c r="B757" s="927">
        <v>900</v>
      </c>
      <c r="C757" s="927">
        <v>1400</v>
      </c>
      <c r="D757" s="914"/>
      <c r="E757"/>
      <c r="F757" s="914"/>
      <c r="H757" s="321"/>
      <c r="M757" s="909"/>
      <c r="S757" s="911"/>
      <c r="T757" s="911"/>
      <c r="U757" s="911"/>
      <c r="V757" s="911"/>
      <c r="W757" s="912"/>
      <c r="X757" s="911"/>
      <c r="Y757" s="913"/>
      <c r="Z757" s="913"/>
      <c r="AA757" s="913"/>
      <c r="AB757" s="913"/>
      <c r="AC757" s="913"/>
      <c r="AD757" s="913"/>
      <c r="AE757" s="913"/>
      <c r="AF757" s="913"/>
      <c r="AG757" s="913"/>
      <c r="AH757" s="913"/>
      <c r="AI757" s="913"/>
      <c r="AJ757" s="913"/>
      <c r="AK757" s="913"/>
      <c r="AL757" s="913"/>
      <c r="AM757" s="913"/>
      <c r="AN757" s="913"/>
      <c r="AO757" s="913"/>
      <c r="AP757" s="913"/>
      <c r="AQ757" s="913"/>
      <c r="AR757" s="913"/>
    </row>
    <row r="758" spans="1:44" s="860" customFormat="1" ht="17.25" customHeight="1" x14ac:dyDescent="0.2">
      <c r="A758" s="929" t="s">
        <v>5387</v>
      </c>
      <c r="B758" s="927">
        <v>1000</v>
      </c>
      <c r="C758" s="927">
        <v>1600</v>
      </c>
      <c r="D758" s="914"/>
      <c r="E758"/>
      <c r="F758" s="914"/>
      <c r="H758" s="321"/>
      <c r="M758" s="909"/>
      <c r="S758" s="911"/>
      <c r="T758" s="911"/>
      <c r="U758" s="911"/>
      <c r="V758" s="911"/>
      <c r="W758" s="912"/>
      <c r="X758" s="911"/>
      <c r="Y758" s="913"/>
      <c r="Z758" s="913"/>
      <c r="AA758" s="913"/>
      <c r="AB758" s="913"/>
      <c r="AC758" s="913"/>
      <c r="AD758" s="913"/>
      <c r="AE758" s="913"/>
      <c r="AF758" s="913"/>
      <c r="AG758" s="913"/>
      <c r="AH758" s="913"/>
      <c r="AI758" s="913"/>
      <c r="AJ758" s="913"/>
      <c r="AK758" s="913"/>
      <c r="AL758" s="913"/>
      <c r="AM758" s="913"/>
      <c r="AN758" s="913"/>
      <c r="AO758" s="913"/>
      <c r="AP758" s="913"/>
      <c r="AQ758" s="913"/>
      <c r="AR758" s="913"/>
    </row>
    <row r="759" spans="1:44" s="860" customFormat="1" ht="17.25" customHeight="1" x14ac:dyDescent="0.2">
      <c r="A759" s="929" t="s">
        <v>5388</v>
      </c>
      <c r="B759" s="927">
        <v>1120</v>
      </c>
      <c r="C759" s="927">
        <v>1800</v>
      </c>
      <c r="D759" s="914"/>
      <c r="E759"/>
      <c r="F759" s="914"/>
      <c r="H759" s="321"/>
      <c r="M759" s="909"/>
      <c r="S759" s="911"/>
      <c r="T759" s="911"/>
      <c r="U759" s="911"/>
      <c r="V759" s="911"/>
      <c r="W759" s="912"/>
      <c r="X759" s="911"/>
      <c r="Y759" s="913"/>
      <c r="Z759" s="913"/>
      <c r="AA759" s="913"/>
      <c r="AB759" s="913"/>
      <c r="AC759" s="913"/>
      <c r="AD759" s="913"/>
      <c r="AE759" s="913"/>
      <c r="AF759" s="913"/>
      <c r="AG759" s="913"/>
      <c r="AH759" s="913"/>
      <c r="AI759" s="913"/>
      <c r="AJ759" s="913"/>
      <c r="AK759" s="913"/>
      <c r="AL759" s="913"/>
      <c r="AM759" s="913"/>
      <c r="AN759" s="913"/>
      <c r="AO759" s="913"/>
      <c r="AP759" s="913"/>
      <c r="AQ759" s="913"/>
      <c r="AR759" s="913"/>
    </row>
    <row r="760" spans="1:44" s="860" customFormat="1" ht="17.25" customHeight="1" x14ac:dyDescent="0.2">
      <c r="A760" s="929" t="s">
        <v>5389</v>
      </c>
      <c r="B760" s="927">
        <v>500</v>
      </c>
      <c r="C760" s="927">
        <v>710</v>
      </c>
      <c r="D760" s="914"/>
      <c r="E760"/>
      <c r="F760" s="914"/>
      <c r="H760" s="321"/>
      <c r="M760" s="909"/>
      <c r="S760" s="911"/>
      <c r="T760" s="911"/>
      <c r="U760" s="911"/>
      <c r="V760" s="911"/>
      <c r="W760" s="912"/>
      <c r="X760" s="911"/>
      <c r="Y760" s="913"/>
      <c r="Z760" s="913"/>
      <c r="AA760" s="913"/>
      <c r="AB760" s="913"/>
      <c r="AC760" s="913"/>
      <c r="AD760" s="913"/>
      <c r="AE760" s="913"/>
      <c r="AF760" s="913"/>
      <c r="AG760" s="913"/>
      <c r="AH760" s="913"/>
      <c r="AI760" s="913"/>
      <c r="AJ760" s="913"/>
      <c r="AK760" s="913"/>
      <c r="AL760" s="913"/>
      <c r="AM760" s="913"/>
      <c r="AN760" s="913"/>
      <c r="AO760" s="913"/>
      <c r="AP760" s="913"/>
      <c r="AQ760" s="913"/>
      <c r="AR760" s="913"/>
    </row>
    <row r="761" spans="1:44" s="860" customFormat="1" ht="17.25" customHeight="1" x14ac:dyDescent="0.2">
      <c r="A761" s="929" t="s">
        <v>5390</v>
      </c>
      <c r="B761" s="927">
        <v>560</v>
      </c>
      <c r="C761" s="927">
        <v>830</v>
      </c>
      <c r="D761" s="914"/>
      <c r="E761"/>
      <c r="F761" s="914"/>
      <c r="H761" s="321"/>
      <c r="M761" s="909"/>
      <c r="S761" s="911"/>
      <c r="T761" s="911"/>
      <c r="U761" s="911"/>
      <c r="V761" s="911"/>
      <c r="W761" s="912"/>
      <c r="X761" s="911"/>
      <c r="Y761" s="913"/>
      <c r="Z761" s="913"/>
      <c r="AA761" s="913"/>
      <c r="AB761" s="913"/>
      <c r="AC761" s="913"/>
      <c r="AD761" s="913"/>
      <c r="AE761" s="913"/>
      <c r="AF761" s="913"/>
      <c r="AG761" s="913"/>
      <c r="AH761" s="913"/>
      <c r="AI761" s="913"/>
      <c r="AJ761" s="913"/>
      <c r="AK761" s="913"/>
      <c r="AL761" s="913"/>
      <c r="AM761" s="913"/>
      <c r="AN761" s="913"/>
      <c r="AO761" s="913"/>
      <c r="AP761" s="913"/>
      <c r="AQ761" s="913"/>
      <c r="AR761" s="913"/>
    </row>
    <row r="762" spans="1:44" s="860" customFormat="1" ht="17.25" customHeight="1" x14ac:dyDescent="0.2">
      <c r="A762" s="929" t="s">
        <v>5391</v>
      </c>
      <c r="B762" s="927">
        <v>630</v>
      </c>
      <c r="C762" s="927">
        <v>950</v>
      </c>
      <c r="D762" s="914"/>
      <c r="E762"/>
      <c r="F762" s="914"/>
      <c r="H762" s="321"/>
      <c r="M762" s="909"/>
      <c r="S762" s="911"/>
      <c r="T762" s="911"/>
      <c r="U762" s="911"/>
      <c r="V762" s="911"/>
      <c r="W762" s="912"/>
      <c r="X762" s="911"/>
      <c r="Y762" s="913"/>
      <c r="Z762" s="913"/>
      <c r="AA762" s="913"/>
      <c r="AB762" s="913"/>
      <c r="AC762" s="913"/>
      <c r="AD762" s="913"/>
      <c r="AE762" s="913"/>
      <c r="AF762" s="913"/>
      <c r="AG762" s="913"/>
      <c r="AH762" s="913"/>
      <c r="AI762" s="913"/>
      <c r="AJ762" s="913"/>
      <c r="AK762" s="913"/>
      <c r="AL762" s="913"/>
      <c r="AM762" s="913"/>
      <c r="AN762" s="913"/>
      <c r="AO762" s="913"/>
      <c r="AP762" s="913"/>
      <c r="AQ762" s="913"/>
      <c r="AR762" s="913"/>
    </row>
    <row r="763" spans="1:44" s="860" customFormat="1" ht="17.25" customHeight="1" x14ac:dyDescent="0.2">
      <c r="A763" s="929" t="s">
        <v>5392</v>
      </c>
      <c r="B763" s="927">
        <v>710</v>
      </c>
      <c r="C763" s="927">
        <v>1100</v>
      </c>
      <c r="D763" s="914"/>
      <c r="E763"/>
      <c r="F763" s="914"/>
      <c r="H763" s="321"/>
      <c r="M763" s="909"/>
      <c r="S763" s="911"/>
      <c r="T763" s="911"/>
      <c r="U763" s="911"/>
      <c r="V763" s="911"/>
      <c r="W763" s="912"/>
      <c r="X763" s="911"/>
      <c r="Y763" s="913"/>
      <c r="Z763" s="913"/>
      <c r="AA763" s="913"/>
      <c r="AB763" s="913"/>
      <c r="AC763" s="913"/>
      <c r="AD763" s="913"/>
      <c r="AE763" s="913"/>
      <c r="AF763" s="913"/>
      <c r="AG763" s="913"/>
      <c r="AH763" s="913"/>
      <c r="AI763" s="913"/>
      <c r="AJ763" s="913"/>
      <c r="AK763" s="913"/>
      <c r="AL763" s="913"/>
      <c r="AM763" s="913"/>
      <c r="AN763" s="913"/>
      <c r="AO763" s="913"/>
      <c r="AP763" s="913"/>
      <c r="AQ763" s="913"/>
      <c r="AR763" s="913"/>
    </row>
    <row r="764" spans="1:44" s="860" customFormat="1" ht="17.25" customHeight="1" x14ac:dyDescent="0.2">
      <c r="A764" s="929" t="s">
        <v>5393</v>
      </c>
      <c r="B764" s="927">
        <v>800</v>
      </c>
      <c r="C764" s="927">
        <v>1250</v>
      </c>
      <c r="D764" s="914"/>
      <c r="E764"/>
      <c r="F764" s="914"/>
      <c r="H764" s="321"/>
      <c r="M764" s="909"/>
      <c r="S764" s="911"/>
      <c r="T764" s="911"/>
      <c r="U764" s="911"/>
      <c r="V764" s="911"/>
      <c r="W764" s="912"/>
      <c r="X764" s="911"/>
      <c r="Y764" s="913"/>
      <c r="Z764" s="913"/>
      <c r="AA764" s="913"/>
      <c r="AB764" s="913"/>
      <c r="AC764" s="913"/>
      <c r="AD764" s="913"/>
      <c r="AE764" s="913"/>
      <c r="AF764" s="913"/>
      <c r="AG764" s="913"/>
      <c r="AH764" s="913"/>
      <c r="AI764" s="913"/>
      <c r="AJ764" s="913"/>
      <c r="AK764" s="913"/>
      <c r="AL764" s="913"/>
      <c r="AM764" s="913"/>
      <c r="AN764" s="913"/>
      <c r="AO764" s="913"/>
      <c r="AP764" s="913"/>
      <c r="AQ764" s="913"/>
      <c r="AR764" s="913"/>
    </row>
    <row r="765" spans="1:44" s="860" customFormat="1" ht="17.25" customHeight="1" x14ac:dyDescent="0.2">
      <c r="A765" s="929" t="s">
        <v>5394</v>
      </c>
      <c r="B765" s="927">
        <v>900</v>
      </c>
      <c r="C765" s="927">
        <v>1450</v>
      </c>
      <c r="D765" s="914"/>
      <c r="E765"/>
      <c r="F765" s="914"/>
      <c r="H765" s="321"/>
      <c r="M765" s="909"/>
      <c r="S765" s="911"/>
      <c r="T765" s="911"/>
      <c r="U765" s="911"/>
      <c r="V765" s="911"/>
      <c r="W765" s="912"/>
      <c r="X765" s="911"/>
      <c r="Y765" s="913"/>
      <c r="Z765" s="913"/>
      <c r="AA765" s="913"/>
      <c r="AB765" s="913"/>
      <c r="AC765" s="913"/>
      <c r="AD765" s="913"/>
      <c r="AE765" s="913"/>
      <c r="AF765" s="913"/>
      <c r="AG765" s="913"/>
      <c r="AH765" s="913"/>
      <c r="AI765" s="913"/>
      <c r="AJ765" s="913"/>
      <c r="AK765" s="913"/>
      <c r="AL765" s="913"/>
      <c r="AM765" s="913"/>
      <c r="AN765" s="913"/>
      <c r="AO765" s="913"/>
      <c r="AP765" s="913"/>
      <c r="AQ765" s="913"/>
      <c r="AR765" s="913"/>
    </row>
    <row r="766" spans="1:44" s="860" customFormat="1" ht="17.25" customHeight="1" x14ac:dyDescent="0.2">
      <c r="A766" s="929" t="s">
        <v>5395</v>
      </c>
      <c r="B766" s="927">
        <v>1000</v>
      </c>
      <c r="C766" s="927">
        <v>1600</v>
      </c>
      <c r="D766" s="914"/>
      <c r="E766"/>
      <c r="F766" s="914"/>
      <c r="H766" s="321"/>
      <c r="M766" s="909"/>
      <c r="S766" s="911"/>
      <c r="T766" s="911"/>
      <c r="U766" s="911"/>
      <c r="V766" s="911"/>
      <c r="W766" s="912"/>
      <c r="X766" s="911"/>
      <c r="Y766" s="913"/>
      <c r="Z766" s="913"/>
      <c r="AA766" s="913"/>
      <c r="AB766" s="913"/>
      <c r="AC766" s="913"/>
      <c r="AD766" s="913"/>
      <c r="AE766" s="913"/>
      <c r="AF766" s="913"/>
      <c r="AG766" s="913"/>
      <c r="AH766" s="913"/>
      <c r="AI766" s="913"/>
      <c r="AJ766" s="913"/>
      <c r="AK766" s="913"/>
      <c r="AL766" s="913"/>
      <c r="AM766" s="913"/>
      <c r="AN766" s="913"/>
      <c r="AO766" s="913"/>
      <c r="AP766" s="913"/>
      <c r="AQ766" s="913"/>
      <c r="AR766" s="913"/>
    </row>
    <row r="767" spans="1:44" s="860" customFormat="1" ht="17.25" customHeight="1" x14ac:dyDescent="0.2">
      <c r="A767" s="929" t="s">
        <v>5396</v>
      </c>
      <c r="B767" s="927">
        <v>1120</v>
      </c>
      <c r="C767" s="927">
        <v>1800</v>
      </c>
      <c r="D767" s="914"/>
      <c r="E767"/>
      <c r="F767" s="914"/>
      <c r="H767" s="321"/>
      <c r="M767" s="909"/>
      <c r="S767" s="911"/>
      <c r="T767" s="911"/>
      <c r="U767" s="911"/>
      <c r="V767" s="911"/>
      <c r="W767" s="912"/>
      <c r="X767" s="911"/>
      <c r="Y767" s="913"/>
      <c r="Z767" s="913"/>
      <c r="AA767" s="913"/>
      <c r="AB767" s="913"/>
      <c r="AC767" s="913"/>
      <c r="AD767" s="913"/>
      <c r="AE767" s="913"/>
      <c r="AF767" s="913"/>
      <c r="AG767" s="913"/>
      <c r="AH767" s="913"/>
      <c r="AI767" s="913"/>
      <c r="AJ767" s="913"/>
      <c r="AK767" s="913"/>
      <c r="AL767" s="913"/>
      <c r="AM767" s="913"/>
      <c r="AN767" s="913"/>
      <c r="AO767" s="913"/>
      <c r="AP767" s="913"/>
      <c r="AQ767" s="913"/>
      <c r="AR767" s="913"/>
    </row>
    <row r="768" spans="1:44" s="860" customFormat="1" ht="17.25" customHeight="1" x14ac:dyDescent="0.2">
      <c r="A768" s="929" t="s">
        <v>5397</v>
      </c>
      <c r="B768" s="927">
        <v>1250</v>
      </c>
      <c r="C768" s="927">
        <v>2000</v>
      </c>
      <c r="D768" s="914"/>
      <c r="E768"/>
      <c r="F768" s="914"/>
      <c r="H768" s="321"/>
      <c r="M768" s="909"/>
      <c r="S768" s="911"/>
      <c r="T768" s="911"/>
      <c r="U768" s="911"/>
      <c r="V768" s="911"/>
      <c r="W768" s="912"/>
      <c r="X768" s="911"/>
      <c r="Y768" s="913"/>
      <c r="Z768" s="913"/>
      <c r="AA768" s="913"/>
      <c r="AB768" s="913"/>
      <c r="AC768" s="913"/>
      <c r="AD768" s="913"/>
      <c r="AE768" s="913"/>
      <c r="AF768" s="913"/>
      <c r="AG768" s="913"/>
      <c r="AH768" s="913"/>
      <c r="AI768" s="913"/>
      <c r="AJ768" s="913"/>
      <c r="AK768" s="913"/>
      <c r="AL768" s="913"/>
      <c r="AM768" s="913"/>
      <c r="AN768" s="913"/>
      <c r="AO768" s="913"/>
      <c r="AP768" s="913"/>
      <c r="AQ768" s="913"/>
      <c r="AR768" s="913"/>
    </row>
    <row r="769" spans="1:44" s="860" customFormat="1" ht="17.25" customHeight="1" x14ac:dyDescent="0.2">
      <c r="A769" s="929" t="s">
        <v>5007</v>
      </c>
      <c r="B769" s="927">
        <v>500</v>
      </c>
      <c r="C769" s="927">
        <v>650</v>
      </c>
      <c r="D769" s="914"/>
      <c r="E769"/>
      <c r="F769" s="914"/>
      <c r="H769" s="321"/>
      <c r="M769" s="909"/>
      <c r="S769" s="911"/>
      <c r="T769" s="911"/>
      <c r="U769" s="911"/>
      <c r="V769" s="911"/>
      <c r="W769" s="912"/>
      <c r="X769" s="911"/>
      <c r="Y769" s="913"/>
      <c r="Z769" s="913"/>
      <c r="AA769" s="913"/>
      <c r="AB769" s="913"/>
      <c r="AC769" s="913"/>
      <c r="AD769" s="913"/>
      <c r="AE769" s="913"/>
      <c r="AF769" s="913"/>
      <c r="AG769" s="913"/>
      <c r="AH769" s="913"/>
      <c r="AI769" s="913"/>
      <c r="AJ769" s="913"/>
      <c r="AK769" s="913"/>
      <c r="AL769" s="913"/>
      <c r="AM769" s="913"/>
      <c r="AN769" s="913"/>
      <c r="AO769" s="913"/>
      <c r="AP769" s="913"/>
      <c r="AQ769" s="913"/>
      <c r="AR769" s="913"/>
    </row>
    <row r="770" spans="1:44" s="860" customFormat="1" ht="17.25" customHeight="1" x14ac:dyDescent="0.2">
      <c r="A770" s="929" t="s">
        <v>5008</v>
      </c>
      <c r="B770" s="927">
        <v>560</v>
      </c>
      <c r="C770" s="927">
        <v>800</v>
      </c>
      <c r="D770" s="914"/>
      <c r="E770"/>
      <c r="F770" s="914"/>
      <c r="H770" s="321"/>
      <c r="M770" s="909"/>
      <c r="S770" s="911"/>
      <c r="T770" s="911"/>
      <c r="U770" s="911"/>
      <c r="V770" s="911"/>
      <c r="W770" s="912"/>
      <c r="X770" s="911"/>
      <c r="Y770" s="913"/>
      <c r="Z770" s="913"/>
      <c r="AA770" s="913"/>
      <c r="AB770" s="913"/>
      <c r="AC770" s="913"/>
      <c r="AD770" s="913"/>
      <c r="AE770" s="913"/>
      <c r="AF770" s="913"/>
      <c r="AG770" s="913"/>
      <c r="AH770" s="913"/>
      <c r="AI770" s="913"/>
      <c r="AJ770" s="913"/>
      <c r="AK770" s="913"/>
      <c r="AL770" s="913"/>
      <c r="AM770" s="913"/>
      <c r="AN770" s="913"/>
      <c r="AO770" s="913"/>
      <c r="AP770" s="913"/>
      <c r="AQ770" s="913"/>
      <c r="AR770" s="913"/>
    </row>
    <row r="771" spans="1:44" s="860" customFormat="1" ht="17.25" customHeight="1" x14ac:dyDescent="0.2">
      <c r="A771" s="929" t="s">
        <v>5009</v>
      </c>
      <c r="B771" s="927">
        <v>630</v>
      </c>
      <c r="C771" s="927">
        <v>900</v>
      </c>
      <c r="D771" s="914"/>
      <c r="E771"/>
      <c r="F771" s="914"/>
      <c r="H771" s="321"/>
      <c r="M771" s="909"/>
      <c r="S771" s="911"/>
      <c r="T771" s="911"/>
      <c r="U771" s="911"/>
      <c r="V771" s="911"/>
      <c r="W771" s="912"/>
      <c r="X771" s="911"/>
      <c r="Y771" s="913"/>
      <c r="Z771" s="913"/>
      <c r="AA771" s="913"/>
      <c r="AB771" s="913"/>
      <c r="AC771" s="913"/>
      <c r="AD771" s="913"/>
      <c r="AE771" s="913"/>
      <c r="AF771" s="913"/>
      <c r="AG771" s="913"/>
      <c r="AH771" s="913"/>
      <c r="AI771" s="913"/>
      <c r="AJ771" s="913"/>
      <c r="AK771" s="913"/>
      <c r="AL771" s="913"/>
      <c r="AM771" s="913"/>
      <c r="AN771" s="913"/>
      <c r="AO771" s="913"/>
      <c r="AP771" s="913"/>
      <c r="AQ771" s="913"/>
      <c r="AR771" s="913"/>
    </row>
    <row r="772" spans="1:44" s="860" customFormat="1" ht="17.25" customHeight="1" x14ac:dyDescent="0.2">
      <c r="A772" s="929" t="s">
        <v>5010</v>
      </c>
      <c r="B772" s="927">
        <v>710</v>
      </c>
      <c r="C772" s="927">
        <v>1000</v>
      </c>
      <c r="D772" s="914"/>
      <c r="E772"/>
      <c r="F772" s="914"/>
      <c r="H772" s="321"/>
      <c r="M772" s="909"/>
      <c r="S772" s="911"/>
      <c r="T772" s="911"/>
      <c r="U772" s="911"/>
      <c r="V772" s="911"/>
      <c r="W772" s="912"/>
      <c r="X772" s="911"/>
      <c r="Y772" s="913"/>
      <c r="Z772" s="913"/>
      <c r="AA772" s="913"/>
      <c r="AB772" s="913"/>
      <c r="AC772" s="913"/>
      <c r="AD772" s="913"/>
      <c r="AE772" s="913"/>
      <c r="AF772" s="913"/>
      <c r="AG772" s="913"/>
      <c r="AH772" s="913"/>
      <c r="AI772" s="913"/>
      <c r="AJ772" s="913"/>
      <c r="AK772" s="913"/>
      <c r="AL772" s="913"/>
      <c r="AM772" s="913"/>
      <c r="AN772" s="913"/>
      <c r="AO772" s="913"/>
      <c r="AP772" s="913"/>
      <c r="AQ772" s="913"/>
      <c r="AR772" s="913"/>
    </row>
    <row r="773" spans="1:44" s="860" customFormat="1" ht="17.25" customHeight="1" x14ac:dyDescent="0.2">
      <c r="A773" s="929" t="s">
        <v>5011</v>
      </c>
      <c r="B773" s="927">
        <v>800</v>
      </c>
      <c r="C773" s="927">
        <v>1120</v>
      </c>
      <c r="D773" s="914"/>
      <c r="E773"/>
      <c r="F773" s="914"/>
      <c r="H773" s="321"/>
      <c r="M773" s="909"/>
      <c r="S773" s="911"/>
      <c r="T773" s="911"/>
      <c r="U773" s="911"/>
      <c r="V773" s="911"/>
      <c r="W773" s="912"/>
      <c r="X773" s="911"/>
      <c r="Y773" s="913"/>
      <c r="Z773" s="913"/>
      <c r="AA773" s="913"/>
      <c r="AB773" s="913"/>
      <c r="AC773" s="913"/>
      <c r="AD773" s="913"/>
      <c r="AE773" s="913"/>
      <c r="AF773" s="913"/>
      <c r="AG773" s="913"/>
      <c r="AH773" s="913"/>
      <c r="AI773" s="913"/>
      <c r="AJ773" s="913"/>
      <c r="AK773" s="913"/>
      <c r="AL773" s="913"/>
      <c r="AM773" s="913"/>
      <c r="AN773" s="913"/>
      <c r="AO773" s="913"/>
      <c r="AP773" s="913"/>
      <c r="AQ773" s="913"/>
      <c r="AR773" s="913"/>
    </row>
    <row r="774" spans="1:44" s="860" customFormat="1" ht="17.25" customHeight="1" x14ac:dyDescent="0.2">
      <c r="A774" s="929" t="s">
        <v>5012</v>
      </c>
      <c r="B774" s="927">
        <v>900</v>
      </c>
      <c r="C774" s="927">
        <v>1250</v>
      </c>
      <c r="D774" s="914"/>
      <c r="E774"/>
      <c r="F774" s="914"/>
      <c r="H774" s="321"/>
      <c r="M774" s="909"/>
      <c r="S774" s="911"/>
      <c r="T774" s="911"/>
      <c r="U774" s="911"/>
      <c r="V774" s="911"/>
      <c r="W774" s="912"/>
      <c r="X774" s="911"/>
      <c r="Y774" s="913"/>
      <c r="Z774" s="913"/>
      <c r="AA774" s="913"/>
      <c r="AB774" s="913"/>
      <c r="AC774" s="913"/>
      <c r="AD774" s="913"/>
      <c r="AE774" s="913"/>
      <c r="AF774" s="913"/>
      <c r="AG774" s="913"/>
      <c r="AH774" s="913"/>
      <c r="AI774" s="913"/>
      <c r="AJ774" s="913"/>
      <c r="AK774" s="913"/>
      <c r="AL774" s="913"/>
      <c r="AM774" s="913"/>
      <c r="AN774" s="913"/>
      <c r="AO774" s="913"/>
      <c r="AP774" s="913"/>
      <c r="AQ774" s="913"/>
      <c r="AR774" s="913"/>
    </row>
    <row r="775" spans="1:44" s="860" customFormat="1" ht="17.25" customHeight="1" x14ac:dyDescent="0.2">
      <c r="A775" s="929" t="s">
        <v>5013</v>
      </c>
      <c r="B775" s="927">
        <v>1000</v>
      </c>
      <c r="C775" s="927">
        <v>1400</v>
      </c>
      <c r="D775" s="914"/>
      <c r="E775"/>
      <c r="F775" s="914"/>
      <c r="H775" s="321"/>
      <c r="M775" s="909"/>
      <c r="S775" s="911"/>
      <c r="T775" s="911"/>
      <c r="U775" s="911"/>
      <c r="V775" s="911"/>
      <c r="W775" s="912"/>
      <c r="X775" s="911"/>
      <c r="Y775" s="913"/>
      <c r="Z775" s="913"/>
      <c r="AA775" s="913"/>
      <c r="AB775" s="913"/>
      <c r="AC775" s="913"/>
      <c r="AD775" s="913"/>
      <c r="AE775" s="913"/>
      <c r="AF775" s="913"/>
      <c r="AG775" s="913"/>
      <c r="AH775" s="913"/>
      <c r="AI775" s="913"/>
      <c r="AJ775" s="913"/>
      <c r="AK775" s="913"/>
      <c r="AL775" s="913"/>
      <c r="AM775" s="913"/>
      <c r="AN775" s="913"/>
      <c r="AO775" s="913"/>
      <c r="AP775" s="913"/>
      <c r="AQ775" s="913"/>
      <c r="AR775" s="913"/>
    </row>
    <row r="776" spans="1:44" s="860" customFormat="1" ht="17.25" customHeight="1" x14ac:dyDescent="0.2">
      <c r="A776" s="929" t="s">
        <v>5014</v>
      </c>
      <c r="B776" s="927">
        <v>1120</v>
      </c>
      <c r="C776" s="927">
        <v>1600</v>
      </c>
      <c r="D776" s="914"/>
      <c r="E776"/>
      <c r="F776" s="914"/>
      <c r="H776" s="321"/>
      <c r="M776" s="909"/>
      <c r="S776" s="911"/>
      <c r="T776" s="911"/>
      <c r="U776" s="911"/>
      <c r="V776" s="911"/>
      <c r="W776" s="912"/>
      <c r="X776" s="911"/>
      <c r="Y776" s="913"/>
      <c r="Z776" s="913"/>
      <c r="AA776" s="913"/>
      <c r="AB776" s="913"/>
      <c r="AC776" s="913"/>
      <c r="AD776" s="913"/>
      <c r="AE776" s="913"/>
      <c r="AF776" s="913"/>
      <c r="AG776" s="913"/>
      <c r="AH776" s="913"/>
      <c r="AI776" s="913"/>
      <c r="AJ776" s="913"/>
      <c r="AK776" s="913"/>
      <c r="AL776" s="913"/>
      <c r="AM776" s="913"/>
      <c r="AN776" s="913"/>
      <c r="AO776" s="913"/>
      <c r="AP776" s="913"/>
      <c r="AQ776" s="913"/>
      <c r="AR776" s="913"/>
    </row>
    <row r="777" spans="1:44" s="860" customFormat="1" ht="17.25" customHeight="1" x14ac:dyDescent="0.2">
      <c r="A777" s="210"/>
      <c r="B777" s="910"/>
      <c r="C777" s="910"/>
      <c r="D777" s="914"/>
      <c r="E777" s="914"/>
      <c r="F777" s="914"/>
      <c r="H777" s="321"/>
      <c r="M777" s="909"/>
      <c r="S777" s="911"/>
      <c r="T777" s="911"/>
      <c r="U777" s="911"/>
      <c r="V777" s="911"/>
      <c r="W777" s="912"/>
      <c r="X777" s="911"/>
      <c r="Y777" s="913"/>
      <c r="Z777" s="913"/>
      <c r="AA777" s="913"/>
      <c r="AB777" s="913"/>
      <c r="AC777" s="913"/>
      <c r="AD777" s="913"/>
      <c r="AE777" s="913"/>
      <c r="AF777" s="913"/>
      <c r="AG777" s="913"/>
      <c r="AH777" s="913"/>
      <c r="AI777" s="913"/>
      <c r="AJ777" s="913"/>
      <c r="AK777" s="913"/>
      <c r="AL777" s="913"/>
      <c r="AM777" s="913"/>
      <c r="AN777" s="913"/>
      <c r="AO777" s="913"/>
      <c r="AP777" s="913"/>
      <c r="AQ777" s="913"/>
      <c r="AR777" s="913"/>
    </row>
    <row r="778" spans="1:44" s="860" customFormat="1" ht="17.25" customHeight="1" x14ac:dyDescent="0.25">
      <c r="A778" s="928" t="s">
        <v>1041</v>
      </c>
      <c r="B778" s="910"/>
      <c r="C778" s="910"/>
      <c r="D778" s="914"/>
      <c r="E778" s="914"/>
      <c r="F778" s="914"/>
      <c r="H778" s="321"/>
      <c r="M778" s="909"/>
      <c r="S778" s="911"/>
      <c r="T778" s="911"/>
      <c r="U778" s="911"/>
      <c r="V778" s="911"/>
      <c r="W778" s="912"/>
      <c r="X778" s="911"/>
      <c r="Y778" s="913"/>
      <c r="Z778" s="913"/>
      <c r="AA778" s="913"/>
      <c r="AB778" s="913"/>
      <c r="AC778" s="913"/>
      <c r="AD778" s="913"/>
      <c r="AE778" s="913"/>
      <c r="AF778" s="913"/>
      <c r="AG778" s="913"/>
      <c r="AH778" s="913"/>
      <c r="AI778" s="913"/>
      <c r="AJ778" s="913"/>
      <c r="AK778" s="913"/>
      <c r="AL778" s="913"/>
      <c r="AM778" s="913"/>
      <c r="AN778" s="913"/>
      <c r="AO778" s="913"/>
      <c r="AP778" s="913"/>
      <c r="AQ778" s="913"/>
      <c r="AR778" s="913"/>
    </row>
    <row r="779" spans="1:44" s="860" customFormat="1" ht="60.75" customHeight="1" x14ac:dyDescent="0.2">
      <c r="A779" s="889" t="s">
        <v>5398</v>
      </c>
      <c r="B779" s="889" t="s">
        <v>2410</v>
      </c>
      <c r="C779" s="889" t="s">
        <v>2429</v>
      </c>
      <c r="D779" s="914"/>
      <c r="E779" s="914"/>
      <c r="F779" s="914"/>
      <c r="H779" s="321"/>
      <c r="M779" s="909"/>
      <c r="S779" s="911"/>
      <c r="T779" s="911"/>
      <c r="U779" s="911"/>
      <c r="V779" s="911"/>
      <c r="W779" s="912"/>
      <c r="X779" s="911"/>
      <c r="Y779" s="913"/>
      <c r="Z779" s="913"/>
      <c r="AA779" s="913"/>
      <c r="AB779" s="913"/>
      <c r="AC779" s="913"/>
      <c r="AD779" s="913"/>
      <c r="AE779" s="913"/>
      <c r="AF779" s="913"/>
      <c r="AG779" s="913"/>
      <c r="AH779" s="913"/>
      <c r="AI779" s="913"/>
      <c r="AJ779" s="913"/>
      <c r="AK779" s="913"/>
      <c r="AL779" s="913"/>
      <c r="AM779" s="913"/>
      <c r="AN779" s="913"/>
      <c r="AO779" s="913"/>
      <c r="AP779" s="913"/>
      <c r="AQ779" s="913"/>
      <c r="AR779" s="913"/>
    </row>
    <row r="780" spans="1:44" s="860" customFormat="1" ht="17.25" customHeight="1" x14ac:dyDescent="0.2">
      <c r="A780" s="978"/>
      <c r="B780" s="802" t="e">
        <f>B744</f>
        <v>#VALUE!</v>
      </c>
      <c r="C780" s="802" t="e">
        <f>C744</f>
        <v>#VALUE!</v>
      </c>
      <c r="D780" s="914"/>
      <c r="E780" s="914"/>
      <c r="F780" s="914"/>
      <c r="H780" s="321"/>
      <c r="M780" s="909"/>
      <c r="S780" s="911"/>
      <c r="T780" s="911"/>
      <c r="U780" s="911"/>
      <c r="V780" s="911"/>
      <c r="W780" s="912"/>
      <c r="X780" s="911"/>
      <c r="Y780" s="913"/>
      <c r="Z780" s="913"/>
      <c r="AA780" s="913"/>
      <c r="AB780" s="913"/>
      <c r="AC780" s="913"/>
      <c r="AD780" s="913"/>
      <c r="AE780" s="913"/>
      <c r="AF780" s="913"/>
      <c r="AG780" s="913"/>
      <c r="AH780" s="913"/>
      <c r="AI780" s="913"/>
      <c r="AJ780" s="913"/>
      <c r="AK780" s="913"/>
      <c r="AL780" s="913"/>
      <c r="AM780" s="913"/>
      <c r="AN780" s="913"/>
      <c r="AO780" s="913"/>
      <c r="AP780" s="913"/>
      <c r="AQ780" s="913"/>
      <c r="AR780" s="913"/>
    </row>
    <row r="781" spans="1:44" s="860" customFormat="1" ht="17.25" customHeight="1" x14ac:dyDescent="0.2">
      <c r="A781" s="929" t="s">
        <v>5378</v>
      </c>
      <c r="B781" s="895">
        <v>500</v>
      </c>
      <c r="C781" s="225">
        <v>1070</v>
      </c>
      <c r="D781" s="914"/>
      <c r="E781" s="914"/>
      <c r="F781" s="914"/>
      <c r="H781" s="321"/>
      <c r="M781" s="909"/>
      <c r="S781" s="911"/>
      <c r="T781" s="911"/>
      <c r="U781" s="911"/>
      <c r="V781" s="911"/>
      <c r="W781" s="912"/>
      <c r="X781" s="911"/>
      <c r="Y781" s="913"/>
      <c r="Z781" s="913"/>
      <c r="AA781" s="913"/>
      <c r="AB781" s="913"/>
      <c r="AC781" s="913"/>
      <c r="AD781" s="913"/>
      <c r="AE781" s="913"/>
      <c r="AF781" s="913"/>
      <c r="AG781" s="913"/>
      <c r="AH781" s="913"/>
      <c r="AI781" s="913"/>
      <c r="AJ781" s="913"/>
      <c r="AK781" s="913"/>
      <c r="AL781" s="913"/>
      <c r="AM781" s="913"/>
      <c r="AN781" s="913"/>
      <c r="AO781" s="913"/>
      <c r="AP781" s="913"/>
      <c r="AQ781" s="913"/>
      <c r="AR781" s="913"/>
    </row>
    <row r="782" spans="1:44" s="860" customFormat="1" ht="17.25" customHeight="1" x14ac:dyDescent="0.2">
      <c r="A782" s="929" t="s">
        <v>5379</v>
      </c>
      <c r="B782" s="895">
        <v>560</v>
      </c>
      <c r="C782" s="225">
        <v>1200</v>
      </c>
      <c r="D782" s="914"/>
      <c r="E782" s="914"/>
      <c r="F782" s="914"/>
      <c r="H782" s="321"/>
      <c r="M782" s="909"/>
      <c r="S782" s="911"/>
      <c r="T782" s="911"/>
      <c r="U782" s="911"/>
      <c r="V782" s="911"/>
      <c r="W782" s="912"/>
      <c r="X782" s="911"/>
      <c r="Y782" s="913"/>
      <c r="Z782" s="913"/>
      <c r="AA782" s="913"/>
      <c r="AB782" s="913"/>
      <c r="AC782" s="913"/>
      <c r="AD782" s="913"/>
      <c r="AE782" s="913"/>
      <c r="AF782" s="913"/>
      <c r="AG782" s="913"/>
      <c r="AH782" s="913"/>
      <c r="AI782" s="913"/>
      <c r="AJ782" s="913"/>
      <c r="AK782" s="913"/>
      <c r="AL782" s="913"/>
      <c r="AM782" s="913"/>
      <c r="AN782" s="913"/>
      <c r="AO782" s="913"/>
      <c r="AP782" s="913"/>
      <c r="AQ782" s="913"/>
      <c r="AR782" s="913"/>
    </row>
    <row r="783" spans="1:44" s="860" customFormat="1" ht="17.25" customHeight="1" x14ac:dyDescent="0.2">
      <c r="A783" s="929" t="s">
        <v>5380</v>
      </c>
      <c r="B783" s="895">
        <v>630</v>
      </c>
      <c r="C783" s="225">
        <v>1300</v>
      </c>
      <c r="D783" s="914"/>
      <c r="E783" s="914"/>
      <c r="F783" s="914"/>
      <c r="H783" s="321"/>
      <c r="M783" s="909"/>
      <c r="S783" s="911"/>
      <c r="T783" s="911"/>
      <c r="U783" s="911"/>
      <c r="V783" s="911"/>
      <c r="W783" s="912"/>
      <c r="X783" s="911"/>
      <c r="Y783" s="913"/>
      <c r="Z783" s="913"/>
      <c r="AA783" s="913"/>
      <c r="AB783" s="913"/>
      <c r="AC783" s="913"/>
      <c r="AD783" s="913"/>
      <c r="AE783" s="913"/>
      <c r="AF783" s="913"/>
      <c r="AG783" s="913"/>
      <c r="AH783" s="913"/>
      <c r="AI783" s="913"/>
      <c r="AJ783" s="913"/>
      <c r="AK783" s="913"/>
      <c r="AL783" s="913"/>
      <c r="AM783" s="913"/>
      <c r="AN783" s="913"/>
      <c r="AO783" s="913"/>
      <c r="AP783" s="913"/>
      <c r="AQ783" s="913"/>
      <c r="AR783" s="913"/>
    </row>
    <row r="784" spans="1:44" s="860" customFormat="1" ht="17.25" customHeight="1" x14ac:dyDescent="0.2">
      <c r="A784" s="929" t="s">
        <v>5384</v>
      </c>
      <c r="B784" s="895">
        <v>710</v>
      </c>
      <c r="C784" s="895">
        <v>1100</v>
      </c>
      <c r="D784" s="914"/>
      <c r="E784" s="914"/>
      <c r="F784" s="914"/>
      <c r="H784" s="321"/>
      <c r="M784" s="909"/>
      <c r="S784" s="911"/>
      <c r="T784" s="911"/>
      <c r="U784" s="911"/>
      <c r="V784" s="911"/>
      <c r="W784" s="912"/>
      <c r="X784" s="911"/>
      <c r="Y784" s="913"/>
      <c r="Z784" s="913"/>
      <c r="AA784" s="913"/>
      <c r="AB784" s="913"/>
      <c r="AC784" s="913"/>
      <c r="AD784" s="913"/>
      <c r="AE784" s="913"/>
      <c r="AF784" s="913"/>
      <c r="AG784" s="913"/>
      <c r="AH784" s="913"/>
      <c r="AI784" s="913"/>
      <c r="AJ784" s="913"/>
      <c r="AK784" s="913"/>
      <c r="AL784" s="913"/>
      <c r="AM784" s="913"/>
      <c r="AN784" s="913"/>
      <c r="AO784" s="913"/>
      <c r="AP784" s="913"/>
      <c r="AQ784" s="913"/>
      <c r="AR784" s="913"/>
    </row>
    <row r="785" spans="1:44" s="860" customFormat="1" ht="17.25" customHeight="1" x14ac:dyDescent="0.2">
      <c r="A785" s="929" t="s">
        <v>5392</v>
      </c>
      <c r="B785" s="927">
        <v>710</v>
      </c>
      <c r="C785" s="927">
        <v>1100</v>
      </c>
      <c r="D785" s="914"/>
      <c r="E785" s="914"/>
      <c r="F785" s="914"/>
      <c r="H785" s="321"/>
      <c r="M785" s="909"/>
      <c r="S785" s="911"/>
      <c r="T785" s="911"/>
      <c r="U785" s="911"/>
      <c r="V785" s="911"/>
      <c r="W785" s="912"/>
      <c r="X785" s="911"/>
      <c r="Y785" s="913"/>
      <c r="Z785" s="913"/>
      <c r="AA785" s="913"/>
      <c r="AB785" s="913"/>
      <c r="AC785" s="913"/>
      <c r="AD785" s="913"/>
      <c r="AE785" s="913"/>
      <c r="AF785" s="913"/>
      <c r="AG785" s="913"/>
      <c r="AH785" s="913"/>
      <c r="AI785" s="913"/>
      <c r="AJ785" s="913"/>
      <c r="AK785" s="913"/>
      <c r="AL785" s="913"/>
      <c r="AM785" s="913"/>
      <c r="AN785" s="913"/>
      <c r="AO785" s="913"/>
      <c r="AP785" s="913"/>
      <c r="AQ785" s="913"/>
      <c r="AR785" s="913"/>
    </row>
    <row r="786" spans="1:44" s="860" customFormat="1" ht="17.25" customHeight="1" x14ac:dyDescent="0.2">
      <c r="A786" s="4244"/>
      <c r="B786" s="927"/>
      <c r="C786" s="927"/>
      <c r="D786" s="914"/>
      <c r="E786" s="914"/>
      <c r="F786" s="914"/>
      <c r="H786" s="321"/>
      <c r="M786" s="909"/>
      <c r="S786" s="911"/>
      <c r="T786" s="911"/>
      <c r="U786" s="911"/>
      <c r="V786" s="911"/>
      <c r="W786" s="912"/>
      <c r="X786" s="911"/>
      <c r="Y786" s="913"/>
      <c r="Z786" s="913"/>
      <c r="AA786" s="913"/>
      <c r="AB786" s="913"/>
      <c r="AC786" s="913"/>
      <c r="AD786" s="913"/>
      <c r="AE786" s="913"/>
      <c r="AF786" s="913"/>
      <c r="AG786" s="913"/>
      <c r="AH786" s="913"/>
      <c r="AI786" s="913"/>
      <c r="AJ786" s="913"/>
      <c r="AK786" s="913"/>
      <c r="AL786" s="913"/>
      <c r="AM786" s="913"/>
      <c r="AN786" s="913"/>
      <c r="AO786" s="913"/>
      <c r="AP786" s="913"/>
      <c r="AQ786" s="913"/>
      <c r="AR786" s="913"/>
    </row>
    <row r="787" spans="1:44" s="860" customFormat="1" ht="17.25" customHeight="1" x14ac:dyDescent="0.2">
      <c r="A787" s="210"/>
      <c r="B787" s="910"/>
      <c r="C787" s="910"/>
      <c r="D787" s="914"/>
      <c r="E787" s="914"/>
      <c r="F787" s="914"/>
      <c r="H787" s="321"/>
      <c r="M787" s="909"/>
      <c r="S787" s="911"/>
      <c r="T787" s="911"/>
      <c r="U787" s="911"/>
      <c r="V787" s="911"/>
      <c r="W787" s="912"/>
      <c r="X787" s="911"/>
      <c r="Y787" s="913"/>
      <c r="Z787" s="913"/>
      <c r="AA787" s="913"/>
      <c r="AB787" s="913"/>
      <c r="AC787" s="913"/>
      <c r="AD787" s="913"/>
      <c r="AE787" s="913"/>
      <c r="AF787" s="913"/>
      <c r="AG787" s="913"/>
      <c r="AH787" s="913"/>
      <c r="AI787" s="913"/>
      <c r="AJ787" s="913"/>
      <c r="AK787" s="913"/>
      <c r="AL787" s="913"/>
      <c r="AM787" s="913"/>
      <c r="AN787" s="913"/>
      <c r="AO787" s="913"/>
      <c r="AP787" s="913"/>
      <c r="AQ787" s="913"/>
      <c r="AR787" s="913"/>
    </row>
    <row r="788" spans="1:44" s="860" customFormat="1" ht="17.25" customHeight="1" x14ac:dyDescent="0.2">
      <c r="A788" s="210"/>
      <c r="B788" s="910"/>
      <c r="C788" s="910"/>
      <c r="D788" s="914"/>
      <c r="E788" s="914"/>
      <c r="F788" s="914"/>
      <c r="H788" s="321"/>
      <c r="M788" s="909"/>
      <c r="S788" s="911"/>
      <c r="T788" s="911"/>
      <c r="U788" s="911"/>
      <c r="V788" s="911"/>
      <c r="W788" s="912"/>
      <c r="X788" s="911"/>
      <c r="Y788" s="913"/>
      <c r="Z788" s="913"/>
      <c r="AA788" s="913"/>
      <c r="AB788" s="913"/>
      <c r="AC788" s="913"/>
      <c r="AD788" s="913"/>
      <c r="AE788" s="913"/>
      <c r="AF788" s="913"/>
      <c r="AG788" s="913"/>
      <c r="AH788" s="913"/>
      <c r="AI788" s="913"/>
      <c r="AJ788" s="913"/>
      <c r="AK788" s="913"/>
      <c r="AL788" s="913"/>
      <c r="AM788" s="913"/>
      <c r="AN788" s="913"/>
      <c r="AO788" s="913"/>
      <c r="AP788" s="913"/>
      <c r="AQ788" s="913"/>
      <c r="AR788" s="913"/>
    </row>
    <row r="789" spans="1:44" s="860" customFormat="1" ht="17.25" customHeight="1" x14ac:dyDescent="0.2">
      <c r="A789" s="210"/>
      <c r="B789" s="910"/>
      <c r="C789" s="910"/>
      <c r="D789" s="914"/>
      <c r="E789" s="914"/>
      <c r="F789" s="914"/>
      <c r="H789" s="321"/>
      <c r="M789" s="909"/>
      <c r="S789" s="911"/>
      <c r="T789" s="911"/>
      <c r="U789" s="911"/>
      <c r="V789" s="911"/>
      <c r="W789" s="912"/>
      <c r="X789" s="911"/>
      <c r="Y789" s="913"/>
      <c r="Z789" s="913"/>
      <c r="AA789" s="913"/>
      <c r="AB789" s="913"/>
      <c r="AC789" s="913"/>
      <c r="AD789" s="913"/>
      <c r="AE789" s="913"/>
      <c r="AF789" s="913"/>
      <c r="AG789" s="913"/>
      <c r="AH789" s="913"/>
      <c r="AI789" s="913"/>
      <c r="AJ789" s="913"/>
      <c r="AK789" s="913"/>
      <c r="AL789" s="913"/>
      <c r="AM789" s="913"/>
      <c r="AN789" s="913"/>
      <c r="AO789" s="913"/>
      <c r="AP789" s="913"/>
      <c r="AQ789" s="913"/>
      <c r="AR789" s="913"/>
    </row>
    <row r="790" spans="1:44" s="860" customFormat="1" ht="17.25" customHeight="1" x14ac:dyDescent="0.2">
      <c r="A790" s="210"/>
      <c r="B790" s="910"/>
      <c r="C790" s="910"/>
      <c r="D790" s="914"/>
      <c r="E790" s="914"/>
      <c r="F790" s="914"/>
      <c r="H790" s="321"/>
      <c r="M790" s="909"/>
      <c r="S790" s="911"/>
      <c r="T790" s="911"/>
      <c r="U790" s="911"/>
      <c r="V790" s="911"/>
      <c r="W790" s="912"/>
      <c r="X790" s="911"/>
      <c r="Y790" s="913"/>
      <c r="Z790" s="913"/>
      <c r="AA790" s="913"/>
      <c r="AB790" s="913"/>
      <c r="AC790" s="913"/>
      <c r="AD790" s="913"/>
      <c r="AE790" s="913"/>
      <c r="AF790" s="913"/>
      <c r="AG790" s="913"/>
      <c r="AH790" s="913"/>
      <c r="AI790" s="913"/>
      <c r="AJ790" s="913"/>
      <c r="AK790" s="913"/>
      <c r="AL790" s="913"/>
      <c r="AM790" s="913"/>
      <c r="AN790" s="913"/>
      <c r="AO790" s="913"/>
      <c r="AP790" s="913"/>
      <c r="AQ790" s="913"/>
      <c r="AR790" s="913"/>
    </row>
    <row r="791" spans="1:44" s="860" customFormat="1" ht="17.25" customHeight="1" x14ac:dyDescent="0.2">
      <c r="A791" s="917" t="s">
        <v>5006</v>
      </c>
      <c r="B791" s="910"/>
      <c r="C791" s="910"/>
      <c r="D791" s="914"/>
      <c r="E791" s="914"/>
      <c r="F791" s="914"/>
      <c r="H791" s="321"/>
      <c r="M791" s="909"/>
      <c r="S791" s="911"/>
      <c r="T791" s="911"/>
      <c r="U791" s="911"/>
      <c r="V791" s="911"/>
      <c r="W791" s="912"/>
      <c r="X791" s="911"/>
      <c r="Y791" s="913"/>
      <c r="Z791" s="913"/>
      <c r="AA791" s="913"/>
      <c r="AB791" s="913"/>
      <c r="AC791" s="913"/>
      <c r="AD791" s="913"/>
      <c r="AE791" s="913"/>
      <c r="AF791" s="913"/>
      <c r="AG791" s="913"/>
      <c r="AH791" s="913"/>
      <c r="AI791" s="913"/>
      <c r="AJ791" s="913"/>
      <c r="AK791" s="913"/>
      <c r="AL791" s="913"/>
      <c r="AM791" s="913"/>
      <c r="AN791" s="913"/>
      <c r="AO791" s="913"/>
      <c r="AP791" s="913"/>
      <c r="AQ791" s="913"/>
      <c r="AR791" s="913"/>
    </row>
    <row r="792" spans="1:44" s="860" customFormat="1" ht="17.25" customHeight="1" x14ac:dyDescent="0.2">
      <c r="A792" s="917" t="s">
        <v>5015</v>
      </c>
      <c r="B792" s="910"/>
      <c r="C792" s="910"/>
      <c r="D792" s="914"/>
      <c r="E792" s="914"/>
      <c r="F792" s="914"/>
      <c r="H792" s="321"/>
      <c r="M792" s="909"/>
      <c r="S792" s="911"/>
      <c r="T792" s="911"/>
      <c r="U792" s="911"/>
      <c r="V792" s="911"/>
      <c r="W792" s="912"/>
      <c r="X792" s="911"/>
      <c r="Y792" s="913"/>
      <c r="Z792" s="913"/>
      <c r="AA792" s="913"/>
      <c r="AB792" s="913"/>
      <c r="AC792" s="913"/>
      <c r="AD792" s="913"/>
      <c r="AE792" s="913"/>
      <c r="AF792" s="913"/>
      <c r="AG792" s="913"/>
      <c r="AH792" s="913"/>
      <c r="AI792" s="913"/>
      <c r="AJ792" s="913"/>
      <c r="AK792" s="913"/>
      <c r="AL792" s="913"/>
      <c r="AM792" s="913"/>
      <c r="AN792" s="913"/>
      <c r="AO792" s="913"/>
      <c r="AP792" s="913"/>
      <c r="AQ792" s="913"/>
      <c r="AR792" s="913"/>
    </row>
    <row r="793" spans="1:44" s="860" customFormat="1" ht="17.25" customHeight="1" x14ac:dyDescent="0.2">
      <c r="A793" s="892" t="s">
        <v>6773</v>
      </c>
      <c r="B793" s="910"/>
      <c r="C793" s="910"/>
      <c r="D793" s="914"/>
      <c r="E793" s="914"/>
      <c r="F793" s="914"/>
      <c r="H793" s="321"/>
      <c r="M793" s="909"/>
      <c r="S793" s="911"/>
      <c r="T793" s="911"/>
      <c r="U793" s="911"/>
      <c r="V793" s="911"/>
      <c r="W793" s="912"/>
      <c r="X793" s="911"/>
      <c r="Y793" s="913"/>
      <c r="Z793" s="913"/>
      <c r="AA793" s="913"/>
      <c r="AB793" s="913"/>
      <c r="AC793" s="913"/>
      <c r="AD793" s="913"/>
      <c r="AE793" s="913"/>
      <c r="AF793" s="913"/>
      <c r="AG793" s="913"/>
      <c r="AH793" s="913"/>
      <c r="AI793" s="913"/>
      <c r="AJ793" s="913"/>
      <c r="AK793" s="913"/>
      <c r="AL793" s="913"/>
      <c r="AM793" s="913"/>
      <c r="AN793" s="913"/>
      <c r="AO793" s="913"/>
      <c r="AP793" s="913"/>
      <c r="AQ793" s="913"/>
      <c r="AR793" s="913"/>
    </row>
    <row r="794" spans="1:44" s="860" customFormat="1" ht="64.5" customHeight="1" x14ac:dyDescent="0.25">
      <c r="A794" s="4254" t="s">
        <v>6820</v>
      </c>
      <c r="B794" s="4271" t="s">
        <v>6821</v>
      </c>
      <c r="C794" s="4272"/>
      <c r="D794" s="4274" t="s">
        <v>6822</v>
      </c>
      <c r="E794" s="4273"/>
      <c r="F794" s="4271" t="s">
        <v>6823</v>
      </c>
      <c r="G794" s="4275"/>
      <c r="H794" s="321"/>
      <c r="M794" s="909"/>
      <c r="S794" s="911"/>
      <c r="T794" s="911"/>
      <c r="U794" s="911"/>
      <c r="V794" s="911"/>
      <c r="W794" s="912"/>
      <c r="X794" s="911"/>
      <c r="Y794" s="913"/>
      <c r="Z794" s="913"/>
      <c r="AA794" s="913"/>
      <c r="AB794" s="913"/>
      <c r="AC794" s="913"/>
      <c r="AD794" s="913"/>
      <c r="AE794" s="913"/>
      <c r="AF794" s="913"/>
      <c r="AG794" s="913"/>
      <c r="AH794" s="913"/>
      <c r="AI794" s="913"/>
      <c r="AJ794" s="913"/>
      <c r="AK794" s="913"/>
      <c r="AL794" s="913"/>
      <c r="AM794" s="913"/>
      <c r="AN794" s="913"/>
      <c r="AO794" s="913"/>
      <c r="AP794" s="913"/>
      <c r="AQ794" s="913"/>
      <c r="AR794" s="913"/>
    </row>
    <row r="795" spans="1:44" s="860" customFormat="1" ht="17.25" customHeight="1" x14ac:dyDescent="0.2">
      <c r="B795" s="915"/>
      <c r="C795" s="916"/>
      <c r="D795" s="916"/>
      <c r="E795" s="913"/>
      <c r="F795" s="913"/>
      <c r="H795" s="321"/>
      <c r="M795" s="909"/>
      <c r="S795" s="911"/>
      <c r="T795" s="911"/>
      <c r="U795" s="911"/>
      <c r="V795" s="911"/>
      <c r="W795" s="912"/>
      <c r="X795" s="911"/>
      <c r="Y795" s="913"/>
      <c r="Z795" s="913"/>
      <c r="AA795" s="913"/>
      <c r="AB795" s="913"/>
      <c r="AC795" s="913"/>
      <c r="AD795" s="913"/>
      <c r="AE795" s="913"/>
      <c r="AF795" s="913"/>
      <c r="AG795" s="913"/>
      <c r="AH795" s="913"/>
      <c r="AI795" s="913"/>
      <c r="AJ795" s="913"/>
      <c r="AK795" s="913"/>
      <c r="AL795" s="913"/>
      <c r="AM795" s="913"/>
      <c r="AN795" s="913"/>
      <c r="AO795" s="913"/>
      <c r="AP795" s="913"/>
      <c r="AQ795" s="913"/>
      <c r="AR795" s="913"/>
    </row>
    <row r="796" spans="1:44" s="860" customFormat="1" ht="17.25" customHeight="1" x14ac:dyDescent="0.25">
      <c r="A796" s="917"/>
      <c r="B796" s="1023" t="str">
        <f>IF(K405=1,"Комбайновая выемка","")</f>
        <v/>
      </c>
      <c r="C796" s="916"/>
      <c r="D796" s="916"/>
      <c r="E796" s="913"/>
      <c r="F796" s="913"/>
      <c r="H796" s="321"/>
      <c r="I796" s="345" t="str">
        <f>IF(K405=2,"Струговая выемка","")</f>
        <v/>
      </c>
      <c r="M796" s="909"/>
      <c r="S796" s="911"/>
      <c r="T796" s="911"/>
      <c r="U796" s="911"/>
      <c r="V796" s="911"/>
      <c r="W796" s="912"/>
      <c r="X796" s="911"/>
      <c r="Y796" s="913"/>
      <c r="Z796" s="913"/>
      <c r="AA796" s="913"/>
      <c r="AB796" s="913"/>
      <c r="AC796" s="913"/>
      <c r="AD796" s="913"/>
      <c r="AE796" s="913"/>
      <c r="AF796" s="913"/>
      <c r="AG796" s="913"/>
      <c r="AH796" s="913"/>
      <c r="AI796" s="913"/>
      <c r="AJ796" s="913"/>
      <c r="AK796" s="913"/>
      <c r="AL796" s="913"/>
      <c r="AM796" s="913"/>
      <c r="AN796" s="913"/>
      <c r="AO796" s="913"/>
      <c r="AP796" s="913"/>
      <c r="AQ796" s="913"/>
      <c r="AR796" s="913"/>
    </row>
    <row r="797" spans="1:44" s="860" customFormat="1" ht="17.25" customHeight="1" x14ac:dyDescent="0.25">
      <c r="A797" s="1073" t="str">
        <f>IF(K405=1,"Принятые в проекте гидравлические стойки","")</f>
        <v/>
      </c>
      <c r="B797" s="937"/>
      <c r="C797" s="937"/>
      <c r="D797" s="1281"/>
      <c r="E797" s="1282"/>
      <c r="F797" s="4239"/>
      <c r="H797" s="1073" t="str">
        <f>IF(K405=2,"Принятые в проекте гидравлические стойки","")</f>
        <v/>
      </c>
      <c r="I797" s="937"/>
      <c r="J797" s="937"/>
      <c r="K797" s="937"/>
      <c r="L797" s="1279"/>
      <c r="M797" s="984"/>
      <c r="S797" s="911"/>
      <c r="T797" s="911"/>
      <c r="U797" s="911"/>
      <c r="V797" s="911"/>
      <c r="W797" s="912"/>
      <c r="X797" s="911"/>
      <c r="Y797" s="913"/>
      <c r="Z797" s="913"/>
      <c r="AA797" s="913"/>
      <c r="AB797" s="913"/>
      <c r="AC797" s="913"/>
      <c r="AD797" s="913"/>
      <c r="AE797" s="913"/>
      <c r="AF797" s="913"/>
      <c r="AG797" s="913"/>
      <c r="AH797" s="913"/>
      <c r="AI797" s="913"/>
      <c r="AJ797" s="913"/>
      <c r="AK797" s="913"/>
      <c r="AL797" s="913"/>
      <c r="AM797" s="913"/>
      <c r="AN797" s="913"/>
      <c r="AO797" s="913"/>
      <c r="AP797" s="913"/>
      <c r="AQ797" s="913"/>
      <c r="AR797" s="913"/>
    </row>
    <row r="798" spans="1:44" s="860" customFormat="1" ht="17.25" customHeight="1" x14ac:dyDescent="0.25">
      <c r="A798" s="1073" t="str">
        <f>IF(K405=1,"Минимальная высота, мм ","")</f>
        <v/>
      </c>
      <c r="B798" s="937"/>
      <c r="C798" s="937"/>
      <c r="D798" s="1281"/>
      <c r="E798" s="1282"/>
      <c r="F798" s="1080"/>
      <c r="H798" s="1073" t="str">
        <f>IF(K405=2,"Минимальная высота, мм","")</f>
        <v/>
      </c>
      <c r="I798" s="937"/>
      <c r="J798" s="937"/>
      <c r="K798" s="937"/>
      <c r="L798" s="1279"/>
      <c r="M798" s="984"/>
      <c r="S798" s="911"/>
      <c r="T798" s="911"/>
      <c r="U798" s="911"/>
      <c r="V798" s="911"/>
      <c r="W798" s="912"/>
      <c r="X798" s="911"/>
      <c r="Y798" s="913"/>
      <c r="Z798" s="913"/>
      <c r="AA798" s="913"/>
      <c r="AB798" s="913"/>
      <c r="AC798" s="913"/>
      <c r="AD798" s="913"/>
      <c r="AE798" s="913"/>
      <c r="AF798" s="913"/>
      <c r="AG798" s="913"/>
      <c r="AH798" s="913"/>
      <c r="AI798" s="913"/>
      <c r="AJ798" s="913"/>
      <c r="AK798" s="913"/>
      <c r="AL798" s="913"/>
      <c r="AM798" s="913"/>
      <c r="AN798" s="913"/>
      <c r="AO798" s="913"/>
      <c r="AP798" s="913"/>
      <c r="AQ798" s="913"/>
      <c r="AR798" s="913"/>
    </row>
    <row r="799" spans="1:44" s="860" customFormat="1" ht="17.25" customHeight="1" x14ac:dyDescent="0.25">
      <c r="A799" s="1073" t="str">
        <f>IF(K405=1,"Максимальная высота, мм","")</f>
        <v/>
      </c>
      <c r="B799" s="1280"/>
      <c r="C799" s="1281"/>
      <c r="D799" s="1281"/>
      <c r="E799" s="1282"/>
      <c r="F799" s="1080"/>
      <c r="H799" s="1073" t="str">
        <f>IF(K405=2,"Максимальная высота, мм","")</f>
        <v/>
      </c>
      <c r="I799" s="1280"/>
      <c r="J799" s="1281"/>
      <c r="K799" s="937"/>
      <c r="L799" s="1279"/>
      <c r="M799" s="984"/>
      <c r="S799" s="911"/>
      <c r="T799" s="911"/>
      <c r="U799" s="911"/>
      <c r="V799" s="911"/>
      <c r="W799" s="912"/>
      <c r="X799" s="911"/>
      <c r="Y799" s="913"/>
      <c r="Z799" s="913"/>
      <c r="AA799" s="913"/>
      <c r="AB799" s="913"/>
      <c r="AC799" s="913"/>
      <c r="AD799" s="913"/>
      <c r="AE799" s="913"/>
      <c r="AF799" s="913"/>
      <c r="AG799" s="913"/>
      <c r="AH799" s="913"/>
      <c r="AI799" s="913"/>
      <c r="AJ799" s="913"/>
      <c r="AK799" s="913"/>
      <c r="AL799" s="913"/>
      <c r="AM799" s="913"/>
      <c r="AN799" s="913"/>
      <c r="AO799" s="913"/>
      <c r="AP799" s="913"/>
      <c r="AQ799" s="913"/>
      <c r="AR799" s="913"/>
    </row>
    <row r="800" spans="1:44" s="860" customFormat="1" ht="17.25" customHeight="1" x14ac:dyDescent="0.2">
      <c r="A800" s="4362"/>
      <c r="B800" s="4363"/>
      <c r="C800" s="4363"/>
      <c r="D800" s="4363"/>
      <c r="E800" s="4364"/>
      <c r="F800" s="4240"/>
      <c r="H800" s="321"/>
      <c r="M800" s="909"/>
      <c r="S800" s="911"/>
      <c r="T800" s="911"/>
      <c r="U800" s="911"/>
      <c r="V800" s="911"/>
      <c r="W800" s="912"/>
      <c r="X800" s="911"/>
      <c r="Y800" s="913"/>
      <c r="Z800" s="913"/>
      <c r="AA800" s="913"/>
      <c r="AB800" s="913"/>
      <c r="AC800" s="913"/>
      <c r="AD800" s="913"/>
      <c r="AE800" s="913"/>
      <c r="AF800" s="913"/>
      <c r="AG800" s="913"/>
      <c r="AH800" s="913"/>
      <c r="AI800" s="913"/>
      <c r="AJ800" s="913"/>
      <c r="AK800" s="913"/>
      <c r="AL800" s="913"/>
      <c r="AM800" s="913"/>
      <c r="AN800" s="913"/>
      <c r="AO800" s="913"/>
      <c r="AP800" s="913"/>
      <c r="AQ800" s="913"/>
      <c r="AR800" s="913"/>
    </row>
    <row r="801" spans="1:44" s="860" customFormat="1" ht="17.25" customHeight="1" x14ac:dyDescent="0.2">
      <c r="A801" s="917"/>
      <c r="B801" s="915"/>
      <c r="C801" s="916"/>
      <c r="D801" s="916"/>
      <c r="E801" s="913"/>
      <c r="F801" s="913"/>
      <c r="H801" s="321"/>
      <c r="M801" s="909"/>
      <c r="S801" s="911"/>
      <c r="T801" s="911"/>
      <c r="U801" s="911"/>
      <c r="V801" s="911"/>
      <c r="W801" s="912"/>
      <c r="X801" s="911"/>
      <c r="Y801" s="913"/>
      <c r="Z801" s="913"/>
      <c r="AA801" s="913"/>
      <c r="AB801" s="913"/>
      <c r="AC801" s="913"/>
      <c r="AD801" s="913"/>
      <c r="AE801" s="913"/>
      <c r="AF801" s="913"/>
      <c r="AG801" s="913"/>
      <c r="AH801" s="913"/>
      <c r="AI801" s="913"/>
      <c r="AJ801" s="913"/>
      <c r="AK801" s="913"/>
      <c r="AL801" s="913"/>
      <c r="AM801" s="913"/>
      <c r="AN801" s="913"/>
      <c r="AO801" s="913"/>
      <c r="AP801" s="913"/>
      <c r="AQ801" s="913"/>
      <c r="AR801" s="913"/>
    </row>
    <row r="802" spans="1:44" s="860" customFormat="1" ht="17.25" customHeight="1" x14ac:dyDescent="0.2">
      <c r="A802" s="917"/>
      <c r="B802" s="915"/>
      <c r="C802" s="916"/>
      <c r="D802" s="916"/>
      <c r="E802" s="913"/>
      <c r="F802" s="913"/>
      <c r="H802" s="321"/>
      <c r="M802" s="909"/>
      <c r="S802" s="911"/>
      <c r="T802" s="911"/>
      <c r="U802" s="911"/>
      <c r="V802" s="911"/>
      <c r="W802" s="912"/>
      <c r="X802" s="911"/>
      <c r="Y802" s="913"/>
      <c r="Z802" s="913"/>
      <c r="AA802" s="913"/>
      <c r="AB802" s="913"/>
      <c r="AC802" s="913"/>
      <c r="AD802" s="913"/>
      <c r="AE802" s="913"/>
      <c r="AF802" s="913"/>
      <c r="AG802" s="913"/>
      <c r="AH802" s="913"/>
      <c r="AI802" s="913"/>
      <c r="AJ802" s="913"/>
      <c r="AK802" s="913"/>
      <c r="AL802" s="913"/>
      <c r="AM802" s="913"/>
      <c r="AN802" s="913"/>
      <c r="AO802" s="913"/>
      <c r="AP802" s="913"/>
      <c r="AQ802" s="913"/>
      <c r="AR802" s="913"/>
    </row>
    <row r="803" spans="1:44" s="860" customFormat="1" ht="17.25" customHeight="1" x14ac:dyDescent="0.2">
      <c r="A803" s="917"/>
      <c r="B803" s="915"/>
      <c r="C803" s="916"/>
      <c r="D803" s="916"/>
      <c r="E803" s="913"/>
      <c r="F803" s="913"/>
      <c r="H803" s="321"/>
      <c r="M803" s="909"/>
      <c r="S803" s="911"/>
      <c r="T803" s="911"/>
      <c r="U803" s="911"/>
      <c r="V803" s="911"/>
      <c r="W803" s="912"/>
      <c r="X803" s="911"/>
      <c r="Y803" s="913"/>
      <c r="Z803" s="913"/>
      <c r="AA803" s="913"/>
      <c r="AB803" s="913"/>
      <c r="AC803" s="913"/>
      <c r="AD803" s="913"/>
      <c r="AE803" s="913"/>
      <c r="AF803" s="913"/>
      <c r="AG803" s="913"/>
      <c r="AH803" s="913"/>
      <c r="AI803" s="913"/>
      <c r="AJ803" s="913"/>
      <c r="AK803" s="913"/>
      <c r="AL803" s="913"/>
      <c r="AM803" s="913"/>
      <c r="AN803" s="913"/>
      <c r="AO803" s="913"/>
      <c r="AP803" s="913"/>
      <c r="AQ803" s="913"/>
      <c r="AR803" s="913"/>
    </row>
    <row r="804" spans="1:44" s="860" customFormat="1" ht="17.25" customHeight="1" x14ac:dyDescent="0.2">
      <c r="A804" s="303" t="s">
        <v>2215</v>
      </c>
      <c r="M804" s="909"/>
      <c r="S804" s="911"/>
      <c r="T804" s="911"/>
      <c r="U804" s="911"/>
      <c r="V804" s="911"/>
      <c r="W804" s="912"/>
      <c r="X804" s="911"/>
      <c r="Y804" s="913"/>
      <c r="Z804" s="913"/>
      <c r="AA804" s="913"/>
      <c r="AB804" s="913"/>
      <c r="AC804" s="913"/>
      <c r="AD804" s="913"/>
      <c r="AE804" s="913"/>
      <c r="AF804" s="913"/>
      <c r="AG804" s="913"/>
      <c r="AH804" s="913"/>
      <c r="AI804" s="913"/>
      <c r="AJ804" s="913"/>
      <c r="AK804" s="913"/>
      <c r="AL804" s="913"/>
      <c r="AM804" s="913"/>
      <c r="AN804" s="913"/>
      <c r="AO804" s="913"/>
      <c r="AP804" s="913"/>
      <c r="AQ804" s="913"/>
      <c r="AR804" s="913"/>
    </row>
    <row r="805" spans="1:44" s="860" customFormat="1" ht="17.25" customHeight="1" x14ac:dyDescent="0.25">
      <c r="A805" s="222"/>
      <c r="B805" s="1099" t="s">
        <v>3803</v>
      </c>
      <c r="C805" s="1039"/>
      <c r="D805" s="1039"/>
      <c r="E805" s="1039"/>
      <c r="M805" s="909"/>
      <c r="S805" s="911"/>
      <c r="T805" s="911"/>
      <c r="U805" s="911"/>
      <c r="V805" s="911"/>
      <c r="W805" s="912"/>
      <c r="X805" s="911"/>
      <c r="Y805" s="913"/>
      <c r="Z805" s="913"/>
      <c r="AA805" s="913"/>
      <c r="AB805" s="913"/>
      <c r="AC805" s="913"/>
      <c r="AD805" s="913"/>
      <c r="AE805" s="913"/>
      <c r="AF805" s="913"/>
      <c r="AG805" s="913"/>
      <c r="AH805" s="913"/>
      <c r="AI805" s="913"/>
      <c r="AJ805" s="913"/>
      <c r="AK805" s="913"/>
      <c r="AL805" s="913"/>
      <c r="AM805" s="913"/>
      <c r="AN805" s="913"/>
      <c r="AO805" s="913"/>
      <c r="AP805" s="913"/>
      <c r="AQ805" s="913"/>
      <c r="AR805" s="913"/>
    </row>
    <row r="806" spans="1:44" s="860" customFormat="1" ht="17.25" customHeight="1" x14ac:dyDescent="0.2">
      <c r="A806" s="222"/>
      <c r="F806" s="860" t="s">
        <v>3973</v>
      </c>
      <c r="G806" s="860" t="s">
        <v>4230</v>
      </c>
      <c r="M806" s="909"/>
      <c r="S806" s="911"/>
      <c r="T806" s="911"/>
      <c r="U806" s="911"/>
      <c r="V806" s="911"/>
      <c r="W806" s="912"/>
      <c r="X806" s="911"/>
      <c r="Y806" s="913"/>
      <c r="Z806" s="913"/>
      <c r="AA806" s="913"/>
      <c r="AB806" s="913"/>
      <c r="AC806" s="913"/>
      <c r="AD806" s="913"/>
      <c r="AE806" s="913"/>
      <c r="AF806" s="913"/>
      <c r="AG806" s="913"/>
      <c r="AH806" s="913"/>
      <c r="AI806" s="913"/>
      <c r="AJ806" s="913"/>
      <c r="AK806" s="913"/>
      <c r="AL806" s="913"/>
      <c r="AM806" s="913"/>
      <c r="AN806" s="913"/>
      <c r="AO806" s="913"/>
      <c r="AP806" s="913"/>
      <c r="AQ806" s="913"/>
      <c r="AR806" s="913"/>
    </row>
    <row r="807" spans="1:44" s="860" customFormat="1" ht="17.25" customHeight="1" x14ac:dyDescent="0.25">
      <c r="A807" s="220" t="s">
        <v>5016</v>
      </c>
      <c r="F807" s="810">
        <f>IF(K405=1,F797,M797)</f>
        <v>0</v>
      </c>
      <c r="G807" s="1283">
        <f>M797</f>
        <v>0</v>
      </c>
      <c r="I807" s="321"/>
      <c r="M807" s="909"/>
      <c r="S807" s="911"/>
      <c r="T807" s="911"/>
      <c r="U807" s="911"/>
      <c r="V807" s="911"/>
      <c r="W807" s="912"/>
      <c r="X807" s="911"/>
      <c r="Y807" s="913"/>
      <c r="Z807" s="913"/>
      <c r="AA807" s="913"/>
      <c r="AB807" s="913"/>
      <c r="AC807" s="913"/>
      <c r="AD807" s="913"/>
      <c r="AE807" s="913"/>
      <c r="AF807" s="913"/>
      <c r="AG807" s="913"/>
      <c r="AH807" s="913"/>
      <c r="AI807" s="913"/>
      <c r="AJ807" s="913"/>
      <c r="AK807" s="913"/>
      <c r="AL807" s="913"/>
      <c r="AM807" s="913"/>
      <c r="AN807" s="913"/>
      <c r="AO807" s="913"/>
      <c r="AP807" s="913"/>
      <c r="AQ807" s="913"/>
      <c r="AR807" s="913"/>
    </row>
    <row r="808" spans="1:44" s="860" customFormat="1" ht="17.25" customHeight="1" x14ac:dyDescent="0.25">
      <c r="A808" s="220" t="s">
        <v>5017</v>
      </c>
      <c r="F808" s="810">
        <f>IF(K405=1,F798,M798)</f>
        <v>0</v>
      </c>
      <c r="G808" s="1283">
        <f>M798</f>
        <v>0</v>
      </c>
      <c r="I808" s="321"/>
      <c r="M808" s="909"/>
      <c r="S808" s="911"/>
      <c r="T808" s="911"/>
      <c r="U808" s="911"/>
      <c r="V808" s="911"/>
      <c r="W808" s="912"/>
      <c r="X808" s="911"/>
      <c r="Y808" s="913"/>
      <c r="Z808" s="913"/>
      <c r="AA808" s="913"/>
      <c r="AB808" s="913"/>
      <c r="AC808" s="913"/>
      <c r="AD808" s="913"/>
      <c r="AE808" s="913"/>
      <c r="AF808" s="913"/>
      <c r="AG808" s="913"/>
      <c r="AH808" s="913"/>
      <c r="AI808" s="913"/>
      <c r="AJ808" s="913"/>
      <c r="AK808" s="913"/>
      <c r="AL808" s="913"/>
      <c r="AM808" s="913"/>
      <c r="AN808" s="913"/>
      <c r="AO808" s="913"/>
      <c r="AP808" s="913"/>
      <c r="AQ808" s="913"/>
      <c r="AR808" s="913"/>
    </row>
    <row r="809" spans="1:44" s="860" customFormat="1" ht="17.25" customHeight="1" x14ac:dyDescent="0.25">
      <c r="A809" s="220" t="s">
        <v>5018</v>
      </c>
      <c r="B809" s="915"/>
      <c r="C809" s="916"/>
      <c r="D809" s="916"/>
      <c r="E809" s="913"/>
      <c r="F809" s="810">
        <f>IF(K405=1,F799,M799)</f>
        <v>0</v>
      </c>
      <c r="G809" s="1283">
        <f>M799</f>
        <v>0</v>
      </c>
      <c r="I809" s="321"/>
      <c r="M809" s="909"/>
      <c r="S809" s="911"/>
      <c r="T809" s="911"/>
      <c r="U809" s="911"/>
      <c r="V809" s="911"/>
      <c r="W809" s="912"/>
      <c r="X809" s="911"/>
      <c r="Y809" s="913"/>
      <c r="Z809" s="913"/>
      <c r="AA809" s="913"/>
      <c r="AB809" s="913"/>
      <c r="AC809" s="913"/>
      <c r="AD809" s="913"/>
      <c r="AE809" s="913"/>
      <c r="AF809" s="913"/>
      <c r="AG809" s="913"/>
      <c r="AH809" s="913"/>
      <c r="AI809" s="913"/>
      <c r="AJ809" s="913"/>
      <c r="AK809" s="913"/>
      <c r="AL809" s="913"/>
      <c r="AM809" s="913"/>
      <c r="AN809" s="913"/>
      <c r="AO809" s="913"/>
      <c r="AP809" s="913"/>
      <c r="AQ809" s="913"/>
      <c r="AR809" s="913"/>
    </row>
    <row r="810" spans="1:44" s="860" customFormat="1" ht="17.25" customHeight="1" x14ac:dyDescent="0.25">
      <c r="A810" s="220" t="s">
        <v>5020</v>
      </c>
      <c r="B810" s="915"/>
      <c r="C810" s="916"/>
      <c r="D810" s="916"/>
      <c r="E810" s="913"/>
      <c r="F810" s="810">
        <f>E732</f>
        <v>0</v>
      </c>
      <c r="G810" s="1283">
        <v>1</v>
      </c>
      <c r="I810" s="321"/>
      <c r="M810" s="909"/>
      <c r="S810" s="911"/>
      <c r="T810" s="911"/>
      <c r="U810" s="911"/>
      <c r="V810" s="911"/>
      <c r="W810" s="912"/>
      <c r="X810" s="911"/>
      <c r="Y810" s="913"/>
      <c r="Z810" s="913"/>
      <c r="AA810" s="913"/>
      <c r="AB810" s="913"/>
      <c r="AC810" s="913"/>
      <c r="AD810" s="913"/>
      <c r="AE810" s="913"/>
      <c r="AF810" s="913"/>
      <c r="AG810" s="913"/>
      <c r="AH810" s="913"/>
      <c r="AI810" s="913"/>
      <c r="AJ810" s="913"/>
      <c r="AK810" s="913"/>
      <c r="AL810" s="913"/>
      <c r="AM810" s="913"/>
      <c r="AN810" s="913"/>
      <c r="AO810" s="913"/>
      <c r="AP810" s="913"/>
      <c r="AQ810" s="913"/>
      <c r="AR810" s="913"/>
    </row>
    <row r="811" spans="1:44" s="860" customFormat="1" ht="17.25" customHeight="1" x14ac:dyDescent="0.25">
      <c r="A811" s="996" t="s">
        <v>3147</v>
      </c>
      <c r="B811" s="931"/>
      <c r="C811" s="932"/>
      <c r="D811" s="932"/>
      <c r="E811" s="933"/>
      <c r="F811" s="933"/>
      <c r="H811" s="321"/>
      <c r="M811" s="909"/>
      <c r="S811" s="911"/>
      <c r="T811" s="911"/>
      <c r="U811" s="911"/>
      <c r="V811" s="911"/>
      <c r="W811" s="912"/>
      <c r="X811" s="911"/>
      <c r="Y811" s="913"/>
      <c r="Z811" s="913"/>
      <c r="AA811" s="913"/>
      <c r="AB811" s="913"/>
      <c r="AC811" s="913"/>
      <c r="AD811" s="913"/>
      <c r="AE811" s="913"/>
      <c r="AF811" s="913"/>
      <c r="AG811" s="913"/>
      <c r="AH811" s="913"/>
      <c r="AI811" s="913"/>
      <c r="AJ811" s="913"/>
      <c r="AK811" s="913"/>
      <c r="AL811" s="913"/>
      <c r="AM811" s="913"/>
      <c r="AN811" s="913"/>
      <c r="AO811" s="913"/>
      <c r="AP811" s="913"/>
      <c r="AQ811" s="913"/>
      <c r="AR811" s="913"/>
    </row>
    <row r="812" spans="1:44" s="860" customFormat="1" ht="17.25" customHeight="1" x14ac:dyDescent="0.2">
      <c r="A812" s="995" t="s">
        <v>3804</v>
      </c>
      <c r="B812" s="915"/>
      <c r="C812" s="916"/>
      <c r="D812" s="916"/>
      <c r="M812" s="909"/>
      <c r="S812" s="911"/>
      <c r="T812" s="911"/>
      <c r="U812" s="911"/>
      <c r="V812" s="911"/>
      <c r="W812" s="912"/>
      <c r="X812" s="911"/>
      <c r="Y812" s="913"/>
      <c r="Z812" s="913"/>
      <c r="AA812" s="913"/>
      <c r="AB812" s="913"/>
      <c r="AC812" s="913"/>
      <c r="AD812" s="913"/>
      <c r="AE812" s="913"/>
      <c r="AF812" s="913"/>
      <c r="AG812" s="913"/>
      <c r="AH812" s="913"/>
      <c r="AI812" s="913"/>
      <c r="AJ812" s="913"/>
      <c r="AK812" s="913"/>
      <c r="AL812" s="913"/>
      <c r="AM812" s="913"/>
      <c r="AN812" s="913"/>
      <c r="AO812" s="913"/>
      <c r="AP812" s="913"/>
      <c r="AQ812" s="913"/>
      <c r="AR812" s="913"/>
    </row>
    <row r="813" spans="1:44" s="860" customFormat="1" ht="17.25" customHeight="1" x14ac:dyDescent="0.2">
      <c r="A813" s="1081" t="s">
        <v>4942</v>
      </c>
      <c r="C813" s="916"/>
      <c r="D813" s="916"/>
      <c r="E813" s="214" t="s">
        <v>1808</v>
      </c>
      <c r="M813" s="909"/>
      <c r="S813" s="911"/>
      <c r="T813" s="911"/>
      <c r="U813" s="911"/>
      <c r="V813" s="911"/>
      <c r="W813" s="912"/>
      <c r="X813" s="911"/>
      <c r="Y813" s="913"/>
      <c r="Z813" s="913"/>
      <c r="AA813" s="913"/>
      <c r="AB813" s="913"/>
      <c r="AC813" s="913"/>
      <c r="AD813" s="913"/>
      <c r="AE813" s="913"/>
      <c r="AF813" s="913"/>
      <c r="AG813" s="913"/>
      <c r="AH813" s="913"/>
      <c r="AI813" s="913"/>
      <c r="AJ813" s="913"/>
      <c r="AK813" s="913"/>
      <c r="AL813" s="913"/>
      <c r="AM813" s="913"/>
      <c r="AN813" s="913"/>
      <c r="AO813" s="913"/>
      <c r="AP813" s="913"/>
      <c r="AQ813" s="913"/>
      <c r="AR813" s="913"/>
    </row>
    <row r="814" spans="1:44" s="860" customFormat="1" ht="41.25" customHeight="1" x14ac:dyDescent="0.2">
      <c r="A814" s="988" t="s">
        <v>1816</v>
      </c>
      <c r="B814" s="989" t="s">
        <v>1817</v>
      </c>
      <c r="C814" s="989" t="s">
        <v>1818</v>
      </c>
      <c r="D814" s="916"/>
      <c r="E814" s="988" t="s">
        <v>1816</v>
      </c>
      <c r="F814" s="989" t="s">
        <v>1817</v>
      </c>
      <c r="G814" s="989" t="s">
        <v>1818</v>
      </c>
      <c r="M814" s="909"/>
      <c r="S814" s="911"/>
      <c r="T814" s="911"/>
      <c r="U814" s="911"/>
      <c r="V814" s="911"/>
      <c r="W814" s="912"/>
      <c r="X814" s="911"/>
      <c r="Y814" s="913"/>
      <c r="Z814" s="913"/>
      <c r="AA814" s="913"/>
      <c r="AB814" s="913"/>
      <c r="AC814" s="913"/>
      <c r="AD814" s="913"/>
      <c r="AE814" s="913"/>
      <c r="AF814" s="913"/>
      <c r="AG814" s="913"/>
      <c r="AH814" s="913"/>
      <c r="AI814" s="913"/>
      <c r="AJ814" s="913"/>
      <c r="AK814" s="913"/>
      <c r="AL814" s="913"/>
      <c r="AM814" s="913"/>
      <c r="AN814" s="913"/>
      <c r="AO814" s="913"/>
      <c r="AP814" s="913"/>
      <c r="AQ814" s="913"/>
      <c r="AR814" s="913"/>
    </row>
    <row r="815" spans="1:44" s="860" customFormat="1" ht="17.25" customHeight="1" x14ac:dyDescent="0.2">
      <c r="A815" s="990" t="s">
        <v>5183</v>
      </c>
      <c r="B815" s="991">
        <v>460</v>
      </c>
      <c r="C815" s="990">
        <v>750</v>
      </c>
      <c r="D815" s="916"/>
      <c r="E815" s="978" t="s">
        <v>1809</v>
      </c>
      <c r="F815" s="978">
        <v>323</v>
      </c>
      <c r="G815" s="978">
        <v>585</v>
      </c>
      <c r="M815" s="909"/>
      <c r="S815" s="911"/>
      <c r="T815" s="911"/>
      <c r="U815" s="911"/>
      <c r="V815" s="911"/>
      <c r="W815" s="912"/>
      <c r="X815" s="911"/>
      <c r="Y815" s="913"/>
      <c r="Z815" s="913"/>
      <c r="AA815" s="913"/>
      <c r="AB815" s="913"/>
      <c r="AC815" s="913"/>
      <c r="AD815" s="913"/>
      <c r="AE815" s="913"/>
      <c r="AF815" s="913"/>
      <c r="AG815" s="913"/>
      <c r="AH815" s="913"/>
      <c r="AI815" s="913"/>
      <c r="AJ815" s="913"/>
      <c r="AK815" s="913"/>
      <c r="AL815" s="913"/>
      <c r="AM815" s="913"/>
      <c r="AN815" s="913"/>
      <c r="AO815" s="913"/>
      <c r="AP815" s="913"/>
      <c r="AQ815" s="913"/>
      <c r="AR815" s="913"/>
    </row>
    <row r="816" spans="1:44" s="860" customFormat="1" ht="17.25" customHeight="1" x14ac:dyDescent="0.2">
      <c r="A816" s="990" t="s">
        <v>5184</v>
      </c>
      <c r="B816" s="991">
        <v>560</v>
      </c>
      <c r="C816" s="990">
        <v>1050</v>
      </c>
      <c r="D816" s="916"/>
      <c r="E816" s="993" t="s">
        <v>5178</v>
      </c>
      <c r="F816" s="978">
        <v>388</v>
      </c>
      <c r="G816" s="978">
        <v>705</v>
      </c>
      <c r="M816" s="909"/>
      <c r="S816" s="911"/>
      <c r="T816" s="911"/>
      <c r="U816" s="911"/>
      <c r="V816" s="911"/>
      <c r="W816" s="912"/>
      <c r="X816" s="911"/>
      <c r="Y816" s="913"/>
      <c r="Z816" s="913"/>
      <c r="AA816" s="913"/>
      <c r="AB816" s="913"/>
      <c r="AC816" s="913"/>
      <c r="AD816" s="913"/>
      <c r="AE816" s="913"/>
      <c r="AF816" s="913"/>
      <c r="AG816" s="913"/>
      <c r="AH816" s="913"/>
      <c r="AI816" s="913"/>
      <c r="AJ816" s="913"/>
      <c r="AK816" s="913"/>
      <c r="AL816" s="913"/>
      <c r="AM816" s="913"/>
      <c r="AN816" s="913"/>
      <c r="AO816" s="913"/>
      <c r="AP816" s="913"/>
      <c r="AQ816" s="913"/>
      <c r="AR816" s="913"/>
    </row>
    <row r="817" spans="1:44" s="860" customFormat="1" ht="17.25" customHeight="1" x14ac:dyDescent="0.2">
      <c r="A817" s="990" t="s">
        <v>5185</v>
      </c>
      <c r="B817" s="991">
        <v>700</v>
      </c>
      <c r="C817" s="990">
        <v>1290</v>
      </c>
      <c r="D817" s="916"/>
      <c r="E817" s="993" t="s">
        <v>5179</v>
      </c>
      <c r="F817" s="978">
        <v>460</v>
      </c>
      <c r="G817" s="978">
        <v>860</v>
      </c>
      <c r="M817" s="909"/>
      <c r="S817" s="911"/>
      <c r="T817" s="911"/>
      <c r="U817" s="911"/>
      <c r="V817" s="911"/>
      <c r="W817" s="912"/>
      <c r="X817" s="911"/>
      <c r="Y817" s="913"/>
      <c r="Z817" s="913"/>
      <c r="AA817" s="913"/>
      <c r="AB817" s="913"/>
      <c r="AC817" s="913"/>
      <c r="AD817" s="913"/>
      <c r="AE817" s="913"/>
      <c r="AF817" s="913"/>
      <c r="AG817" s="913"/>
      <c r="AH817" s="913"/>
      <c r="AI817" s="913"/>
      <c r="AJ817" s="913"/>
      <c r="AK817" s="913"/>
      <c r="AL817" s="913"/>
      <c r="AM817" s="913"/>
      <c r="AN817" s="913"/>
      <c r="AO817" s="913"/>
      <c r="AP817" s="913"/>
      <c r="AQ817" s="913"/>
      <c r="AR817" s="913"/>
    </row>
    <row r="818" spans="1:44" s="860" customFormat="1" ht="17.25" customHeight="1" x14ac:dyDescent="0.2">
      <c r="A818" s="990" t="s">
        <v>5186</v>
      </c>
      <c r="B818" s="991">
        <v>950</v>
      </c>
      <c r="C818" s="990">
        <v>1750</v>
      </c>
      <c r="D818" s="916"/>
      <c r="E818" s="993" t="s">
        <v>5180</v>
      </c>
      <c r="F818" s="993">
        <v>560</v>
      </c>
      <c r="G818" s="993">
        <v>1050</v>
      </c>
      <c r="M818" s="909"/>
      <c r="S818" s="911"/>
      <c r="T818" s="911"/>
      <c r="U818" s="911"/>
      <c r="V818" s="911"/>
      <c r="W818" s="912"/>
      <c r="X818" s="911"/>
      <c r="Y818" s="913"/>
      <c r="Z818" s="913"/>
      <c r="AA818" s="913"/>
      <c r="AB818" s="913"/>
      <c r="AC818" s="913"/>
      <c r="AD818" s="913"/>
      <c r="AE818" s="913"/>
      <c r="AF818" s="913"/>
      <c r="AG818" s="913"/>
      <c r="AH818" s="913"/>
      <c r="AI818" s="913"/>
      <c r="AJ818" s="913"/>
      <c r="AK818" s="913"/>
      <c r="AL818" s="913"/>
      <c r="AM818" s="913"/>
      <c r="AN818" s="913"/>
      <c r="AO818" s="913"/>
      <c r="AP818" s="913"/>
      <c r="AQ818" s="913"/>
      <c r="AR818" s="913"/>
    </row>
    <row r="819" spans="1:44" s="860" customFormat="1" ht="17.25" customHeight="1" x14ac:dyDescent="0.2">
      <c r="A819" s="917"/>
      <c r="C819" s="916"/>
      <c r="D819" s="916"/>
      <c r="E819" s="993" t="s">
        <v>5181</v>
      </c>
      <c r="F819" s="993">
        <v>700</v>
      </c>
      <c r="G819" s="993">
        <v>1315</v>
      </c>
      <c r="M819" s="909"/>
      <c r="S819" s="911"/>
      <c r="T819" s="911"/>
      <c r="U819" s="911"/>
      <c r="V819" s="911"/>
      <c r="W819" s="912"/>
      <c r="X819" s="911"/>
      <c r="Y819" s="913"/>
      <c r="Z819" s="913"/>
      <c r="AA819" s="913"/>
      <c r="AB819" s="913"/>
      <c r="AC819" s="913"/>
      <c r="AD819" s="913"/>
      <c r="AE819" s="913"/>
      <c r="AF819" s="913"/>
      <c r="AG819" s="913"/>
      <c r="AH819" s="913"/>
      <c r="AI819" s="913"/>
      <c r="AJ819" s="913"/>
      <c r="AK819" s="913"/>
      <c r="AL819" s="913"/>
      <c r="AM819" s="913"/>
      <c r="AN819" s="913"/>
      <c r="AO819" s="913"/>
      <c r="AP819" s="913"/>
      <c r="AQ819" s="913"/>
      <c r="AR819" s="913"/>
    </row>
    <row r="820" spans="1:44" s="860" customFormat="1" ht="17.25" customHeight="1" x14ac:dyDescent="0.2">
      <c r="A820" s="917"/>
      <c r="C820" s="916"/>
      <c r="D820" s="916"/>
      <c r="E820" s="992"/>
      <c r="F820" s="992"/>
      <c r="G820" s="992"/>
      <c r="M820" s="909"/>
      <c r="S820" s="911"/>
      <c r="T820" s="911"/>
      <c r="U820" s="911"/>
      <c r="V820" s="911"/>
      <c r="W820" s="912"/>
      <c r="X820" s="911"/>
      <c r="Y820" s="913"/>
      <c r="Z820" s="913"/>
      <c r="AA820" s="913"/>
      <c r="AB820" s="913"/>
      <c r="AC820" s="913"/>
      <c r="AD820" s="913"/>
      <c r="AE820" s="913"/>
      <c r="AF820" s="913"/>
      <c r="AG820" s="913"/>
      <c r="AH820" s="913"/>
      <c r="AI820" s="913"/>
      <c r="AJ820" s="913"/>
      <c r="AK820" s="913"/>
      <c r="AL820" s="913"/>
      <c r="AM820" s="913"/>
      <c r="AN820" s="913"/>
      <c r="AO820" s="913"/>
      <c r="AP820" s="913"/>
      <c r="AQ820" s="913"/>
      <c r="AR820" s="913"/>
    </row>
    <row r="821" spans="1:44" ht="15.75" customHeight="1" x14ac:dyDescent="0.3">
      <c r="A821" s="917" t="s">
        <v>3425</v>
      </c>
      <c r="B821" s="172"/>
      <c r="C821" s="15"/>
      <c r="E821" s="15"/>
      <c r="H821" s="521" t="e">
        <f>kursovoy!B402*1000*(1-IF(kursovoy!B207=1,0.04,IF(kursovoy!B207=2,0.025,IF(kursovoy!B207=3,0.015,IF(kursovoy!B207=4,0.015,IF(kursovoy!B207=5,0.05)))))*4.5)</f>
        <v>#VALUE!</v>
      </c>
      <c r="S821" s="14"/>
      <c r="T821" s="14"/>
      <c r="U821" s="14"/>
      <c r="V821" s="14"/>
      <c r="W821" s="315"/>
      <c r="X821" s="14"/>
      <c r="Y821" s="42"/>
      <c r="Z821" s="42"/>
      <c r="AA821" s="42"/>
      <c r="AB821" s="42"/>
      <c r="AC821" s="42"/>
      <c r="AD821" s="42"/>
      <c r="AE821" s="42"/>
      <c r="AF821" s="42"/>
      <c r="AG821" s="42"/>
      <c r="AH821" s="42"/>
      <c r="AI821" s="42"/>
      <c r="AJ821" s="42"/>
      <c r="AK821" s="42"/>
      <c r="AL821" s="42"/>
      <c r="AM821" s="42"/>
      <c r="AN821" s="42"/>
      <c r="AO821" s="42"/>
      <c r="AP821" s="42"/>
      <c r="AQ821" s="42"/>
      <c r="AR821" s="42"/>
    </row>
    <row r="822" spans="1:44" ht="15.75" customHeight="1" x14ac:dyDescent="0.3">
      <c r="A822" s="917" t="s">
        <v>3426</v>
      </c>
      <c r="B822" s="172"/>
      <c r="C822" s="15"/>
      <c r="D822" s="1032"/>
      <c r="E822" s="15"/>
      <c r="F822" s="994"/>
      <c r="H822" s="819" t="e">
        <f>kursovoy!B403*1000*(1-IF(kursovoy!B207=1,0.04,IF(kursovoy!B207=2,0.025,IF(kursovoy!B207=3,0.015,IF(kursovoy!B207=4,0.015,IF(kursovoy!B207=5,0.05)))))*3.5)-50</f>
        <v>#VALUE!</v>
      </c>
      <c r="S822" s="14"/>
      <c r="T822" s="14"/>
      <c r="U822" s="14"/>
      <c r="V822" s="14"/>
      <c r="W822" s="315"/>
      <c r="X822" s="14"/>
      <c r="Y822" s="42"/>
      <c r="Z822" s="42"/>
      <c r="AA822" s="42"/>
      <c r="AB822" s="42"/>
      <c r="AC822" s="42"/>
      <c r="AD822" s="42"/>
      <c r="AE822" s="42"/>
      <c r="AF822" s="42"/>
      <c r="AG822" s="42"/>
      <c r="AH822" s="42"/>
      <c r="AI822" s="42"/>
      <c r="AJ822" s="42"/>
      <c r="AK822" s="42"/>
      <c r="AL822" s="42"/>
      <c r="AM822" s="42"/>
      <c r="AN822" s="42"/>
      <c r="AO822" s="42"/>
      <c r="AP822" s="42"/>
      <c r="AQ822" s="42"/>
      <c r="AR822" s="42"/>
    </row>
    <row r="823" spans="1:44" ht="15.75" customHeight="1" x14ac:dyDescent="0.2">
      <c r="A823" s="917" t="s">
        <v>5182</v>
      </c>
      <c r="B823" s="172"/>
      <c r="C823" s="15"/>
      <c r="D823" s="15"/>
      <c r="E823" s="15"/>
      <c r="F823" s="15"/>
      <c r="L823" s="1022" t="str">
        <f>IF(F824=1,IF(OR(INDEX(F815:F819,H824)&gt;H821,INDEX(G815:G819,H824)&lt;H822),"Вы не внимательны",""),"")</f>
        <v/>
      </c>
      <c r="S823" s="14"/>
      <c r="T823" s="14"/>
      <c r="U823" s="14"/>
      <c r="V823" s="14"/>
      <c r="W823" s="315"/>
      <c r="X823" s="14"/>
      <c r="Y823" s="42"/>
      <c r="Z823" s="42"/>
      <c r="AA823" s="42"/>
      <c r="AB823" s="42"/>
      <c r="AC823" s="42"/>
      <c r="AD823" s="42"/>
      <c r="AE823" s="42"/>
      <c r="AF823" s="42"/>
      <c r="AG823" s="42"/>
      <c r="AH823" s="42"/>
      <c r="AI823" s="42"/>
      <c r="AJ823" s="42"/>
      <c r="AK823" s="42"/>
      <c r="AL823" s="42"/>
      <c r="AM823" s="42"/>
      <c r="AN823" s="42"/>
      <c r="AO823" s="42"/>
      <c r="AP823" s="42"/>
      <c r="AQ823" s="42"/>
      <c r="AR823" s="42"/>
    </row>
    <row r="824" spans="1:44" ht="15.75" customHeight="1" x14ac:dyDescent="0.2">
      <c r="A824" s="995" t="s">
        <v>4231</v>
      </c>
      <c r="C824" s="15"/>
      <c r="D824" s="15"/>
      <c r="E824" s="15"/>
      <c r="F824" s="332"/>
      <c r="G824" t="s">
        <v>1816</v>
      </c>
      <c r="H824" s="332"/>
      <c r="I824" s="1288" t="str">
        <f>IF(F824=2,IF(INDEX(B815:B818,H824)&gt;H821,"Вы  не внимательны!",IF(INDEX(C815:C818,H824)&lt;H822,"Вы не внимательны","")),"")</f>
        <v/>
      </c>
      <c r="K824" s="861"/>
      <c r="L824" s="863"/>
      <c r="S824" s="14"/>
      <c r="T824" s="14"/>
      <c r="U824" s="14"/>
      <c r="V824" s="14"/>
      <c r="W824" s="315"/>
      <c r="X824" s="14"/>
      <c r="Y824" s="42"/>
      <c r="Z824" s="42"/>
      <c r="AA824" s="42"/>
      <c r="AB824" s="42"/>
      <c r="AC824" s="42"/>
      <c r="AD824" s="42"/>
      <c r="AE824" s="42"/>
      <c r="AF824" s="42"/>
      <c r="AG824" s="42"/>
      <c r="AH824" s="42"/>
      <c r="AI824" s="42"/>
      <c r="AJ824" s="42"/>
      <c r="AK824" s="42"/>
      <c r="AL824" s="42"/>
      <c r="AM824" s="42"/>
      <c r="AN824" s="42"/>
      <c r="AO824" s="42"/>
      <c r="AP824" s="42"/>
      <c r="AQ824" s="42"/>
      <c r="AR824" s="42"/>
    </row>
    <row r="825" spans="1:44" ht="15.75" customHeight="1" x14ac:dyDescent="0.2">
      <c r="A825" s="917"/>
      <c r="B825" s="172"/>
      <c r="C825" s="15"/>
      <c r="D825" s="15"/>
      <c r="E825" s="15"/>
      <c r="F825" s="15"/>
      <c r="S825" s="14"/>
      <c r="T825" s="14"/>
      <c r="U825" s="14"/>
      <c r="V825" s="14"/>
      <c r="W825" s="315"/>
      <c r="X825" s="14"/>
      <c r="Y825" s="42"/>
      <c r="Z825" s="42"/>
      <c r="AA825" s="42"/>
      <c r="AB825" s="42"/>
      <c r="AC825" s="42"/>
      <c r="AD825" s="42"/>
      <c r="AE825" s="42"/>
      <c r="AF825" s="42"/>
      <c r="AG825" s="42"/>
      <c r="AH825" s="42"/>
      <c r="AI825" s="42"/>
      <c r="AJ825" s="42"/>
      <c r="AK825" s="42"/>
      <c r="AL825" s="42"/>
      <c r="AM825" s="42"/>
      <c r="AN825" s="42"/>
      <c r="AO825" s="42"/>
      <c r="AP825" s="42"/>
      <c r="AQ825" s="42"/>
      <c r="AR825" s="42"/>
    </row>
    <row r="826" spans="1:44" ht="15.75" customHeight="1" x14ac:dyDescent="0.3">
      <c r="A826" s="1040" t="s">
        <v>4579</v>
      </c>
      <c r="B826" s="1041"/>
      <c r="C826" s="1042"/>
      <c r="D826" s="1042"/>
      <c r="E826" s="1042"/>
      <c r="F826" s="1042"/>
      <c r="G826" s="242"/>
      <c r="H826" s="242"/>
      <c r="I826" s="242"/>
      <c r="J826" s="242"/>
      <c r="S826" s="14"/>
      <c r="T826" s="14"/>
      <c r="U826" s="14"/>
      <c r="V826" s="14"/>
      <c r="W826" s="315"/>
      <c r="X826" s="14"/>
      <c r="Y826" s="42"/>
      <c r="Z826" s="42"/>
      <c r="AA826" s="42"/>
      <c r="AB826" s="42"/>
      <c r="AC826" s="42"/>
      <c r="AD826" s="42"/>
      <c r="AE826" s="42"/>
      <c r="AF826" s="42"/>
      <c r="AG826" s="42"/>
      <c r="AH826" s="42"/>
      <c r="AI826" s="42"/>
      <c r="AJ826" s="42"/>
      <c r="AK826" s="42"/>
      <c r="AL826" s="42"/>
      <c r="AM826" s="42"/>
      <c r="AN826" s="42"/>
      <c r="AO826" s="42"/>
      <c r="AP826" s="42"/>
      <c r="AQ826" s="42"/>
      <c r="AR826" s="42"/>
    </row>
    <row r="827" spans="1:44" ht="15.75" customHeight="1" x14ac:dyDescent="0.2">
      <c r="A827" s="917"/>
      <c r="B827" s="1101" t="s">
        <v>4583</v>
      </c>
      <c r="C827" s="15"/>
      <c r="D827" s="15"/>
      <c r="E827" s="15"/>
      <c r="F827" s="15"/>
      <c r="S827" s="14"/>
      <c r="T827" s="14"/>
      <c r="U827" s="14"/>
      <c r="V827" s="14"/>
      <c r="W827" s="315"/>
      <c r="X827" s="14"/>
      <c r="Y827" s="42"/>
      <c r="Z827" s="42"/>
      <c r="AA827" s="42"/>
      <c r="AB827" s="42"/>
      <c r="AC827" s="42"/>
      <c r="AD827" s="42"/>
      <c r="AE827" s="42"/>
      <c r="AF827" s="42"/>
      <c r="AG827" s="42"/>
      <c r="AH827" s="42"/>
      <c r="AI827" s="42"/>
      <c r="AJ827" s="42"/>
      <c r="AK827" s="42"/>
      <c r="AL827" s="42"/>
      <c r="AM827" s="42"/>
      <c r="AN827" s="42"/>
      <c r="AO827" s="42"/>
      <c r="AP827" s="42"/>
      <c r="AQ827" s="42"/>
      <c r="AR827" s="42"/>
    </row>
    <row r="828" spans="1:44" ht="15.75" customHeight="1" x14ac:dyDescent="0.2">
      <c r="A828" s="917" t="s">
        <v>3797</v>
      </c>
      <c r="B828" s="172"/>
      <c r="C828" s="15"/>
      <c r="D828" s="15"/>
      <c r="E828" s="15"/>
      <c r="F828" s="15"/>
      <c r="S828" s="14"/>
      <c r="T828" s="14"/>
      <c r="U828" s="14"/>
      <c r="V828" s="14"/>
      <c r="W828" s="315"/>
      <c r="X828" s="14"/>
      <c r="Y828" s="42"/>
      <c r="Z828" s="42"/>
      <c r="AA828" s="42"/>
      <c r="AB828" s="42"/>
      <c r="AC828" s="42"/>
      <c r="AD828" s="42"/>
      <c r="AE828" s="42"/>
      <c r="AF828" s="42"/>
      <c r="AG828" s="42"/>
      <c r="AH828" s="42"/>
      <c r="AI828" s="42"/>
      <c r="AJ828" s="42"/>
      <c r="AK828" s="42"/>
      <c r="AL828" s="42"/>
      <c r="AM828" s="42"/>
      <c r="AN828" s="42"/>
      <c r="AO828" s="42"/>
      <c r="AP828" s="42"/>
      <c r="AQ828" s="42"/>
      <c r="AR828" s="42"/>
    </row>
    <row r="829" spans="1:44" ht="15.75" customHeight="1" x14ac:dyDescent="0.25">
      <c r="A829" s="995" t="s">
        <v>970</v>
      </c>
      <c r="C829" s="15"/>
      <c r="D829" s="15"/>
      <c r="E829" s="1011">
        <f>3.2*H1154+H1155</f>
        <v>0</v>
      </c>
      <c r="F829" s="892" t="s">
        <v>3806</v>
      </c>
      <c r="I829" s="1100">
        <f>ROW(679:679)</f>
        <v>679</v>
      </c>
      <c r="S829" s="14"/>
      <c r="T829" s="14"/>
      <c r="U829" s="14"/>
      <c r="V829" s="14"/>
      <c r="W829" s="315"/>
      <c r="X829" s="14"/>
      <c r="Y829" s="42"/>
      <c r="Z829" s="42"/>
      <c r="AA829" s="42"/>
      <c r="AB829" s="42"/>
      <c r="AC829" s="42"/>
      <c r="AD829" s="42"/>
      <c r="AE829" s="42"/>
      <c r="AF829" s="42"/>
      <c r="AG829" s="42"/>
      <c r="AH829" s="42"/>
      <c r="AI829" s="42"/>
      <c r="AJ829" s="42"/>
      <c r="AK829" s="42"/>
      <c r="AL829" s="42"/>
      <c r="AM829" s="42"/>
      <c r="AN829" s="42"/>
      <c r="AO829" s="42"/>
      <c r="AP829" s="42"/>
      <c r="AQ829" s="42"/>
      <c r="AR829" s="42"/>
    </row>
    <row r="830" spans="1:44" ht="15.75" customHeight="1" x14ac:dyDescent="0.2">
      <c r="A830" s="917" t="s">
        <v>3798</v>
      </c>
      <c r="B830" s="172"/>
      <c r="C830" s="15"/>
      <c r="D830" s="15"/>
      <c r="E830" s="15"/>
      <c r="F830" s="15"/>
      <c r="H830" s="241"/>
      <c r="S830" s="14"/>
      <c r="T830" s="14"/>
      <c r="U830" s="14"/>
      <c r="V830" s="14"/>
      <c r="W830" s="315"/>
      <c r="X830" s="14"/>
      <c r="Y830" s="42"/>
      <c r="Z830" s="42"/>
      <c r="AA830" s="42"/>
      <c r="AB830" s="42"/>
      <c r="AC830" s="42"/>
      <c r="AD830" s="42"/>
      <c r="AE830" s="42"/>
      <c r="AF830" s="42"/>
      <c r="AG830" s="42"/>
      <c r="AH830" s="42"/>
      <c r="AI830" s="42"/>
      <c r="AJ830" s="42"/>
      <c r="AK830" s="42"/>
      <c r="AL830" s="42"/>
      <c r="AM830" s="42"/>
      <c r="AN830" s="42"/>
      <c r="AO830" s="42"/>
      <c r="AP830" s="42"/>
      <c r="AQ830" s="42"/>
      <c r="AR830" s="42"/>
    </row>
    <row r="831" spans="1:44" ht="15.75" customHeight="1" x14ac:dyDescent="0.25">
      <c r="A831" s="917" t="s">
        <v>972</v>
      </c>
      <c r="B831" s="995"/>
      <c r="C831" s="15"/>
      <c r="D831" s="1012" t="e">
        <f>3/(3.6*(1/0.3)*(IF(kursovoy!B403&lt;1.01,INDEX(D697:D700,kursovoy!B207),IF(kursovoy!B403&lt;2.01,INDEX(E697:E700,kursovoy!B207,)*INDEX(F697:F700,kursovoy!B207))-INDEX(G697:G700,kursovoy!B207)/3.6)))</f>
        <v>#VALUE!</v>
      </c>
      <c r="E831" s="393" t="s">
        <v>3807</v>
      </c>
      <c r="F831" s="892"/>
      <c r="I831" s="347">
        <f>ROW(685:685)</f>
        <v>685</v>
      </c>
      <c r="S831" s="14"/>
      <c r="T831" s="14"/>
      <c r="U831" s="14"/>
      <c r="V831" s="14"/>
      <c r="W831" s="315"/>
      <c r="X831" s="14"/>
      <c r="Y831" s="42"/>
      <c r="Z831" s="42"/>
      <c r="AA831" s="42"/>
      <c r="AB831" s="42"/>
      <c r="AC831" s="42"/>
      <c r="AD831" s="42"/>
      <c r="AE831" s="42"/>
      <c r="AF831" s="42"/>
      <c r="AG831" s="42"/>
      <c r="AH831" s="42"/>
      <c r="AI831" s="42"/>
      <c r="AJ831" s="42"/>
      <c r="AK831" s="42"/>
      <c r="AL831" s="42"/>
      <c r="AM831" s="42"/>
      <c r="AN831" s="42"/>
      <c r="AO831" s="42"/>
      <c r="AP831" s="42"/>
      <c r="AQ831" s="42"/>
      <c r="AR831" s="42"/>
    </row>
    <row r="832" spans="1:44" ht="15.75" customHeight="1" x14ac:dyDescent="0.2">
      <c r="A832" s="995" t="s">
        <v>1311</v>
      </c>
      <c r="C832" s="15"/>
      <c r="D832" s="15"/>
      <c r="E832" s="15"/>
      <c r="F832" s="15"/>
      <c r="J832" s="1011" t="e">
        <f>MIN(E829,D831)</f>
        <v>#VALUE!</v>
      </c>
      <c r="K832" t="s">
        <v>971</v>
      </c>
      <c r="S832" s="14"/>
      <c r="T832" s="14"/>
      <c r="U832" s="14"/>
      <c r="V832" s="14"/>
      <c r="W832" s="315"/>
      <c r="X832" s="14"/>
      <c r="Y832" s="42"/>
      <c r="Z832" s="42"/>
      <c r="AA832" s="42"/>
      <c r="AB832" s="42"/>
      <c r="AC832" s="42"/>
      <c r="AD832" s="42"/>
      <c r="AE832" s="42"/>
      <c r="AF832" s="42"/>
      <c r="AG832" s="42"/>
      <c r="AH832" s="42"/>
      <c r="AI832" s="42"/>
      <c r="AJ832" s="42"/>
      <c r="AK832" s="42"/>
      <c r="AL832" s="42"/>
      <c r="AM832" s="42"/>
      <c r="AN832" s="42"/>
      <c r="AO832" s="42"/>
      <c r="AP832" s="42"/>
      <c r="AQ832" s="42"/>
      <c r="AR832" s="42"/>
    </row>
    <row r="833" spans="1:44" ht="15.75" customHeight="1" x14ac:dyDescent="0.25">
      <c r="A833" s="917"/>
      <c r="B833" s="1023" t="s">
        <v>3799</v>
      </c>
      <c r="D833" s="15"/>
      <c r="E833" s="15"/>
      <c r="F833" s="15"/>
      <c r="H833" s="1013"/>
      <c r="S833" s="14"/>
      <c r="T833" s="14"/>
      <c r="U833" s="14"/>
      <c r="V833" s="14"/>
      <c r="W833" s="315"/>
      <c r="X833" s="14"/>
      <c r="Y833" s="42"/>
      <c r="Z833" s="42"/>
      <c r="AA833" s="42"/>
      <c r="AB833" s="42"/>
      <c r="AC833" s="42"/>
      <c r="AD833" s="42"/>
      <c r="AE833" s="42"/>
      <c r="AF833" s="42"/>
      <c r="AG833" s="42"/>
      <c r="AH833" s="42"/>
      <c r="AI833" s="42"/>
      <c r="AJ833" s="42"/>
      <c r="AK833" s="42"/>
      <c r="AL833" s="42"/>
      <c r="AM833" s="42"/>
      <c r="AN833" s="42"/>
      <c r="AO833" s="42"/>
      <c r="AP833" s="42"/>
      <c r="AQ833" s="42"/>
      <c r="AR833" s="42"/>
    </row>
    <row r="834" spans="1:44" ht="15.75" customHeight="1" x14ac:dyDescent="0.2">
      <c r="A834" s="917"/>
      <c r="B834" s="1102" t="s">
        <v>4584</v>
      </c>
      <c r="C834" s="867"/>
      <c r="D834" s="15"/>
      <c r="E834" s="15"/>
      <c r="F834" s="15"/>
      <c r="H834" s="508"/>
      <c r="S834" s="14"/>
      <c r="T834" s="14"/>
      <c r="U834" s="14"/>
      <c r="V834" s="14"/>
      <c r="W834" s="315"/>
      <c r="X834" s="14"/>
      <c r="Y834" s="42"/>
      <c r="Z834" s="42"/>
      <c r="AA834" s="42"/>
      <c r="AB834" s="42"/>
      <c r="AC834" s="42"/>
      <c r="AD834" s="42"/>
      <c r="AE834" s="42"/>
      <c r="AF834" s="42"/>
      <c r="AG834" s="42"/>
      <c r="AH834" s="42"/>
      <c r="AI834" s="42"/>
      <c r="AJ834" s="42"/>
      <c r="AK834" s="42"/>
      <c r="AL834" s="42"/>
      <c r="AM834" s="42"/>
      <c r="AN834" s="42"/>
      <c r="AO834" s="42"/>
      <c r="AP834" s="42"/>
      <c r="AQ834" s="42"/>
      <c r="AR834" s="42"/>
    </row>
    <row r="835" spans="1:44" ht="15.75" customHeight="1" x14ac:dyDescent="0.2">
      <c r="A835" s="1033" t="s">
        <v>1346</v>
      </c>
      <c r="C835" s="15"/>
      <c r="D835" s="15"/>
      <c r="E835" s="15"/>
      <c r="F835" s="15"/>
      <c r="G835" s="862" t="e">
        <f>IF(F824=1,1.5/INDEX(G697:G700,kursovoy!B207),0.8/INDEX(G697:G700,kursovoy!B207))</f>
        <v>#VALUE!</v>
      </c>
      <c r="H835" s="892" t="s">
        <v>6436</v>
      </c>
      <c r="S835" s="14"/>
      <c r="T835" s="14"/>
      <c r="U835" s="14"/>
      <c r="V835" s="14"/>
      <c r="W835" s="315"/>
      <c r="X835" s="14"/>
      <c r="Y835" s="42"/>
      <c r="Z835" s="42"/>
      <c r="AA835" s="42"/>
      <c r="AB835" s="42"/>
      <c r="AC835" s="42"/>
      <c r="AD835" s="42"/>
      <c r="AE835" s="42"/>
      <c r="AF835" s="42"/>
      <c r="AG835" s="42"/>
      <c r="AH835" s="42"/>
      <c r="AI835" s="42"/>
      <c r="AJ835" s="42"/>
      <c r="AK835" s="42"/>
      <c r="AL835" s="42"/>
      <c r="AM835" s="42"/>
      <c r="AN835" s="42"/>
      <c r="AO835" s="42"/>
      <c r="AP835" s="42"/>
      <c r="AQ835" s="42"/>
      <c r="AR835" s="42"/>
    </row>
    <row r="836" spans="1:44" ht="15.75" customHeight="1" x14ac:dyDescent="0.25">
      <c r="A836" s="917"/>
      <c r="C836" s="3935" t="s">
        <v>6435</v>
      </c>
      <c r="D836" s="15"/>
      <c r="E836" s="15"/>
      <c r="F836" s="15"/>
      <c r="G836" s="347">
        <f>ROW(703:703)</f>
        <v>703</v>
      </c>
      <c r="S836" s="14"/>
      <c r="T836" s="14"/>
      <c r="U836" s="14"/>
      <c r="V836" s="14"/>
      <c r="W836" s="315"/>
      <c r="X836" s="14"/>
      <c r="Y836" s="42"/>
      <c r="Z836" s="42"/>
      <c r="AA836" s="42"/>
      <c r="AB836" s="42"/>
      <c r="AC836" s="42"/>
      <c r="AD836" s="42"/>
      <c r="AE836" s="42"/>
      <c r="AF836" s="42"/>
      <c r="AG836" s="42"/>
      <c r="AH836" s="42"/>
      <c r="AI836" s="42"/>
      <c r="AJ836" s="42"/>
      <c r="AK836" s="42"/>
      <c r="AL836" s="42"/>
      <c r="AM836" s="42"/>
      <c r="AN836" s="42"/>
      <c r="AO836" s="42"/>
      <c r="AP836" s="42"/>
      <c r="AQ836" s="42"/>
      <c r="AR836" s="42"/>
    </row>
    <row r="837" spans="1:44" ht="15.75" customHeight="1" x14ac:dyDescent="0.25">
      <c r="A837" s="917"/>
      <c r="B837" s="1023" t="s">
        <v>1313</v>
      </c>
      <c r="C837" s="15"/>
      <c r="D837" s="15"/>
      <c r="E837" s="15"/>
      <c r="F837" s="15"/>
      <c r="J837" s="489"/>
      <c r="K837" s="332"/>
      <c r="S837" s="14"/>
      <c r="T837" s="14"/>
      <c r="U837" s="14"/>
      <c r="V837" s="14"/>
      <c r="W837" s="315"/>
      <c r="X837" s="14"/>
      <c r="Y837" s="42"/>
      <c r="Z837" s="42"/>
      <c r="AA837" s="42"/>
      <c r="AB837" s="42"/>
      <c r="AC837" s="42"/>
      <c r="AD837" s="42"/>
      <c r="AE837" s="42"/>
      <c r="AF837" s="42"/>
      <c r="AG837" s="42"/>
      <c r="AH837" s="42"/>
      <c r="AI837" s="42"/>
      <c r="AJ837" s="42"/>
      <c r="AK837" s="42"/>
      <c r="AL837" s="42"/>
      <c r="AM837" s="42"/>
      <c r="AN837" s="42"/>
      <c r="AO837" s="42"/>
      <c r="AP837" s="42"/>
      <c r="AQ837" s="42"/>
      <c r="AR837" s="42"/>
    </row>
    <row r="838" spans="1:44" ht="15.75" customHeight="1" x14ac:dyDescent="0.25">
      <c r="A838" s="1062"/>
      <c r="B838" s="1083" t="s">
        <v>237</v>
      </c>
      <c r="C838" s="57"/>
      <c r="D838" s="57"/>
      <c r="E838" s="57"/>
      <c r="F838" s="57"/>
      <c r="G838" s="6"/>
      <c r="H838" s="6"/>
      <c r="I838" s="6"/>
      <c r="J838" s="1082"/>
      <c r="K838" s="6"/>
      <c r="L838" s="6"/>
      <c r="M838" s="6"/>
      <c r="S838" s="14"/>
      <c r="T838" s="14"/>
      <c r="U838" s="14"/>
      <c r="V838" s="14"/>
      <c r="W838" s="315"/>
      <c r="X838" s="14"/>
      <c r="Y838" s="42"/>
      <c r="Z838" s="42"/>
      <c r="AA838" s="42"/>
      <c r="AB838" s="42"/>
      <c r="AC838" s="42"/>
      <c r="AD838" s="42"/>
      <c r="AE838" s="42"/>
      <c r="AF838" s="42"/>
      <c r="AG838" s="42"/>
      <c r="AH838" s="42"/>
      <c r="AI838" s="42"/>
      <c r="AJ838" s="42"/>
      <c r="AK838" s="42"/>
      <c r="AL838" s="42"/>
      <c r="AM838" s="42"/>
      <c r="AN838" s="42"/>
      <c r="AO838" s="42"/>
      <c r="AP838" s="42"/>
      <c r="AQ838" s="42"/>
      <c r="AR838" s="42"/>
    </row>
    <row r="839" spans="1:44" ht="15.75" customHeight="1" x14ac:dyDescent="0.25">
      <c r="A839" s="917"/>
      <c r="B839" s="1023"/>
      <c r="C839" s="850" t="s">
        <v>4585</v>
      </c>
      <c r="F839" s="308" t="str">
        <f>IF(K405=1,"КОМБАЙНОВАЯ","СТРУГОВАЯ")</f>
        <v>СТРУГОВАЯ</v>
      </c>
      <c r="J839" s="489"/>
      <c r="S839" s="14"/>
      <c r="T839" s="14"/>
      <c r="U839" s="14"/>
      <c r="V839" s="14"/>
      <c r="W839" s="315"/>
      <c r="X839" s="14"/>
      <c r="Y839" s="42"/>
      <c r="Z839" s="42"/>
      <c r="AA839" s="42"/>
      <c r="AB839" s="42"/>
      <c r="AC839" s="42"/>
      <c r="AD839" s="42"/>
      <c r="AE839" s="42"/>
      <c r="AF839" s="42"/>
      <c r="AG839" s="42"/>
      <c r="AH839" s="42"/>
      <c r="AI839" s="42"/>
      <c r="AJ839" s="42"/>
      <c r="AK839" s="42"/>
      <c r="AL839" s="42"/>
      <c r="AM839" s="42"/>
      <c r="AN839" s="42"/>
      <c r="AO839" s="42"/>
      <c r="AP839" s="42"/>
      <c r="AQ839" s="42"/>
      <c r="AR839" s="42"/>
    </row>
    <row r="840" spans="1:44" ht="15.75" customHeight="1" x14ac:dyDescent="0.25">
      <c r="A840" s="917"/>
      <c r="B840" s="1023"/>
      <c r="D840" s="15"/>
      <c r="E840" s="15"/>
      <c r="F840" s="15"/>
      <c r="J840" s="489"/>
      <c r="S840" s="14"/>
      <c r="T840" s="14"/>
      <c r="U840" s="14"/>
      <c r="V840" s="14"/>
      <c r="W840" s="315"/>
      <c r="X840" s="14"/>
      <c r="Y840" s="42"/>
      <c r="Z840" s="42"/>
      <c r="AA840" s="42"/>
      <c r="AB840" s="42"/>
      <c r="AC840" s="42"/>
      <c r="AD840" s="42"/>
      <c r="AE840" s="42"/>
      <c r="AF840" s="42"/>
      <c r="AG840" s="42"/>
      <c r="AH840" s="42"/>
      <c r="AI840" s="42"/>
      <c r="AJ840" s="42"/>
      <c r="AK840" s="42"/>
      <c r="AL840" s="42"/>
      <c r="AM840" s="42"/>
      <c r="AN840" s="42"/>
      <c r="AO840" s="42"/>
      <c r="AP840" s="42"/>
      <c r="AQ840" s="42"/>
      <c r="AR840" s="42"/>
    </row>
    <row r="841" spans="1:44" ht="15.75" customHeight="1" x14ac:dyDescent="0.25">
      <c r="A841" s="917"/>
      <c r="B841" s="1023"/>
      <c r="C841" s="15"/>
      <c r="D841" s="15"/>
      <c r="E841" s="15"/>
      <c r="F841" s="15"/>
      <c r="H841" s="1284" t="str">
        <f>IF(K405=1,"Комбайн","")</f>
        <v/>
      </c>
      <c r="I841" s="1284" t="str">
        <f>IF(K405=2,"Струг","")</f>
        <v/>
      </c>
      <c r="J841" s="489"/>
      <c r="S841" s="14"/>
      <c r="T841" s="14"/>
      <c r="U841" s="14"/>
      <c r="V841" s="14"/>
      <c r="W841" s="315"/>
      <c r="X841" s="14"/>
      <c r="Y841" s="42"/>
      <c r="Z841" s="42"/>
      <c r="AA841" s="42"/>
      <c r="AB841" s="42"/>
      <c r="AC841" s="42"/>
      <c r="AD841" s="42"/>
      <c r="AE841" s="42"/>
      <c r="AF841" s="42"/>
      <c r="AG841" s="42"/>
      <c r="AH841" s="42"/>
      <c r="AI841" s="42"/>
      <c r="AJ841" s="42"/>
      <c r="AK841" s="42"/>
      <c r="AL841" s="42"/>
      <c r="AM841" s="42"/>
      <c r="AN841" s="42"/>
      <c r="AO841" s="42"/>
      <c r="AP841" s="42"/>
      <c r="AQ841" s="42"/>
      <c r="AR841" s="42"/>
    </row>
    <row r="842" spans="1:44" ht="15.75" customHeight="1" x14ac:dyDescent="0.25">
      <c r="A842" s="917"/>
      <c r="B842" s="1048" t="s">
        <v>238</v>
      </c>
      <c r="D842" s="15"/>
      <c r="E842" s="15"/>
      <c r="H842" s="1049" t="str">
        <f>IF(K405=1,F797,"")</f>
        <v/>
      </c>
      <c r="I842" s="1284" t="str">
        <f>IF(K405=2,M797,"")</f>
        <v/>
      </c>
      <c r="J842" s="489"/>
      <c r="S842" s="14"/>
      <c r="T842" s="14"/>
      <c r="U842" s="14"/>
      <c r="V842" s="14"/>
      <c r="W842" s="315"/>
      <c r="X842" s="14"/>
      <c r="Y842" s="42"/>
      <c r="Z842" s="42"/>
      <c r="AA842" s="42"/>
      <c r="AB842" s="42"/>
      <c r="AC842" s="42"/>
      <c r="AD842" s="42"/>
      <c r="AE842" s="42"/>
      <c r="AF842" s="42"/>
      <c r="AG842" s="42"/>
      <c r="AH842" s="42"/>
      <c r="AI842" s="42"/>
      <c r="AJ842" s="42"/>
      <c r="AK842" s="42"/>
      <c r="AL842" s="42"/>
      <c r="AM842" s="42"/>
      <c r="AN842" s="42"/>
      <c r="AO842" s="42"/>
      <c r="AP842" s="42"/>
      <c r="AQ842" s="42"/>
      <c r="AR842" s="42"/>
    </row>
    <row r="843" spans="1:44" ht="15.75" customHeight="1" x14ac:dyDescent="0.25">
      <c r="A843" s="917"/>
      <c r="B843" s="1048" t="s">
        <v>239</v>
      </c>
      <c r="D843" s="15"/>
      <c r="E843" s="15"/>
      <c r="H843" s="1049" t="str">
        <f>IF(K405=1,IF(F824=1,"ОКУ","СПУТНИК"),"")</f>
        <v/>
      </c>
      <c r="I843" s="1284" t="str">
        <f>IF(K405=2,IF(F824=1,"ОКУ","СПУТНИК"),"")</f>
        <v/>
      </c>
      <c r="J843" s="489"/>
      <c r="S843" s="14"/>
      <c r="T843" s="14"/>
      <c r="U843" s="14"/>
      <c r="V843" s="14"/>
      <c r="W843" s="315"/>
      <c r="X843" s="14"/>
      <c r="Y843" s="42"/>
      <c r="Z843" s="42"/>
      <c r="AA843" s="42"/>
      <c r="AB843" s="42"/>
      <c r="AC843" s="42"/>
      <c r="AD843" s="42"/>
      <c r="AE843" s="42"/>
      <c r="AF843" s="42"/>
      <c r="AG843" s="42"/>
      <c r="AH843" s="42"/>
      <c r="AI843" s="42"/>
      <c r="AJ843" s="42"/>
      <c r="AK843" s="42"/>
      <c r="AL843" s="42"/>
      <c r="AM843" s="42"/>
      <c r="AN843" s="42"/>
      <c r="AO843" s="42"/>
      <c r="AP843" s="42"/>
      <c r="AQ843" s="42"/>
      <c r="AR843" s="42"/>
    </row>
    <row r="844" spans="1:44" ht="15.75" customHeight="1" x14ac:dyDescent="0.25">
      <c r="A844" s="917"/>
      <c r="B844" s="1048" t="s">
        <v>240</v>
      </c>
      <c r="D844" s="15"/>
      <c r="E844" s="15"/>
      <c r="F844" s="15"/>
      <c r="H844" s="819" t="str">
        <f>IF(K405=1,H833,"")</f>
        <v/>
      </c>
      <c r="I844" s="1284" t="str">
        <f>IF(K405=2,H833,"")</f>
        <v/>
      </c>
      <c r="J844" s="489"/>
      <c r="S844" s="14"/>
      <c r="T844" s="14"/>
      <c r="U844" s="14"/>
      <c r="V844" s="14"/>
      <c r="W844" s="315"/>
      <c r="X844" s="14"/>
      <c r="Y844" s="42"/>
      <c r="Z844" s="42"/>
      <c r="AA844" s="42"/>
      <c r="AB844" s="42"/>
      <c r="AC844" s="42"/>
      <c r="AD844" s="42"/>
      <c r="AE844" s="42"/>
      <c r="AF844" s="42"/>
      <c r="AG844" s="42"/>
      <c r="AH844" s="42"/>
      <c r="AI844" s="42"/>
      <c r="AJ844" s="42"/>
      <c r="AK844" s="42"/>
      <c r="AL844" s="42"/>
      <c r="AM844" s="42"/>
      <c r="AN844" s="42"/>
      <c r="AO844" s="42"/>
      <c r="AP844" s="42"/>
      <c r="AQ844" s="42"/>
      <c r="AR844" s="42"/>
    </row>
    <row r="845" spans="1:44" ht="15.75" customHeight="1" x14ac:dyDescent="0.25">
      <c r="A845" s="917"/>
      <c r="B845" s="1048" t="s">
        <v>241</v>
      </c>
      <c r="D845" s="15"/>
      <c r="E845" s="15"/>
      <c r="F845" s="15"/>
      <c r="H845" s="819" t="str">
        <f>IF(K405=1,K837,"")</f>
        <v/>
      </c>
      <c r="I845" s="1284" t="str">
        <f>IF(K405=2,K837,"")</f>
        <v/>
      </c>
      <c r="J845" s="489"/>
      <c r="S845" s="14"/>
      <c r="T845" s="14"/>
      <c r="U845" s="14"/>
      <c r="V845" s="14"/>
      <c r="W845" s="315"/>
      <c r="X845" s="14"/>
      <c r="Y845" s="42"/>
      <c r="Z845" s="42"/>
      <c r="AA845" s="42"/>
      <c r="AB845" s="42"/>
      <c r="AC845" s="42"/>
      <c r="AD845" s="42"/>
      <c r="AE845" s="42"/>
      <c r="AF845" s="42"/>
      <c r="AG845" s="42"/>
      <c r="AH845" s="42"/>
      <c r="AI845" s="42"/>
      <c r="AJ845" s="42"/>
      <c r="AK845" s="42"/>
      <c r="AL845" s="42"/>
      <c r="AM845" s="42"/>
      <c r="AN845" s="42"/>
      <c r="AO845" s="42"/>
      <c r="AP845" s="42"/>
      <c r="AQ845" s="42"/>
      <c r="AR845" s="42"/>
    </row>
    <row r="846" spans="1:44" ht="15.75" customHeight="1" x14ac:dyDescent="0.25">
      <c r="A846" s="917"/>
      <c r="B846" s="1048" t="s">
        <v>242</v>
      </c>
      <c r="D846" s="15"/>
      <c r="E846" s="15"/>
      <c r="F846" s="15"/>
      <c r="H846" s="819" t="str">
        <f>IF(K405=1,E732,"")</f>
        <v/>
      </c>
      <c r="I846" s="1284" t="str">
        <f>IF(K405=2,L732,"")</f>
        <v/>
      </c>
      <c r="J846" s="489"/>
      <c r="S846" s="14"/>
      <c r="T846" s="14"/>
      <c r="U846" s="14"/>
      <c r="V846" s="14"/>
      <c r="W846" s="315"/>
      <c r="X846" s="14"/>
      <c r="Y846" s="42"/>
      <c r="Z846" s="42"/>
      <c r="AA846" s="42"/>
      <c r="AB846" s="42"/>
      <c r="AC846" s="42"/>
      <c r="AD846" s="42"/>
      <c r="AE846" s="42"/>
      <c r="AF846" s="42"/>
      <c r="AG846" s="42"/>
      <c r="AH846" s="42"/>
      <c r="AI846" s="42"/>
      <c r="AJ846" s="42"/>
      <c r="AK846" s="42"/>
      <c r="AL846" s="42"/>
      <c r="AM846" s="42"/>
      <c r="AN846" s="42"/>
      <c r="AO846" s="42"/>
      <c r="AP846" s="42"/>
      <c r="AQ846" s="42"/>
      <c r="AR846" s="42"/>
    </row>
    <row r="847" spans="1:44" ht="15.75" customHeight="1" x14ac:dyDescent="0.25">
      <c r="A847" s="917"/>
      <c r="B847" s="1048"/>
      <c r="D847" s="15"/>
      <c r="E847" s="15"/>
      <c r="F847" s="15"/>
      <c r="H847" s="1122"/>
      <c r="J847" s="489"/>
      <c r="S847" s="14"/>
      <c r="T847" s="14"/>
      <c r="U847" s="14"/>
      <c r="V847" s="14"/>
      <c r="W847" s="315"/>
      <c r="X847" s="14"/>
      <c r="Y847" s="42"/>
      <c r="Z847" s="42"/>
      <c r="AA847" s="42"/>
      <c r="AB847" s="42"/>
      <c r="AC847" s="42"/>
      <c r="AD847" s="42"/>
      <c r="AE847" s="42"/>
      <c r="AF847" s="42"/>
      <c r="AG847" s="42"/>
      <c r="AH847" s="42"/>
      <c r="AI847" s="42"/>
      <c r="AJ847" s="42"/>
      <c r="AK847" s="42"/>
      <c r="AL847" s="42"/>
      <c r="AM847" s="42"/>
      <c r="AN847" s="42"/>
      <c r="AO847" s="42"/>
      <c r="AP847" s="42"/>
      <c r="AQ847" s="42"/>
      <c r="AR847" s="42"/>
    </row>
    <row r="848" spans="1:44" ht="15.75" customHeight="1" x14ac:dyDescent="0.25">
      <c r="A848" s="917"/>
      <c r="B848" s="1265" t="s">
        <v>4229</v>
      </c>
      <c r="C848" s="321"/>
      <c r="D848" s="696"/>
      <c r="E848" s="696"/>
      <c r="F848" s="4018">
        <f>ROW(884:884)</f>
        <v>884</v>
      </c>
      <c r="H848" s="1122"/>
      <c r="J848" s="489"/>
      <c r="S848" s="14"/>
      <c r="T848" s="14"/>
      <c r="U848" s="14"/>
      <c r="V848" s="14"/>
      <c r="W848" s="315"/>
      <c r="X848" s="14"/>
      <c r="Y848" s="42"/>
      <c r="Z848" s="42"/>
      <c r="AA848" s="42"/>
      <c r="AB848" s="42"/>
      <c r="AC848" s="42"/>
      <c r="AD848" s="42"/>
      <c r="AE848" s="42"/>
      <c r="AF848" s="42"/>
      <c r="AG848" s="42"/>
      <c r="AH848" s="42"/>
      <c r="AI848" s="42"/>
      <c r="AJ848" s="42"/>
      <c r="AK848" s="42"/>
      <c r="AL848" s="42"/>
      <c r="AM848" s="42"/>
      <c r="AN848" s="42"/>
      <c r="AO848" s="42"/>
      <c r="AP848" s="42"/>
      <c r="AQ848" s="42"/>
      <c r="AR848" s="42"/>
    </row>
    <row r="849" spans="1:44" ht="15.75" customHeight="1" x14ac:dyDescent="0.25">
      <c r="A849" s="917"/>
      <c r="B849" s="1023"/>
      <c r="C849" s="15"/>
      <c r="D849" s="15"/>
      <c r="E849" s="15"/>
      <c r="F849" s="15"/>
      <c r="J849" s="489"/>
      <c r="S849" s="14"/>
      <c r="T849" s="14"/>
      <c r="U849" s="14"/>
      <c r="V849" s="14"/>
      <c r="W849" s="315"/>
      <c r="X849" s="14"/>
      <c r="Y849" s="42"/>
      <c r="Z849" s="42"/>
      <c r="AA849" s="42"/>
      <c r="AB849" s="42"/>
      <c r="AC849" s="42"/>
      <c r="AD849" s="42"/>
      <c r="AE849" s="42"/>
      <c r="AF849" s="42"/>
      <c r="AG849" s="42"/>
      <c r="AH849" s="42"/>
      <c r="AI849" s="42"/>
      <c r="AJ849" s="42"/>
      <c r="AK849" s="42"/>
      <c r="AL849" s="42"/>
      <c r="AM849" s="42"/>
      <c r="AN849" s="42"/>
      <c r="AO849" s="42"/>
      <c r="AP849" s="42"/>
      <c r="AQ849" s="42"/>
      <c r="AR849" s="42"/>
    </row>
    <row r="850" spans="1:44" ht="15.75" customHeight="1" x14ac:dyDescent="0.25">
      <c r="A850" s="917"/>
      <c r="B850" s="1023"/>
      <c r="C850" s="15"/>
      <c r="D850" s="15"/>
      <c r="E850" s="15"/>
      <c r="F850" s="15"/>
      <c r="J850" s="489"/>
      <c r="S850" s="14"/>
      <c r="T850" s="14"/>
      <c r="U850" s="14"/>
      <c r="V850" s="14"/>
      <c r="W850" s="315"/>
      <c r="X850" s="14"/>
      <c r="Y850" s="42"/>
      <c r="Z850" s="42"/>
      <c r="AA850" s="42"/>
      <c r="AB850" s="42"/>
      <c r="AC850" s="42"/>
      <c r="AD850" s="42"/>
      <c r="AE850" s="42"/>
      <c r="AF850" s="42"/>
      <c r="AG850" s="42"/>
      <c r="AH850" s="42"/>
      <c r="AI850" s="42"/>
      <c r="AJ850" s="42"/>
      <c r="AK850" s="42"/>
      <c r="AL850" s="42"/>
      <c r="AM850" s="42"/>
      <c r="AN850" s="42"/>
      <c r="AO850" s="42"/>
      <c r="AP850" s="42"/>
      <c r="AQ850" s="42"/>
      <c r="AR850" s="42"/>
    </row>
    <row r="851" spans="1:44" ht="15.75" customHeight="1" x14ac:dyDescent="0.3">
      <c r="A851" s="1062"/>
      <c r="B851" s="1063" t="s">
        <v>3805</v>
      </c>
      <c r="C851" s="1064"/>
      <c r="D851" s="1064"/>
      <c r="E851" s="1064"/>
      <c r="F851" s="1064"/>
      <c r="G851" s="1065"/>
      <c r="H851" s="1065"/>
      <c r="I851" s="1065"/>
      <c r="J851" s="1066"/>
      <c r="K851" s="1065"/>
      <c r="L851" s="1065"/>
      <c r="S851" s="14"/>
      <c r="T851" s="14"/>
      <c r="U851" s="14"/>
      <c r="V851" s="14"/>
      <c r="W851" s="315"/>
      <c r="X851" s="14"/>
      <c r="Y851" s="42"/>
      <c r="Z851" s="42"/>
      <c r="AA851" s="42"/>
      <c r="AB851" s="42"/>
      <c r="AC851" s="42"/>
      <c r="AD851" s="42"/>
      <c r="AE851" s="42"/>
      <c r="AF851" s="42"/>
      <c r="AG851" s="42"/>
      <c r="AH851" s="42"/>
      <c r="AI851" s="42"/>
      <c r="AJ851" s="42"/>
      <c r="AK851" s="42"/>
      <c r="AL851" s="42"/>
      <c r="AM851" s="42"/>
      <c r="AN851" s="42"/>
      <c r="AO851" s="42"/>
      <c r="AP851" s="42"/>
      <c r="AQ851" s="42"/>
      <c r="AR851" s="42"/>
    </row>
    <row r="852" spans="1:44" ht="15.75" customHeight="1" x14ac:dyDescent="0.25">
      <c r="A852" s="917"/>
      <c r="B852" s="1023"/>
      <c r="C852" s="15"/>
      <c r="D852" s="15"/>
      <c r="E852" s="15"/>
      <c r="F852" s="15"/>
      <c r="J852" s="489"/>
      <c r="S852" s="14"/>
      <c r="T852" s="14"/>
      <c r="U852" s="14"/>
      <c r="V852" s="14"/>
      <c r="W852" s="315"/>
      <c r="X852" s="14"/>
      <c r="Y852" s="42"/>
      <c r="Z852" s="42"/>
      <c r="AA852" s="42"/>
      <c r="AB852" s="42"/>
      <c r="AC852" s="42"/>
      <c r="AD852" s="42"/>
      <c r="AE852" s="42"/>
      <c r="AF852" s="42"/>
      <c r="AG852" s="42"/>
      <c r="AH852" s="42"/>
      <c r="AI852" s="42"/>
      <c r="AJ852" s="42"/>
      <c r="AK852" s="42"/>
      <c r="AL852" s="42"/>
      <c r="AM852" s="42"/>
      <c r="AN852" s="42"/>
      <c r="AO852" s="42"/>
      <c r="AP852" s="42"/>
      <c r="AQ852" s="42"/>
      <c r="AR852" s="42"/>
    </row>
    <row r="853" spans="1:44" ht="15.75" customHeight="1" x14ac:dyDescent="0.25">
      <c r="A853" s="917" t="s">
        <v>3323</v>
      </c>
      <c r="B853" s="1023"/>
      <c r="C853" s="15"/>
      <c r="D853" s="15"/>
      <c r="E853" s="15"/>
      <c r="F853" s="15"/>
      <c r="J853" s="489"/>
      <c r="S853" s="14"/>
      <c r="T853" s="14"/>
      <c r="U853" s="14"/>
      <c r="V853" s="14"/>
      <c r="W853" s="315"/>
      <c r="X853" s="14"/>
      <c r="Y853" s="42"/>
      <c r="Z853" s="42"/>
      <c r="AA853" s="42"/>
      <c r="AB853" s="42"/>
      <c r="AC853" s="42"/>
      <c r="AD853" s="42"/>
      <c r="AE853" s="42"/>
      <c r="AF853" s="42"/>
      <c r="AG853" s="42"/>
      <c r="AH853" s="42"/>
      <c r="AI853" s="42"/>
      <c r="AJ853" s="42"/>
      <c r="AK853" s="42"/>
      <c r="AL853" s="42"/>
      <c r="AM853" s="42"/>
      <c r="AN853" s="42"/>
      <c r="AO853" s="42"/>
      <c r="AP853" s="42"/>
      <c r="AQ853" s="42"/>
      <c r="AR853" s="42"/>
    </row>
    <row r="854" spans="1:44" ht="15.75" customHeight="1" x14ac:dyDescent="0.25">
      <c r="A854" s="917" t="s">
        <v>3148</v>
      </c>
      <c r="B854" s="1023"/>
      <c r="C854" s="15"/>
      <c r="D854" s="15"/>
      <c r="E854" s="15"/>
      <c r="F854" s="15"/>
      <c r="J854" s="489"/>
      <c r="S854" s="14"/>
      <c r="T854" s="14"/>
      <c r="U854" s="14"/>
      <c r="V854" s="14"/>
      <c r="W854" s="315"/>
      <c r="X854" s="14"/>
      <c r="Y854" s="42"/>
      <c r="Z854" s="42"/>
      <c r="AA854" s="42"/>
      <c r="AB854" s="42"/>
      <c r="AC854" s="42"/>
      <c r="AD854" s="42"/>
      <c r="AE854" s="42"/>
      <c r="AF854" s="42"/>
      <c r="AG854" s="42"/>
      <c r="AH854" s="42"/>
      <c r="AI854" s="42"/>
      <c r="AJ854" s="42"/>
      <c r="AK854" s="42"/>
      <c r="AL854" s="42"/>
      <c r="AM854" s="42"/>
      <c r="AN854" s="42"/>
      <c r="AO854" s="42"/>
      <c r="AP854" s="42"/>
      <c r="AQ854" s="42"/>
      <c r="AR854" s="42"/>
    </row>
    <row r="855" spans="1:44" ht="15.75" customHeight="1" x14ac:dyDescent="0.25">
      <c r="A855" s="917" t="s">
        <v>3324</v>
      </c>
      <c r="B855" s="1023"/>
      <c r="C855" s="15"/>
      <c r="D855" s="15"/>
      <c r="E855" s="15"/>
      <c r="F855" s="15"/>
      <c r="J855" s="489"/>
      <c r="S855" s="14"/>
      <c r="T855" s="14"/>
      <c r="U855" s="14"/>
      <c r="V855" s="14"/>
      <c r="W855" s="315"/>
      <c r="X855" s="14"/>
      <c r="Y855" s="42"/>
      <c r="Z855" s="42"/>
      <c r="AA855" s="42"/>
      <c r="AB855" s="42"/>
      <c r="AC855" s="42"/>
      <c r="AD855" s="42"/>
      <c r="AE855" s="42"/>
      <c r="AF855" s="42"/>
      <c r="AG855" s="42"/>
      <c r="AH855" s="42"/>
      <c r="AI855" s="42"/>
      <c r="AJ855" s="42"/>
      <c r="AK855" s="42"/>
      <c r="AL855" s="42"/>
      <c r="AM855" s="42"/>
      <c r="AN855" s="42"/>
      <c r="AO855" s="42"/>
      <c r="AP855" s="42"/>
      <c r="AQ855" s="42"/>
      <c r="AR855" s="42"/>
    </row>
    <row r="856" spans="1:44" ht="15.75" customHeight="1" x14ac:dyDescent="0.25">
      <c r="A856" s="917" t="s">
        <v>3325</v>
      </c>
      <c r="B856" s="1023"/>
      <c r="C856" s="15"/>
      <c r="D856" s="15"/>
      <c r="E856" s="15"/>
      <c r="F856" s="15"/>
      <c r="J856" s="489"/>
      <c r="S856" s="14"/>
      <c r="T856" s="14"/>
      <c r="U856" s="14"/>
      <c r="V856" s="14"/>
      <c r="W856" s="315"/>
      <c r="X856" s="14"/>
      <c r="Y856" s="42"/>
      <c r="Z856" s="42"/>
      <c r="AA856" s="42"/>
      <c r="AB856" s="42"/>
      <c r="AC856" s="42"/>
      <c r="AD856" s="42"/>
      <c r="AE856" s="42"/>
      <c r="AF856" s="42"/>
      <c r="AG856" s="42"/>
      <c r="AH856" s="42"/>
      <c r="AI856" s="42"/>
      <c r="AJ856" s="42"/>
      <c r="AK856" s="42"/>
      <c r="AL856" s="42"/>
      <c r="AM856" s="42"/>
      <c r="AN856" s="42"/>
      <c r="AO856" s="42"/>
      <c r="AP856" s="42"/>
      <c r="AQ856" s="42"/>
      <c r="AR856" s="42"/>
    </row>
    <row r="857" spans="1:44" ht="15.75" customHeight="1" x14ac:dyDescent="0.25">
      <c r="A857" s="1085" t="str">
        <f>IF(G379=1,"Внимание! Ранее Вами принят комбайн с шириной захвата, м","")</f>
        <v/>
      </c>
      <c r="B857" s="1023"/>
      <c r="C857" s="15"/>
      <c r="D857" s="15"/>
      <c r="E857" s="1084">
        <f>H390</f>
        <v>0</v>
      </c>
      <c r="F857" s="15"/>
      <c r="J857" s="489"/>
      <c r="S857" s="14"/>
      <c r="T857" s="14"/>
      <c r="U857" s="14"/>
      <c r="V857" s="14"/>
      <c r="W857" s="315"/>
      <c r="X857" s="14"/>
      <c r="Y857" s="2995"/>
      <c r="Z857" s="2995"/>
      <c r="AA857" s="2995"/>
      <c r="AB857" s="2995"/>
      <c r="AC857" s="2995"/>
      <c r="AD857" s="2995"/>
      <c r="AE857" s="2995"/>
      <c r="AF857" s="2995"/>
      <c r="AG857" s="2995"/>
      <c r="AH857" s="2995"/>
      <c r="AI857" s="2995"/>
      <c r="AJ857" s="2995"/>
      <c r="AK857" s="2995"/>
      <c r="AL857" s="2995"/>
      <c r="AM857" s="2995"/>
      <c r="AN857" s="2995"/>
      <c r="AO857" s="2995"/>
      <c r="AP857" s="2995"/>
      <c r="AQ857" s="2995"/>
      <c r="AR857" s="2995"/>
    </row>
    <row r="858" spans="1:44" ht="15.75" customHeight="1" x14ac:dyDescent="0.25">
      <c r="A858" s="917" t="s">
        <v>1013</v>
      </c>
      <c r="B858" s="1023"/>
      <c r="C858" s="15"/>
      <c r="D858" s="15"/>
      <c r="E858" s="15"/>
      <c r="F858" s="15"/>
      <c r="J858" s="489"/>
      <c r="S858" s="14"/>
      <c r="T858" s="14"/>
      <c r="U858" s="14"/>
      <c r="V858" s="14"/>
      <c r="W858" s="315"/>
      <c r="X858" s="14"/>
      <c r="Y858" s="42"/>
      <c r="Z858" s="42"/>
      <c r="AA858" s="42"/>
      <c r="AB858" s="42"/>
      <c r="AC858" s="42"/>
      <c r="AD858" s="42"/>
      <c r="AE858" s="42"/>
      <c r="AF858" s="42"/>
      <c r="AG858" s="42"/>
      <c r="AH858" s="42"/>
      <c r="AI858" s="42"/>
      <c r="AJ858" s="42"/>
      <c r="AK858" s="42"/>
      <c r="AL858" s="42"/>
      <c r="AM858" s="42"/>
      <c r="AN858" s="42"/>
      <c r="AO858" s="42"/>
      <c r="AP858" s="42"/>
      <c r="AQ858" s="42"/>
      <c r="AR858" s="42"/>
    </row>
    <row r="859" spans="1:44" ht="15.75" customHeight="1" x14ac:dyDescent="0.25">
      <c r="A859" s="850" t="s">
        <v>3326</v>
      </c>
      <c r="B859" s="1023"/>
      <c r="C859" s="15"/>
      <c r="D859" s="15"/>
      <c r="E859" s="15"/>
      <c r="F859" s="994" t="s">
        <v>1014</v>
      </c>
      <c r="S859" s="14"/>
      <c r="T859" s="14"/>
      <c r="U859" s="14"/>
      <c r="V859" s="14"/>
      <c r="W859" s="315"/>
      <c r="X859" s="14"/>
      <c r="Y859" s="42"/>
      <c r="Z859" s="42"/>
      <c r="AA859" s="42"/>
      <c r="AB859" s="42"/>
      <c r="AC859" s="42"/>
      <c r="AD859" s="42"/>
      <c r="AE859" s="42"/>
      <c r="AF859" s="42"/>
      <c r="AG859" s="42"/>
      <c r="AH859" s="42"/>
      <c r="AI859" s="42"/>
      <c r="AJ859" s="42"/>
      <c r="AK859" s="42"/>
      <c r="AL859" s="42"/>
      <c r="AM859" s="42"/>
      <c r="AN859" s="42"/>
      <c r="AO859" s="42"/>
      <c r="AP859" s="42"/>
      <c r="AQ859" s="42"/>
      <c r="AR859" s="42"/>
    </row>
    <row r="860" spans="1:44" ht="47.25" customHeight="1" x14ac:dyDescent="0.25">
      <c r="A860" s="1067" t="s">
        <v>1816</v>
      </c>
      <c r="B860" s="874" t="s">
        <v>1817</v>
      </c>
      <c r="C860" s="874" t="s">
        <v>1818</v>
      </c>
      <c r="D860" s="15"/>
      <c r="E860" s="15"/>
      <c r="F860" s="874" t="s">
        <v>1016</v>
      </c>
      <c r="G860" s="1068" t="s">
        <v>595</v>
      </c>
      <c r="H860" s="1068" t="s">
        <v>1015</v>
      </c>
      <c r="J860" s="489"/>
      <c r="S860" s="14"/>
      <c r="T860" s="14"/>
      <c r="U860" s="14"/>
      <c r="V860" s="14"/>
      <c r="W860" s="315"/>
      <c r="X860" s="14"/>
      <c r="Y860" s="42"/>
      <c r="Z860" s="42"/>
      <c r="AA860" s="42"/>
      <c r="AB860" s="42"/>
      <c r="AC860" s="42"/>
      <c r="AD860" s="42"/>
      <c r="AE860" s="42"/>
      <c r="AF860" s="42"/>
      <c r="AG860" s="42"/>
      <c r="AH860" s="42"/>
      <c r="AI860" s="42"/>
      <c r="AJ860" s="42"/>
      <c r="AK860" s="42"/>
      <c r="AL860" s="42"/>
      <c r="AM860" s="42"/>
      <c r="AN860" s="42"/>
      <c r="AO860" s="42"/>
      <c r="AP860" s="42"/>
      <c r="AQ860" s="42"/>
      <c r="AR860" s="42"/>
    </row>
    <row r="861" spans="1:44" ht="15.75" customHeight="1" x14ac:dyDescent="0.2">
      <c r="A861" s="929" t="s">
        <v>5007</v>
      </c>
      <c r="B861" s="927">
        <v>500</v>
      </c>
      <c r="C861" s="927">
        <v>650</v>
      </c>
      <c r="D861" s="15"/>
      <c r="E861" s="15"/>
      <c r="F861" s="895" t="s">
        <v>2807</v>
      </c>
      <c r="G861" s="977">
        <v>0.8</v>
      </c>
      <c r="H861" s="923">
        <v>80</v>
      </c>
      <c r="J861" s="489"/>
      <c r="S861" s="14"/>
      <c r="T861" s="14"/>
      <c r="U861" s="14"/>
      <c r="V861" s="14"/>
      <c r="W861" s="315"/>
      <c r="X861" s="14"/>
      <c r="Y861" s="42"/>
      <c r="Z861" s="42"/>
      <c r="AA861" s="42"/>
      <c r="AB861" s="42"/>
      <c r="AC861" s="42"/>
      <c r="AD861" s="42"/>
      <c r="AE861" s="42"/>
      <c r="AF861" s="42"/>
      <c r="AG861" s="42"/>
      <c r="AH861" s="42"/>
      <c r="AI861" s="42"/>
      <c r="AJ861" s="42"/>
      <c r="AK861" s="42"/>
      <c r="AL861" s="42"/>
      <c r="AM861" s="42"/>
      <c r="AN861" s="42"/>
      <c r="AO861" s="42"/>
      <c r="AP861" s="42"/>
      <c r="AQ861" s="42"/>
      <c r="AR861" s="42"/>
    </row>
    <row r="862" spans="1:44" ht="15.75" customHeight="1" x14ac:dyDescent="0.2">
      <c r="A862" s="929" t="s">
        <v>5008</v>
      </c>
      <c r="B862" s="927">
        <v>560</v>
      </c>
      <c r="C862" s="927">
        <v>800</v>
      </c>
      <c r="D862" s="15"/>
      <c r="E862" s="15"/>
      <c r="F862" s="895" t="s">
        <v>2808</v>
      </c>
      <c r="G862" s="977">
        <v>1</v>
      </c>
      <c r="H862" s="923">
        <v>80</v>
      </c>
      <c r="J862" s="489"/>
      <c r="S862" s="14"/>
      <c r="T862" s="14"/>
      <c r="U862" s="14"/>
      <c r="V862" s="14"/>
      <c r="W862" s="315"/>
      <c r="X862" s="14"/>
      <c r="Y862" s="42"/>
      <c r="Z862" s="42"/>
      <c r="AA862" s="42"/>
      <c r="AB862" s="42"/>
      <c r="AC862" s="42"/>
      <c r="AD862" s="42"/>
      <c r="AE862" s="42"/>
      <c r="AF862" s="42"/>
      <c r="AG862" s="42"/>
      <c r="AH862" s="42"/>
      <c r="AI862" s="42"/>
      <c r="AJ862" s="42"/>
      <c r="AK862" s="42"/>
      <c r="AL862" s="42"/>
      <c r="AM862" s="42"/>
      <c r="AN862" s="42"/>
      <c r="AO862" s="42"/>
      <c r="AP862" s="42"/>
      <c r="AQ862" s="42"/>
      <c r="AR862" s="42"/>
    </row>
    <row r="863" spans="1:44" ht="15.75" customHeight="1" x14ac:dyDescent="0.2">
      <c r="A863" s="929" t="s">
        <v>5009</v>
      </c>
      <c r="B863" s="927">
        <v>630</v>
      </c>
      <c r="C863" s="927">
        <v>900</v>
      </c>
      <c r="D863" s="15"/>
      <c r="E863" s="15"/>
      <c r="F863" s="895" t="s">
        <v>2809</v>
      </c>
      <c r="G863" s="977">
        <v>1.26</v>
      </c>
      <c r="H863" s="923">
        <v>80</v>
      </c>
      <c r="J863" s="489"/>
      <c r="S863" s="14"/>
      <c r="T863" s="14"/>
      <c r="U863" s="14"/>
      <c r="V863" s="14"/>
      <c r="W863" s="315"/>
      <c r="X863" s="14"/>
      <c r="Y863" s="42"/>
      <c r="Z863" s="42"/>
      <c r="AA863" s="42"/>
      <c r="AB863" s="42"/>
      <c r="AC863" s="42"/>
      <c r="AD863" s="42"/>
      <c r="AE863" s="42"/>
      <c r="AF863" s="42"/>
      <c r="AG863" s="42"/>
      <c r="AH863" s="42"/>
      <c r="AI863" s="42"/>
      <c r="AJ863" s="42"/>
      <c r="AK863" s="42"/>
      <c r="AL863" s="42"/>
      <c r="AM863" s="42"/>
      <c r="AN863" s="42"/>
      <c r="AO863" s="42"/>
      <c r="AP863" s="42"/>
      <c r="AQ863" s="42"/>
      <c r="AR863" s="42"/>
    </row>
    <row r="864" spans="1:44" ht="15.75" customHeight="1" x14ac:dyDescent="0.2">
      <c r="A864" s="929" t="s">
        <v>5010</v>
      </c>
      <c r="B864" s="927">
        <v>710</v>
      </c>
      <c r="C864" s="927">
        <v>1000</v>
      </c>
      <c r="D864" s="15"/>
      <c r="E864" s="15"/>
      <c r="F864" s="15"/>
      <c r="J864" s="489"/>
      <c r="S864" s="14"/>
      <c r="T864" s="14"/>
      <c r="U864" s="14"/>
      <c r="V864" s="14"/>
      <c r="W864" s="315"/>
      <c r="X864" s="14"/>
      <c r="Y864" s="42"/>
      <c r="Z864" s="42"/>
      <c r="AA864" s="42"/>
      <c r="AB864" s="42"/>
      <c r="AC864" s="42"/>
      <c r="AD864" s="42"/>
      <c r="AE864" s="42"/>
      <c r="AF864" s="42"/>
      <c r="AG864" s="42"/>
      <c r="AH864" s="42"/>
      <c r="AI864" s="42"/>
      <c r="AJ864" s="42"/>
      <c r="AK864" s="42"/>
      <c r="AL864" s="42"/>
      <c r="AM864" s="42"/>
      <c r="AN864" s="42"/>
      <c r="AO864" s="42"/>
      <c r="AP864" s="42"/>
      <c r="AQ864" s="42"/>
      <c r="AR864" s="42"/>
    </row>
    <row r="865" spans="1:44" ht="15.75" customHeight="1" x14ac:dyDescent="0.2">
      <c r="A865" s="929" t="s">
        <v>5011</v>
      </c>
      <c r="B865" s="927">
        <v>800</v>
      </c>
      <c r="C865" s="927">
        <v>1120</v>
      </c>
      <c r="D865" s="15"/>
      <c r="E865" s="393" t="s">
        <v>3890</v>
      </c>
      <c r="F865" s="15"/>
      <c r="J865" s="489"/>
      <c r="S865" s="14"/>
      <c r="T865" s="14"/>
      <c r="U865" s="14"/>
      <c r="V865" s="14"/>
      <c r="W865" s="315"/>
      <c r="X865" s="14"/>
      <c r="Y865" s="42"/>
      <c r="Z865" s="42"/>
      <c r="AA865" s="42"/>
      <c r="AB865" s="42"/>
      <c r="AC865" s="42"/>
      <c r="AD865" s="42"/>
      <c r="AE865" s="42"/>
      <c r="AF865" s="42"/>
      <c r="AG865" s="42"/>
      <c r="AH865" s="42"/>
      <c r="AI865" s="42"/>
      <c r="AJ865" s="42"/>
      <c r="AK865" s="42"/>
      <c r="AL865" s="42"/>
      <c r="AM865" s="42"/>
      <c r="AN865" s="42"/>
      <c r="AO865" s="42"/>
      <c r="AP865" s="42"/>
      <c r="AQ865" s="42"/>
      <c r="AR865" s="42"/>
    </row>
    <row r="866" spans="1:44" ht="15.75" customHeight="1" x14ac:dyDescent="0.2">
      <c r="A866" s="929" t="s">
        <v>5012</v>
      </c>
      <c r="B866" s="927">
        <v>900</v>
      </c>
      <c r="C866" s="927">
        <v>1250</v>
      </c>
      <c r="D866" s="15"/>
      <c r="G866" s="808" t="s">
        <v>955</v>
      </c>
      <c r="H866" s="995" t="s">
        <v>3891</v>
      </c>
      <c r="J866" s="489"/>
      <c r="S866" s="14"/>
      <c r="T866" s="14"/>
      <c r="U866" s="14"/>
      <c r="V866" s="14"/>
      <c r="W866" s="315"/>
      <c r="X866" s="14"/>
      <c r="Y866" s="42"/>
      <c r="Z866" s="42"/>
      <c r="AA866" s="42"/>
      <c r="AB866" s="42"/>
      <c r="AC866" s="42"/>
      <c r="AD866" s="42"/>
      <c r="AE866" s="42"/>
      <c r="AF866" s="42"/>
      <c r="AG866" s="42"/>
      <c r="AH866" s="42"/>
      <c r="AI866" s="42"/>
      <c r="AJ866" s="42"/>
      <c r="AK866" s="42"/>
      <c r="AL866" s="42"/>
      <c r="AM866" s="42"/>
      <c r="AN866" s="42"/>
      <c r="AO866" s="42"/>
      <c r="AP866" s="42"/>
      <c r="AQ866" s="42"/>
      <c r="AR866" s="42"/>
    </row>
    <row r="867" spans="1:44" ht="15.75" customHeight="1" x14ac:dyDescent="0.2">
      <c r="A867" s="929" t="s">
        <v>5013</v>
      </c>
      <c r="B867" s="927">
        <v>1000</v>
      </c>
      <c r="C867" s="927">
        <v>1400</v>
      </c>
      <c r="D867" s="15"/>
      <c r="E867" s="393" t="s">
        <v>3149</v>
      </c>
      <c r="F867" s="15"/>
      <c r="J867" s="489"/>
      <c r="S867" s="14"/>
      <c r="T867" s="14"/>
      <c r="U867" s="14"/>
      <c r="V867" s="14"/>
      <c r="W867" s="315"/>
      <c r="X867" s="14"/>
      <c r="Y867" s="42"/>
      <c r="Z867" s="42"/>
      <c r="AA867" s="42"/>
      <c r="AB867" s="42"/>
      <c r="AC867" s="42"/>
      <c r="AD867" s="42"/>
      <c r="AE867" s="42"/>
      <c r="AF867" s="42"/>
      <c r="AG867" s="42"/>
      <c r="AH867" s="42"/>
      <c r="AI867" s="42"/>
      <c r="AJ867" s="42"/>
      <c r="AK867" s="42"/>
      <c r="AL867" s="42"/>
      <c r="AM867" s="42"/>
      <c r="AN867" s="42"/>
      <c r="AO867" s="42"/>
      <c r="AP867" s="42"/>
      <c r="AQ867" s="42"/>
      <c r="AR867" s="42"/>
    </row>
    <row r="868" spans="1:44" ht="15.75" customHeight="1" x14ac:dyDescent="0.2">
      <c r="A868" s="929" t="s">
        <v>5014</v>
      </c>
      <c r="B868" s="927">
        <v>1120</v>
      </c>
      <c r="C868" s="927">
        <v>1600</v>
      </c>
      <c r="D868" s="15"/>
      <c r="E868" s="393" t="s">
        <v>3892</v>
      </c>
      <c r="F868" s="15"/>
      <c r="J868" s="489"/>
      <c r="S868" s="14"/>
      <c r="T868" s="14"/>
      <c r="U868" s="14"/>
      <c r="V868" s="14"/>
      <c r="W868" s="315"/>
      <c r="X868" s="14"/>
      <c r="Y868" s="42"/>
      <c r="Z868" s="42"/>
      <c r="AA868" s="42"/>
      <c r="AB868" s="42"/>
      <c r="AC868" s="42"/>
      <c r="AD868" s="42"/>
      <c r="AE868" s="42"/>
      <c r="AF868" s="42"/>
      <c r="AG868" s="42"/>
      <c r="AH868" s="42"/>
      <c r="AI868" s="42"/>
      <c r="AJ868" s="42"/>
      <c r="AK868" s="42"/>
      <c r="AL868" s="42"/>
      <c r="AM868" s="42"/>
      <c r="AN868" s="42"/>
      <c r="AO868" s="42"/>
      <c r="AP868" s="42"/>
      <c r="AQ868" s="42"/>
      <c r="AR868" s="42"/>
    </row>
    <row r="869" spans="1:44" ht="15.75" customHeight="1" x14ac:dyDescent="0.25">
      <c r="A869" s="917"/>
      <c r="B869" s="1023"/>
      <c r="C869" s="15"/>
      <c r="D869" s="15"/>
      <c r="E869" s="393" t="s">
        <v>3893</v>
      </c>
      <c r="F869" s="15"/>
      <c r="J869" s="489"/>
      <c r="S869" s="14"/>
      <c r="T869" s="14"/>
      <c r="U869" s="14"/>
      <c r="V869" s="14"/>
      <c r="W869" s="315"/>
      <c r="X869" s="14"/>
      <c r="Y869" s="42"/>
      <c r="Z869" s="42"/>
      <c r="AA869" s="42"/>
      <c r="AB869" s="42"/>
      <c r="AC869" s="42"/>
      <c r="AD869" s="42"/>
      <c r="AE869" s="42"/>
      <c r="AF869" s="42"/>
      <c r="AG869" s="42"/>
      <c r="AH869" s="42"/>
      <c r="AI869" s="42"/>
      <c r="AJ869" s="42"/>
      <c r="AK869" s="42"/>
      <c r="AL869" s="42"/>
      <c r="AM869" s="42"/>
      <c r="AN869" s="42"/>
      <c r="AO869" s="42"/>
      <c r="AP869" s="42"/>
      <c r="AQ869" s="42"/>
      <c r="AR869" s="42"/>
    </row>
    <row r="870" spans="1:44" ht="15.75" customHeight="1" x14ac:dyDescent="0.25">
      <c r="A870" s="917"/>
      <c r="B870" s="1023"/>
      <c r="C870" s="15"/>
      <c r="D870" s="15"/>
      <c r="E870" s="393" t="s">
        <v>270</v>
      </c>
      <c r="F870" s="15"/>
      <c r="J870" s="489"/>
      <c r="S870" s="14"/>
      <c r="T870" s="14"/>
      <c r="U870" s="14"/>
      <c r="V870" s="14"/>
      <c r="W870" s="315"/>
      <c r="X870" s="14"/>
      <c r="Y870" s="42"/>
      <c r="Z870" s="42"/>
      <c r="AA870" s="42"/>
      <c r="AB870" s="42"/>
      <c r="AC870" s="42"/>
      <c r="AD870" s="42"/>
      <c r="AE870" s="42"/>
      <c r="AF870" s="42"/>
      <c r="AG870" s="42"/>
      <c r="AH870" s="42"/>
      <c r="AI870" s="42"/>
      <c r="AJ870" s="42"/>
      <c r="AK870" s="42"/>
      <c r="AL870" s="42"/>
      <c r="AM870" s="42"/>
      <c r="AN870" s="42"/>
      <c r="AO870" s="42"/>
      <c r="AP870" s="42"/>
      <c r="AQ870" s="42"/>
      <c r="AR870" s="42"/>
    </row>
    <row r="871" spans="1:44" ht="15.75" customHeight="1" x14ac:dyDescent="0.25">
      <c r="A871" s="917"/>
      <c r="B871" s="1023"/>
      <c r="C871" s="15"/>
      <c r="D871" s="15"/>
      <c r="E871" s="393" t="s">
        <v>316</v>
      </c>
      <c r="F871" s="15"/>
      <c r="J871" s="489"/>
      <c r="L871" s="347">
        <f>ROW(629:629)</f>
        <v>629</v>
      </c>
      <c r="M871" s="1196" t="s">
        <v>317</v>
      </c>
      <c r="N871" s="347">
        <f>ROW(675:675)</f>
        <v>675</v>
      </c>
      <c r="O871" t="s">
        <v>271</v>
      </c>
      <c r="S871" s="14"/>
      <c r="T871" s="14"/>
      <c r="U871" s="14"/>
      <c r="V871" s="14"/>
      <c r="W871" s="315"/>
      <c r="X871" s="14"/>
      <c r="Y871" s="42"/>
      <c r="Z871" s="42"/>
      <c r="AA871" s="42"/>
      <c r="AB871" s="42"/>
      <c r="AC871" s="42"/>
      <c r="AD871" s="42"/>
      <c r="AE871" s="42"/>
      <c r="AF871" s="42"/>
      <c r="AG871" s="42"/>
      <c r="AH871" s="42"/>
      <c r="AI871" s="42"/>
      <c r="AJ871" s="42"/>
      <c r="AK871" s="42"/>
      <c r="AL871" s="42"/>
      <c r="AM871" s="42"/>
      <c r="AN871" s="42"/>
      <c r="AO871" s="42"/>
      <c r="AP871" s="42"/>
      <c r="AQ871" s="42"/>
      <c r="AR871" s="42"/>
    </row>
    <row r="872" spans="1:44" ht="15.75" customHeight="1" x14ac:dyDescent="0.25">
      <c r="A872" s="917"/>
      <c r="B872" s="1023"/>
      <c r="C872" s="15"/>
      <c r="D872" s="15"/>
      <c r="E872" s="393" t="s">
        <v>318</v>
      </c>
      <c r="F872" s="15"/>
      <c r="J872" s="489"/>
      <c r="L872" s="232"/>
      <c r="S872" s="14"/>
      <c r="T872" s="14"/>
      <c r="U872" s="14"/>
      <c r="V872" s="14"/>
      <c r="W872" s="315"/>
      <c r="X872" s="14"/>
      <c r="Y872" s="42"/>
      <c r="Z872" s="42"/>
      <c r="AA872" s="42"/>
      <c r="AB872" s="42"/>
      <c r="AC872" s="42"/>
      <c r="AD872" s="42"/>
      <c r="AE872" s="42"/>
      <c r="AF872" s="42"/>
      <c r="AG872" s="42"/>
      <c r="AH872" s="42"/>
      <c r="AI872" s="42"/>
      <c r="AJ872" s="42"/>
      <c r="AK872" s="42"/>
      <c r="AL872" s="42"/>
      <c r="AM872" s="42"/>
      <c r="AN872" s="42"/>
      <c r="AO872" s="42"/>
      <c r="AP872" s="42"/>
      <c r="AQ872" s="42"/>
      <c r="AR872" s="42"/>
    </row>
    <row r="873" spans="1:44" ht="15.75" customHeight="1" x14ac:dyDescent="0.25">
      <c r="A873" s="917"/>
      <c r="B873" s="1023"/>
      <c r="C873" s="15"/>
      <c r="D873" s="15"/>
      <c r="E873" s="15"/>
      <c r="F873" s="15"/>
      <c r="J873" s="489"/>
      <c r="S873" s="14"/>
      <c r="T873" s="14"/>
      <c r="U873" s="14"/>
      <c r="V873" s="14"/>
      <c r="W873" s="315"/>
      <c r="X873" s="14"/>
      <c r="Y873" s="42"/>
      <c r="Z873" s="42"/>
      <c r="AA873" s="42"/>
      <c r="AB873" s="42"/>
      <c r="AC873" s="42"/>
      <c r="AD873" s="42"/>
      <c r="AE873" s="42"/>
      <c r="AF873" s="42"/>
      <c r="AG873" s="42"/>
      <c r="AH873" s="42"/>
      <c r="AI873" s="42"/>
      <c r="AJ873" s="42"/>
      <c r="AK873" s="42"/>
      <c r="AL873" s="42"/>
      <c r="AM873" s="42"/>
      <c r="AN873" s="42"/>
      <c r="AO873" s="42"/>
      <c r="AP873" s="42"/>
      <c r="AQ873" s="42"/>
      <c r="AR873" s="42"/>
    </row>
    <row r="874" spans="1:44" ht="15.75" customHeight="1" x14ac:dyDescent="0.25">
      <c r="B874" s="1023"/>
      <c r="D874" s="979" t="s">
        <v>319</v>
      </c>
      <c r="J874" s="489"/>
      <c r="L874" s="1195" t="e">
        <f>kursovoy!B402*1000*(1-IF(kursovoy!B207=1,0.04,IF(kursovoy!B207=2,0.025,IF(kursovoy!B207=3,0.015,IF(kursovoy!B207=4,0.015,IF(kursovoy!B207=5,0.05)))))*6)-80-50</f>
        <v>#VALUE!</v>
      </c>
      <c r="S874" s="14"/>
      <c r="T874" s="14"/>
      <c r="U874" s="14"/>
      <c r="V874" s="14"/>
      <c r="W874" s="315"/>
      <c r="X874" s="14"/>
      <c r="Y874" s="42"/>
      <c r="Z874" s="42"/>
      <c r="AA874" s="42"/>
      <c r="AB874" s="42"/>
      <c r="AC874" s="42"/>
      <c r="AD874" s="42"/>
      <c r="AE874" s="42"/>
      <c r="AF874" s="42"/>
      <c r="AG874" s="42"/>
      <c r="AH874" s="42"/>
      <c r="AI874" s="42"/>
      <c r="AJ874" s="42"/>
      <c r="AK874" s="42"/>
      <c r="AL874" s="42"/>
      <c r="AM874" s="42"/>
      <c r="AN874" s="42"/>
      <c r="AO874" s="42"/>
      <c r="AP874" s="42"/>
      <c r="AQ874" s="42"/>
      <c r="AR874" s="42"/>
    </row>
    <row r="875" spans="1:44" ht="15.75" customHeight="1" x14ac:dyDescent="0.25">
      <c r="B875" s="1023"/>
      <c r="C875" s="15"/>
      <c r="D875" s="979" t="s">
        <v>320</v>
      </c>
      <c r="J875" s="489"/>
      <c r="L875" s="1195" t="e">
        <f>kursovoy!B403*1000*(1-IF(kursovoy!B207=1,0.04,IF(kursovoy!B207=2,0.025,IF(kursovoy!B207=3,0.015,IF(kursovoy!B207=4,0.015,IF(kursovoy!B207=5,0.05)))))*1.6)-80</f>
        <v>#VALUE!</v>
      </c>
      <c r="S875" s="14"/>
      <c r="T875" s="14"/>
      <c r="U875" s="14"/>
      <c r="V875" s="14"/>
      <c r="W875" s="315"/>
      <c r="X875" s="14"/>
      <c r="Y875" s="42"/>
      <c r="Z875" s="42"/>
      <c r="AA875" s="42"/>
      <c r="AB875" s="42"/>
      <c r="AC875" s="42"/>
      <c r="AD875" s="42"/>
      <c r="AE875" s="42"/>
      <c r="AF875" s="42"/>
      <c r="AG875" s="42"/>
      <c r="AH875" s="42"/>
      <c r="AI875" s="42"/>
      <c r="AJ875" s="42"/>
      <c r="AK875" s="42"/>
      <c r="AL875" s="42"/>
      <c r="AM875" s="42"/>
      <c r="AN875" s="42"/>
      <c r="AO875" s="42"/>
      <c r="AP875" s="42"/>
      <c r="AQ875" s="42"/>
      <c r="AR875" s="42"/>
    </row>
    <row r="876" spans="1:44" ht="15.75" customHeight="1" x14ac:dyDescent="0.25">
      <c r="A876" s="917" t="s">
        <v>954</v>
      </c>
      <c r="B876" s="1023"/>
      <c r="C876" s="15"/>
      <c r="D876" s="15"/>
      <c r="E876" s="15"/>
      <c r="F876" s="15"/>
      <c r="J876" s="489"/>
      <c r="S876" s="14"/>
      <c r="T876" s="14"/>
      <c r="U876" s="14"/>
      <c r="V876" s="14"/>
      <c r="W876" s="315"/>
      <c r="X876" s="14"/>
      <c r="Y876" s="42"/>
      <c r="Z876" s="42"/>
      <c r="AA876" s="42"/>
      <c r="AB876" s="42"/>
      <c r="AC876" s="42"/>
      <c r="AD876" s="42"/>
      <c r="AE876" s="42"/>
      <c r="AF876" s="42"/>
      <c r="AG876" s="42"/>
      <c r="AH876" s="42"/>
      <c r="AI876" s="42"/>
      <c r="AJ876" s="42"/>
      <c r="AK876" s="42"/>
      <c r="AL876" s="42"/>
      <c r="AM876" s="42"/>
      <c r="AN876" s="42"/>
      <c r="AO876" s="42"/>
      <c r="AP876" s="42"/>
      <c r="AQ876" s="42"/>
      <c r="AR876" s="42"/>
    </row>
    <row r="877" spans="1:44" ht="15.75" customHeight="1" x14ac:dyDescent="0.25">
      <c r="A877" s="917" t="s">
        <v>5034</v>
      </c>
      <c r="B877" s="1023"/>
      <c r="C877" s="15"/>
      <c r="D877" s="15"/>
      <c r="E877" s="15"/>
      <c r="F877" s="15"/>
      <c r="J877" s="489"/>
      <c r="S877" s="14"/>
      <c r="T877" s="14"/>
      <c r="U877" s="14"/>
      <c r="V877" s="14"/>
      <c r="W877" s="315"/>
      <c r="X877" s="14"/>
      <c r="Y877" s="42"/>
      <c r="Z877" s="42"/>
      <c r="AA877" s="42"/>
      <c r="AB877" s="42"/>
      <c r="AC877" s="42"/>
      <c r="AD877" s="42"/>
      <c r="AE877" s="42"/>
      <c r="AF877" s="42"/>
      <c r="AG877" s="42"/>
      <c r="AH877" s="42"/>
      <c r="AI877" s="42"/>
      <c r="AJ877" s="42"/>
      <c r="AK877" s="42"/>
      <c r="AL877" s="42"/>
      <c r="AM877" s="42"/>
      <c r="AN877" s="42"/>
      <c r="AO877" s="42"/>
      <c r="AP877" s="42"/>
      <c r="AQ877" s="42"/>
      <c r="AR877" s="42"/>
    </row>
    <row r="878" spans="1:44" ht="15.75" customHeight="1" x14ac:dyDescent="0.25">
      <c r="A878" s="917"/>
      <c r="B878" s="995" t="s">
        <v>321</v>
      </c>
      <c r="C878" s="15"/>
      <c r="D878" s="15"/>
      <c r="E878" s="15"/>
      <c r="F878" s="15"/>
      <c r="H878" s="347">
        <f>ROW(859:859)</f>
        <v>859</v>
      </c>
      <c r="S878" s="14"/>
      <c r="T878" s="14"/>
      <c r="U878" s="14"/>
      <c r="V878" s="14"/>
      <c r="W878" s="315"/>
      <c r="X878" s="14"/>
      <c r="Y878" s="42"/>
      <c r="Z878" s="42"/>
      <c r="AA878" s="42"/>
      <c r="AB878" s="42"/>
      <c r="AC878" s="42"/>
      <c r="AD878" s="42"/>
      <c r="AE878" s="42"/>
      <c r="AF878" s="42"/>
      <c r="AG878" s="42"/>
      <c r="AH878" s="42"/>
      <c r="AI878" s="42"/>
      <c r="AJ878" s="42"/>
      <c r="AK878" s="42"/>
      <c r="AL878" s="42"/>
      <c r="AM878" s="42"/>
      <c r="AN878" s="42"/>
      <c r="AO878" s="42"/>
      <c r="AP878" s="42"/>
      <c r="AQ878" s="42"/>
      <c r="AR878" s="42"/>
    </row>
    <row r="879" spans="1:44" ht="44.25" customHeight="1" x14ac:dyDescent="0.25">
      <c r="A879" s="917"/>
      <c r="B879" s="1103"/>
      <c r="C879" s="1104"/>
      <c r="D879" s="14"/>
      <c r="E879" s="239"/>
      <c r="F879" s="14"/>
      <c r="G879" s="239"/>
      <c r="H879" s="1202" t="s">
        <v>5035</v>
      </c>
      <c r="I879" s="5"/>
      <c r="J879" s="1203"/>
      <c r="K879" s="5"/>
      <c r="L879" s="4103" t="str">
        <f>IF(G379=1,"Комбайновая лава","Не вводить2")</f>
        <v>Не вводить2</v>
      </c>
      <c r="M879" s="4103" t="str">
        <f>IF(G379=1,"Не вводить","Струго-вая лава")</f>
        <v>Струго-вая лава</v>
      </c>
      <c r="S879" s="14"/>
      <c r="T879" s="14"/>
      <c r="U879" s="14"/>
      <c r="V879" s="14"/>
      <c r="W879" s="315"/>
      <c r="X879" s="14"/>
      <c r="Y879" s="42"/>
      <c r="Z879" s="42"/>
      <c r="AA879" s="42"/>
      <c r="AB879" s="42"/>
      <c r="AC879" s="42"/>
      <c r="AD879" s="42"/>
      <c r="AE879" s="42"/>
      <c r="AF879" s="42"/>
      <c r="AG879" s="42"/>
      <c r="AH879" s="42"/>
      <c r="AI879" s="42"/>
      <c r="AJ879" s="42"/>
      <c r="AK879" s="42"/>
      <c r="AL879" s="42"/>
      <c r="AM879" s="42"/>
      <c r="AN879" s="42"/>
      <c r="AO879" s="42"/>
      <c r="AP879" s="42"/>
      <c r="AQ879" s="42"/>
      <c r="AR879" s="42"/>
    </row>
    <row r="880" spans="1:44" ht="15.75" customHeight="1" x14ac:dyDescent="0.25">
      <c r="A880" s="917"/>
      <c r="B880" s="1023"/>
      <c r="C880" s="15"/>
      <c r="D880" s="15"/>
      <c r="E880" s="15"/>
      <c r="F880" s="15"/>
      <c r="H880" s="1197" t="s">
        <v>2761</v>
      </c>
      <c r="I880" s="1198"/>
      <c r="J880" s="1199"/>
      <c r="K880" s="1200"/>
      <c r="L880" s="1201"/>
      <c r="M880" s="793"/>
      <c r="S880" s="14"/>
      <c r="T880" s="14"/>
      <c r="U880" s="14"/>
      <c r="V880" s="14"/>
      <c r="W880" s="315"/>
      <c r="X880" s="14"/>
      <c r="Y880" s="42"/>
      <c r="Z880" s="42"/>
      <c r="AA880" s="42"/>
      <c r="AB880" s="42"/>
      <c r="AC880" s="42"/>
      <c r="AD880" s="42"/>
      <c r="AE880" s="42"/>
      <c r="AF880" s="42"/>
      <c r="AG880" s="42"/>
      <c r="AH880" s="42"/>
      <c r="AI880" s="42"/>
      <c r="AJ880" s="42"/>
      <c r="AK880" s="42"/>
      <c r="AL880" s="42"/>
      <c r="AM880" s="42"/>
      <c r="AN880" s="42"/>
      <c r="AO880" s="42"/>
      <c r="AP880" s="42"/>
      <c r="AQ880" s="42"/>
      <c r="AR880" s="42"/>
    </row>
    <row r="881" spans="1:44" ht="15.75" customHeight="1" x14ac:dyDescent="0.25">
      <c r="A881" s="917"/>
      <c r="B881" s="1023"/>
      <c r="C881" s="15"/>
      <c r="D881" s="15"/>
      <c r="E881" s="15"/>
      <c r="F881" s="15"/>
      <c r="H881" s="1046" t="s">
        <v>2762</v>
      </c>
      <c r="I881" s="861"/>
      <c r="J881" s="1069"/>
      <c r="K881" s="863"/>
      <c r="L881" s="793"/>
      <c r="M881" s="793"/>
      <c r="S881" s="14"/>
      <c r="T881" s="14"/>
      <c r="U881" s="14"/>
      <c r="V881" s="14"/>
      <c r="W881" s="315"/>
      <c r="X881" s="14"/>
      <c r="Y881" s="42"/>
      <c r="Z881" s="42"/>
      <c r="AA881" s="42"/>
      <c r="AB881" s="42"/>
      <c r="AC881" s="42"/>
      <c r="AD881" s="42"/>
      <c r="AE881" s="42"/>
      <c r="AF881" s="42"/>
      <c r="AG881" s="42"/>
      <c r="AH881" s="42"/>
      <c r="AI881" s="42"/>
      <c r="AJ881" s="42"/>
      <c r="AK881" s="42"/>
      <c r="AL881" s="42"/>
      <c r="AM881" s="42"/>
      <c r="AN881" s="42"/>
      <c r="AO881" s="42"/>
      <c r="AP881" s="42"/>
      <c r="AQ881" s="42"/>
      <c r="AR881" s="42"/>
    </row>
    <row r="882" spans="1:44" ht="15.75" customHeight="1" x14ac:dyDescent="0.25">
      <c r="A882" s="917"/>
      <c r="B882" s="1023"/>
      <c r="C882" s="15"/>
      <c r="D882" s="15"/>
      <c r="E882" s="15"/>
      <c r="F882" s="15"/>
      <c r="H882" s="1046" t="s">
        <v>315</v>
      </c>
      <c r="I882" s="861"/>
      <c r="J882" s="1069"/>
      <c r="K882" s="863"/>
      <c r="L882" s="793"/>
      <c r="M882" s="793"/>
      <c r="S882" s="14"/>
      <c r="T882" s="14"/>
      <c r="U882" s="14"/>
      <c r="V882" s="14"/>
      <c r="W882" s="315"/>
      <c r="X882" s="14"/>
      <c r="Y882" s="42"/>
      <c r="Z882" s="42"/>
      <c r="AA882" s="42"/>
      <c r="AB882" s="42"/>
      <c r="AC882" s="42"/>
      <c r="AD882" s="42"/>
      <c r="AE882" s="42"/>
      <c r="AF882" s="42"/>
      <c r="AG882" s="42"/>
      <c r="AH882" s="42"/>
      <c r="AI882" s="42"/>
      <c r="AJ882" s="42"/>
      <c r="AK882" s="42"/>
      <c r="AL882" s="42"/>
      <c r="AM882" s="42"/>
      <c r="AN882" s="42"/>
      <c r="AO882" s="42"/>
      <c r="AP882" s="42"/>
      <c r="AQ882" s="42"/>
      <c r="AR882" s="42"/>
    </row>
    <row r="883" spans="1:44" ht="15.75" customHeight="1" x14ac:dyDescent="0.25">
      <c r="A883" s="917"/>
      <c r="B883" s="1023"/>
      <c r="C883" s="15"/>
      <c r="D883" s="15"/>
      <c r="E883" s="15"/>
      <c r="F883" s="15"/>
      <c r="S883" s="14"/>
      <c r="T883" s="14"/>
      <c r="U883" s="14"/>
      <c r="V883" s="14"/>
      <c r="W883" s="315"/>
      <c r="X883" s="14"/>
      <c r="Y883" s="42"/>
      <c r="Z883" s="42"/>
      <c r="AA883" s="42"/>
      <c r="AB883" s="42"/>
      <c r="AC883" s="42"/>
      <c r="AD883" s="42"/>
      <c r="AE883" s="42"/>
      <c r="AF883" s="42"/>
      <c r="AG883" s="42"/>
      <c r="AH883" s="42"/>
      <c r="AI883" s="42"/>
      <c r="AJ883" s="42"/>
      <c r="AK883" s="42"/>
      <c r="AL883" s="42"/>
      <c r="AM883" s="42"/>
      <c r="AN883" s="42"/>
      <c r="AO883" s="42"/>
      <c r="AP883" s="42"/>
      <c r="AQ883" s="42"/>
      <c r="AR883" s="42"/>
    </row>
    <row r="884" spans="1:44" ht="15.75" customHeight="1" x14ac:dyDescent="0.25">
      <c r="A884" s="917"/>
      <c r="B884" s="1023"/>
      <c r="C884" s="894" t="s">
        <v>5778</v>
      </c>
      <c r="D884" s="4183" t="s">
        <v>6757</v>
      </c>
      <c r="E884" s="2407"/>
      <c r="F884" s="2407"/>
      <c r="G884" s="1097"/>
      <c r="J884" s="489"/>
      <c r="S884" s="14"/>
      <c r="T884" s="14"/>
      <c r="U884" s="14"/>
      <c r="V884" s="14"/>
      <c r="W884" s="315"/>
      <c r="X884" s="14"/>
      <c r="Y884" s="42"/>
      <c r="Z884" s="42"/>
      <c r="AA884" s="42"/>
      <c r="AB884" s="42"/>
      <c r="AC884" s="42"/>
      <c r="AD884" s="42"/>
      <c r="AE884" s="42"/>
      <c r="AF884" s="42"/>
      <c r="AG884" s="42"/>
      <c r="AH884" s="42"/>
      <c r="AI884" s="42"/>
      <c r="AJ884" s="42"/>
      <c r="AK884" s="42"/>
      <c r="AL884" s="42"/>
      <c r="AM884" s="42"/>
      <c r="AN884" s="42"/>
      <c r="AO884" s="42"/>
      <c r="AP884" s="42"/>
      <c r="AQ884" s="42"/>
      <c r="AR884" s="42"/>
    </row>
    <row r="885" spans="1:44" ht="15.75" customHeight="1" x14ac:dyDescent="0.3">
      <c r="A885" s="57"/>
      <c r="B885" s="6"/>
      <c r="C885" s="1105" t="s">
        <v>2763</v>
      </c>
      <c r="D885" s="6"/>
      <c r="E885" s="6"/>
      <c r="F885" s="6"/>
      <c r="G885" s="6"/>
      <c r="H885" s="6"/>
      <c r="I885" s="6"/>
      <c r="J885" s="6"/>
      <c r="K885" s="243"/>
      <c r="L885" s="6"/>
      <c r="M885" s="6"/>
      <c r="N885" s="6"/>
      <c r="O885" s="6"/>
      <c r="P885" s="6"/>
      <c r="S885" s="14"/>
      <c r="T885" s="14"/>
      <c r="U885" s="14"/>
      <c r="V885" s="14"/>
      <c r="W885" s="315"/>
      <c r="X885" s="14"/>
      <c r="Y885" s="42"/>
      <c r="Z885" s="42"/>
      <c r="AA885" s="42"/>
      <c r="AB885" s="42"/>
      <c r="AC885" s="42"/>
      <c r="AD885" s="42"/>
      <c r="AE885" s="42"/>
      <c r="AF885" s="42"/>
      <c r="AG885" s="42"/>
      <c r="AH885" s="42"/>
      <c r="AI885" s="42"/>
      <c r="AJ885" s="42"/>
      <c r="AK885" s="42"/>
      <c r="AL885" s="42"/>
      <c r="AM885" s="42"/>
      <c r="AN885" s="42"/>
      <c r="AO885" s="42"/>
      <c r="AP885" s="42"/>
      <c r="AQ885" s="42"/>
      <c r="AR885" s="42"/>
    </row>
    <row r="886" spans="1:44" ht="15.75" customHeight="1" x14ac:dyDescent="0.3">
      <c r="A886" s="14"/>
      <c r="B886" s="8"/>
      <c r="C886" s="2647"/>
      <c r="D886" s="8"/>
      <c r="E886" s="8"/>
      <c r="F886" s="8"/>
      <c r="G886" s="8"/>
      <c r="H886" s="8"/>
      <c r="I886" s="8"/>
      <c r="J886" s="8"/>
      <c r="K886" s="222"/>
      <c r="L886" s="8"/>
      <c r="M886" s="8"/>
      <c r="N886" s="8"/>
      <c r="O886" s="8"/>
      <c r="P886" s="8"/>
      <c r="Q886" s="8"/>
      <c r="S886" s="14"/>
      <c r="T886" s="14"/>
      <c r="U886" s="14"/>
      <c r="V886" s="14"/>
      <c r="W886" s="14"/>
      <c r="X886" s="14"/>
      <c r="Y886" s="42"/>
      <c r="Z886" s="42"/>
      <c r="AA886" s="42"/>
      <c r="AB886" s="42"/>
      <c r="AC886" s="42"/>
      <c r="AD886" s="42"/>
      <c r="AE886" s="42"/>
      <c r="AF886" s="42"/>
      <c r="AG886" s="42"/>
      <c r="AH886" s="42"/>
      <c r="AI886" s="42"/>
      <c r="AJ886" s="42"/>
      <c r="AK886" s="42"/>
      <c r="AL886" s="42"/>
      <c r="AM886" s="42"/>
      <c r="AN886" s="42"/>
      <c r="AO886" s="42"/>
      <c r="AP886" s="42"/>
      <c r="AQ886" s="42"/>
      <c r="AR886" s="42"/>
    </row>
    <row r="887" spans="1:44" ht="15.75" customHeight="1" x14ac:dyDescent="0.3">
      <c r="A887" s="14"/>
      <c r="B887" s="8"/>
      <c r="C887" s="2647"/>
      <c r="D887" s="8"/>
      <c r="E887" s="8"/>
      <c r="F887" s="8"/>
      <c r="G887" s="8"/>
      <c r="H887" s="8"/>
      <c r="I887" s="8"/>
      <c r="J887" s="8"/>
      <c r="K887" s="222"/>
      <c r="L887" s="8"/>
      <c r="M887" s="8"/>
      <c r="N887" s="8"/>
      <c r="O887" s="8"/>
      <c r="P887" s="8"/>
      <c r="Q887" s="8"/>
      <c r="S887" s="14"/>
      <c r="T887" s="14"/>
      <c r="U887" s="14"/>
      <c r="V887" s="14"/>
      <c r="W887" s="14"/>
      <c r="X887" s="14"/>
      <c r="Y887" s="42"/>
      <c r="Z887" s="42"/>
      <c r="AA887" s="42"/>
      <c r="AB887" s="42"/>
      <c r="AC887" s="42"/>
      <c r="AD887" s="42"/>
      <c r="AE887" s="42"/>
      <c r="AF887" s="42"/>
      <c r="AG887" s="42"/>
      <c r="AH887" s="42"/>
      <c r="AI887" s="42"/>
      <c r="AJ887" s="42"/>
      <c r="AK887" s="42"/>
      <c r="AL887" s="42"/>
      <c r="AM887" s="42"/>
      <c r="AN887" s="42"/>
      <c r="AO887" s="42"/>
      <c r="AP887" s="42"/>
      <c r="AQ887" s="42"/>
      <c r="AR887" s="42"/>
    </row>
    <row r="888" spans="1:44" ht="15.75" customHeight="1" x14ac:dyDescent="0.3">
      <c r="A888" s="14"/>
      <c r="B888" s="8"/>
      <c r="C888" s="2647"/>
      <c r="D888" s="8"/>
      <c r="E888" s="8"/>
      <c r="F888" s="8"/>
      <c r="G888" s="8"/>
      <c r="H888" s="8"/>
      <c r="I888" s="8"/>
      <c r="J888" s="8"/>
      <c r="K888" s="222"/>
      <c r="L888" s="8"/>
      <c r="M888" s="8"/>
      <c r="N888" s="8"/>
      <c r="O888" s="8"/>
      <c r="P888" s="8"/>
      <c r="Q888" s="8"/>
      <c r="S888" s="14"/>
      <c r="T888" s="14"/>
      <c r="U888" s="14"/>
      <c r="V888" s="14"/>
      <c r="W888" s="14"/>
      <c r="X888" s="14"/>
      <c r="Y888" s="42"/>
      <c r="Z888" s="42"/>
      <c r="AA888" s="42"/>
      <c r="AB888" s="42"/>
      <c r="AC888" s="42"/>
      <c r="AD888" s="42"/>
      <c r="AE888" s="42"/>
      <c r="AF888" s="42"/>
      <c r="AG888" s="42"/>
      <c r="AH888" s="42"/>
      <c r="AI888" s="42"/>
      <c r="AJ888" s="42"/>
      <c r="AK888" s="42"/>
      <c r="AL888" s="42"/>
      <c r="AM888" s="42"/>
      <c r="AN888" s="42"/>
      <c r="AO888" s="42"/>
      <c r="AP888" s="42"/>
      <c r="AQ888" s="42"/>
      <c r="AR888" s="42"/>
    </row>
    <row r="889" spans="1:44" ht="15.75" customHeight="1" x14ac:dyDescent="0.3">
      <c r="A889" s="14"/>
      <c r="B889" s="8"/>
      <c r="C889" s="2647"/>
      <c r="D889" s="8"/>
      <c r="E889" s="8"/>
      <c r="F889" s="8"/>
      <c r="G889" s="8"/>
      <c r="H889" s="8"/>
      <c r="I889" s="8"/>
      <c r="J889" s="8"/>
      <c r="K889" s="222"/>
      <c r="L889" s="8"/>
      <c r="M889" s="8"/>
      <c r="N889" s="8"/>
      <c r="O889" s="8"/>
      <c r="P889" s="8"/>
      <c r="Q889" s="8"/>
      <c r="S889" s="14"/>
      <c r="T889" s="14"/>
      <c r="U889" s="14"/>
      <c r="V889" s="14"/>
      <c r="W889" s="14"/>
      <c r="X889" s="14"/>
      <c r="Y889" s="42"/>
      <c r="Z889" s="42"/>
      <c r="AA889" s="42"/>
      <c r="AB889" s="42"/>
      <c r="AC889" s="42"/>
      <c r="AD889" s="42"/>
      <c r="AE889" s="42"/>
      <c r="AF889" s="42"/>
      <c r="AG889" s="42"/>
      <c r="AH889" s="42"/>
      <c r="AI889" s="42"/>
      <c r="AJ889" s="42"/>
      <c r="AK889" s="42"/>
      <c r="AL889" s="42"/>
      <c r="AM889" s="42"/>
      <c r="AN889" s="42"/>
      <c r="AO889" s="42"/>
      <c r="AP889" s="42"/>
      <c r="AQ889" s="42"/>
      <c r="AR889" s="42"/>
    </row>
    <row r="890" spans="1:44" ht="15.75" customHeight="1" x14ac:dyDescent="0.3">
      <c r="A890" s="14"/>
      <c r="B890" s="8"/>
      <c r="C890" s="2647"/>
      <c r="D890" s="8"/>
      <c r="E890" s="8"/>
      <c r="F890" s="8"/>
      <c r="G890" s="8"/>
      <c r="H890" s="8"/>
      <c r="I890" s="8"/>
      <c r="J890" s="8"/>
      <c r="K890" s="222"/>
      <c r="L890" s="8"/>
      <c r="M890" s="8"/>
      <c r="N890" s="8"/>
      <c r="O890" s="8"/>
      <c r="P890" s="8"/>
      <c r="Q890" s="8"/>
      <c r="S890" s="14"/>
      <c r="T890" s="14"/>
      <c r="U890" s="14"/>
      <c r="V890" s="14"/>
      <c r="W890" s="14"/>
      <c r="X890" s="14"/>
      <c r="Y890" s="42"/>
      <c r="Z890" s="42"/>
      <c r="AA890" s="42"/>
      <c r="AB890" s="42"/>
      <c r="AC890" s="42"/>
      <c r="AD890" s="42"/>
      <c r="AE890" s="42"/>
      <c r="AF890" s="42"/>
      <c r="AG890" s="42"/>
      <c r="AH890" s="42"/>
      <c r="AI890" s="42"/>
      <c r="AJ890" s="42"/>
      <c r="AK890" s="42"/>
      <c r="AL890" s="42"/>
      <c r="AM890" s="42"/>
      <c r="AN890" s="42"/>
      <c r="AO890" s="42"/>
      <c r="AP890" s="42"/>
      <c r="AQ890" s="42"/>
      <c r="AR890" s="42"/>
    </row>
    <row r="891" spans="1:44" ht="15.75" customHeight="1" x14ac:dyDescent="0.3">
      <c r="A891" s="14"/>
      <c r="B891" s="8"/>
      <c r="C891" s="2647"/>
      <c r="D891" s="8"/>
      <c r="E891" s="8"/>
      <c r="F891" s="8"/>
      <c r="G891" s="8"/>
      <c r="H891" s="8"/>
      <c r="I891" s="8"/>
      <c r="J891" s="8"/>
      <c r="K891" s="222"/>
      <c r="L891" s="8"/>
      <c r="M891" s="8"/>
      <c r="N891" s="8"/>
      <c r="O891" s="8"/>
      <c r="P891" s="8"/>
      <c r="Q891" s="8"/>
      <c r="S891" s="14"/>
      <c r="T891" s="14"/>
      <c r="U891" s="14"/>
      <c r="V891" s="14"/>
      <c r="W891" s="14"/>
      <c r="X891" s="14"/>
      <c r="Y891" s="42"/>
      <c r="Z891" s="42"/>
      <c r="AA891" s="42"/>
      <c r="AB891" s="42"/>
      <c r="AC891" s="42"/>
      <c r="AD891" s="42"/>
      <c r="AE891" s="42"/>
      <c r="AF891" s="42"/>
      <c r="AG891" s="42"/>
      <c r="AH891" s="42"/>
      <c r="AI891" s="42"/>
      <c r="AJ891" s="42"/>
      <c r="AK891" s="42"/>
      <c r="AL891" s="42"/>
      <c r="AM891" s="42"/>
      <c r="AN891" s="42"/>
      <c r="AO891" s="42"/>
      <c r="AP891" s="42"/>
      <c r="AQ891" s="42"/>
      <c r="AR891" s="42"/>
    </row>
    <row r="892" spans="1:44" ht="15.75" customHeight="1" x14ac:dyDescent="0.3">
      <c r="A892" s="14"/>
      <c r="B892" s="8"/>
      <c r="C892" s="2647"/>
      <c r="D892" s="8"/>
      <c r="E892" s="8"/>
      <c r="F892" s="8"/>
      <c r="G892" s="8"/>
      <c r="H892" s="8"/>
      <c r="I892" s="8"/>
      <c r="J892" s="8"/>
      <c r="K892" s="222"/>
      <c r="L892" s="8"/>
      <c r="M892" s="8"/>
      <c r="N892" s="8"/>
      <c r="O892" s="8"/>
      <c r="P892" s="8"/>
      <c r="Q892" s="8"/>
      <c r="S892" s="14"/>
      <c r="T892" s="14"/>
      <c r="U892" s="14"/>
      <c r="V892" s="14"/>
      <c r="W892" s="14"/>
      <c r="X892" s="14"/>
      <c r="Y892" s="42"/>
      <c r="Z892" s="42"/>
      <c r="AA892" s="42"/>
      <c r="AB892" s="42"/>
      <c r="AC892" s="42"/>
      <c r="AD892" s="42"/>
      <c r="AE892" s="42"/>
      <c r="AF892" s="42"/>
      <c r="AG892" s="42"/>
      <c r="AH892" s="42"/>
      <c r="AI892" s="42"/>
      <c r="AJ892" s="42"/>
      <c r="AK892" s="42"/>
      <c r="AL892" s="42"/>
      <c r="AM892" s="42"/>
      <c r="AN892" s="42"/>
      <c r="AO892" s="42"/>
      <c r="AP892" s="42"/>
      <c r="AQ892" s="42"/>
      <c r="AR892" s="42"/>
    </row>
    <row r="893" spans="1:44" ht="15.75" customHeight="1" x14ac:dyDescent="0.3">
      <c r="A893" s="14"/>
      <c r="B893" s="8"/>
      <c r="C893" s="2647"/>
      <c r="D893" s="8"/>
      <c r="E893" s="8"/>
      <c r="F893" s="8"/>
      <c r="G893" s="8"/>
      <c r="H893" s="8"/>
      <c r="I893" s="8"/>
      <c r="J893" s="8"/>
      <c r="K893" s="222"/>
      <c r="L893" s="8"/>
      <c r="M893" s="8"/>
      <c r="N893" s="8"/>
      <c r="O893" s="8"/>
      <c r="P893" s="8"/>
      <c r="Q893" s="8"/>
      <c r="S893" s="14"/>
      <c r="T893" s="14"/>
      <c r="U893" s="14"/>
      <c r="V893" s="14"/>
      <c r="W893" s="14"/>
      <c r="X893" s="14"/>
      <c r="Y893" s="42"/>
      <c r="Z893" s="42"/>
      <c r="AA893" s="42"/>
      <c r="AB893" s="42"/>
      <c r="AC893" s="42"/>
      <c r="AD893" s="42"/>
      <c r="AE893" s="42"/>
      <c r="AF893" s="42"/>
      <c r="AG893" s="42"/>
      <c r="AH893" s="42"/>
      <c r="AI893" s="42"/>
      <c r="AJ893" s="42"/>
      <c r="AK893" s="42"/>
      <c r="AL893" s="42"/>
      <c r="AM893" s="42"/>
      <c r="AN893" s="42"/>
      <c r="AO893" s="42"/>
      <c r="AP893" s="42"/>
      <c r="AQ893" s="42"/>
      <c r="AR893" s="42"/>
    </row>
    <row r="894" spans="1:44" ht="15.75" customHeight="1" x14ac:dyDescent="0.3">
      <c r="A894" s="14"/>
      <c r="B894" s="8"/>
      <c r="C894" s="2647"/>
      <c r="D894" s="8"/>
      <c r="E894" s="8"/>
      <c r="F894" s="8"/>
      <c r="G894" s="8"/>
      <c r="H894" s="8"/>
      <c r="I894" s="8"/>
      <c r="J894" s="8"/>
      <c r="K894" s="222"/>
      <c r="L894" s="8"/>
      <c r="M894" s="8"/>
      <c r="N894" s="8"/>
      <c r="O894" s="8"/>
      <c r="P894" s="8"/>
      <c r="Q894" s="8"/>
      <c r="S894" s="14"/>
      <c r="T894" s="14"/>
      <c r="U894" s="14"/>
      <c r="V894" s="14"/>
      <c r="W894" s="14"/>
      <c r="X894" s="14"/>
      <c r="Y894" s="42"/>
      <c r="Z894" s="42"/>
      <c r="AA894" s="42"/>
      <c r="AB894" s="42"/>
      <c r="AC894" s="42"/>
      <c r="AD894" s="42"/>
      <c r="AE894" s="42"/>
      <c r="AF894" s="42"/>
      <c r="AG894" s="42"/>
      <c r="AH894" s="42"/>
      <c r="AI894" s="42"/>
      <c r="AJ894" s="42"/>
      <c r="AK894" s="42"/>
      <c r="AL894" s="42"/>
      <c r="AM894" s="42"/>
      <c r="AN894" s="42"/>
      <c r="AO894" s="42"/>
      <c r="AP894" s="42"/>
      <c r="AQ894" s="42"/>
      <c r="AR894" s="42"/>
    </row>
    <row r="895" spans="1:44" ht="15.75" customHeight="1" x14ac:dyDescent="0.3">
      <c r="A895" s="14"/>
      <c r="B895" s="8"/>
      <c r="C895" s="2647"/>
      <c r="D895" s="8"/>
      <c r="E895" s="8"/>
      <c r="F895" s="8"/>
      <c r="G895" s="8"/>
      <c r="H895" s="8"/>
      <c r="I895" s="8"/>
      <c r="J895" s="8"/>
      <c r="K895" s="222"/>
      <c r="L895" s="8"/>
      <c r="M895" s="8"/>
      <c r="N895" s="8"/>
      <c r="O895" s="8"/>
      <c r="P895" s="8"/>
      <c r="Q895" s="8"/>
      <c r="S895" s="14"/>
      <c r="T895" s="14"/>
      <c r="U895" s="14"/>
      <c r="V895" s="14"/>
      <c r="W895" s="14"/>
      <c r="X895" s="14"/>
      <c r="Y895" s="42"/>
      <c r="Z895" s="42"/>
      <c r="AA895" s="42"/>
      <c r="AB895" s="42"/>
      <c r="AC895" s="42"/>
      <c r="AD895" s="42"/>
      <c r="AE895" s="42"/>
      <c r="AF895" s="42"/>
      <c r="AG895" s="42"/>
      <c r="AH895" s="42"/>
      <c r="AI895" s="42"/>
      <c r="AJ895" s="42"/>
      <c r="AK895" s="42"/>
      <c r="AL895" s="42"/>
      <c r="AM895" s="42"/>
      <c r="AN895" s="42"/>
      <c r="AO895" s="42"/>
      <c r="AP895" s="42"/>
      <c r="AQ895" s="42"/>
      <c r="AR895" s="42"/>
    </row>
    <row r="896" spans="1:44" ht="15.75" customHeight="1" x14ac:dyDescent="0.3">
      <c r="A896" s="14"/>
      <c r="B896" s="8"/>
      <c r="C896" s="2647"/>
      <c r="D896" s="8"/>
      <c r="E896" s="8"/>
      <c r="F896" s="8"/>
      <c r="G896" s="8"/>
      <c r="H896" s="8"/>
      <c r="I896" s="8"/>
      <c r="J896" s="8"/>
      <c r="K896" s="222"/>
      <c r="L896" s="8"/>
      <c r="M896" s="8"/>
      <c r="N896" s="8"/>
      <c r="O896" s="8"/>
      <c r="P896" s="8"/>
      <c r="Q896" s="8"/>
      <c r="S896" s="14"/>
      <c r="T896" s="14"/>
      <c r="U896" s="14"/>
      <c r="V896" s="14"/>
      <c r="W896" s="14"/>
      <c r="X896" s="14"/>
      <c r="Y896" s="42"/>
      <c r="Z896" s="42"/>
      <c r="AA896" s="42"/>
      <c r="AB896" s="42"/>
      <c r="AC896" s="42"/>
      <c r="AD896" s="42"/>
      <c r="AE896" s="42"/>
      <c r="AF896" s="42"/>
      <c r="AG896" s="42"/>
      <c r="AH896" s="42"/>
      <c r="AI896" s="42"/>
      <c r="AJ896" s="42"/>
      <c r="AK896" s="42"/>
      <c r="AL896" s="42"/>
      <c r="AM896" s="42"/>
      <c r="AN896" s="42"/>
      <c r="AO896" s="42"/>
      <c r="AP896" s="42"/>
      <c r="AQ896" s="42"/>
      <c r="AR896" s="42"/>
    </row>
    <row r="897" spans="1:44" ht="15.75" customHeight="1" x14ac:dyDescent="0.3">
      <c r="A897" s="14"/>
      <c r="B897" s="8"/>
      <c r="C897" s="2647"/>
      <c r="D897" s="8"/>
      <c r="E897" s="8"/>
      <c r="F897" s="8"/>
      <c r="G897" s="8"/>
      <c r="H897" s="8"/>
      <c r="I897" s="8"/>
      <c r="J897" s="8"/>
      <c r="K897" s="222"/>
      <c r="L897" s="8"/>
      <c r="M897" s="8"/>
      <c r="N897" s="8"/>
      <c r="O897" s="8"/>
      <c r="P897" s="8"/>
      <c r="Q897" s="8"/>
      <c r="S897" s="14"/>
      <c r="T897" s="14"/>
      <c r="U897" s="14"/>
      <c r="V897" s="14"/>
      <c r="W897" s="14"/>
      <c r="X897" s="14"/>
      <c r="Y897" s="42"/>
      <c r="Z897" s="42"/>
      <c r="AA897" s="42"/>
      <c r="AB897" s="42"/>
      <c r="AC897" s="42"/>
      <c r="AD897" s="42"/>
      <c r="AE897" s="42"/>
      <c r="AF897" s="42"/>
      <c r="AG897" s="42"/>
      <c r="AH897" s="42"/>
      <c r="AI897" s="42"/>
      <c r="AJ897" s="42"/>
      <c r="AK897" s="42"/>
      <c r="AL897" s="42"/>
      <c r="AM897" s="42"/>
      <c r="AN897" s="42"/>
      <c r="AO897" s="42"/>
      <c r="AP897" s="42"/>
      <c r="AQ897" s="42"/>
      <c r="AR897" s="42"/>
    </row>
    <row r="898" spans="1:44" ht="15.75" customHeight="1" x14ac:dyDescent="0.3">
      <c r="A898" s="14"/>
      <c r="B898" s="8"/>
      <c r="C898" s="2647"/>
      <c r="D898" s="8"/>
      <c r="E898" s="8"/>
      <c r="F898" s="8"/>
      <c r="G898" s="8"/>
      <c r="H898" s="8"/>
      <c r="I898" s="8"/>
      <c r="J898" s="8"/>
      <c r="K898" s="222"/>
      <c r="L898" s="8"/>
      <c r="M898" s="8"/>
      <c r="N898" s="8"/>
      <c r="O898" s="8"/>
      <c r="P898" s="8"/>
      <c r="Q898" s="8"/>
      <c r="S898" s="14"/>
      <c r="T898" s="14"/>
      <c r="U898" s="14"/>
      <c r="V898" s="14"/>
      <c r="W898" s="14"/>
      <c r="X898" s="14"/>
      <c r="Y898" s="42"/>
      <c r="Z898" s="42"/>
      <c r="AA898" s="42"/>
      <c r="AB898" s="42"/>
      <c r="AC898" s="42"/>
      <c r="AD898" s="42"/>
      <c r="AE898" s="42"/>
      <c r="AF898" s="42"/>
      <c r="AG898" s="42"/>
      <c r="AH898" s="42"/>
      <c r="AI898" s="42"/>
      <c r="AJ898" s="42"/>
      <c r="AK898" s="42"/>
      <c r="AL898" s="42"/>
      <c r="AM898" s="42"/>
      <c r="AN898" s="42"/>
      <c r="AO898" s="42"/>
      <c r="AP898" s="42"/>
      <c r="AQ898" s="42"/>
      <c r="AR898" s="42"/>
    </row>
    <row r="899" spans="1:44" ht="15.75" customHeight="1" x14ac:dyDescent="0.3">
      <c r="A899" s="14"/>
      <c r="B899" s="8"/>
      <c r="C899" s="2647"/>
      <c r="D899" s="8"/>
      <c r="E899" s="8"/>
      <c r="F899" s="8"/>
      <c r="G899" s="8"/>
      <c r="H899" s="8"/>
      <c r="I899" s="8"/>
      <c r="J899" s="8"/>
      <c r="K899" s="222"/>
      <c r="L899" s="8"/>
      <c r="M899" s="8"/>
      <c r="N899" s="8"/>
      <c r="O899" s="8"/>
      <c r="P899" s="8"/>
      <c r="Q899" s="8"/>
      <c r="S899" s="14"/>
      <c r="T899" s="14"/>
      <c r="U899" s="14"/>
      <c r="V899" s="14"/>
      <c r="W899" s="14"/>
      <c r="X899" s="14"/>
      <c r="Y899" s="42"/>
      <c r="Z899" s="42"/>
      <c r="AA899" s="42"/>
      <c r="AB899" s="42"/>
      <c r="AC899" s="42"/>
      <c r="AD899" s="42"/>
      <c r="AE899" s="42"/>
      <c r="AF899" s="42"/>
      <c r="AG899" s="42"/>
      <c r="AH899" s="42"/>
      <c r="AI899" s="42"/>
      <c r="AJ899" s="42"/>
      <c r="AK899" s="42"/>
      <c r="AL899" s="42"/>
      <c r="AM899" s="42"/>
      <c r="AN899" s="42"/>
      <c r="AO899" s="42"/>
      <c r="AP899" s="42"/>
      <c r="AQ899" s="42"/>
      <c r="AR899" s="42"/>
    </row>
    <row r="900" spans="1:44" ht="15.75" customHeight="1" x14ac:dyDescent="0.3">
      <c r="A900" s="14"/>
      <c r="B900" s="8"/>
      <c r="C900" s="2647"/>
      <c r="D900" s="8"/>
      <c r="E900" s="8"/>
      <c r="F900" s="8"/>
      <c r="G900" s="8"/>
      <c r="H900" s="8"/>
      <c r="I900" s="8"/>
      <c r="J900" s="8"/>
      <c r="K900" s="222"/>
      <c r="L900" s="8"/>
      <c r="M900" s="8"/>
      <c r="N900" s="8"/>
      <c r="O900" s="8"/>
      <c r="P900" s="8"/>
      <c r="Q900" s="8"/>
      <c r="S900" s="14"/>
      <c r="T900" s="14"/>
      <c r="U900" s="14"/>
      <c r="V900" s="14"/>
      <c r="W900" s="14"/>
      <c r="X900" s="14"/>
      <c r="Y900" s="42"/>
      <c r="Z900" s="42"/>
      <c r="AA900" s="42"/>
      <c r="AB900" s="42"/>
      <c r="AC900" s="42"/>
      <c r="AD900" s="42"/>
      <c r="AE900" s="42"/>
      <c r="AF900" s="42"/>
      <c r="AG900" s="42"/>
      <c r="AH900" s="42"/>
      <c r="AI900" s="42"/>
      <c r="AJ900" s="42"/>
      <c r="AK900" s="42"/>
      <c r="AL900" s="42"/>
      <c r="AM900" s="42"/>
      <c r="AN900" s="42"/>
      <c r="AO900" s="42"/>
      <c r="AP900" s="42"/>
      <c r="AQ900" s="42"/>
      <c r="AR900" s="42"/>
    </row>
    <row r="901" spans="1:44" ht="15.75" customHeight="1" x14ac:dyDescent="0.3">
      <c r="A901" s="14"/>
      <c r="B901" s="8"/>
      <c r="C901" s="2647"/>
      <c r="D901" s="8"/>
      <c r="E901" s="8"/>
      <c r="F901" s="8"/>
      <c r="G901" s="8"/>
      <c r="H901" s="8"/>
      <c r="I901" s="8"/>
      <c r="J901" s="8"/>
      <c r="K901" s="222"/>
      <c r="L901" s="8"/>
      <c r="M901" s="8"/>
      <c r="N901" s="8"/>
      <c r="O901" s="8"/>
      <c r="P901" s="8"/>
      <c r="Q901" s="8"/>
      <c r="S901" s="14"/>
      <c r="T901" s="14"/>
      <c r="U901" s="14"/>
      <c r="V901" s="14"/>
      <c r="W901" s="14"/>
      <c r="X901" s="14"/>
      <c r="Y901" s="42"/>
      <c r="Z901" s="42"/>
      <c r="AA901" s="42"/>
      <c r="AB901" s="42"/>
      <c r="AC901" s="42"/>
      <c r="AD901" s="42"/>
      <c r="AE901" s="42"/>
      <c r="AF901" s="42"/>
      <c r="AG901" s="42"/>
      <c r="AH901" s="42"/>
      <c r="AI901" s="42"/>
      <c r="AJ901" s="42"/>
      <c r="AK901" s="42"/>
      <c r="AL901" s="42"/>
      <c r="AM901" s="42"/>
      <c r="AN901" s="42"/>
      <c r="AO901" s="42"/>
      <c r="AP901" s="42"/>
      <c r="AQ901" s="42"/>
      <c r="AR901" s="42"/>
    </row>
    <row r="902" spans="1:44" ht="15.75" customHeight="1" x14ac:dyDescent="0.3">
      <c r="A902" s="14"/>
      <c r="B902" s="8"/>
      <c r="C902" s="2647"/>
      <c r="D902" s="8"/>
      <c r="E902" s="8"/>
      <c r="F902" s="8"/>
      <c r="G902" s="8"/>
      <c r="H902" s="8"/>
      <c r="I902" s="8"/>
      <c r="J902" s="8"/>
      <c r="K902" s="222"/>
      <c r="L902" s="8"/>
      <c r="M902" s="8"/>
      <c r="N902" s="8"/>
      <c r="O902" s="8"/>
      <c r="P902" s="8"/>
      <c r="Q902" s="8"/>
      <c r="S902" s="14"/>
      <c r="T902" s="14"/>
      <c r="U902" s="14"/>
      <c r="V902" s="14"/>
      <c r="W902" s="14"/>
      <c r="X902" s="14"/>
      <c r="Y902" s="42"/>
      <c r="Z902" s="42"/>
      <c r="AA902" s="42"/>
      <c r="AB902" s="42"/>
      <c r="AC902" s="42"/>
      <c r="AD902" s="42"/>
      <c r="AE902" s="42"/>
      <c r="AF902" s="42"/>
      <c r="AG902" s="42"/>
      <c r="AH902" s="42"/>
      <c r="AI902" s="42"/>
      <c r="AJ902" s="42"/>
      <c r="AK902" s="42"/>
      <c r="AL902" s="42"/>
      <c r="AM902" s="42"/>
      <c r="AN902" s="42"/>
      <c r="AO902" s="42"/>
      <c r="AP902" s="42"/>
      <c r="AQ902" s="42"/>
      <c r="AR902" s="42"/>
    </row>
    <row r="903" spans="1:44" ht="15.75" customHeight="1" x14ac:dyDescent="0.3">
      <c r="A903" s="14"/>
      <c r="B903" s="8"/>
      <c r="C903" s="2647"/>
      <c r="D903" s="8"/>
      <c r="E903" s="8"/>
      <c r="F903" s="8"/>
      <c r="G903" s="8"/>
      <c r="H903" s="8"/>
      <c r="I903" s="8"/>
      <c r="J903" s="8"/>
      <c r="K903" s="222"/>
      <c r="L903" s="8"/>
      <c r="M903" s="8"/>
      <c r="N903" s="8"/>
      <c r="O903" s="8"/>
      <c r="P903" s="8"/>
      <c r="Q903" s="8"/>
      <c r="S903" s="14"/>
      <c r="T903" s="14"/>
      <c r="U903" s="14"/>
      <c r="V903" s="14"/>
      <c r="W903" s="14"/>
      <c r="X903" s="14"/>
      <c r="Y903" s="42"/>
      <c r="Z903" s="42"/>
      <c r="AA903" s="42"/>
      <c r="AB903" s="42"/>
      <c r="AC903" s="42"/>
      <c r="AD903" s="42"/>
      <c r="AE903" s="42"/>
      <c r="AF903" s="42"/>
      <c r="AG903" s="42"/>
      <c r="AH903" s="42"/>
      <c r="AI903" s="42"/>
      <c r="AJ903" s="42"/>
      <c r="AK903" s="42"/>
      <c r="AL903" s="42"/>
      <c r="AM903" s="42"/>
      <c r="AN903" s="42"/>
      <c r="AO903" s="42"/>
      <c r="AP903" s="42"/>
      <c r="AQ903" s="42"/>
      <c r="AR903" s="42"/>
    </row>
    <row r="904" spans="1:44" ht="15.75" customHeight="1" x14ac:dyDescent="0.3">
      <c r="A904" s="14"/>
      <c r="B904" s="8"/>
      <c r="C904" s="2647"/>
      <c r="D904" s="8"/>
      <c r="E904" s="8"/>
      <c r="F904" s="8"/>
      <c r="G904" s="8"/>
      <c r="H904" s="8"/>
      <c r="I904" s="8"/>
      <c r="J904" s="8"/>
      <c r="K904" s="222"/>
      <c r="L904" s="8"/>
      <c r="M904" s="8"/>
      <c r="N904" s="8"/>
      <c r="O904" s="8"/>
      <c r="P904" s="8"/>
      <c r="Q904" s="8"/>
      <c r="S904" s="14"/>
      <c r="T904" s="14"/>
      <c r="U904" s="14"/>
      <c r="V904" s="14"/>
      <c r="W904" s="14"/>
      <c r="X904" s="14"/>
      <c r="Y904" s="42"/>
      <c r="Z904" s="42"/>
      <c r="AA904" s="42"/>
      <c r="AB904" s="42"/>
      <c r="AC904" s="42"/>
      <c r="AD904" s="42"/>
      <c r="AE904" s="42"/>
      <c r="AF904" s="42"/>
      <c r="AG904" s="42"/>
      <c r="AH904" s="42"/>
      <c r="AI904" s="42"/>
      <c r="AJ904" s="42"/>
      <c r="AK904" s="42"/>
      <c r="AL904" s="42"/>
      <c r="AM904" s="42"/>
      <c r="AN904" s="42"/>
      <c r="AO904" s="42"/>
      <c r="AP904" s="42"/>
      <c r="AQ904" s="42"/>
      <c r="AR904" s="42"/>
    </row>
    <row r="905" spans="1:44" ht="15.75" customHeight="1" x14ac:dyDescent="0.3">
      <c r="A905" s="14"/>
      <c r="B905" s="8"/>
      <c r="C905" s="2647"/>
      <c r="D905" s="8"/>
      <c r="E905" s="8"/>
      <c r="F905" s="8"/>
      <c r="G905" s="8"/>
      <c r="H905" s="8"/>
      <c r="I905" s="8"/>
      <c r="J905" s="8"/>
      <c r="K905" s="222"/>
      <c r="L905" s="8"/>
      <c r="M905" s="8"/>
      <c r="N905" s="8"/>
      <c r="O905" s="8"/>
      <c r="P905" s="8"/>
      <c r="Q905" s="8"/>
      <c r="S905" s="14"/>
      <c r="T905" s="14"/>
      <c r="U905" s="14"/>
      <c r="V905" s="14"/>
      <c r="W905" s="14"/>
      <c r="X905" s="14"/>
      <c r="Y905" s="42"/>
      <c r="Z905" s="42"/>
      <c r="AA905" s="42"/>
      <c r="AB905" s="42"/>
      <c r="AC905" s="42"/>
      <c r="AD905" s="42"/>
      <c r="AE905" s="42"/>
      <c r="AF905" s="42"/>
      <c r="AG905" s="42"/>
      <c r="AH905" s="42"/>
      <c r="AI905" s="42"/>
      <c r="AJ905" s="42"/>
      <c r="AK905" s="42"/>
      <c r="AL905" s="42"/>
      <c r="AM905" s="42"/>
      <c r="AN905" s="42"/>
      <c r="AO905" s="42"/>
      <c r="AP905" s="42"/>
      <c r="AQ905" s="42"/>
      <c r="AR905" s="42"/>
    </row>
    <row r="906" spans="1:44" ht="15.75" customHeight="1" x14ac:dyDescent="0.3">
      <c r="A906" s="14"/>
      <c r="B906" s="8"/>
      <c r="C906" s="2647"/>
      <c r="D906" s="8"/>
      <c r="E906" s="8"/>
      <c r="F906" s="8"/>
      <c r="G906" s="8"/>
      <c r="H906" s="8"/>
      <c r="I906" s="8"/>
      <c r="J906" s="8"/>
      <c r="K906" s="222"/>
      <c r="L906" s="8"/>
      <c r="M906" s="8"/>
      <c r="N906" s="8"/>
      <c r="O906" s="8"/>
      <c r="P906" s="8"/>
      <c r="Q906" s="8"/>
      <c r="S906" s="14"/>
      <c r="T906" s="14"/>
      <c r="U906" s="14"/>
      <c r="V906" s="14"/>
      <c r="W906" s="14"/>
      <c r="X906" s="14"/>
      <c r="Y906" s="42"/>
      <c r="Z906" s="42"/>
      <c r="AA906" s="42"/>
      <c r="AB906" s="42"/>
      <c r="AC906" s="42"/>
      <c r="AD906" s="42"/>
      <c r="AE906" s="42"/>
      <c r="AF906" s="42"/>
      <c r="AG906" s="42"/>
      <c r="AH906" s="42"/>
      <c r="AI906" s="42"/>
      <c r="AJ906" s="42"/>
      <c r="AK906" s="42"/>
      <c r="AL906" s="42"/>
      <c r="AM906" s="42"/>
      <c r="AN906" s="42"/>
      <c r="AO906" s="42"/>
      <c r="AP906" s="42"/>
      <c r="AQ906" s="42"/>
      <c r="AR906" s="42"/>
    </row>
    <row r="907" spans="1:44" ht="15.75" customHeight="1" x14ac:dyDescent="0.3">
      <c r="A907" s="14"/>
      <c r="B907" s="8"/>
      <c r="C907" s="2647"/>
      <c r="D907" s="8"/>
      <c r="E907" s="8"/>
      <c r="F907" s="8"/>
      <c r="G907" s="8"/>
      <c r="H907" s="8"/>
      <c r="I907" s="8"/>
      <c r="J907" s="8"/>
      <c r="K907" s="222"/>
      <c r="L907" s="8"/>
      <c r="M907" s="8"/>
      <c r="N907" s="8"/>
      <c r="O907" s="8"/>
      <c r="P907" s="8"/>
      <c r="Q907" s="8"/>
      <c r="S907" s="14"/>
      <c r="T907" s="14"/>
      <c r="U907" s="14"/>
      <c r="V907" s="14"/>
      <c r="W907" s="14"/>
      <c r="X907" s="14"/>
      <c r="Y907" s="42"/>
      <c r="Z907" s="42"/>
      <c r="AA907" s="42"/>
      <c r="AB907" s="42"/>
      <c r="AC907" s="42"/>
      <c r="AD907" s="42"/>
      <c r="AE907" s="42"/>
      <c r="AF907" s="42"/>
      <c r="AG907" s="42"/>
      <c r="AH907" s="42"/>
      <c r="AI907" s="42"/>
      <c r="AJ907" s="42"/>
      <c r="AK907" s="42"/>
      <c r="AL907" s="42"/>
      <c r="AM907" s="42"/>
      <c r="AN907" s="42"/>
      <c r="AO907" s="42"/>
      <c r="AP907" s="42"/>
      <c r="AQ907" s="42"/>
      <c r="AR907" s="42"/>
    </row>
    <row r="908" spans="1:44" ht="15.75" customHeight="1" x14ac:dyDescent="0.3">
      <c r="A908" s="14"/>
      <c r="B908" s="8"/>
      <c r="C908" s="2647"/>
      <c r="D908" s="8"/>
      <c r="E908" s="8"/>
      <c r="F908" s="8"/>
      <c r="G908" s="8"/>
      <c r="H908" s="8"/>
      <c r="I908" s="8"/>
      <c r="J908" s="8"/>
      <c r="K908" s="222"/>
      <c r="L908" s="8"/>
      <c r="M908" s="8"/>
      <c r="N908" s="8"/>
      <c r="O908" s="8"/>
      <c r="P908" s="8"/>
      <c r="Q908" s="8"/>
      <c r="S908" s="14"/>
      <c r="T908" s="14"/>
      <c r="U908" s="14"/>
      <c r="V908" s="14"/>
      <c r="W908" s="14"/>
      <c r="X908" s="14"/>
      <c r="Y908" s="42"/>
      <c r="Z908" s="42"/>
      <c r="AA908" s="42"/>
      <c r="AB908" s="42"/>
      <c r="AC908" s="42"/>
      <c r="AD908" s="42"/>
      <c r="AE908" s="42"/>
      <c r="AF908" s="42"/>
      <c r="AG908" s="42"/>
      <c r="AH908" s="42"/>
      <c r="AI908" s="42"/>
      <c r="AJ908" s="42"/>
      <c r="AK908" s="42"/>
      <c r="AL908" s="42"/>
      <c r="AM908" s="42"/>
      <c r="AN908" s="42"/>
      <c r="AO908" s="42"/>
      <c r="AP908" s="42"/>
      <c r="AQ908" s="42"/>
      <c r="AR908" s="42"/>
    </row>
    <row r="909" spans="1:44" ht="15.75" customHeight="1" x14ac:dyDescent="0.3">
      <c r="A909" s="14"/>
      <c r="B909" s="8"/>
      <c r="C909" s="2647"/>
      <c r="D909" s="8"/>
      <c r="E909" s="8"/>
      <c r="F909" s="8"/>
      <c r="G909" s="8"/>
      <c r="H909" s="8"/>
      <c r="I909" s="8"/>
      <c r="J909" s="8"/>
      <c r="K909" s="222"/>
      <c r="L909" s="8"/>
      <c r="M909" s="8"/>
      <c r="N909" s="8"/>
      <c r="O909" s="8"/>
      <c r="P909" s="8"/>
      <c r="Q909" s="8"/>
      <c r="S909" s="14"/>
      <c r="T909" s="14"/>
      <c r="U909" s="14"/>
      <c r="V909" s="14"/>
      <c r="W909" s="14"/>
      <c r="X909" s="14"/>
      <c r="Y909" s="42"/>
      <c r="Z909" s="42"/>
      <c r="AA909" s="42"/>
      <c r="AB909" s="42"/>
      <c r="AC909" s="42"/>
      <c r="AD909" s="42"/>
      <c r="AE909" s="42"/>
      <c r="AF909" s="42"/>
      <c r="AG909" s="42"/>
      <c r="AH909" s="42"/>
      <c r="AI909" s="42"/>
      <c r="AJ909" s="42"/>
      <c r="AK909" s="42"/>
      <c r="AL909" s="42"/>
      <c r="AM909" s="42"/>
      <c r="AN909" s="42"/>
      <c r="AO909" s="42"/>
      <c r="AP909" s="42"/>
      <c r="AQ909" s="42"/>
      <c r="AR909" s="42"/>
    </row>
    <row r="910" spans="1:44" ht="15.75" customHeight="1" x14ac:dyDescent="0.3">
      <c r="A910" s="14"/>
      <c r="B910" s="8"/>
      <c r="C910" s="2647"/>
      <c r="D910" s="8"/>
      <c r="E910" s="8"/>
      <c r="F910" s="8"/>
      <c r="G910" s="8"/>
      <c r="H910" s="8"/>
      <c r="I910" s="8"/>
      <c r="J910" s="8"/>
      <c r="K910" s="222"/>
      <c r="L910" s="8"/>
      <c r="M910" s="8"/>
      <c r="N910" s="8"/>
      <c r="O910" s="8"/>
      <c r="P910" s="8"/>
      <c r="Q910" s="8"/>
      <c r="S910" s="14"/>
      <c r="T910" s="14"/>
      <c r="U910" s="14"/>
      <c r="V910" s="14"/>
      <c r="W910" s="14"/>
      <c r="X910" s="14"/>
      <c r="Y910" s="42"/>
      <c r="Z910" s="42"/>
      <c r="AA910" s="42"/>
      <c r="AB910" s="42"/>
      <c r="AC910" s="42"/>
      <c r="AD910" s="42"/>
      <c r="AE910" s="42"/>
      <c r="AF910" s="42"/>
      <c r="AG910" s="42"/>
      <c r="AH910" s="42"/>
      <c r="AI910" s="42"/>
      <c r="AJ910" s="42"/>
      <c r="AK910" s="42"/>
      <c r="AL910" s="42"/>
      <c r="AM910" s="42"/>
      <c r="AN910" s="42"/>
      <c r="AO910" s="42"/>
      <c r="AP910" s="42"/>
      <c r="AQ910" s="42"/>
      <c r="AR910" s="42"/>
    </row>
    <row r="911" spans="1:44" ht="15.75" customHeight="1" x14ac:dyDescent="0.3">
      <c r="A911" s="14"/>
      <c r="B911" s="8"/>
      <c r="C911" s="2647"/>
      <c r="D911" s="8"/>
      <c r="E911" s="8"/>
      <c r="F911" s="8"/>
      <c r="G911" s="8"/>
      <c r="H911" s="8"/>
      <c r="I911" s="8"/>
      <c r="J911" s="8"/>
      <c r="K911" s="222"/>
      <c r="L911" s="8"/>
      <c r="M911" s="8"/>
      <c r="N911" s="8"/>
      <c r="O911" s="8"/>
      <c r="P911" s="8"/>
      <c r="Q911" s="8"/>
      <c r="S911" s="14"/>
      <c r="T911" s="14"/>
      <c r="U911" s="14"/>
      <c r="V911" s="14"/>
      <c r="W911" s="14"/>
      <c r="X911" s="14"/>
      <c r="Y911" s="42"/>
      <c r="Z911" s="42"/>
      <c r="AA911" s="42"/>
      <c r="AB911" s="42"/>
      <c r="AC911" s="42"/>
      <c r="AD911" s="42"/>
      <c r="AE911" s="42"/>
      <c r="AF911" s="42"/>
      <c r="AG911" s="42"/>
      <c r="AH911" s="42"/>
      <c r="AI911" s="42"/>
      <c r="AJ911" s="42"/>
      <c r="AK911" s="42"/>
      <c r="AL911" s="42"/>
      <c r="AM911" s="42"/>
      <c r="AN911" s="42"/>
      <c r="AO911" s="42"/>
      <c r="AP911" s="42"/>
      <c r="AQ911" s="42"/>
      <c r="AR911" s="42"/>
    </row>
    <row r="912" spans="1:44" ht="15.75" customHeight="1" x14ac:dyDescent="0.3">
      <c r="A912" s="14"/>
      <c r="B912" s="8"/>
      <c r="C912" s="2647"/>
      <c r="D912" s="8"/>
      <c r="E912" s="8"/>
      <c r="F912" s="8"/>
      <c r="G912" s="8"/>
      <c r="H912" s="8"/>
      <c r="I912" s="8"/>
      <c r="J912" s="8"/>
      <c r="K912" s="222"/>
      <c r="L912" s="8"/>
      <c r="M912" s="8"/>
      <c r="N912" s="8"/>
      <c r="O912" s="8"/>
      <c r="P912" s="8"/>
      <c r="Q912" s="8"/>
      <c r="S912" s="14"/>
      <c r="T912" s="14"/>
      <c r="U912" s="14"/>
      <c r="V912" s="14"/>
      <c r="W912" s="14"/>
      <c r="X912" s="14"/>
      <c r="Y912" s="42"/>
      <c r="Z912" s="42"/>
      <c r="AA912" s="42"/>
      <c r="AB912" s="42"/>
      <c r="AC912" s="42"/>
      <c r="AD912" s="42"/>
      <c r="AE912" s="42"/>
      <c r="AF912" s="42"/>
      <c r="AG912" s="42"/>
      <c r="AH912" s="42"/>
      <c r="AI912" s="42"/>
      <c r="AJ912" s="42"/>
      <c r="AK912" s="42"/>
      <c r="AL912" s="42"/>
      <c r="AM912" s="42"/>
      <c r="AN912" s="42"/>
      <c r="AO912" s="42"/>
      <c r="AP912" s="42"/>
      <c r="AQ912" s="42"/>
      <c r="AR912" s="42"/>
    </row>
    <row r="913" spans="1:44" ht="15.75" customHeight="1" x14ac:dyDescent="0.3">
      <c r="A913" s="14"/>
      <c r="B913" s="8"/>
      <c r="C913" s="2647"/>
      <c r="D913" s="8"/>
      <c r="E913" s="8"/>
      <c r="F913" s="8"/>
      <c r="G913" s="8"/>
      <c r="H913" s="8"/>
      <c r="I913" s="8"/>
      <c r="J913" s="8"/>
      <c r="K913" s="222"/>
      <c r="L913" s="8"/>
      <c r="M913" s="8"/>
      <c r="N913" s="8"/>
      <c r="O913" s="8"/>
      <c r="P913" s="8"/>
      <c r="Q913" s="8"/>
      <c r="S913" s="14"/>
      <c r="T913" s="14"/>
      <c r="U913" s="14"/>
      <c r="V913" s="14"/>
      <c r="W913" s="14"/>
      <c r="X913" s="14"/>
      <c r="Y913" s="42"/>
      <c r="Z913" s="42"/>
      <c r="AA913" s="42"/>
      <c r="AB913" s="42"/>
      <c r="AC913" s="42"/>
      <c r="AD913" s="42"/>
      <c r="AE913" s="42"/>
      <c r="AF913" s="42"/>
      <c r="AG913" s="42"/>
      <c r="AH913" s="42"/>
      <c r="AI913" s="42"/>
      <c r="AJ913" s="42"/>
      <c r="AK913" s="42"/>
      <c r="AL913" s="42"/>
      <c r="AM913" s="42"/>
      <c r="AN913" s="42"/>
      <c r="AO913" s="42"/>
      <c r="AP913" s="42"/>
      <c r="AQ913" s="42"/>
      <c r="AR913" s="42"/>
    </row>
    <row r="914" spans="1:44" ht="15.75" customHeight="1" x14ac:dyDescent="0.3">
      <c r="A914" s="14"/>
      <c r="B914" s="8"/>
      <c r="C914" s="2647"/>
      <c r="D914" s="8"/>
      <c r="E914" s="8"/>
      <c r="F914" s="8"/>
      <c r="G914" s="8"/>
      <c r="H914" s="8"/>
      <c r="I914" s="8"/>
      <c r="J914" s="8"/>
      <c r="K914" s="222"/>
      <c r="L914" s="8"/>
      <c r="M914" s="8"/>
      <c r="N914" s="8"/>
      <c r="O914" s="8"/>
      <c r="P914" s="8"/>
      <c r="Q914" s="8"/>
      <c r="S914" s="14"/>
      <c r="T914" s="14"/>
      <c r="U914" s="14"/>
      <c r="V914" s="14"/>
      <c r="W914" s="14"/>
      <c r="X914" s="14"/>
      <c r="Y914" s="42"/>
      <c r="Z914" s="42"/>
      <c r="AA914" s="42"/>
      <c r="AB914" s="42"/>
      <c r="AC914" s="42"/>
      <c r="AD914" s="42"/>
      <c r="AE914" s="42"/>
      <c r="AF914" s="42"/>
      <c r="AG914" s="42"/>
      <c r="AH914" s="42"/>
      <c r="AI914" s="42"/>
      <c r="AJ914" s="42"/>
      <c r="AK914" s="42"/>
      <c r="AL914" s="42"/>
      <c r="AM914" s="42"/>
      <c r="AN914" s="42"/>
      <c r="AO914" s="42"/>
      <c r="AP914" s="42"/>
      <c r="AQ914" s="42"/>
      <c r="AR914" s="42"/>
    </row>
    <row r="915" spans="1:44" ht="15.75" customHeight="1" x14ac:dyDescent="0.3">
      <c r="A915" s="14"/>
      <c r="B915" s="8"/>
      <c r="C915" s="2647"/>
      <c r="D915" s="8"/>
      <c r="E915" s="8"/>
      <c r="F915" s="8"/>
      <c r="G915" s="8"/>
      <c r="H915" s="8"/>
      <c r="I915" s="8"/>
      <c r="J915" s="8"/>
      <c r="K915" s="222"/>
      <c r="L915" s="8"/>
      <c r="M915" s="8"/>
      <c r="N915" s="8"/>
      <c r="O915" s="8"/>
      <c r="P915" s="8"/>
      <c r="Q915" s="8"/>
      <c r="S915" s="14"/>
      <c r="T915" s="14"/>
      <c r="U915" s="14"/>
      <c r="V915" s="14"/>
      <c r="W915" s="14"/>
      <c r="X915" s="14"/>
      <c r="Y915" s="42"/>
      <c r="Z915" s="42"/>
      <c r="AA915" s="42"/>
      <c r="AB915" s="42"/>
      <c r="AC915" s="42"/>
      <c r="AD915" s="42"/>
      <c r="AE915" s="42"/>
      <c r="AF915" s="42"/>
      <c r="AG915" s="42"/>
      <c r="AH915" s="42"/>
      <c r="AI915" s="42"/>
      <c r="AJ915" s="42"/>
      <c r="AK915" s="42"/>
      <c r="AL915" s="42"/>
      <c r="AM915" s="42"/>
      <c r="AN915" s="42"/>
      <c r="AO915" s="42"/>
      <c r="AP915" s="42"/>
      <c r="AQ915" s="42"/>
      <c r="AR915" s="42"/>
    </row>
    <row r="916" spans="1:44" ht="15.75" customHeight="1" x14ac:dyDescent="0.3">
      <c r="A916" s="14"/>
      <c r="B916" s="8"/>
      <c r="C916" s="2647"/>
      <c r="D916" s="8"/>
      <c r="E916" s="8"/>
      <c r="F916" s="8"/>
      <c r="G916" s="8"/>
      <c r="H916" s="8"/>
      <c r="I916" s="8"/>
      <c r="J916" s="8"/>
      <c r="K916" s="222"/>
      <c r="L916" s="8"/>
      <c r="M916" s="8"/>
      <c r="N916" s="8"/>
      <c r="O916" s="8"/>
      <c r="P916" s="8"/>
      <c r="Q916" s="8"/>
      <c r="S916" s="14"/>
      <c r="T916" s="14"/>
      <c r="U916" s="14"/>
      <c r="V916" s="14"/>
      <c r="W916" s="14"/>
      <c r="X916" s="14"/>
      <c r="Y916" s="42"/>
      <c r="Z916" s="42"/>
      <c r="AA916" s="42"/>
      <c r="AB916" s="42"/>
      <c r="AC916" s="42"/>
      <c r="AD916" s="42"/>
      <c r="AE916" s="42"/>
      <c r="AF916" s="42"/>
      <c r="AG916" s="42"/>
      <c r="AH916" s="42"/>
      <c r="AI916" s="42"/>
      <c r="AJ916" s="42"/>
      <c r="AK916" s="42"/>
      <c r="AL916" s="42"/>
      <c r="AM916" s="42"/>
      <c r="AN916" s="42"/>
      <c r="AO916" s="42"/>
      <c r="AP916" s="42"/>
      <c r="AQ916" s="42"/>
      <c r="AR916" s="42"/>
    </row>
    <row r="917" spans="1:44" ht="15.75" customHeight="1" x14ac:dyDescent="0.3">
      <c r="A917" s="14"/>
      <c r="B917" s="8"/>
      <c r="C917" s="2647"/>
      <c r="D917" s="8"/>
      <c r="E917" s="8"/>
      <c r="F917" s="8"/>
      <c r="G917" s="8"/>
      <c r="H917" s="8"/>
      <c r="I917" s="8"/>
      <c r="J917" s="8"/>
      <c r="K917" s="222"/>
      <c r="L917" s="8"/>
      <c r="M917" s="8"/>
      <c r="N917" s="8"/>
      <c r="O917" s="8"/>
      <c r="P917" s="8"/>
      <c r="Q917" s="8"/>
      <c r="S917" s="14"/>
      <c r="T917" s="14"/>
      <c r="U917" s="14"/>
      <c r="V917" s="14"/>
      <c r="W917" s="14"/>
      <c r="X917" s="14"/>
      <c r="Y917" s="42"/>
      <c r="Z917" s="42"/>
      <c r="AA917" s="42"/>
      <c r="AB917" s="42"/>
      <c r="AC917" s="42"/>
      <c r="AD917" s="42"/>
      <c r="AE917" s="42"/>
      <c r="AF917" s="42"/>
      <c r="AG917" s="42"/>
      <c r="AH917" s="42"/>
      <c r="AI917" s="42"/>
      <c r="AJ917" s="42"/>
      <c r="AK917" s="42"/>
      <c r="AL917" s="42"/>
      <c r="AM917" s="42"/>
      <c r="AN917" s="42"/>
      <c r="AO917" s="42"/>
      <c r="AP917" s="42"/>
      <c r="AQ917" s="42"/>
      <c r="AR917" s="42"/>
    </row>
    <row r="918" spans="1:44" ht="15.75" customHeight="1" x14ac:dyDescent="0.3">
      <c r="A918" s="14"/>
      <c r="B918" s="8"/>
      <c r="C918" s="2647"/>
      <c r="D918" s="8"/>
      <c r="E918" s="8"/>
      <c r="F918" s="8"/>
      <c r="G918" s="8"/>
      <c r="H918" s="8"/>
      <c r="I918" s="8"/>
      <c r="J918" s="8"/>
      <c r="K918" s="222"/>
      <c r="L918" s="8"/>
      <c r="M918" s="8"/>
      <c r="N918" s="8"/>
      <c r="O918" s="8"/>
      <c r="P918" s="8"/>
      <c r="Q918" s="8"/>
      <c r="S918" s="14"/>
      <c r="T918" s="14"/>
      <c r="U918" s="14"/>
      <c r="V918" s="14"/>
      <c r="W918" s="14"/>
      <c r="X918" s="14"/>
      <c r="Y918" s="42"/>
      <c r="Z918" s="42"/>
      <c r="AA918" s="42"/>
      <c r="AB918" s="42"/>
      <c r="AC918" s="42"/>
      <c r="AD918" s="42"/>
      <c r="AE918" s="42"/>
      <c r="AF918" s="42"/>
      <c r="AG918" s="42"/>
      <c r="AH918" s="42"/>
      <c r="AI918" s="42"/>
      <c r="AJ918" s="42"/>
      <c r="AK918" s="42"/>
      <c r="AL918" s="42"/>
      <c r="AM918" s="42"/>
      <c r="AN918" s="42"/>
      <c r="AO918" s="42"/>
      <c r="AP918" s="42"/>
      <c r="AQ918" s="42"/>
      <c r="AR918" s="42"/>
    </row>
    <row r="919" spans="1:44" ht="15.75" customHeight="1" x14ac:dyDescent="0.3">
      <c r="A919" s="14"/>
      <c r="B919" s="8"/>
      <c r="C919" s="2647"/>
      <c r="D919" s="8"/>
      <c r="E919" s="8"/>
      <c r="F919" s="8"/>
      <c r="G919" s="8"/>
      <c r="H919" s="8"/>
      <c r="I919" s="8"/>
      <c r="J919" s="8"/>
      <c r="K919" s="222"/>
      <c r="L919" s="8"/>
      <c r="M919" s="8"/>
      <c r="N919" s="8"/>
      <c r="O919" s="8"/>
      <c r="P919" s="8"/>
      <c r="Q919" s="8"/>
      <c r="S919" s="14"/>
      <c r="T919" s="14"/>
      <c r="U919" s="14"/>
      <c r="V919" s="14"/>
      <c r="W919" s="14"/>
      <c r="X919" s="14"/>
      <c r="Y919" s="42"/>
      <c r="Z919" s="42"/>
      <c r="AA919" s="42"/>
      <c r="AB919" s="42"/>
      <c r="AC919" s="42"/>
      <c r="AD919" s="42"/>
      <c r="AE919" s="42"/>
      <c r="AF919" s="42"/>
      <c r="AG919" s="42"/>
      <c r="AH919" s="42"/>
      <c r="AI919" s="42"/>
      <c r="AJ919" s="42"/>
      <c r="AK919" s="42"/>
      <c r="AL919" s="42"/>
      <c r="AM919" s="42"/>
      <c r="AN919" s="42"/>
      <c r="AO919" s="42"/>
      <c r="AP919" s="42"/>
      <c r="AQ919" s="42"/>
      <c r="AR919" s="42"/>
    </row>
    <row r="920" spans="1:44" ht="15.75" customHeight="1" x14ac:dyDescent="0.3">
      <c r="A920" s="14"/>
      <c r="B920" s="8"/>
      <c r="C920" s="2647"/>
      <c r="D920" s="8"/>
      <c r="E920" s="8"/>
      <c r="F920" s="8"/>
      <c r="G920" s="8"/>
      <c r="H920" s="8"/>
      <c r="I920" s="8"/>
      <c r="J920" s="8"/>
      <c r="K920" s="222"/>
      <c r="L920" s="8"/>
      <c r="M920" s="8"/>
      <c r="N920" s="8"/>
      <c r="O920" s="8"/>
      <c r="P920" s="8"/>
      <c r="Q920" s="8"/>
      <c r="S920" s="14"/>
      <c r="T920" s="14"/>
      <c r="U920" s="14"/>
      <c r="V920" s="14"/>
      <c r="W920" s="14"/>
      <c r="X920" s="14"/>
      <c r="Y920" s="42"/>
      <c r="Z920" s="42"/>
      <c r="AA920" s="42"/>
      <c r="AB920" s="42"/>
      <c r="AC920" s="42"/>
      <c r="AD920" s="42"/>
      <c r="AE920" s="42"/>
      <c r="AF920" s="42"/>
      <c r="AG920" s="42"/>
      <c r="AH920" s="42"/>
      <c r="AI920" s="42"/>
      <c r="AJ920" s="42"/>
      <c r="AK920" s="42"/>
      <c r="AL920" s="42"/>
      <c r="AM920" s="42"/>
      <c r="AN920" s="42"/>
      <c r="AO920" s="42"/>
      <c r="AP920" s="42"/>
      <c r="AQ920" s="42"/>
      <c r="AR920" s="42"/>
    </row>
    <row r="921" spans="1:44" ht="15.75" customHeight="1" x14ac:dyDescent="0.3">
      <c r="A921" s="14"/>
      <c r="B921" s="8"/>
      <c r="C921" s="2647"/>
      <c r="D921" s="8"/>
      <c r="E921" s="8"/>
      <c r="F921" s="8"/>
      <c r="G921" s="8"/>
      <c r="H921" s="8"/>
      <c r="I921" s="8"/>
      <c r="J921" s="8"/>
      <c r="K921" s="222"/>
      <c r="L921" s="8"/>
      <c r="M921" s="8"/>
      <c r="N921" s="8"/>
      <c r="O921" s="8"/>
      <c r="P921" s="8"/>
      <c r="Q921" s="8"/>
      <c r="S921" s="14"/>
      <c r="T921" s="14"/>
      <c r="U921" s="14"/>
      <c r="V921" s="14"/>
      <c r="W921" s="14"/>
      <c r="X921" s="14"/>
      <c r="Y921" s="42"/>
      <c r="Z921" s="42"/>
      <c r="AA921" s="42"/>
      <c r="AB921" s="42"/>
      <c r="AC921" s="42"/>
      <c r="AD921" s="42"/>
      <c r="AE921" s="42"/>
      <c r="AF921" s="42"/>
      <c r="AG921" s="42"/>
      <c r="AH921" s="42"/>
      <c r="AI921" s="42"/>
      <c r="AJ921" s="42"/>
      <c r="AK921" s="42"/>
      <c r="AL921" s="42"/>
      <c r="AM921" s="42"/>
      <c r="AN921" s="42"/>
      <c r="AO921" s="42"/>
      <c r="AP921" s="42"/>
      <c r="AQ921" s="42"/>
      <c r="AR921" s="42"/>
    </row>
    <row r="922" spans="1:44" ht="15.75" customHeight="1" x14ac:dyDescent="0.3">
      <c r="A922" s="14"/>
      <c r="B922" s="8"/>
      <c r="C922" s="2647"/>
      <c r="D922" s="8"/>
      <c r="E922" s="8"/>
      <c r="F922" s="8"/>
      <c r="G922" s="8"/>
      <c r="H922" s="8"/>
      <c r="I922" s="8"/>
      <c r="J922" s="8"/>
      <c r="K922" s="222"/>
      <c r="L922" s="8"/>
      <c r="M922" s="8"/>
      <c r="N922" s="8"/>
      <c r="O922" s="8"/>
      <c r="P922" s="8"/>
      <c r="Q922" s="8"/>
      <c r="S922" s="14"/>
      <c r="T922" s="14"/>
      <c r="U922" s="14"/>
      <c r="V922" s="14"/>
      <c r="W922" s="14"/>
      <c r="X922" s="14"/>
      <c r="Y922" s="42"/>
      <c r="Z922" s="42"/>
      <c r="AA922" s="42"/>
      <c r="AB922" s="42"/>
      <c r="AC922" s="42"/>
      <c r="AD922" s="42"/>
      <c r="AE922" s="42"/>
      <c r="AF922" s="42"/>
      <c r="AG922" s="42"/>
      <c r="AH922" s="42"/>
      <c r="AI922" s="42"/>
      <c r="AJ922" s="42"/>
      <c r="AK922" s="42"/>
      <c r="AL922" s="42"/>
      <c r="AM922" s="42"/>
      <c r="AN922" s="42"/>
      <c r="AO922" s="42"/>
      <c r="AP922" s="42"/>
      <c r="AQ922" s="42"/>
      <c r="AR922" s="42"/>
    </row>
    <row r="923" spans="1:44" ht="15.75" customHeight="1" x14ac:dyDescent="0.3">
      <c r="A923" s="14"/>
      <c r="B923" s="8"/>
      <c r="C923" s="2647"/>
      <c r="D923" s="8"/>
      <c r="E923" s="8"/>
      <c r="F923" s="8"/>
      <c r="G923" s="8"/>
      <c r="H923" s="8"/>
      <c r="I923" s="8"/>
      <c r="J923" s="8"/>
      <c r="K923" s="222"/>
      <c r="L923" s="8"/>
      <c r="M923" s="8"/>
      <c r="N923" s="8"/>
      <c r="O923" s="8"/>
      <c r="P923" s="8"/>
      <c r="Q923" s="8"/>
      <c r="S923" s="14"/>
      <c r="T923" s="14"/>
      <c r="U923" s="14"/>
      <c r="V923" s="14"/>
      <c r="W923" s="14"/>
      <c r="X923" s="14"/>
      <c r="Y923" s="42"/>
      <c r="Z923" s="42"/>
      <c r="AA923" s="42"/>
      <c r="AB923" s="42"/>
      <c r="AC923" s="42"/>
      <c r="AD923" s="42"/>
      <c r="AE923" s="42"/>
      <c r="AF923" s="42"/>
      <c r="AG923" s="42"/>
      <c r="AH923" s="42"/>
      <c r="AI923" s="42"/>
      <c r="AJ923" s="42"/>
      <c r="AK923" s="42"/>
      <c r="AL923" s="42"/>
      <c r="AM923" s="42"/>
      <c r="AN923" s="42"/>
      <c r="AO923" s="42"/>
      <c r="AP923" s="42"/>
      <c r="AQ923" s="42"/>
      <c r="AR923" s="42"/>
    </row>
    <row r="924" spans="1:44" ht="15.75" customHeight="1" x14ac:dyDescent="0.3">
      <c r="A924" s="14"/>
      <c r="B924" s="8"/>
      <c r="C924" s="2647"/>
      <c r="D924" s="8"/>
      <c r="E924" s="8"/>
      <c r="F924" s="8"/>
      <c r="G924" s="8"/>
      <c r="H924" s="8"/>
      <c r="I924" s="8"/>
      <c r="J924" s="8"/>
      <c r="K924" s="222"/>
      <c r="L924" s="8"/>
      <c r="M924" s="8"/>
      <c r="N924" s="8"/>
      <c r="O924" s="8"/>
      <c r="P924" s="8"/>
      <c r="Q924" s="8"/>
      <c r="S924" s="14"/>
      <c r="T924" s="14"/>
      <c r="U924" s="14"/>
      <c r="V924" s="14"/>
      <c r="W924" s="14"/>
      <c r="X924" s="14"/>
      <c r="Y924" s="42"/>
      <c r="Z924" s="42"/>
      <c r="AA924" s="42"/>
      <c r="AB924" s="42"/>
      <c r="AC924" s="42"/>
      <c r="AD924" s="42"/>
      <c r="AE924" s="42"/>
      <c r="AF924" s="42"/>
      <c r="AG924" s="42"/>
      <c r="AH924" s="42"/>
      <c r="AI924" s="42"/>
      <c r="AJ924" s="42"/>
      <c r="AK924" s="42"/>
      <c r="AL924" s="42"/>
      <c r="AM924" s="42"/>
      <c r="AN924" s="42"/>
      <c r="AO924" s="42"/>
      <c r="AP924" s="42"/>
      <c r="AQ924" s="42"/>
      <c r="AR924" s="42"/>
    </row>
    <row r="925" spans="1:44" ht="15.75" customHeight="1" x14ac:dyDescent="0.3">
      <c r="A925" s="14"/>
      <c r="B925" s="8"/>
      <c r="C925" s="2647"/>
      <c r="D925" s="8"/>
      <c r="E925" s="8"/>
      <c r="F925" s="8"/>
      <c r="G925" s="8"/>
      <c r="H925" s="8"/>
      <c r="I925" s="8"/>
      <c r="J925" s="8"/>
      <c r="K925" s="222"/>
      <c r="L925" s="8"/>
      <c r="M925" s="8"/>
      <c r="N925" s="8"/>
      <c r="O925" s="8"/>
      <c r="P925" s="8"/>
      <c r="Q925" s="8"/>
      <c r="S925" s="14"/>
      <c r="T925" s="14"/>
      <c r="U925" s="14"/>
      <c r="V925" s="14"/>
      <c r="W925" s="14"/>
      <c r="X925" s="14"/>
      <c r="Y925" s="42"/>
      <c r="Z925" s="42"/>
      <c r="AA925" s="42"/>
      <c r="AB925" s="42"/>
      <c r="AC925" s="42"/>
      <c r="AD925" s="42"/>
      <c r="AE925" s="42"/>
      <c r="AF925" s="42"/>
      <c r="AG925" s="42"/>
      <c r="AH925" s="42"/>
      <c r="AI925" s="42"/>
      <c r="AJ925" s="42"/>
      <c r="AK925" s="42"/>
      <c r="AL925" s="42"/>
      <c r="AM925" s="42"/>
      <c r="AN925" s="42"/>
      <c r="AO925" s="42"/>
      <c r="AP925" s="42"/>
      <c r="AQ925" s="42"/>
      <c r="AR925" s="42"/>
    </row>
    <row r="926" spans="1:44" ht="15.75" customHeight="1" x14ac:dyDescent="0.3">
      <c r="A926" s="14"/>
      <c r="B926" s="8"/>
      <c r="C926" s="2647"/>
      <c r="D926" s="8"/>
      <c r="E926" s="8"/>
      <c r="F926" s="8"/>
      <c r="G926" s="8"/>
      <c r="H926" s="8"/>
      <c r="I926" s="8"/>
      <c r="J926" s="8"/>
      <c r="K926" s="222"/>
      <c r="L926" s="8"/>
      <c r="M926" s="8"/>
      <c r="N926" s="8"/>
      <c r="O926" s="8"/>
      <c r="P926" s="8"/>
      <c r="Q926" s="8"/>
      <c r="S926" s="14"/>
      <c r="T926" s="14"/>
      <c r="U926" s="14"/>
      <c r="V926" s="14"/>
      <c r="W926" s="14"/>
      <c r="X926" s="14"/>
      <c r="Y926" s="42"/>
      <c r="Z926" s="42"/>
      <c r="AA926" s="42"/>
      <c r="AB926" s="42"/>
      <c r="AC926" s="42"/>
      <c r="AD926" s="42"/>
      <c r="AE926" s="42"/>
      <c r="AF926" s="42"/>
      <c r="AG926" s="42"/>
      <c r="AH926" s="42"/>
      <c r="AI926" s="42"/>
      <c r="AJ926" s="42"/>
      <c r="AK926" s="42"/>
      <c r="AL926" s="42"/>
      <c r="AM926" s="42"/>
      <c r="AN926" s="42"/>
      <c r="AO926" s="42"/>
      <c r="AP926" s="42"/>
      <c r="AQ926" s="42"/>
      <c r="AR926" s="42"/>
    </row>
    <row r="927" spans="1:44" ht="15.75" customHeight="1" x14ac:dyDescent="0.3">
      <c r="A927" s="14"/>
      <c r="B927" s="8"/>
      <c r="C927" s="2647"/>
      <c r="D927" s="8"/>
      <c r="E927" s="8"/>
      <c r="F927" s="8"/>
      <c r="G927" s="8"/>
      <c r="H927" s="8"/>
      <c r="I927" s="8"/>
      <c r="J927" s="8"/>
      <c r="K927" s="222"/>
      <c r="L927" s="8"/>
      <c r="M927" s="8"/>
      <c r="N927" s="8"/>
      <c r="O927" s="8"/>
      <c r="P927" s="8"/>
      <c r="Q927" s="8"/>
      <c r="S927" s="14"/>
      <c r="T927" s="14"/>
      <c r="U927" s="14"/>
      <c r="V927" s="14"/>
      <c r="W927" s="14"/>
      <c r="X927" s="14"/>
      <c r="Y927" s="42"/>
      <c r="Z927" s="42"/>
      <c r="AA927" s="42"/>
      <c r="AB927" s="42"/>
      <c r="AC927" s="42"/>
      <c r="AD927" s="42"/>
      <c r="AE927" s="42"/>
      <c r="AF927" s="42"/>
      <c r="AG927" s="42"/>
      <c r="AH927" s="42"/>
      <c r="AI927" s="42"/>
      <c r="AJ927" s="42"/>
      <c r="AK927" s="42"/>
      <c r="AL927" s="42"/>
      <c r="AM927" s="42"/>
      <c r="AN927" s="42"/>
      <c r="AO927" s="42"/>
      <c r="AP927" s="42"/>
      <c r="AQ927" s="42"/>
      <c r="AR927" s="42"/>
    </row>
    <row r="928" spans="1:44" ht="15.75" customHeight="1" x14ac:dyDescent="0.3">
      <c r="A928" s="14"/>
      <c r="B928" s="8"/>
      <c r="C928" s="2647"/>
      <c r="D928" s="8"/>
      <c r="E928" s="8"/>
      <c r="F928" s="8"/>
      <c r="G928" s="8"/>
      <c r="H928" s="8"/>
      <c r="I928" s="8"/>
      <c r="J928" s="8"/>
      <c r="K928" s="222"/>
      <c r="L928" s="8"/>
      <c r="M928" s="8"/>
      <c r="N928" s="8"/>
      <c r="O928" s="8"/>
      <c r="P928" s="8"/>
      <c r="Q928" s="8"/>
      <c r="S928" s="14"/>
      <c r="T928" s="14"/>
      <c r="U928" s="14"/>
      <c r="V928" s="14"/>
      <c r="W928" s="14"/>
      <c r="X928" s="14"/>
      <c r="Y928" s="42"/>
      <c r="Z928" s="42"/>
      <c r="AA928" s="42"/>
      <c r="AB928" s="42"/>
      <c r="AC928" s="42"/>
      <c r="AD928" s="42"/>
      <c r="AE928" s="42"/>
      <c r="AF928" s="42"/>
      <c r="AG928" s="42"/>
      <c r="AH928" s="42"/>
      <c r="AI928" s="42"/>
      <c r="AJ928" s="42"/>
      <c r="AK928" s="42"/>
      <c r="AL928" s="42"/>
      <c r="AM928" s="42"/>
      <c r="AN928" s="42"/>
      <c r="AO928" s="42"/>
      <c r="AP928" s="42"/>
      <c r="AQ928" s="42"/>
      <c r="AR928" s="42"/>
    </row>
    <row r="929" spans="1:44" ht="15.75" customHeight="1" x14ac:dyDescent="0.3">
      <c r="A929" s="14"/>
      <c r="B929" s="8"/>
      <c r="C929" s="2647"/>
      <c r="D929" s="8"/>
      <c r="E929" s="8"/>
      <c r="F929" s="8"/>
      <c r="G929" s="8"/>
      <c r="H929" s="8"/>
      <c r="I929" s="8"/>
      <c r="J929" s="8"/>
      <c r="K929" s="222"/>
      <c r="L929" s="8"/>
      <c r="M929" s="8"/>
      <c r="N929" s="8"/>
      <c r="O929" s="8"/>
      <c r="P929" s="8"/>
      <c r="Q929" s="8"/>
      <c r="S929" s="14"/>
      <c r="T929" s="14"/>
      <c r="U929" s="14"/>
      <c r="V929" s="14"/>
      <c r="W929" s="14"/>
      <c r="X929" s="14"/>
      <c r="Y929" s="42"/>
      <c r="Z929" s="42"/>
      <c r="AA929" s="42"/>
      <c r="AB929" s="42"/>
      <c r="AC929" s="42"/>
      <c r="AD929" s="42"/>
      <c r="AE929" s="42"/>
      <c r="AF929" s="42"/>
      <c r="AG929" s="42"/>
      <c r="AH929" s="42"/>
      <c r="AI929" s="42"/>
      <c r="AJ929" s="42"/>
      <c r="AK929" s="42"/>
      <c r="AL929" s="42"/>
      <c r="AM929" s="42"/>
      <c r="AN929" s="42"/>
      <c r="AO929" s="42"/>
      <c r="AP929" s="42"/>
      <c r="AQ929" s="42"/>
      <c r="AR929" s="42"/>
    </row>
    <row r="930" spans="1:44" ht="15.75" customHeight="1" x14ac:dyDescent="0.3">
      <c r="A930" s="14"/>
      <c r="B930" s="8"/>
      <c r="C930" s="2647"/>
      <c r="D930" s="8"/>
      <c r="E930" s="8"/>
      <c r="F930" s="8"/>
      <c r="G930" s="8"/>
      <c r="H930" s="8"/>
      <c r="I930" s="8"/>
      <c r="J930" s="8"/>
      <c r="K930" s="222"/>
      <c r="L930" s="8"/>
      <c r="M930" s="8"/>
      <c r="N930" s="8"/>
      <c r="O930" s="8"/>
      <c r="P930" s="8"/>
      <c r="Q930" s="8"/>
      <c r="S930" s="14"/>
      <c r="T930" s="14"/>
      <c r="U930" s="14"/>
      <c r="V930" s="14"/>
      <c r="W930" s="14"/>
      <c r="X930" s="14"/>
      <c r="Y930" s="42"/>
      <c r="Z930" s="42"/>
      <c r="AA930" s="42"/>
      <c r="AB930" s="42"/>
      <c r="AC930" s="42"/>
      <c r="AD930" s="42"/>
      <c r="AE930" s="42"/>
      <c r="AF930" s="42"/>
      <c r="AG930" s="42"/>
      <c r="AH930" s="42"/>
      <c r="AI930" s="42"/>
      <c r="AJ930" s="42"/>
      <c r="AK930" s="42"/>
      <c r="AL930" s="42"/>
      <c r="AM930" s="42"/>
      <c r="AN930" s="42"/>
      <c r="AO930" s="42"/>
      <c r="AP930" s="42"/>
      <c r="AQ930" s="42"/>
      <c r="AR930" s="42"/>
    </row>
    <row r="931" spans="1:44" ht="15.75" customHeight="1" x14ac:dyDescent="0.3">
      <c r="A931" s="14"/>
      <c r="B931" s="8"/>
      <c r="C931" s="2647"/>
      <c r="D931" s="8"/>
      <c r="E931" s="8"/>
      <c r="F931" s="8"/>
      <c r="G931" s="8"/>
      <c r="H931" s="8"/>
      <c r="I931" s="8"/>
      <c r="J931" s="8"/>
      <c r="K931" s="222"/>
      <c r="L931" s="8"/>
      <c r="M931" s="8"/>
      <c r="N931" s="8"/>
      <c r="O931" s="8"/>
      <c r="P931" s="8"/>
      <c r="Q931" s="8"/>
      <c r="S931" s="14"/>
      <c r="T931" s="14"/>
      <c r="U931" s="14"/>
      <c r="V931" s="14"/>
      <c r="W931" s="14"/>
      <c r="X931" s="14"/>
      <c r="Y931" s="42"/>
      <c r="Z931" s="42"/>
      <c r="AA931" s="42"/>
      <c r="AB931" s="42"/>
      <c r="AC931" s="42"/>
      <c r="AD931" s="42"/>
      <c r="AE931" s="42"/>
      <c r="AF931" s="42"/>
      <c r="AG931" s="42"/>
      <c r="AH931" s="42"/>
      <c r="AI931" s="42"/>
      <c r="AJ931" s="42"/>
      <c r="AK931" s="42"/>
      <c r="AL931" s="42"/>
      <c r="AM931" s="42"/>
      <c r="AN931" s="42"/>
      <c r="AO931" s="42"/>
      <c r="AP931" s="42"/>
      <c r="AQ931" s="42"/>
      <c r="AR931" s="42"/>
    </row>
    <row r="932" spans="1:44" ht="15.75" customHeight="1" x14ac:dyDescent="0.3">
      <c r="A932" s="14"/>
      <c r="B932" s="8"/>
      <c r="C932" s="2647"/>
      <c r="D932" s="8"/>
      <c r="E932" s="8"/>
      <c r="F932" s="8"/>
      <c r="G932" s="8"/>
      <c r="H932" s="8"/>
      <c r="I932" s="8"/>
      <c r="J932" s="8"/>
      <c r="K932" s="222"/>
      <c r="L932" s="8"/>
      <c r="M932" s="8"/>
      <c r="N932" s="8"/>
      <c r="O932" s="8"/>
      <c r="P932" s="8"/>
      <c r="Q932" s="8"/>
      <c r="S932" s="14"/>
      <c r="T932" s="14"/>
      <c r="U932" s="14"/>
      <c r="V932" s="14"/>
      <c r="W932" s="14"/>
      <c r="X932" s="14"/>
      <c r="Y932" s="42"/>
      <c r="Z932" s="42"/>
      <c r="AA932" s="42"/>
      <c r="AB932" s="42"/>
      <c r="AC932" s="42"/>
      <c r="AD932" s="42"/>
      <c r="AE932" s="42"/>
      <c r="AF932" s="42"/>
      <c r="AG932" s="42"/>
      <c r="AH932" s="42"/>
      <c r="AI932" s="42"/>
      <c r="AJ932" s="42"/>
      <c r="AK932" s="42"/>
      <c r="AL932" s="42"/>
      <c r="AM932" s="42"/>
      <c r="AN932" s="42"/>
      <c r="AO932" s="42"/>
      <c r="AP932" s="42"/>
      <c r="AQ932" s="42"/>
      <c r="AR932" s="42"/>
    </row>
    <row r="933" spans="1:44" ht="15.75" customHeight="1" x14ac:dyDescent="0.3">
      <c r="A933" s="14"/>
      <c r="B933" s="8"/>
      <c r="C933" s="2647"/>
      <c r="D933" s="8"/>
      <c r="E933" s="8"/>
      <c r="F933" s="8"/>
      <c r="G933" s="8"/>
      <c r="H933" s="8"/>
      <c r="I933" s="8"/>
      <c r="J933" s="8"/>
      <c r="K933" s="222"/>
      <c r="L933" s="8"/>
      <c r="M933" s="8"/>
      <c r="N933" s="8"/>
      <c r="O933" s="8"/>
      <c r="P933" s="8"/>
      <c r="Q933" s="8"/>
      <c r="S933" s="14"/>
      <c r="T933" s="14"/>
      <c r="U933" s="14"/>
      <c r="V933" s="14"/>
      <c r="W933" s="14"/>
      <c r="X933" s="14"/>
      <c r="Y933" s="42"/>
      <c r="Z933" s="42"/>
      <c r="AA933" s="42"/>
      <c r="AB933" s="42"/>
      <c r="AC933" s="42"/>
      <c r="AD933" s="42"/>
      <c r="AE933" s="42"/>
      <c r="AF933" s="42"/>
      <c r="AG933" s="42"/>
      <c r="AH933" s="42"/>
      <c r="AI933" s="42"/>
      <c r="AJ933" s="42"/>
      <c r="AK933" s="42"/>
      <c r="AL933" s="42"/>
      <c r="AM933" s="42"/>
      <c r="AN933" s="42"/>
      <c r="AO933" s="42"/>
      <c r="AP933" s="42"/>
      <c r="AQ933" s="42"/>
      <c r="AR933" s="42"/>
    </row>
    <row r="934" spans="1:44" ht="15.75" customHeight="1" x14ac:dyDescent="0.3">
      <c r="A934" s="14"/>
      <c r="B934" s="8"/>
      <c r="C934" s="2647"/>
      <c r="D934" s="8"/>
      <c r="E934" s="8"/>
      <c r="F934" s="8"/>
      <c r="G934" s="8"/>
      <c r="H934" s="8"/>
      <c r="I934" s="8"/>
      <c r="J934" s="8"/>
      <c r="K934" s="222"/>
      <c r="L934" s="8"/>
      <c r="M934" s="8"/>
      <c r="N934" s="8"/>
      <c r="O934" s="8"/>
      <c r="P934" s="8"/>
      <c r="Q934" s="8"/>
      <c r="S934" s="14"/>
      <c r="T934" s="14"/>
      <c r="U934" s="14"/>
      <c r="V934" s="14"/>
      <c r="W934" s="14"/>
      <c r="X934" s="14"/>
      <c r="Y934" s="42"/>
      <c r="Z934" s="42"/>
      <c r="AA934" s="42"/>
      <c r="AB934" s="42"/>
      <c r="AC934" s="42"/>
      <c r="AD934" s="42"/>
      <c r="AE934" s="42"/>
      <c r="AF934" s="42"/>
      <c r="AG934" s="42"/>
      <c r="AH934" s="42"/>
      <c r="AI934" s="42"/>
      <c r="AJ934" s="42"/>
      <c r="AK934" s="42"/>
      <c r="AL934" s="42"/>
      <c r="AM934" s="42"/>
      <c r="AN934" s="42"/>
      <c r="AO934" s="42"/>
      <c r="AP934" s="42"/>
      <c r="AQ934" s="42"/>
      <c r="AR934" s="42"/>
    </row>
    <row r="935" spans="1:44" ht="15.75" customHeight="1" x14ac:dyDescent="0.3">
      <c r="A935" s="14"/>
      <c r="B935" s="8"/>
      <c r="C935" s="2647"/>
      <c r="D935" s="8"/>
      <c r="E935" s="8"/>
      <c r="F935" s="8"/>
      <c r="G935" s="8"/>
      <c r="H935" s="8"/>
      <c r="I935" s="8"/>
      <c r="J935" s="8"/>
      <c r="K935" s="222"/>
      <c r="L935" s="8"/>
      <c r="M935" s="8"/>
      <c r="N935" s="8"/>
      <c r="O935" s="8"/>
      <c r="P935" s="8"/>
      <c r="Q935" s="8"/>
      <c r="S935" s="14"/>
      <c r="T935" s="14"/>
      <c r="U935" s="14"/>
      <c r="V935" s="14"/>
      <c r="W935" s="14"/>
      <c r="X935" s="14"/>
      <c r="Y935" s="42"/>
      <c r="Z935" s="42"/>
      <c r="AA935" s="42"/>
      <c r="AB935" s="42"/>
      <c r="AC935" s="42"/>
      <c r="AD935" s="42"/>
      <c r="AE935" s="42"/>
      <c r="AF935" s="42"/>
      <c r="AG935" s="42"/>
      <c r="AH935" s="42"/>
      <c r="AI935" s="42"/>
      <c r="AJ935" s="42"/>
      <c r="AK935" s="42"/>
      <c r="AL935" s="42"/>
      <c r="AM935" s="42"/>
      <c r="AN935" s="42"/>
      <c r="AO935" s="42"/>
      <c r="AP935" s="42"/>
      <c r="AQ935" s="42"/>
      <c r="AR935" s="42"/>
    </row>
    <row r="936" spans="1:44" ht="15.75" customHeight="1" x14ac:dyDescent="0.3">
      <c r="A936" s="14"/>
      <c r="B936" s="8"/>
      <c r="C936" s="2647"/>
      <c r="D936" s="8"/>
      <c r="E936" s="8"/>
      <c r="F936" s="8"/>
      <c r="G936" s="8"/>
      <c r="H936" s="8"/>
      <c r="I936" s="8"/>
      <c r="J936" s="8"/>
      <c r="K936" s="222"/>
      <c r="L936" s="8"/>
      <c r="M936" s="8"/>
      <c r="N936" s="8"/>
      <c r="O936" s="8"/>
      <c r="P936" s="8"/>
      <c r="Q936" s="8"/>
      <c r="S936" s="14"/>
      <c r="T936" s="14"/>
      <c r="U936" s="14"/>
      <c r="V936" s="14"/>
      <c r="W936" s="14"/>
      <c r="X936" s="14"/>
      <c r="Y936" s="42"/>
      <c r="Z936" s="42"/>
      <c r="AA936" s="42"/>
      <c r="AB936" s="42"/>
      <c r="AC936" s="42"/>
      <c r="AD936" s="42"/>
      <c r="AE936" s="42"/>
      <c r="AF936" s="42"/>
      <c r="AG936" s="42"/>
      <c r="AH936" s="42"/>
      <c r="AI936" s="42"/>
      <c r="AJ936" s="42"/>
      <c r="AK936" s="42"/>
      <c r="AL936" s="42"/>
      <c r="AM936" s="42"/>
      <c r="AN936" s="42"/>
      <c r="AO936" s="42"/>
      <c r="AP936" s="42"/>
      <c r="AQ936" s="42"/>
      <c r="AR936" s="42"/>
    </row>
    <row r="937" spans="1:44" ht="15.75" customHeight="1" x14ac:dyDescent="0.3">
      <c r="A937" s="14"/>
      <c r="B937" s="8"/>
      <c r="C937" s="2647"/>
      <c r="D937" s="8"/>
      <c r="E937" s="8"/>
      <c r="F937" s="8"/>
      <c r="G937" s="8"/>
      <c r="H937" s="8"/>
      <c r="I937" s="8"/>
      <c r="J937" s="8"/>
      <c r="K937" s="222"/>
      <c r="L937" s="8"/>
      <c r="M937" s="8"/>
      <c r="N937" s="8"/>
      <c r="O937" s="8"/>
      <c r="P937" s="8"/>
      <c r="Q937" s="8"/>
      <c r="S937" s="14"/>
      <c r="T937" s="14"/>
      <c r="U937" s="14"/>
      <c r="V937" s="14"/>
      <c r="W937" s="14"/>
      <c r="X937" s="14"/>
      <c r="Y937" s="42"/>
      <c r="Z937" s="42"/>
      <c r="AA937" s="42"/>
      <c r="AB937" s="42"/>
      <c r="AC937" s="42"/>
      <c r="AD937" s="42"/>
      <c r="AE937" s="42"/>
      <c r="AF937" s="42"/>
      <c r="AG937" s="42"/>
      <c r="AH937" s="42"/>
      <c r="AI937" s="42"/>
      <c r="AJ937" s="42"/>
      <c r="AK937" s="42"/>
      <c r="AL937" s="42"/>
      <c r="AM937" s="42"/>
      <c r="AN937" s="42"/>
      <c r="AO937" s="42"/>
      <c r="AP937" s="42"/>
      <c r="AQ937" s="42"/>
      <c r="AR937" s="42"/>
    </row>
    <row r="938" spans="1:44" ht="15.75" customHeight="1" x14ac:dyDescent="0.3">
      <c r="A938" s="14"/>
      <c r="B938" s="8"/>
      <c r="C938" s="2647"/>
      <c r="D938" s="8"/>
      <c r="E938" s="8"/>
      <c r="F938" s="8"/>
      <c r="G938" s="8"/>
      <c r="H938" s="8"/>
      <c r="I938" s="8"/>
      <c r="J938" s="8"/>
      <c r="K938" s="222"/>
      <c r="L938" s="8"/>
      <c r="M938" s="8"/>
      <c r="N938" s="8"/>
      <c r="O938" s="8"/>
      <c r="P938" s="8"/>
      <c r="Q938" s="8"/>
      <c r="S938" s="14"/>
      <c r="T938" s="14"/>
      <c r="U938" s="14"/>
      <c r="V938" s="14"/>
      <c r="W938" s="14"/>
      <c r="X938" s="14"/>
      <c r="Y938" s="42"/>
      <c r="Z938" s="42"/>
      <c r="AA938" s="42"/>
      <c r="AB938" s="42"/>
      <c r="AC938" s="42"/>
      <c r="AD938" s="42"/>
      <c r="AE938" s="42"/>
      <c r="AF938" s="42"/>
      <c r="AG938" s="42"/>
      <c r="AH938" s="42"/>
      <c r="AI938" s="42"/>
      <c r="AJ938" s="42"/>
      <c r="AK938" s="42"/>
      <c r="AL938" s="42"/>
      <c r="AM938" s="42"/>
      <c r="AN938" s="42"/>
      <c r="AO938" s="42"/>
      <c r="AP938" s="42"/>
      <c r="AQ938" s="42"/>
      <c r="AR938" s="42"/>
    </row>
    <row r="939" spans="1:44" ht="15.75" customHeight="1" x14ac:dyDescent="0.3">
      <c r="A939" s="14"/>
      <c r="B939" s="8"/>
      <c r="C939" s="2647"/>
      <c r="D939" s="8"/>
      <c r="E939" s="8"/>
      <c r="F939" s="8"/>
      <c r="G939" s="8"/>
      <c r="H939" s="8"/>
      <c r="I939" s="8"/>
      <c r="J939" s="8"/>
      <c r="K939" s="222"/>
      <c r="L939" s="8"/>
      <c r="M939" s="8"/>
      <c r="N939" s="8"/>
      <c r="O939" s="8"/>
      <c r="P939" s="8"/>
      <c r="Q939" s="8"/>
      <c r="S939" s="14"/>
      <c r="T939" s="14"/>
      <c r="U939" s="14"/>
      <c r="V939" s="14"/>
      <c r="W939" s="14"/>
      <c r="X939" s="14"/>
      <c r="Y939" s="42"/>
      <c r="Z939" s="42"/>
      <c r="AA939" s="42"/>
      <c r="AB939" s="42"/>
      <c r="AC939" s="42"/>
      <c r="AD939" s="42"/>
      <c r="AE939" s="42"/>
      <c r="AF939" s="42"/>
      <c r="AG939" s="42"/>
      <c r="AH939" s="42"/>
      <c r="AI939" s="42"/>
      <c r="AJ939" s="42"/>
      <c r="AK939" s="42"/>
      <c r="AL939" s="42"/>
      <c r="AM939" s="42"/>
      <c r="AN939" s="42"/>
      <c r="AO939" s="42"/>
      <c r="AP939" s="42"/>
      <c r="AQ939" s="42"/>
      <c r="AR939" s="42"/>
    </row>
    <row r="940" spans="1:44" ht="15.75" customHeight="1" x14ac:dyDescent="0.3">
      <c r="A940" s="14"/>
      <c r="B940" s="8"/>
      <c r="C940" s="2647"/>
      <c r="D940" s="8"/>
      <c r="E940" s="8"/>
      <c r="F940" s="8"/>
      <c r="G940" s="8"/>
      <c r="H940" s="8"/>
      <c r="I940" s="8"/>
      <c r="J940" s="8"/>
      <c r="K940" s="222"/>
      <c r="L940" s="8"/>
      <c r="M940" s="8"/>
      <c r="N940" s="8"/>
      <c r="O940" s="8"/>
      <c r="P940" s="8"/>
      <c r="Q940" s="8"/>
      <c r="S940" s="14"/>
      <c r="T940" s="14"/>
      <c r="U940" s="14"/>
      <c r="V940" s="14"/>
      <c r="W940" s="14"/>
      <c r="X940" s="14"/>
      <c r="Y940" s="42"/>
      <c r="Z940" s="42"/>
      <c r="AA940" s="42"/>
      <c r="AB940" s="42"/>
      <c r="AC940" s="42"/>
      <c r="AD940" s="42"/>
      <c r="AE940" s="42"/>
      <c r="AF940" s="42"/>
      <c r="AG940" s="42"/>
      <c r="AH940" s="42"/>
      <c r="AI940" s="42"/>
      <c r="AJ940" s="42"/>
      <c r="AK940" s="42"/>
      <c r="AL940" s="42"/>
      <c r="AM940" s="42"/>
      <c r="AN940" s="42"/>
      <c r="AO940" s="42"/>
      <c r="AP940" s="42"/>
      <c r="AQ940" s="42"/>
      <c r="AR940" s="42"/>
    </row>
    <row r="941" spans="1:44" ht="15.75" customHeight="1" x14ac:dyDescent="0.3">
      <c r="A941" s="14"/>
      <c r="B941" s="8"/>
      <c r="C941" s="2647"/>
      <c r="D941" s="8"/>
      <c r="E941" s="8"/>
      <c r="F941" s="8"/>
      <c r="G941" s="8"/>
      <c r="H941" s="8"/>
      <c r="I941" s="8"/>
      <c r="J941" s="8"/>
      <c r="K941" s="222"/>
      <c r="L941" s="8"/>
      <c r="M941" s="8"/>
      <c r="N941" s="8"/>
      <c r="O941" s="8"/>
      <c r="P941" s="8"/>
      <c r="Q941" s="8"/>
      <c r="S941" s="14"/>
      <c r="T941" s="14"/>
      <c r="U941" s="14"/>
      <c r="V941" s="14"/>
      <c r="W941" s="14"/>
      <c r="X941" s="14"/>
      <c r="Y941" s="42"/>
      <c r="Z941" s="42"/>
      <c r="AA941" s="42"/>
      <c r="AB941" s="42"/>
      <c r="AC941" s="42"/>
      <c r="AD941" s="42"/>
      <c r="AE941" s="42"/>
      <c r="AF941" s="42"/>
      <c r="AG941" s="42"/>
      <c r="AH941" s="42"/>
      <c r="AI941" s="42"/>
      <c r="AJ941" s="42"/>
      <c r="AK941" s="42"/>
      <c r="AL941" s="42"/>
      <c r="AM941" s="42"/>
      <c r="AN941" s="42"/>
      <c r="AO941" s="42"/>
      <c r="AP941" s="42"/>
      <c r="AQ941" s="42"/>
      <c r="AR941" s="42"/>
    </row>
    <row r="942" spans="1:44" ht="15.75" customHeight="1" x14ac:dyDescent="0.3">
      <c r="A942" s="14"/>
      <c r="B942" s="8"/>
      <c r="C942" s="2647"/>
      <c r="D942" s="8"/>
      <c r="E942" s="8"/>
      <c r="F942" s="8"/>
      <c r="G942" s="8"/>
      <c r="H942" s="8"/>
      <c r="I942" s="8"/>
      <c r="J942" s="8"/>
      <c r="K942" s="222"/>
      <c r="L942" s="8"/>
      <c r="M942" s="8"/>
      <c r="N942" s="8"/>
      <c r="O942" s="8"/>
      <c r="P942" s="8"/>
      <c r="Q942" s="8"/>
      <c r="S942" s="14"/>
      <c r="T942" s="14"/>
      <c r="U942" s="14"/>
      <c r="V942" s="14"/>
      <c r="W942" s="14"/>
      <c r="X942" s="14"/>
      <c r="Y942" s="42"/>
      <c r="Z942" s="42"/>
      <c r="AA942" s="42"/>
      <c r="AB942" s="42"/>
      <c r="AC942" s="42"/>
      <c r="AD942" s="42"/>
      <c r="AE942" s="42"/>
      <c r="AF942" s="42"/>
      <c r="AG942" s="42"/>
      <c r="AH942" s="42"/>
      <c r="AI942" s="42"/>
      <c r="AJ942" s="42"/>
      <c r="AK942" s="42"/>
      <c r="AL942" s="42"/>
      <c r="AM942" s="42"/>
      <c r="AN942" s="42"/>
      <c r="AO942" s="42"/>
      <c r="AP942" s="42"/>
      <c r="AQ942" s="42"/>
      <c r="AR942" s="42"/>
    </row>
    <row r="943" spans="1:44" ht="15.75" customHeight="1" x14ac:dyDescent="0.3">
      <c r="A943" s="14"/>
      <c r="B943" s="8"/>
      <c r="C943" s="2647"/>
      <c r="D943" s="8"/>
      <c r="E943" s="8"/>
      <c r="F943" s="8"/>
      <c r="G943" s="8"/>
      <c r="H943" s="8"/>
      <c r="I943" s="8"/>
      <c r="J943" s="8"/>
      <c r="K943" s="222"/>
      <c r="L943" s="8"/>
      <c r="M943" s="8"/>
      <c r="N943" s="8"/>
      <c r="O943" s="8"/>
      <c r="P943" s="8"/>
      <c r="Q943" s="8"/>
      <c r="S943" s="14"/>
      <c r="T943" s="14"/>
      <c r="U943" s="14"/>
      <c r="V943" s="14"/>
      <c r="W943" s="14"/>
      <c r="X943" s="14"/>
      <c r="Y943" s="42"/>
      <c r="Z943" s="42"/>
      <c r="AA943" s="42"/>
      <c r="AB943" s="42"/>
      <c r="AC943" s="42"/>
      <c r="AD943" s="42"/>
      <c r="AE943" s="42"/>
      <c r="AF943" s="42"/>
      <c r="AG943" s="42"/>
      <c r="AH943" s="42"/>
      <c r="AI943" s="42"/>
      <c r="AJ943" s="42"/>
      <c r="AK943" s="42"/>
      <c r="AL943" s="42"/>
      <c r="AM943" s="42"/>
      <c r="AN943" s="42"/>
      <c r="AO943" s="42"/>
      <c r="AP943" s="42"/>
      <c r="AQ943" s="42"/>
      <c r="AR943" s="42"/>
    </row>
    <row r="944" spans="1:44" ht="15.75" customHeight="1" x14ac:dyDescent="0.3">
      <c r="A944" s="14"/>
      <c r="B944" s="8"/>
      <c r="C944" s="2647"/>
      <c r="D944" s="8"/>
      <c r="E944" s="8"/>
      <c r="F944" s="8"/>
      <c r="G944" s="8"/>
      <c r="H944" s="8"/>
      <c r="I944" s="8"/>
      <c r="J944" s="8"/>
      <c r="K944" s="222"/>
      <c r="L944" s="8"/>
      <c r="M944" s="8"/>
      <c r="N944" s="8"/>
      <c r="O944" s="8"/>
      <c r="P944" s="8"/>
      <c r="Q944" s="8"/>
      <c r="S944" s="14"/>
      <c r="T944" s="14"/>
      <c r="U944" s="14"/>
      <c r="V944" s="14"/>
      <c r="W944" s="14"/>
      <c r="X944" s="14"/>
      <c r="Y944" s="42"/>
      <c r="Z944" s="42"/>
      <c r="AA944" s="42"/>
      <c r="AB944" s="42"/>
      <c r="AC944" s="42"/>
      <c r="AD944" s="42"/>
      <c r="AE944" s="42"/>
      <c r="AF944" s="42"/>
      <c r="AG944" s="42"/>
      <c r="AH944" s="42"/>
      <c r="AI944" s="42"/>
      <c r="AJ944" s="42"/>
      <c r="AK944" s="42"/>
      <c r="AL944" s="42"/>
      <c r="AM944" s="42"/>
      <c r="AN944" s="42"/>
      <c r="AO944" s="42"/>
      <c r="AP944" s="42"/>
      <c r="AQ944" s="42"/>
      <c r="AR944" s="42"/>
    </row>
    <row r="945" spans="1:44" ht="15.75" customHeight="1" x14ac:dyDescent="0.3">
      <c r="A945" s="14"/>
      <c r="B945" s="8"/>
      <c r="C945" s="2647"/>
      <c r="D945" s="8"/>
      <c r="E945" s="8"/>
      <c r="F945" s="8"/>
      <c r="G945" s="8"/>
      <c r="H945" s="8"/>
      <c r="I945" s="8"/>
      <c r="J945" s="8"/>
      <c r="K945" s="222"/>
      <c r="L945" s="8"/>
      <c r="M945" s="8"/>
      <c r="N945" s="8"/>
      <c r="O945" s="8"/>
      <c r="P945" s="8"/>
      <c r="Q945" s="8"/>
      <c r="S945" s="14"/>
      <c r="T945" s="14"/>
      <c r="U945" s="14"/>
      <c r="V945" s="14"/>
      <c r="W945" s="14"/>
      <c r="X945" s="14"/>
      <c r="Y945" s="42"/>
      <c r="Z945" s="42"/>
      <c r="AA945" s="42"/>
      <c r="AB945" s="42"/>
      <c r="AC945" s="42"/>
      <c r="AD945" s="42"/>
      <c r="AE945" s="42"/>
      <c r="AF945" s="42"/>
      <c r="AG945" s="42"/>
      <c r="AH945" s="42"/>
      <c r="AI945" s="42"/>
      <c r="AJ945" s="42"/>
      <c r="AK945" s="42"/>
      <c r="AL945" s="42"/>
      <c r="AM945" s="42"/>
      <c r="AN945" s="42"/>
      <c r="AO945" s="42"/>
      <c r="AP945" s="42"/>
      <c r="AQ945" s="42"/>
      <c r="AR945" s="42"/>
    </row>
    <row r="946" spans="1:44" ht="15.75" customHeight="1" x14ac:dyDescent="0.3">
      <c r="A946" s="14"/>
      <c r="B946" s="8"/>
      <c r="C946" s="2647"/>
      <c r="D946" s="8"/>
      <c r="E946" s="8"/>
      <c r="F946" s="8"/>
      <c r="G946" s="8"/>
      <c r="H946" s="8"/>
      <c r="I946" s="8"/>
      <c r="J946" s="8"/>
      <c r="K946" s="222"/>
      <c r="L946" s="8"/>
      <c r="M946" s="8"/>
      <c r="N946" s="8"/>
      <c r="O946" s="8"/>
      <c r="P946" s="8"/>
      <c r="Q946" s="8"/>
      <c r="S946" s="14"/>
      <c r="T946" s="14"/>
      <c r="U946" s="14"/>
      <c r="V946" s="14"/>
      <c r="W946" s="14"/>
      <c r="X946" s="14"/>
      <c r="Y946" s="42"/>
      <c r="Z946" s="42"/>
      <c r="AA946" s="42"/>
      <c r="AB946" s="42"/>
      <c r="AC946" s="42"/>
      <c r="AD946" s="42"/>
      <c r="AE946" s="42"/>
      <c r="AF946" s="42"/>
      <c r="AG946" s="42"/>
      <c r="AH946" s="42"/>
      <c r="AI946" s="42"/>
      <c r="AJ946" s="42"/>
      <c r="AK946" s="42"/>
      <c r="AL946" s="42"/>
      <c r="AM946" s="42"/>
      <c r="AN946" s="42"/>
      <c r="AO946" s="42"/>
      <c r="AP946" s="42"/>
      <c r="AQ946" s="42"/>
      <c r="AR946" s="42"/>
    </row>
    <row r="948" spans="1:44" ht="15.75" customHeight="1" x14ac:dyDescent="0.25">
      <c r="A948" s="917"/>
      <c r="B948" s="1023"/>
      <c r="C948" s="15"/>
      <c r="D948" s="15"/>
      <c r="E948" s="15"/>
      <c r="F948" s="15"/>
      <c r="J948" s="489"/>
      <c r="S948" s="14"/>
      <c r="T948" s="14"/>
      <c r="U948" s="14"/>
      <c r="V948" s="14"/>
      <c r="W948" s="315"/>
      <c r="X948" s="14"/>
      <c r="Y948" s="42"/>
      <c r="Z948" s="42"/>
      <c r="AA948" s="42"/>
      <c r="AB948" s="42"/>
      <c r="AC948" s="42"/>
      <c r="AD948" s="42"/>
      <c r="AE948" s="42"/>
      <c r="AF948" s="42"/>
      <c r="AG948" s="42"/>
      <c r="AH948" s="42"/>
      <c r="AI948" s="42"/>
      <c r="AJ948" s="42"/>
      <c r="AK948" s="42"/>
      <c r="AL948" s="42"/>
      <c r="AM948" s="42"/>
      <c r="AN948" s="42"/>
      <c r="AO948" s="42"/>
      <c r="AP948" s="42"/>
      <c r="AQ948" s="42"/>
      <c r="AR948" s="42"/>
    </row>
    <row r="949" spans="1:44" ht="15.75" customHeight="1" x14ac:dyDescent="0.25">
      <c r="A949" s="1043"/>
      <c r="B949" s="2410"/>
      <c r="C949" s="242"/>
      <c r="D949" s="2411"/>
      <c r="E949" s="2411"/>
      <c r="F949" s="242"/>
      <c r="G949" s="242"/>
      <c r="H949" s="242"/>
      <c r="I949" s="242"/>
      <c r="J949" s="2412"/>
      <c r="K949" s="242"/>
      <c r="L949" s="242"/>
      <c r="M949" s="242"/>
      <c r="N949" s="242"/>
      <c r="O949" s="2411"/>
      <c r="P949" s="242"/>
      <c r="Q949" s="242"/>
      <c r="R949" s="2413"/>
      <c r="S949" s="1042"/>
      <c r="T949" s="1042"/>
      <c r="U949" s="14"/>
      <c r="V949" s="14"/>
      <c r="W949" s="315"/>
      <c r="X949" s="14"/>
      <c r="Y949" s="42"/>
      <c r="Z949" s="42"/>
      <c r="AA949" s="42"/>
      <c r="AB949" s="42"/>
      <c r="AC949" s="42"/>
      <c r="AD949" s="42"/>
      <c r="AE949" s="42"/>
      <c r="AF949" s="42"/>
      <c r="AG949" s="42"/>
      <c r="AH949" s="42"/>
      <c r="AI949" s="42"/>
      <c r="AJ949" s="42"/>
      <c r="AK949" s="42"/>
      <c r="AL949" s="42"/>
      <c r="AM949" s="42"/>
      <c r="AN949" s="42"/>
      <c r="AO949" s="42"/>
      <c r="AP949" s="42"/>
      <c r="AQ949" s="42"/>
      <c r="AR949" s="42"/>
    </row>
    <row r="950" spans="1:44" ht="15.75" customHeight="1" x14ac:dyDescent="0.2">
      <c r="A950" s="1027"/>
      <c r="B950" s="373"/>
      <c r="C950" s="14"/>
      <c r="D950" s="14"/>
      <c r="E950" s="14"/>
      <c r="F950" s="14"/>
      <c r="G950" s="8"/>
      <c r="H950" s="8"/>
      <c r="I950" s="8"/>
      <c r="J950" s="8"/>
      <c r="K950" s="8"/>
      <c r="L950" s="8"/>
      <c r="M950" s="8"/>
      <c r="S950" s="14"/>
      <c r="T950" s="14"/>
      <c r="U950" s="14"/>
      <c r="V950" s="14"/>
      <c r="W950" s="315"/>
      <c r="X950" s="14"/>
      <c r="Y950" s="42"/>
      <c r="Z950" s="42"/>
      <c r="AA950" s="42"/>
      <c r="AB950" s="42"/>
      <c r="AC950" s="42"/>
      <c r="AD950" s="42"/>
      <c r="AE950" s="42"/>
      <c r="AF950" s="42"/>
      <c r="AG950" s="42"/>
      <c r="AH950" s="42"/>
      <c r="AI950" s="42"/>
      <c r="AJ950" s="42"/>
      <c r="AK950" s="42"/>
      <c r="AL950" s="42"/>
      <c r="AM950" s="42"/>
      <c r="AN950" s="42"/>
      <c r="AO950" s="42"/>
      <c r="AP950" s="42"/>
      <c r="AQ950" s="42"/>
      <c r="AR950" s="42"/>
    </row>
    <row r="951" spans="1:44" ht="15.75" customHeight="1" x14ac:dyDescent="0.25">
      <c r="A951" s="1043"/>
      <c r="B951" s="1041"/>
      <c r="C951" s="891" t="s">
        <v>1002</v>
      </c>
      <c r="D951" s="1042"/>
      <c r="E951" s="1042"/>
      <c r="F951" s="1042"/>
      <c r="G951" s="242"/>
      <c r="H951" s="242"/>
      <c r="I951" s="242"/>
      <c r="J951" s="242"/>
      <c r="K951" s="242"/>
      <c r="L951" s="242"/>
      <c r="M951" s="242"/>
      <c r="N951" s="242"/>
      <c r="O951" s="242"/>
      <c r="S951" s="14"/>
      <c r="T951" s="14"/>
      <c r="U951" s="14"/>
      <c r="V951" s="14"/>
      <c r="W951" s="315"/>
      <c r="X951" s="14"/>
      <c r="Y951" s="42"/>
      <c r="Z951" s="42"/>
      <c r="AA951" s="42"/>
      <c r="AB951" s="42"/>
      <c r="AC951" s="42"/>
      <c r="AD951" s="42"/>
      <c r="AE951" s="42"/>
      <c r="AF951" s="42"/>
      <c r="AG951" s="42"/>
      <c r="AH951" s="42"/>
      <c r="AI951" s="42"/>
      <c r="AJ951" s="42"/>
      <c r="AK951" s="42"/>
      <c r="AL951" s="42"/>
      <c r="AM951" s="42"/>
      <c r="AN951" s="42"/>
      <c r="AO951" s="42"/>
      <c r="AP951" s="42"/>
      <c r="AQ951" s="42"/>
      <c r="AR951" s="42"/>
    </row>
    <row r="952" spans="1:44" ht="15.75" customHeight="1" x14ac:dyDescent="0.2">
      <c r="A952" s="1027"/>
      <c r="B952" s="373"/>
      <c r="C952" s="14"/>
      <c r="D952" s="14"/>
      <c r="E952" s="14"/>
      <c r="F952" s="14"/>
      <c r="G952" s="8"/>
      <c r="H952" s="8"/>
      <c r="I952" s="8"/>
      <c r="J952" s="8"/>
      <c r="K952" s="8"/>
      <c r="L952" s="8"/>
      <c r="M952" s="8"/>
      <c r="S952" s="14"/>
      <c r="T952" s="14"/>
      <c r="U952" s="14"/>
      <c r="V952" s="14"/>
      <c r="W952" s="315"/>
      <c r="X952" s="14"/>
      <c r="Y952" s="42"/>
      <c r="Z952" s="42"/>
      <c r="AA952" s="42"/>
      <c r="AB952" s="42"/>
      <c r="AC952" s="42"/>
      <c r="AD952" s="42"/>
      <c r="AE952" s="42"/>
      <c r="AF952" s="42"/>
      <c r="AG952" s="42"/>
      <c r="AH952" s="42"/>
      <c r="AI952" s="42"/>
      <c r="AJ952" s="42"/>
      <c r="AK952" s="42"/>
      <c r="AL952" s="42"/>
      <c r="AM952" s="42"/>
      <c r="AN952" s="42"/>
      <c r="AO952" s="42"/>
      <c r="AP952" s="42"/>
      <c r="AQ952" s="42"/>
      <c r="AR952" s="42"/>
    </row>
    <row r="953" spans="1:44" ht="15.75" customHeight="1" x14ac:dyDescent="0.25">
      <c r="A953" s="1050" t="s">
        <v>2216</v>
      </c>
      <c r="B953" s="373"/>
      <c r="D953" s="1077" t="str">
        <f>IF(AND(G378=1),"Механизированный комплекс","Лава с индивидуальной крепью, смотри ниже !")</f>
        <v>Лава с индивидуальной крепью, смотри ниже !</v>
      </c>
      <c r="E953" s="8"/>
      <c r="F953" s="8"/>
      <c r="G953" s="8"/>
      <c r="H953" s="8"/>
      <c r="I953" s="8"/>
      <c r="S953" s="14"/>
      <c r="T953" s="14"/>
      <c r="U953" s="14"/>
      <c r="V953" s="14"/>
      <c r="W953" s="315"/>
      <c r="X953" s="14"/>
      <c r="Y953" s="42"/>
      <c r="Z953" s="42"/>
      <c r="AA953" s="42"/>
      <c r="AB953" s="42"/>
      <c r="AC953" s="42"/>
      <c r="AD953" s="42"/>
      <c r="AE953" s="42"/>
      <c r="AF953" s="42"/>
      <c r="AG953" s="42"/>
      <c r="AH953" s="42"/>
      <c r="AI953" s="42"/>
      <c r="AJ953" s="42"/>
      <c r="AK953" s="42"/>
      <c r="AL953" s="42"/>
      <c r="AM953" s="42"/>
      <c r="AN953" s="42"/>
      <c r="AO953" s="42"/>
      <c r="AP953" s="42"/>
      <c r="AQ953" s="42"/>
      <c r="AR953" s="42"/>
    </row>
    <row r="954" spans="1:44" ht="15.75" customHeight="1" x14ac:dyDescent="0.2">
      <c r="A954" s="917"/>
      <c r="B954" s="172"/>
      <c r="D954" s="1018" t="str">
        <f>IF(AND(G378=1,G379=1),"В проекте принят комбайновый механизированный комплекс","")</f>
        <v/>
      </c>
      <c r="E954" s="1022"/>
      <c r="F954" s="1022"/>
      <c r="G954" s="1022"/>
      <c r="H954" s="861"/>
      <c r="I954" s="861"/>
      <c r="J954" s="863"/>
      <c r="S954" s="14"/>
      <c r="T954" s="14"/>
      <c r="U954" s="14"/>
      <c r="V954" s="14"/>
      <c r="W954" s="315"/>
      <c r="X954" s="14"/>
      <c r="Y954" s="42"/>
      <c r="Z954" s="42"/>
      <c r="AA954" s="42"/>
      <c r="AB954" s="42"/>
      <c r="AC954" s="42"/>
      <c r="AD954" s="42"/>
      <c r="AE954" s="42"/>
      <c r="AF954" s="42"/>
      <c r="AG954" s="42"/>
      <c r="AH954" s="42"/>
      <c r="AI954" s="42"/>
      <c r="AJ954" s="42"/>
      <c r="AK954" s="42"/>
      <c r="AL954" s="42"/>
      <c r="AM954" s="42"/>
      <c r="AN954" s="42"/>
      <c r="AO954" s="42"/>
      <c r="AP954" s="42"/>
      <c r="AQ954" s="42"/>
      <c r="AR954" s="42"/>
    </row>
    <row r="955" spans="1:44" ht="15.75" customHeight="1" x14ac:dyDescent="0.2">
      <c r="A955" s="917"/>
      <c r="B955" s="172"/>
      <c r="D955" s="1289" t="str">
        <f>IF(AND(G378=1,G379=1),"Принятый в проекте тип комбайна","")</f>
        <v/>
      </c>
      <c r="E955" s="1198"/>
      <c r="F955" s="1200"/>
      <c r="G955" s="1290" t="str">
        <f>IF(AND(G378=1,G379=1),H389,"")</f>
        <v/>
      </c>
      <c r="H955" s="7" t="s">
        <v>586</v>
      </c>
      <c r="I955" s="1291" t="str">
        <f>IF(AND(G378=1,G379=1),I389,"")</f>
        <v/>
      </c>
      <c r="K955" s="1140"/>
      <c r="S955" s="14"/>
      <c r="T955" s="14"/>
      <c r="U955" s="14"/>
      <c r="V955" s="14"/>
      <c r="W955" s="315"/>
      <c r="X955" s="14"/>
      <c r="Y955" s="42"/>
      <c r="Z955" s="42"/>
      <c r="AA955" s="42"/>
      <c r="AB955" s="42"/>
      <c r="AC955" s="42"/>
      <c r="AD955" s="42"/>
      <c r="AE955" s="42"/>
      <c r="AF955" s="42"/>
      <c r="AG955" s="42"/>
      <c r="AH955" s="42"/>
      <c r="AI955" s="42"/>
      <c r="AJ955" s="42"/>
      <c r="AK955" s="42"/>
      <c r="AL955" s="42"/>
      <c r="AM955" s="42"/>
      <c r="AN955" s="42"/>
      <c r="AO955" s="42"/>
      <c r="AP955" s="42"/>
      <c r="AQ955" s="42"/>
      <c r="AR955" s="42"/>
    </row>
    <row r="956" spans="1:44" ht="15.75" customHeight="1" x14ac:dyDescent="0.2">
      <c r="A956" s="917"/>
      <c r="B956" s="172"/>
      <c r="D956" s="1285" t="str">
        <f>IF(AND(G378=1,G379=1),"Ширина захвата комбайна, м","")</f>
        <v/>
      </c>
      <c r="E956" s="861"/>
      <c r="F956" s="863"/>
      <c r="G956" s="852" t="str">
        <f>IF(AND(G378=1,G379=1),H390,"")</f>
        <v/>
      </c>
      <c r="H956" s="5"/>
      <c r="I956" s="802"/>
      <c r="K956" s="1140"/>
      <c r="S956" s="14"/>
      <c r="T956" s="14"/>
      <c r="U956" s="14"/>
      <c r="V956" s="14"/>
      <c r="W956" s="315"/>
      <c r="X956" s="14"/>
      <c r="Y956" s="42"/>
      <c r="Z956" s="42"/>
      <c r="AA956" s="42"/>
      <c r="AB956" s="42"/>
      <c r="AC956" s="42"/>
      <c r="AD956" s="42"/>
      <c r="AE956" s="42"/>
      <c r="AF956" s="42"/>
      <c r="AG956" s="42"/>
      <c r="AH956" s="42"/>
      <c r="AI956" s="42"/>
      <c r="AJ956" s="42"/>
      <c r="AK956" s="42"/>
      <c r="AL956" s="42"/>
      <c r="AM956" s="42"/>
      <c r="AN956" s="42"/>
      <c r="AO956" s="42"/>
      <c r="AP956" s="42"/>
      <c r="AQ956" s="42"/>
      <c r="AR956" s="42"/>
    </row>
    <row r="957" spans="1:44" ht="15.75" customHeight="1" x14ac:dyDescent="0.2">
      <c r="A957" s="917"/>
      <c r="B957" s="172"/>
      <c r="D957" s="1285" t="str">
        <f>IF(AND(G378=1,G379=1),"Принятый в проекте тип конвейера","")</f>
        <v/>
      </c>
      <c r="E957" s="861"/>
      <c r="F957" s="863"/>
      <c r="G957" s="852" t="str">
        <f>IF(AND(G378=1,G379=1),H391,"")</f>
        <v/>
      </c>
      <c r="H957" s="5" t="s">
        <v>586</v>
      </c>
      <c r="I957" s="852" t="str">
        <f>IF(AND(G378=1,G379=1),I391,"")</f>
        <v/>
      </c>
      <c r="K957" s="1140"/>
      <c r="S957" s="14"/>
      <c r="T957" s="14"/>
      <c r="U957" s="14"/>
      <c r="V957" s="14"/>
      <c r="W957" s="315"/>
      <c r="X957" s="14"/>
      <c r="Y957" s="42"/>
      <c r="Z957" s="42"/>
      <c r="AA957" s="42"/>
      <c r="AB957" s="42"/>
      <c r="AC957" s="42"/>
      <c r="AD957" s="42"/>
      <c r="AE957" s="42"/>
      <c r="AF957" s="42"/>
      <c r="AG957" s="42"/>
      <c r="AH957" s="42"/>
      <c r="AI957" s="42"/>
      <c r="AJ957" s="42"/>
      <c r="AK957" s="42"/>
      <c r="AL957" s="42"/>
      <c r="AM957" s="42"/>
      <c r="AN957" s="42"/>
      <c r="AO957" s="42"/>
      <c r="AP957" s="42"/>
      <c r="AQ957" s="42"/>
      <c r="AR957" s="42"/>
    </row>
    <row r="958" spans="1:44" ht="17.25" customHeight="1" x14ac:dyDescent="0.2">
      <c r="A958" s="15"/>
      <c r="B958" s="14"/>
      <c r="D958" s="1286" t="str">
        <f>IF(AND(G378=1,G379=1),"Принятый в проекте тип крепи","")</f>
        <v/>
      </c>
      <c r="E958" s="1271"/>
      <c r="F958" s="864"/>
      <c r="G958" s="810" t="str">
        <f>IF(AND(G378=1,G379=1),H392,"")</f>
        <v/>
      </c>
      <c r="H958" s="857" t="s">
        <v>586</v>
      </c>
      <c r="I958" s="852" t="str">
        <f>IF(AND(G378=1,G379=1),I392,"")</f>
        <v/>
      </c>
      <c r="K958" s="1140"/>
      <c r="S958" s="14"/>
      <c r="T958" s="14"/>
      <c r="U958" s="14"/>
      <c r="V958" s="14"/>
      <c r="W958" s="315"/>
      <c r="X958" s="14"/>
      <c r="Y958" s="42"/>
      <c r="Z958" s="42"/>
      <c r="AA958" s="42"/>
      <c r="AB958" s="42"/>
      <c r="AC958" s="42"/>
      <c r="AD958" s="42"/>
      <c r="AE958" s="42"/>
      <c r="AF958" s="42"/>
      <c r="AG958" s="42"/>
      <c r="AH958" s="42"/>
      <c r="AI958" s="42"/>
      <c r="AJ958" s="42"/>
      <c r="AK958" s="42"/>
      <c r="AL958" s="42"/>
      <c r="AM958" s="42"/>
      <c r="AN958" s="42"/>
      <c r="AO958" s="42"/>
      <c r="AP958" s="42"/>
      <c r="AQ958" s="42"/>
      <c r="AR958" s="42"/>
    </row>
    <row r="959" spans="1:44" ht="17.25" customHeight="1" x14ac:dyDescent="0.2">
      <c r="A959" s="15"/>
      <c r="B959" s="14"/>
      <c r="D959" s="1285" t="str">
        <f>IF(AND(G378=1,G379=1),"Тип гидростойки в нишах","")</f>
        <v/>
      </c>
      <c r="E959" s="1047"/>
      <c r="F959" s="1287"/>
      <c r="G959" s="810" t="str">
        <f>IF(AND(G378=1,G379=1),L880,"")</f>
        <v/>
      </c>
      <c r="H959" s="239"/>
      <c r="I959" s="1266"/>
      <c r="K959" s="1140"/>
      <c r="S959" s="14"/>
      <c r="T959" s="14"/>
      <c r="U959" s="14"/>
      <c r="V959" s="14"/>
      <c r="W959" s="315"/>
      <c r="X959" s="14"/>
      <c r="Y959" s="42"/>
      <c r="Z959" s="42"/>
      <c r="AA959" s="42"/>
      <c r="AB959" s="42"/>
      <c r="AC959" s="42"/>
      <c r="AD959" s="42"/>
      <c r="AE959" s="42"/>
      <c r="AF959" s="42"/>
      <c r="AG959" s="42"/>
      <c r="AH959" s="42"/>
      <c r="AI959" s="42"/>
      <c r="AJ959" s="42"/>
      <c r="AK959" s="42"/>
      <c r="AL959" s="42"/>
      <c r="AM959" s="42"/>
      <c r="AN959" s="42"/>
      <c r="AO959" s="42"/>
      <c r="AP959" s="42"/>
      <c r="AQ959" s="42"/>
      <c r="AR959" s="42"/>
    </row>
    <row r="960" spans="1:44" ht="17.25" customHeight="1" x14ac:dyDescent="0.2">
      <c r="A960" s="15"/>
      <c r="B960" s="14"/>
      <c r="D960" s="1285" t="str">
        <f>IF(AND(G378=1,G379=1),"Тип шарнирного верхняка в нишах","")</f>
        <v/>
      </c>
      <c r="E960" s="1047"/>
      <c r="F960" s="1287"/>
      <c r="G960" s="810" t="str">
        <f>IF(AND(G378=1,G379=1),L882,"")</f>
        <v/>
      </c>
      <c r="H960" s="239"/>
      <c r="I960" s="1266"/>
      <c r="K960" s="1140"/>
      <c r="S960" s="14"/>
      <c r="T960" s="14"/>
      <c r="U960" s="14"/>
      <c r="V960" s="14"/>
      <c r="W960" s="315"/>
      <c r="X960" s="14"/>
      <c r="Y960" s="42"/>
      <c r="Z960" s="42"/>
      <c r="AA960" s="42"/>
      <c r="AB960" s="42"/>
      <c r="AC960" s="42"/>
      <c r="AD960" s="42"/>
      <c r="AE960" s="42"/>
      <c r="AF960" s="42"/>
      <c r="AG960" s="42"/>
      <c r="AH960" s="42"/>
      <c r="AI960" s="42"/>
      <c r="AJ960" s="42"/>
      <c r="AK960" s="42"/>
      <c r="AL960" s="42"/>
      <c r="AM960" s="42"/>
      <c r="AN960" s="42"/>
      <c r="AO960" s="42"/>
      <c r="AP960" s="42"/>
      <c r="AQ960" s="42"/>
      <c r="AR960" s="42"/>
    </row>
    <row r="961" spans="1:44" ht="17.25" customHeight="1" x14ac:dyDescent="0.2">
      <c r="A961" s="15"/>
      <c r="B961" s="14"/>
      <c r="D961" s="1285" t="str">
        <f>IF(AND(G378=1,G379=1),"Длина шарнирного верхняка, м","")</f>
        <v/>
      </c>
      <c r="E961" s="1047"/>
      <c r="F961" s="1287"/>
      <c r="G961" s="810" t="str">
        <f>IF(AND(G378=1,G379=1),L881,"")</f>
        <v/>
      </c>
      <c r="H961" s="239"/>
      <c r="I961" s="1266"/>
      <c r="K961" s="1140"/>
      <c r="S961" s="14"/>
      <c r="T961" s="14"/>
      <c r="U961" s="14"/>
      <c r="V961" s="14"/>
      <c r="W961" s="315"/>
      <c r="X961" s="14"/>
      <c r="Y961" s="42"/>
      <c r="Z961" s="42"/>
      <c r="AA961" s="42"/>
      <c r="AB961" s="42"/>
      <c r="AC961" s="42"/>
      <c r="AD961" s="42"/>
      <c r="AE961" s="42"/>
      <c r="AF961" s="42"/>
      <c r="AG961" s="42"/>
      <c r="AH961" s="42"/>
      <c r="AI961" s="42"/>
      <c r="AJ961" s="42"/>
      <c r="AK961" s="42"/>
      <c r="AL961" s="42"/>
      <c r="AM961" s="42"/>
      <c r="AN961" s="42"/>
      <c r="AO961" s="42"/>
      <c r="AP961" s="42"/>
      <c r="AQ961" s="42"/>
      <c r="AR961" s="42"/>
    </row>
    <row r="962" spans="1:44" ht="17.25" customHeight="1" x14ac:dyDescent="0.2">
      <c r="A962" s="15"/>
      <c r="B962" s="14"/>
      <c r="D962" s="222"/>
      <c r="E962" s="8"/>
      <c r="F962" s="8"/>
      <c r="G962" s="1267"/>
      <c r="H962" s="239"/>
      <c r="I962" s="1266"/>
      <c r="K962" s="1140"/>
      <c r="S962" s="14"/>
      <c r="T962" s="14"/>
      <c r="U962" s="14"/>
      <c r="V962" s="14"/>
      <c r="W962" s="315"/>
      <c r="X962" s="14"/>
      <c r="Y962" s="42"/>
      <c r="Z962" s="42"/>
      <c r="AA962" s="42"/>
      <c r="AB962" s="42"/>
      <c r="AC962" s="42"/>
      <c r="AD962" s="42"/>
      <c r="AE962" s="42"/>
      <c r="AF962" s="42"/>
      <c r="AG962" s="42"/>
      <c r="AH962" s="42"/>
      <c r="AI962" s="42"/>
      <c r="AJ962" s="42"/>
      <c r="AK962" s="42"/>
      <c r="AL962" s="42"/>
      <c r="AM962" s="42"/>
      <c r="AN962" s="42"/>
      <c r="AO962" s="42"/>
      <c r="AP962" s="42"/>
      <c r="AQ962" s="42"/>
      <c r="AR962" s="42"/>
    </row>
    <row r="963" spans="1:44" ht="17.25" customHeight="1" x14ac:dyDescent="0.2">
      <c r="A963" s="15"/>
      <c r="B963" s="14"/>
      <c r="D963" s="1295" t="str">
        <f>IF(AND(G378=1,G379=2),"В проекте принят струговый механизированный комплекс","")</f>
        <v/>
      </c>
      <c r="E963" s="1271"/>
      <c r="F963" s="1271"/>
      <c r="G963" s="1271"/>
      <c r="H963" s="1271"/>
      <c r="I963" s="861"/>
      <c r="J963" s="863"/>
      <c r="S963" s="14"/>
      <c r="T963" s="14"/>
      <c r="U963" s="14"/>
      <c r="V963" s="14"/>
      <c r="W963" s="315"/>
      <c r="X963" s="14"/>
      <c r="Y963" s="42"/>
      <c r="Z963" s="42"/>
      <c r="AA963" s="42"/>
      <c r="AB963" s="42"/>
      <c r="AC963" s="42"/>
      <c r="AD963" s="42"/>
      <c r="AE963" s="42"/>
      <c r="AF963" s="42"/>
      <c r="AG963" s="42"/>
      <c r="AH963" s="42"/>
      <c r="AI963" s="42"/>
      <c r="AJ963" s="42"/>
      <c r="AK963" s="42"/>
      <c r="AL963" s="42"/>
      <c r="AM963" s="42"/>
      <c r="AN963" s="42"/>
      <c r="AO963" s="42"/>
      <c r="AP963" s="42"/>
      <c r="AQ963" s="42"/>
      <c r="AR963" s="42"/>
    </row>
    <row r="964" spans="1:44" ht="17.25" customHeight="1" x14ac:dyDescent="0.2">
      <c r="A964" s="15"/>
      <c r="B964" s="14"/>
      <c r="D964" s="1217" t="str">
        <f>IF(AND(G378=1,G379=2),"Принятый в проекте тип крепи","")</f>
        <v/>
      </c>
      <c r="E964" s="1292"/>
      <c r="F964" s="1292"/>
      <c r="G964" s="1293" t="str">
        <f>IF(AND(G378=1,G379=2),H394,"")</f>
        <v/>
      </c>
      <c r="H964" s="1294" t="s">
        <v>586</v>
      </c>
      <c r="I964" s="1291" t="str">
        <f>IF(AND(G378=1,G379=2),I394,"")</f>
        <v/>
      </c>
      <c r="K964" s="1140"/>
      <c r="S964" s="14"/>
      <c r="T964" s="14"/>
      <c r="U964" s="14"/>
      <c r="V964" s="14"/>
      <c r="W964" s="315"/>
      <c r="X964" s="14"/>
      <c r="Y964" s="42"/>
      <c r="Z964" s="42"/>
      <c r="AA964" s="42"/>
      <c r="AB964" s="42"/>
      <c r="AC964" s="42"/>
      <c r="AD964" s="42"/>
      <c r="AE964" s="42"/>
      <c r="AF964" s="42"/>
      <c r="AG964" s="42"/>
      <c r="AH964" s="42"/>
      <c r="AI964" s="42"/>
      <c r="AJ964" s="42"/>
      <c r="AK964" s="42"/>
      <c r="AL964" s="42"/>
      <c r="AM964" s="42"/>
      <c r="AN964" s="42"/>
      <c r="AO964" s="42"/>
      <c r="AP964" s="42"/>
      <c r="AQ964" s="42"/>
      <c r="AR964" s="42"/>
    </row>
    <row r="965" spans="1:44" ht="17.25" customHeight="1" x14ac:dyDescent="0.2">
      <c r="A965" s="15"/>
      <c r="B965" s="14"/>
      <c r="D965" s="895" t="str">
        <f>IF(AND(G378=1,G379=2),"Принятый тип струговой установки","")</f>
        <v/>
      </c>
      <c r="E965" s="1269"/>
      <c r="F965" s="1269"/>
      <c r="G965" s="944" t="str">
        <f>IF(AND(G378=1,G379=2),H393,"")</f>
        <v/>
      </c>
      <c r="H965" s="864" t="s">
        <v>586</v>
      </c>
      <c r="I965" s="852" t="str">
        <f>IF(AND(G378=1,G379=2),I393,"")</f>
        <v/>
      </c>
      <c r="K965" s="1140"/>
      <c r="S965" s="14"/>
      <c r="T965" s="14"/>
      <c r="U965" s="14"/>
      <c r="V965" s="14"/>
      <c r="W965" s="315"/>
      <c r="X965" s="14"/>
      <c r="Y965" s="42"/>
      <c r="Z965" s="42"/>
      <c r="AA965" s="42"/>
      <c r="AB965" s="42"/>
      <c r="AC965" s="42"/>
      <c r="AD965" s="42"/>
      <c r="AE965" s="42"/>
      <c r="AF965" s="42"/>
      <c r="AG965" s="42"/>
      <c r="AH965" s="42"/>
      <c r="AI965" s="42"/>
      <c r="AJ965" s="42"/>
      <c r="AK965" s="42"/>
      <c r="AL965" s="42"/>
      <c r="AM965" s="42"/>
      <c r="AN965" s="42"/>
      <c r="AO965" s="42"/>
      <c r="AP965" s="42"/>
      <c r="AQ965" s="42"/>
      <c r="AR965" s="42"/>
    </row>
    <row r="966" spans="1:44" ht="17.25" customHeight="1" x14ac:dyDescent="0.2">
      <c r="A966" s="15"/>
      <c r="B966" s="14"/>
      <c r="D966" s="895" t="str">
        <f>IF(AND(G378=1,G379=2),"Тип гидростойки в нишах","")</f>
        <v/>
      </c>
      <c r="E966" s="1269"/>
      <c r="F966" s="1269"/>
      <c r="G966" s="944" t="str">
        <f>IF(AND(G378=1,G379=2),M880,"")</f>
        <v/>
      </c>
      <c r="H966" s="239"/>
      <c r="I966" s="1266"/>
      <c r="K966" s="1140"/>
      <c r="S966" s="14"/>
      <c r="T966" s="14"/>
      <c r="U966" s="14"/>
      <c r="V966" s="14"/>
      <c r="W966" s="315"/>
      <c r="X966" s="14"/>
      <c r="Y966" s="42"/>
      <c r="Z966" s="42"/>
      <c r="AA966" s="42"/>
      <c r="AB966" s="42"/>
      <c r="AC966" s="42"/>
      <c r="AD966" s="42"/>
      <c r="AE966" s="42"/>
      <c r="AF966" s="42"/>
      <c r="AG966" s="42"/>
      <c r="AH966" s="42"/>
      <c r="AI966" s="42"/>
      <c r="AJ966" s="42"/>
      <c r="AK966" s="42"/>
      <c r="AL966" s="42"/>
      <c r="AM966" s="42"/>
      <c r="AN966" s="42"/>
      <c r="AO966" s="42"/>
      <c r="AP966" s="42"/>
      <c r="AQ966" s="42"/>
      <c r="AR966" s="42"/>
    </row>
    <row r="967" spans="1:44" ht="17.25" customHeight="1" x14ac:dyDescent="0.2">
      <c r="A967" s="15"/>
      <c r="B967" s="14"/>
      <c r="D967" s="895" t="str">
        <f>IF(AND(G378=1,G379=2),"Тип шарнирного верхняка в нишах","")</f>
        <v/>
      </c>
      <c r="E967" s="1269"/>
      <c r="F967" s="1269"/>
      <c r="G967" s="944" t="str">
        <f>IF(AND(G378=1,G379=2),M882,"")</f>
        <v/>
      </c>
      <c r="H967" s="239"/>
      <c r="I967" s="1266"/>
      <c r="K967" s="1140"/>
      <c r="S967" s="14"/>
      <c r="T967" s="14"/>
      <c r="U967" s="14"/>
      <c r="V967" s="14"/>
      <c r="W967" s="315"/>
      <c r="X967" s="14"/>
      <c r="Y967" s="42"/>
      <c r="Z967" s="42"/>
      <c r="AA967" s="42"/>
      <c r="AB967" s="42"/>
      <c r="AC967" s="42"/>
      <c r="AD967" s="42"/>
      <c r="AE967" s="42"/>
      <c r="AF967" s="42"/>
      <c r="AG967" s="42"/>
      <c r="AH967" s="42"/>
      <c r="AI967" s="42"/>
      <c r="AJ967" s="42"/>
      <c r="AK967" s="42"/>
      <c r="AL967" s="42"/>
      <c r="AM967" s="42"/>
      <c r="AN967" s="42"/>
      <c r="AO967" s="42"/>
      <c r="AP967" s="42"/>
      <c r="AQ967" s="42"/>
      <c r="AR967" s="42"/>
    </row>
    <row r="968" spans="1:44" ht="17.25" customHeight="1" x14ac:dyDescent="0.2">
      <c r="A968" s="15"/>
      <c r="B968" s="14"/>
      <c r="D968" s="895" t="str">
        <f>IF(AND(G378=1,G379=2),"Длина шарнирного верхняка, м","")</f>
        <v/>
      </c>
      <c r="E968" s="1269"/>
      <c r="F968" s="1269"/>
      <c r="G968" s="944" t="str">
        <f>IF(AND(G378=1,G379=2),M881,"")</f>
        <v/>
      </c>
      <c r="H968" s="239"/>
      <c r="I968" s="1266"/>
      <c r="K968" s="1140"/>
      <c r="S968" s="14"/>
      <c r="T968" s="14"/>
      <c r="U968" s="14"/>
      <c r="V968" s="14"/>
      <c r="W968" s="315"/>
      <c r="X968" s="14"/>
      <c r="Y968" s="42"/>
      <c r="Z968" s="42"/>
      <c r="AA968" s="42"/>
      <c r="AB968" s="42"/>
      <c r="AC968" s="42"/>
      <c r="AD968" s="42"/>
      <c r="AE968" s="42"/>
      <c r="AF968" s="42"/>
      <c r="AG968" s="42"/>
      <c r="AH968" s="42"/>
      <c r="AI968" s="42"/>
      <c r="AJ968" s="42"/>
      <c r="AK968" s="42"/>
      <c r="AL968" s="42"/>
      <c r="AM968" s="42"/>
      <c r="AN968" s="42"/>
      <c r="AO968" s="42"/>
      <c r="AP968" s="42"/>
      <c r="AQ968" s="42"/>
      <c r="AR968" s="42"/>
    </row>
    <row r="969" spans="1:44" ht="17.25" customHeight="1" x14ac:dyDescent="0.2">
      <c r="A969" s="15"/>
      <c r="B969" s="14"/>
      <c r="D969" s="8"/>
      <c r="E969" s="8"/>
      <c r="F969" s="222"/>
      <c r="G969" s="8"/>
      <c r="I969" s="8"/>
      <c r="J969" s="8"/>
      <c r="K969" s="1164"/>
      <c r="L969" s="239"/>
      <c r="M969" s="1266"/>
      <c r="O969" s="1140"/>
      <c r="S969" s="14"/>
      <c r="T969" s="14"/>
      <c r="U969" s="14"/>
      <c r="V969" s="14"/>
      <c r="W969" s="315"/>
      <c r="X969" s="14"/>
      <c r="Y969" s="42"/>
      <c r="Z969" s="42"/>
      <c r="AA969" s="42"/>
      <c r="AB969" s="42"/>
      <c r="AC969" s="42"/>
      <c r="AD969" s="42"/>
      <c r="AE969" s="42"/>
      <c r="AF969" s="42"/>
      <c r="AG969" s="42"/>
      <c r="AH969" s="42"/>
      <c r="AI969" s="42"/>
      <c r="AJ969" s="42"/>
      <c r="AK969" s="42"/>
      <c r="AL969" s="42"/>
      <c r="AM969" s="42"/>
      <c r="AN969" s="42"/>
      <c r="AO969" s="42"/>
      <c r="AP969" s="42"/>
      <c r="AQ969" s="42"/>
      <c r="AR969" s="42"/>
    </row>
    <row r="970" spans="1:44" ht="17.25" customHeight="1" x14ac:dyDescent="0.2">
      <c r="A970" s="15"/>
      <c r="B970" s="14"/>
      <c r="D970" s="8"/>
      <c r="E970" s="8"/>
      <c r="F970" s="8"/>
      <c r="G970" s="8"/>
      <c r="H970" s="8"/>
      <c r="I970" s="8"/>
      <c r="J970" s="8"/>
      <c r="K970" s="8"/>
      <c r="L970" s="8"/>
      <c r="S970" s="14"/>
      <c r="T970" s="14"/>
      <c r="U970" s="14"/>
      <c r="V970" s="14"/>
      <c r="W970" s="315"/>
      <c r="X970" s="14"/>
      <c r="Y970" s="42"/>
      <c r="Z970" s="42"/>
      <c r="AA970" s="42"/>
      <c r="AB970" s="42"/>
      <c r="AC970" s="42"/>
      <c r="AD970" s="42"/>
      <c r="AE970" s="42"/>
      <c r="AF970" s="42"/>
      <c r="AG970" s="42"/>
      <c r="AH970" s="42"/>
      <c r="AI970" s="42"/>
      <c r="AJ970" s="42"/>
      <c r="AK970" s="42"/>
      <c r="AL970" s="42"/>
      <c r="AM970" s="42"/>
      <c r="AN970" s="42"/>
      <c r="AO970" s="42"/>
      <c r="AP970" s="42"/>
      <c r="AQ970" s="42"/>
      <c r="AR970" s="42"/>
    </row>
    <row r="971" spans="1:44" ht="17.25" customHeight="1" x14ac:dyDescent="0.25">
      <c r="A971" s="15"/>
      <c r="B971" s="14"/>
      <c r="D971" s="1296" t="str">
        <f>IF(G378=2,"Выемочное оборудование с индивидуальной крепью","")</f>
        <v/>
      </c>
      <c r="E971" s="1271"/>
      <c r="F971" s="1271"/>
      <c r="G971" s="1271"/>
      <c r="H971" s="1271"/>
      <c r="I971" s="1271"/>
      <c r="J971" s="864"/>
      <c r="K971" s="1296" t="str">
        <f>IF(AND(G378=2,K405=1),"Комбайновая лава",IF(AND(K405=2,G378=2),"Струговая лава",""))</f>
        <v/>
      </c>
      <c r="L971" s="861"/>
      <c r="M971" s="861"/>
      <c r="N971" s="863"/>
      <c r="S971" s="14"/>
      <c r="T971" s="14"/>
      <c r="U971" s="14"/>
      <c r="V971" s="14"/>
      <c r="W971" s="315"/>
      <c r="X971" s="14"/>
      <c r="Y971" s="42"/>
      <c r="Z971" s="42"/>
      <c r="AA971" s="42"/>
      <c r="AB971" s="42"/>
      <c r="AC971" s="42"/>
      <c r="AD971" s="42"/>
      <c r="AE971" s="42"/>
      <c r="AF971" s="42"/>
      <c r="AG971" s="42"/>
      <c r="AH971" s="42"/>
      <c r="AI971" s="42"/>
      <c r="AJ971" s="42"/>
      <c r="AK971" s="42"/>
      <c r="AL971" s="42"/>
      <c r="AM971" s="42"/>
      <c r="AN971" s="42"/>
      <c r="AO971" s="42"/>
      <c r="AP971" s="42"/>
      <c r="AQ971" s="42"/>
      <c r="AR971" s="42"/>
    </row>
    <row r="972" spans="1:44" ht="17.25" customHeight="1" x14ac:dyDescent="0.2">
      <c r="A972" s="15"/>
      <c r="B972" s="14"/>
      <c r="D972" s="1276" t="str">
        <f>IF(AND(K405=1,G378=2),"Принятый в проекте тип комбайна","")</f>
        <v/>
      </c>
      <c r="E972" s="1277"/>
      <c r="F972" s="1277"/>
      <c r="G972" s="1294"/>
      <c r="H972" s="1293" t="str">
        <f>IF(AND(K405=1,G378=2),F621,"")</f>
        <v/>
      </c>
      <c r="I972" s="8" t="s">
        <v>586</v>
      </c>
      <c r="J972" s="1293" t="str">
        <f>IF(AND(K405=1,G378=2),G621,"")</f>
        <v/>
      </c>
      <c r="K972" s="8"/>
      <c r="L972" s="8"/>
      <c r="S972" s="14"/>
      <c r="T972" s="14"/>
      <c r="U972" s="14"/>
      <c r="V972" s="14"/>
      <c r="W972" s="315"/>
      <c r="X972" s="14"/>
      <c r="Y972" s="42"/>
      <c r="Z972" s="42"/>
      <c r="AA972" s="42"/>
      <c r="AB972" s="42"/>
      <c r="AC972" s="42"/>
      <c r="AD972" s="42"/>
      <c r="AE972" s="42"/>
      <c r="AF972" s="42"/>
      <c r="AG972" s="42"/>
      <c r="AH972" s="42"/>
      <c r="AI972" s="42"/>
      <c r="AJ972" s="42"/>
      <c r="AK972" s="42"/>
      <c r="AL972" s="42"/>
      <c r="AM972" s="42"/>
      <c r="AN972" s="42"/>
      <c r="AO972" s="42"/>
      <c r="AP972" s="42"/>
      <c r="AQ972" s="42"/>
      <c r="AR972" s="42"/>
    </row>
    <row r="973" spans="1:44" ht="17.25" customHeight="1" x14ac:dyDescent="0.2">
      <c r="A973" s="15"/>
      <c r="B973" s="14"/>
      <c r="D973" s="1270" t="str">
        <f>IF(AND(K405=1,G378=2),"Ширина захвата комбайна, м","")</f>
        <v/>
      </c>
      <c r="E973" s="1271"/>
      <c r="F973" s="1271"/>
      <c r="G973" s="864"/>
      <c r="H973" s="944" t="str">
        <f>IF(AND(K405=1,G378=2),F622,"")</f>
        <v/>
      </c>
      <c r="I973" s="8"/>
      <c r="J973" s="8"/>
      <c r="K973" s="8"/>
      <c r="L973" s="8"/>
      <c r="S973" s="14"/>
      <c r="T973" s="14"/>
      <c r="U973" s="14"/>
      <c r="V973" s="14"/>
      <c r="W973" s="315"/>
      <c r="X973" s="14"/>
      <c r="Y973" s="42"/>
      <c r="Z973" s="42"/>
      <c r="AA973" s="42"/>
      <c r="AB973" s="42"/>
      <c r="AC973" s="42"/>
      <c r="AD973" s="42"/>
      <c r="AE973" s="42"/>
      <c r="AF973" s="42"/>
      <c r="AG973" s="42"/>
      <c r="AH973" s="42"/>
      <c r="AI973" s="42"/>
      <c r="AJ973" s="42"/>
      <c r="AK973" s="42"/>
      <c r="AL973" s="42"/>
      <c r="AM973" s="42"/>
      <c r="AN973" s="42"/>
      <c r="AO973" s="42"/>
      <c r="AP973" s="42"/>
      <c r="AQ973" s="42"/>
      <c r="AR973" s="42"/>
    </row>
    <row r="974" spans="1:44" ht="17.25" customHeight="1" x14ac:dyDescent="0.2">
      <c r="A974" s="15"/>
      <c r="B974" s="14"/>
      <c r="D974" s="1270" t="str">
        <f>IF(AND(K405=1,G378=2),"Принятый в проекте тип конвейера","")</f>
        <v/>
      </c>
      <c r="E974" s="1271"/>
      <c r="F974" s="1271"/>
      <c r="G974" s="864"/>
      <c r="H974" s="944" t="str">
        <f>IF(AND(K405=1,G378=2),F623,"")</f>
        <v/>
      </c>
      <c r="I974" s="8" t="s">
        <v>586</v>
      </c>
      <c r="J974" s="944" t="str">
        <f>IF(AND(K405=1,G378=2),G623,"")</f>
        <v/>
      </c>
      <c r="K974" s="8"/>
      <c r="L974" s="8"/>
      <c r="S974" s="14"/>
      <c r="T974" s="14"/>
      <c r="U974" s="14"/>
      <c r="V974" s="14"/>
      <c r="W974" s="315"/>
      <c r="X974" s="14"/>
      <c r="Y974" s="42"/>
      <c r="Z974" s="42"/>
      <c r="AA974" s="42"/>
      <c r="AB974" s="42"/>
      <c r="AC974" s="42"/>
      <c r="AD974" s="42"/>
      <c r="AE974" s="42"/>
      <c r="AF974" s="42"/>
      <c r="AG974" s="42"/>
      <c r="AH974" s="42"/>
      <c r="AI974" s="42"/>
      <c r="AJ974" s="42"/>
      <c r="AK974" s="42"/>
      <c r="AL974" s="42"/>
      <c r="AM974" s="42"/>
      <c r="AN974" s="42"/>
      <c r="AO974" s="42"/>
      <c r="AP974" s="42"/>
      <c r="AQ974" s="42"/>
      <c r="AR974" s="42"/>
    </row>
    <row r="975" spans="1:44" ht="17.25" customHeight="1" x14ac:dyDescent="0.2">
      <c r="A975" s="15"/>
      <c r="B975" s="14"/>
      <c r="D975" s="1270" t="str">
        <f>IF(AND(K405=1,G378=2),"Типоразмер гидростойки","")</f>
        <v/>
      </c>
      <c r="E975" s="1271"/>
      <c r="F975" s="1271"/>
      <c r="G975" s="864"/>
      <c r="H975" s="944" t="str">
        <f>IF(AND(K405=1,G378=2),F797,"")</f>
        <v/>
      </c>
      <c r="I975" s="8"/>
      <c r="J975" s="1164"/>
      <c r="K975" s="8"/>
      <c r="L975" s="8"/>
      <c r="S975" s="14"/>
      <c r="T975" s="14"/>
      <c r="U975" s="14"/>
      <c r="V975" s="14"/>
      <c r="W975" s="14"/>
      <c r="X975" s="14"/>
      <c r="Y975" s="42"/>
      <c r="Z975" s="42"/>
      <c r="AA975" s="42"/>
      <c r="AB975" s="42"/>
      <c r="AC975" s="42"/>
      <c r="AD975" s="42"/>
      <c r="AE975" s="42"/>
      <c r="AF975" s="42"/>
      <c r="AG975" s="42"/>
      <c r="AH975" s="42"/>
      <c r="AI975" s="42"/>
      <c r="AJ975" s="42"/>
      <c r="AK975" s="42"/>
      <c r="AL975" s="42"/>
      <c r="AM975" s="42"/>
      <c r="AN975" s="42"/>
      <c r="AO975" s="42"/>
      <c r="AP975" s="42"/>
      <c r="AQ975" s="42"/>
      <c r="AR975" s="42"/>
    </row>
    <row r="976" spans="1:44" ht="17.25" customHeight="1" x14ac:dyDescent="0.2">
      <c r="A976" s="15"/>
      <c r="B976" s="14"/>
      <c r="D976" s="1270" t="str">
        <f>IF(AND(K405=1,G378=2),"Тип шарнирного верхняка","")</f>
        <v/>
      </c>
      <c r="E976" s="1271"/>
      <c r="F976" s="1271"/>
      <c r="G976" s="864"/>
      <c r="H976" s="944" t="str">
        <f>IF(AND(K405=1,G378=2),E730,"")</f>
        <v/>
      </c>
      <c r="I976" s="8"/>
      <c r="J976" s="1164"/>
      <c r="K976" s="8"/>
      <c r="L976" s="8"/>
      <c r="S976" s="14"/>
      <c r="T976" s="14"/>
      <c r="U976" s="14"/>
      <c r="V976" s="14"/>
      <c r="W976" s="14"/>
      <c r="X976" s="14"/>
      <c r="Y976" s="42"/>
      <c r="Z976" s="42"/>
      <c r="AA976" s="42"/>
      <c r="AB976" s="42"/>
      <c r="AC976" s="42"/>
      <c r="AD976" s="42"/>
      <c r="AE976" s="42"/>
      <c r="AF976" s="42"/>
      <c r="AG976" s="42"/>
      <c r="AH976" s="42"/>
      <c r="AI976" s="42"/>
      <c r="AJ976" s="42"/>
      <c r="AK976" s="42"/>
      <c r="AL976" s="42"/>
      <c r="AM976" s="42"/>
      <c r="AN976" s="42"/>
      <c r="AO976" s="42"/>
      <c r="AP976" s="42"/>
      <c r="AQ976" s="42"/>
      <c r="AR976" s="42"/>
    </row>
    <row r="977" spans="1:44" ht="17.25" customHeight="1" x14ac:dyDescent="0.2">
      <c r="A977" s="15"/>
      <c r="B977" s="14"/>
      <c r="D977" s="1270" t="str">
        <f>IF(AND(K405=1,G378=2),"Длина верхняка, м","")</f>
        <v/>
      </c>
      <c r="E977" s="1271"/>
      <c r="F977" s="1271"/>
      <c r="G977" s="864"/>
      <c r="H977" s="944" t="str">
        <f>IF(AND(K405=1,G378=2),E732,"")</f>
        <v/>
      </c>
      <c r="I977" s="8"/>
      <c r="J977" s="1164"/>
      <c r="K977" s="8"/>
      <c r="L977" s="8"/>
      <c r="S977" s="14"/>
      <c r="T977" s="14"/>
      <c r="U977" s="14"/>
      <c r="V977" s="14"/>
      <c r="W977" s="14"/>
      <c r="X977" s="14"/>
      <c r="Y977" s="42"/>
      <c r="Z977" s="42"/>
      <c r="AA977" s="42"/>
      <c r="AB977" s="42"/>
      <c r="AC977" s="42"/>
      <c r="AD977" s="42"/>
      <c r="AE977" s="42"/>
      <c r="AF977" s="42"/>
      <c r="AG977" s="42"/>
      <c r="AH977" s="42"/>
      <c r="AI977" s="42"/>
      <c r="AJ977" s="42"/>
      <c r="AK977" s="42"/>
      <c r="AL977" s="42"/>
      <c r="AM977" s="42"/>
      <c r="AN977" s="42"/>
      <c r="AO977" s="42"/>
      <c r="AP977" s="42"/>
      <c r="AQ977" s="42"/>
      <c r="AR977" s="42"/>
    </row>
    <row r="978" spans="1:44" ht="17.25" customHeight="1" x14ac:dyDescent="0.2">
      <c r="A978" s="15"/>
      <c r="B978" s="14"/>
      <c r="D978" s="1270" t="str">
        <f>IF(AND(K405=1,G378=2),"Тип посадочной стойки","")</f>
        <v/>
      </c>
      <c r="E978" s="1271"/>
      <c r="F978" s="1271"/>
      <c r="G978" s="864"/>
      <c r="H978" s="944" t="str">
        <f>IF(AND(K405=1,G378=2),IF(F824=1,"ОКУ","СПУТНИК"),"")</f>
        <v/>
      </c>
      <c r="I978" s="8"/>
      <c r="J978" s="1164"/>
      <c r="K978" s="8"/>
      <c r="L978" s="8"/>
      <c r="S978" s="14"/>
      <c r="T978" s="14"/>
      <c r="U978" s="14"/>
      <c r="V978" s="14"/>
      <c r="W978" s="14"/>
      <c r="X978" s="14"/>
      <c r="Y978" s="42"/>
      <c r="Z978" s="42"/>
      <c r="AA978" s="42"/>
      <c r="AB978" s="42"/>
      <c r="AC978" s="42"/>
      <c r="AD978" s="42"/>
      <c r="AE978" s="42"/>
      <c r="AF978" s="42"/>
      <c r="AG978" s="42"/>
      <c r="AH978" s="42"/>
      <c r="AI978" s="42"/>
      <c r="AJ978" s="42"/>
      <c r="AK978" s="42"/>
      <c r="AL978" s="42"/>
      <c r="AM978" s="42"/>
      <c r="AN978" s="42"/>
      <c r="AO978" s="42"/>
      <c r="AP978" s="42"/>
      <c r="AQ978" s="42"/>
      <c r="AR978" s="42"/>
    </row>
    <row r="979" spans="1:44" ht="17.25" customHeight="1" x14ac:dyDescent="0.2">
      <c r="L979">
        <v>1</v>
      </c>
    </row>
    <row r="980" spans="1:44" ht="17.25" customHeight="1" x14ac:dyDescent="0.2">
      <c r="A980" s="15"/>
      <c r="B980" s="14"/>
      <c r="D980" s="900"/>
      <c r="E980" s="8"/>
      <c r="F980" s="8"/>
      <c r="G980" s="8"/>
      <c r="H980" s="1164"/>
      <c r="I980" s="8"/>
      <c r="J980" s="1164"/>
      <c r="K980" s="8"/>
      <c r="L980" s="8"/>
      <c r="S980" s="14"/>
      <c r="T980" s="14"/>
      <c r="U980" s="14"/>
      <c r="V980" s="14"/>
      <c r="W980" s="315"/>
      <c r="X980" s="14"/>
      <c r="Y980" s="42"/>
      <c r="Z980" s="42"/>
      <c r="AA980" s="42"/>
      <c r="AB980" s="42"/>
      <c r="AC980" s="42"/>
      <c r="AD980" s="42"/>
      <c r="AE980" s="42"/>
      <c r="AF980" s="42"/>
      <c r="AG980" s="42"/>
      <c r="AH980" s="42"/>
      <c r="AI980" s="42"/>
      <c r="AJ980" s="42"/>
      <c r="AK980" s="42"/>
      <c r="AL980" s="42"/>
      <c r="AM980" s="42"/>
      <c r="AN980" s="42"/>
      <c r="AO980" s="42"/>
      <c r="AP980" s="42"/>
      <c r="AQ980" s="42"/>
      <c r="AR980" s="42"/>
    </row>
    <row r="981" spans="1:44" ht="17.25" customHeight="1" x14ac:dyDescent="0.2">
      <c r="A981" s="15"/>
      <c r="B981" s="14"/>
      <c r="D981" s="900"/>
      <c r="E981" s="8"/>
      <c r="F981" s="8"/>
      <c r="G981" s="8"/>
      <c r="H981" s="1164"/>
      <c r="I981" s="8"/>
      <c r="J981" s="1164"/>
      <c r="K981" s="8"/>
      <c r="L981" s="8"/>
      <c r="S981" s="14"/>
      <c r="T981" s="14"/>
      <c r="U981" s="14"/>
      <c r="V981" s="14"/>
      <c r="W981" s="315"/>
      <c r="X981" s="14"/>
      <c r="Y981" s="42"/>
      <c r="Z981" s="42"/>
      <c r="AA981" s="42"/>
      <c r="AB981" s="42"/>
      <c r="AC981" s="42"/>
      <c r="AD981" s="42"/>
      <c r="AE981" s="42"/>
      <c r="AF981" s="42"/>
      <c r="AG981" s="42"/>
      <c r="AH981" s="42"/>
      <c r="AI981" s="42"/>
      <c r="AJ981" s="42"/>
      <c r="AK981" s="42"/>
      <c r="AL981" s="42"/>
      <c r="AM981" s="42"/>
      <c r="AN981" s="42"/>
      <c r="AO981" s="42"/>
      <c r="AP981" s="42"/>
      <c r="AQ981" s="42"/>
      <c r="AR981" s="42"/>
    </row>
    <row r="982" spans="1:44" ht="17.25" customHeight="1" x14ac:dyDescent="0.2">
      <c r="A982" s="15"/>
      <c r="B982" s="14"/>
      <c r="D982" s="1274" t="str">
        <f>IF(AND(G378=2,K405=2),"Тип струговой установки","")</f>
        <v/>
      </c>
      <c r="E982" s="1272"/>
      <c r="F982" s="1272"/>
      <c r="G982" s="1273"/>
      <c r="H982" s="1275" t="str">
        <f>IF(AND(G378=2,K405=2),#REF!,"")</f>
        <v/>
      </c>
      <c r="I982" s="8" t="s">
        <v>586</v>
      </c>
      <c r="J982" s="944" t="str">
        <f>IF(AND(G378=2,K405=2),#REF!,"")</f>
        <v/>
      </c>
      <c r="K982" s="8"/>
      <c r="L982" s="8"/>
      <c r="M982" s="8"/>
      <c r="N982" s="8"/>
      <c r="S982" s="14"/>
      <c r="T982" s="14"/>
      <c r="U982" s="14"/>
      <c r="V982" s="14"/>
      <c r="W982" s="315"/>
      <c r="X982" s="14"/>
      <c r="Y982" s="42"/>
      <c r="Z982" s="42"/>
      <c r="AA982" s="42"/>
      <c r="AB982" s="42"/>
      <c r="AC982" s="42"/>
      <c r="AD982" s="42"/>
      <c r="AE982" s="42"/>
      <c r="AF982" s="42"/>
      <c r="AG982" s="42"/>
      <c r="AH982" s="42"/>
      <c r="AI982" s="42"/>
      <c r="AJ982" s="42"/>
      <c r="AK982" s="42"/>
      <c r="AL982" s="42"/>
      <c r="AM982" s="42"/>
      <c r="AN982" s="42"/>
      <c r="AO982" s="42"/>
      <c r="AP982" s="42"/>
      <c r="AQ982" s="42"/>
      <c r="AR982" s="42"/>
    </row>
    <row r="983" spans="1:44" ht="17.25" customHeight="1" x14ac:dyDescent="0.2">
      <c r="A983" s="15"/>
      <c r="B983" s="14"/>
      <c r="D983" s="1270" t="str">
        <f>IF(AND(G378=2,K405=2),"Типоразмер гидростойки","")</f>
        <v/>
      </c>
      <c r="E983" s="1271"/>
      <c r="F983" s="1271"/>
      <c r="G983" s="1271"/>
      <c r="H983" s="1268" t="str">
        <f>IF(AND(G378=2,K405=2),M797,"")</f>
        <v/>
      </c>
      <c r="I983" s="8"/>
      <c r="J983" s="1164"/>
      <c r="K983" s="8"/>
      <c r="L983" s="8"/>
      <c r="M983" s="8"/>
      <c r="N983" s="8"/>
      <c r="S983" s="14"/>
      <c r="T983" s="14"/>
      <c r="U983" s="14"/>
      <c r="V983" s="14"/>
      <c r="W983" s="315"/>
      <c r="X983" s="14"/>
      <c r="Y983" s="42"/>
      <c r="Z983" s="42"/>
      <c r="AA983" s="42"/>
      <c r="AB983" s="42"/>
      <c r="AC983" s="42"/>
      <c r="AD983" s="42"/>
      <c r="AE983" s="42"/>
      <c r="AF983" s="42"/>
      <c r="AG983" s="42"/>
      <c r="AH983" s="42"/>
      <c r="AI983" s="42"/>
      <c r="AJ983" s="42"/>
      <c r="AK983" s="42"/>
      <c r="AL983" s="42"/>
      <c r="AM983" s="42"/>
      <c r="AN983" s="42"/>
      <c r="AO983" s="42"/>
      <c r="AP983" s="42"/>
      <c r="AQ983" s="42"/>
      <c r="AR983" s="42"/>
    </row>
    <row r="984" spans="1:44" ht="17.25" customHeight="1" x14ac:dyDescent="0.2">
      <c r="A984" s="15"/>
      <c r="B984" s="14"/>
      <c r="D984" s="1276" t="str">
        <f>IF(AND(G378=2,K405=2),"Тип шарнирного верхняка","")</f>
        <v/>
      </c>
      <c r="E984" s="1277"/>
      <c r="F984" s="1277"/>
      <c r="G984" s="1277"/>
      <c r="H984" s="1278" t="str">
        <f>IF(AND(G378=2,K405=2),L730,"")</f>
        <v/>
      </c>
      <c r="I984" s="8"/>
      <c r="J984" s="1164"/>
      <c r="K984" s="8"/>
      <c r="L984" s="8"/>
      <c r="M984" s="8"/>
      <c r="N984" s="8"/>
      <c r="S984" s="14"/>
      <c r="T984" s="14"/>
      <c r="U984" s="14"/>
      <c r="V984" s="14"/>
      <c r="W984" s="315"/>
      <c r="X984" s="14"/>
      <c r="Y984" s="42"/>
      <c r="Z984" s="42"/>
      <c r="AA984" s="42"/>
      <c r="AB984" s="42"/>
      <c r="AC984" s="42"/>
      <c r="AD984" s="42"/>
      <c r="AE984" s="42"/>
      <c r="AF984" s="42"/>
      <c r="AG984" s="42"/>
      <c r="AH984" s="42"/>
      <c r="AI984" s="42"/>
      <c r="AJ984" s="42"/>
      <c r="AK984" s="42"/>
      <c r="AL984" s="42"/>
      <c r="AM984" s="42"/>
      <c r="AN984" s="42"/>
      <c r="AO984" s="42"/>
      <c r="AP984" s="42"/>
      <c r="AQ984" s="42"/>
      <c r="AR984" s="42"/>
    </row>
    <row r="985" spans="1:44" ht="17.25" customHeight="1" x14ac:dyDescent="0.2">
      <c r="A985" s="15"/>
      <c r="B985" s="14"/>
      <c r="D985" s="1270" t="str">
        <f>IF(AND(G378=2,K405=2),"Длина верхняка, м","")</f>
        <v/>
      </c>
      <c r="E985" s="1271"/>
      <c r="F985" s="1271"/>
      <c r="G985" s="1271"/>
      <c r="H985" s="1268" t="str">
        <f>IF(AND(G378=2,K405=2),I846,"")</f>
        <v/>
      </c>
      <c r="I985" s="8"/>
      <c r="J985" s="1164"/>
      <c r="K985" s="8"/>
      <c r="L985" s="8"/>
      <c r="M985" s="8"/>
      <c r="N985" s="8"/>
      <c r="S985" s="14"/>
      <c r="T985" s="14"/>
      <c r="U985" s="14"/>
      <c r="V985" s="14"/>
      <c r="W985" s="315"/>
      <c r="X985" s="14"/>
      <c r="Y985" s="42"/>
      <c r="Z985" s="42"/>
      <c r="AA985" s="42"/>
      <c r="AB985" s="42"/>
      <c r="AC985" s="42"/>
      <c r="AD985" s="42"/>
      <c r="AE985" s="42"/>
      <c r="AF985" s="42"/>
      <c r="AG985" s="42"/>
      <c r="AH985" s="42"/>
      <c r="AI985" s="42"/>
      <c r="AJ985" s="42"/>
      <c r="AK985" s="42"/>
      <c r="AL985" s="42"/>
      <c r="AM985" s="42"/>
      <c r="AN985" s="42"/>
      <c r="AO985" s="42"/>
      <c r="AP985" s="42"/>
      <c r="AQ985" s="42"/>
      <c r="AR985" s="42"/>
    </row>
    <row r="986" spans="1:44" ht="17.25" customHeight="1" x14ac:dyDescent="0.2">
      <c r="A986" s="15"/>
      <c r="B986" s="14"/>
      <c r="D986" s="1270" t="str">
        <f>IF(AND(G378=2,K405=2),"Тип посадочной стойки","")</f>
        <v/>
      </c>
      <c r="E986" s="1271"/>
      <c r="F986" s="1271"/>
      <c r="G986" s="1271"/>
      <c r="H986" s="1268" t="str">
        <f>IF(AND(G378=2,K405=2),I843,"")</f>
        <v/>
      </c>
      <c r="I986" s="8"/>
      <c r="J986" s="1164"/>
      <c r="K986" s="8"/>
      <c r="L986" s="8"/>
      <c r="M986" s="8"/>
      <c r="N986" s="8"/>
      <c r="S986" s="14"/>
      <c r="T986" s="14"/>
      <c r="U986" s="14"/>
      <c r="V986" s="14"/>
      <c r="W986" s="315"/>
      <c r="X986" s="14"/>
      <c r="Y986" s="42"/>
      <c r="Z986" s="42"/>
      <c r="AA986" s="42"/>
      <c r="AB986" s="42"/>
      <c r="AC986" s="42"/>
      <c r="AD986" s="42"/>
      <c r="AE986" s="42"/>
      <c r="AF986" s="42"/>
      <c r="AG986" s="42"/>
      <c r="AH986" s="42"/>
      <c r="AI986" s="42"/>
      <c r="AJ986" s="42"/>
      <c r="AK986" s="42"/>
      <c r="AL986" s="42"/>
      <c r="AM986" s="42"/>
      <c r="AN986" s="42"/>
      <c r="AO986" s="42"/>
      <c r="AP986" s="42"/>
      <c r="AQ986" s="42"/>
      <c r="AR986" s="42"/>
    </row>
    <row r="987" spans="1:44" ht="17.25" customHeight="1" x14ac:dyDescent="0.2">
      <c r="A987" s="15"/>
      <c r="B987" s="14"/>
      <c r="E987" s="8"/>
      <c r="F987" s="8"/>
      <c r="G987" s="8"/>
      <c r="H987" s="1164"/>
      <c r="I987" s="8"/>
      <c r="J987" s="1164"/>
      <c r="K987" s="8"/>
      <c r="L987" s="8"/>
      <c r="S987" s="14"/>
      <c r="T987" s="14"/>
      <c r="U987" s="14"/>
      <c r="V987" s="14"/>
      <c r="W987" s="315"/>
      <c r="X987" s="14"/>
      <c r="Y987" s="42"/>
      <c r="Z987" s="42"/>
      <c r="AA987" s="42"/>
      <c r="AB987" s="42"/>
      <c r="AC987" s="42"/>
      <c r="AD987" s="42"/>
      <c r="AE987" s="42"/>
      <c r="AF987" s="42"/>
      <c r="AG987" s="42"/>
      <c r="AH987" s="42"/>
      <c r="AI987" s="42"/>
      <c r="AJ987" s="42"/>
      <c r="AK987" s="42"/>
      <c r="AL987" s="42"/>
      <c r="AM987" s="42"/>
      <c r="AN987" s="42"/>
      <c r="AO987" s="42"/>
      <c r="AP987" s="42"/>
      <c r="AQ987" s="42"/>
      <c r="AR987" s="42"/>
    </row>
    <row r="988" spans="1:44" ht="17.25" customHeight="1" x14ac:dyDescent="0.2">
      <c r="A988" s="15"/>
      <c r="B988" s="14"/>
      <c r="D988" s="900"/>
      <c r="E988" s="8"/>
      <c r="F988" s="8"/>
      <c r="G988" s="8"/>
      <c r="H988" s="1164"/>
      <c r="I988" s="8"/>
      <c r="J988" s="1164"/>
      <c r="K988" s="8"/>
      <c r="L988" s="8"/>
      <c r="S988" s="14"/>
      <c r="T988" s="14"/>
      <c r="U988" s="14"/>
      <c r="V988" s="14"/>
      <c r="W988" s="315"/>
      <c r="X988" s="14"/>
      <c r="Y988" s="42"/>
      <c r="Z988" s="42"/>
      <c r="AA988" s="42"/>
      <c r="AB988" s="42"/>
      <c r="AC988" s="42"/>
      <c r="AD988" s="42"/>
      <c r="AE988" s="42"/>
      <c r="AF988" s="42"/>
      <c r="AG988" s="42"/>
      <c r="AH988" s="42"/>
      <c r="AI988" s="42"/>
      <c r="AJ988" s="42"/>
      <c r="AK988" s="42"/>
      <c r="AL988" s="42"/>
      <c r="AM988" s="42"/>
      <c r="AN988" s="42"/>
      <c r="AO988" s="42"/>
      <c r="AP988" s="42"/>
      <c r="AQ988" s="42"/>
      <c r="AR988" s="42"/>
    </row>
    <row r="989" spans="1:44" ht="17.25" customHeight="1" x14ac:dyDescent="0.2">
      <c r="A989" s="15"/>
      <c r="B989" s="14"/>
      <c r="D989" s="900"/>
      <c r="E989" s="8"/>
      <c r="F989" s="8"/>
      <c r="G989" s="8"/>
      <c r="H989" s="1164"/>
      <c r="I989" s="8"/>
      <c r="J989" s="1164"/>
      <c r="K989" s="8"/>
      <c r="L989" s="8"/>
      <c r="S989" s="14"/>
      <c r="T989" s="14"/>
      <c r="U989" s="14"/>
      <c r="V989" s="14"/>
      <c r="W989" s="315"/>
      <c r="X989" s="14"/>
      <c r="Y989" s="42"/>
      <c r="Z989" s="42"/>
      <c r="AA989" s="42"/>
      <c r="AB989" s="42"/>
      <c r="AC989" s="42"/>
      <c r="AD989" s="42"/>
      <c r="AE989" s="42"/>
      <c r="AF989" s="42"/>
      <c r="AG989" s="42"/>
      <c r="AH989" s="42"/>
      <c r="AI989" s="42"/>
      <c r="AJ989" s="42"/>
      <c r="AK989" s="42"/>
      <c r="AL989" s="42"/>
      <c r="AM989" s="42"/>
      <c r="AN989" s="42"/>
      <c r="AO989" s="42"/>
      <c r="AP989" s="42"/>
      <c r="AQ989" s="42"/>
      <c r="AR989" s="42"/>
    </row>
    <row r="990" spans="1:44" ht="17.25" customHeight="1" x14ac:dyDescent="0.2">
      <c r="A990" s="15"/>
      <c r="B990" s="14"/>
      <c r="D990" s="8"/>
      <c r="E990" s="8"/>
      <c r="F990" s="8"/>
      <c r="G990" s="8"/>
      <c r="H990" s="8"/>
      <c r="I990" s="8"/>
      <c r="J990" s="8"/>
      <c r="K990" s="8"/>
      <c r="L990" s="8"/>
      <c r="S990" s="14"/>
      <c r="T990" s="14"/>
      <c r="U990" s="14"/>
      <c r="V990" s="14"/>
      <c r="W990" s="315"/>
      <c r="X990" s="14"/>
      <c r="Y990" s="42"/>
      <c r="Z990" s="42"/>
      <c r="AA990" s="42"/>
      <c r="AB990" s="42"/>
      <c r="AC990" s="42"/>
      <c r="AD990" s="42"/>
      <c r="AE990" s="42"/>
      <c r="AF990" s="42"/>
      <c r="AG990" s="42"/>
      <c r="AH990" s="42"/>
      <c r="AI990" s="42"/>
      <c r="AJ990" s="42"/>
      <c r="AK990" s="42"/>
      <c r="AL990" s="42"/>
      <c r="AM990" s="42"/>
      <c r="AN990" s="42"/>
      <c r="AO990" s="42"/>
      <c r="AP990" s="42"/>
      <c r="AQ990" s="42"/>
      <c r="AR990" s="42"/>
    </row>
    <row r="991" spans="1:44" ht="17.25" customHeight="1" x14ac:dyDescent="0.2">
      <c r="S991" s="14"/>
      <c r="T991" s="14"/>
      <c r="U991" s="14"/>
      <c r="V991" s="14"/>
      <c r="W991" s="315"/>
      <c r="X991" s="14"/>
      <c r="Y991" s="42"/>
      <c r="Z991" s="42"/>
      <c r="AA991" s="42"/>
      <c r="AB991" s="42"/>
      <c r="AC991" s="42"/>
      <c r="AD991" s="42"/>
      <c r="AE991" s="42"/>
      <c r="AF991" s="42"/>
      <c r="AG991" s="42"/>
      <c r="AH991" s="42"/>
      <c r="AI991" s="42"/>
      <c r="AJ991" s="42"/>
      <c r="AK991" s="42"/>
      <c r="AL991" s="42"/>
      <c r="AM991" s="42"/>
      <c r="AN991" s="42"/>
      <c r="AO991" s="42"/>
      <c r="AP991" s="42"/>
      <c r="AQ991" s="42"/>
      <c r="AR991" s="42"/>
    </row>
    <row r="992" spans="1:44" ht="17.25" customHeight="1" x14ac:dyDescent="0.2">
      <c r="A992" s="15"/>
      <c r="B992" s="14"/>
      <c r="J992" s="985"/>
      <c r="Q992" s="14"/>
      <c r="R992" s="15"/>
      <c r="S992" s="14"/>
      <c r="T992" s="14"/>
      <c r="U992" s="14"/>
      <c r="V992" s="14"/>
      <c r="W992" s="315"/>
      <c r="X992" s="14"/>
      <c r="Y992" s="42"/>
      <c r="Z992" s="42"/>
      <c r="AA992" s="42"/>
      <c r="AB992" s="42"/>
      <c r="AC992" s="42"/>
      <c r="AD992" s="42"/>
      <c r="AE992" s="42"/>
      <c r="AF992" s="42"/>
      <c r="AG992" s="42"/>
      <c r="AH992" s="42"/>
      <c r="AI992" s="42"/>
      <c r="AJ992" s="42"/>
      <c r="AK992" s="42"/>
      <c r="AL992" s="42"/>
      <c r="AM992" s="42"/>
      <c r="AN992" s="42"/>
      <c r="AO992" s="42"/>
      <c r="AP992" s="42"/>
      <c r="AQ992" s="42"/>
      <c r="AR992" s="42"/>
    </row>
    <row r="993" spans="1:44" ht="17.25" customHeight="1" x14ac:dyDescent="0.2">
      <c r="A993" s="15"/>
      <c r="J993" s="985"/>
      <c r="Q993" s="14"/>
      <c r="R993" s="15"/>
      <c r="S993" s="14"/>
      <c r="T993" s="14"/>
      <c r="U993" s="14"/>
      <c r="V993" s="14"/>
      <c r="W993" s="315"/>
      <c r="X993" s="14"/>
      <c r="Y993" s="42"/>
      <c r="Z993" s="42"/>
      <c r="AA993" s="42"/>
      <c r="AB993" s="42"/>
      <c r="AC993" s="42"/>
      <c r="AD993" s="42"/>
      <c r="AE993" s="42"/>
      <c r="AF993" s="42"/>
      <c r="AG993" s="42"/>
      <c r="AH993" s="42"/>
      <c r="AI993" s="42"/>
      <c r="AJ993" s="42"/>
      <c r="AK993" s="42"/>
      <c r="AL993" s="42"/>
      <c r="AM993" s="42"/>
      <c r="AN993" s="42"/>
      <c r="AO993" s="42"/>
      <c r="AP993" s="42"/>
      <c r="AQ993" s="42"/>
      <c r="AR993" s="42"/>
    </row>
    <row r="994" spans="1:44" ht="17.25" customHeight="1" x14ac:dyDescent="0.25">
      <c r="A994" s="15"/>
      <c r="B994" s="14"/>
      <c r="C994" s="930"/>
      <c r="D994" s="15"/>
      <c r="F994" s="14"/>
      <c r="J994" s="985"/>
      <c r="Q994" s="14"/>
      <c r="R994" s="15"/>
      <c r="S994" s="14"/>
      <c r="T994" s="14"/>
      <c r="U994" s="14"/>
      <c r="V994" s="14"/>
      <c r="W994" s="315"/>
      <c r="X994" s="14"/>
      <c r="Y994" s="42"/>
      <c r="Z994" s="42"/>
      <c r="AA994" s="42"/>
      <c r="AB994" s="42"/>
      <c r="AC994" s="42"/>
      <c r="AD994" s="42"/>
      <c r="AE994" s="42"/>
      <c r="AF994" s="42"/>
      <c r="AG994" s="42"/>
      <c r="AH994" s="42"/>
      <c r="AI994" s="42"/>
      <c r="AJ994" s="42"/>
      <c r="AK994" s="42"/>
      <c r="AL994" s="42"/>
      <c r="AM994" s="42"/>
      <c r="AN994" s="42"/>
      <c r="AO994" s="42"/>
      <c r="AP994" s="42"/>
      <c r="AQ994" s="42"/>
      <c r="AR994" s="42"/>
    </row>
    <row r="995" spans="1:44" ht="17.25" customHeight="1" x14ac:dyDescent="0.25">
      <c r="A995" s="15"/>
      <c r="B995" s="14"/>
      <c r="C995" s="930"/>
      <c r="D995" s="15"/>
      <c r="F995" s="14"/>
      <c r="J995" s="985"/>
      <c r="Q995" s="14"/>
      <c r="R995" s="15"/>
      <c r="S995" s="14"/>
      <c r="T995" s="14"/>
      <c r="U995" s="14"/>
      <c r="V995" s="14"/>
      <c r="W995" s="315"/>
      <c r="X995" s="14"/>
      <c r="Y995" s="42"/>
      <c r="Z995" s="42"/>
      <c r="AA995" s="42"/>
      <c r="AB995" s="42"/>
      <c r="AC995" s="42"/>
      <c r="AD995" s="42"/>
      <c r="AE995" s="42"/>
      <c r="AF995" s="42"/>
      <c r="AG995" s="42"/>
      <c r="AH995" s="42"/>
      <c r="AI995" s="42"/>
      <c r="AJ995" s="42"/>
      <c r="AK995" s="42"/>
      <c r="AL995" s="42"/>
      <c r="AM995" s="42"/>
      <c r="AN995" s="42"/>
      <c r="AO995" s="42"/>
      <c r="AP995" s="42"/>
      <c r="AQ995" s="42"/>
      <c r="AR995" s="42"/>
    </row>
    <row r="996" spans="1:44" ht="17.25" customHeight="1" x14ac:dyDescent="0.25">
      <c r="A996" s="997"/>
      <c r="B996" s="14"/>
      <c r="C996" s="930"/>
      <c r="D996" s="14"/>
      <c r="E996" s="8"/>
      <c r="F996" s="14"/>
      <c r="G996" s="8"/>
      <c r="H996" s="8"/>
      <c r="J996" s="985"/>
      <c r="Q996" s="14"/>
      <c r="R996" s="15"/>
      <c r="S996" s="14"/>
      <c r="T996" s="14"/>
      <c r="U996" s="14"/>
      <c r="V996" s="14"/>
      <c r="W996" s="315"/>
      <c r="X996" s="14"/>
      <c r="Y996" s="42"/>
      <c r="Z996" s="42"/>
      <c r="AA996" s="42"/>
      <c r="AB996" s="42"/>
      <c r="AC996" s="42"/>
      <c r="AD996" s="42"/>
      <c r="AE996" s="42"/>
      <c r="AF996" s="42"/>
      <c r="AG996" s="42"/>
      <c r="AH996" s="42"/>
      <c r="AI996" s="42"/>
      <c r="AJ996" s="42"/>
      <c r="AK996" s="42"/>
      <c r="AL996" s="42"/>
      <c r="AM996" s="42"/>
      <c r="AN996" s="42"/>
      <c r="AO996" s="42"/>
      <c r="AP996" s="42"/>
      <c r="AQ996" s="42"/>
      <c r="AR996" s="42"/>
    </row>
    <row r="997" spans="1:44" ht="17.25" customHeight="1" x14ac:dyDescent="0.2">
      <c r="J997" s="985"/>
      <c r="Q997" s="14"/>
      <c r="R997" s="15"/>
      <c r="S997" s="14"/>
      <c r="T997" s="14"/>
      <c r="U997" s="14"/>
      <c r="V997" s="14"/>
      <c r="W997" s="315"/>
      <c r="X997" s="14"/>
      <c r="Y997" s="42"/>
      <c r="Z997" s="42"/>
      <c r="AA997" s="42"/>
      <c r="AB997" s="42"/>
      <c r="AC997" s="42"/>
      <c r="AD997" s="42"/>
      <c r="AE997" s="42"/>
      <c r="AF997" s="42"/>
      <c r="AG997" s="42"/>
      <c r="AH997" s="42"/>
      <c r="AI997" s="42"/>
      <c r="AJ997" s="42"/>
      <c r="AK997" s="42"/>
      <c r="AL997" s="42"/>
      <c r="AM997" s="42"/>
      <c r="AN997" s="42"/>
      <c r="AO997" s="42"/>
      <c r="AP997" s="42"/>
      <c r="AQ997" s="42"/>
      <c r="AR997" s="42"/>
    </row>
    <row r="998" spans="1:44" ht="17.25" customHeight="1" x14ac:dyDescent="0.2">
      <c r="J998" s="985"/>
      <c r="Q998" s="14"/>
      <c r="R998" s="15"/>
      <c r="S998" s="14"/>
      <c r="T998" s="14"/>
      <c r="U998" s="14"/>
      <c r="V998" s="14"/>
      <c r="W998" s="315"/>
      <c r="X998" s="14"/>
      <c r="Y998" s="42"/>
      <c r="Z998" s="42"/>
      <c r="AA998" s="42"/>
      <c r="AB998" s="42"/>
      <c r="AC998" s="42"/>
      <c r="AD998" s="42"/>
      <c r="AE998" s="42"/>
      <c r="AF998" s="42"/>
      <c r="AG998" s="42"/>
      <c r="AH998" s="42"/>
      <c r="AI998" s="42"/>
      <c r="AJ998" s="42"/>
      <c r="AK998" s="42"/>
      <c r="AL998" s="42"/>
      <c r="AM998" s="42"/>
      <c r="AN998" s="42"/>
      <c r="AO998" s="42"/>
      <c r="AP998" s="42"/>
      <c r="AQ998" s="42"/>
      <c r="AR998" s="42"/>
    </row>
    <row r="999" spans="1:44" ht="17.25" customHeight="1" x14ac:dyDescent="0.2">
      <c r="J999" s="985"/>
      <c r="Q999" s="14"/>
      <c r="R999" s="15"/>
      <c r="S999" s="14"/>
      <c r="T999" s="14"/>
      <c r="U999" s="14"/>
      <c r="V999" s="14"/>
      <c r="W999" s="315"/>
      <c r="X999" s="14"/>
      <c r="Y999" s="42"/>
      <c r="Z999" s="42"/>
      <c r="AA999" s="42"/>
      <c r="AB999" s="42"/>
      <c r="AC999" s="42"/>
      <c r="AD999" s="42"/>
      <c r="AE999" s="42"/>
      <c r="AF999" s="42"/>
      <c r="AG999" s="42"/>
      <c r="AH999" s="42"/>
      <c r="AI999" s="42"/>
      <c r="AJ999" s="42"/>
      <c r="AK999" s="42"/>
      <c r="AL999" s="42"/>
      <c r="AM999" s="42"/>
      <c r="AN999" s="42"/>
      <c r="AO999" s="42"/>
      <c r="AP999" s="42"/>
      <c r="AQ999" s="42"/>
      <c r="AR999" s="42"/>
    </row>
    <row r="1000" spans="1:44" ht="17.25" customHeight="1" x14ac:dyDescent="0.2">
      <c r="J1000" s="985"/>
      <c r="Q1000" s="14"/>
      <c r="R1000" s="15"/>
      <c r="S1000" s="14"/>
      <c r="T1000" s="14"/>
      <c r="U1000" s="14"/>
      <c r="V1000" s="14"/>
      <c r="W1000" s="315"/>
      <c r="X1000" s="14"/>
      <c r="Y1000" s="42"/>
      <c r="Z1000" s="42"/>
      <c r="AA1000" s="42"/>
      <c r="AB1000" s="42"/>
      <c r="AC1000" s="42"/>
      <c r="AD1000" s="42"/>
      <c r="AE1000" s="42"/>
      <c r="AF1000" s="42"/>
      <c r="AG1000" s="42"/>
      <c r="AH1000" s="42"/>
      <c r="AI1000" s="42"/>
      <c r="AJ1000" s="42"/>
      <c r="AK1000" s="42"/>
      <c r="AL1000" s="42"/>
      <c r="AM1000" s="42"/>
      <c r="AN1000" s="42"/>
      <c r="AO1000" s="42"/>
      <c r="AP1000" s="42"/>
      <c r="AQ1000" s="42"/>
      <c r="AR1000" s="42"/>
    </row>
    <row r="1001" spans="1:44" ht="17.25" customHeight="1" x14ac:dyDescent="0.2">
      <c r="H1001" s="8"/>
      <c r="J1001" s="985"/>
      <c r="Q1001" s="14"/>
      <c r="R1001" s="15"/>
      <c r="S1001" s="14"/>
      <c r="T1001" s="14"/>
      <c r="U1001" s="14"/>
      <c r="V1001" s="14"/>
      <c r="W1001" s="315"/>
      <c r="X1001" s="14"/>
      <c r="Y1001" s="42"/>
      <c r="Z1001" s="42"/>
      <c r="AA1001" s="42"/>
      <c r="AB1001" s="42"/>
      <c r="AC1001" s="42"/>
      <c r="AD1001" s="42"/>
      <c r="AE1001" s="42"/>
      <c r="AF1001" s="42"/>
      <c r="AG1001" s="42"/>
      <c r="AH1001" s="42"/>
      <c r="AI1001" s="42"/>
      <c r="AJ1001" s="42"/>
      <c r="AK1001" s="42"/>
      <c r="AL1001" s="42"/>
      <c r="AM1001" s="42"/>
      <c r="AN1001" s="42"/>
      <c r="AO1001" s="42"/>
      <c r="AP1001" s="42"/>
      <c r="AQ1001" s="42"/>
      <c r="AR1001" s="42"/>
    </row>
    <row r="1002" spans="1:44" ht="17.25" customHeight="1" x14ac:dyDescent="0.2">
      <c r="H1002" s="8"/>
      <c r="J1002" s="985"/>
      <c r="Q1002" s="14"/>
      <c r="R1002" s="15"/>
      <c r="S1002" s="14"/>
      <c r="T1002" s="14"/>
      <c r="U1002" s="14"/>
      <c r="V1002" s="14"/>
      <c r="W1002" s="315"/>
      <c r="X1002" s="14"/>
      <c r="Y1002" s="42"/>
      <c r="Z1002" s="42"/>
      <c r="AA1002" s="42"/>
      <c r="AB1002" s="42"/>
      <c r="AC1002" s="42"/>
      <c r="AD1002" s="42"/>
      <c r="AE1002" s="42"/>
      <c r="AF1002" s="42"/>
      <c r="AG1002" s="42"/>
      <c r="AH1002" s="42"/>
      <c r="AI1002" s="42"/>
      <c r="AJ1002" s="42"/>
      <c r="AK1002" s="42"/>
      <c r="AL1002" s="42"/>
      <c r="AM1002" s="42"/>
      <c r="AN1002" s="42"/>
      <c r="AO1002" s="42"/>
      <c r="AP1002" s="42"/>
      <c r="AQ1002" s="42"/>
      <c r="AR1002" s="42"/>
    </row>
    <row r="1003" spans="1:44" ht="17.25" customHeight="1" x14ac:dyDescent="0.2">
      <c r="H1003" s="8"/>
      <c r="J1003" s="985"/>
      <c r="Q1003" s="14"/>
      <c r="R1003" s="15"/>
      <c r="S1003" s="14"/>
      <c r="T1003" s="14"/>
      <c r="U1003" s="14"/>
      <c r="V1003" s="14"/>
      <c r="W1003" s="315"/>
      <c r="X1003" s="14"/>
      <c r="Y1003" s="42"/>
      <c r="Z1003" s="42"/>
      <c r="AA1003" s="42"/>
      <c r="AB1003" s="42"/>
      <c r="AC1003" s="42"/>
      <c r="AD1003" s="42"/>
      <c r="AE1003" s="42"/>
      <c r="AF1003" s="42"/>
      <c r="AG1003" s="42"/>
      <c r="AH1003" s="42"/>
      <c r="AI1003" s="42"/>
      <c r="AJ1003" s="42"/>
      <c r="AK1003" s="42"/>
      <c r="AL1003" s="42"/>
      <c r="AM1003" s="42"/>
      <c r="AN1003" s="42"/>
      <c r="AO1003" s="42"/>
      <c r="AP1003" s="42"/>
      <c r="AQ1003" s="42"/>
      <c r="AR1003" s="42"/>
    </row>
    <row r="1004" spans="1:44" ht="17.25" customHeight="1" x14ac:dyDescent="0.2">
      <c r="H1004" s="8"/>
      <c r="J1004" s="985"/>
      <c r="Q1004" s="14"/>
      <c r="R1004" s="15"/>
      <c r="S1004" s="14"/>
      <c r="T1004" s="14"/>
      <c r="U1004" s="14"/>
      <c r="V1004" s="14"/>
      <c r="W1004" s="315"/>
      <c r="X1004" s="14"/>
      <c r="Y1004" s="42"/>
      <c r="Z1004" s="42"/>
      <c r="AA1004" s="42"/>
      <c r="AB1004" s="42"/>
      <c r="AC1004" s="42"/>
      <c r="AD1004" s="42"/>
      <c r="AE1004" s="42"/>
      <c r="AF1004" s="42"/>
      <c r="AG1004" s="42"/>
      <c r="AH1004" s="42"/>
      <c r="AI1004" s="42"/>
      <c r="AJ1004" s="42"/>
      <c r="AK1004" s="42"/>
      <c r="AL1004" s="42"/>
      <c r="AM1004" s="42"/>
      <c r="AN1004" s="42"/>
      <c r="AO1004" s="42"/>
      <c r="AP1004" s="42"/>
      <c r="AQ1004" s="42"/>
      <c r="AR1004" s="42"/>
    </row>
    <row r="1005" spans="1:44" ht="17.25" customHeight="1" x14ac:dyDescent="0.25">
      <c r="A1005" s="997"/>
      <c r="B1005" s="14"/>
      <c r="C1005" s="930"/>
      <c r="D1005" s="14"/>
      <c r="E1005" s="8"/>
      <c r="F1005" s="14"/>
      <c r="G1005" s="8"/>
      <c r="H1005" s="8"/>
      <c r="J1005" s="985"/>
      <c r="Q1005" s="14"/>
      <c r="R1005" s="15"/>
      <c r="S1005" s="14"/>
      <c r="T1005" s="14"/>
      <c r="U1005" s="14"/>
      <c r="V1005" s="14"/>
      <c r="W1005" s="315"/>
      <c r="X1005" s="14"/>
      <c r="Y1005" s="42"/>
      <c r="Z1005" s="42"/>
      <c r="AA1005" s="42"/>
      <c r="AB1005" s="42"/>
      <c r="AC1005" s="42"/>
      <c r="AD1005" s="42"/>
      <c r="AE1005" s="42"/>
      <c r="AF1005" s="42"/>
      <c r="AG1005" s="42"/>
      <c r="AH1005" s="42"/>
      <c r="AI1005" s="42"/>
      <c r="AJ1005" s="42"/>
      <c r="AK1005" s="42"/>
      <c r="AL1005" s="42"/>
      <c r="AM1005" s="42"/>
      <c r="AN1005" s="42"/>
      <c r="AO1005" s="42"/>
      <c r="AP1005" s="42"/>
      <c r="AQ1005" s="42"/>
      <c r="AR1005" s="42"/>
    </row>
    <row r="1006" spans="1:44" ht="17.25" customHeight="1" x14ac:dyDescent="0.25">
      <c r="A1006" s="997"/>
      <c r="B1006" s="14"/>
      <c r="C1006" s="930"/>
      <c r="D1006" s="14"/>
      <c r="E1006" s="8"/>
      <c r="F1006" s="14"/>
      <c r="G1006" s="8"/>
      <c r="H1006" s="8"/>
      <c r="J1006" s="985"/>
      <c r="Q1006" s="14"/>
      <c r="R1006" s="15"/>
      <c r="S1006" s="14"/>
      <c r="T1006" s="14"/>
      <c r="U1006" s="14"/>
      <c r="V1006" s="14"/>
      <c r="W1006" s="315"/>
      <c r="X1006" s="14"/>
      <c r="Y1006" s="42"/>
      <c r="Z1006" s="42"/>
      <c r="AA1006" s="42"/>
      <c r="AB1006" s="42"/>
      <c r="AC1006" s="42"/>
      <c r="AD1006" s="42"/>
      <c r="AE1006" s="42"/>
      <c r="AF1006" s="42"/>
      <c r="AG1006" s="42"/>
      <c r="AH1006" s="42"/>
      <c r="AI1006" s="42"/>
      <c r="AJ1006" s="42"/>
      <c r="AK1006" s="42"/>
      <c r="AL1006" s="42"/>
      <c r="AM1006" s="42"/>
      <c r="AN1006" s="42"/>
      <c r="AO1006" s="42"/>
      <c r="AP1006" s="42"/>
      <c r="AQ1006" s="42"/>
      <c r="AR1006" s="42"/>
    </row>
    <row r="1007" spans="1:44" ht="17.25" customHeight="1" x14ac:dyDescent="0.2">
      <c r="A1007" s="15"/>
      <c r="B1007" s="14"/>
      <c r="J1007" s="985"/>
      <c r="Q1007" s="14"/>
      <c r="R1007" s="15"/>
      <c r="S1007" s="14"/>
      <c r="T1007" s="14"/>
      <c r="U1007" s="14"/>
      <c r="V1007" s="14"/>
      <c r="W1007" s="315"/>
      <c r="X1007" s="14"/>
      <c r="Y1007" s="42"/>
      <c r="Z1007" s="42"/>
      <c r="AA1007" s="42"/>
      <c r="AB1007" s="42"/>
      <c r="AC1007" s="42"/>
      <c r="AD1007" s="42"/>
      <c r="AE1007" s="42"/>
      <c r="AF1007" s="42"/>
      <c r="AG1007" s="42"/>
      <c r="AH1007" s="42"/>
      <c r="AI1007" s="42"/>
      <c r="AJ1007" s="42"/>
      <c r="AK1007" s="42"/>
      <c r="AL1007" s="42"/>
      <c r="AM1007" s="42"/>
      <c r="AN1007" s="42"/>
      <c r="AO1007" s="42"/>
      <c r="AP1007" s="42"/>
      <c r="AQ1007" s="42"/>
      <c r="AR1007" s="42"/>
    </row>
    <row r="1008" spans="1:44" ht="17.25" customHeight="1" x14ac:dyDescent="0.2">
      <c r="A1008" s="15"/>
      <c r="B1008" s="14"/>
      <c r="J1008" s="985"/>
      <c r="Q1008" s="14"/>
      <c r="R1008" s="15"/>
      <c r="S1008" s="14"/>
      <c r="T1008" s="14"/>
      <c r="U1008" s="14"/>
      <c r="V1008" s="14"/>
      <c r="W1008" s="315"/>
      <c r="X1008" s="14"/>
      <c r="Y1008" s="42"/>
      <c r="Z1008" s="42"/>
      <c r="AA1008" s="42"/>
      <c r="AB1008" s="42"/>
      <c r="AC1008" s="42"/>
      <c r="AD1008" s="42"/>
      <c r="AE1008" s="42"/>
      <c r="AF1008" s="42"/>
      <c r="AG1008" s="42"/>
      <c r="AH1008" s="42"/>
      <c r="AI1008" s="42"/>
      <c r="AJ1008" s="42"/>
      <c r="AK1008" s="42"/>
      <c r="AL1008" s="42"/>
      <c r="AM1008" s="42"/>
      <c r="AN1008" s="42"/>
      <c r="AO1008" s="42"/>
      <c r="AP1008" s="42"/>
      <c r="AQ1008" s="42"/>
      <c r="AR1008" s="42"/>
    </row>
    <row r="1009" spans="1:44" ht="17.25" customHeight="1" x14ac:dyDescent="0.2">
      <c r="A1009" s="15"/>
      <c r="B1009" s="14"/>
      <c r="J1009" s="985"/>
      <c r="Q1009" s="14"/>
      <c r="R1009" s="15"/>
      <c r="S1009" s="14"/>
      <c r="T1009" s="14"/>
      <c r="U1009" s="14"/>
      <c r="V1009" s="14"/>
      <c r="W1009" s="315"/>
      <c r="X1009" s="14"/>
      <c r="Y1009" s="42"/>
      <c r="Z1009" s="42"/>
      <c r="AA1009" s="42"/>
      <c r="AB1009" s="42"/>
      <c r="AC1009" s="42"/>
      <c r="AD1009" s="42"/>
      <c r="AE1009" s="42"/>
      <c r="AF1009" s="42"/>
      <c r="AG1009" s="42"/>
      <c r="AH1009" s="42"/>
      <c r="AI1009" s="42"/>
      <c r="AJ1009" s="42"/>
      <c r="AK1009" s="42"/>
      <c r="AL1009" s="42"/>
      <c r="AM1009" s="42"/>
      <c r="AN1009" s="42"/>
      <c r="AO1009" s="42"/>
      <c r="AP1009" s="42"/>
      <c r="AQ1009" s="42"/>
      <c r="AR1009" s="42"/>
    </row>
    <row r="1010" spans="1:44" ht="17.25" customHeight="1" x14ac:dyDescent="0.25">
      <c r="A1010" s="15"/>
      <c r="B1010" s="14"/>
      <c r="N1010" s="866"/>
      <c r="O1010" s="14"/>
      <c r="P1010" s="520"/>
      <c r="Q1010" s="14"/>
      <c r="R1010" s="14"/>
      <c r="S1010" s="14"/>
      <c r="T1010" s="14"/>
      <c r="U1010" s="14"/>
      <c r="V1010" s="14"/>
      <c r="W1010" s="315"/>
      <c r="X1010" s="14"/>
      <c r="Y1010" s="42"/>
      <c r="Z1010" s="42"/>
      <c r="AA1010" s="42"/>
      <c r="AB1010" s="42"/>
      <c r="AC1010" s="42"/>
      <c r="AD1010" s="42"/>
      <c r="AE1010" s="42"/>
      <c r="AF1010" s="42"/>
      <c r="AG1010" s="42"/>
      <c r="AH1010" s="42"/>
      <c r="AI1010" s="42"/>
      <c r="AJ1010" s="42"/>
      <c r="AK1010" s="42"/>
      <c r="AL1010" s="42"/>
      <c r="AM1010" s="42"/>
      <c r="AN1010" s="42"/>
      <c r="AO1010" s="42"/>
      <c r="AP1010" s="42"/>
      <c r="AQ1010" s="42"/>
      <c r="AR1010" s="42"/>
    </row>
    <row r="1011" spans="1:44" ht="17.25" customHeight="1" x14ac:dyDescent="0.25">
      <c r="A1011" s="15"/>
      <c r="B1011" s="14"/>
      <c r="C1011" s="14"/>
      <c r="D1011" s="14"/>
      <c r="E1011" s="14"/>
      <c r="F1011" s="14"/>
      <c r="N1011" s="867"/>
      <c r="O1011" s="867"/>
      <c r="P1011" s="867"/>
      <c r="Q1011" s="867"/>
      <c r="R1011" s="867"/>
      <c r="S1011" s="520"/>
      <c r="T1011" s="520"/>
      <c r="U1011" s="520"/>
      <c r="V1011" s="14"/>
      <c r="W1011" s="315"/>
      <c r="X1011" s="14"/>
      <c r="Y1011" s="42"/>
      <c r="Z1011" s="42"/>
      <c r="AA1011" s="42"/>
      <c r="AB1011" s="42"/>
      <c r="AC1011" s="42"/>
      <c r="AD1011" s="42"/>
      <c r="AE1011" s="42"/>
      <c r="AF1011" s="42"/>
      <c r="AG1011" s="42"/>
      <c r="AH1011" s="42"/>
      <c r="AI1011" s="42"/>
      <c r="AJ1011" s="42"/>
      <c r="AK1011" s="42"/>
      <c r="AL1011" s="42"/>
      <c r="AM1011" s="42"/>
      <c r="AN1011" s="42"/>
      <c r="AO1011" s="42"/>
      <c r="AP1011" s="42"/>
      <c r="AQ1011" s="42"/>
      <c r="AR1011" s="42"/>
    </row>
    <row r="1012" spans="1:44" ht="17.25" customHeight="1" x14ac:dyDescent="0.25">
      <c r="A1012" s="15"/>
      <c r="B1012" s="14"/>
      <c r="C1012" s="14"/>
      <c r="E1012" s="14"/>
      <c r="F1012" s="14"/>
      <c r="N1012" s="868"/>
      <c r="O1012" s="869"/>
      <c r="P1012" s="869"/>
      <c r="Q1012" s="869"/>
      <c r="R1012" s="869"/>
      <c r="S1012" s="774"/>
      <c r="T1012" s="774"/>
      <c r="U1012" s="774"/>
      <c r="V1012" s="14"/>
      <c r="W1012" s="315"/>
      <c r="X1012" s="14"/>
      <c r="Y1012" s="42"/>
      <c r="Z1012" s="42"/>
      <c r="AA1012" s="42"/>
      <c r="AB1012" s="42"/>
      <c r="AC1012" s="42"/>
      <c r="AD1012" s="42"/>
      <c r="AE1012" s="42"/>
      <c r="AF1012" s="42"/>
      <c r="AG1012" s="42"/>
      <c r="AH1012" s="42"/>
      <c r="AI1012" s="42"/>
      <c r="AJ1012" s="42"/>
      <c r="AK1012" s="42"/>
      <c r="AL1012" s="42"/>
      <c r="AM1012" s="42"/>
      <c r="AN1012" s="42"/>
      <c r="AO1012" s="42"/>
      <c r="AP1012" s="42"/>
      <c r="AQ1012" s="42"/>
      <c r="AR1012" s="42"/>
    </row>
    <row r="1013" spans="1:44" ht="17.25" customHeight="1" x14ac:dyDescent="0.25">
      <c r="A1013" s="15"/>
      <c r="B1013" s="14"/>
      <c r="C1013" s="14"/>
      <c r="D1013" s="15"/>
      <c r="E1013" s="14"/>
      <c r="F1013" s="14"/>
      <c r="N1013" s="868"/>
      <c r="O1013" s="869"/>
      <c r="P1013" s="869"/>
      <c r="Q1013" s="869"/>
      <c r="R1013" s="869"/>
      <c r="S1013" s="774"/>
      <c r="T1013" s="774"/>
      <c r="U1013" s="774"/>
      <c r="V1013" s="14"/>
      <c r="W1013" s="315"/>
      <c r="X1013" s="14"/>
      <c r="Y1013" s="42"/>
      <c r="Z1013" s="42"/>
      <c r="AA1013" s="42"/>
      <c r="AB1013" s="42"/>
      <c r="AC1013" s="42"/>
      <c r="AD1013" s="42"/>
      <c r="AE1013" s="42"/>
      <c r="AF1013" s="42"/>
      <c r="AG1013" s="42"/>
      <c r="AH1013" s="42"/>
      <c r="AI1013" s="42"/>
      <c r="AJ1013" s="42"/>
      <c r="AK1013" s="42"/>
      <c r="AL1013" s="42"/>
      <c r="AM1013" s="42"/>
      <c r="AN1013" s="42"/>
      <c r="AO1013" s="42"/>
      <c r="AP1013" s="42"/>
      <c r="AQ1013" s="42"/>
      <c r="AR1013" s="42"/>
    </row>
    <row r="1014" spans="1:44" ht="17.25" customHeight="1" x14ac:dyDescent="0.25">
      <c r="N1014" s="868"/>
      <c r="O1014" s="870"/>
      <c r="P1014" s="870"/>
      <c r="Q1014" s="870"/>
      <c r="R1014" s="870"/>
      <c r="S1014" s="774"/>
      <c r="T1014" s="774"/>
      <c r="U1014" s="774"/>
      <c r="V1014" s="14"/>
      <c r="W1014" s="315"/>
      <c r="X1014" s="14"/>
      <c r="Y1014" s="42"/>
      <c r="Z1014" s="42"/>
      <c r="AA1014" s="42"/>
      <c r="AB1014" s="42"/>
      <c r="AC1014" s="42"/>
      <c r="AD1014" s="42"/>
      <c r="AE1014" s="42"/>
      <c r="AF1014" s="42"/>
      <c r="AG1014" s="42"/>
      <c r="AH1014" s="42"/>
      <c r="AI1014" s="42"/>
      <c r="AJ1014" s="42"/>
      <c r="AK1014" s="42"/>
      <c r="AL1014" s="42"/>
      <c r="AM1014" s="42"/>
      <c r="AN1014" s="42"/>
      <c r="AO1014" s="42"/>
      <c r="AP1014" s="42"/>
      <c r="AQ1014" s="42"/>
      <c r="AR1014" s="42"/>
    </row>
    <row r="1015" spans="1:44" ht="17.25" customHeight="1" x14ac:dyDescent="0.25">
      <c r="N1015" s="868"/>
      <c r="O1015" s="870"/>
      <c r="P1015" s="870"/>
      <c r="Q1015" s="870"/>
      <c r="R1015" s="870"/>
      <c r="S1015" s="774"/>
      <c r="T1015" s="774"/>
      <c r="U1015" s="774"/>
      <c r="V1015" s="14"/>
      <c r="W1015" s="315"/>
      <c r="X1015" s="14"/>
      <c r="Y1015" s="42"/>
      <c r="Z1015" s="42"/>
      <c r="AA1015" s="42"/>
      <c r="AB1015" s="42"/>
      <c r="AC1015" s="42"/>
      <c r="AD1015" s="42"/>
      <c r="AE1015" s="42"/>
      <c r="AF1015" s="42"/>
      <c r="AG1015" s="42"/>
      <c r="AH1015" s="42"/>
      <c r="AI1015" s="42"/>
      <c r="AJ1015" s="42"/>
      <c r="AK1015" s="42"/>
      <c r="AL1015" s="42"/>
      <c r="AM1015" s="42"/>
      <c r="AN1015" s="42"/>
      <c r="AO1015" s="42"/>
      <c r="AP1015" s="42"/>
      <c r="AQ1015" s="42"/>
      <c r="AR1015" s="42"/>
    </row>
    <row r="1016" spans="1:44" ht="17.25" customHeight="1" x14ac:dyDescent="0.25">
      <c r="N1016" s="868"/>
      <c r="O1016" s="869"/>
      <c r="P1016" s="869"/>
      <c r="Q1016" s="869"/>
      <c r="R1016" s="869"/>
      <c r="S1016" s="774"/>
      <c r="T1016" s="774"/>
      <c r="U1016" s="774"/>
      <c r="V1016" s="14"/>
      <c r="W1016" s="315"/>
      <c r="X1016" s="14"/>
      <c r="Y1016" s="42"/>
      <c r="Z1016" s="42"/>
      <c r="AA1016" s="42"/>
      <c r="AB1016" s="42"/>
      <c r="AC1016" s="42"/>
      <c r="AD1016" s="42"/>
      <c r="AE1016" s="42"/>
      <c r="AF1016" s="42"/>
      <c r="AG1016" s="42"/>
      <c r="AH1016" s="42"/>
      <c r="AI1016" s="42"/>
      <c r="AJ1016" s="42"/>
      <c r="AK1016" s="42"/>
      <c r="AL1016" s="42"/>
      <c r="AM1016" s="42"/>
      <c r="AN1016" s="42"/>
      <c r="AO1016" s="42"/>
      <c r="AP1016" s="42"/>
      <c r="AQ1016" s="42"/>
      <c r="AR1016" s="42"/>
    </row>
    <row r="1017" spans="1:44" ht="17.25" customHeight="1" x14ac:dyDescent="0.25">
      <c r="N1017" s="868"/>
      <c r="O1017" s="870"/>
      <c r="P1017" s="870"/>
      <c r="Q1017" s="870"/>
      <c r="R1017" s="869"/>
      <c r="S1017" s="774"/>
      <c r="T1017" s="774"/>
      <c r="U1017" s="774"/>
      <c r="V1017" s="14"/>
      <c r="W1017" s="315"/>
      <c r="X1017" s="14"/>
      <c r="Y1017" s="42"/>
      <c r="Z1017" s="42"/>
      <c r="AA1017" s="42"/>
      <c r="AB1017" s="42"/>
      <c r="AC1017" s="42"/>
      <c r="AD1017" s="42"/>
      <c r="AE1017" s="42"/>
      <c r="AF1017" s="42"/>
      <c r="AG1017" s="42"/>
      <c r="AH1017" s="42"/>
      <c r="AI1017" s="42"/>
      <c r="AJ1017" s="42"/>
      <c r="AK1017" s="42"/>
      <c r="AL1017" s="42"/>
      <c r="AM1017" s="42"/>
      <c r="AN1017" s="42"/>
      <c r="AO1017" s="42"/>
      <c r="AP1017" s="42"/>
      <c r="AQ1017" s="42"/>
      <c r="AR1017" s="42"/>
    </row>
    <row r="1018" spans="1:44" ht="17.25" customHeight="1" x14ac:dyDescent="0.25">
      <c r="N1018" s="868"/>
      <c r="O1018" s="871"/>
      <c r="P1018" s="871"/>
      <c r="Q1018" s="871"/>
      <c r="R1018" s="867"/>
      <c r="S1018" s="520"/>
      <c r="T1018" s="520"/>
      <c r="U1018" s="520"/>
      <c r="V1018" s="14"/>
      <c r="W1018" s="315"/>
      <c r="X1018" s="14"/>
      <c r="Y1018" s="42"/>
      <c r="Z1018" s="42"/>
      <c r="AA1018" s="42"/>
      <c r="AB1018" s="42"/>
      <c r="AC1018" s="42"/>
      <c r="AD1018" s="42"/>
      <c r="AE1018" s="42"/>
      <c r="AF1018" s="42"/>
      <c r="AG1018" s="42"/>
      <c r="AH1018" s="42"/>
      <c r="AI1018" s="42"/>
      <c r="AJ1018" s="42"/>
      <c r="AK1018" s="42"/>
      <c r="AL1018" s="42"/>
      <c r="AM1018" s="42"/>
      <c r="AN1018" s="42"/>
      <c r="AO1018" s="42"/>
      <c r="AP1018" s="42"/>
      <c r="AQ1018" s="42"/>
      <c r="AR1018" s="42"/>
    </row>
    <row r="1019" spans="1:44" ht="17.25" customHeight="1" x14ac:dyDescent="0.25">
      <c r="N1019" s="868"/>
      <c r="O1019" s="867"/>
      <c r="P1019" s="867"/>
      <c r="Q1019" s="867"/>
      <c r="R1019" s="867"/>
      <c r="S1019" s="520"/>
      <c r="T1019" s="520"/>
      <c r="U1019" s="520"/>
      <c r="V1019" s="14"/>
      <c r="W1019" s="315"/>
      <c r="X1019" s="14"/>
      <c r="Y1019" s="42"/>
      <c r="Z1019" s="42"/>
      <c r="AA1019" s="42"/>
      <c r="AB1019" s="42"/>
      <c r="AC1019" s="42"/>
      <c r="AD1019" s="42"/>
      <c r="AE1019" s="42"/>
      <c r="AF1019" s="42"/>
      <c r="AG1019" s="42"/>
      <c r="AH1019" s="42"/>
      <c r="AI1019" s="42"/>
      <c r="AJ1019" s="42"/>
      <c r="AK1019" s="42"/>
      <c r="AL1019" s="42"/>
      <c r="AM1019" s="42"/>
      <c r="AN1019" s="42"/>
      <c r="AO1019" s="42"/>
      <c r="AP1019" s="42"/>
      <c r="AQ1019" s="42"/>
      <c r="AR1019" s="42"/>
    </row>
    <row r="1020" spans="1:44" ht="17.25" customHeight="1" x14ac:dyDescent="0.2">
      <c r="Q1020" s="14"/>
      <c r="R1020" s="15"/>
      <c r="S1020" s="14"/>
      <c r="T1020" s="14"/>
      <c r="U1020" s="14"/>
      <c r="V1020" s="14"/>
      <c r="W1020" s="315"/>
      <c r="X1020" s="14"/>
      <c r="Y1020" s="42"/>
      <c r="Z1020" s="42"/>
      <c r="AA1020" s="42"/>
      <c r="AB1020" s="42"/>
      <c r="AC1020" s="42"/>
      <c r="AD1020" s="42"/>
      <c r="AE1020" s="42"/>
      <c r="AF1020" s="42"/>
      <c r="AG1020" s="42"/>
      <c r="AH1020" s="42"/>
      <c r="AI1020" s="42"/>
      <c r="AJ1020" s="42"/>
      <c r="AK1020" s="42"/>
      <c r="AL1020" s="42"/>
      <c r="AM1020" s="42"/>
      <c r="AN1020" s="42"/>
      <c r="AO1020" s="42"/>
      <c r="AP1020" s="42"/>
      <c r="AQ1020" s="42"/>
      <c r="AR1020" s="42"/>
    </row>
    <row r="1021" spans="1:44" ht="17.25" customHeight="1" x14ac:dyDescent="0.2">
      <c r="Q1021" s="14"/>
      <c r="R1021" s="15"/>
      <c r="S1021" s="14"/>
      <c r="T1021" s="14"/>
      <c r="U1021" s="14"/>
      <c r="V1021" s="14"/>
      <c r="W1021" s="315"/>
      <c r="X1021" s="14"/>
      <c r="Y1021" s="42"/>
      <c r="Z1021" s="42"/>
      <c r="AA1021" s="42"/>
      <c r="AB1021" s="42"/>
      <c r="AC1021" s="42"/>
      <c r="AD1021" s="42"/>
      <c r="AE1021" s="42"/>
      <c r="AF1021" s="42"/>
      <c r="AG1021" s="42"/>
      <c r="AH1021" s="42"/>
      <c r="AI1021" s="42"/>
      <c r="AJ1021" s="42"/>
      <c r="AK1021" s="42"/>
      <c r="AL1021" s="42"/>
      <c r="AM1021" s="42"/>
      <c r="AN1021" s="42"/>
      <c r="AO1021" s="42"/>
      <c r="AP1021" s="42"/>
      <c r="AQ1021" s="42"/>
      <c r="AR1021" s="42"/>
    </row>
    <row r="1022" spans="1:44" ht="17.25" customHeight="1" x14ac:dyDescent="0.2">
      <c r="Q1022" s="14"/>
      <c r="R1022" s="15"/>
      <c r="S1022" s="14"/>
      <c r="T1022" s="14"/>
      <c r="U1022" s="14"/>
      <c r="V1022" s="14"/>
      <c r="W1022" s="315"/>
      <c r="X1022" s="14"/>
      <c r="Y1022" s="42"/>
      <c r="Z1022" s="42"/>
      <c r="AA1022" s="42"/>
      <c r="AB1022" s="42"/>
      <c r="AC1022" s="42"/>
      <c r="AD1022" s="42"/>
      <c r="AE1022" s="42"/>
      <c r="AF1022" s="42"/>
      <c r="AG1022" s="42"/>
      <c r="AH1022" s="42"/>
      <c r="AI1022" s="42"/>
      <c r="AJ1022" s="42"/>
      <c r="AK1022" s="42"/>
      <c r="AL1022" s="42"/>
      <c r="AM1022" s="42"/>
      <c r="AN1022" s="42"/>
      <c r="AO1022" s="42"/>
      <c r="AP1022" s="42"/>
      <c r="AQ1022" s="42"/>
      <c r="AR1022" s="42"/>
    </row>
    <row r="1023" spans="1:44" ht="17.25" customHeight="1" x14ac:dyDescent="0.2">
      <c r="Q1023" s="14"/>
      <c r="R1023" s="15"/>
      <c r="S1023" s="14"/>
      <c r="T1023" s="14"/>
      <c r="U1023" s="14"/>
      <c r="V1023" s="14"/>
      <c r="W1023" s="315"/>
      <c r="X1023" s="14"/>
      <c r="Y1023" s="42"/>
      <c r="Z1023" s="42"/>
      <c r="AA1023" s="42"/>
      <c r="AB1023" s="42"/>
      <c r="AC1023" s="42"/>
      <c r="AD1023" s="42"/>
      <c r="AE1023" s="42"/>
      <c r="AF1023" s="42"/>
      <c r="AG1023" s="42"/>
      <c r="AH1023" s="42"/>
      <c r="AI1023" s="42"/>
      <c r="AJ1023" s="42"/>
      <c r="AK1023" s="42"/>
      <c r="AL1023" s="42"/>
      <c r="AM1023" s="42"/>
      <c r="AN1023" s="42"/>
      <c r="AO1023" s="42"/>
      <c r="AP1023" s="42"/>
      <c r="AQ1023" s="42"/>
      <c r="AR1023" s="42"/>
    </row>
    <row r="1024" spans="1:44" ht="17.25" customHeight="1" x14ac:dyDescent="0.2">
      <c r="Q1024" s="14"/>
      <c r="R1024" s="15"/>
      <c r="S1024" s="14"/>
      <c r="T1024" s="14"/>
      <c r="U1024" s="14"/>
      <c r="V1024" s="14"/>
      <c r="W1024" s="315"/>
      <c r="X1024" s="14"/>
      <c r="Y1024" s="42"/>
      <c r="Z1024" s="42"/>
      <c r="AA1024" s="42"/>
      <c r="AB1024" s="42"/>
      <c r="AC1024" s="42"/>
      <c r="AD1024" s="42"/>
      <c r="AE1024" s="42"/>
      <c r="AF1024" s="42"/>
      <c r="AG1024" s="42"/>
      <c r="AH1024" s="42"/>
      <c r="AI1024" s="42"/>
      <c r="AJ1024" s="42"/>
      <c r="AK1024" s="42"/>
      <c r="AL1024" s="42"/>
      <c r="AM1024" s="42"/>
      <c r="AN1024" s="42"/>
      <c r="AO1024" s="42"/>
      <c r="AP1024" s="42"/>
      <c r="AQ1024" s="42"/>
      <c r="AR1024" s="42"/>
    </row>
    <row r="1025" spans="17:44" ht="17.25" customHeight="1" x14ac:dyDescent="0.2">
      <c r="Q1025" s="14"/>
      <c r="R1025" s="15"/>
      <c r="S1025" s="14"/>
      <c r="T1025" s="14"/>
      <c r="U1025" s="14"/>
      <c r="V1025" s="14"/>
      <c r="W1025" s="315"/>
      <c r="X1025" s="14"/>
      <c r="Y1025" s="42"/>
      <c r="Z1025" s="42"/>
      <c r="AA1025" s="42"/>
      <c r="AB1025" s="42"/>
      <c r="AC1025" s="42"/>
      <c r="AD1025" s="42"/>
      <c r="AE1025" s="42"/>
      <c r="AF1025" s="42"/>
      <c r="AG1025" s="42"/>
      <c r="AH1025" s="42"/>
      <c r="AI1025" s="42"/>
      <c r="AJ1025" s="42"/>
      <c r="AK1025" s="42"/>
      <c r="AL1025" s="42"/>
      <c r="AM1025" s="42"/>
      <c r="AN1025" s="42"/>
      <c r="AO1025" s="42"/>
      <c r="AP1025" s="42"/>
      <c r="AQ1025" s="42"/>
      <c r="AR1025" s="42"/>
    </row>
    <row r="1026" spans="17:44" ht="17.25" customHeight="1" x14ac:dyDescent="0.2">
      <c r="Q1026" s="14"/>
      <c r="R1026" s="15"/>
      <c r="S1026" s="14"/>
      <c r="T1026" s="14"/>
      <c r="U1026" s="14"/>
      <c r="V1026" s="14"/>
      <c r="W1026" s="315"/>
      <c r="X1026" s="14"/>
      <c r="Y1026" s="42"/>
      <c r="Z1026" s="42"/>
      <c r="AA1026" s="42"/>
      <c r="AB1026" s="42"/>
      <c r="AC1026" s="42"/>
      <c r="AD1026" s="42"/>
      <c r="AE1026" s="42"/>
      <c r="AF1026" s="42"/>
      <c r="AG1026" s="42"/>
      <c r="AH1026" s="42"/>
      <c r="AI1026" s="42"/>
      <c r="AJ1026" s="42"/>
      <c r="AK1026" s="42"/>
      <c r="AL1026" s="42"/>
      <c r="AM1026" s="42"/>
      <c r="AN1026" s="42"/>
      <c r="AO1026" s="42"/>
      <c r="AP1026" s="42"/>
      <c r="AQ1026" s="42"/>
      <c r="AR1026" s="42"/>
    </row>
    <row r="1027" spans="17:44" ht="17.25" customHeight="1" x14ac:dyDescent="0.2">
      <c r="Q1027" s="14"/>
      <c r="R1027" s="15"/>
      <c r="S1027" s="14"/>
      <c r="T1027" s="14"/>
      <c r="U1027" s="14"/>
      <c r="V1027" s="14"/>
      <c r="W1027" s="315"/>
      <c r="X1027" s="14"/>
      <c r="Y1027" s="42"/>
      <c r="Z1027" s="42"/>
      <c r="AA1027" s="42"/>
      <c r="AB1027" s="42"/>
      <c r="AC1027" s="42"/>
      <c r="AD1027" s="42"/>
      <c r="AE1027" s="42"/>
      <c r="AF1027" s="42"/>
      <c r="AG1027" s="42"/>
      <c r="AH1027" s="42"/>
      <c r="AI1027" s="42"/>
      <c r="AJ1027" s="42"/>
      <c r="AK1027" s="42"/>
      <c r="AL1027" s="42"/>
      <c r="AM1027" s="42"/>
      <c r="AN1027" s="42"/>
      <c r="AO1027" s="42"/>
      <c r="AP1027" s="42"/>
      <c r="AQ1027" s="42"/>
      <c r="AR1027" s="42"/>
    </row>
    <row r="1028" spans="17:44" ht="17.25" customHeight="1" x14ac:dyDescent="0.2">
      <c r="Q1028" s="14"/>
      <c r="R1028" s="15"/>
      <c r="S1028" s="14"/>
      <c r="T1028" s="14"/>
      <c r="U1028" s="14"/>
      <c r="V1028" s="14"/>
      <c r="W1028" s="315"/>
      <c r="X1028" s="14"/>
      <c r="Y1028" s="42"/>
      <c r="Z1028" s="42"/>
      <c r="AA1028" s="42"/>
      <c r="AB1028" s="42"/>
      <c r="AC1028" s="42"/>
      <c r="AD1028" s="42"/>
      <c r="AE1028" s="42"/>
      <c r="AF1028" s="42"/>
      <c r="AG1028" s="42"/>
      <c r="AH1028" s="42"/>
      <c r="AI1028" s="42"/>
      <c r="AJ1028" s="42"/>
      <c r="AK1028" s="42"/>
      <c r="AL1028" s="42"/>
      <c r="AM1028" s="42"/>
      <c r="AN1028" s="42"/>
      <c r="AO1028" s="42"/>
      <c r="AP1028" s="42"/>
      <c r="AQ1028" s="42"/>
      <c r="AR1028" s="42"/>
    </row>
    <row r="1029" spans="17:44" ht="17.25" customHeight="1" x14ac:dyDescent="0.2">
      <c r="Q1029" s="14"/>
      <c r="R1029" s="15"/>
      <c r="S1029" s="14"/>
      <c r="T1029" s="14"/>
      <c r="U1029" s="14"/>
      <c r="V1029" s="14"/>
      <c r="W1029" s="315"/>
      <c r="X1029" s="14"/>
      <c r="Y1029" s="42"/>
      <c r="Z1029" s="42"/>
      <c r="AA1029" s="42"/>
      <c r="AB1029" s="42"/>
      <c r="AC1029" s="42"/>
      <c r="AD1029" s="42"/>
      <c r="AE1029" s="42"/>
      <c r="AF1029" s="42"/>
      <c r="AG1029" s="42"/>
      <c r="AH1029" s="42"/>
      <c r="AI1029" s="42"/>
      <c r="AJ1029" s="42"/>
      <c r="AK1029" s="42"/>
      <c r="AL1029" s="42"/>
      <c r="AM1029" s="42"/>
      <c r="AN1029" s="42"/>
      <c r="AO1029" s="42"/>
      <c r="AP1029" s="42"/>
      <c r="AQ1029" s="42"/>
      <c r="AR1029" s="42"/>
    </row>
    <row r="1030" spans="17:44" ht="17.25" customHeight="1" x14ac:dyDescent="0.2">
      <c r="Q1030" s="14"/>
      <c r="R1030" s="15"/>
      <c r="S1030" s="14"/>
      <c r="T1030" s="14"/>
      <c r="U1030" s="14"/>
      <c r="V1030" s="14"/>
      <c r="W1030" s="315"/>
      <c r="X1030" s="14"/>
      <c r="Y1030" s="42"/>
      <c r="Z1030" s="42"/>
      <c r="AA1030" s="42"/>
      <c r="AB1030" s="42"/>
      <c r="AC1030" s="42"/>
      <c r="AD1030" s="42"/>
      <c r="AE1030" s="42"/>
      <c r="AF1030" s="42"/>
      <c r="AG1030" s="42"/>
      <c r="AH1030" s="42"/>
      <c r="AI1030" s="42"/>
      <c r="AJ1030" s="42"/>
      <c r="AK1030" s="42"/>
      <c r="AL1030" s="42"/>
      <c r="AM1030" s="42"/>
      <c r="AN1030" s="42"/>
      <c r="AO1030" s="42"/>
      <c r="AP1030" s="42"/>
      <c r="AQ1030" s="42"/>
      <c r="AR1030" s="42"/>
    </row>
    <row r="1031" spans="17:44" ht="17.25" customHeight="1" x14ac:dyDescent="0.2">
      <c r="Q1031" s="14"/>
      <c r="R1031" s="15"/>
      <c r="S1031" s="14"/>
      <c r="T1031" s="14"/>
      <c r="U1031" s="14"/>
      <c r="V1031" s="14"/>
      <c r="W1031" s="315"/>
      <c r="X1031" s="14"/>
      <c r="Y1031" s="42"/>
      <c r="Z1031" s="42"/>
      <c r="AA1031" s="42"/>
      <c r="AB1031" s="42"/>
      <c r="AC1031" s="42"/>
      <c r="AD1031" s="42"/>
      <c r="AE1031" s="42"/>
      <c r="AF1031" s="42"/>
      <c r="AG1031" s="42"/>
      <c r="AH1031" s="42"/>
      <c r="AI1031" s="42"/>
      <c r="AJ1031" s="42"/>
      <c r="AK1031" s="42"/>
      <c r="AL1031" s="42"/>
      <c r="AM1031" s="42"/>
      <c r="AN1031" s="42"/>
      <c r="AO1031" s="42"/>
      <c r="AP1031" s="42"/>
      <c r="AQ1031" s="42"/>
      <c r="AR1031" s="42"/>
    </row>
    <row r="1085" spans="1:44" ht="17.25" customHeight="1" x14ac:dyDescent="0.2">
      <c r="A1085" s="8"/>
      <c r="B1085" s="8"/>
      <c r="C1085" s="8"/>
      <c r="D1085" s="8"/>
      <c r="E1085" s="8"/>
      <c r="F1085" s="8"/>
      <c r="G1085" s="8"/>
      <c r="H1085" s="8"/>
      <c r="I1085" s="8"/>
      <c r="J1085" s="8"/>
      <c r="K1085" s="8"/>
      <c r="L1085" s="8"/>
      <c r="M1085" s="8"/>
      <c r="N1085" s="8"/>
      <c r="O1085" s="8"/>
      <c r="P1085" s="8"/>
      <c r="Q1085" s="14"/>
      <c r="R1085" s="14"/>
      <c r="S1085" s="14"/>
      <c r="T1085" s="14"/>
      <c r="U1085" s="14"/>
      <c r="V1085" s="14"/>
      <c r="W1085" s="315"/>
      <c r="X1085" s="14"/>
      <c r="Y1085" s="42"/>
      <c r="Z1085" s="42"/>
      <c r="AA1085" s="42"/>
      <c r="AB1085" s="42"/>
      <c r="AC1085" s="42"/>
      <c r="AD1085" s="42"/>
      <c r="AE1085" s="42"/>
      <c r="AF1085" s="42"/>
      <c r="AG1085" s="42"/>
      <c r="AH1085" s="42"/>
      <c r="AI1085" s="42"/>
      <c r="AJ1085" s="42"/>
      <c r="AK1085" s="42"/>
      <c r="AL1085" s="42"/>
      <c r="AM1085" s="42"/>
      <c r="AN1085" s="42"/>
      <c r="AO1085" s="42"/>
      <c r="AP1085" s="42"/>
      <c r="AQ1085" s="42"/>
      <c r="AR1085" s="42"/>
    </row>
    <row r="1086" spans="1:44" ht="17.25" customHeight="1" x14ac:dyDescent="0.2">
      <c r="A1086" s="8"/>
      <c r="B1086" s="8"/>
      <c r="C1086" s="8"/>
      <c r="D1086" s="8"/>
      <c r="E1086" s="8"/>
      <c r="F1086" s="8"/>
      <c r="G1086" s="8"/>
      <c r="H1086" s="8"/>
      <c r="I1086" s="8"/>
      <c r="J1086" s="8"/>
      <c r="K1086" s="8"/>
      <c r="L1086" s="8"/>
      <c r="M1086" s="8"/>
      <c r="N1086" s="8"/>
      <c r="O1086" s="8"/>
      <c r="P1086" s="8"/>
      <c r="Q1086" s="14"/>
      <c r="R1086" s="14"/>
      <c r="S1086" s="14"/>
      <c r="T1086" s="14"/>
      <c r="U1086" s="14"/>
      <c r="V1086" s="14"/>
      <c r="W1086" s="315"/>
      <c r="X1086" s="14"/>
      <c r="Y1086" s="42"/>
      <c r="Z1086" s="42"/>
      <c r="AA1086" s="42"/>
      <c r="AB1086" s="42"/>
      <c r="AC1086" s="42"/>
      <c r="AD1086" s="42"/>
      <c r="AE1086" s="42"/>
      <c r="AF1086" s="42"/>
      <c r="AG1086" s="42"/>
      <c r="AH1086" s="42"/>
      <c r="AI1086" s="42"/>
      <c r="AJ1086" s="42"/>
      <c r="AK1086" s="42"/>
      <c r="AL1086" s="42"/>
      <c r="AM1086" s="42"/>
      <c r="AN1086" s="42"/>
      <c r="AO1086" s="42"/>
      <c r="AP1086" s="42"/>
      <c r="AQ1086" s="42"/>
      <c r="AR1086" s="42"/>
    </row>
    <row r="1087" spans="1:44" ht="17.25" customHeight="1" x14ac:dyDescent="0.2">
      <c r="A1087" s="8"/>
      <c r="B1087" s="8"/>
      <c r="C1087" s="8"/>
      <c r="D1087" s="8"/>
      <c r="E1087" s="8"/>
      <c r="F1087" s="8"/>
      <c r="G1087" s="8"/>
      <c r="H1087" s="8"/>
      <c r="I1087" s="8"/>
      <c r="J1087" s="8"/>
      <c r="K1087" s="8"/>
      <c r="L1087" s="8"/>
      <c r="M1087" s="8"/>
      <c r="N1087" s="8"/>
      <c r="O1087" s="8"/>
      <c r="P1087" s="8"/>
      <c r="Q1087" s="14"/>
      <c r="R1087" s="14"/>
      <c r="S1087" s="14"/>
      <c r="T1087" s="14"/>
      <c r="U1087" s="14"/>
      <c r="V1087" s="14"/>
      <c r="W1087" s="315"/>
      <c r="X1087" s="14"/>
      <c r="Y1087" s="42"/>
      <c r="Z1087" s="42"/>
      <c r="AA1087" s="42"/>
      <c r="AB1087" s="42"/>
      <c r="AC1087" s="42"/>
      <c r="AD1087" s="42"/>
      <c r="AE1087" s="42"/>
      <c r="AF1087" s="42"/>
      <c r="AG1087" s="42"/>
      <c r="AH1087" s="42"/>
      <c r="AI1087" s="42"/>
      <c r="AJ1087" s="42"/>
      <c r="AK1087" s="42"/>
      <c r="AL1087" s="42"/>
      <c r="AM1087" s="42"/>
      <c r="AN1087" s="42"/>
      <c r="AO1087" s="42"/>
      <c r="AP1087" s="42"/>
      <c r="AQ1087" s="42"/>
      <c r="AR1087" s="42"/>
    </row>
    <row r="1088" spans="1:44" ht="17.25" customHeight="1" x14ac:dyDescent="0.2">
      <c r="A1088" s="8"/>
      <c r="B1088" s="8"/>
      <c r="C1088" s="8"/>
      <c r="D1088" s="8"/>
      <c r="E1088" s="8"/>
      <c r="F1088" s="8"/>
      <c r="G1088" s="8"/>
      <c r="H1088" s="8"/>
      <c r="I1088" s="8"/>
      <c r="J1088" s="8"/>
      <c r="K1088" s="8"/>
      <c r="L1088" s="8"/>
      <c r="M1088" s="8"/>
      <c r="N1088" s="8"/>
      <c r="O1088" s="8"/>
      <c r="P1088" s="8"/>
      <c r="Q1088" s="14"/>
      <c r="R1088" s="14"/>
      <c r="S1088" s="14"/>
      <c r="T1088" s="14"/>
      <c r="U1088" s="14"/>
      <c r="V1088" s="14"/>
      <c r="W1088" s="315"/>
      <c r="X1088" s="14"/>
      <c r="Y1088" s="42"/>
      <c r="Z1088" s="42"/>
      <c r="AA1088" s="42"/>
      <c r="AB1088" s="42"/>
      <c r="AC1088" s="42"/>
      <c r="AD1088" s="42"/>
      <c r="AE1088" s="42"/>
      <c r="AF1088" s="42"/>
      <c r="AG1088" s="42"/>
      <c r="AH1088" s="42"/>
      <c r="AI1088" s="42"/>
      <c r="AJ1088" s="42"/>
      <c r="AK1088" s="42"/>
      <c r="AL1088" s="42"/>
      <c r="AM1088" s="42"/>
      <c r="AN1088" s="42"/>
      <c r="AO1088" s="42"/>
      <c r="AP1088" s="42"/>
      <c r="AQ1088" s="42"/>
      <c r="AR1088" s="42"/>
    </row>
    <row r="1089" spans="1:44" ht="17.25" customHeight="1" x14ac:dyDescent="0.2">
      <c r="A1089" s="8"/>
      <c r="B1089" s="8"/>
      <c r="C1089" s="8"/>
      <c r="D1089" s="8"/>
      <c r="E1089" s="8"/>
      <c r="F1089" s="8"/>
      <c r="G1089" s="8"/>
      <c r="H1089" s="8"/>
      <c r="I1089" s="8"/>
      <c r="J1089" s="8"/>
      <c r="K1089" s="8"/>
      <c r="L1089" s="8"/>
      <c r="M1089" s="8"/>
      <c r="N1089" s="8"/>
      <c r="O1089" s="8"/>
      <c r="P1089" s="8"/>
      <c r="Q1089" s="14"/>
      <c r="R1089" s="14"/>
      <c r="S1089" s="14"/>
      <c r="T1089" s="14"/>
      <c r="U1089" s="14"/>
      <c r="V1089" s="14"/>
      <c r="W1089" s="315"/>
      <c r="X1089" s="14"/>
      <c r="Y1089" s="42"/>
      <c r="Z1089" s="42"/>
      <c r="AA1089" s="42"/>
      <c r="AB1089" s="42"/>
      <c r="AC1089" s="42"/>
      <c r="AD1089" s="42"/>
      <c r="AE1089" s="42"/>
      <c r="AF1089" s="42"/>
      <c r="AG1089" s="42"/>
      <c r="AH1089" s="42"/>
      <c r="AI1089" s="42"/>
      <c r="AJ1089" s="42"/>
      <c r="AK1089" s="42"/>
      <c r="AL1089" s="42"/>
      <c r="AM1089" s="42"/>
      <c r="AN1089" s="42"/>
      <c r="AO1089" s="42"/>
      <c r="AP1089" s="42"/>
      <c r="AQ1089" s="42"/>
      <c r="AR1089" s="42"/>
    </row>
    <row r="1090" spans="1:44" ht="17.25" customHeight="1" x14ac:dyDescent="0.2">
      <c r="A1090" s="6"/>
      <c r="B1090" s="6"/>
      <c r="C1090" s="6"/>
      <c r="D1090" s="6"/>
      <c r="E1090" s="6"/>
      <c r="F1090" s="6"/>
      <c r="G1090" s="6"/>
      <c r="H1090" s="6"/>
      <c r="I1090" s="6"/>
      <c r="J1090" s="6"/>
      <c r="K1090" s="6"/>
      <c r="L1090" s="6"/>
      <c r="M1090" s="6"/>
      <c r="N1090" s="6"/>
      <c r="O1090" s="6"/>
      <c r="P1090" s="6"/>
      <c r="Q1090" s="57"/>
      <c r="R1090" s="57"/>
      <c r="S1090" s="57"/>
      <c r="T1090" s="57"/>
      <c r="U1090" s="57"/>
      <c r="V1090" s="14"/>
      <c r="W1090" s="315"/>
      <c r="X1090" s="14"/>
      <c r="Y1090" s="42"/>
      <c r="Z1090" s="42"/>
      <c r="AA1090" s="42"/>
      <c r="AB1090" s="42"/>
      <c r="AC1090" s="42"/>
      <c r="AD1090" s="42"/>
      <c r="AE1090" s="42"/>
      <c r="AF1090" s="42"/>
      <c r="AG1090" s="42"/>
      <c r="AH1090" s="42"/>
      <c r="AI1090" s="42"/>
      <c r="AJ1090" s="42"/>
      <c r="AK1090" s="42"/>
      <c r="AL1090" s="42"/>
      <c r="AM1090" s="42"/>
      <c r="AN1090" s="42"/>
      <c r="AO1090" s="42"/>
      <c r="AP1090" s="42"/>
      <c r="AQ1090" s="42"/>
      <c r="AR1090" s="42"/>
    </row>
    <row r="1091" spans="1:44" ht="17.25" customHeight="1" x14ac:dyDescent="0.2">
      <c r="A1091" s="8"/>
      <c r="B1091" s="8"/>
      <c r="C1091" s="8"/>
      <c r="D1091" s="8"/>
      <c r="E1091" s="8"/>
      <c r="F1091" s="8"/>
      <c r="G1091" s="8"/>
      <c r="H1091" s="8"/>
      <c r="I1091" s="8"/>
      <c r="J1091" s="8"/>
      <c r="K1091" s="8"/>
      <c r="L1091" s="8"/>
      <c r="M1091" s="8"/>
      <c r="N1091" s="8"/>
      <c r="O1091" s="8"/>
      <c r="P1091" s="8"/>
      <c r="Q1091" s="14"/>
      <c r="R1091" s="14"/>
      <c r="S1091" s="14"/>
      <c r="T1091" s="14"/>
      <c r="U1091" s="14"/>
      <c r="V1091" s="14"/>
      <c r="W1091" s="315"/>
      <c r="X1091" s="14"/>
      <c r="Y1091" s="42"/>
      <c r="Z1091" s="42"/>
      <c r="AA1091" s="42"/>
      <c r="AB1091" s="42"/>
      <c r="AC1091" s="42"/>
      <c r="AD1091" s="42"/>
      <c r="AE1091" s="42"/>
      <c r="AF1091" s="42"/>
      <c r="AG1091" s="42"/>
      <c r="AH1091" s="42"/>
      <c r="AI1091" s="42"/>
      <c r="AJ1091" s="42"/>
      <c r="AK1091" s="42"/>
      <c r="AL1091" s="42"/>
      <c r="AM1091" s="42"/>
      <c r="AN1091" s="42"/>
      <c r="AO1091" s="42"/>
      <c r="AP1091" s="42"/>
      <c r="AQ1091" s="42"/>
      <c r="AR1091" s="42"/>
    </row>
    <row r="1092" spans="1:44" ht="17.25" customHeight="1" thickBot="1" x14ac:dyDescent="0.3">
      <c r="A1092" s="350" t="str">
        <f>IF(SUM(S72:S76)=5,"Мощность пласта минимальная, м","")</f>
        <v/>
      </c>
      <c r="B1092" s="315"/>
      <c r="C1092" s="315"/>
      <c r="D1092" s="315"/>
      <c r="E1092" s="189"/>
      <c r="F1092" s="316"/>
      <c r="G1092" s="211" t="s">
        <v>580</v>
      </c>
      <c r="H1092" s="809" t="str">
        <f>kursovoy!B402</f>
        <v/>
      </c>
      <c r="K1092" s="214" t="s">
        <v>5139</v>
      </c>
      <c r="Q1092" s="14"/>
      <c r="R1092" s="15"/>
      <c r="S1092" s="14"/>
      <c r="T1092" s="14"/>
      <c r="U1092" s="14"/>
      <c r="V1092" s="14"/>
      <c r="W1092" s="315"/>
      <c r="X1092" s="14"/>
      <c r="Y1092" s="42"/>
      <c r="Z1092" s="42"/>
      <c r="AA1092" s="42"/>
      <c r="AB1092" s="42"/>
      <c r="AC1092" s="42"/>
      <c r="AD1092" s="42"/>
      <c r="AE1092" s="42"/>
      <c r="AF1092" s="42"/>
      <c r="AG1092" s="42"/>
      <c r="AH1092" s="42"/>
      <c r="AI1092" s="42"/>
      <c r="AJ1092" s="42"/>
      <c r="AK1092" s="42"/>
      <c r="AL1092" s="42"/>
      <c r="AM1092" s="42"/>
      <c r="AN1092" s="42"/>
      <c r="AO1092" s="42"/>
      <c r="AP1092" s="42"/>
      <c r="AQ1092" s="42"/>
      <c r="AR1092" s="42"/>
    </row>
    <row r="1093" spans="1:44" ht="17.25" customHeight="1" thickBot="1" x14ac:dyDescent="0.3">
      <c r="A1093" s="350" t="str">
        <f>IF(SUM(S72:S76)=5,"Мощность пласта максимальная, м","")</f>
        <v/>
      </c>
      <c r="B1093" s="315"/>
      <c r="C1093" s="315"/>
      <c r="D1093" s="315"/>
      <c r="E1093" s="189"/>
      <c r="F1093" s="316"/>
      <c r="G1093" s="211" t="s">
        <v>581</v>
      </c>
      <c r="H1093" s="809" t="str">
        <f>kursovoy!B403</f>
        <v/>
      </c>
      <c r="K1093" s="998" t="s">
        <v>5007</v>
      </c>
      <c r="L1093" s="999">
        <v>500</v>
      </c>
      <c r="M1093" s="999">
        <v>650</v>
      </c>
      <c r="N1093" s="1008" t="e">
        <f t="shared" ref="N1093:N1100" si="46">IF(AND(L1093&lt;$Q$1094,M1093&gt;=$P$1094),1,0)</f>
        <v>#VALUE!</v>
      </c>
      <c r="O1093" s="1000"/>
      <c r="P1093" s="2" t="s">
        <v>5140</v>
      </c>
      <c r="Q1093" s="3" t="s">
        <v>5141</v>
      </c>
      <c r="R1093" s="15"/>
      <c r="S1093" s="14"/>
      <c r="T1093" s="14"/>
      <c r="U1093" s="14"/>
      <c r="V1093" s="14"/>
      <c r="W1093" s="315"/>
      <c r="X1093" s="14"/>
      <c r="Y1093" s="42"/>
      <c r="Z1093" s="42"/>
      <c r="AA1093" s="42"/>
      <c r="AB1093" s="42"/>
      <c r="AC1093" s="42"/>
      <c r="AD1093" s="42"/>
      <c r="AE1093" s="42"/>
      <c r="AF1093" s="42"/>
      <c r="AG1093" s="42"/>
      <c r="AH1093" s="42"/>
      <c r="AI1093" s="42"/>
      <c r="AJ1093" s="42"/>
      <c r="AK1093" s="42"/>
      <c r="AL1093" s="42"/>
      <c r="AM1093" s="42"/>
      <c r="AN1093" s="42"/>
      <c r="AO1093" s="42"/>
      <c r="AP1093" s="42"/>
      <c r="AQ1093" s="42"/>
      <c r="AR1093" s="42"/>
    </row>
    <row r="1094" spans="1:44" ht="17.25" customHeight="1" x14ac:dyDescent="0.2">
      <c r="A1094" s="351" t="str">
        <f>A1108</f>
        <v/>
      </c>
      <c r="B1094" s="315"/>
      <c r="C1094" s="315"/>
      <c r="D1094" s="315"/>
      <c r="E1094" s="189"/>
      <c r="F1094" s="316"/>
      <c r="G1094" s="211"/>
      <c r="H1094" s="810">
        <f>kursovoy!B903</f>
        <v>0</v>
      </c>
      <c r="K1094" s="1001" t="s">
        <v>5008</v>
      </c>
      <c r="L1094" s="927">
        <v>560</v>
      </c>
      <c r="M1094" s="927">
        <v>800</v>
      </c>
      <c r="N1094" s="361" t="e">
        <f t="shared" si="46"/>
        <v>#VALUE!</v>
      </c>
      <c r="O1094" s="239"/>
      <c r="P1094" s="1008" t="e">
        <f>kursovoy!B403*1000*(1-IF(kursovoy!B207=1,0.04,IF(kursovoy!B207=2,0.025,IF(kursovoy!B207=3,0.015,IF(kursovoy!B207=4,0.015,IF(kursovoy!B207=5,0.05)))))*1)</f>
        <v>#VALUE!</v>
      </c>
      <c r="Q1094" s="1009" t="e">
        <f>kursovoy!B402*1000*(1-IF(kursovoy!B207=1,0.04,IF(kursovoy!B207=2,0.025,IF(kursovoy!B207=3,0.015,IF(kursovoy!B207=4,0.015,IF(kursovoy!B207=5,0.05)))))*5)</f>
        <v>#VALUE!</v>
      </c>
      <c r="R1094" s="15"/>
      <c r="S1094" s="14"/>
      <c r="T1094" s="14"/>
      <c r="U1094" s="14"/>
      <c r="V1094" s="14"/>
      <c r="W1094" s="315"/>
      <c r="X1094" s="14"/>
      <c r="Y1094" s="42"/>
      <c r="Z1094" s="42"/>
      <c r="AA1094" s="42"/>
      <c r="AB1094" s="42"/>
      <c r="AC1094" s="42"/>
      <c r="AD1094" s="42"/>
      <c r="AE1094" s="42"/>
      <c r="AF1094" s="42"/>
      <c r="AG1094" s="42"/>
      <c r="AH1094" s="42"/>
      <c r="AI1094" s="42"/>
      <c r="AJ1094" s="42"/>
      <c r="AK1094" s="42"/>
      <c r="AL1094" s="42"/>
      <c r="AM1094" s="42"/>
      <c r="AN1094" s="42"/>
      <c r="AO1094" s="42"/>
      <c r="AP1094" s="42"/>
      <c r="AQ1094" s="42"/>
      <c r="AR1094" s="42"/>
    </row>
    <row r="1095" spans="1:44" ht="17.25" customHeight="1" x14ac:dyDescent="0.2">
      <c r="A1095" s="351" t="str">
        <f>A1109</f>
        <v/>
      </c>
      <c r="B1095" s="315"/>
      <c r="C1095" s="315"/>
      <c r="D1095" s="315"/>
      <c r="E1095" s="189"/>
      <c r="F1095" s="316"/>
      <c r="G1095" s="211"/>
      <c r="H1095" s="810" t="str">
        <f>kursovoy!B405</f>
        <v/>
      </c>
      <c r="K1095" s="1001" t="s">
        <v>5009</v>
      </c>
      <c r="L1095" s="927">
        <v>630</v>
      </c>
      <c r="M1095" s="927">
        <v>900</v>
      </c>
      <c r="N1095" s="361" t="e">
        <f t="shared" si="46"/>
        <v>#VALUE!</v>
      </c>
      <c r="O1095" s="239"/>
      <c r="P1095" s="14"/>
      <c r="Q1095" s="1002"/>
      <c r="R1095" s="15"/>
      <c r="S1095" s="14"/>
      <c r="T1095" s="14"/>
      <c r="U1095" s="14"/>
      <c r="V1095" s="14"/>
      <c r="W1095" s="315"/>
      <c r="X1095" s="14"/>
      <c r="Y1095" s="42"/>
      <c r="Z1095" s="42"/>
      <c r="AA1095" s="42"/>
      <c r="AB1095" s="42"/>
      <c r="AC1095" s="42"/>
      <c r="AD1095" s="42"/>
      <c r="AE1095" s="42"/>
      <c r="AF1095" s="42"/>
      <c r="AG1095" s="42"/>
      <c r="AH1095" s="42"/>
      <c r="AI1095" s="42"/>
      <c r="AJ1095" s="42"/>
      <c r="AK1095" s="42"/>
      <c r="AL1095" s="42"/>
      <c r="AM1095" s="42"/>
      <c r="AN1095" s="42"/>
      <c r="AO1095" s="42"/>
      <c r="AP1095" s="42"/>
      <c r="AQ1095" s="42"/>
      <c r="AR1095" s="42"/>
    </row>
    <row r="1096" spans="1:44" ht="17.25" customHeight="1" x14ac:dyDescent="0.2">
      <c r="A1096" s="351" t="str">
        <f>A1110</f>
        <v/>
      </c>
      <c r="B1096" s="315"/>
      <c r="C1096" s="315"/>
      <c r="D1096" s="315"/>
      <c r="E1096" s="189"/>
      <c r="F1096" s="316"/>
      <c r="G1096" s="211"/>
      <c r="H1096" s="810" t="str">
        <f>kursovoy!B206</f>
        <v/>
      </c>
      <c r="K1096" s="1001" t="s">
        <v>5010</v>
      </c>
      <c r="L1096" s="927">
        <v>710</v>
      </c>
      <c r="M1096" s="927">
        <v>1000</v>
      </c>
      <c r="N1096" s="361" t="e">
        <f t="shared" si="46"/>
        <v>#VALUE!</v>
      </c>
      <c r="O1096" s="239"/>
      <c r="P1096" s="14"/>
      <c r="Q1096" s="1002"/>
      <c r="R1096" s="15"/>
      <c r="S1096" s="14"/>
      <c r="T1096" s="14"/>
      <c r="U1096" s="14"/>
      <c r="V1096" s="14"/>
      <c r="W1096" s="315"/>
      <c r="X1096" s="14"/>
      <c r="Y1096" s="42"/>
      <c r="Z1096" s="42"/>
      <c r="AA1096" s="42"/>
      <c r="AB1096" s="42"/>
      <c r="AC1096" s="42"/>
      <c r="AD1096" s="42"/>
      <c r="AE1096" s="42"/>
      <c r="AF1096" s="42"/>
      <c r="AG1096" s="42"/>
      <c r="AH1096" s="42"/>
      <c r="AI1096" s="42"/>
      <c r="AJ1096" s="42"/>
      <c r="AK1096" s="42"/>
      <c r="AL1096" s="42"/>
      <c r="AM1096" s="42"/>
      <c r="AN1096" s="42"/>
      <c r="AO1096" s="42"/>
      <c r="AP1096" s="42"/>
      <c r="AQ1096" s="42"/>
      <c r="AR1096" s="42"/>
    </row>
    <row r="1097" spans="1:44" ht="17.25" customHeight="1" x14ac:dyDescent="0.2">
      <c r="A1097" s="351" t="str">
        <f>A1111</f>
        <v/>
      </c>
      <c r="B1097" s="315"/>
      <c r="C1097" s="315"/>
      <c r="D1097" s="315"/>
      <c r="E1097" s="189"/>
      <c r="F1097" s="316"/>
      <c r="G1097" s="211"/>
      <c r="H1097" s="810" t="str">
        <f>kursovoy!B207</f>
        <v/>
      </c>
      <c r="K1097" s="1001" t="s">
        <v>5011</v>
      </c>
      <c r="L1097" s="927">
        <v>800</v>
      </c>
      <c r="M1097" s="927">
        <v>1120</v>
      </c>
      <c r="N1097" s="361" t="e">
        <f t="shared" si="46"/>
        <v>#VALUE!</v>
      </c>
      <c r="O1097" s="239"/>
      <c r="P1097" s="1"/>
      <c r="Q1097" s="1002"/>
      <c r="R1097" s="15"/>
      <c r="S1097" s="14"/>
      <c r="T1097" s="14"/>
      <c r="U1097" s="14"/>
      <c r="V1097" s="14"/>
      <c r="W1097" s="315"/>
      <c r="X1097" s="14"/>
      <c r="Y1097" s="42"/>
      <c r="Z1097" s="42"/>
      <c r="AA1097" s="42"/>
      <c r="AB1097" s="42"/>
      <c r="AC1097" s="42"/>
      <c r="AD1097" s="42"/>
      <c r="AE1097" s="42"/>
      <c r="AF1097" s="42"/>
      <c r="AG1097" s="42"/>
      <c r="AH1097" s="42"/>
      <c r="AI1097" s="42"/>
      <c r="AJ1097" s="42"/>
      <c r="AK1097" s="42"/>
      <c r="AL1097" s="42"/>
      <c r="AM1097" s="42"/>
      <c r="AN1097" s="42"/>
      <c r="AO1097" s="42"/>
      <c r="AP1097" s="42"/>
      <c r="AQ1097" s="42"/>
      <c r="AR1097" s="42"/>
    </row>
    <row r="1098" spans="1:44" ht="37.5" customHeight="1" x14ac:dyDescent="0.2">
      <c r="A1098" s="4419" t="str">
        <f>A1112</f>
        <v/>
      </c>
      <c r="B1098" s="4411"/>
      <c r="C1098" s="4411"/>
      <c r="D1098" s="4411"/>
      <c r="E1098" s="4411"/>
      <c r="F1098" s="4412"/>
      <c r="G1098" s="211"/>
      <c r="H1098" s="810" t="str">
        <f>kursovoy!B208</f>
        <v/>
      </c>
      <c r="K1098" s="1001" t="s">
        <v>5012</v>
      </c>
      <c r="L1098" s="927">
        <v>900</v>
      </c>
      <c r="M1098" s="927">
        <v>1250</v>
      </c>
      <c r="N1098" s="361" t="e">
        <f t="shared" si="46"/>
        <v>#VALUE!</v>
      </c>
      <c r="O1098" s="239"/>
      <c r="P1098" s="14"/>
      <c r="Q1098" s="1002"/>
      <c r="R1098" s="15"/>
      <c r="S1098" s="14"/>
      <c r="T1098" s="14"/>
      <c r="U1098" s="14"/>
      <c r="V1098" s="14"/>
      <c r="W1098" s="315"/>
      <c r="X1098" s="14"/>
      <c r="Y1098" s="42"/>
      <c r="Z1098" s="42"/>
      <c r="AA1098" s="42"/>
      <c r="AB1098" s="42"/>
      <c r="AC1098" s="42"/>
      <c r="AD1098" s="42"/>
      <c r="AE1098" s="42"/>
      <c r="AF1098" s="42"/>
      <c r="AG1098" s="42"/>
      <c r="AH1098" s="42"/>
      <c r="AI1098" s="42"/>
      <c r="AJ1098" s="42"/>
      <c r="AK1098" s="42"/>
      <c r="AL1098" s="42"/>
      <c r="AM1098" s="42"/>
      <c r="AN1098" s="42"/>
      <c r="AO1098" s="42"/>
      <c r="AP1098" s="42"/>
      <c r="AQ1098" s="42"/>
      <c r="AR1098" s="42"/>
    </row>
    <row r="1099" spans="1:44" ht="17.25" customHeight="1" x14ac:dyDescent="0.2">
      <c r="A1099" s="4345" t="s">
        <v>3475</v>
      </c>
      <c r="B1099" s="4345"/>
      <c r="C1099" s="4345"/>
      <c r="D1099" s="4345"/>
      <c r="E1099" s="4345"/>
      <c r="F1099" s="4345"/>
      <c r="G1099" s="211"/>
      <c r="H1099" s="809" t="str">
        <f>kursovoy!B214</f>
        <v/>
      </c>
      <c r="K1099" s="1001" t="s">
        <v>5013</v>
      </c>
      <c r="L1099" s="927">
        <v>1000</v>
      </c>
      <c r="M1099" s="927">
        <v>1400</v>
      </c>
      <c r="N1099" s="361" t="e">
        <f t="shared" si="46"/>
        <v>#VALUE!</v>
      </c>
      <c r="O1099" s="239"/>
      <c r="P1099" s="14"/>
      <c r="Q1099" s="1002"/>
      <c r="R1099" s="15"/>
      <c r="S1099" s="14"/>
      <c r="T1099" s="14"/>
      <c r="U1099" s="14"/>
      <c r="V1099" s="14"/>
      <c r="W1099" s="315"/>
      <c r="X1099" s="14"/>
      <c r="Y1099" s="42"/>
      <c r="Z1099" s="42"/>
      <c r="AA1099" s="42"/>
      <c r="AB1099" s="42"/>
      <c r="AC1099" s="42"/>
      <c r="AD1099" s="42"/>
      <c r="AE1099" s="42"/>
      <c r="AF1099" s="42"/>
      <c r="AG1099" s="42"/>
      <c r="AH1099" s="42"/>
      <c r="AI1099" s="42"/>
      <c r="AJ1099" s="42"/>
      <c r="AK1099" s="42"/>
      <c r="AL1099" s="42"/>
      <c r="AM1099" s="42"/>
      <c r="AN1099" s="42"/>
      <c r="AO1099" s="42"/>
      <c r="AP1099" s="42"/>
      <c r="AQ1099" s="42"/>
      <c r="AR1099" s="42"/>
    </row>
    <row r="1100" spans="1:44" ht="17.25" customHeight="1" thickBot="1" x14ac:dyDescent="0.25">
      <c r="A1100" s="351" t="str">
        <f>A1115</f>
        <v/>
      </c>
      <c r="B1100" s="315"/>
      <c r="C1100" s="315"/>
      <c r="D1100" s="315"/>
      <c r="E1100" s="189"/>
      <c r="F1100" s="316"/>
      <c r="G1100" s="211"/>
      <c r="H1100" s="810" t="str">
        <f>kursovoy!B210</f>
        <v/>
      </c>
      <c r="K1100" s="1003" t="s">
        <v>5014</v>
      </c>
      <c r="L1100" s="1004">
        <v>1120</v>
      </c>
      <c r="M1100" s="1004">
        <v>1600</v>
      </c>
      <c r="N1100" s="1010" t="e">
        <f t="shared" si="46"/>
        <v>#VALUE!</v>
      </c>
      <c r="O1100" s="1006"/>
      <c r="P1100" s="1005"/>
      <c r="Q1100" s="1007"/>
      <c r="R1100" s="15"/>
      <c r="S1100" s="14"/>
      <c r="T1100" s="14"/>
      <c r="U1100" s="14"/>
      <c r="V1100" s="14"/>
      <c r="W1100" s="315"/>
      <c r="X1100" s="14"/>
      <c r="Y1100" s="42"/>
      <c r="Z1100" s="42"/>
      <c r="AA1100" s="42"/>
      <c r="AB1100" s="42"/>
      <c r="AC1100" s="42"/>
      <c r="AD1100" s="42"/>
      <c r="AE1100" s="42"/>
      <c r="AF1100" s="42"/>
      <c r="AG1100" s="42"/>
      <c r="AH1100" s="42"/>
      <c r="AI1100" s="42"/>
      <c r="AJ1100" s="42"/>
      <c r="AK1100" s="42"/>
      <c r="AL1100" s="42"/>
      <c r="AM1100" s="42"/>
      <c r="AN1100" s="42"/>
      <c r="AO1100" s="42"/>
      <c r="AP1100" s="42"/>
      <c r="AQ1100" s="42"/>
      <c r="AR1100" s="42"/>
    </row>
    <row r="1101" spans="1:44" ht="17.25" customHeight="1" x14ac:dyDescent="0.2">
      <c r="Q1101" s="14"/>
      <c r="R1101" s="15"/>
      <c r="S1101" s="14"/>
      <c r="T1101" s="14"/>
      <c r="U1101" s="14"/>
      <c r="V1101" s="14"/>
      <c r="W1101" s="315"/>
      <c r="X1101" s="14"/>
      <c r="Y1101" s="42"/>
      <c r="Z1101" s="42"/>
      <c r="AA1101" s="42"/>
      <c r="AB1101" s="42"/>
      <c r="AC1101" s="42"/>
      <c r="AD1101" s="42"/>
      <c r="AE1101" s="42"/>
      <c r="AF1101" s="42"/>
      <c r="AG1101" s="42"/>
      <c r="AH1101" s="42"/>
      <c r="AI1101" s="42"/>
      <c r="AJ1101" s="42"/>
      <c r="AK1101" s="42"/>
      <c r="AL1101" s="42"/>
      <c r="AM1101" s="42"/>
      <c r="AN1101" s="42"/>
      <c r="AO1101" s="42"/>
      <c r="AP1101" s="42"/>
      <c r="AQ1101" s="42"/>
      <c r="AR1101" s="42"/>
    </row>
    <row r="1102" spans="1:44" ht="17.25" customHeight="1" x14ac:dyDescent="0.25">
      <c r="A1102" s="220" t="s">
        <v>3435</v>
      </c>
      <c r="C1102" s="217"/>
      <c r="D1102" s="217"/>
      <c r="E1102" s="217"/>
      <c r="F1102" s="217"/>
      <c r="G1102" s="211"/>
      <c r="H1102" s="221"/>
      <c r="Q1102" s="14"/>
      <c r="R1102" s="15"/>
      <c r="S1102" s="14"/>
      <c r="T1102" s="14"/>
      <c r="U1102" s="14"/>
      <c r="V1102" s="14"/>
      <c r="W1102" s="315"/>
      <c r="X1102" s="14"/>
      <c r="Y1102" s="42"/>
      <c r="Z1102" s="42"/>
      <c r="AA1102" s="42"/>
      <c r="AB1102" s="42"/>
      <c r="AC1102" s="42"/>
      <c r="AD1102" s="42"/>
      <c r="AE1102" s="42"/>
      <c r="AF1102" s="42"/>
      <c r="AG1102" s="42"/>
      <c r="AH1102" s="42"/>
      <c r="AI1102" s="42"/>
      <c r="AJ1102" s="42"/>
      <c r="AK1102" s="42"/>
      <c r="AL1102" s="42"/>
      <c r="AM1102" s="42"/>
      <c r="AN1102" s="42"/>
      <c r="AO1102" s="42"/>
      <c r="AP1102" s="42"/>
      <c r="AQ1102" s="42"/>
      <c r="AR1102" s="42"/>
    </row>
    <row r="1103" spans="1:44" ht="33" customHeight="1" x14ac:dyDescent="0.2">
      <c r="A1103" s="4373" t="s">
        <v>3436</v>
      </c>
      <c r="B1103" s="4373"/>
      <c r="C1103" s="4373"/>
      <c r="D1103" s="4373"/>
      <c r="E1103" s="4373"/>
      <c r="F1103" s="4373"/>
      <c r="G1103" s="222" t="s">
        <v>3437</v>
      </c>
      <c r="H1103" s="202" t="e">
        <f>IF(H1093&lt;1.01,INDEX(D1140:D1143,H1111),IF(H1093&lt;2.01,INDEX(E1140:E1143,H1111),INDEX(F1140:F1143,H1111)))</f>
        <v>#VALUE!</v>
      </c>
      <c r="Q1103" s="14"/>
      <c r="R1103" s="15"/>
      <c r="S1103" s="14"/>
      <c r="T1103" s="14"/>
      <c r="U1103" s="14"/>
      <c r="V1103" s="14"/>
      <c r="W1103" s="315"/>
      <c r="X1103" s="14"/>
      <c r="Y1103" s="42"/>
      <c r="Z1103" s="42"/>
      <c r="AA1103" s="42"/>
      <c r="AB1103" s="42"/>
      <c r="AC1103" s="42"/>
      <c r="AD1103" s="42"/>
      <c r="AE1103" s="42"/>
      <c r="AF1103" s="42"/>
      <c r="AG1103" s="42"/>
      <c r="AH1103" s="42"/>
      <c r="AI1103" s="42"/>
      <c r="AJ1103" s="42"/>
      <c r="AK1103" s="42"/>
      <c r="AL1103" s="42"/>
      <c r="AM1103" s="42"/>
      <c r="AN1103" s="42"/>
      <c r="AO1103" s="42"/>
      <c r="AP1103" s="42"/>
      <c r="AQ1103" s="42"/>
      <c r="AR1103" s="42"/>
    </row>
    <row r="1104" spans="1:44" ht="40.5" customHeight="1" x14ac:dyDescent="0.2">
      <c r="A1104" s="4373" t="s">
        <v>1062</v>
      </c>
      <c r="B1104" s="4373"/>
      <c r="C1104" s="4373"/>
      <c r="D1104" s="4373"/>
      <c r="E1104" s="4373"/>
      <c r="F1104" s="4373"/>
      <c r="G1104" s="222" t="s">
        <v>1063</v>
      </c>
      <c r="H1104" s="202" t="e">
        <f>INDEX(G1140:G1143,H1111)</f>
        <v>#VALUE!</v>
      </c>
      <c r="Q1104" s="14"/>
      <c r="R1104" s="15"/>
      <c r="S1104" s="14"/>
      <c r="T1104" s="14"/>
      <c r="U1104" s="14"/>
      <c r="V1104" s="14"/>
      <c r="W1104" s="315"/>
      <c r="X1104" s="14"/>
      <c r="Y1104" s="42"/>
      <c r="Z1104" s="42"/>
      <c r="AA1104" s="42"/>
      <c r="AB1104" s="42"/>
      <c r="AC1104" s="42"/>
      <c r="AD1104" s="42"/>
      <c r="AE1104" s="42"/>
      <c r="AF1104" s="42"/>
      <c r="AG1104" s="42"/>
      <c r="AH1104" s="42"/>
      <c r="AI1104" s="42"/>
      <c r="AJ1104" s="42"/>
      <c r="AK1104" s="42"/>
      <c r="AL1104" s="42"/>
      <c r="AM1104" s="42"/>
      <c r="AN1104" s="42"/>
      <c r="AO1104" s="42"/>
      <c r="AP1104" s="42"/>
      <c r="AQ1104" s="42"/>
      <c r="AR1104" s="42"/>
    </row>
    <row r="1105" spans="1:44" ht="17.25" customHeight="1" x14ac:dyDescent="0.2">
      <c r="A1105" s="4374" t="s">
        <v>706</v>
      </c>
      <c r="B1105" s="4374"/>
      <c r="C1105" s="4374"/>
      <c r="D1105" s="4374"/>
      <c r="E1105" s="4374"/>
      <c r="F1105" s="4374"/>
      <c r="G1105" s="214" t="s">
        <v>707</v>
      </c>
      <c r="H1105" s="32">
        <f>1.6*H1113+0.5*H1114</f>
        <v>0</v>
      </c>
      <c r="Q1105" s="14"/>
      <c r="R1105" s="15"/>
      <c r="S1105" s="14"/>
      <c r="T1105" s="14"/>
      <c r="U1105" s="14"/>
      <c r="V1105" s="14"/>
      <c r="W1105" s="315"/>
      <c r="X1105" s="14"/>
      <c r="Y1105" s="42"/>
      <c r="Z1105" s="42"/>
      <c r="AA1105" s="42"/>
      <c r="AB1105" s="42"/>
      <c r="AC1105" s="42"/>
      <c r="AD1105" s="42"/>
      <c r="AE1105" s="42"/>
      <c r="AF1105" s="42"/>
      <c r="AG1105" s="42"/>
      <c r="AH1105" s="42"/>
      <c r="AI1105" s="42"/>
      <c r="AJ1105" s="42"/>
      <c r="AK1105" s="42"/>
      <c r="AL1105" s="42"/>
      <c r="AM1105" s="42"/>
      <c r="AN1105" s="42"/>
      <c r="AO1105" s="42"/>
      <c r="AP1105" s="42"/>
      <c r="AQ1105" s="42"/>
      <c r="AR1105" s="42"/>
    </row>
    <row r="1106" spans="1:44" ht="17.25" customHeight="1" x14ac:dyDescent="0.2">
      <c r="A1106" t="s">
        <v>2967</v>
      </c>
      <c r="B1106" s="223"/>
      <c r="C1106" s="223"/>
      <c r="D1106" s="223"/>
      <c r="E1106" s="223"/>
      <c r="F1106" s="223"/>
      <c r="G1106" s="214"/>
      <c r="H1106" s="23" t="e">
        <f>INDEX(B1132:F1132,H1111)</f>
        <v>#VALUE!</v>
      </c>
      <c r="Q1106" s="14"/>
      <c r="R1106" s="15"/>
      <c r="S1106" s="14"/>
      <c r="T1106" s="14"/>
      <c r="U1106" s="14"/>
      <c r="V1106" s="14"/>
      <c r="W1106" s="315"/>
      <c r="X1106" s="14"/>
      <c r="Y1106" s="42"/>
      <c r="Z1106" s="42"/>
      <c r="AA1106" s="42"/>
      <c r="AB1106" s="42"/>
      <c r="AC1106" s="42"/>
      <c r="AD1106" s="42"/>
      <c r="AE1106" s="42"/>
      <c r="AF1106" s="42"/>
      <c r="AG1106" s="42"/>
      <c r="AH1106" s="42"/>
      <c r="AI1106" s="42"/>
      <c r="AJ1106" s="42"/>
      <c r="AK1106" s="42"/>
      <c r="AL1106" s="42"/>
      <c r="AM1106" s="42"/>
      <c r="AN1106" s="42"/>
      <c r="AO1106" s="42"/>
      <c r="AP1106" s="42"/>
      <c r="AQ1106" s="42"/>
      <c r="AR1106" s="42"/>
    </row>
    <row r="1107" spans="1:44" ht="17.25" customHeight="1" x14ac:dyDescent="0.2">
      <c r="A1107" s="6"/>
      <c r="B1107" s="6"/>
      <c r="C1107" s="6"/>
      <c r="D1107" s="6"/>
      <c r="E1107" s="6"/>
      <c r="F1107" s="6"/>
      <c r="G1107" s="6"/>
      <c r="H1107" s="6"/>
      <c r="I1107" s="6"/>
      <c r="Q1107" s="14"/>
      <c r="R1107" s="15"/>
      <c r="S1107" s="14"/>
      <c r="T1107" s="14"/>
      <c r="U1107" s="14"/>
      <c r="V1107" s="14"/>
      <c r="W1107" s="315"/>
      <c r="X1107" s="14"/>
      <c r="Y1107" s="42"/>
      <c r="Z1107" s="42"/>
      <c r="AA1107" s="42"/>
      <c r="AB1107" s="42"/>
      <c r="AC1107" s="42"/>
      <c r="AD1107" s="42"/>
      <c r="AE1107" s="42"/>
      <c r="AF1107" s="42"/>
      <c r="AG1107" s="42"/>
      <c r="AH1107" s="42"/>
      <c r="AI1107" s="42"/>
      <c r="AJ1107" s="42"/>
      <c r="AK1107" s="42"/>
      <c r="AL1107" s="42"/>
      <c r="AM1107" s="42"/>
      <c r="AN1107" s="42"/>
      <c r="AO1107" s="42"/>
      <c r="AP1107" s="42"/>
      <c r="AQ1107" s="42"/>
      <c r="AR1107" s="42"/>
    </row>
    <row r="1108" spans="1:44" ht="17.25" customHeight="1" x14ac:dyDescent="0.2">
      <c r="A1108" s="4375" t="str">
        <f>IF(SUM(S72:S76)=5,"Направление выемки  (1-по простиранию; 2- по падению, 3-по восстанию)","")</f>
        <v/>
      </c>
      <c r="B1108" s="4375"/>
      <c r="C1108" s="4375"/>
      <c r="D1108" s="4375"/>
      <c r="E1108" s="4375"/>
      <c r="F1108" s="4375"/>
      <c r="H1108" s="333">
        <f>H1094</f>
        <v>0</v>
      </c>
      <c r="Q1108" s="14"/>
      <c r="R1108" s="15"/>
      <c r="S1108" s="14"/>
      <c r="T1108" s="14"/>
      <c r="U1108" s="14"/>
      <c r="V1108" s="14"/>
      <c r="W1108" s="315"/>
      <c r="X1108" s="14"/>
      <c r="Y1108" s="42"/>
      <c r="Z1108" s="42"/>
      <c r="AA1108" s="42"/>
      <c r="AB1108" s="42"/>
      <c r="AC1108" s="42"/>
      <c r="AD1108" s="42"/>
      <c r="AE1108" s="42"/>
      <c r="AF1108" s="42"/>
      <c r="AG1108" s="42"/>
      <c r="AH1108" s="42"/>
      <c r="AI1108" s="42"/>
      <c r="AJ1108" s="42"/>
      <c r="AK1108" s="42"/>
      <c r="AL1108" s="42"/>
      <c r="AM1108" s="42"/>
      <c r="AN1108" s="42"/>
      <c r="AO1108" s="42"/>
      <c r="AP1108" s="42"/>
      <c r="AQ1108" s="42"/>
      <c r="AR1108" s="42"/>
    </row>
    <row r="1109" spans="1:44" ht="17.25" customHeight="1" x14ac:dyDescent="0.2">
      <c r="A1109" s="11" t="str">
        <f>IF(SUM(S72:S76)=5,"Угол падения пласта","")</f>
        <v/>
      </c>
      <c r="B1109" s="11"/>
      <c r="C1109" s="11"/>
      <c r="D1109" s="11"/>
      <c r="E1109" s="11"/>
      <c r="F1109" s="11"/>
      <c r="G1109" s="211" t="s">
        <v>1059</v>
      </c>
      <c r="H1109" s="333" t="str">
        <f>H1095</f>
        <v/>
      </c>
      <c r="Q1109" s="14"/>
      <c r="R1109" s="15"/>
      <c r="S1109" s="14"/>
      <c r="T1109" s="14"/>
      <c r="U1109" s="14"/>
      <c r="V1109" s="14"/>
      <c r="W1109" s="315"/>
      <c r="X1109" s="14"/>
      <c r="Y1109" s="42"/>
      <c r="Z1109" s="42"/>
      <c r="AA1109" s="42"/>
      <c r="AB1109" s="42"/>
      <c r="AC1109" s="42"/>
      <c r="AD1109" s="42"/>
      <c r="AE1109" s="42"/>
      <c r="AF1109" s="42"/>
      <c r="AG1109" s="42"/>
      <c r="AH1109" s="42"/>
      <c r="AI1109" s="42"/>
      <c r="AJ1109" s="42"/>
      <c r="AK1109" s="42"/>
      <c r="AL1109" s="42"/>
      <c r="AM1109" s="42"/>
      <c r="AN1109" s="42"/>
      <c r="AO1109" s="42"/>
      <c r="AP1109" s="42"/>
      <c r="AQ1109" s="42"/>
      <c r="AR1109" s="42"/>
    </row>
    <row r="1110" spans="1:44" ht="17.25" customHeight="1" x14ac:dyDescent="0.25">
      <c r="A1110" s="11" t="str">
        <f>IF(SUM(S72:S76)=5,"Сопротивляемость угля резанию, кН/м","")</f>
        <v/>
      </c>
      <c r="B1110" s="11"/>
      <c r="C1110" s="11"/>
      <c r="D1110" s="11"/>
      <c r="E1110" s="11"/>
      <c r="F1110" s="11"/>
      <c r="G1110" s="211" t="s">
        <v>1060</v>
      </c>
      <c r="H1110" s="333" t="str">
        <f>H1096</f>
        <v/>
      </c>
      <c r="Q1110" s="14"/>
      <c r="R1110" s="15"/>
      <c r="S1110" s="14"/>
      <c r="T1110" s="14"/>
      <c r="U1110" s="14"/>
      <c r="V1110" s="14"/>
      <c r="W1110" s="315"/>
      <c r="X1110" s="14"/>
      <c r="Y1110" s="42"/>
      <c r="Z1110" s="42"/>
      <c r="AA1110" s="42"/>
      <c r="AB1110" s="42"/>
      <c r="AC1110" s="42"/>
      <c r="AD1110" s="42"/>
      <c r="AE1110" s="42"/>
      <c r="AF1110" s="42"/>
      <c r="AG1110" s="42"/>
      <c r="AH1110" s="42"/>
      <c r="AI1110" s="42"/>
      <c r="AJ1110" s="42"/>
      <c r="AK1110" s="42"/>
      <c r="AL1110" s="42"/>
      <c r="AM1110" s="42"/>
      <c r="AN1110" s="42"/>
      <c r="AO1110" s="42"/>
      <c r="AP1110" s="42"/>
      <c r="AQ1110" s="42"/>
      <c r="AR1110" s="42"/>
    </row>
    <row r="1111" spans="1:44" ht="17.25" customHeight="1" x14ac:dyDescent="0.2">
      <c r="A1111" s="4375" t="str">
        <f>IF(SUM(S72:S76)=5,"Категория пород кровли по обрушаемости (1-А1, 2-А2, 3-А3, 4-А4,5-А41)","")</f>
        <v/>
      </c>
      <c r="B1111" s="4375"/>
      <c r="C1111" s="4375"/>
      <c r="D1111" s="4375"/>
      <c r="E1111" s="4375"/>
      <c r="F1111" s="4375"/>
      <c r="G1111" s="211" t="s">
        <v>2912</v>
      </c>
      <c r="H1111" s="333" t="str">
        <f>H1097</f>
        <v/>
      </c>
      <c r="Q1111" s="14"/>
      <c r="R1111" s="15"/>
      <c r="S1111" s="14"/>
      <c r="T1111" s="14"/>
      <c r="U1111" s="14"/>
      <c r="V1111" s="14"/>
      <c r="W1111" s="315"/>
      <c r="X1111" s="14"/>
      <c r="Y1111" s="42"/>
      <c r="Z1111" s="42"/>
      <c r="AA1111" s="42"/>
      <c r="AB1111" s="42"/>
      <c r="AC1111" s="42"/>
      <c r="AD1111" s="42"/>
      <c r="AE1111" s="42"/>
      <c r="AF1111" s="42"/>
      <c r="AG1111" s="42"/>
      <c r="AH1111" s="42"/>
      <c r="AI1111" s="42"/>
      <c r="AJ1111" s="42"/>
      <c r="AK1111" s="42"/>
      <c r="AL1111" s="42"/>
      <c r="AM1111" s="42"/>
      <c r="AN1111" s="42"/>
      <c r="AO1111" s="42"/>
      <c r="AP1111" s="42"/>
      <c r="AQ1111" s="42"/>
      <c r="AR1111" s="42"/>
    </row>
    <row r="1112" spans="1:44" ht="36" customHeight="1" x14ac:dyDescent="0.2">
      <c r="A1112" s="4375" t="str">
        <f>IF(SUM(S72:S76)=5,"Категория пород кровли по устойчивости нижнего слоя ( 1-Б1, 2-Б2, 3-Б3, 4-Б4, 5-Б5)","")</f>
        <v/>
      </c>
      <c r="B1112" s="4375"/>
      <c r="C1112" s="4375"/>
      <c r="D1112" s="4375"/>
      <c r="E1112" s="4375"/>
      <c r="F1112" s="4375"/>
      <c r="G1112" s="211" t="s">
        <v>1061</v>
      </c>
      <c r="H1112" s="333" t="str">
        <f>H1098</f>
        <v/>
      </c>
      <c r="Q1112" s="14"/>
      <c r="R1112" s="15"/>
      <c r="S1112" s="14"/>
      <c r="T1112" s="14"/>
      <c r="U1112" s="14"/>
      <c r="V1112" s="14"/>
      <c r="W1112" s="315"/>
      <c r="X1112" s="14"/>
      <c r="Y1112" s="42"/>
      <c r="Z1112" s="42"/>
      <c r="AA1112" s="42"/>
      <c r="AB1112" s="42"/>
      <c r="AC1112" s="42"/>
      <c r="AD1112" s="42"/>
      <c r="AE1112" s="42"/>
      <c r="AF1112" s="42"/>
      <c r="AG1112" s="42"/>
      <c r="AH1112" s="42"/>
      <c r="AI1112" s="42"/>
      <c r="AJ1112" s="42"/>
      <c r="AK1112" s="42"/>
      <c r="AL1112" s="42"/>
      <c r="AM1112" s="42"/>
      <c r="AN1112" s="42"/>
      <c r="AO1112" s="42"/>
      <c r="AP1112" s="42"/>
      <c r="AQ1112" s="42"/>
      <c r="AR1112" s="42"/>
    </row>
    <row r="1113" spans="1:44" ht="17.25" customHeight="1" x14ac:dyDescent="0.2">
      <c r="A1113" s="11" t="str">
        <f>IF(SUM(S72:S76)=5,"Высота нижнего слоя пород кровли, м","")</f>
        <v/>
      </c>
      <c r="B1113" s="11"/>
      <c r="C1113" s="11"/>
      <c r="D1113" s="11"/>
      <c r="E1113" s="11"/>
      <c r="F1113" s="11"/>
      <c r="G1113" s="211" t="s">
        <v>1058</v>
      </c>
      <c r="H1113" s="333" t="b">
        <f>H1154</f>
        <v>0</v>
      </c>
      <c r="Q1113" s="14"/>
      <c r="R1113" s="15"/>
      <c r="S1113" s="14"/>
      <c r="T1113" s="14"/>
      <c r="U1113" s="14"/>
      <c r="V1113" s="14"/>
      <c r="W1113" s="315"/>
      <c r="X1113" s="14"/>
      <c r="Y1113" s="42"/>
      <c r="Z1113" s="42"/>
      <c r="AA1113" s="42"/>
      <c r="AB1113" s="42"/>
      <c r="AC1113" s="42"/>
      <c r="AD1113" s="42"/>
      <c r="AE1113" s="42"/>
      <c r="AF1113" s="42"/>
      <c r="AG1113" s="42"/>
      <c r="AH1113" s="42"/>
      <c r="AI1113" s="42"/>
      <c r="AJ1113" s="42"/>
      <c r="AK1113" s="42"/>
      <c r="AL1113" s="42"/>
      <c r="AM1113" s="42"/>
      <c r="AN1113" s="42"/>
      <c r="AO1113" s="42"/>
      <c r="AP1113" s="42"/>
      <c r="AQ1113" s="42"/>
      <c r="AR1113" s="42"/>
    </row>
    <row r="1114" spans="1:44" ht="17.25" customHeight="1" x14ac:dyDescent="0.2">
      <c r="A1114" s="11" t="str">
        <f>IF(SUM(S72:S76)=5,"Расстояние между трещинами в породах кровли, м","")</f>
        <v/>
      </c>
      <c r="B1114" s="11"/>
      <c r="C1114" s="11"/>
      <c r="D1114" s="11"/>
      <c r="E1114" s="11"/>
      <c r="F1114" s="11"/>
      <c r="G1114" s="211" t="s">
        <v>3765</v>
      </c>
      <c r="H1114" s="333" t="b">
        <f>H1155</f>
        <v>0</v>
      </c>
      <c r="Q1114" s="14"/>
      <c r="R1114" s="15"/>
      <c r="S1114" s="14"/>
      <c r="T1114" s="14"/>
      <c r="U1114" s="14"/>
      <c r="V1114" s="14"/>
      <c r="W1114" s="315"/>
      <c r="X1114" s="14"/>
      <c r="Y1114" s="42"/>
      <c r="Z1114" s="42"/>
      <c r="AA1114" s="42"/>
      <c r="AB1114" s="42"/>
      <c r="AC1114" s="42"/>
      <c r="AD1114" s="42"/>
      <c r="AE1114" s="42"/>
      <c r="AF1114" s="42"/>
      <c r="AG1114" s="42"/>
      <c r="AH1114" s="42"/>
      <c r="AI1114" s="42"/>
      <c r="AJ1114" s="42"/>
      <c r="AK1114" s="42"/>
      <c r="AL1114" s="42"/>
      <c r="AM1114" s="42"/>
      <c r="AN1114" s="42"/>
      <c r="AO1114" s="42"/>
      <c r="AP1114" s="42"/>
      <c r="AQ1114" s="42"/>
      <c r="AR1114" s="42"/>
    </row>
    <row r="1115" spans="1:44" ht="17.25" customHeight="1" x14ac:dyDescent="0.2">
      <c r="A1115" s="29" t="str">
        <f>IF(SUM(S72:S76)=5,"Категория пород почвы","")</f>
        <v/>
      </c>
      <c r="B1115" s="29"/>
      <c r="C1115" s="29"/>
      <c r="D1115" s="29"/>
      <c r="E1115" s="11"/>
      <c r="F1115" s="29"/>
      <c r="G1115" s="218" t="s">
        <v>3665</v>
      </c>
      <c r="H1115" s="333" t="str">
        <f>H1100</f>
        <v/>
      </c>
      <c r="Q1115" s="14"/>
      <c r="R1115" s="15"/>
      <c r="S1115" s="14"/>
      <c r="T1115" s="14"/>
      <c r="U1115" s="14"/>
      <c r="V1115" s="14"/>
      <c r="W1115" s="315"/>
      <c r="X1115" s="14"/>
      <c r="Y1115" s="42"/>
      <c r="Z1115" s="42"/>
      <c r="AA1115" s="42"/>
      <c r="AB1115" s="42"/>
      <c r="AC1115" s="42"/>
      <c r="AD1115" s="42"/>
      <c r="AE1115" s="42"/>
      <c r="AF1115" s="42"/>
      <c r="AG1115" s="42"/>
      <c r="AH1115" s="42"/>
      <c r="AI1115" s="42"/>
      <c r="AJ1115" s="42"/>
      <c r="AK1115" s="42"/>
      <c r="AL1115" s="42"/>
      <c r="AM1115" s="42"/>
      <c r="AN1115" s="42"/>
      <c r="AO1115" s="42"/>
      <c r="AP1115" s="42"/>
      <c r="AQ1115" s="42"/>
      <c r="AR1115" s="42"/>
    </row>
    <row r="1116" spans="1:44" x14ac:dyDescent="0.2">
      <c r="A1116" s="196"/>
      <c r="B1116" s="196"/>
      <c r="C1116" s="196"/>
      <c r="D1116" s="196"/>
      <c r="E1116" s="196"/>
      <c r="F1116" s="196"/>
      <c r="G1116" s="196"/>
      <c r="H1116" s="196"/>
      <c r="I1116" s="196"/>
      <c r="J1116" s="197"/>
      <c r="K1116" s="197"/>
      <c r="L1116" s="197"/>
      <c r="M1116" s="197"/>
      <c r="N1116" s="197"/>
      <c r="O1116" s="62"/>
      <c r="P1116" s="62"/>
      <c r="Q1116" s="62"/>
      <c r="R1116" s="42"/>
      <c r="S1116" s="42"/>
      <c r="T1116" s="42"/>
      <c r="U1116" s="42"/>
      <c r="V1116" s="42"/>
      <c r="W1116" s="42"/>
      <c r="X1116" s="42"/>
      <c r="Y1116" s="42"/>
      <c r="Z1116" s="42"/>
      <c r="AA1116" s="42"/>
      <c r="AB1116" s="42"/>
      <c r="AC1116" s="42"/>
      <c r="AD1116" s="42"/>
      <c r="AE1116" s="42"/>
      <c r="AF1116" s="42"/>
      <c r="AG1116" s="42"/>
      <c r="AH1116" s="42"/>
      <c r="AI1116" s="42"/>
      <c r="AJ1116" s="42"/>
      <c r="AK1116" s="42"/>
      <c r="AL1116" s="42"/>
      <c r="AM1116" s="42"/>
      <c r="AN1116" s="42"/>
      <c r="AO1116" s="42"/>
      <c r="AP1116" s="42"/>
      <c r="AQ1116" s="42"/>
      <c r="AR1116" s="42"/>
    </row>
    <row r="1117" spans="1:44" ht="15" x14ac:dyDescent="0.25">
      <c r="A1117" s="11"/>
      <c r="B1117" s="11"/>
      <c r="C1117" s="11"/>
      <c r="D1117" s="11"/>
      <c r="E1117" s="11"/>
      <c r="F1117" s="11"/>
      <c r="G1117" s="11"/>
      <c r="H1117" s="11"/>
      <c r="I1117" s="11"/>
      <c r="J1117" s="11"/>
      <c r="K1117" s="11"/>
      <c r="L1117" s="11"/>
      <c r="M1117" s="11"/>
      <c r="N1117" s="62"/>
      <c r="O1117" s="62"/>
      <c r="P1117" s="62"/>
      <c r="Q1117" s="62"/>
      <c r="R1117" s="42"/>
      <c r="S1117" s="42"/>
      <c r="T1117" s="42"/>
      <c r="U1117" s="42"/>
      <c r="W1117" s="42"/>
      <c r="X1117" s="58"/>
      <c r="Y1117" s="58"/>
      <c r="Z1117" s="58"/>
      <c r="AA1117" s="58"/>
    </row>
    <row r="1118" spans="1:44" ht="16.5" thickBot="1" x14ac:dyDescent="0.3">
      <c r="A1118" s="11"/>
      <c r="B1118" s="11"/>
      <c r="C1118" s="11"/>
      <c r="D1118" s="11"/>
      <c r="E1118" s="31" t="s">
        <v>1498</v>
      </c>
      <c r="F1118" s="11"/>
      <c r="G1118" s="11"/>
      <c r="H1118" s="11"/>
      <c r="I1118" s="11"/>
      <c r="J1118" s="11"/>
      <c r="K1118" s="11"/>
      <c r="L1118" s="11"/>
      <c r="M1118" s="11"/>
      <c r="N1118" s="11"/>
      <c r="O1118" s="11"/>
      <c r="P1118" s="11"/>
      <c r="Q1118" s="11"/>
      <c r="X1118" s="58"/>
      <c r="Y1118" s="58"/>
      <c r="Z1118" s="58"/>
      <c r="AA1118" s="58"/>
    </row>
    <row r="1119" spans="1:44" ht="39" customHeight="1" thickBot="1" x14ac:dyDescent="0.3">
      <c r="A1119" s="11"/>
      <c r="B1119" s="11"/>
      <c r="C1119" s="4420" t="s">
        <v>1863</v>
      </c>
      <c r="D1119" s="4380" t="s">
        <v>2168</v>
      </c>
      <c r="E1119" s="4356" t="s">
        <v>1865</v>
      </c>
      <c r="F1119" s="4379"/>
      <c r="G1119" s="4380"/>
      <c r="H1119" s="4416" t="s">
        <v>1866</v>
      </c>
      <c r="I1119" s="4417"/>
      <c r="J1119" s="4417"/>
      <c r="K1119" s="4417"/>
      <c r="L1119" s="4356" t="s">
        <v>1867</v>
      </c>
      <c r="M1119" s="4357"/>
      <c r="N1119" s="11"/>
      <c r="O1119" s="11"/>
      <c r="P1119" s="11"/>
      <c r="Q1119" s="11"/>
      <c r="X1119" s="58"/>
      <c r="Y1119" s="58"/>
      <c r="Z1119" s="58"/>
      <c r="AA1119" s="58"/>
    </row>
    <row r="1120" spans="1:44" ht="15" x14ac:dyDescent="0.25">
      <c r="A1120" s="11"/>
      <c r="B1120" s="11"/>
      <c r="C1120" s="4421"/>
      <c r="D1120" s="4382"/>
      <c r="E1120" s="4358"/>
      <c r="F1120" s="4381"/>
      <c r="G1120" s="4382"/>
      <c r="H1120" s="4365" t="s">
        <v>1868</v>
      </c>
      <c r="I1120" s="4423"/>
      <c r="J1120" s="4365" t="s">
        <v>1869</v>
      </c>
      <c r="K1120" s="4366"/>
      <c r="L1120" s="4358"/>
      <c r="M1120" s="4359"/>
      <c r="N1120" s="11"/>
      <c r="O1120" s="62"/>
      <c r="P1120" s="62"/>
      <c r="Q1120" s="62"/>
      <c r="R1120" s="42"/>
      <c r="S1120" s="42"/>
      <c r="T1120" s="42"/>
      <c r="U1120" s="42"/>
      <c r="V1120" s="42"/>
      <c r="W1120" s="42"/>
      <c r="X1120" s="58"/>
      <c r="Y1120" s="58"/>
      <c r="Z1120" s="58"/>
      <c r="AA1120" s="58"/>
    </row>
    <row r="1121" spans="1:27" ht="15.75" thickBot="1" x14ac:dyDescent="0.3">
      <c r="A1121" s="11"/>
      <c r="B1121" s="11"/>
      <c r="C1121" s="4422"/>
      <c r="D1121" s="4361"/>
      <c r="E1121" s="4360"/>
      <c r="F1121" s="4383"/>
      <c r="G1121" s="4384"/>
      <c r="H1121" s="4367"/>
      <c r="I1121" s="4424"/>
      <c r="J1121" s="4367"/>
      <c r="K1121" s="4368"/>
      <c r="L1121" s="4360"/>
      <c r="M1121" s="4361"/>
      <c r="N1121" s="11"/>
      <c r="O1121" s="62"/>
      <c r="P1121" s="62"/>
      <c r="Q1121" s="62"/>
      <c r="R1121" s="42"/>
      <c r="S1121" s="42"/>
      <c r="T1121" s="42"/>
      <c r="U1121" s="42"/>
      <c r="V1121" s="42"/>
      <c r="W1121" s="42"/>
      <c r="X1121" s="58"/>
      <c r="Y1121" s="58"/>
      <c r="Z1121" s="58"/>
      <c r="AA1121" s="58"/>
    </row>
    <row r="1122" spans="1:27" ht="45" customHeight="1" x14ac:dyDescent="0.25">
      <c r="A1122" s="11"/>
      <c r="B1122" s="11"/>
      <c r="C1122" s="192">
        <v>1</v>
      </c>
      <c r="D1122" s="193" t="s">
        <v>3458</v>
      </c>
      <c r="E1122" s="4376" t="s">
        <v>1870</v>
      </c>
      <c r="F1122" s="4377"/>
      <c r="G1122" s="4378"/>
      <c r="H1122" s="4369" t="s">
        <v>1239</v>
      </c>
      <c r="I1122" s="4370"/>
      <c r="J1122" s="4371" t="s">
        <v>1240</v>
      </c>
      <c r="K1122" s="4372"/>
      <c r="L1122" s="4407" t="s">
        <v>3970</v>
      </c>
      <c r="M1122" s="4407"/>
      <c r="N1122" s="11"/>
      <c r="O1122" s="62"/>
      <c r="P1122" s="62"/>
      <c r="Q1122" s="62"/>
      <c r="R1122" s="42"/>
      <c r="S1122" s="42"/>
      <c r="T1122" s="42"/>
      <c r="U1122" s="42"/>
      <c r="V1122" s="42"/>
      <c r="W1122" s="42"/>
      <c r="X1122" s="58"/>
      <c r="Y1122" s="58"/>
      <c r="Z1122" s="58"/>
      <c r="AA1122" s="58"/>
    </row>
    <row r="1123" spans="1:27" ht="52.5" customHeight="1" x14ac:dyDescent="0.25">
      <c r="A1123" s="11"/>
      <c r="B1123" s="11"/>
      <c r="C1123" s="194">
        <v>2</v>
      </c>
      <c r="D1123" s="195" t="s">
        <v>3459</v>
      </c>
      <c r="E1123" s="4350" t="s">
        <v>1871</v>
      </c>
      <c r="F1123" s="4351"/>
      <c r="G1123" s="4352"/>
      <c r="H1123" s="4401" t="s">
        <v>1241</v>
      </c>
      <c r="I1123" s="4402"/>
      <c r="J1123" s="4346" t="s">
        <v>1242</v>
      </c>
      <c r="K1123" s="4347"/>
      <c r="L1123" s="4345" t="s">
        <v>3971</v>
      </c>
      <c r="M1123" s="4345"/>
      <c r="N1123" s="11"/>
      <c r="O1123" s="62"/>
      <c r="P1123" s="62"/>
      <c r="Q1123" s="62"/>
      <c r="R1123" s="42"/>
      <c r="S1123" s="42"/>
      <c r="T1123" s="42"/>
      <c r="U1123" s="42"/>
      <c r="V1123" s="42"/>
      <c r="W1123" s="42"/>
      <c r="X1123" s="58"/>
      <c r="Y1123" s="58"/>
      <c r="Z1123" s="58"/>
      <c r="AA1123" s="58"/>
    </row>
    <row r="1124" spans="1:27" ht="49.5" customHeight="1" x14ac:dyDescent="0.25">
      <c r="A1124" s="11"/>
      <c r="B1124" s="11"/>
      <c r="C1124" s="194">
        <v>3</v>
      </c>
      <c r="D1124" s="195" t="s">
        <v>3460</v>
      </c>
      <c r="E1124" s="4350" t="s">
        <v>1872</v>
      </c>
      <c r="F1124" s="4351"/>
      <c r="G1124" s="4352"/>
      <c r="H1124" s="4401" t="s">
        <v>1243</v>
      </c>
      <c r="I1124" s="4402"/>
      <c r="J1124" s="4346" t="s">
        <v>1244</v>
      </c>
      <c r="K1124" s="4347"/>
      <c r="L1124" s="4345" t="s">
        <v>3974</v>
      </c>
      <c r="M1124" s="4345"/>
      <c r="N1124" s="11"/>
      <c r="O1124" s="62"/>
      <c r="P1124" s="62"/>
      <c r="Q1124" s="62"/>
      <c r="R1124" s="42"/>
      <c r="S1124" s="42"/>
      <c r="T1124" s="42"/>
      <c r="U1124" s="42"/>
      <c r="V1124" s="42"/>
      <c r="W1124" s="42"/>
      <c r="X1124" s="58"/>
      <c r="Y1124" s="58"/>
      <c r="Z1124" s="58"/>
      <c r="AA1124" s="58"/>
    </row>
    <row r="1125" spans="1:27" ht="55.5" customHeight="1" x14ac:dyDescent="0.25">
      <c r="A1125" s="11"/>
      <c r="B1125" s="11"/>
      <c r="C1125" s="194">
        <v>4</v>
      </c>
      <c r="D1125" s="195" t="s">
        <v>3461</v>
      </c>
      <c r="E1125" s="4350" t="s">
        <v>3175</v>
      </c>
      <c r="F1125" s="4351"/>
      <c r="G1125" s="4352"/>
      <c r="H1125" s="4401" t="s">
        <v>1245</v>
      </c>
      <c r="I1125" s="4402"/>
      <c r="J1125" s="4346" t="s">
        <v>1246</v>
      </c>
      <c r="K1125" s="4347"/>
      <c r="L1125" s="4345" t="s">
        <v>3975</v>
      </c>
      <c r="M1125" s="4345"/>
      <c r="N1125" s="11"/>
      <c r="O1125" s="62"/>
      <c r="P1125" s="62"/>
      <c r="Q1125" s="62"/>
      <c r="R1125" s="42"/>
      <c r="S1125" s="42"/>
      <c r="T1125" s="42"/>
      <c r="U1125" s="42"/>
      <c r="V1125" s="42"/>
      <c r="W1125" s="42"/>
      <c r="X1125" s="58"/>
      <c r="Y1125" s="58"/>
      <c r="Z1125" s="58"/>
      <c r="AA1125" s="58"/>
    </row>
    <row r="1126" spans="1:27" ht="63" customHeight="1" x14ac:dyDescent="0.25">
      <c r="A1126" s="11"/>
      <c r="B1126" s="11"/>
      <c r="C1126" s="194">
        <v>5</v>
      </c>
      <c r="D1126" s="195" t="s">
        <v>3462</v>
      </c>
      <c r="E1126" s="4350" t="s">
        <v>4925</v>
      </c>
      <c r="F1126" s="4351"/>
      <c r="G1126" s="4352"/>
      <c r="H1126" s="4346" t="s">
        <v>4926</v>
      </c>
      <c r="I1126" s="4347"/>
      <c r="J1126" s="4347"/>
      <c r="K1126" s="4348"/>
      <c r="L1126" s="4345" t="s">
        <v>3976</v>
      </c>
      <c r="M1126" s="4345"/>
      <c r="N1126" s="11"/>
      <c r="O1126" s="11"/>
      <c r="P1126" s="11"/>
      <c r="Q1126" s="62"/>
      <c r="R1126" s="42"/>
      <c r="S1126" s="42"/>
      <c r="T1126" s="42"/>
      <c r="U1126" s="42"/>
      <c r="V1126" s="42"/>
      <c r="W1126" s="42"/>
      <c r="X1126" s="58"/>
      <c r="Y1126" s="58"/>
      <c r="Z1126" s="58"/>
      <c r="AA1126" s="58"/>
    </row>
    <row r="1127" spans="1:27" ht="15" x14ac:dyDescent="0.25">
      <c r="A1127" s="11"/>
      <c r="B1127" s="11"/>
      <c r="C1127" s="11"/>
      <c r="D1127" s="11"/>
      <c r="E1127" s="11"/>
      <c r="F1127" s="11"/>
      <c r="G1127" s="11"/>
      <c r="H1127" s="11"/>
      <c r="I1127" s="11"/>
      <c r="J1127" s="11"/>
      <c r="K1127" s="11"/>
      <c r="L1127" s="11"/>
      <c r="M1127" s="11"/>
      <c r="N1127" s="11"/>
      <c r="O1127" s="62"/>
      <c r="P1127" s="62"/>
      <c r="Q1127" s="62"/>
      <c r="R1127" s="42"/>
      <c r="S1127" s="42"/>
      <c r="T1127" s="42"/>
      <c r="U1127" s="42"/>
      <c r="V1127" s="42"/>
      <c r="W1127" s="42"/>
      <c r="X1127" s="58"/>
      <c r="Y1127" s="58"/>
      <c r="Z1127" s="58"/>
      <c r="AA1127" s="58"/>
    </row>
    <row r="1128" spans="1:27" x14ac:dyDescent="0.2">
      <c r="A1128" t="s">
        <v>2878</v>
      </c>
    </row>
    <row r="1129" spans="1:27" x14ac:dyDescent="0.2">
      <c r="A1129" t="s">
        <v>2968</v>
      </c>
    </row>
    <row r="1130" spans="1:27" x14ac:dyDescent="0.2">
      <c r="B1130" s="4406" t="s">
        <v>3926</v>
      </c>
      <c r="C1130" s="4406"/>
      <c r="D1130" s="4406"/>
      <c r="E1130" s="4406"/>
      <c r="F1130" s="4406"/>
    </row>
    <row r="1131" spans="1:27" x14ac:dyDescent="0.2">
      <c r="B1131" s="5" t="s">
        <v>3927</v>
      </c>
      <c r="C1131" s="5" t="s">
        <v>3928</v>
      </c>
      <c r="D1131" s="5" t="s">
        <v>5021</v>
      </c>
      <c r="E1131" s="5" t="s">
        <v>5022</v>
      </c>
      <c r="F1131" s="5" t="s">
        <v>5023</v>
      </c>
    </row>
    <row r="1132" spans="1:27" x14ac:dyDescent="0.2">
      <c r="A1132" s="225" t="s">
        <v>1059</v>
      </c>
      <c r="B1132" s="5">
        <v>0.04</v>
      </c>
      <c r="C1132" s="5">
        <v>2.5000000000000001E-2</v>
      </c>
      <c r="D1132" s="5">
        <v>1.4999999999999999E-2</v>
      </c>
      <c r="E1132" s="5">
        <v>1.4999999999999999E-2</v>
      </c>
      <c r="F1132" s="5">
        <v>0.05</v>
      </c>
    </row>
    <row r="1133" spans="1:27" x14ac:dyDescent="0.2">
      <c r="G1133" s="211"/>
      <c r="H1133" s="226"/>
    </row>
    <row r="1134" spans="1:27" x14ac:dyDescent="0.2">
      <c r="A1134" t="s">
        <v>5024</v>
      </c>
      <c r="H1134" s="227"/>
    </row>
    <row r="1135" spans="1:27" x14ac:dyDescent="0.2">
      <c r="B1135" t="s">
        <v>5025</v>
      </c>
      <c r="H1135" s="8"/>
      <c r="I1135" s="228"/>
    </row>
    <row r="1136" spans="1:27" x14ac:dyDescent="0.2">
      <c r="B1136" t="s">
        <v>5026</v>
      </c>
      <c r="H1136" s="8"/>
      <c r="I1136" s="30"/>
    </row>
    <row r="1137" spans="1:50" ht="13.5" x14ac:dyDescent="0.25">
      <c r="A1137" s="43"/>
      <c r="B1137" s="43"/>
      <c r="C1137" s="4349" t="s">
        <v>5027</v>
      </c>
      <c r="D1137" s="4349"/>
      <c r="E1137" s="4349"/>
      <c r="F1137" s="4349"/>
      <c r="G1137" s="4353" t="s">
        <v>5028</v>
      </c>
      <c r="H1137" s="229"/>
    </row>
    <row r="1138" spans="1:50" ht="13.5" customHeight="1" x14ac:dyDescent="0.2">
      <c r="A1138" s="43"/>
      <c r="B1138" s="43"/>
      <c r="C1138" s="4403"/>
      <c r="D1138" s="4396" t="s">
        <v>5029</v>
      </c>
      <c r="E1138" s="4397"/>
      <c r="F1138" s="4405"/>
      <c r="G1138" s="4354"/>
      <c r="H1138" s="229"/>
    </row>
    <row r="1139" spans="1:50" x14ac:dyDescent="0.2">
      <c r="A1139" s="43"/>
      <c r="B1139" s="43"/>
      <c r="C1139" s="4404"/>
      <c r="D1139" s="5" t="s">
        <v>5030</v>
      </c>
      <c r="E1139" s="5" t="s">
        <v>5031</v>
      </c>
      <c r="F1139" s="5" t="s">
        <v>5032</v>
      </c>
      <c r="G1139" s="4355"/>
      <c r="H1139" s="229"/>
    </row>
    <row r="1140" spans="1:50" x14ac:dyDescent="0.2">
      <c r="A1140" s="4349" t="s">
        <v>3926</v>
      </c>
      <c r="B1140" s="4349"/>
      <c r="C1140" s="5" t="s">
        <v>3927</v>
      </c>
      <c r="D1140" s="5">
        <v>0.2</v>
      </c>
      <c r="E1140" s="5">
        <v>0.3</v>
      </c>
      <c r="F1140" s="5">
        <v>0.4</v>
      </c>
      <c r="G1140" s="5">
        <v>0.4</v>
      </c>
      <c r="H1140" s="229"/>
    </row>
    <row r="1141" spans="1:50" ht="12.75" customHeight="1" x14ac:dyDescent="0.2">
      <c r="A1141" s="4349"/>
      <c r="B1141" s="4349"/>
      <c r="C1141" s="5" t="s">
        <v>3928</v>
      </c>
      <c r="D1141" s="5">
        <v>0.25</v>
      </c>
      <c r="E1141" s="5">
        <v>0.35</v>
      </c>
      <c r="F1141" s="5">
        <v>0.45</v>
      </c>
      <c r="G1141" s="5">
        <v>0.6</v>
      </c>
      <c r="H1141" s="229"/>
    </row>
    <row r="1142" spans="1:50" x14ac:dyDescent="0.2">
      <c r="A1142" s="4349"/>
      <c r="B1142" s="4349"/>
      <c r="C1142" s="5" t="s">
        <v>5021</v>
      </c>
      <c r="D1142" s="5">
        <v>0.4</v>
      </c>
      <c r="E1142" s="5">
        <v>0.6</v>
      </c>
      <c r="F1142" s="5">
        <v>0.8</v>
      </c>
      <c r="G1142" s="5">
        <v>0.8</v>
      </c>
      <c r="H1142" s="229"/>
    </row>
    <row r="1143" spans="1:50" x14ac:dyDescent="0.2">
      <c r="A1143" s="4349"/>
      <c r="B1143" s="4349"/>
      <c r="C1143" s="5" t="s">
        <v>5033</v>
      </c>
      <c r="D1143" s="5">
        <v>0.4</v>
      </c>
      <c r="E1143" s="5">
        <v>0.6</v>
      </c>
      <c r="F1143" s="5">
        <v>0.8</v>
      </c>
      <c r="G1143" s="5">
        <v>0.8</v>
      </c>
      <c r="H1143" s="229"/>
    </row>
    <row r="1144" spans="1:50" x14ac:dyDescent="0.2">
      <c r="A1144" s="39"/>
      <c r="B1144" s="39"/>
      <c r="C1144" s="1"/>
      <c r="D1144" s="1"/>
      <c r="E1144" s="1"/>
      <c r="F1144" s="1"/>
      <c r="G1144" s="1"/>
      <c r="H1144" s="229"/>
    </row>
    <row r="1145" spans="1:50" ht="13.5" thickBot="1" x14ac:dyDescent="0.25">
      <c r="A1145" s="39"/>
      <c r="B1145" s="39"/>
      <c r="C1145" s="1"/>
      <c r="D1145" s="1"/>
      <c r="E1145" s="1"/>
      <c r="F1145" s="1"/>
      <c r="G1145" s="1"/>
      <c r="H1145" s="229"/>
    </row>
    <row r="1146" spans="1:50" ht="13.5" thickBot="1" x14ac:dyDescent="0.25">
      <c r="A1146" s="39"/>
      <c r="B1146" s="248"/>
      <c r="C1146" s="249" t="s">
        <v>3085</v>
      </c>
      <c r="D1146" s="249"/>
      <c r="E1146" s="249"/>
      <c r="F1146" s="249"/>
      <c r="G1146" s="250"/>
      <c r="H1146" s="229"/>
    </row>
    <row r="1147" spans="1:50" ht="13.5" thickBot="1" x14ac:dyDescent="0.25">
      <c r="A1147" s="39"/>
      <c r="B1147" s="252" t="s">
        <v>1061</v>
      </c>
      <c r="C1147" s="249">
        <v>1</v>
      </c>
      <c r="D1147" s="249">
        <v>2</v>
      </c>
      <c r="E1147" s="249">
        <v>3</v>
      </c>
      <c r="F1147" s="249">
        <v>4</v>
      </c>
      <c r="G1147" s="250">
        <v>5</v>
      </c>
      <c r="H1147" s="229"/>
    </row>
    <row r="1148" spans="1:50" x14ac:dyDescent="0.2">
      <c r="A1148" s="39"/>
      <c r="B1148" s="244" t="s">
        <v>1058</v>
      </c>
      <c r="C1148" s="7">
        <v>0.2</v>
      </c>
      <c r="D1148" s="7">
        <v>0.3</v>
      </c>
      <c r="E1148" s="7">
        <v>0.4</v>
      </c>
      <c r="F1148" s="7">
        <v>0.7</v>
      </c>
      <c r="G1148" s="251">
        <v>2</v>
      </c>
      <c r="H1148" s="229"/>
    </row>
    <row r="1149" spans="1:50" ht="13.5" thickBot="1" x14ac:dyDescent="0.25">
      <c r="A1149" s="39"/>
      <c r="B1149" s="245" t="s">
        <v>3765</v>
      </c>
      <c r="C1149" s="246">
        <v>0.1</v>
      </c>
      <c r="D1149" s="246">
        <v>0.4</v>
      </c>
      <c r="E1149" s="246">
        <v>0.5</v>
      </c>
      <c r="F1149" s="246">
        <v>1</v>
      </c>
      <c r="G1149" s="247">
        <v>1.1000000000000001</v>
      </c>
      <c r="H1149" s="229"/>
    </row>
    <row r="1150" spans="1:50" x14ac:dyDescent="0.2">
      <c r="A1150" s="39"/>
      <c r="B1150" s="39"/>
      <c r="C1150" s="1"/>
      <c r="D1150" s="1"/>
      <c r="E1150" s="1"/>
      <c r="F1150" s="1"/>
      <c r="G1150" s="1"/>
      <c r="H1150" s="229"/>
    </row>
    <row r="1151" spans="1:50" x14ac:dyDescent="0.2">
      <c r="A1151" s="224"/>
      <c r="B1151" s="224"/>
      <c r="C1151" s="224"/>
      <c r="D1151" s="224"/>
      <c r="E1151" s="224"/>
      <c r="F1151" s="224"/>
      <c r="G1151" s="224"/>
      <c r="H1151" s="224"/>
      <c r="I1151" s="224"/>
      <c r="J1151" s="224"/>
      <c r="K1151" s="224"/>
      <c r="L1151" s="224"/>
      <c r="M1151" s="224"/>
      <c r="N1151" s="224"/>
      <c r="O1151" s="224"/>
      <c r="P1151" s="224"/>
    </row>
    <row r="1152" spans="1:50" ht="15.75" x14ac:dyDescent="0.25">
      <c r="A1152" s="318"/>
      <c r="B1152" s="312"/>
      <c r="C1152" s="312"/>
      <c r="D1152" s="312"/>
      <c r="E1152" s="312"/>
      <c r="F1152" s="312"/>
      <c r="G1152" s="312"/>
      <c r="H1152" s="317"/>
      <c r="I1152" s="29"/>
      <c r="J1152" s="14"/>
      <c r="K1152" s="14"/>
      <c r="L1152" s="29"/>
      <c r="M1152" s="29"/>
      <c r="N1152" s="29"/>
      <c r="O1152" s="29"/>
      <c r="P1152" s="29"/>
      <c r="Q1152" s="29"/>
      <c r="R1152" s="29"/>
      <c r="S1152" s="29"/>
      <c r="T1152" s="29"/>
      <c r="U1152" s="29"/>
      <c r="V1152" s="29"/>
      <c r="W1152" s="29"/>
      <c r="X1152" s="29"/>
      <c r="Y1152" s="29"/>
      <c r="Z1152" s="29"/>
      <c r="AA1152" s="29"/>
      <c r="AB1152" s="29"/>
      <c r="AC1152" s="29"/>
      <c r="AD1152" s="29"/>
      <c r="AE1152" s="29"/>
      <c r="AF1152" s="29"/>
      <c r="AG1152" s="29"/>
      <c r="AH1152" s="29"/>
      <c r="AI1152" s="29"/>
      <c r="AJ1152" s="29"/>
      <c r="AK1152" s="29"/>
      <c r="AL1152" s="29"/>
      <c r="AM1152" s="29"/>
      <c r="AN1152" s="29"/>
      <c r="AO1152" s="29"/>
      <c r="AP1152" s="29"/>
      <c r="AQ1152" s="29"/>
      <c r="AR1152" s="29"/>
      <c r="AS1152" s="29"/>
      <c r="AT1152" s="29"/>
      <c r="AU1152" s="29"/>
      <c r="AV1152" s="29"/>
      <c r="AW1152" s="29"/>
      <c r="AX1152" s="29"/>
    </row>
    <row r="1153" spans="1:50" ht="14.25" customHeight="1" x14ac:dyDescent="0.3">
      <c r="A1153" s="886" t="s">
        <v>2163</v>
      </c>
      <c r="B1153" s="42"/>
      <c r="C1153" s="42"/>
      <c r="D1153" s="42"/>
      <c r="E1153" s="42"/>
      <c r="F1153" s="42"/>
      <c r="G1153" s="42"/>
      <c r="H1153" s="42"/>
      <c r="J1153" s="41"/>
      <c r="K1153" s="831"/>
      <c r="L1153" s="8"/>
      <c r="M1153" s="8"/>
      <c r="N1153" s="8"/>
      <c r="O1153" s="8"/>
    </row>
    <row r="1154" spans="1:50" ht="14.25" customHeight="1" x14ac:dyDescent="0.2">
      <c r="A1154" s="351" t="str">
        <f>A1113</f>
        <v/>
      </c>
      <c r="B1154" s="315"/>
      <c r="C1154" s="315"/>
      <c r="D1154" s="315"/>
      <c r="E1154" s="189"/>
      <c r="F1154" s="316"/>
      <c r="G1154" s="211"/>
      <c r="H1154" s="1176" t="b">
        <f>IF(kursovoy!B208=1,0.2,IF(kursovoy!B208=2,0.3,IF(kursovoy!B208=3,0.45,IF(kursovoy!B208=4,0.7,IF(kursovoy!B208=5,1.5)))))</f>
        <v>0</v>
      </c>
      <c r="I1154" s="219"/>
      <c r="K1154" s="1096"/>
      <c r="L1154" s="1096"/>
      <c r="M1154" s="1097"/>
      <c r="N1154" s="8"/>
      <c r="O1154" s="8"/>
    </row>
    <row r="1155" spans="1:50" ht="14.25" customHeight="1" x14ac:dyDescent="0.2">
      <c r="A1155" s="351" t="str">
        <f>A1114</f>
        <v/>
      </c>
      <c r="B1155" s="315"/>
      <c r="C1155" s="315"/>
      <c r="D1155" s="315"/>
      <c r="E1155" s="189"/>
      <c r="F1155" s="316"/>
      <c r="G1155" s="211"/>
      <c r="H1155" s="3032" t="b">
        <f>IF(kursovoy!B208=1,0.1,IF(kursovoy!B208=2,0.35,IF(kursovoy!B208=3,0.45,IF(kursovoy!B208=4,0.95,IF(kursovoy!B208=5,1.7)))))</f>
        <v>0</v>
      </c>
      <c r="I1155" s="219"/>
      <c r="J1155" s="1176"/>
      <c r="K1155" s="1096"/>
      <c r="L1155" s="1096"/>
      <c r="M1155" s="1097"/>
      <c r="N1155" s="8"/>
      <c r="O1155" s="8"/>
    </row>
    <row r="1156" spans="1:50" ht="14.25" customHeight="1" x14ac:dyDescent="0.2">
      <c r="A1156" s="887" t="s">
        <v>3614</v>
      </c>
      <c r="B1156" s="315"/>
      <c r="C1156" s="315"/>
      <c r="D1156" s="315"/>
      <c r="E1156" s="189"/>
      <c r="F1156" s="316"/>
      <c r="G1156" s="211"/>
      <c r="H1156" s="489"/>
      <c r="I1156" s="219"/>
      <c r="J1156" s="885"/>
      <c r="K1156" s="239"/>
      <c r="L1156" s="239"/>
      <c r="M1156" s="239"/>
      <c r="N1156" s="8"/>
      <c r="O1156" s="8"/>
    </row>
    <row r="1157" spans="1:50" ht="27.75" customHeight="1" x14ac:dyDescent="0.25">
      <c r="A1157" s="4350" t="str">
        <f>IF(SUM(S72:S76)=5,"Величина породной подушки на перекрытии секции, передвигающейся без подпора, в месте управления комбайном, мм (10-30 мм  по опыту)","")</f>
        <v/>
      </c>
      <c r="B1157" s="4351"/>
      <c r="C1157" s="4351"/>
      <c r="D1157" s="4351"/>
      <c r="E1157" s="4351"/>
      <c r="F1157" s="4352"/>
      <c r="G1157" s="1179" t="s">
        <v>3666</v>
      </c>
      <c r="H1157" s="336">
        <v>10</v>
      </c>
      <c r="I1157" s="219"/>
    </row>
    <row r="1158" spans="1:50" ht="27.75" customHeight="1" x14ac:dyDescent="0.25">
      <c r="A1158" s="4345" t="str">
        <f>IF(SUM(S72:S76)=5,"Величина породной подушки на перекрытии секции, передвигающейся без подпора, в месте прохода для рабочих, мм (20-40 мм по опыту)","")</f>
        <v/>
      </c>
      <c r="B1158" s="4345"/>
      <c r="C1158" s="4345"/>
      <c r="D1158" s="4345"/>
      <c r="E1158" s="4345"/>
      <c r="F1158" s="4345"/>
      <c r="G1158" s="1179" t="s">
        <v>2856</v>
      </c>
      <c r="H1158" s="336">
        <v>15</v>
      </c>
      <c r="I1158" s="219"/>
    </row>
    <row r="1159" spans="1:50" ht="32.25" customHeight="1" x14ac:dyDescent="0.25">
      <c r="A1159" s="4345" t="str">
        <f>IF(SUM(S72:S76)=5,"Величина породной подушки на перекрытии секции, передвигающейся без подпора, в обрезном ряду крепи, мм (20-40 мм по опыту)","")</f>
        <v/>
      </c>
      <c r="B1159" s="4345"/>
      <c r="C1159" s="4345"/>
      <c r="D1159" s="4345"/>
      <c r="E1159" s="4345"/>
      <c r="F1159" s="4345"/>
      <c r="G1159" s="1179" t="s">
        <v>2857</v>
      </c>
      <c r="H1159" s="336">
        <v>20</v>
      </c>
      <c r="I1159" s="219"/>
    </row>
    <row r="1160" spans="1:50" ht="18" customHeight="1" x14ac:dyDescent="0.25">
      <c r="A1160" s="4345" t="str">
        <f>IF(SUM(S72:S76)=5,"Величина подштыбовки завальной боковины конвейера    мм (30-60)","")</f>
        <v/>
      </c>
      <c r="B1160" s="4345"/>
      <c r="C1160" s="4345"/>
      <c r="D1160" s="4345"/>
      <c r="E1160" s="4345"/>
      <c r="F1160" s="4345"/>
      <c r="G1160" s="1179" t="s">
        <v>2858</v>
      </c>
      <c r="H1160" s="336">
        <v>20</v>
      </c>
      <c r="I1160" s="219"/>
    </row>
    <row r="1161" spans="1:50" ht="28.5" customHeight="1" x14ac:dyDescent="0.25">
      <c r="A1161" s="4345" t="str">
        <f>IF(SUM(S72:S76)=5,"Толщина штыбовой подушки под основанием крепи (для крепи, агрегатированной с конвейером),мм  (0-30мм)","")</f>
        <v/>
      </c>
      <c r="B1161" s="4345"/>
      <c r="C1161" s="4345"/>
      <c r="D1161" s="4345"/>
      <c r="E1161" s="4345"/>
      <c r="F1161" s="4345"/>
      <c r="G1161" s="1179" t="s">
        <v>2859</v>
      </c>
      <c r="H1161" s="336">
        <v>20</v>
      </c>
      <c r="I1161" s="219"/>
    </row>
    <row r="1162" spans="1:50" ht="15.75" x14ac:dyDescent="0.25">
      <c r="A1162" s="29"/>
      <c r="B1162" s="29"/>
      <c r="C1162" s="314"/>
      <c r="D1162" s="314"/>
      <c r="E1162" s="314"/>
      <c r="F1162" s="314"/>
      <c r="G1162" s="314"/>
      <c r="H1162" s="29"/>
      <c r="I1162" s="29"/>
      <c r="J1162" s="14"/>
      <c r="K1162" s="14"/>
      <c r="L1162" s="29"/>
      <c r="M1162" s="29"/>
      <c r="N1162" s="29"/>
      <c r="O1162" s="29"/>
      <c r="P1162" s="29"/>
      <c r="Q1162" s="29"/>
      <c r="R1162" s="29"/>
      <c r="S1162" s="29"/>
      <c r="T1162" s="29"/>
      <c r="U1162" s="29"/>
      <c r="V1162" s="29"/>
      <c r="W1162" s="29"/>
      <c r="X1162" s="29"/>
      <c r="Y1162" s="29"/>
      <c r="Z1162" s="29"/>
      <c r="AA1162" s="29"/>
      <c r="AB1162" s="29"/>
      <c r="AC1162" s="29"/>
      <c r="AD1162" s="29"/>
      <c r="AE1162" s="29"/>
      <c r="AF1162" s="29"/>
      <c r="AG1162" s="29"/>
      <c r="AH1162" s="29"/>
      <c r="AI1162" s="29"/>
      <c r="AJ1162" s="29"/>
      <c r="AK1162" s="29"/>
      <c r="AL1162" s="29"/>
      <c r="AM1162" s="29"/>
      <c r="AN1162" s="29"/>
      <c r="AO1162" s="29"/>
      <c r="AP1162" s="29"/>
      <c r="AQ1162" s="29"/>
      <c r="AR1162" s="29"/>
      <c r="AS1162" s="29"/>
      <c r="AT1162" s="29"/>
      <c r="AU1162" s="29"/>
      <c r="AV1162" s="29"/>
      <c r="AW1162" s="29"/>
      <c r="AX1162" s="29"/>
    </row>
    <row r="1163" spans="1:50" ht="15.75" x14ac:dyDescent="0.25">
      <c r="A1163" s="29"/>
      <c r="B1163" s="29"/>
      <c r="C1163" s="314"/>
      <c r="D1163" s="314"/>
      <c r="E1163" s="314"/>
      <c r="F1163" s="314"/>
      <c r="G1163" s="314"/>
      <c r="H1163" s="29"/>
      <c r="I1163" s="29"/>
      <c r="J1163" s="14"/>
      <c r="K1163" s="14"/>
      <c r="L1163" s="29"/>
      <c r="M1163" s="29"/>
      <c r="N1163" s="29"/>
      <c r="O1163" s="29"/>
      <c r="P1163" s="29"/>
      <c r="Q1163" s="29"/>
      <c r="R1163" s="29"/>
      <c r="S1163" s="29"/>
      <c r="T1163" s="29"/>
      <c r="U1163" s="29"/>
      <c r="V1163" s="29"/>
      <c r="W1163" s="29"/>
      <c r="X1163" s="29"/>
      <c r="Y1163" s="29"/>
      <c r="Z1163" s="29"/>
      <c r="AA1163" s="29"/>
      <c r="AB1163" s="29"/>
      <c r="AC1163" s="29"/>
      <c r="AD1163" s="29"/>
      <c r="AE1163" s="29"/>
      <c r="AF1163" s="29"/>
      <c r="AG1163" s="29"/>
      <c r="AH1163" s="29"/>
      <c r="AI1163" s="29"/>
      <c r="AJ1163" s="29"/>
      <c r="AK1163" s="29"/>
      <c r="AL1163" s="29"/>
      <c r="AM1163" s="29"/>
      <c r="AN1163" s="29"/>
      <c r="AO1163" s="29"/>
      <c r="AP1163" s="29"/>
      <c r="AQ1163" s="29"/>
      <c r="AR1163" s="29"/>
      <c r="AS1163" s="29"/>
      <c r="AT1163" s="29"/>
      <c r="AU1163" s="29"/>
      <c r="AV1163" s="29"/>
      <c r="AW1163" s="29"/>
      <c r="AX1163" s="29"/>
    </row>
    <row r="1164" spans="1:50" ht="15.75" x14ac:dyDescent="0.25">
      <c r="A1164" s="29"/>
      <c r="B1164" s="29"/>
      <c r="C1164" s="314"/>
      <c r="D1164" s="314"/>
      <c r="E1164" s="314"/>
      <c r="F1164" s="314"/>
      <c r="G1164" s="314"/>
      <c r="H1164" s="29"/>
      <c r="I1164" s="29"/>
      <c r="J1164" s="14"/>
      <c r="K1164" s="14"/>
      <c r="L1164" s="29"/>
      <c r="M1164" s="29"/>
      <c r="N1164" s="29"/>
      <c r="O1164" s="29"/>
      <c r="P1164" s="29"/>
      <c r="Q1164" s="29"/>
      <c r="R1164" s="29"/>
      <c r="S1164" s="29"/>
      <c r="T1164" s="29"/>
      <c r="U1164" s="29"/>
      <c r="V1164" s="29"/>
      <c r="W1164" s="29"/>
      <c r="X1164" s="29"/>
      <c r="Y1164" s="29"/>
      <c r="Z1164" s="29"/>
      <c r="AA1164" s="29"/>
      <c r="AB1164" s="29"/>
      <c r="AC1164" s="29"/>
      <c r="AD1164" s="29"/>
      <c r="AE1164" s="29"/>
      <c r="AF1164" s="29"/>
      <c r="AG1164" s="29"/>
      <c r="AH1164" s="29"/>
      <c r="AI1164" s="29"/>
      <c r="AJ1164" s="29"/>
      <c r="AK1164" s="29"/>
      <c r="AL1164" s="29"/>
      <c r="AM1164" s="29"/>
      <c r="AN1164" s="29"/>
      <c r="AO1164" s="29"/>
      <c r="AP1164" s="29"/>
      <c r="AQ1164" s="29"/>
      <c r="AR1164" s="29"/>
      <c r="AS1164" s="29"/>
      <c r="AT1164" s="29"/>
      <c r="AU1164" s="29"/>
      <c r="AV1164" s="29"/>
      <c r="AW1164" s="29"/>
      <c r="AX1164" s="29"/>
    </row>
    <row r="1165" spans="1:50" ht="15.75" x14ac:dyDescent="0.25">
      <c r="A1165" s="29"/>
      <c r="B1165" s="29"/>
      <c r="C1165" s="313"/>
      <c r="D1165" s="313"/>
      <c r="E1165" s="313"/>
      <c r="F1165" s="313"/>
      <c r="G1165" s="313"/>
      <c r="H1165" s="29"/>
      <c r="I1165" s="29"/>
      <c r="J1165" s="14"/>
      <c r="K1165" s="14"/>
      <c r="L1165" s="29"/>
      <c r="M1165" s="29"/>
      <c r="N1165" s="29"/>
      <c r="O1165" s="29"/>
      <c r="P1165" s="29"/>
      <c r="Q1165" s="29"/>
      <c r="R1165" s="29"/>
      <c r="S1165" s="29"/>
      <c r="T1165" s="29"/>
      <c r="U1165" s="29"/>
      <c r="V1165" s="29"/>
      <c r="W1165" s="29"/>
      <c r="X1165" s="29"/>
      <c r="Y1165" s="29"/>
      <c r="Z1165" s="29"/>
      <c r="AA1165" s="29"/>
      <c r="AB1165" s="29"/>
      <c r="AC1165" s="29"/>
      <c r="AD1165" s="29"/>
      <c r="AE1165" s="29"/>
      <c r="AF1165" s="29"/>
      <c r="AG1165" s="29"/>
      <c r="AH1165" s="29"/>
      <c r="AI1165" s="29"/>
      <c r="AJ1165" s="29"/>
      <c r="AK1165" s="29"/>
      <c r="AL1165" s="29"/>
      <c r="AM1165" s="29"/>
      <c r="AN1165" s="29"/>
      <c r="AO1165" s="29"/>
      <c r="AP1165" s="29"/>
      <c r="AQ1165" s="29"/>
      <c r="AR1165" s="29"/>
      <c r="AS1165" s="29"/>
      <c r="AT1165" s="29"/>
      <c r="AU1165" s="29"/>
      <c r="AV1165" s="29"/>
      <c r="AW1165" s="29"/>
      <c r="AX1165" s="29"/>
    </row>
    <row r="1166" spans="1:50" ht="15.75" x14ac:dyDescent="0.25">
      <c r="A1166" s="29"/>
      <c r="B1166" s="29"/>
      <c r="C1166" s="312"/>
      <c r="D1166" s="312"/>
      <c r="E1166" s="312"/>
      <c r="F1166" s="312"/>
      <c r="G1166" s="312"/>
      <c r="H1166" s="29"/>
      <c r="I1166" s="29"/>
      <c r="J1166" s="14"/>
      <c r="K1166" s="14"/>
      <c r="L1166" s="29"/>
      <c r="M1166" s="29"/>
      <c r="N1166" s="29"/>
      <c r="O1166" s="29"/>
      <c r="P1166" s="29"/>
      <c r="Q1166" s="29"/>
      <c r="R1166" s="29"/>
      <c r="S1166" s="29"/>
      <c r="T1166" s="29"/>
      <c r="U1166" s="29"/>
      <c r="V1166" s="29"/>
      <c r="W1166" s="29"/>
      <c r="X1166" s="29"/>
      <c r="Y1166" s="29"/>
      <c r="Z1166" s="29"/>
      <c r="AA1166" s="29"/>
      <c r="AB1166" s="29"/>
      <c r="AC1166" s="29"/>
      <c r="AD1166" s="29"/>
      <c r="AE1166" s="29"/>
      <c r="AF1166" s="29"/>
      <c r="AG1166" s="29"/>
      <c r="AH1166" s="29"/>
      <c r="AI1166" s="29"/>
      <c r="AJ1166" s="29"/>
      <c r="AK1166" s="29"/>
      <c r="AL1166" s="29"/>
      <c r="AM1166" s="29"/>
      <c r="AN1166" s="29"/>
      <c r="AO1166" s="29"/>
      <c r="AP1166" s="29"/>
      <c r="AQ1166" s="29"/>
      <c r="AR1166" s="29"/>
      <c r="AS1166" s="29"/>
      <c r="AT1166" s="29"/>
      <c r="AU1166" s="29"/>
      <c r="AV1166" s="29"/>
      <c r="AW1166" s="29"/>
      <c r="AX1166" s="29"/>
    </row>
    <row r="1167" spans="1:50" ht="15.75" x14ac:dyDescent="0.25">
      <c r="A1167" s="29"/>
      <c r="B1167" s="29"/>
      <c r="C1167" s="312"/>
      <c r="D1167" s="312"/>
      <c r="E1167" s="312"/>
      <c r="F1167" s="312"/>
      <c r="G1167" s="312"/>
      <c r="H1167" s="29"/>
      <c r="I1167" s="29"/>
      <c r="J1167" s="14"/>
      <c r="K1167" s="14"/>
      <c r="L1167" s="29"/>
      <c r="M1167" s="29"/>
      <c r="N1167" s="29"/>
      <c r="O1167" s="29"/>
      <c r="P1167" s="29"/>
      <c r="Q1167" s="29"/>
      <c r="R1167" s="29"/>
      <c r="S1167" s="29"/>
      <c r="T1167" s="29"/>
      <c r="U1167" s="29"/>
      <c r="V1167" s="29"/>
      <c r="W1167" s="29"/>
      <c r="X1167" s="29"/>
      <c r="Y1167" s="29"/>
      <c r="Z1167" s="29"/>
      <c r="AA1167" s="29"/>
      <c r="AB1167" s="29"/>
      <c r="AC1167" s="29"/>
      <c r="AD1167" s="29"/>
      <c r="AE1167" s="29"/>
      <c r="AF1167" s="29"/>
      <c r="AG1167" s="29"/>
      <c r="AH1167" s="29"/>
      <c r="AI1167" s="29"/>
      <c r="AJ1167" s="29"/>
      <c r="AK1167" s="29"/>
      <c r="AL1167" s="29"/>
      <c r="AM1167" s="29"/>
      <c r="AN1167" s="29"/>
      <c r="AO1167" s="29"/>
      <c r="AP1167" s="29"/>
      <c r="AQ1167" s="29"/>
      <c r="AR1167" s="29"/>
      <c r="AS1167" s="29"/>
      <c r="AT1167" s="29"/>
      <c r="AU1167" s="29"/>
      <c r="AV1167" s="29"/>
      <c r="AW1167" s="29"/>
      <c r="AX1167" s="29"/>
    </row>
    <row r="1168" spans="1:50" ht="15.75" x14ac:dyDescent="0.25">
      <c r="A1168" s="29"/>
      <c r="B1168" s="29"/>
      <c r="C1168" s="312"/>
      <c r="D1168" s="312"/>
      <c r="E1168" s="312"/>
      <c r="F1168" s="312"/>
      <c r="G1168" s="312"/>
      <c r="H1168" s="29"/>
      <c r="I1168" s="29"/>
      <c r="J1168" s="14"/>
      <c r="K1168" s="14"/>
      <c r="L1168" s="29"/>
      <c r="M1168" s="29"/>
      <c r="N1168" s="29"/>
      <c r="O1168" s="29"/>
      <c r="P1168" s="29"/>
      <c r="Q1168" s="29"/>
      <c r="R1168" s="29"/>
      <c r="S1168" s="29"/>
      <c r="T1168" s="29"/>
      <c r="U1168" s="29"/>
      <c r="V1168" s="29"/>
      <c r="W1168" s="29"/>
      <c r="X1168" s="29"/>
      <c r="Y1168" s="29"/>
      <c r="Z1168" s="29"/>
      <c r="AA1168" s="29"/>
      <c r="AB1168" s="29"/>
      <c r="AC1168" s="29"/>
      <c r="AD1168" s="29"/>
      <c r="AE1168" s="29"/>
      <c r="AF1168" s="29"/>
      <c r="AG1168" s="29"/>
      <c r="AH1168" s="29"/>
      <c r="AI1168" s="29"/>
      <c r="AJ1168" s="29"/>
      <c r="AK1168" s="29"/>
      <c r="AL1168" s="29"/>
      <c r="AM1168" s="29"/>
      <c r="AN1168" s="29"/>
      <c r="AO1168" s="29"/>
      <c r="AP1168" s="29"/>
      <c r="AQ1168" s="29"/>
      <c r="AR1168" s="29"/>
      <c r="AS1168" s="29"/>
      <c r="AT1168" s="29"/>
      <c r="AU1168" s="29"/>
      <c r="AV1168" s="29"/>
      <c r="AW1168" s="29"/>
      <c r="AX1168" s="29"/>
    </row>
    <row r="1169" spans="1:50" ht="15.75" x14ac:dyDescent="0.25">
      <c r="A1169" s="29"/>
      <c r="B1169" s="29"/>
      <c r="C1169" s="312"/>
      <c r="D1169" s="312"/>
      <c r="E1169" s="312"/>
      <c r="F1169" s="312"/>
      <c r="G1169" s="312"/>
      <c r="H1169" s="29"/>
      <c r="I1169" s="29"/>
      <c r="J1169" s="14"/>
      <c r="K1169" s="14"/>
      <c r="L1169" s="29"/>
      <c r="M1169" s="29"/>
      <c r="N1169" s="29"/>
      <c r="O1169" s="29"/>
      <c r="P1169" s="29"/>
      <c r="Q1169" s="29"/>
      <c r="R1169" s="29"/>
      <c r="S1169" s="29"/>
      <c r="T1169" s="29"/>
      <c r="U1169" s="29"/>
      <c r="V1169" s="29"/>
      <c r="W1169" s="29"/>
      <c r="X1169" s="29"/>
      <c r="Y1169" s="29"/>
      <c r="Z1169" s="29"/>
      <c r="AA1169" s="29"/>
      <c r="AB1169" s="29"/>
      <c r="AC1169" s="29"/>
      <c r="AD1169" s="29"/>
      <c r="AE1169" s="29"/>
      <c r="AF1169" s="29"/>
      <c r="AG1169" s="29"/>
      <c r="AH1169" s="29"/>
      <c r="AI1169" s="29"/>
      <c r="AJ1169" s="29"/>
      <c r="AK1169" s="29"/>
      <c r="AL1169" s="29"/>
      <c r="AM1169" s="29"/>
      <c r="AN1169" s="29"/>
      <c r="AO1169" s="29"/>
      <c r="AP1169" s="29"/>
      <c r="AQ1169" s="29"/>
      <c r="AR1169" s="29"/>
      <c r="AS1169" s="29"/>
      <c r="AT1169" s="29"/>
      <c r="AU1169" s="29"/>
      <c r="AV1169" s="29"/>
      <c r="AW1169" s="29"/>
      <c r="AX1169" s="29"/>
    </row>
    <row r="1170" spans="1:50" ht="15.75" x14ac:dyDescent="0.25">
      <c r="A1170" s="29"/>
      <c r="B1170" s="29"/>
      <c r="C1170" s="312"/>
      <c r="D1170" s="312"/>
      <c r="E1170" s="312"/>
      <c r="F1170" s="312"/>
      <c r="G1170" s="312"/>
      <c r="H1170" s="29"/>
      <c r="I1170" s="29"/>
      <c r="J1170" s="14"/>
      <c r="K1170" s="14"/>
      <c r="L1170" s="29"/>
      <c r="M1170" s="29"/>
      <c r="N1170" s="29"/>
      <c r="O1170" s="29"/>
      <c r="P1170" s="29"/>
      <c r="Q1170" s="29"/>
      <c r="R1170" s="29"/>
      <c r="S1170" s="29"/>
      <c r="T1170" s="29"/>
      <c r="U1170" s="29"/>
      <c r="V1170" s="29"/>
      <c r="W1170" s="29"/>
      <c r="X1170" s="29"/>
      <c r="Y1170" s="29"/>
      <c r="Z1170" s="29"/>
      <c r="AA1170" s="29"/>
      <c r="AB1170" s="29"/>
      <c r="AC1170" s="29"/>
      <c r="AD1170" s="29"/>
      <c r="AE1170" s="29"/>
      <c r="AF1170" s="29"/>
      <c r="AG1170" s="29"/>
      <c r="AH1170" s="29"/>
      <c r="AI1170" s="29"/>
      <c r="AJ1170" s="29"/>
      <c r="AK1170" s="29"/>
      <c r="AL1170" s="29"/>
      <c r="AM1170" s="29"/>
      <c r="AN1170" s="29"/>
      <c r="AO1170" s="29"/>
      <c r="AP1170" s="29"/>
      <c r="AQ1170" s="29"/>
      <c r="AR1170" s="29"/>
      <c r="AS1170" s="29"/>
      <c r="AT1170" s="29"/>
      <c r="AU1170" s="29"/>
      <c r="AV1170" s="29"/>
      <c r="AW1170" s="29"/>
      <c r="AX1170" s="29"/>
    </row>
    <row r="1171" spans="1:50" ht="15.75" x14ac:dyDescent="0.25">
      <c r="A1171" s="29"/>
      <c r="B1171" s="29"/>
      <c r="C1171" s="312"/>
      <c r="D1171" s="312"/>
      <c r="E1171" s="312"/>
      <c r="F1171" s="312"/>
      <c r="G1171" s="312"/>
      <c r="H1171" s="29"/>
      <c r="I1171" s="29"/>
      <c r="J1171" s="14"/>
      <c r="K1171" s="14"/>
      <c r="L1171" s="29"/>
      <c r="M1171" s="29"/>
      <c r="N1171" s="29"/>
      <c r="O1171" s="29"/>
      <c r="P1171" s="29"/>
      <c r="Q1171" s="29"/>
      <c r="R1171" s="29"/>
      <c r="S1171" s="29"/>
      <c r="T1171" s="29"/>
      <c r="U1171" s="29"/>
      <c r="V1171" s="29"/>
      <c r="W1171" s="29"/>
      <c r="X1171" s="29"/>
      <c r="Y1171" s="29"/>
      <c r="Z1171" s="29"/>
      <c r="AA1171" s="29"/>
      <c r="AB1171" s="29"/>
      <c r="AC1171" s="29"/>
      <c r="AD1171" s="29"/>
      <c r="AE1171" s="29"/>
      <c r="AF1171" s="29"/>
      <c r="AG1171" s="29"/>
      <c r="AH1171" s="29"/>
      <c r="AI1171" s="29"/>
      <c r="AJ1171" s="29"/>
      <c r="AK1171" s="29"/>
      <c r="AL1171" s="29"/>
      <c r="AM1171" s="29"/>
      <c r="AN1171" s="29"/>
      <c r="AO1171" s="29"/>
      <c r="AP1171" s="29"/>
      <c r="AQ1171" s="29"/>
      <c r="AR1171" s="29"/>
      <c r="AS1171" s="29"/>
      <c r="AT1171" s="29"/>
      <c r="AU1171" s="29"/>
      <c r="AV1171" s="29"/>
      <c r="AW1171" s="29"/>
      <c r="AX1171" s="29"/>
    </row>
    <row r="1172" spans="1:50" ht="15.75" x14ac:dyDescent="0.25">
      <c r="A1172" s="29"/>
      <c r="B1172" s="29"/>
      <c r="C1172" s="312"/>
      <c r="D1172" s="312"/>
      <c r="E1172" s="312"/>
      <c r="F1172" s="312"/>
      <c r="G1172" s="312"/>
      <c r="H1172" s="29"/>
      <c r="I1172" s="29"/>
      <c r="J1172" s="14"/>
      <c r="K1172" s="14"/>
      <c r="L1172" s="29"/>
      <c r="M1172" s="29"/>
      <c r="N1172" s="29"/>
      <c r="O1172" s="29"/>
      <c r="P1172" s="29"/>
      <c r="Q1172" s="29"/>
      <c r="R1172" s="29"/>
      <c r="S1172" s="29"/>
      <c r="T1172" s="29"/>
      <c r="U1172" s="29"/>
      <c r="V1172" s="29"/>
      <c r="W1172" s="29"/>
      <c r="X1172" s="29"/>
      <c r="Y1172" s="29"/>
      <c r="Z1172" s="29"/>
      <c r="AA1172" s="29"/>
      <c r="AB1172" s="29"/>
      <c r="AC1172" s="29"/>
      <c r="AD1172" s="29"/>
      <c r="AE1172" s="29"/>
      <c r="AF1172" s="29"/>
      <c r="AG1172" s="29"/>
      <c r="AH1172" s="29"/>
      <c r="AI1172" s="29"/>
      <c r="AJ1172" s="29"/>
      <c r="AK1172" s="29"/>
      <c r="AL1172" s="29"/>
      <c r="AM1172" s="29"/>
      <c r="AN1172" s="29"/>
      <c r="AO1172" s="29"/>
      <c r="AP1172" s="29"/>
      <c r="AQ1172" s="29"/>
      <c r="AR1172" s="29"/>
      <c r="AS1172" s="29"/>
      <c r="AT1172" s="29"/>
      <c r="AU1172" s="29"/>
      <c r="AV1172" s="29"/>
      <c r="AW1172" s="29"/>
      <c r="AX1172" s="29"/>
    </row>
    <row r="1173" spans="1:50" ht="15.75" x14ac:dyDescent="0.25">
      <c r="A1173" s="29"/>
      <c r="B1173" s="29"/>
      <c r="C1173" s="312"/>
      <c r="D1173" s="312"/>
      <c r="E1173" s="312"/>
      <c r="F1173" s="312"/>
      <c r="G1173" s="312"/>
      <c r="H1173" s="29"/>
      <c r="I1173" s="29"/>
      <c r="J1173" s="14"/>
      <c r="K1173" s="14"/>
      <c r="L1173" s="29"/>
      <c r="M1173" s="29"/>
      <c r="N1173" s="29"/>
      <c r="O1173" s="29"/>
      <c r="P1173" s="29"/>
      <c r="Q1173" s="29"/>
      <c r="R1173" s="29"/>
      <c r="S1173" s="29"/>
      <c r="T1173" s="29"/>
      <c r="U1173" s="29"/>
      <c r="V1173" s="29"/>
      <c r="W1173" s="29"/>
      <c r="X1173" s="29"/>
      <c r="Y1173" s="29"/>
      <c r="Z1173" s="29"/>
      <c r="AA1173" s="29"/>
      <c r="AB1173" s="29"/>
      <c r="AC1173" s="29"/>
      <c r="AD1173" s="29"/>
      <c r="AE1173" s="29"/>
      <c r="AF1173" s="29"/>
      <c r="AG1173" s="29"/>
      <c r="AH1173" s="29"/>
      <c r="AI1173" s="29"/>
      <c r="AJ1173" s="29"/>
      <c r="AK1173" s="29"/>
      <c r="AL1173" s="29"/>
      <c r="AM1173" s="29"/>
      <c r="AN1173" s="29"/>
      <c r="AO1173" s="29"/>
      <c r="AP1173" s="29"/>
      <c r="AQ1173" s="29"/>
      <c r="AR1173" s="29"/>
      <c r="AS1173" s="29"/>
      <c r="AT1173" s="29"/>
      <c r="AU1173" s="29"/>
      <c r="AV1173" s="29"/>
      <c r="AW1173" s="29"/>
      <c r="AX1173" s="29"/>
    </row>
    <row r="1174" spans="1:50" ht="15.75" x14ac:dyDescent="0.25">
      <c r="A1174" s="29"/>
      <c r="B1174" s="29"/>
      <c r="C1174" s="312"/>
      <c r="D1174" s="312"/>
      <c r="E1174" s="312"/>
      <c r="F1174" s="312"/>
      <c r="G1174" s="312"/>
      <c r="H1174" s="29"/>
      <c r="I1174" s="29"/>
      <c r="J1174" s="14"/>
      <c r="K1174" s="14"/>
      <c r="L1174" s="29"/>
      <c r="M1174" s="29"/>
      <c r="N1174" s="29"/>
      <c r="O1174" s="29"/>
      <c r="P1174" s="29"/>
      <c r="Q1174" s="29"/>
      <c r="R1174" s="29"/>
      <c r="S1174" s="29"/>
      <c r="T1174" s="29"/>
      <c r="U1174" s="29"/>
      <c r="V1174" s="29"/>
      <c r="W1174" s="29"/>
      <c r="X1174" s="29"/>
      <c r="Y1174" s="29"/>
      <c r="Z1174" s="29"/>
      <c r="AA1174" s="29"/>
      <c r="AB1174" s="29"/>
      <c r="AC1174" s="29"/>
      <c r="AD1174" s="29"/>
      <c r="AE1174" s="29"/>
      <c r="AF1174" s="29"/>
      <c r="AG1174" s="29"/>
      <c r="AH1174" s="29"/>
      <c r="AI1174" s="29"/>
      <c r="AJ1174" s="29"/>
      <c r="AK1174" s="29"/>
      <c r="AL1174" s="29"/>
      <c r="AM1174" s="29"/>
      <c r="AN1174" s="29"/>
      <c r="AO1174" s="29"/>
      <c r="AP1174" s="29"/>
      <c r="AQ1174" s="29"/>
      <c r="AR1174" s="29"/>
      <c r="AS1174" s="29"/>
      <c r="AT1174" s="29"/>
      <c r="AU1174" s="29"/>
      <c r="AV1174" s="29"/>
      <c r="AW1174" s="29"/>
      <c r="AX1174" s="29"/>
    </row>
    <row r="1175" spans="1:50" ht="15.75" x14ac:dyDescent="0.25">
      <c r="A1175" s="29"/>
      <c r="B1175" s="29"/>
      <c r="C1175" s="312"/>
      <c r="D1175" s="312"/>
      <c r="E1175" s="312"/>
      <c r="F1175" s="312"/>
      <c r="G1175" s="312"/>
      <c r="H1175" s="29"/>
      <c r="I1175" s="29"/>
      <c r="J1175" s="14"/>
      <c r="K1175" s="14"/>
      <c r="L1175" s="29"/>
      <c r="M1175" s="29"/>
      <c r="N1175" s="29"/>
      <c r="O1175" s="29"/>
      <c r="P1175" s="29"/>
      <c r="Q1175" s="29"/>
      <c r="R1175" s="29"/>
      <c r="S1175" s="29"/>
      <c r="T1175" s="29"/>
      <c r="U1175" s="29"/>
      <c r="V1175" s="29"/>
      <c r="W1175" s="29"/>
      <c r="X1175" s="29"/>
      <c r="Y1175" s="29"/>
      <c r="Z1175" s="29"/>
      <c r="AA1175" s="29"/>
      <c r="AB1175" s="29"/>
      <c r="AC1175" s="29"/>
      <c r="AD1175" s="29"/>
      <c r="AE1175" s="29"/>
      <c r="AF1175" s="29"/>
      <c r="AG1175" s="29"/>
      <c r="AH1175" s="29"/>
      <c r="AI1175" s="29"/>
      <c r="AJ1175" s="29"/>
      <c r="AK1175" s="29"/>
      <c r="AL1175" s="29"/>
      <c r="AM1175" s="29"/>
      <c r="AN1175" s="29"/>
      <c r="AO1175" s="29"/>
      <c r="AP1175" s="29"/>
      <c r="AQ1175" s="29"/>
      <c r="AR1175" s="29"/>
      <c r="AS1175" s="29"/>
      <c r="AT1175" s="29"/>
      <c r="AU1175" s="29"/>
      <c r="AV1175" s="29"/>
      <c r="AW1175" s="29"/>
      <c r="AX1175" s="29"/>
    </row>
    <row r="1176" spans="1:50" ht="15.75" x14ac:dyDescent="0.25">
      <c r="A1176" s="29"/>
      <c r="B1176" s="29"/>
      <c r="C1176" s="312"/>
      <c r="D1176" s="312"/>
      <c r="E1176" s="312"/>
      <c r="F1176" s="312"/>
      <c r="G1176" s="312"/>
      <c r="H1176" s="29"/>
      <c r="I1176" s="29"/>
      <c r="J1176" s="14"/>
      <c r="K1176" s="14"/>
      <c r="L1176" s="29"/>
      <c r="M1176" s="29"/>
      <c r="N1176" s="29"/>
      <c r="O1176" s="29"/>
      <c r="P1176" s="29"/>
      <c r="Q1176" s="29"/>
      <c r="R1176" s="29"/>
      <c r="S1176" s="29"/>
      <c r="T1176" s="29"/>
      <c r="U1176" s="29"/>
      <c r="V1176" s="29"/>
      <c r="W1176" s="29"/>
      <c r="X1176" s="29"/>
      <c r="Y1176" s="29"/>
      <c r="Z1176" s="29"/>
      <c r="AA1176" s="29"/>
      <c r="AB1176" s="29"/>
      <c r="AC1176" s="29"/>
      <c r="AD1176" s="29"/>
      <c r="AE1176" s="29"/>
      <c r="AF1176" s="29"/>
      <c r="AG1176" s="29"/>
      <c r="AH1176" s="29"/>
      <c r="AI1176" s="29"/>
      <c r="AJ1176" s="29"/>
      <c r="AK1176" s="29"/>
      <c r="AL1176" s="29"/>
      <c r="AM1176" s="29"/>
      <c r="AN1176" s="29"/>
      <c r="AO1176" s="29"/>
      <c r="AP1176" s="29"/>
      <c r="AQ1176" s="29"/>
      <c r="AR1176" s="29"/>
      <c r="AS1176" s="29"/>
      <c r="AT1176" s="29"/>
      <c r="AU1176" s="29"/>
      <c r="AV1176" s="29"/>
      <c r="AW1176" s="29"/>
      <c r="AX1176" s="29"/>
    </row>
    <row r="1177" spans="1:50" ht="15.75" x14ac:dyDescent="0.25">
      <c r="A1177" s="29"/>
      <c r="B1177" s="29"/>
      <c r="C1177" s="312"/>
      <c r="D1177" s="312"/>
      <c r="E1177" s="312"/>
      <c r="F1177" s="312"/>
      <c r="G1177" s="312"/>
      <c r="H1177" s="29"/>
      <c r="I1177" s="29"/>
      <c r="J1177" s="14"/>
      <c r="K1177" s="14"/>
      <c r="L1177" s="29"/>
      <c r="M1177" s="29"/>
      <c r="N1177" s="29"/>
      <c r="O1177" s="29"/>
      <c r="P1177" s="29"/>
      <c r="Q1177" s="29"/>
      <c r="R1177" s="29"/>
      <c r="S1177" s="29"/>
      <c r="T1177" s="29"/>
      <c r="U1177" s="29"/>
      <c r="V1177" s="29"/>
      <c r="W1177" s="29"/>
      <c r="X1177" s="29"/>
      <c r="Y1177" s="29"/>
      <c r="Z1177" s="29"/>
      <c r="AA1177" s="29"/>
      <c r="AB1177" s="29"/>
      <c r="AC1177" s="29"/>
      <c r="AD1177" s="29"/>
      <c r="AE1177" s="29"/>
      <c r="AF1177" s="29"/>
      <c r="AG1177" s="29"/>
      <c r="AH1177" s="29"/>
      <c r="AI1177" s="29"/>
      <c r="AJ1177" s="29"/>
      <c r="AK1177" s="29"/>
      <c r="AL1177" s="29"/>
      <c r="AM1177" s="29"/>
      <c r="AN1177" s="29"/>
      <c r="AO1177" s="29"/>
      <c r="AP1177" s="29"/>
      <c r="AQ1177" s="29"/>
      <c r="AR1177" s="29"/>
      <c r="AS1177" s="29"/>
      <c r="AT1177" s="29"/>
      <c r="AU1177" s="29"/>
      <c r="AV1177" s="29"/>
      <c r="AW1177" s="29"/>
      <c r="AX1177" s="29"/>
    </row>
    <row r="1178" spans="1:50" ht="15.75" x14ac:dyDescent="0.25">
      <c r="A1178" s="29"/>
      <c r="B1178" s="29"/>
      <c r="C1178" s="312"/>
      <c r="D1178" s="312"/>
      <c r="E1178" s="312"/>
      <c r="F1178" s="312"/>
      <c r="G1178" s="312"/>
      <c r="H1178" s="29"/>
      <c r="I1178" s="29"/>
      <c r="J1178" s="14"/>
      <c r="K1178" s="14"/>
      <c r="L1178" s="29"/>
      <c r="M1178" s="29"/>
      <c r="N1178" s="29"/>
      <c r="O1178" s="29"/>
      <c r="P1178" s="29"/>
      <c r="Q1178" s="29"/>
      <c r="R1178" s="29"/>
      <c r="S1178" s="29"/>
      <c r="T1178" s="29"/>
      <c r="U1178" s="29"/>
      <c r="V1178" s="29"/>
      <c r="W1178" s="29"/>
      <c r="X1178" s="29"/>
      <c r="Y1178" s="29"/>
      <c r="Z1178" s="29"/>
      <c r="AA1178" s="29"/>
      <c r="AB1178" s="29"/>
      <c r="AC1178" s="29"/>
      <c r="AD1178" s="29"/>
      <c r="AE1178" s="29"/>
      <c r="AF1178" s="29"/>
      <c r="AG1178" s="29"/>
      <c r="AH1178" s="29"/>
      <c r="AI1178" s="29"/>
      <c r="AJ1178" s="29"/>
      <c r="AK1178" s="29"/>
      <c r="AL1178" s="29"/>
      <c r="AM1178" s="29"/>
      <c r="AN1178" s="29"/>
      <c r="AO1178" s="29"/>
      <c r="AP1178" s="29"/>
      <c r="AQ1178" s="29"/>
      <c r="AR1178" s="29"/>
      <c r="AS1178" s="29"/>
      <c r="AT1178" s="29"/>
      <c r="AU1178" s="29"/>
      <c r="AV1178" s="29"/>
      <c r="AW1178" s="29"/>
      <c r="AX1178" s="29"/>
    </row>
    <row r="1179" spans="1:50" ht="15.75" x14ac:dyDescent="0.25">
      <c r="A1179" s="29"/>
      <c r="B1179" s="29"/>
      <c r="C1179" s="312"/>
      <c r="D1179" s="312"/>
      <c r="E1179" s="312"/>
      <c r="F1179" s="312"/>
      <c r="G1179" s="312"/>
      <c r="H1179" s="29"/>
      <c r="I1179" s="29"/>
      <c r="J1179" s="14"/>
      <c r="K1179" s="14"/>
      <c r="L1179" s="29"/>
      <c r="M1179" s="29"/>
      <c r="N1179" s="29"/>
      <c r="O1179" s="29"/>
      <c r="P1179" s="29"/>
      <c r="Q1179" s="29"/>
      <c r="R1179" s="29"/>
      <c r="S1179" s="29"/>
      <c r="T1179" s="29"/>
      <c r="U1179" s="29"/>
      <c r="V1179" s="29"/>
      <c r="W1179" s="29"/>
      <c r="X1179" s="29"/>
      <c r="Y1179" s="29"/>
      <c r="Z1179" s="29"/>
      <c r="AA1179" s="29"/>
      <c r="AB1179" s="29"/>
      <c r="AC1179" s="29"/>
      <c r="AD1179" s="29"/>
      <c r="AE1179" s="29"/>
      <c r="AF1179" s="29"/>
      <c r="AG1179" s="29"/>
      <c r="AH1179" s="29"/>
      <c r="AI1179" s="29"/>
      <c r="AJ1179" s="29"/>
      <c r="AK1179" s="29"/>
      <c r="AL1179" s="29"/>
      <c r="AM1179" s="29"/>
      <c r="AN1179" s="29"/>
      <c r="AO1179" s="29"/>
      <c r="AP1179" s="29"/>
      <c r="AQ1179" s="29"/>
      <c r="AR1179" s="29"/>
      <c r="AS1179" s="29"/>
      <c r="AT1179" s="29"/>
      <c r="AU1179" s="29"/>
      <c r="AV1179" s="29"/>
      <c r="AW1179" s="29"/>
      <c r="AX1179" s="29"/>
    </row>
    <row r="1180" spans="1:50" ht="15.75" x14ac:dyDescent="0.25">
      <c r="A1180" s="29"/>
      <c r="B1180" s="29"/>
      <c r="C1180" s="312"/>
      <c r="D1180" s="312"/>
      <c r="E1180" s="312"/>
      <c r="F1180" s="312"/>
      <c r="G1180" s="312"/>
      <c r="H1180" s="29"/>
      <c r="I1180" s="29"/>
      <c r="J1180" s="14"/>
      <c r="K1180" s="14"/>
      <c r="L1180" s="29"/>
      <c r="M1180" s="29"/>
      <c r="N1180" s="29"/>
      <c r="O1180" s="29"/>
      <c r="P1180" s="29"/>
      <c r="Q1180" s="29"/>
      <c r="R1180" s="29"/>
      <c r="S1180" s="29"/>
      <c r="T1180" s="29"/>
      <c r="U1180" s="29"/>
      <c r="V1180" s="29"/>
      <c r="W1180" s="29"/>
      <c r="X1180" s="29"/>
      <c r="Y1180" s="29"/>
      <c r="Z1180" s="29"/>
      <c r="AA1180" s="29"/>
      <c r="AB1180" s="29"/>
      <c r="AC1180" s="29"/>
      <c r="AD1180" s="29"/>
      <c r="AE1180" s="29"/>
      <c r="AF1180" s="29"/>
      <c r="AG1180" s="29"/>
      <c r="AH1180" s="29"/>
      <c r="AI1180" s="29"/>
      <c r="AJ1180" s="29"/>
      <c r="AK1180" s="29"/>
      <c r="AL1180" s="29"/>
      <c r="AM1180" s="29"/>
      <c r="AN1180" s="29"/>
      <c r="AO1180" s="29"/>
      <c r="AP1180" s="29"/>
      <c r="AQ1180" s="29"/>
      <c r="AR1180" s="29"/>
      <c r="AS1180" s="29"/>
      <c r="AT1180" s="29"/>
      <c r="AU1180" s="29"/>
      <c r="AV1180" s="29"/>
      <c r="AW1180" s="29"/>
      <c r="AX1180" s="29"/>
    </row>
    <row r="1181" spans="1:50" ht="15.75" x14ac:dyDescent="0.25">
      <c r="A1181" s="29"/>
      <c r="B1181" s="29"/>
      <c r="C1181" s="312"/>
      <c r="D1181" s="312"/>
      <c r="E1181" s="312"/>
      <c r="F1181" s="312"/>
      <c r="G1181" s="312"/>
      <c r="H1181" s="29"/>
      <c r="I1181" s="29"/>
      <c r="J1181" s="14"/>
      <c r="K1181" s="14"/>
      <c r="L1181" s="29"/>
      <c r="M1181" s="29"/>
      <c r="N1181" s="29"/>
      <c r="O1181" s="29"/>
      <c r="P1181" s="29"/>
      <c r="Q1181" s="29"/>
      <c r="R1181" s="29"/>
      <c r="S1181" s="29"/>
      <c r="T1181" s="29"/>
      <c r="U1181" s="29"/>
      <c r="V1181" s="29"/>
      <c r="W1181" s="29"/>
      <c r="X1181" s="29"/>
      <c r="Y1181" s="29"/>
      <c r="Z1181" s="29"/>
      <c r="AA1181" s="29"/>
      <c r="AB1181" s="29"/>
      <c r="AC1181" s="29"/>
      <c r="AD1181" s="29"/>
      <c r="AE1181" s="29"/>
      <c r="AF1181" s="29"/>
      <c r="AG1181" s="29"/>
      <c r="AH1181" s="29"/>
      <c r="AI1181" s="29"/>
      <c r="AJ1181" s="29"/>
      <c r="AK1181" s="29"/>
      <c r="AL1181" s="29"/>
      <c r="AM1181" s="29"/>
      <c r="AN1181" s="29"/>
      <c r="AO1181" s="29"/>
      <c r="AP1181" s="29"/>
      <c r="AQ1181" s="29"/>
      <c r="AR1181" s="29"/>
      <c r="AS1181" s="29"/>
      <c r="AT1181" s="29"/>
      <c r="AU1181" s="29"/>
      <c r="AV1181" s="29"/>
      <c r="AW1181" s="29"/>
      <c r="AX1181" s="29"/>
    </row>
    <row r="1182" spans="1:50" ht="15.75" x14ac:dyDescent="0.25">
      <c r="A1182" s="29"/>
      <c r="B1182" s="29"/>
      <c r="C1182" s="312"/>
      <c r="D1182" s="312"/>
      <c r="E1182" s="312"/>
      <c r="F1182" s="312"/>
      <c r="G1182" s="312"/>
      <c r="H1182" s="29"/>
      <c r="I1182" s="29"/>
      <c r="J1182" s="14"/>
      <c r="K1182" s="14"/>
      <c r="L1182" s="29"/>
      <c r="M1182" s="29"/>
      <c r="N1182" s="29"/>
      <c r="O1182" s="29"/>
      <c r="P1182" s="29"/>
      <c r="Q1182" s="29"/>
      <c r="R1182" s="29"/>
      <c r="S1182" s="29"/>
      <c r="T1182" s="29"/>
      <c r="U1182" s="29"/>
      <c r="V1182" s="29"/>
      <c r="W1182" s="29"/>
      <c r="X1182" s="29"/>
      <c r="Y1182" s="29"/>
      <c r="Z1182" s="29"/>
      <c r="AA1182" s="29"/>
      <c r="AB1182" s="29"/>
      <c r="AC1182" s="29"/>
      <c r="AD1182" s="29"/>
      <c r="AE1182" s="29"/>
      <c r="AF1182" s="29"/>
      <c r="AG1182" s="29"/>
      <c r="AH1182" s="29"/>
      <c r="AI1182" s="29"/>
      <c r="AJ1182" s="29"/>
      <c r="AK1182" s="29"/>
      <c r="AL1182" s="29"/>
      <c r="AM1182" s="29"/>
      <c r="AN1182" s="29"/>
      <c r="AO1182" s="29"/>
      <c r="AP1182" s="29"/>
      <c r="AQ1182" s="29"/>
      <c r="AR1182" s="29"/>
      <c r="AS1182" s="29"/>
      <c r="AT1182" s="29"/>
      <c r="AU1182" s="29"/>
      <c r="AV1182" s="29"/>
      <c r="AW1182" s="29"/>
      <c r="AX1182" s="29"/>
    </row>
    <row r="1183" spans="1:50" ht="15.75" x14ac:dyDescent="0.25">
      <c r="A1183" s="29"/>
      <c r="B1183" s="29"/>
      <c r="C1183" s="312"/>
      <c r="D1183" s="312"/>
      <c r="E1183" s="312"/>
      <c r="F1183" s="312"/>
      <c r="G1183" s="312"/>
      <c r="H1183" s="29"/>
      <c r="I1183" s="29"/>
      <c r="J1183" s="14"/>
      <c r="K1183" s="14"/>
      <c r="L1183" s="29"/>
      <c r="M1183" s="29"/>
      <c r="N1183" s="29"/>
      <c r="O1183" s="29"/>
      <c r="P1183" s="29"/>
      <c r="Q1183" s="29"/>
      <c r="R1183" s="29"/>
      <c r="S1183" s="29"/>
      <c r="T1183" s="29"/>
      <c r="U1183" s="29"/>
      <c r="V1183" s="29"/>
      <c r="W1183" s="29"/>
      <c r="X1183" s="29"/>
      <c r="Y1183" s="29"/>
      <c r="Z1183" s="29"/>
      <c r="AA1183" s="29"/>
      <c r="AB1183" s="29"/>
      <c r="AC1183" s="29"/>
      <c r="AD1183" s="29"/>
      <c r="AE1183" s="29"/>
      <c r="AF1183" s="29"/>
      <c r="AG1183" s="29"/>
      <c r="AH1183" s="29"/>
      <c r="AI1183" s="29"/>
      <c r="AJ1183" s="29"/>
      <c r="AK1183" s="29"/>
      <c r="AL1183" s="29"/>
      <c r="AM1183" s="29"/>
      <c r="AN1183" s="29"/>
      <c r="AO1183" s="29"/>
      <c r="AP1183" s="29"/>
      <c r="AQ1183" s="29"/>
      <c r="AR1183" s="29"/>
      <c r="AS1183" s="29"/>
      <c r="AT1183" s="29"/>
      <c r="AU1183" s="29"/>
      <c r="AV1183" s="29"/>
      <c r="AW1183" s="29"/>
      <c r="AX1183" s="29"/>
    </row>
    <row r="1184" spans="1:50" ht="15.75" x14ac:dyDescent="0.25">
      <c r="A1184" s="29"/>
      <c r="B1184" s="29"/>
      <c r="C1184" s="312"/>
      <c r="D1184" s="312"/>
      <c r="E1184" s="312"/>
      <c r="F1184" s="312"/>
      <c r="G1184" s="312"/>
      <c r="H1184" s="29"/>
      <c r="I1184" s="29"/>
      <c r="J1184" s="14"/>
      <c r="K1184" s="14"/>
      <c r="L1184" s="29"/>
      <c r="M1184" s="29"/>
      <c r="N1184" s="29"/>
      <c r="O1184" s="29"/>
      <c r="P1184" s="29"/>
      <c r="Q1184" s="29"/>
      <c r="R1184" s="29"/>
      <c r="S1184" s="29"/>
      <c r="T1184" s="29"/>
      <c r="U1184" s="29"/>
      <c r="V1184" s="29"/>
      <c r="W1184" s="29"/>
      <c r="X1184" s="29"/>
      <c r="Y1184" s="29"/>
      <c r="Z1184" s="29"/>
      <c r="AA1184" s="29"/>
      <c r="AB1184" s="29"/>
      <c r="AC1184" s="29"/>
      <c r="AD1184" s="29"/>
      <c r="AE1184" s="29"/>
      <c r="AF1184" s="29"/>
      <c r="AG1184" s="29"/>
      <c r="AH1184" s="29"/>
      <c r="AI1184" s="29"/>
      <c r="AJ1184" s="29"/>
      <c r="AK1184" s="29"/>
      <c r="AL1184" s="29"/>
      <c r="AM1184" s="29"/>
      <c r="AN1184" s="29"/>
      <c r="AO1184" s="29"/>
      <c r="AP1184" s="29"/>
      <c r="AQ1184" s="29"/>
      <c r="AR1184" s="29"/>
      <c r="AS1184" s="29"/>
      <c r="AT1184" s="29"/>
      <c r="AU1184" s="29"/>
      <c r="AV1184" s="29"/>
      <c r="AW1184" s="29"/>
      <c r="AX1184" s="29"/>
    </row>
    <row r="1185" spans="1:50" ht="15.75" x14ac:dyDescent="0.25">
      <c r="A1185" s="29"/>
      <c r="B1185" s="29"/>
      <c r="C1185" s="312"/>
      <c r="D1185" s="312"/>
      <c r="E1185" s="312"/>
      <c r="F1185" s="312"/>
      <c r="G1185" s="312"/>
      <c r="H1185" s="29"/>
      <c r="I1185" s="29"/>
      <c r="J1185" s="14"/>
      <c r="K1185" s="14"/>
      <c r="L1185" s="29"/>
      <c r="M1185" s="29"/>
      <c r="N1185" s="29"/>
      <c r="O1185" s="29"/>
      <c r="P1185" s="29"/>
      <c r="Q1185" s="29"/>
      <c r="R1185" s="29"/>
      <c r="S1185" s="29"/>
      <c r="T1185" s="29"/>
      <c r="U1185" s="29"/>
      <c r="V1185" s="29"/>
      <c r="W1185" s="29"/>
      <c r="X1185" s="29"/>
      <c r="Y1185" s="29"/>
      <c r="Z1185" s="29"/>
      <c r="AA1185" s="29"/>
      <c r="AB1185" s="29"/>
      <c r="AC1185" s="29"/>
      <c r="AD1185" s="29"/>
      <c r="AE1185" s="29"/>
      <c r="AF1185" s="29"/>
      <c r="AG1185" s="29"/>
      <c r="AH1185" s="29"/>
      <c r="AI1185" s="29"/>
      <c r="AJ1185" s="29"/>
      <c r="AK1185" s="29"/>
      <c r="AL1185" s="29"/>
      <c r="AM1185" s="29"/>
      <c r="AN1185" s="29"/>
      <c r="AO1185" s="29"/>
      <c r="AP1185" s="29"/>
      <c r="AQ1185" s="29"/>
      <c r="AR1185" s="29"/>
      <c r="AS1185" s="29"/>
      <c r="AT1185" s="29"/>
      <c r="AU1185" s="29"/>
      <c r="AV1185" s="29"/>
      <c r="AW1185" s="29"/>
      <c r="AX1185" s="29"/>
    </row>
    <row r="1186" spans="1:50" ht="15.75" x14ac:dyDescent="0.25">
      <c r="A1186" s="29"/>
      <c r="B1186" s="29"/>
      <c r="C1186" s="312"/>
      <c r="D1186" s="312"/>
      <c r="E1186" s="312"/>
      <c r="F1186" s="312"/>
      <c r="G1186" s="312"/>
      <c r="H1186" s="29"/>
      <c r="I1186" s="29"/>
      <c r="J1186" s="14"/>
      <c r="K1186" s="14"/>
      <c r="L1186" s="29"/>
      <c r="M1186" s="29"/>
      <c r="N1186" s="29"/>
      <c r="O1186" s="29"/>
      <c r="P1186" s="29"/>
      <c r="Q1186" s="29"/>
      <c r="R1186" s="29"/>
      <c r="S1186" s="29"/>
      <c r="T1186" s="29"/>
      <c r="U1186" s="29"/>
      <c r="V1186" s="29"/>
      <c r="W1186" s="29"/>
      <c r="X1186" s="29"/>
      <c r="Y1186" s="29"/>
      <c r="Z1186" s="29"/>
      <c r="AA1186" s="29"/>
      <c r="AB1186" s="29"/>
      <c r="AC1186" s="29"/>
      <c r="AD1186" s="29"/>
      <c r="AE1186" s="29"/>
      <c r="AF1186" s="29"/>
      <c r="AG1186" s="29"/>
      <c r="AH1186" s="29"/>
      <c r="AI1186" s="29"/>
      <c r="AJ1186" s="29"/>
      <c r="AK1186" s="29"/>
      <c r="AL1186" s="29"/>
      <c r="AM1186" s="29"/>
      <c r="AN1186" s="29"/>
      <c r="AO1186" s="29"/>
      <c r="AP1186" s="29"/>
      <c r="AQ1186" s="29"/>
      <c r="AR1186" s="29"/>
      <c r="AS1186" s="29"/>
      <c r="AT1186" s="29"/>
      <c r="AU1186" s="29"/>
      <c r="AV1186" s="29"/>
      <c r="AW1186" s="29"/>
      <c r="AX1186" s="29"/>
    </row>
    <row r="1187" spans="1:50" ht="15.75" x14ac:dyDescent="0.25">
      <c r="A1187" s="29"/>
      <c r="B1187" s="29"/>
      <c r="C1187" s="312"/>
      <c r="D1187" s="312"/>
      <c r="E1187" s="312"/>
      <c r="F1187" s="312"/>
      <c r="G1187" s="312"/>
      <c r="H1187" s="29"/>
      <c r="I1187" s="29"/>
      <c r="J1187" s="14"/>
      <c r="K1187" s="14"/>
      <c r="L1187" s="29"/>
      <c r="M1187" s="29"/>
      <c r="N1187" s="29"/>
      <c r="O1187" s="29"/>
      <c r="P1187" s="29"/>
      <c r="Q1187" s="29"/>
      <c r="R1187" s="29"/>
      <c r="S1187" s="29"/>
      <c r="T1187" s="29"/>
      <c r="U1187" s="29"/>
      <c r="V1187" s="29"/>
      <c r="W1187" s="29"/>
      <c r="X1187" s="29"/>
      <c r="Y1187" s="29"/>
      <c r="Z1187" s="29"/>
      <c r="AA1187" s="29"/>
      <c r="AB1187" s="29"/>
      <c r="AC1187" s="29"/>
      <c r="AD1187" s="29"/>
      <c r="AE1187" s="29"/>
      <c r="AF1187" s="29"/>
      <c r="AG1187" s="29"/>
      <c r="AH1187" s="29"/>
      <c r="AI1187" s="29"/>
      <c r="AJ1187" s="29"/>
      <c r="AK1187" s="29"/>
      <c r="AL1187" s="29"/>
      <c r="AM1187" s="29"/>
      <c r="AN1187" s="29"/>
      <c r="AO1187" s="29"/>
      <c r="AP1187" s="29"/>
      <c r="AQ1187" s="29"/>
      <c r="AR1187" s="29"/>
      <c r="AS1187" s="29"/>
      <c r="AT1187" s="29"/>
      <c r="AU1187" s="29"/>
      <c r="AV1187" s="29"/>
      <c r="AW1187" s="29"/>
      <c r="AX1187" s="29"/>
    </row>
    <row r="1188" spans="1:50" ht="15.75" x14ac:dyDescent="0.25">
      <c r="A1188" s="29"/>
      <c r="B1188" s="29"/>
      <c r="C1188" s="312"/>
      <c r="D1188" s="312"/>
      <c r="E1188" s="312"/>
      <c r="F1188" s="312"/>
      <c r="G1188" s="312"/>
      <c r="H1188" s="29"/>
      <c r="I1188" s="29"/>
      <c r="J1188" s="14"/>
      <c r="K1188" s="14"/>
      <c r="L1188" s="29"/>
      <c r="M1188" s="29"/>
      <c r="N1188" s="29"/>
      <c r="O1188" s="29"/>
      <c r="P1188" s="29"/>
      <c r="Q1188" s="29"/>
      <c r="R1188" s="29"/>
      <c r="S1188" s="29"/>
      <c r="T1188" s="29"/>
      <c r="U1188" s="29"/>
      <c r="V1188" s="29"/>
      <c r="W1188" s="29"/>
      <c r="X1188" s="29"/>
      <c r="Y1188" s="29"/>
      <c r="Z1188" s="29"/>
      <c r="AA1188" s="29"/>
      <c r="AB1188" s="29"/>
      <c r="AC1188" s="29"/>
      <c r="AD1188" s="29"/>
      <c r="AE1188" s="29"/>
      <c r="AF1188" s="29"/>
      <c r="AG1188" s="29"/>
      <c r="AH1188" s="29"/>
      <c r="AI1188" s="29"/>
      <c r="AJ1188" s="29"/>
      <c r="AK1188" s="29"/>
      <c r="AL1188" s="29"/>
      <c r="AM1188" s="29"/>
      <c r="AN1188" s="29"/>
      <c r="AO1188" s="29"/>
      <c r="AP1188" s="29"/>
      <c r="AQ1188" s="29"/>
      <c r="AR1188" s="29"/>
      <c r="AS1188" s="29"/>
      <c r="AT1188" s="29"/>
      <c r="AU1188" s="29"/>
      <c r="AV1188" s="29"/>
      <c r="AW1188" s="29"/>
      <c r="AX1188" s="29"/>
    </row>
    <row r="1189" spans="1:50" ht="15.75" x14ac:dyDescent="0.25">
      <c r="A1189" s="29"/>
      <c r="B1189" s="29"/>
      <c r="C1189" s="312"/>
      <c r="D1189" s="312"/>
      <c r="E1189" s="312"/>
      <c r="F1189" s="312"/>
      <c r="G1189" s="312"/>
      <c r="H1189" s="29"/>
      <c r="I1189" s="29"/>
      <c r="J1189" s="14"/>
      <c r="K1189" s="14"/>
      <c r="L1189" s="29"/>
      <c r="M1189" s="29"/>
      <c r="N1189" s="29"/>
      <c r="O1189" s="29"/>
      <c r="P1189" s="29"/>
      <c r="Q1189" s="29"/>
      <c r="R1189" s="29"/>
      <c r="S1189" s="29"/>
      <c r="T1189" s="29"/>
      <c r="U1189" s="29"/>
      <c r="V1189" s="29"/>
      <c r="W1189" s="29"/>
      <c r="X1189" s="29"/>
      <c r="Y1189" s="29"/>
      <c r="Z1189" s="29"/>
      <c r="AA1189" s="29"/>
      <c r="AB1189" s="29"/>
      <c r="AC1189" s="29"/>
      <c r="AD1189" s="29"/>
      <c r="AE1189" s="29"/>
      <c r="AF1189" s="29"/>
      <c r="AG1189" s="29"/>
      <c r="AH1189" s="29"/>
      <c r="AI1189" s="29"/>
      <c r="AJ1189" s="29"/>
      <c r="AK1189" s="29"/>
      <c r="AL1189" s="29"/>
      <c r="AM1189" s="29"/>
      <c r="AN1189" s="29"/>
      <c r="AO1189" s="29"/>
      <c r="AP1189" s="29"/>
      <c r="AQ1189" s="29"/>
      <c r="AR1189" s="29"/>
      <c r="AS1189" s="29"/>
      <c r="AT1189" s="29"/>
      <c r="AU1189" s="29"/>
      <c r="AV1189" s="29"/>
      <c r="AW1189" s="29"/>
      <c r="AX1189" s="29"/>
    </row>
    <row r="1190" spans="1:50" ht="15.75" x14ac:dyDescent="0.25">
      <c r="A1190" s="29"/>
      <c r="B1190" s="29"/>
      <c r="C1190" s="312"/>
      <c r="D1190" s="312"/>
      <c r="E1190" s="312"/>
      <c r="F1190" s="312"/>
      <c r="G1190" s="312"/>
      <c r="H1190" s="29"/>
      <c r="I1190" s="29"/>
      <c r="J1190" s="14"/>
      <c r="K1190" s="14"/>
      <c r="L1190" s="29"/>
      <c r="M1190" s="29"/>
      <c r="N1190" s="29"/>
      <c r="O1190" s="29"/>
      <c r="P1190" s="29"/>
      <c r="Q1190" s="29"/>
      <c r="R1190" s="29"/>
      <c r="S1190" s="29"/>
      <c r="T1190" s="29"/>
      <c r="U1190" s="29"/>
      <c r="V1190" s="29"/>
      <c r="W1190" s="29"/>
      <c r="X1190" s="29"/>
      <c r="Y1190" s="29"/>
      <c r="Z1190" s="29"/>
      <c r="AA1190" s="29"/>
      <c r="AB1190" s="29"/>
      <c r="AC1190" s="29"/>
      <c r="AD1190" s="29"/>
      <c r="AE1190" s="29"/>
      <c r="AF1190" s="29"/>
      <c r="AG1190" s="29"/>
      <c r="AH1190" s="29"/>
      <c r="AI1190" s="29"/>
      <c r="AJ1190" s="29"/>
      <c r="AK1190" s="29"/>
      <c r="AL1190" s="29"/>
      <c r="AM1190" s="29"/>
      <c r="AN1190" s="29"/>
      <c r="AO1190" s="29"/>
      <c r="AP1190" s="29"/>
      <c r="AQ1190" s="29"/>
      <c r="AR1190" s="29"/>
      <c r="AS1190" s="29"/>
      <c r="AT1190" s="29"/>
      <c r="AU1190" s="29"/>
      <c r="AV1190" s="29"/>
      <c r="AW1190" s="29"/>
      <c r="AX1190" s="29"/>
    </row>
    <row r="1191" spans="1:50" ht="15.75" x14ac:dyDescent="0.25">
      <c r="A1191" s="29"/>
      <c r="B1191" s="29"/>
      <c r="C1191" s="312"/>
      <c r="D1191" s="312"/>
      <c r="E1191" s="312"/>
      <c r="F1191" s="312"/>
      <c r="G1191" s="312"/>
      <c r="H1191" s="29"/>
      <c r="I1191" s="29"/>
      <c r="J1191" s="14"/>
      <c r="K1191" s="14"/>
      <c r="L1191" s="29"/>
      <c r="M1191" s="29"/>
      <c r="N1191" s="29"/>
      <c r="O1191" s="29"/>
      <c r="P1191" s="29"/>
      <c r="Q1191" s="29"/>
      <c r="R1191" s="29"/>
      <c r="S1191" s="29"/>
      <c r="T1191" s="29"/>
      <c r="U1191" s="29"/>
      <c r="V1191" s="29"/>
      <c r="W1191" s="29"/>
      <c r="X1191" s="29"/>
      <c r="Y1191" s="29"/>
      <c r="Z1191" s="29"/>
      <c r="AA1191" s="29"/>
      <c r="AB1191" s="29"/>
      <c r="AC1191" s="29"/>
      <c r="AD1191" s="29"/>
      <c r="AE1191" s="29"/>
      <c r="AF1191" s="29"/>
      <c r="AG1191" s="29"/>
      <c r="AH1191" s="29"/>
      <c r="AI1191" s="29"/>
      <c r="AJ1191" s="29"/>
      <c r="AK1191" s="29"/>
      <c r="AL1191" s="29"/>
      <c r="AM1191" s="29"/>
      <c r="AN1191" s="29"/>
      <c r="AO1191" s="29"/>
      <c r="AP1191" s="29"/>
      <c r="AQ1191" s="29"/>
      <c r="AR1191" s="29"/>
      <c r="AS1191" s="29"/>
      <c r="AT1191" s="29"/>
      <c r="AU1191" s="29"/>
      <c r="AV1191" s="29"/>
      <c r="AW1191" s="29"/>
      <c r="AX1191" s="29"/>
    </row>
    <row r="1192" spans="1:50" ht="15.75" x14ac:dyDescent="0.25">
      <c r="A1192" s="29"/>
      <c r="B1192" s="29"/>
      <c r="C1192" s="312"/>
      <c r="D1192" s="312"/>
      <c r="E1192" s="312"/>
      <c r="F1192" s="312"/>
      <c r="G1192" s="312"/>
      <c r="H1192" s="29"/>
      <c r="I1192" s="29"/>
      <c r="J1192" s="14"/>
      <c r="K1192" s="14"/>
      <c r="L1192" s="29"/>
      <c r="M1192" s="29"/>
      <c r="N1192" s="29"/>
      <c r="O1192" s="29"/>
      <c r="P1192" s="29"/>
      <c r="Q1192" s="29"/>
      <c r="R1192" s="29"/>
      <c r="S1192" s="29"/>
      <c r="T1192" s="29"/>
      <c r="U1192" s="29"/>
      <c r="V1192" s="29"/>
      <c r="W1192" s="29"/>
      <c r="X1192" s="29"/>
      <c r="Y1192" s="29"/>
      <c r="Z1192" s="29"/>
      <c r="AA1192" s="29"/>
      <c r="AB1192" s="29"/>
      <c r="AC1192" s="29"/>
      <c r="AD1192" s="29"/>
      <c r="AE1192" s="29"/>
      <c r="AF1192" s="29"/>
      <c r="AG1192" s="29"/>
      <c r="AH1192" s="29"/>
      <c r="AI1192" s="29"/>
      <c r="AJ1192" s="29"/>
      <c r="AK1192" s="29"/>
      <c r="AL1192" s="29"/>
      <c r="AM1192" s="29"/>
      <c r="AN1192" s="29"/>
      <c r="AO1192" s="29"/>
      <c r="AP1192" s="29"/>
      <c r="AQ1192" s="29"/>
      <c r="AR1192" s="29"/>
      <c r="AS1192" s="29"/>
      <c r="AT1192" s="29"/>
      <c r="AU1192" s="29"/>
      <c r="AV1192" s="29"/>
      <c r="AW1192" s="29"/>
      <c r="AX1192" s="29"/>
    </row>
    <row r="1193" spans="1:50" ht="15.75" x14ac:dyDescent="0.25">
      <c r="A1193" s="29"/>
      <c r="B1193" s="29"/>
      <c r="C1193" s="312"/>
      <c r="D1193" s="312"/>
      <c r="E1193" s="312"/>
      <c r="F1193" s="312"/>
      <c r="G1193" s="312"/>
      <c r="H1193" s="29"/>
      <c r="I1193" s="29"/>
      <c r="J1193" s="14"/>
      <c r="K1193" s="14"/>
      <c r="L1193" s="29"/>
      <c r="M1193" s="29"/>
      <c r="N1193" s="29"/>
      <c r="O1193" s="29"/>
      <c r="P1193" s="29"/>
      <c r="Q1193" s="29"/>
      <c r="R1193" s="29"/>
      <c r="S1193" s="29"/>
      <c r="T1193" s="29"/>
      <c r="U1193" s="29"/>
      <c r="V1193" s="29"/>
      <c r="W1193" s="29"/>
      <c r="X1193" s="29"/>
      <c r="Y1193" s="29"/>
      <c r="Z1193" s="29"/>
      <c r="AA1193" s="29"/>
      <c r="AB1193" s="29"/>
      <c r="AC1193" s="29"/>
      <c r="AD1193" s="29"/>
      <c r="AE1193" s="29"/>
      <c r="AF1193" s="29"/>
      <c r="AG1193" s="29"/>
      <c r="AH1193" s="29"/>
      <c r="AI1193" s="29"/>
      <c r="AJ1193" s="29"/>
      <c r="AK1193" s="29"/>
      <c r="AL1193" s="29"/>
      <c r="AM1193" s="29"/>
      <c r="AN1193" s="29"/>
      <c r="AO1193" s="29"/>
      <c r="AP1193" s="29"/>
      <c r="AQ1193" s="29"/>
      <c r="AR1193" s="29"/>
      <c r="AS1193" s="29"/>
      <c r="AT1193" s="29"/>
      <c r="AU1193" s="29"/>
      <c r="AV1193" s="29"/>
      <c r="AW1193" s="29"/>
      <c r="AX1193" s="29"/>
    </row>
    <row r="1194" spans="1:50" ht="15.75" x14ac:dyDescent="0.25">
      <c r="A1194" s="29"/>
      <c r="B1194" s="29"/>
      <c r="C1194" s="312"/>
      <c r="D1194" s="312"/>
      <c r="E1194" s="312"/>
      <c r="F1194" s="312"/>
      <c r="G1194" s="312"/>
      <c r="H1194" s="29"/>
      <c r="I1194" s="29"/>
      <c r="J1194" s="14"/>
      <c r="K1194" s="14"/>
      <c r="L1194" s="29"/>
      <c r="M1194" s="29"/>
      <c r="N1194" s="29"/>
      <c r="O1194" s="29"/>
      <c r="P1194" s="29"/>
      <c r="Q1194" s="29"/>
      <c r="R1194" s="29"/>
      <c r="S1194" s="29"/>
      <c r="T1194" s="29"/>
      <c r="U1194" s="29"/>
      <c r="V1194" s="29"/>
      <c r="W1194" s="29"/>
      <c r="X1194" s="29"/>
      <c r="Y1194" s="29"/>
      <c r="Z1194" s="29"/>
      <c r="AA1194" s="29"/>
      <c r="AB1194" s="29"/>
      <c r="AC1194" s="29"/>
      <c r="AD1194" s="29"/>
      <c r="AE1194" s="29"/>
      <c r="AF1194" s="29"/>
      <c r="AG1194" s="29"/>
      <c r="AH1194" s="29"/>
      <c r="AI1194" s="29"/>
      <c r="AJ1194" s="29"/>
      <c r="AK1194" s="29"/>
      <c r="AL1194" s="29"/>
      <c r="AM1194" s="29"/>
      <c r="AN1194" s="29"/>
      <c r="AO1194" s="29"/>
      <c r="AP1194" s="29"/>
      <c r="AQ1194" s="29"/>
      <c r="AR1194" s="29"/>
      <c r="AS1194" s="29"/>
      <c r="AT1194" s="29"/>
      <c r="AU1194" s="29"/>
      <c r="AV1194" s="29"/>
      <c r="AW1194" s="29"/>
      <c r="AX1194" s="29"/>
    </row>
    <row r="1195" spans="1:50" ht="15.75" x14ac:dyDescent="0.25">
      <c r="A1195" s="29"/>
      <c r="B1195" s="29"/>
      <c r="C1195" s="312"/>
      <c r="D1195" s="312"/>
      <c r="E1195" s="312"/>
      <c r="F1195" s="312"/>
      <c r="G1195" s="312"/>
      <c r="H1195" s="29"/>
      <c r="I1195" s="29"/>
      <c r="J1195" s="14"/>
      <c r="K1195" s="14"/>
      <c r="L1195" s="29"/>
      <c r="M1195" s="29"/>
      <c r="N1195" s="29"/>
      <c r="O1195" s="29"/>
      <c r="P1195" s="29"/>
      <c r="Q1195" s="29"/>
      <c r="R1195" s="29"/>
      <c r="S1195" s="29"/>
      <c r="T1195" s="29"/>
      <c r="U1195" s="29"/>
      <c r="V1195" s="29"/>
      <c r="W1195" s="29"/>
      <c r="X1195" s="29"/>
      <c r="Y1195" s="29"/>
      <c r="Z1195" s="29"/>
      <c r="AA1195" s="29"/>
      <c r="AB1195" s="29"/>
      <c r="AC1195" s="29"/>
      <c r="AD1195" s="29"/>
      <c r="AE1195" s="29"/>
      <c r="AF1195" s="29"/>
      <c r="AG1195" s="29"/>
      <c r="AH1195" s="29"/>
      <c r="AI1195" s="29"/>
      <c r="AJ1195" s="29"/>
      <c r="AK1195" s="29"/>
      <c r="AL1195" s="29"/>
      <c r="AM1195" s="29"/>
      <c r="AN1195" s="29"/>
      <c r="AO1195" s="29"/>
      <c r="AP1195" s="29"/>
      <c r="AQ1195" s="29"/>
      <c r="AR1195" s="29"/>
      <c r="AS1195" s="29"/>
      <c r="AT1195" s="29"/>
      <c r="AU1195" s="29"/>
      <c r="AV1195" s="29"/>
      <c r="AW1195" s="29"/>
      <c r="AX1195" s="29"/>
    </row>
    <row r="1196" spans="1:50" ht="15.75" x14ac:dyDescent="0.25">
      <c r="A1196" s="29"/>
      <c r="B1196" s="29"/>
      <c r="C1196" s="312"/>
      <c r="D1196" s="312"/>
      <c r="E1196" s="312"/>
      <c r="F1196" s="312"/>
      <c r="G1196" s="312"/>
      <c r="H1196" s="29"/>
      <c r="I1196" s="29"/>
      <c r="J1196" s="14"/>
      <c r="K1196" s="14"/>
      <c r="L1196" s="29"/>
      <c r="M1196" s="29"/>
      <c r="N1196" s="29"/>
      <c r="O1196" s="29"/>
      <c r="P1196" s="29"/>
      <c r="Q1196" s="29"/>
      <c r="R1196" s="29"/>
      <c r="S1196" s="29"/>
      <c r="T1196" s="29"/>
      <c r="U1196" s="29"/>
      <c r="V1196" s="29"/>
      <c r="W1196" s="29"/>
      <c r="X1196" s="29"/>
      <c r="Y1196" s="29"/>
      <c r="Z1196" s="29"/>
      <c r="AA1196" s="29"/>
      <c r="AB1196" s="29"/>
      <c r="AC1196" s="29"/>
      <c r="AD1196" s="29"/>
      <c r="AE1196" s="29"/>
      <c r="AF1196" s="29"/>
      <c r="AG1196" s="29"/>
      <c r="AH1196" s="29"/>
      <c r="AI1196" s="29"/>
      <c r="AJ1196" s="29"/>
      <c r="AK1196" s="29"/>
      <c r="AL1196" s="29"/>
      <c r="AM1196" s="29"/>
      <c r="AN1196" s="29"/>
      <c r="AO1196" s="29"/>
      <c r="AP1196" s="29"/>
      <c r="AQ1196" s="29"/>
      <c r="AR1196" s="29"/>
      <c r="AS1196" s="29"/>
      <c r="AT1196" s="29"/>
      <c r="AU1196" s="29"/>
      <c r="AV1196" s="29"/>
      <c r="AW1196" s="29"/>
      <c r="AX1196" s="29"/>
    </row>
    <row r="1197" spans="1:50" ht="15.75" x14ac:dyDescent="0.25">
      <c r="A1197" s="29"/>
      <c r="B1197" s="29"/>
      <c r="C1197" s="312"/>
      <c r="D1197" s="312"/>
      <c r="E1197" s="312"/>
      <c r="F1197" s="312"/>
      <c r="G1197" s="312"/>
      <c r="H1197" s="29"/>
      <c r="I1197" s="29"/>
      <c r="J1197" s="14"/>
      <c r="K1197" s="14"/>
      <c r="L1197" s="29"/>
      <c r="M1197" s="29"/>
      <c r="N1197" s="29"/>
      <c r="O1197" s="29"/>
      <c r="P1197" s="29"/>
      <c r="Q1197" s="29"/>
      <c r="R1197" s="29"/>
      <c r="S1197" s="29"/>
      <c r="T1197" s="29"/>
      <c r="U1197" s="29"/>
      <c r="V1197" s="29"/>
      <c r="W1197" s="29"/>
      <c r="X1197" s="29"/>
      <c r="Y1197" s="29"/>
      <c r="Z1197" s="29"/>
      <c r="AA1197" s="29"/>
      <c r="AB1197" s="29"/>
      <c r="AC1197" s="29"/>
      <c r="AD1197" s="29"/>
      <c r="AE1197" s="29"/>
      <c r="AF1197" s="29"/>
      <c r="AG1197" s="29"/>
      <c r="AH1197" s="29"/>
      <c r="AI1197" s="29"/>
      <c r="AJ1197" s="29"/>
      <c r="AK1197" s="29"/>
      <c r="AL1197" s="29"/>
      <c r="AM1197" s="29"/>
      <c r="AN1197" s="29"/>
      <c r="AO1197" s="29"/>
      <c r="AP1197" s="29"/>
      <c r="AQ1197" s="29"/>
      <c r="AR1197" s="29"/>
      <c r="AS1197" s="29"/>
      <c r="AT1197" s="29"/>
      <c r="AU1197" s="29"/>
      <c r="AV1197" s="29"/>
      <c r="AW1197" s="29"/>
      <c r="AX1197" s="29"/>
    </row>
    <row r="1198" spans="1:50" ht="15.75" x14ac:dyDescent="0.25">
      <c r="A1198" s="29"/>
      <c r="B1198" s="29"/>
      <c r="C1198" s="312"/>
      <c r="D1198" s="312"/>
      <c r="E1198" s="312"/>
      <c r="F1198" s="312"/>
      <c r="G1198" s="312"/>
      <c r="H1198" s="29"/>
      <c r="I1198" s="29"/>
      <c r="J1198" s="14"/>
      <c r="K1198" s="14"/>
      <c r="L1198" s="29"/>
      <c r="M1198" s="29"/>
      <c r="N1198" s="29"/>
      <c r="O1198" s="29"/>
      <c r="P1198" s="29"/>
      <c r="Q1198" s="29"/>
      <c r="R1198" s="29"/>
      <c r="S1198" s="29"/>
      <c r="T1198" s="29"/>
      <c r="U1198" s="29"/>
      <c r="V1198" s="29"/>
      <c r="W1198" s="29"/>
      <c r="X1198" s="29"/>
      <c r="Y1198" s="29"/>
      <c r="Z1198" s="29"/>
      <c r="AA1198" s="29"/>
      <c r="AB1198" s="29"/>
      <c r="AC1198" s="29"/>
      <c r="AD1198" s="29"/>
      <c r="AE1198" s="29"/>
      <c r="AF1198" s="29"/>
      <c r="AG1198" s="29"/>
      <c r="AH1198" s="29"/>
      <c r="AI1198" s="29"/>
      <c r="AJ1198" s="29"/>
      <c r="AK1198" s="29"/>
      <c r="AL1198" s="29"/>
      <c r="AM1198" s="29"/>
      <c r="AN1198" s="29"/>
      <c r="AO1198" s="29"/>
      <c r="AP1198" s="29"/>
      <c r="AQ1198" s="29"/>
      <c r="AR1198" s="29"/>
      <c r="AS1198" s="29"/>
      <c r="AT1198" s="29"/>
      <c r="AU1198" s="29"/>
      <c r="AV1198" s="29"/>
      <c r="AW1198" s="29"/>
      <c r="AX1198" s="29"/>
    </row>
    <row r="1199" spans="1:50" ht="15.75" x14ac:dyDescent="0.25">
      <c r="A1199" s="29"/>
      <c r="B1199" s="29"/>
      <c r="C1199" s="312"/>
      <c r="D1199" s="312"/>
      <c r="E1199" s="312"/>
      <c r="F1199" s="312"/>
      <c r="G1199" s="312"/>
      <c r="H1199" s="29"/>
      <c r="I1199" s="29"/>
      <c r="J1199" s="14"/>
      <c r="K1199" s="14"/>
      <c r="L1199" s="29"/>
      <c r="M1199" s="29"/>
      <c r="N1199" s="29"/>
      <c r="O1199" s="29"/>
      <c r="P1199" s="29"/>
      <c r="Q1199" s="29"/>
      <c r="R1199" s="29"/>
      <c r="S1199" s="29"/>
      <c r="T1199" s="29"/>
      <c r="U1199" s="29"/>
      <c r="V1199" s="29"/>
      <c r="W1199" s="29"/>
      <c r="X1199" s="29"/>
      <c r="Y1199" s="29"/>
      <c r="Z1199" s="29"/>
      <c r="AA1199" s="29"/>
      <c r="AB1199" s="29"/>
      <c r="AC1199" s="29"/>
      <c r="AD1199" s="29"/>
      <c r="AE1199" s="29"/>
      <c r="AF1199" s="29"/>
      <c r="AG1199" s="29"/>
      <c r="AH1199" s="29"/>
      <c r="AI1199" s="29"/>
      <c r="AJ1199" s="29"/>
      <c r="AK1199" s="29"/>
      <c r="AL1199" s="29"/>
      <c r="AM1199" s="29"/>
      <c r="AN1199" s="29"/>
      <c r="AO1199" s="29"/>
      <c r="AP1199" s="29"/>
      <c r="AQ1199" s="29"/>
      <c r="AR1199" s="29"/>
      <c r="AS1199" s="29"/>
      <c r="AT1199" s="29"/>
      <c r="AU1199" s="29"/>
      <c r="AV1199" s="29"/>
      <c r="AW1199" s="29"/>
      <c r="AX1199" s="29"/>
    </row>
    <row r="1200" spans="1:50" ht="15.75" x14ac:dyDescent="0.25">
      <c r="A1200" s="29"/>
      <c r="B1200" s="29"/>
      <c r="C1200" s="312"/>
      <c r="D1200" s="312"/>
      <c r="E1200" s="312"/>
      <c r="F1200" s="312"/>
      <c r="G1200" s="312"/>
      <c r="H1200" s="29"/>
      <c r="I1200" s="29"/>
      <c r="J1200" s="14"/>
      <c r="K1200" s="14"/>
      <c r="L1200" s="29"/>
      <c r="M1200" s="29"/>
      <c r="N1200" s="29"/>
      <c r="O1200" s="29"/>
      <c r="P1200" s="29"/>
      <c r="Q1200" s="29"/>
      <c r="R1200" s="29"/>
      <c r="S1200" s="29"/>
      <c r="T1200" s="29"/>
      <c r="U1200" s="29"/>
      <c r="V1200" s="29"/>
      <c r="W1200" s="29"/>
      <c r="X1200" s="29"/>
      <c r="Y1200" s="29"/>
      <c r="Z1200" s="29"/>
      <c r="AA1200" s="29"/>
      <c r="AB1200" s="29"/>
      <c r="AC1200" s="29"/>
      <c r="AD1200" s="29"/>
      <c r="AE1200" s="29"/>
      <c r="AF1200" s="29"/>
      <c r="AG1200" s="29"/>
      <c r="AH1200" s="29"/>
      <c r="AI1200" s="29"/>
      <c r="AJ1200" s="29"/>
      <c r="AK1200" s="29"/>
      <c r="AL1200" s="29"/>
      <c r="AM1200" s="29"/>
      <c r="AN1200" s="29"/>
      <c r="AO1200" s="29"/>
      <c r="AP1200" s="29"/>
      <c r="AQ1200" s="29"/>
      <c r="AR1200" s="29"/>
      <c r="AS1200" s="29"/>
      <c r="AT1200" s="29"/>
      <c r="AU1200" s="29"/>
      <c r="AV1200" s="29"/>
      <c r="AW1200" s="29"/>
      <c r="AX1200" s="29"/>
    </row>
    <row r="1201" spans="1:50" ht="15.75" x14ac:dyDescent="0.25">
      <c r="A1201" s="29"/>
      <c r="B1201" s="29"/>
      <c r="C1201" s="312"/>
      <c r="D1201" s="312"/>
      <c r="E1201" s="312"/>
      <c r="F1201" s="312"/>
      <c r="G1201" s="312"/>
      <c r="H1201" s="29"/>
      <c r="I1201" s="29"/>
      <c r="J1201" s="14"/>
      <c r="K1201" s="14"/>
      <c r="L1201" s="29"/>
      <c r="M1201" s="29"/>
      <c r="N1201" s="29"/>
      <c r="O1201" s="29"/>
      <c r="P1201" s="29"/>
      <c r="Q1201" s="29"/>
      <c r="R1201" s="29"/>
      <c r="S1201" s="29"/>
      <c r="T1201" s="29"/>
      <c r="U1201" s="29"/>
      <c r="V1201" s="29"/>
      <c r="W1201" s="29"/>
      <c r="X1201" s="29"/>
      <c r="Y1201" s="29"/>
      <c r="Z1201" s="29"/>
      <c r="AA1201" s="29"/>
      <c r="AB1201" s="29"/>
      <c r="AC1201" s="29"/>
      <c r="AD1201" s="29"/>
      <c r="AE1201" s="29"/>
      <c r="AF1201" s="29"/>
      <c r="AG1201" s="29"/>
      <c r="AH1201" s="29"/>
      <c r="AI1201" s="29"/>
      <c r="AJ1201" s="29"/>
      <c r="AK1201" s="29"/>
      <c r="AL1201" s="29"/>
      <c r="AM1201" s="29"/>
      <c r="AN1201" s="29"/>
      <c r="AO1201" s="29"/>
      <c r="AP1201" s="29"/>
      <c r="AQ1201" s="29"/>
      <c r="AR1201" s="29"/>
      <c r="AS1201" s="29"/>
      <c r="AT1201" s="29"/>
      <c r="AU1201" s="29"/>
      <c r="AV1201" s="29"/>
      <c r="AW1201" s="29"/>
      <c r="AX1201" s="29"/>
    </row>
    <row r="1202" spans="1:50" ht="15.75" x14ac:dyDescent="0.25">
      <c r="A1202" s="29"/>
      <c r="B1202" s="29"/>
      <c r="C1202" s="312"/>
      <c r="D1202" s="312"/>
      <c r="E1202" s="312"/>
      <c r="F1202" s="312"/>
      <c r="G1202" s="312"/>
      <c r="H1202" s="29"/>
      <c r="I1202" s="29"/>
      <c r="J1202" s="14"/>
      <c r="K1202" s="14"/>
      <c r="L1202" s="29"/>
      <c r="M1202" s="29"/>
      <c r="N1202" s="29"/>
      <c r="O1202" s="29"/>
      <c r="P1202" s="29"/>
      <c r="Q1202" s="29"/>
      <c r="R1202" s="29"/>
      <c r="S1202" s="29"/>
      <c r="T1202" s="29"/>
      <c r="U1202" s="29"/>
      <c r="V1202" s="29"/>
      <c r="W1202" s="29"/>
      <c r="X1202" s="29"/>
      <c r="Y1202" s="29"/>
      <c r="Z1202" s="29"/>
      <c r="AA1202" s="29"/>
      <c r="AB1202" s="29"/>
      <c r="AC1202" s="29"/>
      <c r="AD1202" s="29"/>
      <c r="AE1202" s="29"/>
      <c r="AF1202" s="29"/>
      <c r="AG1202" s="29"/>
      <c r="AH1202" s="29"/>
      <c r="AI1202" s="29"/>
      <c r="AJ1202" s="29"/>
      <c r="AK1202" s="29"/>
      <c r="AL1202" s="29"/>
      <c r="AM1202" s="29"/>
      <c r="AN1202" s="29"/>
      <c r="AO1202" s="29"/>
      <c r="AP1202" s="29"/>
      <c r="AQ1202" s="29"/>
      <c r="AR1202" s="29"/>
      <c r="AS1202" s="29"/>
      <c r="AT1202" s="29"/>
      <c r="AU1202" s="29"/>
      <c r="AV1202" s="29"/>
      <c r="AW1202" s="29"/>
      <c r="AX1202" s="29"/>
    </row>
    <row r="1203" spans="1:50" ht="15.75" x14ac:dyDescent="0.25">
      <c r="A1203" s="29"/>
      <c r="B1203" s="29"/>
      <c r="C1203" s="312"/>
      <c r="D1203" s="312"/>
      <c r="E1203" s="312"/>
      <c r="F1203" s="312"/>
      <c r="G1203" s="312"/>
      <c r="H1203" s="29"/>
      <c r="I1203" s="29"/>
      <c r="J1203" s="14"/>
      <c r="K1203" s="14"/>
      <c r="L1203" s="29"/>
      <c r="M1203" s="29"/>
      <c r="N1203" s="29"/>
      <c r="O1203" s="29"/>
      <c r="P1203" s="29"/>
      <c r="Q1203" s="29"/>
      <c r="R1203" s="29"/>
      <c r="S1203" s="29"/>
      <c r="T1203" s="29"/>
      <c r="U1203" s="29"/>
      <c r="V1203" s="29"/>
      <c r="W1203" s="29"/>
      <c r="X1203" s="29"/>
      <c r="Y1203" s="29"/>
      <c r="Z1203" s="29"/>
      <c r="AA1203" s="29"/>
      <c r="AB1203" s="29"/>
      <c r="AC1203" s="29"/>
      <c r="AD1203" s="29"/>
      <c r="AE1203" s="29"/>
      <c r="AF1203" s="29"/>
      <c r="AG1203" s="29"/>
      <c r="AH1203" s="29"/>
      <c r="AI1203" s="29"/>
      <c r="AJ1203" s="29"/>
      <c r="AK1203" s="29"/>
      <c r="AL1203" s="29"/>
      <c r="AM1203" s="29"/>
      <c r="AN1203" s="29"/>
      <c r="AO1203" s="29"/>
      <c r="AP1203" s="29"/>
      <c r="AQ1203" s="29"/>
      <c r="AR1203" s="29"/>
      <c r="AS1203" s="29"/>
      <c r="AT1203" s="29"/>
      <c r="AU1203" s="29"/>
      <c r="AV1203" s="29"/>
      <c r="AW1203" s="29"/>
      <c r="AX1203" s="29"/>
    </row>
    <row r="1204" spans="1:50" ht="15.75" x14ac:dyDescent="0.25">
      <c r="A1204" s="29"/>
      <c r="B1204" s="29"/>
      <c r="C1204" s="312"/>
      <c r="D1204" s="312"/>
      <c r="E1204" s="312"/>
      <c r="F1204" s="312"/>
      <c r="G1204" s="312"/>
      <c r="H1204" s="29"/>
      <c r="I1204" s="29"/>
      <c r="J1204" s="14"/>
      <c r="K1204" s="14"/>
      <c r="L1204" s="29"/>
      <c r="M1204" s="29"/>
      <c r="N1204" s="29"/>
      <c r="O1204" s="29"/>
      <c r="P1204" s="29"/>
      <c r="Q1204" s="29"/>
      <c r="R1204" s="29"/>
      <c r="S1204" s="29"/>
      <c r="T1204" s="29"/>
      <c r="U1204" s="29"/>
      <c r="V1204" s="29"/>
      <c r="W1204" s="29"/>
      <c r="X1204" s="29"/>
      <c r="Y1204" s="29"/>
      <c r="Z1204" s="29"/>
      <c r="AA1204" s="29"/>
      <c r="AB1204" s="29"/>
      <c r="AC1204" s="29"/>
      <c r="AD1204" s="29"/>
      <c r="AE1204" s="29"/>
      <c r="AF1204" s="29"/>
      <c r="AG1204" s="29"/>
      <c r="AH1204" s="29"/>
      <c r="AI1204" s="29"/>
      <c r="AJ1204" s="29"/>
      <c r="AK1204" s="29"/>
      <c r="AL1204" s="29"/>
      <c r="AM1204" s="29"/>
      <c r="AN1204" s="29"/>
      <c r="AO1204" s="29"/>
      <c r="AP1204" s="29"/>
      <c r="AQ1204" s="29"/>
      <c r="AR1204" s="29"/>
      <c r="AS1204" s="29"/>
      <c r="AT1204" s="29"/>
      <c r="AU1204" s="29"/>
      <c r="AV1204" s="29"/>
      <c r="AW1204" s="29"/>
      <c r="AX1204" s="29"/>
    </row>
    <row r="1205" spans="1:50" ht="15.75" x14ac:dyDescent="0.25">
      <c r="A1205" s="29"/>
      <c r="B1205" s="29"/>
      <c r="C1205" s="312"/>
      <c r="D1205" s="312"/>
      <c r="E1205" s="312"/>
      <c r="F1205" s="312"/>
      <c r="G1205" s="312"/>
      <c r="H1205" s="29"/>
      <c r="I1205" s="29"/>
      <c r="J1205" s="14"/>
      <c r="K1205" s="14"/>
      <c r="L1205" s="29"/>
      <c r="M1205" s="29"/>
      <c r="N1205" s="29"/>
      <c r="O1205" s="29"/>
      <c r="P1205" s="29"/>
      <c r="Q1205" s="29"/>
      <c r="R1205" s="29"/>
      <c r="S1205" s="29"/>
      <c r="T1205" s="29"/>
      <c r="U1205" s="29"/>
      <c r="V1205" s="29"/>
      <c r="W1205" s="29"/>
      <c r="X1205" s="29"/>
      <c r="Y1205" s="29"/>
      <c r="Z1205" s="29"/>
      <c r="AA1205" s="29"/>
      <c r="AB1205" s="29"/>
      <c r="AC1205" s="29"/>
      <c r="AD1205" s="29"/>
      <c r="AE1205" s="29"/>
      <c r="AF1205" s="29"/>
      <c r="AG1205" s="29"/>
      <c r="AH1205" s="29"/>
      <c r="AI1205" s="29"/>
      <c r="AJ1205" s="29"/>
      <c r="AK1205" s="29"/>
      <c r="AL1205" s="29"/>
      <c r="AM1205" s="29"/>
      <c r="AN1205" s="29"/>
      <c r="AO1205" s="29"/>
      <c r="AP1205" s="29"/>
      <c r="AQ1205" s="29"/>
      <c r="AR1205" s="29"/>
      <c r="AS1205" s="29"/>
      <c r="AT1205" s="29"/>
      <c r="AU1205" s="29"/>
      <c r="AV1205" s="29"/>
      <c r="AW1205" s="29"/>
      <c r="AX1205" s="29"/>
    </row>
    <row r="1206" spans="1:50" ht="15.75" x14ac:dyDescent="0.25">
      <c r="A1206" s="29"/>
      <c r="B1206" s="29"/>
      <c r="C1206" s="312"/>
      <c r="D1206" s="312"/>
      <c r="E1206" s="312"/>
      <c r="F1206" s="312"/>
      <c r="G1206" s="312"/>
      <c r="H1206" s="29"/>
      <c r="I1206" s="29"/>
      <c r="J1206" s="14"/>
      <c r="K1206" s="14"/>
      <c r="L1206" s="29"/>
      <c r="M1206" s="29"/>
      <c r="N1206" s="29"/>
      <c r="O1206" s="29"/>
      <c r="P1206" s="29"/>
      <c r="Q1206" s="29"/>
      <c r="R1206" s="29"/>
      <c r="S1206" s="29"/>
      <c r="T1206" s="29"/>
      <c r="U1206" s="29"/>
      <c r="V1206" s="29"/>
      <c r="W1206" s="29"/>
      <c r="X1206" s="29"/>
      <c r="Y1206" s="29"/>
      <c r="Z1206" s="29"/>
      <c r="AA1206" s="29"/>
      <c r="AB1206" s="29"/>
      <c r="AC1206" s="29"/>
      <c r="AD1206" s="29"/>
      <c r="AE1206" s="29"/>
      <c r="AF1206" s="29"/>
      <c r="AG1206" s="29"/>
      <c r="AH1206" s="29"/>
      <c r="AI1206" s="29"/>
      <c r="AJ1206" s="29"/>
      <c r="AK1206" s="29"/>
      <c r="AL1206" s="29"/>
      <c r="AM1206" s="29"/>
      <c r="AN1206" s="29"/>
      <c r="AO1206" s="29"/>
      <c r="AP1206" s="29"/>
      <c r="AQ1206" s="29"/>
      <c r="AR1206" s="29"/>
      <c r="AS1206" s="29"/>
      <c r="AT1206" s="29"/>
      <c r="AU1206" s="29"/>
      <c r="AV1206" s="29"/>
      <c r="AW1206" s="29"/>
      <c r="AX1206" s="29"/>
    </row>
    <row r="1207" spans="1:50" ht="15.75" x14ac:dyDescent="0.25">
      <c r="A1207" s="29"/>
      <c r="B1207" s="29"/>
      <c r="C1207" s="312"/>
      <c r="D1207" s="312"/>
      <c r="E1207" s="312"/>
      <c r="F1207" s="312"/>
      <c r="G1207" s="312"/>
      <c r="H1207" s="29"/>
      <c r="I1207" s="29"/>
      <c r="J1207" s="14"/>
      <c r="K1207" s="14"/>
      <c r="L1207" s="29"/>
      <c r="M1207" s="29"/>
      <c r="N1207" s="29"/>
      <c r="O1207" s="29"/>
      <c r="P1207" s="29"/>
      <c r="Q1207" s="29"/>
      <c r="R1207" s="29"/>
      <c r="S1207" s="29"/>
      <c r="T1207" s="29"/>
      <c r="U1207" s="29"/>
      <c r="V1207" s="29"/>
      <c r="W1207" s="29"/>
      <c r="X1207" s="29"/>
      <c r="Y1207" s="29"/>
      <c r="Z1207" s="29"/>
      <c r="AA1207" s="29"/>
      <c r="AB1207" s="29"/>
      <c r="AC1207" s="29"/>
      <c r="AD1207" s="29"/>
      <c r="AE1207" s="29"/>
      <c r="AF1207" s="29"/>
      <c r="AG1207" s="29"/>
      <c r="AH1207" s="29"/>
      <c r="AI1207" s="29"/>
      <c r="AJ1207" s="29"/>
      <c r="AK1207" s="29"/>
      <c r="AL1207" s="29"/>
      <c r="AM1207" s="29"/>
      <c r="AN1207" s="29"/>
      <c r="AO1207" s="29"/>
      <c r="AP1207" s="29"/>
      <c r="AQ1207" s="29"/>
      <c r="AR1207" s="29"/>
      <c r="AS1207" s="29"/>
      <c r="AT1207" s="29"/>
      <c r="AU1207" s="29"/>
      <c r="AV1207" s="29"/>
      <c r="AW1207" s="29"/>
      <c r="AX1207" s="29"/>
    </row>
    <row r="1208" spans="1:50" ht="15.75" x14ac:dyDescent="0.25">
      <c r="A1208" s="29"/>
      <c r="B1208" s="29"/>
      <c r="C1208" s="312"/>
      <c r="D1208" s="312"/>
      <c r="E1208" s="312"/>
      <c r="F1208" s="312"/>
      <c r="G1208" s="312"/>
      <c r="H1208" s="29"/>
      <c r="I1208" s="29"/>
      <c r="J1208" s="14"/>
      <c r="K1208" s="14"/>
      <c r="L1208" s="29"/>
      <c r="M1208" s="29"/>
      <c r="N1208" s="29"/>
      <c r="O1208" s="29"/>
      <c r="P1208" s="29"/>
      <c r="Q1208" s="29"/>
      <c r="R1208" s="29"/>
      <c r="S1208" s="29"/>
      <c r="T1208" s="29"/>
      <c r="U1208" s="29"/>
      <c r="V1208" s="29"/>
      <c r="W1208" s="29"/>
      <c r="X1208" s="29"/>
      <c r="Y1208" s="29"/>
      <c r="Z1208" s="29"/>
      <c r="AA1208" s="29"/>
      <c r="AB1208" s="29"/>
      <c r="AC1208" s="29"/>
      <c r="AD1208" s="29"/>
      <c r="AE1208" s="29"/>
      <c r="AF1208" s="29"/>
      <c r="AG1208" s="29"/>
      <c r="AH1208" s="29"/>
      <c r="AI1208" s="29"/>
      <c r="AJ1208" s="29"/>
      <c r="AK1208" s="29"/>
      <c r="AL1208" s="29"/>
      <c r="AM1208" s="29"/>
      <c r="AN1208" s="29"/>
      <c r="AO1208" s="29"/>
      <c r="AP1208" s="29"/>
      <c r="AQ1208" s="29"/>
      <c r="AR1208" s="29"/>
      <c r="AS1208" s="29"/>
      <c r="AT1208" s="29"/>
      <c r="AU1208" s="29"/>
      <c r="AV1208" s="29"/>
      <c r="AW1208" s="29"/>
      <c r="AX1208" s="29"/>
    </row>
    <row r="1209" spans="1:50" ht="15.75" x14ac:dyDescent="0.25">
      <c r="A1209" s="29"/>
      <c r="B1209" s="29"/>
      <c r="C1209" s="312"/>
      <c r="D1209" s="312"/>
      <c r="E1209" s="312"/>
      <c r="F1209" s="312"/>
      <c r="G1209" s="312"/>
      <c r="H1209" s="29"/>
      <c r="I1209" s="29"/>
      <c r="J1209" s="14"/>
      <c r="K1209" s="14"/>
      <c r="L1209" s="29"/>
      <c r="M1209" s="29"/>
      <c r="N1209" s="29"/>
      <c r="O1209" s="29"/>
      <c r="P1209" s="29"/>
      <c r="Q1209" s="29"/>
      <c r="R1209" s="29"/>
      <c r="S1209" s="29"/>
      <c r="T1209" s="29"/>
      <c r="U1209" s="29"/>
      <c r="V1209" s="29"/>
      <c r="W1209" s="29"/>
      <c r="X1209" s="29"/>
      <c r="Y1209" s="29"/>
      <c r="Z1209" s="29"/>
      <c r="AA1209" s="29"/>
      <c r="AB1209" s="29"/>
      <c r="AC1209" s="29"/>
      <c r="AD1209" s="29"/>
      <c r="AE1209" s="29"/>
      <c r="AF1209" s="29"/>
      <c r="AG1209" s="29"/>
      <c r="AH1209" s="29"/>
      <c r="AI1209" s="29"/>
      <c r="AJ1209" s="29"/>
      <c r="AK1209" s="29"/>
      <c r="AL1209" s="29"/>
      <c r="AM1209" s="29"/>
      <c r="AN1209" s="29"/>
      <c r="AO1209" s="29"/>
      <c r="AP1209" s="29"/>
      <c r="AQ1209" s="29"/>
      <c r="AR1209" s="29"/>
      <c r="AS1209" s="29"/>
      <c r="AT1209" s="29"/>
      <c r="AU1209" s="29"/>
      <c r="AV1209" s="29"/>
      <c r="AW1209" s="29"/>
      <c r="AX1209" s="29"/>
    </row>
    <row r="1210" spans="1:50" ht="15.75" x14ac:dyDescent="0.25">
      <c r="A1210" s="29"/>
      <c r="B1210" s="29"/>
      <c r="C1210" s="312"/>
      <c r="D1210" s="312"/>
      <c r="E1210" s="312"/>
      <c r="F1210" s="312"/>
      <c r="G1210" s="312"/>
      <c r="H1210" s="29"/>
      <c r="I1210" s="29"/>
      <c r="J1210" s="14"/>
      <c r="K1210" s="14"/>
      <c r="L1210" s="29"/>
      <c r="M1210" s="29"/>
      <c r="N1210" s="29"/>
      <c r="O1210" s="29"/>
      <c r="P1210" s="29"/>
      <c r="Q1210" s="29"/>
      <c r="R1210" s="29"/>
      <c r="S1210" s="29"/>
      <c r="T1210" s="29"/>
      <c r="U1210" s="29"/>
      <c r="V1210" s="29"/>
      <c r="W1210" s="29"/>
      <c r="X1210" s="29"/>
      <c r="Y1210" s="29"/>
      <c r="Z1210" s="29"/>
      <c r="AA1210" s="29"/>
      <c r="AB1210" s="29"/>
      <c r="AC1210" s="29"/>
      <c r="AD1210" s="29"/>
      <c r="AE1210" s="29"/>
      <c r="AF1210" s="29"/>
      <c r="AG1210" s="29"/>
      <c r="AH1210" s="29"/>
      <c r="AI1210" s="29"/>
      <c r="AJ1210" s="29"/>
      <c r="AK1210" s="29"/>
      <c r="AL1210" s="29"/>
      <c r="AM1210" s="29"/>
      <c r="AN1210" s="29"/>
      <c r="AO1210" s="29"/>
      <c r="AP1210" s="29"/>
      <c r="AQ1210" s="29"/>
      <c r="AR1210" s="29"/>
      <c r="AS1210" s="29"/>
      <c r="AT1210" s="29"/>
      <c r="AU1210" s="29"/>
      <c r="AV1210" s="29"/>
      <c r="AW1210" s="29"/>
      <c r="AX1210" s="29"/>
    </row>
    <row r="1211" spans="1:50" ht="15.75" x14ac:dyDescent="0.25">
      <c r="A1211" s="29"/>
      <c r="B1211" s="29"/>
      <c r="C1211" s="312"/>
      <c r="D1211" s="312"/>
      <c r="E1211" s="312"/>
      <c r="F1211" s="312"/>
      <c r="G1211" s="312"/>
      <c r="H1211" s="29"/>
      <c r="I1211" s="29"/>
      <c r="J1211" s="14"/>
      <c r="K1211" s="14"/>
      <c r="L1211" s="29"/>
      <c r="M1211" s="29"/>
      <c r="N1211" s="29"/>
      <c r="O1211" s="29"/>
      <c r="P1211" s="29"/>
      <c r="Q1211" s="29"/>
      <c r="R1211" s="29"/>
      <c r="S1211" s="29"/>
      <c r="T1211" s="29"/>
      <c r="U1211" s="29"/>
      <c r="V1211" s="29"/>
      <c r="W1211" s="29"/>
      <c r="X1211" s="29"/>
      <c r="Y1211" s="29"/>
      <c r="Z1211" s="29"/>
      <c r="AA1211" s="29"/>
      <c r="AB1211" s="29"/>
      <c r="AC1211" s="29"/>
      <c r="AD1211" s="29"/>
      <c r="AE1211" s="29"/>
      <c r="AF1211" s="29"/>
      <c r="AG1211" s="29"/>
      <c r="AH1211" s="29"/>
      <c r="AI1211" s="29"/>
      <c r="AJ1211" s="29"/>
      <c r="AK1211" s="29"/>
      <c r="AL1211" s="29"/>
      <c r="AM1211" s="29"/>
      <c r="AN1211" s="29"/>
      <c r="AO1211" s="29"/>
      <c r="AP1211" s="29"/>
      <c r="AQ1211" s="29"/>
      <c r="AR1211" s="29"/>
      <c r="AS1211" s="29"/>
      <c r="AT1211" s="29"/>
      <c r="AU1211" s="29"/>
      <c r="AV1211" s="29"/>
      <c r="AW1211" s="29"/>
      <c r="AX1211" s="29"/>
    </row>
    <row r="1212" spans="1:50" ht="15.75" x14ac:dyDescent="0.25">
      <c r="A1212" s="29"/>
      <c r="B1212" s="29"/>
      <c r="C1212" s="312"/>
      <c r="D1212" s="312"/>
      <c r="E1212" s="312"/>
      <c r="F1212" s="312"/>
      <c r="G1212" s="312"/>
      <c r="H1212" s="29"/>
      <c r="I1212" s="29"/>
      <c r="J1212" s="14"/>
      <c r="K1212" s="14"/>
      <c r="L1212" s="29"/>
      <c r="M1212" s="29"/>
      <c r="N1212" s="29"/>
      <c r="O1212" s="29"/>
      <c r="P1212" s="29"/>
      <c r="Q1212" s="29"/>
      <c r="R1212" s="29"/>
      <c r="S1212" s="29"/>
      <c r="T1212" s="29"/>
      <c r="U1212" s="29"/>
      <c r="V1212" s="29"/>
      <c r="W1212" s="29"/>
      <c r="X1212" s="29"/>
      <c r="Y1212" s="29"/>
      <c r="Z1212" s="29"/>
      <c r="AA1212" s="29"/>
      <c r="AB1212" s="29"/>
      <c r="AC1212" s="29"/>
      <c r="AD1212" s="29"/>
      <c r="AE1212" s="29"/>
      <c r="AF1212" s="29"/>
      <c r="AG1212" s="29"/>
      <c r="AH1212" s="29"/>
      <c r="AI1212" s="29"/>
      <c r="AJ1212" s="29"/>
      <c r="AK1212" s="29"/>
      <c r="AL1212" s="29"/>
      <c r="AM1212" s="29"/>
      <c r="AN1212" s="29"/>
      <c r="AO1212" s="29"/>
      <c r="AP1212" s="29"/>
      <c r="AQ1212" s="29"/>
      <c r="AR1212" s="29"/>
      <c r="AS1212" s="29"/>
      <c r="AT1212" s="29"/>
      <c r="AU1212" s="29"/>
      <c r="AV1212" s="29"/>
      <c r="AW1212" s="29"/>
      <c r="AX1212" s="29"/>
    </row>
    <row r="1213" spans="1:50" ht="15.75" x14ac:dyDescent="0.25">
      <c r="A1213" s="29"/>
      <c r="B1213" s="29"/>
      <c r="C1213" s="312"/>
      <c r="D1213" s="312"/>
      <c r="E1213" s="312"/>
      <c r="F1213" s="312"/>
      <c r="G1213" s="312"/>
      <c r="H1213" s="29"/>
      <c r="I1213" s="29"/>
      <c r="J1213" s="14"/>
      <c r="K1213" s="14"/>
      <c r="L1213" s="29"/>
      <c r="M1213" s="29"/>
      <c r="N1213" s="29"/>
      <c r="O1213" s="29"/>
      <c r="P1213" s="29"/>
      <c r="Q1213" s="29"/>
      <c r="R1213" s="29"/>
      <c r="S1213" s="29"/>
      <c r="T1213" s="29"/>
      <c r="U1213" s="29"/>
      <c r="V1213" s="29"/>
      <c r="W1213" s="29"/>
      <c r="X1213" s="29"/>
      <c r="Y1213" s="29"/>
      <c r="Z1213" s="29"/>
      <c r="AA1213" s="29"/>
      <c r="AB1213" s="29"/>
      <c r="AC1213" s="29"/>
      <c r="AD1213" s="29"/>
      <c r="AE1213" s="29"/>
      <c r="AF1213" s="29"/>
      <c r="AG1213" s="29"/>
      <c r="AH1213" s="29"/>
      <c r="AI1213" s="29"/>
      <c r="AJ1213" s="29"/>
      <c r="AK1213" s="29"/>
      <c r="AL1213" s="29"/>
      <c r="AM1213" s="29"/>
      <c r="AN1213" s="29"/>
      <c r="AO1213" s="29"/>
      <c r="AP1213" s="29"/>
      <c r="AQ1213" s="29"/>
      <c r="AR1213" s="29"/>
      <c r="AS1213" s="29"/>
      <c r="AT1213" s="29"/>
      <c r="AU1213" s="29"/>
      <c r="AV1213" s="29"/>
      <c r="AW1213" s="29"/>
      <c r="AX1213" s="29"/>
    </row>
    <row r="1214" spans="1:50" ht="15.75" x14ac:dyDescent="0.25">
      <c r="A1214" s="29"/>
      <c r="B1214" s="29"/>
      <c r="C1214" s="312"/>
      <c r="D1214" s="312"/>
      <c r="E1214" s="312"/>
      <c r="F1214" s="312"/>
      <c r="G1214" s="312"/>
      <c r="H1214" s="29"/>
      <c r="I1214" s="29"/>
      <c r="J1214" s="14"/>
      <c r="K1214" s="14"/>
      <c r="L1214" s="29"/>
      <c r="M1214" s="29"/>
      <c r="N1214" s="29"/>
      <c r="O1214" s="29"/>
      <c r="P1214" s="29"/>
      <c r="Q1214" s="29"/>
      <c r="R1214" s="29"/>
      <c r="S1214" s="29"/>
      <c r="T1214" s="29"/>
      <c r="U1214" s="29"/>
      <c r="V1214" s="29"/>
      <c r="W1214" s="29"/>
      <c r="X1214" s="29"/>
      <c r="Y1214" s="29"/>
      <c r="Z1214" s="29"/>
      <c r="AA1214" s="29"/>
      <c r="AB1214" s="29"/>
      <c r="AC1214" s="29"/>
      <c r="AD1214" s="29"/>
      <c r="AE1214" s="29"/>
      <c r="AF1214" s="29"/>
      <c r="AG1214" s="29"/>
      <c r="AH1214" s="29"/>
      <c r="AI1214" s="29"/>
      <c r="AJ1214" s="29"/>
      <c r="AK1214" s="29"/>
      <c r="AL1214" s="29"/>
      <c r="AM1214" s="29"/>
      <c r="AN1214" s="29"/>
      <c r="AO1214" s="29"/>
      <c r="AP1214" s="29"/>
      <c r="AQ1214" s="29"/>
      <c r="AR1214" s="29"/>
      <c r="AS1214" s="29"/>
      <c r="AT1214" s="29"/>
      <c r="AU1214" s="29"/>
      <c r="AV1214" s="29"/>
      <c r="AW1214" s="29"/>
      <c r="AX1214" s="29"/>
    </row>
    <row r="1215" spans="1:50" ht="15.75" x14ac:dyDescent="0.25">
      <c r="A1215" s="29"/>
      <c r="B1215" s="29"/>
      <c r="C1215" s="312"/>
      <c r="D1215" s="312"/>
      <c r="E1215" s="312"/>
      <c r="F1215" s="312"/>
      <c r="G1215" s="312"/>
      <c r="H1215" s="29"/>
      <c r="I1215" s="29"/>
      <c r="J1215" s="14"/>
      <c r="K1215" s="14"/>
      <c r="L1215" s="29"/>
      <c r="M1215" s="29"/>
      <c r="N1215" s="29"/>
      <c r="O1215" s="29"/>
      <c r="P1215" s="29"/>
      <c r="Q1215" s="29"/>
      <c r="R1215" s="29"/>
      <c r="S1215" s="29"/>
      <c r="T1215" s="29"/>
      <c r="U1215" s="29"/>
      <c r="V1215" s="29"/>
      <c r="W1215" s="29"/>
      <c r="X1215" s="29"/>
      <c r="Y1215" s="29"/>
      <c r="Z1215" s="29"/>
      <c r="AA1215" s="29"/>
      <c r="AB1215" s="29"/>
      <c r="AC1215" s="29"/>
      <c r="AD1215" s="29"/>
      <c r="AE1215" s="29"/>
      <c r="AF1215" s="29"/>
      <c r="AG1215" s="29"/>
      <c r="AH1215" s="29"/>
      <c r="AI1215" s="29"/>
      <c r="AJ1215" s="29"/>
      <c r="AK1215" s="29"/>
      <c r="AL1215" s="29"/>
      <c r="AM1215" s="29"/>
      <c r="AN1215" s="29"/>
      <c r="AO1215" s="29"/>
      <c r="AP1215" s="29"/>
      <c r="AQ1215" s="29"/>
      <c r="AR1215" s="29"/>
      <c r="AS1215" s="29"/>
      <c r="AT1215" s="29"/>
      <c r="AU1215" s="29"/>
      <c r="AV1215" s="29"/>
      <c r="AW1215" s="29"/>
      <c r="AX1215" s="29"/>
    </row>
    <row r="1216" spans="1:50" ht="15.75" x14ac:dyDescent="0.25">
      <c r="A1216" s="29"/>
      <c r="B1216" s="29"/>
      <c r="C1216" s="312"/>
      <c r="D1216" s="312"/>
      <c r="E1216" s="312"/>
      <c r="F1216" s="312"/>
      <c r="G1216" s="312"/>
      <c r="H1216" s="29"/>
      <c r="I1216" s="29"/>
      <c r="J1216" s="14"/>
      <c r="K1216" s="14"/>
      <c r="L1216" s="29"/>
      <c r="M1216" s="29"/>
      <c r="N1216" s="29"/>
      <c r="O1216" s="29"/>
      <c r="P1216" s="29"/>
      <c r="Q1216" s="29"/>
      <c r="R1216" s="29"/>
      <c r="S1216" s="29"/>
      <c r="T1216" s="29"/>
      <c r="U1216" s="29"/>
      <c r="V1216" s="29"/>
      <c r="W1216" s="29"/>
      <c r="X1216" s="29"/>
      <c r="Y1216" s="29"/>
      <c r="Z1216" s="29"/>
      <c r="AA1216" s="29"/>
      <c r="AB1216" s="29"/>
      <c r="AC1216" s="29"/>
      <c r="AD1216" s="29"/>
      <c r="AE1216" s="29"/>
      <c r="AF1216" s="29"/>
      <c r="AG1216" s="29"/>
      <c r="AH1216" s="29"/>
      <c r="AI1216" s="29"/>
      <c r="AJ1216" s="29"/>
      <c r="AK1216" s="29"/>
      <c r="AL1216" s="29"/>
      <c r="AM1216" s="29"/>
      <c r="AN1216" s="29"/>
      <c r="AO1216" s="29"/>
      <c r="AP1216" s="29"/>
      <c r="AQ1216" s="29"/>
      <c r="AR1216" s="29"/>
      <c r="AS1216" s="29"/>
      <c r="AT1216" s="29"/>
      <c r="AU1216" s="29"/>
      <c r="AV1216" s="29"/>
      <c r="AW1216" s="29"/>
      <c r="AX1216" s="29"/>
    </row>
    <row r="1217" spans="1:50" ht="15.75" x14ac:dyDescent="0.25">
      <c r="A1217" s="29"/>
      <c r="B1217" s="29"/>
      <c r="C1217" s="312"/>
      <c r="D1217" s="312"/>
      <c r="E1217" s="312"/>
      <c r="F1217" s="312"/>
      <c r="G1217" s="312"/>
      <c r="H1217" s="29"/>
      <c r="I1217" s="29"/>
      <c r="J1217" s="14"/>
      <c r="K1217" s="14"/>
      <c r="L1217" s="29"/>
      <c r="M1217" s="29"/>
      <c r="N1217" s="29"/>
      <c r="O1217" s="29"/>
      <c r="P1217" s="29"/>
      <c r="Q1217" s="29"/>
      <c r="R1217" s="29"/>
      <c r="S1217" s="29"/>
      <c r="T1217" s="29"/>
      <c r="U1217" s="29"/>
      <c r="V1217" s="29"/>
      <c r="W1217" s="29"/>
      <c r="X1217" s="29"/>
      <c r="Y1217" s="29"/>
      <c r="Z1217" s="29"/>
      <c r="AA1217" s="29"/>
      <c r="AB1217" s="29"/>
      <c r="AC1217" s="29"/>
      <c r="AD1217" s="29"/>
      <c r="AE1217" s="29"/>
      <c r="AF1217" s="29"/>
      <c r="AG1217" s="29"/>
      <c r="AH1217" s="29"/>
      <c r="AI1217" s="29"/>
      <c r="AJ1217" s="29"/>
      <c r="AK1217" s="29"/>
      <c r="AL1217" s="29"/>
      <c r="AM1217" s="29"/>
      <c r="AN1217" s="29"/>
      <c r="AO1217" s="29"/>
      <c r="AP1217" s="29"/>
      <c r="AQ1217" s="29"/>
      <c r="AR1217" s="29"/>
      <c r="AS1217" s="29"/>
      <c r="AT1217" s="29"/>
      <c r="AU1217" s="29"/>
      <c r="AV1217" s="29"/>
      <c r="AW1217" s="29"/>
      <c r="AX1217" s="29"/>
    </row>
    <row r="1218" spans="1:50" ht="15.75" x14ac:dyDescent="0.25">
      <c r="A1218" s="29"/>
      <c r="B1218" s="29"/>
      <c r="C1218" s="312"/>
      <c r="D1218" s="312"/>
      <c r="E1218" s="312"/>
      <c r="F1218" s="312"/>
      <c r="G1218" s="312"/>
      <c r="H1218" s="29"/>
      <c r="I1218" s="29"/>
      <c r="J1218" s="14"/>
      <c r="K1218" s="14"/>
      <c r="L1218" s="29"/>
      <c r="M1218" s="29"/>
      <c r="N1218" s="29"/>
      <c r="O1218" s="29"/>
      <c r="P1218" s="29"/>
      <c r="Q1218" s="29"/>
      <c r="R1218" s="29"/>
      <c r="S1218" s="29"/>
      <c r="T1218" s="29"/>
      <c r="U1218" s="29"/>
      <c r="V1218" s="29"/>
      <c r="W1218" s="29"/>
      <c r="X1218" s="29"/>
      <c r="Y1218" s="29"/>
      <c r="Z1218" s="29"/>
      <c r="AA1218" s="29"/>
      <c r="AB1218" s="29"/>
      <c r="AC1218" s="29"/>
      <c r="AD1218" s="29"/>
      <c r="AE1218" s="29"/>
      <c r="AF1218" s="29"/>
      <c r="AG1218" s="29"/>
      <c r="AH1218" s="29"/>
      <c r="AI1218" s="29"/>
      <c r="AJ1218" s="29"/>
      <c r="AK1218" s="29"/>
      <c r="AL1218" s="29"/>
      <c r="AM1218" s="29"/>
      <c r="AN1218" s="29"/>
      <c r="AO1218" s="29"/>
      <c r="AP1218" s="29"/>
      <c r="AQ1218" s="29"/>
      <c r="AR1218" s="29"/>
      <c r="AS1218" s="29"/>
      <c r="AT1218" s="29"/>
      <c r="AU1218" s="29"/>
      <c r="AV1218" s="29"/>
      <c r="AW1218" s="29"/>
      <c r="AX1218" s="29"/>
    </row>
    <row r="1219" spans="1:50" ht="15.75" x14ac:dyDescent="0.25">
      <c r="A1219" s="29"/>
      <c r="B1219" s="29"/>
      <c r="C1219" s="312"/>
      <c r="D1219" s="312"/>
      <c r="E1219" s="312"/>
      <c r="F1219" s="312"/>
      <c r="G1219" s="312"/>
      <c r="H1219" s="29"/>
      <c r="I1219" s="29"/>
      <c r="J1219" s="14"/>
      <c r="K1219" s="14"/>
      <c r="L1219" s="29"/>
      <c r="M1219" s="29"/>
      <c r="N1219" s="29"/>
      <c r="O1219" s="29"/>
      <c r="P1219" s="29"/>
      <c r="Q1219" s="29"/>
      <c r="R1219" s="29"/>
      <c r="S1219" s="29"/>
      <c r="T1219" s="29"/>
      <c r="U1219" s="29"/>
      <c r="V1219" s="29"/>
      <c r="W1219" s="29"/>
      <c r="X1219" s="29"/>
      <c r="Y1219" s="29"/>
      <c r="Z1219" s="29"/>
      <c r="AA1219" s="29"/>
      <c r="AB1219" s="29"/>
      <c r="AC1219" s="29"/>
      <c r="AD1219" s="29"/>
      <c r="AE1219" s="29"/>
      <c r="AF1219" s="29"/>
      <c r="AG1219" s="29"/>
      <c r="AH1219" s="29"/>
      <c r="AI1219" s="29"/>
      <c r="AJ1219" s="29"/>
      <c r="AK1219" s="29"/>
      <c r="AL1219" s="29"/>
      <c r="AM1219" s="29"/>
      <c r="AN1219" s="29"/>
      <c r="AO1219" s="29"/>
      <c r="AP1219" s="29"/>
      <c r="AQ1219" s="29"/>
      <c r="AR1219" s="29"/>
      <c r="AS1219" s="29"/>
      <c r="AT1219" s="29"/>
      <c r="AU1219" s="29"/>
      <c r="AV1219" s="29"/>
      <c r="AW1219" s="29"/>
      <c r="AX1219" s="29"/>
    </row>
    <row r="1220" spans="1:50" ht="15.75" x14ac:dyDescent="0.25">
      <c r="A1220" s="29"/>
      <c r="B1220" s="29"/>
      <c r="C1220" s="312"/>
      <c r="D1220" s="312"/>
      <c r="E1220" s="312"/>
      <c r="F1220" s="312"/>
      <c r="G1220" s="312"/>
      <c r="H1220" s="29"/>
      <c r="I1220" s="29"/>
      <c r="J1220" s="14"/>
      <c r="K1220" s="14"/>
      <c r="L1220" s="29"/>
      <c r="M1220" s="29"/>
      <c r="N1220" s="29"/>
      <c r="O1220" s="29"/>
      <c r="P1220" s="29"/>
      <c r="Q1220" s="29"/>
      <c r="R1220" s="29"/>
      <c r="S1220" s="29"/>
      <c r="T1220" s="29"/>
      <c r="U1220" s="29"/>
      <c r="V1220" s="29"/>
      <c r="W1220" s="29"/>
      <c r="X1220" s="29"/>
      <c r="Y1220" s="29"/>
      <c r="Z1220" s="29"/>
      <c r="AA1220" s="29"/>
      <c r="AB1220" s="29"/>
      <c r="AC1220" s="29"/>
      <c r="AD1220" s="29"/>
      <c r="AE1220" s="29"/>
      <c r="AF1220" s="29"/>
      <c r="AG1220" s="29"/>
      <c r="AH1220" s="29"/>
      <c r="AI1220" s="29"/>
      <c r="AJ1220" s="29"/>
      <c r="AK1220" s="29"/>
      <c r="AL1220" s="29"/>
      <c r="AM1220" s="29"/>
      <c r="AN1220" s="29"/>
      <c r="AO1220" s="29"/>
      <c r="AP1220" s="29"/>
      <c r="AQ1220" s="29"/>
      <c r="AR1220" s="29"/>
      <c r="AS1220" s="29"/>
      <c r="AT1220" s="29"/>
      <c r="AU1220" s="29"/>
      <c r="AV1220" s="29"/>
      <c r="AW1220" s="29"/>
      <c r="AX1220" s="29"/>
    </row>
    <row r="1221" spans="1:50" ht="15.75" x14ac:dyDescent="0.25">
      <c r="A1221" s="29"/>
      <c r="B1221" s="29"/>
      <c r="C1221" s="312"/>
      <c r="D1221" s="312"/>
      <c r="E1221" s="312"/>
      <c r="F1221" s="312"/>
      <c r="G1221" s="312"/>
      <c r="H1221" s="29"/>
      <c r="I1221" s="29"/>
      <c r="J1221" s="14"/>
      <c r="K1221" s="14"/>
      <c r="L1221" s="29"/>
      <c r="M1221" s="29"/>
      <c r="N1221" s="29"/>
      <c r="O1221" s="29"/>
      <c r="P1221" s="29"/>
      <c r="Q1221" s="29"/>
      <c r="R1221" s="29"/>
      <c r="S1221" s="29"/>
      <c r="T1221" s="29"/>
      <c r="U1221" s="29"/>
      <c r="V1221" s="29"/>
      <c r="W1221" s="29"/>
      <c r="X1221" s="29"/>
      <c r="Y1221" s="29"/>
      <c r="Z1221" s="29"/>
      <c r="AA1221" s="29"/>
      <c r="AB1221" s="29"/>
      <c r="AC1221" s="29"/>
      <c r="AD1221" s="29"/>
      <c r="AE1221" s="29"/>
      <c r="AF1221" s="29"/>
      <c r="AG1221" s="29"/>
      <c r="AH1221" s="29"/>
      <c r="AI1221" s="29"/>
      <c r="AJ1221" s="29"/>
      <c r="AK1221" s="29"/>
      <c r="AL1221" s="29"/>
      <c r="AM1221" s="29"/>
      <c r="AN1221" s="29"/>
      <c r="AO1221" s="29"/>
      <c r="AP1221" s="29"/>
      <c r="AQ1221" s="29"/>
      <c r="AR1221" s="29"/>
      <c r="AS1221" s="29"/>
      <c r="AT1221" s="29"/>
      <c r="AU1221" s="29"/>
      <c r="AV1221" s="29"/>
      <c r="AW1221" s="29"/>
      <c r="AX1221" s="29"/>
    </row>
    <row r="1222" spans="1:50" ht="15.75" x14ac:dyDescent="0.25">
      <c r="A1222" s="29"/>
      <c r="B1222" s="29"/>
      <c r="C1222" s="312"/>
      <c r="D1222" s="312"/>
      <c r="E1222" s="312"/>
      <c r="F1222" s="312"/>
      <c r="G1222" s="312"/>
      <c r="H1222" s="29"/>
      <c r="I1222" s="29"/>
      <c r="J1222" s="14"/>
      <c r="K1222" s="14"/>
      <c r="L1222" s="29"/>
      <c r="M1222" s="29"/>
      <c r="N1222" s="29"/>
      <c r="O1222" s="29"/>
      <c r="P1222" s="29"/>
      <c r="Q1222" s="29"/>
      <c r="R1222" s="29"/>
      <c r="S1222" s="29"/>
      <c r="T1222" s="29"/>
      <c r="U1222" s="29"/>
      <c r="V1222" s="29"/>
      <c r="W1222" s="29"/>
      <c r="X1222" s="29"/>
      <c r="Y1222" s="29"/>
      <c r="Z1222" s="29"/>
      <c r="AA1222" s="29"/>
      <c r="AB1222" s="29"/>
      <c r="AC1222" s="29"/>
      <c r="AD1222" s="29"/>
      <c r="AE1222" s="29"/>
      <c r="AF1222" s="29"/>
      <c r="AG1222" s="29"/>
      <c r="AH1222" s="29"/>
      <c r="AI1222" s="29"/>
      <c r="AJ1222" s="29"/>
      <c r="AK1222" s="29"/>
      <c r="AL1222" s="29"/>
      <c r="AM1222" s="29"/>
      <c r="AN1222" s="29"/>
      <c r="AO1222" s="29"/>
      <c r="AP1222" s="29"/>
      <c r="AQ1222" s="29"/>
      <c r="AR1222" s="29"/>
      <c r="AS1222" s="29"/>
      <c r="AT1222" s="29"/>
      <c r="AU1222" s="29"/>
      <c r="AV1222" s="29"/>
      <c r="AW1222" s="29"/>
      <c r="AX1222" s="29"/>
    </row>
    <row r="1223" spans="1:50" ht="15.75" x14ac:dyDescent="0.25">
      <c r="A1223" s="29"/>
      <c r="B1223" s="29"/>
      <c r="C1223" s="312"/>
      <c r="D1223" s="312"/>
      <c r="E1223" s="312"/>
      <c r="F1223" s="312"/>
      <c r="G1223" s="312"/>
      <c r="H1223" s="29"/>
      <c r="I1223" s="29"/>
      <c r="J1223" s="14"/>
      <c r="K1223" s="14"/>
      <c r="L1223" s="29"/>
      <c r="M1223" s="29"/>
      <c r="N1223" s="29"/>
      <c r="O1223" s="29"/>
      <c r="P1223" s="29"/>
      <c r="Q1223" s="29"/>
      <c r="R1223" s="29"/>
      <c r="S1223" s="29"/>
      <c r="T1223" s="29"/>
      <c r="U1223" s="29"/>
      <c r="V1223" s="29"/>
      <c r="W1223" s="29"/>
      <c r="X1223" s="29"/>
      <c r="Y1223" s="29"/>
      <c r="Z1223" s="29"/>
      <c r="AA1223" s="29"/>
      <c r="AB1223" s="29"/>
      <c r="AC1223" s="29"/>
      <c r="AD1223" s="29"/>
      <c r="AE1223" s="29"/>
      <c r="AF1223" s="29"/>
      <c r="AG1223" s="29"/>
      <c r="AH1223" s="29"/>
      <c r="AI1223" s="29"/>
      <c r="AJ1223" s="29"/>
      <c r="AK1223" s="29"/>
      <c r="AL1223" s="29"/>
      <c r="AM1223" s="29"/>
      <c r="AN1223" s="29"/>
      <c r="AO1223" s="29"/>
      <c r="AP1223" s="29"/>
      <c r="AQ1223" s="29"/>
      <c r="AR1223" s="29"/>
      <c r="AS1223" s="29"/>
      <c r="AT1223" s="29"/>
      <c r="AU1223" s="29"/>
      <c r="AV1223" s="29"/>
      <c r="AW1223" s="29"/>
      <c r="AX1223" s="29"/>
    </row>
    <row r="1224" spans="1:50" ht="15.75" x14ac:dyDescent="0.25">
      <c r="A1224" s="29"/>
      <c r="B1224" s="29"/>
      <c r="C1224" s="312"/>
      <c r="D1224" s="312"/>
      <c r="E1224" s="312"/>
      <c r="F1224" s="312"/>
      <c r="G1224" s="312"/>
      <c r="H1224" s="29"/>
      <c r="I1224" s="29"/>
      <c r="J1224" s="14"/>
      <c r="K1224" s="14"/>
      <c r="L1224" s="29"/>
      <c r="M1224" s="29"/>
      <c r="N1224" s="29"/>
      <c r="O1224" s="29"/>
      <c r="P1224" s="29"/>
      <c r="Q1224" s="29"/>
      <c r="R1224" s="29"/>
      <c r="S1224" s="29"/>
      <c r="T1224" s="29"/>
      <c r="U1224" s="29"/>
      <c r="V1224" s="29"/>
      <c r="W1224" s="29"/>
      <c r="X1224" s="29"/>
      <c r="Y1224" s="29"/>
      <c r="Z1224" s="29"/>
      <c r="AA1224" s="29"/>
      <c r="AB1224" s="29"/>
      <c r="AC1224" s="29"/>
      <c r="AD1224" s="29"/>
      <c r="AE1224" s="29"/>
      <c r="AF1224" s="29"/>
      <c r="AG1224" s="29"/>
      <c r="AH1224" s="29"/>
      <c r="AI1224" s="29"/>
      <c r="AJ1224" s="29"/>
      <c r="AK1224" s="29"/>
      <c r="AL1224" s="29"/>
      <c r="AM1224" s="29"/>
      <c r="AN1224" s="29"/>
      <c r="AO1224" s="29"/>
      <c r="AP1224" s="29"/>
      <c r="AQ1224" s="29"/>
      <c r="AR1224" s="29"/>
      <c r="AS1224" s="29"/>
      <c r="AT1224" s="29"/>
      <c r="AU1224" s="29"/>
      <c r="AV1224" s="29"/>
      <c r="AW1224" s="29"/>
      <c r="AX1224" s="29"/>
    </row>
    <row r="1225" spans="1:50" ht="15.75" x14ac:dyDescent="0.25">
      <c r="A1225" s="29"/>
      <c r="B1225" s="29"/>
      <c r="C1225" s="312"/>
      <c r="D1225" s="312"/>
      <c r="E1225" s="312"/>
      <c r="F1225" s="312"/>
      <c r="G1225" s="312"/>
      <c r="H1225" s="29"/>
      <c r="I1225" s="29"/>
      <c r="J1225" s="14"/>
      <c r="K1225" s="14"/>
      <c r="L1225" s="29"/>
      <c r="M1225" s="29"/>
      <c r="N1225" s="29"/>
      <c r="O1225" s="29"/>
      <c r="P1225" s="29"/>
      <c r="Q1225" s="29"/>
      <c r="R1225" s="29"/>
      <c r="S1225" s="29"/>
      <c r="T1225" s="29"/>
      <c r="U1225" s="29"/>
      <c r="V1225" s="29"/>
      <c r="W1225" s="29"/>
      <c r="X1225" s="29"/>
      <c r="Y1225" s="29"/>
      <c r="Z1225" s="29"/>
      <c r="AA1225" s="29"/>
      <c r="AB1225" s="29"/>
      <c r="AC1225" s="29"/>
      <c r="AD1225" s="29"/>
      <c r="AE1225" s="29"/>
      <c r="AF1225" s="29"/>
      <c r="AG1225" s="29"/>
      <c r="AH1225" s="29"/>
      <c r="AI1225" s="29"/>
      <c r="AJ1225" s="29"/>
      <c r="AK1225" s="29"/>
      <c r="AL1225" s="29"/>
      <c r="AM1225" s="29"/>
      <c r="AN1225" s="29"/>
      <c r="AO1225" s="29"/>
      <c r="AP1225" s="29"/>
      <c r="AQ1225" s="29"/>
      <c r="AR1225" s="29"/>
      <c r="AS1225" s="29"/>
      <c r="AT1225" s="29"/>
      <c r="AU1225" s="29"/>
      <c r="AV1225" s="29"/>
      <c r="AW1225" s="29"/>
      <c r="AX1225" s="29"/>
    </row>
    <row r="1226" spans="1:50" ht="15.75" x14ac:dyDescent="0.25">
      <c r="A1226" s="29"/>
      <c r="B1226" s="29"/>
      <c r="C1226" s="312"/>
      <c r="D1226" s="312"/>
      <c r="E1226" s="312"/>
      <c r="F1226" s="312"/>
      <c r="G1226" s="312"/>
      <c r="H1226" s="29"/>
      <c r="I1226" s="29"/>
      <c r="J1226" s="14"/>
      <c r="K1226" s="14"/>
      <c r="L1226" s="29"/>
      <c r="M1226" s="29"/>
      <c r="N1226" s="29"/>
      <c r="O1226" s="29"/>
      <c r="P1226" s="29"/>
      <c r="Q1226" s="29"/>
      <c r="R1226" s="29"/>
      <c r="S1226" s="29"/>
      <c r="T1226" s="29"/>
      <c r="U1226" s="29"/>
      <c r="V1226" s="29"/>
      <c r="W1226" s="29"/>
      <c r="X1226" s="29"/>
      <c r="Y1226" s="29"/>
      <c r="Z1226" s="29"/>
      <c r="AA1226" s="29"/>
      <c r="AB1226" s="29"/>
      <c r="AC1226" s="29"/>
      <c r="AD1226" s="29"/>
      <c r="AE1226" s="29"/>
      <c r="AF1226" s="29"/>
      <c r="AG1226" s="29"/>
      <c r="AH1226" s="29"/>
      <c r="AI1226" s="29"/>
      <c r="AJ1226" s="29"/>
      <c r="AK1226" s="29"/>
      <c r="AL1226" s="29"/>
      <c r="AM1226" s="29"/>
      <c r="AN1226" s="29"/>
      <c r="AO1226" s="29"/>
      <c r="AP1226" s="29"/>
      <c r="AQ1226" s="29"/>
      <c r="AR1226" s="29"/>
      <c r="AS1226" s="29"/>
      <c r="AT1226" s="29"/>
      <c r="AU1226" s="29"/>
      <c r="AV1226" s="29"/>
      <c r="AW1226" s="29"/>
      <c r="AX1226" s="29"/>
    </row>
    <row r="1227" spans="1:50" ht="15.75" x14ac:dyDescent="0.25">
      <c r="A1227" s="29"/>
      <c r="B1227" s="29"/>
      <c r="C1227" s="312"/>
      <c r="D1227" s="312"/>
      <c r="E1227" s="312"/>
      <c r="F1227" s="312"/>
      <c r="G1227" s="312"/>
      <c r="H1227" s="29"/>
      <c r="I1227" s="29"/>
      <c r="J1227" s="14"/>
      <c r="K1227" s="14"/>
      <c r="L1227" s="29"/>
      <c r="M1227" s="29"/>
      <c r="N1227" s="29"/>
      <c r="O1227" s="29"/>
      <c r="P1227" s="29"/>
      <c r="Q1227" s="29"/>
      <c r="R1227" s="29"/>
      <c r="S1227" s="29"/>
      <c r="T1227" s="29"/>
      <c r="U1227" s="29"/>
      <c r="V1227" s="29"/>
      <c r="W1227" s="29"/>
      <c r="X1227" s="29"/>
      <c r="Y1227" s="29"/>
      <c r="Z1227" s="29"/>
      <c r="AA1227" s="29"/>
      <c r="AB1227" s="29"/>
      <c r="AC1227" s="29"/>
      <c r="AD1227" s="29"/>
      <c r="AE1227" s="29"/>
      <c r="AF1227" s="29"/>
      <c r="AG1227" s="29"/>
      <c r="AH1227" s="29"/>
      <c r="AI1227" s="29"/>
      <c r="AJ1227" s="29"/>
      <c r="AK1227" s="29"/>
      <c r="AL1227" s="29"/>
      <c r="AM1227" s="29"/>
      <c r="AN1227" s="29"/>
      <c r="AO1227" s="29"/>
      <c r="AP1227" s="29"/>
      <c r="AQ1227" s="29"/>
      <c r="AR1227" s="29"/>
      <c r="AS1227" s="29"/>
      <c r="AT1227" s="29"/>
      <c r="AU1227" s="29"/>
      <c r="AV1227" s="29"/>
      <c r="AW1227" s="29"/>
      <c r="AX1227" s="29"/>
    </row>
    <row r="1228" spans="1:50" ht="15.75" x14ac:dyDescent="0.25">
      <c r="A1228" s="29"/>
      <c r="B1228" s="29"/>
      <c r="C1228" s="312"/>
      <c r="D1228" s="312"/>
      <c r="E1228" s="312"/>
      <c r="F1228" s="312"/>
      <c r="G1228" s="312"/>
      <c r="H1228" s="29"/>
      <c r="I1228" s="29"/>
      <c r="J1228" s="14"/>
      <c r="K1228" s="14"/>
      <c r="L1228" s="29"/>
      <c r="M1228" s="29"/>
      <c r="N1228" s="29"/>
      <c r="O1228" s="29"/>
      <c r="P1228" s="29"/>
      <c r="Q1228" s="29"/>
      <c r="R1228" s="29"/>
      <c r="S1228" s="29"/>
      <c r="T1228" s="29"/>
      <c r="U1228" s="29"/>
      <c r="V1228" s="29"/>
      <c r="W1228" s="29"/>
      <c r="X1228" s="29"/>
      <c r="Y1228" s="29"/>
      <c r="Z1228" s="29"/>
      <c r="AA1228" s="29"/>
      <c r="AB1228" s="29"/>
      <c r="AC1228" s="29"/>
      <c r="AD1228" s="29"/>
      <c r="AE1228" s="29"/>
      <c r="AF1228" s="29"/>
      <c r="AG1228" s="29"/>
      <c r="AH1228" s="29"/>
      <c r="AI1228" s="29"/>
      <c r="AJ1228" s="29"/>
      <c r="AK1228" s="29"/>
      <c r="AL1228" s="29"/>
      <c r="AM1228" s="29"/>
      <c r="AN1228" s="29"/>
      <c r="AO1228" s="29"/>
      <c r="AP1228" s="29"/>
      <c r="AQ1228" s="29"/>
      <c r="AR1228" s="29"/>
      <c r="AS1228" s="29"/>
      <c r="AT1228" s="29"/>
      <c r="AU1228" s="29"/>
      <c r="AV1228" s="29"/>
      <c r="AW1228" s="29"/>
      <c r="AX1228" s="29"/>
    </row>
    <row r="1229" spans="1:50" ht="15.75" x14ac:dyDescent="0.25">
      <c r="A1229" s="29"/>
      <c r="B1229" s="29"/>
      <c r="C1229" s="312"/>
      <c r="D1229" s="312"/>
      <c r="E1229" s="312"/>
      <c r="F1229" s="312"/>
      <c r="G1229" s="312"/>
      <c r="H1229" s="29"/>
      <c r="I1229" s="29"/>
      <c r="J1229" s="14"/>
      <c r="K1229" s="14"/>
      <c r="L1229" s="29"/>
      <c r="M1229" s="29"/>
      <c r="N1229" s="29"/>
      <c r="O1229" s="29"/>
      <c r="P1229" s="29"/>
      <c r="Q1229" s="29"/>
      <c r="R1229" s="29"/>
      <c r="S1229" s="29"/>
      <c r="T1229" s="29"/>
      <c r="U1229" s="29"/>
      <c r="V1229" s="29"/>
      <c r="W1229" s="29"/>
      <c r="X1229" s="29"/>
      <c r="Y1229" s="29"/>
      <c r="Z1229" s="29"/>
      <c r="AA1229" s="29"/>
      <c r="AB1229" s="29"/>
      <c r="AC1229" s="29"/>
      <c r="AD1229" s="29"/>
      <c r="AE1229" s="29"/>
      <c r="AF1229" s="29"/>
      <c r="AG1229" s="29"/>
      <c r="AH1229" s="29"/>
      <c r="AI1229" s="29"/>
      <c r="AJ1229" s="29"/>
      <c r="AK1229" s="29"/>
      <c r="AL1229" s="29"/>
      <c r="AM1229" s="29"/>
      <c r="AN1229" s="29"/>
      <c r="AO1229" s="29"/>
      <c r="AP1229" s="29"/>
      <c r="AQ1229" s="29"/>
      <c r="AR1229" s="29"/>
      <c r="AS1229" s="29"/>
      <c r="AT1229" s="29"/>
      <c r="AU1229" s="29"/>
      <c r="AV1229" s="29"/>
      <c r="AW1229" s="29"/>
      <c r="AX1229" s="29"/>
    </row>
    <row r="1230" spans="1:50" ht="15.75" x14ac:dyDescent="0.25">
      <c r="A1230" s="29"/>
      <c r="B1230" s="29"/>
      <c r="C1230" s="312"/>
      <c r="D1230" s="312"/>
      <c r="E1230" s="312"/>
      <c r="F1230" s="312"/>
      <c r="G1230" s="312"/>
      <c r="H1230" s="29"/>
      <c r="I1230" s="29"/>
      <c r="J1230" s="14"/>
      <c r="K1230" s="14"/>
      <c r="L1230" s="29"/>
      <c r="M1230" s="29"/>
      <c r="N1230" s="29"/>
      <c r="O1230" s="29"/>
      <c r="P1230" s="29"/>
      <c r="Q1230" s="29"/>
      <c r="R1230" s="29"/>
      <c r="S1230" s="29"/>
      <c r="T1230" s="29"/>
      <c r="U1230" s="29"/>
      <c r="V1230" s="29"/>
      <c r="W1230" s="29"/>
      <c r="X1230" s="29"/>
      <c r="Y1230" s="29"/>
      <c r="Z1230" s="29"/>
      <c r="AA1230" s="29"/>
      <c r="AB1230" s="29"/>
      <c r="AC1230" s="29"/>
      <c r="AD1230" s="29"/>
      <c r="AE1230" s="29"/>
      <c r="AF1230" s="29"/>
      <c r="AG1230" s="29"/>
      <c r="AH1230" s="29"/>
      <c r="AI1230" s="29"/>
      <c r="AJ1230" s="29"/>
      <c r="AK1230" s="29"/>
      <c r="AL1230" s="29"/>
      <c r="AM1230" s="29"/>
      <c r="AN1230" s="29"/>
      <c r="AO1230" s="29"/>
      <c r="AP1230" s="29"/>
      <c r="AQ1230" s="29"/>
      <c r="AR1230" s="29"/>
      <c r="AS1230" s="29"/>
      <c r="AT1230" s="29"/>
      <c r="AU1230" s="29"/>
      <c r="AV1230" s="29"/>
      <c r="AW1230" s="29"/>
      <c r="AX1230" s="29"/>
    </row>
    <row r="1231" spans="1:50" ht="15.75" x14ac:dyDescent="0.25">
      <c r="A1231" s="29"/>
      <c r="B1231" s="29"/>
      <c r="C1231" s="312"/>
      <c r="D1231" s="312"/>
      <c r="E1231" s="312"/>
      <c r="F1231" s="312"/>
      <c r="G1231" s="312"/>
      <c r="H1231" s="29"/>
      <c r="I1231" s="29"/>
      <c r="J1231" s="14"/>
      <c r="K1231" s="14"/>
      <c r="L1231" s="29"/>
      <c r="M1231" s="29"/>
      <c r="N1231" s="29"/>
      <c r="O1231" s="29"/>
      <c r="P1231" s="29"/>
      <c r="Q1231" s="29"/>
      <c r="R1231" s="29"/>
      <c r="S1231" s="29"/>
      <c r="T1231" s="29"/>
      <c r="U1231" s="29"/>
      <c r="V1231" s="29"/>
      <c r="W1231" s="29"/>
      <c r="X1231" s="29"/>
      <c r="Y1231" s="29"/>
      <c r="Z1231" s="29"/>
      <c r="AA1231" s="29"/>
      <c r="AB1231" s="29"/>
      <c r="AC1231" s="29"/>
      <c r="AD1231" s="29"/>
      <c r="AE1231" s="29"/>
      <c r="AF1231" s="29"/>
      <c r="AG1231" s="29"/>
      <c r="AH1231" s="29"/>
      <c r="AI1231" s="29"/>
      <c r="AJ1231" s="29"/>
      <c r="AK1231" s="29"/>
      <c r="AL1231" s="29"/>
      <c r="AM1231" s="29"/>
      <c r="AN1231" s="29"/>
      <c r="AO1231" s="29"/>
      <c r="AP1231" s="29"/>
      <c r="AQ1231" s="29"/>
      <c r="AR1231" s="29"/>
      <c r="AS1231" s="29"/>
      <c r="AT1231" s="29"/>
      <c r="AU1231" s="29"/>
      <c r="AV1231" s="29"/>
      <c r="AW1231" s="29"/>
      <c r="AX1231" s="29"/>
    </row>
    <row r="1232" spans="1:50" ht="15.75" x14ac:dyDescent="0.25">
      <c r="A1232" s="29"/>
      <c r="B1232" s="29"/>
      <c r="C1232" s="312"/>
      <c r="D1232" s="312"/>
      <c r="E1232" s="312"/>
      <c r="F1232" s="312"/>
      <c r="G1232" s="312"/>
      <c r="H1232" s="29"/>
      <c r="I1232" s="29"/>
      <c r="J1232" s="14"/>
      <c r="K1232" s="14"/>
      <c r="L1232" s="29"/>
      <c r="M1232" s="29"/>
      <c r="N1232" s="29"/>
      <c r="O1232" s="29"/>
      <c r="P1232" s="29"/>
      <c r="Q1232" s="29"/>
      <c r="R1232" s="29"/>
      <c r="S1232" s="29"/>
      <c r="T1232" s="29"/>
      <c r="U1232" s="29"/>
      <c r="V1232" s="29"/>
      <c r="W1232" s="29"/>
      <c r="X1232" s="29"/>
      <c r="Y1232" s="29"/>
      <c r="Z1232" s="29"/>
      <c r="AA1232" s="29"/>
      <c r="AB1232" s="29"/>
      <c r="AC1232" s="29"/>
      <c r="AD1232" s="29"/>
      <c r="AE1232" s="29"/>
      <c r="AF1232" s="29"/>
      <c r="AG1232" s="29"/>
      <c r="AH1232" s="29"/>
      <c r="AI1232" s="29"/>
      <c r="AJ1232" s="29"/>
      <c r="AK1232" s="29"/>
      <c r="AL1232" s="29"/>
      <c r="AM1232" s="29"/>
      <c r="AN1232" s="29"/>
      <c r="AO1232" s="29"/>
      <c r="AP1232" s="29"/>
      <c r="AQ1232" s="29"/>
      <c r="AR1232" s="29"/>
      <c r="AS1232" s="29"/>
      <c r="AT1232" s="29"/>
      <c r="AU1232" s="29"/>
      <c r="AV1232" s="29"/>
      <c r="AW1232" s="29"/>
      <c r="AX1232" s="29"/>
    </row>
    <row r="1233" spans="1:50" ht="15.75" x14ac:dyDescent="0.25">
      <c r="A1233" s="29"/>
      <c r="B1233" s="29"/>
      <c r="C1233" s="312"/>
      <c r="D1233" s="312"/>
      <c r="E1233" s="312"/>
      <c r="F1233" s="312"/>
      <c r="G1233" s="312"/>
      <c r="H1233" s="29"/>
      <c r="I1233" s="29"/>
      <c r="J1233" s="14"/>
      <c r="K1233" s="14"/>
      <c r="L1233" s="29"/>
      <c r="M1233" s="29"/>
      <c r="N1233" s="29"/>
      <c r="O1233" s="29"/>
      <c r="P1233" s="29"/>
      <c r="Q1233" s="29"/>
      <c r="R1233" s="29"/>
      <c r="S1233" s="29"/>
      <c r="T1233" s="29"/>
      <c r="U1233" s="29"/>
      <c r="V1233" s="29"/>
      <c r="W1233" s="29"/>
      <c r="X1233" s="29"/>
      <c r="Y1233" s="29"/>
      <c r="Z1233" s="29"/>
      <c r="AA1233" s="29"/>
      <c r="AB1233" s="29"/>
      <c r="AC1233" s="29"/>
      <c r="AD1233" s="29"/>
      <c r="AE1233" s="29"/>
      <c r="AF1233" s="29"/>
      <c r="AG1233" s="29"/>
      <c r="AH1233" s="29"/>
      <c r="AI1233" s="29"/>
      <c r="AJ1233" s="29"/>
      <c r="AK1233" s="29"/>
      <c r="AL1233" s="29"/>
      <c r="AM1233" s="29"/>
      <c r="AN1233" s="29"/>
      <c r="AO1233" s="29"/>
      <c r="AP1233" s="29"/>
      <c r="AQ1233" s="29"/>
      <c r="AR1233" s="29"/>
      <c r="AS1233" s="29"/>
      <c r="AT1233" s="29"/>
      <c r="AU1233" s="29"/>
      <c r="AV1233" s="29"/>
      <c r="AW1233" s="29"/>
      <c r="AX1233" s="29"/>
    </row>
    <row r="1234" spans="1:50" ht="15.75" x14ac:dyDescent="0.25">
      <c r="A1234" s="29"/>
      <c r="B1234" s="29"/>
      <c r="C1234" s="312"/>
      <c r="D1234" s="312"/>
      <c r="E1234" s="312"/>
      <c r="F1234" s="312"/>
      <c r="G1234" s="312"/>
      <c r="H1234" s="29"/>
      <c r="I1234" s="29"/>
      <c r="J1234" s="14"/>
      <c r="K1234" s="14"/>
      <c r="L1234" s="29"/>
      <c r="M1234" s="29"/>
      <c r="N1234" s="29"/>
      <c r="O1234" s="29"/>
      <c r="P1234" s="29"/>
      <c r="Q1234" s="29"/>
      <c r="R1234" s="29"/>
      <c r="S1234" s="29"/>
      <c r="T1234" s="29"/>
      <c r="U1234" s="29"/>
      <c r="V1234" s="29"/>
      <c r="W1234" s="29"/>
      <c r="X1234" s="29"/>
      <c r="Y1234" s="29"/>
      <c r="Z1234" s="29"/>
      <c r="AA1234" s="29"/>
      <c r="AB1234" s="29"/>
      <c r="AC1234" s="29"/>
      <c r="AD1234" s="29"/>
      <c r="AE1234" s="29"/>
      <c r="AF1234" s="29"/>
      <c r="AG1234" s="29"/>
      <c r="AH1234" s="29"/>
      <c r="AI1234" s="29"/>
      <c r="AJ1234" s="29"/>
      <c r="AK1234" s="29"/>
      <c r="AL1234" s="29"/>
      <c r="AM1234" s="29"/>
      <c r="AN1234" s="29"/>
      <c r="AO1234" s="29"/>
      <c r="AP1234" s="29"/>
      <c r="AQ1234" s="29"/>
      <c r="AR1234" s="29"/>
      <c r="AS1234" s="29"/>
      <c r="AT1234" s="29"/>
      <c r="AU1234" s="29"/>
      <c r="AV1234" s="29"/>
      <c r="AW1234" s="29"/>
      <c r="AX1234" s="29"/>
    </row>
    <row r="1235" spans="1:50" ht="15.75" x14ac:dyDescent="0.25">
      <c r="A1235" s="29"/>
      <c r="B1235" s="29"/>
      <c r="C1235" s="312"/>
      <c r="D1235" s="312"/>
      <c r="E1235" s="312"/>
      <c r="F1235" s="312"/>
      <c r="G1235" s="312"/>
      <c r="H1235" s="29"/>
      <c r="I1235" s="29"/>
      <c r="J1235" s="14"/>
      <c r="K1235" s="14"/>
      <c r="L1235" s="29"/>
      <c r="M1235" s="29"/>
      <c r="N1235" s="29"/>
      <c r="O1235" s="29"/>
      <c r="P1235" s="29"/>
      <c r="Q1235" s="29"/>
      <c r="R1235" s="29"/>
      <c r="S1235" s="29"/>
      <c r="T1235" s="29"/>
      <c r="U1235" s="29"/>
      <c r="V1235" s="29"/>
      <c r="W1235" s="29"/>
      <c r="X1235" s="29"/>
      <c r="Y1235" s="29"/>
      <c r="Z1235" s="29"/>
      <c r="AA1235" s="29"/>
      <c r="AB1235" s="29"/>
      <c r="AC1235" s="29"/>
      <c r="AD1235" s="29"/>
      <c r="AE1235" s="29"/>
      <c r="AF1235" s="29"/>
      <c r="AG1235" s="29"/>
      <c r="AH1235" s="29"/>
      <c r="AI1235" s="29"/>
      <c r="AJ1235" s="29"/>
      <c r="AK1235" s="29"/>
      <c r="AL1235" s="29"/>
      <c r="AM1235" s="29"/>
      <c r="AN1235" s="29"/>
      <c r="AO1235" s="29"/>
      <c r="AP1235" s="29"/>
      <c r="AQ1235" s="29"/>
      <c r="AR1235" s="29"/>
      <c r="AS1235" s="29"/>
      <c r="AT1235" s="29"/>
      <c r="AU1235" s="29"/>
      <c r="AV1235" s="29"/>
      <c r="AW1235" s="29"/>
      <c r="AX1235" s="29"/>
    </row>
    <row r="1236" spans="1:50" ht="15.75" x14ac:dyDescent="0.25">
      <c r="A1236" s="29"/>
      <c r="B1236" s="29"/>
      <c r="C1236" s="312"/>
      <c r="D1236" s="312"/>
      <c r="E1236" s="312"/>
      <c r="F1236" s="312"/>
      <c r="G1236" s="312"/>
      <c r="H1236" s="29"/>
      <c r="I1236" s="29"/>
      <c r="J1236" s="14"/>
      <c r="K1236" s="14"/>
      <c r="L1236" s="29"/>
      <c r="M1236" s="29"/>
      <c r="N1236" s="29"/>
      <c r="O1236" s="29"/>
      <c r="P1236" s="29"/>
      <c r="Q1236" s="29"/>
      <c r="R1236" s="29"/>
      <c r="S1236" s="29"/>
      <c r="T1236" s="29"/>
      <c r="U1236" s="29"/>
      <c r="V1236" s="29"/>
      <c r="W1236" s="29"/>
      <c r="X1236" s="29"/>
      <c r="Y1236" s="29"/>
      <c r="Z1236" s="29"/>
      <c r="AA1236" s="29"/>
      <c r="AB1236" s="29"/>
      <c r="AC1236" s="29"/>
      <c r="AD1236" s="29"/>
      <c r="AE1236" s="29"/>
      <c r="AF1236" s="29"/>
      <c r="AG1236" s="29"/>
      <c r="AH1236" s="29"/>
      <c r="AI1236" s="29"/>
      <c r="AJ1236" s="29"/>
      <c r="AK1236" s="29"/>
      <c r="AL1236" s="29"/>
      <c r="AM1236" s="29"/>
      <c r="AN1236" s="29"/>
      <c r="AO1236" s="29"/>
      <c r="AP1236" s="29"/>
      <c r="AQ1236" s="29"/>
      <c r="AR1236" s="29"/>
      <c r="AS1236" s="29"/>
      <c r="AT1236" s="29"/>
      <c r="AU1236" s="29"/>
      <c r="AV1236" s="29"/>
      <c r="AW1236" s="29"/>
      <c r="AX1236" s="29"/>
    </row>
    <row r="1237" spans="1:50" ht="15.75" x14ac:dyDescent="0.25">
      <c r="A1237" s="29"/>
      <c r="B1237" s="29"/>
      <c r="C1237" s="312"/>
      <c r="D1237" s="312"/>
      <c r="E1237" s="312"/>
      <c r="F1237" s="312"/>
      <c r="G1237" s="312"/>
      <c r="H1237" s="29"/>
      <c r="I1237" s="29"/>
      <c r="J1237" s="14"/>
      <c r="K1237" s="14"/>
      <c r="L1237" s="29"/>
      <c r="M1237" s="29"/>
      <c r="N1237" s="29"/>
      <c r="O1237" s="29"/>
      <c r="P1237" s="29"/>
      <c r="Q1237" s="29"/>
      <c r="R1237" s="29"/>
      <c r="S1237" s="29"/>
      <c r="T1237" s="29"/>
      <c r="U1237" s="29"/>
      <c r="V1237" s="29"/>
      <c r="W1237" s="29"/>
      <c r="X1237" s="29"/>
      <c r="Y1237" s="29"/>
      <c r="Z1237" s="29"/>
      <c r="AA1237" s="29"/>
      <c r="AB1237" s="29"/>
      <c r="AC1237" s="29"/>
      <c r="AD1237" s="29"/>
      <c r="AE1237" s="29"/>
      <c r="AF1237" s="29"/>
      <c r="AG1237" s="29"/>
      <c r="AH1237" s="29"/>
      <c r="AI1237" s="29"/>
      <c r="AJ1237" s="29"/>
      <c r="AK1237" s="29"/>
      <c r="AL1237" s="29"/>
      <c r="AM1237" s="29"/>
      <c r="AN1237" s="29"/>
      <c r="AO1237" s="29"/>
      <c r="AP1237" s="29"/>
      <c r="AQ1237" s="29"/>
      <c r="AR1237" s="29"/>
      <c r="AS1237" s="29"/>
      <c r="AT1237" s="29"/>
      <c r="AU1237" s="29"/>
      <c r="AV1237" s="29"/>
      <c r="AW1237" s="29"/>
      <c r="AX1237" s="29"/>
    </row>
    <row r="1238" spans="1:50" ht="15.75" x14ac:dyDescent="0.25">
      <c r="A1238" s="29"/>
      <c r="B1238" s="29"/>
      <c r="C1238" s="312"/>
      <c r="D1238" s="312"/>
      <c r="E1238" s="312"/>
      <c r="F1238" s="312"/>
      <c r="G1238" s="312"/>
      <c r="H1238" s="29"/>
      <c r="I1238" s="29"/>
      <c r="J1238" s="14"/>
      <c r="K1238" s="14"/>
      <c r="L1238" s="29"/>
      <c r="M1238" s="29"/>
      <c r="N1238" s="29"/>
      <c r="O1238" s="29"/>
      <c r="P1238" s="29"/>
      <c r="Q1238" s="29"/>
      <c r="R1238" s="29"/>
      <c r="S1238" s="29"/>
      <c r="T1238" s="29"/>
      <c r="U1238" s="29"/>
      <c r="V1238" s="29"/>
      <c r="W1238" s="29"/>
      <c r="X1238" s="29"/>
      <c r="Y1238" s="29"/>
      <c r="Z1238" s="29"/>
      <c r="AA1238" s="29"/>
      <c r="AB1238" s="29"/>
      <c r="AC1238" s="29"/>
      <c r="AD1238" s="29"/>
      <c r="AE1238" s="29"/>
      <c r="AF1238" s="29"/>
      <c r="AG1238" s="29"/>
      <c r="AH1238" s="29"/>
      <c r="AI1238" s="29"/>
      <c r="AJ1238" s="29"/>
      <c r="AK1238" s="29"/>
      <c r="AL1238" s="29"/>
      <c r="AM1238" s="29"/>
      <c r="AN1238" s="29"/>
      <c r="AO1238" s="29"/>
      <c r="AP1238" s="29"/>
      <c r="AQ1238" s="29"/>
      <c r="AR1238" s="29"/>
      <c r="AS1238" s="29"/>
      <c r="AT1238" s="29"/>
      <c r="AU1238" s="29"/>
      <c r="AV1238" s="29"/>
      <c r="AW1238" s="29"/>
      <c r="AX1238" s="29"/>
    </row>
    <row r="1239" spans="1:50" ht="15.75" x14ac:dyDescent="0.25">
      <c r="A1239" s="29"/>
      <c r="B1239" s="29"/>
      <c r="C1239" s="312"/>
      <c r="D1239" s="312"/>
      <c r="E1239" s="312"/>
      <c r="F1239" s="312"/>
      <c r="G1239" s="312"/>
      <c r="H1239" s="29"/>
      <c r="I1239" s="29"/>
      <c r="J1239" s="14"/>
      <c r="K1239" s="14"/>
      <c r="L1239" s="29"/>
      <c r="M1239" s="29"/>
      <c r="N1239" s="29"/>
      <c r="O1239" s="29"/>
      <c r="P1239" s="29"/>
      <c r="Q1239" s="29"/>
      <c r="R1239" s="29"/>
      <c r="S1239" s="29"/>
      <c r="T1239" s="29"/>
      <c r="U1239" s="29"/>
      <c r="V1239" s="29"/>
      <c r="W1239" s="29"/>
      <c r="X1239" s="29"/>
      <c r="Y1239" s="29"/>
      <c r="Z1239" s="29"/>
      <c r="AA1239" s="29"/>
      <c r="AB1239" s="29"/>
      <c r="AC1239" s="29"/>
      <c r="AD1239" s="29"/>
      <c r="AE1239" s="29"/>
      <c r="AF1239" s="29"/>
      <c r="AG1239" s="29"/>
      <c r="AH1239" s="29"/>
      <c r="AI1239" s="29"/>
      <c r="AJ1239" s="29"/>
      <c r="AK1239" s="29"/>
      <c r="AL1239" s="29"/>
      <c r="AM1239" s="29"/>
      <c r="AN1239" s="29"/>
      <c r="AO1239" s="29"/>
      <c r="AP1239" s="29"/>
      <c r="AQ1239" s="29"/>
      <c r="AR1239" s="29"/>
      <c r="AS1239" s="29"/>
      <c r="AT1239" s="29"/>
      <c r="AU1239" s="29"/>
      <c r="AV1239" s="29"/>
      <c r="AW1239" s="29"/>
      <c r="AX1239" s="29"/>
    </row>
    <row r="1240" spans="1:50" ht="15.75" x14ac:dyDescent="0.25">
      <c r="A1240" s="29"/>
      <c r="B1240" s="29"/>
      <c r="C1240" s="312"/>
      <c r="D1240" s="312"/>
      <c r="E1240" s="312"/>
      <c r="F1240" s="312"/>
      <c r="G1240" s="312"/>
      <c r="H1240" s="29"/>
      <c r="I1240" s="29"/>
      <c r="J1240" s="14"/>
      <c r="K1240" s="14"/>
      <c r="L1240" s="29"/>
      <c r="M1240" s="29"/>
      <c r="N1240" s="29"/>
      <c r="O1240" s="29"/>
      <c r="P1240" s="29"/>
      <c r="Q1240" s="29"/>
      <c r="R1240" s="29"/>
      <c r="S1240" s="29"/>
      <c r="T1240" s="29"/>
      <c r="U1240" s="29"/>
      <c r="V1240" s="29"/>
      <c r="W1240" s="29"/>
      <c r="X1240" s="29"/>
      <c r="Y1240" s="29"/>
      <c r="Z1240" s="29"/>
      <c r="AA1240" s="29"/>
      <c r="AB1240" s="29"/>
      <c r="AC1240" s="29"/>
      <c r="AD1240" s="29"/>
      <c r="AE1240" s="29"/>
      <c r="AF1240" s="29"/>
      <c r="AG1240" s="29"/>
      <c r="AH1240" s="29"/>
      <c r="AI1240" s="29"/>
      <c r="AJ1240" s="29"/>
      <c r="AK1240" s="29"/>
      <c r="AL1240" s="29"/>
      <c r="AM1240" s="29"/>
      <c r="AN1240" s="29"/>
      <c r="AO1240" s="29"/>
      <c r="AP1240" s="29"/>
      <c r="AQ1240" s="29"/>
      <c r="AR1240" s="29"/>
      <c r="AS1240" s="29"/>
      <c r="AT1240" s="29"/>
      <c r="AU1240" s="29"/>
      <c r="AV1240" s="29"/>
      <c r="AW1240" s="29"/>
      <c r="AX1240" s="29"/>
    </row>
    <row r="1241" spans="1:50" ht="15.75" x14ac:dyDescent="0.25">
      <c r="A1241" s="29"/>
      <c r="B1241" s="29"/>
      <c r="C1241" s="312"/>
      <c r="D1241" s="312"/>
      <c r="E1241" s="312"/>
      <c r="F1241" s="312"/>
      <c r="G1241" s="312"/>
      <c r="H1241" s="29"/>
      <c r="I1241" s="29"/>
      <c r="J1241" s="14"/>
      <c r="K1241" s="14"/>
      <c r="L1241" s="29"/>
      <c r="M1241" s="29"/>
      <c r="N1241" s="29"/>
      <c r="O1241" s="29"/>
      <c r="P1241" s="29"/>
      <c r="Q1241" s="29"/>
      <c r="R1241" s="29"/>
      <c r="S1241" s="29"/>
      <c r="T1241" s="29"/>
      <c r="U1241" s="29"/>
      <c r="V1241" s="29"/>
      <c r="W1241" s="29"/>
      <c r="X1241" s="29"/>
      <c r="Y1241" s="29"/>
      <c r="Z1241" s="29"/>
      <c r="AA1241" s="29"/>
      <c r="AB1241" s="29"/>
      <c r="AC1241" s="29"/>
      <c r="AD1241" s="29"/>
      <c r="AE1241" s="29"/>
      <c r="AF1241" s="29"/>
      <c r="AG1241" s="29"/>
      <c r="AH1241" s="29"/>
      <c r="AI1241" s="29"/>
      <c r="AJ1241" s="29"/>
      <c r="AK1241" s="29"/>
      <c r="AL1241" s="29"/>
      <c r="AM1241" s="29"/>
      <c r="AN1241" s="29"/>
      <c r="AO1241" s="29"/>
      <c r="AP1241" s="29"/>
      <c r="AQ1241" s="29"/>
      <c r="AR1241" s="29"/>
      <c r="AS1241" s="29"/>
      <c r="AT1241" s="29"/>
      <c r="AU1241" s="29"/>
      <c r="AV1241" s="29"/>
      <c r="AW1241" s="29"/>
      <c r="AX1241" s="29"/>
    </row>
    <row r="1242" spans="1:50" ht="15.75" x14ac:dyDescent="0.25">
      <c r="A1242" s="29"/>
      <c r="B1242" s="29"/>
      <c r="C1242" s="312"/>
      <c r="D1242" s="312"/>
      <c r="E1242" s="312"/>
      <c r="F1242" s="312"/>
      <c r="G1242" s="312"/>
      <c r="H1242" s="29"/>
      <c r="I1242" s="29"/>
      <c r="J1242" s="14"/>
      <c r="K1242" s="14"/>
      <c r="L1242" s="29"/>
      <c r="M1242" s="29"/>
      <c r="N1242" s="29"/>
      <c r="O1242" s="29"/>
      <c r="P1242" s="29"/>
      <c r="Q1242" s="29"/>
      <c r="R1242" s="29"/>
      <c r="S1242" s="29"/>
      <c r="T1242" s="29"/>
      <c r="U1242" s="29"/>
      <c r="V1242" s="29"/>
      <c r="W1242" s="29"/>
      <c r="X1242" s="29"/>
      <c r="Y1242" s="29"/>
      <c r="Z1242" s="29"/>
      <c r="AA1242" s="29"/>
      <c r="AB1242" s="29"/>
      <c r="AC1242" s="29"/>
      <c r="AD1242" s="29"/>
      <c r="AE1242" s="29"/>
      <c r="AF1242" s="29"/>
      <c r="AG1242" s="29"/>
      <c r="AH1242" s="29"/>
      <c r="AI1242" s="29"/>
      <c r="AJ1242" s="29"/>
      <c r="AK1242" s="29"/>
      <c r="AL1242" s="29"/>
      <c r="AM1242" s="29"/>
      <c r="AN1242" s="29"/>
      <c r="AO1242" s="29"/>
      <c r="AP1242" s="29"/>
      <c r="AQ1242" s="29"/>
      <c r="AR1242" s="29"/>
      <c r="AS1242" s="29"/>
      <c r="AT1242" s="29"/>
      <c r="AU1242" s="29"/>
      <c r="AV1242" s="29"/>
      <c r="AW1242" s="29"/>
      <c r="AX1242" s="29"/>
    </row>
    <row r="1243" spans="1:50" ht="15.75" x14ac:dyDescent="0.25">
      <c r="A1243" s="29"/>
      <c r="B1243" s="29"/>
      <c r="C1243" s="312"/>
      <c r="D1243" s="312"/>
      <c r="E1243" s="312"/>
      <c r="F1243" s="312"/>
      <c r="G1243" s="312"/>
      <c r="H1243" s="29"/>
      <c r="I1243" s="29"/>
      <c r="J1243" s="14"/>
      <c r="K1243" s="14"/>
      <c r="L1243" s="29"/>
      <c r="M1243" s="29"/>
      <c r="N1243" s="29"/>
      <c r="O1243" s="29"/>
      <c r="P1243" s="29"/>
      <c r="Q1243" s="29"/>
      <c r="R1243" s="29"/>
      <c r="S1243" s="29"/>
      <c r="T1243" s="29"/>
      <c r="U1243" s="29"/>
      <c r="V1243" s="29"/>
      <c r="W1243" s="29"/>
      <c r="X1243" s="29"/>
      <c r="Y1243" s="29"/>
      <c r="Z1243" s="29"/>
      <c r="AA1243" s="29"/>
      <c r="AB1243" s="29"/>
      <c r="AC1243" s="29"/>
      <c r="AD1243" s="29"/>
      <c r="AE1243" s="29"/>
      <c r="AF1243" s="29"/>
      <c r="AG1243" s="29"/>
      <c r="AH1243" s="29"/>
      <c r="AI1243" s="29"/>
      <c r="AJ1243" s="29"/>
      <c r="AK1243" s="29"/>
      <c r="AL1243" s="29"/>
      <c r="AM1243" s="29"/>
      <c r="AN1243" s="29"/>
      <c r="AO1243" s="29"/>
      <c r="AP1243" s="29"/>
      <c r="AQ1243" s="29"/>
      <c r="AR1243" s="29"/>
      <c r="AS1243" s="29"/>
      <c r="AT1243" s="29"/>
      <c r="AU1243" s="29"/>
      <c r="AV1243" s="29"/>
      <c r="AW1243" s="29"/>
      <c r="AX1243" s="29"/>
    </row>
    <row r="1244" spans="1:50" ht="15.75" x14ac:dyDescent="0.25">
      <c r="A1244" s="29"/>
      <c r="B1244" s="29"/>
      <c r="C1244" s="312"/>
      <c r="D1244" s="312"/>
      <c r="E1244" s="312"/>
      <c r="F1244" s="312"/>
      <c r="G1244" s="312"/>
      <c r="H1244" s="29"/>
      <c r="I1244" s="29"/>
      <c r="J1244" s="14"/>
      <c r="K1244" s="14"/>
      <c r="L1244" s="29"/>
      <c r="M1244" s="29"/>
      <c r="N1244" s="29"/>
      <c r="O1244" s="29"/>
      <c r="P1244" s="29"/>
      <c r="Q1244" s="29"/>
      <c r="R1244" s="29"/>
      <c r="S1244" s="29"/>
      <c r="T1244" s="29"/>
      <c r="U1244" s="29"/>
      <c r="V1244" s="29"/>
      <c r="W1244" s="29"/>
      <c r="X1244" s="29"/>
      <c r="Y1244" s="29"/>
      <c r="Z1244" s="29"/>
      <c r="AA1244" s="29"/>
      <c r="AB1244" s="29"/>
      <c r="AC1244" s="29"/>
      <c r="AD1244" s="29"/>
      <c r="AE1244" s="29"/>
      <c r="AF1244" s="29"/>
      <c r="AG1244" s="29"/>
      <c r="AH1244" s="29"/>
      <c r="AI1244" s="29"/>
      <c r="AJ1244" s="29"/>
      <c r="AK1244" s="29"/>
      <c r="AL1244" s="29"/>
      <c r="AM1244" s="29"/>
      <c r="AN1244" s="29"/>
      <c r="AO1244" s="29"/>
      <c r="AP1244" s="29"/>
      <c r="AQ1244" s="29"/>
      <c r="AR1244" s="29"/>
      <c r="AS1244" s="29"/>
      <c r="AT1244" s="29"/>
      <c r="AU1244" s="29"/>
      <c r="AV1244" s="29"/>
      <c r="AW1244" s="29"/>
      <c r="AX1244" s="29"/>
    </row>
    <row r="1245" spans="1:50" ht="15.75" x14ac:dyDescent="0.25">
      <c r="A1245" s="29"/>
      <c r="B1245" s="29"/>
      <c r="C1245" s="312"/>
      <c r="D1245" s="312"/>
      <c r="E1245" s="312"/>
      <c r="F1245" s="312"/>
      <c r="G1245" s="312"/>
      <c r="H1245" s="29"/>
      <c r="I1245" s="29"/>
      <c r="J1245" s="14"/>
      <c r="K1245" s="14"/>
      <c r="L1245" s="29"/>
      <c r="M1245" s="29"/>
      <c r="N1245" s="29"/>
      <c r="O1245" s="29"/>
      <c r="P1245" s="29"/>
      <c r="Q1245" s="29"/>
      <c r="R1245" s="29"/>
      <c r="S1245" s="29"/>
      <c r="T1245" s="29"/>
      <c r="U1245" s="29"/>
      <c r="V1245" s="29"/>
      <c r="W1245" s="29"/>
      <c r="X1245" s="29"/>
      <c r="Y1245" s="29"/>
      <c r="Z1245" s="29"/>
      <c r="AA1245" s="29"/>
      <c r="AB1245" s="29"/>
      <c r="AC1245" s="29"/>
      <c r="AD1245" s="29"/>
      <c r="AE1245" s="29"/>
      <c r="AF1245" s="29"/>
      <c r="AG1245" s="29"/>
      <c r="AH1245" s="29"/>
      <c r="AI1245" s="29"/>
      <c r="AJ1245" s="29"/>
      <c r="AK1245" s="29"/>
      <c r="AL1245" s="29"/>
      <c r="AM1245" s="29"/>
      <c r="AN1245" s="29"/>
      <c r="AO1245" s="29"/>
      <c r="AP1245" s="29"/>
      <c r="AQ1245" s="29"/>
      <c r="AR1245" s="29"/>
      <c r="AS1245" s="29"/>
      <c r="AT1245" s="29"/>
      <c r="AU1245" s="29"/>
      <c r="AV1245" s="29"/>
      <c r="AW1245" s="29"/>
      <c r="AX1245" s="29"/>
    </row>
    <row r="1246" spans="1:50" ht="15.75" x14ac:dyDescent="0.25">
      <c r="A1246" s="29"/>
      <c r="B1246" s="29"/>
      <c r="C1246" s="312"/>
      <c r="D1246" s="312"/>
      <c r="E1246" s="312"/>
      <c r="F1246" s="312"/>
      <c r="G1246" s="312"/>
      <c r="H1246" s="29"/>
      <c r="I1246" s="29"/>
      <c r="J1246" s="14"/>
      <c r="K1246" s="14"/>
      <c r="L1246" s="29"/>
      <c r="M1246" s="29"/>
      <c r="N1246" s="29"/>
      <c r="O1246" s="29"/>
      <c r="P1246" s="29"/>
      <c r="Q1246" s="29"/>
      <c r="R1246" s="29"/>
      <c r="S1246" s="29"/>
      <c r="T1246" s="29"/>
      <c r="U1246" s="29"/>
      <c r="V1246" s="29"/>
      <c r="W1246" s="29"/>
      <c r="X1246" s="29"/>
      <c r="Y1246" s="29"/>
      <c r="Z1246" s="29"/>
      <c r="AA1246" s="29"/>
      <c r="AB1246" s="29"/>
      <c r="AC1246" s="29"/>
      <c r="AD1246" s="29"/>
      <c r="AE1246" s="29"/>
      <c r="AF1246" s="29"/>
      <c r="AG1246" s="29"/>
      <c r="AH1246" s="29"/>
      <c r="AI1246" s="29"/>
      <c r="AJ1246" s="29"/>
      <c r="AK1246" s="29"/>
      <c r="AL1246" s="29"/>
      <c r="AM1246" s="29"/>
      <c r="AN1246" s="29"/>
      <c r="AO1246" s="29"/>
      <c r="AP1246" s="29"/>
      <c r="AQ1246" s="29"/>
      <c r="AR1246" s="29"/>
      <c r="AS1246" s="29"/>
      <c r="AT1246" s="29"/>
      <c r="AU1246" s="29"/>
      <c r="AV1246" s="29"/>
      <c r="AW1246" s="29"/>
      <c r="AX1246" s="29"/>
    </row>
    <row r="1247" spans="1:50" ht="15.75" x14ac:dyDescent="0.25">
      <c r="A1247" s="29"/>
      <c r="B1247" s="29"/>
      <c r="C1247" s="312"/>
      <c r="D1247" s="312"/>
      <c r="E1247" s="312"/>
      <c r="F1247" s="312"/>
      <c r="G1247" s="312"/>
      <c r="H1247" s="29"/>
      <c r="I1247" s="29"/>
      <c r="J1247" s="14"/>
      <c r="K1247" s="14"/>
      <c r="L1247" s="29"/>
      <c r="M1247" s="29"/>
      <c r="N1247" s="29"/>
      <c r="O1247" s="29"/>
      <c r="P1247" s="29"/>
      <c r="Q1247" s="29"/>
      <c r="R1247" s="29"/>
      <c r="S1247" s="29"/>
      <c r="T1247" s="29"/>
      <c r="U1247" s="29"/>
      <c r="V1247" s="29"/>
      <c r="W1247" s="29"/>
      <c r="X1247" s="29"/>
      <c r="Y1247" s="29"/>
      <c r="Z1247" s="29"/>
      <c r="AA1247" s="29"/>
      <c r="AB1247" s="29"/>
      <c r="AC1247" s="29"/>
      <c r="AD1247" s="29"/>
      <c r="AE1247" s="29"/>
      <c r="AF1247" s="29"/>
      <c r="AG1247" s="29"/>
      <c r="AH1247" s="29"/>
      <c r="AI1247" s="29"/>
      <c r="AJ1247" s="29"/>
      <c r="AK1247" s="29"/>
      <c r="AL1247" s="29"/>
      <c r="AM1247" s="29"/>
      <c r="AN1247" s="29"/>
      <c r="AO1247" s="29"/>
      <c r="AP1247" s="29"/>
      <c r="AQ1247" s="29"/>
      <c r="AR1247" s="29"/>
      <c r="AS1247" s="29"/>
      <c r="AT1247" s="29"/>
      <c r="AU1247" s="29"/>
      <c r="AV1247" s="29"/>
      <c r="AW1247" s="29"/>
      <c r="AX1247" s="29"/>
    </row>
    <row r="1248" spans="1:50" ht="15.75" x14ac:dyDescent="0.25">
      <c r="A1248" s="29"/>
      <c r="B1248" s="29"/>
      <c r="C1248" s="312"/>
      <c r="D1248" s="312"/>
      <c r="E1248" s="312"/>
      <c r="F1248" s="312"/>
      <c r="G1248" s="312"/>
      <c r="H1248" s="29"/>
      <c r="I1248" s="29"/>
      <c r="J1248" s="14"/>
      <c r="K1248" s="14"/>
      <c r="L1248" s="29"/>
      <c r="M1248" s="29"/>
      <c r="N1248" s="29"/>
      <c r="O1248" s="29"/>
      <c r="P1248" s="29"/>
      <c r="Q1248" s="29"/>
      <c r="R1248" s="29"/>
      <c r="S1248" s="29"/>
      <c r="T1248" s="29"/>
      <c r="U1248" s="29"/>
      <c r="V1248" s="29"/>
      <c r="W1248" s="29"/>
      <c r="X1248" s="29"/>
      <c r="Y1248" s="29"/>
      <c r="Z1248" s="29"/>
      <c r="AA1248" s="29"/>
      <c r="AB1248" s="29"/>
      <c r="AC1248" s="29"/>
      <c r="AD1248" s="29"/>
      <c r="AE1248" s="29"/>
      <c r="AF1248" s="29"/>
      <c r="AG1248" s="29"/>
      <c r="AH1248" s="29"/>
      <c r="AI1248" s="29"/>
      <c r="AJ1248" s="29"/>
      <c r="AK1248" s="29"/>
      <c r="AL1248" s="29"/>
      <c r="AM1248" s="29"/>
      <c r="AN1248" s="29"/>
      <c r="AO1248" s="29"/>
      <c r="AP1248" s="29"/>
      <c r="AQ1248" s="29"/>
      <c r="AR1248" s="29"/>
      <c r="AS1248" s="29"/>
      <c r="AT1248" s="29"/>
      <c r="AU1248" s="29"/>
      <c r="AV1248" s="29"/>
      <c r="AW1248" s="29"/>
      <c r="AX1248" s="29"/>
    </row>
    <row r="1249" spans="1:50" ht="15.75" x14ac:dyDescent="0.25">
      <c r="A1249" s="29"/>
      <c r="B1249" s="29"/>
      <c r="C1249" s="312"/>
      <c r="D1249" s="312"/>
      <c r="E1249" s="312"/>
      <c r="F1249" s="312"/>
      <c r="G1249" s="312"/>
      <c r="H1249" s="29"/>
      <c r="I1249" s="29"/>
      <c r="J1249" s="14"/>
      <c r="K1249" s="14"/>
      <c r="L1249" s="29"/>
      <c r="M1249" s="29"/>
      <c r="N1249" s="29"/>
      <c r="O1249" s="29"/>
      <c r="P1249" s="29"/>
      <c r="Q1249" s="29"/>
      <c r="R1249" s="29"/>
      <c r="S1249" s="29"/>
      <c r="T1249" s="29"/>
      <c r="U1249" s="29"/>
      <c r="V1249" s="29"/>
      <c r="W1249" s="29"/>
      <c r="X1249" s="29"/>
      <c r="Y1249" s="29"/>
      <c r="Z1249" s="29"/>
      <c r="AA1249" s="29"/>
      <c r="AB1249" s="29"/>
      <c r="AC1249" s="29"/>
      <c r="AD1249" s="29"/>
      <c r="AE1249" s="29"/>
      <c r="AF1249" s="29"/>
      <c r="AG1249" s="29"/>
      <c r="AH1249" s="29"/>
      <c r="AI1249" s="29"/>
      <c r="AJ1249" s="29"/>
      <c r="AK1249" s="29"/>
      <c r="AL1249" s="29"/>
      <c r="AM1249" s="29"/>
      <c r="AN1249" s="29"/>
      <c r="AO1249" s="29"/>
      <c r="AP1249" s="29"/>
      <c r="AQ1249" s="29"/>
      <c r="AR1249" s="29"/>
      <c r="AS1249" s="29"/>
      <c r="AT1249" s="29"/>
      <c r="AU1249" s="29"/>
      <c r="AV1249" s="29"/>
      <c r="AW1249" s="29"/>
      <c r="AX1249" s="29"/>
    </row>
    <row r="1250" spans="1:50" ht="15.75" x14ac:dyDescent="0.25">
      <c r="A1250" s="29"/>
      <c r="B1250" s="29"/>
      <c r="C1250" s="312"/>
      <c r="D1250" s="312"/>
      <c r="E1250" s="312"/>
      <c r="F1250" s="312"/>
      <c r="G1250" s="312"/>
      <c r="H1250" s="29"/>
      <c r="I1250" s="29"/>
      <c r="J1250" s="14"/>
      <c r="K1250" s="14"/>
      <c r="L1250" s="29"/>
      <c r="M1250" s="29"/>
      <c r="N1250" s="29"/>
      <c r="O1250" s="29"/>
      <c r="P1250" s="29"/>
      <c r="Q1250" s="29"/>
      <c r="R1250" s="29"/>
      <c r="S1250" s="29"/>
      <c r="T1250" s="29"/>
      <c r="U1250" s="29"/>
      <c r="V1250" s="29"/>
      <c r="W1250" s="29"/>
      <c r="X1250" s="29"/>
      <c r="Y1250" s="29"/>
      <c r="Z1250" s="29"/>
      <c r="AA1250" s="29"/>
      <c r="AB1250" s="29"/>
      <c r="AC1250" s="29"/>
      <c r="AD1250" s="29"/>
      <c r="AE1250" s="29"/>
      <c r="AF1250" s="29"/>
      <c r="AG1250" s="29"/>
      <c r="AH1250" s="29"/>
      <c r="AI1250" s="29"/>
      <c r="AJ1250" s="29"/>
      <c r="AK1250" s="29"/>
      <c r="AL1250" s="29"/>
      <c r="AM1250" s="29"/>
      <c r="AN1250" s="29"/>
      <c r="AO1250" s="29"/>
      <c r="AP1250" s="29"/>
      <c r="AQ1250" s="29"/>
      <c r="AR1250" s="29"/>
      <c r="AS1250" s="29"/>
      <c r="AT1250" s="29"/>
      <c r="AU1250" s="29"/>
      <c r="AV1250" s="29"/>
      <c r="AW1250" s="29"/>
      <c r="AX1250" s="29"/>
    </row>
    <row r="1251" spans="1:50" ht="15.75" x14ac:dyDescent="0.25">
      <c r="A1251" s="29"/>
      <c r="B1251" s="29"/>
      <c r="C1251" s="312"/>
      <c r="D1251" s="312"/>
      <c r="E1251" s="312"/>
      <c r="F1251" s="312"/>
      <c r="G1251" s="312"/>
      <c r="H1251" s="29"/>
      <c r="I1251" s="29"/>
      <c r="J1251" s="14"/>
      <c r="K1251" s="14"/>
      <c r="L1251" s="29"/>
      <c r="M1251" s="29"/>
      <c r="N1251" s="29"/>
      <c r="O1251" s="29"/>
      <c r="P1251" s="29"/>
      <c r="Q1251" s="29"/>
      <c r="R1251" s="29"/>
      <c r="S1251" s="29"/>
      <c r="T1251" s="29"/>
      <c r="U1251" s="29"/>
      <c r="V1251" s="29"/>
      <c r="W1251" s="29"/>
      <c r="X1251" s="29"/>
      <c r="Y1251" s="29"/>
      <c r="Z1251" s="29"/>
      <c r="AA1251" s="29"/>
      <c r="AB1251" s="29"/>
      <c r="AC1251" s="29"/>
      <c r="AD1251" s="29"/>
      <c r="AE1251" s="29"/>
      <c r="AF1251" s="29"/>
      <c r="AG1251" s="29"/>
      <c r="AH1251" s="29"/>
      <c r="AI1251" s="29"/>
      <c r="AJ1251" s="29"/>
      <c r="AK1251" s="29"/>
      <c r="AL1251" s="29"/>
      <c r="AM1251" s="29"/>
      <c r="AN1251" s="29"/>
      <c r="AO1251" s="29"/>
      <c r="AP1251" s="29"/>
      <c r="AQ1251" s="29"/>
      <c r="AR1251" s="29"/>
      <c r="AS1251" s="29"/>
      <c r="AT1251" s="29"/>
      <c r="AU1251" s="29"/>
      <c r="AV1251" s="29"/>
      <c r="AW1251" s="29"/>
      <c r="AX1251" s="29"/>
    </row>
    <row r="1252" spans="1:50" ht="15.75" x14ac:dyDescent="0.25">
      <c r="A1252" s="29"/>
      <c r="B1252" s="29"/>
      <c r="C1252" s="312"/>
      <c r="D1252" s="312"/>
      <c r="E1252" s="312"/>
      <c r="F1252" s="312"/>
      <c r="G1252" s="312"/>
      <c r="H1252" s="29"/>
      <c r="I1252" s="29"/>
      <c r="J1252" s="14"/>
      <c r="K1252" s="14"/>
      <c r="L1252" s="29"/>
      <c r="M1252" s="29"/>
      <c r="N1252" s="29"/>
      <c r="O1252" s="29"/>
      <c r="P1252" s="29"/>
      <c r="Q1252" s="29"/>
      <c r="R1252" s="29"/>
      <c r="S1252" s="29"/>
      <c r="T1252" s="29"/>
      <c r="U1252" s="29"/>
      <c r="V1252" s="29"/>
      <c r="W1252" s="29"/>
      <c r="X1252" s="29"/>
      <c r="Y1252" s="29"/>
      <c r="Z1252" s="29"/>
      <c r="AA1252" s="29"/>
      <c r="AB1252" s="29"/>
      <c r="AC1252" s="29"/>
      <c r="AD1252" s="29"/>
      <c r="AE1252" s="29"/>
      <c r="AF1252" s="29"/>
      <c r="AG1252" s="29"/>
      <c r="AH1252" s="29"/>
      <c r="AI1252" s="29"/>
      <c r="AJ1252" s="29"/>
      <c r="AK1252" s="29"/>
      <c r="AL1252" s="29"/>
      <c r="AM1252" s="29"/>
      <c r="AN1252" s="29"/>
      <c r="AO1252" s="29"/>
      <c r="AP1252" s="29"/>
      <c r="AQ1252" s="29"/>
      <c r="AR1252" s="29"/>
      <c r="AS1252" s="29"/>
      <c r="AT1252" s="29"/>
      <c r="AU1252" s="29"/>
      <c r="AV1252" s="29"/>
      <c r="AW1252" s="29"/>
      <c r="AX1252" s="29"/>
    </row>
    <row r="1253" spans="1:50" ht="15.75" x14ac:dyDescent="0.25">
      <c r="A1253" s="29"/>
      <c r="B1253" s="29"/>
      <c r="C1253" s="312"/>
      <c r="D1253" s="312"/>
      <c r="E1253" s="312"/>
      <c r="F1253" s="312"/>
      <c r="G1253" s="312"/>
      <c r="H1253" s="29"/>
      <c r="I1253" s="29"/>
      <c r="J1253" s="14"/>
      <c r="K1253" s="14"/>
      <c r="L1253" s="29"/>
      <c r="M1253" s="29"/>
      <c r="N1253" s="29"/>
      <c r="O1253" s="29"/>
      <c r="P1253" s="29"/>
      <c r="Q1253" s="29"/>
      <c r="R1253" s="29"/>
      <c r="S1253" s="29"/>
      <c r="T1253" s="29"/>
      <c r="U1253" s="29"/>
      <c r="V1253" s="29"/>
      <c r="W1253" s="29"/>
      <c r="X1253" s="29"/>
      <c r="Y1253" s="29"/>
      <c r="Z1253" s="29"/>
      <c r="AA1253" s="29"/>
      <c r="AB1253" s="29"/>
      <c r="AC1253" s="29"/>
      <c r="AD1253" s="29"/>
      <c r="AE1253" s="29"/>
      <c r="AF1253" s="29"/>
      <c r="AG1253" s="29"/>
      <c r="AH1253" s="29"/>
      <c r="AI1253" s="29"/>
      <c r="AJ1253" s="29"/>
      <c r="AK1253" s="29"/>
      <c r="AL1253" s="29"/>
      <c r="AM1253" s="29"/>
      <c r="AN1253" s="29"/>
      <c r="AO1253" s="29"/>
      <c r="AP1253" s="29"/>
      <c r="AQ1253" s="29"/>
      <c r="AR1253" s="29"/>
      <c r="AS1253" s="29"/>
      <c r="AT1253" s="29"/>
      <c r="AU1253" s="29"/>
      <c r="AV1253" s="29"/>
      <c r="AW1253" s="29"/>
      <c r="AX1253" s="29"/>
    </row>
    <row r="1254" spans="1:50" ht="15.75" x14ac:dyDescent="0.25">
      <c r="A1254" s="29"/>
      <c r="B1254" s="29"/>
      <c r="C1254" s="312"/>
      <c r="D1254" s="312"/>
      <c r="E1254" s="312"/>
      <c r="F1254" s="312"/>
      <c r="G1254" s="312"/>
      <c r="H1254" s="29"/>
      <c r="I1254" s="29"/>
      <c r="J1254" s="14"/>
      <c r="K1254" s="14"/>
      <c r="L1254" s="29"/>
      <c r="M1254" s="29"/>
      <c r="N1254" s="29"/>
      <c r="O1254" s="29"/>
      <c r="P1254" s="29"/>
      <c r="Q1254" s="29"/>
      <c r="R1254" s="29"/>
      <c r="S1254" s="29"/>
      <c r="T1254" s="29"/>
      <c r="U1254" s="29"/>
      <c r="V1254" s="29"/>
      <c r="W1254" s="29"/>
      <c r="X1254" s="29"/>
      <c r="Y1254" s="29"/>
      <c r="Z1254" s="29"/>
      <c r="AA1254" s="29"/>
      <c r="AB1254" s="29"/>
      <c r="AC1254" s="29"/>
      <c r="AD1254" s="29"/>
      <c r="AE1254" s="29"/>
      <c r="AF1254" s="29"/>
      <c r="AG1254" s="29"/>
      <c r="AH1254" s="29"/>
      <c r="AI1254" s="29"/>
      <c r="AJ1254" s="29"/>
      <c r="AK1254" s="29"/>
      <c r="AL1254" s="29"/>
      <c r="AM1254" s="29"/>
      <c r="AN1254" s="29"/>
      <c r="AO1254" s="29"/>
      <c r="AP1254" s="29"/>
      <c r="AQ1254" s="29"/>
      <c r="AR1254" s="29"/>
      <c r="AS1254" s="29"/>
      <c r="AT1254" s="29"/>
      <c r="AU1254" s="29"/>
      <c r="AV1254" s="29"/>
      <c r="AW1254" s="29"/>
      <c r="AX1254" s="29"/>
    </row>
    <row r="1255" spans="1:50" ht="15.75" x14ac:dyDescent="0.25">
      <c r="A1255" s="29"/>
      <c r="B1255" s="29"/>
      <c r="C1255" s="312"/>
      <c r="D1255" s="312"/>
      <c r="E1255" s="312"/>
      <c r="F1255" s="312"/>
      <c r="G1255" s="312"/>
      <c r="H1255" s="29"/>
      <c r="I1255" s="29"/>
      <c r="J1255" s="14"/>
      <c r="K1255" s="14"/>
      <c r="L1255" s="29"/>
      <c r="M1255" s="29"/>
      <c r="N1255" s="29"/>
      <c r="O1255" s="29"/>
      <c r="P1255" s="29"/>
      <c r="Q1255" s="29"/>
      <c r="R1255" s="29"/>
      <c r="S1255" s="29"/>
      <c r="T1255" s="29"/>
      <c r="U1255" s="29"/>
      <c r="V1255" s="29"/>
      <c r="W1255" s="29"/>
      <c r="X1255" s="29"/>
      <c r="Y1255" s="29"/>
      <c r="Z1255" s="29"/>
      <c r="AA1255" s="29"/>
      <c r="AB1255" s="29"/>
      <c r="AC1255" s="29"/>
      <c r="AD1255" s="29"/>
      <c r="AE1255" s="29"/>
      <c r="AF1255" s="29"/>
      <c r="AG1255" s="29"/>
      <c r="AH1255" s="29"/>
      <c r="AI1255" s="29"/>
      <c r="AJ1255" s="29"/>
      <c r="AK1255" s="29"/>
      <c r="AL1255" s="29"/>
      <c r="AM1255" s="29"/>
      <c r="AN1255" s="29"/>
      <c r="AO1255" s="29"/>
      <c r="AP1255" s="29"/>
      <c r="AQ1255" s="29"/>
      <c r="AR1255" s="29"/>
      <c r="AS1255" s="29"/>
      <c r="AT1255" s="29"/>
      <c r="AU1255" s="29"/>
      <c r="AV1255" s="29"/>
      <c r="AW1255" s="29"/>
      <c r="AX1255" s="29"/>
    </row>
    <row r="1256" spans="1:50" ht="15.75" x14ac:dyDescent="0.25">
      <c r="A1256" s="29"/>
      <c r="B1256" s="29"/>
      <c r="C1256" s="312"/>
      <c r="D1256" s="312"/>
      <c r="E1256" s="312"/>
      <c r="F1256" s="312"/>
      <c r="G1256" s="312"/>
      <c r="H1256" s="29"/>
      <c r="I1256" s="29"/>
      <c r="J1256" s="14"/>
      <c r="K1256" s="14"/>
      <c r="L1256" s="29"/>
      <c r="M1256" s="29"/>
      <c r="N1256" s="29"/>
      <c r="O1256" s="29"/>
      <c r="P1256" s="29"/>
      <c r="Q1256" s="29"/>
      <c r="R1256" s="29"/>
      <c r="S1256" s="29"/>
      <c r="T1256" s="29"/>
      <c r="U1256" s="29"/>
      <c r="V1256" s="29"/>
      <c r="W1256" s="29"/>
      <c r="X1256" s="29"/>
      <c r="Y1256" s="29"/>
      <c r="Z1256" s="29"/>
      <c r="AA1256" s="29"/>
      <c r="AB1256" s="29"/>
      <c r="AC1256" s="29"/>
      <c r="AD1256" s="29"/>
      <c r="AE1256" s="29"/>
      <c r="AF1256" s="29"/>
      <c r="AG1256" s="29"/>
      <c r="AH1256" s="29"/>
      <c r="AI1256" s="29"/>
      <c r="AJ1256" s="29"/>
      <c r="AK1256" s="29"/>
      <c r="AL1256" s="29"/>
      <c r="AM1256" s="29"/>
      <c r="AN1256" s="29"/>
      <c r="AO1256" s="29"/>
      <c r="AP1256" s="29"/>
      <c r="AQ1256" s="29"/>
      <c r="AR1256" s="29"/>
      <c r="AS1256" s="29"/>
      <c r="AT1256" s="29"/>
      <c r="AU1256" s="29"/>
      <c r="AV1256" s="29"/>
      <c r="AW1256" s="29"/>
      <c r="AX1256" s="29"/>
    </row>
    <row r="1257" spans="1:50" ht="15.75" x14ac:dyDescent="0.25">
      <c r="A1257" s="29"/>
      <c r="B1257" s="29"/>
      <c r="C1257" s="312"/>
      <c r="D1257" s="312"/>
      <c r="E1257" s="312"/>
      <c r="F1257" s="312"/>
      <c r="G1257" s="312"/>
      <c r="H1257" s="29"/>
      <c r="I1257" s="29"/>
      <c r="J1257" s="14"/>
      <c r="K1257" s="14"/>
      <c r="L1257" s="29"/>
      <c r="M1257" s="29"/>
      <c r="N1257" s="29"/>
      <c r="O1257" s="29"/>
      <c r="P1257" s="29"/>
      <c r="Q1257" s="29"/>
      <c r="R1257" s="29"/>
      <c r="S1257" s="29"/>
      <c r="T1257" s="29"/>
      <c r="U1257" s="29"/>
      <c r="V1257" s="29"/>
      <c r="W1257" s="29"/>
      <c r="X1257" s="29"/>
      <c r="Y1257" s="29"/>
      <c r="Z1257" s="29"/>
      <c r="AA1257" s="29"/>
      <c r="AB1257" s="29"/>
      <c r="AC1257" s="29"/>
      <c r="AD1257" s="29"/>
      <c r="AE1257" s="29"/>
      <c r="AF1257" s="29"/>
      <c r="AG1257" s="29"/>
      <c r="AH1257" s="29"/>
      <c r="AI1257" s="29"/>
      <c r="AJ1257" s="29"/>
      <c r="AK1257" s="29"/>
      <c r="AL1257" s="29"/>
      <c r="AM1257" s="29"/>
      <c r="AN1257" s="29"/>
      <c r="AO1257" s="29"/>
      <c r="AP1257" s="29"/>
      <c r="AQ1257" s="29"/>
      <c r="AR1257" s="29"/>
      <c r="AS1257" s="29"/>
      <c r="AT1257" s="29"/>
      <c r="AU1257" s="29"/>
      <c r="AV1257" s="29"/>
      <c r="AW1257" s="29"/>
      <c r="AX1257" s="29"/>
    </row>
    <row r="1258" spans="1:50" ht="15.75" x14ac:dyDescent="0.25">
      <c r="A1258" s="29"/>
      <c r="B1258" s="29"/>
      <c r="C1258" s="312"/>
      <c r="D1258" s="312"/>
      <c r="E1258" s="312"/>
      <c r="F1258" s="312"/>
      <c r="G1258" s="312"/>
      <c r="H1258" s="29"/>
      <c r="I1258" s="29"/>
      <c r="J1258" s="14"/>
      <c r="K1258" s="14"/>
      <c r="L1258" s="29"/>
      <c r="M1258" s="29"/>
      <c r="N1258" s="29"/>
      <c r="O1258" s="29"/>
      <c r="P1258" s="29"/>
      <c r="Q1258" s="29"/>
      <c r="R1258" s="29"/>
      <c r="S1258" s="29"/>
      <c r="T1258" s="29"/>
      <c r="U1258" s="29"/>
      <c r="V1258" s="29"/>
      <c r="W1258" s="29"/>
      <c r="X1258" s="29"/>
      <c r="Y1258" s="29"/>
      <c r="Z1258" s="29"/>
      <c r="AA1258" s="29"/>
      <c r="AB1258" s="29"/>
      <c r="AC1258" s="29"/>
      <c r="AD1258" s="29"/>
      <c r="AE1258" s="29"/>
      <c r="AF1258" s="29"/>
      <c r="AG1258" s="29"/>
      <c r="AH1258" s="29"/>
      <c r="AI1258" s="29"/>
      <c r="AJ1258" s="29"/>
      <c r="AK1258" s="29"/>
      <c r="AL1258" s="29"/>
      <c r="AM1258" s="29"/>
      <c r="AN1258" s="29"/>
      <c r="AO1258" s="29"/>
      <c r="AP1258" s="29"/>
      <c r="AQ1258" s="29"/>
      <c r="AR1258" s="29"/>
      <c r="AS1258" s="29"/>
      <c r="AT1258" s="29"/>
      <c r="AU1258" s="29"/>
      <c r="AV1258" s="29"/>
      <c r="AW1258" s="29"/>
      <c r="AX1258" s="29"/>
    </row>
    <row r="1259" spans="1:50" ht="15.75" x14ac:dyDescent="0.25">
      <c r="A1259" s="29"/>
      <c r="B1259" s="29"/>
      <c r="C1259" s="312"/>
      <c r="D1259" s="312"/>
      <c r="E1259" s="312"/>
      <c r="F1259" s="312"/>
      <c r="G1259" s="312"/>
      <c r="H1259" s="29"/>
      <c r="I1259" s="29"/>
      <c r="J1259" s="14"/>
      <c r="K1259" s="14"/>
      <c r="L1259" s="29"/>
      <c r="M1259" s="29"/>
      <c r="N1259" s="29"/>
      <c r="O1259" s="29"/>
      <c r="P1259" s="29"/>
      <c r="Q1259" s="29"/>
      <c r="R1259" s="29"/>
      <c r="S1259" s="29"/>
      <c r="T1259" s="29"/>
      <c r="U1259" s="29"/>
      <c r="V1259" s="29"/>
      <c r="W1259" s="29"/>
      <c r="X1259" s="29"/>
      <c r="Y1259" s="29"/>
      <c r="Z1259" s="29"/>
      <c r="AA1259" s="29"/>
      <c r="AB1259" s="29"/>
      <c r="AC1259" s="29"/>
      <c r="AD1259" s="29"/>
      <c r="AE1259" s="29"/>
      <c r="AF1259" s="29"/>
      <c r="AG1259" s="29"/>
      <c r="AH1259" s="29"/>
      <c r="AI1259" s="29"/>
      <c r="AJ1259" s="29"/>
      <c r="AK1259" s="29"/>
      <c r="AL1259" s="29"/>
      <c r="AM1259" s="29"/>
      <c r="AN1259" s="29"/>
      <c r="AO1259" s="29"/>
      <c r="AP1259" s="29"/>
      <c r="AQ1259" s="29"/>
      <c r="AR1259" s="29"/>
      <c r="AS1259" s="29"/>
      <c r="AT1259" s="29"/>
      <c r="AU1259" s="29"/>
      <c r="AV1259" s="29"/>
      <c r="AW1259" s="29"/>
      <c r="AX1259" s="29"/>
    </row>
    <row r="1260" spans="1:50" ht="15.75" x14ac:dyDescent="0.25">
      <c r="A1260" s="29"/>
      <c r="B1260" s="29"/>
      <c r="C1260" s="312"/>
      <c r="D1260" s="312"/>
      <c r="E1260" s="312"/>
      <c r="F1260" s="312"/>
      <c r="G1260" s="312"/>
      <c r="H1260" s="29"/>
      <c r="I1260" s="29"/>
      <c r="J1260" s="14"/>
      <c r="K1260" s="14"/>
      <c r="L1260" s="29"/>
      <c r="M1260" s="29"/>
      <c r="N1260" s="29"/>
      <c r="O1260" s="29"/>
      <c r="P1260" s="29"/>
      <c r="Q1260" s="29"/>
      <c r="R1260" s="29"/>
      <c r="S1260" s="29"/>
      <c r="T1260" s="29"/>
      <c r="U1260" s="29"/>
      <c r="V1260" s="29"/>
      <c r="W1260" s="29"/>
      <c r="X1260" s="29"/>
      <c r="Y1260" s="29"/>
      <c r="Z1260" s="29"/>
      <c r="AA1260" s="29"/>
      <c r="AB1260" s="29"/>
      <c r="AC1260" s="29"/>
      <c r="AD1260" s="29"/>
      <c r="AE1260" s="29"/>
      <c r="AF1260" s="29"/>
      <c r="AG1260" s="29"/>
      <c r="AH1260" s="29"/>
      <c r="AI1260" s="29"/>
      <c r="AJ1260" s="29"/>
      <c r="AK1260" s="29"/>
      <c r="AL1260" s="29"/>
      <c r="AM1260" s="29"/>
      <c r="AN1260" s="29"/>
      <c r="AO1260" s="29"/>
      <c r="AP1260" s="29"/>
      <c r="AQ1260" s="29"/>
      <c r="AR1260" s="29"/>
      <c r="AS1260" s="29"/>
      <c r="AT1260" s="29"/>
      <c r="AU1260" s="29"/>
      <c r="AV1260" s="29"/>
      <c r="AW1260" s="29"/>
      <c r="AX1260" s="29"/>
    </row>
    <row r="1261" spans="1:50" ht="15.75" x14ac:dyDescent="0.25">
      <c r="A1261" s="29"/>
      <c r="B1261" s="29"/>
      <c r="C1261" s="312"/>
      <c r="D1261" s="312"/>
      <c r="E1261" s="312"/>
      <c r="F1261" s="312"/>
      <c r="G1261" s="312"/>
      <c r="H1261" s="29"/>
      <c r="I1261" s="29"/>
      <c r="J1261" s="14"/>
      <c r="K1261" s="14"/>
      <c r="L1261" s="29"/>
      <c r="M1261" s="29"/>
      <c r="N1261" s="29"/>
      <c r="O1261" s="29"/>
      <c r="P1261" s="29"/>
      <c r="Q1261" s="29"/>
      <c r="R1261" s="29"/>
      <c r="S1261" s="29"/>
      <c r="T1261" s="29"/>
      <c r="U1261" s="29"/>
      <c r="V1261" s="29"/>
      <c r="W1261" s="29"/>
      <c r="X1261" s="29"/>
      <c r="Y1261" s="29"/>
      <c r="Z1261" s="29"/>
      <c r="AA1261" s="29"/>
      <c r="AB1261" s="29"/>
      <c r="AC1261" s="29"/>
      <c r="AD1261" s="29"/>
      <c r="AE1261" s="29"/>
      <c r="AF1261" s="29"/>
      <c r="AG1261" s="29"/>
      <c r="AH1261" s="29"/>
      <c r="AI1261" s="29"/>
      <c r="AJ1261" s="29"/>
      <c r="AK1261" s="29"/>
      <c r="AL1261" s="29"/>
      <c r="AM1261" s="29"/>
      <c r="AN1261" s="29"/>
      <c r="AO1261" s="29"/>
      <c r="AP1261" s="29"/>
      <c r="AQ1261" s="29"/>
      <c r="AR1261" s="29"/>
      <c r="AS1261" s="29"/>
      <c r="AT1261" s="29"/>
      <c r="AU1261" s="29"/>
      <c r="AV1261" s="29"/>
      <c r="AW1261" s="29"/>
      <c r="AX1261" s="29"/>
    </row>
    <row r="1262" spans="1:50" ht="15.75" x14ac:dyDescent="0.25">
      <c r="A1262" s="29"/>
      <c r="B1262" s="29"/>
      <c r="C1262" s="312"/>
      <c r="D1262" s="312"/>
      <c r="E1262" s="312"/>
      <c r="F1262" s="312"/>
      <c r="G1262" s="312"/>
      <c r="H1262" s="29"/>
      <c r="I1262" s="29"/>
      <c r="J1262" s="14"/>
      <c r="K1262" s="14"/>
      <c r="L1262" s="29"/>
      <c r="M1262" s="29"/>
      <c r="N1262" s="29"/>
      <c r="O1262" s="29"/>
      <c r="P1262" s="29"/>
      <c r="Q1262" s="29"/>
      <c r="R1262" s="29"/>
      <c r="S1262" s="29"/>
      <c r="T1262" s="29"/>
      <c r="U1262" s="29"/>
      <c r="V1262" s="29"/>
      <c r="W1262" s="29"/>
      <c r="X1262" s="29"/>
      <c r="Y1262" s="29"/>
      <c r="Z1262" s="29"/>
      <c r="AA1262" s="29"/>
      <c r="AB1262" s="29"/>
      <c r="AC1262" s="29"/>
      <c r="AD1262" s="29"/>
      <c r="AE1262" s="29"/>
      <c r="AF1262" s="29"/>
      <c r="AG1262" s="29"/>
      <c r="AH1262" s="29"/>
      <c r="AI1262" s="29"/>
      <c r="AJ1262" s="29"/>
      <c r="AK1262" s="29"/>
      <c r="AL1262" s="29"/>
      <c r="AM1262" s="29"/>
      <c r="AN1262" s="29"/>
      <c r="AO1262" s="29"/>
      <c r="AP1262" s="29"/>
      <c r="AQ1262" s="29"/>
      <c r="AR1262" s="29"/>
      <c r="AS1262" s="29"/>
      <c r="AT1262" s="29"/>
      <c r="AU1262" s="29"/>
      <c r="AV1262" s="29"/>
      <c r="AW1262" s="29"/>
      <c r="AX1262" s="29"/>
    </row>
    <row r="1263" spans="1:50" ht="15.75" x14ac:dyDescent="0.25">
      <c r="A1263" s="29"/>
      <c r="B1263" s="29"/>
      <c r="C1263" s="312"/>
      <c r="D1263" s="312"/>
      <c r="E1263" s="312"/>
      <c r="F1263" s="312"/>
      <c r="G1263" s="312"/>
      <c r="H1263" s="29"/>
      <c r="I1263" s="29"/>
      <c r="J1263" s="14"/>
      <c r="K1263" s="14"/>
      <c r="L1263" s="29"/>
      <c r="M1263" s="29"/>
      <c r="N1263" s="29"/>
      <c r="O1263" s="29"/>
      <c r="P1263" s="29"/>
      <c r="Q1263" s="29"/>
      <c r="R1263" s="29"/>
      <c r="S1263" s="29"/>
      <c r="T1263" s="29"/>
      <c r="U1263" s="29"/>
      <c r="V1263" s="29"/>
      <c r="W1263" s="29"/>
      <c r="X1263" s="29"/>
      <c r="Y1263" s="29"/>
      <c r="Z1263" s="29"/>
      <c r="AA1263" s="29"/>
      <c r="AB1263" s="29"/>
      <c r="AC1263" s="29"/>
      <c r="AD1263" s="29"/>
      <c r="AE1263" s="29"/>
      <c r="AF1263" s="29"/>
      <c r="AG1263" s="29"/>
      <c r="AH1263" s="29"/>
      <c r="AI1263" s="29"/>
      <c r="AJ1263" s="29"/>
      <c r="AK1263" s="29"/>
      <c r="AL1263" s="29"/>
      <c r="AM1263" s="29"/>
      <c r="AN1263" s="29"/>
      <c r="AO1263" s="29"/>
      <c r="AP1263" s="29"/>
      <c r="AQ1263" s="29"/>
      <c r="AR1263" s="29"/>
      <c r="AS1263" s="29"/>
      <c r="AT1263" s="29"/>
      <c r="AU1263" s="29"/>
      <c r="AV1263" s="29"/>
      <c r="AW1263" s="29"/>
      <c r="AX1263" s="29"/>
    </row>
    <row r="1264" spans="1:50" ht="15.75" x14ac:dyDescent="0.25">
      <c r="A1264" s="29"/>
      <c r="B1264" s="29"/>
      <c r="C1264" s="312"/>
      <c r="D1264" s="312"/>
      <c r="E1264" s="312"/>
      <c r="F1264" s="312"/>
      <c r="G1264" s="312"/>
      <c r="H1264" s="29"/>
      <c r="I1264" s="29"/>
      <c r="J1264" s="14"/>
      <c r="K1264" s="14"/>
      <c r="L1264" s="29"/>
      <c r="M1264" s="29"/>
      <c r="N1264" s="29"/>
      <c r="O1264" s="29"/>
      <c r="P1264" s="29"/>
      <c r="Q1264" s="29"/>
      <c r="R1264" s="29"/>
      <c r="S1264" s="29"/>
      <c r="T1264" s="29"/>
      <c r="U1264" s="29"/>
      <c r="V1264" s="29"/>
      <c r="W1264" s="29"/>
      <c r="X1264" s="29"/>
      <c r="Y1264" s="29"/>
      <c r="Z1264" s="29"/>
      <c r="AA1264" s="29"/>
      <c r="AB1264" s="29"/>
      <c r="AC1264" s="29"/>
      <c r="AD1264" s="29"/>
      <c r="AE1264" s="29"/>
      <c r="AF1264" s="29"/>
      <c r="AG1264" s="29"/>
      <c r="AH1264" s="29"/>
      <c r="AI1264" s="29"/>
      <c r="AJ1264" s="29"/>
      <c r="AK1264" s="29"/>
      <c r="AL1264" s="29"/>
      <c r="AM1264" s="29"/>
      <c r="AN1264" s="29"/>
      <c r="AO1264" s="29"/>
      <c r="AP1264" s="29"/>
      <c r="AQ1264" s="29"/>
      <c r="AR1264" s="29"/>
      <c r="AS1264" s="29"/>
      <c r="AT1264" s="29"/>
      <c r="AU1264" s="29"/>
      <c r="AV1264" s="29"/>
      <c r="AW1264" s="29"/>
      <c r="AX1264" s="29"/>
    </row>
    <row r="1265" spans="1:50" ht="15.75" x14ac:dyDescent="0.25">
      <c r="A1265" s="29"/>
      <c r="B1265" s="29"/>
      <c r="C1265" s="312"/>
      <c r="D1265" s="312"/>
      <c r="E1265" s="312"/>
      <c r="F1265" s="312"/>
      <c r="G1265" s="312"/>
      <c r="H1265" s="29"/>
      <c r="I1265" s="29"/>
      <c r="J1265" s="14"/>
      <c r="K1265" s="14"/>
      <c r="L1265" s="29"/>
      <c r="M1265" s="29"/>
      <c r="N1265" s="29"/>
      <c r="O1265" s="29"/>
      <c r="P1265" s="29"/>
      <c r="Q1265" s="29"/>
      <c r="R1265" s="29"/>
      <c r="S1265" s="29"/>
      <c r="T1265" s="29"/>
      <c r="U1265" s="29"/>
      <c r="V1265" s="29"/>
      <c r="W1265" s="29"/>
      <c r="X1265" s="29"/>
      <c r="Y1265" s="29"/>
      <c r="Z1265" s="29"/>
      <c r="AA1265" s="29"/>
      <c r="AB1265" s="29"/>
      <c r="AC1265" s="29"/>
      <c r="AD1265" s="29"/>
      <c r="AE1265" s="29"/>
      <c r="AF1265" s="29"/>
      <c r="AG1265" s="29"/>
      <c r="AH1265" s="29"/>
      <c r="AI1265" s="29"/>
      <c r="AJ1265" s="29"/>
      <c r="AK1265" s="29"/>
      <c r="AL1265" s="29"/>
      <c r="AM1265" s="29"/>
      <c r="AN1265" s="29"/>
      <c r="AO1265" s="29"/>
      <c r="AP1265" s="29"/>
      <c r="AQ1265" s="29"/>
      <c r="AR1265" s="29"/>
      <c r="AS1265" s="29"/>
      <c r="AT1265" s="29"/>
      <c r="AU1265" s="29"/>
      <c r="AV1265" s="29"/>
      <c r="AW1265" s="29"/>
      <c r="AX1265" s="29"/>
    </row>
    <row r="1266" spans="1:50" ht="15.75" x14ac:dyDescent="0.25">
      <c r="A1266" s="29"/>
      <c r="B1266" s="29"/>
      <c r="C1266" s="312"/>
      <c r="D1266" s="312"/>
      <c r="E1266" s="312"/>
      <c r="F1266" s="312"/>
      <c r="G1266" s="312"/>
      <c r="H1266" s="29"/>
      <c r="I1266" s="29"/>
      <c r="J1266" s="14"/>
      <c r="K1266" s="14"/>
      <c r="L1266" s="29"/>
      <c r="M1266" s="29"/>
      <c r="N1266" s="29"/>
      <c r="O1266" s="29"/>
      <c r="P1266" s="29"/>
      <c r="Q1266" s="29"/>
      <c r="R1266" s="29"/>
      <c r="S1266" s="29"/>
      <c r="T1266" s="29"/>
      <c r="U1266" s="29"/>
      <c r="V1266" s="29"/>
      <c r="W1266" s="29"/>
      <c r="X1266" s="29"/>
      <c r="Y1266" s="29"/>
      <c r="Z1266" s="29"/>
      <c r="AA1266" s="29"/>
      <c r="AB1266" s="29"/>
      <c r="AC1266" s="29"/>
      <c r="AD1266" s="29"/>
      <c r="AE1266" s="29"/>
      <c r="AF1266" s="29"/>
      <c r="AG1266" s="29"/>
      <c r="AH1266" s="29"/>
      <c r="AI1266" s="29"/>
      <c r="AJ1266" s="29"/>
      <c r="AK1266" s="29"/>
      <c r="AL1266" s="29"/>
      <c r="AM1266" s="29"/>
      <c r="AN1266" s="29"/>
      <c r="AO1266" s="29"/>
      <c r="AP1266" s="29"/>
      <c r="AQ1266" s="29"/>
      <c r="AR1266" s="29"/>
      <c r="AS1266" s="29"/>
      <c r="AT1266" s="29"/>
      <c r="AU1266" s="29"/>
      <c r="AV1266" s="29"/>
      <c r="AW1266" s="29"/>
      <c r="AX1266" s="29"/>
    </row>
    <row r="1267" spans="1:50" ht="15.75" x14ac:dyDescent="0.25">
      <c r="A1267" s="29"/>
      <c r="B1267" s="29"/>
      <c r="C1267" s="312"/>
      <c r="D1267" s="312"/>
      <c r="E1267" s="312"/>
      <c r="F1267" s="312"/>
      <c r="G1267" s="312"/>
      <c r="H1267" s="29"/>
      <c r="I1267" s="29"/>
      <c r="J1267" s="14"/>
      <c r="K1267" s="14"/>
      <c r="L1267" s="29"/>
      <c r="M1267" s="29"/>
      <c r="N1267" s="29"/>
      <c r="O1267" s="29"/>
      <c r="P1267" s="29"/>
      <c r="Q1267" s="29"/>
      <c r="R1267" s="29"/>
      <c r="S1267" s="29"/>
      <c r="T1267" s="29"/>
      <c r="U1267" s="29"/>
      <c r="V1267" s="29"/>
      <c r="W1267" s="29"/>
      <c r="X1267" s="29"/>
      <c r="Y1267" s="29"/>
      <c r="Z1267" s="29"/>
      <c r="AA1267" s="29"/>
      <c r="AB1267" s="29"/>
      <c r="AC1267" s="29"/>
      <c r="AD1267" s="29"/>
      <c r="AE1267" s="29"/>
      <c r="AF1267" s="29"/>
      <c r="AG1267" s="29"/>
      <c r="AH1267" s="29"/>
      <c r="AI1267" s="29"/>
      <c r="AJ1267" s="29"/>
      <c r="AK1267" s="29"/>
      <c r="AL1267" s="29"/>
      <c r="AM1267" s="29"/>
      <c r="AN1267" s="29"/>
      <c r="AO1267" s="29"/>
      <c r="AP1267" s="29"/>
      <c r="AQ1267" s="29"/>
      <c r="AR1267" s="29"/>
      <c r="AS1267" s="29"/>
      <c r="AT1267" s="29"/>
      <c r="AU1267" s="29"/>
      <c r="AV1267" s="29"/>
      <c r="AW1267" s="29"/>
      <c r="AX1267" s="29"/>
    </row>
    <row r="1268" spans="1:50" ht="15.75" x14ac:dyDescent="0.25">
      <c r="A1268" s="29"/>
      <c r="B1268" s="29"/>
      <c r="C1268" s="312"/>
      <c r="D1268" s="312"/>
      <c r="E1268" s="312"/>
      <c r="F1268" s="312"/>
      <c r="G1268" s="312"/>
      <c r="H1268" s="29"/>
      <c r="I1268" s="29"/>
      <c r="J1268" s="14"/>
      <c r="K1268" s="14"/>
      <c r="L1268" s="29"/>
      <c r="M1268" s="29"/>
      <c r="N1268" s="29"/>
      <c r="O1268" s="29"/>
      <c r="P1268" s="29"/>
      <c r="Q1268" s="29"/>
      <c r="R1268" s="29"/>
      <c r="S1268" s="29"/>
      <c r="T1268" s="29"/>
      <c r="U1268" s="29"/>
      <c r="V1268" s="29"/>
      <c r="W1268" s="29"/>
      <c r="X1268" s="29"/>
      <c r="Y1268" s="29"/>
      <c r="Z1268" s="29"/>
      <c r="AA1268" s="29"/>
      <c r="AB1268" s="29"/>
      <c r="AC1268" s="29"/>
      <c r="AD1268" s="29"/>
      <c r="AE1268" s="29"/>
      <c r="AF1268" s="29"/>
      <c r="AG1268" s="29"/>
      <c r="AH1268" s="29"/>
      <c r="AI1268" s="29"/>
      <c r="AJ1268" s="29"/>
      <c r="AK1268" s="29"/>
      <c r="AL1268" s="29"/>
      <c r="AM1268" s="29"/>
      <c r="AN1268" s="29"/>
      <c r="AO1268" s="29"/>
      <c r="AP1268" s="29"/>
      <c r="AQ1268" s="29"/>
      <c r="AR1268" s="29"/>
      <c r="AS1268" s="29"/>
      <c r="AT1268" s="29"/>
      <c r="AU1268" s="29"/>
      <c r="AV1268" s="29"/>
      <c r="AW1268" s="29"/>
      <c r="AX1268" s="29"/>
    </row>
    <row r="1269" spans="1:50" ht="15.75" x14ac:dyDescent="0.25">
      <c r="A1269" s="29"/>
      <c r="B1269" s="29"/>
      <c r="C1269" s="312"/>
      <c r="D1269" s="312"/>
      <c r="E1269" s="312"/>
      <c r="F1269" s="312"/>
      <c r="G1269" s="312"/>
      <c r="H1269" s="29"/>
      <c r="I1269" s="29"/>
      <c r="J1269" s="14"/>
      <c r="K1269" s="14"/>
      <c r="L1269" s="29"/>
      <c r="M1269" s="29"/>
      <c r="N1269" s="29"/>
      <c r="O1269" s="29"/>
      <c r="P1269" s="29"/>
      <c r="Q1269" s="29"/>
      <c r="R1269" s="29"/>
      <c r="S1269" s="29"/>
      <c r="T1269" s="29"/>
      <c r="U1269" s="29"/>
      <c r="V1269" s="29"/>
      <c r="W1269" s="29"/>
      <c r="X1269" s="29"/>
      <c r="Y1269" s="29"/>
      <c r="Z1269" s="29"/>
      <c r="AA1269" s="29"/>
      <c r="AB1269" s="29"/>
      <c r="AC1269" s="29"/>
      <c r="AD1269" s="29"/>
      <c r="AE1269" s="29"/>
      <c r="AF1269" s="29"/>
      <c r="AG1269" s="29"/>
      <c r="AH1269" s="29"/>
      <c r="AI1269" s="29"/>
      <c r="AJ1269" s="29"/>
      <c r="AK1269" s="29"/>
      <c r="AL1269" s="29"/>
      <c r="AM1269" s="29"/>
      <c r="AN1269" s="29"/>
      <c r="AO1269" s="29"/>
      <c r="AP1269" s="29"/>
      <c r="AQ1269" s="29"/>
      <c r="AR1269" s="29"/>
      <c r="AS1269" s="29"/>
      <c r="AT1269" s="29"/>
      <c r="AU1269" s="29"/>
      <c r="AV1269" s="29"/>
      <c r="AW1269" s="29"/>
      <c r="AX1269" s="29"/>
    </row>
  </sheetData>
  <sheetProtection sort="0" autoFilter="0" pivotTables="0"/>
  <autoFilter ref="A437:BG437"/>
  <mergeCells count="63">
    <mergeCell ref="C193:E193"/>
    <mergeCell ref="G193:L193"/>
    <mergeCell ref="A24:H24"/>
    <mergeCell ref="A207:D207"/>
    <mergeCell ref="H1119:K1119"/>
    <mergeCell ref="A378:F378"/>
    <mergeCell ref="A709:G709"/>
    <mergeCell ref="A710:G710"/>
    <mergeCell ref="A713:G713"/>
    <mergeCell ref="A1098:F1098"/>
    <mergeCell ref="A1112:F1112"/>
    <mergeCell ref="C1119:C1121"/>
    <mergeCell ref="D1119:D1121"/>
    <mergeCell ref="H1120:I1121"/>
    <mergeCell ref="A436:B436"/>
    <mergeCell ref="A1099:F1099"/>
    <mergeCell ref="A379:F379"/>
    <mergeCell ref="L1126:M1126"/>
    <mergeCell ref="J1124:K1124"/>
    <mergeCell ref="A1157:F1157"/>
    <mergeCell ref="H1124:I1124"/>
    <mergeCell ref="C1138:C1139"/>
    <mergeCell ref="D1138:F1138"/>
    <mergeCell ref="E1124:G1124"/>
    <mergeCell ref="B1130:F1130"/>
    <mergeCell ref="E1126:G1126"/>
    <mergeCell ref="L1125:M1125"/>
    <mergeCell ref="H1125:I1125"/>
    <mergeCell ref="L1122:M1122"/>
    <mergeCell ref="H1123:I1123"/>
    <mergeCell ref="J1123:K1123"/>
    <mergeCell ref="L1124:M1124"/>
    <mergeCell ref="G694:G696"/>
    <mergeCell ref="A711:G711"/>
    <mergeCell ref="A712:G712"/>
    <mergeCell ref="C694:F694"/>
    <mergeCell ref="C695:C696"/>
    <mergeCell ref="A697:B700"/>
    <mergeCell ref="D695:F695"/>
    <mergeCell ref="E1123:G1123"/>
    <mergeCell ref="L1123:M1123"/>
    <mergeCell ref="L1119:M1121"/>
    <mergeCell ref="A800:E800"/>
    <mergeCell ref="J1120:K1121"/>
    <mergeCell ref="H1122:I1122"/>
    <mergeCell ref="J1122:K1122"/>
    <mergeCell ref="A1103:F1103"/>
    <mergeCell ref="A1104:F1104"/>
    <mergeCell ref="A1105:F1105"/>
    <mergeCell ref="A1108:F1108"/>
    <mergeCell ref="E1122:G1122"/>
    <mergeCell ref="E1119:G1121"/>
    <mergeCell ref="A1111:F1111"/>
    <mergeCell ref="A1161:F1161"/>
    <mergeCell ref="A1159:F1159"/>
    <mergeCell ref="J1125:K1125"/>
    <mergeCell ref="H1126:K1126"/>
    <mergeCell ref="A1160:F1160"/>
    <mergeCell ref="A1158:F1158"/>
    <mergeCell ref="A1140:B1143"/>
    <mergeCell ref="E1125:G1125"/>
    <mergeCell ref="C1137:F1137"/>
    <mergeCell ref="G1137:G1139"/>
  </mergeCells>
  <phoneticPr fontId="0" type="noConversion"/>
  <hyperlinks>
    <hyperlink ref="H396" location="обор!A853" display="обор!A853"/>
    <hyperlink ref="C884" location="kursovoy!A432" display="ВОЗВРАЩАЙТЕСЬ В ЛИСТ   kursovoy"/>
    <hyperlink ref="F25" location="обор!A43" display="обор!A43"/>
    <hyperlink ref="E25" location="обор!A441" display="обор!A441"/>
    <hyperlink ref="H407" location="обор!A446" display="обор!A446"/>
    <hyperlink ref="F848" location="обор!A890" display="обор!A890"/>
    <hyperlink ref="D884" location="kursovoy!A425" display="kursovoy!A425"/>
  </hyperlinks>
  <pageMargins left="0.78740157480314965" right="0.78740157480314965" top="0.98425196850393704" bottom="0.98425196850393704" header="0.51181102362204722" footer="0.51181102362204722"/>
  <pageSetup paperSize="9" orientation="portrait" horizontalDpi="300"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715"/>
  <sheetViews>
    <sheetView topLeftCell="A163" zoomScale="130" workbookViewId="0">
      <pane ySplit="7785" topLeftCell="A434"/>
      <selection activeCell="B97" sqref="B97:B101"/>
      <selection pane="bottomLeft" activeCell="I437" sqref="I437"/>
    </sheetView>
  </sheetViews>
  <sheetFormatPr defaultRowHeight="12.75" x14ac:dyDescent="0.2"/>
  <cols>
    <col min="1" max="1" width="45.85546875" customWidth="1"/>
    <col min="4" max="4" width="10.140625" customWidth="1"/>
    <col min="6" max="6" width="10.140625" customWidth="1"/>
    <col min="7" max="7" width="10.28515625" bestFit="1" customWidth="1"/>
    <col min="10" max="10" width="10.140625" bestFit="1" customWidth="1"/>
    <col min="11" max="11" width="9.28515625" bestFit="1" customWidth="1"/>
  </cols>
  <sheetData>
    <row r="1" spans="1:36" ht="18.75" thickBot="1" x14ac:dyDescent="0.3">
      <c r="A1" s="4157" t="s">
        <v>6864</v>
      </c>
    </row>
    <row r="2" spans="1:36" ht="18.75" x14ac:dyDescent="0.3">
      <c r="A2" s="379" t="s">
        <v>2395</v>
      </c>
      <c r="B2" s="380"/>
      <c r="C2" s="380"/>
      <c r="D2" s="380"/>
      <c r="E2" s="380"/>
      <c r="F2" s="380"/>
      <c r="G2" s="380"/>
      <c r="H2" s="381"/>
      <c r="I2" s="11"/>
      <c r="J2" s="62"/>
      <c r="K2" s="62"/>
      <c r="L2" s="62"/>
      <c r="M2" s="62"/>
      <c r="N2" s="62"/>
      <c r="O2" s="62"/>
      <c r="P2" s="62"/>
      <c r="Q2" s="62"/>
      <c r="R2" s="42"/>
      <c r="U2" s="42"/>
      <c r="V2" s="42"/>
      <c r="W2" s="42"/>
      <c r="X2" s="42"/>
      <c r="Y2" s="42"/>
      <c r="Z2" s="42"/>
      <c r="AA2" s="42"/>
      <c r="AB2" s="42"/>
      <c r="AC2" s="42"/>
      <c r="AD2" s="42"/>
      <c r="AE2" s="42"/>
      <c r="AF2" s="42"/>
      <c r="AG2" s="42"/>
      <c r="AH2" s="42"/>
      <c r="AI2" s="42"/>
      <c r="AJ2" s="42"/>
    </row>
    <row r="3" spans="1:36" ht="15.75" x14ac:dyDescent="0.25">
      <c r="A3" s="384" t="s">
        <v>590</v>
      </c>
      <c r="B3" s="15"/>
      <c r="C3" s="15"/>
      <c r="D3" s="15"/>
      <c r="E3" s="15"/>
      <c r="F3" s="15"/>
      <c r="G3" s="15"/>
      <c r="H3" s="385"/>
      <c r="I3" s="11"/>
      <c r="J3" s="62"/>
      <c r="K3" s="62"/>
      <c r="L3" s="62"/>
      <c r="M3" s="62"/>
      <c r="N3" s="62"/>
      <c r="O3" s="62"/>
      <c r="P3" s="62"/>
      <c r="Q3" s="62"/>
      <c r="R3" s="42"/>
      <c r="S3" s="42"/>
      <c r="T3" s="42"/>
      <c r="U3" s="42"/>
      <c r="V3" s="42"/>
      <c r="W3" s="42"/>
      <c r="X3" s="42"/>
      <c r="Y3" s="42"/>
      <c r="Z3" s="42"/>
      <c r="AA3" s="42"/>
      <c r="AB3" s="42"/>
      <c r="AC3" s="42"/>
      <c r="AD3" s="42"/>
      <c r="AE3" s="42"/>
      <c r="AF3" s="42"/>
      <c r="AG3" s="42"/>
      <c r="AH3" s="42"/>
      <c r="AI3" s="42"/>
      <c r="AJ3" s="42"/>
    </row>
    <row r="4" spans="1:36" ht="17.25" x14ac:dyDescent="0.3">
      <c r="A4" s="358" t="s">
        <v>362</v>
      </c>
      <c r="B4" s="15"/>
      <c r="C4" s="15"/>
      <c r="D4" s="15"/>
      <c r="E4" s="15"/>
      <c r="F4" s="15"/>
      <c r="G4" s="15"/>
      <c r="H4" s="385"/>
      <c r="I4" s="11"/>
      <c r="J4" s="62"/>
      <c r="K4" s="62"/>
      <c r="L4" s="62"/>
      <c r="M4" s="62"/>
      <c r="N4" s="62"/>
      <c r="O4" s="62"/>
      <c r="P4" s="62"/>
      <c r="Q4" s="62"/>
      <c r="R4" s="42"/>
      <c r="S4" s="42"/>
      <c r="T4" s="42"/>
      <c r="U4" s="42"/>
      <c r="V4" s="42"/>
      <c r="W4" s="42"/>
      <c r="X4" s="42"/>
      <c r="Y4" s="42"/>
      <c r="Z4" s="42"/>
      <c r="AA4" s="42"/>
      <c r="AB4" s="42"/>
      <c r="AC4" s="42"/>
      <c r="AD4" s="42"/>
      <c r="AE4" s="42"/>
      <c r="AF4" s="42"/>
      <c r="AG4" s="42"/>
      <c r="AH4" s="42"/>
      <c r="AI4" s="42"/>
      <c r="AJ4" s="42"/>
    </row>
    <row r="5" spans="1:36" ht="17.25" x14ac:dyDescent="0.3">
      <c r="A5" s="384" t="s">
        <v>363</v>
      </c>
      <c r="B5" s="15"/>
      <c r="C5" s="15"/>
      <c r="D5" s="15"/>
      <c r="E5" s="15"/>
      <c r="F5" s="15"/>
      <c r="G5" s="15"/>
      <c r="H5" s="385"/>
      <c r="I5" s="11"/>
      <c r="J5" s="62"/>
      <c r="K5" s="62"/>
      <c r="L5" s="62"/>
      <c r="M5" s="62"/>
      <c r="N5" s="62"/>
      <c r="O5" s="62"/>
      <c r="P5" s="62"/>
      <c r="Q5" s="62"/>
      <c r="R5" s="42"/>
      <c r="S5" s="42"/>
      <c r="T5" s="42"/>
      <c r="U5" s="42"/>
      <c r="V5" s="42"/>
      <c r="W5" s="42"/>
      <c r="X5" s="42"/>
      <c r="Y5" s="42"/>
      <c r="Z5" s="42"/>
      <c r="AA5" s="42"/>
      <c r="AB5" s="42"/>
      <c r="AC5" s="42"/>
      <c r="AD5" s="42"/>
      <c r="AE5" s="42"/>
      <c r="AF5" s="42"/>
      <c r="AG5" s="42"/>
      <c r="AH5" s="42"/>
      <c r="AI5" s="42"/>
      <c r="AJ5" s="42"/>
    </row>
    <row r="6" spans="1:36" ht="15.75" x14ac:dyDescent="0.25">
      <c r="A6" s="387" t="s">
        <v>2768</v>
      </c>
      <c r="B6" s="15"/>
      <c r="C6" s="15"/>
      <c r="D6" s="15"/>
      <c r="E6" s="15"/>
      <c r="F6" s="15"/>
      <c r="G6" s="15"/>
      <c r="H6" s="385"/>
      <c r="I6" s="11"/>
      <c r="J6" s="62"/>
      <c r="K6" s="62"/>
      <c r="L6" s="62"/>
      <c r="M6" s="62"/>
      <c r="N6" s="62"/>
      <c r="O6" s="62"/>
      <c r="P6" s="62"/>
      <c r="Q6" s="62"/>
      <c r="R6" s="42"/>
      <c r="S6" s="42"/>
      <c r="T6" s="42"/>
      <c r="U6" s="42"/>
      <c r="V6" s="42"/>
      <c r="W6" s="42"/>
      <c r="X6" s="42"/>
      <c r="Y6" s="42"/>
      <c r="Z6" s="42"/>
      <c r="AA6" s="42"/>
      <c r="AB6" s="42"/>
      <c r="AC6" s="42"/>
      <c r="AD6" s="42"/>
      <c r="AE6" s="42"/>
      <c r="AF6" s="42"/>
      <c r="AG6" s="42"/>
      <c r="AH6" s="42"/>
      <c r="AI6" s="42"/>
      <c r="AJ6" s="42"/>
    </row>
    <row r="7" spans="1:36" ht="17.25" x14ac:dyDescent="0.3">
      <c r="A7" s="358" t="s">
        <v>1665</v>
      </c>
      <c r="B7" s="15"/>
      <c r="C7" s="15"/>
      <c r="D7" s="15"/>
      <c r="E7" s="15"/>
      <c r="F7" s="15"/>
      <c r="G7" s="15"/>
      <c r="H7" s="385"/>
      <c r="I7" s="11"/>
      <c r="J7" s="62"/>
      <c r="K7" s="62"/>
      <c r="L7" s="62"/>
      <c r="M7" s="62"/>
      <c r="N7" s="62"/>
      <c r="O7" s="62"/>
      <c r="P7" s="62"/>
      <c r="Q7" s="62"/>
      <c r="R7" s="42"/>
      <c r="S7" s="42"/>
      <c r="T7" s="42"/>
      <c r="U7" s="42"/>
      <c r="V7" s="42"/>
      <c r="W7" s="42"/>
      <c r="X7" s="42"/>
      <c r="Y7" s="42"/>
      <c r="Z7" s="42"/>
      <c r="AA7" s="42"/>
      <c r="AB7" s="42"/>
      <c r="AC7" s="42"/>
      <c r="AD7" s="42"/>
      <c r="AE7" s="42"/>
      <c r="AF7" s="42"/>
      <c r="AG7" s="42"/>
      <c r="AH7" s="42"/>
      <c r="AI7" s="42"/>
      <c r="AJ7" s="42"/>
    </row>
    <row r="8" spans="1:36" ht="15.75" x14ac:dyDescent="0.25">
      <c r="A8" s="384" t="s">
        <v>2561</v>
      </c>
      <c r="B8" s="2923"/>
      <c r="C8" s="2923"/>
      <c r="D8" s="2923"/>
      <c r="E8" s="2923"/>
      <c r="F8" s="2923"/>
      <c r="G8" s="2923"/>
      <c r="H8" s="2924"/>
      <c r="I8" s="11"/>
      <c r="J8" s="62"/>
      <c r="K8" s="62"/>
      <c r="L8" s="62"/>
      <c r="M8" s="62"/>
      <c r="N8" s="62"/>
      <c r="O8" s="62"/>
      <c r="P8" s="62"/>
      <c r="Q8" s="62"/>
      <c r="R8" s="42"/>
      <c r="S8" s="42"/>
      <c r="T8" s="42"/>
      <c r="U8" s="42"/>
      <c r="V8" s="42"/>
      <c r="W8" s="42"/>
      <c r="X8" s="42"/>
      <c r="Y8" s="42"/>
      <c r="Z8" s="42"/>
      <c r="AA8" s="42"/>
      <c r="AB8" s="42"/>
      <c r="AC8" s="42"/>
      <c r="AD8" s="42"/>
      <c r="AE8" s="42"/>
      <c r="AF8" s="42"/>
      <c r="AG8" s="42"/>
      <c r="AH8" s="42"/>
      <c r="AI8" s="42"/>
      <c r="AJ8" s="42"/>
    </row>
    <row r="9" spans="1:36" ht="15.75" x14ac:dyDescent="0.25">
      <c r="A9" s="384" t="s">
        <v>2562</v>
      </c>
      <c r="B9" s="2923"/>
      <c r="C9" s="2923"/>
      <c r="D9" s="2923"/>
      <c r="E9" s="2923"/>
      <c r="F9" s="2923"/>
      <c r="G9" s="2923"/>
      <c r="H9" s="2924"/>
      <c r="I9" s="11"/>
      <c r="J9" s="62"/>
      <c r="K9" s="62"/>
      <c r="L9" s="62"/>
      <c r="M9" s="62"/>
      <c r="N9" s="62"/>
      <c r="O9" s="62"/>
      <c r="P9" s="62"/>
      <c r="Q9" s="62"/>
      <c r="R9" s="42"/>
      <c r="S9" s="42"/>
      <c r="T9" s="42"/>
      <c r="U9" s="42"/>
      <c r="V9" s="42"/>
      <c r="W9" s="42"/>
      <c r="X9" s="42"/>
      <c r="Y9" s="42"/>
      <c r="Z9" s="42"/>
      <c r="AA9" s="42"/>
      <c r="AB9" s="42"/>
      <c r="AC9" s="42"/>
      <c r="AD9" s="42"/>
      <c r="AE9" s="42"/>
      <c r="AF9" s="42"/>
      <c r="AG9" s="42"/>
      <c r="AH9" s="42"/>
      <c r="AI9" s="42"/>
      <c r="AJ9" s="42"/>
    </row>
    <row r="10" spans="1:36" ht="15.75" x14ac:dyDescent="0.25">
      <c r="A10" s="384" t="s">
        <v>2563</v>
      </c>
      <c r="B10" s="2923"/>
      <c r="C10" s="2923"/>
      <c r="D10" s="2923"/>
      <c r="E10" s="2923"/>
      <c r="F10" s="2923"/>
      <c r="G10" s="2923"/>
      <c r="H10" s="2924"/>
      <c r="I10" s="11"/>
      <c r="J10" s="62"/>
      <c r="K10" s="62"/>
      <c r="L10" s="62"/>
      <c r="M10" s="62"/>
      <c r="N10" s="62"/>
      <c r="O10" s="62"/>
      <c r="P10" s="62"/>
      <c r="Q10" s="62"/>
      <c r="R10" s="42"/>
      <c r="S10" s="42"/>
      <c r="T10" s="42"/>
      <c r="U10" s="42"/>
      <c r="V10" s="42"/>
      <c r="W10" s="42"/>
      <c r="X10" s="42"/>
      <c r="Y10" s="42"/>
      <c r="Z10" s="42"/>
      <c r="AA10" s="42"/>
      <c r="AB10" s="42"/>
      <c r="AC10" s="42"/>
      <c r="AD10" s="42"/>
      <c r="AE10" s="42"/>
      <c r="AF10" s="42"/>
      <c r="AG10" s="42"/>
      <c r="AH10" s="42"/>
      <c r="AI10" s="42"/>
      <c r="AJ10" s="42"/>
    </row>
    <row r="11" spans="1:36" ht="15.75" x14ac:dyDescent="0.25">
      <c r="A11" s="384" t="s">
        <v>4508</v>
      </c>
      <c r="B11" s="2923"/>
      <c r="C11" s="2923"/>
      <c r="D11" s="2923"/>
      <c r="E11" s="2923"/>
      <c r="F11" s="2923"/>
      <c r="G11" s="2923"/>
      <c r="H11" s="2924"/>
      <c r="I11" s="11"/>
      <c r="J11" s="62"/>
      <c r="K11" s="62"/>
      <c r="L11" s="62"/>
      <c r="M11" s="62"/>
      <c r="N11" s="62"/>
      <c r="O11" s="62"/>
      <c r="P11" s="62"/>
      <c r="Q11" s="62"/>
      <c r="R11" s="42"/>
      <c r="S11" s="42"/>
      <c r="T11" s="42"/>
      <c r="U11" s="42"/>
      <c r="V11" s="42"/>
      <c r="W11" s="42"/>
      <c r="X11" s="42"/>
      <c r="Y11" s="42"/>
      <c r="Z11" s="42"/>
      <c r="AA11" s="42"/>
      <c r="AB11" s="42"/>
      <c r="AC11" s="42"/>
      <c r="AD11" s="42"/>
      <c r="AE11" s="42"/>
      <c r="AF11" s="42"/>
      <c r="AG11" s="42"/>
      <c r="AH11" s="42"/>
      <c r="AI11" s="42"/>
      <c r="AJ11" s="42"/>
    </row>
    <row r="12" spans="1:36" ht="15.75" x14ac:dyDescent="0.25">
      <c r="A12" s="384" t="s">
        <v>4509</v>
      </c>
      <c r="B12" s="2923"/>
      <c r="C12" s="2923"/>
      <c r="D12" s="2923"/>
      <c r="E12" s="2923"/>
      <c r="F12" s="2923"/>
      <c r="G12" s="2923"/>
      <c r="H12" s="2924"/>
      <c r="I12" s="11"/>
      <c r="J12" s="62"/>
      <c r="K12" s="62"/>
      <c r="L12" s="62"/>
      <c r="M12" s="62"/>
      <c r="N12" s="62"/>
      <c r="O12" s="62"/>
      <c r="P12" s="62"/>
      <c r="Q12" s="62"/>
      <c r="R12" s="42"/>
      <c r="S12" s="42"/>
      <c r="T12" s="42"/>
      <c r="U12" s="42"/>
      <c r="V12" s="42"/>
      <c r="W12" s="42"/>
      <c r="X12" s="42"/>
      <c r="Y12" s="42"/>
      <c r="Z12" s="42"/>
      <c r="AA12" s="42"/>
      <c r="AB12" s="42"/>
      <c r="AC12" s="42"/>
      <c r="AD12" s="42"/>
      <c r="AE12" s="42"/>
      <c r="AF12" s="42"/>
      <c r="AG12" s="42"/>
      <c r="AH12" s="42"/>
      <c r="AI12" s="42"/>
      <c r="AJ12" s="42"/>
    </row>
    <row r="13" spans="1:36" ht="15.75" x14ac:dyDescent="0.25">
      <c r="A13" s="384" t="s">
        <v>4510</v>
      </c>
      <c r="B13" s="2923"/>
      <c r="C13" s="2923"/>
      <c r="D13" s="2923"/>
      <c r="E13" s="2923"/>
      <c r="F13" s="2923"/>
      <c r="G13" s="2923"/>
      <c r="H13" s="2924"/>
      <c r="I13" s="11"/>
      <c r="J13" s="62"/>
      <c r="K13" s="62"/>
      <c r="L13" s="62"/>
      <c r="M13" s="62"/>
      <c r="N13" s="62"/>
      <c r="O13" s="62"/>
      <c r="P13" s="62"/>
      <c r="Q13" s="62"/>
      <c r="R13" s="42"/>
      <c r="S13" s="42"/>
      <c r="T13" s="42"/>
      <c r="U13" s="42"/>
      <c r="V13" s="42"/>
      <c r="W13" s="42"/>
      <c r="X13" s="42"/>
      <c r="Y13" s="42"/>
      <c r="Z13" s="42"/>
      <c r="AA13" s="42"/>
      <c r="AB13" s="42"/>
      <c r="AC13" s="42"/>
      <c r="AD13" s="42"/>
      <c r="AE13" s="42"/>
      <c r="AF13" s="42"/>
      <c r="AG13" s="42"/>
      <c r="AH13" s="42"/>
      <c r="AI13" s="42"/>
      <c r="AJ13" s="42"/>
    </row>
    <row r="14" spans="1:36" ht="15.75" x14ac:dyDescent="0.25">
      <c r="A14" s="384" t="s">
        <v>1664</v>
      </c>
      <c r="B14" s="2923"/>
      <c r="C14" s="2923"/>
      <c r="D14" s="2923"/>
      <c r="E14" s="2923"/>
      <c r="F14" s="2923"/>
      <c r="G14" s="2923"/>
      <c r="H14" s="2924"/>
      <c r="I14" s="11"/>
      <c r="J14" s="62"/>
      <c r="K14" s="62"/>
      <c r="L14" s="62"/>
      <c r="M14" s="62"/>
      <c r="N14" s="62"/>
      <c r="O14" s="62"/>
      <c r="P14" s="62"/>
      <c r="Q14" s="62"/>
      <c r="R14" s="42"/>
      <c r="S14" s="42"/>
      <c r="T14" s="42"/>
      <c r="U14" s="42"/>
      <c r="V14" s="42"/>
      <c r="W14" s="42"/>
      <c r="X14" s="42"/>
      <c r="Y14" s="42"/>
      <c r="Z14" s="42"/>
      <c r="AA14" s="42"/>
      <c r="AB14" s="42"/>
      <c r="AC14" s="42"/>
      <c r="AD14" s="42"/>
      <c r="AE14" s="42"/>
      <c r="AF14" s="42"/>
      <c r="AG14" s="42"/>
      <c r="AH14" s="42"/>
      <c r="AI14" s="42"/>
      <c r="AJ14" s="42"/>
    </row>
    <row r="15" spans="1:36" ht="15.75" x14ac:dyDescent="0.25">
      <c r="A15" s="384" t="s">
        <v>1666</v>
      </c>
      <c r="B15" s="2923"/>
      <c r="C15" s="2923"/>
      <c r="D15" s="2923"/>
      <c r="E15" s="2923"/>
      <c r="F15" s="2923"/>
      <c r="G15" s="2923"/>
      <c r="H15" s="2924"/>
      <c r="I15" s="11"/>
      <c r="J15" s="62"/>
      <c r="K15" s="62"/>
      <c r="L15" s="62"/>
      <c r="M15" s="62"/>
      <c r="N15" s="62"/>
      <c r="O15" s="62"/>
      <c r="P15" s="62"/>
      <c r="Q15" s="62"/>
      <c r="R15" s="42"/>
      <c r="S15" s="42"/>
      <c r="T15" s="42"/>
      <c r="U15" s="42"/>
      <c r="V15" s="42"/>
      <c r="W15" s="42"/>
      <c r="X15" s="42"/>
      <c r="Y15" s="42"/>
      <c r="Z15" s="42"/>
      <c r="AA15" s="42"/>
      <c r="AB15" s="42"/>
      <c r="AC15" s="42"/>
      <c r="AD15" s="42"/>
      <c r="AE15" s="42"/>
      <c r="AF15" s="42"/>
      <c r="AG15" s="42"/>
      <c r="AH15" s="42"/>
      <c r="AI15" s="42"/>
      <c r="AJ15" s="42"/>
    </row>
    <row r="16" spans="1:36" ht="15.75" x14ac:dyDescent="0.25">
      <c r="A16" s="384" t="s">
        <v>1667</v>
      </c>
      <c r="B16" s="2923"/>
      <c r="C16" s="2923"/>
      <c r="D16" s="2923"/>
      <c r="E16" s="2923"/>
      <c r="F16" s="2923"/>
      <c r="G16" s="2923"/>
      <c r="H16" s="2924"/>
      <c r="I16" s="11"/>
      <c r="J16" s="62"/>
      <c r="K16" s="62"/>
      <c r="L16" s="62"/>
      <c r="M16" s="62"/>
      <c r="N16" s="62"/>
      <c r="O16" s="62"/>
      <c r="P16" s="62"/>
      <c r="Q16" s="62"/>
      <c r="R16" s="42"/>
      <c r="S16" s="42"/>
      <c r="T16" s="42"/>
      <c r="U16" s="42"/>
      <c r="V16" s="42"/>
      <c r="W16" s="42"/>
      <c r="X16" s="42"/>
      <c r="Y16" s="42"/>
      <c r="Z16" s="42"/>
      <c r="AA16" s="42"/>
      <c r="AB16" s="42"/>
      <c r="AC16" s="42"/>
      <c r="AD16" s="42"/>
      <c r="AE16" s="42"/>
      <c r="AF16" s="42"/>
      <c r="AG16" s="42"/>
      <c r="AH16" s="42"/>
      <c r="AI16" s="42"/>
      <c r="AJ16" s="42"/>
    </row>
    <row r="17" spans="1:36" ht="15.75" x14ac:dyDescent="0.25">
      <c r="A17" s="384" t="s">
        <v>1668</v>
      </c>
      <c r="B17" s="2923"/>
      <c r="C17" s="2923"/>
      <c r="D17" s="2923"/>
      <c r="E17" s="2923"/>
      <c r="F17" s="2923"/>
      <c r="G17" s="2923"/>
      <c r="H17" s="2924"/>
      <c r="I17" s="11"/>
      <c r="J17" s="62"/>
      <c r="K17" s="62"/>
      <c r="L17" s="62"/>
      <c r="M17" s="62"/>
      <c r="N17" s="62"/>
      <c r="O17" s="62"/>
      <c r="P17" s="62"/>
      <c r="Q17" s="62"/>
      <c r="R17" s="42"/>
      <c r="S17" s="42"/>
      <c r="T17" s="42"/>
      <c r="U17" s="42"/>
      <c r="V17" s="42"/>
      <c r="W17" s="42"/>
      <c r="X17" s="42"/>
      <c r="Y17" s="42"/>
      <c r="Z17" s="42"/>
      <c r="AA17" s="42"/>
      <c r="AB17" s="42"/>
      <c r="AC17" s="42"/>
      <c r="AD17" s="42"/>
      <c r="AE17" s="42"/>
      <c r="AF17" s="42"/>
      <c r="AG17" s="42"/>
      <c r="AH17" s="42"/>
      <c r="AI17" s="42"/>
      <c r="AJ17" s="42"/>
    </row>
    <row r="18" spans="1:36" ht="15.75" x14ac:dyDescent="0.25">
      <c r="A18" s="384" t="s">
        <v>1663</v>
      </c>
      <c r="B18" s="2923"/>
      <c r="C18" s="2923"/>
      <c r="D18" s="2923"/>
      <c r="E18" s="2923"/>
      <c r="F18" s="2923"/>
      <c r="G18" s="2923"/>
      <c r="H18" s="2924"/>
      <c r="I18" s="11"/>
      <c r="J18" s="62"/>
      <c r="K18" s="62"/>
      <c r="L18" s="62"/>
      <c r="M18" s="62"/>
      <c r="N18" s="62"/>
      <c r="O18" s="62"/>
      <c r="P18" s="62"/>
      <c r="Q18" s="62"/>
      <c r="R18" s="42"/>
      <c r="S18" s="42"/>
      <c r="T18" s="42"/>
      <c r="U18" s="42"/>
      <c r="V18" s="42"/>
      <c r="W18" s="42"/>
      <c r="X18" s="42"/>
      <c r="Y18" s="42"/>
      <c r="Z18" s="42"/>
      <c r="AA18" s="42"/>
      <c r="AB18" s="42"/>
      <c r="AC18" s="42"/>
      <c r="AD18" s="42"/>
      <c r="AE18" s="42"/>
      <c r="AF18" s="42"/>
      <c r="AG18" s="42"/>
      <c r="AH18" s="42"/>
      <c r="AI18" s="42"/>
      <c r="AJ18" s="42"/>
    </row>
    <row r="19" spans="1:36" ht="15.75" x14ac:dyDescent="0.25">
      <c r="A19" s="384" t="s">
        <v>1658</v>
      </c>
      <c r="B19" s="2923"/>
      <c r="C19" s="2923"/>
      <c r="D19" s="2923"/>
      <c r="E19" s="2923"/>
      <c r="F19" s="2923"/>
      <c r="G19" s="2923"/>
      <c r="H19" s="2924"/>
      <c r="I19" s="11"/>
      <c r="J19" s="62"/>
      <c r="K19" s="62"/>
      <c r="L19" s="62"/>
      <c r="M19" s="62"/>
      <c r="N19" s="62"/>
      <c r="O19" s="62"/>
      <c r="P19" s="62"/>
      <c r="Q19" s="62"/>
      <c r="R19" s="42"/>
      <c r="S19" s="42"/>
      <c r="T19" s="42"/>
      <c r="U19" s="42"/>
      <c r="V19" s="42"/>
      <c r="W19" s="42"/>
      <c r="X19" s="42"/>
      <c r="Y19" s="42"/>
      <c r="Z19" s="42"/>
      <c r="AA19" s="42"/>
      <c r="AB19" s="42"/>
      <c r="AC19" s="42"/>
      <c r="AD19" s="42"/>
      <c r="AE19" s="42"/>
      <c r="AF19" s="42"/>
      <c r="AG19" s="42"/>
      <c r="AH19" s="42"/>
      <c r="AI19" s="42"/>
      <c r="AJ19" s="42"/>
    </row>
    <row r="20" spans="1:36" ht="15.75" x14ac:dyDescent="0.25">
      <c r="A20" s="384" t="s">
        <v>1669</v>
      </c>
      <c r="B20" s="2923"/>
      <c r="C20" s="2923"/>
      <c r="D20" s="2923"/>
      <c r="E20" s="2923"/>
      <c r="F20" s="2923"/>
      <c r="G20" s="2923"/>
      <c r="H20" s="2924"/>
      <c r="I20" s="11"/>
      <c r="J20" s="62"/>
      <c r="K20" s="62"/>
      <c r="L20" s="62"/>
      <c r="M20" s="62"/>
      <c r="N20" s="62"/>
      <c r="O20" s="62"/>
      <c r="P20" s="62"/>
      <c r="Q20" s="62"/>
      <c r="R20" s="42"/>
      <c r="S20" s="42"/>
      <c r="T20" s="42"/>
      <c r="U20" s="42"/>
      <c r="V20" s="42"/>
      <c r="W20" s="42"/>
      <c r="X20" s="42"/>
      <c r="Y20" s="42"/>
      <c r="Z20" s="42"/>
      <c r="AA20" s="42"/>
      <c r="AB20" s="42"/>
      <c r="AC20" s="42"/>
      <c r="AD20" s="42"/>
      <c r="AE20" s="42"/>
      <c r="AF20" s="42"/>
      <c r="AG20" s="42"/>
      <c r="AH20" s="42"/>
      <c r="AI20" s="42"/>
      <c r="AJ20" s="42"/>
    </row>
    <row r="21" spans="1:36" ht="15.75" x14ac:dyDescent="0.25">
      <c r="A21" s="384" t="s">
        <v>1670</v>
      </c>
      <c r="B21" s="2923"/>
      <c r="C21" s="2923"/>
      <c r="D21" s="2923"/>
      <c r="E21" s="2923"/>
      <c r="F21" s="2923"/>
      <c r="G21" s="2923"/>
      <c r="H21" s="2924"/>
      <c r="I21" s="11"/>
      <c r="J21" s="62"/>
      <c r="K21" s="62"/>
      <c r="L21" s="62"/>
      <c r="M21" s="62"/>
      <c r="N21" s="62"/>
      <c r="O21" s="62"/>
      <c r="P21" s="62"/>
      <c r="Q21" s="62"/>
      <c r="R21" s="42"/>
      <c r="S21" s="42"/>
      <c r="T21" s="42"/>
      <c r="U21" s="42"/>
      <c r="V21" s="42"/>
      <c r="W21" s="42"/>
      <c r="X21" s="42"/>
      <c r="Y21" s="42"/>
      <c r="Z21" s="42"/>
      <c r="AA21" s="42"/>
      <c r="AB21" s="42"/>
      <c r="AC21" s="42"/>
      <c r="AD21" s="42"/>
      <c r="AE21" s="42"/>
      <c r="AF21" s="42"/>
      <c r="AG21" s="42"/>
      <c r="AH21" s="42"/>
      <c r="AI21" s="42"/>
      <c r="AJ21" s="42"/>
    </row>
    <row r="22" spans="1:36" ht="18.75" x14ac:dyDescent="0.3">
      <c r="A22" s="384" t="s">
        <v>5439</v>
      </c>
      <c r="B22" s="15"/>
      <c r="C22" s="15"/>
      <c r="D22" s="15"/>
      <c r="E22" s="15"/>
      <c r="F22" s="15"/>
      <c r="G22" s="15"/>
      <c r="H22" s="385"/>
      <c r="I22" s="11"/>
      <c r="J22" s="62"/>
      <c r="K22" s="62"/>
      <c r="L22" s="62"/>
      <c r="M22" s="62"/>
      <c r="N22" s="388"/>
      <c r="O22" s="388"/>
      <c r="P22" s="388"/>
      <c r="Q22" s="388"/>
      <c r="R22" s="42"/>
      <c r="S22" s="42"/>
      <c r="T22" s="42"/>
      <c r="U22" s="42"/>
      <c r="V22" s="42"/>
      <c r="W22" s="42"/>
      <c r="X22" s="42"/>
      <c r="Y22" s="42"/>
      <c r="Z22" s="42"/>
      <c r="AA22" s="42"/>
      <c r="AB22" s="42"/>
      <c r="AC22" s="42"/>
      <c r="AD22" s="42"/>
      <c r="AE22" s="42"/>
      <c r="AF22" s="42"/>
      <c r="AG22" s="42"/>
      <c r="AH22" s="42"/>
      <c r="AI22" s="42"/>
      <c r="AJ22" s="42"/>
    </row>
    <row r="23" spans="1:36" ht="18.75" x14ac:dyDescent="0.3">
      <c r="A23" s="384" t="s">
        <v>5440</v>
      </c>
      <c r="B23" s="15"/>
      <c r="C23" s="15"/>
      <c r="D23" s="15"/>
      <c r="E23" s="15" t="s">
        <v>1671</v>
      </c>
      <c r="F23" s="15"/>
      <c r="G23" s="15"/>
      <c r="H23" s="385"/>
      <c r="I23" s="11"/>
      <c r="J23" s="62"/>
      <c r="K23" s="62"/>
      <c r="L23" s="62"/>
      <c r="M23" s="62"/>
      <c r="N23" s="62"/>
      <c r="O23" s="62"/>
      <c r="P23" s="62"/>
      <c r="Q23" s="62"/>
      <c r="R23" s="42"/>
      <c r="S23" s="62"/>
      <c r="T23" s="42"/>
      <c r="U23" s="42"/>
      <c r="V23" s="42"/>
      <c r="W23" s="42"/>
      <c r="X23" s="42"/>
      <c r="Y23" s="42"/>
      <c r="Z23" s="42"/>
      <c r="AA23" s="42"/>
      <c r="AB23" s="42"/>
      <c r="AC23" s="42"/>
      <c r="AD23" s="42"/>
      <c r="AE23" s="42"/>
      <c r="AF23" s="42"/>
      <c r="AG23" s="42"/>
      <c r="AH23" s="42"/>
      <c r="AI23" s="42"/>
      <c r="AJ23" s="42"/>
    </row>
    <row r="24" spans="1:36" ht="19.5" x14ac:dyDescent="0.35">
      <c r="A24" s="387" t="s">
        <v>2614</v>
      </c>
      <c r="B24" s="15"/>
      <c r="C24" s="15"/>
      <c r="D24" s="15"/>
      <c r="E24" s="15"/>
      <c r="F24" s="15"/>
      <c r="G24" s="15"/>
      <c r="H24" s="385"/>
      <c r="I24" s="11"/>
      <c r="J24" s="62"/>
      <c r="K24" s="62"/>
      <c r="L24" s="62"/>
      <c r="M24" s="62"/>
      <c r="N24" s="62"/>
      <c r="O24" s="62"/>
      <c r="P24" s="62"/>
      <c r="Q24" s="62"/>
      <c r="R24" s="42"/>
      <c r="S24" s="62"/>
      <c r="T24" s="42"/>
      <c r="U24" s="42"/>
      <c r="V24" s="42"/>
      <c r="W24" s="42"/>
      <c r="X24" s="42"/>
      <c r="Y24" s="42"/>
      <c r="Z24" s="42"/>
      <c r="AA24" s="42"/>
      <c r="AB24" s="42"/>
      <c r="AC24" s="42"/>
      <c r="AD24" s="42"/>
      <c r="AE24" s="42"/>
      <c r="AF24" s="42"/>
      <c r="AG24" s="42"/>
      <c r="AH24" s="42"/>
      <c r="AI24" s="42"/>
      <c r="AJ24" s="42"/>
    </row>
    <row r="25" spans="1:36" ht="15.75" x14ac:dyDescent="0.25">
      <c r="A25" s="384" t="s">
        <v>2051</v>
      </c>
      <c r="B25" s="15"/>
      <c r="C25" s="15"/>
      <c r="D25" s="15"/>
      <c r="E25" s="15"/>
      <c r="F25" s="15"/>
      <c r="G25" s="15"/>
      <c r="H25" s="385"/>
      <c r="I25" s="11"/>
      <c r="J25" s="62"/>
      <c r="K25" s="62"/>
      <c r="L25" s="62"/>
      <c r="M25" s="62"/>
      <c r="N25" s="62"/>
      <c r="O25" s="62"/>
      <c r="P25" s="62"/>
      <c r="Q25" s="62"/>
      <c r="R25" s="42"/>
      <c r="S25" s="62"/>
      <c r="T25" s="42"/>
      <c r="U25" s="42"/>
      <c r="V25" s="42"/>
      <c r="W25" s="42"/>
      <c r="X25" s="42"/>
      <c r="Y25" s="42"/>
      <c r="Z25" s="42"/>
      <c r="AA25" s="42"/>
      <c r="AB25" s="42"/>
      <c r="AC25" s="42"/>
      <c r="AD25" s="42"/>
      <c r="AE25" s="42"/>
      <c r="AF25" s="42"/>
      <c r="AG25" s="42"/>
      <c r="AH25" s="42"/>
      <c r="AI25" s="42"/>
      <c r="AJ25" s="42"/>
    </row>
    <row r="26" spans="1:36" ht="15" x14ac:dyDescent="0.25">
      <c r="A26" s="389" t="s">
        <v>3929</v>
      </c>
      <c r="B26" s="15"/>
      <c r="C26" s="15"/>
      <c r="D26" s="1"/>
      <c r="E26" s="15"/>
      <c r="F26" s="15"/>
      <c r="G26" s="15"/>
      <c r="H26" s="385"/>
      <c r="I26" s="11"/>
      <c r="J26" s="62"/>
      <c r="K26" s="62"/>
      <c r="L26" s="62"/>
      <c r="M26" s="62"/>
      <c r="N26" s="62"/>
      <c r="O26" s="62"/>
      <c r="P26" s="62"/>
      <c r="Q26" s="62"/>
      <c r="R26" s="42"/>
      <c r="S26" s="62"/>
      <c r="T26" s="42"/>
      <c r="U26" s="42"/>
      <c r="V26" s="42"/>
      <c r="W26" s="42"/>
      <c r="X26" s="42"/>
      <c r="Y26" s="42"/>
      <c r="Z26" s="42"/>
      <c r="AA26" s="42"/>
      <c r="AB26" s="42"/>
      <c r="AC26" s="42"/>
      <c r="AD26" s="42"/>
      <c r="AE26" s="42"/>
      <c r="AF26" s="42"/>
      <c r="AG26" s="42"/>
      <c r="AH26" s="42"/>
      <c r="AI26" s="42"/>
      <c r="AJ26" s="42"/>
    </row>
    <row r="27" spans="1:36" ht="15.75" x14ac:dyDescent="0.25">
      <c r="A27" s="390" t="s">
        <v>5137</v>
      </c>
      <c r="B27" s="15"/>
      <c r="C27" s="15"/>
      <c r="D27" s="1"/>
      <c r="E27" s="15"/>
      <c r="F27" s="15"/>
      <c r="G27" s="15"/>
      <c r="H27" s="385"/>
      <c r="I27" s="11"/>
      <c r="J27" s="62"/>
      <c r="K27" s="62"/>
      <c r="L27" s="62"/>
      <c r="M27" s="62"/>
      <c r="N27" s="62"/>
      <c r="O27" s="62"/>
      <c r="P27" s="62"/>
      <c r="Q27" s="62"/>
      <c r="R27" s="42"/>
      <c r="S27" s="62"/>
      <c r="T27" s="42"/>
      <c r="U27" s="42"/>
      <c r="V27" s="42"/>
      <c r="W27" s="42"/>
      <c r="X27" s="42"/>
      <c r="Y27" s="42"/>
      <c r="Z27" s="42"/>
      <c r="AA27" s="42"/>
      <c r="AB27" s="42"/>
      <c r="AC27" s="42"/>
      <c r="AD27" s="42"/>
      <c r="AE27" s="42"/>
      <c r="AF27" s="42"/>
      <c r="AG27" s="42"/>
      <c r="AH27" s="42"/>
      <c r="AI27" s="42"/>
      <c r="AJ27" s="42"/>
    </row>
    <row r="28" spans="1:36" ht="15.75" x14ac:dyDescent="0.25">
      <c r="A28" s="391" t="s">
        <v>3930</v>
      </c>
      <c r="B28" s="15"/>
      <c r="C28" s="15"/>
      <c r="D28" s="393"/>
      <c r="E28" s="15"/>
      <c r="F28" s="15"/>
      <c r="G28" s="15"/>
      <c r="H28" s="385"/>
      <c r="I28" s="11"/>
      <c r="J28" s="62"/>
      <c r="K28" s="62"/>
      <c r="L28" s="62"/>
      <c r="M28" s="62"/>
      <c r="N28" s="62"/>
      <c r="O28" s="62"/>
      <c r="P28" s="62"/>
      <c r="Q28" s="62"/>
      <c r="R28" s="42"/>
      <c r="S28" s="42"/>
      <c r="T28" s="42"/>
      <c r="U28" s="42"/>
      <c r="V28" s="42"/>
      <c r="W28" s="42"/>
      <c r="X28" s="42"/>
      <c r="Y28" s="42"/>
      <c r="Z28" s="42"/>
      <c r="AA28" s="42"/>
      <c r="AB28" s="42"/>
      <c r="AC28" s="42"/>
      <c r="AD28" s="42"/>
      <c r="AE28" s="42"/>
      <c r="AF28" s="42"/>
      <c r="AG28" s="42"/>
      <c r="AH28" s="42"/>
      <c r="AI28" s="42"/>
      <c r="AJ28" s="42"/>
    </row>
    <row r="29" spans="1:36" ht="13.5" x14ac:dyDescent="0.25">
      <c r="A29" s="4428" t="s">
        <v>5138</v>
      </c>
      <c r="B29" s="4429"/>
      <c r="C29" s="4429"/>
      <c r="D29" s="4429"/>
      <c r="E29" s="4429"/>
      <c r="F29" s="4429"/>
      <c r="G29" s="4429"/>
      <c r="H29" s="4430"/>
      <c r="I29" s="11"/>
      <c r="J29" s="62"/>
      <c r="K29" s="62"/>
      <c r="L29" s="388"/>
      <c r="M29" s="388"/>
      <c r="N29" s="388"/>
      <c r="O29" s="388"/>
      <c r="P29" s="388"/>
      <c r="Q29" s="62"/>
      <c r="R29" s="42"/>
      <c r="S29" s="42"/>
      <c r="T29" s="42"/>
      <c r="U29" s="42"/>
      <c r="V29" s="42"/>
      <c r="W29" s="42"/>
      <c r="X29" s="42"/>
      <c r="Y29" s="42"/>
      <c r="Z29" s="42"/>
      <c r="AA29" s="42"/>
      <c r="AB29" s="42"/>
      <c r="AC29" s="42"/>
      <c r="AD29" s="42"/>
      <c r="AE29" s="42"/>
      <c r="AF29" s="42"/>
      <c r="AG29" s="42"/>
      <c r="AH29" s="42"/>
      <c r="AI29" s="42"/>
      <c r="AJ29" s="42"/>
    </row>
    <row r="30" spans="1:36" ht="15" x14ac:dyDescent="0.25">
      <c r="A30" s="391" t="s">
        <v>5135</v>
      </c>
      <c r="B30" s="15"/>
      <c r="C30" s="15"/>
      <c r="D30" s="15"/>
      <c r="E30" s="394"/>
      <c r="F30" s="394"/>
      <c r="G30" s="394"/>
      <c r="H30" s="395"/>
      <c r="I30" s="9"/>
      <c r="J30" s="62"/>
      <c r="K30" s="62"/>
      <c r="L30" s="62"/>
      <c r="W30" s="42"/>
      <c r="X30" s="42"/>
      <c r="Y30" s="42"/>
      <c r="Z30" s="42"/>
      <c r="AA30" s="42"/>
      <c r="AB30" s="42"/>
      <c r="AC30" s="42"/>
      <c r="AD30" s="42"/>
      <c r="AE30" s="42"/>
      <c r="AF30" s="42"/>
      <c r="AG30" s="42"/>
      <c r="AH30" s="42"/>
      <c r="AI30" s="42"/>
      <c r="AJ30" s="42"/>
    </row>
    <row r="31" spans="1:36" ht="13.5" x14ac:dyDescent="0.25">
      <c r="A31" s="4431" t="s">
        <v>5599</v>
      </c>
      <c r="B31" s="4432"/>
      <c r="C31" s="4432"/>
      <c r="D31" s="4432"/>
      <c r="E31" s="4432"/>
      <c r="F31" s="4432"/>
      <c r="G31" s="4432"/>
      <c r="H31" s="395"/>
      <c r="I31" s="9"/>
      <c r="J31" s="62"/>
      <c r="K31" s="62"/>
      <c r="L31" s="62"/>
      <c r="N31" s="62"/>
      <c r="P31" s="62"/>
      <c r="W31" s="42"/>
      <c r="X31" s="42"/>
      <c r="Y31" s="42"/>
      <c r="Z31" s="42"/>
      <c r="AA31" s="42"/>
      <c r="AB31" s="42"/>
      <c r="AC31" s="42"/>
      <c r="AD31" s="42"/>
      <c r="AE31" s="42"/>
      <c r="AF31" s="42"/>
      <c r="AG31" s="42"/>
      <c r="AH31" s="42"/>
      <c r="AI31" s="42"/>
      <c r="AJ31" s="42"/>
    </row>
    <row r="32" spans="1:36" ht="15.75" x14ac:dyDescent="0.25">
      <c r="A32" s="384" t="s">
        <v>5136</v>
      </c>
      <c r="B32" s="15"/>
      <c r="C32" s="15"/>
      <c r="D32" s="15"/>
      <c r="E32" s="15"/>
      <c r="F32" s="15"/>
      <c r="G32" s="15"/>
      <c r="H32" s="385"/>
      <c r="I32" s="11"/>
      <c r="J32" s="62"/>
      <c r="K32" s="62"/>
      <c r="L32" s="62"/>
      <c r="W32" s="42"/>
      <c r="X32" s="42"/>
      <c r="Y32" s="42"/>
      <c r="Z32" s="42"/>
      <c r="AA32" s="42"/>
      <c r="AB32" s="42"/>
      <c r="AC32" s="42"/>
      <c r="AD32" s="42"/>
      <c r="AE32" s="42"/>
      <c r="AF32" s="42"/>
      <c r="AG32" s="42"/>
      <c r="AH32" s="42"/>
      <c r="AI32" s="42"/>
      <c r="AJ32" s="42"/>
    </row>
    <row r="33" spans="1:36" ht="13.5" x14ac:dyDescent="0.25">
      <c r="A33" s="4431" t="s">
        <v>265</v>
      </c>
      <c r="B33" s="4433"/>
      <c r="C33" s="4433"/>
      <c r="D33" s="4433"/>
      <c r="E33" s="4433"/>
      <c r="F33" s="4433"/>
      <c r="G33" s="4433"/>
      <c r="H33" s="4434"/>
      <c r="I33" s="11"/>
      <c r="J33" s="62"/>
      <c r="K33" s="62"/>
      <c r="L33" s="70"/>
      <c r="M33" s="396"/>
      <c r="N33" s="396"/>
      <c r="O33" s="396"/>
      <c r="P33" s="396"/>
      <c r="Q33" s="396"/>
      <c r="R33" s="1"/>
      <c r="W33" s="42"/>
      <c r="X33" s="42"/>
      <c r="Y33" s="42"/>
      <c r="Z33" s="42"/>
      <c r="AA33" s="42"/>
      <c r="AB33" s="42"/>
      <c r="AC33" s="42"/>
      <c r="AD33" s="42"/>
      <c r="AE33" s="42"/>
      <c r="AF33" s="42"/>
      <c r="AG33" s="42"/>
      <c r="AH33" s="42"/>
      <c r="AI33" s="42"/>
      <c r="AJ33" s="42"/>
    </row>
    <row r="34" spans="1:36" ht="15.75" x14ac:dyDescent="0.25">
      <c r="A34" s="384" t="s">
        <v>1197</v>
      </c>
      <c r="B34" s="15"/>
      <c r="C34" s="15"/>
      <c r="D34" s="15"/>
      <c r="E34" s="15"/>
      <c r="F34" s="15"/>
      <c r="G34" s="15"/>
      <c r="H34" s="385"/>
      <c r="I34" s="11"/>
      <c r="J34" s="62"/>
      <c r="K34" s="62"/>
      <c r="L34" s="70"/>
      <c r="M34" s="1"/>
      <c r="N34" s="1"/>
      <c r="O34" s="1"/>
      <c r="P34" s="1"/>
      <c r="Q34" s="1"/>
      <c r="R34" s="1"/>
      <c r="W34" s="42"/>
      <c r="X34" s="42"/>
      <c r="Y34" s="42"/>
      <c r="Z34" s="42"/>
      <c r="AA34" s="42"/>
      <c r="AB34" s="42"/>
      <c r="AC34" s="42"/>
      <c r="AD34" s="42"/>
      <c r="AE34" s="42"/>
      <c r="AF34" s="42"/>
      <c r="AG34" s="42"/>
      <c r="AH34" s="42"/>
      <c r="AI34" s="42"/>
      <c r="AJ34" s="42"/>
    </row>
    <row r="35" spans="1:36" ht="15.75" x14ac:dyDescent="0.25">
      <c r="A35" s="384" t="s">
        <v>432</v>
      </c>
      <c r="B35" s="15"/>
      <c r="C35" s="15"/>
      <c r="D35" s="15"/>
      <c r="E35" s="15"/>
      <c r="F35" s="15"/>
      <c r="G35" s="15"/>
      <c r="H35" s="385"/>
      <c r="I35" s="11"/>
      <c r="J35" s="62"/>
      <c r="K35" s="62"/>
      <c r="L35" s="70"/>
      <c r="M35" s="1"/>
      <c r="N35" s="1"/>
      <c r="O35" s="1"/>
      <c r="P35" s="1"/>
      <c r="Q35" s="1"/>
      <c r="R35" s="1"/>
      <c r="W35" s="42"/>
      <c r="X35" s="42"/>
      <c r="Y35" s="42"/>
      <c r="Z35" s="42"/>
      <c r="AA35" s="42"/>
      <c r="AB35" s="42"/>
      <c r="AC35" s="42"/>
      <c r="AD35" s="42"/>
      <c r="AE35" s="42"/>
      <c r="AF35" s="42"/>
      <c r="AG35" s="42"/>
      <c r="AH35" s="42"/>
      <c r="AI35" s="42"/>
      <c r="AJ35" s="42"/>
    </row>
    <row r="36" spans="1:36" ht="15.75" x14ac:dyDescent="0.25">
      <c r="A36" s="384" t="s">
        <v>433</v>
      </c>
      <c r="B36" s="15"/>
      <c r="C36" s="15"/>
      <c r="D36" s="15"/>
      <c r="E36" s="15"/>
      <c r="F36" s="15"/>
      <c r="G36" s="15"/>
      <c r="H36" s="385"/>
      <c r="I36" s="11"/>
      <c r="J36" s="62"/>
      <c r="K36" s="62"/>
      <c r="L36" s="70"/>
      <c r="M36" s="1"/>
      <c r="N36" s="1"/>
      <c r="O36" s="1"/>
      <c r="P36" s="1"/>
      <c r="Q36" s="1"/>
      <c r="R36" s="1"/>
      <c r="W36" s="42"/>
      <c r="X36" s="42"/>
      <c r="Y36" s="42"/>
      <c r="Z36" s="42"/>
      <c r="AA36" s="42"/>
      <c r="AB36" s="42"/>
      <c r="AC36" s="42"/>
      <c r="AD36" s="42"/>
      <c r="AE36" s="42"/>
      <c r="AF36" s="42"/>
      <c r="AG36" s="42"/>
      <c r="AH36" s="42"/>
      <c r="AI36" s="42"/>
      <c r="AJ36" s="42"/>
    </row>
    <row r="37" spans="1:36" ht="15.75" x14ac:dyDescent="0.25">
      <c r="A37" s="384" t="s">
        <v>434</v>
      </c>
      <c r="B37" s="15"/>
      <c r="C37" s="15"/>
      <c r="D37" s="15"/>
      <c r="E37" s="15"/>
      <c r="F37" s="15"/>
      <c r="G37" s="15"/>
      <c r="H37" s="385"/>
      <c r="I37" s="11"/>
      <c r="J37" s="62"/>
      <c r="K37" s="62"/>
      <c r="L37" s="62"/>
      <c r="W37" s="42"/>
      <c r="X37" s="42"/>
      <c r="Y37" s="42"/>
      <c r="Z37" s="42"/>
      <c r="AA37" s="42"/>
      <c r="AB37" s="42"/>
      <c r="AC37" s="42"/>
      <c r="AD37" s="42"/>
      <c r="AE37" s="42"/>
      <c r="AF37" s="42"/>
      <c r="AG37" s="42"/>
      <c r="AH37" s="42"/>
      <c r="AI37" s="42"/>
      <c r="AJ37" s="42"/>
    </row>
    <row r="38" spans="1:36" ht="15.75" x14ac:dyDescent="0.25">
      <c r="A38" s="2925" t="s">
        <v>435</v>
      </c>
      <c r="B38" s="15"/>
      <c r="C38" s="15"/>
      <c r="D38" s="15"/>
      <c r="E38" s="15"/>
      <c r="F38" s="15"/>
      <c r="G38" s="15"/>
      <c r="H38" s="385"/>
      <c r="I38" s="11"/>
      <c r="J38" s="62"/>
      <c r="K38" s="62"/>
      <c r="L38" s="62"/>
      <c r="W38" s="42"/>
      <c r="X38" s="42"/>
      <c r="Y38" s="42"/>
      <c r="Z38" s="42"/>
      <c r="AA38" s="42"/>
      <c r="AB38" s="42"/>
      <c r="AC38" s="42"/>
      <c r="AD38" s="42"/>
      <c r="AE38" s="42"/>
      <c r="AF38" s="42"/>
      <c r="AG38" s="42"/>
      <c r="AH38" s="42"/>
      <c r="AI38" s="42"/>
      <c r="AJ38" s="42"/>
    </row>
    <row r="39" spans="1:36" ht="15.75" x14ac:dyDescent="0.25">
      <c r="A39" s="384" t="s">
        <v>4511</v>
      </c>
      <c r="B39" s="15"/>
      <c r="C39" s="15"/>
      <c r="D39" s="15"/>
      <c r="E39" s="15"/>
      <c r="F39" s="15"/>
      <c r="G39" s="15"/>
      <c r="H39" s="385"/>
      <c r="I39" s="11"/>
      <c r="J39" s="62"/>
      <c r="K39" s="62"/>
      <c r="L39" s="62"/>
      <c r="W39" s="42"/>
      <c r="X39" s="42"/>
      <c r="Y39" s="42"/>
      <c r="Z39" s="42"/>
      <c r="AA39" s="42"/>
      <c r="AB39" s="42"/>
      <c r="AC39" s="42"/>
      <c r="AD39" s="42"/>
      <c r="AE39" s="42"/>
      <c r="AF39" s="42"/>
      <c r="AG39" s="42"/>
      <c r="AH39" s="42"/>
      <c r="AI39" s="42"/>
      <c r="AJ39" s="42"/>
    </row>
    <row r="40" spans="1:36" ht="15.75" x14ac:dyDescent="0.25">
      <c r="A40" s="384" t="s">
        <v>1672</v>
      </c>
      <c r="B40" s="15"/>
      <c r="C40" s="15"/>
      <c r="D40" s="15"/>
      <c r="E40" s="15"/>
      <c r="F40" s="15"/>
      <c r="G40" s="15"/>
      <c r="H40" s="385"/>
      <c r="I40" s="11"/>
      <c r="J40" s="62"/>
      <c r="K40" s="62"/>
      <c r="L40" s="62"/>
      <c r="W40" s="42"/>
      <c r="X40" s="42"/>
      <c r="Y40" s="42"/>
      <c r="Z40" s="42"/>
      <c r="AA40" s="42"/>
      <c r="AB40" s="42"/>
      <c r="AC40" s="42"/>
      <c r="AD40" s="42"/>
      <c r="AE40" s="42"/>
      <c r="AF40" s="42"/>
      <c r="AG40" s="42"/>
      <c r="AH40" s="42"/>
      <c r="AI40" s="42"/>
      <c r="AJ40" s="42"/>
    </row>
    <row r="41" spans="1:36" ht="15.75" x14ac:dyDescent="0.25">
      <c r="A41" s="384" t="s">
        <v>4512</v>
      </c>
      <c r="B41" s="15"/>
      <c r="C41" s="15"/>
      <c r="D41" s="15"/>
      <c r="E41" s="15"/>
      <c r="F41" s="15"/>
      <c r="G41" s="15"/>
      <c r="H41" s="385"/>
      <c r="I41" s="11"/>
      <c r="J41" s="62"/>
      <c r="K41" s="62"/>
      <c r="L41" s="62"/>
      <c r="W41" s="42"/>
      <c r="X41" s="42"/>
      <c r="Y41" s="42"/>
      <c r="Z41" s="42"/>
      <c r="AA41" s="42"/>
      <c r="AB41" s="42"/>
      <c r="AC41" s="42"/>
      <c r="AD41" s="42"/>
      <c r="AE41" s="42"/>
      <c r="AF41" s="42"/>
      <c r="AG41" s="42"/>
      <c r="AH41" s="42"/>
      <c r="AI41" s="42"/>
      <c r="AJ41" s="42"/>
    </row>
    <row r="42" spans="1:36" ht="16.5" thickBot="1" x14ac:dyDescent="0.3">
      <c r="A42" s="2926" t="s">
        <v>4513</v>
      </c>
      <c r="E42" s="397"/>
      <c r="F42" s="397"/>
      <c r="G42" s="397"/>
      <c r="H42" s="398"/>
      <c r="I42" s="11"/>
      <c r="J42" s="62"/>
      <c r="K42" s="62"/>
      <c r="L42" s="62"/>
      <c r="W42" s="42"/>
      <c r="X42" s="42"/>
      <c r="Y42" s="42"/>
      <c r="Z42" s="42"/>
      <c r="AA42" s="42"/>
      <c r="AB42" s="42"/>
      <c r="AC42" s="42"/>
      <c r="AD42" s="42"/>
      <c r="AE42" s="42"/>
      <c r="AF42" s="42"/>
      <c r="AG42" s="42"/>
      <c r="AH42" s="42"/>
      <c r="AI42" s="42"/>
      <c r="AJ42" s="42"/>
    </row>
    <row r="43" spans="1:36" ht="15.75" x14ac:dyDescent="0.25">
      <c r="A43" s="399"/>
      <c r="B43" s="11"/>
      <c r="C43" s="11"/>
      <c r="D43" s="11"/>
      <c r="E43" s="11"/>
      <c r="F43" s="11"/>
      <c r="G43" s="11"/>
      <c r="H43" s="11"/>
      <c r="I43" s="11"/>
      <c r="J43" s="62"/>
      <c r="K43" s="62"/>
      <c r="L43" s="62"/>
      <c r="W43" s="42"/>
      <c r="X43" s="42"/>
      <c r="Y43" s="42"/>
      <c r="Z43" s="42"/>
      <c r="AA43" s="42"/>
      <c r="AB43" s="42"/>
      <c r="AC43" s="42"/>
      <c r="AD43" s="42"/>
      <c r="AE43" s="42"/>
      <c r="AF43" s="42"/>
      <c r="AG43" s="42"/>
      <c r="AH43" s="42"/>
      <c r="AI43" s="42"/>
      <c r="AJ43" s="42"/>
    </row>
    <row r="44" spans="1:36" ht="18.75" x14ac:dyDescent="0.3">
      <c r="A44" s="4435" t="s">
        <v>3367</v>
      </c>
      <c r="B44" s="4436"/>
      <c r="C44" s="4436"/>
      <c r="D44" s="4436"/>
      <c r="E44" s="4436"/>
      <c r="F44" s="4436"/>
      <c r="G44" s="4436"/>
      <c r="H44" s="4436"/>
      <c r="I44" s="11"/>
      <c r="J44" s="878"/>
      <c r="L44" s="62"/>
      <c r="W44" s="42"/>
      <c r="X44" s="42"/>
      <c r="Y44" s="42"/>
      <c r="Z44" s="42"/>
      <c r="AA44" s="42"/>
      <c r="AB44" s="42"/>
      <c r="AC44" s="42"/>
      <c r="AD44" s="42"/>
      <c r="AE44" s="42"/>
      <c r="AF44" s="42"/>
      <c r="AG44" s="42"/>
      <c r="AH44" s="42"/>
      <c r="AI44" s="42"/>
      <c r="AJ44" s="42"/>
    </row>
    <row r="45" spans="1:36" ht="15.75" x14ac:dyDescent="0.25">
      <c r="A45" s="400"/>
      <c r="B45" s="42"/>
      <c r="C45" s="42"/>
      <c r="D45" s="42"/>
      <c r="E45" s="42"/>
      <c r="F45" s="42"/>
      <c r="G45" s="42"/>
      <c r="H45" s="42"/>
      <c r="I45" s="11"/>
      <c r="J45" s="62"/>
      <c r="K45" s="62"/>
      <c r="L45" s="62"/>
      <c r="W45" s="42"/>
      <c r="X45" s="42"/>
      <c r="Y45" s="42"/>
      <c r="Z45" s="42"/>
      <c r="AA45" s="42"/>
      <c r="AB45" s="42"/>
      <c r="AC45" s="42"/>
      <c r="AD45" s="42"/>
      <c r="AE45" s="42"/>
      <c r="AF45" s="42"/>
      <c r="AG45" s="42"/>
      <c r="AH45" s="42"/>
      <c r="AI45" s="42"/>
      <c r="AJ45" s="42"/>
    </row>
    <row r="46" spans="1:36" ht="48.75" customHeight="1" x14ac:dyDescent="0.25">
      <c r="A46" s="4437" t="s">
        <v>1657</v>
      </c>
      <c r="B46" s="4349"/>
      <c r="C46" s="4349"/>
      <c r="D46" s="4349"/>
      <c r="E46" s="4349"/>
      <c r="F46" s="4349"/>
      <c r="G46" s="4349"/>
      <c r="H46" s="401"/>
      <c r="I46" s="9"/>
      <c r="J46" s="402"/>
      <c r="K46" s="62"/>
      <c r="L46" s="62"/>
      <c r="M46" s="68"/>
      <c r="N46" s="62"/>
      <c r="O46" s="68"/>
      <c r="P46" s="68"/>
      <c r="Q46" s="68"/>
      <c r="R46" s="2376">
        <f>IF(H46=3,1,0)</f>
        <v>0</v>
      </c>
      <c r="S46" s="62"/>
      <c r="T46" s="42"/>
      <c r="U46" s="43"/>
      <c r="V46" s="42"/>
      <c r="W46" s="42"/>
      <c r="X46" s="42"/>
      <c r="Y46" s="42"/>
      <c r="Z46" s="42"/>
      <c r="AA46" s="42"/>
      <c r="AB46" s="42"/>
      <c r="AC46" s="42"/>
      <c r="AD46" s="42"/>
      <c r="AE46" s="42"/>
      <c r="AF46" s="42"/>
      <c r="AG46" s="42"/>
      <c r="AH46" s="42"/>
      <c r="AI46" s="42"/>
      <c r="AJ46" s="42"/>
    </row>
    <row r="47" spans="1:36" ht="61.5" customHeight="1" x14ac:dyDescent="0.25">
      <c r="A47" s="4437" t="s">
        <v>1812</v>
      </c>
      <c r="B47" s="4349"/>
      <c r="C47" s="4349"/>
      <c r="D47" s="4349"/>
      <c r="E47" s="4349"/>
      <c r="F47" s="4349"/>
      <c r="G47" s="4349"/>
      <c r="H47" s="401"/>
      <c r="I47" s="9"/>
      <c r="J47" s="402"/>
      <c r="K47" s="62"/>
      <c r="L47" s="62"/>
      <c r="R47" s="2376">
        <f>IF(H47=1,1,0)</f>
        <v>0</v>
      </c>
      <c r="U47" s="42"/>
      <c r="V47" s="42"/>
      <c r="W47" s="42"/>
      <c r="X47" s="42"/>
      <c r="Y47" s="42"/>
      <c r="Z47" s="42"/>
      <c r="AA47" s="42"/>
      <c r="AB47" s="42"/>
      <c r="AC47" s="42"/>
      <c r="AD47" s="42"/>
      <c r="AE47" s="42"/>
      <c r="AF47" s="42"/>
      <c r="AG47" s="42"/>
      <c r="AH47" s="42"/>
      <c r="AI47" s="42"/>
      <c r="AJ47" s="42"/>
    </row>
    <row r="48" spans="1:36" ht="45" customHeight="1" x14ac:dyDescent="0.25">
      <c r="A48" s="4437" t="s">
        <v>5086</v>
      </c>
      <c r="B48" s="4349"/>
      <c r="C48" s="4349"/>
      <c r="D48" s="4349"/>
      <c r="E48" s="4349"/>
      <c r="F48" s="4349"/>
      <c r="G48" s="4349"/>
      <c r="H48" s="401"/>
      <c r="I48" s="9"/>
      <c r="J48" s="402"/>
      <c r="K48" s="62"/>
      <c r="L48" s="62"/>
      <c r="R48" s="2376">
        <f>IF(H48=2,1,0)</f>
        <v>0</v>
      </c>
      <c r="U48" s="489"/>
      <c r="V48" s="42"/>
      <c r="W48" s="42"/>
      <c r="X48" s="42"/>
      <c r="Y48" s="42"/>
      <c r="Z48" s="42"/>
      <c r="AA48" s="42"/>
      <c r="AB48" s="42"/>
      <c r="AC48" s="42"/>
      <c r="AD48" s="42"/>
      <c r="AE48" s="42"/>
      <c r="AF48" s="42"/>
      <c r="AG48" s="42"/>
      <c r="AH48" s="42"/>
      <c r="AI48" s="42"/>
      <c r="AJ48" s="42"/>
    </row>
    <row r="49" spans="1:36" ht="50.25" customHeight="1" x14ac:dyDescent="0.25">
      <c r="A49" s="4437" t="s">
        <v>266</v>
      </c>
      <c r="B49" s="4349"/>
      <c r="C49" s="4349"/>
      <c r="D49" s="4349"/>
      <c r="E49" s="4349"/>
      <c r="F49" s="4349"/>
      <c r="G49" s="4349"/>
      <c r="H49" s="401"/>
      <c r="I49" s="9"/>
      <c r="J49" s="402"/>
      <c r="K49" s="62"/>
      <c r="L49" s="62"/>
      <c r="R49" s="2376">
        <f>IF(H49=3,1,0)</f>
        <v>0</v>
      </c>
      <c r="U49" s="405"/>
      <c r="V49" s="42"/>
      <c r="W49" s="42"/>
      <c r="X49" s="42"/>
      <c r="Y49" s="42"/>
      <c r="Z49" s="42"/>
      <c r="AA49" s="42"/>
      <c r="AB49" s="42"/>
      <c r="AC49" s="42"/>
      <c r="AD49" s="42"/>
      <c r="AE49" s="42"/>
      <c r="AF49" s="42"/>
      <c r="AG49" s="42"/>
      <c r="AH49" s="42"/>
      <c r="AI49" s="42"/>
      <c r="AJ49" s="42"/>
    </row>
    <row r="50" spans="1:36" ht="49.5" customHeight="1" x14ac:dyDescent="0.25">
      <c r="A50" s="4437" t="s">
        <v>2733</v>
      </c>
      <c r="B50" s="4349"/>
      <c r="C50" s="4349"/>
      <c r="D50" s="4349"/>
      <c r="E50" s="4349"/>
      <c r="F50" s="4349"/>
      <c r="G50" s="4349"/>
      <c r="H50" s="401"/>
      <c r="I50" s="9"/>
      <c r="J50" s="402"/>
      <c r="K50" s="62"/>
      <c r="L50" s="62"/>
      <c r="M50" s="62"/>
      <c r="N50" s="62"/>
      <c r="O50" s="62"/>
      <c r="P50" s="62"/>
      <c r="Q50" s="62"/>
      <c r="R50" s="2376">
        <f>IF(H50=3,1,0)</f>
        <v>0</v>
      </c>
      <c r="S50" s="42"/>
      <c r="T50" s="42"/>
      <c r="U50" s="42"/>
      <c r="V50" s="42"/>
      <c r="W50" s="42"/>
      <c r="X50" s="42"/>
      <c r="Y50" s="42"/>
      <c r="Z50" s="42"/>
      <c r="AA50" s="42"/>
      <c r="AB50" s="42"/>
      <c r="AC50" s="42"/>
      <c r="AD50" s="42"/>
      <c r="AE50" s="42"/>
      <c r="AF50" s="42"/>
      <c r="AG50" s="42"/>
      <c r="AH50" s="42"/>
      <c r="AI50" s="42"/>
      <c r="AJ50" s="42"/>
    </row>
    <row r="51" spans="1:36" ht="15.75" x14ac:dyDescent="0.25">
      <c r="A51" s="329"/>
      <c r="B51" s="330"/>
      <c r="C51" s="330"/>
      <c r="D51" s="330"/>
      <c r="E51" s="330"/>
      <c r="F51" s="330"/>
      <c r="G51" s="330"/>
      <c r="H51" s="330"/>
      <c r="I51" s="9"/>
      <c r="J51" s="402"/>
      <c r="K51" s="62"/>
      <c r="L51" s="62"/>
      <c r="M51" s="62"/>
      <c r="N51" s="62"/>
      <c r="O51" s="62"/>
      <c r="P51" s="62"/>
      <c r="Q51" s="62"/>
      <c r="R51" s="879">
        <f>SUM(R46:R50)-5</f>
        <v>-5</v>
      </c>
      <c r="S51" s="42"/>
      <c r="T51" s="42"/>
      <c r="U51" s="42"/>
      <c r="V51" s="42"/>
      <c r="W51" s="42"/>
      <c r="X51" s="42"/>
      <c r="Y51" s="42"/>
      <c r="Z51" s="42"/>
      <c r="AA51" s="42"/>
      <c r="AB51" s="42"/>
      <c r="AC51" s="42"/>
      <c r="AD51" s="42"/>
      <c r="AE51" s="42"/>
      <c r="AF51" s="42"/>
      <c r="AG51" s="42"/>
      <c r="AH51" s="42"/>
      <c r="AI51" s="42"/>
      <c r="AJ51" s="42"/>
    </row>
    <row r="52" spans="1:36" ht="19.5" x14ac:dyDescent="0.35">
      <c r="A52" s="403" t="str">
        <f>IF(SUM(R46:R50)=5,"Можете приступать к работе!","Отвечайте на поставленные вопросы!")</f>
        <v>Отвечайте на поставленные вопросы!</v>
      </c>
      <c r="B52" s="330"/>
      <c r="C52" s="330"/>
      <c r="D52" s="330"/>
      <c r="E52" s="330"/>
      <c r="F52" s="330"/>
      <c r="G52" s="330"/>
      <c r="H52" s="330"/>
      <c r="I52" s="9"/>
      <c r="J52" s="402"/>
      <c r="K52" s="62"/>
      <c r="L52" s="62"/>
      <c r="M52" s="62"/>
      <c r="N52" s="62"/>
      <c r="O52" s="62"/>
      <c r="P52" s="62"/>
      <c r="Q52" s="62"/>
      <c r="R52" s="42"/>
      <c r="S52" s="42"/>
      <c r="T52" s="42"/>
      <c r="U52" s="42"/>
      <c r="V52" s="42"/>
      <c r="W52" s="42"/>
      <c r="X52" s="42"/>
      <c r="Y52" s="42"/>
      <c r="Z52" s="42"/>
      <c r="AA52" s="42"/>
      <c r="AB52" s="42"/>
      <c r="AC52" s="42"/>
      <c r="AD52" s="42"/>
      <c r="AE52" s="42"/>
      <c r="AF52" s="42"/>
      <c r="AG52" s="42"/>
      <c r="AH52" s="42"/>
      <c r="AI52" s="42"/>
      <c r="AJ52" s="42"/>
    </row>
    <row r="53" spans="1:36" ht="15.75" x14ac:dyDescent="0.25">
      <c r="A53" s="329"/>
      <c r="B53" s="1093" t="str">
        <f>IF(OR(kursovoy!$B$500=1,kursovoy!$B$500=3),"Эта программа только для комбайновой технологии ! Будьте внимательнее !","")</f>
        <v/>
      </c>
      <c r="C53" s="1094"/>
      <c r="D53" s="1094"/>
      <c r="E53" s="1094"/>
      <c r="F53" s="1094"/>
      <c r="G53" s="1094"/>
      <c r="H53" s="1094"/>
      <c r="I53" s="1095"/>
      <c r="J53" s="1095"/>
      <c r="K53" s="1096"/>
      <c r="L53" s="1097"/>
      <c r="M53" s="62"/>
      <c r="N53" s="62"/>
      <c r="O53" s="62"/>
      <c r="P53" s="62"/>
      <c r="Q53" s="62"/>
      <c r="R53" s="42"/>
      <c r="S53" s="42"/>
      <c r="T53" s="42"/>
      <c r="U53" s="42"/>
      <c r="V53" s="42"/>
      <c r="W53" s="42"/>
      <c r="X53" s="42"/>
      <c r="Y53" s="42"/>
      <c r="Z53" s="42"/>
      <c r="AA53" s="42"/>
      <c r="AB53" s="42"/>
      <c r="AC53" s="42"/>
      <c r="AD53" s="42"/>
      <c r="AE53" s="42"/>
      <c r="AF53" s="42"/>
      <c r="AG53" s="42"/>
      <c r="AH53" s="42"/>
      <c r="AI53" s="42"/>
      <c r="AJ53" s="42"/>
    </row>
    <row r="54" spans="1:36" x14ac:dyDescent="0.2">
      <c r="B54" s="330"/>
      <c r="C54" s="330"/>
      <c r="D54" s="330"/>
      <c r="E54" s="330"/>
      <c r="F54" s="330"/>
      <c r="G54" s="330"/>
      <c r="H54" s="330"/>
      <c r="I54" s="9"/>
      <c r="J54" s="402"/>
      <c r="K54" s="62"/>
      <c r="L54" s="62"/>
      <c r="M54" s="62"/>
      <c r="N54" s="62"/>
      <c r="O54" s="62"/>
      <c r="P54" s="62"/>
      <c r="Q54" s="62"/>
      <c r="R54" s="42"/>
      <c r="S54" s="42"/>
      <c r="T54" s="42"/>
      <c r="U54" s="42"/>
      <c r="V54" s="42"/>
      <c r="W54" s="42"/>
      <c r="X54" s="42"/>
      <c r="Y54" s="42"/>
      <c r="Z54" s="42"/>
      <c r="AA54" s="42"/>
      <c r="AB54" s="42"/>
      <c r="AC54" s="42"/>
      <c r="AD54" s="42"/>
      <c r="AE54" s="42"/>
      <c r="AF54" s="42"/>
      <c r="AG54" s="42"/>
      <c r="AH54" s="42"/>
      <c r="AI54" s="42"/>
      <c r="AJ54" s="42"/>
    </row>
    <row r="55" spans="1:36" ht="15" x14ac:dyDescent="0.2">
      <c r="A55" s="892" t="s">
        <v>5416</v>
      </c>
      <c r="C55" s="11"/>
      <c r="D55" s="11"/>
      <c r="E55" s="11"/>
      <c r="G55" s="2318">
        <v>0.98</v>
      </c>
      <c r="H55" s="330"/>
      <c r="I55" s="9"/>
      <c r="J55" s="402"/>
      <c r="K55" s="62"/>
      <c r="L55" s="62"/>
      <c r="M55" s="62"/>
      <c r="N55" s="62"/>
      <c r="O55" s="62"/>
      <c r="P55" s="62"/>
      <c r="Q55" s="62"/>
      <c r="R55" s="42"/>
      <c r="S55" s="42"/>
      <c r="T55" s="42"/>
      <c r="U55" s="42"/>
      <c r="V55" s="42"/>
      <c r="W55" s="42"/>
      <c r="X55" s="42"/>
      <c r="Y55" s="42"/>
      <c r="Z55" s="42"/>
      <c r="AA55" s="42"/>
      <c r="AB55" s="42"/>
      <c r="AC55" s="42"/>
      <c r="AD55" s="42"/>
      <c r="AE55" s="42"/>
      <c r="AF55" s="42"/>
      <c r="AG55" s="42"/>
      <c r="AH55" s="42"/>
      <c r="AI55" s="42"/>
      <c r="AJ55" s="42"/>
    </row>
    <row r="56" spans="1:36" ht="15" x14ac:dyDescent="0.2">
      <c r="A56" s="892" t="s">
        <v>698</v>
      </c>
      <c r="B56" s="330"/>
      <c r="C56" s="330"/>
      <c r="D56" s="330"/>
      <c r="E56" s="330"/>
      <c r="F56" s="330"/>
      <c r="G56" s="330"/>
      <c r="H56" s="330"/>
      <c r="I56" s="9"/>
      <c r="J56" s="402"/>
      <c r="K56" s="62"/>
      <c r="L56" s="62"/>
      <c r="M56" s="62"/>
      <c r="N56" s="62"/>
      <c r="O56" s="62"/>
      <c r="P56" s="62"/>
      <c r="Q56" s="62"/>
      <c r="R56" s="42"/>
      <c r="S56" s="42"/>
      <c r="T56" s="42"/>
      <c r="U56" s="42"/>
      <c r="V56" s="42"/>
      <c r="W56" s="42"/>
      <c r="X56" s="42"/>
      <c r="Y56" s="42"/>
      <c r="Z56" s="42"/>
      <c r="AA56" s="42"/>
      <c r="AB56" s="42"/>
      <c r="AC56" s="42"/>
      <c r="AD56" s="42"/>
      <c r="AE56" s="42"/>
      <c r="AF56" s="42"/>
      <c r="AG56" s="42"/>
      <c r="AH56" s="42"/>
      <c r="AI56" s="42"/>
      <c r="AJ56" s="42"/>
    </row>
    <row r="57" spans="1:36" ht="15" x14ac:dyDescent="0.2">
      <c r="A57" s="892" t="s">
        <v>1710</v>
      </c>
      <c r="B57" s="330"/>
      <c r="C57" s="330"/>
      <c r="D57" s="330"/>
      <c r="E57" s="330"/>
      <c r="F57" s="330"/>
      <c r="G57" s="330"/>
      <c r="H57" s="330"/>
      <c r="I57" s="9"/>
      <c r="J57" s="402"/>
      <c r="K57" s="62"/>
      <c r="L57" s="62"/>
      <c r="M57" s="62"/>
      <c r="N57" s="62"/>
      <c r="O57" s="62"/>
      <c r="P57" s="62"/>
      <c r="Q57" s="62"/>
      <c r="R57" s="42"/>
      <c r="S57" s="42"/>
      <c r="T57" s="42"/>
      <c r="U57" s="42"/>
      <c r="V57" s="42"/>
      <c r="W57" s="42"/>
      <c r="X57" s="42"/>
      <c r="Y57" s="42"/>
      <c r="Z57" s="42"/>
      <c r="AA57" s="42"/>
      <c r="AB57" s="42"/>
      <c r="AC57" s="42"/>
      <c r="AD57" s="42"/>
      <c r="AE57" s="42"/>
      <c r="AF57" s="42"/>
      <c r="AG57" s="42"/>
      <c r="AH57" s="42"/>
      <c r="AI57" s="42"/>
      <c r="AJ57" s="42"/>
    </row>
    <row r="58" spans="1:36" ht="15" x14ac:dyDescent="0.2">
      <c r="A58" s="892" t="s">
        <v>1711</v>
      </c>
      <c r="B58" s="8"/>
      <c r="C58" s="8"/>
      <c r="D58" s="8"/>
      <c r="E58" s="2387"/>
      <c r="F58" s="8"/>
      <c r="N58" s="62"/>
      <c r="O58" s="62"/>
      <c r="P58" s="62"/>
      <c r="Q58" s="62"/>
      <c r="R58" s="42"/>
      <c r="S58" s="42"/>
      <c r="T58" s="42"/>
      <c r="U58" s="42"/>
      <c r="V58" s="42"/>
      <c r="W58" s="42"/>
      <c r="X58" s="42"/>
      <c r="Y58" s="42"/>
      <c r="Z58" s="42"/>
      <c r="AA58" s="42"/>
      <c r="AB58" s="42"/>
      <c r="AC58" s="42"/>
      <c r="AD58" s="42"/>
      <c r="AE58" s="42"/>
      <c r="AF58" s="42"/>
      <c r="AG58" s="42"/>
      <c r="AH58" s="42"/>
      <c r="AI58" s="42"/>
      <c r="AJ58" s="42"/>
    </row>
    <row r="59" spans="1:36" ht="18.75" x14ac:dyDescent="0.3">
      <c r="A59" s="1086" t="s">
        <v>1659</v>
      </c>
      <c r="B59" s="8"/>
      <c r="C59" s="29"/>
      <c r="D59" s="29"/>
      <c r="E59" s="29"/>
      <c r="F59" s="29"/>
      <c r="G59" s="260"/>
      <c r="H59" s="260"/>
      <c r="I59" s="260"/>
      <c r="J59" s="260"/>
      <c r="K59" s="260"/>
      <c r="L59" s="8"/>
      <c r="M59" s="8"/>
      <c r="N59" s="62"/>
      <c r="O59" s="62"/>
      <c r="P59" s="62"/>
      <c r="Q59" s="62"/>
      <c r="R59" s="42"/>
      <c r="S59" s="42"/>
      <c r="T59" s="42"/>
      <c r="U59" s="42"/>
      <c r="V59" s="42"/>
      <c r="W59" s="42"/>
      <c r="X59" s="42"/>
      <c r="Y59" s="42"/>
      <c r="Z59" s="42"/>
      <c r="AA59" s="42"/>
      <c r="AB59" s="42"/>
      <c r="AC59" s="42"/>
      <c r="AD59" s="42"/>
      <c r="AE59" s="42"/>
      <c r="AF59" s="42"/>
      <c r="AG59" s="42"/>
      <c r="AH59" s="42"/>
      <c r="AI59" s="42"/>
      <c r="AJ59" s="42"/>
    </row>
    <row r="60" spans="1:36" x14ac:dyDescent="0.2">
      <c r="G60" s="260"/>
      <c r="H60" s="260"/>
      <c r="I60" s="260"/>
      <c r="J60" s="260"/>
      <c r="K60" s="260"/>
      <c r="N60" s="62"/>
      <c r="O60" s="62"/>
      <c r="P60" s="62"/>
      <c r="Q60" s="62"/>
      <c r="R60" s="42"/>
      <c r="S60" s="42"/>
      <c r="T60" s="42"/>
      <c r="U60" s="42"/>
      <c r="V60" s="42"/>
      <c r="W60" s="42"/>
      <c r="X60" s="42"/>
      <c r="Y60" s="42"/>
      <c r="Z60" s="42"/>
      <c r="AA60" s="42"/>
      <c r="AB60" s="42"/>
      <c r="AC60" s="42"/>
      <c r="AD60" s="42"/>
      <c r="AE60" s="42"/>
      <c r="AF60" s="42"/>
      <c r="AG60" s="42"/>
      <c r="AH60" s="42"/>
      <c r="AI60" s="42"/>
      <c r="AJ60" s="42"/>
    </row>
    <row r="61" spans="1:36" ht="15.75" x14ac:dyDescent="0.25">
      <c r="B61" s="66"/>
      <c r="C61" s="440" t="str">
        <f>B465</f>
        <v>Результаты вычисления  производительности комбайна</v>
      </c>
      <c r="D61" s="74"/>
      <c r="N61" s="62"/>
      <c r="O61" s="62"/>
      <c r="P61" s="62"/>
      <c r="Q61" s="62"/>
      <c r="R61" s="42"/>
      <c r="S61" s="42"/>
      <c r="T61" s="42"/>
      <c r="U61" s="42"/>
      <c r="V61" s="42"/>
      <c r="W61" s="42"/>
      <c r="X61" s="42"/>
      <c r="Y61" s="42"/>
      <c r="Z61" s="42"/>
      <c r="AA61" s="42"/>
      <c r="AB61" s="42"/>
      <c r="AC61" s="42"/>
      <c r="AD61" s="42"/>
      <c r="AE61" s="42"/>
      <c r="AF61" s="42"/>
      <c r="AG61" s="42"/>
      <c r="AH61" s="42"/>
      <c r="AI61" s="42"/>
      <c r="AJ61" s="42"/>
    </row>
    <row r="62" spans="1:36" x14ac:dyDescent="0.2">
      <c r="A62" s="29"/>
      <c r="C62" s="29"/>
      <c r="D62" s="29"/>
      <c r="E62" s="29"/>
      <c r="F62" s="29"/>
      <c r="G62" s="29"/>
      <c r="H62" s="29"/>
      <c r="I62" s="14"/>
      <c r="J62" s="14"/>
      <c r="K62" s="14"/>
      <c r="L62" s="14"/>
      <c r="M62" s="14"/>
      <c r="N62" s="62"/>
      <c r="O62" s="62"/>
      <c r="P62" s="62"/>
      <c r="Q62" s="62"/>
      <c r="R62" s="42"/>
      <c r="S62" s="42"/>
      <c r="T62" s="42"/>
      <c r="U62" s="42"/>
      <c r="V62" s="42"/>
      <c r="W62" s="42"/>
      <c r="X62" s="42"/>
      <c r="Y62" s="42"/>
      <c r="Z62" s="42"/>
      <c r="AA62" s="42"/>
      <c r="AB62" s="42"/>
      <c r="AC62" s="42"/>
      <c r="AD62" s="42"/>
      <c r="AE62" s="42"/>
      <c r="AF62" s="42"/>
      <c r="AG62" s="42"/>
      <c r="AH62" s="42"/>
      <c r="AI62" s="42"/>
      <c r="AJ62" s="42"/>
    </row>
    <row r="63" spans="1:36" ht="15.75" x14ac:dyDescent="0.25">
      <c r="B63" s="31"/>
      <c r="D63" s="27"/>
      <c r="E63" s="27"/>
      <c r="F63" s="27"/>
      <c r="G63" s="27"/>
      <c r="H63" s="27"/>
      <c r="I63" s="11"/>
      <c r="J63" s="87"/>
      <c r="K63" s="70"/>
      <c r="L63" s="70"/>
      <c r="M63" s="11"/>
      <c r="N63" s="95"/>
      <c r="O63" s="73"/>
      <c r="P63" s="95"/>
      <c r="Q63" s="62"/>
      <c r="R63" s="42"/>
      <c r="S63" s="42"/>
      <c r="T63" s="42"/>
      <c r="U63" s="42"/>
      <c r="V63" s="42"/>
      <c r="W63" s="42"/>
      <c r="X63" s="42"/>
      <c r="Y63" s="42"/>
      <c r="Z63" s="42"/>
      <c r="AA63" s="42"/>
      <c r="AB63" s="42"/>
      <c r="AC63" s="42"/>
      <c r="AD63" s="42"/>
      <c r="AE63" s="42"/>
      <c r="AF63" s="42"/>
      <c r="AG63" s="42"/>
      <c r="AH63" s="42"/>
      <c r="AI63" s="42"/>
      <c r="AJ63" s="42"/>
    </row>
    <row r="64" spans="1:36" ht="15.75" x14ac:dyDescent="0.25">
      <c r="A64" s="29"/>
      <c r="B64" s="21"/>
      <c r="D64" s="11"/>
      <c r="E64" s="2386" t="s">
        <v>3315</v>
      </c>
      <c r="F64" s="441"/>
      <c r="G64" s="441"/>
      <c r="H64" s="441"/>
      <c r="I64" s="441"/>
      <c r="N64" s="95"/>
      <c r="O64" s="73"/>
      <c r="P64" s="95"/>
      <c r="Q64" s="62"/>
      <c r="R64" s="42"/>
      <c r="S64" s="42"/>
      <c r="T64" s="42"/>
      <c r="U64" s="42"/>
      <c r="V64" s="42"/>
      <c r="W64" s="42"/>
      <c r="X64" s="42"/>
      <c r="Y64" s="42"/>
      <c r="Z64" s="42"/>
      <c r="AA64" s="42"/>
      <c r="AB64" s="42"/>
      <c r="AC64" s="42"/>
      <c r="AD64" s="42"/>
      <c r="AE64" s="42"/>
      <c r="AF64" s="42"/>
      <c r="AG64" s="42"/>
      <c r="AH64" s="42"/>
      <c r="AI64" s="42"/>
      <c r="AJ64" s="42"/>
    </row>
    <row r="65" spans="1:36" ht="15.75" x14ac:dyDescent="0.25">
      <c r="C65" s="11"/>
      <c r="D65" s="11"/>
      <c r="E65" s="4328">
        <v>100</v>
      </c>
      <c r="F65" s="4328">
        <v>150</v>
      </c>
      <c r="G65" s="4328">
        <v>200</v>
      </c>
      <c r="H65" s="4328">
        <v>250</v>
      </c>
      <c r="I65" s="4328">
        <v>300</v>
      </c>
      <c r="N65" s="95"/>
      <c r="O65" s="73"/>
      <c r="P65" s="95"/>
      <c r="Q65" s="62"/>
      <c r="R65" s="42"/>
      <c r="S65" s="42"/>
      <c r="T65" s="42"/>
      <c r="U65" s="42"/>
      <c r="V65" s="42"/>
      <c r="W65" s="42"/>
      <c r="X65" s="42"/>
      <c r="Y65" s="42"/>
      <c r="Z65" s="42"/>
      <c r="AA65" s="42"/>
      <c r="AB65" s="42"/>
      <c r="AC65" s="42"/>
      <c r="AD65" s="42"/>
      <c r="AE65" s="42"/>
      <c r="AF65" s="42"/>
      <c r="AG65" s="42"/>
      <c r="AH65" s="42"/>
      <c r="AI65" s="42"/>
      <c r="AJ65" s="42"/>
    </row>
    <row r="66" spans="1:36" x14ac:dyDescent="0.2">
      <c r="A66" s="119" t="str">
        <f>B466</f>
        <v>Принимаемая в расчетах производительность комбайна, т/мин</v>
      </c>
      <c r="B66" s="42"/>
      <c r="C66" s="42"/>
      <c r="D66" s="42"/>
      <c r="E66" s="96">
        <f t="shared" ref="E66:I70" si="0">IF($R$51=0,I466,0)</f>
        <v>0</v>
      </c>
      <c r="F66" s="96">
        <f t="shared" si="0"/>
        <v>0</v>
      </c>
      <c r="G66" s="96">
        <f t="shared" si="0"/>
        <v>0</v>
      </c>
      <c r="H66" s="96">
        <f t="shared" si="0"/>
        <v>0</v>
      </c>
      <c r="I66" s="96">
        <f t="shared" si="0"/>
        <v>0</v>
      </c>
      <c r="N66" s="95"/>
      <c r="O66" s="73"/>
      <c r="P66" s="95"/>
      <c r="Q66" s="62"/>
      <c r="R66" s="42"/>
      <c r="S66" s="42"/>
      <c r="T66" s="42"/>
      <c r="U66" s="42"/>
      <c r="V66" s="42"/>
      <c r="W66" s="42"/>
      <c r="X66" s="42"/>
      <c r="Y66" s="42"/>
      <c r="Z66" s="42"/>
      <c r="AA66" s="42"/>
      <c r="AB66" s="42"/>
      <c r="AC66" s="42"/>
      <c r="AD66" s="42"/>
      <c r="AE66" s="42"/>
      <c r="AF66" s="42"/>
      <c r="AG66" s="42"/>
      <c r="AH66" s="42"/>
      <c r="AI66" s="42"/>
      <c r="AJ66" s="42"/>
    </row>
    <row r="67" spans="1:36" x14ac:dyDescent="0.2">
      <c r="A67" s="12" t="str">
        <f>B467</f>
        <v>Производительность по техническим возможностям комбайна, т/мин</v>
      </c>
      <c r="C67" s="11"/>
      <c r="D67" s="11"/>
      <c r="E67" s="80">
        <f t="shared" si="0"/>
        <v>0</v>
      </c>
      <c r="F67" s="80">
        <f t="shared" si="0"/>
        <v>0</v>
      </c>
      <c r="G67" s="80">
        <f t="shared" si="0"/>
        <v>0</v>
      </c>
      <c r="H67" s="80">
        <f t="shared" si="0"/>
        <v>0</v>
      </c>
      <c r="I67" s="80">
        <f t="shared" si="0"/>
        <v>0</v>
      </c>
      <c r="N67" s="95"/>
      <c r="O67" s="73"/>
      <c r="P67" s="95"/>
      <c r="Q67" s="62"/>
      <c r="R67" s="42"/>
      <c r="S67" s="42"/>
      <c r="T67" s="42"/>
      <c r="U67" s="42"/>
      <c r="V67" s="42"/>
      <c r="W67" s="42"/>
      <c r="X67" s="42"/>
      <c r="Y67" s="42"/>
      <c r="Z67" s="42"/>
      <c r="AA67" s="42"/>
      <c r="AB67" s="42"/>
      <c r="AC67" s="42"/>
      <c r="AD67" s="42"/>
      <c r="AE67" s="42"/>
      <c r="AF67" s="42"/>
      <c r="AG67" s="42"/>
      <c r="AH67" s="42"/>
      <c r="AI67" s="42"/>
      <c r="AJ67" s="42"/>
    </row>
    <row r="68" spans="1:36" x14ac:dyDescent="0.2">
      <c r="A68" s="12" t="str">
        <f>B468</f>
        <v>Производительность комбайна с учетом нажежности работы транспорта, т/мин</v>
      </c>
      <c r="C68" s="11"/>
      <c r="D68" s="11"/>
      <c r="E68" s="80">
        <f t="shared" si="0"/>
        <v>0</v>
      </c>
      <c r="F68" s="80">
        <f t="shared" si="0"/>
        <v>0</v>
      </c>
      <c r="G68" s="80">
        <f t="shared" si="0"/>
        <v>0</v>
      </c>
      <c r="H68" s="80">
        <f t="shared" si="0"/>
        <v>0</v>
      </c>
      <c r="I68" s="80">
        <f t="shared" si="0"/>
        <v>0</v>
      </c>
      <c r="N68" s="95"/>
      <c r="O68" s="73"/>
      <c r="P68" s="95"/>
      <c r="Q68" s="62"/>
      <c r="R68" s="42"/>
      <c r="S68" s="42"/>
      <c r="T68" s="42"/>
      <c r="U68" s="42"/>
      <c r="V68" s="42"/>
      <c r="W68" s="42"/>
      <c r="X68" s="42"/>
      <c r="Y68" s="42"/>
      <c r="Z68" s="42"/>
      <c r="AA68" s="42"/>
      <c r="AB68" s="42"/>
      <c r="AC68" s="42"/>
      <c r="AD68" s="42"/>
      <c r="AE68" s="42"/>
      <c r="AF68" s="42"/>
      <c r="AG68" s="42"/>
      <c r="AH68" s="42"/>
      <c r="AI68" s="42"/>
      <c r="AJ68" s="42"/>
    </row>
    <row r="69" spans="1:36" x14ac:dyDescent="0.2">
      <c r="A69" s="12" t="str">
        <f>B469</f>
        <v>Производительность  по скорости крепления, т/мин</v>
      </c>
      <c r="C69" s="11"/>
      <c r="D69" s="11"/>
      <c r="E69" s="80">
        <f t="shared" si="0"/>
        <v>0</v>
      </c>
      <c r="F69" s="80">
        <f t="shared" si="0"/>
        <v>0</v>
      </c>
      <c r="G69" s="80">
        <f t="shared" si="0"/>
        <v>0</v>
      </c>
      <c r="H69" s="80">
        <f t="shared" si="0"/>
        <v>0</v>
      </c>
      <c r="I69" s="80">
        <f t="shared" si="0"/>
        <v>0</v>
      </c>
      <c r="N69" s="95"/>
      <c r="O69" s="73"/>
      <c r="P69" s="95"/>
      <c r="Q69" s="62"/>
      <c r="R69" s="42"/>
      <c r="S69" s="42"/>
      <c r="T69" s="42"/>
      <c r="U69" s="42"/>
      <c r="V69" s="42"/>
      <c r="W69" s="42"/>
      <c r="X69" s="42"/>
      <c r="Y69" s="42"/>
      <c r="Z69" s="42"/>
      <c r="AA69" s="42"/>
      <c r="AB69" s="42"/>
      <c r="AC69" s="42"/>
      <c r="AD69" s="42"/>
      <c r="AE69" s="42"/>
      <c r="AF69" s="42"/>
      <c r="AG69" s="42"/>
      <c r="AH69" s="42"/>
      <c r="AI69" s="42"/>
      <c r="AJ69" s="42"/>
    </row>
    <row r="70" spans="1:36" x14ac:dyDescent="0.2">
      <c r="A70" s="388" t="str">
        <f>B470</f>
        <v>Пропускная способность участковой конвейерной линии (лава, перегружатели), т/мин</v>
      </c>
      <c r="B70" s="217"/>
      <c r="C70" s="217"/>
      <c r="D70" s="217"/>
      <c r="E70" s="80">
        <f t="shared" si="0"/>
        <v>0</v>
      </c>
      <c r="F70" s="80">
        <f t="shared" si="0"/>
        <v>0</v>
      </c>
      <c r="G70" s="80">
        <f t="shared" si="0"/>
        <v>0</v>
      </c>
      <c r="H70" s="80">
        <f t="shared" si="0"/>
        <v>0</v>
      </c>
      <c r="I70" s="80">
        <f t="shared" si="0"/>
        <v>0</v>
      </c>
      <c r="N70" s="95"/>
      <c r="O70" s="73"/>
      <c r="P70" s="95"/>
      <c r="Q70" s="62"/>
      <c r="R70" s="42"/>
      <c r="S70" s="42"/>
      <c r="T70" s="42"/>
      <c r="U70" s="42"/>
      <c r="V70" s="42"/>
      <c r="W70" s="42"/>
      <c r="X70" s="42"/>
      <c r="Y70" s="42"/>
      <c r="Z70" s="42"/>
      <c r="AA70" s="42"/>
      <c r="AB70" s="42"/>
      <c r="AC70" s="42"/>
      <c r="AD70" s="42"/>
      <c r="AE70" s="42"/>
      <c r="AF70" s="42"/>
      <c r="AG70" s="42"/>
      <c r="AH70" s="42"/>
      <c r="AI70" s="42"/>
      <c r="AJ70" s="42"/>
    </row>
    <row r="71" spans="1:36" ht="15.75" x14ac:dyDescent="0.25">
      <c r="A71" s="439" t="s">
        <v>1309</v>
      </c>
      <c r="B71" s="434"/>
      <c r="C71" s="29"/>
      <c r="D71" s="29"/>
      <c r="E71" s="29"/>
      <c r="F71" s="29"/>
      <c r="G71" s="29"/>
      <c r="H71" s="29"/>
      <c r="I71" s="14"/>
      <c r="J71" s="14"/>
      <c r="K71" s="14"/>
      <c r="L71" s="14"/>
      <c r="M71" s="14"/>
      <c r="N71" s="62"/>
      <c r="O71" s="62"/>
      <c r="P71" s="62"/>
      <c r="Q71" s="62"/>
      <c r="R71" s="42"/>
      <c r="S71" s="42"/>
      <c r="T71" s="42"/>
      <c r="U71" s="42"/>
      <c r="V71" s="42"/>
      <c r="W71" s="42"/>
      <c r="X71" s="42"/>
      <c r="Y71" s="42"/>
      <c r="Z71" s="42"/>
      <c r="AA71" s="42"/>
      <c r="AB71" s="42"/>
      <c r="AC71" s="42"/>
      <c r="AD71" s="42"/>
      <c r="AE71" s="42"/>
      <c r="AF71" s="42"/>
      <c r="AG71" s="42"/>
      <c r="AH71" s="42"/>
      <c r="AI71" s="42"/>
      <c r="AJ71" s="42"/>
    </row>
    <row r="72" spans="1:36" ht="15.75" x14ac:dyDescent="0.25">
      <c r="A72" s="799" t="s">
        <v>1660</v>
      </c>
      <c r="B72" s="434"/>
      <c r="C72" s="29"/>
      <c r="D72" s="29"/>
      <c r="E72" s="29"/>
      <c r="F72" s="29"/>
      <c r="G72" s="29"/>
      <c r="H72" s="29"/>
      <c r="I72" s="14"/>
      <c r="J72" s="14"/>
      <c r="K72" s="14"/>
      <c r="L72" s="14"/>
      <c r="M72" s="14"/>
      <c r="N72" s="62"/>
      <c r="O72" s="62"/>
      <c r="P72" s="62"/>
      <c r="Q72" s="62"/>
      <c r="R72" s="42"/>
      <c r="S72" s="42"/>
      <c r="T72" s="42"/>
      <c r="U72" s="42"/>
      <c r="V72" s="42"/>
      <c r="W72" s="42"/>
      <c r="X72" s="42"/>
      <c r="Y72" s="42"/>
      <c r="Z72" s="42"/>
      <c r="AA72" s="42"/>
      <c r="AB72" s="42"/>
      <c r="AC72" s="42"/>
      <c r="AD72" s="42"/>
      <c r="AE72" s="42"/>
      <c r="AF72" s="42"/>
      <c r="AG72" s="42"/>
      <c r="AH72" s="42"/>
      <c r="AI72" s="42"/>
      <c r="AJ72" s="42"/>
    </row>
    <row r="73" spans="1:36" ht="25.5" x14ac:dyDescent="0.2">
      <c r="A73" s="2927" t="s">
        <v>1661</v>
      </c>
      <c r="B73" s="2928"/>
      <c r="C73" s="29"/>
      <c r="D73" s="29"/>
      <c r="E73" s="29"/>
      <c r="F73" s="29"/>
      <c r="G73" s="29"/>
      <c r="H73" s="29"/>
      <c r="I73" s="14"/>
      <c r="J73" s="14"/>
      <c r="K73" s="14"/>
      <c r="L73" s="361">
        <f>IF(B73=2,1,0)</f>
        <v>0</v>
      </c>
      <c r="M73" s="14"/>
      <c r="N73" s="62"/>
      <c r="O73" s="62"/>
      <c r="P73" s="62"/>
      <c r="Q73" s="62"/>
      <c r="R73" s="42"/>
      <c r="S73" s="42"/>
      <c r="T73" s="42"/>
      <c r="U73" s="42"/>
      <c r="V73" s="42"/>
      <c r="W73" s="42"/>
      <c r="X73" s="42"/>
      <c r="Y73" s="42"/>
      <c r="Z73" s="42"/>
      <c r="AA73" s="42"/>
      <c r="AB73" s="42"/>
      <c r="AC73" s="42"/>
      <c r="AD73" s="42"/>
      <c r="AE73" s="42"/>
      <c r="AF73" s="42"/>
      <c r="AG73" s="42"/>
      <c r="AH73" s="42"/>
      <c r="AI73" s="42"/>
      <c r="AJ73" s="42"/>
    </row>
    <row r="74" spans="1:36" ht="38.25" x14ac:dyDescent="0.2">
      <c r="A74" s="2927" t="s">
        <v>1662</v>
      </c>
      <c r="B74" s="2928"/>
      <c r="C74" s="29"/>
      <c r="D74" s="29"/>
      <c r="F74" s="201"/>
      <c r="G74" s="29"/>
      <c r="H74" s="29"/>
      <c r="I74" s="14"/>
      <c r="J74" s="14"/>
      <c r="K74" s="201">
        <f>IF(E69&gt;E67,2,1)</f>
        <v>1</v>
      </c>
      <c r="L74" s="361">
        <f>IF(B74=K74,1,0)</f>
        <v>0</v>
      </c>
      <c r="M74" s="14"/>
      <c r="N74" s="62"/>
      <c r="O74" s="62"/>
      <c r="P74" s="62"/>
      <c r="Q74" s="62"/>
      <c r="R74" s="42"/>
      <c r="S74" s="42"/>
      <c r="T74" s="42"/>
      <c r="U74" s="42"/>
      <c r="V74" s="42"/>
      <c r="W74" s="42"/>
      <c r="X74" s="42"/>
      <c r="Y74" s="42"/>
      <c r="Z74" s="42"/>
      <c r="AA74" s="42"/>
      <c r="AB74" s="42"/>
      <c r="AC74" s="42"/>
      <c r="AD74" s="42"/>
      <c r="AE74" s="42"/>
      <c r="AF74" s="42"/>
      <c r="AG74" s="42"/>
      <c r="AH74" s="42"/>
      <c r="AI74" s="42"/>
      <c r="AJ74" s="42"/>
    </row>
    <row r="75" spans="1:36" ht="15" x14ac:dyDescent="0.2">
      <c r="A75" s="2918" t="str">
        <f>IF(L74+L73=2,"Продолжим работу !"," Вы невнимательны!")</f>
        <v xml:space="preserve"> Вы невнимательны!</v>
      </c>
      <c r="B75" s="434"/>
      <c r="C75" s="29"/>
      <c r="D75" s="29"/>
      <c r="E75" s="29"/>
      <c r="F75" s="29"/>
      <c r="G75" s="29"/>
      <c r="H75" s="29"/>
      <c r="I75" s="14"/>
      <c r="J75" s="14"/>
      <c r="K75" s="14"/>
      <c r="L75" s="14"/>
      <c r="M75" s="14"/>
      <c r="N75" s="62"/>
      <c r="O75" s="62"/>
      <c r="P75" s="62"/>
      <c r="Q75" s="62"/>
      <c r="R75" s="42"/>
      <c r="S75" s="42"/>
      <c r="T75" s="42"/>
      <c r="U75" s="42"/>
      <c r="V75" s="42"/>
      <c r="W75" s="42"/>
      <c r="X75" s="42"/>
      <c r="Y75" s="42"/>
      <c r="Z75" s="42"/>
      <c r="AA75" s="42"/>
      <c r="AB75" s="42"/>
      <c r="AC75" s="42"/>
      <c r="AD75" s="42"/>
      <c r="AE75" s="42"/>
      <c r="AF75" s="42"/>
      <c r="AG75" s="42"/>
      <c r="AH75" s="42"/>
      <c r="AI75" s="42"/>
      <c r="AJ75" s="42"/>
    </row>
    <row r="76" spans="1:36" ht="15" x14ac:dyDescent="0.2">
      <c r="A76" s="90"/>
      <c r="B76" s="434"/>
      <c r="C76" s="29"/>
      <c r="D76" s="29"/>
      <c r="E76" s="29"/>
      <c r="F76" s="29"/>
      <c r="G76" s="29"/>
      <c r="H76" s="29"/>
      <c r="I76" s="14"/>
      <c r="J76" s="14"/>
      <c r="K76" s="14"/>
      <c r="L76" s="14"/>
      <c r="M76" s="14"/>
      <c r="N76" s="62"/>
      <c r="O76" s="62"/>
      <c r="P76" s="62"/>
      <c r="Q76" s="62"/>
      <c r="R76" s="42"/>
      <c r="S76" s="42"/>
      <c r="T76" s="42"/>
      <c r="U76" s="42"/>
      <c r="V76" s="42"/>
      <c r="W76" s="42"/>
      <c r="X76" s="42"/>
      <c r="Y76" s="42"/>
      <c r="Z76" s="42"/>
      <c r="AA76" s="42"/>
      <c r="AB76" s="42"/>
      <c r="AC76" s="42"/>
      <c r="AD76" s="42"/>
      <c r="AE76" s="42"/>
      <c r="AF76" s="42"/>
      <c r="AG76" s="42"/>
      <c r="AH76" s="42"/>
      <c r="AI76" s="42"/>
      <c r="AJ76" s="42"/>
    </row>
    <row r="77" spans="1:36" ht="15" x14ac:dyDescent="0.2">
      <c r="A77" s="29" t="s">
        <v>465</v>
      </c>
      <c r="B77" s="434"/>
      <c r="C77" s="29"/>
      <c r="D77" s="29"/>
      <c r="E77" s="29"/>
      <c r="F77" s="29"/>
      <c r="G77" s="29"/>
      <c r="H77" s="29"/>
      <c r="I77" s="14"/>
      <c r="J77" s="14"/>
      <c r="K77" s="14"/>
      <c r="L77" s="14"/>
      <c r="M77" s="14"/>
      <c r="N77" s="62"/>
      <c r="O77" s="62"/>
      <c r="P77" s="62"/>
      <c r="Q77" s="62"/>
      <c r="R77" s="42"/>
      <c r="S77" s="42"/>
      <c r="T77" s="42"/>
      <c r="U77" s="42"/>
      <c r="V77" s="42"/>
      <c r="W77" s="42"/>
      <c r="X77" s="42"/>
      <c r="Y77" s="42"/>
      <c r="Z77" s="42"/>
      <c r="AA77" s="42"/>
      <c r="AB77" s="42"/>
      <c r="AC77" s="42"/>
      <c r="AD77" s="42"/>
      <c r="AE77" s="42"/>
      <c r="AF77" s="42"/>
      <c r="AG77" s="42"/>
      <c r="AH77" s="42"/>
      <c r="AI77" s="42"/>
      <c r="AJ77" s="42"/>
    </row>
    <row r="78" spans="1:36" ht="15" x14ac:dyDescent="0.2">
      <c r="A78" s="29"/>
      <c r="B78" s="434"/>
      <c r="C78" s="29"/>
      <c r="D78" s="29"/>
      <c r="E78" s="29"/>
      <c r="F78" s="29"/>
      <c r="G78" s="29"/>
      <c r="H78" s="29"/>
      <c r="I78" s="14"/>
      <c r="J78" s="14"/>
      <c r="K78" s="14"/>
      <c r="L78" s="14"/>
      <c r="M78" s="14"/>
      <c r="N78" s="62"/>
      <c r="O78" s="62"/>
      <c r="P78" s="62"/>
      <c r="Q78" s="62"/>
      <c r="R78" s="42"/>
      <c r="S78" s="42"/>
      <c r="T78" s="42"/>
      <c r="U78" s="42"/>
      <c r="V78" s="42"/>
      <c r="W78" s="42"/>
      <c r="X78" s="42"/>
      <c r="Y78" s="42"/>
      <c r="Z78" s="42"/>
      <c r="AA78" s="42"/>
      <c r="AB78" s="42"/>
      <c r="AC78" s="42"/>
      <c r="AD78" s="42"/>
      <c r="AE78" s="42"/>
      <c r="AF78" s="42"/>
      <c r="AG78" s="42"/>
      <c r="AH78" s="42"/>
      <c r="AI78" s="42"/>
      <c r="AJ78" s="42"/>
    </row>
    <row r="79" spans="1:36" ht="15" x14ac:dyDescent="0.2">
      <c r="A79" s="29"/>
      <c r="B79" s="434" t="s">
        <v>4598</v>
      </c>
      <c r="D79" s="29"/>
      <c r="E79" s="29"/>
      <c r="F79" s="29"/>
      <c r="G79" s="29"/>
      <c r="H79" s="29"/>
      <c r="I79" s="14"/>
      <c r="J79" s="14"/>
      <c r="K79" s="14"/>
      <c r="L79" s="14"/>
      <c r="M79" s="14"/>
      <c r="N79" s="62"/>
      <c r="O79" s="62"/>
      <c r="P79" s="62"/>
      <c r="Q79" s="62"/>
      <c r="R79" s="42"/>
      <c r="S79" s="42"/>
      <c r="T79" s="42"/>
      <c r="U79" s="42"/>
      <c r="V79" s="42"/>
      <c r="W79" s="42"/>
      <c r="X79" s="42"/>
      <c r="Y79" s="42"/>
      <c r="Z79" s="42"/>
      <c r="AA79" s="42"/>
      <c r="AB79" s="42"/>
      <c r="AC79" s="42"/>
      <c r="AD79" s="42"/>
      <c r="AE79" s="42"/>
      <c r="AF79" s="42"/>
      <c r="AG79" s="42"/>
      <c r="AH79" s="42"/>
      <c r="AI79" s="42"/>
      <c r="AJ79" s="42"/>
    </row>
    <row r="80" spans="1:36" ht="25.5" x14ac:dyDescent="0.2">
      <c r="A80" s="11"/>
      <c r="B80" s="109" t="s">
        <v>466</v>
      </c>
      <c r="C80" s="5">
        <f>E65</f>
        <v>100</v>
      </c>
      <c r="D80" s="5">
        <f>F65</f>
        <v>150</v>
      </c>
      <c r="E80" s="5">
        <f>G65</f>
        <v>200</v>
      </c>
      <c r="F80" s="5">
        <f>H65</f>
        <v>250</v>
      </c>
      <c r="G80" s="5">
        <f>I65</f>
        <v>300</v>
      </c>
      <c r="L80" s="14"/>
      <c r="M80" s="14"/>
      <c r="N80" s="62"/>
      <c r="O80" s="62"/>
      <c r="P80" s="62"/>
      <c r="Q80" s="62"/>
      <c r="R80" s="42"/>
      <c r="S80" s="42"/>
      <c r="T80" s="42"/>
      <c r="U80" s="42"/>
      <c r="V80" s="42"/>
      <c r="W80" s="42"/>
      <c r="X80" s="42"/>
      <c r="Y80" s="42"/>
      <c r="Z80" s="42"/>
      <c r="AA80" s="42"/>
      <c r="AB80" s="42"/>
      <c r="AC80" s="42"/>
      <c r="AD80" s="42"/>
      <c r="AE80" s="42"/>
      <c r="AF80" s="42"/>
      <c r="AG80" s="42"/>
      <c r="AH80" s="42"/>
      <c r="AI80" s="42"/>
      <c r="AJ80" s="42"/>
    </row>
    <row r="81" spans="1:36" x14ac:dyDescent="0.2">
      <c r="B81" s="12" t="s">
        <v>360</v>
      </c>
      <c r="C81" s="3106" t="str">
        <f>G292</f>
        <v/>
      </c>
      <c r="D81" s="3106" t="str">
        <f>H292</f>
        <v/>
      </c>
      <c r="E81" s="3106" t="str">
        <f>I292</f>
        <v/>
      </c>
      <c r="F81" s="3106" t="str">
        <f>J292</f>
        <v/>
      </c>
      <c r="G81" s="3106" t="str">
        <f>K292</f>
        <v/>
      </c>
      <c r="N81" s="62"/>
      <c r="O81" s="62"/>
      <c r="P81" s="62"/>
      <c r="Q81" s="62"/>
      <c r="R81" s="42"/>
      <c r="S81" s="42"/>
      <c r="T81" s="42"/>
      <c r="U81" s="42"/>
      <c r="V81" s="42"/>
      <c r="W81" s="42"/>
      <c r="X81" s="42"/>
      <c r="Y81" s="42"/>
      <c r="Z81" s="42"/>
      <c r="AA81" s="42"/>
      <c r="AB81" s="42"/>
      <c r="AC81" s="42"/>
      <c r="AD81" s="42"/>
      <c r="AE81" s="42"/>
      <c r="AF81" s="42"/>
      <c r="AG81" s="42"/>
      <c r="AH81" s="42"/>
      <c r="AI81" s="42"/>
      <c r="AJ81" s="42"/>
    </row>
    <row r="82" spans="1:36" x14ac:dyDescent="0.2">
      <c r="A82" s="29"/>
      <c r="B82" s="201" t="s">
        <v>361</v>
      </c>
      <c r="C82" s="3107" t="str">
        <f>IF(G262=2,G327,"Индив.")</f>
        <v>Индив.</v>
      </c>
      <c r="D82" s="3107" t="str">
        <f>IF(H262=2,H327,"Индив.")</f>
        <v>Индив.</v>
      </c>
      <c r="E82" s="3107" t="str">
        <f>IF(I262=2,I327,"Индив.")</f>
        <v>Индив.</v>
      </c>
      <c r="F82" s="3107" t="str">
        <f>IF(J262=2,J327,"Индив.")</f>
        <v>Индив.</v>
      </c>
      <c r="G82" s="3107" t="str">
        <f>IF(K262=2,K327,"Индив.")</f>
        <v>Индив.</v>
      </c>
      <c r="N82" s="70"/>
      <c r="O82" s="70"/>
      <c r="P82" s="70"/>
      <c r="Q82" s="87"/>
      <c r="R82" s="41"/>
      <c r="S82" s="41"/>
      <c r="T82" s="41"/>
      <c r="U82" s="41"/>
      <c r="V82" s="41"/>
      <c r="W82" s="41"/>
      <c r="X82" s="41"/>
      <c r="Y82" s="41"/>
      <c r="Z82" s="41"/>
      <c r="AA82" s="41"/>
      <c r="AB82" s="41"/>
      <c r="AC82" s="41"/>
      <c r="AD82" s="41"/>
      <c r="AE82" s="41"/>
      <c r="AF82" s="41"/>
      <c r="AG82" s="41"/>
      <c r="AH82" s="41"/>
      <c r="AI82" s="41"/>
      <c r="AJ82" s="41"/>
    </row>
    <row r="83" spans="1:36" x14ac:dyDescent="0.2">
      <c r="A83" s="25" t="str">
        <f>IF(L74+L73=2,"Сменная  нагрузка на лаву по Км","")</f>
        <v/>
      </c>
      <c r="B83" s="27"/>
      <c r="C83" s="435">
        <f>IF($R$51=0,I545*I466*360,0)</f>
        <v>0</v>
      </c>
      <c r="D83" s="435">
        <f>IF($R$51=0,J545*J466*360,0)</f>
        <v>0</v>
      </c>
      <c r="E83" s="435">
        <f>IF($R$51=0,K545*K466*360,0)</f>
        <v>0</v>
      </c>
      <c r="F83" s="435">
        <f>IF($R$51=0,L545*L466*360,0)</f>
        <v>0</v>
      </c>
      <c r="G83" s="435">
        <f>IF($R$51=0,M545*M466*360,0)</f>
        <v>0</v>
      </c>
      <c r="N83" s="70"/>
      <c r="O83" s="70"/>
      <c r="P83" s="70"/>
      <c r="Q83" s="87"/>
      <c r="R83" s="41"/>
      <c r="S83" s="41"/>
      <c r="T83" s="41"/>
      <c r="U83" s="41"/>
      <c r="V83" s="41"/>
      <c r="W83" s="41"/>
      <c r="X83" s="41"/>
      <c r="Y83" s="41"/>
      <c r="Z83" s="41"/>
      <c r="AA83" s="41"/>
      <c r="AB83" s="41"/>
      <c r="AC83" s="41"/>
      <c r="AD83" s="41"/>
      <c r="AE83" s="41"/>
      <c r="AF83" s="41"/>
      <c r="AG83" s="41"/>
      <c r="AH83" s="41"/>
      <c r="AI83" s="41"/>
      <c r="AJ83" s="41"/>
    </row>
    <row r="84" spans="1:36" x14ac:dyDescent="0.2">
      <c r="A84" s="25" t="str">
        <f>IF(L74+L73=2,"Суточная нагрузка на лаву, т/сут","")</f>
        <v/>
      </c>
      <c r="B84" s="27"/>
      <c r="C84" s="436">
        <f>IF($R$51=0,C89*C91,0)</f>
        <v>0</v>
      </c>
      <c r="D84" s="436">
        <f>IF($R$51=0,D89*D91,0)</f>
        <v>0</v>
      </c>
      <c r="E84" s="436">
        <f>IF($R$51=0,E89*E91,0)</f>
        <v>0</v>
      </c>
      <c r="F84" s="436">
        <f>IF($R$51=0,F89*F91,0)</f>
        <v>0</v>
      </c>
      <c r="G84" s="436">
        <f>IF($R$51=0,G89*G91,0)</f>
        <v>0</v>
      </c>
      <c r="I84" s="4021"/>
      <c r="J84" s="1"/>
      <c r="N84" s="73"/>
      <c r="O84" s="73"/>
      <c r="P84" s="73"/>
      <c r="Q84" s="87"/>
      <c r="R84" s="41"/>
      <c r="S84" s="41"/>
      <c r="T84" s="41"/>
      <c r="U84" s="41"/>
      <c r="V84" s="41"/>
      <c r="W84" s="41"/>
      <c r="X84" s="41"/>
      <c r="Y84" s="41"/>
      <c r="Z84" s="41"/>
      <c r="AA84" s="41"/>
      <c r="AB84" s="41"/>
      <c r="AC84" s="41"/>
      <c r="AD84" s="41"/>
      <c r="AE84" s="41"/>
      <c r="AF84" s="41"/>
      <c r="AG84" s="41"/>
      <c r="AH84" s="41"/>
      <c r="AI84" s="41"/>
      <c r="AJ84" s="41"/>
    </row>
    <row r="85" spans="1:36" x14ac:dyDescent="0.2">
      <c r="A85" s="25" t="str">
        <f>IF(L74+L73=2,"Добыча из машинной части лавы, т/смену","")</f>
        <v/>
      </c>
      <c r="B85" s="27"/>
      <c r="C85" s="436">
        <f>IF($R$51=0,C86*C90,0)</f>
        <v>0</v>
      </c>
      <c r="D85" s="436">
        <f>IF($R$51=0,D86*D90,0)</f>
        <v>0</v>
      </c>
      <c r="E85" s="436">
        <f>IF($R$51=0,E86*E90,0)</f>
        <v>0</v>
      </c>
      <c r="F85" s="436">
        <f>IF($R$51=0,F86*F90,0)</f>
        <v>0</v>
      </c>
      <c r="G85" s="436">
        <f>IF($R$51=0,G86*G90,0)</f>
        <v>0</v>
      </c>
      <c r="I85" s="1"/>
      <c r="J85" s="1"/>
      <c r="N85" s="73"/>
      <c r="O85" s="73"/>
      <c r="P85" s="73"/>
      <c r="Q85" s="87"/>
      <c r="R85" s="41"/>
      <c r="S85" s="41"/>
      <c r="T85" s="41"/>
      <c r="U85" s="41"/>
      <c r="V85" s="41"/>
      <c r="W85" s="41"/>
      <c r="X85" s="41"/>
      <c r="Y85" s="41"/>
      <c r="Z85" s="41"/>
      <c r="AA85" s="41"/>
      <c r="AB85" s="41"/>
      <c r="AC85" s="41"/>
      <c r="AD85" s="41"/>
      <c r="AE85" s="41"/>
      <c r="AF85" s="41"/>
      <c r="AG85" s="41"/>
      <c r="AH85" s="41"/>
      <c r="AI85" s="41"/>
      <c r="AJ85" s="41"/>
    </row>
    <row r="86" spans="1:36" x14ac:dyDescent="0.2">
      <c r="A86" s="25" t="str">
        <f>IF(L74+L73=2,"Добыча их машинной части лавы за 1 цикл, т","")</f>
        <v/>
      </c>
      <c r="B86" s="27"/>
      <c r="C86" s="436">
        <f>IF($R$51=0,I463*(E65-G236-G237)*G288*G291*I431*G261,0)</f>
        <v>0</v>
      </c>
      <c r="D86" s="436">
        <f>IF($R$51=0,J463*(F65-H236-H237)*H288*H291*J431*H261,0)</f>
        <v>0</v>
      </c>
      <c r="E86" s="436">
        <f>IF($R$51=0,K463*(G65-I236-I237)*I288*I291*K431*I261,0)</f>
        <v>0</v>
      </c>
      <c r="F86" s="436">
        <f>IF($R$51=0,L463*(H65-J236-J237)*J288*J291*L431*J261,0)</f>
        <v>0</v>
      </c>
      <c r="G86" s="436">
        <f>IF($R$51=0,M463*(I65-K236-K237)*K288*K291*M431*K261,0)</f>
        <v>0</v>
      </c>
      <c r="I86" s="130"/>
      <c r="J86" s="130"/>
      <c r="K86" s="130"/>
      <c r="N86" s="73"/>
      <c r="O86" s="73"/>
      <c r="P86" s="73"/>
      <c r="Q86" s="87"/>
      <c r="R86" s="41"/>
      <c r="S86" s="41"/>
      <c r="T86" s="41"/>
      <c r="U86" s="41"/>
      <c r="V86" s="41"/>
      <c r="W86" s="41"/>
      <c r="X86" s="41"/>
      <c r="Y86" s="41"/>
      <c r="Z86" s="41"/>
      <c r="AA86" s="41"/>
      <c r="AB86" s="41"/>
      <c r="AC86" s="41"/>
      <c r="AD86" s="41"/>
      <c r="AE86" s="41"/>
      <c r="AF86" s="41"/>
      <c r="AG86" s="41"/>
      <c r="AH86" s="41"/>
      <c r="AI86" s="41"/>
      <c r="AJ86" s="41"/>
    </row>
    <row r="87" spans="1:36" x14ac:dyDescent="0.2">
      <c r="A87" s="25" t="str">
        <f>IF(L74+L73=2,"Добыча из 1 м длины лавы, т","")</f>
        <v/>
      </c>
      <c r="B87" s="27"/>
      <c r="C87" s="437">
        <f>C86/(E65-G236-G237)</f>
        <v>0</v>
      </c>
      <c r="D87" s="437">
        <f>D86/(F65-H236-H237)</f>
        <v>0</v>
      </c>
      <c r="E87" s="437">
        <f>E86/(G65-I236-I237)</f>
        <v>0</v>
      </c>
      <c r="F87" s="437">
        <f>F86/(H65-J236-J237)</f>
        <v>0</v>
      </c>
      <c r="G87" s="437">
        <f>G86/(I65-K236-K237)</f>
        <v>0</v>
      </c>
      <c r="N87" s="73"/>
      <c r="O87" s="73"/>
      <c r="P87" s="73"/>
      <c r="Q87" s="87"/>
      <c r="R87" s="41"/>
      <c r="S87" s="41"/>
      <c r="T87" s="41"/>
      <c r="U87" s="41"/>
      <c r="V87" s="41"/>
      <c r="W87" s="41"/>
      <c r="X87" s="41"/>
      <c r="Y87" s="41"/>
      <c r="Z87" s="41"/>
      <c r="AA87" s="41"/>
      <c r="AB87" s="41"/>
      <c r="AC87" s="41"/>
      <c r="AD87" s="41"/>
      <c r="AE87" s="41"/>
      <c r="AF87" s="41"/>
      <c r="AG87" s="41"/>
      <c r="AH87" s="41"/>
      <c r="AI87" s="41"/>
      <c r="AJ87" s="41"/>
    </row>
    <row r="88" spans="1:36" x14ac:dyDescent="0.2">
      <c r="A88" s="25" t="str">
        <f>IF(L74+L73=2,"Добыча из ниш за 1 цикл, т","")</f>
        <v/>
      </c>
      <c r="B88" s="27"/>
      <c r="C88" s="437" t="e">
        <f>G288*(G236+G237)*G291*I431*I463*G261</f>
        <v>#VALUE!</v>
      </c>
      <c r="D88" s="437" t="e">
        <f>H288*(H236+H237)*H291*J431*J463*H261</f>
        <v>#VALUE!</v>
      </c>
      <c r="E88" s="437" t="e">
        <f>I288*(I236+I237)*I291*K431*K463*I261</f>
        <v>#VALUE!</v>
      </c>
      <c r="F88" s="437" t="e">
        <f>J288*(J236+J237)*J291*L431*L463*J261</f>
        <v>#VALUE!</v>
      </c>
      <c r="G88" s="437" t="e">
        <f>K288*(K236+K237)*K291*M431*M463*K261</f>
        <v>#VALUE!</v>
      </c>
      <c r="N88" s="73"/>
      <c r="O88" s="73"/>
      <c r="P88" s="73"/>
      <c r="Q88" s="87"/>
      <c r="R88" s="41"/>
      <c r="S88" s="41"/>
      <c r="T88" s="41"/>
      <c r="U88" s="41"/>
      <c r="V88" s="41"/>
      <c r="W88" s="41"/>
      <c r="X88" s="41"/>
      <c r="Y88" s="41"/>
      <c r="Z88" s="41"/>
      <c r="AA88" s="41"/>
      <c r="AB88" s="41"/>
      <c r="AC88" s="41"/>
      <c r="AD88" s="41"/>
      <c r="AE88" s="41"/>
      <c r="AF88" s="41"/>
      <c r="AG88" s="41"/>
      <c r="AH88" s="41"/>
      <c r="AI88" s="41"/>
      <c r="AJ88" s="41"/>
    </row>
    <row r="89" spans="1:36" x14ac:dyDescent="0.2">
      <c r="A89" s="93" t="str">
        <f>IF(L74+L73=2,"Добыча из лавы за 1 цикл, т","")</f>
        <v/>
      </c>
      <c r="B89" s="93"/>
      <c r="C89" s="1087" t="e">
        <f>C86+C88</f>
        <v>#VALUE!</v>
      </c>
      <c r="D89" s="1087" t="e">
        <f>D86+D88</f>
        <v>#VALUE!</v>
      </c>
      <c r="E89" s="1087" t="e">
        <f>E86+E88</f>
        <v>#VALUE!</v>
      </c>
      <c r="F89" s="1087" t="e">
        <f>F86+F88</f>
        <v>#VALUE!</v>
      </c>
      <c r="G89" s="1087" t="e">
        <f>G86+G88</f>
        <v>#VALUE!</v>
      </c>
      <c r="N89" s="73"/>
      <c r="O89" s="73"/>
      <c r="P89" s="73"/>
      <c r="Q89" s="87"/>
      <c r="R89" s="41"/>
      <c r="S89" s="41"/>
      <c r="T89" s="41"/>
      <c r="U89" s="41"/>
      <c r="V89" s="41"/>
      <c r="W89" s="41"/>
      <c r="X89" s="41"/>
      <c r="Y89" s="41"/>
      <c r="Z89" s="41"/>
      <c r="AA89" s="41"/>
      <c r="AB89" s="41"/>
      <c r="AC89" s="41"/>
      <c r="AD89" s="41"/>
      <c r="AE89" s="41"/>
      <c r="AF89" s="41"/>
      <c r="AG89" s="41"/>
      <c r="AH89" s="41"/>
      <c r="AI89" s="41"/>
      <c r="AJ89" s="41"/>
    </row>
    <row r="90" spans="1:36" x14ac:dyDescent="0.2">
      <c r="A90" s="25" t="str">
        <f>IF(L74+L73=2,"Число циклов в смену","")</f>
        <v/>
      </c>
      <c r="B90" s="27"/>
      <c r="C90" s="437" t="e">
        <f>C83/C89</f>
        <v>#VALUE!</v>
      </c>
      <c r="D90" s="437" t="e">
        <f>D83/D89</f>
        <v>#VALUE!</v>
      </c>
      <c r="E90" s="437" t="e">
        <f>E83/E89</f>
        <v>#VALUE!</v>
      </c>
      <c r="F90" s="437" t="e">
        <f>F83/F89</f>
        <v>#VALUE!</v>
      </c>
      <c r="G90" s="437" t="e">
        <f>G83/G89</f>
        <v>#VALUE!</v>
      </c>
      <c r="N90" s="73"/>
      <c r="O90" s="73"/>
      <c r="P90" s="73"/>
      <c r="Q90" s="87"/>
      <c r="R90" s="41"/>
      <c r="S90" s="41"/>
      <c r="T90" s="41"/>
      <c r="U90" s="41"/>
      <c r="V90" s="41"/>
      <c r="W90" s="41"/>
      <c r="X90" s="41"/>
      <c r="Y90" s="41"/>
      <c r="Z90" s="41"/>
      <c r="AA90" s="41"/>
      <c r="AB90" s="41"/>
      <c r="AC90" s="41"/>
      <c r="AD90" s="41"/>
      <c r="AE90" s="41"/>
      <c r="AF90" s="41"/>
      <c r="AG90" s="41"/>
      <c r="AH90" s="41"/>
      <c r="AI90" s="41"/>
      <c r="AJ90" s="41"/>
    </row>
    <row r="91" spans="1:36" x14ac:dyDescent="0.2">
      <c r="A91" s="25" t="str">
        <f>IF(L74+L73=2,"Число циклов в сутки","")</f>
        <v/>
      </c>
      <c r="B91" s="27"/>
      <c r="C91" s="437" t="e">
        <f>C90*IF(G335=1,2,3)</f>
        <v>#VALUE!</v>
      </c>
      <c r="D91" s="437" t="e">
        <f>D90*IF(H335=1,2,3)</f>
        <v>#VALUE!</v>
      </c>
      <c r="E91" s="437" t="e">
        <f>E90*IF(I335=1,2,3)</f>
        <v>#VALUE!</v>
      </c>
      <c r="F91" s="437" t="e">
        <f>F90*IF(J335=1,2,3)</f>
        <v>#VALUE!</v>
      </c>
      <c r="G91" s="437" t="e">
        <f>G90*IF(K335=1,2,3)</f>
        <v>#VALUE!</v>
      </c>
      <c r="N91" s="73"/>
      <c r="O91" s="73"/>
      <c r="P91" s="73"/>
      <c r="Q91" s="87"/>
      <c r="R91" s="41"/>
      <c r="S91" s="41"/>
      <c r="T91" s="41"/>
      <c r="U91" s="41"/>
      <c r="V91" s="41"/>
      <c r="W91" s="41"/>
      <c r="X91" s="41"/>
      <c r="Y91" s="41"/>
      <c r="Z91" s="41"/>
      <c r="AA91" s="41"/>
      <c r="AB91" s="41"/>
      <c r="AC91" s="41"/>
      <c r="AD91" s="41"/>
      <c r="AE91" s="41"/>
      <c r="AF91" s="41"/>
      <c r="AG91" s="41"/>
      <c r="AH91" s="41"/>
      <c r="AI91" s="41"/>
      <c r="AJ91" s="41"/>
    </row>
    <row r="92" spans="1:36" x14ac:dyDescent="0.2">
      <c r="A92" s="25" t="str">
        <f>IF(L74+L73=2,"Длительность цикла, мин","")</f>
        <v/>
      </c>
      <c r="B92" s="27"/>
      <c r="C92" s="436" t="e">
        <f>(360-G229)/C90</f>
        <v>#VALUE!</v>
      </c>
      <c r="D92" s="436" t="e">
        <f>(360-H229)/D90</f>
        <v>#VALUE!</v>
      </c>
      <c r="E92" s="436" t="e">
        <f>(360-I229)/E90</f>
        <v>#VALUE!</v>
      </c>
      <c r="F92" s="436" t="e">
        <f>(360-J229)/F90</f>
        <v>#VALUE!</v>
      </c>
      <c r="G92" s="436" t="e">
        <f>(360-K229)/G90</f>
        <v>#VALUE!</v>
      </c>
      <c r="N92" s="95"/>
      <c r="O92" s="73"/>
      <c r="P92" s="95"/>
      <c r="Q92" s="62"/>
      <c r="R92" s="42"/>
      <c r="S92" s="42"/>
      <c r="T92" s="42"/>
      <c r="U92" s="42"/>
      <c r="V92" s="42"/>
      <c r="W92" s="42"/>
      <c r="X92" s="42"/>
      <c r="Y92" s="42"/>
      <c r="Z92" s="42"/>
      <c r="AA92" s="42"/>
      <c r="AB92" s="42"/>
      <c r="AC92" s="42"/>
      <c r="AD92" s="42"/>
      <c r="AE92" s="42"/>
      <c r="AF92" s="42"/>
      <c r="AG92" s="42"/>
      <c r="AH92" s="42"/>
      <c r="AI92" s="42"/>
      <c r="AJ92" s="42"/>
    </row>
    <row r="93" spans="1:36" x14ac:dyDescent="0.2">
      <c r="A93" s="25" t="str">
        <f>IF(L74+L73=2,"Сменный коэффициент машинного времени","")</f>
        <v/>
      </c>
      <c r="B93" s="27"/>
      <c r="C93" s="2929">
        <f>IF($R$51=0,I545,0)</f>
        <v>0</v>
      </c>
      <c r="D93" s="2929">
        <f>IF($R$51=0,J545,0)</f>
        <v>0</v>
      </c>
      <c r="E93" s="2929">
        <f>IF($R$51=0,K545,0)</f>
        <v>0</v>
      </c>
      <c r="F93" s="2929">
        <f>IF($R$51=0,L545,0)</f>
        <v>0</v>
      </c>
      <c r="G93" s="2929">
        <f>IF($R$51=0,M545,0)</f>
        <v>0</v>
      </c>
      <c r="N93" s="95"/>
      <c r="O93" s="73"/>
      <c r="P93" s="95"/>
      <c r="Q93" s="62"/>
      <c r="R93" s="42"/>
      <c r="S93" s="42"/>
      <c r="T93" s="42"/>
      <c r="U93" s="42"/>
      <c r="V93" s="42"/>
      <c r="W93" s="42"/>
      <c r="X93" s="42"/>
      <c r="Y93" s="42"/>
      <c r="Z93" s="42"/>
      <c r="AA93" s="42"/>
      <c r="AB93" s="42"/>
      <c r="AC93" s="42"/>
      <c r="AD93" s="42"/>
      <c r="AE93" s="42"/>
      <c r="AF93" s="42"/>
      <c r="AG93" s="42"/>
      <c r="AH93" s="42"/>
      <c r="AI93" s="42"/>
      <c r="AJ93" s="42"/>
    </row>
    <row r="94" spans="1:36" x14ac:dyDescent="0.2">
      <c r="A94" s="25" t="str">
        <f>IF(L74+L73=2,"Число смен по добыче угля","")</f>
        <v/>
      </c>
      <c r="B94" s="27"/>
      <c r="C94" s="438">
        <f>IF(G335=1,2,3)</f>
        <v>3</v>
      </c>
      <c r="D94" s="438">
        <f>IF(H335=1,2,3)</f>
        <v>3</v>
      </c>
      <c r="E94" s="438">
        <f>IF(I335=1,2,3)</f>
        <v>3</v>
      </c>
      <c r="F94" s="438">
        <f>IF(J335=1,2,3)</f>
        <v>3</v>
      </c>
      <c r="G94" s="438">
        <f>IF(K335=1,2,3)</f>
        <v>3</v>
      </c>
      <c r="N94" s="95"/>
      <c r="O94" s="73"/>
      <c r="P94" s="95"/>
      <c r="Q94" s="62"/>
      <c r="R94" s="42"/>
      <c r="S94" s="42"/>
      <c r="T94" s="42"/>
      <c r="U94" s="42"/>
      <c r="V94" s="42"/>
      <c r="W94" s="42"/>
      <c r="X94" s="42"/>
      <c r="Y94" s="42"/>
      <c r="Z94" s="42"/>
      <c r="AA94" s="42"/>
      <c r="AB94" s="42"/>
      <c r="AC94" s="42"/>
      <c r="AD94" s="42"/>
      <c r="AE94" s="42"/>
      <c r="AF94" s="42"/>
      <c r="AG94" s="42"/>
      <c r="AH94" s="42"/>
      <c r="AI94" s="42"/>
      <c r="AJ94" s="42"/>
    </row>
    <row r="95" spans="1:36" ht="15.75" x14ac:dyDescent="0.25">
      <c r="B95" s="31"/>
      <c r="D95" s="27"/>
      <c r="E95" s="27"/>
      <c r="F95" s="27"/>
      <c r="G95" s="27"/>
      <c r="H95" s="27"/>
      <c r="I95" s="11"/>
      <c r="J95" s="87"/>
      <c r="K95" s="70"/>
      <c r="L95" s="70"/>
      <c r="M95" s="73"/>
      <c r="N95" s="95"/>
      <c r="O95" s="73"/>
      <c r="P95" s="95"/>
      <c r="Q95" s="62"/>
      <c r="R95" s="42"/>
      <c r="S95" s="42"/>
      <c r="T95" s="42"/>
      <c r="U95" s="42"/>
      <c r="V95" s="42"/>
      <c r="W95" s="42"/>
      <c r="X95" s="42"/>
      <c r="Y95" s="42"/>
      <c r="Z95" s="42"/>
      <c r="AA95" s="42"/>
      <c r="AB95" s="42"/>
      <c r="AC95" s="42"/>
      <c r="AD95" s="42"/>
      <c r="AE95" s="42"/>
      <c r="AF95" s="42"/>
      <c r="AG95" s="42"/>
      <c r="AH95" s="42"/>
      <c r="AI95" s="42"/>
      <c r="AJ95" s="42"/>
    </row>
    <row r="96" spans="1:36" x14ac:dyDescent="0.2">
      <c r="A96" s="25" t="s">
        <v>467</v>
      </c>
    </row>
    <row r="97" spans="1:36" ht="25.5" x14ac:dyDescent="0.2">
      <c r="A97" s="920" t="s">
        <v>469</v>
      </c>
      <c r="B97" s="793"/>
      <c r="V97" s="213">
        <f>IF(B97=1,1,0)</f>
        <v>0</v>
      </c>
    </row>
    <row r="98" spans="1:36" ht="38.25" x14ac:dyDescent="0.2">
      <c r="A98" s="920" t="s">
        <v>3678</v>
      </c>
      <c r="B98" s="793"/>
      <c r="U98" s="213">
        <f>IF(G93=C93,3,IF(G93&lt;C93,1,IF(G93&gt;C93,2)))</f>
        <v>3</v>
      </c>
      <c r="V98" s="213">
        <f>IF(B98=U98,1,0)</f>
        <v>0</v>
      </c>
    </row>
    <row r="99" spans="1:36" ht="25.5" x14ac:dyDescent="0.2">
      <c r="A99" s="920" t="s">
        <v>3679</v>
      </c>
      <c r="B99" s="793"/>
      <c r="V99" s="213">
        <f>IF(B99=1,1,0)</f>
        <v>0</v>
      </c>
    </row>
    <row r="100" spans="1:36" ht="25.5" x14ac:dyDescent="0.2">
      <c r="A100" s="920" t="s">
        <v>3680</v>
      </c>
      <c r="B100" s="793"/>
      <c r="V100" s="213">
        <f>IF(B100=3,1,0)</f>
        <v>0</v>
      </c>
    </row>
    <row r="101" spans="1:36" ht="25.5" x14ac:dyDescent="0.2">
      <c r="A101" s="920" t="s">
        <v>3681</v>
      </c>
      <c r="B101" s="793"/>
      <c r="V101" s="213">
        <f>IF(B101=1,1,0)</f>
        <v>0</v>
      </c>
    </row>
    <row r="102" spans="1:36" x14ac:dyDescent="0.2">
      <c r="A102" s="217"/>
    </row>
    <row r="103" spans="1:36" x14ac:dyDescent="0.2">
      <c r="A103" s="321" t="e">
        <f>IF(SUM(V97:V101)=5,"Продолжим работу !",CONCATENATE("Вы невнимательны, ",kursovoy!#REF!))</f>
        <v>#REF!</v>
      </c>
    </row>
    <row r="104" spans="1:36" ht="15.75" x14ac:dyDescent="0.25">
      <c r="A104" s="29"/>
      <c r="B104" s="21"/>
      <c r="C104" s="11"/>
      <c r="D104" s="11"/>
      <c r="E104" s="11"/>
      <c r="F104" s="11"/>
      <c r="G104" s="11"/>
      <c r="H104" s="11"/>
      <c r="I104" s="11"/>
      <c r="J104" s="87"/>
      <c r="K104" s="70"/>
      <c r="L104" s="70"/>
      <c r="M104" s="73"/>
      <c r="N104" s="95"/>
      <c r="O104" s="73"/>
      <c r="P104" s="95"/>
      <c r="Q104" s="62"/>
      <c r="R104" s="42"/>
      <c r="S104" s="42"/>
      <c r="T104" s="42"/>
      <c r="U104" s="42"/>
      <c r="V104" s="42"/>
      <c r="W104" s="42"/>
      <c r="X104" s="42"/>
      <c r="Y104" s="42"/>
      <c r="Z104" s="42"/>
      <c r="AA104" s="42"/>
      <c r="AB104" s="42"/>
      <c r="AC104" s="42"/>
      <c r="AD104" s="42"/>
      <c r="AE104" s="42"/>
      <c r="AF104" s="42"/>
      <c r="AG104" s="42"/>
      <c r="AH104" s="42"/>
      <c r="AI104" s="42"/>
      <c r="AJ104" s="42"/>
    </row>
    <row r="105" spans="1:36" ht="15.75" x14ac:dyDescent="0.25">
      <c r="A105" s="551" t="str">
        <f>IF(SUM(V97:V101)=5,"  Как видно из результатов вычислений, нагрузка на лаву зависит от ее длины.","----------------")</f>
        <v>----------------</v>
      </c>
      <c r="B105" s="21"/>
      <c r="C105" s="11"/>
      <c r="D105" s="11"/>
      <c r="E105" s="11"/>
      <c r="F105" s="11"/>
      <c r="G105" s="11"/>
      <c r="H105" s="11"/>
      <c r="I105" s="11"/>
      <c r="J105" s="87"/>
      <c r="K105" s="70"/>
      <c r="L105" s="70"/>
      <c r="M105" s="73"/>
      <c r="N105" s="95"/>
      <c r="O105" s="73"/>
      <c r="P105" s="95"/>
      <c r="Q105" s="62"/>
      <c r="R105" s="42"/>
      <c r="S105" s="42"/>
      <c r="T105" s="42"/>
      <c r="U105" s="42"/>
      <c r="V105" s="42"/>
      <c r="W105" s="42"/>
      <c r="X105" s="42"/>
      <c r="Y105" s="42"/>
      <c r="Z105" s="42"/>
      <c r="AA105" s="42"/>
      <c r="AB105" s="42"/>
      <c r="AC105" s="42"/>
      <c r="AD105" s="42"/>
      <c r="AE105" s="42"/>
      <c r="AF105" s="42"/>
      <c r="AG105" s="42"/>
      <c r="AH105" s="42"/>
      <c r="AI105" s="42"/>
      <c r="AJ105" s="42"/>
    </row>
    <row r="106" spans="1:36" ht="15.75" x14ac:dyDescent="0.25">
      <c r="A106" s="818" t="s">
        <v>6538</v>
      </c>
      <c r="L106" s="70"/>
      <c r="M106" s="73"/>
      <c r="N106" s="95"/>
      <c r="O106" s="73"/>
      <c r="P106" s="95"/>
      <c r="Q106" s="62"/>
      <c r="R106" s="42"/>
      <c r="S106" s="42"/>
      <c r="T106" s="42"/>
      <c r="U106" s="42"/>
      <c r="V106" s="42"/>
      <c r="W106" s="42"/>
      <c r="X106" s="42"/>
      <c r="Y106" s="42"/>
      <c r="Z106" s="42"/>
      <c r="AA106" s="42"/>
      <c r="AB106" s="42"/>
      <c r="AC106" s="42"/>
      <c r="AD106" s="42"/>
      <c r="AE106" s="42"/>
      <c r="AF106" s="42"/>
      <c r="AG106" s="42"/>
      <c r="AH106" s="42"/>
      <c r="AI106" s="42"/>
      <c r="AJ106" s="42"/>
    </row>
    <row r="107" spans="1:36" ht="15.75" x14ac:dyDescent="0.25">
      <c r="A107" s="818"/>
      <c r="N107" s="95"/>
      <c r="O107" s="73"/>
      <c r="P107" s="95"/>
      <c r="Q107" s="62"/>
      <c r="R107" s="42"/>
      <c r="S107" s="42"/>
      <c r="T107" s="42"/>
      <c r="U107" s="42"/>
      <c r="V107" s="42"/>
      <c r="W107" s="42"/>
      <c r="X107" s="42"/>
      <c r="Y107" s="42"/>
      <c r="Z107" s="42"/>
      <c r="AA107" s="42"/>
      <c r="AB107" s="42"/>
      <c r="AC107" s="42"/>
      <c r="AD107" s="42"/>
      <c r="AE107" s="42"/>
      <c r="AF107" s="42"/>
      <c r="AG107" s="42"/>
      <c r="AH107" s="42"/>
      <c r="AI107" s="42"/>
      <c r="AJ107" s="42"/>
    </row>
    <row r="108" spans="1:36" ht="15.75" x14ac:dyDescent="0.25">
      <c r="A108" s="818"/>
      <c r="N108" s="95"/>
      <c r="O108" s="73"/>
      <c r="P108" s="95"/>
      <c r="Q108" s="62"/>
      <c r="R108" s="42"/>
      <c r="S108" s="42"/>
      <c r="T108" s="42"/>
      <c r="U108" s="42"/>
      <c r="V108" s="42"/>
      <c r="W108" s="42"/>
      <c r="X108" s="42"/>
      <c r="Y108" s="42"/>
      <c r="Z108" s="42"/>
      <c r="AA108" s="42"/>
      <c r="AB108" s="42"/>
      <c r="AC108" s="42"/>
      <c r="AD108" s="42"/>
      <c r="AE108" s="42"/>
      <c r="AF108" s="42"/>
      <c r="AG108" s="42"/>
      <c r="AH108" s="42"/>
      <c r="AI108" s="42"/>
      <c r="AJ108" s="42"/>
    </row>
    <row r="109" spans="1:36" ht="15.75" x14ac:dyDescent="0.25">
      <c r="A109" s="818"/>
      <c r="K109" s="239"/>
      <c r="L109" s="239"/>
      <c r="M109" s="239"/>
      <c r="N109" s="2648"/>
      <c r="O109" s="73"/>
      <c r="P109" s="2648"/>
      <c r="Q109" s="73"/>
      <c r="R109" s="42"/>
      <c r="S109" s="42"/>
      <c r="T109" s="42"/>
      <c r="U109" s="42"/>
      <c r="V109" s="42"/>
      <c r="W109" s="42"/>
      <c r="X109" s="42"/>
      <c r="Y109" s="42"/>
      <c r="Z109" s="42"/>
      <c r="AA109" s="42"/>
      <c r="AB109" s="42"/>
      <c r="AC109" s="42"/>
      <c r="AD109" s="42"/>
      <c r="AE109" s="42"/>
      <c r="AF109" s="42"/>
      <c r="AG109" s="42"/>
      <c r="AH109" s="42"/>
      <c r="AI109" s="42"/>
      <c r="AJ109" s="42"/>
    </row>
    <row r="110" spans="1:36" ht="15.75" x14ac:dyDescent="0.25">
      <c r="A110" s="818"/>
      <c r="N110" s="95"/>
      <c r="O110" s="73"/>
      <c r="P110" s="95"/>
      <c r="Q110" s="62"/>
      <c r="R110" s="42"/>
      <c r="S110" s="42"/>
      <c r="T110" s="42"/>
      <c r="U110" s="42"/>
      <c r="V110" s="42"/>
      <c r="W110" s="42"/>
      <c r="X110" s="42"/>
      <c r="Y110" s="42"/>
      <c r="Z110" s="42"/>
      <c r="AA110" s="42"/>
      <c r="AB110" s="42"/>
      <c r="AC110" s="42"/>
      <c r="AD110" s="42"/>
      <c r="AE110" s="42"/>
      <c r="AF110" s="42"/>
      <c r="AG110" s="42"/>
      <c r="AH110" s="42"/>
      <c r="AI110" s="42"/>
      <c r="AJ110" s="42"/>
    </row>
    <row r="111" spans="1:36" x14ac:dyDescent="0.2">
      <c r="L111" s="70"/>
      <c r="M111" s="73"/>
      <c r="N111" s="95"/>
      <c r="O111" s="73"/>
      <c r="P111" s="95"/>
      <c r="Q111" s="62"/>
      <c r="R111" s="42"/>
      <c r="S111" s="42"/>
      <c r="T111" s="42"/>
      <c r="U111" s="42"/>
      <c r="V111" s="42"/>
      <c r="W111" s="42"/>
      <c r="X111" s="42"/>
      <c r="Y111" s="42"/>
      <c r="Z111" s="42"/>
      <c r="AA111" s="42"/>
      <c r="AB111" s="42"/>
      <c r="AC111" s="42"/>
      <c r="AD111" s="42"/>
      <c r="AE111" s="42"/>
      <c r="AF111" s="42"/>
      <c r="AG111" s="42"/>
      <c r="AH111" s="42"/>
      <c r="AI111" s="42"/>
      <c r="AJ111" s="42"/>
    </row>
    <row r="112" spans="1:36" x14ac:dyDescent="0.2">
      <c r="L112" s="89"/>
      <c r="M112" s="86"/>
      <c r="N112" s="95"/>
      <c r="O112" s="86"/>
      <c r="P112" s="95"/>
      <c r="Q112" s="72"/>
      <c r="R112" s="45"/>
      <c r="S112" s="45"/>
      <c r="T112" s="45"/>
      <c r="U112" s="45"/>
      <c r="V112" s="45"/>
      <c r="W112" s="45"/>
      <c r="X112" s="45"/>
      <c r="Y112" s="45"/>
      <c r="Z112" s="45"/>
      <c r="AA112" s="45"/>
      <c r="AB112" s="45"/>
      <c r="AC112" s="45"/>
      <c r="AD112" s="45"/>
      <c r="AE112" s="45"/>
      <c r="AF112" s="45"/>
      <c r="AG112" s="45"/>
      <c r="AH112" s="45"/>
      <c r="AI112" s="45"/>
      <c r="AJ112" s="45"/>
    </row>
    <row r="113" spans="1:36" x14ac:dyDescent="0.2">
      <c r="N113" s="95"/>
      <c r="O113" s="86"/>
      <c r="P113" s="95"/>
      <c r="Q113" s="72"/>
      <c r="R113" s="45"/>
      <c r="S113" s="45"/>
      <c r="T113" s="45"/>
      <c r="U113" s="45"/>
      <c r="V113" s="45"/>
      <c r="W113" s="45"/>
      <c r="X113" s="45"/>
      <c r="Y113" s="45"/>
      <c r="Z113" s="45"/>
      <c r="AA113" s="45"/>
      <c r="AB113" s="45"/>
      <c r="AC113" s="45"/>
      <c r="AD113" s="45"/>
      <c r="AE113" s="45"/>
      <c r="AF113" s="45"/>
      <c r="AG113" s="45"/>
      <c r="AH113" s="45"/>
      <c r="AI113" s="45"/>
      <c r="AJ113" s="45"/>
    </row>
    <row r="114" spans="1:36" x14ac:dyDescent="0.2">
      <c r="N114" s="95"/>
      <c r="O114" s="86"/>
      <c r="P114" s="95"/>
      <c r="Q114" s="72"/>
      <c r="R114" s="45"/>
      <c r="S114" s="45"/>
      <c r="T114" s="45"/>
      <c r="U114" s="45"/>
      <c r="V114" s="45"/>
      <c r="W114" s="45"/>
      <c r="X114" s="45"/>
      <c r="Y114" s="45"/>
      <c r="Z114" s="45"/>
      <c r="AA114" s="45"/>
      <c r="AB114" s="45"/>
      <c r="AC114" s="45"/>
      <c r="AD114" s="45"/>
      <c r="AE114" s="45"/>
      <c r="AF114" s="45"/>
      <c r="AG114" s="45"/>
      <c r="AH114" s="45"/>
      <c r="AI114" s="45"/>
      <c r="AJ114" s="45"/>
    </row>
    <row r="115" spans="1:36" x14ac:dyDescent="0.2">
      <c r="N115" s="95"/>
      <c r="O115" s="86"/>
      <c r="P115" s="95"/>
      <c r="Q115" s="72"/>
      <c r="R115" s="45"/>
      <c r="S115" s="45"/>
      <c r="T115" s="45"/>
      <c r="U115" s="45"/>
      <c r="V115" s="45"/>
      <c r="W115" s="45"/>
      <c r="X115" s="45"/>
      <c r="Y115" s="45"/>
      <c r="Z115" s="45"/>
      <c r="AA115" s="45"/>
      <c r="AB115" s="45"/>
      <c r="AC115" s="45"/>
      <c r="AD115" s="45"/>
      <c r="AE115" s="45"/>
      <c r="AF115" s="45"/>
      <c r="AG115" s="45"/>
      <c r="AH115" s="45"/>
      <c r="AI115" s="45"/>
      <c r="AJ115" s="45"/>
    </row>
    <row r="116" spans="1:36" x14ac:dyDescent="0.2">
      <c r="N116" s="95"/>
      <c r="O116" s="86"/>
      <c r="P116" s="95"/>
      <c r="Q116" s="72"/>
      <c r="R116" s="45"/>
      <c r="S116" s="45"/>
      <c r="T116" s="45"/>
      <c r="U116" s="45"/>
      <c r="V116" s="45"/>
      <c r="W116" s="45"/>
      <c r="X116" s="45"/>
      <c r="Y116" s="45"/>
      <c r="Z116" s="45"/>
      <c r="AA116" s="45"/>
      <c r="AB116" s="45"/>
      <c r="AC116" s="45"/>
      <c r="AD116" s="45"/>
      <c r="AE116" s="45"/>
      <c r="AF116" s="45"/>
      <c r="AG116" s="45"/>
      <c r="AH116" s="45"/>
      <c r="AI116" s="45"/>
      <c r="AJ116" s="45"/>
    </row>
    <row r="117" spans="1:36" x14ac:dyDescent="0.2">
      <c r="N117" s="95"/>
      <c r="O117" s="86"/>
      <c r="P117" s="95"/>
      <c r="Q117" s="72"/>
      <c r="R117" s="45"/>
      <c r="S117" s="45"/>
      <c r="T117" s="45"/>
      <c r="U117" s="45"/>
      <c r="V117" s="45"/>
      <c r="W117" s="45"/>
      <c r="X117" s="45"/>
      <c r="Y117" s="45"/>
      <c r="Z117" s="45"/>
      <c r="AA117" s="45"/>
      <c r="AB117" s="45"/>
      <c r="AC117" s="45"/>
      <c r="AD117" s="45"/>
      <c r="AE117" s="45"/>
      <c r="AF117" s="45"/>
      <c r="AG117" s="45"/>
      <c r="AH117" s="45"/>
      <c r="AI117" s="45"/>
      <c r="AJ117" s="45"/>
    </row>
    <row r="118" spans="1:36" x14ac:dyDescent="0.2">
      <c r="N118" s="95"/>
      <c r="O118" s="86"/>
      <c r="P118" s="95"/>
      <c r="Q118" s="72"/>
      <c r="R118" s="45"/>
      <c r="S118" s="45"/>
      <c r="T118" s="45"/>
      <c r="U118" s="45"/>
      <c r="V118" s="45"/>
      <c r="W118" s="45"/>
      <c r="X118" s="45"/>
      <c r="Y118" s="45"/>
      <c r="Z118" s="45"/>
      <c r="AA118" s="45"/>
      <c r="AB118" s="45"/>
      <c r="AC118" s="45"/>
      <c r="AD118" s="45"/>
      <c r="AE118" s="45"/>
      <c r="AF118" s="45"/>
      <c r="AG118" s="45"/>
      <c r="AH118" s="45"/>
      <c r="AI118" s="45"/>
      <c r="AJ118" s="45"/>
    </row>
    <row r="119" spans="1:36" x14ac:dyDescent="0.2">
      <c r="N119" s="95"/>
      <c r="O119" s="86"/>
      <c r="P119" s="95"/>
      <c r="Q119" s="72"/>
      <c r="R119" s="45"/>
      <c r="S119" s="45"/>
      <c r="T119" s="45"/>
      <c r="U119" s="45"/>
      <c r="V119" s="45"/>
      <c r="W119" s="45"/>
      <c r="X119" s="45"/>
      <c r="Y119" s="45"/>
      <c r="Z119" s="45"/>
      <c r="AA119" s="45"/>
      <c r="AB119" s="45"/>
      <c r="AC119" s="45"/>
      <c r="AD119" s="45"/>
      <c r="AE119" s="45"/>
      <c r="AF119" s="45"/>
      <c r="AG119" s="45"/>
      <c r="AH119" s="45"/>
      <c r="AI119" s="45"/>
      <c r="AJ119" s="45"/>
    </row>
    <row r="120" spans="1:36" x14ac:dyDescent="0.2">
      <c r="N120" s="27"/>
      <c r="O120" s="86"/>
      <c r="P120" s="95"/>
      <c r="Q120" s="72"/>
      <c r="R120" s="45"/>
      <c r="S120" s="45"/>
      <c r="T120" s="45"/>
      <c r="U120" s="45"/>
      <c r="V120" s="45"/>
      <c r="W120" s="45"/>
      <c r="X120" s="45"/>
      <c r="Y120" s="45"/>
      <c r="Z120" s="45"/>
      <c r="AA120" s="45"/>
      <c r="AB120" s="45"/>
      <c r="AC120" s="45"/>
      <c r="AD120" s="45"/>
      <c r="AE120" s="45"/>
      <c r="AF120" s="45"/>
      <c r="AG120" s="45"/>
      <c r="AH120" s="45"/>
      <c r="AI120" s="45"/>
      <c r="AJ120" s="45"/>
    </row>
    <row r="121" spans="1:36" x14ac:dyDescent="0.2">
      <c r="N121" s="27"/>
      <c r="O121" s="86"/>
      <c r="P121" s="95"/>
      <c r="Q121" s="72"/>
      <c r="R121" s="45"/>
      <c r="S121" s="45"/>
      <c r="T121" s="45"/>
      <c r="U121" s="45"/>
      <c r="V121" s="45"/>
      <c r="W121" s="45"/>
      <c r="X121" s="45"/>
      <c r="Y121" s="45"/>
      <c r="Z121" s="45"/>
      <c r="AA121" s="45"/>
      <c r="AB121" s="45"/>
      <c r="AC121" s="45"/>
      <c r="AD121" s="45"/>
      <c r="AE121" s="45"/>
      <c r="AF121" s="45"/>
      <c r="AG121" s="45"/>
      <c r="AH121" s="45"/>
      <c r="AI121" s="45"/>
      <c r="AJ121" s="45"/>
    </row>
    <row r="122" spans="1:36" x14ac:dyDescent="0.2">
      <c r="N122" s="27"/>
      <c r="O122" s="86"/>
      <c r="P122" s="95"/>
      <c r="Q122" s="72"/>
      <c r="R122" s="45"/>
      <c r="S122" s="45"/>
      <c r="T122" s="45"/>
      <c r="U122" s="45"/>
      <c r="V122" s="45"/>
      <c r="W122" s="45"/>
      <c r="X122" s="45"/>
      <c r="Y122" s="45"/>
      <c r="Z122" s="45"/>
      <c r="AA122" s="45"/>
      <c r="AB122" s="45"/>
      <c r="AC122" s="45"/>
      <c r="AD122" s="45"/>
      <c r="AE122" s="45"/>
      <c r="AF122" s="45"/>
      <c r="AG122" s="45"/>
      <c r="AH122" s="45"/>
      <c r="AI122" s="45"/>
      <c r="AJ122" s="45"/>
    </row>
    <row r="123" spans="1:36" x14ac:dyDescent="0.2">
      <c r="N123" s="27"/>
      <c r="O123" s="86"/>
      <c r="P123" s="95"/>
      <c r="Q123" s="72"/>
      <c r="R123" s="45"/>
      <c r="S123" s="45"/>
      <c r="T123" s="45"/>
      <c r="U123" s="45"/>
      <c r="V123" s="45"/>
      <c r="W123" s="45"/>
      <c r="X123" s="45"/>
      <c r="Y123" s="45"/>
      <c r="Z123" s="45"/>
      <c r="AA123" s="45"/>
      <c r="AB123" s="45"/>
      <c r="AC123" s="45"/>
      <c r="AD123" s="45"/>
      <c r="AE123" s="45"/>
      <c r="AF123" s="45"/>
      <c r="AG123" s="45"/>
      <c r="AH123" s="45"/>
      <c r="AI123" s="45"/>
      <c r="AJ123" s="45"/>
    </row>
    <row r="124" spans="1:36" x14ac:dyDescent="0.2">
      <c r="N124" s="27"/>
      <c r="O124" s="86"/>
      <c r="P124" s="95"/>
      <c r="Q124" s="72"/>
      <c r="R124" s="45"/>
      <c r="S124" s="45"/>
      <c r="T124" s="45"/>
      <c r="U124" s="45"/>
      <c r="V124" s="45"/>
      <c r="W124" s="45"/>
      <c r="X124" s="45"/>
      <c r="Y124" s="45"/>
      <c r="Z124" s="45"/>
      <c r="AA124" s="45"/>
      <c r="AB124" s="45"/>
      <c r="AC124" s="45"/>
      <c r="AD124" s="45"/>
      <c r="AE124" s="45"/>
      <c r="AF124" s="45"/>
      <c r="AG124" s="45"/>
      <c r="AH124" s="45"/>
      <c r="AI124" s="45"/>
      <c r="AJ124" s="45"/>
    </row>
    <row r="125" spans="1:36" x14ac:dyDescent="0.2">
      <c r="N125" s="27"/>
      <c r="O125" s="86"/>
      <c r="P125" s="95"/>
      <c r="Q125" s="72"/>
      <c r="R125" s="45"/>
      <c r="S125" s="45"/>
      <c r="T125" s="45"/>
      <c r="U125" s="45"/>
      <c r="V125" s="45"/>
      <c r="W125" s="45"/>
      <c r="X125" s="45"/>
      <c r="Y125" s="45"/>
      <c r="Z125" s="45"/>
      <c r="AA125" s="45"/>
      <c r="AB125" s="45"/>
      <c r="AC125" s="45"/>
      <c r="AD125" s="45"/>
      <c r="AE125" s="45"/>
      <c r="AF125" s="45"/>
      <c r="AG125" s="45"/>
      <c r="AH125" s="45"/>
      <c r="AI125" s="45"/>
      <c r="AJ125" s="45"/>
    </row>
    <row r="126" spans="1:36" x14ac:dyDescent="0.2">
      <c r="A126" s="214" t="s">
        <v>468</v>
      </c>
      <c r="N126" s="27"/>
      <c r="O126" s="86"/>
      <c r="P126" s="95"/>
      <c r="Q126" s="72"/>
      <c r="R126" s="45"/>
      <c r="S126" s="45"/>
      <c r="T126" s="45"/>
      <c r="U126" s="45"/>
      <c r="V126" s="45"/>
      <c r="W126" s="45"/>
      <c r="X126" s="45"/>
      <c r="Y126" s="45"/>
      <c r="Z126" s="45"/>
      <c r="AA126" s="45"/>
      <c r="AB126" s="45"/>
      <c r="AC126" s="45"/>
      <c r="AD126" s="45"/>
      <c r="AE126" s="45"/>
      <c r="AF126" s="45"/>
      <c r="AG126" s="45"/>
      <c r="AH126" s="45"/>
      <c r="AI126" s="45"/>
      <c r="AJ126" s="45"/>
    </row>
    <row r="127" spans="1:36" ht="15.75" x14ac:dyDescent="0.25">
      <c r="A127" s="894" t="s">
        <v>1314</v>
      </c>
      <c r="B127" s="1122"/>
      <c r="C127" s="1014"/>
      <c r="D127" s="1014"/>
      <c r="E127" s="1014"/>
      <c r="F127" s="1014"/>
      <c r="G127" s="1"/>
      <c r="H127" s="1"/>
      <c r="I127" s="1014"/>
      <c r="J127" s="1"/>
      <c r="N127" s="27"/>
      <c r="O127" s="86"/>
      <c r="P127" s="95"/>
      <c r="Q127" s="72"/>
      <c r="R127" s="45"/>
      <c r="S127" s="45"/>
      <c r="T127" s="45"/>
      <c r="U127" s="45"/>
      <c r="V127" s="45"/>
      <c r="W127" s="45"/>
      <c r="X127" s="45"/>
      <c r="Y127" s="45"/>
      <c r="Z127" s="45"/>
      <c r="AA127" s="45"/>
      <c r="AB127" s="45"/>
      <c r="AC127" s="45"/>
      <c r="AD127" s="45"/>
      <c r="AE127" s="45"/>
      <c r="AF127" s="45"/>
      <c r="AG127" s="45"/>
      <c r="AH127" s="45"/>
      <c r="AI127" s="45"/>
      <c r="AJ127" s="45"/>
    </row>
    <row r="128" spans="1:36" ht="15.75" x14ac:dyDescent="0.25">
      <c r="A128" s="1"/>
      <c r="B128" s="1123"/>
      <c r="C128" s="1"/>
      <c r="D128" s="1"/>
      <c r="E128" s="1"/>
      <c r="F128" s="1"/>
      <c r="G128" s="1"/>
      <c r="H128" s="1"/>
      <c r="I128" s="1"/>
      <c r="J128" s="1"/>
      <c r="N128" s="27"/>
      <c r="O128" s="86"/>
      <c r="P128" s="95"/>
      <c r="Q128" s="72"/>
      <c r="R128" s="45"/>
      <c r="S128" s="45"/>
      <c r="T128" s="45"/>
      <c r="U128" s="45"/>
      <c r="V128" s="45"/>
      <c r="W128" s="45"/>
      <c r="X128" s="45"/>
      <c r="Y128" s="45"/>
      <c r="Z128" s="45"/>
      <c r="AA128" s="45"/>
      <c r="AB128" s="45"/>
      <c r="AC128" s="45"/>
      <c r="AD128" s="45"/>
      <c r="AE128" s="45"/>
      <c r="AF128" s="45"/>
      <c r="AG128" s="45"/>
      <c r="AH128" s="45"/>
      <c r="AI128" s="45"/>
      <c r="AJ128" s="45"/>
    </row>
    <row r="129" spans="1:17" x14ac:dyDescent="0.2">
      <c r="A129" s="59"/>
      <c r="B129" s="2379"/>
      <c r="C129" s="59"/>
      <c r="D129" s="59"/>
      <c r="E129" s="59"/>
      <c r="F129" s="59"/>
      <c r="G129" s="59"/>
      <c r="H129" s="59"/>
      <c r="I129" s="15"/>
      <c r="J129" s="11"/>
      <c r="K129" s="11"/>
      <c r="L129" s="11"/>
      <c r="M129" s="11"/>
      <c r="N129" s="11"/>
      <c r="O129" s="11"/>
      <c r="P129" s="11"/>
      <c r="Q129" s="11"/>
    </row>
    <row r="130" spans="1:17" ht="15.75" x14ac:dyDescent="0.25">
      <c r="A130" s="1238"/>
      <c r="B130" s="2379"/>
      <c r="C130" s="1225"/>
      <c r="D130" s="59"/>
      <c r="E130" s="59"/>
      <c r="F130" s="59"/>
      <c r="G130" s="59"/>
      <c r="H130" s="172"/>
      <c r="I130" s="11"/>
      <c r="J130" s="11"/>
      <c r="K130" s="11"/>
      <c r="L130" s="11"/>
      <c r="M130" s="11"/>
      <c r="N130" s="11"/>
      <c r="O130" s="11"/>
      <c r="P130" s="11"/>
      <c r="Q130" s="11"/>
    </row>
    <row r="131" spans="1:17" x14ac:dyDescent="0.2">
      <c r="C131" s="217"/>
      <c r="D131" s="217"/>
      <c r="E131" s="217"/>
      <c r="F131" s="217"/>
      <c r="G131" s="217"/>
      <c r="I131" s="11"/>
      <c r="J131" s="11"/>
      <c r="K131" s="11"/>
      <c r="L131" s="11"/>
      <c r="M131" s="11"/>
      <c r="N131" s="11"/>
      <c r="O131" s="11"/>
      <c r="P131" s="11"/>
      <c r="Q131" s="11"/>
    </row>
    <row r="132" spans="1:17" x14ac:dyDescent="0.2">
      <c r="C132" s="217"/>
      <c r="D132" s="217"/>
      <c r="E132" s="217"/>
      <c r="F132" s="217"/>
      <c r="G132" s="217"/>
      <c r="I132" s="11"/>
      <c r="J132" s="11"/>
      <c r="K132" s="11"/>
      <c r="L132" s="11"/>
      <c r="M132" s="11"/>
      <c r="N132" s="11"/>
      <c r="O132" s="11"/>
      <c r="P132" s="11"/>
      <c r="Q132" s="11"/>
    </row>
    <row r="133" spans="1:17" x14ac:dyDescent="0.2">
      <c r="C133" s="217"/>
      <c r="D133" s="217"/>
      <c r="E133" s="217"/>
      <c r="F133" s="217"/>
      <c r="G133" s="217"/>
      <c r="I133" s="11"/>
      <c r="J133" s="11"/>
      <c r="K133" s="11"/>
      <c r="L133" s="11"/>
      <c r="M133" s="11"/>
      <c r="N133" s="11"/>
      <c r="O133" s="11"/>
      <c r="P133" s="11"/>
      <c r="Q133" s="11"/>
    </row>
    <row r="134" spans="1:17" x14ac:dyDescent="0.2">
      <c r="C134" s="217"/>
      <c r="D134" s="217"/>
      <c r="E134" s="217"/>
      <c r="F134" s="217"/>
      <c r="G134" s="217"/>
      <c r="I134" s="11"/>
      <c r="J134" s="11"/>
      <c r="K134" s="11"/>
      <c r="L134" s="11"/>
      <c r="M134" s="11"/>
      <c r="N134" s="11"/>
      <c r="O134" s="11"/>
      <c r="P134" s="11"/>
      <c r="Q134" s="11"/>
    </row>
    <row r="135" spans="1:17" x14ac:dyDescent="0.2">
      <c r="C135" s="217"/>
      <c r="D135" s="217"/>
      <c r="E135" s="217"/>
      <c r="F135" s="217"/>
      <c r="G135" s="217"/>
      <c r="I135" s="11"/>
      <c r="J135" s="11"/>
      <c r="K135" s="11"/>
      <c r="L135" s="11"/>
      <c r="M135" s="11"/>
      <c r="N135" s="11"/>
      <c r="O135" s="11"/>
      <c r="P135" s="11"/>
      <c r="Q135" s="11"/>
    </row>
    <row r="136" spans="1:17" ht="15.75" x14ac:dyDescent="0.25">
      <c r="A136" s="1224"/>
      <c r="B136" s="2377"/>
      <c r="C136" s="217"/>
      <c r="D136" s="217"/>
      <c r="E136" s="217"/>
      <c r="F136" s="217"/>
      <c r="G136" s="217"/>
      <c r="I136" s="11"/>
      <c r="J136" s="11"/>
      <c r="K136" s="11"/>
      <c r="L136" s="11"/>
      <c r="M136" s="11"/>
      <c r="N136" s="11"/>
      <c r="O136" s="11"/>
      <c r="P136" s="11"/>
      <c r="Q136" s="11"/>
    </row>
    <row r="137" spans="1:17" ht="15.75" x14ac:dyDescent="0.25">
      <c r="A137" s="1224"/>
      <c r="B137" s="2377"/>
      <c r="C137" s="217"/>
      <c r="D137" s="217"/>
      <c r="E137" s="217"/>
      <c r="F137" s="217"/>
      <c r="G137" s="217"/>
      <c r="I137" s="11"/>
      <c r="J137" s="11"/>
      <c r="K137" s="11"/>
      <c r="L137" s="11"/>
      <c r="M137" s="11"/>
      <c r="N137" s="11"/>
      <c r="O137" s="11"/>
      <c r="P137" s="11"/>
      <c r="Q137" s="11"/>
    </row>
    <row r="138" spans="1:17" ht="15.75" x14ac:dyDescent="0.25">
      <c r="A138" s="1224"/>
      <c r="B138" s="2377"/>
      <c r="C138" s="217"/>
      <c r="D138" s="217"/>
      <c r="E138" s="217"/>
      <c r="F138" s="217"/>
      <c r="G138" s="217"/>
      <c r="I138" s="11"/>
      <c r="J138" s="11"/>
      <c r="K138" s="11"/>
      <c r="L138" s="11"/>
      <c r="M138" s="11"/>
      <c r="N138" s="11"/>
      <c r="O138" s="11"/>
      <c r="P138" s="11"/>
      <c r="Q138" s="11"/>
    </row>
    <row r="139" spans="1:17" ht="15.75" x14ac:dyDescent="0.25">
      <c r="A139" s="1224"/>
      <c r="B139" s="2377"/>
      <c r="C139" s="217"/>
      <c r="D139" s="217"/>
      <c r="E139" s="217"/>
      <c r="F139" s="217"/>
      <c r="G139" s="217"/>
      <c r="I139" s="11"/>
      <c r="J139" s="11"/>
      <c r="K139" s="11"/>
      <c r="L139" s="11"/>
      <c r="M139" s="11"/>
      <c r="N139" s="11"/>
      <c r="O139" s="11"/>
      <c r="P139" s="11"/>
      <c r="Q139" s="11"/>
    </row>
    <row r="140" spans="1:17" ht="15.75" x14ac:dyDescent="0.25">
      <c r="A140" s="1224"/>
      <c r="B140" s="2377"/>
      <c r="C140" s="217"/>
      <c r="D140" s="217"/>
      <c r="E140" s="217"/>
      <c r="F140" s="217"/>
      <c r="G140" s="217"/>
      <c r="I140" s="11"/>
      <c r="J140" s="11"/>
      <c r="K140" s="11"/>
      <c r="L140" s="11"/>
      <c r="M140" s="11"/>
      <c r="N140" s="11"/>
      <c r="O140" s="11"/>
      <c r="P140" s="11"/>
      <c r="Q140" s="11"/>
    </row>
    <row r="141" spans="1:17" ht="15.75" x14ac:dyDescent="0.25">
      <c r="A141" s="1224"/>
      <c r="B141" s="2377"/>
      <c r="C141" s="217"/>
      <c r="D141" s="217"/>
      <c r="E141" s="217"/>
      <c r="F141" s="217"/>
      <c r="G141" s="217"/>
      <c r="I141" s="11"/>
      <c r="J141" s="11"/>
      <c r="K141" s="11"/>
      <c r="L141" s="11"/>
      <c r="M141" s="11"/>
      <c r="N141" s="11"/>
      <c r="O141" s="11"/>
      <c r="P141" s="11"/>
      <c r="Q141" s="11"/>
    </row>
    <row r="142" spans="1:17" ht="15.75" x14ac:dyDescent="0.25">
      <c r="A142" s="1224"/>
      <c r="B142" s="2377"/>
      <c r="C142" s="217"/>
      <c r="D142" s="217"/>
      <c r="E142" s="217"/>
      <c r="F142" s="217"/>
      <c r="G142" s="217"/>
      <c r="I142" s="11"/>
      <c r="J142" s="11"/>
      <c r="K142" s="11"/>
      <c r="L142" s="11"/>
      <c r="M142" s="11"/>
      <c r="N142" s="11"/>
      <c r="O142" s="11"/>
      <c r="P142" s="11"/>
      <c r="Q142" s="11"/>
    </row>
    <row r="143" spans="1:17" ht="15.75" x14ac:dyDescent="0.25">
      <c r="A143" s="1224"/>
      <c r="B143" s="2377"/>
      <c r="C143" s="217"/>
      <c r="D143" s="217"/>
      <c r="E143" s="217"/>
      <c r="F143" s="217"/>
      <c r="G143" s="217"/>
      <c r="I143" s="11"/>
      <c r="J143" s="11"/>
      <c r="K143" s="11"/>
      <c r="L143" s="11"/>
      <c r="M143" s="11"/>
      <c r="N143" s="11"/>
      <c r="O143" s="11"/>
      <c r="P143" s="11"/>
      <c r="Q143" s="11"/>
    </row>
    <row r="144" spans="1:17" ht="15.75" x14ac:dyDescent="0.25">
      <c r="A144" s="1224"/>
      <c r="B144" s="2377"/>
      <c r="C144" s="217"/>
      <c r="D144" s="217"/>
      <c r="E144" s="217"/>
      <c r="F144" s="217"/>
      <c r="G144" s="217"/>
      <c r="I144" s="11"/>
      <c r="J144" s="11"/>
      <c r="K144" s="11"/>
      <c r="L144" s="11"/>
      <c r="M144" s="11"/>
      <c r="N144" s="11"/>
      <c r="O144" s="11"/>
      <c r="P144" s="11"/>
      <c r="Q144" s="11"/>
    </row>
    <row r="145" spans="1:17" ht="15.75" x14ac:dyDescent="0.25">
      <c r="A145" s="1224"/>
      <c r="B145" s="2377"/>
      <c r="C145" s="217"/>
      <c r="D145" s="217"/>
      <c r="E145" s="217"/>
      <c r="F145" s="217"/>
      <c r="G145" s="217"/>
      <c r="I145" s="11"/>
      <c r="J145" s="11"/>
      <c r="K145" s="11"/>
      <c r="L145" s="11"/>
      <c r="M145" s="11"/>
      <c r="N145" s="11"/>
      <c r="O145" s="11"/>
      <c r="P145" s="11"/>
      <c r="Q145" s="11"/>
    </row>
    <row r="146" spans="1:17" ht="15.75" x14ac:dyDescent="0.25">
      <c r="A146" s="1224"/>
      <c r="B146" s="2377"/>
      <c r="C146" s="217"/>
      <c r="D146" s="217"/>
      <c r="E146" s="217"/>
      <c r="F146" s="217"/>
      <c r="G146" s="217"/>
      <c r="I146" s="11"/>
      <c r="J146" s="11"/>
      <c r="K146" s="11"/>
      <c r="L146" s="11"/>
      <c r="M146" s="11"/>
      <c r="N146" s="11"/>
      <c r="O146" s="11"/>
      <c r="P146" s="11"/>
      <c r="Q146" s="11"/>
    </row>
    <row r="147" spans="1:17" ht="15.75" x14ac:dyDescent="0.25">
      <c r="A147" s="1224"/>
      <c r="B147" s="2377"/>
      <c r="C147" s="217"/>
      <c r="D147" s="217"/>
      <c r="E147" s="217"/>
      <c r="F147" s="217"/>
      <c r="G147" s="217"/>
      <c r="I147" s="11"/>
      <c r="J147" s="11"/>
      <c r="K147" s="11"/>
      <c r="L147" s="11"/>
      <c r="M147" s="11"/>
      <c r="N147" s="11"/>
      <c r="O147" s="11"/>
      <c r="P147" s="11"/>
      <c r="Q147" s="11"/>
    </row>
    <row r="148" spans="1:17" ht="15.75" x14ac:dyDescent="0.25">
      <c r="A148" s="1224"/>
      <c r="B148" s="2377"/>
      <c r="C148" s="217"/>
      <c r="D148" s="217"/>
      <c r="E148" s="217"/>
      <c r="F148" s="217"/>
      <c r="G148" s="217"/>
      <c r="I148" s="11"/>
      <c r="J148" s="11"/>
      <c r="K148" s="11"/>
      <c r="L148" s="11"/>
      <c r="M148" s="11"/>
      <c r="N148" s="11"/>
      <c r="O148" s="11"/>
      <c r="P148" s="11"/>
      <c r="Q148" s="11"/>
    </row>
    <row r="149" spans="1:17" ht="15.75" x14ac:dyDescent="0.25">
      <c r="A149" s="1224"/>
      <c r="B149" s="2377"/>
      <c r="C149" s="217"/>
      <c r="D149" s="217"/>
      <c r="E149" s="217"/>
      <c r="F149" s="217"/>
      <c r="G149" s="217"/>
      <c r="I149" s="11"/>
      <c r="J149" s="11"/>
      <c r="K149" s="11"/>
      <c r="L149" s="11"/>
      <c r="M149" s="11"/>
      <c r="N149" s="11"/>
      <c r="O149" s="11"/>
      <c r="P149" s="11"/>
      <c r="Q149" s="11"/>
    </row>
    <row r="150" spans="1:17" ht="15.75" x14ac:dyDescent="0.25">
      <c r="A150" s="1224"/>
      <c r="B150" s="2377"/>
      <c r="C150" s="217"/>
      <c r="D150" s="217"/>
      <c r="E150" s="217"/>
      <c r="F150" s="217"/>
      <c r="G150" s="217"/>
      <c r="I150" s="11"/>
      <c r="J150" s="11"/>
      <c r="K150" s="11"/>
      <c r="L150" s="11"/>
      <c r="M150" s="11"/>
      <c r="N150" s="11"/>
      <c r="O150" s="11"/>
      <c r="P150" s="11"/>
      <c r="Q150" s="11"/>
    </row>
    <row r="151" spans="1:17" ht="15.75" x14ac:dyDescent="0.25">
      <c r="A151" s="1224"/>
      <c r="B151" s="2377"/>
      <c r="C151" s="217"/>
      <c r="D151" s="217"/>
      <c r="E151" s="217"/>
      <c r="F151" s="217"/>
      <c r="G151" s="217"/>
      <c r="I151" s="11"/>
      <c r="J151" s="11"/>
      <c r="K151" s="11"/>
      <c r="L151" s="11"/>
      <c r="M151" s="11"/>
      <c r="N151" s="11"/>
      <c r="O151" s="11"/>
      <c r="P151" s="11"/>
      <c r="Q151" s="11"/>
    </row>
    <row r="152" spans="1:17" ht="15.75" x14ac:dyDescent="0.25">
      <c r="A152" s="1224"/>
      <c r="B152" s="2377"/>
      <c r="C152" s="217"/>
      <c r="D152" s="217"/>
      <c r="E152" s="217"/>
      <c r="F152" s="217"/>
      <c r="G152" s="217"/>
      <c r="I152" s="11"/>
      <c r="J152" s="11"/>
      <c r="K152" s="11"/>
      <c r="L152" s="11"/>
      <c r="M152" s="11"/>
      <c r="N152" s="11"/>
      <c r="O152" s="11"/>
      <c r="P152" s="11"/>
      <c r="Q152" s="11"/>
    </row>
    <row r="153" spans="1:17" ht="15.75" x14ac:dyDescent="0.25">
      <c r="A153" s="1224"/>
      <c r="B153" s="2377"/>
      <c r="C153" s="217"/>
      <c r="D153" s="217"/>
      <c r="E153" s="217"/>
      <c r="F153" s="217"/>
      <c r="G153" s="217"/>
      <c r="I153" s="11"/>
      <c r="J153" s="11"/>
      <c r="K153" s="11"/>
      <c r="L153" s="11"/>
      <c r="M153" s="11"/>
      <c r="N153" s="11"/>
      <c r="O153" s="11"/>
      <c r="P153" s="11"/>
      <c r="Q153" s="11"/>
    </row>
    <row r="154" spans="1:17" ht="15.75" x14ac:dyDescent="0.25">
      <c r="A154" s="1224"/>
      <c r="B154" s="2377"/>
      <c r="C154" s="217"/>
      <c r="D154" s="217"/>
      <c r="E154" s="217"/>
      <c r="F154" s="217"/>
      <c r="G154" s="217"/>
      <c r="I154" s="11"/>
      <c r="J154" s="11"/>
      <c r="K154" s="11"/>
      <c r="L154" s="11"/>
      <c r="M154" s="11"/>
      <c r="N154" s="11"/>
      <c r="O154" s="11"/>
      <c r="P154" s="11"/>
      <c r="Q154" s="11"/>
    </row>
    <row r="155" spans="1:17" ht="15.75" x14ac:dyDescent="0.25">
      <c r="A155" s="1224"/>
      <c r="B155" s="2377"/>
      <c r="C155" s="217"/>
      <c r="D155" s="217"/>
      <c r="E155" s="217"/>
      <c r="F155" s="217"/>
      <c r="G155" s="217"/>
      <c r="I155" s="11"/>
      <c r="J155" s="11"/>
      <c r="K155" s="11"/>
      <c r="L155" s="11"/>
      <c r="M155" s="11"/>
      <c r="N155" s="11"/>
      <c r="O155" s="11"/>
      <c r="P155" s="11"/>
      <c r="Q155" s="11"/>
    </row>
    <row r="156" spans="1:17" ht="15.75" x14ac:dyDescent="0.25">
      <c r="A156" s="1224"/>
      <c r="B156" s="2377"/>
      <c r="C156" s="217"/>
      <c r="D156" s="217"/>
      <c r="E156" s="217"/>
      <c r="F156" s="217"/>
      <c r="G156" s="217"/>
      <c r="I156" s="11"/>
      <c r="J156" s="11"/>
      <c r="K156" s="11"/>
      <c r="L156" s="11"/>
      <c r="M156" s="11"/>
      <c r="N156" s="11"/>
      <c r="O156" s="11"/>
      <c r="P156" s="11"/>
      <c r="Q156" s="11"/>
    </row>
    <row r="157" spans="1:17" ht="15.75" x14ac:dyDescent="0.25">
      <c r="A157" s="1224"/>
      <c r="B157" s="2377"/>
      <c r="C157" s="217"/>
      <c r="D157" s="217"/>
      <c r="E157" s="217"/>
      <c r="F157" s="217"/>
      <c r="G157" s="217"/>
      <c r="I157" s="11"/>
      <c r="J157" s="11"/>
      <c r="K157" s="11"/>
      <c r="L157" s="11"/>
      <c r="M157" s="11"/>
      <c r="N157" s="11"/>
      <c r="O157" s="11"/>
      <c r="P157" s="11"/>
      <c r="Q157" s="11"/>
    </row>
    <row r="158" spans="1:17" ht="15.75" x14ac:dyDescent="0.25">
      <c r="A158" s="1224"/>
      <c r="B158" s="2377"/>
      <c r="C158" s="217"/>
      <c r="D158" s="217"/>
      <c r="E158" s="217"/>
      <c r="F158" s="217"/>
      <c r="G158" s="217"/>
      <c r="I158" s="11"/>
      <c r="J158" s="11"/>
      <c r="K158" s="11"/>
      <c r="L158" s="11"/>
      <c r="M158" s="11"/>
      <c r="N158" s="11"/>
      <c r="O158" s="11"/>
      <c r="P158" s="11"/>
      <c r="Q158" s="11"/>
    </row>
    <row r="159" spans="1:17" ht="15.75" x14ac:dyDescent="0.25">
      <c r="A159" s="1224"/>
      <c r="B159" s="2377"/>
      <c r="C159" s="217"/>
      <c r="D159" s="217"/>
      <c r="E159" s="217"/>
      <c r="F159" s="217"/>
      <c r="G159" s="217"/>
      <c r="I159" s="11"/>
      <c r="J159" s="11"/>
      <c r="K159" s="11"/>
      <c r="L159" s="11"/>
      <c r="M159" s="11"/>
      <c r="N159" s="11"/>
      <c r="O159" s="11"/>
      <c r="P159" s="11"/>
      <c r="Q159" s="11"/>
    </row>
    <row r="160" spans="1:17" ht="15.75" x14ac:dyDescent="0.25">
      <c r="A160" s="1224"/>
      <c r="B160" s="2377"/>
      <c r="C160" s="217"/>
      <c r="D160" s="217"/>
      <c r="E160" s="217"/>
      <c r="F160" s="217"/>
      <c r="G160" s="217"/>
      <c r="I160" s="11"/>
      <c r="J160" s="11"/>
      <c r="K160" s="11"/>
      <c r="L160" s="11"/>
      <c r="M160" s="11"/>
      <c r="N160" s="11"/>
      <c r="O160" s="11"/>
      <c r="P160" s="11"/>
      <c r="Q160" s="11"/>
    </row>
    <row r="161" spans="1:17" ht="15.75" x14ac:dyDescent="0.25">
      <c r="A161" s="1224"/>
      <c r="B161" s="2377"/>
      <c r="C161" s="217"/>
      <c r="D161" s="217"/>
      <c r="E161" s="217"/>
      <c r="F161" s="217"/>
      <c r="G161" s="217"/>
      <c r="I161" s="11"/>
      <c r="J161" s="11"/>
      <c r="K161" s="11"/>
      <c r="L161" s="11"/>
      <c r="M161" s="11"/>
      <c r="N161" s="11"/>
      <c r="O161" s="11"/>
      <c r="P161" s="11"/>
      <c r="Q161" s="11"/>
    </row>
    <row r="162" spans="1:17" ht="15.75" x14ac:dyDescent="0.25">
      <c r="A162" s="1224"/>
      <c r="B162" s="2377"/>
      <c r="C162" s="217"/>
      <c r="D162" s="217"/>
      <c r="E162" s="217"/>
      <c r="F162" s="217"/>
      <c r="G162" s="217"/>
      <c r="I162" s="11"/>
      <c r="J162" s="11"/>
      <c r="K162" s="11"/>
      <c r="L162" s="11"/>
      <c r="M162" s="11"/>
      <c r="N162" s="11"/>
      <c r="O162" s="11"/>
      <c r="P162" s="11"/>
      <c r="Q162" s="11"/>
    </row>
    <row r="163" spans="1:17" ht="15.75" x14ac:dyDescent="0.25">
      <c r="A163" s="1224"/>
      <c r="B163" s="2377"/>
      <c r="C163" s="217"/>
      <c r="D163" s="217"/>
      <c r="E163" s="217"/>
      <c r="F163" s="217"/>
      <c r="G163" s="217"/>
      <c r="I163" s="11"/>
      <c r="J163" s="11"/>
      <c r="K163" s="11"/>
      <c r="L163" s="11"/>
      <c r="M163" s="11"/>
      <c r="N163" s="11"/>
      <c r="O163" s="11"/>
      <c r="P163" s="11"/>
      <c r="Q163" s="11"/>
    </row>
    <row r="164" spans="1:17" ht="15.75" x14ac:dyDescent="0.25">
      <c r="A164" s="1224"/>
      <c r="B164" s="2377"/>
      <c r="C164" s="217"/>
      <c r="D164" s="217"/>
      <c r="E164" s="217"/>
      <c r="F164" s="217"/>
      <c r="G164" s="217"/>
      <c r="I164" s="11"/>
      <c r="J164" s="11"/>
      <c r="K164" s="11"/>
      <c r="L164" s="11"/>
      <c r="M164" s="11"/>
      <c r="N164" s="11"/>
      <c r="O164" s="11"/>
      <c r="P164" s="11"/>
      <c r="Q164" s="11"/>
    </row>
    <row r="165" spans="1:17" ht="15.75" x14ac:dyDescent="0.25">
      <c r="A165" s="1224"/>
      <c r="B165" s="2377"/>
      <c r="C165" s="217"/>
      <c r="D165" s="217"/>
      <c r="E165" s="217"/>
      <c r="F165" s="217"/>
      <c r="G165" s="217"/>
      <c r="I165" s="11"/>
      <c r="J165" s="11"/>
      <c r="K165" s="11"/>
      <c r="L165" s="11"/>
      <c r="M165" s="11"/>
      <c r="N165" s="11"/>
      <c r="O165" s="11"/>
      <c r="P165" s="11"/>
      <c r="Q165" s="11"/>
    </row>
    <row r="166" spans="1:17" ht="15.75" x14ac:dyDescent="0.25">
      <c r="A166" s="1224"/>
      <c r="B166" s="2377"/>
      <c r="C166" s="217"/>
      <c r="D166" s="217"/>
      <c r="E166" s="217"/>
      <c r="F166" s="217"/>
      <c r="G166" s="217"/>
      <c r="I166" s="11"/>
      <c r="J166" s="11"/>
      <c r="K166" s="11"/>
      <c r="L166" s="11"/>
      <c r="M166" s="11"/>
      <c r="N166" s="11"/>
      <c r="O166" s="11"/>
      <c r="P166" s="11"/>
      <c r="Q166" s="11"/>
    </row>
    <row r="167" spans="1:17" ht="15.75" x14ac:dyDescent="0.25">
      <c r="A167" s="1224"/>
      <c r="B167" s="2377"/>
      <c r="C167" s="217"/>
      <c r="D167" s="217"/>
      <c r="E167" s="217"/>
      <c r="F167" s="217"/>
      <c r="G167" s="217"/>
      <c r="I167" s="11"/>
      <c r="J167" s="11"/>
      <c r="K167" s="11"/>
      <c r="L167" s="11"/>
      <c r="M167" s="11"/>
      <c r="N167" s="11"/>
      <c r="O167" s="11"/>
      <c r="P167" s="11"/>
      <c r="Q167" s="11"/>
    </row>
    <row r="168" spans="1:17" ht="15.75" x14ac:dyDescent="0.25">
      <c r="A168" s="2396"/>
      <c r="B168" s="2397"/>
      <c r="C168" s="2398"/>
      <c r="D168" s="2398"/>
      <c r="E168" s="2398"/>
      <c r="F168" s="2398"/>
      <c r="G168" s="2398"/>
      <c r="H168" s="242"/>
      <c r="I168" s="206"/>
      <c r="J168" s="206"/>
      <c r="K168" s="206"/>
      <c r="L168" s="206"/>
      <c r="M168" s="206"/>
      <c r="N168" s="11"/>
      <c r="O168" s="11"/>
      <c r="P168" s="11"/>
      <c r="Q168" s="11"/>
    </row>
    <row r="169" spans="1:17" x14ac:dyDescent="0.2">
      <c r="A169" s="4442"/>
      <c r="B169" s="4342"/>
      <c r="C169" s="4342"/>
      <c r="D169" s="4342"/>
      <c r="E169" s="4342"/>
      <c r="F169" s="4342"/>
      <c r="G169" s="4342"/>
      <c r="H169" s="4342"/>
      <c r="I169" s="11"/>
      <c r="J169" s="11"/>
      <c r="K169" s="11"/>
      <c r="L169" s="11"/>
      <c r="M169" s="11"/>
      <c r="N169" s="11"/>
      <c r="O169" s="11"/>
      <c r="P169" s="11"/>
      <c r="Q169" s="11"/>
    </row>
    <row r="170" spans="1:17" ht="15.75" x14ac:dyDescent="0.25">
      <c r="A170" s="1239" t="s">
        <v>3182</v>
      </c>
      <c r="B170" s="1237"/>
      <c r="C170" s="1237"/>
      <c r="D170" s="1237"/>
      <c r="E170" s="1237"/>
      <c r="F170" s="1237"/>
      <c r="G170" s="1237"/>
      <c r="H170" s="11"/>
      <c r="I170" s="11"/>
      <c r="J170" s="11"/>
      <c r="K170" s="11"/>
      <c r="L170" s="11"/>
      <c r="M170" s="11"/>
      <c r="N170" s="11"/>
      <c r="O170" s="11"/>
      <c r="P170" s="11"/>
      <c r="Q170" s="11"/>
    </row>
    <row r="171" spans="1:17" ht="15.75" x14ac:dyDescent="0.25">
      <c r="A171" s="1224" t="s">
        <v>3183</v>
      </c>
      <c r="B171" s="444" t="e">
        <f t="shared" ref="B171:B181" si="1">G193</f>
        <v>#VALUE!</v>
      </c>
      <c r="C171" s="217"/>
      <c r="D171" s="217"/>
      <c r="E171" s="217"/>
      <c r="F171" s="217"/>
      <c r="G171" s="217"/>
      <c r="I171" s="11"/>
      <c r="J171" s="11"/>
      <c r="K171" s="11"/>
      <c r="L171" s="11"/>
      <c r="M171" s="11"/>
      <c r="N171" s="11"/>
      <c r="O171" s="11"/>
      <c r="P171" s="11"/>
      <c r="Q171" s="11"/>
    </row>
    <row r="172" spans="1:17" ht="15.75" x14ac:dyDescent="0.25">
      <c r="A172" s="1224" t="s">
        <v>3184</v>
      </c>
      <c r="B172" s="444" t="e">
        <f t="shared" si="1"/>
        <v>#VALUE!</v>
      </c>
      <c r="C172" s="217"/>
      <c r="D172" s="217"/>
      <c r="E172" s="217"/>
      <c r="F172" s="217"/>
      <c r="G172" s="217"/>
      <c r="I172" s="11"/>
      <c r="J172" s="11"/>
      <c r="K172" s="11"/>
      <c r="L172" s="11"/>
      <c r="M172" s="11"/>
      <c r="N172" s="11"/>
      <c r="O172" s="11"/>
      <c r="P172" s="11"/>
      <c r="Q172" s="11"/>
    </row>
    <row r="173" spans="1:17" ht="15.75" x14ac:dyDescent="0.25">
      <c r="A173" s="1224" t="s">
        <v>3185</v>
      </c>
      <c r="B173" s="444" t="e">
        <f t="shared" si="1"/>
        <v>#VALUE!</v>
      </c>
      <c r="C173" s="217"/>
      <c r="D173" s="217"/>
      <c r="E173" s="217"/>
      <c r="F173" s="217"/>
      <c r="G173" s="217"/>
      <c r="I173" s="11"/>
      <c r="J173" s="11"/>
      <c r="K173" s="11"/>
      <c r="L173" s="11"/>
      <c r="M173" s="11"/>
      <c r="N173" s="11"/>
      <c r="O173" s="11"/>
      <c r="P173" s="11"/>
      <c r="Q173" s="11"/>
    </row>
    <row r="174" spans="1:17" ht="15.75" x14ac:dyDescent="0.25">
      <c r="A174" s="1224" t="s">
        <v>526</v>
      </c>
      <c r="B174" s="444" t="e">
        <f t="shared" si="1"/>
        <v>#VALUE!</v>
      </c>
      <c r="C174" s="217"/>
      <c r="D174" s="217"/>
      <c r="E174" s="217"/>
      <c r="F174" s="217"/>
      <c r="G174" s="217"/>
      <c r="I174" s="11"/>
      <c r="J174" s="11"/>
      <c r="K174" s="11"/>
      <c r="L174" s="11"/>
      <c r="M174" s="11"/>
      <c r="N174" s="11"/>
      <c r="O174" s="11"/>
      <c r="P174" s="11"/>
      <c r="Q174" s="11"/>
    </row>
    <row r="175" spans="1:17" ht="15.75" x14ac:dyDescent="0.25">
      <c r="A175" s="1224" t="s">
        <v>527</v>
      </c>
      <c r="B175" s="444">
        <f t="shared" si="1"/>
        <v>0.93</v>
      </c>
      <c r="C175" s="217"/>
      <c r="D175" s="217"/>
      <c r="E175" s="217"/>
      <c r="F175" s="217"/>
      <c r="G175" s="217"/>
      <c r="I175" s="11"/>
      <c r="J175" s="11"/>
      <c r="K175" s="11"/>
      <c r="L175" s="11"/>
      <c r="M175" s="11"/>
      <c r="N175" s="11"/>
      <c r="O175" s="11"/>
      <c r="P175" s="11"/>
      <c r="Q175" s="11"/>
    </row>
    <row r="176" spans="1:17" ht="31.5" x14ac:dyDescent="0.25">
      <c r="A176" s="1224" t="s">
        <v>5115</v>
      </c>
      <c r="B176" s="444" t="e">
        <f t="shared" si="1"/>
        <v>#VALUE!</v>
      </c>
      <c r="C176" s="59"/>
      <c r="D176" s="59"/>
      <c r="E176" s="59"/>
      <c r="F176" s="59"/>
      <c r="G176" s="59"/>
      <c r="I176" s="11"/>
      <c r="J176" s="11"/>
      <c r="K176" s="11"/>
      <c r="L176" s="11"/>
      <c r="M176" s="11"/>
      <c r="N176" s="11"/>
      <c r="O176" s="11"/>
      <c r="P176" s="11"/>
      <c r="Q176" s="11"/>
    </row>
    <row r="177" spans="1:17" ht="15.75" x14ac:dyDescent="0.25">
      <c r="A177" s="1224" t="s">
        <v>528</v>
      </c>
      <c r="B177" s="444">
        <f t="shared" si="1"/>
        <v>0.96499999999999997</v>
      </c>
      <c r="C177" s="217"/>
      <c r="D177" s="217"/>
      <c r="E177" s="217"/>
      <c r="F177" s="217"/>
      <c r="G177" s="217"/>
      <c r="I177" s="11"/>
      <c r="J177" s="11"/>
      <c r="K177" s="11"/>
      <c r="L177" s="11"/>
      <c r="M177" s="11"/>
      <c r="N177" s="11"/>
      <c r="O177" s="11"/>
      <c r="P177" s="11"/>
      <c r="Q177" s="11"/>
    </row>
    <row r="178" spans="1:17" ht="15.75" x14ac:dyDescent="0.25">
      <c r="A178" s="1224" t="s">
        <v>444</v>
      </c>
      <c r="B178" s="444" t="e">
        <f t="shared" si="1"/>
        <v>#VALUE!</v>
      </c>
      <c r="C178" s="217"/>
      <c r="D178" s="217"/>
      <c r="E178" s="217"/>
      <c r="F178" s="217"/>
      <c r="G178" s="217"/>
      <c r="I178" s="11"/>
      <c r="J178" s="11"/>
      <c r="K178" s="11"/>
      <c r="L178" s="11"/>
      <c r="M178" s="11"/>
      <c r="N178" s="11"/>
      <c r="O178" s="11"/>
      <c r="P178" s="11"/>
      <c r="Q178" s="11"/>
    </row>
    <row r="179" spans="1:17" ht="19.5" customHeight="1" x14ac:dyDescent="0.25">
      <c r="A179" s="1224" t="s">
        <v>445</v>
      </c>
      <c r="B179" s="444" t="e">
        <f t="shared" si="1"/>
        <v>#VALUE!</v>
      </c>
      <c r="C179" s="217"/>
      <c r="D179" s="217"/>
      <c r="E179" s="217"/>
      <c r="F179" s="217"/>
      <c r="G179" s="217"/>
      <c r="I179" s="11"/>
      <c r="J179" s="11"/>
      <c r="K179" s="11"/>
      <c r="L179" s="11"/>
      <c r="M179" s="11"/>
      <c r="N179" s="11"/>
      <c r="O179" s="11"/>
      <c r="P179" s="11"/>
      <c r="Q179" s="11"/>
    </row>
    <row r="180" spans="1:17" ht="31.5" x14ac:dyDescent="0.25">
      <c r="A180" s="1224" t="s">
        <v>5116</v>
      </c>
      <c r="B180" s="444" t="e">
        <f t="shared" si="1"/>
        <v>#VALUE!</v>
      </c>
      <c r="C180" s="217"/>
      <c r="D180" s="217"/>
      <c r="E180" s="217"/>
      <c r="F180" s="217"/>
      <c r="G180" s="217"/>
      <c r="I180" s="11"/>
      <c r="J180" s="11"/>
      <c r="K180" s="11"/>
      <c r="L180" s="11"/>
      <c r="M180" s="11"/>
      <c r="N180" s="11"/>
      <c r="O180" s="11"/>
      <c r="P180" s="11"/>
      <c r="Q180" s="11"/>
    </row>
    <row r="181" spans="1:17" ht="15.75" x14ac:dyDescent="0.25">
      <c r="A181" s="1224" t="s">
        <v>5481</v>
      </c>
      <c r="B181" s="444" t="e">
        <f t="shared" si="1"/>
        <v>#VALUE!</v>
      </c>
      <c r="C181" s="217"/>
      <c r="D181" s="217"/>
      <c r="E181" s="217"/>
      <c r="F181" s="217"/>
      <c r="G181" s="217"/>
      <c r="I181" s="11"/>
      <c r="K181" s="11"/>
      <c r="L181" s="11"/>
      <c r="M181" s="11"/>
      <c r="N181" s="11"/>
      <c r="O181" s="11"/>
      <c r="P181" s="11"/>
      <c r="Q181" s="11"/>
    </row>
    <row r="182" spans="1:17" ht="15.75" x14ac:dyDescent="0.25">
      <c r="A182" s="443"/>
      <c r="B182" s="42"/>
      <c r="C182" s="42"/>
      <c r="D182" s="42"/>
      <c r="E182" s="42"/>
      <c r="F182" s="42"/>
      <c r="G182" s="42"/>
      <c r="H182" s="444"/>
      <c r="I182" s="11"/>
      <c r="J182" s="34"/>
      <c r="K182" s="11"/>
      <c r="L182" s="11"/>
      <c r="M182" s="11"/>
      <c r="N182" s="11"/>
      <c r="O182" s="11"/>
      <c r="P182" s="11"/>
      <c r="Q182" s="11"/>
    </row>
    <row r="183" spans="1:17" ht="15.75" x14ac:dyDescent="0.25">
      <c r="A183" s="21" t="s">
        <v>3176</v>
      </c>
      <c r="C183" s="11"/>
      <c r="D183" s="11"/>
      <c r="E183" s="11"/>
      <c r="F183" s="11"/>
      <c r="G183" s="11"/>
      <c r="H183" s="11"/>
      <c r="I183" s="11"/>
      <c r="J183" s="87"/>
      <c r="K183" s="70"/>
      <c r="L183" s="11"/>
      <c r="M183" s="11"/>
      <c r="N183" s="11"/>
      <c r="O183" s="11"/>
      <c r="P183" s="11"/>
      <c r="Q183" s="11"/>
    </row>
    <row r="184" spans="1:17" x14ac:dyDescent="0.2">
      <c r="A184" s="12" t="s">
        <v>1057</v>
      </c>
      <c r="C184" s="27"/>
      <c r="D184" s="11"/>
      <c r="E184" s="11"/>
      <c r="F184" s="11"/>
      <c r="G184" s="17">
        <f t="shared" ref="G184:K186" si="2">I476</f>
        <v>5</v>
      </c>
      <c r="H184" s="17">
        <f t="shared" si="2"/>
        <v>7.5</v>
      </c>
      <c r="I184" s="17">
        <f t="shared" si="2"/>
        <v>10</v>
      </c>
      <c r="J184" s="17">
        <f t="shared" si="2"/>
        <v>12.5</v>
      </c>
      <c r="K184" s="17">
        <f t="shared" si="2"/>
        <v>15</v>
      </c>
      <c r="L184" s="11"/>
      <c r="M184" s="11"/>
      <c r="N184" s="11"/>
      <c r="O184" s="11"/>
      <c r="P184" s="11"/>
      <c r="Q184" s="11"/>
    </row>
    <row r="185" spans="1:17" x14ac:dyDescent="0.2">
      <c r="A185" s="4446" t="s">
        <v>3177</v>
      </c>
      <c r="B185" s="4373"/>
      <c r="C185" s="4373"/>
      <c r="D185" s="4373"/>
      <c r="E185" s="4373"/>
      <c r="F185" s="4373"/>
      <c r="G185" s="17">
        <f t="shared" si="2"/>
        <v>0</v>
      </c>
      <c r="H185" s="17">
        <f t="shared" si="2"/>
        <v>0</v>
      </c>
      <c r="I185" s="17">
        <f t="shared" si="2"/>
        <v>0</v>
      </c>
      <c r="J185" s="17">
        <f t="shared" si="2"/>
        <v>0</v>
      </c>
      <c r="K185" s="17">
        <f t="shared" si="2"/>
        <v>0</v>
      </c>
      <c r="L185" s="11"/>
      <c r="M185" s="11"/>
      <c r="N185" s="11"/>
      <c r="O185" s="11"/>
      <c r="P185" s="11"/>
      <c r="Q185" s="11"/>
    </row>
    <row r="186" spans="1:17" x14ac:dyDescent="0.2">
      <c r="A186" s="12" t="s">
        <v>3178</v>
      </c>
      <c r="C186" s="27"/>
      <c r="D186" s="11"/>
      <c r="E186" s="11"/>
      <c r="F186" s="11"/>
      <c r="G186" s="17">
        <f t="shared" si="2"/>
        <v>0</v>
      </c>
      <c r="H186" s="17">
        <f t="shared" si="2"/>
        <v>0</v>
      </c>
      <c r="I186" s="17">
        <f t="shared" si="2"/>
        <v>0</v>
      </c>
      <c r="J186" s="17">
        <f t="shared" si="2"/>
        <v>0</v>
      </c>
      <c r="K186" s="17">
        <f t="shared" si="2"/>
        <v>0</v>
      </c>
      <c r="L186" s="11"/>
      <c r="M186" s="11"/>
      <c r="N186" s="11"/>
      <c r="O186" s="11"/>
      <c r="P186" s="11"/>
      <c r="Q186" s="11"/>
    </row>
    <row r="187" spans="1:17" x14ac:dyDescent="0.2">
      <c r="A187" s="12" t="s">
        <v>5480</v>
      </c>
      <c r="C187" s="27"/>
      <c r="D187" s="11"/>
      <c r="E187" s="11"/>
      <c r="F187" s="11"/>
      <c r="G187" s="17">
        <f>IF(G262=2,I480,I479)</f>
        <v>19.600000000000001</v>
      </c>
      <c r="H187" s="17">
        <f>IF(H262=2,J480,J479)</f>
        <v>29.400000000000002</v>
      </c>
      <c r="I187" s="17">
        <f>IF(I262=2,K480,K479)</f>
        <v>39.200000000000003</v>
      </c>
      <c r="J187" s="17">
        <f>IF(J262=2,L480,L479)</f>
        <v>36.5</v>
      </c>
      <c r="K187" s="17">
        <f>IF(K262=2,M480,M479)</f>
        <v>43.8</v>
      </c>
      <c r="L187" s="11"/>
      <c r="M187" s="11"/>
      <c r="N187" s="11"/>
      <c r="O187" s="11"/>
      <c r="P187" s="11"/>
      <c r="Q187" s="11"/>
    </row>
    <row r="188" spans="1:17" x14ac:dyDescent="0.2">
      <c r="A188" s="12" t="s">
        <v>3179</v>
      </c>
      <c r="C188" s="11"/>
      <c r="D188" s="11"/>
      <c r="E188" s="11"/>
      <c r="F188" s="11"/>
      <c r="G188" s="80" t="e">
        <f t="shared" ref="G188:K189" si="3">I481</f>
        <v>#VALUE!</v>
      </c>
      <c r="H188" s="80" t="e">
        <f t="shared" si="3"/>
        <v>#VALUE!</v>
      </c>
      <c r="I188" s="80" t="e">
        <f t="shared" si="3"/>
        <v>#VALUE!</v>
      </c>
      <c r="J188" s="80" t="e">
        <f t="shared" si="3"/>
        <v>#VALUE!</v>
      </c>
      <c r="K188" s="80" t="e">
        <f t="shared" si="3"/>
        <v>#VALUE!</v>
      </c>
      <c r="L188" s="11"/>
      <c r="M188" s="11"/>
      <c r="N188" s="11"/>
      <c r="O188" s="11"/>
      <c r="P188" s="11"/>
      <c r="Q188" s="11"/>
    </row>
    <row r="189" spans="1:17" x14ac:dyDescent="0.2">
      <c r="A189" s="12" t="s">
        <v>3180</v>
      </c>
      <c r="C189" s="11"/>
      <c r="D189" s="11"/>
      <c r="E189" s="11"/>
      <c r="F189" s="11"/>
      <c r="G189" s="80">
        <f t="shared" si="3"/>
        <v>0</v>
      </c>
      <c r="H189" s="80">
        <f t="shared" si="3"/>
        <v>0</v>
      </c>
      <c r="I189" s="80">
        <f t="shared" si="3"/>
        <v>0</v>
      </c>
      <c r="J189" s="80">
        <f t="shared" si="3"/>
        <v>0</v>
      </c>
      <c r="K189" s="80">
        <f t="shared" si="3"/>
        <v>0</v>
      </c>
      <c r="L189" s="11"/>
      <c r="M189" s="11"/>
      <c r="N189" s="11"/>
      <c r="O189" s="11"/>
      <c r="P189" s="11"/>
      <c r="Q189" s="11"/>
    </row>
    <row r="190" spans="1:17" ht="15" x14ac:dyDescent="0.2">
      <c r="A190" s="97" t="s">
        <v>3181</v>
      </c>
      <c r="C190" s="11"/>
      <c r="D190" s="11"/>
      <c r="E190" s="11"/>
      <c r="F190" s="11"/>
      <c r="G190" s="80" t="e">
        <f>I485</f>
        <v>#VALUE!</v>
      </c>
      <c r="H190" s="80" t="e">
        <f>J485</f>
        <v>#VALUE!</v>
      </c>
      <c r="I190" s="80" t="e">
        <f>K485</f>
        <v>#VALUE!</v>
      </c>
      <c r="J190" s="80" t="e">
        <f>L485</f>
        <v>#VALUE!</v>
      </c>
      <c r="K190" s="80" t="e">
        <f>M485</f>
        <v>#VALUE!</v>
      </c>
      <c r="L190" s="11"/>
      <c r="M190" s="11"/>
      <c r="N190" s="11"/>
      <c r="O190" s="11"/>
      <c r="P190" s="11"/>
      <c r="Q190" s="11"/>
    </row>
    <row r="191" spans="1:17" x14ac:dyDescent="0.2">
      <c r="A191" s="29"/>
      <c r="B191" s="11"/>
      <c r="C191" s="11"/>
      <c r="D191" s="11"/>
      <c r="E191" s="11"/>
      <c r="F191" s="11"/>
      <c r="G191" s="11"/>
      <c r="H191" s="11"/>
      <c r="I191" s="11"/>
      <c r="J191" s="87"/>
      <c r="K191" s="70"/>
      <c r="L191" s="11"/>
      <c r="M191" s="11"/>
      <c r="N191" s="11"/>
      <c r="O191" s="11"/>
      <c r="P191" s="11"/>
      <c r="Q191" s="11"/>
    </row>
    <row r="192" spans="1:17" ht="15.75" x14ac:dyDescent="0.25">
      <c r="A192" s="29"/>
      <c r="B192" s="98" t="s">
        <v>3182</v>
      </c>
      <c r="C192" s="74"/>
      <c r="D192" s="59"/>
      <c r="E192" s="59"/>
      <c r="F192" s="59"/>
      <c r="G192" s="59"/>
      <c r="H192" s="11"/>
      <c r="I192" s="14"/>
      <c r="J192" s="99"/>
      <c r="K192" s="89"/>
      <c r="L192" s="11"/>
      <c r="M192" s="11"/>
      <c r="N192" s="11"/>
      <c r="O192" s="11"/>
      <c r="P192" s="11"/>
      <c r="Q192" s="11"/>
    </row>
    <row r="193" spans="1:17" x14ac:dyDescent="0.2">
      <c r="C193" s="74"/>
      <c r="D193" s="62" t="s">
        <v>3183</v>
      </c>
      <c r="E193" s="59"/>
      <c r="F193" s="59"/>
      <c r="G193" s="262" t="e">
        <f>I488</f>
        <v>#VALUE!</v>
      </c>
      <c r="H193" s="262" t="e">
        <f>J488</f>
        <v>#VALUE!</v>
      </c>
      <c r="I193" s="262" t="e">
        <f>K488</f>
        <v>#VALUE!</v>
      </c>
      <c r="J193" s="262" t="e">
        <f>L488</f>
        <v>#VALUE!</v>
      </c>
      <c r="K193" s="262" t="e">
        <f>M488</f>
        <v>#VALUE!</v>
      </c>
      <c r="L193" s="11"/>
      <c r="M193" s="11"/>
      <c r="N193" s="11"/>
      <c r="O193" s="11"/>
      <c r="P193" s="11"/>
      <c r="Q193" s="11"/>
    </row>
    <row r="194" spans="1:17" x14ac:dyDescent="0.2">
      <c r="C194" s="74"/>
      <c r="D194" s="62" t="s">
        <v>3184</v>
      </c>
      <c r="E194" s="59"/>
      <c r="F194" s="59"/>
      <c r="G194" s="262" t="e">
        <f>I498</f>
        <v>#VALUE!</v>
      </c>
      <c r="H194" s="262" t="e">
        <f>J498</f>
        <v>#VALUE!</v>
      </c>
      <c r="I194" s="262" t="e">
        <f>K498</f>
        <v>#VALUE!</v>
      </c>
      <c r="J194" s="262" t="e">
        <f>L498</f>
        <v>#VALUE!</v>
      </c>
      <c r="K194" s="262" t="e">
        <f>M498</f>
        <v>#VALUE!</v>
      </c>
      <c r="L194" s="11"/>
      <c r="M194" s="11"/>
      <c r="N194" s="11"/>
      <c r="O194" s="11"/>
      <c r="P194" s="11"/>
      <c r="Q194" s="11"/>
    </row>
    <row r="195" spans="1:17" x14ac:dyDescent="0.2">
      <c r="C195" s="74"/>
      <c r="D195" s="62" t="s">
        <v>3185</v>
      </c>
      <c r="E195" s="59"/>
      <c r="F195" s="59"/>
      <c r="G195" s="262" t="e">
        <f>I502</f>
        <v>#VALUE!</v>
      </c>
      <c r="H195" s="262" t="e">
        <f>J502</f>
        <v>#VALUE!</v>
      </c>
      <c r="I195" s="262" t="e">
        <f>K502</f>
        <v>#VALUE!</v>
      </c>
      <c r="J195" s="262" t="e">
        <f>L502</f>
        <v>#VALUE!</v>
      </c>
      <c r="K195" s="262" t="e">
        <f>M502</f>
        <v>#VALUE!</v>
      </c>
      <c r="L195" s="11"/>
      <c r="M195" s="11"/>
      <c r="N195" s="11"/>
      <c r="O195" s="11"/>
      <c r="P195" s="11"/>
      <c r="Q195" s="11"/>
    </row>
    <row r="196" spans="1:17" x14ac:dyDescent="0.2">
      <c r="C196" s="74"/>
      <c r="D196" s="62" t="s">
        <v>526</v>
      </c>
      <c r="E196" s="59"/>
      <c r="F196" s="59"/>
      <c r="G196" s="262" t="e">
        <f>I528</f>
        <v>#VALUE!</v>
      </c>
      <c r="H196" s="262" t="e">
        <f>J528</f>
        <v>#VALUE!</v>
      </c>
      <c r="I196" s="262" t="e">
        <f>K528</f>
        <v>#VALUE!</v>
      </c>
      <c r="J196" s="262" t="e">
        <f>L528</f>
        <v>#VALUE!</v>
      </c>
      <c r="K196" s="262" t="e">
        <f>M528</f>
        <v>#VALUE!</v>
      </c>
      <c r="L196" s="11"/>
      <c r="M196" s="11"/>
      <c r="N196" s="11"/>
      <c r="O196" s="11"/>
      <c r="P196" s="11"/>
      <c r="Q196" s="11"/>
    </row>
    <row r="197" spans="1:17" x14ac:dyDescent="0.2">
      <c r="C197" s="74"/>
      <c r="D197" s="62" t="s">
        <v>527</v>
      </c>
      <c r="E197" s="59"/>
      <c r="F197" s="59"/>
      <c r="G197" s="262">
        <f t="shared" ref="G197:K198" si="4">I530</f>
        <v>0.93</v>
      </c>
      <c r="H197" s="262">
        <f t="shared" si="4"/>
        <v>0.93</v>
      </c>
      <c r="I197" s="262">
        <f t="shared" si="4"/>
        <v>0.93</v>
      </c>
      <c r="J197" s="262">
        <f t="shared" si="4"/>
        <v>0.93</v>
      </c>
      <c r="K197" s="262">
        <f t="shared" si="4"/>
        <v>0.93</v>
      </c>
      <c r="L197" s="11"/>
      <c r="M197" s="11"/>
      <c r="N197" s="11"/>
      <c r="O197" s="11"/>
      <c r="P197" s="11"/>
      <c r="Q197" s="11"/>
    </row>
    <row r="198" spans="1:17" ht="14.25" x14ac:dyDescent="0.3">
      <c r="A198" s="11"/>
      <c r="C198" s="62"/>
      <c r="D198" s="4375" t="s">
        <v>2915</v>
      </c>
      <c r="E198" s="4375"/>
      <c r="F198" s="4375"/>
      <c r="G198" s="263" t="e">
        <f t="shared" si="4"/>
        <v>#VALUE!</v>
      </c>
      <c r="H198" s="263" t="e">
        <f t="shared" si="4"/>
        <v>#VALUE!</v>
      </c>
      <c r="I198" s="263" t="e">
        <f t="shared" si="4"/>
        <v>#VALUE!</v>
      </c>
      <c r="J198" s="263" t="e">
        <f t="shared" si="4"/>
        <v>#VALUE!</v>
      </c>
      <c r="K198" s="263" t="e">
        <f t="shared" si="4"/>
        <v>#VALUE!</v>
      </c>
      <c r="L198" s="11"/>
      <c r="M198" s="11"/>
      <c r="N198" s="11"/>
      <c r="O198" s="11"/>
      <c r="P198" s="11"/>
      <c r="Q198" s="11"/>
    </row>
    <row r="199" spans="1:17" x14ac:dyDescent="0.2">
      <c r="A199" s="11"/>
      <c r="B199" s="73" t="s">
        <v>528</v>
      </c>
      <c r="C199" s="74"/>
      <c r="D199" s="59"/>
      <c r="E199" s="59"/>
      <c r="F199" s="59"/>
      <c r="G199" s="262">
        <f>I533</f>
        <v>0.96499999999999997</v>
      </c>
      <c r="H199" s="262">
        <f>J533</f>
        <v>0.96499999999999997</v>
      </c>
      <c r="I199" s="262">
        <f>K533</f>
        <v>0.96499999999999997</v>
      </c>
      <c r="J199" s="262">
        <f>L533</f>
        <v>0.96499999999999997</v>
      </c>
      <c r="K199" s="262">
        <f>M533</f>
        <v>0.96499999999999997</v>
      </c>
      <c r="L199" s="11"/>
      <c r="M199" s="11"/>
      <c r="N199" s="11"/>
      <c r="O199" s="11"/>
      <c r="P199" s="11"/>
      <c r="Q199" s="11"/>
    </row>
    <row r="200" spans="1:17" x14ac:dyDescent="0.2">
      <c r="A200" s="27"/>
      <c r="B200" s="73" t="s">
        <v>444</v>
      </c>
      <c r="C200" s="27"/>
      <c r="D200" s="27"/>
      <c r="E200" s="27"/>
      <c r="F200" s="27"/>
      <c r="G200" s="100" t="e">
        <f>I539</f>
        <v>#VALUE!</v>
      </c>
      <c r="H200" s="100" t="e">
        <f>J539</f>
        <v>#VALUE!</v>
      </c>
      <c r="I200" s="100" t="e">
        <f>K539</f>
        <v>#VALUE!</v>
      </c>
      <c r="J200" s="100" t="e">
        <f>L539</f>
        <v>#VALUE!</v>
      </c>
      <c r="K200" s="100" t="e">
        <f>M539</f>
        <v>#VALUE!</v>
      </c>
      <c r="L200" s="11"/>
      <c r="M200" s="11"/>
      <c r="N200" s="11"/>
      <c r="O200" s="11"/>
      <c r="P200" s="11"/>
      <c r="Q200" s="11"/>
    </row>
    <row r="201" spans="1:17" x14ac:dyDescent="0.2">
      <c r="A201" s="27"/>
      <c r="B201" s="73" t="s">
        <v>445</v>
      </c>
      <c r="C201" s="27"/>
      <c r="D201" s="27"/>
      <c r="E201" s="27"/>
      <c r="F201" s="27"/>
      <c r="G201" s="100" t="e">
        <f t="shared" ref="G201:K202" si="5">I542</f>
        <v>#VALUE!</v>
      </c>
      <c r="H201" s="100" t="e">
        <f t="shared" si="5"/>
        <v>#VALUE!</v>
      </c>
      <c r="I201" s="100" t="e">
        <f t="shared" si="5"/>
        <v>#VALUE!</v>
      </c>
      <c r="J201" s="100" t="e">
        <f t="shared" si="5"/>
        <v>#VALUE!</v>
      </c>
      <c r="K201" s="100" t="e">
        <f t="shared" si="5"/>
        <v>#VALUE!</v>
      </c>
      <c r="L201" s="11"/>
      <c r="M201" s="11"/>
      <c r="N201" s="11"/>
      <c r="O201" s="11"/>
      <c r="P201" s="11"/>
      <c r="Q201" s="11"/>
    </row>
    <row r="202" spans="1:17" ht="14.25" x14ac:dyDescent="0.3">
      <c r="A202" s="27"/>
      <c r="B202" s="4440" t="s">
        <v>2916</v>
      </c>
      <c r="C202" s="4440"/>
      <c r="D202" s="4440"/>
      <c r="E202" s="4440"/>
      <c r="F202" s="4440"/>
      <c r="G202" s="96" t="e">
        <f t="shared" si="5"/>
        <v>#VALUE!</v>
      </c>
      <c r="H202" s="96" t="e">
        <f t="shared" si="5"/>
        <v>#VALUE!</v>
      </c>
      <c r="I202" s="96" t="e">
        <f t="shared" si="5"/>
        <v>#VALUE!</v>
      </c>
      <c r="J202" s="96" t="e">
        <f t="shared" si="5"/>
        <v>#VALUE!</v>
      </c>
      <c r="K202" s="96" t="e">
        <f t="shared" si="5"/>
        <v>#VALUE!</v>
      </c>
      <c r="L202" s="11"/>
      <c r="M202" s="11"/>
      <c r="N202" s="11"/>
      <c r="O202" s="11"/>
      <c r="P202" s="11"/>
      <c r="Q202" s="11"/>
    </row>
    <row r="203" spans="1:17" x14ac:dyDescent="0.2">
      <c r="A203" s="27"/>
      <c r="B203" s="27" t="s">
        <v>5481</v>
      </c>
      <c r="C203" s="27"/>
      <c r="D203" s="27"/>
      <c r="E203" s="27"/>
      <c r="F203" s="27"/>
      <c r="G203" s="96" t="e">
        <f>I545</f>
        <v>#VALUE!</v>
      </c>
      <c r="H203" s="96" t="e">
        <f>J545</f>
        <v>#VALUE!</v>
      </c>
      <c r="I203" s="96" t="e">
        <f>K545</f>
        <v>#VALUE!</v>
      </c>
      <c r="J203" s="96" t="e">
        <f>L545</f>
        <v>#VALUE!</v>
      </c>
      <c r="K203" s="96" t="e">
        <f>M545</f>
        <v>#VALUE!</v>
      </c>
      <c r="L203" s="11"/>
      <c r="M203" s="11"/>
      <c r="N203" s="34" t="s">
        <v>3316</v>
      </c>
      <c r="O203" s="11"/>
      <c r="P203" s="11"/>
      <c r="Q203" s="11"/>
    </row>
    <row r="204" spans="1:17" x14ac:dyDescent="0.2">
      <c r="A204" s="27"/>
      <c r="B204" s="27"/>
      <c r="C204" s="27"/>
      <c r="D204" s="27"/>
      <c r="E204" s="27"/>
      <c r="F204" s="27"/>
      <c r="G204" s="817"/>
      <c r="H204" s="817"/>
      <c r="I204" s="817"/>
      <c r="J204" s="817"/>
      <c r="K204" s="817"/>
      <c r="L204" s="11"/>
      <c r="M204" s="11"/>
      <c r="N204" s="34"/>
      <c r="O204" s="11"/>
      <c r="P204" s="11"/>
      <c r="Q204" s="11"/>
    </row>
    <row r="205" spans="1:17" x14ac:dyDescent="0.2">
      <c r="A205" s="27"/>
      <c r="B205" s="27"/>
      <c r="C205" s="27"/>
      <c r="D205" s="27"/>
      <c r="E205" s="27"/>
      <c r="F205" s="27"/>
      <c r="G205" s="817"/>
      <c r="H205" s="817"/>
      <c r="I205" s="817"/>
      <c r="J205" s="817"/>
      <c r="K205" s="817"/>
      <c r="L205" s="11"/>
      <c r="M205" s="11"/>
      <c r="N205" s="34"/>
      <c r="O205" s="11"/>
      <c r="P205" s="11"/>
      <c r="Q205" s="11"/>
    </row>
    <row r="206" spans="1:17" x14ac:dyDescent="0.2">
      <c r="A206" s="27"/>
      <c r="B206" s="27"/>
      <c r="C206" s="27"/>
      <c r="D206" s="27"/>
      <c r="E206" s="27"/>
      <c r="F206" s="27"/>
      <c r="G206" s="817"/>
      <c r="H206" s="817"/>
      <c r="I206" s="817"/>
      <c r="J206" s="817"/>
      <c r="K206" s="817"/>
      <c r="L206" s="11"/>
      <c r="M206" s="11"/>
      <c r="N206" s="34"/>
      <c r="O206" s="11"/>
      <c r="P206" s="11"/>
      <c r="Q206" s="11"/>
    </row>
    <row r="207" spans="1:17" x14ac:dyDescent="0.2">
      <c r="A207" s="27"/>
      <c r="B207" s="27"/>
      <c r="C207" s="27"/>
      <c r="D207" s="27"/>
      <c r="E207" s="27"/>
      <c r="F207" s="27"/>
      <c r="G207" s="817"/>
      <c r="H207" s="817"/>
      <c r="I207" s="817"/>
      <c r="J207" s="817"/>
      <c r="K207" s="817"/>
      <c r="L207" s="11"/>
      <c r="M207" s="11"/>
      <c r="N207" s="34"/>
      <c r="O207" s="11"/>
      <c r="P207" s="11"/>
      <c r="Q207" s="11"/>
    </row>
    <row r="208" spans="1:17" x14ac:dyDescent="0.2">
      <c r="A208" s="27"/>
      <c r="B208" s="27"/>
      <c r="C208" s="27"/>
      <c r="D208" s="27"/>
      <c r="E208" s="27"/>
      <c r="F208" s="27"/>
      <c r="G208" s="817"/>
      <c r="H208" s="817"/>
      <c r="I208" s="817"/>
      <c r="J208" s="817"/>
      <c r="K208" s="817"/>
      <c r="L208" s="11"/>
      <c r="M208" s="11"/>
      <c r="N208" s="34"/>
      <c r="O208" s="11"/>
      <c r="P208" s="11"/>
      <c r="Q208" s="11"/>
    </row>
    <row r="209" spans="1:25" x14ac:dyDescent="0.2">
      <c r="A209" s="27"/>
      <c r="B209" s="27"/>
      <c r="C209" s="27"/>
      <c r="D209" s="27"/>
      <c r="E209" s="27"/>
      <c r="F209" s="27"/>
      <c r="G209" s="817"/>
      <c r="H209" s="817"/>
      <c r="I209" s="817"/>
      <c r="J209" s="817"/>
      <c r="K209" s="817"/>
      <c r="L209" s="11"/>
      <c r="M209" s="11"/>
      <c r="N209" s="34"/>
      <c r="O209" s="11"/>
      <c r="P209" s="11"/>
      <c r="Q209" s="11"/>
    </row>
    <row r="210" spans="1:25" x14ac:dyDescent="0.2">
      <c r="A210" s="27"/>
      <c r="B210" s="27"/>
      <c r="C210" s="27"/>
      <c r="D210" s="27"/>
      <c r="E210" s="27"/>
      <c r="F210" s="27"/>
      <c r="G210" s="817"/>
      <c r="H210" s="817"/>
      <c r="I210" s="817"/>
      <c r="J210" s="817"/>
      <c r="K210" s="817"/>
      <c r="L210" s="11"/>
      <c r="M210" s="11"/>
      <c r="N210" s="34"/>
      <c r="O210" s="11"/>
      <c r="P210" s="11"/>
      <c r="Q210" s="11"/>
    </row>
    <row r="211" spans="1:25" x14ac:dyDescent="0.2">
      <c r="A211" s="27"/>
      <c r="B211" s="27"/>
      <c r="C211" s="27"/>
      <c r="D211" s="27"/>
      <c r="E211" s="27"/>
      <c r="F211" s="27"/>
      <c r="G211" s="817"/>
      <c r="H211" s="817"/>
      <c r="I211" s="817"/>
      <c r="J211" s="817"/>
      <c r="K211" s="817"/>
      <c r="L211" s="11"/>
      <c r="M211" s="11"/>
      <c r="N211" s="34"/>
      <c r="O211" s="11"/>
      <c r="P211" s="11"/>
      <c r="Q211" s="11"/>
    </row>
    <row r="212" spans="1:25" x14ac:dyDescent="0.2">
      <c r="A212" s="27"/>
      <c r="B212" s="27"/>
      <c r="C212" s="27"/>
      <c r="D212" s="27"/>
      <c r="E212" s="27"/>
      <c r="F212" s="27"/>
      <c r="G212" s="817"/>
      <c r="H212" s="817"/>
      <c r="I212" s="817"/>
      <c r="J212" s="817"/>
      <c r="K212" s="817"/>
      <c r="L212" s="11"/>
      <c r="M212" s="11"/>
      <c r="N212" s="34"/>
      <c r="O212" s="11"/>
      <c r="P212" s="11"/>
      <c r="Q212" s="11"/>
    </row>
    <row r="213" spans="1:25" x14ac:dyDescent="0.2">
      <c r="A213" s="27"/>
      <c r="B213" s="27"/>
      <c r="C213" s="27"/>
      <c r="D213" s="27"/>
      <c r="E213" s="27"/>
      <c r="F213" s="27"/>
      <c r="G213" s="817"/>
      <c r="H213" s="817"/>
      <c r="I213" s="817"/>
      <c r="J213" s="817"/>
      <c r="K213" s="817"/>
      <c r="L213" s="11"/>
      <c r="M213" s="11"/>
      <c r="N213" s="34"/>
      <c r="O213" s="11"/>
      <c r="P213" s="11"/>
      <c r="Q213" s="11"/>
    </row>
    <row r="214" spans="1:25" x14ac:dyDescent="0.2">
      <c r="A214" s="27"/>
      <c r="B214" s="27"/>
      <c r="C214" s="27"/>
      <c r="D214" s="27"/>
      <c r="E214" s="27"/>
      <c r="F214" s="27"/>
      <c r="G214" s="817"/>
      <c r="H214" s="817"/>
      <c r="I214" s="817"/>
      <c r="J214" s="817"/>
      <c r="K214" s="817"/>
      <c r="L214" s="11"/>
      <c r="M214" s="11"/>
      <c r="N214" s="34"/>
      <c r="O214" s="11"/>
      <c r="P214" s="11"/>
      <c r="Q214" s="11"/>
    </row>
    <row r="215" spans="1:25" x14ac:dyDescent="0.2">
      <c r="A215" s="27"/>
      <c r="B215" s="27"/>
      <c r="C215" s="27"/>
      <c r="D215" s="27"/>
      <c r="E215" s="27"/>
      <c r="F215" s="27"/>
      <c r="G215" s="817"/>
      <c r="H215" s="817"/>
      <c r="I215" s="817"/>
      <c r="J215" s="817"/>
      <c r="K215" s="817"/>
      <c r="L215" s="11"/>
      <c r="M215" s="11"/>
      <c r="N215" s="34"/>
      <c r="O215" s="11"/>
      <c r="P215" s="11"/>
      <c r="Q215" s="11"/>
    </row>
    <row r="216" spans="1:25" x14ac:dyDescent="0.2">
      <c r="A216" s="27"/>
      <c r="B216" s="27"/>
      <c r="C216" s="27"/>
      <c r="D216" s="27"/>
      <c r="E216" s="27"/>
      <c r="F216" s="27"/>
      <c r="G216" s="817"/>
      <c r="H216" s="817"/>
      <c r="I216" s="817"/>
      <c r="J216" s="817"/>
      <c r="K216" s="817"/>
      <c r="L216" s="11"/>
      <c r="M216" s="11"/>
      <c r="N216" s="34"/>
      <c r="O216" s="11"/>
      <c r="P216" s="11"/>
      <c r="Q216" s="11"/>
    </row>
    <row r="217" spans="1:25" ht="15.75" x14ac:dyDescent="0.25">
      <c r="A217" s="196"/>
      <c r="B217" s="447"/>
      <c r="C217" s="448"/>
      <c r="D217" s="448"/>
      <c r="E217" s="448"/>
      <c r="F217" s="448"/>
      <c r="G217" s="448"/>
      <c r="H217" s="448"/>
      <c r="I217" s="449"/>
      <c r="J217" s="196"/>
      <c r="K217" s="196"/>
      <c r="L217" s="196"/>
      <c r="M217" s="196"/>
      <c r="N217" s="196"/>
      <c r="O217" s="196"/>
      <c r="P217" s="196"/>
      <c r="Q217" s="196"/>
    </row>
    <row r="218" spans="1:25" ht="15" x14ac:dyDescent="0.25">
      <c r="A218" s="199"/>
      <c r="B218" s="199"/>
      <c r="C218" s="199"/>
      <c r="D218" s="199"/>
      <c r="E218" s="199"/>
      <c r="F218" s="199"/>
      <c r="G218" s="199"/>
      <c r="H218" s="199"/>
      <c r="I218" s="199"/>
      <c r="J218" s="199"/>
      <c r="K218" s="199"/>
      <c r="L218" s="199"/>
      <c r="M218" s="199"/>
      <c r="N218" s="199"/>
      <c r="O218" s="199"/>
      <c r="P218" s="199"/>
      <c r="Q218" s="199"/>
      <c r="R218" s="58"/>
      <c r="S218" s="58"/>
      <c r="T218" s="58"/>
      <c r="U218" s="58"/>
      <c r="V218" s="58"/>
      <c r="W218" s="58"/>
      <c r="X218" s="58"/>
      <c r="Y218" s="58"/>
    </row>
    <row r="219" spans="1:25" ht="15.75" x14ac:dyDescent="0.25">
      <c r="A219" s="450"/>
      <c r="B219" s="59"/>
      <c r="C219" s="59"/>
      <c r="D219" s="451"/>
      <c r="E219" s="451"/>
      <c r="F219" s="451"/>
      <c r="G219" s="451"/>
      <c r="H219" s="451"/>
      <c r="I219" s="11"/>
      <c r="J219" s="11"/>
      <c r="K219" s="11"/>
      <c r="L219" s="11"/>
      <c r="M219" s="11"/>
      <c r="N219" s="11"/>
      <c r="O219" s="11"/>
      <c r="P219" s="11"/>
      <c r="Q219" s="11"/>
    </row>
    <row r="220" spans="1:25" ht="15.75" x14ac:dyDescent="0.25">
      <c r="A220" s="450"/>
      <c r="B220" s="59"/>
      <c r="C220" s="59"/>
      <c r="D220" s="451"/>
      <c r="E220" s="451"/>
      <c r="F220" s="451"/>
      <c r="G220" s="451"/>
      <c r="H220" s="451"/>
      <c r="I220" s="11"/>
      <c r="J220" s="11"/>
      <c r="K220" s="11"/>
      <c r="L220" s="11"/>
      <c r="M220" s="11"/>
      <c r="N220" s="11"/>
      <c r="O220" s="11"/>
      <c r="P220" s="11"/>
      <c r="Q220" s="11"/>
    </row>
    <row r="221" spans="1:25" ht="15.75" x14ac:dyDescent="0.25">
      <c r="A221" s="450"/>
      <c r="B221" s="59"/>
      <c r="C221" s="59"/>
      <c r="D221" s="451"/>
      <c r="E221" s="451"/>
      <c r="F221" s="451"/>
      <c r="G221" s="451"/>
      <c r="H221" s="451"/>
      <c r="I221" s="11"/>
      <c r="J221" s="11"/>
      <c r="K221" s="11"/>
      <c r="L221" s="11"/>
      <c r="M221" s="11"/>
      <c r="N221" s="11"/>
      <c r="O221" s="11"/>
      <c r="P221" s="11"/>
      <c r="Q221" s="11"/>
    </row>
    <row r="222" spans="1:25" x14ac:dyDescent="0.2">
      <c r="L222" s="11"/>
      <c r="M222" s="11"/>
      <c r="N222" s="11"/>
      <c r="O222" s="11"/>
      <c r="P222" s="11"/>
      <c r="Q222" s="11"/>
    </row>
    <row r="223" spans="1:25" ht="18" x14ac:dyDescent="0.25">
      <c r="B223" s="256" t="s">
        <v>5489</v>
      </c>
      <c r="L223" s="11"/>
      <c r="M223" s="11"/>
      <c r="N223" s="11"/>
      <c r="O223" s="11"/>
      <c r="P223" s="11"/>
      <c r="Q223" s="11"/>
    </row>
    <row r="224" spans="1:25" x14ac:dyDescent="0.2">
      <c r="L224" s="11"/>
      <c r="M224" s="11"/>
      <c r="N224" s="11"/>
      <c r="O224" s="11"/>
      <c r="P224" s="11"/>
      <c r="Q224" s="11"/>
    </row>
    <row r="225" spans="1:36" x14ac:dyDescent="0.2">
      <c r="C225" s="74" t="s">
        <v>1749</v>
      </c>
      <c r="L225" s="11"/>
      <c r="M225" s="11"/>
      <c r="N225" s="11"/>
      <c r="O225" s="11"/>
      <c r="P225" s="11"/>
      <c r="Q225" s="11"/>
    </row>
    <row r="226" spans="1:36" x14ac:dyDescent="0.2">
      <c r="L226" s="11"/>
      <c r="M226" s="11"/>
      <c r="N226" s="11"/>
      <c r="O226" s="11"/>
      <c r="P226" s="11"/>
      <c r="Q226" s="11"/>
    </row>
    <row r="227" spans="1:36" x14ac:dyDescent="0.2">
      <c r="A227" s="113" t="s">
        <v>4115</v>
      </c>
      <c r="B227" s="970" t="str">
        <f>IF(INDEX(K284:L285,O281,O282)=G227,"","оказывает влияние мощност пласта и выбросоопасность!")</f>
        <v/>
      </c>
      <c r="C227" s="113"/>
      <c r="D227" s="111"/>
      <c r="E227" s="113"/>
      <c r="F227" s="113"/>
      <c r="G227" s="333">
        <f>IF(kursovoy!$B$404&gt;=1.2,0,IF(kursovoy!$B$216=1,0,1))</f>
        <v>0</v>
      </c>
      <c r="H227" s="333">
        <f>IF(kursovoy!$B$404&gt;=1.2,0,IF(kursovoy!$B$216=1,0,1))</f>
        <v>0</v>
      </c>
      <c r="I227" s="333">
        <f>IF(kursovoy!$B$404&gt;=1.2,0,IF(kursovoy!$B$216=1,0,1))</f>
        <v>0</v>
      </c>
      <c r="J227" s="333">
        <f>IF(kursovoy!$B$404&gt;=1.2,0,IF(kursovoy!$B$216=1,0,1))</f>
        <v>0</v>
      </c>
      <c r="K227" s="333">
        <f>IF(kursovoy!$B$404&gt;=1.2,0,IF(kursovoy!$B$216=1,0,1))</f>
        <v>0</v>
      </c>
      <c r="L227" s="11"/>
      <c r="M227" s="11"/>
      <c r="N227" s="11"/>
      <c r="O227" s="11"/>
      <c r="P227" s="11"/>
      <c r="Q227" s="11"/>
    </row>
    <row r="228" spans="1:36" x14ac:dyDescent="0.2">
      <c r="A228" s="4375" t="s">
        <v>2431</v>
      </c>
      <c r="B228" s="4375"/>
      <c r="C228" s="4375"/>
      <c r="D228" s="4375"/>
      <c r="E228" s="4375"/>
      <c r="F228" s="62"/>
      <c r="G228" s="1098">
        <v>20</v>
      </c>
      <c r="H228" s="1098">
        <v>20</v>
      </c>
      <c r="I228" s="1098">
        <v>20</v>
      </c>
      <c r="J228" s="1098">
        <v>20</v>
      </c>
      <c r="K228" s="1098">
        <v>20</v>
      </c>
    </row>
    <row r="229" spans="1:36" x14ac:dyDescent="0.2">
      <c r="A229" s="4375" t="s">
        <v>1056</v>
      </c>
      <c r="B229" s="4375"/>
      <c r="C229" s="4375"/>
      <c r="D229" s="4375"/>
      <c r="E229" s="4375"/>
      <c r="F229" s="62"/>
      <c r="G229" s="337">
        <v>20</v>
      </c>
      <c r="H229" s="337">
        <v>20</v>
      </c>
      <c r="I229" s="337">
        <v>20</v>
      </c>
      <c r="J229" s="337">
        <v>20</v>
      </c>
      <c r="K229" s="337">
        <v>20</v>
      </c>
    </row>
    <row r="230" spans="1:36" ht="15.75" x14ac:dyDescent="0.25">
      <c r="A230" s="550"/>
      <c r="B230" s="29"/>
      <c r="C230" s="551"/>
      <c r="D230" s="551"/>
      <c r="E230" s="29"/>
      <c r="F230" s="29"/>
      <c r="G230" s="552"/>
      <c r="H230" s="29"/>
      <c r="I230" s="29"/>
      <c r="J230" s="29"/>
      <c r="K230" s="29"/>
      <c r="L230" s="29"/>
      <c r="M230" s="29"/>
      <c r="N230" s="29"/>
      <c r="O230" s="29"/>
      <c r="P230" s="29"/>
      <c r="Q230" s="29"/>
      <c r="R230" s="8"/>
    </row>
    <row r="233" spans="1:36" ht="18" x14ac:dyDescent="0.25">
      <c r="A233" s="101"/>
      <c r="B233" s="255" t="s">
        <v>3025</v>
      </c>
      <c r="C233" s="101"/>
      <c r="D233" s="101"/>
      <c r="E233" s="101"/>
      <c r="F233" s="101"/>
      <c r="G233" s="101"/>
      <c r="H233" s="101"/>
      <c r="I233" s="101"/>
      <c r="J233" s="101"/>
      <c r="K233" s="101"/>
      <c r="L233" s="101"/>
      <c r="M233" s="101"/>
      <c r="N233" s="27"/>
      <c r="O233" s="86"/>
      <c r="P233" s="95"/>
      <c r="Q233" s="72"/>
      <c r="R233" s="45"/>
      <c r="S233" s="45"/>
      <c r="T233" s="45"/>
      <c r="U233" s="45"/>
      <c r="V233" s="45"/>
      <c r="W233" s="45"/>
      <c r="X233" s="45"/>
      <c r="Y233" s="45"/>
      <c r="Z233" s="45"/>
      <c r="AA233" s="45"/>
      <c r="AB233" s="45"/>
      <c r="AC233" s="45"/>
      <c r="AD233" s="45"/>
      <c r="AE233" s="45"/>
      <c r="AF233" s="45"/>
      <c r="AG233" s="45"/>
      <c r="AH233" s="45"/>
      <c r="AI233" s="45"/>
      <c r="AJ233" s="45"/>
    </row>
    <row r="234" spans="1:36" ht="18" x14ac:dyDescent="0.25">
      <c r="A234" s="92"/>
      <c r="B234" s="453"/>
      <c r="C234" s="92"/>
      <c r="D234" s="92"/>
      <c r="E234" s="92"/>
      <c r="F234" s="92"/>
      <c r="G234" s="92"/>
      <c r="H234" s="92"/>
      <c r="I234" s="92"/>
      <c r="J234" s="92"/>
      <c r="K234" s="92"/>
      <c r="L234" s="92"/>
      <c r="M234" s="92"/>
      <c r="N234" s="27"/>
      <c r="O234" s="86"/>
      <c r="P234" s="95"/>
      <c r="Q234" s="72"/>
      <c r="R234" s="45"/>
      <c r="S234" s="45"/>
      <c r="T234" s="45"/>
      <c r="U234" s="45"/>
      <c r="V234" s="45"/>
      <c r="W234" s="45"/>
      <c r="X234" s="45"/>
      <c r="Y234" s="45"/>
      <c r="Z234" s="45"/>
      <c r="AA234" s="45"/>
      <c r="AB234" s="45"/>
      <c r="AC234" s="45"/>
      <c r="AD234" s="45"/>
      <c r="AE234" s="45"/>
      <c r="AF234" s="45"/>
      <c r="AG234" s="45"/>
      <c r="AH234" s="45"/>
      <c r="AI234" s="45"/>
      <c r="AJ234" s="45"/>
    </row>
    <row r="235" spans="1:36" ht="18" x14ac:dyDescent="0.25">
      <c r="A235" s="92"/>
      <c r="B235" s="453"/>
      <c r="C235" s="92"/>
      <c r="D235" s="92"/>
      <c r="E235" s="92"/>
      <c r="F235" s="92"/>
      <c r="G235" s="92"/>
      <c r="H235" s="92"/>
      <c r="I235" s="92"/>
      <c r="J235" s="92"/>
      <c r="K235" s="92"/>
      <c r="L235" s="92"/>
      <c r="M235" s="92"/>
      <c r="N235" s="27"/>
      <c r="O235" s="86"/>
      <c r="P235" s="95"/>
      <c r="Q235" s="72"/>
      <c r="R235" s="45"/>
      <c r="S235" s="45"/>
      <c r="T235" s="45"/>
      <c r="U235" s="45"/>
      <c r="V235" s="45"/>
      <c r="W235" s="45"/>
      <c r="X235" s="45"/>
      <c r="Y235" s="45"/>
      <c r="Z235" s="45"/>
      <c r="AA235" s="45"/>
      <c r="AB235" s="45"/>
      <c r="AC235" s="45"/>
      <c r="AD235" s="45"/>
      <c r="AE235" s="45"/>
      <c r="AF235" s="45"/>
      <c r="AG235" s="45"/>
      <c r="AH235" s="45"/>
      <c r="AI235" s="45"/>
      <c r="AJ235" s="45"/>
    </row>
    <row r="236" spans="1:36" ht="15.75" x14ac:dyDescent="0.25">
      <c r="A236" s="72" t="s">
        <v>4117</v>
      </c>
      <c r="B236" s="66"/>
      <c r="C236" s="72"/>
      <c r="D236" s="74"/>
      <c r="E236" s="72"/>
      <c r="F236" s="72"/>
      <c r="G236" s="333">
        <f>kursovoy!$B$872</f>
        <v>0</v>
      </c>
      <c r="H236" s="333">
        <f>kursovoy!$B$872</f>
        <v>0</v>
      </c>
      <c r="I236" s="333">
        <f>kursovoy!$B$872</f>
        <v>0</v>
      </c>
      <c r="J236" s="333">
        <f>kursovoy!$B$872</f>
        <v>0</v>
      </c>
      <c r="K236" s="333">
        <f>kursovoy!$B$872</f>
        <v>0</v>
      </c>
      <c r="L236" s="92"/>
      <c r="M236" s="92"/>
      <c r="N236" s="27"/>
      <c r="O236" s="86"/>
      <c r="P236" s="95"/>
      <c r="Q236" s="72"/>
      <c r="R236" s="45"/>
      <c r="S236" s="45"/>
      <c r="T236" s="45"/>
      <c r="U236" s="45"/>
      <c r="V236" s="45"/>
      <c r="W236" s="45"/>
      <c r="X236" s="45"/>
      <c r="Y236" s="45"/>
      <c r="Z236" s="45"/>
      <c r="AA236" s="45"/>
      <c r="AB236" s="45"/>
      <c r="AC236" s="45"/>
      <c r="AD236" s="45"/>
      <c r="AE236" s="45"/>
      <c r="AF236" s="45"/>
      <c r="AG236" s="45"/>
      <c r="AH236" s="45"/>
      <c r="AI236" s="45"/>
      <c r="AJ236" s="45"/>
    </row>
    <row r="237" spans="1:36" ht="15.75" x14ac:dyDescent="0.25">
      <c r="A237" s="72" t="s">
        <v>4118</v>
      </c>
      <c r="B237" s="66"/>
      <c r="C237" s="72"/>
      <c r="D237" s="74"/>
      <c r="E237" s="72"/>
      <c r="F237" s="72"/>
      <c r="G237" s="333">
        <f>kursovoy!$B$873</f>
        <v>0</v>
      </c>
      <c r="H237" s="333">
        <f>kursovoy!$B$873</f>
        <v>0</v>
      </c>
      <c r="I237" s="333">
        <f>kursovoy!$B$873</f>
        <v>0</v>
      </c>
      <c r="J237" s="333">
        <f>kursovoy!$B$873</f>
        <v>0</v>
      </c>
      <c r="K237" s="333">
        <f>kursovoy!$B$873</f>
        <v>0</v>
      </c>
      <c r="L237" s="92"/>
      <c r="M237" s="92"/>
      <c r="N237" s="27"/>
      <c r="O237" s="86"/>
      <c r="P237" s="95"/>
      <c r="Q237" s="72"/>
      <c r="R237" s="45"/>
      <c r="S237" s="45"/>
      <c r="T237" s="45"/>
      <c r="U237" s="45"/>
      <c r="V237" s="45"/>
      <c r="W237" s="45"/>
      <c r="X237" s="45"/>
      <c r="Y237" s="45"/>
      <c r="Z237" s="45"/>
      <c r="AA237" s="45"/>
      <c r="AB237" s="45"/>
      <c r="AC237" s="45"/>
      <c r="AD237" s="45"/>
      <c r="AE237" s="45"/>
      <c r="AF237" s="45"/>
      <c r="AG237" s="45"/>
      <c r="AH237" s="45"/>
      <c r="AI237" s="45"/>
      <c r="AJ237" s="45"/>
    </row>
    <row r="238" spans="1:36" ht="15.75" x14ac:dyDescent="0.25">
      <c r="A238" s="72" t="s">
        <v>4119</v>
      </c>
      <c r="B238" s="66"/>
      <c r="C238" s="72"/>
      <c r="D238" s="74"/>
      <c r="E238" s="72"/>
      <c r="F238" s="72"/>
      <c r="G238" s="333">
        <f>kursovoy!$B$891</f>
        <v>0</v>
      </c>
      <c r="H238" s="333">
        <f>kursovoy!$B$891</f>
        <v>0</v>
      </c>
      <c r="I238" s="333">
        <f>kursovoy!$B$891</f>
        <v>0</v>
      </c>
      <c r="J238" s="333">
        <f>kursovoy!$B$891</f>
        <v>0</v>
      </c>
      <c r="K238" s="333">
        <f>kursovoy!$B$891</f>
        <v>0</v>
      </c>
      <c r="L238" s="92"/>
      <c r="M238" s="92"/>
      <c r="N238" s="27"/>
      <c r="O238" s="86"/>
      <c r="P238" s="95"/>
      <c r="Q238" s="72"/>
      <c r="R238" s="45"/>
      <c r="S238" s="45"/>
      <c r="T238" s="45"/>
      <c r="U238" s="45"/>
      <c r="V238" s="45"/>
      <c r="W238" s="45"/>
      <c r="X238" s="45"/>
      <c r="Y238" s="45"/>
      <c r="Z238" s="45"/>
      <c r="AA238" s="45"/>
      <c r="AB238" s="45"/>
      <c r="AC238" s="45"/>
      <c r="AD238" s="45"/>
      <c r="AE238" s="45"/>
      <c r="AF238" s="45"/>
      <c r="AG238" s="45"/>
      <c r="AH238" s="45"/>
      <c r="AI238" s="45"/>
      <c r="AJ238" s="45"/>
    </row>
    <row r="239" spans="1:36" x14ac:dyDescent="0.2">
      <c r="A239" s="11"/>
      <c r="B239" s="11"/>
      <c r="C239" s="25" t="s">
        <v>1750</v>
      </c>
      <c r="D239" s="25"/>
      <c r="E239" s="25"/>
      <c r="F239" s="25"/>
      <c r="G239" s="25"/>
      <c r="H239" s="25"/>
      <c r="I239" s="25"/>
      <c r="J239" s="25"/>
      <c r="K239" s="25"/>
      <c r="L239" s="92"/>
      <c r="M239" s="92"/>
      <c r="N239" s="27"/>
      <c r="O239" s="86"/>
      <c r="P239" s="95"/>
      <c r="Q239" s="72"/>
      <c r="R239" s="45"/>
      <c r="S239" s="45"/>
      <c r="T239" s="45"/>
      <c r="U239" s="45"/>
      <c r="V239" s="45"/>
      <c r="W239" s="45"/>
      <c r="X239" s="45"/>
      <c r="Y239" s="45"/>
      <c r="Z239" s="45"/>
      <c r="AA239" s="45"/>
      <c r="AB239" s="45"/>
      <c r="AC239" s="45"/>
      <c r="AD239" s="45"/>
      <c r="AE239" s="45"/>
      <c r="AF239" s="45"/>
      <c r="AG239" s="45"/>
      <c r="AH239" s="45"/>
      <c r="AI239" s="45"/>
      <c r="AJ239" s="45"/>
    </row>
    <row r="240" spans="1:36" x14ac:dyDescent="0.2">
      <c r="A240" s="13" t="s">
        <v>1751</v>
      </c>
      <c r="C240" s="11"/>
      <c r="D240" s="11"/>
      <c r="E240" s="11"/>
      <c r="F240" s="11"/>
      <c r="G240" s="11"/>
      <c r="H240" s="11"/>
      <c r="I240" s="11"/>
      <c r="J240" s="11"/>
      <c r="K240" s="11"/>
      <c r="L240" s="92"/>
      <c r="M240" s="92"/>
      <c r="N240" s="27"/>
      <c r="O240" s="86"/>
      <c r="P240" s="95"/>
      <c r="Q240" s="72"/>
      <c r="R240" s="45"/>
      <c r="S240" s="45"/>
      <c r="T240" s="45"/>
      <c r="U240" s="45"/>
      <c r="V240" s="45"/>
      <c r="W240" s="45"/>
      <c r="X240" s="45"/>
      <c r="Y240" s="45"/>
      <c r="Z240" s="45"/>
      <c r="AA240" s="45"/>
      <c r="AB240" s="45"/>
      <c r="AC240" s="45"/>
      <c r="AD240" s="45"/>
      <c r="AE240" s="45"/>
      <c r="AF240" s="45"/>
      <c r="AG240" s="45"/>
      <c r="AH240" s="45"/>
      <c r="AI240" s="45"/>
      <c r="AJ240" s="45"/>
    </row>
    <row r="241" spans="1:36" x14ac:dyDescent="0.2">
      <c r="A241" s="11" t="s">
        <v>4121</v>
      </c>
      <c r="C241" s="11"/>
      <c r="D241" s="11"/>
      <c r="E241" s="11"/>
      <c r="F241" s="11"/>
      <c r="G241" s="334">
        <f>kursovoy!$B$894</f>
        <v>0</v>
      </c>
      <c r="H241" s="334">
        <f>kursovoy!$B$894</f>
        <v>0</v>
      </c>
      <c r="I241" s="334">
        <f>kursovoy!$B$894</f>
        <v>0</v>
      </c>
      <c r="J241" s="334">
        <f>kursovoy!$B$894</f>
        <v>0</v>
      </c>
      <c r="K241" s="334">
        <f>kursovoy!$B$894</f>
        <v>0</v>
      </c>
      <c r="L241" s="92"/>
      <c r="M241" s="92"/>
      <c r="N241" s="27"/>
      <c r="O241" s="86"/>
      <c r="P241" s="95"/>
      <c r="Q241" s="72"/>
      <c r="R241" s="45"/>
      <c r="S241" s="45"/>
      <c r="T241" s="45"/>
      <c r="U241" s="45"/>
      <c r="V241" s="45"/>
      <c r="W241" s="45"/>
      <c r="X241" s="45"/>
      <c r="Y241" s="45"/>
      <c r="Z241" s="45"/>
      <c r="AA241" s="45"/>
      <c r="AB241" s="45"/>
      <c r="AC241" s="45"/>
      <c r="AD241" s="45"/>
      <c r="AE241" s="45"/>
      <c r="AF241" s="45"/>
      <c r="AG241" s="45"/>
      <c r="AH241" s="45"/>
      <c r="AI241" s="45"/>
      <c r="AJ241" s="45"/>
    </row>
    <row r="242" spans="1:36" x14ac:dyDescent="0.2">
      <c r="A242" s="11" t="s">
        <v>4126</v>
      </c>
      <c r="C242" s="11"/>
      <c r="D242" s="11"/>
      <c r="E242" s="11"/>
      <c r="F242" s="11"/>
      <c r="G242" s="334">
        <f>kursovoy!$B$895</f>
        <v>0</v>
      </c>
      <c r="H242" s="334">
        <f>kursovoy!$B$895</f>
        <v>0</v>
      </c>
      <c r="I242" s="334">
        <f>kursovoy!$B$895</f>
        <v>0</v>
      </c>
      <c r="J242" s="334">
        <f>kursovoy!$B$895</f>
        <v>0</v>
      </c>
      <c r="K242" s="334">
        <f>kursovoy!$B$895</f>
        <v>0</v>
      </c>
      <c r="L242" s="92"/>
      <c r="M242" s="92"/>
      <c r="N242" s="27"/>
      <c r="O242" s="86"/>
      <c r="P242" s="95"/>
      <c r="Q242" s="72"/>
      <c r="R242" s="45"/>
      <c r="S242" s="45"/>
      <c r="T242" s="45"/>
      <c r="U242" s="45"/>
      <c r="V242" s="45"/>
      <c r="W242" s="45"/>
      <c r="X242" s="45"/>
      <c r="Y242" s="45"/>
      <c r="Z242" s="45"/>
      <c r="AA242" s="45"/>
      <c r="AB242" s="45"/>
      <c r="AC242" s="45"/>
      <c r="AD242" s="45"/>
      <c r="AE242" s="45"/>
      <c r="AF242" s="45"/>
      <c r="AG242" s="45"/>
      <c r="AH242" s="45"/>
      <c r="AI242" s="45"/>
      <c r="AJ242" s="45"/>
    </row>
    <row r="243" spans="1:36" x14ac:dyDescent="0.2">
      <c r="A243" s="11" t="s">
        <v>959</v>
      </c>
      <c r="C243" s="11"/>
      <c r="D243" s="11"/>
      <c r="E243" s="11"/>
      <c r="F243" s="11"/>
      <c r="G243" s="334">
        <f>IF(kursovoy!$B$500=1,1,kursovoy!$B$896)</f>
        <v>0</v>
      </c>
      <c r="H243" s="334">
        <f>IF(kursovoy!$B$500=1,1,kursovoy!$B$896)</f>
        <v>0</v>
      </c>
      <c r="I243" s="334">
        <f>IF(kursovoy!$B$500=1,1,kursovoy!$B$896)</f>
        <v>0</v>
      </c>
      <c r="J243" s="334">
        <f>IF(kursovoy!$B$500=1,1,kursovoy!$B$896)</f>
        <v>0</v>
      </c>
      <c r="K243" s="334">
        <f>IF(kursovoy!$B$500=1,1,kursovoy!$B$896)</f>
        <v>0</v>
      </c>
      <c r="L243" s="92"/>
      <c r="M243" s="92"/>
      <c r="N243" s="27"/>
      <c r="O243" s="86"/>
      <c r="P243" s="95"/>
      <c r="Q243" s="72"/>
      <c r="R243" s="45"/>
      <c r="S243" s="45"/>
      <c r="T243" s="45"/>
      <c r="U243" s="45"/>
      <c r="V243" s="45"/>
      <c r="W243" s="45"/>
      <c r="X243" s="45"/>
      <c r="Y243" s="45"/>
      <c r="Z243" s="45"/>
      <c r="AA243" s="45"/>
      <c r="AB243" s="45"/>
      <c r="AC243" s="45"/>
      <c r="AD243" s="45"/>
      <c r="AE243" s="45"/>
      <c r="AF243" s="45"/>
      <c r="AG243" s="45"/>
      <c r="AH243" s="45"/>
      <c r="AI243" s="45"/>
      <c r="AJ243" s="45"/>
    </row>
    <row r="244" spans="1:36" x14ac:dyDescent="0.2">
      <c r="A244" s="11"/>
      <c r="B244" s="11"/>
      <c r="C244" s="13" t="s">
        <v>1548</v>
      </c>
      <c r="D244" s="11"/>
      <c r="E244" s="11"/>
      <c r="F244" s="11"/>
      <c r="G244" s="261"/>
      <c r="H244" s="261"/>
      <c r="I244" s="261"/>
      <c r="J244" s="261"/>
      <c r="K244" s="261"/>
      <c r="L244" s="92"/>
      <c r="M244" s="92"/>
      <c r="N244" s="27"/>
      <c r="O244" s="86"/>
      <c r="P244" s="95"/>
      <c r="Q244" s="72"/>
      <c r="R244" s="45"/>
      <c r="S244" s="45"/>
      <c r="T244" s="45"/>
      <c r="U244" s="45"/>
      <c r="V244" s="45"/>
      <c r="W244" s="45"/>
      <c r="X244" s="45"/>
      <c r="Y244" s="45"/>
      <c r="Z244" s="45"/>
      <c r="AA244" s="45"/>
      <c r="AB244" s="45"/>
      <c r="AC244" s="45"/>
      <c r="AD244" s="45"/>
      <c r="AE244" s="45"/>
      <c r="AF244" s="45"/>
      <c r="AG244" s="45"/>
      <c r="AH244" s="45"/>
      <c r="AI244" s="45"/>
      <c r="AJ244" s="45"/>
    </row>
    <row r="245" spans="1:36" x14ac:dyDescent="0.2">
      <c r="A245" s="11" t="s">
        <v>4121</v>
      </c>
      <c r="C245" s="11"/>
      <c r="D245" s="11"/>
      <c r="E245" s="11"/>
      <c r="F245" s="11"/>
      <c r="G245" s="334">
        <f>kursovoy!$B$899</f>
        <v>0</v>
      </c>
      <c r="H245" s="334">
        <f>kursovoy!$B$899</f>
        <v>0</v>
      </c>
      <c r="I245" s="334">
        <f>kursovoy!$B$899</f>
        <v>0</v>
      </c>
      <c r="J245" s="334">
        <f>kursovoy!$B$899</f>
        <v>0</v>
      </c>
      <c r="K245" s="334">
        <f>kursovoy!$B$899</f>
        <v>0</v>
      </c>
      <c r="L245" s="92"/>
      <c r="M245" s="92"/>
      <c r="N245" s="27"/>
      <c r="O245" s="86"/>
      <c r="P245" s="95"/>
      <c r="Q245" s="72"/>
      <c r="R245" s="45"/>
      <c r="S245" s="45"/>
      <c r="T245" s="45"/>
      <c r="U245" s="45"/>
      <c r="V245" s="45"/>
      <c r="W245" s="45"/>
      <c r="X245" s="45"/>
      <c r="Y245" s="45"/>
      <c r="Z245" s="45"/>
      <c r="AA245" s="45"/>
      <c r="AB245" s="45"/>
      <c r="AC245" s="45"/>
      <c r="AD245" s="45"/>
      <c r="AE245" s="45"/>
      <c r="AF245" s="45"/>
      <c r="AG245" s="45"/>
      <c r="AH245" s="45"/>
      <c r="AI245" s="45"/>
      <c r="AJ245" s="45"/>
    </row>
    <row r="246" spans="1:36" x14ac:dyDescent="0.2">
      <c r="A246" s="11" t="s">
        <v>4126</v>
      </c>
      <c r="C246" s="11"/>
      <c r="D246" s="11"/>
      <c r="E246" s="11"/>
      <c r="F246" s="11"/>
      <c r="G246" s="334">
        <f>kursovoy!$B$900</f>
        <v>0</v>
      </c>
      <c r="H246" s="334">
        <f>kursovoy!$B$900</f>
        <v>0</v>
      </c>
      <c r="I246" s="334">
        <f>kursovoy!$B$900</f>
        <v>0</v>
      </c>
      <c r="J246" s="334">
        <f>kursovoy!$B$900</f>
        <v>0</v>
      </c>
      <c r="K246" s="334">
        <f>kursovoy!$B$900</f>
        <v>0</v>
      </c>
      <c r="L246" s="92"/>
      <c r="M246" s="92"/>
      <c r="N246" s="27"/>
      <c r="O246" s="86"/>
      <c r="P246" s="95"/>
      <c r="Q246" s="72"/>
      <c r="R246" s="45"/>
      <c r="S246" s="45"/>
      <c r="T246" s="45"/>
      <c r="U246" s="45"/>
      <c r="V246" s="45"/>
      <c r="W246" s="45"/>
      <c r="X246" s="45"/>
      <c r="Y246" s="45"/>
      <c r="Z246" s="45"/>
      <c r="AA246" s="45"/>
      <c r="AB246" s="45"/>
      <c r="AC246" s="45"/>
      <c r="AD246" s="45"/>
      <c r="AE246" s="45"/>
      <c r="AF246" s="45"/>
      <c r="AG246" s="45"/>
      <c r="AH246" s="45"/>
      <c r="AI246" s="45"/>
      <c r="AJ246" s="45"/>
    </row>
    <row r="247" spans="1:36" x14ac:dyDescent="0.2">
      <c r="A247" s="11" t="s">
        <v>4943</v>
      </c>
      <c r="C247" s="11"/>
      <c r="D247" s="11"/>
      <c r="E247" s="11"/>
      <c r="F247" s="11"/>
      <c r="G247" s="334">
        <f>IF(kursovoy!$B$500=1,1,kursovoy!$B$901)</f>
        <v>0</v>
      </c>
      <c r="H247" s="334">
        <f>IF(kursovoy!$B$500=1,1,kursovoy!$B$901)</f>
        <v>0</v>
      </c>
      <c r="I247" s="334">
        <f>IF(kursovoy!$B$500=1,1,kursovoy!$B$901)</f>
        <v>0</v>
      </c>
      <c r="J247" s="334">
        <f>IF(kursovoy!$B$500=1,1,kursovoy!$B$901)</f>
        <v>0</v>
      </c>
      <c r="K247" s="334">
        <f>IF(kursovoy!$B$500=1,1,kursovoy!$B$901)</f>
        <v>0</v>
      </c>
      <c r="L247" s="92"/>
      <c r="M247" s="92"/>
      <c r="N247" s="27"/>
      <c r="O247" s="86"/>
      <c r="P247" s="95"/>
      <c r="Q247" s="72"/>
      <c r="R247" s="45"/>
      <c r="S247" s="45"/>
      <c r="T247" s="45"/>
      <c r="U247" s="45"/>
      <c r="V247" s="45"/>
      <c r="W247" s="45"/>
      <c r="X247" s="45"/>
      <c r="Y247" s="45"/>
      <c r="Z247" s="45"/>
      <c r="AA247" s="45"/>
      <c r="AB247" s="45"/>
      <c r="AC247" s="45"/>
      <c r="AD247" s="45"/>
      <c r="AE247" s="45"/>
      <c r="AF247" s="45"/>
      <c r="AG247" s="45"/>
      <c r="AH247" s="45"/>
      <c r="AI247" s="45"/>
      <c r="AJ247" s="45"/>
    </row>
    <row r="248" spans="1:36" ht="18" x14ac:dyDescent="0.25">
      <c r="A248" s="92" t="s">
        <v>1828</v>
      </c>
      <c r="B248" s="453"/>
      <c r="C248" s="92"/>
      <c r="D248" s="92"/>
      <c r="E248" s="92"/>
      <c r="F248" s="92"/>
      <c r="G248" s="92"/>
      <c r="H248" s="92"/>
      <c r="I248" s="92"/>
      <c r="J248" s="92"/>
      <c r="K248" s="92"/>
      <c r="L248" s="92"/>
      <c r="M248" s="92"/>
      <c r="N248" s="27"/>
      <c r="O248" s="86"/>
      <c r="P248" s="95"/>
      <c r="Q248" s="72"/>
      <c r="R248" s="45"/>
      <c r="S248" s="45"/>
      <c r="T248" s="45"/>
      <c r="U248" s="45"/>
      <c r="V248" s="45"/>
      <c r="W248" s="45"/>
      <c r="X248" s="45"/>
      <c r="Y248" s="45"/>
      <c r="Z248" s="45"/>
      <c r="AA248" s="45"/>
      <c r="AB248" s="45"/>
      <c r="AC248" s="45"/>
      <c r="AD248" s="45"/>
      <c r="AE248" s="45"/>
      <c r="AF248" s="45"/>
      <c r="AG248" s="45"/>
      <c r="AH248" s="45"/>
      <c r="AI248" s="45"/>
      <c r="AJ248" s="45"/>
    </row>
    <row r="249" spans="1:36" x14ac:dyDescent="0.2">
      <c r="A249" s="11" t="s">
        <v>4122</v>
      </c>
      <c r="C249" s="11"/>
      <c r="D249" s="11"/>
      <c r="E249" s="11"/>
      <c r="F249" s="11"/>
      <c r="G249" s="334">
        <v>1</v>
      </c>
      <c r="H249" s="334">
        <v>1</v>
      </c>
      <c r="I249" s="334">
        <v>1</v>
      </c>
      <c r="J249" s="334">
        <v>1</v>
      </c>
      <c r="K249" s="334">
        <v>1</v>
      </c>
      <c r="L249" s="92"/>
      <c r="M249" s="92"/>
      <c r="N249" s="27"/>
      <c r="O249" s="86"/>
      <c r="P249" s="95"/>
      <c r="Q249" s="72"/>
      <c r="R249" s="45"/>
      <c r="S249" s="45"/>
      <c r="T249" s="45"/>
      <c r="U249" s="45"/>
      <c r="V249" s="45"/>
      <c r="W249" s="45"/>
      <c r="X249" s="45"/>
      <c r="Y249" s="45"/>
      <c r="Z249" s="45"/>
      <c r="AA249" s="45"/>
      <c r="AB249" s="45"/>
      <c r="AC249" s="45"/>
      <c r="AD249" s="45"/>
      <c r="AE249" s="45"/>
      <c r="AF249" s="45"/>
      <c r="AG249" s="45"/>
      <c r="AH249" s="45"/>
      <c r="AI249" s="45"/>
      <c r="AJ249" s="45"/>
    </row>
    <row r="250" spans="1:36" x14ac:dyDescent="0.2">
      <c r="A250" s="11" t="s">
        <v>4123</v>
      </c>
      <c r="C250" s="11"/>
      <c r="D250" s="11"/>
      <c r="E250" s="11"/>
      <c r="F250" s="11"/>
      <c r="G250" s="334">
        <v>0</v>
      </c>
      <c r="H250" s="334">
        <v>0</v>
      </c>
      <c r="I250" s="334">
        <v>0</v>
      </c>
      <c r="J250" s="334">
        <v>0</v>
      </c>
      <c r="K250" s="334">
        <v>0</v>
      </c>
      <c r="L250" s="92"/>
      <c r="M250" s="92"/>
      <c r="N250" s="27"/>
      <c r="O250" s="86"/>
      <c r="P250" s="95"/>
      <c r="Q250" s="72"/>
      <c r="R250" s="45"/>
      <c r="S250" s="45"/>
      <c r="T250" s="45"/>
      <c r="U250" s="45"/>
      <c r="V250" s="45"/>
      <c r="W250" s="45"/>
      <c r="X250" s="45"/>
      <c r="Y250" s="45"/>
      <c r="Z250" s="45"/>
      <c r="AA250" s="45"/>
      <c r="AB250" s="45"/>
      <c r="AC250" s="45"/>
      <c r="AD250" s="45"/>
      <c r="AE250" s="45"/>
      <c r="AF250" s="45"/>
      <c r="AG250" s="45"/>
      <c r="AH250" s="45"/>
      <c r="AI250" s="45"/>
      <c r="AJ250" s="45"/>
    </row>
    <row r="251" spans="1:36" x14ac:dyDescent="0.2">
      <c r="A251" s="11" t="s">
        <v>4124</v>
      </c>
      <c r="C251" s="11"/>
      <c r="D251" s="11"/>
      <c r="E251" s="11"/>
      <c r="F251" s="11"/>
      <c r="G251" s="334" t="e">
        <f>IF(kursovoy!$B$2256=1,1,0)</f>
        <v>#VALUE!</v>
      </c>
      <c r="H251" s="334" t="e">
        <f>IF(kursovoy!$B$2256=1,1,0)</f>
        <v>#VALUE!</v>
      </c>
      <c r="I251" s="334" t="e">
        <f>IF(kursovoy!$B$2256=1,1,0)</f>
        <v>#VALUE!</v>
      </c>
      <c r="J251" s="334" t="e">
        <f>IF(kursovoy!$B$2256=1,1,0)</f>
        <v>#VALUE!</v>
      </c>
      <c r="K251" s="334" t="e">
        <f>IF(kursovoy!$B$2256=1,1,0)</f>
        <v>#VALUE!</v>
      </c>
      <c r="L251" s="92"/>
      <c r="M251" s="92"/>
      <c r="N251" s="27"/>
      <c r="O251" s="86"/>
      <c r="P251" s="95"/>
      <c r="Q251" s="72"/>
      <c r="R251" s="45"/>
      <c r="S251" s="45"/>
      <c r="T251" s="45"/>
      <c r="U251" s="45"/>
      <c r="V251" s="45"/>
      <c r="W251" s="45"/>
      <c r="X251" s="45"/>
      <c r="Y251" s="45"/>
      <c r="Z251" s="45"/>
      <c r="AA251" s="45"/>
      <c r="AB251" s="45"/>
      <c r="AC251" s="45"/>
      <c r="AD251" s="45"/>
      <c r="AE251" s="45"/>
      <c r="AF251" s="45"/>
      <c r="AG251" s="45"/>
      <c r="AH251" s="45"/>
      <c r="AI251" s="45"/>
      <c r="AJ251" s="45"/>
    </row>
    <row r="252" spans="1:36" x14ac:dyDescent="0.2">
      <c r="A252" s="62" t="s">
        <v>2363</v>
      </c>
      <c r="C252" s="62"/>
      <c r="D252" s="62"/>
      <c r="E252" s="62"/>
      <c r="F252" s="62"/>
      <c r="G252" s="1168">
        <v>0</v>
      </c>
      <c r="H252" s="1168">
        <v>0</v>
      </c>
      <c r="I252" s="1168">
        <v>0</v>
      </c>
      <c r="J252" s="1168">
        <v>0</v>
      </c>
      <c r="K252" s="1168">
        <v>0</v>
      </c>
      <c r="L252" s="92"/>
      <c r="M252" s="92"/>
      <c r="N252" s="27"/>
      <c r="O252" s="86"/>
      <c r="P252" s="95"/>
      <c r="Q252" s="72"/>
      <c r="R252" s="45"/>
      <c r="S252" s="45"/>
      <c r="T252" s="45"/>
      <c r="U252" s="45"/>
      <c r="V252" s="45"/>
      <c r="W252" s="45"/>
      <c r="X252" s="45"/>
      <c r="Y252" s="45"/>
      <c r="Z252" s="45"/>
      <c r="AA252" s="45"/>
      <c r="AB252" s="45"/>
      <c r="AC252" s="45"/>
      <c r="AD252" s="45"/>
      <c r="AE252" s="45"/>
      <c r="AF252" s="45"/>
      <c r="AG252" s="45"/>
      <c r="AH252" s="45"/>
      <c r="AI252" s="45"/>
      <c r="AJ252" s="45"/>
    </row>
    <row r="253" spans="1:36" x14ac:dyDescent="0.2">
      <c r="A253" s="11" t="s">
        <v>4125</v>
      </c>
      <c r="C253" s="11"/>
      <c r="D253" s="11"/>
      <c r="E253" s="11"/>
      <c r="F253" s="11"/>
      <c r="G253" s="1168">
        <v>0</v>
      </c>
      <c r="H253" s="1168">
        <v>0</v>
      </c>
      <c r="I253" s="1168">
        <v>0</v>
      </c>
      <c r="J253" s="1168">
        <v>0</v>
      </c>
      <c r="K253" s="1168">
        <v>0</v>
      </c>
      <c r="L253" s="92"/>
      <c r="M253" s="92"/>
      <c r="N253" s="27"/>
      <c r="O253" s="86"/>
      <c r="P253" s="95"/>
      <c r="Q253" s="72"/>
      <c r="R253" s="45"/>
      <c r="S253" s="45"/>
      <c r="T253" s="45"/>
      <c r="U253" s="45"/>
      <c r="V253" s="45"/>
      <c r="W253" s="45"/>
      <c r="X253" s="45"/>
      <c r="Y253" s="45"/>
      <c r="Z253" s="45"/>
      <c r="AA253" s="45"/>
      <c r="AB253" s="45"/>
      <c r="AC253" s="45"/>
      <c r="AD253" s="45"/>
      <c r="AE253" s="45"/>
      <c r="AF253" s="45"/>
      <c r="AG253" s="45"/>
      <c r="AH253" s="45"/>
      <c r="AI253" s="45"/>
      <c r="AJ253" s="45"/>
    </row>
    <row r="254" spans="1:36" ht="18" x14ac:dyDescent="0.25">
      <c r="A254" s="92" t="s">
        <v>1827</v>
      </c>
      <c r="B254" s="453"/>
      <c r="C254" s="92"/>
      <c r="D254" s="92"/>
      <c r="E254" s="92"/>
      <c r="F254" s="92"/>
      <c r="G254" s="92"/>
      <c r="H254" s="92"/>
      <c r="I254" s="92"/>
      <c r="J254" s="92"/>
      <c r="K254" s="92"/>
      <c r="L254" s="92"/>
      <c r="M254" s="92"/>
      <c r="N254" s="27"/>
      <c r="O254" s="86"/>
      <c r="P254" s="95"/>
      <c r="Q254" s="72"/>
      <c r="R254" s="45"/>
      <c r="S254" s="45"/>
      <c r="T254" s="45"/>
      <c r="U254" s="45"/>
      <c r="V254" s="45"/>
      <c r="W254" s="45"/>
      <c r="X254" s="45"/>
      <c r="Y254" s="45"/>
      <c r="Z254" s="45"/>
      <c r="AA254" s="45"/>
      <c r="AB254" s="45"/>
      <c r="AC254" s="45"/>
      <c r="AD254" s="45"/>
      <c r="AE254" s="45"/>
      <c r="AF254" s="45"/>
      <c r="AG254" s="45"/>
      <c r="AH254" s="45"/>
      <c r="AI254" s="45"/>
      <c r="AJ254" s="45"/>
    </row>
    <row r="255" spans="1:36" x14ac:dyDescent="0.2">
      <c r="A255" s="11" t="s">
        <v>4122</v>
      </c>
      <c r="C255" s="11"/>
      <c r="D255" s="11"/>
      <c r="E255" s="11"/>
      <c r="F255" s="11"/>
      <c r="G255" s="334">
        <v>1</v>
      </c>
      <c r="H255" s="334">
        <v>1</v>
      </c>
      <c r="I255" s="334">
        <v>1</v>
      </c>
      <c r="J255" s="334">
        <v>1</v>
      </c>
      <c r="K255" s="334">
        <v>1</v>
      </c>
      <c r="L255" s="92"/>
      <c r="M255" s="92"/>
      <c r="N255" s="27"/>
      <c r="O255" s="86"/>
      <c r="P255" s="95"/>
      <c r="Q255" s="72"/>
      <c r="R255" s="45"/>
      <c r="S255" s="45"/>
      <c r="T255" s="45"/>
      <c r="U255" s="45"/>
      <c r="V255" s="45"/>
      <c r="W255" s="45"/>
      <c r="X255" s="45"/>
      <c r="Y255" s="45"/>
      <c r="Z255" s="45"/>
      <c r="AA255" s="45"/>
      <c r="AB255" s="45"/>
      <c r="AC255" s="45"/>
      <c r="AD255" s="45"/>
      <c r="AE255" s="45"/>
      <c r="AF255" s="45"/>
      <c r="AG255" s="45"/>
      <c r="AH255" s="45"/>
      <c r="AI255" s="45"/>
      <c r="AJ255" s="45"/>
    </row>
    <row r="256" spans="1:36" x14ac:dyDescent="0.2">
      <c r="A256" s="11" t="s">
        <v>4123</v>
      </c>
      <c r="C256" s="11"/>
      <c r="D256" s="11"/>
      <c r="E256" s="11"/>
      <c r="F256" s="11"/>
      <c r="G256" s="334" t="e">
        <f>IF(kursovoy!$B$2275=1,0,1)</f>
        <v>#VALUE!</v>
      </c>
      <c r="H256" s="334" t="e">
        <f>IF(kursovoy!$B$2275=1,0,1)</f>
        <v>#VALUE!</v>
      </c>
      <c r="I256" s="334" t="e">
        <f>IF(kursovoy!$B$2275=1,0,1)</f>
        <v>#VALUE!</v>
      </c>
      <c r="J256" s="334" t="e">
        <f>IF(kursovoy!$B$2275=1,0,1)</f>
        <v>#VALUE!</v>
      </c>
      <c r="K256" s="334" t="e">
        <f>IF(kursovoy!$B$2275=1,0,1)</f>
        <v>#VALUE!</v>
      </c>
      <c r="L256" s="92"/>
      <c r="M256" s="92"/>
      <c r="N256" s="27"/>
      <c r="O256" s="86"/>
      <c r="P256" s="95"/>
      <c r="Q256" s="72"/>
      <c r="R256" s="45"/>
      <c r="S256" s="45"/>
      <c r="T256" s="45"/>
      <c r="U256" s="45"/>
      <c r="V256" s="45"/>
      <c r="W256" s="45"/>
      <c r="X256" s="45"/>
      <c r="Y256" s="45"/>
      <c r="Z256" s="45"/>
      <c r="AA256" s="45"/>
      <c r="AB256" s="45"/>
      <c r="AC256" s="45"/>
      <c r="AD256" s="45"/>
      <c r="AE256" s="45"/>
      <c r="AF256" s="45"/>
      <c r="AG256" s="45"/>
      <c r="AH256" s="45"/>
      <c r="AI256" s="45"/>
      <c r="AJ256" s="45"/>
    </row>
    <row r="257" spans="1:36" x14ac:dyDescent="0.2">
      <c r="A257" s="11" t="s">
        <v>4124</v>
      </c>
      <c r="C257" s="11"/>
      <c r="D257" s="11"/>
      <c r="E257" s="11"/>
      <c r="F257" s="11"/>
      <c r="G257" s="334" t="e">
        <f>IF(kursovoy!$B$2266=1,1,0)</f>
        <v>#VALUE!</v>
      </c>
      <c r="H257" s="334" t="e">
        <f>IF(kursovoy!$B$2266=1,1,0)</f>
        <v>#VALUE!</v>
      </c>
      <c r="I257" s="334" t="e">
        <f>IF(kursovoy!$B$2266=1,1,0)</f>
        <v>#VALUE!</v>
      </c>
      <c r="J257" s="334" t="e">
        <f>IF(kursovoy!$B$2266=1,1,0)</f>
        <v>#VALUE!</v>
      </c>
      <c r="K257" s="334" t="e">
        <f>IF(kursovoy!$B$2266=1,1,0)</f>
        <v>#VALUE!</v>
      </c>
      <c r="L257" s="92"/>
      <c r="M257" s="92"/>
      <c r="N257" s="27"/>
      <c r="O257" s="86"/>
      <c r="P257" s="95"/>
      <c r="Q257" s="72"/>
      <c r="R257" s="45"/>
      <c r="S257" s="45"/>
      <c r="T257" s="45"/>
      <c r="U257" s="45"/>
      <c r="V257" s="45"/>
      <c r="W257" s="45"/>
      <c r="X257" s="45"/>
      <c r="Y257" s="45"/>
      <c r="Z257" s="45"/>
      <c r="AA257" s="45"/>
      <c r="AB257" s="45"/>
      <c r="AC257" s="45"/>
      <c r="AD257" s="45"/>
      <c r="AE257" s="45"/>
      <c r="AF257" s="45"/>
      <c r="AG257" s="45"/>
      <c r="AH257" s="45"/>
      <c r="AI257" s="45"/>
      <c r="AJ257" s="45"/>
    </row>
    <row r="258" spans="1:36" x14ac:dyDescent="0.2">
      <c r="A258" s="4375" t="s">
        <v>960</v>
      </c>
      <c r="B258" s="4373"/>
      <c r="C258" s="4373"/>
      <c r="D258" s="4373"/>
      <c r="E258" s="4373"/>
      <c r="F258" s="62"/>
      <c r="G258" s="334" t="e">
        <f>IF(kursovoy!$B$2276=3,1,0)</f>
        <v>#VALUE!</v>
      </c>
      <c r="H258" s="334" t="e">
        <f>IF(kursovoy!$B$2276=3,1,0)</f>
        <v>#VALUE!</v>
      </c>
      <c r="I258" s="334" t="e">
        <f>IF(kursovoy!$B$2276=3,1,0)</f>
        <v>#VALUE!</v>
      </c>
      <c r="J258" s="334" t="e">
        <f>IF(kursovoy!$B$2276=3,1,0)</f>
        <v>#VALUE!</v>
      </c>
      <c r="K258" s="334" t="e">
        <f>IF(kursovoy!$B$2276=3,1,0)</f>
        <v>#VALUE!</v>
      </c>
      <c r="L258" s="92"/>
      <c r="M258" s="92"/>
      <c r="N258" s="27"/>
      <c r="O258" s="86"/>
      <c r="P258" s="95"/>
      <c r="Q258" s="72"/>
      <c r="R258" s="45"/>
      <c r="S258" s="45"/>
      <c r="T258" s="45"/>
      <c r="U258" s="45"/>
      <c r="V258" s="45"/>
      <c r="W258" s="45"/>
      <c r="X258" s="45"/>
      <c r="Y258" s="45"/>
      <c r="Z258" s="45"/>
      <c r="AA258" s="45"/>
      <c r="AB258" s="45"/>
      <c r="AC258" s="45"/>
      <c r="AD258" s="45"/>
      <c r="AE258" s="45"/>
      <c r="AF258" s="45"/>
      <c r="AG258" s="45"/>
      <c r="AH258" s="45"/>
      <c r="AI258" s="45"/>
      <c r="AJ258" s="45"/>
    </row>
    <row r="259" spans="1:36" x14ac:dyDescent="0.2">
      <c r="A259" s="11" t="s">
        <v>4125</v>
      </c>
      <c r="C259" s="11"/>
      <c r="D259" s="11"/>
      <c r="E259" s="11"/>
      <c r="F259" s="11"/>
      <c r="G259" s="334">
        <v>0</v>
      </c>
      <c r="H259" s="334">
        <v>0</v>
      </c>
      <c r="I259" s="334">
        <v>0</v>
      </c>
      <c r="J259" s="334">
        <v>0</v>
      </c>
      <c r="K259" s="334">
        <v>0</v>
      </c>
      <c r="L259" s="92"/>
      <c r="M259" s="92"/>
      <c r="N259" s="27"/>
      <c r="O259" s="86"/>
      <c r="P259" s="95"/>
      <c r="Q259" s="72"/>
      <c r="R259" s="45"/>
      <c r="S259" s="45"/>
      <c r="T259" s="45"/>
      <c r="U259" s="45"/>
      <c r="V259" s="45"/>
      <c r="W259" s="45"/>
      <c r="X259" s="45"/>
      <c r="Y259" s="45"/>
      <c r="Z259" s="45"/>
      <c r="AA259" s="45"/>
      <c r="AB259" s="45"/>
      <c r="AC259" s="45"/>
      <c r="AD259" s="45"/>
      <c r="AE259" s="45"/>
      <c r="AF259" s="45"/>
      <c r="AG259" s="45"/>
      <c r="AH259" s="45"/>
      <c r="AI259" s="45"/>
      <c r="AJ259" s="45"/>
    </row>
    <row r="260" spans="1:36" ht="15.75" x14ac:dyDescent="0.25">
      <c r="A260" s="72" t="s">
        <v>4116</v>
      </c>
      <c r="B260" s="66"/>
      <c r="C260" s="72"/>
      <c r="D260" s="74"/>
      <c r="E260" s="72"/>
      <c r="F260" s="72"/>
      <c r="G260" s="1098">
        <v>0</v>
      </c>
      <c r="H260" s="1098">
        <v>0</v>
      </c>
      <c r="I260" s="1098">
        <v>0</v>
      </c>
      <c r="J260" s="1098">
        <v>0</v>
      </c>
      <c r="K260" s="1098">
        <v>0</v>
      </c>
      <c r="L260" s="92"/>
      <c r="M260" s="92"/>
      <c r="N260" s="27"/>
      <c r="O260" s="86"/>
      <c r="P260" s="95"/>
      <c r="Q260" s="72"/>
      <c r="R260" s="45"/>
      <c r="S260" s="45"/>
      <c r="T260" s="45"/>
      <c r="U260" s="45"/>
      <c r="V260" s="45"/>
      <c r="W260" s="45"/>
      <c r="X260" s="45"/>
      <c r="Y260" s="45"/>
      <c r="Z260" s="45"/>
      <c r="AA260" s="45"/>
      <c r="AB260" s="45"/>
      <c r="AC260" s="45"/>
      <c r="AD260" s="45"/>
      <c r="AE260" s="45"/>
      <c r="AF260" s="45"/>
      <c r="AG260" s="45"/>
      <c r="AH260" s="45"/>
      <c r="AI260" s="45"/>
      <c r="AJ260" s="45"/>
    </row>
    <row r="261" spans="1:36" ht="15.75" x14ac:dyDescent="0.25">
      <c r="A261" s="72" t="s">
        <v>3702</v>
      </c>
      <c r="B261" s="66"/>
      <c r="C261" s="72"/>
      <c r="D261" s="74"/>
      <c r="E261" s="72"/>
      <c r="F261" s="72"/>
      <c r="G261" s="333">
        <f>$G$55</f>
        <v>0.98</v>
      </c>
      <c r="H261" s="333">
        <f>$G$55</f>
        <v>0.98</v>
      </c>
      <c r="I261" s="333">
        <f>$G$55</f>
        <v>0.98</v>
      </c>
      <c r="J261" s="333">
        <f>$G$55</f>
        <v>0.98</v>
      </c>
      <c r="K261" s="333">
        <f>$G$55</f>
        <v>0.98</v>
      </c>
      <c r="L261" s="92"/>
      <c r="M261" s="92"/>
      <c r="N261" s="27"/>
      <c r="O261" s="86"/>
      <c r="P261" s="95"/>
      <c r="Q261" s="72"/>
      <c r="R261" s="45"/>
      <c r="S261" s="45"/>
      <c r="T261" s="45"/>
      <c r="U261" s="45"/>
      <c r="V261" s="45"/>
      <c r="W261" s="45"/>
      <c r="X261" s="45"/>
      <c r="Y261" s="45"/>
      <c r="Z261" s="45"/>
      <c r="AA261" s="45"/>
      <c r="AB261" s="45"/>
      <c r="AC261" s="45"/>
      <c r="AD261" s="45"/>
      <c r="AE261" s="45"/>
      <c r="AF261" s="45"/>
      <c r="AG261" s="45"/>
      <c r="AH261" s="45"/>
      <c r="AI261" s="45"/>
      <c r="AJ261" s="45"/>
    </row>
    <row r="262" spans="1:36" x14ac:dyDescent="0.2">
      <c r="A262" s="4438" t="s">
        <v>3764</v>
      </c>
      <c r="B262" s="4438"/>
      <c r="C262" s="4438"/>
      <c r="D262" s="4438"/>
      <c r="E262" s="4438"/>
      <c r="F262" s="89"/>
      <c r="G262" s="342" t="str">
        <f>IF(kursovoy!$B$500=3,2,IF(kursovoy!$B$500=1,1,"Ты дурак"))</f>
        <v>Ты дурак</v>
      </c>
      <c r="H262" s="342" t="str">
        <f>IF(kursovoy!$B$500=3,2,IF(kursovoy!$B$500=1,1,"Ты дурак"))</f>
        <v>Ты дурак</v>
      </c>
      <c r="I262" s="342" t="str">
        <f>IF(kursovoy!$B$500=3,2,IF(kursovoy!$B$500=1,1,"Ты дурак"))</f>
        <v>Ты дурак</v>
      </c>
      <c r="J262" s="342" t="str">
        <f>IF(kursovoy!$B$500=3,2,IF(kursovoy!$B$500=1,1,"Ты дурак"))</f>
        <v>Ты дурак</v>
      </c>
      <c r="K262" s="342" t="str">
        <f>IF(kursovoy!$B$500=3,2,IF(kursovoy!$B$500=1,1,"Ты дурак"))</f>
        <v>Ты дурак</v>
      </c>
      <c r="L262" s="92"/>
      <c r="M262" s="92"/>
      <c r="N262" s="27"/>
      <c r="O262" s="86"/>
      <c r="P262" s="95"/>
      <c r="Q262" s="72"/>
      <c r="R262" s="45"/>
      <c r="S262" s="45"/>
      <c r="T262" s="45"/>
      <c r="U262" s="45"/>
      <c r="V262" s="45"/>
      <c r="W262" s="45"/>
      <c r="X262" s="45"/>
      <c r="Y262" s="45"/>
      <c r="Z262" s="45"/>
      <c r="AA262" s="45"/>
      <c r="AB262" s="45"/>
      <c r="AC262" s="45"/>
      <c r="AD262" s="45"/>
      <c r="AE262" s="45"/>
      <c r="AF262" s="45"/>
      <c r="AG262" s="45"/>
      <c r="AH262" s="45"/>
      <c r="AI262" s="45"/>
      <c r="AJ262" s="45"/>
    </row>
    <row r="263" spans="1:36" x14ac:dyDescent="0.2">
      <c r="A263" s="11"/>
      <c r="B263" s="83" t="str">
        <f>IF(G262=1,"Индивидуальная крепь","Переходите к строке")</f>
        <v>Переходите к строке</v>
      </c>
      <c r="D263" s="83"/>
      <c r="E263" s="83" t="str">
        <f>IF(G262=2,ROW(#REF!),"")</f>
        <v/>
      </c>
      <c r="F263" s="83"/>
      <c r="G263" s="259"/>
      <c r="H263" s="259"/>
      <c r="I263" s="259"/>
      <c r="J263" s="259"/>
      <c r="K263" s="259"/>
      <c r="L263" s="92"/>
      <c r="M263" s="92"/>
      <c r="N263" s="27"/>
      <c r="O263" s="86"/>
      <c r="P263" s="95"/>
      <c r="Q263" s="72"/>
      <c r="R263" s="45"/>
      <c r="S263" s="45"/>
      <c r="T263" s="45"/>
      <c r="U263" s="45"/>
      <c r="V263" s="45"/>
      <c r="W263" s="45"/>
      <c r="X263" s="45"/>
      <c r="Y263" s="45"/>
      <c r="Z263" s="45"/>
      <c r="AA263" s="45"/>
      <c r="AB263" s="45"/>
      <c r="AC263" s="45"/>
      <c r="AD263" s="45"/>
      <c r="AE263" s="45"/>
      <c r="AF263" s="45"/>
      <c r="AG263" s="45"/>
      <c r="AH263" s="45"/>
      <c r="AI263" s="45"/>
      <c r="AJ263" s="45"/>
    </row>
    <row r="264" spans="1:36" x14ac:dyDescent="0.2">
      <c r="A264" s="70" t="s">
        <v>1752</v>
      </c>
      <c r="B264" s="70"/>
      <c r="C264" s="70"/>
      <c r="D264" s="70"/>
      <c r="E264" s="70"/>
      <c r="F264" s="70"/>
      <c r="G264" s="1092">
        <f>обор!$H$833</f>
        <v>0</v>
      </c>
      <c r="H264" s="1092">
        <f>обор!$H$833</f>
        <v>0</v>
      </c>
      <c r="I264" s="1092">
        <f>обор!$H$833</f>
        <v>0</v>
      </c>
      <c r="J264" s="1092">
        <f>обор!$H$833</f>
        <v>0</v>
      </c>
      <c r="K264" s="1092">
        <f>обор!$H$833</f>
        <v>0</v>
      </c>
      <c r="L264" s="92"/>
      <c r="M264" s="92"/>
      <c r="N264" s="27"/>
      <c r="O264" s="86"/>
      <c r="P264" s="95"/>
      <c r="Q264" s="72"/>
      <c r="R264" s="45"/>
      <c r="S264" s="45"/>
      <c r="T264" s="45"/>
      <c r="U264" s="45"/>
      <c r="V264" s="45"/>
      <c r="W264" s="45"/>
      <c r="X264" s="45"/>
      <c r="Y264" s="45"/>
      <c r="Z264" s="45"/>
      <c r="AA264" s="45"/>
      <c r="AB264" s="45"/>
      <c r="AC264" s="45"/>
      <c r="AD264" s="45"/>
      <c r="AE264" s="45"/>
      <c r="AF264" s="45"/>
      <c r="AG264" s="45"/>
      <c r="AH264" s="45"/>
      <c r="AI264" s="45"/>
      <c r="AJ264" s="45"/>
    </row>
    <row r="265" spans="1:36" x14ac:dyDescent="0.2">
      <c r="A265" s="70" t="str">
        <f>IF(G262=1,"Порядок установки крепи ( 1- последовательно, 2 - через рамку)","")</f>
        <v/>
      </c>
      <c r="B265" s="70"/>
      <c r="C265" s="70"/>
      <c r="D265" s="70"/>
      <c r="E265" s="70"/>
      <c r="F265" s="70"/>
      <c r="G265" s="1092">
        <f>IF(kursovoy!$B$208&gt;=3,2,1)</f>
        <v>2</v>
      </c>
      <c r="H265" s="1092">
        <f>IF(kursovoy!$B$208&gt;=3,2,1)</f>
        <v>2</v>
      </c>
      <c r="I265" s="1092">
        <f>IF(kursovoy!$B$208&gt;=3,2,1)</f>
        <v>2</v>
      </c>
      <c r="J265" s="1092">
        <f>IF(kursovoy!$B$208&gt;=3,2,1)</f>
        <v>2</v>
      </c>
      <c r="K265" s="1092">
        <f>IF(kursovoy!$B$208&gt;=3,2,1)</f>
        <v>2</v>
      </c>
      <c r="L265" s="92"/>
      <c r="M265" s="92"/>
      <c r="N265" s="27"/>
      <c r="O265" s="86"/>
      <c r="P265" s="95"/>
      <c r="Q265" s="72"/>
      <c r="R265" s="45"/>
      <c r="S265" s="45"/>
      <c r="T265" s="45"/>
      <c r="U265" s="45"/>
      <c r="V265" s="45"/>
      <c r="W265" s="45"/>
      <c r="X265" s="45"/>
      <c r="Y265" s="45"/>
      <c r="Z265" s="45"/>
      <c r="AA265" s="45"/>
      <c r="AB265" s="45"/>
      <c r="AC265" s="45"/>
      <c r="AD265" s="45"/>
      <c r="AE265" s="45"/>
      <c r="AF265" s="45"/>
      <c r="AG265" s="45"/>
      <c r="AH265" s="45"/>
      <c r="AI265" s="45"/>
      <c r="AJ265" s="45"/>
    </row>
    <row r="266" spans="1:36" x14ac:dyDescent="0.2">
      <c r="A266" s="70" t="str">
        <f>IF(G262=1,"Применяемый верхняк ( 1 - обычный, 2 - с выдвижной консолью)","")</f>
        <v/>
      </c>
      <c r="B266" s="70"/>
      <c r="C266" s="70"/>
      <c r="D266" s="70"/>
      <c r="E266" s="70"/>
      <c r="F266" s="70"/>
      <c r="G266" s="1092">
        <v>2</v>
      </c>
      <c r="H266" s="1092">
        <v>2</v>
      </c>
      <c r="I266" s="1092">
        <v>2</v>
      </c>
      <c r="J266" s="1092">
        <v>2</v>
      </c>
      <c r="K266" s="1092">
        <v>2</v>
      </c>
      <c r="L266" s="92"/>
      <c r="M266" s="92"/>
      <c r="N266" s="27"/>
      <c r="O266" s="86"/>
      <c r="P266" s="95"/>
      <c r="Q266" s="72"/>
      <c r="R266" s="45"/>
      <c r="S266" s="45"/>
      <c r="T266" s="45"/>
      <c r="U266" s="45"/>
      <c r="V266" s="45"/>
      <c r="W266" s="45"/>
      <c r="X266" s="45"/>
      <c r="Y266" s="45"/>
      <c r="Z266" s="45"/>
      <c r="AA266" s="45"/>
      <c r="AB266" s="45"/>
      <c r="AC266" s="45"/>
      <c r="AD266" s="45"/>
      <c r="AE266" s="45"/>
      <c r="AF266" s="45"/>
      <c r="AG266" s="45"/>
      <c r="AH266" s="45"/>
      <c r="AI266" s="45"/>
      <c r="AJ266" s="45"/>
    </row>
    <row r="267" spans="1:36" x14ac:dyDescent="0.2">
      <c r="A267" s="4440" t="s">
        <v>4944</v>
      </c>
      <c r="B267" s="4440"/>
      <c r="C267" s="4440"/>
      <c r="D267" s="4440"/>
      <c r="E267" s="4440"/>
      <c r="F267" s="72"/>
      <c r="G267" s="338">
        <f>kursovoy!$B$917</f>
        <v>0</v>
      </c>
      <c r="H267" s="338">
        <f>kursovoy!$B$917</f>
        <v>0</v>
      </c>
      <c r="I267" s="338">
        <f>kursovoy!$B$917</f>
        <v>0</v>
      </c>
      <c r="J267" s="338">
        <f>kursovoy!$B$917</f>
        <v>0</v>
      </c>
      <c r="K267" s="338">
        <f>kursovoy!$B$917</f>
        <v>0</v>
      </c>
      <c r="L267" s="92"/>
      <c r="M267" s="92"/>
      <c r="N267" s="27"/>
      <c r="O267" s="86"/>
      <c r="P267" s="95"/>
      <c r="Q267" s="72"/>
      <c r="R267" s="45"/>
      <c r="S267" s="45"/>
      <c r="T267" s="45"/>
      <c r="U267" s="45"/>
      <c r="V267" s="45"/>
      <c r="W267" s="45"/>
      <c r="X267" s="45"/>
      <c r="Y267" s="45"/>
      <c r="Z267" s="45"/>
      <c r="AA267" s="45"/>
      <c r="AB267" s="45"/>
      <c r="AC267" s="45"/>
      <c r="AD267" s="45"/>
      <c r="AE267" s="45"/>
      <c r="AF267" s="45"/>
      <c r="AG267" s="45"/>
      <c r="AH267" s="45"/>
      <c r="AI267" s="45"/>
      <c r="AJ267" s="45"/>
    </row>
    <row r="268" spans="1:36" ht="15" x14ac:dyDescent="0.2">
      <c r="A268" s="409" t="s">
        <v>800</v>
      </c>
      <c r="B268" s="200"/>
      <c r="C268" s="200"/>
      <c r="D268" s="200"/>
      <c r="E268" s="200"/>
      <c r="F268" s="200"/>
      <c r="H268" s="27"/>
      <c r="I268" s="30"/>
      <c r="J268" s="30"/>
      <c r="K268" s="30"/>
      <c r="L268" s="92"/>
      <c r="M268" s="92"/>
      <c r="N268" s="27"/>
      <c r="O268" s="86"/>
      <c r="P268" s="95"/>
      <c r="Q268" s="72"/>
      <c r="R268" s="45"/>
      <c r="S268" s="45"/>
      <c r="T268" s="45"/>
      <c r="U268" s="45"/>
      <c r="V268" s="45"/>
      <c r="W268" s="45"/>
      <c r="X268" s="45"/>
      <c r="Y268" s="45"/>
      <c r="Z268" s="45"/>
      <c r="AA268" s="45"/>
      <c r="AB268" s="45"/>
      <c r="AC268" s="45"/>
      <c r="AD268" s="45"/>
      <c r="AE268" s="45"/>
      <c r="AF268" s="45"/>
      <c r="AG268" s="45"/>
      <c r="AH268" s="45"/>
      <c r="AI268" s="45"/>
      <c r="AJ268" s="45"/>
    </row>
    <row r="269" spans="1:36" ht="15" x14ac:dyDescent="0.2">
      <c r="A269" s="409" t="s">
        <v>801</v>
      </c>
      <c r="B269" s="200"/>
      <c r="C269" s="200"/>
      <c r="D269" s="200"/>
      <c r="E269" s="200"/>
      <c r="F269" s="200"/>
      <c r="H269" s="27"/>
      <c r="I269" s="30"/>
      <c r="J269" s="30"/>
      <c r="K269" s="30"/>
      <c r="L269" s="92"/>
      <c r="M269" s="92"/>
      <c r="N269" s="27"/>
      <c r="O269" s="86"/>
      <c r="P269" s="95"/>
      <c r="Q269" s="72"/>
      <c r="R269" s="45"/>
      <c r="S269" s="45"/>
      <c r="T269" s="45"/>
      <c r="U269" s="45"/>
      <c r="V269" s="45"/>
      <c r="W269" s="45"/>
      <c r="X269" s="45"/>
      <c r="Y269" s="45"/>
      <c r="Z269" s="45"/>
      <c r="AA269" s="45"/>
      <c r="AB269" s="45"/>
      <c r="AC269" s="45"/>
      <c r="AD269" s="45"/>
      <c r="AE269" s="45"/>
      <c r="AF269" s="45"/>
      <c r="AG269" s="45"/>
      <c r="AH269" s="45"/>
      <c r="AI269" s="45"/>
      <c r="AJ269" s="45"/>
    </row>
    <row r="270" spans="1:36" ht="15.75" x14ac:dyDescent="0.25">
      <c r="A270" s="62" t="str">
        <f>IF(G267=0,"Информация о ленточных конвейерах в строке","Не вводить")</f>
        <v>Информация о ленточных конвейерах в строке</v>
      </c>
      <c r="B270" s="62"/>
      <c r="C270" s="62"/>
      <c r="D270" s="62"/>
      <c r="E270" s="410">
        <f>IF(G267=0,ROW(675:675),"")</f>
        <v>675</v>
      </c>
      <c r="H270" s="27"/>
      <c r="I270" s="30"/>
      <c r="J270" s="30"/>
      <c r="K270" s="30"/>
      <c r="L270" s="92"/>
      <c r="M270" s="92"/>
      <c r="N270" s="27"/>
      <c r="O270" s="86"/>
      <c r="P270" s="95"/>
      <c r="Q270" s="72"/>
      <c r="R270" s="45"/>
      <c r="S270" s="45"/>
      <c r="T270" s="45"/>
      <c r="U270" s="45"/>
      <c r="V270" s="45"/>
      <c r="W270" s="45"/>
      <c r="X270" s="45"/>
      <c r="Y270" s="45"/>
      <c r="Z270" s="45"/>
      <c r="AA270" s="45"/>
      <c r="AB270" s="45"/>
      <c r="AC270" s="45"/>
      <c r="AD270" s="45"/>
      <c r="AE270" s="45"/>
      <c r="AF270" s="45"/>
      <c r="AG270" s="45"/>
      <c r="AH270" s="45"/>
      <c r="AI270" s="45"/>
      <c r="AJ270" s="45"/>
    </row>
    <row r="271" spans="1:36" ht="15.75" x14ac:dyDescent="0.25">
      <c r="A271" s="27"/>
      <c r="B271" s="11" t="str">
        <f>IF(G267=0,"1-й ленточный конвейер","Не вводить")</f>
        <v>1-й ленточный конвейер</v>
      </c>
      <c r="C271" s="11"/>
      <c r="D271" s="11"/>
      <c r="E271" s="11"/>
      <c r="F271" s="11"/>
      <c r="G271" s="60"/>
      <c r="H271" s="27"/>
      <c r="I271" s="30"/>
      <c r="J271" s="30"/>
      <c r="K271" s="30"/>
      <c r="L271" s="92"/>
      <c r="M271" s="92"/>
      <c r="N271" s="27"/>
      <c r="O271" s="86"/>
      <c r="P271" s="95"/>
      <c r="Q271" s="72"/>
      <c r="R271" s="45"/>
      <c r="S271" s="45"/>
      <c r="T271" s="45"/>
      <c r="U271" s="45"/>
      <c r="V271" s="45"/>
      <c r="W271" s="45"/>
      <c r="X271" s="45"/>
      <c r="Y271" s="45"/>
      <c r="Z271" s="45"/>
      <c r="AA271" s="45"/>
      <c r="AB271" s="45"/>
      <c r="AC271" s="45"/>
      <c r="AD271" s="45"/>
      <c r="AE271" s="45"/>
      <c r="AF271" s="45"/>
      <c r="AG271" s="45"/>
      <c r="AH271" s="45"/>
      <c r="AI271" s="45"/>
      <c r="AJ271" s="45"/>
    </row>
    <row r="272" spans="1:36" x14ac:dyDescent="0.2">
      <c r="A272" s="27"/>
      <c r="B272" s="11"/>
      <c r="C272" s="11" t="str">
        <f>IF(G267=0,"Номер в таблице конвейеров","Не вводить")</f>
        <v>Номер в таблице конвейеров</v>
      </c>
      <c r="D272" s="11"/>
      <c r="E272" s="11"/>
      <c r="F272" s="11"/>
      <c r="G272" s="334">
        <f>kursovoy!$B$935</f>
        <v>0</v>
      </c>
      <c r="H272" s="334">
        <f>kursovoy!$B$935</f>
        <v>0</v>
      </c>
      <c r="I272" s="334">
        <f>kursovoy!$B$935</f>
        <v>0</v>
      </c>
      <c r="J272" s="334">
        <f>kursovoy!$B$935</f>
        <v>0</v>
      </c>
      <c r="K272" s="334">
        <f>kursovoy!$B$935</f>
        <v>0</v>
      </c>
      <c r="L272" s="92"/>
      <c r="M272" s="92"/>
      <c r="N272" s="27"/>
      <c r="O272" s="86"/>
      <c r="P272" s="95"/>
      <c r="Q272" s="72"/>
      <c r="R272" s="45"/>
      <c r="S272" s="45"/>
      <c r="T272" s="45"/>
      <c r="U272" s="45"/>
      <c r="V272" s="45"/>
      <c r="W272" s="45"/>
      <c r="X272" s="45"/>
      <c r="Y272" s="45"/>
      <c r="Z272" s="45"/>
      <c r="AA272" s="45"/>
      <c r="AB272" s="45"/>
      <c r="AC272" s="45"/>
      <c r="AD272" s="45"/>
      <c r="AE272" s="45"/>
      <c r="AF272" s="45"/>
      <c r="AG272" s="45"/>
      <c r="AH272" s="45"/>
      <c r="AI272" s="45"/>
      <c r="AJ272" s="45"/>
    </row>
    <row r="273" spans="1:36" x14ac:dyDescent="0.2">
      <c r="A273" s="27"/>
      <c r="B273" s="11"/>
      <c r="C273" s="11" t="str">
        <f>IF(G267=0,"Длина, м","Не вводить")</f>
        <v>Длина, м</v>
      </c>
      <c r="D273" s="11"/>
      <c r="E273" s="11"/>
      <c r="F273" s="11"/>
      <c r="G273" s="877" t="str">
        <f>kursovoy!$B$937</f>
        <v/>
      </c>
      <c r="H273" s="877" t="str">
        <f>kursovoy!$B$937</f>
        <v/>
      </c>
      <c r="I273" s="877" t="str">
        <f>kursovoy!$B$937</f>
        <v/>
      </c>
      <c r="J273" s="877" t="str">
        <f>kursovoy!$B$937</f>
        <v/>
      </c>
      <c r="K273" s="877" t="str">
        <f>kursovoy!$B$937</f>
        <v/>
      </c>
      <c r="L273" s="92"/>
      <c r="M273" s="92"/>
      <c r="N273" s="27"/>
      <c r="O273" s="86"/>
      <c r="P273" s="95"/>
      <c r="Q273" s="72"/>
      <c r="R273" s="45"/>
      <c r="S273" s="45"/>
      <c r="T273" s="45"/>
      <c r="U273" s="45"/>
      <c r="V273" s="45"/>
      <c r="W273" s="45"/>
      <c r="X273" s="45"/>
      <c r="Y273" s="45"/>
      <c r="Z273" s="45"/>
      <c r="AA273" s="45"/>
      <c r="AB273" s="45"/>
      <c r="AC273" s="45"/>
      <c r="AD273" s="45"/>
      <c r="AE273" s="45"/>
      <c r="AF273" s="45"/>
      <c r="AG273" s="45"/>
      <c r="AH273" s="45"/>
      <c r="AI273" s="45"/>
      <c r="AJ273" s="45"/>
    </row>
    <row r="274" spans="1:36" x14ac:dyDescent="0.2">
      <c r="A274" s="27"/>
      <c r="B274" s="11" t="str">
        <f>IF(G267=0,"2-й ленточный конвейер","Не вводить")</f>
        <v>2-й ленточный конвейер</v>
      </c>
      <c r="C274" s="11"/>
      <c r="D274" s="11"/>
      <c r="E274" s="11"/>
      <c r="F274" s="11"/>
      <c r="G274" s="30"/>
      <c r="H274" s="30"/>
      <c r="I274" s="30"/>
      <c r="J274" s="62"/>
      <c r="K274" s="30"/>
      <c r="L274" s="92"/>
      <c r="M274" s="92"/>
      <c r="N274" s="27"/>
      <c r="O274" s="86"/>
      <c r="P274" s="95"/>
      <c r="Q274" s="72"/>
      <c r="R274" s="45"/>
      <c r="S274" s="45"/>
      <c r="T274" s="45"/>
      <c r="U274" s="45"/>
      <c r="V274" s="45"/>
      <c r="W274" s="45"/>
      <c r="X274" s="45"/>
      <c r="Y274" s="45"/>
      <c r="Z274" s="45"/>
      <c r="AA274" s="45"/>
      <c r="AB274" s="45"/>
      <c r="AC274" s="45"/>
      <c r="AD274" s="45"/>
      <c r="AE274" s="45"/>
      <c r="AF274" s="45"/>
      <c r="AG274" s="45"/>
      <c r="AH274" s="45"/>
      <c r="AI274" s="45"/>
      <c r="AJ274" s="45"/>
    </row>
    <row r="275" spans="1:36" x14ac:dyDescent="0.2">
      <c r="A275" s="27"/>
      <c r="B275" s="11"/>
      <c r="C275" s="11" t="str">
        <f>IF(G267=0,"Номер в таблице конвейеров","Не вводить")</f>
        <v>Номер в таблице конвейеров</v>
      </c>
      <c r="D275" s="11"/>
      <c r="E275" s="11"/>
      <c r="F275" s="11"/>
      <c r="G275" s="334">
        <f>kursovoy!$B$938</f>
        <v>0</v>
      </c>
      <c r="H275" s="334">
        <f>kursovoy!$B$938</f>
        <v>0</v>
      </c>
      <c r="I275" s="334">
        <f>kursovoy!$B$938</f>
        <v>0</v>
      </c>
      <c r="J275" s="334">
        <f>kursovoy!$B$938</f>
        <v>0</v>
      </c>
      <c r="K275" s="334">
        <f>kursovoy!$B$938</f>
        <v>0</v>
      </c>
      <c r="L275" s="92"/>
      <c r="M275" s="92"/>
      <c r="N275" s="27"/>
      <c r="O275" s="86"/>
      <c r="P275" s="95"/>
      <c r="Q275" s="72"/>
      <c r="R275" s="45"/>
      <c r="S275" s="45"/>
      <c r="T275" s="45"/>
      <c r="U275" s="45"/>
      <c r="V275" s="45"/>
      <c r="W275" s="45"/>
      <c r="X275" s="45"/>
      <c r="Y275" s="45"/>
      <c r="Z275" s="45"/>
      <c r="AA275" s="45"/>
      <c r="AB275" s="45"/>
      <c r="AC275" s="45"/>
      <c r="AD275" s="45"/>
      <c r="AE275" s="45"/>
      <c r="AF275" s="45"/>
      <c r="AG275" s="45"/>
      <c r="AH275" s="45"/>
      <c r="AI275" s="45"/>
      <c r="AJ275" s="45"/>
    </row>
    <row r="276" spans="1:36" x14ac:dyDescent="0.2">
      <c r="A276" s="27"/>
      <c r="B276" s="11"/>
      <c r="C276" s="11" t="str">
        <f>IF(G267=0,"Длина, м","Не вводить")</f>
        <v>Длина, м</v>
      </c>
      <c r="D276" s="11"/>
      <c r="E276" s="11"/>
      <c r="F276" s="11"/>
      <c r="G276" s="877" t="str">
        <f>kursovoy!$B$940</f>
        <v/>
      </c>
      <c r="H276" s="877" t="str">
        <f>kursovoy!$B$940</f>
        <v/>
      </c>
      <c r="I276" s="877" t="str">
        <f>kursovoy!$B$940</f>
        <v/>
      </c>
      <c r="J276" s="877" t="str">
        <f>kursovoy!$B$940</f>
        <v/>
      </c>
      <c r="K276" s="877" t="str">
        <f>kursovoy!$B$940</f>
        <v/>
      </c>
      <c r="L276" s="92"/>
      <c r="M276" s="92"/>
      <c r="N276" s="27"/>
      <c r="O276" s="86"/>
      <c r="P276" s="95"/>
      <c r="Q276" s="72"/>
      <c r="R276" s="45"/>
      <c r="S276" s="45"/>
      <c r="T276" s="45"/>
      <c r="U276" s="45"/>
      <c r="V276" s="45"/>
      <c r="W276" s="45"/>
      <c r="X276" s="45"/>
      <c r="Y276" s="45"/>
      <c r="Z276" s="45"/>
      <c r="AA276" s="45"/>
      <c r="AB276" s="45"/>
      <c r="AC276" s="45"/>
      <c r="AD276" s="45"/>
      <c r="AE276" s="45"/>
      <c r="AF276" s="45"/>
      <c r="AG276" s="45"/>
      <c r="AH276" s="45"/>
      <c r="AI276" s="45"/>
      <c r="AJ276" s="45"/>
    </row>
    <row r="277" spans="1:36" ht="15.75" x14ac:dyDescent="0.25">
      <c r="A277" s="27"/>
      <c r="B277" s="11" t="str">
        <f>IF(G267=0,"3-й ленточный конвейер","Не вводить")</f>
        <v>3-й ленточный конвейер</v>
      </c>
      <c r="C277" s="11"/>
      <c r="D277" s="11"/>
      <c r="E277" s="11"/>
      <c r="F277" s="11"/>
      <c r="G277" s="60"/>
      <c r="H277" s="27"/>
      <c r="I277" s="30"/>
      <c r="J277" s="30"/>
      <c r="K277" s="30"/>
      <c r="L277" s="92"/>
      <c r="M277" s="92"/>
      <c r="N277" s="27"/>
      <c r="O277" s="86"/>
      <c r="P277" s="95"/>
      <c r="Q277" s="72"/>
      <c r="R277" s="45"/>
      <c r="S277" s="45"/>
      <c r="T277" s="45"/>
      <c r="U277" s="45"/>
      <c r="V277" s="45"/>
      <c r="W277" s="45"/>
      <c r="X277" s="45"/>
      <c r="Y277" s="45"/>
      <c r="Z277" s="45"/>
      <c r="AA277" s="45"/>
      <c r="AB277" s="45"/>
      <c r="AC277" s="45"/>
      <c r="AD277" s="45"/>
      <c r="AE277" s="45"/>
      <c r="AF277" s="45"/>
      <c r="AG277" s="45"/>
      <c r="AH277" s="45"/>
      <c r="AI277" s="45"/>
      <c r="AJ277" s="45"/>
    </row>
    <row r="278" spans="1:36" x14ac:dyDescent="0.2">
      <c r="A278" s="27"/>
      <c r="B278" s="11"/>
      <c r="C278" s="11" t="str">
        <f>IF(G267=0,"Номер в таблице конвейеров","Не вводить")</f>
        <v>Номер в таблице конвейеров</v>
      </c>
      <c r="D278" s="11"/>
      <c r="E278" s="11"/>
      <c r="F278" s="11"/>
      <c r="G278" s="334">
        <f>kursovoy!$B$941</f>
        <v>0</v>
      </c>
      <c r="H278" s="334">
        <f>kursovoy!$B$941</f>
        <v>0</v>
      </c>
      <c r="I278" s="334">
        <f>kursovoy!$B$941</f>
        <v>0</v>
      </c>
      <c r="J278" s="334">
        <f>kursovoy!$B$941</f>
        <v>0</v>
      </c>
      <c r="K278" s="334">
        <f>kursovoy!$B$941</f>
        <v>0</v>
      </c>
      <c r="L278" s="92"/>
      <c r="M278" s="92"/>
      <c r="N278" s="27"/>
      <c r="O278" s="86"/>
      <c r="P278" s="95"/>
      <c r="Q278" s="72"/>
      <c r="R278" s="45"/>
      <c r="S278" s="45"/>
      <c r="T278" s="45"/>
      <c r="U278" s="45"/>
      <c r="V278" s="45"/>
      <c r="W278" s="45"/>
      <c r="X278" s="45"/>
      <c r="Y278" s="45"/>
      <c r="Z278" s="45"/>
      <c r="AA278" s="45"/>
      <c r="AB278" s="45"/>
      <c r="AC278" s="45"/>
      <c r="AD278" s="45"/>
      <c r="AE278" s="45"/>
      <c r="AF278" s="45"/>
      <c r="AG278" s="45"/>
      <c r="AH278" s="45"/>
      <c r="AI278" s="45"/>
      <c r="AJ278" s="45"/>
    </row>
    <row r="279" spans="1:36" x14ac:dyDescent="0.2">
      <c r="A279" s="27"/>
      <c r="B279" s="11"/>
      <c r="C279" s="11" t="str">
        <f>IF(G267=0,"Длина, м","Не вводить")</f>
        <v>Длина, м</v>
      </c>
      <c r="D279" s="11"/>
      <c r="E279" s="11"/>
      <c r="F279" s="11"/>
      <c r="G279" s="877" t="str">
        <f>kursovoy!$B$943</f>
        <v/>
      </c>
      <c r="H279" s="877" t="str">
        <f>kursovoy!$B$943</f>
        <v/>
      </c>
      <c r="I279" s="877" t="str">
        <f>kursovoy!$B$943</f>
        <v/>
      </c>
      <c r="J279" s="877" t="str">
        <f>kursovoy!$B$943</f>
        <v/>
      </c>
      <c r="K279" s="877" t="str">
        <f>kursovoy!$B$943</f>
        <v/>
      </c>
      <c r="L279" s="92"/>
      <c r="M279" s="92"/>
      <c r="N279" s="27"/>
      <c r="O279" s="86"/>
      <c r="P279" s="95"/>
      <c r="Q279" s="72"/>
      <c r="R279" s="45"/>
      <c r="S279" s="45"/>
      <c r="T279" s="45"/>
      <c r="U279" s="45"/>
      <c r="V279" s="45"/>
      <c r="W279" s="45"/>
      <c r="X279" s="45"/>
      <c r="Y279" s="45"/>
      <c r="Z279" s="45"/>
      <c r="AA279" s="45"/>
      <c r="AB279" s="45"/>
      <c r="AC279" s="45"/>
      <c r="AD279" s="45"/>
      <c r="AE279" s="45"/>
      <c r="AF279" s="45"/>
      <c r="AG279" s="45"/>
      <c r="AH279" s="45"/>
      <c r="AI279" s="45"/>
      <c r="AJ279" s="45"/>
    </row>
    <row r="280" spans="1:36" ht="18" x14ac:dyDescent="0.25">
      <c r="A280" s="92"/>
      <c r="B280" s="453"/>
      <c r="C280" s="92"/>
      <c r="D280" s="92"/>
      <c r="E280" s="92"/>
      <c r="F280" s="92"/>
      <c r="G280" s="92"/>
      <c r="H280" s="92"/>
      <c r="I280" s="92"/>
      <c r="J280" s="92"/>
      <c r="K280" s="92"/>
      <c r="L280" s="92"/>
      <c r="M280" s="92"/>
      <c r="N280" s="27"/>
      <c r="O280" s="86"/>
      <c r="P280" s="95"/>
      <c r="Q280" s="72"/>
      <c r="R280" s="45"/>
      <c r="S280" s="45"/>
      <c r="T280" s="45"/>
      <c r="U280" s="45"/>
      <c r="V280" s="45"/>
      <c r="W280" s="45"/>
      <c r="X280" s="45"/>
      <c r="Y280" s="45"/>
      <c r="Z280" s="45"/>
      <c r="AA280" s="45"/>
      <c r="AB280" s="45"/>
      <c r="AC280" s="45"/>
      <c r="AD280" s="45"/>
      <c r="AE280" s="45"/>
      <c r="AF280" s="45"/>
      <c r="AG280" s="45"/>
      <c r="AH280" s="45"/>
      <c r="AI280" s="45"/>
      <c r="AJ280" s="45"/>
    </row>
    <row r="281" spans="1:36" ht="15.75" x14ac:dyDescent="0.25">
      <c r="A281" s="450"/>
      <c r="B281" s="27" t="s">
        <v>4275</v>
      </c>
      <c r="D281" s="27"/>
      <c r="E281" s="27"/>
      <c r="F281" s="27"/>
      <c r="G281" s="452">
        <v>3</v>
      </c>
      <c r="H281" s="260"/>
      <c r="I281" s="955" t="s">
        <v>2596</v>
      </c>
      <c r="J281" s="956"/>
      <c r="K281" s="956"/>
      <c r="L281" s="957"/>
      <c r="M281" s="957"/>
      <c r="N281" s="958"/>
      <c r="O281" s="959">
        <f>IF(kursovoy!B404&gt;1.2,1,2)</f>
        <v>1</v>
      </c>
      <c r="P281" s="95"/>
      <c r="Q281" s="72"/>
      <c r="R281" s="45"/>
      <c r="S281" s="45"/>
      <c r="T281" s="45"/>
      <c r="U281" s="45"/>
      <c r="V281" s="45"/>
      <c r="W281" s="45"/>
      <c r="X281" s="45"/>
      <c r="Y281" s="45"/>
      <c r="Z281" s="45"/>
      <c r="AA281" s="45"/>
      <c r="AB281" s="45"/>
      <c r="AC281" s="45"/>
      <c r="AD281" s="45"/>
      <c r="AE281" s="45"/>
      <c r="AF281" s="45"/>
      <c r="AG281" s="45"/>
      <c r="AH281" s="45"/>
      <c r="AI281" s="45"/>
      <c r="AJ281" s="45"/>
    </row>
    <row r="282" spans="1:36" x14ac:dyDescent="0.2">
      <c r="A282" s="11"/>
      <c r="B282" s="27" t="s">
        <v>4275</v>
      </c>
      <c r="D282" s="27"/>
      <c r="E282" s="27"/>
      <c r="F282" s="27"/>
      <c r="G282" s="452">
        <v>3</v>
      </c>
      <c r="H282" s="260"/>
      <c r="I282" s="960" t="s">
        <v>2597</v>
      </c>
      <c r="J282" s="260"/>
      <c r="K282" s="260"/>
      <c r="L282" s="94"/>
      <c r="M282" s="94"/>
      <c r="N282" s="513"/>
      <c r="O282" s="961">
        <f>IF(kursovoy!B216=1,1,2)</f>
        <v>2</v>
      </c>
      <c r="P282" s="95"/>
      <c r="Q282" s="72"/>
      <c r="R282" s="45"/>
      <c r="S282" s="45"/>
      <c r="T282" s="45"/>
      <c r="U282" s="45"/>
      <c r="V282" s="45"/>
      <c r="W282" s="45"/>
      <c r="X282" s="45"/>
      <c r="Y282" s="45"/>
      <c r="Z282" s="45"/>
      <c r="AA282" s="45"/>
      <c r="AB282" s="45"/>
      <c r="AC282" s="45"/>
      <c r="AD282" s="45"/>
      <c r="AE282" s="45"/>
      <c r="AF282" s="45"/>
      <c r="AG282" s="45"/>
      <c r="AH282" s="45"/>
      <c r="AI282" s="45"/>
      <c r="AJ282" s="45"/>
    </row>
    <row r="283" spans="1:36" x14ac:dyDescent="0.2">
      <c r="A283" s="11"/>
      <c r="B283" s="27" t="s">
        <v>4275</v>
      </c>
      <c r="D283" s="27"/>
      <c r="E283" s="27"/>
      <c r="F283" s="27"/>
      <c r="G283" s="452">
        <v>3</v>
      </c>
      <c r="H283" s="260"/>
      <c r="I283" s="962"/>
      <c r="J283" s="260"/>
      <c r="K283" s="260" t="s">
        <v>2598</v>
      </c>
      <c r="L283" s="94" t="s">
        <v>2599</v>
      </c>
      <c r="M283" s="94"/>
      <c r="N283" s="513"/>
      <c r="O283" s="963"/>
      <c r="P283" s="95"/>
      <c r="Q283" s="72"/>
      <c r="R283" s="45"/>
      <c r="S283" s="45"/>
      <c r="T283" s="45"/>
      <c r="U283" s="45"/>
      <c r="V283" s="45"/>
      <c r="W283" s="45"/>
      <c r="X283" s="45"/>
      <c r="Y283" s="45"/>
      <c r="Z283" s="45"/>
      <c r="AA283" s="45"/>
      <c r="AB283" s="45"/>
      <c r="AC283" s="45"/>
      <c r="AD283" s="45"/>
      <c r="AE283" s="45"/>
      <c r="AF283" s="45"/>
      <c r="AG283" s="45"/>
      <c r="AH283" s="45"/>
      <c r="AI283" s="45"/>
      <c r="AJ283" s="45"/>
    </row>
    <row r="284" spans="1:36" x14ac:dyDescent="0.2">
      <c r="A284" s="11"/>
      <c r="B284" s="27" t="s">
        <v>4275</v>
      </c>
      <c r="D284" s="27"/>
      <c r="E284" s="27"/>
      <c r="F284" s="27"/>
      <c r="G284" s="452">
        <v>3</v>
      </c>
      <c r="H284" s="260"/>
      <c r="I284" s="962"/>
      <c r="J284" s="260" t="s">
        <v>2600</v>
      </c>
      <c r="K284" s="260">
        <v>0</v>
      </c>
      <c r="L284" s="94">
        <v>0</v>
      </c>
      <c r="M284" s="94"/>
      <c r="N284" s="513"/>
      <c r="O284" s="963"/>
      <c r="P284" s="95"/>
      <c r="Q284" s="72"/>
      <c r="R284" s="45"/>
      <c r="S284" s="45"/>
      <c r="T284" s="45"/>
      <c r="U284" s="45"/>
      <c r="V284" s="45"/>
      <c r="W284" s="45"/>
      <c r="X284" s="45"/>
      <c r="Y284" s="45"/>
      <c r="Z284" s="45"/>
      <c r="AA284" s="45"/>
      <c r="AB284" s="45"/>
      <c r="AC284" s="45"/>
      <c r="AD284" s="45"/>
      <c r="AE284" s="45"/>
      <c r="AF284" s="45"/>
      <c r="AG284" s="45"/>
      <c r="AH284" s="45"/>
      <c r="AI284" s="45"/>
      <c r="AJ284" s="45"/>
    </row>
    <row r="285" spans="1:36" ht="15.75" x14ac:dyDescent="0.25">
      <c r="A285" s="4375" t="s">
        <v>2022</v>
      </c>
      <c r="B285" s="4373"/>
      <c r="C285" s="4373"/>
      <c r="D285" s="4373"/>
      <c r="E285" s="4373"/>
      <c r="F285" s="60">
        <f>ROW(586:586)</f>
        <v>586</v>
      </c>
      <c r="G285" s="452">
        <v>3</v>
      </c>
      <c r="H285" s="260"/>
      <c r="I285" s="964"/>
      <c r="J285" s="965" t="s">
        <v>2601</v>
      </c>
      <c r="K285" s="966">
        <v>0</v>
      </c>
      <c r="L285" s="967">
        <v>1</v>
      </c>
      <c r="M285" s="967"/>
      <c r="N285" s="968"/>
      <c r="O285" s="969"/>
      <c r="P285" s="95"/>
      <c r="Q285" s="72"/>
      <c r="R285" s="45"/>
      <c r="S285" s="45"/>
      <c r="T285" s="45"/>
      <c r="U285" s="45"/>
      <c r="V285" s="45"/>
      <c r="W285" s="45"/>
      <c r="X285" s="45"/>
      <c r="Y285" s="45"/>
      <c r="Z285" s="45"/>
      <c r="AA285" s="45"/>
      <c r="AB285" s="45"/>
      <c r="AC285" s="45"/>
      <c r="AD285" s="45"/>
      <c r="AE285" s="45"/>
      <c r="AF285" s="45"/>
      <c r="AG285" s="45"/>
      <c r="AH285" s="45"/>
      <c r="AI285" s="45"/>
      <c r="AJ285" s="45"/>
    </row>
    <row r="286" spans="1:36" ht="18" x14ac:dyDescent="0.25">
      <c r="A286" s="695" t="s">
        <v>339</v>
      </c>
      <c r="B286" s="453"/>
      <c r="C286" s="92"/>
      <c r="D286" s="92"/>
      <c r="E286" s="92"/>
      <c r="F286" s="92"/>
      <c r="G286" s="92"/>
      <c r="H286" s="92"/>
      <c r="I286" s="92"/>
      <c r="J286" s="92"/>
      <c r="K286" s="92"/>
      <c r="L286" s="92"/>
      <c r="M286" s="92"/>
      <c r="N286" s="27"/>
      <c r="O286" s="86"/>
      <c r="P286" s="95"/>
      <c r="Q286" s="72"/>
      <c r="R286" s="45"/>
      <c r="S286" s="45"/>
      <c r="T286" s="45"/>
      <c r="U286" s="45"/>
      <c r="V286" s="45"/>
      <c r="W286" s="45"/>
      <c r="X286" s="45"/>
      <c r="Y286" s="45"/>
      <c r="Z286" s="45"/>
      <c r="AA286" s="45"/>
      <c r="AB286" s="45"/>
      <c r="AC286" s="45"/>
      <c r="AD286" s="45"/>
      <c r="AE286" s="45"/>
      <c r="AF286" s="45"/>
      <c r="AG286" s="45"/>
      <c r="AH286" s="45"/>
      <c r="AI286" s="45"/>
      <c r="AJ286" s="45"/>
    </row>
    <row r="287" spans="1:36" ht="15.75" x14ac:dyDescent="0.25">
      <c r="A287" s="11"/>
      <c r="B287" s="25" t="s">
        <v>2880</v>
      </c>
      <c r="D287" s="11"/>
      <c r="E287" s="31"/>
      <c r="F287" s="31"/>
      <c r="G287" s="31"/>
      <c r="H287" s="31"/>
      <c r="L287" s="92"/>
      <c r="M287" s="92"/>
      <c r="N287" s="27"/>
      <c r="O287" s="86"/>
      <c r="P287" s="95"/>
      <c r="Q287" s="72"/>
      <c r="R287" s="45"/>
      <c r="S287" s="45"/>
      <c r="T287" s="45"/>
      <c r="U287" s="45"/>
      <c r="V287" s="45"/>
      <c r="W287" s="45"/>
      <c r="X287" s="45"/>
      <c r="Y287" s="45"/>
      <c r="Z287" s="45"/>
      <c r="AA287" s="45"/>
      <c r="AB287" s="45"/>
      <c r="AC287" s="45"/>
      <c r="AD287" s="45"/>
      <c r="AE287" s="45"/>
      <c r="AF287" s="45"/>
      <c r="AG287" s="45"/>
      <c r="AH287" s="45"/>
      <c r="AI287" s="45"/>
      <c r="AJ287" s="45"/>
    </row>
    <row r="288" spans="1:36" x14ac:dyDescent="0.2">
      <c r="A288" s="29" t="s">
        <v>608</v>
      </c>
      <c r="C288" s="29"/>
      <c r="D288" s="29"/>
      <c r="E288" s="29"/>
      <c r="F288" s="29"/>
      <c r="G288" s="340" t="str">
        <f>kursovoy!$B$404</f>
        <v/>
      </c>
      <c r="H288" s="340" t="str">
        <f>kursovoy!$B$404</f>
        <v/>
      </c>
      <c r="I288" s="340" t="str">
        <f>kursovoy!$B$404</f>
        <v/>
      </c>
      <c r="J288" s="340" t="str">
        <f>kursovoy!$B$404</f>
        <v/>
      </c>
      <c r="K288" s="340" t="str">
        <f>kursovoy!$B$404</f>
        <v/>
      </c>
      <c r="L288" s="92"/>
      <c r="M288" s="92"/>
      <c r="N288" s="27"/>
      <c r="O288" s="86"/>
      <c r="P288" s="95"/>
      <c r="Q288" s="72"/>
      <c r="R288" s="45"/>
      <c r="S288" s="45"/>
      <c r="T288" s="45"/>
      <c r="U288" s="45"/>
      <c r="V288" s="45"/>
      <c r="W288" s="45"/>
      <c r="X288" s="45"/>
      <c r="Y288" s="45"/>
      <c r="Z288" s="45"/>
      <c r="AA288" s="45"/>
      <c r="AB288" s="45"/>
      <c r="AC288" s="45"/>
      <c r="AD288" s="45"/>
      <c r="AE288" s="45"/>
      <c r="AF288" s="45"/>
      <c r="AG288" s="45"/>
      <c r="AH288" s="45"/>
      <c r="AI288" s="45"/>
      <c r="AJ288" s="45"/>
    </row>
    <row r="289" spans="1:36" ht="15.75" x14ac:dyDescent="0.25">
      <c r="A289" s="406" t="s">
        <v>2394</v>
      </c>
      <c r="B289" s="324"/>
      <c r="C289" s="324"/>
      <c r="D289" s="324"/>
      <c r="E289" s="324"/>
      <c r="F289" s="324"/>
      <c r="L289" s="92"/>
      <c r="M289" s="92"/>
      <c r="N289" s="27"/>
      <c r="O289" s="86"/>
      <c r="P289" s="95"/>
      <c r="Q289" s="72"/>
      <c r="R289" s="45"/>
      <c r="S289" s="45"/>
      <c r="T289" s="45"/>
      <c r="U289" s="45"/>
      <c r="V289" s="45"/>
      <c r="W289" s="45"/>
      <c r="X289" s="45"/>
      <c r="Y289" s="45"/>
      <c r="Z289" s="45"/>
      <c r="AA289" s="45"/>
      <c r="AB289" s="45"/>
      <c r="AC289" s="45"/>
      <c r="AD289" s="45"/>
      <c r="AE289" s="45"/>
      <c r="AF289" s="45"/>
      <c r="AG289" s="45"/>
      <c r="AH289" s="45"/>
      <c r="AI289" s="45"/>
      <c r="AJ289" s="45"/>
    </row>
    <row r="290" spans="1:36" x14ac:dyDescent="0.2">
      <c r="A290" s="27" t="s">
        <v>4873</v>
      </c>
      <c r="C290" s="27"/>
      <c r="D290" s="27"/>
      <c r="E290" s="11"/>
      <c r="F290" s="11"/>
      <c r="G290" s="334" t="b">
        <f>IF(kursovoy!B500=1,kursovoy!C507,IF(kursovoy!B500=3,kursovoy!C515))</f>
        <v>0</v>
      </c>
      <c r="H290" s="334" t="b">
        <f>G290</f>
        <v>0</v>
      </c>
      <c r="I290" s="334" t="b">
        <f>G290</f>
        <v>0</v>
      </c>
      <c r="J290" s="334" t="b">
        <f>G290</f>
        <v>0</v>
      </c>
      <c r="K290" s="334" t="b">
        <f>G290</f>
        <v>0</v>
      </c>
      <c r="L290" s="92"/>
      <c r="M290" s="25" t="s">
        <v>4865</v>
      </c>
      <c r="N290" s="11"/>
      <c r="O290" s="11"/>
      <c r="P290" s="67"/>
      <c r="Q290" s="67"/>
      <c r="R290" s="67"/>
      <c r="S290" s="45"/>
      <c r="T290" s="45"/>
      <c r="U290" s="45"/>
      <c r="V290" s="45"/>
      <c r="W290" s="45"/>
      <c r="X290" s="45"/>
      <c r="Y290" s="45"/>
      <c r="Z290" s="45"/>
      <c r="AA290" s="45"/>
      <c r="AB290" s="45"/>
      <c r="AC290" s="45"/>
      <c r="AD290" s="45"/>
      <c r="AE290" s="45"/>
      <c r="AF290" s="45"/>
      <c r="AG290" s="45"/>
      <c r="AH290" s="45"/>
      <c r="AI290" s="45"/>
      <c r="AJ290" s="45"/>
    </row>
    <row r="291" spans="1:36" x14ac:dyDescent="0.2">
      <c r="A291" s="27" t="s">
        <v>3672</v>
      </c>
      <c r="C291" s="27"/>
      <c r="D291" s="27"/>
      <c r="E291" s="27"/>
      <c r="F291" s="11"/>
      <c r="G291" s="334" t="b">
        <f>IF(kursovoy!B500=1,kursovoy!B508,IF(kursovoy!B500=3,kursovoy!$B$516))</f>
        <v>0</v>
      </c>
      <c r="H291" s="334" t="b">
        <f>G291</f>
        <v>0</v>
      </c>
      <c r="I291" s="334" t="b">
        <f>G291</f>
        <v>0</v>
      </c>
      <c r="J291" s="334" t="b">
        <f>G291</f>
        <v>0</v>
      </c>
      <c r="K291" s="334" t="b">
        <f>G291</f>
        <v>0</v>
      </c>
      <c r="L291" s="92"/>
      <c r="M291" s="407" t="s">
        <v>1863</v>
      </c>
      <c r="N291" s="407" t="s">
        <v>714</v>
      </c>
      <c r="O291" s="4350" t="s">
        <v>4874</v>
      </c>
      <c r="P291" s="4412"/>
      <c r="Q291" s="4443" t="s">
        <v>608</v>
      </c>
      <c r="R291" s="4444"/>
      <c r="S291" s="45"/>
      <c r="T291" s="671"/>
      <c r="U291" s="671"/>
      <c r="V291" s="671"/>
      <c r="W291" s="830"/>
      <c r="X291" s="464"/>
      <c r="Y291" s="901"/>
      <c r="Z291" s="902"/>
      <c r="AA291" s="4427"/>
      <c r="AB291" s="4389"/>
      <c r="AC291" s="14"/>
      <c r="AD291" s="45"/>
      <c r="AE291" s="45"/>
      <c r="AF291" s="45"/>
      <c r="AG291" s="45"/>
      <c r="AH291" s="45"/>
      <c r="AI291" s="45"/>
      <c r="AJ291" s="45"/>
    </row>
    <row r="292" spans="1:36" ht="15.75" x14ac:dyDescent="0.3">
      <c r="G292" s="38" t="str">
        <f>обор!$G$955</f>
        <v/>
      </c>
      <c r="H292" s="38" t="str">
        <f>обор!$G$955</f>
        <v/>
      </c>
      <c r="I292" s="38" t="str">
        <f>обор!$G$955</f>
        <v/>
      </c>
      <c r="J292" s="38" t="str">
        <f>обор!$G$955</f>
        <v/>
      </c>
      <c r="K292" s="38" t="str">
        <f>обор!$G$955</f>
        <v/>
      </c>
      <c r="L292" s="92"/>
      <c r="M292" s="366"/>
      <c r="N292" s="366"/>
      <c r="O292" s="17" t="s">
        <v>2615</v>
      </c>
      <c r="P292" s="17" t="s">
        <v>2616</v>
      </c>
      <c r="Q292" s="17" t="s">
        <v>3977</v>
      </c>
      <c r="R292" s="17" t="s">
        <v>2617</v>
      </c>
      <c r="S292" s="45"/>
      <c r="T292" s="15"/>
      <c r="U292" s="15"/>
      <c r="V292" s="15"/>
      <c r="W292" s="830"/>
      <c r="X292" s="842"/>
      <c r="Y292" s="14"/>
      <c r="Z292" s="14"/>
      <c r="AA292" s="586"/>
      <c r="AB292" s="15"/>
      <c r="AC292" s="903"/>
      <c r="AD292" s="45"/>
      <c r="AE292" s="45"/>
      <c r="AF292" s="45"/>
      <c r="AG292" s="45"/>
      <c r="AH292" s="45"/>
      <c r="AI292" s="45"/>
      <c r="AJ292" s="45"/>
    </row>
    <row r="293" spans="1:36" ht="15.75" x14ac:dyDescent="0.25">
      <c r="A293" s="408" t="s">
        <v>6437</v>
      </c>
      <c r="B293" s="200"/>
      <c r="C293" s="200"/>
      <c r="D293" s="200"/>
      <c r="E293" s="200"/>
      <c r="F293" s="200"/>
      <c r="H293" s="27"/>
      <c r="I293" s="27"/>
      <c r="J293" s="27"/>
      <c r="K293" s="27"/>
      <c r="L293" s="92"/>
      <c r="M293" s="17">
        <v>1</v>
      </c>
      <c r="N293" s="2990" t="s">
        <v>5651</v>
      </c>
      <c r="O293" s="2027">
        <v>0.63</v>
      </c>
      <c r="P293" s="2990">
        <v>0.8</v>
      </c>
      <c r="Q293" s="2990">
        <v>0.85</v>
      </c>
      <c r="R293" s="2990">
        <v>1.3</v>
      </c>
      <c r="S293" s="45"/>
      <c r="T293" s="15"/>
      <c r="U293" s="15"/>
      <c r="V293" s="15"/>
      <c r="W293" s="14"/>
      <c r="X293" s="842"/>
      <c r="Y293" s="14"/>
      <c r="Z293" s="14"/>
      <c r="AA293" s="586"/>
      <c r="AB293" s="15"/>
      <c r="AC293" s="903"/>
      <c r="AD293" s="45"/>
      <c r="AE293" s="45"/>
      <c r="AF293" s="45"/>
      <c r="AG293" s="45"/>
      <c r="AH293" s="45"/>
      <c r="AI293" s="45"/>
      <c r="AJ293" s="45"/>
    </row>
    <row r="294" spans="1:36" ht="15.75" x14ac:dyDescent="0.25">
      <c r="A294" s="136" t="s">
        <v>2023</v>
      </c>
      <c r="B294" s="62"/>
      <c r="C294" s="62"/>
      <c r="D294" s="62"/>
      <c r="E294" s="62"/>
      <c r="F294" s="60">
        <f>ROW(659:659)</f>
        <v>659</v>
      </c>
      <c r="H294" s="27"/>
      <c r="I294" s="27"/>
      <c r="J294" s="27"/>
      <c r="K294" s="27"/>
      <c r="L294" s="92"/>
      <c r="M294" s="17">
        <v>2</v>
      </c>
      <c r="N294" s="2990" t="s">
        <v>5653</v>
      </c>
      <c r="O294" s="2027">
        <v>0.63</v>
      </c>
      <c r="P294" s="2990">
        <v>0.63</v>
      </c>
      <c r="Q294" s="2990">
        <v>0.85</v>
      </c>
      <c r="R294" s="2990">
        <v>1.6</v>
      </c>
      <c r="S294" s="45"/>
      <c r="T294" s="15"/>
      <c r="U294" s="15"/>
      <c r="V294" s="15"/>
      <c r="W294" s="15"/>
      <c r="X294" s="842"/>
      <c r="Y294" s="14"/>
      <c r="Z294" s="14"/>
      <c r="AA294" s="586"/>
      <c r="AB294" s="15"/>
      <c r="AC294" s="903"/>
      <c r="AD294" s="45"/>
      <c r="AE294" s="45"/>
      <c r="AF294" s="45"/>
      <c r="AG294" s="45"/>
      <c r="AH294" s="45"/>
      <c r="AI294" s="45"/>
      <c r="AJ294" s="45"/>
    </row>
    <row r="295" spans="1:36" ht="15.75" x14ac:dyDescent="0.25">
      <c r="A295" s="22" t="s">
        <v>1451</v>
      </c>
      <c r="C295" s="27"/>
      <c r="D295" s="27"/>
      <c r="E295" s="27"/>
      <c r="F295" s="27"/>
      <c r="G295" s="27"/>
      <c r="H295" s="60"/>
      <c r="I295" s="27"/>
      <c r="J295" s="27"/>
      <c r="K295" s="27"/>
      <c r="L295" s="92"/>
      <c r="M295" s="17">
        <v>3</v>
      </c>
      <c r="N295" s="2990" t="s">
        <v>5631</v>
      </c>
      <c r="O295" s="2027">
        <v>0.7</v>
      </c>
      <c r="P295" s="2990">
        <v>0.7</v>
      </c>
      <c r="Q295" s="2990">
        <v>0.85</v>
      </c>
      <c r="R295" s="2991">
        <v>1.5</v>
      </c>
      <c r="S295" s="45"/>
      <c r="T295" s="15"/>
      <c r="U295" s="15"/>
      <c r="V295" s="15"/>
      <c r="W295" s="15"/>
      <c r="X295" s="842"/>
      <c r="Y295" s="14"/>
      <c r="Z295" s="14"/>
      <c r="AA295" s="586"/>
      <c r="AB295" s="15"/>
      <c r="AC295" s="903"/>
      <c r="AD295" s="45"/>
      <c r="AE295" s="45"/>
      <c r="AF295" s="45"/>
      <c r="AG295" s="45"/>
      <c r="AH295" s="45"/>
      <c r="AI295" s="45"/>
      <c r="AJ295" s="45"/>
    </row>
    <row r="296" spans="1:36" ht="15" x14ac:dyDescent="0.25">
      <c r="A296" s="27"/>
      <c r="B296" s="27" t="s">
        <v>744</v>
      </c>
      <c r="D296" s="27"/>
      <c r="E296" s="27"/>
      <c r="F296" s="27"/>
      <c r="G296" s="334" t="b">
        <f>IF(kursovoy!B500=1,kursovoy!C509,IF(kursovoy!B500=3,kursovoy!C517))</f>
        <v>0</v>
      </c>
      <c r="H296" s="334" t="b">
        <f>G296</f>
        <v>0</v>
      </c>
      <c r="I296" s="334" t="b">
        <f>G296</f>
        <v>0</v>
      </c>
      <c r="J296" s="334" t="b">
        <f>G296</f>
        <v>0</v>
      </c>
      <c r="K296" s="334" t="b">
        <f>G296</f>
        <v>0</v>
      </c>
      <c r="L296" s="92"/>
      <c r="M296" s="17">
        <v>4</v>
      </c>
      <c r="N296" s="2990" t="s">
        <v>5616</v>
      </c>
      <c r="O296" s="2027">
        <v>0.7</v>
      </c>
      <c r="P296" s="2990">
        <v>0.8</v>
      </c>
      <c r="Q296" s="2990">
        <v>0.85</v>
      </c>
      <c r="R296" s="2990">
        <v>1.5</v>
      </c>
      <c r="S296" s="45"/>
      <c r="T296" s="15"/>
      <c r="U296" s="15"/>
      <c r="V296" s="15"/>
      <c r="W296" s="15"/>
      <c r="X296" s="842"/>
      <c r="Y296" s="14"/>
      <c r="Z296" s="14"/>
      <c r="AA296" s="586"/>
      <c r="AB296" s="15"/>
      <c r="AC296" s="903"/>
      <c r="AD296" s="45"/>
      <c r="AE296" s="45"/>
      <c r="AF296" s="45"/>
      <c r="AG296" s="45"/>
      <c r="AH296" s="45"/>
      <c r="AI296" s="45"/>
      <c r="AJ296" s="45"/>
    </row>
    <row r="297" spans="1:36" ht="15" x14ac:dyDescent="0.25">
      <c r="B297" s="27" t="s">
        <v>3673</v>
      </c>
      <c r="D297" s="27"/>
      <c r="E297" s="27"/>
      <c r="F297" s="27"/>
      <c r="G297" s="258" t="b">
        <f>IF(kursovoy!B500=1,kursovoy!B509,IF(kursovoy!B500=3,kursovoy!B517))</f>
        <v>0</v>
      </c>
      <c r="H297" s="258" t="b">
        <f>G297</f>
        <v>0</v>
      </c>
      <c r="I297" s="258" t="b">
        <f>G297</f>
        <v>0</v>
      </c>
      <c r="J297" s="258" t="b">
        <f>G297</f>
        <v>0</v>
      </c>
      <c r="K297" s="258" t="b">
        <f>G297</f>
        <v>0</v>
      </c>
      <c r="L297" s="92"/>
      <c r="M297" s="17">
        <v>5</v>
      </c>
      <c r="N297" s="2990" t="s">
        <v>3478</v>
      </c>
      <c r="O297" s="2027">
        <v>0.8</v>
      </c>
      <c r="P297" s="2990">
        <v>0.8</v>
      </c>
      <c r="Q297" s="2990">
        <v>0.85</v>
      </c>
      <c r="R297" s="2990">
        <v>1.2</v>
      </c>
      <c r="S297" s="45"/>
      <c r="T297" s="15"/>
      <c r="U297" s="15"/>
      <c r="V297" s="15"/>
      <c r="W297" s="15"/>
      <c r="X297" s="842"/>
      <c r="Y297" s="14"/>
      <c r="Z297" s="14"/>
      <c r="AA297" s="586"/>
      <c r="AB297" s="15"/>
      <c r="AC297" s="903"/>
      <c r="AD297" s="45"/>
      <c r="AE297" s="45"/>
      <c r="AF297" s="45"/>
      <c r="AG297" s="45"/>
      <c r="AH297" s="45"/>
      <c r="AI297" s="45"/>
      <c r="AJ297" s="45"/>
    </row>
    <row r="298" spans="1:36" ht="15" x14ac:dyDescent="0.25">
      <c r="A298" s="27"/>
      <c r="B298" s="27" t="s">
        <v>3984</v>
      </c>
      <c r="D298" s="27"/>
      <c r="E298" s="27"/>
      <c r="F298" s="27"/>
      <c r="G298" s="23">
        <f>IF(G296&gt;0,INDEX($B$663:$T$663,G296),"")</f>
        <v>516</v>
      </c>
      <c r="H298" s="23">
        <f t="shared" ref="H298:K298" si="6">IF(H296&gt;0,INDEX($B$663:$T$663,H296),"")</f>
        <v>558</v>
      </c>
      <c r="I298" s="23">
        <f t="shared" si="6"/>
        <v>780</v>
      </c>
      <c r="J298" s="23">
        <f t="shared" si="6"/>
        <v>600</v>
      </c>
      <c r="K298" s="23">
        <f t="shared" si="6"/>
        <v>600</v>
      </c>
      <c r="L298" s="92"/>
      <c r="M298" s="17">
        <v>6</v>
      </c>
      <c r="N298" s="2990" t="s">
        <v>5614</v>
      </c>
      <c r="O298" s="2027">
        <v>0.8</v>
      </c>
      <c r="P298" s="2990">
        <v>0.8</v>
      </c>
      <c r="Q298" s="2990">
        <v>0.85</v>
      </c>
      <c r="R298" s="2990">
        <v>1.2</v>
      </c>
      <c r="S298" s="45"/>
      <c r="T298" s="15"/>
      <c r="U298" s="15"/>
      <c r="V298" s="15"/>
      <c r="W298" s="15"/>
      <c r="X298" s="842"/>
      <c r="Y298" s="14"/>
      <c r="Z298" s="14"/>
      <c r="AA298" s="586"/>
      <c r="AB298" s="15"/>
      <c r="AC298" s="903"/>
      <c r="AD298" s="45"/>
      <c r="AE298" s="45"/>
      <c r="AF298" s="45"/>
      <c r="AG298" s="45"/>
      <c r="AH298" s="45"/>
      <c r="AI298" s="45"/>
      <c r="AJ298" s="45"/>
    </row>
    <row r="299" spans="1:36" ht="15" x14ac:dyDescent="0.25">
      <c r="A299" s="27"/>
      <c r="B299" s="27" t="s">
        <v>3674</v>
      </c>
      <c r="D299" s="27"/>
      <c r="E299" s="27"/>
      <c r="F299" s="27"/>
      <c r="G299" s="26">
        <f>IF(G298="",100,G298/60)</f>
        <v>8.6</v>
      </c>
      <c r="H299" s="26">
        <f>IF(H298="",100,H298/60)</f>
        <v>9.3000000000000007</v>
      </c>
      <c r="I299" s="26">
        <f>IF(I298="",100,I298/60)</f>
        <v>13</v>
      </c>
      <c r="J299" s="26">
        <f>IF(J298="",100,J298/60)</f>
        <v>10</v>
      </c>
      <c r="K299" s="26">
        <f>IF(K298="",100,K298/60)</f>
        <v>10</v>
      </c>
      <c r="L299" s="92"/>
      <c r="M299" s="17">
        <v>7</v>
      </c>
      <c r="N299" s="2990" t="s">
        <v>3480</v>
      </c>
      <c r="O299" s="2027">
        <v>0.63</v>
      </c>
      <c r="P299" s="2990">
        <v>0.8</v>
      </c>
      <c r="Q299" s="2990">
        <v>1.1499999999999999</v>
      </c>
      <c r="R299" s="2990">
        <v>1.3</v>
      </c>
      <c r="S299" s="45"/>
      <c r="T299" s="15"/>
      <c r="U299" s="15"/>
      <c r="V299" s="15"/>
      <c r="W299" s="15"/>
      <c r="X299" s="842"/>
      <c r="Y299" s="14"/>
      <c r="Z299" s="14"/>
      <c r="AA299" s="586"/>
      <c r="AB299" s="15"/>
      <c r="AC299" s="903"/>
      <c r="AD299" s="45"/>
      <c r="AE299" s="45"/>
      <c r="AF299" s="45"/>
      <c r="AG299" s="45"/>
      <c r="AH299" s="45"/>
      <c r="AI299" s="45"/>
      <c r="AJ299" s="45"/>
    </row>
    <row r="300" spans="1:36" ht="15" x14ac:dyDescent="0.25">
      <c r="A300" s="27"/>
      <c r="B300" s="27" t="s">
        <v>745</v>
      </c>
      <c r="D300" s="27"/>
      <c r="E300" s="27"/>
      <c r="F300" s="27"/>
      <c r="G300" s="23">
        <f>IF(G296&gt;0,INDEX($B$664:$T$664,G296),1)</f>
        <v>0.86</v>
      </c>
      <c r="H300" s="23">
        <f>IF(H296&gt;0,INDEX($B$664:$T$664,H296),1)</f>
        <v>0.94</v>
      </c>
      <c r="I300" s="23">
        <f>IF(I296&gt;0,INDEX($B$664:$T$664,I296),1)</f>
        <v>0.86</v>
      </c>
      <c r="J300" s="23">
        <f>IF(J296&gt;0,INDEX($B$664:$T$664,J296),1)</f>
        <v>0.85</v>
      </c>
      <c r="K300" s="23">
        <f>IF(K296&gt;0,INDEX($B$664:$T$664,K296),1)</f>
        <v>0.85</v>
      </c>
      <c r="L300" s="92"/>
      <c r="M300" s="17">
        <v>8</v>
      </c>
      <c r="N300" s="2990" t="s">
        <v>3483</v>
      </c>
      <c r="O300" s="2027">
        <v>0.63</v>
      </c>
      <c r="P300" s="2990">
        <v>0.8</v>
      </c>
      <c r="Q300" s="2990">
        <v>1.25</v>
      </c>
      <c r="R300" s="2990">
        <v>2.5</v>
      </c>
      <c r="S300" s="45"/>
      <c r="T300" s="15"/>
      <c r="U300" s="15"/>
      <c r="V300" s="15"/>
      <c r="W300" s="15"/>
      <c r="X300" s="842"/>
      <c r="Y300" s="14"/>
      <c r="Z300" s="14"/>
      <c r="AA300" s="586"/>
      <c r="AB300" s="15"/>
      <c r="AC300" s="903"/>
      <c r="AD300" s="45"/>
      <c r="AE300" s="45"/>
      <c r="AF300" s="45"/>
      <c r="AG300" s="45"/>
      <c r="AH300" s="45"/>
      <c r="AI300" s="45"/>
      <c r="AJ300" s="45"/>
    </row>
    <row r="301" spans="1:36" ht="15" x14ac:dyDescent="0.25">
      <c r="A301" s="22" t="s">
        <v>1035</v>
      </c>
      <c r="L301" s="92"/>
      <c r="M301" s="17">
        <v>9</v>
      </c>
      <c r="N301" s="2990" t="s">
        <v>2776</v>
      </c>
      <c r="O301" s="2027">
        <v>0.63</v>
      </c>
      <c r="P301" s="2990">
        <v>0.8</v>
      </c>
      <c r="Q301" s="2990">
        <v>1.4</v>
      </c>
      <c r="R301" s="2990">
        <v>2.5</v>
      </c>
      <c r="S301" s="45"/>
      <c r="T301" s="15"/>
      <c r="U301" s="15"/>
      <c r="V301" s="15"/>
      <c r="W301" s="15"/>
      <c r="X301" s="842"/>
      <c r="Y301" s="14"/>
      <c r="Z301" s="14"/>
      <c r="AA301" s="586"/>
      <c r="AB301" s="15"/>
      <c r="AC301" s="903"/>
      <c r="AD301" s="45"/>
      <c r="AE301" s="45"/>
      <c r="AF301" s="45"/>
      <c r="AG301" s="45"/>
      <c r="AH301" s="45"/>
      <c r="AI301" s="45"/>
      <c r="AJ301" s="45"/>
    </row>
    <row r="302" spans="1:36" ht="15" x14ac:dyDescent="0.25">
      <c r="A302" s="27"/>
      <c r="B302" s="27" t="s">
        <v>744</v>
      </c>
      <c r="D302" s="27"/>
      <c r="E302" s="27"/>
      <c r="F302" s="27"/>
      <c r="G302" s="334">
        <f>kursovoy!$B$929</f>
        <v>0</v>
      </c>
      <c r="H302" s="334">
        <f>kursovoy!$B$929</f>
        <v>0</v>
      </c>
      <c r="I302" s="334">
        <f>kursovoy!$B$929</f>
        <v>0</v>
      </c>
      <c r="J302" s="334">
        <f>kursovoy!$B$929</f>
        <v>0</v>
      </c>
      <c r="K302" s="334">
        <f>kursovoy!$B$929</f>
        <v>0</v>
      </c>
      <c r="L302" s="92"/>
      <c r="M302" s="17">
        <v>10</v>
      </c>
      <c r="N302" s="2990" t="s">
        <v>3482</v>
      </c>
      <c r="O302" s="2027">
        <v>0.63</v>
      </c>
      <c r="P302" s="2990">
        <v>0.8</v>
      </c>
      <c r="Q302" s="2990">
        <v>1.35</v>
      </c>
      <c r="R302" s="2990">
        <v>2.5</v>
      </c>
      <c r="S302" s="45"/>
      <c r="T302" s="15"/>
      <c r="U302" s="15"/>
      <c r="V302" s="15"/>
      <c r="W302" s="15"/>
      <c r="X302" s="842"/>
      <c r="Y302" s="14"/>
      <c r="Z302" s="14"/>
      <c r="AA302" s="586"/>
      <c r="AB302" s="15"/>
      <c r="AC302" s="903"/>
      <c r="AD302" s="45"/>
      <c r="AE302" s="45"/>
      <c r="AF302" s="45"/>
      <c r="AG302" s="45"/>
      <c r="AH302" s="45"/>
      <c r="AI302" s="45"/>
      <c r="AJ302" s="45"/>
    </row>
    <row r="303" spans="1:36" ht="15" x14ac:dyDescent="0.25">
      <c r="B303" s="27" t="s">
        <v>3673</v>
      </c>
      <c r="D303" s="27"/>
      <c r="E303" s="27"/>
      <c r="F303" s="27"/>
      <c r="G303" s="258" t="e">
        <f>INDEX(kursovoy!$B$924:$E$924,G302)</f>
        <v>#VALUE!</v>
      </c>
      <c r="H303" s="258" t="e">
        <f>INDEX(kursovoy!$B$924:$E$924,H302)</f>
        <v>#VALUE!</v>
      </c>
      <c r="I303" s="258" t="e">
        <f>INDEX(kursovoy!$B$924:$E$924,I302)</f>
        <v>#VALUE!</v>
      </c>
      <c r="J303" s="258" t="e">
        <f>INDEX(kursovoy!$B$924:$E$924,J302)</f>
        <v>#VALUE!</v>
      </c>
      <c r="K303" s="258" t="e">
        <f>INDEX(kursovoy!$B$924:$E$924,K302)</f>
        <v>#VALUE!</v>
      </c>
      <c r="L303" s="92"/>
      <c r="M303" s="17">
        <v>11</v>
      </c>
      <c r="N303" s="2990" t="s">
        <v>658</v>
      </c>
      <c r="O303" s="2027">
        <v>0.63</v>
      </c>
      <c r="P303" s="2990">
        <v>0.63</v>
      </c>
      <c r="Q303" s="2990">
        <v>1.35</v>
      </c>
      <c r="R303" s="2990">
        <v>2.6</v>
      </c>
      <c r="S303" s="45"/>
      <c r="T303" s="15"/>
      <c r="U303" s="15"/>
      <c r="V303" s="15"/>
      <c r="W303" s="15"/>
      <c r="X303" s="842"/>
      <c r="Y303" s="14"/>
      <c r="Z303" s="14"/>
      <c r="AA303" s="586"/>
      <c r="AB303" s="15"/>
      <c r="AC303" s="903"/>
      <c r="AD303" s="45"/>
      <c r="AE303" s="45"/>
      <c r="AF303" s="45"/>
      <c r="AG303" s="45"/>
      <c r="AH303" s="45"/>
      <c r="AI303" s="45"/>
      <c r="AJ303" s="45"/>
    </row>
    <row r="304" spans="1:36" ht="15" x14ac:dyDescent="0.25">
      <c r="A304" s="27"/>
      <c r="B304" s="27" t="s">
        <v>3984</v>
      </c>
      <c r="D304" s="27"/>
      <c r="E304" s="27"/>
      <c r="F304" s="27"/>
      <c r="G304" s="23" t="e">
        <f>G305*60</f>
        <v>#VALUE!</v>
      </c>
      <c r="H304" s="23" t="e">
        <f t="shared" ref="H304:K304" si="7">H305*60</f>
        <v>#VALUE!</v>
      </c>
      <c r="I304" s="23" t="e">
        <f t="shared" si="7"/>
        <v>#VALUE!</v>
      </c>
      <c r="J304" s="23" t="e">
        <f t="shared" si="7"/>
        <v>#VALUE!</v>
      </c>
      <c r="K304" s="23" t="e">
        <f t="shared" si="7"/>
        <v>#VALUE!</v>
      </c>
      <c r="L304" s="92"/>
      <c r="M304" s="17">
        <v>12</v>
      </c>
      <c r="N304" s="2990" t="s">
        <v>5622</v>
      </c>
      <c r="O304" s="2027">
        <v>0.63</v>
      </c>
      <c r="P304" s="2990">
        <v>0.8</v>
      </c>
      <c r="Q304" s="2990">
        <v>1.1000000000000001</v>
      </c>
      <c r="R304" s="2990">
        <v>2.1</v>
      </c>
      <c r="S304" s="45"/>
      <c r="T304" s="15"/>
      <c r="U304" s="15"/>
      <c r="V304" s="15"/>
      <c r="W304" s="15"/>
      <c r="X304" s="842"/>
      <c r="Y304" s="14"/>
      <c r="Z304" s="14"/>
      <c r="AA304" s="586"/>
      <c r="AB304" s="15"/>
      <c r="AC304" s="903"/>
      <c r="AD304" s="45"/>
      <c r="AE304" s="45"/>
      <c r="AF304" s="45"/>
      <c r="AG304" s="45"/>
      <c r="AH304" s="45"/>
      <c r="AI304" s="45"/>
      <c r="AJ304" s="45"/>
    </row>
    <row r="305" spans="1:36" x14ac:dyDescent="0.2">
      <c r="A305" s="27"/>
      <c r="B305" s="27" t="s">
        <v>3674</v>
      </c>
      <c r="D305" s="27"/>
      <c r="E305" s="27"/>
      <c r="F305" s="27"/>
      <c r="G305" s="26" t="e">
        <f>INDEX(kursovoy!$B$925:$E$925,ком!G302)</f>
        <v>#VALUE!</v>
      </c>
      <c r="H305" s="26" t="e">
        <f>INDEX(kursovoy!$B$925:$E$925,ком!H302)</f>
        <v>#VALUE!</v>
      </c>
      <c r="I305" s="26" t="e">
        <f>INDEX(kursovoy!$B$925:$E$925,ком!I302)</f>
        <v>#VALUE!</v>
      </c>
      <c r="J305" s="26" t="e">
        <f>INDEX(kursovoy!$B$925:$E$925,ком!J302)</f>
        <v>#VALUE!</v>
      </c>
      <c r="K305" s="26" t="e">
        <f>INDEX(kursovoy!$B$925:$E$925,ком!K302)</f>
        <v>#VALUE!</v>
      </c>
      <c r="L305" s="92"/>
      <c r="M305" s="17">
        <v>13</v>
      </c>
      <c r="N305" s="2990" t="s">
        <v>5624</v>
      </c>
      <c r="O305" s="2027">
        <v>0.8</v>
      </c>
      <c r="P305" s="2990">
        <v>0.8</v>
      </c>
      <c r="Q305" s="2990">
        <v>1.35</v>
      </c>
      <c r="R305" s="2990">
        <v>3.2</v>
      </c>
      <c r="S305" s="45"/>
      <c r="T305" s="45"/>
      <c r="U305" s="45"/>
      <c r="V305" s="45"/>
      <c r="W305" s="45"/>
      <c r="X305" s="45"/>
      <c r="Y305" s="45"/>
      <c r="Z305" s="45"/>
      <c r="AA305" s="45"/>
      <c r="AB305" s="45"/>
      <c r="AC305" s="45"/>
      <c r="AD305" s="45"/>
      <c r="AE305" s="45"/>
      <c r="AF305" s="45"/>
      <c r="AG305" s="45"/>
      <c r="AH305" s="45"/>
      <c r="AI305" s="45"/>
      <c r="AJ305" s="45"/>
    </row>
    <row r="306" spans="1:36" x14ac:dyDescent="0.2">
      <c r="A306" s="27"/>
      <c r="B306" s="27" t="s">
        <v>745</v>
      </c>
      <c r="D306" s="27"/>
      <c r="E306" s="27"/>
      <c r="F306" s="27"/>
      <c r="G306" s="23" t="e">
        <f>INDEX(kursovoy!$B$926:$E$926,ком!G302)</f>
        <v>#VALUE!</v>
      </c>
      <c r="H306" s="23" t="e">
        <f>INDEX(kursovoy!$B$926:$E$926,ком!H302)</f>
        <v>#VALUE!</v>
      </c>
      <c r="I306" s="23" t="e">
        <f>INDEX(kursovoy!$B$926:$E$926,ком!I302)</f>
        <v>#VALUE!</v>
      </c>
      <c r="J306" s="23" t="e">
        <f>INDEX(kursovoy!$B$926:$E$926,ком!J302)</f>
        <v>#VALUE!</v>
      </c>
      <c r="K306" s="23" t="e">
        <f>INDEX(kursovoy!$B$926:$E$926,ком!K302)</f>
        <v>#VALUE!</v>
      </c>
      <c r="L306" s="92"/>
      <c r="M306" s="17">
        <v>14</v>
      </c>
      <c r="N306" s="2990" t="s">
        <v>5655</v>
      </c>
      <c r="O306" s="2027">
        <v>0.8</v>
      </c>
      <c r="P306" s="2990">
        <v>0.8</v>
      </c>
      <c r="Q306" s="2990">
        <v>1.35</v>
      </c>
      <c r="R306" s="2990">
        <v>3.2</v>
      </c>
      <c r="S306" s="45"/>
      <c r="T306" s="45"/>
      <c r="U306" s="45"/>
      <c r="V306" s="45"/>
      <c r="W306" s="45"/>
      <c r="X306" s="45"/>
      <c r="Y306" s="45"/>
      <c r="Z306" s="45"/>
      <c r="AA306" s="45"/>
      <c r="AB306" s="45"/>
      <c r="AC306" s="45"/>
      <c r="AD306" s="45"/>
      <c r="AE306" s="45"/>
      <c r="AF306" s="45"/>
      <c r="AG306" s="45"/>
      <c r="AH306" s="45"/>
      <c r="AI306" s="45"/>
      <c r="AJ306" s="45"/>
    </row>
    <row r="307" spans="1:36" ht="13.5" thickBot="1" x14ac:dyDescent="0.25">
      <c r="A307" s="22" t="s">
        <v>2834</v>
      </c>
      <c r="L307" s="92"/>
      <c r="M307" s="61" t="s">
        <v>585</v>
      </c>
      <c r="N307" s="30"/>
      <c r="O307" s="62"/>
      <c r="P307" s="30"/>
      <c r="Q307" s="62"/>
      <c r="R307" s="42"/>
      <c r="S307" s="42"/>
      <c r="T307" s="42"/>
      <c r="U307" s="42"/>
      <c r="V307" s="42"/>
      <c r="W307" s="42"/>
      <c r="X307" s="42"/>
      <c r="Y307" s="42"/>
      <c r="Z307" s="45"/>
      <c r="AA307" s="45"/>
      <c r="AB307" s="45"/>
      <c r="AC307" s="45"/>
      <c r="AD307" s="45"/>
      <c r="AE307" s="45"/>
      <c r="AF307" s="45"/>
      <c r="AG307" s="45"/>
      <c r="AH307" s="45"/>
      <c r="AI307" s="45"/>
      <c r="AJ307" s="45"/>
    </row>
    <row r="308" spans="1:36" ht="64.5" thickBot="1" x14ac:dyDescent="0.25">
      <c r="A308" s="27"/>
      <c r="B308" s="27" t="s">
        <v>744</v>
      </c>
      <c r="D308" s="27"/>
      <c r="E308" s="27"/>
      <c r="F308" s="27"/>
      <c r="G308" s="216"/>
      <c r="H308" s="216"/>
      <c r="I308" s="216"/>
      <c r="J308" s="216"/>
      <c r="K308" s="216"/>
      <c r="L308" s="92"/>
      <c r="M308" s="412" t="s">
        <v>4851</v>
      </c>
      <c r="N308" s="413" t="s">
        <v>5602</v>
      </c>
      <c r="O308" s="414"/>
      <c r="P308" s="62"/>
      <c r="T308" s="42"/>
      <c r="U308" s="42"/>
      <c r="V308" s="42"/>
      <c r="W308" s="42"/>
      <c r="X308" s="42"/>
      <c r="Y308" s="42"/>
      <c r="Z308" s="45"/>
      <c r="AA308" s="45"/>
      <c r="AB308" s="45"/>
      <c r="AC308" s="45"/>
      <c r="AD308" s="45"/>
      <c r="AE308" s="45"/>
      <c r="AF308" s="45"/>
      <c r="AG308" s="45"/>
      <c r="AH308" s="45"/>
      <c r="AI308" s="45"/>
      <c r="AJ308" s="45"/>
    </row>
    <row r="309" spans="1:36" ht="26.25" thickBot="1" x14ac:dyDescent="0.25">
      <c r="A309" s="27"/>
      <c r="B309" s="27" t="s">
        <v>3673</v>
      </c>
      <c r="D309" s="27"/>
      <c r="E309" s="27"/>
      <c r="F309" s="27"/>
      <c r="G309" s="258">
        <f>kursovoy!$B$928</f>
        <v>0</v>
      </c>
      <c r="H309" s="258">
        <f>kursovoy!$B$928</f>
        <v>0</v>
      </c>
      <c r="I309" s="258">
        <f>kursovoy!$B$928</f>
        <v>0</v>
      </c>
      <c r="J309" s="258">
        <f>kursovoy!$B$928</f>
        <v>0</v>
      </c>
      <c r="K309" s="258">
        <f>kursovoy!$B$928</f>
        <v>0</v>
      </c>
      <c r="L309" s="92"/>
      <c r="M309" s="415"/>
      <c r="N309" s="416" t="s">
        <v>3981</v>
      </c>
      <c r="O309" s="417" t="s">
        <v>3982</v>
      </c>
      <c r="P309" s="418" t="s">
        <v>586</v>
      </c>
      <c r="T309" s="42"/>
      <c r="U309" s="42"/>
      <c r="V309" s="42"/>
      <c r="W309" s="42"/>
      <c r="X309" s="42"/>
      <c r="Y309" s="42"/>
      <c r="Z309" s="45"/>
      <c r="AA309" s="45"/>
      <c r="AB309" s="45"/>
      <c r="AC309" s="45"/>
      <c r="AD309" s="45"/>
      <c r="AE309" s="45"/>
      <c r="AF309" s="45"/>
      <c r="AG309" s="45"/>
      <c r="AH309" s="45"/>
      <c r="AI309" s="45"/>
      <c r="AJ309" s="45"/>
    </row>
    <row r="310" spans="1:36" x14ac:dyDescent="0.2">
      <c r="B310" s="27" t="s">
        <v>3984</v>
      </c>
      <c r="D310" s="27"/>
      <c r="E310" s="27"/>
      <c r="F310" s="27"/>
      <c r="G310" s="23" t="str">
        <f>IF(G308&gt;0,INDEX(kursovoy!$B$925:$E$925,G308)*60,"")</f>
        <v/>
      </c>
      <c r="H310" s="23" t="str">
        <f>IF(H308&gt;0,INDEX(kursovoy!$B$925:$E$925,H308)*60,"")</f>
        <v/>
      </c>
      <c r="I310" s="23" t="str">
        <f>IF(I308&gt;0,INDEX(kursovoy!$B$925:$E$925,I308)*60,"")</f>
        <v/>
      </c>
      <c r="J310" s="23" t="str">
        <f>IF(J308&gt;0,INDEX(kursovoy!$B$925:$E$925,J308)*60,"")</f>
        <v/>
      </c>
      <c r="K310" s="23" t="str">
        <f>IF(K308&gt;0,INDEX(kursovoy!$B$925:$E$925,K308)*60,"")</f>
        <v/>
      </c>
      <c r="L310" s="92"/>
      <c r="M310" s="2990" t="s">
        <v>5634</v>
      </c>
      <c r="N310" s="2990">
        <v>0.85</v>
      </c>
      <c r="O310" s="2990">
        <v>1.2</v>
      </c>
      <c r="P310" s="421">
        <v>1</v>
      </c>
      <c r="T310" s="42"/>
      <c r="U310" s="42"/>
      <c r="V310" s="42"/>
      <c r="W310" s="42"/>
      <c r="X310" s="42"/>
      <c r="Y310" s="42"/>
      <c r="Z310" s="45"/>
      <c r="AA310" s="45"/>
      <c r="AB310" s="45"/>
      <c r="AC310" s="45"/>
      <c r="AD310" s="45"/>
      <c r="AE310" s="45"/>
      <c r="AF310" s="45"/>
      <c r="AG310" s="45"/>
      <c r="AH310" s="45"/>
      <c r="AI310" s="45"/>
      <c r="AJ310" s="45"/>
    </row>
    <row r="311" spans="1:36" x14ac:dyDescent="0.2">
      <c r="A311" s="27"/>
      <c r="B311" s="27" t="s">
        <v>3674</v>
      </c>
      <c r="D311" s="27"/>
      <c r="E311" s="27"/>
      <c r="F311" s="27"/>
      <c r="G311" s="26">
        <f>IF(G310="",100,G310/60)</f>
        <v>100</v>
      </c>
      <c r="H311" s="26">
        <f>IF(H310="",100,H310/60)</f>
        <v>100</v>
      </c>
      <c r="I311" s="26">
        <f>IF(I310="",100,I310/60)</f>
        <v>100</v>
      </c>
      <c r="J311" s="26">
        <f>IF(J310="",100,J310/60)</f>
        <v>100</v>
      </c>
      <c r="K311" s="26">
        <f>IF(K310="",100,K310/60)</f>
        <v>100</v>
      </c>
      <c r="L311" s="92"/>
      <c r="M311" s="2990" t="s">
        <v>5639</v>
      </c>
      <c r="N311" s="2990">
        <v>1.1000000000000001</v>
      </c>
      <c r="O311" s="2990">
        <v>1.5</v>
      </c>
      <c r="P311" s="421">
        <v>2</v>
      </c>
      <c r="T311" s="42"/>
      <c r="U311" s="42"/>
      <c r="V311" s="42"/>
      <c r="W311" s="42"/>
      <c r="X311" s="42"/>
      <c r="Y311" s="42"/>
      <c r="Z311" s="45"/>
      <c r="AA311" s="45"/>
      <c r="AB311" s="45"/>
      <c r="AC311" s="45"/>
      <c r="AD311" s="45"/>
      <c r="AE311" s="45"/>
      <c r="AF311" s="45"/>
      <c r="AG311" s="45"/>
      <c r="AH311" s="45"/>
      <c r="AI311" s="45"/>
      <c r="AJ311" s="45"/>
    </row>
    <row r="312" spans="1:36" x14ac:dyDescent="0.2">
      <c r="A312" s="27"/>
      <c r="B312" s="27" t="s">
        <v>745</v>
      </c>
      <c r="D312" s="27"/>
      <c r="E312" s="27"/>
      <c r="F312" s="27"/>
      <c r="G312" s="23">
        <f>IF(G308&gt;0,INDEX(kursovoy!$B$926:$E$926,G308),1)</f>
        <v>1</v>
      </c>
      <c r="H312" s="23">
        <f>IF(H308&gt;0,INDEX($B$664:$T$664,H308),1)</f>
        <v>1</v>
      </c>
      <c r="I312" s="23">
        <f>IF(I308&gt;0,INDEX($B$664:$T$664,I308),1)</f>
        <v>1</v>
      </c>
      <c r="J312" s="23">
        <f>IF(J308&gt;0,INDEX($B$664:$T$664,J308),1)</f>
        <v>1</v>
      </c>
      <c r="K312" s="23">
        <f>IF(K308&gt;0,INDEX($B$664:$T$664,K308),1)</f>
        <v>1</v>
      </c>
      <c r="L312" s="92"/>
      <c r="M312" s="2990" t="s">
        <v>2778</v>
      </c>
      <c r="N312" s="2990">
        <v>0.85</v>
      </c>
      <c r="O312" s="2990">
        <v>1.25</v>
      </c>
      <c r="P312" s="421">
        <v>3</v>
      </c>
      <c r="T312" s="42"/>
      <c r="U312" s="42"/>
      <c r="V312" s="42"/>
      <c r="W312" s="42"/>
      <c r="X312" s="42"/>
      <c r="Y312" s="42"/>
      <c r="Z312" s="45"/>
      <c r="AA312" s="45"/>
      <c r="AB312" s="45"/>
      <c r="AC312" s="45"/>
      <c r="AD312" s="45"/>
      <c r="AE312" s="45"/>
      <c r="AF312" s="45"/>
      <c r="AG312" s="45"/>
      <c r="AH312" s="45"/>
      <c r="AI312" s="45"/>
      <c r="AJ312" s="45"/>
    </row>
    <row r="313" spans="1:36" x14ac:dyDescent="0.2">
      <c r="A313" s="22" t="s">
        <v>746</v>
      </c>
      <c r="C313" s="27"/>
      <c r="D313" s="27"/>
      <c r="E313" s="27"/>
      <c r="F313" s="27"/>
      <c r="G313" s="36"/>
      <c r="H313" s="36"/>
      <c r="I313" s="36"/>
      <c r="J313" s="36"/>
      <c r="K313" s="36"/>
      <c r="L313" s="92"/>
      <c r="M313" s="2990" t="s">
        <v>3481</v>
      </c>
      <c r="N313" s="2990">
        <v>1.1000000000000001</v>
      </c>
      <c r="O313" s="2990">
        <v>1.5</v>
      </c>
      <c r="P313" s="421">
        <v>4</v>
      </c>
      <c r="T313" s="42"/>
      <c r="U313" s="42"/>
      <c r="V313" s="42"/>
      <c r="W313" s="42"/>
      <c r="X313" s="42"/>
      <c r="Y313" s="42"/>
      <c r="Z313" s="45"/>
      <c r="AA313" s="45"/>
      <c r="AB313" s="45"/>
      <c r="AC313" s="45"/>
      <c r="AD313" s="45"/>
      <c r="AE313" s="45"/>
      <c r="AF313" s="45"/>
      <c r="AG313" s="45"/>
      <c r="AH313" s="45"/>
      <c r="AI313" s="45"/>
      <c r="AJ313" s="45"/>
    </row>
    <row r="314" spans="1:36" x14ac:dyDescent="0.2">
      <c r="A314" s="27"/>
      <c r="B314" s="27" t="s">
        <v>744</v>
      </c>
      <c r="D314" s="27"/>
      <c r="E314" s="27"/>
      <c r="F314" s="27"/>
      <c r="G314" s="216"/>
      <c r="H314" s="216"/>
      <c r="I314" s="216"/>
      <c r="J314" s="216"/>
      <c r="K314" s="216"/>
      <c r="L314" s="92"/>
      <c r="M314" s="2990" t="s">
        <v>657</v>
      </c>
      <c r="N314" s="2990">
        <v>1.35</v>
      </c>
      <c r="O314" s="2990">
        <v>2</v>
      </c>
      <c r="P314" s="421">
        <v>5</v>
      </c>
      <c r="T314" s="42"/>
      <c r="U314" s="42"/>
      <c r="V314" s="42"/>
      <c r="W314" s="42"/>
      <c r="X314" s="42"/>
      <c r="Y314" s="42"/>
      <c r="Z314" s="45"/>
      <c r="AA314" s="45"/>
      <c r="AB314" s="45"/>
      <c r="AC314" s="45"/>
      <c r="AD314" s="45"/>
      <c r="AE314" s="45"/>
      <c r="AF314" s="45"/>
      <c r="AG314" s="45"/>
      <c r="AH314" s="45"/>
      <c r="AI314" s="45"/>
      <c r="AJ314" s="45"/>
    </row>
    <row r="315" spans="1:36" x14ac:dyDescent="0.2">
      <c r="A315" s="27"/>
      <c r="B315" s="27" t="s">
        <v>3673</v>
      </c>
      <c r="D315" s="27"/>
      <c r="E315" s="27"/>
      <c r="F315" s="27"/>
      <c r="G315" s="258" t="str">
        <f>IF(G314&gt;0,INDEX($B$661:$T$661,G314),"")</f>
        <v/>
      </c>
      <c r="H315" s="258" t="str">
        <f>IF(H314&gt;0,INDEX($B$661:$T$661,H314),"")</f>
        <v/>
      </c>
      <c r="I315" s="258" t="str">
        <f>IF(I314&gt;0,INDEX($B$661:$T$661,I314),"")</f>
        <v/>
      </c>
      <c r="J315" s="258" t="str">
        <f>IF(J314&gt;0,INDEX($B$661:$T$661,J314),"")</f>
        <v/>
      </c>
      <c r="K315" s="258" t="str">
        <f>IF(K314&gt;0,INDEX($B$661:$T$661,K314),"")</f>
        <v/>
      </c>
      <c r="L315" s="92"/>
      <c r="M315" s="2990" t="s">
        <v>5629</v>
      </c>
      <c r="N315" s="2990">
        <v>0.9</v>
      </c>
      <c r="O315" s="2990">
        <v>1.2</v>
      </c>
      <c r="P315" s="421">
        <v>6</v>
      </c>
      <c r="T315" s="42"/>
      <c r="U315" s="42"/>
      <c r="V315" s="42"/>
      <c r="W315" s="42"/>
      <c r="X315" s="42"/>
      <c r="Y315" s="42"/>
      <c r="Z315" s="45"/>
      <c r="AA315" s="45"/>
      <c r="AB315" s="45"/>
      <c r="AC315" s="45"/>
      <c r="AD315" s="45"/>
      <c r="AE315" s="45"/>
      <c r="AF315" s="45"/>
      <c r="AG315" s="45"/>
      <c r="AH315" s="45"/>
      <c r="AI315" s="45"/>
      <c r="AJ315" s="45"/>
    </row>
    <row r="316" spans="1:36" x14ac:dyDescent="0.2">
      <c r="A316" s="27"/>
      <c r="B316" s="27" t="s">
        <v>3984</v>
      </c>
      <c r="D316" s="27"/>
      <c r="E316" s="27"/>
      <c r="F316" s="27"/>
      <c r="G316" s="23" t="str">
        <f>IF(G314&gt;0,INDEX($B$663:$T$663,G314),"")</f>
        <v/>
      </c>
      <c r="H316" s="23" t="str">
        <f>IF(H314&gt;0,INDEX($B$663:$T$663,H314),"")</f>
        <v/>
      </c>
      <c r="I316" s="23" t="str">
        <f>IF(I314&gt;0,INDEX($B$663:$T$663,I314),"")</f>
        <v/>
      </c>
      <c r="J316" s="23" t="str">
        <f>IF(J314&gt;0,INDEX($B$663:$T$663,J314),"")</f>
        <v/>
      </c>
      <c r="K316" s="23" t="str">
        <f>IF(K314&gt;0,INDEX($B$663:$T$663,K314),"")</f>
        <v/>
      </c>
      <c r="L316" s="92"/>
      <c r="M316" s="2990" t="s">
        <v>3484</v>
      </c>
      <c r="N316" s="2990">
        <v>1.1000000000000001</v>
      </c>
      <c r="O316" s="2990">
        <v>1.5</v>
      </c>
      <c r="P316" s="421">
        <v>7</v>
      </c>
      <c r="T316" s="41"/>
      <c r="U316" s="41"/>
      <c r="V316" s="41"/>
      <c r="W316" s="41"/>
      <c r="X316" s="41"/>
      <c r="Y316" s="41"/>
      <c r="Z316" s="45"/>
      <c r="AA316" s="45"/>
      <c r="AB316" s="45"/>
      <c r="AC316" s="45"/>
      <c r="AD316" s="45"/>
      <c r="AE316" s="45"/>
      <c r="AF316" s="45"/>
      <c r="AG316" s="45"/>
      <c r="AH316" s="45"/>
      <c r="AI316" s="45"/>
      <c r="AJ316" s="45"/>
    </row>
    <row r="317" spans="1:36" x14ac:dyDescent="0.2">
      <c r="B317" s="27" t="s">
        <v>3674</v>
      </c>
      <c r="D317" s="27"/>
      <c r="E317" s="27"/>
      <c r="F317" s="27"/>
      <c r="G317" s="26">
        <f>IF(G316="",100,G316/60)</f>
        <v>100</v>
      </c>
      <c r="H317" s="26">
        <f>IF(H316="",100,H316/60)</f>
        <v>100</v>
      </c>
      <c r="I317" s="26">
        <f>IF(I316="",100,I316/60)</f>
        <v>100</v>
      </c>
      <c r="J317" s="26">
        <f>IF(J316="",100,J316/60)</f>
        <v>100</v>
      </c>
      <c r="K317" s="26">
        <f>IF(K316="",100,K316/60)</f>
        <v>100</v>
      </c>
      <c r="L317" s="92"/>
      <c r="M317" s="2990" t="s">
        <v>659</v>
      </c>
      <c r="N317" s="2990">
        <v>1.35</v>
      </c>
      <c r="O317" s="2990">
        <v>2</v>
      </c>
      <c r="P317" s="421">
        <v>8</v>
      </c>
      <c r="T317" s="41"/>
      <c r="U317" s="41"/>
      <c r="V317" s="41"/>
      <c r="W317" s="41"/>
      <c r="X317" s="41"/>
      <c r="Y317" s="41"/>
      <c r="Z317" s="45"/>
      <c r="AA317" s="45"/>
      <c r="AB317" s="45"/>
      <c r="AC317" s="45"/>
      <c r="AD317" s="45"/>
      <c r="AE317" s="45"/>
      <c r="AF317" s="45"/>
      <c r="AG317" s="45"/>
      <c r="AH317" s="45"/>
      <c r="AI317" s="45"/>
      <c r="AJ317" s="45"/>
    </row>
    <row r="318" spans="1:36" x14ac:dyDescent="0.2">
      <c r="B318" s="27" t="s">
        <v>745</v>
      </c>
      <c r="D318" s="27"/>
      <c r="E318" s="27"/>
      <c r="F318" s="27"/>
      <c r="G318" s="23">
        <f>IF(G314&gt;0,INDEX($B$664:$T$664,G314),1)</f>
        <v>1</v>
      </c>
      <c r="H318" s="23">
        <f>IF(H314&gt;0,INDEX($B$664:$T$664,H314),1)</f>
        <v>1</v>
      </c>
      <c r="I318" s="23">
        <f>IF(I314&gt;0,INDEX($B$664:$T$664,I314),1)</f>
        <v>1</v>
      </c>
      <c r="J318" s="23">
        <f>IF(J314&gt;0,INDEX($B$664:$T$664,J314),1)</f>
        <v>1</v>
      </c>
      <c r="K318" s="23">
        <f>IF(K314&gt;0,INDEX($B$664:$T$664,K314),1)</f>
        <v>1</v>
      </c>
      <c r="L318" s="92"/>
      <c r="M318" s="2990" t="s">
        <v>660</v>
      </c>
      <c r="N318" s="2990">
        <v>1</v>
      </c>
      <c r="O318" s="2990">
        <v>1.6</v>
      </c>
      <c r="P318" s="421">
        <v>9</v>
      </c>
      <c r="T318" s="41"/>
      <c r="U318" s="41"/>
      <c r="V318" s="41"/>
      <c r="W318" s="41"/>
      <c r="X318" s="41"/>
      <c r="Y318" s="41"/>
      <c r="Z318" s="45"/>
      <c r="AA318" s="45"/>
      <c r="AB318" s="45"/>
      <c r="AC318" s="45"/>
      <c r="AD318" s="45"/>
      <c r="AE318" s="45"/>
      <c r="AF318" s="45"/>
      <c r="AG318" s="45"/>
      <c r="AH318" s="45"/>
      <c r="AI318" s="45"/>
      <c r="AJ318" s="45"/>
    </row>
    <row r="319" spans="1:36" x14ac:dyDescent="0.2">
      <c r="A319" s="22" t="s">
        <v>747</v>
      </c>
      <c r="C319" s="27"/>
      <c r="D319" s="27"/>
      <c r="E319" s="27"/>
      <c r="F319" s="27"/>
      <c r="G319" s="23" t="e">
        <f t="shared" ref="G319:K320" si="8">MIN(G298,G304,G310,G316)</f>
        <v>#VALUE!</v>
      </c>
      <c r="H319" s="23" t="e">
        <f t="shared" si="8"/>
        <v>#VALUE!</v>
      </c>
      <c r="I319" s="23" t="e">
        <f t="shared" si="8"/>
        <v>#VALUE!</v>
      </c>
      <c r="J319" s="23" t="e">
        <f t="shared" si="8"/>
        <v>#VALUE!</v>
      </c>
      <c r="K319" s="23" t="e">
        <f t="shared" si="8"/>
        <v>#VALUE!</v>
      </c>
      <c r="L319" s="92"/>
      <c r="M319" s="2990" t="s">
        <v>5636</v>
      </c>
      <c r="N319" s="2990">
        <v>1.35</v>
      </c>
      <c r="O319" s="2990">
        <v>2.4</v>
      </c>
      <c r="P319" s="421">
        <v>10</v>
      </c>
      <c r="T319" s="41"/>
      <c r="U319" s="41"/>
      <c r="V319" s="41"/>
      <c r="W319" s="41"/>
      <c r="X319" s="41"/>
      <c r="Y319" s="41"/>
      <c r="Z319" s="45"/>
      <c r="AA319" s="45"/>
      <c r="AB319" s="45"/>
      <c r="AC319" s="45"/>
      <c r="AD319" s="45"/>
      <c r="AE319" s="45"/>
      <c r="AF319" s="45"/>
      <c r="AG319" s="45"/>
      <c r="AH319" s="45"/>
      <c r="AI319" s="45"/>
      <c r="AJ319" s="45"/>
    </row>
    <row r="320" spans="1:36" x14ac:dyDescent="0.2">
      <c r="A320" s="4445" t="s">
        <v>748</v>
      </c>
      <c r="B320" s="4373"/>
      <c r="C320" s="4373"/>
      <c r="D320" s="4373"/>
      <c r="E320" s="4373"/>
      <c r="F320" s="27"/>
      <c r="G320" s="26" t="e">
        <f t="shared" si="8"/>
        <v>#VALUE!</v>
      </c>
      <c r="H320" s="26" t="e">
        <f t="shared" si="8"/>
        <v>#VALUE!</v>
      </c>
      <c r="I320" s="26" t="e">
        <f t="shared" si="8"/>
        <v>#VALUE!</v>
      </c>
      <c r="J320" s="26" t="e">
        <f t="shared" si="8"/>
        <v>#VALUE!</v>
      </c>
      <c r="K320" s="26" t="e">
        <f t="shared" si="8"/>
        <v>#VALUE!</v>
      </c>
      <c r="L320" s="92"/>
      <c r="M320" s="2990" t="s">
        <v>5640</v>
      </c>
      <c r="N320" s="2990">
        <v>0.85</v>
      </c>
      <c r="O320" s="2990">
        <v>1.5</v>
      </c>
      <c r="P320" s="421">
        <v>11</v>
      </c>
      <c r="T320" s="41"/>
      <c r="U320" s="41"/>
      <c r="V320" s="41"/>
      <c r="W320" s="41"/>
      <c r="X320" s="41"/>
      <c r="Y320" s="41"/>
      <c r="Z320" s="45"/>
      <c r="AA320" s="45"/>
      <c r="AB320" s="45"/>
      <c r="AC320" s="45"/>
      <c r="AD320" s="45"/>
      <c r="AE320" s="45"/>
      <c r="AF320" s="45"/>
      <c r="AG320" s="45"/>
      <c r="AH320" s="45"/>
      <c r="AI320" s="45"/>
      <c r="AJ320" s="45"/>
    </row>
    <row r="321" spans="1:36" ht="18" x14ac:dyDescent="0.25">
      <c r="A321" s="92"/>
      <c r="B321" s="453"/>
      <c r="C321" s="92"/>
      <c r="D321" s="92"/>
      <c r="E321" s="92"/>
      <c r="F321" s="92"/>
      <c r="G321" s="92"/>
      <c r="H321" s="92"/>
      <c r="I321" s="92"/>
      <c r="J321" s="92"/>
      <c r="K321" s="92"/>
      <c r="L321" s="92"/>
      <c r="M321" s="2990" t="s">
        <v>5668</v>
      </c>
      <c r="N321" s="2990">
        <v>0.95</v>
      </c>
      <c r="O321" s="2990">
        <v>1.75</v>
      </c>
      <c r="P321" s="421">
        <v>12</v>
      </c>
      <c r="T321" s="42"/>
      <c r="U321" s="42"/>
      <c r="V321" s="42"/>
      <c r="W321" s="42"/>
      <c r="X321" s="42"/>
      <c r="Y321" s="42"/>
      <c r="Z321" s="45"/>
      <c r="AA321" s="45"/>
      <c r="AB321" s="45"/>
      <c r="AC321" s="45"/>
      <c r="AD321" s="45"/>
      <c r="AE321" s="45"/>
      <c r="AF321" s="45"/>
      <c r="AG321" s="45"/>
      <c r="AH321" s="45"/>
      <c r="AI321" s="45"/>
      <c r="AJ321" s="45"/>
    </row>
    <row r="322" spans="1:36" ht="13.5" thickBot="1" x14ac:dyDescent="0.25">
      <c r="A322" s="62"/>
      <c r="B322" s="83" t="b">
        <f>IF(G262=2,"Механизированная крепь",IF(G262="","",IF(G262=1,"---------------------")))</f>
        <v>0</v>
      </c>
      <c r="C322" s="83"/>
      <c r="D322" s="83"/>
      <c r="E322" s="83"/>
      <c r="F322" s="83"/>
      <c r="G322" s="423"/>
      <c r="H322" s="424"/>
      <c r="I322" s="424"/>
      <c r="J322" s="424"/>
      <c r="K322" s="424"/>
      <c r="L322" s="92"/>
      <c r="M322" s="2990" t="s">
        <v>5635</v>
      </c>
      <c r="N322" s="2990">
        <v>0.95</v>
      </c>
      <c r="O322" s="2990">
        <v>1.5</v>
      </c>
      <c r="P322" s="428">
        <v>13</v>
      </c>
      <c r="T322" s="42"/>
      <c r="U322" s="42"/>
      <c r="V322" s="42"/>
      <c r="W322" s="42"/>
      <c r="X322" s="42"/>
      <c r="Y322" s="42"/>
      <c r="Z322" s="45"/>
      <c r="AA322" s="45"/>
      <c r="AB322" s="45"/>
      <c r="AC322" s="45"/>
      <c r="AD322" s="45"/>
      <c r="AE322" s="45"/>
      <c r="AF322" s="45"/>
      <c r="AG322" s="45"/>
      <c r="AH322" s="45"/>
      <c r="AI322" s="45"/>
      <c r="AJ322" s="45"/>
    </row>
    <row r="323" spans="1:36" x14ac:dyDescent="0.2">
      <c r="A323" s="70"/>
      <c r="B323" s="62"/>
      <c r="C323" s="62"/>
      <c r="D323" s="62"/>
      <c r="E323" s="62"/>
      <c r="F323" s="62"/>
      <c r="G323" s="425" t="str">
        <f>kursovoy!$B$518</f>
        <v/>
      </c>
      <c r="H323" s="425" t="str">
        <f>kursovoy!$B$518</f>
        <v/>
      </c>
      <c r="I323" s="425" t="str">
        <f>kursovoy!$B$518</f>
        <v/>
      </c>
      <c r="J323" s="425" t="str">
        <f>kursovoy!$B$518</f>
        <v/>
      </c>
      <c r="K323" s="425" t="str">
        <f>kursovoy!$B$518</f>
        <v/>
      </c>
      <c r="L323" s="92"/>
      <c r="M323" s="2990" t="s">
        <v>5633</v>
      </c>
      <c r="N323" s="2990">
        <v>1.1000000000000001</v>
      </c>
      <c r="O323" s="2990">
        <v>1.8</v>
      </c>
      <c r="P323" s="421">
        <v>14</v>
      </c>
      <c r="R323" s="68"/>
      <c r="S323" s="68"/>
      <c r="T323" s="68"/>
      <c r="U323" s="68"/>
      <c r="V323" s="67"/>
      <c r="W323" s="42"/>
      <c r="X323" s="42"/>
      <c r="Y323" s="42"/>
      <c r="Z323" s="45"/>
      <c r="AA323" s="45"/>
      <c r="AB323" s="45"/>
      <c r="AC323" s="45"/>
      <c r="AD323" s="45"/>
      <c r="AE323" s="45"/>
      <c r="AF323" s="45"/>
      <c r="AG323" s="45"/>
      <c r="AH323" s="45"/>
      <c r="AI323" s="45"/>
      <c r="AJ323" s="45"/>
    </row>
    <row r="324" spans="1:36" ht="13.5" thickBot="1" x14ac:dyDescent="0.25">
      <c r="A324" s="86" t="str">
        <f>IF(G262=2,"Номер типа крепи в таблице 4 '","Не вводить !")</f>
        <v>Не вводить !</v>
      </c>
      <c r="B324" s="86"/>
      <c r="C324" s="86"/>
      <c r="D324" s="86"/>
      <c r="E324" s="86"/>
      <c r="F324" s="87"/>
      <c r="G324" s="342" t="str">
        <f>kursovoy!$C$518</f>
        <v/>
      </c>
      <c r="H324" s="342" t="str">
        <f>kursovoy!$C$518</f>
        <v/>
      </c>
      <c r="I324" s="342" t="str">
        <f>kursovoy!$C$518</f>
        <v/>
      </c>
      <c r="J324" s="342" t="str">
        <f>kursovoy!$C$518</f>
        <v/>
      </c>
      <c r="K324" s="342" t="str">
        <f>kursovoy!$C$518</f>
        <v/>
      </c>
      <c r="L324" s="92"/>
      <c r="M324" s="2990" t="s">
        <v>5632</v>
      </c>
      <c r="N324" s="2990">
        <v>1.45</v>
      </c>
      <c r="O324" s="2990">
        <v>2.5</v>
      </c>
      <c r="P324" s="428">
        <v>15</v>
      </c>
      <c r="R324" s="70"/>
      <c r="S324" s="70"/>
      <c r="T324" s="70"/>
      <c r="U324" s="70"/>
      <c r="V324" s="70"/>
      <c r="W324" s="42"/>
      <c r="X324" s="42"/>
      <c r="Y324" s="42"/>
      <c r="Z324" s="45"/>
      <c r="AA324" s="45"/>
      <c r="AB324" s="45"/>
      <c r="AC324" s="45"/>
      <c r="AD324" s="45"/>
      <c r="AE324" s="45"/>
      <c r="AF324" s="45"/>
      <c r="AG324" s="45"/>
      <c r="AH324" s="45"/>
      <c r="AI324" s="45"/>
      <c r="AJ324" s="45"/>
    </row>
    <row r="325" spans="1:36" x14ac:dyDescent="0.2">
      <c r="A325" s="70" t="str">
        <f>IF(G262=2,"Порядок передвижки крепи  ( 1- последовательный, 2 - через рамку)","Не вводить !")</f>
        <v>Не вводить !</v>
      </c>
      <c r="B325" s="70"/>
      <c r="C325" s="70"/>
      <c r="D325" s="70"/>
      <c r="E325" s="70"/>
      <c r="F325" s="70"/>
      <c r="G325" s="342">
        <f>IF(kursovoy!$B$208&gt;3,2,1)</f>
        <v>2</v>
      </c>
      <c r="H325" s="342">
        <f>IF(kursovoy!$B$208&gt;3,2,1)</f>
        <v>2</v>
      </c>
      <c r="I325" s="342">
        <f>IF(kursovoy!$B$208&gt;3,2,1)</f>
        <v>2</v>
      </c>
      <c r="J325" s="342">
        <f>IF(kursovoy!$B$208&gt;3,2,1)</f>
        <v>2</v>
      </c>
      <c r="K325" s="342">
        <f>IF(kursovoy!$B$208&gt;3,2,1)</f>
        <v>2</v>
      </c>
      <c r="L325" s="92"/>
      <c r="R325" s="70"/>
      <c r="S325" s="70"/>
      <c r="T325" s="70"/>
      <c r="U325" s="70"/>
      <c r="V325" s="4441"/>
      <c r="W325" s="42"/>
      <c r="X325" s="42"/>
      <c r="Y325" s="42"/>
      <c r="Z325" s="45"/>
      <c r="AA325" s="45"/>
      <c r="AB325" s="45"/>
      <c r="AC325" s="45"/>
      <c r="AD325" s="45"/>
      <c r="AE325" s="45"/>
      <c r="AF325" s="45"/>
      <c r="AG325" s="45"/>
      <c r="AH325" s="45"/>
      <c r="AI325" s="45"/>
      <c r="AJ325" s="45"/>
    </row>
    <row r="326" spans="1:36" ht="15.75" x14ac:dyDescent="0.25">
      <c r="A326" s="62" t="str">
        <f>IF(G262=2,"Индекс  условий эксплуатации крепи (смотри таблицу в строке","Не вводить !")</f>
        <v>Не вводить !</v>
      </c>
      <c r="B326" s="62"/>
      <c r="C326" s="62"/>
      <c r="D326" s="62"/>
      <c r="E326" s="62"/>
      <c r="F326" s="60"/>
      <c r="G326" s="343">
        <v>3</v>
      </c>
      <c r="H326" s="343">
        <v>4</v>
      </c>
      <c r="I326" s="343">
        <v>5</v>
      </c>
      <c r="J326" s="343">
        <v>6</v>
      </c>
      <c r="K326" s="343">
        <v>7</v>
      </c>
      <c r="L326" s="92"/>
      <c r="R326" s="70"/>
      <c r="S326" s="70"/>
      <c r="T326" s="70"/>
      <c r="U326" s="70"/>
      <c r="V326" s="4441"/>
      <c r="W326" s="42"/>
      <c r="X326" s="42"/>
      <c r="Y326" s="42"/>
      <c r="Z326" s="45"/>
      <c r="AA326" s="45"/>
      <c r="AB326" s="45"/>
      <c r="AC326" s="45"/>
      <c r="AD326" s="45"/>
      <c r="AE326" s="45"/>
      <c r="AF326" s="45"/>
      <c r="AG326" s="45"/>
      <c r="AH326" s="45"/>
      <c r="AI326" s="45"/>
      <c r="AJ326" s="45"/>
    </row>
    <row r="327" spans="1:36" ht="13.5" thickBot="1" x14ac:dyDescent="0.25">
      <c r="A327" s="86" t="str">
        <f>IF(G262=2,"Тип крепи","")</f>
        <v/>
      </c>
      <c r="B327" s="70"/>
      <c r="C327" s="70"/>
      <c r="D327" s="70"/>
      <c r="E327" s="70"/>
      <c r="F327" s="70"/>
      <c r="G327" s="23" t="str">
        <f>kursovoy!$B$518</f>
        <v/>
      </c>
      <c r="H327" s="23" t="str">
        <f>H323</f>
        <v/>
      </c>
      <c r="I327" s="23" t="str">
        <f>I323</f>
        <v/>
      </c>
      <c r="J327" s="23" t="str">
        <f>J323</f>
        <v/>
      </c>
      <c r="K327" s="23" t="str">
        <f>K323</f>
        <v/>
      </c>
      <c r="L327" s="92"/>
      <c r="M327" s="214" t="s">
        <v>3318</v>
      </c>
      <c r="Q327" s="68" t="s">
        <v>1247</v>
      </c>
      <c r="R327" s="70"/>
      <c r="S327" s="70"/>
      <c r="T327" s="70"/>
      <c r="U327" s="70"/>
      <c r="V327" s="4441"/>
      <c r="W327" s="42"/>
      <c r="X327" s="42"/>
      <c r="Y327" s="42"/>
      <c r="Z327" s="45"/>
      <c r="AA327" s="45"/>
      <c r="AB327" s="45"/>
      <c r="AC327" s="45"/>
      <c r="AD327" s="45"/>
      <c r="AE327" s="45"/>
      <c r="AF327" s="45"/>
      <c r="AG327" s="45"/>
      <c r="AH327" s="45"/>
      <c r="AI327" s="45"/>
      <c r="AJ327" s="45"/>
    </row>
    <row r="328" spans="1:36" ht="69" customHeight="1" thickBot="1" x14ac:dyDescent="0.25">
      <c r="A328" s="73" t="str">
        <f>IF(G262=2,"Коэффициент готовности","")</f>
        <v/>
      </c>
      <c r="B328" s="73"/>
      <c r="C328" s="73"/>
      <c r="D328" s="73"/>
      <c r="E328" s="73"/>
      <c r="F328" s="73"/>
      <c r="G328" s="23" t="e">
        <f>IF(OR(G324=0,G262=1),"",INDEX($E$625:$E$637,G324))</f>
        <v>#VALUE!</v>
      </c>
      <c r="H328" s="23" t="e">
        <f>IF(OR(H324=0,H262=1),"",INDEX($E$625:$E$637,H324))</f>
        <v>#VALUE!</v>
      </c>
      <c r="I328" s="23" t="e">
        <f>IF(OR(I324=0,I262=1),"",INDEX($E$625:$E$637,I324))</f>
        <v>#VALUE!</v>
      </c>
      <c r="J328" s="23" t="e">
        <f>IF(OR(J324=0,J262=1),"",INDEX($E$625:$E$637,J324))</f>
        <v>#VALUE!</v>
      </c>
      <c r="K328" s="23" t="e">
        <f>IF(OR(K324=0,K262=1),"",INDEX($E$625:$E$637,K324))</f>
        <v>#VALUE!</v>
      </c>
      <c r="L328" s="92"/>
      <c r="M328" s="4416" t="s">
        <v>2359</v>
      </c>
      <c r="N328" s="4447"/>
      <c r="O328" s="4447"/>
      <c r="P328" s="4448"/>
      <c r="Q328" s="429">
        <v>1</v>
      </c>
      <c r="R328" s="70"/>
      <c r="S328" s="70"/>
      <c r="T328" s="70"/>
      <c r="U328" s="70"/>
      <c r="V328" s="4441"/>
      <c r="W328" s="42"/>
      <c r="X328" s="42"/>
      <c r="Y328" s="42"/>
      <c r="Z328" s="45"/>
      <c r="AA328" s="45"/>
      <c r="AB328" s="45"/>
      <c r="AC328" s="45"/>
      <c r="AD328" s="45"/>
      <c r="AE328" s="45"/>
      <c r="AF328" s="45"/>
      <c r="AG328" s="45"/>
      <c r="AH328" s="45"/>
      <c r="AI328" s="45"/>
      <c r="AJ328" s="45"/>
    </row>
    <row r="329" spans="1:36" ht="68.25" customHeight="1" thickBot="1" x14ac:dyDescent="0.25">
      <c r="A329" s="89" t="str">
        <f>IF(G262=2,"Скорость крепления при последовательной передвижке секций и при устойчивых кровлях","")</f>
        <v/>
      </c>
      <c r="B329" s="89"/>
      <c r="C329" s="89"/>
      <c r="D329" s="89"/>
      <c r="E329" s="89"/>
      <c r="F329" s="89"/>
      <c r="G329" s="88" t="e">
        <f>IF(OR(G324=0,G262=1),"",INDEX($D$625:$D$637,G324))</f>
        <v>#VALUE!</v>
      </c>
      <c r="H329" s="88" t="e">
        <f>IF(OR(H324=0,H262=1),"",INDEX($D$625:$D$637,H324))</f>
        <v>#VALUE!</v>
      </c>
      <c r="I329" s="88" t="e">
        <f>IF(OR(I324=0,I262=1),"",INDEX($D$625:$D$637,I324))</f>
        <v>#VALUE!</v>
      </c>
      <c r="J329" s="88" t="e">
        <f>IF(OR(J324=0,J262=1),"",INDEX($D$625:$D$637,J324))</f>
        <v>#VALUE!</v>
      </c>
      <c r="K329" s="88" t="e">
        <f>IF(OR(K324=0,K262=1),"",INDEX($D$625:$D$637,K324))</f>
        <v>#VALUE!</v>
      </c>
      <c r="L329" s="92"/>
      <c r="M329" s="4449" t="s">
        <v>3319</v>
      </c>
      <c r="N329" s="4450"/>
      <c r="O329" s="4450"/>
      <c r="P329" s="4451"/>
      <c r="Q329" s="430">
        <v>2</v>
      </c>
      <c r="R329" s="70"/>
      <c r="S329" s="70"/>
      <c r="T329" s="70"/>
      <c r="U329" s="70"/>
      <c r="V329" s="70"/>
      <c r="W329" s="42"/>
      <c r="X329" s="42"/>
      <c r="Y329" s="42"/>
      <c r="Z329" s="45"/>
      <c r="AA329" s="45"/>
      <c r="AB329" s="45"/>
      <c r="AC329" s="45"/>
      <c r="AD329" s="45"/>
      <c r="AE329" s="45"/>
      <c r="AF329" s="45"/>
      <c r="AG329" s="45"/>
      <c r="AH329" s="45"/>
      <c r="AI329" s="45"/>
      <c r="AJ329" s="45"/>
    </row>
    <row r="330" spans="1:36" ht="13.5" thickBot="1" x14ac:dyDescent="0.25">
      <c r="A330" s="89" t="str">
        <f>IF(G262=2,"Давление крепи на почву, Mпа","")</f>
        <v/>
      </c>
      <c r="B330" s="89"/>
      <c r="C330" s="89"/>
      <c r="D330" s="89"/>
      <c r="E330" s="89"/>
      <c r="F330" s="89"/>
      <c r="G330" s="88" t="e">
        <f>IF(OR(G324=0,G262=1),"",INDEX($F$625:$F$637,G324))</f>
        <v>#VALUE!</v>
      </c>
      <c r="H330" s="88" t="e">
        <f>IF(OR(H324=0,H262=1),"",INDEX($F$625:$F$637,H324))</f>
        <v>#VALUE!</v>
      </c>
      <c r="I330" s="88" t="e">
        <f>IF(OR(I324=0,I262=1),"",INDEX($F$625:$F$637,I324))</f>
        <v>#VALUE!</v>
      </c>
      <c r="J330" s="88" t="e">
        <f>IF(OR(J324=0,J262=1),"",INDEX($F$625:$F$637,J324))</f>
        <v>#VALUE!</v>
      </c>
      <c r="K330" s="88" t="e">
        <f>IF(OR(K324=0,K262=1),"",INDEX($F$625:$F$637,K324))</f>
        <v>#VALUE!</v>
      </c>
      <c r="L330" s="92"/>
      <c r="M330" s="248" t="s">
        <v>4337</v>
      </c>
      <c r="N330" s="431"/>
      <c r="O330" s="432"/>
      <c r="P330" s="433"/>
      <c r="Q330" s="429">
        <v>3</v>
      </c>
      <c r="R330" s="11"/>
      <c r="S330" s="11"/>
      <c r="T330" s="11"/>
      <c r="U330" s="11"/>
      <c r="V330" s="11"/>
      <c r="W330" s="11"/>
      <c r="X330" s="11"/>
      <c r="Y330" s="42"/>
      <c r="Z330" s="45"/>
      <c r="AA330" s="45"/>
      <c r="AB330" s="45"/>
      <c r="AC330" s="45"/>
      <c r="AD330" s="45"/>
      <c r="AE330" s="45"/>
      <c r="AF330" s="45"/>
      <c r="AG330" s="45"/>
      <c r="AH330" s="45"/>
      <c r="AI330" s="45"/>
      <c r="AJ330" s="45"/>
    </row>
    <row r="331" spans="1:36" x14ac:dyDescent="0.2">
      <c r="A331" s="11"/>
      <c r="B331" s="20"/>
      <c r="C331" s="25" t="s">
        <v>3197</v>
      </c>
      <c r="D331" s="11"/>
      <c r="E331" s="11"/>
      <c r="F331" s="11"/>
      <c r="G331" s="11"/>
      <c r="H331" s="11"/>
      <c r="I331" s="11"/>
      <c r="J331" s="11"/>
      <c r="K331" s="11"/>
      <c r="L331" s="92"/>
      <c r="M331" s="3917"/>
      <c r="N331" s="3911"/>
      <c r="O331" s="3911"/>
      <c r="P331" s="3918"/>
      <c r="Q331" s="430"/>
      <c r="Y331" s="42"/>
      <c r="Z331" s="45"/>
      <c r="AA331" s="45"/>
      <c r="AB331" s="45"/>
      <c r="AC331" s="45"/>
      <c r="AD331" s="45"/>
      <c r="AE331" s="45"/>
      <c r="AF331" s="45"/>
      <c r="AG331" s="45"/>
      <c r="AH331" s="45"/>
      <c r="AI331" s="45"/>
      <c r="AJ331" s="45"/>
    </row>
    <row r="332" spans="1:36" ht="13.5" thickBot="1" x14ac:dyDescent="0.25">
      <c r="A332" s="4439" t="s">
        <v>587</v>
      </c>
      <c r="B332" s="4374"/>
      <c r="C332" s="4374"/>
      <c r="D332" s="4374"/>
      <c r="E332" s="4374"/>
      <c r="G332" s="811" t="e">
        <f>kursovoy!$B$206/100</f>
        <v>#VALUE!</v>
      </c>
      <c r="H332" s="811" t="e">
        <f>kursovoy!$B$206/100</f>
        <v>#VALUE!</v>
      </c>
      <c r="I332" s="811" t="e">
        <f>kursovoy!$B$206/100</f>
        <v>#VALUE!</v>
      </c>
      <c r="J332" s="811" t="e">
        <f>kursovoy!$B$206/100</f>
        <v>#VALUE!</v>
      </c>
      <c r="K332" s="811" t="e">
        <f>kursovoy!$B$206/100</f>
        <v>#VALUE!</v>
      </c>
      <c r="L332" s="92"/>
      <c r="M332" s="3919"/>
      <c r="N332" s="3920"/>
      <c r="O332" s="3920"/>
      <c r="P332" s="3921"/>
      <c r="Q332" s="370"/>
      <c r="Y332" s="42"/>
      <c r="Z332" s="45"/>
      <c r="AA332" s="45"/>
      <c r="AB332" s="45"/>
      <c r="AC332" s="45"/>
      <c r="AD332" s="45"/>
      <c r="AE332" s="45"/>
      <c r="AF332" s="45"/>
      <c r="AG332" s="45"/>
      <c r="AH332" s="45"/>
      <c r="AI332" s="45"/>
      <c r="AJ332" s="45"/>
    </row>
    <row r="333" spans="1:36" x14ac:dyDescent="0.2">
      <c r="A333" s="325" t="s">
        <v>3991</v>
      </c>
      <c r="B333" s="73"/>
      <c r="C333" s="73"/>
      <c r="D333" s="73"/>
      <c r="E333" s="73"/>
      <c r="F333" s="73"/>
      <c r="G333" s="339" t="str">
        <f>kursovoy!$B$405</f>
        <v/>
      </c>
      <c r="H333" s="339" t="str">
        <f>kursovoy!$B$405</f>
        <v/>
      </c>
      <c r="I333" s="339" t="str">
        <f>kursovoy!$B$405</f>
        <v/>
      </c>
      <c r="J333" s="339" t="str">
        <f>kursovoy!$B$405</f>
        <v/>
      </c>
      <c r="K333" s="339" t="str">
        <f>kursovoy!$B$405</f>
        <v/>
      </c>
      <c r="L333" s="92"/>
      <c r="Y333" s="42"/>
      <c r="Z333" s="45"/>
      <c r="AA333" s="45"/>
      <c r="AB333" s="45"/>
      <c r="AC333" s="45"/>
      <c r="AD333" s="45"/>
      <c r="AE333" s="45"/>
      <c r="AF333" s="45"/>
      <c r="AG333" s="45"/>
      <c r="AH333" s="45"/>
      <c r="AI333" s="45"/>
      <c r="AJ333" s="45"/>
    </row>
    <row r="334" spans="1:36" ht="15.75" x14ac:dyDescent="0.25">
      <c r="A334" s="72" t="s">
        <v>3475</v>
      </c>
      <c r="B334" s="66"/>
      <c r="C334" s="72"/>
      <c r="D334" s="74"/>
      <c r="E334" s="72"/>
      <c r="F334" s="72"/>
      <c r="G334" s="338" t="str">
        <f>kursovoy!$B$214</f>
        <v/>
      </c>
      <c r="H334" s="338" t="str">
        <f>kursovoy!$B$214</f>
        <v/>
      </c>
      <c r="I334" s="338" t="str">
        <f>kursovoy!$B$214</f>
        <v/>
      </c>
      <c r="J334" s="338" t="str">
        <f>kursovoy!$B$214</f>
        <v/>
      </c>
      <c r="K334" s="338" t="str">
        <f>kursovoy!$B$214</f>
        <v/>
      </c>
      <c r="L334" s="92"/>
      <c r="Y334" s="41"/>
      <c r="Z334" s="45"/>
      <c r="AA334" s="45"/>
      <c r="AB334" s="45"/>
      <c r="AC334" s="45"/>
      <c r="AD334" s="45"/>
      <c r="AE334" s="45"/>
      <c r="AF334" s="45"/>
      <c r="AG334" s="45"/>
      <c r="AH334" s="45"/>
      <c r="AI334" s="45"/>
      <c r="AJ334" s="45"/>
    </row>
    <row r="335" spans="1:36" ht="16.5" thickBot="1" x14ac:dyDescent="0.3">
      <c r="A335" s="72" t="s">
        <v>3992</v>
      </c>
      <c r="B335" s="66"/>
      <c r="C335" s="72"/>
      <c r="D335" s="74"/>
      <c r="E335" s="72"/>
      <c r="F335" s="72"/>
      <c r="G335" s="338" t="str">
        <f>kursovoy!$B$216</f>
        <v/>
      </c>
      <c r="H335" s="338" t="str">
        <f>kursovoy!$B$216</f>
        <v/>
      </c>
      <c r="I335" s="338" t="str">
        <f>kursovoy!$B$216</f>
        <v/>
      </c>
      <c r="J335" s="338" t="str">
        <f>kursovoy!$B$216</f>
        <v/>
      </c>
      <c r="K335" s="338" t="str">
        <f>kursovoy!$B$216</f>
        <v/>
      </c>
      <c r="L335" s="92"/>
      <c r="P335" s="31" t="s">
        <v>1012</v>
      </c>
      <c r="Y335" s="42"/>
      <c r="Z335" s="45"/>
      <c r="AA335" s="45"/>
      <c r="AB335" s="45"/>
      <c r="AC335" s="45"/>
      <c r="AD335" s="45"/>
      <c r="AE335" s="45"/>
      <c r="AF335" s="45"/>
      <c r="AG335" s="45"/>
      <c r="AH335" s="45"/>
      <c r="AI335" s="45"/>
      <c r="AJ335" s="45"/>
    </row>
    <row r="336" spans="1:36" ht="15" thickBot="1" x14ac:dyDescent="0.25">
      <c r="A336" s="326" t="s">
        <v>3978</v>
      </c>
      <c r="B336" s="327"/>
      <c r="C336" s="326"/>
      <c r="D336" s="326"/>
      <c r="E336" s="62"/>
      <c r="F336" s="328"/>
      <c r="G336" s="340" t="str">
        <f>kursovoy!$B$218</f>
        <v/>
      </c>
      <c r="H336" s="340" t="str">
        <f>kursovoy!$B$218</f>
        <v/>
      </c>
      <c r="I336" s="340" t="str">
        <f>kursovoy!$B$218</f>
        <v/>
      </c>
      <c r="J336" s="340" t="str">
        <f>kursovoy!$B$218</f>
        <v/>
      </c>
      <c r="K336" s="340" t="str">
        <f>kursovoy!$B$218</f>
        <v/>
      </c>
      <c r="L336" s="92"/>
      <c r="N336" s="4420" t="s">
        <v>1863</v>
      </c>
      <c r="O336" s="4380" t="s">
        <v>1864</v>
      </c>
      <c r="P336" s="4356" t="s">
        <v>1865</v>
      </c>
      <c r="Q336" s="4379"/>
      <c r="R336" s="4380"/>
      <c r="S336" s="4416" t="s">
        <v>1866</v>
      </c>
      <c r="T336" s="4417"/>
      <c r="U336" s="4417"/>
      <c r="V336" s="4417"/>
      <c r="W336" s="4356" t="s">
        <v>1867</v>
      </c>
      <c r="X336" s="4357"/>
      <c r="Y336" s="42"/>
      <c r="Z336" s="45"/>
      <c r="AA336" s="45"/>
      <c r="AB336" s="45"/>
      <c r="AC336" s="45"/>
      <c r="AD336" s="45"/>
      <c r="AE336" s="45"/>
      <c r="AF336" s="45"/>
      <c r="AG336" s="45"/>
      <c r="AH336" s="45"/>
      <c r="AI336" s="45"/>
      <c r="AJ336" s="45"/>
    </row>
    <row r="337" spans="1:36" x14ac:dyDescent="0.2">
      <c r="A337" s="4375" t="s">
        <v>3667</v>
      </c>
      <c r="B337" s="4375"/>
      <c r="C337" s="4375"/>
      <c r="D337" s="4375"/>
      <c r="E337" s="4375"/>
      <c r="F337" s="62"/>
      <c r="G337" s="341" t="str">
        <f>kursovoy!$B$219</f>
        <v/>
      </c>
      <c r="H337" s="341" t="str">
        <f>kursovoy!$B$219</f>
        <v/>
      </c>
      <c r="I337" s="341" t="str">
        <f>kursovoy!$B$219</f>
        <v/>
      </c>
      <c r="J337" s="341" t="str">
        <f>kursovoy!$B$219</f>
        <v/>
      </c>
      <c r="K337" s="341" t="str">
        <f>kursovoy!$B$219</f>
        <v/>
      </c>
      <c r="L337" s="92"/>
      <c r="N337" s="4421"/>
      <c r="O337" s="4382"/>
      <c r="P337" s="4358"/>
      <c r="Q337" s="4381"/>
      <c r="R337" s="4382"/>
      <c r="S337" s="4365" t="s">
        <v>1868</v>
      </c>
      <c r="T337" s="4423"/>
      <c r="U337" s="4365" t="s">
        <v>1869</v>
      </c>
      <c r="V337" s="4366"/>
      <c r="W337" s="4358"/>
      <c r="X337" s="4359"/>
      <c r="Y337" s="42"/>
      <c r="Z337" s="45"/>
      <c r="AA337" s="45"/>
      <c r="AB337" s="45"/>
      <c r="AC337" s="45"/>
      <c r="AD337" s="45"/>
      <c r="AE337" s="45"/>
      <c r="AF337" s="45"/>
      <c r="AG337" s="45"/>
      <c r="AH337" s="45"/>
      <c r="AI337" s="45"/>
      <c r="AJ337" s="45"/>
    </row>
    <row r="338" spans="1:36" ht="16.5" thickBot="1" x14ac:dyDescent="0.3">
      <c r="A338" s="4375" t="s">
        <v>3317</v>
      </c>
      <c r="B338" s="4375"/>
      <c r="C338" s="4375"/>
      <c r="D338" s="4375"/>
      <c r="E338" s="4375"/>
      <c r="F338" s="812"/>
      <c r="G338" s="338" t="b">
        <f>IF(kursovoy!$B$208=1,1,IF(kursovoy!$B$208=2,1,IF(kursovoy!$B$208=3,2,IF(kursovoy!$B$208=4,3,IF(kursovoy!$B$208=5,4)))))</f>
        <v>0</v>
      </c>
      <c r="H338" s="338" t="b">
        <f>IF(kursovoy!$B$208=1,1,IF(kursovoy!$B$208=2,1,IF(kursovoy!$B$208=3,2,IF(kursovoy!$B$208=4,3,IF(kursovoy!$B$208=5,4)))))</f>
        <v>0</v>
      </c>
      <c r="I338" s="338" t="b">
        <f>IF(kursovoy!$B$208=1,1,IF(kursovoy!$B$208=2,1,IF(kursovoy!$B$208=3,2,IF(kursovoy!$B$208=4,3,IF(kursovoy!$B$208=5,4)))))</f>
        <v>0</v>
      </c>
      <c r="J338" s="338" t="b">
        <f>IF(kursovoy!$B$208=1,1,IF(kursovoy!$B$208=2,1,IF(kursovoy!$B$208=3,2,IF(kursovoy!$B$208=4,3,IF(kursovoy!$B$208=5,4)))))</f>
        <v>0</v>
      </c>
      <c r="K338" s="338" t="b">
        <f>IF(kursovoy!$B$208=1,1,IF(kursovoy!$B$208=2,1,IF(kursovoy!$B$208=3,2,IF(kursovoy!$B$208=4,3,IF(kursovoy!$B$208=5,4)))))</f>
        <v>0</v>
      </c>
      <c r="L338" s="92"/>
      <c r="N338" s="4422"/>
      <c r="O338" s="4361"/>
      <c r="P338" s="4360"/>
      <c r="Q338" s="4383"/>
      <c r="R338" s="4384"/>
      <c r="S338" s="4367"/>
      <c r="T338" s="4424"/>
      <c r="U338" s="4367"/>
      <c r="V338" s="4368"/>
      <c r="W338" s="4360"/>
      <c r="X338" s="4361"/>
      <c r="Y338" s="42"/>
      <c r="Z338" s="45"/>
      <c r="AA338" s="45"/>
      <c r="AB338" s="45"/>
      <c r="AC338" s="45"/>
      <c r="AD338" s="45"/>
      <c r="AE338" s="45"/>
      <c r="AF338" s="45"/>
      <c r="AG338" s="45"/>
      <c r="AH338" s="45"/>
      <c r="AI338" s="45"/>
      <c r="AJ338" s="45"/>
    </row>
    <row r="339" spans="1:36" ht="15.75" x14ac:dyDescent="0.2">
      <c r="A339" s="4440" t="s">
        <v>5544</v>
      </c>
      <c r="B339" s="4373"/>
      <c r="C339" s="4373"/>
      <c r="D339" s="4373"/>
      <c r="E339" s="4373"/>
      <c r="F339" s="62"/>
      <c r="G339" s="338" t="str">
        <f>kursovoy!$B$220</f>
        <v/>
      </c>
      <c r="H339" s="338" t="str">
        <f>kursovoy!$B$220</f>
        <v/>
      </c>
      <c r="I339" s="338" t="str">
        <f>kursovoy!$B$220</f>
        <v/>
      </c>
      <c r="J339" s="338" t="str">
        <f>kursovoy!$B$220</f>
        <v/>
      </c>
      <c r="K339" s="338" t="str">
        <f>kursovoy!$B$220</f>
        <v/>
      </c>
      <c r="L339" s="92"/>
      <c r="M339" s="92"/>
      <c r="N339" s="192">
        <v>1</v>
      </c>
      <c r="O339" s="193" t="s">
        <v>3458</v>
      </c>
      <c r="P339" s="4376" t="s">
        <v>1870</v>
      </c>
      <c r="Q339" s="4377"/>
      <c r="R339" s="4378"/>
      <c r="S339" s="4369" t="s">
        <v>1239</v>
      </c>
      <c r="T339" s="4370"/>
      <c r="U339" s="4371" t="s">
        <v>1240</v>
      </c>
      <c r="V339" s="4372"/>
      <c r="W339" s="4407" t="s">
        <v>3970</v>
      </c>
      <c r="X339" s="4407"/>
      <c r="Y339" s="45"/>
      <c r="Z339" s="45"/>
      <c r="AA339" s="45"/>
      <c r="AB339" s="45"/>
      <c r="AC339" s="45"/>
      <c r="AD339" s="45"/>
      <c r="AE339" s="45"/>
      <c r="AF339" s="45"/>
      <c r="AG339" s="45"/>
      <c r="AH339" s="45"/>
      <c r="AI339" s="45"/>
      <c r="AJ339" s="45"/>
    </row>
    <row r="340" spans="1:36" ht="15.75" x14ac:dyDescent="0.2">
      <c r="A340" s="4375" t="s">
        <v>4000</v>
      </c>
      <c r="B340" s="4373"/>
      <c r="C340" s="4373"/>
      <c r="D340" s="4373"/>
      <c r="E340" s="4373"/>
      <c r="F340" s="62"/>
      <c r="G340" s="333" t="str">
        <f>kursovoy!$B$222</f>
        <v/>
      </c>
      <c r="H340" s="333" t="str">
        <f>kursovoy!$B$222</f>
        <v/>
      </c>
      <c r="I340" s="333" t="str">
        <f>kursovoy!$B$222</f>
        <v/>
      </c>
      <c r="J340" s="333" t="str">
        <f>kursovoy!$B$222</f>
        <v/>
      </c>
      <c r="K340" s="333" t="str">
        <f>kursovoy!$B$222</f>
        <v/>
      </c>
      <c r="L340" s="92"/>
      <c r="M340" s="92"/>
      <c r="N340" s="194">
        <v>2</v>
      </c>
      <c r="O340" s="195" t="s">
        <v>3459</v>
      </c>
      <c r="P340" s="4350" t="s">
        <v>1871</v>
      </c>
      <c r="Q340" s="4351"/>
      <c r="R340" s="4352"/>
      <c r="S340" s="4401" t="s">
        <v>1241</v>
      </c>
      <c r="T340" s="4402"/>
      <c r="U340" s="4346" t="s">
        <v>1242</v>
      </c>
      <c r="V340" s="4347"/>
      <c r="W340" s="4345" t="s">
        <v>3971</v>
      </c>
      <c r="X340" s="4345"/>
      <c r="Y340" s="45"/>
      <c r="Z340" s="45"/>
      <c r="AA340" s="45"/>
      <c r="AB340" s="45"/>
      <c r="AC340" s="45"/>
      <c r="AD340" s="45"/>
      <c r="AE340" s="45"/>
      <c r="AF340" s="45"/>
      <c r="AG340" s="45"/>
      <c r="AH340" s="45"/>
      <c r="AI340" s="45"/>
      <c r="AJ340" s="45"/>
    </row>
    <row r="341" spans="1:36" ht="17.25" x14ac:dyDescent="0.3">
      <c r="A341" s="4375" t="s">
        <v>2087</v>
      </c>
      <c r="B341" s="4375"/>
      <c r="C341" s="4375"/>
      <c r="D341" s="4375"/>
      <c r="E341" s="4375"/>
      <c r="F341" s="62"/>
      <c r="G341" s="334" t="str">
        <f>kursovoy!$B$207</f>
        <v/>
      </c>
      <c r="H341" s="334" t="str">
        <f>kursovoy!$B$207</f>
        <v/>
      </c>
      <c r="I341" s="334" t="str">
        <f>kursovoy!$B$207</f>
        <v/>
      </c>
      <c r="J341" s="334" t="str">
        <f>kursovoy!$B$207</f>
        <v/>
      </c>
      <c r="K341" s="334" t="str">
        <f>kursovoy!$B$207</f>
        <v/>
      </c>
      <c r="L341" s="92"/>
      <c r="M341" s="92"/>
      <c r="N341" s="194">
        <v>3</v>
      </c>
      <c r="O341" s="195" t="s">
        <v>3460</v>
      </c>
      <c r="P341" s="4350" t="s">
        <v>1872</v>
      </c>
      <c r="Q341" s="4351"/>
      <c r="R341" s="4352"/>
      <c r="S341" s="4401" t="s">
        <v>1243</v>
      </c>
      <c r="T341" s="4402"/>
      <c r="U341" s="4346" t="s">
        <v>1244</v>
      </c>
      <c r="V341" s="4347"/>
      <c r="W341" s="4345" t="s">
        <v>3974</v>
      </c>
      <c r="X341" s="4345"/>
      <c r="Y341" s="45"/>
      <c r="Z341" s="45"/>
      <c r="AA341" s="45"/>
      <c r="AB341" s="45"/>
      <c r="AC341" s="45"/>
      <c r="AD341" s="45"/>
      <c r="AE341" s="45"/>
      <c r="AF341" s="45"/>
      <c r="AG341" s="45"/>
      <c r="AH341" s="45"/>
      <c r="AI341" s="45"/>
      <c r="AJ341" s="45"/>
    </row>
    <row r="342" spans="1:36" ht="15.75" x14ac:dyDescent="0.2">
      <c r="A342" s="4440" t="s">
        <v>3668</v>
      </c>
      <c r="B342" s="4373"/>
      <c r="C342" s="4373"/>
      <c r="D342" s="4373"/>
      <c r="E342" s="4373"/>
      <c r="F342" s="62"/>
      <c r="G342" s="334" t="str">
        <f>kursovoy!$B$224</f>
        <v/>
      </c>
      <c r="H342" s="334" t="str">
        <f>kursovoy!$B$224</f>
        <v/>
      </c>
      <c r="I342" s="334" t="str">
        <f>kursovoy!$B$224</f>
        <v/>
      </c>
      <c r="J342" s="334" t="str">
        <f>kursovoy!$B$224</f>
        <v/>
      </c>
      <c r="K342" s="334" t="str">
        <f>kursovoy!$B$224</f>
        <v/>
      </c>
      <c r="L342" s="92"/>
      <c r="M342" s="92"/>
      <c r="N342" s="194">
        <v>4</v>
      </c>
      <c r="O342" s="195" t="s">
        <v>3461</v>
      </c>
      <c r="P342" s="4350" t="s">
        <v>3175</v>
      </c>
      <c r="Q342" s="4351"/>
      <c r="R342" s="4352"/>
      <c r="S342" s="4401" t="s">
        <v>1245</v>
      </c>
      <c r="T342" s="4402"/>
      <c r="U342" s="4346" t="s">
        <v>1246</v>
      </c>
      <c r="V342" s="4347"/>
      <c r="W342" s="4345" t="s">
        <v>3975</v>
      </c>
      <c r="X342" s="4345"/>
      <c r="Y342" s="45"/>
      <c r="Z342" s="45"/>
      <c r="AA342" s="45"/>
      <c r="AB342" s="45"/>
      <c r="AC342" s="45"/>
      <c r="AD342" s="45"/>
      <c r="AE342" s="45"/>
      <c r="AF342" s="45"/>
      <c r="AG342" s="45"/>
      <c r="AH342" s="45"/>
      <c r="AI342" s="45"/>
      <c r="AJ342" s="45"/>
    </row>
    <row r="343" spans="1:36" ht="15.75" x14ac:dyDescent="0.2">
      <c r="A343" s="72" t="s">
        <v>3669</v>
      </c>
      <c r="B343" s="74"/>
      <c r="C343" s="62"/>
      <c r="D343" s="62"/>
      <c r="E343" s="62"/>
      <c r="F343" s="62"/>
      <c r="G343" s="334" t="str">
        <f>kursovoy!$B$210</f>
        <v/>
      </c>
      <c r="H343" s="334" t="str">
        <f>kursovoy!$B$210</f>
        <v/>
      </c>
      <c r="I343" s="334" t="str">
        <f>kursovoy!$B$210</f>
        <v/>
      </c>
      <c r="J343" s="334" t="str">
        <f>kursovoy!$B$210</f>
        <v/>
      </c>
      <c r="K343" s="334" t="str">
        <f>kursovoy!$B$210</f>
        <v/>
      </c>
      <c r="L343" s="92"/>
      <c r="M343" s="92"/>
      <c r="N343" s="194">
        <v>5</v>
      </c>
      <c r="O343" s="195" t="s">
        <v>3462</v>
      </c>
      <c r="P343" s="4350" t="s">
        <v>4925</v>
      </c>
      <c r="Q343" s="4351"/>
      <c r="R343" s="4352"/>
      <c r="S343" s="4346" t="s">
        <v>4926</v>
      </c>
      <c r="T343" s="4347"/>
      <c r="U343" s="4347"/>
      <c r="V343" s="4348"/>
      <c r="W343" s="4345" t="s">
        <v>3976</v>
      </c>
      <c r="X343" s="4345"/>
      <c r="Y343" s="45"/>
      <c r="Z343" s="45"/>
      <c r="AA343" s="45"/>
      <c r="AB343" s="45"/>
      <c r="AC343" s="45"/>
      <c r="AD343" s="45"/>
      <c r="AE343" s="45"/>
      <c r="AF343" s="45"/>
      <c r="AG343" s="45"/>
      <c r="AH343" s="45"/>
      <c r="AI343" s="45"/>
      <c r="AJ343" s="45"/>
    </row>
    <row r="344" spans="1:36" x14ac:dyDescent="0.2">
      <c r="A344" s="62" t="s">
        <v>3489</v>
      </c>
      <c r="B344" s="62"/>
      <c r="C344" s="62"/>
      <c r="D344" s="62"/>
      <c r="E344" s="62"/>
      <c r="F344" s="62"/>
      <c r="G344" s="334" t="str">
        <f>kursovoy!$B$225</f>
        <v/>
      </c>
      <c r="H344" s="334" t="str">
        <f>kursovoy!$B$225</f>
        <v/>
      </c>
      <c r="I344" s="334" t="str">
        <f>kursovoy!$B$225</f>
        <v/>
      </c>
      <c r="J344" s="334" t="str">
        <f>kursovoy!$B$225</f>
        <v/>
      </c>
      <c r="K344" s="334" t="str">
        <f>kursovoy!$B$225</f>
        <v/>
      </c>
      <c r="L344" s="92"/>
      <c r="M344" s="92"/>
      <c r="N344" s="27"/>
      <c r="O344" s="86"/>
      <c r="P344" s="95"/>
      <c r="Q344" s="72"/>
      <c r="R344" s="45"/>
      <c r="S344" s="45"/>
      <c r="T344" s="45"/>
      <c r="U344" s="45"/>
      <c r="V344" s="45"/>
      <c r="W344" s="45"/>
      <c r="X344" s="45"/>
      <c r="Y344" s="45"/>
      <c r="Z344" s="45"/>
      <c r="AA344" s="45"/>
      <c r="AB344" s="45"/>
      <c r="AC344" s="45"/>
      <c r="AD344" s="45"/>
      <c r="AE344" s="45"/>
      <c r="AF344" s="45"/>
      <c r="AG344" s="45"/>
      <c r="AH344" s="45"/>
      <c r="AI344" s="45"/>
      <c r="AJ344" s="45"/>
    </row>
    <row r="345" spans="1:36" x14ac:dyDescent="0.2">
      <c r="A345" s="62" t="s">
        <v>3671</v>
      </c>
      <c r="B345" s="62"/>
      <c r="C345" s="62"/>
      <c r="D345" s="62"/>
      <c r="E345" s="62"/>
      <c r="F345" s="62"/>
      <c r="G345" s="334" t="str">
        <f>kursovoy!$B$226</f>
        <v/>
      </c>
      <c r="H345" s="334" t="str">
        <f>kursovoy!$B$226</f>
        <v/>
      </c>
      <c r="I345" s="334" t="str">
        <f>kursovoy!$B$226</f>
        <v/>
      </c>
      <c r="J345" s="334" t="str">
        <f>kursovoy!$B$226</f>
        <v/>
      </c>
      <c r="K345" s="334" t="str">
        <f>kursovoy!$B$226</f>
        <v/>
      </c>
      <c r="L345" s="92"/>
      <c r="M345" s="92"/>
      <c r="N345" s="27"/>
      <c r="O345" s="86"/>
      <c r="P345" s="95"/>
      <c r="Q345" s="72"/>
      <c r="R345" s="45"/>
      <c r="S345" s="45"/>
      <c r="T345" s="45"/>
      <c r="U345" s="45"/>
      <c r="V345" s="45"/>
      <c r="W345" s="45"/>
      <c r="X345" s="45"/>
      <c r="Y345" s="45"/>
      <c r="Z345" s="45"/>
      <c r="AA345" s="45"/>
      <c r="AB345" s="45"/>
      <c r="AC345" s="45"/>
      <c r="AD345" s="45"/>
      <c r="AE345" s="45"/>
      <c r="AF345" s="45"/>
      <c r="AG345" s="45"/>
      <c r="AH345" s="45"/>
      <c r="AI345" s="45"/>
      <c r="AJ345" s="45"/>
    </row>
    <row r="346" spans="1:36" x14ac:dyDescent="0.2">
      <c r="A346" s="62" t="s">
        <v>3476</v>
      </c>
      <c r="B346" s="62"/>
      <c r="C346" s="62"/>
      <c r="D346" s="62"/>
      <c r="E346" s="62"/>
      <c r="F346" s="62"/>
      <c r="G346" s="334" t="str">
        <f>kursovoy!$B$227</f>
        <v/>
      </c>
      <c r="H346" s="334" t="str">
        <f>kursovoy!$B$227</f>
        <v/>
      </c>
      <c r="I346" s="334" t="str">
        <f>kursovoy!$B$227</f>
        <v/>
      </c>
      <c r="J346" s="334" t="str">
        <f>kursovoy!$B$227</f>
        <v/>
      </c>
      <c r="K346" s="334" t="str">
        <f>kursovoy!$B$227</f>
        <v/>
      </c>
      <c r="L346" s="92"/>
      <c r="M346" s="92"/>
      <c r="N346" s="27"/>
      <c r="O346" s="86"/>
      <c r="P346" s="95"/>
      <c r="Q346" s="72"/>
      <c r="R346" s="45"/>
      <c r="S346" s="45"/>
      <c r="T346" s="45"/>
      <c r="U346" s="45"/>
      <c r="V346" s="45"/>
      <c r="W346" s="45"/>
      <c r="X346" s="45"/>
      <c r="Y346" s="45"/>
      <c r="Z346" s="45"/>
      <c r="AA346" s="45"/>
      <c r="AB346" s="45"/>
      <c r="AC346" s="45"/>
      <c r="AD346" s="45"/>
      <c r="AE346" s="45"/>
      <c r="AF346" s="45"/>
      <c r="AG346" s="45"/>
      <c r="AH346" s="45"/>
      <c r="AI346" s="45"/>
      <c r="AJ346" s="45"/>
    </row>
    <row r="347" spans="1:36" x14ac:dyDescent="0.2">
      <c r="A347" s="11"/>
      <c r="B347" s="59"/>
      <c r="D347" s="59"/>
      <c r="E347" s="59"/>
      <c r="F347" s="59"/>
      <c r="G347" s="59"/>
      <c r="H347" s="59"/>
      <c r="I347" s="59"/>
      <c r="J347" s="59"/>
      <c r="K347" s="59"/>
      <c r="L347" s="92"/>
      <c r="M347" s="92"/>
      <c r="N347" s="27"/>
      <c r="O347" s="86"/>
      <c r="P347" s="95"/>
      <c r="Q347" s="72"/>
      <c r="R347" s="45"/>
      <c r="S347" s="45"/>
      <c r="T347" s="45"/>
      <c r="U347" s="45"/>
      <c r="V347" s="45"/>
      <c r="W347" s="45"/>
      <c r="X347" s="45"/>
      <c r="Y347" s="45"/>
      <c r="Z347" s="45"/>
      <c r="AA347" s="45"/>
      <c r="AB347" s="45"/>
      <c r="AC347" s="45"/>
      <c r="AD347" s="45"/>
      <c r="AE347" s="45"/>
      <c r="AF347" s="45"/>
      <c r="AG347" s="45"/>
      <c r="AH347" s="45"/>
      <c r="AI347" s="45"/>
      <c r="AJ347" s="45"/>
    </row>
    <row r="348" spans="1:36" x14ac:dyDescent="0.2">
      <c r="A348" s="4452" t="s">
        <v>4114</v>
      </c>
      <c r="B348" s="4373"/>
      <c r="C348" s="4373"/>
      <c r="D348" s="4373"/>
      <c r="E348" s="4373"/>
      <c r="F348" s="87"/>
      <c r="G348" s="334">
        <f>IF(kursovoy!$B$903=1,0,IF(kursovoy!$B$903=2,0,1))</f>
        <v>1</v>
      </c>
      <c r="H348" s="334">
        <f>IF(kursovoy!$B$903=1,0,IF(kursovoy!$B$903=2,0,1))</f>
        <v>1</v>
      </c>
      <c r="I348" s="334">
        <f>IF(kursovoy!$B$903=1,0,IF(kursovoy!$B$903=2,0,1))</f>
        <v>1</v>
      </c>
      <c r="J348" s="334">
        <f>IF(kursovoy!$B$903=1,0,IF(kursovoy!$B$903=2,0,1))</f>
        <v>1</v>
      </c>
      <c r="K348" s="334">
        <f>IF(kursovoy!$B$903=1,0,IF(kursovoy!$B$903=2,0,1))</f>
        <v>1</v>
      </c>
      <c r="L348" s="92"/>
      <c r="M348" s="92"/>
      <c r="N348" s="27"/>
      <c r="O348" s="86"/>
      <c r="P348" s="95"/>
      <c r="Q348" s="72"/>
      <c r="R348" s="45"/>
      <c r="S348" s="45"/>
      <c r="T348" s="45"/>
      <c r="U348" s="45"/>
      <c r="V348" s="45"/>
      <c r="W348" s="45"/>
      <c r="X348" s="45"/>
      <c r="Y348" s="45"/>
      <c r="Z348" s="45"/>
      <c r="AA348" s="45"/>
      <c r="AB348" s="45"/>
      <c r="AC348" s="45"/>
      <c r="AD348" s="45"/>
      <c r="AE348" s="45"/>
      <c r="AF348" s="45"/>
      <c r="AG348" s="45"/>
      <c r="AH348" s="45"/>
      <c r="AI348" s="45"/>
      <c r="AJ348" s="45"/>
    </row>
    <row r="349" spans="1:36" x14ac:dyDescent="0.2">
      <c r="L349" s="92"/>
      <c r="M349" s="92"/>
      <c r="N349" s="27"/>
      <c r="O349" s="86"/>
      <c r="P349" s="95"/>
      <c r="Q349" s="72"/>
      <c r="R349" s="45"/>
      <c r="S349" s="45"/>
      <c r="T349" s="45"/>
      <c r="U349" s="45"/>
      <c r="V349" s="45"/>
      <c r="W349" s="45"/>
      <c r="X349" s="45"/>
      <c r="Y349" s="45"/>
      <c r="Z349" s="45"/>
      <c r="AA349" s="45"/>
      <c r="AB349" s="45"/>
      <c r="AC349" s="45"/>
      <c r="AD349" s="45"/>
      <c r="AE349" s="45"/>
      <c r="AF349" s="45"/>
      <c r="AG349" s="45"/>
      <c r="AH349" s="45"/>
      <c r="AI349" s="45"/>
      <c r="AJ349" s="45"/>
    </row>
    <row r="350" spans="1:36" ht="18" x14ac:dyDescent="0.25">
      <c r="A350" s="92"/>
      <c r="B350" s="453"/>
      <c r="C350" s="92"/>
      <c r="D350" s="92"/>
      <c r="E350" s="92"/>
      <c r="F350" s="92"/>
      <c r="G350" s="92"/>
      <c r="H350" s="92"/>
      <c r="I350" s="92"/>
      <c r="J350" s="92"/>
      <c r="K350" s="92"/>
      <c r="L350" s="92"/>
      <c r="M350" s="92"/>
      <c r="N350" s="27"/>
      <c r="O350" s="86"/>
      <c r="P350" s="95"/>
      <c r="Q350" s="72"/>
      <c r="R350" s="45"/>
      <c r="S350" s="45"/>
      <c r="T350" s="45"/>
      <c r="U350" s="45"/>
      <c r="V350" s="45"/>
      <c r="W350" s="45"/>
      <c r="X350" s="45"/>
      <c r="Y350" s="45"/>
      <c r="Z350" s="45"/>
      <c r="AA350" s="45"/>
      <c r="AB350" s="45"/>
      <c r="AC350" s="45"/>
      <c r="AD350" s="45"/>
      <c r="AE350" s="45"/>
      <c r="AF350" s="45"/>
      <c r="AG350" s="45"/>
      <c r="AH350" s="45"/>
      <c r="AI350" s="45"/>
      <c r="AJ350" s="45"/>
    </row>
    <row r="351" spans="1:36" x14ac:dyDescent="0.2">
      <c r="L351" s="92"/>
      <c r="M351" s="92"/>
      <c r="N351" s="27"/>
      <c r="O351" s="86"/>
      <c r="P351" s="95"/>
      <c r="Q351" s="72"/>
      <c r="R351" s="45"/>
      <c r="S351" s="45"/>
      <c r="T351" s="45"/>
      <c r="U351" s="45"/>
      <c r="V351" s="45"/>
      <c r="W351" s="45"/>
      <c r="X351" s="45"/>
      <c r="Y351" s="45"/>
      <c r="Z351" s="45"/>
      <c r="AA351" s="45"/>
      <c r="AB351" s="45"/>
      <c r="AC351" s="45"/>
      <c r="AD351" s="45"/>
      <c r="AE351" s="45"/>
      <c r="AF351" s="45"/>
      <c r="AG351" s="45"/>
      <c r="AH351" s="45"/>
      <c r="AI351" s="45"/>
      <c r="AJ351" s="45"/>
    </row>
    <row r="352" spans="1:36" x14ac:dyDescent="0.2">
      <c r="L352" s="92"/>
      <c r="M352" s="92"/>
      <c r="N352" s="27"/>
      <c r="O352" s="86"/>
      <c r="P352" s="95"/>
      <c r="Q352" s="72"/>
      <c r="R352" s="45"/>
      <c r="S352" s="45"/>
      <c r="T352" s="45"/>
      <c r="U352" s="45"/>
      <c r="V352" s="45"/>
      <c r="W352" s="45"/>
      <c r="X352" s="45"/>
      <c r="Y352" s="45"/>
      <c r="Z352" s="45"/>
      <c r="AA352" s="45"/>
      <c r="AB352" s="45"/>
      <c r="AC352" s="45"/>
      <c r="AD352" s="45"/>
      <c r="AE352" s="45"/>
      <c r="AF352" s="45"/>
      <c r="AG352" s="45"/>
      <c r="AH352" s="45"/>
      <c r="AI352" s="45"/>
      <c r="AJ352" s="45"/>
    </row>
    <row r="353" spans="1:36" x14ac:dyDescent="0.2">
      <c r="L353" s="92"/>
      <c r="M353" s="92"/>
      <c r="N353" s="27"/>
      <c r="O353" s="86"/>
      <c r="P353" s="95"/>
      <c r="Q353" s="72"/>
      <c r="R353" s="45"/>
      <c r="S353" s="45"/>
      <c r="T353" s="45"/>
      <c r="U353" s="45"/>
      <c r="V353" s="45"/>
      <c r="W353" s="45"/>
      <c r="X353" s="45"/>
      <c r="Y353" s="45"/>
      <c r="Z353" s="45"/>
      <c r="AA353" s="45"/>
      <c r="AB353" s="45"/>
      <c r="AC353" s="45"/>
      <c r="AD353" s="45"/>
      <c r="AE353" s="45"/>
      <c r="AF353" s="45"/>
      <c r="AG353" s="45"/>
      <c r="AH353" s="45"/>
      <c r="AI353" s="45"/>
      <c r="AJ353" s="45"/>
    </row>
    <row r="354" spans="1:36" x14ac:dyDescent="0.2">
      <c r="L354" s="92"/>
      <c r="M354" s="92"/>
      <c r="N354" s="27"/>
      <c r="O354" s="86"/>
      <c r="P354" s="95"/>
      <c r="Q354" s="72"/>
      <c r="R354" s="45"/>
      <c r="S354" s="45"/>
      <c r="T354" s="45"/>
      <c r="U354" s="45"/>
      <c r="V354" s="45"/>
      <c r="W354" s="45"/>
      <c r="X354" s="45"/>
      <c r="Y354" s="45"/>
      <c r="Z354" s="45"/>
      <c r="AA354" s="45"/>
      <c r="AB354" s="45"/>
      <c r="AC354" s="45"/>
      <c r="AD354" s="45"/>
      <c r="AE354" s="45"/>
      <c r="AF354" s="45"/>
      <c r="AG354" s="45"/>
      <c r="AH354" s="45"/>
      <c r="AI354" s="45"/>
      <c r="AJ354" s="45"/>
    </row>
    <row r="355" spans="1:36" x14ac:dyDescent="0.2">
      <c r="L355" s="92"/>
      <c r="M355" s="92"/>
      <c r="N355" s="27"/>
      <c r="O355" s="86"/>
      <c r="P355" s="95"/>
      <c r="Q355" s="72"/>
      <c r="R355" s="45"/>
      <c r="S355" s="45"/>
      <c r="T355" s="45"/>
      <c r="U355" s="45"/>
      <c r="V355" s="45"/>
      <c r="W355" s="45"/>
      <c r="X355" s="45"/>
      <c r="Y355" s="45"/>
      <c r="Z355" s="45"/>
      <c r="AA355" s="45"/>
      <c r="AB355" s="45"/>
      <c r="AC355" s="45"/>
      <c r="AD355" s="45"/>
      <c r="AE355" s="45"/>
      <c r="AF355" s="45"/>
      <c r="AG355" s="45"/>
      <c r="AH355" s="45"/>
      <c r="AI355" s="45"/>
      <c r="AJ355" s="45"/>
    </row>
    <row r="356" spans="1:36" ht="18" x14ac:dyDescent="0.25">
      <c r="A356" s="92"/>
      <c r="B356" s="453"/>
      <c r="C356" s="92"/>
      <c r="D356" s="92"/>
      <c r="E356" s="92"/>
      <c r="F356" s="92"/>
      <c r="G356" s="92"/>
      <c r="H356" s="92"/>
      <c r="I356" s="92"/>
      <c r="J356" s="92"/>
      <c r="K356" s="92"/>
      <c r="L356" s="92"/>
      <c r="M356" s="92"/>
      <c r="N356" s="27"/>
      <c r="O356" s="86"/>
      <c r="P356" s="95"/>
      <c r="Q356" s="72"/>
      <c r="R356" s="45"/>
      <c r="S356" s="45"/>
      <c r="T356" s="45"/>
      <c r="U356" s="45"/>
      <c r="V356" s="45"/>
      <c r="W356" s="45"/>
      <c r="X356" s="45"/>
      <c r="Y356" s="45"/>
      <c r="Z356" s="45"/>
      <c r="AA356" s="45"/>
      <c r="AB356" s="45"/>
      <c r="AC356" s="45"/>
      <c r="AD356" s="45"/>
      <c r="AE356" s="45"/>
      <c r="AF356" s="45"/>
      <c r="AG356" s="45"/>
      <c r="AH356" s="45"/>
      <c r="AI356" s="45"/>
      <c r="AJ356" s="45"/>
    </row>
    <row r="357" spans="1:36" x14ac:dyDescent="0.2">
      <c r="A357" s="27"/>
      <c r="C357" s="11" t="str">
        <f>IF(G267=0,"Тип конвейера","Не вводить")</f>
        <v>Тип конвейера</v>
      </c>
      <c r="D357" s="11"/>
      <c r="E357" s="11"/>
      <c r="F357" s="11"/>
      <c r="G357" s="257" t="str">
        <f>IF(G272&gt;0,INDEX($C$678:$Q$678,G272),"")</f>
        <v/>
      </c>
      <c r="H357" s="257" t="str">
        <f>IF(H272&gt;0,INDEX($C$678:$Q$678,H272),"")</f>
        <v/>
      </c>
      <c r="I357" s="257" t="str">
        <f>IF(I272&gt;0,INDEX($C$678:$Q$678,I272),"")</f>
        <v/>
      </c>
      <c r="J357" s="257" t="str">
        <f>IF(J272&gt;0,INDEX($C$678:$Q$678,J272),"")</f>
        <v/>
      </c>
      <c r="K357" s="257" t="str">
        <f>IF(K272&gt;0,INDEX($C$678:$Q$678,K272),"")</f>
        <v/>
      </c>
      <c r="L357" s="92"/>
      <c r="M357" s="92"/>
      <c r="N357" s="27"/>
      <c r="O357" s="86"/>
      <c r="P357" s="95"/>
      <c r="Q357" s="72"/>
      <c r="R357" s="45"/>
      <c r="S357" s="45"/>
      <c r="T357" s="45"/>
      <c r="U357" s="45"/>
      <c r="V357" s="45"/>
      <c r="W357" s="45"/>
      <c r="X357" s="45"/>
      <c r="Y357" s="45"/>
      <c r="Z357" s="45"/>
      <c r="AA357" s="45"/>
      <c r="AB357" s="45"/>
      <c r="AC357" s="45"/>
      <c r="AD357" s="45"/>
      <c r="AE357" s="45"/>
      <c r="AF357" s="45"/>
      <c r="AG357" s="45"/>
      <c r="AH357" s="45"/>
      <c r="AI357" s="45"/>
      <c r="AJ357" s="45"/>
    </row>
    <row r="358" spans="1:36" x14ac:dyDescent="0.2">
      <c r="A358" s="27"/>
      <c r="C358" s="11" t="str">
        <f>IF(G267=0,"Скорость ленты, м/с","Не вводить")</f>
        <v>Скорость ленты, м/с</v>
      </c>
      <c r="D358" s="11"/>
      <c r="E358" s="11"/>
      <c r="F358" s="11"/>
      <c r="G358" s="257" t="str">
        <f>IF(G272&gt;0,INDEX($C$680:$Q$680,G272),"")</f>
        <v/>
      </c>
      <c r="H358" s="257" t="str">
        <f>IF(H272&gt;0,INDEX($C$680:$Q$680,H272),"")</f>
        <v/>
      </c>
      <c r="I358" s="257" t="str">
        <f>IF(I272&gt;0,INDEX($C$680:$Q$680,I272),"")</f>
        <v/>
      </c>
      <c r="J358" s="257" t="str">
        <f>IF(J272&gt;0,INDEX($C$680:$Q$680,J272),"")</f>
        <v/>
      </c>
      <c r="K358" s="257" t="str">
        <f>IF(K272&gt;0,INDEX($C$680:$Q$680,K272),"")</f>
        <v/>
      </c>
      <c r="L358" s="92"/>
      <c r="M358" s="92"/>
      <c r="N358" s="27"/>
      <c r="O358" s="86"/>
      <c r="P358" s="95"/>
      <c r="Q358" s="72"/>
      <c r="R358" s="45"/>
      <c r="S358" s="45"/>
      <c r="T358" s="45"/>
      <c r="U358" s="45"/>
      <c r="V358" s="45"/>
      <c r="W358" s="45"/>
      <c r="X358" s="45"/>
      <c r="Y358" s="45"/>
      <c r="Z358" s="45"/>
      <c r="AA358" s="45"/>
      <c r="AB358" s="45"/>
      <c r="AC358" s="45"/>
      <c r="AD358" s="45"/>
      <c r="AE358" s="45"/>
      <c r="AF358" s="45"/>
      <c r="AG358" s="45"/>
      <c r="AH358" s="45"/>
      <c r="AI358" s="45"/>
      <c r="AJ358" s="45"/>
    </row>
    <row r="359" spans="1:36" x14ac:dyDescent="0.2">
      <c r="A359" s="27"/>
      <c r="B359" s="11"/>
      <c r="C359" s="11" t="str">
        <f>IF(G267=0,"Приемная способность, м3/мин","Не вводить")</f>
        <v>Приемная способность, м3/мин</v>
      </c>
      <c r="D359" s="11"/>
      <c r="E359" s="11"/>
      <c r="F359" s="11"/>
      <c r="G359" s="257" t="str">
        <f>IF(G272&gt;0,INDEX($C$682:$Q$682,G272),"")</f>
        <v/>
      </c>
      <c r="H359" s="257" t="str">
        <f>IF(H272&gt;0,INDEX($C$682:$Q$682,H272),"")</f>
        <v/>
      </c>
      <c r="I359" s="257" t="str">
        <f>IF(I272&gt;0,INDEX($C$682:$Q$682,I272),"")</f>
        <v/>
      </c>
      <c r="J359" s="257" t="str">
        <f>IF(J272&gt;0,INDEX($C$682:$Q$682,J272),"")</f>
        <v/>
      </c>
      <c r="K359" s="257" t="str">
        <f>IF(K272&gt;0,INDEX($C$682:$Q$682,K272),"")</f>
        <v/>
      </c>
      <c r="L359" s="92"/>
      <c r="M359" s="92"/>
      <c r="N359" s="27"/>
      <c r="O359" s="86"/>
      <c r="P359" s="95"/>
      <c r="Q359" s="72"/>
      <c r="R359" s="45"/>
      <c r="S359" s="45"/>
      <c r="T359" s="45"/>
      <c r="U359" s="45"/>
      <c r="V359" s="45"/>
      <c r="W359" s="45"/>
      <c r="X359" s="45"/>
      <c r="Y359" s="45"/>
      <c r="Z359" s="45"/>
      <c r="AA359" s="45"/>
      <c r="AB359" s="45"/>
      <c r="AC359" s="45"/>
      <c r="AD359" s="45"/>
      <c r="AE359" s="45"/>
      <c r="AF359" s="45"/>
      <c r="AG359" s="45"/>
      <c r="AH359" s="45"/>
      <c r="AI359" s="45"/>
      <c r="AJ359" s="45"/>
    </row>
    <row r="360" spans="1:36" x14ac:dyDescent="0.2">
      <c r="A360" s="27"/>
      <c r="B360" s="11"/>
      <c r="C360" s="11" t="str">
        <f>IF(G267=0,"Производительность, т/мин","Не вводить")</f>
        <v>Производительность, т/мин</v>
      </c>
      <c r="D360" s="11"/>
      <c r="E360" s="11"/>
      <c r="F360" s="11"/>
      <c r="G360" s="76">
        <f>IF(G359="",100,G359*(0.9+0.4*$I$420))</f>
        <v>100</v>
      </c>
      <c r="H360" s="76">
        <f>IF(H359="",100,H359*(0.9+0.4*$I$420))</f>
        <v>100</v>
      </c>
      <c r="I360" s="76">
        <f>IF(I359="",100,I359*(0.9+0.4*$I$420))</f>
        <v>100</v>
      </c>
      <c r="J360" s="76">
        <f>IF(J359="",100,J359*(0.9+0.4*$I$420))</f>
        <v>100</v>
      </c>
      <c r="K360" s="76">
        <f>IF(K359="",100,K359*(0.9+0.4*$I$420))</f>
        <v>100</v>
      </c>
      <c r="L360" s="92"/>
      <c r="M360" s="92"/>
      <c r="N360" s="27"/>
      <c r="O360" s="86"/>
      <c r="P360" s="95"/>
      <c r="Q360" s="72"/>
      <c r="R360" s="45"/>
      <c r="S360" s="45"/>
      <c r="T360" s="45"/>
      <c r="U360" s="45"/>
      <c r="V360" s="45"/>
      <c r="W360" s="45"/>
      <c r="X360" s="45"/>
      <c r="Y360" s="45"/>
      <c r="Z360" s="45"/>
      <c r="AA360" s="45"/>
      <c r="AB360" s="45"/>
      <c r="AC360" s="45"/>
      <c r="AD360" s="45"/>
      <c r="AE360" s="45"/>
      <c r="AF360" s="45"/>
      <c r="AG360" s="45"/>
      <c r="AH360" s="45"/>
      <c r="AI360" s="45"/>
      <c r="AJ360" s="45"/>
    </row>
    <row r="361" spans="1:36" x14ac:dyDescent="0.2">
      <c r="A361" s="27"/>
      <c r="B361" s="11"/>
      <c r="C361" s="11" t="str">
        <f>IF(G267=0,"Пропускная способность, т/мин","Не вводить")</f>
        <v>Пропускная способность, т/мин</v>
      </c>
      <c r="D361" s="11"/>
      <c r="E361" s="11"/>
      <c r="F361" s="11"/>
      <c r="G361" s="77">
        <f>IF(G359="",100,G359*50/((1+4.66*(G358/G273)^0.5)*60))</f>
        <v>100</v>
      </c>
      <c r="H361" s="77">
        <f>IF(H359="",100,H359*50/((1+4.66*(H358/H273)^0.5)*60))</f>
        <v>100</v>
      </c>
      <c r="I361" s="77">
        <f>IF(I359="",100,I359*50/((1+4.66*(I358/I273)^0.5)*60))</f>
        <v>100</v>
      </c>
      <c r="J361" s="77">
        <f>IF(J359="",100,J359*50/((1+4.66*(J358/J273)^0.5)*60))</f>
        <v>100</v>
      </c>
      <c r="K361" s="77">
        <f>IF(K359="",100,K359*50/((1+4.66*(K358/K273)^0.5)*60))</f>
        <v>100</v>
      </c>
      <c r="L361" s="92"/>
      <c r="M361" s="92"/>
      <c r="N361" s="27"/>
      <c r="O361" s="86"/>
      <c r="P361" s="95"/>
      <c r="Q361" s="72"/>
      <c r="R361" s="45"/>
      <c r="S361" s="45"/>
      <c r="T361" s="45"/>
      <c r="U361" s="45"/>
      <c r="V361" s="45"/>
      <c r="W361" s="45"/>
      <c r="X361" s="45"/>
      <c r="Y361" s="45"/>
      <c r="Z361" s="45"/>
      <c r="AA361" s="45"/>
      <c r="AB361" s="45"/>
      <c r="AC361" s="45"/>
      <c r="AD361" s="45"/>
      <c r="AE361" s="45"/>
      <c r="AF361" s="45"/>
      <c r="AG361" s="45"/>
      <c r="AH361" s="45"/>
      <c r="AI361" s="45"/>
      <c r="AJ361" s="45"/>
    </row>
    <row r="362" spans="1:36" x14ac:dyDescent="0.2">
      <c r="A362" s="27"/>
      <c r="B362" s="11"/>
      <c r="C362" s="11" t="str">
        <f>IF(G267=0,"Тип конвейера","Не вводить")</f>
        <v>Тип конвейера</v>
      </c>
      <c r="D362" s="11"/>
      <c r="E362" s="11"/>
      <c r="F362" s="11"/>
      <c r="G362" s="258" t="str">
        <f>IF(G275&gt;0,INDEX($C$678:$Q$678,G275),"")</f>
        <v/>
      </c>
      <c r="H362" s="258" t="str">
        <f>IF(H275&gt;0,INDEX($C$678:$Q$678,H275),"")</f>
        <v/>
      </c>
      <c r="I362" s="258" t="str">
        <f>IF(I275&gt;0,INDEX($C$678:$Q$678,I275),"")</f>
        <v/>
      </c>
      <c r="J362" s="258" t="str">
        <f>IF(J275&gt;0,INDEX($C$678:$Q$678,J275),"")</f>
        <v/>
      </c>
      <c r="K362" s="258" t="str">
        <f>IF(K275&gt;0,INDEX($C$678:$Q$678,K275),"")</f>
        <v/>
      </c>
      <c r="L362" s="92"/>
      <c r="M362" s="92"/>
      <c r="N362" s="27"/>
      <c r="O362" s="86"/>
      <c r="P362" s="95"/>
      <c r="Q362" s="72"/>
      <c r="R362" s="45"/>
      <c r="S362" s="45"/>
      <c r="T362" s="45"/>
      <c r="U362" s="45"/>
      <c r="V362" s="45"/>
      <c r="W362" s="45"/>
      <c r="X362" s="45"/>
      <c r="Y362" s="45"/>
      <c r="Z362" s="45"/>
      <c r="AA362" s="45"/>
      <c r="AB362" s="45"/>
      <c r="AC362" s="45"/>
      <c r="AD362" s="45"/>
      <c r="AE362" s="45"/>
      <c r="AF362" s="45"/>
      <c r="AG362" s="45"/>
      <c r="AH362" s="45"/>
      <c r="AI362" s="45"/>
      <c r="AJ362" s="45"/>
    </row>
    <row r="363" spans="1:36" x14ac:dyDescent="0.2">
      <c r="A363" s="27"/>
      <c r="B363" s="11"/>
      <c r="C363" s="11" t="str">
        <f>IF(G267=0,"Скорость ленты, м/с","Не вводить")</f>
        <v>Скорость ленты, м/с</v>
      </c>
      <c r="D363" s="11"/>
      <c r="E363" s="11"/>
      <c r="F363" s="11"/>
      <c r="G363" s="258" t="str">
        <f>IF(G275&gt;0,INDEX($C$680:$Q$680,G275),"")</f>
        <v/>
      </c>
      <c r="H363" s="258" t="str">
        <f>IF(H275&gt;0,INDEX($C$680:$Q$680,H275),"")</f>
        <v/>
      </c>
      <c r="I363" s="258" t="str">
        <f>IF(I275&gt;0,INDEX($C$680:$Q$680,I275),"")</f>
        <v/>
      </c>
      <c r="J363" s="258" t="str">
        <f>IF(J275&gt;0,INDEX($C$680:$Q$680,J275),"")</f>
        <v/>
      </c>
      <c r="K363" s="258" t="str">
        <f>IF(K275&gt;0,INDEX($C$680:$Q$680,K275),"")</f>
        <v/>
      </c>
      <c r="L363" s="92"/>
      <c r="M363" s="92"/>
      <c r="N363" s="27"/>
      <c r="O363" s="86"/>
      <c r="P363" s="95"/>
      <c r="Q363" s="72"/>
      <c r="R363" s="45"/>
      <c r="S363" s="45"/>
      <c r="T363" s="45"/>
      <c r="U363" s="45"/>
      <c r="V363" s="45"/>
      <c r="W363" s="45"/>
      <c r="X363" s="45"/>
      <c r="Y363" s="45"/>
      <c r="Z363" s="45"/>
      <c r="AA363" s="45"/>
      <c r="AB363" s="45"/>
      <c r="AC363" s="45"/>
      <c r="AD363" s="45"/>
      <c r="AE363" s="45"/>
      <c r="AF363" s="45"/>
      <c r="AG363" s="45"/>
      <c r="AH363" s="45"/>
      <c r="AI363" s="45"/>
      <c r="AJ363" s="45"/>
    </row>
    <row r="364" spans="1:36" x14ac:dyDescent="0.2">
      <c r="A364" s="27"/>
      <c r="C364" s="11" t="str">
        <f>IF(G267=0,"Приемная способность, м3/мин","Не вводить")</f>
        <v>Приемная способность, м3/мин</v>
      </c>
      <c r="D364" s="11"/>
      <c r="E364" s="11"/>
      <c r="F364" s="11"/>
      <c r="G364" s="258" t="str">
        <f>IF(G275&gt;0,INDEX($C$682:$Q$682,G275),"")</f>
        <v/>
      </c>
      <c r="H364" s="258" t="str">
        <f>IF(H275&gt;0,INDEX($C$682:$Q$682,H275),"")</f>
        <v/>
      </c>
      <c r="I364" s="258" t="str">
        <f>IF(I275&gt;0,INDEX($C$682:$Q$682,I275),"")</f>
        <v/>
      </c>
      <c r="J364" s="258" t="str">
        <f>IF(J275&gt;0,INDEX($C$682:$Q$682,J275),"")</f>
        <v/>
      </c>
      <c r="K364" s="258" t="str">
        <f>IF(K275&gt;0,INDEX($C$682:$Q$682,K275),"")</f>
        <v/>
      </c>
      <c r="L364" s="92"/>
      <c r="M364" s="92"/>
      <c r="N364" s="27"/>
      <c r="O364" s="86"/>
      <c r="P364" s="95"/>
      <c r="Q364" s="72"/>
      <c r="R364" s="45"/>
      <c r="S364" s="45"/>
      <c r="T364" s="45"/>
      <c r="U364" s="45"/>
      <c r="V364" s="45"/>
      <c r="W364" s="45"/>
      <c r="X364" s="45"/>
      <c r="Y364" s="45"/>
      <c r="Z364" s="45"/>
      <c r="AA364" s="45"/>
      <c r="AB364" s="45"/>
      <c r="AC364" s="45"/>
      <c r="AD364" s="45"/>
      <c r="AE364" s="45"/>
      <c r="AF364" s="45"/>
      <c r="AG364" s="45"/>
      <c r="AH364" s="45"/>
      <c r="AI364" s="45"/>
      <c r="AJ364" s="45"/>
    </row>
    <row r="365" spans="1:36" x14ac:dyDescent="0.2">
      <c r="A365" s="27"/>
      <c r="C365" s="11" t="str">
        <f>IF(G267=0,"Производительность, т/мин","Не вводить")</f>
        <v>Производительность, т/мин</v>
      </c>
      <c r="D365" s="11"/>
      <c r="E365" s="11"/>
      <c r="F365" s="11"/>
      <c r="G365" s="24">
        <f>IF(G364="",100,G364*(0.9+0.4*$I$420))</f>
        <v>100</v>
      </c>
      <c r="H365" s="24">
        <f>IF(H364="",100,H364*(0.9+0.4*$I$420))</f>
        <v>100</v>
      </c>
      <c r="I365" s="24">
        <f>IF(I364="",100,I364*(0.9+0.4*$I$420))</f>
        <v>100</v>
      </c>
      <c r="J365" s="24">
        <f>IF(J364="",100,J364*(0.9+0.4*$I$420))</f>
        <v>100</v>
      </c>
      <c r="K365" s="24">
        <f>IF(K364="",100,K364*(0.9+0.4*$I$420))</f>
        <v>100</v>
      </c>
      <c r="L365" s="92"/>
      <c r="M365" s="92"/>
      <c r="N365" s="27"/>
      <c r="O365" s="86"/>
      <c r="P365" s="95"/>
      <c r="Q365" s="72"/>
      <c r="R365" s="45"/>
      <c r="S365" s="45"/>
      <c r="T365" s="45"/>
      <c r="U365" s="45"/>
      <c r="V365" s="45"/>
      <c r="W365" s="45"/>
      <c r="X365" s="45"/>
      <c r="Y365" s="45"/>
      <c r="Z365" s="45"/>
      <c r="AA365" s="45"/>
      <c r="AB365" s="45"/>
      <c r="AC365" s="45"/>
      <c r="AD365" s="45"/>
      <c r="AE365" s="45"/>
      <c r="AF365" s="45"/>
      <c r="AG365" s="45"/>
      <c r="AH365" s="45"/>
      <c r="AI365" s="45"/>
      <c r="AJ365" s="45"/>
    </row>
    <row r="366" spans="1:36" x14ac:dyDescent="0.2">
      <c r="A366" s="27"/>
      <c r="C366" s="11" t="str">
        <f>IF(G267=0,"Пропускная способность, т/мин","Не вводить")</f>
        <v>Пропускная способность, т/мин</v>
      </c>
      <c r="D366" s="11"/>
      <c r="E366" s="11"/>
      <c r="F366" s="11"/>
      <c r="G366" s="78">
        <f>IF(G364="",100,G364*50/((1+4.66*(G363/G276)^0.5)*60))</f>
        <v>100</v>
      </c>
      <c r="H366" s="78">
        <f>IF(H364="",100,H364*50/((1+4.66*(H363/H276)^0.5)*60))</f>
        <v>100</v>
      </c>
      <c r="I366" s="78">
        <f>IF(I364="",100,I364*50/((1+4.66*(I363/I276)^0.5)*60))</f>
        <v>100</v>
      </c>
      <c r="J366" s="78">
        <f>IF(J364="",100,J364*50/((1+4.66*(J363/J276)^0.5)*60))</f>
        <v>100</v>
      </c>
      <c r="K366" s="78">
        <f>IF(K364="",100,K364*50/((1+4.66*(K363/K276)^0.5)*60))</f>
        <v>100</v>
      </c>
      <c r="L366" s="92"/>
      <c r="M366" s="92"/>
      <c r="N366" s="27"/>
      <c r="O366" s="86"/>
      <c r="P366" s="95"/>
      <c r="Q366" s="72"/>
      <c r="R366" s="45"/>
      <c r="S366" s="45"/>
      <c r="T366" s="45"/>
      <c r="U366" s="45"/>
      <c r="V366" s="45"/>
      <c r="W366" s="45"/>
      <c r="X366" s="45"/>
      <c r="Y366" s="45"/>
      <c r="Z366" s="45"/>
      <c r="AA366" s="45"/>
      <c r="AB366" s="45"/>
      <c r="AC366" s="45"/>
      <c r="AD366" s="45"/>
      <c r="AE366" s="45"/>
      <c r="AF366" s="45"/>
      <c r="AG366" s="45"/>
      <c r="AH366" s="45"/>
      <c r="AI366" s="45"/>
      <c r="AJ366" s="45"/>
    </row>
    <row r="367" spans="1:36" x14ac:dyDescent="0.2">
      <c r="A367" s="27"/>
      <c r="B367" s="11"/>
      <c r="C367" s="11" t="str">
        <f>IF(G267=0,"Тип конвейера","Не вводить")</f>
        <v>Тип конвейера</v>
      </c>
      <c r="D367" s="11"/>
      <c r="E367" s="11"/>
      <c r="F367" s="11"/>
      <c r="G367" s="258" t="str">
        <f>IF(G278&gt;0,INDEX($C$678:$Q$678,G278),"")</f>
        <v/>
      </c>
      <c r="H367" s="258" t="str">
        <f>IF(H278&gt;0,INDEX($C$678:$Q$678,H278),"")</f>
        <v/>
      </c>
      <c r="I367" s="258" t="str">
        <f>IF(I278&gt;0,INDEX($C$678:$Q$678,I278),"")</f>
        <v/>
      </c>
      <c r="J367" s="258" t="str">
        <f>IF(J278&gt;0,INDEX($C$678:$Q$678,J278),"")</f>
        <v/>
      </c>
      <c r="K367" s="258" t="str">
        <f>IF(K278&gt;0,INDEX($C$678:$Q$678,K278),"")</f>
        <v/>
      </c>
      <c r="L367" s="92"/>
      <c r="M367" s="92"/>
      <c r="N367" s="27"/>
      <c r="O367" s="86"/>
      <c r="P367" s="95"/>
      <c r="Q367" s="72"/>
      <c r="R367" s="45"/>
      <c r="S367" s="45"/>
      <c r="T367" s="45"/>
      <c r="U367" s="45"/>
      <c r="V367" s="45"/>
      <c r="W367" s="45"/>
      <c r="X367" s="45"/>
      <c r="Y367" s="45"/>
      <c r="Z367" s="45"/>
      <c r="AA367" s="45"/>
      <c r="AB367" s="45"/>
      <c r="AC367" s="45"/>
      <c r="AD367" s="45"/>
      <c r="AE367" s="45"/>
      <c r="AF367" s="45"/>
      <c r="AG367" s="45"/>
      <c r="AH367" s="45"/>
      <c r="AI367" s="45"/>
      <c r="AJ367" s="45"/>
    </row>
    <row r="368" spans="1:36" x14ac:dyDescent="0.2">
      <c r="A368" s="27"/>
      <c r="B368" s="11"/>
      <c r="C368" s="11" t="str">
        <f>IF(G267=0,"Скорость ленты, м/с","Не вводить")</f>
        <v>Скорость ленты, м/с</v>
      </c>
      <c r="D368" s="11"/>
      <c r="E368" s="11"/>
      <c r="F368" s="11"/>
      <c r="G368" s="258" t="str">
        <f>IF(G278&gt;0,INDEX($C$680:$Q$680,G278),"")</f>
        <v/>
      </c>
      <c r="H368" s="258" t="str">
        <f>IF(H278&gt;0,INDEX($C$680:$Q$680,H278),"")</f>
        <v/>
      </c>
      <c r="I368" s="258" t="str">
        <f>IF(I278&gt;0,INDEX($C$680:$Q$680,I278),"")</f>
        <v/>
      </c>
      <c r="J368" s="258" t="str">
        <f>IF(J278&gt;0,INDEX($C$680:$Q$680,J278),"")</f>
        <v/>
      </c>
      <c r="K368" s="258" t="str">
        <f>IF(K278&gt;0,INDEX($C$680:$Q$680,K278),"")</f>
        <v/>
      </c>
      <c r="L368" s="92"/>
      <c r="M368" s="92"/>
      <c r="N368" s="27"/>
      <c r="O368" s="86"/>
      <c r="P368" s="95"/>
      <c r="Q368" s="72"/>
      <c r="R368" s="45"/>
      <c r="S368" s="45"/>
      <c r="T368" s="45"/>
      <c r="U368" s="45"/>
      <c r="V368" s="45"/>
      <c r="W368" s="45"/>
      <c r="X368" s="45"/>
      <c r="Y368" s="45"/>
      <c r="Z368" s="45"/>
      <c r="AA368" s="45"/>
      <c r="AB368" s="45"/>
      <c r="AC368" s="45"/>
      <c r="AD368" s="45"/>
      <c r="AE368" s="45"/>
      <c r="AF368" s="45"/>
      <c r="AG368" s="45"/>
      <c r="AH368" s="45"/>
      <c r="AI368" s="45"/>
      <c r="AJ368" s="45"/>
    </row>
    <row r="369" spans="1:36" x14ac:dyDescent="0.2">
      <c r="A369" s="27"/>
      <c r="B369" s="11"/>
      <c r="C369" s="11" t="str">
        <f>IF(G267=0,"Приемная способность, м3/мин","Не вводить")</f>
        <v>Приемная способность, м3/мин</v>
      </c>
      <c r="D369" s="11"/>
      <c r="E369" s="11"/>
      <c r="F369" s="11"/>
      <c r="G369" s="258" t="str">
        <f>IF(G278&gt;0,INDEX($C$682:$Q$682,G278),"")</f>
        <v/>
      </c>
      <c r="H369" s="258" t="str">
        <f>IF(H278&gt;0,INDEX($C$682:$Q$682,H278),"")</f>
        <v/>
      </c>
      <c r="I369" s="258" t="str">
        <f>IF(I278&gt;0,INDEX($C$682:$Q$682,I278),"")</f>
        <v/>
      </c>
      <c r="J369" s="258" t="str">
        <f>IF(J278&gt;0,INDEX($C$682:$Q$682,J278),"")</f>
        <v/>
      </c>
      <c r="K369" s="258" t="str">
        <f>IF(K278&gt;0,INDEX($C$682:$Q$682,K278),"")</f>
        <v/>
      </c>
      <c r="L369" s="92"/>
      <c r="M369" s="92"/>
      <c r="N369" s="27"/>
      <c r="O369" s="86"/>
      <c r="P369" s="95"/>
      <c r="Q369" s="72"/>
      <c r="R369" s="45"/>
      <c r="S369" s="45"/>
      <c r="T369" s="45"/>
      <c r="U369" s="45"/>
      <c r="V369" s="45"/>
      <c r="W369" s="45"/>
      <c r="X369" s="45"/>
      <c r="Y369" s="45"/>
      <c r="Z369" s="45"/>
      <c r="AA369" s="45"/>
      <c r="AB369" s="45"/>
      <c r="AC369" s="45"/>
      <c r="AD369" s="45"/>
      <c r="AE369" s="45"/>
      <c r="AF369" s="45"/>
      <c r="AG369" s="45"/>
      <c r="AH369" s="45"/>
      <c r="AI369" s="45"/>
      <c r="AJ369" s="45"/>
    </row>
    <row r="370" spans="1:36" x14ac:dyDescent="0.2">
      <c r="A370" s="27"/>
      <c r="B370" s="11"/>
      <c r="C370" s="11" t="str">
        <f>IF(G267=0,"Производительность, т/мин","Не вводить")</f>
        <v>Производительность, т/мин</v>
      </c>
      <c r="D370" s="11"/>
      <c r="E370" s="11"/>
      <c r="F370" s="11"/>
      <c r="G370" s="24">
        <f>IF(G369="",100,G369*(0.9+0.4*$I$420))</f>
        <v>100</v>
      </c>
      <c r="H370" s="24">
        <f>IF(H369="",100,H369*(0.9+0.4*$I$420))</f>
        <v>100</v>
      </c>
      <c r="I370" s="24">
        <f>IF(I369="",100,I369*(0.9+0.4*$I$420))</f>
        <v>100</v>
      </c>
      <c r="J370" s="24">
        <f>IF(J369="",100,J369*(0.9+0.4*$I$420))</f>
        <v>100</v>
      </c>
      <c r="K370" s="24">
        <f>IF(K369="",100,K369*(0.9+0.4*$I$420))</f>
        <v>100</v>
      </c>
      <c r="L370" s="92"/>
      <c r="M370" s="92"/>
      <c r="N370" s="27"/>
      <c r="O370" s="86"/>
      <c r="P370" s="95"/>
      <c r="Q370" s="72"/>
      <c r="R370" s="45"/>
      <c r="S370" s="45"/>
      <c r="T370" s="45"/>
      <c r="U370" s="45"/>
      <c r="V370" s="45"/>
      <c r="W370" s="45"/>
      <c r="X370" s="45"/>
      <c r="Y370" s="45"/>
      <c r="Z370" s="45"/>
      <c r="AA370" s="45"/>
      <c r="AB370" s="45"/>
      <c r="AC370" s="45"/>
      <c r="AD370" s="45"/>
      <c r="AE370" s="45"/>
      <c r="AF370" s="45"/>
      <c r="AG370" s="45"/>
      <c r="AH370" s="45"/>
      <c r="AI370" s="45"/>
      <c r="AJ370" s="45"/>
    </row>
    <row r="371" spans="1:36" x14ac:dyDescent="0.2">
      <c r="A371" s="27"/>
      <c r="B371" s="11"/>
      <c r="C371" s="11" t="str">
        <f>IF(G267=0,"Пропускная способность, т/мин","Не вводить")</f>
        <v>Пропускная способность, т/мин</v>
      </c>
      <c r="D371" s="11"/>
      <c r="E371" s="11"/>
      <c r="F371" s="11"/>
      <c r="G371" s="78">
        <f>IF(G369="",100,G369*50/((1+4.66*(G368/G279)^0.5)*60))</f>
        <v>100</v>
      </c>
      <c r="H371" s="78">
        <f>IF(H369="",100,H369*50/((1+4.66*(H368/H279)^0.5)*60))</f>
        <v>100</v>
      </c>
      <c r="I371" s="78">
        <f>IF(I369="",100,I369*50/((1+4.66*(I368/I279)^0.5)*60))</f>
        <v>100</v>
      </c>
      <c r="J371" s="78">
        <f>IF(J369="",100,J369*50/((1+4.66*(J368/J279)^0.5)*60))</f>
        <v>100</v>
      </c>
      <c r="K371" s="78">
        <f>IF(K369="",100,K369*50/((1+4.66*(K368/K279)^0.5)*60))</f>
        <v>100</v>
      </c>
      <c r="L371" s="92"/>
      <c r="M371" s="92"/>
      <c r="N371" s="27"/>
      <c r="O371" s="86"/>
      <c r="P371" s="95"/>
      <c r="Q371" s="72"/>
      <c r="R371" s="45"/>
      <c r="S371" s="45"/>
      <c r="T371" s="45"/>
      <c r="U371" s="45"/>
      <c r="V371" s="45"/>
      <c r="W371" s="45"/>
      <c r="X371" s="45"/>
      <c r="Y371" s="45"/>
      <c r="Z371" s="45"/>
      <c r="AA371" s="45"/>
      <c r="AB371" s="45"/>
      <c r="AC371" s="45"/>
      <c r="AD371" s="45"/>
      <c r="AE371" s="45"/>
      <c r="AF371" s="45"/>
      <c r="AG371" s="45"/>
      <c r="AH371" s="45"/>
      <c r="AI371" s="45"/>
      <c r="AJ371" s="45"/>
    </row>
    <row r="372" spans="1:36" x14ac:dyDescent="0.2">
      <c r="A372" s="27"/>
      <c r="B372" s="11" t="str">
        <f>IF(G267=0,"4-й ленточный конвейер","Не вводить")</f>
        <v>4-й ленточный конвейер</v>
      </c>
      <c r="C372" s="11"/>
      <c r="D372" s="11"/>
      <c r="E372" s="11"/>
      <c r="F372" s="11"/>
      <c r="G372" s="163"/>
      <c r="H372" s="30"/>
      <c r="I372" s="30"/>
      <c r="J372" s="62"/>
      <c r="K372" s="30"/>
      <c r="L372" s="92"/>
      <c r="M372" s="92"/>
      <c r="N372" s="27"/>
      <c r="O372" s="86"/>
      <c r="P372" s="95"/>
      <c r="Q372" s="72"/>
      <c r="R372" s="45"/>
      <c r="S372" s="45"/>
      <c r="T372" s="45"/>
      <c r="U372" s="45"/>
      <c r="V372" s="45"/>
      <c r="W372" s="45"/>
      <c r="X372" s="45"/>
      <c r="Y372" s="45"/>
      <c r="Z372" s="45"/>
      <c r="AA372" s="45"/>
      <c r="AB372" s="45"/>
      <c r="AC372" s="45"/>
      <c r="AD372" s="45"/>
      <c r="AE372" s="45"/>
      <c r="AF372" s="45"/>
      <c r="AG372" s="45"/>
      <c r="AH372" s="45"/>
      <c r="AI372" s="45"/>
      <c r="AJ372" s="45"/>
    </row>
    <row r="373" spans="1:36" x14ac:dyDescent="0.2">
      <c r="A373" s="27"/>
      <c r="B373" s="11"/>
      <c r="C373" s="11" t="str">
        <f>IF(G267=0,"Номер в таблице конвейеров","Не вводить")</f>
        <v>Номер в таблице конвейеров</v>
      </c>
      <c r="D373" s="11"/>
      <c r="E373" s="11"/>
      <c r="F373" s="11"/>
      <c r="G373" s="216"/>
      <c r="H373" s="216"/>
      <c r="I373" s="216"/>
      <c r="J373" s="216"/>
      <c r="K373" s="216"/>
      <c r="L373" s="92"/>
      <c r="M373" s="92"/>
      <c r="N373" s="27"/>
      <c r="O373" s="86"/>
      <c r="P373" s="95"/>
      <c r="Q373" s="72"/>
      <c r="R373" s="45"/>
      <c r="S373" s="45"/>
      <c r="T373" s="45"/>
      <c r="U373" s="45"/>
      <c r="V373" s="45"/>
      <c r="W373" s="45"/>
      <c r="X373" s="45"/>
      <c r="Y373" s="45"/>
      <c r="Z373" s="45"/>
      <c r="AA373" s="45"/>
      <c r="AB373" s="45"/>
      <c r="AC373" s="45"/>
      <c r="AD373" s="45"/>
      <c r="AE373" s="45"/>
      <c r="AF373" s="45"/>
      <c r="AG373" s="45"/>
      <c r="AH373" s="45"/>
      <c r="AI373" s="45"/>
      <c r="AJ373" s="45"/>
    </row>
    <row r="374" spans="1:36" x14ac:dyDescent="0.2">
      <c r="A374" s="27"/>
      <c r="B374" s="11"/>
      <c r="C374" s="11" t="str">
        <f>IF(G267=0,"Длина, м","Не вводить")</f>
        <v>Длина, м</v>
      </c>
      <c r="D374" s="11"/>
      <c r="E374" s="11"/>
      <c r="F374" s="11"/>
      <c r="G374" s="411"/>
      <c r="H374" s="411"/>
      <c r="I374" s="411"/>
      <c r="J374" s="411"/>
      <c r="K374" s="411"/>
      <c r="L374" s="92"/>
      <c r="M374" s="92"/>
      <c r="N374" s="27"/>
      <c r="O374" s="86"/>
      <c r="P374" s="95"/>
      <c r="Q374" s="72"/>
      <c r="R374" s="45"/>
      <c r="S374" s="45"/>
      <c r="T374" s="45"/>
      <c r="U374" s="45"/>
      <c r="V374" s="45"/>
      <c r="W374" s="45"/>
      <c r="X374" s="45"/>
      <c r="Y374" s="45"/>
      <c r="Z374" s="45"/>
      <c r="AA374" s="45"/>
      <c r="AB374" s="45"/>
      <c r="AC374" s="45"/>
      <c r="AD374" s="45"/>
      <c r="AE374" s="45"/>
      <c r="AF374" s="45"/>
      <c r="AG374" s="45"/>
      <c r="AH374" s="45"/>
      <c r="AI374" s="45"/>
      <c r="AJ374" s="45"/>
    </row>
    <row r="375" spans="1:36" x14ac:dyDescent="0.2">
      <c r="A375" s="27"/>
      <c r="B375" s="11"/>
      <c r="C375" s="11" t="str">
        <f>IF(G267=0,"Тип конвейера","Не вводить")</f>
        <v>Тип конвейера</v>
      </c>
      <c r="D375" s="11"/>
      <c r="E375" s="11"/>
      <c r="F375" s="11"/>
      <c r="G375" s="258" t="str">
        <f>IF(G373&gt;0,INDEX($C$678:$Q$678,G373),"")</f>
        <v/>
      </c>
      <c r="H375" s="258" t="str">
        <f>IF(H373&gt;0,INDEX($C$678:$Q$678,H373),"")</f>
        <v/>
      </c>
      <c r="I375" s="258" t="str">
        <f>IF(I373&gt;0,INDEX($C$678:$Q$678,I373),"")</f>
        <v/>
      </c>
      <c r="J375" s="258" t="str">
        <f>IF(J373&gt;0,INDEX($C$678:$Q$678,J373),"")</f>
        <v/>
      </c>
      <c r="K375" s="258" t="str">
        <f>IF(K373&gt;0,INDEX($C$678:$Q$678,K373),"")</f>
        <v/>
      </c>
      <c r="L375" s="92"/>
      <c r="M375" s="92"/>
      <c r="N375" s="27"/>
      <c r="O375" s="86"/>
      <c r="P375" s="95"/>
      <c r="Q375" s="72"/>
      <c r="R375" s="45"/>
      <c r="S375" s="45"/>
      <c r="T375" s="45"/>
      <c r="U375" s="45"/>
      <c r="V375" s="45"/>
      <c r="W375" s="45"/>
      <c r="X375" s="45"/>
      <c r="Y375" s="45"/>
      <c r="Z375" s="45"/>
      <c r="AA375" s="45"/>
      <c r="AB375" s="45"/>
      <c r="AC375" s="45"/>
      <c r="AD375" s="45"/>
      <c r="AE375" s="45"/>
      <c r="AF375" s="45"/>
      <c r="AG375" s="45"/>
      <c r="AH375" s="45"/>
      <c r="AI375" s="45"/>
      <c r="AJ375" s="45"/>
    </row>
    <row r="376" spans="1:36" x14ac:dyDescent="0.2">
      <c r="A376" s="27"/>
      <c r="B376" s="11"/>
      <c r="C376" s="11" t="str">
        <f>IF(G267=0,"Скорость ленты, м/с","Не вводить")</f>
        <v>Скорость ленты, м/с</v>
      </c>
      <c r="D376" s="11"/>
      <c r="E376" s="11"/>
      <c r="F376" s="11"/>
      <c r="G376" s="258" t="str">
        <f>IF(G373&gt;0,INDEX($C$680:$Q$680,G373),"")</f>
        <v/>
      </c>
      <c r="H376" s="258" t="str">
        <f>IF(H373&gt;0,INDEX($C$680:$Q$680,H373),"")</f>
        <v/>
      </c>
      <c r="I376" s="258" t="str">
        <f>IF(I373&gt;0,INDEX($C$680:$Q$680,I373),"")</f>
        <v/>
      </c>
      <c r="J376" s="258" t="str">
        <f>IF(J373&gt;0,INDEX($C$680:$Q$680,J373),"")</f>
        <v/>
      </c>
      <c r="K376" s="258" t="str">
        <f>IF(K373&gt;0,INDEX($C$680:$Q$680,K373),"")</f>
        <v/>
      </c>
      <c r="L376" s="92"/>
      <c r="M376" s="92"/>
      <c r="N376" s="27"/>
      <c r="O376" s="86"/>
      <c r="P376" s="95"/>
      <c r="Q376" s="72"/>
      <c r="R376" s="45"/>
      <c r="S376" s="45"/>
      <c r="T376" s="45"/>
      <c r="U376" s="45"/>
      <c r="V376" s="45"/>
      <c r="W376" s="45"/>
      <c r="X376" s="45"/>
      <c r="Y376" s="45"/>
      <c r="Z376" s="45"/>
      <c r="AA376" s="45"/>
      <c r="AB376" s="45"/>
      <c r="AC376" s="45"/>
      <c r="AD376" s="45"/>
      <c r="AE376" s="45"/>
      <c r="AF376" s="45"/>
      <c r="AG376" s="45"/>
      <c r="AH376" s="45"/>
      <c r="AI376" s="45"/>
      <c r="AJ376" s="45"/>
    </row>
    <row r="377" spans="1:36" x14ac:dyDescent="0.2">
      <c r="A377" s="27"/>
      <c r="B377" s="11"/>
      <c r="C377" s="11" t="str">
        <f>IF(G267=0,"Приемная способность, м3/мин","Не вводить")</f>
        <v>Приемная способность, м3/мин</v>
      </c>
      <c r="D377" s="11"/>
      <c r="E377" s="11"/>
      <c r="F377" s="11"/>
      <c r="G377" s="258" t="str">
        <f>IF(G373&gt;0,INDEX($C$682:$Q$682,G373),"")</f>
        <v/>
      </c>
      <c r="H377" s="258" t="str">
        <f>IF(H373&gt;0,INDEX($C$682:$Q$682,H373),"")</f>
        <v/>
      </c>
      <c r="I377" s="258" t="str">
        <f>IF(I373&gt;0,INDEX($C$682:$Q$682,I373),"")</f>
        <v/>
      </c>
      <c r="J377" s="258" t="str">
        <f>IF(J373&gt;0,INDEX($C$682:$Q$682,J373),"")</f>
        <v/>
      </c>
      <c r="K377" s="258" t="str">
        <f>IF(K373&gt;0,INDEX($C$682:$Q$682,K373),"")</f>
        <v/>
      </c>
      <c r="L377" s="92"/>
      <c r="M377" s="92"/>
      <c r="N377" s="27"/>
      <c r="O377" s="86"/>
      <c r="P377" s="95"/>
      <c r="Q377" s="72"/>
      <c r="R377" s="45"/>
      <c r="S377" s="45"/>
      <c r="T377" s="45"/>
      <c r="U377" s="45"/>
      <c r="V377" s="45"/>
      <c r="W377" s="45"/>
      <c r="X377" s="45"/>
      <c r="Y377" s="45"/>
      <c r="Z377" s="45"/>
      <c r="AA377" s="45"/>
      <c r="AB377" s="45"/>
      <c r="AC377" s="45"/>
      <c r="AD377" s="45"/>
      <c r="AE377" s="45"/>
      <c r="AF377" s="45"/>
      <c r="AG377" s="45"/>
      <c r="AH377" s="45"/>
      <c r="AI377" s="45"/>
      <c r="AJ377" s="45"/>
    </row>
    <row r="378" spans="1:36" x14ac:dyDescent="0.2">
      <c r="A378" s="27"/>
      <c r="B378" s="11"/>
      <c r="C378" s="11" t="str">
        <f>IF(G267=0,"Производительность, т/мин","Не вводить")</f>
        <v>Производительность, т/мин</v>
      </c>
      <c r="D378" s="11"/>
      <c r="E378" s="11"/>
      <c r="F378" s="11"/>
      <c r="G378" s="24">
        <f>IF(G377="",100,G377*(0.9+0.4*$I$420))</f>
        <v>100</v>
      </c>
      <c r="H378" s="24">
        <f>IF(H377="",100,H377*(0.9+0.4*$I$420))</f>
        <v>100</v>
      </c>
      <c r="I378" s="24">
        <f>IF(I377="",100,I377*(0.9+0.4*$I$420))</f>
        <v>100</v>
      </c>
      <c r="J378" s="24">
        <f>IF(J377="",100,J377*(0.9+0.4*$I$420))</f>
        <v>100</v>
      </c>
      <c r="K378" s="24">
        <f>IF(K377="",100,K377*(0.9+0.4*$I$420))</f>
        <v>100</v>
      </c>
      <c r="L378" s="92"/>
      <c r="M378" s="92"/>
      <c r="N378" s="27"/>
      <c r="O378" s="86"/>
      <c r="P378" s="95"/>
      <c r="Q378" s="72"/>
      <c r="R378" s="45"/>
      <c r="S378" s="45"/>
      <c r="T378" s="45"/>
      <c r="U378" s="45"/>
      <c r="V378" s="45"/>
      <c r="W378" s="45"/>
      <c r="X378" s="45"/>
      <c r="Y378" s="45"/>
      <c r="Z378" s="45"/>
      <c r="AA378" s="45"/>
      <c r="AB378" s="45"/>
      <c r="AC378" s="45"/>
      <c r="AD378" s="45"/>
      <c r="AE378" s="45"/>
      <c r="AF378" s="45"/>
      <c r="AG378" s="45"/>
      <c r="AH378" s="45"/>
      <c r="AI378" s="45"/>
      <c r="AJ378" s="45"/>
    </row>
    <row r="379" spans="1:36" x14ac:dyDescent="0.2">
      <c r="A379" s="27"/>
      <c r="B379" s="11"/>
      <c r="C379" s="11" t="str">
        <f>IF(G267=0,"Пропускная способность, т/мин","Не вводить")</f>
        <v>Пропускная способность, т/мин</v>
      </c>
      <c r="D379" s="11"/>
      <c r="E379" s="11"/>
      <c r="F379" s="11"/>
      <c r="G379" s="78">
        <f>IF(G377="",100,G377*50/((1+4.66*(G376/G374)^0.5)*60))</f>
        <v>100</v>
      </c>
      <c r="H379" s="78">
        <f>IF(H377="",100,H377*50/((1+4.66*(H376/H374)^0.5)*60))</f>
        <v>100</v>
      </c>
      <c r="I379" s="78">
        <f>IF(I377="",100,I377*50/((1+4.66*(I376/I374)^0.5)*60))</f>
        <v>100</v>
      </c>
      <c r="J379" s="78">
        <f>IF(J377="",100,J377*50/((1+4.66*(J376/J374)^0.5)*60))</f>
        <v>100</v>
      </c>
      <c r="K379" s="78">
        <f>IF(K377="",100,K377*50/((1+4.66*(K376/K374)^0.5)*60))</f>
        <v>100</v>
      </c>
      <c r="L379" s="92"/>
      <c r="M379" s="92"/>
      <c r="N379" s="27"/>
      <c r="O379" s="86"/>
      <c r="P379" s="95"/>
      <c r="Q379" s="72"/>
      <c r="R379" s="45"/>
      <c r="S379" s="45"/>
      <c r="T379" s="45"/>
      <c r="U379" s="45"/>
      <c r="V379" s="45"/>
      <c r="W379" s="45"/>
      <c r="X379" s="45"/>
      <c r="Y379" s="45"/>
      <c r="Z379" s="45"/>
      <c r="AA379" s="45"/>
      <c r="AB379" s="45"/>
      <c r="AC379" s="45"/>
      <c r="AD379" s="45"/>
      <c r="AE379" s="45"/>
      <c r="AF379" s="45"/>
      <c r="AG379" s="45"/>
      <c r="AH379" s="45"/>
      <c r="AI379" s="45"/>
      <c r="AJ379" s="45"/>
    </row>
    <row r="380" spans="1:36" ht="15.75" x14ac:dyDescent="0.25">
      <c r="A380" s="27"/>
      <c r="B380" s="11" t="str">
        <f>IF(G267=0,"5-й ленточный конвейер","Не вводить")</f>
        <v>5-й ленточный конвейер</v>
      </c>
      <c r="C380" s="11"/>
      <c r="D380" s="11"/>
      <c r="E380" s="11"/>
      <c r="F380" s="11"/>
      <c r="G380" s="60"/>
      <c r="H380" s="27"/>
      <c r="I380" s="163"/>
      <c r="J380" s="163"/>
      <c r="K380" s="163"/>
      <c r="L380" s="92"/>
      <c r="M380" s="92"/>
      <c r="N380" s="27"/>
      <c r="O380" s="86"/>
      <c r="P380" s="95"/>
      <c r="Q380" s="72"/>
      <c r="R380" s="45"/>
      <c r="S380" s="45"/>
      <c r="T380" s="45"/>
      <c r="U380" s="45"/>
      <c r="V380" s="45"/>
      <c r="W380" s="45"/>
      <c r="X380" s="45"/>
      <c r="Y380" s="45"/>
      <c r="Z380" s="45"/>
      <c r="AA380" s="45"/>
      <c r="AB380" s="45"/>
      <c r="AC380" s="45"/>
      <c r="AD380" s="45"/>
      <c r="AE380" s="45"/>
      <c r="AF380" s="45"/>
      <c r="AG380" s="45"/>
      <c r="AH380" s="45"/>
      <c r="AI380" s="45"/>
      <c r="AJ380" s="45"/>
    </row>
    <row r="381" spans="1:36" x14ac:dyDescent="0.2">
      <c r="A381" s="27"/>
      <c r="B381" s="11"/>
      <c r="C381" s="11" t="str">
        <f>IF(G267=0,"Номер в таблице конвейеров","Не вводить")</f>
        <v>Номер в таблице конвейеров</v>
      </c>
      <c r="D381" s="11"/>
      <c r="E381" s="11"/>
      <c r="F381" s="11"/>
      <c r="G381" s="216"/>
      <c r="H381" s="216"/>
      <c r="I381" s="216"/>
      <c r="J381" s="216"/>
      <c r="K381" s="216"/>
      <c r="L381" s="92"/>
      <c r="M381" s="92"/>
      <c r="N381" s="27"/>
      <c r="O381" s="86"/>
      <c r="P381" s="95"/>
      <c r="Q381" s="72"/>
      <c r="R381" s="45"/>
      <c r="S381" s="45"/>
      <c r="T381" s="45"/>
      <c r="U381" s="45"/>
      <c r="V381" s="45"/>
      <c r="W381" s="45"/>
      <c r="X381" s="45"/>
      <c r="Y381" s="45"/>
      <c r="Z381" s="45"/>
      <c r="AA381" s="45"/>
      <c r="AB381" s="45"/>
      <c r="AC381" s="45"/>
      <c r="AD381" s="45"/>
      <c r="AE381" s="45"/>
      <c r="AF381" s="45"/>
      <c r="AG381" s="45"/>
      <c r="AH381" s="45"/>
      <c r="AI381" s="45"/>
      <c r="AJ381" s="45"/>
    </row>
    <row r="382" spans="1:36" x14ac:dyDescent="0.2">
      <c r="A382" s="27"/>
      <c r="B382" s="11"/>
      <c r="C382" s="11" t="str">
        <f>IF(G267=0,"Длина, м","Не вводить")</f>
        <v>Длина, м</v>
      </c>
      <c r="D382" s="11"/>
      <c r="E382" s="11"/>
      <c r="F382" s="11"/>
      <c r="G382" s="411"/>
      <c r="H382" s="411"/>
      <c r="I382" s="411"/>
      <c r="J382" s="411"/>
      <c r="K382" s="411"/>
      <c r="L382" s="92"/>
      <c r="M382" s="92"/>
      <c r="N382" s="27"/>
      <c r="O382" s="86"/>
      <c r="P382" s="95"/>
      <c r="Q382" s="72"/>
      <c r="R382" s="45"/>
      <c r="S382" s="45"/>
      <c r="T382" s="45"/>
      <c r="U382" s="45"/>
      <c r="V382" s="45"/>
      <c r="W382" s="45"/>
      <c r="X382" s="45"/>
      <c r="Y382" s="45"/>
      <c r="Z382" s="45"/>
      <c r="AA382" s="45"/>
      <c r="AB382" s="45"/>
      <c r="AC382" s="45"/>
      <c r="AD382" s="45"/>
      <c r="AE382" s="45"/>
      <c r="AF382" s="45"/>
      <c r="AG382" s="45"/>
      <c r="AH382" s="45"/>
      <c r="AI382" s="45"/>
      <c r="AJ382" s="45"/>
    </row>
    <row r="383" spans="1:36" x14ac:dyDescent="0.2">
      <c r="A383" s="27"/>
      <c r="B383" s="11"/>
      <c r="C383" s="11" t="str">
        <f>IF(G267=0,"Тип конвейера","Не вводить")</f>
        <v>Тип конвейера</v>
      </c>
      <c r="D383" s="11"/>
      <c r="E383" s="11"/>
      <c r="F383" s="11"/>
      <c r="G383" s="258" t="str">
        <f>IF(G381&gt;0,INDEX($C$678:$Q$678,G381),"")</f>
        <v/>
      </c>
      <c r="H383" s="258" t="str">
        <f>IF(H381&gt;0,INDEX($C$678:$Q$678,H381),"")</f>
        <v/>
      </c>
      <c r="I383" s="258" t="str">
        <f>IF(I381&gt;0,INDEX($C$678:$Q$678,I381),"")</f>
        <v/>
      </c>
      <c r="J383" s="258" t="str">
        <f>IF(J381&gt;0,INDEX($C$678:$Q$678,J381),"")</f>
        <v/>
      </c>
      <c r="K383" s="258" t="str">
        <f>IF(K381&gt;0,INDEX($C$678:$Q$678,K381),"")</f>
        <v/>
      </c>
      <c r="L383" s="92"/>
      <c r="M383" s="92"/>
      <c r="N383" s="27"/>
      <c r="O383" s="86"/>
      <c r="P383" s="95"/>
      <c r="Q383" s="72"/>
      <c r="R383" s="45"/>
      <c r="S383" s="45"/>
      <c r="T383" s="45"/>
      <c r="U383" s="45"/>
      <c r="V383" s="45"/>
      <c r="W383" s="45"/>
      <c r="X383" s="45"/>
      <c r="Y383" s="45"/>
      <c r="Z383" s="45"/>
      <c r="AA383" s="45"/>
      <c r="AB383" s="45"/>
      <c r="AC383" s="45"/>
      <c r="AD383" s="45"/>
      <c r="AE383" s="45"/>
      <c r="AF383" s="45"/>
      <c r="AG383" s="45"/>
      <c r="AH383" s="45"/>
      <c r="AI383" s="45"/>
      <c r="AJ383" s="45"/>
    </row>
    <row r="384" spans="1:36" x14ac:dyDescent="0.2">
      <c r="A384" s="27"/>
      <c r="B384" s="11"/>
      <c r="C384" s="11" t="str">
        <f>IF(G267=0,"Скорость ленты, м/с","Не вводить")</f>
        <v>Скорость ленты, м/с</v>
      </c>
      <c r="D384" s="11"/>
      <c r="E384" s="11"/>
      <c r="F384" s="11"/>
      <c r="G384" s="258" t="str">
        <f>IF(G381&gt;0,INDEX($C$680:$Q$680,G381),"")</f>
        <v/>
      </c>
      <c r="H384" s="258" t="str">
        <f>IF(H381&gt;0,INDEX($C$680:$Q$680,H381),"")</f>
        <v/>
      </c>
      <c r="I384" s="258" t="str">
        <f>IF(I381&gt;0,INDEX($C$680:$Q$680,I381),"")</f>
        <v/>
      </c>
      <c r="J384" s="258" t="str">
        <f>IF(J381&gt;0,INDEX($C$680:$Q$680,J381),"")</f>
        <v/>
      </c>
      <c r="K384" s="258" t="str">
        <f>IF(K381&gt;0,INDEX($C$680:$Q$680,K381),"")</f>
        <v/>
      </c>
      <c r="L384" s="92"/>
      <c r="M384" s="92"/>
      <c r="N384" s="27"/>
      <c r="O384" s="86"/>
      <c r="P384" s="95"/>
      <c r="Q384" s="72"/>
      <c r="R384" s="45"/>
      <c r="S384" s="45"/>
      <c r="T384" s="45"/>
      <c r="U384" s="45"/>
      <c r="V384" s="45"/>
      <c r="W384" s="45"/>
      <c r="X384" s="45"/>
      <c r="Y384" s="45"/>
      <c r="Z384" s="45"/>
      <c r="AA384" s="45"/>
      <c r="AB384" s="45"/>
      <c r="AC384" s="45"/>
      <c r="AD384" s="45"/>
      <c r="AE384" s="45"/>
      <c r="AF384" s="45"/>
      <c r="AG384" s="45"/>
      <c r="AH384" s="45"/>
      <c r="AI384" s="45"/>
      <c r="AJ384" s="45"/>
    </row>
    <row r="385" spans="1:36" x14ac:dyDescent="0.2">
      <c r="A385" s="27"/>
      <c r="B385" s="11"/>
      <c r="C385" s="11" t="str">
        <f>IF(G267=0,"Приемная способность, м3/мин","Не вводить")</f>
        <v>Приемная способность, м3/мин</v>
      </c>
      <c r="D385" s="11"/>
      <c r="E385" s="11"/>
      <c r="F385" s="11"/>
      <c r="G385" s="258" t="str">
        <f>IF(G381&gt;0,INDEX($C$682:$Q$682,G381),"")</f>
        <v/>
      </c>
      <c r="H385" s="258" t="str">
        <f>IF(H381&gt;0,INDEX($C$682:$Q$682,H381),"")</f>
        <v/>
      </c>
      <c r="I385" s="258" t="str">
        <f>IF(I381&gt;0,INDEX($C$682:$Q$682,I381),"")</f>
        <v/>
      </c>
      <c r="J385" s="258" t="str">
        <f>IF(J381&gt;0,INDEX($C$682:$Q$682,J381),"")</f>
        <v/>
      </c>
      <c r="K385" s="258" t="str">
        <f>IF(K381&gt;0,INDEX($C$682:$Q$682,K381),"")</f>
        <v/>
      </c>
      <c r="L385" s="92"/>
      <c r="M385" s="92"/>
      <c r="N385" s="27"/>
      <c r="O385" s="86"/>
      <c r="P385" s="95"/>
      <c r="Q385" s="72"/>
      <c r="R385" s="45"/>
      <c r="S385" s="45"/>
      <c r="T385" s="45"/>
      <c r="U385" s="45"/>
      <c r="V385" s="45"/>
      <c r="W385" s="45"/>
      <c r="X385" s="45"/>
      <c r="Y385" s="45"/>
      <c r="Z385" s="45"/>
      <c r="AA385" s="45"/>
      <c r="AB385" s="45"/>
      <c r="AC385" s="45"/>
      <c r="AD385" s="45"/>
      <c r="AE385" s="45"/>
      <c r="AF385" s="45"/>
      <c r="AG385" s="45"/>
      <c r="AH385" s="45"/>
      <c r="AI385" s="45"/>
      <c r="AJ385" s="45"/>
    </row>
    <row r="386" spans="1:36" x14ac:dyDescent="0.2">
      <c r="A386" s="27"/>
      <c r="B386" s="11"/>
      <c r="C386" s="11" t="str">
        <f>IF(G267=0,"Производительность, т/мин","Не вводить")</f>
        <v>Производительность, т/мин</v>
      </c>
      <c r="D386" s="11"/>
      <c r="E386" s="11"/>
      <c r="F386" s="11"/>
      <c r="G386" s="24">
        <f>IF(G385="",100,G385*(0.9+0.4*$I$420))</f>
        <v>100</v>
      </c>
      <c r="H386" s="24">
        <f>IF(H385="",100,H385*(0.9+0.4*$I$420))</f>
        <v>100</v>
      </c>
      <c r="I386" s="24">
        <f>IF(I385="",100,I385*(0.9+0.4*$I$420))</f>
        <v>100</v>
      </c>
      <c r="J386" s="24">
        <f>IF(J385="",100,J385*(0.9+0.4*$I$420))</f>
        <v>100</v>
      </c>
      <c r="K386" s="24">
        <f>IF(K385="",100,K385*(0.9+0.4*$I$420))</f>
        <v>100</v>
      </c>
      <c r="L386" s="92"/>
      <c r="M386" s="92"/>
      <c r="N386" s="27"/>
      <c r="O386" s="86"/>
      <c r="P386" s="95"/>
      <c r="Q386" s="72"/>
      <c r="R386" s="45"/>
      <c r="S386" s="45"/>
      <c r="T386" s="45"/>
      <c r="U386" s="45"/>
      <c r="V386" s="45"/>
      <c r="W386" s="45"/>
      <c r="X386" s="45"/>
      <c r="Y386" s="45"/>
      <c r="Z386" s="45"/>
      <c r="AA386" s="45"/>
      <c r="AB386" s="45"/>
      <c r="AC386" s="45"/>
      <c r="AD386" s="45"/>
      <c r="AE386" s="45"/>
      <c r="AF386" s="45"/>
      <c r="AG386" s="45"/>
      <c r="AH386" s="45"/>
      <c r="AI386" s="45"/>
      <c r="AJ386" s="45"/>
    </row>
    <row r="387" spans="1:36" x14ac:dyDescent="0.2">
      <c r="A387" s="27"/>
      <c r="B387" s="11"/>
      <c r="C387" s="11" t="str">
        <f>IF(G267=0,"Пропускная способность, т/мин","Не вводить")</f>
        <v>Пропускная способность, т/мин</v>
      </c>
      <c r="D387" s="11"/>
      <c r="E387" s="11"/>
      <c r="F387" s="11"/>
      <c r="G387" s="78">
        <f>IF(G385="",100,G385*50/((1+4.66*(G384/G382)^0.5)*60))</f>
        <v>100</v>
      </c>
      <c r="H387" s="78">
        <f>IF(H385="",100,H385*50/((1+4.66*(H384/H382)^0.5)*60))</f>
        <v>100</v>
      </c>
      <c r="I387" s="78">
        <f>IF(I385="",100,I385*50/((1+4.66*(I384/I382)^0.5)*60))</f>
        <v>100</v>
      </c>
      <c r="J387" s="78">
        <f>IF(J385="",100,J385*50/((1+4.66*(J384/J382)^0.5)*60))</f>
        <v>100</v>
      </c>
      <c r="K387" s="78">
        <f>IF(K385="",100,K385*50/((1+4.66*(K384/K382)^0.5)*60))</f>
        <v>100</v>
      </c>
      <c r="L387" s="92"/>
      <c r="M387" s="92"/>
      <c r="N387" s="27"/>
      <c r="O387" s="86"/>
      <c r="P387" s="95"/>
      <c r="Q387" s="72"/>
      <c r="R387" s="45"/>
      <c r="S387" s="45"/>
      <c r="T387" s="45"/>
      <c r="U387" s="45"/>
      <c r="V387" s="45"/>
      <c r="W387" s="45"/>
      <c r="X387" s="45"/>
      <c r="Y387" s="45"/>
      <c r="Z387" s="45"/>
      <c r="AA387" s="45"/>
      <c r="AB387" s="45"/>
      <c r="AC387" s="45"/>
      <c r="AD387" s="45"/>
      <c r="AE387" s="45"/>
      <c r="AF387" s="45"/>
      <c r="AG387" s="45"/>
      <c r="AH387" s="45"/>
      <c r="AI387" s="45"/>
      <c r="AJ387" s="45"/>
    </row>
    <row r="388" spans="1:36" x14ac:dyDescent="0.2">
      <c r="A388" s="4375" t="s">
        <v>749</v>
      </c>
      <c r="B388" s="4373"/>
      <c r="C388" s="4373"/>
      <c r="D388" s="4373"/>
      <c r="E388" s="4373"/>
      <c r="F388" s="11"/>
      <c r="G388" s="81" t="e">
        <f>MIN(G299,G305,G311,G317,G360,G365,G370,G378)</f>
        <v>#VALUE!</v>
      </c>
      <c r="H388" s="81" t="e">
        <f>MIN(H299,H305,H311,H317,H360,H365,H370,H378)</f>
        <v>#VALUE!</v>
      </c>
      <c r="I388" s="81" t="e">
        <f>MIN(I299,I305,I311,I317,I360,I365,I370,I378)</f>
        <v>#VALUE!</v>
      </c>
      <c r="J388" s="81" t="e">
        <f>MIN(J299,J305,J311,J317,J360,J365,J370,J378)</f>
        <v>#VALUE!</v>
      </c>
      <c r="K388" s="81" t="e">
        <f>MIN(K299,K305,K311,K317,K360,K365,K370,K378)</f>
        <v>#VALUE!</v>
      </c>
      <c r="L388" s="92"/>
      <c r="M388" s="92"/>
      <c r="N388" s="27"/>
      <c r="O388" s="86"/>
      <c r="P388" s="95"/>
      <c r="Q388" s="72"/>
      <c r="R388" s="45"/>
      <c r="S388" s="45"/>
      <c r="T388" s="45"/>
      <c r="U388" s="45"/>
      <c r="V388" s="45"/>
      <c r="W388" s="45"/>
      <c r="X388" s="45"/>
      <c r="Y388" s="45"/>
      <c r="Z388" s="45"/>
      <c r="AA388" s="45"/>
      <c r="AB388" s="45"/>
      <c r="AC388" s="45"/>
      <c r="AD388" s="45"/>
      <c r="AE388" s="45"/>
      <c r="AF388" s="45"/>
      <c r="AG388" s="45"/>
      <c r="AH388" s="45"/>
      <c r="AI388" s="45"/>
      <c r="AJ388" s="45"/>
    </row>
    <row r="389" spans="1:36" x14ac:dyDescent="0.2">
      <c r="A389" s="4375" t="s">
        <v>4786</v>
      </c>
      <c r="B389" s="4373"/>
      <c r="C389" s="4373"/>
      <c r="D389" s="4373"/>
      <c r="E389" s="4373"/>
      <c r="F389" s="11"/>
      <c r="G389" s="81">
        <f>MIN(G361,G366,G371,G379)</f>
        <v>100</v>
      </c>
      <c r="H389" s="81">
        <f>MIN(H361,H366,H371,H379)</f>
        <v>100</v>
      </c>
      <c r="I389" s="81">
        <f>MIN(I361,I366,I371,I379)</f>
        <v>100</v>
      </c>
      <c r="J389" s="81">
        <f>MIN(J361,J366,J371,J379)</f>
        <v>100</v>
      </c>
      <c r="K389" s="81">
        <f>MIN(K361,K366,K371,K379)</f>
        <v>100</v>
      </c>
      <c r="L389" s="92"/>
      <c r="M389" s="92"/>
      <c r="N389" s="27"/>
      <c r="O389" s="86"/>
      <c r="P389" s="95"/>
      <c r="Q389" s="72"/>
      <c r="R389" s="45"/>
      <c r="S389" s="45"/>
      <c r="T389" s="45"/>
      <c r="U389" s="45"/>
      <c r="V389" s="45"/>
      <c r="W389" s="45"/>
      <c r="X389" s="45"/>
      <c r="Y389" s="45"/>
      <c r="Z389" s="45"/>
      <c r="AA389" s="45"/>
      <c r="AB389" s="45"/>
      <c r="AC389" s="45"/>
      <c r="AD389" s="45"/>
      <c r="AE389" s="45"/>
      <c r="AF389" s="45"/>
      <c r="AG389" s="45"/>
      <c r="AH389" s="45"/>
      <c r="AI389" s="45"/>
      <c r="AJ389" s="45"/>
    </row>
    <row r="390" spans="1:36" ht="18" x14ac:dyDescent="0.25">
      <c r="A390" s="92"/>
      <c r="B390" s="453"/>
      <c r="C390" s="92"/>
      <c r="D390" s="92"/>
      <c r="E390" s="92"/>
      <c r="F390" s="92"/>
      <c r="G390" s="92"/>
      <c r="H390" s="92"/>
      <c r="I390" s="92"/>
      <c r="J390" s="92"/>
      <c r="K390" s="92"/>
      <c r="L390" s="92"/>
      <c r="M390" s="92"/>
      <c r="N390" s="27"/>
      <c r="O390" s="86"/>
      <c r="P390" s="95"/>
      <c r="Q390" s="72"/>
      <c r="R390" s="45"/>
      <c r="S390" s="45"/>
      <c r="T390" s="45"/>
      <c r="U390" s="45"/>
      <c r="V390" s="45"/>
      <c r="W390" s="45"/>
      <c r="X390" s="45"/>
      <c r="Y390" s="45"/>
      <c r="Z390" s="45"/>
      <c r="AA390" s="45"/>
      <c r="AB390" s="45"/>
      <c r="AC390" s="45"/>
      <c r="AD390" s="45"/>
      <c r="AE390" s="45"/>
      <c r="AF390" s="45"/>
      <c r="AG390" s="45"/>
      <c r="AH390" s="45"/>
      <c r="AI390" s="45"/>
      <c r="AJ390" s="45"/>
    </row>
    <row r="391" spans="1:36" ht="18" x14ac:dyDescent="0.25">
      <c r="A391" s="92"/>
      <c r="B391" s="453"/>
      <c r="C391" s="92"/>
      <c r="D391" s="92"/>
      <c r="E391" s="92"/>
      <c r="F391" s="92"/>
      <c r="G391" s="92"/>
      <c r="H391" s="92"/>
      <c r="I391" s="92"/>
      <c r="J391" s="92"/>
      <c r="K391" s="92"/>
      <c r="L391" s="92"/>
      <c r="M391" s="92"/>
      <c r="N391" s="27"/>
      <c r="O391" s="86"/>
      <c r="P391" s="95"/>
      <c r="Q391" s="72"/>
      <c r="R391" s="45"/>
      <c r="S391" s="45"/>
      <c r="T391" s="45"/>
      <c r="U391" s="45"/>
      <c r="V391" s="45"/>
      <c r="W391" s="45"/>
      <c r="X391" s="45"/>
      <c r="Y391" s="45"/>
      <c r="Z391" s="45"/>
      <c r="AA391" s="45"/>
      <c r="AB391" s="45"/>
      <c r="AC391" s="45"/>
      <c r="AD391" s="45"/>
      <c r="AE391" s="45"/>
      <c r="AF391" s="45"/>
      <c r="AG391" s="45"/>
      <c r="AH391" s="45"/>
      <c r="AI391" s="45"/>
      <c r="AJ391" s="45"/>
    </row>
    <row r="392" spans="1:36" ht="18" x14ac:dyDescent="0.25">
      <c r="A392" s="92"/>
      <c r="B392" s="453"/>
      <c r="C392" s="92"/>
      <c r="D392" s="92"/>
      <c r="E392" s="92"/>
      <c r="F392" s="92"/>
      <c r="G392" s="92"/>
      <c r="H392" s="92"/>
      <c r="I392" s="92"/>
      <c r="J392" s="92"/>
      <c r="K392" s="92"/>
      <c r="L392" s="92"/>
      <c r="M392" s="92"/>
      <c r="N392" s="27"/>
      <c r="O392" s="86"/>
      <c r="P392" s="95"/>
      <c r="Q392" s="72"/>
      <c r="R392" s="45"/>
      <c r="S392" s="45"/>
      <c r="T392" s="45"/>
      <c r="U392" s="45"/>
      <c r="V392" s="45"/>
      <c r="W392" s="45"/>
      <c r="X392" s="45"/>
      <c r="Y392" s="45"/>
      <c r="Z392" s="45"/>
      <c r="AA392" s="45"/>
      <c r="AB392" s="45"/>
      <c r="AC392" s="45"/>
      <c r="AD392" s="45"/>
      <c r="AE392" s="45"/>
      <c r="AF392" s="45"/>
      <c r="AG392" s="45"/>
      <c r="AH392" s="45"/>
      <c r="AI392" s="45"/>
      <c r="AJ392" s="45"/>
    </row>
    <row r="393" spans="1:36" ht="18" x14ac:dyDescent="0.25">
      <c r="A393" s="92"/>
      <c r="B393" s="453"/>
      <c r="C393" s="92"/>
      <c r="D393" s="92"/>
      <c r="E393" s="92"/>
      <c r="F393" s="92"/>
      <c r="G393" s="92"/>
      <c r="H393" s="92"/>
      <c r="I393" s="92"/>
      <c r="J393" s="92"/>
      <c r="K393" s="92"/>
      <c r="L393" s="92"/>
      <c r="M393" s="92"/>
      <c r="N393" s="27"/>
      <c r="O393" s="86"/>
      <c r="P393" s="95"/>
      <c r="Q393" s="72"/>
      <c r="R393" s="45"/>
      <c r="S393" s="45"/>
      <c r="T393" s="45"/>
      <c r="U393" s="45"/>
      <c r="V393" s="45"/>
      <c r="W393" s="45"/>
      <c r="X393" s="45"/>
      <c r="Y393" s="45"/>
      <c r="Z393" s="45"/>
      <c r="AA393" s="45"/>
      <c r="AB393" s="45"/>
      <c r="AC393" s="45"/>
      <c r="AD393" s="45"/>
      <c r="AE393" s="45"/>
      <c r="AF393" s="45"/>
      <c r="AG393" s="45"/>
      <c r="AH393" s="45"/>
      <c r="AI393" s="45"/>
      <c r="AJ393" s="45"/>
    </row>
    <row r="394" spans="1:36" ht="18" x14ac:dyDescent="0.25">
      <c r="A394" s="92"/>
      <c r="B394" s="453"/>
      <c r="C394" s="92"/>
      <c r="D394" s="92"/>
      <c r="E394" s="92"/>
      <c r="F394" s="92"/>
      <c r="G394" s="92"/>
      <c r="H394" s="92"/>
      <c r="I394" s="92"/>
      <c r="J394" s="92"/>
      <c r="K394" s="92"/>
      <c r="L394" s="92"/>
      <c r="M394" s="92"/>
      <c r="N394" s="27"/>
      <c r="O394" s="86"/>
      <c r="P394" s="95"/>
      <c r="Q394" s="72"/>
      <c r="R394" s="45"/>
      <c r="S394" s="45"/>
      <c r="T394" s="45"/>
      <c r="U394" s="45"/>
      <c r="V394" s="45"/>
      <c r="W394" s="45"/>
      <c r="X394" s="45"/>
      <c r="Y394" s="45"/>
      <c r="Z394" s="45"/>
      <c r="AA394" s="45"/>
      <c r="AB394" s="45"/>
      <c r="AC394" s="45"/>
      <c r="AD394" s="45"/>
      <c r="AE394" s="45"/>
      <c r="AF394" s="45"/>
      <c r="AG394" s="45"/>
      <c r="AH394" s="45"/>
      <c r="AI394" s="45"/>
      <c r="AJ394" s="45"/>
    </row>
    <row r="395" spans="1:36" ht="18" x14ac:dyDescent="0.25">
      <c r="A395" s="92"/>
      <c r="B395" s="453"/>
      <c r="C395" s="92"/>
      <c r="D395" s="92"/>
      <c r="E395" s="92"/>
      <c r="F395" s="92"/>
      <c r="G395" s="92"/>
      <c r="H395" s="92"/>
      <c r="I395" s="92"/>
      <c r="J395" s="92"/>
      <c r="K395" s="92"/>
      <c r="L395" s="92"/>
      <c r="M395" s="92"/>
      <c r="N395" s="27"/>
      <c r="O395" s="86"/>
      <c r="P395" s="95"/>
      <c r="Q395" s="72"/>
      <c r="R395" s="45"/>
      <c r="S395" s="45"/>
      <c r="T395" s="45"/>
      <c r="U395" s="45"/>
      <c r="V395" s="45"/>
      <c r="W395" s="45"/>
      <c r="X395" s="45"/>
      <c r="Y395" s="45"/>
      <c r="Z395" s="45"/>
      <c r="AA395" s="45"/>
      <c r="AB395" s="45"/>
      <c r="AC395" s="45"/>
      <c r="AD395" s="45"/>
      <c r="AE395" s="45"/>
      <c r="AF395" s="45"/>
      <c r="AG395" s="45"/>
      <c r="AH395" s="45"/>
      <c r="AI395" s="45"/>
      <c r="AJ395" s="45"/>
    </row>
    <row r="396" spans="1:36" ht="18" x14ac:dyDescent="0.25">
      <c r="A396" s="92"/>
      <c r="B396" s="453"/>
      <c r="C396" s="92"/>
      <c r="D396" s="92"/>
      <c r="E396" s="92"/>
      <c r="F396" s="92"/>
      <c r="G396" s="92"/>
      <c r="H396" s="92"/>
      <c r="I396" s="92"/>
      <c r="J396" s="92"/>
      <c r="K396" s="92"/>
      <c r="L396" s="92"/>
      <c r="M396" s="92"/>
      <c r="N396" s="27"/>
      <c r="O396" s="86"/>
      <c r="P396" s="95"/>
      <c r="Q396" s="72"/>
      <c r="R396" s="45"/>
      <c r="S396" s="45"/>
      <c r="T396" s="45"/>
      <c r="U396" s="45"/>
      <c r="V396" s="45"/>
      <c r="W396" s="45"/>
      <c r="X396" s="45"/>
      <c r="Y396" s="45"/>
      <c r="Z396" s="45"/>
      <c r="AA396" s="45"/>
      <c r="AB396" s="45"/>
      <c r="AC396" s="45"/>
      <c r="AD396" s="45"/>
      <c r="AE396" s="45"/>
      <c r="AF396" s="45"/>
      <c r="AG396" s="45"/>
      <c r="AH396" s="45"/>
      <c r="AI396" s="45"/>
      <c r="AJ396" s="45"/>
    </row>
    <row r="397" spans="1:36" ht="18" x14ac:dyDescent="0.25">
      <c r="A397" s="92"/>
      <c r="B397" s="453"/>
      <c r="C397" s="92"/>
      <c r="D397" s="92"/>
      <c r="E397" s="92"/>
      <c r="F397" s="92"/>
      <c r="G397" s="92"/>
      <c r="H397" s="92"/>
      <c r="I397" s="92"/>
      <c r="J397" s="92"/>
      <c r="K397" s="92"/>
      <c r="L397" s="92"/>
      <c r="M397" s="92"/>
      <c r="N397" s="27"/>
      <c r="O397" s="86"/>
      <c r="P397" s="95"/>
      <c r="Q397" s="72"/>
      <c r="R397" s="45"/>
      <c r="S397" s="45"/>
      <c r="T397" s="45"/>
      <c r="U397" s="45"/>
      <c r="V397" s="45"/>
      <c r="W397" s="45"/>
      <c r="X397" s="45"/>
      <c r="Y397" s="45"/>
      <c r="Z397" s="45"/>
      <c r="AA397" s="45"/>
      <c r="AB397" s="45"/>
      <c r="AC397" s="45"/>
      <c r="AD397" s="45"/>
      <c r="AE397" s="45"/>
      <c r="AF397" s="45"/>
      <c r="AG397" s="45"/>
      <c r="AH397" s="45"/>
      <c r="AI397" s="45"/>
      <c r="AJ397" s="45"/>
    </row>
    <row r="398" spans="1:36" ht="18" x14ac:dyDescent="0.25">
      <c r="A398" s="92"/>
      <c r="B398" s="453"/>
      <c r="C398" s="92"/>
      <c r="D398" s="92"/>
      <c r="E398" s="92"/>
      <c r="F398" s="92"/>
      <c r="G398" s="92"/>
      <c r="H398" s="92"/>
      <c r="I398" s="92"/>
      <c r="J398" s="92"/>
      <c r="K398" s="92"/>
      <c r="L398" s="92"/>
      <c r="M398" s="92"/>
      <c r="N398" s="27"/>
      <c r="O398" s="86"/>
      <c r="P398" s="95"/>
      <c r="Q398" s="72"/>
      <c r="R398" s="45"/>
      <c r="S398" s="45"/>
      <c r="T398" s="45"/>
      <c r="U398" s="45"/>
      <c r="V398" s="45"/>
      <c r="W398" s="45"/>
      <c r="X398" s="45"/>
      <c r="Y398" s="45"/>
      <c r="Z398" s="45"/>
      <c r="AA398" s="45"/>
      <c r="AB398" s="45"/>
      <c r="AC398" s="45"/>
      <c r="AD398" s="45"/>
      <c r="AE398" s="45"/>
      <c r="AF398" s="45"/>
      <c r="AG398" s="45"/>
      <c r="AH398" s="45"/>
      <c r="AI398" s="45"/>
      <c r="AJ398" s="45"/>
    </row>
    <row r="399" spans="1:36" ht="18" x14ac:dyDescent="0.25">
      <c r="A399" s="92"/>
      <c r="B399" s="453"/>
      <c r="C399" s="92"/>
      <c r="D399" s="92"/>
      <c r="E399" s="92"/>
      <c r="F399" s="92"/>
      <c r="G399" s="92"/>
      <c r="H399" s="92"/>
      <c r="I399" s="92"/>
      <c r="J399" s="92"/>
      <c r="K399" s="92"/>
      <c r="L399" s="92"/>
      <c r="M399" s="92"/>
      <c r="N399" s="27"/>
      <c r="O399" s="86"/>
      <c r="P399" s="95"/>
      <c r="Q399" s="72"/>
      <c r="R399" s="45"/>
      <c r="S399" s="45"/>
      <c r="T399" s="45"/>
      <c r="U399" s="45"/>
      <c r="V399" s="45"/>
      <c r="W399" s="45"/>
      <c r="X399" s="45"/>
      <c r="Y399" s="45"/>
      <c r="Z399" s="45"/>
      <c r="AA399" s="45"/>
      <c r="AB399" s="45"/>
      <c r="AC399" s="45"/>
      <c r="AD399" s="45"/>
      <c r="AE399" s="45"/>
      <c r="AF399" s="45"/>
      <c r="AG399" s="45"/>
      <c r="AH399" s="45"/>
      <c r="AI399" s="45"/>
      <c r="AJ399" s="45"/>
    </row>
    <row r="400" spans="1:36" ht="18" x14ac:dyDescent="0.25">
      <c r="A400" s="92"/>
      <c r="B400" s="453"/>
      <c r="C400" s="92"/>
      <c r="D400" s="92"/>
      <c r="E400" s="92"/>
      <c r="F400" s="92"/>
      <c r="G400" s="92"/>
      <c r="H400" s="92"/>
      <c r="I400" s="92"/>
      <c r="J400" s="92"/>
      <c r="K400" s="92"/>
      <c r="L400" s="92"/>
      <c r="M400" s="92"/>
      <c r="N400" s="27"/>
      <c r="O400" s="86"/>
      <c r="P400" s="95"/>
      <c r="Q400" s="72"/>
      <c r="R400" s="45"/>
      <c r="S400" s="45"/>
      <c r="T400" s="45"/>
      <c r="U400" s="45"/>
      <c r="V400" s="45"/>
      <c r="W400" s="45"/>
      <c r="X400" s="45"/>
      <c r="Y400" s="45"/>
      <c r="Z400" s="45"/>
      <c r="AA400" s="45"/>
      <c r="AB400" s="45"/>
      <c r="AC400" s="45"/>
      <c r="AD400" s="45"/>
      <c r="AE400" s="45"/>
      <c r="AF400" s="45"/>
      <c r="AG400" s="45"/>
      <c r="AH400" s="45"/>
      <c r="AI400" s="45"/>
      <c r="AJ400" s="45"/>
    </row>
    <row r="401" spans="1:36" ht="18" x14ac:dyDescent="0.25">
      <c r="A401" s="92"/>
      <c r="B401" s="453"/>
      <c r="C401" s="92"/>
      <c r="D401" s="92"/>
      <c r="E401" s="92"/>
      <c r="F401" s="92"/>
      <c r="G401" s="92"/>
      <c r="H401" s="92"/>
      <c r="I401" s="92"/>
      <c r="J401" s="92"/>
      <c r="K401" s="92"/>
      <c r="L401" s="92"/>
      <c r="M401" s="92"/>
      <c r="N401" s="27"/>
      <c r="O401" s="86"/>
      <c r="P401" s="95"/>
      <c r="Q401" s="72"/>
      <c r="R401" s="45"/>
      <c r="S401" s="45"/>
      <c r="T401" s="45"/>
      <c r="U401" s="45"/>
      <c r="V401" s="45"/>
      <c r="W401" s="45"/>
      <c r="X401" s="45"/>
      <c r="Y401" s="45"/>
      <c r="Z401" s="45"/>
      <c r="AA401" s="45"/>
      <c r="AB401" s="45"/>
      <c r="AC401" s="45"/>
      <c r="AD401" s="45"/>
      <c r="AE401" s="45"/>
      <c r="AF401" s="45"/>
      <c r="AG401" s="45"/>
      <c r="AH401" s="45"/>
      <c r="AI401" s="45"/>
      <c r="AJ401" s="45"/>
    </row>
    <row r="402" spans="1:36" ht="18" x14ac:dyDescent="0.25">
      <c r="A402" s="92"/>
      <c r="B402" s="453"/>
      <c r="C402" s="92"/>
      <c r="D402" s="92"/>
      <c r="E402" s="92"/>
      <c r="F402" s="92"/>
      <c r="G402" s="92"/>
      <c r="H402" s="92"/>
      <c r="I402" s="92"/>
      <c r="J402" s="92"/>
      <c r="K402" s="92"/>
      <c r="L402" s="92"/>
      <c r="M402" s="92"/>
      <c r="N402" s="27"/>
      <c r="O402" s="86"/>
      <c r="P402" s="95"/>
      <c r="Q402" s="72"/>
      <c r="R402" s="45"/>
      <c r="S402" s="45"/>
      <c r="T402" s="45"/>
      <c r="U402" s="45"/>
      <c r="V402" s="45"/>
      <c r="W402" s="45"/>
      <c r="X402" s="45"/>
      <c r="Y402" s="45"/>
      <c r="Z402" s="45"/>
      <c r="AA402" s="45"/>
      <c r="AB402" s="45"/>
      <c r="AC402" s="45"/>
      <c r="AD402" s="45"/>
      <c r="AE402" s="45"/>
      <c r="AF402" s="45"/>
      <c r="AG402" s="45"/>
      <c r="AH402" s="45"/>
      <c r="AI402" s="45"/>
      <c r="AJ402" s="45"/>
    </row>
    <row r="403" spans="1:36" ht="18" x14ac:dyDescent="0.25">
      <c r="A403" s="92"/>
      <c r="B403" s="453"/>
      <c r="C403" s="92"/>
      <c r="D403" s="92"/>
      <c r="E403" s="92"/>
      <c r="F403" s="92"/>
      <c r="G403" s="92"/>
      <c r="H403" s="92"/>
      <c r="I403" s="92"/>
      <c r="J403" s="92"/>
      <c r="K403" s="92"/>
      <c r="L403" s="92"/>
      <c r="M403" s="92"/>
      <c r="N403" s="27"/>
      <c r="O403" s="86"/>
      <c r="P403" s="95"/>
      <c r="Q403" s="72"/>
      <c r="R403" s="45"/>
      <c r="S403" s="45"/>
      <c r="T403" s="45"/>
      <c r="U403" s="45"/>
      <c r="V403" s="45"/>
      <c r="W403" s="45"/>
      <c r="X403" s="45"/>
      <c r="Y403" s="45"/>
      <c r="Z403" s="45"/>
      <c r="AA403" s="45"/>
      <c r="AB403" s="45"/>
      <c r="AC403" s="45"/>
      <c r="AD403" s="45"/>
      <c r="AE403" s="45"/>
      <c r="AF403" s="45"/>
      <c r="AG403" s="45"/>
      <c r="AH403" s="45"/>
      <c r="AI403" s="45"/>
      <c r="AJ403" s="45"/>
    </row>
    <row r="404" spans="1:36" ht="18" x14ac:dyDescent="0.25">
      <c r="A404" s="92"/>
      <c r="B404" s="453"/>
      <c r="C404" s="92"/>
      <c r="D404" s="92"/>
      <c r="E404" s="92"/>
      <c r="F404" s="92"/>
      <c r="G404" s="92"/>
      <c r="H404" s="92"/>
      <c r="I404" s="92"/>
      <c r="J404" s="92"/>
      <c r="K404" s="92"/>
      <c r="L404" s="92"/>
      <c r="M404" s="92"/>
      <c r="N404" s="27"/>
      <c r="O404" s="86"/>
      <c r="P404" s="95"/>
      <c r="Q404" s="72"/>
      <c r="R404" s="45"/>
      <c r="S404" s="45"/>
      <c r="T404" s="45"/>
      <c r="U404" s="45"/>
      <c r="V404" s="45"/>
      <c r="W404" s="45"/>
      <c r="X404" s="45"/>
      <c r="Y404" s="45"/>
      <c r="Z404" s="45"/>
      <c r="AA404" s="45"/>
      <c r="AB404" s="45"/>
      <c r="AC404" s="45"/>
      <c r="AD404" s="45"/>
      <c r="AE404" s="45"/>
      <c r="AF404" s="45"/>
      <c r="AG404" s="45"/>
      <c r="AH404" s="45"/>
      <c r="AI404" s="45"/>
      <c r="AJ404" s="45"/>
    </row>
    <row r="405" spans="1:36" ht="18" x14ac:dyDescent="0.25">
      <c r="A405" s="92"/>
      <c r="B405" s="453"/>
      <c r="C405" s="92"/>
      <c r="D405" s="92"/>
      <c r="E405" s="92"/>
      <c r="F405" s="92"/>
      <c r="G405" s="92"/>
      <c r="H405" s="92"/>
      <c r="I405" s="92"/>
      <c r="J405" s="92"/>
      <c r="K405" s="92"/>
      <c r="L405" s="92"/>
      <c r="M405" s="92"/>
      <c r="N405" s="27"/>
      <c r="O405" s="86"/>
      <c r="P405" s="95"/>
      <c r="Q405" s="72"/>
      <c r="R405" s="45"/>
      <c r="S405" s="45"/>
      <c r="T405" s="45"/>
      <c r="U405" s="45"/>
      <c r="V405" s="45"/>
      <c r="W405" s="45"/>
      <c r="X405" s="45"/>
      <c r="Y405" s="45"/>
      <c r="Z405" s="45"/>
      <c r="AA405" s="45"/>
      <c r="AB405" s="45"/>
      <c r="AC405" s="45"/>
      <c r="AD405" s="45"/>
      <c r="AE405" s="45"/>
      <c r="AF405" s="45"/>
      <c r="AG405" s="45"/>
      <c r="AH405" s="45"/>
      <c r="AI405" s="45"/>
      <c r="AJ405" s="45"/>
    </row>
    <row r="406" spans="1:36" ht="18" x14ac:dyDescent="0.25">
      <c r="A406" s="92"/>
      <c r="B406" s="453"/>
      <c r="C406" s="92"/>
      <c r="D406" s="92"/>
      <c r="E406" s="92"/>
      <c r="F406" s="92"/>
      <c r="G406" s="92"/>
      <c r="H406" s="92"/>
      <c r="I406" s="92"/>
      <c r="J406" s="92"/>
      <c r="K406" s="92"/>
      <c r="L406" s="92"/>
      <c r="M406" s="92"/>
      <c r="N406" s="27"/>
      <c r="O406" s="86"/>
      <c r="P406" s="95"/>
      <c r="Q406" s="72"/>
      <c r="R406" s="45"/>
      <c r="S406" s="45"/>
      <c r="T406" s="45"/>
      <c r="U406" s="45"/>
      <c r="V406" s="45"/>
      <c r="W406" s="45"/>
      <c r="X406" s="45"/>
      <c r="Y406" s="45"/>
      <c r="Z406" s="45"/>
      <c r="AA406" s="45"/>
      <c r="AB406" s="45"/>
      <c r="AC406" s="45"/>
      <c r="AD406" s="45"/>
      <c r="AE406" s="45"/>
      <c r="AF406" s="45"/>
      <c r="AG406" s="45"/>
      <c r="AH406" s="45"/>
      <c r="AI406" s="45"/>
      <c r="AJ406" s="45"/>
    </row>
    <row r="407" spans="1:36" ht="18" x14ac:dyDescent="0.25">
      <c r="A407" s="92"/>
      <c r="B407" s="453"/>
      <c r="C407" s="92"/>
      <c r="D407" s="92"/>
      <c r="E407" s="92"/>
      <c r="F407" s="92"/>
      <c r="G407" s="92"/>
      <c r="H407" s="92"/>
      <c r="I407" s="92"/>
      <c r="J407" s="92"/>
      <c r="K407" s="92"/>
      <c r="L407" s="92"/>
      <c r="M407" s="92"/>
      <c r="N407" s="27"/>
      <c r="O407" s="86"/>
      <c r="P407" s="95"/>
      <c r="Q407" s="72"/>
      <c r="R407" s="45"/>
      <c r="S407" s="45"/>
      <c r="T407" s="45"/>
      <c r="U407" s="45"/>
      <c r="V407" s="45"/>
      <c r="W407" s="45"/>
      <c r="X407" s="45"/>
      <c r="Y407" s="45"/>
      <c r="Z407" s="45"/>
      <c r="AA407" s="45"/>
      <c r="AB407" s="45"/>
      <c r="AC407" s="45"/>
      <c r="AD407" s="45"/>
      <c r="AE407" s="45"/>
      <c r="AF407" s="45"/>
      <c r="AG407" s="45"/>
      <c r="AH407" s="45"/>
      <c r="AI407" s="45"/>
      <c r="AJ407" s="45"/>
    </row>
    <row r="408" spans="1:36" ht="18" x14ac:dyDescent="0.25">
      <c r="A408" s="92"/>
      <c r="B408" s="453"/>
      <c r="C408" s="92"/>
      <c r="D408" s="92"/>
      <c r="E408" s="92"/>
      <c r="F408" s="92"/>
      <c r="G408" s="92"/>
      <c r="H408" s="92"/>
      <c r="I408" s="92"/>
      <c r="J408" s="92"/>
      <c r="K408" s="92"/>
      <c r="L408" s="92"/>
      <c r="M408" s="92"/>
      <c r="N408" s="27"/>
      <c r="O408" s="86"/>
      <c r="P408" s="95"/>
      <c r="Q408" s="72"/>
      <c r="R408" s="45"/>
      <c r="S408" s="45"/>
      <c r="T408" s="45"/>
      <c r="U408" s="45"/>
      <c r="V408" s="45"/>
      <c r="W408" s="45"/>
      <c r="X408" s="45"/>
      <c r="Y408" s="45"/>
      <c r="Z408" s="45"/>
      <c r="AA408" s="45"/>
      <c r="AB408" s="45"/>
      <c r="AC408" s="45"/>
      <c r="AD408" s="45"/>
      <c r="AE408" s="45"/>
      <c r="AF408" s="45"/>
      <c r="AG408" s="45"/>
      <c r="AH408" s="45"/>
      <c r="AI408" s="45"/>
      <c r="AJ408" s="45"/>
    </row>
    <row r="409" spans="1:36" ht="18" x14ac:dyDescent="0.25">
      <c r="A409" s="92"/>
      <c r="B409" s="453"/>
      <c r="C409" s="92"/>
      <c r="D409" s="92"/>
      <c r="E409" s="92"/>
      <c r="F409" s="92"/>
      <c r="G409" s="92"/>
      <c r="H409" s="92"/>
      <c r="I409" s="92"/>
      <c r="J409" s="92"/>
      <c r="K409" s="92"/>
      <c r="L409" s="92"/>
      <c r="M409" s="92"/>
      <c r="N409" s="27"/>
      <c r="O409" s="86"/>
      <c r="P409" s="95"/>
      <c r="Q409" s="72"/>
      <c r="R409" s="45"/>
      <c r="S409" s="45"/>
      <c r="T409" s="45"/>
      <c r="U409" s="45"/>
      <c r="V409" s="45"/>
      <c r="W409" s="45"/>
      <c r="X409" s="45"/>
      <c r="Y409" s="45"/>
      <c r="Z409" s="45"/>
      <c r="AA409" s="45"/>
      <c r="AB409" s="45"/>
      <c r="AC409" s="45"/>
      <c r="AD409" s="45"/>
      <c r="AE409" s="45"/>
      <c r="AF409" s="45"/>
      <c r="AG409" s="45"/>
      <c r="AH409" s="45"/>
      <c r="AI409" s="45"/>
      <c r="AJ409" s="45"/>
    </row>
    <row r="410" spans="1:36" ht="18" x14ac:dyDescent="0.25">
      <c r="A410" s="92"/>
      <c r="B410" s="453"/>
      <c r="C410" s="92"/>
      <c r="D410" s="92"/>
      <c r="E410" s="92"/>
      <c r="F410" s="92"/>
      <c r="G410" s="92"/>
      <c r="H410" s="92"/>
      <c r="I410" s="92"/>
      <c r="J410" s="92"/>
      <c r="K410" s="92"/>
      <c r="L410" s="92"/>
      <c r="M410" s="92"/>
      <c r="N410" s="27"/>
      <c r="O410" s="86"/>
      <c r="P410" s="95"/>
      <c r="Q410" s="72"/>
      <c r="R410" s="45"/>
      <c r="S410" s="45"/>
      <c r="T410" s="45"/>
      <c r="U410" s="45"/>
      <c r="V410" s="45"/>
      <c r="W410" s="45"/>
      <c r="X410" s="45"/>
      <c r="Y410" s="45"/>
      <c r="Z410" s="45"/>
      <c r="AA410" s="45"/>
      <c r="AB410" s="45"/>
      <c r="AC410" s="45"/>
      <c r="AD410" s="45"/>
      <c r="AE410" s="45"/>
      <c r="AF410" s="45"/>
      <c r="AG410" s="45"/>
      <c r="AH410" s="45"/>
      <c r="AI410" s="45"/>
      <c r="AJ410" s="45"/>
    </row>
    <row r="411" spans="1:36" ht="18" x14ac:dyDescent="0.25">
      <c r="A411" s="92"/>
      <c r="B411" s="453"/>
      <c r="C411" s="92"/>
      <c r="D411" s="92"/>
      <c r="E411" s="92"/>
      <c r="F411" s="92"/>
      <c r="G411" s="92"/>
      <c r="H411" s="92"/>
      <c r="I411" s="92"/>
      <c r="J411" s="92"/>
      <c r="K411" s="92"/>
      <c r="L411" s="92"/>
      <c r="M411" s="92"/>
      <c r="N411" s="27"/>
      <c r="O411" s="86"/>
      <c r="P411" s="95"/>
      <c r="Q411" s="72"/>
      <c r="R411" s="45"/>
      <c r="S411" s="45"/>
      <c r="T411" s="45"/>
      <c r="U411" s="45"/>
      <c r="V411" s="45"/>
      <c r="W411" s="45"/>
      <c r="X411" s="45"/>
      <c r="Y411" s="45"/>
      <c r="Z411" s="45"/>
      <c r="AA411" s="45"/>
      <c r="AB411" s="45"/>
      <c r="AC411" s="45"/>
      <c r="AD411" s="45"/>
      <c r="AE411" s="45"/>
      <c r="AF411" s="45"/>
      <c r="AG411" s="45"/>
      <c r="AH411" s="45"/>
      <c r="AI411" s="45"/>
      <c r="AJ411" s="45"/>
    </row>
    <row r="412" spans="1:36" ht="18" x14ac:dyDescent="0.25">
      <c r="A412" s="92"/>
      <c r="B412" s="453"/>
      <c r="C412" s="92"/>
      <c r="D412" s="92"/>
      <c r="E412" s="92"/>
      <c r="F412" s="92"/>
      <c r="G412" s="92"/>
      <c r="H412" s="92"/>
      <c r="I412" s="92"/>
      <c r="J412" s="92"/>
      <c r="K412" s="92"/>
      <c r="L412" s="92"/>
      <c r="M412" s="92"/>
      <c r="N412" s="27"/>
      <c r="O412" s="86"/>
      <c r="P412" s="95"/>
      <c r="Q412" s="72"/>
      <c r="R412" s="45"/>
      <c r="S412" s="45"/>
      <c r="T412" s="45"/>
      <c r="U412" s="45"/>
      <c r="V412" s="45"/>
      <c r="W412" s="45"/>
      <c r="X412" s="45"/>
      <c r="Y412" s="45"/>
      <c r="Z412" s="45"/>
      <c r="AA412" s="45"/>
      <c r="AB412" s="45"/>
      <c r="AC412" s="45"/>
      <c r="AD412" s="45"/>
      <c r="AE412" s="45"/>
      <c r="AF412" s="45"/>
      <c r="AG412" s="45"/>
      <c r="AH412" s="45"/>
      <c r="AI412" s="45"/>
      <c r="AJ412" s="45"/>
    </row>
    <row r="413" spans="1:36" ht="18" x14ac:dyDescent="0.25">
      <c r="A413" s="92"/>
      <c r="B413" s="453"/>
      <c r="C413" s="92"/>
      <c r="D413" s="92"/>
      <c r="E413" s="92"/>
      <c r="F413" s="92"/>
      <c r="G413" s="92"/>
      <c r="H413" s="92"/>
      <c r="I413" s="92"/>
      <c r="J413" s="92"/>
      <c r="K413" s="92"/>
      <c r="L413" s="92"/>
      <c r="M413" s="92"/>
      <c r="N413" s="27"/>
      <c r="O413" s="86"/>
      <c r="P413" s="95"/>
      <c r="Q413" s="72"/>
      <c r="R413" s="45"/>
      <c r="S413" s="45"/>
      <c r="T413" s="45"/>
      <c r="U413" s="45"/>
      <c r="V413" s="45"/>
      <c r="W413" s="45"/>
      <c r="X413" s="45"/>
      <c r="Y413" s="45"/>
      <c r="Z413" s="45"/>
      <c r="AA413" s="45"/>
      <c r="AB413" s="45"/>
      <c r="AC413" s="45"/>
      <c r="AD413" s="45"/>
      <c r="AE413" s="45"/>
      <c r="AF413" s="45"/>
      <c r="AG413" s="45"/>
      <c r="AH413" s="45"/>
      <c r="AI413" s="45"/>
      <c r="AJ413" s="45"/>
    </row>
    <row r="414" spans="1:36" x14ac:dyDescent="0.2">
      <c r="A414" s="92"/>
      <c r="B414" s="27"/>
      <c r="C414" s="27"/>
      <c r="D414" s="27"/>
      <c r="E414" s="27"/>
      <c r="F414" s="27"/>
      <c r="G414" s="27"/>
      <c r="H414" s="27"/>
      <c r="I414" s="27"/>
      <c r="J414" s="27"/>
      <c r="K414" s="27"/>
      <c r="L414" s="27"/>
      <c r="M414" s="27"/>
      <c r="N414" s="27"/>
      <c r="O414" s="86"/>
      <c r="P414" s="95"/>
      <c r="Q414" s="72"/>
      <c r="R414" s="45"/>
      <c r="S414" s="45"/>
      <c r="T414" s="45"/>
      <c r="U414" s="45"/>
      <c r="V414" s="45"/>
      <c r="W414" s="45"/>
      <c r="X414" s="45"/>
      <c r="Y414" s="45"/>
      <c r="Z414" s="45"/>
      <c r="AA414" s="45"/>
      <c r="AB414" s="45"/>
      <c r="AC414" s="45"/>
      <c r="AD414" s="45"/>
      <c r="AE414" s="45"/>
      <c r="AF414" s="45"/>
      <c r="AG414" s="45"/>
      <c r="AH414" s="45"/>
      <c r="AI414" s="45"/>
      <c r="AJ414" s="45"/>
    </row>
    <row r="415" spans="1:36" ht="15" x14ac:dyDescent="0.2">
      <c r="A415" s="87"/>
      <c r="B415" s="102" t="s">
        <v>1135</v>
      </c>
      <c r="C415" s="27"/>
      <c r="D415" s="62"/>
      <c r="E415" s="62"/>
      <c r="F415" s="62"/>
      <c r="G415" s="62"/>
      <c r="H415" s="62"/>
      <c r="I415" s="103"/>
      <c r="J415" s="103"/>
      <c r="K415" s="103"/>
      <c r="L415" s="103"/>
      <c r="M415" s="103"/>
      <c r="N415" s="95"/>
      <c r="O415" s="86"/>
      <c r="P415" s="95"/>
      <c r="Q415" s="72"/>
      <c r="R415" s="45"/>
      <c r="S415" s="45"/>
      <c r="T415" s="45"/>
      <c r="U415" s="45"/>
      <c r="V415" s="45"/>
      <c r="W415" s="45"/>
      <c r="X415" s="45"/>
      <c r="Y415" s="45"/>
      <c r="Z415" s="45"/>
      <c r="AA415" s="45"/>
      <c r="AB415" s="45"/>
      <c r="AC415" s="45"/>
      <c r="AD415" s="45"/>
      <c r="AE415" s="45"/>
      <c r="AF415" s="45"/>
      <c r="AG415" s="45"/>
      <c r="AH415" s="45"/>
      <c r="AI415" s="45"/>
      <c r="AJ415" s="45"/>
    </row>
    <row r="416" spans="1:36" x14ac:dyDescent="0.2">
      <c r="A416" s="87"/>
      <c r="B416" s="63" t="s">
        <v>1292</v>
      </c>
      <c r="C416" s="63"/>
      <c r="D416" s="62"/>
      <c r="E416" s="62"/>
      <c r="F416" s="62"/>
      <c r="G416" s="62"/>
      <c r="H416" s="62"/>
      <c r="I416" s="103"/>
      <c r="J416" s="103"/>
      <c r="K416" s="103"/>
      <c r="L416" s="103"/>
      <c r="M416" s="103"/>
      <c r="N416" s="95"/>
      <c r="O416" s="86"/>
      <c r="P416" s="95"/>
      <c r="Q416" s="72"/>
      <c r="R416" s="45"/>
      <c r="S416" s="45"/>
      <c r="T416" s="45"/>
      <c r="U416" s="45"/>
      <c r="V416" s="45"/>
      <c r="W416" s="45"/>
      <c r="X416" s="45"/>
      <c r="Y416" s="45"/>
      <c r="Z416" s="45"/>
      <c r="AA416" s="45"/>
      <c r="AB416" s="45"/>
      <c r="AC416" s="45"/>
      <c r="AD416" s="45"/>
      <c r="AE416" s="45"/>
      <c r="AF416" s="45"/>
      <c r="AG416" s="45"/>
      <c r="AH416" s="45"/>
      <c r="AI416" s="45"/>
      <c r="AJ416" s="45"/>
    </row>
    <row r="417" spans="1:36" x14ac:dyDescent="0.2">
      <c r="A417" s="87"/>
      <c r="B417" s="4375" t="s">
        <v>3066</v>
      </c>
      <c r="C417" s="4375"/>
      <c r="D417" s="4375"/>
      <c r="E417" s="4375"/>
      <c r="F417" s="4375"/>
      <c r="G417" s="4375"/>
      <c r="H417" s="11"/>
      <c r="I417" s="104" t="e">
        <f>G332</f>
        <v>#VALUE!</v>
      </c>
      <c r="J417" s="104" t="e">
        <f>H332</f>
        <v>#VALUE!</v>
      </c>
      <c r="K417" s="104" t="e">
        <f>I332</f>
        <v>#VALUE!</v>
      </c>
      <c r="L417" s="104" t="e">
        <f>J332</f>
        <v>#VALUE!</v>
      </c>
      <c r="M417" s="104" t="e">
        <f>K332</f>
        <v>#VALUE!</v>
      </c>
      <c r="N417" s="95"/>
      <c r="O417" s="86"/>
      <c r="P417" s="95"/>
      <c r="Q417" s="72"/>
      <c r="R417" s="45"/>
      <c r="S417" s="45"/>
      <c r="T417" s="45"/>
      <c r="U417" s="45"/>
      <c r="V417" s="45"/>
      <c r="W417" s="45"/>
      <c r="X417" s="45"/>
      <c r="Y417" s="45"/>
      <c r="Z417" s="45"/>
      <c r="AA417" s="45"/>
      <c r="AB417" s="45"/>
      <c r="AC417" s="45"/>
      <c r="AD417" s="45"/>
      <c r="AE417" s="45"/>
      <c r="AF417" s="45"/>
      <c r="AG417" s="45"/>
      <c r="AH417" s="45"/>
      <c r="AI417" s="45"/>
      <c r="AJ417" s="45"/>
    </row>
    <row r="418" spans="1:36" x14ac:dyDescent="0.2">
      <c r="A418" s="87"/>
      <c r="B418" s="4375" t="s">
        <v>5091</v>
      </c>
      <c r="C418" s="4375"/>
      <c r="D418" s="4375"/>
      <c r="E418" s="4375"/>
      <c r="F418" s="4375"/>
      <c r="G418" s="4375"/>
      <c r="H418" s="62"/>
      <c r="I418" s="105" t="e">
        <f>0.48+($B$554-0.1*G288)/($B$554+G288)</f>
        <v>#VALUE!</v>
      </c>
      <c r="J418" s="105" t="e">
        <f>0.48+($B$554-0.1*H288)/($B$554+H288)</f>
        <v>#VALUE!</v>
      </c>
      <c r="K418" s="105" t="e">
        <f>0.48+($B$554-0.1*I288)/($B$554+I288)</f>
        <v>#VALUE!</v>
      </c>
      <c r="L418" s="105" t="e">
        <f>0.48+($B$554-0.1*J288)/($B$554+J288)</f>
        <v>#VALUE!</v>
      </c>
      <c r="M418" s="105" t="e">
        <f>0.48+($B$554-0.1*K288)/($B$554+K288)</f>
        <v>#VALUE!</v>
      </c>
      <c r="N418" s="95"/>
      <c r="O418" s="86"/>
      <c r="P418" s="95"/>
      <c r="Q418" s="72"/>
      <c r="R418" s="45"/>
      <c r="S418" s="45"/>
      <c r="T418" s="45"/>
      <c r="U418" s="45"/>
      <c r="V418" s="45"/>
      <c r="W418" s="45"/>
      <c r="X418" s="45"/>
      <c r="Y418" s="45"/>
      <c r="Z418" s="45"/>
      <c r="AA418" s="45"/>
      <c r="AB418" s="45"/>
      <c r="AC418" s="45"/>
      <c r="AD418" s="45"/>
      <c r="AE418" s="45"/>
      <c r="AF418" s="45"/>
      <c r="AG418" s="45"/>
      <c r="AH418" s="45"/>
      <c r="AI418" s="45"/>
      <c r="AJ418" s="45"/>
    </row>
    <row r="419" spans="1:36" x14ac:dyDescent="0.2">
      <c r="A419" s="87"/>
      <c r="B419" s="62" t="s">
        <v>1960</v>
      </c>
      <c r="C419" s="87"/>
      <c r="D419" s="87"/>
      <c r="E419" s="87"/>
      <c r="F419" s="87"/>
      <c r="G419" s="87"/>
      <c r="H419" s="87"/>
      <c r="I419" s="106" t="e">
        <f>(I417*(1-I420)+I420*G345)*I418</f>
        <v>#VALUE!</v>
      </c>
      <c r="J419" s="106" t="e">
        <f>(J417*(1-J420)+J420*H345)*J418</f>
        <v>#VALUE!</v>
      </c>
      <c r="K419" s="106" t="e">
        <f>(K417*(1-K420)+K420*I345)*K418</f>
        <v>#VALUE!</v>
      </c>
      <c r="L419" s="106" t="e">
        <f>(L417*(1-L420)+L420*J345)*L418</f>
        <v>#VALUE!</v>
      </c>
      <c r="M419" s="106" t="e">
        <f>(M417*(1-M420)+M420*K345)*M418</f>
        <v>#VALUE!</v>
      </c>
      <c r="N419" s="95"/>
      <c r="O419" s="86"/>
      <c r="P419" s="95"/>
      <c r="Q419" s="72"/>
      <c r="R419" s="45"/>
      <c r="S419" s="45"/>
      <c r="T419" s="45"/>
      <c r="U419" s="45"/>
      <c r="V419" s="45"/>
      <c r="W419" s="45"/>
      <c r="X419" s="45"/>
      <c r="Y419" s="45"/>
      <c r="Z419" s="45"/>
      <c r="AA419" s="45"/>
      <c r="AB419" s="45"/>
      <c r="AC419" s="45"/>
      <c r="AD419" s="45"/>
      <c r="AE419" s="45"/>
      <c r="AF419" s="45"/>
      <c r="AG419" s="45"/>
      <c r="AH419" s="45"/>
      <c r="AI419" s="45"/>
      <c r="AJ419" s="45"/>
    </row>
    <row r="420" spans="1:36" x14ac:dyDescent="0.2">
      <c r="A420" s="87"/>
      <c r="B420" s="4375" t="s">
        <v>3670</v>
      </c>
      <c r="C420" s="4375"/>
      <c r="D420" s="4375"/>
      <c r="E420" s="4375"/>
      <c r="F420" s="4375"/>
      <c r="G420" s="4375"/>
      <c r="H420" s="11"/>
      <c r="I420" s="107" t="e">
        <f>G344/G288</f>
        <v>#VALUE!</v>
      </c>
      <c r="J420" s="107" t="e">
        <f>H344/H288</f>
        <v>#VALUE!</v>
      </c>
      <c r="K420" s="107" t="e">
        <f>I344/I288</f>
        <v>#VALUE!</v>
      </c>
      <c r="L420" s="107" t="e">
        <f>J344/J288</f>
        <v>#VALUE!</v>
      </c>
      <c r="M420" s="107" t="e">
        <f>K344/K288</f>
        <v>#VALUE!</v>
      </c>
      <c r="N420" s="95"/>
      <c r="O420" s="86"/>
      <c r="P420" s="95"/>
      <c r="Q420" s="72"/>
      <c r="R420" s="45"/>
      <c r="S420" s="45"/>
      <c r="T420" s="45"/>
      <c r="U420" s="45"/>
      <c r="V420" s="45"/>
      <c r="W420" s="45"/>
      <c r="X420" s="45"/>
      <c r="Y420" s="45"/>
      <c r="Z420" s="45"/>
      <c r="AA420" s="45"/>
      <c r="AB420" s="45"/>
      <c r="AC420" s="45"/>
      <c r="AD420" s="45"/>
      <c r="AE420" s="45"/>
      <c r="AF420" s="45"/>
      <c r="AG420" s="45"/>
      <c r="AH420" s="45"/>
      <c r="AI420" s="45"/>
      <c r="AJ420" s="45"/>
    </row>
    <row r="421" spans="1:36" ht="36" customHeight="1" x14ac:dyDescent="0.2">
      <c r="A421" s="87"/>
      <c r="B421" s="4375" t="s">
        <v>1447</v>
      </c>
      <c r="C421" s="4375"/>
      <c r="D421" s="4375"/>
      <c r="E421" s="4375"/>
      <c r="F421" s="4375"/>
      <c r="G421" s="4375"/>
      <c r="H421" s="62"/>
      <c r="I421" s="106" t="e">
        <f>$D$554+$E$554*I419+$F$554*I419^2+$G$554*I419^3+$H$554*G288</f>
        <v>#VALUE!</v>
      </c>
      <c r="J421" s="106" t="e">
        <f>$D$554+$E$554*J419+$F$554*J419^2+$G$554*J419^3+$H$554*H288</f>
        <v>#VALUE!</v>
      </c>
      <c r="K421" s="106" t="e">
        <f>$D$554+$E$554*K419+$F$554*K419^2+$G$554*K419^3+$H$554*I288</f>
        <v>#VALUE!</v>
      </c>
      <c r="L421" s="106" t="e">
        <f>$D$554+$E$554*L419+$F$554*L419^2+$G$554*L419^3+$H$554*J288</f>
        <v>#VALUE!</v>
      </c>
      <c r="M421" s="106" t="e">
        <f>$D$554+$E$554*M419+$F$554*M419^2+$G$554*M419^3+$H$554*K288</f>
        <v>#VALUE!</v>
      </c>
      <c r="N421" s="95"/>
      <c r="O421" s="86"/>
      <c r="P421" s="95"/>
      <c r="Q421" s="72"/>
      <c r="R421" s="45"/>
      <c r="S421" s="45"/>
      <c r="T421" s="45"/>
      <c r="U421" s="45"/>
      <c r="V421" s="45"/>
      <c r="W421" s="45"/>
      <c r="X421" s="45"/>
      <c r="Y421" s="45"/>
      <c r="Z421" s="45"/>
      <c r="AA421" s="45"/>
      <c r="AB421" s="45"/>
      <c r="AC421" s="45"/>
      <c r="AD421" s="45"/>
      <c r="AE421" s="45"/>
      <c r="AF421" s="45"/>
      <c r="AG421" s="45"/>
      <c r="AH421" s="45"/>
      <c r="AI421" s="45"/>
      <c r="AJ421" s="45"/>
    </row>
    <row r="422" spans="1:36" ht="33.75" customHeight="1" x14ac:dyDescent="0.2">
      <c r="A422" s="87"/>
      <c r="B422" s="4457" t="s">
        <v>4020</v>
      </c>
      <c r="C422" s="4457"/>
      <c r="D422" s="4457"/>
      <c r="E422" s="4457"/>
      <c r="F422" s="4457"/>
      <c r="G422" s="4457"/>
      <c r="H422" s="62"/>
      <c r="I422" s="106" t="e">
        <f>IF(($H$557*I419^2+$I$557*I419+$I$558)&gt;$A$557,$A$557,($H$557*I419^2+$I$557*I419+$I$558))</f>
        <v>#VALUE!</v>
      </c>
      <c r="J422" s="106" t="e">
        <f>IF(($H$557*J419^2+$I$557*J419+$I$558)&gt;$A$557,$A$557,($H$557*J419^2+$I$557*J419+$I$558))</f>
        <v>#VALUE!</v>
      </c>
      <c r="K422" s="106" t="e">
        <f>IF(($H$557*K419^2+$I$557*K419+$I$558)&gt;$A$557,$A$557,($H$557*K419^2+$I$557*K419+$I$558))</f>
        <v>#VALUE!</v>
      </c>
      <c r="L422" s="106" t="e">
        <f>IF(($H$557*L419^2+$I$557*L419+$I$558)&gt;$A$557,$A$557,($H$557*L419^2+$I$557*L419+$I$558))</f>
        <v>#VALUE!</v>
      </c>
      <c r="M422" s="106" t="e">
        <f>IF(($H$557*M419^2+$I$557*M419+$I$558)&gt;$A$557,$A$557,($H$557*M419^2+$I$557*M419+$I$558))</f>
        <v>#VALUE!</v>
      </c>
      <c r="N422" s="95"/>
      <c r="O422" s="86"/>
      <c r="P422" s="95"/>
      <c r="Q422" s="72"/>
      <c r="R422" s="45"/>
      <c r="S422" s="45"/>
      <c r="T422" s="45"/>
      <c r="U422" s="45"/>
      <c r="V422" s="45"/>
      <c r="W422" s="45"/>
      <c r="X422" s="45"/>
      <c r="Y422" s="45"/>
      <c r="Z422" s="45"/>
      <c r="AA422" s="45"/>
      <c r="AB422" s="45"/>
      <c r="AC422" s="45"/>
      <c r="AD422" s="45"/>
      <c r="AE422" s="45"/>
      <c r="AF422" s="45"/>
      <c r="AG422" s="45"/>
      <c r="AH422" s="45"/>
      <c r="AI422" s="45"/>
      <c r="AJ422" s="45"/>
    </row>
    <row r="423" spans="1:36" x14ac:dyDescent="0.2">
      <c r="A423" s="87"/>
      <c r="B423" s="62" t="s">
        <v>5148</v>
      </c>
      <c r="C423" s="87"/>
      <c r="D423" s="87"/>
      <c r="E423" s="87"/>
      <c r="F423" s="87"/>
      <c r="G423" s="87"/>
      <c r="H423" s="87"/>
      <c r="I423" s="106" t="e">
        <f>$D$557*G288+$E$557</f>
        <v>#VALUE!</v>
      </c>
      <c r="J423" s="106" t="e">
        <f>$D$557*H288+$E$557</f>
        <v>#VALUE!</v>
      </c>
      <c r="K423" s="106" t="e">
        <f>$D$557*I288+$E$557</f>
        <v>#VALUE!</v>
      </c>
      <c r="L423" s="106" t="e">
        <f>$D$557*J288+$E$557</f>
        <v>#VALUE!</v>
      </c>
      <c r="M423" s="106" t="e">
        <f>$D$557*K288+$E$557</f>
        <v>#VALUE!</v>
      </c>
      <c r="N423" s="95"/>
      <c r="O423" s="86"/>
      <c r="P423" s="95"/>
      <c r="Q423" s="72"/>
      <c r="R423" s="45"/>
      <c r="S423" s="45"/>
      <c r="T423" s="45"/>
      <c r="U423" s="45"/>
      <c r="V423" s="45"/>
      <c r="W423" s="45"/>
      <c r="X423" s="45"/>
      <c r="Y423" s="45"/>
      <c r="Z423" s="45"/>
      <c r="AA423" s="45"/>
      <c r="AB423" s="45"/>
      <c r="AC423" s="45"/>
      <c r="AD423" s="45"/>
      <c r="AE423" s="45"/>
      <c r="AF423" s="45"/>
      <c r="AG423" s="45"/>
      <c r="AH423" s="45"/>
      <c r="AI423" s="45"/>
      <c r="AJ423" s="45"/>
    </row>
    <row r="424" spans="1:36" ht="48.75" customHeight="1" x14ac:dyDescent="0.2">
      <c r="A424" s="87"/>
      <c r="B424" s="4375" t="s">
        <v>1446</v>
      </c>
      <c r="C424" s="4375"/>
      <c r="D424" s="4375"/>
      <c r="E424" s="4375"/>
      <c r="F424" s="4375"/>
      <c r="G424" s="4375"/>
      <c r="H424" s="62"/>
      <c r="I424" s="108" t="e">
        <f>((I421*(I423-1.4*$C$554*(0.2+0.016*G333))/(I422)))</f>
        <v>#VALUE!</v>
      </c>
      <c r="J424" s="108" t="e">
        <f>((J421*(J423-1.4*$C$554*(0.2+0.016*H333))/(J422)))</f>
        <v>#VALUE!</v>
      </c>
      <c r="K424" s="108" t="e">
        <f>((K421*(K423-1.4*$C$554*(0.2+0.016*I333))/(K422)))</f>
        <v>#VALUE!</v>
      </c>
      <c r="L424" s="108" t="e">
        <f>((L421*(L423-1.4*$C$554*(0.2+0.016*J333))/(L422)))</f>
        <v>#VALUE!</v>
      </c>
      <c r="M424" s="108" t="e">
        <f>((M421*(M423-1.4*$C$554*(0.2+0.016*K333))/(M422)))</f>
        <v>#VALUE!</v>
      </c>
      <c r="N424" s="95"/>
      <c r="O424" s="86"/>
      <c r="P424" s="95"/>
      <c r="Q424" s="72"/>
      <c r="R424" s="45"/>
      <c r="S424" s="45"/>
      <c r="T424" s="45"/>
      <c r="U424" s="45"/>
      <c r="V424" s="45"/>
      <c r="W424" s="45"/>
      <c r="X424" s="45"/>
      <c r="Y424" s="45"/>
      <c r="Z424" s="45"/>
      <c r="AA424" s="45"/>
      <c r="AB424" s="45"/>
      <c r="AC424" s="45"/>
      <c r="AD424" s="45"/>
      <c r="AE424" s="45"/>
      <c r="AF424" s="45"/>
      <c r="AG424" s="45"/>
      <c r="AH424" s="45"/>
      <c r="AI424" s="45"/>
      <c r="AJ424" s="45"/>
    </row>
    <row r="425" spans="1:36" x14ac:dyDescent="0.2">
      <c r="A425" s="87"/>
      <c r="B425" s="4458" t="s">
        <v>1291</v>
      </c>
      <c r="C425" s="4458"/>
      <c r="D425" s="4458"/>
      <c r="E425" s="4458"/>
      <c r="F425" s="4458"/>
      <c r="G425" s="4458"/>
      <c r="H425" s="27"/>
      <c r="I425" s="106" t="e">
        <f>IF(I421&lt;I424,I421,I424)*G337</f>
        <v>#VALUE!</v>
      </c>
      <c r="J425" s="106" t="e">
        <f>IF(J421&lt;J424,J421,J424)*H337</f>
        <v>#VALUE!</v>
      </c>
      <c r="K425" s="106" t="e">
        <f>IF(K421&lt;K424,K421,K424)*I337</f>
        <v>#VALUE!</v>
      </c>
      <c r="L425" s="106" t="e">
        <f>IF(L421&lt;L424,L421,L424)*J337</f>
        <v>#VALUE!</v>
      </c>
      <c r="M425" s="106" t="e">
        <f>IF(M421&lt;M424,M421,M424)*K337</f>
        <v>#VALUE!</v>
      </c>
      <c r="N425" s="95"/>
      <c r="O425" s="86"/>
      <c r="P425" s="95"/>
      <c r="Q425" s="72"/>
      <c r="R425" s="45"/>
      <c r="S425" s="45"/>
      <c r="T425" s="45"/>
      <c r="U425" s="45"/>
      <c r="V425" s="45"/>
      <c r="W425" s="45"/>
      <c r="X425" s="45"/>
      <c r="Y425" s="45"/>
      <c r="Z425" s="45"/>
      <c r="AA425" s="45"/>
      <c r="AB425" s="45"/>
      <c r="AC425" s="45"/>
      <c r="AD425" s="45"/>
      <c r="AE425" s="45"/>
      <c r="AF425" s="45"/>
      <c r="AG425" s="45"/>
      <c r="AH425" s="45"/>
      <c r="AI425" s="45"/>
      <c r="AJ425" s="45"/>
    </row>
    <row r="426" spans="1:36" x14ac:dyDescent="0.2">
      <c r="A426" s="87"/>
      <c r="B426" s="4454" t="s">
        <v>3935</v>
      </c>
      <c r="C426" s="4454"/>
      <c r="D426" s="4454"/>
      <c r="E426" s="4454"/>
      <c r="F426" s="4454"/>
      <c r="G426" s="4454"/>
      <c r="H426" s="87"/>
      <c r="I426" s="106">
        <f>IF(G288&lt;1.1,2.3,IF(G288&lt;1.3,4.5,10))</f>
        <v>10</v>
      </c>
      <c r="J426" s="106">
        <f>IF(H288&lt;1.1,2.3,IF(H288&lt;1.3,4.5,10))</f>
        <v>10</v>
      </c>
      <c r="K426" s="106">
        <f>IF(I288&lt;1.1,2.3,IF(I288&lt;1.3,4.5,10))</f>
        <v>10</v>
      </c>
      <c r="L426" s="106">
        <f>IF(J288&lt;1.1,2.3,IF(J288&lt;1.3,4.5,10))</f>
        <v>10</v>
      </c>
      <c r="M426" s="106">
        <f>IF(K288&lt;1.1,2.3,IF(K288&lt;1.3,4.5,10))</f>
        <v>10</v>
      </c>
      <c r="N426" s="95"/>
      <c r="O426" s="86"/>
      <c r="P426" s="95"/>
      <c r="Q426" s="72"/>
      <c r="R426" s="45"/>
      <c r="S426" s="45"/>
      <c r="T426" s="45"/>
      <c r="U426" s="45"/>
      <c r="V426" s="45"/>
      <c r="W426" s="45"/>
      <c r="X426" s="45"/>
      <c r="Y426" s="45"/>
      <c r="Z426" s="45"/>
      <c r="AA426" s="45"/>
      <c r="AB426" s="45"/>
      <c r="AC426" s="45"/>
      <c r="AD426" s="45"/>
      <c r="AE426" s="45"/>
      <c r="AF426" s="45"/>
      <c r="AG426" s="45"/>
      <c r="AH426" s="45"/>
      <c r="AI426" s="45"/>
      <c r="AJ426" s="45"/>
    </row>
    <row r="427" spans="1:36" x14ac:dyDescent="0.2">
      <c r="A427" s="87"/>
      <c r="B427" s="4440" t="s">
        <v>2578</v>
      </c>
      <c r="C427" s="4440"/>
      <c r="D427" s="4440"/>
      <c r="E427" s="4440"/>
      <c r="F427" s="4440"/>
      <c r="G427" s="4440"/>
      <c r="H427" s="27"/>
      <c r="I427" s="106" t="e">
        <f>IF(I426&lt;I425,I426,I425)</f>
        <v>#VALUE!</v>
      </c>
      <c r="J427" s="106" t="e">
        <f>IF(J426&lt;J425,J426,J425)</f>
        <v>#VALUE!</v>
      </c>
      <c r="K427" s="106" t="e">
        <f>IF(K426&lt;K425,K426,K425)</f>
        <v>#VALUE!</v>
      </c>
      <c r="L427" s="106" t="e">
        <f>IF(L426&lt;L425,L426,L425)</f>
        <v>#VALUE!</v>
      </c>
      <c r="M427" s="106" t="e">
        <f>IF(M426&lt;M425,M426,M425)</f>
        <v>#VALUE!</v>
      </c>
      <c r="N427" s="95"/>
      <c r="O427" s="86"/>
      <c r="P427" s="95"/>
      <c r="Q427" s="72"/>
      <c r="R427" s="45"/>
      <c r="S427" s="45"/>
      <c r="T427" s="45"/>
      <c r="U427" s="45"/>
      <c r="V427" s="45"/>
      <c r="W427" s="45"/>
      <c r="X427" s="45"/>
      <c r="Y427" s="45"/>
      <c r="Z427" s="45"/>
      <c r="AA427" s="45"/>
      <c r="AB427" s="45"/>
      <c r="AC427" s="45"/>
      <c r="AD427" s="45"/>
      <c r="AE427" s="45"/>
      <c r="AF427" s="45"/>
      <c r="AG427" s="45"/>
      <c r="AH427" s="45"/>
      <c r="AI427" s="45"/>
      <c r="AJ427" s="45"/>
    </row>
    <row r="428" spans="1:36" x14ac:dyDescent="0.2">
      <c r="A428" s="87"/>
      <c r="B428" s="4375" t="s">
        <v>5149</v>
      </c>
      <c r="C428" s="4375"/>
      <c r="D428" s="4375"/>
      <c r="E428" s="4375"/>
      <c r="F428" s="4375"/>
      <c r="G428" s="4375"/>
      <c r="H428" s="87"/>
      <c r="I428" s="106" t="e">
        <f>$B$557*G288+$C$557</f>
        <v>#VALUE!</v>
      </c>
      <c r="J428" s="106" t="e">
        <f>$B$557*H288+$C$557</f>
        <v>#VALUE!</v>
      </c>
      <c r="K428" s="106" t="e">
        <f>$B$557*I288+$C$557</f>
        <v>#VALUE!</v>
      </c>
      <c r="L428" s="106" t="e">
        <f>$B$557*J288+$C$557</f>
        <v>#VALUE!</v>
      </c>
      <c r="M428" s="106" t="e">
        <f>$B$557*K288+$C$557</f>
        <v>#VALUE!</v>
      </c>
      <c r="N428" s="95"/>
      <c r="O428" s="86"/>
      <c r="P428" s="95"/>
      <c r="Q428" s="72"/>
      <c r="R428" s="45"/>
      <c r="S428" s="45"/>
      <c r="T428" s="45"/>
      <c r="U428" s="45"/>
      <c r="V428" s="45"/>
      <c r="W428" s="45"/>
      <c r="X428" s="45"/>
      <c r="Y428" s="45"/>
      <c r="Z428" s="45"/>
      <c r="AA428" s="45"/>
      <c r="AB428" s="45"/>
      <c r="AC428" s="45"/>
      <c r="AD428" s="45"/>
      <c r="AE428" s="45"/>
      <c r="AF428" s="45"/>
      <c r="AG428" s="45"/>
      <c r="AH428" s="45"/>
      <c r="AI428" s="45"/>
      <c r="AJ428" s="45"/>
    </row>
    <row r="429" spans="1:36" ht="35.25" customHeight="1" x14ac:dyDescent="0.2">
      <c r="A429" s="87"/>
      <c r="B429" s="4375" t="s">
        <v>3228</v>
      </c>
      <c r="C429" s="4375"/>
      <c r="D429" s="4375"/>
      <c r="E429" s="4375"/>
      <c r="F429" s="4375"/>
      <c r="G429" s="4375"/>
      <c r="H429" s="62"/>
      <c r="I429" s="110" t="e">
        <f>MIN(I427,I428,I426)</f>
        <v>#VALUE!</v>
      </c>
      <c r="J429" s="110" t="e">
        <f>MIN(J427,J428,J426)</f>
        <v>#VALUE!</v>
      </c>
      <c r="K429" s="110" t="e">
        <f>MIN(K427,K428,K426)</f>
        <v>#VALUE!</v>
      </c>
      <c r="L429" s="110" t="e">
        <f>MIN(L427,L428,L426)</f>
        <v>#VALUE!</v>
      </c>
      <c r="M429" s="110" t="e">
        <f>MIN(M427,M428,M426)</f>
        <v>#VALUE!</v>
      </c>
      <c r="N429" s="95"/>
      <c r="O429" s="86"/>
      <c r="P429" s="95"/>
      <c r="Q429" s="72"/>
      <c r="R429" s="45"/>
      <c r="S429" s="45"/>
      <c r="T429" s="45"/>
      <c r="U429" s="45"/>
      <c r="V429" s="45"/>
      <c r="W429" s="45"/>
      <c r="X429" s="45"/>
      <c r="Y429" s="45"/>
      <c r="Z429" s="45"/>
      <c r="AA429" s="45"/>
      <c r="AB429" s="45"/>
      <c r="AC429" s="45"/>
      <c r="AD429" s="45"/>
      <c r="AE429" s="45"/>
      <c r="AF429" s="45"/>
      <c r="AG429" s="45"/>
      <c r="AH429" s="45"/>
      <c r="AI429" s="45"/>
      <c r="AJ429" s="45"/>
    </row>
    <row r="430" spans="1:36" x14ac:dyDescent="0.2">
      <c r="A430" s="87"/>
      <c r="B430" s="4455" t="s">
        <v>1293</v>
      </c>
      <c r="C430" s="4455"/>
      <c r="D430" s="4455"/>
      <c r="E430" s="4455"/>
      <c r="F430" s="4455"/>
      <c r="G430" s="4455"/>
      <c r="H430" s="62"/>
      <c r="I430" s="106"/>
      <c r="J430" s="106"/>
      <c r="K430" s="106"/>
      <c r="L430" s="106"/>
      <c r="M430" s="106"/>
      <c r="N430" s="95"/>
      <c r="O430" s="86"/>
      <c r="P430" s="95"/>
      <c r="Q430" s="72"/>
      <c r="R430" s="45"/>
      <c r="S430" s="45"/>
      <c r="T430" s="45"/>
      <c r="U430" s="45"/>
      <c r="V430" s="45"/>
      <c r="W430" s="45"/>
      <c r="X430" s="45"/>
      <c r="Y430" s="45"/>
      <c r="Z430" s="45"/>
      <c r="AA430" s="45"/>
      <c r="AB430" s="45"/>
      <c r="AC430" s="45"/>
      <c r="AD430" s="45"/>
      <c r="AE430" s="45"/>
      <c r="AF430" s="45"/>
      <c r="AG430" s="45"/>
      <c r="AH430" s="45"/>
      <c r="AI430" s="45"/>
      <c r="AJ430" s="45"/>
    </row>
    <row r="431" spans="1:36" x14ac:dyDescent="0.2">
      <c r="A431" s="92"/>
      <c r="B431" s="62" t="s">
        <v>1748</v>
      </c>
      <c r="C431" s="87"/>
      <c r="D431" s="87"/>
      <c r="E431" s="87"/>
      <c r="F431" s="87"/>
      <c r="G431" s="87"/>
      <c r="H431" s="87"/>
      <c r="I431" s="105">
        <f>IF(G348=0,1,0.93)</f>
        <v>0.93</v>
      </c>
      <c r="J431" s="105">
        <f>IF(H348=0,1,0.93)</f>
        <v>0.93</v>
      </c>
      <c r="K431" s="105">
        <f>IF(I348=0,1,0.93)</f>
        <v>0.93</v>
      </c>
      <c r="L431" s="105">
        <f>IF(J348=0,1,0.93)</f>
        <v>0.93</v>
      </c>
      <c r="M431" s="105">
        <f>IF(K348=0,1,0.93)</f>
        <v>0.93</v>
      </c>
      <c r="N431" s="95"/>
      <c r="O431" s="86"/>
      <c r="P431" s="95"/>
      <c r="Q431" s="72"/>
      <c r="R431" s="45"/>
      <c r="S431" s="45"/>
      <c r="T431" s="45"/>
      <c r="U431" s="45"/>
      <c r="V431" s="45"/>
      <c r="W431" s="45"/>
      <c r="X431" s="45"/>
      <c r="Y431" s="45"/>
      <c r="Z431" s="45"/>
      <c r="AA431" s="45"/>
      <c r="AB431" s="45"/>
      <c r="AC431" s="45"/>
      <c r="AD431" s="45"/>
      <c r="AE431" s="45"/>
      <c r="AF431" s="45"/>
      <c r="AG431" s="45"/>
      <c r="AH431" s="45"/>
      <c r="AI431" s="45"/>
      <c r="AJ431" s="45"/>
    </row>
    <row r="432" spans="1:36" x14ac:dyDescent="0.2">
      <c r="A432" s="87"/>
      <c r="B432" s="4453" t="s">
        <v>4156</v>
      </c>
      <c r="C432" s="4375"/>
      <c r="D432" s="4375"/>
      <c r="E432" s="4375"/>
      <c r="F432" s="4375"/>
      <c r="G432" s="4375"/>
      <c r="H432" s="109"/>
      <c r="I432" s="103" t="e">
        <f>G288*(G336+(2.5-G336)*I420)*$B$554*G337*I431*I429</f>
        <v>#VALUE!</v>
      </c>
      <c r="J432" s="103" t="e">
        <f>H288*(H336+(2.5-H336)*J420)*$B$554*H337*J431*J429</f>
        <v>#VALUE!</v>
      </c>
      <c r="K432" s="103" t="e">
        <f>I288*(I336+(2.5-I336)*K420)*$B$554*I337*K431*K429</f>
        <v>#VALUE!</v>
      </c>
      <c r="L432" s="103" t="e">
        <f>J288*(J336+(2.5-J336)*L420)*$B$554*J337*L431*L429</f>
        <v>#VALUE!</v>
      </c>
      <c r="M432" s="103" t="e">
        <f>K288*(K336+(2.5-K336)*M420)*$B$554*K337*M431*M429</f>
        <v>#VALUE!</v>
      </c>
      <c r="N432" s="95"/>
      <c r="O432" s="86"/>
      <c r="P432" s="95"/>
      <c r="Q432" s="72"/>
      <c r="R432" s="45"/>
      <c r="S432" s="45"/>
      <c r="T432" s="45"/>
      <c r="U432" s="45"/>
      <c r="V432" s="45"/>
      <c r="W432" s="45"/>
      <c r="X432" s="45"/>
      <c r="Y432" s="45"/>
      <c r="Z432" s="45"/>
      <c r="AA432" s="45"/>
      <c r="AB432" s="45"/>
      <c r="AC432" s="45"/>
      <c r="AD432" s="45"/>
      <c r="AE432" s="45"/>
      <c r="AF432" s="45"/>
      <c r="AG432" s="45"/>
      <c r="AH432" s="45"/>
      <c r="AI432" s="45"/>
      <c r="AJ432" s="45"/>
    </row>
    <row r="433" spans="1:36" x14ac:dyDescent="0.2">
      <c r="A433" s="87"/>
      <c r="B433" s="62" t="s">
        <v>260</v>
      </c>
      <c r="C433" s="87"/>
      <c r="D433" s="87"/>
      <c r="E433" s="87"/>
      <c r="F433" s="87"/>
      <c r="G433" s="87"/>
      <c r="H433" s="87"/>
      <c r="I433" s="105" t="e">
        <f>IF(G267=0,MIN($G$389,$G$320)/I432,$G$320/I432)</f>
        <v>#VALUE!</v>
      </c>
      <c r="J433" s="105" t="e">
        <f>IF(H267=0,MIN($G$389,$G$320)/J432,$G$320/J432)</f>
        <v>#VALUE!</v>
      </c>
      <c r="K433" s="105" t="e">
        <f>IF(I267=0,MIN($G$389,$G$320)/K432,$G$320/K432)</f>
        <v>#VALUE!</v>
      </c>
      <c r="L433" s="105" t="e">
        <f>IF(J267=0,MIN($G$389,$G$320)/L432,$G$320/L432)</f>
        <v>#VALUE!</v>
      </c>
      <c r="M433" s="105" t="e">
        <f>IF(K267=0,MIN($G$389,$G$320)/M432,$G$320/M432)</f>
        <v>#VALUE!</v>
      </c>
      <c r="N433" s="95"/>
      <c r="O433" s="86"/>
      <c r="P433" s="95"/>
      <c r="Q433" s="72"/>
      <c r="R433" s="45"/>
      <c r="S433" s="45"/>
      <c r="T433" s="45"/>
      <c r="U433" s="45"/>
      <c r="V433" s="45"/>
      <c r="W433" s="45"/>
      <c r="X433" s="45"/>
      <c r="Y433" s="45"/>
      <c r="Z433" s="45"/>
      <c r="AA433" s="45"/>
      <c r="AB433" s="45"/>
      <c r="AC433" s="45"/>
      <c r="AD433" s="45"/>
      <c r="AE433" s="45"/>
      <c r="AF433" s="45"/>
      <c r="AG433" s="45"/>
      <c r="AH433" s="45"/>
      <c r="AI433" s="45"/>
      <c r="AJ433" s="45"/>
    </row>
    <row r="434" spans="1:36" ht="34.5" customHeight="1" x14ac:dyDescent="0.2">
      <c r="A434" s="87"/>
      <c r="B434" s="4375" t="s">
        <v>1747</v>
      </c>
      <c r="C434" s="4375"/>
      <c r="D434" s="4375"/>
      <c r="E434" s="4375"/>
      <c r="F434" s="4375"/>
      <c r="G434" s="4375"/>
      <c r="H434" s="62"/>
      <c r="I434" s="106" t="e">
        <f>0.0037*I433^5-0.067*I433^4+0.4586*I433^3-1.4704*I433^2+2.2117*I433-0.264</f>
        <v>#VALUE!</v>
      </c>
      <c r="J434" s="106" t="e">
        <f>0.0037*J433^5-0.067*J433^4+0.4586*J433^3-1.4704*J433^2+2.2117*J433-0.264</f>
        <v>#VALUE!</v>
      </c>
      <c r="K434" s="106" t="e">
        <f>0.0037*K433^5-0.067*K433^4+0.4586*K433^3-1.4704*K433^2+2.2117*K433-0.264</f>
        <v>#VALUE!</v>
      </c>
      <c r="L434" s="106" t="e">
        <f>0.0037*L433^5-0.067*L433^4+0.4586*L433^3-1.4704*L433^2+2.2117*L433-0.264</f>
        <v>#VALUE!</v>
      </c>
      <c r="M434" s="106" t="e">
        <f>0.0037*M433^5-0.067*M433^4+0.4586*M433^3-1.4704*M433^2+2.2117*M433-0.264</f>
        <v>#VALUE!</v>
      </c>
      <c r="N434" s="95"/>
      <c r="O434" s="86"/>
      <c r="P434" s="95"/>
      <c r="Q434" s="72"/>
      <c r="R434" s="45"/>
      <c r="S434" s="45"/>
      <c r="T434" s="45"/>
      <c r="U434" s="45"/>
      <c r="V434" s="45"/>
      <c r="W434" s="45"/>
      <c r="X434" s="45"/>
      <c r="Y434" s="45"/>
      <c r="Z434" s="45"/>
      <c r="AA434" s="45"/>
      <c r="AB434" s="45"/>
      <c r="AC434" s="45"/>
      <c r="AD434" s="45"/>
      <c r="AE434" s="45"/>
      <c r="AF434" s="45"/>
      <c r="AG434" s="45"/>
      <c r="AH434" s="45"/>
      <c r="AI434" s="45"/>
      <c r="AJ434" s="45"/>
    </row>
    <row r="435" spans="1:36" x14ac:dyDescent="0.2">
      <c r="A435" s="87"/>
      <c r="B435" s="4375" t="s">
        <v>3996</v>
      </c>
      <c r="C435" s="4375"/>
      <c r="D435" s="4375"/>
      <c r="E435" s="4375"/>
      <c r="F435" s="4375"/>
      <c r="G435" s="4375"/>
      <c r="H435" s="62"/>
      <c r="I435" s="110" t="e">
        <f>I470/(G336+(2.5-G336)*I420)*$B$554*G288*I431</f>
        <v>#VALUE!</v>
      </c>
      <c r="J435" s="110" t="e">
        <f>J470/(H336+(2.5-H336)*J420)*$B$554*H288*J431</f>
        <v>#VALUE!</v>
      </c>
      <c r="K435" s="110" t="e">
        <f>K470/(I336+(2.5-I336)*K420)*$B$554*I288*K431</f>
        <v>#VALUE!</v>
      </c>
      <c r="L435" s="110" t="e">
        <f>L470/(J336+(2.5-J336)*L420)*$B$554*J288*L431</f>
        <v>#VALUE!</v>
      </c>
      <c r="M435" s="110" t="e">
        <f>M470/(K336+(2.5-K336)*M420)*$B$554*K288*M431</f>
        <v>#VALUE!</v>
      </c>
      <c r="N435" s="95"/>
      <c r="O435" s="86"/>
      <c r="P435" s="95"/>
      <c r="Q435" s="72"/>
      <c r="R435" s="45"/>
      <c r="S435" s="45"/>
      <c r="T435" s="45"/>
      <c r="U435" s="45"/>
      <c r="V435" s="45"/>
      <c r="W435" s="45"/>
      <c r="X435" s="45"/>
      <c r="Y435" s="45"/>
      <c r="Z435" s="45"/>
      <c r="AA435" s="45"/>
      <c r="AB435" s="45"/>
      <c r="AC435" s="45"/>
      <c r="AD435" s="45"/>
      <c r="AE435" s="45"/>
      <c r="AF435" s="45"/>
      <c r="AG435" s="45"/>
      <c r="AH435" s="45"/>
      <c r="AI435" s="45"/>
      <c r="AJ435" s="45"/>
    </row>
    <row r="436" spans="1:36" x14ac:dyDescent="0.2">
      <c r="A436" s="73"/>
      <c r="B436" s="63" t="s">
        <v>1294</v>
      </c>
      <c r="C436" s="59"/>
      <c r="D436" s="59"/>
      <c r="E436" s="59"/>
      <c r="F436" s="59"/>
      <c r="G436" s="59"/>
      <c r="H436" s="87"/>
      <c r="I436" s="106"/>
      <c r="J436" s="106"/>
      <c r="K436" s="106"/>
      <c r="L436" s="106"/>
      <c r="M436" s="106"/>
      <c r="N436" s="95"/>
      <c r="O436" s="73"/>
      <c r="P436" s="95"/>
      <c r="Q436" s="62"/>
      <c r="R436" s="42"/>
      <c r="S436" s="42"/>
      <c r="T436" s="42"/>
      <c r="U436" s="42"/>
      <c r="V436" s="42"/>
      <c r="W436" s="42"/>
      <c r="X436" s="42"/>
      <c r="Y436" s="42"/>
      <c r="Z436" s="42"/>
      <c r="AA436" s="42"/>
      <c r="AB436" s="42"/>
      <c r="AC436" s="42"/>
      <c r="AD436" s="42"/>
      <c r="AE436" s="42"/>
      <c r="AF436" s="42"/>
      <c r="AG436" s="42"/>
      <c r="AH436" s="42"/>
      <c r="AI436" s="42"/>
      <c r="AJ436" s="42"/>
    </row>
    <row r="437" spans="1:36" x14ac:dyDescent="0.2">
      <c r="A437" s="29"/>
      <c r="B437" s="11"/>
      <c r="C437" s="13" t="s">
        <v>4787</v>
      </c>
      <c r="D437" s="11"/>
      <c r="E437" s="11"/>
      <c r="F437" s="11"/>
      <c r="G437" s="11"/>
      <c r="H437" s="11"/>
      <c r="I437" s="11"/>
      <c r="J437" s="11"/>
      <c r="K437" s="11"/>
      <c r="L437" s="11"/>
      <c r="M437" s="11"/>
      <c r="N437" s="62"/>
      <c r="O437" s="62"/>
      <c r="P437" s="62"/>
      <c r="Q437" s="62"/>
      <c r="R437" s="42"/>
      <c r="S437" s="42"/>
      <c r="T437" s="42"/>
      <c r="U437" s="42"/>
      <c r="V437" s="42"/>
      <c r="W437" s="42"/>
      <c r="X437" s="42"/>
      <c r="Y437" s="42"/>
      <c r="Z437" s="42"/>
      <c r="AA437" s="42"/>
      <c r="AB437" s="42"/>
      <c r="AC437" s="42"/>
      <c r="AD437" s="42"/>
      <c r="AE437" s="42"/>
      <c r="AF437" s="42"/>
      <c r="AG437" s="42"/>
      <c r="AH437" s="42"/>
      <c r="AI437" s="42"/>
      <c r="AJ437" s="42"/>
    </row>
    <row r="438" spans="1:36" x14ac:dyDescent="0.2">
      <c r="A438" s="87"/>
      <c r="B438" s="4454" t="s">
        <v>1172</v>
      </c>
      <c r="C438" s="4454"/>
      <c r="D438" s="4454"/>
      <c r="E438" s="4454"/>
      <c r="F438" s="4454"/>
      <c r="G438" s="4454"/>
      <c r="H438" s="62"/>
      <c r="I438" s="37">
        <f>IF(AND(G288&lt;=1.2,G338&gt;=3),((G264-0.16)*G265*I439),IF(AND(G288&lt;=1.2,G338&lt;3),((0.8*G264-0.07)*G265*I439),IF(AND(G288&gt;=1.21,G288&lt;1.81,G338&gt;=3),((0.95*G264-0.18)*G265*I439),IF(AND(G288&gt;=1.21,G288&lt;1.81,G338&lt;3),((0.825*G264-0.17)*G265*I439),IF(AND(G288&gt;=1.81,G338&gt;=3),((0.9*G264-0.34)*G265*I439),IF(AND(G288&gt;=1.81,G338&lt;3),((0.75*G264-0.27)*G265*I439)))))))</f>
        <v>-0.68</v>
      </c>
      <c r="J438" s="37">
        <f>IF(AND(H288&lt;=1.2,H338&gt;=3),((H264-0.16)*H265*J439),IF(AND(H288&lt;=1.2,H338&lt;3),((0.8*H264-0.07)*H265*J439),IF(AND(H288&gt;=1.21,H288&lt;1.81,H338&gt;=3),((0.95*H264-0.18)*H265*J439),IF(AND(H288&gt;=1.21,H288&lt;1.81,H338&lt;3),((0.825*H264-0.17)*H265*J439),IF(AND(H288&gt;=1.81,H338&gt;=3),((0.9*H264-0.34)*H265*J439),IF(AND(H288&gt;=1.81,H338&lt;3),((0.75*H264-0.27)*H265*J439)))))))</f>
        <v>-0.68</v>
      </c>
      <c r="K438" s="37">
        <f>IF(AND(I288&lt;=1.2,I338&gt;=3),((I264-0.16)*I265*K439),IF(AND(I288&lt;=1.2,I338&lt;3),((0.8*I264-0.07)*I265*K439),IF(AND(I288&gt;=1.21,I288&lt;1.81,I338&gt;=3),((0.95*I264-0.18)*I265*K439),IF(AND(I288&gt;=1.21,I288&lt;1.81,I338&lt;3),((0.825*I264-0.17)*I265*K439),IF(AND(I288&gt;=1.81,I338&gt;=3),((0.9*I264-0.34)*I265*K439),IF(AND(I288&gt;=1.81,I338&lt;3),((0.75*I264-0.27)*I265*K439)))))))</f>
        <v>-0.68</v>
      </c>
      <c r="L438" s="37">
        <f>IF(AND(J288&lt;=1.2,J338&gt;=3),((J264-0.16)*J265*L439),IF(AND(J288&lt;=1.2,J338&lt;3),((0.8*J264-0.07)*J265*L439),IF(AND(J288&gt;=1.21,J288&lt;1.81,J338&gt;=3),((0.95*J264-0.18)*J265*L439),IF(AND(J288&gt;=1.21,J288&lt;1.81,J338&lt;3),((0.825*J264-0.17)*J265*L439),IF(AND(J288&gt;=1.81,J338&gt;=3),((0.9*J264-0.34)*J265*L439),IF(AND(J288&gt;=1.81,J338&lt;3),((0.75*J264-0.27)*J265*L439)))))))</f>
        <v>-0.68</v>
      </c>
      <c r="M438" s="37">
        <f>IF(AND(K288&lt;=1.2,K338&gt;=3),((K264-0.16)*K265*M439),IF(AND(K288&lt;=1.2,K338&lt;3),((0.8*K264-0.07)*K265*M439),IF(AND(K288&gt;=1.21,K288&lt;1.81,K338&gt;=3),((0.95*K264-0.18)*K265*M439),IF(AND(K288&gt;=1.21,K288&lt;1.81,K338&lt;3),((0.825*K264-0.17)*K265*M439),IF(AND(K288&gt;=1.81,K338&gt;=3),((0.9*K264-0.34)*K265*M439),IF(AND(K288&gt;=1.81,K338&lt;3),((0.75*K264-0.27)*K265*M439)))))))</f>
        <v>-0.68</v>
      </c>
      <c r="N438" s="62"/>
      <c r="O438" s="62"/>
      <c r="P438" s="62"/>
      <c r="Q438" s="62"/>
      <c r="R438" s="42"/>
      <c r="S438" s="42"/>
      <c r="T438" s="42"/>
      <c r="U438" s="42"/>
      <c r="V438" s="42"/>
      <c r="W438" s="42"/>
      <c r="X438" s="42"/>
      <c r="Y438" s="42"/>
      <c r="Z438" s="42"/>
      <c r="AA438" s="42"/>
      <c r="AB438" s="42"/>
      <c r="AC438" s="42"/>
      <c r="AD438" s="42"/>
      <c r="AE438" s="42"/>
      <c r="AF438" s="42"/>
      <c r="AG438" s="42"/>
      <c r="AH438" s="42"/>
      <c r="AI438" s="42"/>
      <c r="AJ438" s="42"/>
    </row>
    <row r="439" spans="1:36" x14ac:dyDescent="0.2">
      <c r="A439" s="87"/>
      <c r="B439" s="4454" t="s">
        <v>1173</v>
      </c>
      <c r="C439" s="4454"/>
      <c r="D439" s="4454"/>
      <c r="E439" s="4454"/>
      <c r="F439" s="4454"/>
      <c r="G439" s="4454"/>
      <c r="H439" s="62"/>
      <c r="I439" s="36">
        <f>IF(G348=0,IF(G333&lt;=20,1,IF(AND(G333&gt;20,G333&lt;=30),0.9,IF(G333&gt;30,0.8))),1)</f>
        <v>1</v>
      </c>
      <c r="J439" s="36">
        <f>IF(H348=0,IF(H333&lt;=20,1,IF(AND(H333&gt;20,H333&lt;=30),0.9,IF(H333&gt;30,0.8))),1)</f>
        <v>1</v>
      </c>
      <c r="K439" s="36">
        <f>IF(I348=0,IF(I333&lt;=20,1,IF(AND(I333&gt;20,I333&lt;=30),0.9,IF(I333&gt;30,0.8))),1)</f>
        <v>1</v>
      </c>
      <c r="L439" s="36">
        <f>IF(J348=0,IF(J333&lt;=20,1,IF(AND(J333&gt;20,J333&lt;=30),0.9,IF(J333&gt;30,0.8))),1)</f>
        <v>1</v>
      </c>
      <c r="M439" s="36">
        <f>IF(K348=0,IF(K333&lt;=20,1,IF(AND(K333&gt;20,K333&lt;=30),0.9,IF(K333&gt;30,0.8))),1)</f>
        <v>1</v>
      </c>
      <c r="N439" s="62"/>
      <c r="O439" s="62"/>
      <c r="P439" s="62"/>
      <c r="Q439" s="62"/>
      <c r="R439" s="42"/>
      <c r="S439" s="42"/>
      <c r="T439" s="42"/>
      <c r="U439" s="42"/>
      <c r="V439" s="42"/>
      <c r="W439" s="42"/>
      <c r="X439" s="42"/>
      <c r="Y439" s="42"/>
      <c r="Z439" s="42"/>
      <c r="AA439" s="42"/>
      <c r="AB439" s="42"/>
      <c r="AC439" s="42"/>
      <c r="AD439" s="42"/>
      <c r="AE439" s="42"/>
      <c r="AF439" s="42"/>
      <c r="AG439" s="42"/>
      <c r="AH439" s="42"/>
      <c r="AI439" s="42"/>
      <c r="AJ439" s="42"/>
    </row>
    <row r="440" spans="1:36" x14ac:dyDescent="0.2">
      <c r="A440" s="111"/>
      <c r="B440" s="4458" t="s">
        <v>121</v>
      </c>
      <c r="C440" s="4454"/>
      <c r="D440" s="4454"/>
      <c r="E440" s="4454"/>
      <c r="F440" s="4454"/>
      <c r="G440" s="4454"/>
      <c r="H440" s="74"/>
      <c r="I440" s="82">
        <f>(I438/G265)*4</f>
        <v>-1.36</v>
      </c>
      <c r="J440" s="82">
        <f>(J438/H265)*4</f>
        <v>-1.36</v>
      </c>
      <c r="K440" s="82">
        <f>(K438/I265)*4</f>
        <v>-1.36</v>
      </c>
      <c r="L440" s="82">
        <f>(L438/J265)*4</f>
        <v>-1.36</v>
      </c>
      <c r="M440" s="82">
        <f>(M438/K265)*4</f>
        <v>-1.36</v>
      </c>
      <c r="N440" s="62"/>
      <c r="O440" s="62"/>
      <c r="P440" s="62"/>
      <c r="Q440" s="62"/>
      <c r="R440" s="42"/>
      <c r="S440" s="42"/>
      <c r="T440" s="42"/>
      <c r="U440" s="42"/>
      <c r="V440" s="42"/>
      <c r="W440" s="42"/>
      <c r="X440" s="42"/>
      <c r="Y440" s="42"/>
      <c r="Z440" s="42"/>
      <c r="AA440" s="42"/>
      <c r="AB440" s="42"/>
      <c r="AC440" s="42"/>
      <c r="AD440" s="42"/>
      <c r="AE440" s="42"/>
      <c r="AF440" s="42"/>
      <c r="AG440" s="42"/>
      <c r="AH440" s="42"/>
      <c r="AI440" s="42"/>
      <c r="AJ440" s="42"/>
    </row>
    <row r="441" spans="1:36" x14ac:dyDescent="0.2">
      <c r="A441" s="111"/>
      <c r="B441" s="4458" t="s">
        <v>2873</v>
      </c>
      <c r="C441" s="4375"/>
      <c r="D441" s="4375"/>
      <c r="E441" s="4375"/>
      <c r="F441" s="4375"/>
      <c r="G441" s="4375"/>
      <c r="H441" s="74"/>
      <c r="I441" s="82">
        <f>IF(G266=1,I438,I440)</f>
        <v>-1.36</v>
      </c>
      <c r="J441" s="82">
        <f>IF(H266=1,J438,J440)</f>
        <v>-1.36</v>
      </c>
      <c r="K441" s="82">
        <f>IF(I266=1,K438,K440)</f>
        <v>-1.36</v>
      </c>
      <c r="L441" s="82">
        <f>IF(J266=1,L438,L440)</f>
        <v>-1.36</v>
      </c>
      <c r="M441" s="82">
        <f>IF(K266=1,M438,M440)</f>
        <v>-1.36</v>
      </c>
      <c r="N441" s="62"/>
      <c r="O441" s="62"/>
      <c r="P441" s="62"/>
      <c r="Q441" s="62"/>
      <c r="R441" s="42"/>
      <c r="S441" s="42"/>
      <c r="T441" s="42"/>
      <c r="U441" s="42"/>
      <c r="V441" s="42"/>
      <c r="W441" s="42"/>
      <c r="X441" s="42"/>
      <c r="Y441" s="42"/>
      <c r="Z441" s="42"/>
      <c r="AA441" s="42"/>
      <c r="AB441" s="42"/>
      <c r="AC441" s="42"/>
      <c r="AD441" s="42"/>
      <c r="AE441" s="42"/>
      <c r="AF441" s="42"/>
      <c r="AG441" s="42"/>
      <c r="AH441" s="42"/>
      <c r="AI441" s="42"/>
      <c r="AJ441" s="42"/>
    </row>
    <row r="442" spans="1:36" x14ac:dyDescent="0.2">
      <c r="A442" s="29"/>
      <c r="B442" s="11" t="s">
        <v>542</v>
      </c>
      <c r="C442" s="11"/>
      <c r="D442" s="11"/>
      <c r="E442" s="11"/>
      <c r="F442" s="11"/>
      <c r="G442" s="11"/>
      <c r="H442" s="11"/>
      <c r="I442" s="12">
        <f>IF(G266=2,I440,I438)*I445</f>
        <v>-1.36</v>
      </c>
      <c r="J442" s="12">
        <f>IF(H266=2,J440,J438)*J445</f>
        <v>-1.36</v>
      </c>
      <c r="K442" s="12">
        <f>IF(I266=2,K440,K438)*K445</f>
        <v>-1.36</v>
      </c>
      <c r="L442" s="12">
        <f>IF(J266=2,L440,L438)*L445</f>
        <v>-1.36</v>
      </c>
      <c r="M442" s="12">
        <f>IF(K266=2,M440,M438)*M445</f>
        <v>-1.36</v>
      </c>
      <c r="N442" s="62"/>
      <c r="O442" s="62"/>
      <c r="P442" s="62"/>
      <c r="Q442" s="62"/>
      <c r="R442" s="42"/>
      <c r="S442" s="42"/>
      <c r="T442" s="42"/>
      <c r="U442" s="42"/>
      <c r="V442" s="42"/>
      <c r="W442" s="42"/>
      <c r="X442" s="42"/>
      <c r="Y442" s="42"/>
      <c r="Z442" s="42"/>
      <c r="AA442" s="42"/>
      <c r="AB442" s="42"/>
      <c r="AC442" s="42"/>
      <c r="AD442" s="42"/>
      <c r="AE442" s="42"/>
      <c r="AF442" s="42"/>
      <c r="AG442" s="42"/>
      <c r="AH442" s="42"/>
      <c r="AI442" s="42"/>
      <c r="AJ442" s="42"/>
    </row>
    <row r="443" spans="1:36" x14ac:dyDescent="0.2">
      <c r="A443" s="29"/>
      <c r="B443" s="4458" t="s">
        <v>1947</v>
      </c>
      <c r="C443" s="4454"/>
      <c r="D443" s="4454"/>
      <c r="E443" s="4454"/>
      <c r="F443" s="4454"/>
      <c r="G443" s="4454"/>
      <c r="H443" s="11"/>
      <c r="I443" s="12">
        <f>IF($B$554&lt;=0.8,0.7,0.6)</f>
        <v>0.6</v>
      </c>
      <c r="J443" s="12">
        <f>IF($B$554&lt;=0.8,0.7,0.6)</f>
        <v>0.6</v>
      </c>
      <c r="K443" s="12">
        <f>IF($B$554&lt;=0.8,0.7,0.6)</f>
        <v>0.6</v>
      </c>
      <c r="L443" s="12">
        <f>IF($B$554&lt;=0.8,0.7,0.6)</f>
        <v>0.6</v>
      </c>
      <c r="M443" s="12">
        <f>IF($B$554&lt;=0.8,0.7,0.6)</f>
        <v>0.6</v>
      </c>
      <c r="N443" s="62"/>
      <c r="O443" s="62"/>
      <c r="P443" s="62"/>
      <c r="Q443" s="62"/>
      <c r="R443" s="42"/>
      <c r="S443" s="42"/>
      <c r="T443" s="42"/>
      <c r="U443" s="42"/>
      <c r="V443" s="42"/>
      <c r="W443" s="42"/>
      <c r="X443" s="42"/>
      <c r="Y443" s="42"/>
      <c r="Z443" s="42"/>
      <c r="AA443" s="42"/>
      <c r="AB443" s="42"/>
      <c r="AC443" s="42"/>
      <c r="AD443" s="42"/>
      <c r="AE443" s="42"/>
      <c r="AF443" s="42"/>
      <c r="AG443" s="42"/>
      <c r="AH443" s="42"/>
      <c r="AI443" s="42"/>
      <c r="AJ443" s="42"/>
    </row>
    <row r="444" spans="1:36" x14ac:dyDescent="0.2">
      <c r="A444" s="29"/>
      <c r="B444" s="4458" t="s">
        <v>4440</v>
      </c>
      <c r="C444" s="4454"/>
      <c r="D444" s="4454"/>
      <c r="E444" s="4454"/>
      <c r="F444" s="4454"/>
      <c r="G444" s="4454"/>
      <c r="H444" s="11"/>
      <c r="I444" s="82" t="e">
        <f>1/(1+0.0036*I441*G340/4)</f>
        <v>#VALUE!</v>
      </c>
      <c r="J444" s="82" t="e">
        <f>1/(1+0.0036*J441*H340/4)</f>
        <v>#VALUE!</v>
      </c>
      <c r="K444" s="82" t="e">
        <f>1/(1+0.0036*K441*I340/4)</f>
        <v>#VALUE!</v>
      </c>
      <c r="L444" s="82" t="e">
        <f>1/(1+0.0036*L441*J340/4)</f>
        <v>#VALUE!</v>
      </c>
      <c r="M444" s="82" t="e">
        <f>1/(1+0.0036*M441*K340/4)</f>
        <v>#VALUE!</v>
      </c>
      <c r="N444" s="62"/>
      <c r="O444" s="62"/>
      <c r="P444" s="62"/>
      <c r="Q444" s="62"/>
      <c r="R444" s="42"/>
      <c r="S444" s="42"/>
      <c r="T444" s="42"/>
      <c r="U444" s="42"/>
      <c r="V444" s="42"/>
      <c r="W444" s="42"/>
      <c r="X444" s="42"/>
      <c r="Y444" s="42"/>
      <c r="Z444" s="42"/>
      <c r="AA444" s="42"/>
      <c r="AB444" s="42"/>
      <c r="AC444" s="42"/>
      <c r="AD444" s="42"/>
      <c r="AE444" s="42"/>
      <c r="AF444" s="42"/>
      <c r="AG444" s="42"/>
      <c r="AH444" s="42"/>
      <c r="AI444" s="42"/>
      <c r="AJ444" s="42"/>
    </row>
    <row r="445" spans="1:36" x14ac:dyDescent="0.2">
      <c r="A445" s="29"/>
      <c r="B445" s="4458" t="s">
        <v>2296</v>
      </c>
      <c r="C445" s="4454"/>
      <c r="D445" s="4454"/>
      <c r="E445" s="4454"/>
      <c r="F445" s="4454"/>
      <c r="G445" s="4454"/>
      <c r="H445" s="11"/>
      <c r="I445" s="12">
        <f>IF(G338&lt;3,1/(1/I443+1/I444-1),1)</f>
        <v>1</v>
      </c>
      <c r="J445" s="12">
        <f>IF(H338&lt;3,1/(1/J443+1/J444-1),1)</f>
        <v>1</v>
      </c>
      <c r="K445" s="12">
        <f>IF(I338&lt;3,1/(1/K443+1/K444-1),1)</f>
        <v>1</v>
      </c>
      <c r="L445" s="12">
        <f>IF(J338&lt;3,1/(1/L443+1/L444-1),1)</f>
        <v>1</v>
      </c>
      <c r="M445" s="12">
        <f>IF(K338&lt;3,1/(1/M443+1/M444-1),1)</f>
        <v>1</v>
      </c>
      <c r="N445" s="62"/>
      <c r="O445" s="62"/>
      <c r="P445" s="62"/>
      <c r="Q445" s="62"/>
      <c r="R445" s="42"/>
      <c r="S445" s="42"/>
      <c r="T445" s="42"/>
      <c r="U445" s="42"/>
      <c r="V445" s="42"/>
      <c r="W445" s="42"/>
      <c r="X445" s="42"/>
      <c r="Y445" s="42"/>
      <c r="Z445" s="42"/>
      <c r="AA445" s="42"/>
      <c r="AB445" s="42"/>
      <c r="AC445" s="42"/>
      <c r="AD445" s="42"/>
      <c r="AE445" s="42"/>
      <c r="AF445" s="42"/>
      <c r="AG445" s="42"/>
      <c r="AH445" s="42"/>
      <c r="AI445" s="42"/>
      <c r="AJ445" s="42"/>
    </row>
    <row r="446" spans="1:36" x14ac:dyDescent="0.2">
      <c r="A446" s="29"/>
      <c r="B446" s="11"/>
      <c r="C446" s="11"/>
      <c r="D446" s="11"/>
      <c r="E446" s="11"/>
      <c r="F446" s="11"/>
      <c r="G446" s="11"/>
      <c r="H446" s="11"/>
      <c r="I446" s="12"/>
      <c r="J446" s="12"/>
      <c r="K446" s="12"/>
      <c r="L446" s="12"/>
      <c r="M446" s="12"/>
      <c r="N446" s="62"/>
      <c r="O446" s="62"/>
      <c r="P446" s="62"/>
      <c r="Q446" s="62"/>
      <c r="R446" s="42"/>
      <c r="S446" s="42"/>
      <c r="T446" s="42"/>
      <c r="U446" s="42"/>
      <c r="V446" s="42"/>
      <c r="W446" s="42"/>
      <c r="X446" s="42"/>
      <c r="Y446" s="42"/>
      <c r="Z446" s="42"/>
      <c r="AA446" s="42"/>
      <c r="AB446" s="42"/>
      <c r="AC446" s="42"/>
      <c r="AD446" s="42"/>
      <c r="AE446" s="42"/>
      <c r="AF446" s="42"/>
      <c r="AG446" s="42"/>
      <c r="AH446" s="42"/>
      <c r="AI446" s="42"/>
      <c r="AJ446" s="42"/>
    </row>
    <row r="447" spans="1:36" x14ac:dyDescent="0.2">
      <c r="A447" s="87"/>
      <c r="B447" s="11"/>
      <c r="C447" s="112" t="s">
        <v>4788</v>
      </c>
      <c r="D447" s="90"/>
      <c r="E447" s="62"/>
      <c r="F447" s="90"/>
      <c r="G447" s="90"/>
      <c r="H447" s="62"/>
      <c r="I447" s="36"/>
      <c r="J447" s="36"/>
      <c r="K447" s="36"/>
      <c r="L447" s="36"/>
      <c r="M447" s="36"/>
      <c r="N447" s="62"/>
      <c r="O447" s="62"/>
      <c r="P447" s="62"/>
      <c r="Q447" s="62"/>
      <c r="R447" s="42"/>
      <c r="S447" s="42"/>
      <c r="T447" s="42"/>
      <c r="U447" s="42"/>
      <c r="V447" s="42"/>
      <c r="W447" s="42"/>
      <c r="X447" s="42"/>
      <c r="Y447" s="42"/>
      <c r="Z447" s="42"/>
      <c r="AA447" s="42"/>
      <c r="AB447" s="42"/>
      <c r="AC447" s="42"/>
      <c r="AD447" s="42"/>
      <c r="AE447" s="42"/>
      <c r="AF447" s="42"/>
      <c r="AG447" s="42"/>
      <c r="AH447" s="42"/>
      <c r="AI447" s="42"/>
      <c r="AJ447" s="42"/>
    </row>
    <row r="448" spans="1:36" x14ac:dyDescent="0.2">
      <c r="A448" s="111"/>
      <c r="B448" s="4458" t="s">
        <v>4441</v>
      </c>
      <c r="C448" s="4454"/>
      <c r="D448" s="4454"/>
      <c r="E448" s="4454"/>
      <c r="F448" s="4454"/>
      <c r="G448" s="4454"/>
      <c r="H448" s="74"/>
      <c r="I448" s="82" t="e">
        <f>IF(AND(G348=0,G333&lt;=9),1,IF(AND(G348=0,G333&gt;9),1-0.013*(G333-9),IF(AND(G348&gt;0,G333&lt;=6),1,IF(AND(G348&gt;0,G333&gt;6),1-0.0066*G333))))</f>
        <v>#VALUE!</v>
      </c>
      <c r="J448" s="82" t="e">
        <f>IF(AND(H348=0,H333&lt;=9),1,IF(AND(H348=0,H333&gt;9),1-0.013*(H333-9),IF(AND(H348&gt;0,H333&lt;=6),1,IF(AND(H348&gt;0,H333&gt;6),1-0.0066*H333))))</f>
        <v>#VALUE!</v>
      </c>
      <c r="K448" s="82" t="e">
        <f>IF(AND(I348=0,I333&lt;=9),1,IF(AND(I348=0,I333&gt;9),1-0.013*(I333-9),IF(AND(I348&gt;0,I333&lt;=6),1,IF(AND(I348&gt;0,I333&gt;6),1-0.0066*I333))))</f>
        <v>#VALUE!</v>
      </c>
      <c r="L448" s="82" t="e">
        <f>IF(AND(J348=0,J333&lt;=9),1,IF(AND(J348=0,J333&gt;9),1-0.013*(J333-9),IF(AND(J348&gt;0,J333&lt;=6),1,IF(AND(J348&gt;0,J333&gt;6),1-0.0066*J333))))</f>
        <v>#VALUE!</v>
      </c>
      <c r="M448" s="82" t="e">
        <f>IF(AND(K348=0,K333&lt;=9),1,IF(AND(K348=0,K333&gt;9),1-0.013*(K333-9),IF(AND(K348&gt;0,K333&lt;=6),1,IF(AND(K348&gt;0,K333&gt;6),1-0.0066*K333))))</f>
        <v>#VALUE!</v>
      </c>
      <c r="N448" s="62"/>
      <c r="O448" s="62"/>
      <c r="P448" s="62"/>
      <c r="Q448" s="62"/>
      <c r="R448" s="42"/>
      <c r="S448" s="42"/>
      <c r="T448" s="42"/>
      <c r="U448" s="42"/>
      <c r="V448" s="42"/>
      <c r="W448" s="42"/>
      <c r="X448" s="42"/>
      <c r="Y448" s="42"/>
      <c r="Z448" s="42"/>
      <c r="AA448" s="42"/>
      <c r="AB448" s="42"/>
      <c r="AC448" s="42"/>
      <c r="AD448" s="42"/>
      <c r="AE448" s="42"/>
      <c r="AF448" s="42"/>
      <c r="AG448" s="42"/>
      <c r="AH448" s="42"/>
      <c r="AI448" s="42"/>
      <c r="AJ448" s="42"/>
    </row>
    <row r="449" spans="1:36" x14ac:dyDescent="0.2">
      <c r="A449" s="111"/>
      <c r="B449" s="4458" t="s">
        <v>1947</v>
      </c>
      <c r="C449" s="4454"/>
      <c r="D449" s="4454"/>
      <c r="E449" s="4454"/>
      <c r="F449" s="4454"/>
      <c r="G449" s="4454"/>
      <c r="H449" s="74"/>
      <c r="I449" s="16">
        <f>IF(G291&lt;=0.8,0.7,0.6)</f>
        <v>0.6</v>
      </c>
      <c r="J449" s="16">
        <f>IF(H291&lt;=0.8,0.7,0.6)</f>
        <v>0.6</v>
      </c>
      <c r="K449" s="16">
        <f>IF(I291&lt;=0.8,0.7,0.6)</f>
        <v>0.6</v>
      </c>
      <c r="L449" s="16">
        <f>IF(J291&lt;=0.8,0.7,0.6)</f>
        <v>0.6</v>
      </c>
      <c r="M449" s="16">
        <f>IF(K291&lt;=0.8,0.7,0.6)</f>
        <v>0.6</v>
      </c>
      <c r="N449" s="62"/>
      <c r="O449" s="62"/>
      <c r="P449" s="62"/>
      <c r="Q449" s="62"/>
      <c r="R449" s="42"/>
      <c r="S449" s="42"/>
      <c r="T449" s="42"/>
      <c r="U449" s="42"/>
      <c r="V449" s="42"/>
      <c r="W449" s="42"/>
      <c r="X449" s="42"/>
      <c r="Y449" s="42"/>
      <c r="Z449" s="42"/>
      <c r="AA449" s="42"/>
      <c r="AB449" s="42"/>
      <c r="AC449" s="42"/>
      <c r="AD449" s="42"/>
      <c r="AE449" s="42"/>
      <c r="AF449" s="42"/>
      <c r="AG449" s="42"/>
      <c r="AH449" s="42"/>
      <c r="AI449" s="42"/>
      <c r="AJ449" s="42"/>
    </row>
    <row r="450" spans="1:36" x14ac:dyDescent="0.2">
      <c r="A450" s="111"/>
      <c r="B450" s="4458" t="s">
        <v>4440</v>
      </c>
      <c r="C450" s="4454"/>
      <c r="D450" s="4454"/>
      <c r="E450" s="4454"/>
      <c r="F450" s="4454"/>
      <c r="G450" s="4454"/>
      <c r="H450" s="74"/>
      <c r="I450" s="82" t="e">
        <f>1/(1+0.0036*G329*G340/4)</f>
        <v>#VALUE!</v>
      </c>
      <c r="J450" s="82" t="e">
        <f>1/(1+0.0036*H329*H340/4)</f>
        <v>#VALUE!</v>
      </c>
      <c r="K450" s="82" t="e">
        <f>1/(1+0.0036*I329*I340/4)</f>
        <v>#VALUE!</v>
      </c>
      <c r="L450" s="82" t="e">
        <f>1/(1+0.0036*J329*J340/4)</f>
        <v>#VALUE!</v>
      </c>
      <c r="M450" s="82" t="e">
        <f>1/(1+0.0036*K329*K340/4)</f>
        <v>#VALUE!</v>
      </c>
      <c r="N450" s="62"/>
      <c r="O450" s="62"/>
      <c r="P450" s="62"/>
      <c r="Q450" s="62"/>
      <c r="R450" s="42"/>
      <c r="S450" s="42"/>
      <c r="T450" s="42"/>
      <c r="U450" s="42"/>
      <c r="V450" s="42"/>
      <c r="W450" s="42"/>
      <c r="X450" s="42"/>
      <c r="Y450" s="42"/>
      <c r="Z450" s="42"/>
      <c r="AA450" s="42"/>
      <c r="AB450" s="42"/>
      <c r="AC450" s="42"/>
      <c r="AD450" s="42"/>
      <c r="AE450" s="42"/>
      <c r="AF450" s="42"/>
      <c r="AG450" s="42"/>
      <c r="AH450" s="42"/>
      <c r="AI450" s="42"/>
      <c r="AJ450" s="42"/>
    </row>
    <row r="451" spans="1:36" ht="15" x14ac:dyDescent="0.2">
      <c r="A451" s="111"/>
      <c r="B451" s="113" t="s">
        <v>4442</v>
      </c>
      <c r="C451" s="90"/>
      <c r="D451" s="90"/>
      <c r="E451" s="90"/>
      <c r="F451" s="90"/>
      <c r="G451" s="90"/>
      <c r="H451" s="74"/>
      <c r="I451" s="82" t="e">
        <f>7.86708604704389-12.3279*G343+8.765997*G343^2-2.9178*G343^3+0.463667*G343^4-0.0282*G343^5-1.78569*G330+1.36*G330^2-0.49146*G330^3+0.08*G330^4-0.0049*G330^5</f>
        <v>#VALUE!</v>
      </c>
      <c r="J451" s="82" t="e">
        <f>7.86708604704389-12.3279*H343+8.765997*H343^2-2.9178*H343^3+0.463667*H343^4-0.0282*H343^5-1.78569*H330+1.36*H330^2-0.49146*H330^3+0.08*H330^4-0.0049*H330^5</f>
        <v>#VALUE!</v>
      </c>
      <c r="K451" s="82" t="e">
        <f>7.86708604704389-12.3279*I343+8.765997*I343^2-2.9178*I343^3+0.463667*I343^4-0.0282*I343^5-1.78569*I330+1.36*I330^2-0.49146*I330^3+0.08*I330^4-0.0049*I330^5</f>
        <v>#VALUE!</v>
      </c>
      <c r="L451" s="82" t="e">
        <f>7.86708604704389-12.3279*J343+8.765997*J343^2-2.9178*J343^3+0.463667*J343^4-0.0282*J343^5-1.78569*J330+1.36*J330^2-0.49146*J330^3+0.08*J330^4-0.0049*J330^5</f>
        <v>#VALUE!</v>
      </c>
      <c r="M451" s="82" t="e">
        <f>7.86708604704389-12.3279*K343+8.765997*K343^2-2.9178*K343^3+0.463667*K343^4-0.0282*K343^5-1.78569*K330+1.36*K330^2-0.49146*K330^3+0.08*K330^4-0.0049*K330^5</f>
        <v>#VALUE!</v>
      </c>
      <c r="N451" s="62"/>
      <c r="O451" s="62"/>
      <c r="P451" s="62"/>
      <c r="Q451" s="62"/>
      <c r="R451" s="42"/>
      <c r="S451" s="42"/>
      <c r="T451" s="42"/>
      <c r="U451" s="42"/>
      <c r="V451" s="42"/>
      <c r="W451" s="42"/>
      <c r="X451" s="42"/>
      <c r="Y451" s="42"/>
      <c r="Z451" s="42"/>
      <c r="AA451" s="42"/>
      <c r="AB451" s="42"/>
      <c r="AC451" s="42"/>
      <c r="AD451" s="42"/>
      <c r="AE451" s="42"/>
      <c r="AF451" s="42"/>
      <c r="AG451" s="42"/>
      <c r="AH451" s="42"/>
      <c r="AI451" s="42"/>
      <c r="AJ451" s="42"/>
    </row>
    <row r="452" spans="1:36" x14ac:dyDescent="0.2">
      <c r="A452" s="111"/>
      <c r="B452" s="4458" t="s">
        <v>4443</v>
      </c>
      <c r="C452" s="4454"/>
      <c r="D452" s="4454"/>
      <c r="E452" s="4454"/>
      <c r="F452" s="4454"/>
      <c r="G452" s="4454"/>
      <c r="H452" s="74"/>
      <c r="I452" s="37" t="e">
        <f>0.5*(1+I451)</f>
        <v>#VALUE!</v>
      </c>
      <c r="J452" s="37" t="e">
        <f>0.5*(1+J451)</f>
        <v>#VALUE!</v>
      </c>
      <c r="K452" s="37" t="e">
        <f>0.5*(1+K451)</f>
        <v>#VALUE!</v>
      </c>
      <c r="L452" s="37" t="e">
        <f>0.5*(1+L451)</f>
        <v>#VALUE!</v>
      </c>
      <c r="M452" s="37" t="e">
        <f>0.5*(1+M451)</f>
        <v>#VALUE!</v>
      </c>
      <c r="N452" s="62"/>
      <c r="O452" s="62"/>
      <c r="P452" s="62"/>
      <c r="Q452" s="62"/>
      <c r="R452" s="42"/>
      <c r="S452" s="42"/>
      <c r="T452" s="42"/>
      <c r="U452" s="42"/>
      <c r="V452" s="42"/>
      <c r="W452" s="42"/>
      <c r="X452" s="42"/>
      <c r="Y452" s="42"/>
      <c r="Z452" s="42"/>
      <c r="AA452" s="42"/>
      <c r="AB452" s="42"/>
      <c r="AC452" s="42"/>
      <c r="AD452" s="42"/>
      <c r="AE452" s="42"/>
      <c r="AF452" s="42"/>
      <c r="AG452" s="42"/>
      <c r="AH452" s="42"/>
      <c r="AI452" s="42"/>
      <c r="AJ452" s="42"/>
    </row>
    <row r="453" spans="1:36" x14ac:dyDescent="0.2">
      <c r="A453" s="111"/>
      <c r="B453" s="4458" t="s">
        <v>2296</v>
      </c>
      <c r="C453" s="4454"/>
      <c r="D453" s="4454"/>
      <c r="E453" s="4454"/>
      <c r="F453" s="4454"/>
      <c r="G453" s="4454"/>
      <c r="H453" s="74"/>
      <c r="I453" s="37">
        <f>IF(G338&lt;3,1/(1/I452+1/I450+1/I449-2),1)</f>
        <v>1</v>
      </c>
      <c r="J453" s="37">
        <f>IF(H338&lt;3,1/(1/J452+1/J450+1/J449-2),1)</f>
        <v>1</v>
      </c>
      <c r="K453" s="37">
        <f>IF(I338&lt;3,1/(1/K452+1/K450+1/K449-2),1)</f>
        <v>1</v>
      </c>
      <c r="L453" s="37">
        <f>IF(J338&lt;3,1/(1/L452+1/L450+1/L449-2),1)</f>
        <v>1</v>
      </c>
      <c r="M453" s="37">
        <f>IF(K338&lt;3,1/(1/M452+1/M450+1/M449-2),1)</f>
        <v>1</v>
      </c>
      <c r="N453" s="62"/>
      <c r="O453" s="62"/>
      <c r="P453" s="62"/>
      <c r="Q453" s="62"/>
      <c r="R453" s="42"/>
      <c r="S453" s="42"/>
      <c r="T453" s="42"/>
      <c r="U453" s="42"/>
      <c r="V453" s="42"/>
      <c r="W453" s="42"/>
      <c r="X453" s="42"/>
      <c r="Y453" s="42"/>
      <c r="Z453" s="42"/>
      <c r="AA453" s="42"/>
      <c r="AB453" s="42"/>
      <c r="AC453" s="42"/>
      <c r="AD453" s="42"/>
      <c r="AE453" s="42"/>
      <c r="AF453" s="42"/>
      <c r="AG453" s="42"/>
      <c r="AH453" s="42"/>
      <c r="AI453" s="42"/>
      <c r="AJ453" s="42"/>
    </row>
    <row r="454" spans="1:36" x14ac:dyDescent="0.2">
      <c r="A454" s="111"/>
      <c r="B454" s="4458" t="s">
        <v>1003</v>
      </c>
      <c r="C454" s="4454"/>
      <c r="D454" s="4454"/>
      <c r="E454" s="4454"/>
      <c r="F454" s="4454"/>
      <c r="G454" s="4454"/>
      <c r="H454" s="74"/>
      <c r="I454" s="37" t="e">
        <f>G329*G325*I448*I453</f>
        <v>#VALUE!</v>
      </c>
      <c r="J454" s="37" t="e">
        <f>H329*H325*J448*J453</f>
        <v>#VALUE!</v>
      </c>
      <c r="K454" s="37" t="e">
        <f>I329*I325*K448*K453</f>
        <v>#VALUE!</v>
      </c>
      <c r="L454" s="37" t="e">
        <f>J329*J325*L448*L453</f>
        <v>#VALUE!</v>
      </c>
      <c r="M454" s="37" t="e">
        <f>K329*K325*M448*M453</f>
        <v>#VALUE!</v>
      </c>
      <c r="N454" s="62"/>
      <c r="O454" s="62"/>
      <c r="P454" s="62"/>
      <c r="Q454" s="62"/>
      <c r="R454" s="42"/>
      <c r="S454" s="42"/>
      <c r="T454" s="42"/>
      <c r="U454" s="42"/>
      <c r="V454" s="42"/>
      <c r="W454" s="42"/>
      <c r="X454" s="42"/>
      <c r="Y454" s="42"/>
      <c r="Z454" s="42"/>
      <c r="AA454" s="42"/>
      <c r="AB454" s="42"/>
      <c r="AC454" s="42"/>
      <c r="AD454" s="42"/>
      <c r="AE454" s="42"/>
      <c r="AF454" s="42"/>
      <c r="AG454" s="42"/>
      <c r="AH454" s="42"/>
      <c r="AI454" s="42"/>
      <c r="AJ454" s="42"/>
    </row>
    <row r="455" spans="1:36" x14ac:dyDescent="0.2">
      <c r="A455" s="111"/>
      <c r="B455" s="62" t="s">
        <v>4157</v>
      </c>
      <c r="C455" s="62"/>
      <c r="D455" s="62"/>
      <c r="E455" s="62"/>
      <c r="F455" s="62"/>
      <c r="G455" s="62"/>
      <c r="H455" s="62"/>
      <c r="I455" s="106"/>
      <c r="J455" s="106"/>
      <c r="K455" s="106"/>
      <c r="L455" s="106"/>
      <c r="M455" s="106"/>
      <c r="N455" s="62"/>
      <c r="O455" s="62"/>
      <c r="P455" s="62"/>
      <c r="Q455" s="62"/>
      <c r="R455" s="42"/>
      <c r="S455" s="42"/>
      <c r="T455" s="42"/>
      <c r="U455" s="42"/>
      <c r="V455" s="42"/>
      <c r="W455" s="42"/>
      <c r="X455" s="42"/>
      <c r="Y455" s="42"/>
      <c r="Z455" s="42"/>
      <c r="AA455" s="42"/>
      <c r="AB455" s="42"/>
      <c r="AC455" s="42"/>
      <c r="AD455" s="42"/>
      <c r="AE455" s="42"/>
      <c r="AF455" s="42"/>
      <c r="AG455" s="42"/>
      <c r="AH455" s="42"/>
      <c r="AI455" s="42"/>
      <c r="AJ455" s="42"/>
    </row>
    <row r="456" spans="1:36" x14ac:dyDescent="0.2">
      <c r="A456" s="111"/>
      <c r="B456" s="62"/>
      <c r="C456" s="62" t="s">
        <v>4158</v>
      </c>
      <c r="D456" s="62"/>
      <c r="E456" s="62"/>
      <c r="F456" s="62"/>
      <c r="G456" s="62"/>
      <c r="H456" s="62"/>
      <c r="I456" s="82">
        <f>I442</f>
        <v>-1.36</v>
      </c>
      <c r="J456" s="82">
        <f>J442</f>
        <v>-1.36</v>
      </c>
      <c r="K456" s="82">
        <f>K442</f>
        <v>-1.36</v>
      </c>
      <c r="L456" s="82">
        <f>L442</f>
        <v>-1.36</v>
      </c>
      <c r="M456" s="82">
        <f>M442</f>
        <v>-1.36</v>
      </c>
      <c r="N456" s="62"/>
      <c r="O456" s="62"/>
      <c r="P456" s="62"/>
      <c r="Q456" s="62"/>
      <c r="R456" s="42"/>
      <c r="S456" s="42"/>
      <c r="T456" s="42"/>
      <c r="U456" s="42"/>
      <c r="V456" s="42"/>
      <c r="W456" s="42"/>
      <c r="X456" s="42"/>
      <c r="Y456" s="42"/>
      <c r="Z456" s="42"/>
      <c r="AA456" s="42"/>
      <c r="AB456" s="42"/>
      <c r="AC456" s="42"/>
      <c r="AD456" s="42"/>
      <c r="AE456" s="42"/>
      <c r="AF456" s="42"/>
      <c r="AG456" s="42"/>
      <c r="AH456" s="42"/>
      <c r="AI456" s="42"/>
      <c r="AJ456" s="42"/>
    </row>
    <row r="457" spans="1:36" x14ac:dyDescent="0.2">
      <c r="A457" s="111"/>
      <c r="B457" s="62"/>
      <c r="C457" s="62" t="s">
        <v>4159</v>
      </c>
      <c r="D457" s="62"/>
      <c r="E457" s="62"/>
      <c r="F457" s="62"/>
      <c r="G457" s="62"/>
      <c r="H457" s="62"/>
      <c r="I457" s="37" t="e">
        <f>I454</f>
        <v>#VALUE!</v>
      </c>
      <c r="J457" s="37" t="e">
        <f>J454</f>
        <v>#VALUE!</v>
      </c>
      <c r="K457" s="37" t="e">
        <f>K454</f>
        <v>#VALUE!</v>
      </c>
      <c r="L457" s="37" t="e">
        <f>L454</f>
        <v>#VALUE!</v>
      </c>
      <c r="M457" s="37" t="e">
        <f>M454</f>
        <v>#VALUE!</v>
      </c>
      <c r="N457" s="62"/>
      <c r="O457" s="62"/>
      <c r="P457" s="62"/>
      <c r="Q457" s="62"/>
      <c r="R457" s="42"/>
      <c r="S457" s="42"/>
      <c r="T457" s="42"/>
      <c r="U457" s="42"/>
      <c r="V457" s="42"/>
      <c r="W457" s="42"/>
      <c r="X457" s="42"/>
      <c r="Y457" s="42"/>
      <c r="Z457" s="42"/>
      <c r="AA457" s="42"/>
      <c r="AB457" s="42"/>
      <c r="AC457" s="42"/>
      <c r="AD457" s="42"/>
      <c r="AE457" s="42"/>
      <c r="AF457" s="42"/>
      <c r="AG457" s="42"/>
      <c r="AH457" s="42"/>
      <c r="AI457" s="42"/>
      <c r="AJ457" s="42"/>
    </row>
    <row r="458" spans="1:36" x14ac:dyDescent="0.2">
      <c r="A458" s="111"/>
      <c r="B458" s="4456" t="s">
        <v>118</v>
      </c>
      <c r="C458" s="4456"/>
      <c r="D458" s="4456"/>
      <c r="E458" s="4456"/>
      <c r="F458" s="4456"/>
      <c r="G458" s="4456"/>
      <c r="H458" s="62"/>
      <c r="I458" s="106">
        <f>IF(G262=2,I457,I456)</f>
        <v>-1.36</v>
      </c>
      <c r="J458" s="106">
        <f>IF(H262=2,J457,J456)</f>
        <v>-1.36</v>
      </c>
      <c r="K458" s="106">
        <f>IF(I262=2,K457,K456)</f>
        <v>-1.36</v>
      </c>
      <c r="L458" s="106">
        <f>IF(J262=2,L457,L456)</f>
        <v>-1.36</v>
      </c>
      <c r="M458" s="106">
        <f>IF(K262=2,M457,M456)</f>
        <v>-1.36</v>
      </c>
      <c r="N458" s="62"/>
      <c r="O458" s="62"/>
      <c r="P458" s="62"/>
      <c r="Q458" s="62"/>
      <c r="R458" s="42"/>
      <c r="S458" s="42"/>
      <c r="T458" s="42"/>
      <c r="U458" s="42"/>
      <c r="V458" s="42"/>
      <c r="W458" s="42"/>
      <c r="X458" s="42"/>
      <c r="Y458" s="42"/>
      <c r="Z458" s="42"/>
      <c r="AA458" s="42"/>
      <c r="AB458" s="42"/>
      <c r="AC458" s="42"/>
      <c r="AD458" s="42"/>
      <c r="AE458" s="42"/>
      <c r="AF458" s="42"/>
      <c r="AG458" s="42"/>
      <c r="AH458" s="42"/>
      <c r="AI458" s="42"/>
      <c r="AJ458" s="42"/>
    </row>
    <row r="459" spans="1:36" x14ac:dyDescent="0.2">
      <c r="A459" s="111"/>
      <c r="B459" s="4455" t="s">
        <v>4876</v>
      </c>
      <c r="C459" s="4455"/>
      <c r="D459" s="4455"/>
      <c r="E459" s="4455"/>
      <c r="F459" s="4455"/>
      <c r="G459" s="4455"/>
      <c r="H459" s="62"/>
      <c r="I459" s="106"/>
      <c r="J459" s="106"/>
      <c r="K459" s="106"/>
      <c r="L459" s="106"/>
      <c r="M459" s="106"/>
      <c r="N459" s="62"/>
      <c r="O459" s="62"/>
      <c r="P459" s="62"/>
      <c r="Q459" s="62"/>
      <c r="R459" s="42"/>
      <c r="S459" s="42"/>
      <c r="T459" s="42"/>
      <c r="U459" s="42"/>
      <c r="V459" s="42"/>
      <c r="W459" s="42"/>
      <c r="X459" s="42"/>
      <c r="Y459" s="42"/>
      <c r="Z459" s="42"/>
      <c r="AA459" s="42"/>
      <c r="AB459" s="42"/>
      <c r="AC459" s="42"/>
      <c r="AD459" s="42"/>
      <c r="AE459" s="42"/>
      <c r="AF459" s="42"/>
      <c r="AG459" s="42"/>
      <c r="AH459" s="42"/>
      <c r="AI459" s="42"/>
      <c r="AJ459" s="42"/>
    </row>
    <row r="460" spans="1:36" x14ac:dyDescent="0.2">
      <c r="A460" s="111"/>
      <c r="B460" s="59"/>
      <c r="C460" s="4459" t="s">
        <v>4832</v>
      </c>
      <c r="D460" s="4459"/>
      <c r="E460" s="4459"/>
      <c r="F460" s="4459"/>
      <c r="G460" s="4459"/>
      <c r="H460" s="62"/>
      <c r="I460" s="106" t="e">
        <f>MIN(I456,I435,I429)</f>
        <v>#VALUE!</v>
      </c>
      <c r="J460" s="106" t="e">
        <f>MIN(J456,J435,J429)</f>
        <v>#VALUE!</v>
      </c>
      <c r="K460" s="106" t="e">
        <f>MIN(K456,K435,K429)</f>
        <v>#VALUE!</v>
      </c>
      <c r="L460" s="106" t="e">
        <f>MIN(L456,L435,L429)</f>
        <v>#VALUE!</v>
      </c>
      <c r="M460" s="106" t="e">
        <f>MIN(M456,M435,M429)</f>
        <v>#VALUE!</v>
      </c>
      <c r="N460" s="62"/>
      <c r="O460" s="62"/>
      <c r="P460" s="62"/>
      <c r="Q460" s="62"/>
      <c r="R460" s="42"/>
      <c r="S460" s="42"/>
      <c r="T460" s="42"/>
      <c r="U460" s="42"/>
      <c r="V460" s="42"/>
      <c r="W460" s="42"/>
      <c r="X460" s="42"/>
      <c r="Y460" s="42"/>
      <c r="Z460" s="42"/>
      <c r="AA460" s="42"/>
      <c r="AB460" s="42"/>
      <c r="AC460" s="42"/>
      <c r="AD460" s="42"/>
      <c r="AE460" s="42"/>
      <c r="AF460" s="42"/>
      <c r="AG460" s="42"/>
      <c r="AH460" s="42"/>
      <c r="AI460" s="42"/>
      <c r="AJ460" s="42"/>
    </row>
    <row r="461" spans="1:36" x14ac:dyDescent="0.2">
      <c r="A461" s="111"/>
      <c r="B461" s="59"/>
      <c r="C461" s="4459" t="s">
        <v>4159</v>
      </c>
      <c r="D461" s="4459"/>
      <c r="E461" s="4459"/>
      <c r="F461" s="4459"/>
      <c r="G461" s="4459"/>
      <c r="H461" s="62"/>
      <c r="I461" s="106" t="e">
        <f>MIN(I457,I435,I429)</f>
        <v>#VALUE!</v>
      </c>
      <c r="J461" s="106" t="e">
        <f>MIN(J457,J435,J429)</f>
        <v>#VALUE!</v>
      </c>
      <c r="K461" s="106" t="e">
        <f>MIN(K457,K435,K429)</f>
        <v>#VALUE!</v>
      </c>
      <c r="L461" s="106" t="e">
        <f>MIN(L457,L435,L429)</f>
        <v>#VALUE!</v>
      </c>
      <c r="M461" s="106" t="e">
        <f>MIN(M457,M435,M429)</f>
        <v>#VALUE!</v>
      </c>
      <c r="N461" s="62"/>
      <c r="O461" s="62"/>
      <c r="P461" s="62"/>
      <c r="Q461" s="62"/>
      <c r="R461" s="42"/>
      <c r="S461" s="42"/>
      <c r="T461" s="42"/>
      <c r="U461" s="42"/>
      <c r="V461" s="42"/>
      <c r="W461" s="42"/>
      <c r="X461" s="42"/>
      <c r="Y461" s="42"/>
      <c r="Z461" s="42"/>
      <c r="AA461" s="42"/>
      <c r="AB461" s="42"/>
      <c r="AC461" s="42"/>
      <c r="AD461" s="42"/>
      <c r="AE461" s="42"/>
      <c r="AF461" s="42"/>
      <c r="AG461" s="42"/>
      <c r="AH461" s="42"/>
      <c r="AI461" s="42"/>
      <c r="AJ461" s="42"/>
    </row>
    <row r="462" spans="1:36" x14ac:dyDescent="0.2">
      <c r="A462" s="111"/>
      <c r="B462" s="61" t="s">
        <v>119</v>
      </c>
      <c r="C462" s="11"/>
      <c r="D462" s="11"/>
      <c r="E462" s="11"/>
      <c r="F462" s="11"/>
      <c r="G462" s="11"/>
      <c r="H462" s="11"/>
      <c r="I462" s="110" t="e">
        <f>IF(G262=2,I461,I460)</f>
        <v>#VALUE!</v>
      </c>
      <c r="J462" s="110" t="e">
        <f>IF(H262=2,J461,J460)</f>
        <v>#VALUE!</v>
      </c>
      <c r="K462" s="110" t="e">
        <f>IF(I262=2,K461,K460)</f>
        <v>#VALUE!</v>
      </c>
      <c r="L462" s="110" t="e">
        <f>IF(J262=2,L461,L460)</f>
        <v>#VALUE!</v>
      </c>
      <c r="M462" s="110" t="e">
        <f>IF(K262=2,M461,M460)</f>
        <v>#VALUE!</v>
      </c>
      <c r="N462" s="62"/>
      <c r="O462" s="62"/>
      <c r="P462" s="62"/>
      <c r="Q462" s="62"/>
      <c r="R462" s="42"/>
      <c r="S462" s="42"/>
      <c r="T462" s="42"/>
      <c r="U462" s="42"/>
      <c r="V462" s="42"/>
      <c r="W462" s="42"/>
      <c r="X462" s="42"/>
      <c r="Y462" s="42"/>
      <c r="Z462" s="42"/>
      <c r="AA462" s="42"/>
      <c r="AB462" s="42"/>
      <c r="AC462" s="42"/>
      <c r="AD462" s="42"/>
      <c r="AE462" s="42"/>
      <c r="AF462" s="42"/>
      <c r="AG462" s="42"/>
      <c r="AH462" s="42"/>
      <c r="AI462" s="42"/>
      <c r="AJ462" s="42"/>
    </row>
    <row r="463" spans="1:36" ht="14.25" x14ac:dyDescent="0.2">
      <c r="A463" s="111"/>
      <c r="B463" s="11" t="s">
        <v>1069</v>
      </c>
      <c r="C463" s="74"/>
      <c r="D463" s="74"/>
      <c r="E463" s="74"/>
      <c r="F463" s="74"/>
      <c r="G463" s="74"/>
      <c r="H463" s="74"/>
      <c r="I463" s="82" t="e">
        <f>(G336+(G346-G336)*I420)</f>
        <v>#VALUE!</v>
      </c>
      <c r="J463" s="82" t="e">
        <f>(H336+(H346-H336)*J420)</f>
        <v>#VALUE!</v>
      </c>
      <c r="K463" s="82" t="e">
        <f>(I336+(I346-I336)*K420)</f>
        <v>#VALUE!</v>
      </c>
      <c r="L463" s="82" t="e">
        <f>(J336+(J346-J336)*L420)</f>
        <v>#VALUE!</v>
      </c>
      <c r="M463" s="82" t="e">
        <f>(K336+(K346-K336)*M420)</f>
        <v>#VALUE!</v>
      </c>
      <c r="N463" s="62"/>
      <c r="O463" s="62"/>
      <c r="P463" s="62"/>
      <c r="Q463" s="62"/>
      <c r="R463" s="42"/>
      <c r="S463" s="42"/>
      <c r="T463" s="42"/>
      <c r="U463" s="42"/>
      <c r="V463" s="42"/>
      <c r="W463" s="42"/>
      <c r="X463" s="42"/>
      <c r="Y463" s="42"/>
      <c r="Z463" s="42"/>
      <c r="AA463" s="42"/>
      <c r="AB463" s="42"/>
      <c r="AC463" s="42"/>
      <c r="AD463" s="42"/>
      <c r="AE463" s="42"/>
      <c r="AF463" s="42"/>
      <c r="AG463" s="42"/>
      <c r="AH463" s="42"/>
      <c r="AI463" s="42"/>
      <c r="AJ463" s="42"/>
    </row>
    <row r="464" spans="1:36" x14ac:dyDescent="0.2">
      <c r="A464" s="111"/>
      <c r="B464" s="74"/>
      <c r="C464" s="11"/>
      <c r="D464" s="74"/>
      <c r="E464" s="74"/>
      <c r="F464" s="74"/>
      <c r="G464" s="74"/>
      <c r="H464" s="74"/>
      <c r="I464" s="37"/>
      <c r="J464" s="37"/>
      <c r="K464" s="37"/>
      <c r="L464" s="37"/>
      <c r="M464" s="37"/>
      <c r="N464" s="62"/>
      <c r="O464" s="62"/>
      <c r="P464" s="62"/>
      <c r="Q464" s="62"/>
      <c r="R464" s="42"/>
      <c r="S464" s="42"/>
      <c r="T464" s="42"/>
      <c r="U464" s="42"/>
      <c r="V464" s="42"/>
      <c r="W464" s="42"/>
      <c r="X464" s="42"/>
      <c r="Y464" s="42"/>
      <c r="Z464" s="42"/>
      <c r="AA464" s="42"/>
      <c r="AB464" s="42"/>
      <c r="AC464" s="42"/>
      <c r="AD464" s="42"/>
      <c r="AE464" s="42"/>
      <c r="AF464" s="42"/>
      <c r="AG464" s="42"/>
      <c r="AH464" s="42"/>
      <c r="AI464" s="42"/>
      <c r="AJ464" s="42"/>
    </row>
    <row r="465" spans="1:36" x14ac:dyDescent="0.2">
      <c r="A465" s="111"/>
      <c r="B465" s="63" t="s">
        <v>3490</v>
      </c>
      <c r="C465" s="11"/>
      <c r="D465" s="74"/>
      <c r="E465" s="74"/>
      <c r="F465" s="74"/>
      <c r="G465" s="74"/>
      <c r="H465" s="74"/>
      <c r="I465" s="37"/>
      <c r="J465" s="37"/>
      <c r="K465" s="37"/>
      <c r="L465" s="37"/>
      <c r="M465" s="37"/>
      <c r="N465" s="62"/>
      <c r="O465" s="62"/>
      <c r="P465" s="62"/>
      <c r="Q465" s="62"/>
      <c r="R465" s="42"/>
      <c r="S465" s="42"/>
      <c r="T465" s="42"/>
      <c r="U465" s="42"/>
      <c r="V465" s="42"/>
      <c r="W465" s="42"/>
      <c r="X465" s="42"/>
      <c r="Y465" s="42"/>
      <c r="Z465" s="42"/>
      <c r="AA465" s="42"/>
      <c r="AB465" s="42"/>
      <c r="AC465" s="42"/>
      <c r="AD465" s="42"/>
      <c r="AE465" s="42"/>
      <c r="AF465" s="42"/>
      <c r="AG465" s="42"/>
      <c r="AH465" s="42"/>
      <c r="AI465" s="42"/>
      <c r="AJ465" s="42"/>
    </row>
    <row r="466" spans="1:36" x14ac:dyDescent="0.2">
      <c r="A466" s="11"/>
      <c r="B466" s="11" t="s">
        <v>3067</v>
      </c>
      <c r="C466" s="11"/>
      <c r="D466" s="11"/>
      <c r="E466" s="11"/>
      <c r="F466" s="11"/>
      <c r="G466" s="11"/>
      <c r="H466" s="11"/>
      <c r="I466" s="106" t="e">
        <f>MIN(I432,I468,I469,I470)</f>
        <v>#VALUE!</v>
      </c>
      <c r="J466" s="106" t="e">
        <f>MIN(J432,J468,J469,J470)</f>
        <v>#VALUE!</v>
      </c>
      <c r="K466" s="106" t="e">
        <f>MIN(K432,K468,K469,K470)</f>
        <v>#VALUE!</v>
      </c>
      <c r="L466" s="106" t="e">
        <f>MIN(L432,L468,L469,L470)</f>
        <v>#VALUE!</v>
      </c>
      <c r="M466" s="106" t="e">
        <f>MIN(M432,M468,M469,M470)</f>
        <v>#VALUE!</v>
      </c>
      <c r="N466" s="95"/>
      <c r="O466" s="62"/>
      <c r="P466" s="62"/>
      <c r="Q466" s="62"/>
      <c r="R466" s="42"/>
      <c r="S466" s="42"/>
      <c r="T466" s="42"/>
      <c r="U466" s="42"/>
      <c r="V466" s="42"/>
      <c r="W466" s="42"/>
      <c r="X466" s="42"/>
      <c r="Y466" s="42"/>
      <c r="Z466" s="42"/>
      <c r="AA466" s="42"/>
      <c r="AB466" s="42"/>
      <c r="AC466" s="42"/>
      <c r="AD466" s="42"/>
      <c r="AE466" s="42"/>
      <c r="AF466" s="42"/>
      <c r="AG466" s="42"/>
      <c r="AH466" s="42"/>
      <c r="AI466" s="42"/>
      <c r="AJ466" s="42"/>
    </row>
    <row r="467" spans="1:36" x14ac:dyDescent="0.2">
      <c r="A467" s="62"/>
      <c r="B467" s="27" t="s">
        <v>4156</v>
      </c>
      <c r="C467" s="27"/>
      <c r="D467" s="27"/>
      <c r="E467" s="27"/>
      <c r="F467" s="27"/>
      <c r="G467" s="27"/>
      <c r="H467" s="27"/>
      <c r="I467" s="106" t="e">
        <f>I432</f>
        <v>#VALUE!</v>
      </c>
      <c r="J467" s="106" t="e">
        <f>J432</f>
        <v>#VALUE!</v>
      </c>
      <c r="K467" s="106" t="e">
        <f>K432</f>
        <v>#VALUE!</v>
      </c>
      <c r="L467" s="106" t="e">
        <f>L432</f>
        <v>#VALUE!</v>
      </c>
      <c r="M467" s="106" t="e">
        <f>M432</f>
        <v>#VALUE!</v>
      </c>
      <c r="N467" s="95"/>
      <c r="O467" s="62"/>
      <c r="P467" s="62"/>
      <c r="Q467" s="62"/>
      <c r="R467" s="42"/>
      <c r="S467" s="42"/>
      <c r="T467" s="42"/>
      <c r="U467" s="42"/>
      <c r="V467" s="42"/>
      <c r="W467" s="42"/>
      <c r="X467" s="42"/>
      <c r="Y467" s="42"/>
      <c r="Z467" s="42"/>
      <c r="AA467" s="42"/>
      <c r="AB467" s="42"/>
      <c r="AC467" s="42"/>
      <c r="AD467" s="42"/>
      <c r="AE467" s="42"/>
      <c r="AF467" s="42"/>
      <c r="AG467" s="42"/>
      <c r="AH467" s="42"/>
      <c r="AI467" s="42"/>
      <c r="AJ467" s="42"/>
    </row>
    <row r="468" spans="1:36" x14ac:dyDescent="0.2">
      <c r="A468" s="62"/>
      <c r="B468" s="4375" t="s">
        <v>3998</v>
      </c>
      <c r="C468" s="4375"/>
      <c r="D468" s="4375"/>
      <c r="E468" s="4375"/>
      <c r="F468" s="4375"/>
      <c r="G468" s="4375"/>
      <c r="H468" s="62"/>
      <c r="I468" s="103" t="e">
        <f>I432*I434</f>
        <v>#VALUE!</v>
      </c>
      <c r="J468" s="103" t="e">
        <f>J432*J434</f>
        <v>#VALUE!</v>
      </c>
      <c r="K468" s="103" t="e">
        <f>K432*K434</f>
        <v>#VALUE!</v>
      </c>
      <c r="L468" s="103" t="e">
        <f>L432*L434</f>
        <v>#VALUE!</v>
      </c>
      <c r="M468" s="103" t="e">
        <f>M432*M434</f>
        <v>#VALUE!</v>
      </c>
      <c r="N468" s="95"/>
      <c r="O468" s="62"/>
      <c r="P468" s="62"/>
      <c r="Q468" s="62"/>
      <c r="R468" s="42"/>
      <c r="S468" s="42"/>
      <c r="T468" s="42"/>
      <c r="U468" s="42"/>
      <c r="V468" s="42"/>
      <c r="W468" s="42"/>
      <c r="X468" s="42"/>
      <c r="Y468" s="42"/>
      <c r="Z468" s="42"/>
      <c r="AA468" s="42"/>
      <c r="AB468" s="42"/>
      <c r="AC468" s="42"/>
      <c r="AD468" s="42"/>
      <c r="AE468" s="42"/>
      <c r="AF468" s="42"/>
      <c r="AG468" s="42"/>
      <c r="AH468" s="42"/>
      <c r="AI468" s="42"/>
      <c r="AJ468" s="42"/>
    </row>
    <row r="469" spans="1:36" x14ac:dyDescent="0.2">
      <c r="A469" s="70"/>
      <c r="B469" s="62" t="s">
        <v>120</v>
      </c>
      <c r="C469" s="113"/>
      <c r="D469" s="113"/>
      <c r="E469" s="113"/>
      <c r="F469" s="113"/>
      <c r="G469" s="113"/>
      <c r="H469" s="113"/>
      <c r="I469" s="103" t="e">
        <f>G288*(G336+(2.5-G336)*I420)*$B$554*I431*I458</f>
        <v>#VALUE!</v>
      </c>
      <c r="J469" s="103" t="e">
        <f>H288*(H336+(2.5-H336)*J420)*$B$554*J431*J458</f>
        <v>#VALUE!</v>
      </c>
      <c r="K469" s="103" t="e">
        <f>I288*(I336+(2.5-I336)*K420)*$B$554*K431*K458</f>
        <v>#VALUE!</v>
      </c>
      <c r="L469" s="103" t="e">
        <f>J288*(J336+(2.5-J336)*L420)*$B$554*L431*L458</f>
        <v>#VALUE!</v>
      </c>
      <c r="M469" s="103" t="e">
        <f>K288*(K336+(2.5-K336)*M420)*$B$554*M431*M458</f>
        <v>#VALUE!</v>
      </c>
      <c r="N469" s="95"/>
      <c r="O469" s="62"/>
      <c r="P469" s="62"/>
      <c r="Q469" s="62"/>
      <c r="R469" s="42"/>
      <c r="S469" s="42"/>
      <c r="T469" s="42"/>
      <c r="U469" s="42"/>
      <c r="V469" s="42"/>
      <c r="W469" s="42"/>
      <c r="X469" s="42"/>
      <c r="Y469" s="42"/>
      <c r="Z469" s="42"/>
      <c r="AA469" s="42"/>
      <c r="AB469" s="42"/>
      <c r="AC469" s="42"/>
      <c r="AD469" s="42"/>
      <c r="AE469" s="42"/>
      <c r="AF469" s="42"/>
      <c r="AG469" s="42"/>
      <c r="AH469" s="42"/>
      <c r="AI469" s="42"/>
      <c r="AJ469" s="42"/>
    </row>
    <row r="470" spans="1:36" x14ac:dyDescent="0.2">
      <c r="A470" s="70"/>
      <c r="B470" s="62" t="s">
        <v>2088</v>
      </c>
      <c r="C470" s="113"/>
      <c r="D470" s="113"/>
      <c r="E470" s="113"/>
      <c r="F470" s="113"/>
      <c r="G470" s="113"/>
      <c r="H470" s="113"/>
      <c r="I470" s="103" t="e">
        <f>IF(G267=1,$G$320,MIN($G$320,$G$389))</f>
        <v>#VALUE!</v>
      </c>
      <c r="J470" s="103" t="e">
        <f>IF(H267=1,$G$320,MIN($G$320,$G$389))</f>
        <v>#VALUE!</v>
      </c>
      <c r="K470" s="103" t="e">
        <f>IF(I267=1,$G$320,MIN($G$320,$G$389))</f>
        <v>#VALUE!</v>
      </c>
      <c r="L470" s="103" t="e">
        <f>IF(J267=1,$G$320,MIN($G$320,$G$389))</f>
        <v>#VALUE!</v>
      </c>
      <c r="M470" s="103" t="e">
        <f>IF(K267=1,$G$320,MIN($G$320,$G$389))</f>
        <v>#VALUE!</v>
      </c>
      <c r="N470" s="95"/>
      <c r="O470" s="62"/>
      <c r="P470" s="62"/>
      <c r="Q470" s="62"/>
      <c r="R470" s="42"/>
      <c r="S470" s="42"/>
      <c r="T470" s="42"/>
      <c r="U470" s="42"/>
      <c r="V470" s="42"/>
      <c r="W470" s="42"/>
      <c r="X470" s="42"/>
      <c r="Y470" s="42"/>
      <c r="Z470" s="42"/>
      <c r="AA470" s="42"/>
      <c r="AB470" s="42"/>
      <c r="AC470" s="42"/>
      <c r="AD470" s="42"/>
      <c r="AE470" s="42"/>
      <c r="AF470" s="42"/>
      <c r="AG470" s="42"/>
      <c r="AH470" s="42"/>
      <c r="AI470" s="42"/>
      <c r="AJ470" s="42"/>
    </row>
    <row r="471" spans="1:36" x14ac:dyDescent="0.2">
      <c r="A471" s="74"/>
      <c r="B471" s="74"/>
      <c r="C471" s="63"/>
      <c r="D471" s="74"/>
      <c r="E471" s="74"/>
      <c r="F471" s="74"/>
      <c r="G471" s="74"/>
      <c r="H471" s="74"/>
      <c r="I471" s="37"/>
      <c r="J471" s="37"/>
      <c r="K471" s="37"/>
      <c r="L471" s="37"/>
      <c r="M471" s="37"/>
      <c r="N471" s="62"/>
      <c r="O471" s="62"/>
      <c r="P471" s="62"/>
      <c r="Q471" s="62"/>
      <c r="R471" s="42"/>
      <c r="S471" s="42"/>
      <c r="T471" s="42"/>
      <c r="U471" s="42"/>
      <c r="V471" s="42"/>
      <c r="W471" s="42"/>
      <c r="X471" s="42"/>
      <c r="Y471" s="42"/>
      <c r="Z471" s="42"/>
      <c r="AA471" s="42"/>
      <c r="AB471" s="42"/>
      <c r="AC471" s="42"/>
      <c r="AD471" s="42"/>
      <c r="AE471" s="42"/>
      <c r="AF471" s="42"/>
      <c r="AG471" s="42"/>
      <c r="AH471" s="42"/>
      <c r="AI471" s="42"/>
      <c r="AJ471" s="42"/>
    </row>
    <row r="472" spans="1:36" x14ac:dyDescent="0.2">
      <c r="A472" s="11"/>
      <c r="B472" s="11"/>
      <c r="C472" s="11"/>
      <c r="D472" s="11"/>
      <c r="E472" s="11"/>
      <c r="F472" s="11"/>
      <c r="G472" s="11"/>
      <c r="H472" s="11"/>
      <c r="I472" s="11"/>
      <c r="J472" s="62"/>
      <c r="K472" s="62"/>
      <c r="L472" s="62"/>
      <c r="M472" s="62"/>
      <c r="N472" s="62"/>
      <c r="O472" s="62"/>
      <c r="P472" s="62"/>
      <c r="Q472" s="62"/>
      <c r="R472" s="42"/>
      <c r="S472" s="42"/>
      <c r="T472" s="42"/>
      <c r="U472" s="42"/>
      <c r="V472" s="42"/>
      <c r="W472" s="42"/>
      <c r="X472" s="42"/>
      <c r="Y472" s="42"/>
      <c r="Z472" s="42"/>
      <c r="AA472" s="42"/>
      <c r="AB472" s="42"/>
      <c r="AC472" s="42"/>
      <c r="AD472" s="42"/>
      <c r="AE472" s="42"/>
      <c r="AF472" s="42"/>
      <c r="AG472" s="42"/>
      <c r="AH472" s="42"/>
      <c r="AI472" s="42"/>
      <c r="AJ472" s="42"/>
    </row>
    <row r="473" spans="1:36" ht="15.75" x14ac:dyDescent="0.25">
      <c r="A473" s="11"/>
      <c r="B473" s="66" t="s">
        <v>2464</v>
      </c>
      <c r="C473" s="66"/>
      <c r="D473" s="72"/>
      <c r="E473" s="74"/>
      <c r="F473" s="72"/>
      <c r="G473" s="72"/>
      <c r="H473" s="72"/>
      <c r="I473" s="94"/>
      <c r="J473" s="94"/>
      <c r="K473" s="94"/>
      <c r="L473" s="94"/>
      <c r="M473" s="94"/>
      <c r="N473" s="62"/>
      <c r="O473" s="62"/>
      <c r="P473" s="62"/>
      <c r="Q473" s="11"/>
      <c r="R473" s="42"/>
      <c r="S473" s="42"/>
      <c r="T473" s="42"/>
      <c r="U473" s="42"/>
      <c r="V473" s="42"/>
      <c r="W473" s="42"/>
      <c r="X473" s="42"/>
      <c r="Y473" s="42"/>
      <c r="Z473" s="42"/>
      <c r="AA473" s="42"/>
      <c r="AB473" s="42"/>
      <c r="AC473" s="42"/>
      <c r="AD473" s="42"/>
      <c r="AE473" s="42"/>
      <c r="AF473" s="42"/>
      <c r="AG473" s="42"/>
      <c r="AH473" s="42"/>
      <c r="AI473" s="42"/>
      <c r="AJ473" s="42"/>
    </row>
    <row r="474" spans="1:36" ht="15.75" x14ac:dyDescent="0.25">
      <c r="A474" s="66" t="s">
        <v>1961</v>
      </c>
      <c r="B474" s="114"/>
      <c r="C474" s="114"/>
      <c r="D474" s="114"/>
      <c r="E474" s="114"/>
      <c r="F474" s="114"/>
      <c r="G474" s="114"/>
      <c r="H474" s="114"/>
      <c r="I474" s="115"/>
      <c r="J474" s="115"/>
      <c r="K474" s="115"/>
      <c r="L474" s="115"/>
      <c r="M474" s="115"/>
      <c r="N474" s="62"/>
      <c r="O474" s="62"/>
      <c r="P474" s="62"/>
      <c r="Q474" s="62"/>
      <c r="R474" s="42"/>
      <c r="S474" s="42"/>
      <c r="T474" s="42"/>
      <c r="U474" s="42"/>
      <c r="V474" s="42"/>
      <c r="W474" s="42"/>
      <c r="X474" s="42"/>
      <c r="Y474" s="42"/>
      <c r="Z474" s="42"/>
      <c r="AA474" s="42"/>
      <c r="AB474" s="42"/>
      <c r="AC474" s="42"/>
      <c r="AD474" s="42"/>
      <c r="AE474" s="42"/>
      <c r="AF474" s="42"/>
      <c r="AG474" s="42"/>
      <c r="AH474" s="42"/>
      <c r="AI474" s="42"/>
      <c r="AJ474" s="42"/>
    </row>
    <row r="475" spans="1:36" ht="15.75" x14ac:dyDescent="0.25">
      <c r="A475" s="74" t="s">
        <v>2944</v>
      </c>
      <c r="B475" s="116"/>
      <c r="C475" s="117"/>
      <c r="D475" s="114"/>
      <c r="E475" s="114"/>
      <c r="F475" s="114"/>
      <c r="G475" s="114"/>
      <c r="H475" s="114"/>
      <c r="I475" s="115"/>
      <c r="J475" s="115"/>
      <c r="K475" s="115"/>
      <c r="L475" s="115"/>
      <c r="M475" s="115"/>
      <c r="N475" s="62"/>
      <c r="O475" s="62"/>
      <c r="P475" s="62"/>
      <c r="Q475" s="62"/>
      <c r="R475" s="42"/>
      <c r="S475" s="42"/>
      <c r="T475" s="42"/>
      <c r="U475" s="42"/>
      <c r="V475" s="42"/>
      <c r="W475" s="42"/>
      <c r="X475" s="42"/>
      <c r="Y475" s="42"/>
      <c r="Z475" s="42"/>
      <c r="AA475" s="42"/>
      <c r="AB475" s="42"/>
      <c r="AC475" s="42"/>
      <c r="AD475" s="42"/>
      <c r="AE475" s="42"/>
      <c r="AF475" s="42"/>
      <c r="AG475" s="42"/>
      <c r="AH475" s="42"/>
      <c r="AI475" s="42"/>
      <c r="AJ475" s="42"/>
    </row>
    <row r="476" spans="1:36" x14ac:dyDescent="0.2">
      <c r="A476" s="11"/>
      <c r="B476" s="4440" t="s">
        <v>2579</v>
      </c>
      <c r="C476" s="4375"/>
      <c r="D476" s="4375"/>
      <c r="E476" s="4375"/>
      <c r="F476" s="4375"/>
      <c r="G476" s="4375"/>
      <c r="H476" s="62"/>
      <c r="I476" s="16">
        <f>0.05*E65</f>
        <v>5</v>
      </c>
      <c r="J476" s="16">
        <f>0.05*F65</f>
        <v>7.5</v>
      </c>
      <c r="K476" s="16">
        <f>0.05*G65</f>
        <v>10</v>
      </c>
      <c r="L476" s="16">
        <f>0.05*H65</f>
        <v>12.5</v>
      </c>
      <c r="M476" s="16">
        <f>0.05*I65</f>
        <v>15</v>
      </c>
      <c r="N476" s="62"/>
      <c r="O476" s="62"/>
      <c r="P476" s="62"/>
      <c r="Q476" s="62"/>
      <c r="R476" s="42"/>
      <c r="S476" s="42"/>
      <c r="T476" s="42"/>
      <c r="U476" s="42"/>
      <c r="V476" s="42"/>
      <c r="W476" s="42"/>
      <c r="X476" s="42"/>
      <c r="Y476" s="42"/>
      <c r="Z476" s="42"/>
      <c r="AA476" s="42"/>
      <c r="AB476" s="42"/>
      <c r="AC476" s="42"/>
      <c r="AD476" s="42"/>
      <c r="AE476" s="42"/>
      <c r="AF476" s="42"/>
      <c r="AG476" s="42"/>
      <c r="AH476" s="42"/>
      <c r="AI476" s="42"/>
      <c r="AJ476" s="42"/>
    </row>
    <row r="477" spans="1:36" x14ac:dyDescent="0.2">
      <c r="A477" s="11"/>
      <c r="B477" s="4375" t="s">
        <v>1004</v>
      </c>
      <c r="C477" s="4375"/>
      <c r="D477" s="4375"/>
      <c r="E477" s="4375"/>
      <c r="F477" s="4375"/>
      <c r="G477" s="4375"/>
      <c r="H477" s="62"/>
      <c r="I477" s="37">
        <f>IF(G267=1,(0.0931*E65-0.0004),0)</f>
        <v>0</v>
      </c>
      <c r="J477" s="37">
        <f>IF(H267=1,(0.0931*F65-0.0004),0)</f>
        <v>0</v>
      </c>
      <c r="K477" s="37">
        <f>IF(I267=1,(0.0931*G65-0.0004),0)</f>
        <v>0</v>
      </c>
      <c r="L477" s="37">
        <f>IF(J267=1,(0.0931*H65-0.0004),0)</f>
        <v>0</v>
      </c>
      <c r="M477" s="37">
        <f>IF(K267=1,(0.0931*I65-0.0004),0)</f>
        <v>0</v>
      </c>
      <c r="N477" s="62"/>
      <c r="O477" s="62"/>
      <c r="P477" s="62"/>
      <c r="Q477" s="62"/>
      <c r="R477" s="42"/>
      <c r="S477" s="42"/>
      <c r="T477" s="42"/>
      <c r="U477" s="42"/>
      <c r="V477" s="42"/>
      <c r="W477" s="42"/>
      <c r="X477" s="42"/>
      <c r="Y477" s="42"/>
      <c r="Z477" s="42"/>
      <c r="AA477" s="42"/>
      <c r="AB477" s="42"/>
      <c r="AC477" s="42"/>
      <c r="AD477" s="42"/>
      <c r="AE477" s="42"/>
      <c r="AF477" s="42"/>
      <c r="AG477" s="42"/>
      <c r="AH477" s="42"/>
      <c r="AI477" s="42"/>
      <c r="AJ477" s="42"/>
    </row>
    <row r="478" spans="1:36" x14ac:dyDescent="0.2">
      <c r="A478" s="11"/>
      <c r="B478" s="62" t="s">
        <v>1034</v>
      </c>
      <c r="C478" s="62"/>
      <c r="D478" s="62"/>
      <c r="E478" s="62"/>
      <c r="F478" s="62"/>
      <c r="G478" s="62"/>
      <c r="H478" s="62"/>
      <c r="I478" s="37">
        <f>IF(G238=1,36,0)</f>
        <v>0</v>
      </c>
      <c r="J478" s="37">
        <f>IF(H238=1,36,0)</f>
        <v>0</v>
      </c>
      <c r="K478" s="37">
        <f>IF(I238=1,36,0)</f>
        <v>0</v>
      </c>
      <c r="L478" s="37">
        <f>IF(J238=1,36,0)</f>
        <v>0</v>
      </c>
      <c r="M478" s="37">
        <f>IF(K238=1,36,0)</f>
        <v>0</v>
      </c>
      <c r="N478" s="62"/>
      <c r="O478" s="62"/>
      <c r="P478" s="62"/>
      <c r="Q478" s="62"/>
      <c r="R478" s="42"/>
      <c r="S478" s="42"/>
      <c r="T478" s="42"/>
      <c r="U478" s="42"/>
      <c r="V478" s="42"/>
      <c r="W478" s="42"/>
      <c r="X478" s="42"/>
      <c r="Y478" s="42"/>
      <c r="Z478" s="42"/>
      <c r="AA478" s="42"/>
      <c r="AB478" s="42"/>
      <c r="AC478" s="42"/>
      <c r="AD478" s="42"/>
      <c r="AE478" s="42"/>
      <c r="AF478" s="42"/>
      <c r="AG478" s="42"/>
      <c r="AH478" s="42"/>
      <c r="AI478" s="42"/>
      <c r="AJ478" s="42"/>
    </row>
    <row r="479" spans="1:36" x14ac:dyDescent="0.2">
      <c r="A479" s="11"/>
      <c r="B479" s="4375" t="s">
        <v>1121</v>
      </c>
      <c r="C479" s="4375"/>
      <c r="D479" s="4375"/>
      <c r="E479" s="4375"/>
      <c r="F479" s="4375"/>
      <c r="G479" s="4375"/>
      <c r="H479" s="62"/>
      <c r="I479" s="36">
        <f>IF(AND(G227=0,E65&lt;=200),0.196*E65,IF(AND(G227=0,E65&gt;200),0.146*E65,IF(AND(G227=1,E65&lt;=200),0.3*E65,IF(AND(G227=1,E65&gt;200),0.295*E65))))</f>
        <v>19.600000000000001</v>
      </c>
      <c r="J479" s="36">
        <f>IF(AND(H227=0,F65&lt;=200),0.196*F65,IF(AND(H227=0,F65&gt;200),0.146*F65,IF(AND(H227=1,F65&lt;=200),0.3*F65,IF(AND(H227=1,F65&gt;200),0.295*F65))))</f>
        <v>29.400000000000002</v>
      </c>
      <c r="K479" s="36">
        <f>IF(AND(I227=0,G65&lt;=200),0.196*G65,IF(AND(I227=0,G65&gt;200),0.146*G65,IF(AND(I227=1,G65&lt;=200),0.3*G65,IF(AND(I227=1,G65&gt;200),0.295*G65))))</f>
        <v>39.200000000000003</v>
      </c>
      <c r="L479" s="36">
        <f>IF(AND(J227=0,H65&lt;=200),0.196*H65,IF(AND(J227=0,H65&gt;200),0.146*H65,IF(AND(J227=1,H65&lt;=200),0.3*H65,IF(AND(J227=1,H65&gt;200),0.295*H65))))</f>
        <v>36.5</v>
      </c>
      <c r="M479" s="36">
        <f>IF(AND(K227=0,I65&lt;=200),0.196*I65,IF(AND(K227=0,I65&gt;200),0.146*I65,IF(AND(K227=1,I65&lt;=200),0.3*I65,IF(AND(K227=1,I65&gt;200),0.295*I65))))</f>
        <v>43.8</v>
      </c>
      <c r="N479" s="62"/>
      <c r="O479" s="62"/>
      <c r="P479" s="62"/>
      <c r="Q479" s="62"/>
      <c r="R479" s="42"/>
      <c r="S479" s="42"/>
      <c r="T479" s="42"/>
      <c r="U479" s="42"/>
      <c r="V479" s="42"/>
      <c r="W479" s="42"/>
      <c r="X479" s="42"/>
      <c r="Y479" s="42"/>
      <c r="Z479" s="42"/>
      <c r="AA479" s="42"/>
      <c r="AB479" s="42"/>
      <c r="AC479" s="42"/>
      <c r="AD479" s="42"/>
      <c r="AE479" s="42"/>
      <c r="AF479" s="42"/>
      <c r="AG479" s="42"/>
      <c r="AH479" s="42"/>
      <c r="AI479" s="42"/>
      <c r="AJ479" s="42"/>
    </row>
    <row r="480" spans="1:36" x14ac:dyDescent="0.2">
      <c r="A480" s="11"/>
      <c r="B480" s="4375" t="s">
        <v>1122</v>
      </c>
      <c r="C480" s="4375"/>
      <c r="D480" s="4375"/>
      <c r="E480" s="4375"/>
      <c r="F480" s="4375"/>
      <c r="G480" s="4375"/>
      <c r="H480" s="62"/>
      <c r="I480" s="36">
        <f>G228</f>
        <v>20</v>
      </c>
      <c r="J480" s="36">
        <f>H228</f>
        <v>20</v>
      </c>
      <c r="K480" s="36">
        <f>I228</f>
        <v>20</v>
      </c>
      <c r="L480" s="36">
        <f>J228</f>
        <v>20</v>
      </c>
      <c r="M480" s="36">
        <f>K228</f>
        <v>20</v>
      </c>
      <c r="N480" s="62"/>
      <c r="O480" s="62"/>
      <c r="P480" s="62"/>
      <c r="Q480" s="62"/>
      <c r="R480" s="42"/>
      <c r="S480" s="42"/>
      <c r="T480" s="42"/>
      <c r="U480" s="42"/>
      <c r="V480" s="42"/>
      <c r="W480" s="42"/>
      <c r="X480" s="42"/>
      <c r="Y480" s="42"/>
      <c r="Z480" s="42"/>
      <c r="AA480" s="42"/>
      <c r="AB480" s="42"/>
      <c r="AC480" s="42"/>
      <c r="AD480" s="42"/>
      <c r="AE480" s="42"/>
      <c r="AF480" s="42"/>
      <c r="AG480" s="42"/>
      <c r="AH480" s="42"/>
      <c r="AI480" s="42"/>
      <c r="AJ480" s="42"/>
    </row>
    <row r="481" spans="1:36" x14ac:dyDescent="0.2">
      <c r="A481" s="11"/>
      <c r="B481" s="62" t="s">
        <v>2430</v>
      </c>
      <c r="C481" s="62"/>
      <c r="D481" s="62"/>
      <c r="E481" s="62"/>
      <c r="F481" s="62"/>
      <c r="G481" s="62"/>
      <c r="H481" s="62"/>
      <c r="I481" s="37" t="e">
        <f>IF(G227=0,(E65-G236-G237)/(0.85*I428),0)</f>
        <v>#VALUE!</v>
      </c>
      <c r="J481" s="37" t="e">
        <f>IF(H227=0,(F65-H236-H237)/(0.85*J428),0)</f>
        <v>#VALUE!</v>
      </c>
      <c r="K481" s="37" t="e">
        <f>IF(I227=0,(G65-I236-I237)/(0.85*K428),0)</f>
        <v>#VALUE!</v>
      </c>
      <c r="L481" s="37" t="e">
        <f>IF(J227=0,(H65-J236-J237)/(0.85*L428),0)</f>
        <v>#VALUE!</v>
      </c>
      <c r="M481" s="37" t="e">
        <f>IF(K227=0,(I65-K236-K237)/(0.85*M428),0)</f>
        <v>#VALUE!</v>
      </c>
      <c r="N481" s="62"/>
      <c r="O481" s="62"/>
      <c r="P481" s="62"/>
      <c r="Q481" s="62"/>
      <c r="R481" s="42"/>
      <c r="S481" s="42"/>
      <c r="T481" s="42"/>
      <c r="U481" s="42"/>
      <c r="V481" s="42"/>
      <c r="W481" s="42"/>
      <c r="X481" s="42"/>
      <c r="Y481" s="42"/>
      <c r="Z481" s="42"/>
      <c r="AA481" s="42"/>
      <c r="AB481" s="42"/>
      <c r="AC481" s="42"/>
      <c r="AD481" s="42"/>
      <c r="AE481" s="42"/>
      <c r="AF481" s="42"/>
      <c r="AG481" s="42"/>
      <c r="AH481" s="42"/>
      <c r="AI481" s="42"/>
      <c r="AJ481" s="42"/>
    </row>
    <row r="482" spans="1:36" x14ac:dyDescent="0.2">
      <c r="A482" s="11"/>
      <c r="B482" s="4375" t="s">
        <v>2580</v>
      </c>
      <c r="C482" s="4375"/>
      <c r="D482" s="4375"/>
      <c r="E482" s="4375"/>
      <c r="F482" s="4375"/>
      <c r="G482" s="4375"/>
      <c r="H482" s="62"/>
      <c r="I482" s="37">
        <f>IF(G260=1,(((E65-G236-G237)/I470)+I479),0)</f>
        <v>0</v>
      </c>
      <c r="J482" s="37">
        <f>IF(H260=1,(((F65-H236-H237)/J470)+J479),0)</f>
        <v>0</v>
      </c>
      <c r="K482" s="37">
        <f>IF(I260=1,(((G65-I236-I237)/K470)+K479),0)</f>
        <v>0</v>
      </c>
      <c r="L482" s="37">
        <f>IF(J260=1,(((H65-J236-J237)/L470)+L479),0)</f>
        <v>0</v>
      </c>
      <c r="M482" s="37">
        <f>IF(K260=1,(((I65-K236-K237)/M470)+M479),0)</f>
        <v>0</v>
      </c>
      <c r="N482" s="62"/>
      <c r="O482" s="62"/>
      <c r="P482" s="62"/>
      <c r="Q482" s="62"/>
      <c r="R482" s="42"/>
      <c r="S482" s="42"/>
      <c r="T482" s="42"/>
      <c r="U482" s="42"/>
      <c r="V482" s="42"/>
      <c r="W482" s="42"/>
      <c r="X482" s="42"/>
      <c r="Y482" s="42"/>
      <c r="Z482" s="42"/>
      <c r="AA482" s="42"/>
      <c r="AB482" s="42"/>
      <c r="AC482" s="42"/>
      <c r="AD482" s="42"/>
      <c r="AE482" s="42"/>
      <c r="AF482" s="42"/>
      <c r="AG482" s="42"/>
      <c r="AH482" s="42"/>
      <c r="AI482" s="42"/>
      <c r="AJ482" s="42"/>
    </row>
    <row r="483" spans="1:36" x14ac:dyDescent="0.2">
      <c r="A483" s="11"/>
      <c r="B483" s="62" t="s">
        <v>2595</v>
      </c>
      <c r="C483" s="62"/>
      <c r="D483" s="62"/>
      <c r="E483" s="62"/>
      <c r="F483" s="62"/>
      <c r="G483" s="62"/>
      <c r="H483" s="62"/>
      <c r="I483" s="118" t="e">
        <f>I476+I477+I478+I479+I481+I482</f>
        <v>#VALUE!</v>
      </c>
      <c r="J483" s="118" t="e">
        <f>J476+J477+J478+J479+J481+J482</f>
        <v>#VALUE!</v>
      </c>
      <c r="K483" s="118" t="e">
        <f>K476+K477+K478+K479+K481+K482</f>
        <v>#VALUE!</v>
      </c>
      <c r="L483" s="118" t="e">
        <f>L476+L477+L478+L479+L481+L482</f>
        <v>#VALUE!</v>
      </c>
      <c r="M483" s="118" t="e">
        <f>M476+M477+M478+M479+M481+M482</f>
        <v>#VALUE!</v>
      </c>
      <c r="N483" s="62"/>
      <c r="O483" s="62"/>
      <c r="P483" s="454"/>
      <c r="Q483" s="62"/>
      <c r="R483" s="42"/>
      <c r="S483" s="42"/>
      <c r="T483" s="42"/>
      <c r="U483" s="42"/>
      <c r="V483" s="42"/>
      <c r="W483" s="42"/>
      <c r="X483" s="42"/>
      <c r="Y483" s="42"/>
      <c r="Z483" s="42"/>
      <c r="AA483" s="42"/>
      <c r="AB483" s="42"/>
      <c r="AC483" s="42"/>
      <c r="AD483" s="42"/>
      <c r="AE483" s="42"/>
      <c r="AF483" s="42"/>
      <c r="AG483" s="42"/>
      <c r="AH483" s="42"/>
      <c r="AI483" s="42"/>
      <c r="AJ483" s="42"/>
    </row>
    <row r="484" spans="1:36" x14ac:dyDescent="0.2">
      <c r="A484" s="11"/>
      <c r="B484" s="62" t="s">
        <v>4259</v>
      </c>
      <c r="C484" s="62"/>
      <c r="D484" s="62"/>
      <c r="E484" s="62"/>
      <c r="F484" s="62"/>
      <c r="G484" s="62"/>
      <c r="H484" s="62"/>
      <c r="I484" s="118" t="e">
        <f>I476+I477+I478+I480+I481+I482</f>
        <v>#VALUE!</v>
      </c>
      <c r="J484" s="118" t="e">
        <f>J476+J477+J478+J480+J481+J482</f>
        <v>#VALUE!</v>
      </c>
      <c r="K484" s="118" t="e">
        <f>K476+K477+K478+K480+K481+K482</f>
        <v>#VALUE!</v>
      </c>
      <c r="L484" s="118" t="e">
        <f>L476+L477+L478+L480+L481+L482</f>
        <v>#VALUE!</v>
      </c>
      <c r="M484" s="118" t="e">
        <f>M476+M477+M478+M480+M481+M482</f>
        <v>#VALUE!</v>
      </c>
      <c r="N484" s="62"/>
      <c r="O484" s="62"/>
      <c r="P484" s="454"/>
      <c r="Q484" s="62"/>
      <c r="R484" s="42"/>
      <c r="S484" s="42"/>
      <c r="T484" s="42"/>
      <c r="U484" s="42"/>
      <c r="V484" s="42"/>
      <c r="W484" s="42"/>
      <c r="X484" s="42"/>
      <c r="Y484" s="42"/>
      <c r="Z484" s="42"/>
      <c r="AA484" s="42"/>
      <c r="AB484" s="42"/>
      <c r="AC484" s="42"/>
      <c r="AD484" s="42"/>
      <c r="AE484" s="42"/>
      <c r="AF484" s="42"/>
      <c r="AG484" s="42"/>
      <c r="AH484" s="42"/>
      <c r="AI484" s="42"/>
      <c r="AJ484" s="42"/>
    </row>
    <row r="485" spans="1:36" x14ac:dyDescent="0.2">
      <c r="A485" s="11"/>
      <c r="B485" s="119" t="s">
        <v>2876</v>
      </c>
      <c r="C485" s="119"/>
      <c r="D485" s="119"/>
      <c r="E485" s="119"/>
      <c r="F485" s="119"/>
      <c r="G485" s="119"/>
      <c r="H485" s="119"/>
      <c r="I485" s="118" t="e">
        <f>IF(G262=1,I483,I484)</f>
        <v>#VALUE!</v>
      </c>
      <c r="J485" s="118" t="e">
        <f>IF(H262=1,J483,J484)</f>
        <v>#VALUE!</v>
      </c>
      <c r="K485" s="118" t="e">
        <f>IF(I262=1,K483,K484)</f>
        <v>#VALUE!</v>
      </c>
      <c r="L485" s="118" t="e">
        <f>IF(J262=1,L483,L484)</f>
        <v>#VALUE!</v>
      </c>
      <c r="M485" s="118" t="e">
        <f>IF(K262=1,M483,M484)</f>
        <v>#VALUE!</v>
      </c>
      <c r="N485" s="62"/>
      <c r="O485" s="62"/>
      <c r="P485" s="454"/>
      <c r="Q485" s="62"/>
      <c r="R485" s="42"/>
      <c r="S485" s="42"/>
      <c r="T485" s="42"/>
      <c r="U485" s="42"/>
      <c r="V485" s="42"/>
      <c r="W485" s="42"/>
      <c r="X485" s="42"/>
      <c r="Y485" s="42"/>
      <c r="Z485" s="42"/>
      <c r="AA485" s="42"/>
      <c r="AB485" s="42"/>
      <c r="AC485" s="42"/>
      <c r="AD485" s="42"/>
      <c r="AE485" s="42"/>
      <c r="AF485" s="42"/>
      <c r="AG485" s="42"/>
      <c r="AH485" s="42"/>
      <c r="AI485" s="42"/>
      <c r="AJ485" s="42"/>
    </row>
    <row r="486" spans="1:36" ht="15" x14ac:dyDescent="0.2">
      <c r="A486" s="11"/>
      <c r="B486" s="102" t="s">
        <v>5454</v>
      </c>
      <c r="C486" s="62"/>
      <c r="D486" s="62"/>
      <c r="E486" s="62"/>
      <c r="F486" s="62"/>
      <c r="G486" s="62"/>
      <c r="H486" s="62"/>
      <c r="I486" s="118"/>
      <c r="J486" s="118"/>
      <c r="K486" s="118"/>
      <c r="L486" s="118"/>
      <c r="M486" s="118"/>
      <c r="N486" s="62"/>
      <c r="O486" s="62"/>
      <c r="P486" s="454"/>
      <c r="Q486" s="62"/>
      <c r="R486" s="42"/>
      <c r="S486" s="42"/>
      <c r="T486" s="42"/>
      <c r="U486" s="42"/>
      <c r="V486" s="42"/>
      <c r="W486" s="42"/>
      <c r="X486" s="42"/>
      <c r="Y486" s="42"/>
      <c r="Z486" s="42"/>
      <c r="AA486" s="42"/>
      <c r="AB486" s="42"/>
      <c r="AC486" s="42"/>
      <c r="AD486" s="42"/>
      <c r="AE486" s="42"/>
      <c r="AF486" s="42"/>
      <c r="AG486" s="42"/>
      <c r="AH486" s="42"/>
      <c r="AI486" s="42"/>
      <c r="AJ486" s="42"/>
    </row>
    <row r="487" spans="1:36" x14ac:dyDescent="0.2">
      <c r="A487" s="11"/>
      <c r="B487" s="25" t="s">
        <v>2945</v>
      </c>
      <c r="C487" s="11"/>
      <c r="D487" s="11"/>
      <c r="E487" s="11"/>
      <c r="F487" s="11"/>
      <c r="G487" s="11"/>
      <c r="H487" s="11"/>
      <c r="I487" s="15"/>
      <c r="J487" s="15"/>
      <c r="K487" s="15"/>
      <c r="L487" s="15"/>
      <c r="M487" s="15"/>
      <c r="N487" s="62"/>
      <c r="O487" s="62"/>
      <c r="P487" s="454"/>
      <c r="Q487" s="62"/>
      <c r="R487" s="42"/>
      <c r="S487" s="42"/>
      <c r="T487" s="42"/>
      <c r="U487" s="42"/>
      <c r="V487" s="42"/>
      <c r="W487" s="42"/>
      <c r="X487" s="42"/>
      <c r="Y487" s="42"/>
      <c r="Z487" s="42"/>
      <c r="AA487" s="42"/>
      <c r="AB487" s="42"/>
      <c r="AC487" s="42"/>
      <c r="AD487" s="42"/>
      <c r="AE487" s="42"/>
      <c r="AF487" s="42"/>
      <c r="AG487" s="42"/>
      <c r="AH487" s="42"/>
      <c r="AI487" s="42"/>
      <c r="AJ487" s="42"/>
    </row>
    <row r="488" spans="1:36" x14ac:dyDescent="0.2">
      <c r="A488" s="11"/>
      <c r="B488" s="4460" t="s">
        <v>4260</v>
      </c>
      <c r="C488" s="4375"/>
      <c r="D488" s="4375"/>
      <c r="E488" s="4375"/>
      <c r="F488" s="4375"/>
      <c r="G488" s="4375"/>
      <c r="H488" s="11"/>
      <c r="I488" s="118" t="e">
        <f>IF(G285=1,0.9*$F$559,IF(G285=2,1/(0.6*(1/$F$559-1)+1),$F$559))</f>
        <v>#VALUE!</v>
      </c>
      <c r="J488" s="118" t="e">
        <f>IF(H285=1,0.9*$F$559,IF(H285=2,1/(0.6*(1/$F$559-1)+1),$F$559))</f>
        <v>#VALUE!</v>
      </c>
      <c r="K488" s="118" t="e">
        <f>IF(I285=1,0.9*$F$559,IF(I285=2,1/(0.6*(1/$F$559-1)+1),$F$559))</f>
        <v>#VALUE!</v>
      </c>
      <c r="L488" s="118" t="e">
        <f>IF(J285=1,0.9*$F$559,IF(J285=2,1/(0.6*(1/$F$559-1)+1),$F$559))</f>
        <v>#VALUE!</v>
      </c>
      <c r="M488" s="118" t="e">
        <f>IF(K285=1,0.9*$F$559,IF(K285=2,1/(0.6*(1/$F$559-1)+1),$F$559))</f>
        <v>#VALUE!</v>
      </c>
      <c r="N488" s="62"/>
      <c r="O488" s="62"/>
      <c r="P488" s="454"/>
      <c r="Q488" s="62"/>
      <c r="R488" s="42"/>
      <c r="S488" s="42"/>
      <c r="T488" s="42"/>
      <c r="U488" s="42"/>
      <c r="V488" s="42"/>
      <c r="W488" s="42"/>
      <c r="X488" s="42"/>
      <c r="Y488" s="42"/>
      <c r="Z488" s="42"/>
      <c r="AA488" s="42"/>
      <c r="AB488" s="42"/>
      <c r="AC488" s="42"/>
      <c r="AD488" s="42"/>
      <c r="AE488" s="42"/>
      <c r="AF488" s="42"/>
      <c r="AG488" s="42"/>
      <c r="AH488" s="42"/>
      <c r="AI488" s="42"/>
      <c r="AJ488" s="42"/>
    </row>
    <row r="489" spans="1:36" x14ac:dyDescent="0.2">
      <c r="A489" s="11"/>
      <c r="B489" s="25" t="s">
        <v>2946</v>
      </c>
      <c r="C489" s="59"/>
      <c r="D489" s="59"/>
      <c r="E489" s="59"/>
      <c r="F489" s="59"/>
      <c r="G489" s="59"/>
      <c r="H489" s="11"/>
      <c r="I489" s="15"/>
      <c r="J489" s="15"/>
      <c r="K489" s="15"/>
      <c r="L489" s="15"/>
      <c r="M489" s="15"/>
      <c r="N489" s="62"/>
      <c r="O489" s="62"/>
      <c r="P489" s="454"/>
      <c r="Q489" s="62"/>
      <c r="R489" s="42"/>
      <c r="S489" s="42"/>
      <c r="T489" s="42"/>
      <c r="U489" s="42"/>
      <c r="V489" s="42"/>
      <c r="W489" s="42"/>
      <c r="X489" s="42"/>
      <c r="Y489" s="42"/>
      <c r="Z489" s="42"/>
      <c r="AA489" s="42"/>
      <c r="AB489" s="42"/>
      <c r="AC489" s="42"/>
      <c r="AD489" s="42"/>
      <c r="AE489" s="42"/>
      <c r="AF489" s="42"/>
      <c r="AG489" s="42"/>
      <c r="AH489" s="42"/>
      <c r="AI489" s="42"/>
      <c r="AJ489" s="42"/>
    </row>
    <row r="490" spans="1:36" x14ac:dyDescent="0.2">
      <c r="A490" s="11"/>
      <c r="B490" s="11"/>
      <c r="C490" s="11" t="s">
        <v>2869</v>
      </c>
      <c r="D490" s="11"/>
      <c r="E490" s="11"/>
      <c r="F490" s="11"/>
      <c r="G490" s="11"/>
      <c r="H490" s="11"/>
      <c r="I490" s="82">
        <f>IF($G$297&gt;0,IF($G$284=1,1/(1+0.6*(1/$G$300-1)),IF($G$284=2,0.9*$G$300,IF($G$284=3,$G$300))),1)</f>
        <v>0.86</v>
      </c>
      <c r="J490" s="82">
        <f>IF($G$297&gt;0,IF($G$284=1,1/(1+0.6*(1/$G$300-1)),IF($G$284=2,0.9*$G$300,IF($G$284=3,$G$300))),1)</f>
        <v>0.86</v>
      </c>
      <c r="K490" s="82">
        <f>IF($G$297&gt;0,IF($G$284=1,1/(1+0.6*(1/$G$300-1)),IF($G$284=2,0.9*$G$300,IF($G$284=3,$G$300))),1)</f>
        <v>0.86</v>
      </c>
      <c r="L490" s="82">
        <f>IF($G$297&gt;0,IF($G$284=1,1/(1+0.6*(1/$G$300-1)),IF($G$284=2,0.9*$G$300,IF($G$284=3,$G$300))),1)</f>
        <v>0.86</v>
      </c>
      <c r="M490" s="82">
        <f>IF($G$297&gt;0,IF($G$284=1,1/(1+0.6*(1/$G$300-1)),IF($G$284=2,0.9*$G$300,IF($G$284=3,$G$300))),1)</f>
        <v>0.86</v>
      </c>
      <c r="N490" s="62"/>
      <c r="O490" s="62"/>
      <c r="P490" s="454"/>
      <c r="Q490" s="62"/>
      <c r="R490" s="42"/>
      <c r="S490" s="42"/>
      <c r="T490" s="42"/>
      <c r="U490" s="42"/>
      <c r="V490" s="42"/>
      <c r="W490" s="42"/>
      <c r="X490" s="42"/>
      <c r="Y490" s="42"/>
      <c r="Z490" s="42"/>
      <c r="AA490" s="42"/>
      <c r="AB490" s="42"/>
      <c r="AC490" s="42"/>
      <c r="AD490" s="42"/>
      <c r="AE490" s="42"/>
      <c r="AF490" s="42"/>
      <c r="AG490" s="42"/>
      <c r="AH490" s="42"/>
      <c r="AI490" s="42"/>
      <c r="AJ490" s="42"/>
    </row>
    <row r="491" spans="1:36" x14ac:dyDescent="0.2">
      <c r="A491" s="11"/>
      <c r="B491" s="11"/>
      <c r="C491" s="11" t="s">
        <v>2870</v>
      </c>
      <c r="D491" s="11"/>
      <c r="E491" s="11"/>
      <c r="F491" s="11"/>
      <c r="G491" s="11"/>
      <c r="H491" s="11"/>
      <c r="I491" s="82" t="e">
        <f>IF($G$303="",1,IF($G$283=1,1/(1+0.6*(1/$G$306-1)),IF($G$283=2,0.9*$G$306,IF($G$283=3,$G$306))))</f>
        <v>#VALUE!</v>
      </c>
      <c r="J491" s="82" t="e">
        <f>IF($G$303="",1,IF($G$283=1,1/(1+0.6*(1/$G$306-1)),IF($G$283=2,0.9*$G$306,IF($G$283=3,$G$306))))</f>
        <v>#VALUE!</v>
      </c>
      <c r="K491" s="82" t="e">
        <f>IF($G$303="",1,IF($G$283=1,1/(1+0.6*(1/$G$306-1)),IF($G$283=2,0.9*$G$306,IF($G$283=3,$G$306))))</f>
        <v>#VALUE!</v>
      </c>
      <c r="L491" s="82" t="e">
        <f>IF($G$303="",1,IF($G$283=1,1/(1+0.6*(1/$G$306-1)),IF($G$283=2,0.9*$G$306,IF($G$283=3,$G$306))))</f>
        <v>#VALUE!</v>
      </c>
      <c r="M491" s="82" t="e">
        <f>IF($G$303="",1,IF($G$283=1,1/(1+0.6*(1/$G$306-1)),IF($G$283=2,0.9*$G$306,IF($G$283=3,$G$306))))</f>
        <v>#VALUE!</v>
      </c>
      <c r="N491" s="62"/>
      <c r="O491" s="62"/>
      <c r="P491" s="454"/>
      <c r="Q491" s="62"/>
      <c r="R491" s="42"/>
      <c r="S491" s="42"/>
      <c r="T491" s="42"/>
      <c r="U491" s="42"/>
      <c r="V491" s="42"/>
      <c r="W491" s="42"/>
      <c r="X491" s="42"/>
      <c r="Y491" s="42"/>
      <c r="Z491" s="42"/>
      <c r="AA491" s="42"/>
      <c r="AB491" s="42"/>
      <c r="AC491" s="42"/>
      <c r="AD491" s="42"/>
      <c r="AE491" s="42"/>
      <c r="AF491" s="42"/>
      <c r="AG491" s="42"/>
      <c r="AH491" s="42"/>
      <c r="AI491" s="42"/>
      <c r="AJ491" s="42"/>
    </row>
    <row r="492" spans="1:36" x14ac:dyDescent="0.2">
      <c r="A492" s="11"/>
      <c r="B492" s="11"/>
      <c r="C492" s="11" t="s">
        <v>4273</v>
      </c>
      <c r="D492" s="11"/>
      <c r="E492" s="11"/>
      <c r="F492" s="11"/>
      <c r="G492" s="11"/>
      <c r="H492" s="11"/>
      <c r="I492" s="82">
        <f>IF($G$309="",1,IF($G$282=1,1/(1+0.6*(1/$G$312-1)),IF($G$282=2,0.9*$G$312,IF($G$282=3,$G$312))))</f>
        <v>1</v>
      </c>
      <c r="J492" s="82">
        <f>IF($G$309="",1,IF($G$282=1,1/(1+0.6*(1/$G$312-1)),IF($G$282=2,0.9*$G$312,IF($G$282=3,$G$312))))</f>
        <v>1</v>
      </c>
      <c r="K492" s="82">
        <f>IF($G$309="",1,IF($G$282=1,1/(1+0.6*(1/$G$312-1)),IF($G$282=2,0.9*$G$312,IF($G$282=3,$G$312))))</f>
        <v>1</v>
      </c>
      <c r="L492" s="82">
        <f>IF($G$309="",1,IF($G$282=1,1/(1+0.6*(1/$G$312-1)),IF($G$282=2,0.9*$G$312,IF($G$282=3,$G$312))))</f>
        <v>1</v>
      </c>
      <c r="M492" s="82">
        <f>IF($G$309="",1,IF($G$282=1,1/(1+0.6*(1/$G$312-1)),IF($G$282=2,0.9*$G$312,IF($G$282=3,$G$312))))</f>
        <v>1</v>
      </c>
      <c r="N492" s="62"/>
      <c r="O492" s="62"/>
      <c r="P492" s="454"/>
      <c r="Q492" s="62"/>
      <c r="R492" s="42"/>
      <c r="S492" s="42"/>
      <c r="T492" s="42"/>
      <c r="U492" s="42"/>
      <c r="V492" s="42"/>
      <c r="W492" s="42"/>
      <c r="X492" s="42"/>
      <c r="Y492" s="42"/>
      <c r="Z492" s="42"/>
      <c r="AA492" s="42"/>
      <c r="AB492" s="42"/>
      <c r="AC492" s="42"/>
      <c r="AD492" s="42"/>
      <c r="AE492" s="42"/>
      <c r="AF492" s="42"/>
      <c r="AG492" s="42"/>
      <c r="AH492" s="42"/>
      <c r="AI492" s="42"/>
      <c r="AJ492" s="42"/>
    </row>
    <row r="493" spans="1:36" x14ac:dyDescent="0.2">
      <c r="A493" s="11"/>
      <c r="B493" s="11"/>
      <c r="C493" s="11" t="s">
        <v>4274</v>
      </c>
      <c r="D493" s="11"/>
      <c r="E493" s="11"/>
      <c r="F493" s="11"/>
      <c r="G493" s="11"/>
      <c r="H493" s="11"/>
      <c r="I493" s="82">
        <f>IF($G$315="",1,IF($G$281=1,1/(1+0.6*(1/$G$318-1)),IF($G$281=2,0.9*$G$318,IF($G$281=3,$G$318))))</f>
        <v>1</v>
      </c>
      <c r="J493" s="82">
        <f>IF($G$315="",1,IF($G$281=1,1/(1+0.6*(1/$G$318-1)),IF($G$281=2,0.9*$G$318,IF($G$281=3,$G$318))))</f>
        <v>1</v>
      </c>
      <c r="K493" s="82">
        <f>IF($G$315="",1,IF($G$281=1,1/(1+0.6*(1/$G$318-1)),IF($G$281=2,0.9*$G$318,IF($G$281=3,$G$318))))</f>
        <v>1</v>
      </c>
      <c r="L493" s="82">
        <f>IF($G$315="",1,IF($G$281=1,1/(1+0.6*(1/$G$318-1)),IF($G$281=2,0.9*$G$318,IF($G$281=3,$G$318))))</f>
        <v>1</v>
      </c>
      <c r="M493" s="82">
        <f>IF($G$315="",1,IF($G$281=1,1/(1+0.6*(1/$G$318-1)),IF($G$281=2,0.9*$G$318,IF($G$281=3,$G$318))))</f>
        <v>1</v>
      </c>
      <c r="N493" s="62"/>
      <c r="O493" s="62"/>
      <c r="P493" s="454"/>
      <c r="Q493" s="62"/>
      <c r="R493" s="42"/>
      <c r="S493" s="42"/>
      <c r="T493" s="42"/>
      <c r="U493" s="42"/>
      <c r="V493" s="42"/>
      <c r="W493" s="42"/>
      <c r="X493" s="42"/>
      <c r="Y493" s="42"/>
      <c r="Z493" s="42"/>
      <c r="AA493" s="42"/>
      <c r="AB493" s="42"/>
      <c r="AC493" s="42"/>
      <c r="AD493" s="42"/>
      <c r="AE493" s="42"/>
      <c r="AF493" s="42"/>
      <c r="AG493" s="42"/>
      <c r="AH493" s="42"/>
      <c r="AI493" s="42"/>
      <c r="AJ493" s="42"/>
    </row>
    <row r="494" spans="1:36" x14ac:dyDescent="0.2">
      <c r="A494" s="121" t="s">
        <v>1207</v>
      </c>
      <c r="B494" s="11"/>
      <c r="C494" s="11"/>
      <c r="D494" s="121"/>
      <c r="E494" s="121"/>
      <c r="F494" s="121"/>
      <c r="G494" s="121"/>
      <c r="H494" s="11"/>
      <c r="I494" s="14"/>
      <c r="J494" s="14"/>
      <c r="K494" s="14"/>
      <c r="L494" s="14"/>
      <c r="M494" s="14"/>
      <c r="N494" s="62"/>
      <c r="O494" s="62"/>
      <c r="P494" s="454"/>
      <c r="Q494" s="62"/>
      <c r="R494" s="42"/>
      <c r="S494" s="42"/>
      <c r="T494" s="42"/>
      <c r="U494" s="42"/>
      <c r="V494" s="42"/>
      <c r="W494" s="42"/>
      <c r="X494" s="42"/>
      <c r="Y494" s="42"/>
      <c r="Z494" s="42"/>
      <c r="AA494" s="42"/>
      <c r="AB494" s="42"/>
      <c r="AC494" s="42"/>
      <c r="AD494" s="42"/>
      <c r="AE494" s="42"/>
      <c r="AF494" s="42"/>
      <c r="AG494" s="42"/>
      <c r="AH494" s="42"/>
      <c r="AI494" s="42"/>
      <c r="AJ494" s="42"/>
    </row>
    <row r="495" spans="1:36" x14ac:dyDescent="0.2">
      <c r="A495" s="11"/>
      <c r="B495" s="11">
        <v>2.5</v>
      </c>
      <c r="C495" s="11" t="s">
        <v>3736</v>
      </c>
      <c r="D495" s="11"/>
      <c r="E495" s="11"/>
      <c r="F495" s="11"/>
      <c r="G495" s="11"/>
      <c r="H495" s="11"/>
      <c r="I495" s="36">
        <f>IF($G$357="",0,IF($G$362="",1,IF($G$367="",2,IF($G$375="",3,IF($G$383="",4,5)))))</f>
        <v>0</v>
      </c>
      <c r="J495" s="36">
        <f>IF($G$357="",0,IF($G$362="",1,IF($G$367="",2,IF($G$375="",3,IF($G$383="",4,5)))))</f>
        <v>0</v>
      </c>
      <c r="K495" s="36">
        <f>IF($G$357="",0,IF($G$362="",1,IF($G$367="",2,IF($G$375="",3,IF($G$383="",4,5)))))</f>
        <v>0</v>
      </c>
      <c r="L495" s="36">
        <f>IF($G$357="",0,IF($G$362="",1,IF($G$367="",2,IF($G$375="",3,IF($G$383="",4,5)))))</f>
        <v>0</v>
      </c>
      <c r="M495" s="36">
        <f>IF($G$357="",0,IF($G$362="",1,IF($G$367="",2,IF($G$375="",3,IF($G$383="",4,5)))))</f>
        <v>0</v>
      </c>
      <c r="N495" s="62"/>
      <c r="O495" s="62"/>
      <c r="P495" s="454"/>
      <c r="Q495" s="62"/>
      <c r="R495" s="42"/>
      <c r="S495" s="42"/>
      <c r="T495" s="42"/>
      <c r="U495" s="42"/>
      <c r="V495" s="42"/>
      <c r="W495" s="42"/>
      <c r="X495" s="42"/>
      <c r="Y495" s="42"/>
      <c r="Z495" s="42"/>
      <c r="AA495" s="42"/>
      <c r="AB495" s="42"/>
      <c r="AC495" s="42"/>
      <c r="AD495" s="42"/>
      <c r="AE495" s="42"/>
      <c r="AF495" s="42"/>
      <c r="AG495" s="42"/>
      <c r="AH495" s="42"/>
      <c r="AI495" s="42"/>
      <c r="AJ495" s="42"/>
    </row>
    <row r="496" spans="1:36" x14ac:dyDescent="0.2">
      <c r="A496" s="11"/>
      <c r="B496" s="4445" t="s">
        <v>2432</v>
      </c>
      <c r="C496" s="4445"/>
      <c r="D496" s="4445"/>
      <c r="E496" s="4445"/>
      <c r="F496" s="4445"/>
      <c r="G496" s="4445"/>
      <c r="H496" s="11"/>
      <c r="I496" s="122" t="e">
        <f>1/(1+(1/I490-1)+(1/I491-1)+(1/I492-1)+(1/I493-1)+I495*(1/0.95-1))</f>
        <v>#VALUE!</v>
      </c>
      <c r="J496" s="122" t="e">
        <f>1/(1+(1/J490-1)+(1/J491-1)+(1/J492-1)+(1/J493-1)+J495*(1/0.95-1))</f>
        <v>#VALUE!</v>
      </c>
      <c r="K496" s="122" t="e">
        <f>1/(1+(1/K490-1)+(1/K491-1)+(1/K492-1)+(1/K493-1)+K495*(1/0.95-1))</f>
        <v>#VALUE!</v>
      </c>
      <c r="L496" s="122" t="e">
        <f>1/(1+(1/L490-1)+(1/L491-1)+(1/L492-1)+(1/L493-1)+L495*(1/0.95-1))</f>
        <v>#VALUE!</v>
      </c>
      <c r="M496" s="122" t="e">
        <f>1/(1+(1/M490-1)+(1/M491-1)+(1/M492-1)+(1/M493-1)+M495*(1/0.95-1))</f>
        <v>#VALUE!</v>
      </c>
      <c r="N496" s="62"/>
      <c r="O496" s="62"/>
      <c r="P496" s="454"/>
      <c r="Q496" s="62"/>
      <c r="R496" s="42"/>
      <c r="S496" s="42"/>
      <c r="T496" s="42"/>
      <c r="U496" s="42"/>
      <c r="V496" s="42"/>
      <c r="W496" s="42"/>
      <c r="X496" s="42"/>
      <c r="Y496" s="42"/>
      <c r="Z496" s="42"/>
      <c r="AA496" s="42"/>
      <c r="AB496" s="42"/>
      <c r="AC496" s="42"/>
      <c r="AD496" s="42"/>
      <c r="AE496" s="42"/>
      <c r="AF496" s="42"/>
      <c r="AG496" s="42"/>
      <c r="AH496" s="42"/>
      <c r="AI496" s="42"/>
      <c r="AJ496" s="42"/>
    </row>
    <row r="497" spans="1:36" x14ac:dyDescent="0.2">
      <c r="A497" s="11"/>
      <c r="B497" s="4445" t="s">
        <v>2433</v>
      </c>
      <c r="C497" s="4445"/>
      <c r="D497" s="4445"/>
      <c r="E497" s="4445"/>
      <c r="F497" s="4445"/>
      <c r="G497" s="4445"/>
      <c r="H497" s="11"/>
      <c r="I497" s="122" t="e">
        <f>1/(1+(1/I490-1)+(1/I491-1)+(1/I492-1)+(1/I493-1))</f>
        <v>#VALUE!</v>
      </c>
      <c r="J497" s="122" t="e">
        <f>1/(1+(1/J490-1)+(1/J491-1)+(1/J492-1)+(1/J493-1))</f>
        <v>#VALUE!</v>
      </c>
      <c r="K497" s="122" t="e">
        <f>1/(1+(1/K490-1)+(1/K491-1)+(1/K492-1)+(1/K493-1))</f>
        <v>#VALUE!</v>
      </c>
      <c r="L497" s="122" t="e">
        <f>1/(1+(1/L490-1)+(1/L491-1)+(1/L492-1)+(1/L493-1))</f>
        <v>#VALUE!</v>
      </c>
      <c r="M497" s="122" t="e">
        <f>1/(1+(1/M490-1)+(1/M491-1)+(1/M492-1)+(1/M493-1))</f>
        <v>#VALUE!</v>
      </c>
      <c r="N497" s="62"/>
      <c r="O497" s="62"/>
      <c r="P497" s="454"/>
      <c r="Q497" s="62"/>
      <c r="R497" s="42"/>
      <c r="S497" s="42"/>
      <c r="T497" s="42"/>
      <c r="U497" s="42"/>
      <c r="V497" s="42"/>
      <c r="W497" s="42"/>
      <c r="X497" s="42"/>
      <c r="Y497" s="42"/>
      <c r="Z497" s="42"/>
      <c r="AA497" s="42"/>
      <c r="AB497" s="42"/>
      <c r="AC497" s="42"/>
      <c r="AD497" s="42"/>
      <c r="AE497" s="42"/>
      <c r="AF497" s="42"/>
      <c r="AG497" s="42"/>
      <c r="AH497" s="42"/>
      <c r="AI497" s="42"/>
      <c r="AJ497" s="42"/>
    </row>
    <row r="498" spans="1:36" x14ac:dyDescent="0.2">
      <c r="A498" s="11"/>
      <c r="B498" s="4460" t="s">
        <v>4261</v>
      </c>
      <c r="C498" s="4460"/>
      <c r="D498" s="4460"/>
      <c r="E498" s="4460"/>
      <c r="F498" s="4460"/>
      <c r="G498" s="4460"/>
      <c r="H498" s="38"/>
      <c r="I498" s="123" t="e">
        <f>IF(G267=0,I496,I497)</f>
        <v>#VALUE!</v>
      </c>
      <c r="J498" s="123" t="e">
        <f>IF(H267=0,J496,J497)</f>
        <v>#VALUE!</v>
      </c>
      <c r="K498" s="123" t="e">
        <f>IF(I267=0,K496,K497)</f>
        <v>#VALUE!</v>
      </c>
      <c r="L498" s="123" t="e">
        <f>IF(J267=0,L496,L497)</f>
        <v>#VALUE!</v>
      </c>
      <c r="M498" s="123" t="e">
        <f>IF(K267=0,M496,M497)</f>
        <v>#VALUE!</v>
      </c>
      <c r="N498" s="62"/>
      <c r="O498" s="62"/>
      <c r="P498" s="454"/>
      <c r="Q498" s="62"/>
      <c r="R498" s="42"/>
      <c r="S498" s="42"/>
      <c r="T498" s="42"/>
      <c r="U498" s="42"/>
      <c r="V498" s="42"/>
      <c r="W498" s="42"/>
      <c r="X498" s="42"/>
      <c r="Y498" s="42"/>
      <c r="Z498" s="42"/>
      <c r="AA498" s="42"/>
      <c r="AB498" s="42"/>
      <c r="AC498" s="42"/>
      <c r="AD498" s="42"/>
      <c r="AE498" s="42"/>
      <c r="AF498" s="42"/>
      <c r="AG498" s="42"/>
      <c r="AH498" s="42"/>
      <c r="AI498" s="42"/>
      <c r="AJ498" s="42"/>
    </row>
    <row r="499" spans="1:36" x14ac:dyDescent="0.2">
      <c r="A499" s="11"/>
      <c r="B499" s="25"/>
      <c r="C499" s="25" t="s">
        <v>3737</v>
      </c>
      <c r="D499" s="11"/>
      <c r="E499" s="11"/>
      <c r="F499" s="11"/>
      <c r="G499" s="11"/>
      <c r="H499" s="11"/>
      <c r="I499" s="124"/>
      <c r="J499" s="124"/>
      <c r="K499" s="124"/>
      <c r="L499" s="124"/>
      <c r="M499" s="124"/>
      <c r="N499" s="62"/>
      <c r="O499" s="62"/>
      <c r="P499" s="454"/>
      <c r="Q499" s="62"/>
      <c r="R499" s="42"/>
      <c r="S499" s="42"/>
      <c r="T499" s="42"/>
      <c r="U499" s="42"/>
      <c r="V499" s="42"/>
      <c r="W499" s="42"/>
      <c r="X499" s="42"/>
      <c r="Y499" s="42"/>
      <c r="Z499" s="42"/>
      <c r="AA499" s="42"/>
      <c r="AB499" s="42"/>
      <c r="AC499" s="42"/>
      <c r="AD499" s="42"/>
      <c r="AE499" s="42"/>
      <c r="AF499" s="42"/>
      <c r="AG499" s="42"/>
      <c r="AH499" s="42"/>
      <c r="AI499" s="42"/>
      <c r="AJ499" s="42"/>
    </row>
    <row r="500" spans="1:36" x14ac:dyDescent="0.2">
      <c r="A500" s="11"/>
      <c r="B500" s="22" t="s">
        <v>3738</v>
      </c>
      <c r="C500" s="22"/>
      <c r="D500" s="22"/>
      <c r="E500" s="22"/>
      <c r="F500" s="22"/>
      <c r="G500" s="22"/>
      <c r="H500" s="11"/>
      <c r="I500" s="124">
        <f>I562</f>
        <v>1</v>
      </c>
      <c r="J500" s="124">
        <f>J562</f>
        <v>1</v>
      </c>
      <c r="K500" s="124">
        <f>K562</f>
        <v>1</v>
      </c>
      <c r="L500" s="124">
        <f>L562</f>
        <v>1</v>
      </c>
      <c r="M500" s="124">
        <f>M562</f>
        <v>1</v>
      </c>
      <c r="N500" s="62"/>
      <c r="O500" s="62"/>
      <c r="P500" s="454"/>
      <c r="Q500" s="62"/>
      <c r="R500" s="42"/>
      <c r="S500" s="42"/>
      <c r="T500" s="42"/>
      <c r="U500" s="42"/>
      <c r="V500" s="42"/>
      <c r="W500" s="42"/>
      <c r="X500" s="42"/>
      <c r="Y500" s="42"/>
      <c r="Z500" s="42"/>
      <c r="AA500" s="42"/>
      <c r="AB500" s="42"/>
      <c r="AC500" s="42"/>
      <c r="AD500" s="42"/>
      <c r="AE500" s="42"/>
      <c r="AF500" s="42"/>
      <c r="AG500" s="42"/>
      <c r="AH500" s="42"/>
      <c r="AI500" s="42"/>
      <c r="AJ500" s="42"/>
    </row>
    <row r="501" spans="1:36" x14ac:dyDescent="0.2">
      <c r="A501" s="11"/>
      <c r="B501" s="4445" t="s">
        <v>1171</v>
      </c>
      <c r="C501" s="4445"/>
      <c r="D501" s="4445"/>
      <c r="E501" s="4445"/>
      <c r="F501" s="4445"/>
      <c r="G501" s="4445"/>
      <c r="H501" s="27"/>
      <c r="I501" s="37" t="e">
        <f>IF(G326=1,0.9*G328,IF(G326=2,1/(0.6*(1/G328-1)+1),G328))</f>
        <v>#VALUE!</v>
      </c>
      <c r="J501" s="37" t="e">
        <f>IF(H326=1,0.9*H328,IF(H326=2,1/(0.6*(1/H328-1)+1),H328))</f>
        <v>#VALUE!</v>
      </c>
      <c r="K501" s="37" t="e">
        <f>IF(I326=1,0.9*I328,IF(I326=2,1/(0.6*(1/I328-1)+1),I328))</f>
        <v>#VALUE!</v>
      </c>
      <c r="L501" s="37" t="e">
        <f>IF(J326=1,0.9*J328,IF(J326=2,1/(0.6*(1/J328-1)+1),J328))</f>
        <v>#VALUE!</v>
      </c>
      <c r="M501" s="37" t="e">
        <f>IF(K326=1,0.9*K328,IF(K326=2,1/(0.6*(1/K328-1)+1),K328))</f>
        <v>#VALUE!</v>
      </c>
      <c r="N501" s="62"/>
      <c r="O501" s="62"/>
      <c r="P501" s="454"/>
      <c r="Q501" s="62"/>
      <c r="R501" s="42"/>
      <c r="S501" s="42"/>
      <c r="T501" s="42"/>
      <c r="U501" s="42"/>
      <c r="V501" s="42"/>
      <c r="W501" s="42"/>
      <c r="X501" s="42"/>
      <c r="Y501" s="42"/>
      <c r="Z501" s="42"/>
      <c r="AA501" s="42"/>
      <c r="AB501" s="42"/>
      <c r="AC501" s="42"/>
      <c r="AD501" s="42"/>
      <c r="AE501" s="42"/>
      <c r="AF501" s="42"/>
      <c r="AG501" s="42"/>
      <c r="AH501" s="42"/>
      <c r="AI501" s="42"/>
      <c r="AJ501" s="42"/>
    </row>
    <row r="502" spans="1:36" x14ac:dyDescent="0.2">
      <c r="A502" s="11"/>
      <c r="B502" s="38" t="s">
        <v>4262</v>
      </c>
      <c r="C502" s="120"/>
      <c r="D502" s="120"/>
      <c r="E502" s="120"/>
      <c r="F502" s="120"/>
      <c r="G502" s="120"/>
      <c r="H502" s="38"/>
      <c r="I502" s="125" t="e">
        <f>IF(G262=1,I500,I501)</f>
        <v>#VALUE!</v>
      </c>
      <c r="J502" s="125" t="e">
        <f>IF(H262=1,J500,J501)</f>
        <v>#VALUE!</v>
      </c>
      <c r="K502" s="125" t="e">
        <f>IF(I262=1,K500,K501)</f>
        <v>#VALUE!</v>
      </c>
      <c r="L502" s="125" t="e">
        <f>IF(J262=1,L500,L501)</f>
        <v>#VALUE!</v>
      </c>
      <c r="M502" s="125" t="e">
        <f>IF(K262=1,M500,M501)</f>
        <v>#VALUE!</v>
      </c>
      <c r="N502" s="62"/>
      <c r="O502" s="62"/>
      <c r="P502" s="454"/>
      <c r="Q502" s="62"/>
      <c r="R502" s="42"/>
      <c r="S502" s="42"/>
      <c r="T502" s="42"/>
      <c r="U502" s="42"/>
      <c r="V502" s="42"/>
      <c r="W502" s="42"/>
      <c r="X502" s="42"/>
      <c r="Y502" s="42"/>
      <c r="Z502" s="42"/>
      <c r="AA502" s="42"/>
      <c r="AB502" s="42"/>
      <c r="AC502" s="42"/>
      <c r="AD502" s="42"/>
      <c r="AE502" s="42"/>
      <c r="AF502" s="42"/>
      <c r="AG502" s="42"/>
      <c r="AH502" s="42"/>
      <c r="AI502" s="42"/>
      <c r="AJ502" s="42"/>
    </row>
    <row r="503" spans="1:36" x14ac:dyDescent="0.2">
      <c r="A503" s="11"/>
      <c r="B503" s="11"/>
      <c r="C503" s="25" t="s">
        <v>3739</v>
      </c>
      <c r="D503" s="11"/>
      <c r="E503" s="11"/>
      <c r="F503" s="11"/>
      <c r="G503" s="11"/>
      <c r="H503" s="11"/>
      <c r="I503" s="15"/>
      <c r="J503" s="15"/>
      <c r="K503" s="15"/>
      <c r="L503" s="15"/>
      <c r="M503" s="15"/>
      <c r="N503" s="11"/>
      <c r="O503" s="11"/>
      <c r="P503" s="11"/>
      <c r="Q503" s="11"/>
      <c r="R503" s="48"/>
      <c r="S503" s="42"/>
      <c r="T503" s="42"/>
      <c r="U503" s="42"/>
      <c r="V503" s="42"/>
      <c r="W503" s="42"/>
      <c r="X503" s="42"/>
      <c r="Y503" s="42"/>
      <c r="Z503" s="42"/>
      <c r="AA503" s="42"/>
      <c r="AB503" s="42"/>
      <c r="AC503" s="42"/>
      <c r="AD503" s="42"/>
      <c r="AE503" s="42"/>
      <c r="AF503" s="42"/>
      <c r="AG503" s="42"/>
      <c r="AH503" s="42"/>
      <c r="AI503" s="42"/>
      <c r="AJ503" s="42"/>
    </row>
    <row r="504" spans="1:36" x14ac:dyDescent="0.2">
      <c r="A504" s="11"/>
      <c r="B504" s="4461" t="s">
        <v>2712</v>
      </c>
      <c r="C504" s="4375"/>
      <c r="D504" s="4375"/>
      <c r="E504" s="4375"/>
      <c r="F504" s="4375"/>
      <c r="G504" s="4375"/>
      <c r="H504" s="11"/>
      <c r="I504" s="126" t="e">
        <f>I456/MIN(I428,I427,I435,I456)</f>
        <v>#VALUE!</v>
      </c>
      <c r="J504" s="126" t="e">
        <f>J456/MIN(J428,J427,J435,J456)</f>
        <v>#VALUE!</v>
      </c>
      <c r="K504" s="126" t="e">
        <f>K456/MIN(K428,K427,K435,K456)</f>
        <v>#VALUE!</v>
      </c>
      <c r="L504" s="126" t="e">
        <f>L456/MIN(L428,L427,L435,L456)</f>
        <v>#VALUE!</v>
      </c>
      <c r="M504" s="126" t="e">
        <f>M456/MIN(M428,M427,M435,M456)</f>
        <v>#VALUE!</v>
      </c>
      <c r="N504" s="11"/>
      <c r="O504" s="11"/>
      <c r="P504" s="11"/>
      <c r="Q504" s="11"/>
      <c r="R504" s="48"/>
      <c r="S504" s="42"/>
      <c r="T504" s="42"/>
      <c r="U504" s="42"/>
      <c r="V504" s="42"/>
      <c r="W504" s="42"/>
      <c r="X504" s="42"/>
      <c r="Y504" s="42"/>
      <c r="Z504" s="42"/>
      <c r="AA504" s="42"/>
      <c r="AB504" s="42"/>
      <c r="AC504" s="42"/>
      <c r="AD504" s="42"/>
      <c r="AE504" s="42"/>
      <c r="AF504" s="42"/>
      <c r="AG504" s="42"/>
      <c r="AH504" s="42"/>
      <c r="AI504" s="42"/>
      <c r="AJ504" s="42"/>
    </row>
    <row r="505" spans="1:36" x14ac:dyDescent="0.2">
      <c r="A505" s="11"/>
      <c r="B505" s="4461" t="s">
        <v>2713</v>
      </c>
      <c r="C505" s="4375"/>
      <c r="D505" s="4375"/>
      <c r="E505" s="4375"/>
      <c r="F505" s="4375"/>
      <c r="G505" s="4375"/>
      <c r="H505" s="11"/>
      <c r="I505" s="126" t="e">
        <f>I457/MIN(I428,I427,I435,I457)</f>
        <v>#VALUE!</v>
      </c>
      <c r="J505" s="126" t="e">
        <f>J457/MIN(J428,J427,J435,J457)</f>
        <v>#VALUE!</v>
      </c>
      <c r="K505" s="126" t="e">
        <f>K457/MIN(K428,K427,K435,K457)</f>
        <v>#VALUE!</v>
      </c>
      <c r="L505" s="126" t="e">
        <f>L457/MIN(L428,L427,L435,L457)</f>
        <v>#VALUE!</v>
      </c>
      <c r="M505" s="126" t="e">
        <f>M457/MIN(M428,M427,M435,M457)</f>
        <v>#VALUE!</v>
      </c>
      <c r="N505" s="11"/>
      <c r="O505" s="11"/>
      <c r="P505" s="11"/>
      <c r="Q505" s="11"/>
      <c r="R505" s="48"/>
      <c r="S505" s="42"/>
      <c r="T505" s="42"/>
      <c r="U505" s="42"/>
      <c r="V505" s="42"/>
      <c r="W505" s="42"/>
      <c r="X505" s="42"/>
      <c r="Y505" s="42"/>
      <c r="Z505" s="42"/>
      <c r="AA505" s="42"/>
      <c r="AB505" s="42"/>
      <c r="AC505" s="42"/>
      <c r="AD505" s="42"/>
      <c r="AE505" s="42"/>
      <c r="AF505" s="42"/>
      <c r="AG505" s="42"/>
      <c r="AH505" s="42"/>
      <c r="AI505" s="42"/>
      <c r="AJ505" s="42"/>
    </row>
    <row r="506" spans="1:36" x14ac:dyDescent="0.2">
      <c r="A506" s="11"/>
      <c r="B506" s="4461" t="s">
        <v>4283</v>
      </c>
      <c r="C506" s="4375"/>
      <c r="D506" s="4375"/>
      <c r="E506" s="4375"/>
      <c r="F506" s="4375"/>
      <c r="G506" s="4375"/>
      <c r="H506" s="11"/>
      <c r="I506" s="37" t="e">
        <f>IF(G262=1,I504,I505)</f>
        <v>#VALUE!</v>
      </c>
      <c r="J506" s="37" t="e">
        <f>IF(H262=1,J504,J505)</f>
        <v>#VALUE!</v>
      </c>
      <c r="K506" s="37" t="e">
        <f>IF(I262=1,K504,K505)</f>
        <v>#VALUE!</v>
      </c>
      <c r="L506" s="37" t="e">
        <f>IF(J262=1,L504,L505)</f>
        <v>#VALUE!</v>
      </c>
      <c r="M506" s="37" t="e">
        <f>IF(K262=1,M504,M505)</f>
        <v>#VALUE!</v>
      </c>
      <c r="N506" s="62"/>
      <c r="O506" s="62"/>
      <c r="P506" s="62"/>
      <c r="Q506" s="62"/>
      <c r="R506" s="43"/>
      <c r="S506" s="42"/>
      <c r="T506" s="42"/>
      <c r="U506" s="42"/>
      <c r="V506" s="42"/>
      <c r="W506" s="42"/>
      <c r="X506" s="42"/>
      <c r="Y506" s="42"/>
      <c r="Z506" s="42"/>
      <c r="AA506" s="42"/>
      <c r="AB506" s="42"/>
      <c r="AC506" s="42"/>
      <c r="AD506" s="42"/>
      <c r="AE506" s="42"/>
      <c r="AF506" s="42"/>
      <c r="AG506" s="42"/>
      <c r="AH506" s="42"/>
      <c r="AI506" s="42"/>
      <c r="AJ506" s="42"/>
    </row>
    <row r="507" spans="1:36" x14ac:dyDescent="0.2">
      <c r="A507" s="11"/>
      <c r="B507" s="9" t="s">
        <v>4263</v>
      </c>
      <c r="C507" s="11"/>
      <c r="D507" s="11"/>
      <c r="E507" s="11"/>
      <c r="F507" s="11"/>
      <c r="G507" s="11"/>
      <c r="H507" s="11"/>
      <c r="I507" s="11"/>
      <c r="J507" s="62"/>
      <c r="K507" s="62"/>
      <c r="L507" s="62"/>
      <c r="M507" s="62"/>
      <c r="N507" s="62"/>
      <c r="O507" s="62"/>
      <c r="P507" s="62"/>
      <c r="Q507" s="62"/>
      <c r="R507" s="455"/>
      <c r="S507" s="42"/>
      <c r="T507" s="42"/>
      <c r="U507" s="42"/>
      <c r="V507" s="42"/>
      <c r="W507" s="42"/>
      <c r="X507" s="42"/>
      <c r="Y507" s="42"/>
      <c r="Z507" s="42"/>
      <c r="AA507" s="42"/>
      <c r="AB507" s="42"/>
      <c r="AC507" s="42"/>
      <c r="AD507" s="42"/>
      <c r="AE507" s="42"/>
      <c r="AF507" s="42"/>
      <c r="AG507" s="42"/>
      <c r="AH507" s="42"/>
      <c r="AI507" s="42"/>
      <c r="AJ507" s="42"/>
    </row>
    <row r="508" spans="1:36" x14ac:dyDescent="0.2">
      <c r="A508" s="11"/>
      <c r="B508" s="4454" t="s">
        <v>2711</v>
      </c>
      <c r="C508" s="4375"/>
      <c r="D508" s="4375"/>
      <c r="E508" s="4375"/>
      <c r="F508" s="4375"/>
      <c r="G508" s="4375"/>
      <c r="H508" s="29"/>
      <c r="I508" s="82" t="b">
        <f>IF(G342&lt;=45,$L$554+$M$554*SIN(G342*3.14/180),IF(G342&lt;=70,$N$554,IF(G342&lt;=90,$O$554+$P$554*COS(G342*3.14/180))))</f>
        <v>0</v>
      </c>
      <c r="J508" s="82" t="b">
        <f>IF(H342&lt;=45,$L$554+$M$554*SIN(H342*3.14/180),IF(H342&lt;=70,$N$554,IF(H342&lt;=90,$O$554+$P$554*COS(H342*3.14/180))))</f>
        <v>0</v>
      </c>
      <c r="K508" s="82" t="b">
        <f>IF(I342&lt;=45,$L$554+$M$554*SIN(I342*3.14/180),IF(I342&lt;=70,$N$554,IF(I342&lt;=90,$O$554+$P$554*COS(I342*3.14/180))))</f>
        <v>0</v>
      </c>
      <c r="L508" s="82" t="b">
        <f>IF(J342&lt;=45,$L$554+$M$554*SIN(J342*3.14/180),IF(J342&lt;=70,$N$554,IF(J342&lt;=90,$O$554+$P$554*COS(J342*3.14/180))))</f>
        <v>0</v>
      </c>
      <c r="M508" s="82" t="b">
        <f>IF(K342&lt;=45,$L$554+$M$554*SIN(K342*3.14/180),IF(K342&lt;=70,$N$554,IF(K342&lt;=90,$O$554+$P$554*COS(K342*3.14/180))))</f>
        <v>0</v>
      </c>
      <c r="N508" s="62"/>
      <c r="O508" s="62"/>
      <c r="P508" s="62"/>
      <c r="Q508" s="62"/>
      <c r="R508" s="455"/>
      <c r="S508" s="42"/>
      <c r="T508" s="42"/>
      <c r="U508" s="42"/>
      <c r="V508" s="42"/>
      <c r="W508" s="42"/>
      <c r="X508" s="42"/>
      <c r="Y508" s="42"/>
      <c r="Z508" s="42"/>
      <c r="AA508" s="42"/>
      <c r="AB508" s="42"/>
      <c r="AC508" s="42"/>
      <c r="AD508" s="42"/>
      <c r="AE508" s="42"/>
      <c r="AF508" s="42"/>
      <c r="AG508" s="42"/>
      <c r="AH508" s="42"/>
      <c r="AI508" s="42"/>
      <c r="AJ508" s="42"/>
    </row>
    <row r="509" spans="1:36" x14ac:dyDescent="0.2">
      <c r="A509" s="11"/>
      <c r="B509" s="4454" t="s">
        <v>1191</v>
      </c>
      <c r="C509" s="4375"/>
      <c r="D509" s="4375"/>
      <c r="E509" s="4375"/>
      <c r="F509" s="4375"/>
      <c r="G509" s="4375"/>
      <c r="H509" s="87"/>
      <c r="I509" s="127">
        <f>IF(G339=1,31.625*G338^2-58.08*G338+27.12,27.5*G338^2-69.5*G338+43.75)</f>
        <v>43.75</v>
      </c>
      <c r="J509" s="127">
        <f>IF(H339=1,31.625*H338^2-58.08*H338+27.12,27.5*H338^2-69.5*H338+43.75)</f>
        <v>43.75</v>
      </c>
      <c r="K509" s="127">
        <f>IF(I339=1,31.625*I338^2-58.08*I338+27.12,27.5*I338^2-69.5*I338+43.75)</f>
        <v>43.75</v>
      </c>
      <c r="L509" s="127">
        <f>IF(J339=1,31.625*J338^2-58.08*J338+27.12,27.5*J338^2-69.5*J338+43.75)</f>
        <v>43.75</v>
      </c>
      <c r="M509" s="127">
        <f>IF(K339=1,31.625*K338^2-58.08*K338+27.12,27.5*K338^2-69.5*K338+43.75)</f>
        <v>43.75</v>
      </c>
      <c r="N509" s="62"/>
      <c r="O509" s="62"/>
      <c r="P509" s="62"/>
      <c r="Q509" s="62"/>
      <c r="R509" s="457"/>
      <c r="S509" s="42"/>
      <c r="T509" s="42"/>
      <c r="U509" s="42"/>
      <c r="V509" s="42"/>
      <c r="W509" s="42"/>
      <c r="X509" s="42"/>
      <c r="Y509" s="42"/>
      <c r="Z509" s="42"/>
      <c r="AA509" s="42"/>
      <c r="AB509" s="42"/>
      <c r="AC509" s="42"/>
      <c r="AD509" s="42"/>
      <c r="AE509" s="42"/>
      <c r="AF509" s="42"/>
      <c r="AG509" s="42"/>
      <c r="AH509" s="42"/>
      <c r="AI509" s="42"/>
      <c r="AJ509" s="42"/>
    </row>
    <row r="510" spans="1:36" x14ac:dyDescent="0.2">
      <c r="A510" s="11"/>
      <c r="B510" s="4375" t="s">
        <v>2710</v>
      </c>
      <c r="C510" s="4375"/>
      <c r="D510" s="4375"/>
      <c r="E510" s="4375"/>
      <c r="F510" s="4375"/>
      <c r="G510" s="4375"/>
      <c r="H510" s="11"/>
      <c r="I510" s="12">
        <f>IF(G227=1,15,22.5)</f>
        <v>22.5</v>
      </c>
      <c r="J510" s="12">
        <f>IF(H227=1,15,22.5)</f>
        <v>22.5</v>
      </c>
      <c r="K510" s="12">
        <f>IF(I227=1,15,22.5)</f>
        <v>22.5</v>
      </c>
      <c r="L510" s="12">
        <f>IF(J227=1,15,22.5)</f>
        <v>22.5</v>
      </c>
      <c r="M510" s="12">
        <f>IF(K227=1,15,22.5)</f>
        <v>22.5</v>
      </c>
      <c r="N510" s="62"/>
      <c r="O510" s="62"/>
      <c r="P510" s="62"/>
      <c r="Q510" s="62"/>
      <c r="R510" s="455"/>
      <c r="S510" s="42"/>
      <c r="T510" s="42"/>
      <c r="U510" s="42"/>
      <c r="V510" s="42"/>
      <c r="W510" s="42"/>
      <c r="X510" s="42"/>
      <c r="Y510" s="42"/>
      <c r="Z510" s="42"/>
      <c r="AA510" s="42"/>
      <c r="AB510" s="42"/>
      <c r="AC510" s="42"/>
      <c r="AD510" s="42"/>
      <c r="AE510" s="42"/>
      <c r="AF510" s="42"/>
      <c r="AG510" s="42"/>
      <c r="AH510" s="42"/>
      <c r="AI510" s="42"/>
      <c r="AJ510" s="42"/>
    </row>
    <row r="511" spans="1:36" x14ac:dyDescent="0.2">
      <c r="A511" s="11"/>
      <c r="B511" s="4461" t="s">
        <v>1123</v>
      </c>
      <c r="C511" s="4375"/>
      <c r="D511" s="4375"/>
      <c r="E511" s="4375"/>
      <c r="F511" s="4375"/>
      <c r="G511" s="4375"/>
      <c r="H511" s="11"/>
      <c r="I511" s="128">
        <f>0.5*I456*I509*I508</f>
        <v>0</v>
      </c>
      <c r="J511" s="128">
        <f>0.5*J456*J509*J508</f>
        <v>0</v>
      </c>
      <c r="K511" s="128">
        <f>0.5*K456*K509*K508</f>
        <v>0</v>
      </c>
      <c r="L511" s="128">
        <f>0.5*L456*L509*L508</f>
        <v>0</v>
      </c>
      <c r="M511" s="128">
        <f>0.5*M456*M509*M508</f>
        <v>0</v>
      </c>
      <c r="N511" s="62"/>
      <c r="O511" s="62"/>
      <c r="P511" s="62"/>
      <c r="Q511" s="62"/>
      <c r="R511" s="455"/>
      <c r="S511" s="42"/>
      <c r="T511" s="42"/>
      <c r="U511" s="42"/>
      <c r="V511" s="42"/>
      <c r="W511" s="42"/>
      <c r="X511" s="42"/>
      <c r="Y511" s="42"/>
      <c r="Z511" s="42"/>
      <c r="AA511" s="42"/>
      <c r="AB511" s="42"/>
      <c r="AC511" s="42"/>
      <c r="AD511" s="42"/>
      <c r="AE511" s="42"/>
      <c r="AF511" s="42"/>
      <c r="AG511" s="42"/>
      <c r="AH511" s="42"/>
      <c r="AI511" s="42"/>
      <c r="AJ511" s="42"/>
    </row>
    <row r="512" spans="1:36" x14ac:dyDescent="0.2">
      <c r="A512" s="11"/>
      <c r="B512" s="4461" t="s">
        <v>1080</v>
      </c>
      <c r="C512" s="4375"/>
      <c r="D512" s="4375"/>
      <c r="E512" s="4375"/>
      <c r="F512" s="4375"/>
      <c r="G512" s="4375"/>
      <c r="H512" s="11"/>
      <c r="I512" s="12" t="e">
        <f>0.5*I457*I509*I508</f>
        <v>#VALUE!</v>
      </c>
      <c r="J512" s="12" t="e">
        <f>0.5*J457*J509*J508</f>
        <v>#VALUE!</v>
      </c>
      <c r="K512" s="12" t="e">
        <f>0.5*K457*K509*K508</f>
        <v>#VALUE!</v>
      </c>
      <c r="L512" s="12" t="e">
        <f>0.5*L457*L509*L508</f>
        <v>#VALUE!</v>
      </c>
      <c r="M512" s="12" t="e">
        <f>0.5*M457*M509*M508</f>
        <v>#VALUE!</v>
      </c>
      <c r="N512" s="62"/>
      <c r="O512" s="62"/>
      <c r="P512" s="62"/>
      <c r="Q512" s="62"/>
      <c r="R512" s="455"/>
      <c r="S512" s="42"/>
      <c r="T512" s="42"/>
      <c r="U512" s="42"/>
      <c r="V512" s="42"/>
      <c r="W512" s="42"/>
      <c r="X512" s="42"/>
      <c r="Y512" s="42"/>
      <c r="Z512" s="42"/>
      <c r="AA512" s="42"/>
      <c r="AB512" s="42"/>
      <c r="AC512" s="42"/>
      <c r="AD512" s="42"/>
      <c r="AE512" s="42"/>
      <c r="AF512" s="42"/>
      <c r="AG512" s="42"/>
      <c r="AH512" s="42"/>
      <c r="AI512" s="42"/>
      <c r="AJ512" s="42"/>
    </row>
    <row r="513" spans="1:36" ht="15" x14ac:dyDescent="0.2">
      <c r="A513" s="11"/>
      <c r="B513" s="11" t="s">
        <v>3023</v>
      </c>
      <c r="C513" s="11"/>
      <c r="D513" s="11"/>
      <c r="E513" s="11"/>
      <c r="F513" s="11"/>
      <c r="G513" s="11"/>
      <c r="H513" s="11"/>
      <c r="I513" s="12">
        <f>IF(G335=0,I511,I511-I510)</f>
        <v>-22.5</v>
      </c>
      <c r="J513" s="12">
        <f>IF(H335=0,J511,J511-J510)</f>
        <v>-22.5</v>
      </c>
      <c r="K513" s="12">
        <f>IF(I335=0,K511,K511-K510)</f>
        <v>-22.5</v>
      </c>
      <c r="L513" s="12">
        <f>IF(J335=0,L511,L511-L510)</f>
        <v>-22.5</v>
      </c>
      <c r="M513" s="12">
        <f>IF(K335=0,M511,M511-M510)</f>
        <v>-22.5</v>
      </c>
      <c r="N513" s="62"/>
      <c r="O513" s="62"/>
      <c r="P513" s="62"/>
      <c r="Q513" s="62"/>
      <c r="R513" s="455"/>
      <c r="S513" s="42"/>
      <c r="T513" s="42"/>
      <c r="U513" s="42"/>
      <c r="V513" s="42"/>
      <c r="W513" s="42"/>
      <c r="X513" s="42"/>
      <c r="Y513" s="42"/>
      <c r="Z513" s="42"/>
      <c r="AA513" s="42"/>
      <c r="AB513" s="42"/>
      <c r="AC513" s="42"/>
      <c r="AD513" s="42"/>
      <c r="AE513" s="42"/>
      <c r="AF513" s="42"/>
      <c r="AG513" s="42"/>
      <c r="AH513" s="42"/>
      <c r="AI513" s="42"/>
      <c r="AJ513" s="42"/>
    </row>
    <row r="514" spans="1:36" ht="15" x14ac:dyDescent="0.2">
      <c r="A514" s="11"/>
      <c r="B514" s="11" t="s">
        <v>3024</v>
      </c>
      <c r="C514" s="11"/>
      <c r="D514" s="11"/>
      <c r="E514" s="11"/>
      <c r="F514" s="11"/>
      <c r="G514" s="11"/>
      <c r="H514" s="11"/>
      <c r="I514" s="12" t="e">
        <f>IF(G335=0,I512,I512-I510)</f>
        <v>#VALUE!</v>
      </c>
      <c r="J514" s="12" t="e">
        <f>IF(H335=0,J512,J512-J510)</f>
        <v>#VALUE!</v>
      </c>
      <c r="K514" s="12" t="e">
        <f>IF(I335=0,K512,K512-K510)</f>
        <v>#VALUE!</v>
      </c>
      <c r="L514" s="12" t="e">
        <f>IF(J335=0,L512,L512-L510)</f>
        <v>#VALUE!</v>
      </c>
      <c r="M514" s="12" t="e">
        <f>IF(K335=0,M512,M512-M510)</f>
        <v>#VALUE!</v>
      </c>
      <c r="N514" s="62"/>
      <c r="O514" s="62"/>
      <c r="P514" s="62"/>
      <c r="Q514" s="62"/>
      <c r="R514" s="455"/>
      <c r="S514" s="42"/>
      <c r="T514" s="42"/>
      <c r="U514" s="42"/>
      <c r="V514" s="42"/>
      <c r="W514" s="42"/>
      <c r="X514" s="42"/>
      <c r="Y514" s="42"/>
      <c r="Z514" s="42"/>
      <c r="AA514" s="42"/>
      <c r="AB514" s="42"/>
      <c r="AC514" s="42"/>
      <c r="AD514" s="42"/>
      <c r="AE514" s="42"/>
      <c r="AF514" s="42"/>
      <c r="AG514" s="42"/>
      <c r="AH514" s="42"/>
      <c r="AI514" s="42"/>
      <c r="AJ514" s="42"/>
    </row>
    <row r="515" spans="1:36" x14ac:dyDescent="0.2">
      <c r="A515" s="11"/>
      <c r="B515" s="4375" t="s">
        <v>2966</v>
      </c>
      <c r="C515" s="4375"/>
      <c r="D515" s="4375"/>
      <c r="E515" s="4375"/>
      <c r="F515" s="4375"/>
      <c r="G515" s="4375"/>
      <c r="H515" s="11"/>
      <c r="I515" s="82">
        <f>I445</f>
        <v>1</v>
      </c>
      <c r="J515" s="82">
        <f>J445</f>
        <v>1</v>
      </c>
      <c r="K515" s="82">
        <f>K445</f>
        <v>1</v>
      </c>
      <c r="L515" s="82">
        <f>L445</f>
        <v>1</v>
      </c>
      <c r="M515" s="82">
        <f>M445</f>
        <v>1</v>
      </c>
      <c r="N515" s="62"/>
      <c r="O515" s="62"/>
      <c r="P515" s="62"/>
      <c r="Q515" s="62"/>
      <c r="R515" s="48"/>
      <c r="S515" s="42"/>
      <c r="T515" s="42"/>
      <c r="U515" s="42"/>
      <c r="V515" s="42"/>
      <c r="W515" s="42"/>
      <c r="X515" s="42"/>
      <c r="Y515" s="42"/>
      <c r="Z515" s="42"/>
      <c r="AA515" s="42"/>
      <c r="AB515" s="42"/>
      <c r="AC515" s="42"/>
      <c r="AD515" s="42"/>
      <c r="AE515" s="42"/>
      <c r="AF515" s="42"/>
      <c r="AG515" s="42"/>
      <c r="AH515" s="42"/>
      <c r="AI515" s="42"/>
      <c r="AJ515" s="42"/>
    </row>
    <row r="516" spans="1:36" x14ac:dyDescent="0.2">
      <c r="A516" s="11"/>
      <c r="B516" s="4375" t="s">
        <v>1174</v>
      </c>
      <c r="C516" s="4375"/>
      <c r="D516" s="4375"/>
      <c r="E516" s="4375"/>
      <c r="F516" s="4375"/>
      <c r="G516" s="4375"/>
      <c r="H516" s="11"/>
      <c r="I516" s="129">
        <f>I453</f>
        <v>1</v>
      </c>
      <c r="J516" s="129">
        <f>J453</f>
        <v>1</v>
      </c>
      <c r="K516" s="129">
        <f>K453</f>
        <v>1</v>
      </c>
      <c r="L516" s="129">
        <f>L453</f>
        <v>1</v>
      </c>
      <c r="M516" s="129">
        <f>M453</f>
        <v>1</v>
      </c>
      <c r="N516" s="62"/>
      <c r="O516" s="62"/>
      <c r="P516" s="62"/>
      <c r="Q516" s="62"/>
      <c r="R516" s="43"/>
      <c r="S516" s="42"/>
      <c r="T516" s="42"/>
      <c r="U516" s="42"/>
      <c r="V516" s="42"/>
      <c r="W516" s="42"/>
      <c r="X516" s="42"/>
      <c r="Y516" s="42"/>
      <c r="Z516" s="42"/>
      <c r="AA516" s="42"/>
      <c r="AB516" s="42"/>
      <c r="AC516" s="42"/>
      <c r="AD516" s="42"/>
      <c r="AE516" s="42"/>
      <c r="AF516" s="42"/>
      <c r="AG516" s="42"/>
      <c r="AH516" s="42"/>
      <c r="AI516" s="42"/>
      <c r="AJ516" s="42"/>
    </row>
    <row r="517" spans="1:36" x14ac:dyDescent="0.2">
      <c r="A517" s="27"/>
      <c r="B517" s="4375" t="s">
        <v>1160</v>
      </c>
      <c r="C517" s="4375"/>
      <c r="D517" s="4375"/>
      <c r="E517" s="4375"/>
      <c r="F517" s="4375"/>
      <c r="G517" s="4375"/>
      <c r="H517" s="11"/>
      <c r="I517" s="12">
        <f t="shared" ref="I517:M518" si="9">IF(I513/((1.09/I515-1)*30)&gt;5,5,I513/((1.09/I515-1)*30))</f>
        <v>-8.333333333333325</v>
      </c>
      <c r="J517" s="12">
        <f t="shared" si="9"/>
        <v>-8.333333333333325</v>
      </c>
      <c r="K517" s="12">
        <f t="shared" si="9"/>
        <v>-8.333333333333325</v>
      </c>
      <c r="L517" s="12">
        <f t="shared" si="9"/>
        <v>-8.333333333333325</v>
      </c>
      <c r="M517" s="12">
        <f t="shared" si="9"/>
        <v>-8.333333333333325</v>
      </c>
      <c r="N517" s="62"/>
      <c r="O517" s="87"/>
      <c r="P517" s="87"/>
      <c r="Q517" s="87"/>
      <c r="R517" s="458"/>
      <c r="S517" s="41"/>
      <c r="T517" s="41"/>
      <c r="U517" s="41"/>
      <c r="V517" s="42"/>
      <c r="W517" s="42"/>
      <c r="X517" s="42"/>
      <c r="Y517" s="42"/>
      <c r="Z517" s="42"/>
      <c r="AA517" s="42"/>
      <c r="AB517" s="42"/>
      <c r="AC517" s="42"/>
      <c r="AD517" s="42"/>
      <c r="AE517" s="42"/>
      <c r="AF517" s="42"/>
      <c r="AG517" s="42"/>
      <c r="AH517" s="42"/>
      <c r="AI517" s="42"/>
      <c r="AJ517" s="42"/>
    </row>
    <row r="518" spans="1:36" x14ac:dyDescent="0.2">
      <c r="A518" s="27"/>
      <c r="B518" s="4375" t="s">
        <v>2019</v>
      </c>
      <c r="C518" s="4375"/>
      <c r="D518" s="4375"/>
      <c r="E518" s="4375"/>
      <c r="F518" s="4375"/>
      <c r="G518" s="4375"/>
      <c r="H518" s="11"/>
      <c r="I518" s="12" t="e">
        <f t="shared" si="9"/>
        <v>#VALUE!</v>
      </c>
      <c r="J518" s="12" t="e">
        <f t="shared" si="9"/>
        <v>#VALUE!</v>
      </c>
      <c r="K518" s="12" t="e">
        <f t="shared" si="9"/>
        <v>#VALUE!</v>
      </c>
      <c r="L518" s="12" t="e">
        <f t="shared" si="9"/>
        <v>#VALUE!</v>
      </c>
      <c r="M518" s="12" t="e">
        <f t="shared" si="9"/>
        <v>#VALUE!</v>
      </c>
      <c r="N518" s="62"/>
      <c r="O518" s="87"/>
      <c r="P518" s="87"/>
      <c r="Q518" s="87"/>
      <c r="R518" s="458"/>
      <c r="S518" s="41"/>
      <c r="T518" s="41"/>
      <c r="U518" s="41"/>
      <c r="V518" s="42"/>
      <c r="W518" s="42"/>
      <c r="X518" s="42"/>
      <c r="Y518" s="42"/>
      <c r="Z518" s="42"/>
      <c r="AA518" s="42"/>
      <c r="AB518" s="42"/>
      <c r="AC518" s="42"/>
      <c r="AD518" s="42"/>
      <c r="AE518" s="42"/>
      <c r="AF518" s="42"/>
      <c r="AG518" s="42"/>
      <c r="AH518" s="42"/>
      <c r="AI518" s="42"/>
      <c r="AJ518" s="42"/>
    </row>
    <row r="519" spans="1:36" x14ac:dyDescent="0.2">
      <c r="A519" s="27"/>
      <c r="B519" s="4375" t="s">
        <v>4264</v>
      </c>
      <c r="C519" s="4375"/>
      <c r="D519" s="4375"/>
      <c r="E519" s="4375"/>
      <c r="F519" s="4375"/>
      <c r="G519" s="4375"/>
      <c r="H519" s="11"/>
      <c r="I519" s="12" t="e">
        <f t="shared" ref="I519:M520" si="10">-0.09+1.184*I504-0.812*I504^2+0.26*I504^3-0.035*I504^4+0.0013*I504^5+0.2022*LN(I517)</f>
        <v>#VALUE!</v>
      </c>
      <c r="J519" s="12" t="e">
        <f t="shared" si="10"/>
        <v>#VALUE!</v>
      </c>
      <c r="K519" s="12" t="e">
        <f t="shared" si="10"/>
        <v>#VALUE!</v>
      </c>
      <c r="L519" s="12" t="e">
        <f t="shared" si="10"/>
        <v>#VALUE!</v>
      </c>
      <c r="M519" s="12" t="e">
        <f t="shared" si="10"/>
        <v>#VALUE!</v>
      </c>
      <c r="N519" s="62"/>
      <c r="O519" s="87"/>
      <c r="P519" s="87"/>
      <c r="Q519" s="87"/>
      <c r="R519" s="458"/>
      <c r="S519" s="41"/>
      <c r="T519" s="41"/>
      <c r="U519" s="41"/>
      <c r="V519" s="42"/>
      <c r="W519" s="42"/>
      <c r="X519" s="42"/>
      <c r="Y519" s="42"/>
      <c r="Z519" s="42"/>
      <c r="AA519" s="42"/>
      <c r="AB519" s="42"/>
      <c r="AC519" s="42"/>
      <c r="AD519" s="42"/>
      <c r="AE519" s="42"/>
      <c r="AF519" s="42"/>
      <c r="AG519" s="42"/>
      <c r="AH519" s="42"/>
      <c r="AI519" s="42"/>
      <c r="AJ519" s="42"/>
    </row>
    <row r="520" spans="1:36" x14ac:dyDescent="0.2">
      <c r="A520" s="27"/>
      <c r="B520" s="4375" t="s">
        <v>4265</v>
      </c>
      <c r="C520" s="4375"/>
      <c r="D520" s="4375"/>
      <c r="E520" s="4375"/>
      <c r="F520" s="4375"/>
      <c r="G520" s="4375"/>
      <c r="H520" s="11"/>
      <c r="I520" s="12" t="e">
        <f t="shared" si="10"/>
        <v>#VALUE!</v>
      </c>
      <c r="J520" s="12" t="e">
        <f t="shared" si="10"/>
        <v>#VALUE!</v>
      </c>
      <c r="K520" s="12" t="e">
        <f t="shared" si="10"/>
        <v>#VALUE!</v>
      </c>
      <c r="L520" s="12" t="e">
        <f t="shared" si="10"/>
        <v>#VALUE!</v>
      </c>
      <c r="M520" s="12" t="e">
        <f t="shared" si="10"/>
        <v>#VALUE!</v>
      </c>
      <c r="N520" s="62"/>
      <c r="O520" s="87"/>
      <c r="P520" s="87"/>
      <c r="Q520" s="87"/>
      <c r="R520" s="458"/>
      <c r="S520" s="41"/>
      <c r="T520" s="41"/>
      <c r="U520" s="41"/>
      <c r="V520" s="42"/>
      <c r="W520" s="42"/>
      <c r="X520" s="42"/>
      <c r="Y520" s="42"/>
      <c r="Z520" s="42"/>
      <c r="AA520" s="42"/>
      <c r="AB520" s="42"/>
      <c r="AC520" s="42"/>
      <c r="AD520" s="42"/>
      <c r="AE520" s="42"/>
      <c r="AF520" s="42"/>
      <c r="AG520" s="42"/>
      <c r="AH520" s="42"/>
      <c r="AI520" s="42"/>
      <c r="AJ520" s="42"/>
    </row>
    <row r="521" spans="1:36" x14ac:dyDescent="0.2">
      <c r="A521" s="27"/>
      <c r="B521" s="4375" t="s">
        <v>4284</v>
      </c>
      <c r="C521" s="4375"/>
      <c r="D521" s="4375"/>
      <c r="E521" s="4375"/>
      <c r="F521" s="4375"/>
      <c r="G521" s="4375"/>
      <c r="H521" s="11"/>
      <c r="I521" s="12" t="e">
        <f>IF(G262=1,I519,I520)</f>
        <v>#VALUE!</v>
      </c>
      <c r="J521" s="12" t="e">
        <f>IF(H262=1,J519,J520)</f>
        <v>#VALUE!</v>
      </c>
      <c r="K521" s="12" t="e">
        <f>IF(I262=1,K519,K520)</f>
        <v>#VALUE!</v>
      </c>
      <c r="L521" s="12" t="e">
        <f>IF(J262=1,L519,L520)</f>
        <v>#VALUE!</v>
      </c>
      <c r="M521" s="12" t="e">
        <f>IF(K262=1,M519,M520)</f>
        <v>#VALUE!</v>
      </c>
      <c r="N521" s="62"/>
      <c r="O521" s="87"/>
      <c r="P521" s="87"/>
      <c r="Q521" s="87"/>
      <c r="R521" s="458"/>
      <c r="S521" s="41"/>
      <c r="T521" s="41"/>
      <c r="U521" s="41"/>
      <c r="V521" s="42"/>
      <c r="W521" s="42"/>
      <c r="X521" s="42"/>
      <c r="Y521" s="42"/>
      <c r="Z521" s="42"/>
      <c r="AA521" s="42"/>
      <c r="AB521" s="42"/>
      <c r="AC521" s="42"/>
      <c r="AD521" s="42"/>
      <c r="AE521" s="42"/>
      <c r="AF521" s="42"/>
      <c r="AG521" s="42"/>
      <c r="AH521" s="42"/>
      <c r="AI521" s="42"/>
      <c r="AJ521" s="42"/>
    </row>
    <row r="522" spans="1:36" x14ac:dyDescent="0.2">
      <c r="A522" s="27"/>
      <c r="B522" s="4375" t="s">
        <v>2020</v>
      </c>
      <c r="C522" s="4375"/>
      <c r="D522" s="4375"/>
      <c r="E522" s="4375"/>
      <c r="F522" s="4375"/>
      <c r="G522" s="4375"/>
      <c r="H522" s="11"/>
      <c r="I522" s="11">
        <f>IF(I511&lt;I510+1,1,0)</f>
        <v>1</v>
      </c>
      <c r="J522" s="11">
        <f>IF(J511&lt;J510+1,1,0)</f>
        <v>1</v>
      </c>
      <c r="K522" s="11">
        <f>IF(K511&lt;K510+1,1,0)</f>
        <v>1</v>
      </c>
      <c r="L522" s="11">
        <f>IF(L511&lt;L510+1,1,0)</f>
        <v>1</v>
      </c>
      <c r="M522" s="11">
        <f>IF(M511&lt;M510+1,1,0)</f>
        <v>1</v>
      </c>
      <c r="N522" s="62"/>
      <c r="O522" s="87"/>
      <c r="P522" s="87"/>
      <c r="Q522" s="87"/>
      <c r="R522" s="458"/>
      <c r="S522" s="41"/>
      <c r="T522" s="41"/>
      <c r="U522" s="41"/>
      <c r="V522" s="42"/>
      <c r="W522" s="42"/>
      <c r="X522" s="42"/>
      <c r="Y522" s="42"/>
      <c r="Z522" s="42"/>
      <c r="AA522" s="42"/>
      <c r="AB522" s="42"/>
      <c r="AC522" s="42"/>
      <c r="AD522" s="42"/>
      <c r="AE522" s="42"/>
      <c r="AF522" s="42"/>
      <c r="AG522" s="42"/>
      <c r="AH522" s="42"/>
      <c r="AI522" s="42"/>
      <c r="AJ522" s="42"/>
    </row>
    <row r="523" spans="1:36" x14ac:dyDescent="0.2">
      <c r="A523" s="27"/>
      <c r="B523" s="4375" t="s">
        <v>2021</v>
      </c>
      <c r="C523" s="4375"/>
      <c r="D523" s="4375"/>
      <c r="E523" s="4375"/>
      <c r="F523" s="4375"/>
      <c r="G523" s="4375"/>
      <c r="H523" s="11"/>
      <c r="I523" s="11" t="e">
        <f>IF(I512&lt;I510+1,1,0)</f>
        <v>#VALUE!</v>
      </c>
      <c r="J523" s="11" t="e">
        <f>IF(J512&lt;J510+1,1,0)</f>
        <v>#VALUE!</v>
      </c>
      <c r="K523" s="11" t="e">
        <f>IF(K512&lt;K510+1,1,0)</f>
        <v>#VALUE!</v>
      </c>
      <c r="L523" s="11" t="e">
        <f>IF(L512&lt;L510+1,1,0)</f>
        <v>#VALUE!</v>
      </c>
      <c r="M523" s="11" t="e">
        <f>IF(M512&lt;M510+1,1,0)</f>
        <v>#VALUE!</v>
      </c>
      <c r="N523" s="62"/>
      <c r="O523" s="87"/>
      <c r="P523" s="87"/>
      <c r="Q523" s="87"/>
      <c r="R523" s="458"/>
      <c r="S523" s="41"/>
      <c r="T523" s="41"/>
      <c r="U523" s="41"/>
      <c r="V523" s="42"/>
      <c r="W523" s="42"/>
      <c r="X523" s="42"/>
      <c r="Y523" s="42"/>
      <c r="Z523" s="42"/>
      <c r="AA523" s="42"/>
      <c r="AB523" s="42"/>
      <c r="AC523" s="42"/>
      <c r="AD523" s="42"/>
      <c r="AE523" s="42"/>
      <c r="AF523" s="42"/>
      <c r="AG523" s="42"/>
      <c r="AH523" s="42"/>
      <c r="AI523" s="42"/>
      <c r="AJ523" s="42"/>
    </row>
    <row r="524" spans="1:36" x14ac:dyDescent="0.2">
      <c r="A524" s="27"/>
      <c r="B524" s="4375" t="s">
        <v>2872</v>
      </c>
      <c r="C524" s="4375"/>
      <c r="D524" s="4375"/>
      <c r="E524" s="4375"/>
      <c r="F524" s="4375"/>
      <c r="G524" s="4375"/>
      <c r="H524" s="11"/>
      <c r="I524" s="11">
        <f>IF(G288&lt;1.11,1.333*G288+0.033,IF(G288&lt;1.3,2.67*G288-1.63,10))</f>
        <v>10</v>
      </c>
      <c r="J524" s="11">
        <f>IF(H288&lt;1.11,1.333*H288+0.033,IF(H288&lt;1.3,2.67*H288-1.63,10))</f>
        <v>10</v>
      </c>
      <c r="K524" s="11">
        <f>IF(I288&lt;1.11,1.333*I288+0.033,IF(I288&lt;1.3,2.67*I288-1.63,10))</f>
        <v>10</v>
      </c>
      <c r="L524" s="11">
        <f>IF(J288&lt;1.11,1.333*J288+0.033,IF(J288&lt;1.3,2.67*J288-1.63,10))</f>
        <v>10</v>
      </c>
      <c r="M524" s="11">
        <f>IF(K288&lt;1.11,1.333*K288+0.033,IF(K288&lt;1.3,2.67*K288-1.63,10))</f>
        <v>10</v>
      </c>
      <c r="N524" s="62"/>
      <c r="O524" s="87"/>
      <c r="P524" s="87"/>
      <c r="Q524" s="87"/>
      <c r="R524" s="458"/>
      <c r="S524" s="41"/>
      <c r="T524" s="41"/>
      <c r="U524" s="41"/>
      <c r="V524" s="42"/>
      <c r="W524" s="42"/>
      <c r="X524" s="42"/>
      <c r="Y524" s="42"/>
      <c r="Z524" s="42"/>
      <c r="AA524" s="42"/>
      <c r="AB524" s="42"/>
      <c r="AC524" s="42"/>
      <c r="AD524" s="42"/>
      <c r="AE524" s="42"/>
      <c r="AF524" s="42"/>
      <c r="AG524" s="42"/>
      <c r="AH524" s="42"/>
      <c r="AI524" s="42"/>
      <c r="AJ524" s="42"/>
    </row>
    <row r="525" spans="1:36" x14ac:dyDescent="0.2">
      <c r="A525" s="27"/>
      <c r="B525" s="4375" t="s">
        <v>4933</v>
      </c>
      <c r="C525" s="4375"/>
      <c r="D525" s="4375"/>
      <c r="E525" s="4375"/>
      <c r="F525" s="4375"/>
      <c r="G525" s="4375"/>
      <c r="H525" s="11"/>
      <c r="I525" s="11" t="e">
        <f>IF(AND(G335=1,I522=1),1/(1+I466/(G288*I463*$B$554*I524)*(1+2*I510/I511)),I519)</f>
        <v>#VALUE!</v>
      </c>
      <c r="J525" s="11" t="e">
        <f>IF(AND(H335=1,J522=1),1/(1+J466/(H288*J463*$B$554*J524)*(1+2*J510/J511)),J519)</f>
        <v>#VALUE!</v>
      </c>
      <c r="K525" s="11" t="e">
        <f>IF(AND(I335=1,K522=1),1/(1+K466/(I288*K463*$B$554*K524)*(1+2*K510/K511)),K519)</f>
        <v>#VALUE!</v>
      </c>
      <c r="L525" s="11" t="e">
        <f>IF(AND(J335=1,L522=1),1/(1+L466/(J288*L463*$B$554*L524)*(1+2*L510/L511)),L519)</f>
        <v>#VALUE!</v>
      </c>
      <c r="M525" s="11" t="e">
        <f>IF(AND(K335=1,M522=1),1/(1+M466/(K288*M463*$B$554*M524)*(1+2*M510/M511)),M519)</f>
        <v>#VALUE!</v>
      </c>
      <c r="N525" s="62"/>
      <c r="O525" s="87"/>
      <c r="P525" s="87"/>
      <c r="Q525" s="87"/>
      <c r="R525" s="458"/>
      <c r="S525" s="41"/>
      <c r="T525" s="41"/>
      <c r="U525" s="41"/>
      <c r="V525" s="42"/>
      <c r="W525" s="42"/>
      <c r="X525" s="42"/>
      <c r="Y525" s="42"/>
      <c r="Z525" s="42"/>
      <c r="AA525" s="42"/>
      <c r="AB525" s="42"/>
      <c r="AC525" s="42"/>
      <c r="AD525" s="42"/>
      <c r="AE525" s="42"/>
      <c r="AF525" s="42"/>
      <c r="AG525" s="42"/>
      <c r="AH525" s="42"/>
      <c r="AI525" s="42"/>
      <c r="AJ525" s="42"/>
    </row>
    <row r="526" spans="1:36" x14ac:dyDescent="0.2">
      <c r="A526" s="27"/>
      <c r="B526" s="4375" t="s">
        <v>2871</v>
      </c>
      <c r="C526" s="4375"/>
      <c r="D526" s="4375"/>
      <c r="E526" s="4375"/>
      <c r="F526" s="4375"/>
      <c r="G526" s="4375"/>
      <c r="H526" s="11"/>
      <c r="I526" s="11" t="e">
        <f>IF(AND(G335=1,I523=1),1/(1+I466/(G288*I463*$B$554*I524)*(1+2*I510/I512)),I520)</f>
        <v>#VALUE!</v>
      </c>
      <c r="J526" s="11" t="e">
        <f>IF(AND(H335=1,J523=1),1/(1+J466/(H288*J463*$B$554*J524)*(1+2*J510/J512)),J520)</f>
        <v>#VALUE!</v>
      </c>
      <c r="K526" s="11" t="e">
        <f>IF(AND(I335=1,K523=1),1/(1+K466/(I288*K463*$B$554*K524)*(1+2*K510/K512)),K520)</f>
        <v>#VALUE!</v>
      </c>
      <c r="L526" s="11" t="e">
        <f>IF(AND(J335=1,L523=1),1/(1+L466/(J288*L463*$B$554*L524)*(1+2*L510/L512)),L520)</f>
        <v>#VALUE!</v>
      </c>
      <c r="M526" s="11" t="e">
        <f>IF(AND(K335=1,M523=1),1/(1+M466/(K288*M463*$B$554*M524)*(1+2*M510/M512)),M520)</f>
        <v>#VALUE!</v>
      </c>
      <c r="N526" s="62"/>
      <c r="O526" s="87"/>
      <c r="P526" s="87"/>
      <c r="Q526" s="87"/>
      <c r="R526" s="458"/>
      <c r="S526" s="41"/>
      <c r="T526" s="41"/>
      <c r="U526" s="41"/>
      <c r="V526" s="42"/>
      <c r="W526" s="42"/>
      <c r="X526" s="42"/>
      <c r="Y526" s="42"/>
      <c r="Z526" s="42"/>
      <c r="AA526" s="42"/>
      <c r="AB526" s="42"/>
      <c r="AC526" s="42"/>
      <c r="AD526" s="42"/>
      <c r="AE526" s="42"/>
      <c r="AF526" s="42"/>
      <c r="AG526" s="42"/>
      <c r="AH526" s="42"/>
      <c r="AI526" s="42"/>
      <c r="AJ526" s="42"/>
    </row>
    <row r="527" spans="1:36" x14ac:dyDescent="0.2">
      <c r="A527" s="27"/>
      <c r="B527" s="4375" t="s">
        <v>2874</v>
      </c>
      <c r="C527" s="4375"/>
      <c r="D527" s="4375"/>
      <c r="E527" s="4375"/>
      <c r="F527" s="4375"/>
      <c r="G527" s="4375"/>
      <c r="H527" s="11"/>
      <c r="I527" s="11" t="e">
        <f>IF(G262=1,I525,I526)</f>
        <v>#VALUE!</v>
      </c>
      <c r="J527" s="11" t="e">
        <f>IF(H262=1,J525,J526)</f>
        <v>#VALUE!</v>
      </c>
      <c r="K527" s="11" t="e">
        <f>IF(I262=1,K525,K526)</f>
        <v>#VALUE!</v>
      </c>
      <c r="L527" s="11" t="e">
        <f>IF(J262=1,L525,L526)</f>
        <v>#VALUE!</v>
      </c>
      <c r="M527" s="11" t="e">
        <f>IF(K262=1,M525,M526)</f>
        <v>#VALUE!</v>
      </c>
      <c r="N527" s="62"/>
      <c r="O527" s="87"/>
      <c r="P527" s="87"/>
      <c r="Q527" s="459"/>
      <c r="R527" s="460"/>
      <c r="S527" s="41"/>
      <c r="T527" s="41"/>
      <c r="U527" s="41"/>
      <c r="V527" s="42"/>
      <c r="W527" s="42"/>
      <c r="X527" s="42"/>
      <c r="Y527" s="42"/>
      <c r="Z527" s="42"/>
      <c r="AA527" s="42"/>
      <c r="AB527" s="42"/>
      <c r="AC527" s="42"/>
      <c r="AD527" s="42"/>
      <c r="AE527" s="42"/>
      <c r="AF527" s="42"/>
      <c r="AG527" s="42"/>
      <c r="AH527" s="42"/>
      <c r="AI527" s="42"/>
      <c r="AJ527" s="42"/>
    </row>
    <row r="528" spans="1:36" x14ac:dyDescent="0.2">
      <c r="A528" s="27"/>
      <c r="B528" s="4460" t="s">
        <v>2875</v>
      </c>
      <c r="C528" s="4460"/>
      <c r="D528" s="4460"/>
      <c r="E528" s="4460"/>
      <c r="F528" s="4460"/>
      <c r="G528" s="4460"/>
      <c r="H528" s="38"/>
      <c r="I528" s="38" t="e">
        <f>IF(G335=1,I527,I521)</f>
        <v>#VALUE!</v>
      </c>
      <c r="J528" s="38" t="e">
        <f>IF(H335=1,J527,J521)</f>
        <v>#VALUE!</v>
      </c>
      <c r="K528" s="38" t="e">
        <f>IF(I335=1,K527,K521)</f>
        <v>#VALUE!</v>
      </c>
      <c r="L528" s="38" t="e">
        <f>IF(J335=1,L527,L521)</f>
        <v>#VALUE!</v>
      </c>
      <c r="M528" s="38" t="e">
        <f>IF(K335=1,M527,M521)</f>
        <v>#VALUE!</v>
      </c>
      <c r="N528" s="62"/>
      <c r="O528" s="87"/>
      <c r="P528" s="87"/>
      <c r="Q528" s="29"/>
      <c r="R528" s="8"/>
      <c r="S528" s="41"/>
      <c r="T528" s="41"/>
      <c r="U528" s="41"/>
      <c r="V528" s="42"/>
      <c r="W528" s="42"/>
      <c r="X528" s="42"/>
      <c r="Y528" s="42"/>
      <c r="Z528" s="42"/>
      <c r="AA528" s="42"/>
      <c r="AB528" s="42"/>
      <c r="AC528" s="42"/>
      <c r="AD528" s="42"/>
      <c r="AE528" s="42"/>
      <c r="AF528" s="42"/>
      <c r="AG528" s="42"/>
      <c r="AH528" s="42"/>
      <c r="AI528" s="42"/>
      <c r="AJ528" s="42"/>
    </row>
    <row r="529" spans="1:36" x14ac:dyDescent="0.2">
      <c r="A529" s="27"/>
      <c r="B529" s="93" t="s">
        <v>1205</v>
      </c>
      <c r="C529" s="29"/>
      <c r="D529" s="29"/>
      <c r="E529" s="29"/>
      <c r="F529" s="29"/>
      <c r="G529" s="29"/>
      <c r="H529" s="29"/>
      <c r="I529" s="14"/>
      <c r="J529" s="14"/>
      <c r="K529" s="14"/>
      <c r="L529" s="14"/>
      <c r="M529" s="14"/>
      <c r="N529" s="62"/>
      <c r="O529" s="87"/>
      <c r="P529" s="87"/>
      <c r="Q529" s="29"/>
      <c r="R529" s="8"/>
      <c r="S529" s="41"/>
      <c r="T529" s="41"/>
      <c r="U529" s="41"/>
      <c r="V529" s="42"/>
      <c r="W529" s="42"/>
      <c r="X529" s="42"/>
      <c r="Y529" s="42"/>
      <c r="Z529" s="42"/>
      <c r="AA529" s="42"/>
      <c r="AB529" s="42"/>
      <c r="AC529" s="42"/>
      <c r="AD529" s="42"/>
      <c r="AE529" s="42"/>
      <c r="AF529" s="42"/>
      <c r="AG529" s="42"/>
      <c r="AH529" s="42"/>
      <c r="AI529" s="42"/>
      <c r="AJ529" s="42"/>
    </row>
    <row r="530" spans="1:36" x14ac:dyDescent="0.2">
      <c r="A530" s="27"/>
      <c r="B530" s="20" t="s">
        <v>1206</v>
      </c>
      <c r="C530" s="30"/>
      <c r="D530" s="30"/>
      <c r="E530" s="30"/>
      <c r="F530" s="30"/>
      <c r="G530" s="30"/>
      <c r="H530" s="11"/>
      <c r="I530" s="124">
        <f>IF(G334&gt;=3,0.93,1)</f>
        <v>0.93</v>
      </c>
      <c r="J530" s="124">
        <f>IF(H334&gt;=3,0.93,1)</f>
        <v>0.93</v>
      </c>
      <c r="K530" s="124">
        <f>IF(I334&gt;=3,0.93,1)</f>
        <v>0.93</v>
      </c>
      <c r="L530" s="124">
        <f>IF(J334&gt;=3,0.93,1)</f>
        <v>0.93</v>
      </c>
      <c r="M530" s="124">
        <f>IF(K334&gt;=3,0.93,1)</f>
        <v>0.93</v>
      </c>
      <c r="N530" s="62"/>
      <c r="O530" s="87"/>
      <c r="P530" s="87"/>
      <c r="Q530" s="29"/>
      <c r="R530" s="8"/>
      <c r="S530" s="41"/>
      <c r="T530" s="41"/>
      <c r="U530" s="41"/>
      <c r="V530" s="42"/>
      <c r="W530" s="42"/>
      <c r="X530" s="42"/>
      <c r="Y530" s="42"/>
      <c r="Z530" s="42"/>
      <c r="AA530" s="42"/>
      <c r="AB530" s="42"/>
      <c r="AC530" s="42"/>
      <c r="AD530" s="42"/>
      <c r="AE530" s="42"/>
      <c r="AF530" s="42"/>
      <c r="AG530" s="42"/>
      <c r="AH530" s="42"/>
      <c r="AI530" s="42"/>
      <c r="AJ530" s="42"/>
    </row>
    <row r="531" spans="1:36" x14ac:dyDescent="0.2">
      <c r="A531" s="27"/>
      <c r="B531" s="4460" t="s">
        <v>578</v>
      </c>
      <c r="C531" s="4460"/>
      <c r="D531" s="4460"/>
      <c r="E531" s="4460"/>
      <c r="F531" s="4460"/>
      <c r="G531" s="4460"/>
      <c r="H531" s="38"/>
      <c r="I531" s="38" t="e">
        <f>1/(1+(I466*I485)/(G288*I463*G291*E65)+(1/I488-1)+(1/I502-1)+(1/I498-1)+(1/I528-1)+(1/(IF(G267=0,1,0.95))-1)+IF(G334&lt;3,1,0.93))</f>
        <v>#VALUE!</v>
      </c>
      <c r="J531" s="38" t="e">
        <f>1/(1+(J466*J485)/(H288*J463*H291*F65)+(1/J488-1)+(1/J502-1)+(1/J498-1)+(1/J528-1)+(1/(IF(H267=0,1,0.95))-1)+IF(H334&lt;3,1,0.93))</f>
        <v>#VALUE!</v>
      </c>
      <c r="K531" s="38" t="e">
        <f>1/(1+(K466*K485)/(I288*K463*I291*G65)+(1/K488-1)+(1/K502-1)+(1/K498-1)+(1/K528-1)+(1/(IF(I267=0,1,0.95))-1)+IF(I334&lt;3,1,0.93))</f>
        <v>#VALUE!</v>
      </c>
      <c r="L531" s="38" t="e">
        <f>1/(1+(L466*L485)/(J288*L463*J291*H65)+(1/L488-1)+(1/L502-1)+(1/L498-1)+(1/L528-1)+(1/(IF(J267=0,1,0.95))-1)+IF(J334&lt;3,1,0.93))</f>
        <v>#VALUE!</v>
      </c>
      <c r="M531" s="38" t="e">
        <f>1/(1+(M466*M485)/(K288*M463*K291*I65)+(1/M488-1)+(1/M502-1)+(1/M498-1)+(1/M528-1)+(1/(IF(K267=0,1,0.95))-1)+IF(K334&lt;3,1,0.93))</f>
        <v>#VALUE!</v>
      </c>
      <c r="N531" s="62"/>
      <c r="O531" s="87"/>
      <c r="P531" s="87"/>
      <c r="Q531" s="62"/>
      <c r="R531" s="42"/>
      <c r="S531" s="41"/>
      <c r="T531" s="41"/>
      <c r="U531" s="41"/>
      <c r="V531" s="42"/>
      <c r="W531" s="42"/>
      <c r="X531" s="42"/>
      <c r="Y531" s="42"/>
      <c r="Z531" s="42"/>
      <c r="AA531" s="42"/>
      <c r="AB531" s="42"/>
      <c r="AC531" s="42"/>
      <c r="AD531" s="42"/>
      <c r="AE531" s="42"/>
      <c r="AF531" s="42"/>
      <c r="AG531" s="42"/>
      <c r="AH531" s="42"/>
      <c r="AI531" s="42"/>
      <c r="AJ531" s="42"/>
    </row>
    <row r="532" spans="1:36" x14ac:dyDescent="0.2">
      <c r="A532" s="11"/>
      <c r="B532" s="4461" t="s">
        <v>3933</v>
      </c>
      <c r="C532" s="4375"/>
      <c r="D532" s="4375"/>
      <c r="E532" s="4375"/>
      <c r="F532" s="4375"/>
      <c r="G532" s="4375"/>
      <c r="H532" s="4375"/>
      <c r="I532" s="4375"/>
      <c r="J532" s="4375"/>
      <c r="K532" s="4375"/>
      <c r="L532" s="4375"/>
      <c r="M532" s="4375"/>
      <c r="N532" s="11"/>
      <c r="O532" s="11"/>
      <c r="P532" s="11"/>
      <c r="Q532" s="11"/>
      <c r="R532" s="42"/>
      <c r="S532" s="42"/>
      <c r="T532" s="42"/>
      <c r="U532" s="42"/>
      <c r="V532" s="42"/>
      <c r="W532" s="42"/>
      <c r="X532" s="42"/>
      <c r="Y532" s="42"/>
      <c r="Z532" s="42"/>
      <c r="AA532" s="42"/>
      <c r="AB532" s="42"/>
      <c r="AC532" s="42"/>
      <c r="AD532" s="42"/>
      <c r="AE532" s="42"/>
      <c r="AF532" s="42"/>
      <c r="AG532" s="42"/>
      <c r="AH532" s="42"/>
      <c r="AI532" s="42"/>
      <c r="AJ532" s="42"/>
    </row>
    <row r="533" spans="1:36" x14ac:dyDescent="0.2">
      <c r="A533" s="11"/>
      <c r="B533" s="25" t="s">
        <v>5455</v>
      </c>
      <c r="C533" s="11"/>
      <c r="D533" s="11"/>
      <c r="E533" s="11"/>
      <c r="F533" s="11"/>
      <c r="G533" s="11"/>
      <c r="H533" s="11"/>
      <c r="I533" s="37">
        <f>I561</f>
        <v>0.96499999999999997</v>
      </c>
      <c r="J533" s="37">
        <f>J561</f>
        <v>0.96499999999999997</v>
      </c>
      <c r="K533" s="37">
        <f>K561</f>
        <v>0.96499999999999997</v>
      </c>
      <c r="L533" s="37">
        <f>L561</f>
        <v>0.96499999999999997</v>
      </c>
      <c r="M533" s="37">
        <f>M561</f>
        <v>0.96499999999999997</v>
      </c>
      <c r="N533" s="11"/>
      <c r="O533" s="11"/>
      <c r="P533" s="11"/>
      <c r="Q533" s="11"/>
      <c r="R533" s="42"/>
      <c r="S533" s="42"/>
      <c r="T533" s="42"/>
      <c r="U533" s="42"/>
      <c r="V533" s="42"/>
      <c r="W533" s="42"/>
      <c r="X533" s="42"/>
      <c r="Y533" s="42"/>
      <c r="Z533" s="42"/>
      <c r="AA533" s="42"/>
      <c r="AB533" s="42"/>
      <c r="AC533" s="42"/>
      <c r="AD533" s="42"/>
      <c r="AE533" s="42"/>
      <c r="AF533" s="42"/>
      <c r="AG533" s="42"/>
      <c r="AH533" s="42"/>
      <c r="AI533" s="42"/>
      <c r="AJ533" s="42"/>
    </row>
    <row r="534" spans="1:36" x14ac:dyDescent="0.2">
      <c r="A534" s="11"/>
      <c r="B534" s="25"/>
      <c r="C534" s="11"/>
      <c r="D534" s="11"/>
      <c r="E534" s="11"/>
      <c r="F534" s="11"/>
      <c r="G534" s="11"/>
      <c r="H534" s="11"/>
      <c r="I534" s="16"/>
      <c r="J534" s="16"/>
      <c r="K534" s="16"/>
      <c r="L534" s="16"/>
      <c r="M534" s="16"/>
      <c r="N534" s="11"/>
      <c r="O534" s="11"/>
      <c r="P534" s="11"/>
      <c r="Q534" s="11"/>
      <c r="R534" s="42"/>
      <c r="S534" s="42"/>
      <c r="T534" s="42"/>
      <c r="U534" s="42"/>
      <c r="V534" s="42"/>
      <c r="W534" s="42"/>
      <c r="X534" s="42"/>
      <c r="Y534" s="42"/>
      <c r="Z534" s="42"/>
      <c r="AA534" s="42"/>
      <c r="AB534" s="42"/>
      <c r="AC534" s="42"/>
      <c r="AD534" s="42"/>
      <c r="AE534" s="42"/>
      <c r="AF534" s="42"/>
      <c r="AG534" s="42"/>
      <c r="AH534" s="42"/>
      <c r="AI534" s="42"/>
      <c r="AJ534" s="42"/>
    </row>
    <row r="535" spans="1:36" x14ac:dyDescent="0.2">
      <c r="A535" s="11"/>
      <c r="B535" s="4461" t="s">
        <v>610</v>
      </c>
      <c r="C535" s="4375"/>
      <c r="D535" s="4375"/>
      <c r="E535" s="4375"/>
      <c r="F535" s="4375"/>
      <c r="G535" s="4375"/>
      <c r="H535" s="11"/>
      <c r="I535" s="16" t="b">
        <f>IF(G338&lt;=3,0.97,IF(G338&lt;5,0.98,IF(G338=5,1)))</f>
        <v>0</v>
      </c>
      <c r="J535" s="16" t="b">
        <f>IF(H338&lt;=3,0.97,IF(H338&lt;5,0.98,IF(H338=5,1)))</f>
        <v>0</v>
      </c>
      <c r="K535" s="16" t="b">
        <f>IF(I338&lt;=3,0.97,IF(I338&lt;5,0.98,IF(I338=5,1)))</f>
        <v>0</v>
      </c>
      <c r="L535" s="16" t="b">
        <f>IF(J338&lt;=3,0.97,IF(J338&lt;5,0.98,IF(J338=5,1)))</f>
        <v>0</v>
      </c>
      <c r="M535" s="16" t="b">
        <f>IF(K338&lt;=3,0.97,IF(K338&lt;5,0.98,IF(K338=5,1)))</f>
        <v>0</v>
      </c>
      <c r="N535" s="11"/>
      <c r="O535" s="11"/>
      <c r="P535" s="11"/>
      <c r="Q535" s="11"/>
      <c r="R535" s="42"/>
      <c r="S535" s="42"/>
      <c r="T535" s="42"/>
      <c r="U535" s="42"/>
      <c r="V535" s="42"/>
      <c r="W535" s="42"/>
      <c r="X535" s="42"/>
      <c r="Y535" s="42"/>
      <c r="Z535" s="42"/>
      <c r="AA535" s="42"/>
      <c r="AB535" s="42"/>
      <c r="AC535" s="42"/>
      <c r="AD535" s="42"/>
      <c r="AE535" s="42"/>
      <c r="AF535" s="42"/>
      <c r="AG535" s="42"/>
      <c r="AH535" s="42"/>
      <c r="AI535" s="42"/>
      <c r="AJ535" s="42"/>
    </row>
    <row r="536" spans="1:36" x14ac:dyDescent="0.2">
      <c r="A536" s="11"/>
      <c r="B536" s="4461" t="s">
        <v>3934</v>
      </c>
      <c r="C536" s="4375"/>
      <c r="D536" s="4375"/>
      <c r="E536" s="4375"/>
      <c r="F536" s="4375"/>
      <c r="G536" s="4375"/>
      <c r="H536" s="4375"/>
      <c r="I536" s="4375"/>
      <c r="J536" s="4375"/>
      <c r="K536" s="4375"/>
      <c r="L536" s="4375"/>
      <c r="M536" s="4375"/>
      <c r="N536" s="11"/>
      <c r="O536" s="11"/>
      <c r="P536" s="11"/>
      <c r="Q536" s="11"/>
      <c r="R536" s="42"/>
      <c r="S536" s="42"/>
      <c r="T536" s="42"/>
      <c r="U536" s="42"/>
      <c r="V536" s="42"/>
      <c r="W536" s="42"/>
      <c r="X536" s="42"/>
      <c r="Y536" s="42"/>
      <c r="Z536" s="42"/>
      <c r="AA536" s="42"/>
      <c r="AB536" s="42"/>
      <c r="AC536" s="42"/>
      <c r="AD536" s="42"/>
      <c r="AE536" s="42"/>
      <c r="AF536" s="42"/>
      <c r="AG536" s="42"/>
      <c r="AH536" s="42"/>
      <c r="AI536" s="42"/>
      <c r="AJ536" s="42"/>
    </row>
    <row r="537" spans="1:36" x14ac:dyDescent="0.2">
      <c r="A537" s="11"/>
      <c r="B537" s="11"/>
      <c r="C537" s="121" t="s">
        <v>1726</v>
      </c>
      <c r="D537" s="11"/>
      <c r="E537" s="11"/>
      <c r="F537" s="11"/>
      <c r="G537" s="11"/>
      <c r="H537" s="11"/>
      <c r="I537" s="15"/>
      <c r="J537" s="15"/>
      <c r="K537" s="15"/>
      <c r="L537" s="15"/>
      <c r="M537" s="15"/>
      <c r="N537" s="11"/>
      <c r="O537" s="11"/>
      <c r="P537" s="11"/>
      <c r="Q537" s="11"/>
      <c r="R537" s="42"/>
      <c r="S537" s="42"/>
      <c r="T537" s="42"/>
      <c r="U537" s="42"/>
      <c r="V537" s="42"/>
      <c r="W537" s="42"/>
      <c r="X537" s="42"/>
      <c r="Y537" s="42"/>
      <c r="Z537" s="42"/>
      <c r="AA537" s="42"/>
      <c r="AB537" s="42"/>
      <c r="AC537" s="42"/>
      <c r="AD537" s="42"/>
      <c r="AE537" s="42"/>
      <c r="AF537" s="42"/>
      <c r="AG537" s="42"/>
      <c r="AH537" s="42"/>
      <c r="AI537" s="42"/>
      <c r="AJ537" s="42"/>
    </row>
    <row r="538" spans="1:36" x14ac:dyDescent="0.2">
      <c r="A538" s="11"/>
      <c r="B538" s="11"/>
      <c r="C538" s="11"/>
      <c r="D538" s="11" t="s">
        <v>1727</v>
      </c>
      <c r="E538" s="11"/>
      <c r="F538" s="11"/>
      <c r="G538" s="11"/>
      <c r="H538" s="11"/>
      <c r="I538" s="16" t="e">
        <f>IF(G241=1,1.2,0)+IF(G249=1,1.2,0)+IF(G250=1,1.2,0)+IF(G251=1,1,0)+IF(G252=1,0.6,0)+IF(G253=1,0.8,0)+IF(G242=1,1.2,0)+IF(G243=1,0.4,0)+IF(G236=0,0,IF(G236&lt;=4,0.6,IF(G236&gt;4,1)))</f>
        <v>#VALUE!</v>
      </c>
      <c r="J538" s="16" t="e">
        <f>IF(H241=1,1.2,0)+IF(H249=1,1.2,0)+IF(H250=1,1.2,0)+IF(H251=1,1,0)+IF(H252=1,0.6,0)+IF(H253=1,0.8,0)+IF(H242=1,1.2,0)+IF(H243=1,0.4,0)+IF(H236=0,0,IF(H236&lt;=4,0.6,IF(H236&gt;4,1)))</f>
        <v>#VALUE!</v>
      </c>
      <c r="K538" s="16" t="e">
        <f>IF(I241=1,1.2,0)+IF(I249=1,1.2,0)+IF(I250=1,1.2,0)+IF(I251=1,1,0)+IF(I252=1,0.6,0)+IF(I253=1,0.8,0)+IF(I242=1,1.2,0)+IF(I243=1,0.4,0)+IF(I236=0,0,IF(I236&lt;=4,0.6,IF(I236&gt;4,1)))</f>
        <v>#VALUE!</v>
      </c>
      <c r="L538" s="16" t="e">
        <f>IF(J241=1,1.2,0)+IF(J249=1,1.2,0)+IF(J250=1,1.2,0)+IF(J251=1,1,0)+IF(J252=1,0.6,0)+IF(J253=1,0.8,0)+IF(J242=1,1.2,0)+IF(J243=1,0.4,0)+IF(J236=0,0,IF(J236&lt;=4,0.6,IF(J236&gt;4,1)))</f>
        <v>#VALUE!</v>
      </c>
      <c r="M538" s="16" t="e">
        <f>IF(K241=1,1.2,0)+IF(K249=1,1.2,0)+IF(K250=1,1.2,0)+IF(K251=1,1,0)+IF(K252=1,0.6,0)+IF(K253=1,0.8,0)+IF(K242=1,1.2,0)+IF(K243=1,0.4,0)+IF(K236=0,0,IF(K236&lt;=4,0.6,IF(K236&gt;4,1)))</f>
        <v>#VALUE!</v>
      </c>
      <c r="N538" s="11"/>
      <c r="O538" s="11"/>
      <c r="P538" s="11"/>
      <c r="Q538" s="11"/>
      <c r="R538" s="42"/>
      <c r="S538" s="42"/>
      <c r="T538" s="42"/>
      <c r="U538" s="42"/>
      <c r="V538" s="42"/>
      <c r="W538" s="42"/>
      <c r="X538" s="42"/>
      <c r="Y538" s="42"/>
      <c r="Z538" s="42"/>
      <c r="AA538" s="42"/>
      <c r="AB538" s="42"/>
      <c r="AC538" s="42"/>
      <c r="AD538" s="42"/>
      <c r="AE538" s="42"/>
      <c r="AF538" s="42"/>
      <c r="AG538" s="42"/>
      <c r="AH538" s="42"/>
      <c r="AI538" s="42"/>
      <c r="AJ538" s="42"/>
    </row>
    <row r="539" spans="1:36" x14ac:dyDescent="0.2">
      <c r="A539" s="11"/>
      <c r="B539" s="11"/>
      <c r="C539" s="11" t="s">
        <v>2592</v>
      </c>
      <c r="D539" s="11"/>
      <c r="E539" s="11"/>
      <c r="F539" s="11"/>
      <c r="G539" s="11"/>
      <c r="H539" s="11"/>
      <c r="I539" s="130" t="e">
        <f>I535*(1-(1-I535)*I538)</f>
        <v>#VALUE!</v>
      </c>
      <c r="J539" s="130" t="e">
        <f>J535*(1-(1-J535)*J538)</f>
        <v>#VALUE!</v>
      </c>
      <c r="K539" s="130" t="e">
        <f>K535*(1-(1-K535)*K538)</f>
        <v>#VALUE!</v>
      </c>
      <c r="L539" s="130" t="e">
        <f>L535*(1-(1-L535)*L538)</f>
        <v>#VALUE!</v>
      </c>
      <c r="M539" s="130" t="e">
        <f>M535*(1-(1-M535)*M538)</f>
        <v>#VALUE!</v>
      </c>
      <c r="N539" s="11"/>
      <c r="O539" s="11"/>
      <c r="P539" s="11"/>
      <c r="Q539" s="11"/>
      <c r="R539" s="42"/>
      <c r="S539" s="42"/>
      <c r="T539" s="42"/>
      <c r="U539" s="42"/>
      <c r="V539" s="42"/>
      <c r="W539" s="42"/>
      <c r="X539" s="42"/>
      <c r="Y539" s="42"/>
      <c r="Z539" s="42"/>
      <c r="AA539" s="42"/>
      <c r="AB539" s="42"/>
      <c r="AC539" s="42"/>
      <c r="AD539" s="42"/>
      <c r="AE539" s="42"/>
      <c r="AF539" s="42"/>
      <c r="AG539" s="42"/>
      <c r="AH539" s="42"/>
      <c r="AI539" s="42"/>
      <c r="AJ539" s="42"/>
    </row>
    <row r="540" spans="1:36" x14ac:dyDescent="0.2">
      <c r="A540" s="11"/>
      <c r="B540" s="11"/>
      <c r="C540" s="121" t="s">
        <v>16</v>
      </c>
      <c r="D540" s="11"/>
      <c r="E540" s="11"/>
      <c r="F540" s="11"/>
      <c r="G540" s="11"/>
      <c r="H540" s="11"/>
      <c r="I540" s="15"/>
      <c r="J540" s="15"/>
      <c r="K540" s="15"/>
      <c r="L540" s="15"/>
      <c r="M540" s="15"/>
      <c r="N540" s="11"/>
      <c r="O540" s="11"/>
      <c r="P540" s="11"/>
      <c r="Q540" s="11"/>
      <c r="R540" s="42"/>
      <c r="S540" s="42"/>
      <c r="T540" s="42"/>
      <c r="U540" s="42"/>
      <c r="V540" s="42"/>
      <c r="W540" s="42"/>
      <c r="X540" s="42"/>
      <c r="Y540" s="42"/>
      <c r="Z540" s="42"/>
      <c r="AA540" s="42"/>
      <c r="AB540" s="42"/>
      <c r="AC540" s="42"/>
      <c r="AD540" s="42"/>
      <c r="AE540" s="42"/>
      <c r="AF540" s="42"/>
      <c r="AG540" s="42"/>
      <c r="AH540" s="42"/>
      <c r="AI540" s="42"/>
      <c r="AJ540" s="42"/>
    </row>
    <row r="541" spans="1:36" x14ac:dyDescent="0.2">
      <c r="A541" s="11"/>
      <c r="B541" s="11"/>
      <c r="C541" s="11"/>
      <c r="D541" s="11" t="s">
        <v>1727</v>
      </c>
      <c r="E541" s="11"/>
      <c r="F541" s="11"/>
      <c r="G541" s="11"/>
      <c r="H541" s="11"/>
      <c r="I541" s="16" t="e">
        <f>IF(G245=1,1.2,0)+IF(G255=1,1.2,0)+IF(G256=1,1.2,0)+IF(G257=1,1,0)+IF(G258=1,0.6,0)+IF(G259=1,0.8,0)+IF(G246=1,1.2,0)+IF(G247=1,0.4,0)+IF(G237=0,0,IF(G237&lt;=4,0.6,IF(G237&gt;4,1)))</f>
        <v>#VALUE!</v>
      </c>
      <c r="J541" s="16" t="e">
        <f>IF(H245=1,1.2,0)+IF(H255=1,1.2,0)+IF(H256=1,1.2,0)+IF(H257=1,1,0)+IF(H258=1,0.6,0)+IF(H259=1,0.8,0)+IF(H246=1,1.2,0)+IF(H247=1,0.4,0)+IF(H237=0,0,IF(H237&lt;=4,0.6,IF(H237&gt;4,1)))</f>
        <v>#VALUE!</v>
      </c>
      <c r="K541" s="16" t="e">
        <f>IF(I245=1,1.2,0)+IF(I255=1,1.2,0)+IF(I256=1,1.2,0)+IF(I257=1,1,0)+IF(I258=1,0.6,0)+IF(I259=1,0.8,0)+IF(I246=1,1.2,0)+IF(I247=1,0.4,0)+IF(I237=0,0,IF(I237&lt;=4,0.6,IF(I237&gt;4,1)))</f>
        <v>#VALUE!</v>
      </c>
      <c r="L541" s="16" t="e">
        <f>IF(J245=1,1.2,0)+IF(J255=1,1.2,0)+IF(J256=1,1.2,0)+IF(J257=1,1,0)+IF(J258=1,0.6,0)+IF(J259=1,0.8,0)+IF(J246=1,1.2,0)+IF(J247=1,0.4,0)+IF(J237=0,0,IF(J237&lt;=4,0.6,IF(J237&gt;4,1)))</f>
        <v>#VALUE!</v>
      </c>
      <c r="M541" s="16" t="e">
        <f>IF(K245=1,1.2,0)+IF(K255=1,1.2,0)+IF(K256=1,1.2,0)+IF(K257=1,1,0)+IF(K258=1,0.6,0)+IF(K259=1,0.8,0)+IF(K246=1,1.2,0)+IF(K247=1,0.4,0)+IF(K237=0,0,IF(K237&lt;=4,0.6,IF(K237&gt;4,1)))</f>
        <v>#VALUE!</v>
      </c>
      <c r="N541" s="25"/>
      <c r="O541" s="25"/>
      <c r="P541" s="25"/>
      <c r="Q541" s="25"/>
      <c r="R541" s="42"/>
      <c r="S541" s="42"/>
      <c r="T541" s="42"/>
      <c r="U541" s="42"/>
      <c r="V541" s="42"/>
      <c r="W541" s="42"/>
      <c r="X541" s="42"/>
      <c r="Y541" s="42"/>
      <c r="Z541" s="42"/>
      <c r="AA541" s="42"/>
      <c r="AB541" s="42"/>
      <c r="AC541" s="42"/>
      <c r="AD541" s="42"/>
      <c r="AE541" s="42"/>
      <c r="AF541" s="42"/>
      <c r="AG541" s="42"/>
      <c r="AH541" s="42"/>
      <c r="AI541" s="42"/>
      <c r="AJ541" s="42"/>
    </row>
    <row r="542" spans="1:36" x14ac:dyDescent="0.2">
      <c r="A542" s="11"/>
      <c r="B542" s="11"/>
      <c r="C542" s="11" t="s">
        <v>2592</v>
      </c>
      <c r="D542" s="11"/>
      <c r="E542" s="11"/>
      <c r="F542" s="11"/>
      <c r="G542" s="11"/>
      <c r="H542" s="11"/>
      <c r="I542" s="118" t="e">
        <f>I535*(1-(1-I533)*I541)</f>
        <v>#VALUE!</v>
      </c>
      <c r="J542" s="118" t="e">
        <f>J535*(1-(1-J533)*J541)</f>
        <v>#VALUE!</v>
      </c>
      <c r="K542" s="118" t="e">
        <f>K535*(1-(1-K533)*K541)</f>
        <v>#VALUE!</v>
      </c>
      <c r="L542" s="118" t="e">
        <f>L535*(1-(1-L533)*L541)</f>
        <v>#VALUE!</v>
      </c>
      <c r="M542" s="118" t="e">
        <f>M535*(1-(1-M533)*M541)</f>
        <v>#VALUE!</v>
      </c>
      <c r="N542" s="25"/>
      <c r="O542" s="25"/>
      <c r="P542" s="25"/>
      <c r="Q542" s="25"/>
      <c r="R542" s="42"/>
      <c r="S542" s="42"/>
      <c r="T542" s="42"/>
      <c r="U542" s="42"/>
      <c r="V542" s="42"/>
      <c r="W542" s="42"/>
      <c r="X542" s="42"/>
      <c r="Y542" s="42"/>
      <c r="Z542" s="42"/>
      <c r="AA542" s="42"/>
      <c r="AB542" s="42"/>
      <c r="AC542" s="42"/>
      <c r="AD542" s="42"/>
      <c r="AE542" s="42"/>
      <c r="AF542" s="42"/>
      <c r="AG542" s="42"/>
      <c r="AH542" s="42"/>
      <c r="AI542" s="42"/>
      <c r="AJ542" s="42"/>
    </row>
    <row r="543" spans="1:36" ht="13.5" x14ac:dyDescent="0.25">
      <c r="A543" s="11"/>
      <c r="B543" s="4460" t="s">
        <v>579</v>
      </c>
      <c r="C543" s="4445"/>
      <c r="D543" s="4445"/>
      <c r="E543" s="4445"/>
      <c r="F543" s="4445"/>
      <c r="G543" s="4445"/>
      <c r="H543" s="27"/>
      <c r="I543" s="125" t="e">
        <f>(0.88-G229/360)*I533*I539*I542</f>
        <v>#VALUE!</v>
      </c>
      <c r="J543" s="125" t="e">
        <f>(0.88-H229/360)*J533*J539*J542</f>
        <v>#VALUE!</v>
      </c>
      <c r="K543" s="125" t="e">
        <f>(0.88-I229/360)*K533*K539*K542</f>
        <v>#VALUE!</v>
      </c>
      <c r="L543" s="125" t="e">
        <f>(0.88-J229/360)*L533*L539*L542</f>
        <v>#VALUE!</v>
      </c>
      <c r="M543" s="125" t="e">
        <f>(0.88-K229/360)*M533*M539*M542</f>
        <v>#VALUE!</v>
      </c>
      <c r="N543" s="25"/>
      <c r="O543" s="25"/>
      <c r="P543" s="25"/>
      <c r="Q543" s="25"/>
      <c r="R543" s="42"/>
      <c r="S543" s="42"/>
      <c r="T543" s="42"/>
      <c r="U543" s="42"/>
      <c r="V543" s="42"/>
      <c r="W543" s="42"/>
      <c r="X543" s="42"/>
      <c r="Y543" s="42"/>
      <c r="Z543" s="42"/>
      <c r="AA543" s="42"/>
      <c r="AB543" s="42"/>
      <c r="AC543" s="42"/>
      <c r="AD543" s="42"/>
      <c r="AE543" s="42"/>
      <c r="AF543" s="42"/>
      <c r="AG543" s="42"/>
      <c r="AH543" s="42"/>
      <c r="AI543" s="42"/>
      <c r="AJ543" s="42"/>
    </row>
    <row r="544" spans="1:36" x14ac:dyDescent="0.2">
      <c r="A544" s="11"/>
      <c r="B544" s="61" t="s">
        <v>2877</v>
      </c>
      <c r="C544" s="11"/>
      <c r="D544" s="27"/>
      <c r="E544" s="27"/>
      <c r="F544" s="27"/>
      <c r="G544" s="27"/>
      <c r="H544" s="27"/>
      <c r="I544" s="37"/>
      <c r="J544" s="37"/>
      <c r="K544" s="37"/>
      <c r="L544" s="37"/>
      <c r="M544" s="37"/>
      <c r="N544" s="25"/>
      <c r="O544" s="25"/>
      <c r="P544" s="25"/>
      <c r="Q544" s="73"/>
      <c r="R544" s="46"/>
      <c r="S544" s="42"/>
      <c r="T544" s="42"/>
      <c r="U544" s="42"/>
      <c r="V544" s="42"/>
      <c r="W544" s="42"/>
      <c r="X544" s="42"/>
      <c r="Y544" s="42"/>
      <c r="Z544" s="42"/>
      <c r="AA544" s="42"/>
      <c r="AB544" s="42"/>
      <c r="AC544" s="42"/>
      <c r="AD544" s="42"/>
      <c r="AE544" s="42"/>
      <c r="AF544" s="42"/>
      <c r="AG544" s="42"/>
      <c r="AH544" s="42"/>
      <c r="AI544" s="42"/>
      <c r="AJ544" s="42"/>
    </row>
    <row r="545" spans="1:36" x14ac:dyDescent="0.2">
      <c r="A545" s="11"/>
      <c r="B545" s="38" t="s">
        <v>1134</v>
      </c>
      <c r="C545" s="11"/>
      <c r="D545" s="27"/>
      <c r="E545" s="27"/>
      <c r="F545" s="27"/>
      <c r="G545" s="27"/>
      <c r="H545" s="27"/>
      <c r="I545" s="123" t="e">
        <f>-0.206+0.395*I531+0.0048*I531^2+0.778*I543-0.264*I543^2</f>
        <v>#VALUE!</v>
      </c>
      <c r="J545" s="123" t="e">
        <f>-0.206+0.395*J531+0.0048*J531^2+0.778*J543-0.264*J543^2</f>
        <v>#VALUE!</v>
      </c>
      <c r="K545" s="123" t="e">
        <f>-0.206+0.395*K531+0.0048*K531^2+0.778*K543-0.264*K543^2</f>
        <v>#VALUE!</v>
      </c>
      <c r="L545" s="123" t="e">
        <f>-0.206+0.395*L531+0.0048*L531^2+0.778*L543-0.264*L543^2</f>
        <v>#VALUE!</v>
      </c>
      <c r="M545" s="123" t="e">
        <f>-0.206+0.395*M531+0.0048*M531^2+0.778*M543-0.264*M543^2</f>
        <v>#VALUE!</v>
      </c>
      <c r="N545" s="25"/>
      <c r="O545" s="25"/>
      <c r="P545" s="25"/>
      <c r="Q545" s="73"/>
      <c r="R545" s="46"/>
      <c r="S545" s="42"/>
      <c r="T545" s="42"/>
      <c r="U545" s="42"/>
      <c r="V545" s="42"/>
      <c r="W545" s="42"/>
      <c r="X545" s="42"/>
      <c r="Y545" s="42"/>
      <c r="Z545" s="42"/>
      <c r="AA545" s="42"/>
      <c r="AB545" s="42"/>
      <c r="AC545" s="42"/>
      <c r="AD545" s="42"/>
      <c r="AE545" s="42"/>
      <c r="AF545" s="42"/>
      <c r="AG545" s="42"/>
      <c r="AH545" s="42"/>
      <c r="AI545" s="42"/>
      <c r="AJ545" s="42"/>
    </row>
    <row r="546" spans="1:36" x14ac:dyDescent="0.2">
      <c r="A546" s="11"/>
      <c r="B546" s="38"/>
      <c r="C546" s="11"/>
      <c r="D546" s="27"/>
      <c r="E546" s="27"/>
      <c r="F546" s="27"/>
      <c r="G546" s="27"/>
      <c r="H546" s="27"/>
      <c r="I546" s="125"/>
      <c r="J546" s="125"/>
      <c r="K546" s="125"/>
      <c r="L546" s="125"/>
      <c r="M546" s="125"/>
      <c r="N546" s="25"/>
      <c r="O546" s="25"/>
      <c r="P546" s="25"/>
      <c r="Q546" s="73"/>
      <c r="R546" s="46"/>
      <c r="S546" s="42"/>
      <c r="T546" s="42"/>
      <c r="U546" s="42"/>
      <c r="V546" s="42"/>
      <c r="W546" s="42"/>
      <c r="X546" s="42"/>
      <c r="Y546" s="42"/>
      <c r="Z546" s="42"/>
      <c r="AA546" s="42"/>
      <c r="AB546" s="42"/>
      <c r="AC546" s="42"/>
      <c r="AD546" s="42"/>
      <c r="AE546" s="42"/>
      <c r="AF546" s="42"/>
      <c r="AG546" s="42"/>
      <c r="AH546" s="42"/>
      <c r="AI546" s="42"/>
      <c r="AJ546" s="42"/>
    </row>
    <row r="547" spans="1:36" x14ac:dyDescent="0.2">
      <c r="A547" s="19"/>
      <c r="B547" s="131"/>
      <c r="C547" s="19"/>
      <c r="D547" s="132"/>
      <c r="E547" s="132"/>
      <c r="F547" s="132"/>
      <c r="G547" s="132"/>
      <c r="H547" s="132"/>
      <c r="I547" s="133"/>
      <c r="J547" s="133"/>
      <c r="K547" s="133"/>
      <c r="L547" s="133"/>
      <c r="M547" s="133"/>
      <c r="N547" s="25"/>
      <c r="O547" s="25"/>
      <c r="P547" s="25"/>
      <c r="Q547" s="73"/>
      <c r="R547" s="46"/>
      <c r="S547" s="42"/>
      <c r="T547" s="42"/>
      <c r="U547" s="42"/>
      <c r="V547" s="42"/>
      <c r="W547" s="42"/>
      <c r="X547" s="42"/>
      <c r="Y547" s="42"/>
      <c r="Z547" s="42"/>
      <c r="AA547" s="42"/>
      <c r="AB547" s="42"/>
      <c r="AC547" s="42"/>
      <c r="AD547" s="42"/>
      <c r="AE547" s="42"/>
      <c r="AF547" s="42"/>
      <c r="AG547" s="42"/>
      <c r="AH547" s="42"/>
      <c r="AI547" s="42"/>
      <c r="AJ547" s="42"/>
    </row>
    <row r="548" spans="1:36" x14ac:dyDescent="0.2">
      <c r="A548" s="11"/>
      <c r="B548" s="38"/>
      <c r="C548" s="11"/>
      <c r="D548" s="27"/>
      <c r="E548" s="27"/>
      <c r="F548" s="27"/>
      <c r="G548" s="27"/>
      <c r="H548" s="27"/>
      <c r="I548" s="125"/>
      <c r="J548" s="125"/>
      <c r="K548" s="125"/>
      <c r="L548" s="125"/>
      <c r="M548" s="125"/>
      <c r="N548" s="25"/>
      <c r="O548" s="25"/>
      <c r="P548" s="25"/>
      <c r="Q548" s="73"/>
      <c r="R548" s="46"/>
      <c r="S548" s="42"/>
      <c r="T548" s="42"/>
      <c r="U548" s="42"/>
      <c r="V548" s="42"/>
      <c r="W548" s="42"/>
      <c r="X548" s="42"/>
      <c r="Y548" s="42"/>
      <c r="Z548" s="42"/>
      <c r="AA548" s="42"/>
      <c r="AB548" s="42"/>
      <c r="AC548" s="42"/>
      <c r="AD548" s="42"/>
      <c r="AE548" s="42"/>
      <c r="AF548" s="42"/>
      <c r="AG548" s="42"/>
      <c r="AH548" s="42"/>
      <c r="AI548" s="42"/>
      <c r="AJ548" s="42"/>
    </row>
    <row r="549" spans="1:36" ht="15.75" x14ac:dyDescent="0.25">
      <c r="A549" s="11"/>
      <c r="B549" s="38"/>
      <c r="C549" s="10" t="s">
        <v>733</v>
      </c>
      <c r="D549" s="27"/>
      <c r="E549" s="27"/>
      <c r="F549" s="27"/>
      <c r="G549" s="27"/>
      <c r="H549" s="27"/>
      <c r="I549" s="125"/>
      <c r="J549" s="125"/>
      <c r="K549" s="125"/>
      <c r="L549" s="125"/>
      <c r="M549" s="125"/>
      <c r="N549" s="25"/>
      <c r="O549" s="25"/>
      <c r="P549" s="25"/>
      <c r="Q549" s="73"/>
      <c r="R549" s="46"/>
      <c r="S549" s="42"/>
      <c r="T549" s="42"/>
      <c r="U549" s="42"/>
      <c r="V549" s="42"/>
      <c r="W549" s="42"/>
      <c r="X549" s="42"/>
      <c r="Y549" s="42"/>
      <c r="Z549" s="42"/>
      <c r="AA549" s="42"/>
      <c r="AB549" s="42"/>
      <c r="AC549" s="42"/>
      <c r="AD549" s="42"/>
      <c r="AE549" s="42"/>
      <c r="AF549" s="42"/>
      <c r="AG549" s="42"/>
      <c r="AH549" s="42"/>
      <c r="AI549" s="42"/>
      <c r="AJ549" s="42"/>
    </row>
    <row r="550" spans="1:36" x14ac:dyDescent="0.2">
      <c r="A550" s="11"/>
      <c r="B550" s="11"/>
      <c r="C550" s="11"/>
      <c r="D550" s="11"/>
      <c r="E550" s="11"/>
      <c r="F550" s="11"/>
      <c r="G550" s="11"/>
      <c r="H550" s="11"/>
      <c r="I550" s="11"/>
      <c r="J550" s="134"/>
      <c r="K550" s="11"/>
      <c r="L550" s="62"/>
      <c r="M550" s="11"/>
      <c r="N550" s="11"/>
      <c r="O550" s="11"/>
      <c r="P550" s="11"/>
      <c r="Q550" s="11"/>
      <c r="R550" s="42"/>
      <c r="S550" s="42"/>
      <c r="T550" s="42"/>
      <c r="U550" s="42"/>
      <c r="V550" s="42"/>
      <c r="W550" s="42"/>
      <c r="X550" s="42"/>
      <c r="Y550" s="42"/>
      <c r="Z550" s="42"/>
      <c r="AA550" s="42"/>
      <c r="AB550" s="42"/>
      <c r="AC550" s="42"/>
      <c r="AD550" s="42"/>
      <c r="AE550" s="42"/>
      <c r="AF550" s="42"/>
      <c r="AG550" s="42"/>
      <c r="AH550" s="42"/>
      <c r="AI550" s="42"/>
      <c r="AJ550" s="42"/>
    </row>
    <row r="551" spans="1:36" ht="13.5" thickBot="1" x14ac:dyDescent="0.25">
      <c r="A551" s="25" t="s">
        <v>2882</v>
      </c>
      <c r="B551" s="11"/>
      <c r="C551" s="11"/>
      <c r="D551" s="11"/>
      <c r="E551" s="11"/>
      <c r="F551" s="11"/>
      <c r="G551" s="11"/>
      <c r="H551" s="25" t="s">
        <v>611</v>
      </c>
      <c r="I551" s="11"/>
      <c r="J551" s="70"/>
      <c r="K551" s="11"/>
      <c r="L551" s="11"/>
      <c r="M551" s="62"/>
      <c r="N551" s="11"/>
      <c r="O551" s="11"/>
      <c r="P551" s="11"/>
      <c r="Q551" s="11"/>
      <c r="R551" s="42"/>
      <c r="S551" s="42"/>
      <c r="T551" s="42"/>
      <c r="U551" s="42"/>
      <c r="V551" s="42"/>
      <c r="W551" s="42"/>
      <c r="X551" s="42"/>
      <c r="Y551" s="42"/>
      <c r="Z551" s="42"/>
      <c r="AA551" s="42"/>
      <c r="AB551" s="42"/>
      <c r="AC551" s="42"/>
      <c r="AD551" s="42"/>
      <c r="AE551" s="42"/>
      <c r="AF551" s="42"/>
      <c r="AG551" s="42"/>
      <c r="AH551" s="42"/>
      <c r="AI551" s="42"/>
      <c r="AJ551" s="42"/>
    </row>
    <row r="552" spans="1:36" ht="13.5" thickBot="1" x14ac:dyDescent="0.25">
      <c r="A552" s="4468" t="s">
        <v>5488</v>
      </c>
      <c r="B552" s="4462" t="s">
        <v>5457</v>
      </c>
      <c r="C552" s="4462" t="s">
        <v>3662</v>
      </c>
      <c r="D552" s="4464" t="s">
        <v>2883</v>
      </c>
      <c r="E552" s="4471"/>
      <c r="F552" s="4471"/>
      <c r="G552" s="4471"/>
      <c r="H552" s="4465"/>
      <c r="I552" s="4474" t="s">
        <v>3663</v>
      </c>
      <c r="J552" s="135"/>
      <c r="K552" s="11"/>
      <c r="L552" s="136" t="s">
        <v>15</v>
      </c>
      <c r="M552" s="11"/>
      <c r="N552" s="11"/>
      <c r="O552" s="11"/>
      <c r="P552" s="11"/>
      <c r="Q552" s="11"/>
      <c r="R552" s="42"/>
      <c r="S552" s="42"/>
      <c r="T552" s="42"/>
      <c r="U552" s="42"/>
      <c r="V552" s="42"/>
      <c r="W552" s="42"/>
      <c r="X552" s="42"/>
      <c r="Y552" s="42"/>
      <c r="Z552" s="42"/>
      <c r="AA552" s="42"/>
      <c r="AB552" s="42"/>
      <c r="AC552" s="42"/>
      <c r="AD552" s="42"/>
      <c r="AE552" s="42"/>
      <c r="AF552" s="42"/>
      <c r="AG552" s="42"/>
      <c r="AH552" s="42"/>
      <c r="AI552" s="42"/>
      <c r="AJ552" s="42"/>
    </row>
    <row r="553" spans="1:36" ht="37.5" customHeight="1" thickBot="1" x14ac:dyDescent="0.25">
      <c r="A553" s="4469"/>
      <c r="B553" s="4470"/>
      <c r="C553" s="4470"/>
      <c r="D553" s="137" t="s">
        <v>138</v>
      </c>
      <c r="E553" s="138" t="s">
        <v>139</v>
      </c>
      <c r="F553" s="138" t="s">
        <v>140</v>
      </c>
      <c r="G553" s="138" t="s">
        <v>141</v>
      </c>
      <c r="H553" s="139" t="s">
        <v>125</v>
      </c>
      <c r="I553" s="4475"/>
      <c r="J553" s="140"/>
      <c r="K553" s="11"/>
      <c r="L553" s="141" t="s">
        <v>734</v>
      </c>
      <c r="M553" s="64" t="s">
        <v>735</v>
      </c>
      <c r="N553" s="64" t="s">
        <v>736</v>
      </c>
      <c r="O553" s="64" t="s">
        <v>737</v>
      </c>
      <c r="P553" s="142" t="s">
        <v>738</v>
      </c>
      <c r="Q553" s="11"/>
      <c r="R553" s="42"/>
      <c r="S553" s="42"/>
      <c r="T553" s="42"/>
      <c r="U553" s="42"/>
      <c r="V553" s="42"/>
      <c r="W553" s="42"/>
      <c r="X553" s="42"/>
      <c r="Y553" s="42"/>
      <c r="Z553" s="42"/>
      <c r="AA553" s="42"/>
      <c r="AB553" s="42"/>
      <c r="AC553" s="42"/>
      <c r="AD553" s="42"/>
      <c r="AE553" s="42"/>
      <c r="AF553" s="42"/>
      <c r="AG553" s="42"/>
      <c r="AH553" s="42"/>
      <c r="AI553" s="42"/>
      <c r="AJ553" s="42"/>
    </row>
    <row r="554" spans="1:36" ht="13.5" thickBot="1" x14ac:dyDescent="0.25">
      <c r="A554" s="143" t="e">
        <f>INDEX($A$606:$A$618,G290)</f>
        <v>#VALUE!</v>
      </c>
      <c r="B554" s="143" t="b">
        <f>G291</f>
        <v>0</v>
      </c>
      <c r="C554" s="143" t="e">
        <f>INDEX($P$606:$P$618,G290)</f>
        <v>#VALUE!</v>
      </c>
      <c r="D554" s="143" t="e">
        <f>INDEX($B$606:$B$618,G290,1)</f>
        <v>#VALUE!</v>
      </c>
      <c r="E554" s="143" t="e">
        <f>INDEX($C$606:$C$618,G290,1)</f>
        <v>#VALUE!</v>
      </c>
      <c r="F554" s="143" t="e">
        <f>INDEX($D$606:$D$618,G290,1)</f>
        <v>#VALUE!</v>
      </c>
      <c r="G554" s="143" t="e">
        <f>INDEX($E$606:$E$618,G290,1)</f>
        <v>#VALUE!</v>
      </c>
      <c r="H554" s="143" t="e">
        <f>INDEX($F$606:$F$618,G290,1)</f>
        <v>#VALUE!</v>
      </c>
      <c r="I554" s="144" t="e">
        <f>INDEX($N$606:$N$618,G290)</f>
        <v>#VALUE!</v>
      </c>
      <c r="J554" s="145"/>
      <c r="K554" s="11"/>
      <c r="L554" s="146">
        <f>IF($G$341=1,0.11,IF($G$341=2,0.21,IF($G$341=3,0.42,0.51)))</f>
        <v>0.51</v>
      </c>
      <c r="M554" s="147">
        <f>IF($G$341=1,2.11,IF($G$341=2,1.86,IF($G$341=3,1.36,0.51)))</f>
        <v>0.51</v>
      </c>
      <c r="N554" s="148">
        <f>IF($G$341=1,1.6,IF($G$341=2,1.5,IF($G$341=3,1.4,1.2)))</f>
        <v>1.2</v>
      </c>
      <c r="O554" s="148">
        <f>IF($G$341=1,0.2,IF($G$341=2,0.38,IF($G$341=3,0.66,0.8)))</f>
        <v>0.8</v>
      </c>
      <c r="P554" s="149">
        <f>IF($G$341=1,4.1,IF($G$341=2,4.35,IF($G$341=3,2.13,2)))</f>
        <v>2</v>
      </c>
      <c r="Q554" s="11"/>
      <c r="R554" s="49"/>
      <c r="S554" s="49"/>
      <c r="T554" s="49"/>
      <c r="U554" s="49"/>
      <c r="V554" s="49"/>
      <c r="W554" s="49"/>
      <c r="X554" s="49"/>
      <c r="Y554" s="49"/>
      <c r="Z554" s="49"/>
      <c r="AA554" s="49"/>
      <c r="AB554" s="49"/>
      <c r="AC554" s="49"/>
      <c r="AD554" s="49"/>
      <c r="AE554" s="49"/>
      <c r="AF554" s="49"/>
      <c r="AG554" s="49"/>
      <c r="AH554" s="49"/>
      <c r="AI554" s="49"/>
      <c r="AJ554" s="49"/>
    </row>
    <row r="555" spans="1:36" ht="13.5" thickBot="1" x14ac:dyDescent="0.25">
      <c r="A555" s="4462" t="s">
        <v>3664</v>
      </c>
      <c r="B555" s="4464" t="s">
        <v>5529</v>
      </c>
      <c r="C555" s="4465"/>
      <c r="D555" s="4464" t="s">
        <v>5456</v>
      </c>
      <c r="E555" s="4465"/>
      <c r="F555" s="4464" t="s">
        <v>4927</v>
      </c>
      <c r="G555" s="4465"/>
      <c r="H555" s="4464" t="s">
        <v>5528</v>
      </c>
      <c r="I555" s="4465"/>
      <c r="J555" s="145"/>
      <c r="K555" s="11"/>
      <c r="L555" s="150">
        <v>1</v>
      </c>
      <c r="M555" s="18">
        <v>2</v>
      </c>
      <c r="N555" s="151">
        <v>3</v>
      </c>
      <c r="O555" s="18">
        <v>4</v>
      </c>
      <c r="P555" s="152">
        <v>5</v>
      </c>
      <c r="Q555" s="11"/>
      <c r="R555" s="49"/>
      <c r="S555" s="49"/>
      <c r="T555" s="49"/>
      <c r="U555" s="49"/>
      <c r="V555" s="49"/>
      <c r="W555" s="49"/>
      <c r="X555" s="49"/>
      <c r="Y555" s="49"/>
      <c r="Z555" s="49"/>
      <c r="AA555" s="49"/>
      <c r="AB555" s="49"/>
      <c r="AC555" s="49"/>
      <c r="AD555" s="49"/>
      <c r="AE555" s="49"/>
      <c r="AF555" s="49"/>
      <c r="AG555" s="49"/>
      <c r="AH555" s="49"/>
      <c r="AI555" s="49"/>
      <c r="AJ555" s="49"/>
    </row>
    <row r="556" spans="1:36" ht="44.25" thickBot="1" x14ac:dyDescent="0.25">
      <c r="A556" s="4463"/>
      <c r="B556" s="153" t="s">
        <v>142</v>
      </c>
      <c r="C556" s="138" t="s">
        <v>143</v>
      </c>
      <c r="D556" s="154" t="s">
        <v>130</v>
      </c>
      <c r="E556" s="139" t="s">
        <v>131</v>
      </c>
      <c r="F556" s="155" t="s">
        <v>4932</v>
      </c>
      <c r="G556" s="156" t="s">
        <v>4155</v>
      </c>
      <c r="H556" s="157" t="s">
        <v>2914</v>
      </c>
      <c r="I556" s="157" t="s">
        <v>126</v>
      </c>
      <c r="J556" s="70"/>
      <c r="K556" s="121"/>
      <c r="L556" s="62"/>
      <c r="M556" s="121"/>
      <c r="N556" s="121"/>
      <c r="O556" s="121"/>
      <c r="P556" s="121"/>
      <c r="Q556" s="121"/>
      <c r="R556" s="42"/>
      <c r="S556" s="42"/>
      <c r="T556" s="42"/>
      <c r="U556" s="42"/>
      <c r="V556" s="42"/>
      <c r="W556" s="42"/>
      <c r="X556" s="42"/>
      <c r="Y556" s="42"/>
      <c r="Z556" s="42"/>
      <c r="AA556" s="42"/>
      <c r="AB556" s="42"/>
      <c r="AC556" s="42"/>
      <c r="AD556" s="42"/>
      <c r="AE556" s="42"/>
      <c r="AF556" s="42"/>
      <c r="AG556" s="42"/>
      <c r="AH556" s="42"/>
      <c r="AI556" s="42"/>
      <c r="AJ556" s="42"/>
    </row>
    <row r="557" spans="1:36" ht="13.5" thickBot="1" x14ac:dyDescent="0.25">
      <c r="A557" s="158" t="e">
        <f>INDEX($O$606:$O$618,G290)</f>
        <v>#VALUE!</v>
      </c>
      <c r="B557" s="159" t="e">
        <f>INDEX($J$606:$J$618,G290,1)</f>
        <v>#VALUE!</v>
      </c>
      <c r="C557" s="159" t="e">
        <f>INDEX($K$606:$K$618,G290,1)</f>
        <v>#VALUE!</v>
      </c>
      <c r="D557" s="159" t="e">
        <f>INDEX($L$606:$L$618,G290,1)</f>
        <v>#VALUE!</v>
      </c>
      <c r="E557" s="159" t="e">
        <f>INDEX($M$606:$M$618,G290,1)</f>
        <v>#VALUE!</v>
      </c>
      <c r="F557" s="160" t="e">
        <f>INDEX($R$606:$R$618,G290,1)</f>
        <v>#VALUE!</v>
      </c>
      <c r="G557" s="160" t="e">
        <f>INDEX($S$606:$S$618,G290,1)</f>
        <v>#VALUE!</v>
      </c>
      <c r="H557" s="161" t="e">
        <f>INDEX($G$606:$G$618,G290,1)</f>
        <v>#VALUE!</v>
      </c>
      <c r="I557" s="161" t="e">
        <f>INDEX($H$606:$H$618,G290,1)</f>
        <v>#VALUE!</v>
      </c>
      <c r="J557" s="140"/>
      <c r="K557" s="121"/>
      <c r="L557" s="62"/>
      <c r="M557" s="121"/>
      <c r="N557" s="121"/>
      <c r="O557" s="121"/>
      <c r="P557" s="121"/>
      <c r="Q557" s="121"/>
      <c r="R557" s="42"/>
      <c r="S557" s="42"/>
      <c r="T557" s="42"/>
      <c r="U557" s="42"/>
      <c r="V557" s="42"/>
      <c r="W557" s="42"/>
      <c r="X557" s="42"/>
      <c r="Y557" s="42"/>
      <c r="Z557" s="42"/>
      <c r="AA557" s="42"/>
      <c r="AB557" s="42"/>
      <c r="AC557" s="42"/>
      <c r="AD557" s="42"/>
      <c r="AE557" s="42"/>
      <c r="AF557" s="42"/>
      <c r="AG557" s="42"/>
      <c r="AH557" s="42"/>
      <c r="AI557" s="42"/>
      <c r="AJ557" s="42"/>
    </row>
    <row r="558" spans="1:36" ht="13.5" thickBot="1" x14ac:dyDescent="0.25">
      <c r="A558" s="11"/>
      <c r="B558" s="11"/>
      <c r="C558" s="11"/>
      <c r="D558" s="11"/>
      <c r="E558" s="11"/>
      <c r="F558" s="11"/>
      <c r="G558" s="11"/>
      <c r="H558" s="157" t="s">
        <v>127</v>
      </c>
      <c r="I558" s="161" t="e">
        <f>INDEX($I$606:$I$618,G290,1)</f>
        <v>#VALUE!</v>
      </c>
      <c r="J558" s="162"/>
      <c r="K558" s="27"/>
      <c r="L558" s="11"/>
      <c r="M558" s="25"/>
      <c r="N558" s="25"/>
      <c r="O558" s="25"/>
      <c r="P558" s="25"/>
      <c r="Q558" s="25"/>
      <c r="R558" s="45"/>
      <c r="S558" s="45"/>
      <c r="T558" s="45"/>
      <c r="U558" s="45"/>
      <c r="V558" s="45"/>
      <c r="W558" s="45"/>
      <c r="X558" s="45"/>
      <c r="Y558" s="45"/>
      <c r="Z558" s="45"/>
      <c r="AA558" s="45"/>
      <c r="AB558" s="45"/>
      <c r="AC558" s="45"/>
      <c r="AD558" s="45"/>
      <c r="AE558" s="45"/>
      <c r="AF558" s="45"/>
      <c r="AG558" s="45"/>
      <c r="AH558" s="45"/>
      <c r="AI558" s="45"/>
      <c r="AJ558" s="45"/>
    </row>
    <row r="559" spans="1:36" x14ac:dyDescent="0.2">
      <c r="A559" s="11"/>
      <c r="B559" s="27" t="s">
        <v>4928</v>
      </c>
      <c r="C559" s="30"/>
      <c r="D559" s="11"/>
      <c r="E559" s="11"/>
      <c r="F559" s="23" t="e">
        <f>INDEX($D$570:$D$582,G290)</f>
        <v>#VALUE!</v>
      </c>
      <c r="G559" s="11"/>
      <c r="H559" s="11"/>
      <c r="I559" s="11"/>
      <c r="J559" s="163"/>
      <c r="K559" s="27"/>
      <c r="L559" s="27"/>
      <c r="M559" s="25"/>
      <c r="N559" s="25"/>
      <c r="O559" s="25"/>
      <c r="P559" s="25"/>
      <c r="Q559" s="25"/>
      <c r="R559" s="45"/>
      <c r="S559" s="45"/>
      <c r="T559" s="45"/>
      <c r="U559" s="45"/>
      <c r="V559" s="45"/>
      <c r="W559" s="45"/>
      <c r="X559" s="45"/>
      <c r="Y559" s="45"/>
      <c r="Z559" s="45"/>
      <c r="AA559" s="45"/>
      <c r="AB559" s="45"/>
      <c r="AC559" s="45"/>
      <c r="AD559" s="45"/>
      <c r="AE559" s="45"/>
      <c r="AF559" s="45"/>
      <c r="AG559" s="45"/>
      <c r="AH559" s="45"/>
      <c r="AI559" s="45"/>
      <c r="AJ559" s="45"/>
    </row>
    <row r="560" spans="1:36" x14ac:dyDescent="0.2">
      <c r="A560" s="11"/>
      <c r="B560" s="27"/>
      <c r="C560" s="25" t="s">
        <v>4929</v>
      </c>
      <c r="D560" s="11"/>
      <c r="E560" s="11"/>
      <c r="F560" s="11"/>
      <c r="G560" s="11"/>
      <c r="H560" s="11"/>
      <c r="I560" s="91"/>
      <c r="J560" s="162"/>
      <c r="K560" s="27"/>
      <c r="L560" s="27"/>
      <c r="M560" s="27"/>
      <c r="N560" s="27"/>
      <c r="O560" s="27"/>
      <c r="P560" s="27"/>
      <c r="Q560" s="27"/>
      <c r="R560" s="45"/>
      <c r="S560" s="45"/>
      <c r="T560" s="45"/>
      <c r="U560" s="45"/>
      <c r="V560" s="45"/>
      <c r="W560" s="45"/>
      <c r="X560" s="45"/>
      <c r="Y560" s="45"/>
      <c r="Z560" s="45"/>
      <c r="AA560" s="45"/>
      <c r="AB560" s="45"/>
      <c r="AC560" s="45"/>
      <c r="AD560" s="45"/>
      <c r="AE560" s="45"/>
      <c r="AF560" s="45"/>
      <c r="AG560" s="45"/>
      <c r="AH560" s="45"/>
      <c r="AI560" s="45"/>
      <c r="AJ560" s="45"/>
    </row>
    <row r="561" spans="1:36" x14ac:dyDescent="0.2">
      <c r="A561" s="11"/>
      <c r="B561" s="27" t="s">
        <v>4930</v>
      </c>
      <c r="C561" s="27"/>
      <c r="D561" s="11"/>
      <c r="E561" s="11"/>
      <c r="F561" s="11"/>
      <c r="G561" s="11"/>
      <c r="H561" s="11"/>
      <c r="I561" s="164">
        <v>0.96499999999999997</v>
      </c>
      <c r="J561" s="164">
        <v>0.96499999999999997</v>
      </c>
      <c r="K561" s="164">
        <v>0.96499999999999997</v>
      </c>
      <c r="L561" s="164">
        <v>0.96499999999999997</v>
      </c>
      <c r="M561" s="164">
        <v>0.96499999999999997</v>
      </c>
      <c r="N561" s="27"/>
      <c r="O561" s="27"/>
      <c r="P561" s="27"/>
      <c r="Q561" s="27"/>
      <c r="R561" s="45"/>
      <c r="S561" s="45"/>
      <c r="T561" s="45"/>
      <c r="U561" s="45"/>
      <c r="V561" s="45"/>
      <c r="W561" s="45"/>
      <c r="X561" s="45"/>
      <c r="Y561" s="45"/>
      <c r="Z561" s="45"/>
      <c r="AA561" s="45"/>
      <c r="AB561" s="45"/>
      <c r="AC561" s="45"/>
      <c r="AD561" s="45"/>
      <c r="AE561" s="45"/>
      <c r="AF561" s="45"/>
      <c r="AG561" s="45"/>
      <c r="AH561" s="45"/>
      <c r="AI561" s="45"/>
      <c r="AJ561" s="45"/>
    </row>
    <row r="562" spans="1:36" x14ac:dyDescent="0.2">
      <c r="A562" s="11"/>
      <c r="B562" s="27" t="s">
        <v>4931</v>
      </c>
      <c r="C562" s="27"/>
      <c r="D562" s="11"/>
      <c r="E562" s="11"/>
      <c r="F562" s="11"/>
      <c r="G562" s="11"/>
      <c r="H562" s="11"/>
      <c r="I562" s="164">
        <v>1</v>
      </c>
      <c r="J562" s="164">
        <v>1</v>
      </c>
      <c r="K562" s="164">
        <v>1</v>
      </c>
      <c r="L562" s="164">
        <v>1</v>
      </c>
      <c r="M562" s="164">
        <v>1</v>
      </c>
      <c r="N562" s="27"/>
      <c r="O562" s="27"/>
      <c r="P562" s="27"/>
      <c r="Q562" s="30"/>
      <c r="R562" s="45"/>
      <c r="S562" s="45"/>
      <c r="T562" s="45"/>
      <c r="U562" s="45"/>
      <c r="V562" s="45"/>
      <c r="W562" s="45"/>
      <c r="X562" s="45"/>
      <c r="Y562" s="45"/>
      <c r="Z562" s="45"/>
      <c r="AA562" s="45"/>
      <c r="AB562" s="45"/>
      <c r="AC562" s="45"/>
      <c r="AD562" s="45"/>
      <c r="AE562" s="45"/>
      <c r="AF562" s="45"/>
      <c r="AG562" s="45"/>
      <c r="AH562" s="45"/>
      <c r="AI562" s="45"/>
      <c r="AJ562" s="45"/>
    </row>
    <row r="563" spans="1:36" x14ac:dyDescent="0.2">
      <c r="A563" s="11"/>
      <c r="B563" s="11"/>
      <c r="C563" s="11"/>
      <c r="D563" s="11"/>
      <c r="E563" s="11"/>
      <c r="F563" s="11"/>
      <c r="G563" s="11"/>
      <c r="H563" s="11"/>
      <c r="I563" s="11"/>
      <c r="J563" s="163"/>
      <c r="K563" s="27"/>
      <c r="L563" s="27"/>
      <c r="M563" s="27"/>
      <c r="N563" s="27"/>
      <c r="O563" s="27"/>
      <c r="P563" s="27"/>
      <c r="Q563" s="30"/>
      <c r="R563" s="45"/>
      <c r="S563" s="45"/>
      <c r="T563" s="45"/>
      <c r="U563" s="45"/>
      <c r="V563" s="45"/>
      <c r="W563" s="45"/>
      <c r="X563" s="45"/>
      <c r="Y563" s="45"/>
      <c r="Z563" s="45"/>
      <c r="AA563" s="45"/>
      <c r="AB563" s="45"/>
      <c r="AC563" s="45"/>
      <c r="AD563" s="45"/>
      <c r="AE563" s="45"/>
      <c r="AF563" s="45"/>
      <c r="AG563" s="45"/>
      <c r="AH563" s="45"/>
      <c r="AI563" s="45"/>
      <c r="AJ563" s="45"/>
    </row>
    <row r="564" spans="1:36" x14ac:dyDescent="0.2">
      <c r="A564" s="11"/>
      <c r="B564" s="11"/>
      <c r="C564" s="11"/>
      <c r="D564" s="11"/>
      <c r="E564" s="11"/>
      <c r="F564" s="11"/>
      <c r="G564" s="11"/>
      <c r="H564" s="11"/>
      <c r="I564" s="11"/>
      <c r="J564" s="62"/>
      <c r="K564" s="62"/>
      <c r="L564" s="62"/>
      <c r="M564" s="62"/>
      <c r="N564" s="62"/>
      <c r="O564" s="62"/>
      <c r="P564" s="62"/>
      <c r="Q564" s="62"/>
      <c r="R564" s="42"/>
      <c r="S564" s="42"/>
      <c r="T564" s="42"/>
      <c r="U564" s="42"/>
      <c r="V564" s="42"/>
      <c r="W564" s="42"/>
      <c r="X564" s="42"/>
      <c r="Y564" s="42"/>
      <c r="Z564" s="42"/>
      <c r="AA564" s="42"/>
      <c r="AB564" s="42"/>
      <c r="AC564" s="42"/>
      <c r="AD564" s="42"/>
      <c r="AE564" s="42"/>
      <c r="AF564" s="42"/>
      <c r="AG564" s="42"/>
      <c r="AH564" s="42"/>
      <c r="AI564" s="42"/>
      <c r="AJ564" s="42"/>
    </row>
    <row r="565" spans="1:36" x14ac:dyDescent="0.2">
      <c r="A565" s="28"/>
      <c r="B565" s="28"/>
      <c r="C565" s="28"/>
      <c r="D565" s="28"/>
      <c r="E565" s="28"/>
      <c r="F565" s="28"/>
      <c r="G565" s="28"/>
      <c r="H565" s="28"/>
      <c r="I565" s="28"/>
      <c r="J565" s="165"/>
      <c r="K565" s="165"/>
      <c r="L565" s="165"/>
      <c r="M565" s="165"/>
      <c r="N565" s="165"/>
      <c r="O565" s="62"/>
      <c r="P565" s="62"/>
      <c r="Q565" s="62"/>
      <c r="R565" s="42"/>
      <c r="S565" s="42"/>
      <c r="T565" s="42"/>
      <c r="U565" s="42"/>
      <c r="V565" s="42"/>
      <c r="W565" s="42"/>
      <c r="X565" s="42"/>
      <c r="Y565" s="42"/>
      <c r="Z565" s="42"/>
      <c r="AA565" s="42"/>
      <c r="AB565" s="42"/>
      <c r="AC565" s="42"/>
      <c r="AD565" s="42"/>
      <c r="AE565" s="42"/>
      <c r="AF565" s="42"/>
      <c r="AG565" s="42"/>
      <c r="AH565" s="42"/>
      <c r="AI565" s="42"/>
      <c r="AJ565" s="42"/>
    </row>
    <row r="566" spans="1:36" x14ac:dyDescent="0.2">
      <c r="A566" s="91"/>
      <c r="B566" s="91"/>
      <c r="C566" s="85"/>
      <c r="D566" s="91"/>
      <c r="E566" s="91"/>
      <c r="F566" s="166"/>
      <c r="G566" s="85"/>
      <c r="H566" s="85"/>
      <c r="I566" s="85"/>
      <c r="J566" s="85"/>
      <c r="K566" s="167"/>
      <c r="L566" s="85"/>
      <c r="M566" s="85"/>
      <c r="N566" s="85"/>
      <c r="O566" s="85"/>
      <c r="P566" s="167"/>
      <c r="Q566" s="85"/>
      <c r="U566" s="42"/>
      <c r="V566" s="42"/>
      <c r="W566" s="42"/>
      <c r="X566" s="42"/>
      <c r="Y566" s="42"/>
      <c r="Z566" s="42"/>
      <c r="AA566" s="42"/>
      <c r="AB566" s="42"/>
      <c r="AC566" s="42"/>
      <c r="AD566" s="42"/>
      <c r="AE566" s="42"/>
      <c r="AF566" s="42"/>
      <c r="AG566" s="42"/>
      <c r="AH566" s="42"/>
      <c r="AI566" s="42"/>
      <c r="AJ566" s="42"/>
    </row>
    <row r="567" spans="1:36" ht="18" x14ac:dyDescent="0.25">
      <c r="A567" s="11"/>
      <c r="B567" s="91"/>
      <c r="C567" s="168" t="s">
        <v>437</v>
      </c>
      <c r="D567" s="85"/>
      <c r="E567" s="91"/>
      <c r="F567" s="166"/>
      <c r="G567" s="85"/>
      <c r="H567" s="85"/>
      <c r="I567" s="85"/>
      <c r="J567" s="85"/>
      <c r="K567" s="167"/>
      <c r="L567" s="85"/>
      <c r="M567" s="85"/>
      <c r="N567" s="85"/>
      <c r="O567" s="85"/>
      <c r="P567" s="167"/>
      <c r="Q567" s="85"/>
      <c r="U567" s="42"/>
      <c r="V567" s="42"/>
      <c r="W567" s="42"/>
      <c r="X567" s="42"/>
      <c r="Y567" s="42"/>
      <c r="Z567" s="42"/>
      <c r="AA567" s="42"/>
      <c r="AB567" s="42"/>
      <c r="AC567" s="42"/>
      <c r="AD567" s="42"/>
      <c r="AE567" s="42"/>
      <c r="AF567" s="42"/>
      <c r="AG567" s="42"/>
      <c r="AH567" s="42"/>
      <c r="AI567" s="42"/>
      <c r="AJ567" s="42"/>
    </row>
    <row r="568" spans="1:36" x14ac:dyDescent="0.2">
      <c r="A568" s="20"/>
      <c r="B568" s="14"/>
      <c r="C568" s="14"/>
      <c r="D568" s="14"/>
      <c r="E568" s="25"/>
      <c r="F568" s="11"/>
      <c r="G568" s="11"/>
      <c r="H568" s="11"/>
      <c r="I568" s="11"/>
      <c r="J568" s="29"/>
      <c r="K568" s="11"/>
      <c r="L568" s="11"/>
      <c r="M568" s="11"/>
      <c r="N568" s="11"/>
      <c r="O568" s="29"/>
      <c r="P568" s="11"/>
      <c r="Q568" s="11"/>
      <c r="U568" s="42"/>
      <c r="V568" s="42"/>
      <c r="W568" s="42"/>
      <c r="X568" s="42"/>
      <c r="Y568" s="42"/>
      <c r="Z568" s="42"/>
      <c r="AA568" s="42"/>
      <c r="AB568" s="42"/>
      <c r="AC568" s="42"/>
      <c r="AD568" s="42"/>
      <c r="AE568" s="42"/>
      <c r="AF568" s="42"/>
      <c r="AG568" s="42"/>
      <c r="AH568" s="42"/>
      <c r="AI568" s="42"/>
      <c r="AJ568" s="42"/>
    </row>
    <row r="569" spans="1:36" ht="51.75" x14ac:dyDescent="0.25">
      <c r="A569" s="169" t="s">
        <v>714</v>
      </c>
      <c r="B569" s="169" t="s">
        <v>580</v>
      </c>
      <c r="C569" s="170" t="s">
        <v>581</v>
      </c>
      <c r="D569" s="69" t="s">
        <v>3983</v>
      </c>
      <c r="E569" s="25"/>
      <c r="F569" s="11"/>
      <c r="G569" s="11"/>
      <c r="H569" s="11"/>
      <c r="I569" s="11"/>
      <c r="J569" s="29"/>
      <c r="K569" s="11"/>
      <c r="L569" s="11"/>
      <c r="M569" s="11"/>
      <c r="N569" s="11"/>
      <c r="O569" s="11"/>
      <c r="P569" s="11"/>
      <c r="Q569" s="11"/>
      <c r="U569" s="42"/>
      <c r="V569" s="42"/>
      <c r="W569" s="42"/>
      <c r="X569" s="42"/>
      <c r="Y569" s="42"/>
      <c r="Z569" s="42"/>
      <c r="AA569" s="42"/>
      <c r="AB569" s="42"/>
      <c r="AC569" s="42"/>
      <c r="AD569" s="42"/>
      <c r="AE569" s="42"/>
      <c r="AF569" s="42"/>
      <c r="AG569" s="42"/>
      <c r="AH569" s="42"/>
      <c r="AI569" s="42"/>
      <c r="AJ569" s="42"/>
    </row>
    <row r="570" spans="1:36" x14ac:dyDescent="0.2">
      <c r="A570" s="2990" t="s">
        <v>5651</v>
      </c>
      <c r="B570" s="2990">
        <v>0.85</v>
      </c>
      <c r="C570" s="2990">
        <v>1.3</v>
      </c>
      <c r="D570" s="3936">
        <v>0.92</v>
      </c>
      <c r="E570" s="17"/>
      <c r="F570" s="11"/>
      <c r="G570" s="11"/>
      <c r="H570" s="11"/>
      <c r="I570" s="11"/>
      <c r="J570" s="29"/>
      <c r="K570" s="11"/>
      <c r="L570" s="11"/>
      <c r="M570" s="11"/>
      <c r="N570" s="11"/>
      <c r="O570" s="11"/>
      <c r="P570" s="11"/>
      <c r="Q570" s="11"/>
      <c r="U570" s="42"/>
      <c r="V570" s="42"/>
      <c r="W570" s="42"/>
      <c r="X570" s="42"/>
      <c r="Y570" s="42"/>
      <c r="Z570" s="42"/>
      <c r="AA570" s="42"/>
      <c r="AB570" s="42"/>
      <c r="AC570" s="42"/>
      <c r="AD570" s="42"/>
      <c r="AE570" s="42"/>
      <c r="AF570" s="42"/>
      <c r="AG570" s="42"/>
      <c r="AH570" s="42"/>
      <c r="AI570" s="42"/>
      <c r="AJ570" s="42"/>
    </row>
    <row r="571" spans="1:36" x14ac:dyDescent="0.2">
      <c r="A571" s="2990" t="s">
        <v>5653</v>
      </c>
      <c r="B571" s="2990">
        <v>0.85</v>
      </c>
      <c r="C571" s="2990">
        <v>1.6</v>
      </c>
      <c r="D571" s="3011">
        <v>0.92</v>
      </c>
      <c r="E571" s="17"/>
      <c r="F571" s="11"/>
      <c r="G571" s="11"/>
      <c r="H571" s="11"/>
      <c r="I571" s="11"/>
      <c r="J571" s="29"/>
      <c r="K571" s="11"/>
      <c r="L571" s="11"/>
      <c r="M571" s="11"/>
      <c r="N571" s="11"/>
      <c r="O571" s="11"/>
      <c r="P571" s="11"/>
      <c r="Q571" s="11"/>
      <c r="U571" s="42"/>
      <c r="V571" s="42"/>
      <c r="W571" s="42"/>
      <c r="X571" s="42"/>
      <c r="Y571" s="42"/>
      <c r="Z571" s="42"/>
      <c r="AA571" s="42"/>
      <c r="AB571" s="42"/>
      <c r="AC571" s="42"/>
      <c r="AD571" s="42"/>
      <c r="AE571" s="42"/>
      <c r="AF571" s="42"/>
      <c r="AG571" s="42"/>
      <c r="AH571" s="42"/>
      <c r="AI571" s="42"/>
      <c r="AJ571" s="42"/>
    </row>
    <row r="572" spans="1:36" x14ac:dyDescent="0.2">
      <c r="A572" s="2990" t="s">
        <v>5631</v>
      </c>
      <c r="B572" s="2990">
        <v>0.85</v>
      </c>
      <c r="C572" s="2991">
        <v>1.5</v>
      </c>
      <c r="D572" s="3011">
        <v>0.9</v>
      </c>
      <c r="E572" s="17"/>
      <c r="F572" s="11"/>
      <c r="G572" s="11"/>
      <c r="H572" s="11"/>
      <c r="I572" s="11"/>
      <c r="J572" s="11"/>
      <c r="K572" s="11"/>
      <c r="L572" s="11"/>
      <c r="M572" s="11"/>
      <c r="N572" s="11"/>
      <c r="O572" s="11"/>
      <c r="P572" s="11"/>
      <c r="Q572" s="11"/>
      <c r="U572" s="42"/>
      <c r="V572" s="42"/>
      <c r="W572" s="42"/>
      <c r="X572" s="42"/>
      <c r="Y572" s="42"/>
      <c r="Z572" s="42"/>
      <c r="AA572" s="42"/>
      <c r="AB572" s="42"/>
      <c r="AC572" s="42"/>
      <c r="AD572" s="42"/>
      <c r="AE572" s="42"/>
      <c r="AF572" s="42"/>
      <c r="AG572" s="42"/>
      <c r="AH572" s="42"/>
      <c r="AI572" s="42"/>
      <c r="AJ572" s="42"/>
    </row>
    <row r="573" spans="1:36" x14ac:dyDescent="0.2">
      <c r="A573" s="2990" t="s">
        <v>5616</v>
      </c>
      <c r="B573" s="2990">
        <v>0.85</v>
      </c>
      <c r="C573" s="2990">
        <v>1.5</v>
      </c>
      <c r="D573" s="3011">
        <v>0.94</v>
      </c>
      <c r="E573" s="17"/>
      <c r="F573" s="11"/>
      <c r="G573" s="11"/>
      <c r="H573" s="11"/>
      <c r="I573" s="11"/>
      <c r="J573" s="11"/>
      <c r="K573" s="11"/>
      <c r="L573" s="11"/>
      <c r="M573" s="11"/>
      <c r="N573" s="11"/>
      <c r="O573" s="11"/>
      <c r="P573" s="11"/>
      <c r="Q573" s="11"/>
      <c r="U573" s="42"/>
      <c r="V573" s="42"/>
      <c r="W573" s="42"/>
      <c r="X573" s="42"/>
      <c r="Y573" s="42"/>
      <c r="Z573" s="42"/>
      <c r="AA573" s="42"/>
      <c r="AB573" s="42"/>
      <c r="AC573" s="42"/>
      <c r="AD573" s="42"/>
      <c r="AE573" s="42"/>
      <c r="AF573" s="42"/>
      <c r="AG573" s="42"/>
      <c r="AH573" s="42"/>
      <c r="AI573" s="42"/>
      <c r="AJ573" s="42"/>
    </row>
    <row r="574" spans="1:36" x14ac:dyDescent="0.2">
      <c r="A574" s="2990" t="s">
        <v>3478</v>
      </c>
      <c r="B574" s="2990">
        <v>0.85</v>
      </c>
      <c r="C574" s="2990">
        <v>1.2</v>
      </c>
      <c r="D574" s="3011">
        <v>0.9</v>
      </c>
      <c r="E574" s="17"/>
      <c r="F574" s="11"/>
      <c r="G574" s="11"/>
      <c r="H574" s="11"/>
      <c r="I574" s="11"/>
      <c r="J574" s="11"/>
      <c r="K574" s="11"/>
      <c r="L574" s="11"/>
      <c r="M574" s="11"/>
      <c r="N574" s="11"/>
      <c r="O574" s="11"/>
      <c r="P574" s="11"/>
      <c r="Q574" s="11"/>
      <c r="U574" s="42"/>
      <c r="V574" s="42"/>
      <c r="W574" s="42"/>
      <c r="X574" s="42"/>
      <c r="Y574" s="42"/>
      <c r="Z574" s="42"/>
      <c r="AA574" s="42"/>
      <c r="AB574" s="42"/>
      <c r="AC574" s="42"/>
      <c r="AD574" s="42"/>
      <c r="AE574" s="42"/>
      <c r="AF574" s="42"/>
      <c r="AG574" s="42"/>
      <c r="AH574" s="42"/>
      <c r="AI574" s="42"/>
      <c r="AJ574" s="42"/>
    </row>
    <row r="575" spans="1:36" x14ac:dyDescent="0.2">
      <c r="A575" s="2990" t="s">
        <v>5614</v>
      </c>
      <c r="B575" s="2990">
        <v>0.85</v>
      </c>
      <c r="C575" s="2990">
        <v>1.2</v>
      </c>
      <c r="D575" s="3011">
        <v>0.9</v>
      </c>
      <c r="E575" s="17"/>
      <c r="F575" s="11"/>
      <c r="G575" s="11"/>
      <c r="H575" s="11"/>
      <c r="I575" s="11"/>
      <c r="J575" s="11"/>
      <c r="K575" s="11"/>
      <c r="L575" s="11"/>
      <c r="M575" s="11"/>
      <c r="N575" s="11"/>
      <c r="O575" s="11"/>
      <c r="P575" s="11"/>
      <c r="Q575" s="11"/>
      <c r="U575" s="42"/>
      <c r="V575" s="42"/>
      <c r="W575" s="42"/>
      <c r="X575" s="42"/>
      <c r="Y575" s="42"/>
      <c r="Z575" s="42"/>
      <c r="AA575" s="42"/>
      <c r="AB575" s="42"/>
      <c r="AC575" s="42"/>
      <c r="AD575" s="42"/>
      <c r="AE575" s="42"/>
      <c r="AF575" s="42"/>
      <c r="AG575" s="42"/>
      <c r="AH575" s="42"/>
      <c r="AI575" s="42"/>
      <c r="AJ575" s="42"/>
    </row>
    <row r="576" spans="1:36" x14ac:dyDescent="0.2">
      <c r="A576" s="2990" t="s">
        <v>3480</v>
      </c>
      <c r="B576" s="2990">
        <v>1.1499999999999999</v>
      </c>
      <c r="C576" s="2990">
        <v>1.3</v>
      </c>
      <c r="D576" s="3011">
        <v>0.84</v>
      </c>
      <c r="E576" s="17"/>
      <c r="F576" s="11"/>
      <c r="G576" s="11"/>
      <c r="H576" s="11"/>
      <c r="I576" s="11"/>
      <c r="J576" s="11"/>
      <c r="K576" s="11"/>
      <c r="L576" s="11"/>
      <c r="M576" s="11"/>
      <c r="N576" s="11"/>
      <c r="O576" s="11"/>
      <c r="P576" s="11"/>
      <c r="Q576" s="11"/>
      <c r="U576" s="42"/>
      <c r="V576" s="42"/>
      <c r="W576" s="42"/>
      <c r="X576" s="42"/>
      <c r="Y576" s="42"/>
      <c r="Z576" s="42"/>
      <c r="AA576" s="42"/>
      <c r="AB576" s="42"/>
      <c r="AC576" s="42"/>
      <c r="AD576" s="42"/>
      <c r="AE576" s="42"/>
      <c r="AF576" s="42"/>
      <c r="AG576" s="42"/>
      <c r="AH576" s="42"/>
      <c r="AI576" s="42"/>
      <c r="AJ576" s="42"/>
    </row>
    <row r="577" spans="1:36" x14ac:dyDescent="0.2">
      <c r="A577" s="2990" t="s">
        <v>3483</v>
      </c>
      <c r="B577" s="2990">
        <v>1.25</v>
      </c>
      <c r="C577" s="2990">
        <v>2.5</v>
      </c>
      <c r="D577" s="3011">
        <v>0.87</v>
      </c>
      <c r="E577" s="17"/>
      <c r="F577" s="11"/>
      <c r="G577" s="11"/>
      <c r="H577" s="11"/>
      <c r="I577" s="11"/>
      <c r="J577" s="11"/>
      <c r="K577" s="11"/>
      <c r="L577" s="11"/>
      <c r="M577" s="11"/>
      <c r="N577" s="11"/>
      <c r="O577" s="11"/>
      <c r="P577" s="11"/>
      <c r="Q577" s="11"/>
      <c r="U577" s="42"/>
      <c r="V577" s="42"/>
      <c r="W577" s="42"/>
      <c r="X577" s="42"/>
      <c r="Y577" s="42"/>
      <c r="Z577" s="42"/>
      <c r="AA577" s="42"/>
      <c r="AB577" s="42"/>
      <c r="AC577" s="42"/>
      <c r="AD577" s="42"/>
      <c r="AE577" s="42"/>
      <c r="AF577" s="42"/>
      <c r="AG577" s="42"/>
      <c r="AH577" s="42"/>
      <c r="AI577" s="42"/>
      <c r="AJ577" s="42"/>
    </row>
    <row r="578" spans="1:36" x14ac:dyDescent="0.2">
      <c r="A578" s="2990" t="s">
        <v>2776</v>
      </c>
      <c r="B578" s="2990">
        <v>1.4</v>
      </c>
      <c r="C578" s="2990">
        <v>2.5</v>
      </c>
      <c r="D578" s="3011">
        <v>0.87</v>
      </c>
      <c r="E578" s="17"/>
      <c r="F578" s="11"/>
      <c r="G578" s="11"/>
      <c r="H578" s="11"/>
      <c r="I578" s="11"/>
      <c r="J578" s="11"/>
      <c r="K578" s="11"/>
      <c r="L578" s="11"/>
      <c r="M578" s="11"/>
      <c r="N578" s="11"/>
      <c r="O578" s="11"/>
      <c r="P578" s="11"/>
      <c r="Q578" s="11"/>
      <c r="U578" s="42"/>
      <c r="V578" s="42"/>
      <c r="W578" s="42"/>
      <c r="X578" s="42"/>
      <c r="Y578" s="42"/>
      <c r="Z578" s="42"/>
      <c r="AA578" s="42"/>
      <c r="AB578" s="42"/>
      <c r="AC578" s="42"/>
      <c r="AD578" s="42"/>
      <c r="AE578" s="42"/>
      <c r="AF578" s="42"/>
      <c r="AG578" s="42"/>
      <c r="AH578" s="42"/>
      <c r="AI578" s="42"/>
      <c r="AJ578" s="42"/>
    </row>
    <row r="579" spans="1:36" x14ac:dyDescent="0.2">
      <c r="A579" s="2990" t="s">
        <v>3482</v>
      </c>
      <c r="B579" s="2990">
        <v>1.35</v>
      </c>
      <c r="C579" s="2990">
        <v>2.5</v>
      </c>
      <c r="D579" s="3011">
        <v>0.87</v>
      </c>
      <c r="E579" s="17"/>
      <c r="F579" s="11"/>
      <c r="G579" s="11"/>
      <c r="H579" s="11"/>
      <c r="I579" s="11"/>
      <c r="J579" s="11"/>
      <c r="K579" s="11"/>
      <c r="L579" s="11"/>
      <c r="M579" s="11"/>
      <c r="N579" s="11"/>
      <c r="O579" s="11"/>
      <c r="P579" s="11"/>
      <c r="Q579" s="11"/>
      <c r="U579" s="42"/>
      <c r="V579" s="42"/>
      <c r="W579" s="42"/>
      <c r="X579" s="42"/>
      <c r="Y579" s="42"/>
      <c r="Z579" s="42"/>
      <c r="AA579" s="42"/>
      <c r="AB579" s="42"/>
      <c r="AC579" s="42"/>
      <c r="AD579" s="42"/>
      <c r="AE579" s="42"/>
      <c r="AF579" s="42"/>
      <c r="AG579" s="42"/>
      <c r="AH579" s="42"/>
      <c r="AI579" s="42"/>
      <c r="AJ579" s="42"/>
    </row>
    <row r="580" spans="1:36" x14ac:dyDescent="0.2">
      <c r="A580" s="2990" t="s">
        <v>658</v>
      </c>
      <c r="B580" s="2990">
        <v>1.35</v>
      </c>
      <c r="C580" s="2990">
        <v>2.6</v>
      </c>
      <c r="D580" s="3011">
        <v>0.84</v>
      </c>
      <c r="E580" s="17"/>
      <c r="F580" s="11"/>
      <c r="G580" s="11"/>
      <c r="H580" s="11"/>
      <c r="I580" s="11"/>
      <c r="J580" s="11"/>
      <c r="K580" s="11"/>
      <c r="L580" s="11"/>
      <c r="M580" s="11"/>
      <c r="N580" s="11"/>
      <c r="O580" s="11"/>
      <c r="P580" s="11"/>
      <c r="Q580" s="11"/>
      <c r="U580" s="42"/>
      <c r="V580" s="42"/>
      <c r="W580" s="42"/>
      <c r="X580" s="42"/>
      <c r="Y580" s="42"/>
      <c r="Z580" s="42"/>
      <c r="AA580" s="42"/>
      <c r="AB580" s="42"/>
      <c r="AC580" s="42"/>
      <c r="AD580" s="42"/>
      <c r="AE580" s="42"/>
      <c r="AF580" s="42"/>
      <c r="AG580" s="42"/>
      <c r="AH580" s="42"/>
      <c r="AI580" s="42"/>
      <c r="AJ580" s="42"/>
    </row>
    <row r="581" spans="1:36" x14ac:dyDescent="0.2">
      <c r="A581" s="2990" t="s">
        <v>5622</v>
      </c>
      <c r="B581" s="2990">
        <v>1.1000000000000001</v>
      </c>
      <c r="C581" s="2990">
        <v>2.1</v>
      </c>
      <c r="D581" s="3011">
        <v>0.94</v>
      </c>
      <c r="E581" s="17"/>
      <c r="F581" s="11"/>
      <c r="G581" s="11"/>
      <c r="H581" s="11"/>
      <c r="I581" s="11"/>
      <c r="J581" s="11"/>
      <c r="K581" s="11"/>
      <c r="L581" s="11"/>
      <c r="M581" s="11"/>
      <c r="N581" s="11"/>
      <c r="O581" s="11"/>
      <c r="P581" s="11"/>
      <c r="Q581" s="11"/>
      <c r="U581" s="42"/>
      <c r="V581" s="42"/>
      <c r="W581" s="42"/>
      <c r="X581" s="42"/>
      <c r="Y581" s="42"/>
      <c r="Z581" s="42"/>
      <c r="AA581" s="42"/>
      <c r="AB581" s="42"/>
      <c r="AC581" s="42"/>
      <c r="AD581" s="42"/>
      <c r="AE581" s="42"/>
      <c r="AF581" s="42"/>
      <c r="AG581" s="42"/>
      <c r="AH581" s="42"/>
      <c r="AI581" s="42"/>
      <c r="AJ581" s="42"/>
    </row>
    <row r="582" spans="1:36" x14ac:dyDescent="0.2">
      <c r="A582" s="2990" t="s">
        <v>5624</v>
      </c>
      <c r="B582" s="2990">
        <v>1.35</v>
      </c>
      <c r="C582" s="2990">
        <v>3.2</v>
      </c>
      <c r="D582" s="3011">
        <v>0.94</v>
      </c>
      <c r="E582" s="17"/>
      <c r="F582" s="11"/>
      <c r="G582" s="11"/>
      <c r="H582" s="11"/>
      <c r="I582" s="11"/>
      <c r="J582" s="11"/>
      <c r="K582" s="11"/>
      <c r="L582" s="11"/>
      <c r="M582" s="11"/>
      <c r="N582" s="11"/>
      <c r="O582" s="11"/>
      <c r="P582" s="11"/>
      <c r="Q582" s="11"/>
      <c r="U582" s="42"/>
      <c r="V582" s="42"/>
      <c r="W582" s="42"/>
      <c r="X582" s="42"/>
      <c r="Y582" s="42"/>
      <c r="Z582" s="42"/>
      <c r="AA582" s="42"/>
      <c r="AB582" s="42"/>
      <c r="AC582" s="42"/>
      <c r="AD582" s="42"/>
      <c r="AE582" s="42"/>
      <c r="AF582" s="42"/>
      <c r="AG582" s="42"/>
      <c r="AH582" s="42"/>
      <c r="AI582" s="42"/>
      <c r="AJ582" s="42"/>
    </row>
    <row r="583" spans="1:36" x14ac:dyDescent="0.2">
      <c r="A583" s="2990" t="s">
        <v>5655</v>
      </c>
      <c r="B583" s="2990">
        <v>1.35</v>
      </c>
      <c r="C583" s="2990">
        <v>3.2</v>
      </c>
      <c r="D583" s="3044">
        <v>0.94</v>
      </c>
      <c r="E583" s="11"/>
      <c r="F583" s="11"/>
      <c r="G583" s="11"/>
      <c r="H583" s="11"/>
      <c r="I583" s="11"/>
      <c r="J583" s="11"/>
      <c r="K583" s="11"/>
      <c r="L583" s="11"/>
      <c r="M583" s="11"/>
      <c r="N583" s="11"/>
      <c r="O583" s="11"/>
      <c r="P583" s="11"/>
      <c r="Q583" s="11"/>
      <c r="U583" s="42"/>
      <c r="V583" s="42"/>
      <c r="W583" s="42"/>
      <c r="X583" s="42"/>
      <c r="Y583" s="42"/>
      <c r="Z583" s="42"/>
      <c r="AA583" s="42"/>
      <c r="AB583" s="42"/>
      <c r="AC583" s="42"/>
      <c r="AD583" s="42"/>
      <c r="AE583" s="42"/>
      <c r="AF583" s="42"/>
      <c r="AG583" s="42"/>
      <c r="AH583" s="42"/>
      <c r="AI583" s="42"/>
      <c r="AJ583" s="42"/>
    </row>
    <row r="584" spans="1:36" x14ac:dyDescent="0.2">
      <c r="A584" s="11"/>
      <c r="B584" s="11"/>
      <c r="C584" s="11"/>
      <c r="D584" s="11"/>
      <c r="E584" s="11"/>
      <c r="F584" s="11"/>
      <c r="G584" s="11"/>
      <c r="H584" s="11"/>
      <c r="I584" s="11"/>
      <c r="J584" s="11"/>
      <c r="K584" s="11"/>
      <c r="L584" s="11"/>
      <c r="M584" s="11"/>
      <c r="N584" s="11"/>
      <c r="O584" s="11"/>
      <c r="P584" s="11"/>
      <c r="Q584" s="11"/>
      <c r="U584" s="42"/>
      <c r="V584" s="42"/>
      <c r="W584" s="42"/>
      <c r="X584" s="42"/>
      <c r="Y584" s="42"/>
      <c r="Z584" s="42"/>
      <c r="AA584" s="42"/>
      <c r="AB584" s="42"/>
      <c r="AC584" s="42"/>
      <c r="AD584" s="42"/>
      <c r="AE584" s="42"/>
      <c r="AF584" s="42"/>
      <c r="AG584" s="42"/>
      <c r="AH584" s="42"/>
      <c r="AI584" s="42"/>
      <c r="AJ584" s="42"/>
    </row>
    <row r="585" spans="1:36" x14ac:dyDescent="0.2">
      <c r="A585" s="11"/>
      <c r="B585" s="11"/>
      <c r="C585" s="11"/>
      <c r="D585" s="11"/>
      <c r="E585" s="11"/>
      <c r="F585" s="11"/>
      <c r="G585" s="11"/>
      <c r="H585" s="11"/>
      <c r="I585" s="11"/>
      <c r="J585" s="11"/>
      <c r="K585" s="11"/>
      <c r="L585" s="11"/>
      <c r="M585" s="11"/>
      <c r="N585" s="11"/>
      <c r="O585" s="11"/>
      <c r="P585" s="11"/>
      <c r="Q585" s="11"/>
      <c r="U585" s="42"/>
      <c r="V585" s="42"/>
      <c r="W585" s="42"/>
      <c r="X585" s="42"/>
      <c r="Y585" s="42"/>
      <c r="Z585" s="42"/>
      <c r="AA585" s="42"/>
      <c r="AB585" s="42"/>
      <c r="AC585" s="42"/>
      <c r="AD585" s="42"/>
      <c r="AE585" s="42"/>
      <c r="AF585" s="42"/>
      <c r="AG585" s="42"/>
      <c r="AH585" s="42"/>
      <c r="AI585" s="42"/>
      <c r="AJ585" s="42"/>
    </row>
    <row r="586" spans="1:36" ht="16.5" thickBot="1" x14ac:dyDescent="0.3">
      <c r="A586" s="11"/>
      <c r="B586" s="21" t="s">
        <v>446</v>
      </c>
      <c r="C586" s="11"/>
      <c r="D586" s="11"/>
      <c r="E586" s="11"/>
      <c r="F586" s="11"/>
      <c r="G586" s="11"/>
      <c r="H586" s="11"/>
      <c r="I586" s="11"/>
      <c r="J586" s="11"/>
      <c r="K586" s="11"/>
      <c r="L586" s="11"/>
      <c r="M586" s="11"/>
      <c r="N586" s="11"/>
      <c r="O586" s="11"/>
      <c r="P586" s="11"/>
      <c r="Q586" s="11"/>
      <c r="U586" s="42"/>
      <c r="V586" s="42"/>
      <c r="W586" s="42"/>
      <c r="X586" s="42"/>
      <c r="Y586" s="42"/>
      <c r="Z586" s="42"/>
      <c r="AA586" s="42"/>
      <c r="AB586" s="42"/>
      <c r="AC586" s="42"/>
      <c r="AD586" s="42"/>
      <c r="AE586" s="42"/>
      <c r="AF586" s="42"/>
      <c r="AG586" s="42"/>
      <c r="AH586" s="42"/>
      <c r="AI586" s="42"/>
      <c r="AJ586" s="42"/>
    </row>
    <row r="587" spans="1:36" ht="13.5" thickBot="1" x14ac:dyDescent="0.25">
      <c r="A587" s="11"/>
      <c r="B587" s="4472" t="s">
        <v>4336</v>
      </c>
      <c r="C587" s="4473"/>
      <c r="D587" s="4473"/>
      <c r="E587" s="4473"/>
      <c r="F587" s="4473"/>
      <c r="G587" s="171" t="s">
        <v>1247</v>
      </c>
      <c r="H587" s="11"/>
      <c r="I587" s="67"/>
      <c r="J587" s="67"/>
      <c r="K587" s="67"/>
      <c r="L587" s="67"/>
      <c r="M587" s="67"/>
      <c r="N587" s="67"/>
      <c r="O587" s="11"/>
      <c r="P587" s="11"/>
      <c r="Q587" s="11"/>
      <c r="U587" s="42"/>
      <c r="V587" s="42"/>
      <c r="W587" s="42"/>
      <c r="X587" s="42"/>
      <c r="Y587" s="42"/>
      <c r="Z587" s="42"/>
      <c r="AA587" s="42"/>
      <c r="AB587" s="42"/>
      <c r="AC587" s="42"/>
      <c r="AD587" s="42"/>
      <c r="AE587" s="42"/>
      <c r="AF587" s="42"/>
      <c r="AG587" s="42"/>
      <c r="AH587" s="42"/>
      <c r="AI587" s="42"/>
      <c r="AJ587" s="42"/>
    </row>
    <row r="588" spans="1:36" x14ac:dyDescent="0.2">
      <c r="A588" s="11"/>
      <c r="B588" s="4407" t="s">
        <v>3378</v>
      </c>
      <c r="C588" s="4407"/>
      <c r="D588" s="4407"/>
      <c r="E588" s="4407"/>
      <c r="F588" s="4407"/>
      <c r="G588" s="4466">
        <v>1</v>
      </c>
      <c r="H588" s="11"/>
      <c r="I588" s="172"/>
      <c r="J588" s="172"/>
      <c r="K588" s="172"/>
      <c r="L588" s="172"/>
      <c r="M588" s="172"/>
      <c r="N588" s="4441"/>
      <c r="O588" s="11"/>
      <c r="P588" s="11"/>
      <c r="Q588" s="11"/>
      <c r="U588" s="42"/>
      <c r="V588" s="42"/>
      <c r="W588" s="42"/>
      <c r="X588" s="42"/>
      <c r="Y588" s="42"/>
      <c r="Z588" s="42"/>
      <c r="AA588" s="42"/>
      <c r="AB588" s="42"/>
      <c r="AC588" s="42"/>
      <c r="AD588" s="42"/>
      <c r="AE588" s="42"/>
      <c r="AF588" s="42"/>
      <c r="AG588" s="42"/>
      <c r="AH588" s="42"/>
      <c r="AI588" s="42"/>
      <c r="AJ588" s="42"/>
    </row>
    <row r="589" spans="1:36" x14ac:dyDescent="0.2">
      <c r="A589" s="11"/>
      <c r="B589" s="4345"/>
      <c r="C589" s="4345"/>
      <c r="D589" s="4345"/>
      <c r="E589" s="4345"/>
      <c r="F589" s="4345"/>
      <c r="G589" s="4467"/>
      <c r="H589" s="11"/>
      <c r="I589" s="172"/>
      <c r="J589" s="172"/>
      <c r="K589" s="172"/>
      <c r="L589" s="172"/>
      <c r="M589" s="172"/>
      <c r="N589" s="4441"/>
      <c r="O589" s="11"/>
      <c r="P589" s="11"/>
      <c r="Q589" s="11"/>
      <c r="U589" s="42"/>
      <c r="V589" s="42"/>
      <c r="W589" s="42"/>
      <c r="X589" s="42"/>
      <c r="Y589" s="42"/>
      <c r="Z589" s="42"/>
      <c r="AA589" s="42"/>
      <c r="AB589" s="42"/>
      <c r="AC589" s="42"/>
      <c r="AD589" s="42"/>
      <c r="AE589" s="42"/>
      <c r="AF589" s="42"/>
      <c r="AG589" s="42"/>
      <c r="AH589" s="42"/>
      <c r="AI589" s="42"/>
      <c r="AJ589" s="42"/>
    </row>
    <row r="590" spans="1:36" x14ac:dyDescent="0.2">
      <c r="A590" s="11"/>
      <c r="B590" s="4345"/>
      <c r="C590" s="4345"/>
      <c r="D590" s="4345"/>
      <c r="E590" s="4345"/>
      <c r="F590" s="4345"/>
      <c r="G590" s="4467"/>
      <c r="H590" s="11"/>
      <c r="I590" s="172"/>
      <c r="J590" s="172"/>
      <c r="K590" s="172"/>
      <c r="L590" s="172"/>
      <c r="M590" s="172"/>
      <c r="N590" s="4441"/>
      <c r="O590" s="11"/>
      <c r="P590" s="11"/>
      <c r="Q590" s="11"/>
      <c r="U590" s="42"/>
      <c r="V590" s="42"/>
      <c r="W590" s="42"/>
      <c r="X590" s="42"/>
      <c r="Y590" s="42"/>
      <c r="Z590" s="42"/>
      <c r="AA590" s="42"/>
      <c r="AB590" s="42"/>
      <c r="AC590" s="42"/>
      <c r="AD590" s="42"/>
      <c r="AE590" s="42"/>
      <c r="AF590" s="42"/>
      <c r="AG590" s="42"/>
      <c r="AH590" s="42"/>
      <c r="AI590" s="42"/>
      <c r="AJ590" s="42"/>
    </row>
    <row r="591" spans="1:36" x14ac:dyDescent="0.2">
      <c r="A591" s="11"/>
      <c r="B591" s="4345"/>
      <c r="C591" s="4345"/>
      <c r="D591" s="4345"/>
      <c r="E591" s="4345"/>
      <c r="F591" s="4345"/>
      <c r="G591" s="4467"/>
      <c r="H591" s="11"/>
      <c r="I591" s="172"/>
      <c r="J591" s="172"/>
      <c r="K591" s="172"/>
      <c r="L591" s="172"/>
      <c r="M591" s="172"/>
      <c r="N591" s="4441"/>
      <c r="O591" s="11"/>
      <c r="P591" s="11"/>
      <c r="Q591" s="11"/>
      <c r="U591" s="42"/>
      <c r="V591" s="42"/>
      <c r="W591" s="42"/>
      <c r="X591" s="42"/>
      <c r="Y591" s="42"/>
      <c r="Z591" s="42"/>
      <c r="AA591" s="42"/>
      <c r="AB591" s="42"/>
      <c r="AC591" s="42"/>
      <c r="AD591" s="42"/>
      <c r="AE591" s="42"/>
      <c r="AF591" s="42"/>
      <c r="AG591" s="42"/>
      <c r="AH591" s="42"/>
      <c r="AI591" s="42"/>
      <c r="AJ591" s="42"/>
    </row>
    <row r="592" spans="1:36" x14ac:dyDescent="0.2">
      <c r="A592" s="11"/>
      <c r="B592" s="4345"/>
      <c r="C592" s="4345"/>
      <c r="D592" s="4345"/>
      <c r="E592" s="4345"/>
      <c r="F592" s="4345"/>
      <c r="G592" s="4467"/>
      <c r="H592" s="11"/>
      <c r="I592" s="172"/>
      <c r="J592" s="172"/>
      <c r="K592" s="172"/>
      <c r="L592" s="172"/>
      <c r="M592" s="172"/>
      <c r="N592" s="4441"/>
      <c r="O592" s="11"/>
      <c r="P592" s="11"/>
      <c r="Q592" s="11"/>
      <c r="U592" s="42"/>
      <c r="V592" s="42"/>
      <c r="W592" s="42"/>
      <c r="X592" s="42"/>
      <c r="Y592" s="42"/>
      <c r="Z592" s="42"/>
      <c r="AA592" s="42"/>
      <c r="AB592" s="42"/>
      <c r="AC592" s="42"/>
      <c r="AD592" s="42"/>
      <c r="AE592" s="42"/>
      <c r="AF592" s="42"/>
      <c r="AG592" s="42"/>
      <c r="AH592" s="42"/>
      <c r="AI592" s="42"/>
      <c r="AJ592" s="42"/>
    </row>
    <row r="593" spans="1:36" x14ac:dyDescent="0.2">
      <c r="A593" s="11"/>
      <c r="B593" s="4345" t="s">
        <v>4335</v>
      </c>
      <c r="C593" s="4345"/>
      <c r="D593" s="4345"/>
      <c r="E593" s="4345"/>
      <c r="F593" s="4345"/>
      <c r="G593" s="4467">
        <v>2</v>
      </c>
      <c r="H593" s="11"/>
      <c r="I593" s="172"/>
      <c r="J593" s="172"/>
      <c r="K593" s="172"/>
      <c r="L593" s="172"/>
      <c r="M593" s="172"/>
      <c r="N593" s="4441"/>
      <c r="O593" s="11"/>
      <c r="P593" s="11"/>
      <c r="Q593" s="11"/>
      <c r="U593" s="42"/>
      <c r="V593" s="42"/>
      <c r="W593" s="42"/>
      <c r="X593" s="42"/>
      <c r="Y593" s="42"/>
      <c r="Z593" s="42"/>
      <c r="AA593" s="42"/>
      <c r="AB593" s="42"/>
      <c r="AC593" s="42"/>
      <c r="AD593" s="42"/>
      <c r="AE593" s="42"/>
      <c r="AF593" s="42"/>
      <c r="AG593" s="42"/>
      <c r="AH593" s="42"/>
      <c r="AI593" s="42"/>
      <c r="AJ593" s="42"/>
    </row>
    <row r="594" spans="1:36" x14ac:dyDescent="0.2">
      <c r="A594" s="11"/>
      <c r="B594" s="4345"/>
      <c r="C594" s="4345"/>
      <c r="D594" s="4345"/>
      <c r="E594" s="4345"/>
      <c r="F594" s="4345"/>
      <c r="G594" s="4467"/>
      <c r="H594" s="11"/>
      <c r="I594" s="172"/>
      <c r="J594" s="172"/>
      <c r="K594" s="172"/>
      <c r="L594" s="172"/>
      <c r="M594" s="172"/>
      <c r="N594" s="4441"/>
      <c r="O594" s="11"/>
      <c r="P594" s="11"/>
      <c r="Q594" s="11"/>
      <c r="U594" s="42"/>
      <c r="V594" s="42"/>
      <c r="W594" s="42"/>
      <c r="X594" s="42"/>
      <c r="Y594" s="42"/>
      <c r="Z594" s="42"/>
      <c r="AA594" s="42"/>
      <c r="AB594" s="42"/>
      <c r="AC594" s="42"/>
      <c r="AD594" s="42"/>
      <c r="AE594" s="42"/>
      <c r="AF594" s="42"/>
      <c r="AG594" s="42"/>
      <c r="AH594" s="42"/>
      <c r="AI594" s="42"/>
      <c r="AJ594" s="42"/>
    </row>
    <row r="595" spans="1:36" x14ac:dyDescent="0.2">
      <c r="A595" s="11"/>
      <c r="B595" s="4345"/>
      <c r="C595" s="4345"/>
      <c r="D595" s="4345"/>
      <c r="E595" s="4345"/>
      <c r="F595" s="4345"/>
      <c r="G595" s="4467"/>
      <c r="H595" s="11"/>
      <c r="I595" s="172"/>
      <c r="J595" s="172"/>
      <c r="K595" s="172"/>
      <c r="L595" s="172"/>
      <c r="M595" s="172"/>
      <c r="N595" s="4441"/>
      <c r="O595" s="11"/>
      <c r="P595" s="11"/>
      <c r="Q595" s="11"/>
      <c r="U595" s="42"/>
      <c r="V595" s="42"/>
      <c r="W595" s="42"/>
      <c r="X595" s="42"/>
      <c r="Y595" s="42"/>
      <c r="Z595" s="42"/>
      <c r="AA595" s="42"/>
      <c r="AB595" s="42"/>
      <c r="AC595" s="42"/>
      <c r="AD595" s="42"/>
      <c r="AE595" s="42"/>
      <c r="AF595" s="42"/>
      <c r="AG595" s="42"/>
      <c r="AH595" s="42"/>
      <c r="AI595" s="42"/>
      <c r="AJ595" s="42"/>
    </row>
    <row r="596" spans="1:36" x14ac:dyDescent="0.2">
      <c r="A596" s="11"/>
      <c r="B596" s="4345"/>
      <c r="C596" s="4345"/>
      <c r="D596" s="4345"/>
      <c r="E596" s="4345"/>
      <c r="F596" s="4345"/>
      <c r="G596" s="4467"/>
      <c r="H596" s="11"/>
      <c r="I596" s="172"/>
      <c r="J596" s="172"/>
      <c r="K596" s="172"/>
      <c r="L596" s="172"/>
      <c r="M596" s="172"/>
      <c r="N596" s="4441"/>
      <c r="O596" s="11"/>
      <c r="P596" s="11"/>
      <c r="Q596" s="11"/>
      <c r="U596" s="42"/>
      <c r="V596" s="42"/>
      <c r="W596" s="42"/>
      <c r="X596" s="42"/>
      <c r="Y596" s="42"/>
      <c r="Z596" s="42"/>
      <c r="AA596" s="42"/>
      <c r="AB596" s="42"/>
      <c r="AC596" s="42"/>
      <c r="AD596" s="42"/>
      <c r="AE596" s="42"/>
      <c r="AF596" s="42"/>
      <c r="AG596" s="42"/>
      <c r="AH596" s="42"/>
      <c r="AI596" s="42"/>
      <c r="AJ596" s="42"/>
    </row>
    <row r="597" spans="1:36" x14ac:dyDescent="0.2">
      <c r="A597" s="11"/>
      <c r="B597" s="4345"/>
      <c r="C597" s="4345"/>
      <c r="D597" s="4345"/>
      <c r="E597" s="4345"/>
      <c r="F597" s="4345"/>
      <c r="G597" s="4467"/>
      <c r="H597" s="11"/>
      <c r="I597" s="172"/>
      <c r="J597" s="172"/>
      <c r="K597" s="172"/>
      <c r="L597" s="172"/>
      <c r="M597" s="172"/>
      <c r="N597" s="4441"/>
      <c r="O597" s="11"/>
      <c r="P597" s="11"/>
      <c r="Q597" s="11"/>
      <c r="U597" s="42"/>
      <c r="V597" s="42"/>
      <c r="W597" s="42"/>
      <c r="X597" s="42"/>
      <c r="Y597" s="42"/>
      <c r="Z597" s="42"/>
      <c r="AA597" s="42"/>
      <c r="AB597" s="42"/>
      <c r="AC597" s="42"/>
      <c r="AD597" s="42"/>
      <c r="AE597" s="42"/>
      <c r="AF597" s="42"/>
      <c r="AG597" s="42"/>
      <c r="AH597" s="42"/>
      <c r="AI597" s="42"/>
      <c r="AJ597" s="42"/>
    </row>
    <row r="598" spans="1:36" x14ac:dyDescent="0.2">
      <c r="A598" s="11"/>
      <c r="B598" s="4345"/>
      <c r="C598" s="4345"/>
      <c r="D598" s="4345"/>
      <c r="E598" s="4345"/>
      <c r="F598" s="4345"/>
      <c r="G598" s="4467"/>
      <c r="H598" s="11"/>
      <c r="I598" s="172"/>
      <c r="J598" s="172"/>
      <c r="K598" s="172"/>
      <c r="L598" s="172"/>
      <c r="M598" s="172"/>
      <c r="N598" s="4441"/>
      <c r="O598" s="11"/>
      <c r="P598" s="11"/>
      <c r="Q598" s="11"/>
      <c r="U598" s="42"/>
      <c r="V598" s="42"/>
      <c r="W598" s="42"/>
      <c r="X598" s="42"/>
      <c r="Y598" s="42"/>
      <c r="Z598" s="42"/>
      <c r="AA598" s="42"/>
      <c r="AB598" s="42"/>
      <c r="AC598" s="42"/>
      <c r="AD598" s="42"/>
      <c r="AE598" s="42"/>
      <c r="AF598" s="42"/>
      <c r="AG598" s="42"/>
      <c r="AH598" s="42"/>
      <c r="AI598" s="42"/>
      <c r="AJ598" s="42"/>
    </row>
    <row r="599" spans="1:36" x14ac:dyDescent="0.2">
      <c r="A599" s="11"/>
      <c r="B599" s="4345" t="s">
        <v>4337</v>
      </c>
      <c r="C599" s="4345"/>
      <c r="D599" s="4345"/>
      <c r="E599" s="4345"/>
      <c r="F599" s="4345"/>
      <c r="G599" s="17">
        <v>3</v>
      </c>
      <c r="H599" s="11"/>
      <c r="I599" s="11"/>
      <c r="J599" s="11"/>
      <c r="K599" s="172"/>
      <c r="L599" s="172"/>
      <c r="M599" s="172"/>
      <c r="N599" s="15"/>
      <c r="O599" s="11"/>
      <c r="P599" s="11"/>
      <c r="Q599" s="11"/>
      <c r="U599" s="42"/>
      <c r="V599" s="42"/>
      <c r="W599" s="42"/>
      <c r="X599" s="42"/>
      <c r="Y599" s="42"/>
      <c r="Z599" s="42"/>
      <c r="AA599" s="42"/>
      <c r="AB599" s="42"/>
      <c r="AC599" s="42"/>
      <c r="AD599" s="42"/>
      <c r="AE599" s="42"/>
      <c r="AF599" s="42"/>
      <c r="AG599" s="42"/>
      <c r="AH599" s="42"/>
      <c r="AI599" s="42"/>
      <c r="AJ599" s="42"/>
    </row>
    <row r="600" spans="1:36" x14ac:dyDescent="0.2">
      <c r="A600" s="11"/>
      <c r="B600" s="172"/>
      <c r="C600" s="172"/>
      <c r="D600" s="172"/>
      <c r="E600" s="172"/>
      <c r="F600" s="172"/>
      <c r="G600" s="15"/>
      <c r="H600" s="11"/>
      <c r="I600" s="11"/>
      <c r="J600" s="11"/>
      <c r="K600" s="11"/>
      <c r="L600" s="11"/>
      <c r="M600" s="11"/>
      <c r="N600" s="11"/>
      <c r="O600" s="11"/>
      <c r="P600" s="11"/>
      <c r="Q600" s="11"/>
      <c r="U600" s="42"/>
      <c r="V600" s="42"/>
      <c r="W600" s="42"/>
      <c r="X600" s="42"/>
      <c r="Y600" s="42"/>
      <c r="Z600" s="42"/>
      <c r="AA600" s="42"/>
      <c r="AB600" s="42"/>
      <c r="AC600" s="42"/>
      <c r="AD600" s="42"/>
      <c r="AE600" s="42"/>
      <c r="AF600" s="42"/>
      <c r="AG600" s="42"/>
      <c r="AH600" s="42"/>
      <c r="AI600" s="42"/>
      <c r="AJ600" s="42"/>
    </row>
    <row r="601" spans="1:36" x14ac:dyDescent="0.2">
      <c r="A601" s="20" t="s">
        <v>522</v>
      </c>
      <c r="B601" s="172"/>
      <c r="C601" s="172"/>
      <c r="D601" s="172"/>
      <c r="E601" s="172"/>
      <c r="F601" s="172"/>
      <c r="G601" s="15"/>
      <c r="H601" s="11"/>
      <c r="I601" s="11"/>
      <c r="J601" s="11"/>
      <c r="K601" s="11"/>
      <c r="L601" s="11"/>
      <c r="M601" s="11"/>
      <c r="N601" s="11"/>
      <c r="O601" s="11"/>
      <c r="P601" s="11"/>
      <c r="Q601" s="11"/>
      <c r="U601" s="42"/>
      <c r="V601" s="42"/>
      <c r="W601" s="42"/>
      <c r="X601" s="42"/>
      <c r="Y601" s="42"/>
      <c r="Z601" s="42"/>
      <c r="AA601" s="42"/>
      <c r="AB601" s="42"/>
      <c r="AC601" s="42"/>
      <c r="AD601" s="42"/>
      <c r="AE601" s="42"/>
      <c r="AF601" s="42"/>
      <c r="AG601" s="42"/>
      <c r="AH601" s="42"/>
      <c r="AI601" s="42"/>
      <c r="AJ601" s="42"/>
    </row>
    <row r="602" spans="1:36" ht="16.5" thickBot="1" x14ac:dyDescent="0.3">
      <c r="A602" s="31" t="s">
        <v>1199</v>
      </c>
      <c r="B602" s="11"/>
      <c r="C602" s="31"/>
      <c r="D602" s="11"/>
      <c r="E602" s="11"/>
      <c r="F602" s="11"/>
      <c r="G602" s="11"/>
      <c r="H602" s="11"/>
      <c r="I602" s="11"/>
      <c r="J602" s="11"/>
      <c r="K602" s="11"/>
      <c r="L602" s="11"/>
      <c r="M602" s="11"/>
      <c r="N602" s="11"/>
      <c r="O602" s="11"/>
      <c r="P602" s="11"/>
      <c r="Q602" s="11"/>
      <c r="U602" s="42"/>
      <c r="V602" s="42"/>
      <c r="W602" s="42"/>
      <c r="X602" s="42"/>
      <c r="Y602" s="42"/>
      <c r="Z602" s="42"/>
      <c r="AA602" s="42"/>
      <c r="AB602" s="42"/>
      <c r="AC602" s="42"/>
      <c r="AD602" s="42"/>
      <c r="AE602" s="42"/>
      <c r="AF602" s="42"/>
      <c r="AG602" s="42"/>
      <c r="AH602" s="42"/>
      <c r="AI602" s="42"/>
      <c r="AJ602" s="42"/>
    </row>
    <row r="603" spans="1:36" ht="13.5" thickBot="1" x14ac:dyDescent="0.25">
      <c r="A603" s="4483" t="s">
        <v>3084</v>
      </c>
      <c r="B603" s="4491" t="s">
        <v>2779</v>
      </c>
      <c r="C603" s="4492"/>
      <c r="D603" s="4492"/>
      <c r="E603" s="4492"/>
      <c r="F603" s="4493"/>
      <c r="G603" s="4491" t="s">
        <v>2970</v>
      </c>
      <c r="H603" s="4492"/>
      <c r="I603" s="4493"/>
      <c r="J603" s="4491" t="s">
        <v>5425</v>
      </c>
      <c r="K603" s="4493"/>
      <c r="L603" s="4491" t="s">
        <v>3158</v>
      </c>
      <c r="M603" s="4496"/>
      <c r="N603" s="4479" t="s">
        <v>1200</v>
      </c>
      <c r="O603" s="4481" t="s">
        <v>1201</v>
      </c>
      <c r="P603" s="4479" t="s">
        <v>356</v>
      </c>
      <c r="Q603" s="4479" t="s">
        <v>357</v>
      </c>
      <c r="R603" s="4488" t="s">
        <v>358</v>
      </c>
      <c r="S603" s="4488" t="s">
        <v>359</v>
      </c>
      <c r="U603" s="42"/>
      <c r="V603" s="42"/>
      <c r="W603" s="42"/>
      <c r="X603" s="42"/>
      <c r="Y603" s="42"/>
      <c r="Z603" s="42"/>
      <c r="AA603" s="42"/>
      <c r="AB603" s="42"/>
      <c r="AC603" s="42"/>
      <c r="AD603" s="42"/>
      <c r="AE603" s="42"/>
      <c r="AF603" s="42"/>
      <c r="AG603" s="42"/>
      <c r="AH603" s="42"/>
      <c r="AI603" s="42"/>
      <c r="AJ603" s="42"/>
    </row>
    <row r="604" spans="1:36" ht="13.5" thickBot="1" x14ac:dyDescent="0.25">
      <c r="A604" s="4484"/>
      <c r="B604" s="137" t="s">
        <v>2913</v>
      </c>
      <c r="C604" s="138" t="s">
        <v>122</v>
      </c>
      <c r="D604" s="138" t="s">
        <v>123</v>
      </c>
      <c r="E604" s="138" t="s">
        <v>124</v>
      </c>
      <c r="F604" s="138" t="s">
        <v>125</v>
      </c>
      <c r="G604" s="138" t="s">
        <v>2914</v>
      </c>
      <c r="H604" s="138" t="s">
        <v>126</v>
      </c>
      <c r="I604" s="138" t="s">
        <v>127</v>
      </c>
      <c r="J604" s="138" t="s">
        <v>128</v>
      </c>
      <c r="K604" s="138" t="s">
        <v>129</v>
      </c>
      <c r="L604" s="138" t="s">
        <v>130</v>
      </c>
      <c r="M604" s="139" t="s">
        <v>131</v>
      </c>
      <c r="N604" s="4480"/>
      <c r="O604" s="4482"/>
      <c r="P604" s="4480"/>
      <c r="Q604" s="4480"/>
      <c r="R604" s="4489"/>
      <c r="S604" s="4489"/>
      <c r="U604" s="42"/>
      <c r="V604" s="42"/>
      <c r="W604" s="42"/>
      <c r="X604" s="42"/>
      <c r="Y604" s="42"/>
      <c r="Z604" s="42"/>
      <c r="AA604" s="42"/>
      <c r="AB604" s="42"/>
      <c r="AC604" s="42"/>
      <c r="AD604" s="42"/>
      <c r="AE604" s="42"/>
      <c r="AF604" s="42"/>
      <c r="AG604" s="42"/>
      <c r="AH604" s="42"/>
      <c r="AI604" s="42"/>
      <c r="AJ604" s="42"/>
    </row>
    <row r="605" spans="1:36" x14ac:dyDescent="0.2">
      <c r="A605" s="5" t="s">
        <v>5617</v>
      </c>
      <c r="B605" s="5">
        <v>4.8</v>
      </c>
      <c r="C605" s="5">
        <v>0.11</v>
      </c>
      <c r="D605" s="5">
        <v>-0.09</v>
      </c>
      <c r="E605" s="5">
        <v>-1.2999999999999999E-2</v>
      </c>
      <c r="F605" s="5">
        <v>-1.56</v>
      </c>
      <c r="G605" s="5">
        <v>-2.25</v>
      </c>
      <c r="H605" s="5">
        <v>29.55</v>
      </c>
      <c r="I605" s="5">
        <v>13.75</v>
      </c>
      <c r="J605" s="5">
        <v>0</v>
      </c>
      <c r="K605" s="5">
        <v>5</v>
      </c>
      <c r="L605" s="5">
        <v>0</v>
      </c>
      <c r="M605" s="5">
        <v>200</v>
      </c>
      <c r="N605" s="3013">
        <v>5</v>
      </c>
      <c r="O605" s="5">
        <v>200</v>
      </c>
      <c r="P605" s="5">
        <v>14.8</v>
      </c>
      <c r="Q605" s="3013">
        <v>0.63</v>
      </c>
      <c r="R605" s="3013">
        <v>0.85</v>
      </c>
      <c r="S605" s="3013">
        <v>1.3</v>
      </c>
      <c r="T605" s="1740">
        <v>0.9</v>
      </c>
      <c r="U605" s="3033">
        <v>1</v>
      </c>
    </row>
    <row r="606" spans="1:36" x14ac:dyDescent="0.2">
      <c r="A606" s="5" t="s">
        <v>5620</v>
      </c>
      <c r="B606" s="5">
        <v>6.9</v>
      </c>
      <c r="C606" s="5">
        <v>0.1</v>
      </c>
      <c r="D606" s="5">
        <v>-0.09</v>
      </c>
      <c r="E606" s="5">
        <v>-1.2999999999999999E-2</v>
      </c>
      <c r="F606" s="5">
        <v>-1.56</v>
      </c>
      <c r="G606" s="3034">
        <v>-2.2400000000000002</v>
      </c>
      <c r="H606" s="3034">
        <v>31.2</v>
      </c>
      <c r="I606" s="3034">
        <v>15.6</v>
      </c>
      <c r="J606" s="5">
        <v>0</v>
      </c>
      <c r="K606" s="5">
        <v>5</v>
      </c>
      <c r="L606" s="5">
        <v>0</v>
      </c>
      <c r="M606" s="5">
        <v>250</v>
      </c>
      <c r="N606" s="5">
        <v>5</v>
      </c>
      <c r="O606" s="3034">
        <v>250</v>
      </c>
      <c r="P606" s="5">
        <v>16.5</v>
      </c>
      <c r="Q606" s="5">
        <v>0.63</v>
      </c>
      <c r="R606" s="5">
        <v>0.85</v>
      </c>
      <c r="S606" s="5">
        <v>1.5</v>
      </c>
      <c r="T606" s="857">
        <v>0.9</v>
      </c>
      <c r="U606" s="3035">
        <v>2</v>
      </c>
      <c r="V606" s="42"/>
      <c r="W606" s="42"/>
      <c r="X606" s="42"/>
      <c r="Y606" s="42"/>
      <c r="Z606" s="42"/>
      <c r="AA606" s="42"/>
      <c r="AB606" s="42"/>
      <c r="AC606" s="42"/>
      <c r="AD606" s="42"/>
      <c r="AE606" s="42"/>
      <c r="AF606" s="42"/>
      <c r="AG606" s="42"/>
      <c r="AH606" s="42"/>
      <c r="AI606" s="42"/>
      <c r="AJ606" s="42"/>
    </row>
    <row r="607" spans="1:36" x14ac:dyDescent="0.2">
      <c r="A607" s="5" t="s">
        <v>5615</v>
      </c>
      <c r="B607" s="5">
        <v>11.4</v>
      </c>
      <c r="C607" s="5">
        <v>0.3</v>
      </c>
      <c r="D607" s="5">
        <v>-0.5</v>
      </c>
      <c r="E607" s="5">
        <v>-7.0000000000000007E-2</v>
      </c>
      <c r="F607" s="5">
        <v>-1.56</v>
      </c>
      <c r="G607" s="5">
        <v>-2.25</v>
      </c>
      <c r="H607" s="5">
        <v>29.55</v>
      </c>
      <c r="I607" s="5">
        <v>13.75</v>
      </c>
      <c r="J607" s="5">
        <v>0</v>
      </c>
      <c r="K607" s="5">
        <v>12</v>
      </c>
      <c r="L607" s="5">
        <v>0</v>
      </c>
      <c r="M607" s="5">
        <v>300</v>
      </c>
      <c r="N607" s="3013">
        <v>10</v>
      </c>
      <c r="O607" s="3013">
        <v>300</v>
      </c>
      <c r="P607" s="3013">
        <v>21</v>
      </c>
      <c r="Q607" s="3013">
        <v>0.7</v>
      </c>
      <c r="R607" s="3013">
        <v>0.85</v>
      </c>
      <c r="S607" s="3013">
        <v>1.5</v>
      </c>
      <c r="T607" s="1740">
        <v>0.9</v>
      </c>
      <c r="U607" s="3033">
        <v>3</v>
      </c>
    </row>
    <row r="608" spans="1:36" x14ac:dyDescent="0.2">
      <c r="A608" s="5" t="s">
        <v>5616</v>
      </c>
      <c r="B608" s="5">
        <v>11.7</v>
      </c>
      <c r="C608" s="5">
        <v>0.3</v>
      </c>
      <c r="D608" s="5">
        <v>-0.48</v>
      </c>
      <c r="E608" s="5">
        <v>-0.08</v>
      </c>
      <c r="F608" s="5">
        <v>-1.56</v>
      </c>
      <c r="G608" s="5">
        <v>-2.25</v>
      </c>
      <c r="H608" s="5">
        <v>29.55</v>
      </c>
      <c r="I608" s="5">
        <v>13.75</v>
      </c>
      <c r="J608" s="5">
        <v>0</v>
      </c>
      <c r="K608" s="5">
        <v>12</v>
      </c>
      <c r="L608" s="5">
        <v>0</v>
      </c>
      <c r="M608" s="5">
        <v>300</v>
      </c>
      <c r="N608" s="3013">
        <v>12</v>
      </c>
      <c r="O608" s="3013">
        <v>300</v>
      </c>
      <c r="P608" s="3013">
        <v>21</v>
      </c>
      <c r="Q608" s="3013">
        <v>0.8</v>
      </c>
      <c r="R608" s="3013">
        <v>0.85</v>
      </c>
      <c r="S608" s="3013">
        <v>1.5</v>
      </c>
      <c r="T608" s="857">
        <v>0.9</v>
      </c>
      <c r="U608" s="3035">
        <v>4</v>
      </c>
    </row>
    <row r="609" spans="1:36" x14ac:dyDescent="0.2">
      <c r="A609" s="5" t="s">
        <v>3478</v>
      </c>
      <c r="B609" s="5">
        <v>4.92</v>
      </c>
      <c r="C609" s="5">
        <v>2.36</v>
      </c>
      <c r="D609" s="5">
        <v>-1.24</v>
      </c>
      <c r="E609" s="5">
        <v>0.13500000000000001</v>
      </c>
      <c r="F609" s="5">
        <v>-1.47</v>
      </c>
      <c r="G609" s="5">
        <v>-0.5</v>
      </c>
      <c r="H609" s="5">
        <v>5.0999999999999996</v>
      </c>
      <c r="I609" s="5">
        <v>26.5</v>
      </c>
      <c r="J609" s="5">
        <v>0</v>
      </c>
      <c r="K609" s="5">
        <v>5</v>
      </c>
      <c r="L609" s="5">
        <v>0</v>
      </c>
      <c r="M609" s="5">
        <v>200</v>
      </c>
      <c r="N609" s="5">
        <v>5</v>
      </c>
      <c r="O609" s="5">
        <v>200</v>
      </c>
      <c r="P609" s="5">
        <v>12.33</v>
      </c>
      <c r="Q609" s="5">
        <v>0.8</v>
      </c>
      <c r="R609" s="5">
        <v>0.85</v>
      </c>
      <c r="S609" s="5">
        <v>1.2</v>
      </c>
      <c r="T609" s="1740">
        <v>0.87</v>
      </c>
      <c r="U609" s="3033">
        <v>5</v>
      </c>
      <c r="V609" s="42"/>
      <c r="W609" s="42"/>
      <c r="X609" s="42"/>
      <c r="Y609" s="42"/>
      <c r="Z609" s="42"/>
      <c r="AA609" s="42"/>
      <c r="AB609" s="42"/>
      <c r="AC609" s="42"/>
      <c r="AD609" s="42"/>
      <c r="AE609" s="42"/>
      <c r="AF609" s="42"/>
      <c r="AG609" s="42"/>
      <c r="AH609" s="42"/>
      <c r="AI609" s="42"/>
      <c r="AJ609" s="42"/>
    </row>
    <row r="610" spans="1:36" x14ac:dyDescent="0.2">
      <c r="A610" s="3034" t="s">
        <v>5614</v>
      </c>
      <c r="B610">
        <v>5.92</v>
      </c>
      <c r="C610" s="5">
        <v>2.96</v>
      </c>
      <c r="D610" s="5">
        <v>-1.24</v>
      </c>
      <c r="E610" s="5">
        <v>0.13500000000000001</v>
      </c>
      <c r="F610" s="5">
        <v>-1.47</v>
      </c>
      <c r="G610" s="5">
        <v>-0.5</v>
      </c>
      <c r="H610" s="5">
        <v>5.0999999999999996</v>
      </c>
      <c r="I610" s="5">
        <v>30.5</v>
      </c>
      <c r="J610" s="5">
        <v>0</v>
      </c>
      <c r="K610" s="5">
        <v>5</v>
      </c>
      <c r="L610" s="5">
        <v>0</v>
      </c>
      <c r="M610" s="5">
        <v>200</v>
      </c>
      <c r="N610" s="5">
        <v>5</v>
      </c>
      <c r="O610" s="5">
        <v>200</v>
      </c>
      <c r="P610" s="3034">
        <v>12.85</v>
      </c>
      <c r="Q610" s="5">
        <v>0.8</v>
      </c>
      <c r="R610" s="3034">
        <v>0.8</v>
      </c>
      <c r="S610" s="3034">
        <v>1.25</v>
      </c>
      <c r="T610" s="857">
        <v>0.87</v>
      </c>
      <c r="U610" s="3035">
        <v>6</v>
      </c>
      <c r="V610" s="42"/>
      <c r="W610" s="42"/>
      <c r="X610" s="42"/>
      <c r="Y610" s="42"/>
      <c r="Z610" s="42"/>
      <c r="AA610" s="42"/>
      <c r="AB610" s="42"/>
      <c r="AC610" s="42"/>
      <c r="AD610" s="42"/>
      <c r="AE610" s="42"/>
      <c r="AF610" s="42"/>
      <c r="AG610" s="42"/>
      <c r="AH610" s="42"/>
      <c r="AI610" s="42"/>
      <c r="AJ610" s="42"/>
    </row>
    <row r="611" spans="1:36" x14ac:dyDescent="0.2">
      <c r="A611" s="5" t="s">
        <v>3480</v>
      </c>
      <c r="B611" s="5">
        <v>3.57</v>
      </c>
      <c r="C611" s="5">
        <v>6.07</v>
      </c>
      <c r="D611" s="5">
        <v>-4.68</v>
      </c>
      <c r="E611" s="5">
        <v>0.86</v>
      </c>
      <c r="F611" s="5">
        <v>-1.625</v>
      </c>
      <c r="G611" s="5">
        <v>-1</v>
      </c>
      <c r="H611" s="5">
        <v>7</v>
      </c>
      <c r="I611" s="5">
        <v>25</v>
      </c>
      <c r="J611" s="5">
        <v>0</v>
      </c>
      <c r="K611" s="5">
        <v>4.5</v>
      </c>
      <c r="L611" s="5">
        <v>0</v>
      </c>
      <c r="M611" s="5">
        <v>250</v>
      </c>
      <c r="N611" s="5">
        <v>4.5</v>
      </c>
      <c r="O611" s="5">
        <v>250</v>
      </c>
      <c r="P611" s="5">
        <v>10.4</v>
      </c>
      <c r="Q611" s="5">
        <v>0.8</v>
      </c>
      <c r="R611" s="5">
        <v>0.8</v>
      </c>
      <c r="S611" s="5">
        <v>1.2</v>
      </c>
      <c r="T611" s="1740">
        <v>0.87</v>
      </c>
      <c r="U611" s="3033">
        <v>7</v>
      </c>
    </row>
    <row r="612" spans="1:36" x14ac:dyDescent="0.2">
      <c r="A612" s="5" t="s">
        <v>3483</v>
      </c>
      <c r="B612" s="5">
        <v>6.44</v>
      </c>
      <c r="C612" s="5">
        <v>2.21</v>
      </c>
      <c r="D612" s="5">
        <v>-1.21</v>
      </c>
      <c r="E612" s="5">
        <v>0.14000000000000001</v>
      </c>
      <c r="F612" s="5">
        <v>-0.85</v>
      </c>
      <c r="G612" s="5">
        <v>-1.75</v>
      </c>
      <c r="H612" s="5">
        <v>26.65</v>
      </c>
      <c r="I612" s="5">
        <v>27.25</v>
      </c>
      <c r="J612" s="5">
        <v>0</v>
      </c>
      <c r="K612" s="5">
        <v>4.4000000000000004</v>
      </c>
      <c r="L612" s="5">
        <v>0</v>
      </c>
      <c r="M612" s="5">
        <v>250</v>
      </c>
      <c r="N612" s="5">
        <v>6</v>
      </c>
      <c r="O612" s="5">
        <v>250</v>
      </c>
      <c r="P612" s="5">
        <v>16</v>
      </c>
      <c r="Q612" s="5">
        <v>0.63</v>
      </c>
      <c r="R612" s="5">
        <v>1.1000000000000001</v>
      </c>
      <c r="S612" s="5">
        <v>2.5</v>
      </c>
      <c r="T612" s="857">
        <v>0.87</v>
      </c>
      <c r="U612" s="3035">
        <v>8</v>
      </c>
      <c r="V612" s="42"/>
      <c r="W612" s="42"/>
      <c r="X612" s="42"/>
      <c r="Y612" s="42"/>
      <c r="Z612" s="42"/>
      <c r="AA612" s="42"/>
      <c r="AB612" s="42"/>
      <c r="AC612" s="42"/>
      <c r="AD612" s="42"/>
      <c r="AE612" s="42"/>
      <c r="AF612" s="42"/>
      <c r="AG612" s="42"/>
      <c r="AH612" s="42"/>
      <c r="AI612" s="42"/>
      <c r="AJ612" s="42"/>
    </row>
    <row r="613" spans="1:36" x14ac:dyDescent="0.2">
      <c r="A613" s="5" t="s">
        <v>5710</v>
      </c>
      <c r="B613" s="5">
        <v>6.52</v>
      </c>
      <c r="C613" s="5">
        <v>3.44</v>
      </c>
      <c r="D613" s="5">
        <v>-1.88</v>
      </c>
      <c r="E613" s="5">
        <v>0.23799999999999999</v>
      </c>
      <c r="F613" s="5">
        <v>-1.78</v>
      </c>
      <c r="G613" s="5">
        <v>-3</v>
      </c>
      <c r="H613" s="5">
        <v>30.6</v>
      </c>
      <c r="I613" s="5">
        <v>9.5</v>
      </c>
      <c r="J613" s="5">
        <v>0</v>
      </c>
      <c r="K613" s="5">
        <v>6</v>
      </c>
      <c r="L613" s="5">
        <v>0</v>
      </c>
      <c r="M613" s="5">
        <v>300</v>
      </c>
      <c r="N613" s="5">
        <v>6</v>
      </c>
      <c r="O613" s="5">
        <v>300</v>
      </c>
      <c r="P613" s="5">
        <v>14.7</v>
      </c>
      <c r="Q613" s="5">
        <v>0.8</v>
      </c>
      <c r="R613" s="5">
        <v>0.95</v>
      </c>
      <c r="S613" s="5">
        <v>1.5</v>
      </c>
      <c r="T613" s="1740">
        <v>0.87</v>
      </c>
      <c r="U613" s="3033">
        <v>9</v>
      </c>
    </row>
    <row r="614" spans="1:36" x14ac:dyDescent="0.2">
      <c r="A614" s="5" t="s">
        <v>3482</v>
      </c>
      <c r="B614" s="5">
        <v>12.15</v>
      </c>
      <c r="C614" s="5">
        <v>2.37</v>
      </c>
      <c r="D614" s="5">
        <v>-1.4</v>
      </c>
      <c r="E614" s="5">
        <v>0.14299999999999999</v>
      </c>
      <c r="F614" s="5">
        <v>-2.12</v>
      </c>
      <c r="G614" s="5">
        <v>0</v>
      </c>
      <c r="H614" s="5">
        <v>20</v>
      </c>
      <c r="I614" s="5">
        <v>23.5</v>
      </c>
      <c r="J614" s="5">
        <v>0</v>
      </c>
      <c r="K614" s="5">
        <v>10</v>
      </c>
      <c r="L614" s="5">
        <v>0</v>
      </c>
      <c r="M614" s="5">
        <v>250</v>
      </c>
      <c r="N614" s="5">
        <v>10</v>
      </c>
      <c r="O614" s="5">
        <v>250</v>
      </c>
      <c r="P614" s="5">
        <v>19.100000000000001</v>
      </c>
      <c r="Q614" s="5">
        <v>0.63</v>
      </c>
      <c r="R614" s="5">
        <v>1.1000000000000001</v>
      </c>
      <c r="S614" s="5">
        <v>1.93</v>
      </c>
      <c r="T614" s="857">
        <v>0.87</v>
      </c>
      <c r="U614" s="3035">
        <v>10</v>
      </c>
    </row>
    <row r="615" spans="1:36" x14ac:dyDescent="0.2">
      <c r="A615" s="5" t="s">
        <v>658</v>
      </c>
      <c r="B615" s="5">
        <v>13.5</v>
      </c>
      <c r="C615" s="5">
        <v>0.49</v>
      </c>
      <c r="D615" s="5">
        <v>-0.69</v>
      </c>
      <c r="E615" s="5">
        <v>7.0999999999999994E-2</v>
      </c>
      <c r="F615" s="5">
        <v>-1.76</v>
      </c>
      <c r="G615" s="5">
        <v>-3.75</v>
      </c>
      <c r="H615" s="5">
        <v>35.049999999999997</v>
      </c>
      <c r="I615" s="5">
        <v>35.25</v>
      </c>
      <c r="J615" s="5">
        <v>0</v>
      </c>
      <c r="K615" s="5">
        <v>10</v>
      </c>
      <c r="L615" s="5">
        <v>0</v>
      </c>
      <c r="M615" s="5">
        <v>250</v>
      </c>
      <c r="N615" s="5">
        <v>10</v>
      </c>
      <c r="O615" s="5">
        <v>250</v>
      </c>
      <c r="P615" s="5">
        <v>24.8</v>
      </c>
      <c r="Q615" s="5">
        <v>0.63</v>
      </c>
      <c r="R615" s="5">
        <v>1.35</v>
      </c>
      <c r="S615" s="5">
        <v>2.6</v>
      </c>
      <c r="T615" s="5">
        <v>0.87</v>
      </c>
      <c r="U615" s="3033">
        <v>11</v>
      </c>
      <c r="V615" s="42"/>
      <c r="W615" s="42"/>
      <c r="X615" s="42"/>
      <c r="Y615" s="42"/>
      <c r="Z615" s="42"/>
      <c r="AA615" s="42"/>
      <c r="AB615" s="42"/>
      <c r="AC615" s="42"/>
      <c r="AD615" s="42"/>
      <c r="AE615" s="42"/>
      <c r="AF615" s="42"/>
      <c r="AG615" s="42"/>
      <c r="AH615" s="42"/>
      <c r="AI615" s="42"/>
      <c r="AJ615" s="42"/>
    </row>
    <row r="616" spans="1:36" x14ac:dyDescent="0.2">
      <c r="A616" s="857" t="s">
        <v>5622</v>
      </c>
      <c r="B616" s="5">
        <v>16</v>
      </c>
      <c r="C616" s="5">
        <v>0.52</v>
      </c>
      <c r="D616" s="5">
        <v>-0.69</v>
      </c>
      <c r="E616" s="5">
        <v>7.0999999999999994E-2</v>
      </c>
      <c r="F616" s="5">
        <v>-1.76</v>
      </c>
      <c r="G616" s="5">
        <v>-3.75</v>
      </c>
      <c r="H616" s="5">
        <v>35.049999999999997</v>
      </c>
      <c r="I616" s="5">
        <v>37</v>
      </c>
      <c r="J616" s="5">
        <v>0</v>
      </c>
      <c r="K616" s="5">
        <v>14</v>
      </c>
      <c r="L616" s="5">
        <v>0</v>
      </c>
      <c r="M616" s="5">
        <v>360</v>
      </c>
      <c r="N616" s="5">
        <v>14</v>
      </c>
      <c r="O616" s="5">
        <v>360</v>
      </c>
      <c r="P616" s="5">
        <v>21.5</v>
      </c>
      <c r="Q616" s="5">
        <v>0.8</v>
      </c>
      <c r="R616" s="5">
        <v>1.5</v>
      </c>
      <c r="S616" s="5">
        <v>2.1</v>
      </c>
      <c r="T616" s="857">
        <v>0.9</v>
      </c>
      <c r="U616" s="3035">
        <v>12</v>
      </c>
      <c r="V616" s="42"/>
      <c r="W616" s="42"/>
      <c r="X616" s="42"/>
      <c r="Y616" s="42"/>
      <c r="Z616" s="42"/>
      <c r="AA616" s="42"/>
      <c r="AB616" s="42"/>
      <c r="AC616" s="42"/>
      <c r="AD616" s="42"/>
      <c r="AE616" s="42"/>
      <c r="AF616" s="42"/>
      <c r="AG616" s="42"/>
      <c r="AH616" s="42"/>
      <c r="AI616" s="42"/>
      <c r="AJ616" s="42"/>
    </row>
    <row r="617" spans="1:36" x14ac:dyDescent="0.2">
      <c r="A617" s="857" t="s">
        <v>5624</v>
      </c>
      <c r="B617" s="5">
        <v>22</v>
      </c>
      <c r="C617" s="5">
        <v>0.55000000000000004</v>
      </c>
      <c r="D617" s="5">
        <v>-0.69</v>
      </c>
      <c r="E617" s="5">
        <v>7.0999999999999994E-2</v>
      </c>
      <c r="F617" s="5">
        <v>-1.76</v>
      </c>
      <c r="G617" s="5">
        <v>-3.75</v>
      </c>
      <c r="H617" s="5">
        <v>35.049999999999997</v>
      </c>
      <c r="I617" s="5">
        <v>38</v>
      </c>
      <c r="J617" s="5">
        <v>0</v>
      </c>
      <c r="K617" s="5">
        <v>20</v>
      </c>
      <c r="L617" s="5">
        <v>0</v>
      </c>
      <c r="M617" s="5">
        <v>450</v>
      </c>
      <c r="N617" s="5">
        <v>20</v>
      </c>
      <c r="O617" s="5">
        <v>450</v>
      </c>
      <c r="P617" s="5">
        <v>28</v>
      </c>
      <c r="Q617" s="5">
        <v>0.8</v>
      </c>
      <c r="R617" s="5">
        <v>1.35</v>
      </c>
      <c r="S617" s="5">
        <v>3.2</v>
      </c>
      <c r="T617" s="857">
        <v>0.9</v>
      </c>
      <c r="U617" s="3033">
        <v>13</v>
      </c>
      <c r="V617" s="42"/>
      <c r="W617" s="42"/>
      <c r="X617" s="42"/>
      <c r="Y617" s="42"/>
      <c r="Z617" s="42"/>
      <c r="AA617" s="42"/>
      <c r="AB617" s="42"/>
      <c r="AC617" s="42"/>
      <c r="AD617" s="42"/>
      <c r="AE617" s="42"/>
      <c r="AF617" s="42"/>
      <c r="AG617" s="42"/>
      <c r="AH617" s="42"/>
      <c r="AI617" s="42"/>
      <c r="AJ617" s="42"/>
    </row>
    <row r="618" spans="1:36" x14ac:dyDescent="0.2">
      <c r="A618" s="857" t="s">
        <v>5655</v>
      </c>
      <c r="B618" s="5">
        <v>22</v>
      </c>
      <c r="C618" s="5">
        <v>0.55000000000000004</v>
      </c>
      <c r="D618" s="5">
        <v>-0.69</v>
      </c>
      <c r="E618" s="5">
        <v>7.0999999999999994E-2</v>
      </c>
      <c r="F618" s="5">
        <v>-1.76</v>
      </c>
      <c r="G618" s="5">
        <v>-3.75</v>
      </c>
      <c r="H618" s="5">
        <v>35.049999999999997</v>
      </c>
      <c r="I618" s="5">
        <v>38</v>
      </c>
      <c r="J618" s="5">
        <v>0</v>
      </c>
      <c r="K618" s="5">
        <v>20</v>
      </c>
      <c r="L618" s="5">
        <v>0</v>
      </c>
      <c r="M618" s="5">
        <v>450</v>
      </c>
      <c r="N618" s="5">
        <v>20</v>
      </c>
      <c r="O618" s="5">
        <v>450</v>
      </c>
      <c r="P618" s="5">
        <v>33.5</v>
      </c>
      <c r="Q618" s="5">
        <v>0.8</v>
      </c>
      <c r="R618" s="5">
        <v>1.4</v>
      </c>
      <c r="S618" s="5">
        <v>3.8</v>
      </c>
      <c r="T618" s="857">
        <v>0.9</v>
      </c>
      <c r="U618" s="3035">
        <v>14</v>
      </c>
      <c r="V618" s="2999"/>
      <c r="W618" s="2999"/>
      <c r="X618" s="2999"/>
      <c r="Y618" s="2999"/>
      <c r="Z618" s="2999"/>
      <c r="AA618" s="2999"/>
      <c r="AB618" s="2999"/>
      <c r="AC618" s="2999"/>
      <c r="AD618" s="2999"/>
      <c r="AE618" s="2999"/>
      <c r="AF618" s="2999"/>
      <c r="AG618" s="2999"/>
      <c r="AH618" s="2999"/>
      <c r="AI618" s="2999"/>
      <c r="AJ618" s="2999"/>
    </row>
    <row r="619" spans="1:36" x14ac:dyDescent="0.2">
      <c r="A619" s="15"/>
      <c r="B619" s="15"/>
      <c r="C619" s="15"/>
      <c r="D619" s="15"/>
      <c r="E619" s="15"/>
      <c r="F619" s="15"/>
      <c r="G619" s="15"/>
      <c r="H619" s="15"/>
      <c r="I619" s="15"/>
      <c r="J619" s="15"/>
      <c r="K619" s="15"/>
      <c r="L619" s="15"/>
      <c r="M619" s="15"/>
      <c r="N619" s="15"/>
      <c r="O619" s="15"/>
      <c r="P619" s="15"/>
      <c r="Q619" s="15"/>
      <c r="R619" s="1"/>
      <c r="S619" s="1"/>
      <c r="U619" s="2999"/>
      <c r="V619" s="2999"/>
      <c r="W619" s="2999"/>
      <c r="X619" s="2999"/>
      <c r="Y619" s="2999"/>
      <c r="Z619" s="2999"/>
      <c r="AA619" s="2999"/>
      <c r="AB619" s="2999"/>
      <c r="AC619" s="2999"/>
      <c r="AD619" s="2999"/>
      <c r="AE619" s="2999"/>
      <c r="AF619" s="2999"/>
      <c r="AG619" s="2999"/>
      <c r="AH619" s="2999"/>
      <c r="AI619" s="2999"/>
      <c r="AJ619" s="2999"/>
    </row>
    <row r="620" spans="1:36" x14ac:dyDescent="0.2">
      <c r="A620" s="11"/>
      <c r="B620" s="11"/>
      <c r="C620" s="11"/>
      <c r="D620" s="11"/>
      <c r="E620" s="11"/>
      <c r="F620" s="11"/>
      <c r="G620" s="11"/>
      <c r="H620" s="11"/>
      <c r="I620" s="11"/>
      <c r="J620" s="11"/>
      <c r="K620" s="11"/>
      <c r="L620" s="11"/>
      <c r="M620" s="11"/>
      <c r="N620" s="11"/>
      <c r="O620" s="11"/>
      <c r="P620" s="11"/>
      <c r="Q620" s="11"/>
      <c r="U620" s="42"/>
      <c r="V620" s="42"/>
      <c r="W620" s="42"/>
      <c r="X620" s="42"/>
      <c r="Y620" s="42"/>
      <c r="Z620" s="42"/>
      <c r="AA620" s="42"/>
      <c r="AB620" s="42"/>
      <c r="AC620" s="42"/>
      <c r="AD620" s="42"/>
      <c r="AE620" s="42"/>
      <c r="AF620" s="42"/>
      <c r="AG620" s="42"/>
      <c r="AH620" s="42"/>
      <c r="AI620" s="42"/>
      <c r="AJ620" s="42"/>
    </row>
    <row r="621" spans="1:36" ht="15.75" x14ac:dyDescent="0.25">
      <c r="A621" s="11"/>
      <c r="B621" s="31" t="s">
        <v>2911</v>
      </c>
      <c r="C621" s="11"/>
      <c r="D621" s="11"/>
      <c r="E621" s="11"/>
      <c r="F621" s="21" t="s">
        <v>521</v>
      </c>
      <c r="G621" s="11"/>
      <c r="I621" s="11"/>
      <c r="J621" s="11"/>
      <c r="K621" s="11"/>
      <c r="L621" s="11"/>
      <c r="M621" s="11"/>
      <c r="N621" s="11"/>
      <c r="O621" s="11"/>
      <c r="P621" s="11"/>
      <c r="Q621" s="11"/>
      <c r="U621" s="42"/>
      <c r="V621" s="42"/>
      <c r="W621" s="42"/>
      <c r="X621" s="42"/>
      <c r="Y621" s="42"/>
      <c r="Z621" s="42"/>
      <c r="AA621" s="42"/>
      <c r="AB621" s="42"/>
      <c r="AC621" s="42"/>
      <c r="AD621" s="42"/>
      <c r="AE621" s="42"/>
      <c r="AF621" s="42"/>
      <c r="AG621" s="42"/>
      <c r="AH621" s="42"/>
      <c r="AI621" s="42"/>
      <c r="AJ621" s="42"/>
    </row>
    <row r="622" spans="1:36" ht="13.5" thickBot="1" x14ac:dyDescent="0.25">
      <c r="A622" s="20"/>
      <c r="B622" s="11"/>
      <c r="C622" s="11"/>
      <c r="D622" s="11"/>
      <c r="E622" s="11"/>
      <c r="F622" s="11"/>
      <c r="G622" s="11"/>
      <c r="H622" s="11"/>
      <c r="I622" s="11"/>
      <c r="J622" s="11"/>
      <c r="K622" s="11"/>
      <c r="L622" s="11"/>
      <c r="M622" s="11"/>
      <c r="N622" s="11"/>
      <c r="O622" s="11"/>
      <c r="P622" s="11"/>
      <c r="Q622" s="11"/>
      <c r="U622" s="42"/>
      <c r="V622" s="42"/>
      <c r="W622" s="42"/>
      <c r="X622" s="42"/>
      <c r="Y622" s="42"/>
      <c r="Z622" s="42"/>
      <c r="AA622" s="42"/>
      <c r="AB622" s="42"/>
      <c r="AC622" s="42"/>
      <c r="AD622" s="42"/>
      <c r="AE622" s="42"/>
      <c r="AF622" s="42"/>
      <c r="AG622" s="42"/>
      <c r="AH622" s="42"/>
      <c r="AI622" s="42"/>
      <c r="AJ622" s="42"/>
    </row>
    <row r="623" spans="1:36" ht="13.5" thickBot="1" x14ac:dyDescent="0.25">
      <c r="A623" s="4485" t="s">
        <v>4851</v>
      </c>
      <c r="B623" s="4497" t="s">
        <v>5602</v>
      </c>
      <c r="C623" s="4498"/>
      <c r="D623" s="4486" t="s">
        <v>4060</v>
      </c>
      <c r="E623" s="4486" t="s">
        <v>3979</v>
      </c>
      <c r="F623" s="4486" t="s">
        <v>3980</v>
      </c>
      <c r="G623" s="4494" t="s">
        <v>1863</v>
      </c>
      <c r="N623" s="11"/>
      <c r="O623" s="62"/>
      <c r="P623" s="11"/>
      <c r="Q623" s="11"/>
      <c r="U623" s="42"/>
      <c r="V623" s="42"/>
      <c r="W623" s="42"/>
      <c r="X623" s="42"/>
      <c r="Y623" s="42"/>
      <c r="Z623" s="42"/>
      <c r="AA623" s="42"/>
      <c r="AB623" s="42"/>
      <c r="AC623" s="42"/>
      <c r="AD623" s="42"/>
      <c r="AE623" s="42"/>
      <c r="AF623" s="42"/>
      <c r="AG623" s="42"/>
      <c r="AH623" s="42"/>
      <c r="AI623" s="42"/>
      <c r="AJ623" s="42"/>
    </row>
    <row r="624" spans="1:36" ht="62.25" customHeight="1" thickBot="1" x14ac:dyDescent="0.25">
      <c r="A624" s="4480"/>
      <c r="B624" s="173" t="s">
        <v>3981</v>
      </c>
      <c r="C624" s="174" t="s">
        <v>3982</v>
      </c>
      <c r="D624" s="4487"/>
      <c r="E624" s="4487"/>
      <c r="F624" s="4487"/>
      <c r="G624" s="4495"/>
      <c r="N624" s="11"/>
      <c r="O624" s="62"/>
      <c r="P624" s="11"/>
      <c r="Q624" s="11"/>
      <c r="U624" s="42"/>
      <c r="V624" s="42"/>
      <c r="W624" s="42"/>
      <c r="X624" s="42"/>
      <c r="Y624" s="42"/>
      <c r="Z624" s="42"/>
      <c r="AA624" s="42"/>
      <c r="AB624" s="42"/>
      <c r="AC624" s="42"/>
      <c r="AD624" s="42"/>
      <c r="AE624" s="42"/>
      <c r="AF624" s="42"/>
      <c r="AG624" s="42"/>
      <c r="AH624" s="42"/>
      <c r="AI624" s="42"/>
      <c r="AJ624" s="42"/>
    </row>
    <row r="625" spans="1:36" x14ac:dyDescent="0.2">
      <c r="A625" s="2990" t="s">
        <v>5634</v>
      </c>
      <c r="B625" s="2990">
        <v>0.85</v>
      </c>
      <c r="C625" s="2990">
        <v>1.2</v>
      </c>
      <c r="D625" s="2990">
        <v>3</v>
      </c>
      <c r="E625" s="79">
        <v>0.9</v>
      </c>
      <c r="F625" s="80">
        <v>2</v>
      </c>
      <c r="G625" s="11">
        <v>1</v>
      </c>
      <c r="N625" s="11"/>
      <c r="O625" s="11"/>
      <c r="P625" s="11"/>
      <c r="Q625" s="11"/>
      <c r="U625" s="42"/>
      <c r="V625" s="42"/>
      <c r="W625" s="42"/>
      <c r="X625" s="42"/>
      <c r="Y625" s="42"/>
      <c r="Z625" s="42"/>
      <c r="AA625" s="42"/>
      <c r="AB625" s="42"/>
      <c r="AC625" s="42"/>
      <c r="AD625" s="42"/>
      <c r="AE625" s="42"/>
      <c r="AF625" s="42"/>
      <c r="AG625" s="42"/>
      <c r="AH625" s="42"/>
      <c r="AI625" s="42"/>
      <c r="AJ625" s="42"/>
    </row>
    <row r="626" spans="1:36" x14ac:dyDescent="0.2">
      <c r="A626" s="2990" t="s">
        <v>5639</v>
      </c>
      <c r="B626" s="2990">
        <v>1.1000000000000001</v>
      </c>
      <c r="C626" s="2990">
        <v>1.5</v>
      </c>
      <c r="D626" s="2990">
        <v>3</v>
      </c>
      <c r="E626" s="80">
        <v>0.82</v>
      </c>
      <c r="F626" s="80">
        <v>2</v>
      </c>
      <c r="G626" s="17">
        <v>2</v>
      </c>
      <c r="N626" s="11"/>
      <c r="O626" s="11"/>
      <c r="P626" s="11"/>
      <c r="Q626" s="11"/>
      <c r="U626" s="42"/>
      <c r="V626" s="42"/>
      <c r="W626" s="42"/>
      <c r="X626" s="42"/>
      <c r="Y626" s="42"/>
      <c r="Z626" s="42"/>
      <c r="AA626" s="42"/>
      <c r="AB626" s="42"/>
      <c r="AC626" s="42"/>
      <c r="AD626" s="42"/>
      <c r="AE626" s="42"/>
      <c r="AF626" s="42"/>
      <c r="AG626" s="42"/>
      <c r="AH626" s="42"/>
      <c r="AI626" s="42"/>
      <c r="AJ626" s="42"/>
    </row>
    <row r="627" spans="1:36" x14ac:dyDescent="0.2">
      <c r="A627" s="2990" t="s">
        <v>2778</v>
      </c>
      <c r="B627" s="2990">
        <v>0.85</v>
      </c>
      <c r="C627" s="2990">
        <v>1.25</v>
      </c>
      <c r="D627" s="2990">
        <v>3</v>
      </c>
      <c r="E627" s="80">
        <v>0.9</v>
      </c>
      <c r="F627" s="80">
        <v>2</v>
      </c>
      <c r="G627" s="17">
        <v>3</v>
      </c>
      <c r="N627" s="11"/>
      <c r="O627" s="11"/>
      <c r="P627" s="11"/>
      <c r="Q627" s="11"/>
      <c r="U627" s="42"/>
      <c r="V627" s="42"/>
      <c r="W627" s="42"/>
      <c r="X627" s="42"/>
      <c r="Y627" s="42"/>
      <c r="Z627" s="42"/>
      <c r="AA627" s="42"/>
      <c r="AB627" s="42"/>
      <c r="AC627" s="42"/>
      <c r="AD627" s="42"/>
      <c r="AE627" s="42"/>
      <c r="AF627" s="42"/>
      <c r="AG627" s="42"/>
      <c r="AH627" s="42"/>
      <c r="AI627" s="42"/>
      <c r="AJ627" s="42"/>
    </row>
    <row r="628" spans="1:36" x14ac:dyDescent="0.2">
      <c r="A628" s="2990" t="s">
        <v>3481</v>
      </c>
      <c r="B628" s="2990">
        <v>1.1000000000000001</v>
      </c>
      <c r="C628" s="2990">
        <v>1.5</v>
      </c>
      <c r="D628" s="2990">
        <v>3</v>
      </c>
      <c r="E628" s="80">
        <v>0.9</v>
      </c>
      <c r="F628" s="80">
        <v>2</v>
      </c>
      <c r="G628" s="17">
        <v>4</v>
      </c>
      <c r="N628" s="11"/>
      <c r="O628" s="11"/>
      <c r="P628" s="11"/>
      <c r="Q628" s="11"/>
      <c r="U628" s="42"/>
      <c r="V628" s="42"/>
      <c r="W628" s="42"/>
      <c r="X628" s="42"/>
      <c r="Y628" s="42"/>
      <c r="Z628" s="42"/>
      <c r="AA628" s="42"/>
      <c r="AB628" s="42"/>
      <c r="AC628" s="42"/>
      <c r="AD628" s="42"/>
      <c r="AE628" s="42"/>
      <c r="AF628" s="42"/>
      <c r="AG628" s="42"/>
      <c r="AH628" s="42"/>
      <c r="AI628" s="42"/>
      <c r="AJ628" s="42"/>
    </row>
    <row r="629" spans="1:36" x14ac:dyDescent="0.2">
      <c r="A629" s="2990" t="s">
        <v>657</v>
      </c>
      <c r="B629" s="2990">
        <v>1.35</v>
      </c>
      <c r="C629" s="2990">
        <v>2</v>
      </c>
      <c r="D629" s="2990">
        <v>3</v>
      </c>
      <c r="E629" s="80">
        <v>0.87</v>
      </c>
      <c r="F629" s="80">
        <v>2</v>
      </c>
      <c r="G629" s="17">
        <v>5</v>
      </c>
      <c r="N629" s="11"/>
      <c r="O629" s="11"/>
      <c r="P629" s="11"/>
      <c r="Q629" s="11"/>
      <c r="U629" s="42"/>
      <c r="V629" s="42"/>
      <c r="W629" s="42"/>
      <c r="X629" s="42"/>
      <c r="Y629" s="42"/>
      <c r="Z629" s="42"/>
      <c r="AA629" s="42"/>
      <c r="AB629" s="42"/>
      <c r="AC629" s="42"/>
      <c r="AD629" s="42"/>
      <c r="AE629" s="42"/>
      <c r="AF629" s="42"/>
      <c r="AG629" s="42"/>
      <c r="AH629" s="42"/>
      <c r="AI629" s="42"/>
      <c r="AJ629" s="42"/>
    </row>
    <row r="630" spans="1:36" x14ac:dyDescent="0.2">
      <c r="A630" s="2990" t="s">
        <v>5629</v>
      </c>
      <c r="B630" s="2990">
        <v>0.9</v>
      </c>
      <c r="C630" s="2990">
        <v>1.2</v>
      </c>
      <c r="D630" s="2990">
        <v>3</v>
      </c>
      <c r="E630" s="80">
        <v>0.88</v>
      </c>
      <c r="F630" s="80">
        <v>2.1</v>
      </c>
      <c r="G630" s="17">
        <v>6</v>
      </c>
      <c r="H630" s="11"/>
      <c r="I630" s="11"/>
      <c r="J630" s="11"/>
      <c r="K630" s="11"/>
      <c r="L630" s="11"/>
      <c r="M630" s="11"/>
      <c r="N630" s="11"/>
      <c r="O630" s="11"/>
      <c r="P630" s="11"/>
      <c r="Q630" s="11"/>
      <c r="U630" s="42"/>
      <c r="V630" s="42"/>
      <c r="W630" s="42"/>
      <c r="X630" s="42"/>
      <c r="Y630" s="42"/>
      <c r="Z630" s="42"/>
      <c r="AA630" s="42"/>
      <c r="AB630" s="42"/>
      <c r="AC630" s="42"/>
      <c r="AD630" s="42"/>
      <c r="AE630" s="42"/>
      <c r="AF630" s="42"/>
      <c r="AG630" s="42"/>
      <c r="AH630" s="42"/>
      <c r="AI630" s="42"/>
      <c r="AJ630" s="42"/>
    </row>
    <row r="631" spans="1:36" x14ac:dyDescent="0.2">
      <c r="A631" s="2990" t="s">
        <v>3484</v>
      </c>
      <c r="B631" s="2990">
        <v>1.1000000000000001</v>
      </c>
      <c r="C631" s="2990">
        <v>1.5</v>
      </c>
      <c r="D631" s="2990">
        <v>3</v>
      </c>
      <c r="E631" s="80">
        <v>0.86</v>
      </c>
      <c r="F631" s="80">
        <v>2.1</v>
      </c>
      <c r="G631" s="17">
        <v>7</v>
      </c>
      <c r="H631" s="11"/>
      <c r="I631" s="11"/>
      <c r="J631" s="11"/>
      <c r="K631" s="11"/>
      <c r="L631" s="11"/>
      <c r="M631" s="11"/>
      <c r="N631" s="11"/>
      <c r="O631" s="11"/>
      <c r="P631" s="11"/>
      <c r="Q631" s="11"/>
      <c r="U631" s="42"/>
      <c r="V631" s="42"/>
      <c r="W631" s="42"/>
      <c r="X631" s="42"/>
      <c r="Y631" s="42"/>
      <c r="Z631" s="42"/>
      <c r="AA631" s="42"/>
      <c r="AB631" s="42"/>
      <c r="AC631" s="42"/>
      <c r="AD631" s="42"/>
      <c r="AE631" s="42"/>
      <c r="AF631" s="42"/>
      <c r="AG631" s="42"/>
      <c r="AH631" s="42"/>
      <c r="AI631" s="42"/>
      <c r="AJ631" s="42"/>
    </row>
    <row r="632" spans="1:36" x14ac:dyDescent="0.2">
      <c r="A632" s="2990" t="s">
        <v>659</v>
      </c>
      <c r="B632" s="2990">
        <v>1.35</v>
      </c>
      <c r="C632" s="2990">
        <v>2</v>
      </c>
      <c r="D632" s="2990">
        <v>3</v>
      </c>
      <c r="E632" s="80">
        <v>0.9</v>
      </c>
      <c r="F632" s="80">
        <v>2</v>
      </c>
      <c r="G632" s="17">
        <v>8</v>
      </c>
      <c r="H632" s="11"/>
      <c r="I632" s="11"/>
      <c r="J632" s="11"/>
      <c r="K632" s="11"/>
      <c r="L632" s="11"/>
      <c r="M632" s="11"/>
      <c r="N632" s="11"/>
      <c r="O632" s="11"/>
      <c r="P632" s="11"/>
      <c r="Q632" s="11"/>
      <c r="U632" s="42"/>
      <c r="V632" s="42"/>
      <c r="W632" s="42"/>
      <c r="X632" s="42"/>
      <c r="Y632" s="42"/>
      <c r="Z632" s="42"/>
      <c r="AA632" s="42"/>
      <c r="AB632" s="42"/>
      <c r="AC632" s="42"/>
      <c r="AD632" s="42"/>
      <c r="AE632" s="42"/>
      <c r="AF632" s="42"/>
      <c r="AG632" s="42"/>
      <c r="AH632" s="42"/>
      <c r="AI632" s="42"/>
      <c r="AJ632" s="42"/>
    </row>
    <row r="633" spans="1:36" x14ac:dyDescent="0.2">
      <c r="A633" s="2990" t="s">
        <v>660</v>
      </c>
      <c r="B633" s="2990">
        <v>1</v>
      </c>
      <c r="C633" s="2990">
        <v>1.6</v>
      </c>
      <c r="D633" s="2990">
        <v>3</v>
      </c>
      <c r="E633" s="80">
        <v>0.92</v>
      </c>
      <c r="F633" s="80">
        <v>2</v>
      </c>
      <c r="G633" s="17">
        <v>9</v>
      </c>
      <c r="H633" s="11"/>
      <c r="I633" s="11"/>
      <c r="J633" s="11"/>
      <c r="K633" s="11"/>
      <c r="L633" s="11"/>
      <c r="M633" s="11"/>
      <c r="N633" s="11"/>
      <c r="O633" s="11"/>
      <c r="P633" s="11"/>
      <c r="Q633" s="11"/>
      <c r="U633" s="42"/>
      <c r="V633" s="42"/>
      <c r="W633" s="42"/>
      <c r="X633" s="42"/>
      <c r="Y633" s="42"/>
      <c r="Z633" s="42"/>
      <c r="AA633" s="42"/>
      <c r="AB633" s="42"/>
      <c r="AC633" s="42"/>
      <c r="AD633" s="42"/>
      <c r="AE633" s="42"/>
      <c r="AF633" s="42"/>
      <c r="AG633" s="42"/>
      <c r="AH633" s="42"/>
      <c r="AI633" s="42"/>
      <c r="AJ633" s="42"/>
    </row>
    <row r="634" spans="1:36" x14ac:dyDescent="0.2">
      <c r="A634" s="2990" t="s">
        <v>5636</v>
      </c>
      <c r="B634" s="2990">
        <v>1.35</v>
      </c>
      <c r="C634" s="2990">
        <v>2.4</v>
      </c>
      <c r="D634" s="2990">
        <v>3</v>
      </c>
      <c r="E634" s="80">
        <v>0.95</v>
      </c>
      <c r="F634" s="80">
        <v>2</v>
      </c>
      <c r="G634" s="17">
        <v>10</v>
      </c>
      <c r="H634" s="11"/>
      <c r="I634" s="11"/>
      <c r="J634" s="11"/>
      <c r="K634" s="11"/>
      <c r="L634" s="11"/>
      <c r="M634" s="11"/>
      <c r="N634" s="11"/>
      <c r="O634" s="11"/>
      <c r="P634" s="11"/>
      <c r="Q634" s="11"/>
      <c r="U634" s="42"/>
      <c r="V634" s="42"/>
      <c r="W634" s="42"/>
      <c r="X634" s="42"/>
      <c r="Y634" s="42"/>
      <c r="Z634" s="42"/>
      <c r="AA634" s="42"/>
      <c r="AB634" s="42"/>
      <c r="AC634" s="42"/>
      <c r="AD634" s="42"/>
      <c r="AE634" s="42"/>
      <c r="AF634" s="42"/>
      <c r="AG634" s="42"/>
      <c r="AH634" s="42"/>
      <c r="AI634" s="42"/>
      <c r="AJ634" s="42"/>
    </row>
    <row r="635" spans="1:36" x14ac:dyDescent="0.2">
      <c r="A635" s="2990" t="s">
        <v>5640</v>
      </c>
      <c r="B635" s="2990">
        <v>0.85</v>
      </c>
      <c r="C635" s="2990">
        <v>1.5</v>
      </c>
      <c r="D635" s="2990">
        <v>2.6</v>
      </c>
      <c r="E635" s="80">
        <v>0.9</v>
      </c>
      <c r="F635" s="80">
        <v>2</v>
      </c>
      <c r="G635" s="17">
        <v>11</v>
      </c>
      <c r="H635" s="11"/>
      <c r="I635" s="11"/>
      <c r="J635" s="11"/>
      <c r="K635" s="11"/>
      <c r="L635" s="11"/>
      <c r="M635" s="11"/>
      <c r="N635" s="11"/>
      <c r="O635" s="11"/>
      <c r="P635" s="11"/>
      <c r="Q635" s="11"/>
      <c r="U635" s="42"/>
      <c r="V635" s="42"/>
      <c r="W635" s="42"/>
      <c r="X635" s="42"/>
      <c r="Y635" s="42"/>
      <c r="Z635" s="42"/>
      <c r="AA635" s="42"/>
      <c r="AB635" s="42"/>
      <c r="AC635" s="42"/>
      <c r="AD635" s="42"/>
      <c r="AE635" s="42"/>
      <c r="AF635" s="42"/>
      <c r="AG635" s="42"/>
      <c r="AH635" s="42"/>
      <c r="AI635" s="42"/>
      <c r="AJ635" s="42"/>
    </row>
    <row r="636" spans="1:36" x14ac:dyDescent="0.2">
      <c r="A636" s="2990" t="s">
        <v>5668</v>
      </c>
      <c r="B636" s="2990">
        <v>0.95</v>
      </c>
      <c r="C636" s="2990">
        <v>1.75</v>
      </c>
      <c r="D636" s="2990">
        <v>2.6</v>
      </c>
      <c r="E636" s="80">
        <v>0.92</v>
      </c>
      <c r="F636" s="80">
        <v>2</v>
      </c>
      <c r="G636" s="17">
        <v>12</v>
      </c>
      <c r="H636" s="11"/>
      <c r="I636" s="11"/>
      <c r="J636" s="11"/>
      <c r="K636" s="11"/>
      <c r="L636" s="11"/>
      <c r="M636" s="11"/>
      <c r="N636" s="11"/>
      <c r="O636" s="11"/>
      <c r="P636" s="11"/>
      <c r="Q636" s="11"/>
      <c r="U636" s="42"/>
      <c r="V636" s="42"/>
      <c r="W636" s="42"/>
      <c r="X636" s="42"/>
      <c r="Y636" s="42"/>
      <c r="Z636" s="42"/>
      <c r="AA636" s="42"/>
      <c r="AB636" s="42"/>
      <c r="AC636" s="42"/>
      <c r="AD636" s="42"/>
      <c r="AE636" s="42"/>
      <c r="AF636" s="42"/>
      <c r="AG636" s="42"/>
      <c r="AH636" s="42"/>
      <c r="AI636" s="42"/>
      <c r="AJ636" s="42"/>
    </row>
    <row r="637" spans="1:36" x14ac:dyDescent="0.2">
      <c r="A637" s="2990" t="s">
        <v>5635</v>
      </c>
      <c r="B637" s="2990">
        <v>0.95</v>
      </c>
      <c r="C637" s="2990">
        <v>1.5</v>
      </c>
      <c r="D637" s="2990">
        <v>2.6</v>
      </c>
      <c r="E637" s="80">
        <v>0.92</v>
      </c>
      <c r="F637" s="80">
        <v>2.1</v>
      </c>
      <c r="G637" s="17">
        <v>13</v>
      </c>
      <c r="H637" s="11"/>
      <c r="I637" s="11"/>
      <c r="J637" s="11"/>
      <c r="K637" s="11"/>
      <c r="L637" s="11"/>
      <c r="M637" s="11"/>
      <c r="N637" s="11"/>
      <c r="O637" s="11"/>
      <c r="P637" s="11"/>
      <c r="Q637" s="11"/>
      <c r="U637" s="42"/>
      <c r="V637" s="42"/>
      <c r="W637" s="42"/>
      <c r="X637" s="42"/>
      <c r="Y637" s="42"/>
      <c r="Z637" s="42"/>
      <c r="AA637" s="42"/>
      <c r="AB637" s="42"/>
      <c r="AC637" s="42"/>
      <c r="AD637" s="42"/>
      <c r="AE637" s="42"/>
      <c r="AF637" s="42"/>
      <c r="AG637" s="42"/>
      <c r="AH637" s="42"/>
      <c r="AI637" s="42"/>
      <c r="AJ637" s="42"/>
    </row>
    <row r="638" spans="1:36" x14ac:dyDescent="0.2">
      <c r="A638" s="2990" t="s">
        <v>5633</v>
      </c>
      <c r="B638" s="2990">
        <v>1.1000000000000001</v>
      </c>
      <c r="C638" s="2990">
        <v>1.8</v>
      </c>
      <c r="D638" s="2990">
        <v>2.6</v>
      </c>
      <c r="E638" s="80">
        <v>0.92</v>
      </c>
      <c r="F638" s="80">
        <v>2.1</v>
      </c>
      <c r="G638" s="17">
        <v>14</v>
      </c>
      <c r="H638" s="11"/>
      <c r="I638" s="11"/>
      <c r="J638" s="11"/>
      <c r="K638" s="11"/>
      <c r="L638" s="11"/>
      <c r="M638" s="11"/>
      <c r="N638" s="11"/>
      <c r="O638" s="11"/>
      <c r="P638" s="11"/>
      <c r="Q638" s="11"/>
      <c r="U638" s="42"/>
      <c r="V638" s="42"/>
      <c r="W638" s="42"/>
      <c r="X638" s="42"/>
      <c r="Y638" s="42"/>
      <c r="Z638" s="42"/>
      <c r="AA638" s="42"/>
      <c r="AB638" s="42"/>
      <c r="AC638" s="42"/>
      <c r="AD638" s="42"/>
      <c r="AE638" s="42"/>
      <c r="AF638" s="42"/>
      <c r="AG638" s="42"/>
      <c r="AH638" s="42"/>
      <c r="AI638" s="42"/>
      <c r="AJ638" s="42"/>
    </row>
    <row r="639" spans="1:36" x14ac:dyDescent="0.2">
      <c r="A639" s="2990" t="s">
        <v>5632</v>
      </c>
      <c r="B639" s="2990">
        <v>1.45</v>
      </c>
      <c r="C639" s="2990">
        <v>2.5</v>
      </c>
      <c r="D639" s="2990">
        <v>2.6</v>
      </c>
      <c r="E639" s="80">
        <v>0.92</v>
      </c>
      <c r="F639" s="80">
        <v>2.1</v>
      </c>
      <c r="G639" s="17">
        <v>15</v>
      </c>
      <c r="H639" s="15"/>
      <c r="I639" s="15"/>
      <c r="J639" s="15"/>
      <c r="K639" s="15"/>
      <c r="L639" s="15"/>
      <c r="M639" s="15"/>
      <c r="N639" s="11"/>
      <c r="O639" s="25" t="s">
        <v>2360</v>
      </c>
      <c r="P639" s="11"/>
      <c r="Q639" s="11"/>
      <c r="U639" s="42"/>
      <c r="V639" s="42"/>
      <c r="W639" s="42"/>
      <c r="X639" s="42"/>
      <c r="Y639" s="42"/>
      <c r="Z639" s="42"/>
      <c r="AA639" s="42"/>
      <c r="AB639" s="42"/>
      <c r="AC639" s="42"/>
      <c r="AD639" s="42"/>
      <c r="AE639" s="42"/>
      <c r="AF639" s="42"/>
      <c r="AG639" s="42"/>
      <c r="AH639" s="42"/>
      <c r="AI639" s="42"/>
      <c r="AJ639" s="42"/>
    </row>
    <row r="640" spans="1:36" x14ac:dyDescent="0.2">
      <c r="A640" s="11"/>
      <c r="B640" s="11"/>
      <c r="C640" s="11"/>
      <c r="D640" s="11"/>
      <c r="E640" s="11"/>
      <c r="F640" s="11"/>
      <c r="G640" s="11"/>
      <c r="H640" s="11"/>
      <c r="I640" s="11"/>
      <c r="J640" s="11"/>
      <c r="K640" s="11"/>
      <c r="L640" s="11"/>
      <c r="M640" s="11"/>
      <c r="N640" s="11"/>
      <c r="O640" s="17" t="s">
        <v>715</v>
      </c>
      <c r="P640" s="17" t="s">
        <v>716</v>
      </c>
      <c r="Q640" s="17" t="s">
        <v>717</v>
      </c>
      <c r="R640" s="5" t="s">
        <v>718</v>
      </c>
      <c r="S640" s="5" t="s">
        <v>2910</v>
      </c>
      <c r="U640" s="42"/>
      <c r="V640" s="42"/>
      <c r="W640" s="42"/>
      <c r="X640" s="42"/>
      <c r="Y640" s="42"/>
      <c r="Z640" s="42"/>
      <c r="AA640" s="42"/>
      <c r="AB640" s="42"/>
      <c r="AC640" s="42"/>
      <c r="AD640" s="42"/>
      <c r="AE640" s="42"/>
      <c r="AF640" s="42"/>
      <c r="AG640" s="42"/>
      <c r="AH640" s="42"/>
      <c r="AI640" s="42"/>
      <c r="AJ640" s="42"/>
    </row>
    <row r="641" spans="1:36" x14ac:dyDescent="0.2">
      <c r="A641" s="11"/>
      <c r="B641" s="11"/>
      <c r="C641" s="11"/>
      <c r="D641" s="11"/>
      <c r="E641" s="11"/>
      <c r="F641" s="11"/>
      <c r="G641" s="11"/>
      <c r="H641" s="11"/>
      <c r="I641" s="11"/>
      <c r="J641" s="11"/>
      <c r="K641" s="11"/>
      <c r="L641" s="11"/>
      <c r="M641" s="11">
        <v>1</v>
      </c>
      <c r="N641" s="17" t="s">
        <v>4852</v>
      </c>
      <c r="O641" s="80">
        <v>0.7</v>
      </c>
      <c r="P641" s="80">
        <v>0.95</v>
      </c>
      <c r="Q641" s="80">
        <v>1.4</v>
      </c>
      <c r="R641" s="40">
        <v>1.9</v>
      </c>
      <c r="S641" s="40">
        <f>(R641-Q641)/(P641-O641)</f>
        <v>2</v>
      </c>
      <c r="U641" s="42"/>
      <c r="V641" s="42"/>
      <c r="W641" s="42"/>
      <c r="X641" s="42"/>
      <c r="Y641" s="42"/>
      <c r="Z641" s="42"/>
      <c r="AA641" s="42"/>
      <c r="AB641" s="42"/>
      <c r="AC641" s="42"/>
      <c r="AD641" s="42"/>
      <c r="AE641" s="42"/>
      <c r="AF641" s="42"/>
      <c r="AG641" s="42"/>
      <c r="AH641" s="42"/>
      <c r="AI641" s="42"/>
      <c r="AJ641" s="42"/>
    </row>
    <row r="642" spans="1:36" x14ac:dyDescent="0.2">
      <c r="A642" s="11"/>
      <c r="B642" s="11"/>
      <c r="C642" s="11"/>
      <c r="D642" s="11"/>
      <c r="E642" s="11"/>
      <c r="F642" s="11"/>
      <c r="G642" s="11"/>
      <c r="H642" s="11"/>
      <c r="I642" s="11"/>
      <c r="J642" s="11"/>
      <c r="K642" s="11"/>
      <c r="L642" s="11"/>
      <c r="M642" s="11">
        <v>2</v>
      </c>
      <c r="N642" s="17" t="s">
        <v>4853</v>
      </c>
      <c r="O642" s="80">
        <v>0.7</v>
      </c>
      <c r="P642" s="80">
        <v>1.3</v>
      </c>
      <c r="Q642" s="80">
        <v>1.5</v>
      </c>
      <c r="R642" s="40">
        <v>3.4</v>
      </c>
      <c r="S642" s="40">
        <f t="shared" ref="S642:S653" si="11">(R642-Q642)/(P642-O642)</f>
        <v>3.1666666666666661</v>
      </c>
      <c r="U642" s="42"/>
      <c r="V642" s="42"/>
      <c r="W642" s="42"/>
      <c r="X642" s="42"/>
      <c r="Y642" s="42"/>
      <c r="Z642" s="42"/>
      <c r="AA642" s="42"/>
      <c r="AB642" s="42"/>
      <c r="AC642" s="42"/>
      <c r="AD642" s="42"/>
      <c r="AE642" s="42"/>
      <c r="AF642" s="42"/>
      <c r="AG642" s="42"/>
      <c r="AH642" s="42"/>
      <c r="AI642" s="42"/>
      <c r="AJ642" s="42"/>
    </row>
    <row r="643" spans="1:36" x14ac:dyDescent="0.2">
      <c r="A643" s="11"/>
      <c r="B643" s="11"/>
      <c r="C643" s="11"/>
      <c r="D643" s="11"/>
      <c r="E643" s="11"/>
      <c r="F643" s="11"/>
      <c r="G643" s="11"/>
      <c r="H643" s="11"/>
      <c r="I643" s="11"/>
      <c r="J643" s="11"/>
      <c r="K643" s="11"/>
      <c r="L643" s="11"/>
      <c r="M643" s="11">
        <v>3</v>
      </c>
      <c r="N643" s="17" t="s">
        <v>4854</v>
      </c>
      <c r="O643" s="80">
        <v>0.8</v>
      </c>
      <c r="P643" s="80">
        <v>1.2</v>
      </c>
      <c r="Q643" s="80">
        <v>1.56</v>
      </c>
      <c r="R643" s="40">
        <v>2.5</v>
      </c>
      <c r="S643" s="40">
        <f t="shared" si="11"/>
        <v>2.3500000000000005</v>
      </c>
      <c r="U643" s="42"/>
      <c r="V643" s="42"/>
      <c r="W643" s="42"/>
      <c r="X643" s="42"/>
      <c r="Y643" s="42"/>
      <c r="Z643" s="42"/>
      <c r="AA643" s="42"/>
      <c r="AB643" s="42"/>
      <c r="AC643" s="42"/>
      <c r="AD643" s="42"/>
      <c r="AE643" s="42"/>
      <c r="AF643" s="42"/>
      <c r="AG643" s="42"/>
      <c r="AH643" s="42"/>
      <c r="AI643" s="42"/>
      <c r="AJ643" s="42"/>
    </row>
    <row r="644" spans="1:36" x14ac:dyDescent="0.2">
      <c r="A644" s="11"/>
      <c r="B644" s="11"/>
      <c r="C644" s="11"/>
      <c r="D644" s="11"/>
      <c r="E644" s="11"/>
      <c r="F644" s="11"/>
      <c r="G644" s="11"/>
      <c r="H644" s="11"/>
      <c r="I644" s="11"/>
      <c r="J644" s="11"/>
      <c r="K644" s="11"/>
      <c r="L644" s="11"/>
      <c r="M644" s="11">
        <v>4</v>
      </c>
      <c r="N644" s="17" t="s">
        <v>4855</v>
      </c>
      <c r="O644" s="80">
        <v>0.8</v>
      </c>
      <c r="P644" s="80">
        <v>1.1000000000000001</v>
      </c>
      <c r="Q644" s="80">
        <v>1.58</v>
      </c>
      <c r="R644" s="40">
        <v>3.44</v>
      </c>
      <c r="S644" s="40">
        <f t="shared" si="11"/>
        <v>6.1999999999999984</v>
      </c>
      <c r="U644" s="42"/>
      <c r="V644" s="42"/>
      <c r="W644" s="42"/>
      <c r="X644" s="42"/>
      <c r="Y644" s="42"/>
      <c r="Z644" s="42"/>
      <c r="AA644" s="42"/>
      <c r="AB644" s="42"/>
      <c r="AC644" s="42"/>
      <c r="AD644" s="42"/>
      <c r="AE644" s="42"/>
      <c r="AF644" s="42"/>
      <c r="AG644" s="42"/>
      <c r="AH644" s="42"/>
      <c r="AI644" s="42"/>
      <c r="AJ644" s="42"/>
    </row>
    <row r="645" spans="1:36" x14ac:dyDescent="0.2">
      <c r="A645" s="11"/>
      <c r="B645" s="11"/>
      <c r="C645" s="11"/>
      <c r="D645" s="11"/>
      <c r="E645" s="11"/>
      <c r="F645" s="11"/>
      <c r="G645" s="11"/>
      <c r="H645" s="11"/>
      <c r="I645" s="11"/>
      <c r="J645" s="11"/>
      <c r="K645" s="11"/>
      <c r="L645" s="11"/>
      <c r="M645" s="11">
        <v>5</v>
      </c>
      <c r="N645" s="17" t="s">
        <v>2777</v>
      </c>
      <c r="O645" s="80">
        <v>1</v>
      </c>
      <c r="P645" s="80">
        <v>1.3</v>
      </c>
      <c r="Q645" s="80">
        <v>2.2999999999999998</v>
      </c>
      <c r="R645" s="40">
        <v>2.7</v>
      </c>
      <c r="S645" s="40">
        <f t="shared" si="11"/>
        <v>1.3333333333333344</v>
      </c>
      <c r="U645" s="42"/>
      <c r="V645" s="42"/>
      <c r="W645" s="42"/>
      <c r="X645" s="42"/>
      <c r="Y645" s="42"/>
      <c r="Z645" s="42"/>
      <c r="AA645" s="42"/>
      <c r="AB645" s="42"/>
      <c r="AC645" s="42"/>
      <c r="AD645" s="42"/>
      <c r="AE645" s="42"/>
      <c r="AF645" s="42"/>
      <c r="AG645" s="42"/>
      <c r="AH645" s="42"/>
      <c r="AI645" s="42"/>
      <c r="AJ645" s="42"/>
    </row>
    <row r="646" spans="1:36" x14ac:dyDescent="0.2">
      <c r="A646" s="11"/>
      <c r="B646" s="11"/>
      <c r="C646" s="11"/>
      <c r="D646" s="11"/>
      <c r="E646" s="11"/>
      <c r="F646" s="11"/>
      <c r="G646" s="11"/>
      <c r="H646" s="11"/>
      <c r="I646" s="11"/>
      <c r="J646" s="11"/>
      <c r="K646" s="11"/>
      <c r="L646" s="11"/>
      <c r="M646" s="11">
        <v>6</v>
      </c>
      <c r="N646" s="17" t="s">
        <v>4856</v>
      </c>
      <c r="O646" s="80">
        <v>1.1499999999999999</v>
      </c>
      <c r="P646" s="80">
        <v>1.95</v>
      </c>
      <c r="Q646" s="80">
        <v>2.2999999999999998</v>
      </c>
      <c r="R646" s="40">
        <v>4.5999999999999996</v>
      </c>
      <c r="S646" s="40">
        <f t="shared" si="11"/>
        <v>2.8749999999999996</v>
      </c>
      <c r="U646" s="42"/>
      <c r="V646" s="42"/>
      <c r="W646" s="42"/>
      <c r="X646" s="42"/>
      <c r="Y646" s="42"/>
      <c r="Z646" s="42"/>
      <c r="AA646" s="42"/>
      <c r="AB646" s="42"/>
      <c r="AC646" s="42"/>
      <c r="AD646" s="42"/>
      <c r="AE646" s="42"/>
      <c r="AF646" s="42"/>
      <c r="AG646" s="42"/>
      <c r="AH646" s="42"/>
      <c r="AI646" s="42"/>
      <c r="AJ646" s="42"/>
    </row>
    <row r="647" spans="1:36" x14ac:dyDescent="0.2">
      <c r="A647" s="11"/>
      <c r="B647" s="11"/>
      <c r="C647" s="11"/>
      <c r="D647" s="11"/>
      <c r="E647" s="11"/>
      <c r="F647" s="11"/>
      <c r="G647" s="11"/>
      <c r="H647" s="11"/>
      <c r="I647" s="11"/>
      <c r="J647" s="11"/>
      <c r="K647" s="11"/>
      <c r="L647" s="11"/>
      <c r="M647" s="11">
        <v>7</v>
      </c>
      <c r="N647" s="17" t="s">
        <v>4857</v>
      </c>
      <c r="O647" s="80">
        <v>1.1499999999999999</v>
      </c>
      <c r="P647" s="80">
        <v>1.95</v>
      </c>
      <c r="Q647" s="80">
        <v>2.2999999999999998</v>
      </c>
      <c r="R647" s="40">
        <v>4.5999999999999996</v>
      </c>
      <c r="S647" s="40">
        <f t="shared" si="11"/>
        <v>2.8749999999999996</v>
      </c>
      <c r="U647" s="42"/>
      <c r="V647" s="42"/>
      <c r="W647" s="42"/>
      <c r="X647" s="42"/>
      <c r="Y647" s="42"/>
      <c r="Z647" s="42"/>
      <c r="AA647" s="42"/>
      <c r="AB647" s="42"/>
      <c r="AC647" s="42"/>
      <c r="AD647" s="42"/>
      <c r="AE647" s="42"/>
      <c r="AF647" s="42"/>
      <c r="AG647" s="42"/>
      <c r="AH647" s="42"/>
      <c r="AI647" s="42"/>
      <c r="AJ647" s="42"/>
    </row>
    <row r="648" spans="1:36" x14ac:dyDescent="0.2">
      <c r="A648" s="11"/>
      <c r="B648" s="11"/>
      <c r="C648" s="11"/>
      <c r="D648" s="11"/>
      <c r="E648" s="11"/>
      <c r="F648" s="11"/>
      <c r="G648" s="11"/>
      <c r="H648" s="11"/>
      <c r="I648" s="11"/>
      <c r="J648" s="11"/>
      <c r="K648" s="11"/>
      <c r="L648" s="11"/>
      <c r="M648" s="11">
        <v>8</v>
      </c>
      <c r="N648" s="17" t="s">
        <v>4858</v>
      </c>
      <c r="O648" s="80">
        <v>0.85</v>
      </c>
      <c r="P648" s="80">
        <v>1.2</v>
      </c>
      <c r="Q648" s="80">
        <v>1.7</v>
      </c>
      <c r="R648" s="40">
        <v>2.4</v>
      </c>
      <c r="S648" s="40">
        <f t="shared" si="11"/>
        <v>2</v>
      </c>
      <c r="U648" s="42"/>
      <c r="V648" s="42"/>
      <c r="W648" s="42"/>
      <c r="X648" s="42"/>
      <c r="Y648" s="42"/>
      <c r="Z648" s="42"/>
      <c r="AA648" s="42"/>
      <c r="AB648" s="42"/>
      <c r="AC648" s="42"/>
      <c r="AD648" s="42"/>
      <c r="AE648" s="42"/>
      <c r="AF648" s="42"/>
      <c r="AG648" s="42"/>
      <c r="AH648" s="42"/>
      <c r="AI648" s="42"/>
      <c r="AJ648" s="42"/>
    </row>
    <row r="649" spans="1:36" x14ac:dyDescent="0.2">
      <c r="A649" s="11"/>
      <c r="B649" s="11"/>
      <c r="C649" s="11"/>
      <c r="D649" s="11"/>
      <c r="E649" s="11"/>
      <c r="F649" s="11"/>
      <c r="G649" s="11"/>
      <c r="H649" s="11"/>
      <c r="I649" s="11"/>
      <c r="J649" s="11"/>
      <c r="K649" s="11"/>
      <c r="L649" s="11"/>
      <c r="M649" s="11">
        <v>9</v>
      </c>
      <c r="N649" s="17" t="s">
        <v>4859</v>
      </c>
      <c r="O649" s="80">
        <v>1.1000000000000001</v>
      </c>
      <c r="P649" s="80">
        <v>1.5</v>
      </c>
      <c r="Q649" s="80">
        <v>2.4</v>
      </c>
      <c r="R649" s="40">
        <v>3.3</v>
      </c>
      <c r="S649" s="40">
        <f t="shared" si="11"/>
        <v>2.2500000000000004</v>
      </c>
      <c r="U649" s="42"/>
      <c r="V649" s="42"/>
      <c r="W649" s="42"/>
      <c r="X649" s="42"/>
      <c r="Y649" s="42"/>
      <c r="Z649" s="42"/>
      <c r="AA649" s="42"/>
      <c r="AB649" s="42"/>
      <c r="AC649" s="42"/>
      <c r="AD649" s="42"/>
      <c r="AE649" s="42"/>
      <c r="AF649" s="42"/>
      <c r="AG649" s="42"/>
      <c r="AH649" s="42"/>
      <c r="AI649" s="42"/>
      <c r="AJ649" s="42"/>
    </row>
    <row r="650" spans="1:36" x14ac:dyDescent="0.2">
      <c r="A650" s="11"/>
      <c r="B650" s="11"/>
      <c r="C650" s="11"/>
      <c r="D650" s="11"/>
      <c r="E650" s="11"/>
      <c r="F650" s="11"/>
      <c r="G650" s="11"/>
      <c r="H650" s="11"/>
      <c r="I650" s="11"/>
      <c r="J650" s="11"/>
      <c r="K650" s="11"/>
      <c r="L650" s="11"/>
      <c r="M650" s="11">
        <v>10</v>
      </c>
      <c r="N650" s="71" t="s">
        <v>4860</v>
      </c>
      <c r="O650" s="80">
        <v>0.85</v>
      </c>
      <c r="P650" s="80">
        <v>1.2</v>
      </c>
      <c r="Q650" s="80">
        <v>1.7</v>
      </c>
      <c r="R650" s="40">
        <v>2.4</v>
      </c>
      <c r="S650" s="40">
        <f t="shared" si="11"/>
        <v>2</v>
      </c>
      <c r="U650" s="42"/>
      <c r="V650" s="42"/>
      <c r="W650" s="42"/>
      <c r="X650" s="42"/>
      <c r="Y650" s="42"/>
      <c r="Z650" s="42"/>
      <c r="AA650" s="42"/>
      <c r="AB650" s="42"/>
      <c r="AC650" s="42"/>
      <c r="AD650" s="42"/>
      <c r="AE650" s="42"/>
      <c r="AF650" s="42"/>
      <c r="AG650" s="42"/>
      <c r="AH650" s="42"/>
      <c r="AI650" s="42"/>
      <c r="AJ650" s="42"/>
    </row>
    <row r="651" spans="1:36" x14ac:dyDescent="0.2">
      <c r="A651" s="11"/>
      <c r="B651" s="11"/>
      <c r="C651" s="11"/>
      <c r="D651" s="11"/>
      <c r="E651" s="11"/>
      <c r="F651" s="11"/>
      <c r="G651" s="11"/>
      <c r="H651" s="11"/>
      <c r="I651" s="11"/>
      <c r="J651" s="11"/>
      <c r="K651" s="11"/>
      <c r="L651" s="11"/>
      <c r="M651" s="11">
        <v>11</v>
      </c>
      <c r="N651" s="17" t="s">
        <v>2060</v>
      </c>
      <c r="O651" s="80">
        <v>1.6</v>
      </c>
      <c r="P651" s="80">
        <v>2.2000000000000002</v>
      </c>
      <c r="Q651" s="80">
        <v>2.8</v>
      </c>
      <c r="R651" s="40">
        <v>3.9</v>
      </c>
      <c r="S651" s="40">
        <f t="shared" si="11"/>
        <v>1.8333333333333333</v>
      </c>
      <c r="U651" s="42"/>
      <c r="V651" s="42"/>
      <c r="W651" s="42"/>
      <c r="X651" s="42"/>
      <c r="Y651" s="42"/>
      <c r="Z651" s="42"/>
      <c r="AA651" s="42"/>
      <c r="AB651" s="42"/>
      <c r="AC651" s="42"/>
      <c r="AD651" s="42"/>
      <c r="AE651" s="42"/>
      <c r="AF651" s="42"/>
      <c r="AG651" s="42"/>
      <c r="AH651" s="42"/>
      <c r="AI651" s="42"/>
      <c r="AJ651" s="42"/>
    </row>
    <row r="652" spans="1:36" x14ac:dyDescent="0.2">
      <c r="A652" s="11"/>
      <c r="B652" s="11"/>
      <c r="C652" s="11"/>
      <c r="D652" s="11"/>
      <c r="E652" s="11"/>
      <c r="F652" s="11"/>
      <c r="G652" s="11"/>
      <c r="H652" s="11"/>
      <c r="I652" s="11"/>
      <c r="J652" s="11"/>
      <c r="K652" s="11"/>
      <c r="L652" s="11"/>
      <c r="M652" s="11">
        <v>12</v>
      </c>
      <c r="N652" s="17" t="s">
        <v>712</v>
      </c>
      <c r="O652" s="80">
        <v>1.4</v>
      </c>
      <c r="P652" s="80">
        <v>2.2000000000000002</v>
      </c>
      <c r="Q652" s="80">
        <v>2.93</v>
      </c>
      <c r="R652" s="40">
        <v>5.15</v>
      </c>
      <c r="S652" s="40">
        <f t="shared" si="11"/>
        <v>2.7749999999999995</v>
      </c>
      <c r="U652" s="42"/>
      <c r="V652" s="42"/>
      <c r="W652" s="42"/>
      <c r="X652" s="42"/>
      <c r="Y652" s="42"/>
      <c r="Z652" s="42"/>
      <c r="AA652" s="42"/>
      <c r="AB652" s="42"/>
      <c r="AC652" s="42"/>
      <c r="AD652" s="42"/>
      <c r="AE652" s="42"/>
      <c r="AF652" s="42"/>
      <c r="AG652" s="42"/>
      <c r="AH652" s="42"/>
      <c r="AI652" s="42"/>
      <c r="AJ652" s="42"/>
    </row>
    <row r="653" spans="1:36" x14ac:dyDescent="0.2">
      <c r="A653" s="11"/>
      <c r="B653" s="11"/>
      <c r="C653" s="11"/>
      <c r="D653" s="11"/>
      <c r="E653" s="11"/>
      <c r="F653" s="11"/>
      <c r="G653" s="11"/>
      <c r="H653" s="11"/>
      <c r="I653" s="11"/>
      <c r="J653" s="11"/>
      <c r="K653" s="11"/>
      <c r="L653" s="11"/>
      <c r="M653" s="11">
        <v>13</v>
      </c>
      <c r="N653" s="71" t="s">
        <v>713</v>
      </c>
      <c r="O653" s="80">
        <v>2.4</v>
      </c>
      <c r="P653" s="80">
        <v>4</v>
      </c>
      <c r="Q653" s="80">
        <v>4</v>
      </c>
      <c r="R653" s="40">
        <v>8</v>
      </c>
      <c r="S653" s="40">
        <f t="shared" si="11"/>
        <v>2.5</v>
      </c>
      <c r="U653" s="42"/>
      <c r="V653" s="42"/>
      <c r="W653" s="42"/>
      <c r="X653" s="42"/>
      <c r="Y653" s="42"/>
      <c r="Z653" s="42"/>
      <c r="AA653" s="42"/>
      <c r="AB653" s="42"/>
      <c r="AC653" s="42"/>
      <c r="AD653" s="42"/>
      <c r="AE653" s="42"/>
      <c r="AF653" s="42"/>
      <c r="AG653" s="42"/>
      <c r="AH653" s="42"/>
      <c r="AI653" s="42"/>
      <c r="AJ653" s="42"/>
    </row>
    <row r="654" spans="1:36" x14ac:dyDescent="0.2">
      <c r="A654" s="11"/>
      <c r="B654" s="11"/>
      <c r="C654" s="11"/>
      <c r="D654" s="11"/>
      <c r="E654" s="11"/>
      <c r="F654" s="11"/>
      <c r="G654" s="11"/>
      <c r="H654" s="11"/>
      <c r="I654" s="11"/>
      <c r="J654" s="11"/>
      <c r="K654" s="11"/>
      <c r="L654" s="11"/>
      <c r="M654" s="11"/>
      <c r="N654" s="62"/>
      <c r="O654" s="62"/>
      <c r="P654" s="62"/>
      <c r="Q654" s="62"/>
      <c r="R654" s="42"/>
      <c r="S654" s="42"/>
      <c r="U654" s="42"/>
      <c r="V654" s="42"/>
      <c r="W654" s="42"/>
      <c r="X654" s="42"/>
      <c r="Y654" s="42"/>
      <c r="Z654" s="42"/>
      <c r="AA654" s="42"/>
      <c r="AB654" s="42"/>
      <c r="AC654" s="42"/>
      <c r="AD654" s="42"/>
      <c r="AE654" s="42"/>
      <c r="AF654" s="42"/>
      <c r="AG654" s="42"/>
      <c r="AH654" s="42"/>
      <c r="AI654" s="42"/>
      <c r="AJ654" s="42"/>
    </row>
    <row r="655" spans="1:36" x14ac:dyDescent="0.2">
      <c r="A655" s="11"/>
      <c r="B655" s="11"/>
      <c r="C655" s="11"/>
      <c r="D655" s="11"/>
      <c r="E655" s="11"/>
      <c r="F655" s="11"/>
      <c r="G655" s="11"/>
      <c r="H655" s="11"/>
      <c r="I655" s="11"/>
      <c r="J655" s="11"/>
      <c r="K655" s="11"/>
      <c r="L655" s="11"/>
      <c r="M655" s="11"/>
      <c r="N655" s="62"/>
      <c r="O655" s="62"/>
      <c r="P655" s="62"/>
      <c r="Q655" s="62"/>
      <c r="R655" s="42"/>
      <c r="S655" s="42"/>
      <c r="U655" s="42"/>
      <c r="V655" s="42"/>
      <c r="W655" s="42"/>
      <c r="X655" s="42"/>
      <c r="Y655" s="42"/>
      <c r="Z655" s="42"/>
      <c r="AA655" s="42"/>
      <c r="AB655" s="42"/>
      <c r="AC655" s="42"/>
      <c r="AD655" s="42"/>
      <c r="AE655" s="42"/>
      <c r="AF655" s="42"/>
      <c r="AG655" s="42"/>
      <c r="AH655" s="42"/>
      <c r="AI655" s="42"/>
      <c r="AJ655" s="42"/>
    </row>
    <row r="656" spans="1:36" x14ac:dyDescent="0.2">
      <c r="A656" s="11"/>
      <c r="B656" s="11"/>
      <c r="C656" s="11"/>
      <c r="D656" s="11"/>
      <c r="E656" s="11"/>
      <c r="F656" s="11"/>
      <c r="G656" s="11"/>
      <c r="H656" s="11"/>
      <c r="I656" s="11"/>
      <c r="J656" s="11"/>
      <c r="K656" s="11"/>
      <c r="L656" s="11"/>
      <c r="M656" s="11"/>
      <c r="N656" s="62"/>
      <c r="O656" s="62"/>
      <c r="P656" s="62"/>
      <c r="Q656" s="62"/>
      <c r="R656" s="42"/>
      <c r="S656" s="42"/>
      <c r="U656" s="42"/>
      <c r="V656" s="42"/>
      <c r="W656" s="42"/>
      <c r="X656" s="42"/>
      <c r="Y656" s="42"/>
      <c r="Z656" s="42"/>
      <c r="AA656" s="42"/>
      <c r="AB656" s="42"/>
      <c r="AC656" s="42"/>
      <c r="AD656" s="42"/>
      <c r="AE656" s="42"/>
      <c r="AF656" s="42"/>
      <c r="AG656" s="42"/>
      <c r="AH656" s="42"/>
      <c r="AI656" s="42"/>
      <c r="AJ656" s="42"/>
    </row>
    <row r="657" spans="1:36" x14ac:dyDescent="0.2">
      <c r="A657" s="11"/>
      <c r="B657" s="11"/>
      <c r="C657" s="11"/>
      <c r="D657" s="11"/>
      <c r="E657" s="11"/>
      <c r="F657" s="11"/>
      <c r="G657" s="11"/>
      <c r="H657" s="11"/>
      <c r="I657" s="11"/>
      <c r="J657" s="11"/>
      <c r="K657" s="11"/>
      <c r="L657" s="11"/>
      <c r="M657" s="11"/>
      <c r="N657" s="62"/>
      <c r="O657" s="62"/>
      <c r="P657" s="62"/>
      <c r="Q657" s="62"/>
      <c r="R657" s="42"/>
      <c r="S657" s="42"/>
      <c r="U657" s="42"/>
      <c r="V657" s="42"/>
      <c r="W657" s="42"/>
      <c r="X657" s="42"/>
      <c r="Y657" s="42"/>
      <c r="Z657" s="42"/>
      <c r="AA657" s="42"/>
      <c r="AB657" s="42"/>
      <c r="AC657" s="42"/>
      <c r="AD657" s="42"/>
      <c r="AE657" s="42"/>
      <c r="AF657" s="42"/>
      <c r="AG657" s="42"/>
      <c r="AH657" s="42"/>
      <c r="AI657" s="42"/>
      <c r="AJ657" s="42"/>
    </row>
    <row r="658" spans="1:36" x14ac:dyDescent="0.2">
      <c r="A658" s="11"/>
      <c r="B658" s="11"/>
      <c r="C658" s="11"/>
      <c r="D658" s="11"/>
      <c r="E658" s="11"/>
      <c r="F658" s="11"/>
      <c r="G658" s="11"/>
      <c r="H658" s="11"/>
      <c r="I658" s="11"/>
      <c r="J658" s="11"/>
      <c r="K658" s="11"/>
      <c r="L658" s="11"/>
      <c r="M658" s="11"/>
      <c r="N658" s="11"/>
      <c r="O658" s="11"/>
      <c r="P658" s="11"/>
      <c r="Q658" s="11"/>
      <c r="W658" s="42"/>
      <c r="X658" s="42"/>
      <c r="Y658" s="42"/>
      <c r="Z658" s="42"/>
      <c r="AA658" s="42"/>
      <c r="AB658" s="42"/>
      <c r="AC658" s="42"/>
      <c r="AD658" s="42"/>
      <c r="AE658" s="42"/>
      <c r="AF658" s="42"/>
      <c r="AG658" s="42"/>
      <c r="AH658" s="42"/>
      <c r="AI658" s="42"/>
      <c r="AJ658" s="42"/>
    </row>
    <row r="659" spans="1:36" ht="15.75" x14ac:dyDescent="0.25">
      <c r="A659" s="11"/>
      <c r="B659" s="31" t="s">
        <v>4276</v>
      </c>
      <c r="C659" s="11"/>
      <c r="D659" s="11"/>
      <c r="E659" s="11"/>
      <c r="F659" s="11"/>
      <c r="G659" s="11"/>
      <c r="H659" s="11"/>
      <c r="I659" s="11"/>
      <c r="J659" s="11"/>
      <c r="K659" s="11"/>
      <c r="L659" s="11"/>
      <c r="M659" s="11"/>
      <c r="N659" s="11"/>
      <c r="O659" s="11"/>
      <c r="P659" s="11"/>
      <c r="Q659" s="11"/>
      <c r="W659" s="42"/>
      <c r="X659" s="42"/>
      <c r="Y659" s="42"/>
      <c r="Z659" s="42"/>
      <c r="AA659" s="42"/>
      <c r="AB659" s="42"/>
      <c r="AC659" s="42"/>
      <c r="AD659" s="42"/>
      <c r="AE659" s="42"/>
      <c r="AF659" s="42"/>
      <c r="AG659" s="42"/>
      <c r="AH659" s="42"/>
      <c r="AI659" s="42"/>
      <c r="AJ659" s="42"/>
    </row>
    <row r="660" spans="1:36" x14ac:dyDescent="0.2">
      <c r="A660" s="175" t="s">
        <v>1862</v>
      </c>
      <c r="B660" s="17">
        <v>1</v>
      </c>
      <c r="C660" s="17">
        <v>2</v>
      </c>
      <c r="D660" s="17">
        <v>3</v>
      </c>
      <c r="E660" s="17">
        <v>4</v>
      </c>
      <c r="F660" s="17">
        <v>5</v>
      </c>
      <c r="G660" s="17">
        <v>6</v>
      </c>
      <c r="H660" s="17">
        <v>7</v>
      </c>
      <c r="I660" s="17">
        <v>8</v>
      </c>
      <c r="J660" s="17">
        <v>9</v>
      </c>
      <c r="K660" s="17">
        <v>10</v>
      </c>
      <c r="L660" s="17">
        <v>11</v>
      </c>
      <c r="M660" s="17">
        <v>12</v>
      </c>
      <c r="N660" s="17">
        <v>13</v>
      </c>
      <c r="O660" s="17">
        <v>14</v>
      </c>
      <c r="P660" s="17">
        <v>15</v>
      </c>
      <c r="Q660" s="15"/>
      <c r="R660" s="1"/>
      <c r="S660" s="1"/>
      <c r="T660" s="1"/>
      <c r="U660" s="1"/>
      <c r="V660" s="1"/>
      <c r="W660" s="3912"/>
      <c r="X660" s="42"/>
      <c r="Y660" s="42"/>
      <c r="Z660" s="42"/>
      <c r="AA660" s="42"/>
      <c r="AB660" s="42"/>
      <c r="AC660" s="42"/>
      <c r="AD660" s="42"/>
      <c r="AE660" s="42"/>
      <c r="AF660" s="42"/>
      <c r="AG660" s="42"/>
      <c r="AH660" s="42"/>
      <c r="AI660" s="42"/>
      <c r="AJ660" s="42"/>
    </row>
    <row r="661" spans="1:36" ht="42.75" thickBot="1" x14ac:dyDescent="0.25">
      <c r="A661" s="15"/>
      <c r="B661" s="176" t="s">
        <v>5619</v>
      </c>
      <c r="C661" s="177" t="s">
        <v>5637</v>
      </c>
      <c r="D661" s="177" t="s">
        <v>152</v>
      </c>
      <c r="E661" s="177" t="s">
        <v>1918</v>
      </c>
      <c r="F661" s="177" t="s">
        <v>5621</v>
      </c>
      <c r="G661" s="177" t="s">
        <v>1917</v>
      </c>
      <c r="H661" s="177" t="s">
        <v>5641</v>
      </c>
      <c r="I661" s="178" t="s">
        <v>5623</v>
      </c>
      <c r="J661" s="177" t="s">
        <v>5626</v>
      </c>
      <c r="K661" s="179" t="s">
        <v>5618</v>
      </c>
      <c r="L661" s="176" t="s">
        <v>5628</v>
      </c>
      <c r="M661" s="177" t="s">
        <v>5627</v>
      </c>
      <c r="N661" s="177" t="s">
        <v>5674</v>
      </c>
      <c r="O661" s="177" t="s">
        <v>5675</v>
      </c>
      <c r="P661" s="3029" t="s">
        <v>5676</v>
      </c>
      <c r="Q661" s="3937"/>
      <c r="R661" s="3938"/>
      <c r="S661" s="3938"/>
      <c r="T661" s="3938"/>
      <c r="U661" s="44"/>
      <c r="V661" s="44"/>
      <c r="W661" s="3912"/>
      <c r="X661" s="42"/>
      <c r="Y661" s="42"/>
      <c r="Z661" s="42"/>
      <c r="AA661" s="42"/>
      <c r="AB661" s="42"/>
      <c r="AC661" s="42"/>
      <c r="AD661" s="42"/>
      <c r="AE661" s="42"/>
      <c r="AF661" s="42"/>
      <c r="AG661" s="42"/>
      <c r="AH661" s="42"/>
      <c r="AI661" s="42"/>
      <c r="AJ661" s="42"/>
    </row>
    <row r="662" spans="1:36" ht="21.75" thickBot="1" x14ac:dyDescent="0.25">
      <c r="A662" s="15"/>
      <c r="B662" s="180"/>
      <c r="C662" s="181"/>
      <c r="D662" s="181"/>
      <c r="E662" s="181"/>
      <c r="F662" s="181"/>
      <c r="G662" s="181"/>
      <c r="H662" s="181"/>
      <c r="I662" s="181"/>
      <c r="J662" s="181">
        <f>60*13</f>
        <v>780</v>
      </c>
      <c r="K662" s="182"/>
      <c r="L662" s="180"/>
      <c r="M662" s="181"/>
      <c r="N662" s="181"/>
      <c r="O662" s="181"/>
      <c r="P662" s="3029"/>
      <c r="Q662" s="3937"/>
      <c r="R662" s="3938"/>
      <c r="S662" s="3938"/>
      <c r="T662" s="3938"/>
      <c r="U662" s="44"/>
      <c r="V662" s="44"/>
      <c r="W662" s="3912"/>
      <c r="X662" s="42"/>
      <c r="Y662" s="42"/>
      <c r="Z662" s="42"/>
      <c r="AA662" s="42"/>
      <c r="AB662" s="42"/>
      <c r="AC662" s="42"/>
      <c r="AD662" s="42"/>
      <c r="AE662" s="42"/>
      <c r="AF662" s="42"/>
      <c r="AG662" s="42"/>
      <c r="AH662" s="42"/>
      <c r="AI662" s="42"/>
      <c r="AJ662" s="42"/>
    </row>
    <row r="663" spans="1:36" x14ac:dyDescent="0.2">
      <c r="A663" s="183" t="s">
        <v>3984</v>
      </c>
      <c r="B663" s="184">
        <f>60*8</f>
        <v>480</v>
      </c>
      <c r="C663" s="75">
        <f>60*8</f>
        <v>480</v>
      </c>
      <c r="D663" s="75">
        <f>60*8</f>
        <v>480</v>
      </c>
      <c r="E663" s="75">
        <f>60*10</f>
        <v>600</v>
      </c>
      <c r="F663" s="75">
        <f>60*8.6</f>
        <v>516</v>
      </c>
      <c r="G663" s="75">
        <f>60*8.6</f>
        <v>516</v>
      </c>
      <c r="H663" s="75">
        <f>60*9.3</f>
        <v>558</v>
      </c>
      <c r="I663" s="75">
        <f>60*13</f>
        <v>780</v>
      </c>
      <c r="J663" s="75">
        <v>600</v>
      </c>
      <c r="K663" s="75">
        <f>60*10</f>
        <v>600</v>
      </c>
      <c r="L663" s="184">
        <f>60*14</f>
        <v>840</v>
      </c>
      <c r="M663" s="75">
        <f>60*8.3</f>
        <v>498.00000000000006</v>
      </c>
      <c r="N663" s="75">
        <f>60*14</f>
        <v>840</v>
      </c>
      <c r="O663" s="75">
        <f>60*12</f>
        <v>720</v>
      </c>
      <c r="P663" s="17">
        <f>60*21</f>
        <v>1260</v>
      </c>
      <c r="Q663" s="15"/>
      <c r="R663" s="1"/>
      <c r="S663" s="1"/>
      <c r="T663" s="1"/>
      <c r="U663" s="3912"/>
      <c r="V663" s="3912"/>
      <c r="W663" s="3912"/>
      <c r="X663" s="42"/>
      <c r="Y663" s="42"/>
      <c r="Z663" s="42"/>
      <c r="AA663" s="42"/>
      <c r="AB663" s="42"/>
      <c r="AC663" s="42"/>
      <c r="AD663" s="42"/>
      <c r="AE663" s="42"/>
      <c r="AF663" s="42"/>
      <c r="AG663" s="42"/>
      <c r="AH663" s="42"/>
      <c r="AI663" s="42"/>
      <c r="AJ663" s="42"/>
    </row>
    <row r="664" spans="1:36" x14ac:dyDescent="0.2">
      <c r="A664" s="185" t="s">
        <v>3985</v>
      </c>
      <c r="B664" s="33">
        <v>0.94</v>
      </c>
      <c r="C664" s="17">
        <v>0.94</v>
      </c>
      <c r="D664" s="17">
        <v>0.94</v>
      </c>
      <c r="E664" s="17">
        <v>0.94</v>
      </c>
      <c r="F664" s="17">
        <v>0.94</v>
      </c>
      <c r="G664" s="17">
        <v>0.86</v>
      </c>
      <c r="H664" s="17">
        <v>0.94</v>
      </c>
      <c r="I664" s="17">
        <v>0.86</v>
      </c>
      <c r="J664" s="17">
        <v>0.85</v>
      </c>
      <c r="K664" s="17">
        <v>0.85</v>
      </c>
      <c r="L664" s="33">
        <v>0.85</v>
      </c>
      <c r="M664" s="17">
        <v>0.94</v>
      </c>
      <c r="N664" s="17">
        <v>0.86</v>
      </c>
      <c r="O664" s="17">
        <v>0.94</v>
      </c>
      <c r="P664" s="17">
        <v>0.86</v>
      </c>
      <c r="Q664" s="15"/>
      <c r="R664" s="1"/>
      <c r="S664" s="1"/>
      <c r="T664" s="1"/>
      <c r="U664" s="3912"/>
      <c r="V664" s="3912"/>
      <c r="W664" s="3912"/>
      <c r="X664" s="42"/>
      <c r="Y664" s="42"/>
      <c r="Z664" s="42"/>
      <c r="AA664" s="42"/>
      <c r="AB664" s="42"/>
      <c r="AC664" s="42"/>
      <c r="AD664" s="42"/>
      <c r="AE664" s="42"/>
      <c r="AF664" s="42"/>
      <c r="AG664" s="42"/>
      <c r="AH664" s="42"/>
      <c r="AI664" s="42"/>
      <c r="AJ664" s="42"/>
    </row>
    <row r="665" spans="1:36" ht="13.5" thickBot="1" x14ac:dyDescent="0.25">
      <c r="A665" s="84" t="s">
        <v>3986</v>
      </c>
      <c r="B665" s="186">
        <v>0.8</v>
      </c>
      <c r="C665" s="80">
        <v>1.1200000000000001</v>
      </c>
      <c r="D665" s="80">
        <v>1.25</v>
      </c>
      <c r="E665" s="80">
        <v>1.25</v>
      </c>
      <c r="F665" s="80">
        <v>1.1200000000000001</v>
      </c>
      <c r="G665" s="80">
        <v>1.25</v>
      </c>
      <c r="H665" s="80">
        <v>1.1200000000000001</v>
      </c>
      <c r="I665" s="17">
        <v>1.25</v>
      </c>
      <c r="J665" s="80">
        <v>1.25</v>
      </c>
      <c r="K665" s="80">
        <v>1</v>
      </c>
      <c r="L665" s="186">
        <v>0.9</v>
      </c>
      <c r="M665" s="80">
        <v>1.1000000000000001</v>
      </c>
      <c r="N665" s="80">
        <v>1.25</v>
      </c>
      <c r="O665" s="80">
        <v>1.4</v>
      </c>
      <c r="P665" s="80">
        <v>0.64</v>
      </c>
      <c r="Q665" s="396"/>
      <c r="R665" s="843"/>
      <c r="S665" s="843"/>
      <c r="T665" s="843"/>
      <c r="U665" s="3912"/>
      <c r="V665" s="3912"/>
      <c r="W665" s="3912"/>
      <c r="X665" s="42"/>
      <c r="Y665" s="42"/>
      <c r="Z665" s="42"/>
      <c r="AA665" s="42"/>
      <c r="AB665" s="42"/>
      <c r="AC665" s="42"/>
      <c r="AD665" s="42"/>
      <c r="AE665" s="42"/>
      <c r="AF665" s="42"/>
      <c r="AG665" s="42"/>
      <c r="AH665" s="42"/>
      <c r="AI665" s="42"/>
      <c r="AJ665" s="42"/>
    </row>
    <row r="666" spans="1:36" x14ac:dyDescent="0.2">
      <c r="A666" s="11"/>
      <c r="B666" s="11"/>
      <c r="C666" s="11"/>
      <c r="D666" s="11"/>
      <c r="E666" s="11"/>
      <c r="F666" s="11"/>
      <c r="G666" s="11"/>
      <c r="H666" s="11"/>
      <c r="I666" s="11"/>
      <c r="J666" s="11"/>
      <c r="K666" s="11"/>
      <c r="L666" s="11"/>
      <c r="M666" s="11"/>
      <c r="N666" s="11"/>
      <c r="O666" s="11"/>
      <c r="P666" s="11"/>
      <c r="Q666" s="11"/>
      <c r="W666" s="42"/>
      <c r="X666" s="42"/>
      <c r="Y666" s="42"/>
      <c r="Z666" s="42"/>
      <c r="AA666" s="42"/>
      <c r="AB666" s="42"/>
      <c r="AC666" s="42"/>
      <c r="AD666" s="42"/>
      <c r="AE666" s="42"/>
      <c r="AF666" s="42"/>
      <c r="AG666" s="42"/>
      <c r="AH666" s="42"/>
      <c r="AI666" s="42"/>
      <c r="AJ666" s="42"/>
    </row>
    <row r="667" spans="1:36" x14ac:dyDescent="0.2">
      <c r="A667" s="11"/>
      <c r="B667" s="11"/>
      <c r="C667" s="11"/>
      <c r="D667" s="11"/>
      <c r="E667" s="11"/>
      <c r="F667" s="11"/>
      <c r="G667" s="11"/>
      <c r="H667" s="11"/>
      <c r="I667" s="11"/>
      <c r="J667" s="11"/>
      <c r="K667" s="11"/>
      <c r="L667" s="11"/>
      <c r="M667" s="11"/>
      <c r="N667" s="11"/>
      <c r="O667" s="11"/>
      <c r="P667" s="11"/>
      <c r="Q667" s="11"/>
      <c r="W667" s="42"/>
      <c r="X667" s="42"/>
      <c r="Y667" s="42"/>
      <c r="Z667" s="42"/>
      <c r="AA667" s="42"/>
      <c r="AB667" s="42"/>
      <c r="AC667" s="42"/>
      <c r="AD667" s="42"/>
      <c r="AE667" s="42"/>
      <c r="AF667" s="42"/>
      <c r="AG667" s="42"/>
      <c r="AH667" s="42"/>
      <c r="AI667" s="42"/>
      <c r="AJ667" s="42"/>
    </row>
    <row r="668" spans="1:36" ht="15.75" x14ac:dyDescent="0.25">
      <c r="A668" s="11"/>
      <c r="B668" s="10" t="s">
        <v>523</v>
      </c>
      <c r="C668" s="11"/>
      <c r="D668" s="11"/>
      <c r="E668" s="11"/>
      <c r="F668" s="11"/>
      <c r="G668" s="11"/>
      <c r="H668" s="11"/>
      <c r="I668" s="11"/>
      <c r="J668" s="11"/>
      <c r="K668" s="11"/>
      <c r="L668" s="11"/>
      <c r="M668" s="11"/>
      <c r="N668" s="70"/>
      <c r="O668" s="70"/>
      <c r="P668" s="70"/>
      <c r="Q668" s="70"/>
      <c r="R668" s="43"/>
      <c r="W668" s="42"/>
      <c r="X668" s="42"/>
      <c r="Y668" s="42"/>
      <c r="Z668" s="42"/>
      <c r="AA668" s="42"/>
      <c r="AB668" s="42"/>
      <c r="AC668" s="42"/>
      <c r="AD668" s="42"/>
      <c r="AE668" s="42"/>
      <c r="AF668" s="42"/>
      <c r="AG668" s="42"/>
      <c r="AH668" s="42"/>
      <c r="AI668" s="42"/>
      <c r="AJ668" s="42"/>
    </row>
    <row r="669" spans="1:36" x14ac:dyDescent="0.2">
      <c r="A669" s="11"/>
      <c r="B669" s="187" t="s">
        <v>4336</v>
      </c>
      <c r="C669" s="11"/>
      <c r="D669" s="11"/>
      <c r="E669" s="11"/>
      <c r="F669" s="11"/>
      <c r="G669" s="11"/>
      <c r="H669" s="188" t="s">
        <v>1247</v>
      </c>
      <c r="I669" s="11"/>
      <c r="J669" s="11"/>
      <c r="K669" s="11"/>
      <c r="L669" s="11"/>
      <c r="M669" s="11"/>
      <c r="N669" s="172"/>
      <c r="O669" s="172"/>
      <c r="P669" s="172"/>
      <c r="Q669" s="172"/>
      <c r="R669" s="39"/>
      <c r="W669" s="42"/>
      <c r="X669" s="42"/>
      <c r="Y669" s="42"/>
      <c r="Z669" s="42"/>
      <c r="AA669" s="42"/>
      <c r="AB669" s="42"/>
      <c r="AC669" s="42"/>
      <c r="AD669" s="42"/>
      <c r="AE669" s="42"/>
      <c r="AF669" s="42"/>
      <c r="AG669" s="42"/>
      <c r="AH669" s="42"/>
      <c r="AI669" s="42"/>
      <c r="AJ669" s="42"/>
    </row>
    <row r="670" spans="1:36" x14ac:dyDescent="0.2">
      <c r="A670" s="11"/>
      <c r="B670" s="4350" t="s">
        <v>2361</v>
      </c>
      <c r="C670" s="4351"/>
      <c r="D670" s="4351"/>
      <c r="E670" s="4351"/>
      <c r="F670" s="4351"/>
      <c r="G670" s="4352"/>
      <c r="H670" s="17">
        <v>1</v>
      </c>
      <c r="I670" s="11"/>
      <c r="J670" s="11"/>
      <c r="K670" s="11"/>
      <c r="L670" s="11"/>
      <c r="M670" s="11"/>
      <c r="N670" s="70"/>
      <c r="O670" s="70"/>
      <c r="P670" s="70"/>
      <c r="Q670" s="70"/>
      <c r="R670" s="43"/>
      <c r="W670" s="42"/>
      <c r="X670" s="42"/>
      <c r="Y670" s="42"/>
      <c r="Z670" s="42"/>
      <c r="AA670" s="42"/>
      <c r="AB670" s="42"/>
      <c r="AC670" s="42"/>
      <c r="AD670" s="42"/>
      <c r="AE670" s="42"/>
      <c r="AF670" s="42"/>
      <c r="AG670" s="42"/>
      <c r="AH670" s="42"/>
      <c r="AI670" s="42"/>
      <c r="AJ670" s="42"/>
    </row>
    <row r="671" spans="1:36" x14ac:dyDescent="0.2">
      <c r="A671" s="11"/>
      <c r="B671" s="4350" t="s">
        <v>3082</v>
      </c>
      <c r="C671" s="4351"/>
      <c r="D671" s="4351"/>
      <c r="E671" s="4351"/>
      <c r="F671" s="4351"/>
      <c r="G671" s="4352"/>
      <c r="H671" s="65">
        <v>2</v>
      </c>
      <c r="I671" s="11"/>
      <c r="J671" s="11"/>
      <c r="K671" s="11"/>
      <c r="L671" s="11"/>
      <c r="M671" s="11"/>
      <c r="N671" s="70"/>
      <c r="O671" s="70"/>
      <c r="P671" s="70"/>
      <c r="Q671" s="70"/>
      <c r="R671" s="43"/>
      <c r="W671" s="42"/>
      <c r="X671" s="42"/>
      <c r="Y671" s="42"/>
      <c r="Z671" s="42"/>
      <c r="AA671" s="42"/>
      <c r="AB671" s="42"/>
      <c r="AC671" s="42"/>
      <c r="AD671" s="42"/>
      <c r="AE671" s="42"/>
      <c r="AF671" s="42"/>
      <c r="AG671" s="42"/>
      <c r="AH671" s="42"/>
      <c r="AI671" s="42"/>
      <c r="AJ671" s="42"/>
    </row>
    <row r="672" spans="1:36" x14ac:dyDescent="0.2">
      <c r="A672" s="11"/>
      <c r="B672" s="65" t="s">
        <v>4337</v>
      </c>
      <c r="C672" s="189"/>
      <c r="D672" s="189"/>
      <c r="E672" s="189"/>
      <c r="F672" s="189"/>
      <c r="G672" s="33"/>
      <c r="H672" s="65">
        <v>3</v>
      </c>
      <c r="I672" s="11"/>
      <c r="J672" s="11"/>
      <c r="K672" s="11"/>
      <c r="L672" s="11"/>
      <c r="M672" s="11"/>
      <c r="N672" s="11"/>
      <c r="O672" s="11"/>
      <c r="P672" s="11"/>
      <c r="Q672" s="11"/>
      <c r="W672" s="42"/>
      <c r="X672" s="42"/>
      <c r="Y672" s="42"/>
      <c r="Z672" s="42"/>
      <c r="AA672" s="42"/>
      <c r="AB672" s="42"/>
      <c r="AC672" s="42"/>
      <c r="AD672" s="42"/>
      <c r="AE672" s="42"/>
      <c r="AF672" s="42"/>
      <c r="AG672" s="42"/>
      <c r="AH672" s="42"/>
      <c r="AI672" s="42"/>
      <c r="AJ672" s="42"/>
    </row>
    <row r="673" spans="1:36" x14ac:dyDescent="0.2">
      <c r="A673" s="11"/>
      <c r="B673" s="11"/>
      <c r="C673" s="11"/>
      <c r="D673" s="11"/>
      <c r="E673" s="11"/>
      <c r="F673" s="11"/>
      <c r="G673" s="11"/>
      <c r="H673" s="11"/>
      <c r="I673" s="11"/>
      <c r="J673" s="11"/>
      <c r="K673" s="11"/>
      <c r="L673" s="11"/>
      <c r="M673" s="11"/>
      <c r="N673" s="11"/>
      <c r="O673" s="11"/>
      <c r="P673" s="11"/>
      <c r="Q673" s="11"/>
      <c r="W673" s="42"/>
      <c r="X673" s="42"/>
      <c r="Y673" s="42"/>
      <c r="Z673" s="42"/>
      <c r="AA673" s="42"/>
      <c r="AB673" s="42"/>
      <c r="AC673" s="42"/>
      <c r="AD673" s="42"/>
      <c r="AE673" s="42"/>
      <c r="AF673" s="42"/>
      <c r="AG673" s="42"/>
      <c r="AH673" s="42"/>
      <c r="AI673" s="42"/>
      <c r="AJ673" s="42"/>
    </row>
    <row r="674" spans="1:36" x14ac:dyDescent="0.2">
      <c r="A674" s="11"/>
      <c r="B674" s="11"/>
      <c r="C674" s="11"/>
      <c r="D674" s="11"/>
      <c r="E674" s="11"/>
      <c r="F674" s="11"/>
      <c r="G674" s="11"/>
      <c r="H674" s="11"/>
      <c r="I674" s="11"/>
      <c r="J674" s="11"/>
      <c r="K674" s="11"/>
      <c r="L674" s="11"/>
      <c r="M674" s="11"/>
      <c r="N674" s="11"/>
      <c r="O674" s="11"/>
      <c r="P674" s="11"/>
      <c r="Q674" s="11"/>
      <c r="W674" s="42"/>
      <c r="X674" s="42"/>
      <c r="Y674" s="42"/>
      <c r="Z674" s="42"/>
      <c r="AA674" s="42"/>
      <c r="AB674" s="42"/>
      <c r="AC674" s="42"/>
      <c r="AD674" s="42"/>
      <c r="AE674" s="42"/>
      <c r="AF674" s="42"/>
      <c r="AG674" s="42"/>
      <c r="AH674" s="42"/>
      <c r="AI674" s="42"/>
      <c r="AJ674" s="42"/>
    </row>
    <row r="675" spans="1:36" ht="15.75" x14ac:dyDescent="0.25">
      <c r="A675" s="11"/>
      <c r="B675" s="31" t="s">
        <v>2089</v>
      </c>
      <c r="C675" s="11"/>
      <c r="D675" s="11"/>
      <c r="E675" s="11"/>
      <c r="F675" s="11"/>
      <c r="G675" s="11"/>
      <c r="H675" s="11"/>
      <c r="I675" s="11"/>
      <c r="J675" s="11"/>
      <c r="K675" s="11"/>
      <c r="L675" s="11"/>
      <c r="M675" s="11"/>
      <c r="N675" s="11"/>
      <c r="O675" s="11"/>
      <c r="P675" s="11"/>
      <c r="Q675" s="11"/>
      <c r="W675" s="42"/>
      <c r="X675" s="42"/>
      <c r="Y675" s="42"/>
      <c r="Z675" s="42"/>
      <c r="AA675" s="42"/>
      <c r="AB675" s="42"/>
      <c r="AC675" s="42"/>
      <c r="AD675" s="42"/>
      <c r="AE675" s="42"/>
      <c r="AF675" s="42"/>
      <c r="AG675" s="42"/>
      <c r="AH675" s="42"/>
      <c r="AI675" s="42"/>
      <c r="AJ675" s="42"/>
    </row>
    <row r="676" spans="1:36" x14ac:dyDescent="0.2">
      <c r="A676" s="4476" t="s">
        <v>1863</v>
      </c>
      <c r="B676" s="4477"/>
      <c r="C676" s="17">
        <v>1</v>
      </c>
      <c r="D676" s="17">
        <v>2</v>
      </c>
      <c r="E676" s="17">
        <v>3</v>
      </c>
      <c r="F676" s="17">
        <v>4</v>
      </c>
      <c r="G676" s="17">
        <v>5</v>
      </c>
      <c r="H676" s="17">
        <v>6</v>
      </c>
      <c r="I676" s="17">
        <v>7</v>
      </c>
      <c r="J676" s="17"/>
      <c r="K676" s="17"/>
      <c r="L676" s="17"/>
      <c r="M676" s="175"/>
      <c r="N676" s="65"/>
      <c r="O676" s="65"/>
      <c r="P676" s="17"/>
      <c r="Q676" s="175"/>
      <c r="R676" s="47"/>
      <c r="S676" s="4490"/>
      <c r="T676" s="4490"/>
      <c r="W676" s="42"/>
      <c r="X676" s="42"/>
      <c r="Y676" s="42"/>
      <c r="Z676" s="42"/>
      <c r="AA676" s="42"/>
      <c r="AB676" s="42"/>
      <c r="AC676" s="42"/>
      <c r="AD676" s="42"/>
      <c r="AE676" s="42"/>
      <c r="AF676" s="42"/>
      <c r="AG676" s="42"/>
      <c r="AH676" s="42"/>
      <c r="AI676" s="42"/>
      <c r="AJ676" s="42"/>
    </row>
    <row r="677" spans="1:36" ht="14.25" x14ac:dyDescent="0.2">
      <c r="A677" s="4499" t="s">
        <v>3987</v>
      </c>
      <c r="B677" s="4500"/>
      <c r="C677" s="4476" t="s">
        <v>3457</v>
      </c>
      <c r="D677" s="4478"/>
      <c r="E677" s="4478"/>
      <c r="F677" s="4478"/>
      <c r="G677" s="4478"/>
      <c r="H677" s="4478"/>
      <c r="I677" s="4478"/>
      <c r="J677" s="4478"/>
      <c r="K677" s="4478"/>
      <c r="L677" s="4478"/>
      <c r="M677" s="4478"/>
      <c r="N677" s="4478"/>
      <c r="O677" s="4478"/>
      <c r="P677" s="4478"/>
      <c r="Q677" s="4477"/>
      <c r="R677" s="54"/>
      <c r="S677" s="47"/>
      <c r="T677" s="47"/>
      <c r="U677" s="1"/>
      <c r="W677" s="42"/>
      <c r="X677" s="42"/>
      <c r="Y677" s="42"/>
      <c r="Z677" s="42"/>
      <c r="AA677" s="42"/>
      <c r="AB677" s="42"/>
      <c r="AC677" s="42"/>
      <c r="AD677" s="42"/>
      <c r="AE677" s="42"/>
      <c r="AF677" s="42"/>
      <c r="AG677" s="42"/>
      <c r="AH677" s="42"/>
      <c r="AI677" s="42"/>
      <c r="AJ677" s="42"/>
    </row>
    <row r="678" spans="1:36" x14ac:dyDescent="0.2">
      <c r="A678" s="4501"/>
      <c r="B678" s="4502"/>
      <c r="C678" s="190" t="s">
        <v>6438</v>
      </c>
      <c r="D678" s="190" t="s">
        <v>5703</v>
      </c>
      <c r="E678" s="190" t="s">
        <v>5704</v>
      </c>
      <c r="F678" s="190" t="s">
        <v>5708</v>
      </c>
      <c r="G678" s="190" t="s">
        <v>5705</v>
      </c>
      <c r="H678" s="190" t="s">
        <v>5706</v>
      </c>
      <c r="I678" s="190" t="s">
        <v>5707</v>
      </c>
      <c r="J678" s="3939"/>
      <c r="K678" s="190"/>
      <c r="L678" s="190"/>
      <c r="M678" s="190"/>
      <c r="N678" s="190"/>
      <c r="O678" s="190"/>
      <c r="P678" s="190"/>
      <c r="Q678" s="190"/>
      <c r="R678" s="55"/>
      <c r="S678" s="1"/>
      <c r="T678" s="55"/>
      <c r="W678" s="42"/>
      <c r="X678" s="42"/>
      <c r="Y678" s="42"/>
      <c r="Z678" s="42"/>
      <c r="AA678" s="42"/>
      <c r="AB678" s="42"/>
      <c r="AC678" s="42"/>
      <c r="AD678" s="42"/>
      <c r="AE678" s="42"/>
      <c r="AF678" s="42"/>
      <c r="AG678" s="42"/>
      <c r="AH678" s="42"/>
      <c r="AI678" s="42"/>
      <c r="AJ678" s="42"/>
    </row>
    <row r="679" spans="1:36" x14ac:dyDescent="0.2">
      <c r="A679" s="4501"/>
      <c r="B679" s="4502"/>
      <c r="C679" s="4476" t="s">
        <v>6439</v>
      </c>
      <c r="D679" s="4478"/>
      <c r="E679" s="4478"/>
      <c r="F679" s="4478"/>
      <c r="G679" s="4478"/>
      <c r="H679" s="4478"/>
      <c r="I679" s="4478"/>
      <c r="J679" s="4478"/>
      <c r="K679" s="4478"/>
      <c r="L679" s="4478"/>
      <c r="M679" s="4478"/>
      <c r="N679" s="4478"/>
      <c r="O679" s="4478"/>
      <c r="P679" s="4478"/>
      <c r="Q679" s="4477"/>
      <c r="R679" s="54"/>
      <c r="S679" s="47"/>
      <c r="T679" s="47"/>
      <c r="U679" s="1"/>
      <c r="W679" s="42"/>
      <c r="X679" s="42"/>
      <c r="Y679" s="42"/>
      <c r="Z679" s="42"/>
      <c r="AA679" s="42"/>
      <c r="AB679" s="42"/>
      <c r="AC679" s="42"/>
      <c r="AD679" s="42"/>
      <c r="AE679" s="42"/>
      <c r="AF679" s="42"/>
      <c r="AG679" s="42"/>
      <c r="AH679" s="42"/>
      <c r="AI679" s="42"/>
      <c r="AJ679" s="42"/>
    </row>
    <row r="680" spans="1:36" x14ac:dyDescent="0.2">
      <c r="A680" s="4503"/>
      <c r="B680" s="4504"/>
      <c r="C680" s="17">
        <v>1.6</v>
      </c>
      <c r="D680" s="17">
        <v>2</v>
      </c>
      <c r="E680" s="17">
        <v>2</v>
      </c>
      <c r="F680" s="17">
        <v>2</v>
      </c>
      <c r="G680" s="17">
        <v>2.5</v>
      </c>
      <c r="H680" s="17">
        <v>2.5</v>
      </c>
      <c r="I680" s="17">
        <v>2.5</v>
      </c>
      <c r="J680" s="3011"/>
      <c r="K680" s="17"/>
      <c r="L680" s="17"/>
      <c r="M680" s="175"/>
      <c r="N680" s="175"/>
      <c r="O680" s="175"/>
      <c r="P680" s="175"/>
      <c r="Q680" s="175"/>
      <c r="R680" s="47"/>
      <c r="S680" s="1"/>
      <c r="T680" s="1"/>
      <c r="W680" s="42"/>
      <c r="X680" s="42"/>
      <c r="Y680" s="42"/>
      <c r="Z680" s="42"/>
      <c r="AA680" s="42"/>
      <c r="AB680" s="42"/>
      <c r="AC680" s="42"/>
      <c r="AD680" s="42"/>
      <c r="AE680" s="42"/>
      <c r="AF680" s="42"/>
      <c r="AG680" s="42"/>
      <c r="AH680" s="42"/>
      <c r="AI680" s="42"/>
      <c r="AJ680" s="42"/>
    </row>
    <row r="681" spans="1:36" x14ac:dyDescent="0.2">
      <c r="A681" s="4476" t="s">
        <v>3988</v>
      </c>
      <c r="B681" s="4477"/>
      <c r="C681" s="17">
        <v>7.2</v>
      </c>
      <c r="D681" s="17">
        <v>9.3000000000000007</v>
      </c>
      <c r="E681" s="17"/>
      <c r="F681" s="17"/>
      <c r="G681" s="17">
        <v>7.2</v>
      </c>
      <c r="H681" s="17">
        <v>9.3000000000000007</v>
      </c>
      <c r="I681" s="17"/>
      <c r="J681" s="3011"/>
      <c r="K681" s="17"/>
      <c r="L681" s="17"/>
      <c r="M681" s="175"/>
      <c r="N681" s="175"/>
      <c r="O681" s="11"/>
      <c r="P681" s="175"/>
      <c r="Q681" s="175"/>
      <c r="R681" s="47"/>
      <c r="S681" s="1"/>
      <c r="T681" s="47"/>
      <c r="W681" s="42"/>
      <c r="X681" s="42"/>
      <c r="Y681" s="42"/>
      <c r="Z681" s="42"/>
      <c r="AA681" s="42"/>
      <c r="AB681" s="42"/>
      <c r="AC681" s="42"/>
      <c r="AD681" s="42"/>
      <c r="AE681" s="42"/>
      <c r="AF681" s="42"/>
      <c r="AG681" s="42"/>
      <c r="AH681" s="42"/>
      <c r="AI681" s="42"/>
      <c r="AJ681" s="42"/>
    </row>
    <row r="682" spans="1:36" x14ac:dyDescent="0.2">
      <c r="A682" s="4476" t="s">
        <v>3989</v>
      </c>
      <c r="B682" s="4477"/>
      <c r="C682" s="17">
        <v>6</v>
      </c>
      <c r="D682" s="17">
        <v>11</v>
      </c>
      <c r="E682" s="17">
        <v>12</v>
      </c>
      <c r="F682" s="17">
        <v>18</v>
      </c>
      <c r="G682" s="17">
        <v>14</v>
      </c>
      <c r="H682" s="17">
        <v>14</v>
      </c>
      <c r="I682" s="17">
        <v>14</v>
      </c>
      <c r="J682" s="3011"/>
      <c r="K682" s="17"/>
      <c r="L682" s="17"/>
      <c r="M682" s="191"/>
      <c r="N682" s="17"/>
      <c r="O682" s="17"/>
      <c r="P682" s="11"/>
      <c r="Q682" s="65"/>
      <c r="R682" s="43"/>
      <c r="S682" s="4389"/>
      <c r="T682" s="4389"/>
      <c r="W682" s="42"/>
      <c r="X682" s="42"/>
      <c r="Y682" s="42"/>
      <c r="Z682" s="42"/>
      <c r="AA682" s="42"/>
      <c r="AB682" s="42"/>
      <c r="AC682" s="42"/>
      <c r="AD682" s="42"/>
      <c r="AE682" s="42"/>
      <c r="AF682" s="42"/>
      <c r="AG682" s="42"/>
      <c r="AH682" s="42"/>
      <c r="AI682" s="42"/>
      <c r="AJ682" s="42"/>
    </row>
    <row r="683" spans="1:36" x14ac:dyDescent="0.2">
      <c r="A683" s="4476" t="s">
        <v>3990</v>
      </c>
      <c r="B683" s="4477"/>
      <c r="C683" s="17">
        <v>600</v>
      </c>
      <c r="D683" s="17">
        <v>600</v>
      </c>
      <c r="E683" s="17">
        <v>600</v>
      </c>
      <c r="F683" s="17">
        <v>500</v>
      </c>
      <c r="G683" s="17">
        <v>1200</v>
      </c>
      <c r="H683" s="17">
        <v>1200</v>
      </c>
      <c r="I683" s="17">
        <v>1500</v>
      </c>
      <c r="J683" s="3011"/>
      <c r="K683" s="17"/>
      <c r="L683" s="17"/>
      <c r="M683" s="65"/>
      <c r="N683" s="17"/>
      <c r="O683" s="17"/>
      <c r="P683" s="65"/>
      <c r="Q683" s="65"/>
      <c r="R683" s="43"/>
      <c r="S683" s="1"/>
      <c r="T683" s="43"/>
      <c r="W683" s="42"/>
      <c r="X683" s="42"/>
      <c r="Y683" s="42"/>
      <c r="Z683" s="42"/>
      <c r="AA683" s="42"/>
      <c r="AB683" s="42"/>
      <c r="AC683" s="42"/>
      <c r="AD683" s="42"/>
      <c r="AE683" s="42"/>
      <c r="AF683" s="42"/>
      <c r="AG683" s="42"/>
      <c r="AH683" s="42"/>
      <c r="AI683" s="42"/>
      <c r="AJ683" s="42"/>
    </row>
    <row r="684" spans="1:36" x14ac:dyDescent="0.2">
      <c r="A684" s="17" t="s">
        <v>6440</v>
      </c>
      <c r="B684" s="17"/>
      <c r="C684" s="17">
        <v>800</v>
      </c>
      <c r="D684" s="17">
        <v>800</v>
      </c>
      <c r="E684" s="17">
        <v>800</v>
      </c>
      <c r="F684" s="17">
        <v>1000</v>
      </c>
      <c r="G684" s="17">
        <v>1000</v>
      </c>
      <c r="H684" s="17">
        <v>1000</v>
      </c>
      <c r="I684" s="17">
        <v>1000</v>
      </c>
      <c r="J684" s="11"/>
      <c r="K684" s="11"/>
      <c r="L684" s="11"/>
      <c r="M684" s="11"/>
      <c r="N684" s="11"/>
      <c r="O684" s="11"/>
      <c r="P684" s="11"/>
      <c r="Q684" s="11"/>
      <c r="W684" s="42"/>
      <c r="X684" s="42"/>
      <c r="Y684" s="42"/>
      <c r="Z684" s="42"/>
      <c r="AA684" s="42"/>
      <c r="AB684" s="42"/>
      <c r="AC684" s="42"/>
      <c r="AD684" s="42"/>
      <c r="AE684" s="42"/>
      <c r="AF684" s="42"/>
      <c r="AG684" s="42"/>
      <c r="AH684" s="42"/>
      <c r="AI684" s="42"/>
      <c r="AJ684" s="42"/>
    </row>
    <row r="685" spans="1:36" ht="15.75" x14ac:dyDescent="0.25">
      <c r="A685" s="11"/>
      <c r="B685" s="844"/>
      <c r="C685" s="28"/>
      <c r="D685" s="28"/>
      <c r="E685" s="28"/>
      <c r="F685" s="28"/>
      <c r="G685" s="28"/>
      <c r="H685" s="11"/>
      <c r="I685" s="11"/>
      <c r="J685" s="11"/>
      <c r="K685" s="11"/>
      <c r="L685" s="11"/>
      <c r="M685" s="11"/>
      <c r="N685" s="11"/>
      <c r="O685" s="11"/>
      <c r="P685" s="11"/>
      <c r="Q685" s="11"/>
      <c r="W685" s="42"/>
      <c r="X685" s="42"/>
      <c r="Y685" s="42"/>
      <c r="Z685" s="42"/>
      <c r="AA685" s="42"/>
      <c r="AB685" s="42"/>
      <c r="AC685" s="42"/>
      <c r="AD685" s="42"/>
      <c r="AE685" s="42"/>
      <c r="AF685" s="42"/>
      <c r="AG685" s="42"/>
      <c r="AH685" s="42"/>
      <c r="AI685" s="42"/>
      <c r="AJ685" s="42"/>
    </row>
    <row r="686" spans="1:36" x14ac:dyDescent="0.2">
      <c r="A686" s="3914"/>
      <c r="B686" s="3915"/>
      <c r="C686" s="17"/>
      <c r="D686" s="17"/>
      <c r="E686" s="17"/>
      <c r="F686" s="17"/>
      <c r="G686" s="17"/>
      <c r="H686" s="17"/>
      <c r="I686" s="17"/>
      <c r="J686" s="11"/>
      <c r="K686" s="11"/>
      <c r="L686" s="11"/>
      <c r="M686" s="11"/>
      <c r="N686" s="11"/>
      <c r="O686" s="11"/>
      <c r="P686" s="11"/>
      <c r="Q686" s="11"/>
      <c r="W686" s="42"/>
      <c r="X686" s="42"/>
      <c r="Y686" s="42"/>
      <c r="Z686" s="42"/>
      <c r="AA686" s="42"/>
      <c r="AB686" s="42"/>
      <c r="AC686" s="42"/>
      <c r="AD686" s="42"/>
      <c r="AE686" s="42"/>
      <c r="AF686" s="42"/>
      <c r="AG686" s="42"/>
      <c r="AH686" s="42"/>
      <c r="AI686" s="42"/>
      <c r="AJ686" s="42"/>
    </row>
    <row r="687" spans="1:36" x14ac:dyDescent="0.2">
      <c r="A687" s="3913"/>
      <c r="B687" s="3916"/>
      <c r="C687" s="190"/>
      <c r="D687" s="190"/>
      <c r="E687" s="190"/>
      <c r="F687" s="190"/>
      <c r="G687" s="190"/>
      <c r="H687" s="190"/>
      <c r="I687" s="190"/>
      <c r="J687" s="11"/>
      <c r="K687" s="11"/>
      <c r="L687" s="11"/>
      <c r="M687" s="11"/>
      <c r="N687" s="11"/>
      <c r="O687" s="11"/>
      <c r="P687" s="11"/>
      <c r="Q687" s="11"/>
      <c r="W687" s="42"/>
      <c r="X687" s="42"/>
      <c r="Y687" s="42"/>
      <c r="Z687" s="42"/>
      <c r="AA687" s="42"/>
      <c r="AB687" s="42"/>
      <c r="AC687" s="42"/>
      <c r="AD687" s="42"/>
      <c r="AE687" s="42"/>
      <c r="AF687" s="42"/>
      <c r="AG687" s="42"/>
      <c r="AH687" s="42"/>
      <c r="AI687" s="42"/>
      <c r="AJ687" s="42"/>
    </row>
    <row r="688" spans="1:36" x14ac:dyDescent="0.2">
      <c r="A688" s="4476"/>
      <c r="B688" s="4477"/>
      <c r="C688" s="17"/>
      <c r="D688" s="17"/>
      <c r="E688" s="17"/>
      <c r="F688" s="17"/>
      <c r="G688" s="17"/>
      <c r="H688" s="17"/>
      <c r="I688" s="17"/>
      <c r="J688" s="11"/>
      <c r="K688" s="11"/>
      <c r="L688" s="11"/>
      <c r="M688" s="11"/>
      <c r="N688" s="11"/>
      <c r="O688" s="11"/>
      <c r="P688" s="11"/>
      <c r="Q688" s="11"/>
      <c r="W688" s="42"/>
      <c r="X688" s="42"/>
      <c r="Y688" s="42"/>
      <c r="Z688" s="42"/>
      <c r="AA688" s="42"/>
      <c r="AB688" s="42"/>
      <c r="AC688" s="42"/>
      <c r="AD688" s="42"/>
      <c r="AE688" s="42"/>
      <c r="AF688" s="42"/>
      <c r="AG688" s="42"/>
      <c r="AH688" s="42"/>
      <c r="AI688" s="42"/>
      <c r="AJ688" s="42"/>
    </row>
    <row r="689" spans="1:36" x14ac:dyDescent="0.2">
      <c r="A689" s="4476"/>
      <c r="B689" s="4477"/>
      <c r="C689" s="17"/>
      <c r="D689" s="17"/>
      <c r="E689" s="17"/>
      <c r="F689" s="17"/>
      <c r="G689" s="17"/>
      <c r="H689" s="17"/>
      <c r="I689" s="17"/>
      <c r="J689" s="11"/>
      <c r="K689" s="11"/>
      <c r="L689" s="11"/>
      <c r="M689" s="11"/>
      <c r="N689" s="11"/>
      <c r="O689" s="11"/>
      <c r="P689" s="11"/>
      <c r="Q689" s="11"/>
      <c r="W689" s="42"/>
      <c r="X689" s="42"/>
      <c r="Y689" s="42"/>
      <c r="Z689" s="42"/>
      <c r="AA689" s="42"/>
      <c r="AB689" s="42"/>
      <c r="AC689" s="42"/>
      <c r="AD689" s="42"/>
      <c r="AE689" s="42"/>
      <c r="AF689" s="42"/>
      <c r="AG689" s="42"/>
      <c r="AH689" s="42"/>
      <c r="AI689" s="42"/>
      <c r="AJ689" s="42"/>
    </row>
    <row r="690" spans="1:36" x14ac:dyDescent="0.2">
      <c r="A690" s="4476"/>
      <c r="B690" s="4477"/>
      <c r="C690" s="17"/>
      <c r="D690" s="17"/>
      <c r="E690" s="17"/>
      <c r="F690" s="17"/>
      <c r="G690" s="17"/>
      <c r="H690" s="17"/>
      <c r="I690" s="17"/>
      <c r="J690" s="11"/>
      <c r="K690" s="11"/>
      <c r="L690" s="11"/>
      <c r="M690" s="11"/>
      <c r="N690" s="11"/>
      <c r="O690" s="11"/>
      <c r="P690" s="11"/>
      <c r="Q690" s="11"/>
      <c r="W690" s="42"/>
      <c r="X690" s="42"/>
      <c r="Y690" s="42"/>
      <c r="Z690" s="42"/>
      <c r="AA690" s="42"/>
      <c r="AB690" s="42"/>
      <c r="AC690" s="42"/>
      <c r="AD690" s="42"/>
      <c r="AE690" s="42"/>
      <c r="AF690" s="42"/>
      <c r="AG690" s="42"/>
      <c r="AH690" s="42"/>
      <c r="AI690" s="42"/>
      <c r="AJ690" s="42"/>
    </row>
    <row r="691" spans="1:36" x14ac:dyDescent="0.2">
      <c r="A691" s="11"/>
      <c r="B691" s="11"/>
      <c r="C691" s="11"/>
      <c r="D691" s="11"/>
      <c r="E691" s="11"/>
      <c r="F691" s="11"/>
      <c r="G691" s="11"/>
      <c r="H691" s="11"/>
      <c r="I691" s="11"/>
      <c r="J691" s="11"/>
      <c r="K691" s="11"/>
      <c r="L691" s="11"/>
      <c r="M691" s="11"/>
      <c r="N691" s="11"/>
      <c r="O691" s="11"/>
      <c r="P691" s="11"/>
      <c r="Q691" s="11"/>
      <c r="W691" s="42"/>
      <c r="X691" s="42"/>
      <c r="Y691" s="42"/>
      <c r="Z691" s="42"/>
      <c r="AA691" s="42"/>
      <c r="AB691" s="42"/>
      <c r="AC691" s="42"/>
      <c r="AD691" s="42"/>
      <c r="AE691" s="42"/>
      <c r="AF691" s="42"/>
      <c r="AG691" s="42"/>
      <c r="AH691" s="42"/>
      <c r="AI691" s="42"/>
      <c r="AJ691" s="42"/>
    </row>
    <row r="692" spans="1:36" x14ac:dyDescent="0.2">
      <c r="A692" s="11"/>
      <c r="B692" s="11"/>
      <c r="C692" s="11"/>
      <c r="D692" s="11"/>
      <c r="E692" s="11"/>
      <c r="F692" s="11"/>
      <c r="G692" s="11"/>
      <c r="H692" s="11"/>
      <c r="I692" s="11"/>
      <c r="J692" s="11"/>
      <c r="K692" s="11"/>
      <c r="L692" s="11"/>
      <c r="M692" s="11"/>
      <c r="N692" s="11"/>
      <c r="O692" s="11"/>
      <c r="P692" s="11"/>
      <c r="Q692" s="11"/>
      <c r="W692" s="42"/>
      <c r="X692" s="42"/>
      <c r="Y692" s="42"/>
      <c r="Z692" s="42"/>
      <c r="AA692" s="42"/>
      <c r="AB692" s="42"/>
      <c r="AC692" s="42"/>
      <c r="AD692" s="42"/>
      <c r="AE692" s="42"/>
      <c r="AF692" s="42"/>
      <c r="AG692" s="42"/>
      <c r="AH692" s="42"/>
      <c r="AI692" s="42"/>
      <c r="AJ692" s="42"/>
    </row>
    <row r="693" spans="1:36" x14ac:dyDescent="0.2">
      <c r="A693" s="11"/>
      <c r="B693" s="11"/>
      <c r="C693" s="11"/>
      <c r="D693" s="11"/>
      <c r="E693" s="11"/>
      <c r="F693" s="11"/>
      <c r="G693" s="11"/>
      <c r="H693" s="11"/>
      <c r="I693" s="11"/>
      <c r="J693" s="11"/>
      <c r="K693" s="11"/>
      <c r="L693" s="11"/>
      <c r="M693" s="11"/>
      <c r="N693" s="11"/>
      <c r="O693" s="11"/>
      <c r="P693" s="11"/>
      <c r="Q693" s="11"/>
      <c r="W693" s="42"/>
      <c r="X693" s="42"/>
      <c r="Y693" s="42"/>
      <c r="Z693" s="42"/>
      <c r="AA693" s="42"/>
      <c r="AB693" s="42"/>
      <c r="AC693" s="42"/>
      <c r="AD693" s="42"/>
      <c r="AE693" s="42"/>
      <c r="AF693" s="42"/>
      <c r="AG693" s="42"/>
      <c r="AH693" s="42"/>
      <c r="AI693" s="42"/>
      <c r="AJ693" s="42"/>
    </row>
    <row r="694" spans="1:36" x14ac:dyDescent="0.2">
      <c r="A694" s="11"/>
      <c r="B694" s="11"/>
      <c r="C694" s="11"/>
      <c r="D694" s="11"/>
      <c r="E694" s="11"/>
      <c r="F694" s="11"/>
      <c r="G694" s="11"/>
      <c r="H694" s="11"/>
      <c r="I694" s="11"/>
      <c r="J694" s="11"/>
      <c r="K694" s="11"/>
      <c r="L694" s="11"/>
      <c r="M694" s="11"/>
      <c r="N694" s="11"/>
      <c r="O694" s="11"/>
      <c r="P694" s="11"/>
      <c r="Q694" s="11"/>
      <c r="W694" s="42"/>
      <c r="X694" s="42"/>
      <c r="Y694" s="42"/>
      <c r="Z694" s="42"/>
      <c r="AA694" s="42"/>
      <c r="AB694" s="42"/>
      <c r="AC694" s="42"/>
      <c r="AD694" s="42"/>
      <c r="AE694" s="42"/>
      <c r="AF694" s="42"/>
      <c r="AG694" s="42"/>
      <c r="AH694" s="42"/>
      <c r="AI694" s="42"/>
      <c r="AJ694" s="42"/>
    </row>
    <row r="695" spans="1:36" x14ac:dyDescent="0.2">
      <c r="A695" s="11"/>
      <c r="B695" s="11"/>
      <c r="C695" s="11"/>
      <c r="D695" s="11"/>
      <c r="E695" s="11"/>
      <c r="F695" s="11"/>
      <c r="G695" s="11"/>
      <c r="H695" s="11"/>
      <c r="I695" s="11"/>
      <c r="J695" s="11"/>
      <c r="K695" s="11"/>
      <c r="L695" s="11"/>
      <c r="M695" s="11"/>
      <c r="N695" s="11"/>
      <c r="O695" s="11"/>
      <c r="P695" s="11"/>
      <c r="Q695" s="11"/>
      <c r="W695" s="42"/>
      <c r="X695" s="42"/>
      <c r="Y695" s="42"/>
      <c r="Z695" s="42"/>
      <c r="AA695" s="42"/>
      <c r="AB695" s="42"/>
      <c r="AC695" s="42"/>
      <c r="AD695" s="42"/>
      <c r="AE695" s="42"/>
      <c r="AF695" s="42"/>
      <c r="AG695" s="42"/>
      <c r="AH695" s="42"/>
      <c r="AI695" s="42"/>
      <c r="AJ695" s="42"/>
    </row>
    <row r="696" spans="1:36" x14ac:dyDescent="0.2">
      <c r="A696" s="11"/>
      <c r="B696" s="11"/>
      <c r="C696" s="11"/>
      <c r="D696" s="11"/>
      <c r="E696" s="11"/>
      <c r="F696" s="11"/>
      <c r="G696" s="11"/>
      <c r="H696" s="11"/>
      <c r="I696" s="11"/>
      <c r="J696" s="11"/>
      <c r="K696" s="11"/>
      <c r="L696" s="11"/>
      <c r="M696" s="11"/>
      <c r="N696" s="11"/>
      <c r="O696" s="11"/>
      <c r="P696" s="11"/>
      <c r="Q696" s="11"/>
      <c r="W696" s="42"/>
      <c r="X696" s="42"/>
      <c r="Y696" s="42"/>
      <c r="Z696" s="42"/>
      <c r="AA696" s="42"/>
      <c r="AB696" s="42"/>
      <c r="AC696" s="42"/>
      <c r="AD696" s="42"/>
      <c r="AE696" s="42"/>
      <c r="AF696" s="42"/>
      <c r="AG696" s="42"/>
      <c r="AH696" s="42"/>
      <c r="AI696" s="42"/>
      <c r="AJ696" s="42"/>
    </row>
    <row r="697" spans="1:36" x14ac:dyDescent="0.2">
      <c r="A697" s="11"/>
      <c r="B697" s="11"/>
      <c r="C697" s="11"/>
      <c r="D697" s="11"/>
      <c r="E697" s="11"/>
      <c r="F697" s="11"/>
      <c r="G697" s="11"/>
      <c r="H697" s="11"/>
      <c r="I697" s="11"/>
      <c r="J697" s="11"/>
      <c r="K697" s="11"/>
      <c r="L697" s="11"/>
      <c r="M697" s="11"/>
      <c r="N697" s="11"/>
      <c r="O697" s="11"/>
      <c r="P697" s="11"/>
      <c r="Q697" s="11"/>
      <c r="W697" s="42"/>
      <c r="X697" s="42"/>
      <c r="Y697" s="42"/>
      <c r="Z697" s="42"/>
      <c r="AA697" s="42"/>
      <c r="AB697" s="42"/>
      <c r="AC697" s="42"/>
      <c r="AD697" s="42"/>
      <c r="AE697" s="42"/>
      <c r="AF697" s="42"/>
      <c r="AG697" s="42"/>
      <c r="AH697" s="42"/>
      <c r="AI697" s="42"/>
      <c r="AJ697" s="42"/>
    </row>
    <row r="698" spans="1:36" x14ac:dyDescent="0.2">
      <c r="A698" s="11"/>
      <c r="B698" s="11"/>
      <c r="C698" s="11"/>
      <c r="D698" s="11"/>
      <c r="E698" s="11"/>
      <c r="F698" s="11"/>
      <c r="G698" s="11"/>
      <c r="H698" s="11"/>
      <c r="I698" s="11"/>
      <c r="J698" s="11"/>
      <c r="K698" s="11"/>
      <c r="L698" s="11"/>
      <c r="M698" s="11"/>
      <c r="N698" s="11"/>
      <c r="O698" s="11"/>
      <c r="P698" s="11"/>
      <c r="Q698" s="11"/>
      <c r="W698" s="42"/>
      <c r="X698" s="42"/>
      <c r="Y698" s="42"/>
      <c r="Z698" s="42"/>
      <c r="AA698" s="42"/>
      <c r="AB698" s="42"/>
      <c r="AC698" s="42"/>
      <c r="AD698" s="42"/>
      <c r="AE698" s="42"/>
      <c r="AF698" s="42"/>
      <c r="AG698" s="42"/>
      <c r="AH698" s="42"/>
      <c r="AI698" s="42"/>
      <c r="AJ698" s="42"/>
    </row>
    <row r="699" spans="1:36" x14ac:dyDescent="0.2">
      <c r="A699" s="11"/>
      <c r="B699" s="11"/>
      <c r="C699" s="11"/>
      <c r="D699" s="11"/>
      <c r="E699" s="11"/>
      <c r="F699" s="11"/>
      <c r="G699" s="11"/>
      <c r="H699" s="11"/>
      <c r="I699" s="11"/>
      <c r="J699" s="11"/>
      <c r="K699" s="11"/>
      <c r="L699" s="11"/>
      <c r="M699" s="11"/>
      <c r="N699" s="11"/>
      <c r="O699" s="11"/>
      <c r="P699" s="11"/>
      <c r="Q699" s="11"/>
      <c r="W699" s="42"/>
      <c r="X699" s="42"/>
      <c r="Y699" s="42"/>
      <c r="Z699" s="42"/>
      <c r="AA699" s="42"/>
      <c r="AB699" s="42"/>
      <c r="AC699" s="42"/>
      <c r="AD699" s="42"/>
      <c r="AE699" s="42"/>
      <c r="AF699" s="42"/>
      <c r="AG699" s="42"/>
      <c r="AH699" s="42"/>
      <c r="AI699" s="42"/>
      <c r="AJ699" s="42"/>
    </row>
    <row r="700" spans="1:36" x14ac:dyDescent="0.2">
      <c r="A700" s="11"/>
      <c r="B700" s="11"/>
      <c r="C700" s="11"/>
      <c r="D700" s="11"/>
      <c r="E700" s="11"/>
      <c r="F700" s="11"/>
      <c r="G700" s="11"/>
      <c r="H700" s="11"/>
      <c r="I700" s="11"/>
      <c r="J700" s="11"/>
      <c r="K700" s="11"/>
      <c r="L700" s="11"/>
      <c r="M700" s="11"/>
      <c r="N700" s="11"/>
      <c r="O700" s="11"/>
      <c r="P700" s="11"/>
      <c r="Q700" s="11"/>
      <c r="W700" s="42"/>
      <c r="X700" s="42"/>
      <c r="Y700" s="42"/>
      <c r="Z700" s="42"/>
      <c r="AA700" s="42"/>
      <c r="AB700" s="42"/>
      <c r="AC700" s="42"/>
      <c r="AD700" s="42"/>
      <c r="AE700" s="42"/>
      <c r="AF700" s="42"/>
      <c r="AG700" s="42"/>
      <c r="AH700" s="42"/>
      <c r="AI700" s="42"/>
      <c r="AJ700" s="42"/>
    </row>
    <row r="701" spans="1:36" x14ac:dyDescent="0.2">
      <c r="A701" s="11"/>
      <c r="B701" s="11"/>
      <c r="C701" s="11"/>
      <c r="D701" s="11"/>
      <c r="E701" s="11"/>
      <c r="F701" s="11"/>
      <c r="G701" s="11"/>
      <c r="H701" s="11"/>
      <c r="I701" s="11"/>
      <c r="J701" s="11"/>
      <c r="K701" s="11"/>
      <c r="L701" s="11"/>
      <c r="M701" s="62"/>
      <c r="N701" s="11"/>
      <c r="O701" s="11"/>
      <c r="P701" s="11"/>
      <c r="Q701" s="11"/>
      <c r="W701" s="42"/>
      <c r="X701" s="42"/>
      <c r="Y701" s="42"/>
      <c r="Z701" s="42"/>
      <c r="AA701" s="42"/>
      <c r="AB701" s="42"/>
      <c r="AC701" s="42"/>
      <c r="AD701" s="42"/>
      <c r="AE701" s="42"/>
      <c r="AF701" s="42"/>
      <c r="AG701" s="42"/>
      <c r="AH701" s="42"/>
      <c r="AI701" s="42"/>
      <c r="AJ701" s="42"/>
    </row>
    <row r="702" spans="1:36" x14ac:dyDescent="0.2">
      <c r="A702" s="11"/>
      <c r="B702" s="11"/>
      <c r="C702" s="11"/>
      <c r="D702" s="11"/>
      <c r="E702" s="11"/>
      <c r="F702" s="11"/>
      <c r="G702" s="11"/>
      <c r="H702" s="11"/>
      <c r="I702" s="11"/>
      <c r="J702" s="11"/>
      <c r="K702" s="11"/>
      <c r="L702" s="11"/>
      <c r="M702" s="11"/>
      <c r="N702" s="11"/>
      <c r="O702" s="11"/>
      <c r="P702" s="11"/>
      <c r="Q702" s="11"/>
      <c r="W702" s="42"/>
      <c r="X702" s="42"/>
      <c r="Y702" s="42"/>
      <c r="Z702" s="42"/>
      <c r="AA702" s="42"/>
      <c r="AB702" s="42"/>
      <c r="AC702" s="42"/>
      <c r="AD702" s="42"/>
      <c r="AE702" s="42"/>
      <c r="AF702" s="42"/>
      <c r="AG702" s="42"/>
      <c r="AH702" s="42"/>
      <c r="AI702" s="42"/>
      <c r="AJ702" s="42"/>
    </row>
    <row r="703" spans="1:36" x14ac:dyDescent="0.2">
      <c r="A703" s="11"/>
      <c r="B703" s="11"/>
      <c r="C703" s="11"/>
      <c r="D703" s="11"/>
      <c r="E703" s="11"/>
      <c r="F703" s="11"/>
      <c r="G703" s="11"/>
      <c r="H703" s="11"/>
      <c r="I703" s="11"/>
      <c r="J703" s="11"/>
      <c r="K703" s="11"/>
      <c r="L703" s="11"/>
      <c r="M703" s="11"/>
      <c r="N703" s="11"/>
      <c r="O703" s="11"/>
      <c r="P703" s="11"/>
      <c r="Q703" s="11"/>
      <c r="W703" s="42"/>
      <c r="X703" s="42"/>
      <c r="Y703" s="42"/>
      <c r="Z703" s="42"/>
      <c r="AA703" s="42"/>
      <c r="AB703" s="42"/>
      <c r="AC703" s="42"/>
      <c r="AD703" s="42"/>
      <c r="AE703" s="42"/>
      <c r="AF703" s="42"/>
      <c r="AG703" s="42"/>
      <c r="AH703" s="42"/>
      <c r="AI703" s="42"/>
      <c r="AJ703" s="42"/>
    </row>
    <row r="704" spans="1:36" x14ac:dyDescent="0.2">
      <c r="A704" s="11"/>
      <c r="B704" s="11"/>
      <c r="C704" s="11"/>
      <c r="D704" s="11"/>
      <c r="E704" s="11"/>
      <c r="F704" s="11"/>
      <c r="G704" s="11"/>
      <c r="H704" s="11"/>
      <c r="I704" s="11"/>
      <c r="J704" s="11"/>
      <c r="K704" s="11"/>
      <c r="L704" s="11"/>
      <c r="M704" s="11"/>
      <c r="N704" s="11"/>
      <c r="O704" s="11"/>
      <c r="P704" s="11"/>
      <c r="Q704" s="11"/>
      <c r="W704" s="42"/>
      <c r="X704" s="42"/>
      <c r="Y704" s="42"/>
      <c r="Z704" s="42"/>
      <c r="AA704" s="42"/>
      <c r="AB704" s="42"/>
      <c r="AC704" s="42"/>
      <c r="AD704" s="42"/>
      <c r="AE704" s="42"/>
      <c r="AF704" s="42"/>
      <c r="AG704" s="42"/>
      <c r="AH704" s="42"/>
      <c r="AI704" s="42"/>
      <c r="AJ704" s="42"/>
    </row>
    <row r="705" spans="1:36" x14ac:dyDescent="0.2">
      <c r="A705" s="11"/>
      <c r="B705" s="11"/>
      <c r="C705" s="11"/>
      <c r="D705" s="11"/>
      <c r="E705" s="11"/>
      <c r="F705" s="11"/>
      <c r="G705" s="11"/>
      <c r="H705" s="11"/>
      <c r="I705" s="11"/>
      <c r="J705" s="11"/>
      <c r="K705" s="11"/>
      <c r="L705" s="11"/>
      <c r="M705" s="11"/>
      <c r="N705" s="11"/>
      <c r="O705" s="11"/>
      <c r="P705" s="11"/>
      <c r="Q705" s="11"/>
      <c r="W705" s="42"/>
      <c r="X705" s="42"/>
      <c r="Y705" s="42"/>
      <c r="Z705" s="42"/>
      <c r="AA705" s="42"/>
      <c r="AB705" s="42"/>
      <c r="AC705" s="42"/>
      <c r="AD705" s="42"/>
      <c r="AE705" s="42"/>
      <c r="AF705" s="42"/>
      <c r="AG705" s="42"/>
      <c r="AH705" s="42"/>
      <c r="AI705" s="42"/>
      <c r="AJ705" s="42"/>
    </row>
    <row r="706" spans="1:36" ht="16.5" thickBot="1" x14ac:dyDescent="0.3">
      <c r="A706" s="11"/>
      <c r="B706" s="11"/>
      <c r="C706" s="11"/>
      <c r="D706" s="11"/>
      <c r="E706" s="31" t="s">
        <v>1012</v>
      </c>
      <c r="F706" s="11"/>
      <c r="G706" s="11"/>
      <c r="H706" s="11"/>
      <c r="I706" s="11"/>
      <c r="J706" s="11"/>
      <c r="K706" s="11"/>
      <c r="L706" s="11"/>
      <c r="M706" s="11"/>
      <c r="N706" s="11"/>
      <c r="O706" s="11"/>
      <c r="P706" s="11"/>
      <c r="Q706" s="11"/>
      <c r="W706" s="42"/>
      <c r="X706" s="42"/>
      <c r="Y706" s="42"/>
      <c r="Z706" s="42"/>
      <c r="AA706" s="42"/>
      <c r="AB706" s="42"/>
      <c r="AC706" s="42"/>
      <c r="AD706" s="42"/>
      <c r="AE706" s="42"/>
      <c r="AF706" s="42"/>
      <c r="AG706" s="42"/>
      <c r="AH706" s="42"/>
      <c r="AI706" s="42"/>
      <c r="AJ706" s="42"/>
    </row>
    <row r="707" spans="1:36" ht="13.5" thickBot="1" x14ac:dyDescent="0.25">
      <c r="A707" s="11"/>
      <c r="B707" s="11"/>
      <c r="C707" s="4420" t="s">
        <v>1863</v>
      </c>
      <c r="D707" s="4380" t="s">
        <v>1864</v>
      </c>
      <c r="E707" s="4356" t="s">
        <v>1865</v>
      </c>
      <c r="F707" s="4379"/>
      <c r="G707" s="4380"/>
      <c r="H707" s="4416" t="s">
        <v>1866</v>
      </c>
      <c r="I707" s="4417"/>
      <c r="J707" s="4417"/>
      <c r="K707" s="4417"/>
      <c r="L707" s="4356" t="s">
        <v>1867</v>
      </c>
      <c r="M707" s="4357"/>
      <c r="N707" s="11"/>
      <c r="O707" s="11"/>
      <c r="P707" s="11"/>
      <c r="Q707" s="11"/>
      <c r="W707" s="42"/>
      <c r="X707" s="42"/>
      <c r="Y707" s="42"/>
      <c r="Z707" s="42"/>
      <c r="AA707" s="42"/>
      <c r="AB707" s="42"/>
      <c r="AC707" s="42"/>
      <c r="AD707" s="42"/>
      <c r="AE707" s="42"/>
      <c r="AF707" s="42"/>
      <c r="AG707" s="42"/>
      <c r="AH707" s="42"/>
      <c r="AI707" s="42"/>
      <c r="AJ707" s="42"/>
    </row>
    <row r="708" spans="1:36" x14ac:dyDescent="0.2">
      <c r="A708" s="11"/>
      <c r="B708" s="11"/>
      <c r="C708" s="4421"/>
      <c r="D708" s="4382"/>
      <c r="E708" s="4358"/>
      <c r="F708" s="4381"/>
      <c r="G708" s="4382"/>
      <c r="H708" s="4365" t="s">
        <v>1868</v>
      </c>
      <c r="I708" s="4423"/>
      <c r="J708" s="4365" t="s">
        <v>1869</v>
      </c>
      <c r="K708" s="4366"/>
      <c r="L708" s="4358"/>
      <c r="M708" s="4359"/>
      <c r="N708" s="11"/>
      <c r="O708" s="62"/>
      <c r="P708" s="62"/>
      <c r="Q708" s="62"/>
      <c r="R708" s="42"/>
      <c r="S708" s="42"/>
      <c r="T708" s="42"/>
      <c r="U708" s="42"/>
      <c r="V708" s="42"/>
      <c r="W708" s="42"/>
      <c r="X708" s="42"/>
      <c r="Y708" s="42"/>
      <c r="Z708" s="42"/>
      <c r="AA708" s="42"/>
      <c r="AB708" s="42"/>
      <c r="AC708" s="42"/>
      <c r="AD708" s="42"/>
      <c r="AE708" s="42"/>
      <c r="AF708" s="42"/>
      <c r="AG708" s="42"/>
      <c r="AH708" s="42"/>
      <c r="AI708" s="42"/>
      <c r="AJ708" s="42"/>
    </row>
    <row r="709" spans="1:36" ht="13.5" thickBot="1" x14ac:dyDescent="0.25">
      <c r="A709" s="11"/>
      <c r="B709" s="11"/>
      <c r="C709" s="4422"/>
      <c r="D709" s="4361"/>
      <c r="E709" s="4360"/>
      <c r="F709" s="4383"/>
      <c r="G709" s="4384"/>
      <c r="H709" s="4367"/>
      <c r="I709" s="4424"/>
      <c r="J709" s="4367"/>
      <c r="K709" s="4368"/>
      <c r="L709" s="4360"/>
      <c r="M709" s="4361"/>
      <c r="N709" s="11"/>
      <c r="O709" s="62"/>
      <c r="P709" s="62"/>
      <c r="Q709" s="62"/>
      <c r="R709" s="42"/>
      <c r="S709" s="42"/>
      <c r="T709" s="42"/>
      <c r="U709" s="42"/>
      <c r="V709" s="42"/>
      <c r="W709" s="42"/>
      <c r="X709" s="42"/>
      <c r="Y709" s="42"/>
      <c r="Z709" s="42"/>
      <c r="AA709" s="42"/>
      <c r="AB709" s="42"/>
      <c r="AC709" s="42"/>
      <c r="AD709" s="42"/>
      <c r="AE709" s="42"/>
      <c r="AF709" s="42"/>
      <c r="AG709" s="42"/>
      <c r="AH709" s="42"/>
      <c r="AI709" s="42"/>
      <c r="AJ709" s="42"/>
    </row>
    <row r="710" spans="1:36" ht="15.75" x14ac:dyDescent="0.2">
      <c r="A710" s="11"/>
      <c r="B710" s="11"/>
      <c r="C710" s="192">
        <v>1</v>
      </c>
      <c r="D710" s="193" t="s">
        <v>3458</v>
      </c>
      <c r="E710" s="4376" t="s">
        <v>1870</v>
      </c>
      <c r="F710" s="4377"/>
      <c r="G710" s="4378"/>
      <c r="H710" s="4369" t="s">
        <v>1239</v>
      </c>
      <c r="I710" s="4370"/>
      <c r="J710" s="4371" t="s">
        <v>1240</v>
      </c>
      <c r="K710" s="4372"/>
      <c r="L710" s="4407" t="s">
        <v>3970</v>
      </c>
      <c r="M710" s="4407"/>
      <c r="N710" s="11"/>
      <c r="O710" s="62"/>
      <c r="P710" s="62"/>
      <c r="Q710" s="62"/>
      <c r="R710" s="42"/>
      <c r="S710" s="42"/>
      <c r="T710" s="42"/>
      <c r="U710" s="42"/>
      <c r="V710" s="42"/>
      <c r="W710" s="42"/>
      <c r="X710" s="42"/>
      <c r="Y710" s="42"/>
      <c r="Z710" s="42"/>
      <c r="AA710" s="42"/>
      <c r="AB710" s="42"/>
      <c r="AC710" s="42"/>
      <c r="AD710" s="42"/>
      <c r="AE710" s="42"/>
      <c r="AF710" s="42"/>
      <c r="AG710" s="42"/>
      <c r="AH710" s="42"/>
      <c r="AI710" s="42"/>
      <c r="AJ710" s="42"/>
    </row>
    <row r="711" spans="1:36" ht="15.75" x14ac:dyDescent="0.2">
      <c r="A711" s="11"/>
      <c r="B711" s="11"/>
      <c r="C711" s="194">
        <v>2</v>
      </c>
      <c r="D711" s="195" t="s">
        <v>3459</v>
      </c>
      <c r="E711" s="4350" t="s">
        <v>1871</v>
      </c>
      <c r="F711" s="4351"/>
      <c r="G711" s="4352"/>
      <c r="H711" s="4401" t="s">
        <v>1241</v>
      </c>
      <c r="I711" s="4402"/>
      <c r="J711" s="4346" t="s">
        <v>1242</v>
      </c>
      <c r="K711" s="4347"/>
      <c r="L711" s="4345" t="s">
        <v>3971</v>
      </c>
      <c r="M711" s="4345"/>
      <c r="N711" s="11"/>
      <c r="O711" s="62"/>
      <c r="P711" s="62"/>
      <c r="Q711" s="62"/>
      <c r="R711" s="42"/>
      <c r="S711" s="42"/>
      <c r="T711" s="42"/>
      <c r="U711" s="42"/>
      <c r="V711" s="42"/>
      <c r="W711" s="42"/>
      <c r="X711" s="42"/>
      <c r="Y711" s="42"/>
      <c r="Z711" s="42"/>
      <c r="AA711" s="42"/>
      <c r="AB711" s="42"/>
      <c r="AC711" s="42"/>
      <c r="AD711" s="42"/>
      <c r="AE711" s="42"/>
      <c r="AF711" s="42"/>
      <c r="AG711" s="42"/>
      <c r="AH711" s="42"/>
      <c r="AI711" s="42"/>
      <c r="AJ711" s="42"/>
    </row>
    <row r="712" spans="1:36" ht="15.75" x14ac:dyDescent="0.2">
      <c r="A712" s="11"/>
      <c r="B712" s="11"/>
      <c r="C712" s="194">
        <v>3</v>
      </c>
      <c r="D712" s="195" t="s">
        <v>3460</v>
      </c>
      <c r="E712" s="4350" t="s">
        <v>1872</v>
      </c>
      <c r="F712" s="4351"/>
      <c r="G712" s="4352"/>
      <c r="H712" s="4401" t="s">
        <v>1243</v>
      </c>
      <c r="I712" s="4402"/>
      <c r="J712" s="4346" t="s">
        <v>1244</v>
      </c>
      <c r="K712" s="4347"/>
      <c r="L712" s="4345" t="s">
        <v>3974</v>
      </c>
      <c r="M712" s="4345"/>
      <c r="N712" s="11"/>
      <c r="O712" s="62"/>
      <c r="P712" s="62"/>
      <c r="Q712" s="62"/>
      <c r="R712" s="42"/>
      <c r="S712" s="42"/>
      <c r="T712" s="42"/>
      <c r="U712" s="42"/>
      <c r="V712" s="42"/>
      <c r="W712" s="42"/>
      <c r="X712" s="42"/>
      <c r="Y712" s="42"/>
      <c r="Z712" s="42"/>
      <c r="AA712" s="42"/>
      <c r="AB712" s="42"/>
      <c r="AC712" s="42"/>
      <c r="AD712" s="42"/>
      <c r="AE712" s="42"/>
      <c r="AF712" s="42"/>
      <c r="AG712" s="42"/>
      <c r="AH712" s="42"/>
      <c r="AI712" s="42"/>
      <c r="AJ712" s="42"/>
    </row>
    <row r="713" spans="1:36" ht="15.75" x14ac:dyDescent="0.2">
      <c r="A713" s="11"/>
      <c r="B713" s="11"/>
      <c r="C713" s="194">
        <v>4</v>
      </c>
      <c r="D713" s="195" t="s">
        <v>3461</v>
      </c>
      <c r="E713" s="4350" t="s">
        <v>3175</v>
      </c>
      <c r="F713" s="4351"/>
      <c r="G713" s="4352"/>
      <c r="H713" s="4401" t="s">
        <v>1245</v>
      </c>
      <c r="I713" s="4402"/>
      <c r="J713" s="4346" t="s">
        <v>1246</v>
      </c>
      <c r="K713" s="4347"/>
      <c r="L713" s="4345" t="s">
        <v>3975</v>
      </c>
      <c r="M713" s="4345"/>
      <c r="N713" s="11"/>
      <c r="O713" s="62"/>
      <c r="P713" s="62"/>
      <c r="Q713" s="62"/>
      <c r="R713" s="42"/>
      <c r="S713" s="42"/>
      <c r="T713" s="42"/>
      <c r="U713" s="42"/>
      <c r="V713" s="42"/>
      <c r="W713" s="42"/>
      <c r="X713" s="42"/>
      <c r="Y713" s="42"/>
      <c r="Z713" s="42"/>
      <c r="AA713" s="42"/>
      <c r="AB713" s="42"/>
      <c r="AC713" s="42"/>
      <c r="AD713" s="42"/>
      <c r="AE713" s="42"/>
      <c r="AF713" s="42"/>
      <c r="AG713" s="42"/>
      <c r="AH713" s="42"/>
      <c r="AI713" s="42"/>
      <c r="AJ713" s="42"/>
    </row>
    <row r="714" spans="1:36" ht="15.75" x14ac:dyDescent="0.2">
      <c r="A714" s="11"/>
      <c r="B714" s="11"/>
      <c r="C714" s="194">
        <v>5</v>
      </c>
      <c r="D714" s="195" t="s">
        <v>3462</v>
      </c>
      <c r="E714" s="4350" t="s">
        <v>4925</v>
      </c>
      <c r="F714" s="4351"/>
      <c r="G714" s="4352"/>
      <c r="H714" s="4346" t="s">
        <v>4926</v>
      </c>
      <c r="I714" s="4347"/>
      <c r="J714" s="4347"/>
      <c r="K714" s="4348"/>
      <c r="L714" s="4345" t="s">
        <v>3976</v>
      </c>
      <c r="M714" s="4345"/>
      <c r="N714" s="11"/>
      <c r="O714" s="11"/>
      <c r="P714" s="11"/>
      <c r="Q714" s="62"/>
      <c r="R714" s="42"/>
      <c r="S714" s="42"/>
      <c r="T714" s="42"/>
      <c r="U714" s="42"/>
      <c r="V714" s="42"/>
      <c r="W714" s="42"/>
      <c r="X714" s="42"/>
      <c r="Y714" s="42"/>
      <c r="Z714" s="42"/>
      <c r="AA714" s="42"/>
      <c r="AB714" s="42"/>
      <c r="AC714" s="42"/>
      <c r="AD714" s="42"/>
      <c r="AE714" s="42"/>
      <c r="AF714" s="42"/>
      <c r="AG714" s="42"/>
      <c r="AH714" s="42"/>
      <c r="AI714" s="42"/>
      <c r="AJ714" s="42"/>
    </row>
    <row r="715" spans="1:36" x14ac:dyDescent="0.2">
      <c r="A715" s="11"/>
      <c r="B715" s="11"/>
      <c r="C715" s="11"/>
      <c r="D715" s="11"/>
      <c r="E715" s="11"/>
      <c r="F715" s="11"/>
      <c r="G715" s="11"/>
      <c r="H715" s="11"/>
      <c r="I715" s="11"/>
      <c r="J715" s="11"/>
      <c r="K715" s="11"/>
      <c r="L715" s="11"/>
      <c r="M715" s="11"/>
      <c r="N715" s="11"/>
      <c r="O715" s="62"/>
      <c r="P715" s="62"/>
      <c r="Q715" s="62"/>
      <c r="R715" s="42"/>
      <c r="S715" s="42"/>
      <c r="T715" s="42"/>
      <c r="U715" s="42"/>
      <c r="V715" s="42"/>
      <c r="W715" s="42"/>
      <c r="X715" s="42"/>
      <c r="Y715" s="42"/>
      <c r="Z715" s="42"/>
      <c r="AA715" s="42"/>
      <c r="AB715" s="42"/>
      <c r="AC715" s="42"/>
      <c r="AD715" s="42"/>
      <c r="AE715" s="42"/>
      <c r="AF715" s="42"/>
      <c r="AG715" s="42"/>
      <c r="AH715" s="42"/>
      <c r="AI715" s="42"/>
      <c r="AJ715" s="42"/>
    </row>
  </sheetData>
  <mergeCells count="207">
    <mergeCell ref="L710:M710"/>
    <mergeCell ref="J708:K709"/>
    <mergeCell ref="E710:G710"/>
    <mergeCell ref="H710:I710"/>
    <mergeCell ref="J710:K710"/>
    <mergeCell ref="L707:M709"/>
    <mergeCell ref="E714:G714"/>
    <mergeCell ref="H714:K714"/>
    <mergeCell ref="L714:M714"/>
    <mergeCell ref="E713:G713"/>
    <mergeCell ref="H713:I713"/>
    <mergeCell ref="J713:K713"/>
    <mergeCell ref="L713:M713"/>
    <mergeCell ref="E711:G711"/>
    <mergeCell ref="H711:I711"/>
    <mergeCell ref="J711:K711"/>
    <mergeCell ref="L711:M711"/>
    <mergeCell ref="E712:G712"/>
    <mergeCell ref="H712:I712"/>
    <mergeCell ref="J712:K712"/>
    <mergeCell ref="L712:M712"/>
    <mergeCell ref="H708:I709"/>
    <mergeCell ref="H707:K707"/>
    <mergeCell ref="C707:C709"/>
    <mergeCell ref="D707:D709"/>
    <mergeCell ref="E707:G709"/>
    <mergeCell ref="S682:T682"/>
    <mergeCell ref="Q603:Q604"/>
    <mergeCell ref="R603:R604"/>
    <mergeCell ref="S603:S604"/>
    <mergeCell ref="S676:T676"/>
    <mergeCell ref="P603:P604"/>
    <mergeCell ref="B603:F603"/>
    <mergeCell ref="G603:I603"/>
    <mergeCell ref="J603:K603"/>
    <mergeCell ref="F623:F624"/>
    <mergeCell ref="G623:G624"/>
    <mergeCell ref="L603:M603"/>
    <mergeCell ref="B623:C623"/>
    <mergeCell ref="A682:B682"/>
    <mergeCell ref="A677:B680"/>
    <mergeCell ref="A688:B688"/>
    <mergeCell ref="A689:B689"/>
    <mergeCell ref="A690:B690"/>
    <mergeCell ref="B535:G535"/>
    <mergeCell ref="B536:M536"/>
    <mergeCell ref="B543:G543"/>
    <mergeCell ref="I552:I553"/>
    <mergeCell ref="A683:B683"/>
    <mergeCell ref="A681:B681"/>
    <mergeCell ref="C677:Q677"/>
    <mergeCell ref="C679:Q679"/>
    <mergeCell ref="N588:N592"/>
    <mergeCell ref="B593:F598"/>
    <mergeCell ref="G593:G598"/>
    <mergeCell ref="N593:N598"/>
    <mergeCell ref="N603:N604"/>
    <mergeCell ref="O603:O604"/>
    <mergeCell ref="B599:F599"/>
    <mergeCell ref="B670:G670"/>
    <mergeCell ref="B671:G671"/>
    <mergeCell ref="A676:B676"/>
    <mergeCell ref="A603:A604"/>
    <mergeCell ref="A623:A624"/>
    <mergeCell ref="D623:D624"/>
    <mergeCell ref="E623:E624"/>
    <mergeCell ref="B519:G519"/>
    <mergeCell ref="B520:G520"/>
    <mergeCell ref="B521:G521"/>
    <mergeCell ref="B522:G522"/>
    <mergeCell ref="A555:A556"/>
    <mergeCell ref="B555:C555"/>
    <mergeCell ref="D555:E555"/>
    <mergeCell ref="F555:G555"/>
    <mergeCell ref="B588:F592"/>
    <mergeCell ref="G588:G592"/>
    <mergeCell ref="B523:G523"/>
    <mergeCell ref="B527:G527"/>
    <mergeCell ref="B528:G528"/>
    <mergeCell ref="A552:A553"/>
    <mergeCell ref="B552:B553"/>
    <mergeCell ref="C552:C553"/>
    <mergeCell ref="D552:H552"/>
    <mergeCell ref="B531:G531"/>
    <mergeCell ref="B532:M532"/>
    <mergeCell ref="B525:G525"/>
    <mergeCell ref="B526:G526"/>
    <mergeCell ref="B524:G524"/>
    <mergeCell ref="H555:I555"/>
    <mergeCell ref="B587:F587"/>
    <mergeCell ref="B480:G480"/>
    <mergeCell ref="B482:G482"/>
    <mergeCell ref="B488:G488"/>
    <mergeCell ref="C460:G460"/>
    <mergeCell ref="B496:G496"/>
    <mergeCell ref="B497:G497"/>
    <mergeCell ref="B517:G517"/>
    <mergeCell ref="B518:G518"/>
    <mergeCell ref="B504:G504"/>
    <mergeCell ref="B505:G505"/>
    <mergeCell ref="B506:G506"/>
    <mergeCell ref="B508:G508"/>
    <mergeCell ref="B509:G509"/>
    <mergeCell ref="B510:G510"/>
    <mergeCell ref="B498:G498"/>
    <mergeCell ref="B501:G501"/>
    <mergeCell ref="B511:G511"/>
    <mergeCell ref="B512:G512"/>
    <mergeCell ref="B515:G515"/>
    <mergeCell ref="B516:G516"/>
    <mergeCell ref="B450:G450"/>
    <mergeCell ref="B452:G452"/>
    <mergeCell ref="B453:G453"/>
    <mergeCell ref="B454:G454"/>
    <mergeCell ref="C461:G461"/>
    <mergeCell ref="B468:G468"/>
    <mergeCell ref="B476:G476"/>
    <mergeCell ref="B477:G477"/>
    <mergeCell ref="B479:G479"/>
    <mergeCell ref="B432:G432"/>
    <mergeCell ref="B434:G434"/>
    <mergeCell ref="B435:G435"/>
    <mergeCell ref="B438:G438"/>
    <mergeCell ref="B439:G439"/>
    <mergeCell ref="B459:G459"/>
    <mergeCell ref="B458:G458"/>
    <mergeCell ref="B420:G420"/>
    <mergeCell ref="B421:G421"/>
    <mergeCell ref="B422:G422"/>
    <mergeCell ref="B440:G440"/>
    <mergeCell ref="B441:G441"/>
    <mergeCell ref="B426:G426"/>
    <mergeCell ref="B427:G427"/>
    <mergeCell ref="B428:G428"/>
    <mergeCell ref="B429:G429"/>
    <mergeCell ref="B430:G430"/>
    <mergeCell ref="B424:G424"/>
    <mergeCell ref="B425:G425"/>
    <mergeCell ref="B443:G443"/>
    <mergeCell ref="B444:G444"/>
    <mergeCell ref="B445:G445"/>
    <mergeCell ref="B448:G448"/>
    <mergeCell ref="B449:G449"/>
    <mergeCell ref="B417:G417"/>
    <mergeCell ref="A340:E340"/>
    <mergeCell ref="A337:E337"/>
    <mergeCell ref="A388:E388"/>
    <mergeCell ref="A389:E389"/>
    <mergeCell ref="A341:E341"/>
    <mergeCell ref="A342:E342"/>
    <mergeCell ref="B418:G418"/>
    <mergeCell ref="A348:E348"/>
    <mergeCell ref="A338:E338"/>
    <mergeCell ref="A339:E339"/>
    <mergeCell ref="W336:X338"/>
    <mergeCell ref="S337:T338"/>
    <mergeCell ref="U337:V338"/>
    <mergeCell ref="W339:X339"/>
    <mergeCell ref="S339:T339"/>
    <mergeCell ref="U339:V339"/>
    <mergeCell ref="W341:X341"/>
    <mergeCell ref="U340:V340"/>
    <mergeCell ref="P339:R339"/>
    <mergeCell ref="P343:R343"/>
    <mergeCell ref="P342:R342"/>
    <mergeCell ref="W342:X342"/>
    <mergeCell ref="S343:V343"/>
    <mergeCell ref="W343:X343"/>
    <mergeCell ref="W340:X340"/>
    <mergeCell ref="P341:R341"/>
    <mergeCell ref="S341:T341"/>
    <mergeCell ref="U341:V341"/>
    <mergeCell ref="P340:R340"/>
    <mergeCell ref="S340:T340"/>
    <mergeCell ref="S342:T342"/>
    <mergeCell ref="U342:V342"/>
    <mergeCell ref="A332:E332"/>
    <mergeCell ref="A229:E229"/>
    <mergeCell ref="B202:F202"/>
    <mergeCell ref="V325:V328"/>
    <mergeCell ref="N336:N338"/>
    <mergeCell ref="O336:O338"/>
    <mergeCell ref="P336:R338"/>
    <mergeCell ref="S336:V336"/>
    <mergeCell ref="A169:H169"/>
    <mergeCell ref="Q291:R291"/>
    <mergeCell ref="A320:E320"/>
    <mergeCell ref="A267:E267"/>
    <mergeCell ref="A258:E258"/>
    <mergeCell ref="A185:F185"/>
    <mergeCell ref="D198:F198"/>
    <mergeCell ref="A285:E285"/>
    <mergeCell ref="A228:E228"/>
    <mergeCell ref="M328:P328"/>
    <mergeCell ref="M329:P329"/>
    <mergeCell ref="AA291:AB291"/>
    <mergeCell ref="A29:H29"/>
    <mergeCell ref="A31:G31"/>
    <mergeCell ref="A33:H33"/>
    <mergeCell ref="A44:H44"/>
    <mergeCell ref="A46:G46"/>
    <mergeCell ref="A47:G47"/>
    <mergeCell ref="A48:G48"/>
    <mergeCell ref="A49:G49"/>
    <mergeCell ref="O291:P291"/>
    <mergeCell ref="A50:G50"/>
    <mergeCell ref="A262:E262"/>
  </mergeCells>
  <phoneticPr fontId="20" type="noConversion"/>
  <dataValidations count="10">
    <dataValidation type="whole" allowBlank="1" showInputMessage="1" showErrorMessage="1" sqref="G227:K227 G241:K243 G335:K335 G348:K348 G267:K267 G249:K253 G238:K238 G255:K260 G245:K247 G59:K60">
      <formula1>0</formula1>
      <formula2>1</formula2>
    </dataValidation>
    <dataValidation type="whole" allowBlank="1" showInputMessage="1" showErrorMessage="1" sqref="G339:K339 G325:K325 G265:K266">
      <formula1>1</formula1>
      <formula2>2</formula2>
    </dataValidation>
    <dataValidation type="whole" allowBlank="1" showInputMessage="1" showErrorMessage="1" sqref="G345:K345">
      <formula1>0</formula1>
      <formula2>6</formula2>
    </dataValidation>
    <dataValidation type="whole" allowBlank="1" showInputMessage="1" showErrorMessage="1" sqref="G324:K324">
      <formula1>1</formula1>
      <formula2>13</formula2>
    </dataValidation>
    <dataValidation type="whole" allowBlank="1" showInputMessage="1" showErrorMessage="1" sqref="G338:K338">
      <formula1>1</formula1>
      <formula2>5</formula2>
    </dataValidation>
    <dataValidation type="whole" allowBlank="1" showInputMessage="1" showErrorMessage="1" sqref="G341:K341 G326:K326">
      <formula1>1</formula1>
      <formula2>3</formula2>
    </dataValidation>
    <dataValidation type="whole" allowBlank="1" showInputMessage="1" showErrorMessage="1" sqref="G334:K334">
      <formula1>1</formula1>
      <formula2>4</formula2>
    </dataValidation>
    <dataValidation type="decimal" allowBlank="1" showInputMessage="1" showErrorMessage="1" sqref="G332:K332">
      <formula1>0.3</formula1>
      <formula2>4</formula2>
    </dataValidation>
    <dataValidation type="decimal" allowBlank="1" showInputMessage="1" showErrorMessage="1" sqref="I290:K290">
      <formula1>1</formula1>
      <formula2>13</formula2>
    </dataValidation>
    <dataValidation type="decimal" allowBlank="1" showInputMessage="1" showErrorMessage="1" sqref="G285:I285">
      <formula1>1</formula1>
      <formula2>3</formula2>
    </dataValidation>
  </dataValidations>
  <hyperlinks>
    <hyperlink ref="N203" location="ком!A1" display="ОБРАТНО"/>
    <hyperlink ref="A127" location="вен!A1" display="ПЕРЕХОДИТЕ К РАСЧЕТАМ НАГРУЗКИ ПО ФАКТОРУ ПРОВЕТРИВАНИЯ !!!"/>
  </hyperlinks>
  <pageMargins left="0.75" right="0.75" top="1" bottom="1" header="0.5" footer="0.5"/>
  <pageSetup paperSize="9" orientation="portrait" horizontalDpi="300" verticalDpi="300"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176"/>
  <sheetViews>
    <sheetView workbookViewId="0"/>
  </sheetViews>
  <sheetFormatPr defaultRowHeight="12.75" x14ac:dyDescent="0.2"/>
  <cols>
    <col min="1" max="1" width="44.42578125" customWidth="1"/>
    <col min="8" max="8" width="10.140625" customWidth="1"/>
    <col min="9" max="10" width="9.28515625" bestFit="1" customWidth="1"/>
    <col min="11" max="12" width="12" bestFit="1" customWidth="1"/>
  </cols>
  <sheetData>
    <row r="1" spans="1:18" x14ac:dyDescent="0.2">
      <c r="R1" s="8"/>
    </row>
    <row r="2" spans="1:18" ht="13.5" thickBot="1" x14ac:dyDescent="0.25">
      <c r="R2" s="8"/>
    </row>
    <row r="3" spans="1:18" ht="18.75" x14ac:dyDescent="0.3">
      <c r="A3" s="356"/>
      <c r="B3" s="2"/>
      <c r="C3" s="2"/>
      <c r="D3" s="2"/>
      <c r="E3" s="2"/>
      <c r="F3" s="2"/>
      <c r="G3" s="2"/>
      <c r="H3" s="3"/>
      <c r="R3" s="8"/>
    </row>
    <row r="4" spans="1:18" ht="22.5" x14ac:dyDescent="0.3">
      <c r="A4" s="1240" t="s">
        <v>5324</v>
      </c>
      <c r="B4" s="1"/>
      <c r="C4" s="1"/>
      <c r="D4" s="1"/>
      <c r="E4" s="1"/>
      <c r="F4" s="1"/>
      <c r="G4" s="1"/>
      <c r="H4" s="253"/>
      <c r="R4" s="8"/>
    </row>
    <row r="5" spans="1:18" ht="18" x14ac:dyDescent="0.25">
      <c r="A5" s="1174"/>
      <c r="B5" s="1"/>
      <c r="C5" s="1"/>
      <c r="D5" s="1"/>
      <c r="E5" s="1"/>
      <c r="F5" s="1"/>
      <c r="G5" s="1"/>
      <c r="H5" s="253"/>
      <c r="R5" s="8"/>
    </row>
    <row r="6" spans="1:18" ht="19.5" x14ac:dyDescent="0.35">
      <c r="A6" s="4"/>
      <c r="B6" s="1306" t="s">
        <v>1136</v>
      </c>
      <c r="C6" s="1"/>
      <c r="D6" s="1"/>
      <c r="E6" s="1"/>
      <c r="F6" s="1"/>
      <c r="G6" s="1"/>
      <c r="H6" s="253"/>
      <c r="R6" s="8"/>
    </row>
    <row r="7" spans="1:18" ht="18.75" x14ac:dyDescent="0.3">
      <c r="A7" s="4"/>
      <c r="B7" s="1306"/>
      <c r="C7" s="1"/>
      <c r="D7" s="1"/>
      <c r="E7" s="1"/>
      <c r="F7" s="1"/>
      <c r="G7" s="1"/>
      <c r="H7" s="253"/>
      <c r="R7" s="8"/>
    </row>
    <row r="8" spans="1:18" ht="18.75" x14ac:dyDescent="0.3">
      <c r="A8" s="4"/>
      <c r="B8" s="1306"/>
      <c r="C8" s="1"/>
      <c r="D8" s="1"/>
      <c r="E8" s="1"/>
      <c r="F8" s="1"/>
      <c r="G8" s="1"/>
      <c r="H8" s="253"/>
      <c r="R8" s="8"/>
    </row>
    <row r="9" spans="1:18" ht="18.75" x14ac:dyDescent="0.3">
      <c r="A9" s="4"/>
      <c r="B9" s="1306"/>
      <c r="C9" s="1"/>
      <c r="D9" s="1306" t="s">
        <v>3997</v>
      </c>
      <c r="E9" s="1"/>
      <c r="F9" s="1"/>
      <c r="G9" s="1"/>
      <c r="H9" s="253"/>
      <c r="R9" s="8"/>
    </row>
    <row r="10" spans="1:18" ht="18.75" x14ac:dyDescent="0.3">
      <c r="A10" s="4"/>
      <c r="B10" s="1306"/>
      <c r="C10" s="1"/>
      <c r="D10" s="1"/>
      <c r="E10" s="1"/>
      <c r="F10" s="1"/>
      <c r="G10" s="1"/>
      <c r="H10" s="253"/>
      <c r="R10" s="8"/>
    </row>
    <row r="11" spans="1:18" ht="18.75" x14ac:dyDescent="0.3">
      <c r="A11" s="4"/>
      <c r="B11" s="1306"/>
      <c r="C11" s="1"/>
      <c r="D11" s="1"/>
      <c r="E11" s="1"/>
      <c r="F11" s="1"/>
      <c r="G11" s="1"/>
      <c r="H11" s="253"/>
      <c r="R11" s="8"/>
    </row>
    <row r="12" spans="1:18" ht="18.75" x14ac:dyDescent="0.3">
      <c r="A12" s="4"/>
      <c r="B12" s="1306"/>
      <c r="C12" s="1"/>
      <c r="D12" s="1"/>
      <c r="E12" s="1"/>
      <c r="F12" s="1"/>
      <c r="G12" s="1"/>
      <c r="H12" s="253"/>
      <c r="R12" s="8"/>
    </row>
    <row r="13" spans="1:18" ht="18.75" x14ac:dyDescent="0.3">
      <c r="A13" s="4"/>
      <c r="B13" s="1306"/>
      <c r="C13" s="1"/>
      <c r="D13" s="1"/>
      <c r="E13" s="1"/>
      <c r="F13" s="1"/>
      <c r="G13" s="1"/>
      <c r="H13" s="253"/>
      <c r="R13" s="8"/>
    </row>
    <row r="14" spans="1:18" ht="18.75" x14ac:dyDescent="0.3">
      <c r="A14" s="4"/>
      <c r="B14" s="1306"/>
      <c r="C14" s="1"/>
      <c r="D14" s="1"/>
      <c r="E14" s="1"/>
      <c r="F14" s="1"/>
      <c r="G14" s="1"/>
      <c r="H14" s="253"/>
      <c r="R14" s="8"/>
    </row>
    <row r="15" spans="1:18" ht="18.75" x14ac:dyDescent="0.3">
      <c r="A15" s="4"/>
      <c r="B15" s="1306"/>
      <c r="C15" s="1"/>
      <c r="D15" s="1"/>
      <c r="E15" s="1"/>
      <c r="F15" s="1"/>
      <c r="G15" s="1"/>
      <c r="H15" s="253"/>
      <c r="R15" s="8"/>
    </row>
    <row r="16" spans="1:18" x14ac:dyDescent="0.2">
      <c r="A16" s="4"/>
      <c r="B16" s="1"/>
      <c r="C16" s="1"/>
      <c r="D16" s="1"/>
      <c r="E16" s="1"/>
      <c r="F16" s="1"/>
      <c r="G16" s="1"/>
      <c r="H16" s="253"/>
      <c r="R16" s="8"/>
    </row>
    <row r="17" spans="1:25" ht="15.75" x14ac:dyDescent="0.25">
      <c r="A17" s="358" t="s">
        <v>3320</v>
      </c>
      <c r="B17" s="1"/>
      <c r="C17" s="1"/>
      <c r="D17" s="1"/>
      <c r="E17" s="1"/>
      <c r="F17" s="1"/>
      <c r="G17" s="1"/>
      <c r="H17" s="253"/>
      <c r="R17" s="8"/>
    </row>
    <row r="18" spans="1:25" ht="15.75" x14ac:dyDescent="0.25">
      <c r="A18" s="358" t="s">
        <v>3321</v>
      </c>
      <c r="B18" s="1"/>
      <c r="C18" s="1"/>
      <c r="D18" s="1"/>
      <c r="E18" s="1"/>
      <c r="F18" s="1"/>
      <c r="G18" s="1"/>
      <c r="H18" s="253"/>
      <c r="R18" s="8"/>
    </row>
    <row r="19" spans="1:25" ht="15.75" x14ac:dyDescent="0.25">
      <c r="A19" s="358" t="s">
        <v>4232</v>
      </c>
      <c r="B19" s="1"/>
      <c r="C19" s="1"/>
      <c r="D19" s="1"/>
      <c r="E19" s="1"/>
      <c r="F19" s="1"/>
      <c r="G19" s="1"/>
      <c r="H19" s="253"/>
      <c r="R19" s="8"/>
    </row>
    <row r="20" spans="1:25" x14ac:dyDescent="0.2">
      <c r="A20" s="4"/>
      <c r="B20" s="1"/>
      <c r="C20" s="1"/>
      <c r="D20" s="1"/>
      <c r="E20" s="1"/>
      <c r="F20" s="1"/>
      <c r="G20" s="1"/>
      <c r="H20" s="253"/>
      <c r="R20" s="8"/>
    </row>
    <row r="21" spans="1:25" x14ac:dyDescent="0.2">
      <c r="A21" s="4"/>
      <c r="B21" s="1"/>
      <c r="C21" s="1"/>
      <c r="D21" s="1"/>
      <c r="E21" s="1"/>
      <c r="F21" s="1"/>
      <c r="G21" s="1"/>
      <c r="H21" s="253"/>
      <c r="R21" s="8"/>
    </row>
    <row r="22" spans="1:25" x14ac:dyDescent="0.2">
      <c r="A22" s="4"/>
      <c r="B22" s="1"/>
      <c r="C22" s="1"/>
      <c r="D22" s="1"/>
      <c r="E22" s="1"/>
      <c r="F22" s="1"/>
      <c r="G22" s="1"/>
      <c r="H22" s="253"/>
      <c r="R22" s="8"/>
    </row>
    <row r="23" spans="1:25" x14ac:dyDescent="0.2">
      <c r="A23" s="4"/>
      <c r="B23" s="1"/>
      <c r="C23" s="1"/>
      <c r="D23" s="1"/>
      <c r="E23" s="1"/>
      <c r="F23" s="1"/>
      <c r="G23" s="1"/>
      <c r="H23" s="253"/>
      <c r="R23" s="8"/>
    </row>
    <row r="24" spans="1:25" x14ac:dyDescent="0.2">
      <c r="A24" s="4"/>
      <c r="B24" s="1"/>
      <c r="C24" s="1"/>
      <c r="D24" s="357"/>
      <c r="E24" s="1"/>
      <c r="F24" s="1"/>
      <c r="G24" s="1"/>
      <c r="H24" s="253"/>
      <c r="R24" s="8"/>
    </row>
    <row r="25" spans="1:25" ht="13.5" thickBot="1" x14ac:dyDescent="0.25">
      <c r="A25" s="359"/>
      <c r="B25" s="355"/>
      <c r="C25" s="355"/>
      <c r="D25" s="355"/>
      <c r="E25" s="355"/>
      <c r="F25" s="355"/>
      <c r="G25" s="355"/>
      <c r="H25" s="360"/>
      <c r="R25" s="8"/>
    </row>
    <row r="26" spans="1:25" x14ac:dyDescent="0.2">
      <c r="R26" s="8"/>
    </row>
    <row r="27" spans="1:25" ht="16.5" thickBot="1" x14ac:dyDescent="0.3">
      <c r="A27" s="399"/>
      <c r="B27" s="11"/>
      <c r="C27" s="11"/>
      <c r="D27" s="11"/>
      <c r="E27" s="11"/>
      <c r="F27" s="11"/>
      <c r="G27" s="11"/>
      <c r="H27" s="11"/>
      <c r="I27" s="11"/>
      <c r="J27" s="62"/>
      <c r="K27" s="62"/>
      <c r="L27" s="62"/>
      <c r="M27" s="461"/>
      <c r="N27" s="73"/>
      <c r="O27" s="70"/>
      <c r="P27" s="70"/>
      <c r="Q27" s="70"/>
      <c r="R27" s="43"/>
      <c r="S27" s="43"/>
      <c r="T27" s="462"/>
      <c r="U27" s="42"/>
      <c r="V27" s="58"/>
      <c r="W27" s="58"/>
      <c r="X27" s="58"/>
      <c r="Y27" s="58"/>
    </row>
    <row r="28" spans="1:25" ht="15.75" x14ac:dyDescent="0.25">
      <c r="A28" s="463" t="s">
        <v>2395</v>
      </c>
      <c r="B28" s="380"/>
      <c r="C28" s="380"/>
      <c r="D28" s="380"/>
      <c r="E28" s="380"/>
      <c r="F28" s="380"/>
      <c r="G28" s="380"/>
      <c r="H28" s="381"/>
      <c r="I28" s="11"/>
      <c r="J28" s="62"/>
      <c r="K28" s="62"/>
      <c r="L28" s="62"/>
      <c r="M28" s="461"/>
      <c r="N28" s="73"/>
      <c r="O28" s="70"/>
      <c r="P28" s="70"/>
      <c r="Q28" s="70"/>
      <c r="R28" s="43"/>
      <c r="S28" s="382">
        <v>43983</v>
      </c>
      <c r="T28" s="383">
        <f ca="1">IF(TODAY()&gt;S28,1,0)</f>
        <v>1</v>
      </c>
      <c r="U28" s="42"/>
      <c r="V28" s="58"/>
      <c r="W28" s="58"/>
      <c r="X28" s="58"/>
      <c r="Y28" s="58"/>
    </row>
    <row r="29" spans="1:25" ht="15.75" x14ac:dyDescent="0.25">
      <c r="A29" s="384" t="s">
        <v>588</v>
      </c>
      <c r="B29" s="15"/>
      <c r="C29" s="15"/>
      <c r="D29" s="15"/>
      <c r="E29" s="15"/>
      <c r="F29" s="15"/>
      <c r="G29" s="15"/>
      <c r="H29" s="385"/>
      <c r="I29" s="11"/>
      <c r="J29" s="62"/>
      <c r="K29" s="62"/>
      <c r="L29" s="62"/>
      <c r="M29" s="461"/>
      <c r="N29" s="73"/>
      <c r="O29" s="70"/>
      <c r="P29" s="70"/>
      <c r="Q29" s="70"/>
      <c r="R29" s="43"/>
      <c r="S29" s="43"/>
      <c r="T29" s="462"/>
      <c r="U29" s="42"/>
      <c r="V29" s="58"/>
      <c r="W29" s="58"/>
      <c r="X29" s="58"/>
      <c r="Y29" s="58"/>
    </row>
    <row r="30" spans="1:25" ht="20.25" x14ac:dyDescent="0.35">
      <c r="A30" s="386" t="s">
        <v>802</v>
      </c>
      <c r="B30" s="15"/>
      <c r="C30" s="15"/>
      <c r="D30" s="15"/>
      <c r="E30" s="15"/>
      <c r="F30" s="15"/>
      <c r="G30" s="15"/>
      <c r="H30" s="385"/>
      <c r="I30" s="11"/>
      <c r="J30" s="62"/>
      <c r="K30" s="62"/>
      <c r="L30" s="62"/>
      <c r="M30" s="461"/>
      <c r="N30" s="73"/>
      <c r="O30" s="70"/>
      <c r="P30" s="70"/>
      <c r="Q30" s="70"/>
      <c r="R30" s="43"/>
      <c r="S30" s="43"/>
      <c r="T30" s="462"/>
      <c r="U30" s="42"/>
      <c r="V30" s="58"/>
      <c r="W30" s="58"/>
      <c r="X30" s="58"/>
      <c r="Y30" s="58"/>
    </row>
    <row r="31" spans="1:25" ht="20.25" x14ac:dyDescent="0.35">
      <c r="A31" s="384" t="s">
        <v>803</v>
      </c>
      <c r="B31" s="15"/>
      <c r="C31" s="15"/>
      <c r="D31" s="15"/>
      <c r="E31" s="15"/>
      <c r="F31" s="15"/>
      <c r="G31" s="15"/>
      <c r="H31" s="385"/>
      <c r="I31" s="11"/>
      <c r="J31" s="62"/>
      <c r="K31" s="62"/>
      <c r="L31" s="62"/>
      <c r="M31" s="461"/>
      <c r="N31" s="73"/>
      <c r="O31" s="70"/>
      <c r="P31" s="70"/>
      <c r="Q31" s="70"/>
      <c r="R31" s="43"/>
      <c r="S31" s="43"/>
      <c r="T31" s="462"/>
      <c r="U31" s="42"/>
      <c r="V31" s="58"/>
      <c r="W31" s="58"/>
      <c r="X31" s="58"/>
      <c r="Y31" s="58"/>
    </row>
    <row r="32" spans="1:25" ht="20.25" x14ac:dyDescent="0.35">
      <c r="A32" s="384" t="s">
        <v>804</v>
      </c>
      <c r="B32" s="15"/>
      <c r="C32" s="15"/>
      <c r="D32" s="15"/>
      <c r="E32" s="15"/>
      <c r="F32" s="15"/>
      <c r="G32" s="15"/>
      <c r="H32" s="385"/>
      <c r="I32" s="11"/>
      <c r="J32" s="62"/>
      <c r="K32" s="62"/>
      <c r="L32" s="62"/>
      <c r="M32" s="461"/>
      <c r="N32" s="73"/>
      <c r="O32" s="70"/>
      <c r="P32" s="70"/>
      <c r="Q32" s="70"/>
      <c r="R32" s="43"/>
      <c r="S32" s="43"/>
      <c r="T32" s="462"/>
      <c r="U32" s="42"/>
      <c r="V32" s="58"/>
      <c r="W32" s="58"/>
      <c r="X32" s="58"/>
      <c r="Y32" s="58"/>
    </row>
    <row r="33" spans="1:25" ht="20.25" x14ac:dyDescent="0.35">
      <c r="A33" s="384" t="s">
        <v>3047</v>
      </c>
      <c r="B33" s="15"/>
      <c r="C33" s="15"/>
      <c r="D33" s="15"/>
      <c r="E33" s="15"/>
      <c r="F33" s="15"/>
      <c r="G33" s="15"/>
      <c r="H33" s="385"/>
      <c r="I33" s="11"/>
      <c r="J33" s="62"/>
      <c r="K33" s="62"/>
      <c r="L33" s="62"/>
      <c r="M33" s="461"/>
      <c r="N33" s="73"/>
      <c r="O33" s="70"/>
      <c r="P33" s="70"/>
      <c r="Q33" s="70"/>
      <c r="R33" s="43"/>
      <c r="S33" s="43"/>
      <c r="T33" s="462"/>
      <c r="U33" s="42"/>
      <c r="V33" s="58"/>
      <c r="W33" s="58"/>
      <c r="X33" s="58"/>
      <c r="Y33" s="58"/>
    </row>
    <row r="34" spans="1:25" ht="15.75" x14ac:dyDescent="0.25">
      <c r="A34" s="384" t="s">
        <v>589</v>
      </c>
      <c r="B34" s="15"/>
      <c r="C34" s="15"/>
      <c r="D34" s="15"/>
      <c r="E34" s="15"/>
      <c r="F34" s="15"/>
      <c r="G34" s="15"/>
      <c r="H34" s="385"/>
      <c r="I34" s="11"/>
      <c r="J34" s="62"/>
      <c r="K34" s="62"/>
      <c r="L34" s="62"/>
      <c r="M34" s="461"/>
      <c r="N34" s="73"/>
      <c r="O34" s="70"/>
      <c r="P34" s="70"/>
      <c r="Q34" s="70"/>
      <c r="R34" s="43"/>
      <c r="S34" s="43"/>
      <c r="T34" s="462"/>
      <c r="U34" s="42"/>
      <c r="V34" s="58"/>
      <c r="W34" s="58"/>
      <c r="X34" s="58"/>
      <c r="Y34" s="58"/>
    </row>
    <row r="35" spans="1:25" ht="15.75" x14ac:dyDescent="0.25">
      <c r="A35" s="384" t="s">
        <v>590</v>
      </c>
      <c r="B35" s="15"/>
      <c r="C35" s="15"/>
      <c r="D35" s="15"/>
      <c r="E35" s="15"/>
      <c r="F35" s="15"/>
      <c r="G35" s="15"/>
      <c r="H35" s="385"/>
      <c r="I35" s="11"/>
      <c r="J35" s="62"/>
      <c r="K35" s="62"/>
      <c r="L35" s="62"/>
      <c r="M35" s="461"/>
      <c r="N35" s="73"/>
      <c r="O35" s="70"/>
      <c r="P35" s="70"/>
      <c r="Q35" s="70"/>
      <c r="R35" s="43"/>
      <c r="S35" s="43"/>
      <c r="T35" s="462"/>
      <c r="U35" s="42"/>
      <c r="V35" s="58"/>
      <c r="W35" s="58"/>
      <c r="X35" s="58"/>
      <c r="Y35" s="58"/>
    </row>
    <row r="36" spans="1:25" ht="17.25" x14ac:dyDescent="0.3">
      <c r="A36" s="358" t="s">
        <v>362</v>
      </c>
      <c r="B36" s="15"/>
      <c r="C36" s="15"/>
      <c r="D36" s="15"/>
      <c r="E36" s="15"/>
      <c r="F36" s="15"/>
      <c r="G36" s="15"/>
      <c r="H36" s="385"/>
      <c r="I36" s="11"/>
      <c r="J36" s="62"/>
      <c r="K36" s="62"/>
      <c r="L36" s="62"/>
      <c r="M36" s="461"/>
      <c r="N36" s="73"/>
      <c r="O36" s="70"/>
      <c r="P36" s="70"/>
      <c r="Q36" s="70"/>
      <c r="R36" s="43"/>
      <c r="S36" s="43"/>
      <c r="T36" s="462"/>
      <c r="U36" s="42"/>
      <c r="V36" s="58"/>
      <c r="W36" s="58"/>
      <c r="X36" s="58"/>
      <c r="Y36" s="58"/>
    </row>
    <row r="37" spans="1:25" ht="17.25" x14ac:dyDescent="0.3">
      <c r="A37" s="384" t="s">
        <v>363</v>
      </c>
      <c r="B37" s="15"/>
      <c r="C37" s="15"/>
      <c r="D37" s="15"/>
      <c r="E37" s="15"/>
      <c r="F37" s="15"/>
      <c r="G37" s="15"/>
      <c r="H37" s="385"/>
      <c r="I37" s="11"/>
      <c r="J37" s="62"/>
      <c r="K37" s="62"/>
      <c r="L37" s="62"/>
      <c r="M37" s="461"/>
      <c r="N37" s="73"/>
      <c r="O37" s="70"/>
      <c r="P37" s="70"/>
      <c r="Q37" s="70"/>
      <c r="R37" s="43"/>
      <c r="S37" s="43"/>
      <c r="T37" s="462"/>
      <c r="U37" s="42"/>
      <c r="V37" s="58"/>
      <c r="W37" s="58"/>
      <c r="X37" s="58"/>
      <c r="Y37" s="58"/>
    </row>
    <row r="38" spans="1:25" ht="15.75" x14ac:dyDescent="0.25">
      <c r="A38" s="358" t="s">
        <v>3048</v>
      </c>
      <c r="B38" s="15"/>
      <c r="C38" s="15"/>
      <c r="D38" s="15"/>
      <c r="E38" s="15"/>
      <c r="F38" s="15"/>
      <c r="G38" s="15"/>
      <c r="H38" s="385"/>
      <c r="I38" s="11"/>
      <c r="J38" s="62"/>
      <c r="K38" s="62"/>
      <c r="L38" s="62"/>
      <c r="M38" s="461"/>
      <c r="N38" s="73"/>
      <c r="O38" s="70"/>
      <c r="P38" s="70"/>
      <c r="Q38" s="70"/>
      <c r="R38" s="43"/>
      <c r="S38" s="43"/>
      <c r="T38" s="462"/>
      <c r="U38" s="42"/>
      <c r="V38" s="58"/>
      <c r="W38" s="58"/>
      <c r="X38" s="58"/>
      <c r="Y38" s="58"/>
    </row>
    <row r="39" spans="1:25" ht="17.25" x14ac:dyDescent="0.3">
      <c r="A39" s="358" t="s">
        <v>5438</v>
      </c>
      <c r="B39" s="15"/>
      <c r="C39" s="15"/>
      <c r="D39" s="15"/>
      <c r="E39" s="15"/>
      <c r="F39" s="15"/>
      <c r="G39" s="15"/>
      <c r="H39" s="385"/>
      <c r="I39" s="11"/>
      <c r="J39" s="62"/>
      <c r="K39" s="62"/>
      <c r="L39" s="62"/>
      <c r="M39" s="461"/>
      <c r="N39" s="73"/>
      <c r="O39" s="70"/>
      <c r="P39" s="70"/>
      <c r="Q39" s="70"/>
      <c r="R39" s="43"/>
      <c r="S39" s="43"/>
      <c r="T39" s="462"/>
      <c r="U39" s="42"/>
      <c r="V39" s="58"/>
      <c r="W39" s="58"/>
      <c r="X39" s="58"/>
      <c r="Y39" s="58"/>
    </row>
    <row r="40" spans="1:25" ht="15.75" x14ac:dyDescent="0.25">
      <c r="A40" s="384" t="s">
        <v>2337</v>
      </c>
      <c r="B40" s="15"/>
      <c r="C40" s="15"/>
      <c r="D40" s="15"/>
      <c r="E40" s="15"/>
      <c r="F40" s="15"/>
      <c r="G40" s="15"/>
      <c r="H40" s="385"/>
      <c r="I40" s="11"/>
      <c r="J40" s="62"/>
      <c r="K40" s="62"/>
      <c r="L40" s="62"/>
      <c r="M40" s="461"/>
      <c r="N40" s="73"/>
      <c r="O40" s="70"/>
      <c r="P40" s="70"/>
      <c r="Q40" s="70"/>
      <c r="R40" s="43"/>
      <c r="S40" s="43"/>
      <c r="T40" s="462"/>
      <c r="U40" s="42"/>
      <c r="V40" s="58"/>
      <c r="W40" s="58"/>
      <c r="X40" s="58"/>
      <c r="Y40" s="58"/>
    </row>
    <row r="41" spans="1:25" ht="20.25" x14ac:dyDescent="0.35">
      <c r="A41" s="386" t="s">
        <v>3661</v>
      </c>
      <c r="B41" s="15"/>
      <c r="C41" s="15"/>
      <c r="D41" s="15"/>
      <c r="E41" s="15"/>
      <c r="F41" s="15"/>
      <c r="G41" s="15"/>
      <c r="H41" s="385"/>
      <c r="I41" s="11"/>
      <c r="J41" s="62"/>
      <c r="K41" s="62"/>
      <c r="L41" s="62"/>
      <c r="M41" s="461"/>
      <c r="N41" s="73"/>
      <c r="O41" s="70"/>
      <c r="P41" s="70"/>
      <c r="Q41" s="70"/>
      <c r="R41" s="43"/>
      <c r="S41" s="43"/>
      <c r="T41" s="462"/>
      <c r="U41" s="42"/>
      <c r="V41" s="58"/>
      <c r="W41" s="58"/>
      <c r="X41" s="58"/>
      <c r="Y41" s="58"/>
    </row>
    <row r="42" spans="1:25" ht="18.75" x14ac:dyDescent="0.3">
      <c r="A42" s="389" t="s">
        <v>3918</v>
      </c>
      <c r="B42" s="15"/>
      <c r="C42" s="15"/>
      <c r="D42" s="1"/>
      <c r="E42" s="15"/>
      <c r="F42" s="15"/>
      <c r="G42" s="15"/>
      <c r="H42" s="385"/>
      <c r="I42" s="11"/>
      <c r="J42" s="62"/>
      <c r="K42" s="62"/>
      <c r="L42" s="62"/>
      <c r="M42" s="461"/>
      <c r="N42" s="73"/>
      <c r="O42" s="70"/>
      <c r="P42" s="70"/>
      <c r="Q42" s="70"/>
      <c r="R42" s="43"/>
      <c r="S42" s="43"/>
      <c r="T42" s="462"/>
      <c r="U42" s="42"/>
      <c r="V42" s="58"/>
      <c r="W42" s="58"/>
      <c r="X42" s="58"/>
      <c r="Y42" s="58"/>
    </row>
    <row r="43" spans="1:25" ht="18.75" x14ac:dyDescent="0.3">
      <c r="A43" s="384" t="s">
        <v>1880</v>
      </c>
      <c r="B43" s="464"/>
      <c r="C43" s="464"/>
      <c r="D43" s="465"/>
      <c r="E43" s="464"/>
      <c r="F43" s="464"/>
      <c r="G43" s="464"/>
      <c r="H43" s="466"/>
      <c r="I43" s="11"/>
      <c r="J43" s="62"/>
      <c r="K43" s="62"/>
      <c r="L43" s="62"/>
      <c r="M43" s="461"/>
      <c r="N43" s="73"/>
      <c r="O43" s="70"/>
      <c r="P43" s="70"/>
      <c r="Q43" s="70"/>
      <c r="R43" s="43"/>
      <c r="S43" s="43"/>
      <c r="T43" s="462"/>
      <c r="U43" s="42"/>
      <c r="V43" s="58"/>
      <c r="W43" s="58"/>
      <c r="X43" s="58"/>
      <c r="Y43" s="58"/>
    </row>
    <row r="44" spans="1:25" ht="19.5" x14ac:dyDescent="0.35">
      <c r="A44" s="467" t="s">
        <v>1881</v>
      </c>
      <c r="B44" s="464"/>
      <c r="C44" s="464"/>
      <c r="D44" s="393"/>
      <c r="E44" s="464"/>
      <c r="F44" s="464"/>
      <c r="G44" s="464"/>
      <c r="H44" s="466"/>
      <c r="I44" s="11"/>
      <c r="J44" s="62"/>
      <c r="K44" s="62"/>
      <c r="L44" s="62"/>
      <c r="M44" s="461"/>
      <c r="N44" s="73"/>
      <c r="O44" s="70"/>
      <c r="P44" s="70"/>
      <c r="Q44" s="70"/>
      <c r="R44" s="43"/>
      <c r="S44" s="43"/>
      <c r="T44" s="462"/>
      <c r="U44" s="42"/>
      <c r="V44" s="58"/>
      <c r="W44" s="58"/>
      <c r="X44" s="58"/>
      <c r="Y44" s="58"/>
    </row>
    <row r="45" spans="1:25" ht="20.25" x14ac:dyDescent="0.35">
      <c r="A45" s="468" t="s">
        <v>1882</v>
      </c>
      <c r="B45" s="469"/>
      <c r="C45" s="469"/>
      <c r="D45" s="469"/>
      <c r="E45" s="469"/>
      <c r="F45" s="469"/>
      <c r="G45" s="469"/>
      <c r="H45" s="470"/>
      <c r="I45" s="11"/>
      <c r="J45" s="62"/>
      <c r="K45" s="62"/>
      <c r="L45" s="388"/>
      <c r="M45" s="461"/>
      <c r="N45" s="73"/>
      <c r="O45" s="70"/>
      <c r="P45" s="70"/>
      <c r="Q45" s="70"/>
      <c r="R45" s="43"/>
      <c r="S45" s="43"/>
      <c r="T45" s="462"/>
      <c r="U45" s="42"/>
      <c r="V45" s="58"/>
      <c r="W45" s="58"/>
      <c r="X45" s="58"/>
      <c r="Y45" s="58"/>
    </row>
    <row r="46" spans="1:25" ht="15.75" x14ac:dyDescent="0.25">
      <c r="A46" s="384" t="s">
        <v>859</v>
      </c>
      <c r="B46" s="15"/>
      <c r="C46" s="15"/>
      <c r="D46" s="15"/>
      <c r="E46" s="394"/>
      <c r="F46" s="394"/>
      <c r="G46" s="394"/>
      <c r="H46" s="395"/>
      <c r="I46" s="9"/>
      <c r="J46" s="62"/>
      <c r="K46" s="62"/>
      <c r="L46" s="62"/>
      <c r="M46" s="461"/>
      <c r="N46" s="73"/>
      <c r="O46" s="70"/>
      <c r="P46" s="70"/>
      <c r="Q46" s="70"/>
      <c r="R46" s="43"/>
      <c r="S46" s="43"/>
      <c r="T46" s="462"/>
      <c r="U46" s="42"/>
      <c r="V46" s="58"/>
      <c r="W46" s="58"/>
      <c r="X46" s="58"/>
      <c r="Y46" s="58"/>
    </row>
    <row r="47" spans="1:25" ht="15.75" x14ac:dyDescent="0.25">
      <c r="A47" s="471" t="s">
        <v>860</v>
      </c>
      <c r="B47" s="469"/>
      <c r="C47" s="469"/>
      <c r="D47" s="469"/>
      <c r="E47" s="469"/>
      <c r="F47" s="469"/>
      <c r="G47" s="469"/>
      <c r="H47" s="466"/>
      <c r="I47" s="9"/>
      <c r="J47" s="62"/>
      <c r="K47" s="62"/>
      <c r="L47" s="62"/>
      <c r="M47" s="461"/>
      <c r="N47" s="73"/>
      <c r="O47" s="70"/>
      <c r="P47" s="70"/>
      <c r="Q47" s="70"/>
      <c r="R47" s="43"/>
      <c r="S47" s="43"/>
      <c r="T47" s="462"/>
      <c r="U47" s="42"/>
      <c r="V47" s="58"/>
      <c r="W47" s="58"/>
      <c r="X47" s="58"/>
      <c r="Y47" s="58"/>
    </row>
    <row r="48" spans="1:25" ht="20.25" x14ac:dyDescent="0.35">
      <c r="A48" s="384" t="s">
        <v>1883</v>
      </c>
      <c r="B48" s="464"/>
      <c r="C48" s="464"/>
      <c r="D48" s="464"/>
      <c r="E48" s="464"/>
      <c r="F48" s="464"/>
      <c r="G48" s="464"/>
      <c r="H48" s="466"/>
      <c r="I48" s="11"/>
      <c r="J48" s="62"/>
      <c r="K48" s="62"/>
      <c r="L48" s="62"/>
      <c r="M48" s="461"/>
      <c r="N48" s="73"/>
      <c r="O48" s="70"/>
      <c r="P48" s="70"/>
      <c r="Q48" s="70"/>
      <c r="R48" s="43"/>
      <c r="S48" s="43"/>
      <c r="T48" s="462"/>
      <c r="U48" s="42"/>
      <c r="V48" s="58"/>
      <c r="W48" s="58"/>
      <c r="X48" s="58"/>
      <c r="Y48" s="58"/>
    </row>
    <row r="49" spans="1:25" ht="20.25" x14ac:dyDescent="0.35">
      <c r="A49" s="471" t="s">
        <v>1884</v>
      </c>
      <c r="B49" s="469"/>
      <c r="C49" s="469"/>
      <c r="D49" s="469"/>
      <c r="E49" s="469"/>
      <c r="F49" s="469"/>
      <c r="G49" s="469"/>
      <c r="H49" s="470"/>
      <c r="I49" s="11"/>
      <c r="J49" s="62"/>
      <c r="K49" s="62"/>
      <c r="L49" s="70"/>
      <c r="M49" s="461"/>
      <c r="N49" s="73"/>
      <c r="O49" s="70"/>
      <c r="P49" s="70"/>
      <c r="Q49" s="70"/>
      <c r="R49" s="43"/>
      <c r="S49" s="43"/>
      <c r="T49" s="462"/>
      <c r="U49" s="42"/>
      <c r="V49" s="58"/>
      <c r="W49" s="58"/>
      <c r="X49" s="58"/>
      <c r="Y49" s="58"/>
    </row>
    <row r="50" spans="1:25" ht="20.25" x14ac:dyDescent="0.35">
      <c r="A50" s="384" t="s">
        <v>1885</v>
      </c>
      <c r="B50" s="464"/>
      <c r="C50" s="464"/>
      <c r="D50" s="464"/>
      <c r="E50" s="464"/>
      <c r="F50" s="464"/>
      <c r="G50" s="464"/>
      <c r="H50" s="466"/>
      <c r="I50" s="11"/>
      <c r="J50" s="62"/>
      <c r="K50" s="62"/>
      <c r="L50" s="70"/>
      <c r="M50" s="461"/>
      <c r="N50" s="73"/>
      <c r="O50" s="70"/>
      <c r="P50" s="70"/>
      <c r="Q50" s="70"/>
      <c r="R50" s="43"/>
      <c r="S50" s="43"/>
      <c r="T50" s="462"/>
      <c r="U50" s="42"/>
      <c r="V50" s="58"/>
      <c r="W50" s="58"/>
      <c r="X50" s="58"/>
      <c r="Y50" s="58"/>
    </row>
    <row r="51" spans="1:25" ht="20.25" x14ac:dyDescent="0.35">
      <c r="A51" s="384" t="s">
        <v>1886</v>
      </c>
      <c r="B51" s="464"/>
      <c r="C51" s="464"/>
      <c r="D51" s="464"/>
      <c r="E51" s="464"/>
      <c r="F51" s="464"/>
      <c r="G51" s="464"/>
      <c r="H51" s="466"/>
      <c r="I51" s="11"/>
      <c r="J51" s="62"/>
      <c r="K51" s="62"/>
      <c r="L51" s="70"/>
      <c r="M51" s="461"/>
      <c r="N51" s="73"/>
      <c r="O51" s="70"/>
      <c r="P51" s="70"/>
      <c r="Q51" s="70"/>
      <c r="R51" s="43"/>
      <c r="S51" s="43"/>
      <c r="T51" s="462"/>
      <c r="U51" s="42"/>
      <c r="V51" s="58"/>
      <c r="W51" s="58"/>
      <c r="X51" s="58"/>
      <c r="Y51" s="58"/>
    </row>
    <row r="52" spans="1:25" ht="15.75" x14ac:dyDescent="0.25">
      <c r="A52" s="384" t="s">
        <v>2841</v>
      </c>
      <c r="B52" s="464"/>
      <c r="C52" s="464"/>
      <c r="D52" s="464"/>
      <c r="E52" s="464"/>
      <c r="F52" s="464"/>
      <c r="G52" s="464"/>
      <c r="H52" s="466"/>
      <c r="I52" s="11"/>
      <c r="J52" s="62"/>
      <c r="K52" s="62"/>
      <c r="L52" s="70"/>
      <c r="M52" s="461"/>
      <c r="N52" s="73"/>
      <c r="O52" s="70"/>
      <c r="P52" s="70"/>
      <c r="Q52" s="70"/>
      <c r="R52" s="43"/>
      <c r="S52" s="43"/>
      <c r="T52" s="462"/>
      <c r="U52" s="42"/>
      <c r="V52" s="58"/>
      <c r="W52" s="58"/>
      <c r="X52" s="58"/>
      <c r="Y52" s="58"/>
    </row>
    <row r="53" spans="1:25" ht="15.75" x14ac:dyDescent="0.25">
      <c r="A53" s="384" t="s">
        <v>2842</v>
      </c>
      <c r="B53" s="464"/>
      <c r="C53" s="464"/>
      <c r="D53" s="464"/>
      <c r="E53" s="464"/>
      <c r="F53" s="464"/>
      <c r="G53" s="464"/>
      <c r="H53" s="466"/>
      <c r="I53" s="11"/>
      <c r="J53" s="62"/>
      <c r="K53" s="62"/>
      <c r="L53" s="62"/>
      <c r="M53" s="461"/>
      <c r="N53" s="404"/>
      <c r="O53" s="15"/>
      <c r="P53" s="198"/>
      <c r="Q53" s="198"/>
      <c r="R53" s="47"/>
      <c r="S53" s="47"/>
      <c r="T53" s="472"/>
      <c r="U53" s="42"/>
      <c r="V53" s="58"/>
      <c r="W53" s="58"/>
      <c r="X53" s="58"/>
      <c r="Y53" s="58"/>
    </row>
    <row r="54" spans="1:25" ht="20.25" x14ac:dyDescent="0.35">
      <c r="A54" s="386" t="s">
        <v>1087</v>
      </c>
      <c r="B54" s="15"/>
      <c r="C54" s="15"/>
      <c r="D54" s="15"/>
      <c r="E54" s="15"/>
      <c r="F54" s="15"/>
      <c r="G54" s="15"/>
      <c r="H54" s="385"/>
      <c r="I54" s="11"/>
      <c r="J54" s="62"/>
      <c r="K54" s="62"/>
      <c r="L54" s="62"/>
      <c r="M54" s="461"/>
      <c r="N54" s="404"/>
      <c r="O54" s="15"/>
      <c r="P54" s="198"/>
      <c r="Q54" s="198"/>
      <c r="R54" s="47"/>
      <c r="S54" s="47"/>
      <c r="T54" s="472"/>
      <c r="U54" s="42"/>
      <c r="V54" s="58"/>
      <c r="W54" s="58"/>
      <c r="X54" s="58"/>
      <c r="Y54" s="58"/>
    </row>
    <row r="55" spans="1:25" ht="15.75" x14ac:dyDescent="0.25">
      <c r="A55" s="473" t="s">
        <v>3249</v>
      </c>
      <c r="B55" s="15"/>
      <c r="C55" s="15"/>
      <c r="D55" s="15"/>
      <c r="E55" s="15"/>
      <c r="F55" s="15"/>
      <c r="G55" s="15"/>
      <c r="H55" s="385"/>
      <c r="I55" s="11"/>
      <c r="J55" s="62"/>
      <c r="K55" s="62"/>
      <c r="L55" s="62"/>
      <c r="M55" s="461"/>
      <c r="N55" s="404"/>
      <c r="O55" s="15"/>
      <c r="P55" s="198"/>
      <c r="Q55" s="198"/>
      <c r="R55" s="47"/>
      <c r="S55" s="47"/>
      <c r="T55" s="472"/>
      <c r="U55" s="42"/>
      <c r="V55" s="58"/>
      <c r="W55" s="58"/>
      <c r="X55" s="58"/>
      <c r="Y55" s="58"/>
    </row>
    <row r="56" spans="1:25" ht="15.75" x14ac:dyDescent="0.25">
      <c r="A56" s="384" t="s">
        <v>3250</v>
      </c>
      <c r="B56" s="15"/>
      <c r="C56" s="15"/>
      <c r="D56" s="15"/>
      <c r="E56" s="15"/>
      <c r="F56" s="15"/>
      <c r="G56" s="15"/>
      <c r="H56" s="385"/>
      <c r="I56" s="11"/>
      <c r="J56" s="62"/>
      <c r="K56" s="62"/>
      <c r="L56" s="62"/>
      <c r="M56" s="461"/>
      <c r="N56" s="404"/>
      <c r="O56" s="15"/>
      <c r="P56" s="198"/>
      <c r="Q56" s="198"/>
      <c r="R56" s="47"/>
      <c r="S56" s="47"/>
      <c r="T56" s="472"/>
      <c r="U56" s="42"/>
      <c r="V56" s="58"/>
      <c r="W56" s="58"/>
      <c r="X56" s="58"/>
      <c r="Y56" s="58"/>
    </row>
    <row r="57" spans="1:25" ht="15.75" x14ac:dyDescent="0.25">
      <c r="A57" s="384" t="s">
        <v>3251</v>
      </c>
      <c r="B57" s="15"/>
      <c r="C57" s="15"/>
      <c r="D57" s="15"/>
      <c r="E57" s="15"/>
      <c r="F57" s="15"/>
      <c r="G57" s="15"/>
      <c r="H57" s="385"/>
      <c r="I57" s="11"/>
      <c r="J57" s="62"/>
      <c r="K57" s="62"/>
      <c r="L57" s="62"/>
      <c r="M57" s="461"/>
      <c r="N57" s="404"/>
      <c r="O57" s="15"/>
      <c r="P57" s="198"/>
      <c r="Q57" s="198"/>
      <c r="R57" s="47"/>
      <c r="S57" s="47"/>
      <c r="T57" s="472"/>
      <c r="U57" s="42"/>
      <c r="V57" s="58"/>
      <c r="W57" s="58"/>
      <c r="X57" s="58"/>
      <c r="Y57" s="58"/>
    </row>
    <row r="58" spans="1:25" ht="20.25" x14ac:dyDescent="0.35">
      <c r="A58" s="384" t="s">
        <v>301</v>
      </c>
      <c r="B58" s="15"/>
      <c r="C58" s="15"/>
      <c r="D58" s="15"/>
      <c r="E58" s="15"/>
      <c r="F58" s="15"/>
      <c r="G58" s="15"/>
      <c r="H58" s="385"/>
      <c r="I58" s="11"/>
      <c r="J58" s="62"/>
      <c r="K58" s="62"/>
      <c r="L58" s="62"/>
      <c r="M58" s="461"/>
      <c r="N58" s="404"/>
      <c r="O58" s="15"/>
      <c r="P58" s="198"/>
      <c r="Q58" s="198"/>
      <c r="R58" s="47"/>
      <c r="S58" s="47"/>
      <c r="T58" s="472"/>
      <c r="U58" s="42"/>
      <c r="V58" s="58"/>
      <c r="W58" s="58"/>
      <c r="X58" s="58"/>
      <c r="Y58" s="58"/>
    </row>
    <row r="59" spans="1:25" ht="20.25" x14ac:dyDescent="0.35">
      <c r="A59" s="384" t="s">
        <v>302</v>
      </c>
      <c r="B59" s="15"/>
      <c r="C59" s="15"/>
      <c r="D59" s="15"/>
      <c r="E59" s="15"/>
      <c r="F59" s="15"/>
      <c r="G59" s="15"/>
      <c r="H59" s="385"/>
      <c r="I59" s="11"/>
      <c r="J59" s="62"/>
      <c r="K59" s="62"/>
      <c r="L59" s="62"/>
      <c r="M59" s="461"/>
      <c r="N59" s="404"/>
      <c r="O59" s="15"/>
      <c r="P59" s="198"/>
      <c r="Q59" s="198"/>
      <c r="R59" s="47"/>
      <c r="S59" s="47"/>
      <c r="T59" s="472"/>
      <c r="U59" s="42"/>
      <c r="V59" s="58"/>
      <c r="W59" s="58"/>
      <c r="X59" s="58"/>
      <c r="Y59" s="58"/>
    </row>
    <row r="60" spans="1:25" ht="15.75" x14ac:dyDescent="0.25">
      <c r="A60" s="384" t="s">
        <v>3252</v>
      </c>
      <c r="B60" s="15"/>
      <c r="C60" s="15"/>
      <c r="D60" s="15"/>
      <c r="E60" s="15"/>
      <c r="F60" s="15"/>
      <c r="G60" s="15"/>
      <c r="H60" s="385"/>
      <c r="I60" s="11"/>
      <c r="J60" s="62"/>
      <c r="K60" s="62"/>
      <c r="L60" s="62"/>
      <c r="M60" s="461"/>
      <c r="N60" s="404"/>
      <c r="O60" s="15"/>
      <c r="P60" s="198"/>
      <c r="Q60" s="198"/>
      <c r="R60" s="47"/>
      <c r="S60" s="47"/>
      <c r="T60" s="472"/>
      <c r="U60" s="42"/>
      <c r="V60" s="58"/>
      <c r="W60" s="58"/>
      <c r="X60" s="58"/>
      <c r="Y60" s="58"/>
    </row>
    <row r="61" spans="1:25" ht="15.75" x14ac:dyDescent="0.25">
      <c r="A61" s="384" t="s">
        <v>3253</v>
      </c>
      <c r="B61" s="15"/>
      <c r="C61" s="15"/>
      <c r="D61" s="15"/>
      <c r="E61" s="15"/>
      <c r="F61" s="15"/>
      <c r="G61" s="15"/>
      <c r="H61" s="385"/>
      <c r="I61" s="11"/>
      <c r="J61" s="62"/>
      <c r="K61" s="62"/>
      <c r="L61" s="62"/>
      <c r="M61" s="461"/>
      <c r="N61" s="404"/>
      <c r="O61" s="15"/>
      <c r="P61" s="198"/>
      <c r="Q61" s="198"/>
      <c r="R61" s="47"/>
      <c r="S61" s="47"/>
      <c r="T61" s="472"/>
      <c r="U61" s="42"/>
      <c r="V61" s="58"/>
      <c r="W61" s="58"/>
      <c r="X61" s="58"/>
      <c r="Y61" s="58"/>
    </row>
    <row r="62" spans="1:25" ht="15.75" x14ac:dyDescent="0.25">
      <c r="A62" s="384" t="s">
        <v>3254</v>
      </c>
      <c r="B62" s="15"/>
      <c r="C62" s="15"/>
      <c r="D62" s="15"/>
      <c r="E62" s="15"/>
      <c r="F62" s="15"/>
      <c r="G62" s="15"/>
      <c r="H62" s="385"/>
      <c r="I62" s="11"/>
      <c r="J62" s="62"/>
      <c r="K62" s="62"/>
      <c r="L62" s="62"/>
      <c r="M62" s="461"/>
      <c r="N62" s="404"/>
      <c r="O62" s="15"/>
      <c r="P62" s="198"/>
      <c r="Q62" s="198"/>
      <c r="R62" s="47"/>
      <c r="S62" s="47"/>
      <c r="T62" s="472"/>
      <c r="U62" s="42"/>
      <c r="V62" s="58"/>
      <c r="W62" s="58"/>
      <c r="X62" s="58"/>
      <c r="Y62" s="58"/>
    </row>
    <row r="63" spans="1:25" ht="15.75" x14ac:dyDescent="0.25">
      <c r="A63" s="474" t="s">
        <v>2379</v>
      </c>
      <c r="B63" s="1"/>
      <c r="C63" s="15"/>
      <c r="D63" s="15"/>
      <c r="E63" s="15"/>
      <c r="F63" s="15"/>
      <c r="G63" s="15"/>
      <c r="H63" s="475"/>
      <c r="I63" s="11"/>
      <c r="J63" s="62"/>
      <c r="K63" s="62"/>
      <c r="L63" s="62"/>
      <c r="M63" s="461"/>
      <c r="N63" s="404"/>
      <c r="O63" s="15"/>
      <c r="P63" s="198"/>
      <c r="Q63" s="198"/>
      <c r="R63" s="47"/>
      <c r="S63" s="47"/>
      <c r="T63" s="472"/>
      <c r="U63" s="42"/>
      <c r="V63" s="58"/>
      <c r="W63" s="58"/>
      <c r="X63" s="58"/>
      <c r="Y63" s="58"/>
    </row>
    <row r="64" spans="1:25" ht="15.75" x14ac:dyDescent="0.25">
      <c r="A64" s="474" t="s">
        <v>618</v>
      </c>
      <c r="B64" s="1"/>
      <c r="C64" s="15"/>
      <c r="D64" s="15"/>
      <c r="E64" s="15"/>
      <c r="F64" s="15"/>
      <c r="G64" s="15"/>
      <c r="H64" s="475"/>
      <c r="I64" s="11"/>
      <c r="J64" s="62"/>
      <c r="K64" s="62"/>
      <c r="L64" s="62"/>
      <c r="M64" s="461"/>
      <c r="N64" s="404"/>
      <c r="O64" s="15"/>
      <c r="P64" s="198"/>
      <c r="Q64" s="198"/>
      <c r="R64" s="47"/>
      <c r="S64" s="47"/>
      <c r="T64" s="472"/>
      <c r="U64" s="42"/>
      <c r="V64" s="58"/>
      <c r="W64" s="58"/>
      <c r="X64" s="58"/>
      <c r="Y64" s="58"/>
    </row>
    <row r="65" spans="1:25" ht="15.75" x14ac:dyDescent="0.25">
      <c r="A65" s="474" t="s">
        <v>373</v>
      </c>
      <c r="B65" s="1"/>
      <c r="C65" s="15"/>
      <c r="D65" s="15"/>
      <c r="E65" s="15"/>
      <c r="F65" s="15"/>
      <c r="G65" s="15"/>
      <c r="H65" s="475"/>
      <c r="I65" s="11"/>
      <c r="J65" s="62"/>
      <c r="K65" s="62"/>
      <c r="L65" s="62"/>
      <c r="M65" s="461"/>
      <c r="N65" s="404"/>
      <c r="O65" s="15"/>
      <c r="P65" s="198"/>
      <c r="Q65" s="198"/>
      <c r="R65" s="47"/>
      <c r="S65" s="47"/>
      <c r="T65" s="472"/>
      <c r="U65" s="42"/>
      <c r="V65" s="58"/>
      <c r="W65" s="58"/>
      <c r="X65" s="58"/>
      <c r="Y65" s="58"/>
    </row>
    <row r="66" spans="1:25" ht="15.75" x14ac:dyDescent="0.25">
      <c r="A66" s="474" t="s">
        <v>619</v>
      </c>
      <c r="B66" s="1"/>
      <c r="C66" s="15"/>
      <c r="D66" s="15"/>
      <c r="E66" s="15"/>
      <c r="F66" s="15"/>
      <c r="G66" s="15"/>
      <c r="H66" s="475"/>
      <c r="I66" s="11"/>
      <c r="J66" s="62"/>
      <c r="K66" s="62"/>
      <c r="L66" s="62"/>
      <c r="M66" s="461"/>
      <c r="N66" s="404"/>
      <c r="O66" s="15"/>
      <c r="P66" s="198"/>
      <c r="Q66" s="198"/>
      <c r="R66" s="47"/>
      <c r="S66" s="47"/>
      <c r="T66" s="472"/>
      <c r="U66" s="42"/>
      <c r="V66" s="58"/>
      <c r="W66" s="58"/>
      <c r="X66" s="58"/>
      <c r="Y66" s="58"/>
    </row>
    <row r="67" spans="1:25" ht="15.75" x14ac:dyDescent="0.25">
      <c r="A67" s="474" t="s">
        <v>620</v>
      </c>
      <c r="B67" s="1"/>
      <c r="C67" s="15"/>
      <c r="D67" s="15"/>
      <c r="E67" s="15"/>
      <c r="F67" s="15"/>
      <c r="G67" s="15"/>
      <c r="H67" s="475"/>
      <c r="I67" s="11"/>
      <c r="J67" s="62"/>
      <c r="K67" s="62"/>
      <c r="L67" s="62"/>
      <c r="M67" s="461"/>
      <c r="N67" s="404"/>
      <c r="O67" s="15"/>
      <c r="P67" s="198"/>
      <c r="Q67" s="198"/>
      <c r="R67" s="47"/>
      <c r="S67" s="47"/>
      <c r="T67" s="472"/>
      <c r="U67" s="42"/>
      <c r="V67" s="58"/>
      <c r="W67" s="58"/>
      <c r="X67" s="58"/>
      <c r="Y67" s="58"/>
    </row>
    <row r="68" spans="1:25" ht="15.75" x14ac:dyDescent="0.25">
      <c r="A68" s="474" t="s">
        <v>621</v>
      </c>
      <c r="B68" s="1"/>
      <c r="C68" s="15"/>
      <c r="D68" s="15"/>
      <c r="E68" s="15"/>
      <c r="F68" s="15"/>
      <c r="G68" s="15"/>
      <c r="H68" s="475"/>
      <c r="I68" s="11"/>
      <c r="J68" s="62"/>
      <c r="K68" s="62"/>
      <c r="L68" s="62"/>
      <c r="M68" s="461"/>
      <c r="N68" s="404"/>
      <c r="O68" s="15"/>
      <c r="P68" s="198"/>
      <c r="Q68" s="198"/>
      <c r="R68" s="47"/>
      <c r="S68" s="47"/>
      <c r="T68" s="472"/>
      <c r="U68" s="42"/>
      <c r="V68" s="58"/>
      <c r="W68" s="58"/>
      <c r="X68" s="58"/>
      <c r="Y68" s="58"/>
    </row>
    <row r="69" spans="1:25" ht="15.75" x14ac:dyDescent="0.25">
      <c r="A69" s="476" t="s">
        <v>1368</v>
      </c>
      <c r="B69" s="1"/>
      <c r="C69" s="15"/>
      <c r="D69" s="15"/>
      <c r="E69" s="15"/>
      <c r="F69" s="15"/>
      <c r="G69" s="15"/>
      <c r="H69" s="475"/>
      <c r="I69" s="11"/>
      <c r="J69" s="62"/>
      <c r="K69" s="62"/>
      <c r="L69" s="62"/>
      <c r="M69" s="461"/>
      <c r="N69" s="404"/>
      <c r="O69" s="15"/>
      <c r="P69" s="198"/>
      <c r="Q69" s="198"/>
      <c r="R69" s="47"/>
      <c r="S69" s="47"/>
      <c r="T69" s="472"/>
      <c r="U69" s="42"/>
      <c r="V69" s="58"/>
      <c r="W69" s="58"/>
      <c r="X69" s="58"/>
      <c r="Y69" s="58"/>
    </row>
    <row r="70" spans="1:25" ht="15.75" x14ac:dyDescent="0.25">
      <c r="A70" s="474" t="s">
        <v>1369</v>
      </c>
      <c r="B70" s="1"/>
      <c r="C70" s="15"/>
      <c r="D70" s="15"/>
      <c r="E70" s="15"/>
      <c r="F70" s="15"/>
      <c r="G70" s="15"/>
      <c r="H70" s="475"/>
      <c r="I70" s="11"/>
      <c r="J70" s="62"/>
      <c r="K70" s="62"/>
      <c r="L70" s="62"/>
      <c r="M70" s="461"/>
      <c r="N70" s="404"/>
      <c r="O70" s="15"/>
      <c r="P70" s="198"/>
      <c r="Q70" s="198"/>
      <c r="R70" s="47"/>
      <c r="S70" s="47"/>
      <c r="T70" s="472"/>
      <c r="U70" s="42"/>
      <c r="V70" s="58"/>
      <c r="W70" s="58"/>
      <c r="X70" s="58"/>
      <c r="Y70" s="58"/>
    </row>
    <row r="71" spans="1:25" ht="15.75" x14ac:dyDescent="0.25">
      <c r="A71" s="474" t="s">
        <v>3</v>
      </c>
      <c r="B71" s="1"/>
      <c r="C71" s="15"/>
      <c r="D71" s="15"/>
      <c r="E71" s="15"/>
      <c r="F71" s="15"/>
      <c r="G71" s="15"/>
      <c r="H71" s="475"/>
      <c r="I71" s="11"/>
      <c r="J71" s="62"/>
      <c r="K71" s="62"/>
      <c r="L71" s="62"/>
      <c r="M71" s="461"/>
      <c r="N71" s="404"/>
      <c r="O71" s="15"/>
      <c r="P71" s="198"/>
      <c r="Q71" s="198"/>
      <c r="R71" s="47"/>
      <c r="S71" s="47"/>
      <c r="T71" s="472"/>
      <c r="U71" s="42"/>
      <c r="V71" s="58"/>
      <c r="W71" s="58"/>
      <c r="X71" s="58"/>
      <c r="Y71" s="58"/>
    </row>
    <row r="72" spans="1:25" ht="15.75" x14ac:dyDescent="0.25">
      <c r="A72" s="384" t="s">
        <v>4</v>
      </c>
      <c r="B72" s="15"/>
      <c r="C72" s="15"/>
      <c r="D72" s="15"/>
      <c r="E72" s="15"/>
      <c r="F72" s="15"/>
      <c r="G72" s="15"/>
      <c r="H72" s="385"/>
      <c r="I72" s="11"/>
      <c r="J72" s="62"/>
      <c r="K72" s="62"/>
      <c r="L72" s="62"/>
      <c r="M72" s="461"/>
      <c r="N72" s="404"/>
      <c r="O72" s="15"/>
      <c r="P72" s="198"/>
      <c r="Q72" s="198"/>
      <c r="R72" s="47"/>
      <c r="S72" s="47"/>
      <c r="T72" s="472"/>
      <c r="U72" s="42"/>
      <c r="V72" s="58"/>
      <c r="W72" s="58"/>
      <c r="X72" s="58"/>
      <c r="Y72" s="58"/>
    </row>
    <row r="73" spans="1:25" ht="15.75" x14ac:dyDescent="0.25">
      <c r="A73" s="384" t="s">
        <v>5</v>
      </c>
      <c r="B73" s="15"/>
      <c r="C73" s="15"/>
      <c r="D73" s="15"/>
      <c r="E73" s="15"/>
      <c r="F73" s="15"/>
      <c r="G73" s="15"/>
      <c r="H73" s="385"/>
      <c r="I73" s="11"/>
      <c r="J73" s="62"/>
      <c r="K73" s="62"/>
      <c r="L73" s="62"/>
      <c r="M73" s="461"/>
      <c r="N73" s="404"/>
      <c r="O73" s="15"/>
      <c r="P73" s="198"/>
      <c r="Q73" s="198"/>
      <c r="R73" s="47"/>
      <c r="S73" s="47"/>
      <c r="T73" s="472"/>
      <c r="U73" s="42"/>
      <c r="V73" s="58"/>
      <c r="W73" s="58"/>
      <c r="X73" s="58"/>
      <c r="Y73" s="58"/>
    </row>
    <row r="74" spans="1:25" ht="15.75" x14ac:dyDescent="0.25">
      <c r="A74" s="384" t="s">
        <v>6</v>
      </c>
      <c r="B74" s="15"/>
      <c r="C74" s="15"/>
      <c r="D74" s="15"/>
      <c r="E74" s="15"/>
      <c r="F74" s="15"/>
      <c r="G74" s="15"/>
      <c r="H74" s="385"/>
      <c r="I74" s="11"/>
      <c r="J74" s="62"/>
      <c r="K74" s="62"/>
      <c r="L74" s="62"/>
      <c r="M74" s="461"/>
      <c r="N74" s="404"/>
      <c r="O74" s="15"/>
      <c r="P74" s="198"/>
      <c r="Q74" s="198"/>
      <c r="R74" s="47"/>
      <c r="S74" s="47"/>
      <c r="T74" s="472"/>
      <c r="U74" s="42"/>
      <c r="V74" s="58"/>
      <c r="W74" s="58"/>
      <c r="X74" s="58"/>
      <c r="Y74" s="58"/>
    </row>
    <row r="75" spans="1:25" ht="15.75" x14ac:dyDescent="0.25">
      <c r="A75" s="476" t="s">
        <v>7</v>
      </c>
      <c r="B75" s="15"/>
      <c r="C75" s="15"/>
      <c r="D75" s="15"/>
      <c r="E75" s="15"/>
      <c r="F75" s="15"/>
      <c r="G75" s="15"/>
      <c r="H75" s="385"/>
      <c r="I75" s="11"/>
      <c r="J75" s="62"/>
      <c r="K75" s="62"/>
      <c r="L75" s="62"/>
      <c r="M75" s="461"/>
      <c r="N75" s="404"/>
      <c r="O75" s="15"/>
      <c r="P75" s="198"/>
      <c r="Q75" s="198"/>
      <c r="R75" s="47"/>
      <c r="S75" s="47"/>
      <c r="T75" s="472"/>
      <c r="U75" s="42"/>
      <c r="V75" s="58"/>
      <c r="W75" s="58"/>
      <c r="X75" s="58"/>
      <c r="Y75" s="58"/>
    </row>
    <row r="76" spans="1:25" ht="16.5" thickBot="1" x14ac:dyDescent="0.3">
      <c r="A76" s="477"/>
      <c r="B76" s="355"/>
      <c r="C76" s="397"/>
      <c r="D76" s="397"/>
      <c r="E76" s="397"/>
      <c r="F76" s="397"/>
      <c r="G76" s="397"/>
      <c r="H76" s="478"/>
      <c r="I76" s="11"/>
      <c r="J76" s="62"/>
      <c r="K76" s="62"/>
      <c r="L76" s="62"/>
      <c r="M76" s="461"/>
      <c r="N76" s="404"/>
      <c r="O76" s="15"/>
      <c r="P76" s="198"/>
      <c r="Q76" s="198"/>
      <c r="R76" s="47"/>
      <c r="S76" s="47"/>
      <c r="T76" s="472"/>
      <c r="U76" s="42"/>
      <c r="V76" s="58"/>
      <c r="W76" s="58"/>
      <c r="X76" s="58"/>
      <c r="Y76" s="58"/>
    </row>
    <row r="77" spans="1:25" ht="15.75" x14ac:dyDescent="0.25">
      <c r="A77" s="479"/>
      <c r="C77" s="11"/>
      <c r="D77" s="11"/>
      <c r="E77" s="11"/>
      <c r="F77" s="11"/>
      <c r="G77" s="11"/>
      <c r="H77" s="14"/>
      <c r="I77" s="11"/>
      <c r="J77" s="62"/>
      <c r="K77" s="62"/>
      <c r="L77" s="62"/>
      <c r="M77" s="461"/>
      <c r="N77" s="404"/>
      <c r="O77" s="15"/>
      <c r="P77" s="198"/>
      <c r="Q77" s="198"/>
      <c r="R77" s="47"/>
      <c r="S77" s="47"/>
      <c r="T77" s="472"/>
      <c r="U77" s="42"/>
      <c r="V77" s="58"/>
      <c r="W77" s="58"/>
      <c r="X77" s="58"/>
      <c r="Y77" s="58"/>
    </row>
    <row r="78" spans="1:25" ht="18.75" x14ac:dyDescent="0.3">
      <c r="A78" s="4435" t="s">
        <v>3367</v>
      </c>
      <c r="B78" s="4436"/>
      <c r="C78" s="4436"/>
      <c r="D78" s="4436"/>
      <c r="E78" s="4436"/>
      <c r="F78" s="4436"/>
      <c r="G78" s="4436"/>
      <c r="H78" s="4436"/>
      <c r="I78" s="11"/>
      <c r="J78" s="62"/>
      <c r="K78" s="62"/>
      <c r="L78" s="62"/>
      <c r="M78" s="461"/>
      <c r="N78" s="404"/>
      <c r="O78" s="15"/>
      <c r="P78" s="198"/>
      <c r="Q78" s="198"/>
      <c r="R78" s="47"/>
      <c r="S78" s="47"/>
      <c r="T78" s="472"/>
      <c r="U78" s="42"/>
      <c r="V78" s="58"/>
      <c r="W78" s="58"/>
      <c r="X78" s="58"/>
      <c r="Y78" s="58"/>
    </row>
    <row r="79" spans="1:25" ht="15.75" x14ac:dyDescent="0.25">
      <c r="A79" s="479"/>
      <c r="C79" s="11"/>
      <c r="D79" s="11"/>
      <c r="E79" s="11"/>
      <c r="F79" s="11"/>
      <c r="G79" s="11"/>
      <c r="H79" s="14"/>
      <c r="I79" s="11"/>
      <c r="J79" s="62"/>
      <c r="K79" s="62"/>
      <c r="L79" s="62"/>
      <c r="M79" s="461"/>
      <c r="N79" s="404"/>
      <c r="O79" s="15"/>
      <c r="P79" s="198"/>
      <c r="Q79" s="198"/>
      <c r="R79" s="47"/>
      <c r="S79" s="47"/>
      <c r="T79" s="472"/>
      <c r="U79" s="42"/>
      <c r="V79" s="58"/>
      <c r="W79" s="58"/>
      <c r="X79" s="58"/>
      <c r="Y79" s="58"/>
    </row>
    <row r="80" spans="1:25" ht="48" customHeight="1" x14ac:dyDescent="0.25">
      <c r="A80" s="4437" t="s">
        <v>1812</v>
      </c>
      <c r="B80" s="4349"/>
      <c r="C80" s="4349"/>
      <c r="D80" s="4349"/>
      <c r="E80" s="4349"/>
      <c r="F80" s="4349"/>
      <c r="G80" s="4349"/>
      <c r="H80" s="480"/>
      <c r="I80" s="11"/>
      <c r="K80" s="62"/>
      <c r="L80" s="62"/>
      <c r="M80" s="461"/>
      <c r="N80" s="404"/>
      <c r="O80" s="15"/>
      <c r="P80" s="198"/>
      <c r="Q80" s="198"/>
      <c r="R80" s="47"/>
      <c r="S80" s="481">
        <f>IF(H80=1,1,0)</f>
        <v>0</v>
      </c>
      <c r="T80" s="472"/>
      <c r="U80" s="42"/>
      <c r="V80" s="58"/>
      <c r="W80" s="58"/>
      <c r="X80" s="58"/>
      <c r="Y80" s="58"/>
    </row>
    <row r="81" spans="1:25" ht="60.75" customHeight="1" x14ac:dyDescent="0.25">
      <c r="A81" s="4510" t="s">
        <v>1556</v>
      </c>
      <c r="B81" s="4511"/>
      <c r="C81" s="4511"/>
      <c r="D81" s="4511"/>
      <c r="E81" s="4511"/>
      <c r="F81" s="4511"/>
      <c r="G81" s="4512"/>
      <c r="H81" s="480"/>
      <c r="I81" s="11"/>
      <c r="K81" s="62"/>
      <c r="L81" s="62"/>
      <c r="M81" s="461"/>
      <c r="N81" s="404"/>
      <c r="O81" s="15"/>
      <c r="P81" s="198"/>
      <c r="Q81" s="198"/>
      <c r="R81" s="47"/>
      <c r="S81" s="481">
        <f>IF(H81=2,1,0)</f>
        <v>0</v>
      </c>
      <c r="T81" s="472"/>
      <c r="U81" s="42"/>
      <c r="V81" s="58"/>
      <c r="W81" s="58"/>
      <c r="X81" s="58"/>
      <c r="Y81" s="58"/>
    </row>
    <row r="82" spans="1:25" ht="56.25" customHeight="1" x14ac:dyDescent="0.25">
      <c r="A82" s="4437" t="s">
        <v>2733</v>
      </c>
      <c r="B82" s="4349"/>
      <c r="C82" s="4349"/>
      <c r="D82" s="4349"/>
      <c r="E82" s="4349"/>
      <c r="F82" s="4349"/>
      <c r="G82" s="4349"/>
      <c r="H82" s="401"/>
      <c r="I82" s="11"/>
      <c r="K82" s="62"/>
      <c r="L82" s="62"/>
      <c r="M82" s="461"/>
      <c r="N82" s="404"/>
      <c r="O82" s="15"/>
      <c r="P82" s="198"/>
      <c r="Q82" s="198"/>
      <c r="R82" s="47"/>
      <c r="S82" s="481">
        <f>IF(H82=3,1,0)</f>
        <v>0</v>
      </c>
      <c r="T82" s="472"/>
      <c r="U82" s="42"/>
      <c r="V82" s="58"/>
      <c r="W82" s="58"/>
      <c r="X82" s="58"/>
      <c r="Y82" s="58"/>
    </row>
    <row r="83" spans="1:25" ht="57" customHeight="1" x14ac:dyDescent="0.25">
      <c r="A83" s="4510" t="s">
        <v>1555</v>
      </c>
      <c r="B83" s="4511"/>
      <c r="C83" s="4511"/>
      <c r="D83" s="4511"/>
      <c r="E83" s="4511"/>
      <c r="F83" s="4511"/>
      <c r="G83" s="4512"/>
      <c r="H83" s="480"/>
      <c r="I83" s="11"/>
      <c r="K83" s="62"/>
      <c r="L83" s="62"/>
      <c r="M83" s="461"/>
      <c r="N83" s="404"/>
      <c r="O83" s="15"/>
      <c r="P83" s="198"/>
      <c r="Q83" s="198"/>
      <c r="R83" s="47"/>
      <c r="S83" s="481">
        <f>IF(H83=1,1,0)</f>
        <v>0</v>
      </c>
      <c r="T83" s="472"/>
      <c r="U83" s="42"/>
      <c r="V83" s="58"/>
      <c r="W83" s="58"/>
      <c r="X83" s="58"/>
      <c r="Y83" s="58"/>
    </row>
    <row r="84" spans="1:25" ht="55.5" customHeight="1" x14ac:dyDescent="0.25">
      <c r="A84" s="4513" t="s">
        <v>1557</v>
      </c>
      <c r="B84" s="4411"/>
      <c r="C84" s="4411"/>
      <c r="D84" s="4411"/>
      <c r="E84" s="4411"/>
      <c r="F84" s="4411"/>
      <c r="G84" s="4412"/>
      <c r="H84" s="480"/>
      <c r="I84" s="11"/>
      <c r="K84" s="62"/>
      <c r="L84" s="62"/>
      <c r="M84" s="461"/>
      <c r="N84" s="404"/>
      <c r="O84" s="15"/>
      <c r="P84" s="198"/>
      <c r="Q84" s="198"/>
      <c r="R84" s="47"/>
      <c r="S84" s="481">
        <f>IF(H84=2,1,0)</f>
        <v>0</v>
      </c>
      <c r="T84" s="472"/>
      <c r="U84" s="42"/>
      <c r="V84" s="58"/>
      <c r="W84" s="58"/>
      <c r="X84" s="58"/>
      <c r="Y84" s="58"/>
    </row>
    <row r="85" spans="1:25" ht="15" x14ac:dyDescent="0.25">
      <c r="I85" s="11"/>
      <c r="J85" s="62"/>
      <c r="K85" s="62"/>
      <c r="L85" s="62"/>
      <c r="M85" s="461"/>
      <c r="N85" s="404"/>
      <c r="O85" s="15"/>
      <c r="P85" s="198"/>
      <c r="Q85" s="198"/>
      <c r="R85" s="47"/>
      <c r="S85" s="47"/>
      <c r="T85" s="472"/>
      <c r="U85" s="42"/>
      <c r="V85" s="58"/>
      <c r="W85" s="58"/>
      <c r="X85" s="58"/>
      <c r="Y85" s="58"/>
    </row>
    <row r="86" spans="1:25" ht="19.5" x14ac:dyDescent="0.35">
      <c r="A86" s="482" t="str">
        <f>IF(SUM(S80:S84)=5,"Можете приступать к работе!","")</f>
        <v/>
      </c>
      <c r="B86" s="11"/>
      <c r="C86" s="11"/>
      <c r="D86" s="11"/>
      <c r="E86" s="11"/>
      <c r="F86" s="11"/>
      <c r="G86" s="11"/>
      <c r="H86" s="11"/>
      <c r="I86" s="11"/>
      <c r="J86" s="62"/>
      <c r="K86" s="62"/>
      <c r="L86" s="62"/>
      <c r="M86" s="461"/>
      <c r="N86" s="404"/>
      <c r="O86" s="15"/>
      <c r="P86" s="198"/>
      <c r="Q86" s="198"/>
      <c r="R86" s="47"/>
      <c r="S86" s="47"/>
      <c r="T86" s="472"/>
      <c r="U86" s="42"/>
      <c r="V86" s="58"/>
      <c r="W86" s="58"/>
      <c r="X86" s="58"/>
      <c r="Y86" s="58"/>
    </row>
    <row r="87" spans="1:25" ht="18.75" x14ac:dyDescent="0.3">
      <c r="A87" s="399"/>
      <c r="B87" s="11"/>
      <c r="C87" s="1241" t="str">
        <f>IF(OR(kursovoy!$B$500=2,kursovoy!$B$500=4),"Эта программа только для струговой технологии ! Будьте внимательны !","")</f>
        <v/>
      </c>
      <c r="D87" s="1171"/>
      <c r="E87" s="1171"/>
      <c r="F87" s="1171"/>
      <c r="G87" s="1171"/>
      <c r="H87" s="1171"/>
      <c r="I87" s="1171"/>
      <c r="J87" s="1172"/>
      <c r="K87" s="1172"/>
      <c r="L87" s="1172"/>
      <c r="M87" s="1173"/>
      <c r="N87" s="404"/>
      <c r="O87" s="15"/>
      <c r="P87" s="198"/>
      <c r="Q87" s="198"/>
      <c r="R87" s="47"/>
      <c r="S87" s="47"/>
      <c r="T87" s="472"/>
      <c r="U87" s="42"/>
      <c r="V87" s="58"/>
      <c r="W87" s="58"/>
      <c r="X87" s="58"/>
      <c r="Y87" s="58"/>
    </row>
    <row r="88" spans="1:25" ht="15" x14ac:dyDescent="0.25">
      <c r="A88" s="483"/>
      <c r="B88" s="29"/>
      <c r="C88" s="29"/>
      <c r="D88" s="29"/>
      <c r="E88" s="29"/>
      <c r="F88" s="29"/>
      <c r="G88" s="29"/>
      <c r="H88" s="198"/>
      <c r="I88" s="199"/>
      <c r="J88" s="199"/>
      <c r="K88" s="15"/>
      <c r="L88" s="15"/>
      <c r="M88" s="461"/>
      <c r="U88" s="42"/>
      <c r="V88" s="58"/>
      <c r="W88" s="58"/>
      <c r="X88" s="58"/>
      <c r="Y88" s="58"/>
    </row>
    <row r="89" spans="1:25" ht="18.75" x14ac:dyDescent="0.3">
      <c r="A89" s="524" t="s">
        <v>1418</v>
      </c>
      <c r="C89" s="11"/>
      <c r="D89" s="11"/>
      <c r="E89" s="11"/>
      <c r="F89" s="11"/>
      <c r="G89" s="11"/>
      <c r="H89" s="14"/>
      <c r="I89" s="14"/>
      <c r="J89" s="14"/>
      <c r="K89" s="14"/>
      <c r="L89" s="14"/>
      <c r="M89" s="199"/>
      <c r="N89" s="199"/>
      <c r="O89" s="199"/>
      <c r="P89" s="199"/>
      <c r="Q89" s="199"/>
      <c r="R89" s="58"/>
      <c r="S89" s="58"/>
      <c r="T89" s="58"/>
      <c r="U89" s="58"/>
      <c r="V89" s="58"/>
      <c r="W89" s="58"/>
      <c r="X89" s="58"/>
      <c r="Y89" s="58"/>
    </row>
    <row r="90" spans="1:25" ht="18.75" x14ac:dyDescent="0.3">
      <c r="A90" s="524" t="s">
        <v>2948</v>
      </c>
      <c r="C90" s="11"/>
      <c r="D90" s="11"/>
      <c r="E90" s="11"/>
      <c r="F90" s="11"/>
      <c r="G90" s="11"/>
      <c r="H90" s="14"/>
      <c r="I90" s="14"/>
      <c r="J90" s="14"/>
      <c r="K90" s="14"/>
      <c r="L90" s="14"/>
      <c r="M90" s="199"/>
      <c r="N90" s="199"/>
      <c r="O90" s="199"/>
      <c r="P90" s="199"/>
      <c r="Q90" s="199"/>
      <c r="R90" s="58"/>
      <c r="S90" s="58"/>
      <c r="T90" s="58"/>
      <c r="U90" s="58"/>
      <c r="V90" s="58"/>
      <c r="W90" s="58"/>
      <c r="X90" s="58"/>
      <c r="Y90" s="58"/>
    </row>
    <row r="91" spans="1:25" ht="18.75" x14ac:dyDescent="0.3">
      <c r="A91" s="525" t="s">
        <v>2949</v>
      </c>
      <c r="B91" s="524"/>
      <c r="C91" s="11"/>
      <c r="D91" s="11"/>
      <c r="E91" s="11"/>
      <c r="F91" s="11"/>
      <c r="G91" s="11"/>
      <c r="H91" s="14"/>
      <c r="I91" s="14"/>
      <c r="J91" s="14"/>
      <c r="K91" s="14"/>
      <c r="L91" s="14"/>
      <c r="M91" s="199"/>
      <c r="N91" s="199"/>
      <c r="O91" s="199"/>
      <c r="P91" s="199"/>
      <c r="Q91" s="199"/>
      <c r="R91" s="58"/>
      <c r="S91" s="58"/>
      <c r="T91" s="58"/>
      <c r="U91" s="58"/>
      <c r="V91" s="58"/>
      <c r="W91" s="58"/>
      <c r="X91" s="58"/>
      <c r="Y91" s="58"/>
    </row>
    <row r="92" spans="1:25" ht="15.75" x14ac:dyDescent="0.25">
      <c r="A92" s="479" t="s">
        <v>2950</v>
      </c>
      <c r="C92" s="11"/>
      <c r="D92" s="11"/>
      <c r="E92" s="11"/>
      <c r="F92" s="11"/>
      <c r="G92" s="11"/>
      <c r="H92" s="14"/>
      <c r="I92" s="14"/>
      <c r="J92" s="14"/>
      <c r="K92" s="14"/>
      <c r="L92" s="14"/>
      <c r="M92" s="199"/>
      <c r="N92" s="199"/>
      <c r="O92" s="199"/>
      <c r="P92" s="199"/>
      <c r="Q92" s="199"/>
      <c r="R92" s="58"/>
      <c r="S92" s="58"/>
      <c r="T92" s="58"/>
      <c r="U92" s="58"/>
      <c r="V92" s="58"/>
      <c r="W92" s="58"/>
      <c r="X92" s="58"/>
      <c r="Y92" s="58"/>
    </row>
    <row r="93" spans="1:25" ht="15.75" x14ac:dyDescent="0.25">
      <c r="A93" s="479" t="s">
        <v>2951</v>
      </c>
      <c r="C93" s="11"/>
      <c r="D93" s="11"/>
      <c r="E93" s="11"/>
      <c r="F93" s="11"/>
      <c r="G93" s="11"/>
      <c r="H93" s="14"/>
      <c r="I93" s="14"/>
      <c r="J93" s="14"/>
      <c r="K93" s="14"/>
      <c r="L93" s="14"/>
      <c r="M93" s="199"/>
      <c r="N93" s="199"/>
      <c r="O93" s="199"/>
      <c r="P93" s="199"/>
      <c r="Q93" s="199"/>
      <c r="R93" s="58"/>
      <c r="S93" s="58"/>
      <c r="T93" s="58"/>
      <c r="U93" s="58"/>
      <c r="V93" s="58"/>
      <c r="W93" s="58"/>
      <c r="X93" s="58"/>
      <c r="Y93" s="58"/>
    </row>
    <row r="94" spans="1:25" ht="15.75" x14ac:dyDescent="0.25">
      <c r="A94" s="479" t="s">
        <v>2952</v>
      </c>
      <c r="C94" s="11"/>
      <c r="D94" s="11"/>
      <c r="E94" s="11"/>
      <c r="F94" s="11"/>
      <c r="G94" s="11"/>
      <c r="H94" s="14"/>
      <c r="I94" s="14"/>
      <c r="J94" s="14"/>
      <c r="K94" s="14"/>
      <c r="L94" s="14"/>
      <c r="M94" s="199"/>
      <c r="N94" s="199"/>
      <c r="O94" s="199"/>
      <c r="P94" s="199"/>
      <c r="Q94" s="199"/>
      <c r="R94" s="58"/>
      <c r="S94" s="58"/>
      <c r="T94" s="58"/>
      <c r="U94" s="58"/>
      <c r="V94" s="58"/>
      <c r="W94" s="58"/>
      <c r="X94" s="58"/>
      <c r="Y94" s="58"/>
    </row>
    <row r="95" spans="1:25" ht="15.75" x14ac:dyDescent="0.25">
      <c r="A95" s="479" t="s">
        <v>2953</v>
      </c>
      <c r="C95" s="11"/>
      <c r="D95" s="11"/>
      <c r="E95" s="11"/>
      <c r="F95" s="11"/>
      <c r="G95" s="11"/>
      <c r="H95" s="14"/>
      <c r="I95" s="14"/>
      <c r="J95" s="14"/>
      <c r="K95" s="14"/>
      <c r="L95" s="14"/>
      <c r="M95" s="199"/>
      <c r="N95" s="199"/>
      <c r="O95" s="199"/>
      <c r="P95" s="199"/>
      <c r="Q95" s="199"/>
      <c r="R95" s="58"/>
      <c r="S95" s="58"/>
      <c r="T95" s="58"/>
      <c r="U95" s="58"/>
      <c r="V95" s="58"/>
      <c r="W95" s="58"/>
      <c r="X95" s="58"/>
      <c r="Y95" s="58"/>
    </row>
    <row r="96" spans="1:25" ht="15.75" x14ac:dyDescent="0.25">
      <c r="A96" s="479" t="s">
        <v>2954</v>
      </c>
      <c r="C96" s="11"/>
      <c r="D96" s="11"/>
      <c r="E96" s="11"/>
      <c r="F96" s="11"/>
      <c r="G96" s="11"/>
      <c r="H96" s="14"/>
      <c r="I96" s="14"/>
      <c r="J96" s="14"/>
      <c r="K96" s="14"/>
      <c r="L96" s="14"/>
      <c r="M96" s="199"/>
      <c r="N96" s="199"/>
      <c r="O96" s="199"/>
      <c r="P96" s="199"/>
      <c r="Q96" s="199"/>
      <c r="R96" s="58"/>
      <c r="S96" s="58"/>
      <c r="T96" s="58"/>
      <c r="U96" s="58"/>
      <c r="V96" s="58"/>
      <c r="W96" s="58"/>
      <c r="X96" s="58"/>
      <c r="Y96" s="58"/>
    </row>
    <row r="97" spans="1:25" ht="15.75" x14ac:dyDescent="0.25">
      <c r="A97" s="479" t="s">
        <v>2955</v>
      </c>
      <c r="C97" s="11"/>
      <c r="D97" s="11"/>
      <c r="E97" s="11"/>
      <c r="F97" s="11"/>
      <c r="G97" s="11"/>
      <c r="H97" s="14"/>
      <c r="I97" s="14"/>
      <c r="J97" s="14"/>
      <c r="K97" s="14"/>
      <c r="L97" s="14"/>
      <c r="M97" s="199"/>
      <c r="N97" s="199"/>
      <c r="O97" s="199"/>
      <c r="P97" s="199"/>
      <c r="Q97" s="199"/>
      <c r="R97" s="58"/>
      <c r="S97" s="58"/>
      <c r="T97" s="58"/>
      <c r="U97" s="58"/>
      <c r="V97" s="58"/>
      <c r="W97" s="58"/>
      <c r="X97" s="58"/>
      <c r="Y97" s="58"/>
    </row>
    <row r="98" spans="1:25" ht="15.75" x14ac:dyDescent="0.25">
      <c r="A98" s="479" t="s">
        <v>1878</v>
      </c>
      <c r="C98" s="11"/>
      <c r="D98" s="11"/>
      <c r="E98" s="11"/>
      <c r="F98" s="11"/>
      <c r="G98" s="11"/>
      <c r="H98" s="14"/>
      <c r="I98" s="14"/>
      <c r="J98" s="14"/>
      <c r="K98" s="14"/>
      <c r="L98" s="14"/>
      <c r="M98" s="199"/>
      <c r="N98" s="199"/>
      <c r="O98" s="199"/>
      <c r="P98" s="199"/>
      <c r="Q98" s="199"/>
      <c r="R98" s="58"/>
      <c r="S98" s="58"/>
      <c r="T98" s="58"/>
      <c r="U98" s="58"/>
      <c r="V98" s="58"/>
      <c r="W98" s="58"/>
      <c r="X98" s="58"/>
      <c r="Y98" s="58"/>
    </row>
    <row r="99" spans="1:25" ht="15.75" x14ac:dyDescent="0.25">
      <c r="A99" s="479" t="s">
        <v>1879</v>
      </c>
      <c r="C99" s="11"/>
      <c r="D99" s="11"/>
      <c r="E99" s="11"/>
      <c r="F99" s="11"/>
      <c r="G99" s="11"/>
      <c r="H99" s="14"/>
      <c r="I99" s="14"/>
      <c r="J99" s="14"/>
      <c r="K99" s="14"/>
      <c r="L99" s="14"/>
      <c r="M99" s="199"/>
      <c r="N99" s="199"/>
      <c r="O99" s="199"/>
      <c r="P99" s="199"/>
      <c r="Q99" s="199"/>
      <c r="R99" s="58"/>
      <c r="S99" s="58"/>
      <c r="T99" s="58"/>
      <c r="U99" s="58"/>
      <c r="V99" s="58"/>
      <c r="W99" s="58"/>
      <c r="X99" s="58"/>
      <c r="Y99" s="58"/>
    </row>
    <row r="100" spans="1:25" ht="15.75" x14ac:dyDescent="0.25">
      <c r="A100" s="479" t="s">
        <v>5173</v>
      </c>
      <c r="C100" s="11"/>
      <c r="D100" s="11"/>
      <c r="E100" s="11"/>
      <c r="F100" s="11"/>
      <c r="G100" s="11"/>
      <c r="H100" s="14"/>
      <c r="I100" s="14"/>
      <c r="J100" s="14"/>
      <c r="K100" s="14"/>
      <c r="L100" s="14"/>
      <c r="M100" s="199"/>
      <c r="N100" s="199"/>
      <c r="O100" s="199"/>
      <c r="P100" s="199"/>
      <c r="Q100" s="199"/>
      <c r="R100" s="58"/>
      <c r="S100" s="58"/>
      <c r="T100" s="58"/>
      <c r="U100" s="58"/>
      <c r="V100" s="58"/>
      <c r="W100" s="58"/>
      <c r="X100" s="58"/>
      <c r="Y100" s="58"/>
    </row>
    <row r="101" spans="1:25" ht="15.75" x14ac:dyDescent="0.25">
      <c r="A101" s="479" t="s">
        <v>5174</v>
      </c>
      <c r="C101" s="11"/>
      <c r="D101" s="11"/>
      <c r="E101" s="11"/>
      <c r="F101" s="11"/>
      <c r="G101" s="11"/>
      <c r="H101" s="14"/>
      <c r="I101" s="14"/>
      <c r="J101" s="14"/>
      <c r="K101" s="14"/>
      <c r="L101" s="14"/>
      <c r="M101" s="199"/>
      <c r="N101" s="199"/>
      <c r="O101" s="199"/>
      <c r="P101" s="199"/>
      <c r="Q101" s="199"/>
      <c r="R101" s="58"/>
      <c r="S101" s="58"/>
      <c r="T101" s="58"/>
      <c r="U101" s="58"/>
      <c r="V101" s="58"/>
      <c r="W101" s="58"/>
      <c r="X101" s="58"/>
      <c r="Y101" s="58"/>
    </row>
    <row r="102" spans="1:25" ht="15.75" x14ac:dyDescent="0.25">
      <c r="A102" s="479" t="s">
        <v>5175</v>
      </c>
      <c r="C102" s="11"/>
      <c r="D102" s="11"/>
      <c r="E102" s="11"/>
      <c r="F102" s="11"/>
      <c r="G102" s="11"/>
      <c r="H102" s="14"/>
      <c r="I102" s="14"/>
      <c r="J102" s="14"/>
      <c r="K102" s="14"/>
      <c r="L102" s="14"/>
      <c r="M102" s="199"/>
      <c r="N102" s="199"/>
      <c r="O102" s="199"/>
      <c r="P102" s="199"/>
      <c r="Q102" s="199"/>
      <c r="R102" s="58"/>
      <c r="S102" s="58"/>
      <c r="T102" s="58"/>
      <c r="U102" s="58"/>
      <c r="V102" s="58"/>
      <c r="W102" s="58"/>
      <c r="X102" s="58"/>
      <c r="Y102" s="58"/>
    </row>
    <row r="103" spans="1:25" ht="15.75" x14ac:dyDescent="0.25">
      <c r="A103" s="479" t="s">
        <v>4228</v>
      </c>
      <c r="C103" s="11"/>
      <c r="D103" s="11"/>
      <c r="E103" s="11"/>
      <c r="F103" s="11"/>
      <c r="G103" s="11"/>
      <c r="H103" s="14"/>
      <c r="I103" s="14"/>
      <c r="J103" s="14"/>
      <c r="K103" s="14"/>
      <c r="L103" s="14"/>
      <c r="M103" s="199"/>
      <c r="N103" s="199"/>
      <c r="O103" s="199"/>
      <c r="P103" s="199"/>
      <c r="Q103" s="199"/>
      <c r="R103" s="58"/>
      <c r="S103" s="58"/>
      <c r="T103" s="58"/>
      <c r="U103" s="58"/>
      <c r="V103" s="58"/>
      <c r="W103" s="58"/>
      <c r="X103" s="58"/>
      <c r="Y103" s="58"/>
    </row>
    <row r="104" spans="1:25" ht="15.75" x14ac:dyDescent="0.25">
      <c r="A104" s="479"/>
      <c r="M104" s="199"/>
      <c r="N104" s="199"/>
      <c r="O104" s="199"/>
      <c r="P104" s="199"/>
      <c r="Q104" s="199"/>
      <c r="R104" s="58"/>
      <c r="S104" s="58"/>
      <c r="T104" s="58"/>
      <c r="U104" s="58"/>
      <c r="V104" s="58"/>
      <c r="W104" s="58"/>
      <c r="X104" s="58"/>
      <c r="Y104" s="58"/>
    </row>
    <row r="105" spans="1:25" ht="15.75" x14ac:dyDescent="0.25">
      <c r="A105" s="1111" t="s">
        <v>593</v>
      </c>
      <c r="B105" s="199"/>
      <c r="C105" s="199"/>
      <c r="D105" s="199"/>
      <c r="E105" s="199"/>
      <c r="F105" s="199"/>
      <c r="G105" s="199"/>
      <c r="H105" s="523"/>
      <c r="I105" s="523"/>
      <c r="J105" s="523"/>
      <c r="K105" s="523"/>
      <c r="L105" s="523"/>
      <c r="M105" s="199"/>
      <c r="N105" s="199"/>
      <c r="O105" s="199"/>
      <c r="P105" s="199"/>
      <c r="Q105" s="199"/>
      <c r="R105" s="58"/>
      <c r="S105" s="58"/>
      <c r="T105" s="58"/>
      <c r="U105" s="58"/>
      <c r="V105" s="58"/>
      <c r="W105" s="58"/>
      <c r="X105" s="58"/>
      <c r="Y105" s="58"/>
    </row>
    <row r="106" spans="1:25" ht="19.5" x14ac:dyDescent="0.35">
      <c r="A106" s="1243" t="s">
        <v>2018</v>
      </c>
      <c r="B106" s="199"/>
      <c r="C106" s="199"/>
      <c r="D106" s="199"/>
      <c r="E106" s="199"/>
      <c r="F106" s="199"/>
      <c r="I106" s="1242">
        <f>ROW(109:109)</f>
        <v>109</v>
      </c>
      <c r="J106" s="523"/>
      <c r="K106" s="523"/>
      <c r="L106" s="523"/>
      <c r="M106" s="199"/>
      <c r="N106" s="199"/>
      <c r="O106" s="199"/>
      <c r="P106" s="199"/>
      <c r="Q106" s="199"/>
      <c r="R106" s="58"/>
      <c r="S106" s="58"/>
      <c r="T106" s="58"/>
      <c r="U106" s="58"/>
      <c r="V106" s="58"/>
      <c r="W106" s="58"/>
      <c r="X106" s="58"/>
      <c r="Y106" s="58"/>
    </row>
    <row r="107" spans="1:25" ht="19.5" x14ac:dyDescent="0.35">
      <c r="A107" s="1243" t="s">
        <v>2063</v>
      </c>
      <c r="B107" s="199"/>
      <c r="C107" s="199"/>
      <c r="D107" s="199"/>
      <c r="E107" s="199"/>
      <c r="F107" s="199"/>
      <c r="G107" s="199"/>
      <c r="H107" s="523"/>
      <c r="I107" s="523"/>
      <c r="J107" s="523"/>
      <c r="K107" s="523"/>
      <c r="L107" s="523"/>
      <c r="M107" s="199"/>
      <c r="N107" s="199"/>
      <c r="O107" s="199"/>
      <c r="P107" s="199"/>
      <c r="Q107" s="199"/>
      <c r="R107" s="58"/>
      <c r="S107" s="58"/>
      <c r="T107" s="58"/>
      <c r="U107" s="58"/>
      <c r="V107" s="58"/>
      <c r="W107" s="58"/>
      <c r="X107" s="58"/>
      <c r="Y107" s="58"/>
    </row>
    <row r="108" spans="1:25" ht="15.75" x14ac:dyDescent="0.25">
      <c r="A108" s="479" t="s">
        <v>1198</v>
      </c>
      <c r="B108" s="199"/>
      <c r="C108" s="199"/>
      <c r="D108" s="1112">
        <f>ROW(109:109)</f>
        <v>109</v>
      </c>
      <c r="E108" s="199" t="s">
        <v>4172</v>
      </c>
      <c r="F108" s="199"/>
      <c r="G108" s="199"/>
      <c r="H108" s="523"/>
      <c r="I108" s="523"/>
      <c r="J108" s="523"/>
      <c r="K108" s="523"/>
      <c r="L108" s="523"/>
      <c r="M108" s="199"/>
      <c r="N108" s="199"/>
      <c r="O108" s="199"/>
      <c r="P108" s="199"/>
      <c r="Q108" s="199"/>
      <c r="R108" s="58"/>
      <c r="S108" s="58"/>
      <c r="T108" s="58"/>
      <c r="U108" s="58"/>
      <c r="V108" s="58"/>
      <c r="W108" s="58"/>
      <c r="X108" s="58"/>
      <c r="Y108" s="58"/>
    </row>
    <row r="109" spans="1:25" ht="15" x14ac:dyDescent="0.25">
      <c r="E109" s="199" t="s">
        <v>2012</v>
      </c>
      <c r="G109" s="199"/>
      <c r="H109" s="519"/>
      <c r="I109" s="519"/>
      <c r="J109" s="519"/>
      <c r="K109" s="519"/>
      <c r="L109" s="519"/>
      <c r="M109" s="199"/>
      <c r="N109" s="199"/>
      <c r="O109" s="199"/>
      <c r="P109" s="199"/>
      <c r="Q109" s="199"/>
      <c r="R109" s="58"/>
      <c r="S109" s="58"/>
      <c r="T109" s="58"/>
      <c r="U109" s="58"/>
      <c r="V109" s="58"/>
      <c r="W109" s="58"/>
      <c r="X109" s="58"/>
      <c r="Y109" s="58"/>
    </row>
    <row r="110" spans="1:25" ht="15.75" x14ac:dyDescent="0.25">
      <c r="A110" s="312" t="s">
        <v>3887</v>
      </c>
      <c r="B110" s="321"/>
      <c r="C110" s="230">
        <f>ROW(111:111)</f>
        <v>111</v>
      </c>
      <c r="D110" s="818" t="s">
        <v>3888</v>
      </c>
    </row>
    <row r="111" spans="1:25" ht="15.75" x14ac:dyDescent="0.25">
      <c r="A111" s="199"/>
      <c r="B111" s="4506" t="s">
        <v>594</v>
      </c>
      <c r="C111" s="4506"/>
      <c r="D111" s="4506"/>
      <c r="E111" s="4506"/>
      <c r="F111" s="4506"/>
      <c r="G111" s="4506"/>
      <c r="H111" s="515"/>
      <c r="I111" s="515"/>
      <c r="J111" s="515"/>
      <c r="K111" s="515"/>
      <c r="L111" s="515"/>
    </row>
    <row r="112" spans="1:25" ht="15" x14ac:dyDescent="0.25">
      <c r="A112" s="4507" t="s">
        <v>3717</v>
      </c>
      <c r="B112" s="4375"/>
      <c r="C112" s="4375"/>
      <c r="D112" s="4375"/>
      <c r="E112" s="4375"/>
      <c r="F112" s="4375"/>
      <c r="G112" s="4375"/>
      <c r="H112" s="1146" t="e">
        <f ca="1">100*H604/H605</f>
        <v>#VALUE!</v>
      </c>
      <c r="I112" s="1146" t="e">
        <f ca="1">100*I604/I605</f>
        <v>#VALUE!</v>
      </c>
      <c r="J112" s="1146" t="e">
        <f ca="1">100*J604/J605</f>
        <v>#VALUE!</v>
      </c>
      <c r="K112" s="1146" t="e">
        <f ca="1">100*K604/K605</f>
        <v>#VALUE!</v>
      </c>
      <c r="L112" s="1146" t="e">
        <f ca="1">100*L604/L605</f>
        <v>#VALUE!</v>
      </c>
    </row>
    <row r="113" spans="1:25" ht="15" x14ac:dyDescent="0.25">
      <c r="A113" s="1229"/>
      <c r="B113" s="59"/>
      <c r="C113" s="59"/>
      <c r="D113" s="59"/>
      <c r="E113" s="59"/>
      <c r="F113" s="59"/>
      <c r="G113" s="59"/>
      <c r="H113" s="1244"/>
      <c r="I113" s="1244"/>
      <c r="J113" s="1244"/>
      <c r="K113" s="1244"/>
      <c r="L113" s="1244"/>
    </row>
    <row r="114" spans="1:25" ht="15" x14ac:dyDescent="0.25">
      <c r="A114" s="1114" t="s">
        <v>4772</v>
      </c>
      <c r="B114" s="199"/>
      <c r="C114" s="199"/>
      <c r="D114" s="199"/>
      <c r="E114" s="199"/>
      <c r="F114" s="199"/>
      <c r="G114" s="199"/>
      <c r="H114" s="523"/>
      <c r="I114" s="1115">
        <f>ROW(112:112)</f>
        <v>112</v>
      </c>
      <c r="J114" s="523"/>
      <c r="K114" s="523"/>
      <c r="L114" s="523"/>
      <c r="M114" s="199"/>
      <c r="N114" s="199"/>
      <c r="O114" s="199"/>
      <c r="P114" s="199"/>
      <c r="Q114" s="199"/>
      <c r="R114" s="58"/>
      <c r="S114" s="58"/>
      <c r="T114" s="58"/>
      <c r="U114" s="58"/>
      <c r="V114" s="58"/>
      <c r="W114" s="58"/>
      <c r="X114" s="58"/>
      <c r="Y114" s="58"/>
    </row>
    <row r="115" spans="1:25" ht="15" x14ac:dyDescent="0.25">
      <c r="A115" s="1114" t="s">
        <v>4773</v>
      </c>
      <c r="B115" s="199"/>
      <c r="C115" s="199"/>
      <c r="D115" s="199"/>
      <c r="E115" s="199"/>
      <c r="F115" s="199"/>
      <c r="G115" s="199"/>
      <c r="H115" s="523"/>
      <c r="I115" s="1115"/>
      <c r="J115" s="523"/>
      <c r="K115" s="523"/>
      <c r="L115" s="523"/>
      <c r="M115" s="199"/>
      <c r="N115" s="199"/>
      <c r="O115" s="199"/>
      <c r="P115" s="199"/>
      <c r="Q115" s="199"/>
      <c r="R115" s="58"/>
      <c r="S115" s="58"/>
      <c r="T115" s="58"/>
      <c r="U115" s="58"/>
      <c r="V115" s="58"/>
      <c r="W115" s="58"/>
      <c r="X115" s="58"/>
      <c r="Y115" s="58"/>
    </row>
    <row r="116" spans="1:25" ht="15.75" x14ac:dyDescent="0.25">
      <c r="A116" s="312"/>
      <c r="B116" s="321"/>
      <c r="C116" s="230"/>
      <c r="D116" s="818"/>
    </row>
    <row r="117" spans="1:25" ht="15.75" x14ac:dyDescent="0.25">
      <c r="A117" s="312"/>
      <c r="B117" s="321"/>
      <c r="C117" s="230"/>
      <c r="D117" s="818"/>
    </row>
    <row r="118" spans="1:25" ht="15.75" x14ac:dyDescent="0.25">
      <c r="A118" s="312"/>
      <c r="B118" s="321"/>
      <c r="C118" s="230"/>
      <c r="D118" s="818"/>
    </row>
    <row r="119" spans="1:25" ht="15" x14ac:dyDescent="0.25">
      <c r="C119" s="199"/>
      <c r="D119" s="199"/>
      <c r="E119" s="199"/>
      <c r="F119" s="199"/>
      <c r="G119" s="199"/>
      <c r="M119" s="199"/>
      <c r="N119" s="199"/>
      <c r="O119" s="199"/>
      <c r="P119" s="199"/>
      <c r="Q119" s="199"/>
      <c r="R119" s="58"/>
      <c r="S119" s="58"/>
      <c r="T119" s="58"/>
      <c r="U119" s="58"/>
      <c r="V119" s="58"/>
      <c r="W119" s="58"/>
      <c r="X119" s="58"/>
      <c r="Y119" s="58"/>
    </row>
    <row r="122" spans="1:25" ht="15" x14ac:dyDescent="0.25">
      <c r="A122" s="1114"/>
      <c r="B122" s="199"/>
      <c r="C122" s="199"/>
      <c r="D122" s="199"/>
      <c r="E122" s="199"/>
      <c r="F122" s="199"/>
      <c r="G122" s="199"/>
      <c r="H122" s="523"/>
      <c r="I122" s="1115"/>
      <c r="J122" s="523"/>
      <c r="K122" s="523"/>
      <c r="L122" s="523"/>
      <c r="M122" s="199"/>
      <c r="N122" s="199"/>
      <c r="O122" s="199"/>
      <c r="P122" s="199"/>
      <c r="Q122" s="199"/>
      <c r="R122" s="58"/>
      <c r="S122" s="58"/>
      <c r="T122" s="58"/>
      <c r="U122" s="58"/>
      <c r="V122" s="58"/>
      <c r="W122" s="58"/>
      <c r="X122" s="58"/>
      <c r="Y122" s="58"/>
    </row>
    <row r="123" spans="1:25" ht="15" x14ac:dyDescent="0.25">
      <c r="A123" s="1114"/>
      <c r="B123" s="199"/>
      <c r="C123" s="199"/>
      <c r="D123" s="199"/>
      <c r="E123" s="199"/>
      <c r="F123" s="199"/>
      <c r="G123" s="199"/>
      <c r="H123" s="523"/>
      <c r="I123" s="1115"/>
      <c r="J123" s="523"/>
      <c r="K123" s="523"/>
      <c r="L123" s="523"/>
      <c r="M123" s="199"/>
      <c r="N123" s="199"/>
      <c r="O123" s="199"/>
      <c r="P123" s="199"/>
      <c r="Q123" s="199"/>
      <c r="R123" s="58"/>
      <c r="S123" s="58"/>
      <c r="T123" s="58"/>
      <c r="U123" s="58"/>
      <c r="V123" s="58"/>
      <c r="W123" s="58"/>
      <c r="X123" s="58"/>
      <c r="Y123" s="58"/>
    </row>
    <row r="124" spans="1:25" ht="15" x14ac:dyDescent="0.25">
      <c r="A124" s="1114"/>
      <c r="B124" s="199"/>
      <c r="C124" s="199"/>
      <c r="D124" s="199"/>
      <c r="E124" s="199"/>
      <c r="F124" s="199"/>
      <c r="G124" s="199"/>
      <c r="H124" s="523"/>
      <c r="I124" s="1115"/>
      <c r="J124" s="523"/>
      <c r="K124" s="523"/>
      <c r="L124" s="523"/>
      <c r="M124" s="199"/>
      <c r="N124" s="199"/>
      <c r="O124" s="199"/>
      <c r="P124" s="199"/>
      <c r="Q124" s="199"/>
      <c r="R124" s="58"/>
      <c r="S124" s="58"/>
      <c r="T124" s="58"/>
      <c r="U124" s="58"/>
      <c r="V124" s="58"/>
      <c r="W124" s="58"/>
      <c r="X124" s="58"/>
      <c r="Y124" s="58"/>
    </row>
    <row r="125" spans="1:25" ht="15" x14ac:dyDescent="0.25">
      <c r="A125" s="1114"/>
      <c r="B125" s="199"/>
      <c r="C125" s="199"/>
      <c r="D125" s="199"/>
      <c r="E125" s="199"/>
      <c r="F125" s="199"/>
      <c r="G125" s="199"/>
      <c r="H125" s="523"/>
      <c r="I125" s="1115"/>
      <c r="J125" s="523"/>
      <c r="K125" s="523"/>
      <c r="L125" s="523"/>
      <c r="M125" s="199"/>
      <c r="N125" s="199"/>
      <c r="O125" s="199"/>
      <c r="P125" s="199"/>
      <c r="Q125" s="199"/>
      <c r="R125" s="58"/>
      <c r="S125" s="58"/>
      <c r="T125" s="58"/>
      <c r="U125" s="58"/>
      <c r="V125" s="58"/>
      <c r="W125" s="58"/>
      <c r="X125" s="58"/>
      <c r="Y125" s="58"/>
    </row>
    <row r="126" spans="1:25" ht="15" x14ac:dyDescent="0.25">
      <c r="A126" s="1114"/>
      <c r="B126" s="199"/>
      <c r="C126" s="199"/>
      <c r="D126" s="199"/>
      <c r="E126" s="199"/>
      <c r="F126" s="199"/>
      <c r="G126" s="199"/>
      <c r="H126" s="523"/>
      <c r="I126" s="1115"/>
      <c r="J126" s="523"/>
      <c r="K126" s="523"/>
      <c r="L126" s="523"/>
      <c r="M126" s="199"/>
      <c r="N126" s="199"/>
      <c r="O126" s="199"/>
      <c r="P126" s="199"/>
      <c r="Q126" s="199"/>
      <c r="R126" s="58"/>
      <c r="S126" s="58"/>
      <c r="T126" s="58"/>
      <c r="U126" s="58"/>
      <c r="V126" s="58"/>
      <c r="W126" s="58"/>
      <c r="X126" s="58"/>
      <c r="Y126" s="58"/>
    </row>
    <row r="127" spans="1:25" ht="15" x14ac:dyDescent="0.25">
      <c r="A127" s="1114"/>
      <c r="B127" s="199"/>
      <c r="C127" s="199"/>
      <c r="D127" s="199"/>
      <c r="E127" s="199"/>
      <c r="F127" s="199"/>
      <c r="G127" s="199"/>
      <c r="H127" s="523"/>
      <c r="I127" s="1115"/>
      <c r="J127" s="523"/>
      <c r="K127" s="523"/>
      <c r="L127" s="523"/>
      <c r="M127" s="199"/>
      <c r="N127" s="199"/>
      <c r="O127" s="199"/>
      <c r="P127" s="199"/>
      <c r="Q127" s="199"/>
      <c r="R127" s="58"/>
      <c r="S127" s="58"/>
      <c r="T127" s="58"/>
      <c r="U127" s="58"/>
      <c r="V127" s="58"/>
      <c r="W127" s="58"/>
      <c r="X127" s="58"/>
      <c r="Y127" s="58"/>
    </row>
    <row r="128" spans="1:25" ht="15" x14ac:dyDescent="0.25">
      <c r="A128" s="1114"/>
      <c r="B128" s="199"/>
      <c r="C128" s="199"/>
      <c r="D128" s="199"/>
      <c r="E128" s="199"/>
      <c r="F128" s="199"/>
      <c r="G128" s="199"/>
      <c r="H128" s="523"/>
      <c r="I128" s="1115"/>
      <c r="J128" s="523"/>
      <c r="K128" s="523"/>
      <c r="L128" s="523"/>
      <c r="M128" s="199"/>
      <c r="N128" s="199"/>
      <c r="O128" s="199"/>
      <c r="P128" s="199"/>
      <c r="Q128" s="199"/>
      <c r="R128" s="58"/>
      <c r="S128" s="58"/>
      <c r="T128" s="58"/>
      <c r="U128" s="58"/>
      <c r="V128" s="58"/>
      <c r="W128" s="58"/>
      <c r="X128" s="58"/>
      <c r="Y128" s="58"/>
    </row>
    <row r="129" spans="1:25" ht="15.75" x14ac:dyDescent="0.25">
      <c r="A129" s="479" t="s">
        <v>613</v>
      </c>
      <c r="C129" s="11"/>
      <c r="D129" s="11"/>
      <c r="E129" s="11"/>
      <c r="F129" s="11"/>
      <c r="G129" s="11"/>
      <c r="H129" s="14"/>
      <c r="I129" s="1113"/>
      <c r="J129" s="14"/>
      <c r="K129" s="14"/>
      <c r="L129" s="14"/>
      <c r="M129" s="199"/>
      <c r="N129" s="199"/>
      <c r="O129" s="199"/>
      <c r="P129" s="199"/>
      <c r="Q129" s="199"/>
      <c r="R129" s="58"/>
      <c r="S129" s="58"/>
      <c r="T129" s="58"/>
      <c r="U129" s="58"/>
      <c r="V129" s="58"/>
      <c r="W129" s="58"/>
      <c r="X129" s="58"/>
      <c r="Y129" s="58"/>
    </row>
    <row r="130" spans="1:25" ht="15.75" x14ac:dyDescent="0.25">
      <c r="A130" s="479" t="s">
        <v>614</v>
      </c>
      <c r="C130" s="11"/>
      <c r="D130" s="11"/>
      <c r="E130" s="11"/>
      <c r="F130" s="11"/>
      <c r="G130" s="11"/>
      <c r="H130" s="14"/>
      <c r="I130" s="14"/>
      <c r="J130" s="14"/>
      <c r="K130" s="14"/>
      <c r="L130" s="14"/>
      <c r="M130" s="199"/>
      <c r="N130" s="199"/>
      <c r="O130" s="199"/>
      <c r="P130" s="199"/>
      <c r="Q130" s="199"/>
      <c r="R130" s="58"/>
      <c r="S130" s="58"/>
      <c r="T130" s="58"/>
      <c r="U130" s="58"/>
      <c r="V130" s="58"/>
      <c r="W130" s="58"/>
      <c r="X130" s="58"/>
      <c r="Y130" s="58"/>
    </row>
    <row r="131" spans="1:25" ht="15.75" x14ac:dyDescent="0.25">
      <c r="A131" s="479" t="s">
        <v>4347</v>
      </c>
      <c r="B131" s="230">
        <f>ROW(111:111)</f>
        <v>111</v>
      </c>
      <c r="C131" s="479" t="s">
        <v>4348</v>
      </c>
      <c r="D131" s="11"/>
      <c r="E131" s="11"/>
      <c r="F131" s="11"/>
      <c r="G131" s="11"/>
      <c r="H131" s="14"/>
      <c r="I131" s="14"/>
      <c r="J131" s="14"/>
      <c r="K131" s="14"/>
      <c r="L131" s="14"/>
      <c r="M131" s="199"/>
      <c r="N131" s="199"/>
      <c r="O131" s="199"/>
      <c r="P131" s="199"/>
      <c r="Q131" s="199"/>
      <c r="R131" s="58"/>
      <c r="S131" s="58"/>
      <c r="T131" s="58"/>
      <c r="U131" s="58"/>
      <c r="V131" s="58"/>
      <c r="W131" s="58"/>
      <c r="X131" s="58"/>
      <c r="Y131" s="58"/>
    </row>
    <row r="132" spans="1:25" ht="15.75" x14ac:dyDescent="0.25">
      <c r="A132" s="479" t="s">
        <v>617</v>
      </c>
      <c r="B132" s="230"/>
      <c r="C132" s="479"/>
      <c r="D132" s="11"/>
      <c r="E132" s="11"/>
      <c r="F132" s="11"/>
      <c r="G132" s="11"/>
      <c r="H132" s="14"/>
      <c r="I132" s="14"/>
      <c r="J132" s="14"/>
      <c r="K132" s="14"/>
      <c r="L132" s="14"/>
      <c r="M132" s="199"/>
      <c r="N132" s="199"/>
      <c r="O132" s="199"/>
      <c r="P132" s="199"/>
      <c r="Q132" s="199"/>
      <c r="R132" s="58"/>
      <c r="S132" s="58"/>
      <c r="T132" s="58"/>
      <c r="U132" s="58"/>
      <c r="V132" s="58"/>
      <c r="W132" s="58"/>
      <c r="X132" s="58"/>
      <c r="Y132" s="58"/>
    </row>
    <row r="133" spans="1:25" ht="15.75" x14ac:dyDescent="0.25">
      <c r="A133" s="479"/>
      <c r="B133" s="230"/>
      <c r="C133" s="1127" t="s">
        <v>2921</v>
      </c>
      <c r="E133" s="1128"/>
      <c r="F133" s="1128"/>
      <c r="G133" s="1129"/>
      <c r="H133" s="1116" t="e">
        <f ca="1">H215</f>
        <v>#VALUE!</v>
      </c>
      <c r="I133" s="1116" t="e">
        <f ca="1">I215</f>
        <v>#VALUE!</v>
      </c>
      <c r="J133" s="1116" t="e">
        <f ca="1">J215</f>
        <v>#VALUE!</v>
      </c>
      <c r="K133" s="1116" t="e">
        <f ca="1">K215</f>
        <v>#VALUE!</v>
      </c>
      <c r="L133" s="1116" t="e">
        <f ca="1">L215</f>
        <v>#VALUE!</v>
      </c>
      <c r="M133" s="199"/>
      <c r="N133" s="199"/>
      <c r="O133" s="199"/>
      <c r="P133" s="199"/>
      <c r="Q133" s="199"/>
      <c r="R133" s="58"/>
      <c r="S133" s="58"/>
      <c r="T133" s="58"/>
      <c r="U133" s="58"/>
      <c r="V133" s="58"/>
      <c r="W133" s="58"/>
      <c r="X133" s="58"/>
      <c r="Y133" s="58"/>
    </row>
    <row r="134" spans="1:25" ht="15.75" x14ac:dyDescent="0.25">
      <c r="A134" s="479"/>
      <c r="B134" s="230"/>
      <c r="C134" s="1126" t="s">
        <v>3705</v>
      </c>
      <c r="D134" s="861"/>
      <c r="E134" s="189"/>
      <c r="F134" s="189"/>
      <c r="G134" s="33"/>
      <c r="H134" s="1116" t="e">
        <f ca="1">H133/H216</f>
        <v>#VALUE!</v>
      </c>
      <c r="I134" s="1116" t="e">
        <f ca="1">I133/I216</f>
        <v>#VALUE!</v>
      </c>
      <c r="J134" s="1116" t="e">
        <f ca="1">J133/J216</f>
        <v>#VALUE!</v>
      </c>
      <c r="K134" s="1116" t="e">
        <f ca="1">K133/K216</f>
        <v>#VALUE!</v>
      </c>
      <c r="L134" s="1116" t="e">
        <f ca="1">L133/L216</f>
        <v>#VALUE!</v>
      </c>
      <c r="M134" s="199"/>
      <c r="N134" s="199"/>
      <c r="O134" s="199"/>
      <c r="P134" s="199"/>
      <c r="Q134" s="199"/>
      <c r="R134" s="58"/>
      <c r="S134" s="58"/>
      <c r="T134" s="58"/>
      <c r="U134" s="58"/>
      <c r="V134" s="58"/>
      <c r="W134" s="58"/>
      <c r="X134" s="58"/>
      <c r="Y134" s="58"/>
    </row>
    <row r="135" spans="1:25" ht="15.75" x14ac:dyDescent="0.25">
      <c r="A135" s="479"/>
      <c r="B135" s="230"/>
      <c r="C135" s="1126" t="s">
        <v>5600</v>
      </c>
      <c r="D135" s="861"/>
      <c r="E135" s="189"/>
      <c r="F135" s="189"/>
      <c r="G135" s="33"/>
      <c r="H135" s="1116" t="e">
        <f ca="1">H213</f>
        <v>#VALUE!</v>
      </c>
      <c r="I135" s="1116" t="e">
        <f ca="1">I213</f>
        <v>#VALUE!</v>
      </c>
      <c r="J135" s="1116" t="e">
        <f ca="1">J213</f>
        <v>#VALUE!</v>
      </c>
      <c r="K135" s="1116" t="e">
        <f ca="1">K213</f>
        <v>#VALUE!</v>
      </c>
      <c r="L135" s="1116" t="e">
        <f ca="1">L213</f>
        <v>#VALUE!</v>
      </c>
      <c r="M135" s="199"/>
      <c r="N135" s="199"/>
      <c r="O135" s="199"/>
      <c r="P135" s="199"/>
      <c r="Q135" s="199"/>
      <c r="R135" s="58"/>
      <c r="S135" s="58"/>
      <c r="T135" s="58"/>
      <c r="U135" s="58"/>
      <c r="V135" s="58"/>
      <c r="W135" s="58"/>
      <c r="X135" s="58"/>
      <c r="Y135" s="58"/>
    </row>
    <row r="136" spans="1:25" ht="15.75" x14ac:dyDescent="0.25">
      <c r="A136" s="479"/>
      <c r="B136" s="230"/>
      <c r="C136" s="1126" t="s">
        <v>3159</v>
      </c>
      <c r="D136" s="861"/>
      <c r="E136" s="189"/>
      <c r="F136" s="189"/>
      <c r="G136" s="33"/>
      <c r="H136" s="1116" t="e">
        <f ca="1">H214*H216</f>
        <v>#VALUE!</v>
      </c>
      <c r="I136" s="1116" t="e">
        <f ca="1">I214*I216</f>
        <v>#VALUE!</v>
      </c>
      <c r="J136" s="1116" t="e">
        <f ca="1">J214*J216</f>
        <v>#VALUE!</v>
      </c>
      <c r="K136" s="1116" t="e">
        <f ca="1">K214*K216</f>
        <v>#VALUE!</v>
      </c>
      <c r="L136" s="1116" t="e">
        <f ca="1">L214*L216</f>
        <v>#VALUE!</v>
      </c>
      <c r="M136" s="199"/>
      <c r="N136" s="199"/>
      <c r="O136" s="199"/>
      <c r="P136" s="199"/>
      <c r="Q136" s="199"/>
      <c r="R136" s="58"/>
      <c r="S136" s="58"/>
      <c r="T136" s="58"/>
      <c r="U136" s="58"/>
      <c r="V136" s="58"/>
      <c r="W136" s="58"/>
      <c r="X136" s="58"/>
      <c r="Y136" s="58"/>
    </row>
    <row r="137" spans="1:25" ht="15.75" x14ac:dyDescent="0.25">
      <c r="A137" s="479"/>
      <c r="B137" s="230"/>
      <c r="C137" s="479"/>
      <c r="D137" s="11"/>
      <c r="E137" s="11"/>
      <c r="F137" s="11"/>
      <c r="G137" s="11"/>
      <c r="H137" s="14"/>
      <c r="I137" s="14"/>
      <c r="J137" s="14"/>
      <c r="K137" s="14"/>
      <c r="L137" s="14"/>
      <c r="M137" s="199"/>
      <c r="N137" s="199"/>
      <c r="O137" s="199"/>
      <c r="P137" s="199"/>
      <c r="Q137" s="199"/>
      <c r="R137" s="58"/>
      <c r="S137" s="58"/>
      <c r="T137" s="58"/>
      <c r="U137" s="58"/>
      <c r="V137" s="58"/>
      <c r="W137" s="58"/>
      <c r="X137" s="58"/>
      <c r="Y137" s="58"/>
    </row>
    <row r="138" spans="1:25" ht="15.75" x14ac:dyDescent="0.25">
      <c r="A138" s="479" t="s">
        <v>5336</v>
      </c>
      <c r="B138" s="230"/>
      <c r="C138" s="479"/>
      <c r="D138" s="11"/>
      <c r="E138" s="11"/>
      <c r="F138" s="1117">
        <f>ROW(133:133)</f>
        <v>133</v>
      </c>
      <c r="G138" s="11"/>
      <c r="H138" s="14"/>
      <c r="I138" s="14"/>
      <c r="J138" s="14"/>
      <c r="K138" s="14"/>
      <c r="L138" s="14"/>
      <c r="M138" s="199"/>
      <c r="N138" s="199"/>
      <c r="O138" s="199"/>
      <c r="P138" s="199"/>
      <c r="Q138" s="199"/>
      <c r="R138" s="58"/>
      <c r="S138" s="58"/>
      <c r="T138" s="58"/>
      <c r="U138" s="58"/>
      <c r="V138" s="58"/>
      <c r="W138" s="58"/>
      <c r="X138" s="58"/>
      <c r="Y138" s="58"/>
    </row>
    <row r="139" spans="1:25" ht="15.75" x14ac:dyDescent="0.25">
      <c r="A139" s="479" t="s">
        <v>615</v>
      </c>
      <c r="B139" s="230"/>
      <c r="C139" s="479"/>
      <c r="D139" s="11"/>
      <c r="E139" s="11"/>
      <c r="F139" s="11"/>
      <c r="G139" s="11"/>
      <c r="H139" s="14"/>
      <c r="I139" s="14"/>
      <c r="J139" s="14"/>
      <c r="K139" s="14"/>
      <c r="L139" s="14"/>
      <c r="M139" s="199"/>
      <c r="N139" s="199"/>
      <c r="O139" s="199"/>
      <c r="P139" s="199"/>
      <c r="Q139" s="199"/>
      <c r="R139" s="58"/>
      <c r="S139" s="58"/>
      <c r="T139" s="58"/>
      <c r="U139" s="58"/>
      <c r="V139" s="58"/>
      <c r="W139" s="58"/>
      <c r="X139" s="58"/>
      <c r="Y139" s="58"/>
    </row>
    <row r="140" spans="1:25" ht="18.75" x14ac:dyDescent="0.3">
      <c r="A140" s="1132" t="s">
        <v>3153</v>
      </c>
      <c r="B140" s="230"/>
      <c r="C140" s="479"/>
      <c r="D140" s="11"/>
      <c r="E140" s="11"/>
      <c r="F140" s="11"/>
      <c r="G140" s="11"/>
      <c r="H140" s="14"/>
      <c r="I140" s="14"/>
      <c r="J140" s="14"/>
      <c r="K140" s="14"/>
      <c r="L140" s="14"/>
      <c r="M140" s="199"/>
      <c r="N140" s="199"/>
      <c r="O140" s="199"/>
      <c r="P140" s="199"/>
      <c r="Q140" s="199"/>
      <c r="R140" s="58"/>
      <c r="S140" s="58"/>
      <c r="T140" s="58"/>
      <c r="U140" s="58"/>
      <c r="V140" s="58"/>
      <c r="W140" s="58"/>
      <c r="X140" s="58"/>
      <c r="Y140" s="58"/>
    </row>
    <row r="141" spans="1:25" ht="15.75" x14ac:dyDescent="0.25">
      <c r="A141" s="577" t="s">
        <v>4349</v>
      </c>
      <c r="B141" s="199"/>
      <c r="C141" s="199"/>
      <c r="D141" s="199"/>
      <c r="E141" s="199"/>
      <c r="F141" s="199"/>
      <c r="G141" s="11"/>
      <c r="H141" s="14"/>
      <c r="I141" s="14"/>
      <c r="J141" s="14"/>
      <c r="K141" s="14"/>
      <c r="L141" s="14"/>
      <c r="M141" s="199"/>
      <c r="N141" s="199"/>
      <c r="O141" s="199"/>
      <c r="P141" s="199"/>
      <c r="Q141" s="199"/>
      <c r="R141" s="58"/>
      <c r="S141" s="58"/>
      <c r="T141" s="58"/>
      <c r="U141" s="58"/>
      <c r="V141" s="58"/>
      <c r="W141" s="58"/>
      <c r="X141" s="58"/>
      <c r="Y141" s="58"/>
    </row>
    <row r="142" spans="1:25" ht="15" x14ac:dyDescent="0.25">
      <c r="A142" s="1131" t="s">
        <v>3315</v>
      </c>
      <c r="B142" s="1131">
        <v>100</v>
      </c>
      <c r="C142" s="1131">
        <v>150</v>
      </c>
      <c r="D142" s="1131">
        <v>200</v>
      </c>
      <c r="E142" s="1131">
        <v>250</v>
      </c>
      <c r="F142" s="1131">
        <v>300</v>
      </c>
      <c r="G142" s="11"/>
      <c r="H142" s="14"/>
      <c r="I142" s="14"/>
      <c r="J142" s="14"/>
      <c r="K142" s="14"/>
      <c r="L142" s="14"/>
      <c r="M142" s="199"/>
      <c r="N142" s="199"/>
      <c r="O142" s="199"/>
      <c r="P142" s="199"/>
      <c r="Q142" s="199"/>
      <c r="R142" s="58"/>
      <c r="S142" s="58"/>
      <c r="T142" s="58"/>
      <c r="U142" s="58"/>
      <c r="V142" s="58"/>
      <c r="W142" s="58"/>
      <c r="X142" s="58"/>
      <c r="Y142" s="58"/>
    </row>
    <row r="143" spans="1:25" ht="15" x14ac:dyDescent="0.25">
      <c r="A143" s="1110" t="s">
        <v>2921</v>
      </c>
      <c r="B143" s="1125"/>
      <c r="C143" s="1125"/>
      <c r="D143" s="1125"/>
      <c r="E143" s="1125"/>
      <c r="F143" s="1125"/>
      <c r="G143" s="11"/>
      <c r="H143" s="14"/>
      <c r="N143" s="199"/>
      <c r="O143" s="199"/>
      <c r="P143" s="199"/>
      <c r="Q143" s="199"/>
      <c r="R143" s="58"/>
      <c r="S143" s="58"/>
      <c r="T143" s="58"/>
      <c r="U143" s="58"/>
      <c r="V143" s="58"/>
      <c r="W143" s="58"/>
      <c r="X143" s="58"/>
      <c r="Y143" s="58"/>
    </row>
    <row r="144" spans="1:25" ht="15.75" x14ac:dyDescent="0.25">
      <c r="A144" s="1126" t="s">
        <v>3705</v>
      </c>
      <c r="B144" s="1125"/>
      <c r="C144" s="1125"/>
      <c r="D144" s="1125"/>
      <c r="E144" s="1125"/>
      <c r="F144" s="1125"/>
      <c r="G144" s="11"/>
      <c r="H144" s="14"/>
      <c r="N144" s="199"/>
      <c r="O144" s="199"/>
      <c r="P144" s="199"/>
      <c r="Q144" s="199"/>
      <c r="R144" s="58"/>
      <c r="S144" s="58"/>
      <c r="T144" s="58"/>
      <c r="U144" s="58"/>
      <c r="V144" s="58"/>
      <c r="W144" s="58"/>
      <c r="X144" s="58"/>
      <c r="Y144" s="58"/>
    </row>
    <row r="145" spans="1:25" ht="15.75" x14ac:dyDescent="0.25">
      <c r="A145" s="1126" t="s">
        <v>5600</v>
      </c>
      <c r="B145" s="1125"/>
      <c r="C145" s="1125"/>
      <c r="D145" s="1125"/>
      <c r="E145" s="1125"/>
      <c r="F145" s="1125"/>
      <c r="G145" s="11"/>
      <c r="H145" s="14"/>
      <c r="J145" s="210"/>
      <c r="N145" s="199"/>
      <c r="O145" s="199"/>
      <c r="P145" s="199"/>
      <c r="Q145" s="199"/>
      <c r="R145" s="58"/>
      <c r="S145" s="58"/>
      <c r="T145" s="58"/>
      <c r="U145" s="58"/>
      <c r="V145" s="58"/>
      <c r="W145" s="58"/>
      <c r="X145" s="58"/>
      <c r="Y145" s="58"/>
    </row>
    <row r="146" spans="1:25" ht="15.75" x14ac:dyDescent="0.25">
      <c r="A146" s="1126" t="s">
        <v>3159</v>
      </c>
      <c r="B146" s="1125"/>
      <c r="C146" s="1125"/>
      <c r="D146" s="1125"/>
      <c r="E146" s="1125"/>
      <c r="F146" s="1125"/>
      <c r="G146" s="11"/>
      <c r="H146" s="14"/>
      <c r="J146" s="2381" t="s">
        <v>2672</v>
      </c>
      <c r="K146" s="1159"/>
      <c r="L146" s="1159"/>
      <c r="M146" s="1159"/>
      <c r="N146" s="2485"/>
      <c r="O146" s="2485"/>
      <c r="P146" s="2485"/>
      <c r="Q146" s="2485"/>
      <c r="R146" s="58"/>
      <c r="S146" s="58"/>
      <c r="T146" s="58"/>
      <c r="U146" s="58"/>
      <c r="V146" s="58"/>
      <c r="W146" s="58"/>
      <c r="X146" s="58"/>
      <c r="Y146" s="58"/>
    </row>
    <row r="147" spans="1:25" ht="15.75" x14ac:dyDescent="0.25">
      <c r="A147" s="827" t="s">
        <v>485</v>
      </c>
      <c r="B147" s="1130"/>
      <c r="C147" s="1130"/>
      <c r="D147" s="1130"/>
      <c r="E147" s="1130"/>
      <c r="F147" s="1130"/>
      <c r="G147" s="11"/>
      <c r="H147" s="14"/>
      <c r="J147" s="2561"/>
      <c r="K147" s="239"/>
      <c r="L147" s="239"/>
      <c r="M147" s="239"/>
      <c r="N147" s="522"/>
      <c r="O147" s="522"/>
      <c r="P147" s="522"/>
      <c r="Q147" s="522"/>
      <c r="R147" s="58"/>
      <c r="S147" s="58"/>
      <c r="T147" s="58"/>
      <c r="U147" s="58"/>
      <c r="V147" s="58"/>
      <c r="W147" s="58"/>
      <c r="X147" s="58"/>
      <c r="Y147" s="58"/>
    </row>
    <row r="148" spans="1:25" ht="15.75" x14ac:dyDescent="0.25">
      <c r="A148" s="1126" t="s">
        <v>482</v>
      </c>
      <c r="B148" s="1125"/>
      <c r="C148" s="1125"/>
      <c r="D148" s="1125"/>
      <c r="E148" s="1125"/>
      <c r="F148" s="1125"/>
      <c r="G148" s="11"/>
      <c r="H148" s="14"/>
      <c r="J148" s="2561"/>
      <c r="K148" s="239"/>
      <c r="L148" s="239"/>
      <c r="M148" s="239"/>
      <c r="N148" s="522"/>
      <c r="O148" s="522"/>
      <c r="P148" s="522"/>
      <c r="Q148" s="522"/>
      <c r="R148" s="58"/>
      <c r="S148" s="58"/>
      <c r="T148" s="58"/>
      <c r="U148" s="58"/>
      <c r="V148" s="58"/>
      <c r="W148" s="58"/>
      <c r="X148" s="58"/>
      <c r="Y148" s="58"/>
    </row>
    <row r="149" spans="1:25" ht="31.5" x14ac:dyDescent="0.25">
      <c r="A149" s="874" t="s">
        <v>483</v>
      </c>
      <c r="B149" s="1125"/>
      <c r="C149" s="1125"/>
      <c r="D149" s="1125"/>
      <c r="E149" s="1125"/>
      <c r="F149" s="1125"/>
      <c r="G149" s="11"/>
      <c r="H149" s="14"/>
      <c r="J149" s="2561"/>
      <c r="K149" s="239"/>
      <c r="L149" s="239"/>
      <c r="M149" s="239"/>
      <c r="N149" s="522"/>
      <c r="O149" s="522"/>
      <c r="P149" s="522"/>
      <c r="Q149" s="522"/>
      <c r="R149" s="58"/>
      <c r="S149" s="58"/>
      <c r="T149" s="58"/>
      <c r="U149" s="58"/>
      <c r="V149" s="58"/>
      <c r="W149" s="58"/>
      <c r="X149" s="58"/>
      <c r="Y149" s="58"/>
    </row>
    <row r="150" spans="1:25" ht="31.5" x14ac:dyDescent="0.25">
      <c r="A150" s="874" t="s">
        <v>484</v>
      </c>
      <c r="B150" s="1125"/>
      <c r="C150" s="1125"/>
      <c r="D150" s="1125"/>
      <c r="E150" s="1125"/>
      <c r="F150" s="1125"/>
      <c r="G150" s="11"/>
      <c r="H150" s="14"/>
      <c r="J150" s="2561"/>
      <c r="K150" s="239"/>
      <c r="L150" s="239"/>
      <c r="M150" s="239"/>
      <c r="N150" s="522"/>
      <c r="O150" s="522"/>
      <c r="P150" s="522"/>
      <c r="Q150" s="522"/>
      <c r="R150" s="58"/>
      <c r="S150" s="58"/>
      <c r="T150" s="58"/>
      <c r="U150" s="58"/>
      <c r="V150" s="58"/>
      <c r="W150" s="58"/>
      <c r="X150" s="58"/>
      <c r="Y150" s="58"/>
    </row>
    <row r="151" spans="1:25" ht="31.5" x14ac:dyDescent="0.25">
      <c r="A151" s="874" t="s">
        <v>5481</v>
      </c>
      <c r="B151" s="1125"/>
      <c r="C151" s="1125"/>
      <c r="D151" s="1125"/>
      <c r="E151" s="1125"/>
      <c r="F151" s="1125"/>
      <c r="G151" s="11"/>
      <c r="H151" s="14"/>
      <c r="J151" s="2561"/>
      <c r="K151" s="239"/>
      <c r="L151" s="239"/>
      <c r="M151" s="239"/>
      <c r="N151" s="522"/>
      <c r="O151" s="522"/>
      <c r="P151" s="522"/>
      <c r="Q151" s="522"/>
      <c r="R151" s="58"/>
      <c r="S151" s="58"/>
      <c r="T151" s="58"/>
      <c r="U151" s="58"/>
      <c r="V151" s="58"/>
      <c r="W151" s="58"/>
      <c r="X151" s="58"/>
      <c r="Y151" s="58"/>
    </row>
    <row r="152" spans="1:25" ht="15.75" x14ac:dyDescent="0.25">
      <c r="A152" s="1224"/>
      <c r="B152" s="1130"/>
      <c r="C152" s="1130"/>
      <c r="D152" s="1130"/>
      <c r="E152" s="1130"/>
      <c r="F152" s="1130"/>
      <c r="G152" s="11"/>
      <c r="H152" s="14"/>
      <c r="J152" s="2561"/>
      <c r="K152" s="239"/>
      <c r="L152" s="239"/>
      <c r="M152" s="239"/>
      <c r="N152" s="522"/>
      <c r="O152" s="522"/>
      <c r="P152" s="522"/>
      <c r="Q152" s="522"/>
      <c r="R152" s="58"/>
      <c r="S152" s="58"/>
      <c r="T152" s="58"/>
      <c r="U152" s="58"/>
      <c r="V152" s="58"/>
      <c r="W152" s="58"/>
      <c r="X152" s="58"/>
      <c r="Y152" s="58"/>
    </row>
    <row r="153" spans="1:25" ht="15" x14ac:dyDescent="0.25">
      <c r="A153" s="12" t="s">
        <v>486</v>
      </c>
      <c r="C153" s="11"/>
      <c r="D153" s="11"/>
      <c r="E153" s="11"/>
      <c r="F153" s="11"/>
      <c r="G153" s="11"/>
      <c r="H153" s="14"/>
      <c r="J153" s="2561"/>
      <c r="K153" s="239"/>
      <c r="L153" s="239"/>
      <c r="M153" s="239"/>
      <c r="N153" s="522"/>
      <c r="O153" s="522"/>
      <c r="P153" s="522"/>
      <c r="Q153" s="522"/>
      <c r="R153" s="58"/>
      <c r="S153" s="58"/>
      <c r="T153" s="58"/>
      <c r="U153" s="58"/>
      <c r="V153" s="58"/>
      <c r="W153" s="58"/>
      <c r="X153" s="58"/>
      <c r="Y153" s="58"/>
    </row>
    <row r="154" spans="1:25" ht="15" x14ac:dyDescent="0.25">
      <c r="A154" s="12" t="s">
        <v>487</v>
      </c>
      <c r="C154" s="11"/>
      <c r="D154" s="11"/>
      <c r="E154" s="11"/>
      <c r="F154" s="11"/>
      <c r="G154" s="11"/>
      <c r="H154" s="14"/>
      <c r="J154" s="2561"/>
      <c r="K154" s="239"/>
      <c r="L154" s="239"/>
      <c r="M154" s="239"/>
      <c r="N154" s="522"/>
      <c r="O154" s="522"/>
      <c r="P154" s="522"/>
      <c r="Q154" s="522"/>
      <c r="R154" s="58"/>
      <c r="S154" s="58"/>
      <c r="T154" s="58"/>
      <c r="U154" s="58"/>
      <c r="V154" s="58"/>
      <c r="W154" s="58"/>
      <c r="X154" s="58"/>
      <c r="Y154" s="58"/>
    </row>
    <row r="155" spans="1:25" ht="15" x14ac:dyDescent="0.25">
      <c r="A155" s="2547" t="s">
        <v>488</v>
      </c>
      <c r="C155" s="11"/>
      <c r="D155" s="11"/>
      <c r="E155" s="11"/>
      <c r="F155" s="11"/>
      <c r="G155" s="11"/>
      <c r="H155" s="14"/>
      <c r="J155" s="2561"/>
      <c r="K155" s="239"/>
      <c r="L155" s="239"/>
      <c r="M155" s="239"/>
      <c r="N155" s="522"/>
      <c r="O155" s="522"/>
      <c r="P155" s="522"/>
      <c r="Q155" s="522"/>
      <c r="R155" s="58"/>
      <c r="S155" s="58"/>
      <c r="T155" s="58"/>
      <c r="U155" s="58"/>
      <c r="V155" s="58"/>
      <c r="W155" s="58"/>
      <c r="X155" s="58"/>
      <c r="Y155" s="58"/>
    </row>
    <row r="156" spans="1:25" ht="15.75" x14ac:dyDescent="0.25">
      <c r="A156" s="1224" t="s">
        <v>489</v>
      </c>
      <c r="B156" s="217"/>
      <c r="C156" s="217"/>
      <c r="D156" s="217"/>
      <c r="E156" s="217"/>
      <c r="F156" s="217"/>
      <c r="G156" s="11"/>
      <c r="H156" s="14"/>
      <c r="J156" s="2561"/>
      <c r="K156" s="239"/>
      <c r="L156" s="239"/>
      <c r="M156" s="239"/>
      <c r="N156" s="522"/>
      <c r="O156" s="522"/>
      <c r="P156" s="522"/>
      <c r="Q156" s="522"/>
      <c r="R156" s="58"/>
      <c r="S156" s="58"/>
      <c r="T156" s="58"/>
      <c r="U156" s="58"/>
      <c r="V156" s="58"/>
      <c r="W156" s="58"/>
      <c r="X156" s="58"/>
      <c r="Y156" s="58"/>
    </row>
    <row r="157" spans="1:25" ht="15" x14ac:dyDescent="0.25">
      <c r="B157" s="1130"/>
      <c r="C157" s="1130"/>
      <c r="D157" s="1130"/>
      <c r="E157" s="1130"/>
      <c r="F157" s="1130"/>
      <c r="G157" s="11"/>
      <c r="H157" s="14"/>
      <c r="J157" s="2561"/>
      <c r="K157" s="239"/>
      <c r="L157" s="239"/>
      <c r="M157" s="239"/>
      <c r="N157" s="522"/>
      <c r="O157" s="522"/>
      <c r="P157" s="522"/>
      <c r="Q157" s="522"/>
      <c r="R157" s="58"/>
      <c r="S157" s="58"/>
      <c r="T157" s="58"/>
      <c r="U157" s="58"/>
      <c r="V157" s="58"/>
      <c r="W157" s="58"/>
      <c r="X157" s="58"/>
      <c r="Y157" s="58"/>
    </row>
    <row r="158" spans="1:25" ht="15.75" x14ac:dyDescent="0.25">
      <c r="A158" s="826"/>
      <c r="B158" s="1130"/>
      <c r="C158" s="1130"/>
      <c r="D158" s="1130"/>
      <c r="E158" s="1130"/>
      <c r="F158" s="1130"/>
      <c r="G158" s="11"/>
      <c r="H158" s="14"/>
      <c r="J158" s="2561"/>
      <c r="K158" s="239"/>
      <c r="L158" s="239"/>
      <c r="M158" s="239"/>
      <c r="N158" s="522"/>
      <c r="O158" s="522"/>
      <c r="P158" s="522"/>
      <c r="Q158" s="522"/>
      <c r="R158" s="58"/>
      <c r="S158" s="58"/>
      <c r="T158" s="58"/>
      <c r="U158" s="58"/>
      <c r="V158" s="58"/>
      <c r="W158" s="58"/>
      <c r="X158" s="58"/>
      <c r="Y158" s="58"/>
    </row>
    <row r="159" spans="1:25" ht="15.75" x14ac:dyDescent="0.25">
      <c r="A159" s="826"/>
      <c r="B159" s="1130"/>
      <c r="C159" s="1130"/>
      <c r="D159" s="1130"/>
      <c r="E159" s="1130"/>
      <c r="F159" s="1130"/>
      <c r="G159" s="11"/>
      <c r="H159" s="14"/>
      <c r="J159" s="2561"/>
      <c r="K159" s="239"/>
      <c r="L159" s="239"/>
      <c r="M159" s="239"/>
      <c r="N159" s="522"/>
      <c r="O159" s="522"/>
      <c r="P159" s="522"/>
      <c r="Q159" s="522"/>
      <c r="R159" s="58"/>
      <c r="S159" s="58"/>
      <c r="T159" s="58"/>
      <c r="U159" s="58"/>
      <c r="V159" s="58"/>
      <c r="W159" s="58"/>
      <c r="X159" s="58"/>
      <c r="Y159" s="58"/>
    </row>
    <row r="160" spans="1:25" ht="15.75" x14ac:dyDescent="0.25">
      <c r="A160" s="479"/>
      <c r="B160" s="230"/>
      <c r="C160" s="479"/>
      <c r="D160" s="11"/>
      <c r="E160" s="11"/>
      <c r="F160" s="11"/>
      <c r="G160" s="11"/>
      <c r="H160" s="14"/>
      <c r="I160" s="14"/>
      <c r="J160" s="14"/>
      <c r="K160" s="14"/>
      <c r="L160" s="14"/>
      <c r="M160" s="199"/>
      <c r="N160" s="199"/>
      <c r="O160" s="199"/>
      <c r="P160" s="199"/>
      <c r="Q160" s="199"/>
      <c r="R160" s="58"/>
      <c r="S160" s="58"/>
      <c r="T160" s="58"/>
      <c r="U160" s="58"/>
      <c r="V160" s="58"/>
      <c r="W160" s="58"/>
      <c r="X160" s="58"/>
      <c r="Y160" s="58"/>
    </row>
    <row r="161" spans="1:25" ht="15.75" x14ac:dyDescent="0.25">
      <c r="A161" s="479" t="s">
        <v>5337</v>
      </c>
      <c r="B161" s="230">
        <f>ROW(141:141)</f>
        <v>141</v>
      </c>
      <c r="C161" s="479" t="s">
        <v>5338</v>
      </c>
      <c r="D161" s="11"/>
      <c r="E161" s="11"/>
      <c r="F161" s="11"/>
      <c r="G161" s="11"/>
      <c r="H161" s="14"/>
      <c r="I161" s="14"/>
      <c r="J161" s="14"/>
      <c r="K161" s="14"/>
      <c r="L161" s="14"/>
      <c r="M161" s="199"/>
      <c r="N161" s="199"/>
      <c r="O161" s="199"/>
      <c r="P161" s="199"/>
      <c r="Q161" s="199"/>
      <c r="R161" s="58"/>
      <c r="S161" s="58"/>
      <c r="T161" s="58"/>
      <c r="U161" s="58"/>
      <c r="V161" s="58"/>
      <c r="W161" s="58"/>
      <c r="X161" s="58"/>
      <c r="Y161" s="58"/>
    </row>
    <row r="162" spans="1:25" ht="15.75" x14ac:dyDescent="0.25">
      <c r="A162" s="479" t="s">
        <v>2015</v>
      </c>
      <c r="B162" s="230">
        <f>ROW(109:109)</f>
        <v>109</v>
      </c>
      <c r="C162" s="479" t="s">
        <v>2017</v>
      </c>
    </row>
    <row r="163" spans="1:25" ht="15.75" x14ac:dyDescent="0.25">
      <c r="C163" s="479" t="s">
        <v>2016</v>
      </c>
      <c r="D163" s="11"/>
      <c r="E163" s="11"/>
      <c r="F163" s="11"/>
      <c r="G163" s="11"/>
      <c r="H163" s="14"/>
      <c r="I163" s="14"/>
      <c r="J163" s="14"/>
      <c r="K163" s="14"/>
      <c r="L163" s="14"/>
      <c r="M163" s="199"/>
      <c r="N163" s="199"/>
      <c r="O163" s="199"/>
      <c r="P163" s="199"/>
      <c r="Q163" s="199"/>
      <c r="R163" s="58"/>
      <c r="S163" s="58"/>
      <c r="T163" s="58"/>
      <c r="U163" s="58"/>
      <c r="V163" s="58"/>
      <c r="W163" s="58"/>
      <c r="X163" s="58"/>
      <c r="Y163" s="58"/>
    </row>
    <row r="164" spans="1:25" ht="15.75" x14ac:dyDescent="0.25">
      <c r="A164" s="312" t="s">
        <v>616</v>
      </c>
      <c r="D164" s="11"/>
      <c r="E164" s="11"/>
      <c r="F164" s="11"/>
      <c r="G164" s="11"/>
      <c r="H164" s="14"/>
      <c r="I164" s="1245">
        <f>ROW(141:141)</f>
        <v>141</v>
      </c>
      <c r="J164" s="14"/>
      <c r="K164" s="14"/>
      <c r="L164" s="14"/>
      <c r="M164" s="199"/>
      <c r="N164" s="199"/>
      <c r="O164" s="199"/>
      <c r="P164" s="199"/>
      <c r="Q164" s="199"/>
      <c r="R164" s="58"/>
      <c r="S164" s="58"/>
      <c r="T164" s="58"/>
      <c r="U164" s="58"/>
      <c r="V164" s="58"/>
      <c r="W164" s="58"/>
      <c r="X164" s="58"/>
      <c r="Y164" s="58"/>
    </row>
    <row r="165" spans="1:25" ht="15" x14ac:dyDescent="0.25">
      <c r="A165" s="199"/>
      <c r="B165" s="199"/>
      <c r="C165" s="1118"/>
      <c r="D165" s="199"/>
      <c r="E165" s="199"/>
      <c r="F165" s="199"/>
      <c r="G165" s="199"/>
      <c r="H165" s="199"/>
      <c r="I165" s="199"/>
      <c r="J165" s="199"/>
      <c r="K165" s="199"/>
      <c r="L165" s="199"/>
      <c r="M165" s="199"/>
      <c r="N165" s="199"/>
      <c r="O165" s="199"/>
      <c r="P165" s="199"/>
      <c r="Q165" s="199"/>
      <c r="R165" s="58"/>
      <c r="S165" s="58"/>
      <c r="T165" s="58"/>
      <c r="U165" s="58"/>
      <c r="V165" s="58"/>
      <c r="W165" s="58"/>
      <c r="X165" s="58"/>
      <c r="Y165" s="58"/>
    </row>
    <row r="166" spans="1:25" ht="15" x14ac:dyDescent="0.2">
      <c r="A166" s="850" t="s">
        <v>2543</v>
      </c>
    </row>
    <row r="168" spans="1:25" ht="15.75" x14ac:dyDescent="0.25">
      <c r="A168" s="199"/>
      <c r="B168" s="199"/>
      <c r="C168" s="199"/>
      <c r="D168" s="199"/>
      <c r="E168" s="199"/>
      <c r="F168" s="199"/>
      <c r="G168" s="199"/>
      <c r="H168" s="199"/>
      <c r="I168" s="199"/>
      <c r="J168" s="199"/>
      <c r="K168" s="2394" t="s">
        <v>1905</v>
      </c>
      <c r="L168" s="2480"/>
      <c r="M168" s="2480"/>
      <c r="N168" s="2481"/>
      <c r="O168" s="2481"/>
      <c r="P168" s="2480"/>
      <c r="Q168" s="199"/>
      <c r="R168" s="58"/>
      <c r="S168" s="58"/>
      <c r="T168" s="58"/>
      <c r="U168" s="58"/>
      <c r="V168" s="58"/>
      <c r="W168" s="58"/>
      <c r="X168" s="58"/>
      <c r="Y168" s="58"/>
    </row>
    <row r="169" spans="1:25" ht="15" x14ac:dyDescent="0.25">
      <c r="G169" s="199"/>
      <c r="H169" s="199"/>
      <c r="I169" s="199"/>
      <c r="J169" s="199"/>
      <c r="K169" s="199"/>
      <c r="L169" s="199"/>
      <c r="M169" s="199"/>
      <c r="N169" s="199"/>
      <c r="O169" s="199"/>
      <c r="P169" s="199"/>
      <c r="Q169" s="199"/>
      <c r="R169" s="58"/>
      <c r="S169" s="58"/>
      <c r="T169" s="58"/>
      <c r="U169" s="58"/>
      <c r="V169" s="58"/>
      <c r="W169" s="58"/>
      <c r="X169" s="58"/>
      <c r="Y169" s="58"/>
    </row>
    <row r="170" spans="1:25" ht="15" x14ac:dyDescent="0.25">
      <c r="G170" s="199"/>
      <c r="H170" s="529"/>
      <c r="I170" s="529"/>
      <c r="J170" s="529"/>
      <c r="K170" s="529"/>
      <c r="L170" s="529"/>
      <c r="M170" s="199"/>
      <c r="N170" s="199"/>
      <c r="O170" s="199"/>
      <c r="P170" s="199"/>
      <c r="Q170" s="199"/>
      <c r="R170" s="58"/>
      <c r="S170" s="58"/>
      <c r="T170" s="58"/>
      <c r="U170" s="58"/>
      <c r="V170" s="58"/>
      <c r="W170" s="58"/>
      <c r="X170" s="58"/>
      <c r="Y170" s="58"/>
    </row>
    <row r="171" spans="1:25" ht="15" x14ac:dyDescent="0.25">
      <c r="G171" s="199"/>
      <c r="H171" s="529"/>
      <c r="I171" s="529"/>
      <c r="J171" s="529"/>
      <c r="K171" s="529"/>
      <c r="L171" s="529"/>
      <c r="M171" s="199"/>
      <c r="N171" s="199"/>
      <c r="O171" s="199"/>
      <c r="P171" s="199"/>
      <c r="Q171" s="199"/>
      <c r="R171" s="58"/>
      <c r="S171" s="58"/>
      <c r="T171" s="58"/>
      <c r="U171" s="58"/>
      <c r="V171" s="58"/>
      <c r="W171" s="58"/>
      <c r="X171" s="58"/>
      <c r="Y171" s="58"/>
    </row>
    <row r="172" spans="1:25" ht="15" x14ac:dyDescent="0.25">
      <c r="A172" s="117"/>
      <c r="B172" s="117"/>
      <c r="C172" s="117"/>
      <c r="D172" s="117"/>
      <c r="E172" s="117"/>
      <c r="F172" s="117"/>
      <c r="G172" s="117"/>
      <c r="H172" s="530"/>
      <c r="I172" s="530"/>
      <c r="J172" s="530"/>
      <c r="K172" s="530"/>
      <c r="L172" s="530"/>
      <c r="M172" s="199"/>
      <c r="N172" s="199"/>
      <c r="O172" s="199"/>
      <c r="P172" s="199"/>
      <c r="Q172" s="199"/>
      <c r="R172" s="58"/>
      <c r="S172" s="58"/>
      <c r="T172" s="58"/>
      <c r="U172" s="58"/>
      <c r="V172" s="58"/>
      <c r="W172" s="58"/>
      <c r="X172" s="58"/>
      <c r="Y172" s="58"/>
    </row>
    <row r="173" spans="1:25" ht="15" x14ac:dyDescent="0.25">
      <c r="A173" s="117"/>
      <c r="B173" s="117"/>
      <c r="C173" s="117"/>
      <c r="D173" s="117"/>
      <c r="E173" s="117"/>
      <c r="F173" s="117"/>
      <c r="G173" s="117"/>
      <c r="H173" s="530"/>
      <c r="I173" s="530"/>
      <c r="J173" s="530"/>
      <c r="K173" s="530"/>
      <c r="L173" s="530"/>
      <c r="M173" s="199"/>
      <c r="N173" s="199"/>
      <c r="O173" s="199"/>
      <c r="P173" s="199"/>
      <c r="Q173" s="199"/>
      <c r="R173" s="58"/>
      <c r="S173" s="58"/>
      <c r="T173" s="58"/>
      <c r="U173" s="58"/>
      <c r="V173" s="58"/>
      <c r="W173" s="58"/>
      <c r="X173" s="58"/>
      <c r="Y173" s="58"/>
    </row>
    <row r="174" spans="1:25" ht="15" x14ac:dyDescent="0.25">
      <c r="A174" s="117"/>
      <c r="B174" s="117"/>
      <c r="C174" s="117"/>
      <c r="D174" s="117"/>
      <c r="E174" s="117"/>
      <c r="F174" s="117"/>
      <c r="G174" s="117"/>
      <c r="H174" s="530"/>
      <c r="I174" s="530"/>
      <c r="J174" s="530"/>
      <c r="K174" s="530"/>
      <c r="L174" s="530"/>
      <c r="M174" s="199"/>
      <c r="N174" s="199"/>
      <c r="O174" s="199"/>
      <c r="P174" s="199"/>
      <c r="Q174" s="199"/>
      <c r="R174" s="58"/>
      <c r="S174" s="58"/>
      <c r="T174" s="58"/>
      <c r="U174" s="58"/>
      <c r="V174" s="58"/>
      <c r="W174" s="58"/>
      <c r="X174" s="58"/>
      <c r="Y174" s="58"/>
    </row>
    <row r="175" spans="1:25" ht="15" x14ac:dyDescent="0.25">
      <c r="A175" s="117"/>
      <c r="B175" s="117"/>
      <c r="C175" s="117"/>
      <c r="D175" s="117"/>
      <c r="E175" s="117"/>
      <c r="F175" s="117"/>
      <c r="G175" s="117"/>
      <c r="H175" s="530"/>
      <c r="I175" s="530"/>
      <c r="J175" s="530"/>
      <c r="K175" s="530"/>
      <c r="L175" s="530"/>
      <c r="M175" s="199"/>
      <c r="N175" s="199"/>
      <c r="O175" s="199"/>
      <c r="P175" s="199"/>
      <c r="Q175" s="199"/>
      <c r="R175" s="58"/>
      <c r="S175" s="58"/>
      <c r="T175" s="58"/>
      <c r="U175" s="58"/>
      <c r="V175" s="58"/>
      <c r="W175" s="58"/>
      <c r="X175" s="58"/>
      <c r="Y175" s="58"/>
    </row>
    <row r="178" spans="1:25" ht="15" x14ac:dyDescent="0.25">
      <c r="A178" s="117"/>
      <c r="B178" s="117"/>
      <c r="C178" s="117"/>
      <c r="D178" s="117"/>
      <c r="E178" s="117"/>
      <c r="F178" s="117"/>
      <c r="G178" s="117"/>
      <c r="H178" s="530"/>
      <c r="I178" s="530"/>
      <c r="J178" s="530"/>
      <c r="K178" s="530"/>
      <c r="L178" s="530"/>
      <c r="M178" s="199"/>
      <c r="N178" s="199"/>
      <c r="O178" s="199"/>
      <c r="P178" s="199"/>
      <c r="Q178" s="199"/>
      <c r="R178" s="58"/>
      <c r="S178" s="58"/>
      <c r="T178" s="58"/>
      <c r="U178" s="58"/>
      <c r="V178" s="58"/>
      <c r="W178" s="58"/>
      <c r="X178" s="58"/>
      <c r="Y178" s="58"/>
    </row>
    <row r="179" spans="1:25" ht="15" x14ac:dyDescent="0.25">
      <c r="A179" s="117"/>
      <c r="B179" s="117"/>
      <c r="C179" s="117"/>
      <c r="D179" s="117"/>
      <c r="E179" s="117"/>
      <c r="F179" s="117"/>
      <c r="G179" s="117"/>
      <c r="H179" s="530"/>
      <c r="I179" s="530"/>
      <c r="J179" s="530"/>
      <c r="K179" s="530"/>
      <c r="L179" s="530"/>
      <c r="M179" s="199"/>
      <c r="N179" s="199"/>
      <c r="O179" s="199"/>
      <c r="P179" s="199"/>
      <c r="Q179" s="199"/>
      <c r="R179" s="58"/>
      <c r="S179" s="58"/>
      <c r="T179" s="58"/>
      <c r="U179" s="58"/>
      <c r="V179" s="58"/>
      <c r="W179" s="58"/>
      <c r="X179" s="58"/>
      <c r="Y179" s="58"/>
    </row>
    <row r="180" spans="1:25" ht="15" x14ac:dyDescent="0.25">
      <c r="A180" s="117"/>
      <c r="B180" s="117"/>
      <c r="C180" s="117"/>
      <c r="D180" s="117"/>
      <c r="E180" s="117"/>
      <c r="F180" s="117"/>
      <c r="G180" s="117"/>
      <c r="H180" s="530"/>
      <c r="I180" s="530"/>
      <c r="J180" s="530"/>
      <c r="K180" s="530"/>
      <c r="L180" s="530"/>
      <c r="M180" s="199"/>
      <c r="N180" s="199"/>
      <c r="O180" s="199"/>
      <c r="P180" s="199"/>
      <c r="Q180" s="199"/>
      <c r="R180" s="58"/>
      <c r="S180" s="58"/>
      <c r="T180" s="58"/>
      <c r="U180" s="58"/>
      <c r="V180" s="58"/>
      <c r="W180" s="58"/>
      <c r="X180" s="58"/>
      <c r="Y180" s="58"/>
    </row>
    <row r="181" spans="1:25" ht="15" x14ac:dyDescent="0.25">
      <c r="A181" s="117"/>
      <c r="B181" s="117"/>
      <c r="C181" s="117"/>
      <c r="D181" s="117"/>
      <c r="E181" s="117"/>
      <c r="F181" s="117"/>
      <c r="G181" s="117"/>
      <c r="H181" s="530"/>
      <c r="I181" s="530"/>
      <c r="J181" s="530"/>
      <c r="K181" s="530"/>
      <c r="L181" s="530"/>
      <c r="M181" s="199"/>
      <c r="N181" s="199"/>
      <c r="O181" s="199"/>
      <c r="P181" s="199"/>
      <c r="Q181" s="199"/>
      <c r="R181" s="58"/>
      <c r="S181" s="58"/>
      <c r="T181" s="58"/>
      <c r="U181" s="58"/>
      <c r="V181" s="58"/>
      <c r="W181" s="58"/>
      <c r="X181" s="58"/>
      <c r="Y181" s="58"/>
    </row>
    <row r="182" spans="1:25" ht="15" x14ac:dyDescent="0.25">
      <c r="A182" s="117"/>
      <c r="B182" s="117"/>
      <c r="C182" s="117"/>
      <c r="D182" s="117"/>
      <c r="E182" s="117"/>
      <c r="F182" s="117"/>
      <c r="G182" s="117"/>
      <c r="H182" s="530"/>
      <c r="I182" s="530"/>
      <c r="J182" s="530"/>
      <c r="K182" s="530"/>
      <c r="L182" s="530"/>
      <c r="M182" s="199"/>
      <c r="N182" s="199"/>
      <c r="O182" s="199"/>
      <c r="P182" s="199"/>
      <c r="Q182" s="199"/>
      <c r="R182" s="58"/>
      <c r="S182" s="58"/>
      <c r="T182" s="58"/>
      <c r="U182" s="58"/>
      <c r="V182" s="58"/>
      <c r="W182" s="58"/>
      <c r="X182" s="58"/>
      <c r="Y182" s="58"/>
    </row>
    <row r="183" spans="1:25" ht="15" x14ac:dyDescent="0.25">
      <c r="I183" s="199"/>
      <c r="J183" s="199"/>
      <c r="K183" s="199"/>
      <c r="L183" s="199"/>
      <c r="M183" s="199"/>
      <c r="N183" s="199"/>
      <c r="O183" s="199"/>
      <c r="P183" s="199"/>
      <c r="Q183" s="199"/>
      <c r="R183" s="58"/>
      <c r="S183" s="58"/>
      <c r="T183" s="58"/>
      <c r="U183" s="58"/>
      <c r="V183" s="58"/>
      <c r="W183" s="58"/>
      <c r="X183" s="58"/>
      <c r="Y183" s="58"/>
    </row>
    <row r="184" spans="1:25" ht="15" x14ac:dyDescent="0.25">
      <c r="I184" s="199"/>
      <c r="J184" s="199"/>
      <c r="K184" s="199"/>
      <c r="L184" s="199"/>
      <c r="M184" s="199"/>
      <c r="N184" s="199"/>
      <c r="O184" s="199"/>
      <c r="P184" s="199"/>
      <c r="Q184" s="199"/>
      <c r="R184" s="58"/>
      <c r="S184" s="58"/>
      <c r="T184" s="58"/>
      <c r="U184" s="58"/>
      <c r="V184" s="58"/>
      <c r="W184" s="58"/>
      <c r="X184" s="58"/>
      <c r="Y184" s="58"/>
    </row>
    <row r="185" spans="1:25" ht="15" x14ac:dyDescent="0.25">
      <c r="A185" s="34" t="s">
        <v>2544</v>
      </c>
      <c r="B185" s="1121"/>
      <c r="C185" s="1121"/>
      <c r="D185" s="1121"/>
      <c r="E185" s="1121"/>
      <c r="F185" s="1121"/>
      <c r="G185" s="1121"/>
      <c r="H185" s="1121"/>
      <c r="I185" s="530"/>
      <c r="J185" s="530"/>
      <c r="K185" s="530"/>
      <c r="L185" s="530"/>
      <c r="M185" s="199"/>
      <c r="N185" s="199"/>
      <c r="O185" s="199"/>
      <c r="P185" s="199"/>
      <c r="Q185" s="199"/>
      <c r="R185" s="58"/>
      <c r="S185" s="58"/>
      <c r="T185" s="58"/>
      <c r="U185" s="58"/>
      <c r="V185" s="58"/>
      <c r="W185" s="58"/>
      <c r="X185" s="58"/>
      <c r="Y185" s="58"/>
    </row>
    <row r="186" spans="1:25" ht="15" x14ac:dyDescent="0.25">
      <c r="G186" s="117"/>
      <c r="H186" s="530"/>
      <c r="I186" s="530"/>
      <c r="J186" s="530"/>
      <c r="K186" s="530"/>
      <c r="L186" s="530"/>
      <c r="M186" s="199"/>
      <c r="N186" s="199"/>
      <c r="O186" s="199"/>
      <c r="P186" s="199"/>
      <c r="Q186" s="199"/>
      <c r="R186" s="58"/>
      <c r="S186" s="58"/>
      <c r="T186" s="58"/>
      <c r="U186" s="58"/>
      <c r="V186" s="58"/>
      <c r="W186" s="58"/>
      <c r="X186" s="58"/>
      <c r="Y186" s="58"/>
    </row>
    <row r="187" spans="1:25" ht="15" x14ac:dyDescent="0.25">
      <c r="G187" s="117"/>
      <c r="H187" s="530"/>
      <c r="I187" s="530"/>
      <c r="J187" s="530"/>
      <c r="K187" s="530"/>
      <c r="L187" s="530"/>
      <c r="M187" s="199"/>
      <c r="N187" s="199"/>
      <c r="O187" s="199"/>
      <c r="P187" s="199"/>
      <c r="Q187" s="199"/>
      <c r="R187" s="58"/>
      <c r="S187" s="58"/>
      <c r="T187" s="58"/>
      <c r="U187" s="58"/>
      <c r="V187" s="58"/>
      <c r="W187" s="58"/>
      <c r="X187" s="58"/>
      <c r="Y187" s="58"/>
    </row>
    <row r="188" spans="1:25" ht="15" x14ac:dyDescent="0.25">
      <c r="A188" s="117"/>
      <c r="B188" s="117"/>
      <c r="C188" s="117"/>
      <c r="D188" s="117"/>
      <c r="E188" s="117"/>
      <c r="F188" s="117"/>
      <c r="G188" s="117"/>
      <c r="H188" s="530"/>
      <c r="I188" s="530"/>
      <c r="J188" s="530"/>
      <c r="K188" s="530"/>
      <c r="L188" s="530"/>
      <c r="M188" s="199"/>
      <c r="N188" s="199"/>
      <c r="O188" s="199"/>
      <c r="P188" s="199"/>
      <c r="Q188" s="199"/>
      <c r="R188" s="58"/>
      <c r="S188" s="58"/>
      <c r="T188" s="58"/>
      <c r="U188" s="58"/>
      <c r="V188" s="58"/>
      <c r="W188" s="58"/>
      <c r="X188" s="58"/>
      <c r="Y188" s="58"/>
    </row>
    <row r="189" spans="1:25" ht="15" x14ac:dyDescent="0.25">
      <c r="A189" s="117"/>
      <c r="B189" s="117"/>
      <c r="C189" s="117"/>
      <c r="D189" s="117"/>
      <c r="E189" s="117"/>
      <c r="F189" s="117"/>
      <c r="G189" s="117"/>
      <c r="H189" s="530"/>
      <c r="I189" s="530"/>
      <c r="J189" s="530"/>
      <c r="K189" s="530"/>
      <c r="L189" s="530"/>
      <c r="M189" s="199"/>
      <c r="N189" s="199"/>
      <c r="O189" s="199"/>
      <c r="P189" s="199"/>
      <c r="Q189" s="199"/>
      <c r="R189" s="58"/>
      <c r="S189" s="58"/>
      <c r="T189" s="58"/>
      <c r="U189" s="58"/>
      <c r="V189" s="58"/>
      <c r="W189" s="58"/>
      <c r="X189" s="58"/>
      <c r="Y189" s="58"/>
    </row>
    <row r="190" spans="1:25" ht="15" x14ac:dyDescent="0.25">
      <c r="A190" s="117"/>
      <c r="B190" s="117"/>
      <c r="C190" s="117"/>
      <c r="D190" s="117"/>
      <c r="E190" s="117"/>
      <c r="F190" s="117"/>
      <c r="G190" s="117"/>
      <c r="H190" s="530"/>
      <c r="I190" s="530"/>
      <c r="J190" s="530"/>
      <c r="K190" s="530"/>
      <c r="L190" s="530"/>
      <c r="M190" s="199"/>
      <c r="N190" s="199"/>
      <c r="O190" s="199"/>
      <c r="P190" s="199"/>
      <c r="Q190" s="199"/>
      <c r="R190" s="58"/>
      <c r="S190" s="58"/>
      <c r="T190" s="58"/>
      <c r="U190" s="58"/>
      <c r="V190" s="58"/>
      <c r="W190" s="58"/>
      <c r="X190" s="58"/>
      <c r="Y190" s="58"/>
    </row>
    <row r="191" spans="1:25" ht="15" x14ac:dyDescent="0.25">
      <c r="A191" s="117"/>
      <c r="B191" s="117"/>
      <c r="C191" s="117"/>
      <c r="D191" s="117"/>
      <c r="E191" s="117"/>
      <c r="F191" s="117"/>
      <c r="G191" s="117"/>
      <c r="H191" s="530"/>
      <c r="I191" s="530"/>
      <c r="J191" s="530"/>
      <c r="K191" s="530"/>
      <c r="L191" s="530"/>
      <c r="M191" s="199"/>
      <c r="N191" s="199"/>
      <c r="O191" s="199"/>
      <c r="P191" s="199"/>
      <c r="Q191" s="199"/>
      <c r="R191" s="58"/>
      <c r="S191" s="58"/>
      <c r="T191" s="58"/>
      <c r="U191" s="58"/>
      <c r="V191" s="58"/>
      <c r="W191" s="58"/>
      <c r="X191" s="58"/>
      <c r="Y191" s="58"/>
    </row>
    <row r="192" spans="1:25" ht="15" x14ac:dyDescent="0.25">
      <c r="A192" s="117"/>
      <c r="B192" s="117"/>
      <c r="C192" s="117"/>
      <c r="D192" s="117"/>
      <c r="E192" s="117"/>
      <c r="F192" s="117"/>
      <c r="G192" s="117"/>
      <c r="H192" s="530"/>
      <c r="I192" s="530"/>
      <c r="J192" s="530"/>
      <c r="K192" s="530"/>
      <c r="L192" s="530"/>
      <c r="M192" s="199"/>
      <c r="N192" s="199"/>
      <c r="O192" s="199"/>
      <c r="P192" s="199"/>
      <c r="Q192" s="199"/>
      <c r="R192" s="58"/>
      <c r="S192" s="58"/>
      <c r="T192" s="58"/>
      <c r="U192" s="58"/>
      <c r="V192" s="58"/>
      <c r="W192" s="58"/>
      <c r="X192" s="58"/>
      <c r="Y192" s="58"/>
    </row>
    <row r="193" spans="1:25" ht="15" x14ac:dyDescent="0.25">
      <c r="A193" s="117"/>
      <c r="B193" s="117"/>
      <c r="C193" s="117"/>
      <c r="D193" s="117"/>
      <c r="E193" s="117"/>
      <c r="F193" s="117"/>
      <c r="G193" s="117"/>
      <c r="H193" s="530"/>
      <c r="I193" s="530"/>
      <c r="J193" s="530"/>
      <c r="K193" s="530"/>
      <c r="L193" s="530"/>
      <c r="M193" s="199"/>
      <c r="N193" s="199"/>
      <c r="O193" s="199"/>
      <c r="P193" s="199"/>
      <c r="Q193" s="199"/>
      <c r="R193" s="58"/>
      <c r="S193" s="58"/>
      <c r="T193" s="58"/>
      <c r="U193" s="58"/>
      <c r="V193" s="58"/>
      <c r="W193" s="58"/>
      <c r="X193" s="58"/>
      <c r="Y193" s="58"/>
    </row>
    <row r="194" spans="1:25" ht="15" x14ac:dyDescent="0.25">
      <c r="A194" s="117"/>
      <c r="B194" s="117"/>
      <c r="C194" s="117"/>
      <c r="D194" s="117"/>
      <c r="E194" s="117"/>
      <c r="F194" s="117"/>
      <c r="G194" s="117"/>
      <c r="H194" s="530"/>
      <c r="I194" s="530"/>
      <c r="J194" s="530"/>
      <c r="K194" s="530"/>
      <c r="L194" s="530"/>
      <c r="M194" s="199"/>
      <c r="N194" s="199"/>
      <c r="O194" s="199"/>
      <c r="P194" s="199"/>
      <c r="Q194" s="199"/>
      <c r="R194" s="58"/>
      <c r="S194" s="58"/>
      <c r="T194" s="58"/>
      <c r="U194" s="58"/>
      <c r="V194" s="58"/>
      <c r="W194" s="58"/>
      <c r="X194" s="58"/>
      <c r="Y194" s="58"/>
    </row>
    <row r="195" spans="1:25" ht="15" x14ac:dyDescent="0.25">
      <c r="A195" s="117"/>
      <c r="B195" s="117"/>
      <c r="C195" s="117"/>
      <c r="D195" s="117"/>
      <c r="E195" s="117"/>
      <c r="F195" s="117"/>
      <c r="G195" s="117"/>
      <c r="H195" s="530"/>
      <c r="I195" s="530"/>
      <c r="K195" s="530"/>
      <c r="L195" s="530"/>
      <c r="M195" s="199"/>
      <c r="N195" s="199"/>
      <c r="O195" s="199"/>
      <c r="P195" s="199"/>
      <c r="Q195" s="199"/>
      <c r="R195" s="58"/>
      <c r="S195" s="58"/>
      <c r="T195" s="58"/>
      <c r="U195" s="58"/>
      <c r="V195" s="58"/>
      <c r="W195" s="58"/>
      <c r="X195" s="58"/>
      <c r="Y195" s="58"/>
    </row>
    <row r="196" spans="1:25" ht="15" x14ac:dyDescent="0.25">
      <c r="A196" s="117"/>
      <c r="B196" s="117"/>
      <c r="C196" s="117"/>
      <c r="D196" s="117"/>
      <c r="E196" s="117"/>
      <c r="F196" s="117"/>
      <c r="G196" s="117"/>
      <c r="H196" s="530"/>
      <c r="I196" s="530"/>
      <c r="J196" s="530"/>
      <c r="K196" s="530"/>
      <c r="L196" s="530"/>
      <c r="M196" s="199"/>
      <c r="N196" s="199"/>
      <c r="O196" s="199"/>
      <c r="P196" s="199"/>
      <c r="Q196" s="199"/>
      <c r="R196" s="58"/>
      <c r="S196" s="58"/>
      <c r="T196" s="58"/>
      <c r="U196" s="58"/>
      <c r="V196" s="58"/>
      <c r="W196" s="58"/>
      <c r="X196" s="58"/>
      <c r="Y196" s="58"/>
    </row>
    <row r="197" spans="1:25" ht="15" x14ac:dyDescent="0.25">
      <c r="A197" s="242"/>
      <c r="B197" s="242"/>
      <c r="C197" s="242"/>
      <c r="D197" s="242"/>
      <c r="E197" s="242"/>
      <c r="F197" s="242"/>
      <c r="G197" s="242"/>
      <c r="H197" s="242"/>
      <c r="I197" s="1119"/>
      <c r="J197" s="1119"/>
      <c r="K197" s="1119"/>
      <c r="L197" s="1119"/>
      <c r="M197" s="1120"/>
      <c r="N197" s="199"/>
      <c r="O197" s="199"/>
      <c r="P197" s="199"/>
      <c r="Q197" s="199"/>
      <c r="R197" s="58"/>
      <c r="S197" s="58"/>
      <c r="T197" s="58"/>
      <c r="U197" s="58"/>
      <c r="V197" s="58"/>
      <c r="W197" s="58"/>
      <c r="X197" s="58"/>
      <c r="Y197" s="58"/>
    </row>
    <row r="198" spans="1:25" ht="15" x14ac:dyDescent="0.25">
      <c r="I198" s="117"/>
      <c r="J198" s="518"/>
      <c r="K198" s="199"/>
      <c r="L198" s="199"/>
      <c r="M198" s="199"/>
      <c r="N198" s="199"/>
      <c r="O198" s="199"/>
      <c r="P198" s="199"/>
      <c r="Q198" s="199"/>
      <c r="R198" s="58"/>
      <c r="S198" s="58"/>
      <c r="T198" s="58"/>
      <c r="U198" s="58"/>
      <c r="V198" s="58"/>
      <c r="W198" s="58"/>
      <c r="X198" s="58"/>
      <c r="Y198" s="58"/>
    </row>
    <row r="199" spans="1:25" ht="16.5" x14ac:dyDescent="0.35">
      <c r="A199" s="4508" t="e">
        <f ca="1">IF(AND(H112=I112,H112=J112,H112=K112,H112=L112),"Расчет окончен, посмотрите отчет","Установите оптимальное значение величины пая в ячейку столбца Н и протяние ее до столбца L")</f>
        <v>#VALUE!</v>
      </c>
      <c r="B199" s="4373"/>
      <c r="C199" s="4373"/>
      <c r="D199" s="4373"/>
      <c r="E199" s="4373"/>
      <c r="F199" s="4373"/>
      <c r="G199" s="4373"/>
      <c r="H199" s="4373"/>
      <c r="I199" s="117"/>
      <c r="J199" s="518"/>
      <c r="K199" s="199"/>
      <c r="L199" s="199"/>
      <c r="M199" s="199"/>
      <c r="N199" s="199"/>
      <c r="O199" s="199"/>
      <c r="P199" s="199"/>
      <c r="Q199" s="199"/>
      <c r="R199" s="58"/>
      <c r="S199" s="58"/>
      <c r="T199" s="58"/>
      <c r="U199" s="58"/>
      <c r="V199" s="58"/>
      <c r="W199" s="58"/>
      <c r="X199" s="58"/>
      <c r="Y199" s="58"/>
    </row>
    <row r="200" spans="1:25" ht="18.75" x14ac:dyDescent="0.3">
      <c r="A200" s="199"/>
      <c r="B200" s="527" t="e">
        <f ca="1">IF(AND(H112=I112,H112=J112,H112=K112,H112=L112),"Отчет в строке","")</f>
        <v>#VALUE!</v>
      </c>
      <c r="C200" s="199"/>
      <c r="D200" s="525" t="e">
        <f ca="1">IF(AND(H112=I112,H112=J112,H112=K112,H112=L112),ROW(236:236),"")</f>
        <v>#VALUE!</v>
      </c>
      <c r="E200" s="199"/>
      <c r="F200" s="199"/>
      <c r="G200" s="199"/>
      <c r="H200" s="199"/>
      <c r="I200" s="117"/>
      <c r="J200" s="518"/>
      <c r="K200" s="199"/>
      <c r="L200" s="199"/>
      <c r="M200" s="199"/>
      <c r="N200" s="199"/>
      <c r="O200" s="199"/>
      <c r="P200" s="199"/>
      <c r="Q200" s="199"/>
      <c r="R200" s="58"/>
      <c r="S200" s="58"/>
      <c r="T200" s="58"/>
      <c r="U200" s="58"/>
      <c r="V200" s="58"/>
      <c r="W200" s="58"/>
      <c r="X200" s="58"/>
      <c r="Y200" s="58"/>
    </row>
    <row r="201" spans="1:25" ht="18.75" x14ac:dyDescent="0.3">
      <c r="A201" s="531" t="str">
        <f>IF(SUM(S80:S84)=5,"Результаты вычислений производительности струговой установки и нагрузки на лаву","")</f>
        <v/>
      </c>
      <c r="B201" s="199"/>
      <c r="C201" s="117"/>
      <c r="D201" s="117"/>
      <c r="E201" s="117"/>
      <c r="F201" s="117"/>
      <c r="G201" s="117"/>
      <c r="H201" s="117"/>
      <c r="I201" s="117"/>
      <c r="J201" s="518"/>
      <c r="K201" s="199"/>
      <c r="L201" s="199"/>
      <c r="M201" s="199"/>
      <c r="N201" s="199"/>
      <c r="O201" s="199"/>
      <c r="P201" s="199"/>
      <c r="Q201" s="199"/>
      <c r="R201" s="58"/>
      <c r="S201" s="58"/>
      <c r="T201" s="58"/>
      <c r="U201" s="58"/>
      <c r="V201" s="58"/>
      <c r="W201" s="58"/>
      <c r="X201" s="58"/>
      <c r="Y201" s="58"/>
    </row>
    <row r="202" spans="1:25" ht="15.75" x14ac:dyDescent="0.25">
      <c r="B202" s="199"/>
      <c r="C202" s="532" t="e">
        <f ca="1">IF(H775=0,CONCATENATE("Заданная Вами категория устойчивости пород  кровли ",H502,"  не позволяет применить заданное оборудование!"),"")</f>
        <v>#VALUE!</v>
      </c>
      <c r="D202" s="199"/>
      <c r="E202" s="199"/>
      <c r="F202" s="199"/>
      <c r="G202" s="199"/>
      <c r="H202" s="199"/>
      <c r="I202" s="199"/>
      <c r="J202" s="199"/>
      <c r="K202" s="199"/>
      <c r="L202" s="199"/>
      <c r="M202" s="199"/>
      <c r="N202" s="199"/>
      <c r="O202" s="199"/>
      <c r="P202" s="199"/>
      <c r="Q202" s="199"/>
      <c r="R202" s="58"/>
      <c r="S202" s="58"/>
      <c r="T202" s="58"/>
      <c r="U202" s="58"/>
      <c r="V202" s="58"/>
      <c r="W202" s="58"/>
      <c r="X202" s="58"/>
      <c r="Y202" s="58"/>
    </row>
    <row r="203" spans="1:25" ht="15" x14ac:dyDescent="0.25">
      <c r="A203" s="520" t="s">
        <v>3170</v>
      </c>
      <c r="B203" s="533"/>
      <c r="C203" s="533"/>
      <c r="D203" s="533"/>
      <c r="E203" s="533"/>
      <c r="F203" s="199"/>
      <c r="G203" s="199"/>
      <c r="H203" s="534" t="e">
        <f>$D$599</f>
        <v>#VALUE!</v>
      </c>
      <c r="I203" s="534" t="e">
        <f>$D$599</f>
        <v>#VALUE!</v>
      </c>
      <c r="J203" s="534" t="e">
        <f>$D$599</f>
        <v>#VALUE!</v>
      </c>
      <c r="K203" s="534" t="e">
        <f>$D$599</f>
        <v>#VALUE!</v>
      </c>
      <c r="L203" s="534" t="e">
        <f>$D$599</f>
        <v>#VALUE!</v>
      </c>
      <c r="M203" s="199"/>
      <c r="N203" s="199"/>
      <c r="O203" s="199"/>
      <c r="P203" s="199"/>
      <c r="Q203" s="199"/>
      <c r="R203" s="58"/>
      <c r="S203" s="58"/>
      <c r="T203" s="58"/>
      <c r="U203" s="58"/>
      <c r="V203" s="58"/>
      <c r="W203" s="58"/>
      <c r="X203" s="58"/>
      <c r="Y203" s="58"/>
    </row>
    <row r="204" spans="1:25" ht="15" x14ac:dyDescent="0.25">
      <c r="A204" s="520" t="s">
        <v>4395</v>
      </c>
      <c r="B204" s="533"/>
      <c r="C204" s="533"/>
      <c r="D204" s="533"/>
      <c r="E204" s="533"/>
      <c r="F204" s="199"/>
      <c r="G204" s="199"/>
      <c r="H204" s="535" t="e">
        <f>INDEX($B$567:$F$567,2*$D$599-1)</f>
        <v>#VALUE!</v>
      </c>
      <c r="I204" s="535" t="e">
        <f>INDEX($B$567:$F$567,2*$D$599-1)</f>
        <v>#VALUE!</v>
      </c>
      <c r="J204" s="535" t="e">
        <f>INDEX($B$567:$F$567,2*$D$599-1)</f>
        <v>#VALUE!</v>
      </c>
      <c r="K204" s="535" t="e">
        <f>INDEX($B$567:$F$567,2*$D$599-1)</f>
        <v>#VALUE!</v>
      </c>
      <c r="L204" s="535" t="e">
        <f>INDEX($B$567:$F$567,2*$D$599-1)</f>
        <v>#VALUE!</v>
      </c>
      <c r="M204" s="199"/>
      <c r="N204" s="199"/>
      <c r="O204" s="199"/>
      <c r="P204" s="199"/>
      <c r="Q204" s="199"/>
      <c r="R204" s="58"/>
      <c r="S204" s="58"/>
      <c r="T204" s="58"/>
      <c r="U204" s="58"/>
      <c r="V204" s="58"/>
      <c r="W204" s="58"/>
      <c r="X204" s="58"/>
      <c r="Y204" s="58"/>
    </row>
    <row r="205" spans="1:25" ht="15" x14ac:dyDescent="0.25">
      <c r="A205" s="520" t="s">
        <v>512</v>
      </c>
      <c r="B205" s="533"/>
      <c r="C205" s="533"/>
      <c r="D205" s="533"/>
      <c r="E205" s="533"/>
      <c r="F205" s="199"/>
      <c r="G205" s="199"/>
      <c r="H205" s="535" t="e">
        <f>INDEX($B$567:$G$567,2*$D$598)</f>
        <v>#VALUE!</v>
      </c>
      <c r="I205" s="535" t="e">
        <f>INDEX($B$567:$G$567,2*$D$598)</f>
        <v>#VALUE!</v>
      </c>
      <c r="J205" s="535" t="e">
        <f>INDEX($B$567:$G$567,2*$D$598)</f>
        <v>#VALUE!</v>
      </c>
      <c r="K205" s="535" t="e">
        <f>INDEX($B$567:$G$567,2*$D$598)</f>
        <v>#VALUE!</v>
      </c>
      <c r="L205" s="535" t="e">
        <f>INDEX($B$567:$G$567,2*$D$598)</f>
        <v>#VALUE!</v>
      </c>
      <c r="M205" s="199"/>
      <c r="N205" s="199"/>
      <c r="O205" s="199"/>
      <c r="P205" s="199"/>
      <c r="Q205" s="199"/>
      <c r="R205" s="58"/>
      <c r="S205" s="58"/>
      <c r="T205" s="58"/>
      <c r="U205" s="58"/>
      <c r="V205" s="58"/>
      <c r="W205" s="58"/>
      <c r="X205" s="58"/>
      <c r="Y205" s="58"/>
    </row>
    <row r="206" spans="1:25" ht="16.5" x14ac:dyDescent="0.3">
      <c r="A206" s="520" t="s">
        <v>513</v>
      </c>
      <c r="B206" s="533"/>
      <c r="C206" s="199"/>
      <c r="D206" s="199"/>
      <c r="E206" s="533"/>
      <c r="F206" s="533"/>
      <c r="G206" s="199"/>
      <c r="H206" s="536" t="e">
        <f>INDEX($E$561:$E$563,$D$598)</f>
        <v>#VALUE!</v>
      </c>
      <c r="I206" s="536" t="e">
        <f>INDEX($E$561:$E$563,$D$598)</f>
        <v>#VALUE!</v>
      </c>
      <c r="J206" s="536" t="e">
        <f>INDEX($E$561:$E$563,$D$598)</f>
        <v>#VALUE!</v>
      </c>
      <c r="K206" s="536" t="e">
        <f>INDEX($E$561:$E$563,$D$598)</f>
        <v>#VALUE!</v>
      </c>
      <c r="L206" s="536" t="e">
        <f>INDEX($E$561:$E$563,$D$598)</f>
        <v>#VALUE!</v>
      </c>
      <c r="M206" s="199"/>
      <c r="N206" s="199"/>
      <c r="O206" s="199"/>
      <c r="P206" s="199"/>
      <c r="Q206" s="199"/>
      <c r="R206" s="58"/>
      <c r="S206" s="58"/>
      <c r="T206" s="58"/>
      <c r="U206" s="58"/>
      <c r="V206" s="58"/>
      <c r="W206" s="58"/>
      <c r="X206" s="58"/>
      <c r="Y206" s="58"/>
    </row>
    <row r="207" spans="1:25" ht="16.5" x14ac:dyDescent="0.3">
      <c r="A207" s="520" t="s">
        <v>634</v>
      </c>
      <c r="B207" s="533"/>
      <c r="C207" s="533"/>
      <c r="D207" s="199"/>
      <c r="E207" s="533"/>
      <c r="F207" s="533"/>
      <c r="G207" s="199"/>
      <c r="H207" s="536" t="e">
        <f>INDEX($B$575:$B$577,$D$598)</f>
        <v>#VALUE!</v>
      </c>
      <c r="I207" s="536" t="e">
        <f>INDEX($B$575:$B$577,$D$598)</f>
        <v>#VALUE!</v>
      </c>
      <c r="J207" s="536" t="e">
        <f>INDEX($B$575:$B$577,$D$598)</f>
        <v>#VALUE!</v>
      </c>
      <c r="K207" s="536" t="e">
        <f>INDEX($B$575:$B$577,$D$598)</f>
        <v>#VALUE!</v>
      </c>
      <c r="L207" s="536" t="e">
        <f>INDEX($B$575:$B$577,$D$598)</f>
        <v>#VALUE!</v>
      </c>
      <c r="M207" s="199"/>
      <c r="N207" s="199"/>
      <c r="O207" s="199"/>
      <c r="P207" s="199"/>
      <c r="Q207" s="199"/>
      <c r="R207" s="58"/>
      <c r="S207" s="58"/>
      <c r="T207" s="58"/>
      <c r="U207" s="58"/>
      <c r="V207" s="58"/>
      <c r="W207" s="58"/>
      <c r="X207" s="58"/>
      <c r="Y207" s="58"/>
    </row>
    <row r="208" spans="1:25" ht="15" x14ac:dyDescent="0.25">
      <c r="A208" s="538" t="e">
        <f>IF(H203=3," Длитеьность паузы для разгрузки конвейера перед реверсом, сек","Вычисления окончены")</f>
        <v>#VALUE!</v>
      </c>
      <c r="B208" s="533"/>
      <c r="C208" s="533"/>
      <c r="D208" s="533"/>
      <c r="E208" s="533"/>
      <c r="F208" s="533"/>
      <c r="G208" s="199"/>
      <c r="H208" s="539" t="e">
        <f>IF(H203=3,H109*(H204-H205)/(H204*H205),"")</f>
        <v>#VALUE!</v>
      </c>
      <c r="I208" s="539" t="e">
        <f>IF(I203=3,I109*(I204-I205)/(I204*I205),"")</f>
        <v>#VALUE!</v>
      </c>
      <c r="J208" s="539" t="e">
        <f>IF(J203=3,J109*(J204-J205)/(J204*J205),"")</f>
        <v>#VALUE!</v>
      </c>
      <c r="K208" s="539" t="e">
        <f>IF(K203=3,K109*(K204-K205)/(K204*K205),"")</f>
        <v>#VALUE!</v>
      </c>
      <c r="L208" s="539" t="e">
        <f>IF(L203=3,L109*(L204-L205)/(L204*L205),"")</f>
        <v>#VALUE!</v>
      </c>
      <c r="M208" s="199"/>
      <c r="N208" s="199"/>
      <c r="O208" s="199"/>
      <c r="P208" s="199"/>
      <c r="Q208" s="199"/>
      <c r="R208" s="58"/>
      <c r="S208" s="58"/>
      <c r="T208" s="58"/>
      <c r="U208" s="58"/>
      <c r="V208" s="58"/>
      <c r="W208" s="58"/>
      <c r="X208" s="58"/>
      <c r="Y208" s="58"/>
    </row>
    <row r="209" spans="1:25" ht="15" x14ac:dyDescent="0.25">
      <c r="A209" s="4509" t="s">
        <v>3169</v>
      </c>
      <c r="B209" s="4375"/>
      <c r="C209" s="4375"/>
      <c r="D209" s="4375"/>
      <c r="E209" s="4375"/>
      <c r="F209" s="4375"/>
      <c r="G209" s="199"/>
      <c r="H209" s="536" t="e">
        <f>$D$597</f>
        <v>#VALUE!</v>
      </c>
      <c r="I209" s="536" t="e">
        <f>$D$597</f>
        <v>#VALUE!</v>
      </c>
      <c r="J209" s="536" t="e">
        <f>$D$597</f>
        <v>#VALUE!</v>
      </c>
      <c r="K209" s="536" t="e">
        <f>$D$597</f>
        <v>#VALUE!</v>
      </c>
      <c r="L209" s="536" t="e">
        <f>$D$597</f>
        <v>#VALUE!</v>
      </c>
      <c r="M209" s="199"/>
      <c r="N209" s="199"/>
      <c r="O209" s="199"/>
      <c r="P209" s="199"/>
      <c r="Q209" s="199"/>
      <c r="R209" s="58"/>
      <c r="S209" s="58"/>
      <c r="T209" s="58"/>
      <c r="U209" s="58"/>
      <c r="V209" s="58"/>
      <c r="W209" s="58"/>
      <c r="X209" s="58"/>
      <c r="Y209" s="58"/>
    </row>
    <row r="210" spans="1:25" ht="15" x14ac:dyDescent="0.25">
      <c r="A210" s="4505" t="s">
        <v>3826</v>
      </c>
      <c r="B210" s="4505"/>
      <c r="C210" s="4505"/>
      <c r="D210" s="4505"/>
      <c r="E210" s="4505"/>
      <c r="F210" s="4505"/>
      <c r="G210" s="199"/>
      <c r="H210" s="540">
        <f>$H$556</f>
        <v>100</v>
      </c>
      <c r="I210" s="540">
        <f>$H$556</f>
        <v>100</v>
      </c>
      <c r="J210" s="540">
        <f>$H$556</f>
        <v>100</v>
      </c>
      <c r="K210" s="540">
        <f>$H$556</f>
        <v>100</v>
      </c>
      <c r="L210" s="540">
        <f>$H$556</f>
        <v>100</v>
      </c>
      <c r="M210" s="199"/>
      <c r="N210" s="199"/>
      <c r="O210" s="199"/>
      <c r="P210" s="199"/>
      <c r="Q210" s="199"/>
      <c r="R210" s="58"/>
      <c r="S210" s="58"/>
      <c r="T210" s="58"/>
      <c r="U210" s="58"/>
      <c r="V210" s="58"/>
      <c r="W210" s="58"/>
      <c r="X210" s="58"/>
      <c r="Y210" s="58"/>
    </row>
    <row r="211" spans="1:25" ht="15" x14ac:dyDescent="0.25">
      <c r="A211" s="541" t="s">
        <v>3941</v>
      </c>
      <c r="B211" s="199"/>
      <c r="C211" s="199"/>
      <c r="D211" s="199"/>
      <c r="E211" s="542"/>
      <c r="F211" s="199"/>
      <c r="G211" s="199"/>
      <c r="H211" s="540">
        <f ca="1">IF($T$28=0,IF(H210&lt;H209,H210,H209),0)</f>
        <v>0</v>
      </c>
      <c r="I211" s="540">
        <f ca="1">IF($T$28=0,IF(I210&lt;I209,I210,I209),0)</f>
        <v>0</v>
      </c>
      <c r="J211" s="540">
        <f ca="1">IF($T$28=0,IF(J210&lt;J209,J210,J209),0)</f>
        <v>0</v>
      </c>
      <c r="K211" s="540">
        <f ca="1">IF($T$28=0,IF(K210&lt;K209,K210,K209),0)</f>
        <v>0</v>
      </c>
      <c r="L211" s="540">
        <f ca="1">IF($T$28=0,IF(L210&lt;L209,L210,L209),0)</f>
        <v>0</v>
      </c>
      <c r="M211" s="199"/>
      <c r="N211" s="199"/>
      <c r="O211" s="199"/>
      <c r="P211" s="199"/>
      <c r="Q211" s="199"/>
      <c r="R211" s="58"/>
      <c r="S211" s="58"/>
      <c r="T211" s="58"/>
      <c r="U211" s="58"/>
      <c r="V211" s="58"/>
      <c r="W211" s="58"/>
      <c r="X211" s="58"/>
      <c r="Y211" s="58"/>
    </row>
    <row r="212" spans="1:25" ht="15" x14ac:dyDescent="0.25">
      <c r="A212" s="541" t="s">
        <v>3942</v>
      </c>
      <c r="B212" s="199"/>
      <c r="C212" s="199"/>
      <c r="D212" s="199"/>
      <c r="E212" s="542"/>
      <c r="F212" s="199"/>
      <c r="G212" s="199"/>
      <c r="H212" s="540" t="e">
        <f ca="1">H211*H229</f>
        <v>#VALUE!</v>
      </c>
      <c r="I212" s="540" t="e">
        <f ca="1">I211*I229</f>
        <v>#VALUE!</v>
      </c>
      <c r="J212" s="540" t="e">
        <f ca="1">J211*J229</f>
        <v>#VALUE!</v>
      </c>
      <c r="K212" s="540" t="e">
        <f ca="1">K211*K229</f>
        <v>#VALUE!</v>
      </c>
      <c r="L212" s="540" t="e">
        <f ca="1">L211*L229</f>
        <v>#VALUE!</v>
      </c>
      <c r="M212" s="199"/>
      <c r="N212" s="199"/>
      <c r="O212" s="199"/>
      <c r="P212" s="199"/>
      <c r="Q212" s="199"/>
      <c r="R212" s="58"/>
      <c r="S212" s="58"/>
      <c r="T212" s="58"/>
      <c r="U212" s="58"/>
      <c r="V212" s="58"/>
      <c r="W212" s="58"/>
      <c r="X212" s="58"/>
      <c r="Y212" s="58"/>
    </row>
    <row r="213" spans="1:25" ht="15" x14ac:dyDescent="0.25">
      <c r="A213" s="541"/>
      <c r="B213" s="541" t="s">
        <v>3945</v>
      </c>
      <c r="C213" s="199"/>
      <c r="D213" s="199"/>
      <c r="E213" s="542"/>
      <c r="F213" s="199"/>
      <c r="G213" s="199"/>
      <c r="H213" s="543" t="e">
        <f ca="1">H796</f>
        <v>#VALUE!</v>
      </c>
      <c r="I213" s="543" t="e">
        <f ca="1">I796</f>
        <v>#VALUE!</v>
      </c>
      <c r="J213" s="543" t="e">
        <f ca="1">J796</f>
        <v>#VALUE!</v>
      </c>
      <c r="K213" s="543" t="e">
        <f ca="1">K796</f>
        <v>#VALUE!</v>
      </c>
      <c r="L213" s="543" t="e">
        <f ca="1">L796</f>
        <v>#VALUE!</v>
      </c>
      <c r="M213" s="199"/>
      <c r="N213" s="199"/>
      <c r="O213" s="199"/>
      <c r="P213" s="199"/>
      <c r="Q213" s="199"/>
      <c r="R213" s="58"/>
      <c r="S213" s="58"/>
      <c r="T213" s="58"/>
      <c r="U213" s="58"/>
      <c r="V213" s="58"/>
      <c r="W213" s="58"/>
      <c r="X213" s="58"/>
      <c r="Y213" s="58"/>
    </row>
    <row r="214" spans="1:25" ht="15" x14ac:dyDescent="0.25">
      <c r="A214" s="541"/>
      <c r="B214" s="541" t="s">
        <v>3946</v>
      </c>
      <c r="C214" s="199"/>
      <c r="D214" s="199"/>
      <c r="E214" s="542"/>
      <c r="F214" s="199"/>
      <c r="G214" s="199"/>
      <c r="H214" s="543" t="e">
        <f ca="1">H821*(H438+H439)*H495*H497</f>
        <v>#VALUE!</v>
      </c>
      <c r="I214" s="543" t="e">
        <f ca="1">I821*(I438+I439)*I495*I497</f>
        <v>#VALUE!</v>
      </c>
      <c r="J214" s="543" t="e">
        <f ca="1">J821*(J438+J439)*J495*J497</f>
        <v>#VALUE!</v>
      </c>
      <c r="K214" s="543" t="e">
        <f ca="1">K821*(K438+K439)*K495*K497</f>
        <v>#VALUE!</v>
      </c>
      <c r="L214" s="543" t="e">
        <f ca="1">L821*(L438+L439)*L495*L497</f>
        <v>#VALUE!</v>
      </c>
      <c r="M214" s="199"/>
      <c r="N214" s="199"/>
      <c r="O214" s="199"/>
      <c r="P214" s="199"/>
      <c r="Q214" s="199"/>
      <c r="R214" s="58"/>
      <c r="S214" s="58"/>
      <c r="T214" s="58"/>
      <c r="U214" s="58"/>
      <c r="V214" s="58"/>
      <c r="W214" s="58"/>
      <c r="X214" s="58"/>
      <c r="Y214" s="58"/>
    </row>
    <row r="215" spans="1:25" ht="15" x14ac:dyDescent="0.25">
      <c r="A215" s="199"/>
      <c r="B215" s="541" t="s">
        <v>3855</v>
      </c>
      <c r="C215" s="199"/>
      <c r="D215" s="199"/>
      <c r="E215" s="199"/>
      <c r="F215" s="199"/>
      <c r="G215" s="199"/>
      <c r="H215" s="543" t="e">
        <f ca="1">H798+H214*H797</f>
        <v>#VALUE!</v>
      </c>
      <c r="I215" s="543" t="e">
        <f ca="1">I798+I214*I797</f>
        <v>#VALUE!</v>
      </c>
      <c r="J215" s="543" t="e">
        <f ca="1">J798+J214*J797</f>
        <v>#VALUE!</v>
      </c>
      <c r="K215" s="543" t="e">
        <f ca="1">K798+K214*K797</f>
        <v>#VALUE!</v>
      </c>
      <c r="L215" s="543" t="e">
        <f ca="1">L798+L214*L797</f>
        <v>#VALUE!</v>
      </c>
      <c r="M215" s="199"/>
      <c r="N215" s="544"/>
      <c r="O215" s="199"/>
      <c r="P215" s="199"/>
      <c r="Q215" s="199"/>
      <c r="R215" s="58"/>
      <c r="S215" s="58"/>
      <c r="T215" s="58"/>
      <c r="U215" s="58"/>
      <c r="V215" s="58"/>
      <c r="W215" s="58"/>
      <c r="X215" s="58"/>
      <c r="Y215" s="58"/>
    </row>
    <row r="216" spans="1:25" ht="15" x14ac:dyDescent="0.25">
      <c r="A216" s="199"/>
      <c r="B216" s="541" t="s">
        <v>2658</v>
      </c>
      <c r="C216" s="199"/>
      <c r="D216" s="199"/>
      <c r="E216" s="199"/>
      <c r="F216" s="199"/>
      <c r="G216" s="199"/>
      <c r="H216" s="620">
        <f>H797</f>
        <v>3</v>
      </c>
      <c r="I216" s="620">
        <f>I797</f>
        <v>3</v>
      </c>
      <c r="J216" s="620">
        <f>J797</f>
        <v>3</v>
      </c>
      <c r="K216" s="620">
        <f>K797</f>
        <v>3</v>
      </c>
      <c r="L216" s="620">
        <f>L797</f>
        <v>3</v>
      </c>
      <c r="M216" s="199"/>
      <c r="N216" s="199"/>
      <c r="O216" s="199"/>
      <c r="P216" s="199"/>
      <c r="Q216" s="199"/>
      <c r="R216" s="58"/>
      <c r="S216" s="58"/>
      <c r="T216" s="58"/>
      <c r="U216" s="58"/>
      <c r="V216" s="58"/>
      <c r="W216" s="58"/>
      <c r="X216" s="58"/>
      <c r="Y216" s="58"/>
    </row>
    <row r="217" spans="1:25" ht="15" x14ac:dyDescent="0.25">
      <c r="A217" s="199"/>
      <c r="B217" s="199"/>
      <c r="C217" s="199"/>
      <c r="D217" s="199"/>
      <c r="E217" s="542"/>
      <c r="F217" s="199"/>
      <c r="G217" s="199"/>
      <c r="H217" s="545"/>
      <c r="I217" s="117"/>
      <c r="J217" s="518"/>
      <c r="K217" s="199"/>
      <c r="L217" s="199"/>
      <c r="M217" s="199"/>
      <c r="N217" s="199"/>
      <c r="O217" s="199"/>
      <c r="P217" s="199"/>
      <c r="Q217" s="199"/>
      <c r="R217" s="58"/>
      <c r="S217" s="58"/>
      <c r="T217" s="58"/>
      <c r="U217" s="58"/>
      <c r="V217" s="58"/>
      <c r="W217" s="58"/>
      <c r="X217" s="58"/>
      <c r="Y217" s="58"/>
    </row>
    <row r="218" spans="1:25" ht="15.75" x14ac:dyDescent="0.25">
      <c r="A218" s="199"/>
      <c r="B218" s="98" t="s">
        <v>3182</v>
      </c>
      <c r="C218" s="74"/>
      <c r="D218" s="59"/>
      <c r="E218" s="59"/>
      <c r="F218" s="59"/>
      <c r="G218" s="59"/>
      <c r="H218" s="11"/>
      <c r="I218" s="14"/>
      <c r="J218" s="518"/>
      <c r="K218" s="199"/>
      <c r="L218" s="199"/>
      <c r="M218" s="199"/>
      <c r="N218" s="199"/>
      <c r="O218" s="199"/>
      <c r="P218" s="199"/>
      <c r="Q218" s="199"/>
      <c r="R218" s="58"/>
      <c r="S218" s="58"/>
      <c r="T218" s="58"/>
      <c r="U218" s="58"/>
      <c r="V218" s="58"/>
      <c r="W218" s="58"/>
      <c r="X218" s="58"/>
      <c r="Y218" s="58"/>
    </row>
    <row r="219" spans="1:25" ht="19.5" x14ac:dyDescent="0.35">
      <c r="A219" s="199"/>
      <c r="B219" s="62" t="s">
        <v>635</v>
      </c>
      <c r="C219" s="74"/>
      <c r="D219" s="59"/>
      <c r="E219" s="59"/>
      <c r="F219" s="59"/>
      <c r="G219" s="59"/>
      <c r="H219" s="262" t="e">
        <f>H643</f>
        <v>#VALUE!</v>
      </c>
      <c r="I219" s="262" t="e">
        <f>I643</f>
        <v>#VALUE!</v>
      </c>
      <c r="J219" s="262" t="e">
        <f>J643</f>
        <v>#VALUE!</v>
      </c>
      <c r="K219" s="262" t="e">
        <f>K643</f>
        <v>#VALUE!</v>
      </c>
      <c r="L219" s="262" t="e">
        <f>L643</f>
        <v>#VALUE!</v>
      </c>
      <c r="M219" s="199"/>
      <c r="N219" s="199"/>
      <c r="O219" s="199"/>
      <c r="P219" s="199"/>
      <c r="Q219" s="199"/>
      <c r="R219" s="58"/>
      <c r="S219" s="58"/>
      <c r="T219" s="58"/>
      <c r="U219" s="58"/>
      <c r="V219" s="58"/>
      <c r="W219" s="58"/>
      <c r="X219" s="58"/>
      <c r="Y219" s="58"/>
    </row>
    <row r="220" spans="1:25" ht="19.5" x14ac:dyDescent="0.35">
      <c r="A220" s="199"/>
      <c r="B220" s="62" t="s">
        <v>636</v>
      </c>
      <c r="C220" s="74"/>
      <c r="D220" s="59"/>
      <c r="E220" s="59"/>
      <c r="F220" s="59"/>
      <c r="G220" s="59"/>
      <c r="H220" s="262">
        <f>H655</f>
        <v>1</v>
      </c>
      <c r="I220" s="262">
        <f>I655</f>
        <v>1</v>
      </c>
      <c r="J220" s="262">
        <f>J655</f>
        <v>1</v>
      </c>
      <c r="K220" s="262">
        <f>K655</f>
        <v>1</v>
      </c>
      <c r="L220" s="262">
        <f>L655</f>
        <v>1</v>
      </c>
      <c r="M220" s="199"/>
      <c r="N220" s="199"/>
      <c r="O220" s="199"/>
      <c r="P220" s="199"/>
      <c r="Q220" s="199"/>
      <c r="R220" s="58"/>
      <c r="S220" s="58"/>
      <c r="T220" s="58"/>
      <c r="U220" s="58"/>
      <c r="V220" s="58"/>
      <c r="W220" s="58"/>
      <c r="X220" s="58"/>
      <c r="Y220" s="58"/>
    </row>
    <row r="221" spans="1:25" ht="19.5" x14ac:dyDescent="0.35">
      <c r="A221" s="199"/>
      <c r="B221" s="62" t="s">
        <v>637</v>
      </c>
      <c r="C221" s="74"/>
      <c r="D221" s="59"/>
      <c r="E221" s="59"/>
      <c r="F221" s="59"/>
      <c r="G221" s="59"/>
      <c r="H221" s="262">
        <f>H673</f>
        <v>0.99930600000000003</v>
      </c>
      <c r="I221" s="262">
        <f>I673</f>
        <v>0.99930600000000003</v>
      </c>
      <c r="J221" s="262">
        <f>J673</f>
        <v>0.98921199999999998</v>
      </c>
      <c r="K221" s="262">
        <f>K673</f>
        <v>0.98921199999999998</v>
      </c>
      <c r="L221" s="262">
        <f>L673</f>
        <v>0.99930600000000003</v>
      </c>
      <c r="M221" s="199"/>
      <c r="N221" s="199"/>
      <c r="O221" s="199"/>
      <c r="P221" s="199"/>
      <c r="Q221" s="199"/>
      <c r="R221" s="58"/>
      <c r="S221" s="58"/>
      <c r="T221" s="58"/>
      <c r="U221" s="58"/>
      <c r="V221" s="58"/>
      <c r="W221" s="58"/>
      <c r="X221" s="58"/>
      <c r="Y221" s="58"/>
    </row>
    <row r="222" spans="1:25" ht="19.5" x14ac:dyDescent="0.35">
      <c r="A222" s="199"/>
      <c r="B222" s="62" t="s">
        <v>638</v>
      </c>
      <c r="C222" s="74"/>
      <c r="D222" s="59"/>
      <c r="E222" s="59"/>
      <c r="F222" s="59"/>
      <c r="G222" s="59"/>
      <c r="H222" s="262" t="e">
        <f ca="1">H775</f>
        <v>#VALUE!</v>
      </c>
      <c r="I222" s="262" t="e">
        <f ca="1">I775</f>
        <v>#VALUE!</v>
      </c>
      <c r="J222" s="262" t="e">
        <f ca="1">J775</f>
        <v>#VALUE!</v>
      </c>
      <c r="K222" s="262" t="e">
        <f ca="1">K775</f>
        <v>#VALUE!</v>
      </c>
      <c r="L222" s="262" t="e">
        <f ca="1">L775</f>
        <v>#VALUE!</v>
      </c>
      <c r="M222" s="199"/>
      <c r="N222" s="546"/>
      <c r="O222" s="547"/>
      <c r="P222" s="547"/>
      <c r="Q222" s="199"/>
      <c r="R222" s="58"/>
      <c r="S222" s="58"/>
      <c r="T222" s="58"/>
      <c r="U222" s="58"/>
      <c r="V222" s="58"/>
      <c r="W222" s="58"/>
      <c r="X222" s="58"/>
      <c r="Y222" s="58"/>
    </row>
    <row r="223" spans="1:25" ht="19.5" x14ac:dyDescent="0.35">
      <c r="A223" s="199"/>
      <c r="B223" s="62" t="s">
        <v>639</v>
      </c>
      <c r="C223" s="74"/>
      <c r="D223" s="59"/>
      <c r="E223" s="59"/>
      <c r="F223" s="59"/>
      <c r="G223" s="59"/>
      <c r="H223" s="262">
        <f>H779</f>
        <v>0.93</v>
      </c>
      <c r="I223" s="262">
        <f>I779</f>
        <v>0.93</v>
      </c>
      <c r="J223" s="262">
        <f>J779</f>
        <v>0.93</v>
      </c>
      <c r="K223" s="262">
        <f>K779</f>
        <v>0.93</v>
      </c>
      <c r="L223" s="262">
        <f>L779</f>
        <v>0.93</v>
      </c>
      <c r="M223" s="199"/>
      <c r="N223" s="199"/>
      <c r="O223" s="199"/>
      <c r="P223" s="199"/>
      <c r="Q223" s="199"/>
      <c r="R223" s="58"/>
      <c r="S223" s="58"/>
      <c r="T223" s="58"/>
      <c r="U223" s="58"/>
      <c r="V223" s="58"/>
      <c r="W223" s="58"/>
      <c r="X223" s="58"/>
      <c r="Y223" s="58"/>
    </row>
    <row r="224" spans="1:25" ht="36" customHeight="1" x14ac:dyDescent="0.3">
      <c r="A224" s="199"/>
      <c r="B224" s="4375" t="s">
        <v>2915</v>
      </c>
      <c r="C224" s="4375"/>
      <c r="D224" s="4375"/>
      <c r="E224" s="4375"/>
      <c r="F224" s="4375"/>
      <c r="G224" s="4375"/>
      <c r="H224" s="263" t="e">
        <f ca="1">H776</f>
        <v>#VALUE!</v>
      </c>
      <c r="I224" s="263" t="e">
        <f ca="1">I776</f>
        <v>#VALUE!</v>
      </c>
      <c r="J224" s="263" t="e">
        <f ca="1">J776</f>
        <v>#VALUE!</v>
      </c>
      <c r="K224" s="263" t="e">
        <f ca="1">K776</f>
        <v>#VALUE!</v>
      </c>
      <c r="L224" s="263" t="e">
        <f ca="1">L776</f>
        <v>#VALUE!</v>
      </c>
      <c r="M224" s="199"/>
      <c r="N224" s="199"/>
      <c r="O224" s="199"/>
      <c r="P224" s="199"/>
      <c r="Q224" s="199"/>
      <c r="R224" s="58"/>
      <c r="S224" s="58"/>
      <c r="T224" s="58"/>
      <c r="U224" s="58"/>
      <c r="V224" s="58"/>
      <c r="W224" s="58"/>
      <c r="X224" s="58"/>
      <c r="Y224" s="58"/>
    </row>
    <row r="225" spans="1:25" ht="19.5" x14ac:dyDescent="0.35">
      <c r="A225" s="199"/>
      <c r="B225" s="73" t="s">
        <v>640</v>
      </c>
      <c r="C225" s="74"/>
      <c r="D225" s="59"/>
      <c r="E225" s="59"/>
      <c r="F225" s="59"/>
      <c r="G225" s="59"/>
      <c r="H225" s="262">
        <f>H778</f>
        <v>0.96499999999999997</v>
      </c>
      <c r="I225" s="262">
        <f>I778</f>
        <v>0.96499999999999997</v>
      </c>
      <c r="J225" s="262">
        <f>J778</f>
        <v>0.96499999999999997</v>
      </c>
      <c r="K225" s="262">
        <f>K778</f>
        <v>0.96499999999999997</v>
      </c>
      <c r="L225" s="262">
        <f>L778</f>
        <v>0.96499999999999997</v>
      </c>
      <c r="M225" s="199"/>
      <c r="N225" s="199"/>
      <c r="O225" s="199"/>
      <c r="P225" s="199"/>
      <c r="Q225" s="199"/>
      <c r="R225" s="58"/>
      <c r="S225" s="58"/>
      <c r="T225" s="58"/>
      <c r="U225" s="58"/>
      <c r="V225" s="58"/>
      <c r="W225" s="58"/>
      <c r="X225" s="58"/>
      <c r="Y225" s="58"/>
    </row>
    <row r="226" spans="1:25" ht="15" x14ac:dyDescent="0.25">
      <c r="A226" s="199"/>
      <c r="B226" s="73" t="s">
        <v>444</v>
      </c>
      <c r="C226" s="27"/>
      <c r="D226" s="27"/>
      <c r="E226" s="27"/>
      <c r="F226" s="27"/>
      <c r="G226" s="27"/>
      <c r="H226" s="100" t="e">
        <f>H784</f>
        <v>#VALUE!</v>
      </c>
      <c r="I226" s="100" t="e">
        <f>I784</f>
        <v>#VALUE!</v>
      </c>
      <c r="J226" s="100" t="e">
        <f>J784</f>
        <v>#VALUE!</v>
      </c>
      <c r="K226" s="100" t="e">
        <f>K784</f>
        <v>#VALUE!</v>
      </c>
      <c r="L226" s="100" t="e">
        <f>L784</f>
        <v>#VALUE!</v>
      </c>
      <c r="M226" s="199"/>
      <c r="N226" s="199"/>
      <c r="O226" s="199"/>
      <c r="P226" s="199"/>
      <c r="Q226" s="199"/>
      <c r="R226" s="58"/>
      <c r="S226" s="58"/>
      <c r="T226" s="58"/>
      <c r="U226" s="58"/>
      <c r="V226" s="58"/>
      <c r="W226" s="58"/>
      <c r="X226" s="58"/>
      <c r="Y226" s="58"/>
    </row>
    <row r="227" spans="1:25" ht="15" x14ac:dyDescent="0.25">
      <c r="A227" s="199"/>
      <c r="B227" s="73" t="s">
        <v>445</v>
      </c>
      <c r="C227" s="27"/>
      <c r="D227" s="27"/>
      <c r="E227" s="27"/>
      <c r="F227" s="27"/>
      <c r="G227" s="27"/>
      <c r="H227" s="100" t="e">
        <f t="shared" ref="H227:L228" si="0">H787</f>
        <v>#VALUE!</v>
      </c>
      <c r="I227" s="100" t="e">
        <f t="shared" si="0"/>
        <v>#VALUE!</v>
      </c>
      <c r="J227" s="100" t="e">
        <f t="shared" si="0"/>
        <v>#VALUE!</v>
      </c>
      <c r="K227" s="100" t="e">
        <f t="shared" si="0"/>
        <v>#VALUE!</v>
      </c>
      <c r="L227" s="100" t="e">
        <f t="shared" si="0"/>
        <v>#VALUE!</v>
      </c>
      <c r="M227" s="199"/>
      <c r="N227" s="199"/>
      <c r="O227" s="199"/>
      <c r="P227" s="199"/>
      <c r="Q227" s="199"/>
      <c r="R227" s="58"/>
      <c r="S227" s="58"/>
      <c r="T227" s="58"/>
      <c r="U227" s="58"/>
      <c r="V227" s="58"/>
      <c r="W227" s="58"/>
      <c r="X227" s="58"/>
      <c r="Y227" s="58"/>
    </row>
    <row r="228" spans="1:25" ht="15.75" x14ac:dyDescent="0.3">
      <c r="A228" s="199"/>
      <c r="B228" s="27" t="s">
        <v>2916</v>
      </c>
      <c r="C228" s="27"/>
      <c r="D228" s="27"/>
      <c r="E228" s="27"/>
      <c r="F228" s="27"/>
      <c r="G228" s="27"/>
      <c r="H228" s="96" t="e">
        <f t="shared" si="0"/>
        <v>#VALUE!</v>
      </c>
      <c r="I228" s="96" t="e">
        <f t="shared" si="0"/>
        <v>#VALUE!</v>
      </c>
      <c r="J228" s="96" t="e">
        <f t="shared" si="0"/>
        <v>#VALUE!</v>
      </c>
      <c r="K228" s="96" t="e">
        <f t="shared" si="0"/>
        <v>#VALUE!</v>
      </c>
      <c r="L228" s="96" t="e">
        <f t="shared" si="0"/>
        <v>#VALUE!</v>
      </c>
      <c r="M228" s="199"/>
      <c r="N228" s="199"/>
      <c r="O228" s="199"/>
      <c r="P228" s="199"/>
      <c r="Q228" s="199"/>
      <c r="R228" s="58"/>
      <c r="S228" s="58"/>
      <c r="T228" s="58"/>
      <c r="U228" s="58"/>
      <c r="V228" s="58"/>
      <c r="W228" s="58"/>
      <c r="X228" s="58"/>
      <c r="Y228" s="58"/>
    </row>
    <row r="229" spans="1:25" ht="15" x14ac:dyDescent="0.25">
      <c r="A229" s="199"/>
      <c r="B229" s="27" t="s">
        <v>5481</v>
      </c>
      <c r="C229" s="27"/>
      <c r="D229" s="27"/>
      <c r="E229" s="27"/>
      <c r="F229" s="27"/>
      <c r="G229" s="27"/>
      <c r="H229" s="96" t="e">
        <f ca="1">H792</f>
        <v>#VALUE!</v>
      </c>
      <c r="I229" s="96" t="e">
        <f ca="1">I792</f>
        <v>#VALUE!</v>
      </c>
      <c r="J229" s="96" t="e">
        <f ca="1">J792</f>
        <v>#VALUE!</v>
      </c>
      <c r="K229" s="96" t="e">
        <f ca="1">K792</f>
        <v>#VALUE!</v>
      </c>
      <c r="L229" s="96" t="e">
        <f ca="1">L792</f>
        <v>#VALUE!</v>
      </c>
      <c r="M229" s="199"/>
      <c r="N229" s="199"/>
      <c r="O229" s="199"/>
      <c r="P229" s="199"/>
      <c r="Q229" s="199"/>
      <c r="R229" s="58"/>
      <c r="S229" s="58"/>
      <c r="T229" s="58"/>
      <c r="U229" s="58"/>
      <c r="V229" s="58"/>
      <c r="W229" s="58"/>
      <c r="X229" s="58"/>
      <c r="Y229" s="58"/>
    </row>
    <row r="230" spans="1:25" ht="15" x14ac:dyDescent="0.25">
      <c r="A230" s="199"/>
      <c r="B230" s="199"/>
      <c r="C230" s="199"/>
      <c r="D230" s="199"/>
      <c r="E230" s="542"/>
      <c r="F230" s="199"/>
      <c r="G230" s="199"/>
      <c r="H230" s="545"/>
      <c r="I230" s="117"/>
      <c r="J230" s="518"/>
      <c r="K230" s="199"/>
      <c r="L230" s="199"/>
      <c r="M230" s="199"/>
      <c r="N230" s="199"/>
      <c r="O230" s="199"/>
      <c r="P230" s="199"/>
      <c r="Q230" s="199"/>
      <c r="R230" s="58"/>
      <c r="S230" s="58"/>
      <c r="T230" s="58"/>
      <c r="U230" s="58"/>
      <c r="V230" s="58"/>
      <c r="W230" s="58"/>
      <c r="X230" s="58"/>
      <c r="Y230" s="58"/>
    </row>
    <row r="231" spans="1:25" ht="15" x14ac:dyDescent="0.25">
      <c r="A231" s="199"/>
      <c r="B231" s="199"/>
      <c r="C231" s="199"/>
      <c r="D231" s="199"/>
      <c r="E231" s="199"/>
      <c r="F231" s="199"/>
      <c r="G231" s="199"/>
      <c r="H231" s="199"/>
      <c r="I231" s="199"/>
      <c r="J231" s="199"/>
      <c r="K231" s="199"/>
      <c r="L231" s="199"/>
      <c r="M231" s="199"/>
      <c r="N231" s="199"/>
      <c r="O231" s="199"/>
      <c r="P231" s="199"/>
      <c r="Q231" s="199"/>
      <c r="R231" s="58"/>
      <c r="S231" s="58"/>
      <c r="T231" s="58"/>
      <c r="U231" s="58"/>
      <c r="V231" s="58"/>
      <c r="W231" s="58"/>
      <c r="X231" s="58"/>
      <c r="Y231" s="58"/>
    </row>
    <row r="232" spans="1:25" ht="15.75" x14ac:dyDescent="0.25">
      <c r="A232" s="442" t="s">
        <v>4870</v>
      </c>
      <c r="B232" s="199"/>
      <c r="C232" s="199"/>
      <c r="D232" s="199"/>
      <c r="E232" s="199"/>
      <c r="F232" s="199"/>
      <c r="G232" s="199"/>
      <c r="H232" s="199"/>
      <c r="I232" s="199"/>
      <c r="J232" s="199"/>
      <c r="K232" s="199"/>
      <c r="L232" s="199"/>
      <c r="M232" s="199"/>
      <c r="N232" s="199"/>
      <c r="O232" s="199"/>
      <c r="P232" s="199"/>
      <c r="Q232" s="199"/>
      <c r="R232" s="58"/>
      <c r="S232" s="58"/>
      <c r="T232" s="58"/>
      <c r="U232" s="58"/>
      <c r="V232" s="58"/>
      <c r="W232" s="58"/>
      <c r="X232" s="58"/>
      <c r="Y232" s="58"/>
    </row>
    <row r="233" spans="1:25" ht="15.75" x14ac:dyDescent="0.25">
      <c r="A233" s="442" t="s">
        <v>4871</v>
      </c>
      <c r="B233" s="199"/>
      <c r="C233" s="199"/>
      <c r="D233" s="199"/>
      <c r="E233" s="199"/>
      <c r="F233" s="199"/>
      <c r="G233" s="199"/>
      <c r="H233" s="199"/>
      <c r="I233" s="199"/>
      <c r="J233" s="199"/>
      <c r="K233" s="199"/>
      <c r="L233" s="199"/>
      <c r="M233" s="199"/>
      <c r="N233" s="199"/>
      <c r="O233" s="199"/>
      <c r="P233" s="199"/>
      <c r="Q233" s="199"/>
      <c r="R233" s="58"/>
      <c r="S233" s="58"/>
      <c r="T233" s="58"/>
      <c r="U233" s="58"/>
      <c r="V233" s="58"/>
      <c r="W233" s="58"/>
      <c r="X233" s="58"/>
      <c r="Y233" s="58"/>
    </row>
    <row r="234" spans="1:25" ht="15.75" x14ac:dyDescent="0.25">
      <c r="A234" s="442" t="s">
        <v>4872</v>
      </c>
      <c r="B234" s="199"/>
      <c r="C234" s="199"/>
      <c r="D234" s="199"/>
      <c r="E234" s="199"/>
      <c r="F234" s="199"/>
      <c r="G234" s="199"/>
      <c r="H234" s="199"/>
      <c r="I234" s="199"/>
      <c r="J234" s="199"/>
      <c r="K234" s="199"/>
      <c r="L234" s="199"/>
      <c r="M234" s="199"/>
      <c r="N234" s="199"/>
      <c r="O234" s="199"/>
      <c r="P234" s="199"/>
      <c r="Q234" s="199"/>
      <c r="R234" s="58"/>
      <c r="S234" s="58"/>
      <c r="T234" s="58"/>
      <c r="U234" s="58"/>
      <c r="V234" s="58"/>
      <c r="W234" s="58"/>
      <c r="X234" s="58"/>
      <c r="Y234" s="58"/>
    </row>
    <row r="235" spans="1:25" ht="15.75" x14ac:dyDescent="0.25">
      <c r="A235" s="2476" t="s">
        <v>2013</v>
      </c>
      <c r="B235" s="2477"/>
      <c r="C235" s="2477"/>
      <c r="D235" s="2477"/>
      <c r="E235" s="1140"/>
      <c r="F235" s="2478">
        <f>ROW(109:109)</f>
        <v>109</v>
      </c>
      <c r="G235" s="2476" t="s">
        <v>2014</v>
      </c>
      <c r="H235" s="1140"/>
      <c r="I235" s="2477"/>
      <c r="J235" s="2477"/>
      <c r="K235" s="199"/>
      <c r="L235" s="199"/>
      <c r="M235" s="199"/>
      <c r="N235" s="199"/>
      <c r="O235" s="199"/>
      <c r="P235" s="199"/>
      <c r="Q235" s="199"/>
      <c r="R235" s="58"/>
      <c r="S235" s="58"/>
      <c r="T235" s="58"/>
      <c r="U235" s="58"/>
      <c r="V235" s="58"/>
      <c r="W235" s="58"/>
      <c r="X235" s="58"/>
      <c r="Y235" s="58"/>
    </row>
    <row r="236" spans="1:25" ht="18.75" x14ac:dyDescent="0.3">
      <c r="A236" s="1230" t="s">
        <v>3431</v>
      </c>
      <c r="B236" s="42"/>
      <c r="C236" s="42"/>
      <c r="D236" s="42"/>
      <c r="E236" s="42"/>
      <c r="F236" s="42"/>
      <c r="G236" s="42"/>
      <c r="H236" s="42"/>
      <c r="I236" s="199"/>
      <c r="J236" s="199"/>
      <c r="K236" s="199"/>
      <c r="L236" s="199"/>
      <c r="M236" s="199"/>
      <c r="N236" s="199"/>
      <c r="O236" s="199"/>
      <c r="P236" s="199"/>
      <c r="Q236" s="199"/>
      <c r="R236" s="58"/>
      <c r="S236" s="58"/>
      <c r="T236" s="58"/>
      <c r="U236" s="58"/>
      <c r="V236" s="58"/>
      <c r="W236" s="58"/>
      <c r="X236" s="58"/>
      <c r="Y236" s="58"/>
    </row>
    <row r="237" spans="1:25" ht="18.75" x14ac:dyDescent="0.3">
      <c r="A237" s="1230" t="s">
        <v>3432</v>
      </c>
      <c r="B237" s="42"/>
      <c r="C237" s="42"/>
      <c r="D237" s="42"/>
      <c r="E237" s="42"/>
      <c r="F237" s="42"/>
      <c r="G237" s="42"/>
      <c r="H237" s="42"/>
      <c r="I237" s="199"/>
      <c r="J237" s="199"/>
      <c r="K237" s="199"/>
      <c r="L237" s="199"/>
      <c r="M237" s="199"/>
      <c r="N237" s="199"/>
      <c r="O237" s="199"/>
      <c r="P237" s="199"/>
      <c r="Q237" s="199"/>
      <c r="R237" s="58"/>
      <c r="S237" s="58"/>
      <c r="T237" s="58"/>
      <c r="U237" s="58"/>
      <c r="V237" s="58"/>
      <c r="W237" s="58"/>
      <c r="X237" s="58"/>
      <c r="Y237" s="58"/>
    </row>
    <row r="238" spans="1:25" ht="18.75" x14ac:dyDescent="0.3">
      <c r="A238" s="1230" t="s">
        <v>3327</v>
      </c>
      <c r="B238" s="42"/>
      <c r="C238" s="42"/>
      <c r="D238" s="42"/>
      <c r="E238" s="42"/>
      <c r="F238" s="42"/>
      <c r="G238" s="42"/>
      <c r="H238" s="42"/>
      <c r="I238" s="199"/>
      <c r="J238" s="199"/>
      <c r="K238" s="199"/>
      <c r="L238" s="199"/>
      <c r="M238" s="199"/>
      <c r="N238" s="199"/>
      <c r="O238" s="199"/>
      <c r="P238" s="199"/>
      <c r="Q238" s="199"/>
      <c r="R238" s="58"/>
      <c r="S238" s="58"/>
      <c r="T238" s="58"/>
      <c r="U238" s="58"/>
      <c r="V238" s="58"/>
      <c r="W238" s="58"/>
      <c r="X238" s="58"/>
      <c r="Y238" s="58"/>
    </row>
    <row r="239" spans="1:25" ht="18.75" x14ac:dyDescent="0.3">
      <c r="A239" s="1230" t="s">
        <v>3433</v>
      </c>
      <c r="B239" s="42"/>
      <c r="C239" s="42"/>
      <c r="D239" s="42"/>
      <c r="E239" s="42"/>
      <c r="F239" s="42"/>
      <c r="G239" s="42"/>
      <c r="H239" s="42"/>
      <c r="I239" s="199"/>
      <c r="J239" s="199"/>
      <c r="K239" s="199"/>
      <c r="L239" s="199"/>
      <c r="M239" s="199"/>
      <c r="N239" s="199"/>
      <c r="O239" s="199"/>
      <c r="P239" s="199"/>
      <c r="Q239" s="199"/>
      <c r="R239" s="58"/>
      <c r="S239" s="58"/>
      <c r="T239" s="58"/>
      <c r="U239" s="58"/>
      <c r="V239" s="58"/>
      <c r="W239" s="58"/>
      <c r="X239" s="58"/>
      <c r="Y239" s="58"/>
    </row>
    <row r="240" spans="1:25" ht="31.5" x14ac:dyDescent="0.25">
      <c r="A240" s="1247" t="s">
        <v>4862</v>
      </c>
      <c r="B240" s="2399" t="e">
        <f>H498</f>
        <v>#VALUE!</v>
      </c>
      <c r="C240" s="42"/>
      <c r="D240" s="42"/>
      <c r="E240" s="42"/>
      <c r="F240" s="42"/>
      <c r="G240" s="42"/>
      <c r="H240" s="42"/>
      <c r="I240" s="199"/>
      <c r="J240" s="199"/>
      <c r="K240" s="199"/>
      <c r="L240" s="199"/>
      <c r="M240" s="199"/>
      <c r="N240" s="199"/>
      <c r="O240" s="199"/>
      <c r="P240" s="199"/>
      <c r="Q240" s="199"/>
      <c r="R240" s="58"/>
      <c r="S240" s="58"/>
      <c r="T240" s="58"/>
      <c r="U240" s="58"/>
      <c r="V240" s="58"/>
      <c r="W240" s="58"/>
      <c r="X240" s="58"/>
      <c r="Y240" s="58"/>
    </row>
    <row r="241" spans="1:25" ht="15" x14ac:dyDescent="0.25">
      <c r="A241" s="1228" t="s">
        <v>288</v>
      </c>
      <c r="B241" s="2400">
        <f>H109</f>
        <v>0</v>
      </c>
      <c r="C241" s="42"/>
      <c r="D241" s="42"/>
      <c r="E241" s="42"/>
      <c r="F241" s="42"/>
      <c r="G241" s="42"/>
      <c r="H241" s="42"/>
      <c r="I241" s="199"/>
      <c r="J241" s="199"/>
      <c r="K241" s="199"/>
      <c r="L241" s="199"/>
      <c r="M241" s="199"/>
      <c r="N241" s="199"/>
      <c r="O241" s="199"/>
      <c r="P241" s="199"/>
      <c r="Q241" s="199"/>
      <c r="R241" s="58"/>
      <c r="S241" s="58"/>
      <c r="T241" s="58"/>
      <c r="U241" s="58"/>
      <c r="V241" s="58"/>
      <c r="W241" s="58"/>
      <c r="X241" s="58"/>
      <c r="Y241" s="58"/>
    </row>
    <row r="242" spans="1:25" ht="15.75" x14ac:dyDescent="0.25">
      <c r="A242" s="1233" t="s">
        <v>1559</v>
      </c>
      <c r="B242" s="2400" t="str">
        <f>IF(H509=1,"спокойная","волнистая")</f>
        <v>волнистая</v>
      </c>
      <c r="C242" s="42"/>
      <c r="D242" s="42"/>
      <c r="E242" s="42"/>
      <c r="F242" s="42"/>
      <c r="G242" s="42"/>
      <c r="H242" s="42"/>
      <c r="I242" s="199"/>
      <c r="J242" s="199"/>
      <c r="K242" s="199"/>
      <c r="L242" s="199"/>
      <c r="M242" s="199"/>
      <c r="N242" s="199"/>
      <c r="O242" s="199"/>
      <c r="P242" s="199"/>
      <c r="Q242" s="199"/>
      <c r="R242" s="58"/>
      <c r="S242" s="58"/>
      <c r="T242" s="58"/>
      <c r="U242" s="58"/>
      <c r="V242" s="58"/>
      <c r="W242" s="58"/>
      <c r="X242" s="58"/>
      <c r="Y242" s="58"/>
    </row>
    <row r="243" spans="1:25" ht="15" x14ac:dyDescent="0.25">
      <c r="A243" s="1228" t="s">
        <v>1553</v>
      </c>
      <c r="B243" s="2401">
        <f>H797</f>
        <v>3</v>
      </c>
      <c r="C243" s="42"/>
      <c r="D243" s="42"/>
      <c r="E243" s="42"/>
      <c r="F243" s="42"/>
      <c r="G243" s="42"/>
      <c r="H243" s="42"/>
      <c r="I243" s="199"/>
      <c r="J243" s="199"/>
      <c r="K243" s="199"/>
      <c r="L243" s="199"/>
      <c r="M243" s="199"/>
      <c r="N243" s="199"/>
      <c r="O243" s="199"/>
      <c r="P243" s="199"/>
      <c r="Q243" s="199"/>
      <c r="R243" s="58"/>
      <c r="S243" s="58"/>
      <c r="T243" s="58"/>
      <c r="U243" s="58"/>
      <c r="V243" s="58"/>
      <c r="W243" s="58"/>
      <c r="X243" s="58"/>
      <c r="Y243" s="58"/>
    </row>
    <row r="244" spans="1:25" ht="30" x14ac:dyDescent="0.25">
      <c r="A244" s="1228" t="s">
        <v>4117</v>
      </c>
      <c r="B244" s="2400" t="e">
        <f>H438</f>
        <v>#REF!</v>
      </c>
      <c r="C244" s="42"/>
      <c r="D244" s="42"/>
      <c r="E244" s="42"/>
      <c r="F244" s="42"/>
      <c r="G244" s="42"/>
      <c r="H244" s="42"/>
      <c r="I244" s="199"/>
      <c r="J244" s="199"/>
      <c r="K244" s="199"/>
      <c r="L244" s="199"/>
      <c r="M244" s="199"/>
      <c r="N244" s="199"/>
      <c r="O244" s="199"/>
      <c r="P244" s="199"/>
      <c r="Q244" s="199"/>
      <c r="R244" s="58"/>
      <c r="S244" s="58"/>
      <c r="T244" s="58"/>
      <c r="U244" s="58"/>
      <c r="V244" s="58"/>
      <c r="W244" s="58"/>
      <c r="X244" s="58"/>
      <c r="Y244" s="58"/>
    </row>
    <row r="245" spans="1:25" ht="30" x14ac:dyDescent="0.25">
      <c r="A245" s="1228" t="s">
        <v>4118</v>
      </c>
      <c r="B245" s="2400" t="e">
        <f>H439</f>
        <v>#REF!</v>
      </c>
      <c r="C245" s="42"/>
      <c r="D245" s="42"/>
      <c r="E245" s="42"/>
      <c r="F245" s="42"/>
      <c r="G245" s="42"/>
      <c r="H245" s="42"/>
      <c r="I245" s="199"/>
      <c r="J245" s="199"/>
      <c r="K245" s="199"/>
      <c r="L245" s="199"/>
      <c r="M245" s="199"/>
      <c r="N245" s="199"/>
      <c r="O245" s="199"/>
      <c r="P245" s="199"/>
      <c r="Q245" s="199"/>
      <c r="R245" s="58"/>
      <c r="S245" s="58"/>
      <c r="T245" s="58"/>
      <c r="U245" s="58"/>
      <c r="V245" s="58"/>
      <c r="W245" s="58"/>
      <c r="X245" s="58"/>
      <c r="Y245" s="58"/>
    </row>
    <row r="246" spans="1:25" ht="15" x14ac:dyDescent="0.25">
      <c r="A246" s="1228" t="s">
        <v>291</v>
      </c>
      <c r="B246" s="2400" t="str">
        <f>IF(H440=0,"без БВР","БВР")</f>
        <v>без БВР</v>
      </c>
      <c r="C246" s="42"/>
      <c r="D246" s="42"/>
      <c r="E246" s="42"/>
      <c r="F246" s="42"/>
      <c r="G246" s="42"/>
      <c r="H246" s="42"/>
      <c r="I246" s="199"/>
      <c r="J246" s="199"/>
      <c r="K246" s="199"/>
      <c r="L246" s="199"/>
      <c r="M246" s="199"/>
      <c r="N246" s="199"/>
      <c r="O246" s="199"/>
      <c r="P246" s="199"/>
      <c r="Q246" s="199"/>
      <c r="R246" s="58"/>
      <c r="S246" s="58"/>
      <c r="T246" s="58"/>
      <c r="U246" s="58"/>
      <c r="V246" s="58"/>
      <c r="W246" s="58"/>
      <c r="X246" s="58"/>
      <c r="Y246" s="58"/>
    </row>
    <row r="247" spans="1:25" ht="30" x14ac:dyDescent="0.25">
      <c r="A247" s="1228" t="s">
        <v>290</v>
      </c>
      <c r="B247" s="2400">
        <f>H441</f>
        <v>20</v>
      </c>
      <c r="C247" s="42"/>
      <c r="D247" s="42"/>
      <c r="E247" s="42"/>
      <c r="F247" s="42"/>
      <c r="G247" s="42"/>
      <c r="H247" s="42"/>
      <c r="I247" s="199"/>
      <c r="J247" s="199"/>
      <c r="K247" s="199"/>
      <c r="L247" s="199"/>
      <c r="M247" s="199"/>
      <c r="N247" s="199"/>
      <c r="O247" s="199"/>
      <c r="P247" s="199"/>
      <c r="Q247" s="199"/>
      <c r="R247" s="58"/>
      <c r="S247" s="58"/>
      <c r="T247" s="58"/>
      <c r="U247" s="58"/>
      <c r="V247" s="58"/>
      <c r="W247" s="58"/>
      <c r="X247" s="58"/>
      <c r="Y247" s="58"/>
    </row>
    <row r="248" spans="1:25" ht="15" x14ac:dyDescent="0.25">
      <c r="A248" s="1228" t="s">
        <v>1549</v>
      </c>
      <c r="B248" s="2400" t="e">
        <f>INDEX(D469:K469,H452)</f>
        <v>#VALUE!</v>
      </c>
      <c r="C248" s="42"/>
      <c r="D248" s="42"/>
      <c r="E248" s="42"/>
      <c r="F248" s="42"/>
      <c r="G248" s="42"/>
      <c r="H248" s="42"/>
      <c r="I248" s="199"/>
      <c r="J248" s="199"/>
      <c r="K248" s="199"/>
      <c r="L248" s="199"/>
      <c r="M248" s="199"/>
      <c r="N248" s="199"/>
      <c r="O248" s="199"/>
      <c r="P248" s="199"/>
      <c r="Q248" s="199"/>
      <c r="R248" s="58"/>
      <c r="S248" s="58"/>
      <c r="T248" s="58"/>
      <c r="U248" s="58"/>
      <c r="V248" s="58"/>
      <c r="W248" s="58"/>
      <c r="X248" s="58"/>
      <c r="Y248" s="58"/>
    </row>
    <row r="249" spans="1:25" ht="15" x14ac:dyDescent="0.25">
      <c r="A249" s="1228" t="s">
        <v>1552</v>
      </c>
      <c r="B249" s="2400" t="str">
        <f>IF(H493=1,"индивидуальная","механизированная")</f>
        <v>механизированная</v>
      </c>
      <c r="C249" s="42"/>
      <c r="D249" s="42"/>
      <c r="E249" s="42"/>
      <c r="F249" s="42"/>
      <c r="G249" s="42"/>
      <c r="H249" s="42"/>
      <c r="I249" s="199"/>
      <c r="J249" s="199"/>
      <c r="K249" s="199"/>
      <c r="L249" s="199"/>
      <c r="M249" s="199"/>
      <c r="N249" s="199"/>
      <c r="O249" s="199"/>
      <c r="P249" s="199"/>
      <c r="Q249" s="199"/>
      <c r="R249" s="58"/>
      <c r="S249" s="58"/>
      <c r="T249" s="58"/>
      <c r="U249" s="58"/>
      <c r="V249" s="58"/>
      <c r="W249" s="58"/>
      <c r="X249" s="58"/>
      <c r="Y249" s="58"/>
    </row>
    <row r="250" spans="1:25" ht="15" x14ac:dyDescent="0.25">
      <c r="A250" s="1228" t="str">
        <f>IF(H493=1,"Порядок установки крепи","Схема передвижки секций")</f>
        <v>Схема передвижки секций</v>
      </c>
      <c r="B250" s="2400" t="b">
        <f>IF(AND(H493=1,H434=1),"последовательно",IF(AND(H493=1,H434=2),"через рамку",IF(AND(H493=2,H436=1),"шахматная",IF(AND(H493=2,H436=2),"линейная"))))</f>
        <v>0</v>
      </c>
      <c r="C250" s="42"/>
      <c r="D250" s="42"/>
      <c r="E250" s="42"/>
      <c r="F250" s="42"/>
      <c r="G250" s="42"/>
      <c r="H250" s="42"/>
      <c r="I250" s="199"/>
      <c r="J250" s="199"/>
      <c r="K250" s="199"/>
      <c r="L250" s="199"/>
      <c r="M250" s="199"/>
      <c r="N250" s="199"/>
      <c r="O250" s="199"/>
      <c r="P250" s="199"/>
      <c r="Q250" s="199"/>
      <c r="R250" s="58"/>
      <c r="S250" s="58"/>
      <c r="T250" s="58"/>
      <c r="U250" s="58"/>
      <c r="V250" s="58"/>
      <c r="W250" s="58"/>
      <c r="X250" s="58"/>
      <c r="Y250" s="58"/>
    </row>
    <row r="251" spans="1:25" ht="15" x14ac:dyDescent="0.25">
      <c r="A251" s="1228" t="s">
        <v>3170</v>
      </c>
      <c r="B251" s="2402" t="e">
        <f>H203</f>
        <v>#VALUE!</v>
      </c>
      <c r="C251" s="42"/>
      <c r="D251" s="42"/>
      <c r="E251" s="42"/>
      <c r="F251" s="42"/>
      <c r="G251" s="42"/>
      <c r="H251" s="42"/>
      <c r="I251" s="199"/>
      <c r="J251" s="199"/>
      <c r="K251" s="199"/>
      <c r="L251" s="199"/>
      <c r="M251" s="199"/>
      <c r="N251" s="199"/>
      <c r="O251" s="199"/>
      <c r="P251" s="199"/>
      <c r="Q251" s="199"/>
      <c r="R251" s="58"/>
      <c r="S251" s="58"/>
      <c r="T251" s="58"/>
      <c r="U251" s="58"/>
      <c r="V251" s="58"/>
      <c r="W251" s="58"/>
      <c r="X251" s="58"/>
      <c r="Y251" s="58"/>
    </row>
    <row r="252" spans="1:25" ht="15" x14ac:dyDescent="0.25">
      <c r="A252" s="1228" t="s">
        <v>2864</v>
      </c>
      <c r="B252" s="2403" t="e">
        <f>H204</f>
        <v>#VALUE!</v>
      </c>
      <c r="C252" s="42"/>
      <c r="D252" s="42"/>
      <c r="E252" s="42"/>
      <c r="F252" s="42"/>
      <c r="G252" s="42"/>
      <c r="H252" s="42"/>
      <c r="I252" s="199"/>
      <c r="J252" s="199"/>
      <c r="K252" s="199"/>
      <c r="L252" s="199"/>
      <c r="M252" s="199"/>
      <c r="N252" s="199"/>
      <c r="O252" s="199"/>
      <c r="P252" s="199"/>
      <c r="Q252" s="199"/>
      <c r="R252" s="58"/>
      <c r="S252" s="58"/>
      <c r="T252" s="58"/>
      <c r="U252" s="58"/>
      <c r="V252" s="58"/>
      <c r="W252" s="58"/>
      <c r="X252" s="58"/>
      <c r="Y252" s="58"/>
    </row>
    <row r="253" spans="1:25" ht="15" x14ac:dyDescent="0.25">
      <c r="A253" s="1228" t="s">
        <v>2865</v>
      </c>
      <c r="B253" s="2403" t="e">
        <f>H205</f>
        <v>#VALUE!</v>
      </c>
      <c r="C253" s="42"/>
      <c r="D253" s="42"/>
      <c r="E253" s="42"/>
      <c r="F253" s="42"/>
      <c r="G253" s="42"/>
      <c r="H253" s="42"/>
      <c r="I253" s="199"/>
      <c r="J253" s="199"/>
      <c r="K253" s="199"/>
      <c r="L253" s="199"/>
      <c r="M253" s="199"/>
      <c r="N253" s="199"/>
      <c r="O253" s="199"/>
      <c r="P253" s="199"/>
      <c r="Q253" s="199"/>
      <c r="R253" s="58"/>
      <c r="S253" s="58"/>
      <c r="T253" s="58"/>
      <c r="U253" s="58"/>
      <c r="V253" s="58"/>
      <c r="W253" s="58"/>
      <c r="X253" s="58"/>
      <c r="Y253" s="58"/>
    </row>
    <row r="254" spans="1:25" ht="15" x14ac:dyDescent="0.25">
      <c r="A254" s="1228" t="s">
        <v>2866</v>
      </c>
      <c r="B254" s="2404" t="e">
        <f>H206</f>
        <v>#VALUE!</v>
      </c>
      <c r="C254" s="42"/>
      <c r="D254" s="42"/>
      <c r="E254" s="42"/>
      <c r="F254" s="42"/>
      <c r="G254" s="42"/>
      <c r="H254" s="42"/>
      <c r="I254" s="199"/>
      <c r="J254" s="199"/>
      <c r="K254" s="199"/>
      <c r="L254" s="199"/>
      <c r="M254" s="199"/>
      <c r="N254" s="199"/>
      <c r="O254" s="199"/>
      <c r="P254" s="199"/>
      <c r="Q254" s="199"/>
      <c r="R254" s="58"/>
      <c r="S254" s="58"/>
      <c r="T254" s="58"/>
      <c r="U254" s="58"/>
      <c r="V254" s="58"/>
      <c r="W254" s="58"/>
      <c r="X254" s="58"/>
      <c r="Y254" s="58"/>
    </row>
    <row r="255" spans="1:25" ht="15" x14ac:dyDescent="0.25">
      <c r="A255" s="1228" t="s">
        <v>3827</v>
      </c>
      <c r="B255" s="2404" t="e">
        <f>H207</f>
        <v>#VALUE!</v>
      </c>
      <c r="C255" s="42"/>
      <c r="D255" s="42"/>
      <c r="E255" s="42"/>
      <c r="F255" s="42"/>
      <c r="G255" s="42"/>
      <c r="H255" s="42"/>
      <c r="I255" s="199"/>
      <c r="J255" s="199"/>
      <c r="K255" s="199"/>
      <c r="L255" s="199"/>
      <c r="M255" s="199"/>
      <c r="N255" s="199"/>
      <c r="O255" s="199"/>
      <c r="P255" s="199"/>
      <c r="Q255" s="199"/>
      <c r="R255" s="58"/>
      <c r="S255" s="58"/>
      <c r="T255" s="58"/>
      <c r="U255" s="58"/>
      <c r="V255" s="58"/>
      <c r="W255" s="58"/>
      <c r="X255" s="58"/>
      <c r="Y255" s="58"/>
    </row>
    <row r="256" spans="1:25" ht="30" x14ac:dyDescent="0.25">
      <c r="A256" s="1228" t="s">
        <v>3434</v>
      </c>
      <c r="B256" s="2404" t="e">
        <f>H209</f>
        <v>#VALUE!</v>
      </c>
      <c r="C256" s="2404"/>
      <c r="D256" s="2404"/>
      <c r="E256" s="2404"/>
      <c r="F256" s="42"/>
      <c r="G256" s="42"/>
      <c r="H256" s="42"/>
      <c r="I256" s="199"/>
      <c r="J256" s="199"/>
      <c r="K256" s="199"/>
      <c r="L256" s="199"/>
      <c r="M256" s="199"/>
      <c r="N256" s="199"/>
      <c r="O256" s="199"/>
      <c r="P256" s="199"/>
      <c r="Q256" s="199"/>
      <c r="R256" s="58"/>
      <c r="S256" s="58"/>
      <c r="T256" s="58"/>
      <c r="U256" s="58"/>
      <c r="V256" s="58"/>
      <c r="W256" s="58"/>
      <c r="X256" s="58"/>
      <c r="Y256" s="58"/>
    </row>
    <row r="257" spans="1:25" ht="45" x14ac:dyDescent="0.25">
      <c r="A257" s="1228" t="s">
        <v>3826</v>
      </c>
      <c r="B257" s="2403">
        <f>H210</f>
        <v>100</v>
      </c>
      <c r="C257" s="42"/>
      <c r="D257" s="42"/>
      <c r="E257" s="42"/>
      <c r="F257" s="42"/>
      <c r="G257" s="42"/>
      <c r="H257" s="42"/>
      <c r="I257" s="199"/>
      <c r="J257" s="199"/>
      <c r="K257" s="199"/>
      <c r="L257" s="199"/>
      <c r="M257" s="199"/>
      <c r="N257" s="199"/>
      <c r="O257" s="199"/>
      <c r="P257" s="199"/>
      <c r="Q257" s="199"/>
      <c r="R257" s="58"/>
      <c r="S257" s="58"/>
      <c r="T257" s="58"/>
      <c r="U257" s="58"/>
      <c r="V257" s="58"/>
      <c r="W257" s="58"/>
      <c r="X257" s="58"/>
      <c r="Y257" s="58"/>
    </row>
    <row r="258" spans="1:25" ht="30" x14ac:dyDescent="0.25">
      <c r="A258" s="1228" t="s">
        <v>5106</v>
      </c>
      <c r="B258" s="2403">
        <f ca="1">H211</f>
        <v>0</v>
      </c>
      <c r="C258" s="42"/>
      <c r="D258" s="42"/>
      <c r="E258" s="42"/>
      <c r="F258" s="42"/>
      <c r="G258" s="42"/>
      <c r="H258" s="42"/>
      <c r="I258" s="199"/>
      <c r="J258" s="199"/>
      <c r="K258" s="199"/>
      <c r="L258" s="199"/>
      <c r="M258" s="199"/>
      <c r="N258" s="199"/>
      <c r="O258" s="199"/>
      <c r="P258" s="199"/>
      <c r="Q258" s="199"/>
      <c r="R258" s="58"/>
      <c r="S258" s="58"/>
      <c r="T258" s="58"/>
      <c r="U258" s="58"/>
      <c r="V258" s="58"/>
      <c r="W258" s="58"/>
      <c r="X258" s="58"/>
      <c r="Y258" s="58"/>
    </row>
    <row r="259" spans="1:25" ht="15" x14ac:dyDescent="0.25">
      <c r="A259" s="1228" t="s">
        <v>5481</v>
      </c>
      <c r="B259" s="2403" t="e">
        <f ca="1">H229</f>
        <v>#VALUE!</v>
      </c>
      <c r="C259" s="42"/>
      <c r="D259" s="42"/>
      <c r="E259" s="42"/>
      <c r="F259" s="42"/>
      <c r="G259" s="42"/>
      <c r="H259" s="42"/>
      <c r="I259" s="199"/>
      <c r="J259" s="199"/>
      <c r="K259" s="199"/>
      <c r="L259" s="199"/>
      <c r="M259" s="199"/>
      <c r="N259" s="199"/>
      <c r="O259" s="199"/>
      <c r="P259" s="199"/>
      <c r="Q259" s="199"/>
      <c r="R259" s="58"/>
      <c r="S259" s="58"/>
      <c r="T259" s="58"/>
      <c r="U259" s="58"/>
      <c r="V259" s="58"/>
      <c r="W259" s="58"/>
      <c r="X259" s="58"/>
      <c r="Y259" s="58"/>
    </row>
    <row r="260" spans="1:25" ht="15" x14ac:dyDescent="0.25">
      <c r="A260" s="1228" t="s">
        <v>3853</v>
      </c>
      <c r="B260" s="2405" t="e">
        <f ca="1">H213</f>
        <v>#VALUE!</v>
      </c>
      <c r="C260" s="42"/>
      <c r="D260" s="42"/>
      <c r="E260" s="42"/>
      <c r="F260" s="42"/>
      <c r="G260" s="42"/>
      <c r="H260" s="42"/>
      <c r="I260" s="199"/>
      <c r="J260" s="199"/>
      <c r="K260" s="199"/>
      <c r="L260" s="199"/>
      <c r="M260" s="199"/>
      <c r="N260" s="199"/>
      <c r="O260" s="199"/>
      <c r="P260" s="199"/>
      <c r="Q260" s="199"/>
      <c r="R260" s="58"/>
      <c r="S260" s="58"/>
      <c r="T260" s="58"/>
      <c r="U260" s="58"/>
      <c r="V260" s="58"/>
      <c r="W260" s="58"/>
      <c r="X260" s="58"/>
      <c r="Y260" s="58"/>
    </row>
    <row r="261" spans="1:25" ht="15" x14ac:dyDescent="0.25">
      <c r="A261" s="1228" t="s">
        <v>3855</v>
      </c>
      <c r="B261" s="2405" t="e">
        <f ca="1">H215</f>
        <v>#VALUE!</v>
      </c>
      <c r="C261" s="42"/>
      <c r="D261" s="42"/>
      <c r="E261" s="42"/>
      <c r="F261" s="42"/>
      <c r="G261" s="42"/>
      <c r="H261" s="42"/>
      <c r="I261" s="199"/>
      <c r="J261" s="199"/>
      <c r="K261" s="199"/>
      <c r="L261" s="199"/>
      <c r="M261" s="199"/>
      <c r="N261" s="199"/>
      <c r="O261" s="199"/>
      <c r="P261" s="199"/>
      <c r="Q261" s="199"/>
      <c r="R261" s="58"/>
      <c r="S261" s="58"/>
      <c r="T261" s="58"/>
      <c r="U261" s="58"/>
      <c r="V261" s="58"/>
      <c r="W261" s="58"/>
      <c r="X261" s="58"/>
      <c r="Y261" s="58"/>
    </row>
    <row r="262" spans="1:25" ht="15" x14ac:dyDescent="0.25">
      <c r="A262" s="1228" t="s">
        <v>5481</v>
      </c>
      <c r="B262" s="2403" t="e">
        <f ca="1">H229</f>
        <v>#VALUE!</v>
      </c>
      <c r="C262" s="42"/>
      <c r="D262" s="42"/>
      <c r="E262" s="42"/>
      <c r="F262" s="42"/>
      <c r="G262" s="42"/>
      <c r="H262" s="42"/>
      <c r="I262" s="199"/>
      <c r="J262" s="199"/>
      <c r="K262" s="199"/>
      <c r="L262" s="199"/>
      <c r="M262" s="199"/>
      <c r="N262" s="199"/>
      <c r="O262" s="199"/>
      <c r="P262" s="199"/>
      <c r="Q262" s="199"/>
      <c r="R262" s="58"/>
      <c r="S262" s="58"/>
      <c r="T262" s="58"/>
      <c r="U262" s="58"/>
      <c r="V262" s="58"/>
      <c r="W262" s="58"/>
      <c r="X262" s="58"/>
      <c r="Y262" s="58"/>
    </row>
    <row r="263" spans="1:25" ht="18.75" x14ac:dyDescent="0.3">
      <c r="A263" s="1230"/>
      <c r="B263" s="42"/>
      <c r="C263" s="42"/>
      <c r="D263" s="42"/>
      <c r="E263" s="42"/>
      <c r="F263" s="42"/>
      <c r="G263" s="42"/>
      <c r="H263" s="42"/>
      <c r="I263" s="199"/>
      <c r="J263" s="199"/>
      <c r="K263" s="199"/>
      <c r="L263" s="199"/>
      <c r="M263" s="199"/>
      <c r="N263" s="199"/>
      <c r="O263" s="199"/>
      <c r="P263" s="199"/>
      <c r="Q263" s="199"/>
      <c r="R263" s="58"/>
      <c r="S263" s="58"/>
      <c r="T263" s="58"/>
      <c r="U263" s="58"/>
      <c r="V263" s="58"/>
      <c r="W263" s="58"/>
      <c r="X263" s="58"/>
      <c r="Y263" s="58"/>
    </row>
    <row r="264" spans="1:25" ht="18.75" x14ac:dyDescent="0.3">
      <c r="A264" s="1230"/>
      <c r="B264" s="42"/>
      <c r="C264" s="42"/>
      <c r="D264" s="42"/>
      <c r="E264" s="42"/>
      <c r="F264" s="42"/>
      <c r="G264" s="42"/>
      <c r="H264" s="42"/>
      <c r="I264" s="199"/>
      <c r="J264" s="199"/>
      <c r="K264" s="199"/>
      <c r="L264" s="199"/>
      <c r="M264" s="199"/>
      <c r="N264" s="199"/>
      <c r="O264" s="199"/>
      <c r="P264" s="199"/>
      <c r="Q264" s="199"/>
      <c r="R264" s="58"/>
      <c r="S264" s="58"/>
      <c r="T264" s="58"/>
      <c r="U264" s="58"/>
      <c r="V264" s="58"/>
      <c r="W264" s="58"/>
      <c r="X264" s="58"/>
      <c r="Y264" s="58"/>
    </row>
    <row r="265" spans="1:25" ht="18.75" x14ac:dyDescent="0.3">
      <c r="A265" s="1230"/>
      <c r="B265" s="42"/>
      <c r="C265" s="42"/>
      <c r="D265" s="42"/>
      <c r="E265" s="42"/>
      <c r="F265" s="42"/>
      <c r="G265" s="42"/>
      <c r="H265" s="42"/>
      <c r="I265" s="199"/>
      <c r="J265" s="199"/>
      <c r="K265" s="199"/>
      <c r="L265" s="199"/>
      <c r="M265" s="199"/>
      <c r="N265" s="199"/>
      <c r="O265" s="199"/>
      <c r="P265" s="199"/>
      <c r="Q265" s="199"/>
      <c r="R265" s="58"/>
      <c r="S265" s="58"/>
      <c r="T265" s="58"/>
      <c r="U265" s="58"/>
      <c r="V265" s="58"/>
      <c r="W265" s="58"/>
      <c r="X265" s="58"/>
      <c r="Y265" s="58"/>
    </row>
    <row r="266" spans="1:25" ht="18.75" x14ac:dyDescent="0.3">
      <c r="A266" s="1230"/>
      <c r="B266" s="42"/>
      <c r="C266" s="42"/>
      <c r="D266" s="42"/>
      <c r="E266" s="42"/>
      <c r="F266" s="42"/>
      <c r="G266" s="42"/>
      <c r="H266" s="42"/>
      <c r="I266" s="199"/>
      <c r="J266" s="199"/>
      <c r="K266" s="199"/>
      <c r="L266" s="199"/>
      <c r="M266" s="199"/>
      <c r="N266" s="199"/>
      <c r="O266" s="199"/>
      <c r="P266" s="199"/>
      <c r="Q266" s="199"/>
      <c r="R266" s="58"/>
      <c r="S266" s="58"/>
      <c r="T266" s="58"/>
      <c r="U266" s="58"/>
      <c r="V266" s="58"/>
      <c r="W266" s="58"/>
      <c r="X266" s="58"/>
      <c r="Y266" s="58"/>
    </row>
    <row r="267" spans="1:25" ht="18.75" x14ac:dyDescent="0.3">
      <c r="A267" s="1230"/>
      <c r="B267" s="42"/>
      <c r="C267" s="42"/>
      <c r="D267" s="42"/>
      <c r="E267" s="42"/>
      <c r="F267" s="42"/>
      <c r="G267" s="42"/>
      <c r="H267" s="42"/>
      <c r="I267" s="199"/>
      <c r="J267" s="199"/>
      <c r="K267" s="199"/>
      <c r="L267" s="199"/>
      <c r="M267" s="199"/>
      <c r="N267" s="199"/>
      <c r="O267" s="199"/>
      <c r="P267" s="199"/>
      <c r="Q267" s="199"/>
      <c r="R267" s="58"/>
      <c r="S267" s="58"/>
      <c r="T267" s="58"/>
      <c r="U267" s="58"/>
      <c r="V267" s="58"/>
      <c r="W267" s="58"/>
      <c r="X267" s="58"/>
      <c r="Y267" s="58"/>
    </row>
    <row r="268" spans="1:25" ht="18.75" x14ac:dyDescent="0.3">
      <c r="A268" s="1230"/>
      <c r="B268" s="42"/>
      <c r="C268" s="42"/>
      <c r="D268" s="42"/>
      <c r="E268" s="42"/>
      <c r="F268" s="42"/>
      <c r="G268" s="42"/>
      <c r="H268" s="42"/>
      <c r="I268" s="199"/>
      <c r="J268" s="199"/>
      <c r="K268" s="199"/>
      <c r="L268" s="199"/>
      <c r="M268" s="199"/>
      <c r="N268" s="199"/>
      <c r="O268" s="199"/>
      <c r="P268" s="199"/>
      <c r="Q268" s="199"/>
      <c r="R268" s="58"/>
      <c r="S268" s="58"/>
      <c r="T268" s="58"/>
      <c r="U268" s="58"/>
      <c r="V268" s="58"/>
      <c r="W268" s="58"/>
      <c r="X268" s="58"/>
      <c r="Y268" s="58"/>
    </row>
    <row r="269" spans="1:25" ht="18.75" x14ac:dyDescent="0.3">
      <c r="A269" s="1230"/>
      <c r="B269" s="42"/>
      <c r="C269" s="42"/>
      <c r="D269" s="42"/>
      <c r="E269" s="42"/>
      <c r="F269" s="42"/>
      <c r="G269" s="42"/>
      <c r="H269" s="42"/>
      <c r="I269" s="199"/>
      <c r="J269" s="199"/>
      <c r="K269" s="199"/>
      <c r="L269" s="199"/>
      <c r="M269" s="199"/>
      <c r="N269" s="199"/>
      <c r="O269" s="199"/>
      <c r="P269" s="199"/>
      <c r="Q269" s="199"/>
      <c r="R269" s="58"/>
      <c r="S269" s="58"/>
      <c r="T269" s="58"/>
      <c r="U269" s="58"/>
      <c r="V269" s="58"/>
      <c r="W269" s="58"/>
      <c r="X269" s="58"/>
      <c r="Y269" s="58"/>
    </row>
    <row r="270" spans="1:25" ht="18.75" x14ac:dyDescent="0.3">
      <c r="A270" s="1230"/>
      <c r="B270" s="42"/>
      <c r="C270" s="42"/>
      <c r="D270" s="42"/>
      <c r="E270" s="42"/>
      <c r="F270" s="42"/>
      <c r="G270" s="42"/>
      <c r="H270" s="42"/>
      <c r="I270" s="199"/>
      <c r="J270" s="199"/>
      <c r="K270" s="199"/>
      <c r="L270" s="199"/>
      <c r="M270" s="199"/>
      <c r="N270" s="199"/>
      <c r="O270" s="199"/>
      <c r="P270" s="199"/>
      <c r="Q270" s="199"/>
      <c r="R270" s="58"/>
      <c r="S270" s="58"/>
      <c r="T270" s="58"/>
      <c r="U270" s="58"/>
      <c r="V270" s="58"/>
      <c r="W270" s="58"/>
      <c r="X270" s="58"/>
      <c r="Y270" s="58"/>
    </row>
    <row r="271" spans="1:25" ht="18.75" x14ac:dyDescent="0.3">
      <c r="A271" s="1230"/>
      <c r="B271" s="42"/>
      <c r="C271" s="42"/>
      <c r="D271" s="42"/>
      <c r="E271" s="42"/>
      <c r="F271" s="42"/>
      <c r="G271" s="42"/>
      <c r="H271" s="42"/>
      <c r="I271" s="199"/>
      <c r="J271" s="199"/>
      <c r="K271" s="199"/>
      <c r="L271" s="199"/>
      <c r="M271" s="199"/>
      <c r="N271" s="199"/>
      <c r="O271" s="199"/>
      <c r="P271" s="199"/>
      <c r="Q271" s="199"/>
      <c r="R271" s="58"/>
      <c r="S271" s="58"/>
      <c r="T271" s="58"/>
      <c r="U271" s="58"/>
      <c r="V271" s="58"/>
      <c r="W271" s="58"/>
      <c r="X271" s="58"/>
      <c r="Y271" s="58"/>
    </row>
    <row r="272" spans="1:25" ht="18.75" x14ac:dyDescent="0.3">
      <c r="A272" s="1230"/>
      <c r="B272" s="42"/>
      <c r="C272" s="42"/>
      <c r="D272" s="42"/>
      <c r="E272" s="42"/>
      <c r="F272" s="42"/>
      <c r="G272" s="42"/>
      <c r="H272" s="42"/>
      <c r="I272" s="199"/>
      <c r="J272" s="199"/>
      <c r="K272" s="199"/>
      <c r="L272" s="199"/>
      <c r="M272" s="199"/>
      <c r="N272" s="199"/>
      <c r="O272" s="199"/>
      <c r="P272" s="199"/>
      <c r="Q272" s="199"/>
      <c r="R272" s="58"/>
      <c r="S272" s="58"/>
      <c r="T272" s="58"/>
      <c r="U272" s="58"/>
      <c r="V272" s="58"/>
      <c r="W272" s="58"/>
      <c r="X272" s="58"/>
      <c r="Y272" s="58"/>
    </row>
    <row r="273" spans="1:25" ht="18.75" x14ac:dyDescent="0.3">
      <c r="A273" s="1230"/>
      <c r="B273" s="42"/>
      <c r="C273" s="42"/>
      <c r="D273" s="42"/>
      <c r="E273" s="42"/>
      <c r="F273" s="42"/>
      <c r="G273" s="42"/>
      <c r="H273" s="42"/>
      <c r="I273" s="199"/>
      <c r="J273" s="199"/>
      <c r="K273" s="199"/>
      <c r="L273" s="199"/>
      <c r="M273" s="199"/>
      <c r="N273" s="199"/>
      <c r="O273" s="199"/>
      <c r="P273" s="199"/>
      <c r="Q273" s="199"/>
      <c r="R273" s="58"/>
      <c r="S273" s="58"/>
      <c r="T273" s="58"/>
      <c r="U273" s="58"/>
      <c r="V273" s="58"/>
      <c r="W273" s="58"/>
      <c r="X273" s="58"/>
      <c r="Y273" s="58"/>
    </row>
    <row r="274" spans="1:25" ht="18.75" x14ac:dyDescent="0.3">
      <c r="A274" s="1230"/>
      <c r="B274" s="42"/>
      <c r="C274" s="42"/>
      <c r="D274" s="42"/>
      <c r="E274" s="42"/>
      <c r="F274" s="42"/>
      <c r="G274" s="42"/>
      <c r="H274" s="42"/>
      <c r="I274" s="199"/>
      <c r="J274" s="199"/>
      <c r="K274" s="199"/>
      <c r="L274" s="199"/>
      <c r="M274" s="199"/>
      <c r="N274" s="199"/>
      <c r="O274" s="199"/>
      <c r="P274" s="199"/>
      <c r="Q274" s="199"/>
      <c r="R274" s="58"/>
      <c r="S274" s="58"/>
      <c r="T274" s="58"/>
      <c r="U274" s="58"/>
      <c r="V274" s="58"/>
      <c r="W274" s="58"/>
      <c r="X274" s="58"/>
      <c r="Y274" s="58"/>
    </row>
    <row r="275" spans="1:25" ht="18.75" x14ac:dyDescent="0.3">
      <c r="A275" s="1230"/>
      <c r="B275" s="42"/>
      <c r="C275" s="42"/>
      <c r="D275" s="42"/>
      <c r="E275" s="42"/>
      <c r="F275" s="42"/>
      <c r="G275" s="42"/>
      <c r="H275" s="42"/>
      <c r="I275" s="199"/>
      <c r="J275" s="199"/>
      <c r="K275" s="199"/>
      <c r="L275" s="199"/>
      <c r="M275" s="199"/>
      <c r="N275" s="199"/>
      <c r="O275" s="199"/>
      <c r="P275" s="199"/>
      <c r="Q275" s="199"/>
      <c r="R275" s="58"/>
      <c r="S275" s="58"/>
      <c r="T275" s="58"/>
      <c r="U275" s="58"/>
      <c r="V275" s="58"/>
      <c r="W275" s="58"/>
      <c r="X275" s="58"/>
      <c r="Y275" s="58"/>
    </row>
    <row r="276" spans="1:25" ht="18.75" x14ac:dyDescent="0.3">
      <c r="A276" s="1230"/>
      <c r="B276" s="42"/>
      <c r="C276" s="42"/>
      <c r="D276" s="42"/>
      <c r="E276" s="42"/>
      <c r="F276" s="42"/>
      <c r="G276" s="42"/>
      <c r="H276" s="42"/>
      <c r="I276" s="199"/>
      <c r="J276" s="199"/>
      <c r="K276" s="199"/>
      <c r="L276" s="199"/>
      <c r="M276" s="199"/>
      <c r="N276" s="199"/>
      <c r="O276" s="199"/>
      <c r="P276" s="199"/>
      <c r="Q276" s="199"/>
      <c r="R276" s="58"/>
      <c r="S276" s="58"/>
      <c r="T276" s="58"/>
      <c r="U276" s="58"/>
      <c r="V276" s="58"/>
      <c r="W276" s="58"/>
      <c r="X276" s="58"/>
      <c r="Y276" s="58"/>
    </row>
    <row r="277" spans="1:25" ht="18.75" x14ac:dyDescent="0.3">
      <c r="A277" s="1230"/>
      <c r="B277" s="42"/>
      <c r="C277" s="42"/>
      <c r="D277" s="42"/>
      <c r="E277" s="42"/>
      <c r="F277" s="42"/>
      <c r="G277" s="42"/>
      <c r="H277" s="42"/>
      <c r="I277" s="199"/>
      <c r="J277" s="199"/>
      <c r="K277" s="199"/>
      <c r="L277" s="199"/>
      <c r="M277" s="199"/>
      <c r="N277" s="199"/>
      <c r="O277" s="199"/>
      <c r="P277" s="199"/>
      <c r="Q277" s="199"/>
      <c r="R277" s="58"/>
      <c r="S277" s="58"/>
      <c r="T277" s="58"/>
      <c r="U277" s="58"/>
      <c r="V277" s="58"/>
      <c r="W277" s="58"/>
      <c r="X277" s="58"/>
      <c r="Y277" s="58"/>
    </row>
    <row r="278" spans="1:25" ht="18.75" x14ac:dyDescent="0.3">
      <c r="A278" s="1230"/>
      <c r="B278" s="42"/>
      <c r="C278" s="42"/>
      <c r="D278" s="42"/>
      <c r="E278" s="42"/>
      <c r="F278" s="42"/>
      <c r="G278" s="42"/>
      <c r="H278" s="42"/>
      <c r="I278" s="199"/>
      <c r="J278" s="199"/>
      <c r="K278" s="199"/>
      <c r="L278" s="199"/>
      <c r="M278" s="199"/>
      <c r="N278" s="199"/>
      <c r="O278" s="199"/>
      <c r="P278" s="199"/>
      <c r="Q278" s="199"/>
      <c r="R278" s="58"/>
      <c r="S278" s="58"/>
      <c r="T278" s="58"/>
      <c r="U278" s="58"/>
      <c r="V278" s="58"/>
      <c r="W278" s="58"/>
      <c r="X278" s="58"/>
      <c r="Y278" s="58"/>
    </row>
    <row r="279" spans="1:25" ht="18.75" x14ac:dyDescent="0.3">
      <c r="A279" s="1230"/>
      <c r="B279" s="42"/>
      <c r="C279" s="42"/>
      <c r="D279" s="42"/>
      <c r="E279" s="42"/>
      <c r="F279" s="42"/>
      <c r="G279" s="42"/>
      <c r="H279" s="42"/>
      <c r="I279" s="199"/>
      <c r="J279" s="199"/>
      <c r="K279" s="199"/>
      <c r="L279" s="199"/>
      <c r="M279" s="199"/>
      <c r="N279" s="199"/>
      <c r="O279" s="199"/>
      <c r="P279" s="199"/>
      <c r="Q279" s="199"/>
      <c r="R279" s="58"/>
      <c r="S279" s="58"/>
      <c r="T279" s="58"/>
      <c r="U279" s="58"/>
      <c r="V279" s="58"/>
      <c r="W279" s="58"/>
      <c r="X279" s="58"/>
      <c r="Y279" s="58"/>
    </row>
    <row r="280" spans="1:25" ht="18.75" x14ac:dyDescent="0.3">
      <c r="A280" s="1230"/>
      <c r="B280" s="42"/>
      <c r="C280" s="42"/>
      <c r="D280" s="42"/>
      <c r="E280" s="42"/>
      <c r="F280" s="42"/>
      <c r="G280" s="42"/>
      <c r="H280" s="42"/>
      <c r="I280" s="199"/>
      <c r="J280" s="199"/>
      <c r="K280" s="199"/>
      <c r="L280" s="199"/>
      <c r="M280" s="199"/>
      <c r="N280" s="199"/>
      <c r="O280" s="199"/>
      <c r="P280" s="199"/>
      <c r="Q280" s="199"/>
      <c r="R280" s="58"/>
      <c r="S280" s="58"/>
      <c r="T280" s="58"/>
      <c r="U280" s="58"/>
      <c r="V280" s="58"/>
      <c r="W280" s="58"/>
      <c r="X280" s="58"/>
      <c r="Y280" s="58"/>
    </row>
    <row r="281" spans="1:25" ht="18.75" x14ac:dyDescent="0.3">
      <c r="A281" s="1230"/>
      <c r="B281" s="42"/>
      <c r="C281" s="42"/>
      <c r="D281" s="42"/>
      <c r="E281" s="42"/>
      <c r="F281" s="42"/>
      <c r="G281" s="42"/>
      <c r="H281" s="42"/>
      <c r="I281" s="199"/>
      <c r="J281" s="199"/>
      <c r="K281" s="199"/>
      <c r="L281" s="199"/>
      <c r="M281" s="199"/>
      <c r="N281" s="199"/>
      <c r="O281" s="199"/>
      <c r="P281" s="199"/>
      <c r="Q281" s="199"/>
      <c r="R281" s="58"/>
      <c r="S281" s="58"/>
      <c r="T281" s="58"/>
      <c r="U281" s="58"/>
      <c r="V281" s="58"/>
      <c r="W281" s="58"/>
      <c r="X281" s="58"/>
      <c r="Y281" s="58"/>
    </row>
    <row r="282" spans="1:25" ht="18.75" x14ac:dyDescent="0.3">
      <c r="A282" s="1230"/>
      <c r="B282" s="42"/>
      <c r="C282" s="42"/>
      <c r="D282" s="42"/>
      <c r="E282" s="42"/>
      <c r="F282" s="42"/>
      <c r="G282" s="42"/>
      <c r="H282" s="42"/>
      <c r="I282" s="199"/>
      <c r="J282" s="199"/>
      <c r="K282" s="199"/>
      <c r="L282" s="199"/>
      <c r="M282" s="199"/>
      <c r="N282" s="199"/>
      <c r="O282" s="199"/>
      <c r="P282" s="199"/>
      <c r="Q282" s="199"/>
      <c r="R282" s="58"/>
      <c r="S282" s="58"/>
      <c r="T282" s="58"/>
      <c r="U282" s="58"/>
      <c r="V282" s="58"/>
      <c r="W282" s="58"/>
      <c r="X282" s="58"/>
      <c r="Y282" s="58"/>
    </row>
    <row r="283" spans="1:25" ht="18.75" x14ac:dyDescent="0.3">
      <c r="A283" s="1230"/>
      <c r="B283" s="42"/>
      <c r="C283" s="42"/>
      <c r="D283" s="42"/>
      <c r="E283" s="42"/>
      <c r="F283" s="42"/>
      <c r="G283" s="42"/>
      <c r="H283" s="42"/>
      <c r="I283" s="199"/>
      <c r="J283" s="199"/>
      <c r="K283" s="199"/>
      <c r="L283" s="199"/>
      <c r="M283" s="199"/>
      <c r="N283" s="199"/>
      <c r="O283" s="199"/>
      <c r="P283" s="199"/>
      <c r="Q283" s="199"/>
      <c r="R283" s="58"/>
      <c r="S283" s="58"/>
      <c r="T283" s="58"/>
      <c r="U283" s="58"/>
      <c r="V283" s="58"/>
      <c r="W283" s="58"/>
      <c r="X283" s="58"/>
      <c r="Y283" s="58"/>
    </row>
    <row r="284" spans="1:25" ht="18.75" x14ac:dyDescent="0.3">
      <c r="A284" s="1230"/>
      <c r="B284" s="42"/>
      <c r="C284" s="42"/>
      <c r="D284" s="42"/>
      <c r="E284" s="42"/>
      <c r="F284" s="42"/>
      <c r="G284" s="42"/>
      <c r="H284" s="42"/>
      <c r="I284" s="199"/>
      <c r="J284" s="199"/>
      <c r="K284" s="199"/>
      <c r="L284" s="199"/>
      <c r="M284" s="199"/>
      <c r="N284" s="199"/>
      <c r="O284" s="199"/>
      <c r="P284" s="199"/>
      <c r="Q284" s="199"/>
      <c r="R284" s="58"/>
      <c r="S284" s="58"/>
      <c r="T284" s="58"/>
      <c r="U284" s="58"/>
      <c r="V284" s="58"/>
      <c r="W284" s="58"/>
      <c r="X284" s="58"/>
      <c r="Y284" s="58"/>
    </row>
    <row r="285" spans="1:25" ht="18.75" x14ac:dyDescent="0.3">
      <c r="A285" s="1230"/>
      <c r="B285" s="42"/>
      <c r="C285" s="42"/>
      <c r="D285" s="42"/>
      <c r="E285" s="42"/>
      <c r="F285" s="42"/>
      <c r="G285" s="42"/>
      <c r="H285" s="42"/>
      <c r="I285" s="199"/>
      <c r="J285" s="199"/>
      <c r="K285" s="199"/>
      <c r="L285" s="199"/>
      <c r="M285" s="199"/>
      <c r="N285" s="199"/>
      <c r="O285" s="199"/>
      <c r="P285" s="199"/>
      <c r="Q285" s="199"/>
      <c r="R285" s="58"/>
      <c r="S285" s="58"/>
      <c r="T285" s="58"/>
      <c r="U285" s="58"/>
      <c r="V285" s="58"/>
      <c r="W285" s="58"/>
      <c r="X285" s="58"/>
      <c r="Y285" s="58"/>
    </row>
    <row r="286" spans="1:25" ht="18.75" x14ac:dyDescent="0.3">
      <c r="A286" s="1230"/>
      <c r="B286" s="42"/>
      <c r="C286" s="42"/>
      <c r="D286" s="42"/>
      <c r="E286" s="42"/>
      <c r="F286" s="42"/>
      <c r="G286" s="42"/>
      <c r="H286" s="42"/>
      <c r="I286" s="199"/>
      <c r="J286" s="199"/>
      <c r="K286" s="199"/>
      <c r="L286" s="199"/>
      <c r="M286" s="199"/>
      <c r="N286" s="199"/>
      <c r="O286" s="199"/>
      <c r="P286" s="199"/>
      <c r="Q286" s="199"/>
      <c r="R286" s="58"/>
      <c r="S286" s="58"/>
      <c r="T286" s="58"/>
      <c r="U286" s="58"/>
      <c r="V286" s="58"/>
      <c r="W286" s="58"/>
      <c r="X286" s="58"/>
      <c r="Y286" s="58"/>
    </row>
    <row r="287" spans="1:25" ht="15" x14ac:dyDescent="0.25">
      <c r="A287" s="2475"/>
      <c r="B287" s="2475"/>
      <c r="C287" s="2475"/>
      <c r="D287" s="2475"/>
      <c r="E287" s="2475"/>
      <c r="F287" s="2475"/>
      <c r="G287" s="2475"/>
      <c r="H287" s="2475"/>
      <c r="I287" s="1120"/>
      <c r="J287" s="1120"/>
      <c r="K287" s="1120"/>
      <c r="L287" s="1120"/>
      <c r="M287" s="1120"/>
      <c r="N287" s="199"/>
      <c r="O287" s="199"/>
      <c r="P287" s="199"/>
      <c r="Q287" s="199"/>
      <c r="R287" s="58"/>
      <c r="S287" s="58"/>
      <c r="T287" s="58"/>
      <c r="U287" s="58"/>
      <c r="V287" s="58"/>
      <c r="W287" s="58"/>
      <c r="X287" s="58"/>
      <c r="Y287" s="58"/>
    </row>
    <row r="288" spans="1:25" ht="15.75" x14ac:dyDescent="0.25">
      <c r="A288" s="1231" t="s">
        <v>1413</v>
      </c>
      <c r="B288" s="346"/>
      <c r="C288" s="346"/>
      <c r="D288" s="346"/>
      <c r="E288" s="346"/>
      <c r="F288" s="346"/>
      <c r="G288" s="346"/>
      <c r="H288" s="456"/>
      <c r="I288" s="199"/>
      <c r="J288" s="199"/>
      <c r="K288" s="199"/>
      <c r="L288" s="199"/>
      <c r="M288" s="199"/>
      <c r="N288" s="199"/>
      <c r="O288" s="199"/>
      <c r="P288" s="199"/>
      <c r="Q288" s="199"/>
      <c r="R288" s="58"/>
      <c r="S288" s="58"/>
      <c r="T288" s="58"/>
      <c r="U288" s="58"/>
      <c r="V288" s="58"/>
      <c r="W288" s="58"/>
      <c r="X288" s="58"/>
      <c r="Y288" s="58"/>
    </row>
    <row r="289" spans="1:25" ht="15.75" x14ac:dyDescent="0.25">
      <c r="A289" s="1246" t="s">
        <v>1109</v>
      </c>
      <c r="B289" s="42"/>
      <c r="C289" s="217"/>
      <c r="D289" s="217"/>
      <c r="E289" s="217"/>
      <c r="F289" s="217"/>
      <c r="G289" s="217"/>
      <c r="H289" s="1228"/>
      <c r="I289" s="199"/>
      <c r="J289" s="378"/>
      <c r="K289" s="199"/>
      <c r="L289" s="199"/>
      <c r="M289" s="199"/>
      <c r="N289" s="199"/>
      <c r="O289" s="199"/>
      <c r="P289" s="199"/>
      <c r="Q289" s="199"/>
      <c r="R289" s="58"/>
      <c r="S289" s="58"/>
      <c r="T289" s="58"/>
      <c r="U289" s="58"/>
      <c r="V289" s="58"/>
      <c r="W289" s="58"/>
      <c r="X289" s="58"/>
      <c r="Y289" s="58"/>
    </row>
    <row r="290" spans="1:25" ht="15.75" x14ac:dyDescent="0.25">
      <c r="A290" s="1247" t="s">
        <v>608</v>
      </c>
      <c r="B290" s="2399" t="str">
        <f>H495</f>
        <v/>
      </c>
      <c r="C290" s="223"/>
      <c r="D290" s="223"/>
      <c r="E290" s="223"/>
      <c r="F290" s="223"/>
      <c r="G290" s="223"/>
      <c r="I290" s="199"/>
      <c r="J290" s="548"/>
      <c r="K290" s="199"/>
      <c r="L290" s="199"/>
      <c r="M290" s="199"/>
      <c r="N290" s="199"/>
      <c r="O290" s="199"/>
      <c r="P290" s="199"/>
      <c r="Q290" s="199"/>
      <c r="R290" s="58"/>
      <c r="S290" s="58"/>
      <c r="T290" s="58"/>
      <c r="U290" s="58"/>
      <c r="V290" s="58"/>
      <c r="W290" s="58"/>
      <c r="X290" s="58"/>
      <c r="Y290" s="58"/>
    </row>
    <row r="291" spans="1:25" ht="31.5" x14ac:dyDescent="0.25">
      <c r="A291" s="1247" t="s">
        <v>3867</v>
      </c>
      <c r="B291" s="2399" t="str">
        <f>H496</f>
        <v/>
      </c>
      <c r="C291" s="223"/>
      <c r="D291" s="223"/>
      <c r="E291" s="223"/>
      <c r="F291" s="223"/>
      <c r="G291" s="223"/>
      <c r="I291" s="199"/>
      <c r="J291" s="548"/>
      <c r="K291" s="199"/>
      <c r="L291" s="199"/>
      <c r="M291" s="199"/>
      <c r="N291" s="199"/>
      <c r="O291" s="199"/>
      <c r="P291" s="199"/>
      <c r="Q291" s="199"/>
      <c r="R291" s="58"/>
      <c r="S291" s="58"/>
      <c r="T291" s="58"/>
      <c r="U291" s="58"/>
      <c r="V291" s="58"/>
      <c r="W291" s="58"/>
      <c r="X291" s="58"/>
      <c r="Y291" s="58"/>
    </row>
    <row r="292" spans="1:25" ht="15.75" x14ac:dyDescent="0.25">
      <c r="A292" s="1247" t="s">
        <v>3716</v>
      </c>
      <c r="B292" s="2399" t="str">
        <f>H497</f>
        <v/>
      </c>
      <c r="C292" s="223"/>
      <c r="D292" s="223"/>
      <c r="E292" s="223"/>
      <c r="F292" s="223"/>
      <c r="G292" s="223"/>
      <c r="I292" s="199"/>
      <c r="J292" s="548"/>
      <c r="K292" s="199"/>
      <c r="L292" s="199"/>
      <c r="M292" s="199"/>
      <c r="N292" s="199"/>
      <c r="O292" s="199"/>
      <c r="P292" s="199"/>
      <c r="Q292" s="199"/>
      <c r="R292" s="58"/>
      <c r="S292" s="58"/>
      <c r="T292" s="58"/>
      <c r="U292" s="58"/>
      <c r="V292" s="58"/>
      <c r="W292" s="58"/>
      <c r="X292" s="58"/>
      <c r="Y292" s="58"/>
    </row>
    <row r="293" spans="1:25" ht="15.75" x14ac:dyDescent="0.25">
      <c r="C293" s="223"/>
      <c r="D293" s="223"/>
      <c r="E293" s="223"/>
      <c r="F293" s="223"/>
      <c r="G293" s="223"/>
      <c r="I293" s="199"/>
      <c r="J293" s="548"/>
      <c r="K293" s="199"/>
      <c r="L293" s="199"/>
      <c r="M293" s="199"/>
      <c r="N293" s="199"/>
      <c r="O293" s="199"/>
      <c r="P293" s="199"/>
      <c r="Q293" s="199"/>
      <c r="R293" s="58"/>
      <c r="S293" s="58"/>
      <c r="T293" s="58"/>
      <c r="U293" s="58"/>
      <c r="V293" s="58"/>
      <c r="W293" s="58"/>
      <c r="X293" s="58"/>
      <c r="Y293" s="58"/>
    </row>
    <row r="294" spans="1:25" ht="31.5" x14ac:dyDescent="0.25">
      <c r="A294" s="1247" t="s">
        <v>4863</v>
      </c>
      <c r="B294" s="2399" t="str">
        <f>IF(H499=0,"не опасен","опасен")</f>
        <v>опасен</v>
      </c>
      <c r="C294" s="223"/>
      <c r="D294" s="223"/>
      <c r="E294" s="223"/>
      <c r="F294" s="223"/>
      <c r="G294" s="223"/>
      <c r="I294" s="199"/>
      <c r="J294" s="548"/>
      <c r="K294" s="199"/>
      <c r="L294" s="199"/>
      <c r="M294" s="199"/>
      <c r="N294" s="199"/>
      <c r="O294" s="199"/>
      <c r="P294" s="199"/>
      <c r="Q294" s="199"/>
      <c r="R294" s="58"/>
      <c r="S294" s="58"/>
      <c r="T294" s="58"/>
      <c r="U294" s="58"/>
      <c r="V294" s="58"/>
      <c r="W294" s="58"/>
      <c r="X294" s="58"/>
      <c r="Y294" s="58"/>
    </row>
    <row r="295" spans="1:25" ht="15.75" x14ac:dyDescent="0.25">
      <c r="A295" s="1247" t="s">
        <v>3991</v>
      </c>
      <c r="B295" s="2399" t="str">
        <f>H500</f>
        <v/>
      </c>
      <c r="C295" s="223"/>
      <c r="D295" s="223"/>
      <c r="E295" s="223"/>
      <c r="F295" s="223"/>
      <c r="G295" s="223"/>
      <c r="I295" s="199"/>
      <c r="J295" s="548"/>
      <c r="K295" s="199"/>
      <c r="L295" s="199"/>
      <c r="M295" s="199"/>
      <c r="N295" s="199"/>
      <c r="O295" s="199"/>
      <c r="P295" s="199"/>
      <c r="Q295" s="199"/>
      <c r="R295" s="58"/>
      <c r="S295" s="58"/>
      <c r="T295" s="58"/>
      <c r="U295" s="58"/>
      <c r="V295" s="58"/>
      <c r="W295" s="58"/>
      <c r="X295" s="58"/>
      <c r="Y295" s="58"/>
    </row>
    <row r="296" spans="1:25" ht="15.75" x14ac:dyDescent="0.25">
      <c r="A296" s="1233" t="s">
        <v>592</v>
      </c>
      <c r="B296" s="2400" t="str">
        <f>IF(H501&lt;4,H501,"сверхкатегорная")</f>
        <v>сверхкатегорная</v>
      </c>
      <c r="C296" s="217"/>
      <c r="D296" s="217"/>
      <c r="E296" s="217"/>
      <c r="F296" s="217"/>
      <c r="H296" s="1237"/>
      <c r="I296" s="199"/>
      <c r="J296" s="548"/>
      <c r="K296" s="199"/>
      <c r="L296" s="199"/>
      <c r="M296" s="199"/>
      <c r="N296" s="199"/>
      <c r="O296" s="199"/>
      <c r="P296" s="199"/>
      <c r="Q296" s="199"/>
      <c r="R296" s="58"/>
      <c r="S296" s="58"/>
      <c r="T296" s="58"/>
      <c r="U296" s="58"/>
      <c r="V296" s="58"/>
      <c r="W296" s="58"/>
      <c r="X296" s="58"/>
      <c r="Y296" s="58"/>
    </row>
    <row r="297" spans="1:25" ht="31.5" x14ac:dyDescent="0.25">
      <c r="A297" s="1233" t="s">
        <v>2010</v>
      </c>
      <c r="B297" s="2400" t="str">
        <f>CONCATENATE("Б",H502)</f>
        <v>БЛОЖЬ</v>
      </c>
      <c r="C297" s="217"/>
      <c r="D297" s="217"/>
      <c r="E297" s="217"/>
      <c r="F297" s="217"/>
      <c r="G297" s="217"/>
      <c r="I297" s="199"/>
      <c r="J297" s="548"/>
      <c r="K297" s="199"/>
      <c r="L297" s="199"/>
      <c r="M297" s="199"/>
      <c r="N297" s="199"/>
      <c r="O297" s="199"/>
      <c r="P297" s="199"/>
      <c r="Q297" s="199"/>
      <c r="R297" s="58"/>
      <c r="S297" s="58"/>
      <c r="T297" s="58"/>
      <c r="U297" s="58"/>
      <c r="V297" s="58"/>
      <c r="W297" s="58"/>
      <c r="X297" s="58"/>
      <c r="Y297" s="58"/>
    </row>
    <row r="298" spans="1:25" ht="15.75" x14ac:dyDescent="0.25">
      <c r="A298" s="1233" t="s">
        <v>5533</v>
      </c>
      <c r="B298" s="2400" t="str">
        <f>IF(H503=1,"естественная влажность","обводнены")</f>
        <v>обводнены</v>
      </c>
      <c r="C298" s="217"/>
      <c r="D298" s="217"/>
      <c r="E298" s="217"/>
      <c r="F298" s="217"/>
      <c r="H298" s="1225"/>
      <c r="I298" s="199"/>
      <c r="J298" s="548"/>
      <c r="K298" s="199"/>
      <c r="L298" s="199"/>
      <c r="M298" s="199"/>
      <c r="N298" s="199"/>
      <c r="O298" s="199"/>
      <c r="P298" s="199"/>
      <c r="Q298" s="199"/>
      <c r="R298" s="58"/>
      <c r="S298" s="58"/>
      <c r="T298" s="58"/>
      <c r="U298" s="58"/>
      <c r="V298" s="58"/>
      <c r="W298" s="58"/>
      <c r="X298" s="58"/>
      <c r="Y298" s="58"/>
    </row>
    <row r="299" spans="1:25" ht="15.75" x14ac:dyDescent="0.25">
      <c r="A299" s="1233" t="s">
        <v>286</v>
      </c>
      <c r="B299" s="2400" t="str">
        <f>H504</f>
        <v/>
      </c>
      <c r="C299" s="217"/>
      <c r="D299" s="217"/>
      <c r="E299" s="217"/>
      <c r="F299" s="217"/>
      <c r="G299" s="217"/>
      <c r="I299" s="199"/>
      <c r="J299" s="548"/>
      <c r="K299" s="199"/>
      <c r="L299" s="199"/>
      <c r="M299" s="199"/>
      <c r="N299" s="199"/>
      <c r="O299" s="199"/>
      <c r="P299" s="199"/>
      <c r="Q299" s="199"/>
      <c r="R299" s="58"/>
      <c r="S299" s="58"/>
      <c r="T299" s="58"/>
      <c r="U299" s="58"/>
      <c r="V299" s="58"/>
      <c r="W299" s="58"/>
      <c r="X299" s="58"/>
      <c r="Y299" s="58"/>
    </row>
    <row r="300" spans="1:25" ht="15.75" x14ac:dyDescent="0.25">
      <c r="A300" s="1233" t="s">
        <v>2618</v>
      </c>
      <c r="B300" s="2400" t="b">
        <f>IF(H505=1,"А1",IF(H505=2,"А1 с периодическими осадками",IF(H505=3,"А3")))</f>
        <v>0</v>
      </c>
      <c r="C300" s="217"/>
      <c r="D300" s="217"/>
      <c r="E300" s="217"/>
      <c r="F300" s="217"/>
      <c r="H300" s="1225"/>
      <c r="I300" s="199"/>
      <c r="J300" s="548"/>
      <c r="K300" s="199"/>
      <c r="L300" s="199"/>
      <c r="M300" s="199"/>
      <c r="N300" s="199"/>
      <c r="O300" s="199"/>
      <c r="P300" s="199"/>
      <c r="Q300" s="199"/>
      <c r="R300" s="58"/>
      <c r="S300" s="58"/>
      <c r="T300" s="58"/>
      <c r="U300" s="58"/>
      <c r="V300" s="58"/>
      <c r="W300" s="58"/>
      <c r="X300" s="58"/>
      <c r="Y300" s="58"/>
    </row>
    <row r="301" spans="1:25" ht="15.75" x14ac:dyDescent="0.25">
      <c r="A301" s="1233" t="s">
        <v>287</v>
      </c>
      <c r="B301" s="2400" t="b">
        <f>H506</f>
        <v>0</v>
      </c>
      <c r="C301" s="217"/>
      <c r="D301" s="217"/>
      <c r="E301" s="217"/>
      <c r="F301" s="217"/>
      <c r="G301" s="217"/>
      <c r="I301" s="199"/>
      <c r="J301" s="199"/>
      <c r="K301" s="199"/>
      <c r="L301" s="199"/>
      <c r="M301" s="199"/>
      <c r="N301" s="199"/>
      <c r="O301" s="199"/>
      <c r="P301" s="199"/>
      <c r="Q301" s="199"/>
      <c r="R301" s="58"/>
      <c r="S301" s="58"/>
      <c r="T301" s="58"/>
      <c r="U301" s="58"/>
      <c r="V301" s="58"/>
      <c r="W301" s="58"/>
      <c r="X301" s="58"/>
      <c r="Y301" s="58"/>
    </row>
    <row r="302" spans="1:25" ht="31.5" x14ac:dyDescent="0.25">
      <c r="A302" s="1233" t="s">
        <v>3668</v>
      </c>
      <c r="B302" s="2400" t="str">
        <f>H507</f>
        <v/>
      </c>
      <c r="C302" s="217"/>
      <c r="D302" s="217"/>
      <c r="E302" s="217"/>
      <c r="F302" s="217"/>
      <c r="G302" s="217"/>
      <c r="I302" s="199"/>
      <c r="J302" s="199"/>
      <c r="K302" s="199"/>
      <c r="L302" s="199"/>
      <c r="M302" s="199"/>
      <c r="N302" s="199"/>
      <c r="O302" s="199"/>
      <c r="P302" s="199"/>
      <c r="Q302" s="199"/>
      <c r="R302" s="58"/>
      <c r="S302" s="58"/>
      <c r="T302" s="58"/>
      <c r="U302" s="58"/>
      <c r="V302" s="58"/>
      <c r="W302" s="58"/>
      <c r="X302" s="58"/>
      <c r="Y302" s="58"/>
    </row>
    <row r="303" spans="1:25" ht="31.5" x14ac:dyDescent="0.25">
      <c r="A303" s="1233" t="s">
        <v>2011</v>
      </c>
      <c r="B303" s="2400" t="str">
        <f>H508</f>
        <v/>
      </c>
      <c r="C303" s="217"/>
      <c r="D303" s="217"/>
      <c r="E303" s="217"/>
      <c r="F303" s="217"/>
      <c r="G303" s="217"/>
      <c r="I303" s="199"/>
      <c r="J303" s="199"/>
      <c r="K303" s="199"/>
      <c r="L303" s="199"/>
      <c r="M303" s="199"/>
      <c r="N303" s="199"/>
      <c r="O303" s="199"/>
      <c r="P303" s="199"/>
      <c r="Q303" s="199"/>
      <c r="R303" s="58"/>
      <c r="S303" s="58"/>
      <c r="T303" s="58"/>
      <c r="U303" s="58"/>
      <c r="V303" s="58"/>
      <c r="W303" s="58"/>
      <c r="X303" s="58"/>
      <c r="Y303" s="58"/>
    </row>
    <row r="304" spans="1:25" ht="15" x14ac:dyDescent="0.25">
      <c r="C304" s="217"/>
      <c r="D304" s="217"/>
      <c r="E304" s="217"/>
      <c r="F304" s="217"/>
      <c r="H304" s="1232"/>
      <c r="I304" s="199"/>
      <c r="J304" s="199"/>
      <c r="K304" s="199"/>
      <c r="L304" s="199"/>
      <c r="M304" s="199"/>
      <c r="N304" s="199"/>
      <c r="O304" s="199"/>
      <c r="P304" s="199"/>
      <c r="Q304" s="199"/>
      <c r="R304" s="58"/>
      <c r="S304" s="58"/>
      <c r="T304" s="58"/>
      <c r="U304" s="58"/>
      <c r="V304" s="58"/>
      <c r="W304" s="58"/>
      <c r="X304" s="58"/>
      <c r="Y304" s="58"/>
    </row>
    <row r="305" spans="1:25" ht="15.75" x14ac:dyDescent="0.25">
      <c r="A305" s="1233" t="s">
        <v>5318</v>
      </c>
      <c r="B305" s="2400" t="e">
        <f>H510</f>
        <v>#VALUE!</v>
      </c>
      <c r="C305" s="217"/>
      <c r="D305" s="217"/>
      <c r="E305" s="217"/>
      <c r="F305" s="217"/>
      <c r="G305" s="217"/>
      <c r="I305" s="199"/>
      <c r="J305" s="199"/>
      <c r="K305" s="199"/>
      <c r="L305" s="199"/>
      <c r="M305" s="199"/>
      <c r="N305" s="199"/>
      <c r="O305" s="199"/>
      <c r="P305" s="199"/>
      <c r="Q305" s="199"/>
      <c r="R305" s="58"/>
      <c r="S305" s="58"/>
      <c r="T305" s="58"/>
      <c r="U305" s="58"/>
      <c r="V305" s="58"/>
      <c r="W305" s="58"/>
      <c r="X305" s="58"/>
      <c r="Y305" s="58"/>
    </row>
    <row r="306" spans="1:25" ht="15.75" x14ac:dyDescent="0.25">
      <c r="A306" s="1233" t="s">
        <v>2982</v>
      </c>
      <c r="B306" s="2400">
        <f>H459</f>
        <v>23</v>
      </c>
      <c r="C306" s="217"/>
      <c r="D306" s="2408"/>
      <c r="E306" s="217"/>
      <c r="F306" s="217"/>
      <c r="G306" s="217"/>
      <c r="I306" s="199"/>
      <c r="J306" s="199"/>
      <c r="K306" s="199"/>
      <c r="L306" s="199"/>
      <c r="M306" s="199"/>
      <c r="N306" s="199"/>
      <c r="O306" s="199"/>
      <c r="P306" s="199"/>
      <c r="Q306" s="199"/>
      <c r="R306" s="58"/>
      <c r="S306" s="58"/>
      <c r="T306" s="58"/>
      <c r="U306" s="58"/>
      <c r="V306" s="58"/>
      <c r="W306" s="58"/>
      <c r="X306" s="58"/>
      <c r="Y306" s="58"/>
    </row>
    <row r="307" spans="1:25" ht="30" x14ac:dyDescent="0.25">
      <c r="A307" s="1248" t="s">
        <v>4368</v>
      </c>
      <c r="B307" s="2378"/>
      <c r="C307" s="217"/>
      <c r="D307" s="217"/>
      <c r="E307" s="217"/>
      <c r="F307" s="217"/>
      <c r="G307" s="217"/>
      <c r="I307" s="199"/>
      <c r="J307" s="199"/>
      <c r="K307" s="199"/>
      <c r="L307" s="199"/>
      <c r="M307" s="199"/>
      <c r="N307" s="199"/>
      <c r="O307" s="199"/>
      <c r="P307" s="199"/>
      <c r="Q307" s="199"/>
      <c r="R307" s="58"/>
      <c r="S307" s="58"/>
      <c r="T307" s="58"/>
      <c r="U307" s="58"/>
      <c r="V307" s="58"/>
      <c r="W307" s="58"/>
      <c r="X307" s="58"/>
      <c r="Y307" s="58"/>
    </row>
    <row r="308" spans="1:25" ht="15" x14ac:dyDescent="0.25">
      <c r="C308" s="217"/>
      <c r="D308" s="217"/>
      <c r="E308" s="217"/>
      <c r="F308" s="217"/>
      <c r="G308" s="217"/>
      <c r="I308" s="199"/>
      <c r="J308" s="199"/>
      <c r="K308" s="199"/>
      <c r="L308" s="199"/>
      <c r="M308" s="199"/>
      <c r="N308" s="199"/>
      <c r="O308" s="199"/>
      <c r="P308" s="199"/>
      <c r="Q308" s="199"/>
      <c r="R308" s="58"/>
      <c r="S308" s="58"/>
      <c r="T308" s="58"/>
      <c r="U308" s="58"/>
      <c r="V308" s="58"/>
      <c r="W308" s="58"/>
      <c r="X308" s="58"/>
      <c r="Y308" s="58"/>
    </row>
    <row r="309" spans="1:25" ht="15" x14ac:dyDescent="0.25">
      <c r="A309" s="1228" t="s">
        <v>289</v>
      </c>
      <c r="B309" s="2400" t="b">
        <f>IF(H463=0,"по простиранию",IF(H463=1,"по восстанию",IF(H463=2,"по падению")))</f>
        <v>0</v>
      </c>
      <c r="C309" s="217"/>
      <c r="D309" s="217"/>
      <c r="E309" s="217"/>
      <c r="F309" s="217"/>
      <c r="H309" s="1232"/>
      <c r="I309" s="199"/>
      <c r="J309" s="199"/>
      <c r="K309" s="199"/>
      <c r="L309" s="199"/>
      <c r="M309" s="199"/>
      <c r="N309" s="199"/>
      <c r="O309" s="199"/>
      <c r="P309" s="199"/>
      <c r="Q309" s="199"/>
      <c r="R309" s="58"/>
      <c r="S309" s="58"/>
      <c r="T309" s="58"/>
      <c r="U309" s="58"/>
      <c r="V309" s="58"/>
      <c r="W309" s="58"/>
      <c r="X309" s="58"/>
      <c r="Y309" s="58"/>
    </row>
    <row r="310" spans="1:25" ht="15" x14ac:dyDescent="0.25">
      <c r="C310" s="217"/>
      <c r="D310" s="217"/>
      <c r="E310" s="217"/>
      <c r="F310" s="217"/>
      <c r="G310" s="217"/>
      <c r="I310" s="199"/>
      <c r="J310" s="199"/>
      <c r="K310" s="199"/>
      <c r="L310" s="199"/>
      <c r="M310" s="199"/>
      <c r="N310" s="199"/>
      <c r="O310" s="199"/>
      <c r="P310" s="199"/>
      <c r="Q310" s="199"/>
      <c r="R310" s="58"/>
      <c r="S310" s="58"/>
      <c r="T310" s="58"/>
      <c r="U310" s="58"/>
      <c r="V310" s="58"/>
      <c r="W310" s="58"/>
      <c r="X310" s="58"/>
      <c r="Y310" s="58"/>
    </row>
    <row r="311" spans="1:25" ht="15" x14ac:dyDescent="0.25">
      <c r="C311" s="217"/>
      <c r="D311" s="217"/>
      <c r="E311" s="217"/>
      <c r="F311" s="217"/>
      <c r="G311" s="217"/>
      <c r="I311" s="199"/>
      <c r="J311" s="199"/>
      <c r="K311" s="199"/>
      <c r="L311" s="199"/>
      <c r="M311" s="199"/>
      <c r="N311" s="199"/>
      <c r="O311" s="199"/>
      <c r="P311" s="199"/>
      <c r="Q311" s="199"/>
      <c r="R311" s="58"/>
      <c r="S311" s="58"/>
      <c r="T311" s="58"/>
      <c r="U311" s="58"/>
      <c r="V311" s="58"/>
      <c r="W311" s="58"/>
      <c r="X311" s="58"/>
      <c r="Y311" s="58"/>
    </row>
    <row r="312" spans="1:25" ht="15" x14ac:dyDescent="0.25">
      <c r="C312" s="217"/>
      <c r="D312" s="217"/>
      <c r="E312" s="217"/>
      <c r="F312" s="217"/>
      <c r="G312" s="217"/>
      <c r="I312" s="199"/>
      <c r="J312" s="199"/>
      <c r="K312" s="199"/>
      <c r="L312" s="199"/>
      <c r="M312" s="199"/>
      <c r="N312" s="199"/>
      <c r="O312" s="199"/>
      <c r="P312" s="199"/>
      <c r="Q312" s="199"/>
      <c r="R312" s="58"/>
      <c r="S312" s="58"/>
      <c r="T312" s="58"/>
      <c r="U312" s="58"/>
      <c r="V312" s="58"/>
      <c r="W312" s="58"/>
      <c r="X312" s="58"/>
      <c r="Y312" s="58"/>
    </row>
    <row r="313" spans="1:25" ht="15" x14ac:dyDescent="0.25">
      <c r="C313" s="217"/>
      <c r="D313" s="217"/>
      <c r="E313" s="217"/>
      <c r="F313" s="217"/>
      <c r="G313" s="217"/>
      <c r="I313" s="199"/>
      <c r="J313" s="199"/>
      <c r="K313" s="199"/>
      <c r="L313" s="199"/>
      <c r="M313" s="199"/>
      <c r="N313" s="199"/>
      <c r="O313" s="199"/>
      <c r="P313" s="199"/>
      <c r="Q313" s="199"/>
      <c r="R313" s="58"/>
      <c r="S313" s="58"/>
      <c r="T313" s="58"/>
      <c r="U313" s="58"/>
      <c r="V313" s="58"/>
      <c r="W313" s="58"/>
      <c r="X313" s="58"/>
      <c r="Y313" s="58"/>
    </row>
    <row r="314" spans="1:25" ht="15" x14ac:dyDescent="0.25">
      <c r="C314" s="217"/>
      <c r="D314" s="217"/>
      <c r="E314" s="217"/>
      <c r="F314" s="217"/>
      <c r="G314" s="217"/>
      <c r="I314" s="199"/>
      <c r="J314" s="199"/>
      <c r="K314" s="199"/>
      <c r="L314" s="199"/>
      <c r="M314" s="199"/>
      <c r="N314" s="199"/>
      <c r="O314" s="199"/>
      <c r="P314" s="199"/>
      <c r="Q314" s="199"/>
      <c r="R314" s="58"/>
      <c r="S314" s="58"/>
      <c r="T314" s="58"/>
      <c r="U314" s="58"/>
      <c r="V314" s="58"/>
      <c r="W314" s="58"/>
      <c r="X314" s="58"/>
      <c r="Y314" s="58"/>
    </row>
    <row r="315" spans="1:25" ht="26.25" x14ac:dyDescent="0.25">
      <c r="A315" s="1249" t="s">
        <v>2881</v>
      </c>
      <c r="B315" s="2378"/>
      <c r="C315" s="1237"/>
      <c r="D315" s="1237"/>
      <c r="E315" s="1237"/>
      <c r="F315" s="1237"/>
      <c r="G315" s="1237"/>
      <c r="H315" s="1237"/>
      <c r="I315" s="199"/>
      <c r="J315" s="199"/>
      <c r="K315" s="199"/>
      <c r="L315" s="199"/>
      <c r="M315" s="199"/>
      <c r="N315" s="199"/>
      <c r="O315" s="199"/>
      <c r="P315" s="199"/>
      <c r="Q315" s="199"/>
      <c r="R315" s="58"/>
      <c r="S315" s="58"/>
      <c r="T315" s="58"/>
      <c r="U315" s="58"/>
      <c r="V315" s="58"/>
      <c r="W315" s="58"/>
      <c r="X315" s="58"/>
      <c r="Y315" s="58"/>
    </row>
    <row r="316" spans="1:25" ht="15" x14ac:dyDescent="0.25">
      <c r="A316" s="1227" t="s">
        <v>4120</v>
      </c>
      <c r="B316" s="2378"/>
      <c r="C316" s="217"/>
      <c r="D316" s="217"/>
      <c r="E316" s="217"/>
      <c r="F316" s="217"/>
      <c r="G316" s="217"/>
      <c r="H316" s="1228"/>
      <c r="I316" s="199"/>
      <c r="J316" s="199"/>
      <c r="K316" s="199"/>
      <c r="L316" s="199"/>
      <c r="M316" s="199"/>
      <c r="N316" s="199"/>
      <c r="O316" s="199"/>
      <c r="P316" s="199"/>
      <c r="Q316" s="199"/>
      <c r="R316" s="58"/>
      <c r="S316" s="58"/>
      <c r="T316" s="58"/>
      <c r="U316" s="58"/>
      <c r="V316" s="58"/>
      <c r="W316" s="58"/>
      <c r="X316" s="58"/>
      <c r="Y316" s="58"/>
    </row>
    <row r="317" spans="1:25" ht="15" x14ac:dyDescent="0.25">
      <c r="A317" s="1228" t="s">
        <v>292</v>
      </c>
      <c r="B317" s="2400" t="str">
        <f>IF(H444=1,"Да","Нет")</f>
        <v>Нет</v>
      </c>
      <c r="C317" s="217"/>
      <c r="D317" s="217"/>
      <c r="E317" s="217"/>
      <c r="F317" s="217"/>
      <c r="G317" s="217"/>
      <c r="I317" s="199"/>
      <c r="J317" s="199"/>
      <c r="K317" s="199"/>
      <c r="L317" s="199"/>
      <c r="M317" s="199"/>
      <c r="N317" s="199"/>
      <c r="O317" s="199"/>
      <c r="P317" s="199"/>
      <c r="Q317" s="199"/>
      <c r="R317" s="58"/>
      <c r="S317" s="58"/>
      <c r="T317" s="58"/>
      <c r="U317" s="58"/>
      <c r="V317" s="58"/>
      <c r="W317" s="58"/>
      <c r="X317" s="58"/>
      <c r="Y317" s="58"/>
    </row>
    <row r="318" spans="1:25" ht="15" x14ac:dyDescent="0.25">
      <c r="A318" s="1228" t="s">
        <v>293</v>
      </c>
      <c r="B318" s="2400" t="str">
        <f>IF(H511=1,"Да","Нет")</f>
        <v>Да</v>
      </c>
      <c r="C318" s="217"/>
      <c r="D318" s="217"/>
      <c r="E318" s="217"/>
      <c r="F318" s="217"/>
      <c r="G318" s="217"/>
      <c r="I318" s="199"/>
      <c r="J318" s="199"/>
      <c r="K318" s="199"/>
      <c r="L318" s="199"/>
      <c r="M318" s="199"/>
      <c r="N318" s="199"/>
      <c r="O318" s="199"/>
      <c r="P318" s="199"/>
      <c r="Q318" s="199"/>
      <c r="R318" s="58"/>
      <c r="S318" s="58"/>
      <c r="T318" s="58"/>
      <c r="U318" s="58"/>
      <c r="V318" s="58"/>
      <c r="W318" s="58"/>
      <c r="X318" s="58"/>
      <c r="Y318" s="58"/>
    </row>
    <row r="319" spans="1:25" ht="15" x14ac:dyDescent="0.25">
      <c r="A319" s="1228" t="s">
        <v>3203</v>
      </c>
      <c r="B319" s="2400" t="str">
        <f>IF(H512=0,"Нет","Да")</f>
        <v>Нет</v>
      </c>
      <c r="C319" s="217"/>
      <c r="D319" s="217"/>
      <c r="E319" s="217"/>
      <c r="F319" s="217"/>
      <c r="G319" s="217"/>
      <c r="I319" s="199"/>
      <c r="J319" s="199"/>
      <c r="K319" s="199"/>
      <c r="L319" s="199"/>
      <c r="M319" s="199"/>
      <c r="N319" s="199"/>
      <c r="O319" s="199"/>
      <c r="P319" s="199"/>
      <c r="Q319" s="199"/>
      <c r="R319" s="58"/>
      <c r="S319" s="58"/>
      <c r="T319" s="58"/>
      <c r="U319" s="58"/>
      <c r="V319" s="58"/>
      <c r="W319" s="58"/>
      <c r="X319" s="58"/>
      <c r="Y319" s="58"/>
    </row>
    <row r="320" spans="1:25" ht="15" x14ac:dyDescent="0.25">
      <c r="A320" s="1228" t="s">
        <v>3204</v>
      </c>
      <c r="B320" s="2400" t="e">
        <f>IF(H513=0,"Нет","Да")</f>
        <v>#VALUE!</v>
      </c>
      <c r="C320" s="217"/>
      <c r="D320" s="217"/>
      <c r="E320" s="217"/>
      <c r="F320" s="217"/>
      <c r="G320" s="217"/>
      <c r="I320" s="199"/>
      <c r="J320" s="199"/>
      <c r="K320" s="199"/>
      <c r="L320" s="199"/>
      <c r="M320" s="199"/>
      <c r="N320" s="199"/>
      <c r="O320" s="199"/>
      <c r="P320" s="199"/>
      <c r="Q320" s="199"/>
      <c r="R320" s="58"/>
      <c r="S320" s="58"/>
      <c r="T320" s="58"/>
      <c r="U320" s="58"/>
      <c r="V320" s="58"/>
      <c r="W320" s="58"/>
      <c r="X320" s="58"/>
      <c r="Y320" s="58"/>
    </row>
    <row r="321" spans="1:25" ht="30" x14ac:dyDescent="0.25">
      <c r="A321" s="1228" t="s">
        <v>3205</v>
      </c>
      <c r="B321" s="2400" t="str">
        <f>IF(H514=1,"Да","Нет")</f>
        <v>Нет</v>
      </c>
      <c r="C321" s="217"/>
      <c r="D321" s="217"/>
      <c r="E321" s="217"/>
      <c r="F321" s="217"/>
      <c r="G321" s="217"/>
      <c r="I321" s="199"/>
      <c r="J321" s="199"/>
      <c r="K321" s="199"/>
      <c r="L321" s="199"/>
      <c r="M321" s="199"/>
      <c r="N321" s="199"/>
      <c r="O321" s="199"/>
      <c r="P321" s="199"/>
      <c r="Q321" s="199"/>
      <c r="R321" s="58"/>
      <c r="S321" s="58"/>
      <c r="T321" s="58"/>
      <c r="U321" s="58"/>
      <c r="V321" s="58"/>
      <c r="W321" s="58"/>
      <c r="X321" s="58"/>
      <c r="Y321" s="58"/>
    </row>
    <row r="322" spans="1:25" ht="15" x14ac:dyDescent="0.25">
      <c r="A322" s="1228" t="s">
        <v>1545</v>
      </c>
      <c r="B322" s="2400" t="str">
        <f>IF(H515=0,"Нет","Да")</f>
        <v>Нет</v>
      </c>
      <c r="C322" s="217"/>
      <c r="D322" s="217"/>
      <c r="E322" s="217"/>
      <c r="F322" s="217"/>
      <c r="G322" s="217"/>
      <c r="I322" s="199"/>
      <c r="J322" s="199"/>
      <c r="K322" s="199"/>
      <c r="L322" s="199"/>
      <c r="M322" s="199"/>
      <c r="N322" s="199"/>
      <c r="O322" s="199"/>
      <c r="P322" s="199"/>
      <c r="Q322" s="199"/>
      <c r="R322" s="58"/>
      <c r="S322" s="58"/>
      <c r="T322" s="58"/>
      <c r="U322" s="58"/>
      <c r="V322" s="58"/>
      <c r="W322" s="58"/>
      <c r="X322" s="58"/>
      <c r="Y322" s="58"/>
    </row>
    <row r="323" spans="1:25" ht="30" x14ac:dyDescent="0.25">
      <c r="A323" s="1228" t="s">
        <v>1546</v>
      </c>
      <c r="B323" s="2400" t="str">
        <f>IF(H445=0,"Да","Нет")</f>
        <v>Да</v>
      </c>
      <c r="C323" s="217"/>
      <c r="D323" s="217"/>
      <c r="E323" s="217"/>
      <c r="F323" s="217"/>
      <c r="G323" s="217"/>
      <c r="I323" s="199"/>
      <c r="J323" s="199"/>
      <c r="K323" s="199"/>
      <c r="L323" s="199"/>
      <c r="M323" s="199"/>
      <c r="N323" s="199"/>
      <c r="O323" s="199"/>
      <c r="P323" s="199"/>
      <c r="Q323" s="199"/>
      <c r="R323" s="58"/>
      <c r="S323" s="58"/>
      <c r="T323" s="58"/>
      <c r="U323" s="58"/>
      <c r="V323" s="58"/>
      <c r="W323" s="58"/>
      <c r="X323" s="58"/>
      <c r="Y323" s="58"/>
    </row>
    <row r="324" spans="1:25" ht="15" x14ac:dyDescent="0.25">
      <c r="A324" s="1228" t="s">
        <v>1547</v>
      </c>
      <c r="B324" s="2400" t="str">
        <f>IF(H446=0,"Да","Нет")</f>
        <v>Да</v>
      </c>
      <c r="C324" s="217"/>
      <c r="D324" s="217"/>
      <c r="E324" s="217"/>
      <c r="F324" s="217"/>
      <c r="G324" s="217"/>
      <c r="I324" s="199"/>
      <c r="J324" s="199"/>
      <c r="K324" s="199"/>
      <c r="L324" s="199"/>
      <c r="M324" s="199"/>
      <c r="N324" s="199"/>
      <c r="O324" s="199"/>
      <c r="P324" s="199"/>
      <c r="Q324" s="199"/>
      <c r="R324" s="58"/>
      <c r="S324" s="58"/>
      <c r="T324" s="58"/>
      <c r="U324" s="58"/>
      <c r="V324" s="58"/>
      <c r="W324" s="58"/>
      <c r="X324" s="58"/>
      <c r="Y324" s="58"/>
    </row>
    <row r="325" spans="1:25" ht="15" x14ac:dyDescent="0.25">
      <c r="A325" s="1250" t="s">
        <v>1548</v>
      </c>
      <c r="B325" s="2378"/>
      <c r="C325" s="217"/>
      <c r="D325" s="217"/>
      <c r="E325" s="217"/>
      <c r="F325" s="217"/>
      <c r="G325" s="217"/>
      <c r="I325" s="199"/>
      <c r="J325" s="199"/>
      <c r="K325" s="199"/>
      <c r="L325" s="199"/>
      <c r="M325" s="199"/>
      <c r="N325" s="199"/>
      <c r="O325" s="199"/>
      <c r="P325" s="199"/>
      <c r="Q325" s="199"/>
      <c r="R325" s="58"/>
      <c r="S325" s="58"/>
      <c r="T325" s="58"/>
      <c r="U325" s="58"/>
      <c r="V325" s="58"/>
      <c r="W325" s="58"/>
      <c r="X325" s="58"/>
      <c r="Y325" s="58"/>
    </row>
    <row r="326" spans="1:25" ht="15" x14ac:dyDescent="0.25">
      <c r="A326" s="1228" t="s">
        <v>1554</v>
      </c>
      <c r="B326" s="2400" t="str">
        <f>IF(H448=1,"Да","Нет")</f>
        <v>Нет</v>
      </c>
      <c r="C326" s="217"/>
      <c r="D326" s="217"/>
      <c r="E326" s="217"/>
      <c r="F326" s="217"/>
      <c r="G326" s="217"/>
      <c r="I326" s="199"/>
      <c r="J326" s="199"/>
      <c r="K326" s="199"/>
      <c r="L326" s="199"/>
      <c r="M326" s="199"/>
      <c r="N326" s="199"/>
      <c r="O326" s="199"/>
      <c r="P326" s="199"/>
      <c r="Q326" s="199"/>
      <c r="R326" s="58"/>
      <c r="S326" s="58"/>
      <c r="T326" s="58"/>
      <c r="U326" s="58"/>
      <c r="V326" s="58"/>
      <c r="W326" s="58"/>
      <c r="X326" s="58"/>
      <c r="Y326" s="58"/>
    </row>
    <row r="327" spans="1:25" ht="15" x14ac:dyDescent="0.25">
      <c r="A327" s="1228" t="s">
        <v>293</v>
      </c>
      <c r="B327" s="2400" t="str">
        <f>IF(H516=1,"Да","Нет")</f>
        <v>Да</v>
      </c>
      <c r="C327" s="217"/>
      <c r="D327" s="217"/>
      <c r="E327" s="217"/>
      <c r="F327" s="217"/>
      <c r="G327" s="217"/>
      <c r="I327" s="199"/>
      <c r="J327" s="199"/>
      <c r="K327" s="199"/>
      <c r="L327" s="199"/>
      <c r="M327" s="199"/>
      <c r="N327" s="199"/>
      <c r="O327" s="199"/>
      <c r="P327" s="199"/>
      <c r="Q327" s="199"/>
      <c r="R327" s="58"/>
      <c r="S327" s="58"/>
      <c r="T327" s="58"/>
      <c r="U327" s="58"/>
      <c r="V327" s="58"/>
      <c r="W327" s="58"/>
      <c r="X327" s="58"/>
      <c r="Y327" s="58"/>
    </row>
    <row r="328" spans="1:25" ht="15" x14ac:dyDescent="0.25">
      <c r="A328" s="1228" t="s">
        <v>3203</v>
      </c>
      <c r="B328" s="2400" t="e">
        <f>IF(H517=1,"Да","Нет")</f>
        <v>#VALUE!</v>
      </c>
      <c r="C328" s="217"/>
      <c r="D328" s="217"/>
      <c r="E328" s="217"/>
      <c r="F328" s="217"/>
      <c r="G328" s="217"/>
      <c r="I328" s="199"/>
      <c r="J328" s="199"/>
      <c r="K328" s="199"/>
      <c r="L328" s="199"/>
      <c r="M328" s="199"/>
      <c r="N328" s="199"/>
      <c r="O328" s="199"/>
      <c r="P328" s="199"/>
      <c r="Q328" s="199"/>
      <c r="R328" s="58"/>
      <c r="S328" s="58"/>
      <c r="T328" s="58"/>
      <c r="U328" s="58"/>
      <c r="V328" s="58"/>
      <c r="W328" s="58"/>
      <c r="X328" s="58"/>
      <c r="Y328" s="58"/>
    </row>
    <row r="329" spans="1:25" ht="15" x14ac:dyDescent="0.25">
      <c r="A329" s="1228" t="s">
        <v>3204</v>
      </c>
      <c r="B329" s="2400" t="e">
        <f>IF(H518=1,"Да","Нет")</f>
        <v>#VALUE!</v>
      </c>
      <c r="C329" s="217"/>
      <c r="D329" s="217"/>
      <c r="E329" s="217"/>
      <c r="F329" s="217"/>
      <c r="G329" s="217"/>
      <c r="I329" s="199"/>
      <c r="J329" s="199"/>
      <c r="K329" s="199"/>
      <c r="L329" s="199"/>
      <c r="M329" s="199"/>
      <c r="N329" s="199"/>
      <c r="O329" s="199"/>
      <c r="P329" s="199"/>
      <c r="Q329" s="199"/>
      <c r="R329" s="58"/>
      <c r="S329" s="58"/>
      <c r="T329" s="58"/>
      <c r="U329" s="58"/>
      <c r="V329" s="58"/>
      <c r="W329" s="58"/>
      <c r="X329" s="58"/>
      <c r="Y329" s="58"/>
    </row>
    <row r="330" spans="1:25" ht="30" x14ac:dyDescent="0.25">
      <c r="A330" s="1228" t="s">
        <v>1560</v>
      </c>
      <c r="B330" s="2400" t="str">
        <f>IF(H519=1,"Да","Нет")</f>
        <v>Нет</v>
      </c>
      <c r="C330" s="217"/>
      <c r="D330" s="217"/>
      <c r="E330" s="217"/>
      <c r="F330" s="217"/>
      <c r="G330" s="217"/>
      <c r="I330" s="547"/>
      <c r="J330" s="547"/>
      <c r="K330" s="547"/>
      <c r="L330" s="199"/>
      <c r="M330" s="199"/>
      <c r="N330" s="199"/>
      <c r="O330" s="199"/>
      <c r="P330" s="199"/>
      <c r="Q330" s="199"/>
      <c r="R330" s="58"/>
      <c r="S330" s="58"/>
      <c r="T330" s="58"/>
      <c r="U330" s="58"/>
      <c r="V330" s="58"/>
      <c r="W330" s="58"/>
      <c r="X330" s="58"/>
      <c r="Y330" s="58"/>
    </row>
    <row r="331" spans="1:25" ht="15" x14ac:dyDescent="0.25">
      <c r="A331" s="1228" t="s">
        <v>1561</v>
      </c>
      <c r="B331" s="2400" t="str">
        <f>IF(H520=1,"Да","Нет")</f>
        <v>Нет</v>
      </c>
      <c r="C331" s="217"/>
      <c r="D331" s="217"/>
      <c r="E331" s="217"/>
      <c r="F331" s="217"/>
      <c r="G331" s="217"/>
      <c r="I331" s="547"/>
      <c r="J331" s="547"/>
      <c r="K331" s="547"/>
      <c r="L331" s="199"/>
      <c r="M331" s="199"/>
      <c r="N331" s="199"/>
      <c r="O331" s="199"/>
      <c r="P331" s="199"/>
      <c r="Q331" s="199"/>
      <c r="R331" s="58"/>
      <c r="S331" s="58"/>
      <c r="T331" s="58"/>
      <c r="U331" s="58"/>
      <c r="V331" s="58"/>
      <c r="W331" s="58"/>
      <c r="X331" s="58"/>
      <c r="Y331" s="58"/>
    </row>
    <row r="332" spans="1:25" ht="30" x14ac:dyDescent="0.25">
      <c r="A332" s="1228" t="s">
        <v>2149</v>
      </c>
      <c r="B332" s="2400" t="str">
        <f>IF(H449=0,"Да","Нет")</f>
        <v>Да</v>
      </c>
      <c r="C332" s="217"/>
      <c r="D332" s="217"/>
      <c r="E332" s="217"/>
      <c r="F332" s="217"/>
      <c r="G332" s="217"/>
      <c r="I332" s="547"/>
      <c r="J332" s="547"/>
      <c r="K332" s="547"/>
      <c r="L332" s="199"/>
      <c r="M332" s="199"/>
      <c r="N332" s="199"/>
      <c r="O332" s="199"/>
      <c r="P332" s="199"/>
      <c r="Q332" s="199"/>
      <c r="R332" s="58"/>
      <c r="S332" s="58"/>
      <c r="T332" s="58"/>
      <c r="U332" s="58"/>
      <c r="V332" s="58"/>
      <c r="W332" s="58"/>
      <c r="X332" s="58"/>
      <c r="Y332" s="58"/>
    </row>
    <row r="333" spans="1:25" ht="15" x14ac:dyDescent="0.25">
      <c r="A333" s="1228" t="s">
        <v>2150</v>
      </c>
      <c r="B333" s="2400" t="str">
        <f>IF(H450=0,"Да","Нет")</f>
        <v>Да</v>
      </c>
      <c r="C333" s="217"/>
      <c r="D333" s="217"/>
      <c r="E333" s="217"/>
      <c r="F333" s="217"/>
      <c r="G333" s="217"/>
      <c r="I333" s="547"/>
      <c r="J333" s="547"/>
      <c r="K333" s="547"/>
      <c r="L333" s="199"/>
      <c r="M333" s="199"/>
      <c r="N333" s="199"/>
      <c r="O333" s="199"/>
      <c r="P333" s="199"/>
      <c r="Q333" s="199"/>
      <c r="R333" s="58"/>
      <c r="S333" s="58"/>
      <c r="T333" s="58"/>
      <c r="U333" s="58"/>
      <c r="V333" s="58"/>
      <c r="W333" s="58"/>
      <c r="X333" s="58"/>
      <c r="Y333" s="58"/>
    </row>
    <row r="334" spans="1:25" ht="15" x14ac:dyDescent="0.25">
      <c r="A334" s="1251" t="s">
        <v>3864</v>
      </c>
      <c r="B334" s="2378"/>
      <c r="C334" s="1237"/>
      <c r="D334" s="1237"/>
      <c r="E334" s="1237"/>
      <c r="F334" s="1237"/>
      <c r="G334" s="1237"/>
      <c r="I334" s="199"/>
      <c r="J334" s="199"/>
      <c r="K334" s="199"/>
      <c r="L334" s="199"/>
      <c r="M334" s="199"/>
      <c r="N334" s="199"/>
      <c r="O334" s="199"/>
      <c r="P334" s="199"/>
      <c r="Q334" s="199"/>
      <c r="R334" s="58"/>
      <c r="S334" s="58"/>
      <c r="T334" s="58"/>
      <c r="U334" s="58"/>
      <c r="V334" s="58"/>
      <c r="W334" s="58"/>
      <c r="X334" s="58"/>
      <c r="Y334" s="58"/>
    </row>
    <row r="335" spans="1:25" ht="15" x14ac:dyDescent="0.25">
      <c r="C335" s="217"/>
      <c r="D335" s="217"/>
      <c r="E335" s="217"/>
      <c r="F335" s="217"/>
      <c r="G335" s="217"/>
      <c r="I335" s="199"/>
      <c r="J335" s="199"/>
      <c r="K335" s="199"/>
      <c r="L335" s="199"/>
      <c r="M335" s="199"/>
      <c r="N335" s="199"/>
      <c r="O335" s="199"/>
      <c r="P335" s="199"/>
      <c r="Q335" s="199"/>
      <c r="R335" s="58"/>
      <c r="S335" s="58"/>
      <c r="T335" s="58"/>
      <c r="U335" s="58"/>
      <c r="V335" s="58"/>
      <c r="W335" s="58"/>
      <c r="X335" s="58"/>
      <c r="Y335" s="58"/>
    </row>
    <row r="336" spans="1:25" ht="30" x14ac:dyDescent="0.25">
      <c r="A336" s="1228" t="s">
        <v>4377</v>
      </c>
      <c r="B336" s="2400">
        <f>H453</f>
        <v>1</v>
      </c>
      <c r="C336" s="217"/>
      <c r="D336" s="217"/>
      <c r="E336" s="217"/>
      <c r="F336" s="217"/>
      <c r="G336" s="217"/>
      <c r="I336" s="199"/>
      <c r="J336" s="199"/>
      <c r="K336" s="199"/>
      <c r="L336" s="199"/>
      <c r="M336" s="199"/>
      <c r="N336" s="199"/>
      <c r="O336" s="199"/>
      <c r="P336" s="199"/>
      <c r="Q336" s="199"/>
      <c r="R336" s="58"/>
      <c r="S336" s="58"/>
      <c r="T336" s="58"/>
      <c r="U336" s="58"/>
      <c r="V336" s="58"/>
      <c r="W336" s="58"/>
      <c r="X336" s="58"/>
      <c r="Y336" s="58"/>
    </row>
    <row r="337" spans="1:25" ht="15" x14ac:dyDescent="0.25">
      <c r="A337" s="1228" t="s">
        <v>2151</v>
      </c>
      <c r="B337" s="2400" t="str">
        <f>IF(H454=1,"легкая",IF(H454=2,"средняя",IF(H454=3,"тяжелая")))</f>
        <v>легкая</v>
      </c>
      <c r="C337" s="217"/>
      <c r="D337" s="217"/>
      <c r="E337" s="217"/>
      <c r="F337" s="217"/>
      <c r="G337" s="217"/>
      <c r="I337" s="199"/>
      <c r="J337" s="199"/>
      <c r="K337" s="199"/>
      <c r="L337" s="199"/>
      <c r="M337" s="199"/>
      <c r="N337" s="199"/>
      <c r="O337" s="199"/>
      <c r="P337" s="199"/>
      <c r="Q337" s="199"/>
      <c r="R337" s="58"/>
      <c r="S337" s="58"/>
      <c r="T337" s="58"/>
      <c r="U337" s="58"/>
      <c r="V337" s="58"/>
      <c r="W337" s="58"/>
      <c r="X337" s="58"/>
      <c r="Y337" s="58"/>
    </row>
    <row r="338" spans="1:25" ht="15" x14ac:dyDescent="0.25">
      <c r="A338" s="1228" t="s">
        <v>2152</v>
      </c>
      <c r="B338" s="2400" t="str">
        <f>IF(H455=1,"вручную",IF(H455=2,"дробилка УНР4",IF(H455=3,"дробилка Д10",IF(H455=4,"дробилка Д20"))))</f>
        <v>дробилка УНР4</v>
      </c>
      <c r="C338" s="217"/>
      <c r="D338" s="217"/>
      <c r="E338" s="217"/>
      <c r="F338" s="217"/>
      <c r="H338" s="1225"/>
      <c r="I338" s="199"/>
      <c r="J338" s="199"/>
      <c r="K338" s="199"/>
      <c r="L338" s="199"/>
      <c r="M338" s="199"/>
      <c r="N338" s="199"/>
      <c r="O338" s="199"/>
      <c r="P338" s="199"/>
      <c r="Q338" s="199"/>
      <c r="R338" s="58"/>
      <c r="S338" s="58"/>
      <c r="T338" s="58"/>
      <c r="U338" s="58"/>
      <c r="V338" s="58"/>
      <c r="W338" s="58"/>
      <c r="X338" s="58"/>
      <c r="Y338" s="58"/>
    </row>
    <row r="339" spans="1:25" ht="30" x14ac:dyDescent="0.25">
      <c r="A339" s="1251" t="s">
        <v>1550</v>
      </c>
      <c r="B339" s="2378"/>
      <c r="C339" s="1237"/>
      <c r="D339" s="1237"/>
      <c r="E339" s="1237"/>
      <c r="F339" s="1237"/>
      <c r="G339" s="1237"/>
      <c r="H339" s="1237"/>
      <c r="I339" s="199"/>
      <c r="J339" s="199"/>
      <c r="K339" s="199"/>
      <c r="L339" s="199"/>
      <c r="M339" s="199"/>
      <c r="N339" s="199"/>
      <c r="O339" s="199"/>
      <c r="P339" s="199"/>
      <c r="Q339" s="199"/>
      <c r="R339" s="58"/>
      <c r="S339" s="58"/>
      <c r="T339" s="58"/>
      <c r="U339" s="58"/>
      <c r="V339" s="58"/>
      <c r="W339" s="58"/>
      <c r="X339" s="58"/>
      <c r="Y339" s="58"/>
    </row>
    <row r="340" spans="1:25" ht="15" x14ac:dyDescent="0.25">
      <c r="A340" s="1228" t="s">
        <v>3856</v>
      </c>
      <c r="B340" s="2400" t="str">
        <f>IF(H475="","нет",INDEX(B927:T927,H475))</f>
        <v>СПМ46</v>
      </c>
      <c r="C340" s="217"/>
      <c r="D340" s="217"/>
      <c r="E340" s="217"/>
      <c r="F340" s="217"/>
      <c r="G340" s="217"/>
      <c r="I340" s="199"/>
      <c r="J340" s="199"/>
      <c r="K340" s="199"/>
      <c r="L340" s="199"/>
      <c r="M340" s="199"/>
      <c r="N340" s="199"/>
      <c r="O340" s="199"/>
      <c r="P340" s="199"/>
      <c r="Q340" s="199"/>
      <c r="R340" s="58"/>
      <c r="S340" s="58"/>
      <c r="T340" s="58"/>
      <c r="U340" s="58"/>
      <c r="V340" s="58"/>
      <c r="W340" s="58"/>
      <c r="X340" s="58"/>
      <c r="Y340" s="58"/>
    </row>
    <row r="341" spans="1:25" ht="15" x14ac:dyDescent="0.25">
      <c r="A341" s="1228" t="s">
        <v>3857</v>
      </c>
      <c r="B341" s="2400" t="str">
        <f>IF(H476="","нет",INDEX(B927:T927,H476))</f>
        <v>нет</v>
      </c>
      <c r="C341" s="217"/>
      <c r="D341" s="217"/>
      <c r="E341" s="217"/>
      <c r="F341" s="217"/>
      <c r="G341" s="217"/>
      <c r="I341" s="199"/>
      <c r="J341" s="199"/>
      <c r="K341" s="199"/>
      <c r="L341" s="199"/>
      <c r="M341" s="199"/>
      <c r="N341" s="199"/>
      <c r="O341" s="199"/>
      <c r="P341" s="199"/>
      <c r="Q341" s="199"/>
      <c r="R341" s="58"/>
      <c r="S341" s="58"/>
      <c r="T341" s="58"/>
      <c r="U341" s="58"/>
      <c r="V341" s="58"/>
      <c r="W341" s="58"/>
      <c r="X341" s="58"/>
      <c r="Y341" s="58"/>
    </row>
    <row r="342" spans="1:25" ht="15" x14ac:dyDescent="0.25">
      <c r="A342" s="1228" t="s">
        <v>3858</v>
      </c>
      <c r="B342" s="2400" t="str">
        <f>IF(H477="","нет",INDEX(B927:T927,H477))</f>
        <v>нет</v>
      </c>
      <c r="C342" s="217"/>
      <c r="D342" s="217"/>
      <c r="E342" s="217"/>
      <c r="F342" s="217"/>
      <c r="G342" s="217"/>
      <c r="I342" s="199"/>
      <c r="J342" s="199"/>
      <c r="K342" s="199"/>
      <c r="L342" s="199"/>
      <c r="M342" s="199"/>
      <c r="N342" s="199"/>
      <c r="O342" s="199"/>
      <c r="P342" s="199"/>
      <c r="Q342" s="199"/>
      <c r="R342" s="58"/>
      <c r="S342" s="58"/>
      <c r="T342" s="58"/>
      <c r="U342" s="58"/>
      <c r="V342" s="58"/>
      <c r="W342" s="58"/>
      <c r="X342" s="58"/>
      <c r="Y342" s="58"/>
    </row>
    <row r="343" spans="1:25" ht="15" x14ac:dyDescent="0.25">
      <c r="A343" s="1228" t="s">
        <v>3859</v>
      </c>
      <c r="B343" s="2400" t="str">
        <f>IF(H478="","нет",INDEX(B927:T927,H478))</f>
        <v>нет</v>
      </c>
      <c r="C343" s="217"/>
      <c r="D343" s="217"/>
      <c r="E343" s="217"/>
      <c r="F343" s="217"/>
      <c r="G343" s="217"/>
      <c r="I343" s="199"/>
      <c r="J343" s="199"/>
      <c r="K343" s="199"/>
      <c r="L343" s="199"/>
      <c r="M343" s="199"/>
      <c r="N343" s="199"/>
      <c r="O343" s="199"/>
      <c r="P343" s="199"/>
      <c r="Q343" s="199"/>
      <c r="R343" s="58"/>
      <c r="S343" s="58"/>
      <c r="T343" s="58"/>
      <c r="U343" s="58"/>
      <c r="V343" s="58"/>
      <c r="W343" s="58"/>
      <c r="X343" s="58"/>
      <c r="Y343" s="58"/>
    </row>
    <row r="344" spans="1:25" ht="15" x14ac:dyDescent="0.25">
      <c r="A344" s="1228" t="s">
        <v>1551</v>
      </c>
      <c r="B344" s="2400" t="str">
        <f>IF(H479=0,"конвейерный","рельсовый")</f>
        <v>конвейерный</v>
      </c>
      <c r="C344" s="217"/>
      <c r="D344" s="217"/>
      <c r="E344" s="217"/>
      <c r="F344" s="217"/>
      <c r="G344" s="217"/>
      <c r="I344" s="199"/>
      <c r="J344" s="199"/>
      <c r="K344" s="199"/>
      <c r="L344" s="199"/>
      <c r="M344" s="199"/>
      <c r="N344" s="199"/>
      <c r="O344" s="199"/>
      <c r="P344" s="199"/>
      <c r="Q344" s="199"/>
      <c r="R344" s="58"/>
      <c r="S344" s="58"/>
      <c r="T344" s="58"/>
      <c r="U344" s="58"/>
      <c r="V344" s="58"/>
      <c r="W344" s="58"/>
      <c r="X344" s="58"/>
      <c r="Y344" s="58"/>
    </row>
    <row r="345" spans="1:25" ht="15" x14ac:dyDescent="0.25">
      <c r="A345" s="1228" t="str">
        <f>IF(H479=1,"-----------------------","Конвейер №1")</f>
        <v>Конвейер №1</v>
      </c>
      <c r="B345" s="2400" t="e">
        <f>IF(H479=1,"-----------------------",IF(H481="","нет",INDEX(C938:Q938,H481)))</f>
        <v>#VALUE!</v>
      </c>
      <c r="C345" s="217"/>
      <c r="D345" s="217"/>
      <c r="E345" s="217"/>
      <c r="F345" s="217"/>
      <c r="G345" s="217"/>
      <c r="I345" s="199"/>
      <c r="J345" s="199"/>
      <c r="K345" s="199"/>
      <c r="L345" s="199"/>
      <c r="M345" s="199"/>
      <c r="N345" s="199"/>
      <c r="O345" s="199"/>
      <c r="P345" s="199"/>
      <c r="Q345" s="199"/>
      <c r="R345" s="58"/>
      <c r="S345" s="58"/>
      <c r="T345" s="58"/>
      <c r="U345" s="58"/>
      <c r="V345" s="58"/>
      <c r="W345" s="58"/>
      <c r="X345" s="58"/>
      <c r="Y345" s="58"/>
    </row>
    <row r="346" spans="1:25" ht="15" x14ac:dyDescent="0.25">
      <c r="A346" s="1228" t="str">
        <f>IF(H479=1,"-----------------------","Конвейер №2")</f>
        <v>Конвейер №2</v>
      </c>
      <c r="B346" s="2400" t="e">
        <f>IF(H479=1,"-----------------------",IF(H483="","нет",INDEX(C938:Q938,H483)))</f>
        <v>#VALUE!</v>
      </c>
      <c r="C346" s="217"/>
      <c r="D346" s="217"/>
      <c r="E346" s="217"/>
      <c r="F346" s="217"/>
      <c r="G346" s="217"/>
      <c r="I346" s="199"/>
      <c r="J346" s="199"/>
      <c r="K346" s="199"/>
      <c r="L346" s="199"/>
      <c r="M346" s="199"/>
      <c r="N346" s="199"/>
      <c r="O346" s="199"/>
      <c r="P346" s="199"/>
      <c r="Q346" s="199"/>
      <c r="R346" s="58"/>
      <c r="S346" s="58"/>
      <c r="T346" s="58"/>
      <c r="U346" s="58"/>
      <c r="V346" s="58"/>
      <c r="W346" s="58"/>
      <c r="X346" s="58"/>
      <c r="Y346" s="58"/>
    </row>
    <row r="347" spans="1:25" ht="15" x14ac:dyDescent="0.25">
      <c r="A347" s="1228" t="str">
        <f>IF(H479=1,"-----------------------","Конвейер №3")</f>
        <v>Конвейер №3</v>
      </c>
      <c r="B347" s="2400" t="e">
        <f>IF(H479=1,"-----------------------",IF(H485="","нет",INDEX(C938:Q938,H485)))</f>
        <v>#VALUE!</v>
      </c>
      <c r="C347" s="217"/>
      <c r="D347" s="217"/>
      <c r="E347" s="217"/>
      <c r="F347" s="217"/>
      <c r="G347" s="217"/>
      <c r="I347" s="199"/>
      <c r="J347" s="199"/>
      <c r="K347" s="199"/>
      <c r="L347" s="199"/>
      <c r="M347" s="199"/>
      <c r="N347" s="199"/>
      <c r="O347" s="199"/>
      <c r="P347" s="199"/>
      <c r="Q347" s="199"/>
      <c r="R347" s="58"/>
      <c r="S347" s="58"/>
      <c r="T347" s="58"/>
      <c r="U347" s="58"/>
      <c r="V347" s="58"/>
      <c r="W347" s="58"/>
      <c r="X347" s="58"/>
      <c r="Y347" s="58"/>
    </row>
    <row r="348" spans="1:25" ht="15" x14ac:dyDescent="0.25">
      <c r="A348" s="1228" t="str">
        <f>IF(H479=1,"-----------------------","Конвейер №4")</f>
        <v>Конвейер №4</v>
      </c>
      <c r="B348" s="2400" t="str">
        <f>IF(H479=1,"-----------------------",IF(H487="","нет",INDEX(C938:Q938,H487)))</f>
        <v>нет</v>
      </c>
      <c r="C348" s="217"/>
      <c r="D348" s="217"/>
      <c r="E348" s="217"/>
      <c r="F348" s="217"/>
      <c r="G348" s="217"/>
      <c r="I348" s="199"/>
      <c r="J348" s="199"/>
      <c r="K348" s="199"/>
      <c r="L348" s="199"/>
      <c r="M348" s="199"/>
      <c r="N348" s="199"/>
      <c r="O348" s="199"/>
      <c r="P348" s="199"/>
      <c r="Q348" s="199"/>
      <c r="R348" s="58"/>
      <c r="S348" s="58"/>
      <c r="T348" s="58"/>
      <c r="U348" s="58"/>
      <c r="V348" s="58"/>
      <c r="W348" s="58"/>
      <c r="X348" s="58"/>
      <c r="Y348" s="58"/>
    </row>
    <row r="349" spans="1:25" ht="15" x14ac:dyDescent="0.25">
      <c r="A349" s="1228" t="str">
        <f>IF(H479=1,"-----------------------","Конвейер №5")</f>
        <v>Конвейер №5</v>
      </c>
      <c r="B349" s="2400" t="str">
        <f>IF(H479=1,"-----------------------",IF(H489="","нет",INDEX(C938:Q938,H489)))</f>
        <v>нет</v>
      </c>
      <c r="C349" s="217"/>
      <c r="D349" s="217"/>
      <c r="E349" s="217"/>
      <c r="F349" s="217"/>
      <c r="G349" s="217"/>
      <c r="I349" s="199"/>
      <c r="J349" s="199"/>
      <c r="K349" s="199"/>
      <c r="L349" s="199"/>
      <c r="M349" s="199"/>
      <c r="N349" s="199"/>
      <c r="O349" s="199"/>
      <c r="P349" s="199"/>
      <c r="Q349" s="199"/>
      <c r="R349" s="58"/>
      <c r="S349" s="58"/>
      <c r="T349" s="58"/>
      <c r="U349" s="58"/>
      <c r="V349" s="58"/>
      <c r="W349" s="58"/>
      <c r="X349" s="58"/>
      <c r="Y349" s="58"/>
    </row>
    <row r="350" spans="1:25" ht="30" x14ac:dyDescent="0.25">
      <c r="A350" s="1251" t="s">
        <v>3866</v>
      </c>
      <c r="B350" s="2378"/>
      <c r="C350" s="1237"/>
      <c r="D350" s="1237"/>
      <c r="E350" s="1237"/>
      <c r="F350" s="1237"/>
      <c r="G350" s="1237"/>
      <c r="H350" s="1237"/>
      <c r="I350" s="199"/>
      <c r="J350" s="199"/>
      <c r="K350" s="199"/>
      <c r="L350" s="199"/>
      <c r="M350" s="199"/>
      <c r="N350" s="199"/>
      <c r="O350" s="199"/>
      <c r="P350" s="199"/>
      <c r="Q350" s="199"/>
      <c r="R350" s="58"/>
      <c r="S350" s="58"/>
      <c r="T350" s="58"/>
      <c r="U350" s="58"/>
      <c r="V350" s="58"/>
      <c r="W350" s="58"/>
      <c r="X350" s="58"/>
      <c r="Y350" s="58"/>
    </row>
    <row r="351" spans="1:25" ht="15" x14ac:dyDescent="0.25">
      <c r="C351" s="217"/>
      <c r="D351" s="217"/>
      <c r="E351" s="217"/>
      <c r="F351" s="217"/>
      <c r="H351" s="1228"/>
      <c r="I351" s="199"/>
      <c r="J351" s="199"/>
      <c r="K351" s="199"/>
      <c r="L351" s="199"/>
      <c r="M351" s="199"/>
      <c r="N351" s="199"/>
      <c r="O351" s="199"/>
      <c r="P351" s="199"/>
      <c r="Q351" s="199"/>
      <c r="R351" s="58"/>
      <c r="S351" s="58"/>
      <c r="T351" s="58"/>
      <c r="U351" s="58"/>
      <c r="V351" s="58"/>
      <c r="W351" s="58"/>
      <c r="X351" s="58"/>
      <c r="Y351" s="58"/>
    </row>
    <row r="352" spans="1:25" ht="15" x14ac:dyDescent="0.25">
      <c r="A352" s="1228" t="str">
        <f>IF(H493=1,"Расстояние между рамками крепи, м","Тип крепи")</f>
        <v>Тип крепи</v>
      </c>
      <c r="B352" s="2400" t="b">
        <f>IF(H493=1,H456,IF(H493=2,IF(H493=2,G460)))</f>
        <v>0</v>
      </c>
      <c r="C352" s="217"/>
      <c r="D352" s="217"/>
      <c r="E352" s="2398"/>
      <c r="F352" s="217"/>
      <c r="G352" s="217"/>
      <c r="I352" s="199"/>
      <c r="J352" s="199"/>
      <c r="K352" s="199"/>
      <c r="L352" s="199"/>
      <c r="M352" s="199"/>
      <c r="N352" s="199"/>
      <c r="O352" s="199"/>
      <c r="P352" s="199"/>
      <c r="Q352" s="199"/>
      <c r="R352" s="58"/>
      <c r="S352" s="58"/>
      <c r="T352" s="58"/>
      <c r="U352" s="58"/>
      <c r="V352" s="58"/>
      <c r="W352" s="58"/>
      <c r="X352" s="58"/>
      <c r="Y352" s="58"/>
    </row>
    <row r="353" spans="1:25" ht="15" x14ac:dyDescent="0.25">
      <c r="C353" s="217"/>
      <c r="D353" s="217"/>
      <c r="E353" s="217"/>
      <c r="F353" s="217"/>
      <c r="H353" s="1232"/>
      <c r="I353" s="199"/>
      <c r="J353" s="199"/>
      <c r="K353" s="199"/>
      <c r="L353" s="199"/>
      <c r="M353" s="199"/>
      <c r="N353" s="199"/>
      <c r="O353" s="199"/>
      <c r="P353" s="199"/>
      <c r="Q353" s="199"/>
      <c r="R353" s="58"/>
      <c r="S353" s="58"/>
      <c r="T353" s="58"/>
      <c r="U353" s="58"/>
      <c r="V353" s="58"/>
      <c r="W353" s="58"/>
      <c r="X353" s="58"/>
      <c r="Y353" s="58"/>
    </row>
    <row r="354" spans="1:25" ht="30" x14ac:dyDescent="0.25">
      <c r="A354" s="1228" t="str">
        <f>IF(H493=1,"Размер шарнирного верхняка","Возраст крепи (от начала работы или от капремонта, год")</f>
        <v>Возраст крепи (от начала работы или от капремонта, год</v>
      </c>
      <c r="B354" s="2400" t="b">
        <f>IF(AND(H493=1,H457=1),1.26,IF(AND(H493=1,H457=2),1,IF(AND(H493=1,H457=3),0.8,IF(H493=2,H461))))</f>
        <v>0</v>
      </c>
      <c r="C354" s="217"/>
      <c r="D354" s="217"/>
      <c r="E354" s="217"/>
      <c r="F354" s="217"/>
      <c r="G354" s="217"/>
      <c r="I354" s="199"/>
      <c r="J354" s="199"/>
      <c r="K354" s="199"/>
      <c r="L354" s="199"/>
      <c r="M354" s="199"/>
      <c r="N354" s="199"/>
      <c r="O354" s="199"/>
      <c r="P354" s="199"/>
      <c r="Q354" s="199"/>
      <c r="R354" s="58"/>
      <c r="S354" s="58"/>
      <c r="T354" s="58"/>
      <c r="U354" s="58"/>
      <c r="V354" s="58"/>
      <c r="W354" s="58"/>
      <c r="X354" s="58"/>
      <c r="Y354" s="58"/>
    </row>
    <row r="355" spans="1:25" ht="30" x14ac:dyDescent="0.25">
      <c r="A355" s="1228" t="str">
        <f>IF(H493=1,"Способ установки верхняка","Суммарная производительность одновременно работающих насосов насосной станции, л/мин")</f>
        <v>Суммарная производительность одновременно работающих насосов насосной станции, л/мин</v>
      </c>
      <c r="B355" s="2400" t="b">
        <f>IF(AND(H493=1,H458=1),"линейно",IF(AND(H493=1,H458=2),"треугольно",IF(H493=2,H462)))</f>
        <v>0</v>
      </c>
      <c r="C355" s="1228"/>
      <c r="D355" s="2409"/>
      <c r="E355" s="1228"/>
      <c r="F355" s="217"/>
      <c r="H355" s="1232"/>
      <c r="I355" s="199"/>
      <c r="J355" s="199"/>
      <c r="K355" s="199"/>
      <c r="L355" s="199"/>
      <c r="M355" s="199"/>
      <c r="N355" s="199"/>
      <c r="O355" s="199"/>
      <c r="P355" s="199"/>
      <c r="Q355" s="199"/>
      <c r="R355" s="58"/>
      <c r="S355" s="58"/>
      <c r="T355" s="58"/>
      <c r="U355" s="58"/>
      <c r="V355" s="58"/>
      <c r="W355" s="58"/>
      <c r="X355" s="58"/>
      <c r="Y355" s="58"/>
    </row>
    <row r="356" spans="1:25" ht="15" x14ac:dyDescent="0.25">
      <c r="A356" s="1252" t="s">
        <v>48</v>
      </c>
      <c r="B356" s="2378"/>
      <c r="C356" s="1237"/>
      <c r="D356" s="1237"/>
      <c r="E356" s="1237"/>
      <c r="F356" s="1237"/>
      <c r="G356" s="1237"/>
      <c r="H356" s="1237"/>
      <c r="I356" s="199"/>
      <c r="J356" s="199"/>
      <c r="K356" s="199"/>
      <c r="L356" s="199"/>
      <c r="M356" s="199"/>
      <c r="N356" s="199"/>
      <c r="O356" s="199"/>
      <c r="P356" s="199"/>
      <c r="Q356" s="199"/>
      <c r="R356" s="58"/>
      <c r="S356" s="58"/>
      <c r="T356" s="58"/>
      <c r="U356" s="58"/>
      <c r="V356" s="58"/>
      <c r="W356" s="58"/>
      <c r="X356" s="58"/>
      <c r="Y356" s="58"/>
    </row>
    <row r="357" spans="1:25" ht="15" x14ac:dyDescent="0.25">
      <c r="C357" s="1228"/>
      <c r="D357" s="1228"/>
      <c r="E357" s="1228"/>
      <c r="F357" s="1228"/>
      <c r="G357" s="1228"/>
      <c r="I357" s="199"/>
      <c r="J357" s="199"/>
      <c r="K357" s="199"/>
      <c r="L357" s="199"/>
      <c r="M357" s="199"/>
      <c r="N357" s="199"/>
      <c r="O357" s="199"/>
      <c r="P357" s="199"/>
      <c r="Q357" s="199"/>
      <c r="R357" s="58"/>
      <c r="S357" s="58"/>
      <c r="T357" s="58"/>
      <c r="U357" s="58"/>
      <c r="V357" s="58"/>
      <c r="W357" s="58"/>
      <c r="X357" s="58"/>
      <c r="Y357" s="58"/>
    </row>
    <row r="358" spans="1:25" ht="15" x14ac:dyDescent="0.25">
      <c r="C358" s="217"/>
      <c r="D358" s="217"/>
      <c r="E358" s="217"/>
      <c r="F358" s="217"/>
      <c r="G358" s="217"/>
      <c r="I358" s="199"/>
      <c r="J358" s="199"/>
      <c r="K358" s="199"/>
      <c r="L358" s="199"/>
      <c r="M358" s="199"/>
      <c r="N358" s="199"/>
      <c r="O358" s="199"/>
      <c r="P358" s="199"/>
      <c r="Q358" s="199"/>
      <c r="R358" s="58"/>
      <c r="S358" s="58"/>
      <c r="T358" s="58"/>
      <c r="U358" s="58"/>
      <c r="V358" s="58"/>
      <c r="W358" s="58"/>
      <c r="X358" s="58"/>
      <c r="Y358" s="58"/>
    </row>
    <row r="359" spans="1:25" ht="15" x14ac:dyDescent="0.25">
      <c r="C359" s="217"/>
      <c r="D359" s="217"/>
      <c r="E359" s="217"/>
      <c r="F359" s="217"/>
      <c r="G359" s="217"/>
      <c r="I359" s="199"/>
      <c r="J359" s="199"/>
      <c r="K359" s="199"/>
      <c r="L359" s="199"/>
      <c r="M359" s="199"/>
      <c r="N359" s="199"/>
      <c r="O359" s="199"/>
      <c r="P359" s="199"/>
      <c r="Q359" s="199"/>
      <c r="R359" s="58"/>
      <c r="S359" s="58"/>
      <c r="T359" s="58"/>
      <c r="U359" s="58"/>
      <c r="V359" s="58"/>
      <c r="W359" s="58"/>
      <c r="X359" s="58"/>
      <c r="Y359" s="58"/>
    </row>
    <row r="360" spans="1:25" ht="15" x14ac:dyDescent="0.25">
      <c r="C360" s="217"/>
      <c r="D360" s="217"/>
      <c r="E360" s="217"/>
      <c r="F360" s="217"/>
      <c r="G360" s="217"/>
      <c r="I360" s="199"/>
      <c r="J360" s="199"/>
      <c r="K360" s="199"/>
      <c r="L360" s="199"/>
      <c r="M360" s="199"/>
      <c r="N360" s="199"/>
      <c r="O360" s="199"/>
      <c r="P360" s="199"/>
      <c r="Q360" s="199"/>
      <c r="R360" s="58"/>
      <c r="S360" s="58"/>
      <c r="T360" s="58"/>
      <c r="U360" s="58"/>
      <c r="V360" s="58"/>
      <c r="W360" s="58"/>
      <c r="X360" s="58"/>
      <c r="Y360" s="58"/>
    </row>
    <row r="361" spans="1:25" ht="15" x14ac:dyDescent="0.25">
      <c r="C361" s="217"/>
      <c r="D361" s="217"/>
      <c r="E361" s="217"/>
      <c r="F361" s="217"/>
      <c r="G361" s="217"/>
      <c r="I361" s="199"/>
      <c r="J361" s="199"/>
      <c r="K361" s="199"/>
      <c r="L361" s="199"/>
      <c r="M361" s="199"/>
      <c r="N361" s="199"/>
      <c r="O361" s="199"/>
      <c r="P361" s="199"/>
      <c r="Q361" s="199"/>
      <c r="R361" s="58"/>
      <c r="S361" s="58"/>
      <c r="T361" s="58"/>
      <c r="U361" s="58"/>
      <c r="V361" s="58"/>
      <c r="W361" s="58"/>
      <c r="X361" s="58"/>
      <c r="Y361" s="58"/>
    </row>
    <row r="362" spans="1:25" ht="30" x14ac:dyDescent="0.25">
      <c r="A362" s="1228" t="s">
        <v>2983</v>
      </c>
      <c r="B362" s="2378"/>
      <c r="C362" s="217"/>
      <c r="D362" s="217"/>
      <c r="E362" s="217"/>
      <c r="F362" s="217"/>
      <c r="G362" s="217"/>
      <c r="H362" s="1253"/>
      <c r="I362" s="199"/>
      <c r="J362" s="199"/>
      <c r="K362" s="199"/>
      <c r="L362" s="199"/>
      <c r="M362" s="199"/>
      <c r="N362" s="199"/>
      <c r="O362" s="199"/>
      <c r="P362" s="199"/>
      <c r="Q362" s="199"/>
      <c r="R362" s="58"/>
      <c r="S362" s="58"/>
      <c r="T362" s="58"/>
      <c r="U362" s="58"/>
      <c r="V362" s="58"/>
      <c r="W362" s="58"/>
      <c r="X362" s="58"/>
      <c r="Y362" s="58"/>
    </row>
    <row r="363" spans="1:25" ht="15" x14ac:dyDescent="0.25">
      <c r="C363" s="1228"/>
      <c r="D363" s="1228"/>
      <c r="E363" s="1228"/>
      <c r="F363" s="217"/>
      <c r="G363" s="217"/>
      <c r="I363" s="199"/>
      <c r="J363" s="199"/>
      <c r="K363" s="199"/>
      <c r="L363" s="199"/>
      <c r="M363" s="199"/>
      <c r="N363" s="199"/>
      <c r="O363" s="199"/>
      <c r="P363" s="199"/>
      <c r="Q363" s="199"/>
      <c r="R363" s="58"/>
      <c r="S363" s="58"/>
      <c r="T363" s="58"/>
      <c r="U363" s="58"/>
      <c r="V363" s="58"/>
      <c r="W363" s="58"/>
      <c r="X363" s="58"/>
      <c r="Y363" s="58"/>
    </row>
    <row r="364" spans="1:25" ht="15" x14ac:dyDescent="0.25">
      <c r="C364" s="1228"/>
      <c r="D364" s="1228"/>
      <c r="E364" s="1228"/>
      <c r="F364" s="217"/>
      <c r="G364" s="217"/>
      <c r="I364" s="199"/>
      <c r="J364" s="199"/>
      <c r="K364" s="199"/>
      <c r="L364" s="199"/>
      <c r="M364" s="199"/>
      <c r="N364" s="199"/>
      <c r="O364" s="199"/>
      <c r="P364" s="199"/>
      <c r="Q364" s="199"/>
      <c r="R364" s="58"/>
      <c r="S364" s="58"/>
      <c r="T364" s="58"/>
      <c r="U364" s="58"/>
      <c r="V364" s="58"/>
      <c r="W364" s="58"/>
      <c r="X364" s="58"/>
      <c r="Y364" s="58"/>
    </row>
    <row r="365" spans="1:25" ht="15" x14ac:dyDescent="0.25">
      <c r="C365" s="217"/>
      <c r="D365" s="217"/>
      <c r="E365" s="217"/>
      <c r="F365" s="217"/>
      <c r="G365" s="217"/>
      <c r="I365" s="547"/>
      <c r="J365" s="547"/>
      <c r="K365" s="199"/>
      <c r="L365" s="199"/>
      <c r="M365" s="199"/>
      <c r="N365" s="199"/>
      <c r="O365" s="199"/>
      <c r="P365" s="199"/>
      <c r="Q365" s="199"/>
      <c r="R365" s="58"/>
      <c r="S365" s="58"/>
      <c r="T365" s="58"/>
      <c r="U365" s="58"/>
      <c r="V365" s="58"/>
      <c r="W365" s="58"/>
      <c r="X365" s="58"/>
      <c r="Y365" s="58"/>
    </row>
    <row r="366" spans="1:25" ht="15" x14ac:dyDescent="0.25">
      <c r="C366" s="217"/>
      <c r="D366" s="217"/>
      <c r="E366" s="217"/>
      <c r="F366" s="217"/>
      <c r="G366" s="217"/>
      <c r="I366" s="547"/>
      <c r="J366" s="547"/>
      <c r="K366" s="199"/>
      <c r="L366" s="199"/>
      <c r="M366" s="199"/>
      <c r="N366" s="199"/>
      <c r="O366" s="199"/>
      <c r="P366" s="199"/>
      <c r="Q366" s="199"/>
      <c r="R366" s="58"/>
      <c r="S366" s="58"/>
      <c r="T366" s="58"/>
      <c r="U366" s="58"/>
      <c r="V366" s="58"/>
      <c r="W366" s="58"/>
      <c r="X366" s="58"/>
      <c r="Y366" s="58"/>
    </row>
    <row r="367" spans="1:25" ht="15" x14ac:dyDescent="0.25">
      <c r="C367" s="217"/>
      <c r="D367" s="217"/>
      <c r="E367" s="217"/>
      <c r="F367" s="217"/>
      <c r="G367" s="217"/>
      <c r="I367" s="547"/>
      <c r="J367" s="547"/>
      <c r="K367" s="199"/>
      <c r="L367" s="199"/>
      <c r="M367" s="199"/>
      <c r="N367" s="199"/>
      <c r="O367" s="199"/>
      <c r="P367" s="199"/>
      <c r="Q367" s="199"/>
      <c r="R367" s="58"/>
      <c r="S367" s="58"/>
      <c r="T367" s="58"/>
      <c r="U367" s="58"/>
      <c r="V367" s="58"/>
      <c r="W367" s="58"/>
      <c r="X367" s="58"/>
      <c r="Y367" s="58"/>
    </row>
    <row r="368" spans="1:25" ht="15" x14ac:dyDescent="0.25">
      <c r="C368" s="217"/>
      <c r="D368" s="217"/>
      <c r="E368" s="217"/>
      <c r="F368" s="217"/>
      <c r="G368" s="217"/>
      <c r="I368" s="547"/>
      <c r="J368" s="547"/>
      <c r="K368" s="199"/>
      <c r="L368" s="199"/>
      <c r="M368" s="199"/>
      <c r="N368" s="199"/>
      <c r="O368" s="199"/>
      <c r="P368" s="199"/>
      <c r="Q368" s="199"/>
      <c r="R368" s="58"/>
      <c r="S368" s="58"/>
      <c r="T368" s="58"/>
      <c r="U368" s="58"/>
      <c r="V368" s="58"/>
      <c r="W368" s="58"/>
      <c r="X368" s="58"/>
      <c r="Y368" s="58"/>
    </row>
    <row r="369" spans="1:25" ht="15" x14ac:dyDescent="0.25">
      <c r="A369" s="1252" t="s">
        <v>3182</v>
      </c>
      <c r="B369" s="2378"/>
      <c r="C369" s="1237"/>
      <c r="D369" s="1237"/>
      <c r="E369" s="1237"/>
      <c r="F369" s="1237"/>
      <c r="G369" s="1237"/>
      <c r="H369" s="1237"/>
      <c r="I369" s="199"/>
      <c r="J369" s="199"/>
      <c r="K369" s="199"/>
      <c r="L369" s="199"/>
      <c r="M369" s="199"/>
      <c r="N369" s="199"/>
      <c r="O369" s="199"/>
      <c r="P369" s="199"/>
      <c r="Q369" s="199"/>
      <c r="R369" s="58"/>
      <c r="S369" s="58"/>
      <c r="T369" s="58"/>
      <c r="U369" s="58"/>
      <c r="V369" s="58"/>
      <c r="W369" s="58"/>
      <c r="X369" s="58"/>
      <c r="Y369" s="58"/>
    </row>
    <row r="370" spans="1:25" ht="15" x14ac:dyDescent="0.25">
      <c r="A370" s="1228" t="s">
        <v>3828</v>
      </c>
      <c r="B370" s="2403" t="e">
        <f t="shared" ref="B370:B379" si="1">H219</f>
        <v>#VALUE!</v>
      </c>
      <c r="C370" s="217"/>
      <c r="D370" s="217"/>
      <c r="E370" s="217"/>
      <c r="F370" s="217"/>
      <c r="G370" s="217"/>
      <c r="I370" s="199"/>
      <c r="J370" s="199"/>
      <c r="K370" s="199"/>
      <c r="L370" s="199"/>
      <c r="M370" s="199"/>
      <c r="N370" s="199"/>
      <c r="O370" s="199"/>
      <c r="P370" s="199"/>
      <c r="Q370" s="199"/>
      <c r="R370" s="58"/>
      <c r="S370" s="58"/>
      <c r="T370" s="58"/>
      <c r="U370" s="58"/>
      <c r="V370" s="58"/>
      <c r="W370" s="58"/>
      <c r="X370" s="58"/>
      <c r="Y370" s="58"/>
    </row>
    <row r="371" spans="1:25" ht="15" x14ac:dyDescent="0.25">
      <c r="A371" s="1228" t="s">
        <v>3829</v>
      </c>
      <c r="B371" s="2403">
        <f t="shared" si="1"/>
        <v>1</v>
      </c>
      <c r="C371" s="217"/>
      <c r="D371" s="217"/>
      <c r="E371" s="217"/>
      <c r="F371" s="217"/>
      <c r="G371" s="217"/>
      <c r="I371" s="199"/>
      <c r="J371" s="199"/>
      <c r="K371" s="199"/>
      <c r="L371" s="199"/>
      <c r="M371" s="199"/>
      <c r="N371" s="199"/>
      <c r="O371" s="199"/>
      <c r="P371" s="199"/>
      <c r="Q371" s="199"/>
      <c r="R371" s="58"/>
      <c r="S371" s="58"/>
      <c r="T371" s="58"/>
      <c r="U371" s="58"/>
      <c r="V371" s="58"/>
      <c r="W371" s="58"/>
      <c r="X371" s="58"/>
      <c r="Y371" s="58"/>
    </row>
    <row r="372" spans="1:25" ht="15" x14ac:dyDescent="0.25">
      <c r="A372" s="1228" t="s">
        <v>3830</v>
      </c>
      <c r="B372" s="2403">
        <f t="shared" si="1"/>
        <v>0.99930600000000003</v>
      </c>
      <c r="C372" s="217"/>
      <c r="D372" s="217"/>
      <c r="E372" s="217"/>
      <c r="F372" s="217"/>
      <c r="G372" s="217"/>
      <c r="I372" s="199"/>
      <c r="J372" s="199"/>
      <c r="K372" s="199"/>
      <c r="L372" s="199"/>
      <c r="M372" s="199"/>
      <c r="N372" s="199"/>
      <c r="O372" s="199"/>
      <c r="P372" s="199"/>
      <c r="Q372" s="199"/>
      <c r="R372" s="58"/>
      <c r="S372" s="58"/>
      <c r="T372" s="58"/>
      <c r="U372" s="58"/>
      <c r="V372" s="58"/>
      <c r="W372" s="58"/>
      <c r="X372" s="58"/>
      <c r="Y372" s="58"/>
    </row>
    <row r="373" spans="1:25" ht="15" x14ac:dyDescent="0.25">
      <c r="A373" s="1228" t="s">
        <v>3831</v>
      </c>
      <c r="B373" s="2403" t="e">
        <f t="shared" ca="1" si="1"/>
        <v>#VALUE!</v>
      </c>
      <c r="C373" s="217"/>
      <c r="D373" s="217"/>
      <c r="E373" s="217"/>
      <c r="F373" s="217"/>
      <c r="G373" s="217"/>
      <c r="I373" s="547"/>
      <c r="J373" s="199"/>
      <c r="K373" s="199"/>
      <c r="L373" s="199"/>
      <c r="M373" s="199"/>
      <c r="N373" s="199"/>
      <c r="O373" s="199"/>
      <c r="P373" s="199"/>
      <c r="Q373" s="199"/>
      <c r="R373" s="58"/>
      <c r="S373" s="58"/>
      <c r="T373" s="58"/>
      <c r="U373" s="58"/>
      <c r="V373" s="58"/>
      <c r="W373" s="58"/>
      <c r="X373" s="58"/>
      <c r="Y373" s="58"/>
    </row>
    <row r="374" spans="1:25" ht="15" x14ac:dyDescent="0.25">
      <c r="A374" s="1228" t="s">
        <v>3832</v>
      </c>
      <c r="B374" s="2403">
        <f t="shared" si="1"/>
        <v>0.93</v>
      </c>
      <c r="C374" s="217"/>
      <c r="D374" s="217"/>
      <c r="E374" s="217"/>
      <c r="F374" s="217"/>
      <c r="G374" s="217"/>
      <c r="I374" s="547"/>
      <c r="J374" s="199"/>
      <c r="K374" s="199"/>
      <c r="L374" s="199"/>
      <c r="M374" s="199"/>
      <c r="N374" s="199"/>
      <c r="O374" s="199"/>
      <c r="P374" s="199"/>
      <c r="Q374" s="199"/>
      <c r="R374" s="58"/>
      <c r="S374" s="58"/>
      <c r="T374" s="58"/>
      <c r="U374" s="58"/>
      <c r="V374" s="58"/>
      <c r="W374" s="58"/>
      <c r="X374" s="58"/>
      <c r="Y374" s="58"/>
    </row>
    <row r="375" spans="1:25" ht="30" x14ac:dyDescent="0.25">
      <c r="A375" s="1228" t="s">
        <v>5115</v>
      </c>
      <c r="B375" s="2403" t="e">
        <f t="shared" ca="1" si="1"/>
        <v>#VALUE!</v>
      </c>
      <c r="C375" s="1228"/>
      <c r="D375" s="1228"/>
      <c r="E375" s="1228"/>
      <c r="F375" s="217"/>
      <c r="G375" s="217"/>
      <c r="I375" s="547"/>
      <c r="J375" s="199"/>
      <c r="K375" s="199"/>
      <c r="L375" s="199"/>
      <c r="M375" s="199"/>
      <c r="N375" s="199"/>
      <c r="O375" s="199"/>
      <c r="P375" s="199"/>
      <c r="Q375" s="199"/>
      <c r="R375" s="58"/>
      <c r="S375" s="58"/>
      <c r="T375" s="58"/>
      <c r="U375" s="58"/>
      <c r="V375" s="58"/>
      <c r="W375" s="58"/>
      <c r="X375" s="58"/>
      <c r="Y375" s="58"/>
    </row>
    <row r="376" spans="1:25" ht="15" x14ac:dyDescent="0.25">
      <c r="A376" s="1228" t="s">
        <v>591</v>
      </c>
      <c r="B376" s="2403">
        <f t="shared" si="1"/>
        <v>0.96499999999999997</v>
      </c>
      <c r="C376" s="217"/>
      <c r="D376" s="217"/>
      <c r="E376" s="217"/>
      <c r="F376" s="217"/>
      <c r="G376" s="217"/>
      <c r="I376" s="547"/>
      <c r="J376" s="199"/>
      <c r="K376" s="199"/>
      <c r="L376" s="199"/>
      <c r="M376" s="199"/>
      <c r="N376" s="199"/>
      <c r="O376" s="199"/>
      <c r="P376" s="199"/>
      <c r="Q376" s="199"/>
      <c r="R376" s="58"/>
      <c r="S376" s="58"/>
      <c r="T376" s="58"/>
      <c r="U376" s="58"/>
      <c r="V376" s="58"/>
      <c r="W376" s="58"/>
      <c r="X376" s="58"/>
      <c r="Y376" s="58"/>
    </row>
    <row r="377" spans="1:25" ht="15" x14ac:dyDescent="0.25">
      <c r="A377" s="1228" t="s">
        <v>444</v>
      </c>
      <c r="B377" s="2403" t="e">
        <f t="shared" si="1"/>
        <v>#VALUE!</v>
      </c>
      <c r="C377" s="217"/>
      <c r="D377" s="217"/>
      <c r="E377" s="217"/>
      <c r="F377" s="217"/>
      <c r="G377" s="217"/>
      <c r="I377" s="547"/>
      <c r="J377" s="199"/>
      <c r="K377" s="199"/>
      <c r="L377" s="199"/>
      <c r="M377" s="199"/>
      <c r="N377" s="199"/>
      <c r="O377" s="199"/>
      <c r="P377" s="199"/>
      <c r="Q377" s="199"/>
      <c r="R377" s="58"/>
      <c r="S377" s="58"/>
      <c r="T377" s="58"/>
      <c r="U377" s="58"/>
      <c r="V377" s="58"/>
      <c r="W377" s="58"/>
      <c r="X377" s="58"/>
      <c r="Y377" s="58"/>
    </row>
    <row r="378" spans="1:25" ht="15" x14ac:dyDescent="0.25">
      <c r="A378" s="1228" t="s">
        <v>445</v>
      </c>
      <c r="B378" s="2403" t="e">
        <f t="shared" si="1"/>
        <v>#VALUE!</v>
      </c>
      <c r="C378" s="217"/>
      <c r="D378" s="217"/>
      <c r="E378" s="217"/>
      <c r="F378" s="217"/>
      <c r="G378" s="217"/>
      <c r="I378" s="547"/>
      <c r="J378" s="199"/>
      <c r="K378" s="199"/>
      <c r="L378" s="199"/>
      <c r="M378" s="199"/>
      <c r="N378" s="199"/>
      <c r="O378" s="199"/>
      <c r="P378" s="199"/>
      <c r="Q378" s="199"/>
      <c r="R378" s="58"/>
      <c r="S378" s="58"/>
      <c r="T378" s="58"/>
      <c r="U378" s="58"/>
      <c r="V378" s="58"/>
      <c r="W378" s="58"/>
      <c r="X378" s="58"/>
      <c r="Y378" s="58"/>
    </row>
    <row r="379" spans="1:25" ht="30" x14ac:dyDescent="0.25">
      <c r="A379" s="1228" t="s">
        <v>5116</v>
      </c>
      <c r="B379" s="2403" t="e">
        <f t="shared" si="1"/>
        <v>#VALUE!</v>
      </c>
      <c r="C379" s="217"/>
      <c r="D379" s="217"/>
      <c r="E379" s="217"/>
      <c r="F379" s="217"/>
      <c r="G379" s="217"/>
      <c r="I379" s="547"/>
      <c r="J379" s="199"/>
      <c r="K379" s="199"/>
      <c r="L379" s="199"/>
      <c r="M379" s="199"/>
      <c r="N379" s="199"/>
      <c r="O379" s="199"/>
      <c r="P379" s="199"/>
      <c r="Q379" s="199"/>
      <c r="R379" s="58"/>
      <c r="S379" s="58"/>
      <c r="T379" s="58"/>
      <c r="U379" s="58"/>
      <c r="V379" s="58"/>
      <c r="W379" s="58"/>
      <c r="X379" s="58"/>
      <c r="Y379" s="58"/>
    </row>
    <row r="380" spans="1:25" ht="15" x14ac:dyDescent="0.25">
      <c r="C380" s="217"/>
      <c r="D380" s="217"/>
      <c r="E380" s="217"/>
      <c r="F380" s="217"/>
      <c r="G380" s="217"/>
      <c r="I380" s="547"/>
      <c r="J380" s="34" t="s">
        <v>3316</v>
      </c>
      <c r="K380" s="199"/>
      <c r="L380" s="199"/>
      <c r="M380" s="199"/>
      <c r="N380" s="199"/>
      <c r="O380" s="199"/>
      <c r="P380" s="199"/>
      <c r="Q380" s="199"/>
      <c r="R380" s="58"/>
      <c r="S380" s="58"/>
      <c r="T380" s="58"/>
      <c r="U380" s="58"/>
      <c r="V380" s="58"/>
      <c r="W380" s="58"/>
      <c r="X380" s="58"/>
      <c r="Y380" s="58"/>
    </row>
    <row r="381" spans="1:25" ht="15" x14ac:dyDescent="0.25">
      <c r="A381" s="199"/>
      <c r="B381" s="199"/>
      <c r="C381" s="199"/>
      <c r="D381" s="199"/>
      <c r="E381" s="199"/>
      <c r="F381" s="199"/>
      <c r="G381" s="199"/>
      <c r="H381" s="199"/>
      <c r="I381" s="199"/>
      <c r="J381" s="199"/>
      <c r="K381" s="199"/>
      <c r="L381" s="199"/>
      <c r="M381" s="199"/>
      <c r="N381" s="199"/>
      <c r="O381" s="199"/>
      <c r="P381" s="199"/>
      <c r="Q381" s="199"/>
      <c r="R381" s="58"/>
      <c r="S381" s="58"/>
      <c r="T381" s="58"/>
      <c r="U381" s="58"/>
      <c r="V381" s="58"/>
      <c r="W381" s="58"/>
      <c r="X381" s="58"/>
      <c r="Y381" s="58"/>
    </row>
    <row r="382" spans="1:25" x14ac:dyDescent="0.2">
      <c r="A382" s="196"/>
      <c r="B382" s="196"/>
      <c r="C382" s="196"/>
      <c r="D382" s="196"/>
      <c r="E382" s="196"/>
      <c r="F382" s="196"/>
      <c r="G382" s="196"/>
      <c r="H382" s="196"/>
      <c r="I382" s="196"/>
      <c r="J382" s="196"/>
      <c r="K382" s="196"/>
      <c r="L382" s="196"/>
      <c r="M382" s="196"/>
      <c r="N382" s="196"/>
      <c r="O382" s="196"/>
      <c r="P382" s="196"/>
      <c r="Q382" s="196"/>
      <c r="R382" s="549"/>
    </row>
    <row r="383" spans="1:25" x14ac:dyDescent="0.2">
      <c r="A383" s="29"/>
      <c r="B383" s="29"/>
      <c r="C383" s="29"/>
      <c r="D383" s="29"/>
      <c r="E383" s="29"/>
      <c r="F383" s="29"/>
      <c r="G383" s="29"/>
      <c r="H383" s="29"/>
      <c r="I383" s="29"/>
      <c r="J383" s="29"/>
      <c r="K383" s="29"/>
      <c r="L383" s="29"/>
      <c r="M383" s="29"/>
      <c r="N383" s="29"/>
      <c r="O383" s="29"/>
      <c r="P383" s="29"/>
      <c r="Q383" s="29"/>
      <c r="R383" s="8"/>
    </row>
    <row r="384" spans="1:25" x14ac:dyDescent="0.2">
      <c r="A384" s="29"/>
      <c r="B384" s="29"/>
      <c r="C384" s="29"/>
      <c r="D384" s="29"/>
      <c r="E384" s="29"/>
      <c r="F384" s="29"/>
      <c r="G384" s="29"/>
      <c r="H384" s="29"/>
      <c r="I384" s="29"/>
      <c r="J384" s="29"/>
      <c r="K384" s="29"/>
      <c r="L384" s="29"/>
      <c r="M384" s="29"/>
      <c r="N384" s="29"/>
      <c r="O384" s="29"/>
      <c r="P384" s="29"/>
      <c r="Q384" s="29"/>
      <c r="R384" s="8"/>
    </row>
    <row r="385" spans="1:18" x14ac:dyDescent="0.2">
      <c r="A385" s="29"/>
      <c r="B385" s="29"/>
      <c r="C385" s="29"/>
      <c r="D385" s="29"/>
      <c r="E385" s="29"/>
      <c r="F385" s="29"/>
      <c r="G385" s="29"/>
      <c r="H385" s="29"/>
      <c r="I385" s="29"/>
      <c r="J385" s="29"/>
      <c r="K385" s="29"/>
      <c r="L385" s="29"/>
      <c r="M385" s="29"/>
      <c r="N385" s="29"/>
      <c r="O385" s="29"/>
      <c r="P385" s="29"/>
      <c r="Q385" s="29"/>
      <c r="R385" s="8"/>
    </row>
    <row r="386" spans="1:18" x14ac:dyDescent="0.2">
      <c r="A386" s="29"/>
      <c r="B386" s="29"/>
      <c r="C386" s="29"/>
      <c r="D386" s="29"/>
      <c r="E386" s="29"/>
      <c r="F386" s="29"/>
      <c r="G386" s="29"/>
      <c r="H386" s="29"/>
      <c r="I386" s="29"/>
      <c r="J386" s="29"/>
      <c r="K386" s="29"/>
      <c r="L386" s="29"/>
      <c r="M386" s="29"/>
      <c r="N386" s="29"/>
      <c r="O386" s="29"/>
      <c r="P386" s="29"/>
      <c r="Q386" s="29"/>
      <c r="R386" s="8"/>
    </row>
    <row r="387" spans="1:18" x14ac:dyDescent="0.2">
      <c r="A387" s="29"/>
      <c r="B387" s="29"/>
      <c r="C387" s="29"/>
      <c r="D387" s="29"/>
      <c r="E387" s="29"/>
      <c r="F387" s="29"/>
      <c r="G387" s="29"/>
      <c r="H387" s="29"/>
      <c r="I387" s="29"/>
      <c r="J387" s="29"/>
      <c r="K387" s="29"/>
      <c r="L387" s="29"/>
      <c r="M387" s="29"/>
      <c r="N387" s="29"/>
      <c r="O387" s="29"/>
      <c r="P387" s="29"/>
      <c r="Q387" s="29"/>
      <c r="R387" s="8"/>
    </row>
    <row r="388" spans="1:18" x14ac:dyDescent="0.2">
      <c r="A388" s="29"/>
      <c r="B388" s="29"/>
      <c r="C388" s="29"/>
      <c r="D388" s="29"/>
      <c r="E388" s="29"/>
      <c r="F388" s="29"/>
      <c r="G388" s="29"/>
      <c r="H388" s="29"/>
      <c r="I388" s="29"/>
      <c r="J388" s="29"/>
      <c r="K388" s="29"/>
      <c r="L388" s="29"/>
      <c r="M388" s="29"/>
      <c r="N388" s="29"/>
      <c r="O388" s="29"/>
      <c r="P388" s="29"/>
      <c r="Q388" s="29"/>
      <c r="R388" s="8"/>
    </row>
    <row r="389" spans="1:18" x14ac:dyDescent="0.2">
      <c r="A389" s="29"/>
      <c r="B389" s="29"/>
      <c r="C389" s="29"/>
      <c r="D389" s="29"/>
      <c r="E389" s="29"/>
      <c r="F389" s="29"/>
      <c r="G389" s="29"/>
      <c r="H389" s="29"/>
      <c r="I389" s="29"/>
      <c r="J389" s="29"/>
      <c r="K389" s="29"/>
      <c r="L389" s="29"/>
      <c r="M389" s="29"/>
      <c r="N389" s="29"/>
      <c r="O389" s="29"/>
      <c r="P389" s="29"/>
      <c r="Q389" s="29"/>
      <c r="R389" s="8"/>
    </row>
    <row r="390" spans="1:18" x14ac:dyDescent="0.2">
      <c r="A390" s="29"/>
      <c r="B390" s="29"/>
      <c r="C390" s="29"/>
      <c r="D390" s="29"/>
      <c r="E390" s="29"/>
      <c r="F390" s="29"/>
      <c r="G390" s="29"/>
      <c r="H390" s="29"/>
      <c r="I390" s="29"/>
      <c r="J390" s="29"/>
      <c r="K390" s="29"/>
      <c r="L390" s="29"/>
      <c r="M390" s="29"/>
      <c r="N390" s="29"/>
      <c r="O390" s="29"/>
      <c r="P390" s="29"/>
      <c r="Q390" s="29"/>
      <c r="R390" s="8"/>
    </row>
    <row r="391" spans="1:18" x14ac:dyDescent="0.2">
      <c r="A391" s="29"/>
      <c r="B391" s="29"/>
      <c r="C391" s="29"/>
      <c r="D391" s="29"/>
      <c r="E391" s="29"/>
      <c r="F391" s="29"/>
      <c r="G391" s="29"/>
      <c r="H391" s="29"/>
      <c r="I391" s="29"/>
      <c r="J391" s="29"/>
      <c r="K391" s="29"/>
      <c r="L391" s="29"/>
      <c r="M391" s="29"/>
      <c r="N391" s="29"/>
      <c r="O391" s="29"/>
      <c r="P391" s="29"/>
      <c r="Q391" s="29"/>
      <c r="R391" s="8"/>
    </row>
    <row r="392" spans="1:18" x14ac:dyDescent="0.2">
      <c r="A392" s="29"/>
      <c r="B392" s="29"/>
      <c r="C392" s="29"/>
      <c r="D392" s="29"/>
      <c r="E392" s="29"/>
      <c r="F392" s="29"/>
      <c r="G392" s="29"/>
      <c r="H392" s="29"/>
      <c r="I392" s="29"/>
      <c r="J392" s="29"/>
      <c r="K392" s="29"/>
      <c r="L392" s="29"/>
      <c r="M392" s="29"/>
      <c r="N392" s="29"/>
      <c r="O392" s="29"/>
      <c r="P392" s="29"/>
      <c r="Q392" s="29"/>
      <c r="R392" s="8"/>
    </row>
    <row r="393" spans="1:18" x14ac:dyDescent="0.2">
      <c r="A393" s="29"/>
      <c r="B393" s="29"/>
      <c r="C393" s="29"/>
      <c r="D393" s="29"/>
      <c r="E393" s="29"/>
      <c r="F393" s="29"/>
      <c r="G393" s="29"/>
      <c r="H393" s="29"/>
      <c r="I393" s="29"/>
      <c r="J393" s="29"/>
      <c r="K393" s="29"/>
      <c r="L393" s="29"/>
      <c r="M393" s="29"/>
      <c r="N393" s="29"/>
      <c r="O393" s="29"/>
      <c r="P393" s="29"/>
      <c r="Q393" s="29"/>
      <c r="R393" s="8"/>
    </row>
    <row r="394" spans="1:18" x14ac:dyDescent="0.2">
      <c r="A394" s="29"/>
      <c r="B394" s="29"/>
      <c r="C394" s="29"/>
      <c r="D394" s="29"/>
      <c r="E394" s="29"/>
      <c r="F394" s="29"/>
      <c r="G394" s="29"/>
      <c r="H394" s="29"/>
      <c r="I394" s="29"/>
      <c r="J394" s="29"/>
      <c r="K394" s="29"/>
      <c r="L394" s="29"/>
      <c r="M394" s="29"/>
      <c r="N394" s="29"/>
      <c r="O394" s="29"/>
      <c r="P394" s="29"/>
      <c r="Q394" s="29"/>
      <c r="R394" s="8"/>
    </row>
    <row r="395" spans="1:18" x14ac:dyDescent="0.2">
      <c r="A395" s="29"/>
      <c r="B395" s="29"/>
      <c r="C395" s="29"/>
      <c r="D395" s="29"/>
      <c r="E395" s="29"/>
      <c r="F395" s="29"/>
      <c r="G395" s="29"/>
      <c r="H395" s="29"/>
      <c r="I395" s="29"/>
      <c r="J395" s="29"/>
      <c r="K395" s="29"/>
      <c r="L395" s="29"/>
      <c r="M395" s="29"/>
      <c r="N395" s="29"/>
      <c r="O395" s="29"/>
      <c r="P395" s="29"/>
      <c r="Q395" s="29"/>
      <c r="R395" s="8"/>
    </row>
    <row r="396" spans="1:18" x14ac:dyDescent="0.2">
      <c r="A396" s="29"/>
      <c r="B396" s="29"/>
      <c r="C396" s="29"/>
      <c r="D396" s="29"/>
      <c r="E396" s="29"/>
      <c r="F396" s="29"/>
      <c r="G396" s="29"/>
      <c r="H396" s="29"/>
      <c r="I396" s="29"/>
      <c r="J396" s="29"/>
      <c r="K396" s="29"/>
      <c r="L396" s="29"/>
      <c r="M396" s="29"/>
      <c r="N396" s="29"/>
      <c r="O396" s="29"/>
      <c r="P396" s="29"/>
      <c r="Q396" s="29"/>
      <c r="R396" s="8"/>
    </row>
    <row r="397" spans="1:18" x14ac:dyDescent="0.2">
      <c r="A397" s="29"/>
      <c r="B397" s="29"/>
      <c r="C397" s="29"/>
      <c r="D397" s="29"/>
      <c r="E397" s="29"/>
      <c r="F397" s="29"/>
      <c r="G397" s="29"/>
      <c r="H397" s="29"/>
      <c r="I397" s="29"/>
      <c r="J397" s="29"/>
      <c r="K397" s="29"/>
      <c r="L397" s="29"/>
      <c r="M397" s="29"/>
      <c r="N397" s="29"/>
      <c r="O397" s="29"/>
      <c r="P397" s="29"/>
      <c r="Q397" s="29"/>
      <c r="R397" s="8"/>
    </row>
    <row r="398" spans="1:18" x14ac:dyDescent="0.2">
      <c r="A398" s="29"/>
      <c r="B398" s="29"/>
      <c r="C398" s="29"/>
      <c r="D398" s="29"/>
      <c r="E398" s="29"/>
      <c r="F398" s="29"/>
      <c r="G398" s="29"/>
      <c r="H398" s="29"/>
      <c r="I398" s="29"/>
      <c r="J398" s="29"/>
      <c r="K398" s="29"/>
      <c r="L398" s="29"/>
      <c r="M398" s="29"/>
      <c r="N398" s="29"/>
      <c r="O398" s="29"/>
      <c r="P398" s="29"/>
      <c r="Q398" s="29"/>
      <c r="R398" s="8"/>
    </row>
    <row r="399" spans="1:18" x14ac:dyDescent="0.2">
      <c r="A399" s="29"/>
      <c r="B399" s="29"/>
      <c r="C399" s="29"/>
      <c r="D399" s="29"/>
      <c r="E399" s="29"/>
      <c r="F399" s="29"/>
      <c r="G399" s="29"/>
      <c r="H399" s="29"/>
      <c r="I399" s="29"/>
      <c r="J399" s="29"/>
      <c r="K399" s="29"/>
      <c r="L399" s="29"/>
      <c r="M399" s="29"/>
      <c r="N399" s="29"/>
      <c r="O399" s="29"/>
      <c r="P399" s="29"/>
      <c r="Q399" s="29"/>
      <c r="R399" s="8"/>
    </row>
    <row r="400" spans="1:18" x14ac:dyDescent="0.2">
      <c r="A400" s="29"/>
      <c r="B400" s="29"/>
      <c r="C400" s="29"/>
      <c r="D400" s="29"/>
      <c r="E400" s="29"/>
      <c r="F400" s="29"/>
      <c r="G400" s="29"/>
      <c r="H400" s="29"/>
      <c r="I400" s="29"/>
      <c r="J400" s="29"/>
      <c r="K400" s="29"/>
      <c r="L400" s="29"/>
      <c r="M400" s="29"/>
      <c r="N400" s="29"/>
      <c r="O400" s="29"/>
      <c r="P400" s="29"/>
      <c r="Q400" s="29"/>
      <c r="R400" s="8"/>
    </row>
    <row r="401" spans="1:18" x14ac:dyDescent="0.2">
      <c r="A401" s="29"/>
      <c r="B401" s="29"/>
      <c r="C401" s="29"/>
      <c r="D401" s="29"/>
      <c r="E401" s="29"/>
      <c r="F401" s="29"/>
      <c r="G401" s="29"/>
      <c r="H401" s="29"/>
      <c r="I401" s="29"/>
      <c r="J401" s="29"/>
      <c r="K401" s="29"/>
      <c r="L401" s="29"/>
      <c r="M401" s="29"/>
      <c r="N401" s="29"/>
      <c r="O401" s="29"/>
      <c r="P401" s="29"/>
      <c r="Q401" s="29"/>
      <c r="R401" s="8"/>
    </row>
    <row r="402" spans="1:18" x14ac:dyDescent="0.2">
      <c r="A402" s="29"/>
      <c r="B402" s="29"/>
      <c r="C402" s="29"/>
      <c r="D402" s="29"/>
      <c r="E402" s="29"/>
      <c r="F402" s="29"/>
      <c r="G402" s="29"/>
      <c r="H402" s="29"/>
      <c r="I402" s="29"/>
      <c r="J402" s="29"/>
      <c r="K402" s="29"/>
      <c r="L402" s="29"/>
      <c r="M402" s="29"/>
      <c r="N402" s="29"/>
      <c r="O402" s="29"/>
      <c r="P402" s="29"/>
      <c r="Q402" s="29"/>
      <c r="R402" s="8"/>
    </row>
    <row r="403" spans="1:18" x14ac:dyDescent="0.2">
      <c r="A403" s="29"/>
      <c r="B403" s="29"/>
      <c r="C403" s="29"/>
      <c r="D403" s="29"/>
      <c r="E403" s="29"/>
      <c r="F403" s="29"/>
      <c r="G403" s="29"/>
      <c r="H403" s="29"/>
      <c r="I403" s="29"/>
      <c r="J403" s="29"/>
      <c r="K403" s="29"/>
      <c r="L403" s="29"/>
      <c r="M403" s="29"/>
      <c r="N403" s="29"/>
      <c r="O403" s="29"/>
      <c r="P403" s="29"/>
      <c r="Q403" s="29"/>
      <c r="R403" s="8"/>
    </row>
    <row r="404" spans="1:18" x14ac:dyDescent="0.2">
      <c r="A404" s="29"/>
      <c r="B404" s="29"/>
      <c r="C404" s="29"/>
      <c r="D404" s="29"/>
      <c r="E404" s="29"/>
      <c r="F404" s="29"/>
      <c r="G404" s="29"/>
      <c r="H404" s="29"/>
      <c r="I404" s="29"/>
      <c r="J404" s="29"/>
      <c r="K404" s="29"/>
      <c r="L404" s="29"/>
      <c r="M404" s="29"/>
      <c r="N404" s="29"/>
      <c r="O404" s="29"/>
      <c r="P404" s="29"/>
      <c r="Q404" s="29"/>
      <c r="R404" s="8"/>
    </row>
    <row r="405" spans="1:18" x14ac:dyDescent="0.2">
      <c r="A405" s="29"/>
      <c r="B405" s="29"/>
      <c r="C405" s="29"/>
      <c r="D405" s="29"/>
      <c r="E405" s="29"/>
      <c r="F405" s="29"/>
      <c r="G405" s="29"/>
      <c r="H405" s="29"/>
      <c r="I405" s="29"/>
      <c r="J405" s="29"/>
      <c r="K405" s="29"/>
      <c r="L405" s="29"/>
      <c r="M405" s="29"/>
      <c r="N405" s="29"/>
      <c r="O405" s="29"/>
      <c r="P405" s="29"/>
      <c r="Q405" s="29"/>
      <c r="R405" s="8"/>
    </row>
    <row r="406" spans="1:18" x14ac:dyDescent="0.2">
      <c r="A406" s="29"/>
      <c r="B406" s="29"/>
      <c r="C406" s="29"/>
      <c r="D406" s="29"/>
      <c r="E406" s="29"/>
      <c r="F406" s="29"/>
      <c r="G406" s="29"/>
      <c r="H406" s="29"/>
      <c r="I406" s="29"/>
      <c r="J406" s="29"/>
      <c r="K406" s="29"/>
      <c r="L406" s="29"/>
      <c r="M406" s="29"/>
      <c r="N406" s="29"/>
      <c r="O406" s="29"/>
      <c r="P406" s="29"/>
      <c r="Q406" s="29"/>
      <c r="R406" s="8"/>
    </row>
    <row r="407" spans="1:18" x14ac:dyDescent="0.2">
      <c r="A407" s="29"/>
      <c r="B407" s="29"/>
      <c r="C407" s="29"/>
      <c r="D407" s="29"/>
      <c r="E407" s="29"/>
      <c r="F407" s="29"/>
      <c r="G407" s="29"/>
      <c r="H407" s="29"/>
      <c r="I407" s="29"/>
      <c r="J407" s="29"/>
      <c r="K407" s="29"/>
      <c r="L407" s="29"/>
      <c r="M407" s="29"/>
      <c r="N407" s="29"/>
      <c r="O407" s="29"/>
      <c r="P407" s="29"/>
      <c r="Q407" s="29"/>
      <c r="R407" s="8"/>
    </row>
    <row r="408" spans="1:18" x14ac:dyDescent="0.2">
      <c r="A408" s="29"/>
      <c r="B408" s="29"/>
      <c r="C408" s="29"/>
      <c r="D408" s="29"/>
      <c r="E408" s="29"/>
      <c r="F408" s="29"/>
      <c r="G408" s="29"/>
      <c r="H408" s="29"/>
      <c r="I408" s="29"/>
      <c r="J408" s="29"/>
      <c r="K408" s="29"/>
      <c r="L408" s="29"/>
      <c r="M408" s="29"/>
      <c r="N408" s="29"/>
      <c r="O408" s="29"/>
      <c r="P408" s="29"/>
      <c r="Q408" s="29"/>
      <c r="R408" s="8"/>
    </row>
    <row r="409" spans="1:18" x14ac:dyDescent="0.2">
      <c r="A409" s="29"/>
      <c r="B409" s="29"/>
      <c r="C409" s="29"/>
      <c r="D409" s="29"/>
      <c r="E409" s="29"/>
      <c r="F409" s="29"/>
      <c r="G409" s="29"/>
      <c r="H409" s="29"/>
      <c r="I409" s="29"/>
      <c r="J409" s="29"/>
      <c r="K409" s="29"/>
      <c r="L409" s="29"/>
      <c r="M409" s="29"/>
      <c r="N409" s="29"/>
      <c r="O409" s="29"/>
      <c r="P409" s="29"/>
      <c r="Q409" s="29"/>
      <c r="R409" s="8"/>
    </row>
    <row r="410" spans="1:18" x14ac:dyDescent="0.2">
      <c r="A410" s="29"/>
      <c r="B410" s="29"/>
      <c r="C410" s="29"/>
      <c r="D410" s="29"/>
      <c r="E410" s="29"/>
      <c r="F410" s="29"/>
      <c r="G410" s="29"/>
      <c r="H410" s="29"/>
      <c r="I410" s="29"/>
      <c r="J410" s="29"/>
      <c r="K410" s="29"/>
      <c r="L410" s="29"/>
      <c r="M410" s="29"/>
      <c r="N410" s="29"/>
      <c r="O410" s="29"/>
      <c r="P410" s="29"/>
      <c r="Q410" s="29"/>
      <c r="R410" s="8"/>
    </row>
    <row r="411" spans="1:18" x14ac:dyDescent="0.2">
      <c r="A411" s="29"/>
      <c r="B411" s="29"/>
      <c r="C411" s="29"/>
      <c r="D411" s="29"/>
      <c r="E411" s="29"/>
      <c r="F411" s="29"/>
      <c r="G411" s="29"/>
      <c r="H411" s="29"/>
      <c r="I411" s="29"/>
      <c r="J411" s="29"/>
      <c r="K411" s="29"/>
      <c r="L411" s="29"/>
      <c r="M411" s="29"/>
      <c r="N411" s="29"/>
      <c r="O411" s="29"/>
      <c r="P411" s="29"/>
      <c r="Q411" s="29"/>
      <c r="R411" s="8"/>
    </row>
    <row r="412" spans="1:18" x14ac:dyDescent="0.2">
      <c r="A412" s="29"/>
      <c r="B412" s="29"/>
      <c r="C412" s="29"/>
      <c r="D412" s="29"/>
      <c r="E412" s="29"/>
      <c r="F412" s="29"/>
      <c r="G412" s="29"/>
      <c r="H412" s="29"/>
      <c r="I412" s="29"/>
      <c r="J412" s="29"/>
      <c r="K412" s="29"/>
      <c r="L412" s="29"/>
      <c r="M412" s="29"/>
      <c r="N412" s="29"/>
      <c r="O412" s="29"/>
      <c r="P412" s="29"/>
      <c r="Q412" s="29"/>
      <c r="R412" s="8"/>
    </row>
    <row r="413" spans="1:18" x14ac:dyDescent="0.2">
      <c r="A413" s="29"/>
      <c r="B413" s="29"/>
      <c r="C413" s="29"/>
      <c r="D413" s="29"/>
      <c r="E413" s="29"/>
      <c r="F413" s="29"/>
      <c r="G413" s="29"/>
      <c r="H413" s="29"/>
      <c r="I413" s="29"/>
      <c r="J413" s="29"/>
      <c r="K413" s="29"/>
      <c r="L413" s="29"/>
      <c r="M413" s="29"/>
      <c r="N413" s="29"/>
      <c r="O413" s="29"/>
      <c r="P413" s="29"/>
      <c r="Q413" s="29"/>
      <c r="R413" s="8"/>
    </row>
    <row r="414" spans="1:18" x14ac:dyDescent="0.2">
      <c r="A414" s="29"/>
      <c r="B414" s="29"/>
      <c r="C414" s="29"/>
      <c r="D414" s="29"/>
      <c r="E414" s="29"/>
      <c r="F414" s="29"/>
      <c r="G414" s="29"/>
      <c r="H414" s="29"/>
      <c r="I414" s="29"/>
      <c r="J414" s="29"/>
      <c r="K414" s="29"/>
      <c r="L414" s="29"/>
      <c r="M414" s="29"/>
      <c r="N414" s="29"/>
      <c r="O414" s="29"/>
      <c r="P414" s="29"/>
      <c r="Q414" s="29"/>
      <c r="R414" s="8"/>
    </row>
    <row r="415" spans="1:18" x14ac:dyDescent="0.2">
      <c r="A415" s="29"/>
      <c r="B415" s="29"/>
      <c r="C415" s="29"/>
      <c r="D415" s="29"/>
      <c r="E415" s="29"/>
      <c r="F415" s="29"/>
      <c r="G415" s="29"/>
      <c r="H415" s="29"/>
      <c r="I415" s="29"/>
      <c r="J415" s="29"/>
      <c r="K415" s="29"/>
      <c r="L415" s="29"/>
      <c r="M415" s="29"/>
      <c r="N415" s="29"/>
      <c r="O415" s="29"/>
      <c r="P415" s="29"/>
      <c r="Q415" s="29"/>
      <c r="R415" s="8"/>
    </row>
    <row r="416" spans="1:18" x14ac:dyDescent="0.2">
      <c r="A416" s="29"/>
      <c r="B416" s="29"/>
      <c r="C416" s="29"/>
      <c r="D416" s="29"/>
      <c r="E416" s="29"/>
      <c r="F416" s="29"/>
      <c r="G416" s="29"/>
      <c r="H416" s="29"/>
      <c r="I416" s="29"/>
      <c r="J416" s="29"/>
      <c r="K416" s="29"/>
      <c r="L416" s="29"/>
      <c r="M416" s="29"/>
      <c r="N416" s="29"/>
      <c r="O416" s="29"/>
      <c r="P416" s="29"/>
      <c r="Q416" s="29"/>
      <c r="R416" s="8"/>
    </row>
    <row r="417" spans="1:18" x14ac:dyDescent="0.2">
      <c r="A417" s="29"/>
      <c r="B417" s="29"/>
      <c r="C417" s="29"/>
      <c r="D417" s="29"/>
      <c r="E417" s="29"/>
      <c r="F417" s="29"/>
      <c r="G417" s="29"/>
      <c r="H417" s="29"/>
      <c r="I417" s="29"/>
      <c r="J417" s="29"/>
      <c r="K417" s="29"/>
      <c r="L417" s="29"/>
      <c r="M417" s="29"/>
      <c r="N417" s="29"/>
      <c r="O417" s="29"/>
      <c r="P417" s="29"/>
      <c r="Q417" s="29"/>
      <c r="R417" s="8"/>
    </row>
    <row r="418" spans="1:18" x14ac:dyDescent="0.2">
      <c r="A418" s="29"/>
      <c r="B418" s="29"/>
      <c r="C418" s="29"/>
      <c r="D418" s="29"/>
      <c r="E418" s="29"/>
      <c r="F418" s="29"/>
      <c r="G418" s="29"/>
      <c r="H418" s="29"/>
      <c r="I418" s="29"/>
      <c r="J418" s="29"/>
      <c r="K418" s="29"/>
      <c r="L418" s="29"/>
      <c r="M418" s="29"/>
      <c r="N418" s="29"/>
      <c r="O418" s="29"/>
      <c r="P418" s="29"/>
      <c r="Q418" s="29"/>
      <c r="R418" s="8"/>
    </row>
    <row r="419" spans="1:18" x14ac:dyDescent="0.2">
      <c r="A419" s="29"/>
      <c r="B419" s="29"/>
      <c r="C419" s="29"/>
      <c r="D419" s="29"/>
      <c r="E419" s="29"/>
      <c r="F419" s="29"/>
      <c r="G419" s="29"/>
      <c r="H419" s="29"/>
      <c r="I419" s="29"/>
      <c r="J419" s="29"/>
      <c r="K419" s="29"/>
      <c r="L419" s="29"/>
      <c r="M419" s="29"/>
      <c r="N419" s="29"/>
      <c r="O419" s="29"/>
      <c r="P419" s="29"/>
      <c r="Q419" s="29"/>
      <c r="R419" s="8"/>
    </row>
    <row r="420" spans="1:18" x14ac:dyDescent="0.2">
      <c r="A420" s="29"/>
      <c r="B420" s="29"/>
      <c r="C420" s="29"/>
      <c r="D420" s="29"/>
      <c r="E420" s="29"/>
      <c r="F420" s="29"/>
      <c r="G420" s="29"/>
      <c r="H420" s="29"/>
      <c r="I420" s="29"/>
      <c r="J420" s="29"/>
      <c r="K420" s="29"/>
      <c r="L420" s="29"/>
      <c r="M420" s="29"/>
      <c r="N420" s="29"/>
      <c r="O420" s="29"/>
      <c r="P420" s="29"/>
      <c r="Q420" s="29"/>
      <c r="R420" s="8"/>
    </row>
    <row r="421" spans="1:18" x14ac:dyDescent="0.2">
      <c r="A421" s="29"/>
      <c r="B421" s="29"/>
      <c r="C421" s="29"/>
      <c r="D421" s="29"/>
      <c r="E421" s="29"/>
      <c r="F421" s="29"/>
      <c r="G421" s="29"/>
      <c r="H421" s="29"/>
      <c r="I421" s="29"/>
      <c r="J421" s="29"/>
      <c r="K421" s="29"/>
      <c r="L421" s="29"/>
      <c r="M421" s="29"/>
      <c r="N421" s="29"/>
      <c r="O421" s="29"/>
      <c r="P421" s="29"/>
      <c r="Q421" s="29"/>
      <c r="R421" s="8"/>
    </row>
    <row r="422" spans="1:18" x14ac:dyDescent="0.2">
      <c r="A422" s="29"/>
      <c r="B422" s="29"/>
      <c r="C422" s="29"/>
      <c r="D422" s="29"/>
      <c r="E422" s="29"/>
      <c r="F422" s="29"/>
      <c r="G422" s="29"/>
      <c r="H422" s="29"/>
      <c r="I422" s="29"/>
      <c r="J422" s="29"/>
      <c r="K422" s="29"/>
      <c r="L422" s="29"/>
      <c r="M422" s="29"/>
      <c r="N422" s="29"/>
      <c r="O422" s="29"/>
      <c r="P422" s="29"/>
      <c r="Q422" s="29"/>
      <c r="R422" s="8"/>
    </row>
    <row r="423" spans="1:18" x14ac:dyDescent="0.2">
      <c r="A423" s="29"/>
      <c r="B423" s="29"/>
      <c r="C423" s="29"/>
      <c r="D423" s="29"/>
      <c r="E423" s="29"/>
      <c r="F423" s="29"/>
      <c r="G423" s="29"/>
      <c r="H423" s="29"/>
      <c r="I423" s="29"/>
      <c r="J423" s="29"/>
      <c r="K423" s="29"/>
      <c r="L423" s="29"/>
      <c r="M423" s="29"/>
      <c r="N423" s="29"/>
      <c r="O423" s="29"/>
      <c r="P423" s="29"/>
      <c r="Q423" s="29"/>
      <c r="R423" s="8"/>
    </row>
    <row r="424" spans="1:18" x14ac:dyDescent="0.2">
      <c r="A424" s="29"/>
      <c r="B424" s="29"/>
      <c r="C424" s="29"/>
      <c r="D424" s="29"/>
      <c r="E424" s="29"/>
      <c r="F424" s="29"/>
      <c r="G424" s="29"/>
      <c r="H424" s="29"/>
      <c r="I424" s="29"/>
      <c r="J424" s="29"/>
      <c r="K424" s="29"/>
      <c r="L424" s="29"/>
      <c r="M424" s="29"/>
      <c r="N424" s="29"/>
      <c r="O424" s="29"/>
      <c r="P424" s="29"/>
      <c r="Q424" s="29"/>
      <c r="R424" s="8"/>
    </row>
    <row r="425" spans="1:18" x14ac:dyDescent="0.2">
      <c r="A425" s="29"/>
      <c r="B425" s="29"/>
      <c r="C425" s="29"/>
      <c r="D425" s="29"/>
      <c r="E425" s="29"/>
      <c r="F425" s="29"/>
      <c r="G425" s="29"/>
      <c r="H425" s="29"/>
      <c r="I425" s="29"/>
      <c r="J425" s="29"/>
      <c r="K425" s="29"/>
      <c r="L425" s="29"/>
      <c r="M425" s="29"/>
      <c r="N425" s="29"/>
      <c r="O425" s="29"/>
      <c r="P425" s="29"/>
      <c r="Q425" s="29"/>
      <c r="R425" s="8"/>
    </row>
    <row r="426" spans="1:18" x14ac:dyDescent="0.2">
      <c r="A426" s="29"/>
      <c r="B426" s="29"/>
      <c r="C426" s="29"/>
      <c r="D426" s="29"/>
      <c r="E426" s="29"/>
      <c r="F426" s="29"/>
      <c r="G426" s="29"/>
      <c r="H426" s="29"/>
      <c r="I426" s="29"/>
      <c r="J426" s="29"/>
      <c r="K426" s="29"/>
      <c r="L426" s="29"/>
      <c r="M426" s="29"/>
      <c r="N426" s="29"/>
      <c r="O426" s="29"/>
      <c r="P426" s="29"/>
      <c r="Q426" s="29"/>
      <c r="R426" s="8"/>
    </row>
    <row r="427" spans="1:18" x14ac:dyDescent="0.2">
      <c r="A427" s="29"/>
      <c r="B427" s="29"/>
      <c r="C427" s="29"/>
      <c r="D427" s="29"/>
      <c r="E427" s="29"/>
      <c r="F427" s="29"/>
      <c r="G427" s="29"/>
      <c r="H427" s="29"/>
      <c r="I427" s="29"/>
      <c r="J427" s="29"/>
      <c r="K427" s="29"/>
      <c r="L427" s="29"/>
      <c r="M427" s="29"/>
      <c r="N427" s="29"/>
      <c r="O427" s="29"/>
      <c r="P427" s="29"/>
      <c r="Q427" s="29"/>
      <c r="R427" s="8"/>
    </row>
    <row r="428" spans="1:18" x14ac:dyDescent="0.2">
      <c r="A428" s="29"/>
      <c r="B428" s="29"/>
      <c r="C428" s="29"/>
      <c r="D428" s="29"/>
      <c r="E428" s="29"/>
      <c r="F428" s="29"/>
      <c r="G428" s="29"/>
      <c r="H428" s="29"/>
      <c r="I428" s="29"/>
      <c r="J428" s="29"/>
      <c r="K428" s="29"/>
      <c r="L428" s="29"/>
      <c r="M428" s="29"/>
      <c r="N428" s="29"/>
      <c r="O428" s="29"/>
      <c r="P428" s="29"/>
      <c r="Q428" s="29"/>
      <c r="R428" s="8"/>
    </row>
    <row r="429" spans="1:18" x14ac:dyDescent="0.2">
      <c r="A429" s="29"/>
      <c r="B429" s="29"/>
      <c r="C429" s="29"/>
      <c r="D429" s="29"/>
      <c r="E429" s="29"/>
      <c r="F429" s="29"/>
      <c r="G429" s="29"/>
      <c r="H429" s="29"/>
      <c r="I429" s="29"/>
      <c r="J429" s="29"/>
      <c r="K429" s="29"/>
      <c r="L429" s="29"/>
      <c r="M429" s="29"/>
      <c r="N429" s="29"/>
      <c r="O429" s="29"/>
      <c r="P429" s="29"/>
      <c r="Q429" s="29"/>
      <c r="R429" s="8"/>
    </row>
    <row r="430" spans="1:18" x14ac:dyDescent="0.2">
      <c r="A430" s="29"/>
      <c r="B430" s="29"/>
      <c r="C430" s="29"/>
      <c r="D430" s="29"/>
      <c r="E430" s="29"/>
      <c r="F430" s="29"/>
      <c r="G430" s="29"/>
      <c r="H430" s="29"/>
      <c r="I430" s="29"/>
      <c r="J430" s="29"/>
      <c r="K430" s="29"/>
      <c r="L430" s="29"/>
      <c r="M430" s="29"/>
      <c r="N430" s="29"/>
      <c r="O430" s="29"/>
      <c r="P430" s="29"/>
      <c r="Q430" s="29"/>
      <c r="R430" s="8"/>
    </row>
    <row r="431" spans="1:18" x14ac:dyDescent="0.2">
      <c r="A431" s="28"/>
      <c r="B431" s="28"/>
      <c r="C431" s="28"/>
      <c r="D431" s="28"/>
      <c r="E431" s="28"/>
      <c r="F431" s="28"/>
      <c r="G431" s="28"/>
      <c r="H431" s="28"/>
      <c r="I431" s="28"/>
      <c r="J431" s="28"/>
      <c r="K431" s="28"/>
      <c r="L431" s="28"/>
      <c r="M431" s="29"/>
      <c r="N431" s="29"/>
      <c r="O431" s="29"/>
      <c r="P431" s="29"/>
      <c r="Q431" s="29"/>
      <c r="R431" s="8"/>
    </row>
    <row r="432" spans="1:18" ht="16.5" x14ac:dyDescent="0.25">
      <c r="A432" s="492" t="str">
        <f>IF(SUM(S80:S84)=5,"Исходные данные вводить в ячейки столбца Н и протягивать ячейку до столбца L","")</f>
        <v/>
      </c>
      <c r="B432" s="29"/>
      <c r="C432" s="29"/>
      <c r="D432" s="29"/>
      <c r="E432" s="29"/>
      <c r="F432" s="29"/>
      <c r="G432" s="29"/>
      <c r="H432" s="29"/>
      <c r="I432" s="461"/>
      <c r="J432" s="199"/>
      <c r="K432" s="15"/>
      <c r="L432" s="15"/>
      <c r="M432" s="29"/>
      <c r="N432" s="29"/>
      <c r="O432" s="29"/>
      <c r="P432" s="29"/>
      <c r="Q432" s="29"/>
      <c r="R432" s="8"/>
    </row>
    <row r="433" spans="1:18" x14ac:dyDescent="0.2">
      <c r="C433" s="83" t="s">
        <v>4787</v>
      </c>
      <c r="M433" s="29"/>
      <c r="N433" s="29"/>
      <c r="O433" s="29"/>
      <c r="P433" s="29"/>
      <c r="Q433" s="29"/>
      <c r="R433" s="8"/>
    </row>
    <row r="434" spans="1:18" x14ac:dyDescent="0.2">
      <c r="A434" s="70" t="s">
        <v>4280</v>
      </c>
      <c r="C434" s="70"/>
      <c r="D434" s="70"/>
      <c r="E434" s="70"/>
      <c r="F434" s="70"/>
      <c r="G434" s="70"/>
      <c r="H434" s="814">
        <f>IF(kursovoy!$B$208&gt;3,2,1)</f>
        <v>2</v>
      </c>
      <c r="I434" s="814">
        <f>IF(kursovoy!$B$208&gt;3,2,1)</f>
        <v>2</v>
      </c>
      <c r="J434" s="814">
        <f>IF(kursovoy!$B$208&gt;3,2,1)</f>
        <v>2</v>
      </c>
      <c r="K434" s="814">
        <f>IF(kursovoy!$B$208&gt;3,2,1)</f>
        <v>2</v>
      </c>
      <c r="L434" s="814">
        <f>IF(kursovoy!$B$208&gt;3,2,1)</f>
        <v>2</v>
      </c>
      <c r="M434" s="29"/>
      <c r="N434" s="29"/>
      <c r="O434" s="29"/>
      <c r="P434" s="29"/>
      <c r="Q434" s="29"/>
      <c r="R434" s="8"/>
    </row>
    <row r="435" spans="1:18" x14ac:dyDescent="0.2">
      <c r="A435" s="11"/>
      <c r="C435" s="4518" t="s">
        <v>4788</v>
      </c>
      <c r="D435" s="4519"/>
      <c r="E435" s="4519"/>
      <c r="F435" s="4519"/>
      <c r="G435" s="4519"/>
      <c r="H435" s="4519"/>
      <c r="M435" s="29"/>
      <c r="N435" s="29"/>
      <c r="O435" s="29"/>
      <c r="P435" s="29"/>
      <c r="Q435" s="29"/>
      <c r="R435" s="8"/>
    </row>
    <row r="436" spans="1:18" ht="33.75" customHeight="1" x14ac:dyDescent="0.2">
      <c r="B436" s="4445" t="s">
        <v>4007</v>
      </c>
      <c r="C436" s="4375"/>
      <c r="D436" s="4375"/>
      <c r="E436" s="4375"/>
      <c r="F436" s="4375"/>
      <c r="G436" s="4375"/>
      <c r="H436" s="1108">
        <f>IF(kursovoy!$B$208&gt;3,1,2)</f>
        <v>1</v>
      </c>
      <c r="I436" s="1108">
        <f>IF(kursovoy!$B$208&gt;3,1,2)</f>
        <v>1</v>
      </c>
      <c r="J436" s="1108">
        <f>IF(kursovoy!$B$208&gt;3,1,2)</f>
        <v>1</v>
      </c>
      <c r="K436" s="1108">
        <f>IF(kursovoy!$B$208&gt;3,1,2)</f>
        <v>1</v>
      </c>
      <c r="L436" s="1108">
        <f>IF(kursovoy!$B$208&gt;3,1,2)</f>
        <v>1</v>
      </c>
      <c r="M436" s="29"/>
      <c r="N436" s="29"/>
      <c r="O436" s="29"/>
      <c r="P436" s="29"/>
      <c r="Q436" s="29"/>
      <c r="R436" s="8"/>
    </row>
    <row r="437" spans="1:18" ht="15" x14ac:dyDescent="0.25">
      <c r="A437" s="516" t="s">
        <v>4368</v>
      </c>
      <c r="M437" s="29"/>
      <c r="N437" s="29"/>
      <c r="O437" s="29"/>
      <c r="P437" s="29"/>
      <c r="Q437" s="29"/>
      <c r="R437" s="8"/>
    </row>
    <row r="438" spans="1:18" ht="15" x14ac:dyDescent="0.25">
      <c r="A438" s="199"/>
      <c r="B438" s="27" t="s">
        <v>4117</v>
      </c>
      <c r="C438" s="27"/>
      <c r="D438" s="25"/>
      <c r="E438" s="27"/>
      <c r="F438" s="27"/>
      <c r="G438" s="27"/>
      <c r="H438" s="344" t="e">
        <f>kursovoy!#REF!</f>
        <v>#REF!</v>
      </c>
      <c r="I438" s="344" t="e">
        <f>kursovoy!#REF!</f>
        <v>#REF!</v>
      </c>
      <c r="J438" s="344" t="e">
        <f>kursovoy!#REF!</f>
        <v>#REF!</v>
      </c>
      <c r="K438" s="344" t="e">
        <f>kursovoy!#REF!</f>
        <v>#REF!</v>
      </c>
      <c r="L438" s="344" t="e">
        <f>kursovoy!#REF!</f>
        <v>#REF!</v>
      </c>
      <c r="M438" s="29"/>
      <c r="N438" s="29"/>
      <c r="O438" s="29"/>
      <c r="P438" s="29"/>
      <c r="Q438" s="29"/>
      <c r="R438" s="8"/>
    </row>
    <row r="439" spans="1:18" ht="15" x14ac:dyDescent="0.25">
      <c r="A439" s="199"/>
      <c r="B439" s="27" t="s">
        <v>4118</v>
      </c>
      <c r="C439" s="27"/>
      <c r="D439" s="25"/>
      <c r="E439" s="27"/>
      <c r="F439" s="27"/>
      <c r="G439" s="27"/>
      <c r="H439" s="344" t="e">
        <f>kursovoy!#REF!</f>
        <v>#REF!</v>
      </c>
      <c r="I439" s="344" t="e">
        <f>kursovoy!#REF!</f>
        <v>#REF!</v>
      </c>
      <c r="J439" s="344" t="e">
        <f>kursovoy!#REF!</f>
        <v>#REF!</v>
      </c>
      <c r="K439" s="344" t="e">
        <f>kursovoy!#REF!</f>
        <v>#REF!</v>
      </c>
      <c r="L439" s="344" t="e">
        <f>kursovoy!#REF!</f>
        <v>#REF!</v>
      </c>
      <c r="M439" s="29"/>
      <c r="N439" s="29"/>
      <c r="O439" s="29"/>
      <c r="P439" s="29"/>
      <c r="Q439" s="29"/>
      <c r="R439" s="8"/>
    </row>
    <row r="440" spans="1:18" ht="15" x14ac:dyDescent="0.25">
      <c r="A440" s="199"/>
      <c r="B440" s="27" t="s">
        <v>4119</v>
      </c>
      <c r="C440" s="27"/>
      <c r="D440" s="25"/>
      <c r="E440" s="27"/>
      <c r="F440" s="27"/>
      <c r="G440" s="27"/>
      <c r="H440" s="344">
        <f>kursovoy!$B$891</f>
        <v>0</v>
      </c>
      <c r="I440" s="344">
        <f>kursovoy!$B$891</f>
        <v>0</v>
      </c>
      <c r="J440" s="344">
        <f>kursovoy!$B$891</f>
        <v>0</v>
      </c>
      <c r="K440" s="344">
        <f>kursovoy!$B$891</f>
        <v>0</v>
      </c>
      <c r="L440" s="344">
        <f>kursovoy!$B$891</f>
        <v>0</v>
      </c>
      <c r="M440" s="29"/>
      <c r="N440" s="29"/>
      <c r="O440" s="29"/>
      <c r="P440" s="29"/>
      <c r="Q440" s="29"/>
      <c r="R440" s="8"/>
    </row>
    <row r="441" spans="1:18" ht="15" x14ac:dyDescent="0.25">
      <c r="A441" s="199"/>
      <c r="B441" s="4375" t="s">
        <v>3868</v>
      </c>
      <c r="C441" s="4442"/>
      <c r="D441" s="4442"/>
      <c r="E441" s="4442"/>
      <c r="F441" s="4442"/>
      <c r="G441" s="4442"/>
      <c r="H441" s="512">
        <v>20</v>
      </c>
      <c r="I441" s="512">
        <v>20</v>
      </c>
      <c r="J441" s="512">
        <v>20</v>
      </c>
      <c r="K441" s="512">
        <v>20</v>
      </c>
      <c r="L441" s="512">
        <v>20</v>
      </c>
      <c r="M441" s="29"/>
      <c r="N441" s="29"/>
      <c r="O441" s="29"/>
      <c r="P441" s="29"/>
      <c r="Q441" s="29"/>
      <c r="R441" s="8"/>
    </row>
    <row r="442" spans="1:18" ht="15" x14ac:dyDescent="0.25">
      <c r="A442" s="11"/>
      <c r="B442" s="25" t="s">
        <v>2881</v>
      </c>
      <c r="C442" s="25"/>
      <c r="D442" s="25"/>
      <c r="E442" s="25"/>
      <c r="F442" s="25"/>
      <c r="G442" s="25"/>
      <c r="H442" s="94"/>
      <c r="I442" s="199"/>
      <c r="J442" s="518"/>
      <c r="K442" s="198"/>
      <c r="L442" s="15"/>
      <c r="M442" s="29"/>
      <c r="N442" s="29"/>
      <c r="O442" s="29"/>
      <c r="P442" s="29"/>
      <c r="Q442" s="29"/>
      <c r="R442" s="8"/>
    </row>
    <row r="443" spans="1:18" ht="14.25" x14ac:dyDescent="0.2">
      <c r="A443" s="13" t="s">
        <v>4120</v>
      </c>
      <c r="B443" s="11"/>
      <c r="C443" s="11"/>
      <c r="D443" s="11"/>
      <c r="E443" s="11"/>
      <c r="F443" s="11"/>
      <c r="G443" s="11"/>
      <c r="H443" s="11"/>
      <c r="I443" s="117"/>
      <c r="J443" s="518"/>
      <c r="K443" s="198"/>
      <c r="L443" s="15"/>
      <c r="M443" s="29"/>
      <c r="N443" s="29"/>
      <c r="O443" s="29"/>
      <c r="P443" s="29"/>
      <c r="Q443" s="29"/>
      <c r="R443" s="8"/>
    </row>
    <row r="444" spans="1:18" ht="15" x14ac:dyDescent="0.25">
      <c r="A444" s="199"/>
      <c r="B444" s="11" t="s">
        <v>4121</v>
      </c>
      <c r="C444" s="11"/>
      <c r="D444" s="11"/>
      <c r="E444" s="11"/>
      <c r="F444" s="11"/>
      <c r="G444" s="11"/>
      <c r="H444" s="816">
        <f>kursovoy!$B$894</f>
        <v>0</v>
      </c>
      <c r="I444" s="816">
        <f>kursovoy!$B$894</f>
        <v>0</v>
      </c>
      <c r="J444" s="816">
        <f>kursovoy!$B$894</f>
        <v>0</v>
      </c>
      <c r="K444" s="816">
        <f>kursovoy!$B$894</f>
        <v>0</v>
      </c>
      <c r="L444" s="816">
        <f>kursovoy!$B$894</f>
        <v>0</v>
      </c>
      <c r="M444" s="29"/>
      <c r="N444" s="29"/>
      <c r="O444" s="29"/>
      <c r="P444" s="29"/>
      <c r="Q444" s="29"/>
      <c r="R444" s="8"/>
    </row>
    <row r="445" spans="1:18" ht="15" x14ac:dyDescent="0.25">
      <c r="A445" s="199"/>
      <c r="B445" s="11" t="s">
        <v>4126</v>
      </c>
      <c r="C445" s="11"/>
      <c r="D445" s="11"/>
      <c r="E445" s="11"/>
      <c r="F445" s="11"/>
      <c r="G445" s="11"/>
      <c r="H445" s="816">
        <f>kursovoy!$B$895</f>
        <v>0</v>
      </c>
      <c r="I445" s="816">
        <f>kursovoy!$B$895</f>
        <v>0</v>
      </c>
      <c r="J445" s="816">
        <f>kursovoy!$B$895</f>
        <v>0</v>
      </c>
      <c r="K445" s="816">
        <f>kursovoy!$B$895</f>
        <v>0</v>
      </c>
      <c r="L445" s="816">
        <f>kursovoy!$B$895</f>
        <v>0</v>
      </c>
      <c r="M445" s="29"/>
      <c r="N445" s="29"/>
      <c r="O445" s="29"/>
      <c r="P445" s="29"/>
      <c r="Q445" s="29"/>
      <c r="R445" s="8"/>
    </row>
    <row r="446" spans="1:18" ht="15" x14ac:dyDescent="0.25">
      <c r="A446" s="199"/>
      <c r="B446" s="11" t="s">
        <v>959</v>
      </c>
      <c r="C446" s="11"/>
      <c r="D446" s="11"/>
      <c r="E446" s="11"/>
      <c r="F446" s="11"/>
      <c r="G446" s="11"/>
      <c r="H446" s="816">
        <f>IF(kursovoy!$B$500=2,1,kursovoy!$B$901)</f>
        <v>0</v>
      </c>
      <c r="I446" s="816">
        <f>IF(kursovoy!$B$500=2,1,kursovoy!$B$901)</f>
        <v>0</v>
      </c>
      <c r="J446" s="816">
        <f>IF(kursovoy!$B$500=2,1,kursovoy!$B$901)</f>
        <v>0</v>
      </c>
      <c r="K446" s="816">
        <f>IF(kursovoy!$B$500=2,1,kursovoy!$B$901)</f>
        <v>0</v>
      </c>
      <c r="L446" s="816">
        <f>IF(kursovoy!$B$500=2,1,kursovoy!$B$901)</f>
        <v>0</v>
      </c>
      <c r="M446" s="29"/>
      <c r="N446" s="29"/>
      <c r="O446" s="29"/>
      <c r="P446" s="29"/>
      <c r="Q446" s="29"/>
      <c r="R446" s="8"/>
    </row>
    <row r="447" spans="1:18" ht="15" x14ac:dyDescent="0.25">
      <c r="A447" s="13" t="s">
        <v>1548</v>
      </c>
      <c r="B447" s="199"/>
      <c r="C447" s="11"/>
      <c r="D447" s="11"/>
      <c r="E447" s="11"/>
      <c r="F447" s="11"/>
      <c r="G447" s="11"/>
      <c r="H447" s="497"/>
      <c r="I447" s="497"/>
      <c r="J447" s="497"/>
      <c r="K447" s="497"/>
      <c r="L447" s="497"/>
      <c r="M447" s="29"/>
      <c r="N447" s="29"/>
      <c r="O447" s="29"/>
      <c r="P447" s="29"/>
      <c r="Q447" s="29"/>
      <c r="R447" s="8"/>
    </row>
    <row r="448" spans="1:18" ht="15" x14ac:dyDescent="0.25">
      <c r="A448" s="199"/>
      <c r="B448" s="11" t="s">
        <v>4121</v>
      </c>
      <c r="C448" s="11"/>
      <c r="D448" s="11"/>
      <c r="E448" s="11"/>
      <c r="F448" s="11"/>
      <c r="G448" s="11"/>
      <c r="H448" s="816">
        <f>kursovoy!$B$899</f>
        <v>0</v>
      </c>
      <c r="I448" s="816">
        <f>kursovoy!$B$899</f>
        <v>0</v>
      </c>
      <c r="J448" s="816">
        <f>kursovoy!$B$899</f>
        <v>0</v>
      </c>
      <c r="K448" s="816">
        <f>kursovoy!$B$899</f>
        <v>0</v>
      </c>
      <c r="L448" s="816">
        <f>kursovoy!$B$899</f>
        <v>0</v>
      </c>
      <c r="M448" s="29"/>
      <c r="N448" s="29"/>
      <c r="O448" s="29"/>
      <c r="P448" s="29"/>
      <c r="Q448" s="29"/>
      <c r="R448" s="8"/>
    </row>
    <row r="449" spans="1:18" ht="15" x14ac:dyDescent="0.25">
      <c r="A449" s="199"/>
      <c r="B449" s="11" t="s">
        <v>4126</v>
      </c>
      <c r="C449" s="11"/>
      <c r="D449" s="11"/>
      <c r="E449" s="11"/>
      <c r="F449" s="11"/>
      <c r="G449" s="11"/>
      <c r="H449" s="816">
        <f>kursovoy!$B$900</f>
        <v>0</v>
      </c>
      <c r="I449" s="816">
        <f>kursovoy!$B$900</f>
        <v>0</v>
      </c>
      <c r="J449" s="816">
        <f>kursovoy!$B$900</f>
        <v>0</v>
      </c>
      <c r="K449" s="816">
        <f>kursovoy!$B$900</f>
        <v>0</v>
      </c>
      <c r="L449" s="816">
        <f>kursovoy!$B$900</f>
        <v>0</v>
      </c>
      <c r="M449" s="29"/>
      <c r="N449" s="29"/>
      <c r="O449" s="29"/>
      <c r="P449" s="29"/>
      <c r="Q449" s="29"/>
      <c r="R449" s="8"/>
    </row>
    <row r="450" spans="1:18" ht="15" x14ac:dyDescent="0.25">
      <c r="A450" s="199"/>
      <c r="B450" s="11" t="s">
        <v>4943</v>
      </c>
      <c r="C450" s="11"/>
      <c r="D450" s="11"/>
      <c r="E450" s="11"/>
      <c r="F450" s="11"/>
      <c r="G450" s="11"/>
      <c r="H450" s="816">
        <f>IF(kursovoy!$B$500=2,1,kursovoy!$B$901)</f>
        <v>0</v>
      </c>
      <c r="I450" s="816">
        <f>IF(kursovoy!$B$500=2,1,kursovoy!$B$901)</f>
        <v>0</v>
      </c>
      <c r="J450" s="816">
        <f>IF(kursovoy!$B$500=2,1,kursovoy!$B$901)</f>
        <v>0</v>
      </c>
      <c r="K450" s="816">
        <f>IF(kursovoy!$B$500=2,1,kursovoy!$B$901)</f>
        <v>0</v>
      </c>
      <c r="L450" s="816">
        <f>IF(kursovoy!$B$500=2,1,kursovoy!$B$901)</f>
        <v>0</v>
      </c>
      <c r="M450" s="29"/>
      <c r="N450" s="29"/>
      <c r="O450" s="29"/>
      <c r="P450" s="29"/>
      <c r="Q450" s="29"/>
      <c r="R450" s="8"/>
    </row>
    <row r="451" spans="1:18" ht="15" x14ac:dyDescent="0.25">
      <c r="A451" s="493" t="str">
        <f>IF(SUM(S80:S84)=5,"Исходные данные о струговой установке","")</f>
        <v/>
      </c>
      <c r="B451" s="483"/>
      <c r="C451" s="199"/>
      <c r="D451" s="199"/>
      <c r="E451" s="199"/>
      <c r="F451" s="199"/>
      <c r="G451" s="199"/>
      <c r="H451" s="199"/>
      <c r="I451" s="199"/>
      <c r="J451" s="199"/>
      <c r="K451" s="15"/>
      <c r="L451" s="15"/>
      <c r="M451" s="29"/>
      <c r="N451" s="29"/>
      <c r="O451" s="29"/>
      <c r="P451" s="29"/>
      <c r="Q451" s="29"/>
      <c r="R451" s="8"/>
    </row>
    <row r="452" spans="1:18" ht="15" x14ac:dyDescent="0.25">
      <c r="A452" s="456" t="str">
        <f>IF(SUM(S80:S84)=5,"Номер струговой установки в таблице 1","")</f>
        <v/>
      </c>
      <c r="C452" s="199"/>
      <c r="D452" s="199"/>
      <c r="E452" s="199"/>
      <c r="F452" s="199"/>
      <c r="G452" s="199"/>
      <c r="H452" s="1106" t="b">
        <f>IF(kursovoy!B500=2,kursovoy!#REF!,IF(kursovoy!B500=4,kursovoy!#REF!))</f>
        <v>0</v>
      </c>
      <c r="I452" s="495"/>
      <c r="J452" s="495"/>
      <c r="K452" s="496"/>
      <c r="L452" s="497"/>
      <c r="M452" s="29"/>
      <c r="N452" s="29"/>
      <c r="O452" s="29"/>
      <c r="P452" s="29"/>
      <c r="Q452" s="29"/>
      <c r="R452" s="8"/>
    </row>
    <row r="453" spans="1:18" x14ac:dyDescent="0.2">
      <c r="A453" s="498" t="str">
        <f>IF(SUM(S80:S84)=5,"Возраст струговой установки (от начала работы или от капремонта), год","")</f>
        <v/>
      </c>
      <c r="C453" s="29"/>
      <c r="D453" s="29"/>
      <c r="E453" s="29"/>
      <c r="F453" s="29"/>
      <c r="G453" s="29"/>
      <c r="H453" s="1145">
        <v>1</v>
      </c>
      <c r="I453" s="1145">
        <v>1</v>
      </c>
      <c r="J453" s="1145">
        <v>1</v>
      </c>
      <c r="K453" s="1145">
        <v>1</v>
      </c>
      <c r="L453" s="1145">
        <v>1</v>
      </c>
      <c r="M453" s="29"/>
      <c r="N453" s="29"/>
      <c r="O453" s="29"/>
      <c r="P453" s="29"/>
      <c r="Q453" s="29"/>
      <c r="R453" s="8"/>
    </row>
    <row r="454" spans="1:18" x14ac:dyDescent="0.2">
      <c r="A454" s="498" t="str">
        <f>IF(SUM(S80:S84)=5,"Заштыбованность тяговых органов (лёгкая- 1, средняя-2, тяжёлая-3)","")</f>
        <v/>
      </c>
      <c r="C454" s="29"/>
      <c r="D454" s="29"/>
      <c r="E454" s="29"/>
      <c r="F454" s="29"/>
      <c r="G454" s="29"/>
      <c r="H454" s="1145">
        <v>1</v>
      </c>
      <c r="I454" s="1145">
        <v>1</v>
      </c>
      <c r="J454" s="1145">
        <v>1</v>
      </c>
      <c r="K454" s="1145">
        <v>1</v>
      </c>
      <c r="L454" s="1145">
        <v>1</v>
      </c>
      <c r="M454" s="29"/>
      <c r="N454" s="29"/>
      <c r="O454" s="29"/>
      <c r="P454" s="29"/>
      <c r="Q454" s="29"/>
      <c r="R454" s="8"/>
    </row>
    <row r="455" spans="1:18" x14ac:dyDescent="0.2">
      <c r="A455" s="4522" t="str">
        <f>IF(SUM(S80:S84)=5,"Процесс дробления негабарита осуществляется: 1 -вручную, 2 - дробилка УНР4, 3 - дробилка Д10, 4 - дробилка Д20","")</f>
        <v/>
      </c>
      <c r="B455" s="4373"/>
      <c r="C455" s="4373"/>
      <c r="D455" s="4373"/>
      <c r="E455" s="4373"/>
      <c r="F455" s="4373"/>
      <c r="G455" s="90"/>
      <c r="H455" s="1170">
        <v>2</v>
      </c>
      <c r="I455" s="1170">
        <v>2</v>
      </c>
      <c r="J455" s="1170">
        <v>2</v>
      </c>
      <c r="K455" s="1170">
        <v>2</v>
      </c>
      <c r="L455" s="1170">
        <v>2</v>
      </c>
      <c r="M455" s="29"/>
      <c r="N455" s="29"/>
      <c r="O455" s="29"/>
      <c r="P455" s="29"/>
      <c r="Q455" s="29"/>
      <c r="R455" s="8"/>
    </row>
    <row r="456" spans="1:18" ht="15" x14ac:dyDescent="0.25">
      <c r="A456" s="516"/>
      <c r="B456" s="70" t="s">
        <v>2765</v>
      </c>
      <c r="C456" s="70"/>
      <c r="D456" s="70"/>
      <c r="E456" s="70"/>
      <c r="F456" s="70"/>
      <c r="G456" s="70"/>
      <c r="H456" s="814">
        <f>обор!$H$833</f>
        <v>0</v>
      </c>
      <c r="I456" s="814">
        <f>обор!$H$833</f>
        <v>0</v>
      </c>
      <c r="J456" s="814">
        <f>обор!$H$833</f>
        <v>0</v>
      </c>
      <c r="K456" s="814">
        <f>обор!$H$833</f>
        <v>0</v>
      </c>
      <c r="L456" s="814">
        <f>обор!$H$833</f>
        <v>0</v>
      </c>
      <c r="M456" s="29"/>
      <c r="N456" s="29"/>
      <c r="O456" s="29"/>
      <c r="P456" s="29"/>
      <c r="Q456" s="29"/>
      <c r="R456" s="8"/>
    </row>
    <row r="457" spans="1:18" x14ac:dyDescent="0.2">
      <c r="A457" s="4445" t="s">
        <v>4281</v>
      </c>
      <c r="B457" s="4373"/>
      <c r="C457" s="4373"/>
      <c r="D457" s="4373"/>
      <c r="E457" s="4373"/>
      <c r="F457" s="4373"/>
      <c r="G457" s="4520"/>
      <c r="H457" s="1108" t="b">
        <f>IF(обор!$L$732=1.26,1.26,IF(обор!$L$732=1,1,IF(обор!$L$732=0.8,0.8)))</f>
        <v>0</v>
      </c>
      <c r="I457" s="1108" t="b">
        <f>IF(обор!$L$732=1.26,1.26,IF(обор!$L$732=1,1,IF(обор!$L$732=0.8,0.8)))</f>
        <v>0</v>
      </c>
      <c r="J457" s="1108" t="b">
        <f>IF(обор!$L$732=1.26,1.26,IF(обор!$L$732=1,1,IF(обор!$L$732=0.8,0.8)))</f>
        <v>0</v>
      </c>
      <c r="K457" s="1108" t="b">
        <f>IF(обор!$L$732=1.26,1.26,IF(обор!$L$732=1,1,IF(обор!$L$732=0.8,0.8)))</f>
        <v>0</v>
      </c>
      <c r="L457" s="1108" t="b">
        <f>IF(обор!$L$732=1.26,1.26,IF(обор!$L$732=1,1,IF(обор!$L$732=0.8,0.8)))</f>
        <v>0</v>
      </c>
      <c r="M457" s="29"/>
      <c r="N457" s="29"/>
      <c r="O457" s="29"/>
      <c r="P457" s="29"/>
      <c r="Q457" s="29"/>
      <c r="R457" s="8"/>
    </row>
    <row r="458" spans="1:18" x14ac:dyDescent="0.2">
      <c r="A458" s="4445" t="s">
        <v>4282</v>
      </c>
      <c r="B458" s="4373"/>
      <c r="C458" s="4373"/>
      <c r="D458" s="4373"/>
      <c r="E458" s="4373"/>
      <c r="F458" s="4373"/>
      <c r="G458" s="4520"/>
      <c r="H458" s="1108">
        <f>IF(H457=2,2,1)</f>
        <v>1</v>
      </c>
      <c r="I458" s="1108">
        <f>IF(I457=2,2,1)</f>
        <v>1</v>
      </c>
      <c r="J458" s="1108">
        <f>IF(J457=2,2,1)</f>
        <v>1</v>
      </c>
      <c r="K458" s="1108">
        <f>IF(K457=2,2,1)</f>
        <v>1</v>
      </c>
      <c r="L458" s="1108">
        <f>IF(L457=2,2,1)</f>
        <v>1</v>
      </c>
      <c r="M458" s="29"/>
      <c r="N458" s="29"/>
      <c r="O458" s="29"/>
      <c r="P458" s="29"/>
      <c r="Q458" s="29"/>
      <c r="R458" s="8"/>
    </row>
    <row r="459" spans="1:18" ht="15" x14ac:dyDescent="0.25">
      <c r="A459" s="516"/>
      <c r="B459" s="27" t="s">
        <v>5321</v>
      </c>
      <c r="C459" s="11"/>
      <c r="D459" s="11"/>
      <c r="E459" s="11"/>
      <c r="F459" s="11"/>
      <c r="G459" s="11"/>
      <c r="H459" s="1169">
        <v>23</v>
      </c>
      <c r="I459" s="1169">
        <v>23</v>
      </c>
      <c r="J459" s="1169">
        <v>23</v>
      </c>
      <c r="K459" s="1169">
        <v>23</v>
      </c>
      <c r="L459" s="1169">
        <v>23</v>
      </c>
      <c r="M459" s="29"/>
      <c r="N459" s="29"/>
      <c r="O459" s="29"/>
      <c r="P459" s="29"/>
      <c r="Q459" s="29"/>
      <c r="R459" s="8"/>
    </row>
    <row r="460" spans="1:18" ht="15" x14ac:dyDescent="0.25">
      <c r="A460" s="516"/>
      <c r="B460" s="4453" t="s">
        <v>2766</v>
      </c>
      <c r="C460" s="4375"/>
      <c r="D460" s="4375"/>
      <c r="E460" s="4460" t="e">
        <f>IF(INDEX($B$984:$F$991,H452,H460)=0,"Крепь не соответствует типу струга !!","")</f>
        <v>#VALUE!</v>
      </c>
      <c r="F460" s="4460"/>
      <c r="G460" s="2474"/>
      <c r="H460" s="816" t="b">
        <f>IF(kursovoy!$B$500=4,обор!$I$394)</f>
        <v>0</v>
      </c>
      <c r="I460" s="816" t="b">
        <f>IF(kursovoy!$B$500=4,обор!$I$394)</f>
        <v>0</v>
      </c>
      <c r="J460" s="816" t="b">
        <f>IF(kursovoy!$B$500=4,обор!$I$394)</f>
        <v>0</v>
      </c>
      <c r="K460" s="816" t="b">
        <f>IF(kursovoy!$B$500=4,обор!$I$394)</f>
        <v>0</v>
      </c>
      <c r="L460" s="816" t="b">
        <f>IF(kursovoy!$B$500=4,обор!$I$394)</f>
        <v>0</v>
      </c>
      <c r="M460" s="29"/>
      <c r="N460" s="29"/>
      <c r="O460" s="29"/>
      <c r="P460" s="29"/>
      <c r="Q460" s="29"/>
      <c r="R460" s="8"/>
    </row>
    <row r="461" spans="1:18" ht="15" x14ac:dyDescent="0.25">
      <c r="A461" s="516"/>
      <c r="B461" s="22" t="s">
        <v>371</v>
      </c>
      <c r="C461" s="22"/>
      <c r="D461" s="22"/>
      <c r="E461" s="22"/>
      <c r="F461" s="22"/>
      <c r="G461" s="22"/>
      <c r="H461" s="1144">
        <v>1</v>
      </c>
      <c r="I461" s="1144">
        <v>1</v>
      </c>
      <c r="J461" s="1144">
        <v>1</v>
      </c>
      <c r="K461" s="1144">
        <v>1</v>
      </c>
      <c r="L461" s="1144">
        <v>1</v>
      </c>
      <c r="M461" s="29"/>
      <c r="N461" s="29"/>
      <c r="O461" s="29"/>
      <c r="P461" s="29"/>
      <c r="Q461" s="29"/>
      <c r="R461" s="8"/>
    </row>
    <row r="462" spans="1:18" ht="34.5" customHeight="1" x14ac:dyDescent="0.25">
      <c r="A462" s="199"/>
      <c r="B462" s="4445" t="s">
        <v>372</v>
      </c>
      <c r="C462" s="4375"/>
      <c r="D462" s="4375"/>
      <c r="E462" s="4375"/>
      <c r="F462" s="4375"/>
      <c r="G462" s="4375"/>
      <c r="H462" s="1109">
        <v>400</v>
      </c>
      <c r="I462" s="1109">
        <v>400</v>
      </c>
      <c r="J462" s="1109">
        <v>400</v>
      </c>
      <c r="K462" s="1109">
        <v>400</v>
      </c>
      <c r="L462" s="1109">
        <v>400</v>
      </c>
      <c r="M462" s="29"/>
      <c r="N462" s="29"/>
      <c r="O462" s="29"/>
      <c r="P462" s="29"/>
      <c r="Q462" s="29"/>
      <c r="R462" s="8"/>
    </row>
    <row r="463" spans="1:18" ht="39" customHeight="1" x14ac:dyDescent="0.25">
      <c r="A463" s="199"/>
      <c r="B463" s="4452" t="s">
        <v>1328</v>
      </c>
      <c r="C463" s="4375"/>
      <c r="D463" s="4375"/>
      <c r="E463" s="4375"/>
      <c r="F463" s="4375"/>
      <c r="G463" s="4375"/>
      <c r="H463" s="816" t="b">
        <f>IF(kursovoy!$B$903=1,0,IF(kursovoy!$B$903=2,2,IF(kursovoy!$B$903=3,1)))</f>
        <v>0</v>
      </c>
      <c r="I463" s="816" t="b">
        <f>IF(kursovoy!$B$903=1,0,IF(kursovoy!$B$903=2,2,IF(kursovoy!$B$903=3,1)))</f>
        <v>0</v>
      </c>
      <c r="J463" s="816" t="b">
        <f>IF(kursovoy!$B$903=1,0,IF(kursovoy!$B$903=2,2,IF(kursovoy!$B$903=3,1)))</f>
        <v>0</v>
      </c>
      <c r="K463" s="816" t="b">
        <f>IF(kursovoy!$B$903=1,0,IF(kursovoy!$B$903=2,2,IF(kursovoy!$B$903=3,1)))</f>
        <v>0</v>
      </c>
      <c r="L463" s="801" t="b">
        <f>IF(kursovoy!$B$903=1,0,IF(kursovoy!$B$903=2,2,IF(kursovoy!$B$903=3,1)))</f>
        <v>0</v>
      </c>
      <c r="M463" s="29"/>
      <c r="N463" s="29"/>
      <c r="O463" s="29"/>
      <c r="P463" s="29"/>
      <c r="Q463" s="29"/>
      <c r="R463" s="8"/>
    </row>
    <row r="464" spans="1:18" x14ac:dyDescent="0.2">
      <c r="A464" s="29"/>
      <c r="B464" s="29"/>
      <c r="C464" s="29"/>
      <c r="D464" s="29"/>
      <c r="E464" s="29"/>
      <c r="F464" s="29"/>
      <c r="G464" s="29"/>
      <c r="H464" s="29"/>
      <c r="I464" s="29"/>
      <c r="J464" s="29"/>
      <c r="K464" s="29"/>
      <c r="L464" s="29"/>
      <c r="M464" s="29"/>
      <c r="N464" s="29"/>
      <c r="O464" s="29"/>
      <c r="P464" s="29"/>
      <c r="Q464" s="29"/>
      <c r="R464" s="8"/>
    </row>
    <row r="465" spans="1:18" x14ac:dyDescent="0.2">
      <c r="A465" s="206"/>
      <c r="B465" s="206"/>
      <c r="C465" s="206"/>
      <c r="D465" s="206"/>
      <c r="E465" s="206"/>
      <c r="F465" s="206"/>
      <c r="G465" s="206"/>
      <c r="H465" s="206"/>
      <c r="I465" s="206"/>
      <c r="J465" s="206"/>
      <c r="K465" s="206"/>
      <c r="L465" s="206"/>
      <c r="M465" s="206"/>
      <c r="N465" s="29"/>
      <c r="O465" s="29"/>
      <c r="P465" s="29"/>
      <c r="Q465" s="29"/>
      <c r="R465" s="8"/>
    </row>
    <row r="466" spans="1:18" x14ac:dyDescent="0.2">
      <c r="A466" s="29"/>
      <c r="B466" s="29"/>
      <c r="C466" s="29"/>
      <c r="D466" s="29"/>
      <c r="E466" s="29"/>
      <c r="F466" s="29"/>
      <c r="G466" s="29"/>
      <c r="H466" s="29"/>
      <c r="I466" s="29"/>
      <c r="J466" s="29"/>
      <c r="K466" s="29"/>
      <c r="L466" s="29"/>
      <c r="M466" s="29"/>
      <c r="N466" s="29"/>
      <c r="O466" s="29"/>
      <c r="P466" s="29"/>
      <c r="Q466" s="29"/>
      <c r="R466" s="8"/>
    </row>
    <row r="467" spans="1:18" ht="15" x14ac:dyDescent="0.25">
      <c r="A467" s="483"/>
      <c r="B467" s="484" t="s">
        <v>5250</v>
      </c>
      <c r="C467" s="29"/>
      <c r="D467" s="29"/>
      <c r="E467" s="29"/>
      <c r="F467" s="29"/>
      <c r="G467" s="29"/>
      <c r="H467" s="29"/>
      <c r="I467" s="461"/>
      <c r="J467" s="461"/>
      <c r="K467" s="461"/>
      <c r="M467" s="15"/>
      <c r="N467" s="15"/>
      <c r="O467" s="199"/>
      <c r="P467" s="29"/>
      <c r="Q467" s="29"/>
      <c r="R467" s="8"/>
    </row>
    <row r="468" spans="1:18" ht="15" x14ac:dyDescent="0.25">
      <c r="A468" s="483"/>
      <c r="B468" s="484"/>
      <c r="C468" s="29"/>
      <c r="D468" s="485">
        <v>1</v>
      </c>
      <c r="E468" s="485">
        <v>2</v>
      </c>
      <c r="F468" s="485">
        <v>3</v>
      </c>
      <c r="G468" s="485">
        <v>4</v>
      </c>
      <c r="H468" s="485">
        <v>5</v>
      </c>
      <c r="I468" s="485">
        <v>6</v>
      </c>
      <c r="J468" s="485">
        <v>7</v>
      </c>
      <c r="K468" s="485">
        <v>8</v>
      </c>
      <c r="M468" s="15"/>
      <c r="N468" s="15"/>
      <c r="O468" s="199"/>
      <c r="P468" s="29"/>
      <c r="Q468" s="29"/>
      <c r="R468" s="8"/>
    </row>
    <row r="469" spans="1:18" ht="15" x14ac:dyDescent="0.25">
      <c r="A469" s="4523" t="s">
        <v>2489</v>
      </c>
      <c r="B469" s="4524"/>
      <c r="C469" s="4524"/>
      <c r="D469" s="487" t="s">
        <v>2593</v>
      </c>
      <c r="E469" s="487" t="s">
        <v>47</v>
      </c>
      <c r="F469" s="487" t="s">
        <v>2493</v>
      </c>
      <c r="G469" s="487" t="s">
        <v>2494</v>
      </c>
      <c r="H469" s="487" t="s">
        <v>2495</v>
      </c>
      <c r="I469" s="487" t="s">
        <v>2496</v>
      </c>
      <c r="J469" s="487" t="s">
        <v>2497</v>
      </c>
      <c r="K469" s="487" t="s">
        <v>2498</v>
      </c>
      <c r="M469" s="15"/>
      <c r="N469" s="15"/>
      <c r="O469" s="199"/>
      <c r="P469" s="29"/>
      <c r="Q469" s="29"/>
      <c r="R469" s="8"/>
    </row>
    <row r="470" spans="1:18" ht="15" x14ac:dyDescent="0.25">
      <c r="A470" s="4521" t="s">
        <v>5046</v>
      </c>
      <c r="B470" s="4345"/>
      <c r="C470" s="4345"/>
      <c r="D470" s="487">
        <v>0.55000000000000004</v>
      </c>
      <c r="E470" s="487">
        <v>0.55000000000000004</v>
      </c>
      <c r="F470" s="487">
        <v>0.55000000000000004</v>
      </c>
      <c r="G470" s="487">
        <v>0.55000000000000004</v>
      </c>
      <c r="H470" s="487">
        <v>0.6</v>
      </c>
      <c r="I470" s="487">
        <v>0.65</v>
      </c>
      <c r="J470" s="487">
        <v>0.67</v>
      </c>
      <c r="K470" s="487">
        <v>0.8</v>
      </c>
      <c r="M470" s="15"/>
      <c r="N470" s="15"/>
      <c r="O470" s="520"/>
      <c r="P470" s="29"/>
      <c r="Q470" s="29"/>
      <c r="R470" s="8"/>
    </row>
    <row r="471" spans="1:18" ht="15" x14ac:dyDescent="0.25">
      <c r="A471" s="4521" t="s">
        <v>2488</v>
      </c>
      <c r="B471" s="4345"/>
      <c r="C471" s="4345"/>
      <c r="D471" s="487">
        <v>1</v>
      </c>
      <c r="E471" s="487">
        <v>1.2</v>
      </c>
      <c r="F471" s="487">
        <v>1.4</v>
      </c>
      <c r="G471" s="487">
        <v>1.4</v>
      </c>
      <c r="H471" s="487">
        <v>1</v>
      </c>
      <c r="I471" s="487">
        <v>1.4</v>
      </c>
      <c r="J471" s="487">
        <v>1.4</v>
      </c>
      <c r="K471" s="490">
        <v>1.4</v>
      </c>
      <c r="M471" s="15"/>
      <c r="N471" s="15"/>
      <c r="O471" s="520"/>
      <c r="P471" s="29"/>
      <c r="Q471" s="29"/>
      <c r="R471" s="8"/>
    </row>
    <row r="472" spans="1:18" ht="15" x14ac:dyDescent="0.25">
      <c r="A472" s="493" t="str">
        <f>IF(SUM(S80:S84)=5,"Исходные данные о скребковых конвейерах на штреке","")</f>
        <v/>
      </c>
      <c r="B472" s="483"/>
      <c r="C472" s="199"/>
      <c r="D472" s="199"/>
      <c r="E472" s="199"/>
      <c r="F472" s="199"/>
      <c r="G472" s="199"/>
      <c r="H472" s="199"/>
      <c r="I472" s="199"/>
      <c r="J472" s="461"/>
      <c r="K472" s="199"/>
      <c r="L472" s="199"/>
      <c r="M472" s="15"/>
      <c r="N472" s="15"/>
      <c r="O472" s="520"/>
      <c r="P472" s="29"/>
      <c r="Q472" s="29"/>
      <c r="R472" s="8"/>
    </row>
    <row r="473" spans="1:18" ht="18.75" x14ac:dyDescent="0.3">
      <c r="A473" s="493"/>
      <c r="B473" s="200" t="s">
        <v>3865</v>
      </c>
      <c r="C473" s="59"/>
      <c r="D473" s="59"/>
      <c r="E473" s="59"/>
      <c r="F473" s="59"/>
      <c r="G473" s="11"/>
      <c r="H473" s="500">
        <f>ROW(925:925)</f>
        <v>925</v>
      </c>
      <c r="I473" s="199"/>
      <c r="J473" s="461"/>
      <c r="K473" s="199"/>
      <c r="L473" s="199"/>
      <c r="M473" s="15"/>
      <c r="N473" s="15"/>
      <c r="O473" s="520"/>
      <c r="P473" s="29"/>
      <c r="Q473" s="29"/>
      <c r="R473" s="8"/>
    </row>
    <row r="474" spans="1:18" ht="18.75" x14ac:dyDescent="0.3">
      <c r="A474" s="501" t="s">
        <v>3869</v>
      </c>
      <c r="B474" s="199"/>
      <c r="C474" s="199"/>
      <c r="D474" s="199"/>
      <c r="E474" s="199"/>
      <c r="F474" s="11"/>
      <c r="G474" s="11"/>
      <c r="H474" s="502" t="e">
        <f>ROW(#REF!)</f>
        <v>#REF!</v>
      </c>
      <c r="I474" s="199"/>
      <c r="J474" s="461"/>
      <c r="K474" s="199"/>
      <c r="L474" s="199"/>
      <c r="M474" s="15"/>
      <c r="N474" s="15"/>
      <c r="O474" s="520"/>
      <c r="P474" s="29"/>
      <c r="Q474" s="29"/>
      <c r="R474" s="8"/>
    </row>
    <row r="475" spans="1:18" ht="15" x14ac:dyDescent="0.25">
      <c r="A475" s="493"/>
      <c r="B475" s="503" t="s">
        <v>3856</v>
      </c>
      <c r="C475" s="504"/>
      <c r="D475" s="505"/>
      <c r="E475" s="4517" t="s">
        <v>3860</v>
      </c>
      <c r="F475" s="4517"/>
      <c r="G475" s="4517"/>
      <c r="H475" s="801">
        <f>kursovoy!$B$928</f>
        <v>0</v>
      </c>
      <c r="I475" s="801">
        <f>kursovoy!$B$928</f>
        <v>0</v>
      </c>
      <c r="J475" s="801">
        <f>kursovoy!$B$928</f>
        <v>0</v>
      </c>
      <c r="K475" s="801">
        <f>kursovoy!$B$928</f>
        <v>0</v>
      </c>
      <c r="L475" s="801">
        <f>kursovoy!$B$928</f>
        <v>0</v>
      </c>
      <c r="M475" s="15"/>
      <c r="N475" s="15"/>
      <c r="O475" s="520"/>
      <c r="P475" s="29"/>
      <c r="Q475" s="29"/>
      <c r="R475" s="8"/>
    </row>
    <row r="476" spans="1:18" ht="15" x14ac:dyDescent="0.25">
      <c r="A476" s="493"/>
      <c r="B476" s="503" t="s">
        <v>3857</v>
      </c>
      <c r="C476" s="504"/>
      <c r="D476" s="505"/>
      <c r="E476" s="4517" t="s">
        <v>3860</v>
      </c>
      <c r="F476" s="4517"/>
      <c r="G476" s="4517"/>
      <c r="H476" s="507"/>
      <c r="I476" s="507"/>
      <c r="J476" s="507"/>
      <c r="K476" s="507"/>
      <c r="L476" s="507"/>
      <c r="M476" s="15"/>
      <c r="N476" s="15"/>
      <c r="O476" s="520"/>
      <c r="P476" s="29"/>
      <c r="Q476" s="29"/>
      <c r="R476" s="8"/>
    </row>
    <row r="477" spans="1:18" ht="15" x14ac:dyDescent="0.25">
      <c r="A477" s="493"/>
      <c r="B477" s="503" t="s">
        <v>3858</v>
      </c>
      <c r="C477" s="504"/>
      <c r="D477" s="505"/>
      <c r="E477" s="4517" t="s">
        <v>3860</v>
      </c>
      <c r="F477" s="4517"/>
      <c r="G477" s="4517"/>
      <c r="H477" s="507"/>
      <c r="I477" s="507"/>
      <c r="J477" s="507"/>
      <c r="K477" s="507"/>
      <c r="L477" s="507"/>
      <c r="M477" s="15"/>
      <c r="N477" s="15"/>
      <c r="O477" s="520"/>
      <c r="P477" s="29"/>
      <c r="Q477" s="29"/>
      <c r="R477" s="8"/>
    </row>
    <row r="478" spans="1:18" ht="15" x14ac:dyDescent="0.25">
      <c r="A478" s="371"/>
      <c r="B478" s="503" t="s">
        <v>3859</v>
      </c>
      <c r="C478" s="504"/>
      <c r="D478" s="505"/>
      <c r="E478" s="4517" t="s">
        <v>3860</v>
      </c>
      <c r="F478" s="4517"/>
      <c r="G478" s="4517"/>
      <c r="H478" s="507"/>
      <c r="I478" s="507"/>
      <c r="J478" s="507"/>
      <c r="K478" s="507"/>
      <c r="L478" s="507"/>
      <c r="M478" s="15"/>
      <c r="N478" s="15"/>
      <c r="O478" s="520"/>
      <c r="P478" s="29"/>
      <c r="Q478" s="29"/>
      <c r="R478" s="8"/>
    </row>
    <row r="479" spans="1:18" ht="37.5" customHeight="1" x14ac:dyDescent="0.25">
      <c r="A479" s="25"/>
      <c r="B479" s="4440" t="s">
        <v>4944</v>
      </c>
      <c r="C479" s="4375"/>
      <c r="D479" s="4375"/>
      <c r="E479" s="4375"/>
      <c r="F479" s="4375"/>
      <c r="G479" s="4375"/>
      <c r="H479" s="815">
        <f>kursovoy!$B$917</f>
        <v>0</v>
      </c>
      <c r="I479" s="815">
        <f>kursovoy!$B$917</f>
        <v>0</v>
      </c>
      <c r="J479" s="815">
        <f>kursovoy!$B$917</f>
        <v>0</v>
      </c>
      <c r="K479" s="815">
        <f>kursovoy!$B$917</f>
        <v>0</v>
      </c>
      <c r="L479" s="815">
        <f>kursovoy!$B$917</f>
        <v>0</v>
      </c>
      <c r="M479" s="520"/>
      <c r="N479" s="520"/>
      <c r="O479" s="520"/>
      <c r="P479" s="29"/>
      <c r="Q479" s="29"/>
      <c r="R479" s="8"/>
    </row>
    <row r="480" spans="1:18" ht="51.75" customHeight="1" x14ac:dyDescent="0.25">
      <c r="A480" s="4514" t="str">
        <f>IF(H479=0,"Так как участковый транспорт конвейерный, введите в закрашенные ячейки данные о ленточных конвейерах в транспортной  выработке  выемочного участка (до 5 штук) (информация о конвейерах в таблице в строке )","----------------------------------")</f>
        <v>Так как участковый транспорт конвейерный, введите в закрашенные ячейки данные о ленточных конвейерах в транспортной  выработке  выемочного участка (до 5 штук) (информация о конвейерах в таблице в строке )</v>
      </c>
      <c r="B480" s="4375"/>
      <c r="C480" s="4375"/>
      <c r="D480" s="4375"/>
      <c r="E480" s="4375"/>
      <c r="F480" s="4375"/>
      <c r="G480" s="4375"/>
      <c r="H480" s="4375"/>
      <c r="I480" s="56">
        <f>IF(H479=0,ROW(935:935),"--------")</f>
        <v>935</v>
      </c>
      <c r="J480" s="27"/>
      <c r="K480" s="199"/>
      <c r="L480" s="199"/>
      <c r="M480" s="520"/>
      <c r="N480" s="520"/>
      <c r="O480" s="520"/>
      <c r="P480" s="29"/>
      <c r="Q480" s="29"/>
      <c r="R480" s="8"/>
    </row>
    <row r="481" spans="1:18" ht="15" x14ac:dyDescent="0.25">
      <c r="A481" s="25"/>
      <c r="B481" s="4515" t="str">
        <f>IF(H479=0,"Ленточный конвейер №1","------------------------------")</f>
        <v>Ленточный конвейер №1</v>
      </c>
      <c r="C481" s="4516"/>
      <c r="D481" s="4516"/>
      <c r="E481" s="4352" t="str">
        <f>IF(H479=0,"Номер в таблице","-------------")</f>
        <v>Номер в таблице</v>
      </c>
      <c r="F481" s="4345"/>
      <c r="G481" s="4345"/>
      <c r="H481" s="88">
        <f>kursovoy!$B$935</f>
        <v>0</v>
      </c>
      <c r="I481" s="88">
        <f>kursovoy!$B$935</f>
        <v>0</v>
      </c>
      <c r="J481" s="88">
        <f>kursovoy!$B$935</f>
        <v>0</v>
      </c>
      <c r="K481" s="88">
        <f>kursovoy!$B$935</f>
        <v>0</v>
      </c>
      <c r="L481" s="88">
        <f>kursovoy!$B$935</f>
        <v>0</v>
      </c>
      <c r="M481" s="520"/>
      <c r="N481" s="520"/>
      <c r="O481" s="520"/>
      <c r="P481" s="29"/>
      <c r="Q481" s="29"/>
      <c r="R481" s="8"/>
    </row>
    <row r="482" spans="1:18" ht="15" x14ac:dyDescent="0.25">
      <c r="A482" s="25"/>
      <c r="B482" s="4516"/>
      <c r="C482" s="4516"/>
      <c r="D482" s="4516"/>
      <c r="E482" s="4352" t="str">
        <f>IF(H479=0,"Длина, м","---------")</f>
        <v>Длина, м</v>
      </c>
      <c r="F482" s="4345"/>
      <c r="G482" s="4345"/>
      <c r="H482" s="88" t="str">
        <f>kursovoy!$B$937</f>
        <v/>
      </c>
      <c r="I482" s="88" t="str">
        <f>kursovoy!$B$937</f>
        <v/>
      </c>
      <c r="J482" s="88" t="str">
        <f>kursovoy!$B$937</f>
        <v/>
      </c>
      <c r="K482" s="88" t="str">
        <f>kursovoy!$B$937</f>
        <v/>
      </c>
      <c r="L482" s="88" t="str">
        <f>kursovoy!$B$937</f>
        <v/>
      </c>
      <c r="M482" s="199"/>
      <c r="N482" s="199"/>
      <c r="O482" s="199"/>
      <c r="P482" s="29"/>
      <c r="Q482" s="29"/>
      <c r="R482" s="8"/>
    </row>
    <row r="483" spans="1:18" ht="15" x14ac:dyDescent="0.25">
      <c r="A483" s="25"/>
      <c r="B483" s="4515" t="str">
        <f>IF(H479=0,"Ленточный конвейер №2","----------------------------")</f>
        <v>Ленточный конвейер №2</v>
      </c>
      <c r="C483" s="4516"/>
      <c r="D483" s="4516"/>
      <c r="E483" s="4352" t="str">
        <f>IF(H479=0,"Номер в таблице","-------------")</f>
        <v>Номер в таблице</v>
      </c>
      <c r="F483" s="4345"/>
      <c r="G483" s="4345"/>
      <c r="H483" s="88">
        <f>kursovoy!$B$935</f>
        <v>0</v>
      </c>
      <c r="I483" s="88">
        <f>kursovoy!$B$935</f>
        <v>0</v>
      </c>
      <c r="J483" s="88">
        <f>kursovoy!$B$935</f>
        <v>0</v>
      </c>
      <c r="K483" s="88">
        <f>kursovoy!$B$935</f>
        <v>0</v>
      </c>
      <c r="L483" s="88">
        <f>kursovoy!$B$935</f>
        <v>0</v>
      </c>
      <c r="M483" s="199"/>
      <c r="N483" s="199"/>
      <c r="O483" s="199"/>
      <c r="P483" s="29"/>
      <c r="Q483" s="29"/>
      <c r="R483" s="8"/>
    </row>
    <row r="484" spans="1:18" ht="15" x14ac:dyDescent="0.25">
      <c r="A484" s="25"/>
      <c r="B484" s="4516"/>
      <c r="C484" s="4516"/>
      <c r="D484" s="4516"/>
      <c r="E484" s="4352" t="str">
        <f>IF(H479=0,"Длина, м","---------")</f>
        <v>Длина, м</v>
      </c>
      <c r="F484" s="4345"/>
      <c r="G484" s="4345"/>
      <c r="H484" s="88" t="str">
        <f>kursovoy!$B$940</f>
        <v/>
      </c>
      <c r="I484" s="88" t="str">
        <f>kursovoy!$B$940</f>
        <v/>
      </c>
      <c r="J484" s="88" t="str">
        <f>kursovoy!$B$940</f>
        <v/>
      </c>
      <c r="K484" s="88" t="str">
        <f>kursovoy!$B$940</f>
        <v/>
      </c>
      <c r="L484" s="88" t="str">
        <f>kursovoy!$B$940</f>
        <v/>
      </c>
      <c r="M484" s="199"/>
      <c r="N484" s="199"/>
      <c r="O484" s="199"/>
      <c r="P484" s="29"/>
      <c r="Q484" s="29"/>
      <c r="R484" s="8"/>
    </row>
    <row r="485" spans="1:18" ht="15" x14ac:dyDescent="0.25">
      <c r="A485" s="25"/>
      <c r="B485" s="4515" t="str">
        <f>IF(H479=0,"Ленточный конвейер №3","----------------------")</f>
        <v>Ленточный конвейер №3</v>
      </c>
      <c r="C485" s="4516"/>
      <c r="D485" s="4516"/>
      <c r="E485" s="4352" t="str">
        <f>IF(H479=0,"Номер в таблице","-------------")</f>
        <v>Номер в таблице</v>
      </c>
      <c r="F485" s="4345"/>
      <c r="G485" s="4345"/>
      <c r="H485" s="88">
        <f>kursovoy!$B$935</f>
        <v>0</v>
      </c>
      <c r="I485" s="88">
        <f>kursovoy!$B$935</f>
        <v>0</v>
      </c>
      <c r="J485" s="88">
        <f>kursovoy!$B$935</f>
        <v>0</v>
      </c>
      <c r="K485" s="88">
        <f>kursovoy!$B$935</f>
        <v>0</v>
      </c>
      <c r="L485" s="88">
        <f>kursovoy!$B$935</f>
        <v>0</v>
      </c>
      <c r="M485" s="199"/>
      <c r="N485" s="199"/>
      <c r="O485" s="199"/>
      <c r="P485" s="29"/>
      <c r="Q485" s="29"/>
      <c r="R485" s="8"/>
    </row>
    <row r="486" spans="1:18" ht="15" x14ac:dyDescent="0.25">
      <c r="A486" s="25"/>
      <c r="B486" s="4516"/>
      <c r="C486" s="4516"/>
      <c r="D486" s="4516"/>
      <c r="E486" s="4352" t="str">
        <f>IF(H479=0,"Длина, м","---------")</f>
        <v>Длина, м</v>
      </c>
      <c r="F486" s="4345"/>
      <c r="G486" s="4345"/>
      <c r="H486" s="88" t="str">
        <f>kursovoy!$B$943</f>
        <v/>
      </c>
      <c r="I486" s="88" t="str">
        <f>kursovoy!$B$943</f>
        <v/>
      </c>
      <c r="J486" s="88" t="str">
        <f>kursovoy!$B$943</f>
        <v/>
      </c>
      <c r="K486" s="88" t="str">
        <f>kursovoy!$B$943</f>
        <v/>
      </c>
      <c r="L486" s="88" t="str">
        <f>kursovoy!$B$943</f>
        <v/>
      </c>
      <c r="M486" s="199"/>
      <c r="N486" s="199"/>
      <c r="O486" s="199"/>
      <c r="P486" s="29"/>
      <c r="Q486" s="29"/>
      <c r="R486" s="8"/>
    </row>
    <row r="487" spans="1:18" ht="15" x14ac:dyDescent="0.25">
      <c r="A487" s="25"/>
      <c r="B487" s="4515" t="str">
        <f>IF(H479=0,"Ленточный конвейер №4","------------------------")</f>
        <v>Ленточный конвейер №4</v>
      </c>
      <c r="C487" s="4516"/>
      <c r="D487" s="4516"/>
      <c r="E487" s="4352" t="str">
        <f>IF(H479=0,"Номер в таблице","-------------")</f>
        <v>Номер в таблице</v>
      </c>
      <c r="F487" s="4345"/>
      <c r="G487" s="4345"/>
      <c r="H487" s="507"/>
      <c r="I487" s="507"/>
      <c r="J487" s="507"/>
      <c r="K487" s="507"/>
      <c r="L487" s="507"/>
      <c r="M487" s="199"/>
      <c r="N487" s="199"/>
      <c r="O487" s="199"/>
      <c r="P487" s="29"/>
      <c r="Q487" s="29"/>
      <c r="R487" s="8"/>
    </row>
    <row r="488" spans="1:18" ht="15" x14ac:dyDescent="0.25">
      <c r="A488" s="25"/>
      <c r="B488" s="4516"/>
      <c r="C488" s="4516"/>
      <c r="D488" s="4516"/>
      <c r="E488" s="4352" t="str">
        <f>IF(H479=0,"Длина, м","---------")</f>
        <v>Длина, м</v>
      </c>
      <c r="F488" s="4345"/>
      <c r="G488" s="4345"/>
      <c r="H488" s="507"/>
      <c r="I488" s="507"/>
      <c r="J488" s="507"/>
      <c r="K488" s="507"/>
      <c r="L488" s="507"/>
      <c r="M488" s="199"/>
      <c r="N488" s="199"/>
      <c r="O488" s="199"/>
      <c r="P488" s="29"/>
      <c r="Q488" s="29"/>
      <c r="R488" s="8"/>
    </row>
    <row r="489" spans="1:18" ht="15" x14ac:dyDescent="0.25">
      <c r="A489" s="25"/>
      <c r="B489" s="4515" t="str">
        <f>IF(H479=0,"Ленточный конвейер №5","----------------------")</f>
        <v>Ленточный конвейер №5</v>
      </c>
      <c r="C489" s="4516"/>
      <c r="D489" s="4516"/>
      <c r="E489" s="4352" t="str">
        <f>IF(H479=0,"Номер в таблице","-------------")</f>
        <v>Номер в таблице</v>
      </c>
      <c r="F489" s="4345"/>
      <c r="G489" s="4345"/>
      <c r="H489" s="507"/>
      <c r="I489" s="507"/>
      <c r="J489" s="507"/>
      <c r="K489" s="507"/>
      <c r="L489" s="507"/>
      <c r="M489" s="199"/>
      <c r="N489" s="199"/>
      <c r="O489" s="199"/>
      <c r="P489" s="29"/>
      <c r="Q489" s="29"/>
      <c r="R489" s="8"/>
    </row>
    <row r="490" spans="1:18" ht="15" x14ac:dyDescent="0.25">
      <c r="A490" s="25"/>
      <c r="B490" s="4516"/>
      <c r="C490" s="4516"/>
      <c r="D490" s="4516"/>
      <c r="E490" s="4352" t="str">
        <f>IF(H479=0,"Длина, м","---------")</f>
        <v>Длина, м</v>
      </c>
      <c r="F490" s="4345"/>
      <c r="G490" s="4345"/>
      <c r="H490" s="507"/>
      <c r="I490" s="507"/>
      <c r="J490" s="507"/>
      <c r="K490" s="507"/>
      <c r="L490" s="507"/>
      <c r="M490" s="199"/>
      <c r="N490" s="199"/>
      <c r="O490" s="199"/>
      <c r="P490" s="29"/>
      <c r="Q490" s="29"/>
      <c r="R490" s="8"/>
    </row>
    <row r="491" spans="1:18" ht="15" x14ac:dyDescent="0.25">
      <c r="A491" s="13" t="str">
        <f>IF(SUM(S80:S84)=5,"Исходные данные о крепи и процессе крепления","")</f>
        <v/>
      </c>
      <c r="B491" s="509"/>
      <c r="C491" s="509"/>
      <c r="D491" s="509"/>
      <c r="E491" s="59"/>
      <c r="F491" s="59"/>
      <c r="G491" s="373"/>
      <c r="H491" s="510"/>
      <c r="I491" s="510"/>
      <c r="J491" s="510"/>
      <c r="K491" s="511"/>
      <c r="L491" s="496"/>
      <c r="M491" s="199"/>
      <c r="N491" s="199"/>
      <c r="O491" s="199"/>
      <c r="P491" s="29"/>
      <c r="Q491" s="29"/>
      <c r="R491" s="8"/>
    </row>
    <row r="492" spans="1:18" ht="45" customHeight="1" x14ac:dyDescent="0.25">
      <c r="A492" s="11"/>
      <c r="B492" s="4445" t="s">
        <v>3861</v>
      </c>
      <c r="C492" s="4375"/>
      <c r="D492" s="4375"/>
      <c r="E492" s="4375"/>
      <c r="F492" s="4375"/>
      <c r="G492" s="4375"/>
      <c r="H492" s="1107">
        <v>1</v>
      </c>
      <c r="I492" s="1107">
        <v>1</v>
      </c>
      <c r="J492" s="1107">
        <v>1</v>
      </c>
      <c r="K492" s="1107">
        <v>1</v>
      </c>
      <c r="L492" s="1107">
        <v>1</v>
      </c>
      <c r="M492" s="199"/>
      <c r="N492" s="199"/>
      <c r="O492" s="199"/>
      <c r="P492" s="29"/>
      <c r="Q492" s="29"/>
      <c r="R492" s="8"/>
    </row>
    <row r="493" spans="1:18" ht="33" customHeight="1" x14ac:dyDescent="0.25">
      <c r="A493" s="11"/>
      <c r="B493" s="4438" t="s">
        <v>3764</v>
      </c>
      <c r="C493" s="4375"/>
      <c r="D493" s="4375"/>
      <c r="E493" s="4375"/>
      <c r="F493" s="4375"/>
      <c r="G493" s="4375"/>
      <c r="H493" s="816" t="b">
        <f>IF(kursovoy!$B$500=2,1,IF(kursovoy!$B$500=4,2))</f>
        <v>0</v>
      </c>
      <c r="I493" s="816" t="b">
        <f>IF(kursovoy!$B$500=2,1,IF(kursovoy!$B$500=4,2))</f>
        <v>0</v>
      </c>
      <c r="J493" s="816" t="b">
        <f>IF(kursovoy!$B$500=2,1,IF(kursovoy!$B$500=4,2))</f>
        <v>0</v>
      </c>
      <c r="K493" s="816" t="b">
        <f>IF(kursovoy!$B$500=2,1,IF(kursovoy!$B$500=4,2))</f>
        <v>0</v>
      </c>
      <c r="L493" s="816" t="b">
        <f>IF(kursovoy!$B$500=2,1,IF(kursovoy!$B$500=4,2))</f>
        <v>0</v>
      </c>
      <c r="M493" s="199"/>
      <c r="N493" s="199"/>
      <c r="O493" s="199"/>
      <c r="P493" s="29"/>
      <c r="Q493" s="29"/>
      <c r="R493" s="8"/>
    </row>
    <row r="494" spans="1:18" ht="15" x14ac:dyDescent="0.25">
      <c r="A494" s="516" t="s">
        <v>1109</v>
      </c>
      <c r="B494" s="517"/>
      <c r="C494" s="517"/>
      <c r="D494" s="117"/>
      <c r="E494" s="117"/>
      <c r="F494" s="117"/>
      <c r="G494" s="117"/>
      <c r="H494" s="199"/>
      <c r="I494" s="117"/>
      <c r="J494" s="518"/>
      <c r="K494" s="199"/>
      <c r="L494" s="199"/>
      <c r="M494" s="199"/>
      <c r="N494" s="199"/>
      <c r="O494" s="199"/>
      <c r="P494" s="29"/>
      <c r="Q494" s="29"/>
      <c r="R494" s="8"/>
    </row>
    <row r="495" spans="1:18" ht="15" x14ac:dyDescent="0.25">
      <c r="A495" s="199"/>
      <c r="B495" s="199" t="s">
        <v>303</v>
      </c>
      <c r="C495" s="199"/>
      <c r="D495" s="199"/>
      <c r="E495" s="199"/>
      <c r="F495" s="199"/>
      <c r="G495" s="199"/>
      <c r="H495" s="813" t="str">
        <f>kursovoy!$B$404</f>
        <v/>
      </c>
      <c r="I495" s="813" t="str">
        <f>kursovoy!$B$404</f>
        <v/>
      </c>
      <c r="J495" s="813" t="str">
        <f>kursovoy!$B$404</f>
        <v/>
      </c>
      <c r="K495" s="813" t="str">
        <f>kursovoy!$B$404</f>
        <v/>
      </c>
      <c r="L495" s="813" t="str">
        <f>kursovoy!$B$404</f>
        <v/>
      </c>
      <c r="M495" s="199"/>
      <c r="N495" s="199"/>
      <c r="O495" s="199"/>
      <c r="P495" s="29"/>
      <c r="Q495" s="29"/>
      <c r="R495" s="8"/>
    </row>
    <row r="496" spans="1:18" ht="15" x14ac:dyDescent="0.25">
      <c r="A496" s="199"/>
      <c r="B496" s="199" t="s">
        <v>3867</v>
      </c>
      <c r="C496" s="199"/>
      <c r="D496" s="199"/>
      <c r="E496" s="199"/>
      <c r="F496" s="199"/>
      <c r="G496" s="199"/>
      <c r="H496" s="813" t="str">
        <f>kursovoy!$B$225</f>
        <v/>
      </c>
      <c r="I496" s="813" t="str">
        <f>kursovoy!$B$225</f>
        <v/>
      </c>
      <c r="J496" s="813" t="str">
        <f>kursovoy!$B$225</f>
        <v/>
      </c>
      <c r="K496" s="813" t="str">
        <f>kursovoy!$B$225</f>
        <v/>
      </c>
      <c r="L496" s="813" t="str">
        <f>kursovoy!$B$225</f>
        <v/>
      </c>
      <c r="M496" s="199"/>
      <c r="N496" s="199"/>
      <c r="O496" s="199"/>
      <c r="P496" s="29"/>
      <c r="Q496" s="29"/>
      <c r="R496" s="8"/>
    </row>
    <row r="497" spans="1:18" ht="15" x14ac:dyDescent="0.25">
      <c r="A497" s="199"/>
      <c r="B497" s="199" t="s">
        <v>304</v>
      </c>
      <c r="C497" s="199"/>
      <c r="D497" s="199"/>
      <c r="E497" s="199"/>
      <c r="F497" s="199"/>
      <c r="G497" s="199"/>
      <c r="H497" s="706" t="str">
        <f>kursovoy!$B$218</f>
        <v/>
      </c>
      <c r="I497" s="706" t="str">
        <f>kursovoy!$B$218</f>
        <v/>
      </c>
      <c r="J497" s="706" t="str">
        <f>kursovoy!$B$218</f>
        <v/>
      </c>
      <c r="K497" s="706" t="str">
        <f>kursovoy!$B$218</f>
        <v/>
      </c>
      <c r="L497" s="706" t="str">
        <f>kursovoy!$B$218</f>
        <v/>
      </c>
      <c r="M497" s="199"/>
      <c r="N497" s="199"/>
      <c r="O497" s="199"/>
      <c r="P497" s="29"/>
      <c r="Q497" s="29"/>
      <c r="R497" s="8"/>
    </row>
    <row r="498" spans="1:18" ht="17.25" x14ac:dyDescent="0.3">
      <c r="A498" s="199"/>
      <c r="B498" s="199" t="s">
        <v>305</v>
      </c>
      <c r="C498" s="199"/>
      <c r="D498" s="199"/>
      <c r="E498" s="199"/>
      <c r="F498" s="199"/>
      <c r="G498" s="199"/>
      <c r="H498" s="706" t="e">
        <f>kursovoy!$B$206/100</f>
        <v>#VALUE!</v>
      </c>
      <c r="I498" s="706" t="e">
        <f>kursovoy!$B$206/100</f>
        <v>#VALUE!</v>
      </c>
      <c r="J498" s="706" t="e">
        <f>kursovoy!$B$206/100</f>
        <v>#VALUE!</v>
      </c>
      <c r="K498" s="706" t="e">
        <f>kursovoy!$B$206/100</f>
        <v>#VALUE!</v>
      </c>
      <c r="L498" s="706" t="e">
        <f>kursovoy!$B$206/100</f>
        <v>#VALUE!</v>
      </c>
      <c r="M498" s="199"/>
      <c r="N498" s="199"/>
      <c r="O498" s="199"/>
      <c r="P498" s="29"/>
      <c r="Q498" s="29"/>
      <c r="R498" s="8"/>
    </row>
    <row r="499" spans="1:18" ht="36.75" customHeight="1" x14ac:dyDescent="0.25">
      <c r="A499" s="199"/>
      <c r="B499" s="4375" t="s">
        <v>4366</v>
      </c>
      <c r="C499" s="4375"/>
      <c r="D499" s="4375"/>
      <c r="E499" s="4375"/>
      <c r="F499" s="4375"/>
      <c r="G499" s="11"/>
      <c r="H499" s="801" t="str">
        <f>kursovoy!$B$216</f>
        <v/>
      </c>
      <c r="I499" s="801" t="str">
        <f>kursovoy!$B$216</f>
        <v/>
      </c>
      <c r="J499" s="801" t="str">
        <f>kursovoy!$B$216</f>
        <v/>
      </c>
      <c r="K499" s="801" t="str">
        <f>kursovoy!$B$216</f>
        <v/>
      </c>
      <c r="L499" s="801" t="str">
        <f>kursovoy!$B$216</f>
        <v/>
      </c>
      <c r="M499" s="199"/>
      <c r="N499" s="199"/>
      <c r="O499" s="199"/>
      <c r="P499" s="29"/>
      <c r="Q499" s="29"/>
      <c r="R499" s="8"/>
    </row>
    <row r="500" spans="1:18" ht="15" x14ac:dyDescent="0.25">
      <c r="A500" s="520"/>
      <c r="B500" s="73" t="s">
        <v>3991</v>
      </c>
      <c r="C500" s="90"/>
      <c r="D500" s="90"/>
      <c r="E500" s="90"/>
      <c r="F500" s="90"/>
      <c r="G500" s="11"/>
      <c r="H500" s="814" t="str">
        <f>kursovoy!$B$405</f>
        <v/>
      </c>
      <c r="I500" s="814" t="str">
        <f>kursovoy!$B$405</f>
        <v/>
      </c>
      <c r="J500" s="814" t="str">
        <f>kursovoy!$B$405</f>
        <v/>
      </c>
      <c r="K500" s="814" t="str">
        <f>kursovoy!$B$405</f>
        <v/>
      </c>
      <c r="L500" s="814" t="str">
        <f>kursovoy!$B$405</f>
        <v/>
      </c>
      <c r="M500" s="199"/>
      <c r="N500" s="199"/>
      <c r="O500" s="199"/>
      <c r="P500" s="29"/>
      <c r="Q500" s="29"/>
      <c r="R500" s="8"/>
    </row>
    <row r="501" spans="1:18" ht="15" x14ac:dyDescent="0.25">
      <c r="A501" s="199"/>
      <c r="B501" s="27" t="s">
        <v>3475</v>
      </c>
      <c r="C501" s="27"/>
      <c r="D501" s="25"/>
      <c r="E501" s="27"/>
      <c r="F501" s="27"/>
      <c r="G501" s="27"/>
      <c r="H501" s="815" t="str">
        <f>kursovoy!$B$214</f>
        <v/>
      </c>
      <c r="I501" s="815" t="str">
        <f>kursovoy!$B$214</f>
        <v/>
      </c>
      <c r="J501" s="815" t="str">
        <f>kursovoy!$B$214</f>
        <v/>
      </c>
      <c r="K501" s="815" t="str">
        <f>kursovoy!$B$214</f>
        <v/>
      </c>
      <c r="L501" s="815" t="str">
        <f>kursovoy!$B$214</f>
        <v/>
      </c>
      <c r="M501" s="199"/>
      <c r="N501" s="199"/>
      <c r="O501" s="199"/>
      <c r="P501" s="29"/>
      <c r="Q501" s="29"/>
      <c r="R501" s="8"/>
    </row>
    <row r="502" spans="1:18" ht="40.5" customHeight="1" x14ac:dyDescent="0.25">
      <c r="A502" s="199"/>
      <c r="B502" s="4375" t="s">
        <v>505</v>
      </c>
      <c r="C502" s="4375"/>
      <c r="D502" s="4375"/>
      <c r="E502" s="4375"/>
      <c r="F502" s="4539"/>
      <c r="G502" s="521">
        <f>ROW(946:946)</f>
        <v>946</v>
      </c>
      <c r="H502" s="815" t="b">
        <f>IF(kursovoy!$B$208=1,1,IF(kursovoy!$B$208=2,1,IF(kursovoy!$B$208=3,2,IF(kursovoy!$B$208=4,4,IF(kursovoy!$B$208=5,4)))))</f>
        <v>0</v>
      </c>
      <c r="I502" s="815" t="b">
        <f>IF(kursovoy!$B$208=1,1,IF(kursovoy!$B$208=2,1,IF(kursovoy!$B$208=3,2,IF(kursovoy!$B$208=4,4,IF(kursovoy!$B$208=5,4)))))</f>
        <v>0</v>
      </c>
      <c r="J502" s="815" t="b">
        <f>IF(kursovoy!$B$208=1,1,IF(kursovoy!$B$208=2,1,IF(kursovoy!$B$208=3,2,IF(kursovoy!$B$208=4,4,IF(kursovoy!$B$208=5,4)))))</f>
        <v>0</v>
      </c>
      <c r="K502" s="815" t="b">
        <f>IF(kursovoy!$B$208=1,1,IF(kursovoy!$B$208=2,1,IF(kursovoy!$B$208=3,2,IF(kursovoy!$B$208=4,4,IF(kursovoy!$B$208=5,4)))))</f>
        <v>0</v>
      </c>
      <c r="L502" s="815" t="b">
        <f>IF(kursovoy!$B$208=1,1,IF(kursovoy!$B$208=2,1,IF(kursovoy!$B$208=3,2,IF(kursovoy!$B$208=4,4,IF(kursovoy!$B$208=5,4)))))</f>
        <v>0</v>
      </c>
      <c r="M502" s="199"/>
      <c r="N502" s="199"/>
      <c r="O502" s="199"/>
      <c r="P502" s="29"/>
      <c r="Q502" s="29"/>
      <c r="R502" s="8"/>
    </row>
    <row r="503" spans="1:18" ht="31.5" customHeight="1" x14ac:dyDescent="0.25">
      <c r="A503" s="199"/>
      <c r="B503" s="72" t="s">
        <v>2751</v>
      </c>
      <c r="C503" s="59"/>
      <c r="D503" s="59"/>
      <c r="E503" s="59"/>
      <c r="F503" s="59"/>
      <c r="G503" s="59"/>
      <c r="H503" s="815" t="str">
        <f>kursovoy!$B$220</f>
        <v/>
      </c>
      <c r="I503" s="815" t="str">
        <f>kursovoy!$B$220</f>
        <v/>
      </c>
      <c r="J503" s="815" t="str">
        <f>kursovoy!$B$220</f>
        <v/>
      </c>
      <c r="K503" s="815" t="str">
        <f>kursovoy!$B$220</f>
        <v/>
      </c>
      <c r="L503" s="815" t="str">
        <f>kursovoy!$B$220</f>
        <v/>
      </c>
      <c r="M503" s="199"/>
      <c r="N503" s="199"/>
      <c r="O503" s="199"/>
      <c r="P503" s="29"/>
      <c r="Q503" s="29"/>
      <c r="R503" s="8"/>
    </row>
    <row r="504" spans="1:18" ht="15" x14ac:dyDescent="0.25">
      <c r="A504" s="199"/>
      <c r="B504" s="11" t="s">
        <v>4000</v>
      </c>
      <c r="C504" s="11"/>
      <c r="D504" s="11"/>
      <c r="E504" s="11"/>
      <c r="F504" s="11"/>
      <c r="G504" s="11"/>
      <c r="H504" s="344" t="str">
        <f>kursovoy!$B$222</f>
        <v/>
      </c>
      <c r="I504" s="344" t="str">
        <f>kursovoy!$B$222</f>
        <v/>
      </c>
      <c r="J504" s="344" t="str">
        <f>kursovoy!$B$222</f>
        <v/>
      </c>
      <c r="K504" s="344" t="str">
        <f>kursovoy!$B$222</f>
        <v/>
      </c>
      <c r="L504" s="344" t="str">
        <f>kursovoy!$B$222</f>
        <v/>
      </c>
      <c r="M504" s="199"/>
      <c r="N504" s="199"/>
      <c r="O504" s="199"/>
      <c r="P504" s="29"/>
      <c r="Q504" s="29"/>
      <c r="R504" s="8"/>
    </row>
    <row r="505" spans="1:18" ht="15.75" x14ac:dyDescent="0.3">
      <c r="A505" s="199"/>
      <c r="B505" s="4375" t="s">
        <v>4392</v>
      </c>
      <c r="C505" s="4375"/>
      <c r="D505" s="4375"/>
      <c r="E505" s="4375"/>
      <c r="F505" s="4375"/>
      <c r="G505" s="4375"/>
      <c r="H505" s="816" t="str">
        <f>kursovoy!$B$207</f>
        <v/>
      </c>
      <c r="I505" s="816" t="str">
        <f>kursovoy!$B$207</f>
        <v/>
      </c>
      <c r="J505" s="816" t="str">
        <f>kursovoy!$B$207</f>
        <v/>
      </c>
      <c r="K505" s="816" t="str">
        <f>kursovoy!$B$207</f>
        <v/>
      </c>
      <c r="L505" s="816" t="str">
        <f>kursovoy!$B$207</f>
        <v/>
      </c>
      <c r="M505" s="199"/>
      <c r="N505" s="199"/>
      <c r="O505" s="199"/>
      <c r="P505" s="29"/>
      <c r="Q505" s="29"/>
      <c r="R505" s="8"/>
    </row>
    <row r="506" spans="1:18" ht="15" x14ac:dyDescent="0.25">
      <c r="A506" s="199"/>
      <c r="B506" s="4375" t="s">
        <v>4393</v>
      </c>
      <c r="C506" s="4375"/>
      <c r="D506" s="4375"/>
      <c r="E506" s="4375"/>
      <c r="F506" s="4375"/>
      <c r="G506" s="4539"/>
      <c r="H506" s="816" t="b">
        <f>IF(H505=1,4,IF(H505=2,6,IF(H505=3,10)))</f>
        <v>0</v>
      </c>
      <c r="I506" s="816" t="b">
        <f>IF(I505=1,4,IF(I505=2,6,IF(I505=3,10)))</f>
        <v>0</v>
      </c>
      <c r="J506" s="816" t="b">
        <f>IF(J505=1,4,IF(J505=2,6,IF(J505=3,10)))</f>
        <v>0</v>
      </c>
      <c r="K506" s="816" t="b">
        <f>IF(K505=1,4,IF(K505=2,6,IF(K505=3,10)))</f>
        <v>0</v>
      </c>
      <c r="L506" s="816" t="b">
        <f>IF(L505=1,4,IF(L505=2,6,IF(L505=3,10)))</f>
        <v>0</v>
      </c>
      <c r="M506" s="199"/>
      <c r="N506" s="199"/>
      <c r="O506" s="199"/>
      <c r="P506" s="29"/>
      <c r="Q506" s="29"/>
      <c r="R506" s="8"/>
    </row>
    <row r="507" spans="1:18" ht="15" x14ac:dyDescent="0.25">
      <c r="A507" s="199"/>
      <c r="B507" s="4440" t="s">
        <v>3668</v>
      </c>
      <c r="C507" s="4375"/>
      <c r="D507" s="4375"/>
      <c r="E507" s="4375"/>
      <c r="F507" s="4375"/>
      <c r="G507" s="11"/>
      <c r="H507" s="816" t="str">
        <f>kursovoy!$B$224</f>
        <v/>
      </c>
      <c r="I507" s="816" t="str">
        <f>kursovoy!$B$224</f>
        <v/>
      </c>
      <c r="J507" s="816" t="str">
        <f>kursovoy!$B$224</f>
        <v/>
      </c>
      <c r="K507" s="816" t="str">
        <f>kursovoy!$B$224</f>
        <v/>
      </c>
      <c r="L507" s="816" t="str">
        <f>kursovoy!$B$224</f>
        <v/>
      </c>
      <c r="M507" s="199"/>
      <c r="N507" s="199"/>
      <c r="O507" s="199"/>
      <c r="P507" s="29"/>
      <c r="Q507" s="29"/>
      <c r="R507" s="8"/>
    </row>
    <row r="508" spans="1:18" ht="15.75" x14ac:dyDescent="0.3">
      <c r="A508" s="199"/>
      <c r="B508" s="27" t="s">
        <v>4394</v>
      </c>
      <c r="C508" s="11"/>
      <c r="D508" s="11"/>
      <c r="E508" s="11"/>
      <c r="F508" s="11"/>
      <c r="G508" s="11"/>
      <c r="H508" s="816" t="str">
        <f>kursovoy!$B$210</f>
        <v/>
      </c>
      <c r="I508" s="816" t="str">
        <f>kursovoy!$B$210</f>
        <v/>
      </c>
      <c r="J508" s="816" t="str">
        <f>kursovoy!$B$210</f>
        <v/>
      </c>
      <c r="K508" s="816" t="str">
        <f>kursovoy!$B$210</f>
        <v/>
      </c>
      <c r="L508" s="816" t="str">
        <f>kursovoy!$B$210</f>
        <v/>
      </c>
      <c r="M508" s="199"/>
      <c r="N508" s="199"/>
      <c r="O508" s="199"/>
      <c r="P508" s="29"/>
      <c r="Q508" s="29"/>
      <c r="R508" s="8"/>
    </row>
    <row r="509" spans="1:18" ht="15" x14ac:dyDescent="0.25">
      <c r="A509" s="199"/>
      <c r="B509" s="27" t="s">
        <v>5450</v>
      </c>
      <c r="C509" s="11"/>
      <c r="D509" s="11"/>
      <c r="E509" s="11"/>
      <c r="F509" s="11"/>
      <c r="G509" s="11"/>
      <c r="H509" s="801" t="str">
        <f>kursovoy!$B$212</f>
        <v/>
      </c>
      <c r="I509" s="801" t="str">
        <f>kursovoy!$B$212</f>
        <v/>
      </c>
      <c r="J509" s="801" t="str">
        <f>kursovoy!$B$212</f>
        <v/>
      </c>
      <c r="K509" s="801" t="str">
        <f>kursovoy!$B$212</f>
        <v/>
      </c>
      <c r="L509" s="801" t="str">
        <f>kursovoy!$B$212</f>
        <v/>
      </c>
      <c r="M509" s="199"/>
      <c r="N509" s="199"/>
      <c r="O509" s="199"/>
      <c r="P509" s="29"/>
      <c r="Q509" s="29"/>
      <c r="R509" s="8"/>
    </row>
    <row r="510" spans="1:18" ht="15" x14ac:dyDescent="0.25">
      <c r="A510" s="199"/>
      <c r="B510" s="27" t="s">
        <v>5318</v>
      </c>
      <c r="C510" s="11"/>
      <c r="D510" s="11"/>
      <c r="E510" s="11"/>
      <c r="F510" s="11"/>
      <c r="G510" s="11"/>
      <c r="H510" s="801" t="e">
        <f>kursovoy!$B$2305</f>
        <v>#VALUE!</v>
      </c>
      <c r="I510" s="801" t="e">
        <f>kursovoy!$B$2305</f>
        <v>#VALUE!</v>
      </c>
      <c r="J510" s="801" t="e">
        <f>kursovoy!$B$2305</f>
        <v>#VALUE!</v>
      </c>
      <c r="K510" s="801" t="e">
        <f>kursovoy!$B$2305</f>
        <v>#VALUE!</v>
      </c>
      <c r="L510" s="801" t="e">
        <f>kursovoy!$B$2305</f>
        <v>#VALUE!</v>
      </c>
      <c r="M510" s="199"/>
      <c r="N510" s="199"/>
      <c r="O510" s="199"/>
      <c r="P510" s="29"/>
      <c r="Q510" s="29"/>
      <c r="R510" s="8"/>
    </row>
    <row r="511" spans="1:18" ht="15" x14ac:dyDescent="0.25">
      <c r="A511" s="13" t="s">
        <v>4120</v>
      </c>
      <c r="B511" s="11" t="s">
        <v>4122</v>
      </c>
      <c r="C511" s="11"/>
      <c r="D511" s="11"/>
      <c r="E511" s="11"/>
      <c r="F511" s="11"/>
      <c r="G511" s="11"/>
      <c r="H511" s="1143">
        <v>1</v>
      </c>
      <c r="I511" s="1143">
        <v>1</v>
      </c>
      <c r="J511" s="1143">
        <v>1</v>
      </c>
      <c r="K511" s="1143">
        <v>1</v>
      </c>
      <c r="L511" s="1143">
        <v>1</v>
      </c>
      <c r="M511" s="199"/>
      <c r="N511" s="199"/>
      <c r="O511" s="199"/>
      <c r="P511" s="29"/>
      <c r="Q511" s="29"/>
      <c r="R511" s="8"/>
    </row>
    <row r="512" spans="1:18" ht="15" x14ac:dyDescent="0.25">
      <c r="A512" s="199"/>
      <c r="B512" s="11" t="s">
        <v>4123</v>
      </c>
      <c r="C512" s="11"/>
      <c r="D512" s="11"/>
      <c r="E512" s="11"/>
      <c r="F512" s="11"/>
      <c r="G512" s="11"/>
      <c r="H512" s="1143">
        <v>0</v>
      </c>
      <c r="I512" s="1143">
        <v>0</v>
      </c>
      <c r="J512" s="1143">
        <v>0</v>
      </c>
      <c r="K512" s="1143">
        <v>0</v>
      </c>
      <c r="L512" s="1143">
        <v>0</v>
      </c>
      <c r="M512" s="199"/>
      <c r="N512" s="199"/>
      <c r="O512" s="199"/>
      <c r="P512" s="29"/>
      <c r="Q512" s="29"/>
      <c r="R512" s="8"/>
    </row>
    <row r="513" spans="1:18" ht="15" x14ac:dyDescent="0.25">
      <c r="A513" s="199"/>
      <c r="B513" s="11" t="s">
        <v>4124</v>
      </c>
      <c r="C513" s="11"/>
      <c r="D513" s="11"/>
      <c r="E513" s="11"/>
      <c r="F513" s="11"/>
      <c r="G513" s="11"/>
      <c r="H513" s="816" t="e">
        <f>IF(kursovoy!$B$2266=1,1,0)</f>
        <v>#VALUE!</v>
      </c>
      <c r="I513" s="816" t="e">
        <f>IF(kursovoy!$B$2266=1,1,0)</f>
        <v>#VALUE!</v>
      </c>
      <c r="J513" s="816" t="e">
        <f>IF(kursovoy!$B$2266=1,1,0)</f>
        <v>#VALUE!</v>
      </c>
      <c r="K513" s="816" t="e">
        <f>IF(kursovoy!$B$2266=1,1,0)</f>
        <v>#VALUE!</v>
      </c>
      <c r="L513" s="816" t="e">
        <f>IF(kursovoy!$B$2266=1,1,0)</f>
        <v>#VALUE!</v>
      </c>
      <c r="M513" s="199"/>
      <c r="N513" s="199"/>
      <c r="O513" s="199"/>
      <c r="P513" s="29"/>
      <c r="Q513" s="29"/>
      <c r="R513" s="8"/>
    </row>
    <row r="514" spans="1:18" ht="15" x14ac:dyDescent="0.25">
      <c r="A514" s="199"/>
      <c r="B514" s="4375" t="s">
        <v>2363</v>
      </c>
      <c r="C514" s="4375"/>
      <c r="D514" s="4375"/>
      <c r="E514" s="4375"/>
      <c r="F514" s="4375"/>
      <c r="G514" s="4375"/>
      <c r="H514" s="816">
        <v>0</v>
      </c>
      <c r="I514" s="816">
        <v>0</v>
      </c>
      <c r="J514" s="816">
        <v>0</v>
      </c>
      <c r="K514" s="816">
        <v>0</v>
      </c>
      <c r="L514" s="816">
        <v>0</v>
      </c>
      <c r="M514" s="199"/>
      <c r="N514" s="199"/>
      <c r="O514" s="199"/>
      <c r="P514" s="29"/>
      <c r="Q514" s="29"/>
      <c r="R514" s="8"/>
    </row>
    <row r="515" spans="1:18" ht="15" x14ac:dyDescent="0.25">
      <c r="A515" s="199"/>
      <c r="B515" s="11" t="s">
        <v>4125</v>
      </c>
      <c r="C515" s="11"/>
      <c r="D515" s="11"/>
      <c r="E515" s="11"/>
      <c r="F515" s="11"/>
      <c r="G515" s="11"/>
      <c r="H515" s="816">
        <v>0</v>
      </c>
      <c r="I515" s="816">
        <v>0</v>
      </c>
      <c r="J515" s="816">
        <v>0</v>
      </c>
      <c r="K515" s="816">
        <v>0</v>
      </c>
      <c r="L515" s="816">
        <v>0</v>
      </c>
      <c r="M515" s="199"/>
      <c r="N515" s="199"/>
      <c r="O515" s="199"/>
      <c r="P515" s="29"/>
      <c r="Q515" s="29"/>
      <c r="R515" s="8"/>
    </row>
    <row r="516" spans="1:18" ht="15" x14ac:dyDescent="0.25">
      <c r="A516" s="13" t="s">
        <v>1548</v>
      </c>
      <c r="B516" s="11" t="s">
        <v>4122</v>
      </c>
      <c r="C516" s="11"/>
      <c r="D516" s="11"/>
      <c r="E516" s="11"/>
      <c r="F516" s="11"/>
      <c r="G516" s="11"/>
      <c r="H516" s="1143">
        <v>1</v>
      </c>
      <c r="I516" s="1143">
        <v>1</v>
      </c>
      <c r="J516" s="1143">
        <v>1</v>
      </c>
      <c r="K516" s="1143">
        <v>1</v>
      </c>
      <c r="L516" s="1143">
        <v>1</v>
      </c>
      <c r="M516" s="199"/>
      <c r="N516" s="199"/>
      <c r="O516" s="199"/>
      <c r="P516" s="29"/>
      <c r="Q516" s="29"/>
      <c r="R516" s="8"/>
    </row>
    <row r="517" spans="1:18" ht="15" x14ac:dyDescent="0.25">
      <c r="A517" s="199"/>
      <c r="B517" s="11" t="s">
        <v>4123</v>
      </c>
      <c r="C517" s="11"/>
      <c r="D517" s="11"/>
      <c r="E517" s="11"/>
      <c r="F517" s="11"/>
      <c r="G517" s="11"/>
      <c r="H517" s="816" t="e">
        <f>IF(kursovoy!$B$2275=2,1,0)</f>
        <v>#VALUE!</v>
      </c>
      <c r="I517" s="816" t="e">
        <f>IF(kursovoy!$B$2275=2,1,0)</f>
        <v>#VALUE!</v>
      </c>
      <c r="J517" s="816" t="e">
        <f>IF(kursovoy!$B$2275=2,1,0)</f>
        <v>#VALUE!</v>
      </c>
      <c r="K517" s="816" t="e">
        <f>IF(kursovoy!$B$2275=2,1,0)</f>
        <v>#VALUE!</v>
      </c>
      <c r="L517" s="816" t="e">
        <f>IF(kursovoy!$B$2275=2,1,0)</f>
        <v>#VALUE!</v>
      </c>
      <c r="M517" s="199"/>
      <c r="N517" s="199"/>
      <c r="O517" s="199"/>
      <c r="P517" s="29"/>
      <c r="Q517" s="29"/>
      <c r="R517" s="8"/>
    </row>
    <row r="518" spans="1:18" ht="15" x14ac:dyDescent="0.25">
      <c r="A518" s="199"/>
      <c r="B518" s="11" t="s">
        <v>4124</v>
      </c>
      <c r="C518" s="11"/>
      <c r="D518" s="11"/>
      <c r="E518" s="11"/>
      <c r="F518" s="11"/>
      <c r="G518" s="11"/>
      <c r="H518" s="816" t="e">
        <f>IF(kursovoy!$B$2266=1,1,0)</f>
        <v>#VALUE!</v>
      </c>
      <c r="I518" s="816" t="e">
        <f>IF(kursovoy!$B$2266=1,1,0)</f>
        <v>#VALUE!</v>
      </c>
      <c r="J518" s="816" t="e">
        <f>IF(kursovoy!$B$2266=1,1,0)</f>
        <v>#VALUE!</v>
      </c>
      <c r="K518" s="816" t="e">
        <f>IF(kursovoy!$B$2266=1,1,0)</f>
        <v>#VALUE!</v>
      </c>
      <c r="L518" s="816" t="e">
        <f>IF(kursovoy!$B$2266=1,1,0)</f>
        <v>#VALUE!</v>
      </c>
      <c r="M518" s="199"/>
      <c r="N518" s="199"/>
      <c r="O518" s="199"/>
      <c r="P518" s="29"/>
      <c r="Q518" s="29"/>
      <c r="R518" s="8"/>
    </row>
    <row r="519" spans="1:18" ht="15" x14ac:dyDescent="0.25">
      <c r="A519" s="199"/>
      <c r="B519" s="4375" t="s">
        <v>960</v>
      </c>
      <c r="C519" s="4442"/>
      <c r="D519" s="4442"/>
      <c r="E519" s="4442"/>
      <c r="F519" s="4442"/>
      <c r="G519" s="4442"/>
      <c r="H519" s="1143">
        <v>0</v>
      </c>
      <c r="I519" s="1143">
        <v>0</v>
      </c>
      <c r="J519" s="1143">
        <v>0</v>
      </c>
      <c r="K519" s="1143">
        <v>0</v>
      </c>
      <c r="L519" s="1143">
        <v>0</v>
      </c>
      <c r="M519" s="199"/>
      <c r="N519" s="199"/>
      <c r="O519" s="199"/>
      <c r="P519" s="29"/>
      <c r="Q519" s="29"/>
      <c r="R519" s="8"/>
    </row>
    <row r="520" spans="1:18" ht="15" x14ac:dyDescent="0.25">
      <c r="A520" s="199"/>
      <c r="B520" s="11" t="s">
        <v>4125</v>
      </c>
      <c r="C520" s="11"/>
      <c r="D520" s="11"/>
      <c r="E520" s="11"/>
      <c r="F520" s="11"/>
      <c r="G520" s="11"/>
      <c r="H520" s="1143">
        <v>0</v>
      </c>
      <c r="I520" s="1143">
        <v>0</v>
      </c>
      <c r="J520" s="1143">
        <v>0</v>
      </c>
      <c r="K520" s="1143">
        <v>0</v>
      </c>
      <c r="L520" s="1143">
        <v>0</v>
      </c>
      <c r="M520" s="199"/>
      <c r="N520" s="199"/>
      <c r="O520" s="199"/>
      <c r="P520" s="29"/>
      <c r="Q520" s="29"/>
      <c r="R520" s="8"/>
    </row>
    <row r="521" spans="1:18" x14ac:dyDescent="0.2">
      <c r="A521" s="29"/>
      <c r="B521" s="29"/>
      <c r="C521" s="29"/>
      <c r="D521" s="29"/>
      <c r="E521" s="29"/>
      <c r="F521" s="29"/>
      <c r="G521" s="29"/>
      <c r="H521" s="29"/>
      <c r="I521" s="29"/>
      <c r="J521" s="29"/>
      <c r="K521" s="29"/>
      <c r="L521" s="29"/>
      <c r="M521" s="29"/>
      <c r="N521" s="29"/>
      <c r="O521" s="29"/>
      <c r="P521" s="29"/>
      <c r="Q521" s="29"/>
      <c r="R521" s="8"/>
    </row>
    <row r="522" spans="1:18" x14ac:dyDescent="0.2">
      <c r="A522" s="29"/>
      <c r="B522" s="29"/>
      <c r="C522" s="29"/>
      <c r="D522" s="29"/>
      <c r="E522" s="29"/>
      <c r="F522" s="29"/>
      <c r="G522" s="29"/>
      <c r="H522" s="29"/>
      <c r="I522" s="29"/>
      <c r="J522" s="29"/>
      <c r="K522" s="29"/>
      <c r="L522" s="29"/>
      <c r="M522" s="29"/>
      <c r="N522" s="29"/>
      <c r="O522" s="29"/>
      <c r="P522" s="29"/>
      <c r="Q522" s="29"/>
      <c r="R522" s="8"/>
    </row>
    <row r="523" spans="1:18" ht="15.75" x14ac:dyDescent="0.25">
      <c r="A523" s="207"/>
      <c r="B523" s="28"/>
      <c r="C523" s="208"/>
      <c r="D523" s="208"/>
      <c r="E523" s="28"/>
      <c r="F523" s="28"/>
      <c r="G523" s="209"/>
      <c r="H523" s="28"/>
      <c r="I523" s="28"/>
      <c r="J523" s="28"/>
      <c r="K523" s="28"/>
      <c r="L523" s="28"/>
      <c r="M523" s="28"/>
      <c r="N523" s="28"/>
      <c r="O523" s="28"/>
      <c r="P523" s="28"/>
      <c r="Q523" s="28"/>
      <c r="R523" s="6"/>
    </row>
    <row r="524" spans="1:18" ht="18" x14ac:dyDescent="0.25">
      <c r="A524" s="29"/>
      <c r="B524" s="256" t="s">
        <v>5489</v>
      </c>
      <c r="C524" s="29"/>
      <c r="D524" s="29"/>
      <c r="E524" s="29"/>
      <c r="F524" s="29"/>
      <c r="G524" s="29"/>
      <c r="H524" s="29"/>
      <c r="I524" s="29"/>
      <c r="J524" s="29"/>
      <c r="K524" s="29"/>
      <c r="L524" s="29"/>
      <c r="M524" s="29"/>
      <c r="N524" s="29"/>
      <c r="O524" s="29"/>
      <c r="P524" s="29"/>
      <c r="Q524" s="29"/>
      <c r="R524" s="8"/>
    </row>
    <row r="525" spans="1:18" x14ac:dyDescent="0.2">
      <c r="A525" s="29"/>
      <c r="B525" s="29"/>
      <c r="C525" s="29"/>
      <c r="D525" s="59" t="s">
        <v>8</v>
      </c>
      <c r="E525" s="4517" t="s">
        <v>4275</v>
      </c>
      <c r="F525" s="4517"/>
      <c r="G525" s="4517"/>
      <c r="H525" s="507">
        <v>3</v>
      </c>
      <c r="I525" s="507">
        <v>3</v>
      </c>
      <c r="J525" s="507">
        <v>3</v>
      </c>
      <c r="K525" s="507">
        <v>3</v>
      </c>
      <c r="L525" s="507">
        <v>3</v>
      </c>
      <c r="M525" s="29"/>
      <c r="N525" s="29"/>
      <c r="O525" s="29"/>
      <c r="P525" s="29"/>
      <c r="Q525" s="29"/>
      <c r="R525" s="8"/>
    </row>
    <row r="526" spans="1:18" x14ac:dyDescent="0.2">
      <c r="A526" s="29"/>
      <c r="B526" s="29"/>
      <c r="C526" s="29"/>
      <c r="D526" s="59" t="s">
        <v>9</v>
      </c>
      <c r="E526" s="4517" t="s">
        <v>4275</v>
      </c>
      <c r="F526" s="4517"/>
      <c r="G526" s="4517"/>
      <c r="H526" s="507">
        <v>3</v>
      </c>
      <c r="I526" s="507">
        <v>3</v>
      </c>
      <c r="J526" s="507">
        <v>3</v>
      </c>
      <c r="K526" s="507">
        <v>3</v>
      </c>
      <c r="L526" s="507">
        <v>3</v>
      </c>
      <c r="M526" s="29"/>
      <c r="N526" s="29"/>
      <c r="O526" s="29"/>
      <c r="P526" s="29"/>
      <c r="Q526" s="29"/>
      <c r="R526" s="8"/>
    </row>
    <row r="527" spans="1:18" ht="15.75" x14ac:dyDescent="0.25">
      <c r="A527" s="550"/>
      <c r="B527" s="29"/>
      <c r="C527" s="551"/>
      <c r="D527" s="59" t="s">
        <v>10</v>
      </c>
      <c r="E527" s="4517" t="s">
        <v>4275</v>
      </c>
      <c r="F527" s="4517"/>
      <c r="G527" s="4517"/>
      <c r="H527" s="507"/>
      <c r="I527" s="507"/>
      <c r="J527" s="507"/>
      <c r="K527" s="507"/>
      <c r="L527" s="507"/>
      <c r="M527" s="29"/>
      <c r="N527" s="29"/>
      <c r="O527" s="29"/>
      <c r="P527" s="29"/>
      <c r="Q527" s="29"/>
      <c r="R527" s="8"/>
    </row>
    <row r="528" spans="1:18" ht="15.75" x14ac:dyDescent="0.25">
      <c r="A528" s="550"/>
      <c r="B528" s="29"/>
      <c r="C528" s="551"/>
      <c r="D528" s="59" t="s">
        <v>11</v>
      </c>
      <c r="E528" s="4517" t="s">
        <v>4275</v>
      </c>
      <c r="F528" s="4517"/>
      <c r="G528" s="4517"/>
      <c r="H528" s="507"/>
      <c r="I528" s="507"/>
      <c r="J528" s="507"/>
      <c r="K528" s="507"/>
      <c r="L528" s="507"/>
      <c r="M528" s="29"/>
      <c r="N528" s="29"/>
      <c r="O528" s="29"/>
      <c r="P528" s="29"/>
      <c r="Q528" s="29"/>
      <c r="R528" s="8"/>
    </row>
    <row r="530" spans="1:26" ht="15.75" x14ac:dyDescent="0.25">
      <c r="A530" s="550"/>
      <c r="B530" s="29"/>
      <c r="C530" s="551"/>
      <c r="D530" s="551"/>
      <c r="E530" s="29"/>
      <c r="F530" s="29"/>
      <c r="G530" s="552"/>
      <c r="H530" s="29"/>
      <c r="I530" s="29"/>
      <c r="J530" s="29"/>
      <c r="K530" s="29"/>
      <c r="L530" s="29"/>
      <c r="M530" s="29"/>
      <c r="N530" s="29"/>
      <c r="O530" s="29"/>
      <c r="P530" s="29"/>
      <c r="Q530" s="29"/>
      <c r="R530" s="8"/>
      <c r="S530" s="8"/>
      <c r="T530" s="8"/>
      <c r="U530" s="8"/>
      <c r="V530" s="8"/>
      <c r="W530" s="8"/>
      <c r="X530" s="8"/>
      <c r="Y530" s="8"/>
      <c r="Z530" s="8"/>
    </row>
    <row r="532" spans="1:26" x14ac:dyDescent="0.2">
      <c r="A532" s="196"/>
      <c r="B532" s="196"/>
      <c r="C532" s="196"/>
      <c r="D532" s="196"/>
      <c r="E532" s="196"/>
      <c r="F532" s="196"/>
      <c r="G532" s="196"/>
      <c r="H532" s="196"/>
      <c r="I532" s="196"/>
      <c r="J532" s="197"/>
      <c r="K532" s="197"/>
      <c r="L532" s="197"/>
      <c r="M532" s="197"/>
      <c r="N532" s="197"/>
      <c r="O532" s="62"/>
      <c r="P532" s="62"/>
      <c r="Q532" s="62"/>
      <c r="R532" s="42"/>
      <c r="S532" s="42"/>
      <c r="T532" s="42"/>
      <c r="U532" s="42"/>
      <c r="V532" s="42"/>
      <c r="W532" s="42"/>
      <c r="X532" s="42"/>
      <c r="Y532" s="42"/>
      <c r="Z532" s="42"/>
    </row>
    <row r="535" spans="1:26" ht="15" x14ac:dyDescent="0.25">
      <c r="A535" s="547"/>
      <c r="B535" s="547"/>
      <c r="C535" s="547"/>
      <c r="D535" s="547"/>
      <c r="E535" s="547"/>
      <c r="F535" s="547"/>
      <c r="G535" s="547"/>
      <c r="H535" s="547"/>
      <c r="I535" s="547"/>
      <c r="J535" s="547"/>
      <c r="K535" s="547"/>
      <c r="L535" s="547"/>
      <c r="M535" s="199"/>
      <c r="N535" s="199"/>
      <c r="O535" s="199"/>
      <c r="P535" s="199"/>
      <c r="Q535" s="199"/>
      <c r="R535" s="58"/>
      <c r="S535" s="58"/>
      <c r="T535" s="58"/>
      <c r="U535" s="58"/>
      <c r="V535" s="58"/>
      <c r="W535" s="58"/>
      <c r="X535" s="58"/>
      <c r="Y535" s="58"/>
    </row>
    <row r="536" spans="1:26" ht="15.75" x14ac:dyDescent="0.25">
      <c r="A536" s="547"/>
      <c r="B536" s="553" t="s">
        <v>1558</v>
      </c>
      <c r="C536" s="547"/>
      <c r="D536" s="547"/>
      <c r="E536" s="547"/>
      <c r="F536" s="547"/>
      <c r="G536" s="547"/>
      <c r="H536" s="547"/>
      <c r="I536" s="547"/>
      <c r="J536" s="547"/>
      <c r="K536" s="547"/>
      <c r="L536" s="547"/>
      <c r="M536" s="199"/>
      <c r="N536" s="199"/>
      <c r="O536" s="199"/>
      <c r="P536" s="199"/>
      <c r="Q536" s="199"/>
      <c r="R536" s="58"/>
      <c r="S536" s="58"/>
      <c r="T536" s="58"/>
      <c r="U536" s="58"/>
      <c r="V536" s="58"/>
      <c r="W536" s="58"/>
      <c r="X536" s="58"/>
      <c r="Y536" s="58"/>
    </row>
    <row r="537" spans="1:26" ht="15" x14ac:dyDescent="0.25">
      <c r="A537" s="27"/>
      <c r="B537" s="554"/>
      <c r="C537" s="27"/>
      <c r="D537" s="27"/>
      <c r="E537" s="27"/>
      <c r="F537" s="27"/>
      <c r="G537" s="27"/>
      <c r="H537" s="27"/>
      <c r="I537" s="27"/>
      <c r="J537" s="27"/>
      <c r="K537" s="547"/>
      <c r="L537" s="547"/>
      <c r="M537" s="199"/>
      <c r="N537" s="199"/>
      <c r="O537" s="199"/>
      <c r="P537" s="199"/>
      <c r="Q537" s="199"/>
      <c r="R537" s="58"/>
      <c r="S537" s="58"/>
      <c r="T537" s="58"/>
      <c r="U537" s="58"/>
      <c r="V537" s="58"/>
      <c r="W537" s="58"/>
      <c r="X537" s="58"/>
      <c r="Y537" s="58"/>
    </row>
    <row r="538" spans="1:26" ht="15.75" thickBot="1" x14ac:dyDescent="0.3">
      <c r="A538" s="11"/>
      <c r="B538" s="25" t="s">
        <v>3863</v>
      </c>
      <c r="C538" s="30"/>
      <c r="D538" s="11"/>
      <c r="E538" s="11"/>
      <c r="F538" s="201"/>
      <c r="G538" s="29"/>
      <c r="H538" s="29"/>
      <c r="I538" s="11"/>
      <c r="J538" s="11"/>
      <c r="K538" s="547"/>
      <c r="L538" s="547"/>
      <c r="M538" s="199"/>
      <c r="N538" s="199"/>
      <c r="O538" s="199"/>
      <c r="P538" s="199"/>
      <c r="Q538" s="199"/>
      <c r="R538" s="58"/>
      <c r="S538" s="58"/>
      <c r="T538" s="58"/>
      <c r="U538" s="58"/>
      <c r="V538" s="58"/>
      <c r="W538" s="58"/>
      <c r="X538" s="58"/>
      <c r="Y538" s="58"/>
    </row>
    <row r="539" spans="1:26" ht="72" thickBot="1" x14ac:dyDescent="0.3">
      <c r="A539" s="555" t="s">
        <v>1863</v>
      </c>
      <c r="B539" s="556" t="s">
        <v>644</v>
      </c>
      <c r="C539" s="557" t="s">
        <v>1417</v>
      </c>
      <c r="D539" s="4537" t="s">
        <v>3673</v>
      </c>
      <c r="E539" s="4538"/>
      <c r="F539" s="558" t="s">
        <v>1414</v>
      </c>
      <c r="G539" s="559" t="s">
        <v>1415</v>
      </c>
      <c r="H539" s="559" t="s">
        <v>1416</v>
      </c>
      <c r="I539" s="11"/>
      <c r="J539" s="11"/>
      <c r="K539" s="547"/>
      <c r="L539" s="547"/>
      <c r="M539" s="199"/>
      <c r="N539" s="199"/>
      <c r="O539" s="199"/>
      <c r="P539" s="199"/>
      <c r="Q539" s="199"/>
      <c r="R539" s="58"/>
      <c r="S539" s="58"/>
      <c r="T539" s="58"/>
      <c r="U539" s="58"/>
      <c r="V539" s="58"/>
      <c r="W539" s="58"/>
      <c r="X539" s="58"/>
      <c r="Y539" s="58"/>
    </row>
    <row r="540" spans="1:26" ht="15" x14ac:dyDescent="0.25">
      <c r="A540" s="560">
        <v>1</v>
      </c>
      <c r="B540" s="561">
        <f>H475</f>
        <v>0</v>
      </c>
      <c r="C540" s="562">
        <f>H525</f>
        <v>3</v>
      </c>
      <c r="D540" s="4536" t="str">
        <f>IF(B540&gt;0,INDEX($B$927:$T$927,B540),"")</f>
        <v/>
      </c>
      <c r="E540" s="4466"/>
      <c r="F540" s="564" t="str">
        <f>IF(B540&gt;0,INDEX($B$929:$T$929,B540),"")</f>
        <v/>
      </c>
      <c r="G540" s="565">
        <f>IF(F540="",100,F540/60)</f>
        <v>100</v>
      </c>
      <c r="H540" s="566">
        <f>IF(B540&gt;0,INDEX($B$930:$T$930,B540),1)</f>
        <v>1</v>
      </c>
      <c r="I540" s="11"/>
      <c r="J540" s="11"/>
      <c r="K540" s="547"/>
      <c r="L540" s="547"/>
      <c r="M540" s="199"/>
      <c r="N540" s="199"/>
      <c r="O540" s="199"/>
      <c r="P540" s="199"/>
      <c r="Q540" s="199"/>
      <c r="R540" s="58"/>
      <c r="S540" s="58"/>
      <c r="T540" s="58"/>
      <c r="U540" s="58"/>
      <c r="V540" s="58"/>
      <c r="W540" s="58"/>
      <c r="X540" s="58"/>
      <c r="Y540" s="58"/>
    </row>
    <row r="541" spans="1:26" ht="15" x14ac:dyDescent="0.25">
      <c r="A541" s="567">
        <v>2</v>
      </c>
      <c r="B541" s="202">
        <f>H476</f>
        <v>0</v>
      </c>
      <c r="C541" s="568">
        <f>H526</f>
        <v>3</v>
      </c>
      <c r="D541" s="4530" t="str">
        <f>IF(B541&gt;0,INDEX($B$927:$T$927,B541),"")</f>
        <v/>
      </c>
      <c r="E541" s="4467"/>
      <c r="F541" s="564" t="str">
        <f>IF(B541&gt;0,INDEX($B$929:$T$929,B541),"")</f>
        <v/>
      </c>
      <c r="G541" s="565">
        <f>IF(F541="",100,F541/60)</f>
        <v>100</v>
      </c>
      <c r="H541" s="566">
        <f>IF(B541&gt;0,INDEX($B$930:$T$930,B541),1)</f>
        <v>1</v>
      </c>
      <c r="I541" s="11"/>
      <c r="J541" s="11"/>
      <c r="K541" s="547"/>
      <c r="L541" s="547"/>
      <c r="M541" s="199"/>
      <c r="N541" s="199"/>
      <c r="O541" s="199"/>
      <c r="P541" s="199"/>
      <c r="Q541" s="199"/>
      <c r="R541" s="58"/>
      <c r="S541" s="58"/>
      <c r="T541" s="58"/>
      <c r="U541" s="58"/>
      <c r="V541" s="58"/>
      <c r="W541" s="58"/>
      <c r="X541" s="58"/>
      <c r="Y541" s="58"/>
    </row>
    <row r="542" spans="1:26" ht="15" x14ac:dyDescent="0.25">
      <c r="A542" s="567">
        <v>3</v>
      </c>
      <c r="B542" s="202">
        <f>H477</f>
        <v>0</v>
      </c>
      <c r="C542" s="568">
        <f>H527</f>
        <v>0</v>
      </c>
      <c r="D542" s="4530" t="str">
        <f>IF(B542&gt;0,INDEX($B$927:$T$927,B542),"")</f>
        <v/>
      </c>
      <c r="E542" s="4467"/>
      <c r="F542" s="564" t="str">
        <f>IF(B542&gt;0,INDEX($B$929:$T$929,B542),"")</f>
        <v/>
      </c>
      <c r="G542" s="565">
        <f>IF(F542="",100,F542/60)</f>
        <v>100</v>
      </c>
      <c r="H542" s="566">
        <f>IF(B542&gt;0,INDEX($B$930:$T$930,B542),1)</f>
        <v>1</v>
      </c>
      <c r="I542" s="11"/>
      <c r="J542" s="11"/>
      <c r="K542" s="547"/>
      <c r="L542" s="547"/>
      <c r="M542" s="199"/>
      <c r="N542" s="199"/>
      <c r="O542" s="199"/>
      <c r="P542" s="199"/>
      <c r="Q542" s="199"/>
      <c r="R542" s="58"/>
      <c r="S542" s="58"/>
      <c r="T542" s="58"/>
      <c r="U542" s="58"/>
      <c r="V542" s="58"/>
      <c r="W542" s="58"/>
      <c r="X542" s="58"/>
      <c r="Y542" s="58"/>
    </row>
    <row r="543" spans="1:26" ht="15" x14ac:dyDescent="0.25">
      <c r="A543" s="567">
        <v>4</v>
      </c>
      <c r="B543" s="202">
        <f>H478</f>
        <v>0</v>
      </c>
      <c r="C543" s="568">
        <f>H528</f>
        <v>0</v>
      </c>
      <c r="D543" s="4530" t="str">
        <f>IF(B543&gt;0,INDEX($B$927:$T$927,B543),"")</f>
        <v/>
      </c>
      <c r="E543" s="4467"/>
      <c r="F543" s="564" t="str">
        <f>IF(B543&gt;0,INDEX($B$929:$T$929,B543),"")</f>
        <v/>
      </c>
      <c r="G543" s="26">
        <f>IF(F543="",100,F543/60)</f>
        <v>100</v>
      </c>
      <c r="H543" s="566">
        <f>IF(B543&gt;0,INDEX($B$930:$T$930,B543),1)</f>
        <v>1</v>
      </c>
      <c r="I543" s="11"/>
      <c r="J543" s="11"/>
      <c r="K543" s="547"/>
      <c r="L543" s="547"/>
      <c r="M543" s="199"/>
      <c r="N543" s="199"/>
      <c r="O543" s="199"/>
      <c r="P543" s="199"/>
      <c r="Q543" s="199"/>
      <c r="R543" s="58"/>
      <c r="S543" s="58"/>
      <c r="T543" s="58"/>
      <c r="U543" s="58"/>
      <c r="V543" s="58"/>
      <c r="W543" s="58"/>
      <c r="X543" s="58"/>
      <c r="Y543" s="58"/>
    </row>
    <row r="544" spans="1:26" ht="15" x14ac:dyDescent="0.25">
      <c r="A544" s="11"/>
      <c r="B544" s="30" t="s">
        <v>645</v>
      </c>
      <c r="C544" s="15"/>
      <c r="D544" s="15"/>
      <c r="E544" s="11"/>
      <c r="F544" s="36">
        <f>MIN(F540,F541,F542,F543)</f>
        <v>0</v>
      </c>
      <c r="G544" s="570" t="s">
        <v>646</v>
      </c>
      <c r="H544" s="11"/>
      <c r="I544" s="11"/>
      <c r="J544" s="11"/>
      <c r="K544" s="547"/>
      <c r="L544" s="547"/>
      <c r="M544" s="199"/>
      <c r="N544" s="199"/>
      <c r="O544" s="199"/>
      <c r="P544" s="199"/>
      <c r="Q544" s="199"/>
      <c r="R544" s="58"/>
      <c r="S544" s="58"/>
      <c r="T544" s="58"/>
      <c r="U544" s="58"/>
      <c r="V544" s="58"/>
      <c r="W544" s="58"/>
      <c r="X544" s="58"/>
      <c r="Y544" s="58"/>
    </row>
    <row r="545" spans="1:25" ht="15" x14ac:dyDescent="0.25">
      <c r="A545" s="11"/>
      <c r="B545" s="16" t="s">
        <v>647</v>
      </c>
      <c r="C545" s="11"/>
      <c r="D545" s="11"/>
      <c r="E545" s="11"/>
      <c r="F545" s="11"/>
      <c r="G545" s="37">
        <f>MIN(G540,G541,G542,G543)</f>
        <v>100</v>
      </c>
      <c r="H545" s="30" t="s">
        <v>648</v>
      </c>
      <c r="I545" s="11"/>
      <c r="J545" s="11"/>
      <c r="K545" s="547"/>
      <c r="L545" s="547"/>
      <c r="M545" s="199"/>
      <c r="N545" s="199"/>
      <c r="O545" s="199"/>
      <c r="P545" s="199"/>
      <c r="Q545" s="199"/>
      <c r="R545" s="58"/>
      <c r="S545" s="58"/>
      <c r="T545" s="58"/>
      <c r="U545" s="58"/>
      <c r="V545" s="58"/>
      <c r="W545" s="58"/>
      <c r="X545" s="58"/>
      <c r="Y545" s="58"/>
    </row>
    <row r="546" spans="1:25" ht="15" x14ac:dyDescent="0.25">
      <c r="A546" s="547"/>
      <c r="B546" s="547"/>
      <c r="C546" s="547"/>
      <c r="D546" s="547"/>
      <c r="E546" s="547"/>
      <c r="F546" s="547"/>
      <c r="G546" s="547"/>
      <c r="H546" s="547"/>
      <c r="I546" s="547"/>
      <c r="J546" s="547"/>
      <c r="K546" s="547"/>
      <c r="L546" s="547"/>
      <c r="M546" s="199"/>
      <c r="N546" s="199"/>
      <c r="O546" s="199"/>
      <c r="P546" s="199"/>
      <c r="Q546" s="199"/>
      <c r="R546" s="58"/>
      <c r="S546" s="58"/>
      <c r="T546" s="58"/>
      <c r="U546" s="58"/>
      <c r="V546" s="58"/>
      <c r="W546" s="58"/>
      <c r="X546" s="58"/>
      <c r="Y546" s="58"/>
    </row>
    <row r="547" spans="1:25" ht="15.75" thickBot="1" x14ac:dyDescent="0.3">
      <c r="A547" s="11"/>
      <c r="B547" s="25" t="s">
        <v>3862</v>
      </c>
      <c r="C547" s="11"/>
      <c r="D547" s="30"/>
      <c r="E547" s="30"/>
      <c r="F547" s="30"/>
      <c r="G547" s="30"/>
      <c r="H547" s="11"/>
      <c r="I547" s="547"/>
      <c r="J547" s="547"/>
      <c r="K547" s="547"/>
      <c r="L547" s="547"/>
      <c r="M547" s="199"/>
      <c r="N547" s="199"/>
      <c r="O547" s="199"/>
      <c r="P547" s="199"/>
      <c r="Q547" s="199"/>
      <c r="R547" s="58"/>
      <c r="S547" s="58"/>
      <c r="T547" s="58"/>
      <c r="U547" s="58"/>
      <c r="V547" s="58"/>
      <c r="W547" s="58"/>
      <c r="X547" s="58"/>
      <c r="Y547" s="58"/>
    </row>
    <row r="548" spans="1:25" ht="81" thickBot="1" x14ac:dyDescent="0.3">
      <c r="A548" s="571" t="s">
        <v>649</v>
      </c>
      <c r="B548" s="572" t="s">
        <v>644</v>
      </c>
      <c r="C548" s="572" t="s">
        <v>595</v>
      </c>
      <c r="D548" s="573" t="s">
        <v>3673</v>
      </c>
      <c r="E548" s="572" t="s">
        <v>650</v>
      </c>
      <c r="F548" s="572" t="s">
        <v>641</v>
      </c>
      <c r="G548" s="574" t="s">
        <v>3674</v>
      </c>
      <c r="H548" s="575" t="s">
        <v>651</v>
      </c>
      <c r="I548" s="547"/>
      <c r="J548" s="547"/>
      <c r="K548" s="547"/>
      <c r="L548" s="547"/>
      <c r="M548" s="199"/>
      <c r="N548" s="199"/>
      <c r="O548" s="199"/>
      <c r="P548" s="199"/>
      <c r="Q548" s="199"/>
      <c r="R548" s="58"/>
      <c r="S548" s="58"/>
      <c r="T548" s="58"/>
      <c r="U548" s="58"/>
      <c r="V548" s="58"/>
      <c r="W548" s="58"/>
      <c r="X548" s="58"/>
      <c r="Y548" s="58"/>
    </row>
    <row r="549" spans="1:25" ht="15" x14ac:dyDescent="0.25">
      <c r="A549" s="75">
        <v>1</v>
      </c>
      <c r="B549" s="561">
        <f>H481</f>
        <v>0</v>
      </c>
      <c r="C549" s="576" t="str">
        <f>H482</f>
        <v/>
      </c>
      <c r="D549" s="563" t="str">
        <f>IF(B549&gt;0,INDEX($C$938:$Q$938,B549),"")</f>
        <v/>
      </c>
      <c r="E549" s="563" t="str">
        <f>IF(B549&gt;0,INDEX($C$940:$Q$940,B549),"")</f>
        <v/>
      </c>
      <c r="F549" s="563" t="str">
        <f>IF(B549&gt;0,INDEX($C$942:$Q$942,B549),"")</f>
        <v/>
      </c>
      <c r="G549" s="76">
        <f>IF(F549="",100,F549)</f>
        <v>100</v>
      </c>
      <c r="H549" s="77">
        <f>IF(F549="",100,F549*50/((1+4.66*(E549/C549)^0.5)*60))</f>
        <v>100</v>
      </c>
      <c r="I549" s="547"/>
      <c r="J549" s="547"/>
      <c r="K549" s="547"/>
      <c r="L549" s="547"/>
      <c r="M549" s="199"/>
      <c r="N549" s="199"/>
      <c r="O549" s="199"/>
      <c r="P549" s="199"/>
      <c r="Q549" s="199"/>
      <c r="R549" s="58"/>
      <c r="S549" s="58"/>
      <c r="T549" s="58"/>
      <c r="U549" s="58"/>
      <c r="V549" s="58"/>
      <c r="W549" s="58"/>
      <c r="X549" s="58"/>
      <c r="Y549" s="58"/>
    </row>
    <row r="550" spans="1:25" ht="15" x14ac:dyDescent="0.25">
      <c r="A550" s="17">
        <v>2</v>
      </c>
      <c r="B550" s="202">
        <f>H483</f>
        <v>0</v>
      </c>
      <c r="C550" s="576" t="str">
        <f>H484</f>
        <v/>
      </c>
      <c r="D550" s="569" t="str">
        <f>IF(B550&gt;0,INDEX($C$938:$Q$938,B550),"")</f>
        <v/>
      </c>
      <c r="E550" s="569" t="str">
        <f>IF(B550&gt;0,INDEX($C$940:$Q$940,B550),"")</f>
        <v/>
      </c>
      <c r="F550" s="569" t="str">
        <f>IF(B550&gt;0,INDEX($C$942:$Q$942,B550),"")</f>
        <v/>
      </c>
      <c r="G550" s="76">
        <f>IF(F550="",100,F550)</f>
        <v>100</v>
      </c>
      <c r="H550" s="78">
        <f>IF(F550="",100,F550*50/((1+4.66*(E550/C550)^0.5)*60))</f>
        <v>100</v>
      </c>
      <c r="I550" s="547"/>
      <c r="J550" s="547"/>
      <c r="K550" s="547"/>
      <c r="L550" s="547"/>
      <c r="M550" s="199"/>
      <c r="N550" s="199"/>
      <c r="O550" s="199"/>
      <c r="P550" s="199"/>
      <c r="Q550" s="199"/>
      <c r="R550" s="58"/>
      <c r="S550" s="58"/>
      <c r="T550" s="58"/>
      <c r="U550" s="58"/>
      <c r="V550" s="58"/>
      <c r="W550" s="58"/>
      <c r="X550" s="58"/>
      <c r="Y550" s="58"/>
    </row>
    <row r="551" spans="1:25" ht="15" x14ac:dyDescent="0.25">
      <c r="A551" s="17">
        <v>3</v>
      </c>
      <c r="B551" s="202">
        <f>H485</f>
        <v>0</v>
      </c>
      <c r="C551" s="576" t="str">
        <f>H486</f>
        <v/>
      </c>
      <c r="D551" s="569" t="str">
        <f>IF(B551&gt;0,INDEX($C$938:$Q$938,B551),"")</f>
        <v/>
      </c>
      <c r="E551" s="569" t="str">
        <f>IF(B551&gt;0,INDEX($C$940:$Q$940,B551),"")</f>
        <v/>
      </c>
      <c r="F551" s="569" t="str">
        <f>IF(B551&gt;0,INDEX($C$942:$Q$942,B551),"")</f>
        <v/>
      </c>
      <c r="G551" s="76">
        <f>IF(F551="",100,F551)</f>
        <v>100</v>
      </c>
      <c r="H551" s="78">
        <f>IF(F551="",100,F551*50/((1+4.66*(E551/C551)^0.5)*60))</f>
        <v>100</v>
      </c>
      <c r="I551" s="547"/>
      <c r="J551" s="547"/>
      <c r="K551" s="547"/>
      <c r="L551" s="547"/>
      <c r="M551" s="199"/>
      <c r="N551" s="199"/>
      <c r="O551" s="199"/>
      <c r="P551" s="199"/>
      <c r="Q551" s="199"/>
      <c r="R551" s="58"/>
      <c r="S551" s="58"/>
      <c r="T551" s="58"/>
      <c r="U551" s="58"/>
      <c r="V551" s="58"/>
      <c r="W551" s="58"/>
      <c r="X551" s="58"/>
      <c r="Y551" s="58"/>
    </row>
    <row r="552" spans="1:25" ht="15" x14ac:dyDescent="0.25">
      <c r="A552" s="17">
        <v>4</v>
      </c>
      <c r="B552" s="202">
        <f>H487</f>
        <v>0</v>
      </c>
      <c r="C552" s="576">
        <f>H488</f>
        <v>0</v>
      </c>
      <c r="D552" s="569" t="str">
        <f>IF(B552&gt;0,INDEX($C$938:$Q$938,B552),"")</f>
        <v/>
      </c>
      <c r="E552" s="569" t="str">
        <f>IF(B552&gt;0,INDEX($C$940:$Q$940,B552),"")</f>
        <v/>
      </c>
      <c r="F552" s="569" t="str">
        <f>IF(B552&gt;0,INDEX($C$942:$Q$942,B552),"")</f>
        <v/>
      </c>
      <c r="G552" s="76">
        <f>IF(F552="",100,F552)</f>
        <v>100</v>
      </c>
      <c r="H552" s="78">
        <f>IF(F552="",100,F552*50/((1+4.66*(E552/C552)^0.5)*60))</f>
        <v>100</v>
      </c>
      <c r="I552" s="547"/>
      <c r="J552" s="547"/>
      <c r="K552" s="547"/>
      <c r="L552" s="547"/>
      <c r="M552" s="199"/>
      <c r="N552" s="199"/>
      <c r="O552" s="199"/>
      <c r="P552" s="199"/>
      <c r="Q552" s="199"/>
      <c r="R552" s="58"/>
      <c r="S552" s="58"/>
      <c r="T552" s="58"/>
      <c r="U552" s="58"/>
      <c r="V552" s="58"/>
      <c r="W552" s="58"/>
      <c r="X552" s="58"/>
      <c r="Y552" s="58"/>
    </row>
    <row r="553" spans="1:25" ht="15" x14ac:dyDescent="0.25">
      <c r="A553" s="17">
        <v>5</v>
      </c>
      <c r="B553" s="202">
        <f>H489</f>
        <v>0</v>
      </c>
      <c r="C553" s="576">
        <f>H490</f>
        <v>0</v>
      </c>
      <c r="D553" s="569" t="str">
        <f>IF(B553&gt;0,INDEX($C$938:$Q$938,B553),"")</f>
        <v/>
      </c>
      <c r="E553" s="569" t="str">
        <f>IF(B553&gt;0,INDEX($C$940:$Q$940,B553),"")</f>
        <v/>
      </c>
      <c r="F553" s="569" t="str">
        <f>IF(B553&gt;0,INDEX($C$942:$Q$942,B553),"")</f>
        <v/>
      </c>
      <c r="G553" s="76">
        <f>IF(F553="",100,F553)</f>
        <v>100</v>
      </c>
      <c r="H553" s="78">
        <f>IF(F553="",100,F553*50/((1+4.66*(E553/C553)^0.5)*60))</f>
        <v>100</v>
      </c>
      <c r="I553" s="547"/>
      <c r="J553" s="547"/>
      <c r="K553" s="547"/>
      <c r="L553" s="547"/>
      <c r="M553" s="199"/>
      <c r="N553" s="199"/>
      <c r="O553" s="199"/>
      <c r="P553" s="199"/>
      <c r="Q553" s="199"/>
      <c r="R553" s="58"/>
      <c r="S553" s="58"/>
      <c r="T553" s="58"/>
      <c r="U553" s="58"/>
      <c r="V553" s="58"/>
      <c r="W553" s="58"/>
      <c r="X553" s="58"/>
      <c r="Y553" s="58"/>
    </row>
    <row r="554" spans="1:25" ht="15" x14ac:dyDescent="0.25">
      <c r="A554" s="30" t="s">
        <v>1589</v>
      </c>
      <c r="B554" s="11"/>
      <c r="C554" s="11"/>
      <c r="D554" s="11"/>
      <c r="E554" s="11"/>
      <c r="F554" s="11"/>
      <c r="G554" s="11"/>
      <c r="H554" s="11"/>
      <c r="I554" s="547"/>
      <c r="J554" s="547"/>
      <c r="K554" s="547"/>
      <c r="L554" s="547"/>
      <c r="M554" s="199"/>
      <c r="N554" s="199"/>
      <c r="O554" s="199"/>
      <c r="P554" s="199"/>
      <c r="Q554" s="199"/>
      <c r="R554" s="58"/>
      <c r="S554" s="58"/>
      <c r="T554" s="58"/>
      <c r="U554" s="58"/>
      <c r="V554" s="58"/>
      <c r="W554" s="58"/>
      <c r="X554" s="58"/>
      <c r="Y554" s="58"/>
    </row>
    <row r="555" spans="1:25" ht="15" x14ac:dyDescent="0.25">
      <c r="A555" s="30" t="s">
        <v>5165</v>
      </c>
      <c r="B555" s="11"/>
      <c r="C555" s="11"/>
      <c r="D555" s="11"/>
      <c r="E555" s="11"/>
      <c r="F555" s="11"/>
      <c r="G555" s="11"/>
      <c r="H555" s="81">
        <f>MIN(G540,G541,G542,G543,G549,G550,G551,G552)</f>
        <v>100</v>
      </c>
      <c r="I555" s="547"/>
      <c r="J555" s="547"/>
      <c r="K555" s="547"/>
      <c r="L555" s="547"/>
      <c r="M555" s="199"/>
      <c r="N555" s="199"/>
      <c r="O555" s="199"/>
      <c r="P555" s="199"/>
      <c r="Q555" s="199"/>
      <c r="R555" s="58"/>
      <c r="S555" s="58"/>
      <c r="T555" s="58"/>
      <c r="U555" s="58"/>
      <c r="V555" s="58"/>
      <c r="W555" s="58"/>
      <c r="X555" s="58"/>
      <c r="Y555" s="58"/>
    </row>
    <row r="556" spans="1:25" ht="15" x14ac:dyDescent="0.25">
      <c r="A556" s="30" t="s">
        <v>4786</v>
      </c>
      <c r="B556" s="11"/>
      <c r="C556" s="11"/>
      <c r="D556" s="11"/>
      <c r="E556" s="11"/>
      <c r="F556" s="11"/>
      <c r="G556" s="11"/>
      <c r="H556" s="81">
        <f>MIN(H549,H550,H551,H552)</f>
        <v>100</v>
      </c>
      <c r="I556" s="547"/>
      <c r="J556" s="547"/>
      <c r="K556" s="547"/>
      <c r="L556" s="547"/>
      <c r="M556" s="199"/>
      <c r="N556" s="199"/>
      <c r="O556" s="199"/>
      <c r="P556" s="199"/>
      <c r="Q556" s="199"/>
      <c r="R556" s="58"/>
      <c r="S556" s="58"/>
      <c r="T556" s="58"/>
      <c r="U556" s="58"/>
      <c r="V556" s="58"/>
      <c r="W556" s="58"/>
      <c r="X556" s="58"/>
      <c r="Y556" s="58"/>
    </row>
    <row r="557" spans="1:25" ht="15.75" x14ac:dyDescent="0.25">
      <c r="A557" s="577" t="s">
        <v>3344</v>
      </c>
      <c r="B557" s="199"/>
      <c r="C557" s="199"/>
      <c r="D557" s="199"/>
      <c r="E557" s="199"/>
      <c r="F557" s="199"/>
      <c r="G557" s="199"/>
      <c r="H557" s="199"/>
      <c r="I557" s="199"/>
      <c r="J557" s="199"/>
      <c r="K557" s="199"/>
      <c r="L557" s="199"/>
      <c r="M557" s="199"/>
      <c r="N557" s="199"/>
      <c r="O557" s="199"/>
      <c r="P557" s="199"/>
      <c r="Q557" s="199"/>
      <c r="R557" s="58"/>
      <c r="S557" s="58"/>
      <c r="T557" s="58"/>
      <c r="U557" s="58"/>
      <c r="V557" s="58"/>
      <c r="W557" s="58"/>
      <c r="X557" s="58"/>
      <c r="Y557" s="58"/>
    </row>
    <row r="558" spans="1:25" ht="15.75" thickBot="1" x14ac:dyDescent="0.3">
      <c r="A558" s="199"/>
      <c r="B558" s="483" t="s">
        <v>2820</v>
      </c>
      <c r="C558" s="483"/>
      <c r="D558" s="483"/>
      <c r="E558" s="199"/>
      <c r="F558" s="199"/>
      <c r="G558" s="199"/>
      <c r="H558" s="199"/>
      <c r="I558" s="199"/>
      <c r="J558" s="199"/>
      <c r="K558" s="199"/>
      <c r="L558" s="199"/>
      <c r="M558" s="199"/>
      <c r="N558" s="199"/>
      <c r="O558" s="199"/>
      <c r="P558" s="199"/>
      <c r="Q558" s="199"/>
      <c r="R558" s="58"/>
      <c r="S558" s="58"/>
      <c r="T558" s="58"/>
      <c r="U558" s="58"/>
      <c r="V558" s="58"/>
      <c r="W558" s="58"/>
      <c r="X558" s="58"/>
      <c r="Y558" s="58"/>
    </row>
    <row r="559" spans="1:25" ht="15" x14ac:dyDescent="0.25">
      <c r="A559" s="578" t="s">
        <v>2499</v>
      </c>
      <c r="B559" s="579"/>
      <c r="C559" s="580"/>
      <c r="D559" s="581">
        <f>INDEX($N$88:$N$88,H452)</f>
        <v>0</v>
      </c>
      <c r="E559" s="580"/>
      <c r="F559" s="4531" t="s">
        <v>642</v>
      </c>
      <c r="G559" s="4532"/>
      <c r="H559" s="199"/>
      <c r="I559" s="199"/>
      <c r="J559" s="199"/>
      <c r="K559" s="199"/>
      <c r="L559" s="199"/>
      <c r="M559" s="199"/>
      <c r="N559" s="199"/>
      <c r="O559" s="199"/>
      <c r="P559" s="199"/>
      <c r="Q559" s="199"/>
      <c r="R559" s="58"/>
      <c r="S559" s="58"/>
      <c r="T559" s="58"/>
      <c r="U559" s="58"/>
      <c r="V559" s="58"/>
      <c r="W559" s="58"/>
      <c r="X559" s="58"/>
      <c r="Y559" s="58"/>
    </row>
    <row r="560" spans="1:25" ht="17.25" x14ac:dyDescent="0.3">
      <c r="A560" s="4535" t="s">
        <v>643</v>
      </c>
      <c r="B560" s="4528"/>
      <c r="C560" s="4528"/>
      <c r="D560" s="583" t="s">
        <v>4266</v>
      </c>
      <c r="E560" s="582"/>
      <c r="F560" s="4533"/>
      <c r="G560" s="4534"/>
      <c r="H560" s="199"/>
      <c r="I560" s="199"/>
      <c r="J560" s="199"/>
      <c r="K560" s="199"/>
      <c r="L560" s="199"/>
      <c r="M560" s="199"/>
      <c r="N560" s="199"/>
      <c r="O560" s="199"/>
      <c r="P560" s="199"/>
      <c r="Q560" s="199"/>
      <c r="R560" s="58"/>
      <c r="S560" s="58"/>
      <c r="T560" s="58"/>
      <c r="U560" s="58"/>
      <c r="V560" s="58"/>
      <c r="W560" s="58"/>
      <c r="X560" s="58"/>
      <c r="Y560" s="58"/>
    </row>
    <row r="561" spans="1:25" ht="16.5" x14ac:dyDescent="0.3">
      <c r="A561" s="584" t="s">
        <v>4267</v>
      </c>
      <c r="B561" s="585" t="e">
        <f>INDEX($K$904:$K$911,H452)</f>
        <v>#VALUE!</v>
      </c>
      <c r="C561" s="587"/>
      <c r="D561" s="587" t="s">
        <v>4268</v>
      </c>
      <c r="E561" s="585">
        <f>INDEX($E$916:$L$916,H452)</f>
        <v>0.33</v>
      </c>
      <c r="F561" s="588">
        <f>INDEX($E$919:$L$919,H452)</f>
        <v>0.06</v>
      </c>
      <c r="G561" s="589"/>
      <c r="H561" s="199"/>
      <c r="I561" s="199"/>
      <c r="J561" s="199"/>
      <c r="K561" s="199"/>
      <c r="L561" s="199"/>
      <c r="M561" s="199"/>
      <c r="N561" s="199"/>
      <c r="O561" s="199"/>
      <c r="P561" s="199"/>
      <c r="Q561" s="199"/>
      <c r="R561" s="58"/>
      <c r="S561" s="58"/>
      <c r="T561" s="58"/>
      <c r="U561" s="58"/>
      <c r="V561" s="58"/>
      <c r="W561" s="58"/>
      <c r="X561" s="58"/>
      <c r="Y561" s="58"/>
    </row>
    <row r="562" spans="1:25" ht="16.5" x14ac:dyDescent="0.3">
      <c r="A562" s="584" t="s">
        <v>4269</v>
      </c>
      <c r="B562" s="585" t="e">
        <f>INDEX($L$904:$L$911,H452)</f>
        <v>#VALUE!</v>
      </c>
      <c r="C562" s="587"/>
      <c r="D562" s="587" t="s">
        <v>4270</v>
      </c>
      <c r="E562" s="585">
        <f>INDEX($E$917:$L$917,H452)</f>
        <v>0.41</v>
      </c>
      <c r="F562" s="588">
        <f>INDEX($E$920:$L$920,H452)</f>
        <v>8.5000000000000006E-2</v>
      </c>
      <c r="G562" s="589"/>
      <c r="H562" s="199"/>
      <c r="I562" s="199"/>
      <c r="J562" s="199"/>
      <c r="K562" s="199"/>
      <c r="L562" s="199"/>
      <c r="M562" s="199"/>
      <c r="N562" s="199"/>
      <c r="O562" s="199"/>
      <c r="P562" s="199"/>
      <c r="Q562" s="199"/>
      <c r="R562" s="58"/>
      <c r="S562" s="58"/>
      <c r="T562" s="58"/>
      <c r="U562" s="58"/>
      <c r="V562" s="58"/>
      <c r="W562" s="58"/>
      <c r="X562" s="58"/>
      <c r="Y562" s="58"/>
    </row>
    <row r="563" spans="1:25" ht="16.5" x14ac:dyDescent="0.3">
      <c r="A563" s="584" t="s">
        <v>4271</v>
      </c>
      <c r="B563" s="585" t="e">
        <f>INDEX($M$904:$M$911,H452)</f>
        <v>#VALUE!</v>
      </c>
      <c r="C563" s="587"/>
      <c r="D563" s="587" t="s">
        <v>4272</v>
      </c>
      <c r="E563" s="585">
        <f>INDEX($E$918:$L$918,H452)</f>
        <v>0.49</v>
      </c>
      <c r="F563" s="588">
        <f>INDEX($E$921:$L$921,H452)</f>
        <v>0.1</v>
      </c>
      <c r="G563" s="589"/>
      <c r="H563" s="199"/>
      <c r="I563" s="199"/>
      <c r="J563" s="199"/>
      <c r="K563" s="199"/>
      <c r="L563" s="199"/>
      <c r="M563" s="199"/>
      <c r="N563" s="199"/>
      <c r="O563" s="199"/>
      <c r="P563" s="199"/>
      <c r="Q563" s="199"/>
      <c r="R563" s="58"/>
      <c r="S563" s="58"/>
      <c r="T563" s="58"/>
      <c r="U563" s="58"/>
      <c r="V563" s="58"/>
      <c r="W563" s="58"/>
      <c r="X563" s="58"/>
      <c r="Y563" s="58"/>
    </row>
    <row r="564" spans="1:25" ht="15" x14ac:dyDescent="0.25">
      <c r="A564" s="590"/>
      <c r="B564" s="4525" t="s">
        <v>4233</v>
      </c>
      <c r="C564" s="4526"/>
      <c r="D564" s="4526"/>
      <c r="E564" s="4526"/>
      <c r="F564" s="4526"/>
      <c r="G564" s="4527"/>
      <c r="H564" s="199"/>
      <c r="I564" s="199"/>
      <c r="J564" s="199"/>
      <c r="K564" s="199"/>
      <c r="L564" s="199"/>
      <c r="M564" s="199"/>
      <c r="N564" s="199"/>
      <c r="O564" s="199"/>
      <c r="P564" s="199"/>
      <c r="Q564" s="199"/>
      <c r="R564" s="58"/>
      <c r="S564" s="58"/>
      <c r="T564" s="58"/>
      <c r="U564" s="58"/>
      <c r="V564" s="58"/>
      <c r="W564" s="58"/>
      <c r="X564" s="58"/>
      <c r="Y564" s="58"/>
    </row>
    <row r="565" spans="1:25" ht="16.5" x14ac:dyDescent="0.3">
      <c r="A565" s="590"/>
      <c r="B565" s="4528" t="s">
        <v>4234</v>
      </c>
      <c r="C565" s="4528"/>
      <c r="D565" s="4528" t="s">
        <v>4235</v>
      </c>
      <c r="E565" s="4528"/>
      <c r="F565" s="4528" t="s">
        <v>5589</v>
      </c>
      <c r="G565" s="4529"/>
      <c r="H565" s="199"/>
      <c r="I565" s="199"/>
      <c r="J565" s="199"/>
      <c r="K565" s="199"/>
      <c r="L565" s="199"/>
      <c r="M565" s="199"/>
      <c r="N565" s="199"/>
      <c r="O565" s="199"/>
      <c r="P565" s="199"/>
      <c r="Q565" s="199"/>
      <c r="R565" s="58"/>
      <c r="S565" s="58"/>
      <c r="T565" s="58"/>
      <c r="U565" s="58"/>
      <c r="V565" s="58"/>
      <c r="W565" s="58"/>
      <c r="X565" s="58"/>
      <c r="Y565" s="58"/>
    </row>
    <row r="566" spans="1:25" ht="16.5" x14ac:dyDescent="0.3">
      <c r="A566" s="590"/>
      <c r="B566" s="591" t="s">
        <v>5590</v>
      </c>
      <c r="C566" s="591" t="s">
        <v>5591</v>
      </c>
      <c r="D566" s="591" t="s">
        <v>5590</v>
      </c>
      <c r="E566" s="591" t="s">
        <v>5591</v>
      </c>
      <c r="F566" s="591" t="s">
        <v>5590</v>
      </c>
      <c r="G566" s="592" t="s">
        <v>5591</v>
      </c>
      <c r="H566" s="199"/>
      <c r="I566" s="199"/>
      <c r="J566" s="199"/>
      <c r="K566" s="199"/>
      <c r="L566" s="199"/>
      <c r="M566" s="199"/>
      <c r="N566" s="199"/>
      <c r="O566" s="199"/>
      <c r="P566" s="199"/>
      <c r="Q566" s="199"/>
      <c r="R566" s="58"/>
      <c r="S566" s="58"/>
      <c r="T566" s="58"/>
      <c r="U566" s="58"/>
      <c r="V566" s="58"/>
      <c r="W566" s="58"/>
      <c r="X566" s="58"/>
      <c r="Y566" s="58"/>
    </row>
    <row r="567" spans="1:25" ht="15.75" thickBot="1" x14ac:dyDescent="0.3">
      <c r="A567" s="593"/>
      <c r="B567" s="594" t="e">
        <f>INDEX($E$904:$E$911,H452)</f>
        <v>#VALUE!</v>
      </c>
      <c r="C567" s="594">
        <v>1.08</v>
      </c>
      <c r="D567" s="594" t="e">
        <f>INDEX($G$904:$G$911,H452)</f>
        <v>#VALUE!</v>
      </c>
      <c r="E567" s="594" t="e">
        <f>INDEX($H$904:$H$911,H452)</f>
        <v>#VALUE!</v>
      </c>
      <c r="F567" s="594" t="e">
        <f>INDEX($I$904:$I$911,H452)</f>
        <v>#VALUE!</v>
      </c>
      <c r="G567" s="595" t="e">
        <f>INDEX($J$904:$J$911,H452)</f>
        <v>#VALUE!</v>
      </c>
      <c r="H567" s="199"/>
      <c r="I567" s="199"/>
      <c r="J567" s="199"/>
      <c r="K567" s="199"/>
      <c r="L567" s="199"/>
      <c r="M567" s="199"/>
      <c r="N567" s="199"/>
      <c r="O567" s="199"/>
      <c r="P567" s="199"/>
      <c r="Q567" s="199"/>
      <c r="R567" s="58"/>
      <c r="S567" s="58"/>
      <c r="T567" s="58"/>
      <c r="U567" s="58"/>
      <c r="V567" s="58"/>
      <c r="W567" s="58"/>
      <c r="X567" s="58"/>
      <c r="Y567" s="58"/>
    </row>
    <row r="568" spans="1:25" ht="15" x14ac:dyDescent="0.25">
      <c r="A568" s="596" t="s">
        <v>2136</v>
      </c>
      <c r="B568" s="597"/>
      <c r="C568" s="597"/>
      <c r="D568" s="597"/>
      <c r="E568" s="597"/>
      <c r="F568" s="598" t="e">
        <f>INDEX($C$904:$C$911,H452)</f>
        <v>#VALUE!</v>
      </c>
      <c r="G568" s="599"/>
      <c r="H568" s="199"/>
      <c r="I568" s="199"/>
      <c r="J568" s="199"/>
      <c r="K568" s="199"/>
      <c r="L568" s="199"/>
      <c r="M568" s="199"/>
      <c r="N568" s="199"/>
      <c r="O568" s="199"/>
      <c r="P568" s="199"/>
      <c r="Q568" s="199"/>
      <c r="R568" s="58"/>
      <c r="S568" s="58"/>
      <c r="T568" s="58"/>
      <c r="U568" s="58"/>
      <c r="V568" s="58"/>
      <c r="W568" s="58"/>
      <c r="X568" s="58"/>
      <c r="Y568" s="58"/>
    </row>
    <row r="569" spans="1:25" ht="15" x14ac:dyDescent="0.25">
      <c r="A569" s="600" t="s">
        <v>2500</v>
      </c>
      <c r="B569" s="601"/>
      <c r="C569" s="601"/>
      <c r="D569" s="601"/>
      <c r="E569" s="601"/>
      <c r="F569" s="602" t="e">
        <f>INDEX($D$904:$D$911,H452)</f>
        <v>#VALUE!</v>
      </c>
      <c r="G569" s="603"/>
      <c r="H569" s="199"/>
      <c r="I569" s="199"/>
      <c r="J569" s="199"/>
      <c r="K569" s="199"/>
      <c r="L569" s="199"/>
      <c r="M569" s="199"/>
      <c r="N569" s="199"/>
      <c r="O569" s="199"/>
      <c r="P569" s="199"/>
      <c r="Q569" s="199"/>
      <c r="R569" s="58"/>
      <c r="S569" s="58"/>
      <c r="T569" s="58"/>
      <c r="U569" s="58"/>
      <c r="V569" s="58"/>
      <c r="W569" s="58"/>
      <c r="X569" s="58"/>
      <c r="Y569" s="58"/>
    </row>
    <row r="570" spans="1:25" ht="15.75" thickBot="1" x14ac:dyDescent="0.3">
      <c r="A570" s="604" t="s">
        <v>4380</v>
      </c>
      <c r="B570" s="605"/>
      <c r="C570" s="605"/>
      <c r="D570" s="605"/>
      <c r="E570" s="605"/>
      <c r="F570" s="606" t="e">
        <f>INDEX(N904:$N$911,H452)</f>
        <v>#VALUE!</v>
      </c>
      <c r="G570" s="607"/>
      <c r="H570" s="199"/>
      <c r="I570" s="199"/>
      <c r="J570" s="199"/>
      <c r="K570" s="199"/>
      <c r="L570" s="199"/>
      <c r="M570" s="199"/>
      <c r="N570" s="199"/>
      <c r="O570" s="199"/>
      <c r="P570" s="199"/>
      <c r="Q570" s="199"/>
      <c r="R570" s="58"/>
      <c r="S570" s="58"/>
      <c r="T570" s="58"/>
      <c r="U570" s="58"/>
      <c r="V570" s="58"/>
      <c r="W570" s="58"/>
      <c r="X570" s="58"/>
      <c r="Y570" s="58"/>
    </row>
    <row r="571" spans="1:25" ht="15" x14ac:dyDescent="0.25">
      <c r="A571" s="199"/>
      <c r="B571" s="199"/>
      <c r="C571" s="199"/>
      <c r="D571" s="199"/>
      <c r="E571" s="199"/>
      <c r="F571" s="199"/>
      <c r="G571" s="199"/>
      <c r="H571" s="199"/>
      <c r="I571" s="199"/>
      <c r="J571" s="199"/>
      <c r="K571" s="199"/>
      <c r="L571" s="199"/>
      <c r="M571" s="199"/>
      <c r="N571" s="199"/>
      <c r="O571" s="199"/>
      <c r="P571" s="199"/>
      <c r="Q571" s="199"/>
      <c r="R571" s="58"/>
      <c r="S571" s="58"/>
      <c r="T571" s="58"/>
      <c r="U571" s="58"/>
      <c r="V571" s="58"/>
      <c r="W571" s="58"/>
      <c r="X571" s="58"/>
      <c r="Y571" s="58"/>
    </row>
    <row r="572" spans="1:25" ht="15.75" thickBot="1" x14ac:dyDescent="0.3">
      <c r="A572" s="199"/>
      <c r="B572" s="483" t="s">
        <v>2723</v>
      </c>
      <c r="C572" s="199"/>
      <c r="D572" s="199"/>
      <c r="E572" s="199"/>
      <c r="F572" s="199"/>
      <c r="G572" s="199"/>
      <c r="H572" s="199"/>
      <c r="I572" s="199"/>
      <c r="J572" s="199"/>
      <c r="K572" s="199"/>
      <c r="L572" s="199"/>
      <c r="M572" s="199"/>
      <c r="N572" s="199"/>
      <c r="O572" s="199"/>
      <c r="P572" s="199"/>
      <c r="Q572" s="199"/>
      <c r="R572" s="58"/>
      <c r="S572" s="58"/>
      <c r="T572" s="58"/>
      <c r="U572" s="58"/>
      <c r="V572" s="58"/>
      <c r="W572" s="58"/>
      <c r="X572" s="58"/>
      <c r="Y572" s="58"/>
    </row>
    <row r="573" spans="1:25" ht="15" x14ac:dyDescent="0.25">
      <c r="A573" s="4543" t="s">
        <v>625</v>
      </c>
      <c r="B573" s="4545" t="s">
        <v>626</v>
      </c>
      <c r="C573" s="4547" t="s">
        <v>627</v>
      </c>
      <c r="D573" s="4547"/>
      <c r="E573" s="4548"/>
      <c r="F573" s="537"/>
      <c r="G573" s="199"/>
      <c r="H573" s="199"/>
      <c r="I573" s="199"/>
      <c r="J573" s="199"/>
      <c r="K573" s="199"/>
      <c r="L573" s="199"/>
      <c r="M573" s="199"/>
      <c r="N573" s="199"/>
      <c r="O573" s="199"/>
      <c r="P573" s="199"/>
      <c r="Q573" s="199"/>
      <c r="R573" s="58"/>
      <c r="S573" s="58"/>
      <c r="T573" s="58"/>
      <c r="U573" s="58"/>
      <c r="V573" s="58"/>
      <c r="W573" s="58"/>
      <c r="X573" s="58"/>
      <c r="Y573" s="58"/>
    </row>
    <row r="574" spans="1:25" ht="69" x14ac:dyDescent="0.25">
      <c r="A574" s="4544"/>
      <c r="B574" s="4546"/>
      <c r="C574" s="609" t="s">
        <v>628</v>
      </c>
      <c r="D574" s="609" t="s">
        <v>629</v>
      </c>
      <c r="E574" s="610" t="s">
        <v>630</v>
      </c>
      <c r="F574" s="520"/>
      <c r="G574" s="199"/>
      <c r="H574" s="199"/>
      <c r="I574" s="199"/>
      <c r="J574" s="199"/>
      <c r="K574" s="199"/>
      <c r="L574" s="199"/>
      <c r="M574" s="199"/>
      <c r="N574" s="199"/>
      <c r="O574" s="199"/>
      <c r="P574" s="199"/>
      <c r="Q574" s="199"/>
      <c r="R574" s="58"/>
      <c r="S574" s="58"/>
      <c r="T574" s="58"/>
      <c r="U574" s="58"/>
      <c r="V574" s="58"/>
      <c r="W574" s="58"/>
      <c r="X574" s="58"/>
      <c r="Y574" s="58"/>
    </row>
    <row r="575" spans="1:25" ht="15" x14ac:dyDescent="0.25">
      <c r="A575" s="611">
        <f>E561</f>
        <v>0.33</v>
      </c>
      <c r="B575" s="612" t="e">
        <f>ROUND(($B$561-$B$562*$H$811-$B$563*A575)/100,3)</f>
        <v>#VALUE!</v>
      </c>
      <c r="C575" s="612" t="e">
        <f>0.5*F561*2*$C$567/($H$495*1.33*$B$567)</f>
        <v>#VALUE!</v>
      </c>
      <c r="D575" s="613" t="e">
        <f>IF($D$567&gt;0,F561*($D$567^2-$E$567^2)/($H$495*1.33*$D$567*(3*$D$567-$E$567)),0)</f>
        <v>#VALUE!</v>
      </c>
      <c r="E575" s="614" t="e">
        <f>IF($F$567&gt;0,F561/($H$495*1.33),0)</f>
        <v>#VALUE!</v>
      </c>
      <c r="F575" s="520"/>
      <c r="G575" s="199"/>
      <c r="H575" s="199"/>
      <c r="I575" s="199"/>
      <c r="J575" s="199"/>
      <c r="K575" s="199"/>
      <c r="L575" s="199"/>
      <c r="M575" s="199"/>
      <c r="N575" s="199"/>
      <c r="O575" s="199"/>
      <c r="P575" s="199"/>
      <c r="Q575" s="199"/>
      <c r="R575" s="58"/>
      <c r="S575" s="58"/>
      <c r="T575" s="58"/>
      <c r="U575" s="58"/>
      <c r="V575" s="58"/>
      <c r="W575" s="58"/>
      <c r="X575" s="58"/>
      <c r="Y575" s="58"/>
    </row>
    <row r="576" spans="1:25" ht="15" x14ac:dyDescent="0.25">
      <c r="A576" s="611">
        <f>E562</f>
        <v>0.41</v>
      </c>
      <c r="B576" s="612" t="e">
        <f>ROUND(IF(C576=0,0,($B$561-$B$562*$H$811-$B$563*A576)/100),3)</f>
        <v>#VALUE!</v>
      </c>
      <c r="C576" s="612" t="e">
        <f>0.5*F562*2*$C$567/($H$495*1.33*$B$567)</f>
        <v>#VALUE!</v>
      </c>
      <c r="D576" s="613" t="e">
        <f>IF($D$567&gt;0,F562*($D$567^2-$E$567^2)/($H$495*1.33*$D$567*(3*$D$567-$E$567)),0)</f>
        <v>#VALUE!</v>
      </c>
      <c r="E576" s="614" t="e">
        <f>IF($F$567&gt;0,F562/($H$495*1.33),0)</f>
        <v>#VALUE!</v>
      </c>
      <c r="F576" s="520"/>
      <c r="G576" s="199"/>
      <c r="H576" s="199"/>
      <c r="I576" s="199"/>
      <c r="J576" s="199"/>
      <c r="K576" s="199"/>
      <c r="L576" s="199"/>
      <c r="M576" s="199"/>
      <c r="N576" s="199"/>
      <c r="O576" s="199"/>
      <c r="P576" s="199"/>
      <c r="Q576" s="199"/>
      <c r="R576" s="58"/>
      <c r="S576" s="58"/>
      <c r="T576" s="58"/>
      <c r="U576" s="58"/>
      <c r="V576" s="58"/>
      <c r="W576" s="58"/>
      <c r="X576" s="58"/>
      <c r="Y576" s="58"/>
    </row>
    <row r="577" spans="1:25" ht="15.75" thickBot="1" x14ac:dyDescent="0.3">
      <c r="A577" s="615">
        <f>E563</f>
        <v>0.49</v>
      </c>
      <c r="B577" s="616" t="e">
        <f>ROUND(IF(C577=0,0,($B$561-$B$562*$H$811-$B$563*A577)/100),3)</f>
        <v>#VALUE!</v>
      </c>
      <c r="C577" s="616" t="e">
        <f>0.5*F563*2*$C$567/($H$495*1.33*$B$567)</f>
        <v>#VALUE!</v>
      </c>
      <c r="D577" s="617" t="e">
        <f>IF($D$567&gt;0,F563*($D$567^2-$E$567^2)/($H$495*1.33*$D$567*(3*$D$567-$E$567)),0)</f>
        <v>#VALUE!</v>
      </c>
      <c r="E577" s="618" t="e">
        <f>IF($F$567&gt;0,F563/($H$495*1.33),0)</f>
        <v>#VALUE!</v>
      </c>
      <c r="F577" s="520"/>
      <c r="G577" s="199"/>
      <c r="H577" s="199"/>
      <c r="I577" s="199"/>
      <c r="J577" s="199"/>
      <c r="K577" s="199"/>
      <c r="L577" s="199"/>
      <c r="M577" s="199"/>
      <c r="N577" s="199"/>
      <c r="O577" s="199"/>
      <c r="P577" s="199"/>
      <c r="Q577" s="199"/>
      <c r="R577" s="58"/>
      <c r="S577" s="58"/>
      <c r="T577" s="58"/>
      <c r="U577" s="58"/>
      <c r="V577" s="58"/>
      <c r="W577" s="58"/>
      <c r="X577" s="58"/>
      <c r="Y577" s="58"/>
    </row>
    <row r="578" spans="1:25" ht="15" x14ac:dyDescent="0.25">
      <c r="A578" s="199"/>
      <c r="B578" s="199"/>
      <c r="C578" s="199"/>
      <c r="D578" s="199"/>
      <c r="E578" s="199"/>
      <c r="F578" s="199"/>
      <c r="G578" s="199"/>
      <c r="H578" s="199"/>
      <c r="I578" s="199"/>
      <c r="J578" s="199"/>
      <c r="K578" s="199"/>
      <c r="L578" s="199"/>
      <c r="M578" s="199"/>
      <c r="N578" s="199"/>
      <c r="O578" s="199"/>
      <c r="P578" s="199"/>
      <c r="Q578" s="199"/>
      <c r="R578" s="58"/>
      <c r="S578" s="58"/>
      <c r="T578" s="58"/>
      <c r="U578" s="58"/>
      <c r="V578" s="58"/>
      <c r="W578" s="58"/>
      <c r="X578" s="58"/>
      <c r="Y578" s="58"/>
    </row>
    <row r="579" spans="1:25" ht="15" x14ac:dyDescent="0.25">
      <c r="A579" s="199"/>
      <c r="B579" s="199"/>
      <c r="C579" s="199"/>
      <c r="D579" s="199"/>
      <c r="E579" s="199"/>
      <c r="F579" s="199"/>
      <c r="G579" s="199"/>
      <c r="H579" s="199"/>
      <c r="I579" s="199"/>
      <c r="J579" s="199"/>
      <c r="K579" s="199"/>
      <c r="L579" s="199"/>
      <c r="M579" s="199"/>
      <c r="N579" s="199"/>
      <c r="O579" s="199"/>
      <c r="P579" s="199"/>
      <c r="Q579" s="199"/>
      <c r="R579" s="58"/>
      <c r="S579" s="58"/>
      <c r="T579" s="58"/>
      <c r="U579" s="58"/>
      <c r="V579" s="58"/>
      <c r="W579" s="58"/>
      <c r="X579" s="58"/>
      <c r="Y579" s="58"/>
    </row>
    <row r="580" spans="1:25" ht="15" x14ac:dyDescent="0.25">
      <c r="A580" s="199"/>
      <c r="B580" s="483" t="s">
        <v>54</v>
      </c>
      <c r="C580" s="199"/>
      <c r="D580" s="199"/>
      <c r="E580" s="199"/>
      <c r="F580" s="199"/>
      <c r="G580" s="199"/>
      <c r="H580" s="199"/>
      <c r="I580" s="199"/>
      <c r="J580" s="199"/>
      <c r="K580" s="199"/>
      <c r="L580" s="199"/>
      <c r="M580" s="199"/>
      <c r="N580" s="199"/>
      <c r="O580" s="199"/>
      <c r="P580" s="199"/>
      <c r="Q580" s="199"/>
      <c r="R580" s="58"/>
      <c r="S580" s="58"/>
      <c r="T580" s="58"/>
      <c r="U580" s="58"/>
      <c r="V580" s="58"/>
      <c r="W580" s="58"/>
      <c r="X580" s="58"/>
      <c r="Y580" s="58"/>
    </row>
    <row r="581" spans="1:25" ht="15" x14ac:dyDescent="0.25">
      <c r="A581" s="4549" t="s">
        <v>1115</v>
      </c>
      <c r="B581" s="4551" t="s">
        <v>2132</v>
      </c>
      <c r="C581" s="4551"/>
      <c r="D581" s="4551"/>
      <c r="E581" s="4551"/>
      <c r="F581" s="4551"/>
      <c r="G581" s="4551"/>
      <c r="H581" s="199"/>
      <c r="I581" s="199"/>
      <c r="J581" s="199"/>
      <c r="K581" s="199"/>
      <c r="L581" s="199"/>
      <c r="M581" s="199"/>
      <c r="N581" s="199"/>
      <c r="O581" s="199"/>
      <c r="P581" s="199"/>
      <c r="Q581" s="199"/>
      <c r="R581" s="58"/>
      <c r="S581" s="58"/>
      <c r="T581" s="58"/>
      <c r="U581" s="58"/>
      <c r="V581" s="58"/>
      <c r="W581" s="58"/>
      <c r="X581" s="58"/>
      <c r="Y581" s="58"/>
    </row>
    <row r="582" spans="1:25" ht="16.5" x14ac:dyDescent="0.3">
      <c r="A582" s="4550"/>
      <c r="B582" s="4528" t="s">
        <v>1116</v>
      </c>
      <c r="C582" s="4528"/>
      <c r="D582" s="4528" t="s">
        <v>1117</v>
      </c>
      <c r="E582" s="4528"/>
      <c r="F582" s="4528" t="s">
        <v>1118</v>
      </c>
      <c r="G582" s="4528"/>
      <c r="H582" s="199"/>
      <c r="I582" s="199"/>
      <c r="J582" s="199"/>
      <c r="K582" s="199"/>
      <c r="L582" s="199"/>
      <c r="M582" s="199"/>
      <c r="N582" s="199"/>
      <c r="O582" s="199"/>
      <c r="P582" s="199"/>
      <c r="Q582" s="199"/>
      <c r="R582" s="58"/>
      <c r="S582" s="58"/>
      <c r="T582" s="58"/>
      <c r="U582" s="58"/>
      <c r="V582" s="58"/>
      <c r="W582" s="58"/>
      <c r="X582" s="58"/>
      <c r="Y582" s="58"/>
    </row>
    <row r="583" spans="1:25" ht="142.5" x14ac:dyDescent="0.25">
      <c r="A583" s="4550"/>
      <c r="B583" s="619" t="s">
        <v>294</v>
      </c>
      <c r="C583" s="619" t="s">
        <v>5431</v>
      </c>
      <c r="D583" s="619" t="s">
        <v>5432</v>
      </c>
      <c r="E583" s="619" t="s">
        <v>5431</v>
      </c>
      <c r="F583" s="619" t="s">
        <v>5432</v>
      </c>
      <c r="G583" s="619" t="s">
        <v>5431</v>
      </c>
      <c r="H583" s="199"/>
      <c r="I583" s="199"/>
      <c r="J583" s="199"/>
      <c r="K583" s="199"/>
      <c r="L583" s="199"/>
      <c r="M583" s="199"/>
      <c r="N583" s="199"/>
      <c r="O583" s="199"/>
      <c r="P583" s="199"/>
      <c r="Q583" s="199"/>
      <c r="R583" s="58"/>
      <c r="S583" s="58"/>
      <c r="T583" s="58"/>
      <c r="U583" s="58"/>
      <c r="V583" s="58"/>
      <c r="W583" s="58"/>
      <c r="X583" s="58"/>
      <c r="Y583" s="58"/>
    </row>
    <row r="584" spans="1:25" ht="15" x14ac:dyDescent="0.25">
      <c r="A584" s="620">
        <f>A575</f>
        <v>0.33</v>
      </c>
      <c r="B584" s="612" t="e">
        <f t="shared" ref="B584:C586" si="2">60*$H$495*$H$810*B575*$B$567</f>
        <v>#VALUE!</v>
      </c>
      <c r="C584" s="536" t="e">
        <f t="shared" si="2"/>
        <v>#VALUE!</v>
      </c>
      <c r="D584" s="536" t="e">
        <f>60*$H$495*$H$810*B575*$D$567</f>
        <v>#VALUE!</v>
      </c>
      <c r="E584" s="536" t="e">
        <f>60*$H$495*$H$810*D575*$D$567</f>
        <v>#VALUE!</v>
      </c>
      <c r="F584" s="536" t="e">
        <f>60*$H$495*$H$810*B575*$G$567</f>
        <v>#VALUE!</v>
      </c>
      <c r="G584" s="536" t="e">
        <f>60*$H$495*$H$810*E575*$G$567</f>
        <v>#VALUE!</v>
      </c>
      <c r="H584" s="199"/>
      <c r="I584" s="621"/>
      <c r="J584" s="199"/>
      <c r="K584" s="199"/>
      <c r="L584" s="199"/>
      <c r="M584" s="199"/>
      <c r="N584" s="199"/>
      <c r="O584" s="199"/>
      <c r="P584" s="199"/>
      <c r="Q584" s="199"/>
      <c r="R584" s="58"/>
      <c r="S584" s="58"/>
      <c r="T584" s="58"/>
      <c r="U584" s="58"/>
      <c r="V584" s="58"/>
      <c r="W584" s="58"/>
      <c r="X584" s="58"/>
      <c r="Y584" s="58"/>
    </row>
    <row r="585" spans="1:25" ht="15" x14ac:dyDescent="0.25">
      <c r="A585" s="620">
        <f>A576</f>
        <v>0.41</v>
      </c>
      <c r="B585" s="612" t="e">
        <f t="shared" si="2"/>
        <v>#VALUE!</v>
      </c>
      <c r="C585" s="536" t="e">
        <f t="shared" si="2"/>
        <v>#VALUE!</v>
      </c>
      <c r="D585" s="536" t="e">
        <f>60*$H$495*$H$810*B576*$D$567</f>
        <v>#VALUE!</v>
      </c>
      <c r="E585" s="536" t="e">
        <f>60*$H$495*$H$810*D576*$D$567</f>
        <v>#VALUE!</v>
      </c>
      <c r="F585" s="536" t="e">
        <f>60*$H$495*$H$810*B576*$G$567</f>
        <v>#VALUE!</v>
      </c>
      <c r="G585" s="536" t="e">
        <f>60*$H$495*$H$810*E576*$G$567</f>
        <v>#VALUE!</v>
      </c>
      <c r="H585" s="199"/>
      <c r="I585" s="621"/>
      <c r="J585" s="199"/>
      <c r="K585" s="199"/>
      <c r="L585" s="199"/>
      <c r="M585" s="199"/>
      <c r="N585" s="199"/>
      <c r="O585" s="199"/>
      <c r="P585" s="199"/>
      <c r="Q585" s="199"/>
      <c r="R585" s="58"/>
      <c r="S585" s="58"/>
      <c r="T585" s="58"/>
      <c r="U585" s="58"/>
      <c r="V585" s="58"/>
      <c r="W585" s="58"/>
      <c r="X585" s="58"/>
      <c r="Y585" s="58"/>
    </row>
    <row r="586" spans="1:25" ht="15" x14ac:dyDescent="0.25">
      <c r="A586" s="620">
        <f>A577</f>
        <v>0.49</v>
      </c>
      <c r="B586" s="612" t="e">
        <f t="shared" si="2"/>
        <v>#VALUE!</v>
      </c>
      <c r="C586" s="612" t="e">
        <f t="shared" si="2"/>
        <v>#VALUE!</v>
      </c>
      <c r="D586" s="612" t="e">
        <f>60*$H$495*$H$810*B577*$D$567</f>
        <v>#VALUE!</v>
      </c>
      <c r="E586" s="612" t="e">
        <f>60*$H$495*$H$810*D577*$D$567</f>
        <v>#VALUE!</v>
      </c>
      <c r="F586" s="612" t="e">
        <f>60*$H$495*$H$810*B577*$G$567</f>
        <v>#VALUE!</v>
      </c>
      <c r="G586" s="612" t="e">
        <f>60*$H$495*$H$810*E577*$G$567</f>
        <v>#VALUE!</v>
      </c>
      <c r="H586" s="199"/>
      <c r="I586" s="621"/>
      <c r="J586" s="199"/>
      <c r="K586" s="199"/>
      <c r="L586" s="199"/>
      <c r="M586" s="199"/>
      <c r="N586" s="199"/>
      <c r="O586" s="199"/>
      <c r="P586" s="199"/>
      <c r="Q586" s="199"/>
      <c r="R586" s="58"/>
      <c r="S586" s="58"/>
      <c r="T586" s="58"/>
      <c r="U586" s="58"/>
      <c r="V586" s="58"/>
      <c r="W586" s="58"/>
      <c r="X586" s="58"/>
      <c r="Y586" s="58"/>
    </row>
    <row r="587" spans="1:25" ht="15" x14ac:dyDescent="0.25">
      <c r="A587" s="622"/>
      <c r="B587" s="623"/>
      <c r="C587" s="623"/>
      <c r="D587" s="623"/>
      <c r="E587" s="623"/>
      <c r="F587" s="623"/>
      <c r="G587" s="623"/>
      <c r="H587" s="199"/>
      <c r="I587" s="621"/>
      <c r="J587" s="199"/>
      <c r="K587" s="199"/>
      <c r="L587" s="199"/>
      <c r="M587" s="199"/>
      <c r="N587" s="199"/>
      <c r="O587" s="199"/>
      <c r="P587" s="199"/>
      <c r="Q587" s="199"/>
      <c r="R587" s="58"/>
      <c r="S587" s="58"/>
      <c r="T587" s="58"/>
      <c r="U587" s="58"/>
      <c r="V587" s="58"/>
      <c r="W587" s="58"/>
      <c r="X587" s="58"/>
      <c r="Y587" s="58"/>
    </row>
    <row r="588" spans="1:25" ht="15.75" thickBot="1" x14ac:dyDescent="0.3">
      <c r="A588" s="199"/>
      <c r="B588" s="624" t="s">
        <v>55</v>
      </c>
      <c r="C588" s="199"/>
      <c r="D588" s="199"/>
      <c r="E588" s="199"/>
      <c r="F588" s="199"/>
      <c r="G588" s="199"/>
      <c r="H588" s="199"/>
      <c r="I588" s="199"/>
      <c r="J588" s="199"/>
      <c r="K588" s="199"/>
      <c r="L588" s="199"/>
      <c r="M588" s="199"/>
      <c r="N588" s="199"/>
      <c r="O588" s="199"/>
      <c r="P588" s="199"/>
      <c r="Q588" s="199"/>
      <c r="R588" s="58"/>
      <c r="S588" s="58"/>
      <c r="T588" s="58"/>
      <c r="U588" s="58"/>
      <c r="V588" s="58"/>
      <c r="W588" s="58"/>
      <c r="X588" s="58"/>
      <c r="Y588" s="58"/>
    </row>
    <row r="589" spans="1:25" ht="15.75" thickBot="1" x14ac:dyDescent="0.3">
      <c r="A589" s="199"/>
      <c r="B589" s="625" t="s">
        <v>514</v>
      </c>
      <c r="C589" s="626"/>
      <c r="D589" s="627"/>
      <c r="E589" s="199"/>
      <c r="F589" s="199"/>
      <c r="G589" s="199"/>
      <c r="H589" s="199"/>
      <c r="I589" s="199"/>
      <c r="J589" s="199"/>
      <c r="K589" s="199"/>
      <c r="L589" s="199"/>
      <c r="M589" s="199"/>
      <c r="N589" s="199"/>
      <c r="O589" s="199"/>
      <c r="P589" s="199"/>
      <c r="Q589" s="199"/>
      <c r="R589" s="58"/>
      <c r="S589" s="58"/>
      <c r="T589" s="58"/>
      <c r="U589" s="58"/>
      <c r="V589" s="58"/>
      <c r="W589" s="58"/>
      <c r="X589" s="58"/>
      <c r="Y589" s="58"/>
    </row>
    <row r="590" spans="1:25" ht="45" x14ac:dyDescent="0.25">
      <c r="A590" s="199"/>
      <c r="B590" s="628" t="s">
        <v>515</v>
      </c>
      <c r="C590" s="629" t="s">
        <v>516</v>
      </c>
      <c r="D590" s="630" t="s">
        <v>517</v>
      </c>
      <c r="E590" s="631" t="s">
        <v>3758</v>
      </c>
      <c r="F590" s="608" t="s">
        <v>4631</v>
      </c>
      <c r="G590" s="199"/>
      <c r="H590" s="199"/>
      <c r="I590" s="199"/>
      <c r="J590" s="199"/>
      <c r="K590" s="199"/>
      <c r="L590" s="199"/>
      <c r="M590" s="199"/>
      <c r="N590" s="199"/>
      <c r="O590" s="199"/>
      <c r="P590" s="199"/>
      <c r="Q590" s="199"/>
      <c r="R590" s="58"/>
      <c r="S590" s="58"/>
      <c r="T590" s="58"/>
      <c r="U590" s="58"/>
      <c r="V590" s="58"/>
      <c r="W590" s="58"/>
      <c r="X590" s="58"/>
      <c r="Y590" s="58"/>
    </row>
    <row r="591" spans="1:25" ht="15" x14ac:dyDescent="0.25">
      <c r="A591" s="632" t="s">
        <v>518</v>
      </c>
      <c r="B591" s="633" t="e">
        <f>IF(B584&lt;C584,B584,0)</f>
        <v>#VALUE!</v>
      </c>
      <c r="C591" s="585" t="e">
        <f>IF(D584&lt;E584,D584,0)</f>
        <v>#VALUE!</v>
      </c>
      <c r="D591" s="634" t="e">
        <f>IF(F584&lt;G584,F584,0)</f>
        <v>#VALUE!</v>
      </c>
      <c r="E591" s="635" t="e">
        <f>MAX(B591:D591)</f>
        <v>#VALUE!</v>
      </c>
      <c r="F591" s="634" t="e">
        <f>IF(E591=$D$597,1,0)</f>
        <v>#VALUE!</v>
      </c>
      <c r="G591" s="199"/>
      <c r="H591" s="199"/>
      <c r="I591" s="199"/>
      <c r="J591" s="199"/>
      <c r="K591" s="199"/>
      <c r="L591" s="199"/>
      <c r="M591" s="199"/>
      <c r="N591" s="199"/>
      <c r="O591" s="199"/>
      <c r="P591" s="199"/>
      <c r="Q591" s="199"/>
      <c r="R591" s="58"/>
      <c r="S591" s="58"/>
      <c r="T591" s="58"/>
      <c r="U591" s="58"/>
      <c r="V591" s="58"/>
      <c r="W591" s="58"/>
      <c r="X591" s="58"/>
      <c r="Y591" s="58"/>
    </row>
    <row r="592" spans="1:25" ht="15" x14ac:dyDescent="0.25">
      <c r="A592" s="632" t="s">
        <v>4864</v>
      </c>
      <c r="B592" s="633" t="e">
        <f>IF(B585&lt;C585,B585,0)</f>
        <v>#VALUE!</v>
      </c>
      <c r="C592" s="585" t="e">
        <f>IF(D585&lt;E585,D585,0)</f>
        <v>#VALUE!</v>
      </c>
      <c r="D592" s="634" t="e">
        <f>IF(F585&lt;G585,F585,0)</f>
        <v>#VALUE!</v>
      </c>
      <c r="E592" s="635" t="e">
        <f>MAX(B592:D592)</f>
        <v>#VALUE!</v>
      </c>
      <c r="F592" s="634" t="e">
        <f>IF(E592=$D$597,1,0)</f>
        <v>#VALUE!</v>
      </c>
      <c r="G592" s="199"/>
      <c r="H592" s="199"/>
      <c r="I592" s="199"/>
      <c r="J592" s="199"/>
      <c r="K592" s="199"/>
      <c r="L592" s="199"/>
      <c r="M592" s="199"/>
      <c r="N592" s="199"/>
      <c r="O592" s="199"/>
      <c r="P592" s="199"/>
      <c r="Q592" s="199"/>
      <c r="R592" s="58"/>
      <c r="S592" s="58"/>
      <c r="T592" s="58"/>
      <c r="U592" s="58"/>
      <c r="V592" s="58"/>
      <c r="W592" s="58"/>
      <c r="X592" s="58"/>
      <c r="Y592" s="58"/>
    </row>
    <row r="593" spans="1:25" ht="15.75" thickBot="1" x14ac:dyDescent="0.3">
      <c r="A593" s="632" t="s">
        <v>3962</v>
      </c>
      <c r="B593" s="636" t="e">
        <f>IF(B586&lt;C586,B586,0)</f>
        <v>#VALUE!</v>
      </c>
      <c r="C593" s="594" t="e">
        <f>IF(D586&lt;E586,D586,0)</f>
        <v>#VALUE!</v>
      </c>
      <c r="D593" s="595" t="e">
        <f>IF(F586&lt;G586,F586,0)</f>
        <v>#VALUE!</v>
      </c>
      <c r="E593" s="635" t="e">
        <f>MAX(B593:D593)</f>
        <v>#VALUE!</v>
      </c>
      <c r="F593" s="634" t="e">
        <f>IF(E593=$D$597,1,0)</f>
        <v>#VALUE!</v>
      </c>
      <c r="G593" s="199"/>
      <c r="H593" s="199"/>
      <c r="I593" s="199"/>
      <c r="J593" s="199"/>
      <c r="K593" s="199"/>
      <c r="L593" s="199"/>
      <c r="M593" s="199"/>
      <c r="N593" s="199"/>
      <c r="O593" s="199"/>
      <c r="P593" s="199"/>
      <c r="Q593" s="199"/>
      <c r="R593" s="58"/>
      <c r="S593" s="58"/>
      <c r="T593" s="58"/>
      <c r="U593" s="58"/>
      <c r="V593" s="58"/>
      <c r="W593" s="58"/>
      <c r="X593" s="58"/>
      <c r="Y593" s="58"/>
    </row>
    <row r="594" spans="1:25" ht="15" x14ac:dyDescent="0.25">
      <c r="A594" s="637" t="s">
        <v>2818</v>
      </c>
      <c r="B594" s="638" t="e">
        <f>MAX(B591:B593)</f>
        <v>#VALUE!</v>
      </c>
      <c r="C594" s="639" t="e">
        <f>MAX(C591:C593)</f>
        <v>#VALUE!</v>
      </c>
      <c r="D594" s="639" t="e">
        <f>MAX(D591:D593)</f>
        <v>#VALUE!</v>
      </c>
      <c r="E594" s="585"/>
      <c r="F594" s="634"/>
      <c r="G594" s="199"/>
      <c r="H594" s="199"/>
      <c r="I594" s="199"/>
      <c r="J594" s="199"/>
      <c r="K594" s="199"/>
      <c r="L594" s="199"/>
      <c r="M594" s="199"/>
      <c r="N594" s="199"/>
      <c r="O594" s="199"/>
      <c r="P594" s="199"/>
      <c r="Q594" s="199"/>
      <c r="R594" s="58"/>
      <c r="S594" s="58"/>
      <c r="T594" s="58"/>
      <c r="U594" s="58"/>
      <c r="V594" s="58"/>
      <c r="W594" s="58"/>
      <c r="X594" s="58"/>
      <c r="Y594" s="58"/>
    </row>
    <row r="595" spans="1:25" ht="15" x14ac:dyDescent="0.25">
      <c r="A595" s="637" t="s">
        <v>2819</v>
      </c>
      <c r="B595" s="633" t="e">
        <f>IF(B594=D597,1,0)</f>
        <v>#VALUE!</v>
      </c>
      <c r="C595" s="585" t="e">
        <f>IF(C594=D597,1,0)</f>
        <v>#VALUE!</v>
      </c>
      <c r="D595" s="585" t="e">
        <f>IF(D594=D597,1,0)</f>
        <v>#VALUE!</v>
      </c>
      <c r="E595" s="585"/>
      <c r="F595" s="634"/>
      <c r="G595" s="199"/>
      <c r="H595" s="199"/>
      <c r="I595" s="199"/>
      <c r="J595" s="199"/>
      <c r="K595" s="199"/>
      <c r="L595" s="199"/>
      <c r="M595" s="199"/>
      <c r="N595" s="199"/>
      <c r="O595" s="199"/>
      <c r="P595" s="199"/>
      <c r="Q595" s="199"/>
      <c r="R595" s="58"/>
      <c r="S595" s="58"/>
      <c r="T595" s="58"/>
      <c r="U595" s="58"/>
      <c r="V595" s="58"/>
      <c r="W595" s="58"/>
      <c r="X595" s="58"/>
      <c r="Y595" s="58"/>
    </row>
    <row r="596" spans="1:25" ht="15" x14ac:dyDescent="0.25">
      <c r="A596" s="199"/>
      <c r="B596" s="640"/>
      <c r="C596" s="641"/>
      <c r="D596" s="641"/>
      <c r="E596" s="641"/>
      <c r="F596" s="642"/>
      <c r="G596" s="199"/>
      <c r="H596" s="199"/>
      <c r="I596" s="199"/>
      <c r="J596" s="199"/>
      <c r="K596" s="199"/>
      <c r="L596" s="199"/>
      <c r="M596" s="199"/>
      <c r="N596" s="199"/>
      <c r="O596" s="199"/>
      <c r="P596" s="199"/>
      <c r="Q596" s="199"/>
      <c r="R596" s="58"/>
      <c r="S596" s="58"/>
      <c r="T596" s="58"/>
      <c r="U596" s="58"/>
      <c r="V596" s="58"/>
      <c r="W596" s="58"/>
      <c r="X596" s="58"/>
      <c r="Y596" s="58"/>
    </row>
    <row r="597" spans="1:25" ht="15" x14ac:dyDescent="0.25">
      <c r="A597" s="199"/>
      <c r="B597" s="640"/>
      <c r="C597" s="585" t="s">
        <v>2134</v>
      </c>
      <c r="D597" s="643" t="e">
        <f>MAX(B594:D594)</f>
        <v>#VALUE!</v>
      </c>
      <c r="E597" s="641"/>
      <c r="F597" s="642"/>
      <c r="G597" s="199"/>
      <c r="H597" s="199"/>
      <c r="I597" s="199"/>
      <c r="J597" s="199"/>
      <c r="K597" s="199"/>
      <c r="L597" s="199"/>
      <c r="M597" s="199"/>
      <c r="N597" s="199"/>
      <c r="O597" s="199"/>
      <c r="P597" s="199"/>
      <c r="Q597" s="199"/>
      <c r="R597" s="58"/>
      <c r="S597" s="58"/>
      <c r="T597" s="58"/>
      <c r="U597" s="58"/>
      <c r="V597" s="58"/>
      <c r="W597" s="58"/>
      <c r="X597" s="58"/>
      <c r="Y597" s="58"/>
    </row>
    <row r="598" spans="1:25" ht="15" x14ac:dyDescent="0.25">
      <c r="A598" s="199"/>
      <c r="B598" s="640"/>
      <c r="C598" s="585" t="s">
        <v>2133</v>
      </c>
      <c r="D598" s="643" t="e">
        <f>IF(F591=1,1,IF(F592=1,2,IF(F593=1,3)))</f>
        <v>#VALUE!</v>
      </c>
      <c r="E598" s="641"/>
      <c r="F598" s="642"/>
      <c r="G598" s="199"/>
      <c r="H598" s="199"/>
      <c r="I598" s="199"/>
      <c r="J598" s="199"/>
      <c r="K598" s="199"/>
      <c r="L598" s="199"/>
      <c r="M598" s="199"/>
      <c r="N598" s="199"/>
      <c r="O598" s="199"/>
      <c r="P598" s="199"/>
      <c r="Q598" s="199"/>
      <c r="R598" s="58"/>
      <c r="S598" s="58"/>
      <c r="T598" s="58"/>
      <c r="U598" s="58"/>
      <c r="V598" s="58"/>
      <c r="W598" s="58"/>
      <c r="X598" s="58"/>
      <c r="Y598" s="58"/>
    </row>
    <row r="599" spans="1:25" ht="15.75" thickBot="1" x14ac:dyDescent="0.3">
      <c r="A599" s="199"/>
      <c r="B599" s="644"/>
      <c r="C599" s="594" t="s">
        <v>2135</v>
      </c>
      <c r="D599" s="645" t="e">
        <f>IF(B595=1,1,IF(C595=1,2,IF(D595=1,3)))</f>
        <v>#VALUE!</v>
      </c>
      <c r="E599" s="646"/>
      <c r="F599" s="647"/>
      <c r="G599" s="199"/>
      <c r="H599" s="199"/>
      <c r="I599" s="199"/>
      <c r="J599" s="199"/>
      <c r="K599" s="199"/>
      <c r="L599" s="199"/>
      <c r="M599" s="199"/>
      <c r="N599" s="199"/>
      <c r="O599" s="199"/>
      <c r="P599" s="199"/>
      <c r="Q599" s="199"/>
      <c r="R599" s="58"/>
      <c r="S599" s="58"/>
      <c r="T599" s="58"/>
      <c r="U599" s="58"/>
      <c r="V599" s="58"/>
      <c r="W599" s="58"/>
      <c r="X599" s="58"/>
      <c r="Y599" s="58"/>
    </row>
    <row r="600" spans="1:25" ht="15" x14ac:dyDescent="0.25">
      <c r="A600" s="199"/>
      <c r="B600" s="199"/>
      <c r="C600" s="199"/>
      <c r="D600" s="199"/>
      <c r="E600" s="199"/>
      <c r="F600" s="199"/>
      <c r="G600" s="199"/>
      <c r="H600" s="199"/>
      <c r="I600" s="199"/>
      <c r="J600" s="199"/>
      <c r="K600" s="199"/>
      <c r="L600" s="199"/>
      <c r="M600" s="199"/>
      <c r="N600" s="199"/>
      <c r="O600" s="199"/>
      <c r="P600" s="199"/>
      <c r="Q600" s="199"/>
      <c r="R600" s="58"/>
      <c r="S600" s="58"/>
      <c r="T600" s="58"/>
      <c r="U600" s="58"/>
      <c r="V600" s="58"/>
      <c r="W600" s="58"/>
      <c r="X600" s="58"/>
      <c r="Y600" s="58"/>
    </row>
    <row r="601" spans="1:25" ht="15" x14ac:dyDescent="0.25">
      <c r="A601" s="648"/>
      <c r="B601" s="649"/>
      <c r="C601" s="649"/>
      <c r="D601" s="649"/>
      <c r="E601" s="649"/>
      <c r="F601" s="649"/>
      <c r="G601" s="649"/>
      <c r="H601" s="165"/>
      <c r="I601" s="650"/>
      <c r="J601" s="650"/>
      <c r="K601" s="650"/>
      <c r="L601" s="106"/>
      <c r="M601" s="106"/>
      <c r="N601" s="62"/>
      <c r="O601" s="62"/>
      <c r="P601" s="62"/>
      <c r="Q601" s="62"/>
      <c r="R601" s="42"/>
      <c r="S601" s="42"/>
      <c r="T601" s="42"/>
      <c r="U601" s="42"/>
      <c r="V601" s="58"/>
      <c r="W601" s="58"/>
      <c r="X601" s="58"/>
      <c r="Y601" s="58"/>
    </row>
    <row r="602" spans="1:25" ht="15" x14ac:dyDescent="0.25">
      <c r="A602" s="111"/>
      <c r="B602" s="372"/>
      <c r="C602" s="372"/>
      <c r="D602" s="372"/>
      <c r="E602" s="372"/>
      <c r="F602" s="372"/>
      <c r="G602" s="372"/>
      <c r="H602" s="87"/>
      <c r="I602" s="108"/>
      <c r="J602" s="108"/>
      <c r="K602" s="108"/>
      <c r="L602" s="106"/>
      <c r="M602" s="106"/>
      <c r="N602" s="62"/>
      <c r="O602" s="62"/>
      <c r="P602" s="62"/>
      <c r="Q602" s="62"/>
      <c r="R602" s="42"/>
      <c r="S602" s="42"/>
      <c r="T602" s="42"/>
      <c r="U602" s="42"/>
      <c r="V602" s="58"/>
      <c r="W602" s="58"/>
      <c r="X602" s="58"/>
      <c r="Y602" s="58"/>
    </row>
    <row r="603" spans="1:25" ht="15" x14ac:dyDescent="0.25">
      <c r="A603" s="111"/>
      <c r="B603" s="528" t="s">
        <v>2757</v>
      </c>
      <c r="C603" s="199"/>
      <c r="D603" s="199"/>
      <c r="E603" s="199"/>
      <c r="F603" s="199"/>
      <c r="G603" s="199"/>
      <c r="H603" s="651" t="e">
        <f ca="1">H213</f>
        <v>#VALUE!</v>
      </c>
      <c r="I603" s="651" t="e">
        <f ca="1">I213</f>
        <v>#VALUE!</v>
      </c>
      <c r="J603" s="651" t="e">
        <f ca="1">J213</f>
        <v>#VALUE!</v>
      </c>
      <c r="K603" s="651" t="e">
        <f ca="1">K213</f>
        <v>#VALUE!</v>
      </c>
      <c r="L603" s="651" t="e">
        <f ca="1">L213</f>
        <v>#VALUE!</v>
      </c>
      <c r="M603" s="106"/>
      <c r="N603" s="62"/>
      <c r="O603" s="62"/>
      <c r="P603" s="62"/>
      <c r="Q603" s="62"/>
      <c r="R603" s="42"/>
      <c r="S603" s="42"/>
      <c r="T603" s="42"/>
      <c r="U603" s="42"/>
      <c r="V603" s="58"/>
      <c r="W603" s="58"/>
      <c r="X603" s="58"/>
      <c r="Y603" s="58"/>
    </row>
    <row r="604" spans="1:25" ht="15" x14ac:dyDescent="0.25">
      <c r="A604" s="111"/>
      <c r="B604" s="528" t="s">
        <v>5247</v>
      </c>
      <c r="C604" s="199"/>
      <c r="D604" s="199"/>
      <c r="E604" s="199"/>
      <c r="F604" s="199"/>
      <c r="G604" s="199"/>
      <c r="H604" s="621" t="e">
        <f ca="1">IF(H493=1,H882,H817)</f>
        <v>#VALUE!</v>
      </c>
      <c r="I604" s="621" t="e">
        <f ca="1">IF(I493=1,I882,I817)</f>
        <v>#VALUE!</v>
      </c>
      <c r="J604" s="621" t="e">
        <f ca="1">IF(J493=1,J882,J817)</f>
        <v>#VALUE!</v>
      </c>
      <c r="K604" s="621" t="e">
        <f ca="1">IF(K493=1,K882,K817)</f>
        <v>#VALUE!</v>
      </c>
      <c r="L604" s="621" t="e">
        <f ca="1">IF(L493=1,L882,L817)</f>
        <v>#VALUE!</v>
      </c>
      <c r="M604" s="106"/>
      <c r="N604" s="62"/>
      <c r="O604" s="62"/>
      <c r="P604" s="62"/>
      <c r="Q604" s="62"/>
      <c r="R604" s="42"/>
      <c r="S604" s="42"/>
      <c r="T604" s="42"/>
      <c r="U604" s="42"/>
      <c r="V604" s="58"/>
      <c r="W604" s="58"/>
      <c r="X604" s="58"/>
      <c r="Y604" s="58"/>
    </row>
    <row r="605" spans="1:25" ht="15" x14ac:dyDescent="0.25">
      <c r="A605" s="111"/>
      <c r="B605" s="528" t="s">
        <v>5249</v>
      </c>
      <c r="C605" s="199"/>
      <c r="D605" s="199"/>
      <c r="E605" s="199"/>
      <c r="F605" s="199"/>
      <c r="G605" s="199"/>
      <c r="H605" s="621" t="e">
        <f>H109/H726</f>
        <v>#DIV/0!</v>
      </c>
      <c r="I605" s="621" t="e">
        <f>I109/I726</f>
        <v>#DIV/0!</v>
      </c>
      <c r="J605" s="621" t="e">
        <f>J109/J726</f>
        <v>#DIV/0!</v>
      </c>
      <c r="K605" s="621" t="e">
        <f>K109/K726</f>
        <v>#DIV/0!</v>
      </c>
      <c r="L605" s="621" t="e">
        <f>L109/L726</f>
        <v>#DIV/0!</v>
      </c>
      <c r="M605" s="106"/>
      <c r="N605" s="62"/>
      <c r="O605" s="62"/>
      <c r="P605" s="62"/>
      <c r="Q605" s="62"/>
      <c r="R605" s="42"/>
      <c r="S605" s="42"/>
      <c r="T605" s="42"/>
      <c r="U605" s="42"/>
      <c r="V605" s="58"/>
      <c r="W605" s="58"/>
      <c r="X605" s="58"/>
      <c r="Y605" s="58"/>
    </row>
    <row r="606" spans="1:25" ht="15" x14ac:dyDescent="0.25">
      <c r="A606" s="111"/>
      <c r="B606" s="528"/>
      <c r="C606" s="199"/>
      <c r="D606" s="199"/>
      <c r="E606" s="199"/>
      <c r="F606" s="199"/>
      <c r="G606" s="199"/>
      <c r="H606" s="529" t="e">
        <f ca="1">H604-H605</f>
        <v>#VALUE!</v>
      </c>
      <c r="I606" s="529" t="e">
        <f ca="1">I604-I605</f>
        <v>#VALUE!</v>
      </c>
      <c r="J606" s="529" t="e">
        <f ca="1">J604-J605</f>
        <v>#VALUE!</v>
      </c>
      <c r="K606" s="529" t="e">
        <f ca="1">K604-K605</f>
        <v>#VALUE!</v>
      </c>
      <c r="L606" s="529" t="e">
        <f ca="1">L604-L605</f>
        <v>#VALUE!</v>
      </c>
      <c r="M606" s="106"/>
      <c r="N606" s="62"/>
      <c r="O606" s="62"/>
      <c r="P606" s="62"/>
      <c r="Q606" s="62"/>
      <c r="R606" s="42"/>
      <c r="S606" s="42"/>
      <c r="T606" s="42"/>
      <c r="U606" s="42"/>
      <c r="V606" s="58"/>
      <c r="W606" s="58"/>
      <c r="X606" s="58"/>
      <c r="Y606" s="58"/>
    </row>
    <row r="607" spans="1:25" ht="15" x14ac:dyDescent="0.25">
      <c r="A607" s="111"/>
      <c r="B607" s="372"/>
      <c r="C607" s="372"/>
      <c r="D607" s="372"/>
      <c r="E607" s="372"/>
      <c r="F607" s="372"/>
      <c r="G607" s="372"/>
      <c r="H607" s="87"/>
      <c r="I607" s="108"/>
      <c r="J607" s="108"/>
      <c r="K607" s="108"/>
      <c r="L607" s="106"/>
      <c r="M607" s="106"/>
      <c r="N607" s="62"/>
      <c r="O607" s="62"/>
      <c r="P607" s="62"/>
      <c r="Q607" s="62"/>
      <c r="R607" s="42"/>
      <c r="S607" s="42"/>
      <c r="T607" s="42"/>
      <c r="U607" s="42"/>
      <c r="V607" s="58"/>
      <c r="W607" s="58"/>
      <c r="X607" s="58"/>
      <c r="Y607" s="58"/>
    </row>
    <row r="608" spans="1:25" ht="18.75" x14ac:dyDescent="0.3">
      <c r="A608" s="111"/>
      <c r="B608" s="652" t="s">
        <v>4312</v>
      </c>
      <c r="C608" s="372"/>
      <c r="D608" s="372"/>
      <c r="E608" s="372"/>
      <c r="F608" s="372"/>
      <c r="G608" s="372"/>
      <c r="H608" s="62"/>
      <c r="I608" s="106"/>
      <c r="J608" s="106"/>
      <c r="K608" s="108"/>
      <c r="L608" s="106"/>
      <c r="M608" s="106"/>
      <c r="N608" s="62"/>
      <c r="O608" s="62"/>
      <c r="P608" s="62"/>
      <c r="Q608" s="62"/>
      <c r="R608" s="42"/>
      <c r="S608" s="42"/>
      <c r="T608" s="42"/>
      <c r="U608" s="42"/>
      <c r="V608" s="58"/>
      <c r="W608" s="58"/>
      <c r="X608" s="58"/>
      <c r="Y608" s="58"/>
    </row>
    <row r="609" spans="1:25" ht="18.75" x14ac:dyDescent="0.3">
      <c r="A609" s="111" t="s">
        <v>4313</v>
      </c>
      <c r="B609" s="652"/>
      <c r="C609" s="372"/>
      <c r="D609" s="372"/>
      <c r="E609" s="372"/>
      <c r="F609" s="372"/>
      <c r="G609" s="372"/>
      <c r="H609" s="62"/>
      <c r="I609" s="106"/>
      <c r="J609" s="106"/>
      <c r="K609" s="108"/>
      <c r="L609" s="106"/>
      <c r="M609" s="106"/>
      <c r="N609" s="62"/>
      <c r="O609" s="62"/>
      <c r="P609" s="62"/>
      <c r="Q609" s="62"/>
      <c r="R609" s="42"/>
      <c r="S609" s="42"/>
      <c r="T609" s="42"/>
      <c r="U609" s="42"/>
      <c r="V609" s="58"/>
      <c r="W609" s="58"/>
      <c r="X609" s="58"/>
      <c r="Y609" s="58"/>
    </row>
    <row r="610" spans="1:25" ht="18" x14ac:dyDescent="0.3">
      <c r="A610" s="111"/>
      <c r="B610" s="653" t="s">
        <v>4866</v>
      </c>
      <c r="C610" s="372"/>
      <c r="D610" s="372"/>
      <c r="E610" s="372"/>
      <c r="F610" s="372"/>
      <c r="G610" s="372"/>
      <c r="H610" s="62"/>
      <c r="I610" s="106"/>
      <c r="J610" s="106"/>
      <c r="K610" s="108"/>
      <c r="L610" s="106"/>
      <c r="M610" s="106"/>
      <c r="N610" s="62"/>
      <c r="O610" s="62"/>
      <c r="P610" s="62"/>
      <c r="Q610" s="62"/>
      <c r="R610" s="42"/>
      <c r="S610" s="42"/>
      <c r="T610" s="42"/>
      <c r="U610" s="42"/>
      <c r="V610" s="58"/>
      <c r="W610" s="58"/>
      <c r="X610" s="58"/>
      <c r="Y610" s="58"/>
    </row>
    <row r="611" spans="1:25" ht="18" x14ac:dyDescent="0.3">
      <c r="A611" s="111"/>
      <c r="B611" s="653" t="s">
        <v>4867</v>
      </c>
      <c r="C611" s="372"/>
      <c r="D611" s="372"/>
      <c r="E611" s="372"/>
      <c r="F611" s="372"/>
      <c r="G611" s="372"/>
      <c r="H611" s="62"/>
      <c r="I611" s="106"/>
      <c r="J611" s="106"/>
      <c r="K611" s="108"/>
      <c r="L611" s="106"/>
      <c r="M611" s="106"/>
      <c r="N611" s="62"/>
      <c r="O611" s="62"/>
      <c r="P611" s="62"/>
      <c r="Q611" s="62"/>
      <c r="R611" s="42"/>
      <c r="S611" s="42"/>
      <c r="T611" s="42"/>
      <c r="U611" s="42"/>
      <c r="V611" s="58"/>
      <c r="W611" s="58"/>
      <c r="X611" s="58"/>
      <c r="Y611" s="58"/>
    </row>
    <row r="612" spans="1:25" ht="18.75" x14ac:dyDescent="0.3">
      <c r="A612" s="654" t="s">
        <v>4314</v>
      </c>
      <c r="B612" s="652"/>
      <c r="C612" s="372"/>
      <c r="D612" s="372"/>
      <c r="E612" s="372"/>
      <c r="F612" s="372"/>
      <c r="G612" s="372"/>
      <c r="H612" s="62"/>
      <c r="I612" s="106"/>
      <c r="J612" s="106"/>
      <c r="K612" s="108"/>
      <c r="L612" s="106"/>
      <c r="M612" s="106"/>
      <c r="N612" s="62"/>
      <c r="O612" s="62"/>
      <c r="P612" s="62"/>
      <c r="Q612" s="62"/>
      <c r="R612" s="42"/>
      <c r="S612" s="42"/>
      <c r="T612" s="42"/>
      <c r="U612" s="42"/>
      <c r="V612" s="58"/>
      <c r="W612" s="58"/>
      <c r="X612" s="58"/>
      <c r="Y612" s="58"/>
    </row>
    <row r="613" spans="1:25" ht="18" x14ac:dyDescent="0.3">
      <c r="A613" s="111"/>
      <c r="B613" s="653" t="s">
        <v>4868</v>
      </c>
      <c r="C613" s="372"/>
      <c r="D613" s="372"/>
      <c r="E613" s="372"/>
      <c r="F613" s="372"/>
      <c r="G613" s="372"/>
      <c r="H613" s="62"/>
      <c r="I613" s="106"/>
      <c r="J613" s="106"/>
      <c r="K613" s="108"/>
      <c r="L613" s="106"/>
      <c r="M613" s="106"/>
      <c r="N613" s="62"/>
      <c r="O613" s="62"/>
      <c r="P613" s="62"/>
      <c r="Q613" s="62"/>
      <c r="R613" s="42"/>
      <c r="S613" s="42"/>
      <c r="T613" s="42"/>
      <c r="U613" s="42"/>
      <c r="V613" s="58"/>
      <c r="W613" s="58"/>
      <c r="X613" s="58"/>
      <c r="Y613" s="58"/>
    </row>
    <row r="614" spans="1:25" ht="15" x14ac:dyDescent="0.25">
      <c r="A614" s="4540" t="s">
        <v>3441</v>
      </c>
      <c r="B614" s="4540"/>
      <c r="C614" s="4540"/>
      <c r="D614" s="4540"/>
      <c r="E614" s="4540"/>
      <c r="F614" s="4540"/>
      <c r="G614" s="4540"/>
      <c r="H614" s="4540"/>
      <c r="I614" s="106"/>
      <c r="J614" s="106"/>
      <c r="K614" s="108"/>
      <c r="L614" s="106"/>
      <c r="M614" s="106"/>
      <c r="N614" s="62"/>
      <c r="O614" s="62"/>
      <c r="P614" s="62"/>
      <c r="Q614" s="62"/>
      <c r="R614" s="42"/>
      <c r="S614" s="42"/>
      <c r="T614" s="42"/>
      <c r="U614" s="42"/>
      <c r="V614" s="58"/>
      <c r="W614" s="58"/>
      <c r="X614" s="58"/>
      <c r="Y614" s="58"/>
    </row>
    <row r="615" spans="1:25" ht="21" x14ac:dyDescent="0.35">
      <c r="A615" s="655" t="s">
        <v>3077</v>
      </c>
      <c r="B615" s="199"/>
      <c r="C615" s="199"/>
      <c r="D615" s="199"/>
      <c r="E615" s="199"/>
      <c r="F615" s="199"/>
      <c r="G615" s="372"/>
      <c r="H615" s="62"/>
      <c r="I615" s="106"/>
      <c r="J615" s="106"/>
      <c r="K615" s="108"/>
      <c r="L615" s="106"/>
      <c r="M615" s="106"/>
      <c r="N615" s="62"/>
      <c r="O615" s="62"/>
      <c r="P615" s="62"/>
      <c r="Q615" s="62"/>
      <c r="R615" s="42"/>
      <c r="S615" s="42"/>
      <c r="T615" s="42"/>
      <c r="U615" s="42"/>
      <c r="V615" s="58"/>
      <c r="W615" s="58"/>
      <c r="X615" s="58"/>
      <c r="Y615" s="58"/>
    </row>
    <row r="616" spans="1:25" ht="21" x14ac:dyDescent="0.35">
      <c r="A616" s="655" t="s">
        <v>3834</v>
      </c>
      <c r="B616" s="199"/>
      <c r="C616" s="199"/>
      <c r="D616" s="199"/>
      <c r="E616" s="199"/>
      <c r="F616" s="199"/>
      <c r="G616" s="372"/>
      <c r="H616" s="62"/>
      <c r="I616" s="106"/>
      <c r="J616" s="106"/>
      <c r="K616" s="108"/>
      <c r="L616" s="106"/>
      <c r="M616" s="106"/>
      <c r="N616" s="62"/>
      <c r="O616" s="62"/>
      <c r="P616" s="62"/>
      <c r="Q616" s="62"/>
      <c r="R616" s="42"/>
      <c r="S616" s="42"/>
      <c r="T616" s="42"/>
      <c r="U616" s="42"/>
      <c r="V616" s="58"/>
      <c r="W616" s="58"/>
      <c r="X616" s="58"/>
      <c r="Y616" s="58"/>
    </row>
    <row r="617" spans="1:25" ht="21" x14ac:dyDescent="0.35">
      <c r="A617" s="655" t="s">
        <v>3835</v>
      </c>
      <c r="B617" s="199"/>
      <c r="C617" s="199"/>
      <c r="D617" s="199"/>
      <c r="E617" s="199"/>
      <c r="F617" s="199"/>
      <c r="G617" s="372"/>
      <c r="H617" s="62"/>
      <c r="I617" s="106"/>
      <c r="J617" s="106"/>
      <c r="K617" s="108"/>
      <c r="L617" s="106"/>
      <c r="M617" s="106"/>
      <c r="N617" s="62"/>
      <c r="O617" s="62"/>
      <c r="P617" s="62"/>
      <c r="Q617" s="62"/>
      <c r="R617" s="42"/>
      <c r="S617" s="42"/>
      <c r="T617" s="42"/>
      <c r="U617" s="42"/>
      <c r="V617" s="58"/>
      <c r="W617" s="58"/>
      <c r="X617" s="58"/>
      <c r="Y617" s="58"/>
    </row>
    <row r="618" spans="1:25" ht="21" x14ac:dyDescent="0.35">
      <c r="A618" s="655" t="s">
        <v>3836</v>
      </c>
      <c r="B618" s="199"/>
      <c r="C618" s="199"/>
      <c r="D618" s="199"/>
      <c r="E618" s="199"/>
      <c r="F618" s="199"/>
      <c r="G618" s="372"/>
      <c r="H618" s="62"/>
      <c r="I618" s="106"/>
      <c r="J618" s="106"/>
      <c r="K618" s="108"/>
      <c r="L618" s="106"/>
      <c r="M618" s="106"/>
      <c r="N618" s="62"/>
      <c r="O618" s="62"/>
      <c r="P618" s="62"/>
      <c r="Q618" s="62"/>
      <c r="R618" s="42"/>
      <c r="S618" s="42"/>
      <c r="T618" s="42"/>
      <c r="U618" s="42"/>
      <c r="V618" s="58"/>
      <c r="W618" s="58"/>
      <c r="X618" s="58"/>
      <c r="Y618" s="58"/>
    </row>
    <row r="619" spans="1:25" ht="21" x14ac:dyDescent="0.35">
      <c r="A619" s="655" t="s">
        <v>4577</v>
      </c>
      <c r="B619" s="199"/>
      <c r="C619" s="199"/>
      <c r="D619" s="199"/>
      <c r="E619" s="199"/>
      <c r="F619" s="199"/>
      <c r="G619" s="372"/>
      <c r="H619" s="62"/>
      <c r="I619" s="106"/>
      <c r="J619" s="106"/>
      <c r="K619" s="108"/>
      <c r="L619" s="106"/>
      <c r="M619" s="106"/>
      <c r="N619" s="62"/>
      <c r="O619" s="62"/>
      <c r="P619" s="62"/>
      <c r="Q619" s="62"/>
      <c r="R619" s="42"/>
      <c r="S619" s="42"/>
      <c r="T619" s="42"/>
      <c r="U619" s="42"/>
      <c r="V619" s="58"/>
      <c r="W619" s="58"/>
      <c r="X619" s="58"/>
      <c r="Y619" s="58"/>
    </row>
    <row r="620" spans="1:25" ht="15" x14ac:dyDescent="0.25">
      <c r="A620" s="656" t="s">
        <v>5563</v>
      </c>
      <c r="B620" s="199"/>
      <c r="C620" s="199"/>
      <c r="D620" s="199"/>
      <c r="E620" s="199"/>
      <c r="F620" s="199"/>
      <c r="G620" s="372"/>
      <c r="H620" s="62"/>
      <c r="I620" s="106"/>
      <c r="J620" s="106"/>
      <c r="K620" s="108"/>
      <c r="L620" s="106"/>
      <c r="M620" s="106"/>
      <c r="N620" s="62"/>
      <c r="O620" s="62"/>
      <c r="P620" s="62"/>
      <c r="Q620" s="62"/>
      <c r="R620" s="42"/>
      <c r="S620" s="42"/>
      <c r="T620" s="42"/>
      <c r="U620" s="42"/>
      <c r="V620" s="58"/>
      <c r="W620" s="58"/>
      <c r="X620" s="58"/>
      <c r="Y620" s="58"/>
    </row>
    <row r="621" spans="1:25" ht="18.75" x14ac:dyDescent="0.3">
      <c r="A621" s="657" t="s">
        <v>1992</v>
      </c>
      <c r="B621" s="652"/>
      <c r="C621" s="372"/>
      <c r="D621" s="372"/>
      <c r="E621" s="372"/>
      <c r="F621" s="372"/>
      <c r="G621" s="372"/>
      <c r="H621" s="62"/>
      <c r="I621" s="106"/>
      <c r="J621" s="106"/>
      <c r="K621" s="108"/>
      <c r="L621" s="106"/>
      <c r="M621" s="106"/>
      <c r="N621" s="62"/>
      <c r="O621" s="62"/>
      <c r="P621" s="62"/>
      <c r="Q621" s="62"/>
      <c r="R621" s="42"/>
      <c r="S621" s="42"/>
      <c r="T621" s="42"/>
      <c r="U621" s="42"/>
      <c r="V621" s="58"/>
      <c r="W621" s="58"/>
      <c r="X621" s="58"/>
      <c r="Y621" s="58"/>
    </row>
    <row r="622" spans="1:25" ht="18" x14ac:dyDescent="0.3">
      <c r="A622" s="199"/>
      <c r="B622" s="653" t="s">
        <v>5564</v>
      </c>
      <c r="C622" s="372"/>
      <c r="D622" s="372"/>
      <c r="E622" s="372"/>
      <c r="F622" s="372"/>
      <c r="G622" s="372"/>
      <c r="H622" s="62"/>
      <c r="I622" s="106"/>
      <c r="J622" s="106"/>
      <c r="K622" s="108"/>
      <c r="L622" s="106"/>
      <c r="M622" s="106"/>
      <c r="N622" s="62"/>
      <c r="O622" s="62"/>
      <c r="P622" s="62"/>
      <c r="Q622" s="62"/>
      <c r="R622" s="42"/>
      <c r="S622" s="42"/>
      <c r="T622" s="42"/>
      <c r="U622" s="42"/>
      <c r="V622" s="58"/>
      <c r="W622" s="58"/>
      <c r="X622" s="58"/>
      <c r="Y622" s="58"/>
    </row>
    <row r="623" spans="1:25" ht="15" x14ac:dyDescent="0.25">
      <c r="A623" s="111"/>
      <c r="B623" s="199"/>
      <c r="C623" s="372"/>
      <c r="D623" s="372"/>
      <c r="E623" s="372"/>
      <c r="F623" s="372"/>
      <c r="G623" s="372"/>
      <c r="H623" s="62"/>
      <c r="I623" s="106"/>
      <c r="J623" s="106"/>
      <c r="K623" s="108"/>
      <c r="L623" s="106"/>
      <c r="M623" s="106"/>
      <c r="N623" s="62"/>
      <c r="O623" s="62"/>
      <c r="P623" s="62"/>
      <c r="Q623" s="62"/>
      <c r="R623" s="42"/>
      <c r="S623" s="42"/>
      <c r="T623" s="42"/>
      <c r="U623" s="42"/>
      <c r="V623" s="58"/>
      <c r="W623" s="58"/>
      <c r="X623" s="58"/>
      <c r="Y623" s="58"/>
    </row>
    <row r="624" spans="1:25" ht="15.75" x14ac:dyDescent="0.25">
      <c r="A624" s="11"/>
      <c r="B624" s="102" t="s">
        <v>5454</v>
      </c>
      <c r="C624" s="62"/>
      <c r="D624" s="62"/>
      <c r="E624" s="62"/>
      <c r="F624" s="62"/>
      <c r="G624" s="62"/>
      <c r="H624" s="62"/>
      <c r="I624" s="118"/>
      <c r="J624" s="118"/>
      <c r="K624" s="118"/>
      <c r="L624" s="15"/>
      <c r="M624" s="15"/>
      <c r="N624" s="70"/>
      <c r="O624" s="658"/>
      <c r="P624" s="659"/>
      <c r="Q624" s="659"/>
      <c r="R624" s="660"/>
      <c r="S624" s="661"/>
      <c r="T624" s="662"/>
      <c r="U624" s="42"/>
      <c r="V624" s="58"/>
      <c r="W624" s="58"/>
      <c r="X624" s="58"/>
      <c r="Y624" s="58"/>
    </row>
    <row r="625" spans="1:25" ht="15.75" x14ac:dyDescent="0.25">
      <c r="A625" s="4541" t="s">
        <v>5545</v>
      </c>
      <c r="B625" s="4541"/>
      <c r="C625" s="4541"/>
      <c r="D625" s="4541"/>
      <c r="E625" s="4541"/>
      <c r="F625" s="4541"/>
      <c r="G625" s="4541"/>
      <c r="H625" s="663"/>
      <c r="I625" s="118"/>
      <c r="J625" s="118"/>
      <c r="K625" s="118"/>
      <c r="L625" s="15"/>
      <c r="M625" s="15"/>
      <c r="N625" s="70"/>
      <c r="O625" s="658"/>
      <c r="P625" s="659"/>
      <c r="Q625" s="659"/>
      <c r="R625" s="660"/>
      <c r="S625" s="661"/>
      <c r="T625" s="662"/>
      <c r="U625" s="42"/>
      <c r="V625" s="58"/>
      <c r="W625" s="58"/>
      <c r="X625" s="58"/>
      <c r="Y625" s="58"/>
    </row>
    <row r="626" spans="1:25" ht="15" x14ac:dyDescent="0.25">
      <c r="A626" s="493" t="s">
        <v>4102</v>
      </c>
      <c r="B626" s="199"/>
      <c r="C626" s="199"/>
      <c r="D626" s="199"/>
      <c r="E626" s="199"/>
      <c r="F626" s="199"/>
      <c r="G626" s="199"/>
      <c r="H626" s="199"/>
      <c r="I626" s="118"/>
      <c r="J626" s="118"/>
      <c r="K626" s="118"/>
      <c r="L626" s="130"/>
      <c r="M626" s="130"/>
      <c r="N626" s="70"/>
      <c r="O626" s="658"/>
      <c r="P626" s="134"/>
      <c r="Q626" s="134"/>
      <c r="R626" s="458"/>
      <c r="S626" s="661"/>
      <c r="T626" s="662"/>
      <c r="U626" s="42"/>
      <c r="V626" s="58"/>
      <c r="W626" s="58"/>
      <c r="X626" s="58"/>
      <c r="Y626" s="58"/>
    </row>
    <row r="627" spans="1:25" ht="21" x14ac:dyDescent="0.35">
      <c r="A627" s="29"/>
      <c r="B627" s="25" t="s">
        <v>5546</v>
      </c>
      <c r="C627" s="11"/>
      <c r="D627" s="11"/>
      <c r="E627" s="11"/>
      <c r="F627" s="11"/>
      <c r="G627" s="11"/>
      <c r="H627" s="11"/>
      <c r="I627" s="15"/>
      <c r="J627" s="15"/>
      <c r="K627" s="118"/>
      <c r="L627" s="118"/>
      <c r="M627" s="130"/>
      <c r="N627" s="70"/>
      <c r="O627" s="658"/>
      <c r="P627" s="134"/>
      <c r="Q627" s="134"/>
      <c r="R627" s="458"/>
      <c r="S627" s="661"/>
      <c r="T627" s="662"/>
      <c r="U627" s="42"/>
      <c r="V627" s="58"/>
      <c r="W627" s="58"/>
      <c r="X627" s="58"/>
      <c r="Y627" s="58"/>
    </row>
    <row r="628" spans="1:25" ht="15" x14ac:dyDescent="0.25">
      <c r="A628" s="29"/>
      <c r="B628" s="664" t="s">
        <v>4367</v>
      </c>
      <c r="C628" s="11"/>
      <c r="D628" s="11"/>
      <c r="E628" s="11"/>
      <c r="F628" s="11"/>
      <c r="G628" s="11"/>
      <c r="H628" s="15"/>
      <c r="I628" s="199"/>
      <c r="J628" s="15"/>
      <c r="K628" s="118"/>
      <c r="L628" s="130"/>
      <c r="M628" s="130"/>
      <c r="N628" s="70"/>
      <c r="O628" s="658"/>
      <c r="P628" s="659"/>
      <c r="Q628" s="659"/>
      <c r="R628" s="660"/>
      <c r="S628" s="661"/>
      <c r="T628" s="662"/>
      <c r="U628" s="42"/>
      <c r="V628" s="58"/>
      <c r="W628" s="58"/>
      <c r="X628" s="58"/>
      <c r="Y628" s="58"/>
    </row>
    <row r="629" spans="1:25" ht="15" x14ac:dyDescent="0.25">
      <c r="A629" s="664"/>
      <c r="B629" s="22" t="s">
        <v>3794</v>
      </c>
      <c r="C629" s="11"/>
      <c r="D629" s="11"/>
      <c r="E629" s="11"/>
      <c r="F629" s="11"/>
      <c r="G629" s="11"/>
      <c r="H629" s="361" t="e">
        <f>H496*100/H495</f>
        <v>#VALUE!</v>
      </c>
      <c r="I629" s="361" t="e">
        <f>I496*100/I495</f>
        <v>#VALUE!</v>
      </c>
      <c r="J629" s="361" t="e">
        <f>J496*100/J495</f>
        <v>#VALUE!</v>
      </c>
      <c r="K629" s="361" t="e">
        <f>K496*100/K495</f>
        <v>#VALUE!</v>
      </c>
      <c r="L629" s="361" t="e">
        <f>L496*100/L495</f>
        <v>#VALUE!</v>
      </c>
      <c r="M629" s="130"/>
      <c r="N629" s="70"/>
      <c r="O629" s="658"/>
      <c r="P629" s="659"/>
      <c r="Q629" s="659"/>
      <c r="R629" s="660"/>
      <c r="S629" s="661"/>
      <c r="T629" s="662"/>
      <c r="U629" s="42"/>
      <c r="V629" s="58"/>
      <c r="W629" s="58"/>
      <c r="X629" s="58"/>
      <c r="Y629" s="58"/>
    </row>
    <row r="630" spans="1:25" ht="15" x14ac:dyDescent="0.25">
      <c r="A630" s="664"/>
      <c r="B630" s="22" t="s">
        <v>3795</v>
      </c>
      <c r="C630" s="11"/>
      <c r="D630" s="11"/>
      <c r="E630" s="11"/>
      <c r="F630" s="11"/>
      <c r="G630" s="11"/>
      <c r="H630" s="361" t="e">
        <f>IF(H629=0,1,IF(H629&lt;0.5,2,IF(H629&lt;1,3,IF(H629&lt;2.5,4,5))))</f>
        <v>#VALUE!</v>
      </c>
      <c r="I630" s="361" t="e">
        <f>IF(I629=0,1,IF(I629&lt;0.5,2,IF(I629&lt;1,3,IF(I629&lt;2.5,4,5))))</f>
        <v>#VALUE!</v>
      </c>
      <c r="J630" s="361" t="e">
        <f>IF(J629=0,1,IF(J629&lt;0.5,2,IF(J629&lt;1,3,IF(J629&lt;2.5,4,5))))</f>
        <v>#VALUE!</v>
      </c>
      <c r="K630" s="361" t="e">
        <f>IF(K629=0,1,IF(K629&lt;0.5,2,IF(K629&lt;1,3,IF(K629&lt;2.5,4,5))))</f>
        <v>#VALUE!</v>
      </c>
      <c r="L630" s="361" t="e">
        <f>IF(L629=0,1,IF(L629&lt;0.5,2,IF(L629&lt;1,3,IF(L629&lt;2.5,4,5))))</f>
        <v>#VALUE!</v>
      </c>
      <c r="M630" s="130"/>
      <c r="N630" s="73"/>
      <c r="O630" s="658"/>
      <c r="P630" s="659"/>
      <c r="Q630" s="134"/>
      <c r="R630" s="660"/>
      <c r="S630" s="661"/>
      <c r="T630" s="662"/>
      <c r="U630" s="42"/>
      <c r="V630" s="58"/>
      <c r="W630" s="58"/>
      <c r="X630" s="58"/>
      <c r="Y630" s="58"/>
    </row>
    <row r="631" spans="1:25" ht="15" x14ac:dyDescent="0.25">
      <c r="A631" s="664"/>
      <c r="B631" s="22" t="s">
        <v>3796</v>
      </c>
      <c r="C631" s="11"/>
      <c r="D631" s="11"/>
      <c r="E631" s="11"/>
      <c r="F631" s="11"/>
      <c r="G631" s="11"/>
      <c r="H631" s="361" t="e">
        <f>IF(H630&lt;4,1,IF(H630&lt;5,2,3))</f>
        <v>#VALUE!</v>
      </c>
      <c r="I631" s="361" t="e">
        <f>IF(I630&lt;4,1,IF(I630&lt;5,2,3))</f>
        <v>#VALUE!</v>
      </c>
      <c r="J631" s="361" t="e">
        <f>IF(J630&lt;4,1,IF(J630&lt;5,2,3))</f>
        <v>#VALUE!</v>
      </c>
      <c r="K631" s="361" t="e">
        <f>IF(K630&lt;4,1,IF(K630&lt;5,2,3))</f>
        <v>#VALUE!</v>
      </c>
      <c r="L631" s="361" t="e">
        <f>IF(L630&lt;4,1,IF(L630&lt;5,2,3))</f>
        <v>#VALUE!</v>
      </c>
      <c r="M631" s="130"/>
      <c r="N631" s="73"/>
      <c r="O631" s="658"/>
      <c r="P631" s="659"/>
      <c r="Q631" s="134"/>
      <c r="R631" s="660"/>
      <c r="S631" s="661"/>
      <c r="T631" s="662"/>
      <c r="U631" s="42"/>
      <c r="V631" s="58"/>
      <c r="W631" s="58"/>
      <c r="X631" s="58"/>
      <c r="Y631" s="58"/>
    </row>
    <row r="632" spans="1:25" ht="18.75" x14ac:dyDescent="0.3">
      <c r="A632" s="664"/>
      <c r="B632" s="199" t="s">
        <v>5547</v>
      </c>
      <c r="C632" s="199"/>
      <c r="D632" s="199"/>
      <c r="E632" s="199"/>
      <c r="F632" s="199"/>
      <c r="G632" s="199"/>
      <c r="H632" s="528" t="e">
        <f>IF(H631=1,0.04,IF(H631=2,0.05,IF(H631=3,0.06)))</f>
        <v>#VALUE!</v>
      </c>
      <c r="I632" s="528" t="e">
        <f>IF(I631=1,0.04,IF(I631=2,0.05,IF(I631=3,0.06)))</f>
        <v>#VALUE!</v>
      </c>
      <c r="J632" s="528" t="e">
        <f>IF(J631=1,0.04,IF(J631=2,0.05,IF(J631=3,0.06)))</f>
        <v>#VALUE!</v>
      </c>
      <c r="K632" s="528" t="e">
        <f>IF(K631=1,0.04,IF(K631=2,0.05,IF(K631=3,0.06)))</f>
        <v>#VALUE!</v>
      </c>
      <c r="L632" s="528" t="e">
        <f>IF(L631=1,0.04,IF(L631=2,0.05,IF(L631=3,0.06)))</f>
        <v>#VALUE!</v>
      </c>
      <c r="M632" s="73"/>
      <c r="N632" s="520"/>
      <c r="O632" s="520"/>
      <c r="P632" s="73"/>
      <c r="Q632" s="73"/>
      <c r="R632" s="462"/>
      <c r="S632" s="462"/>
      <c r="T632" s="462"/>
      <c r="U632" s="42"/>
      <c r="V632" s="58"/>
      <c r="W632" s="58"/>
      <c r="X632" s="58"/>
      <c r="Y632" s="58"/>
    </row>
    <row r="633" spans="1:25" ht="18.75" x14ac:dyDescent="0.3">
      <c r="A633" s="664"/>
      <c r="B633" s="199" t="s">
        <v>5548</v>
      </c>
      <c r="C633" s="199"/>
      <c r="D633" s="199"/>
      <c r="E633" s="199"/>
      <c r="F633" s="199"/>
      <c r="G633" s="199"/>
      <c r="H633" s="199">
        <v>0.33</v>
      </c>
      <c r="I633" s="199">
        <v>0.33</v>
      </c>
      <c r="J633" s="199">
        <v>0.33</v>
      </c>
      <c r="K633" s="199">
        <v>0.33</v>
      </c>
      <c r="L633" s="199">
        <v>0.33</v>
      </c>
      <c r="M633" s="73"/>
      <c r="N633" s="520"/>
      <c r="O633" s="520"/>
      <c r="P633" s="73"/>
      <c r="Q633" s="73"/>
      <c r="R633" s="462"/>
      <c r="S633" s="462"/>
      <c r="T633" s="462"/>
      <c r="U633" s="42"/>
      <c r="V633" s="58"/>
      <c r="W633" s="58"/>
      <c r="X633" s="58"/>
      <c r="Y633" s="58"/>
    </row>
    <row r="634" spans="1:25" ht="18.75" x14ac:dyDescent="0.3">
      <c r="A634" s="664"/>
      <c r="B634" s="199" t="s">
        <v>5549</v>
      </c>
      <c r="C634" s="199"/>
      <c r="D634" s="199"/>
      <c r="E634" s="199"/>
      <c r="F634" s="199"/>
      <c r="G634" s="199"/>
      <c r="H634" s="528">
        <f>INDEX($E$923:$L$923,$H$452)</f>
        <v>300</v>
      </c>
      <c r="I634" s="528">
        <f>INDEX($E$923:$L$923,$H$452)</f>
        <v>180</v>
      </c>
      <c r="J634" s="528">
        <f>INDEX($E$923:$L$923,$H$452)</f>
        <v>500</v>
      </c>
      <c r="K634" s="528">
        <f>INDEX($E$923:$L$923,$H$452)</f>
        <v>500</v>
      </c>
      <c r="L634" s="528">
        <f>INDEX($E$923:$L$923,$H$452)</f>
        <v>500</v>
      </c>
      <c r="M634" s="73"/>
      <c r="N634" s="520"/>
      <c r="O634" s="520"/>
      <c r="P634" s="73"/>
      <c r="Q634" s="73"/>
      <c r="R634" s="462"/>
      <c r="S634" s="462"/>
      <c r="T634" s="462"/>
      <c r="U634" s="42"/>
      <c r="V634" s="58"/>
      <c r="W634" s="58"/>
      <c r="X634" s="58"/>
      <c r="Y634" s="58"/>
    </row>
    <row r="635" spans="1:25" ht="15" x14ac:dyDescent="0.25">
      <c r="A635" s="664"/>
      <c r="B635" s="22" t="s">
        <v>4378</v>
      </c>
      <c r="C635" s="11"/>
      <c r="D635" s="11"/>
      <c r="E635" s="11"/>
      <c r="F635" s="11"/>
      <c r="G635" s="11"/>
      <c r="H635" s="32" t="e">
        <f>IF(H493=2,(279.26+669.81*H495-233.33*H811)*300/1000,(497.08+366.37*H495-240*H811)*300/1000)</f>
        <v>#VALUE!</v>
      </c>
      <c r="I635" s="32" t="e">
        <f>IF(I493=2,(279.26+669.81*I495-233.33*I811)*300/1000,(497.08+366.37*I495-240*I811)*300/1000)</f>
        <v>#VALUE!</v>
      </c>
      <c r="J635" s="32" t="e">
        <f>IF(J493=2,(279.26+669.81*J495-233.33*J811)*300/1000,(497.08+366.37*J495-240*J811)*300/1000)</f>
        <v>#VALUE!</v>
      </c>
      <c r="K635" s="32" t="e">
        <f>IF(K493=2,(279.26+669.81*K495-233.33*K811)*300/1000,(497.08+366.37*K495-240*K811)*300/1000)</f>
        <v>#VALUE!</v>
      </c>
      <c r="L635" s="32" t="e">
        <f>IF(L493=2,(279.26+669.81*L495-233.33*L811)*300/1000,(497.08+366.37*L495-240*L811)*300/1000)</f>
        <v>#VALUE!</v>
      </c>
      <c r="M635" s="665"/>
      <c r="N635" s="448"/>
      <c r="O635" s="665"/>
      <c r="P635" s="666"/>
      <c r="Q635" s="520"/>
      <c r="R635" s="43"/>
      <c r="S635" s="43"/>
      <c r="T635" s="43"/>
      <c r="U635" s="42"/>
      <c r="V635" s="58"/>
      <c r="W635" s="58"/>
      <c r="X635" s="58"/>
      <c r="Y635" s="58"/>
    </row>
    <row r="636" spans="1:25" ht="18.75" x14ac:dyDescent="0.3">
      <c r="A636" s="664"/>
      <c r="B636" s="199" t="s">
        <v>2843</v>
      </c>
      <c r="C636" s="199"/>
      <c r="D636" s="199"/>
      <c r="E636" s="199"/>
      <c r="F636" s="199"/>
      <c r="G636" s="199"/>
      <c r="H636" s="528" t="e">
        <f>H635*H453</f>
        <v>#VALUE!</v>
      </c>
      <c r="I636" s="528" t="e">
        <f>I635*I453</f>
        <v>#VALUE!</v>
      </c>
      <c r="J636" s="528" t="e">
        <f>J635*J453</f>
        <v>#VALUE!</v>
      </c>
      <c r="K636" s="528" t="e">
        <f>K635*K453</f>
        <v>#VALUE!</v>
      </c>
      <c r="L636" s="528" t="e">
        <f>L635*L453</f>
        <v>#VALUE!</v>
      </c>
      <c r="M636" s="520"/>
      <c r="N636" s="520"/>
      <c r="O636" s="520"/>
      <c r="P636" s="520"/>
      <c r="Q636" s="520"/>
      <c r="R636" s="462"/>
      <c r="S636" s="462"/>
      <c r="T636" s="462"/>
      <c r="U636" s="42"/>
      <c r="V636" s="58"/>
      <c r="W636" s="58"/>
      <c r="X636" s="58"/>
      <c r="Y636" s="58"/>
    </row>
    <row r="637" spans="1:25" ht="15" x14ac:dyDescent="0.25">
      <c r="A637" s="29"/>
      <c r="B637" s="199"/>
      <c r="C637" s="199"/>
      <c r="D637" s="199"/>
      <c r="E637" s="199"/>
      <c r="F637" s="199"/>
      <c r="G637" s="199"/>
      <c r="H637" s="199"/>
      <c r="I637" s="199"/>
      <c r="J637" s="199"/>
      <c r="K637" s="199"/>
      <c r="L637" s="199"/>
      <c r="M637" s="199"/>
      <c r="N637" s="520"/>
      <c r="O637" s="520"/>
      <c r="P637" s="520"/>
      <c r="Q637" s="520"/>
      <c r="R637" s="462"/>
      <c r="S637" s="43"/>
      <c r="T637" s="43"/>
      <c r="U637" s="42"/>
      <c r="V637" s="58"/>
      <c r="W637" s="58"/>
      <c r="X637" s="58"/>
      <c r="Y637" s="58"/>
    </row>
    <row r="638" spans="1:25" ht="15" x14ac:dyDescent="0.25">
      <c r="A638" s="29">
        <v>1</v>
      </c>
      <c r="B638" s="199" t="s">
        <v>5095</v>
      </c>
      <c r="C638" s="199"/>
      <c r="D638" s="199"/>
      <c r="E638" s="199"/>
      <c r="F638" s="199"/>
      <c r="G638" s="199"/>
      <c r="H638" s="528" t="e">
        <f>IF((H636-H633*H634)&gt;0,-H632*(H636-H633*H634)*H109/300,0)</f>
        <v>#VALUE!</v>
      </c>
      <c r="I638" s="528" t="e">
        <f>IF((I636-I633*I634)&gt;0,-I632*(I636-I633*I634)*I109/300,0)</f>
        <v>#VALUE!</v>
      </c>
      <c r="J638" s="528" t="e">
        <f>IF((J636-J633*J634)&gt;0,-J632*(J636-J633*J634)*J109/300,0)</f>
        <v>#VALUE!</v>
      </c>
      <c r="K638" s="528" t="e">
        <f>IF((K636-K633*K634)&gt;0,-K632*(K636-K633*K634)*K109/300,0)</f>
        <v>#VALUE!</v>
      </c>
      <c r="L638" s="528" t="e">
        <f>IF((L636-L633*L634)&gt;0,-L632*(L636-L633*L634)*L109/300,0)</f>
        <v>#VALUE!</v>
      </c>
      <c r="M638" s="520"/>
      <c r="N638" s="520"/>
      <c r="O638" s="520"/>
      <c r="P638" s="520"/>
      <c r="Q638" s="520"/>
      <c r="R638" s="462"/>
      <c r="S638" s="43"/>
      <c r="T638" s="43"/>
      <c r="U638" s="42"/>
      <c r="V638" s="58"/>
      <c r="W638" s="58"/>
      <c r="X638" s="58"/>
      <c r="Y638" s="58"/>
    </row>
    <row r="639" spans="1:25" ht="15" x14ac:dyDescent="0.25">
      <c r="A639" s="29">
        <v>2</v>
      </c>
      <c r="B639" s="22" t="s">
        <v>5097</v>
      </c>
      <c r="C639" s="11"/>
      <c r="D639" s="11"/>
      <c r="E639" s="11"/>
      <c r="F639" s="11"/>
      <c r="G639" s="11"/>
      <c r="H639" s="361">
        <f>IF(H463=0,H500*H109/1500,0)</f>
        <v>0</v>
      </c>
      <c r="I639" s="361">
        <f>IF(I463=0,I500*I109/1500,0)</f>
        <v>0</v>
      </c>
      <c r="J639" s="361">
        <f>IF(J463=0,J500*J109/1500,0)</f>
        <v>0</v>
      </c>
      <c r="K639" s="361">
        <f>IF(K463=0,K500*K109/1500,0)</f>
        <v>0</v>
      </c>
      <c r="L639" s="361">
        <f>IF(L463=0,L500*L109/1500,0)</f>
        <v>0</v>
      </c>
      <c r="M639" s="520"/>
      <c r="N639" s="520"/>
      <c r="O639" s="520"/>
      <c r="P639" s="520"/>
      <c r="Q639" s="520"/>
      <c r="R639" s="462"/>
      <c r="S639" s="462"/>
      <c r="T639" s="462"/>
      <c r="U639" s="42"/>
      <c r="V639" s="58"/>
      <c r="W639" s="58"/>
      <c r="X639" s="58"/>
      <c r="Y639" s="58"/>
    </row>
    <row r="640" spans="1:25" ht="15" x14ac:dyDescent="0.25">
      <c r="A640" s="29">
        <v>3</v>
      </c>
      <c r="B640" s="22" t="s">
        <v>5098</v>
      </c>
      <c r="C640" s="11"/>
      <c r="D640" s="11"/>
      <c r="E640" s="11"/>
      <c r="F640" s="11"/>
      <c r="G640" s="11"/>
      <c r="H640" s="361">
        <f>-0.04*(H109-150)</f>
        <v>6</v>
      </c>
      <c r="I640" s="361">
        <f>-0.04*(I109-150)</f>
        <v>6</v>
      </c>
      <c r="J640" s="361">
        <f>-0.04*(J109-150)</f>
        <v>6</v>
      </c>
      <c r="K640" s="361">
        <f>-0.04*(K109-150)</f>
        <v>6</v>
      </c>
      <c r="L640" s="361">
        <f>-0.04*(L109-150)</f>
        <v>6</v>
      </c>
      <c r="M640" s="199"/>
      <c r="N640" s="199"/>
      <c r="O640" s="199"/>
      <c r="P640" s="199"/>
      <c r="Q640" s="199"/>
      <c r="R640" s="42"/>
      <c r="S640" s="42"/>
      <c r="T640" s="42"/>
      <c r="U640" s="42"/>
      <c r="V640" s="58"/>
      <c r="W640" s="58"/>
      <c r="X640" s="58"/>
      <c r="Y640" s="58"/>
    </row>
    <row r="641" spans="1:25" ht="15" x14ac:dyDescent="0.25">
      <c r="A641" s="29">
        <v>4</v>
      </c>
      <c r="B641" s="22" t="s">
        <v>2501</v>
      </c>
      <c r="C641" s="11"/>
      <c r="D641" s="11"/>
      <c r="E641" s="11"/>
      <c r="F641" s="11"/>
      <c r="G641" s="11"/>
      <c r="H641" s="361">
        <f>IF(H509=1,0,-0.032*(H109-50))</f>
        <v>1.6</v>
      </c>
      <c r="I641" s="361">
        <f>IF(I509=1,0,-0.032*(I109-50))</f>
        <v>1.6</v>
      </c>
      <c r="J641" s="361">
        <f>IF(J509=1,0,-0.032*(J109-50))</f>
        <v>1.6</v>
      </c>
      <c r="K641" s="361">
        <f>IF(K509=1,0,-0.032*(K109-50))</f>
        <v>1.6</v>
      </c>
      <c r="L641" s="361">
        <f>IF(L509=1,0,-0.032*(L109-50))</f>
        <v>1.6</v>
      </c>
      <c r="M641" s="199"/>
      <c r="N641" s="62"/>
      <c r="O641" s="62"/>
      <c r="P641" s="199"/>
      <c r="Q641" s="199"/>
      <c r="R641" s="42"/>
      <c r="S641" s="42"/>
      <c r="T641" s="42"/>
      <c r="U641" s="42"/>
      <c r="V641" s="58"/>
      <c r="W641" s="58"/>
      <c r="X641" s="58"/>
      <c r="Y641" s="58"/>
    </row>
    <row r="642" spans="1:25" ht="15" x14ac:dyDescent="0.25">
      <c r="A642" s="29">
        <v>5</v>
      </c>
      <c r="B642" s="22" t="s">
        <v>5096</v>
      </c>
      <c r="C642" s="11"/>
      <c r="D642" s="11"/>
      <c r="E642" s="11"/>
      <c r="F642" s="11"/>
      <c r="G642" s="11"/>
      <c r="H642" s="361">
        <f>IF(AND(H109&lt;200,H454=1),0,IF(AND(H109&gt;=200,H454=1),-0.166*(H109-200),IF(AND(H109&lt;150,H454=2),0,IF(AND(H109&gt;=150,H454=2),-0.02*(H109-150),IF(AND(H109&lt;50,H454=3),0,IF(AND(H109&gt;=50,H454=3),-0.03*(H109-50)))))))</f>
        <v>0</v>
      </c>
      <c r="I642" s="361">
        <f>IF(AND(I109&lt;200,I454=1),0,IF(AND(I109&gt;=200,I454=1),-0.166*(I109-200),IF(AND(I109&lt;150,I454=2),0,IF(AND(I109&gt;=150,I454=2),-0.02*(I109-150),IF(AND(I109&lt;50,I454=3),0,IF(AND(I109&gt;=50,I454=3),-0.03*(I109-50)))))))</f>
        <v>0</v>
      </c>
      <c r="J642" s="361">
        <f>IF(AND(J109&lt;200,J454=1),0,IF(AND(J109&gt;=200,J454=1),-0.166*(J109-200),IF(AND(J109&lt;150,J454=2),0,IF(AND(J109&gt;=150,J454=2),-0.02*(J109-150),IF(AND(J109&lt;50,J454=3),0,IF(AND(J109&gt;=50,J454=3),-0.03*(J109-50)))))))</f>
        <v>0</v>
      </c>
      <c r="K642" s="361">
        <f>IF(AND(K109&lt;200,K454=1),0,IF(AND(K109&gt;=200,K454=1),-0.166*(K109-200),IF(AND(K109&lt;150,K454=2),0,IF(AND(K109&gt;=150,K454=2),-0.02*(K109-150),IF(AND(K109&lt;50,K454=3),0,IF(AND(K109&gt;=50,K454=3),-0.03*(K109-50)))))))</f>
        <v>0</v>
      </c>
      <c r="L642" s="361">
        <f>IF(AND(L109&lt;200,L454=1),0,IF(AND(L109&gt;=200,L454=1),-0.166*(L109-200),IF(AND(L109&lt;150,L454=2),0,IF(AND(L109&gt;=150,L454=2),-0.02*(L109-150),IF(AND(L109&lt;50,L454=3),0,IF(AND(L109&gt;=50,L454=3),-0.03*(L109-50)))))))</f>
        <v>0</v>
      </c>
      <c r="M642" s="199"/>
      <c r="N642" s="62"/>
      <c r="O642" s="62"/>
      <c r="P642" s="199"/>
      <c r="Q642" s="199"/>
      <c r="R642" s="42"/>
      <c r="S642" s="42"/>
      <c r="T642" s="42"/>
      <c r="U642" s="42"/>
      <c r="V642" s="58"/>
      <c r="W642" s="58"/>
      <c r="X642" s="58"/>
      <c r="Y642" s="58"/>
    </row>
    <row r="643" spans="1:25" ht="15.75" x14ac:dyDescent="0.25">
      <c r="A643" s="29"/>
      <c r="B643" s="38" t="s">
        <v>2844</v>
      </c>
      <c r="C643" s="59"/>
      <c r="D643" s="59"/>
      <c r="E643" s="59"/>
      <c r="F643" s="59"/>
      <c r="G643" s="59"/>
      <c r="H643" s="667" t="e">
        <f>$F$570*(1+0.01*INDEX($E$922:$L$922,$H$452))*(1+0.01*SUM(H638:H642))</f>
        <v>#VALUE!</v>
      </c>
      <c r="I643" s="667" t="e">
        <f>$F$570*(1+0.01*INDEX($E$922:$L$922,$H$452))*(1+0.01*SUM(I638:I642))</f>
        <v>#VALUE!</v>
      </c>
      <c r="J643" s="667" t="e">
        <f>$F$570*(1+0.01*INDEX($E$922:$L$922,$H$452))*(1+0.01*SUM(J638:J642))</f>
        <v>#VALUE!</v>
      </c>
      <c r="K643" s="667" t="e">
        <f>$F$570*(1+0.01*INDEX($E$922:$L$922,$H$452))*(1+0.01*SUM(K638:K642))</f>
        <v>#VALUE!</v>
      </c>
      <c r="L643" s="667" t="e">
        <f>$F$570*(1+0.01*INDEX($E$922:$L$922,$H$452))*(1+0.01*SUM(L638:L642))</f>
        <v>#VALUE!</v>
      </c>
      <c r="M643" s="15"/>
      <c r="N643" s="62"/>
      <c r="O643" s="62"/>
      <c r="P643" s="454"/>
      <c r="Q643" s="62"/>
      <c r="R643" s="42"/>
      <c r="S643" s="42"/>
      <c r="T643" s="42"/>
      <c r="U643" s="42"/>
      <c r="V643" s="58"/>
      <c r="W643" s="58"/>
      <c r="X643" s="58"/>
      <c r="Y643" s="58"/>
    </row>
    <row r="644" spans="1:25" ht="15" x14ac:dyDescent="0.25">
      <c r="A644" s="29"/>
      <c r="B644" s="38" t="s">
        <v>5453</v>
      </c>
      <c r="C644" s="59"/>
      <c r="D644" s="59"/>
      <c r="E644" s="59"/>
      <c r="F644" s="59"/>
      <c r="G644" s="59"/>
      <c r="H644" s="668" t="e">
        <f>1/H643-1</f>
        <v>#VALUE!</v>
      </c>
      <c r="I644" s="668" t="e">
        <f>1/I643-1</f>
        <v>#VALUE!</v>
      </c>
      <c r="J644" s="668" t="e">
        <f>1/J643-1</f>
        <v>#VALUE!</v>
      </c>
      <c r="K644" s="668" t="e">
        <f>1/K643-1</f>
        <v>#VALUE!</v>
      </c>
      <c r="L644" s="668" t="e">
        <f>1/L643-1</f>
        <v>#VALUE!</v>
      </c>
      <c r="M644" s="15"/>
      <c r="N644" s="62"/>
      <c r="O644" s="62"/>
      <c r="P644" s="454"/>
      <c r="Q644" s="62"/>
      <c r="R644" s="42"/>
      <c r="S644" s="42"/>
      <c r="T644" s="42"/>
      <c r="U644" s="42"/>
      <c r="V644" s="58"/>
      <c r="W644" s="58"/>
      <c r="X644" s="58"/>
      <c r="Y644" s="58"/>
    </row>
    <row r="645" spans="1:25" ht="21" x14ac:dyDescent="0.35">
      <c r="A645" s="29"/>
      <c r="B645" s="61" t="s">
        <v>2845</v>
      </c>
      <c r="C645" s="59"/>
      <c r="D645" s="59"/>
      <c r="E645" s="59"/>
      <c r="F645" s="59"/>
      <c r="G645" s="59"/>
      <c r="H645" s="11"/>
      <c r="I645" s="11"/>
      <c r="J645" s="11"/>
      <c r="K645" s="15"/>
      <c r="L645" s="15"/>
      <c r="M645" s="15"/>
      <c r="N645" s="62"/>
      <c r="O645" s="62"/>
      <c r="P645" s="454"/>
      <c r="Q645" s="62"/>
      <c r="R645" s="42"/>
      <c r="S645" s="42"/>
      <c r="T645" s="42"/>
      <c r="U645" s="42"/>
      <c r="V645" s="58"/>
      <c r="W645" s="58"/>
      <c r="X645" s="58"/>
      <c r="Y645" s="58"/>
    </row>
    <row r="646" spans="1:25" ht="15" x14ac:dyDescent="0.25">
      <c r="A646" s="29"/>
      <c r="B646" s="25" t="s">
        <v>5452</v>
      </c>
      <c r="C646" s="59"/>
      <c r="D646" s="59"/>
      <c r="E646" s="59"/>
      <c r="F646" s="59"/>
      <c r="G646" s="59"/>
      <c r="H646" s="11"/>
      <c r="I646" s="11"/>
      <c r="J646" s="11"/>
      <c r="K646" s="15"/>
      <c r="L646" s="15"/>
      <c r="M646" s="15"/>
      <c r="N646" s="62"/>
      <c r="O646" s="62"/>
      <c r="P646" s="454"/>
      <c r="Q646" s="62"/>
      <c r="R646" s="42"/>
      <c r="S646" s="42"/>
      <c r="T646" s="42"/>
      <c r="U646" s="42"/>
      <c r="V646" s="58"/>
      <c r="W646" s="58"/>
      <c r="X646" s="58"/>
      <c r="Y646" s="58"/>
    </row>
    <row r="647" spans="1:25" ht="15" x14ac:dyDescent="0.25">
      <c r="A647" s="29"/>
      <c r="B647" s="11"/>
      <c r="C647" s="11" t="s">
        <v>2869</v>
      </c>
      <c r="D647" s="11"/>
      <c r="E647" s="11"/>
      <c r="F647" s="11"/>
      <c r="G647" s="11"/>
      <c r="H647" s="82">
        <f>IF($D$540&gt;0,IF($C$540=1,1/(1+0.6*(1/$H$540-1)),IF($C$540=2,0.9*$H$540,IF($C$540=3,$H$540))),1)</f>
        <v>1</v>
      </c>
      <c r="I647" s="82">
        <f>IF($D$540&gt;0,IF($C$540=1,1/(1+0.6*(1/$H$540-1)),IF($C$540=2,0.9*$H$540,IF($C$540=3,$H$540))),1)</f>
        <v>1</v>
      </c>
      <c r="J647" s="82">
        <f>IF($D$540&gt;0,IF($C$540=1,1/(1+0.6*(1/$H$540-1)),IF($C$540=2,0.9*$H$540,IF($C$540=3,$H$540))),1)</f>
        <v>1</v>
      </c>
      <c r="K647" s="82">
        <f>IF($D$540&gt;0,IF($C$540=1,1/(1+0.6*(1/$H$540-1)),IF($C$540=2,0.9*$H$540,IF($C$540=3,$H$540))),1)</f>
        <v>1</v>
      </c>
      <c r="L647" s="82">
        <f>IF($D$540&gt;0,IF($C$540=1,1/(1+0.6*(1/$H$540-1)),IF($C$540=2,0.9*$H$540,IF($C$540=3,$H$540))),1)</f>
        <v>1</v>
      </c>
      <c r="M647" s="82"/>
      <c r="N647" s="62"/>
      <c r="O647" s="62"/>
      <c r="P647" s="454"/>
      <c r="Q647" s="62"/>
      <c r="R647" s="42"/>
      <c r="S647" s="42"/>
      <c r="T647" s="42"/>
      <c r="U647" s="42"/>
      <c r="V647" s="58"/>
      <c r="W647" s="58"/>
      <c r="X647" s="58"/>
      <c r="Y647" s="58"/>
    </row>
    <row r="648" spans="1:25" ht="15" x14ac:dyDescent="0.25">
      <c r="A648" s="29"/>
      <c r="B648" s="11"/>
      <c r="C648" s="11" t="s">
        <v>2870</v>
      </c>
      <c r="D648" s="11"/>
      <c r="E648" s="11"/>
      <c r="F648" s="11"/>
      <c r="G648" s="11"/>
      <c r="H648" s="82">
        <f>IF($D$541="",1,IF($C$541=1,1/(1+0.6*(1/$H$541-1)),IF($C$541=2,0.9*$H$541,IF($C$541=3,$H$541))))</f>
        <v>1</v>
      </c>
      <c r="I648" s="82">
        <f>IF($D$541="",1,IF($C$541=1,1/(1+0.6*(1/$H$541-1)),IF($C$541=2,0.9*$H$541,IF($C$541=3,$H$541))))</f>
        <v>1</v>
      </c>
      <c r="J648" s="82">
        <f>IF($D$541="",1,IF($C$541=1,1/(1+0.6*(1/$H$541-1)),IF($C$541=2,0.9*$H$541,IF($C$541=3,$H$541))))</f>
        <v>1</v>
      </c>
      <c r="K648" s="82">
        <f>IF($D$541="",1,IF($C$541=1,1/(1+0.6*(1/$H$541-1)),IF($C$541=2,0.9*$H$541,IF($C$541=3,$H$541))))</f>
        <v>1</v>
      </c>
      <c r="L648" s="82">
        <f>IF($D$541="",1,IF($C$541=1,1/(1+0.6*(1/$H$541-1)),IF($C$541=2,0.9*$H$541,IF($C$541=3,$H$541))))</f>
        <v>1</v>
      </c>
      <c r="M648" s="82"/>
      <c r="N648" s="62"/>
      <c r="O648" s="62"/>
      <c r="P648" s="454"/>
      <c r="Q648" s="62"/>
      <c r="R648" s="42"/>
      <c r="S648" s="42"/>
      <c r="T648" s="42"/>
      <c r="U648" s="42"/>
      <c r="V648" s="58"/>
      <c r="W648" s="58"/>
      <c r="X648" s="58"/>
      <c r="Y648" s="58"/>
    </row>
    <row r="649" spans="1:25" ht="15" x14ac:dyDescent="0.25">
      <c r="A649" s="29"/>
      <c r="B649" s="11"/>
      <c r="C649" s="11" t="s">
        <v>4273</v>
      </c>
      <c r="D649" s="11"/>
      <c r="E649" s="11"/>
      <c r="F649" s="11"/>
      <c r="G649" s="11"/>
      <c r="H649" s="82">
        <f>IF($D$542="",1,IF($C$542=1,1/(1+0.6*(1/$H$542-1)),IF($C$542=2,0.9*$H$542,IF($C$542=3,$H$542))))</f>
        <v>1</v>
      </c>
      <c r="I649" s="82">
        <f>IF($D$542="",1,IF($C$542=1,1/(1+0.6*(1/$H$542-1)),IF($C$542=2,0.9*$H$542,IF($C$542=3,$H$542))))</f>
        <v>1</v>
      </c>
      <c r="J649" s="82">
        <f>IF($D$542="",1,IF($C$542=1,1/(1+0.6*(1/$H$542-1)),IF($C$542=2,0.9*$H$542,IF($C$542=3,$H$542))))</f>
        <v>1</v>
      </c>
      <c r="K649" s="82">
        <f>IF($D$542="",1,IF($C$542=1,1/(1+0.6*(1/$H$542-1)),IF($C$542=2,0.9*$H$542,IF($C$542=3,$H$542))))</f>
        <v>1</v>
      </c>
      <c r="L649" s="82">
        <f>IF($D$542="",1,IF($C$542=1,1/(1+0.6*(1/$H$542-1)),IF($C$542=2,0.9*$H$542,IF($C$542=3,$H$542))))</f>
        <v>1</v>
      </c>
      <c r="M649" s="82"/>
      <c r="N649" s="62"/>
      <c r="O649" s="62"/>
      <c r="P649" s="454"/>
      <c r="Q649" s="62"/>
      <c r="R649" s="42"/>
      <c r="S649" s="42"/>
      <c r="T649" s="42"/>
      <c r="U649" s="42"/>
      <c r="V649" s="58"/>
      <c r="W649" s="58"/>
      <c r="X649" s="58"/>
      <c r="Y649" s="58"/>
    </row>
    <row r="650" spans="1:25" ht="15" x14ac:dyDescent="0.25">
      <c r="A650" s="29"/>
      <c r="B650" s="11"/>
      <c r="C650" s="11" t="s">
        <v>4274</v>
      </c>
      <c r="D650" s="11"/>
      <c r="E650" s="11"/>
      <c r="F650" s="11"/>
      <c r="G650" s="11"/>
      <c r="H650" s="82">
        <f>IF($D$543="",1,IF($C$543=1,1/(1+0.6*(1/$H$543-1)),IF($C$543=2,0.9*$H$543,IF($C$543=3,$H$543))))</f>
        <v>1</v>
      </c>
      <c r="I650" s="82">
        <f>IF($D$543="",1,IF($C$543=1,1/(1+0.6*(1/$H$543-1)),IF($C$543=2,0.9*$H$543,IF($C$543=3,$H$543))))</f>
        <v>1</v>
      </c>
      <c r="J650" s="82">
        <f>IF($D$543="",1,IF($C$543=1,1/(1+0.6*(1/$H$543-1)),IF($C$543=2,0.9*$H$543,IF($C$543=3,$H$543))))</f>
        <v>1</v>
      </c>
      <c r="K650" s="82">
        <f>IF($D$543="",1,IF($C$543=1,1/(1+0.6*(1/$H$543-1)),IF($C$543=2,0.9*$H$543,IF($C$543=3,$H$543))))</f>
        <v>1</v>
      </c>
      <c r="L650" s="82">
        <f>IF($D$543="",1,IF($C$543=1,1/(1+0.6*(1/$H$543-1)),IF($C$543=2,0.9*$H$543,IF($C$543=3,$H$543))))</f>
        <v>1</v>
      </c>
      <c r="M650" s="82"/>
      <c r="N650" s="62"/>
      <c r="O650" s="62"/>
      <c r="P650" s="454"/>
      <c r="Q650" s="62"/>
      <c r="R650" s="42"/>
      <c r="S650" s="42"/>
      <c r="T650" s="42"/>
      <c r="U650" s="42"/>
      <c r="V650" s="58"/>
      <c r="W650" s="58"/>
      <c r="X650" s="58"/>
      <c r="Y650" s="58"/>
    </row>
    <row r="651" spans="1:25" ht="15" x14ac:dyDescent="0.25">
      <c r="A651" s="669" t="s">
        <v>1207</v>
      </c>
      <c r="B651" s="11"/>
      <c r="C651" s="11"/>
      <c r="D651" s="121"/>
      <c r="E651" s="121"/>
      <c r="F651" s="121"/>
      <c r="G651" s="121"/>
      <c r="H651" s="14"/>
      <c r="I651" s="14"/>
      <c r="J651" s="14"/>
      <c r="K651" s="14"/>
      <c r="L651" s="14"/>
      <c r="M651" s="14"/>
      <c r="N651" s="62"/>
      <c r="O651" s="62"/>
      <c r="P651" s="454"/>
      <c r="Q651" s="62"/>
      <c r="R651" s="42"/>
      <c r="S651" s="42"/>
      <c r="T651" s="42"/>
      <c r="U651" s="42"/>
      <c r="V651" s="58"/>
      <c r="W651" s="58"/>
      <c r="X651" s="58"/>
      <c r="Y651" s="58"/>
    </row>
    <row r="652" spans="1:25" ht="15" x14ac:dyDescent="0.25">
      <c r="A652" s="29"/>
      <c r="B652" s="11">
        <v>2.5</v>
      </c>
      <c r="C652" s="11" t="s">
        <v>3736</v>
      </c>
      <c r="D652" s="11"/>
      <c r="E652" s="11"/>
      <c r="F652" s="11"/>
      <c r="G652" s="11"/>
      <c r="H652" s="36">
        <f>IF($D$549="",0,IF($D$550="",1,IF($D$551="",2,IF($D$552="",3,IF($D$553="",4,5)))))</f>
        <v>0</v>
      </c>
      <c r="I652" s="36">
        <f>IF($D$549="",0,IF($D$550="",1,IF($D$551="",2,IF($D$552="",3,IF($D$553="",4,5)))))</f>
        <v>0</v>
      </c>
      <c r="J652" s="36">
        <f>IF($D$549="",0,IF($D$550="",1,IF($D$551="",2,IF($D$552="",3,IF($D$553="",4,5)))))</f>
        <v>0</v>
      </c>
      <c r="K652" s="36">
        <f>IF($D$549="",0,IF($D$550="",1,IF($D$551="",2,IF($D$552="",3,IF($D$553="",4,5)))))</f>
        <v>0</v>
      </c>
      <c r="L652" s="36">
        <f>IF($D$549="",0,IF($D$550="",1,IF($D$551="",2,IF($D$552="",3,IF($D$553="",4,5)))))</f>
        <v>0</v>
      </c>
      <c r="M652" s="36"/>
      <c r="N652" s="62"/>
      <c r="O652" s="62"/>
      <c r="P652" s="454"/>
      <c r="Q652" s="62"/>
      <c r="R652" s="42"/>
      <c r="S652" s="42"/>
      <c r="T652" s="42"/>
      <c r="U652" s="42"/>
      <c r="V652" s="58"/>
      <c r="W652" s="58"/>
      <c r="X652" s="58"/>
      <c r="Y652" s="58"/>
    </row>
    <row r="653" spans="1:25" ht="15" x14ac:dyDescent="0.25">
      <c r="A653" s="29"/>
      <c r="B653" s="4445" t="s">
        <v>2432</v>
      </c>
      <c r="C653" s="4445"/>
      <c r="D653" s="4445"/>
      <c r="E653" s="4445"/>
      <c r="F653" s="4445"/>
      <c r="G653" s="4445"/>
      <c r="H653" s="122">
        <f>1/(1+(1/H647-1)+(1/H648-1)+(1/H649-1)+(1/H650-1)+H652*(1/0.95-1))</f>
        <v>1</v>
      </c>
      <c r="I653" s="122">
        <f>1/(1+(1/I647-1)+(1/I648-1)+(1/I649-1)+(1/I650-1)+I652*(1/0.95-1))</f>
        <v>1</v>
      </c>
      <c r="J653" s="122">
        <f>1/(1+(1/J647-1)+(1/J648-1)+(1/J649-1)+(1/J650-1)+J652*(1/0.95-1))</f>
        <v>1</v>
      </c>
      <c r="K653" s="122">
        <f>1/(1+(1/K647-1)+(1/K648-1)+(1/K649-1)+(1/K650-1)+K652*(1/0.95-1))</f>
        <v>1</v>
      </c>
      <c r="L653" s="122">
        <f>1/(1+(1/L647-1)+(1/L648-1)+(1/L649-1)+(1/L650-1)+L652*(1/0.95-1))</f>
        <v>1</v>
      </c>
      <c r="M653" s="122"/>
      <c r="N653" s="62"/>
      <c r="O653" s="62"/>
      <c r="P653" s="454"/>
      <c r="Q653" s="62"/>
      <c r="R653" s="42"/>
      <c r="S653" s="42"/>
      <c r="T653" s="42"/>
      <c r="U653" s="42"/>
      <c r="V653" s="58"/>
      <c r="W653" s="58"/>
      <c r="X653" s="58"/>
      <c r="Y653" s="58"/>
    </row>
    <row r="654" spans="1:25" ht="15" x14ac:dyDescent="0.25">
      <c r="A654" s="29"/>
      <c r="B654" s="4445" t="s">
        <v>2433</v>
      </c>
      <c r="C654" s="4445"/>
      <c r="D654" s="4445"/>
      <c r="E654" s="4445"/>
      <c r="F654" s="4445"/>
      <c r="G654" s="4445"/>
      <c r="H654" s="122">
        <f>1/(1+(1/H647-1)+(1/H648-1)+(1/H649-1)+(1/H650-1))</f>
        <v>1</v>
      </c>
      <c r="I654" s="122">
        <f>1/(1+(1/I647-1)+(1/I648-1)+(1/I649-1)+(1/I650-1))</f>
        <v>1</v>
      </c>
      <c r="J654" s="122">
        <f>1/(1+(1/J647-1)+(1/J648-1)+(1/J649-1)+(1/J650-1))</f>
        <v>1</v>
      </c>
      <c r="K654" s="122">
        <f>1/(1+(1/K647-1)+(1/K648-1)+(1/K649-1)+(1/K650-1))</f>
        <v>1</v>
      </c>
      <c r="L654" s="122">
        <f>1/(1+(1/L647-1)+(1/L648-1)+(1/L649-1)+(1/L650-1))</f>
        <v>1</v>
      </c>
      <c r="M654" s="122"/>
      <c r="N654" s="62"/>
      <c r="O654" s="62"/>
      <c r="P654" s="454"/>
      <c r="Q654" s="62"/>
      <c r="R654" s="42"/>
      <c r="S654" s="42"/>
      <c r="T654" s="42"/>
      <c r="U654" s="42"/>
      <c r="V654" s="58"/>
      <c r="W654" s="58"/>
      <c r="X654" s="58"/>
      <c r="Y654" s="58"/>
    </row>
    <row r="655" spans="1:25" ht="16.5" x14ac:dyDescent="0.35">
      <c r="A655" s="29"/>
      <c r="B655" s="4460" t="s">
        <v>5036</v>
      </c>
      <c r="C655" s="4460"/>
      <c r="D655" s="4460"/>
      <c r="E655" s="4460"/>
      <c r="F655" s="4460"/>
      <c r="G655" s="4460"/>
      <c r="H655" s="123">
        <f>IF(H479=0,H653,H654)</f>
        <v>1</v>
      </c>
      <c r="I655" s="123">
        <f>IF(I479=0,I653,I654)</f>
        <v>1</v>
      </c>
      <c r="J655" s="123">
        <f>IF(J479=0,J653,J654)</f>
        <v>1</v>
      </c>
      <c r="K655" s="123">
        <f>IF(K479=0,K653,K654)</f>
        <v>1</v>
      </c>
      <c r="L655" s="123">
        <f>IF(L479=0,L653,L654)</f>
        <v>1</v>
      </c>
      <c r="M655" s="123"/>
      <c r="N655" s="62"/>
      <c r="O655" s="62"/>
      <c r="P655" s="454"/>
      <c r="Q655" s="62"/>
      <c r="R655" s="42"/>
      <c r="S655" s="42"/>
      <c r="T655" s="42"/>
      <c r="U655" s="42"/>
      <c r="V655" s="58"/>
      <c r="W655" s="58"/>
      <c r="X655" s="58"/>
      <c r="Y655" s="58"/>
    </row>
    <row r="656" spans="1:25" ht="15" x14ac:dyDescent="0.25">
      <c r="A656" s="29"/>
      <c r="B656" s="119" t="s">
        <v>5037</v>
      </c>
      <c r="C656" s="120"/>
      <c r="D656" s="120"/>
      <c r="E656" s="120"/>
      <c r="F656" s="120"/>
      <c r="G656" s="120"/>
      <c r="H656" s="670">
        <f>1/H655-1</f>
        <v>0</v>
      </c>
      <c r="I656" s="670">
        <f>1/I655-1</f>
        <v>0</v>
      </c>
      <c r="J656" s="670">
        <f>1/J655-1</f>
        <v>0</v>
      </c>
      <c r="K656" s="670">
        <f>1/K655-1</f>
        <v>0</v>
      </c>
      <c r="L656" s="670">
        <f>1/L655-1</f>
        <v>0</v>
      </c>
      <c r="M656" s="123"/>
      <c r="N656" s="62"/>
      <c r="O656" s="62"/>
      <c r="P656" s="454"/>
      <c r="Q656" s="62"/>
      <c r="R656" s="42"/>
      <c r="S656" s="42"/>
      <c r="T656" s="42"/>
      <c r="U656" s="42"/>
      <c r="V656" s="58"/>
      <c r="W656" s="58"/>
      <c r="X656" s="58"/>
      <c r="Y656" s="58"/>
    </row>
    <row r="657" spans="1:25" ht="21" x14ac:dyDescent="0.35">
      <c r="A657" s="11"/>
      <c r="B657" s="25"/>
      <c r="C657" s="25" t="s">
        <v>5038</v>
      </c>
      <c r="D657" s="11"/>
      <c r="E657" s="11"/>
      <c r="F657" s="11"/>
      <c r="G657" s="11"/>
      <c r="H657" s="124"/>
      <c r="I657" s="199"/>
      <c r="J657" s="124"/>
      <c r="K657" s="124"/>
      <c r="L657" s="124"/>
      <c r="M657" s="124"/>
      <c r="N657" s="62"/>
      <c r="O657" s="62"/>
      <c r="P657" s="454"/>
      <c r="Q657" s="62"/>
      <c r="R657" s="42"/>
      <c r="S657" s="42"/>
      <c r="T657" s="42"/>
      <c r="U657" s="42"/>
      <c r="V657" s="58"/>
      <c r="W657" s="58"/>
      <c r="X657" s="58"/>
      <c r="Y657" s="58"/>
    </row>
    <row r="658" spans="1:25" ht="15" x14ac:dyDescent="0.25">
      <c r="A658" s="11"/>
      <c r="B658" s="22" t="s">
        <v>3738</v>
      </c>
      <c r="C658" s="22"/>
      <c r="D658" s="22"/>
      <c r="E658" s="22"/>
      <c r="F658" s="22"/>
      <c r="G658" s="22"/>
      <c r="H658" s="124">
        <f>H795</f>
        <v>1</v>
      </c>
      <c r="I658" s="124">
        <f>I795</f>
        <v>1</v>
      </c>
      <c r="J658" s="124">
        <f>J795</f>
        <v>1</v>
      </c>
      <c r="K658" s="124">
        <f>K795</f>
        <v>1</v>
      </c>
      <c r="L658" s="124">
        <f>L795</f>
        <v>1</v>
      </c>
      <c r="M658" s="124"/>
      <c r="N658" s="62"/>
      <c r="O658" s="62"/>
      <c r="P658" s="454"/>
      <c r="Q658" s="62"/>
      <c r="R658" s="42"/>
      <c r="S658" s="42"/>
      <c r="T658" s="42"/>
      <c r="U658" s="42"/>
      <c r="V658" s="58"/>
      <c r="W658" s="58"/>
      <c r="X658" s="58"/>
      <c r="Y658" s="58"/>
    </row>
    <row r="659" spans="1:25" ht="15" x14ac:dyDescent="0.25">
      <c r="A659" s="11"/>
      <c r="B659" s="22" t="s">
        <v>861</v>
      </c>
      <c r="C659" s="22"/>
      <c r="D659" s="22"/>
      <c r="E659" s="22"/>
      <c r="F659" s="22"/>
      <c r="G659" s="22"/>
      <c r="H659" s="124">
        <v>0.98</v>
      </c>
      <c r="I659" s="124">
        <v>0.98</v>
      </c>
      <c r="J659" s="124">
        <v>0.98</v>
      </c>
      <c r="K659" s="124">
        <v>0.98</v>
      </c>
      <c r="L659" s="124">
        <v>0.98</v>
      </c>
      <c r="M659" s="124"/>
      <c r="N659" s="62"/>
      <c r="O659" s="62"/>
      <c r="P659" s="454"/>
      <c r="Q659" s="62"/>
      <c r="R659" s="42"/>
      <c r="S659" s="42"/>
      <c r="T659" s="42"/>
      <c r="U659" s="42"/>
      <c r="V659" s="58"/>
      <c r="W659" s="58"/>
      <c r="X659" s="58"/>
      <c r="Y659" s="58"/>
    </row>
    <row r="660" spans="1:25" ht="15" x14ac:dyDescent="0.25">
      <c r="A660" s="11"/>
      <c r="B660" s="664" t="s">
        <v>4367</v>
      </c>
      <c r="C660" s="22"/>
      <c r="D660" s="22"/>
      <c r="E660" s="22"/>
      <c r="F660" s="22"/>
      <c r="G660" s="22"/>
      <c r="H660" s="124"/>
      <c r="I660" s="124"/>
      <c r="J660" s="124"/>
      <c r="K660" s="124"/>
      <c r="L660" s="124"/>
      <c r="M660" s="124"/>
      <c r="N660" s="62"/>
      <c r="O660" s="62"/>
      <c r="P660" s="454"/>
      <c r="Q660" s="62"/>
      <c r="R660" s="42"/>
      <c r="S660" s="42"/>
      <c r="T660" s="42"/>
      <c r="U660" s="42"/>
      <c r="V660" s="58"/>
      <c r="W660" s="58"/>
      <c r="X660" s="58"/>
      <c r="Y660" s="58"/>
    </row>
    <row r="661" spans="1:25" ht="16.5" x14ac:dyDescent="0.3">
      <c r="A661" s="664"/>
      <c r="B661" s="22" t="s">
        <v>5039</v>
      </c>
      <c r="C661" s="22"/>
      <c r="D661" s="22"/>
      <c r="E661" s="22"/>
      <c r="F661" s="22"/>
      <c r="G661" s="22"/>
      <c r="H661" s="671">
        <v>0.25</v>
      </c>
      <c r="I661" s="671">
        <v>0.25</v>
      </c>
      <c r="J661" s="671">
        <v>0.25</v>
      </c>
      <c r="K661" s="671">
        <v>0.25</v>
      </c>
      <c r="L661" s="671">
        <v>0.25</v>
      </c>
      <c r="M661" s="124"/>
      <c r="N661" s="62"/>
      <c r="O661" s="62"/>
      <c r="P661" s="454"/>
      <c r="Q661" s="62"/>
      <c r="R661" s="42"/>
      <c r="S661" s="42"/>
      <c r="T661" s="42"/>
      <c r="U661" s="42"/>
      <c r="V661" s="58"/>
      <c r="W661" s="58"/>
      <c r="X661" s="58"/>
      <c r="Y661" s="58"/>
    </row>
    <row r="662" spans="1:25" ht="15" x14ac:dyDescent="0.25">
      <c r="A662" s="664"/>
      <c r="B662" s="199"/>
      <c r="C662" s="199"/>
      <c r="D662" s="199"/>
      <c r="E662" s="199"/>
      <c r="F662" s="199"/>
      <c r="G662" s="199"/>
      <c r="H662" s="199"/>
      <c r="I662" s="199"/>
      <c r="J662" s="199"/>
      <c r="K662" s="199"/>
      <c r="L662" s="199"/>
      <c r="M662" s="124"/>
      <c r="N662" s="62"/>
      <c r="O662" s="62"/>
      <c r="P662" s="454"/>
      <c r="Q662" s="62"/>
      <c r="R662" s="42"/>
      <c r="S662" s="42"/>
      <c r="T662" s="42"/>
      <c r="U662" s="42"/>
      <c r="V662" s="58"/>
      <c r="W662" s="58"/>
      <c r="X662" s="58"/>
      <c r="Y662" s="58"/>
    </row>
    <row r="663" spans="1:25" ht="16.5" x14ac:dyDescent="0.3">
      <c r="A663" s="664"/>
      <c r="B663" s="22" t="s">
        <v>5040</v>
      </c>
      <c r="C663" s="22"/>
      <c r="D663" s="22"/>
      <c r="E663" s="22"/>
      <c r="F663" s="22"/>
      <c r="G663" s="22"/>
      <c r="H663" s="361">
        <f>IF(OR(H505=3,H509=2),0.5,0.3)</f>
        <v>0.3</v>
      </c>
      <c r="I663" s="361">
        <f>IF(OR(I505=3,I509=2),0.5,0.3)</f>
        <v>0.3</v>
      </c>
      <c r="J663" s="361">
        <f>IF(OR(J505=3,J509=2),0.5,0.3)</f>
        <v>0.3</v>
      </c>
      <c r="K663" s="361">
        <f>IF(OR(K505=3,K509=2),0.5,0.3)</f>
        <v>0.3</v>
      </c>
      <c r="L663" s="361">
        <f>IF(OR(L505=3,L509=2),0.5,0.3)</f>
        <v>0.3</v>
      </c>
      <c r="M663" s="124"/>
      <c r="N663" s="62"/>
      <c r="O663" s="62"/>
      <c r="P663" s="454"/>
      <c r="Q663" s="62"/>
      <c r="R663" s="42"/>
      <c r="S663" s="42"/>
      <c r="T663" s="42"/>
      <c r="U663" s="42"/>
      <c r="V663" s="58"/>
      <c r="W663" s="58"/>
      <c r="X663" s="58"/>
      <c r="Y663" s="58"/>
    </row>
    <row r="664" spans="1:25" ht="15" x14ac:dyDescent="0.25">
      <c r="A664" s="664"/>
      <c r="B664" s="22" t="s">
        <v>2758</v>
      </c>
      <c r="C664" s="22"/>
      <c r="D664" s="22"/>
      <c r="E664" s="22"/>
      <c r="F664" s="22"/>
      <c r="G664" s="22"/>
      <c r="H664" s="672">
        <f>INDEX($H$1006:$L$1006,H460)/12</f>
        <v>2</v>
      </c>
      <c r="I664" s="672">
        <f>INDEX($H$1006:$L$1006,I460)/12</f>
        <v>2.3333333333333335</v>
      </c>
      <c r="J664" s="672">
        <f>INDEX($H$1006:$L$1006,J460)/12</f>
        <v>2</v>
      </c>
      <c r="K664" s="672">
        <f>INDEX($H$1006:$L$1006,K460)/12</f>
        <v>2.3333333333333335</v>
      </c>
      <c r="L664" s="672">
        <f>INDEX($H$1006:$L$1006,L460)/12</f>
        <v>2.3333333333333335</v>
      </c>
      <c r="M664" s="124"/>
      <c r="N664" s="62"/>
      <c r="O664" s="62"/>
      <c r="P664" s="454"/>
      <c r="Q664" s="62"/>
      <c r="R664" s="42"/>
      <c r="S664" s="42"/>
      <c r="T664" s="42"/>
      <c r="U664" s="42"/>
      <c r="V664" s="58"/>
      <c r="W664" s="58"/>
      <c r="X664" s="58"/>
      <c r="Y664" s="58"/>
    </row>
    <row r="665" spans="1:25" ht="15" x14ac:dyDescent="0.25">
      <c r="A665" s="29">
        <v>1</v>
      </c>
      <c r="B665" s="199" t="s">
        <v>5099</v>
      </c>
      <c r="C665" s="199"/>
      <c r="D665" s="199"/>
      <c r="E665" s="22"/>
      <c r="F665" s="22"/>
      <c r="G665" s="22"/>
      <c r="H665" s="124">
        <f>IF(H461-H661*H664&gt;0,-H663*(H461-H661*H664)*H109/200,0)</f>
        <v>0</v>
      </c>
      <c r="I665" s="124">
        <f>IF(I461-I661*I664&gt;0,-I663*(I461-I661*I664)*I109/200,0)</f>
        <v>0</v>
      </c>
      <c r="J665" s="124">
        <f>IF(J461-J661*J664&gt;0,-J663*(J461-J661*J664)*J109/200,0)</f>
        <v>0</v>
      </c>
      <c r="K665" s="124">
        <f>IF(K461-K661*K664&gt;0,-K663*(K461-K661*K664)*K109/200,0)</f>
        <v>0</v>
      </c>
      <c r="L665" s="124">
        <f>IF(L461-L661*L664&gt;0,-L663*(L461-L661*L664)*L109/200,0)</f>
        <v>0</v>
      </c>
      <c r="M665" s="124"/>
      <c r="N665" s="62"/>
      <c r="O665" s="124"/>
      <c r="P665" s="454"/>
      <c r="Q665" s="62"/>
      <c r="R665" s="42"/>
      <c r="S665" s="42"/>
      <c r="T665" s="42"/>
      <c r="U665" s="42"/>
      <c r="V665" s="58"/>
      <c r="W665" s="58"/>
      <c r="X665" s="58"/>
      <c r="Y665" s="58"/>
    </row>
    <row r="666" spans="1:25" ht="15" x14ac:dyDescent="0.25">
      <c r="A666" s="29">
        <v>2</v>
      </c>
      <c r="B666" s="22" t="s">
        <v>5100</v>
      </c>
      <c r="C666" s="11"/>
      <c r="D666" s="11"/>
      <c r="E666" s="22"/>
      <c r="F666" s="22"/>
      <c r="G666" s="22"/>
      <c r="H666" s="124">
        <f>IF(H463&gt;0,0,IF(AND(H463=0,H500&lt;7,H460=1),0,IF(AND(H463=0,H500&lt;7,H460=3),0,IF(AND(H463=0,H500&lt;7,H460=4),0,IF(AND(H463=0,H500&gt;6,H460=1),H495*(H500-6)/6,IF(AND(H463=0,H500&gt;6,H460=3),H495*(H500-6)/6,IF(AND(H463=0,H500&gt;6,H460=4),H495*(H500-6)/6,H667)))))))</f>
        <v>0</v>
      </c>
      <c r="I666" s="124">
        <f>IF(I463&gt;0,0,IF(AND(I463=0,I500&lt;7,I460=1),0,IF(AND(I463=0,I500&lt;7,I460=3),0,IF(AND(I463=0,I500&lt;7,I460=4),0,IF(AND(I463=0,I500&gt;6,I460=1),I495*(I500-6)/6,IF(AND(I463=0,I500&gt;6,I460=3),I495*(I500-6)/6,IF(AND(I463=0,I500&gt;6,I460=4),I495*(I500-6)/6,I667)))))))</f>
        <v>0</v>
      </c>
      <c r="J666" s="124">
        <f>IF(J463&gt;0,0,IF(AND(J463=0,J500&lt;7,J460=1),0,IF(AND(J463=0,J500&lt;7,J460=3),0,IF(AND(J463=0,J500&lt;7,J460=4),0,IF(AND(J463=0,J500&gt;6,J460=1),J495*(J500-6)/6,IF(AND(J463=0,J500&gt;6,J460=3),J495*(J500-6)/6,IF(AND(J463=0,J500&gt;6,J460=4),J495*(J500-6)/6,J667)))))))</f>
        <v>0</v>
      </c>
      <c r="K666" s="124">
        <f>IF(K463&gt;0,0,IF(AND(K463=0,K500&lt;7,K460=1),0,IF(AND(K463=0,K500&lt;7,K460=3),0,IF(AND(K463=0,K500&lt;7,K460=4),0,IF(AND(K463=0,K500&gt;6,K460=1),K495*(K500-6)/6,IF(AND(K463=0,K500&gt;6,K460=3),K495*(K500-6)/6,IF(AND(K463=0,K500&gt;6,K460=4),K495*(K500-6)/6,K667)))))))</f>
        <v>0</v>
      </c>
      <c r="L666" s="124">
        <f>IF(L463&gt;0,0,IF(AND(L463=0,L500&lt;7,L460=1),0,IF(AND(L463=0,L500&lt;7,L460=3),0,IF(AND(L463=0,L500&lt;7,L460=4),0,IF(AND(L463=0,L500&gt;6,L460=1),L495*(L500-6)/6,IF(AND(L463=0,L500&gt;6,L460=3),L495*(L500-6)/6,IF(AND(L463=0,L500&gt;6,L460=4),L495*(L500-6)/6,L667)))))))</f>
        <v>0</v>
      </c>
      <c r="M666" s="124"/>
      <c r="N666" s="62"/>
      <c r="O666" s="62"/>
      <c r="P666" s="454"/>
      <c r="Q666" s="62"/>
      <c r="R666" s="42"/>
      <c r="S666" s="42"/>
      <c r="T666" s="42"/>
      <c r="U666" s="42"/>
      <c r="V666" s="58"/>
      <c r="W666" s="58"/>
      <c r="X666" s="58"/>
      <c r="Y666" s="58"/>
    </row>
    <row r="667" spans="1:25" ht="15" x14ac:dyDescent="0.25">
      <c r="A667" s="29"/>
      <c r="B667" s="22"/>
      <c r="C667" s="673" t="s">
        <v>1329</v>
      </c>
      <c r="D667" s="11"/>
      <c r="E667" s="22"/>
      <c r="F667" s="22"/>
      <c r="G667" s="22"/>
      <c r="H667" s="674" t="b">
        <f>IF(AND(H500&lt;21,H460=2),0,IF(AND(H500&lt;21,H460=5),0,IF(AND(H500&gt;20,H460=2),H495*(H500-20)/8.4,IF(AND(H500&gt;20,H460=5),H495*(H500-20)/8.4))))</f>
        <v>0</v>
      </c>
      <c r="I667" s="674" t="b">
        <f>IF(AND(I500&lt;21,I460=2),0,IF(AND(I500&lt;21,I460=5),0,IF(AND(I500&gt;20,I460=2),I495*(I500-20)/8.4,IF(AND(I500&gt;20,I460=5),I495*(I500-20)/8.4))))</f>
        <v>0</v>
      </c>
      <c r="J667" s="674" t="b">
        <f>IF(AND(J500&lt;21,J460=2),0,IF(AND(J500&lt;21,J460=5),0,IF(AND(J500&gt;20,J460=2),J495*(J500-20)/8.4,IF(AND(J500&gt;20,J460=5),J495*(J500-20)/8.4))))</f>
        <v>0</v>
      </c>
      <c r="K667" s="674" t="b">
        <f>IF(AND(K500&lt;21,K460=2),0,IF(AND(K500&lt;21,K460=5),0,IF(AND(K500&gt;20,K460=2),K495*(K500-20)/8.4,IF(AND(K500&gt;20,K460=5),K495*(K500-20)/8.4))))</f>
        <v>0</v>
      </c>
      <c r="L667" s="674" t="b">
        <f>IF(AND(L500&lt;21,L460=2),0,IF(AND(L500&lt;21,L460=5),0,IF(AND(L500&gt;20,L460=2),L495*(L500-20)/8.4,IF(AND(L500&gt;20,L460=5),L495*(L500-20)/8.4))))</f>
        <v>0</v>
      </c>
      <c r="M667" s="124"/>
      <c r="N667" s="62"/>
      <c r="O667" s="62"/>
      <c r="P667" s="454"/>
      <c r="Q667" s="62"/>
      <c r="R667" s="42"/>
      <c r="S667" s="42"/>
      <c r="T667" s="42"/>
      <c r="U667" s="42"/>
      <c r="V667" s="58"/>
      <c r="W667" s="58"/>
      <c r="X667" s="58"/>
      <c r="Y667" s="58"/>
    </row>
    <row r="668" spans="1:25" ht="15" x14ac:dyDescent="0.25">
      <c r="A668" s="29">
        <v>3</v>
      </c>
      <c r="B668" s="22" t="s">
        <v>5101</v>
      </c>
      <c r="C668" s="11"/>
      <c r="D668" s="11"/>
      <c r="E668" s="22"/>
      <c r="F668" s="22"/>
      <c r="G668" s="22"/>
      <c r="H668" s="124">
        <f>-0.02*(H109-150)</f>
        <v>3</v>
      </c>
      <c r="I668" s="124">
        <f>-0.02*(I109-150)</f>
        <v>3</v>
      </c>
      <c r="J668" s="124">
        <f>-0.02*(J109-150)</f>
        <v>3</v>
      </c>
      <c r="K668" s="124">
        <f>-0.02*(K109-150)</f>
        <v>3</v>
      </c>
      <c r="L668" s="124">
        <f>-0.02*(L109-150)</f>
        <v>3</v>
      </c>
      <c r="M668" s="124"/>
      <c r="N668" s="62"/>
      <c r="O668" s="62"/>
      <c r="P668" s="454"/>
      <c r="Q668" s="62"/>
      <c r="R668" s="42"/>
      <c r="S668" s="42"/>
      <c r="T668" s="42"/>
      <c r="U668" s="42"/>
      <c r="V668" s="58"/>
      <c r="W668" s="58"/>
      <c r="X668" s="58"/>
      <c r="Y668" s="58"/>
    </row>
    <row r="669" spans="1:25" ht="15" x14ac:dyDescent="0.25">
      <c r="A669" s="29">
        <v>4</v>
      </c>
      <c r="B669" s="22" t="s">
        <v>2501</v>
      </c>
      <c r="C669" s="11"/>
      <c r="D669" s="11"/>
      <c r="E669" s="22"/>
      <c r="F669" s="22"/>
      <c r="G669" s="22"/>
      <c r="H669" s="124" t="b">
        <f>IF(H509=1,0,IF(AND(H509=2,H109&lt;301),-0.032*(H109-50),IF(AND(H509=2,H495&lt;1.81),-0.012*H109/H495,IF(AND(H509=2,H495&gt;1.8),-0.066*H109))))</f>
        <v>0</v>
      </c>
      <c r="I669" s="124" t="b">
        <f>IF(I509=1,0,IF(AND(I509=2,I109&lt;301),-0.032*(I109-50),IF(AND(I509=2,I495&lt;1.81),-0.012*I109/I495,IF(AND(I509=2,I495&gt;1.8),-0.066*I109))))</f>
        <v>0</v>
      </c>
      <c r="J669" s="124" t="b">
        <f>IF(J509=1,0,IF(AND(J509=2,J109&lt;301),-0.032*(J109-50),IF(AND(J509=2,J495&lt;1.81),-0.012*J109/J495,IF(AND(J509=2,J495&gt;1.8),-0.066*J109))))</f>
        <v>0</v>
      </c>
      <c r="K669" s="124" t="b">
        <f>IF(K509=1,0,IF(AND(K509=2,K109&lt;301),-0.032*(K109-50),IF(AND(K509=2,K495&lt;1.81),-0.012*K109/K495,IF(AND(K509=2,K495&gt;1.8),-0.066*K109))))</f>
        <v>0</v>
      </c>
      <c r="L669" s="124" t="b">
        <f>IF(L509=1,0,IF(AND(L509=2,L109&lt;301),-0.032*(L109-50),IF(AND(L509=2,L495&lt;1.81),-0.012*L109/L495,IF(AND(L509=2,L495&gt;1.8),-0.066*L109))))</f>
        <v>0</v>
      </c>
      <c r="M669" s="124"/>
      <c r="N669" s="62"/>
      <c r="O669" s="62"/>
      <c r="P669" s="454"/>
      <c r="Q669" s="62"/>
      <c r="R669" s="42"/>
      <c r="S669" s="42"/>
      <c r="T669" s="42"/>
      <c r="U669" s="42"/>
      <c r="V669" s="58"/>
      <c r="W669" s="58"/>
      <c r="X669" s="58"/>
      <c r="Y669" s="58"/>
    </row>
    <row r="670" spans="1:25" ht="15" x14ac:dyDescent="0.25">
      <c r="A670" s="29">
        <v>5</v>
      </c>
      <c r="B670" s="22" t="s">
        <v>5102</v>
      </c>
      <c r="C670" s="11"/>
      <c r="D670" s="11"/>
      <c r="E670" s="22"/>
      <c r="F670" s="22"/>
      <c r="G670" s="22"/>
      <c r="H670" s="124" t="b">
        <f>IF(OR(H460=3,H460=4),0,IF(AND(H460=1,H454=1),0,IF(AND(H460=2,H454=1),0,IF(AND(H460=5,H454=1),0,IF(AND(H460=1,H454=2),-0.005*H109,IF(AND(H460=2,H454=2),-0.005*H109,IF(AND(H460=5,H454=2),-0.005*H109,H671)))))))</f>
        <v>0</v>
      </c>
      <c r="I670" s="124" t="b">
        <f>IF(OR(I460=3,I460=4),0,IF(AND(I460=1,I454=1),0,IF(AND(I460=2,I454=1),0,IF(AND(I460=5,I454=1),0,IF(AND(I460=1,I454=2),-0.005*I109,IF(AND(I460=2,I454=2),-0.005*I109,IF(AND(I460=5,I454=2),-0.005*I109,I671)))))))</f>
        <v>0</v>
      </c>
      <c r="J670" s="124" t="b">
        <f>IF(OR(J460=3,J460=4),0,IF(AND(J460=1,J454=1),0,IF(AND(J460=2,J454=1),0,IF(AND(J460=5,J454=1),0,IF(AND(J460=1,J454=2),-0.005*J109,IF(AND(J460=2,J454=2),-0.005*J109,IF(AND(J460=5,J454=2),-0.005*J109,J671)))))))</f>
        <v>0</v>
      </c>
      <c r="K670" s="124" t="b">
        <f>IF(OR(K460=3,K460=4),0,IF(AND(K460=1,K454=1),0,IF(AND(K460=2,K454=1),0,IF(AND(K460=5,K454=1),0,IF(AND(K460=1,K454=2),-0.005*K109,IF(AND(K460=2,K454=2),-0.005*K109,IF(AND(K460=5,K454=2),-0.005*K109,K671)))))))</f>
        <v>0</v>
      </c>
      <c r="L670" s="124" t="b">
        <f>IF(OR(L460=3,L460=4),0,IF(AND(L460=1,L454=1),0,IF(AND(L460=2,L454=1),0,IF(AND(L460=5,L454=1),0,IF(AND(L460=1,L454=2),-0.005*L109,IF(AND(L460=2,L454=2),-0.005*L109,IF(AND(L460=5,L454=2),-0.005*L109,L671)))))))</f>
        <v>0</v>
      </c>
      <c r="M670" s="124"/>
      <c r="N670" s="62"/>
      <c r="O670" s="62"/>
      <c r="P670" s="454"/>
      <c r="Q670" s="62"/>
      <c r="R670" s="42"/>
      <c r="S670" s="42"/>
      <c r="T670" s="42"/>
      <c r="U670" s="42"/>
      <c r="V670" s="58"/>
      <c r="W670" s="58"/>
      <c r="X670" s="58"/>
      <c r="Y670" s="58"/>
    </row>
    <row r="671" spans="1:25" ht="15" x14ac:dyDescent="0.25">
      <c r="A671" s="11"/>
      <c r="B671" s="22"/>
      <c r="C671" s="673" t="s">
        <v>1329</v>
      </c>
      <c r="D671" s="22"/>
      <c r="E671" s="22"/>
      <c r="F671" s="22"/>
      <c r="G671" s="22"/>
      <c r="H671" s="674" t="b">
        <f>IF(AND(H460=1,H454=3),-0.01*H109,IF(AND(H460=2,H454=3),-0.01*H109,IF(AND(H460=5,H454=3),-0.01*H109)))</f>
        <v>0</v>
      </c>
      <c r="I671" s="674" t="b">
        <f>IF(AND(I460=1,I454=3),-0.01*I109,IF(AND(I460=2,I454=3),-0.01*I109,IF(AND(I460=5,I454=3),-0.01*I109)))</f>
        <v>0</v>
      </c>
      <c r="J671" s="674" t="b">
        <f>IF(AND(J460=1,J454=3),-0.01*J109,IF(AND(J460=2,J454=3),-0.01*J109,IF(AND(J460=5,J454=3),-0.01*J109)))</f>
        <v>0</v>
      </c>
      <c r="K671" s="674" t="b">
        <f>IF(AND(K460=1,K454=3),-0.01*K109,IF(AND(K460=2,K454=3),-0.01*K109,IF(AND(K460=5,K454=3),-0.01*K109)))</f>
        <v>0</v>
      </c>
      <c r="L671" s="674" t="b">
        <f>IF(AND(L460=1,L454=3),-0.01*L109,IF(AND(L460=2,L454=3),-0.01*L109,IF(AND(L460=5,L454=3),-0.01*L109)))</f>
        <v>0</v>
      </c>
      <c r="M671" s="124"/>
      <c r="N671" s="62"/>
      <c r="O671" s="62"/>
      <c r="P671" s="454"/>
      <c r="Q671" s="62"/>
      <c r="R671" s="42"/>
      <c r="S671" s="42"/>
      <c r="T671" s="42"/>
      <c r="U671" s="42"/>
      <c r="V671" s="58"/>
      <c r="W671" s="58"/>
      <c r="X671" s="58"/>
      <c r="Y671" s="58"/>
    </row>
    <row r="672" spans="1:25" ht="48" customHeight="1" x14ac:dyDescent="0.25">
      <c r="A672" s="11"/>
      <c r="B672" s="4459" t="s">
        <v>5041</v>
      </c>
      <c r="C672" s="4459"/>
      <c r="D672" s="4459"/>
      <c r="E672" s="4459"/>
      <c r="F672" s="4459"/>
      <c r="G672" s="4459"/>
      <c r="H672" s="125">
        <f>H659*(1+0.01*INDEX($H$1007:$L$1007,H460))*(1+0.01*(H665+H666+H668+H669+H670))</f>
        <v>0.99930600000000003</v>
      </c>
      <c r="I672" s="125">
        <f>I659*(1+0.01*INDEX($H$1007:$L$1007,I460))*(1+0.01*(I665+I666+I668+I669+I670))</f>
        <v>0.99930600000000003</v>
      </c>
      <c r="J672" s="125">
        <f>J659*(1+0.01*INDEX($H$1007:$L$1007,J460))*(1+0.01*(J665+J666+J668+J669+J670))</f>
        <v>0.98921199999999998</v>
      </c>
      <c r="K672" s="125">
        <f>K659*(1+0.01*INDEX($H$1007:$L$1007,K460))*(1+0.01*(K665+K666+K668+K669+K670))</f>
        <v>0.98921199999999998</v>
      </c>
      <c r="L672" s="125">
        <f>L659*(1+0.01*INDEX($H$1007:$L$1007,L460))*(1+0.01*(L665+L666+L668+L669+L670))</f>
        <v>0.99930600000000003</v>
      </c>
      <c r="M672" s="124"/>
      <c r="N672" s="62"/>
      <c r="O672" s="62"/>
      <c r="P672" s="454"/>
      <c r="Q672" s="62"/>
      <c r="R672" s="42"/>
      <c r="S672" s="42"/>
      <c r="T672" s="42"/>
      <c r="U672" s="42"/>
      <c r="V672" s="58"/>
      <c r="W672" s="58"/>
      <c r="X672" s="58"/>
      <c r="Y672" s="58"/>
    </row>
    <row r="673" spans="1:25" ht="21" x14ac:dyDescent="0.35">
      <c r="A673" s="11"/>
      <c r="B673" s="38" t="s">
        <v>5001</v>
      </c>
      <c r="C673" s="120"/>
      <c r="D673" s="120"/>
      <c r="E673" s="120"/>
      <c r="F673" s="120"/>
      <c r="G673" s="120"/>
      <c r="H673" s="125">
        <f>IF(H493=1,H658,H672)</f>
        <v>0.99930600000000003</v>
      </c>
      <c r="I673" s="125">
        <f>IF(I493=1,I658,I672)</f>
        <v>0.99930600000000003</v>
      </c>
      <c r="J673" s="125">
        <f>IF(J493=1,J658,J672)</f>
        <v>0.98921199999999998</v>
      </c>
      <c r="K673" s="125">
        <f>IF(K493=1,K658,K672)</f>
        <v>0.98921199999999998</v>
      </c>
      <c r="L673" s="125">
        <f>IF(L493=1,L658,L672)</f>
        <v>0.99930600000000003</v>
      </c>
      <c r="M673" s="124"/>
      <c r="N673" s="62"/>
      <c r="O673" s="62"/>
      <c r="P673" s="454"/>
      <c r="Q673" s="62"/>
      <c r="R673" s="42"/>
      <c r="S673" s="42"/>
      <c r="T673" s="42"/>
      <c r="U673" s="42"/>
      <c r="V673" s="58"/>
      <c r="W673" s="58"/>
      <c r="X673" s="58"/>
      <c r="Y673" s="58"/>
    </row>
    <row r="674" spans="1:25" ht="15" x14ac:dyDescent="0.25">
      <c r="A674" s="11"/>
      <c r="B674" s="38" t="s">
        <v>4014</v>
      </c>
      <c r="C674" s="120"/>
      <c r="D674" s="120"/>
      <c r="E674" s="120"/>
      <c r="F674" s="120"/>
      <c r="G674" s="120"/>
      <c r="H674" s="435">
        <f>1/H673-1</f>
        <v>6.9448197048749272E-4</v>
      </c>
      <c r="I674" s="435">
        <f>1/I673-1</f>
        <v>6.9448197048749272E-4</v>
      </c>
      <c r="J674" s="435">
        <f>1/J673-1</f>
        <v>1.0905650153859803E-2</v>
      </c>
      <c r="K674" s="435">
        <f>1/K673-1</f>
        <v>1.0905650153859803E-2</v>
      </c>
      <c r="L674" s="435">
        <f>1/L673-1</f>
        <v>6.9448197048749272E-4</v>
      </c>
      <c r="M674" s="124"/>
      <c r="N674" s="62"/>
      <c r="O674" s="62"/>
      <c r="P674" s="454"/>
      <c r="Q674" s="62"/>
      <c r="R674" s="42"/>
      <c r="S674" s="42"/>
      <c r="T674" s="42"/>
      <c r="U674" s="42"/>
      <c r="V674" s="58"/>
      <c r="W674" s="58"/>
      <c r="X674" s="58"/>
      <c r="Y674" s="58"/>
    </row>
    <row r="675" spans="1:25" ht="15" x14ac:dyDescent="0.25">
      <c r="A675" s="11"/>
      <c r="B675" s="61" t="s">
        <v>3442</v>
      </c>
      <c r="C675" s="120"/>
      <c r="D675" s="120"/>
      <c r="E675" s="120"/>
      <c r="F675" s="120"/>
      <c r="G675" s="120"/>
      <c r="H675" s="125"/>
      <c r="I675" s="125"/>
      <c r="J675" s="125"/>
      <c r="K675" s="125"/>
      <c r="L675" s="125"/>
      <c r="M675" s="124"/>
      <c r="N675" s="62"/>
      <c r="O675" s="62"/>
      <c r="P675" s="454"/>
      <c r="Q675" s="62"/>
      <c r="R675" s="42"/>
      <c r="S675" s="42"/>
      <c r="T675" s="42"/>
      <c r="U675" s="42"/>
      <c r="V675" s="58"/>
      <c r="W675" s="58"/>
      <c r="X675" s="58"/>
      <c r="Y675" s="58"/>
    </row>
    <row r="676" spans="1:25" ht="15" x14ac:dyDescent="0.25">
      <c r="A676" s="11"/>
      <c r="B676" s="61" t="s">
        <v>4015</v>
      </c>
      <c r="C676" s="120"/>
      <c r="D676" s="120"/>
      <c r="E676" s="120"/>
      <c r="F676" s="120"/>
      <c r="G676" s="120"/>
      <c r="H676" s="675" t="e">
        <f>IF(H455=1,0.294*H811-0.0425,IF(H455=2,(0.294*H811-0.0425)/2,IF(H455=3,(0.294*H811-0.0425)/4,IF(H455=4,(0.294*H811-0.0425)/8))))</f>
        <v>#VALUE!</v>
      </c>
      <c r="I676" s="675" t="e">
        <f>IF(I455=1,0.294*I811-0.0425,IF(I455=2,(0.294*I811-0.0425)/2,IF(I455=3,(0.294*I811-0.0425)/4,IF(I455=4,(0.294*I811-0.0425)/8))))</f>
        <v>#VALUE!</v>
      </c>
      <c r="J676" s="675" t="e">
        <f>IF(J455=1,0.294*J811-0.0425,IF(J455=2,(0.294*J811-0.0425)/2,IF(J455=3,(0.294*J811-0.0425)/4,IF(J455=4,(0.294*J811-0.0425)/8))))</f>
        <v>#VALUE!</v>
      </c>
      <c r="K676" s="675" t="e">
        <f>IF(K455=1,0.294*K811-0.0425,IF(K455=2,(0.294*K811-0.0425)/2,IF(K455=3,(0.294*K811-0.0425)/4,IF(K455=4,(0.294*K811-0.0425)/8))))</f>
        <v>#VALUE!</v>
      </c>
      <c r="L676" s="675" t="e">
        <f>IF(L455=1,0.294*L811-0.0425,IF(L455=2,(0.294*L811-0.0425)/2,IF(L455=3,(0.294*L811-0.0425)/4,IF(L455=4,(0.294*L811-0.0425)/8))))</f>
        <v>#VALUE!</v>
      </c>
      <c r="M676" s="124"/>
      <c r="N676" s="62"/>
      <c r="O676" s="62"/>
      <c r="P676" s="454"/>
      <c r="Q676" s="62"/>
      <c r="R676" s="42"/>
      <c r="S676" s="42"/>
      <c r="T676" s="42"/>
      <c r="U676" s="42"/>
      <c r="V676" s="58"/>
      <c r="W676" s="58"/>
      <c r="X676" s="58"/>
      <c r="Y676" s="58"/>
    </row>
    <row r="677" spans="1:25" ht="15" x14ac:dyDescent="0.25">
      <c r="A677" s="11"/>
      <c r="B677" s="38" t="s">
        <v>4016</v>
      </c>
      <c r="C677" s="120"/>
      <c r="D677" s="120"/>
      <c r="E677" s="120"/>
      <c r="F677" s="120"/>
      <c r="G677" s="120"/>
      <c r="H677" s="435" t="e">
        <f ca="1">H211*(1-INDEX($A$584:$A$586,$D$598)/H495)*H676</f>
        <v>#VALUE!</v>
      </c>
      <c r="I677" s="435" t="e">
        <f ca="1">I211*(1-INDEX($A$584:$A$586,$D$598)/I495)*I676</f>
        <v>#VALUE!</v>
      </c>
      <c r="J677" s="435" t="e">
        <f ca="1">J211*(1-INDEX($A$584:$A$586,$D$598)/J495)*J676</f>
        <v>#VALUE!</v>
      </c>
      <c r="K677" s="435" t="e">
        <f ca="1">K211*(1-INDEX($A$584:$A$586,$D$598)/K495)*K676</f>
        <v>#VALUE!</v>
      </c>
      <c r="L677" s="435" t="e">
        <f ca="1">L211*(1-INDEX($A$584:$A$586,$D$598)/L495)*L676</f>
        <v>#VALUE!</v>
      </c>
      <c r="M677" s="124"/>
      <c r="N677" s="62"/>
      <c r="O677" s="62"/>
      <c r="P677" s="454"/>
      <c r="Q677" s="62"/>
      <c r="R677" s="42"/>
      <c r="S677" s="42"/>
      <c r="T677" s="42"/>
      <c r="U677" s="42"/>
      <c r="V677" s="58"/>
      <c r="W677" s="58"/>
      <c r="X677" s="58"/>
      <c r="Y677" s="58"/>
    </row>
    <row r="678" spans="1:25" ht="15" x14ac:dyDescent="0.25">
      <c r="A678" s="11"/>
      <c r="B678" s="61" t="s">
        <v>3171</v>
      </c>
      <c r="C678" s="120"/>
      <c r="D678" s="120"/>
      <c r="E678" s="120"/>
      <c r="F678" s="120"/>
      <c r="G678" s="120"/>
      <c r="H678" s="125"/>
      <c r="I678" s="125"/>
      <c r="J678" s="125"/>
      <c r="K678" s="125"/>
      <c r="L678" s="125"/>
      <c r="M678" s="124"/>
      <c r="N678" s="62"/>
      <c r="O678" s="62"/>
      <c r="P678" s="454"/>
      <c r="Q678" s="62"/>
      <c r="R678" s="42"/>
      <c r="S678" s="42"/>
      <c r="T678" s="42"/>
      <c r="U678" s="42"/>
      <c r="V678" s="58"/>
      <c r="W678" s="58"/>
      <c r="X678" s="58"/>
      <c r="Y678" s="58"/>
    </row>
    <row r="679" spans="1:25" ht="15" x14ac:dyDescent="0.25">
      <c r="A679" s="11"/>
      <c r="B679" s="38" t="s">
        <v>1018</v>
      </c>
      <c r="C679" s="120"/>
      <c r="D679" s="120"/>
      <c r="E679" s="120"/>
      <c r="F679" s="120"/>
      <c r="G679" s="120"/>
      <c r="H679" s="125" t="str">
        <f>IF(H479=1,0.95,"нет")</f>
        <v>нет</v>
      </c>
      <c r="I679" s="125" t="str">
        <f>IF(I479=1,0.95,"нет")</f>
        <v>нет</v>
      </c>
      <c r="J679" s="125" t="str">
        <f>IF(J479=1,0.95,"нет")</f>
        <v>нет</v>
      </c>
      <c r="K679" s="125" t="str">
        <f>IF(K479=1,0.95,"нет")</f>
        <v>нет</v>
      </c>
      <c r="L679" s="125" t="str">
        <f>IF(L479=1,0.95,"нет")</f>
        <v>нет</v>
      </c>
      <c r="M679" s="124"/>
      <c r="N679" s="62"/>
      <c r="O679" s="62"/>
      <c r="P679" s="454"/>
      <c r="Q679" s="62"/>
      <c r="R679" s="42"/>
      <c r="S679" s="42"/>
      <c r="T679" s="42"/>
      <c r="U679" s="42"/>
      <c r="V679" s="58"/>
      <c r="W679" s="58"/>
      <c r="X679" s="58"/>
      <c r="Y679" s="58"/>
    </row>
    <row r="680" spans="1:25" ht="15" x14ac:dyDescent="0.25">
      <c r="A680" s="11"/>
      <c r="B680" s="38" t="s">
        <v>4017</v>
      </c>
      <c r="C680" s="120"/>
      <c r="D680" s="120"/>
      <c r="E680" s="120"/>
      <c r="F680" s="120"/>
      <c r="G680" s="120"/>
      <c r="H680" s="125">
        <f>IF(H479=1,1/H679-1,0)</f>
        <v>0</v>
      </c>
      <c r="I680" s="125">
        <f>IF(I479=1,1/I679-1,0)</f>
        <v>0</v>
      </c>
      <c r="J680" s="125">
        <f>IF(J479=1,1/J679-1,0)</f>
        <v>0</v>
      </c>
      <c r="K680" s="125">
        <f>IF(K479=1,1/K679-1,0)</f>
        <v>0</v>
      </c>
      <c r="L680" s="125">
        <f>IF(L479=1,1/L679-1,0)</f>
        <v>0</v>
      </c>
      <c r="M680" s="124"/>
      <c r="N680" s="62"/>
      <c r="O680" s="62"/>
      <c r="P680" s="454"/>
      <c r="Q680" s="62"/>
      <c r="R680" s="42"/>
      <c r="S680" s="42"/>
      <c r="T680" s="42"/>
      <c r="U680" s="42"/>
      <c r="V680" s="58"/>
      <c r="W680" s="58"/>
      <c r="X680" s="58"/>
      <c r="Y680" s="58"/>
    </row>
    <row r="681" spans="1:25" ht="15" x14ac:dyDescent="0.25">
      <c r="A681" s="11"/>
      <c r="B681" s="38"/>
      <c r="C681" s="120"/>
      <c r="D681" s="120"/>
      <c r="E681" s="120"/>
      <c r="F681" s="120"/>
      <c r="G681" s="120"/>
      <c r="H681" s="125"/>
      <c r="I681" s="125"/>
      <c r="J681" s="125"/>
      <c r="K681" s="125"/>
      <c r="L681" s="125"/>
      <c r="M681" s="124"/>
      <c r="N681" s="62"/>
      <c r="O681" s="62"/>
      <c r="P681" s="454"/>
      <c r="Q681" s="62"/>
      <c r="R681" s="42"/>
      <c r="S681" s="42"/>
      <c r="T681" s="42"/>
      <c r="U681" s="42"/>
      <c r="V681" s="58"/>
      <c r="W681" s="58"/>
      <c r="X681" s="58"/>
      <c r="Y681" s="58"/>
    </row>
    <row r="682" spans="1:25" ht="15" x14ac:dyDescent="0.25">
      <c r="A682" s="11"/>
      <c r="B682" s="38"/>
      <c r="C682" s="120"/>
      <c r="D682" s="120"/>
      <c r="E682" s="120"/>
      <c r="F682" s="120"/>
      <c r="G682" s="120"/>
      <c r="H682" s="125"/>
      <c r="I682" s="125"/>
      <c r="J682" s="125"/>
      <c r="K682" s="125"/>
      <c r="L682" s="125"/>
      <c r="M682" s="124"/>
      <c r="N682" s="62"/>
      <c r="O682" s="62"/>
      <c r="P682" s="454"/>
      <c r="Q682" s="62"/>
      <c r="R682" s="42"/>
      <c r="S682" s="42"/>
      <c r="T682" s="42"/>
      <c r="U682" s="42"/>
      <c r="V682" s="58"/>
      <c r="W682" s="58"/>
      <c r="X682" s="58"/>
      <c r="Y682" s="58"/>
    </row>
    <row r="683" spans="1:25" ht="15" x14ac:dyDescent="0.25">
      <c r="A683" s="11"/>
      <c r="B683" s="61" t="s">
        <v>4315</v>
      </c>
      <c r="C683" s="120"/>
      <c r="D683" s="120"/>
      <c r="E683" s="120"/>
      <c r="F683" s="120"/>
      <c r="G683" s="120"/>
      <c r="H683" s="675"/>
      <c r="I683" s="675"/>
      <c r="J683" s="675"/>
      <c r="K683" s="675"/>
      <c r="L683" s="675"/>
      <c r="M683" s="124"/>
      <c r="N683" s="62"/>
      <c r="O683" s="62"/>
      <c r="P683" s="454"/>
      <c r="Q683" s="62"/>
      <c r="R683" s="42"/>
      <c r="S683" s="42"/>
      <c r="T683" s="42"/>
      <c r="U683" s="42"/>
      <c r="V683" s="58"/>
      <c r="W683" s="58"/>
      <c r="X683" s="58"/>
      <c r="Y683" s="58"/>
    </row>
    <row r="684" spans="1:25" ht="19.5" x14ac:dyDescent="0.35">
      <c r="A684" s="11"/>
      <c r="B684" s="22" t="s">
        <v>4018</v>
      </c>
      <c r="C684" s="120"/>
      <c r="D684" s="120"/>
      <c r="E684" s="120"/>
      <c r="F684" s="120"/>
      <c r="G684" s="120"/>
      <c r="H684" s="435" t="e">
        <f>IF(OR($D$599=1,$D$599=2),0.07,0)</f>
        <v>#VALUE!</v>
      </c>
      <c r="I684" s="435" t="e">
        <f>IF(OR($D$599=1,$D$599=2),0.07,0)</f>
        <v>#VALUE!</v>
      </c>
      <c r="J684" s="435" t="e">
        <f>IF(OR($D$599=1,$D$599=2),0.07,0)</f>
        <v>#VALUE!</v>
      </c>
      <c r="K684" s="435" t="e">
        <f>IF(OR($D$599=1,$D$599=2),0.07,0)</f>
        <v>#VALUE!</v>
      </c>
      <c r="L684" s="435" t="e">
        <f>IF(OR($D$599=1,$D$599=2),0.07,0)</f>
        <v>#VALUE!</v>
      </c>
      <c r="M684" s="124"/>
      <c r="N684" s="62"/>
      <c r="O684" s="62"/>
      <c r="P684" s="454"/>
      <c r="Q684" s="62"/>
      <c r="R684" s="42"/>
      <c r="S684" s="42"/>
      <c r="T684" s="42"/>
      <c r="U684" s="42"/>
      <c r="V684" s="58"/>
      <c r="W684" s="58"/>
      <c r="X684" s="58"/>
      <c r="Y684" s="58"/>
    </row>
    <row r="685" spans="1:25" ht="15" x14ac:dyDescent="0.25">
      <c r="A685" s="11"/>
      <c r="B685" s="9" t="s">
        <v>4019</v>
      </c>
      <c r="C685" s="120"/>
      <c r="D685" s="120"/>
      <c r="E685" s="120"/>
      <c r="F685" s="120"/>
      <c r="G685" s="120"/>
      <c r="H685" s="38"/>
      <c r="I685" s="38"/>
      <c r="J685" s="38"/>
      <c r="K685" s="38"/>
      <c r="L685" s="38"/>
      <c r="M685" s="124"/>
      <c r="N685" s="62"/>
      <c r="O685" s="62"/>
      <c r="P685" s="454"/>
      <c r="Q685" s="62"/>
      <c r="R685" s="42"/>
      <c r="S685" s="42"/>
      <c r="T685" s="42"/>
      <c r="U685" s="42"/>
      <c r="V685" s="58"/>
      <c r="W685" s="58"/>
      <c r="X685" s="58"/>
      <c r="Y685" s="58"/>
    </row>
    <row r="686" spans="1:25" ht="15" x14ac:dyDescent="0.25">
      <c r="A686" s="11"/>
      <c r="B686" s="4542" t="s">
        <v>4226</v>
      </c>
      <c r="C686" s="4542"/>
      <c r="D686" s="4542"/>
      <c r="E686" s="4542"/>
      <c r="F686" s="4542"/>
      <c r="G686" s="4542"/>
      <c r="H686" s="675">
        <f>INDEX($D$1027:$K$1027,$H$452)+IF(H440=0,0,(INDEX($D$1028:$K$1028,I542)+INDEX($D$1029:$K$1029,I542)))</f>
        <v>36.049999999999997</v>
      </c>
      <c r="I686" s="675">
        <f>INDEX($D$1027:$K$1027,$H$452)+IF(I440=0,0,(INDEX($D$1028:$K$1028,J542)+INDEX($D$1029:$K$1029,J542)))</f>
        <v>35.15</v>
      </c>
      <c r="J686" s="675">
        <f>INDEX($D$1027:$K$1027,$H$452)+IF(J440=0,0,(INDEX($D$1028:$K$1028,K542)+INDEX($D$1029:$K$1029,K542)))</f>
        <v>35.15</v>
      </c>
      <c r="K686" s="675">
        <f>INDEX($D$1027:$K$1027,$H$452)+IF(K440=0,0,(INDEX($D$1028:$K$1028,L542)+INDEX($D$1029:$K$1029,L542)))</f>
        <v>50.900000000000006</v>
      </c>
      <c r="L686" s="675" t="e">
        <f>INDEX($D$1027:$K$1027,$H$452)+IF(L440=0,0,(INDEX($D$1028:$K$1028,M542)+INDEX($D$1029:$K$1029,M542)))</f>
        <v>#VALUE!</v>
      </c>
      <c r="M686" s="124"/>
      <c r="N686" s="62"/>
      <c r="O686" s="62"/>
      <c r="P686" s="454"/>
      <c r="Q686" s="62"/>
      <c r="R686" s="42"/>
      <c r="S686" s="42"/>
      <c r="T686" s="42"/>
      <c r="U686" s="42"/>
      <c r="V686" s="58"/>
      <c r="W686" s="58"/>
      <c r="X686" s="58"/>
      <c r="Y686" s="58"/>
    </row>
    <row r="687" spans="1:25" ht="15" x14ac:dyDescent="0.25">
      <c r="A687" s="11"/>
      <c r="B687" s="4542" t="s">
        <v>4227</v>
      </c>
      <c r="C687" s="4542"/>
      <c r="D687" s="4542"/>
      <c r="E687" s="4542"/>
      <c r="F687" s="4542"/>
      <c r="G687" s="4542"/>
      <c r="H687" s="675">
        <f>INDEX($D$1024:$K$1024,$H$452)+IF(H440=0,0,(INDEX($D$1028:$K$1028,I542)+INDEX($D$1029:$K$1029,I542)))</f>
        <v>0</v>
      </c>
      <c r="I687" s="675">
        <f>INDEX($D$1024:$K$1024,$H$452)+IF(I440=0,0,(INDEX($D$1028:$K$1028,J542)+INDEX($D$1029:$K$1029,J542)))</f>
        <v>27.099999999999998</v>
      </c>
      <c r="J687" s="675">
        <f>INDEX($D$1024:$K$1024,$H$452)+IF(J440=0,0,(INDEX($D$1028:$K$1028,K542)+INDEX($D$1029:$K$1029,K542)))</f>
        <v>27.099999999999998</v>
      </c>
      <c r="K687" s="675">
        <f>INDEX($D$1024:$K$1024,$H$452)+IF(K440=0,0,(INDEX($D$1028:$K$1028,L542)+INDEX($D$1029:$K$1029,L542)))</f>
        <v>0</v>
      </c>
      <c r="L687" s="675" t="e">
        <f>INDEX($D$1024:$K$1024,$H$452)+IF(L440=0,0,(INDEX($D$1028:$K$1028,M542)+INDEX($D$1029:$K$1029,M542)))</f>
        <v>#VALUE!</v>
      </c>
      <c r="M687" s="124"/>
      <c r="N687" s="62"/>
      <c r="O687" s="62"/>
      <c r="P687" s="454"/>
      <c r="Q687" s="62"/>
      <c r="R687" s="42"/>
      <c r="S687" s="42"/>
      <c r="T687" s="42"/>
      <c r="U687" s="42"/>
      <c r="V687" s="58"/>
      <c r="W687" s="58"/>
      <c r="X687" s="58"/>
      <c r="Y687" s="58"/>
    </row>
    <row r="688" spans="1:25" ht="15" x14ac:dyDescent="0.25">
      <c r="A688" s="11"/>
      <c r="B688" s="4445" t="s">
        <v>956</v>
      </c>
      <c r="C688" s="4375"/>
      <c r="D688" s="4375"/>
      <c r="E688" s="4375"/>
      <c r="F688" s="4375"/>
      <c r="G688" s="4375"/>
      <c r="H688" s="435">
        <f>IF(H493=2,H687,H686)</f>
        <v>36.049999999999997</v>
      </c>
      <c r="I688" s="435">
        <f>IF(I493=2,I687,I686)</f>
        <v>35.15</v>
      </c>
      <c r="J688" s="435">
        <f>IF(J493=2,J687,J686)</f>
        <v>35.15</v>
      </c>
      <c r="K688" s="435">
        <f>IF(K493=2,K687,K686)</f>
        <v>50.900000000000006</v>
      </c>
      <c r="L688" s="435" t="e">
        <f>IF(L493=2,L687,L686)</f>
        <v>#VALUE!</v>
      </c>
      <c r="M688" s="124"/>
      <c r="N688" s="62"/>
      <c r="O688" s="62"/>
      <c r="P688" s="454"/>
      <c r="Q688" s="62"/>
      <c r="R688" s="42"/>
      <c r="S688" s="42"/>
      <c r="T688" s="42"/>
      <c r="U688" s="42"/>
      <c r="V688" s="58"/>
      <c r="W688" s="58"/>
      <c r="X688" s="58"/>
      <c r="Y688" s="58"/>
    </row>
    <row r="689" spans="1:25" ht="15" x14ac:dyDescent="0.25">
      <c r="A689" s="11"/>
      <c r="B689" s="676"/>
      <c r="C689" s="677"/>
      <c r="D689" s="677"/>
      <c r="E689" s="677"/>
      <c r="F689" s="677"/>
      <c r="G689" s="59"/>
      <c r="H689" s="125"/>
      <c r="I689" s="125"/>
      <c r="J689" s="125"/>
      <c r="K689" s="125"/>
      <c r="L689" s="125"/>
      <c r="M689" s="124"/>
      <c r="N689" s="62"/>
      <c r="O689" s="62"/>
      <c r="P689" s="454"/>
      <c r="Q689" s="62"/>
      <c r="R689" s="42"/>
      <c r="S689" s="42"/>
      <c r="T689" s="42"/>
      <c r="U689" s="42"/>
      <c r="V689" s="58"/>
      <c r="W689" s="58"/>
      <c r="X689" s="58"/>
      <c r="Y689" s="58"/>
    </row>
    <row r="690" spans="1:25" ht="36" customHeight="1" x14ac:dyDescent="0.3">
      <c r="A690" s="11"/>
      <c r="B690" s="4445" t="s">
        <v>957</v>
      </c>
      <c r="C690" s="4375"/>
      <c r="D690" s="4375"/>
      <c r="E690" s="4375"/>
      <c r="F690" s="4375"/>
      <c r="G690" s="4375"/>
      <c r="H690" s="675" t="e">
        <f>IF(H436=1,INDEX($B$998:$F$1005,$H$452,H460),IF(H436=2,INDEX($H$998:$L$1005,$H$452,H460)))</f>
        <v>#VALUE!</v>
      </c>
      <c r="I690" s="675" t="e">
        <f>IF(I436=1,INDEX($B$998:$F$1005,$H$452,I460),IF(I436=2,INDEX($H$998:$L$1005,$H$452,I460)))</f>
        <v>#VALUE!</v>
      </c>
      <c r="J690" s="675" t="e">
        <f>IF(J436=1,INDEX($B$998:$F$1005,$H$452,J460),IF(J436=2,INDEX($H$998:$L$1005,$H$452,J460)))</f>
        <v>#VALUE!</v>
      </c>
      <c r="K690" s="675" t="e">
        <f>IF(K436=1,INDEX($B$998:$F$1005,$H$452,K460),IF(K436=2,INDEX($H$998:$L$1005,$H$452,K460)))</f>
        <v>#VALUE!</v>
      </c>
      <c r="L690" s="675" t="e">
        <f>IF(L436=1,INDEX($B$998:$F$1005,$H$452,L460),IF(L436=2,INDEX($H$998:$L$1005,$H$452,L460)))</f>
        <v>#VALUE!</v>
      </c>
      <c r="M690" s="124"/>
      <c r="N690" s="62"/>
      <c r="O690" s="62"/>
      <c r="P690" s="454"/>
      <c r="Q690" s="62"/>
      <c r="R690" s="42"/>
      <c r="S690" s="42"/>
      <c r="T690" s="42"/>
      <c r="U690" s="42"/>
      <c r="V690" s="58"/>
      <c r="W690" s="58"/>
      <c r="X690" s="58"/>
      <c r="Y690" s="58"/>
    </row>
    <row r="691" spans="1:25" ht="30.75" customHeight="1" x14ac:dyDescent="0.3">
      <c r="A691" s="11"/>
      <c r="B691" s="22" t="s">
        <v>825</v>
      </c>
      <c r="C691" s="120"/>
      <c r="D691" s="120"/>
      <c r="E691" s="120"/>
      <c r="F691" s="120"/>
      <c r="G691" s="38"/>
      <c r="H691" s="675" t="b">
        <f>IF(H457=1,INDEX($B$961:$B$968,$H$452),IF(H457=2,INDEX($C$961:$C$968,$H$452),IF(H457=3,INDEX($D$961:$D$968,$H$452))))</f>
        <v>0</v>
      </c>
      <c r="I691" s="675" t="b">
        <f>IF(I457=1,INDEX($B$961:$B$968,$H$452),IF(I457=2,INDEX($C$961:$C$968,$H$452),IF(I457=3,INDEX($D$961:$D$968,$H$452))))</f>
        <v>0</v>
      </c>
      <c r="J691" s="675" t="b">
        <f>IF(J457=1,INDEX($B$961:$B$968,$H$452),IF(J457=2,INDEX($C$961:$C$968,$H$452),IF(J457=3,INDEX($D$961:$D$968,$H$452))))</f>
        <v>0</v>
      </c>
      <c r="K691" s="675" t="b">
        <f>IF(K457=1,INDEX($B$961:$B$968,$H$452),IF(K457=2,INDEX($C$961:$C$968,$H$452),IF(K457=3,INDEX($D$961:$D$968,$H$452))))</f>
        <v>0</v>
      </c>
      <c r="L691" s="675" t="b">
        <f>IF(L457=1,INDEX($B$961:$B$968,$H$452),IF(L457=2,INDEX($C$961:$C$968,$H$452),IF(L457=3,INDEX($D$961:$D$968,$H$452))))</f>
        <v>0</v>
      </c>
      <c r="M691" s="124"/>
      <c r="N691" s="62"/>
      <c r="O691" s="62"/>
      <c r="P691" s="454"/>
      <c r="Q691" s="62"/>
      <c r="R691" s="42"/>
      <c r="S691" s="42"/>
      <c r="T691" s="42"/>
      <c r="U691" s="42"/>
      <c r="V691" s="58"/>
      <c r="W691" s="58"/>
      <c r="X691" s="58"/>
      <c r="Y691" s="58"/>
    </row>
    <row r="692" spans="1:25" ht="17.25" x14ac:dyDescent="0.3">
      <c r="A692" s="11"/>
      <c r="B692" s="542" t="s">
        <v>826</v>
      </c>
      <c r="C692" s="120"/>
      <c r="D692" s="120"/>
      <c r="E692" s="120"/>
      <c r="F692" s="120"/>
      <c r="G692" s="38"/>
      <c r="H692" s="435" t="e">
        <f>IF(H493=1,H691,H690)</f>
        <v>#VALUE!</v>
      </c>
      <c r="I692" s="435" t="e">
        <f>IF(I493=1,I691,I690)</f>
        <v>#VALUE!</v>
      </c>
      <c r="J692" s="435" t="e">
        <f>IF(J493=1,J691,J690)</f>
        <v>#VALUE!</v>
      </c>
      <c r="K692" s="435" t="e">
        <f>IF(K493=1,K691,K690)</f>
        <v>#VALUE!</v>
      </c>
      <c r="L692" s="435" t="e">
        <f>IF(L493=1,L691,L690)</f>
        <v>#VALUE!</v>
      </c>
      <c r="M692" s="124"/>
      <c r="N692" s="62"/>
      <c r="O692" s="62"/>
      <c r="P692" s="454"/>
      <c r="Q692" s="62"/>
      <c r="R692" s="42"/>
      <c r="S692" s="42"/>
      <c r="T692" s="42"/>
      <c r="U692" s="42"/>
      <c r="V692" s="58"/>
      <c r="W692" s="58"/>
      <c r="X692" s="58"/>
      <c r="Y692" s="58"/>
    </row>
    <row r="693" spans="1:25" ht="16.5" x14ac:dyDescent="0.35">
      <c r="A693" s="11"/>
      <c r="B693" s="4445" t="s">
        <v>827</v>
      </c>
      <c r="C693" s="4445"/>
      <c r="D693" s="4445"/>
      <c r="E693" s="4445"/>
      <c r="F693" s="4445"/>
      <c r="G693" s="4445"/>
      <c r="H693" s="675" t="e">
        <f>IF(H436=1,INDEX($C$975:$G$975,H460),INDEX($C$976:$G$976,H460))</f>
        <v>#VALUE!</v>
      </c>
      <c r="I693" s="675" t="e">
        <f>IF(I436=1,INDEX($C$975:$G$975,I460),INDEX($C$976:$G$976,I460))</f>
        <v>#VALUE!</v>
      </c>
      <c r="J693" s="675" t="e">
        <f>IF(J436=1,INDEX($C$975:$G$975,J460),INDEX($C$976:$G$976,J460))</f>
        <v>#VALUE!</v>
      </c>
      <c r="K693" s="675" t="e">
        <f>IF(K436=1,INDEX($C$975:$G$975,K460),INDEX($C$976:$G$976,K460))</f>
        <v>#VALUE!</v>
      </c>
      <c r="L693" s="675" t="e">
        <f>IF(L436=1,INDEX($C$975:$G$975,L460),INDEX($C$976:$G$976,L460))</f>
        <v>#VALUE!</v>
      </c>
      <c r="M693" s="124"/>
      <c r="N693" s="62"/>
      <c r="O693" s="62"/>
      <c r="P693" s="454"/>
      <c r="Q693" s="62"/>
      <c r="R693" s="42"/>
      <c r="S693" s="42"/>
      <c r="T693" s="42"/>
      <c r="U693" s="42"/>
      <c r="V693" s="58"/>
      <c r="W693" s="58"/>
      <c r="X693" s="58"/>
      <c r="Y693" s="58"/>
    </row>
    <row r="694" spans="1:25" ht="15" x14ac:dyDescent="0.25">
      <c r="A694" s="11"/>
      <c r="B694" s="678" t="s">
        <v>282</v>
      </c>
      <c r="C694" s="364"/>
      <c r="D694" s="364"/>
      <c r="E694" s="364"/>
      <c r="F694" s="364"/>
      <c r="G694" s="364"/>
      <c r="H694" s="675" t="b">
        <f>IF(H457=1,1.26,IF(H457=2,1,IF(H457=3,0.8)))</f>
        <v>0</v>
      </c>
      <c r="I694" s="675" t="b">
        <f>IF(I457=1,1.26,IF(I457=2,1,IF(I457=3,0.8)))</f>
        <v>0</v>
      </c>
      <c r="J694" s="675" t="b">
        <f>IF(J457=1,1.26,IF(J457=2,1,IF(J457=3,0.8)))</f>
        <v>0</v>
      </c>
      <c r="K694" s="675" t="b">
        <f>IF(K457=1,1.26,IF(K457=2,1,IF(K457=3,0.8)))</f>
        <v>0</v>
      </c>
      <c r="L694" s="675" t="b">
        <f>IF(L457=1,1.26,IF(L457=2,1,IF(L457=3,0.8)))</f>
        <v>0</v>
      </c>
      <c r="M694" s="124"/>
      <c r="N694" s="62"/>
      <c r="O694" s="62"/>
      <c r="P694" s="454"/>
      <c r="Q694" s="62"/>
      <c r="R694" s="42"/>
      <c r="S694" s="42"/>
      <c r="T694" s="42"/>
      <c r="U694" s="42"/>
      <c r="V694" s="58"/>
      <c r="W694" s="58"/>
      <c r="X694" s="58"/>
      <c r="Y694" s="58"/>
    </row>
    <row r="695" spans="1:25" ht="16.5" x14ac:dyDescent="0.35">
      <c r="A695" s="11"/>
      <c r="B695" s="4445" t="s">
        <v>828</v>
      </c>
      <c r="C695" s="4445"/>
      <c r="D695" s="4445"/>
      <c r="E695" s="4445"/>
      <c r="F695" s="4445"/>
      <c r="G695" s="4445"/>
      <c r="H695" s="675" t="b">
        <f>IF(H458=2,H694/2,H694)</f>
        <v>0</v>
      </c>
      <c r="I695" s="675" t="b">
        <f>IF(I458=2,I694/2,I694)</f>
        <v>0</v>
      </c>
      <c r="J695" s="675" t="b">
        <f>IF(J458=2,J694/2,J694)</f>
        <v>0</v>
      </c>
      <c r="K695" s="675" t="b">
        <f>IF(K458=2,K694/2,K694)</f>
        <v>0</v>
      </c>
      <c r="L695" s="675" t="b">
        <f>IF(L458=2,L694/2,L694)</f>
        <v>0</v>
      </c>
      <c r="M695" s="124"/>
      <c r="N695" s="62"/>
      <c r="O695" s="62"/>
      <c r="P695" s="454"/>
      <c r="Q695" s="62"/>
      <c r="R695" s="42"/>
      <c r="S695" s="42"/>
      <c r="T695" s="42"/>
      <c r="U695" s="42"/>
      <c r="V695" s="58"/>
      <c r="W695" s="58"/>
      <c r="X695" s="58"/>
      <c r="Y695" s="58"/>
    </row>
    <row r="696" spans="1:25" ht="15" x14ac:dyDescent="0.25">
      <c r="A696" s="199">
        <v>1</v>
      </c>
      <c r="B696" s="38" t="s">
        <v>283</v>
      </c>
      <c r="C696" s="120"/>
      <c r="D696" s="120"/>
      <c r="E696" s="120"/>
      <c r="F696" s="120"/>
      <c r="G696" s="38"/>
      <c r="H696" s="435" t="b">
        <f>IF(H493=2,H693,H695)</f>
        <v>0</v>
      </c>
      <c r="I696" s="435" t="b">
        <f>IF(I493=2,I693,I695)</f>
        <v>0</v>
      </c>
      <c r="J696" s="435" t="b">
        <f>IF(J493=2,J693,J695)</f>
        <v>0</v>
      </c>
      <c r="K696" s="435" t="b">
        <f>IF(K493=2,K693,K695)</f>
        <v>0</v>
      </c>
      <c r="L696" s="435" t="b">
        <f>IF(L493=2,L693,L695)</f>
        <v>0</v>
      </c>
      <c r="M696" s="124"/>
      <c r="N696" s="62"/>
      <c r="O696" s="62"/>
      <c r="P696" s="454"/>
      <c r="Q696" s="62"/>
      <c r="R696" s="42"/>
      <c r="S696" s="42"/>
      <c r="T696" s="42"/>
      <c r="U696" s="42"/>
      <c r="V696" s="58"/>
      <c r="W696" s="58"/>
      <c r="X696" s="58"/>
      <c r="Y696" s="58"/>
    </row>
    <row r="697" spans="1:25" ht="15" x14ac:dyDescent="0.25">
      <c r="A697" s="199"/>
      <c r="B697" s="13" t="s">
        <v>829</v>
      </c>
      <c r="C697" s="120"/>
      <c r="D697" s="120"/>
      <c r="E697" s="120"/>
      <c r="F697" s="120"/>
      <c r="G697" s="38"/>
      <c r="H697" s="435"/>
      <c r="I697" s="435"/>
      <c r="J697" s="435"/>
      <c r="K697" s="435"/>
      <c r="L697" s="435"/>
      <c r="M697" s="124"/>
      <c r="N697" s="62"/>
      <c r="O697" s="62"/>
      <c r="P697" s="454"/>
      <c r="Q697" s="62"/>
      <c r="R697" s="42"/>
      <c r="S697" s="42"/>
      <c r="T697" s="42"/>
      <c r="U697" s="42"/>
      <c r="V697" s="58"/>
      <c r="W697" s="58"/>
      <c r="X697" s="58"/>
      <c r="Y697" s="58"/>
    </row>
    <row r="698" spans="1:25" ht="15" x14ac:dyDescent="0.25">
      <c r="A698" s="199"/>
      <c r="B698" s="678"/>
      <c r="C698" s="63" t="s">
        <v>4316</v>
      </c>
      <c r="D698" s="199"/>
      <c r="E698" s="199"/>
      <c r="F698" s="59"/>
      <c r="G698" s="38"/>
      <c r="H698" s="679"/>
      <c r="I698" s="679"/>
      <c r="J698" s="679"/>
      <c r="K698" s="124"/>
      <c r="L698" s="124"/>
      <c r="M698" s="124"/>
      <c r="N698" s="62"/>
      <c r="O698" s="62"/>
      <c r="P698" s="454"/>
      <c r="Q698" s="62"/>
      <c r="R698" s="42"/>
      <c r="S698" s="42"/>
      <c r="T698" s="42"/>
      <c r="U698" s="42"/>
      <c r="V698" s="58"/>
      <c r="W698" s="58"/>
      <c r="X698" s="58"/>
      <c r="Y698" s="58"/>
    </row>
    <row r="699" spans="1:25" ht="15.75" x14ac:dyDescent="0.3">
      <c r="A699" s="199"/>
      <c r="B699" s="678" t="s">
        <v>3965</v>
      </c>
      <c r="C699" s="59"/>
      <c r="D699" s="59"/>
      <c r="E699" s="59"/>
      <c r="F699" s="59"/>
      <c r="G699" s="59"/>
      <c r="H699" s="675" t="e">
        <f>INDEX($C$977:$G$977,H460)</f>
        <v>#VALUE!</v>
      </c>
      <c r="I699" s="675" t="e">
        <f>INDEX($C$977:$G$977,I460)</f>
        <v>#VALUE!</v>
      </c>
      <c r="J699" s="675" t="e">
        <f>INDEX($C$977:$G$977,J460)</f>
        <v>#VALUE!</v>
      </c>
      <c r="K699" s="675" t="e">
        <f>INDEX($C$977:$G$977,K460)</f>
        <v>#VALUE!</v>
      </c>
      <c r="L699" s="675" t="e">
        <f>INDEX($C$977:$G$977,L460)</f>
        <v>#VALUE!</v>
      </c>
      <c r="M699" s="124"/>
      <c r="N699" s="62"/>
      <c r="O699" s="62"/>
      <c r="P699" s="454"/>
      <c r="Q699" s="62"/>
      <c r="R699" s="42"/>
      <c r="S699" s="42"/>
      <c r="T699" s="42"/>
      <c r="U699" s="42"/>
      <c r="V699" s="58"/>
      <c r="W699" s="58"/>
      <c r="X699" s="58"/>
      <c r="Y699" s="58"/>
    </row>
    <row r="700" spans="1:25" ht="15" x14ac:dyDescent="0.25">
      <c r="A700" s="199"/>
      <c r="B700" s="4445" t="s">
        <v>3966</v>
      </c>
      <c r="C700" s="4375"/>
      <c r="D700" s="4375"/>
      <c r="E700" s="4375"/>
      <c r="F700" s="4375"/>
      <c r="G700" s="4375"/>
      <c r="H700" s="675" t="e">
        <f>7.86708604704389-12.3279*H508+8.765997*H508^2-2.9178*H508^3+0.463667*H508^4-0.0282*H508^5-1.78569*H699+1.36*H699^2-0.49146*H699^3+0.08*H699^4-0.0049*H699^5</f>
        <v>#VALUE!</v>
      </c>
      <c r="I700" s="675" t="e">
        <f>7.86708604704389-12.3279*I508+8.765997*I508^2-2.9178*I508^3+0.463667*I508^4-0.0282*I508^5-1.78569*I699+1.36*I699^2-0.49146*I699^3+0.08*I699^4-0.0049*I699^5</f>
        <v>#VALUE!</v>
      </c>
      <c r="J700" s="675" t="e">
        <f>7.86708604704389-12.3279*J508+8.765997*J508^2-2.9178*J508^3+0.463667*J508^4-0.0282*J508^5-1.78569*J699+1.36*J699^2-0.49146*J699^3+0.08*J699^4-0.0049*J699^5</f>
        <v>#VALUE!</v>
      </c>
      <c r="K700" s="675" t="e">
        <f>7.86708604704389-12.3279*K508+8.765997*K508^2-2.9178*K508^3+0.463667*K508^4-0.0282*K508^5-1.78569*K699+1.36*K699^2-0.49146*K699^3+0.08*K699^4-0.0049*K699^5</f>
        <v>#VALUE!</v>
      </c>
      <c r="L700" s="675" t="e">
        <f>7.86708604704389-12.3279*L508+8.765997*L508^2-2.9178*L508^3+0.463667*L508^4-0.0282*L508^5-1.78569*L699+1.36*L699^2-0.49146*L699^3+0.08*L699^4-0.0049*L699^5</f>
        <v>#VALUE!</v>
      </c>
      <c r="M700" s="124"/>
      <c r="N700" s="62"/>
      <c r="O700" s="62"/>
      <c r="P700" s="454"/>
      <c r="Q700" s="62"/>
      <c r="R700" s="42"/>
      <c r="S700" s="42"/>
      <c r="T700" s="42"/>
      <c r="U700" s="42"/>
      <c r="V700" s="58"/>
      <c r="W700" s="58"/>
      <c r="X700" s="58"/>
      <c r="Y700" s="58"/>
    </row>
    <row r="701" spans="1:25" ht="16.5" x14ac:dyDescent="0.35">
      <c r="A701" s="199">
        <v>2</v>
      </c>
      <c r="B701" s="4460" t="s">
        <v>4683</v>
      </c>
      <c r="C701" s="4375"/>
      <c r="D701" s="4375"/>
      <c r="E701" s="4375"/>
      <c r="F701" s="4375"/>
      <c r="G701" s="4539"/>
      <c r="H701" s="435" t="e">
        <f>IF(H493=1,1,IF(OR(H460=3,H460=4),0.5*(1+H700),H700))</f>
        <v>#VALUE!</v>
      </c>
      <c r="I701" s="435" t="e">
        <f>IF(I493=1,1,IF(OR(I460=3,I460=4),0.5*(1+I700),I700))</f>
        <v>#VALUE!</v>
      </c>
      <c r="J701" s="435" t="e">
        <f>IF(J493=1,1,IF(OR(J460=3,J460=4),0.5*(1+J700),J700))</f>
        <v>#VALUE!</v>
      </c>
      <c r="K701" s="435" t="e">
        <f>IF(K493=1,1,IF(OR(K460=3,K460=4),0.5*(1+K700),K700))</f>
        <v>#VALUE!</v>
      </c>
      <c r="L701" s="435" t="e">
        <f>IF(L493=1,1,IF(OR(L460=3,L460=4),0.5*(1+L700),L700))</f>
        <v>#VALUE!</v>
      </c>
      <c r="M701" s="124"/>
      <c r="N701" s="62"/>
      <c r="O701" s="62"/>
      <c r="P701" s="454"/>
      <c r="Q701" s="62"/>
      <c r="R701" s="42"/>
      <c r="S701" s="42"/>
      <c r="T701" s="42"/>
      <c r="U701" s="42"/>
      <c r="V701" s="58"/>
      <c r="W701" s="58"/>
      <c r="X701" s="58"/>
      <c r="Y701" s="58"/>
    </row>
    <row r="702" spans="1:25" ht="16.5" x14ac:dyDescent="0.35">
      <c r="A702" s="199">
        <v>3</v>
      </c>
      <c r="B702" s="4460" t="s">
        <v>2155</v>
      </c>
      <c r="C702" s="4460"/>
      <c r="D702" s="4460"/>
      <c r="E702" s="4460"/>
      <c r="F702" s="4460"/>
      <c r="G702" s="4460"/>
      <c r="H702" s="680" t="b">
        <f>IF(AND(H463=0,H500&lt;=9),1,IF(AND(H463=0,H500&lt;=35),1-0.013*(H500-9),IF(AND(H463&gt;0,H500&lt;=6),1,IF(AND(H463&gt;0,H500&lt;15),1-0.0066*H500-0.00087))))</f>
        <v>0</v>
      </c>
      <c r="I702" s="680" t="b">
        <f>IF(AND(I463=0,I500&lt;=9),1,IF(AND(I463=0,I500&lt;=35),1-0.013*(I500-9),IF(AND(I463&gt;0,I500&lt;=6),1,IF(AND(I463&gt;0,I500&lt;15),1-0.0066*I500-0.00087))))</f>
        <v>0</v>
      </c>
      <c r="J702" s="680" t="b">
        <f>IF(AND(J463=0,J500&lt;=9),1,IF(AND(J463=0,J500&lt;=35),1-0.013*(J500-9),IF(AND(J463&gt;0,J500&lt;=6),1,IF(AND(J463&gt;0,J500&lt;15),1-0.0066*J500-0.00087))))</f>
        <v>0</v>
      </c>
      <c r="K702" s="680" t="b">
        <f>IF(AND(K463=0,K500&lt;=9),1,IF(AND(K463=0,K500&lt;=35),1-0.013*(K500-9),IF(AND(K463&gt;0,K500&lt;=6),1,IF(AND(K463&gt;0,K500&lt;15),1-0.0066*K500-0.00087))))</f>
        <v>0</v>
      </c>
      <c r="L702" s="680" t="b">
        <f>IF(AND(L463=0,L500&lt;=9),1,IF(AND(L463=0,L500&lt;=35),1-0.013*(L500-9),IF(AND(L463&gt;0,L500&lt;=6),1,IF(AND(L463&gt;0,L500&lt;15),1-0.0066*L500-0.00087))))</f>
        <v>0</v>
      </c>
      <c r="M702" s="124"/>
      <c r="N702" s="62"/>
      <c r="O702" s="62"/>
      <c r="P702" s="454"/>
      <c r="Q702" s="62"/>
      <c r="R702" s="42"/>
      <c r="S702" s="42"/>
      <c r="T702" s="42"/>
      <c r="U702" s="42"/>
      <c r="V702" s="58"/>
      <c r="W702" s="58"/>
      <c r="X702" s="58"/>
      <c r="Y702" s="58"/>
    </row>
    <row r="703" spans="1:25" ht="15" x14ac:dyDescent="0.25">
      <c r="A703" s="199"/>
      <c r="B703" s="4445" t="s">
        <v>2156</v>
      </c>
      <c r="C703" s="4375"/>
      <c r="D703" s="4375"/>
      <c r="E703" s="4375"/>
      <c r="F703" s="4375"/>
      <c r="G703" s="4375"/>
      <c r="H703" s="675" t="e">
        <f>IF(H436=1,INDEX($B$984:$F$991,$H$452,H460),IF(H436=2,INDEX($H$984:$L$991,$H$452,H460)))</f>
        <v>#VALUE!</v>
      </c>
      <c r="I703" s="675" t="e">
        <f>IF(I436=1,INDEX($B$984:$F$991,$H$452,I460),IF(I436=2,INDEX($H$984:$L$991,$H$452,I460)))</f>
        <v>#VALUE!</v>
      </c>
      <c r="J703" s="675" t="e">
        <f>IF(J436=1,INDEX($B$984:$F$991,$H$452,J460),IF(J436=2,INDEX($H$984:$L$991,$H$452,J460)))</f>
        <v>#VALUE!</v>
      </c>
      <c r="K703" s="675" t="e">
        <f>IF(K436=1,INDEX($B$984:$F$991,$H$452,K460),IF(K436=2,INDEX($H$984:$L$991,$H$452,K460)))</f>
        <v>#VALUE!</v>
      </c>
      <c r="L703" s="675" t="e">
        <f>IF(L436=1,INDEX($B$984:$F$991,$H$452,L460),IF(L436=2,INDEX($H$984:$L$991,$H$452,L460)))</f>
        <v>#VALUE!</v>
      </c>
      <c r="M703" s="124"/>
      <c r="N703" s="62"/>
      <c r="O703" s="62"/>
      <c r="P703" s="454"/>
      <c r="Q703" s="62"/>
      <c r="R703" s="42"/>
      <c r="S703" s="42"/>
      <c r="T703" s="42"/>
      <c r="U703" s="42"/>
      <c r="V703" s="58"/>
      <c r="W703" s="58"/>
      <c r="X703" s="58"/>
      <c r="Y703" s="58"/>
    </row>
    <row r="704" spans="1:25" ht="15" x14ac:dyDescent="0.25">
      <c r="A704" s="199"/>
      <c r="B704" s="4445" t="s">
        <v>2157</v>
      </c>
      <c r="C704" s="4375"/>
      <c r="D704" s="4375"/>
      <c r="E704" s="4375"/>
      <c r="F704" s="4375"/>
      <c r="G704" s="4375"/>
      <c r="H704" s="675">
        <f>1.3+IF(H457=1,1.26*3,IF(H457=2,1*3,IF(H457=3,0.8*3)))</f>
        <v>1.3</v>
      </c>
      <c r="I704" s="675">
        <f>1.3+IF(I457=1,1.26*3,IF(I457=2,1*3,IF(I457=3,0.8*3)))</f>
        <v>1.3</v>
      </c>
      <c r="J704" s="675">
        <f>1.3+IF(J457=1,1.26*3,IF(J457=2,1*3,IF(J457=3,0.8*3)))</f>
        <v>1.3</v>
      </c>
      <c r="K704" s="675">
        <f>1.3+IF(K457=1,1.26*3,IF(K457=2,1*3,IF(K457=3,0.8*3)))</f>
        <v>1.3</v>
      </c>
      <c r="L704" s="675">
        <f>1.3+IF(L457=1,1.26*3,IF(L457=2,1*3,IF(L457=3,0.8*3)))</f>
        <v>1.3</v>
      </c>
      <c r="M704" s="124"/>
      <c r="N704" s="62"/>
      <c r="O704" s="62"/>
      <c r="P704" s="454"/>
      <c r="Q704" s="62"/>
      <c r="R704" s="42"/>
      <c r="S704" s="42"/>
      <c r="T704" s="42"/>
      <c r="U704" s="42"/>
      <c r="V704" s="58"/>
      <c r="W704" s="58"/>
      <c r="X704" s="58"/>
      <c r="Y704" s="58"/>
    </row>
    <row r="705" spans="1:25" ht="15" x14ac:dyDescent="0.25">
      <c r="A705" s="199"/>
      <c r="B705" s="4445" t="s">
        <v>1785</v>
      </c>
      <c r="C705" s="4445"/>
      <c r="D705" s="4445"/>
      <c r="E705" s="4445"/>
      <c r="F705" s="4445"/>
      <c r="G705" s="4445"/>
      <c r="H705" s="680" t="e">
        <f>IF(H493=1,H704,H703)</f>
        <v>#VALUE!</v>
      </c>
      <c r="I705" s="680" t="e">
        <f>IF(I493=1,I704,I703)</f>
        <v>#VALUE!</v>
      </c>
      <c r="J705" s="680" t="e">
        <f>IF(J493=1,J704,J703)</f>
        <v>#VALUE!</v>
      </c>
      <c r="K705" s="680" t="e">
        <f>IF(K493=1,K704,K703)</f>
        <v>#VALUE!</v>
      </c>
      <c r="L705" s="680" t="e">
        <f>IF(L493=1,L704,L703)</f>
        <v>#VALUE!</v>
      </c>
      <c r="M705" s="124"/>
      <c r="N705" s="62"/>
      <c r="O705" s="62"/>
      <c r="P705" s="454"/>
      <c r="Q705" s="62"/>
      <c r="R705" s="42"/>
      <c r="S705" s="42"/>
      <c r="T705" s="42"/>
      <c r="U705" s="42"/>
      <c r="V705" s="58"/>
      <c r="W705" s="58"/>
      <c r="X705" s="58"/>
      <c r="Y705" s="58"/>
    </row>
    <row r="706" spans="1:25" ht="15" x14ac:dyDescent="0.25">
      <c r="A706" s="199">
        <v>4</v>
      </c>
      <c r="B706" s="4460" t="s">
        <v>3086</v>
      </c>
      <c r="C706" s="4460"/>
      <c r="D706" s="4460"/>
      <c r="E706" s="4460"/>
      <c r="F706" s="4460"/>
      <c r="G706" s="4460"/>
      <c r="H706" s="680" t="e">
        <f>IF(H506&lt;=6,1,1/(1+H705*(1/6-1/H506)))</f>
        <v>#VALUE!</v>
      </c>
      <c r="I706" s="680" t="e">
        <f>IF(I506&lt;=6,1,1/(1+I705*(1/6-1/I506)))</f>
        <v>#VALUE!</v>
      </c>
      <c r="J706" s="680" t="e">
        <f>IF(J506&lt;=6,1,1/(1+J705*(1/6-1/J506)))</f>
        <v>#VALUE!</v>
      </c>
      <c r="K706" s="680" t="e">
        <f>IF(K506&lt;=6,1,1/(1+K705*(1/6-1/K506)))</f>
        <v>#VALUE!</v>
      </c>
      <c r="L706" s="680" t="e">
        <f>IF(L506&lt;=6,1,1/(1+L705*(1/6-1/L506)))</f>
        <v>#VALUE!</v>
      </c>
      <c r="M706" s="124"/>
      <c r="N706" s="87"/>
      <c r="O706" s="62"/>
      <c r="P706" s="454"/>
      <c r="Q706" s="62"/>
      <c r="R706" s="42"/>
      <c r="S706" s="42"/>
      <c r="T706" s="42"/>
      <c r="U706" s="42"/>
      <c r="V706" s="58"/>
      <c r="W706" s="58"/>
      <c r="X706" s="58"/>
      <c r="Y706" s="58"/>
    </row>
    <row r="707" spans="1:25" ht="35.25" customHeight="1" x14ac:dyDescent="0.25">
      <c r="A707" s="199"/>
      <c r="B707" s="4445" t="s">
        <v>3087</v>
      </c>
      <c r="C707" s="4375"/>
      <c r="D707" s="4375"/>
      <c r="E707" s="4375"/>
      <c r="F707" s="4375"/>
      <c r="G707" s="4375"/>
      <c r="H707" s="675" t="e">
        <f>IF(H436=1,INDEX($D$1012:$D$1016,H460),INDEX($J$1012:$J$1016,H460))</f>
        <v>#VALUE!</v>
      </c>
      <c r="I707" s="675" t="e">
        <f>IF(I436=1,INDEX($D$1012:$D$1016,I460),INDEX($J$1012:$J$1016,I460))</f>
        <v>#VALUE!</v>
      </c>
      <c r="J707" s="675" t="e">
        <f>IF(J436=1,INDEX($D$1012:$D$1016,J460),INDEX($J$1012:$J$1016,J460))</f>
        <v>#VALUE!</v>
      </c>
      <c r="K707" s="675" t="e">
        <f>IF(K436=1,INDEX($D$1012:$D$1016,K460),INDEX($J$1012:$J$1016,K460))</f>
        <v>#VALUE!</v>
      </c>
      <c r="L707" s="675" t="e">
        <f>IF(L436=1,INDEX($D$1012:$D$1016,L460),INDEX($J$1012:$J$1016,L460))</f>
        <v>#VALUE!</v>
      </c>
      <c r="M707" s="124"/>
      <c r="N707" s="62"/>
      <c r="O707" s="62"/>
      <c r="P707" s="454"/>
      <c r="Q707" s="62"/>
      <c r="R707" s="42"/>
      <c r="S707" s="42"/>
      <c r="T707" s="42"/>
      <c r="U707" s="42"/>
      <c r="V707" s="58"/>
      <c r="W707" s="58"/>
      <c r="X707" s="58"/>
      <c r="Y707" s="58"/>
    </row>
    <row r="708" spans="1:25" ht="36.75" customHeight="1" x14ac:dyDescent="0.25">
      <c r="A708" s="199"/>
      <c r="B708" s="4445" t="s">
        <v>1779</v>
      </c>
      <c r="C708" s="4375"/>
      <c r="D708" s="4375"/>
      <c r="E708" s="4375"/>
      <c r="F708" s="4375"/>
      <c r="G708" s="4375"/>
      <c r="H708" s="675" t="e">
        <f>INDEX($L$1012:$L$1016,H460)</f>
        <v>#VALUE!</v>
      </c>
      <c r="I708" s="675" t="e">
        <f>INDEX($L$1012:$L$1016,I460)</f>
        <v>#VALUE!</v>
      </c>
      <c r="J708" s="675" t="e">
        <f>INDEX($L$1012:$L$1016,J460)</f>
        <v>#VALUE!</v>
      </c>
      <c r="K708" s="675" t="e">
        <f>INDEX($L$1012:$L$1016,K460)</f>
        <v>#VALUE!</v>
      </c>
      <c r="L708" s="675" t="e">
        <f>INDEX($L$1012:$L$1016,L460)</f>
        <v>#VALUE!</v>
      </c>
      <c r="M708" s="124"/>
      <c r="N708" s="62"/>
      <c r="O708" s="62"/>
      <c r="P708" s="454"/>
      <c r="Q708" s="62"/>
      <c r="R708" s="42"/>
      <c r="S708" s="42"/>
      <c r="T708" s="42"/>
      <c r="U708" s="42"/>
      <c r="V708" s="58"/>
      <c r="W708" s="58"/>
      <c r="X708" s="58"/>
      <c r="Y708" s="58"/>
    </row>
    <row r="709" spans="1:25" ht="52.5" customHeight="1" x14ac:dyDescent="0.25">
      <c r="A709" s="199" t="s">
        <v>506</v>
      </c>
      <c r="B709" s="4460" t="s">
        <v>2270</v>
      </c>
      <c r="C709" s="4460"/>
      <c r="D709" s="4460"/>
      <c r="E709" s="4460"/>
      <c r="F709" s="4460"/>
      <c r="G709" s="4460"/>
      <c r="H709" s="680" t="e">
        <f>H707*H109/(100*H462*H708)</f>
        <v>#VALUE!</v>
      </c>
      <c r="I709" s="680" t="e">
        <f>I707*I109/(100*I462*I708)</f>
        <v>#VALUE!</v>
      </c>
      <c r="J709" s="680" t="e">
        <f>J707*J109/(100*J462*J708)</f>
        <v>#VALUE!</v>
      </c>
      <c r="K709" s="680" t="e">
        <f>K707*K109/(100*K462*K708)</f>
        <v>#VALUE!</v>
      </c>
      <c r="L709" s="680" t="e">
        <f>L707*L109/(100*L462*L708)</f>
        <v>#VALUE!</v>
      </c>
      <c r="M709" s="124"/>
      <c r="N709" s="62"/>
      <c r="O709" s="62"/>
      <c r="P709" s="454"/>
      <c r="Q709" s="62"/>
      <c r="R709" s="42"/>
      <c r="S709" s="42"/>
      <c r="T709" s="42"/>
      <c r="U709" s="42"/>
      <c r="V709" s="58"/>
      <c r="W709" s="58"/>
      <c r="X709" s="58"/>
      <c r="Y709" s="58"/>
    </row>
    <row r="710" spans="1:25" ht="34.5" customHeight="1" x14ac:dyDescent="0.25">
      <c r="A710" s="199"/>
      <c r="B710" s="4445" t="s">
        <v>5151</v>
      </c>
      <c r="C710" s="4375"/>
      <c r="D710" s="4375"/>
      <c r="E710" s="4375"/>
      <c r="F710" s="4375"/>
      <c r="G710" s="4375"/>
      <c r="H710" s="675" t="e">
        <f>IF(H436=1,INDEX($E$1012:$E$1016,H460),INDEX($K$1012:$K$1016,H460))</f>
        <v>#VALUE!</v>
      </c>
      <c r="I710" s="675" t="e">
        <f>IF(I436=1,INDEX($E$1012:$E$1016,I460),INDEX($K$1012:$K$1016,I460))</f>
        <v>#VALUE!</v>
      </c>
      <c r="J710" s="675" t="e">
        <f>IF(J436=1,INDEX($E$1012:$E$1016,J460),INDEX($K$1012:$K$1016,J460))</f>
        <v>#VALUE!</v>
      </c>
      <c r="K710" s="675" t="e">
        <f>IF(K436=1,INDEX($E$1012:$E$1016,K460),INDEX($K$1012:$K$1016,K460))</f>
        <v>#VALUE!</v>
      </c>
      <c r="L710" s="675" t="e">
        <f>IF(L436=1,INDEX($E$1012:$E$1016,L460),INDEX($K$1012:$K$1016,L460))</f>
        <v>#VALUE!</v>
      </c>
      <c r="M710" s="124"/>
      <c r="N710" s="62"/>
      <c r="O710" s="62"/>
      <c r="P710" s="454"/>
      <c r="Q710" s="62"/>
      <c r="R710" s="42"/>
      <c r="S710" s="42"/>
      <c r="T710" s="42"/>
      <c r="U710" s="42"/>
      <c r="V710" s="58"/>
      <c r="W710" s="58"/>
      <c r="X710" s="58"/>
      <c r="Y710" s="58"/>
    </row>
    <row r="711" spans="1:25" ht="53.25" customHeight="1" x14ac:dyDescent="0.25">
      <c r="A711" s="199" t="s">
        <v>507</v>
      </c>
      <c r="B711" s="4555" t="s">
        <v>3761</v>
      </c>
      <c r="C711" s="4555"/>
      <c r="D711" s="4555"/>
      <c r="E711" s="4555"/>
      <c r="F711" s="4555"/>
      <c r="G711" s="4555"/>
      <c r="H711" s="620" t="e">
        <f>H710*H109/(100*H462*H708)</f>
        <v>#VALUE!</v>
      </c>
      <c r="I711" s="620" t="e">
        <f>I710*I109/(100*I462*I708)</f>
        <v>#VALUE!</v>
      </c>
      <c r="J711" s="620" t="e">
        <f>J710*J109/(100*J462*J708)</f>
        <v>#VALUE!</v>
      </c>
      <c r="K711" s="620" t="e">
        <f>K710*K109/(100*K462*K708)</f>
        <v>#VALUE!</v>
      </c>
      <c r="L711" s="620" t="e">
        <f>L710*L109/(100*L462*L708)</f>
        <v>#VALUE!</v>
      </c>
      <c r="M711" s="124"/>
      <c r="N711" s="62"/>
      <c r="O711" s="62"/>
      <c r="P711" s="454"/>
      <c r="Q711" s="62"/>
      <c r="R711" s="42"/>
      <c r="S711" s="42"/>
      <c r="T711" s="42"/>
      <c r="U711" s="42"/>
      <c r="V711" s="58"/>
      <c r="W711" s="58"/>
      <c r="X711" s="58"/>
      <c r="Y711" s="58"/>
    </row>
    <row r="712" spans="1:25" ht="15" x14ac:dyDescent="0.25">
      <c r="A712" s="199"/>
      <c r="B712" s="22" t="s">
        <v>2271</v>
      </c>
      <c r="C712" s="120"/>
      <c r="D712" s="120"/>
      <c r="E712" s="120"/>
      <c r="F712" s="120"/>
      <c r="G712" s="120"/>
      <c r="H712" s="675" t="e">
        <f>INDEX($B$1012:$B$1016,H460)</f>
        <v>#VALUE!</v>
      </c>
      <c r="I712" s="675" t="e">
        <f>INDEX($B$1012:$B$1016,I460)</f>
        <v>#VALUE!</v>
      </c>
      <c r="J712" s="675" t="e">
        <f>INDEX($B$1012:$B$1016,J460)</f>
        <v>#VALUE!</v>
      </c>
      <c r="K712" s="675" t="e">
        <f>INDEX($B$1012:$B$1016,K460)</f>
        <v>#VALUE!</v>
      </c>
      <c r="L712" s="675" t="e">
        <f>INDEX($B$1012:$B$1016,L460)</f>
        <v>#VALUE!</v>
      </c>
      <c r="M712" s="124"/>
      <c r="N712" s="62"/>
      <c r="O712" s="62"/>
      <c r="P712" s="454"/>
      <c r="Q712" s="62"/>
      <c r="R712" s="42"/>
      <c r="S712" s="42"/>
      <c r="T712" s="42"/>
      <c r="U712" s="42"/>
      <c r="V712" s="58"/>
      <c r="W712" s="58"/>
      <c r="X712" s="58"/>
      <c r="Y712" s="58"/>
    </row>
    <row r="713" spans="1:25" ht="15" x14ac:dyDescent="0.25">
      <c r="A713" s="199"/>
      <c r="B713" s="4445" t="s">
        <v>4594</v>
      </c>
      <c r="C713" s="4375"/>
      <c r="D713" s="4375"/>
      <c r="E713" s="4375"/>
      <c r="F713" s="4375"/>
      <c r="G713" s="4375"/>
      <c r="H713" s="675" t="e">
        <f>INDEX($G$1012:$G$1016,H460)</f>
        <v>#VALUE!</v>
      </c>
      <c r="I713" s="675" t="e">
        <f>INDEX($G$1012:$G$1016,I460)</f>
        <v>#VALUE!</v>
      </c>
      <c r="J713" s="675" t="e">
        <f>INDEX($G$1012:$G$1016,J460)</f>
        <v>#VALUE!</v>
      </c>
      <c r="K713" s="675" t="e">
        <f>INDEX($G$1012:$G$1016,K460)</f>
        <v>#VALUE!</v>
      </c>
      <c r="L713" s="675" t="e">
        <f>INDEX($G$1012:$G$1016,L460)</f>
        <v>#VALUE!</v>
      </c>
      <c r="M713" s="124"/>
      <c r="N713" s="62"/>
      <c r="O713" s="62"/>
      <c r="P713" s="454"/>
      <c r="Q713" s="62"/>
      <c r="R713" s="42"/>
      <c r="S713" s="42"/>
      <c r="T713" s="42"/>
      <c r="U713" s="42"/>
      <c r="V713" s="58"/>
      <c r="W713" s="58"/>
      <c r="X713" s="58"/>
      <c r="Y713" s="58"/>
    </row>
    <row r="714" spans="1:25" ht="15" x14ac:dyDescent="0.25">
      <c r="A714" s="199"/>
      <c r="B714" s="4460" t="s">
        <v>4595</v>
      </c>
      <c r="C714" s="4460"/>
      <c r="D714" s="4460"/>
      <c r="E714" s="4460"/>
      <c r="F714" s="4460"/>
      <c r="G714" s="4460"/>
      <c r="H714" s="680" t="e">
        <f>0.32*H712/(H713*H495)</f>
        <v>#VALUE!</v>
      </c>
      <c r="I714" s="680" t="e">
        <f>0.32*I712/(I713*I495)</f>
        <v>#VALUE!</v>
      </c>
      <c r="J714" s="680" t="e">
        <f>0.32*J712/(J713*J495)</f>
        <v>#VALUE!</v>
      </c>
      <c r="K714" s="680" t="e">
        <f>0.32*K712/(K713*K495)</f>
        <v>#VALUE!</v>
      </c>
      <c r="L714" s="680" t="e">
        <f>0.32*L712/(L713*L495)</f>
        <v>#VALUE!</v>
      </c>
      <c r="M714" s="124"/>
      <c r="N714" s="62"/>
      <c r="O714" s="62"/>
      <c r="P714" s="454"/>
      <c r="Q714" s="62"/>
      <c r="R714" s="42"/>
      <c r="S714" s="42"/>
      <c r="T714" s="42"/>
      <c r="U714" s="42"/>
      <c r="V714" s="58"/>
      <c r="W714" s="58"/>
      <c r="X714" s="58"/>
      <c r="Y714" s="58"/>
    </row>
    <row r="715" spans="1:25" ht="15" x14ac:dyDescent="0.25">
      <c r="A715" s="199"/>
      <c r="B715" s="4445" t="s">
        <v>509</v>
      </c>
      <c r="C715" s="4445"/>
      <c r="D715" s="4445"/>
      <c r="E715" s="4445"/>
      <c r="F715" s="4445"/>
      <c r="G715" s="4445"/>
      <c r="H715" s="675" t="e">
        <f>INT(H109-(IF(H446=0,0,H438))-(IF(H450=0,0,H439))/H712)</f>
        <v>#VALUE!</v>
      </c>
      <c r="I715" s="675" t="e">
        <f>INT(I109-(IF(I446=0,0,I438))-(IF(I450=0,0,I439))/I712)</f>
        <v>#VALUE!</v>
      </c>
      <c r="J715" s="675" t="e">
        <f>INT(J109-(IF(J446=0,0,J438))-(IF(J450=0,0,J439))/J712)</f>
        <v>#VALUE!</v>
      </c>
      <c r="K715" s="675" t="e">
        <f>INT(K109-(IF(K446=0,0,K438))-(IF(K450=0,0,K439))/K712)</f>
        <v>#VALUE!</v>
      </c>
      <c r="L715" s="675" t="e">
        <f>INT(L109-(IF(L446=0,0,L438))-(IF(L450=0,0,L439))/L712)</f>
        <v>#VALUE!</v>
      </c>
      <c r="M715" s="124"/>
      <c r="N715" s="62"/>
      <c r="O715" s="124" t="s">
        <v>510</v>
      </c>
      <c r="P715" s="454"/>
      <c r="Q715" s="62"/>
      <c r="R715" s="42"/>
      <c r="S715" s="42"/>
      <c r="T715" s="42"/>
      <c r="U715" s="42"/>
      <c r="V715" s="58"/>
      <c r="W715" s="58"/>
      <c r="X715" s="58"/>
      <c r="Y715" s="58"/>
    </row>
    <row r="716" spans="1:25" ht="15" x14ac:dyDescent="0.25">
      <c r="A716" s="199"/>
      <c r="B716" s="199"/>
      <c r="C716" s="199"/>
      <c r="D716" s="199"/>
      <c r="E716" s="199"/>
      <c r="F716" s="199"/>
      <c r="G716" s="199"/>
      <c r="H716" s="199"/>
      <c r="I716" s="199"/>
      <c r="J716" s="199"/>
      <c r="K716" s="199"/>
      <c r="L716" s="199"/>
      <c r="M716" s="199"/>
      <c r="N716" s="62"/>
      <c r="O716" s="62"/>
      <c r="P716" s="454"/>
      <c r="Q716" s="62"/>
      <c r="R716" s="42"/>
      <c r="S716" s="42"/>
      <c r="T716" s="42"/>
      <c r="U716" s="42"/>
      <c r="V716" s="58"/>
      <c r="W716" s="58"/>
      <c r="X716" s="58"/>
      <c r="Y716" s="58"/>
    </row>
    <row r="717" spans="1:25" ht="18.75" x14ac:dyDescent="0.35">
      <c r="A717" s="199"/>
      <c r="B717" s="38" t="s">
        <v>2272</v>
      </c>
      <c r="C717" s="120"/>
      <c r="D717" s="120"/>
      <c r="E717" s="120"/>
      <c r="F717" s="120"/>
      <c r="G717" s="120"/>
      <c r="H717" s="675" t="e">
        <f>H726/H712</f>
        <v>#VALUE!</v>
      </c>
      <c r="I717" s="675" t="e">
        <f>I726/I712</f>
        <v>#VALUE!</v>
      </c>
      <c r="J717" s="675" t="e">
        <f>J726/J712</f>
        <v>#VALUE!</v>
      </c>
      <c r="K717" s="675" t="e">
        <f>K726/K712</f>
        <v>#VALUE!</v>
      </c>
      <c r="L717" s="675" t="e">
        <f>L726/L712</f>
        <v>#VALUE!</v>
      </c>
      <c r="M717" s="124"/>
      <c r="N717" s="62"/>
      <c r="O717" s="62"/>
      <c r="P717" s="454"/>
      <c r="Q717" s="62"/>
      <c r="R717" s="42"/>
      <c r="S717" s="42"/>
      <c r="T717" s="42"/>
      <c r="U717" s="42"/>
      <c r="V717" s="58"/>
      <c r="W717" s="58"/>
      <c r="X717" s="58"/>
      <c r="Y717" s="58"/>
    </row>
    <row r="718" spans="1:25" ht="24.75" customHeight="1" x14ac:dyDescent="0.25">
      <c r="A718" s="199" t="s">
        <v>508</v>
      </c>
      <c r="B718" s="4460" t="s">
        <v>2273</v>
      </c>
      <c r="C718" s="4375"/>
      <c r="D718" s="4375"/>
      <c r="E718" s="4375"/>
      <c r="F718" s="4375"/>
      <c r="G718" s="4375"/>
      <c r="H718" s="675" t="e">
        <f>H714*H717</f>
        <v>#VALUE!</v>
      </c>
      <c r="I718" s="675" t="e">
        <f>I714*I717</f>
        <v>#VALUE!</v>
      </c>
      <c r="J718" s="675" t="e">
        <f>J714*J717</f>
        <v>#VALUE!</v>
      </c>
      <c r="K718" s="675" t="e">
        <f>K714*K717</f>
        <v>#VALUE!</v>
      </c>
      <c r="L718" s="675" t="e">
        <f>L714*L717</f>
        <v>#VALUE!</v>
      </c>
      <c r="M718" s="124"/>
      <c r="N718" s="62"/>
      <c r="O718" s="62"/>
      <c r="P718" s="454"/>
      <c r="Q718" s="62"/>
      <c r="R718" s="42"/>
      <c r="S718" s="42"/>
      <c r="T718" s="42"/>
      <c r="U718" s="42"/>
      <c r="V718" s="58"/>
      <c r="W718" s="58"/>
      <c r="X718" s="58"/>
      <c r="Y718" s="58"/>
    </row>
    <row r="719" spans="1:25" ht="15" x14ac:dyDescent="0.25">
      <c r="A719" s="199"/>
      <c r="B719" s="4554" t="s">
        <v>3380</v>
      </c>
      <c r="C719" s="4554"/>
      <c r="D719" s="4554"/>
      <c r="E719" s="4554"/>
      <c r="F719" s="4554"/>
      <c r="G719" s="4554"/>
      <c r="H719" s="675" t="e">
        <f>IF(H756*H757&gt;360,1,3600/(H756*H757)-10)</f>
        <v>#DIV/0!</v>
      </c>
      <c r="I719" s="675" t="e">
        <f>IF(I756*I757&gt;360,1,3600/(I756*I757)-10)</f>
        <v>#DIV/0!</v>
      </c>
      <c r="J719" s="675" t="e">
        <f>IF(J756*J757&gt;360,1,3600/(J756*J757)-10)</f>
        <v>#DIV/0!</v>
      </c>
      <c r="K719" s="675" t="e">
        <f>IF(K756*K757&gt;360,1,3600/(K756*K757)-10)</f>
        <v>#DIV/0!</v>
      </c>
      <c r="L719" s="675" t="e">
        <f>IF(L756*L757&gt;360,1,3600/(L756*L757)-10)</f>
        <v>#DIV/0!</v>
      </c>
      <c r="M719" s="124"/>
      <c r="N719" s="62"/>
      <c r="O719" s="62"/>
      <c r="P719" s="454"/>
      <c r="Q719" s="62"/>
      <c r="R719" s="42"/>
      <c r="S719" s="42"/>
      <c r="T719" s="42"/>
      <c r="U719" s="42"/>
      <c r="V719" s="58"/>
      <c r="W719" s="58"/>
      <c r="X719" s="58"/>
      <c r="Y719" s="58"/>
    </row>
    <row r="720" spans="1:25" ht="15" x14ac:dyDescent="0.25">
      <c r="A720" s="199"/>
      <c r="B720" s="4554" t="s">
        <v>3381</v>
      </c>
      <c r="C720" s="4375"/>
      <c r="D720" s="4375"/>
      <c r="E720" s="4375"/>
      <c r="F720" s="4375"/>
      <c r="G720" s="4375"/>
      <c r="H720" s="675" t="e">
        <f>IF(H436=2,2*H717,H717)</f>
        <v>#VALUE!</v>
      </c>
      <c r="I720" s="675" t="e">
        <f>IF(I436=2,2*I717,I717)</f>
        <v>#VALUE!</v>
      </c>
      <c r="J720" s="675" t="e">
        <f>IF(J436=2,2*J717,J717)</f>
        <v>#VALUE!</v>
      </c>
      <c r="K720" s="675" t="e">
        <f>IF(K436=2,2*K717,K717)</f>
        <v>#VALUE!</v>
      </c>
      <c r="L720" s="675" t="e">
        <f>IF(L436=2,2*L717,L717)</f>
        <v>#VALUE!</v>
      </c>
      <c r="M720" s="124"/>
      <c r="N720" s="124"/>
      <c r="O720" s="62"/>
      <c r="P720" s="454"/>
      <c r="Q720" s="62"/>
      <c r="R720" s="42"/>
      <c r="S720" s="42"/>
      <c r="T720" s="42"/>
      <c r="U720" s="42"/>
      <c r="V720" s="58"/>
      <c r="W720" s="58"/>
      <c r="X720" s="58"/>
      <c r="Y720" s="58"/>
    </row>
    <row r="721" spans="1:25" ht="38.25" customHeight="1" x14ac:dyDescent="0.25">
      <c r="A721" s="199" t="s">
        <v>511</v>
      </c>
      <c r="B721" s="4554" t="s">
        <v>3382</v>
      </c>
      <c r="C721" s="4445"/>
      <c r="D721" s="4445"/>
      <c r="E721" s="4445"/>
      <c r="F721" s="4445"/>
      <c r="G721" s="4445"/>
      <c r="H721" s="675" t="e">
        <f>H719*H720/60</f>
        <v>#DIV/0!</v>
      </c>
      <c r="I721" s="675" t="e">
        <f>I719*I720/60</f>
        <v>#DIV/0!</v>
      </c>
      <c r="J721" s="675" t="e">
        <f>J719*J720/60</f>
        <v>#DIV/0!</v>
      </c>
      <c r="K721" s="675" t="e">
        <f>K719*K720/60</f>
        <v>#DIV/0!</v>
      </c>
      <c r="L721" s="675" t="e">
        <f>L719*L720/60</f>
        <v>#DIV/0!</v>
      </c>
      <c r="M721" s="124"/>
      <c r="N721" s="62"/>
      <c r="O721" s="62"/>
      <c r="P721" s="454"/>
      <c r="Q721" s="62"/>
      <c r="R721" s="42"/>
      <c r="S721" s="42"/>
      <c r="T721" s="42"/>
      <c r="U721" s="42"/>
      <c r="V721" s="58"/>
      <c r="W721" s="58"/>
      <c r="X721" s="58"/>
      <c r="Y721" s="58"/>
    </row>
    <row r="722" spans="1:25" ht="36" customHeight="1" x14ac:dyDescent="0.25">
      <c r="A722" s="199"/>
      <c r="B722" s="4552" t="s">
        <v>2091</v>
      </c>
      <c r="C722" s="4542"/>
      <c r="D722" s="4542"/>
      <c r="E722" s="4542"/>
      <c r="F722" s="4542"/>
      <c r="G722" s="4542"/>
      <c r="H722" s="681" t="e">
        <f>H709+H711+H718+H721</f>
        <v>#VALUE!</v>
      </c>
      <c r="I722" s="681" t="e">
        <f>I709+I711+I718+I721</f>
        <v>#VALUE!</v>
      </c>
      <c r="J722" s="681" t="e">
        <f>J709+J711+J718+J721</f>
        <v>#VALUE!</v>
      </c>
      <c r="K722" s="681" t="e">
        <f>K709+K711+K718+K721</f>
        <v>#VALUE!</v>
      </c>
      <c r="L722" s="681" t="e">
        <f>L709+L711+L718+L721</f>
        <v>#VALUE!</v>
      </c>
      <c r="M722" s="124"/>
      <c r="N722" s="62"/>
      <c r="O722" s="62"/>
      <c r="P722" s="454"/>
      <c r="Q722" s="62"/>
      <c r="R722" s="42"/>
      <c r="S722" s="42"/>
      <c r="T722" s="42"/>
      <c r="U722" s="42"/>
      <c r="V722" s="58"/>
      <c r="W722" s="58"/>
      <c r="X722" s="58"/>
      <c r="Y722" s="58"/>
    </row>
    <row r="723" spans="1:25" ht="15" x14ac:dyDescent="0.25">
      <c r="A723" s="666"/>
      <c r="B723" s="4554" t="s">
        <v>3383</v>
      </c>
      <c r="C723" s="4554"/>
      <c r="D723" s="4554"/>
      <c r="E723" s="4554"/>
      <c r="F723" s="4554"/>
      <c r="G723" s="4554"/>
      <c r="H723" s="682" t="e">
        <f>H696*H701*H702*H706/(H709+H711+H718+H721)</f>
        <v>#VALUE!</v>
      </c>
      <c r="I723" s="682" t="e">
        <f>I696*I701*I702*I706/(I709+I711+I718+I721)</f>
        <v>#VALUE!</v>
      </c>
      <c r="J723" s="682" t="e">
        <f>J696*J701*J702*J706/(J709+J711+J718+J721)</f>
        <v>#VALUE!</v>
      </c>
      <c r="K723" s="682" t="e">
        <f>K696*K701*K702*K706/(K709+K711+K718+K721)</f>
        <v>#VALUE!</v>
      </c>
      <c r="L723" s="682" t="e">
        <f>L696*L701*L702*L706/(L709+L711+L718+L721)</f>
        <v>#VALUE!</v>
      </c>
      <c r="M723" s="199"/>
      <c r="N723" s="124"/>
      <c r="O723" s="124"/>
      <c r="P723" s="124"/>
      <c r="Q723" s="124"/>
      <c r="R723" s="42"/>
      <c r="S723" s="42"/>
      <c r="T723" s="42"/>
      <c r="U723" s="42"/>
      <c r="V723" s="58"/>
      <c r="W723" s="58"/>
      <c r="X723" s="58"/>
      <c r="Y723" s="58"/>
    </row>
    <row r="724" spans="1:25" ht="15" x14ac:dyDescent="0.25">
      <c r="A724" s="199"/>
      <c r="B724" s="499"/>
      <c r="C724" s="112" t="s">
        <v>4317</v>
      </c>
      <c r="D724" s="90"/>
      <c r="E724" s="90"/>
      <c r="F724" s="90"/>
      <c r="G724" s="90"/>
      <c r="H724" s="675"/>
      <c r="I724" s="675"/>
      <c r="J724" s="675"/>
      <c r="K724" s="675"/>
      <c r="L724" s="675"/>
      <c r="M724" s="199"/>
      <c r="N724" s="124"/>
      <c r="O724" s="124"/>
      <c r="P724" s="454"/>
      <c r="Q724" s="62"/>
      <c r="R724" s="42"/>
      <c r="S724" s="42"/>
      <c r="T724" s="42"/>
      <c r="U724" s="42"/>
      <c r="V724" s="58"/>
      <c r="W724" s="58"/>
      <c r="X724" s="58"/>
      <c r="Y724" s="58"/>
    </row>
    <row r="725" spans="1:25" ht="16.5" x14ac:dyDescent="0.35">
      <c r="A725" s="199"/>
      <c r="B725" s="4522" t="s">
        <v>3384</v>
      </c>
      <c r="C725" s="4375"/>
      <c r="D725" s="4375"/>
      <c r="E725" s="4375"/>
      <c r="F725" s="4375"/>
      <c r="G725" s="4375"/>
      <c r="H725" s="32" t="e">
        <f>H836+H856</f>
        <v>#VALUE!</v>
      </c>
      <c r="I725" s="32" t="e">
        <f>I836+I856</f>
        <v>#VALUE!</v>
      </c>
      <c r="J725" s="32" t="e">
        <f>J836+J856</f>
        <v>#VALUE!</v>
      </c>
      <c r="K725" s="32" t="e">
        <f>K836+K856</f>
        <v>#VALUE!</v>
      </c>
      <c r="L725" s="32" t="e">
        <f>L836+L856</f>
        <v>#VALUE!</v>
      </c>
      <c r="M725" s="124"/>
      <c r="N725" s="124"/>
      <c r="O725" s="199"/>
      <c r="P725" s="454"/>
      <c r="Q725" s="62"/>
      <c r="R725" s="42"/>
      <c r="S725" s="42"/>
      <c r="T725" s="42"/>
      <c r="U725" s="42"/>
      <c r="V725" s="58"/>
      <c r="W725" s="58"/>
      <c r="X725" s="58"/>
      <c r="Y725" s="58"/>
    </row>
    <row r="726" spans="1:25" ht="15" x14ac:dyDescent="0.25">
      <c r="A726" s="199"/>
      <c r="B726" s="4445" t="s">
        <v>4596</v>
      </c>
      <c r="C726" s="4375"/>
      <c r="D726" s="4375"/>
      <c r="E726" s="4375"/>
      <c r="F726" s="4375"/>
      <c r="G726" s="4375"/>
      <c r="H726" s="672">
        <f>H111</f>
        <v>0</v>
      </c>
      <c r="I726" s="672">
        <f>I111</f>
        <v>0</v>
      </c>
      <c r="J726" s="672">
        <f>J111</f>
        <v>0</v>
      </c>
      <c r="K726" s="672">
        <f>K111</f>
        <v>0</v>
      </c>
      <c r="L726" s="672">
        <f>L111</f>
        <v>0</v>
      </c>
      <c r="M726" s="124"/>
      <c r="N726" s="62"/>
      <c r="O726" s="124"/>
      <c r="P726" s="454"/>
      <c r="Q726" s="62"/>
      <c r="R726" s="42"/>
      <c r="S726" s="42"/>
      <c r="T726" s="42"/>
      <c r="U726" s="42"/>
      <c r="V726" s="58"/>
      <c r="W726" s="58"/>
      <c r="X726" s="58"/>
      <c r="Y726" s="58"/>
    </row>
    <row r="727" spans="1:25" ht="16.5" x14ac:dyDescent="0.35">
      <c r="A727" s="199"/>
      <c r="B727" s="4522" t="s">
        <v>3385</v>
      </c>
      <c r="C727" s="4375"/>
      <c r="D727" s="4375"/>
      <c r="E727" s="4375"/>
      <c r="F727" s="4375"/>
      <c r="G727" s="4375"/>
      <c r="H727" s="675" t="e">
        <f>H726/H456</f>
        <v>#DIV/0!</v>
      </c>
      <c r="I727" s="675" t="e">
        <f>I726/I456</f>
        <v>#DIV/0!</v>
      </c>
      <c r="J727" s="675" t="e">
        <f>J726/J456</f>
        <v>#DIV/0!</v>
      </c>
      <c r="K727" s="675" t="e">
        <f>K726/K456</f>
        <v>#DIV/0!</v>
      </c>
      <c r="L727" s="675" t="e">
        <f>L726/L456</f>
        <v>#DIV/0!</v>
      </c>
      <c r="M727" s="124"/>
      <c r="N727" s="124"/>
      <c r="O727" s="124"/>
      <c r="P727" s="454"/>
      <c r="Q727" s="62"/>
      <c r="R727" s="42"/>
      <c r="S727" s="42"/>
      <c r="T727" s="42"/>
      <c r="U727" s="42"/>
      <c r="V727" s="58"/>
      <c r="W727" s="58"/>
      <c r="X727" s="58"/>
      <c r="Y727" s="58"/>
    </row>
    <row r="728" spans="1:25" ht="15" x14ac:dyDescent="0.25">
      <c r="A728" s="199"/>
      <c r="B728" s="4552" t="s">
        <v>2092</v>
      </c>
      <c r="C728" s="4553"/>
      <c r="D728" s="4553"/>
      <c r="E728" s="4553"/>
      <c r="F728" s="4553"/>
      <c r="G728" s="4553"/>
      <c r="H728" s="681" t="e">
        <f>H725*H727</f>
        <v>#VALUE!</v>
      </c>
      <c r="I728" s="681" t="e">
        <f>I725*I727</f>
        <v>#VALUE!</v>
      </c>
      <c r="J728" s="681" t="e">
        <f>J725*J727</f>
        <v>#VALUE!</v>
      </c>
      <c r="K728" s="681" t="e">
        <f>K725*K727</f>
        <v>#VALUE!</v>
      </c>
      <c r="L728" s="681" t="e">
        <f>L725*L727</f>
        <v>#VALUE!</v>
      </c>
      <c r="M728" s="124"/>
      <c r="N728" s="124"/>
      <c r="O728" s="124"/>
      <c r="P728" s="454"/>
      <c r="Q728" s="62"/>
      <c r="R728" s="42"/>
      <c r="S728" s="42"/>
      <c r="T728" s="42"/>
      <c r="U728" s="42"/>
      <c r="V728" s="58"/>
      <c r="W728" s="58"/>
      <c r="X728" s="58"/>
      <c r="Y728" s="58"/>
    </row>
    <row r="729" spans="1:25" ht="15" x14ac:dyDescent="0.25">
      <c r="A729" s="199"/>
      <c r="B729" s="4554" t="s">
        <v>1890</v>
      </c>
      <c r="C729" s="4460"/>
      <c r="D729" s="4460"/>
      <c r="E729" s="4460"/>
      <c r="F729" s="4460"/>
      <c r="G729" s="4460"/>
      <c r="H729" s="123" t="e">
        <f>H695*H706/(H725*H727)</f>
        <v>#VALUE!</v>
      </c>
      <c r="I729" s="123" t="e">
        <f>I695*I706/(I725*I727)</f>
        <v>#VALUE!</v>
      </c>
      <c r="J729" s="123" t="e">
        <f>J695*J706/(J725*J727)</f>
        <v>#VALUE!</v>
      </c>
      <c r="K729" s="123" t="e">
        <f>K695*K706/(K725*K727)</f>
        <v>#VALUE!</v>
      </c>
      <c r="L729" s="123" t="e">
        <f>L695*L706/(L725*L727)</f>
        <v>#VALUE!</v>
      </c>
      <c r="M729" s="124"/>
      <c r="N729" s="124"/>
      <c r="O729" s="124"/>
      <c r="P729" s="454"/>
      <c r="Q729" s="62"/>
      <c r="R729" s="42"/>
      <c r="S729" s="42"/>
      <c r="T729" s="42"/>
      <c r="U729" s="42"/>
      <c r="V729" s="58"/>
      <c r="W729" s="58"/>
      <c r="X729" s="58"/>
      <c r="Y729" s="58"/>
    </row>
    <row r="730" spans="1:25" ht="15.75" x14ac:dyDescent="0.3">
      <c r="A730" s="199"/>
      <c r="B730" s="4460" t="s">
        <v>1891</v>
      </c>
      <c r="C730" s="4375"/>
      <c r="D730" s="4375"/>
      <c r="E730" s="4375"/>
      <c r="F730" s="4375"/>
      <c r="G730" s="4539"/>
      <c r="H730" s="682" t="e">
        <f>IF(H493=1,H729,H723)</f>
        <v>#VALUE!</v>
      </c>
      <c r="I730" s="682" t="e">
        <f>IF(I493=1,I729,I723)</f>
        <v>#VALUE!</v>
      </c>
      <c r="J730" s="682" t="e">
        <f>IF(J493=1,J729,J723)</f>
        <v>#VALUE!</v>
      </c>
      <c r="K730" s="682" t="e">
        <f>IF(K493=1,K729,K723)</f>
        <v>#VALUE!</v>
      </c>
      <c r="L730" s="682" t="e">
        <f>IF(L493=1,L729,L723)</f>
        <v>#VALUE!</v>
      </c>
      <c r="M730" s="547"/>
      <c r="N730" s="87"/>
      <c r="O730" s="87"/>
      <c r="P730" s="547"/>
      <c r="Q730" s="62"/>
      <c r="R730" s="42"/>
      <c r="S730" s="42"/>
      <c r="T730" s="42"/>
      <c r="U730" s="42"/>
      <c r="V730" s="58"/>
      <c r="W730" s="58"/>
      <c r="X730" s="58"/>
      <c r="Y730" s="58"/>
    </row>
    <row r="731" spans="1:25" ht="15" x14ac:dyDescent="0.25">
      <c r="A731" s="199"/>
      <c r="B731" s="4445" t="s">
        <v>3046</v>
      </c>
      <c r="C731" s="4375"/>
      <c r="D731" s="4375"/>
      <c r="E731" s="4375"/>
      <c r="F731" s="4375"/>
      <c r="G731" s="4375"/>
      <c r="H731" s="675">
        <f>IF(H492=1,0,1/H723)</f>
        <v>0</v>
      </c>
      <c r="I731" s="675">
        <f>IF(I492=1,0,1/I723)</f>
        <v>0</v>
      </c>
      <c r="J731" s="675">
        <f>IF(J492=1,0,1/J723)</f>
        <v>0</v>
      </c>
      <c r="K731" s="675">
        <f>IF(K492=1,0,1/K723)</f>
        <v>0</v>
      </c>
      <c r="L731" s="675">
        <f>IF(L492=1,0,1/L723)</f>
        <v>0</v>
      </c>
      <c r="M731" s="683"/>
      <c r="N731" s="87"/>
      <c r="O731" s="87"/>
      <c r="P731" s="683"/>
      <c r="Q731" s="62"/>
      <c r="R731" s="42"/>
      <c r="S731" s="42"/>
      <c r="T731" s="42"/>
      <c r="U731" s="42"/>
      <c r="V731" s="58"/>
      <c r="W731" s="58"/>
      <c r="X731" s="58"/>
      <c r="Y731" s="58"/>
    </row>
    <row r="732" spans="1:25" ht="15" x14ac:dyDescent="0.25">
      <c r="A732" s="199"/>
      <c r="B732" s="4445" t="s">
        <v>4829</v>
      </c>
      <c r="C732" s="4375"/>
      <c r="D732" s="4375"/>
      <c r="E732" s="4375"/>
      <c r="F732" s="4375"/>
      <c r="G732" s="4375"/>
      <c r="H732" s="675">
        <f>IF(H492=1,0,1/H729)</f>
        <v>0</v>
      </c>
      <c r="I732" s="675">
        <f>IF(I492=1,0,1/I729)</f>
        <v>0</v>
      </c>
      <c r="J732" s="675">
        <f>IF(J492=1,0,1/J729)</f>
        <v>0</v>
      </c>
      <c r="K732" s="675">
        <f>IF(K492=1,0,1/K729)</f>
        <v>0</v>
      </c>
      <c r="L732" s="675">
        <f>IF(L492=1,0,1/L729)</f>
        <v>0</v>
      </c>
      <c r="M732" s="124"/>
      <c r="N732" s="62"/>
      <c r="O732" s="62"/>
      <c r="P732" s="454"/>
      <c r="Q732" s="62"/>
      <c r="R732" s="42"/>
      <c r="S732" s="42"/>
      <c r="T732" s="42"/>
      <c r="U732" s="42"/>
      <c r="V732" s="58"/>
      <c r="W732" s="58"/>
      <c r="X732" s="58"/>
      <c r="Y732" s="58"/>
    </row>
    <row r="733" spans="1:25" ht="15.75" x14ac:dyDescent="0.3">
      <c r="A733" s="11"/>
      <c r="B733" s="4556" t="s">
        <v>4830</v>
      </c>
      <c r="C733" s="4556"/>
      <c r="D733" s="4556"/>
      <c r="E733" s="4556"/>
      <c r="F733" s="4556"/>
      <c r="G733" s="4556"/>
      <c r="H733" s="435">
        <f>IF(H493=1,H732,H731)</f>
        <v>0</v>
      </c>
      <c r="I733" s="435">
        <f>IF(I493=1,I732,I731)</f>
        <v>0</v>
      </c>
      <c r="J733" s="435">
        <f>IF(J493=1,J732,J731)</f>
        <v>0</v>
      </c>
      <c r="K733" s="435">
        <f>IF(K493=1,K732,K731)</f>
        <v>0</v>
      </c>
      <c r="L733" s="435">
        <f>IF(L493=1,L732,L731)</f>
        <v>0</v>
      </c>
      <c r="M733" s="124"/>
      <c r="N733" s="62"/>
      <c r="O733" s="62"/>
      <c r="P733" s="454"/>
      <c r="Q733" s="62"/>
      <c r="R733" s="42"/>
      <c r="S733" s="42"/>
      <c r="T733" s="42"/>
      <c r="U733" s="42"/>
      <c r="V733" s="58"/>
      <c r="W733" s="58"/>
      <c r="X733" s="58"/>
      <c r="Y733" s="58"/>
    </row>
    <row r="734" spans="1:25" ht="15" x14ac:dyDescent="0.25">
      <c r="A734" s="11"/>
      <c r="B734" s="4445" t="s">
        <v>2093</v>
      </c>
      <c r="C734" s="4375"/>
      <c r="D734" s="4375"/>
      <c r="E734" s="4375"/>
      <c r="F734" s="4375"/>
      <c r="G734" s="4539"/>
      <c r="H734" s="435" t="e">
        <f>H862+H869+H881</f>
        <v>#VALUE!</v>
      </c>
      <c r="I734" s="435" t="e">
        <f>I862+I869+I881</f>
        <v>#VALUE!</v>
      </c>
      <c r="J734" s="435" t="e">
        <f>J862+J869+J881</f>
        <v>#VALUE!</v>
      </c>
      <c r="K734" s="435" t="e">
        <f>K862+K869+K881</f>
        <v>#VALUE!</v>
      </c>
      <c r="L734" s="435" t="e">
        <f>L862+L869+L881</f>
        <v>#VALUE!</v>
      </c>
      <c r="M734" s="124"/>
      <c r="N734" s="62"/>
      <c r="O734" s="62"/>
      <c r="P734" s="454"/>
      <c r="Q734" s="62"/>
      <c r="R734" s="42"/>
      <c r="S734" s="42"/>
      <c r="T734" s="42"/>
      <c r="U734" s="42"/>
      <c r="V734" s="58"/>
      <c r="W734" s="58"/>
      <c r="X734" s="58"/>
      <c r="Y734" s="58"/>
    </row>
    <row r="735" spans="1:25" ht="15" x14ac:dyDescent="0.25">
      <c r="A735" s="11"/>
      <c r="B735" s="4445" t="s">
        <v>2095</v>
      </c>
      <c r="C735" s="4375"/>
      <c r="D735" s="4375"/>
      <c r="E735" s="4375"/>
      <c r="F735" s="4375"/>
      <c r="G735" s="4539"/>
      <c r="H735" s="435">
        <f>2*H456</f>
        <v>0</v>
      </c>
      <c r="I735" s="435">
        <f>2*I456</f>
        <v>0</v>
      </c>
      <c r="J735" s="435">
        <f>2*J456</f>
        <v>0</v>
      </c>
      <c r="K735" s="435">
        <f>2*K456</f>
        <v>0</v>
      </c>
      <c r="L735" s="435">
        <f>2*L456</f>
        <v>0</v>
      </c>
      <c r="M735" s="124"/>
      <c r="N735" s="62"/>
      <c r="O735" s="62"/>
      <c r="P735" s="454"/>
      <c r="Q735" s="62"/>
      <c r="R735" s="42"/>
      <c r="S735" s="42"/>
      <c r="T735" s="42"/>
      <c r="U735" s="42"/>
      <c r="V735" s="58"/>
      <c r="W735" s="58"/>
      <c r="X735" s="58"/>
      <c r="Y735" s="58"/>
    </row>
    <row r="736" spans="1:25" ht="15" x14ac:dyDescent="0.25">
      <c r="A736" s="11"/>
      <c r="B736" s="4445" t="s">
        <v>2094</v>
      </c>
      <c r="C736" s="4375"/>
      <c r="D736" s="4375"/>
      <c r="E736" s="4375"/>
      <c r="F736" s="4375"/>
      <c r="G736" s="4539"/>
      <c r="H736" s="435" t="e">
        <f>(H109/H735)/H726</f>
        <v>#DIV/0!</v>
      </c>
      <c r="I736" s="435" t="e">
        <f>(I109/I735)/I726</f>
        <v>#DIV/0!</v>
      </c>
      <c r="J736" s="435" t="e">
        <f>(J109/J735)/J726</f>
        <v>#DIV/0!</v>
      </c>
      <c r="K736" s="435" t="e">
        <f>(K109/K735)/K726</f>
        <v>#DIV/0!</v>
      </c>
      <c r="L736" s="435" t="e">
        <f>(L109/L735)/L726</f>
        <v>#DIV/0!</v>
      </c>
      <c r="M736" s="124"/>
      <c r="N736" s="62"/>
      <c r="O736" s="62"/>
      <c r="P736" s="454"/>
      <c r="Q736" s="62"/>
      <c r="R736" s="42"/>
      <c r="S736" s="42"/>
      <c r="T736" s="42"/>
      <c r="U736" s="42"/>
      <c r="V736" s="58"/>
      <c r="W736" s="58"/>
      <c r="X736" s="58"/>
      <c r="Y736" s="58"/>
    </row>
    <row r="737" spans="1:25" ht="15.75" x14ac:dyDescent="0.3">
      <c r="A737" s="11"/>
      <c r="B737" s="4445" t="s">
        <v>4831</v>
      </c>
      <c r="C737" s="4375"/>
      <c r="D737" s="4375"/>
      <c r="E737" s="4375"/>
      <c r="F737" s="4375"/>
      <c r="G737" s="4375"/>
      <c r="H737" s="684" t="e">
        <f>H734*H736</f>
        <v>#VALUE!</v>
      </c>
      <c r="I737" s="684" t="e">
        <f>I734*I736</f>
        <v>#VALUE!</v>
      </c>
      <c r="J737" s="684" t="e">
        <f>J734*J736</f>
        <v>#VALUE!</v>
      </c>
      <c r="K737" s="684" t="e">
        <f>K734*K736</f>
        <v>#VALUE!</v>
      </c>
      <c r="L737" s="684" t="e">
        <f>L734*L736</f>
        <v>#VALUE!</v>
      </c>
      <c r="M737" s="683"/>
      <c r="N737" s="683"/>
      <c r="O737" s="62"/>
      <c r="P737" s="454"/>
      <c r="Q737" s="62"/>
      <c r="R737" s="42"/>
      <c r="S737" s="42"/>
      <c r="T737" s="42"/>
      <c r="U737" s="42"/>
      <c r="V737" s="58"/>
      <c r="W737" s="58"/>
      <c r="X737" s="58"/>
      <c r="Y737" s="58"/>
    </row>
    <row r="738" spans="1:25" ht="15" x14ac:dyDescent="0.25">
      <c r="A738" s="11"/>
      <c r="B738" s="22" t="s">
        <v>4597</v>
      </c>
      <c r="C738" s="120"/>
      <c r="D738" s="120"/>
      <c r="E738" s="120"/>
      <c r="F738" s="120"/>
      <c r="G738" s="120"/>
      <c r="H738" s="675" t="b">
        <f>H457</f>
        <v>0</v>
      </c>
      <c r="I738" s="675" t="b">
        <f>I457</f>
        <v>0</v>
      </c>
      <c r="J738" s="675" t="b">
        <f>J457</f>
        <v>0</v>
      </c>
      <c r="K738" s="675" t="b">
        <f>K457</f>
        <v>0</v>
      </c>
      <c r="L738" s="675" t="b">
        <f>L457</f>
        <v>0</v>
      </c>
      <c r="M738" s="124"/>
      <c r="N738" s="62"/>
      <c r="O738" s="62"/>
      <c r="P738" s="454"/>
      <c r="Q738" s="62"/>
      <c r="R738" s="42"/>
      <c r="S738" s="42"/>
      <c r="T738" s="42"/>
      <c r="U738" s="42"/>
      <c r="V738" s="58"/>
      <c r="W738" s="58"/>
      <c r="X738" s="58"/>
      <c r="Y738" s="58"/>
    </row>
    <row r="739" spans="1:25" ht="15.75" x14ac:dyDescent="0.3">
      <c r="A739" s="11"/>
      <c r="B739" s="4560" t="s">
        <v>843</v>
      </c>
      <c r="C739" s="4375"/>
      <c r="D739" s="4375"/>
      <c r="E739" s="4375"/>
      <c r="F739" s="4375"/>
      <c r="G739" s="4375"/>
      <c r="H739" s="685" t="e">
        <f>IF(H493=2,0,H737/H738)</f>
        <v>#VALUE!</v>
      </c>
      <c r="I739" s="685" t="e">
        <f>IF(I493=2,0,I737/I738)</f>
        <v>#VALUE!</v>
      </c>
      <c r="J739" s="685" t="e">
        <f>IF(J493=2,0,J737/J738)</f>
        <v>#VALUE!</v>
      </c>
      <c r="K739" s="685" t="e">
        <f>IF(K493=2,0,K737/K738)</f>
        <v>#VALUE!</v>
      </c>
      <c r="L739" s="685" t="e">
        <f>IF(L493=2,0,L737/L738)</f>
        <v>#VALUE!</v>
      </c>
      <c r="M739" s="124"/>
      <c r="N739" s="62"/>
      <c r="O739" s="62"/>
      <c r="P739" s="454"/>
      <c r="Q739" s="62"/>
      <c r="R739" s="42"/>
      <c r="S739" s="42"/>
      <c r="T739" s="42"/>
      <c r="U739" s="42"/>
      <c r="V739" s="58"/>
      <c r="W739" s="58"/>
      <c r="X739" s="58"/>
      <c r="Y739" s="58"/>
    </row>
    <row r="740" spans="1:25" ht="18.75" x14ac:dyDescent="0.3">
      <c r="A740" s="11"/>
      <c r="B740" s="199" t="s">
        <v>1130</v>
      </c>
      <c r="C740" s="199"/>
      <c r="D740" s="199"/>
      <c r="E740" s="199"/>
      <c r="F740" s="199"/>
      <c r="G740" s="199"/>
      <c r="H740" s="528" t="e">
        <f>(H684*1/H207)+H688</f>
        <v>#VALUE!</v>
      </c>
      <c r="I740" s="528" t="e">
        <f>(I684*1/I207)+I688</f>
        <v>#VALUE!</v>
      </c>
      <c r="J740" s="528" t="e">
        <f>(J684*1/J207)+J688</f>
        <v>#VALUE!</v>
      </c>
      <c r="K740" s="528" t="e">
        <f>(K684*1/K207)+K688</f>
        <v>#VALUE!</v>
      </c>
      <c r="L740" s="528" t="e">
        <f>(L684*1/L207)+L688</f>
        <v>#VALUE!</v>
      </c>
      <c r="M740" s="124"/>
      <c r="N740" s="62"/>
      <c r="O740" s="62"/>
      <c r="P740" s="454"/>
      <c r="Q740" s="62"/>
      <c r="R740" s="42"/>
      <c r="S740" s="42"/>
      <c r="T740" s="42"/>
      <c r="U740" s="42"/>
      <c r="V740" s="58"/>
      <c r="W740" s="58"/>
      <c r="X740" s="58"/>
      <c r="Y740" s="58"/>
    </row>
    <row r="741" spans="1:25" ht="15" x14ac:dyDescent="0.25">
      <c r="A741" s="11"/>
      <c r="B741" s="199" t="s">
        <v>390</v>
      </c>
      <c r="C741" s="199"/>
      <c r="D741" s="199"/>
      <c r="E741" s="199"/>
      <c r="F741" s="199"/>
      <c r="G741" s="199"/>
      <c r="H741" s="528" t="e">
        <f>H495*H810*H109</f>
        <v>#VALUE!</v>
      </c>
      <c r="I741" s="528" t="e">
        <f>I495*I810*I109</f>
        <v>#VALUE!</v>
      </c>
      <c r="J741" s="528" t="e">
        <f>J495*J810*J109</f>
        <v>#VALUE!</v>
      </c>
      <c r="K741" s="528" t="e">
        <f>K495*K810*K109</f>
        <v>#VALUE!</v>
      </c>
      <c r="L741" s="528" t="e">
        <f>L495*L810*L109</f>
        <v>#VALUE!</v>
      </c>
      <c r="M741" s="124"/>
      <c r="N741" s="62"/>
      <c r="O741" s="62"/>
      <c r="P741" s="454"/>
      <c r="Q741" s="62"/>
      <c r="R741" s="42"/>
      <c r="S741" s="42"/>
      <c r="T741" s="42"/>
      <c r="U741" s="42"/>
      <c r="V741" s="58"/>
      <c r="W741" s="58"/>
      <c r="X741" s="58"/>
      <c r="Y741" s="58"/>
    </row>
    <row r="742" spans="1:25" ht="20.25" x14ac:dyDescent="0.35">
      <c r="A742" s="11"/>
      <c r="B742" s="199" t="s">
        <v>1131</v>
      </c>
      <c r="C742" s="199"/>
      <c r="D742" s="199"/>
      <c r="E742" s="199"/>
      <c r="F742" s="199"/>
      <c r="G742" s="199"/>
      <c r="H742" s="686" t="e">
        <f ca="1">H211*H740/H741</f>
        <v>#VALUE!</v>
      </c>
      <c r="I742" s="686" t="e">
        <f ca="1">I211*I740/I741</f>
        <v>#VALUE!</v>
      </c>
      <c r="J742" s="686" t="e">
        <f ca="1">J211*J740/J741</f>
        <v>#VALUE!</v>
      </c>
      <c r="K742" s="686" t="e">
        <f ca="1">K211*K740/K741</f>
        <v>#VALUE!</v>
      </c>
      <c r="L742" s="686" t="e">
        <f ca="1">L211*L740/L741</f>
        <v>#VALUE!</v>
      </c>
      <c r="M742" s="124"/>
      <c r="N742" s="62"/>
      <c r="O742" s="62"/>
      <c r="P742" s="454"/>
      <c r="Q742" s="62"/>
      <c r="R742" s="42"/>
      <c r="S742" s="42"/>
      <c r="T742" s="42"/>
      <c r="U742" s="42"/>
      <c r="V742" s="58"/>
      <c r="W742" s="58"/>
      <c r="X742" s="58"/>
      <c r="Y742" s="58"/>
    </row>
    <row r="743" spans="1:25" ht="15" x14ac:dyDescent="0.25">
      <c r="A743" s="11"/>
      <c r="B743" s="541" t="s">
        <v>1019</v>
      </c>
      <c r="C743" s="199"/>
      <c r="D743" s="199"/>
      <c r="E743" s="199"/>
      <c r="F743" s="199"/>
      <c r="G743" s="199"/>
      <c r="H743" s="687" t="e">
        <f ca="1">1/(1+H742)</f>
        <v>#VALUE!</v>
      </c>
      <c r="I743" s="687" t="e">
        <f ca="1">1/(1+I742)</f>
        <v>#VALUE!</v>
      </c>
      <c r="J743" s="687" t="e">
        <f ca="1">1/(1+J742)</f>
        <v>#VALUE!</v>
      </c>
      <c r="K743" s="687" t="e">
        <f ca="1">1/(1+K742)</f>
        <v>#VALUE!</v>
      </c>
      <c r="L743" s="687" t="e">
        <f ca="1">1/(1+L742)</f>
        <v>#VALUE!</v>
      </c>
      <c r="M743" s="124"/>
      <c r="N743" s="62"/>
      <c r="O743" s="62"/>
      <c r="P743" s="454"/>
      <c r="Q743" s="62"/>
      <c r="R743" s="42"/>
      <c r="S743" s="42"/>
      <c r="T743" s="42"/>
      <c r="U743" s="42"/>
      <c r="V743" s="58"/>
      <c r="W743" s="58"/>
      <c r="X743" s="58"/>
      <c r="Y743" s="58"/>
    </row>
    <row r="744" spans="1:25" ht="20.25" x14ac:dyDescent="0.35">
      <c r="A744" s="11"/>
      <c r="B744" s="199" t="s">
        <v>1132</v>
      </c>
      <c r="C744" s="199"/>
      <c r="D744" s="199"/>
      <c r="E744" s="199"/>
      <c r="F744" s="199"/>
      <c r="G744" s="199"/>
      <c r="H744" s="688" t="e">
        <f ca="1">H211*H733/H741</f>
        <v>#VALUE!</v>
      </c>
      <c r="I744" s="688" t="e">
        <f ca="1">I211*I733/I741</f>
        <v>#VALUE!</v>
      </c>
      <c r="J744" s="688" t="e">
        <f ca="1">J211*J733/J741</f>
        <v>#VALUE!</v>
      </c>
      <c r="K744" s="688" t="e">
        <f ca="1">K211*K733/K741</f>
        <v>#VALUE!</v>
      </c>
      <c r="L744" s="688" t="e">
        <f ca="1">L211*L733/L741</f>
        <v>#VALUE!</v>
      </c>
      <c r="M744" s="124"/>
      <c r="N744" s="62"/>
      <c r="O744" s="62"/>
      <c r="P744" s="454"/>
      <c r="Q744" s="62"/>
      <c r="R744" s="42"/>
      <c r="S744" s="42"/>
      <c r="T744" s="42"/>
      <c r="U744" s="42"/>
      <c r="V744" s="58"/>
      <c r="W744" s="58"/>
      <c r="X744" s="58"/>
      <c r="Y744" s="58"/>
    </row>
    <row r="745" spans="1:25" ht="15" x14ac:dyDescent="0.25">
      <c r="A745" s="11"/>
      <c r="B745" s="541" t="s">
        <v>838</v>
      </c>
      <c r="C745" s="199"/>
      <c r="D745" s="199"/>
      <c r="E745" s="199"/>
      <c r="F745" s="199"/>
      <c r="G745" s="199"/>
      <c r="H745" s="528" t="e">
        <f ca="1">1/(1+H744)</f>
        <v>#VALUE!</v>
      </c>
      <c r="I745" s="528" t="e">
        <f ca="1">1/(1+I744)</f>
        <v>#VALUE!</v>
      </c>
      <c r="J745" s="528" t="e">
        <f ca="1">1/(1+J744)</f>
        <v>#VALUE!</v>
      </c>
      <c r="K745" s="528" t="e">
        <f ca="1">1/(1+K744)</f>
        <v>#VALUE!</v>
      </c>
      <c r="L745" s="528" t="e">
        <f ca="1">1/(1+L744)</f>
        <v>#VALUE!</v>
      </c>
      <c r="M745" s="124"/>
      <c r="N745" s="62"/>
      <c r="O745" s="62"/>
      <c r="P745" s="454"/>
      <c r="Q745" s="62"/>
      <c r="R745" s="42"/>
      <c r="S745" s="42"/>
      <c r="T745" s="42"/>
      <c r="U745" s="42"/>
      <c r="V745" s="58"/>
      <c r="W745" s="58"/>
      <c r="X745" s="58"/>
      <c r="Y745" s="58"/>
    </row>
    <row r="746" spans="1:25" ht="18.75" x14ac:dyDescent="0.3">
      <c r="A746" s="11"/>
      <c r="B746" s="199" t="s">
        <v>1133</v>
      </c>
      <c r="C746" s="199"/>
      <c r="D746" s="199"/>
      <c r="E746" s="199"/>
      <c r="F746" s="199"/>
      <c r="G746" s="199"/>
      <c r="H746" s="688" t="e">
        <f ca="1">H211*H739/H741</f>
        <v>#VALUE!</v>
      </c>
      <c r="I746" s="688" t="e">
        <f ca="1">I211*I739/I741</f>
        <v>#VALUE!</v>
      </c>
      <c r="J746" s="688" t="e">
        <f ca="1">J211*J739/J741</f>
        <v>#VALUE!</v>
      </c>
      <c r="K746" s="688" t="e">
        <f ca="1">K211*K739/K741</f>
        <v>#VALUE!</v>
      </c>
      <c r="L746" s="688" t="e">
        <f ca="1">L211*L739/L741</f>
        <v>#VALUE!</v>
      </c>
      <c r="M746" s="124"/>
      <c r="N746" s="62"/>
      <c r="O746" s="62"/>
      <c r="P746" s="454"/>
      <c r="Q746" s="62"/>
      <c r="R746" s="42"/>
      <c r="S746" s="42"/>
      <c r="T746" s="42"/>
      <c r="U746" s="42"/>
      <c r="V746" s="58"/>
      <c r="W746" s="58"/>
      <c r="X746" s="58"/>
      <c r="Y746" s="58"/>
    </row>
    <row r="747" spans="1:25" ht="15" x14ac:dyDescent="0.25">
      <c r="A747" s="11"/>
      <c r="B747" s="541" t="s">
        <v>504</v>
      </c>
      <c r="C747" s="199"/>
      <c r="D747" s="199"/>
      <c r="E747" s="199"/>
      <c r="F747" s="199"/>
      <c r="G747" s="199"/>
      <c r="H747" s="528" t="e">
        <f ca="1">1/(1+H746)</f>
        <v>#VALUE!</v>
      </c>
      <c r="I747" s="528" t="e">
        <f ca="1">1/(1+I746)</f>
        <v>#VALUE!</v>
      </c>
      <c r="J747" s="528" t="e">
        <f ca="1">1/(1+J746)</f>
        <v>#VALUE!</v>
      </c>
      <c r="K747" s="528" t="e">
        <f ca="1">1/(1+K746)</f>
        <v>#VALUE!</v>
      </c>
      <c r="L747" s="528" t="e">
        <f ca="1">1/(1+L746)</f>
        <v>#VALUE!</v>
      </c>
      <c r="M747" s="124"/>
      <c r="N747" s="62"/>
      <c r="O747" s="62"/>
      <c r="P747" s="454"/>
      <c r="Q747" s="62"/>
      <c r="R747" s="42"/>
      <c r="S747" s="42"/>
      <c r="T747" s="42"/>
      <c r="U747" s="42"/>
      <c r="V747" s="58"/>
      <c r="W747" s="58"/>
      <c r="X747" s="58"/>
      <c r="Y747" s="58"/>
    </row>
    <row r="748" spans="1:25" ht="15" x14ac:dyDescent="0.25">
      <c r="A748" s="11"/>
      <c r="B748" s="199"/>
      <c r="C748" s="199"/>
      <c r="D748" s="199"/>
      <c r="E748" s="199"/>
      <c r="F748" s="199"/>
      <c r="G748" s="199"/>
      <c r="H748" s="528"/>
      <c r="I748" s="528"/>
      <c r="J748" s="528"/>
      <c r="K748" s="124"/>
      <c r="L748" s="124"/>
      <c r="M748" s="124"/>
      <c r="N748" s="62"/>
      <c r="O748" s="62"/>
      <c r="P748" s="454"/>
      <c r="Q748" s="62"/>
      <c r="R748" s="42"/>
      <c r="S748" s="42"/>
      <c r="T748" s="42"/>
      <c r="U748" s="42"/>
      <c r="V748" s="58"/>
      <c r="W748" s="58"/>
      <c r="X748" s="58"/>
      <c r="Y748" s="58"/>
    </row>
    <row r="749" spans="1:25" ht="15" x14ac:dyDescent="0.25">
      <c r="A749" s="11"/>
      <c r="B749" s="4507" t="s">
        <v>2280</v>
      </c>
      <c r="C749" s="4507"/>
      <c r="D749" s="4507"/>
      <c r="E749" s="4507"/>
      <c r="F749" s="4507"/>
      <c r="G749" s="4507"/>
      <c r="H749" s="685" t="e">
        <f ca="1">1/(1+H742+H744+H746+H644+H674+H656+H677)</f>
        <v>#VALUE!</v>
      </c>
      <c r="I749" s="685" t="e">
        <f ca="1">1/(1+I742+I744+I746+I644+I674+I656+I677)</f>
        <v>#VALUE!</v>
      </c>
      <c r="J749" s="685" t="e">
        <f ca="1">1/(1+J742+J744+J746+J644+J674+J656+J677)</f>
        <v>#VALUE!</v>
      </c>
      <c r="K749" s="685" t="e">
        <f ca="1">1/(1+K742+K744+K746+K644+K674+K656+K677)</f>
        <v>#VALUE!</v>
      </c>
      <c r="L749" s="685" t="e">
        <f ca="1">1/(1+L742+L744+L746+L644+L674+L656+L677)</f>
        <v>#VALUE!</v>
      </c>
      <c r="M749" s="124"/>
      <c r="N749" s="62"/>
      <c r="O749" s="62"/>
      <c r="P749" s="454"/>
      <c r="Q749" s="62"/>
      <c r="R749" s="42"/>
      <c r="S749" s="42"/>
      <c r="T749" s="42"/>
      <c r="U749" s="42"/>
      <c r="V749" s="58"/>
      <c r="W749" s="58"/>
      <c r="X749" s="58"/>
      <c r="Y749" s="58"/>
    </row>
    <row r="750" spans="1:25" ht="17.25" x14ac:dyDescent="0.3">
      <c r="A750" s="11"/>
      <c r="B750" s="199"/>
      <c r="C750" s="624" t="s">
        <v>2281</v>
      </c>
      <c r="D750" s="199"/>
      <c r="E750" s="199"/>
      <c r="F750" s="199"/>
      <c r="G750" s="199"/>
      <c r="H750" s="199"/>
      <c r="I750" s="199"/>
      <c r="J750" s="199"/>
      <c r="K750" s="199"/>
      <c r="L750" s="199"/>
      <c r="M750" s="683"/>
      <c r="N750" s="87"/>
      <c r="O750" s="62"/>
      <c r="P750" s="454"/>
      <c r="Q750" s="62"/>
      <c r="R750" s="42"/>
      <c r="S750" s="42"/>
      <c r="T750" s="42"/>
      <c r="U750" s="42"/>
      <c r="V750" s="58"/>
      <c r="W750" s="58"/>
      <c r="X750" s="58"/>
      <c r="Y750" s="58"/>
    </row>
    <row r="751" spans="1:25" ht="15" x14ac:dyDescent="0.25">
      <c r="A751" s="29"/>
      <c r="B751" s="119" t="s">
        <v>3349</v>
      </c>
      <c r="C751" s="120"/>
      <c r="D751" s="120"/>
      <c r="E751" s="120"/>
      <c r="F751" s="120"/>
      <c r="G751" s="120"/>
      <c r="H751" s="38"/>
      <c r="I751" s="672"/>
      <c r="J751" s="199"/>
      <c r="K751" s="199"/>
      <c r="L751" s="199"/>
      <c r="M751" s="124"/>
      <c r="N751" s="62"/>
      <c r="O751" s="62"/>
      <c r="P751" s="454"/>
      <c r="Q751" s="62"/>
      <c r="R751" s="42"/>
      <c r="S751" s="42"/>
      <c r="T751" s="42"/>
      <c r="U751" s="42"/>
      <c r="V751" s="58"/>
      <c r="W751" s="58"/>
      <c r="X751" s="58"/>
      <c r="Y751" s="58"/>
    </row>
    <row r="752" spans="1:25" ht="15" x14ac:dyDescent="0.25">
      <c r="A752" s="29"/>
      <c r="B752" s="199" t="s">
        <v>2801</v>
      </c>
      <c r="C752" s="120"/>
      <c r="D752" s="120"/>
      <c r="E752" s="120"/>
      <c r="F752" s="120"/>
      <c r="G752" s="120"/>
      <c r="H752" s="689">
        <v>1</v>
      </c>
      <c r="I752" s="689">
        <v>1</v>
      </c>
      <c r="J752" s="689">
        <v>1</v>
      </c>
      <c r="K752" s="689">
        <v>1</v>
      </c>
      <c r="L752" s="689">
        <v>1</v>
      </c>
      <c r="M752" s="124"/>
      <c r="N752" s="62"/>
      <c r="O752" s="62"/>
      <c r="P752" s="454"/>
      <c r="Q752" s="62"/>
      <c r="R752" s="42"/>
      <c r="S752" s="42"/>
      <c r="T752" s="42"/>
      <c r="U752" s="42"/>
      <c r="V752" s="58"/>
      <c r="W752" s="58"/>
      <c r="X752" s="58"/>
      <c r="Y752" s="58"/>
    </row>
    <row r="753" spans="1:25" ht="15" x14ac:dyDescent="0.25">
      <c r="A753" s="29"/>
      <c r="B753" s="4505" t="s">
        <v>3443</v>
      </c>
      <c r="C753" s="4375"/>
      <c r="D753" s="4375"/>
      <c r="E753" s="4375"/>
      <c r="F753" s="4375"/>
      <c r="G753" s="4375"/>
      <c r="H753" s="672" t="e">
        <f>IF(H436=1,INDEX($I$975:$M$975,H460),INDEX($I$976:$M$976,H460))</f>
        <v>#VALUE!</v>
      </c>
      <c r="I753" s="672">
        <f>IF(I436=1,INDEX($I$975:$M$975,I460),INDEX($I$976:$M$976,I460))</f>
        <v>1.3</v>
      </c>
      <c r="J753" s="672">
        <f>IF(J436=1,INDEX($I$975:$M$975,J460),INDEX($I$976:$M$976,J460))</f>
        <v>1.3</v>
      </c>
      <c r="K753" s="672">
        <f>IF(K436=1,INDEX($I$975:$M$975,K460),INDEX($I$976:$M$976,K460))</f>
        <v>0.8</v>
      </c>
      <c r="L753" s="672">
        <f>IF(L436=1,INDEX($I$975:$M$975,L460),INDEX($I$976:$M$976,L460))</f>
        <v>0.8</v>
      </c>
      <c r="M753" s="124"/>
      <c r="N753" s="62"/>
      <c r="O753" s="62"/>
      <c r="P753" s="454"/>
      <c r="Q753" s="62"/>
      <c r="R753" s="42"/>
      <c r="S753" s="42"/>
      <c r="T753" s="42"/>
      <c r="U753" s="42"/>
      <c r="V753" s="58"/>
      <c r="W753" s="58"/>
      <c r="X753" s="58"/>
      <c r="Y753" s="58"/>
    </row>
    <row r="754" spans="1:25" ht="15" x14ac:dyDescent="0.25">
      <c r="A754" s="29"/>
      <c r="B754" s="4505" t="s">
        <v>2802</v>
      </c>
      <c r="C754" s="4375"/>
      <c r="D754" s="4375"/>
      <c r="E754" s="4375"/>
      <c r="F754" s="4375"/>
      <c r="G754" s="4375"/>
      <c r="H754" s="672" t="e">
        <f>IF(H436=1,INDEX($B$984:$F$991,$H$452,H460),INDEX($H$984:$L$991,$H$452,H460))</f>
        <v>#VALUE!</v>
      </c>
      <c r="I754" s="672" t="e">
        <f>IF(I436=1,INDEX($B$984:$F$991,$H$452,I460),INDEX($H$984:$L$991,$H$452,I460))</f>
        <v>#VALUE!</v>
      </c>
      <c r="J754" s="672" t="e">
        <f>IF(J436=1,INDEX($B$984:$F$991,$H$452,J460),INDEX($H$984:$L$991,$H$452,J460))</f>
        <v>#VALUE!</v>
      </c>
      <c r="K754" s="672" t="e">
        <f>IF(K436=1,INDEX($B$984:$F$991,$H$452,K460),INDEX($H$984:$L$991,$H$452,K460))</f>
        <v>#VALUE!</v>
      </c>
      <c r="L754" s="672" t="e">
        <f>IF(L436=1,INDEX($B$984:$F$991,$H$452,L460),INDEX($H$984:$L$991,$H$452,L460))</f>
        <v>#VALUE!</v>
      </c>
      <c r="M754" s="124"/>
      <c r="N754" s="87"/>
      <c r="O754" s="87"/>
      <c r="P754" s="454"/>
      <c r="Q754" s="62"/>
      <c r="R754" s="42"/>
      <c r="S754" s="42"/>
      <c r="T754" s="42"/>
      <c r="U754" s="42"/>
      <c r="V754" s="58"/>
      <c r="W754" s="58"/>
      <c r="X754" s="58"/>
      <c r="Y754" s="58"/>
    </row>
    <row r="755" spans="1:25" ht="15" x14ac:dyDescent="0.25">
      <c r="A755" s="29"/>
      <c r="B755" s="22" t="s">
        <v>3760</v>
      </c>
      <c r="C755" s="120"/>
      <c r="D755" s="120"/>
      <c r="E755" s="120"/>
      <c r="F755" s="120"/>
      <c r="G755" s="120"/>
      <c r="H755" s="32" t="e">
        <f>IF(H493=1,1,H754/H753-1)</f>
        <v>#VALUE!</v>
      </c>
      <c r="I755" s="32" t="e">
        <f>IF(I493=1,1,I754/I753-1)</f>
        <v>#VALUE!</v>
      </c>
      <c r="J755" s="32" t="e">
        <f>IF(J493=1,1,J754/J753-1)</f>
        <v>#VALUE!</v>
      </c>
      <c r="K755" s="32" t="e">
        <f>IF(K493=1,1,K754/K753-1)</f>
        <v>#VALUE!</v>
      </c>
      <c r="L755" s="32" t="e">
        <f>IF(L493=1,1,L754/L753-1)</f>
        <v>#VALUE!</v>
      </c>
      <c r="M755" s="124"/>
      <c r="N755" s="690"/>
      <c r="O755" s="62"/>
      <c r="P755" s="454"/>
      <c r="Q755" s="62"/>
      <c r="R755" s="42"/>
      <c r="S755" s="42"/>
      <c r="T755" s="42"/>
      <c r="U755" s="42"/>
      <c r="V755" s="58"/>
      <c r="W755" s="58"/>
      <c r="X755" s="58"/>
      <c r="Y755" s="58"/>
    </row>
    <row r="756" spans="1:25" ht="16.5" x14ac:dyDescent="0.35">
      <c r="A756" s="29"/>
      <c r="B756" s="4445" t="s">
        <v>3444</v>
      </c>
      <c r="C756" s="4375"/>
      <c r="D756" s="4375"/>
      <c r="E756" s="4375"/>
      <c r="F756" s="4375"/>
      <c r="G756" s="4375"/>
      <c r="H756" s="672">
        <f>IF(H503=1,31.625*H502^2-58.08*H502+27.12,27.5*H502^2-69.5*H502+43.75)</f>
        <v>43.75</v>
      </c>
      <c r="I756" s="672">
        <f>IF(I503=1,31.625*I502^2-58.08*I502+27.12,27.5*I502^2-69.5*I502+43.75)</f>
        <v>43.75</v>
      </c>
      <c r="J756" s="672">
        <f>IF(J503=1,31.625*J502^2-58.08*J502+27.12,27.5*J502^2-69.5*J502+43.75)</f>
        <v>43.75</v>
      </c>
      <c r="K756" s="672">
        <f>IF(K503=1,31.625*K502^2-58.08*K502+27.12,27.5*K502^2-69.5*K502+43.75)</f>
        <v>43.75</v>
      </c>
      <c r="L756" s="672">
        <f>IF(L503=1,31.625*L502^2-58.08*L502+27.12,27.5*L502^2-69.5*L502+43.75)</f>
        <v>43.75</v>
      </c>
      <c r="M756" s="124"/>
      <c r="N756" s="62"/>
      <c r="O756" s="62"/>
      <c r="P756" s="454"/>
      <c r="Q756" s="62"/>
      <c r="R756" s="42"/>
      <c r="S756" s="42"/>
      <c r="T756" s="42"/>
      <c r="U756" s="42"/>
      <c r="V756" s="58"/>
      <c r="W756" s="58"/>
      <c r="X756" s="58"/>
      <c r="Y756" s="58"/>
    </row>
    <row r="757" spans="1:25" ht="15" x14ac:dyDescent="0.25">
      <c r="A757" s="29"/>
      <c r="B757" s="22" t="s">
        <v>5104</v>
      </c>
      <c r="C757" s="120"/>
      <c r="D757" s="120"/>
      <c r="E757" s="120"/>
      <c r="F757" s="120"/>
      <c r="G757" s="120"/>
      <c r="H757" s="672" t="b">
        <f>IF(H507&lt;=45,$K$960+$L$960*SIN(H507*3.14/180),IF(H507&lt;=70,$M$960,IF(H507&lt;=90,$N$960+$O$960*COS(H507*3.14/180))))</f>
        <v>0</v>
      </c>
      <c r="I757" s="672" t="b">
        <f>IF(I507&lt;=45,$K$960+$L$960*SIN(I507*3.14/180),IF(I507&lt;=70,$M$960,IF(I507&lt;=90,$N$960+$O$960*COS(I507*3.14/180))))</f>
        <v>0</v>
      </c>
      <c r="J757" s="672" t="b">
        <f>IF(J507&lt;=45,$K$960+$L$960*SIN(J507*3.14/180),IF(J507&lt;=70,$M$960,IF(J507&lt;=90,$N$960+$O$960*COS(J507*3.14/180))))</f>
        <v>0</v>
      </c>
      <c r="K757" s="672" t="b">
        <f>IF(K507&lt;=45,$K$960+$L$960*SIN(K507*3.14/180),IF(K507&lt;=70,$M$960,IF(K507&lt;=90,$N$960+$O$960*COS(K507*3.14/180))))</f>
        <v>0</v>
      </c>
      <c r="L757" s="672" t="b">
        <f>IF(L507&lt;=45,$K$960+$L$960*SIN(L507*3.14/180),IF(L507&lt;=70,$M$960,IF(L507&lt;=90,$N$960+$O$960*COS(L507*3.14/180))))</f>
        <v>0</v>
      </c>
      <c r="M757" s="124"/>
      <c r="N757" s="62"/>
      <c r="O757" s="62"/>
      <c r="P757" s="454"/>
      <c r="Q757" s="62"/>
      <c r="R757" s="42"/>
      <c r="S757" s="42"/>
      <c r="T757" s="42"/>
      <c r="U757" s="42"/>
      <c r="V757" s="58"/>
      <c r="W757" s="58"/>
      <c r="X757" s="58"/>
      <c r="Y757" s="58"/>
    </row>
    <row r="758" spans="1:25" ht="32.25" customHeight="1" x14ac:dyDescent="0.25">
      <c r="A758" s="29"/>
      <c r="B758" s="4460" t="s">
        <v>5105</v>
      </c>
      <c r="C758" s="4460"/>
      <c r="D758" s="4460"/>
      <c r="E758" s="4460"/>
      <c r="F758" s="4460"/>
      <c r="G758" s="4460"/>
      <c r="H758" s="32" t="e">
        <f ca="1">(2.72/(1+LN(IF(H493=2,H755,H752))))*(1.2*H211*H749*H756*H757/(H495*H810*H109))^0.5</f>
        <v>#VALUE!</v>
      </c>
      <c r="I758" s="32" t="e">
        <f ca="1">(2.72/(1+LN(IF(I493=2,I755,I752))))*(1.2*I211*I749*I756*I757/(I495*I810*I109))^0.5</f>
        <v>#VALUE!</v>
      </c>
      <c r="J758" s="32" t="e">
        <f ca="1">(2.72/(1+LN(IF(J493=2,J755,J752))))*(1.2*J211*J749*J756*J757/(J495*J810*J109))^0.5</f>
        <v>#VALUE!</v>
      </c>
      <c r="K758" s="32" t="e">
        <f ca="1">(2.72/(1+LN(IF(K493=2,K755,K752))))*(1.2*K211*K749*K756*K757/(K495*K810*K109))^0.5</f>
        <v>#VALUE!</v>
      </c>
      <c r="L758" s="32" t="e">
        <f ca="1">(2.72/(1+LN(IF(L493=2,L755,L752))))*(1.2*L211*L749*L756*L757/(L495*L810*L109))^0.5</f>
        <v>#VALUE!</v>
      </c>
      <c r="M758" s="124"/>
      <c r="N758" s="62"/>
      <c r="O758" s="62"/>
      <c r="P758" s="454"/>
      <c r="Q758" s="62"/>
      <c r="R758" s="42"/>
      <c r="S758" s="42"/>
      <c r="T758" s="42"/>
      <c r="U758" s="42"/>
      <c r="V758" s="58"/>
      <c r="W758" s="58"/>
      <c r="X758" s="58"/>
      <c r="Y758" s="58"/>
    </row>
    <row r="759" spans="1:25" ht="15.75" x14ac:dyDescent="0.25">
      <c r="A759" s="29"/>
      <c r="B759" s="691" t="e">
        <f ca="1">IF(OR(H758&lt;H692+H696,I758&lt;I692+I696,J758&lt;J692+J696,K758&lt;K692+K696,L758&lt;L692+L696),"Забой неустойчив !","Устойчивость забоя гарантирована !")</f>
        <v>#VALUE!</v>
      </c>
      <c r="C759" s="120"/>
      <c r="D759" s="120"/>
      <c r="E759" s="120"/>
      <c r="F759" s="120"/>
      <c r="G759" s="120"/>
      <c r="H759" s="672"/>
      <c r="I759" s="672"/>
      <c r="J759" s="672"/>
      <c r="K759" s="672"/>
      <c r="L759" s="672"/>
      <c r="M759" s="124"/>
      <c r="N759" s="62"/>
      <c r="O759" s="62"/>
      <c r="P759" s="454"/>
      <c r="Q759" s="62"/>
      <c r="R759" s="42"/>
      <c r="S759" s="42"/>
      <c r="T759" s="42"/>
      <c r="U759" s="42"/>
      <c r="V759" s="58"/>
      <c r="W759" s="58"/>
      <c r="X759" s="58"/>
      <c r="Y759" s="58"/>
    </row>
    <row r="760" spans="1:25" ht="17.25" x14ac:dyDescent="0.3">
      <c r="A760" s="11"/>
      <c r="B760" s="199" t="s">
        <v>3793</v>
      </c>
      <c r="C760" s="199"/>
      <c r="D760" s="199"/>
      <c r="E760" s="199"/>
      <c r="F760" s="199"/>
      <c r="G760" s="199"/>
      <c r="H760" s="528" t="e">
        <f ca="1">IF(H692+H696&lt;H758,1,0)</f>
        <v>#VALUE!</v>
      </c>
      <c r="I760" s="528" t="e">
        <f ca="1">IF(I692+I696&lt;I758,1,0)</f>
        <v>#VALUE!</v>
      </c>
      <c r="J760" s="528" t="e">
        <f ca="1">IF(J692+J696&lt;J758,1,0)</f>
        <v>#VALUE!</v>
      </c>
      <c r="K760" s="528" t="e">
        <f ca="1">IF(K692+K696&lt;K758,1,0)</f>
        <v>#VALUE!</v>
      </c>
      <c r="L760" s="528" t="e">
        <f ca="1">IF(L692+L696&lt;L758,1,0)</f>
        <v>#VALUE!</v>
      </c>
      <c r="M760" s="124"/>
      <c r="N760" s="62"/>
      <c r="O760" s="62"/>
      <c r="P760" s="454"/>
      <c r="Q760" s="62"/>
      <c r="R760" s="42"/>
      <c r="S760" s="42"/>
      <c r="T760" s="42"/>
      <c r="U760" s="42"/>
      <c r="V760" s="58"/>
      <c r="W760" s="58"/>
      <c r="X760" s="58"/>
      <c r="Y760" s="58"/>
    </row>
    <row r="761" spans="1:25" ht="30.75" customHeight="1" x14ac:dyDescent="0.35">
      <c r="A761" s="196"/>
      <c r="B761" s="199" t="s">
        <v>5299</v>
      </c>
      <c r="C761" s="199"/>
      <c r="D761" s="199"/>
      <c r="E761" s="199"/>
      <c r="F761" s="199"/>
      <c r="G761" s="199"/>
      <c r="H761" s="528" t="e">
        <f ca="1">H211*H749/(H495*H810*H109)</f>
        <v>#VALUE!</v>
      </c>
      <c r="I761" s="528" t="e">
        <f ca="1">I211*I749/(I495*I810*I109)</f>
        <v>#VALUE!</v>
      </c>
      <c r="J761" s="528" t="e">
        <f ca="1">J211*J749/(J495*J810*J109)</f>
        <v>#VALUE!</v>
      </c>
      <c r="K761" s="528" t="e">
        <f ca="1">K211*K749/(K495*K810*K109)</f>
        <v>#VALUE!</v>
      </c>
      <c r="L761" s="528" t="e">
        <f ca="1">L211*L749/(L495*L810*L109)</f>
        <v>#VALUE!</v>
      </c>
      <c r="M761" s="124"/>
      <c r="N761" s="62"/>
      <c r="O761" s="62"/>
      <c r="P761" s="454"/>
      <c r="Q761" s="62"/>
      <c r="R761" s="42"/>
      <c r="S761" s="42"/>
      <c r="T761" s="42"/>
      <c r="U761" s="42"/>
      <c r="V761" s="58"/>
      <c r="W761" s="58"/>
      <c r="X761" s="58"/>
      <c r="Y761" s="58"/>
    </row>
    <row r="762" spans="1:25" ht="15" x14ac:dyDescent="0.25">
      <c r="A762" s="11"/>
      <c r="B762" s="4505" t="s">
        <v>5257</v>
      </c>
      <c r="C762" s="4505"/>
      <c r="D762" s="4505"/>
      <c r="E762" s="4505"/>
      <c r="F762" s="4505"/>
      <c r="G762" s="4505"/>
      <c r="H762" s="685" t="e">
        <f ca="1">H730/H761</f>
        <v>#VALUE!</v>
      </c>
      <c r="I762" s="685" t="e">
        <f ca="1">I730/I761</f>
        <v>#VALUE!</v>
      </c>
      <c r="J762" s="685" t="e">
        <f ca="1">J730/J761</f>
        <v>#VALUE!</v>
      </c>
      <c r="K762" s="685" t="e">
        <f ca="1">K730/K761</f>
        <v>#VALUE!</v>
      </c>
      <c r="L762" s="685" t="e">
        <f ca="1">L730/L761</f>
        <v>#VALUE!</v>
      </c>
      <c r="M762" s="124"/>
      <c r="N762" s="62"/>
      <c r="O762" s="62"/>
      <c r="P762" s="454"/>
      <c r="Q762" s="62"/>
      <c r="R762" s="42"/>
      <c r="S762" s="42"/>
      <c r="T762" s="42"/>
      <c r="U762" s="42"/>
      <c r="V762" s="58"/>
      <c r="W762" s="58"/>
      <c r="X762" s="58"/>
      <c r="Y762" s="58"/>
    </row>
    <row r="763" spans="1:25" ht="18.75" x14ac:dyDescent="0.3">
      <c r="A763" s="61"/>
      <c r="B763" s="528" t="s">
        <v>4160</v>
      </c>
      <c r="C763" s="199"/>
      <c r="D763" s="199"/>
      <c r="E763" s="199"/>
      <c r="F763" s="199"/>
      <c r="G763" s="199"/>
      <c r="H763" s="199"/>
      <c r="I763" s="199"/>
      <c r="J763" s="199"/>
      <c r="K763" s="199"/>
      <c r="L763" s="199"/>
      <c r="M763" s="124"/>
      <c r="N763" s="62"/>
      <c r="O763" s="62"/>
      <c r="P763" s="454"/>
      <c r="Q763" s="62"/>
      <c r="R763" s="42"/>
      <c r="S763" s="42"/>
      <c r="T763" s="42"/>
      <c r="U763" s="42"/>
      <c r="V763" s="58"/>
      <c r="W763" s="58"/>
      <c r="X763" s="58"/>
      <c r="Y763" s="58"/>
    </row>
    <row r="764" spans="1:25" ht="15" x14ac:dyDescent="0.25">
      <c r="A764" s="61"/>
      <c r="B764" s="4559" t="s">
        <v>1590</v>
      </c>
      <c r="C764" s="4559"/>
      <c r="D764" s="4559"/>
      <c r="E764" s="4559"/>
      <c r="F764" s="4559"/>
      <c r="G764" s="4559"/>
      <c r="H764" s="528">
        <f>IF(H756*H757&gt;=360,1,H756*H757/600+0.4)</f>
        <v>0.4</v>
      </c>
      <c r="I764" s="528">
        <f>IF(I756*I757&gt;=360,1,I756*I757/600+0.4)</f>
        <v>0.4</v>
      </c>
      <c r="J764" s="528">
        <f>IF(J756*J757&gt;=360,1,J756*J757/600+0.4)</f>
        <v>0.4</v>
      </c>
      <c r="K764" s="528">
        <f>IF(K756*K757&gt;=360,1,K756*K757/600+0.4)</f>
        <v>0.4</v>
      </c>
      <c r="L764" s="528">
        <f>IF(L756*L757&gt;=360,1,L756*L757/600+0.4)</f>
        <v>0.4</v>
      </c>
      <c r="M764" s="124"/>
      <c r="N764" s="62"/>
      <c r="O764" s="62"/>
      <c r="P764" s="454"/>
      <c r="Q764" s="62"/>
      <c r="R764" s="42"/>
      <c r="S764" s="42"/>
      <c r="T764" s="42"/>
      <c r="U764" s="42"/>
      <c r="V764" s="58"/>
      <c r="W764" s="58"/>
      <c r="X764" s="58"/>
      <c r="Y764" s="58"/>
    </row>
    <row r="765" spans="1:25" ht="15" x14ac:dyDescent="0.25">
      <c r="A765" s="61"/>
      <c r="B765" s="4505" t="s">
        <v>310</v>
      </c>
      <c r="C765" s="4505"/>
      <c r="D765" s="4505"/>
      <c r="E765" s="4505"/>
      <c r="F765" s="4505"/>
      <c r="G765" s="4505"/>
      <c r="H765" s="528" t="e">
        <f>1/(1/H701+1/H764+1/H706-2)</f>
        <v>#VALUE!</v>
      </c>
      <c r="I765" s="528" t="e">
        <f>1/(1/I701+1/I764+1/I706-2)</f>
        <v>#VALUE!</v>
      </c>
      <c r="J765" s="528" t="e">
        <f>1/(1/J701+1/J764+1/J706-2)</f>
        <v>#VALUE!</v>
      </c>
      <c r="K765" s="528" t="e">
        <f>1/(1/K701+1/K764+1/K706-2)</f>
        <v>#VALUE!</v>
      </c>
      <c r="L765" s="528" t="e">
        <f>1/(1/L701+1/L764+1/L706-2)</f>
        <v>#VALUE!</v>
      </c>
      <c r="M765" s="124"/>
      <c r="N765" s="62"/>
      <c r="O765" s="62"/>
      <c r="P765" s="454"/>
      <c r="Q765" s="62"/>
      <c r="R765" s="42"/>
      <c r="S765" s="42"/>
      <c r="T765" s="42"/>
      <c r="U765" s="42"/>
      <c r="V765" s="58"/>
      <c r="W765" s="58"/>
      <c r="X765" s="58"/>
      <c r="Y765" s="58"/>
    </row>
    <row r="766" spans="1:25" ht="15" x14ac:dyDescent="0.25">
      <c r="A766" s="61"/>
      <c r="B766" s="4505" t="s">
        <v>5543</v>
      </c>
      <c r="C766" s="4505"/>
      <c r="D766" s="4505"/>
      <c r="E766" s="4505"/>
      <c r="F766" s="4505"/>
      <c r="G766" s="4505"/>
      <c r="H766" s="528" t="e">
        <f>((1.09/H765-1)*0.5*IF(H493=1,H752,H755)/(IF(H493=1,H736,H720)))^0.5</f>
        <v>#VALUE!</v>
      </c>
      <c r="I766" s="528" t="e">
        <f>((1.09/I765-1)*0.5*IF(I493=1,I752,I755)/(IF(I493=1,I736,I720)))^0.5</f>
        <v>#VALUE!</v>
      </c>
      <c r="J766" s="528" t="e">
        <f>((1.09/J765-1)*0.5*IF(J493=1,J752,J755)/(IF(J493=1,J736,J720)))^0.5</f>
        <v>#VALUE!</v>
      </c>
      <c r="K766" s="528" t="e">
        <f>((1.09/K765-1)*0.5*IF(K493=1,K752,K755)/(IF(K493=1,K736,K720)))^0.5</f>
        <v>#VALUE!</v>
      </c>
      <c r="L766" s="528" t="e">
        <f>((1.09/L765-1)*0.5*IF(L493=1,L752,L755)/(IF(L493=1,L736,L720)))^0.5</f>
        <v>#VALUE!</v>
      </c>
      <c r="M766" s="683"/>
      <c r="N766" s="87"/>
      <c r="O766" s="87"/>
      <c r="P766" s="454"/>
      <c r="Q766" s="62"/>
      <c r="R766" s="42"/>
      <c r="S766" s="42"/>
      <c r="T766" s="42"/>
      <c r="U766" s="42"/>
      <c r="V766" s="58"/>
      <c r="W766" s="58"/>
      <c r="X766" s="58"/>
      <c r="Y766" s="58"/>
    </row>
    <row r="767" spans="1:25" ht="15" x14ac:dyDescent="0.25">
      <c r="A767" s="61"/>
      <c r="B767" s="4505" t="s">
        <v>2835</v>
      </c>
      <c r="C767" s="4505"/>
      <c r="D767" s="4505"/>
      <c r="E767" s="4505"/>
      <c r="F767" s="4505"/>
      <c r="G767" s="4505"/>
      <c r="H767" s="528" t="e">
        <f>((1.09/H765-1)*0.5*H755/H727)^0.5</f>
        <v>#VALUE!</v>
      </c>
      <c r="I767" s="528" t="e">
        <f>((1.09/I765-1)*0.5*I755/I727)^0.5</f>
        <v>#VALUE!</v>
      </c>
      <c r="J767" s="528" t="e">
        <f>((1.09/J765-1)*0.5*J755/J727)^0.5</f>
        <v>#VALUE!</v>
      </c>
      <c r="K767" s="528" t="e">
        <f>((1.09/K765-1)*0.5*K755/K727)^0.5</f>
        <v>#VALUE!</v>
      </c>
      <c r="L767" s="528" t="e">
        <f>((1.09/L765-1)*0.5*L755/L727)^0.5</f>
        <v>#VALUE!</v>
      </c>
      <c r="M767" s="124"/>
      <c r="N767" s="62"/>
      <c r="O767" s="62"/>
      <c r="P767" s="454"/>
      <c r="Q767" s="62"/>
      <c r="R767" s="42"/>
      <c r="S767" s="42"/>
      <c r="T767" s="42"/>
      <c r="U767" s="42"/>
      <c r="V767" s="58"/>
      <c r="W767" s="58"/>
      <c r="X767" s="58"/>
      <c r="Y767" s="58"/>
    </row>
    <row r="768" spans="1:25" ht="17.25" x14ac:dyDescent="0.3">
      <c r="A768" s="61"/>
      <c r="B768" s="624" t="s">
        <v>2836</v>
      </c>
      <c r="C768" s="199"/>
      <c r="D768" s="199"/>
      <c r="E768" s="199"/>
      <c r="F768" s="199"/>
      <c r="G768" s="199"/>
      <c r="H768" s="685" t="e">
        <f>IF(H493=1,H767,H766)</f>
        <v>#VALUE!</v>
      </c>
      <c r="I768" s="685" t="e">
        <f>IF(I493=1,I767,I766)</f>
        <v>#VALUE!</v>
      </c>
      <c r="J768" s="685" t="e">
        <f>IF(J493=1,J767,J766)</f>
        <v>#VALUE!</v>
      </c>
      <c r="K768" s="685" t="e">
        <f>IF(K493=1,K767,K766)</f>
        <v>#VALUE!</v>
      </c>
      <c r="L768" s="685" t="e">
        <f>IF(L493=1,L767,L766)</f>
        <v>#VALUE!</v>
      </c>
      <c r="M768" s="124"/>
      <c r="N768" s="62"/>
      <c r="O768" s="62"/>
      <c r="P768" s="454"/>
      <c r="Q768" s="62"/>
      <c r="R768" s="42"/>
      <c r="S768" s="42"/>
      <c r="T768" s="42"/>
      <c r="U768" s="42"/>
      <c r="V768" s="58"/>
      <c r="W768" s="58"/>
      <c r="X768" s="58"/>
      <c r="Y768" s="58"/>
    </row>
    <row r="769" spans="1:25" ht="18" x14ac:dyDescent="0.3">
      <c r="A769" s="61"/>
      <c r="B769" s="199" t="s">
        <v>2837</v>
      </c>
      <c r="C769" s="199"/>
      <c r="D769" s="199"/>
      <c r="E769" s="199"/>
      <c r="F769" s="199"/>
      <c r="G769" s="199"/>
      <c r="H769" s="687" t="e">
        <f ca="1">(H758-H692-H696)/(30*(H768^2))</f>
        <v>#VALUE!</v>
      </c>
      <c r="I769" s="687" t="e">
        <f ca="1">(I758-I692-I696)/(30*(I768^2))</f>
        <v>#VALUE!</v>
      </c>
      <c r="J769" s="687" t="e">
        <f ca="1">(J758-J692-J696)/(30*(J768^2))</f>
        <v>#VALUE!</v>
      </c>
      <c r="K769" s="687" t="e">
        <f ca="1">(K758-K692-K696)/(30*(K768^2))</f>
        <v>#VALUE!</v>
      </c>
      <c r="L769" s="687" t="e">
        <f ca="1">(L758-L692-L696)/(30*(L768^2))</f>
        <v>#VALUE!</v>
      </c>
      <c r="M769" s="199"/>
      <c r="N769" s="124"/>
      <c r="O769" s="683"/>
      <c r="P769" s="73"/>
      <c r="Q769" s="62"/>
      <c r="R769" s="42"/>
      <c r="S769" s="42"/>
      <c r="T769" s="42"/>
      <c r="U769" s="42"/>
      <c r="V769" s="58"/>
      <c r="W769" s="58"/>
      <c r="X769" s="58"/>
      <c r="Y769" s="58"/>
    </row>
    <row r="770" spans="1:25" ht="33.75" customHeight="1" x14ac:dyDescent="0.25">
      <c r="A770" s="61"/>
      <c r="B770" s="4505" t="s">
        <v>2838</v>
      </c>
      <c r="C770" s="4505"/>
      <c r="D770" s="4505"/>
      <c r="E770" s="4505"/>
      <c r="F770" s="4505"/>
      <c r="G770" s="4505"/>
      <c r="H770" s="687" t="e">
        <f ca="1">IF(H692+H696&lt;H758,1,0.00001)</f>
        <v>#VALUE!</v>
      </c>
      <c r="I770" s="687" t="e">
        <f ca="1">IF(I692+I696&lt;I758,1,0.00001)</f>
        <v>#VALUE!</v>
      </c>
      <c r="J770" s="687" t="e">
        <f ca="1">IF(J692+J696&lt;J758,1,0.00001)</f>
        <v>#VALUE!</v>
      </c>
      <c r="K770" s="687" t="e">
        <f ca="1">IF(K692+K696&lt;K758,1,0.00001)</f>
        <v>#VALUE!</v>
      </c>
      <c r="L770" s="687" t="e">
        <f ca="1">IF(L692+L696&lt;L758,1,0.00001)</f>
        <v>#VALUE!</v>
      </c>
      <c r="M770" s="199"/>
      <c r="N770" s="118"/>
      <c r="O770" s="130"/>
      <c r="P770" s="692"/>
      <c r="Q770" s="62"/>
      <c r="R770" s="42"/>
      <c r="S770" s="42"/>
      <c r="T770" s="42"/>
      <c r="U770" s="42"/>
      <c r="V770" s="58"/>
      <c r="W770" s="58"/>
      <c r="X770" s="58"/>
      <c r="Y770" s="58"/>
    </row>
    <row r="771" spans="1:25" ht="15" x14ac:dyDescent="0.25">
      <c r="A771" s="61"/>
      <c r="B771" s="199" t="s">
        <v>311</v>
      </c>
      <c r="C771" s="199"/>
      <c r="D771" s="199"/>
      <c r="E771" s="199"/>
      <c r="F771" s="199"/>
      <c r="G771" s="199"/>
      <c r="H771" s="693" t="e">
        <f ca="1">(1-1/H762)</f>
        <v>#VALUE!</v>
      </c>
      <c r="I771" s="693" t="e">
        <f ca="1">(1-1/I762)</f>
        <v>#VALUE!</v>
      </c>
      <c r="J771" s="693" t="e">
        <f ca="1">(1-1/J762)</f>
        <v>#VALUE!</v>
      </c>
      <c r="K771" s="693" t="e">
        <f ca="1">(1-1/K762)</f>
        <v>#VALUE!</v>
      </c>
      <c r="L771" s="693" t="e">
        <f ca="1">(1-1/L762)</f>
        <v>#VALUE!</v>
      </c>
      <c r="M771" s="199"/>
      <c r="N771" s="118"/>
      <c r="O771" s="130"/>
      <c r="P771" s="692"/>
      <c r="Q771" s="62"/>
      <c r="R771" s="42"/>
      <c r="S771" s="42"/>
      <c r="T771" s="42"/>
      <c r="U771" s="42"/>
      <c r="V771" s="58"/>
      <c r="W771" s="58"/>
      <c r="X771" s="58"/>
      <c r="Y771" s="58"/>
    </row>
    <row r="772" spans="1:25" ht="15" x14ac:dyDescent="0.25">
      <c r="A772" s="61"/>
      <c r="B772" s="199" t="s">
        <v>312</v>
      </c>
      <c r="C772" s="199"/>
      <c r="D772" s="199"/>
      <c r="E772" s="199"/>
      <c r="F772" s="199"/>
      <c r="G772" s="199"/>
      <c r="H772" s="693" t="e">
        <f ca="1">EXP((1-1/H762)*H769)-1</f>
        <v>#VALUE!</v>
      </c>
      <c r="I772" s="693" t="e">
        <f ca="1">EXP((1-1/I762)*I769)-1</f>
        <v>#VALUE!</v>
      </c>
      <c r="J772" s="693" t="e">
        <f ca="1">EXP((1-1/J762)*J769)-1</f>
        <v>#VALUE!</v>
      </c>
      <c r="K772" s="693" t="e">
        <f ca="1">EXP((1-1/K762)*K769)-1</f>
        <v>#VALUE!</v>
      </c>
      <c r="L772" s="693" t="e">
        <f ca="1">EXP((1-1/L762)*L769)-1</f>
        <v>#VALUE!</v>
      </c>
      <c r="M772" s="199"/>
      <c r="N772" s="118"/>
      <c r="O772" s="130"/>
      <c r="P772" s="692"/>
      <c r="Q772" s="62"/>
      <c r="R772" s="42"/>
      <c r="S772" s="42"/>
      <c r="T772" s="42"/>
      <c r="U772" s="42"/>
      <c r="V772" s="58"/>
      <c r="W772" s="58"/>
      <c r="X772" s="58"/>
      <c r="Y772" s="58"/>
    </row>
    <row r="773" spans="1:25" ht="15" x14ac:dyDescent="0.25">
      <c r="A773" s="61"/>
      <c r="B773" s="199" t="s">
        <v>313</v>
      </c>
      <c r="C773" s="199"/>
      <c r="D773" s="199"/>
      <c r="E773" s="199"/>
      <c r="F773" s="199"/>
      <c r="G773" s="199"/>
      <c r="H773" s="693" t="e">
        <f ca="1">H771/H772+1</f>
        <v>#VALUE!</v>
      </c>
      <c r="I773" s="693" t="e">
        <f ca="1">I771/I772+1</f>
        <v>#VALUE!</v>
      </c>
      <c r="J773" s="693" t="e">
        <f ca="1">J771/J772+1</f>
        <v>#VALUE!</v>
      </c>
      <c r="K773" s="693" t="e">
        <f ca="1">K771/K772+1</f>
        <v>#VALUE!</v>
      </c>
      <c r="L773" s="693" t="e">
        <f ca="1">L771/L772+1</f>
        <v>#VALUE!</v>
      </c>
      <c r="M773" s="199"/>
      <c r="N773" s="118"/>
      <c r="O773" s="130"/>
      <c r="P773" s="692"/>
      <c r="Q773" s="62"/>
      <c r="R773" s="42"/>
      <c r="S773" s="42"/>
      <c r="T773" s="42"/>
      <c r="U773" s="42"/>
      <c r="V773" s="58"/>
      <c r="W773" s="58"/>
      <c r="X773" s="58"/>
      <c r="Y773" s="58"/>
    </row>
    <row r="774" spans="1:25" ht="34.5" customHeight="1" x14ac:dyDescent="0.25">
      <c r="A774" s="61"/>
      <c r="B774" s="4505" t="s">
        <v>2839</v>
      </c>
      <c r="C774" s="4505"/>
      <c r="D774" s="4505"/>
      <c r="E774" s="4505"/>
      <c r="F774" s="4505"/>
      <c r="G774" s="4505"/>
      <c r="H774" s="687" t="e">
        <f ca="1">H760/H773</f>
        <v>#VALUE!</v>
      </c>
      <c r="I774" s="687" t="e">
        <f ca="1">I760/I773</f>
        <v>#VALUE!</v>
      </c>
      <c r="J774" s="687" t="e">
        <f ca="1">J760/J773</f>
        <v>#VALUE!</v>
      </c>
      <c r="K774" s="687" t="e">
        <f ca="1">K760/K773</f>
        <v>#VALUE!</v>
      </c>
      <c r="L774" s="687" t="e">
        <f ca="1">L760/L773</f>
        <v>#VALUE!</v>
      </c>
      <c r="M774" s="683"/>
      <c r="N774" s="87"/>
      <c r="O774" s="87"/>
      <c r="P774" s="454"/>
      <c r="Q774" s="62"/>
      <c r="R774" s="42"/>
      <c r="S774" s="42"/>
      <c r="T774" s="42"/>
      <c r="U774" s="42"/>
      <c r="V774" s="58"/>
      <c r="W774" s="58"/>
      <c r="X774" s="58"/>
      <c r="Y774" s="58"/>
    </row>
    <row r="775" spans="1:25" ht="18.75" x14ac:dyDescent="0.35">
      <c r="A775" s="61"/>
      <c r="B775" s="440" t="s">
        <v>2840</v>
      </c>
      <c r="C775" s="120"/>
      <c r="D775" s="120"/>
      <c r="E775" s="120"/>
      <c r="F775" s="120"/>
      <c r="G775" s="120"/>
      <c r="H775" s="435" t="e">
        <f ca="1">IF(H492=1,H774,H770)</f>
        <v>#VALUE!</v>
      </c>
      <c r="I775" s="435" t="e">
        <f ca="1">IF(I492=1,I774,I770)</f>
        <v>#VALUE!</v>
      </c>
      <c r="J775" s="435" t="e">
        <f ca="1">IF(J492=1,J774,J770)</f>
        <v>#VALUE!</v>
      </c>
      <c r="K775" s="435" t="e">
        <f ca="1">IF(K492=1,K774,K770)</f>
        <v>#VALUE!</v>
      </c>
      <c r="L775" s="435" t="e">
        <f ca="1">IF(L492=1,L774,L770)</f>
        <v>#VALUE!</v>
      </c>
      <c r="M775" s="683"/>
      <c r="N775" s="87"/>
      <c r="O775" s="87"/>
      <c r="P775" s="454"/>
      <c r="Q775" s="62"/>
      <c r="R775" s="42"/>
      <c r="S775" s="42"/>
      <c r="T775" s="42"/>
      <c r="U775" s="42"/>
      <c r="V775" s="58"/>
      <c r="W775" s="58"/>
      <c r="X775" s="58"/>
      <c r="Y775" s="58"/>
    </row>
    <row r="776" spans="1:25" ht="15.75" x14ac:dyDescent="0.3">
      <c r="A776" s="4556" t="s">
        <v>1005</v>
      </c>
      <c r="B776" s="4375"/>
      <c r="C776" s="4375"/>
      <c r="D776" s="4375"/>
      <c r="E776" s="4375"/>
      <c r="F776" s="4375"/>
      <c r="G776" s="4375"/>
      <c r="H776" s="670" t="e">
        <f ca="1">1/(1/H749+1/H775-1)</f>
        <v>#VALUE!</v>
      </c>
      <c r="I776" s="670" t="e">
        <f ca="1">1/(1/I749+1/I775-1)</f>
        <v>#VALUE!</v>
      </c>
      <c r="J776" s="670" t="e">
        <f ca="1">1/(1/J749+1/J775-1)</f>
        <v>#VALUE!</v>
      </c>
      <c r="K776" s="670" t="e">
        <f ca="1">1/(1/K749+1/K775-1)</f>
        <v>#VALUE!</v>
      </c>
      <c r="L776" s="670" t="e">
        <f ca="1">1/(1/L749+1/L775-1)</f>
        <v>#VALUE!</v>
      </c>
      <c r="M776" s="124"/>
      <c r="N776" s="62"/>
      <c r="O776" s="62"/>
      <c r="P776" s="454"/>
      <c r="Q776" s="62"/>
      <c r="R776" s="42"/>
      <c r="S776" s="42"/>
      <c r="T776" s="42"/>
      <c r="U776" s="42"/>
      <c r="V776" s="58"/>
      <c r="W776" s="58"/>
      <c r="X776" s="58"/>
      <c r="Y776" s="58"/>
    </row>
    <row r="777" spans="1:25" ht="39.75" customHeight="1" x14ac:dyDescent="0.25">
      <c r="A777" s="11"/>
      <c r="B777" s="4461" t="s">
        <v>2503</v>
      </c>
      <c r="C777" s="4375"/>
      <c r="D777" s="4375"/>
      <c r="E777" s="4375"/>
      <c r="F777" s="4375"/>
      <c r="G777" s="4375"/>
      <c r="H777" s="4375"/>
      <c r="I777" s="4375"/>
      <c r="J777" s="4375"/>
      <c r="K777" s="4375"/>
      <c r="L777" s="4375"/>
      <c r="M777" s="4375"/>
      <c r="N777" s="11"/>
      <c r="O777" s="11"/>
      <c r="P777" s="11"/>
      <c r="Q777" s="11"/>
      <c r="R777" s="42"/>
      <c r="S777" s="42"/>
      <c r="T777" s="42"/>
      <c r="U777" s="42"/>
      <c r="V777" s="58"/>
      <c r="W777" s="58"/>
      <c r="X777" s="58"/>
      <c r="Y777" s="58"/>
    </row>
    <row r="778" spans="1:25" ht="15" x14ac:dyDescent="0.25">
      <c r="A778" s="11"/>
      <c r="B778" s="25" t="s">
        <v>1249</v>
      </c>
      <c r="C778" s="11"/>
      <c r="D778" s="11"/>
      <c r="E778" s="11"/>
      <c r="F778" s="11"/>
      <c r="G778" s="11"/>
      <c r="H778" s="37">
        <f>H794</f>
        <v>0.96499999999999997</v>
      </c>
      <c r="I778" s="37">
        <f>I794</f>
        <v>0.96499999999999997</v>
      </c>
      <c r="J778" s="37">
        <f>J794</f>
        <v>0.96499999999999997</v>
      </c>
      <c r="K778" s="37">
        <f>K794</f>
        <v>0.96499999999999997</v>
      </c>
      <c r="L778" s="37">
        <f>L794</f>
        <v>0.96499999999999997</v>
      </c>
      <c r="M778" s="37"/>
      <c r="N778" s="11"/>
      <c r="O778" s="11"/>
      <c r="P778" s="11"/>
      <c r="Q778" s="11"/>
      <c r="R778" s="42"/>
      <c r="S778" s="42"/>
      <c r="T778" s="42"/>
      <c r="U778" s="42"/>
      <c r="V778" s="58"/>
      <c r="W778" s="58"/>
      <c r="X778" s="58"/>
      <c r="Y778" s="58"/>
    </row>
    <row r="779" spans="1:25" ht="15" x14ac:dyDescent="0.25">
      <c r="A779" s="11"/>
      <c r="B779" s="25" t="s">
        <v>1206</v>
      </c>
      <c r="C779" s="30"/>
      <c r="D779" s="30"/>
      <c r="E779" s="30"/>
      <c r="F779" s="30"/>
      <c r="G779" s="30"/>
      <c r="H779" s="124">
        <f>IF(H501&gt;=3,0.93,1)</f>
        <v>0.93</v>
      </c>
      <c r="I779" s="124">
        <f>IF(I501&gt;=3,0.93,1)</f>
        <v>0.93</v>
      </c>
      <c r="J779" s="124">
        <f>IF(J501&gt;=3,0.93,1)</f>
        <v>0.93</v>
      </c>
      <c r="K779" s="124">
        <f>IF(K501&gt;=3,0.93,1)</f>
        <v>0.93</v>
      </c>
      <c r="L779" s="124">
        <f>IF(L501&gt;=3,0.93,1)</f>
        <v>0.93</v>
      </c>
      <c r="M779" s="16"/>
      <c r="N779" s="11"/>
      <c r="O779" s="11"/>
      <c r="P779" s="11"/>
      <c r="Q779" s="11"/>
      <c r="R779" s="42"/>
      <c r="S779" s="42"/>
      <c r="T779" s="42"/>
      <c r="U779" s="42"/>
      <c r="V779" s="58"/>
      <c r="W779" s="58"/>
      <c r="X779" s="58"/>
      <c r="Y779" s="58"/>
    </row>
    <row r="780" spans="1:25" ht="15" x14ac:dyDescent="0.25">
      <c r="A780" s="11"/>
      <c r="B780" s="4461" t="s">
        <v>2502</v>
      </c>
      <c r="C780" s="4375"/>
      <c r="D780" s="4375"/>
      <c r="E780" s="4375"/>
      <c r="F780" s="4375"/>
      <c r="G780" s="4375"/>
      <c r="H780" s="16" t="b">
        <f>IF(H502&lt;=3,0.97,IF(H502&lt;5,0.98,IF(H502=5,1)))</f>
        <v>0</v>
      </c>
      <c r="I780" s="16" t="b">
        <f>IF(I502&lt;=3,0.97,IF(I502&lt;5,0.98,IF(I502=5,1)))</f>
        <v>0</v>
      </c>
      <c r="J780" s="16" t="b">
        <f>IF(J502&lt;=3,0.97,IF(J502&lt;5,0.98,IF(J502=5,1)))</f>
        <v>0</v>
      </c>
      <c r="K780" s="16" t="b">
        <f>IF(K502&lt;=3,0.97,IF(K502&lt;5,0.98,IF(K502=5,1)))</f>
        <v>0</v>
      </c>
      <c r="L780" s="16" t="b">
        <f>IF(L502&lt;=3,0.97,IF(L502&lt;5,0.98,IF(L502=5,1)))</f>
        <v>0</v>
      </c>
      <c r="M780" s="16"/>
      <c r="N780" s="11"/>
      <c r="O780" s="11"/>
      <c r="P780" s="11"/>
      <c r="Q780" s="11"/>
      <c r="R780" s="42"/>
      <c r="S780" s="42"/>
      <c r="T780" s="42"/>
      <c r="U780" s="42"/>
      <c r="V780" s="58"/>
      <c r="W780" s="58"/>
      <c r="X780" s="58"/>
      <c r="Y780" s="58"/>
    </row>
    <row r="781" spans="1:25" ht="15" x14ac:dyDescent="0.25">
      <c r="A781" s="11"/>
      <c r="B781" s="4461" t="s">
        <v>3934</v>
      </c>
      <c r="C781" s="4375"/>
      <c r="D781" s="4375"/>
      <c r="E781" s="4375"/>
      <c r="F781" s="4375"/>
      <c r="G781" s="4375"/>
      <c r="H781" s="4375"/>
      <c r="I781" s="4375"/>
      <c r="J781" s="4375"/>
      <c r="K781" s="4375"/>
      <c r="L781" s="4375"/>
      <c r="M781" s="4375"/>
      <c r="N781" s="11"/>
      <c r="O781" s="11"/>
      <c r="P781" s="11"/>
      <c r="Q781" s="11"/>
      <c r="R781" s="42"/>
      <c r="S781" s="42"/>
      <c r="T781" s="42"/>
      <c r="U781" s="42"/>
      <c r="V781" s="58"/>
      <c r="W781" s="58"/>
      <c r="X781" s="58"/>
      <c r="Y781" s="58"/>
    </row>
    <row r="782" spans="1:25" ht="15" x14ac:dyDescent="0.25">
      <c r="A782" s="11"/>
      <c r="B782" s="11"/>
      <c r="C782" s="121" t="s">
        <v>1726</v>
      </c>
      <c r="D782" s="11"/>
      <c r="E782" s="11"/>
      <c r="F782" s="11"/>
      <c r="G782" s="11"/>
      <c r="H782" s="11"/>
      <c r="I782" s="15"/>
      <c r="J782" s="15"/>
      <c r="K782" s="15"/>
      <c r="L782" s="15"/>
      <c r="M782" s="15"/>
      <c r="N782" s="11"/>
      <c r="O782" s="11"/>
      <c r="P782" s="11"/>
      <c r="Q782" s="11"/>
      <c r="R782" s="42"/>
      <c r="S782" s="42"/>
      <c r="T782" s="42"/>
      <c r="U782" s="42"/>
      <c r="V782" s="58"/>
      <c r="W782" s="58"/>
      <c r="X782" s="58"/>
      <c r="Y782" s="58"/>
    </row>
    <row r="783" spans="1:25" ht="15" x14ac:dyDescent="0.25">
      <c r="A783" s="11"/>
      <c r="B783" s="11"/>
      <c r="C783" s="11"/>
      <c r="D783" s="11" t="s">
        <v>1727</v>
      </c>
      <c r="E783" s="11"/>
      <c r="F783" s="11"/>
      <c r="G783" s="11"/>
      <c r="H783" s="16" t="e">
        <f>IF(H444=1,1.2,0)+IF(H511=1,1.2,0)+IF(H512=1,1.2,0)+IF(H513=1,1,0)+IF(H514=1,0.6,0)+IF(H515=1,0.8,0)+IF(H445=1,1.2,0)+IF(H446=1,0.4,0)+IF(H438=0,0,IF(H438&lt;=4,0.6,IF(H438&gt;4,1)))</f>
        <v>#VALUE!</v>
      </c>
      <c r="I783" s="16" t="e">
        <f>IF(I444=1,1.2,0)+IF(I511=1,1.2,0)+IF(I512=1,1.2,0)+IF(I513=1,1,0)+IF(I514=1,0.6,0)+IF(I515=1,0.8,0)+IF(I445=1,1.2,0)+IF(I446=1,0.4,0)+IF(I438=0,0,IF(I438&lt;=4,0.6,IF(I438&gt;4,1)))</f>
        <v>#VALUE!</v>
      </c>
      <c r="J783" s="16" t="e">
        <f>IF(J444=1,1.2,0)+IF(J511=1,1.2,0)+IF(J512=1,1.2,0)+IF(J513=1,1,0)+IF(J514=1,0.6,0)+IF(J515=1,0.8,0)+IF(J445=1,1.2,0)+IF(J446=1,0.4,0)+IF(J438=0,0,IF(J438&lt;=4,0.6,IF(J438&gt;4,1)))</f>
        <v>#VALUE!</v>
      </c>
      <c r="K783" s="16" t="e">
        <f>IF(K444=1,1.2,0)+IF(K511=1,1.2,0)+IF(K512=1,1.2,0)+IF(K513=1,1,0)+IF(K514=1,0.6,0)+IF(K515=1,0.8,0)+IF(K445=1,1.2,0)+IF(K446=1,0.4,0)+IF(K438=0,0,IF(K438&lt;=4,0.6,IF(K438&gt;4,1)))</f>
        <v>#VALUE!</v>
      </c>
      <c r="L783" s="16" t="e">
        <f>IF(L444=1,1.2,0)+IF(L511=1,1.2,0)+IF(L512=1,1.2,0)+IF(L513=1,1,0)+IF(L514=1,0.6,0)+IF(L515=1,0.8,0)+IF(L445=1,1.2,0)+IF(L446=1,0.4,0)+IF(L438=0,0,IF(L438&lt;=4,0.6,IF(L438&gt;4,1)))</f>
        <v>#VALUE!</v>
      </c>
      <c r="M783" s="16"/>
      <c r="N783" s="11"/>
      <c r="O783" s="11"/>
      <c r="P783" s="11"/>
      <c r="Q783" s="11"/>
      <c r="R783" s="42"/>
      <c r="S783" s="42"/>
      <c r="T783" s="42"/>
      <c r="U783" s="42"/>
      <c r="V783" s="58"/>
      <c r="W783" s="58"/>
      <c r="X783" s="58"/>
      <c r="Y783" s="58"/>
    </row>
    <row r="784" spans="1:25" ht="15" x14ac:dyDescent="0.25">
      <c r="A784" s="11"/>
      <c r="B784" s="11"/>
      <c r="C784" s="11" t="s">
        <v>2592</v>
      </c>
      <c r="D784" s="11"/>
      <c r="E784" s="11"/>
      <c r="F784" s="11"/>
      <c r="G784" s="11"/>
      <c r="H784" s="130" t="e">
        <f>H780*(1-(1-H780)*H783)</f>
        <v>#VALUE!</v>
      </c>
      <c r="I784" s="130" t="e">
        <f>I780*(1-(1-I780)*I783)</f>
        <v>#VALUE!</v>
      </c>
      <c r="J784" s="130" t="e">
        <f>J780*(1-(1-J780)*J783)</f>
        <v>#VALUE!</v>
      </c>
      <c r="K784" s="130" t="e">
        <f>K780*(1-(1-K780)*K783)</f>
        <v>#VALUE!</v>
      </c>
      <c r="L784" s="130" t="e">
        <f>L780*(1-(1-L780)*L783)</f>
        <v>#VALUE!</v>
      </c>
      <c r="M784" s="130"/>
      <c r="N784" s="11"/>
      <c r="O784" s="11"/>
      <c r="P784" s="11"/>
      <c r="Q784" s="11"/>
      <c r="R784" s="42"/>
      <c r="S784" s="42"/>
      <c r="T784" s="42"/>
      <c r="U784" s="42"/>
      <c r="V784" s="58"/>
      <c r="W784" s="58"/>
      <c r="X784" s="58"/>
      <c r="Y784" s="58"/>
    </row>
    <row r="785" spans="1:25" ht="15" x14ac:dyDescent="0.25">
      <c r="A785" s="11"/>
      <c r="B785" s="11"/>
      <c r="C785" s="121" t="s">
        <v>16</v>
      </c>
      <c r="D785" s="11"/>
      <c r="E785" s="11"/>
      <c r="F785" s="11"/>
      <c r="G785" s="11"/>
      <c r="H785" s="15"/>
      <c r="I785" s="15"/>
      <c r="J785" s="15"/>
      <c r="K785" s="15"/>
      <c r="L785" s="15"/>
      <c r="M785" s="15"/>
      <c r="N785" s="11"/>
      <c r="O785" s="11"/>
      <c r="P785" s="11"/>
      <c r="Q785" s="11"/>
      <c r="R785" s="42"/>
      <c r="S785" s="42"/>
      <c r="T785" s="42"/>
      <c r="U785" s="42"/>
      <c r="V785" s="58"/>
      <c r="W785" s="58"/>
      <c r="X785" s="58"/>
      <c r="Y785" s="58"/>
    </row>
    <row r="786" spans="1:25" ht="15" x14ac:dyDescent="0.25">
      <c r="A786" s="11"/>
      <c r="B786" s="11"/>
      <c r="C786" s="11"/>
      <c r="D786" s="11" t="s">
        <v>1727</v>
      </c>
      <c r="E786" s="11"/>
      <c r="F786" s="11"/>
      <c r="G786" s="11"/>
      <c r="H786" s="16" t="e">
        <f>IF(H448=1,1.2,0)+IF(H516=1,1.2,0)+IF(H517=1,1.2,0)+IF(H518=1,1,0)+IF(H519=1,0.6,0)+IF(H520=1,0.8,0)+IF(H449=1,1.2,0)+IF(H450=1,0.4,0)+IF(H439=0,0,IF(H439&lt;=4,0.6,IF(H439&gt;4,1)))</f>
        <v>#VALUE!</v>
      </c>
      <c r="I786" s="16" t="e">
        <f>IF(I448=1,1.2,0)+IF(I516=1,1.2,0)+IF(I517=1,1.2,0)+IF(I518=1,1,0)+IF(I519=1,0.6,0)+IF(I520=1,0.8,0)+IF(I449=1,1.2,0)+IF(I450=1,0.4,0)+IF(I439=0,0,IF(I439&lt;=4,0.6,IF(I439&gt;4,1)))</f>
        <v>#VALUE!</v>
      </c>
      <c r="J786" s="16" t="e">
        <f>IF(J448=1,1.2,0)+IF(J516=1,1.2,0)+IF(J517=1,1.2,0)+IF(J518=1,1,0)+IF(J519=1,0.6,0)+IF(J520=1,0.8,0)+IF(J449=1,1.2,0)+IF(J450=1,0.4,0)+IF(J439=0,0,IF(J439&lt;=4,0.6,IF(J439&gt;4,1)))</f>
        <v>#VALUE!</v>
      </c>
      <c r="K786" s="16" t="e">
        <f>IF(K448=1,1.2,0)+IF(K516=1,1.2,0)+IF(K517=1,1.2,0)+IF(K518=1,1,0)+IF(K519=1,0.6,0)+IF(K520=1,0.8,0)+IF(K449=1,1.2,0)+IF(K450=1,0.4,0)+IF(K439=0,0,IF(K439&lt;=4,0.6,IF(K439&gt;4,1)))</f>
        <v>#VALUE!</v>
      </c>
      <c r="L786" s="16" t="e">
        <f>IF(L448=1,1.2,0)+IF(L516=1,1.2,0)+IF(L517=1,1.2,0)+IF(L518=1,1,0)+IF(L519=1,0.6,0)+IF(L520=1,0.8,0)+IF(L449=1,1.2,0)+IF(L450=1,0.4,0)+IF(L439=0,0,IF(L439&lt;=4,0.6,IF(L439&gt;4,1)))</f>
        <v>#VALUE!</v>
      </c>
      <c r="M786" s="16"/>
      <c r="N786" s="25"/>
      <c r="O786" s="25"/>
      <c r="P786" s="25"/>
      <c r="Q786" s="25"/>
      <c r="R786" s="42"/>
      <c r="S786" s="42"/>
      <c r="T786" s="42"/>
      <c r="U786" s="42"/>
      <c r="V786" s="58"/>
      <c r="W786" s="58"/>
      <c r="X786" s="58"/>
      <c r="Y786" s="58"/>
    </row>
    <row r="787" spans="1:25" ht="15" x14ac:dyDescent="0.25">
      <c r="A787" s="11"/>
      <c r="B787" s="11"/>
      <c r="C787" s="11" t="s">
        <v>2592</v>
      </c>
      <c r="D787" s="11"/>
      <c r="E787" s="11"/>
      <c r="F787" s="11"/>
      <c r="G787" s="11"/>
      <c r="H787" s="118" t="e">
        <f>H780*(1-(1-H778)*H786)</f>
        <v>#VALUE!</v>
      </c>
      <c r="I787" s="118" t="e">
        <f>I780*(1-(1-I778)*I786)</f>
        <v>#VALUE!</v>
      </c>
      <c r="J787" s="118" t="e">
        <f>J780*(1-(1-J778)*J786)</f>
        <v>#VALUE!</v>
      </c>
      <c r="K787" s="118" t="e">
        <f>K780*(1-(1-K778)*K786)</f>
        <v>#VALUE!</v>
      </c>
      <c r="L787" s="118" t="e">
        <f>L780*(1-(1-L778)*L786)</f>
        <v>#VALUE!</v>
      </c>
      <c r="M787" s="118"/>
      <c r="N787" s="25"/>
      <c r="O787" s="25"/>
      <c r="P787" s="25"/>
      <c r="Q787" s="25"/>
      <c r="R787" s="42"/>
      <c r="S787" s="42"/>
      <c r="T787" s="42"/>
      <c r="U787" s="42"/>
      <c r="V787" s="58"/>
      <c r="W787" s="58"/>
      <c r="X787" s="58"/>
      <c r="Y787" s="58"/>
    </row>
    <row r="788" spans="1:25" ht="40.5" customHeight="1" x14ac:dyDescent="0.25">
      <c r="A788" s="11"/>
      <c r="B788" s="4460" t="s">
        <v>1006</v>
      </c>
      <c r="C788" s="4445"/>
      <c r="D788" s="4445"/>
      <c r="E788" s="4445"/>
      <c r="F788" s="4445"/>
      <c r="G788" s="4445"/>
      <c r="H788" s="435" t="e">
        <f>(0.88-H441/360)*H778*H784*H787</f>
        <v>#VALUE!</v>
      </c>
      <c r="I788" s="435" t="e">
        <f>(0.88-I441/360)*I778*I784*I787</f>
        <v>#VALUE!</v>
      </c>
      <c r="J788" s="435" t="e">
        <f>(0.88-J441/360)*J778*J784*J787</f>
        <v>#VALUE!</v>
      </c>
      <c r="K788" s="435" t="e">
        <f>(0.88-K441/360)*K778*K784*K787</f>
        <v>#VALUE!</v>
      </c>
      <c r="L788" s="435" t="e">
        <f>(0.88-L441/360)*L778*L784*L787</f>
        <v>#VALUE!</v>
      </c>
      <c r="M788" s="125"/>
      <c r="N788" s="25"/>
      <c r="O788" s="25"/>
      <c r="P788" s="25"/>
      <c r="Q788" s="25"/>
      <c r="R788" s="42"/>
      <c r="S788" s="42"/>
      <c r="T788" s="42"/>
      <c r="U788" s="42"/>
      <c r="V788" s="58"/>
      <c r="W788" s="58"/>
      <c r="X788" s="58"/>
      <c r="Y788" s="58"/>
    </row>
    <row r="789" spans="1:25" ht="15" x14ac:dyDescent="0.25">
      <c r="A789" s="11"/>
      <c r="B789" s="120"/>
      <c r="C789" s="364"/>
      <c r="D789" s="364"/>
      <c r="E789" s="364"/>
      <c r="F789" s="364"/>
      <c r="G789" s="364"/>
      <c r="H789" s="125"/>
      <c r="I789" s="125"/>
      <c r="J789" s="125"/>
      <c r="K789" s="125"/>
      <c r="L789" s="125"/>
      <c r="M789" s="125"/>
      <c r="N789" s="25"/>
      <c r="O789" s="25"/>
      <c r="P789" s="25"/>
      <c r="Q789" s="25"/>
      <c r="R789" s="42"/>
      <c r="S789" s="42"/>
      <c r="T789" s="42"/>
      <c r="U789" s="42"/>
      <c r="V789" s="58"/>
      <c r="W789" s="58"/>
      <c r="X789" s="58"/>
      <c r="Y789" s="58"/>
    </row>
    <row r="790" spans="1:25" ht="15" x14ac:dyDescent="0.25">
      <c r="A790" s="11"/>
      <c r="B790" s="61" t="s">
        <v>2877</v>
      </c>
      <c r="C790" s="11"/>
      <c r="D790" s="27"/>
      <c r="E790" s="27"/>
      <c r="F790" s="27"/>
      <c r="G790" s="27"/>
      <c r="H790" s="27"/>
      <c r="I790" s="27"/>
      <c r="J790" s="27"/>
      <c r="K790" s="27"/>
      <c r="L790" s="27"/>
      <c r="M790" s="37"/>
      <c r="N790" s="25"/>
      <c r="O790" s="25"/>
      <c r="P790" s="25"/>
      <c r="Q790" s="73"/>
      <c r="R790" s="46"/>
      <c r="S790" s="42"/>
      <c r="T790" s="42"/>
      <c r="U790" s="42"/>
      <c r="V790" s="58"/>
      <c r="W790" s="58"/>
      <c r="X790" s="58"/>
      <c r="Y790" s="58"/>
    </row>
    <row r="791" spans="1:25" ht="15" x14ac:dyDescent="0.25">
      <c r="A791" s="11"/>
      <c r="B791" s="61" t="s">
        <v>2400</v>
      </c>
      <c r="C791" s="11"/>
      <c r="D791" s="27"/>
      <c r="E791" s="27"/>
      <c r="F791" s="27"/>
      <c r="G791" s="27"/>
      <c r="H791" s="125" t="e">
        <f ca="1">(1/H788-1)/(1/H749-1)</f>
        <v>#VALUE!</v>
      </c>
      <c r="I791" s="125" t="e">
        <f ca="1">(1/I788-1)/(1/I749-1)</f>
        <v>#VALUE!</v>
      </c>
      <c r="J791" s="125" t="e">
        <f ca="1">(1/J788-1)/(1/J749-1)</f>
        <v>#VALUE!</v>
      </c>
      <c r="K791" s="125" t="e">
        <f ca="1">(1/K788-1)/(1/K749-1)</f>
        <v>#VALUE!</v>
      </c>
      <c r="L791" s="125" t="e">
        <f ca="1">(1/L788-1)/(1/L749-1)</f>
        <v>#VALUE!</v>
      </c>
      <c r="M791" s="37"/>
      <c r="N791" s="25"/>
      <c r="O791" s="25"/>
      <c r="P791" s="25"/>
      <c r="Q791" s="73"/>
      <c r="R791" s="46"/>
      <c r="S791" s="42"/>
      <c r="T791" s="42"/>
      <c r="U791" s="42"/>
      <c r="V791" s="58"/>
      <c r="W791" s="58"/>
      <c r="X791" s="58"/>
      <c r="Y791" s="58"/>
    </row>
    <row r="792" spans="1:25" ht="15.75" x14ac:dyDescent="0.25">
      <c r="A792" s="11"/>
      <c r="B792" s="440" t="s">
        <v>2154</v>
      </c>
      <c r="C792" s="11"/>
      <c r="D792" s="27"/>
      <c r="E792" s="27"/>
      <c r="F792" s="27"/>
      <c r="G792" s="27"/>
      <c r="H792" s="694" t="e">
        <f ca="1">1/((1/H776+(1/H788-1)*(1+(1/H776-1)/(1/(H791*H788+1)))))</f>
        <v>#VALUE!</v>
      </c>
      <c r="I792" s="694" t="e">
        <f ca="1">1/((1/I776+(1/I788-1)*(1+(1/I776-1)/(1/(I791*I788+1)))))</f>
        <v>#VALUE!</v>
      </c>
      <c r="J792" s="694" t="e">
        <f ca="1">1/((1/J776+(1/J788-1)*(1+(1/J776-1)/(1/(J791*J788+1)))))</f>
        <v>#VALUE!</v>
      </c>
      <c r="K792" s="694" t="e">
        <f ca="1">1/((1/K776+(1/K788-1)*(1+(1/K776-1)/(1/(K791*K788+1)))))</f>
        <v>#VALUE!</v>
      </c>
      <c r="L792" s="694" t="e">
        <f ca="1">1/((1/L776+(1/L788-1)*(1+(1/L776-1)/(1/(L791*L788+1)))))</f>
        <v>#VALUE!</v>
      </c>
      <c r="M792" s="123"/>
      <c r="N792" s="25"/>
      <c r="O792" s="25"/>
      <c r="P792" s="25"/>
      <c r="Q792" s="73"/>
      <c r="R792" s="46"/>
      <c r="S792" s="42"/>
      <c r="T792" s="42"/>
      <c r="U792" s="42"/>
      <c r="V792" s="58"/>
      <c r="W792" s="58"/>
      <c r="X792" s="58"/>
      <c r="Y792" s="58"/>
    </row>
    <row r="793" spans="1:25" ht="15" x14ac:dyDescent="0.25">
      <c r="A793" s="11"/>
      <c r="B793" s="27"/>
      <c r="C793" s="25" t="s">
        <v>4929</v>
      </c>
      <c r="D793" s="11"/>
      <c r="E793" s="11"/>
      <c r="F793" s="11"/>
      <c r="G793" s="11"/>
      <c r="H793" s="91"/>
      <c r="I793" s="91"/>
      <c r="J793" s="91"/>
      <c r="K793" s="91"/>
      <c r="L793" s="91"/>
      <c r="M793" s="27"/>
      <c r="N793" s="27"/>
      <c r="O793" s="27"/>
      <c r="P793" s="27"/>
      <c r="Q793" s="27"/>
      <c r="R793" s="45"/>
      <c r="S793" s="45"/>
      <c r="T793" s="45"/>
      <c r="U793" s="45"/>
      <c r="V793" s="58"/>
      <c r="W793" s="58"/>
      <c r="X793" s="58"/>
      <c r="Y793" s="58"/>
    </row>
    <row r="794" spans="1:25" ht="15" x14ac:dyDescent="0.25">
      <c r="A794" s="11"/>
      <c r="B794" s="27" t="s">
        <v>4930</v>
      </c>
      <c r="C794" s="27"/>
      <c r="D794" s="11"/>
      <c r="E794" s="11"/>
      <c r="F794" s="11"/>
      <c r="G794" s="11"/>
      <c r="H794" s="514">
        <v>0.96499999999999997</v>
      </c>
      <c r="I794" s="514">
        <v>0.96499999999999997</v>
      </c>
      <c r="J794" s="514">
        <v>0.96499999999999997</v>
      </c>
      <c r="K794" s="514">
        <v>0.96499999999999997</v>
      </c>
      <c r="L794" s="514">
        <v>0.96499999999999997</v>
      </c>
      <c r="M794" s="164"/>
      <c r="N794" s="27"/>
      <c r="O794" s="27"/>
      <c r="P794" s="27"/>
      <c r="Q794" s="27"/>
      <c r="R794" s="45"/>
      <c r="S794" s="45"/>
      <c r="T794" s="45"/>
      <c r="U794" s="45"/>
      <c r="V794" s="58"/>
      <c r="W794" s="58"/>
      <c r="X794" s="58"/>
      <c r="Y794" s="58"/>
    </row>
    <row r="795" spans="1:25" ht="15" x14ac:dyDescent="0.25">
      <c r="A795" s="11"/>
      <c r="B795" s="27" t="s">
        <v>4931</v>
      </c>
      <c r="C795" s="27"/>
      <c r="D795" s="11"/>
      <c r="E795" s="11"/>
      <c r="F795" s="11"/>
      <c r="G795" s="11"/>
      <c r="H795" s="514">
        <v>1</v>
      </c>
      <c r="I795" s="514">
        <v>1</v>
      </c>
      <c r="J795" s="514">
        <v>1</v>
      </c>
      <c r="K795" s="514">
        <v>1</v>
      </c>
      <c r="L795" s="514">
        <v>1</v>
      </c>
      <c r="M795" s="164"/>
      <c r="N795" s="27"/>
      <c r="O795" s="92"/>
      <c r="P795" s="92"/>
      <c r="Q795" s="695"/>
      <c r="R795" s="45"/>
      <c r="S795" s="45"/>
      <c r="T795" s="45"/>
      <c r="U795" s="45"/>
      <c r="V795" s="58"/>
      <c r="W795" s="58"/>
      <c r="X795" s="58"/>
      <c r="Y795" s="58"/>
    </row>
    <row r="796" spans="1:25" ht="15" x14ac:dyDescent="0.25">
      <c r="A796" s="11"/>
      <c r="B796" s="38" t="s">
        <v>3853</v>
      </c>
      <c r="C796" s="11"/>
      <c r="D796" s="11"/>
      <c r="E796" s="11"/>
      <c r="F796" s="11"/>
      <c r="G796" s="11"/>
      <c r="H796" s="353" t="e">
        <f ca="1">H211*60*6*H792</f>
        <v>#VALUE!</v>
      </c>
      <c r="I796" s="353" t="e">
        <f ca="1">I211*60*6*I792</f>
        <v>#VALUE!</v>
      </c>
      <c r="J796" s="353" t="e">
        <f ca="1">J211*60*6*J792</f>
        <v>#VALUE!</v>
      </c>
      <c r="K796" s="353" t="e">
        <f ca="1">K211*60*6*K792</f>
        <v>#VALUE!</v>
      </c>
      <c r="L796" s="353" t="e">
        <f ca="1">L211*60*6*L792</f>
        <v>#VALUE!</v>
      </c>
      <c r="M796" s="62"/>
      <c r="N796" s="62"/>
      <c r="O796" s="62"/>
      <c r="P796" s="62"/>
      <c r="Q796" s="62"/>
      <c r="R796" s="42"/>
      <c r="S796" s="42"/>
      <c r="T796" s="42"/>
      <c r="U796" s="42"/>
      <c r="V796" s="58"/>
      <c r="W796" s="58"/>
      <c r="X796" s="58"/>
      <c r="Y796" s="58"/>
    </row>
    <row r="797" spans="1:25" ht="15" x14ac:dyDescent="0.25">
      <c r="A797" s="11"/>
      <c r="B797" s="38" t="s">
        <v>3854</v>
      </c>
      <c r="C797" s="11"/>
      <c r="D797" s="11"/>
      <c r="E797" s="11"/>
      <c r="F797" s="11"/>
      <c r="G797" s="11"/>
      <c r="H797" s="696">
        <f>IF(H499=1,2,3)</f>
        <v>3</v>
      </c>
      <c r="I797" s="696">
        <f>IF(I499=1,2,3)</f>
        <v>3</v>
      </c>
      <c r="J797" s="696">
        <f>IF(J499=1,2,3)</f>
        <v>3</v>
      </c>
      <c r="K797" s="696">
        <f>IF(K499=1,2,3)</f>
        <v>3</v>
      </c>
      <c r="L797" s="696">
        <f>IF(L499=1,2,3)</f>
        <v>3</v>
      </c>
      <c r="M797" s="62"/>
      <c r="N797" s="62"/>
      <c r="O797" s="62"/>
      <c r="P797" s="62"/>
      <c r="Q797" s="62"/>
      <c r="R797" s="42"/>
      <c r="S797" s="42"/>
      <c r="T797" s="42"/>
      <c r="U797" s="42"/>
      <c r="V797" s="58"/>
      <c r="W797" s="58"/>
      <c r="X797" s="58"/>
      <c r="Y797" s="58"/>
    </row>
    <row r="798" spans="1:25" ht="15" x14ac:dyDescent="0.25">
      <c r="A798" s="11"/>
      <c r="B798" s="38" t="s">
        <v>3855</v>
      </c>
      <c r="C798" s="11"/>
      <c r="D798" s="11"/>
      <c r="E798" s="11"/>
      <c r="F798" s="11"/>
      <c r="G798" s="11"/>
      <c r="H798" s="696" t="e">
        <f ca="1">H796*H797</f>
        <v>#VALUE!</v>
      </c>
      <c r="I798" s="696" t="e">
        <f ca="1">I796*I797</f>
        <v>#VALUE!</v>
      </c>
      <c r="J798" s="696" t="e">
        <f ca="1">J796*J797</f>
        <v>#VALUE!</v>
      </c>
      <c r="K798" s="696" t="e">
        <f ca="1">K796*K797</f>
        <v>#VALUE!</v>
      </c>
      <c r="L798" s="696" t="e">
        <f ca="1">L796*L797</f>
        <v>#VALUE!</v>
      </c>
      <c r="M798" s="62"/>
      <c r="N798" s="62"/>
      <c r="O798" s="62"/>
      <c r="P798" s="62"/>
      <c r="Q798" s="62"/>
      <c r="R798" s="42"/>
      <c r="S798" s="42"/>
      <c r="T798" s="42"/>
      <c r="U798" s="42"/>
      <c r="V798" s="58"/>
      <c r="W798" s="58"/>
      <c r="X798" s="58"/>
      <c r="Y798" s="58"/>
    </row>
    <row r="799" spans="1:25" ht="15" x14ac:dyDescent="0.25">
      <c r="A799" s="11"/>
      <c r="B799" s="38"/>
      <c r="C799" s="11"/>
      <c r="D799" s="11"/>
      <c r="E799" s="11"/>
      <c r="F799" s="11"/>
      <c r="G799" s="11"/>
      <c r="H799" s="696"/>
      <c r="I799" s="696"/>
      <c r="J799" s="696"/>
      <c r="K799" s="696"/>
      <c r="L799" s="696"/>
      <c r="M799" s="62"/>
      <c r="N799" s="62"/>
      <c r="O799" s="62"/>
      <c r="P799" s="62"/>
      <c r="Q799" s="62"/>
      <c r="R799" s="42"/>
      <c r="S799" s="42"/>
      <c r="T799" s="42"/>
      <c r="U799" s="42"/>
      <c r="V799" s="58"/>
      <c r="W799" s="58"/>
      <c r="X799" s="58"/>
      <c r="Y799" s="58"/>
    </row>
    <row r="800" spans="1:25" ht="15" x14ac:dyDescent="0.25">
      <c r="A800" s="11"/>
      <c r="B800" s="38"/>
      <c r="C800" s="11"/>
      <c r="D800" s="11"/>
      <c r="E800" s="11"/>
      <c r="F800" s="11"/>
      <c r="G800" s="11"/>
      <c r="H800" s="696"/>
      <c r="I800" s="696"/>
      <c r="J800" s="696"/>
      <c r="K800" s="696"/>
      <c r="L800" s="696"/>
      <c r="M800" s="62"/>
      <c r="N800" s="62"/>
      <c r="O800" s="62"/>
      <c r="P800" s="62"/>
      <c r="Q800" s="62"/>
      <c r="R800" s="42"/>
      <c r="S800" s="42"/>
      <c r="T800" s="42"/>
      <c r="U800" s="42"/>
      <c r="V800" s="58"/>
      <c r="W800" s="58"/>
      <c r="X800" s="58"/>
      <c r="Y800" s="58"/>
    </row>
    <row r="801" spans="1:25" ht="15" x14ac:dyDescent="0.25">
      <c r="A801" s="11"/>
      <c r="B801" s="38"/>
      <c r="C801" s="11"/>
      <c r="D801" s="11"/>
      <c r="E801" s="11"/>
      <c r="F801" s="11"/>
      <c r="G801" s="11"/>
      <c r="H801" s="696"/>
      <c r="I801" s="696"/>
      <c r="J801" s="696"/>
      <c r="K801" s="696"/>
      <c r="L801" s="696"/>
      <c r="M801" s="62"/>
      <c r="N801" s="62"/>
      <c r="O801" s="62"/>
      <c r="P801" s="62"/>
      <c r="Q801" s="62"/>
      <c r="R801" s="42"/>
      <c r="S801" s="42"/>
      <c r="T801" s="42"/>
      <c r="U801" s="42"/>
      <c r="V801" s="58"/>
      <c r="W801" s="58"/>
      <c r="X801" s="58"/>
      <c r="Y801" s="58"/>
    </row>
    <row r="802" spans="1:25" ht="15" x14ac:dyDescent="0.25">
      <c r="A802" s="11"/>
      <c r="B802" s="697" t="s">
        <v>2096</v>
      </c>
      <c r="C802" s="368"/>
      <c r="D802" s="368"/>
      <c r="E802" s="368"/>
      <c r="F802" s="368"/>
      <c r="G802" s="368"/>
      <c r="H802" s="698"/>
      <c r="I802" s="698"/>
      <c r="J802" s="698"/>
      <c r="K802" s="698"/>
      <c r="L802" s="699"/>
      <c r="M802" s="62"/>
      <c r="N802" s="62"/>
      <c r="O802" s="62"/>
      <c r="P802" s="62"/>
      <c r="Q802" s="62"/>
      <c r="R802" s="42"/>
      <c r="S802" s="42"/>
      <c r="T802" s="42"/>
      <c r="U802" s="42"/>
      <c r="V802" s="58"/>
      <c r="W802" s="58"/>
      <c r="X802" s="58"/>
      <c r="Y802" s="58"/>
    </row>
    <row r="803" spans="1:25" ht="26.25" x14ac:dyDescent="0.25">
      <c r="A803" s="11"/>
      <c r="B803" s="700" t="s">
        <v>2759</v>
      </c>
      <c r="C803" s="172"/>
      <c r="D803" s="172"/>
      <c r="E803" s="172"/>
      <c r="F803" s="172"/>
      <c r="G803" s="172"/>
      <c r="H803" s="672">
        <f>IF(AND(H503=2,H495&lt;1.01),0.85,IF(AND(H503=2,H495&gt;=1.01),0.8,1))</f>
        <v>1</v>
      </c>
      <c r="I803" s="672">
        <f>IF(AND(I503=2,I495&lt;1.01),0.85,IF(AND(I503=2,I495&gt;=1.01),0.8,1))</f>
        <v>1</v>
      </c>
      <c r="J803" s="672">
        <f>IF(AND(J503=2,J495&lt;1.01),0.85,IF(AND(J503=2,J495&gt;=1.01),0.8,1))</f>
        <v>1</v>
      </c>
      <c r="K803" s="672">
        <f>IF(AND(K503=2,K495&lt;1.01),0.85,IF(AND(K503=2,K495&gt;=1.01),0.8,1))</f>
        <v>1</v>
      </c>
      <c r="L803" s="701">
        <f>IF(AND(L503=2,L495&lt;1.01),0.85,IF(AND(L503=2,L495&gt;=1.01),0.8,1))</f>
        <v>1</v>
      </c>
      <c r="M803" s="62"/>
      <c r="N803" s="62"/>
      <c r="O803" s="62"/>
      <c r="P803" s="62"/>
      <c r="Q803" s="62"/>
      <c r="R803" s="42"/>
      <c r="S803" s="42"/>
      <c r="T803" s="42"/>
      <c r="U803" s="42"/>
      <c r="V803" s="58"/>
      <c r="W803" s="58"/>
      <c r="X803" s="58"/>
      <c r="Y803" s="58"/>
    </row>
    <row r="804" spans="1:25" ht="15" x14ac:dyDescent="0.25">
      <c r="A804" s="11"/>
      <c r="B804" s="702" t="s">
        <v>2760</v>
      </c>
      <c r="C804" s="172"/>
      <c r="D804" s="172"/>
      <c r="E804" s="172"/>
      <c r="F804" s="172"/>
      <c r="G804" s="172"/>
      <c r="H804" s="672">
        <f>IF(H499=1,0.9,1)</f>
        <v>1</v>
      </c>
      <c r="I804" s="672">
        <f>IF(I499=1,0.9,1)</f>
        <v>1</v>
      </c>
      <c r="J804" s="672">
        <f>IF(J499=1,0.9,1)</f>
        <v>1</v>
      </c>
      <c r="K804" s="672">
        <f>IF(K499=1,0.9,1)</f>
        <v>1</v>
      </c>
      <c r="L804" s="701">
        <f>IF(L499=1,0.9,1)</f>
        <v>1</v>
      </c>
      <c r="M804" s="62"/>
      <c r="N804" s="62"/>
      <c r="O804" s="62"/>
      <c r="P804" s="62"/>
      <c r="Q804" s="62"/>
      <c r="R804" s="42"/>
      <c r="S804" s="42"/>
      <c r="T804" s="42"/>
      <c r="U804" s="42"/>
      <c r="V804" s="58"/>
      <c r="W804" s="58"/>
      <c r="X804" s="58"/>
      <c r="Y804" s="58"/>
    </row>
    <row r="805" spans="1:25" ht="15" x14ac:dyDescent="0.25">
      <c r="A805" s="11"/>
      <c r="B805" s="702" t="s">
        <v>5319</v>
      </c>
      <c r="C805" s="172"/>
      <c r="D805" s="172"/>
      <c r="E805" s="172"/>
      <c r="F805" s="172"/>
      <c r="G805" s="172"/>
      <c r="H805" s="672" t="e">
        <f>IF(H510&lt;701,1,IF(H510&lt;901,0.95,IF(H510&lt;1051,0.9,IF(H510&lt;1201,0.85,8))))</f>
        <v>#VALUE!</v>
      </c>
      <c r="I805" s="672" t="e">
        <f>IF(I510&lt;701,1,IF(I510&lt;901,0.95,IF(I510&lt;1051,0.9,IF(I510&lt;1201,0.85,8))))</f>
        <v>#VALUE!</v>
      </c>
      <c r="J805" s="672" t="e">
        <f>IF(J510&lt;701,1,IF(J510&lt;901,0.95,IF(J510&lt;1051,0.9,IF(J510&lt;1201,0.85,8))))</f>
        <v>#VALUE!</v>
      </c>
      <c r="K805" s="672" t="e">
        <f>IF(K510&lt;701,1,IF(K510&lt;901,0.95,IF(K510&lt;1051,0.9,IF(K510&lt;1201,0.85,8))))</f>
        <v>#VALUE!</v>
      </c>
      <c r="L805" s="701" t="e">
        <f>IF(L510&lt;701,1,IF(L510&lt;901,0.95,IF(L510&lt;1051,0.9,IF(L510&lt;1201,0.85,8))))</f>
        <v>#VALUE!</v>
      </c>
      <c r="M805" s="62"/>
      <c r="N805" s="62"/>
      <c r="O805" s="62"/>
      <c r="P805" s="62"/>
      <c r="Q805" s="62"/>
      <c r="R805" s="42"/>
      <c r="S805" s="42"/>
      <c r="T805" s="42"/>
      <c r="U805" s="42"/>
      <c r="V805" s="58"/>
      <c r="W805" s="58"/>
      <c r="X805" s="58"/>
      <c r="Y805" s="58"/>
    </row>
    <row r="806" spans="1:25" ht="15" x14ac:dyDescent="0.25">
      <c r="A806" s="11"/>
      <c r="B806" s="702" t="s">
        <v>5320</v>
      </c>
      <c r="C806" s="172"/>
      <c r="D806" s="172"/>
      <c r="E806" s="172"/>
      <c r="F806" s="172"/>
      <c r="G806" s="172"/>
      <c r="H806" s="672">
        <f>IF(H459-26&lt;0,1,IF(H459-26&lt;3.1,0.95,IF(H459-26&lt;5.1,0.9,IF(H459-26&lt;7.1,0.85,0.75))))</f>
        <v>1</v>
      </c>
      <c r="I806" s="672">
        <f>IF(I459-26&lt;0,1,IF(I459-26&lt;3.1,0.95,IF(I459-26&lt;5.1,0.9,IF(I459-26&lt;7.1,0.85,0.75))))</f>
        <v>1</v>
      </c>
      <c r="J806" s="672">
        <f>IF(J459-26&lt;0,1,IF(J459-26&lt;3.1,0.95,IF(J459-26&lt;5.1,0.9,IF(J459-26&lt;7.1,0.85,0.75))))</f>
        <v>1</v>
      </c>
      <c r="K806" s="672">
        <f>IF(K459-26&lt;0,1,IF(K459-26&lt;3.1,0.95,IF(K459-26&lt;5.1,0.9,IF(K459-26&lt;7.1,0.85,0.75))))</f>
        <v>1</v>
      </c>
      <c r="L806" s="701">
        <f>IF(L459-26&lt;0,1,IF(L459-26&lt;3.1,0.95,IF(L459-26&lt;5.1,0.9,IF(L459-26&lt;7.1,0.85,0.75))))</f>
        <v>1</v>
      </c>
      <c r="M806" s="62"/>
      <c r="N806" s="62"/>
      <c r="O806" s="62"/>
      <c r="P806" s="62"/>
      <c r="Q806" s="62"/>
      <c r="R806" s="42"/>
      <c r="S806" s="42"/>
      <c r="T806" s="42"/>
      <c r="U806" s="42"/>
      <c r="V806" s="58"/>
      <c r="W806" s="58"/>
      <c r="X806" s="58"/>
      <c r="Y806" s="58"/>
    </row>
    <row r="807" spans="1:25" ht="15" x14ac:dyDescent="0.25">
      <c r="A807" s="11"/>
      <c r="B807" s="702" t="s">
        <v>5322</v>
      </c>
      <c r="C807" s="172"/>
      <c r="D807" s="172"/>
      <c r="E807" s="172"/>
      <c r="F807" s="172"/>
      <c r="G807" s="172"/>
      <c r="H807" s="672" t="e">
        <f>IF(H810&lt;1.33,0.76,IF(H810&lt;1.4,0.8,IF(H810&lt;1.47,0.84,IF(H810&lt;1.53,0.88,IF(H810&lt;1.61,0.92,IF(H810&lt;1.66,0.96,IF(H810&lt;1.75,1,1.04)))))))</f>
        <v>#VALUE!</v>
      </c>
      <c r="I807" s="672" t="e">
        <f>IF(I810&lt;1.33,0.76,IF(I810&lt;1.4,0.8,IF(I810&lt;1.47,0.84,IF(I810&lt;1.53,0.88,IF(I810&lt;1.61,0.92,IF(I810&lt;1.66,0.96,IF(I810&lt;1.75,1,1.04)))))))</f>
        <v>#VALUE!</v>
      </c>
      <c r="J807" s="672" t="e">
        <f>IF(J810&lt;1.33,0.76,IF(J810&lt;1.4,0.8,IF(J810&lt;1.47,0.84,IF(J810&lt;1.53,0.88,IF(J810&lt;1.61,0.92,IF(J810&lt;1.66,0.96,IF(J810&lt;1.75,1,1.04)))))))</f>
        <v>#VALUE!</v>
      </c>
      <c r="K807" s="672" t="e">
        <f>IF(K810&lt;1.33,0.76,IF(K810&lt;1.4,0.8,IF(K810&lt;1.47,0.84,IF(K810&lt;1.53,0.88,IF(K810&lt;1.61,0.92,IF(K810&lt;1.66,0.96,IF(K810&lt;1.75,1,1.04)))))))</f>
        <v>#VALUE!</v>
      </c>
      <c r="L807" s="701" t="e">
        <f>IF(L810&lt;1.33,0.76,IF(L810&lt;1.4,0.8,IF(L810&lt;1.47,0.84,IF(L810&lt;1.53,0.88,IF(L810&lt;1.61,0.92,IF(L810&lt;1.66,0.96,IF(L810&lt;1.75,1,1.04)))))))</f>
        <v>#VALUE!</v>
      </c>
      <c r="M807" s="62"/>
      <c r="N807" s="62"/>
      <c r="O807" s="62"/>
      <c r="P807" s="62"/>
      <c r="Q807" s="62"/>
      <c r="R807" s="42"/>
      <c r="S807" s="42"/>
      <c r="T807" s="42"/>
      <c r="U807" s="42"/>
      <c r="V807" s="58"/>
      <c r="W807" s="58"/>
      <c r="X807" s="58"/>
      <c r="Y807" s="58"/>
    </row>
    <row r="808" spans="1:25" ht="15" x14ac:dyDescent="0.25">
      <c r="A808" s="11"/>
      <c r="B808" s="703" t="s">
        <v>3186</v>
      </c>
      <c r="C808" s="369"/>
      <c r="D808" s="369"/>
      <c r="E808" s="369"/>
      <c r="F808" s="369"/>
      <c r="G808" s="369"/>
      <c r="H808" s="704" t="e">
        <f>PRODUCT(H803:H807)</f>
        <v>#VALUE!</v>
      </c>
      <c r="I808" s="704" t="e">
        <f>PRODUCT(I803:I807)</f>
        <v>#VALUE!</v>
      </c>
      <c r="J808" s="704" t="e">
        <f>PRODUCT(J803:J807)</f>
        <v>#VALUE!</v>
      </c>
      <c r="K808" s="704" t="e">
        <f>PRODUCT(K803:K807)</f>
        <v>#VALUE!</v>
      </c>
      <c r="L808" s="705" t="e">
        <f>PRODUCT(L803:L807)</f>
        <v>#VALUE!</v>
      </c>
      <c r="M808" s="62"/>
      <c r="N808" s="62"/>
      <c r="O808" s="62"/>
      <c r="P808" s="62"/>
      <c r="Q808" s="62"/>
      <c r="R808" s="42"/>
      <c r="S808" s="42"/>
      <c r="T808" s="42"/>
      <c r="U808" s="42"/>
      <c r="V808" s="58"/>
      <c r="W808" s="58"/>
      <c r="X808" s="58"/>
      <c r="Y808" s="58"/>
    </row>
    <row r="809" spans="1:25" ht="15" x14ac:dyDescent="0.25">
      <c r="A809" s="11"/>
      <c r="B809" s="38"/>
      <c r="C809" s="11"/>
      <c r="D809" s="29"/>
      <c r="E809" s="29"/>
      <c r="F809" s="29"/>
      <c r="G809" s="29"/>
      <c r="H809" s="667"/>
      <c r="I809" s="667"/>
      <c r="J809" s="667"/>
      <c r="K809" s="667"/>
      <c r="L809" s="667"/>
      <c r="M809" s="62"/>
      <c r="N809" s="62"/>
      <c r="O809" s="62"/>
      <c r="P809" s="62"/>
      <c r="Q809" s="62"/>
      <c r="R809" s="42"/>
      <c r="S809" s="42"/>
      <c r="T809" s="42"/>
      <c r="U809" s="42"/>
      <c r="V809" s="58"/>
      <c r="W809" s="58"/>
      <c r="X809" s="58"/>
      <c r="Y809" s="58"/>
    </row>
    <row r="810" spans="1:25" ht="15" x14ac:dyDescent="0.25">
      <c r="A810" s="11"/>
      <c r="B810" s="528" t="s">
        <v>5323</v>
      </c>
      <c r="C810" s="199"/>
      <c r="D810" s="199"/>
      <c r="E810" s="199"/>
      <c r="F810" s="199"/>
      <c r="G810" s="199"/>
      <c r="H810" s="706" t="e">
        <f>((H495-H496)*H497+H496*2.5)/H495</f>
        <v>#VALUE!</v>
      </c>
      <c r="I810" s="706" t="e">
        <f>((I495-I496)*I497+I496*2.5)/I495</f>
        <v>#VALUE!</v>
      </c>
      <c r="J810" s="706" t="e">
        <f>((J495-J496)*J497+J496*2.5)/J495</f>
        <v>#VALUE!</v>
      </c>
      <c r="K810" s="706" t="e">
        <f>((K495-K496)*K497+K496*2.5)/K495</f>
        <v>#VALUE!</v>
      </c>
      <c r="L810" s="706" t="e">
        <f>((L495-L496)*L497+L496*2.5)/L495</f>
        <v>#VALUE!</v>
      </c>
      <c r="M810" s="62"/>
      <c r="N810" s="62"/>
      <c r="O810" s="62"/>
      <c r="P810" s="62"/>
      <c r="Q810" s="62"/>
      <c r="R810" s="42"/>
      <c r="S810" s="42"/>
      <c r="T810" s="42"/>
      <c r="U810" s="42"/>
      <c r="V810" s="58"/>
      <c r="W810" s="58"/>
      <c r="X810" s="58"/>
      <c r="Y810" s="58"/>
    </row>
    <row r="811" spans="1:25" ht="17.25" x14ac:dyDescent="0.3">
      <c r="A811" s="11"/>
      <c r="B811" s="528" t="s">
        <v>456</v>
      </c>
      <c r="C811" s="199"/>
      <c r="D811" s="199"/>
      <c r="E811" s="199"/>
      <c r="F811" s="199"/>
      <c r="G811" s="199"/>
      <c r="H811" s="706" t="e">
        <f>((H495-H496)*H498+H496*4)/H495</f>
        <v>#VALUE!</v>
      </c>
      <c r="I811" s="706" t="e">
        <f>((I495-I496)*I498+I496*4)/I495</f>
        <v>#VALUE!</v>
      </c>
      <c r="J811" s="706" t="e">
        <f>((J495-J496)*J498+J496*4)/J495</f>
        <v>#VALUE!</v>
      </c>
      <c r="K811" s="706" t="e">
        <f>((K495-K496)*K498+K496*4)/K495</f>
        <v>#VALUE!</v>
      </c>
      <c r="L811" s="706" t="e">
        <f>((L495-L496)*L498+L496*4)/L495</f>
        <v>#VALUE!</v>
      </c>
      <c r="M811" s="62"/>
      <c r="N811" s="62"/>
      <c r="O811" s="62"/>
      <c r="P811" s="62"/>
      <c r="Q811" s="62"/>
      <c r="R811" s="42"/>
      <c r="S811" s="42"/>
      <c r="T811" s="42"/>
      <c r="U811" s="42"/>
      <c r="V811" s="58"/>
      <c r="W811" s="58"/>
      <c r="X811" s="58"/>
      <c r="Y811" s="58"/>
    </row>
    <row r="812" spans="1:25" ht="15" x14ac:dyDescent="0.25">
      <c r="A812" s="11"/>
      <c r="B812" s="528" t="s">
        <v>2752</v>
      </c>
      <c r="C812" s="199"/>
      <c r="D812" s="199"/>
      <c r="E812" s="199"/>
      <c r="F812" s="199"/>
      <c r="G812" s="199"/>
      <c r="H812" s="706" t="e">
        <f ca="1">IF(ROUND((-7.16*LN(1/(H211/H810))-6.53*H495+10.312),0)&gt;7,7,ROUND((-7.16*LN(1/(H211/H810))-6.53*H495+10.312),0))</f>
        <v>#VALUE!</v>
      </c>
      <c r="I812" s="706" t="e">
        <f ca="1">IF(ROUND((-7.16*LN(1/(I211/I810))-6.53*I495+10.312),0)&gt;7,7,ROUND((-7.16*LN(1/(I211/I810))-6.53*I495+10.312),0))</f>
        <v>#VALUE!</v>
      </c>
      <c r="J812" s="706" t="e">
        <f ca="1">IF(ROUND((-7.16*LN(1/(J211/J810))-6.53*J495+10.312),0)&gt;7,7,ROUND((-7.16*LN(1/(J211/J810))-6.53*J495+10.312),0))</f>
        <v>#VALUE!</v>
      </c>
      <c r="K812" s="706" t="e">
        <f ca="1">IF(ROUND((-7.16*LN(1/(K211/K810))-6.53*K495+10.312),0)&gt;7,7,ROUND((-7.16*LN(1/(K211/K810))-6.53*K495+10.312),0))</f>
        <v>#VALUE!</v>
      </c>
      <c r="L812" s="706" t="e">
        <f ca="1">IF(ROUND((-7.16*LN(1/(L211/L810))-6.53*L495+10.312),0)&gt;7,7,ROUND((-7.16*LN(1/(L211/L810))-6.53*L495+10.312),0))</f>
        <v>#VALUE!</v>
      </c>
      <c r="M812" s="62"/>
      <c r="N812" s="62"/>
      <c r="O812" s="62"/>
      <c r="P812" s="62"/>
      <c r="Q812" s="62"/>
      <c r="R812" s="42"/>
      <c r="S812" s="42"/>
      <c r="T812" s="42"/>
      <c r="U812" s="42"/>
      <c r="V812" s="58"/>
      <c r="W812" s="58"/>
      <c r="X812" s="58"/>
      <c r="Y812" s="58"/>
    </row>
    <row r="813" spans="1:25" ht="15" x14ac:dyDescent="0.25">
      <c r="A813" s="11"/>
      <c r="B813" s="624" t="s">
        <v>5246</v>
      </c>
      <c r="C813" s="199"/>
      <c r="D813" s="199"/>
      <c r="E813" s="199"/>
      <c r="F813" s="199"/>
      <c r="G813" s="199"/>
      <c r="H813" s="199"/>
      <c r="I813" s="199"/>
      <c r="J813" s="199"/>
      <c r="K813" s="199"/>
      <c r="L813" s="199"/>
      <c r="M813" s="62"/>
      <c r="N813" s="62"/>
      <c r="O813" s="62"/>
      <c r="P813" s="62"/>
      <c r="Q813" s="62"/>
      <c r="R813" s="42"/>
      <c r="S813" s="42"/>
      <c r="T813" s="42"/>
      <c r="U813" s="42"/>
      <c r="V813" s="58"/>
      <c r="W813" s="58"/>
      <c r="X813" s="58"/>
      <c r="Y813" s="58"/>
    </row>
    <row r="814" spans="1:25" ht="15" x14ac:dyDescent="0.25">
      <c r="A814" s="11"/>
      <c r="B814" s="528" t="s">
        <v>4101</v>
      </c>
      <c r="C814" s="199"/>
      <c r="D814" s="199"/>
      <c r="E814" s="199"/>
      <c r="F814" s="199"/>
      <c r="G814" s="199"/>
      <c r="H814" s="528">
        <f>IF(H495&lt;0.81,1,IF(H495&lt;0.86,2,IF(H495&lt;0.91,3,IF(H495&lt;0.96,4,IF(H495&lt;1.03,5,IF(H495&lt;1.08,6,IF(H495&lt;1.15,7,8)))))))</f>
        <v>8</v>
      </c>
      <c r="I814" s="528">
        <f>IF(I495&lt;0.81,1,IF(I495&lt;0.86,2,IF(I495&lt;0.91,3,IF(I495&lt;0.96,4,IF(I495&lt;1.03,5,IF(I495&lt;1.08,6,IF(I495&lt;1.15,7,8)))))))</f>
        <v>8</v>
      </c>
      <c r="J814" s="528">
        <f>IF(J495&lt;0.81,1,IF(J495&lt;0.86,2,IF(J495&lt;0.91,3,IF(J495&lt;0.96,4,IF(J495&lt;1.03,5,IF(J495&lt;1.08,6,IF(J495&lt;1.15,7,8)))))))</f>
        <v>8</v>
      </c>
      <c r="K814" s="528">
        <f>IF(K495&lt;0.81,1,IF(K495&lt;0.86,2,IF(K495&lt;0.91,3,IF(K495&lt;0.96,4,IF(K495&lt;1.03,5,IF(K495&lt;1.08,6,IF(K495&lt;1.15,7,8)))))))</f>
        <v>8</v>
      </c>
      <c r="L814" s="528">
        <f>IF(L495&lt;0.81,1,IF(L495&lt;0.86,2,IF(L495&lt;0.91,3,IF(L495&lt;0.96,4,IF(L495&lt;1.03,5,IF(L495&lt;1.08,6,IF(L495&lt;1.15,7,8)))))))</f>
        <v>8</v>
      </c>
      <c r="M814" s="62"/>
      <c r="N814" s="62"/>
      <c r="O814" s="62"/>
      <c r="P814" s="62"/>
      <c r="Q814" s="62"/>
      <c r="R814" s="42"/>
      <c r="S814" s="42"/>
      <c r="T814" s="42"/>
      <c r="U814" s="42"/>
      <c r="V814" s="58"/>
      <c r="W814" s="58"/>
      <c r="X814" s="58"/>
      <c r="Y814" s="58"/>
    </row>
    <row r="815" spans="1:25" ht="15" x14ac:dyDescent="0.25">
      <c r="A815" s="11" t="s">
        <v>1137</v>
      </c>
      <c r="B815" s="199" t="s">
        <v>2756</v>
      </c>
      <c r="C815" s="199"/>
      <c r="D815" s="199"/>
      <c r="E815" s="199"/>
      <c r="F815" s="199"/>
      <c r="G815" s="199"/>
      <c r="H815" s="528" t="e">
        <f ca="1">IF(AND(H109&gt;175,H479=0),INDEX($M$1067:$U$1075,H812,H814),IF(AND(H109&lt;=175,H479=0),INDEX($M$1053:$U$1061,H812,H814),IF(AND(H109&gt;175,H479=1),INDEX($M$1095:$U$1103,H812,H814),IF(AND(H109&lt;=175,H479=1),INDEX($M$1081:$U$1089,H812,H814)))))</f>
        <v>#VALUE!</v>
      </c>
      <c r="I815" s="528" t="e">
        <f ca="1">IF(AND(I109&gt;175,I479=0),INDEX($M$1067:$U$1075,I812,I814),IF(AND(I109&lt;=175,I479=0),INDEX($M$1053:$U$1061,I812,I814),IF(AND(I109&gt;175,I479=1),INDEX($M$1095:$U$1103,I812,I814),IF(AND(I109&lt;=175,I479=1),INDEX($M$1081:$U$1089,I812,I814)))))</f>
        <v>#VALUE!</v>
      </c>
      <c r="J815" s="528" t="e">
        <f ca="1">IF(AND(J109&gt;175,J479=0),INDEX($M$1067:$U$1075,J812,J814),IF(AND(J109&lt;=175,J479=0),INDEX($M$1053:$U$1061,J812,J814),IF(AND(J109&gt;175,J479=1),INDEX($M$1095:$U$1103,J812,J814),IF(AND(J109&lt;=175,J479=1),INDEX($M$1081:$U$1089,J812,J814)))))</f>
        <v>#VALUE!</v>
      </c>
      <c r="K815" s="528" t="e">
        <f ca="1">IF(AND(K109&gt;175,K479=0),INDEX($M$1067:$U$1075,K812,K814),IF(AND(K109&lt;=175,K479=0),INDEX($M$1053:$U$1061,K812,K814),IF(AND(K109&gt;175,K479=1),INDEX($M$1095:$U$1103,K812,K814),IF(AND(K109&lt;=175,K479=1),INDEX($M$1081:$U$1089,K812,K814)))))</f>
        <v>#VALUE!</v>
      </c>
      <c r="L815" s="528" t="e">
        <f ca="1">IF(AND(L109&gt;175,L479=0),INDEX($M$1067:$U$1075,L812,L814),IF(AND(L109&lt;=175,L479=0),INDEX($M$1053:$U$1061,L812,L814),IF(AND(L109&gt;175,L479=1),INDEX($M$1095:$U$1103,L812,L814),IF(AND(L109&lt;=175,L479=1),INDEX($M$1081:$U$1089,L812,L814)))))</f>
        <v>#VALUE!</v>
      </c>
      <c r="M815" s="62"/>
      <c r="N815" s="62"/>
      <c r="O815" s="62"/>
      <c r="P815" s="62"/>
      <c r="Q815" s="62"/>
      <c r="R815" s="42"/>
      <c r="S815" s="42"/>
      <c r="T815" s="42"/>
      <c r="U815" s="42"/>
      <c r="V815" s="58"/>
      <c r="W815" s="58"/>
      <c r="X815" s="58"/>
      <c r="Y815" s="58"/>
    </row>
    <row r="816" spans="1:25" ht="15" x14ac:dyDescent="0.25">
      <c r="A816" s="11"/>
      <c r="B816" s="199" t="s">
        <v>2755</v>
      </c>
      <c r="C816" s="199"/>
      <c r="D816" s="199"/>
      <c r="E816" s="199"/>
      <c r="F816" s="199"/>
      <c r="G816" s="199"/>
      <c r="H816" s="528" t="e">
        <f ca="1">H808*(IF(AND(H109&gt;175,H479=0),INDEX($B$1067:$J$1075,H812,H814),IF(AND(H109&lt;=175,H479=0),INDEX($B$1053:$J$1061,H812,H814),IF(AND(H109&gt;175,H479=1),INDEX($B$1095:$J$1103,H812,H814),IF(AND(H109&lt;=175,H479=1),INDEX($B$1081:$J$1089,H812,H814))))))</f>
        <v>#VALUE!</v>
      </c>
      <c r="I816" s="528" t="e">
        <f ca="1">I808*(IF(AND(I109&gt;175,I479=0),INDEX($B$1067:$J$1075,I812,I814),IF(AND(I109&lt;=175,I479=0),INDEX($B$1053:$J$1061,I812,I814),IF(AND(I109&gt;175,I479=1),INDEX($B$1095:$J$1103,I812,I814),IF(AND(I109&lt;=175,I479=1),INDEX($B$1081:$J$1089,I812,I814))))))</f>
        <v>#VALUE!</v>
      </c>
      <c r="J816" s="528" t="e">
        <f ca="1">J808*(IF(AND(J109&gt;175,J479=0),INDEX($B$1067:$J$1075,J812,J814),IF(AND(J109&lt;=175,J479=0),INDEX($B$1053:$J$1061,J812,J814),IF(AND(J109&gt;175,J479=1),INDEX($B$1095:$J$1103,J812,J814),IF(AND(J109&lt;=175,J479=1),INDEX($B$1081:$J$1089,J812,J814))))))</f>
        <v>#VALUE!</v>
      </c>
      <c r="K816" s="528" t="e">
        <f ca="1">K808*(IF(AND(K109&gt;175,K479=0),INDEX($B$1067:$J$1075,K812,K814),IF(AND(K109&lt;=175,K479=0),INDEX($B$1053:$J$1061,K812,K814),IF(AND(K109&gt;175,K479=1),INDEX($B$1095:$J$1103,K812,K814),IF(AND(K109&lt;=175,K479=1),INDEX($B$1081:$J$1089,K812,K814))))))</f>
        <v>#VALUE!</v>
      </c>
      <c r="L816" s="528" t="e">
        <f ca="1">L808*(IF(AND(L109&gt;175,L479=0),INDEX($B$1067:$J$1075,L812,L814),IF(AND(L109&lt;=175,L479=0),INDEX($B$1053:$J$1061,L812,L814),IF(AND(L109&gt;175,L479=1),INDEX($B$1095:$J$1103,L812,L814),IF(AND(L109&lt;=175,L479=1),INDEX($B$1081:$J$1089,L812,L814))))))</f>
        <v>#VALUE!</v>
      </c>
      <c r="M816" s="62"/>
      <c r="N816" s="62"/>
      <c r="O816" s="62"/>
      <c r="P816" s="62"/>
      <c r="Q816" s="62"/>
      <c r="R816" s="42"/>
      <c r="S816" s="42"/>
      <c r="T816" s="42"/>
      <c r="U816" s="42"/>
      <c r="V816" s="58"/>
      <c r="W816" s="58"/>
      <c r="X816" s="58"/>
      <c r="Y816" s="58"/>
    </row>
    <row r="817" spans="1:25" ht="15" x14ac:dyDescent="0.25">
      <c r="A817" s="11"/>
      <c r="B817" s="38" t="s">
        <v>5248</v>
      </c>
      <c r="C817" s="11"/>
      <c r="D817" s="11"/>
      <c r="E817" s="11"/>
      <c r="F817" s="11"/>
      <c r="G817" s="11"/>
      <c r="H817" s="696" t="e">
        <f ca="1">H815*H603/H816</f>
        <v>#VALUE!</v>
      </c>
      <c r="I817" s="696" t="e">
        <f ca="1">I815*I603/I816</f>
        <v>#VALUE!</v>
      </c>
      <c r="J817" s="696" t="e">
        <f ca="1">J815*J603/J816</f>
        <v>#VALUE!</v>
      </c>
      <c r="K817" s="696" t="e">
        <f ca="1">K815*K603/K816</f>
        <v>#VALUE!</v>
      </c>
      <c r="L817" s="696" t="e">
        <f ca="1">L815*L603/L816</f>
        <v>#VALUE!</v>
      </c>
      <c r="M817" s="62"/>
      <c r="N817" s="62"/>
      <c r="O817" s="62"/>
      <c r="P817" s="62"/>
      <c r="Q817" s="62"/>
      <c r="R817" s="42"/>
      <c r="S817" s="42"/>
      <c r="T817" s="42"/>
      <c r="U817" s="42"/>
      <c r="V817" s="58"/>
      <c r="W817" s="58"/>
      <c r="X817" s="58"/>
      <c r="Y817" s="58"/>
    </row>
    <row r="818" spans="1:25" ht="15" x14ac:dyDescent="0.25">
      <c r="A818" s="11"/>
      <c r="B818" s="38"/>
      <c r="C818" s="11"/>
      <c r="D818" s="11"/>
      <c r="E818" s="11"/>
      <c r="F818" s="11"/>
      <c r="G818" s="11"/>
      <c r="H818" s="696"/>
      <c r="I818" s="696"/>
      <c r="J818" s="696"/>
      <c r="K818" s="696"/>
      <c r="L818" s="696"/>
      <c r="M818" s="62"/>
      <c r="N818" s="62"/>
      <c r="O818" s="62"/>
      <c r="P818" s="62"/>
      <c r="Q818" s="62"/>
      <c r="R818" s="42"/>
      <c r="S818" s="42"/>
      <c r="T818" s="42"/>
      <c r="U818" s="42"/>
      <c r="V818" s="58"/>
      <c r="W818" s="58"/>
      <c r="X818" s="58"/>
      <c r="Y818" s="58"/>
    </row>
    <row r="819" spans="1:25" ht="15" x14ac:dyDescent="0.25">
      <c r="A819" s="199"/>
      <c r="B819" s="624" t="s">
        <v>1235</v>
      </c>
      <c r="C819" s="199"/>
      <c r="D819" s="199"/>
      <c r="E819" s="199"/>
      <c r="F819" s="199"/>
      <c r="G819" s="199"/>
      <c r="H819" s="199"/>
      <c r="I819" s="199"/>
      <c r="J819" s="199"/>
      <c r="K819" s="199"/>
      <c r="L819" s="199"/>
      <c r="M819" s="199"/>
      <c r="N819" s="199"/>
      <c r="O819" s="62"/>
      <c r="P819" s="62"/>
      <c r="Q819" s="62"/>
      <c r="R819" s="42"/>
      <c r="S819" s="42"/>
      <c r="T819" s="42"/>
      <c r="U819" s="42"/>
      <c r="V819" s="58"/>
      <c r="W819" s="58"/>
      <c r="X819" s="58"/>
      <c r="Y819" s="58"/>
    </row>
    <row r="820" spans="1:25" ht="15" x14ac:dyDescent="0.25">
      <c r="A820" s="199"/>
      <c r="B820" s="624"/>
      <c r="C820" s="199"/>
      <c r="D820" s="199"/>
      <c r="E820" s="199"/>
      <c r="F820" s="199"/>
      <c r="G820" s="199"/>
      <c r="H820" s="199"/>
      <c r="I820" s="199"/>
      <c r="J820" s="199"/>
      <c r="K820" s="199"/>
      <c r="L820" s="199"/>
      <c r="M820" s="199"/>
      <c r="N820" s="199"/>
      <c r="O820" s="62"/>
      <c r="P820" s="62"/>
      <c r="Q820" s="62"/>
      <c r="R820" s="42"/>
      <c r="S820" s="42"/>
      <c r="T820" s="42"/>
      <c r="U820" s="42"/>
      <c r="V820" s="58"/>
      <c r="W820" s="58"/>
      <c r="X820" s="58"/>
      <c r="Y820" s="58"/>
    </row>
    <row r="821" spans="1:25" ht="15" x14ac:dyDescent="0.25">
      <c r="A821" s="199" t="s">
        <v>3937</v>
      </c>
      <c r="B821" s="624"/>
      <c r="C821" s="199"/>
      <c r="D821" s="199"/>
      <c r="E821" s="199"/>
      <c r="F821" s="199"/>
      <c r="G821" s="199"/>
      <c r="H821" s="707" t="e">
        <f ca="1">H822/(H495*H810*(H109-H438-H439))</f>
        <v>#VALUE!</v>
      </c>
      <c r="I821" s="707" t="e">
        <f ca="1">I822/(I495*I810*(I109-I438-I439))</f>
        <v>#VALUE!</v>
      </c>
      <c r="J821" s="707" t="e">
        <f ca="1">J822/(J495*J810*(J109-J438-J439))</f>
        <v>#VALUE!</v>
      </c>
      <c r="K821" s="707" t="e">
        <f ca="1">K822/(K495*K810*(K109-K438-K439))</f>
        <v>#VALUE!</v>
      </c>
      <c r="L821" s="707" t="e">
        <f ca="1">L822/(L495*L810*(L109-L438-L439))</f>
        <v>#VALUE!</v>
      </c>
      <c r="M821" s="199"/>
      <c r="N821" s="199"/>
      <c r="O821" s="62"/>
      <c r="P821" s="62"/>
      <c r="Q821" s="62"/>
      <c r="R821" s="42"/>
      <c r="S821" s="42"/>
      <c r="T821" s="42"/>
      <c r="U821" s="42"/>
      <c r="V821" s="58"/>
      <c r="W821" s="58"/>
      <c r="X821" s="58"/>
      <c r="Y821" s="58"/>
    </row>
    <row r="822" spans="1:25" ht="15" x14ac:dyDescent="0.25">
      <c r="A822" s="199" t="s">
        <v>1236</v>
      </c>
      <c r="B822" s="199"/>
      <c r="C822" s="199"/>
      <c r="D822" s="199"/>
      <c r="E822" s="199"/>
      <c r="F822" s="199" t="s">
        <v>2868</v>
      </c>
      <c r="G822" s="199"/>
      <c r="H822" s="651" t="e">
        <f ca="1">H603</f>
        <v>#VALUE!</v>
      </c>
      <c r="I822" s="651" t="e">
        <f ca="1">I603</f>
        <v>#VALUE!</v>
      </c>
      <c r="J822" s="651" t="e">
        <f ca="1">J603</f>
        <v>#VALUE!</v>
      </c>
      <c r="K822" s="651" t="e">
        <f ca="1">K603</f>
        <v>#VALUE!</v>
      </c>
      <c r="L822" s="651" t="e">
        <f ca="1">L603</f>
        <v>#VALUE!</v>
      </c>
      <c r="M822" s="199"/>
      <c r="N822" s="199"/>
      <c r="O822" s="62"/>
      <c r="P822" s="62"/>
      <c r="Q822" s="62"/>
      <c r="R822" s="42"/>
      <c r="S822" s="42"/>
      <c r="T822" s="42"/>
      <c r="U822" s="42"/>
      <c r="V822" s="58"/>
      <c r="W822" s="58"/>
      <c r="X822" s="58"/>
      <c r="Y822" s="58"/>
    </row>
    <row r="823" spans="1:25" ht="15" x14ac:dyDescent="0.25">
      <c r="A823" s="199"/>
      <c r="B823" s="199"/>
      <c r="C823" s="199"/>
      <c r="D823" s="199"/>
      <c r="E823" s="547"/>
      <c r="F823" s="199" t="s">
        <v>2331</v>
      </c>
      <c r="G823" s="199"/>
      <c r="H823" s="528">
        <f>IF(H495&lt;0.58,1,IF(H495&lt;0.72,2,IF(H495&lt;0.86,3,IF(H495&lt;1.01,4,5))))</f>
        <v>5</v>
      </c>
      <c r="I823" s="528">
        <f>IF(I495&lt;0.58,1,IF(I495&lt;0.72,2,IF(I495&lt;0.86,3,IF(I495&lt;1.01,4,5))))</f>
        <v>5</v>
      </c>
      <c r="J823" s="528">
        <f>IF(J495&lt;0.58,1,IF(J495&lt;0.72,2,IF(J495&lt;0.86,3,IF(J495&lt;1.01,4,5))))</f>
        <v>5</v>
      </c>
      <c r="K823" s="528">
        <f>IF(K495&lt;0.58,1,IF(K495&lt;0.72,2,IF(K495&lt;0.86,3,IF(K495&lt;1.01,4,5))))</f>
        <v>5</v>
      </c>
      <c r="L823" s="528">
        <f>IF(L495&lt;0.58,1,IF(L495&lt;0.72,2,IF(L495&lt;0.86,3,IF(L495&lt;1.01,4,5))))</f>
        <v>5</v>
      </c>
      <c r="M823" s="199"/>
      <c r="N823" s="199"/>
      <c r="O823" s="62"/>
      <c r="P823" s="62"/>
      <c r="Q823" s="62"/>
      <c r="R823" s="42"/>
      <c r="S823" s="42"/>
      <c r="T823" s="42"/>
      <c r="U823" s="42"/>
      <c r="V823" s="58"/>
      <c r="W823" s="58"/>
      <c r="X823" s="58"/>
      <c r="Y823" s="58"/>
    </row>
    <row r="824" spans="1:25" ht="15" x14ac:dyDescent="0.25">
      <c r="A824" s="199"/>
      <c r="B824" s="199"/>
      <c r="C824" s="199"/>
      <c r="D824" s="199"/>
      <c r="E824" s="547"/>
      <c r="F824" s="199" t="s">
        <v>2333</v>
      </c>
      <c r="G824" s="199"/>
      <c r="H824" s="528" t="e">
        <f ca="1">IF(H109&lt;176,INDEX($B$1111:$H$1115,H823,IF(H812&gt;7,7,H812)),INDEX($B$1117:$H$1121,H823,IF(H812&gt;7,7,H812)))</f>
        <v>#VALUE!</v>
      </c>
      <c r="I824" s="528" t="e">
        <f ca="1">IF(I109&lt;176,INDEX($B$1111:$H$1115,I823,IF(I812&gt;7,7,I812)),INDEX($B$1117:$H$1121,I823,IF(I812&gt;7,7,I812)))</f>
        <v>#VALUE!</v>
      </c>
      <c r="J824" s="528" t="e">
        <f ca="1">IF(J109&lt;176,INDEX($B$1111:$H$1115,J823,IF(J812&gt;7,7,J812)),INDEX($B$1117:$H$1121,J823,IF(J812&gt;7,7,J812)))</f>
        <v>#VALUE!</v>
      </c>
      <c r="K824" s="528" t="e">
        <f ca="1">IF(K109&lt;176,INDEX($B$1111:$H$1115,K823,IF(K812&gt;7,7,K812)),INDEX($B$1117:$H$1121,K823,IF(K812&gt;7,7,K812)))</f>
        <v>#VALUE!</v>
      </c>
      <c r="L824" s="528" t="e">
        <f ca="1">IF(L109&lt;176,INDEX($B$1111:$H$1115,L823,IF(L812&gt;7,7,L812)),INDEX($B$1117:$H$1121,L823,IF(L812&gt;7,7,L812)))</f>
        <v>#VALUE!</v>
      </c>
      <c r="M824" s="199"/>
      <c r="N824" s="199"/>
      <c r="O824" s="62"/>
      <c r="P824" s="62"/>
      <c r="Q824" s="62"/>
      <c r="R824" s="42"/>
      <c r="S824" s="42"/>
      <c r="T824" s="42"/>
      <c r="U824" s="42"/>
      <c r="V824" s="58"/>
      <c r="W824" s="58"/>
      <c r="X824" s="58"/>
      <c r="Y824" s="58"/>
    </row>
    <row r="825" spans="1:25" ht="15" x14ac:dyDescent="0.25">
      <c r="A825" s="199"/>
      <c r="B825" s="199"/>
      <c r="C825" s="199"/>
      <c r="D825" s="199"/>
      <c r="E825" s="547"/>
      <c r="F825" s="199" t="s">
        <v>2332</v>
      </c>
      <c r="G825" s="199"/>
      <c r="H825" s="708" t="e">
        <f>H808</f>
        <v>#VALUE!</v>
      </c>
      <c r="I825" s="708" t="e">
        <f>I808</f>
        <v>#VALUE!</v>
      </c>
      <c r="J825" s="708" t="e">
        <f>J808</f>
        <v>#VALUE!</v>
      </c>
      <c r="K825" s="708" t="e">
        <f>K808</f>
        <v>#VALUE!</v>
      </c>
      <c r="L825" s="708" t="e">
        <f>L808</f>
        <v>#VALUE!</v>
      </c>
      <c r="M825" s="199"/>
      <c r="N825" s="199"/>
      <c r="O825" s="62"/>
      <c r="P825" s="62"/>
      <c r="Q825" s="62"/>
      <c r="R825" s="42"/>
      <c r="S825" s="42"/>
      <c r="T825" s="42"/>
      <c r="U825" s="42"/>
      <c r="V825" s="58"/>
      <c r="W825" s="58"/>
      <c r="X825" s="58"/>
      <c r="Y825" s="58"/>
    </row>
    <row r="826" spans="1:25" ht="15" x14ac:dyDescent="0.25">
      <c r="A826" s="199"/>
      <c r="B826" s="199"/>
      <c r="C826" s="199"/>
      <c r="D826" s="199"/>
      <c r="E826" s="547"/>
      <c r="F826" s="199" t="s">
        <v>2334</v>
      </c>
      <c r="G826" s="199"/>
      <c r="H826" s="541" t="e">
        <f ca="1">H824*H825</f>
        <v>#VALUE!</v>
      </c>
      <c r="I826" s="541" t="e">
        <f ca="1">I824*I825</f>
        <v>#VALUE!</v>
      </c>
      <c r="J826" s="541" t="e">
        <f ca="1">J824*J825</f>
        <v>#VALUE!</v>
      </c>
      <c r="K826" s="541" t="e">
        <f ca="1">K824*K825</f>
        <v>#VALUE!</v>
      </c>
      <c r="L826" s="541" t="e">
        <f ca="1">L824*L825</f>
        <v>#VALUE!</v>
      </c>
      <c r="M826" s="199"/>
      <c r="N826" s="199"/>
      <c r="O826" s="62"/>
      <c r="P826" s="62"/>
      <c r="Q826" s="62"/>
      <c r="R826" s="42"/>
      <c r="S826" s="42"/>
      <c r="T826" s="42"/>
      <c r="U826" s="42"/>
      <c r="V826" s="58"/>
      <c r="W826" s="58"/>
      <c r="X826" s="58"/>
      <c r="Y826" s="58"/>
    </row>
    <row r="827" spans="1:25" ht="15" x14ac:dyDescent="0.25">
      <c r="A827" s="199"/>
      <c r="B827" s="199"/>
      <c r="C827" s="199"/>
      <c r="D827" s="199"/>
      <c r="E827" s="547"/>
      <c r="F827" s="199" t="s">
        <v>3936</v>
      </c>
      <c r="G827" s="199"/>
      <c r="H827" s="707" t="e">
        <f ca="1">2*H822/H826</f>
        <v>#VALUE!</v>
      </c>
      <c r="I827" s="707" t="e">
        <f ca="1">2*I822/I826</f>
        <v>#VALUE!</v>
      </c>
      <c r="J827" s="707" t="e">
        <f ca="1">2*J822/J826</f>
        <v>#VALUE!</v>
      </c>
      <c r="K827" s="707" t="e">
        <f ca="1">2*K822/K826</f>
        <v>#VALUE!</v>
      </c>
      <c r="L827" s="707" t="e">
        <f ca="1">2*L822/L826</f>
        <v>#VALUE!</v>
      </c>
      <c r="M827" s="199"/>
      <c r="N827" s="199"/>
      <c r="O827" s="62"/>
      <c r="P827" s="62"/>
      <c r="Q827" s="62"/>
      <c r="R827" s="42"/>
      <c r="S827" s="42"/>
      <c r="T827" s="42"/>
      <c r="U827" s="42"/>
      <c r="V827" s="58"/>
      <c r="W827" s="58"/>
      <c r="X827" s="58"/>
      <c r="Y827" s="58"/>
    </row>
    <row r="828" spans="1:25" ht="15" x14ac:dyDescent="0.25">
      <c r="A828" s="199" t="s">
        <v>1237</v>
      </c>
      <c r="B828" s="199"/>
      <c r="C828" s="199"/>
      <c r="D828" s="199"/>
      <c r="E828" s="199"/>
      <c r="F828" s="199" t="s">
        <v>2868</v>
      </c>
      <c r="G828" s="199"/>
      <c r="H828" s="709" t="e">
        <f ca="1">H822</f>
        <v>#VALUE!</v>
      </c>
      <c r="I828" s="709" t="e">
        <f ca="1">I822</f>
        <v>#VALUE!</v>
      </c>
      <c r="J828" s="709" t="e">
        <f ca="1">J822</f>
        <v>#VALUE!</v>
      </c>
      <c r="K828" s="709" t="e">
        <f ca="1">K822</f>
        <v>#VALUE!</v>
      </c>
      <c r="L828" s="709" t="e">
        <f ca="1">L822</f>
        <v>#VALUE!</v>
      </c>
      <c r="M828" s="199"/>
      <c r="N828" s="199"/>
      <c r="O828" s="62"/>
      <c r="P828" s="62"/>
      <c r="Q828" s="62"/>
      <c r="R828" s="42"/>
      <c r="S828" s="42"/>
      <c r="T828" s="42"/>
      <c r="U828" s="42"/>
      <c r="V828" s="58"/>
      <c r="W828" s="58"/>
      <c r="X828" s="58"/>
      <c r="Y828" s="58"/>
    </row>
    <row r="829" spans="1:25" ht="15" x14ac:dyDescent="0.25">
      <c r="A829" s="199"/>
      <c r="B829" s="199"/>
      <c r="C829" s="199"/>
      <c r="D829" s="199"/>
      <c r="E829" s="199"/>
      <c r="F829" s="199" t="s">
        <v>2331</v>
      </c>
      <c r="G829" s="199"/>
      <c r="H829" s="528">
        <f>IF(H495&lt;0.58,1,IF(H495&lt;0.72,2,IF(H495&lt;0.86,3,IF(H495&lt;1.01,4,5))))</f>
        <v>5</v>
      </c>
      <c r="I829" s="528">
        <f>IF(I495&lt;0.58,1,IF(I495&lt;0.72,2,IF(I495&lt;0.86,3,IF(I495&lt;1.01,4,5))))</f>
        <v>5</v>
      </c>
      <c r="J829" s="528">
        <f>IF(J495&lt;0.58,1,IF(J495&lt;0.72,2,IF(J495&lt;0.86,3,IF(J495&lt;1.01,4,5))))</f>
        <v>5</v>
      </c>
      <c r="K829" s="528">
        <f>IF(K495&lt;0.58,1,IF(K495&lt;0.72,2,IF(K495&lt;0.86,3,IF(K495&lt;1.01,4,5))))</f>
        <v>5</v>
      </c>
      <c r="L829" s="528">
        <f>IF(L495&lt;0.58,1,IF(L495&lt;0.72,2,IF(L495&lt;0.86,3,IF(L495&lt;1.01,4,5))))</f>
        <v>5</v>
      </c>
      <c r="M829" s="199"/>
      <c r="N829" s="199"/>
      <c r="O829" s="62"/>
      <c r="P829" s="62"/>
      <c r="Q829" s="62"/>
      <c r="R829" s="42"/>
      <c r="S829" s="42"/>
      <c r="T829" s="42"/>
      <c r="U829" s="42"/>
      <c r="V829" s="58"/>
      <c r="W829" s="58"/>
      <c r="X829" s="58"/>
      <c r="Y829" s="58"/>
    </row>
    <row r="830" spans="1:25" ht="15" x14ac:dyDescent="0.25">
      <c r="A830" s="199"/>
      <c r="B830" s="199"/>
      <c r="C830" s="199"/>
      <c r="D830" s="199"/>
      <c r="E830" s="199"/>
      <c r="F830" s="199" t="s">
        <v>2333</v>
      </c>
      <c r="G830" s="199"/>
      <c r="H830" s="528" t="e">
        <f>INDEX($B$1125:$B$1129,H495)</f>
        <v>#VALUE!</v>
      </c>
      <c r="I830" s="528" t="e">
        <f>INDEX($B$1125:$B$1129,I495)</f>
        <v>#VALUE!</v>
      </c>
      <c r="J830" s="528" t="e">
        <f>INDEX($B$1125:$B$1129,J495)</f>
        <v>#VALUE!</v>
      </c>
      <c r="K830" s="528" t="e">
        <f>INDEX($B$1125:$B$1129,K495)</f>
        <v>#VALUE!</v>
      </c>
      <c r="L830" s="528" t="e">
        <f>INDEX($B$1125:$B$1129,L495)</f>
        <v>#VALUE!</v>
      </c>
      <c r="M830" s="199"/>
      <c r="N830" s="199"/>
      <c r="O830" s="62"/>
      <c r="P830" s="62"/>
      <c r="Q830" s="62"/>
      <c r="R830" s="42"/>
      <c r="S830" s="42"/>
      <c r="T830" s="42"/>
      <c r="U830" s="42"/>
      <c r="V830" s="58"/>
      <c r="W830" s="58"/>
      <c r="X830" s="58"/>
      <c r="Y830" s="58"/>
    </row>
    <row r="831" spans="1:25" ht="15" x14ac:dyDescent="0.25">
      <c r="A831" s="199"/>
      <c r="B831" s="199"/>
      <c r="C831" s="199"/>
      <c r="D831" s="199"/>
      <c r="E831" s="199"/>
      <c r="F831" s="199" t="s">
        <v>2332</v>
      </c>
      <c r="G831" s="199"/>
      <c r="H831" s="708" t="e">
        <f>H808</f>
        <v>#VALUE!</v>
      </c>
      <c r="I831" s="708" t="e">
        <f>I808</f>
        <v>#VALUE!</v>
      </c>
      <c r="J831" s="708" t="e">
        <f>J808</f>
        <v>#VALUE!</v>
      </c>
      <c r="K831" s="708" t="e">
        <f>K808</f>
        <v>#VALUE!</v>
      </c>
      <c r="L831" s="708" t="e">
        <f>L808</f>
        <v>#VALUE!</v>
      </c>
      <c r="M831" s="199"/>
      <c r="N831" s="199"/>
      <c r="O831" s="62"/>
      <c r="P831" s="62"/>
      <c r="Q831" s="62"/>
      <c r="R831" s="42"/>
      <c r="S831" s="42"/>
      <c r="T831" s="42"/>
      <c r="U831" s="42"/>
      <c r="V831" s="58"/>
      <c r="W831" s="58"/>
      <c r="X831" s="58"/>
      <c r="Y831" s="58"/>
    </row>
    <row r="832" spans="1:25" ht="15" x14ac:dyDescent="0.25">
      <c r="A832" s="199"/>
      <c r="B832" s="199"/>
      <c r="C832" s="199"/>
      <c r="D832" s="199"/>
      <c r="E832" s="199"/>
      <c r="F832" s="199" t="s">
        <v>2334</v>
      </c>
      <c r="G832" s="199"/>
      <c r="H832" s="541" t="e">
        <f>H830*H831</f>
        <v>#VALUE!</v>
      </c>
      <c r="I832" s="541" t="e">
        <f>I830*I831</f>
        <v>#VALUE!</v>
      </c>
      <c r="J832" s="541" t="e">
        <f>J830*J831</f>
        <v>#VALUE!</v>
      </c>
      <c r="K832" s="541" t="e">
        <f>K830*K831</f>
        <v>#VALUE!</v>
      </c>
      <c r="L832" s="541" t="e">
        <f>L830*L831</f>
        <v>#VALUE!</v>
      </c>
      <c r="M832" s="199"/>
      <c r="N832" s="199"/>
      <c r="O832" s="62"/>
      <c r="P832" s="62"/>
      <c r="Q832" s="62"/>
      <c r="R832" s="42"/>
      <c r="S832" s="42"/>
      <c r="T832" s="42"/>
      <c r="U832" s="42"/>
      <c r="V832" s="58"/>
      <c r="W832" s="58"/>
      <c r="X832" s="58"/>
      <c r="Y832" s="58"/>
    </row>
    <row r="833" spans="1:25" ht="15" x14ac:dyDescent="0.25">
      <c r="A833" s="199"/>
      <c r="B833" s="199"/>
      <c r="C833" s="199"/>
      <c r="D833" s="199"/>
      <c r="E833" s="199"/>
      <c r="F833" s="199" t="s">
        <v>3936</v>
      </c>
      <c r="G833" s="199"/>
      <c r="H833" s="707" t="e">
        <f ca="1">H828/H832</f>
        <v>#VALUE!</v>
      </c>
      <c r="I833" s="707" t="e">
        <f ca="1">I828/I832</f>
        <v>#VALUE!</v>
      </c>
      <c r="J833" s="707" t="e">
        <f ca="1">J828/J832</f>
        <v>#VALUE!</v>
      </c>
      <c r="K833" s="707" t="e">
        <f ca="1">K828/K832</f>
        <v>#VALUE!</v>
      </c>
      <c r="L833" s="707" t="e">
        <f ca="1">L828/L832</f>
        <v>#VALUE!</v>
      </c>
      <c r="M833" s="199"/>
      <c r="N833" s="199"/>
      <c r="O833" s="62"/>
      <c r="P833" s="62"/>
      <c r="Q833" s="62"/>
      <c r="R833" s="42"/>
      <c r="S833" s="42"/>
      <c r="T833" s="42"/>
      <c r="U833" s="42"/>
      <c r="V833" s="58"/>
      <c r="W833" s="58"/>
      <c r="X833" s="58"/>
      <c r="Y833" s="58"/>
    </row>
    <row r="834" spans="1:25" ht="15" x14ac:dyDescent="0.25">
      <c r="A834" s="199"/>
      <c r="B834" s="199"/>
      <c r="C834" s="199"/>
      <c r="D834" s="199" t="s">
        <v>3257</v>
      </c>
      <c r="E834" s="199"/>
      <c r="F834" s="199"/>
      <c r="G834" s="199"/>
      <c r="H834" s="707" t="e">
        <f>H456*H495*H810*H696</f>
        <v>#VALUE!</v>
      </c>
      <c r="I834" s="707" t="e">
        <f>I456*I495*I810*I696</f>
        <v>#VALUE!</v>
      </c>
      <c r="J834" s="707" t="e">
        <f>J456*J495*J810*J696</f>
        <v>#VALUE!</v>
      </c>
      <c r="K834" s="707" t="e">
        <f>K456*K495*K810*K696</f>
        <v>#VALUE!</v>
      </c>
      <c r="L834" s="707" t="e">
        <f>L456*L495*L810*L696</f>
        <v>#VALUE!</v>
      </c>
      <c r="M834" s="199"/>
      <c r="N834" s="199"/>
      <c r="O834" s="62"/>
      <c r="P834" s="62"/>
      <c r="Q834" s="62"/>
      <c r="R834" s="42"/>
      <c r="S834" s="42"/>
      <c r="T834" s="42"/>
      <c r="U834" s="42"/>
      <c r="V834" s="58"/>
      <c r="W834" s="58"/>
      <c r="X834" s="58"/>
      <c r="Y834" s="58"/>
    </row>
    <row r="835" spans="1:25" ht="15" x14ac:dyDescent="0.25">
      <c r="A835" s="199"/>
      <c r="B835" s="199"/>
      <c r="C835" s="199"/>
      <c r="D835" s="199" t="s">
        <v>3675</v>
      </c>
      <c r="E835" s="199"/>
      <c r="F835" s="199"/>
      <c r="G835" s="199"/>
      <c r="H835" s="707" t="e">
        <f>H834/H832</f>
        <v>#VALUE!</v>
      </c>
      <c r="I835" s="707" t="e">
        <f>I834/I832</f>
        <v>#VALUE!</v>
      </c>
      <c r="J835" s="707" t="e">
        <f>J834/J832</f>
        <v>#VALUE!</v>
      </c>
      <c r="K835" s="707" t="e">
        <f>K834/K832</f>
        <v>#VALUE!</v>
      </c>
      <c r="L835" s="707" t="e">
        <f>L834/L832</f>
        <v>#VALUE!</v>
      </c>
      <c r="M835" s="199"/>
      <c r="N835" s="199"/>
      <c r="O835" s="62"/>
      <c r="P835" s="62"/>
      <c r="Q835" s="62"/>
      <c r="R835" s="42"/>
      <c r="S835" s="42"/>
      <c r="T835" s="42"/>
      <c r="U835" s="42"/>
      <c r="V835" s="58"/>
      <c r="W835" s="58"/>
      <c r="X835" s="58"/>
      <c r="Y835" s="58"/>
    </row>
    <row r="836" spans="1:25" ht="15" x14ac:dyDescent="0.25">
      <c r="A836" s="199"/>
      <c r="B836" s="199"/>
      <c r="C836" s="199"/>
      <c r="D836" s="199" t="s">
        <v>3676</v>
      </c>
      <c r="E836" s="199"/>
      <c r="F836" s="199"/>
      <c r="G836" s="199"/>
      <c r="H836" s="707" t="e">
        <f>360*H835</f>
        <v>#VALUE!</v>
      </c>
      <c r="I836" s="707" t="e">
        <f>360*I835</f>
        <v>#VALUE!</v>
      </c>
      <c r="J836" s="707" t="e">
        <f>360*J835</f>
        <v>#VALUE!</v>
      </c>
      <c r="K836" s="707" t="e">
        <f>360*K835</f>
        <v>#VALUE!</v>
      </c>
      <c r="L836" s="707" t="e">
        <f>360*L835</f>
        <v>#VALUE!</v>
      </c>
      <c r="M836" s="199"/>
      <c r="N836" s="199"/>
      <c r="O836" s="62"/>
      <c r="P836" s="62"/>
      <c r="Q836" s="62"/>
      <c r="R836" s="42"/>
      <c r="S836" s="42"/>
      <c r="T836" s="42"/>
      <c r="U836" s="42"/>
      <c r="V836" s="58"/>
      <c r="W836" s="58"/>
      <c r="X836" s="58"/>
      <c r="Y836" s="58"/>
    </row>
    <row r="837" spans="1:25" ht="15" x14ac:dyDescent="0.25">
      <c r="A837" s="199" t="s">
        <v>1988</v>
      </c>
      <c r="B837" s="199"/>
      <c r="C837" s="199"/>
      <c r="D837" s="199"/>
      <c r="E837" s="199"/>
      <c r="F837" s="199"/>
      <c r="G837" s="199"/>
      <c r="H837" s="199"/>
      <c r="I837" s="199"/>
      <c r="J837" s="199"/>
      <c r="K837" s="199"/>
      <c r="L837" s="199"/>
      <c r="M837" s="199"/>
      <c r="N837" s="199"/>
      <c r="O837" s="62"/>
      <c r="P837" s="62"/>
      <c r="Q837" s="62"/>
      <c r="R837" s="42"/>
      <c r="S837" s="42"/>
      <c r="T837" s="42"/>
      <c r="U837" s="42"/>
      <c r="V837" s="58"/>
      <c r="W837" s="58"/>
      <c r="X837" s="58"/>
      <c r="Y837" s="58"/>
    </row>
    <row r="838" spans="1:25" ht="15" x14ac:dyDescent="0.25">
      <c r="A838" s="199"/>
      <c r="B838" s="199"/>
      <c r="C838" s="199"/>
      <c r="D838" s="199"/>
      <c r="E838" s="199" t="s">
        <v>1989</v>
      </c>
      <c r="F838" s="199"/>
      <c r="G838" s="199"/>
      <c r="H838" s="528" t="e">
        <f ca="1">H821/0.6</f>
        <v>#VALUE!</v>
      </c>
      <c r="I838" s="528" t="e">
        <f ca="1">I821/0.6</f>
        <v>#VALUE!</v>
      </c>
      <c r="J838" s="528" t="e">
        <f ca="1">J821/0.6</f>
        <v>#VALUE!</v>
      </c>
      <c r="K838" s="528" t="e">
        <f ca="1">K821/0.6</f>
        <v>#VALUE!</v>
      </c>
      <c r="L838" s="528" t="e">
        <f ca="1">L821/0.6</f>
        <v>#VALUE!</v>
      </c>
      <c r="M838" s="199"/>
      <c r="N838" s="199"/>
      <c r="O838" s="62"/>
      <c r="P838" s="62"/>
      <c r="Q838" s="62"/>
      <c r="R838" s="42"/>
      <c r="S838" s="42"/>
      <c r="T838" s="42"/>
      <c r="U838" s="42"/>
      <c r="V838" s="58"/>
      <c r="W838" s="58"/>
      <c r="X838" s="58"/>
      <c r="Y838" s="58"/>
    </row>
    <row r="839" spans="1:25" ht="15" x14ac:dyDescent="0.25">
      <c r="A839" s="199"/>
      <c r="B839" s="199"/>
      <c r="C839" s="199"/>
      <c r="D839" s="199"/>
      <c r="E839" s="199" t="s">
        <v>3938</v>
      </c>
      <c r="F839" s="199"/>
      <c r="G839" s="199"/>
      <c r="H839" s="528">
        <f>H109/2</f>
        <v>0</v>
      </c>
      <c r="I839" s="528">
        <f>I109/2</f>
        <v>0</v>
      </c>
      <c r="J839" s="528">
        <f>J109/2</f>
        <v>0</v>
      </c>
      <c r="K839" s="528">
        <f>K109/2</f>
        <v>0</v>
      </c>
      <c r="L839" s="528">
        <f>L109/2</f>
        <v>0</v>
      </c>
      <c r="M839" s="520"/>
      <c r="N839" s="199"/>
      <c r="O839" s="62"/>
      <c r="P839" s="62"/>
      <c r="Q839" s="62"/>
      <c r="R839" s="42"/>
      <c r="S839" s="42"/>
      <c r="T839" s="42"/>
      <c r="U839" s="42"/>
      <c r="V839" s="58"/>
      <c r="W839" s="58"/>
      <c r="X839" s="58"/>
      <c r="Y839" s="58"/>
    </row>
    <row r="840" spans="1:25" ht="15" x14ac:dyDescent="0.25">
      <c r="A840" s="199"/>
      <c r="B840" s="199"/>
      <c r="C840" s="199"/>
      <c r="D840" s="199"/>
      <c r="E840" s="199" t="s">
        <v>1990</v>
      </c>
      <c r="F840" s="199"/>
      <c r="G840" s="199"/>
      <c r="H840" s="528" t="e">
        <f ca="1">H838*H839</f>
        <v>#VALUE!</v>
      </c>
      <c r="I840" s="528" t="e">
        <f ca="1">I838*I839</f>
        <v>#VALUE!</v>
      </c>
      <c r="J840" s="528" t="e">
        <f ca="1">J838*J839</f>
        <v>#VALUE!</v>
      </c>
      <c r="K840" s="528" t="e">
        <f ca="1">K838*K839</f>
        <v>#VALUE!</v>
      </c>
      <c r="L840" s="528" t="e">
        <f ca="1">L838*L839</f>
        <v>#VALUE!</v>
      </c>
      <c r="M840" s="520"/>
      <c r="N840" s="199"/>
      <c r="O840" s="62"/>
      <c r="P840" s="62"/>
      <c r="Q840" s="62"/>
      <c r="R840" s="42"/>
      <c r="S840" s="42"/>
      <c r="T840" s="42"/>
      <c r="U840" s="42"/>
      <c r="V840" s="58"/>
      <c r="W840" s="58"/>
      <c r="X840" s="58"/>
      <c r="Y840" s="58"/>
    </row>
    <row r="841" spans="1:25" ht="15" x14ac:dyDescent="0.25">
      <c r="A841" s="199"/>
      <c r="B841" s="199"/>
      <c r="C841" s="199"/>
      <c r="D841" s="199"/>
      <c r="E841" s="520" t="s">
        <v>2333</v>
      </c>
      <c r="F841" s="199"/>
      <c r="G841" s="520"/>
      <c r="H841" s="622">
        <f>IF(H495&lt;0.86,84,91)</f>
        <v>91</v>
      </c>
      <c r="I841" s="622">
        <f>IF(I495&lt;0.86,84,91)</f>
        <v>91</v>
      </c>
      <c r="J841" s="622">
        <f>IF(J495&lt;0.86,84,91)</f>
        <v>91</v>
      </c>
      <c r="K841" s="622">
        <f>IF(K495&lt;0.86,84,91)</f>
        <v>91</v>
      </c>
      <c r="L841" s="622">
        <f>IF(L495&lt;0.86,84,91)</f>
        <v>91</v>
      </c>
      <c r="M841" s="520"/>
      <c r="N841" s="199"/>
      <c r="O841" s="62"/>
      <c r="P841" s="62"/>
      <c r="Q841" s="62"/>
      <c r="R841" s="42"/>
      <c r="S841" s="42"/>
      <c r="T841" s="42"/>
      <c r="U841" s="42"/>
      <c r="V841" s="58"/>
      <c r="W841" s="58"/>
      <c r="X841" s="58"/>
      <c r="Y841" s="58"/>
    </row>
    <row r="842" spans="1:25" ht="15" x14ac:dyDescent="0.25">
      <c r="A842" s="199"/>
      <c r="B842" s="199"/>
      <c r="C842" s="199"/>
      <c r="D842" s="199"/>
      <c r="E842" s="520" t="s">
        <v>2332</v>
      </c>
      <c r="F842" s="199"/>
      <c r="G842" s="520"/>
      <c r="H842" s="710" t="e">
        <f>H808</f>
        <v>#VALUE!</v>
      </c>
      <c r="I842" s="710" t="e">
        <f>I808</f>
        <v>#VALUE!</v>
      </c>
      <c r="J842" s="710" t="e">
        <f>J808</f>
        <v>#VALUE!</v>
      </c>
      <c r="K842" s="710" t="e">
        <f>K808</f>
        <v>#VALUE!</v>
      </c>
      <c r="L842" s="710" t="e">
        <f>L808</f>
        <v>#VALUE!</v>
      </c>
      <c r="M842" s="520"/>
      <c r="N842" s="199"/>
      <c r="O842" s="62"/>
      <c r="P842" s="62"/>
      <c r="Q842" s="62"/>
      <c r="R842" s="42"/>
      <c r="S842" s="42"/>
      <c r="T842" s="42"/>
      <c r="U842" s="42"/>
      <c r="V842" s="58"/>
      <c r="W842" s="58"/>
      <c r="X842" s="58"/>
      <c r="Y842" s="58"/>
    </row>
    <row r="843" spans="1:25" ht="15" x14ac:dyDescent="0.25">
      <c r="A843" s="199"/>
      <c r="B843" s="199"/>
      <c r="C843" s="199"/>
      <c r="D843" s="199"/>
      <c r="E843" s="520" t="s">
        <v>2334</v>
      </c>
      <c r="F843" s="199"/>
      <c r="G843" s="520"/>
      <c r="H843" s="711" t="e">
        <f>H841*H842</f>
        <v>#VALUE!</v>
      </c>
      <c r="I843" s="711" t="e">
        <f>I841*I842</f>
        <v>#VALUE!</v>
      </c>
      <c r="J843" s="711" t="e">
        <f>J841*J842</f>
        <v>#VALUE!</v>
      </c>
      <c r="K843" s="711" t="e">
        <f>K841*K842</f>
        <v>#VALUE!</v>
      </c>
      <c r="L843" s="711" t="e">
        <f>L841*L842</f>
        <v>#VALUE!</v>
      </c>
      <c r="M843" s="520"/>
      <c r="N843" s="199"/>
      <c r="O843" s="62"/>
      <c r="P843" s="62"/>
      <c r="Q843" s="62"/>
      <c r="R843" s="42"/>
      <c r="S843" s="42"/>
      <c r="T843" s="42"/>
      <c r="U843" s="42"/>
      <c r="V843" s="58"/>
      <c r="W843" s="58"/>
      <c r="X843" s="58"/>
      <c r="Y843" s="58"/>
    </row>
    <row r="844" spans="1:25" ht="15" x14ac:dyDescent="0.25">
      <c r="A844" s="199"/>
      <c r="B844" s="199"/>
      <c r="C844" s="199"/>
      <c r="D844" s="199"/>
      <c r="E844" s="199"/>
      <c r="F844" s="520" t="s">
        <v>3936</v>
      </c>
      <c r="G844" s="520"/>
      <c r="H844" s="712" t="e">
        <f ca="1">H840/H843</f>
        <v>#VALUE!</v>
      </c>
      <c r="I844" s="712" t="e">
        <f ca="1">I840/I843</f>
        <v>#VALUE!</v>
      </c>
      <c r="J844" s="712" t="e">
        <f ca="1">J840/J843</f>
        <v>#VALUE!</v>
      </c>
      <c r="K844" s="712" t="e">
        <f ca="1">K840/K843</f>
        <v>#VALUE!</v>
      </c>
      <c r="L844" s="712" t="e">
        <f ca="1">L840/L843</f>
        <v>#VALUE!</v>
      </c>
      <c r="M844" s="520"/>
      <c r="N844" s="199"/>
      <c r="O844" s="62"/>
      <c r="P844" s="62"/>
      <c r="Q844" s="62"/>
      <c r="R844" s="42"/>
      <c r="S844" s="42"/>
      <c r="T844" s="42"/>
      <c r="U844" s="42"/>
      <c r="V844" s="58"/>
      <c r="W844" s="58"/>
      <c r="X844" s="58"/>
      <c r="Y844" s="58"/>
    </row>
    <row r="845" spans="1:25" ht="15" x14ac:dyDescent="0.25">
      <c r="A845" s="199"/>
      <c r="B845" s="199"/>
      <c r="C845" s="199"/>
      <c r="D845" s="199" t="s">
        <v>1587</v>
      </c>
      <c r="E845" s="199"/>
      <c r="F845" s="520"/>
      <c r="G845" s="520"/>
      <c r="H845" s="712" t="e">
        <f>6*60/H843</f>
        <v>#VALUE!</v>
      </c>
      <c r="I845" s="712" t="e">
        <f>6*60/I843</f>
        <v>#VALUE!</v>
      </c>
      <c r="J845" s="712" t="e">
        <f>6*60/J843</f>
        <v>#VALUE!</v>
      </c>
      <c r="K845" s="712" t="e">
        <f>6*60/K843</f>
        <v>#VALUE!</v>
      </c>
      <c r="L845" s="712" t="e">
        <f>6*60/L843</f>
        <v>#VALUE!</v>
      </c>
      <c r="M845" s="520"/>
      <c r="N845" s="199"/>
      <c r="O845" s="62"/>
      <c r="P845" s="62"/>
      <c r="Q845" s="62"/>
      <c r="R845" s="42"/>
      <c r="S845" s="42"/>
      <c r="T845" s="42"/>
      <c r="U845" s="42"/>
      <c r="V845" s="58"/>
      <c r="W845" s="58"/>
      <c r="X845" s="58"/>
      <c r="Y845" s="58"/>
    </row>
    <row r="846" spans="1:25" ht="15" x14ac:dyDescent="0.25">
      <c r="A846" s="199"/>
      <c r="B846" s="199"/>
      <c r="C846" s="199"/>
      <c r="D846" s="199"/>
      <c r="E846" s="199"/>
      <c r="F846" s="520"/>
      <c r="G846" s="520"/>
      <c r="H846" s="712"/>
      <c r="I846" s="712"/>
      <c r="J846" s="712"/>
      <c r="K846" s="712"/>
      <c r="L846" s="712"/>
      <c r="M846" s="520"/>
      <c r="N846" s="199"/>
      <c r="O846" s="62"/>
      <c r="P846" s="62"/>
      <c r="Q846" s="62"/>
      <c r="R846" s="42"/>
      <c r="S846" s="42"/>
      <c r="T846" s="42"/>
      <c r="U846" s="42"/>
      <c r="V846" s="58"/>
      <c r="W846" s="58"/>
      <c r="X846" s="58"/>
      <c r="Y846" s="58"/>
    </row>
    <row r="847" spans="1:25" ht="15" x14ac:dyDescent="0.25">
      <c r="A847" s="199" t="s">
        <v>5315</v>
      </c>
      <c r="B847" s="199"/>
      <c r="C847" s="199"/>
      <c r="D847" s="199"/>
      <c r="E847" s="199"/>
      <c r="F847" s="199"/>
      <c r="G847" s="199"/>
      <c r="H847" s="199"/>
      <c r="I847" s="199"/>
      <c r="J847" s="199"/>
      <c r="K847" s="199"/>
      <c r="L847" s="199"/>
      <c r="M847" s="199"/>
      <c r="N847" s="199"/>
      <c r="O847" s="62"/>
      <c r="P847" s="62"/>
      <c r="Q847" s="62"/>
      <c r="R847" s="42"/>
      <c r="S847" s="42"/>
      <c r="T847" s="42"/>
      <c r="U847" s="42"/>
      <c r="V847" s="58"/>
      <c r="W847" s="58"/>
      <c r="X847" s="58"/>
      <c r="Y847" s="58"/>
    </row>
    <row r="848" spans="1:25" ht="15" x14ac:dyDescent="0.25">
      <c r="A848" s="199"/>
      <c r="B848" s="199"/>
      <c r="C848" s="199"/>
      <c r="D848" s="199"/>
      <c r="E848" s="199" t="s">
        <v>1991</v>
      </c>
      <c r="F848" s="199"/>
      <c r="G848" s="199"/>
      <c r="H848" s="528" t="e">
        <f>H109/H456</f>
        <v>#DIV/0!</v>
      </c>
      <c r="I848" s="528" t="e">
        <f>I109/I456</f>
        <v>#DIV/0!</v>
      </c>
      <c r="J848" s="528" t="e">
        <f>J109/J456</f>
        <v>#DIV/0!</v>
      </c>
      <c r="K848" s="528" t="e">
        <f>K109/K456</f>
        <v>#DIV/0!</v>
      </c>
      <c r="L848" s="528" t="e">
        <f>L109/L456</f>
        <v>#DIV/0!</v>
      </c>
      <c r="M848" s="199"/>
      <c r="N848" s="199"/>
      <c r="O848" s="62"/>
      <c r="P848" s="62"/>
      <c r="Q848" s="62"/>
      <c r="R848" s="42"/>
      <c r="S848" s="42"/>
      <c r="T848" s="42"/>
      <c r="U848" s="42"/>
      <c r="V848" s="58"/>
      <c r="W848" s="58"/>
      <c r="X848" s="58"/>
      <c r="Y848" s="58"/>
    </row>
    <row r="849" spans="1:25" ht="15" x14ac:dyDescent="0.25">
      <c r="A849" s="199"/>
      <c r="B849" s="199" t="s">
        <v>519</v>
      </c>
      <c r="C849" s="199"/>
      <c r="D849" s="199"/>
      <c r="E849" s="199"/>
      <c r="F849" s="199"/>
      <c r="G849" s="199"/>
      <c r="H849" s="528" t="e">
        <f ca="1">H821/H695</f>
        <v>#VALUE!</v>
      </c>
      <c r="I849" s="528" t="e">
        <f ca="1">I821/I695</f>
        <v>#VALUE!</v>
      </c>
      <c r="J849" s="528" t="e">
        <f ca="1">J821/J695</f>
        <v>#VALUE!</v>
      </c>
      <c r="K849" s="528" t="e">
        <f ca="1">K821/K695</f>
        <v>#VALUE!</v>
      </c>
      <c r="L849" s="528" t="e">
        <f ca="1">L821/L695</f>
        <v>#VALUE!</v>
      </c>
      <c r="M849" s="199"/>
      <c r="N849" s="199"/>
      <c r="O849" s="62"/>
      <c r="P849" s="62"/>
      <c r="Q849" s="62"/>
      <c r="R849" s="42"/>
      <c r="S849" s="42"/>
      <c r="T849" s="42"/>
      <c r="U849" s="42"/>
      <c r="V849" s="58"/>
      <c r="W849" s="58"/>
      <c r="X849" s="58"/>
      <c r="Y849" s="58"/>
    </row>
    <row r="850" spans="1:25" ht="15" x14ac:dyDescent="0.25">
      <c r="A850" s="199"/>
      <c r="B850" s="199"/>
      <c r="C850" s="199" t="s">
        <v>520</v>
      </c>
      <c r="D850" s="199"/>
      <c r="E850" s="199"/>
      <c r="F850" s="199"/>
      <c r="G850" s="199"/>
      <c r="H850" s="528" t="e">
        <f ca="1">H848*H849</f>
        <v>#DIV/0!</v>
      </c>
      <c r="I850" s="528" t="e">
        <f ca="1">I848*I849</f>
        <v>#DIV/0!</v>
      </c>
      <c r="J850" s="528" t="e">
        <f ca="1">J848*J849</f>
        <v>#DIV/0!</v>
      </c>
      <c r="K850" s="528" t="e">
        <f ca="1">K848*K849</f>
        <v>#DIV/0!</v>
      </c>
      <c r="L850" s="528" t="e">
        <f ca="1">L848*L849</f>
        <v>#DIV/0!</v>
      </c>
      <c r="M850" s="199"/>
      <c r="N850" s="199"/>
      <c r="O850" s="62"/>
      <c r="P850" s="62"/>
      <c r="Q850" s="62"/>
      <c r="R850" s="42"/>
      <c r="S850" s="42"/>
      <c r="T850" s="42"/>
      <c r="U850" s="42"/>
      <c r="V850" s="58"/>
      <c r="W850" s="58"/>
      <c r="X850" s="58"/>
      <c r="Y850" s="58"/>
    </row>
    <row r="851" spans="1:25" ht="15" x14ac:dyDescent="0.25">
      <c r="A851" s="199"/>
      <c r="B851" s="199"/>
      <c r="C851" s="199"/>
      <c r="D851" s="199"/>
      <c r="E851" s="199" t="s">
        <v>2331</v>
      </c>
      <c r="F851" s="199"/>
      <c r="G851" s="199"/>
      <c r="H851" s="528" t="e">
        <f>IF(16.5*H495+14.5&lt;24.3,1,IF(16.5*H495+14.5&lt;28.1,2,IF(16.5*H495+14.5&lt;32.1,3,IF(16.5*H495+14.5&lt;36.3,4,IF(16.5*H495+14.5&lt;41.1,5,IF(16.5*H495+14.5&lt;46.1,6,7))))))</f>
        <v>#VALUE!</v>
      </c>
      <c r="I851" s="528" t="e">
        <f>IF(16.5*I495+14.5&lt;24.3,1,IF(16.5*I495+14.5&lt;28.1,2,IF(16.5*I495+14.5&lt;32.1,3,IF(16.5*I495+14.5&lt;36.3,4,IF(16.5*I495+14.5&lt;41.1,5,IF(16.5*I495+14.5&lt;46.1,6,7))))))</f>
        <v>#VALUE!</v>
      </c>
      <c r="J851" s="528" t="e">
        <f>IF(16.5*J495+14.5&lt;24.3,1,IF(16.5*J495+14.5&lt;28.1,2,IF(16.5*J495+14.5&lt;32.1,3,IF(16.5*J495+14.5&lt;36.3,4,IF(16.5*J495+14.5&lt;41.1,5,IF(16.5*J495+14.5&lt;46.1,6,7))))))</f>
        <v>#VALUE!</v>
      </c>
      <c r="K851" s="528" t="e">
        <f>IF(16.5*K495+14.5&lt;24.3,1,IF(16.5*K495+14.5&lt;28.1,2,IF(16.5*K495+14.5&lt;32.1,3,IF(16.5*K495+14.5&lt;36.3,4,IF(16.5*K495+14.5&lt;41.1,5,IF(16.5*K495+14.5&lt;46.1,6,7))))))</f>
        <v>#VALUE!</v>
      </c>
      <c r="L851" s="528" t="e">
        <f>IF(16.5*L495+14.5&lt;24.3,1,IF(16.5*L495+14.5&lt;28.1,2,IF(16.5*L495+14.5&lt;32.1,3,IF(16.5*L495+14.5&lt;36.3,4,IF(16.5*L495+14.5&lt;41.1,5,IF(16.5*L495+14.5&lt;46.1,6,7))))))</f>
        <v>#VALUE!</v>
      </c>
      <c r="M851" s="199"/>
      <c r="N851" s="199"/>
      <c r="O851" s="62"/>
      <c r="P851" s="62"/>
      <c r="Q851" s="62"/>
      <c r="R851" s="42"/>
      <c r="S851" s="42"/>
      <c r="T851" s="42"/>
      <c r="U851" s="42"/>
      <c r="V851" s="58"/>
      <c r="W851" s="58"/>
      <c r="X851" s="58"/>
      <c r="Y851" s="58"/>
    </row>
    <row r="852" spans="1:25" ht="15" x14ac:dyDescent="0.25">
      <c r="A852" s="199"/>
      <c r="B852" s="199"/>
      <c r="C852" s="199"/>
      <c r="D852" s="199"/>
      <c r="E852" s="199" t="s">
        <v>3709</v>
      </c>
      <c r="F852" s="199"/>
      <c r="G852" s="199"/>
      <c r="H852" s="528" t="e">
        <f>INDEX($B$1144:$B$1150,H851)</f>
        <v>#VALUE!</v>
      </c>
      <c r="I852" s="528" t="e">
        <f>INDEX($B$1144:$B$1150,I851)</f>
        <v>#VALUE!</v>
      </c>
      <c r="J852" s="528" t="e">
        <f>INDEX($B$1144:$B$1150,J851)</f>
        <v>#VALUE!</v>
      </c>
      <c r="K852" s="528" t="e">
        <f>INDEX($B$1144:$B$1150,K851)</f>
        <v>#VALUE!</v>
      </c>
      <c r="L852" s="528" t="e">
        <f>INDEX($B$1144:$B$1150,L851)</f>
        <v>#VALUE!</v>
      </c>
      <c r="M852" s="199"/>
      <c r="N852" s="199"/>
      <c r="O852" s="62"/>
      <c r="P852" s="62"/>
      <c r="Q852" s="62"/>
      <c r="R852" s="42"/>
      <c r="S852" s="42"/>
      <c r="T852" s="42"/>
      <c r="U852" s="42"/>
      <c r="V852" s="58"/>
      <c r="W852" s="58"/>
      <c r="X852" s="58"/>
      <c r="Y852" s="58"/>
    </row>
    <row r="853" spans="1:25" ht="15" x14ac:dyDescent="0.25">
      <c r="A853" s="199"/>
      <c r="B853" s="199"/>
      <c r="C853" s="199"/>
      <c r="D853" s="199"/>
      <c r="E853" s="199" t="s">
        <v>3710</v>
      </c>
      <c r="F853" s="199"/>
      <c r="G853" s="199"/>
      <c r="H853" s="708" t="e">
        <f>H808</f>
        <v>#VALUE!</v>
      </c>
      <c r="I853" s="708" t="e">
        <f>I808</f>
        <v>#VALUE!</v>
      </c>
      <c r="J853" s="708" t="e">
        <f>J808</f>
        <v>#VALUE!</v>
      </c>
      <c r="K853" s="708" t="e">
        <f>K808</f>
        <v>#VALUE!</v>
      </c>
      <c r="L853" s="708" t="e">
        <f>L808</f>
        <v>#VALUE!</v>
      </c>
      <c r="M853" s="199"/>
      <c r="N853" s="199"/>
      <c r="O853" s="62"/>
      <c r="P853" s="62"/>
      <c r="Q853" s="62"/>
      <c r="R853" s="42"/>
      <c r="S853" s="42"/>
      <c r="T853" s="42"/>
      <c r="U853" s="42"/>
      <c r="V853" s="58"/>
      <c r="W853" s="58"/>
      <c r="X853" s="58"/>
      <c r="Y853" s="58"/>
    </row>
    <row r="854" spans="1:25" ht="15" x14ac:dyDescent="0.25">
      <c r="A854" s="199"/>
      <c r="B854" s="199"/>
      <c r="C854" s="199"/>
      <c r="D854" s="199"/>
      <c r="E854" s="199" t="s">
        <v>3711</v>
      </c>
      <c r="F854" s="199"/>
      <c r="G854" s="199"/>
      <c r="H854" s="541" t="e">
        <f>H852*H853</f>
        <v>#VALUE!</v>
      </c>
      <c r="I854" s="541" t="e">
        <f>I852*I853</f>
        <v>#VALUE!</v>
      </c>
      <c r="J854" s="541" t="e">
        <f>J852*J853</f>
        <v>#VALUE!</v>
      </c>
      <c r="K854" s="541" t="e">
        <f>K852*K853</f>
        <v>#VALUE!</v>
      </c>
      <c r="L854" s="541" t="e">
        <f>L852*L853</f>
        <v>#VALUE!</v>
      </c>
      <c r="M854" s="199"/>
      <c r="N854" s="199"/>
      <c r="O854" s="62"/>
      <c r="P854" s="62"/>
      <c r="Q854" s="62"/>
      <c r="R854" s="42"/>
      <c r="S854" s="42"/>
      <c r="T854" s="42"/>
      <c r="U854" s="42"/>
      <c r="V854" s="58"/>
      <c r="W854" s="58"/>
      <c r="X854" s="58"/>
      <c r="Y854" s="58"/>
    </row>
    <row r="855" spans="1:25" ht="15" x14ac:dyDescent="0.25">
      <c r="A855" s="199"/>
      <c r="B855" s="199"/>
      <c r="C855" s="199"/>
      <c r="D855" s="199"/>
      <c r="E855" s="199" t="s">
        <v>3936</v>
      </c>
      <c r="F855" s="199"/>
      <c r="G855" s="199"/>
      <c r="H855" s="707" t="e">
        <f ca="1">H850/H854</f>
        <v>#DIV/0!</v>
      </c>
      <c r="I855" s="707" t="e">
        <f ca="1">I850/I854</f>
        <v>#DIV/0!</v>
      </c>
      <c r="J855" s="707" t="e">
        <f ca="1">J850/J854</f>
        <v>#DIV/0!</v>
      </c>
      <c r="K855" s="707" t="e">
        <f ca="1">K850/K854</f>
        <v>#DIV/0!</v>
      </c>
      <c r="L855" s="707" t="e">
        <f ca="1">L850/L854</f>
        <v>#DIV/0!</v>
      </c>
      <c r="M855" s="199"/>
      <c r="N855" s="199"/>
      <c r="O855" s="62"/>
      <c r="P855" s="62"/>
      <c r="Q855" s="62"/>
      <c r="R855" s="42"/>
      <c r="S855" s="42"/>
      <c r="T855" s="42"/>
      <c r="U855" s="42"/>
      <c r="V855" s="58"/>
      <c r="W855" s="58"/>
      <c r="X855" s="58"/>
      <c r="Y855" s="58"/>
    </row>
    <row r="856" spans="1:25" ht="15" x14ac:dyDescent="0.25">
      <c r="A856" s="199"/>
      <c r="B856" s="199"/>
      <c r="C856" s="199"/>
      <c r="D856" s="199" t="s">
        <v>1823</v>
      </c>
      <c r="E856" s="199"/>
      <c r="F856" s="199"/>
      <c r="G856" s="199"/>
      <c r="H856" s="707" t="e">
        <f>360/H854</f>
        <v>#VALUE!</v>
      </c>
      <c r="I856" s="707" t="e">
        <f>360/I854</f>
        <v>#VALUE!</v>
      </c>
      <c r="J856" s="707" t="e">
        <f>360/J854</f>
        <v>#VALUE!</v>
      </c>
      <c r="K856" s="707" t="e">
        <f>360/K854</f>
        <v>#VALUE!</v>
      </c>
      <c r="L856" s="707" t="e">
        <f>360/L854</f>
        <v>#VALUE!</v>
      </c>
      <c r="M856" s="199"/>
      <c r="N856" s="199"/>
      <c r="O856" s="62"/>
      <c r="P856" s="62"/>
      <c r="Q856" s="62"/>
      <c r="R856" s="42"/>
      <c r="S856" s="42"/>
      <c r="T856" s="42"/>
      <c r="U856" s="42"/>
      <c r="V856" s="58"/>
      <c r="W856" s="58"/>
      <c r="X856" s="58"/>
      <c r="Y856" s="58"/>
    </row>
    <row r="857" spans="1:25" ht="15" x14ac:dyDescent="0.25">
      <c r="A857" s="520" t="s">
        <v>5316</v>
      </c>
      <c r="B857" s="199"/>
      <c r="C857" s="199"/>
      <c r="D857" s="199"/>
      <c r="E857" s="199"/>
      <c r="F857" s="199"/>
      <c r="G857" s="199"/>
      <c r="H857" s="199"/>
      <c r="I857" s="199"/>
      <c r="J857" s="199"/>
      <c r="K857" s="199"/>
      <c r="L857" s="199"/>
      <c r="M857" s="199"/>
      <c r="N857" s="199"/>
      <c r="O857" s="62"/>
      <c r="P857" s="62"/>
      <c r="Q857" s="62"/>
      <c r="R857" s="42"/>
      <c r="S857" s="42"/>
      <c r="T857" s="42"/>
      <c r="U857" s="42"/>
      <c r="V857" s="58"/>
      <c r="W857" s="58"/>
      <c r="X857" s="58"/>
      <c r="Y857" s="58"/>
    </row>
    <row r="858" spans="1:25" ht="15" x14ac:dyDescent="0.25">
      <c r="A858" s="199"/>
      <c r="B858" s="520"/>
      <c r="C858" s="520"/>
      <c r="D858" s="520"/>
      <c r="E858" s="520" t="s">
        <v>2333</v>
      </c>
      <c r="F858" s="520"/>
      <c r="G858" s="520"/>
      <c r="H858" s="528">
        <f>IF(AND(H457&gt;1,H495&lt;1.21),444,IF(AND(H457&gt;1,H495&gt;=1.21),452,IF(AND(H457=1,H495&lt;1.21),369,IF(AND(H457=1,H495&gt;=1.21),376))))</f>
        <v>452</v>
      </c>
      <c r="I858" s="528">
        <f>IF(AND(I457&gt;1,I495&lt;1.21),444,IF(AND(I457&gt;1,I495&gt;=1.21),452,IF(AND(I457=1,I495&lt;1.21),369,IF(AND(I457=1,I495&gt;=1.21),376))))</f>
        <v>452</v>
      </c>
      <c r="J858" s="528">
        <f>IF(AND(J457&gt;1,J495&lt;1.21),444,IF(AND(J457&gt;1,J495&gt;=1.21),452,IF(AND(J457=1,J495&lt;1.21),369,IF(AND(J457=1,J495&gt;=1.21),376))))</f>
        <v>452</v>
      </c>
      <c r="K858" s="528">
        <f>IF(AND(K457&gt;1,K495&lt;1.21),444,IF(AND(K457&gt;1,K495&gt;=1.21),452,IF(AND(K457=1,K495&lt;1.21),369,IF(AND(K457=1,K495&gt;=1.21),376))))</f>
        <v>452</v>
      </c>
      <c r="L858" s="528">
        <f>IF(AND(L457&gt;1,L495&lt;1.21),444,IF(AND(L457&gt;1,L495&gt;=1.21),452,IF(AND(L457=1,L495&lt;1.21),369,IF(AND(L457=1,L495&gt;=1.21),376))))</f>
        <v>452</v>
      </c>
      <c r="M858" s="199"/>
      <c r="N858" s="199"/>
      <c r="O858" s="62"/>
      <c r="P858" s="62"/>
      <c r="Q858" s="62"/>
      <c r="R858" s="42"/>
      <c r="S858" s="42"/>
      <c r="T858" s="42"/>
      <c r="U858" s="42"/>
      <c r="V858" s="58"/>
      <c r="W858" s="58"/>
      <c r="X858" s="58"/>
      <c r="Y858" s="58"/>
    </row>
    <row r="859" spans="1:25" ht="15" x14ac:dyDescent="0.25">
      <c r="A859" s="520"/>
      <c r="B859" s="520"/>
      <c r="C859" s="520"/>
      <c r="D859" s="520"/>
      <c r="E859" s="520" t="s">
        <v>2332</v>
      </c>
      <c r="F859" s="520"/>
      <c r="G859" s="520"/>
      <c r="H859" s="708" t="e">
        <f>H808</f>
        <v>#VALUE!</v>
      </c>
      <c r="I859" s="708" t="e">
        <f>I808</f>
        <v>#VALUE!</v>
      </c>
      <c r="J859" s="708" t="e">
        <f>J808</f>
        <v>#VALUE!</v>
      </c>
      <c r="K859" s="708" t="e">
        <f>K808</f>
        <v>#VALUE!</v>
      </c>
      <c r="L859" s="708" t="e">
        <f>L808</f>
        <v>#VALUE!</v>
      </c>
      <c r="M859" s="199"/>
      <c r="N859" s="199"/>
      <c r="O859" s="62"/>
      <c r="P859" s="62"/>
      <c r="Q859" s="62"/>
      <c r="R859" s="42"/>
      <c r="S859" s="42"/>
      <c r="T859" s="42"/>
      <c r="U859" s="42"/>
      <c r="V859" s="58"/>
      <c r="W859" s="58"/>
      <c r="X859" s="58"/>
      <c r="Y859" s="58"/>
    </row>
    <row r="860" spans="1:25" ht="15" x14ac:dyDescent="0.25">
      <c r="A860" s="520"/>
      <c r="B860" s="520"/>
      <c r="C860" s="520"/>
      <c r="D860" s="520"/>
      <c r="E860" s="520" t="s">
        <v>2334</v>
      </c>
      <c r="F860" s="520"/>
      <c r="G860" s="520"/>
      <c r="H860" s="541" t="e">
        <f>H858*H859</f>
        <v>#VALUE!</v>
      </c>
      <c r="I860" s="541" t="e">
        <f>I858*I859</f>
        <v>#VALUE!</v>
      </c>
      <c r="J860" s="541" t="e">
        <f>J858*J859</f>
        <v>#VALUE!</v>
      </c>
      <c r="K860" s="541" t="e">
        <f>K858*K859</f>
        <v>#VALUE!</v>
      </c>
      <c r="L860" s="541" t="e">
        <f>L858*L859</f>
        <v>#VALUE!</v>
      </c>
      <c r="M860" s="199"/>
      <c r="N860" s="199"/>
      <c r="O860" s="62"/>
      <c r="P860" s="62"/>
      <c r="Q860" s="62"/>
      <c r="R860" s="42"/>
      <c r="S860" s="42"/>
      <c r="T860" s="42"/>
      <c r="U860" s="42"/>
      <c r="V860" s="58"/>
      <c r="W860" s="58"/>
      <c r="X860" s="58"/>
      <c r="Y860" s="58"/>
    </row>
    <row r="861" spans="1:25" ht="15" x14ac:dyDescent="0.25">
      <c r="A861" s="520"/>
      <c r="B861" s="520"/>
      <c r="C861" s="520"/>
      <c r="D861" s="520"/>
      <c r="E861" s="520" t="s">
        <v>3936</v>
      </c>
      <c r="F861" s="520"/>
      <c r="G861" s="520"/>
      <c r="H861" s="707" t="e">
        <f ca="1">H850/H860</f>
        <v>#DIV/0!</v>
      </c>
      <c r="I861" s="707" t="e">
        <f ca="1">I850/I860</f>
        <v>#DIV/0!</v>
      </c>
      <c r="J861" s="707" t="e">
        <f ca="1">J850/J860</f>
        <v>#DIV/0!</v>
      </c>
      <c r="K861" s="707" t="e">
        <f ca="1">K850/K860</f>
        <v>#DIV/0!</v>
      </c>
      <c r="L861" s="707" t="e">
        <f ca="1">L850/L860</f>
        <v>#DIV/0!</v>
      </c>
      <c r="M861" s="199"/>
      <c r="N861" s="199"/>
      <c r="O861" s="62"/>
      <c r="P861" s="62"/>
      <c r="Q861" s="62"/>
      <c r="R861" s="42"/>
      <c r="S861" s="42"/>
      <c r="T861" s="42"/>
      <c r="U861" s="42"/>
      <c r="V861" s="58"/>
      <c r="W861" s="58"/>
      <c r="X861" s="58"/>
      <c r="Y861" s="58"/>
    </row>
    <row r="862" spans="1:25" ht="15" x14ac:dyDescent="0.25">
      <c r="A862" s="520"/>
      <c r="B862" s="520"/>
      <c r="C862" s="520"/>
      <c r="D862" s="520" t="s">
        <v>1824</v>
      </c>
      <c r="E862" s="520"/>
      <c r="F862" s="520"/>
      <c r="G862" s="520"/>
      <c r="H862" s="707" t="e">
        <f>360/H860</f>
        <v>#VALUE!</v>
      </c>
      <c r="I862" s="707" t="e">
        <f>360/I860</f>
        <v>#VALUE!</v>
      </c>
      <c r="J862" s="707" t="e">
        <f>360/J860</f>
        <v>#VALUE!</v>
      </c>
      <c r="K862" s="707" t="e">
        <f>360/K860</f>
        <v>#VALUE!</v>
      </c>
      <c r="L862" s="707" t="e">
        <f>360/L860</f>
        <v>#VALUE!</v>
      </c>
      <c r="M862" s="199"/>
      <c r="N862" s="199"/>
      <c r="O862" s="62"/>
      <c r="P862" s="62"/>
      <c r="Q862" s="62"/>
      <c r="R862" s="42"/>
      <c r="S862" s="42"/>
      <c r="T862" s="42"/>
      <c r="U862" s="42"/>
      <c r="V862" s="58"/>
      <c r="W862" s="58"/>
      <c r="X862" s="58"/>
      <c r="Y862" s="58"/>
    </row>
    <row r="863" spans="1:25" ht="15" x14ac:dyDescent="0.25">
      <c r="A863" s="199" t="s">
        <v>5317</v>
      </c>
      <c r="B863" s="199"/>
      <c r="C863" s="199"/>
      <c r="D863" s="199"/>
      <c r="E863" s="199"/>
      <c r="F863" s="199"/>
      <c r="G863" s="199"/>
      <c r="H863" s="199"/>
      <c r="I863" s="199"/>
      <c r="J863" s="199"/>
      <c r="K863" s="199"/>
      <c r="L863" s="199"/>
      <c r="M863" s="199"/>
      <c r="N863" s="199"/>
      <c r="O863" s="62"/>
      <c r="P863" s="62"/>
      <c r="Q863" s="62"/>
      <c r="R863" s="42"/>
      <c r="S863" s="42"/>
      <c r="T863" s="42"/>
      <c r="U863" s="42"/>
      <c r="V863" s="58"/>
      <c r="W863" s="58"/>
      <c r="X863" s="58"/>
      <c r="Y863" s="58"/>
    </row>
    <row r="864" spans="1:25" ht="15" x14ac:dyDescent="0.25">
      <c r="A864" s="199"/>
      <c r="B864" s="199"/>
      <c r="C864" s="199"/>
      <c r="D864" s="199"/>
      <c r="E864" s="199" t="s">
        <v>1228</v>
      </c>
      <c r="F864" s="199"/>
      <c r="G864" s="199"/>
      <c r="H864" s="528" t="e">
        <f>IF(16.5*H495+14.5&lt;23.1,1,IF(16.5*H495+14.5&lt;29.1,2,IF(16.5*H495+14.5&lt;36.1,3,IF(16.5*H495+14.5&lt;45.1,4,IF(16.5*H495+14.5&lt;55.1,5,IF(16.5*H495+14.5&lt;65.1,6,7))))))</f>
        <v>#VALUE!</v>
      </c>
      <c r="I864" s="528" t="e">
        <f>IF(16.5*I495+14.5&lt;23.1,1,IF(16.5*I495+14.5&lt;29.1,2,IF(16.5*I495+14.5&lt;36.1,3,IF(16.5*I495+14.5&lt;45.1,4,IF(16.5*I495+14.5&lt;55.1,5,IF(16.5*I495+14.5&lt;65.1,6,7))))))</f>
        <v>#VALUE!</v>
      </c>
      <c r="J864" s="528" t="e">
        <f>IF(16.5*J495+14.5&lt;23.1,1,IF(16.5*J495+14.5&lt;29.1,2,IF(16.5*J495+14.5&lt;36.1,3,IF(16.5*J495+14.5&lt;45.1,4,IF(16.5*J495+14.5&lt;55.1,5,IF(16.5*J495+14.5&lt;65.1,6,7))))))</f>
        <v>#VALUE!</v>
      </c>
      <c r="K864" s="528" t="e">
        <f>IF(16.5*K495+14.5&lt;23.1,1,IF(16.5*K495+14.5&lt;29.1,2,IF(16.5*K495+14.5&lt;36.1,3,IF(16.5*K495+14.5&lt;45.1,4,IF(16.5*K495+14.5&lt;55.1,5,IF(16.5*K495+14.5&lt;65.1,6,7))))))</f>
        <v>#VALUE!</v>
      </c>
      <c r="L864" s="528" t="e">
        <f>IF(16.5*L495+14.5&lt;23.1,1,IF(16.5*L495+14.5&lt;29.1,2,IF(16.5*L495+14.5&lt;36.1,3,IF(16.5*L495+14.5&lt;45.1,4,IF(16.5*L495+14.5&lt;55.1,5,IF(16.5*L495+14.5&lt;65.1,6,7))))))</f>
        <v>#VALUE!</v>
      </c>
      <c r="M864" s="199"/>
      <c r="N864" s="199"/>
      <c r="O864" s="62"/>
      <c r="P864" s="62"/>
      <c r="Q864" s="62"/>
      <c r="R864" s="42"/>
      <c r="S864" s="42"/>
      <c r="T864" s="42"/>
      <c r="U864" s="42"/>
      <c r="V864" s="58"/>
      <c r="W864" s="58"/>
      <c r="X864" s="58"/>
      <c r="Y864" s="58"/>
    </row>
    <row r="865" spans="1:25" ht="15" x14ac:dyDescent="0.25">
      <c r="A865" s="199"/>
      <c r="B865" s="199"/>
      <c r="C865" s="199"/>
      <c r="D865" s="199"/>
      <c r="E865" s="199" t="s">
        <v>2333</v>
      </c>
      <c r="F865" s="199"/>
      <c r="G865" s="199"/>
      <c r="H865" s="528" t="e">
        <f>INDEX($B$1161:$B$1167,H864)</f>
        <v>#VALUE!</v>
      </c>
      <c r="I865" s="528" t="e">
        <f>INDEX($B$1161:$B$1167,I864)</f>
        <v>#VALUE!</v>
      </c>
      <c r="J865" s="528" t="e">
        <f>INDEX($B$1161:$B$1167,J864)</f>
        <v>#VALUE!</v>
      </c>
      <c r="K865" s="528" t="e">
        <f>INDEX($B$1161:$B$1167,K864)</f>
        <v>#VALUE!</v>
      </c>
      <c r="L865" s="528" t="e">
        <f>INDEX($B$1161:$B$1167,L864)</f>
        <v>#VALUE!</v>
      </c>
      <c r="M865" s="199"/>
      <c r="N865" s="199"/>
      <c r="O865" s="62"/>
      <c r="P865" s="62"/>
      <c r="Q865" s="62"/>
      <c r="R865" s="42"/>
      <c r="S865" s="42"/>
      <c r="T865" s="42"/>
      <c r="U865" s="42"/>
      <c r="V865" s="58"/>
      <c r="W865" s="58"/>
      <c r="X865" s="58"/>
      <c r="Y865" s="58"/>
    </row>
    <row r="866" spans="1:25" ht="15" x14ac:dyDescent="0.25">
      <c r="A866" s="199"/>
      <c r="B866" s="199"/>
      <c r="C866" s="199"/>
      <c r="D866" s="199"/>
      <c r="E866" s="199" t="s">
        <v>2332</v>
      </c>
      <c r="F866" s="199"/>
      <c r="G866" s="199"/>
      <c r="H866" s="708" t="e">
        <f>H808</f>
        <v>#VALUE!</v>
      </c>
      <c r="I866" s="708" t="e">
        <f>I808</f>
        <v>#VALUE!</v>
      </c>
      <c r="J866" s="708" t="e">
        <f>J808</f>
        <v>#VALUE!</v>
      </c>
      <c r="K866" s="708" t="e">
        <f>K808</f>
        <v>#VALUE!</v>
      </c>
      <c r="L866" s="708" t="e">
        <f>L808</f>
        <v>#VALUE!</v>
      </c>
      <c r="M866" s="199"/>
      <c r="N866" s="199"/>
      <c r="O866" s="62"/>
      <c r="P866" s="62"/>
      <c r="Q866" s="62"/>
      <c r="R866" s="42"/>
      <c r="S866" s="42"/>
      <c r="T866" s="42"/>
      <c r="U866" s="42"/>
      <c r="V866" s="58"/>
      <c r="W866" s="58"/>
      <c r="X866" s="58"/>
      <c r="Y866" s="58"/>
    </row>
    <row r="867" spans="1:25" ht="15" x14ac:dyDescent="0.25">
      <c r="A867" s="199"/>
      <c r="B867" s="199"/>
      <c r="C867" s="199"/>
      <c r="D867" s="199"/>
      <c r="E867" s="199" t="s">
        <v>2334</v>
      </c>
      <c r="F867" s="199"/>
      <c r="G867" s="199"/>
      <c r="H867" s="541" t="e">
        <f>H865*H866</f>
        <v>#VALUE!</v>
      </c>
      <c r="I867" s="541" t="e">
        <f>I865*I866</f>
        <v>#VALUE!</v>
      </c>
      <c r="J867" s="541" t="e">
        <f>J865*J866</f>
        <v>#VALUE!</v>
      </c>
      <c r="K867" s="541" t="e">
        <f>K865*K866</f>
        <v>#VALUE!</v>
      </c>
      <c r="L867" s="541" t="e">
        <f>L865*L866</f>
        <v>#VALUE!</v>
      </c>
      <c r="M867" s="199"/>
      <c r="N867" s="199"/>
      <c r="O867" s="62"/>
      <c r="P867" s="62"/>
      <c r="Q867" s="62"/>
      <c r="R867" s="42"/>
      <c r="S867" s="42"/>
      <c r="T867" s="42"/>
      <c r="U867" s="42"/>
      <c r="V867" s="58"/>
      <c r="W867" s="58"/>
      <c r="X867" s="58"/>
      <c r="Y867" s="58"/>
    </row>
    <row r="868" spans="1:25" ht="15" x14ac:dyDescent="0.25">
      <c r="A868" s="199"/>
      <c r="B868" s="199"/>
      <c r="C868" s="199"/>
      <c r="D868" s="199"/>
      <c r="E868" s="199" t="s">
        <v>3936</v>
      </c>
      <c r="F868" s="199"/>
      <c r="G868" s="199"/>
      <c r="H868" s="707" t="e">
        <f ca="1">H850/H867</f>
        <v>#DIV/0!</v>
      </c>
      <c r="I868" s="707" t="e">
        <f ca="1">I850/I867</f>
        <v>#DIV/0!</v>
      </c>
      <c r="J868" s="707" t="e">
        <f ca="1">J850/J867</f>
        <v>#DIV/0!</v>
      </c>
      <c r="K868" s="707" t="e">
        <f ca="1">K850/K867</f>
        <v>#DIV/0!</v>
      </c>
      <c r="L868" s="707" t="e">
        <f ca="1">L850/L867</f>
        <v>#DIV/0!</v>
      </c>
      <c r="M868" s="199"/>
      <c r="N868" s="199"/>
      <c r="O868" s="62"/>
      <c r="P868" s="62"/>
      <c r="Q868" s="62"/>
      <c r="R868" s="42"/>
      <c r="S868" s="42"/>
      <c r="T868" s="42"/>
      <c r="U868" s="42"/>
      <c r="V868" s="58"/>
      <c r="W868" s="58"/>
      <c r="X868" s="58"/>
      <c r="Y868" s="58"/>
    </row>
    <row r="869" spans="1:25" ht="15" x14ac:dyDescent="0.25">
      <c r="A869" s="199"/>
      <c r="B869" s="199"/>
      <c r="C869" s="199"/>
      <c r="D869" s="199" t="s">
        <v>1824</v>
      </c>
      <c r="E869" s="199"/>
      <c r="F869" s="199"/>
      <c r="G869" s="199"/>
      <c r="H869" s="707" t="e">
        <f>360/H867</f>
        <v>#VALUE!</v>
      </c>
      <c r="I869" s="707" t="e">
        <f>360/I867</f>
        <v>#VALUE!</v>
      </c>
      <c r="J869" s="707" t="e">
        <f>360/J867</f>
        <v>#VALUE!</v>
      </c>
      <c r="K869" s="707" t="e">
        <f>360/K867</f>
        <v>#VALUE!</v>
      </c>
      <c r="L869" s="707" t="e">
        <f>360/L867</f>
        <v>#VALUE!</v>
      </c>
      <c r="M869" s="199"/>
      <c r="N869" s="199"/>
      <c r="O869" s="62"/>
      <c r="P869" s="62"/>
      <c r="Q869" s="62"/>
      <c r="R869" s="42"/>
      <c r="S869" s="42"/>
      <c r="T869" s="42"/>
      <c r="U869" s="42"/>
      <c r="V869" s="58"/>
      <c r="W869" s="58"/>
      <c r="X869" s="58"/>
      <c r="Y869" s="58"/>
    </row>
    <row r="870" spans="1:25" ht="15" x14ac:dyDescent="0.25">
      <c r="A870" s="199" t="s">
        <v>2867</v>
      </c>
      <c r="B870" s="199"/>
      <c r="C870" s="199"/>
      <c r="D870" s="199"/>
      <c r="E870" s="199"/>
      <c r="F870" s="199"/>
      <c r="G870" s="199"/>
      <c r="H870" s="199"/>
      <c r="I870" s="199"/>
      <c r="J870" s="199"/>
      <c r="K870" s="199"/>
      <c r="L870" s="199"/>
      <c r="M870" s="199"/>
      <c r="N870" s="199"/>
      <c r="O870" s="62"/>
      <c r="P870" s="62"/>
      <c r="Q870" s="62"/>
      <c r="R870" s="42"/>
      <c r="S870" s="42"/>
      <c r="T870" s="42"/>
      <c r="U870" s="42"/>
      <c r="V870" s="58"/>
      <c r="W870" s="58"/>
      <c r="X870" s="58"/>
      <c r="Y870" s="58"/>
    </row>
    <row r="871" spans="1:25" ht="15" x14ac:dyDescent="0.25">
      <c r="A871" s="199"/>
      <c r="B871" s="199"/>
      <c r="C871" s="199"/>
      <c r="D871" s="199"/>
      <c r="E871" s="199" t="s">
        <v>1581</v>
      </c>
      <c r="F871" s="199"/>
      <c r="G871" s="199"/>
      <c r="H871" s="199">
        <f>H456*2</f>
        <v>0</v>
      </c>
      <c r="I871" s="199">
        <f>I456*2</f>
        <v>0</v>
      </c>
      <c r="J871" s="199">
        <f>J456*2</f>
        <v>0</v>
      </c>
      <c r="K871" s="199">
        <f>K456*2</f>
        <v>0</v>
      </c>
      <c r="L871" s="199">
        <f>L456*2</f>
        <v>0</v>
      </c>
      <c r="M871" s="199"/>
      <c r="N871" s="199"/>
      <c r="O871" s="62"/>
      <c r="P871" s="62"/>
      <c r="Q871" s="62"/>
      <c r="R871" s="42"/>
      <c r="S871" s="42"/>
      <c r="T871" s="42"/>
      <c r="U871" s="42"/>
      <c r="V871" s="58"/>
      <c r="W871" s="58"/>
      <c r="X871" s="58"/>
      <c r="Y871" s="58"/>
    </row>
    <row r="872" spans="1:25" ht="15" x14ac:dyDescent="0.25">
      <c r="A872" s="199"/>
      <c r="B872" s="199"/>
      <c r="C872" s="199"/>
      <c r="D872" s="199"/>
      <c r="E872" s="199" t="s">
        <v>1582</v>
      </c>
      <c r="F872" s="199"/>
      <c r="G872" s="199"/>
      <c r="H872" s="199" t="e">
        <f>H109/H871</f>
        <v>#DIV/0!</v>
      </c>
      <c r="I872" s="199" t="e">
        <f>I109/I871</f>
        <v>#DIV/0!</v>
      </c>
      <c r="J872" s="199" t="e">
        <f>J109/J871</f>
        <v>#DIV/0!</v>
      </c>
      <c r="K872" s="199" t="e">
        <f>K109/K871</f>
        <v>#DIV/0!</v>
      </c>
      <c r="L872" s="199" t="e">
        <f>L109/L871</f>
        <v>#DIV/0!</v>
      </c>
      <c r="M872" s="199"/>
      <c r="N872" s="199"/>
      <c r="O872" s="62"/>
      <c r="P872" s="62"/>
      <c r="Q872" s="62"/>
      <c r="R872" s="42"/>
      <c r="S872" s="42"/>
      <c r="T872" s="42"/>
      <c r="U872" s="42"/>
      <c r="V872" s="58"/>
      <c r="W872" s="58"/>
      <c r="X872" s="58"/>
      <c r="Y872" s="58"/>
    </row>
    <row r="873" spans="1:25" ht="15" x14ac:dyDescent="0.25">
      <c r="A873" s="199"/>
      <c r="B873" s="199"/>
      <c r="C873" s="199"/>
      <c r="D873" s="199"/>
      <c r="E873" s="199" t="s">
        <v>1583</v>
      </c>
      <c r="F873" s="199"/>
      <c r="G873" s="199"/>
      <c r="H873" s="199" t="b">
        <f>H457</f>
        <v>0</v>
      </c>
      <c r="I873" s="199" t="b">
        <f>I457</f>
        <v>0</v>
      </c>
      <c r="J873" s="199" t="b">
        <f>J457</f>
        <v>0</v>
      </c>
      <c r="K873" s="199" t="b">
        <f>K457</f>
        <v>0</v>
      </c>
      <c r="L873" s="199" t="b">
        <f>L457</f>
        <v>0</v>
      </c>
      <c r="M873" s="199"/>
      <c r="N873" s="199"/>
      <c r="O873" s="62"/>
      <c r="P873" s="62"/>
      <c r="Q873" s="62"/>
      <c r="R873" s="42"/>
      <c r="S873" s="42"/>
      <c r="T873" s="42"/>
      <c r="U873" s="42"/>
      <c r="V873" s="58"/>
      <c r="W873" s="58"/>
      <c r="X873" s="58"/>
      <c r="Y873" s="58"/>
    </row>
    <row r="874" spans="1:25" ht="15" x14ac:dyDescent="0.25">
      <c r="A874" s="199"/>
      <c r="B874" s="199"/>
      <c r="C874" s="199"/>
      <c r="D874" s="199"/>
      <c r="E874" s="199" t="s">
        <v>1584</v>
      </c>
      <c r="F874" s="199"/>
      <c r="G874" s="199"/>
      <c r="H874" s="199" t="e">
        <f ca="1">H821/H873</f>
        <v>#VALUE!</v>
      </c>
      <c r="I874" s="199" t="e">
        <f ca="1">I821/I873</f>
        <v>#VALUE!</v>
      </c>
      <c r="J874" s="199" t="e">
        <f ca="1">J821/J873</f>
        <v>#VALUE!</v>
      </c>
      <c r="K874" s="199" t="e">
        <f ca="1">K821/K873</f>
        <v>#VALUE!</v>
      </c>
      <c r="L874" s="199" t="e">
        <f ca="1">L821/L873</f>
        <v>#VALUE!</v>
      </c>
      <c r="M874" s="199"/>
      <c r="N874" s="199"/>
      <c r="O874" s="62"/>
      <c r="P874" s="62"/>
      <c r="Q874" s="62"/>
      <c r="R874" s="42"/>
      <c r="S874" s="42"/>
      <c r="T874" s="42"/>
      <c r="U874" s="42"/>
      <c r="V874" s="58"/>
      <c r="W874" s="58"/>
      <c r="X874" s="58"/>
      <c r="Y874" s="58"/>
    </row>
    <row r="875" spans="1:25" ht="15" x14ac:dyDescent="0.25">
      <c r="A875" s="199"/>
      <c r="B875" s="199"/>
      <c r="C875" s="199"/>
      <c r="D875" s="199"/>
      <c r="E875" s="199" t="s">
        <v>1585</v>
      </c>
      <c r="F875" s="199"/>
      <c r="G875" s="199"/>
      <c r="H875" s="199" t="e">
        <f ca="1">H874*H872</f>
        <v>#VALUE!</v>
      </c>
      <c r="I875" s="199" t="e">
        <f ca="1">I874*I872</f>
        <v>#VALUE!</v>
      </c>
      <c r="J875" s="199" t="e">
        <f ca="1">J874*J872</f>
        <v>#VALUE!</v>
      </c>
      <c r="K875" s="199" t="e">
        <f ca="1">K874*K872</f>
        <v>#VALUE!</v>
      </c>
      <c r="L875" s="199" t="e">
        <f ca="1">L874*L872</f>
        <v>#VALUE!</v>
      </c>
      <c r="M875" s="199"/>
      <c r="N875" s="199"/>
      <c r="O875" s="62"/>
      <c r="P875" s="62"/>
      <c r="Q875" s="62"/>
      <c r="R875" s="42"/>
      <c r="S875" s="42"/>
      <c r="T875" s="42"/>
      <c r="U875" s="42"/>
      <c r="V875" s="58"/>
      <c r="W875" s="58"/>
      <c r="X875" s="58"/>
      <c r="Y875" s="58"/>
    </row>
    <row r="876" spans="1:25" ht="15" x14ac:dyDescent="0.25">
      <c r="A876" s="199"/>
      <c r="B876" s="199"/>
      <c r="C876" s="199"/>
      <c r="D876" s="199"/>
      <c r="E876" s="199"/>
      <c r="F876" s="199" t="s">
        <v>1228</v>
      </c>
      <c r="G876" s="199"/>
      <c r="H876" s="528">
        <f>IF(H495&lt;1.01,1,IF(H495&lt;1.41,2,3))</f>
        <v>3</v>
      </c>
      <c r="I876" s="528">
        <f>IF(I495&lt;1.01,1,IF(I495&lt;1.41,2,3))</f>
        <v>3</v>
      </c>
      <c r="J876" s="528">
        <f>IF(J495&lt;1.01,1,IF(J495&lt;1.41,2,3))</f>
        <v>3</v>
      </c>
      <c r="K876" s="528">
        <f>IF(K495&lt;1.01,1,IF(K495&lt;1.41,2,3))</f>
        <v>3</v>
      </c>
      <c r="L876" s="528">
        <f>IF(L495&lt;1.01,1,IF(L495&lt;1.41,2,3))</f>
        <v>3</v>
      </c>
      <c r="M876" s="199"/>
      <c r="N876" s="199"/>
      <c r="O876" s="62"/>
      <c r="P876" s="62"/>
      <c r="Q876" s="62"/>
      <c r="R876" s="42"/>
      <c r="S876" s="42"/>
      <c r="T876" s="42"/>
      <c r="U876" s="42"/>
      <c r="V876" s="58"/>
      <c r="W876" s="58"/>
      <c r="X876" s="58"/>
      <c r="Y876" s="58"/>
    </row>
    <row r="877" spans="1:25" ht="15" x14ac:dyDescent="0.25">
      <c r="A877" s="199"/>
      <c r="B877" s="199"/>
      <c r="C877" s="199"/>
      <c r="D877" s="199"/>
      <c r="E877" s="199" t="s">
        <v>1234</v>
      </c>
      <c r="F877" s="199"/>
      <c r="G877" s="199"/>
      <c r="H877" s="528">
        <f>INDEX($B$1171:$B$1173,H876)</f>
        <v>125</v>
      </c>
      <c r="I877" s="528">
        <f>INDEX($B$1171:$B$1173,I876)</f>
        <v>125</v>
      </c>
      <c r="J877" s="528">
        <f>INDEX($B$1171:$B$1173,J876)</f>
        <v>125</v>
      </c>
      <c r="K877" s="528">
        <f>INDEX($B$1171:$B$1173,K876)</f>
        <v>125</v>
      </c>
      <c r="L877" s="528">
        <f>INDEX($B$1171:$B$1173,L876)</f>
        <v>125</v>
      </c>
      <c r="M877" s="199"/>
      <c r="N877" s="199"/>
      <c r="O877" s="62"/>
      <c r="P877" s="62"/>
      <c r="Q877" s="62"/>
      <c r="R877" s="42"/>
      <c r="S877" s="42"/>
      <c r="T877" s="42"/>
      <c r="U877" s="42"/>
      <c r="V877" s="58"/>
      <c r="W877" s="58"/>
      <c r="X877" s="58"/>
      <c r="Y877" s="58"/>
    </row>
    <row r="878" spans="1:25" ht="15" x14ac:dyDescent="0.25">
      <c r="A878" s="199"/>
      <c r="B878" s="199"/>
      <c r="C878" s="199"/>
      <c r="D878" s="199"/>
      <c r="E878" s="199" t="s">
        <v>3710</v>
      </c>
      <c r="F878" s="199"/>
      <c r="G878" s="199"/>
      <c r="H878" s="528" t="e">
        <f>IF(H502&gt;3,1.15,1)*H808</f>
        <v>#VALUE!</v>
      </c>
      <c r="I878" s="528" t="e">
        <f>IF(I502&gt;3,1.15,1)*I808</f>
        <v>#VALUE!</v>
      </c>
      <c r="J878" s="528" t="e">
        <f>IF(J502&gt;3,1.15,1)*J808</f>
        <v>#VALUE!</v>
      </c>
      <c r="K878" s="528" t="e">
        <f>IF(K502&gt;3,1.15,1)*K808</f>
        <v>#VALUE!</v>
      </c>
      <c r="L878" s="528" t="e">
        <f>IF(L502&gt;3,1.15,1)*L808</f>
        <v>#VALUE!</v>
      </c>
      <c r="M878" s="199"/>
      <c r="N878" s="199"/>
      <c r="O878" s="62"/>
      <c r="P878" s="62"/>
      <c r="Q878" s="62"/>
      <c r="R878" s="42"/>
      <c r="S878" s="42"/>
      <c r="T878" s="42"/>
      <c r="U878" s="42"/>
      <c r="V878" s="58"/>
      <c r="W878" s="58"/>
      <c r="X878" s="58"/>
      <c r="Y878" s="58"/>
    </row>
    <row r="879" spans="1:25" ht="15" x14ac:dyDescent="0.25">
      <c r="A879" s="199"/>
      <c r="B879" s="199"/>
      <c r="C879" s="199"/>
      <c r="D879" s="199"/>
      <c r="E879" s="199" t="s">
        <v>2334</v>
      </c>
      <c r="F879" s="199"/>
      <c r="G879" s="199"/>
      <c r="H879" s="541" t="e">
        <f>H877*H878</f>
        <v>#VALUE!</v>
      </c>
      <c r="I879" s="541" t="e">
        <f>I877*I878</f>
        <v>#VALUE!</v>
      </c>
      <c r="J879" s="541" t="e">
        <f>J877*J878</f>
        <v>#VALUE!</v>
      </c>
      <c r="K879" s="541" t="e">
        <f>K877*K878</f>
        <v>#VALUE!</v>
      </c>
      <c r="L879" s="541" t="e">
        <f>L877*L878</f>
        <v>#VALUE!</v>
      </c>
      <c r="M879" s="199"/>
      <c r="N879" s="199"/>
      <c r="O879" s="62"/>
      <c r="P879" s="62"/>
      <c r="Q879" s="62"/>
      <c r="R879" s="42"/>
      <c r="S879" s="42"/>
      <c r="T879" s="42"/>
      <c r="U879" s="42"/>
      <c r="V879" s="58"/>
      <c r="W879" s="58"/>
      <c r="X879" s="58"/>
      <c r="Y879" s="58"/>
    </row>
    <row r="880" spans="1:25" ht="15" x14ac:dyDescent="0.25">
      <c r="A880" s="199"/>
      <c r="B880" s="199"/>
      <c r="C880" s="199"/>
      <c r="D880" s="199"/>
      <c r="E880" s="199" t="s">
        <v>3936</v>
      </c>
      <c r="F880" s="199"/>
      <c r="G880" s="199"/>
      <c r="H880" s="707" t="e">
        <f ca="1">H875/H879</f>
        <v>#VALUE!</v>
      </c>
      <c r="I880" s="707" t="e">
        <f ca="1">I875/I879</f>
        <v>#VALUE!</v>
      </c>
      <c r="J880" s="707" t="e">
        <f ca="1">J875/J879</f>
        <v>#VALUE!</v>
      </c>
      <c r="K880" s="707" t="e">
        <f ca="1">K875/K879</f>
        <v>#VALUE!</v>
      </c>
      <c r="L880" s="707" t="e">
        <f ca="1">L875/L879</f>
        <v>#VALUE!</v>
      </c>
      <c r="M880" s="199"/>
      <c r="N880" s="199"/>
      <c r="O880" s="62"/>
      <c r="P880" s="62"/>
      <c r="Q880" s="62"/>
      <c r="R880" s="42"/>
      <c r="S880" s="42"/>
      <c r="T880" s="42"/>
      <c r="U880" s="42"/>
      <c r="V880" s="58"/>
      <c r="W880" s="58"/>
      <c r="X880" s="58"/>
      <c r="Y880" s="58"/>
    </row>
    <row r="881" spans="1:25" ht="15" x14ac:dyDescent="0.25">
      <c r="A881" s="199"/>
      <c r="B881" s="199"/>
      <c r="C881" s="199"/>
      <c r="D881" s="199" t="s">
        <v>3256</v>
      </c>
      <c r="E881" s="199"/>
      <c r="F881" s="199"/>
      <c r="G881" s="199"/>
      <c r="H881" s="707" t="e">
        <f>360/H879</f>
        <v>#VALUE!</v>
      </c>
      <c r="I881" s="707" t="e">
        <f>360/I879</f>
        <v>#VALUE!</v>
      </c>
      <c r="J881" s="707" t="e">
        <f>360/J879</f>
        <v>#VALUE!</v>
      </c>
      <c r="K881" s="707" t="e">
        <f>360/K879</f>
        <v>#VALUE!</v>
      </c>
      <c r="L881" s="707" t="e">
        <f>360/L879</f>
        <v>#VALUE!</v>
      </c>
      <c r="M881" s="199"/>
      <c r="N881" s="199"/>
      <c r="O881" s="62"/>
      <c r="P881" s="62"/>
      <c r="Q881" s="62"/>
      <c r="R881" s="42"/>
      <c r="S881" s="42"/>
      <c r="T881" s="42"/>
      <c r="U881" s="42"/>
      <c r="V881" s="58"/>
      <c r="W881" s="58"/>
      <c r="X881" s="58"/>
      <c r="Y881" s="58"/>
    </row>
    <row r="882" spans="1:25" ht="15" x14ac:dyDescent="0.25">
      <c r="A882" s="199" t="s">
        <v>1586</v>
      </c>
      <c r="B882" s="199"/>
      <c r="C882" s="199"/>
      <c r="D882" s="199"/>
      <c r="E882" s="199"/>
      <c r="F882" s="199"/>
      <c r="G882" s="199"/>
      <c r="H882" s="541" t="e">
        <f ca="1">H827+H833+H844+H855+H861+H868+H880</f>
        <v>#VALUE!</v>
      </c>
      <c r="I882" s="541" t="e">
        <f ca="1">I827+I833+I844+I855+I861+I868+I880</f>
        <v>#VALUE!</v>
      </c>
      <c r="J882" s="541" t="e">
        <f ca="1">J827+J833+J844+J855+J861+J868+J880</f>
        <v>#VALUE!</v>
      </c>
      <c r="K882" s="541" t="e">
        <f ca="1">K827+K833+K844+K855+K861+K868+K880</f>
        <v>#VALUE!</v>
      </c>
      <c r="L882" s="541" t="e">
        <f ca="1">L827+L833+L844+L855+L861+L868+L880</f>
        <v>#VALUE!</v>
      </c>
      <c r="M882" s="199"/>
      <c r="N882" s="199"/>
      <c r="O882" s="62"/>
      <c r="P882" s="62"/>
      <c r="Q882" s="62"/>
      <c r="R882" s="42"/>
      <c r="S882" s="42"/>
      <c r="T882" s="42"/>
      <c r="U882" s="42"/>
      <c r="V882" s="58"/>
      <c r="W882" s="58"/>
      <c r="X882" s="58"/>
      <c r="Y882" s="58"/>
    </row>
    <row r="883" spans="1:25" ht="15" x14ac:dyDescent="0.25">
      <c r="A883" s="528" t="s">
        <v>2757</v>
      </c>
      <c r="B883" s="199"/>
      <c r="C883" s="199"/>
      <c r="D883" s="199"/>
      <c r="E883" s="199"/>
      <c r="F883" s="199"/>
      <c r="G883" s="199"/>
      <c r="H883" s="651" t="e">
        <f ca="1">H603</f>
        <v>#VALUE!</v>
      </c>
      <c r="I883" s="651" t="e">
        <f ca="1">I603</f>
        <v>#VALUE!</v>
      </c>
      <c r="J883" s="651" t="e">
        <f ca="1">J603</f>
        <v>#VALUE!</v>
      </c>
      <c r="K883" s="651" t="e">
        <f ca="1">K603</f>
        <v>#VALUE!</v>
      </c>
      <c r="L883" s="651" t="e">
        <f ca="1">L603</f>
        <v>#VALUE!</v>
      </c>
      <c r="M883" s="199"/>
      <c r="N883" s="199"/>
      <c r="O883" s="62"/>
      <c r="P883" s="62"/>
      <c r="Q883" s="62"/>
      <c r="R883" s="42"/>
      <c r="S883" s="42"/>
      <c r="T883" s="42"/>
      <c r="U883" s="42"/>
      <c r="V883" s="58"/>
      <c r="W883" s="58"/>
      <c r="X883" s="58"/>
      <c r="Y883" s="58"/>
    </row>
    <row r="884" spans="1:25" ht="15" x14ac:dyDescent="0.25">
      <c r="A884" s="4445" t="s">
        <v>4596</v>
      </c>
      <c r="B884" s="4375"/>
      <c r="C884" s="4375"/>
      <c r="D884" s="4375"/>
      <c r="E884" s="4375"/>
      <c r="F884" s="4375"/>
      <c r="G884" s="199"/>
      <c r="H884" s="199"/>
      <c r="I884" s="199"/>
      <c r="J884" s="199"/>
      <c r="K884" s="199"/>
      <c r="L884" s="199"/>
      <c r="M884" s="199"/>
      <c r="N884" s="199"/>
      <c r="O884" s="62"/>
      <c r="P884" s="62"/>
      <c r="Q884" s="62"/>
      <c r="R884" s="42"/>
      <c r="S884" s="42"/>
      <c r="T884" s="42"/>
      <c r="U884" s="42"/>
      <c r="V884" s="58"/>
      <c r="W884" s="58"/>
      <c r="X884" s="58"/>
      <c r="Y884" s="58"/>
    </row>
    <row r="885" spans="1:25" ht="15" x14ac:dyDescent="0.25">
      <c r="A885" s="199"/>
      <c r="B885" s="199"/>
      <c r="C885" s="199"/>
      <c r="D885" s="199"/>
      <c r="E885" s="199"/>
      <c r="F885" s="199"/>
      <c r="G885" s="199"/>
      <c r="H885" s="199"/>
      <c r="I885" s="199"/>
      <c r="J885" s="199"/>
      <c r="K885" s="199"/>
      <c r="L885" s="199"/>
      <c r="M885" s="199"/>
      <c r="N885" s="199"/>
      <c r="O885" s="62"/>
      <c r="P885" s="62"/>
      <c r="Q885" s="62"/>
      <c r="R885" s="42"/>
      <c r="S885" s="42"/>
      <c r="T885" s="42"/>
      <c r="U885" s="42"/>
      <c r="V885" s="58"/>
      <c r="W885" s="58"/>
      <c r="X885" s="58"/>
      <c r="Y885" s="58"/>
    </row>
    <row r="886" spans="1:25" ht="15" x14ac:dyDescent="0.25">
      <c r="A886" s="199"/>
      <c r="B886" s="713"/>
      <c r="C886" s="714"/>
      <c r="D886" s="714"/>
      <c r="E886" s="714"/>
      <c r="F886" s="714"/>
      <c r="G886" s="714"/>
      <c r="H886" s="714"/>
      <c r="I886" s="714"/>
      <c r="J886" s="714"/>
      <c r="K886" s="714"/>
      <c r="L886" s="714"/>
      <c r="M886" s="715"/>
      <c r="N886" s="199"/>
      <c r="O886" s="62"/>
      <c r="P886" s="62"/>
      <c r="Q886" s="62"/>
      <c r="R886" s="42"/>
      <c r="S886" s="42"/>
      <c r="T886" s="42"/>
      <c r="U886" s="42"/>
      <c r="V886" s="58"/>
      <c r="W886" s="58"/>
      <c r="X886" s="58"/>
      <c r="Y886" s="58"/>
    </row>
    <row r="887" spans="1:25" ht="15" x14ac:dyDescent="0.25">
      <c r="A887" s="199"/>
      <c r="B887" s="716"/>
      <c r="C887" s="520" t="s">
        <v>2217</v>
      </c>
      <c r="D887" s="520"/>
      <c r="E887" s="520"/>
      <c r="F887" s="520"/>
      <c r="G887" s="520"/>
      <c r="H887" s="712" t="e">
        <f>H869+H862+H856</f>
        <v>#VALUE!</v>
      </c>
      <c r="I887" s="712" t="e">
        <f>I869+I862+I856</f>
        <v>#VALUE!</v>
      </c>
      <c r="J887" s="712" t="e">
        <f>J869+J862+J856</f>
        <v>#VALUE!</v>
      </c>
      <c r="K887" s="712" t="e">
        <f>K869+K862+K856</f>
        <v>#VALUE!</v>
      </c>
      <c r="L887" s="712" t="e">
        <f>L869+L862+L856</f>
        <v>#VALUE!</v>
      </c>
      <c r="M887" s="717"/>
      <c r="N887" s="199"/>
      <c r="O887" s="62"/>
      <c r="P887" s="62"/>
      <c r="Q887" s="62"/>
      <c r="R887" s="42"/>
      <c r="S887" s="42"/>
      <c r="T887" s="42"/>
      <c r="U887" s="42"/>
      <c r="V887" s="58"/>
      <c r="W887" s="58"/>
      <c r="X887" s="58"/>
      <c r="Y887" s="58"/>
    </row>
    <row r="888" spans="1:25" ht="15" x14ac:dyDescent="0.25">
      <c r="A888" s="199"/>
      <c r="B888" s="716"/>
      <c r="C888" s="520" t="s">
        <v>5077</v>
      </c>
      <c r="D888" s="520"/>
      <c r="E888" s="520"/>
      <c r="F888" s="520"/>
      <c r="G888" s="520"/>
      <c r="H888" s="494" t="e">
        <f>H695*H495*H810</f>
        <v>#VALUE!</v>
      </c>
      <c r="I888" s="494" t="e">
        <f>I695*I495*I810</f>
        <v>#VALUE!</v>
      </c>
      <c r="J888" s="494" t="e">
        <f>J695*J495*J810</f>
        <v>#VALUE!</v>
      </c>
      <c r="K888" s="494" t="e">
        <f>K695*K495*K810</f>
        <v>#VALUE!</v>
      </c>
      <c r="L888" s="494" t="e">
        <f>L695*L495*L810</f>
        <v>#VALUE!</v>
      </c>
      <c r="M888" s="717"/>
      <c r="N888" s="199"/>
      <c r="O888" s="62"/>
      <c r="P888" s="62"/>
      <c r="Q888" s="62"/>
      <c r="R888" s="42"/>
      <c r="S888" s="42"/>
      <c r="T888" s="42"/>
      <c r="U888" s="42"/>
      <c r="V888" s="58"/>
      <c r="W888" s="58"/>
      <c r="X888" s="58"/>
      <c r="Y888" s="58"/>
    </row>
    <row r="889" spans="1:25" ht="15" x14ac:dyDescent="0.25">
      <c r="A889" s="199"/>
      <c r="B889" s="716"/>
      <c r="C889" s="520" t="s">
        <v>5078</v>
      </c>
      <c r="D889" s="520"/>
      <c r="E889" s="520"/>
      <c r="F889" s="520"/>
      <c r="G889" s="520"/>
      <c r="H889" s="712" t="e">
        <f>(H888/H832)*360</f>
        <v>#VALUE!</v>
      </c>
      <c r="I889" s="712" t="e">
        <f>(I888/I832)*360</f>
        <v>#VALUE!</v>
      </c>
      <c r="J889" s="712" t="e">
        <f>(J888/J832)*360</f>
        <v>#VALUE!</v>
      </c>
      <c r="K889" s="712" t="e">
        <f>(K888/K832)*360</f>
        <v>#VALUE!</v>
      </c>
      <c r="L889" s="712" t="e">
        <f>(L888/L832)*360</f>
        <v>#VALUE!</v>
      </c>
      <c r="M889" s="717"/>
      <c r="N889" s="199"/>
      <c r="O889" s="62"/>
      <c r="P889" s="62"/>
      <c r="Q889" s="62"/>
      <c r="R889" s="42"/>
      <c r="S889" s="42"/>
      <c r="T889" s="42"/>
      <c r="U889" s="42"/>
      <c r="V889" s="58"/>
      <c r="W889" s="58"/>
      <c r="X889" s="58"/>
      <c r="Y889" s="58"/>
    </row>
    <row r="890" spans="1:25" ht="15" x14ac:dyDescent="0.25">
      <c r="A890" s="199"/>
      <c r="B890" s="716"/>
      <c r="C890" s="520"/>
      <c r="D890" s="520" t="s">
        <v>5079</v>
      </c>
      <c r="E890" s="520"/>
      <c r="F890" s="520"/>
      <c r="G890" s="520"/>
      <c r="H890" s="712" t="e">
        <f>H889+H887</f>
        <v>#VALUE!</v>
      </c>
      <c r="I890" s="712" t="e">
        <f>I889+I887</f>
        <v>#VALUE!</v>
      </c>
      <c r="J890" s="712" t="e">
        <f>J889+J887</f>
        <v>#VALUE!</v>
      </c>
      <c r="K890" s="712" t="e">
        <f>K889+K887</f>
        <v>#VALUE!</v>
      </c>
      <c r="L890" s="712" t="e">
        <f>L889+L887</f>
        <v>#VALUE!</v>
      </c>
      <c r="M890" s="717"/>
      <c r="N890" s="199"/>
      <c r="O890" s="62"/>
      <c r="P890" s="62"/>
      <c r="Q890" s="62"/>
      <c r="R890" s="42"/>
      <c r="S890" s="42"/>
      <c r="T890" s="42"/>
      <c r="U890" s="42"/>
      <c r="V890" s="58"/>
      <c r="W890" s="58"/>
      <c r="X890" s="58"/>
      <c r="Y890" s="58"/>
    </row>
    <row r="891" spans="1:25" ht="15" x14ac:dyDescent="0.25">
      <c r="A891" s="199"/>
      <c r="B891" s="716"/>
      <c r="C891" s="520"/>
      <c r="D891" s="520"/>
      <c r="E891" s="520"/>
      <c r="F891" s="520"/>
      <c r="G891" s="520"/>
      <c r="H891" s="520"/>
      <c r="I891" s="520"/>
      <c r="J891" s="520"/>
      <c r="K891" s="520"/>
      <c r="L891" s="520"/>
      <c r="M891" s="717"/>
      <c r="N891" s="199"/>
      <c r="O891" s="62"/>
      <c r="P891" s="62"/>
      <c r="Q891" s="62"/>
      <c r="R891" s="42"/>
      <c r="S891" s="42"/>
      <c r="T891" s="42"/>
      <c r="U891" s="42"/>
      <c r="V891" s="58"/>
      <c r="W891" s="58"/>
      <c r="X891" s="58"/>
      <c r="Y891" s="58"/>
    </row>
    <row r="892" spans="1:25" ht="15" x14ac:dyDescent="0.25">
      <c r="A892" s="199"/>
      <c r="B892" s="716"/>
      <c r="C892" s="520" t="s">
        <v>3677</v>
      </c>
      <c r="D892" s="520"/>
      <c r="E892" s="520"/>
      <c r="F892" s="520"/>
      <c r="G892" s="520"/>
      <c r="H892" s="520" t="e">
        <f>H109/H726</f>
        <v>#DIV/0!</v>
      </c>
      <c r="I892" s="520" t="e">
        <f>I109/I726</f>
        <v>#DIV/0!</v>
      </c>
      <c r="J892" s="520" t="e">
        <f>J109/J726</f>
        <v>#DIV/0!</v>
      </c>
      <c r="K892" s="520" t="e">
        <f>K109/K726</f>
        <v>#DIV/0!</v>
      </c>
      <c r="L892" s="520" t="e">
        <f>L109/L726</f>
        <v>#DIV/0!</v>
      </c>
      <c r="M892" s="717"/>
      <c r="N892" s="199"/>
      <c r="O892" s="62"/>
      <c r="P892" s="62"/>
      <c r="Q892" s="62"/>
      <c r="R892" s="42"/>
      <c r="S892" s="42"/>
      <c r="T892" s="42"/>
      <c r="U892" s="42"/>
      <c r="V892" s="58"/>
      <c r="W892" s="58"/>
      <c r="X892" s="58"/>
      <c r="Y892" s="58"/>
    </row>
    <row r="893" spans="1:25" ht="15" x14ac:dyDescent="0.25">
      <c r="A893" s="199"/>
      <c r="B893" s="716"/>
      <c r="C893" s="520" t="s">
        <v>2639</v>
      </c>
      <c r="D893" s="520"/>
      <c r="E893" s="520"/>
      <c r="F893" s="520"/>
      <c r="G893" s="520"/>
      <c r="H893" s="520" t="e">
        <f ca="1">H882-2</f>
        <v>#VALUE!</v>
      </c>
      <c r="I893" s="520" t="e">
        <f ca="1">I882-2</f>
        <v>#VALUE!</v>
      </c>
      <c r="J893" s="520" t="e">
        <f ca="1">J882-2</f>
        <v>#VALUE!</v>
      </c>
      <c r="K893" s="520" t="e">
        <f ca="1">K882-2</f>
        <v>#VALUE!</v>
      </c>
      <c r="L893" s="520" t="e">
        <f ca="1">L882-2</f>
        <v>#VALUE!</v>
      </c>
      <c r="M893" s="717"/>
      <c r="N893" s="199"/>
      <c r="O893" s="62"/>
      <c r="P893" s="62"/>
      <c r="Q893" s="62"/>
      <c r="R893" s="42"/>
      <c r="S893" s="42"/>
      <c r="T893" s="42"/>
      <c r="U893" s="42"/>
      <c r="V893" s="58"/>
      <c r="W893" s="58"/>
      <c r="X893" s="58"/>
      <c r="Y893" s="58"/>
    </row>
    <row r="894" spans="1:25" ht="15" x14ac:dyDescent="0.25">
      <c r="A894" s="199"/>
      <c r="B894" s="716"/>
      <c r="C894" s="520"/>
      <c r="D894" s="520"/>
      <c r="E894" s="520" t="s">
        <v>3759</v>
      </c>
      <c r="F894" s="520"/>
      <c r="G894" s="520"/>
      <c r="H894" s="520" t="e">
        <f ca="1">H893-H892</f>
        <v>#VALUE!</v>
      </c>
      <c r="I894" s="520" t="e">
        <f ca="1">I893-I892</f>
        <v>#VALUE!</v>
      </c>
      <c r="J894" s="520" t="e">
        <f ca="1">J893-J892</f>
        <v>#VALUE!</v>
      </c>
      <c r="K894" s="520" t="e">
        <f ca="1">K893-K892</f>
        <v>#VALUE!</v>
      </c>
      <c r="L894" s="520" t="e">
        <f ca="1">L893-L892</f>
        <v>#VALUE!</v>
      </c>
      <c r="M894" s="717"/>
      <c r="N894" s="199"/>
      <c r="O894" s="62"/>
      <c r="P894" s="62"/>
      <c r="Q894" s="62"/>
      <c r="R894" s="42"/>
      <c r="S894" s="42"/>
      <c r="T894" s="42"/>
      <c r="U894" s="42"/>
      <c r="V894" s="58"/>
      <c r="W894" s="58"/>
      <c r="X894" s="58"/>
      <c r="Y894" s="58"/>
    </row>
    <row r="895" spans="1:25" ht="15" x14ac:dyDescent="0.25">
      <c r="A895" s="11"/>
      <c r="B895" s="718"/>
      <c r="C895" s="719"/>
      <c r="D895" s="719"/>
      <c r="E895" s="719"/>
      <c r="F895" s="719"/>
      <c r="G895" s="719"/>
      <c r="H895" s="720"/>
      <c r="I895" s="720"/>
      <c r="J895" s="720"/>
      <c r="K895" s="720"/>
      <c r="L895" s="720"/>
      <c r="M895" s="721"/>
      <c r="N895" s="62"/>
      <c r="O895" s="62"/>
      <c r="P895" s="62"/>
      <c r="Q895" s="62"/>
      <c r="R895" s="42"/>
      <c r="S895" s="42"/>
      <c r="T895" s="42"/>
      <c r="U895" s="42"/>
      <c r="V895" s="58"/>
      <c r="W895" s="58"/>
      <c r="X895" s="58"/>
      <c r="Y895" s="58"/>
    </row>
    <row r="896" spans="1:25" ht="15" x14ac:dyDescent="0.25">
      <c r="A896" s="11"/>
      <c r="B896" s="38"/>
      <c r="C896" s="11"/>
      <c r="D896" s="11"/>
      <c r="E896" s="11"/>
      <c r="F896" s="11"/>
      <c r="G896" s="11"/>
      <c r="H896" s="696"/>
      <c r="I896" s="696"/>
      <c r="J896" s="696"/>
      <c r="K896" s="696"/>
      <c r="L896" s="696"/>
      <c r="M896" s="62"/>
      <c r="N896" s="62"/>
      <c r="O896" s="62"/>
      <c r="P896" s="62"/>
      <c r="Q896" s="62"/>
      <c r="R896" s="42"/>
      <c r="S896" s="42"/>
      <c r="T896" s="42"/>
      <c r="U896" s="42"/>
      <c r="V896" s="58"/>
      <c r="W896" s="58"/>
      <c r="X896" s="58"/>
      <c r="Y896" s="58"/>
    </row>
    <row r="897" spans="1:25" ht="15" x14ac:dyDescent="0.25">
      <c r="A897" s="28"/>
      <c r="B897" s="28"/>
      <c r="C897" s="28"/>
      <c r="D897" s="28"/>
      <c r="E897" s="28"/>
      <c r="F897" s="28"/>
      <c r="G897" s="28"/>
      <c r="H897" s="28"/>
      <c r="I897" s="28"/>
      <c r="J897" s="165"/>
      <c r="K897" s="165"/>
      <c r="L897" s="165"/>
      <c r="M897" s="165"/>
      <c r="N897" s="165"/>
      <c r="O897" s="62"/>
      <c r="P897" s="62"/>
      <c r="Q897" s="62"/>
      <c r="R897" s="42"/>
      <c r="S897" s="42"/>
      <c r="T897" s="42"/>
      <c r="U897" s="42"/>
      <c r="V897" s="58"/>
      <c r="W897" s="58"/>
      <c r="X897" s="58"/>
      <c r="Y897" s="58"/>
    </row>
    <row r="898" spans="1:25" ht="15.75" x14ac:dyDescent="0.25">
      <c r="A898" s="722"/>
      <c r="B898" s="723" t="s">
        <v>3173</v>
      </c>
      <c r="C898" s="722"/>
      <c r="D898" s="722"/>
      <c r="E898" s="722"/>
      <c r="F898" s="722"/>
      <c r="G898" s="722"/>
      <c r="H898" s="722"/>
      <c r="I898" s="722"/>
      <c r="J898" s="722"/>
      <c r="K898" s="722"/>
      <c r="L898" s="722"/>
      <c r="M898" s="722"/>
      <c r="N898" s="199"/>
      <c r="O898" s="199"/>
      <c r="P898" s="199"/>
      <c r="Q898" s="199"/>
      <c r="R898" s="58"/>
      <c r="S898" s="58"/>
      <c r="T898" s="58"/>
      <c r="U898" s="58"/>
      <c r="V898" s="58"/>
      <c r="W898" s="58"/>
      <c r="X898" s="58"/>
      <c r="Y898" s="58"/>
    </row>
    <row r="899" spans="1:25" ht="15.75" x14ac:dyDescent="0.25">
      <c r="A899" s="11"/>
      <c r="B899" s="31"/>
      <c r="C899" s="11"/>
      <c r="D899" s="199"/>
      <c r="E899" s="11"/>
      <c r="F899" s="11"/>
      <c r="G899" s="11"/>
      <c r="H899" s="11"/>
      <c r="I899" s="11"/>
      <c r="J899" s="11"/>
      <c r="K899" s="11"/>
      <c r="L899" s="11"/>
      <c r="M899" s="11"/>
      <c r="N899" s="11"/>
      <c r="O899" s="11"/>
      <c r="P899" s="11"/>
      <c r="Q899" s="199"/>
      <c r="R899" s="58"/>
      <c r="S899" s="58"/>
      <c r="T899" s="58"/>
      <c r="U899" s="58"/>
      <c r="V899" s="58"/>
      <c r="W899" s="58"/>
      <c r="X899" s="58"/>
      <c r="Y899" s="58"/>
    </row>
    <row r="900" spans="1:25" ht="15.75" x14ac:dyDescent="0.25">
      <c r="A900" s="11"/>
      <c r="B900" s="11"/>
      <c r="C900" s="11"/>
      <c r="D900" s="31" t="s">
        <v>3870</v>
      </c>
      <c r="E900" s="11"/>
      <c r="F900" s="11"/>
      <c r="G900" s="11"/>
      <c r="H900" s="11"/>
      <c r="I900" s="11"/>
      <c r="J900" s="11"/>
      <c r="K900" s="11"/>
      <c r="L900" s="11"/>
      <c r="M900" s="11"/>
      <c r="N900" s="11"/>
      <c r="O900" s="11"/>
      <c r="P900" s="11"/>
      <c r="Q900" s="199"/>
      <c r="R900" s="58"/>
      <c r="S900" s="58"/>
      <c r="T900" s="58"/>
      <c r="U900" s="58"/>
      <c r="V900" s="58"/>
      <c r="W900" s="58"/>
      <c r="X900" s="58"/>
      <c r="Y900" s="58"/>
    </row>
    <row r="901" spans="1:25" ht="15" x14ac:dyDescent="0.25">
      <c r="A901" s="4557" t="s">
        <v>2490</v>
      </c>
      <c r="B901" s="4566" t="s">
        <v>2137</v>
      </c>
      <c r="C901" s="4569" t="s">
        <v>1108</v>
      </c>
      <c r="D901" s="4570"/>
      <c r="E901" s="4573" t="s">
        <v>787</v>
      </c>
      <c r="F901" s="4574"/>
      <c r="G901" s="4574"/>
      <c r="H901" s="4574"/>
      <c r="I901" s="4574"/>
      <c r="J901" s="4575"/>
      <c r="K901" s="4576" t="s">
        <v>1306</v>
      </c>
      <c r="L901" s="4577"/>
      <c r="M901" s="4578"/>
      <c r="N901" s="4563" t="s">
        <v>1588</v>
      </c>
      <c r="O901" s="11"/>
      <c r="P901" s="11"/>
      <c r="Q901" s="199"/>
      <c r="R901" s="58"/>
      <c r="S901" s="58"/>
      <c r="T901" s="58"/>
      <c r="U901" s="58"/>
      <c r="V901" s="58"/>
      <c r="W901" s="58"/>
      <c r="X901" s="58"/>
      <c r="Y901" s="58"/>
    </row>
    <row r="902" spans="1:25" ht="15" x14ac:dyDescent="0.25">
      <c r="A902" s="4558"/>
      <c r="B902" s="4567"/>
      <c r="C902" s="4571"/>
      <c r="D902" s="4572"/>
      <c r="E902" s="4583" t="s">
        <v>2275</v>
      </c>
      <c r="F902" s="4584"/>
      <c r="G902" s="4583" t="s">
        <v>2276</v>
      </c>
      <c r="H902" s="4584"/>
      <c r="I902" s="4583" t="s">
        <v>2277</v>
      </c>
      <c r="J902" s="4584"/>
      <c r="K902" s="4579"/>
      <c r="L902" s="4580"/>
      <c r="M902" s="4581"/>
      <c r="N902" s="4582"/>
      <c r="O902" s="11"/>
      <c r="P902" s="11"/>
      <c r="Q902" s="199"/>
      <c r="R902" s="58"/>
      <c r="S902" s="58"/>
      <c r="T902" s="58"/>
      <c r="U902" s="58"/>
      <c r="V902" s="58"/>
      <c r="W902" s="58"/>
      <c r="X902" s="58"/>
      <c r="Y902" s="58"/>
    </row>
    <row r="903" spans="1:25" ht="15.75" x14ac:dyDescent="0.3">
      <c r="A903" s="4466"/>
      <c r="B903" s="4568"/>
      <c r="C903" s="65" t="s">
        <v>2491</v>
      </c>
      <c r="D903" s="65" t="s">
        <v>2492</v>
      </c>
      <c r="E903" s="17" t="s">
        <v>2278</v>
      </c>
      <c r="F903" s="17" t="s">
        <v>2279</v>
      </c>
      <c r="G903" s="17" t="s">
        <v>4001</v>
      </c>
      <c r="H903" s="17" t="s">
        <v>4002</v>
      </c>
      <c r="I903" s="17" t="s">
        <v>4001</v>
      </c>
      <c r="J903" s="17" t="s">
        <v>4002</v>
      </c>
      <c r="K903" s="169" t="s">
        <v>4003</v>
      </c>
      <c r="L903" s="169" t="s">
        <v>4004</v>
      </c>
      <c r="M903" s="169" t="s">
        <v>4005</v>
      </c>
      <c r="N903" s="4582"/>
      <c r="O903" s="11"/>
      <c r="P903" s="11"/>
      <c r="Q903" s="199"/>
      <c r="R903" s="58"/>
      <c r="S903" s="58"/>
      <c r="T903" s="58"/>
      <c r="U903" s="58"/>
      <c r="V903" s="58"/>
      <c r="W903" s="58"/>
      <c r="X903" s="58"/>
      <c r="Y903" s="58"/>
    </row>
    <row r="904" spans="1:25" ht="15" x14ac:dyDescent="0.25">
      <c r="A904" s="11">
        <v>1</v>
      </c>
      <c r="B904" s="11" t="s">
        <v>2593</v>
      </c>
      <c r="C904" s="11">
        <v>0.55000000000000004</v>
      </c>
      <c r="D904" s="11">
        <v>1</v>
      </c>
      <c r="E904" s="11">
        <v>0.62</v>
      </c>
      <c r="F904" s="11">
        <v>1.08</v>
      </c>
      <c r="G904" s="11">
        <v>1.48</v>
      </c>
      <c r="H904" s="11">
        <v>0.54</v>
      </c>
      <c r="I904" s="11">
        <v>1.48</v>
      </c>
      <c r="J904" s="11">
        <v>1.08</v>
      </c>
      <c r="K904" s="29">
        <v>11.2</v>
      </c>
      <c r="L904" s="29">
        <v>3.3</v>
      </c>
      <c r="M904" s="29">
        <v>6.8</v>
      </c>
      <c r="N904" s="29">
        <v>0.7</v>
      </c>
      <c r="O904" s="11"/>
      <c r="P904" s="11"/>
      <c r="Q904" s="199"/>
      <c r="R904" s="58"/>
      <c r="S904" s="58"/>
      <c r="T904" s="58"/>
      <c r="U904" s="58"/>
      <c r="V904" s="58"/>
      <c r="W904" s="58"/>
      <c r="X904" s="58"/>
      <c r="Y904" s="58"/>
    </row>
    <row r="905" spans="1:25" ht="15" x14ac:dyDescent="0.25">
      <c r="A905" s="11">
        <v>2</v>
      </c>
      <c r="B905" s="11" t="s">
        <v>47</v>
      </c>
      <c r="C905" s="11">
        <v>0.55000000000000004</v>
      </c>
      <c r="D905" s="11">
        <v>1.2</v>
      </c>
      <c r="E905" s="11">
        <v>1.5</v>
      </c>
      <c r="F905" s="11">
        <v>1.88</v>
      </c>
      <c r="G905" s="11">
        <v>1.5</v>
      </c>
      <c r="H905" s="11">
        <v>0.54</v>
      </c>
      <c r="I905" s="11">
        <v>0.57999999999999996</v>
      </c>
      <c r="J905" s="11">
        <v>0.54</v>
      </c>
      <c r="K905" s="29">
        <v>11.2</v>
      </c>
      <c r="L905" s="29">
        <v>3.3</v>
      </c>
      <c r="M905" s="29">
        <v>6.8</v>
      </c>
      <c r="N905" s="29">
        <v>0.7</v>
      </c>
      <c r="O905" s="11"/>
      <c r="P905" s="11"/>
      <c r="Q905" s="199"/>
      <c r="R905" s="58"/>
      <c r="S905" s="58"/>
      <c r="T905" s="58"/>
      <c r="U905" s="58"/>
      <c r="V905" s="58"/>
      <c r="W905" s="58"/>
      <c r="X905" s="58"/>
      <c r="Y905" s="58"/>
    </row>
    <row r="906" spans="1:25" ht="15" x14ac:dyDescent="0.25">
      <c r="A906" s="11">
        <v>3</v>
      </c>
      <c r="B906" s="11" t="s">
        <v>2493</v>
      </c>
      <c r="C906" s="11">
        <v>0.55000000000000004</v>
      </c>
      <c r="D906" s="11">
        <v>1.4</v>
      </c>
      <c r="E906" s="11">
        <v>0.71</v>
      </c>
      <c r="F906" s="11">
        <v>1.38</v>
      </c>
      <c r="G906" s="11">
        <v>1.73</v>
      </c>
      <c r="H906" s="11">
        <v>0.56000000000000005</v>
      </c>
      <c r="I906" s="11">
        <v>1.73</v>
      </c>
      <c r="J906" s="11">
        <v>1.38</v>
      </c>
      <c r="K906" s="29">
        <v>13</v>
      </c>
      <c r="L906" s="29">
        <v>2.1</v>
      </c>
      <c r="M906" s="29">
        <v>6.93</v>
      </c>
      <c r="N906" s="29">
        <v>0.75</v>
      </c>
      <c r="O906" s="11"/>
      <c r="P906" s="11"/>
      <c r="Q906" s="199"/>
      <c r="R906" s="58"/>
      <c r="S906" s="58"/>
      <c r="T906" s="58"/>
      <c r="U906" s="58"/>
      <c r="V906" s="58"/>
      <c r="W906" s="58"/>
      <c r="X906" s="58"/>
      <c r="Y906" s="58"/>
    </row>
    <row r="907" spans="1:25" ht="15" x14ac:dyDescent="0.25">
      <c r="A907" s="11">
        <v>4</v>
      </c>
      <c r="B907" s="11" t="s">
        <v>2494</v>
      </c>
      <c r="C907" s="11">
        <v>0.55000000000000004</v>
      </c>
      <c r="D907" s="11">
        <v>1.4</v>
      </c>
      <c r="E907" s="11">
        <v>0.7</v>
      </c>
      <c r="F907" s="11">
        <v>1.4</v>
      </c>
      <c r="G907" s="11">
        <v>1.7</v>
      </c>
      <c r="H907" s="11">
        <v>0.7</v>
      </c>
      <c r="I907" s="11">
        <v>1.7</v>
      </c>
      <c r="J907" s="11">
        <v>1.4</v>
      </c>
      <c r="K907" s="29">
        <v>13</v>
      </c>
      <c r="L907" s="29">
        <v>2.1</v>
      </c>
      <c r="M907" s="29">
        <v>6.93</v>
      </c>
      <c r="N907" s="29">
        <v>0.75</v>
      </c>
      <c r="O907" s="11"/>
      <c r="P907" s="11"/>
      <c r="Q907" s="199"/>
      <c r="R907" s="58"/>
      <c r="S907" s="58"/>
      <c r="T907" s="58"/>
      <c r="U907" s="58"/>
      <c r="V907" s="58"/>
      <c r="W907" s="58"/>
      <c r="X907" s="58"/>
      <c r="Y907" s="58"/>
    </row>
    <row r="908" spans="1:25" ht="15" x14ac:dyDescent="0.25">
      <c r="A908" s="11">
        <v>5</v>
      </c>
      <c r="B908" s="11" t="s">
        <v>2495</v>
      </c>
      <c r="C908" s="11">
        <v>0.6</v>
      </c>
      <c r="D908" s="11">
        <v>1</v>
      </c>
      <c r="E908" s="11">
        <v>0.57999999999999996</v>
      </c>
      <c r="F908" s="11">
        <v>1.08</v>
      </c>
      <c r="G908" s="11">
        <v>1.5</v>
      </c>
      <c r="H908" s="11">
        <v>0.54</v>
      </c>
      <c r="I908" s="11">
        <v>1.5</v>
      </c>
      <c r="J908" s="11">
        <v>1.08</v>
      </c>
      <c r="K908" s="29">
        <v>13.3</v>
      </c>
      <c r="L908" s="29">
        <v>2.2999999999999998</v>
      </c>
      <c r="M908" s="29">
        <v>5.92</v>
      </c>
      <c r="N908" s="29">
        <v>0.75</v>
      </c>
      <c r="O908" s="11"/>
      <c r="P908" s="11"/>
      <c r="Q908" s="199"/>
      <c r="R908" s="58"/>
      <c r="S908" s="58"/>
      <c r="T908" s="58"/>
      <c r="U908" s="58"/>
      <c r="V908" s="58"/>
      <c r="W908" s="58"/>
      <c r="X908" s="58"/>
      <c r="Y908" s="58"/>
    </row>
    <row r="909" spans="1:25" ht="15" x14ac:dyDescent="0.25">
      <c r="A909" s="11">
        <v>6</v>
      </c>
      <c r="B909" s="11" t="s">
        <v>2496</v>
      </c>
      <c r="C909" s="11">
        <v>0.65</v>
      </c>
      <c r="D909" s="11">
        <v>1.4</v>
      </c>
      <c r="E909" s="11">
        <v>0.83</v>
      </c>
      <c r="F909" s="11">
        <v>1.38</v>
      </c>
      <c r="G909" s="11">
        <v>1.73</v>
      </c>
      <c r="H909" s="11">
        <v>0.65</v>
      </c>
      <c r="I909" s="11">
        <v>1.73</v>
      </c>
      <c r="J909" s="11">
        <v>1.38</v>
      </c>
      <c r="K909" s="29">
        <v>13.3</v>
      </c>
      <c r="L909" s="29">
        <v>2.2999999999999998</v>
      </c>
      <c r="M909" s="29">
        <v>5.92</v>
      </c>
      <c r="N909" s="29">
        <v>0.75</v>
      </c>
      <c r="O909" s="11"/>
      <c r="P909" s="11"/>
      <c r="Q909" s="199"/>
      <c r="R909" s="58"/>
      <c r="S909" s="58"/>
      <c r="T909" s="58"/>
      <c r="U909" s="58"/>
      <c r="V909" s="58"/>
      <c r="W909" s="58"/>
      <c r="X909" s="58"/>
      <c r="Y909" s="58"/>
    </row>
    <row r="910" spans="1:25" ht="15" x14ac:dyDescent="0.25">
      <c r="A910" s="11">
        <v>7</v>
      </c>
      <c r="B910" s="11" t="s">
        <v>2497</v>
      </c>
      <c r="C910" s="11">
        <v>0.67</v>
      </c>
      <c r="D910" s="11">
        <v>1.4</v>
      </c>
      <c r="E910" s="11">
        <v>0.7</v>
      </c>
      <c r="F910" s="11">
        <v>1.2</v>
      </c>
      <c r="G910" s="11">
        <v>1.9</v>
      </c>
      <c r="H910" s="11">
        <v>0.7</v>
      </c>
      <c r="I910" s="11">
        <v>1.7</v>
      </c>
      <c r="J910" s="11">
        <v>1.2</v>
      </c>
      <c r="K910" s="29">
        <v>13.3</v>
      </c>
      <c r="L910" s="29">
        <v>2.2999999999999998</v>
      </c>
      <c r="M910" s="29">
        <v>5.92</v>
      </c>
      <c r="N910" s="29">
        <v>0.75</v>
      </c>
      <c r="O910" s="11"/>
      <c r="P910" s="11"/>
      <c r="Q910" s="199"/>
      <c r="R910" s="58"/>
      <c r="S910" s="58"/>
      <c r="T910" s="58"/>
      <c r="U910" s="58"/>
      <c r="V910" s="58"/>
      <c r="W910" s="58"/>
      <c r="X910" s="58"/>
      <c r="Y910" s="58"/>
    </row>
    <row r="911" spans="1:25" ht="15" x14ac:dyDescent="0.25">
      <c r="A911" s="11">
        <v>8</v>
      </c>
      <c r="B911" s="11" t="s">
        <v>2498</v>
      </c>
      <c r="C911" s="11">
        <v>0.8</v>
      </c>
      <c r="D911" s="11">
        <v>1.4</v>
      </c>
      <c r="E911" s="11">
        <v>0.73</v>
      </c>
      <c r="F911" s="11">
        <v>1.2</v>
      </c>
      <c r="G911" s="11">
        <v>1.91</v>
      </c>
      <c r="H911" s="11">
        <v>0.73</v>
      </c>
      <c r="I911" s="11">
        <v>1.68</v>
      </c>
      <c r="J911" s="11">
        <v>1.2</v>
      </c>
      <c r="K911" s="29">
        <v>13.3</v>
      </c>
      <c r="L911" s="29">
        <v>2.2999999999999998</v>
      </c>
      <c r="M911" s="29">
        <v>5.52</v>
      </c>
      <c r="N911" s="29">
        <v>0.75</v>
      </c>
      <c r="O911" s="11"/>
      <c r="P911" s="11"/>
      <c r="Q911" s="199"/>
      <c r="R911" s="58"/>
      <c r="S911" s="58"/>
      <c r="T911" s="58"/>
      <c r="U911" s="58"/>
      <c r="V911" s="58"/>
      <c r="W911" s="58"/>
      <c r="X911" s="58"/>
      <c r="Y911" s="58"/>
    </row>
    <row r="912" spans="1:25" ht="15" x14ac:dyDescent="0.25">
      <c r="A912" s="11"/>
      <c r="B912" s="11"/>
      <c r="C912" s="11"/>
      <c r="D912" s="11"/>
      <c r="E912" s="11"/>
      <c r="F912" s="11"/>
      <c r="G912" s="11"/>
      <c r="H912" s="11"/>
      <c r="I912" s="11"/>
      <c r="J912" s="11"/>
      <c r="K912" s="11"/>
      <c r="L912" s="11"/>
      <c r="M912" s="11"/>
      <c r="N912" s="62"/>
      <c r="O912" s="62"/>
      <c r="P912" s="62"/>
      <c r="Q912" s="62"/>
      <c r="R912" s="42"/>
      <c r="S912" s="42"/>
      <c r="U912" s="42"/>
      <c r="V912" s="58"/>
      <c r="W912" s="58"/>
      <c r="X912" s="58"/>
      <c r="Y912" s="58"/>
    </row>
    <row r="913" spans="1:25" ht="15.75" x14ac:dyDescent="0.25">
      <c r="A913" s="11"/>
      <c r="B913" s="31"/>
      <c r="C913" s="11"/>
      <c r="D913" s="31" t="s">
        <v>3870</v>
      </c>
      <c r="E913" s="11"/>
      <c r="F913" s="11"/>
      <c r="G913" s="11"/>
      <c r="H913" s="11"/>
      <c r="I913" s="11"/>
      <c r="J913" s="11"/>
      <c r="K913" s="11"/>
      <c r="L913" s="11"/>
      <c r="M913" s="11"/>
      <c r="N913" s="62"/>
      <c r="O913" s="62"/>
      <c r="P913" s="62"/>
      <c r="Q913" s="62"/>
      <c r="R913" s="42"/>
      <c r="S913" s="42"/>
      <c r="U913" s="42"/>
      <c r="V913" s="58"/>
      <c r="W913" s="58"/>
      <c r="X913" s="58"/>
      <c r="Y913" s="58"/>
    </row>
    <row r="914" spans="1:25" ht="15" x14ac:dyDescent="0.25">
      <c r="A914" s="11"/>
      <c r="B914" s="11"/>
      <c r="C914" s="11"/>
      <c r="D914" s="11"/>
      <c r="E914" s="17">
        <v>1</v>
      </c>
      <c r="F914" s="17">
        <v>2</v>
      </c>
      <c r="G914" s="17">
        <v>3</v>
      </c>
      <c r="H914" s="17">
        <v>4</v>
      </c>
      <c r="I914" s="17">
        <v>5</v>
      </c>
      <c r="J914" s="17">
        <v>6</v>
      </c>
      <c r="K914" s="17">
        <v>7</v>
      </c>
      <c r="L914" s="17">
        <v>8</v>
      </c>
      <c r="M914" s="11"/>
      <c r="N914" s="62"/>
      <c r="O914" s="62"/>
      <c r="P914" s="62"/>
      <c r="Q914" s="62"/>
      <c r="R914" s="42"/>
      <c r="S914" s="42"/>
      <c r="U914" s="42"/>
      <c r="V914" s="58"/>
      <c r="W914" s="58"/>
      <c r="X914" s="58"/>
      <c r="Y914" s="58"/>
    </row>
    <row r="915" spans="1:25" ht="15" x14ac:dyDescent="0.25">
      <c r="A915" s="11"/>
      <c r="B915" s="11"/>
      <c r="C915" s="11"/>
      <c r="D915" s="11"/>
      <c r="E915" s="17" t="s">
        <v>2593</v>
      </c>
      <c r="F915" s="17" t="s">
        <v>47</v>
      </c>
      <c r="G915" s="17" t="s">
        <v>2493</v>
      </c>
      <c r="H915" s="17" t="s">
        <v>2494</v>
      </c>
      <c r="I915" s="17" t="s">
        <v>2495</v>
      </c>
      <c r="J915" s="17" t="s">
        <v>2496</v>
      </c>
      <c r="K915" s="17" t="s">
        <v>2497</v>
      </c>
      <c r="L915" s="17" t="s">
        <v>2498</v>
      </c>
      <c r="M915" s="11"/>
      <c r="N915" s="62"/>
      <c r="O915" s="62"/>
      <c r="P915" s="62"/>
      <c r="Q915" s="62"/>
      <c r="R915" s="42"/>
      <c r="S915" s="42"/>
      <c r="U915" s="42"/>
      <c r="V915" s="58"/>
      <c r="W915" s="58"/>
      <c r="X915" s="58"/>
      <c r="Y915" s="58"/>
    </row>
    <row r="916" spans="1:25" ht="15.75" x14ac:dyDescent="0.3">
      <c r="A916" s="11"/>
      <c r="B916" s="4561" t="s">
        <v>4006</v>
      </c>
      <c r="C916" s="4562"/>
      <c r="D916" s="17" t="s">
        <v>1744</v>
      </c>
      <c r="E916" s="17">
        <v>0.33</v>
      </c>
      <c r="F916" s="17">
        <v>0.33</v>
      </c>
      <c r="G916" s="17">
        <v>0.41</v>
      </c>
      <c r="H916" s="17">
        <v>0.41</v>
      </c>
      <c r="I916" s="17">
        <v>0.41</v>
      </c>
      <c r="J916" s="17">
        <v>0.56999999999999995</v>
      </c>
      <c r="K916" s="17">
        <v>0.56999999999999995</v>
      </c>
      <c r="L916" s="17">
        <v>0.56999999999999995</v>
      </c>
      <c r="M916" s="11"/>
      <c r="N916" s="62"/>
      <c r="O916" s="62"/>
      <c r="P916" s="62"/>
      <c r="Q916" s="62"/>
      <c r="R916" s="42"/>
      <c r="S916" s="42"/>
      <c r="U916" s="42"/>
      <c r="V916" s="58"/>
      <c r="W916" s="58"/>
      <c r="X916" s="58"/>
      <c r="Y916" s="58"/>
    </row>
    <row r="917" spans="1:25" ht="15.75" x14ac:dyDescent="0.3">
      <c r="A917" s="11"/>
      <c r="B917" s="4563"/>
      <c r="C917" s="4539"/>
      <c r="D917" s="17" t="s">
        <v>1745</v>
      </c>
      <c r="E917" s="17">
        <v>0.41</v>
      </c>
      <c r="F917" s="17">
        <v>0.41</v>
      </c>
      <c r="G917" s="17">
        <v>0.49</v>
      </c>
      <c r="H917" s="17">
        <v>0.49</v>
      </c>
      <c r="I917" s="17">
        <v>0.49</v>
      </c>
      <c r="J917" s="17">
        <v>0.61599999999999999</v>
      </c>
      <c r="K917" s="17">
        <v>0.61499999999999999</v>
      </c>
      <c r="L917" s="17">
        <v>0.61499999999999999</v>
      </c>
      <c r="M917" s="11"/>
      <c r="N917" s="62"/>
      <c r="O917" s="62"/>
      <c r="P917" s="62"/>
      <c r="Q917" s="62"/>
      <c r="R917" s="42"/>
      <c r="S917" s="42"/>
      <c r="U917" s="42"/>
      <c r="V917" s="58"/>
      <c r="W917" s="58"/>
      <c r="X917" s="58"/>
      <c r="Y917" s="58"/>
    </row>
    <row r="918" spans="1:25" ht="15.75" x14ac:dyDescent="0.3">
      <c r="A918" s="11"/>
      <c r="B918" s="4564"/>
      <c r="C918" s="4565"/>
      <c r="D918" s="17" t="s">
        <v>1746</v>
      </c>
      <c r="E918" s="17">
        <v>0.49</v>
      </c>
      <c r="F918" s="17">
        <v>0.49</v>
      </c>
      <c r="G918" s="17"/>
      <c r="H918" s="17"/>
      <c r="I918" s="17">
        <v>0.56999999999999995</v>
      </c>
      <c r="J918" s="17"/>
      <c r="K918" s="17"/>
      <c r="L918" s="17">
        <v>0.66</v>
      </c>
      <c r="M918" s="11"/>
      <c r="N918" s="62"/>
      <c r="O918" s="62"/>
      <c r="P918" s="62"/>
      <c r="Q918" s="62"/>
      <c r="R918" s="42"/>
      <c r="S918" s="42"/>
      <c r="U918" s="42"/>
      <c r="V918" s="58"/>
      <c r="W918" s="58"/>
      <c r="X918" s="58"/>
      <c r="Y918" s="58"/>
    </row>
    <row r="919" spans="1:25" ht="15.75" x14ac:dyDescent="0.3">
      <c r="A919" s="11"/>
      <c r="B919" s="4561" t="s">
        <v>5290</v>
      </c>
      <c r="C919" s="4562"/>
      <c r="D919" s="17" t="s">
        <v>1744</v>
      </c>
      <c r="E919" s="17">
        <v>0.06</v>
      </c>
      <c r="F919" s="17">
        <v>0.06</v>
      </c>
      <c r="G919" s="17">
        <v>0.1</v>
      </c>
      <c r="H919" s="17">
        <v>0.11</v>
      </c>
      <c r="I919" s="17">
        <v>0.11</v>
      </c>
      <c r="J919" s="17">
        <v>0.115</v>
      </c>
      <c r="K919" s="17">
        <v>0.115</v>
      </c>
      <c r="L919" s="17">
        <v>0.16</v>
      </c>
      <c r="M919" s="11"/>
      <c r="N919" s="62"/>
      <c r="O919" s="62"/>
      <c r="P919" s="62"/>
      <c r="Q919" s="62"/>
      <c r="R919" s="42"/>
      <c r="S919" s="42"/>
      <c r="U919" s="42"/>
      <c r="V919" s="58"/>
      <c r="W919" s="58"/>
      <c r="X919" s="58"/>
      <c r="Y919" s="58"/>
    </row>
    <row r="920" spans="1:25" ht="15.75" x14ac:dyDescent="0.3">
      <c r="A920" s="11"/>
      <c r="B920" s="4563"/>
      <c r="C920" s="4539"/>
      <c r="D920" s="17" t="s">
        <v>1745</v>
      </c>
      <c r="E920" s="17">
        <v>8.5000000000000006E-2</v>
      </c>
      <c r="F920" s="17">
        <v>8.5000000000000006E-2</v>
      </c>
      <c r="G920" s="17">
        <v>0.115</v>
      </c>
      <c r="H920" s="17">
        <v>0.15</v>
      </c>
      <c r="I920" s="17">
        <v>0.15</v>
      </c>
      <c r="J920" s="17">
        <v>0.12</v>
      </c>
      <c r="K920" s="17">
        <v>0.12</v>
      </c>
      <c r="L920" s="17">
        <v>0.18</v>
      </c>
      <c r="M920" s="11"/>
      <c r="N920" s="62"/>
      <c r="O920" s="62"/>
      <c r="P920" s="62"/>
      <c r="Q920" s="62"/>
      <c r="R920" s="42"/>
      <c r="S920" s="42"/>
      <c r="U920" s="42"/>
      <c r="V920" s="58"/>
      <c r="W920" s="58"/>
      <c r="X920" s="58"/>
      <c r="Y920" s="58"/>
    </row>
    <row r="921" spans="1:25" ht="15.75" x14ac:dyDescent="0.3">
      <c r="A921" s="11"/>
      <c r="B921" s="4564"/>
      <c r="C921" s="4565"/>
      <c r="D921" s="17" t="s">
        <v>1746</v>
      </c>
      <c r="E921" s="17">
        <v>0.1</v>
      </c>
      <c r="F921" s="17">
        <v>0.1</v>
      </c>
      <c r="G921" s="17"/>
      <c r="H921" s="17"/>
      <c r="I921" s="17">
        <v>0.19500000000000001</v>
      </c>
      <c r="J921" s="17"/>
      <c r="K921" s="17"/>
      <c r="L921" s="17">
        <v>0.21</v>
      </c>
      <c r="M921" s="11"/>
      <c r="N921" s="62"/>
      <c r="O921" s="62"/>
      <c r="P921" s="62"/>
      <c r="Q921" s="62"/>
      <c r="R921" s="42"/>
      <c r="S921" s="42"/>
      <c r="U921" s="42"/>
      <c r="V921" s="58"/>
      <c r="W921" s="58"/>
      <c r="X921" s="58"/>
      <c r="Y921" s="58"/>
    </row>
    <row r="922" spans="1:25" ht="20.25" x14ac:dyDescent="0.35">
      <c r="A922" s="11"/>
      <c r="B922" s="4350" t="s">
        <v>4379</v>
      </c>
      <c r="C922" s="4352"/>
      <c r="D922" s="724" t="s">
        <v>5291</v>
      </c>
      <c r="E922" s="71">
        <v>0</v>
      </c>
      <c r="F922" s="71">
        <v>0</v>
      </c>
      <c r="G922" s="71">
        <v>-5</v>
      </c>
      <c r="H922" s="71">
        <v>-5</v>
      </c>
      <c r="I922" s="71">
        <v>-5</v>
      </c>
      <c r="J922" s="71">
        <v>-5</v>
      </c>
      <c r="K922" s="71">
        <v>-5</v>
      </c>
      <c r="L922" s="71">
        <v>-5</v>
      </c>
      <c r="M922" s="11"/>
      <c r="N922" s="62"/>
      <c r="O922" s="62"/>
      <c r="P922" s="62"/>
      <c r="Q922" s="62"/>
      <c r="R922" s="42"/>
      <c r="S922" s="42"/>
      <c r="U922" s="42"/>
      <c r="V922" s="58"/>
      <c r="W922" s="58"/>
      <c r="X922" s="58"/>
      <c r="Y922" s="58"/>
    </row>
    <row r="923" spans="1:25" ht="15.75" x14ac:dyDescent="0.3">
      <c r="A923" s="11"/>
      <c r="B923" s="191" t="s">
        <v>5292</v>
      </c>
      <c r="C923" s="203"/>
      <c r="D923" s="33"/>
      <c r="E923" s="71">
        <v>180</v>
      </c>
      <c r="F923" s="71">
        <v>180</v>
      </c>
      <c r="G923" s="71">
        <v>300</v>
      </c>
      <c r="H923" s="71">
        <v>300</v>
      </c>
      <c r="I923" s="71">
        <v>180</v>
      </c>
      <c r="J923" s="71">
        <v>500</v>
      </c>
      <c r="K923" s="71">
        <v>500</v>
      </c>
      <c r="L923" s="71">
        <v>500</v>
      </c>
      <c r="M923" s="11"/>
      <c r="N923" s="62"/>
      <c r="O923" s="62"/>
      <c r="P923" s="62"/>
      <c r="Q923" s="62"/>
      <c r="R923" s="42"/>
      <c r="S923" s="42"/>
      <c r="U923" s="42"/>
      <c r="V923" s="58"/>
      <c r="W923" s="58"/>
      <c r="X923" s="58"/>
      <c r="Y923" s="58"/>
    </row>
    <row r="924" spans="1:25" ht="15" x14ac:dyDescent="0.25">
      <c r="A924" s="11"/>
      <c r="B924" s="11"/>
      <c r="C924" s="11"/>
      <c r="D924" s="11"/>
      <c r="E924" s="11"/>
      <c r="F924" s="11"/>
      <c r="G924" s="11"/>
      <c r="H924" s="11"/>
      <c r="I924" s="11"/>
      <c r="J924" s="11"/>
      <c r="K924" s="11"/>
      <c r="L924" s="11"/>
      <c r="M924" s="11"/>
      <c r="N924" s="62"/>
      <c r="O924" s="62"/>
      <c r="P924" s="62"/>
      <c r="Q924" s="62"/>
      <c r="R924" s="42"/>
      <c r="S924" s="42"/>
      <c r="U924" s="42"/>
      <c r="V924" s="58"/>
      <c r="W924" s="58"/>
      <c r="X924" s="58"/>
      <c r="Y924" s="58"/>
    </row>
    <row r="925" spans="1:25" ht="15.75" x14ac:dyDescent="0.25">
      <c r="A925" s="11"/>
      <c r="B925" s="31" t="s">
        <v>4276</v>
      </c>
      <c r="C925" s="11"/>
      <c r="D925" s="11"/>
      <c r="E925" s="11"/>
      <c r="F925" s="11"/>
      <c r="G925" s="11"/>
      <c r="H925" s="11"/>
      <c r="I925" s="11"/>
      <c r="J925" s="11"/>
      <c r="K925" s="11"/>
      <c r="L925" s="11"/>
      <c r="M925" s="11"/>
      <c r="N925" s="11"/>
      <c r="O925" s="11"/>
      <c r="P925" s="11"/>
      <c r="Q925" s="11"/>
      <c r="V925" s="58"/>
      <c r="W925" s="58"/>
      <c r="X925" s="58"/>
      <c r="Y925" s="58"/>
    </row>
    <row r="926" spans="1:25" ht="15" x14ac:dyDescent="0.25">
      <c r="A926" s="175" t="s">
        <v>1863</v>
      </c>
      <c r="B926" s="17">
        <v>1</v>
      </c>
      <c r="C926" s="17">
        <v>2</v>
      </c>
      <c r="D926" s="17">
        <v>3</v>
      </c>
      <c r="E926" s="17">
        <v>4</v>
      </c>
      <c r="F926" s="17">
        <v>5</v>
      </c>
      <c r="G926" s="17">
        <v>6</v>
      </c>
      <c r="H926" s="17">
        <v>7</v>
      </c>
      <c r="I926" s="17">
        <v>8</v>
      </c>
      <c r="J926" s="17">
        <v>9</v>
      </c>
      <c r="K926" s="17">
        <v>10</v>
      </c>
      <c r="L926" s="17">
        <v>11</v>
      </c>
      <c r="M926" s="17">
        <v>12</v>
      </c>
      <c r="N926" s="17">
        <v>13</v>
      </c>
      <c r="O926" s="17">
        <v>14</v>
      </c>
      <c r="P926" s="17">
        <v>15</v>
      </c>
      <c r="Q926" s="17">
        <v>16</v>
      </c>
      <c r="R926" s="5">
        <v>17</v>
      </c>
      <c r="S926" s="5">
        <v>18</v>
      </c>
      <c r="T926" s="5">
        <v>19</v>
      </c>
      <c r="V926" s="58"/>
      <c r="W926" s="58"/>
      <c r="X926" s="58"/>
      <c r="Y926" s="58"/>
    </row>
    <row r="927" spans="1:25" ht="53.25" thickBot="1" x14ac:dyDescent="0.3">
      <c r="A927" s="15"/>
      <c r="B927" s="176" t="s">
        <v>144</v>
      </c>
      <c r="C927" s="177" t="s">
        <v>145</v>
      </c>
      <c r="D927" s="177" t="s">
        <v>146</v>
      </c>
      <c r="E927" s="177" t="s">
        <v>147</v>
      </c>
      <c r="F927" s="177" t="s">
        <v>148</v>
      </c>
      <c r="G927" s="177" t="s">
        <v>149</v>
      </c>
      <c r="H927" s="177" t="s">
        <v>150</v>
      </c>
      <c r="I927" s="178" t="s">
        <v>150</v>
      </c>
      <c r="J927" s="177" t="s">
        <v>151</v>
      </c>
      <c r="K927" s="179" t="s">
        <v>152</v>
      </c>
      <c r="L927" s="176" t="s">
        <v>153</v>
      </c>
      <c r="M927" s="177" t="s">
        <v>154</v>
      </c>
      <c r="N927" s="177" t="s">
        <v>155</v>
      </c>
      <c r="O927" s="177" t="s">
        <v>156</v>
      </c>
      <c r="P927" s="177" t="s">
        <v>157</v>
      </c>
      <c r="Q927" s="177" t="s">
        <v>158</v>
      </c>
      <c r="R927" s="50" t="s">
        <v>159</v>
      </c>
      <c r="S927" s="50" t="s">
        <v>3622</v>
      </c>
      <c r="T927" s="51" t="s">
        <v>3623</v>
      </c>
      <c r="U927" s="44"/>
      <c r="V927" s="58"/>
      <c r="W927" s="58"/>
      <c r="X927" s="58"/>
      <c r="Y927" s="58"/>
    </row>
    <row r="928" spans="1:25" ht="15.75" thickBot="1" x14ac:dyDescent="0.3">
      <c r="A928" s="15"/>
      <c r="B928" s="180"/>
      <c r="C928" s="181"/>
      <c r="D928" s="181"/>
      <c r="E928" s="181"/>
      <c r="F928" s="181"/>
      <c r="G928" s="181"/>
      <c r="H928" s="181"/>
      <c r="I928" s="181"/>
      <c r="J928" s="181"/>
      <c r="K928" s="182"/>
      <c r="L928" s="180"/>
      <c r="M928" s="181"/>
      <c r="N928" s="181"/>
      <c r="O928" s="181"/>
      <c r="P928" s="181"/>
      <c r="Q928" s="181"/>
      <c r="R928" s="52"/>
      <c r="S928" s="52"/>
      <c r="T928" s="53"/>
      <c r="U928" s="44"/>
      <c r="V928" s="58"/>
      <c r="W928" s="58"/>
      <c r="X928" s="58"/>
      <c r="Y928" s="58"/>
    </row>
    <row r="929" spans="1:25" ht="15" x14ac:dyDescent="0.25">
      <c r="A929" s="183" t="s">
        <v>3984</v>
      </c>
      <c r="B929" s="184">
        <v>170</v>
      </c>
      <c r="C929" s="75">
        <v>250</v>
      </c>
      <c r="D929" s="75">
        <v>400</v>
      </c>
      <c r="E929" s="75">
        <v>400</v>
      </c>
      <c r="F929" s="75">
        <v>360</v>
      </c>
      <c r="G929" s="75">
        <v>500</v>
      </c>
      <c r="H929" s="75">
        <v>400</v>
      </c>
      <c r="I929" s="75">
        <v>600</v>
      </c>
      <c r="J929" s="75">
        <v>600</v>
      </c>
      <c r="K929" s="75">
        <v>400</v>
      </c>
      <c r="L929" s="184">
        <v>265</v>
      </c>
      <c r="M929" s="75">
        <v>600</v>
      </c>
      <c r="N929" s="75">
        <v>800</v>
      </c>
      <c r="O929" s="75">
        <v>800</v>
      </c>
      <c r="P929" s="75">
        <v>100</v>
      </c>
      <c r="Q929" s="75">
        <v>250</v>
      </c>
      <c r="R929" s="7">
        <v>225</v>
      </c>
      <c r="S929" s="7">
        <v>260</v>
      </c>
      <c r="T929" s="7">
        <v>450</v>
      </c>
      <c r="U929" s="43"/>
      <c r="V929" s="58"/>
      <c r="W929" s="58"/>
      <c r="X929" s="58"/>
      <c r="Y929" s="58"/>
    </row>
    <row r="930" spans="1:25" ht="15" x14ac:dyDescent="0.25">
      <c r="A930" s="185" t="s">
        <v>3985</v>
      </c>
      <c r="B930" s="33">
        <v>0.94</v>
      </c>
      <c r="C930" s="17">
        <v>0.85</v>
      </c>
      <c r="D930" s="17">
        <v>0.94</v>
      </c>
      <c r="E930" s="17">
        <v>0.87</v>
      </c>
      <c r="F930" s="17">
        <v>0.85</v>
      </c>
      <c r="G930" s="17">
        <v>0.94</v>
      </c>
      <c r="H930" s="17">
        <v>0.85</v>
      </c>
      <c r="I930" s="17">
        <v>0.85</v>
      </c>
      <c r="J930" s="17">
        <v>0.94</v>
      </c>
      <c r="K930" s="17">
        <v>0.85</v>
      </c>
      <c r="L930" s="33">
        <v>0.85</v>
      </c>
      <c r="M930" s="17">
        <v>0.92</v>
      </c>
      <c r="N930" s="17">
        <v>0.94</v>
      </c>
      <c r="O930" s="17">
        <v>0.94</v>
      </c>
      <c r="P930" s="17">
        <v>0.85</v>
      </c>
      <c r="Q930" s="17">
        <v>0.85</v>
      </c>
      <c r="R930" s="5">
        <v>0.86</v>
      </c>
      <c r="S930" s="5">
        <v>0.85</v>
      </c>
      <c r="T930" s="5">
        <v>0.85</v>
      </c>
      <c r="U930" s="43"/>
      <c r="V930" s="58"/>
      <c r="W930" s="58"/>
      <c r="X930" s="58"/>
      <c r="Y930" s="58"/>
    </row>
    <row r="931" spans="1:25" ht="15" x14ac:dyDescent="0.25">
      <c r="A931" s="204"/>
      <c r="B931" s="33"/>
      <c r="C931" s="17"/>
      <c r="D931" s="17"/>
      <c r="E931" s="17"/>
      <c r="F931" s="17"/>
      <c r="G931" s="17"/>
      <c r="H931" s="17"/>
      <c r="I931" s="17"/>
      <c r="J931" s="17"/>
      <c r="K931" s="17"/>
      <c r="L931" s="33"/>
      <c r="M931" s="17"/>
      <c r="N931" s="17"/>
      <c r="O931" s="17"/>
      <c r="P931" s="17"/>
      <c r="Q931" s="17"/>
      <c r="R931" s="5"/>
      <c r="S931" s="5"/>
      <c r="T931" s="5"/>
      <c r="U931" s="43"/>
      <c r="V931" s="58"/>
      <c r="W931" s="58"/>
      <c r="X931" s="58"/>
      <c r="Y931" s="58"/>
    </row>
    <row r="932" spans="1:25" ht="15.75" thickBot="1" x14ac:dyDescent="0.3">
      <c r="A932" s="84" t="s">
        <v>3986</v>
      </c>
      <c r="B932" s="186">
        <v>0.8</v>
      </c>
      <c r="C932" s="80">
        <v>1.1200000000000001</v>
      </c>
      <c r="D932" s="80">
        <v>1.25</v>
      </c>
      <c r="E932" s="80">
        <v>1.25</v>
      </c>
      <c r="F932" s="80">
        <v>1.1200000000000001</v>
      </c>
      <c r="G932" s="80">
        <v>1.25</v>
      </c>
      <c r="H932" s="80">
        <v>1.1200000000000001</v>
      </c>
      <c r="I932" s="17">
        <v>1.25</v>
      </c>
      <c r="J932" s="80">
        <v>1.25</v>
      </c>
      <c r="K932" s="80">
        <v>1</v>
      </c>
      <c r="L932" s="186">
        <v>0.9</v>
      </c>
      <c r="M932" s="80">
        <v>1.1000000000000001</v>
      </c>
      <c r="N932" s="80">
        <v>1.25</v>
      </c>
      <c r="O932" s="80">
        <v>1.4</v>
      </c>
      <c r="P932" s="80">
        <v>0.64</v>
      </c>
      <c r="Q932" s="80">
        <v>1.1200000000000001</v>
      </c>
      <c r="R932" s="40">
        <v>1.1000000000000001</v>
      </c>
      <c r="S932" s="40">
        <v>1</v>
      </c>
      <c r="T932" s="40">
        <v>1</v>
      </c>
      <c r="U932" s="43"/>
      <c r="V932" s="58"/>
      <c r="W932" s="58"/>
      <c r="X932" s="58"/>
      <c r="Y932" s="58"/>
    </row>
    <row r="933" spans="1:25" ht="15" x14ac:dyDescent="0.25">
      <c r="A933" s="11"/>
      <c r="B933" s="11"/>
      <c r="C933" s="11"/>
      <c r="D933" s="11"/>
      <c r="E933" s="11"/>
      <c r="F933" s="11"/>
      <c r="G933" s="11"/>
      <c r="H933" s="11"/>
      <c r="I933" s="11"/>
      <c r="J933" s="11"/>
      <c r="K933" s="11"/>
      <c r="L933" s="11"/>
      <c r="M933" s="11"/>
      <c r="N933" s="11"/>
      <c r="O933" s="11"/>
      <c r="P933" s="11"/>
      <c r="Q933" s="11"/>
      <c r="V933" s="58"/>
      <c r="W933" s="58"/>
      <c r="X933" s="58"/>
      <c r="Y933" s="58"/>
    </row>
    <row r="934" spans="1:25" ht="15" x14ac:dyDescent="0.25">
      <c r="A934" s="11"/>
      <c r="B934" s="11"/>
      <c r="C934" s="11"/>
      <c r="D934" s="11"/>
      <c r="E934" s="11"/>
      <c r="F934" s="11"/>
      <c r="G934" s="11"/>
      <c r="H934" s="11"/>
      <c r="I934" s="11"/>
      <c r="J934" s="11"/>
      <c r="K934" s="11"/>
      <c r="L934" s="11"/>
      <c r="M934" s="11"/>
      <c r="N934" s="11"/>
      <c r="O934" s="11"/>
      <c r="P934" s="11"/>
      <c r="Q934" s="11"/>
      <c r="V934" s="58"/>
      <c r="W934" s="58"/>
      <c r="X934" s="58"/>
      <c r="Y934" s="58"/>
    </row>
    <row r="935" spans="1:25" ht="15.75" x14ac:dyDescent="0.25">
      <c r="A935" s="11"/>
      <c r="B935" s="31" t="s">
        <v>5482</v>
      </c>
      <c r="C935" s="11"/>
      <c r="D935" s="11"/>
      <c r="E935" s="11"/>
      <c r="F935" s="11"/>
      <c r="G935" s="11"/>
      <c r="H935" s="11"/>
      <c r="I935" s="11"/>
      <c r="J935" s="11"/>
      <c r="K935" s="11"/>
      <c r="L935" s="11"/>
      <c r="M935" s="11"/>
      <c r="N935" s="11"/>
      <c r="O935" s="11"/>
      <c r="P935" s="11"/>
      <c r="Q935" s="11"/>
      <c r="V935" s="58"/>
      <c r="W935" s="58"/>
      <c r="X935" s="58"/>
      <c r="Y935" s="58"/>
    </row>
    <row r="936" spans="1:25" ht="15" x14ac:dyDescent="0.25">
      <c r="A936" s="4476" t="s">
        <v>1863</v>
      </c>
      <c r="B936" s="4477"/>
      <c r="C936" s="17">
        <v>1</v>
      </c>
      <c r="D936" s="17">
        <v>2</v>
      </c>
      <c r="E936" s="17">
        <v>3</v>
      </c>
      <c r="F936" s="17">
        <v>4</v>
      </c>
      <c r="G936" s="17">
        <v>5</v>
      </c>
      <c r="H936" s="17">
        <v>6</v>
      </c>
      <c r="I936" s="17">
        <v>7</v>
      </c>
      <c r="J936" s="17">
        <v>8</v>
      </c>
      <c r="K936" s="17">
        <v>9</v>
      </c>
      <c r="L936" s="17">
        <v>10</v>
      </c>
      <c r="M936" s="175">
        <v>11</v>
      </c>
      <c r="N936" s="65">
        <v>12</v>
      </c>
      <c r="O936" s="65">
        <v>13</v>
      </c>
      <c r="P936" s="17">
        <v>14</v>
      </c>
      <c r="Q936" s="175">
        <v>15</v>
      </c>
      <c r="R936" s="47"/>
      <c r="S936" s="4490"/>
      <c r="T936" s="4490"/>
      <c r="V936" s="58"/>
      <c r="W936" s="58"/>
      <c r="X936" s="58"/>
      <c r="Y936" s="58"/>
    </row>
    <row r="937" spans="1:25" ht="15" x14ac:dyDescent="0.25">
      <c r="A937" s="4499" t="s">
        <v>3987</v>
      </c>
      <c r="B937" s="4500"/>
      <c r="C937" s="4476" t="s">
        <v>3457</v>
      </c>
      <c r="D937" s="4478"/>
      <c r="E937" s="4478"/>
      <c r="F937" s="4478"/>
      <c r="G937" s="4478"/>
      <c r="H937" s="4478"/>
      <c r="I937" s="4478"/>
      <c r="J937" s="4478"/>
      <c r="K937" s="4478"/>
      <c r="L937" s="4478"/>
      <c r="M937" s="4478"/>
      <c r="N937" s="4478"/>
      <c r="O937" s="4478"/>
      <c r="P937" s="4478"/>
      <c r="Q937" s="4477"/>
      <c r="R937" s="54"/>
      <c r="S937" s="47"/>
      <c r="T937" s="47"/>
      <c r="U937" s="1"/>
      <c r="V937" s="58"/>
      <c r="W937" s="58"/>
      <c r="X937" s="58"/>
      <c r="Y937" s="58"/>
    </row>
    <row r="938" spans="1:25" ht="15" x14ac:dyDescent="0.25">
      <c r="A938" s="4501"/>
      <c r="B938" s="4502"/>
      <c r="C938" s="190" t="s">
        <v>3624</v>
      </c>
      <c r="D938" s="190" t="s">
        <v>3624</v>
      </c>
      <c r="E938" s="190" t="s">
        <v>3625</v>
      </c>
      <c r="F938" s="190" t="s">
        <v>3625</v>
      </c>
      <c r="G938" s="190" t="s">
        <v>3626</v>
      </c>
      <c r="H938" s="190" t="s">
        <v>3626</v>
      </c>
      <c r="I938" s="190" t="s">
        <v>3627</v>
      </c>
      <c r="J938" s="190" t="s">
        <v>3627</v>
      </c>
      <c r="K938" s="190" t="s">
        <v>2781</v>
      </c>
      <c r="L938" s="190" t="s">
        <v>2781</v>
      </c>
      <c r="M938" s="190" t="s">
        <v>2782</v>
      </c>
      <c r="N938" s="190" t="s">
        <v>2783</v>
      </c>
      <c r="O938" s="190" t="s">
        <v>2783</v>
      </c>
      <c r="P938" s="190" t="s">
        <v>2784</v>
      </c>
      <c r="Q938" s="190" t="s">
        <v>1238</v>
      </c>
      <c r="R938" s="55"/>
      <c r="S938" s="1"/>
      <c r="T938" s="55"/>
      <c r="V938" s="58"/>
      <c r="W938" s="58"/>
      <c r="X938" s="58"/>
      <c r="Y938" s="58"/>
    </row>
    <row r="939" spans="1:25" ht="15" x14ac:dyDescent="0.25">
      <c r="A939" s="4501"/>
      <c r="B939" s="4502"/>
      <c r="C939" s="4476" t="s">
        <v>3083</v>
      </c>
      <c r="D939" s="4478"/>
      <c r="E939" s="4478"/>
      <c r="F939" s="4478"/>
      <c r="G939" s="4478"/>
      <c r="H939" s="4478"/>
      <c r="I939" s="4478"/>
      <c r="J939" s="4478"/>
      <c r="K939" s="4478"/>
      <c r="L939" s="4478"/>
      <c r="M939" s="4478"/>
      <c r="N939" s="4478"/>
      <c r="O939" s="4478"/>
      <c r="P939" s="4478"/>
      <c r="Q939" s="4477"/>
      <c r="R939" s="54"/>
      <c r="S939" s="47"/>
      <c r="T939" s="47"/>
      <c r="U939" s="1"/>
      <c r="V939" s="58"/>
      <c r="W939" s="58"/>
      <c r="X939" s="58"/>
      <c r="Y939" s="58"/>
    </row>
    <row r="940" spans="1:25" ht="15" x14ac:dyDescent="0.25">
      <c r="A940" s="4503"/>
      <c r="B940" s="4504"/>
      <c r="C940" s="17">
        <v>1.6</v>
      </c>
      <c r="D940" s="17">
        <v>2</v>
      </c>
      <c r="E940" s="17">
        <v>1.6</v>
      </c>
      <c r="F940" s="17">
        <v>2</v>
      </c>
      <c r="G940" s="17">
        <v>1.6</v>
      </c>
      <c r="H940" s="17">
        <v>2</v>
      </c>
      <c r="I940" s="17">
        <v>1.6</v>
      </c>
      <c r="J940" s="17">
        <v>2</v>
      </c>
      <c r="K940" s="17">
        <v>1.6</v>
      </c>
      <c r="L940" s="17">
        <v>2</v>
      </c>
      <c r="M940" s="175">
        <v>1.6</v>
      </c>
      <c r="N940" s="175">
        <v>1.6</v>
      </c>
      <c r="O940" s="175">
        <v>2</v>
      </c>
      <c r="P940" s="175">
        <v>1.6</v>
      </c>
      <c r="Q940" s="175">
        <v>2.5</v>
      </c>
      <c r="R940" s="47"/>
      <c r="S940" s="1"/>
      <c r="T940" s="1"/>
      <c r="V940" s="58"/>
      <c r="W940" s="58"/>
      <c r="X940" s="58"/>
      <c r="Y940" s="58"/>
    </row>
    <row r="941" spans="1:25" ht="15" x14ac:dyDescent="0.25">
      <c r="A941" s="4476" t="s">
        <v>3988</v>
      </c>
      <c r="B941" s="4477"/>
      <c r="C941" s="17">
        <v>7.2</v>
      </c>
      <c r="D941" s="17">
        <v>9.3000000000000007</v>
      </c>
      <c r="E941" s="17"/>
      <c r="F941" s="17"/>
      <c r="G941" s="17">
        <v>7.2</v>
      </c>
      <c r="H941" s="17">
        <v>9.3000000000000007</v>
      </c>
      <c r="I941" s="17"/>
      <c r="J941" s="17"/>
      <c r="K941" s="17">
        <v>7.2</v>
      </c>
      <c r="L941" s="17">
        <v>9.4</v>
      </c>
      <c r="M941" s="175">
        <v>11.2</v>
      </c>
      <c r="N941" s="175"/>
      <c r="O941" s="11"/>
      <c r="P941" s="175">
        <v>10.6</v>
      </c>
      <c r="Q941" s="175">
        <v>15.7</v>
      </c>
      <c r="R941" s="47"/>
      <c r="S941" s="1"/>
      <c r="T941" s="47"/>
      <c r="V941" s="58"/>
      <c r="W941" s="58"/>
      <c r="X941" s="58"/>
      <c r="Y941" s="58"/>
    </row>
    <row r="942" spans="1:25" ht="15" x14ac:dyDescent="0.25">
      <c r="A942" s="4476" t="s">
        <v>3989</v>
      </c>
      <c r="B942" s="4477"/>
      <c r="C942" s="17">
        <v>6.5</v>
      </c>
      <c r="D942" s="17">
        <v>8.4</v>
      </c>
      <c r="E942" s="17">
        <v>6.5</v>
      </c>
      <c r="F942" s="17">
        <v>8.4</v>
      </c>
      <c r="G942" s="17">
        <v>6.5</v>
      </c>
      <c r="H942" s="17">
        <v>8.4</v>
      </c>
      <c r="I942" s="17">
        <v>6.5</v>
      </c>
      <c r="J942" s="17">
        <v>8.4</v>
      </c>
      <c r="K942" s="17">
        <v>6.5</v>
      </c>
      <c r="L942" s="17">
        <v>8.4</v>
      </c>
      <c r="M942" s="191"/>
      <c r="N942" s="17">
        <v>10.1</v>
      </c>
      <c r="O942" s="17">
        <v>15.7</v>
      </c>
      <c r="P942" s="11"/>
      <c r="Q942" s="65"/>
      <c r="R942" s="43"/>
      <c r="S942" s="4389"/>
      <c r="T942" s="4389"/>
      <c r="V942" s="58"/>
      <c r="W942" s="58"/>
      <c r="X942" s="58"/>
      <c r="Y942" s="58"/>
    </row>
    <row r="943" spans="1:25" ht="15" x14ac:dyDescent="0.25">
      <c r="A943" s="4476" t="s">
        <v>3990</v>
      </c>
      <c r="B943" s="4477"/>
      <c r="C943" s="17">
        <v>500</v>
      </c>
      <c r="D943" s="17">
        <v>500</v>
      </c>
      <c r="E943" s="17">
        <v>500</v>
      </c>
      <c r="F943" s="17">
        <v>500</v>
      </c>
      <c r="G943" s="17">
        <v>500</v>
      </c>
      <c r="H943" s="17">
        <v>500</v>
      </c>
      <c r="I943" s="17">
        <v>500</v>
      </c>
      <c r="J943" s="17">
        <v>500</v>
      </c>
      <c r="K943" s="17">
        <v>1000</v>
      </c>
      <c r="L943" s="17">
        <v>1000</v>
      </c>
      <c r="M943" s="65">
        <v>1000</v>
      </c>
      <c r="N943" s="17">
        <v>1000</v>
      </c>
      <c r="O943" s="17">
        <v>1000</v>
      </c>
      <c r="P943" s="65">
        <v>1000</v>
      </c>
      <c r="Q943" s="65">
        <v>1000</v>
      </c>
      <c r="R943" s="43"/>
      <c r="S943" s="1"/>
      <c r="T943" s="43"/>
      <c r="V943" s="58"/>
      <c r="W943" s="58"/>
      <c r="X943" s="58"/>
      <c r="Y943" s="58"/>
    </row>
    <row r="944" spans="1:25" ht="15" x14ac:dyDescent="0.25">
      <c r="A944" s="11"/>
      <c r="B944" s="34"/>
      <c r="C944" s="11"/>
      <c r="D944" s="11"/>
      <c r="E944" s="11"/>
      <c r="F944" s="11"/>
      <c r="G944" s="11"/>
      <c r="H944" s="11"/>
      <c r="I944" s="11"/>
      <c r="J944" s="11"/>
      <c r="K944" s="11"/>
      <c r="L944" s="11"/>
      <c r="M944" s="11"/>
      <c r="N944" s="11"/>
      <c r="O944" s="11"/>
      <c r="P944" s="11"/>
      <c r="Q944" s="11"/>
      <c r="V944" s="58"/>
      <c r="W944" s="58"/>
      <c r="X944" s="58"/>
      <c r="Y944" s="58"/>
    </row>
    <row r="945" spans="1:25" ht="15" x14ac:dyDescent="0.25">
      <c r="A945" s="11"/>
      <c r="B945" s="11"/>
      <c r="C945" s="11"/>
      <c r="D945" s="11"/>
      <c r="E945" s="11"/>
      <c r="F945" s="11"/>
      <c r="G945" s="11"/>
      <c r="H945" s="11"/>
      <c r="I945" s="11"/>
      <c r="J945" s="11"/>
      <c r="K945" s="11"/>
      <c r="L945" s="11"/>
      <c r="M945" s="11"/>
      <c r="N945" s="11"/>
      <c r="O945" s="11"/>
      <c r="P945" s="11"/>
      <c r="Q945" s="11"/>
      <c r="V945" s="58"/>
      <c r="W945" s="58"/>
      <c r="X945" s="58"/>
      <c r="Y945" s="58"/>
    </row>
    <row r="946" spans="1:25" ht="16.5" thickBot="1" x14ac:dyDescent="0.3">
      <c r="A946" s="11"/>
      <c r="B946" s="11"/>
      <c r="C946" s="11"/>
      <c r="D946" s="11"/>
      <c r="E946" s="31" t="s">
        <v>5483</v>
      </c>
      <c r="F946" s="11"/>
      <c r="G946" s="11"/>
      <c r="H946" s="11"/>
      <c r="I946" s="11"/>
      <c r="J946" s="11"/>
      <c r="K946" s="11"/>
      <c r="L946" s="11"/>
      <c r="M946" s="11"/>
      <c r="N946" s="11"/>
      <c r="O946" s="11"/>
      <c r="P946" s="11"/>
      <c r="Q946" s="11"/>
      <c r="V946" s="58"/>
      <c r="W946" s="58"/>
      <c r="X946" s="58"/>
      <c r="Y946" s="58"/>
    </row>
    <row r="947" spans="1:25" ht="15.75" thickBot="1" x14ac:dyDescent="0.3">
      <c r="A947" s="11"/>
      <c r="B947" s="11"/>
      <c r="C947" s="4420" t="s">
        <v>1863</v>
      </c>
      <c r="D947" s="4380" t="s">
        <v>1864</v>
      </c>
      <c r="E947" s="4356" t="s">
        <v>1865</v>
      </c>
      <c r="F947" s="4379"/>
      <c r="G947" s="4380"/>
      <c r="H947" s="4416" t="s">
        <v>1866</v>
      </c>
      <c r="I947" s="4417"/>
      <c r="J947" s="4417"/>
      <c r="K947" s="4417"/>
      <c r="L947" s="4356" t="s">
        <v>1867</v>
      </c>
      <c r="M947" s="4357"/>
      <c r="N947" s="11"/>
      <c r="O947" s="11"/>
      <c r="P947" s="11"/>
      <c r="Q947" s="11"/>
      <c r="V947" s="58"/>
      <c r="W947" s="58"/>
      <c r="X947" s="58"/>
      <c r="Y947" s="58"/>
    </row>
    <row r="948" spans="1:25" ht="15" x14ac:dyDescent="0.25">
      <c r="A948" s="11"/>
      <c r="B948" s="11"/>
      <c r="C948" s="4421"/>
      <c r="D948" s="4382"/>
      <c r="E948" s="4358"/>
      <c r="F948" s="4381"/>
      <c r="G948" s="4382"/>
      <c r="H948" s="4365" t="s">
        <v>1868</v>
      </c>
      <c r="I948" s="4423"/>
      <c r="J948" s="4365" t="s">
        <v>1869</v>
      </c>
      <c r="K948" s="4366"/>
      <c r="L948" s="4358"/>
      <c r="M948" s="4359"/>
      <c r="N948" s="11"/>
      <c r="O948" s="62"/>
      <c r="P948" s="62"/>
      <c r="Q948" s="62"/>
      <c r="R948" s="42"/>
      <c r="S948" s="42"/>
      <c r="T948" s="42"/>
      <c r="U948" s="42"/>
      <c r="V948" s="58"/>
      <c r="W948" s="58"/>
      <c r="X948" s="58"/>
      <c r="Y948" s="58"/>
    </row>
    <row r="949" spans="1:25" ht="15.75" thickBot="1" x14ac:dyDescent="0.3">
      <c r="A949" s="11"/>
      <c r="B949" s="11"/>
      <c r="C949" s="4422"/>
      <c r="D949" s="4361"/>
      <c r="E949" s="4360"/>
      <c r="F949" s="4383"/>
      <c r="G949" s="4384"/>
      <c r="H949" s="4367"/>
      <c r="I949" s="4424"/>
      <c r="J949" s="4367"/>
      <c r="K949" s="4368"/>
      <c r="L949" s="4360"/>
      <c r="M949" s="4361"/>
      <c r="N949" s="11"/>
      <c r="O949" s="62"/>
      <c r="P949" s="62"/>
      <c r="Q949" s="62"/>
      <c r="R949" s="42"/>
      <c r="S949" s="42"/>
      <c r="T949" s="42"/>
      <c r="U949" s="42"/>
      <c r="V949" s="58"/>
      <c r="W949" s="58"/>
      <c r="X949" s="58"/>
      <c r="Y949" s="58"/>
    </row>
    <row r="950" spans="1:25" ht="16.5" x14ac:dyDescent="0.25">
      <c r="A950" s="11"/>
      <c r="B950" s="11"/>
      <c r="C950" s="192">
        <v>1</v>
      </c>
      <c r="D950" s="193" t="s">
        <v>3458</v>
      </c>
      <c r="E950" s="4376" t="s">
        <v>1870</v>
      </c>
      <c r="F950" s="4377"/>
      <c r="G950" s="4378"/>
      <c r="H950" s="4369" t="s">
        <v>1239</v>
      </c>
      <c r="I950" s="4370"/>
      <c r="J950" s="4371" t="s">
        <v>1240</v>
      </c>
      <c r="K950" s="4372"/>
      <c r="L950" s="4407" t="s">
        <v>3970</v>
      </c>
      <c r="M950" s="4407"/>
      <c r="N950" s="11"/>
      <c r="O950" s="62"/>
      <c r="P950" s="62"/>
      <c r="Q950" s="62"/>
      <c r="R950" s="42"/>
      <c r="S950" s="42"/>
      <c r="T950" s="42"/>
      <c r="U950" s="42"/>
      <c r="V950" s="58"/>
      <c r="W950" s="58"/>
      <c r="X950" s="58"/>
      <c r="Y950" s="58"/>
    </row>
    <row r="951" spans="1:25" ht="16.5" x14ac:dyDescent="0.25">
      <c r="A951" s="11"/>
      <c r="B951" s="11"/>
      <c r="C951" s="194">
        <v>2</v>
      </c>
      <c r="D951" s="195" t="s">
        <v>3459</v>
      </c>
      <c r="E951" s="4350" t="s">
        <v>1871</v>
      </c>
      <c r="F951" s="4351"/>
      <c r="G951" s="4352"/>
      <c r="H951" s="4401" t="s">
        <v>1241</v>
      </c>
      <c r="I951" s="4402"/>
      <c r="J951" s="4346" t="s">
        <v>1242</v>
      </c>
      <c r="K951" s="4347"/>
      <c r="L951" s="4345" t="s">
        <v>3971</v>
      </c>
      <c r="M951" s="4345"/>
      <c r="N951" s="11"/>
      <c r="O951" s="62"/>
      <c r="P951" s="62"/>
      <c r="Q951" s="62"/>
      <c r="R951" s="42"/>
      <c r="S951" s="42"/>
      <c r="T951" s="42"/>
      <c r="U951" s="42"/>
      <c r="V951" s="58"/>
      <c r="W951" s="58"/>
      <c r="X951" s="58"/>
      <c r="Y951" s="58"/>
    </row>
    <row r="952" spans="1:25" ht="16.5" x14ac:dyDescent="0.25">
      <c r="A952" s="11"/>
      <c r="B952" s="11"/>
      <c r="C952" s="194">
        <v>3</v>
      </c>
      <c r="D952" s="195" t="s">
        <v>3460</v>
      </c>
      <c r="E952" s="4350" t="s">
        <v>1872</v>
      </c>
      <c r="F952" s="4351"/>
      <c r="G952" s="4352"/>
      <c r="H952" s="4401" t="s">
        <v>1243</v>
      </c>
      <c r="I952" s="4402"/>
      <c r="J952" s="4346" t="s">
        <v>1244</v>
      </c>
      <c r="K952" s="4347"/>
      <c r="L952" s="4345" t="s">
        <v>3974</v>
      </c>
      <c r="M952" s="4345"/>
      <c r="N952" s="11"/>
      <c r="O952" s="62"/>
      <c r="P952" s="62"/>
      <c r="Q952" s="62"/>
      <c r="R952" s="42"/>
      <c r="S952" s="42"/>
      <c r="T952" s="42"/>
      <c r="U952" s="42"/>
      <c r="V952" s="58"/>
      <c r="W952" s="58"/>
      <c r="X952" s="58"/>
      <c r="Y952" s="58"/>
    </row>
    <row r="953" spans="1:25" ht="16.5" x14ac:dyDescent="0.25">
      <c r="A953" s="11"/>
      <c r="B953" s="11"/>
      <c r="C953" s="194">
        <v>4</v>
      </c>
      <c r="D953" s="195" t="s">
        <v>3461</v>
      </c>
      <c r="E953" s="4350" t="s">
        <v>3175</v>
      </c>
      <c r="F953" s="4351"/>
      <c r="G953" s="4352"/>
      <c r="H953" s="4401" t="s">
        <v>1245</v>
      </c>
      <c r="I953" s="4402"/>
      <c r="J953" s="4346" t="s">
        <v>1246</v>
      </c>
      <c r="K953" s="4347"/>
      <c r="L953" s="4345" t="s">
        <v>3975</v>
      </c>
      <c r="M953" s="4345"/>
      <c r="N953" s="11"/>
      <c r="O953" s="62"/>
      <c r="P953" s="62"/>
      <c r="Q953" s="62"/>
      <c r="R953" s="42"/>
      <c r="S953" s="42"/>
      <c r="T953" s="42"/>
      <c r="U953" s="42"/>
      <c r="V953" s="58"/>
      <c r="W953" s="58"/>
      <c r="X953" s="58"/>
      <c r="Y953" s="58"/>
    </row>
    <row r="954" spans="1:25" ht="16.5" x14ac:dyDescent="0.25">
      <c r="A954" s="11"/>
      <c r="B954" s="11"/>
      <c r="C954" s="194">
        <v>5</v>
      </c>
      <c r="D954" s="195" t="s">
        <v>3462</v>
      </c>
      <c r="E954" s="4350" t="s">
        <v>4925</v>
      </c>
      <c r="F954" s="4351"/>
      <c r="G954" s="4352"/>
      <c r="H954" s="4346" t="s">
        <v>4926</v>
      </c>
      <c r="I954" s="4347"/>
      <c r="J954" s="4347"/>
      <c r="K954" s="4348"/>
      <c r="L954" s="4345" t="s">
        <v>3976</v>
      </c>
      <c r="M954" s="4345"/>
      <c r="N954" s="11"/>
      <c r="O954" s="11"/>
      <c r="P954" s="11"/>
      <c r="Q954" s="62"/>
      <c r="R954" s="42"/>
      <c r="S954" s="42"/>
      <c r="T954" s="42"/>
      <c r="U954" s="42"/>
      <c r="V954" s="58"/>
      <c r="W954" s="58"/>
      <c r="X954" s="58"/>
      <c r="Y954" s="58"/>
    </row>
    <row r="955" spans="1:25" ht="15" x14ac:dyDescent="0.25">
      <c r="A955" s="11"/>
      <c r="B955" s="11"/>
      <c r="C955" s="11"/>
      <c r="D955" s="11"/>
      <c r="E955" s="11"/>
      <c r="F955" s="11"/>
      <c r="G955" s="11"/>
      <c r="H955" s="11"/>
      <c r="I955" s="11"/>
      <c r="J955" s="11"/>
      <c r="K955" s="11"/>
      <c r="L955" s="11"/>
      <c r="M955" s="11"/>
      <c r="N955" s="11"/>
      <c r="O955" s="62"/>
      <c r="P955" s="62"/>
      <c r="Q955" s="62"/>
      <c r="R955" s="42"/>
      <c r="S955" s="42"/>
      <c r="T955" s="42"/>
      <c r="U955" s="42"/>
      <c r="V955" s="58"/>
      <c r="W955" s="58"/>
      <c r="X955" s="58"/>
      <c r="Y955" s="58"/>
    </row>
    <row r="956" spans="1:25" ht="15" x14ac:dyDescent="0.25">
      <c r="A956" s="199"/>
      <c r="B956" s="199"/>
      <c r="C956" s="199"/>
      <c r="D956" s="199"/>
      <c r="E956" s="199"/>
      <c r="F956" s="199"/>
      <c r="G956" s="199"/>
      <c r="H956" s="199"/>
      <c r="I956" s="199"/>
      <c r="J956" s="199"/>
      <c r="K956" s="199"/>
      <c r="L956" s="199"/>
      <c r="M956" s="199"/>
      <c r="N956" s="199"/>
      <c r="O956" s="199"/>
      <c r="P956" s="199"/>
      <c r="Q956" s="199"/>
      <c r="R956" s="58"/>
      <c r="S956" s="58"/>
      <c r="T956" s="58"/>
      <c r="U956" s="58"/>
      <c r="V956" s="58"/>
      <c r="W956" s="58"/>
      <c r="X956" s="58"/>
      <c r="Y956" s="58"/>
    </row>
    <row r="957" spans="1:25" ht="18.75" x14ac:dyDescent="0.35">
      <c r="A957" s="725" t="s">
        <v>4789</v>
      </c>
      <c r="B957" s="725"/>
      <c r="C957" s="725"/>
      <c r="D957" s="725"/>
      <c r="E957" s="725"/>
      <c r="F957" s="725"/>
      <c r="G957" s="725"/>
      <c r="H957" s="725"/>
      <c r="I957" s="725"/>
      <c r="J957" s="725"/>
      <c r="K957" s="199"/>
      <c r="L957" s="199"/>
      <c r="M957" s="199"/>
      <c r="N957" s="199"/>
      <c r="O957" s="199"/>
      <c r="P957" s="199"/>
      <c r="Q957" s="199"/>
      <c r="R957" s="58"/>
      <c r="S957" s="58"/>
      <c r="T957" s="58"/>
      <c r="U957" s="58"/>
      <c r="V957" s="58"/>
      <c r="W957" s="58"/>
      <c r="X957" s="58"/>
      <c r="Y957" s="58"/>
    </row>
    <row r="958" spans="1:25" ht="16.5" thickBot="1" x14ac:dyDescent="0.3">
      <c r="A958" s="15"/>
      <c r="B958" s="15"/>
      <c r="C958" s="725"/>
      <c r="D958" s="15"/>
      <c r="E958" s="15"/>
      <c r="F958" s="15"/>
      <c r="G958" s="15"/>
      <c r="H958" s="15"/>
      <c r="I958" s="15"/>
      <c r="J958" s="15"/>
      <c r="K958" s="136"/>
      <c r="L958" s="11"/>
      <c r="M958" s="11"/>
      <c r="N958" s="11"/>
      <c r="O958" s="11"/>
      <c r="P958" s="199"/>
      <c r="Q958" s="199"/>
      <c r="R958" s="58"/>
      <c r="S958" s="58"/>
      <c r="T958" s="58"/>
      <c r="U958" s="58"/>
      <c r="V958" s="58"/>
      <c r="W958" s="58"/>
      <c r="X958" s="58"/>
      <c r="Y958" s="58"/>
    </row>
    <row r="959" spans="1:25" ht="15" x14ac:dyDescent="0.25">
      <c r="A959" s="4585" t="s">
        <v>1330</v>
      </c>
      <c r="B959" s="4585" t="s">
        <v>1331</v>
      </c>
      <c r="C959" s="4585"/>
      <c r="D959" s="4585"/>
      <c r="E959" s="4585" t="s">
        <v>1332</v>
      </c>
      <c r="F959" s="4585"/>
      <c r="G959" s="4585"/>
      <c r="H959" s="4585"/>
      <c r="I959" s="726"/>
      <c r="J959" s="726"/>
      <c r="K959" s="141" t="s">
        <v>734</v>
      </c>
      <c r="L959" s="64" t="s">
        <v>735</v>
      </c>
      <c r="M959" s="64" t="s">
        <v>736</v>
      </c>
      <c r="N959" s="64" t="s">
        <v>737</v>
      </c>
      <c r="O959" s="142" t="s">
        <v>738</v>
      </c>
      <c r="P959" s="199"/>
      <c r="Q959" s="199"/>
      <c r="R959" s="58"/>
      <c r="S959" s="58"/>
      <c r="T959" s="58"/>
      <c r="U959" s="58"/>
      <c r="V959" s="58"/>
      <c r="W959" s="58"/>
      <c r="X959" s="58"/>
      <c r="Y959" s="58"/>
    </row>
    <row r="960" spans="1:25" ht="15" x14ac:dyDescent="0.25">
      <c r="A960" s="4585"/>
      <c r="B960" s="377">
        <v>1.26</v>
      </c>
      <c r="C960" s="377">
        <v>1</v>
      </c>
      <c r="D960" s="377">
        <v>0.8</v>
      </c>
      <c r="E960" s="4585" t="s">
        <v>1301</v>
      </c>
      <c r="F960" s="4585"/>
      <c r="G960" s="4585" t="s">
        <v>272</v>
      </c>
      <c r="H960" s="4585"/>
      <c r="I960" s="726"/>
      <c r="J960" s="726"/>
      <c r="K960" s="146" t="b">
        <f>IF($H$505=1,0.11,IF($H$505=2,0.21,IF($H$505=3,0.42)))</f>
        <v>0</v>
      </c>
      <c r="L960" s="147" t="b">
        <f>IF($H$505=1,2.11,IF($H$505=2,1.86,IF($H$505=3,1.36)))</f>
        <v>0</v>
      </c>
      <c r="M960" s="148" t="b">
        <f>IF($H$505=1,1.6,IF($H$505=2,1.5,IF($H$505=3,1.4)))</f>
        <v>0</v>
      </c>
      <c r="N960" s="148" t="b">
        <f>IF($H$505=1,0.2,IF($H$505=2,0.38,IF($H$505=3,0.66)))</f>
        <v>0</v>
      </c>
      <c r="O960" s="149" t="b">
        <f>IF($H$505=1,4.1,IF($H$505=2,4.35,IF($H$505=3,2.13)))</f>
        <v>0</v>
      </c>
      <c r="P960" s="199"/>
      <c r="Q960" s="199"/>
      <c r="R960" s="58"/>
      <c r="S960" s="58"/>
      <c r="T960" s="58"/>
      <c r="U960" s="58"/>
      <c r="V960" s="58"/>
      <c r="W960" s="58"/>
      <c r="X960" s="58"/>
      <c r="Y960" s="58"/>
    </row>
    <row r="961" spans="1:25" ht="15.75" thickBot="1" x14ac:dyDescent="0.3">
      <c r="A961" s="169" t="s">
        <v>2593</v>
      </c>
      <c r="B961" s="727">
        <v>0.26</v>
      </c>
      <c r="C961" s="374">
        <v>0.43</v>
      </c>
      <c r="D961" s="374">
        <v>0.56000000000000005</v>
      </c>
      <c r="E961" s="4587">
        <v>0.8</v>
      </c>
      <c r="F961" s="4587"/>
      <c r="G961" s="4589">
        <v>1.1000000000000001</v>
      </c>
      <c r="H961" s="4589"/>
      <c r="I961" s="726"/>
      <c r="J961" s="726"/>
      <c r="K961" s="150">
        <v>1</v>
      </c>
      <c r="L961" s="18">
        <v>2</v>
      </c>
      <c r="M961" s="151">
        <v>3</v>
      </c>
      <c r="N961" s="18">
        <v>4</v>
      </c>
      <c r="O961" s="152">
        <v>5</v>
      </c>
      <c r="P961" s="199"/>
      <c r="Q961" s="199"/>
      <c r="R961" s="58"/>
      <c r="S961" s="58"/>
      <c r="T961" s="58"/>
      <c r="U961" s="58"/>
      <c r="V961" s="58"/>
      <c r="W961" s="58"/>
      <c r="X961" s="58"/>
      <c r="Y961" s="58"/>
    </row>
    <row r="962" spans="1:25" ht="15" x14ac:dyDescent="0.25">
      <c r="A962" s="169" t="s">
        <v>47</v>
      </c>
      <c r="B962" s="727">
        <v>0.26</v>
      </c>
      <c r="C962" s="728">
        <v>0.43</v>
      </c>
      <c r="D962" s="728">
        <v>0.56000000000000005</v>
      </c>
      <c r="E962" s="4588">
        <v>0.8</v>
      </c>
      <c r="F962" s="4588"/>
      <c r="G962" s="4588">
        <v>1.1000000000000001</v>
      </c>
      <c r="H962" s="4588"/>
      <c r="I962" s="726"/>
      <c r="J962" s="726"/>
      <c r="K962" s="199"/>
      <c r="L962" s="199"/>
      <c r="M962" s="199"/>
      <c r="N962" s="199"/>
      <c r="O962" s="199"/>
      <c r="P962" s="199"/>
      <c r="Q962" s="199"/>
      <c r="R962" s="58"/>
      <c r="S962" s="58"/>
      <c r="T962" s="58"/>
      <c r="U962" s="58"/>
      <c r="V962" s="58"/>
      <c r="W962" s="58"/>
      <c r="X962" s="58"/>
      <c r="Y962" s="58"/>
    </row>
    <row r="963" spans="1:25" ht="15" x14ac:dyDescent="0.25">
      <c r="A963" s="169" t="s">
        <v>2594</v>
      </c>
      <c r="B963" s="727">
        <v>0.45</v>
      </c>
      <c r="C963" s="374">
        <v>0.63</v>
      </c>
      <c r="D963" s="374">
        <v>0.76</v>
      </c>
      <c r="E963" s="4587">
        <v>1</v>
      </c>
      <c r="F963" s="4587"/>
      <c r="G963" s="4589">
        <v>1.3</v>
      </c>
      <c r="H963" s="4589"/>
      <c r="I963" s="376"/>
      <c r="J963" s="376"/>
      <c r="K963" s="199"/>
      <c r="L963" s="199"/>
      <c r="M963" s="199"/>
      <c r="N963" s="199"/>
      <c r="O963" s="199"/>
      <c r="P963" s="199"/>
      <c r="Q963" s="199"/>
      <c r="R963" s="58"/>
      <c r="S963" s="58"/>
      <c r="T963" s="58"/>
      <c r="U963" s="58"/>
      <c r="V963" s="58"/>
      <c r="W963" s="58"/>
      <c r="X963" s="58"/>
      <c r="Y963" s="58"/>
    </row>
    <row r="964" spans="1:25" ht="15" x14ac:dyDescent="0.25">
      <c r="A964" s="199" t="s">
        <v>2494</v>
      </c>
      <c r="B964" s="727">
        <v>0.45</v>
      </c>
      <c r="C964" s="374">
        <v>0.63</v>
      </c>
      <c r="D964" s="374">
        <v>0.76</v>
      </c>
      <c r="E964" s="4587">
        <v>1</v>
      </c>
      <c r="F964" s="4587"/>
      <c r="G964" s="4589">
        <v>1.3</v>
      </c>
      <c r="H964" s="4589"/>
      <c r="I964" s="376"/>
      <c r="J964" s="376"/>
      <c r="K964" s="199"/>
      <c r="L964" s="199"/>
      <c r="M964" s="199"/>
      <c r="N964" s="199"/>
      <c r="O964" s="199"/>
      <c r="P964" s="199"/>
      <c r="Q964" s="199"/>
      <c r="R964" s="58"/>
      <c r="S964" s="58"/>
      <c r="T964" s="58"/>
      <c r="U964" s="58"/>
      <c r="V964" s="58"/>
      <c r="W964" s="58"/>
      <c r="X964" s="58"/>
      <c r="Y964" s="58"/>
    </row>
    <row r="965" spans="1:25" ht="15" x14ac:dyDescent="0.25">
      <c r="A965" s="199" t="s">
        <v>2495</v>
      </c>
      <c r="B965" s="727">
        <v>0.66</v>
      </c>
      <c r="C965" s="374">
        <v>0.83</v>
      </c>
      <c r="D965" s="374">
        <v>0.96</v>
      </c>
      <c r="E965" s="4587">
        <v>1.2</v>
      </c>
      <c r="F965" s="4587"/>
      <c r="G965" s="4589">
        <v>1.5</v>
      </c>
      <c r="H965" s="4589"/>
      <c r="I965" s="376"/>
      <c r="J965" s="376"/>
      <c r="K965" s="199"/>
      <c r="L965" s="199"/>
      <c r="M965" s="199"/>
      <c r="N965" s="199"/>
      <c r="O965" s="199"/>
      <c r="P965" s="199"/>
      <c r="Q965" s="199"/>
      <c r="R965" s="58"/>
      <c r="S965" s="58"/>
      <c r="T965" s="58"/>
      <c r="U965" s="58"/>
      <c r="V965" s="58"/>
      <c r="W965" s="58"/>
      <c r="X965" s="58"/>
      <c r="Y965" s="58"/>
    </row>
    <row r="966" spans="1:25" ht="15" x14ac:dyDescent="0.25">
      <c r="A966" s="169" t="s">
        <v>609</v>
      </c>
      <c r="B966" s="727">
        <v>0.66</v>
      </c>
      <c r="C966" s="374">
        <v>0.83</v>
      </c>
      <c r="D966" s="374">
        <v>0.96</v>
      </c>
      <c r="E966" s="4587">
        <v>1.2</v>
      </c>
      <c r="F966" s="4587"/>
      <c r="G966" s="4589">
        <v>1.5</v>
      </c>
      <c r="H966" s="4589"/>
      <c r="I966" s="376"/>
      <c r="J966" s="376"/>
      <c r="K966" s="199"/>
      <c r="L966" s="199"/>
      <c r="M966" s="199"/>
      <c r="N966" s="199"/>
      <c r="O966" s="199"/>
      <c r="P966" s="199"/>
      <c r="Q966" s="199"/>
      <c r="R966" s="58"/>
      <c r="S966" s="58"/>
      <c r="T966" s="58"/>
      <c r="U966" s="58"/>
      <c r="V966" s="58"/>
      <c r="W966" s="58"/>
      <c r="X966" s="58"/>
      <c r="Y966" s="58"/>
    </row>
    <row r="967" spans="1:25" ht="15" x14ac:dyDescent="0.25">
      <c r="A967" s="199" t="s">
        <v>2497</v>
      </c>
      <c r="B967" s="727">
        <v>0.66</v>
      </c>
      <c r="C967" s="374">
        <v>0.83</v>
      </c>
      <c r="D967" s="374">
        <v>0.96</v>
      </c>
      <c r="E967" s="4587">
        <v>1.2</v>
      </c>
      <c r="F967" s="4587"/>
      <c r="G967" s="4589">
        <v>1.5</v>
      </c>
      <c r="H967" s="4589"/>
      <c r="I967" s="376"/>
      <c r="J967" s="376"/>
      <c r="K967" s="199"/>
      <c r="L967" s="199"/>
      <c r="M967" s="199"/>
      <c r="N967" s="199"/>
      <c r="O967" s="199"/>
      <c r="P967" s="199"/>
      <c r="Q967" s="199"/>
      <c r="R967" s="58"/>
      <c r="S967" s="58"/>
      <c r="T967" s="58"/>
      <c r="U967" s="58"/>
      <c r="V967" s="58"/>
      <c r="W967" s="58"/>
      <c r="X967" s="58"/>
      <c r="Y967" s="58"/>
    </row>
    <row r="968" spans="1:25" ht="15" x14ac:dyDescent="0.25">
      <c r="A968" s="169" t="s">
        <v>280</v>
      </c>
      <c r="B968" s="727">
        <v>0.51</v>
      </c>
      <c r="C968" s="374">
        <v>0.68</v>
      </c>
      <c r="D968" s="374">
        <v>0.8</v>
      </c>
      <c r="E968" s="4587">
        <v>1.05</v>
      </c>
      <c r="F968" s="4587"/>
      <c r="G968" s="4589">
        <v>1.35</v>
      </c>
      <c r="H968" s="4589"/>
      <c r="I968" s="376"/>
      <c r="J968" s="376"/>
      <c r="K968" s="199"/>
      <c r="L968" s="199"/>
      <c r="M968" s="199"/>
      <c r="N968" s="199"/>
      <c r="O968" s="199"/>
      <c r="P968" s="199"/>
      <c r="Q968" s="199"/>
      <c r="R968" s="58"/>
      <c r="S968" s="58"/>
      <c r="T968" s="58"/>
      <c r="U968" s="58"/>
      <c r="V968" s="58"/>
      <c r="W968" s="58"/>
      <c r="X968" s="58"/>
      <c r="Y968" s="58"/>
    </row>
    <row r="969" spans="1:25" ht="15" x14ac:dyDescent="0.25">
      <c r="A969" s="169"/>
      <c r="B969" s="727"/>
      <c r="C969" s="374"/>
      <c r="D969" s="374"/>
      <c r="E969" s="4587"/>
      <c r="F969" s="4587"/>
      <c r="G969" s="4586"/>
      <c r="H969" s="4586"/>
      <c r="I969" s="376"/>
      <c r="J969" s="376"/>
      <c r="K969" s="199"/>
      <c r="L969" s="199"/>
      <c r="M969" s="199"/>
      <c r="N969" s="199"/>
      <c r="O969" s="199"/>
      <c r="P969" s="199"/>
      <c r="Q969" s="199"/>
      <c r="R969" s="58"/>
      <c r="S969" s="58"/>
      <c r="T969" s="58"/>
      <c r="U969" s="58"/>
      <c r="V969" s="58"/>
      <c r="W969" s="58"/>
      <c r="X969" s="58"/>
      <c r="Y969" s="58"/>
    </row>
    <row r="970" spans="1:25" ht="15" x14ac:dyDescent="0.25">
      <c r="A970" s="11"/>
      <c r="B970" s="11"/>
      <c r="C970" s="11"/>
      <c r="D970" s="11"/>
      <c r="E970" s="11"/>
      <c r="F970" s="11"/>
      <c r="G970" s="11"/>
      <c r="H970" s="11"/>
      <c r="I970" s="11"/>
      <c r="J970" s="11"/>
      <c r="K970" s="199"/>
      <c r="L970" s="199"/>
      <c r="M970" s="199"/>
      <c r="N970" s="199"/>
      <c r="O970" s="199"/>
      <c r="P970" s="199"/>
      <c r="Q970" s="199"/>
      <c r="R970" s="58"/>
      <c r="S970" s="58"/>
      <c r="T970" s="58"/>
      <c r="U970" s="58"/>
      <c r="V970" s="58"/>
      <c r="W970" s="58"/>
      <c r="X970" s="58"/>
      <c r="Y970" s="58"/>
    </row>
    <row r="971" spans="1:25" ht="15.75" x14ac:dyDescent="0.25">
      <c r="A971" s="11"/>
      <c r="B971" s="31" t="s">
        <v>3345</v>
      </c>
      <c r="C971" s="11"/>
      <c r="D971" s="11"/>
      <c r="E971" s="11"/>
      <c r="F971" s="11"/>
      <c r="G971" s="11"/>
      <c r="H971" s="11"/>
      <c r="I971" s="11"/>
      <c r="J971" s="11"/>
      <c r="K971" s="11"/>
      <c r="L971" s="11"/>
      <c r="M971" s="11"/>
      <c r="N971" s="11"/>
      <c r="O971" s="199"/>
      <c r="P971" s="199"/>
      <c r="Q971" s="199"/>
      <c r="R971" s="58"/>
      <c r="S971" s="58"/>
      <c r="T971" s="58"/>
      <c r="U971" s="58"/>
      <c r="V971" s="58"/>
      <c r="W971" s="58"/>
      <c r="X971" s="58"/>
      <c r="Y971" s="58"/>
    </row>
    <row r="972" spans="1:25" ht="15" x14ac:dyDescent="0.25">
      <c r="A972" s="25" t="s">
        <v>4790</v>
      </c>
      <c r="B972" s="11"/>
      <c r="C972" s="446"/>
      <c r="D972" s="446"/>
      <c r="E972" s="446"/>
      <c r="F972" s="446"/>
      <c r="G972" s="446"/>
      <c r="H972" s="446"/>
      <c r="I972" s="25" t="s">
        <v>4791</v>
      </c>
      <c r="J972" s="11"/>
      <c r="K972" s="11"/>
      <c r="L972" s="11"/>
      <c r="M972" s="11"/>
      <c r="N972" s="11"/>
      <c r="O972" s="199"/>
      <c r="P972" s="199"/>
      <c r="Q972" s="199"/>
      <c r="R972" s="58"/>
      <c r="S972" s="58"/>
      <c r="T972" s="58"/>
      <c r="U972" s="58"/>
      <c r="V972" s="58"/>
      <c r="W972" s="58"/>
      <c r="X972" s="58"/>
      <c r="Y972" s="58"/>
    </row>
    <row r="973" spans="1:25" ht="15" x14ac:dyDescent="0.25">
      <c r="A973" s="11"/>
      <c r="B973" s="11"/>
      <c r="C973" s="446">
        <v>1</v>
      </c>
      <c r="D973" s="446">
        <v>2</v>
      </c>
      <c r="E973" s="446">
        <v>3</v>
      </c>
      <c r="F973" s="446">
        <v>4</v>
      </c>
      <c r="G973" s="446">
        <v>5</v>
      </c>
      <c r="H973" s="446"/>
      <c r="I973" s="446">
        <v>1</v>
      </c>
      <c r="J973" s="446">
        <v>2</v>
      </c>
      <c r="K973" s="446">
        <v>3</v>
      </c>
      <c r="L973" s="446">
        <v>4</v>
      </c>
      <c r="M973" s="446">
        <v>5</v>
      </c>
      <c r="N973" s="11"/>
      <c r="O973" s="199"/>
      <c r="P973" s="520"/>
      <c r="Q973" s="199"/>
      <c r="R973" s="58"/>
      <c r="S973" s="58"/>
      <c r="T973" s="58"/>
      <c r="U973" s="58"/>
      <c r="V973" s="58"/>
      <c r="W973" s="58"/>
      <c r="X973" s="58"/>
      <c r="Y973" s="58"/>
    </row>
    <row r="974" spans="1:25" ht="51.75" x14ac:dyDescent="0.25">
      <c r="A974" s="17"/>
      <c r="B974" s="486" t="s">
        <v>273</v>
      </c>
      <c r="C974" s="199" t="s">
        <v>4381</v>
      </c>
      <c r="D974" s="729" t="s">
        <v>4382</v>
      </c>
      <c r="E974" s="729" t="s">
        <v>2979</v>
      </c>
      <c r="F974" s="729" t="s">
        <v>2980</v>
      </c>
      <c r="G974" s="729" t="s">
        <v>2981</v>
      </c>
      <c r="H974" s="377"/>
      <c r="I974" s="587" t="s">
        <v>4381</v>
      </c>
      <c r="J974" s="729" t="s">
        <v>4382</v>
      </c>
      <c r="K974" s="729" t="s">
        <v>281</v>
      </c>
      <c r="L974" s="729" t="s">
        <v>2980</v>
      </c>
      <c r="M974" s="729" t="s">
        <v>2981</v>
      </c>
      <c r="N974" s="199"/>
      <c r="O974" s="199"/>
      <c r="P974" s="730"/>
      <c r="Q974" s="199"/>
      <c r="R974" s="58"/>
      <c r="S974" s="58"/>
      <c r="T974" s="58"/>
      <c r="U974" s="58"/>
      <c r="V974" s="58"/>
      <c r="W974" s="58"/>
      <c r="X974" s="58"/>
      <c r="Y974" s="58"/>
    </row>
    <row r="975" spans="1:25" ht="15" x14ac:dyDescent="0.25">
      <c r="A975" s="4524" t="s">
        <v>5142</v>
      </c>
      <c r="B975" s="731" t="s">
        <v>274</v>
      </c>
      <c r="C975" s="17">
        <v>0.65</v>
      </c>
      <c r="D975" s="17">
        <v>0.65</v>
      </c>
      <c r="E975" s="17">
        <v>0.4</v>
      </c>
      <c r="F975" s="17">
        <v>0.4</v>
      </c>
      <c r="G975" s="17">
        <v>0.5</v>
      </c>
      <c r="H975" s="194"/>
      <c r="I975" s="175">
        <v>1.3</v>
      </c>
      <c r="J975" s="175">
        <v>1.3</v>
      </c>
      <c r="K975" s="175">
        <v>0.8</v>
      </c>
      <c r="L975" s="175">
        <v>0.8</v>
      </c>
      <c r="M975" s="175">
        <v>1</v>
      </c>
      <c r="N975" s="199"/>
      <c r="O975" s="199"/>
      <c r="P975" s="198"/>
      <c r="Q975" s="199"/>
      <c r="R975" s="58"/>
      <c r="S975" s="58"/>
      <c r="T975" s="58"/>
      <c r="U975" s="58"/>
      <c r="V975" s="58"/>
      <c r="W975" s="58"/>
      <c r="X975" s="58"/>
      <c r="Y975" s="58"/>
    </row>
    <row r="976" spans="1:25" ht="15" x14ac:dyDescent="0.25">
      <c r="A976" s="4524"/>
      <c r="B976" s="731" t="s">
        <v>275</v>
      </c>
      <c r="C976" s="17">
        <v>0.65</v>
      </c>
      <c r="D976" s="17">
        <v>0.65</v>
      </c>
      <c r="E976" s="17">
        <v>0.8</v>
      </c>
      <c r="F976" s="17">
        <v>0.8</v>
      </c>
      <c r="G976" s="17">
        <v>0.5</v>
      </c>
      <c r="H976" s="194"/>
      <c r="I976" s="175">
        <v>0.65</v>
      </c>
      <c r="J976" s="175">
        <v>0.65</v>
      </c>
      <c r="K976" s="175">
        <v>0.8</v>
      </c>
      <c r="L976" s="175">
        <v>0.8</v>
      </c>
      <c r="M976" s="175">
        <v>0.5</v>
      </c>
      <c r="N976" s="199"/>
      <c r="O976" s="199"/>
      <c r="P976" s="198"/>
      <c r="Q976" s="199"/>
      <c r="R976" s="58"/>
      <c r="S976" s="58"/>
      <c r="T976" s="58"/>
      <c r="U976" s="58"/>
      <c r="V976" s="58"/>
      <c r="W976" s="58"/>
      <c r="X976" s="58"/>
      <c r="Y976" s="58"/>
    </row>
    <row r="977" spans="1:25" ht="15" x14ac:dyDescent="0.25">
      <c r="A977" s="4585" t="s">
        <v>276</v>
      </c>
      <c r="B977" s="4585"/>
      <c r="C977" s="17">
        <v>3</v>
      </c>
      <c r="D977" s="17">
        <v>3</v>
      </c>
      <c r="E977" s="17">
        <v>3.2</v>
      </c>
      <c r="F977" s="17">
        <v>3.2</v>
      </c>
      <c r="G977" s="17">
        <v>2.7</v>
      </c>
      <c r="H977" s="17"/>
      <c r="I977" s="587"/>
      <c r="J977" s="17"/>
      <c r="K977" s="17"/>
      <c r="L977" s="17"/>
      <c r="M977" s="17"/>
      <c r="N977" s="199"/>
      <c r="O977" s="199"/>
      <c r="P977" s="15"/>
      <c r="Q977" s="199"/>
      <c r="R977" s="58"/>
      <c r="S977" s="58"/>
      <c r="T977" s="58"/>
      <c r="U977" s="58"/>
      <c r="V977" s="58"/>
      <c r="W977" s="58"/>
      <c r="X977" s="58"/>
      <c r="Y977" s="58"/>
    </row>
    <row r="978" spans="1:25" ht="15" x14ac:dyDescent="0.25">
      <c r="A978" s="11"/>
      <c r="B978" s="11"/>
      <c r="C978" s="11"/>
      <c r="D978" s="11"/>
      <c r="E978" s="11"/>
      <c r="F978" s="11"/>
      <c r="G978" s="11"/>
      <c r="H978" s="11"/>
      <c r="I978" s="11"/>
      <c r="J978" s="11"/>
      <c r="K978" s="11"/>
      <c r="L978" s="11"/>
      <c r="M978" s="11"/>
      <c r="N978" s="11"/>
      <c r="O978" s="199"/>
      <c r="P978" s="199"/>
      <c r="Q978" s="199"/>
      <c r="R978" s="58"/>
      <c r="S978" s="58"/>
      <c r="T978" s="58"/>
      <c r="U978" s="58"/>
      <c r="V978" s="58"/>
      <c r="W978" s="58"/>
      <c r="X978" s="58"/>
      <c r="Y978" s="58"/>
    </row>
    <row r="979" spans="1:25" ht="15.75" x14ac:dyDescent="0.25">
      <c r="A979" s="31" t="s">
        <v>3346</v>
      </c>
      <c r="B979" s="11"/>
      <c r="C979" s="11"/>
      <c r="D979" s="11"/>
      <c r="E979" s="11"/>
      <c r="F979" s="11"/>
      <c r="G979" s="11"/>
      <c r="H979" s="11"/>
      <c r="I979" s="11"/>
      <c r="J979" s="11"/>
      <c r="K979" s="11"/>
      <c r="L979" s="11"/>
      <c r="M979" s="11"/>
      <c r="N979" s="11"/>
      <c r="O979" s="199"/>
      <c r="P979" s="199"/>
      <c r="Q979" s="199"/>
      <c r="R979" s="58"/>
      <c r="S979" s="58"/>
      <c r="T979" s="58"/>
      <c r="U979" s="58"/>
      <c r="V979" s="58"/>
      <c r="W979" s="58"/>
      <c r="X979" s="58"/>
      <c r="Y979" s="58"/>
    </row>
    <row r="980" spans="1:25" ht="15" x14ac:dyDescent="0.25">
      <c r="A980" s="11"/>
      <c r="B980" s="732" t="s">
        <v>277</v>
      </c>
      <c r="C980" s="121"/>
      <c r="D980" s="121"/>
      <c r="E980" s="121"/>
      <c r="F980" s="121"/>
      <c r="G980" s="121"/>
      <c r="H980" s="11"/>
      <c r="I980" s="732" t="s">
        <v>278</v>
      </c>
      <c r="J980" s="11"/>
      <c r="K980" s="11"/>
      <c r="L980" s="11"/>
      <c r="M980" s="11"/>
      <c r="N980" s="11"/>
      <c r="O980" s="199"/>
      <c r="P980" s="199"/>
      <c r="Q980" s="199"/>
      <c r="R980" s="58"/>
      <c r="S980" s="58"/>
      <c r="T980" s="58"/>
      <c r="U980" s="58"/>
      <c r="V980" s="58"/>
      <c r="W980" s="58"/>
      <c r="X980" s="58"/>
      <c r="Y980" s="58"/>
    </row>
    <row r="981" spans="1:25" ht="15" x14ac:dyDescent="0.25">
      <c r="A981" s="11"/>
      <c r="B981" s="11"/>
      <c r="C981" s="11"/>
      <c r="D981" s="11"/>
      <c r="E981" s="11"/>
      <c r="F981" s="11"/>
      <c r="G981" s="11"/>
      <c r="H981" s="11"/>
      <c r="I981" s="11"/>
      <c r="J981" s="11"/>
      <c r="K981" s="11"/>
      <c r="L981" s="11"/>
      <c r="M981" s="11"/>
      <c r="N981" s="11"/>
      <c r="O981" s="199"/>
      <c r="P981" s="199"/>
      <c r="Q981" s="199"/>
      <c r="R981" s="58"/>
      <c r="S981" s="58"/>
      <c r="T981" s="58"/>
      <c r="U981" s="58"/>
      <c r="V981" s="58"/>
      <c r="W981" s="58"/>
      <c r="X981" s="58"/>
      <c r="Y981" s="58"/>
    </row>
    <row r="982" spans="1:25" ht="15" x14ac:dyDescent="0.25">
      <c r="A982" s="4585" t="s">
        <v>1330</v>
      </c>
      <c r="B982" s="175">
        <v>1</v>
      </c>
      <c r="C982" s="175">
        <v>2</v>
      </c>
      <c r="D982" s="175">
        <v>3</v>
      </c>
      <c r="E982" s="175">
        <v>4</v>
      </c>
      <c r="F982" s="175">
        <v>5</v>
      </c>
      <c r="G982" s="11"/>
      <c r="H982" s="175">
        <v>1</v>
      </c>
      <c r="I982" s="175">
        <v>2</v>
      </c>
      <c r="J982" s="175">
        <v>3</v>
      </c>
      <c r="K982" s="175">
        <v>4</v>
      </c>
      <c r="L982" s="175">
        <v>5</v>
      </c>
      <c r="M982" s="11"/>
      <c r="N982" s="11"/>
      <c r="O982" s="199"/>
      <c r="P982" s="199"/>
      <c r="Q982" s="199"/>
      <c r="R982" s="58"/>
      <c r="S982" s="58"/>
      <c r="T982" s="58"/>
      <c r="U982" s="58"/>
      <c r="V982" s="58"/>
      <c r="W982" s="58"/>
      <c r="X982" s="58"/>
      <c r="Y982" s="58"/>
    </row>
    <row r="983" spans="1:25" ht="15" x14ac:dyDescent="0.25">
      <c r="A983" s="4585"/>
      <c r="B983" s="392" t="s">
        <v>4381</v>
      </c>
      <c r="C983" s="175" t="s">
        <v>4382</v>
      </c>
      <c r="D983" s="175" t="s">
        <v>281</v>
      </c>
      <c r="E983" s="175" t="s">
        <v>2980</v>
      </c>
      <c r="F983" s="175" t="s">
        <v>2981</v>
      </c>
      <c r="G983" s="446"/>
      <c r="H983" s="392" t="s">
        <v>4381</v>
      </c>
      <c r="I983" s="175" t="s">
        <v>4382</v>
      </c>
      <c r="J983" s="175" t="s">
        <v>281</v>
      </c>
      <c r="K983" s="175" t="s">
        <v>2980</v>
      </c>
      <c r="L983" s="175" t="s">
        <v>2981</v>
      </c>
      <c r="M983" s="11"/>
      <c r="N983" s="11"/>
      <c r="O983" s="199"/>
      <c r="P983" s="199"/>
      <c r="Q983" s="199"/>
      <c r="R983" s="58"/>
      <c r="S983" s="58"/>
      <c r="T983" s="58"/>
      <c r="U983" s="58"/>
      <c r="V983" s="58"/>
      <c r="W983" s="58"/>
      <c r="X983" s="58"/>
      <c r="Y983" s="58"/>
    </row>
    <row r="984" spans="1:25" ht="15" x14ac:dyDescent="0.25">
      <c r="A984" s="17" t="s">
        <v>2593</v>
      </c>
      <c r="B984" s="17"/>
      <c r="C984" s="17"/>
      <c r="D984" s="17">
        <v>4.16</v>
      </c>
      <c r="E984" s="17">
        <v>4.42</v>
      </c>
      <c r="F984" s="17">
        <v>4.1500000000000004</v>
      </c>
      <c r="G984" s="11"/>
      <c r="H984" s="17"/>
      <c r="I984" s="17"/>
      <c r="J984" s="17">
        <v>4.16</v>
      </c>
      <c r="K984" s="17">
        <v>4.2</v>
      </c>
      <c r="L984" s="17">
        <v>3.65</v>
      </c>
      <c r="M984" s="11"/>
      <c r="N984" s="11"/>
      <c r="O984" s="199"/>
      <c r="P984" s="199"/>
      <c r="Q984" s="199"/>
      <c r="R984" s="58"/>
      <c r="S984" s="58"/>
      <c r="T984" s="58"/>
      <c r="U984" s="58"/>
      <c r="V984" s="58"/>
      <c r="W984" s="58"/>
      <c r="X984" s="58"/>
      <c r="Y984" s="58"/>
    </row>
    <row r="985" spans="1:25" ht="15" x14ac:dyDescent="0.25">
      <c r="A985" s="17" t="s">
        <v>47</v>
      </c>
      <c r="B985" s="17"/>
      <c r="C985" s="17"/>
      <c r="D985" s="17">
        <v>4.16</v>
      </c>
      <c r="E985" s="17"/>
      <c r="F985" s="17"/>
      <c r="G985" s="11"/>
      <c r="H985" s="17"/>
      <c r="I985" s="17"/>
      <c r="J985" s="17">
        <v>4.16</v>
      </c>
      <c r="K985" s="17"/>
      <c r="L985" s="17"/>
      <c r="M985" s="11"/>
      <c r="N985" s="11"/>
      <c r="O985" s="199"/>
      <c r="P985" s="199"/>
      <c r="Q985" s="199"/>
      <c r="R985" s="58"/>
      <c r="S985" s="58"/>
      <c r="T985" s="58"/>
      <c r="U985" s="58"/>
      <c r="V985" s="58"/>
      <c r="W985" s="58"/>
      <c r="X985" s="58"/>
      <c r="Y985" s="58"/>
    </row>
    <row r="986" spans="1:25" ht="15" x14ac:dyDescent="0.25">
      <c r="A986" s="17" t="s">
        <v>2493</v>
      </c>
      <c r="B986" s="17">
        <v>4.47</v>
      </c>
      <c r="C986" s="17">
        <v>4.75</v>
      </c>
      <c r="D986" s="17">
        <v>4.17</v>
      </c>
      <c r="E986" s="17">
        <v>4.42</v>
      </c>
      <c r="F986" s="17">
        <v>4.1500000000000004</v>
      </c>
      <c r="G986" s="11"/>
      <c r="H986" s="17">
        <v>3.82</v>
      </c>
      <c r="I986" s="17">
        <v>4.0999999999999996</v>
      </c>
      <c r="J986" s="17">
        <v>4.16</v>
      </c>
      <c r="K986" s="17">
        <v>4.2</v>
      </c>
      <c r="L986" s="17">
        <v>3.65</v>
      </c>
      <c r="M986" s="11"/>
      <c r="N986" s="11"/>
      <c r="O986" s="199"/>
      <c r="P986" s="199"/>
      <c r="Q986" s="199"/>
      <c r="R986" s="58"/>
      <c r="S986" s="58"/>
      <c r="T986" s="58"/>
      <c r="U986" s="58"/>
      <c r="V986" s="58"/>
      <c r="W986" s="58"/>
      <c r="X986" s="58"/>
      <c r="Y986" s="58"/>
    </row>
    <row r="987" spans="1:25" ht="15" x14ac:dyDescent="0.25">
      <c r="A987" s="17" t="s">
        <v>2494</v>
      </c>
      <c r="B987" s="17">
        <v>4.47</v>
      </c>
      <c r="C987" s="17">
        <v>4.75</v>
      </c>
      <c r="D987" s="17">
        <v>4.17</v>
      </c>
      <c r="E987" s="17">
        <v>4.42</v>
      </c>
      <c r="F987" s="17">
        <v>4.1500000000000004</v>
      </c>
      <c r="G987" s="11"/>
      <c r="H987" s="17">
        <v>3.82</v>
      </c>
      <c r="I987" s="17">
        <v>4.0999999999999996</v>
      </c>
      <c r="J987" s="17">
        <v>4.16</v>
      </c>
      <c r="K987" s="17">
        <v>4.2</v>
      </c>
      <c r="L987" s="17">
        <v>3.65</v>
      </c>
      <c r="M987" s="11"/>
      <c r="N987" s="11"/>
      <c r="O987" s="199"/>
      <c r="P987" s="199"/>
      <c r="Q987" s="199"/>
      <c r="R987" s="58"/>
      <c r="S987" s="58"/>
      <c r="T987" s="58"/>
      <c r="U987" s="58"/>
      <c r="V987" s="58"/>
      <c r="W987" s="58"/>
      <c r="X987" s="58"/>
      <c r="Y987" s="58"/>
    </row>
    <row r="988" spans="1:25" ht="15" x14ac:dyDescent="0.25">
      <c r="A988" s="17" t="s">
        <v>2495</v>
      </c>
      <c r="B988" s="17">
        <v>4.6500000000000004</v>
      </c>
      <c r="C988" s="17">
        <v>4.93</v>
      </c>
      <c r="D988" s="17">
        <v>4.3600000000000003</v>
      </c>
      <c r="E988" s="17">
        <v>4.5599999999999996</v>
      </c>
      <c r="F988" s="17">
        <v>4.3499999999999996</v>
      </c>
      <c r="G988" s="11"/>
      <c r="H988" s="17">
        <v>4</v>
      </c>
      <c r="I988" s="17">
        <v>4.28</v>
      </c>
      <c r="J988" s="17">
        <v>4.16</v>
      </c>
      <c r="K988" s="17">
        <v>4.2</v>
      </c>
      <c r="L988" s="17">
        <v>3.85</v>
      </c>
      <c r="M988" s="11"/>
      <c r="N988" s="11"/>
      <c r="O988" s="199"/>
      <c r="P988" s="199"/>
      <c r="Q988" s="199"/>
      <c r="R988" s="58"/>
      <c r="S988" s="58"/>
      <c r="T988" s="58"/>
      <c r="U988" s="58"/>
      <c r="V988" s="58"/>
      <c r="W988" s="58"/>
      <c r="X988" s="58"/>
      <c r="Y988" s="58"/>
    </row>
    <row r="989" spans="1:25" ht="15" x14ac:dyDescent="0.25">
      <c r="A989" s="17" t="s">
        <v>2496</v>
      </c>
      <c r="B989" s="17">
        <v>4.6500000000000004</v>
      </c>
      <c r="C989" s="17">
        <v>4.93</v>
      </c>
      <c r="D989" s="17">
        <v>4.3600000000000003</v>
      </c>
      <c r="E989" s="17">
        <v>4.5599999999999996</v>
      </c>
      <c r="F989" s="17">
        <v>4.3499999999999996</v>
      </c>
      <c r="G989" s="11"/>
      <c r="H989" s="17">
        <v>4</v>
      </c>
      <c r="I989" s="17">
        <v>4.28</v>
      </c>
      <c r="J989" s="17">
        <v>4.16</v>
      </c>
      <c r="K989" s="17">
        <v>4.2</v>
      </c>
      <c r="L989" s="17">
        <v>3.85</v>
      </c>
      <c r="M989" s="11"/>
      <c r="N989" s="11"/>
      <c r="O989" s="199"/>
      <c r="P989" s="199"/>
      <c r="Q989" s="199"/>
      <c r="R989" s="58"/>
      <c r="S989" s="58"/>
      <c r="T989" s="58"/>
      <c r="U989" s="58"/>
      <c r="V989" s="58"/>
      <c r="W989" s="58"/>
      <c r="X989" s="58"/>
      <c r="Y989" s="58"/>
    </row>
    <row r="990" spans="1:25" ht="15" x14ac:dyDescent="0.25">
      <c r="A990" s="199" t="s">
        <v>2497</v>
      </c>
      <c r="B990" s="17">
        <v>4.6500000000000004</v>
      </c>
      <c r="C990" s="17">
        <v>4.93</v>
      </c>
      <c r="D990" s="17">
        <v>4.3600000000000003</v>
      </c>
      <c r="E990" s="17">
        <v>4.5599999999999996</v>
      </c>
      <c r="F990" s="17">
        <v>4.3499999999999996</v>
      </c>
      <c r="G990" s="11"/>
      <c r="H990" s="17">
        <v>4</v>
      </c>
      <c r="I990" s="17">
        <v>4.28</v>
      </c>
      <c r="J990" s="17">
        <v>4.16</v>
      </c>
      <c r="K990" s="17">
        <v>4.2</v>
      </c>
      <c r="L990" s="17">
        <v>3.85</v>
      </c>
      <c r="M990" s="11"/>
      <c r="N990" s="11"/>
      <c r="O990" s="199"/>
      <c r="P990" s="199"/>
      <c r="Q990" s="199"/>
      <c r="R990" s="58"/>
      <c r="S990" s="58"/>
      <c r="T990" s="58"/>
      <c r="U990" s="58"/>
      <c r="V990" s="58"/>
      <c r="W990" s="58"/>
      <c r="X990" s="58"/>
      <c r="Y990" s="58"/>
    </row>
    <row r="991" spans="1:25" ht="15" x14ac:dyDescent="0.25">
      <c r="A991" s="199" t="s">
        <v>2498</v>
      </c>
      <c r="B991" s="17">
        <v>4.6500000000000004</v>
      </c>
      <c r="C991" s="17">
        <v>4.93</v>
      </c>
      <c r="D991" s="17">
        <v>4.3600000000000003</v>
      </c>
      <c r="E991" s="17">
        <v>4.5599999999999996</v>
      </c>
      <c r="F991" s="17">
        <v>4.3499999999999996</v>
      </c>
      <c r="G991" s="11"/>
      <c r="H991" s="17">
        <v>4</v>
      </c>
      <c r="I991" s="17">
        <v>4.28</v>
      </c>
      <c r="J991" s="17">
        <v>4.16</v>
      </c>
      <c r="K991" s="17">
        <v>4.2</v>
      </c>
      <c r="L991" s="17">
        <v>3.85</v>
      </c>
      <c r="M991" s="11"/>
      <c r="N991" s="11"/>
      <c r="O991" s="199"/>
      <c r="P991" s="199"/>
      <c r="Q991" s="199"/>
      <c r="R991" s="58"/>
      <c r="S991" s="58"/>
      <c r="T991" s="58"/>
      <c r="U991" s="58"/>
      <c r="V991" s="58"/>
      <c r="W991" s="58"/>
      <c r="X991" s="58"/>
      <c r="Y991" s="58"/>
    </row>
    <row r="992" spans="1:25" ht="15" x14ac:dyDescent="0.25">
      <c r="A992" s="15"/>
      <c r="B992" s="15"/>
      <c r="C992" s="15"/>
      <c r="D992" s="15"/>
      <c r="E992" s="15"/>
      <c r="F992" s="15"/>
      <c r="G992" s="11"/>
      <c r="H992" s="15"/>
      <c r="I992" s="15"/>
      <c r="J992" s="15"/>
      <c r="K992" s="15"/>
      <c r="L992" s="15"/>
      <c r="M992" s="11"/>
      <c r="N992" s="11"/>
      <c r="O992" s="199"/>
      <c r="P992" s="199"/>
      <c r="Q992" s="199"/>
      <c r="R992" s="58"/>
      <c r="S992" s="58"/>
      <c r="T992" s="58"/>
      <c r="U992" s="58"/>
      <c r="V992" s="58"/>
      <c r="W992" s="58"/>
      <c r="X992" s="58"/>
      <c r="Y992" s="58"/>
    </row>
    <row r="993" spans="1:25" ht="18.75" x14ac:dyDescent="0.35">
      <c r="A993" s="725"/>
      <c r="B993" s="725" t="s">
        <v>5143</v>
      </c>
      <c r="C993" s="725"/>
      <c r="D993" s="725"/>
      <c r="E993" s="725"/>
      <c r="F993" s="725"/>
      <c r="G993" s="31"/>
      <c r="H993" s="725"/>
      <c r="I993" s="725"/>
      <c r="J993" s="725"/>
      <c r="K993" s="725"/>
      <c r="L993" s="725"/>
      <c r="M993" s="31"/>
      <c r="N993" s="31"/>
      <c r="O993" s="199"/>
      <c r="P993" s="199"/>
      <c r="Q993" s="199"/>
      <c r="R993" s="58"/>
      <c r="S993" s="58"/>
      <c r="T993" s="58"/>
      <c r="U993" s="58"/>
      <c r="V993" s="58"/>
      <c r="W993" s="58"/>
      <c r="X993" s="58"/>
      <c r="Y993" s="58"/>
    </row>
    <row r="994" spans="1:25" ht="15" x14ac:dyDescent="0.25">
      <c r="A994" s="15"/>
      <c r="B994" s="732" t="s">
        <v>277</v>
      </c>
      <c r="C994" s="15"/>
      <c r="D994" s="15"/>
      <c r="E994" s="15"/>
      <c r="F994" s="15"/>
      <c r="G994" s="11"/>
      <c r="H994" s="15"/>
      <c r="I994" s="732" t="s">
        <v>278</v>
      </c>
      <c r="J994" s="15"/>
      <c r="K994" s="15"/>
      <c r="L994" s="15"/>
      <c r="M994" s="11"/>
      <c r="N994" s="11"/>
      <c r="O994" s="199"/>
      <c r="P994" s="199"/>
      <c r="Q994" s="199"/>
      <c r="R994" s="58"/>
      <c r="S994" s="58"/>
      <c r="T994" s="58"/>
      <c r="U994" s="58"/>
      <c r="V994" s="58"/>
      <c r="W994" s="58"/>
      <c r="X994" s="58"/>
      <c r="Y994" s="58"/>
    </row>
    <row r="995" spans="1:25" ht="15" x14ac:dyDescent="0.25">
      <c r="A995" s="15"/>
      <c r="B995" s="15"/>
      <c r="C995" s="15"/>
      <c r="D995" s="15"/>
      <c r="E995" s="15"/>
      <c r="F995" s="15"/>
      <c r="G995" s="11"/>
      <c r="H995" s="15"/>
      <c r="I995" s="15"/>
      <c r="J995" s="15"/>
      <c r="K995" s="15"/>
      <c r="L995" s="15"/>
      <c r="M995" s="11"/>
      <c r="N995" s="11"/>
      <c r="O995" s="199"/>
      <c r="P995" s="199"/>
      <c r="Q995" s="199"/>
      <c r="R995" s="58"/>
      <c r="S995" s="58"/>
      <c r="T995" s="58"/>
      <c r="U995" s="58"/>
      <c r="V995" s="58"/>
      <c r="W995" s="58"/>
      <c r="X995" s="58"/>
      <c r="Y995" s="58"/>
    </row>
    <row r="996" spans="1:25" ht="15" x14ac:dyDescent="0.25">
      <c r="A996" s="4585" t="s">
        <v>1330</v>
      </c>
      <c r="B996" s="4476" t="s">
        <v>279</v>
      </c>
      <c r="C996" s="4478"/>
      <c r="D996" s="4478"/>
      <c r="E996" s="4478"/>
      <c r="F996" s="4477"/>
      <c r="G996" s="11"/>
      <c r="H996" s="4476" t="s">
        <v>279</v>
      </c>
      <c r="I996" s="4478"/>
      <c r="J996" s="4478"/>
      <c r="K996" s="4478"/>
      <c r="L996" s="4477"/>
      <c r="M996" s="11"/>
      <c r="N996" s="11"/>
      <c r="O996" s="199"/>
      <c r="P996" s="199"/>
      <c r="Q996" s="199"/>
      <c r="R996" s="58"/>
      <c r="S996" s="58"/>
      <c r="T996" s="58"/>
      <c r="U996" s="58"/>
      <c r="V996" s="58"/>
      <c r="W996" s="58"/>
      <c r="X996" s="58"/>
      <c r="Y996" s="58"/>
    </row>
    <row r="997" spans="1:25" ht="15" x14ac:dyDescent="0.25">
      <c r="A997" s="4585"/>
      <c r="B997" s="392" t="s">
        <v>4381</v>
      </c>
      <c r="C997" s="175" t="s">
        <v>4382</v>
      </c>
      <c r="D997" s="175" t="s">
        <v>281</v>
      </c>
      <c r="E997" s="175" t="s">
        <v>2980</v>
      </c>
      <c r="F997" s="175" t="s">
        <v>2981</v>
      </c>
      <c r="G997" s="11"/>
      <c r="H997" s="392" t="s">
        <v>4381</v>
      </c>
      <c r="I997" s="175" t="s">
        <v>4382</v>
      </c>
      <c r="J997" s="175" t="s">
        <v>281</v>
      </c>
      <c r="K997" s="175" t="s">
        <v>2980</v>
      </c>
      <c r="L997" s="175" t="s">
        <v>2981</v>
      </c>
      <c r="M997" s="11"/>
      <c r="N997" s="11"/>
      <c r="O997" s="199"/>
      <c r="P997" s="199"/>
      <c r="Q997" s="199"/>
      <c r="R997" s="58"/>
      <c r="S997" s="58"/>
      <c r="T997" s="58"/>
      <c r="U997" s="58"/>
      <c r="V997" s="58"/>
      <c r="W997" s="58"/>
      <c r="X997" s="58"/>
      <c r="Y997" s="58"/>
    </row>
    <row r="998" spans="1:25" ht="15" x14ac:dyDescent="0.25">
      <c r="A998" s="169" t="s">
        <v>2593</v>
      </c>
      <c r="B998" s="17"/>
      <c r="C998" s="17"/>
      <c r="D998" s="17">
        <v>0.2</v>
      </c>
      <c r="E998" s="17">
        <v>0.2</v>
      </c>
      <c r="F998" s="17">
        <v>0.2</v>
      </c>
      <c r="G998" s="11"/>
      <c r="H998" s="17"/>
      <c r="I998" s="17"/>
      <c r="J998" s="17">
        <v>0.2</v>
      </c>
      <c r="K998" s="17">
        <v>0.2</v>
      </c>
      <c r="L998" s="17">
        <v>0.2</v>
      </c>
      <c r="M998" s="11"/>
      <c r="N998" s="11"/>
      <c r="O998" s="199"/>
      <c r="P998" s="199"/>
      <c r="Q998" s="199"/>
      <c r="R998" s="58"/>
      <c r="S998" s="58"/>
      <c r="T998" s="58"/>
      <c r="U998" s="58"/>
      <c r="V998" s="58"/>
      <c r="W998" s="58"/>
      <c r="X998" s="58"/>
      <c r="Y998" s="58"/>
    </row>
    <row r="999" spans="1:25" ht="15" x14ac:dyDescent="0.25">
      <c r="A999" s="169" t="s">
        <v>47</v>
      </c>
      <c r="B999" s="17"/>
      <c r="C999" s="17"/>
      <c r="D999" s="17">
        <v>0.2</v>
      </c>
      <c r="E999" s="17">
        <v>0.2</v>
      </c>
      <c r="F999" s="17"/>
      <c r="G999" s="11"/>
      <c r="H999" s="17"/>
      <c r="I999" s="17"/>
      <c r="J999" s="17">
        <v>0.2</v>
      </c>
      <c r="K999" s="17">
        <v>0.2</v>
      </c>
      <c r="L999" s="17"/>
      <c r="M999" s="11"/>
      <c r="N999" s="11"/>
      <c r="O999" s="199"/>
      <c r="P999" s="199"/>
      <c r="Q999" s="199"/>
      <c r="R999" s="58"/>
      <c r="S999" s="58"/>
      <c r="T999" s="58"/>
      <c r="U999" s="58"/>
      <c r="V999" s="58"/>
      <c r="W999" s="58"/>
      <c r="X999" s="58"/>
      <c r="Y999" s="58"/>
    </row>
    <row r="1000" spans="1:25" ht="15" x14ac:dyDescent="0.25">
      <c r="A1000" s="169" t="s">
        <v>2493</v>
      </c>
      <c r="B1000" s="17">
        <v>0.2</v>
      </c>
      <c r="C1000" s="17">
        <v>0.2</v>
      </c>
      <c r="D1000" s="17">
        <v>0.21</v>
      </c>
      <c r="E1000" s="17">
        <v>0.2</v>
      </c>
      <c r="F1000" s="17">
        <v>0.2</v>
      </c>
      <c r="G1000" s="11"/>
      <c r="H1000" s="17">
        <v>0.2</v>
      </c>
      <c r="I1000" s="17">
        <v>0.2</v>
      </c>
      <c r="J1000" s="17">
        <v>0.2</v>
      </c>
      <c r="K1000" s="17">
        <v>0.2</v>
      </c>
      <c r="L1000" s="17">
        <v>0.2</v>
      </c>
      <c r="M1000" s="11"/>
      <c r="N1000" s="11"/>
      <c r="O1000" s="199"/>
      <c r="P1000" s="199"/>
      <c r="Q1000" s="199"/>
      <c r="R1000" s="58"/>
      <c r="S1000" s="58"/>
      <c r="T1000" s="58"/>
      <c r="U1000" s="58"/>
      <c r="V1000" s="58"/>
      <c r="W1000" s="58"/>
      <c r="X1000" s="58"/>
      <c r="Y1000" s="58"/>
    </row>
    <row r="1001" spans="1:25" ht="15" x14ac:dyDescent="0.25">
      <c r="A1001" s="169" t="s">
        <v>2494</v>
      </c>
      <c r="B1001" s="17">
        <v>0.2</v>
      </c>
      <c r="C1001" s="17">
        <v>0.2</v>
      </c>
      <c r="D1001" s="17">
        <v>0.21</v>
      </c>
      <c r="E1001" s="17">
        <v>0.2</v>
      </c>
      <c r="F1001" s="17">
        <v>0.2</v>
      </c>
      <c r="G1001" s="11"/>
      <c r="H1001" s="17">
        <v>0.2</v>
      </c>
      <c r="I1001" s="17">
        <v>0.2</v>
      </c>
      <c r="J1001" s="17">
        <v>0.2</v>
      </c>
      <c r="K1001" s="17">
        <v>0.2</v>
      </c>
      <c r="L1001" s="17">
        <v>0.2</v>
      </c>
      <c r="M1001" s="199"/>
      <c r="N1001" s="199"/>
      <c r="O1001" s="199"/>
      <c r="P1001" s="199"/>
      <c r="Q1001" s="199"/>
      <c r="R1001" s="58"/>
      <c r="S1001" s="58"/>
      <c r="T1001" s="58"/>
      <c r="U1001" s="58"/>
      <c r="V1001" s="58"/>
      <c r="W1001" s="58"/>
      <c r="X1001" s="58"/>
      <c r="Y1001" s="58"/>
    </row>
    <row r="1002" spans="1:25" ht="15" x14ac:dyDescent="0.25">
      <c r="A1002" s="169" t="s">
        <v>2495</v>
      </c>
      <c r="B1002" s="17">
        <v>0.38</v>
      </c>
      <c r="C1002" s="17">
        <v>0.38</v>
      </c>
      <c r="D1002" s="17">
        <v>0.4</v>
      </c>
      <c r="E1002" s="17">
        <v>0.2</v>
      </c>
      <c r="F1002" s="17">
        <v>0.4</v>
      </c>
      <c r="G1002" s="11"/>
      <c r="H1002" s="17">
        <v>0.38</v>
      </c>
      <c r="I1002" s="17">
        <v>0.38</v>
      </c>
      <c r="J1002" s="17">
        <v>0.2</v>
      </c>
      <c r="K1002" s="17">
        <v>0.2</v>
      </c>
      <c r="L1002" s="17">
        <v>0.4</v>
      </c>
      <c r="M1002" s="199"/>
      <c r="N1002" s="199"/>
      <c r="O1002" s="199"/>
      <c r="P1002" s="199"/>
      <c r="Q1002" s="199"/>
      <c r="R1002" s="58"/>
      <c r="S1002" s="58"/>
      <c r="T1002" s="58"/>
      <c r="U1002" s="58"/>
      <c r="V1002" s="58"/>
      <c r="W1002" s="58"/>
      <c r="X1002" s="58"/>
      <c r="Y1002" s="58"/>
    </row>
    <row r="1003" spans="1:25" ht="15" x14ac:dyDescent="0.25">
      <c r="A1003" s="169" t="s">
        <v>2496</v>
      </c>
      <c r="B1003" s="17">
        <v>0.38</v>
      </c>
      <c r="C1003" s="17">
        <v>0.38</v>
      </c>
      <c r="D1003" s="17">
        <v>0.4</v>
      </c>
      <c r="E1003" s="17">
        <v>0.2</v>
      </c>
      <c r="F1003" s="17">
        <v>0.4</v>
      </c>
      <c r="G1003" s="11"/>
      <c r="H1003" s="17">
        <v>0.38</v>
      </c>
      <c r="I1003" s="17">
        <v>0.38</v>
      </c>
      <c r="J1003" s="17">
        <v>0.2</v>
      </c>
      <c r="K1003" s="17">
        <v>0.2</v>
      </c>
      <c r="L1003" s="17">
        <v>0.4</v>
      </c>
      <c r="M1003" s="11"/>
      <c r="N1003" s="11"/>
      <c r="O1003" s="199"/>
      <c r="P1003" s="199"/>
      <c r="Q1003" s="199"/>
      <c r="R1003" s="58"/>
      <c r="S1003" s="58"/>
      <c r="T1003" s="58"/>
      <c r="U1003" s="58"/>
      <c r="V1003" s="58"/>
      <c r="W1003" s="58"/>
      <c r="X1003" s="58"/>
      <c r="Y1003" s="58"/>
    </row>
    <row r="1004" spans="1:25" ht="15" x14ac:dyDescent="0.25">
      <c r="A1004" s="671" t="s">
        <v>2497</v>
      </c>
      <c r="B1004" s="17">
        <v>0.2</v>
      </c>
      <c r="C1004" s="17">
        <v>0.2</v>
      </c>
      <c r="D1004" s="17">
        <v>0.21</v>
      </c>
      <c r="E1004" s="17">
        <v>0.2</v>
      </c>
      <c r="F1004" s="17">
        <v>0.2</v>
      </c>
      <c r="G1004" s="11"/>
      <c r="H1004" s="17">
        <v>0.2</v>
      </c>
      <c r="I1004" s="17">
        <v>0.2</v>
      </c>
      <c r="J1004" s="17">
        <v>0.2</v>
      </c>
      <c r="K1004" s="17">
        <v>0.2</v>
      </c>
      <c r="L1004" s="17">
        <v>0.2</v>
      </c>
      <c r="M1004" s="11"/>
      <c r="N1004" s="11"/>
      <c r="O1004" s="199"/>
      <c r="P1004" s="199"/>
      <c r="Q1004" s="199"/>
      <c r="R1004" s="58"/>
      <c r="S1004" s="58"/>
      <c r="T1004" s="58"/>
      <c r="U1004" s="58"/>
      <c r="V1004" s="58"/>
      <c r="W1004" s="58"/>
      <c r="X1004" s="58"/>
      <c r="Y1004" s="58"/>
    </row>
    <row r="1005" spans="1:25" ht="15" x14ac:dyDescent="0.25">
      <c r="A1005" s="199" t="s">
        <v>2498</v>
      </c>
      <c r="B1005" s="17">
        <v>0.28999999999999998</v>
      </c>
      <c r="C1005" s="17">
        <v>0.28999999999999998</v>
      </c>
      <c r="D1005" s="17">
        <v>0.27</v>
      </c>
      <c r="E1005" s="17">
        <v>0.2</v>
      </c>
      <c r="F1005" s="17">
        <v>0.31</v>
      </c>
      <c r="G1005" s="11"/>
      <c r="H1005" s="17">
        <v>0.28999999999999998</v>
      </c>
      <c r="I1005" s="17">
        <v>0.28999999999999998</v>
      </c>
      <c r="J1005" s="17">
        <v>0.2</v>
      </c>
      <c r="K1005" s="17">
        <v>0.2</v>
      </c>
      <c r="L1005" s="17">
        <v>0.31</v>
      </c>
      <c r="M1005" s="199"/>
      <c r="N1005" s="199"/>
      <c r="O1005" s="199"/>
      <c r="P1005" s="199"/>
      <c r="Q1005" s="199"/>
      <c r="R1005" s="58"/>
      <c r="S1005" s="58"/>
      <c r="T1005" s="58"/>
      <c r="U1005" s="58"/>
      <c r="V1005" s="58"/>
      <c r="W1005" s="58"/>
      <c r="X1005" s="58"/>
      <c r="Y1005" s="58"/>
    </row>
    <row r="1006" spans="1:25" ht="45.75" customHeight="1" thickBot="1" x14ac:dyDescent="0.3">
      <c r="A1006" s="15"/>
      <c r="B1006" s="15"/>
      <c r="C1006" s="15"/>
      <c r="D1006" s="15"/>
      <c r="E1006" s="15"/>
      <c r="F1006" s="4594" t="s">
        <v>5103</v>
      </c>
      <c r="G1006" s="4595"/>
      <c r="H1006" s="733">
        <v>24</v>
      </c>
      <c r="I1006" s="733">
        <v>28</v>
      </c>
      <c r="J1006" s="733">
        <v>24</v>
      </c>
      <c r="K1006" s="733">
        <v>28</v>
      </c>
      <c r="L1006" s="491">
        <v>28</v>
      </c>
      <c r="M1006" s="11"/>
      <c r="N1006" s="11"/>
      <c r="O1006" s="199"/>
      <c r="P1006" s="199"/>
      <c r="Q1006" s="199"/>
      <c r="R1006" s="58"/>
      <c r="S1006" s="58"/>
      <c r="T1006" s="58"/>
      <c r="U1006" s="58"/>
      <c r="V1006" s="58"/>
      <c r="W1006" s="58"/>
      <c r="X1006" s="58"/>
      <c r="Y1006" s="58"/>
    </row>
    <row r="1007" spans="1:25" ht="15.75" thickBot="1" x14ac:dyDescent="0.3">
      <c r="A1007" s="15"/>
      <c r="B1007" s="15"/>
      <c r="C1007" s="15"/>
      <c r="D1007" s="15"/>
      <c r="E1007" s="15"/>
      <c r="F1007" s="4592" t="s">
        <v>5144</v>
      </c>
      <c r="G1007" s="4593"/>
      <c r="H1007" s="734">
        <v>-1</v>
      </c>
      <c r="I1007" s="734">
        <v>-1</v>
      </c>
      <c r="J1007" s="734">
        <v>-2</v>
      </c>
      <c r="K1007" s="734">
        <v>-2</v>
      </c>
      <c r="L1007" s="735">
        <v>-1</v>
      </c>
      <c r="M1007" s="11"/>
      <c r="N1007" s="11"/>
      <c r="O1007" s="199"/>
      <c r="P1007" s="199"/>
      <c r="Q1007" s="199"/>
      <c r="R1007" s="58"/>
      <c r="S1007" s="58"/>
      <c r="T1007" s="58"/>
      <c r="U1007" s="58"/>
      <c r="V1007" s="58"/>
      <c r="W1007" s="58"/>
      <c r="X1007" s="58"/>
      <c r="Y1007" s="58"/>
    </row>
    <row r="1008" spans="1:25" ht="15" x14ac:dyDescent="0.25">
      <c r="A1008" s="11"/>
      <c r="B1008" s="11"/>
      <c r="C1008" s="11"/>
      <c r="D1008" s="11"/>
      <c r="E1008" s="11"/>
      <c r="F1008" s="11"/>
      <c r="G1008" s="11"/>
      <c r="H1008" s="11"/>
      <c r="I1008" s="11"/>
      <c r="J1008" s="11"/>
      <c r="K1008" s="11"/>
      <c r="L1008" s="11"/>
      <c r="M1008" s="11"/>
      <c r="N1008" s="11"/>
      <c r="O1008" s="199"/>
      <c r="P1008" s="199"/>
      <c r="Q1008" s="199"/>
      <c r="R1008" s="58"/>
      <c r="S1008" s="58"/>
      <c r="T1008" s="58"/>
      <c r="U1008" s="58"/>
      <c r="V1008" s="58"/>
      <c r="W1008" s="58"/>
      <c r="X1008" s="58"/>
      <c r="Y1008" s="58"/>
    </row>
    <row r="1009" spans="1:25" ht="15.75" x14ac:dyDescent="0.25">
      <c r="A1009" s="31" t="s">
        <v>3347</v>
      </c>
      <c r="B1009" s="11"/>
      <c r="C1009" s="11"/>
      <c r="D1009" s="11"/>
      <c r="E1009" s="11"/>
      <c r="F1009" s="11"/>
      <c r="G1009" s="11"/>
      <c r="H1009" s="11"/>
      <c r="I1009" s="11"/>
      <c r="J1009" s="11"/>
      <c r="K1009" s="11"/>
      <c r="L1009" s="11"/>
      <c r="M1009" s="11"/>
      <c r="N1009" s="11"/>
      <c r="O1009" s="199"/>
      <c r="P1009" s="199"/>
      <c r="Q1009" s="199"/>
      <c r="R1009" s="58"/>
      <c r="S1009" s="58"/>
      <c r="T1009" s="58"/>
      <c r="U1009" s="58"/>
      <c r="V1009" s="58"/>
      <c r="W1009" s="58"/>
      <c r="X1009" s="58"/>
      <c r="Y1009" s="58"/>
    </row>
    <row r="1010" spans="1:25" ht="15" x14ac:dyDescent="0.25">
      <c r="A1010" s="11"/>
      <c r="B1010" s="732" t="s">
        <v>277</v>
      </c>
      <c r="C1010" s="11"/>
      <c r="D1010" s="11"/>
      <c r="E1010" s="11"/>
      <c r="F1010" s="11"/>
      <c r="G1010" s="11"/>
      <c r="H1010" s="11"/>
      <c r="I1010" s="732" t="s">
        <v>278</v>
      </c>
      <c r="J1010" s="11"/>
      <c r="K1010" s="11"/>
      <c r="L1010" s="11"/>
      <c r="M1010" s="11"/>
      <c r="N1010" s="11"/>
      <c r="O1010" s="199"/>
      <c r="P1010" s="199"/>
      <c r="Q1010" s="199"/>
      <c r="R1010" s="58"/>
      <c r="S1010" s="58"/>
      <c r="T1010" s="58"/>
      <c r="U1010" s="58"/>
      <c r="V1010" s="58"/>
      <c r="W1010" s="58"/>
      <c r="X1010" s="58"/>
      <c r="Y1010" s="58"/>
    </row>
    <row r="1011" spans="1:25" ht="156.75" x14ac:dyDescent="0.25">
      <c r="A1011" s="377" t="s">
        <v>4851</v>
      </c>
      <c r="B1011" s="736" t="s">
        <v>5145</v>
      </c>
      <c r="C1011" s="736" t="s">
        <v>5146</v>
      </c>
      <c r="D1011" s="736" t="s">
        <v>3800</v>
      </c>
      <c r="E1011" s="737" t="s">
        <v>3801</v>
      </c>
      <c r="F1011" s="737" t="s">
        <v>5087</v>
      </c>
      <c r="G1011" s="737" t="s">
        <v>5088</v>
      </c>
      <c r="H1011" s="367" t="s">
        <v>4851</v>
      </c>
      <c r="I1011" s="736" t="s">
        <v>5146</v>
      </c>
      <c r="J1011" s="736" t="s">
        <v>3800</v>
      </c>
      <c r="K1011" s="736" t="s">
        <v>3801</v>
      </c>
      <c r="L1011" s="738" t="s">
        <v>5089</v>
      </c>
      <c r="M1011" s="59"/>
      <c r="N1011" s="11"/>
      <c r="O1011" s="199"/>
      <c r="P1011" s="199"/>
      <c r="Q1011" s="199"/>
      <c r="R1011" s="58"/>
      <c r="S1011" s="58"/>
      <c r="T1011" s="58"/>
      <c r="U1011" s="58"/>
      <c r="V1011" s="58"/>
      <c r="W1011" s="58"/>
      <c r="X1011" s="58"/>
      <c r="Y1011" s="58"/>
    </row>
    <row r="1012" spans="1:25" ht="15" x14ac:dyDescent="0.25">
      <c r="A1012" s="392" t="s">
        <v>4381</v>
      </c>
      <c r="B1012" s="17">
        <v>2</v>
      </c>
      <c r="C1012" s="17">
        <v>50</v>
      </c>
      <c r="D1012" s="17">
        <v>490</v>
      </c>
      <c r="E1012" s="17">
        <v>200</v>
      </c>
      <c r="F1012" s="17">
        <v>1.47</v>
      </c>
      <c r="G1012" s="17">
        <v>0.9</v>
      </c>
      <c r="H1012" s="392" t="s">
        <v>4381</v>
      </c>
      <c r="I1012" s="17">
        <v>100</v>
      </c>
      <c r="J1012" s="17">
        <v>490</v>
      </c>
      <c r="K1012" s="17">
        <v>400</v>
      </c>
      <c r="L1012" s="71">
        <v>0.66</v>
      </c>
      <c r="M1012" s="11"/>
      <c r="N1012" s="11"/>
      <c r="O1012" s="199"/>
      <c r="P1012" s="199"/>
      <c r="Q1012" s="199"/>
      <c r="R1012" s="58"/>
      <c r="S1012" s="58"/>
      <c r="T1012" s="58"/>
      <c r="U1012" s="58"/>
      <c r="V1012" s="58"/>
      <c r="W1012" s="58"/>
      <c r="X1012" s="58"/>
      <c r="Y1012" s="58"/>
    </row>
    <row r="1013" spans="1:25" ht="15" x14ac:dyDescent="0.25">
      <c r="A1013" s="175" t="s">
        <v>4382</v>
      </c>
      <c r="B1013" s="17">
        <v>2</v>
      </c>
      <c r="C1013" s="17">
        <v>50</v>
      </c>
      <c r="D1013" s="17">
        <v>490</v>
      </c>
      <c r="E1013" s="17">
        <v>100</v>
      </c>
      <c r="F1013" s="17">
        <v>1.36</v>
      </c>
      <c r="G1013" s="17">
        <v>0.9</v>
      </c>
      <c r="H1013" s="175" t="s">
        <v>4382</v>
      </c>
      <c r="I1013" s="17">
        <v>100</v>
      </c>
      <c r="J1013" s="17">
        <v>490</v>
      </c>
      <c r="K1013" s="17">
        <v>200</v>
      </c>
      <c r="L1013" s="71">
        <v>1</v>
      </c>
      <c r="M1013" s="11"/>
      <c r="N1013" s="11"/>
      <c r="O1013" s="199"/>
      <c r="P1013" s="199"/>
      <c r="Q1013" s="199"/>
      <c r="R1013" s="58"/>
      <c r="S1013" s="58"/>
      <c r="T1013" s="58"/>
      <c r="U1013" s="58"/>
      <c r="V1013" s="58"/>
      <c r="W1013" s="58"/>
      <c r="X1013" s="58"/>
      <c r="Y1013" s="58"/>
    </row>
    <row r="1014" spans="1:25" ht="15" x14ac:dyDescent="0.25">
      <c r="A1014" s="175" t="s">
        <v>281</v>
      </c>
      <c r="B1014" s="17">
        <v>1.5</v>
      </c>
      <c r="C1014" s="17">
        <v>67</v>
      </c>
      <c r="D1014" s="17">
        <v>335</v>
      </c>
      <c r="E1014" s="17">
        <v>200</v>
      </c>
      <c r="F1014" s="17">
        <v>0.86</v>
      </c>
      <c r="G1014" s="17">
        <v>1</v>
      </c>
      <c r="H1014" s="175" t="s">
        <v>281</v>
      </c>
      <c r="I1014" s="17">
        <v>134</v>
      </c>
      <c r="J1014" s="17">
        <v>670</v>
      </c>
      <c r="K1014" s="17">
        <v>400</v>
      </c>
      <c r="L1014" s="71">
        <v>0.66</v>
      </c>
      <c r="M1014" s="11"/>
      <c r="N1014" s="11"/>
      <c r="O1014" s="199"/>
      <c r="P1014" s="199"/>
      <c r="Q1014" s="199"/>
      <c r="R1014" s="58"/>
      <c r="S1014" s="58"/>
      <c r="T1014" s="58"/>
      <c r="U1014" s="58"/>
      <c r="V1014" s="58"/>
      <c r="W1014" s="58"/>
      <c r="X1014" s="58"/>
      <c r="Y1014" s="58"/>
    </row>
    <row r="1015" spans="1:25" ht="15" x14ac:dyDescent="0.25">
      <c r="A1015" s="175" t="s">
        <v>2980</v>
      </c>
      <c r="B1015" s="17">
        <v>1.5</v>
      </c>
      <c r="C1015" s="17">
        <v>67</v>
      </c>
      <c r="D1015" s="17">
        <v>335</v>
      </c>
      <c r="E1015" s="17">
        <v>200</v>
      </c>
      <c r="F1015" s="17">
        <v>0.8</v>
      </c>
      <c r="G1015" s="17">
        <v>1.1000000000000001</v>
      </c>
      <c r="H1015" s="175" t="s">
        <v>2980</v>
      </c>
      <c r="I1015" s="17">
        <v>134</v>
      </c>
      <c r="J1015" s="17">
        <v>670</v>
      </c>
      <c r="K1015" s="17">
        <v>400</v>
      </c>
      <c r="L1015" s="71">
        <v>1</v>
      </c>
      <c r="M1015" s="11"/>
      <c r="N1015" s="11"/>
      <c r="O1015" s="199"/>
      <c r="P1015" s="199"/>
      <c r="Q1015" s="199"/>
      <c r="R1015" s="58"/>
      <c r="S1015" s="58"/>
      <c r="T1015" s="58"/>
      <c r="U1015" s="58"/>
      <c r="V1015" s="58"/>
      <c r="W1015" s="58"/>
      <c r="X1015" s="58"/>
      <c r="Y1015" s="58"/>
    </row>
    <row r="1016" spans="1:25" ht="15" x14ac:dyDescent="0.25">
      <c r="A1016" s="175" t="s">
        <v>2981</v>
      </c>
      <c r="B1016" s="17">
        <v>1.7</v>
      </c>
      <c r="C1016" s="17">
        <v>59</v>
      </c>
      <c r="D1016" s="17">
        <v>319</v>
      </c>
      <c r="E1016" s="17">
        <v>176</v>
      </c>
      <c r="F1016" s="17">
        <v>0.86</v>
      </c>
      <c r="G1016" s="17">
        <v>0.9</v>
      </c>
      <c r="H1016" s="175" t="s">
        <v>2981</v>
      </c>
      <c r="I1016" s="17">
        <v>118</v>
      </c>
      <c r="J1016" s="17">
        <v>319</v>
      </c>
      <c r="K1016" s="17">
        <v>352</v>
      </c>
      <c r="L1016" s="71">
        <v>1</v>
      </c>
      <c r="M1016" s="11"/>
      <c r="N1016" s="11"/>
      <c r="O1016" s="199"/>
      <c r="P1016" s="199"/>
      <c r="Q1016" s="199"/>
      <c r="R1016" s="58"/>
      <c r="S1016" s="58"/>
      <c r="T1016" s="58"/>
      <c r="U1016" s="58"/>
      <c r="V1016" s="58"/>
      <c r="W1016" s="58"/>
      <c r="X1016" s="58"/>
      <c r="Y1016" s="58"/>
    </row>
    <row r="1017" spans="1:25" ht="15" x14ac:dyDescent="0.25">
      <c r="A1017" s="198"/>
      <c r="B1017" s="15"/>
      <c r="C1017" s="15"/>
      <c r="D1017" s="15"/>
      <c r="E1017" s="15"/>
      <c r="F1017" s="15"/>
      <c r="G1017" s="15"/>
      <c r="H1017" s="198"/>
      <c r="I1017" s="15"/>
      <c r="J1017" s="15"/>
      <c r="K1017" s="15"/>
      <c r="L1017" s="14"/>
      <c r="M1017" s="11"/>
      <c r="N1017" s="11"/>
      <c r="O1017" s="199"/>
      <c r="P1017" s="199"/>
      <c r="Q1017" s="199"/>
      <c r="R1017" s="58"/>
      <c r="S1017" s="58"/>
      <c r="T1017" s="58"/>
      <c r="U1017" s="58"/>
      <c r="V1017" s="58"/>
      <c r="W1017" s="58"/>
      <c r="X1017" s="58"/>
      <c r="Y1017" s="58"/>
    </row>
    <row r="1018" spans="1:25" ht="15.75" x14ac:dyDescent="0.25">
      <c r="A1018" s="11"/>
      <c r="B1018" s="31" t="s">
        <v>3348</v>
      </c>
      <c r="C1018" s="11"/>
      <c r="D1018" s="11"/>
      <c r="E1018" s="11"/>
      <c r="F1018" s="11"/>
      <c r="G1018" s="11"/>
      <c r="H1018" s="11"/>
      <c r="I1018" s="11"/>
      <c r="J1018" s="11"/>
      <c r="K1018" s="11"/>
      <c r="L1018" s="11"/>
      <c r="M1018" s="11"/>
      <c r="N1018" s="11"/>
      <c r="O1018" s="199"/>
      <c r="P1018" s="199"/>
      <c r="Q1018" s="199"/>
      <c r="R1018" s="58"/>
      <c r="S1018" s="58"/>
      <c r="T1018" s="58"/>
      <c r="U1018" s="58"/>
      <c r="V1018" s="58"/>
      <c r="W1018" s="58"/>
      <c r="X1018" s="58"/>
      <c r="Y1018" s="58"/>
    </row>
    <row r="1019" spans="1:25" ht="15" x14ac:dyDescent="0.25">
      <c r="A1019" s="70"/>
      <c r="B1019" s="509"/>
      <c r="C1019" s="376"/>
      <c r="D1019" s="376">
        <v>1</v>
      </c>
      <c r="E1019" s="376">
        <v>2</v>
      </c>
      <c r="F1019" s="376">
        <v>3</v>
      </c>
      <c r="G1019" s="376">
        <v>4</v>
      </c>
      <c r="H1019" s="446">
        <v>5</v>
      </c>
      <c r="I1019" s="446">
        <v>6</v>
      </c>
      <c r="J1019" s="446">
        <v>7</v>
      </c>
      <c r="K1019" s="62">
        <v>8</v>
      </c>
      <c r="L1019" s="376"/>
      <c r="M1019" s="726"/>
      <c r="N1019" s="11"/>
      <c r="O1019" s="199"/>
      <c r="P1019" s="199"/>
      <c r="Q1019" s="199"/>
      <c r="R1019" s="58"/>
      <c r="S1019" s="58"/>
      <c r="T1019" s="58"/>
      <c r="U1019" s="58"/>
      <c r="V1019" s="58"/>
      <c r="W1019" s="58"/>
      <c r="X1019" s="58"/>
      <c r="Y1019" s="58"/>
    </row>
    <row r="1020" spans="1:25" ht="15" x14ac:dyDescent="0.25">
      <c r="A1020" s="70"/>
      <c r="B1020" s="4516" t="s">
        <v>284</v>
      </c>
      <c r="C1020" s="4590" t="s">
        <v>285</v>
      </c>
      <c r="D1020" s="4590" t="s">
        <v>2593</v>
      </c>
      <c r="E1020" s="4590" t="s">
        <v>47</v>
      </c>
      <c r="F1020" s="4590" t="s">
        <v>2493</v>
      </c>
      <c r="G1020" s="4590" t="s">
        <v>2494</v>
      </c>
      <c r="H1020" s="4467" t="s">
        <v>2495</v>
      </c>
      <c r="I1020" s="4590" t="s">
        <v>2496</v>
      </c>
      <c r="J1020" s="4590" t="s">
        <v>2497</v>
      </c>
      <c r="K1020" s="4467" t="s">
        <v>2498</v>
      </c>
      <c r="L1020" s="445"/>
      <c r="M1020" s="70"/>
      <c r="N1020" s="70"/>
      <c r="O1020" s="70"/>
      <c r="P1020" s="4591"/>
      <c r="Q1020" s="199"/>
      <c r="R1020" s="58"/>
      <c r="S1020" s="58"/>
      <c r="T1020" s="58"/>
      <c r="U1020" s="58"/>
      <c r="V1020" s="58"/>
      <c r="W1020" s="58"/>
      <c r="X1020" s="58"/>
      <c r="Y1020" s="58"/>
    </row>
    <row r="1021" spans="1:25" ht="15" x14ac:dyDescent="0.25">
      <c r="A1021" s="70"/>
      <c r="B1021" s="4516"/>
      <c r="C1021" s="4590"/>
      <c r="D1021" s="4467"/>
      <c r="E1021" s="4467"/>
      <c r="F1021" s="4467"/>
      <c r="G1021" s="4467"/>
      <c r="H1021" s="4467"/>
      <c r="I1021" s="4590"/>
      <c r="J1021" s="4590"/>
      <c r="K1021" s="4467"/>
      <c r="L1021" s="70"/>
      <c r="M1021" s="520"/>
      <c r="N1021" s="70"/>
      <c r="O1021" s="520"/>
      <c r="P1021" s="4441"/>
      <c r="Q1021" s="199"/>
      <c r="R1021" s="58"/>
      <c r="S1021" s="58"/>
      <c r="T1021" s="58"/>
      <c r="U1021" s="58"/>
      <c r="V1021" s="58"/>
      <c r="W1021" s="58"/>
      <c r="X1021" s="58"/>
      <c r="Y1021" s="58"/>
    </row>
    <row r="1022" spans="1:25" ht="15" x14ac:dyDescent="0.25">
      <c r="A1022" s="11"/>
      <c r="B1022" s="4585" t="s">
        <v>5445</v>
      </c>
      <c r="C1022" s="194" t="s">
        <v>2492</v>
      </c>
      <c r="D1022" s="65">
        <v>45.6</v>
      </c>
      <c r="E1022" s="65">
        <v>0</v>
      </c>
      <c r="F1022" s="65">
        <v>48.4</v>
      </c>
      <c r="G1022" s="65">
        <v>48.4</v>
      </c>
      <c r="H1022" s="17">
        <v>0</v>
      </c>
      <c r="I1022" s="65">
        <v>48.4</v>
      </c>
      <c r="J1022" s="65">
        <v>48.4</v>
      </c>
      <c r="K1022" s="17">
        <v>0</v>
      </c>
      <c r="L1022" s="70"/>
      <c r="M1022" s="520"/>
      <c r="N1022" s="15"/>
      <c r="O1022" s="520"/>
      <c r="P1022" s="70"/>
      <c r="Q1022" s="199"/>
      <c r="R1022" s="58"/>
      <c r="S1022" s="58"/>
      <c r="T1022" s="58"/>
      <c r="U1022" s="58"/>
      <c r="V1022" s="58"/>
      <c r="W1022" s="58"/>
      <c r="X1022" s="58"/>
      <c r="Y1022" s="58"/>
    </row>
    <row r="1023" spans="1:25" ht="15" x14ac:dyDescent="0.25">
      <c r="A1023" s="11"/>
      <c r="B1023" s="4585"/>
      <c r="C1023" s="727" t="s">
        <v>2491</v>
      </c>
      <c r="D1023" s="567">
        <v>17.3</v>
      </c>
      <c r="E1023" s="739">
        <v>0</v>
      </c>
      <c r="F1023" s="567">
        <v>5.8</v>
      </c>
      <c r="G1023" s="567">
        <v>5.8</v>
      </c>
      <c r="H1023" s="567">
        <v>0</v>
      </c>
      <c r="I1023" s="739">
        <v>5.8</v>
      </c>
      <c r="J1023" s="739">
        <v>5.8</v>
      </c>
      <c r="K1023" s="567">
        <v>0</v>
      </c>
      <c r="L1023" s="89"/>
      <c r="M1023" s="520"/>
      <c r="N1023" s="513"/>
      <c r="O1023" s="520"/>
      <c r="P1023" s="513"/>
      <c r="Q1023" s="199"/>
      <c r="R1023" s="58"/>
      <c r="S1023" s="58"/>
      <c r="T1023" s="58"/>
      <c r="U1023" s="58"/>
      <c r="V1023" s="58"/>
      <c r="W1023" s="58"/>
      <c r="X1023" s="58"/>
      <c r="Y1023" s="58"/>
    </row>
    <row r="1024" spans="1:25" ht="15" x14ac:dyDescent="0.25">
      <c r="A1024" s="11"/>
      <c r="B1024" s="4585"/>
      <c r="C1024" s="740" t="s">
        <v>5446</v>
      </c>
      <c r="D1024" s="741">
        <f t="shared" ref="D1024:K1024" si="3">(D1022+D1023)/2</f>
        <v>31.450000000000003</v>
      </c>
      <c r="E1024" s="741">
        <f t="shared" si="3"/>
        <v>0</v>
      </c>
      <c r="F1024" s="741">
        <f t="shared" si="3"/>
        <v>27.099999999999998</v>
      </c>
      <c r="G1024" s="741">
        <f t="shared" si="3"/>
        <v>27.099999999999998</v>
      </c>
      <c r="H1024" s="741">
        <f t="shared" si="3"/>
        <v>0</v>
      </c>
      <c r="I1024" s="741">
        <f t="shared" si="3"/>
        <v>27.099999999999998</v>
      </c>
      <c r="J1024" s="741">
        <f t="shared" si="3"/>
        <v>27.099999999999998</v>
      </c>
      <c r="K1024" s="741">
        <f t="shared" si="3"/>
        <v>0</v>
      </c>
      <c r="L1024" s="742"/>
      <c r="M1024" s="520"/>
      <c r="N1024" s="742"/>
      <c r="O1024" s="520"/>
      <c r="P1024" s="742"/>
      <c r="Q1024" s="199"/>
      <c r="R1024" s="58"/>
      <c r="S1024" s="58"/>
      <c r="T1024" s="58"/>
      <c r="U1024" s="58"/>
      <c r="V1024" s="58"/>
      <c r="W1024" s="58"/>
      <c r="X1024" s="58"/>
      <c r="Y1024" s="58"/>
    </row>
    <row r="1025" spans="1:25" ht="15" x14ac:dyDescent="0.25">
      <c r="A1025" s="11"/>
      <c r="B1025" s="4585" t="s">
        <v>5447</v>
      </c>
      <c r="C1025" s="194" t="s">
        <v>2492</v>
      </c>
      <c r="D1025" s="65">
        <v>50.6</v>
      </c>
      <c r="E1025" s="65">
        <v>56.5</v>
      </c>
      <c r="F1025" s="65">
        <v>54</v>
      </c>
      <c r="G1025" s="65">
        <v>54</v>
      </c>
      <c r="H1025" s="65">
        <v>50.4</v>
      </c>
      <c r="I1025" s="65">
        <v>54</v>
      </c>
      <c r="J1025" s="65">
        <v>54</v>
      </c>
      <c r="K1025" s="65">
        <v>62.6</v>
      </c>
      <c r="L1025" s="70"/>
      <c r="M1025" s="520"/>
      <c r="N1025" s="70"/>
      <c r="O1025" s="520"/>
      <c r="P1025" s="70"/>
      <c r="Q1025" s="199"/>
      <c r="R1025" s="58"/>
      <c r="S1025" s="58"/>
      <c r="T1025" s="58"/>
      <c r="U1025" s="58"/>
      <c r="V1025" s="58"/>
      <c r="W1025" s="58"/>
      <c r="X1025" s="58"/>
      <c r="Y1025" s="58"/>
    </row>
    <row r="1026" spans="1:25" ht="15" x14ac:dyDescent="0.25">
      <c r="A1026" s="11"/>
      <c r="B1026" s="4467"/>
      <c r="C1026" s="727" t="s">
        <v>2491</v>
      </c>
      <c r="D1026" s="739">
        <v>27.3</v>
      </c>
      <c r="E1026" s="739">
        <v>22</v>
      </c>
      <c r="F1026" s="739">
        <v>16.3</v>
      </c>
      <c r="G1026" s="739">
        <v>16.3</v>
      </c>
      <c r="H1026" s="567">
        <v>21.7</v>
      </c>
      <c r="I1026" s="739">
        <v>16.3</v>
      </c>
      <c r="J1026" s="739">
        <v>16.3</v>
      </c>
      <c r="K1026" s="567">
        <v>39.200000000000003</v>
      </c>
      <c r="L1026" s="89"/>
      <c r="M1026" s="520"/>
      <c r="N1026" s="513"/>
      <c r="O1026" s="520"/>
      <c r="P1026" s="89"/>
      <c r="Q1026" s="199"/>
      <c r="R1026" s="58"/>
      <c r="S1026" s="58"/>
      <c r="T1026" s="58"/>
      <c r="U1026" s="58"/>
      <c r="V1026" s="58"/>
      <c r="W1026" s="58"/>
      <c r="X1026" s="58"/>
      <c r="Y1026" s="58"/>
    </row>
    <row r="1027" spans="1:25" ht="15" x14ac:dyDescent="0.25">
      <c r="A1027" s="11"/>
      <c r="B1027" s="4467"/>
      <c r="C1027" s="740" t="s">
        <v>5446</v>
      </c>
      <c r="D1027" s="743">
        <f t="shared" ref="D1027:K1027" si="4">(D1025+D1026)/2</f>
        <v>38.950000000000003</v>
      </c>
      <c r="E1027" s="743">
        <f t="shared" si="4"/>
        <v>39.25</v>
      </c>
      <c r="F1027" s="743">
        <f t="shared" si="4"/>
        <v>35.15</v>
      </c>
      <c r="G1027" s="743">
        <f t="shared" si="4"/>
        <v>35.15</v>
      </c>
      <c r="H1027" s="743">
        <f t="shared" si="4"/>
        <v>36.049999999999997</v>
      </c>
      <c r="I1027" s="743">
        <f t="shared" si="4"/>
        <v>35.15</v>
      </c>
      <c r="J1027" s="743">
        <f t="shared" si="4"/>
        <v>35.15</v>
      </c>
      <c r="K1027" s="743">
        <f t="shared" si="4"/>
        <v>50.900000000000006</v>
      </c>
      <c r="L1027" s="744"/>
      <c r="M1027" s="520"/>
      <c r="N1027" s="744"/>
      <c r="O1027" s="520"/>
      <c r="P1027" s="744"/>
      <c r="Q1027" s="199"/>
      <c r="R1027" s="58"/>
      <c r="S1027" s="58"/>
      <c r="T1027" s="58"/>
      <c r="U1027" s="58"/>
      <c r="V1027" s="58"/>
      <c r="W1027" s="58"/>
      <c r="X1027" s="58"/>
      <c r="Y1027" s="58"/>
    </row>
    <row r="1028" spans="1:25" ht="15" x14ac:dyDescent="0.25">
      <c r="A1028" s="11"/>
      <c r="B1028" s="4585" t="s">
        <v>5448</v>
      </c>
      <c r="C1028" s="194" t="s">
        <v>5449</v>
      </c>
      <c r="D1028" s="745">
        <f>12/1.8</f>
        <v>6.6666666666666661</v>
      </c>
      <c r="E1028" s="745">
        <f>15/1.8</f>
        <v>8.3333333333333339</v>
      </c>
      <c r="F1028" s="745">
        <f>12/1.8</f>
        <v>6.6666666666666661</v>
      </c>
      <c r="G1028" s="745">
        <f>12/1.8</f>
        <v>6.6666666666666661</v>
      </c>
      <c r="H1028" s="745">
        <f>15/1.8</f>
        <v>8.3333333333333339</v>
      </c>
      <c r="I1028" s="745">
        <f>12/1.8</f>
        <v>6.6666666666666661</v>
      </c>
      <c r="J1028" s="745">
        <f>12/1.8</f>
        <v>6.6666666666666661</v>
      </c>
      <c r="K1028" s="745">
        <f>15/1.8</f>
        <v>8.3333333333333339</v>
      </c>
      <c r="L1028" s="746"/>
      <c r="M1028" s="520"/>
      <c r="N1028" s="746"/>
      <c r="O1028" s="520"/>
      <c r="P1028" s="746"/>
      <c r="Q1028" s="199"/>
      <c r="R1028" s="58"/>
      <c r="S1028" s="58"/>
      <c r="T1028" s="58"/>
      <c r="U1028" s="58"/>
      <c r="V1028" s="58"/>
      <c r="W1028" s="58"/>
      <c r="X1028" s="58"/>
      <c r="Y1028" s="58"/>
    </row>
    <row r="1029" spans="1:25" ht="15" x14ac:dyDescent="0.25">
      <c r="A1029" s="11"/>
      <c r="B1029" s="4467"/>
      <c r="C1029" s="194" t="s">
        <v>5451</v>
      </c>
      <c r="D1029" s="745">
        <f>15/1.8</f>
        <v>8.3333333333333339</v>
      </c>
      <c r="E1029" s="745">
        <f>15/1.8</f>
        <v>8.3333333333333339</v>
      </c>
      <c r="F1029" s="745">
        <f>12/1.8</f>
        <v>6.6666666666666661</v>
      </c>
      <c r="G1029" s="745">
        <f>12/1.8</f>
        <v>6.6666666666666661</v>
      </c>
      <c r="H1029" s="745">
        <f>15/1.8</f>
        <v>8.3333333333333339</v>
      </c>
      <c r="I1029" s="745">
        <f>12/1.8</f>
        <v>6.6666666666666661</v>
      </c>
      <c r="J1029" s="745">
        <f>12/1.8</f>
        <v>6.6666666666666661</v>
      </c>
      <c r="K1029" s="745">
        <f>15/1.8</f>
        <v>8.3333333333333339</v>
      </c>
      <c r="L1029" s="746"/>
      <c r="M1029" s="520"/>
      <c r="N1029" s="746"/>
      <c r="O1029" s="520"/>
      <c r="P1029" s="746"/>
      <c r="Q1029" s="199"/>
      <c r="R1029" s="58"/>
      <c r="S1029" s="58"/>
      <c r="T1029" s="58"/>
      <c r="U1029" s="58"/>
      <c r="V1029" s="58"/>
      <c r="W1029" s="58"/>
      <c r="X1029" s="58"/>
      <c r="Y1029" s="58"/>
    </row>
    <row r="1030" spans="1:25" ht="15" x14ac:dyDescent="0.25">
      <c r="A1030" s="11"/>
      <c r="B1030" s="70"/>
      <c r="C1030" s="376"/>
      <c r="D1030" s="746"/>
      <c r="E1030" s="746"/>
      <c r="F1030" s="746"/>
      <c r="G1030" s="746"/>
      <c r="H1030" s="746"/>
      <c r="I1030" s="746"/>
      <c r="J1030" s="746"/>
      <c r="K1030" s="746"/>
      <c r="L1030" s="746"/>
      <c r="M1030" s="520"/>
      <c r="N1030" s="746"/>
      <c r="O1030" s="520"/>
      <c r="P1030" s="746"/>
      <c r="Q1030" s="199"/>
      <c r="R1030" s="58"/>
      <c r="S1030" s="58"/>
      <c r="T1030" s="58"/>
      <c r="U1030" s="58"/>
      <c r="V1030" s="58"/>
      <c r="W1030" s="58"/>
      <c r="X1030" s="58"/>
      <c r="Y1030" s="58"/>
    </row>
    <row r="1031" spans="1:25" ht="15" x14ac:dyDescent="0.25">
      <c r="A1031" s="199"/>
      <c r="B1031" s="666"/>
      <c r="C1031" s="666"/>
      <c r="D1031" s="666"/>
      <c r="E1031" s="666"/>
      <c r="F1031" s="666"/>
      <c r="G1031" s="666"/>
      <c r="H1031" s="666"/>
      <c r="I1031" s="666"/>
      <c r="J1031" s="666"/>
      <c r="K1031" s="666"/>
      <c r="L1031" s="666"/>
      <c r="M1031" s="666"/>
      <c r="N1031" s="666"/>
      <c r="O1031" s="666"/>
      <c r="P1031" s="666"/>
      <c r="Q1031" s="666"/>
      <c r="R1031" s="747"/>
      <c r="S1031" s="747"/>
      <c r="T1031" s="58"/>
      <c r="U1031" s="58"/>
      <c r="V1031" s="58"/>
      <c r="W1031" s="58"/>
      <c r="X1031" s="58"/>
      <c r="Y1031" s="58"/>
    </row>
    <row r="1032" spans="1:25" ht="18.75" x14ac:dyDescent="0.3">
      <c r="A1032" s="199"/>
      <c r="B1032" s="624" t="s">
        <v>5090</v>
      </c>
      <c r="C1032" s="199"/>
      <c r="D1032" s="199"/>
      <c r="E1032" s="199"/>
      <c r="F1032" s="199"/>
      <c r="G1032" s="199"/>
      <c r="H1032" s="199"/>
      <c r="I1032" s="199"/>
      <c r="J1032" s="199"/>
      <c r="K1032" s="199"/>
      <c r="L1032" s="199"/>
      <c r="M1032" s="199"/>
      <c r="N1032" s="199"/>
      <c r="O1032" s="199"/>
      <c r="P1032" s="199"/>
      <c r="Q1032" s="199"/>
      <c r="R1032" s="58"/>
      <c r="S1032" s="58"/>
      <c r="T1032" s="58"/>
      <c r="U1032" s="58"/>
      <c r="V1032" s="58"/>
      <c r="W1032" s="58"/>
      <c r="X1032" s="58"/>
      <c r="Y1032" s="58"/>
    </row>
    <row r="1033" spans="1:25" ht="15" x14ac:dyDescent="0.25">
      <c r="A1033" s="199"/>
      <c r="B1033" s="713"/>
      <c r="C1033" s="748" t="s">
        <v>5082</v>
      </c>
      <c r="D1033" s="714"/>
      <c r="E1033" s="714"/>
      <c r="F1033" s="714"/>
      <c r="G1033" s="714"/>
      <c r="H1033" s="714"/>
      <c r="I1033" s="714"/>
      <c r="J1033" s="715"/>
      <c r="K1033" s="199"/>
      <c r="L1033" s="199"/>
      <c r="M1033" s="199"/>
      <c r="N1033" s="199"/>
      <c r="O1033" s="199"/>
      <c r="P1033" s="199"/>
      <c r="Q1033" s="199"/>
      <c r="R1033" s="58"/>
      <c r="S1033" s="58"/>
      <c r="T1033" s="58"/>
      <c r="U1033" s="58"/>
      <c r="V1033" s="58"/>
      <c r="W1033" s="58"/>
      <c r="X1033" s="58"/>
      <c r="Y1033" s="58"/>
    </row>
    <row r="1034" spans="1:25" ht="15" x14ac:dyDescent="0.25">
      <c r="A1034" s="199"/>
      <c r="B1034" s="716"/>
      <c r="C1034" s="749" t="s">
        <v>3255</v>
      </c>
      <c r="D1034" s="750"/>
      <c r="E1034" s="750"/>
      <c r="F1034" s="750"/>
      <c r="G1034" s="750"/>
      <c r="H1034" s="750"/>
      <c r="I1034" s="750"/>
      <c r="J1034" s="751"/>
      <c r="K1034" s="199"/>
      <c r="L1034" s="713"/>
      <c r="M1034" s="714"/>
      <c r="N1034" s="714"/>
      <c r="O1034" s="714"/>
      <c r="P1034" s="714"/>
      <c r="Q1034" s="714"/>
      <c r="R1034" s="752"/>
      <c r="S1034" s="753"/>
      <c r="T1034" s="58"/>
      <c r="U1034" s="58"/>
      <c r="V1034" s="58"/>
      <c r="W1034" s="58"/>
      <c r="X1034" s="58"/>
      <c r="Y1034" s="58"/>
    </row>
    <row r="1035" spans="1:25" ht="15" x14ac:dyDescent="0.25">
      <c r="A1035" s="199"/>
      <c r="B1035" s="754" t="s">
        <v>2340</v>
      </c>
      <c r="C1035" s="587">
        <v>0.51</v>
      </c>
      <c r="D1035" s="587">
        <v>0.64</v>
      </c>
      <c r="E1035" s="587">
        <v>0.78</v>
      </c>
      <c r="F1035" s="587">
        <v>0.93</v>
      </c>
      <c r="G1035" s="587">
        <v>1.07</v>
      </c>
      <c r="H1035" s="587">
        <v>1.23</v>
      </c>
      <c r="I1035" s="587">
        <v>1.41</v>
      </c>
      <c r="J1035" s="587">
        <v>1.58</v>
      </c>
      <c r="K1035" s="199"/>
      <c r="L1035" s="713"/>
      <c r="M1035" s="714">
        <v>0.51</v>
      </c>
      <c r="N1035" s="714" t="s">
        <v>5108</v>
      </c>
      <c r="O1035" s="714"/>
      <c r="P1035" s="714"/>
      <c r="Q1035" s="714" t="s">
        <v>44</v>
      </c>
      <c r="R1035" s="752">
        <v>7.16</v>
      </c>
      <c r="S1035" s="753"/>
      <c r="T1035" s="58"/>
      <c r="U1035" s="58"/>
      <c r="V1035" s="58"/>
      <c r="W1035" s="58"/>
      <c r="X1035" s="58"/>
      <c r="Y1035" s="58"/>
    </row>
    <row r="1036" spans="1:25" ht="15" x14ac:dyDescent="0.25">
      <c r="A1036" s="199"/>
      <c r="B1036" s="591">
        <v>1</v>
      </c>
      <c r="C1036" s="520">
        <v>2.36</v>
      </c>
      <c r="D1036" s="520">
        <v>2.0499999999999998</v>
      </c>
      <c r="E1036" s="520">
        <v>1.79</v>
      </c>
      <c r="F1036" s="520">
        <v>1.55</v>
      </c>
      <c r="G1036" s="520">
        <v>1.35</v>
      </c>
      <c r="H1036" s="520">
        <v>1.18</v>
      </c>
      <c r="I1036" s="520">
        <v>1.02</v>
      </c>
      <c r="J1036" s="717">
        <v>0.89</v>
      </c>
      <c r="K1036" s="591">
        <v>1</v>
      </c>
      <c r="L1036" s="716"/>
      <c r="M1036" s="520">
        <v>0.64</v>
      </c>
      <c r="N1036" s="520" t="s">
        <v>5109</v>
      </c>
      <c r="O1036" s="520"/>
      <c r="P1036" s="520"/>
      <c r="Q1036" s="520" t="s">
        <v>45</v>
      </c>
      <c r="R1036" s="462">
        <v>6.16</v>
      </c>
      <c r="S1036" s="755"/>
      <c r="T1036" s="58"/>
      <c r="U1036" s="58"/>
      <c r="V1036" s="58"/>
      <c r="W1036" s="58"/>
      <c r="X1036" s="58"/>
      <c r="Y1036" s="58"/>
    </row>
    <row r="1037" spans="1:25" ht="15" x14ac:dyDescent="0.25">
      <c r="A1037" s="199"/>
      <c r="B1037" s="756">
        <v>2</v>
      </c>
      <c r="C1037" s="520">
        <v>2.0499999999999998</v>
      </c>
      <c r="D1037" s="520">
        <v>1.79</v>
      </c>
      <c r="E1037" s="520">
        <v>1.55</v>
      </c>
      <c r="F1037" s="520">
        <v>1.35</v>
      </c>
      <c r="G1037" s="520">
        <v>1.18</v>
      </c>
      <c r="H1037" s="520">
        <v>1.02</v>
      </c>
      <c r="I1037" s="520">
        <v>0.89</v>
      </c>
      <c r="J1037" s="717">
        <v>0.77400000000000002</v>
      </c>
      <c r="K1037" s="756">
        <v>2</v>
      </c>
      <c r="L1037" s="716"/>
      <c r="M1037" s="520">
        <v>0.78</v>
      </c>
      <c r="N1037" s="520" t="s">
        <v>5110</v>
      </c>
      <c r="O1037" s="520"/>
      <c r="P1037" s="520"/>
      <c r="Q1037" s="520" t="s">
        <v>46</v>
      </c>
      <c r="R1037" s="462">
        <v>5.16</v>
      </c>
      <c r="S1037" s="755"/>
      <c r="T1037" s="58"/>
      <c r="U1037" s="58"/>
      <c r="V1037" s="58"/>
      <c r="W1037" s="58"/>
      <c r="X1037" s="58"/>
      <c r="Y1037" s="58"/>
    </row>
    <row r="1038" spans="1:25" ht="15" x14ac:dyDescent="0.25">
      <c r="A1038" s="199"/>
      <c r="B1038" s="756">
        <v>3</v>
      </c>
      <c r="C1038" s="520">
        <v>1.79</v>
      </c>
      <c r="D1038" s="520">
        <v>1.55</v>
      </c>
      <c r="E1038" s="520">
        <v>1.35</v>
      </c>
      <c r="F1038" s="520">
        <v>1.18</v>
      </c>
      <c r="G1038" s="520">
        <v>1.02</v>
      </c>
      <c r="H1038" s="520">
        <v>0.89</v>
      </c>
      <c r="I1038" s="520">
        <v>0.77400000000000002</v>
      </c>
      <c r="J1038" s="717">
        <v>0.67300000000000004</v>
      </c>
      <c r="K1038" s="756">
        <v>3</v>
      </c>
      <c r="L1038" s="716"/>
      <c r="M1038" s="520">
        <v>0.93</v>
      </c>
      <c r="N1038" s="520" t="s">
        <v>5111</v>
      </c>
      <c r="O1038" s="520"/>
      <c r="P1038" s="520"/>
      <c r="Q1038" s="520" t="s">
        <v>2984</v>
      </c>
      <c r="R1038" s="462">
        <v>4.16</v>
      </c>
      <c r="S1038" s="755"/>
      <c r="T1038" s="58"/>
      <c r="U1038" s="58"/>
      <c r="V1038" s="58"/>
      <c r="W1038" s="58"/>
      <c r="X1038" s="58"/>
      <c r="Y1038" s="58"/>
    </row>
    <row r="1039" spans="1:25" ht="15" x14ac:dyDescent="0.25">
      <c r="A1039" s="199"/>
      <c r="B1039" s="756">
        <v>4</v>
      </c>
      <c r="C1039" s="520">
        <v>1.55</v>
      </c>
      <c r="D1039" s="520">
        <v>1.35</v>
      </c>
      <c r="E1039" s="520">
        <v>1.18</v>
      </c>
      <c r="F1039" s="520">
        <v>1.02</v>
      </c>
      <c r="G1039" s="520">
        <v>0.89</v>
      </c>
      <c r="H1039" s="520">
        <v>0.77400000000000002</v>
      </c>
      <c r="I1039" s="520">
        <v>0.67300000000000004</v>
      </c>
      <c r="J1039" s="717">
        <v>0.58499999999999996</v>
      </c>
      <c r="K1039" s="756">
        <v>4</v>
      </c>
      <c r="L1039" s="716"/>
      <c r="M1039" s="520">
        <v>1.07</v>
      </c>
      <c r="N1039" s="520" t="s">
        <v>394</v>
      </c>
      <c r="O1039" s="520"/>
      <c r="P1039" s="520"/>
      <c r="Q1039" s="520" t="s">
        <v>2985</v>
      </c>
      <c r="R1039" s="462">
        <v>3.16</v>
      </c>
      <c r="S1039" s="755"/>
      <c r="T1039" s="58"/>
      <c r="U1039" s="58"/>
      <c r="V1039" s="58"/>
      <c r="W1039" s="58"/>
      <c r="X1039" s="58"/>
      <c r="Y1039" s="58"/>
    </row>
    <row r="1040" spans="1:25" ht="15" x14ac:dyDescent="0.25">
      <c r="A1040" s="199"/>
      <c r="B1040" s="756">
        <v>5</v>
      </c>
      <c r="C1040" s="520">
        <v>1.35</v>
      </c>
      <c r="D1040" s="520">
        <v>1.18</v>
      </c>
      <c r="E1040" s="520">
        <v>1.02</v>
      </c>
      <c r="F1040" s="520">
        <v>0.89</v>
      </c>
      <c r="G1040" s="520">
        <v>0.77400000000000002</v>
      </c>
      <c r="H1040" s="520">
        <v>0.67300000000000004</v>
      </c>
      <c r="I1040" s="520">
        <v>0.58499999999999996</v>
      </c>
      <c r="J1040" s="717">
        <v>0.50800000000000001</v>
      </c>
      <c r="K1040" s="756">
        <v>5</v>
      </c>
      <c r="L1040" s="716"/>
      <c r="M1040" s="520">
        <v>1.23</v>
      </c>
      <c r="N1040" s="520" t="s">
        <v>41</v>
      </c>
      <c r="O1040" s="520"/>
      <c r="P1040" s="520"/>
      <c r="Q1040" s="520" t="s">
        <v>2986</v>
      </c>
      <c r="R1040" s="462">
        <v>2.16</v>
      </c>
      <c r="S1040" s="755"/>
      <c r="T1040" s="58"/>
      <c r="U1040" s="58"/>
      <c r="V1040" s="58"/>
      <c r="W1040" s="58"/>
      <c r="X1040" s="58"/>
      <c r="Y1040" s="58"/>
    </row>
    <row r="1041" spans="1:25" ht="15" x14ac:dyDescent="0.25">
      <c r="A1041" s="199"/>
      <c r="B1041" s="756">
        <v>6</v>
      </c>
      <c r="C1041" s="520">
        <v>1.18</v>
      </c>
      <c r="D1041" s="520">
        <v>1.02</v>
      </c>
      <c r="E1041" s="520">
        <v>0.89</v>
      </c>
      <c r="F1041" s="520">
        <v>0.77400000000000002</v>
      </c>
      <c r="G1041" s="520">
        <v>0.67300000000000004</v>
      </c>
      <c r="H1041" s="520">
        <v>0.58499999999999996</v>
      </c>
      <c r="I1041" s="520">
        <v>0.50800000000000001</v>
      </c>
      <c r="J1041" s="717">
        <v>0.442</v>
      </c>
      <c r="K1041" s="756">
        <v>6</v>
      </c>
      <c r="L1041" s="716"/>
      <c r="M1041" s="520">
        <v>1.41</v>
      </c>
      <c r="N1041" s="520" t="s">
        <v>42</v>
      </c>
      <c r="O1041" s="520"/>
      <c r="P1041" s="520"/>
      <c r="Q1041" s="520" t="s">
        <v>2987</v>
      </c>
      <c r="R1041" s="462">
        <v>1.1599999999999999</v>
      </c>
      <c r="S1041" s="755"/>
      <c r="T1041" s="58"/>
      <c r="U1041" s="58"/>
      <c r="V1041" s="58"/>
      <c r="W1041" s="58"/>
      <c r="X1041" s="58"/>
      <c r="Y1041" s="58"/>
    </row>
    <row r="1042" spans="1:25" ht="15" x14ac:dyDescent="0.25">
      <c r="A1042" s="199"/>
      <c r="B1042" s="756">
        <v>7</v>
      </c>
      <c r="C1042" s="520">
        <v>1.02</v>
      </c>
      <c r="D1042" s="520">
        <v>0.89</v>
      </c>
      <c r="E1042" s="520">
        <v>0.77400000000000002</v>
      </c>
      <c r="F1042" s="520">
        <v>0.67300000000000004</v>
      </c>
      <c r="G1042" s="520">
        <v>0.58499999999999996</v>
      </c>
      <c r="H1042" s="520">
        <v>0.50800000000000001</v>
      </c>
      <c r="I1042" s="520">
        <v>0.442</v>
      </c>
      <c r="J1042" s="717">
        <v>0.38400000000000001</v>
      </c>
      <c r="K1042" s="756">
        <v>7</v>
      </c>
      <c r="L1042" s="716"/>
      <c r="M1042" s="520">
        <v>1.58</v>
      </c>
      <c r="N1042" s="520" t="s">
        <v>43</v>
      </c>
      <c r="O1042" s="520"/>
      <c r="P1042" s="520"/>
      <c r="Q1042" s="520" t="s">
        <v>2988</v>
      </c>
      <c r="R1042" s="462">
        <v>0.16</v>
      </c>
      <c r="S1042" s="755"/>
      <c r="T1042" s="58"/>
      <c r="U1042" s="58"/>
      <c r="V1042" s="58"/>
      <c r="W1042" s="58"/>
      <c r="X1042" s="58"/>
      <c r="Y1042" s="58"/>
    </row>
    <row r="1043" spans="1:25" ht="15" x14ac:dyDescent="0.25">
      <c r="A1043" s="199"/>
      <c r="B1043" s="756">
        <v>8</v>
      </c>
      <c r="C1043" s="520">
        <v>0.89</v>
      </c>
      <c r="D1043" s="520">
        <v>0.77400000000000002</v>
      </c>
      <c r="E1043" s="520">
        <v>0.67300000000000004</v>
      </c>
      <c r="F1043" s="520">
        <v>0.58499999999999996</v>
      </c>
      <c r="G1043" s="520">
        <v>0.50800000000000001</v>
      </c>
      <c r="H1043" s="520">
        <v>0.442</v>
      </c>
      <c r="I1043" s="520">
        <v>0.38400000000000001</v>
      </c>
      <c r="J1043" s="717">
        <v>0.33400000000000002</v>
      </c>
      <c r="K1043" s="756">
        <v>8</v>
      </c>
      <c r="L1043" s="716"/>
      <c r="M1043" s="520"/>
      <c r="N1043" s="520"/>
      <c r="O1043" s="520"/>
      <c r="P1043" s="520"/>
      <c r="Q1043" s="520"/>
      <c r="R1043" s="462"/>
      <c r="S1043" s="755"/>
      <c r="T1043" s="58"/>
      <c r="U1043" s="58"/>
      <c r="V1043" s="58"/>
      <c r="W1043" s="58"/>
      <c r="X1043" s="58"/>
      <c r="Y1043" s="58"/>
    </row>
    <row r="1044" spans="1:25" ht="15" x14ac:dyDescent="0.25">
      <c r="A1044" s="199"/>
      <c r="B1044" s="629">
        <v>9</v>
      </c>
      <c r="C1044" s="757">
        <v>0.77400000000000002</v>
      </c>
      <c r="D1044" s="757">
        <v>0.67300000000000004</v>
      </c>
      <c r="E1044" s="757">
        <v>0.58499999999999996</v>
      </c>
      <c r="F1044" s="757">
        <v>0.50800000000000001</v>
      </c>
      <c r="G1044" s="757">
        <v>0.442</v>
      </c>
      <c r="H1044" s="757">
        <v>0.38400000000000001</v>
      </c>
      <c r="I1044" s="757">
        <v>0.33400000000000002</v>
      </c>
      <c r="J1044" s="758">
        <v>0.29099999999999998</v>
      </c>
      <c r="K1044" s="629">
        <v>9</v>
      </c>
      <c r="L1044" s="716"/>
      <c r="M1044" s="520" t="s">
        <v>5080</v>
      </c>
      <c r="N1044" s="520">
        <v>1.02</v>
      </c>
      <c r="O1044" s="520"/>
      <c r="P1044" s="520"/>
      <c r="Q1044" s="494" t="s">
        <v>2989</v>
      </c>
      <c r="R1044" s="462"/>
      <c r="S1044" s="755"/>
      <c r="T1044" s="58"/>
      <c r="U1044" s="58"/>
      <c r="V1044" s="58"/>
      <c r="W1044" s="58"/>
      <c r="X1044" s="58"/>
      <c r="Y1044" s="58"/>
    </row>
    <row r="1045" spans="1:25" ht="18.75" x14ac:dyDescent="0.3">
      <c r="A1045" s="199"/>
      <c r="B1045" s="716"/>
      <c r="C1045" s="520"/>
      <c r="D1045" s="520"/>
      <c r="E1045" s="520"/>
      <c r="F1045" s="520"/>
      <c r="G1045" s="520"/>
      <c r="H1045" s="520"/>
      <c r="I1045" s="520"/>
      <c r="J1045" s="717"/>
      <c r="K1045" s="199"/>
      <c r="L1045" s="716"/>
      <c r="M1045" s="520" t="s">
        <v>5081</v>
      </c>
      <c r="N1045" s="520">
        <v>1.07</v>
      </c>
      <c r="O1045" s="759" t="s">
        <v>2990</v>
      </c>
      <c r="P1045" s="199"/>
      <c r="Q1045" s="199"/>
      <c r="R1045" s="462"/>
      <c r="S1045" s="755"/>
      <c r="T1045" s="58"/>
      <c r="U1045" s="58"/>
      <c r="V1045" s="58"/>
      <c r="W1045" s="58"/>
      <c r="X1045" s="58"/>
      <c r="Y1045" s="58"/>
    </row>
    <row r="1046" spans="1:25" ht="15" x14ac:dyDescent="0.25">
      <c r="A1046" s="199"/>
      <c r="B1046" s="760"/>
      <c r="C1046" s="757"/>
      <c r="D1046" s="757"/>
      <c r="E1046" s="757"/>
      <c r="F1046" s="757"/>
      <c r="G1046" s="757"/>
      <c r="H1046" s="757"/>
      <c r="I1046" s="757"/>
      <c r="J1046" s="758"/>
      <c r="K1046" s="199"/>
      <c r="L1046" s="760"/>
      <c r="M1046" s="757" t="s">
        <v>5107</v>
      </c>
      <c r="N1046" s="761">
        <f>ROUND(-7.16*LN(N1044)+10.312-6.53*N1045,0)</f>
        <v>3</v>
      </c>
      <c r="O1046" s="757"/>
      <c r="P1046" s="757"/>
      <c r="Q1046" s="757"/>
      <c r="R1046" s="762"/>
      <c r="S1046" s="763"/>
      <c r="T1046" s="58"/>
      <c r="U1046" s="58"/>
      <c r="V1046" s="58"/>
      <c r="W1046" s="58"/>
      <c r="X1046" s="58"/>
      <c r="Y1046" s="58"/>
    </row>
    <row r="1047" spans="1:25" ht="15" x14ac:dyDescent="0.25">
      <c r="A1047" s="199"/>
      <c r="B1047" s="520"/>
      <c r="C1047" s="520"/>
      <c r="D1047" s="520"/>
      <c r="E1047" s="520"/>
      <c r="F1047" s="520"/>
      <c r="G1047" s="520"/>
      <c r="H1047" s="520"/>
      <c r="I1047" s="520"/>
      <c r="J1047" s="520"/>
      <c r="K1047" s="199"/>
      <c r="L1047" s="520"/>
      <c r="M1047" s="520"/>
      <c r="N1047" s="622"/>
      <c r="O1047" s="520"/>
      <c r="P1047" s="520"/>
      <c r="Q1047" s="520"/>
      <c r="R1047" s="462"/>
      <c r="S1047" s="462"/>
      <c r="T1047" s="58"/>
      <c r="U1047" s="58"/>
      <c r="V1047" s="58"/>
      <c r="W1047" s="58"/>
      <c r="X1047" s="58"/>
      <c r="Y1047" s="58"/>
    </row>
    <row r="1048" spans="1:25" ht="15" x14ac:dyDescent="0.25">
      <c r="A1048" s="666"/>
      <c r="B1048" s="666"/>
      <c r="C1048" s="666"/>
      <c r="D1048" s="666"/>
      <c r="E1048" s="666"/>
      <c r="F1048" s="666"/>
      <c r="G1048" s="666"/>
      <c r="H1048" s="666"/>
      <c r="I1048" s="666"/>
      <c r="J1048" s="666"/>
      <c r="K1048" s="666"/>
      <c r="L1048" s="666"/>
      <c r="M1048" s="666"/>
      <c r="N1048" s="666"/>
      <c r="O1048" s="666"/>
      <c r="P1048" s="666"/>
      <c r="Q1048" s="666"/>
      <c r="R1048" s="747"/>
      <c r="S1048" s="747"/>
      <c r="T1048" s="747"/>
      <c r="U1048" s="747"/>
      <c r="V1048" s="58"/>
      <c r="W1048" s="58"/>
      <c r="X1048" s="58"/>
      <c r="Y1048" s="58"/>
    </row>
    <row r="1049" spans="1:25" ht="15.75" x14ac:dyDescent="0.25">
      <c r="A1049" s="199"/>
      <c r="B1049" s="577" t="s">
        <v>5166</v>
      </c>
      <c r="C1049" s="199"/>
      <c r="D1049" s="199"/>
      <c r="E1049" s="199"/>
      <c r="F1049" s="199"/>
      <c r="G1049" s="199"/>
      <c r="H1049" s="199"/>
      <c r="I1049" s="199"/>
      <c r="J1049" s="199"/>
      <c r="K1049" s="199"/>
      <c r="L1049" s="199"/>
      <c r="M1049" s="577" t="s">
        <v>5613</v>
      </c>
      <c r="N1049" s="199"/>
      <c r="O1049" s="199"/>
      <c r="P1049" s="199"/>
      <c r="Q1049" s="199"/>
      <c r="R1049" s="58"/>
      <c r="S1049" s="58"/>
      <c r="T1049" s="58"/>
      <c r="U1049" s="58"/>
      <c r="V1049" s="58"/>
      <c r="W1049" s="58"/>
      <c r="X1049" s="58"/>
      <c r="Y1049" s="58"/>
    </row>
    <row r="1050" spans="1:25" ht="15.75" x14ac:dyDescent="0.25">
      <c r="A1050" s="713"/>
      <c r="B1050" s="764"/>
      <c r="C1050" s="765" t="s">
        <v>5612</v>
      </c>
      <c r="D1050" s="714"/>
      <c r="E1050" s="714"/>
      <c r="F1050" s="714"/>
      <c r="G1050" s="714"/>
      <c r="H1050" s="714"/>
      <c r="I1050" s="714"/>
      <c r="J1050" s="715"/>
      <c r="K1050" s="199"/>
      <c r="L1050" s="713"/>
      <c r="M1050" s="764"/>
      <c r="N1050" s="765" t="s">
        <v>5612</v>
      </c>
      <c r="O1050" s="714"/>
      <c r="P1050" s="714"/>
      <c r="Q1050" s="714"/>
      <c r="R1050" s="752"/>
      <c r="S1050" s="752"/>
      <c r="T1050" s="752"/>
      <c r="U1050" s="753"/>
      <c r="V1050" s="58"/>
      <c r="W1050" s="58"/>
      <c r="X1050" s="58"/>
      <c r="Y1050" s="58"/>
    </row>
    <row r="1051" spans="1:25" ht="15" x14ac:dyDescent="0.25">
      <c r="A1051" s="716" t="s">
        <v>5611</v>
      </c>
      <c r="B1051" s="520" t="s">
        <v>5167</v>
      </c>
      <c r="C1051" s="520" t="s">
        <v>5603</v>
      </c>
      <c r="D1051" s="520" t="s">
        <v>5604</v>
      </c>
      <c r="E1051" s="520" t="s">
        <v>5605</v>
      </c>
      <c r="F1051" s="520" t="s">
        <v>5606</v>
      </c>
      <c r="G1051" s="520" t="s">
        <v>5607</v>
      </c>
      <c r="H1051" s="520" t="s">
        <v>5608</v>
      </c>
      <c r="I1051" s="520" t="s">
        <v>5609</v>
      </c>
      <c r="J1051" s="717" t="s">
        <v>5610</v>
      </c>
      <c r="K1051" s="199"/>
      <c r="L1051" s="716" t="s">
        <v>5611</v>
      </c>
      <c r="M1051" s="494" t="s">
        <v>5167</v>
      </c>
      <c r="N1051" s="494" t="s">
        <v>5603</v>
      </c>
      <c r="O1051" s="494" t="s">
        <v>5604</v>
      </c>
      <c r="P1051" s="494" t="s">
        <v>5605</v>
      </c>
      <c r="Q1051" s="494" t="s">
        <v>5606</v>
      </c>
      <c r="R1051" s="766" t="s">
        <v>5607</v>
      </c>
      <c r="S1051" s="766" t="s">
        <v>5608</v>
      </c>
      <c r="T1051" s="766" t="s">
        <v>5609</v>
      </c>
      <c r="U1051" s="767" t="s">
        <v>5610</v>
      </c>
      <c r="V1051" s="58"/>
      <c r="W1051" s="58"/>
      <c r="X1051" s="58"/>
      <c r="Y1051" s="58"/>
    </row>
    <row r="1052" spans="1:25" ht="15" x14ac:dyDescent="0.25">
      <c r="A1052" s="716"/>
      <c r="B1052" s="520">
        <v>0.73</v>
      </c>
      <c r="C1052" s="520">
        <v>0.78</v>
      </c>
      <c r="D1052" s="520">
        <v>0.83</v>
      </c>
      <c r="E1052" s="520">
        <v>0.88</v>
      </c>
      <c r="F1052" s="520">
        <v>0.93</v>
      </c>
      <c r="G1052" s="520">
        <v>0.99</v>
      </c>
      <c r="H1052" s="520">
        <v>1.05</v>
      </c>
      <c r="I1052" s="520">
        <v>1.1100000000000001</v>
      </c>
      <c r="J1052" s="717">
        <v>1.17</v>
      </c>
      <c r="K1052" s="199"/>
      <c r="L1052" s="716"/>
      <c r="M1052" s="520">
        <v>0.73</v>
      </c>
      <c r="N1052" s="520">
        <v>0.78</v>
      </c>
      <c r="O1052" s="520">
        <v>0.83</v>
      </c>
      <c r="P1052" s="520">
        <v>0.88</v>
      </c>
      <c r="Q1052" s="520">
        <v>0.93</v>
      </c>
      <c r="R1052" s="462">
        <v>0.99</v>
      </c>
      <c r="S1052" s="462">
        <v>1.05</v>
      </c>
      <c r="T1052" s="462">
        <v>1.1100000000000001</v>
      </c>
      <c r="U1052" s="755">
        <v>1.17</v>
      </c>
      <c r="V1052" s="58"/>
      <c r="W1052" s="58"/>
      <c r="X1052" s="58"/>
      <c r="Y1052" s="58"/>
    </row>
    <row r="1053" spans="1:25" ht="15" x14ac:dyDescent="0.25">
      <c r="A1053" s="716">
        <v>1</v>
      </c>
      <c r="B1053" s="520">
        <v>196</v>
      </c>
      <c r="C1053" s="520">
        <v>210</v>
      </c>
      <c r="D1053" s="520">
        <v>224</v>
      </c>
      <c r="E1053" s="520">
        <v>239</v>
      </c>
      <c r="F1053" s="520">
        <v>253</v>
      </c>
      <c r="G1053" s="520">
        <v>270</v>
      </c>
      <c r="H1053" s="520">
        <v>287</v>
      </c>
      <c r="I1053" s="520">
        <v>304</v>
      </c>
      <c r="J1053" s="717">
        <v>324</v>
      </c>
      <c r="K1053" s="199"/>
      <c r="L1053" s="768">
        <v>1</v>
      </c>
      <c r="M1053" s="520">
        <v>5.4320000000000004</v>
      </c>
      <c r="N1053" s="520">
        <v>5.343</v>
      </c>
      <c r="O1053" s="520">
        <v>5.2430000000000003</v>
      </c>
      <c r="P1053" s="520">
        <v>5.1669999999999998</v>
      </c>
      <c r="Q1053" s="520">
        <v>5.0789999999999997</v>
      </c>
      <c r="R1053" s="462">
        <v>4.9610000000000003</v>
      </c>
      <c r="S1053" s="462">
        <v>4.8609999999999998</v>
      </c>
      <c r="T1053" s="462">
        <v>4.7690000000000001</v>
      </c>
      <c r="U1053" s="755">
        <v>4.6580000000000004</v>
      </c>
      <c r="V1053" s="58"/>
      <c r="W1053" s="58"/>
      <c r="X1053" s="58"/>
      <c r="Y1053" s="58"/>
    </row>
    <row r="1054" spans="1:25" ht="15" x14ac:dyDescent="0.25">
      <c r="A1054" s="716">
        <v>2</v>
      </c>
      <c r="B1054" s="520">
        <v>217</v>
      </c>
      <c r="C1054" s="520">
        <v>233</v>
      </c>
      <c r="D1054" s="520">
        <v>248</v>
      </c>
      <c r="E1054" s="520">
        <v>264</v>
      </c>
      <c r="F1054" s="520">
        <v>280</v>
      </c>
      <c r="G1054" s="520">
        <v>299</v>
      </c>
      <c r="H1054" s="520">
        <v>318</v>
      </c>
      <c r="I1054" s="520">
        <v>338</v>
      </c>
      <c r="J1054" s="717">
        <v>360</v>
      </c>
      <c r="K1054" s="199"/>
      <c r="L1054" s="768">
        <v>2</v>
      </c>
      <c r="M1054" s="520">
        <v>5.79</v>
      </c>
      <c r="N1054" s="520">
        <v>5.6929999999999996</v>
      </c>
      <c r="O1054" s="520">
        <v>5.5830000000000002</v>
      </c>
      <c r="P1054" s="520">
        <v>5.4889999999999999</v>
      </c>
      <c r="Q1054" s="520">
        <v>5.4029999999999996</v>
      </c>
      <c r="R1054" s="462">
        <v>5.2729999999999997</v>
      </c>
      <c r="S1054" s="462">
        <v>5.1630000000000003</v>
      </c>
      <c r="T1054" s="462">
        <v>5.0609999999999999</v>
      </c>
      <c r="U1054" s="755">
        <v>4.9370000000000003</v>
      </c>
      <c r="V1054" s="58"/>
      <c r="W1054" s="58"/>
      <c r="X1054" s="58"/>
      <c r="Y1054" s="58"/>
    </row>
    <row r="1055" spans="1:25" ht="15" x14ac:dyDescent="0.25">
      <c r="A1055" s="716">
        <v>3</v>
      </c>
      <c r="B1055" s="520">
        <v>239</v>
      </c>
      <c r="C1055" s="520">
        <v>256</v>
      </c>
      <c r="D1055" s="520">
        <v>273</v>
      </c>
      <c r="E1055" s="520">
        <v>291</v>
      </c>
      <c r="F1055" s="520">
        <v>308</v>
      </c>
      <c r="G1055" s="520">
        <v>329</v>
      </c>
      <c r="H1055" s="520">
        <v>350</v>
      </c>
      <c r="I1055" s="520">
        <v>372</v>
      </c>
      <c r="J1055" s="717">
        <v>396</v>
      </c>
      <c r="K1055" s="199"/>
      <c r="L1055" s="768">
        <v>3</v>
      </c>
      <c r="M1055" s="199">
        <v>6.16</v>
      </c>
      <c r="N1055" s="199">
        <v>6.0659999999999998</v>
      </c>
      <c r="O1055" s="199">
        <v>5.9340000000000002</v>
      </c>
      <c r="P1055" s="199">
        <v>5.8319999999999999</v>
      </c>
      <c r="Q1055" s="199">
        <v>5.7380000000000004</v>
      </c>
      <c r="R1055" s="58">
        <v>5.5949999999999998</v>
      </c>
      <c r="S1055" s="58">
        <v>5.4749999999999996</v>
      </c>
      <c r="T1055" s="58">
        <v>5.3639999999999999</v>
      </c>
      <c r="U1055" s="58">
        <v>5.2270000000000003</v>
      </c>
      <c r="V1055" s="58"/>
      <c r="W1055" s="58"/>
      <c r="X1055" s="58"/>
      <c r="Y1055" s="58"/>
    </row>
    <row r="1056" spans="1:25" ht="15" x14ac:dyDescent="0.25">
      <c r="A1056" s="716">
        <v>4</v>
      </c>
      <c r="B1056" s="520">
        <v>261</v>
      </c>
      <c r="C1056" s="520">
        <v>280</v>
      </c>
      <c r="D1056" s="520">
        <v>299</v>
      </c>
      <c r="E1056" s="520">
        <v>319</v>
      </c>
      <c r="F1056" s="520">
        <v>339</v>
      </c>
      <c r="G1056" s="520">
        <v>361</v>
      </c>
      <c r="H1056" s="520">
        <v>384</v>
      </c>
      <c r="I1056" s="520">
        <v>408</v>
      </c>
      <c r="J1056" s="717">
        <v>435</v>
      </c>
      <c r="K1056" s="199"/>
      <c r="L1056" s="768">
        <v>4</v>
      </c>
      <c r="M1056" s="520">
        <v>6.5549999999999997</v>
      </c>
      <c r="N1056" s="520">
        <v>6.4390000000000001</v>
      </c>
      <c r="O1056" s="520">
        <v>6.3070000000000004</v>
      </c>
      <c r="P1056" s="520">
        <v>6.1970000000000001</v>
      </c>
      <c r="Q1056" s="520">
        <v>6.0949999999999998</v>
      </c>
      <c r="R1056" s="462">
        <v>5.9390000000000001</v>
      </c>
      <c r="S1056" s="462">
        <v>5.8070000000000004</v>
      </c>
      <c r="T1056" s="462">
        <v>5.6859999999999999</v>
      </c>
      <c r="U1056" s="755">
        <v>5.5359999999999996</v>
      </c>
      <c r="V1056" s="58"/>
      <c r="W1056" s="58"/>
      <c r="X1056" s="58"/>
      <c r="Y1056" s="58"/>
    </row>
    <row r="1057" spans="1:25" ht="15" x14ac:dyDescent="0.25">
      <c r="A1057" s="716">
        <v>5</v>
      </c>
      <c r="B1057" s="520">
        <v>284</v>
      </c>
      <c r="C1057" s="520">
        <v>305</v>
      </c>
      <c r="D1057" s="520">
        <v>326</v>
      </c>
      <c r="E1057" s="520">
        <v>347</v>
      </c>
      <c r="F1057" s="520">
        <v>369</v>
      </c>
      <c r="G1057" s="520">
        <v>394</v>
      </c>
      <c r="H1057" s="520">
        <v>419</v>
      </c>
      <c r="I1057" s="520">
        <v>445</v>
      </c>
      <c r="J1057" s="717">
        <v>474</v>
      </c>
      <c r="K1057" s="199"/>
      <c r="L1057" s="768">
        <v>5</v>
      </c>
      <c r="M1057" s="520">
        <v>6.9569999999999999</v>
      </c>
      <c r="N1057" s="520">
        <v>6.8339999999999996</v>
      </c>
      <c r="O1057" s="520">
        <v>6.6920000000000002</v>
      </c>
      <c r="P1057" s="520">
        <v>6.5730000000000004</v>
      </c>
      <c r="Q1057" s="520">
        <v>6.4630000000000001</v>
      </c>
      <c r="R1057" s="462">
        <v>6.2939999999999996</v>
      </c>
      <c r="S1057" s="462">
        <v>6.1509999999999998</v>
      </c>
      <c r="T1057" s="462">
        <v>6.02</v>
      </c>
      <c r="U1057" s="755">
        <v>5.8570000000000002</v>
      </c>
      <c r="V1057" s="58"/>
      <c r="W1057" s="58"/>
      <c r="X1057" s="58"/>
      <c r="Y1057" s="58"/>
    </row>
    <row r="1058" spans="1:25" ht="15" x14ac:dyDescent="0.25">
      <c r="A1058" s="716">
        <v>6</v>
      </c>
      <c r="B1058" s="520">
        <v>309</v>
      </c>
      <c r="C1058" s="520">
        <v>332</v>
      </c>
      <c r="D1058" s="520">
        <v>355</v>
      </c>
      <c r="E1058" s="520">
        <v>378</v>
      </c>
      <c r="F1058" s="520">
        <v>402</v>
      </c>
      <c r="G1058" s="520">
        <v>429</v>
      </c>
      <c r="H1058" s="520">
        <v>457</v>
      </c>
      <c r="I1058" s="520">
        <v>486</v>
      </c>
      <c r="J1058" s="717">
        <v>518</v>
      </c>
      <c r="K1058" s="199"/>
      <c r="L1058" s="768">
        <v>6</v>
      </c>
      <c r="M1058" s="520">
        <v>7.4</v>
      </c>
      <c r="N1058" s="520">
        <v>7.2679999999999998</v>
      </c>
      <c r="O1058" s="520">
        <v>7.1139999999999999</v>
      </c>
      <c r="P1058" s="520">
        <v>6.9859999999999998</v>
      </c>
      <c r="Q1058" s="520">
        <v>6.8680000000000003</v>
      </c>
      <c r="R1058" s="462">
        <v>6.6840000000000002</v>
      </c>
      <c r="S1058" s="462">
        <v>6.5289999999999999</v>
      </c>
      <c r="T1058" s="462">
        <v>6.3879999999999999</v>
      </c>
      <c r="U1058" s="755">
        <v>6.21</v>
      </c>
      <c r="V1058" s="58"/>
      <c r="W1058" s="58"/>
      <c r="X1058" s="58"/>
      <c r="Y1058" s="58"/>
    </row>
    <row r="1059" spans="1:25" ht="15" x14ac:dyDescent="0.25">
      <c r="A1059" s="716">
        <v>7</v>
      </c>
      <c r="B1059" s="520">
        <v>336</v>
      </c>
      <c r="C1059" s="520">
        <v>361</v>
      </c>
      <c r="D1059" s="520">
        <v>386</v>
      </c>
      <c r="E1059" s="520">
        <v>412</v>
      </c>
      <c r="F1059" s="520">
        <v>437</v>
      </c>
      <c r="G1059" s="520">
        <v>468</v>
      </c>
      <c r="H1059" s="520">
        <v>498</v>
      </c>
      <c r="I1059" s="520">
        <v>530</v>
      </c>
      <c r="J1059" s="717">
        <v>565</v>
      </c>
      <c r="K1059" s="199"/>
      <c r="L1059" s="768">
        <v>7</v>
      </c>
      <c r="M1059" s="520">
        <v>7.8810000000000002</v>
      </c>
      <c r="N1059" s="520">
        <v>7.7389999999999999</v>
      </c>
      <c r="O1059" s="520">
        <v>7.5720000000000001</v>
      </c>
      <c r="P1059" s="520">
        <v>7.4359999999999999</v>
      </c>
      <c r="Q1059" s="520">
        <v>7.3090000000000002</v>
      </c>
      <c r="R1059" s="462">
        <v>7.109</v>
      </c>
      <c r="S1059" s="462">
        <v>6.9420000000000002</v>
      </c>
      <c r="T1059" s="462">
        <v>6.7889999999999997</v>
      </c>
      <c r="U1059" s="755">
        <v>6.5949999999999998</v>
      </c>
      <c r="V1059" s="58"/>
      <c r="W1059" s="58"/>
      <c r="X1059" s="58"/>
      <c r="Y1059" s="58"/>
    </row>
    <row r="1060" spans="1:25" ht="15" x14ac:dyDescent="0.25">
      <c r="A1060" s="716">
        <v>8</v>
      </c>
      <c r="B1060" s="520">
        <v>361</v>
      </c>
      <c r="C1060" s="520">
        <v>388</v>
      </c>
      <c r="D1060" s="520">
        <v>415</v>
      </c>
      <c r="E1060" s="520">
        <v>443</v>
      </c>
      <c r="F1060" s="520">
        <v>471</v>
      </c>
      <c r="G1060" s="520">
        <v>504</v>
      </c>
      <c r="H1060" s="520">
        <v>537</v>
      </c>
      <c r="I1060" s="520">
        <v>571</v>
      </c>
      <c r="J1060" s="717">
        <v>609</v>
      </c>
      <c r="K1060" s="199"/>
      <c r="L1060" s="768">
        <v>8</v>
      </c>
      <c r="M1060" s="520">
        <v>8.3339999999999996</v>
      </c>
      <c r="N1060" s="520">
        <v>8.1839999999999993</v>
      </c>
      <c r="O1060" s="520">
        <v>8.0060000000000002</v>
      </c>
      <c r="P1060" s="520">
        <v>7.8620000000000001</v>
      </c>
      <c r="Q1060" s="520">
        <v>7.726</v>
      </c>
      <c r="R1060" s="462">
        <v>7.5119999999999996</v>
      </c>
      <c r="S1060" s="462">
        <v>7.33</v>
      </c>
      <c r="T1060" s="462">
        <v>7.17</v>
      </c>
      <c r="U1060" s="755">
        <v>6.9610000000000003</v>
      </c>
      <c r="V1060" s="58"/>
      <c r="W1060" s="58"/>
      <c r="X1060" s="58"/>
      <c r="Y1060" s="58"/>
    </row>
    <row r="1061" spans="1:25" ht="15" x14ac:dyDescent="0.25">
      <c r="A1061" s="760">
        <v>9</v>
      </c>
      <c r="B1061" s="757">
        <v>387</v>
      </c>
      <c r="C1061" s="757">
        <v>416</v>
      </c>
      <c r="D1061" s="757">
        <v>445</v>
      </c>
      <c r="E1061" s="757">
        <v>475</v>
      </c>
      <c r="F1061" s="757">
        <v>505</v>
      </c>
      <c r="G1061" s="757">
        <v>540</v>
      </c>
      <c r="H1061" s="757">
        <v>576</v>
      </c>
      <c r="I1061" s="757">
        <v>613</v>
      </c>
      <c r="J1061" s="758">
        <v>653</v>
      </c>
      <c r="K1061" s="199"/>
      <c r="L1061" s="769">
        <v>9</v>
      </c>
      <c r="M1061" s="757">
        <v>8.7949999999999999</v>
      </c>
      <c r="N1061" s="757">
        <v>8.6359999999999992</v>
      </c>
      <c r="O1061" s="757">
        <v>8.4469999999999992</v>
      </c>
      <c r="P1061" s="757">
        <v>8.2949999999999999</v>
      </c>
      <c r="Q1061" s="757">
        <v>8.1519999999999992</v>
      </c>
      <c r="R1061" s="762">
        <v>7.9240000000000004</v>
      </c>
      <c r="S1061" s="762">
        <v>7.7329999999999997</v>
      </c>
      <c r="T1061" s="762">
        <v>7.56</v>
      </c>
      <c r="U1061" s="763">
        <v>7.3360000000000003</v>
      </c>
      <c r="V1061" s="58"/>
      <c r="W1061" s="58"/>
      <c r="X1061" s="58"/>
      <c r="Y1061" s="58"/>
    </row>
    <row r="1062" spans="1:25" ht="15" x14ac:dyDescent="0.25">
      <c r="A1062" s="199"/>
      <c r="B1062" s="199"/>
      <c r="C1062" s="199"/>
      <c r="D1062" s="199"/>
      <c r="E1062" s="199"/>
      <c r="F1062" s="199"/>
      <c r="G1062" s="199"/>
      <c r="H1062" s="199"/>
      <c r="I1062" s="199"/>
      <c r="J1062" s="199"/>
      <c r="K1062" s="199"/>
      <c r="L1062" s="199"/>
      <c r="M1062" s="199"/>
      <c r="N1062" s="199"/>
      <c r="O1062" s="199"/>
      <c r="P1062" s="199"/>
      <c r="Q1062" s="199"/>
      <c r="R1062" s="58"/>
      <c r="S1062" s="58"/>
      <c r="T1062" s="58"/>
      <c r="U1062" s="58"/>
      <c r="V1062" s="58"/>
      <c r="W1062" s="58"/>
      <c r="X1062" s="58"/>
      <c r="Y1062" s="58"/>
    </row>
    <row r="1063" spans="1:25" ht="15.75" x14ac:dyDescent="0.25">
      <c r="A1063" s="199"/>
      <c r="B1063" s="577" t="s">
        <v>5166</v>
      </c>
      <c r="C1063" s="199"/>
      <c r="D1063" s="199"/>
      <c r="E1063" s="199"/>
      <c r="F1063" s="199"/>
      <c r="G1063" s="199"/>
      <c r="H1063" s="199"/>
      <c r="I1063" s="199"/>
      <c r="J1063" s="199"/>
      <c r="K1063" s="199"/>
      <c r="L1063" s="199"/>
      <c r="M1063" s="577" t="s">
        <v>5613</v>
      </c>
      <c r="N1063" s="199"/>
      <c r="O1063" s="199"/>
      <c r="P1063" s="199"/>
      <c r="Q1063" s="199"/>
      <c r="R1063" s="58"/>
      <c r="S1063" s="58"/>
      <c r="T1063" s="58"/>
      <c r="U1063" s="58"/>
      <c r="V1063" s="58"/>
      <c r="W1063" s="58"/>
      <c r="X1063" s="58"/>
      <c r="Y1063" s="58"/>
    </row>
    <row r="1064" spans="1:25" ht="15.75" x14ac:dyDescent="0.25">
      <c r="A1064" s="713"/>
      <c r="B1064" s="764"/>
      <c r="C1064" s="765" t="s">
        <v>4507</v>
      </c>
      <c r="D1064" s="714"/>
      <c r="E1064" s="714"/>
      <c r="F1064" s="714"/>
      <c r="G1064" s="714"/>
      <c r="H1064" s="714"/>
      <c r="I1064" s="714"/>
      <c r="J1064" s="715"/>
      <c r="K1064" s="199"/>
      <c r="L1064" s="713"/>
      <c r="M1064" s="764"/>
      <c r="N1064" s="765" t="s">
        <v>4507</v>
      </c>
      <c r="O1064" s="714"/>
      <c r="P1064" s="714"/>
      <c r="Q1064" s="714"/>
      <c r="R1064" s="752"/>
      <c r="S1064" s="752"/>
      <c r="T1064" s="752"/>
      <c r="U1064" s="753"/>
      <c r="V1064" s="58"/>
      <c r="W1064" s="58"/>
      <c r="X1064" s="58"/>
      <c r="Y1064" s="58"/>
    </row>
    <row r="1065" spans="1:25" ht="15" x14ac:dyDescent="0.25">
      <c r="A1065" s="716" t="s">
        <v>5611</v>
      </c>
      <c r="B1065" s="520" t="s">
        <v>5167</v>
      </c>
      <c r="C1065" s="520" t="s">
        <v>5603</v>
      </c>
      <c r="D1065" s="520" t="s">
        <v>5604</v>
      </c>
      <c r="E1065" s="520" t="s">
        <v>5605</v>
      </c>
      <c r="F1065" s="520" t="s">
        <v>5606</v>
      </c>
      <c r="G1065" s="520" t="s">
        <v>5607</v>
      </c>
      <c r="H1065" s="520" t="s">
        <v>5608</v>
      </c>
      <c r="I1065" s="520" t="s">
        <v>5609</v>
      </c>
      <c r="J1065" s="717" t="s">
        <v>5610</v>
      </c>
      <c r="K1065" s="199"/>
      <c r="L1065" s="716" t="s">
        <v>5611</v>
      </c>
      <c r="M1065" s="494" t="s">
        <v>5167</v>
      </c>
      <c r="N1065" s="494" t="s">
        <v>5603</v>
      </c>
      <c r="O1065" s="494" t="s">
        <v>5604</v>
      </c>
      <c r="P1065" s="494" t="s">
        <v>5605</v>
      </c>
      <c r="Q1065" s="494" t="s">
        <v>5606</v>
      </c>
      <c r="R1065" s="766" t="s">
        <v>5607</v>
      </c>
      <c r="S1065" s="766" t="s">
        <v>5608</v>
      </c>
      <c r="T1065" s="766" t="s">
        <v>5609</v>
      </c>
      <c r="U1065" s="767" t="s">
        <v>5610</v>
      </c>
      <c r="V1065" s="58"/>
      <c r="W1065" s="58"/>
      <c r="X1065" s="58"/>
      <c r="Y1065" s="58"/>
    </row>
    <row r="1066" spans="1:25" ht="15" x14ac:dyDescent="0.25">
      <c r="A1066" s="716"/>
      <c r="B1066" s="520">
        <v>0.73</v>
      </c>
      <c r="C1066" s="520">
        <v>0.78</v>
      </c>
      <c r="D1066" s="520">
        <v>0.83</v>
      </c>
      <c r="E1066" s="520">
        <v>0.88</v>
      </c>
      <c r="F1066" s="520">
        <v>0.93</v>
      </c>
      <c r="G1066" s="520">
        <v>0.99</v>
      </c>
      <c r="H1066" s="520">
        <v>1.05</v>
      </c>
      <c r="I1066" s="520">
        <v>1.1100000000000001</v>
      </c>
      <c r="J1066" s="717">
        <v>1.17</v>
      </c>
      <c r="K1066" s="199"/>
      <c r="L1066" s="716"/>
      <c r="M1066" s="520">
        <v>0.73</v>
      </c>
      <c r="N1066" s="520">
        <v>0.78</v>
      </c>
      <c r="O1066" s="520">
        <v>0.83</v>
      </c>
      <c r="P1066" s="520">
        <v>0.88</v>
      </c>
      <c r="Q1066" s="520">
        <v>0.93</v>
      </c>
      <c r="R1066" s="462">
        <v>0.99</v>
      </c>
      <c r="S1066" s="462">
        <v>1.05</v>
      </c>
      <c r="T1066" s="462">
        <v>1.1100000000000001</v>
      </c>
      <c r="U1066" s="755">
        <v>1.17</v>
      </c>
      <c r="V1066" s="58"/>
      <c r="W1066" s="58"/>
      <c r="X1066" s="58"/>
      <c r="Y1066" s="58"/>
    </row>
    <row r="1067" spans="1:25" ht="15" x14ac:dyDescent="0.25">
      <c r="A1067" s="716">
        <v>1</v>
      </c>
      <c r="B1067" s="520">
        <v>199</v>
      </c>
      <c r="C1067" s="520">
        <v>214</v>
      </c>
      <c r="D1067" s="520">
        <v>228</v>
      </c>
      <c r="E1067" s="520">
        <v>243</v>
      </c>
      <c r="F1067" s="520">
        <v>257</v>
      </c>
      <c r="G1067" s="520">
        <v>275</v>
      </c>
      <c r="H1067" s="520">
        <v>292</v>
      </c>
      <c r="I1067" s="520">
        <v>309</v>
      </c>
      <c r="J1067" s="717">
        <v>329</v>
      </c>
      <c r="K1067" s="199"/>
      <c r="L1067" s="768">
        <v>1</v>
      </c>
      <c r="M1067" s="520">
        <v>5.4939999999999998</v>
      </c>
      <c r="N1067" s="520">
        <v>5.4109999999999996</v>
      </c>
      <c r="O1067" s="520">
        <v>5.3129999999999997</v>
      </c>
      <c r="P1067" s="520">
        <v>5.2229999999999999</v>
      </c>
      <c r="Q1067" s="520">
        <v>5.1449999999999996</v>
      </c>
      <c r="R1067" s="462">
        <v>5.0279999999999996</v>
      </c>
      <c r="S1067" s="462">
        <v>4.92</v>
      </c>
      <c r="T1067" s="462">
        <v>4.8239999999999998</v>
      </c>
      <c r="U1067" s="755">
        <v>4.798</v>
      </c>
      <c r="V1067" s="58"/>
      <c r="W1067" s="58"/>
      <c r="X1067" s="58"/>
      <c r="Y1067" s="58"/>
    </row>
    <row r="1068" spans="1:25" ht="15" x14ac:dyDescent="0.25">
      <c r="A1068" s="716">
        <v>2</v>
      </c>
      <c r="B1068" s="520">
        <v>221</v>
      </c>
      <c r="C1068" s="520">
        <v>237</v>
      </c>
      <c r="D1068" s="520">
        <v>253</v>
      </c>
      <c r="E1068" s="520">
        <v>269</v>
      </c>
      <c r="F1068" s="520">
        <v>286</v>
      </c>
      <c r="G1068" s="520">
        <v>305</v>
      </c>
      <c r="H1068" s="520">
        <v>324</v>
      </c>
      <c r="I1068" s="520">
        <v>343</v>
      </c>
      <c r="J1068" s="717">
        <v>365</v>
      </c>
      <c r="K1068" s="199"/>
      <c r="L1068" s="768">
        <v>2</v>
      </c>
      <c r="M1068" s="520">
        <v>5.8659999999999997</v>
      </c>
      <c r="N1068" s="520">
        <v>5.7750000000000004</v>
      </c>
      <c r="O1068" s="520">
        <v>5.6669999999999998</v>
      </c>
      <c r="P1068" s="520">
        <v>5.5629999999999997</v>
      </c>
      <c r="Q1068" s="520">
        <v>5.4820000000000002</v>
      </c>
      <c r="R1068" s="462">
        <v>5.3520000000000003</v>
      </c>
      <c r="S1068" s="462">
        <v>5.2329999999999997</v>
      </c>
      <c r="T1068" s="462">
        <v>5.1260000000000003</v>
      </c>
      <c r="U1068" s="755">
        <v>4.9980000000000002</v>
      </c>
      <c r="V1068" s="58"/>
      <c r="W1068" s="58"/>
      <c r="X1068" s="58"/>
      <c r="Y1068" s="58"/>
    </row>
    <row r="1069" spans="1:25" ht="15" x14ac:dyDescent="0.25">
      <c r="A1069" s="716">
        <v>3</v>
      </c>
      <c r="B1069" s="520">
        <v>243</v>
      </c>
      <c r="C1069" s="520">
        <v>261</v>
      </c>
      <c r="D1069" s="520">
        <v>279</v>
      </c>
      <c r="E1069" s="520">
        <v>297</v>
      </c>
      <c r="F1069" s="520">
        <v>315</v>
      </c>
      <c r="G1069" s="520">
        <v>336</v>
      </c>
      <c r="H1069" s="520">
        <v>357</v>
      </c>
      <c r="I1069" s="520">
        <v>379</v>
      </c>
      <c r="J1069" s="717">
        <v>403</v>
      </c>
      <c r="K1069" s="199"/>
      <c r="L1069" s="768">
        <v>3</v>
      </c>
      <c r="M1069" s="199">
        <v>6.25</v>
      </c>
      <c r="N1069" s="199">
        <v>6.1520000000000001</v>
      </c>
      <c r="O1069" s="199">
        <v>6.0339999999999998</v>
      </c>
      <c r="P1069" s="199">
        <v>5.95</v>
      </c>
      <c r="Q1069" s="199">
        <v>5.8319999999999999</v>
      </c>
      <c r="R1069" s="58">
        <v>5.69</v>
      </c>
      <c r="S1069" s="58">
        <v>5.5590000000000002</v>
      </c>
      <c r="T1069" s="58">
        <v>5.4409999999999998</v>
      </c>
      <c r="U1069" s="58">
        <v>5.2990000000000004</v>
      </c>
      <c r="V1069" s="58"/>
      <c r="W1069" s="58"/>
      <c r="X1069" s="58"/>
      <c r="Y1069" s="58"/>
    </row>
    <row r="1070" spans="1:25" ht="15" x14ac:dyDescent="0.25">
      <c r="A1070" s="716">
        <v>4</v>
      </c>
      <c r="B1070" s="520">
        <v>266</v>
      </c>
      <c r="C1070" s="520">
        <v>286</v>
      </c>
      <c r="D1070" s="520">
        <v>306</v>
      </c>
      <c r="E1070" s="520">
        <v>326</v>
      </c>
      <c r="F1070" s="520">
        <v>346</v>
      </c>
      <c r="G1070" s="520">
        <v>370</v>
      </c>
      <c r="H1070" s="520">
        <v>393</v>
      </c>
      <c r="I1070" s="520">
        <v>416</v>
      </c>
      <c r="J1070" s="717">
        <v>443</v>
      </c>
      <c r="K1070" s="199"/>
      <c r="L1070" s="768">
        <v>4</v>
      </c>
      <c r="M1070" s="520">
        <v>6.66</v>
      </c>
      <c r="N1070" s="520">
        <v>6.5540000000000003</v>
      </c>
      <c r="O1070" s="520">
        <v>6.4249999999999998</v>
      </c>
      <c r="P1070" s="520">
        <v>6.3079999999999998</v>
      </c>
      <c r="Q1070" s="520">
        <v>6.2060000000000004</v>
      </c>
      <c r="R1070" s="462">
        <v>6.0510000000000002</v>
      </c>
      <c r="S1070" s="462">
        <v>5.907</v>
      </c>
      <c r="T1070" s="462">
        <v>5.7779999999999996</v>
      </c>
      <c r="U1070" s="755">
        <v>5.6219999999999999</v>
      </c>
      <c r="V1070" s="58"/>
      <c r="W1070" s="58"/>
      <c r="X1070" s="58"/>
      <c r="Y1070" s="58"/>
    </row>
    <row r="1071" spans="1:25" ht="15" x14ac:dyDescent="0.25">
      <c r="A1071" s="716">
        <v>5</v>
      </c>
      <c r="B1071" s="520">
        <v>290</v>
      </c>
      <c r="C1071" s="520">
        <v>312</v>
      </c>
      <c r="D1071" s="520">
        <v>334</v>
      </c>
      <c r="E1071" s="520">
        <v>356</v>
      </c>
      <c r="F1071" s="520">
        <v>378</v>
      </c>
      <c r="G1071" s="520">
        <v>403</v>
      </c>
      <c r="H1071" s="520">
        <v>429</v>
      </c>
      <c r="I1071" s="520">
        <v>455</v>
      </c>
      <c r="J1071" s="717">
        <v>484</v>
      </c>
      <c r="K1071" s="199"/>
      <c r="L1071" s="768">
        <v>5</v>
      </c>
      <c r="M1071" s="520">
        <v>7.0830000000000002</v>
      </c>
      <c r="N1071" s="520">
        <v>6.97</v>
      </c>
      <c r="O1071" s="520">
        <v>6.8310000000000004</v>
      </c>
      <c r="P1071" s="520">
        <v>6.71</v>
      </c>
      <c r="Q1071" s="520">
        <v>6.5940000000000003</v>
      </c>
      <c r="R1071" s="462">
        <v>6.4249999999999998</v>
      </c>
      <c r="S1071" s="462">
        <v>6.2679999999999998</v>
      </c>
      <c r="T1071" s="462">
        <v>6.1280000000000001</v>
      </c>
      <c r="U1071" s="755">
        <v>5.9569999999999999</v>
      </c>
      <c r="V1071" s="58"/>
      <c r="W1071" s="58"/>
      <c r="X1071" s="58"/>
      <c r="Y1071" s="58"/>
    </row>
    <row r="1072" spans="1:25" ht="15" x14ac:dyDescent="0.25">
      <c r="A1072" s="716">
        <v>6</v>
      </c>
      <c r="B1072" s="520">
        <v>317</v>
      </c>
      <c r="C1072" s="520">
        <v>341</v>
      </c>
      <c r="D1072" s="520">
        <v>364</v>
      </c>
      <c r="E1072" s="520">
        <v>388</v>
      </c>
      <c r="F1072" s="520">
        <v>412</v>
      </c>
      <c r="G1072" s="520">
        <v>441</v>
      </c>
      <c r="H1072" s="520">
        <v>469</v>
      </c>
      <c r="I1072" s="520">
        <v>497</v>
      </c>
      <c r="J1072" s="717">
        <v>530</v>
      </c>
      <c r="K1072" s="199"/>
      <c r="L1072" s="768">
        <v>6</v>
      </c>
      <c r="M1072" s="520">
        <v>7.548</v>
      </c>
      <c r="N1072" s="520">
        <v>7.4269999999999996</v>
      </c>
      <c r="O1072" s="520">
        <v>7.2770000000000001</v>
      </c>
      <c r="P1072" s="520">
        <v>7.14</v>
      </c>
      <c r="Q1072" s="520">
        <v>7.0209999999999999</v>
      </c>
      <c r="R1072" s="462">
        <v>6.8390000000000004</v>
      </c>
      <c r="S1072" s="462">
        <v>6.71</v>
      </c>
      <c r="T1072" s="462">
        <v>6.5149999999999997</v>
      </c>
      <c r="U1072" s="755">
        <v>6.327</v>
      </c>
      <c r="V1072" s="58"/>
      <c r="W1072" s="58"/>
      <c r="X1072" s="58"/>
      <c r="Y1072" s="58"/>
    </row>
    <row r="1073" spans="1:25" ht="15" x14ac:dyDescent="0.25">
      <c r="A1073" s="716">
        <v>7</v>
      </c>
      <c r="B1073" s="520">
        <v>345</v>
      </c>
      <c r="C1073" s="520">
        <v>372</v>
      </c>
      <c r="D1073" s="520">
        <v>397</v>
      </c>
      <c r="E1073" s="520">
        <v>424</v>
      </c>
      <c r="F1073" s="520">
        <v>450</v>
      </c>
      <c r="G1073" s="520">
        <v>482</v>
      </c>
      <c r="H1073" s="520">
        <v>513</v>
      </c>
      <c r="I1073" s="520">
        <v>543</v>
      </c>
      <c r="J1073" s="717">
        <v>579</v>
      </c>
      <c r="K1073" s="199"/>
      <c r="L1073" s="768">
        <v>7</v>
      </c>
      <c r="M1073" s="520">
        <v>8.0549999999999997</v>
      </c>
      <c r="N1073" s="520">
        <v>7.9260000000000002</v>
      </c>
      <c r="O1073" s="520">
        <v>7.7649999999999997</v>
      </c>
      <c r="P1073" s="520">
        <v>7.617</v>
      </c>
      <c r="Q1073" s="520">
        <v>7.47</v>
      </c>
      <c r="R1073" s="462">
        <v>7.2919999999999998</v>
      </c>
      <c r="S1073" s="462">
        <v>7.1050000000000004</v>
      </c>
      <c r="T1073" s="462">
        <v>6.9379999999999997</v>
      </c>
      <c r="U1073" s="755">
        <v>6.734</v>
      </c>
      <c r="V1073" s="58"/>
      <c r="W1073" s="58"/>
      <c r="X1073" s="58"/>
      <c r="Y1073" s="58"/>
    </row>
    <row r="1074" spans="1:25" ht="15" x14ac:dyDescent="0.25">
      <c r="A1074" s="716">
        <v>8</v>
      </c>
      <c r="B1074" s="520">
        <v>371</v>
      </c>
      <c r="C1074" s="520">
        <v>400</v>
      </c>
      <c r="D1074" s="520">
        <v>429</v>
      </c>
      <c r="E1074" s="520">
        <v>457</v>
      </c>
      <c r="F1074" s="520">
        <v>486</v>
      </c>
      <c r="G1074" s="520">
        <v>520</v>
      </c>
      <c r="H1074" s="520">
        <v>553</v>
      </c>
      <c r="I1074" s="520">
        <v>587</v>
      </c>
      <c r="J1074" s="717">
        <v>625</v>
      </c>
      <c r="K1074" s="199"/>
      <c r="L1074" s="768">
        <v>8</v>
      </c>
      <c r="M1074" s="520">
        <v>8.5350000000000001</v>
      </c>
      <c r="N1074" s="520">
        <v>8.4</v>
      </c>
      <c r="O1074" s="520">
        <v>8.2279999999999998</v>
      </c>
      <c r="P1074" s="520">
        <v>8.0709999999999997</v>
      </c>
      <c r="Q1074" s="520">
        <v>7.9349999999999996</v>
      </c>
      <c r="R1074" s="462">
        <v>7.7240000000000002</v>
      </c>
      <c r="S1074" s="462">
        <v>7.5220000000000002</v>
      </c>
      <c r="T1074" s="462">
        <v>7.3440000000000003</v>
      </c>
      <c r="U1074" s="755">
        <v>7.1219999999999999</v>
      </c>
      <c r="V1074" s="58"/>
      <c r="W1074" s="58"/>
      <c r="X1074" s="58"/>
      <c r="Y1074" s="58"/>
    </row>
    <row r="1075" spans="1:25" ht="15" x14ac:dyDescent="0.25">
      <c r="A1075" s="760">
        <v>9</v>
      </c>
      <c r="B1075" s="757">
        <v>398</v>
      </c>
      <c r="C1075" s="757">
        <v>430</v>
      </c>
      <c r="D1075" s="757">
        <v>460</v>
      </c>
      <c r="E1075" s="757">
        <v>491</v>
      </c>
      <c r="F1075" s="757">
        <v>522</v>
      </c>
      <c r="G1075" s="757">
        <v>559</v>
      </c>
      <c r="H1075" s="757">
        <v>595</v>
      </c>
      <c r="I1075" s="757">
        <v>631</v>
      </c>
      <c r="J1075" s="758">
        <v>672</v>
      </c>
      <c r="K1075" s="199"/>
      <c r="L1075" s="769">
        <v>9</v>
      </c>
      <c r="M1075" s="757">
        <v>9.0250000000000004</v>
      </c>
      <c r="N1075" s="757">
        <v>8.8840000000000003</v>
      </c>
      <c r="O1075" s="757">
        <v>8.7010000000000005</v>
      </c>
      <c r="P1075" s="757">
        <v>8.5359999999999996</v>
      </c>
      <c r="Q1075" s="757">
        <v>8.391</v>
      </c>
      <c r="R1075" s="762">
        <v>8.1660000000000004</v>
      </c>
      <c r="S1075" s="762">
        <v>7.9489999999999998</v>
      </c>
      <c r="T1075" s="762">
        <v>7.7590000000000003</v>
      </c>
      <c r="U1075" s="763">
        <v>7.52</v>
      </c>
      <c r="V1075" s="58"/>
      <c r="W1075" s="58"/>
      <c r="X1075" s="58"/>
      <c r="Y1075" s="58"/>
    </row>
    <row r="1076" spans="1:25" ht="15" x14ac:dyDescent="0.25">
      <c r="A1076" s="199"/>
      <c r="B1076" s="199"/>
      <c r="C1076" s="199"/>
      <c r="D1076" s="199"/>
      <c r="E1076" s="199"/>
      <c r="F1076" s="199"/>
      <c r="G1076" s="199"/>
      <c r="H1076" s="199"/>
      <c r="I1076" s="199"/>
      <c r="J1076" s="199"/>
      <c r="K1076" s="199"/>
      <c r="L1076" s="199"/>
      <c r="M1076" s="199"/>
      <c r="N1076" s="199"/>
      <c r="O1076" s="199"/>
      <c r="P1076" s="199"/>
      <c r="Q1076" s="199"/>
      <c r="R1076" s="58"/>
      <c r="S1076" s="58"/>
      <c r="T1076" s="58"/>
      <c r="U1076" s="58"/>
      <c r="V1076" s="58"/>
      <c r="W1076" s="58"/>
      <c r="X1076" s="58"/>
      <c r="Y1076" s="58"/>
    </row>
    <row r="1077" spans="1:25" ht="15.75" x14ac:dyDescent="0.25">
      <c r="A1077" s="199"/>
      <c r="B1077" s="624" t="s">
        <v>5166</v>
      </c>
      <c r="C1077" s="199"/>
      <c r="D1077" s="199"/>
      <c r="E1077" s="199"/>
      <c r="F1077" s="199"/>
      <c r="G1077" s="199"/>
      <c r="H1077" s="199"/>
      <c r="I1077" s="199"/>
      <c r="J1077" s="199"/>
      <c r="K1077" s="199"/>
      <c r="L1077" s="199"/>
      <c r="M1077" s="577" t="s">
        <v>5613</v>
      </c>
      <c r="N1077" s="199"/>
      <c r="O1077" s="199"/>
      <c r="P1077" s="199"/>
      <c r="Q1077" s="199"/>
      <c r="R1077" s="58"/>
      <c r="S1077" s="58"/>
      <c r="T1077" s="58"/>
      <c r="U1077" s="58"/>
      <c r="V1077" s="58"/>
      <c r="W1077" s="58"/>
      <c r="X1077" s="58"/>
      <c r="Y1077" s="58"/>
    </row>
    <row r="1078" spans="1:25" ht="15.75" x14ac:dyDescent="0.25">
      <c r="A1078" s="713"/>
      <c r="B1078" s="714"/>
      <c r="C1078" s="765" t="s">
        <v>2753</v>
      </c>
      <c r="D1078" s="714"/>
      <c r="E1078" s="714"/>
      <c r="F1078" s="714"/>
      <c r="G1078" s="714"/>
      <c r="H1078" s="714"/>
      <c r="I1078" s="714"/>
      <c r="J1078" s="715"/>
      <c r="K1078" s="199"/>
      <c r="L1078" s="713"/>
      <c r="M1078" s="764"/>
      <c r="N1078" s="765" t="s">
        <v>2338</v>
      </c>
      <c r="O1078" s="714"/>
      <c r="P1078" s="714"/>
      <c r="Q1078" s="714"/>
      <c r="R1078" s="752"/>
      <c r="S1078" s="752"/>
      <c r="T1078" s="752"/>
      <c r="U1078" s="753"/>
      <c r="V1078" s="58"/>
      <c r="W1078" s="58"/>
      <c r="X1078" s="58"/>
      <c r="Y1078" s="58"/>
    </row>
    <row r="1079" spans="1:25" ht="15" x14ac:dyDescent="0.25">
      <c r="A1079" s="716" t="s">
        <v>5611</v>
      </c>
      <c r="B1079" s="520" t="s">
        <v>5167</v>
      </c>
      <c r="C1079" s="520" t="s">
        <v>5603</v>
      </c>
      <c r="D1079" s="520" t="s">
        <v>5604</v>
      </c>
      <c r="E1079" s="520" t="s">
        <v>5605</v>
      </c>
      <c r="F1079" s="520" t="s">
        <v>5606</v>
      </c>
      <c r="G1079" s="520" t="s">
        <v>5607</v>
      </c>
      <c r="H1079" s="520" t="s">
        <v>5608</v>
      </c>
      <c r="I1079" s="520" t="s">
        <v>5609</v>
      </c>
      <c r="J1079" s="717" t="s">
        <v>5610</v>
      </c>
      <c r="K1079" s="199"/>
      <c r="L1079" s="716" t="s">
        <v>5611</v>
      </c>
      <c r="M1079" s="494" t="s">
        <v>5167</v>
      </c>
      <c r="N1079" s="494" t="s">
        <v>5603</v>
      </c>
      <c r="O1079" s="494" t="s">
        <v>5604</v>
      </c>
      <c r="P1079" s="494" t="s">
        <v>5605</v>
      </c>
      <c r="Q1079" s="494" t="s">
        <v>5606</v>
      </c>
      <c r="R1079" s="766" t="s">
        <v>5607</v>
      </c>
      <c r="S1079" s="766" t="s">
        <v>5608</v>
      </c>
      <c r="T1079" s="766" t="s">
        <v>5609</v>
      </c>
      <c r="U1079" s="767" t="s">
        <v>5610</v>
      </c>
      <c r="V1079" s="58"/>
      <c r="W1079" s="58"/>
      <c r="X1079" s="58"/>
      <c r="Y1079" s="58"/>
    </row>
    <row r="1080" spans="1:25" ht="15" x14ac:dyDescent="0.25">
      <c r="A1080" s="716"/>
      <c r="B1080" s="520">
        <v>0.73</v>
      </c>
      <c r="C1080" s="520">
        <v>0.78</v>
      </c>
      <c r="D1080" s="520">
        <v>0.83</v>
      </c>
      <c r="E1080" s="520">
        <v>0.88</v>
      </c>
      <c r="F1080" s="520">
        <v>0.93</v>
      </c>
      <c r="G1080" s="520">
        <v>0.99</v>
      </c>
      <c r="H1080" s="520">
        <v>1.05</v>
      </c>
      <c r="I1080" s="520">
        <v>1.1100000000000001</v>
      </c>
      <c r="J1080" s="717">
        <v>1.17</v>
      </c>
      <c r="K1080" s="199"/>
      <c r="L1080" s="716"/>
      <c r="M1080" s="520">
        <v>0.73</v>
      </c>
      <c r="N1080" s="520">
        <v>0.78</v>
      </c>
      <c r="O1080" s="520">
        <v>0.83</v>
      </c>
      <c r="P1080" s="520">
        <v>0.88</v>
      </c>
      <c r="Q1080" s="520">
        <v>0.93</v>
      </c>
      <c r="R1080" s="462">
        <v>0.99</v>
      </c>
      <c r="S1080" s="462">
        <v>1.05</v>
      </c>
      <c r="T1080" s="462">
        <v>1.1100000000000001</v>
      </c>
      <c r="U1080" s="755">
        <v>1.17</v>
      </c>
      <c r="V1080" s="58"/>
      <c r="W1080" s="58"/>
      <c r="X1080" s="58"/>
      <c r="Y1080" s="58"/>
    </row>
    <row r="1081" spans="1:25" ht="15" x14ac:dyDescent="0.25">
      <c r="A1081" s="716">
        <v>1</v>
      </c>
      <c r="B1081" s="520">
        <v>189</v>
      </c>
      <c r="C1081" s="520">
        <v>202</v>
      </c>
      <c r="D1081" s="520">
        <v>214</v>
      </c>
      <c r="E1081" s="520">
        <v>227</v>
      </c>
      <c r="F1081" s="520">
        <v>240</v>
      </c>
      <c r="G1081" s="520">
        <v>256</v>
      </c>
      <c r="H1081" s="520">
        <v>271</v>
      </c>
      <c r="I1081" s="520">
        <v>286</v>
      </c>
      <c r="J1081" s="717">
        <v>303</v>
      </c>
      <c r="K1081" s="199"/>
      <c r="L1081" s="768">
        <v>1</v>
      </c>
      <c r="M1081" s="520">
        <v>5.3419999999999996</v>
      </c>
      <c r="N1081" s="520">
        <v>5.2469999999999999</v>
      </c>
      <c r="O1081" s="520">
        <v>5.14</v>
      </c>
      <c r="P1081" s="520">
        <v>5.0460000000000003</v>
      </c>
      <c r="Q1081" s="520">
        <v>4.9630000000000001</v>
      </c>
      <c r="R1081" s="462">
        <v>4.835</v>
      </c>
      <c r="S1081" s="462">
        <v>4.7290000000000001</v>
      </c>
      <c r="T1081" s="462">
        <v>4.6269999999999998</v>
      </c>
      <c r="U1081" s="755">
        <v>4.5060000000000002</v>
      </c>
      <c r="V1081" s="58"/>
      <c r="W1081" s="58"/>
      <c r="X1081" s="58"/>
      <c r="Y1081" s="58"/>
    </row>
    <row r="1082" spans="1:25" ht="15" x14ac:dyDescent="0.25">
      <c r="A1082" s="716">
        <v>2</v>
      </c>
      <c r="B1082" s="520">
        <v>208</v>
      </c>
      <c r="C1082" s="520">
        <v>222</v>
      </c>
      <c r="D1082" s="520">
        <v>236</v>
      </c>
      <c r="E1082" s="520">
        <v>251</v>
      </c>
      <c r="F1082" s="520">
        <v>265</v>
      </c>
      <c r="G1082" s="520">
        <v>282</v>
      </c>
      <c r="H1082" s="520">
        <v>299</v>
      </c>
      <c r="I1082" s="520">
        <v>316</v>
      </c>
      <c r="J1082" s="717">
        <v>334</v>
      </c>
      <c r="K1082" s="199"/>
      <c r="L1082" s="768">
        <v>2</v>
      </c>
      <c r="M1082" s="520">
        <v>5.6909999999999998</v>
      </c>
      <c r="N1082" s="520">
        <v>5.5860000000000003</v>
      </c>
      <c r="O1082" s="520">
        <v>5.4669999999999996</v>
      </c>
      <c r="P1082" s="520">
        <v>5.3650000000000002</v>
      </c>
      <c r="Q1082" s="520">
        <v>5.274</v>
      </c>
      <c r="R1082" s="462">
        <v>5.1340000000000003</v>
      </c>
      <c r="S1082" s="462">
        <v>5.0149999999999997</v>
      </c>
      <c r="T1082" s="462">
        <v>4.9029999999999996</v>
      </c>
      <c r="U1082" s="755">
        <v>4.7770000000000001</v>
      </c>
      <c r="V1082" s="58"/>
      <c r="W1082" s="58"/>
      <c r="X1082" s="58"/>
      <c r="Y1082" s="58"/>
    </row>
    <row r="1083" spans="1:25" ht="15" x14ac:dyDescent="0.25">
      <c r="A1083" s="716">
        <v>3</v>
      </c>
      <c r="B1083" s="520">
        <v>228</v>
      </c>
      <c r="C1083" s="520">
        <v>244</v>
      </c>
      <c r="D1083" s="520">
        <v>259</v>
      </c>
      <c r="E1083" s="520">
        <v>279</v>
      </c>
      <c r="F1083" s="520">
        <v>291</v>
      </c>
      <c r="G1083" s="520">
        <v>309</v>
      </c>
      <c r="H1083" s="520">
        <v>327</v>
      </c>
      <c r="I1083" s="520">
        <v>345</v>
      </c>
      <c r="J1083" s="717">
        <v>366</v>
      </c>
      <c r="K1083" s="199"/>
      <c r="L1083" s="768">
        <v>3</v>
      </c>
      <c r="M1083" s="199">
        <v>6.0519999999999996</v>
      </c>
      <c r="N1083" s="199">
        <v>5.9379999999999997</v>
      </c>
      <c r="O1083" s="199">
        <v>5.8070000000000004</v>
      </c>
      <c r="P1083" s="199">
        <v>5.6970000000000001</v>
      </c>
      <c r="Q1083" s="199">
        <v>5.5960000000000001</v>
      </c>
      <c r="R1083" s="58">
        <v>5.4420000000000002</v>
      </c>
      <c r="S1083" s="58">
        <v>5.3170000000000002</v>
      </c>
      <c r="T1083" s="58">
        <v>5.2069999999999999</v>
      </c>
      <c r="U1083" s="58">
        <v>5.0709999999999997</v>
      </c>
      <c r="V1083" s="58"/>
      <c r="W1083" s="58"/>
      <c r="X1083" s="58"/>
      <c r="Y1083" s="58"/>
    </row>
    <row r="1084" spans="1:25" ht="15" x14ac:dyDescent="0.25">
      <c r="A1084" s="716">
        <v>4</v>
      </c>
      <c r="B1084" s="520">
        <v>249</v>
      </c>
      <c r="C1084" s="520">
        <v>266</v>
      </c>
      <c r="D1084" s="520">
        <v>283</v>
      </c>
      <c r="E1084" s="520">
        <v>300</v>
      </c>
      <c r="F1084" s="520">
        <v>317</v>
      </c>
      <c r="G1084" s="520">
        <v>337</v>
      </c>
      <c r="H1084" s="520">
        <v>357</v>
      </c>
      <c r="I1084" s="520">
        <v>376</v>
      </c>
      <c r="J1084" s="717">
        <v>398</v>
      </c>
      <c r="K1084" s="199"/>
      <c r="L1084" s="768">
        <v>4</v>
      </c>
      <c r="M1084" s="520">
        <v>6.4329999999999998</v>
      </c>
      <c r="N1084" s="520">
        <v>6.3109999999999999</v>
      </c>
      <c r="O1084" s="520">
        <v>6.17</v>
      </c>
      <c r="P1084" s="520">
        <v>6.0490000000000004</v>
      </c>
      <c r="Q1084" s="520">
        <v>5.9409999999999998</v>
      </c>
      <c r="R1084" s="462">
        <v>5.7850000000000001</v>
      </c>
      <c r="S1084" s="462">
        <v>5.6539999999999999</v>
      </c>
      <c r="T1084" s="462">
        <v>5.5339999999999998</v>
      </c>
      <c r="U1084" s="755">
        <v>5.3849999999999998</v>
      </c>
      <c r="V1084" s="58"/>
      <c r="W1084" s="58"/>
      <c r="X1084" s="58"/>
      <c r="Y1084" s="58"/>
    </row>
    <row r="1085" spans="1:25" ht="15" x14ac:dyDescent="0.25">
      <c r="A1085" s="716">
        <v>5</v>
      </c>
      <c r="B1085" s="520">
        <v>270</v>
      </c>
      <c r="C1085" s="520">
        <v>289</v>
      </c>
      <c r="D1085" s="520">
        <v>307</v>
      </c>
      <c r="E1085" s="520">
        <v>325</v>
      </c>
      <c r="F1085" s="520">
        <v>344</v>
      </c>
      <c r="G1085" s="520">
        <v>365</v>
      </c>
      <c r="H1085" s="520">
        <v>386</v>
      </c>
      <c r="I1085" s="520">
        <v>408</v>
      </c>
      <c r="J1085" s="717">
        <v>431</v>
      </c>
      <c r="K1085" s="199"/>
      <c r="L1085" s="768">
        <v>5</v>
      </c>
      <c r="M1085" s="520">
        <v>6.8289999999999997</v>
      </c>
      <c r="N1085" s="520">
        <v>6.6950000000000003</v>
      </c>
      <c r="O1085" s="520">
        <v>6.5419999999999998</v>
      </c>
      <c r="P1085" s="520">
        <v>6.4320000000000004</v>
      </c>
      <c r="Q1085" s="520">
        <v>6.3140000000000001</v>
      </c>
      <c r="R1085" s="462">
        <v>6.1449999999999996</v>
      </c>
      <c r="S1085" s="462">
        <v>6.0019999999999998</v>
      </c>
      <c r="T1085" s="462">
        <v>5.8719999999999999</v>
      </c>
      <c r="U1085" s="755">
        <v>5.71</v>
      </c>
      <c r="V1085" s="58"/>
      <c r="W1085" s="58"/>
      <c r="X1085" s="58"/>
      <c r="Y1085" s="58"/>
    </row>
    <row r="1086" spans="1:25" ht="15" x14ac:dyDescent="0.25">
      <c r="A1086" s="716">
        <v>6</v>
      </c>
      <c r="B1086" s="520">
        <v>293</v>
      </c>
      <c r="C1086" s="520">
        <v>313</v>
      </c>
      <c r="D1086" s="520">
        <v>332</v>
      </c>
      <c r="E1086" s="520">
        <v>352</v>
      </c>
      <c r="F1086" s="520">
        <v>372</v>
      </c>
      <c r="G1086" s="520">
        <v>395</v>
      </c>
      <c r="H1086" s="520">
        <v>418</v>
      </c>
      <c r="I1086" s="520">
        <v>441</v>
      </c>
      <c r="J1086" s="717">
        <v>467</v>
      </c>
      <c r="K1086" s="199"/>
      <c r="L1086" s="768">
        <v>6</v>
      </c>
      <c r="M1086" s="520">
        <v>7.2610000000000001</v>
      </c>
      <c r="N1086" s="520">
        <v>7.1219999999999999</v>
      </c>
      <c r="O1086" s="520">
        <v>6.968</v>
      </c>
      <c r="P1086" s="520">
        <v>6.8410000000000002</v>
      </c>
      <c r="Q1086" s="520">
        <v>6.7229999999999999</v>
      </c>
      <c r="R1086" s="462">
        <v>6.54</v>
      </c>
      <c r="S1086" s="462">
        <v>6.3860000000000001</v>
      </c>
      <c r="T1086" s="462">
        <v>6.2450000000000001</v>
      </c>
      <c r="U1086" s="755">
        <v>6.0679999999999996</v>
      </c>
      <c r="V1086" s="58"/>
      <c r="W1086" s="58"/>
      <c r="X1086" s="58"/>
      <c r="Y1086" s="58"/>
    </row>
    <row r="1087" spans="1:25" ht="15" x14ac:dyDescent="0.25">
      <c r="A1087" s="716">
        <v>7</v>
      </c>
      <c r="B1087" s="520">
        <v>317</v>
      </c>
      <c r="C1087" s="520">
        <v>339</v>
      </c>
      <c r="D1087" s="520">
        <v>360</v>
      </c>
      <c r="E1087" s="520">
        <v>381</v>
      </c>
      <c r="F1087" s="520">
        <v>403</v>
      </c>
      <c r="G1087" s="520">
        <v>428</v>
      </c>
      <c r="H1087" s="520">
        <v>452</v>
      </c>
      <c r="I1087" s="520">
        <v>477</v>
      </c>
      <c r="J1087" s="717">
        <v>505</v>
      </c>
      <c r="K1087" s="199"/>
      <c r="L1087" s="768">
        <v>7</v>
      </c>
      <c r="M1087" s="520">
        <v>7.7389999999999999</v>
      </c>
      <c r="N1087" s="520">
        <v>7.5990000000000002</v>
      </c>
      <c r="O1087" s="520">
        <v>7.4320000000000004</v>
      </c>
      <c r="P1087" s="520">
        <v>7.2960000000000003</v>
      </c>
      <c r="Q1087" s="520">
        <v>7.1689999999999996</v>
      </c>
      <c r="R1087" s="462">
        <v>6.9710000000000001</v>
      </c>
      <c r="S1087" s="462">
        <v>6.8040000000000003</v>
      </c>
      <c r="T1087" s="462">
        <v>6.6520000000000001</v>
      </c>
      <c r="U1087" s="755">
        <v>6.4589999999999996</v>
      </c>
      <c r="V1087" s="58"/>
      <c r="W1087" s="58"/>
      <c r="X1087" s="58"/>
      <c r="Y1087" s="58"/>
    </row>
    <row r="1088" spans="1:25" ht="15" x14ac:dyDescent="0.25">
      <c r="A1088" s="716">
        <v>8</v>
      </c>
      <c r="B1088" s="520">
        <v>340</v>
      </c>
      <c r="C1088" s="520">
        <v>362</v>
      </c>
      <c r="D1088" s="520">
        <v>385</v>
      </c>
      <c r="E1088" s="520">
        <v>408</v>
      </c>
      <c r="F1088" s="520">
        <v>431</v>
      </c>
      <c r="G1088" s="520">
        <v>458</v>
      </c>
      <c r="H1088" s="520">
        <v>484</v>
      </c>
      <c r="I1088" s="520">
        <v>510</v>
      </c>
      <c r="J1088" s="717">
        <v>540</v>
      </c>
      <c r="K1088" s="199"/>
      <c r="L1088" s="768">
        <v>8</v>
      </c>
      <c r="M1088" s="520">
        <v>8.1929999999999996</v>
      </c>
      <c r="N1088" s="520">
        <v>8.048</v>
      </c>
      <c r="O1088" s="520">
        <v>7.8710000000000004</v>
      </c>
      <c r="P1088" s="520">
        <v>7.7270000000000003</v>
      </c>
      <c r="Q1088" s="520">
        <v>7.5910000000000002</v>
      </c>
      <c r="R1088" s="462">
        <v>7.3789999999999996</v>
      </c>
      <c r="S1088" s="462">
        <v>7.2</v>
      </c>
      <c r="T1088" s="462">
        <v>7.0380000000000003</v>
      </c>
      <c r="U1088" s="755">
        <v>6.83</v>
      </c>
      <c r="V1088" s="58"/>
      <c r="W1088" s="58"/>
      <c r="X1088" s="58"/>
      <c r="Y1088" s="58"/>
    </row>
    <row r="1089" spans="1:25" ht="15" x14ac:dyDescent="0.25">
      <c r="A1089" s="760">
        <v>9</v>
      </c>
      <c r="B1089" s="757">
        <v>362</v>
      </c>
      <c r="C1089" s="757">
        <v>386</v>
      </c>
      <c r="D1089" s="757">
        <v>410</v>
      </c>
      <c r="E1089" s="757">
        <v>435</v>
      </c>
      <c r="F1089" s="757">
        <v>460</v>
      </c>
      <c r="G1089" s="757">
        <v>487</v>
      </c>
      <c r="H1089" s="757">
        <v>515</v>
      </c>
      <c r="I1089" s="757">
        <v>543</v>
      </c>
      <c r="J1089" s="758">
        <v>574</v>
      </c>
      <c r="K1089" s="199"/>
      <c r="L1089" s="769">
        <v>9</v>
      </c>
      <c r="M1089" s="757">
        <v>8.6630000000000003</v>
      </c>
      <c r="N1089" s="757">
        <v>8.5050000000000008</v>
      </c>
      <c r="O1089" s="757">
        <v>8.3170000000000002</v>
      </c>
      <c r="P1089" s="757">
        <v>8.1649999999999991</v>
      </c>
      <c r="Q1089" s="757">
        <v>8.0220000000000002</v>
      </c>
      <c r="R1089" s="762">
        <v>7.7949999999999999</v>
      </c>
      <c r="S1089" s="762">
        <v>7.6029999999999998</v>
      </c>
      <c r="T1089" s="762">
        <v>7.4329999999999998</v>
      </c>
      <c r="U1089" s="763">
        <v>7.21</v>
      </c>
      <c r="V1089" s="58"/>
      <c r="W1089" s="58"/>
      <c r="X1089" s="58"/>
      <c r="Y1089" s="58"/>
    </row>
    <row r="1090" spans="1:25" ht="15" x14ac:dyDescent="0.25">
      <c r="A1090" s="199"/>
      <c r="B1090" s="199"/>
      <c r="C1090" s="199"/>
      <c r="D1090" s="199"/>
      <c r="E1090" s="199"/>
      <c r="F1090" s="199"/>
      <c r="G1090" s="199"/>
      <c r="H1090" s="199"/>
      <c r="I1090" s="199"/>
      <c r="J1090" s="199"/>
      <c r="K1090" s="199"/>
      <c r="L1090" s="199"/>
      <c r="M1090" s="199"/>
      <c r="N1090" s="199"/>
      <c r="O1090" s="199"/>
      <c r="P1090" s="199"/>
      <c r="Q1090" s="199"/>
      <c r="R1090" s="58"/>
      <c r="S1090" s="58"/>
      <c r="T1090" s="58"/>
      <c r="U1090" s="58"/>
      <c r="V1090" s="58"/>
      <c r="W1090" s="58"/>
      <c r="X1090" s="58"/>
      <c r="Y1090" s="58"/>
    </row>
    <row r="1091" spans="1:25" ht="15.75" x14ac:dyDescent="0.25">
      <c r="A1091" s="199"/>
      <c r="B1091" s="624" t="s">
        <v>5166</v>
      </c>
      <c r="C1091" s="199"/>
      <c r="D1091" s="199"/>
      <c r="E1091" s="199"/>
      <c r="F1091" s="199"/>
      <c r="G1091" s="199"/>
      <c r="H1091" s="199"/>
      <c r="I1091" s="199"/>
      <c r="J1091" s="199"/>
      <c r="K1091" s="199"/>
      <c r="L1091" s="199"/>
      <c r="M1091" s="577" t="s">
        <v>5613</v>
      </c>
      <c r="N1091" s="199"/>
      <c r="O1091" s="199"/>
      <c r="P1091" s="199"/>
      <c r="Q1091" s="199"/>
      <c r="R1091" s="58"/>
      <c r="S1091" s="58"/>
      <c r="T1091" s="58"/>
      <c r="U1091" s="58"/>
      <c r="V1091" s="58"/>
      <c r="W1091" s="58"/>
      <c r="X1091" s="58"/>
      <c r="Y1091" s="58"/>
    </row>
    <row r="1092" spans="1:25" ht="15.75" x14ac:dyDescent="0.25">
      <c r="A1092" s="713"/>
      <c r="B1092" s="714"/>
      <c r="C1092" s="765" t="s">
        <v>2754</v>
      </c>
      <c r="D1092" s="714"/>
      <c r="E1092" s="714"/>
      <c r="F1092" s="714"/>
      <c r="G1092" s="714"/>
      <c r="H1092" s="714"/>
      <c r="I1092" s="714"/>
      <c r="J1092" s="715"/>
      <c r="K1092" s="199"/>
      <c r="L1092" s="713"/>
      <c r="M1092" s="764"/>
      <c r="N1092" s="765" t="s">
        <v>2339</v>
      </c>
      <c r="O1092" s="714"/>
      <c r="P1092" s="714"/>
      <c r="Q1092" s="714"/>
      <c r="R1092" s="752"/>
      <c r="S1092" s="752"/>
      <c r="T1092" s="752"/>
      <c r="U1092" s="753"/>
      <c r="V1092" s="58"/>
      <c r="W1092" s="58"/>
      <c r="X1092" s="58"/>
      <c r="Y1092" s="58"/>
    </row>
    <row r="1093" spans="1:25" ht="15" x14ac:dyDescent="0.25">
      <c r="A1093" s="716" t="s">
        <v>5611</v>
      </c>
      <c r="B1093" s="520" t="s">
        <v>5167</v>
      </c>
      <c r="C1093" s="520" t="s">
        <v>5603</v>
      </c>
      <c r="D1093" s="520" t="s">
        <v>5604</v>
      </c>
      <c r="E1093" s="520" t="s">
        <v>5605</v>
      </c>
      <c r="F1093" s="520" t="s">
        <v>5606</v>
      </c>
      <c r="G1093" s="520" t="s">
        <v>5607</v>
      </c>
      <c r="H1093" s="520" t="s">
        <v>5608</v>
      </c>
      <c r="I1093" s="520" t="s">
        <v>5609</v>
      </c>
      <c r="J1093" s="717" t="s">
        <v>5610</v>
      </c>
      <c r="K1093" s="199"/>
      <c r="L1093" s="716" t="s">
        <v>5611</v>
      </c>
      <c r="M1093" s="494" t="s">
        <v>5167</v>
      </c>
      <c r="N1093" s="494" t="s">
        <v>5603</v>
      </c>
      <c r="O1093" s="494" t="s">
        <v>5604</v>
      </c>
      <c r="P1093" s="494" t="s">
        <v>5605</v>
      </c>
      <c r="Q1093" s="494" t="s">
        <v>5606</v>
      </c>
      <c r="R1093" s="766" t="s">
        <v>5607</v>
      </c>
      <c r="S1093" s="766" t="s">
        <v>5608</v>
      </c>
      <c r="T1093" s="766" t="s">
        <v>5609</v>
      </c>
      <c r="U1093" s="767" t="s">
        <v>5610</v>
      </c>
      <c r="V1093" s="58"/>
      <c r="W1093" s="58"/>
      <c r="X1093" s="58"/>
      <c r="Y1093" s="58"/>
    </row>
    <row r="1094" spans="1:25" ht="15" x14ac:dyDescent="0.25">
      <c r="A1094" s="716"/>
      <c r="B1094" s="520">
        <v>0.73</v>
      </c>
      <c r="C1094" s="520">
        <v>0.78</v>
      </c>
      <c r="D1094" s="520">
        <v>0.83</v>
      </c>
      <c r="E1094" s="520">
        <v>0.88</v>
      </c>
      <c r="F1094" s="520">
        <v>0.93</v>
      </c>
      <c r="G1094" s="520">
        <v>0.99</v>
      </c>
      <c r="H1094" s="520">
        <v>1.05</v>
      </c>
      <c r="I1094" s="520">
        <v>1.1100000000000001</v>
      </c>
      <c r="J1094" s="717">
        <v>1.17</v>
      </c>
      <c r="K1094" s="199"/>
      <c r="L1094" s="716"/>
      <c r="M1094" s="520">
        <v>0.73</v>
      </c>
      <c r="N1094" s="520">
        <v>0.78</v>
      </c>
      <c r="O1094" s="520">
        <v>0.83</v>
      </c>
      <c r="P1094" s="520">
        <v>0.88</v>
      </c>
      <c r="Q1094" s="520">
        <v>0.93</v>
      </c>
      <c r="R1094" s="462">
        <v>0.99</v>
      </c>
      <c r="S1094" s="462">
        <v>1.05</v>
      </c>
      <c r="T1094" s="462">
        <v>1.1100000000000001</v>
      </c>
      <c r="U1094" s="755">
        <v>1.17</v>
      </c>
      <c r="V1094" s="58"/>
      <c r="W1094" s="58"/>
      <c r="X1094" s="58"/>
      <c r="Y1094" s="58"/>
    </row>
    <row r="1095" spans="1:25" ht="15" x14ac:dyDescent="0.25">
      <c r="A1095" s="716">
        <v>1</v>
      </c>
      <c r="B1095" s="520">
        <v>191</v>
      </c>
      <c r="C1095" s="520">
        <v>205</v>
      </c>
      <c r="D1095" s="520">
        <v>218</v>
      </c>
      <c r="E1095" s="520">
        <v>231</v>
      </c>
      <c r="F1095" s="520">
        <v>244</v>
      </c>
      <c r="G1095" s="520">
        <v>260</v>
      </c>
      <c r="H1095" s="520">
        <v>275</v>
      </c>
      <c r="I1095" s="520">
        <v>290</v>
      </c>
      <c r="J1095" s="717">
        <v>307</v>
      </c>
      <c r="K1095" s="199"/>
      <c r="L1095" s="768">
        <v>1</v>
      </c>
      <c r="M1095" s="520">
        <v>5.4020000000000001</v>
      </c>
      <c r="N1095" s="520">
        <v>5.3109999999999999</v>
      </c>
      <c r="O1095" s="520">
        <v>5.2050000000000001</v>
      </c>
      <c r="P1095" s="520">
        <v>5.109</v>
      </c>
      <c r="Q1095" s="520">
        <v>5.0250000000000004</v>
      </c>
      <c r="R1095" s="462">
        <v>4.899</v>
      </c>
      <c r="S1095" s="462">
        <v>4.7839999999999998</v>
      </c>
      <c r="T1095" s="462">
        <v>4.6790000000000003</v>
      </c>
      <c r="U1095" s="755">
        <v>4.5540000000000003</v>
      </c>
      <c r="V1095" s="58"/>
      <c r="W1095" s="58"/>
      <c r="X1095" s="58"/>
      <c r="Y1095" s="58"/>
    </row>
    <row r="1096" spans="1:25" ht="15" x14ac:dyDescent="0.25">
      <c r="A1096" s="716">
        <v>2</v>
      </c>
      <c r="B1096" s="520">
        <v>211</v>
      </c>
      <c r="C1096" s="520">
        <v>226</v>
      </c>
      <c r="D1096" s="520">
        <v>240</v>
      </c>
      <c r="E1096" s="520">
        <v>255</v>
      </c>
      <c r="F1096" s="520">
        <v>270</v>
      </c>
      <c r="G1096" s="520">
        <v>287</v>
      </c>
      <c r="H1096" s="520">
        <v>303</v>
      </c>
      <c r="I1096" s="520">
        <v>320</v>
      </c>
      <c r="J1096" s="717">
        <v>339</v>
      </c>
      <c r="K1096" s="199"/>
      <c r="L1096" s="768">
        <v>2</v>
      </c>
      <c r="M1096" s="520">
        <v>5.7640000000000002</v>
      </c>
      <c r="N1096" s="520">
        <v>5.6639999999999997</v>
      </c>
      <c r="O1096" s="520">
        <v>5.5490000000000004</v>
      </c>
      <c r="P1096" s="520">
        <v>5.4219999999999997</v>
      </c>
      <c r="Q1096" s="520">
        <v>5.35</v>
      </c>
      <c r="R1096" s="462">
        <v>5.2089999999999996</v>
      </c>
      <c r="S1096" s="462">
        <v>5.0819999999999999</v>
      </c>
      <c r="T1096" s="462">
        <v>4.9640000000000004</v>
      </c>
      <c r="U1096" s="755">
        <v>4.8360000000000003</v>
      </c>
      <c r="V1096" s="58"/>
      <c r="W1096" s="58"/>
      <c r="X1096" s="58"/>
      <c r="Y1096" s="58"/>
    </row>
    <row r="1097" spans="1:25" ht="15" x14ac:dyDescent="0.25">
      <c r="A1097" s="716">
        <v>3</v>
      </c>
      <c r="B1097" s="520">
        <v>232</v>
      </c>
      <c r="C1097" s="520">
        <v>248</v>
      </c>
      <c r="D1097" s="520">
        <v>264</v>
      </c>
      <c r="E1097" s="520">
        <v>280</v>
      </c>
      <c r="F1097" s="520">
        <v>296</v>
      </c>
      <c r="G1097" s="520">
        <v>315</v>
      </c>
      <c r="H1097" s="520">
        <v>333</v>
      </c>
      <c r="I1097" s="520">
        <v>351</v>
      </c>
      <c r="J1097" s="717">
        <v>371</v>
      </c>
      <c r="K1097" s="199"/>
      <c r="L1097" s="768">
        <v>3</v>
      </c>
      <c r="M1097" s="199">
        <v>6.1379999999999999</v>
      </c>
      <c r="N1097" s="199">
        <v>6.03</v>
      </c>
      <c r="O1097" s="199">
        <v>5.9020000000000001</v>
      </c>
      <c r="P1097" s="199">
        <v>5.7869999999999999</v>
      </c>
      <c r="Q1097" s="199">
        <v>5.6849999999999996</v>
      </c>
      <c r="R1097" s="58">
        <v>5.532</v>
      </c>
      <c r="S1097" s="58">
        <v>5.4</v>
      </c>
      <c r="T1097" s="58">
        <v>5.2830000000000004</v>
      </c>
      <c r="U1097" s="58">
        <v>5.141</v>
      </c>
      <c r="V1097" s="58"/>
      <c r="W1097" s="58"/>
      <c r="X1097" s="58"/>
      <c r="Y1097" s="58"/>
    </row>
    <row r="1098" spans="1:25" ht="15" x14ac:dyDescent="0.25">
      <c r="A1098" s="716">
        <v>4</v>
      </c>
      <c r="B1098" s="520">
        <v>253</v>
      </c>
      <c r="C1098" s="520">
        <v>271</v>
      </c>
      <c r="D1098" s="520">
        <v>289</v>
      </c>
      <c r="E1098" s="520">
        <v>306</v>
      </c>
      <c r="F1098" s="520">
        <v>323</v>
      </c>
      <c r="G1098" s="520">
        <v>343</v>
      </c>
      <c r="H1098" s="520">
        <v>363</v>
      </c>
      <c r="I1098" s="520">
        <v>383</v>
      </c>
      <c r="J1098" s="717">
        <v>405</v>
      </c>
      <c r="K1098" s="199"/>
      <c r="L1098" s="768">
        <v>4</v>
      </c>
      <c r="M1098" s="520">
        <v>6.5389999999999997</v>
      </c>
      <c r="N1098" s="520">
        <v>6.42</v>
      </c>
      <c r="O1098" s="520">
        <v>6.282</v>
      </c>
      <c r="P1098" s="520">
        <v>6.1550000000000002</v>
      </c>
      <c r="Q1098" s="520">
        <v>6.0510000000000002</v>
      </c>
      <c r="R1098" s="462">
        <v>5.8959999999999999</v>
      </c>
      <c r="S1098" s="462">
        <v>5.7530000000000001</v>
      </c>
      <c r="T1098" s="462">
        <v>5.6239999999999997</v>
      </c>
      <c r="U1098" s="755">
        <v>5.468</v>
      </c>
      <c r="V1098" s="58"/>
      <c r="W1098" s="58"/>
      <c r="X1098" s="58"/>
      <c r="Y1098" s="58"/>
    </row>
    <row r="1099" spans="1:25" ht="15" x14ac:dyDescent="0.25">
      <c r="A1099" s="716">
        <v>5</v>
      </c>
      <c r="B1099" s="520">
        <v>275</v>
      </c>
      <c r="C1099" s="520">
        <v>295</v>
      </c>
      <c r="D1099" s="520">
        <v>313</v>
      </c>
      <c r="E1099" s="520">
        <v>322</v>
      </c>
      <c r="F1099" s="520">
        <v>351</v>
      </c>
      <c r="G1099" s="520">
        <v>373</v>
      </c>
      <c r="H1099" s="520">
        <v>394</v>
      </c>
      <c r="I1099" s="520">
        <v>415</v>
      </c>
      <c r="J1099" s="717">
        <v>439</v>
      </c>
      <c r="K1099" s="199"/>
      <c r="L1099" s="768">
        <v>5</v>
      </c>
      <c r="M1099" s="520">
        <v>6.9489999999999998</v>
      </c>
      <c r="N1099" s="520">
        <v>6.8239999999999998</v>
      </c>
      <c r="O1099" s="520">
        <v>6.6790000000000003</v>
      </c>
      <c r="P1099" s="520">
        <v>6.5529999999999999</v>
      </c>
      <c r="Q1099" s="520">
        <v>6.4429999999999996</v>
      </c>
      <c r="R1099" s="462">
        <v>6.2750000000000004</v>
      </c>
      <c r="S1099" s="462">
        <v>6.1189999999999998</v>
      </c>
      <c r="T1099" s="462">
        <v>5.9790000000000001</v>
      </c>
      <c r="U1099" s="755">
        <v>5.8079999999999998</v>
      </c>
      <c r="V1099" s="58"/>
      <c r="W1099" s="58"/>
      <c r="X1099" s="58"/>
      <c r="Y1099" s="58"/>
    </row>
    <row r="1100" spans="1:25" ht="15" x14ac:dyDescent="0.25">
      <c r="A1100" s="716">
        <v>6</v>
      </c>
      <c r="B1100" s="520">
        <v>299</v>
      </c>
      <c r="C1100" s="520">
        <v>320</v>
      </c>
      <c r="D1100" s="520">
        <v>340</v>
      </c>
      <c r="E1100" s="520">
        <v>360</v>
      </c>
      <c r="F1100" s="520">
        <v>381</v>
      </c>
      <c r="G1100" s="520">
        <v>409</v>
      </c>
      <c r="H1100" s="520">
        <v>427</v>
      </c>
      <c r="I1100" s="520">
        <v>450</v>
      </c>
      <c r="J1100" s="717">
        <v>476</v>
      </c>
      <c r="K1100" s="199"/>
      <c r="L1100" s="768">
        <v>6</v>
      </c>
      <c r="M1100" s="520">
        <v>7.4029999999999996</v>
      </c>
      <c r="N1100" s="520">
        <v>7.26</v>
      </c>
      <c r="O1100" s="520">
        <v>7.13</v>
      </c>
      <c r="P1100" s="520">
        <v>6.9939999999999998</v>
      </c>
      <c r="Q1100" s="520">
        <v>6.875</v>
      </c>
      <c r="R1100" s="462">
        <v>6.6929999999999996</v>
      </c>
      <c r="S1100" s="462">
        <v>6.5229999999999997</v>
      </c>
      <c r="T1100" s="462">
        <v>6.3710000000000004</v>
      </c>
      <c r="U1100" s="755">
        <v>6.1840000000000002</v>
      </c>
      <c r="V1100" s="58"/>
      <c r="W1100" s="58"/>
      <c r="X1100" s="58"/>
      <c r="Y1100" s="58"/>
    </row>
    <row r="1101" spans="1:25" ht="15" x14ac:dyDescent="0.25">
      <c r="A1101" s="716">
        <v>7</v>
      </c>
      <c r="B1101" s="520">
        <v>325</v>
      </c>
      <c r="C1101" s="520">
        <v>347</v>
      </c>
      <c r="D1101" s="520">
        <v>369</v>
      </c>
      <c r="E1101" s="520">
        <v>391</v>
      </c>
      <c r="F1101" s="520">
        <v>413</v>
      </c>
      <c r="G1101" s="520">
        <v>438</v>
      </c>
      <c r="H1101" s="520">
        <v>463</v>
      </c>
      <c r="I1101" s="520">
        <v>487</v>
      </c>
      <c r="J1101" s="717">
        <v>515</v>
      </c>
      <c r="K1101" s="199"/>
      <c r="L1101" s="768">
        <v>7</v>
      </c>
      <c r="M1101" s="520">
        <v>7.9130000000000003</v>
      </c>
      <c r="N1101" s="520">
        <v>7.7839999999999998</v>
      </c>
      <c r="O1101" s="520">
        <v>7.6219999999999999</v>
      </c>
      <c r="P1101" s="520">
        <v>7.476</v>
      </c>
      <c r="Q1101" s="520">
        <v>7.3490000000000002</v>
      </c>
      <c r="R1101" s="462">
        <v>7.1509999999999998</v>
      </c>
      <c r="S1101" s="462">
        <v>6.9660000000000002</v>
      </c>
      <c r="T1101" s="462">
        <v>6.8</v>
      </c>
      <c r="U1101" s="755">
        <v>6.5960000000000001</v>
      </c>
      <c r="V1101" s="58"/>
      <c r="W1101" s="58"/>
      <c r="X1101" s="58"/>
      <c r="Y1101" s="58"/>
    </row>
    <row r="1102" spans="1:25" ht="15" x14ac:dyDescent="0.25">
      <c r="A1102" s="770">
        <v>8</v>
      </c>
      <c r="B1102" s="522">
        <v>348</v>
      </c>
      <c r="C1102" s="522">
        <v>372</v>
      </c>
      <c r="D1102" s="522">
        <v>395</v>
      </c>
      <c r="E1102" s="522">
        <v>419</v>
      </c>
      <c r="F1102" s="522">
        <v>443</v>
      </c>
      <c r="G1102" s="522">
        <v>470</v>
      </c>
      <c r="H1102" s="522">
        <v>496</v>
      </c>
      <c r="I1102" s="522">
        <v>522</v>
      </c>
      <c r="J1102" s="771">
        <v>552</v>
      </c>
      <c r="K1102" s="199"/>
      <c r="L1102" s="768">
        <v>8</v>
      </c>
      <c r="M1102" s="520">
        <v>8.3979999999999997</v>
      </c>
      <c r="N1102" s="520">
        <v>8.2629999999999999</v>
      </c>
      <c r="O1102" s="520">
        <v>8.0909999999999993</v>
      </c>
      <c r="P1102" s="520">
        <v>7.9349999999999996</v>
      </c>
      <c r="Q1102" s="520">
        <v>7.7990000000000004</v>
      </c>
      <c r="R1102" s="462">
        <v>7.5880000000000001</v>
      </c>
      <c r="S1102" s="462">
        <v>7.3879999999999999</v>
      </c>
      <c r="T1102" s="462">
        <v>7.21</v>
      </c>
      <c r="U1102" s="755">
        <v>6.9889999999999999</v>
      </c>
      <c r="V1102" s="58"/>
      <c r="W1102" s="58"/>
      <c r="X1102" s="58"/>
      <c r="Y1102" s="58"/>
    </row>
    <row r="1103" spans="1:25" ht="15" x14ac:dyDescent="0.25">
      <c r="A1103" s="760">
        <v>9</v>
      </c>
      <c r="B1103" s="757">
        <v>371</v>
      </c>
      <c r="C1103" s="757">
        <v>397</v>
      </c>
      <c r="D1103" s="757">
        <v>422</v>
      </c>
      <c r="E1103" s="757">
        <v>447</v>
      </c>
      <c r="F1103" s="757">
        <v>472</v>
      </c>
      <c r="G1103" s="757">
        <v>501</v>
      </c>
      <c r="H1103" s="757">
        <v>529</v>
      </c>
      <c r="I1103" s="757">
        <v>557</v>
      </c>
      <c r="J1103" s="758">
        <v>588</v>
      </c>
      <c r="K1103" s="199"/>
      <c r="L1103" s="769">
        <v>9</v>
      </c>
      <c r="M1103" s="757">
        <v>8.8930000000000007</v>
      </c>
      <c r="N1103" s="757">
        <v>8.7509999999999994</v>
      </c>
      <c r="O1103" s="757">
        <v>8.5690000000000008</v>
      </c>
      <c r="P1103" s="757">
        <v>8.4049999999999994</v>
      </c>
      <c r="Q1103" s="757">
        <v>8.26</v>
      </c>
      <c r="R1103" s="762">
        <v>8.0350000000000001</v>
      </c>
      <c r="S1103" s="762">
        <v>7.8209999999999997</v>
      </c>
      <c r="T1103" s="762">
        <v>7.6310000000000002</v>
      </c>
      <c r="U1103" s="763">
        <v>7.3929999999999998</v>
      </c>
      <c r="V1103" s="58"/>
      <c r="W1103" s="58"/>
      <c r="X1103" s="58"/>
      <c r="Y1103" s="58"/>
    </row>
    <row r="1104" spans="1:25" ht="15" x14ac:dyDescent="0.25">
      <c r="A1104" s="199"/>
      <c r="B1104" s="199"/>
      <c r="C1104" s="199"/>
      <c r="D1104" s="199"/>
      <c r="E1104" s="199"/>
      <c r="F1104" s="199"/>
      <c r="G1104" s="199"/>
      <c r="H1104" s="199"/>
      <c r="I1104" s="199"/>
      <c r="J1104" s="199"/>
      <c r="K1104" s="199"/>
      <c r="L1104" s="199"/>
      <c r="M1104" s="199"/>
      <c r="N1104" s="199"/>
      <c r="O1104" s="199"/>
      <c r="P1104" s="199"/>
      <c r="Q1104" s="199"/>
      <c r="R1104" s="58"/>
      <c r="S1104" s="58"/>
      <c r="T1104" s="58"/>
      <c r="U1104" s="58"/>
      <c r="V1104" s="58"/>
      <c r="W1104" s="58"/>
      <c r="X1104" s="58"/>
      <c r="Y1104" s="58"/>
    </row>
    <row r="1105" spans="1:25" ht="15" x14ac:dyDescent="0.25">
      <c r="A1105" s="666"/>
      <c r="B1105" s="666"/>
      <c r="C1105" s="666"/>
      <c r="D1105" s="666"/>
      <c r="E1105" s="666"/>
      <c r="F1105" s="666"/>
      <c r="G1105" s="666"/>
      <c r="H1105" s="666"/>
      <c r="I1105" s="666"/>
      <c r="J1105" s="666"/>
      <c r="K1105" s="666"/>
      <c r="L1105" s="666"/>
      <c r="M1105" s="666"/>
      <c r="N1105" s="666"/>
      <c r="O1105" s="666"/>
      <c r="P1105" s="666"/>
      <c r="Q1105" s="666"/>
      <c r="R1105" s="747"/>
      <c r="S1105" s="747"/>
      <c r="T1105" s="747"/>
      <c r="U1105" s="58"/>
      <c r="V1105" s="58"/>
      <c r="W1105" s="58"/>
      <c r="X1105" s="58"/>
      <c r="Y1105" s="58"/>
    </row>
    <row r="1106" spans="1:25" ht="15.75" thickBot="1" x14ac:dyDescent="0.3">
      <c r="A1106" s="199"/>
      <c r="B1106" s="199"/>
      <c r="C1106" s="199"/>
      <c r="D1106" s="199"/>
      <c r="E1106" s="199"/>
      <c r="F1106" s="199"/>
      <c r="G1106" s="199"/>
      <c r="H1106" s="199"/>
      <c r="I1106" s="199"/>
      <c r="J1106" s="199"/>
      <c r="K1106" s="199"/>
      <c r="L1106" s="199"/>
      <c r="M1106" s="199"/>
      <c r="N1106" s="199"/>
      <c r="O1106" s="199"/>
      <c r="P1106" s="199"/>
      <c r="Q1106" s="199"/>
      <c r="R1106" s="58"/>
      <c r="S1106" s="58"/>
      <c r="T1106" s="58"/>
      <c r="U1106" s="58"/>
      <c r="V1106" s="58"/>
      <c r="W1106" s="58"/>
      <c r="X1106" s="58"/>
      <c r="Y1106" s="58"/>
    </row>
    <row r="1107" spans="1:25" ht="15" x14ac:dyDescent="0.25">
      <c r="A1107" s="772" t="s">
        <v>1997</v>
      </c>
      <c r="B1107" s="199"/>
      <c r="C1107" s="580"/>
      <c r="D1107" s="580"/>
      <c r="E1107" s="580"/>
      <c r="F1107" s="580"/>
      <c r="G1107" s="580"/>
      <c r="H1107" s="773"/>
      <c r="I1107" s="199"/>
      <c r="J1107" s="199"/>
      <c r="K1107" s="199"/>
      <c r="L1107" s="199"/>
      <c r="M1107" s="199"/>
      <c r="N1107" s="199"/>
      <c r="O1107" s="199"/>
      <c r="P1107" s="199"/>
      <c r="Q1107" s="199"/>
      <c r="R1107" s="58"/>
      <c r="S1107" s="58"/>
      <c r="T1107" s="58"/>
      <c r="U1107" s="58"/>
      <c r="V1107" s="58"/>
      <c r="W1107" s="58"/>
      <c r="X1107" s="58"/>
      <c r="Y1107" s="58"/>
    </row>
    <row r="1108" spans="1:25" ht="15" x14ac:dyDescent="0.25">
      <c r="A1108" s="590"/>
      <c r="B1108" s="520"/>
      <c r="C1108" s="520" t="s">
        <v>2322</v>
      </c>
      <c r="D1108" s="520"/>
      <c r="E1108" s="520"/>
      <c r="F1108" s="520"/>
      <c r="G1108" s="520"/>
      <c r="H1108" s="589"/>
      <c r="I1108" s="199"/>
      <c r="J1108" s="199"/>
      <c r="K1108" s="199"/>
      <c r="L1108" s="199"/>
      <c r="M1108" s="199"/>
      <c r="N1108" s="199"/>
      <c r="O1108" s="199"/>
      <c r="P1108" s="199"/>
      <c r="Q1108" s="199"/>
      <c r="R1108" s="58"/>
      <c r="S1108" s="58"/>
      <c r="T1108" s="58"/>
      <c r="U1108" s="58"/>
      <c r="V1108" s="58"/>
      <c r="W1108" s="58"/>
      <c r="X1108" s="58"/>
      <c r="Y1108" s="58"/>
    </row>
    <row r="1109" spans="1:25" ht="15" x14ac:dyDescent="0.25">
      <c r="A1109" s="590"/>
      <c r="B1109" s="774">
        <v>1</v>
      </c>
      <c r="C1109" s="774">
        <v>2</v>
      </c>
      <c r="D1109" s="774">
        <v>3</v>
      </c>
      <c r="E1109" s="774">
        <v>4</v>
      </c>
      <c r="F1109" s="774">
        <v>5</v>
      </c>
      <c r="G1109" s="774">
        <v>6</v>
      </c>
      <c r="H1109" s="775">
        <v>7</v>
      </c>
      <c r="I1109" s="199"/>
      <c r="J1109" s="199"/>
      <c r="K1109" s="199"/>
      <c r="L1109" s="199"/>
      <c r="M1109" s="199"/>
      <c r="N1109" s="199"/>
      <c r="O1109" s="199"/>
      <c r="P1109" s="199"/>
      <c r="Q1109" s="199"/>
      <c r="R1109" s="58"/>
      <c r="S1109" s="58"/>
      <c r="T1109" s="58"/>
      <c r="U1109" s="58"/>
      <c r="V1109" s="58"/>
      <c r="W1109" s="58"/>
      <c r="X1109" s="58"/>
      <c r="Y1109" s="58"/>
    </row>
    <row r="1110" spans="1:25" ht="15" x14ac:dyDescent="0.25">
      <c r="A1110" s="590"/>
      <c r="B1110" s="776" t="s">
        <v>2328</v>
      </c>
      <c r="C1110" s="520"/>
      <c r="D1110" s="520"/>
      <c r="E1110" s="520"/>
      <c r="F1110" s="520"/>
      <c r="G1110" s="520"/>
      <c r="H1110" s="589"/>
      <c r="I1110" s="199"/>
      <c r="J1110" s="199"/>
      <c r="K1110" s="199"/>
      <c r="L1110" s="199"/>
      <c r="M1110" s="199"/>
      <c r="N1110" s="199"/>
      <c r="O1110" s="199"/>
      <c r="P1110" s="199"/>
      <c r="Q1110" s="199"/>
      <c r="R1110" s="58"/>
      <c r="S1110" s="58"/>
      <c r="T1110" s="58"/>
      <c r="U1110" s="58"/>
      <c r="V1110" s="58"/>
      <c r="W1110" s="58"/>
      <c r="X1110" s="58"/>
      <c r="Y1110" s="58"/>
    </row>
    <row r="1111" spans="1:25" ht="15" x14ac:dyDescent="0.25">
      <c r="A1111" s="590" t="s">
        <v>2323</v>
      </c>
      <c r="B1111" s="520">
        <v>112</v>
      </c>
      <c r="C1111" s="520">
        <v>123</v>
      </c>
      <c r="D1111" s="520">
        <v>134</v>
      </c>
      <c r="E1111" s="520">
        <v>146</v>
      </c>
      <c r="F1111" s="520">
        <v>158</v>
      </c>
      <c r="G1111" s="520">
        <v>169</v>
      </c>
      <c r="H1111" s="589">
        <v>181</v>
      </c>
      <c r="I1111" s="199"/>
      <c r="J1111" s="199"/>
      <c r="K1111" s="199"/>
      <c r="L1111" s="199"/>
      <c r="M1111" s="199"/>
      <c r="N1111" s="199"/>
      <c r="O1111" s="199"/>
      <c r="P1111" s="199"/>
      <c r="Q1111" s="199"/>
      <c r="R1111" s="58"/>
      <c r="S1111" s="58"/>
      <c r="T1111" s="58"/>
      <c r="U1111" s="58"/>
      <c r="V1111" s="58"/>
      <c r="W1111" s="58"/>
      <c r="X1111" s="58"/>
      <c r="Y1111" s="58"/>
    </row>
    <row r="1112" spans="1:25" ht="15" x14ac:dyDescent="0.25">
      <c r="A1112" s="590" t="s">
        <v>2324</v>
      </c>
      <c r="B1112" s="520">
        <v>132</v>
      </c>
      <c r="C1112" s="520">
        <v>144</v>
      </c>
      <c r="D1112" s="520">
        <v>158</v>
      </c>
      <c r="E1112" s="520">
        <v>171</v>
      </c>
      <c r="F1112" s="520">
        <v>185</v>
      </c>
      <c r="G1112" s="520">
        <v>200</v>
      </c>
      <c r="H1112" s="589">
        <v>214</v>
      </c>
      <c r="I1112" s="199"/>
      <c r="J1112" s="199"/>
      <c r="K1112" s="199"/>
      <c r="L1112" s="199"/>
      <c r="M1112" s="199"/>
      <c r="N1112" s="199"/>
      <c r="O1112" s="199"/>
      <c r="P1112" s="199"/>
      <c r="Q1112" s="199"/>
      <c r="R1112" s="58"/>
      <c r="S1112" s="58"/>
      <c r="T1112" s="58"/>
      <c r="U1112" s="58"/>
      <c r="V1112" s="58"/>
      <c r="W1112" s="58"/>
      <c r="X1112" s="58"/>
      <c r="Y1112" s="58"/>
    </row>
    <row r="1113" spans="1:25" ht="15" x14ac:dyDescent="0.25">
      <c r="A1113" s="590" t="s">
        <v>2325</v>
      </c>
      <c r="B1113" s="520">
        <v>152</v>
      </c>
      <c r="C1113" s="520">
        <v>167</v>
      </c>
      <c r="D1113" s="520">
        <v>183</v>
      </c>
      <c r="E1113" s="520">
        <v>198</v>
      </c>
      <c r="F1113" s="520">
        <v>216</v>
      </c>
      <c r="G1113" s="520">
        <v>232</v>
      </c>
      <c r="H1113" s="589">
        <v>249</v>
      </c>
      <c r="I1113" s="199"/>
      <c r="J1113" s="199"/>
      <c r="K1113" s="199"/>
      <c r="L1113" s="199"/>
      <c r="M1113" s="199"/>
      <c r="N1113" s="199"/>
      <c r="O1113" s="199"/>
      <c r="P1113" s="199"/>
      <c r="Q1113" s="199"/>
      <c r="R1113" s="58"/>
      <c r="S1113" s="58"/>
      <c r="T1113" s="58"/>
      <c r="U1113" s="58"/>
      <c r="V1113" s="58"/>
      <c r="W1113" s="58"/>
      <c r="X1113" s="58"/>
      <c r="Y1113" s="58"/>
    </row>
    <row r="1114" spans="1:25" ht="15" x14ac:dyDescent="0.25">
      <c r="A1114" s="590" t="s">
        <v>2326</v>
      </c>
      <c r="B1114" s="520">
        <v>175</v>
      </c>
      <c r="C1114" s="520">
        <v>192</v>
      </c>
      <c r="D1114" s="520">
        <v>210</v>
      </c>
      <c r="E1114" s="520">
        <v>229</v>
      </c>
      <c r="F1114" s="520">
        <v>248</v>
      </c>
      <c r="G1114" s="520">
        <v>267</v>
      </c>
      <c r="H1114" s="589">
        <v>286</v>
      </c>
      <c r="I1114" s="199"/>
      <c r="J1114" s="199"/>
      <c r="K1114" s="199"/>
      <c r="L1114" s="199"/>
      <c r="M1114" s="199"/>
      <c r="N1114" s="199"/>
      <c r="O1114" s="199"/>
      <c r="P1114" s="199"/>
      <c r="Q1114" s="199"/>
      <c r="R1114" s="58"/>
      <c r="S1114" s="58"/>
      <c r="T1114" s="58"/>
      <c r="U1114" s="58"/>
      <c r="V1114" s="58"/>
      <c r="W1114" s="58"/>
      <c r="X1114" s="58"/>
      <c r="Y1114" s="58"/>
    </row>
    <row r="1115" spans="1:25" ht="15" x14ac:dyDescent="0.25">
      <c r="A1115" s="590" t="s">
        <v>2327</v>
      </c>
      <c r="B1115" s="520">
        <v>199</v>
      </c>
      <c r="C1115" s="520">
        <v>218</v>
      </c>
      <c r="D1115" s="520">
        <v>239</v>
      </c>
      <c r="E1115" s="520">
        <v>259</v>
      </c>
      <c r="F1115" s="520">
        <v>280</v>
      </c>
      <c r="G1115" s="520">
        <v>302</v>
      </c>
      <c r="H1115" s="589">
        <v>324</v>
      </c>
      <c r="I1115" s="199"/>
      <c r="J1115" s="199"/>
      <c r="K1115" s="199"/>
      <c r="L1115" s="199"/>
      <c r="M1115" s="199"/>
      <c r="N1115" s="199"/>
      <c r="O1115" s="199"/>
      <c r="P1115" s="199"/>
      <c r="Q1115" s="199"/>
      <c r="R1115" s="58"/>
      <c r="S1115" s="58"/>
      <c r="T1115" s="58"/>
      <c r="U1115" s="58"/>
      <c r="V1115" s="58"/>
      <c r="W1115" s="58"/>
      <c r="X1115" s="58"/>
      <c r="Y1115" s="58"/>
    </row>
    <row r="1116" spans="1:25" ht="15" x14ac:dyDescent="0.25">
      <c r="A1116" s="590"/>
      <c r="B1116" s="776" t="s">
        <v>2329</v>
      </c>
      <c r="C1116" s="520"/>
      <c r="D1116" s="520"/>
      <c r="E1116" s="520"/>
      <c r="F1116" s="520"/>
      <c r="G1116" s="520"/>
      <c r="H1116" s="589"/>
      <c r="I1116" s="199"/>
      <c r="J1116" s="199"/>
      <c r="K1116" s="199"/>
      <c r="L1116" s="199"/>
      <c r="M1116" s="199"/>
      <c r="N1116" s="199"/>
      <c r="O1116" s="199"/>
      <c r="P1116" s="199"/>
      <c r="Q1116" s="199"/>
      <c r="R1116" s="58"/>
      <c r="S1116" s="58"/>
      <c r="T1116" s="58"/>
      <c r="U1116" s="58"/>
      <c r="V1116" s="58"/>
      <c r="W1116" s="58"/>
      <c r="X1116" s="58"/>
      <c r="Y1116" s="58"/>
    </row>
    <row r="1117" spans="1:25" ht="15" x14ac:dyDescent="0.25">
      <c r="A1117" s="590" t="s">
        <v>2323</v>
      </c>
      <c r="B1117" s="520">
        <v>119</v>
      </c>
      <c r="C1117" s="520">
        <v>132</v>
      </c>
      <c r="D1117" s="520">
        <v>144</v>
      </c>
      <c r="E1117" s="520">
        <v>158</v>
      </c>
      <c r="F1117" s="520">
        <v>172</v>
      </c>
      <c r="G1117" s="520">
        <v>186</v>
      </c>
      <c r="H1117" s="589">
        <v>201</v>
      </c>
      <c r="I1117" s="199"/>
      <c r="J1117" s="199"/>
      <c r="K1117" s="199"/>
      <c r="L1117" s="199"/>
      <c r="M1117" s="199"/>
      <c r="N1117" s="199"/>
      <c r="O1117" s="199"/>
      <c r="P1117" s="199"/>
      <c r="Q1117" s="199"/>
      <c r="R1117" s="58"/>
      <c r="S1117" s="58"/>
      <c r="T1117" s="58"/>
      <c r="U1117" s="58"/>
      <c r="V1117" s="58"/>
      <c r="W1117" s="58"/>
      <c r="X1117" s="58"/>
      <c r="Y1117" s="58"/>
    </row>
    <row r="1118" spans="1:25" ht="15" x14ac:dyDescent="0.25">
      <c r="A1118" s="590" t="s">
        <v>2324</v>
      </c>
      <c r="B1118" s="520">
        <v>139</v>
      </c>
      <c r="C1118" s="520">
        <v>153</v>
      </c>
      <c r="D1118" s="520">
        <v>169</v>
      </c>
      <c r="E1118" s="520">
        <v>185</v>
      </c>
      <c r="F1118" s="520">
        <v>201</v>
      </c>
      <c r="G1118" s="520">
        <v>219</v>
      </c>
      <c r="H1118" s="589">
        <v>236</v>
      </c>
      <c r="I1118" s="199"/>
      <c r="J1118" s="199"/>
      <c r="K1118" s="199"/>
      <c r="L1118" s="199"/>
      <c r="M1118" s="199"/>
      <c r="N1118" s="199"/>
      <c r="O1118" s="199"/>
      <c r="P1118" s="199"/>
      <c r="Q1118" s="199"/>
      <c r="R1118" s="58"/>
      <c r="S1118" s="58"/>
      <c r="T1118" s="58"/>
      <c r="U1118" s="58"/>
      <c r="V1118" s="58"/>
      <c r="W1118" s="58"/>
      <c r="X1118" s="58"/>
      <c r="Y1118" s="58"/>
    </row>
    <row r="1119" spans="1:25" ht="15" x14ac:dyDescent="0.25">
      <c r="A1119" s="590" t="s">
        <v>2325</v>
      </c>
      <c r="B1119" s="520">
        <v>160</v>
      </c>
      <c r="C1119" s="520">
        <v>178</v>
      </c>
      <c r="D1119" s="520">
        <v>195</v>
      </c>
      <c r="E1119" s="520">
        <v>213</v>
      </c>
      <c r="F1119" s="520">
        <v>233</v>
      </c>
      <c r="G1119" s="520">
        <v>253</v>
      </c>
      <c r="H1119" s="589">
        <v>273</v>
      </c>
      <c r="I1119" s="199"/>
      <c r="J1119" s="199"/>
      <c r="K1119" s="199"/>
      <c r="L1119" s="199"/>
      <c r="M1119" s="199"/>
      <c r="N1119" s="199"/>
      <c r="O1119" s="199"/>
      <c r="P1119" s="199"/>
      <c r="Q1119" s="199"/>
      <c r="R1119" s="58"/>
      <c r="S1119" s="58"/>
      <c r="T1119" s="58"/>
      <c r="U1119" s="58"/>
      <c r="V1119" s="58"/>
      <c r="W1119" s="58"/>
      <c r="X1119" s="58"/>
      <c r="Y1119" s="58"/>
    </row>
    <row r="1120" spans="1:25" ht="15" x14ac:dyDescent="0.25">
      <c r="A1120" s="590" t="s">
        <v>2326</v>
      </c>
      <c r="B1120" s="520">
        <v>185</v>
      </c>
      <c r="C1120" s="520">
        <v>204</v>
      </c>
      <c r="D1120" s="520">
        <v>223</v>
      </c>
      <c r="E1120" s="520">
        <v>246</v>
      </c>
      <c r="F1120" s="520">
        <v>267</v>
      </c>
      <c r="G1120" s="520">
        <v>290</v>
      </c>
      <c r="H1120" s="589">
        <v>313</v>
      </c>
      <c r="I1120" s="199"/>
      <c r="J1120" s="199"/>
      <c r="K1120" s="199"/>
      <c r="L1120" s="199"/>
      <c r="M1120" s="199"/>
      <c r="N1120" s="199"/>
      <c r="O1120" s="199"/>
      <c r="P1120" s="199"/>
      <c r="Q1120" s="199"/>
      <c r="R1120" s="58"/>
      <c r="S1120" s="58"/>
      <c r="T1120" s="58"/>
      <c r="U1120" s="58"/>
      <c r="V1120" s="58"/>
      <c r="W1120" s="58"/>
      <c r="X1120" s="58"/>
      <c r="Y1120" s="58"/>
    </row>
    <row r="1121" spans="1:25" ht="15.75" thickBot="1" x14ac:dyDescent="0.3">
      <c r="A1121" s="604" t="s">
        <v>2327</v>
      </c>
      <c r="B1121" s="605">
        <v>210</v>
      </c>
      <c r="C1121" s="605">
        <v>231</v>
      </c>
      <c r="D1121" s="605">
        <v>254</v>
      </c>
      <c r="E1121" s="605">
        <v>278</v>
      </c>
      <c r="F1121" s="605">
        <v>302</v>
      </c>
      <c r="G1121" s="605">
        <v>328</v>
      </c>
      <c r="H1121" s="607">
        <v>353</v>
      </c>
      <c r="I1121" s="199"/>
      <c r="J1121" s="199"/>
      <c r="K1121" s="199"/>
      <c r="L1121" s="199"/>
      <c r="M1121" s="199"/>
      <c r="N1121" s="199"/>
      <c r="O1121" s="199"/>
      <c r="P1121" s="199"/>
      <c r="Q1121" s="199"/>
      <c r="R1121" s="58"/>
      <c r="S1121" s="58"/>
      <c r="T1121" s="58"/>
      <c r="U1121" s="58"/>
      <c r="V1121" s="58"/>
      <c r="W1121" s="58"/>
      <c r="X1121" s="58"/>
      <c r="Y1121" s="58"/>
    </row>
    <row r="1122" spans="1:25" ht="15.75" thickBot="1" x14ac:dyDescent="0.3">
      <c r="A1122" s="666"/>
      <c r="B1122" s="666"/>
      <c r="C1122" s="666"/>
      <c r="D1122" s="666"/>
      <c r="E1122" s="666"/>
      <c r="F1122" s="666"/>
      <c r="G1122" s="666"/>
      <c r="H1122" s="666"/>
      <c r="I1122" s="547"/>
      <c r="J1122" s="547"/>
      <c r="K1122" s="547"/>
      <c r="L1122" s="547"/>
      <c r="M1122" s="547"/>
      <c r="N1122" s="199"/>
      <c r="O1122" s="199"/>
      <c r="P1122" s="199"/>
      <c r="Q1122" s="199"/>
      <c r="R1122" s="58"/>
      <c r="S1122" s="58"/>
      <c r="T1122" s="58"/>
      <c r="U1122" s="58"/>
      <c r="V1122" s="58"/>
      <c r="W1122" s="58"/>
      <c r="X1122" s="58"/>
      <c r="Y1122" s="58"/>
    </row>
    <row r="1123" spans="1:25" ht="15" x14ac:dyDescent="0.25">
      <c r="A1123" s="772" t="s">
        <v>1250</v>
      </c>
      <c r="B1123" s="199"/>
      <c r="C1123" s="580"/>
      <c r="D1123" s="580"/>
      <c r="E1123" s="580"/>
      <c r="F1123" s="580"/>
      <c r="G1123" s="773"/>
      <c r="H1123" s="199"/>
      <c r="I1123" s="199"/>
      <c r="J1123" s="199"/>
      <c r="K1123" s="199"/>
      <c r="L1123" s="199"/>
      <c r="M1123" s="199"/>
      <c r="N1123" s="199"/>
      <c r="O1123" s="199"/>
      <c r="P1123" s="199"/>
      <c r="Q1123" s="199"/>
      <c r="R1123" s="58"/>
      <c r="S1123" s="58"/>
      <c r="T1123" s="58"/>
      <c r="U1123" s="58"/>
      <c r="V1123" s="58"/>
      <c r="W1123" s="58"/>
      <c r="X1123" s="58"/>
      <c r="Y1123" s="58"/>
    </row>
    <row r="1124" spans="1:25" ht="60" x14ac:dyDescent="0.25">
      <c r="A1124" s="590"/>
      <c r="B1124" s="537" t="s">
        <v>2335</v>
      </c>
      <c r="C1124" s="537" t="s">
        <v>2336</v>
      </c>
      <c r="D1124" s="520"/>
      <c r="E1124" s="520"/>
      <c r="F1124" s="520"/>
      <c r="G1124" s="589"/>
      <c r="H1124" s="199"/>
      <c r="I1124" s="199"/>
      <c r="J1124" s="199"/>
      <c r="K1124" s="199"/>
      <c r="L1124" s="199"/>
      <c r="M1124" s="199"/>
      <c r="N1124" s="199"/>
      <c r="O1124" s="199"/>
      <c r="P1124" s="199"/>
      <c r="Q1124" s="199"/>
      <c r="R1124" s="58"/>
      <c r="S1124" s="58"/>
      <c r="T1124" s="58"/>
      <c r="U1124" s="58"/>
      <c r="V1124" s="58"/>
      <c r="W1124" s="58"/>
      <c r="X1124" s="58"/>
      <c r="Y1124" s="58"/>
    </row>
    <row r="1125" spans="1:25" ht="15" x14ac:dyDescent="0.25">
      <c r="A1125" s="590" t="s">
        <v>2323</v>
      </c>
      <c r="B1125" s="774">
        <v>79.8</v>
      </c>
      <c r="C1125" s="774">
        <v>57.2</v>
      </c>
      <c r="D1125" s="520"/>
      <c r="E1125" s="520"/>
      <c r="F1125" s="520"/>
      <c r="G1125" s="589"/>
      <c r="H1125" s="199"/>
      <c r="I1125" s="199"/>
      <c r="J1125" s="199"/>
      <c r="K1125" s="199"/>
      <c r="L1125" s="199"/>
      <c r="M1125" s="199"/>
      <c r="N1125" s="199"/>
      <c r="O1125" s="199"/>
      <c r="P1125" s="199"/>
      <c r="Q1125" s="199"/>
      <c r="R1125" s="58"/>
      <c r="S1125" s="58"/>
      <c r="T1125" s="58"/>
      <c r="U1125" s="58"/>
      <c r="V1125" s="58"/>
      <c r="W1125" s="58"/>
      <c r="X1125" s="58"/>
      <c r="Y1125" s="58"/>
    </row>
    <row r="1126" spans="1:25" ht="15" x14ac:dyDescent="0.25">
      <c r="A1126" s="590" t="s">
        <v>2324</v>
      </c>
      <c r="B1126" s="774">
        <v>94.2</v>
      </c>
      <c r="C1126" s="774">
        <v>68.8</v>
      </c>
      <c r="D1126" s="520"/>
      <c r="E1126" s="520"/>
      <c r="F1126" s="520"/>
      <c r="G1126" s="589"/>
      <c r="H1126" s="199"/>
      <c r="I1126" s="199"/>
      <c r="J1126" s="199"/>
      <c r="K1126" s="199"/>
      <c r="L1126" s="199"/>
      <c r="M1126" s="199"/>
      <c r="N1126" s="199"/>
      <c r="O1126" s="199"/>
      <c r="P1126" s="199"/>
      <c r="Q1126" s="199"/>
      <c r="R1126" s="58"/>
      <c r="S1126" s="58"/>
      <c r="T1126" s="58"/>
      <c r="U1126" s="58"/>
      <c r="V1126" s="58"/>
      <c r="W1126" s="58"/>
      <c r="X1126" s="58"/>
      <c r="Y1126" s="58"/>
    </row>
    <row r="1127" spans="1:25" ht="15" x14ac:dyDescent="0.25">
      <c r="A1127" s="590" t="s">
        <v>2325</v>
      </c>
      <c r="B1127" s="774">
        <v>111.8</v>
      </c>
      <c r="C1127" s="774">
        <v>75.2</v>
      </c>
      <c r="D1127" s="520"/>
      <c r="E1127" s="520"/>
      <c r="F1127" s="520"/>
      <c r="G1127" s="589"/>
      <c r="H1127" s="199"/>
      <c r="I1127" s="199"/>
      <c r="J1127" s="199"/>
      <c r="K1127" s="199"/>
      <c r="L1127" s="199"/>
      <c r="M1127" s="199"/>
      <c r="N1127" s="199"/>
      <c r="O1127" s="199"/>
      <c r="P1127" s="199"/>
      <c r="Q1127" s="199"/>
      <c r="R1127" s="58"/>
      <c r="S1127" s="58"/>
      <c r="T1127" s="58"/>
      <c r="U1127" s="58"/>
      <c r="V1127" s="58"/>
      <c r="W1127" s="58"/>
      <c r="X1127" s="58"/>
      <c r="Y1127" s="58"/>
    </row>
    <row r="1128" spans="1:25" ht="15" x14ac:dyDescent="0.25">
      <c r="A1128" s="590" t="s">
        <v>2326</v>
      </c>
      <c r="B1128" s="774">
        <v>133.19999999999999</v>
      </c>
      <c r="C1128" s="774">
        <v>89.7</v>
      </c>
      <c r="D1128" s="520"/>
      <c r="E1128" s="520"/>
      <c r="F1128" s="520"/>
      <c r="G1128" s="589"/>
      <c r="H1128" s="199"/>
      <c r="I1128" s="199"/>
      <c r="J1128" s="199"/>
      <c r="K1128" s="199"/>
      <c r="L1128" s="199"/>
      <c r="M1128" s="199"/>
      <c r="N1128" s="199"/>
      <c r="O1128" s="199"/>
      <c r="P1128" s="199"/>
      <c r="Q1128" s="199"/>
      <c r="R1128" s="58"/>
      <c r="S1128" s="58"/>
      <c r="T1128" s="58"/>
      <c r="U1128" s="58"/>
      <c r="V1128" s="58"/>
      <c r="W1128" s="58"/>
      <c r="X1128" s="58"/>
      <c r="Y1128" s="58"/>
    </row>
    <row r="1129" spans="1:25" ht="15.75" thickBot="1" x14ac:dyDescent="0.3">
      <c r="A1129" s="604" t="s">
        <v>2327</v>
      </c>
      <c r="B1129" s="777">
        <v>150.80000000000001</v>
      </c>
      <c r="C1129" s="777">
        <v>100.6</v>
      </c>
      <c r="D1129" s="605"/>
      <c r="E1129" s="605"/>
      <c r="F1129" s="605"/>
      <c r="G1129" s="607"/>
      <c r="H1129" s="199"/>
      <c r="I1129" s="199"/>
      <c r="J1129" s="199"/>
      <c r="K1129" s="199"/>
      <c r="L1129" s="199"/>
      <c r="M1129" s="199"/>
      <c r="N1129" s="199"/>
      <c r="O1129" s="199"/>
      <c r="P1129" s="199"/>
      <c r="Q1129" s="199"/>
      <c r="R1129" s="58"/>
      <c r="S1129" s="58"/>
      <c r="T1129" s="58"/>
      <c r="U1129" s="58"/>
      <c r="V1129" s="58"/>
      <c r="W1129" s="58"/>
      <c r="X1129" s="58"/>
      <c r="Y1129" s="58"/>
    </row>
    <row r="1130" spans="1:25" ht="15.75" thickBot="1" x14ac:dyDescent="0.3">
      <c r="A1130" s="666"/>
      <c r="B1130" s="666"/>
      <c r="C1130" s="666"/>
      <c r="D1130" s="666"/>
      <c r="E1130" s="666"/>
      <c r="F1130" s="666"/>
      <c r="G1130" s="666"/>
      <c r="H1130" s="666"/>
      <c r="I1130" s="666"/>
      <c r="J1130" s="666"/>
      <c r="K1130" s="666"/>
      <c r="L1130" s="666"/>
      <c r="M1130" s="199"/>
      <c r="N1130" s="199"/>
      <c r="O1130" s="199"/>
      <c r="P1130" s="199"/>
      <c r="Q1130" s="199"/>
      <c r="R1130" s="58"/>
      <c r="S1130" s="58"/>
      <c r="T1130" s="58"/>
      <c r="U1130" s="58"/>
      <c r="V1130" s="58"/>
      <c r="W1130" s="58"/>
      <c r="X1130" s="58"/>
      <c r="Y1130" s="58"/>
    </row>
    <row r="1131" spans="1:25" ht="15" x14ac:dyDescent="0.25">
      <c r="A1131" s="778" t="s">
        <v>3306</v>
      </c>
      <c r="B1131" s="580"/>
      <c r="C1131" s="580"/>
      <c r="D1131" s="580"/>
      <c r="E1131" s="580"/>
      <c r="F1131" s="580"/>
      <c r="G1131" s="580"/>
      <c r="H1131" s="580"/>
      <c r="I1131" s="580"/>
      <c r="J1131" s="580"/>
      <c r="K1131" s="580"/>
      <c r="L1131" s="773"/>
      <c r="M1131" s="199"/>
      <c r="N1131" s="199"/>
      <c r="O1131" s="199"/>
      <c r="P1131" s="199"/>
      <c r="Q1131" s="199"/>
      <c r="R1131" s="58"/>
      <c r="S1131" s="58"/>
      <c r="T1131" s="58"/>
      <c r="U1131" s="58"/>
      <c r="V1131" s="58"/>
      <c r="W1131" s="58"/>
      <c r="X1131" s="58"/>
      <c r="Y1131" s="58"/>
    </row>
    <row r="1132" spans="1:25" ht="15" x14ac:dyDescent="0.25">
      <c r="A1132" s="590"/>
      <c r="B1132" s="494" t="s">
        <v>1998</v>
      </c>
      <c r="C1132" s="520"/>
      <c r="D1132" s="520"/>
      <c r="E1132" s="520"/>
      <c r="F1132" s="520"/>
      <c r="G1132" s="520"/>
      <c r="H1132" s="520"/>
      <c r="I1132" s="520"/>
      <c r="J1132" s="520"/>
      <c r="K1132" s="520"/>
      <c r="L1132" s="589"/>
      <c r="M1132" s="199"/>
      <c r="N1132" s="199"/>
      <c r="O1132" s="199"/>
      <c r="P1132" s="199"/>
      <c r="Q1132" s="199"/>
      <c r="R1132" s="58"/>
      <c r="S1132" s="58"/>
      <c r="T1132" s="58"/>
      <c r="U1132" s="58"/>
      <c r="V1132" s="58"/>
      <c r="W1132" s="58"/>
      <c r="X1132" s="58"/>
      <c r="Y1132" s="58"/>
    </row>
    <row r="1133" spans="1:25" ht="15" x14ac:dyDescent="0.25">
      <c r="A1133" s="590" t="s">
        <v>1999</v>
      </c>
      <c r="B1133" s="520"/>
      <c r="C1133" s="520" t="s">
        <v>2330</v>
      </c>
      <c r="D1133" s="520"/>
      <c r="E1133" s="520"/>
      <c r="F1133" s="520"/>
      <c r="G1133" s="520"/>
      <c r="H1133" s="520"/>
      <c r="I1133" s="520"/>
      <c r="J1133" s="520"/>
      <c r="K1133" s="520"/>
      <c r="L1133" s="589"/>
      <c r="M1133" s="199"/>
      <c r="N1133" s="199"/>
      <c r="O1133" s="199"/>
      <c r="P1133" s="199"/>
      <c r="Q1133" s="199"/>
      <c r="R1133" s="58"/>
      <c r="S1133" s="58"/>
      <c r="T1133" s="58"/>
      <c r="U1133" s="58"/>
      <c r="V1133" s="58"/>
      <c r="W1133" s="58"/>
      <c r="X1133" s="58"/>
      <c r="Y1133" s="58"/>
    </row>
    <row r="1134" spans="1:25" ht="15" x14ac:dyDescent="0.25">
      <c r="A1134" s="590"/>
      <c r="B1134" s="520" t="s">
        <v>3307</v>
      </c>
      <c r="C1134" s="520">
        <v>84</v>
      </c>
      <c r="D1134" s="520"/>
      <c r="E1134" s="520"/>
      <c r="F1134" s="520"/>
      <c r="G1134" s="520"/>
      <c r="H1134" s="520"/>
      <c r="I1134" s="520"/>
      <c r="J1134" s="520"/>
      <c r="K1134" s="520"/>
      <c r="L1134" s="589"/>
      <c r="M1134" s="199"/>
      <c r="N1134" s="199"/>
      <c r="O1134" s="199"/>
      <c r="P1134" s="199"/>
      <c r="Q1134" s="199"/>
      <c r="R1134" s="58"/>
      <c r="S1134" s="58"/>
      <c r="T1134" s="58"/>
      <c r="U1134" s="58"/>
      <c r="V1134" s="58"/>
      <c r="W1134" s="58"/>
      <c r="X1134" s="58"/>
      <c r="Y1134" s="58"/>
    </row>
    <row r="1135" spans="1:25" ht="15" x14ac:dyDescent="0.25">
      <c r="A1135" s="590"/>
      <c r="B1135" s="520" t="s">
        <v>3308</v>
      </c>
      <c r="C1135" s="520">
        <v>91</v>
      </c>
      <c r="D1135" s="520"/>
      <c r="E1135" s="520"/>
      <c r="F1135" s="199"/>
      <c r="G1135" s="199"/>
      <c r="H1135" s="199"/>
      <c r="I1135" s="199"/>
      <c r="J1135" s="199"/>
      <c r="K1135" s="199"/>
      <c r="L1135" s="199"/>
      <c r="M1135" s="199"/>
      <c r="N1135" s="199"/>
      <c r="O1135" s="199"/>
      <c r="P1135" s="199"/>
      <c r="Q1135" s="199"/>
      <c r="R1135" s="58"/>
      <c r="S1135" s="58"/>
      <c r="T1135" s="58"/>
      <c r="U1135" s="58"/>
      <c r="V1135" s="58"/>
      <c r="W1135" s="58"/>
      <c r="X1135" s="58"/>
      <c r="Y1135" s="58"/>
    </row>
    <row r="1136" spans="1:25" ht="15" x14ac:dyDescent="0.25">
      <c r="A1136" s="666"/>
      <c r="B1136" s="666"/>
      <c r="C1136" s="666"/>
      <c r="D1136" s="666"/>
      <c r="E1136" s="666"/>
      <c r="F1136" s="666"/>
      <c r="G1136" s="666"/>
      <c r="H1136" s="666"/>
      <c r="I1136" s="666"/>
      <c r="J1136" s="666"/>
      <c r="K1136" s="666"/>
      <c r="L1136" s="666"/>
      <c r="M1136" s="199"/>
      <c r="N1136" s="199"/>
      <c r="O1136" s="199"/>
      <c r="P1136" s="199"/>
      <c r="Q1136" s="199"/>
      <c r="R1136" s="58"/>
      <c r="S1136" s="58"/>
      <c r="T1136" s="58"/>
      <c r="U1136" s="58"/>
      <c r="V1136" s="58"/>
      <c r="W1136" s="58"/>
      <c r="X1136" s="58"/>
      <c r="Y1136" s="58"/>
    </row>
    <row r="1137" spans="1:25" ht="15" x14ac:dyDescent="0.25">
      <c r="A1137" s="624" t="s">
        <v>1068</v>
      </c>
      <c r="B1137" s="199"/>
      <c r="C1137" s="199"/>
      <c r="D1137" s="199"/>
      <c r="E1137" s="199"/>
      <c r="F1137" s="199"/>
      <c r="G1137" s="199"/>
      <c r="H1137" s="199"/>
      <c r="I1137" s="199"/>
      <c r="J1137" s="199"/>
      <c r="K1137" s="199"/>
      <c r="L1137" s="199"/>
      <c r="M1137" s="199"/>
      <c r="N1137" s="199"/>
      <c r="O1137" s="199"/>
      <c r="P1137" s="199"/>
      <c r="Q1137" s="199"/>
      <c r="R1137" s="58"/>
      <c r="S1137" s="58"/>
      <c r="T1137" s="58"/>
      <c r="U1137" s="58"/>
      <c r="V1137" s="58"/>
      <c r="W1137" s="58"/>
      <c r="X1137" s="58"/>
      <c r="Y1137" s="58"/>
    </row>
    <row r="1138" spans="1:25" ht="15.75" x14ac:dyDescent="0.25">
      <c r="A1138" s="199"/>
      <c r="B1138" s="199"/>
      <c r="C1138" s="199"/>
      <c r="D1138" s="577" t="s">
        <v>3309</v>
      </c>
      <c r="E1138" s="199"/>
      <c r="F1138" s="199"/>
      <c r="G1138" s="199"/>
      <c r="H1138" s="199"/>
      <c r="I1138" s="199"/>
      <c r="J1138" s="199"/>
      <c r="K1138" s="199"/>
      <c r="L1138" s="199"/>
      <c r="M1138" s="199"/>
      <c r="N1138" s="199"/>
      <c r="O1138" s="199"/>
      <c r="P1138" s="199"/>
      <c r="Q1138" s="199"/>
      <c r="R1138" s="58"/>
      <c r="S1138" s="58"/>
      <c r="T1138" s="58"/>
      <c r="U1138" s="58"/>
      <c r="V1138" s="58"/>
      <c r="W1138" s="58"/>
      <c r="X1138" s="58"/>
      <c r="Y1138" s="58"/>
    </row>
    <row r="1139" spans="1:25" ht="15.75" thickBot="1" x14ac:dyDescent="0.3">
      <c r="A1139" s="666"/>
      <c r="B1139" s="666"/>
      <c r="C1139" s="666"/>
      <c r="D1139" s="666"/>
      <c r="E1139" s="666"/>
      <c r="F1139" s="666"/>
      <c r="G1139" s="666"/>
      <c r="H1139" s="666"/>
      <c r="I1139" s="666"/>
      <c r="J1139" s="666"/>
      <c r="K1139" s="666"/>
      <c r="L1139" s="666"/>
      <c r="M1139" s="199"/>
      <c r="N1139" s="199"/>
      <c r="O1139" s="199"/>
      <c r="P1139" s="199"/>
      <c r="Q1139" s="199"/>
      <c r="R1139" s="58"/>
      <c r="S1139" s="58"/>
      <c r="T1139" s="58"/>
      <c r="U1139" s="58"/>
      <c r="V1139" s="58"/>
      <c r="W1139" s="58"/>
      <c r="X1139" s="58"/>
      <c r="Y1139" s="58"/>
    </row>
    <row r="1140" spans="1:25" ht="15" x14ac:dyDescent="0.25">
      <c r="A1140" s="779" t="s">
        <v>3707</v>
      </c>
      <c r="B1140" s="580"/>
      <c r="C1140" s="580"/>
      <c r="D1140" s="580"/>
      <c r="E1140" s="773"/>
      <c r="F1140" s="199"/>
      <c r="G1140" s="199"/>
      <c r="H1140" s="199"/>
      <c r="I1140" s="199"/>
      <c r="J1140" s="199"/>
      <c r="K1140" s="199"/>
      <c r="L1140" s="199"/>
      <c r="M1140" s="199"/>
      <c r="N1140" s="199"/>
      <c r="O1140" s="199"/>
      <c r="P1140" s="199"/>
      <c r="Q1140" s="199"/>
      <c r="R1140" s="58"/>
      <c r="S1140" s="58"/>
      <c r="T1140" s="58"/>
      <c r="U1140" s="58"/>
      <c r="V1140" s="58"/>
      <c r="W1140" s="58"/>
      <c r="X1140" s="58"/>
      <c r="Y1140" s="58"/>
    </row>
    <row r="1141" spans="1:25" ht="15" x14ac:dyDescent="0.25">
      <c r="A1141" s="780" t="s">
        <v>3708</v>
      </c>
      <c r="B1141" s="520"/>
      <c r="C1141" s="520"/>
      <c r="D1141" s="520"/>
      <c r="E1141" s="589"/>
      <c r="F1141" s="199"/>
      <c r="G1141" s="199"/>
      <c r="H1141" s="199"/>
      <c r="I1141" s="199"/>
      <c r="J1141" s="199"/>
      <c r="K1141" s="199"/>
      <c r="L1141" s="199"/>
      <c r="M1141" s="199"/>
      <c r="N1141" s="199"/>
      <c r="O1141" s="199"/>
      <c r="P1141" s="199"/>
      <c r="Q1141" s="199"/>
      <c r="R1141" s="58"/>
      <c r="S1141" s="58"/>
      <c r="T1141" s="58"/>
      <c r="U1141" s="58"/>
      <c r="V1141" s="58"/>
      <c r="W1141" s="58"/>
      <c r="X1141" s="58"/>
      <c r="Y1141" s="58"/>
    </row>
    <row r="1142" spans="1:25" ht="15" x14ac:dyDescent="0.25">
      <c r="A1142" s="590" t="s">
        <v>2098</v>
      </c>
      <c r="B1142" s="520"/>
      <c r="C1142" s="520"/>
      <c r="D1142" s="520"/>
      <c r="E1142" s="589"/>
      <c r="F1142" s="199"/>
      <c r="G1142" s="199"/>
      <c r="H1142" s="199"/>
      <c r="I1142" s="199"/>
      <c r="J1142" s="199"/>
      <c r="K1142" s="199"/>
      <c r="L1142" s="199"/>
      <c r="M1142" s="199"/>
      <c r="N1142" s="199"/>
      <c r="O1142" s="199"/>
      <c r="P1142" s="199"/>
      <c r="Q1142" s="199"/>
      <c r="R1142" s="58"/>
      <c r="S1142" s="58"/>
      <c r="T1142" s="58"/>
      <c r="U1142" s="58"/>
      <c r="V1142" s="58"/>
      <c r="W1142" s="58"/>
      <c r="X1142" s="58"/>
      <c r="Y1142" s="58"/>
    </row>
    <row r="1143" spans="1:25" ht="15" x14ac:dyDescent="0.25">
      <c r="A1143" s="590"/>
      <c r="B1143" s="520" t="s">
        <v>5429</v>
      </c>
      <c r="C1143" s="520" t="s">
        <v>5430</v>
      </c>
      <c r="D1143" s="520"/>
      <c r="E1143" s="589"/>
      <c r="F1143" s="199"/>
      <c r="G1143" s="199"/>
      <c r="H1143" s="199"/>
      <c r="I1143" s="199"/>
      <c r="J1143" s="199"/>
      <c r="K1143" s="199"/>
      <c r="L1143" s="199"/>
      <c r="M1143" s="199"/>
      <c r="N1143" s="199"/>
      <c r="O1143" s="199"/>
      <c r="P1143" s="199"/>
      <c r="Q1143" s="199"/>
      <c r="R1143" s="58"/>
      <c r="S1143" s="58"/>
      <c r="T1143" s="58"/>
      <c r="U1143" s="58"/>
      <c r="V1143" s="58"/>
      <c r="W1143" s="58"/>
      <c r="X1143" s="58"/>
      <c r="Y1143" s="58"/>
    </row>
    <row r="1144" spans="1:25" ht="15" x14ac:dyDescent="0.25">
      <c r="A1144" s="590" t="s">
        <v>2211</v>
      </c>
      <c r="B1144" s="774">
        <v>118</v>
      </c>
      <c r="C1144" s="774">
        <v>146</v>
      </c>
      <c r="D1144" s="520"/>
      <c r="E1144" s="589"/>
      <c r="F1144" s="199"/>
      <c r="G1144" s="199"/>
      <c r="H1144" s="199"/>
      <c r="I1144" s="199"/>
      <c r="J1144" s="199"/>
      <c r="K1144" s="199"/>
      <c r="L1144" s="199"/>
      <c r="M1144" s="199"/>
      <c r="N1144" s="199"/>
      <c r="O1144" s="199"/>
      <c r="P1144" s="199"/>
      <c r="Q1144" s="199"/>
      <c r="R1144" s="58"/>
      <c r="S1144" s="58"/>
      <c r="T1144" s="58"/>
      <c r="U1144" s="58"/>
      <c r="V1144" s="58"/>
      <c r="W1144" s="58"/>
      <c r="X1144" s="58"/>
      <c r="Y1144" s="58"/>
    </row>
    <row r="1145" spans="1:25" ht="15" x14ac:dyDescent="0.25">
      <c r="A1145" s="590" t="s">
        <v>2212</v>
      </c>
      <c r="B1145" s="774">
        <v>112</v>
      </c>
      <c r="C1145" s="774">
        <v>142</v>
      </c>
      <c r="D1145" s="520"/>
      <c r="E1145" s="589"/>
      <c r="F1145" s="199"/>
      <c r="G1145" s="199"/>
      <c r="H1145" s="199"/>
      <c r="I1145" s="199"/>
      <c r="J1145" s="199"/>
      <c r="K1145" s="199"/>
      <c r="L1145" s="199"/>
      <c r="M1145" s="199"/>
      <c r="N1145" s="199"/>
      <c r="O1145" s="199"/>
      <c r="P1145" s="199"/>
      <c r="Q1145" s="199"/>
      <c r="R1145" s="58"/>
      <c r="S1145" s="58"/>
      <c r="T1145" s="58"/>
      <c r="U1145" s="58"/>
      <c r="V1145" s="58"/>
      <c r="W1145" s="58"/>
      <c r="X1145" s="58"/>
      <c r="Y1145" s="58"/>
    </row>
    <row r="1146" spans="1:25" ht="15" x14ac:dyDescent="0.25">
      <c r="A1146" s="590" t="s">
        <v>2213</v>
      </c>
      <c r="B1146" s="774">
        <v>105</v>
      </c>
      <c r="C1146" s="774">
        <v>137</v>
      </c>
      <c r="D1146" s="520"/>
      <c r="E1146" s="589"/>
      <c r="F1146" s="199"/>
      <c r="G1146" s="199"/>
      <c r="H1146" s="199"/>
      <c r="I1146" s="199"/>
      <c r="J1146" s="199"/>
      <c r="K1146" s="199"/>
      <c r="L1146" s="199"/>
      <c r="M1146" s="199"/>
      <c r="N1146" s="199"/>
      <c r="O1146" s="199"/>
      <c r="P1146" s="199"/>
      <c r="Q1146" s="199"/>
      <c r="R1146" s="58"/>
      <c r="S1146" s="58"/>
      <c r="T1146" s="58"/>
      <c r="U1146" s="58"/>
      <c r="V1146" s="58"/>
      <c r="W1146" s="58"/>
      <c r="X1146" s="58"/>
      <c r="Y1146" s="58"/>
    </row>
    <row r="1147" spans="1:25" ht="15" x14ac:dyDescent="0.25">
      <c r="A1147" s="590" t="s">
        <v>2214</v>
      </c>
      <c r="B1147" s="774">
        <v>98.8</v>
      </c>
      <c r="C1147" s="774">
        <v>132</v>
      </c>
      <c r="D1147" s="520"/>
      <c r="E1147" s="589"/>
      <c r="F1147" s="199"/>
      <c r="G1147" s="199"/>
      <c r="H1147" s="199"/>
      <c r="I1147" s="199"/>
      <c r="J1147" s="199"/>
      <c r="K1147" s="199"/>
      <c r="L1147" s="199"/>
      <c r="M1147" s="199"/>
      <c r="N1147" s="199"/>
      <c r="O1147" s="199"/>
      <c r="P1147" s="199"/>
      <c r="Q1147" s="199"/>
      <c r="R1147" s="58"/>
      <c r="S1147" s="58"/>
      <c r="T1147" s="58"/>
      <c r="U1147" s="58"/>
      <c r="V1147" s="58"/>
      <c r="W1147" s="58"/>
      <c r="X1147" s="58"/>
      <c r="Y1147" s="58"/>
    </row>
    <row r="1148" spans="1:25" ht="15" x14ac:dyDescent="0.25">
      <c r="A1148" s="590" t="s">
        <v>5426</v>
      </c>
      <c r="B1148" s="774">
        <v>92</v>
      </c>
      <c r="C1148" s="774">
        <v>128</v>
      </c>
      <c r="D1148" s="520"/>
      <c r="E1148" s="589"/>
      <c r="F1148" s="199"/>
      <c r="G1148" s="199"/>
      <c r="H1148" s="199"/>
      <c r="I1148" s="199"/>
      <c r="J1148" s="199"/>
      <c r="K1148" s="199"/>
      <c r="L1148" s="199"/>
      <c r="M1148" s="199"/>
      <c r="N1148" s="199"/>
      <c r="O1148" s="199"/>
      <c r="P1148" s="199"/>
      <c r="Q1148" s="199"/>
      <c r="R1148" s="58"/>
      <c r="S1148" s="58"/>
      <c r="T1148" s="58"/>
      <c r="U1148" s="58"/>
      <c r="V1148" s="58"/>
      <c r="W1148" s="58"/>
      <c r="X1148" s="58"/>
      <c r="Y1148" s="58"/>
    </row>
    <row r="1149" spans="1:25" ht="15" x14ac:dyDescent="0.25">
      <c r="A1149" s="590" t="s">
        <v>5427</v>
      </c>
      <c r="B1149" s="774">
        <v>87.2</v>
      </c>
      <c r="C1149" s="774">
        <v>122</v>
      </c>
      <c r="D1149" s="520"/>
      <c r="E1149" s="589"/>
      <c r="F1149" s="199"/>
      <c r="G1149" s="199"/>
      <c r="H1149" s="199"/>
      <c r="I1149" s="199"/>
      <c r="J1149" s="199"/>
      <c r="K1149" s="199"/>
      <c r="L1149" s="199"/>
      <c r="M1149" s="199"/>
      <c r="N1149" s="199"/>
      <c r="O1149" s="199"/>
      <c r="P1149" s="199"/>
      <c r="Q1149" s="199"/>
      <c r="R1149" s="58"/>
      <c r="S1149" s="58"/>
      <c r="T1149" s="58"/>
      <c r="U1149" s="58"/>
      <c r="V1149" s="58"/>
      <c r="W1149" s="58"/>
      <c r="X1149" s="58"/>
      <c r="Y1149" s="58"/>
    </row>
    <row r="1150" spans="1:25" ht="15.75" thickBot="1" x14ac:dyDescent="0.3">
      <c r="A1150" s="604" t="s">
        <v>5428</v>
      </c>
      <c r="B1150" s="777">
        <v>81.900000000000006</v>
      </c>
      <c r="C1150" s="777">
        <v>118</v>
      </c>
      <c r="D1150" s="605"/>
      <c r="E1150" s="607"/>
      <c r="F1150" s="199"/>
      <c r="G1150" s="199"/>
      <c r="H1150" s="199"/>
      <c r="I1150" s="199"/>
      <c r="J1150" s="199"/>
      <c r="K1150" s="199"/>
      <c r="L1150" s="199"/>
      <c r="M1150" s="199"/>
      <c r="N1150" s="199"/>
      <c r="O1150" s="199"/>
      <c r="P1150" s="199"/>
      <c r="Q1150" s="199"/>
      <c r="R1150" s="58"/>
      <c r="S1150" s="58"/>
      <c r="T1150" s="58"/>
      <c r="U1150" s="58"/>
      <c r="V1150" s="58"/>
      <c r="W1150" s="58"/>
      <c r="X1150" s="58"/>
      <c r="Y1150" s="58"/>
    </row>
    <row r="1151" spans="1:25" ht="15.75" thickBot="1" x14ac:dyDescent="0.3">
      <c r="A1151" s="666"/>
      <c r="B1151" s="666"/>
      <c r="C1151" s="666"/>
      <c r="D1151" s="666"/>
      <c r="E1151" s="666"/>
      <c r="F1151" s="666"/>
      <c r="G1151" s="666"/>
      <c r="H1151" s="547"/>
      <c r="I1151" s="547"/>
      <c r="J1151" s="547"/>
      <c r="K1151" s="547"/>
      <c r="L1151" s="547"/>
      <c r="M1151" s="199"/>
      <c r="N1151" s="199"/>
      <c r="O1151" s="199"/>
      <c r="P1151" s="199"/>
      <c r="Q1151" s="199"/>
      <c r="R1151" s="58"/>
      <c r="S1151" s="58"/>
      <c r="T1151" s="58"/>
      <c r="U1151" s="58"/>
      <c r="V1151" s="58"/>
      <c r="W1151" s="58"/>
      <c r="X1151" s="58"/>
      <c r="Y1151" s="58"/>
    </row>
    <row r="1152" spans="1:25" ht="15" x14ac:dyDescent="0.25">
      <c r="A1152" s="778" t="s">
        <v>3712</v>
      </c>
      <c r="B1152" s="580"/>
      <c r="C1152" s="580"/>
      <c r="D1152" s="580"/>
      <c r="E1152" s="580"/>
      <c r="F1152" s="580"/>
      <c r="G1152" s="773"/>
      <c r="H1152" s="199"/>
      <c r="I1152" s="199"/>
      <c r="J1152" s="199"/>
      <c r="K1152" s="199"/>
      <c r="L1152" s="199"/>
      <c r="M1152" s="199"/>
      <c r="N1152" s="199"/>
      <c r="O1152" s="199"/>
      <c r="P1152" s="199"/>
      <c r="Q1152" s="199"/>
      <c r="R1152" s="58"/>
      <c r="S1152" s="58"/>
      <c r="T1152" s="58"/>
      <c r="U1152" s="58"/>
      <c r="V1152" s="58"/>
      <c r="W1152" s="58"/>
      <c r="X1152" s="58"/>
      <c r="Y1152" s="58"/>
    </row>
    <row r="1153" spans="1:25" ht="15" x14ac:dyDescent="0.25">
      <c r="A1153" s="590"/>
      <c r="B1153" s="520"/>
      <c r="C1153" s="520"/>
      <c r="D1153" s="520"/>
      <c r="E1153" s="520"/>
      <c r="F1153" s="520"/>
      <c r="G1153" s="589"/>
      <c r="H1153" s="199"/>
      <c r="I1153" s="199"/>
      <c r="J1153" s="199"/>
      <c r="K1153" s="199"/>
      <c r="L1153" s="199"/>
      <c r="M1153" s="199"/>
      <c r="N1153" s="199"/>
      <c r="O1153" s="199"/>
      <c r="P1153" s="199"/>
      <c r="Q1153" s="199"/>
      <c r="R1153" s="58"/>
      <c r="S1153" s="58"/>
      <c r="T1153" s="58"/>
      <c r="U1153" s="58"/>
      <c r="V1153" s="58"/>
      <c r="W1153" s="58"/>
      <c r="X1153" s="58"/>
      <c r="Y1153" s="58"/>
    </row>
    <row r="1154" spans="1:25" ht="15" x14ac:dyDescent="0.25">
      <c r="A1154" s="590"/>
      <c r="B1154" s="632" t="s">
        <v>3715</v>
      </c>
      <c r="C1154" s="751"/>
      <c r="D1154" s="632" t="s">
        <v>2991</v>
      </c>
      <c r="E1154" s="751"/>
      <c r="F1154" s="520"/>
      <c r="G1154" s="589"/>
      <c r="H1154" s="199"/>
      <c r="I1154" s="199"/>
      <c r="J1154" s="199"/>
      <c r="K1154" s="199"/>
      <c r="L1154" s="199"/>
      <c r="M1154" s="199"/>
      <c r="N1154" s="199"/>
      <c r="O1154" s="199"/>
      <c r="P1154" s="199"/>
      <c r="Q1154" s="199"/>
      <c r="R1154" s="58"/>
      <c r="S1154" s="58"/>
      <c r="T1154" s="58"/>
      <c r="U1154" s="58"/>
      <c r="V1154" s="58"/>
      <c r="W1154" s="58"/>
      <c r="X1154" s="58"/>
      <c r="Y1154" s="58"/>
    </row>
    <row r="1155" spans="1:25" ht="15" x14ac:dyDescent="0.25">
      <c r="A1155" s="590"/>
      <c r="B1155" s="591" t="s">
        <v>3713</v>
      </c>
      <c r="C1155" s="591" t="s">
        <v>3714</v>
      </c>
      <c r="D1155" s="591" t="s">
        <v>3713</v>
      </c>
      <c r="E1155" s="591" t="s">
        <v>3714</v>
      </c>
      <c r="F1155" s="520"/>
      <c r="G1155" s="589"/>
      <c r="H1155" s="199"/>
      <c r="I1155" s="199"/>
      <c r="J1155" s="199"/>
      <c r="K1155" s="199"/>
      <c r="L1155" s="199"/>
      <c r="M1155" s="199"/>
      <c r="N1155" s="199"/>
      <c r="O1155" s="199"/>
      <c r="P1155" s="199"/>
      <c r="Q1155" s="199"/>
      <c r="R1155" s="58"/>
      <c r="S1155" s="58"/>
      <c r="T1155" s="58"/>
      <c r="U1155" s="58"/>
      <c r="V1155" s="58"/>
      <c r="W1155" s="58"/>
      <c r="X1155" s="58"/>
      <c r="Y1155" s="58"/>
    </row>
    <row r="1156" spans="1:25" ht="15" x14ac:dyDescent="0.25">
      <c r="A1156" s="781" t="s">
        <v>2992</v>
      </c>
      <c r="B1156" s="587">
        <v>291</v>
      </c>
      <c r="C1156" s="587">
        <v>444</v>
      </c>
      <c r="D1156" s="587">
        <v>253</v>
      </c>
      <c r="E1156" s="587">
        <v>452</v>
      </c>
      <c r="F1156" s="520"/>
      <c r="G1156" s="589"/>
      <c r="H1156" s="199"/>
      <c r="I1156" s="199"/>
      <c r="J1156" s="199"/>
      <c r="K1156" s="199"/>
      <c r="L1156" s="199"/>
      <c r="M1156" s="199"/>
      <c r="N1156" s="199"/>
      <c r="O1156" s="199"/>
      <c r="P1156" s="199"/>
      <c r="Q1156" s="199"/>
      <c r="R1156" s="58"/>
      <c r="S1156" s="58"/>
      <c r="T1156" s="58"/>
      <c r="U1156" s="58"/>
      <c r="V1156" s="58"/>
      <c r="W1156" s="58"/>
      <c r="X1156" s="58"/>
      <c r="Y1156" s="58"/>
    </row>
    <row r="1157" spans="1:25" ht="15.75" thickBot="1" x14ac:dyDescent="0.3">
      <c r="A1157" s="782" t="s">
        <v>2993</v>
      </c>
      <c r="B1157" s="783">
        <v>247</v>
      </c>
      <c r="C1157" s="783">
        <v>369</v>
      </c>
      <c r="D1157" s="783">
        <v>258</v>
      </c>
      <c r="E1157" s="783">
        <v>376</v>
      </c>
      <c r="F1157" s="605"/>
      <c r="G1157" s="607"/>
      <c r="H1157" s="199"/>
      <c r="I1157" s="199"/>
      <c r="J1157" s="199"/>
      <c r="K1157" s="199"/>
      <c r="L1157" s="199"/>
      <c r="M1157" s="199"/>
      <c r="N1157" s="199"/>
      <c r="O1157" s="199"/>
      <c r="P1157" s="199"/>
      <c r="Q1157" s="199"/>
      <c r="R1157" s="58"/>
      <c r="S1157" s="58"/>
      <c r="T1157" s="58"/>
      <c r="U1157" s="58"/>
      <c r="V1157" s="58"/>
      <c r="W1157" s="58"/>
      <c r="X1157" s="58"/>
      <c r="Y1157" s="58"/>
    </row>
    <row r="1158" spans="1:25" ht="15" x14ac:dyDescent="0.25">
      <c r="A1158" s="666"/>
      <c r="B1158" s="666"/>
      <c r="C1158" s="666"/>
      <c r="D1158" s="666"/>
      <c r="E1158" s="666"/>
      <c r="F1158" s="666"/>
      <c r="G1158" s="666"/>
      <c r="H1158" s="547"/>
      <c r="I1158" s="547"/>
      <c r="J1158" s="547"/>
      <c r="K1158" s="547"/>
      <c r="L1158" s="547"/>
      <c r="M1158" s="199"/>
      <c r="N1158" s="199"/>
      <c r="O1158" s="199"/>
      <c r="P1158" s="199"/>
      <c r="Q1158" s="199"/>
      <c r="R1158" s="58"/>
      <c r="S1158" s="58"/>
      <c r="T1158" s="58"/>
      <c r="U1158" s="58"/>
      <c r="V1158" s="58"/>
      <c r="W1158" s="58"/>
      <c r="X1158" s="58"/>
      <c r="Y1158" s="58"/>
    </row>
    <row r="1159" spans="1:25" ht="15" x14ac:dyDescent="0.25">
      <c r="A1159" s="624" t="s">
        <v>1218</v>
      </c>
      <c r="B1159" s="199"/>
      <c r="C1159" s="199"/>
      <c r="D1159" s="199"/>
      <c r="E1159" s="199"/>
      <c r="F1159" s="199"/>
      <c r="G1159" s="199"/>
      <c r="H1159" s="199"/>
      <c r="I1159" s="199"/>
      <c r="J1159" s="199"/>
      <c r="K1159" s="199"/>
      <c r="L1159" s="199"/>
      <c r="M1159" s="199"/>
      <c r="N1159" s="199"/>
      <c r="O1159" s="199"/>
      <c r="P1159" s="199"/>
      <c r="Q1159" s="199"/>
      <c r="R1159" s="58"/>
      <c r="S1159" s="58"/>
      <c r="T1159" s="58"/>
      <c r="U1159" s="58"/>
      <c r="V1159" s="58"/>
      <c r="W1159" s="58"/>
      <c r="X1159" s="58"/>
      <c r="Y1159" s="58"/>
    </row>
    <row r="1160" spans="1:25" ht="15" x14ac:dyDescent="0.25">
      <c r="A1160" s="587" t="s">
        <v>1219</v>
      </c>
      <c r="B1160" s="587" t="s">
        <v>1227</v>
      </c>
      <c r="C1160" s="199"/>
      <c r="D1160" s="199"/>
      <c r="E1160" s="199"/>
      <c r="F1160" s="199"/>
      <c r="G1160" s="199"/>
      <c r="H1160" s="199"/>
      <c r="I1160" s="199"/>
      <c r="J1160" s="199"/>
      <c r="K1160" s="199"/>
      <c r="L1160" s="199"/>
      <c r="M1160" s="199"/>
      <c r="N1160" s="199"/>
      <c r="O1160" s="199"/>
      <c r="P1160" s="199"/>
      <c r="Q1160" s="199"/>
      <c r="R1160" s="58"/>
      <c r="S1160" s="58"/>
      <c r="T1160" s="58"/>
      <c r="U1160" s="58"/>
      <c r="V1160" s="58"/>
      <c r="W1160" s="58"/>
      <c r="X1160" s="58"/>
      <c r="Y1160" s="58"/>
    </row>
    <row r="1161" spans="1:25" ht="15" x14ac:dyDescent="0.25">
      <c r="A1161" s="587" t="s">
        <v>1220</v>
      </c>
      <c r="B1161" s="490">
        <v>281</v>
      </c>
      <c r="C1161" s="199"/>
      <c r="D1161" s="199"/>
      <c r="E1161" s="199"/>
      <c r="F1161" s="199"/>
      <c r="G1161" s="199"/>
      <c r="H1161" s="199"/>
      <c r="I1161" s="199"/>
      <c r="J1161" s="199"/>
      <c r="K1161" s="199"/>
      <c r="L1161" s="199"/>
      <c r="M1161" s="199"/>
      <c r="N1161" s="199"/>
      <c r="O1161" s="199"/>
      <c r="P1161" s="199"/>
      <c r="Q1161" s="199"/>
      <c r="R1161" s="58"/>
      <c r="S1161" s="58"/>
      <c r="T1161" s="58"/>
      <c r="U1161" s="58"/>
      <c r="V1161" s="58"/>
      <c r="W1161" s="58"/>
      <c r="X1161" s="58"/>
      <c r="Y1161" s="58"/>
    </row>
    <row r="1162" spans="1:25" ht="15" x14ac:dyDescent="0.25">
      <c r="A1162" s="587" t="s">
        <v>1221</v>
      </c>
      <c r="B1162" s="490">
        <v>250</v>
      </c>
      <c r="C1162" s="199"/>
      <c r="D1162" s="199"/>
      <c r="E1162" s="199"/>
      <c r="F1162" s="199"/>
      <c r="G1162" s="199"/>
      <c r="H1162" s="199"/>
      <c r="I1162" s="199"/>
      <c r="J1162" s="199"/>
      <c r="K1162" s="199"/>
      <c r="L1162" s="199"/>
      <c r="M1162" s="199"/>
      <c r="N1162" s="199"/>
      <c r="O1162" s="199"/>
      <c r="P1162" s="199"/>
      <c r="Q1162" s="199"/>
      <c r="R1162" s="58"/>
      <c r="S1162" s="58"/>
      <c r="T1162" s="58"/>
      <c r="U1162" s="58"/>
      <c r="V1162" s="58"/>
      <c r="W1162" s="58"/>
      <c r="X1162" s="58"/>
      <c r="Y1162" s="58"/>
    </row>
    <row r="1163" spans="1:25" ht="15" x14ac:dyDescent="0.25">
      <c r="A1163" s="587" t="s">
        <v>1222</v>
      </c>
      <c r="B1163" s="490">
        <v>224</v>
      </c>
      <c r="C1163" s="199"/>
      <c r="D1163" s="199"/>
      <c r="E1163" s="199"/>
      <c r="F1163" s="199"/>
      <c r="G1163" s="199"/>
      <c r="H1163" s="199"/>
      <c r="I1163" s="199"/>
      <c r="J1163" s="199"/>
      <c r="K1163" s="199"/>
      <c r="L1163" s="199"/>
      <c r="M1163" s="199"/>
      <c r="N1163" s="199"/>
      <c r="O1163" s="199"/>
      <c r="P1163" s="199"/>
      <c r="Q1163" s="199"/>
      <c r="R1163" s="58"/>
      <c r="S1163" s="58"/>
      <c r="T1163" s="58"/>
      <c r="U1163" s="58"/>
      <c r="V1163" s="58"/>
      <c r="W1163" s="58"/>
      <c r="X1163" s="58"/>
      <c r="Y1163" s="58"/>
    </row>
    <row r="1164" spans="1:25" ht="15" x14ac:dyDescent="0.25">
      <c r="A1164" s="587" t="s">
        <v>1223</v>
      </c>
      <c r="B1164" s="490">
        <v>197</v>
      </c>
      <c r="C1164" s="199"/>
      <c r="D1164" s="199"/>
      <c r="E1164" s="199"/>
      <c r="F1164" s="199"/>
      <c r="G1164" s="199"/>
      <c r="H1164" s="199"/>
      <c r="I1164" s="199"/>
      <c r="J1164" s="199"/>
      <c r="K1164" s="199"/>
      <c r="L1164" s="199"/>
      <c r="M1164" s="199"/>
      <c r="N1164" s="199"/>
      <c r="O1164" s="199"/>
      <c r="P1164" s="199"/>
      <c r="Q1164" s="199"/>
      <c r="R1164" s="58"/>
      <c r="S1164" s="58"/>
      <c r="T1164" s="58"/>
      <c r="U1164" s="58"/>
      <c r="V1164" s="58"/>
      <c r="W1164" s="58"/>
      <c r="X1164" s="58"/>
      <c r="Y1164" s="58"/>
    </row>
    <row r="1165" spans="1:25" ht="15" x14ac:dyDescent="0.25">
      <c r="A1165" s="587" t="s">
        <v>1224</v>
      </c>
      <c r="B1165" s="490">
        <v>172</v>
      </c>
      <c r="C1165" s="199"/>
      <c r="D1165" s="199"/>
      <c r="E1165" s="199"/>
      <c r="F1165" s="199"/>
      <c r="G1165" s="199"/>
      <c r="H1165" s="199"/>
      <c r="I1165" s="199"/>
      <c r="J1165" s="199"/>
      <c r="K1165" s="199"/>
      <c r="L1165" s="199"/>
      <c r="M1165" s="199"/>
      <c r="N1165" s="199"/>
      <c r="O1165" s="199"/>
      <c r="P1165" s="199"/>
      <c r="Q1165" s="199"/>
      <c r="R1165" s="58"/>
      <c r="S1165" s="58"/>
      <c r="T1165" s="58"/>
      <c r="U1165" s="58"/>
      <c r="V1165" s="58"/>
      <c r="W1165" s="58"/>
      <c r="X1165" s="58"/>
      <c r="Y1165" s="58"/>
    </row>
    <row r="1166" spans="1:25" ht="15" x14ac:dyDescent="0.25">
      <c r="A1166" s="587" t="s">
        <v>1225</v>
      </c>
      <c r="B1166" s="490">
        <v>149</v>
      </c>
      <c r="C1166" s="199"/>
      <c r="D1166" s="199"/>
      <c r="E1166" s="199"/>
      <c r="F1166" s="199"/>
      <c r="G1166" s="199"/>
      <c r="H1166" s="199"/>
      <c r="I1166" s="199"/>
      <c r="J1166" s="199"/>
      <c r="K1166" s="199"/>
      <c r="L1166" s="199"/>
      <c r="M1166" s="199"/>
      <c r="N1166" s="199"/>
      <c r="O1166" s="199"/>
      <c r="P1166" s="199"/>
      <c r="Q1166" s="199"/>
      <c r="R1166" s="58"/>
      <c r="S1166" s="58"/>
      <c r="T1166" s="58"/>
      <c r="U1166" s="58"/>
      <c r="V1166" s="58"/>
      <c r="W1166" s="58"/>
      <c r="X1166" s="58"/>
      <c r="Y1166" s="58"/>
    </row>
    <row r="1167" spans="1:25" ht="15" x14ac:dyDescent="0.25">
      <c r="A1167" s="587" t="s">
        <v>1226</v>
      </c>
      <c r="B1167" s="490">
        <v>128</v>
      </c>
      <c r="C1167" s="199"/>
      <c r="D1167" s="199"/>
      <c r="E1167" s="199"/>
      <c r="F1167" s="199"/>
      <c r="G1167" s="199"/>
      <c r="H1167" s="199"/>
      <c r="I1167" s="199"/>
      <c r="J1167" s="199"/>
      <c r="K1167" s="199"/>
      <c r="L1167" s="199"/>
      <c r="M1167" s="199"/>
      <c r="N1167" s="199"/>
      <c r="O1167" s="199"/>
      <c r="P1167" s="199"/>
      <c r="Q1167" s="199"/>
      <c r="R1167" s="58"/>
      <c r="S1167" s="58"/>
      <c r="T1167" s="58"/>
      <c r="U1167" s="58"/>
      <c r="V1167" s="58"/>
      <c r="W1167" s="58"/>
      <c r="X1167" s="58"/>
      <c r="Y1167" s="58"/>
    </row>
    <row r="1168" spans="1:25" ht="15" x14ac:dyDescent="0.25">
      <c r="A1168" s="666"/>
      <c r="B1168" s="666"/>
      <c r="C1168" s="666"/>
      <c r="D1168" s="666"/>
      <c r="E1168" s="666"/>
      <c r="F1168" s="666"/>
      <c r="G1168" s="547"/>
      <c r="H1168" s="547"/>
      <c r="I1168" s="547"/>
      <c r="J1168" s="547"/>
      <c r="K1168" s="547"/>
      <c r="L1168" s="547"/>
      <c r="M1168" s="199"/>
      <c r="N1168" s="199"/>
      <c r="O1168" s="199"/>
      <c r="P1168" s="199"/>
      <c r="Q1168" s="199"/>
      <c r="R1168" s="58"/>
      <c r="S1168" s="58"/>
      <c r="T1168" s="58"/>
      <c r="U1168" s="58"/>
      <c r="V1168" s="58"/>
      <c r="W1168" s="58"/>
      <c r="X1168" s="58"/>
      <c r="Y1168" s="58"/>
    </row>
    <row r="1169" spans="1:25" ht="15" x14ac:dyDescent="0.25">
      <c r="A1169" s="624" t="s">
        <v>1229</v>
      </c>
      <c r="B1169" s="199"/>
      <c r="C1169" s="199"/>
      <c r="D1169" s="199"/>
      <c r="E1169" s="199"/>
      <c r="F1169" s="199"/>
      <c r="G1169" s="199"/>
      <c r="H1169" s="199"/>
      <c r="I1169" s="199"/>
      <c r="J1169" s="199"/>
      <c r="K1169" s="199"/>
      <c r="L1169" s="199"/>
      <c r="M1169" s="199"/>
      <c r="N1169" s="199"/>
      <c r="O1169" s="199"/>
      <c r="P1169" s="199"/>
      <c r="Q1169" s="199"/>
      <c r="R1169" s="58"/>
      <c r="S1169" s="58"/>
      <c r="T1169" s="58"/>
      <c r="U1169" s="58"/>
      <c r="V1169" s="58"/>
      <c r="W1169" s="58"/>
      <c r="X1169" s="58"/>
      <c r="Y1169" s="58"/>
    </row>
    <row r="1170" spans="1:25" ht="15" x14ac:dyDescent="0.25">
      <c r="A1170" s="587" t="s">
        <v>1230</v>
      </c>
      <c r="B1170" s="587" t="s">
        <v>2330</v>
      </c>
      <c r="C1170" s="199"/>
      <c r="D1170" s="199"/>
      <c r="E1170" s="199"/>
      <c r="F1170" s="199"/>
      <c r="G1170" s="199"/>
      <c r="H1170" s="199"/>
      <c r="I1170" s="199"/>
      <c r="J1170" s="199"/>
      <c r="K1170" s="199"/>
      <c r="L1170" s="199"/>
      <c r="M1170" s="199"/>
      <c r="N1170" s="199"/>
      <c r="O1170" s="199"/>
      <c r="P1170" s="199"/>
      <c r="Q1170" s="199"/>
      <c r="R1170" s="58"/>
      <c r="S1170" s="58"/>
      <c r="T1170" s="58"/>
      <c r="U1170" s="58"/>
      <c r="V1170" s="58"/>
      <c r="W1170" s="58"/>
      <c r="X1170" s="58"/>
      <c r="Y1170" s="58"/>
    </row>
    <row r="1171" spans="1:25" ht="15" x14ac:dyDescent="0.25">
      <c r="A1171" s="587" t="s">
        <v>1231</v>
      </c>
      <c r="B1171" s="490">
        <v>138</v>
      </c>
      <c r="C1171" s="199"/>
      <c r="D1171" s="199"/>
      <c r="E1171" s="199"/>
      <c r="F1171" s="199"/>
      <c r="G1171" s="199"/>
      <c r="H1171" s="199"/>
      <c r="I1171" s="199"/>
      <c r="J1171" s="199"/>
      <c r="K1171" s="199"/>
      <c r="L1171" s="199"/>
      <c r="M1171" s="199"/>
      <c r="N1171" s="199"/>
      <c r="O1171" s="199"/>
      <c r="P1171" s="199"/>
      <c r="Q1171" s="199"/>
      <c r="R1171" s="58"/>
      <c r="S1171" s="58"/>
      <c r="T1171" s="58"/>
      <c r="U1171" s="58"/>
      <c r="V1171" s="58"/>
      <c r="W1171" s="58"/>
      <c r="X1171" s="58"/>
      <c r="Y1171" s="58"/>
    </row>
    <row r="1172" spans="1:25" ht="15" x14ac:dyDescent="0.25">
      <c r="A1172" s="587" t="s">
        <v>1232</v>
      </c>
      <c r="B1172" s="490">
        <v>132</v>
      </c>
      <c r="C1172" s="199"/>
      <c r="D1172" s="199"/>
      <c r="E1172" s="199"/>
      <c r="F1172" s="199"/>
      <c r="G1172" s="199"/>
      <c r="H1172" s="199"/>
      <c r="I1172" s="199"/>
      <c r="J1172" s="199"/>
      <c r="K1172" s="199"/>
      <c r="L1172" s="199"/>
      <c r="M1172" s="199"/>
      <c r="N1172" s="199"/>
      <c r="O1172" s="199"/>
      <c r="P1172" s="199"/>
      <c r="Q1172" s="199"/>
      <c r="R1172" s="58"/>
      <c r="S1172" s="58"/>
      <c r="T1172" s="58"/>
      <c r="U1172" s="58"/>
      <c r="V1172" s="58"/>
      <c r="W1172" s="58"/>
      <c r="X1172" s="58"/>
      <c r="Y1172" s="58"/>
    </row>
    <row r="1173" spans="1:25" ht="15" x14ac:dyDescent="0.25">
      <c r="A1173" s="587" t="s">
        <v>1233</v>
      </c>
      <c r="B1173" s="490">
        <v>125</v>
      </c>
      <c r="C1173" s="199"/>
      <c r="D1173" s="199"/>
      <c r="E1173" s="199"/>
      <c r="F1173" s="199"/>
      <c r="G1173" s="199"/>
      <c r="H1173" s="199"/>
      <c r="I1173" s="199"/>
      <c r="J1173" s="199"/>
      <c r="K1173" s="199"/>
      <c r="L1173" s="199"/>
      <c r="M1173" s="199"/>
      <c r="N1173" s="199"/>
      <c r="O1173" s="199"/>
      <c r="P1173" s="199"/>
      <c r="Q1173" s="199"/>
      <c r="R1173" s="58"/>
      <c r="S1173" s="58"/>
      <c r="T1173" s="58"/>
      <c r="U1173" s="58"/>
      <c r="V1173" s="58"/>
      <c r="W1173" s="58"/>
      <c r="X1173" s="58"/>
      <c r="Y1173" s="58"/>
    </row>
    <row r="1174" spans="1:25" ht="15" x14ac:dyDescent="0.25">
      <c r="A1174" s="666"/>
      <c r="B1174" s="666"/>
      <c r="C1174" s="666"/>
      <c r="D1174" s="547"/>
      <c r="E1174" s="547"/>
      <c r="F1174" s="547"/>
      <c r="G1174" s="547"/>
      <c r="H1174" s="547"/>
      <c r="I1174" s="547"/>
      <c r="J1174" s="547"/>
      <c r="K1174" s="547"/>
      <c r="L1174" s="547"/>
      <c r="M1174" s="199"/>
      <c r="N1174" s="199"/>
      <c r="O1174" s="199"/>
      <c r="P1174" s="199"/>
      <c r="Q1174" s="199"/>
      <c r="R1174" s="58"/>
      <c r="S1174" s="58"/>
      <c r="T1174" s="58"/>
      <c r="U1174" s="58"/>
      <c r="V1174" s="58"/>
      <c r="W1174" s="58"/>
      <c r="X1174" s="58"/>
      <c r="Y1174" s="58"/>
    </row>
    <row r="1175" spans="1:25" ht="15" x14ac:dyDescent="0.25">
      <c r="A1175" s="199"/>
      <c r="B1175" s="199"/>
      <c r="C1175" s="199"/>
      <c r="D1175" s="199"/>
      <c r="E1175" s="199"/>
      <c r="F1175" s="199"/>
      <c r="G1175" s="199"/>
      <c r="H1175" s="199"/>
      <c r="I1175" s="199"/>
      <c r="J1175" s="199"/>
      <c r="K1175" s="199"/>
      <c r="L1175" s="199"/>
      <c r="M1175" s="199"/>
      <c r="N1175" s="199"/>
      <c r="O1175" s="199"/>
      <c r="P1175" s="199"/>
      <c r="Q1175" s="199"/>
      <c r="R1175" s="58"/>
      <c r="S1175" s="58"/>
      <c r="T1175" s="58"/>
      <c r="U1175" s="58"/>
      <c r="V1175" s="58"/>
      <c r="W1175" s="58"/>
      <c r="X1175" s="58"/>
      <c r="Y1175" s="58"/>
    </row>
    <row r="1176" spans="1:25" ht="15" x14ac:dyDescent="0.25">
      <c r="A1176" s="205"/>
      <c r="B1176" s="205"/>
      <c r="C1176" s="205"/>
      <c r="D1176" s="205"/>
      <c r="E1176" s="205"/>
      <c r="F1176" s="205"/>
      <c r="G1176" s="205"/>
      <c r="H1176" s="205"/>
      <c r="I1176" s="205"/>
      <c r="J1176" s="199"/>
      <c r="K1176" s="199"/>
      <c r="L1176" s="199"/>
      <c r="M1176" s="199"/>
      <c r="N1176" s="199"/>
      <c r="O1176" s="199"/>
      <c r="P1176" s="199"/>
      <c r="Q1176" s="199"/>
      <c r="R1176" s="58"/>
      <c r="S1176" s="58"/>
      <c r="T1176" s="58"/>
      <c r="U1176" s="58"/>
      <c r="V1176" s="58"/>
      <c r="W1176" s="58"/>
      <c r="X1176" s="58"/>
      <c r="Y1176" s="58"/>
    </row>
  </sheetData>
  <mergeCells count="235">
    <mergeCell ref="G960:H960"/>
    <mergeCell ref="L954:M954"/>
    <mergeCell ref="E953:G953"/>
    <mergeCell ref="H953:I953"/>
    <mergeCell ref="J953:K953"/>
    <mergeCell ref="L953:M953"/>
    <mergeCell ref="E952:G952"/>
    <mergeCell ref="H952:I952"/>
    <mergeCell ref="J952:K952"/>
    <mergeCell ref="L952:M952"/>
    <mergeCell ref="P1020:P1021"/>
    <mergeCell ref="B1022:B1024"/>
    <mergeCell ref="J1020:J1021"/>
    <mergeCell ref="K1020:K1021"/>
    <mergeCell ref="F1007:G1007"/>
    <mergeCell ref="E966:F966"/>
    <mergeCell ref="G966:H966"/>
    <mergeCell ref="F1006:G1006"/>
    <mergeCell ref="G967:H967"/>
    <mergeCell ref="E968:F968"/>
    <mergeCell ref="G968:H968"/>
    <mergeCell ref="E969:F969"/>
    <mergeCell ref="B1025:B1027"/>
    <mergeCell ref="B1028:B1029"/>
    <mergeCell ref="H1020:H1021"/>
    <mergeCell ref="I1020:I1021"/>
    <mergeCell ref="B1020:B1021"/>
    <mergeCell ref="C1020:C1021"/>
    <mergeCell ref="D1020:D1021"/>
    <mergeCell ref="E1020:E1021"/>
    <mergeCell ref="F1020:F1021"/>
    <mergeCell ref="G1020:G1021"/>
    <mergeCell ref="A982:A983"/>
    <mergeCell ref="A996:A997"/>
    <mergeCell ref="B996:F996"/>
    <mergeCell ref="H996:L996"/>
    <mergeCell ref="G969:H969"/>
    <mergeCell ref="E965:F965"/>
    <mergeCell ref="E954:G954"/>
    <mergeCell ref="H954:K954"/>
    <mergeCell ref="A975:A976"/>
    <mergeCell ref="A977:B977"/>
    <mergeCell ref="E962:F962"/>
    <mergeCell ref="G962:H962"/>
    <mergeCell ref="G965:H965"/>
    <mergeCell ref="E967:F967"/>
    <mergeCell ref="E963:F963"/>
    <mergeCell ref="G963:H963"/>
    <mergeCell ref="E964:F964"/>
    <mergeCell ref="G964:H964"/>
    <mergeCell ref="E961:F961"/>
    <mergeCell ref="G961:H961"/>
    <mergeCell ref="A959:A960"/>
    <mergeCell ref="B959:D959"/>
    <mergeCell ref="E959:H959"/>
    <mergeCell ref="E960:F960"/>
    <mergeCell ref="L950:M950"/>
    <mergeCell ref="E951:G951"/>
    <mergeCell ref="H951:I951"/>
    <mergeCell ref="J951:K951"/>
    <mergeCell ref="L951:M951"/>
    <mergeCell ref="J948:K949"/>
    <mergeCell ref="E950:G950"/>
    <mergeCell ref="H950:I950"/>
    <mergeCell ref="J950:K950"/>
    <mergeCell ref="L947:M949"/>
    <mergeCell ref="H948:I949"/>
    <mergeCell ref="S942:T942"/>
    <mergeCell ref="B901:B903"/>
    <mergeCell ref="C901:D902"/>
    <mergeCell ref="E901:J901"/>
    <mergeCell ref="K901:M902"/>
    <mergeCell ref="N901:N903"/>
    <mergeCell ref="E902:F902"/>
    <mergeCell ref="G902:H902"/>
    <mergeCell ref="I902:J902"/>
    <mergeCell ref="B922:C922"/>
    <mergeCell ref="A936:B936"/>
    <mergeCell ref="C947:C949"/>
    <mergeCell ref="D947:D949"/>
    <mergeCell ref="E947:G949"/>
    <mergeCell ref="H947:K947"/>
    <mergeCell ref="A941:B941"/>
    <mergeCell ref="A942:B942"/>
    <mergeCell ref="A943:B943"/>
    <mergeCell ref="B916:C918"/>
    <mergeCell ref="B919:C921"/>
    <mergeCell ref="B781:M781"/>
    <mergeCell ref="B788:G788"/>
    <mergeCell ref="A884:F884"/>
    <mergeCell ref="A901:A903"/>
    <mergeCell ref="S936:T936"/>
    <mergeCell ref="A937:B940"/>
    <mergeCell ref="C937:Q937"/>
    <mergeCell ref="C939:Q939"/>
    <mergeCell ref="B736:G736"/>
    <mergeCell ref="B737:G737"/>
    <mergeCell ref="B777:M777"/>
    <mergeCell ref="B780:G780"/>
    <mergeCell ref="B753:G753"/>
    <mergeCell ref="B754:G754"/>
    <mergeCell ref="B756:G756"/>
    <mergeCell ref="B758:G758"/>
    <mergeCell ref="B762:G762"/>
    <mergeCell ref="B764:G764"/>
    <mergeCell ref="B739:G739"/>
    <mergeCell ref="B749:G749"/>
    <mergeCell ref="B765:G765"/>
    <mergeCell ref="B766:G766"/>
    <mergeCell ref="B767:G767"/>
    <mergeCell ref="A776:G776"/>
    <mergeCell ref="B770:G770"/>
    <mergeCell ref="B774:G774"/>
    <mergeCell ref="B731:G731"/>
    <mergeCell ref="B732:G732"/>
    <mergeCell ref="B733:G733"/>
    <mergeCell ref="B734:G734"/>
    <mergeCell ref="B735:G735"/>
    <mergeCell ref="B719:G719"/>
    <mergeCell ref="B720:G720"/>
    <mergeCell ref="B721:G721"/>
    <mergeCell ref="B722:G722"/>
    <mergeCell ref="B723:G723"/>
    <mergeCell ref="B725:G725"/>
    <mergeCell ref="B726:G726"/>
    <mergeCell ref="B727:G727"/>
    <mergeCell ref="B713:G713"/>
    <mergeCell ref="B714:G714"/>
    <mergeCell ref="B715:G715"/>
    <mergeCell ref="B718:G718"/>
    <mergeCell ref="B728:G728"/>
    <mergeCell ref="B729:G729"/>
    <mergeCell ref="B730:G730"/>
    <mergeCell ref="B688:G688"/>
    <mergeCell ref="B690:G690"/>
    <mergeCell ref="B710:G710"/>
    <mergeCell ref="B711:G711"/>
    <mergeCell ref="B700:G700"/>
    <mergeCell ref="B701:G701"/>
    <mergeCell ref="B702:G702"/>
    <mergeCell ref="B703:G703"/>
    <mergeCell ref="B704:G704"/>
    <mergeCell ref="B705:G705"/>
    <mergeCell ref="B693:G693"/>
    <mergeCell ref="B695:G695"/>
    <mergeCell ref="B706:G706"/>
    <mergeCell ref="B707:G707"/>
    <mergeCell ref="B708:G708"/>
    <mergeCell ref="B709:G709"/>
    <mergeCell ref="A614:H614"/>
    <mergeCell ref="A625:G625"/>
    <mergeCell ref="B653:G653"/>
    <mergeCell ref="B654:G654"/>
    <mergeCell ref="B655:G655"/>
    <mergeCell ref="B672:G672"/>
    <mergeCell ref="B686:G686"/>
    <mergeCell ref="B687:G687"/>
    <mergeCell ref="A573:A574"/>
    <mergeCell ref="B573:B574"/>
    <mergeCell ref="C573:E573"/>
    <mergeCell ref="A581:A583"/>
    <mergeCell ref="B581:G581"/>
    <mergeCell ref="B582:C582"/>
    <mergeCell ref="D582:E582"/>
    <mergeCell ref="F582:G582"/>
    <mergeCell ref="B564:G564"/>
    <mergeCell ref="B565:C565"/>
    <mergeCell ref="D565:E565"/>
    <mergeCell ref="F565:G565"/>
    <mergeCell ref="D542:E542"/>
    <mergeCell ref="D543:E543"/>
    <mergeCell ref="F559:G560"/>
    <mergeCell ref="A560:C560"/>
    <mergeCell ref="B492:G492"/>
    <mergeCell ref="B493:G493"/>
    <mergeCell ref="D540:E540"/>
    <mergeCell ref="D541:E541"/>
    <mergeCell ref="E525:G525"/>
    <mergeCell ref="B519:G519"/>
    <mergeCell ref="E526:G526"/>
    <mergeCell ref="E527:G527"/>
    <mergeCell ref="E528:G528"/>
    <mergeCell ref="D539:E539"/>
    <mergeCell ref="B514:G514"/>
    <mergeCell ref="B499:F499"/>
    <mergeCell ref="B502:F502"/>
    <mergeCell ref="B505:G505"/>
    <mergeCell ref="B506:G506"/>
    <mergeCell ref="B507:F507"/>
    <mergeCell ref="E477:G477"/>
    <mergeCell ref="E478:G478"/>
    <mergeCell ref="B441:G441"/>
    <mergeCell ref="C435:H435"/>
    <mergeCell ref="B460:D460"/>
    <mergeCell ref="E460:F460"/>
    <mergeCell ref="B436:G436"/>
    <mergeCell ref="A457:G457"/>
    <mergeCell ref="A458:G458"/>
    <mergeCell ref="A471:C471"/>
    <mergeCell ref="A455:F455"/>
    <mergeCell ref="E475:G475"/>
    <mergeCell ref="E476:G476"/>
    <mergeCell ref="B463:G463"/>
    <mergeCell ref="A469:C469"/>
    <mergeCell ref="A470:C470"/>
    <mergeCell ref="B462:G462"/>
    <mergeCell ref="E488:G488"/>
    <mergeCell ref="B479:G479"/>
    <mergeCell ref="A480:H480"/>
    <mergeCell ref="E481:G481"/>
    <mergeCell ref="E482:G482"/>
    <mergeCell ref="E486:G486"/>
    <mergeCell ref="B481:D482"/>
    <mergeCell ref="E490:G490"/>
    <mergeCell ref="B483:D484"/>
    <mergeCell ref="E483:G483"/>
    <mergeCell ref="E484:G484"/>
    <mergeCell ref="B485:D486"/>
    <mergeCell ref="B489:D490"/>
    <mergeCell ref="E489:G489"/>
    <mergeCell ref="E485:G485"/>
    <mergeCell ref="B487:D488"/>
    <mergeCell ref="E487:G487"/>
    <mergeCell ref="A210:F210"/>
    <mergeCell ref="B224:G224"/>
    <mergeCell ref="B111:G111"/>
    <mergeCell ref="A112:G112"/>
    <mergeCell ref="A199:H199"/>
    <mergeCell ref="A209:F209"/>
    <mergeCell ref="A83:G83"/>
    <mergeCell ref="A84:G84"/>
    <mergeCell ref="A78:H78"/>
    <mergeCell ref="A80:G80"/>
    <mergeCell ref="A81:G81"/>
    <mergeCell ref="A82:G82"/>
  </mergeCells>
  <phoneticPr fontId="20" type="noConversion"/>
  <dataValidations count="9">
    <dataValidation type="whole" allowBlank="1" showInputMessage="1" showErrorMessage="1" sqref="H434:L434 H503:L503">
      <formula1>1</formula1>
      <formula2>2</formula2>
    </dataValidation>
    <dataValidation type="whole" allowBlank="1" showInputMessage="1" showErrorMessage="1" sqref="H440:L440 H444:L446 H448:L450 H511:L520 H479:L479 H463:L463 H160:L161 H137:L140 H129:L132 H79 H63:H71 H76:H77 H89:L103 H141:H159 I141:L142 H163:H164 J163:L164 I163">
      <formula1>0</formula1>
      <formula2>1</formula2>
    </dataValidation>
    <dataValidation type="whole" allowBlank="1" showInputMessage="1" showErrorMessage="1" sqref="I452:J452">
      <formula1>1</formula1>
      <formula2>8</formula2>
    </dataValidation>
    <dataValidation operator="greaterThan" allowBlank="1" showInputMessage="1" showErrorMessage="1" sqref="H475:L475"/>
    <dataValidation type="whole" allowBlank="1" showInputMessage="1" showErrorMessage="1" sqref="H502:L502">
      <formula1>1</formula1>
      <formula2>5</formula2>
    </dataValidation>
    <dataValidation type="whole" allowBlank="1" showInputMessage="1" showErrorMessage="1" sqref="H505:L505">
      <formula1>1</formula1>
      <formula2>3</formula2>
    </dataValidation>
    <dataValidation type="whole" allowBlank="1" showInputMessage="1" showErrorMessage="1" sqref="H501:L501">
      <formula1>1</formula1>
      <formula2>4</formula2>
    </dataValidation>
    <dataValidation allowBlank="1" showInputMessage="1" showErrorMessage="1" error="Будьте внимательнее !" sqref="H497:L498 H810:L810"/>
    <dataValidation allowBlank="1" showInputMessage="1" showErrorMessage="1" error="Вы  невнимательны!" sqref="H495:L496"/>
  </dataValidations>
  <hyperlinks>
    <hyperlink ref="J380" location="LAVA513!A1" display="ОБРАТНО"/>
    <hyperlink ref="A185" location="вен!A1" display="   ПЕРЕХОДИТЕ К ВЫЧИСЛЕНИЮ ДОПУСТИМОЙ НАГРУЗКИ ПО ФАКТОРУ ПРОВЕТРИВАНИЯ  ЛАВЫ !"/>
    <hyperlink ref="K168" location="kursovoy!A367" display="Возвращение к составлению отчета о нагрузке на лаву"/>
    <hyperlink ref="J146" location="kursovoy!A366" display="После копирования таблицы возвращение к составлению отчета о нагрузке на лаву"/>
  </hyperlinks>
  <pageMargins left="0.75" right="0.75" top="1" bottom="1" header="0.5" footer="0.5"/>
  <pageSetup paperSize="9" orientation="portrait" horizontalDpi="300" verticalDpi="0"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Y457"/>
  <sheetViews>
    <sheetView zoomScale="130" zoomScaleNormal="130" workbookViewId="0">
      <selection activeCell="B187" sqref="B187:B188"/>
    </sheetView>
  </sheetViews>
  <sheetFormatPr defaultRowHeight="12.75" x14ac:dyDescent="0.2"/>
  <cols>
    <col min="1" max="1" width="46.140625" style="1" customWidth="1"/>
    <col min="2" max="2" width="10.7109375" style="1" bestFit="1" customWidth="1"/>
    <col min="3" max="8" width="9.140625" style="1"/>
    <col min="9" max="9" width="9.7109375" style="1" bestFit="1" customWidth="1"/>
    <col min="10" max="10" width="10.28515625" style="1" customWidth="1"/>
    <col min="11" max="11" width="9.140625" style="1"/>
    <col min="12" max="12" width="11" style="1" customWidth="1"/>
    <col min="13" max="16384" width="9.140625" style="1"/>
  </cols>
  <sheetData>
    <row r="2" spans="1:25" ht="18.75" x14ac:dyDescent="0.3">
      <c r="A2" s="4297" t="s">
        <v>6865</v>
      </c>
    </row>
    <row r="4" spans="1:25" ht="20.25" x14ac:dyDescent="0.3">
      <c r="A4" s="2434" t="s">
        <v>1712</v>
      </c>
    </row>
    <row r="5" spans="1:25" ht="20.25" x14ac:dyDescent="0.3">
      <c r="A5" s="2434" t="s">
        <v>1713</v>
      </c>
    </row>
    <row r="8" spans="1:25" customFormat="1" ht="20.25" x14ac:dyDescent="0.3">
      <c r="A8" s="826" t="s">
        <v>3485</v>
      </c>
      <c r="B8" s="784"/>
      <c r="C8" s="15"/>
      <c r="D8" s="15"/>
      <c r="E8" s="15"/>
      <c r="F8" s="15"/>
      <c r="G8" s="15"/>
      <c r="H8" s="15"/>
      <c r="I8" s="15"/>
      <c r="J8" s="14"/>
      <c r="K8" s="14"/>
      <c r="L8" s="29"/>
      <c r="M8" s="29"/>
      <c r="N8" s="29"/>
      <c r="O8" s="29"/>
      <c r="P8" s="11"/>
      <c r="Q8" s="11"/>
      <c r="X8" s="1"/>
      <c r="Y8" s="1"/>
    </row>
    <row r="9" spans="1:25" customFormat="1" ht="20.25" x14ac:dyDescent="0.3">
      <c r="A9" s="826" t="s">
        <v>3486</v>
      </c>
      <c r="B9" s="784"/>
      <c r="C9" s="15"/>
      <c r="D9" s="15"/>
      <c r="E9" s="15"/>
      <c r="F9" s="15"/>
      <c r="G9" s="15"/>
      <c r="H9" s="15"/>
      <c r="I9" s="15"/>
      <c r="J9" s="14"/>
      <c r="K9" s="14"/>
      <c r="L9" s="29"/>
      <c r="M9" s="29"/>
      <c r="N9" s="29"/>
      <c r="O9" s="29"/>
      <c r="P9" s="11"/>
      <c r="Q9" s="11"/>
    </row>
    <row r="10" spans="1:25" customFormat="1" ht="20.25" x14ac:dyDescent="0.3">
      <c r="A10" s="826" t="s">
        <v>3487</v>
      </c>
      <c r="B10" s="784"/>
      <c r="C10" s="15"/>
      <c r="D10" s="15"/>
      <c r="E10" s="15"/>
      <c r="F10" s="15"/>
      <c r="G10" s="15"/>
      <c r="H10" s="15"/>
      <c r="I10" s="15"/>
      <c r="J10" s="14"/>
      <c r="K10" s="14"/>
      <c r="L10" s="29"/>
      <c r="M10" s="29"/>
      <c r="N10" s="29"/>
      <c r="O10" s="29"/>
      <c r="P10" s="11"/>
      <c r="Q10" s="11"/>
    </row>
    <row r="11" spans="1:25" customFormat="1" ht="20.25" x14ac:dyDescent="0.3">
      <c r="A11" s="826" t="s">
        <v>3488</v>
      </c>
      <c r="B11" s="784"/>
      <c r="C11" s="15"/>
      <c r="D11" s="15"/>
      <c r="E11" s="15"/>
      <c r="F11" s="15"/>
      <c r="G11" s="15"/>
      <c r="H11" s="15"/>
      <c r="I11" s="15"/>
      <c r="J11" s="14"/>
      <c r="K11" s="14"/>
      <c r="L11" s="29"/>
      <c r="M11" s="29"/>
      <c r="N11" s="29"/>
      <c r="O11" s="29"/>
      <c r="P11" s="11"/>
      <c r="Q11" s="11"/>
    </row>
    <row r="12" spans="1:25" customFormat="1" ht="20.25" x14ac:dyDescent="0.3">
      <c r="A12" s="826" t="s">
        <v>4501</v>
      </c>
      <c r="B12" s="784"/>
      <c r="C12" s="15"/>
      <c r="D12" s="15"/>
      <c r="E12" s="15"/>
      <c r="F12" s="15"/>
      <c r="G12" s="15"/>
      <c r="H12" s="15"/>
      <c r="I12" s="15"/>
      <c r="J12" s="14"/>
      <c r="K12" s="15"/>
      <c r="L12" s="14"/>
      <c r="M12" s="15"/>
      <c r="N12" s="29"/>
      <c r="O12" s="29"/>
      <c r="P12" s="11"/>
      <c r="Q12" s="11"/>
    </row>
    <row r="13" spans="1:25" customFormat="1" ht="20.25" x14ac:dyDescent="0.3">
      <c r="A13" s="826" t="s">
        <v>4502</v>
      </c>
      <c r="B13" s="784"/>
      <c r="C13" s="15"/>
      <c r="D13" s="15"/>
      <c r="E13" s="15"/>
      <c r="F13" s="15"/>
      <c r="G13" s="15"/>
      <c r="H13" s="15"/>
      <c r="I13" s="15"/>
      <c r="J13" s="15"/>
      <c r="K13" s="15"/>
      <c r="L13" s="15"/>
      <c r="M13" s="15"/>
      <c r="N13" s="29"/>
      <c r="O13" s="29"/>
      <c r="P13" s="11"/>
      <c r="Q13" s="11"/>
    </row>
    <row r="14" spans="1:25" customFormat="1" ht="20.25" x14ac:dyDescent="0.3">
      <c r="A14" s="826" t="s">
        <v>4503</v>
      </c>
      <c r="B14" s="784"/>
      <c r="C14" s="15"/>
      <c r="D14" s="15"/>
      <c r="E14" s="15"/>
      <c r="F14" s="15"/>
      <c r="G14" s="15"/>
      <c r="H14" s="15"/>
      <c r="I14" s="15"/>
      <c r="J14" s="14"/>
      <c r="K14" s="14"/>
      <c r="L14" s="29"/>
      <c r="M14" s="29"/>
      <c r="N14" s="29"/>
      <c r="O14" s="29"/>
      <c r="P14" s="11"/>
      <c r="Q14" s="11"/>
    </row>
    <row r="15" spans="1:25" customFormat="1" ht="20.25" x14ac:dyDescent="0.3">
      <c r="A15" s="826" t="s">
        <v>4504</v>
      </c>
      <c r="B15" s="784"/>
      <c r="C15" s="15"/>
      <c r="D15" s="15"/>
      <c r="E15" s="15"/>
      <c r="F15" s="15"/>
      <c r="G15" s="15"/>
      <c r="H15" s="15"/>
      <c r="I15" s="15"/>
      <c r="J15" s="14"/>
      <c r="K15" s="14"/>
      <c r="L15" s="29"/>
      <c r="M15" s="29"/>
      <c r="N15" s="29"/>
      <c r="O15" s="29"/>
      <c r="P15" s="11"/>
      <c r="Q15" s="11"/>
    </row>
    <row r="16" spans="1:25" customFormat="1" ht="20.25" x14ac:dyDescent="0.3">
      <c r="A16" s="827" t="s">
        <v>3172</v>
      </c>
      <c r="B16" s="784"/>
      <c r="C16" s="15"/>
      <c r="D16" s="15"/>
      <c r="E16" s="15"/>
      <c r="F16" s="15"/>
      <c r="G16" s="15"/>
      <c r="H16" s="15"/>
      <c r="I16" s="15"/>
      <c r="J16" s="14"/>
      <c r="K16" s="14"/>
      <c r="L16" s="29"/>
      <c r="M16" s="29"/>
      <c r="N16" s="29"/>
      <c r="O16" s="29"/>
      <c r="P16" s="11"/>
      <c r="Q16" s="11"/>
    </row>
    <row r="17" spans="1:17" customFormat="1" ht="20.25" x14ac:dyDescent="0.3">
      <c r="A17" s="826" t="s">
        <v>6539</v>
      </c>
      <c r="B17" s="784"/>
      <c r="C17" s="15"/>
      <c r="D17" s="15"/>
      <c r="E17" s="15"/>
      <c r="F17" s="15"/>
      <c r="G17" s="15"/>
      <c r="H17" s="15"/>
      <c r="I17" s="15"/>
      <c r="J17" s="14"/>
      <c r="K17" s="14"/>
      <c r="L17" s="29"/>
      <c r="M17" s="29"/>
      <c r="N17" s="29"/>
      <c r="O17" s="29"/>
      <c r="P17" s="11"/>
      <c r="Q17" s="11"/>
    </row>
    <row r="18" spans="1:17" customFormat="1" ht="20.25" x14ac:dyDescent="0.3">
      <c r="A18" s="826" t="s">
        <v>5042</v>
      </c>
      <c r="B18" s="784"/>
      <c r="C18" s="15"/>
      <c r="D18" s="15"/>
      <c r="E18" s="15"/>
      <c r="F18" s="15"/>
      <c r="G18" s="15"/>
      <c r="H18" s="15"/>
      <c r="I18" s="15"/>
      <c r="J18" s="14"/>
      <c r="K18" s="14"/>
      <c r="L18" s="29"/>
      <c r="M18" s="29"/>
      <c r="N18" s="29"/>
      <c r="O18" s="29"/>
      <c r="P18" s="11"/>
      <c r="Q18" s="11"/>
    </row>
    <row r="19" spans="1:17" customFormat="1" ht="20.25" x14ac:dyDescent="0.3">
      <c r="A19" s="827" t="s">
        <v>5043</v>
      </c>
      <c r="B19" s="784"/>
      <c r="C19" s="15"/>
      <c r="D19" s="15"/>
      <c r="E19" s="15"/>
      <c r="F19" s="15"/>
      <c r="G19" s="15"/>
      <c r="H19" s="15"/>
      <c r="I19" s="15"/>
      <c r="J19" s="14"/>
      <c r="K19" s="1"/>
      <c r="L19" s="1"/>
      <c r="M19" s="29"/>
      <c r="N19" s="29"/>
      <c r="O19" s="29"/>
      <c r="P19" s="11"/>
      <c r="Q19" s="11"/>
    </row>
    <row r="20" spans="1:17" customFormat="1" ht="20.25" x14ac:dyDescent="0.3">
      <c r="A20" s="826" t="s">
        <v>5044</v>
      </c>
      <c r="B20" s="784"/>
      <c r="C20" s="15"/>
      <c r="D20" s="15"/>
      <c r="E20" s="15"/>
      <c r="F20" s="15"/>
      <c r="G20" s="15"/>
      <c r="H20" s="15"/>
      <c r="I20" s="15"/>
      <c r="J20" s="14"/>
      <c r="K20" s="14"/>
      <c r="L20" s="29"/>
      <c r="M20" s="29"/>
      <c r="N20" s="29"/>
      <c r="O20" s="29"/>
      <c r="P20" s="11"/>
      <c r="Q20" s="11"/>
    </row>
    <row r="21" spans="1:17" customFormat="1" ht="20.25" x14ac:dyDescent="0.3">
      <c r="A21" s="826" t="s">
        <v>5045</v>
      </c>
      <c r="B21" s="784"/>
      <c r="C21" s="15"/>
      <c r="D21" s="15"/>
      <c r="E21" s="15"/>
      <c r="F21" s="15"/>
      <c r="G21" s="15"/>
      <c r="H21" s="15"/>
      <c r="I21" s="15"/>
      <c r="J21" s="14"/>
      <c r="K21" s="14"/>
      <c r="L21" s="29"/>
      <c r="M21" s="29"/>
      <c r="N21" s="29"/>
      <c r="O21" s="29"/>
      <c r="P21" s="11"/>
      <c r="Q21" s="11"/>
    </row>
    <row r="22" spans="1:17" customFormat="1" ht="20.25" x14ac:dyDescent="0.3">
      <c r="A22" s="826" t="s">
        <v>6541</v>
      </c>
      <c r="B22" s="784"/>
      <c r="C22" s="15"/>
      <c r="D22" s="15"/>
      <c r="E22" s="15"/>
      <c r="F22" s="15"/>
      <c r="G22" s="15"/>
      <c r="H22" s="15"/>
      <c r="I22" s="15"/>
      <c r="J22" s="14"/>
      <c r="K22" s="14"/>
      <c r="L22" s="29"/>
      <c r="M22" s="29"/>
      <c r="N22" s="29"/>
      <c r="O22" s="29"/>
      <c r="P22" s="11"/>
      <c r="Q22" s="11"/>
    </row>
    <row r="23" spans="1:17" customFormat="1" ht="20.25" x14ac:dyDescent="0.3">
      <c r="A23" s="826" t="s">
        <v>3682</v>
      </c>
      <c r="B23" s="784"/>
      <c r="C23" s="15"/>
      <c r="D23" s="15"/>
      <c r="E23" s="15"/>
      <c r="F23" s="15"/>
      <c r="G23" s="15"/>
      <c r="H23" s="15"/>
      <c r="I23" s="15"/>
      <c r="J23" s="14"/>
      <c r="K23" s="14"/>
      <c r="L23" s="29"/>
      <c r="M23" s="29"/>
      <c r="N23" s="29"/>
      <c r="O23" s="29"/>
      <c r="P23" s="11"/>
      <c r="Q23" s="11"/>
    </row>
    <row r="24" spans="1:17" customFormat="1" ht="20.25" x14ac:dyDescent="0.3">
      <c r="A24" s="826" t="s">
        <v>3683</v>
      </c>
      <c r="B24" s="784"/>
      <c r="C24" s="15"/>
      <c r="D24" s="15"/>
      <c r="E24" s="15"/>
      <c r="F24" s="15"/>
      <c r="G24" s="15"/>
      <c r="H24" s="15"/>
      <c r="I24" s="15"/>
      <c r="J24" s="14"/>
      <c r="K24" s="14"/>
      <c r="L24" s="29"/>
      <c r="M24" s="29"/>
      <c r="N24" s="29"/>
      <c r="O24" s="29"/>
      <c r="P24" s="11"/>
      <c r="Q24" s="11"/>
    </row>
    <row r="25" spans="1:17" customFormat="1" ht="20.25" x14ac:dyDescent="0.3">
      <c r="A25" s="826" t="s">
        <v>3684</v>
      </c>
      <c r="B25" s="784"/>
      <c r="C25" s="15"/>
      <c r="D25" s="15"/>
      <c r="E25" s="15"/>
      <c r="F25" s="15"/>
      <c r="G25" s="15"/>
      <c r="H25" s="15"/>
      <c r="I25" s="15"/>
      <c r="J25" s="14"/>
      <c r="K25" s="14"/>
      <c r="L25" s="29"/>
      <c r="M25" s="29"/>
      <c r="N25" s="29"/>
      <c r="O25" s="29"/>
      <c r="P25" s="11"/>
      <c r="Q25" s="11"/>
    </row>
    <row r="26" spans="1:17" customFormat="1" ht="20.25" x14ac:dyDescent="0.3">
      <c r="A26" s="826" t="s">
        <v>6540</v>
      </c>
      <c r="B26" s="784"/>
      <c r="C26" s="15"/>
      <c r="D26" s="15"/>
      <c r="E26" s="15"/>
      <c r="F26" s="15"/>
      <c r="G26" s="15"/>
      <c r="H26" s="15"/>
      <c r="I26" s="15"/>
      <c r="J26" s="14"/>
      <c r="K26" s="14"/>
      <c r="L26" s="29"/>
      <c r="M26" s="29"/>
      <c r="N26" s="29"/>
      <c r="O26" s="29"/>
      <c r="P26" s="11"/>
      <c r="Q26" s="11"/>
    </row>
    <row r="27" spans="1:17" customFormat="1" ht="20.25" x14ac:dyDescent="0.3">
      <c r="A27" s="826" t="s">
        <v>6542</v>
      </c>
      <c r="B27" s="784"/>
      <c r="C27" s="15"/>
      <c r="D27" s="15"/>
      <c r="E27" s="15"/>
      <c r="F27" s="15"/>
      <c r="G27" s="15"/>
      <c r="H27" s="15"/>
      <c r="I27" s="15"/>
      <c r="J27" s="14"/>
      <c r="K27" s="14"/>
      <c r="L27" s="29"/>
      <c r="M27" s="29"/>
      <c r="N27" s="29"/>
      <c r="O27" s="29"/>
      <c r="P27" s="11"/>
      <c r="Q27" s="11"/>
    </row>
    <row r="28" spans="1:17" customFormat="1" ht="20.25" x14ac:dyDescent="0.3">
      <c r="A28" s="826" t="s">
        <v>6543</v>
      </c>
      <c r="B28" s="784"/>
      <c r="C28" s="15"/>
      <c r="D28" s="15"/>
      <c r="E28" s="15"/>
      <c r="F28" s="15"/>
      <c r="G28" s="15"/>
      <c r="H28" s="15"/>
      <c r="I28" s="15"/>
      <c r="J28" s="14"/>
      <c r="K28" s="14"/>
      <c r="L28" s="29"/>
      <c r="M28" s="29"/>
      <c r="N28" s="29"/>
      <c r="O28" s="29"/>
      <c r="P28" s="11"/>
      <c r="Q28" s="11"/>
    </row>
    <row r="29" spans="1:17" customFormat="1" ht="20.25" x14ac:dyDescent="0.3">
      <c r="A29" s="826" t="s">
        <v>3685</v>
      </c>
      <c r="B29" s="784"/>
      <c r="C29" s="15"/>
      <c r="D29" s="15"/>
      <c r="E29" s="15"/>
      <c r="F29" s="15"/>
      <c r="G29" s="15"/>
      <c r="H29" s="15"/>
      <c r="I29" s="15"/>
      <c r="J29" s="14"/>
      <c r="K29" s="14"/>
      <c r="L29" s="29"/>
      <c r="M29" s="29"/>
      <c r="N29" s="29"/>
      <c r="O29" s="29"/>
      <c r="P29" s="11"/>
      <c r="Q29" s="11"/>
    </row>
    <row r="30" spans="1:17" customFormat="1" ht="20.25" x14ac:dyDescent="0.3">
      <c r="A30" s="826" t="s">
        <v>6544</v>
      </c>
      <c r="B30" s="784"/>
      <c r="C30" s="15"/>
      <c r="D30" s="15"/>
      <c r="E30" s="15"/>
      <c r="F30" s="15"/>
      <c r="G30" s="15"/>
      <c r="H30" s="15"/>
      <c r="I30" s="15"/>
      <c r="J30" s="14"/>
      <c r="K30" s="14"/>
      <c r="L30" s="29"/>
      <c r="M30" s="29"/>
      <c r="N30" s="29"/>
      <c r="O30" s="29"/>
      <c r="P30" s="11"/>
      <c r="Q30" s="11"/>
    </row>
    <row r="31" spans="1:17" customFormat="1" ht="20.25" x14ac:dyDescent="0.3">
      <c r="A31" s="826" t="s">
        <v>3686</v>
      </c>
      <c r="B31" s="784"/>
      <c r="C31" s="15"/>
      <c r="D31" s="15"/>
      <c r="E31" s="15"/>
      <c r="F31" s="15"/>
      <c r="G31" s="15"/>
      <c r="H31" s="15"/>
      <c r="I31" s="15"/>
      <c r="J31" s="14"/>
      <c r="K31" s="14"/>
      <c r="L31" s="29"/>
      <c r="M31" s="29"/>
      <c r="N31" s="29"/>
      <c r="O31" s="29"/>
      <c r="P31" s="11"/>
      <c r="Q31" s="11"/>
    </row>
    <row r="32" spans="1:17" customFormat="1" ht="20.25" x14ac:dyDescent="0.3">
      <c r="A32" s="826" t="s">
        <v>3687</v>
      </c>
      <c r="B32" s="784"/>
      <c r="C32" s="15"/>
      <c r="D32" s="15"/>
      <c r="E32" s="15"/>
      <c r="F32" s="15"/>
      <c r="G32" s="15"/>
      <c r="H32" s="15"/>
      <c r="I32" s="15"/>
      <c r="J32" s="14"/>
      <c r="K32" s="14"/>
      <c r="L32" s="29"/>
      <c r="M32" s="29"/>
      <c r="N32" s="29"/>
      <c r="O32" s="29"/>
      <c r="P32" s="11"/>
      <c r="Q32" s="11"/>
    </row>
    <row r="33" spans="1:22" customFormat="1" ht="20.25" x14ac:dyDescent="0.3">
      <c r="A33" s="826" t="s">
        <v>3688</v>
      </c>
      <c r="B33" s="784"/>
      <c r="C33" s="15"/>
      <c r="D33" s="15"/>
      <c r="E33" s="15"/>
      <c r="F33" s="15"/>
      <c r="G33" s="15"/>
      <c r="H33" s="15"/>
      <c r="I33" s="15"/>
      <c r="J33" s="14"/>
      <c r="K33" s="1"/>
      <c r="L33" s="1"/>
      <c r="M33" s="29"/>
      <c r="N33" s="29"/>
      <c r="O33" s="29"/>
      <c r="P33" s="11"/>
      <c r="Q33" s="11"/>
    </row>
    <row r="34" spans="1:22" customFormat="1" ht="20.25" x14ac:dyDescent="0.3">
      <c r="A34" s="826" t="s">
        <v>2645</v>
      </c>
      <c r="B34" s="784"/>
      <c r="C34" s="15"/>
      <c r="D34" s="15"/>
      <c r="E34" s="15"/>
      <c r="F34" s="15"/>
      <c r="G34" s="15"/>
      <c r="H34" s="15"/>
      <c r="I34" s="15"/>
      <c r="J34" s="14"/>
      <c r="K34" s="1"/>
      <c r="L34" s="1"/>
      <c r="M34" s="29"/>
      <c r="N34" s="29"/>
      <c r="O34" s="29"/>
      <c r="P34" s="11"/>
      <c r="Q34" s="11"/>
    </row>
    <row r="35" spans="1:22" customFormat="1" ht="20.25" x14ac:dyDescent="0.3">
      <c r="A35" s="826" t="s">
        <v>2646</v>
      </c>
      <c r="B35" s="784"/>
      <c r="C35" s="15"/>
      <c r="D35" s="15"/>
      <c r="E35" s="15"/>
      <c r="F35" s="15"/>
      <c r="G35" s="15"/>
      <c r="H35" s="15"/>
      <c r="I35" s="15"/>
      <c r="J35" s="14"/>
      <c r="K35" s="1"/>
      <c r="L35" s="1"/>
      <c r="M35" s="29"/>
      <c r="N35" s="29"/>
      <c r="O35" s="29"/>
      <c r="P35" s="11"/>
      <c r="Q35" s="11"/>
    </row>
    <row r="36" spans="1:22" customFormat="1" ht="20.25" x14ac:dyDescent="0.3">
      <c r="A36" s="826" t="s">
        <v>2647</v>
      </c>
      <c r="B36" s="784"/>
      <c r="C36" s="15"/>
      <c r="D36" s="15"/>
      <c r="E36" s="15"/>
      <c r="F36" s="15"/>
      <c r="G36" s="15"/>
      <c r="H36" s="15"/>
      <c r="I36" s="15"/>
      <c r="J36" s="14"/>
      <c r="K36" s="1"/>
      <c r="L36" s="1"/>
      <c r="M36" s="29"/>
      <c r="N36" s="29"/>
      <c r="O36" s="29"/>
      <c r="P36" s="11"/>
      <c r="Q36" s="11"/>
    </row>
    <row r="37" spans="1:22" customFormat="1" ht="20.25" x14ac:dyDescent="0.3">
      <c r="A37" s="821" t="s">
        <v>2648</v>
      </c>
      <c r="B37" s="784"/>
      <c r="C37" s="15"/>
      <c r="D37" s="15"/>
      <c r="E37" s="15"/>
      <c r="F37" s="15"/>
      <c r="G37" s="15"/>
      <c r="H37" s="15"/>
      <c r="I37" s="15"/>
      <c r="J37" s="14"/>
      <c r="K37" s="1"/>
      <c r="L37" s="1"/>
      <c r="M37" s="29"/>
      <c r="N37" s="29"/>
      <c r="O37" s="29"/>
      <c r="P37" s="11"/>
      <c r="Q37" s="11"/>
    </row>
    <row r="38" spans="1:22" customFormat="1" ht="20.25" x14ac:dyDescent="0.3">
      <c r="A38" s="1" t="s">
        <v>2649</v>
      </c>
      <c r="B38" s="784"/>
      <c r="C38" s="15"/>
      <c r="D38" s="15"/>
      <c r="E38" s="15"/>
      <c r="F38" s="15"/>
      <c r="G38" s="15"/>
      <c r="H38" s="15"/>
      <c r="I38" s="15"/>
      <c r="J38" s="14"/>
      <c r="K38" s="1"/>
      <c r="L38" s="1"/>
      <c r="M38" s="29"/>
      <c r="N38" s="29"/>
      <c r="O38" s="29"/>
      <c r="P38" s="11"/>
      <c r="Q38" s="11"/>
    </row>
    <row r="39" spans="1:22" customFormat="1" ht="20.25" x14ac:dyDescent="0.3">
      <c r="A39" s="821" t="s">
        <v>4505</v>
      </c>
      <c r="B39" s="784"/>
      <c r="C39" s="15"/>
      <c r="D39" s="15"/>
      <c r="E39" s="15"/>
      <c r="F39" s="15"/>
      <c r="G39" s="15"/>
      <c r="H39" s="15"/>
      <c r="I39" s="15"/>
      <c r="J39" s="14"/>
      <c r="K39" s="1"/>
      <c r="L39" s="1"/>
      <c r="M39" s="29"/>
      <c r="N39" s="29"/>
      <c r="O39" s="29"/>
      <c r="P39" s="11"/>
      <c r="Q39" s="11"/>
    </row>
    <row r="40" spans="1:22" customFormat="1" ht="20.25" x14ac:dyDescent="0.3">
      <c r="A40" s="826" t="s">
        <v>2643</v>
      </c>
      <c r="B40" s="784"/>
      <c r="C40" s="15"/>
      <c r="D40" s="15"/>
      <c r="E40" s="15"/>
      <c r="F40" s="15"/>
      <c r="G40" s="15"/>
      <c r="H40" s="15"/>
      <c r="I40" s="15"/>
      <c r="J40" s="14"/>
      <c r="K40" s="1"/>
      <c r="L40" s="1"/>
      <c r="M40" s="29"/>
      <c r="N40" s="29"/>
      <c r="O40" s="29"/>
      <c r="P40" s="11"/>
      <c r="Q40" s="11"/>
    </row>
    <row r="41" spans="1:22" customFormat="1" ht="20.25" x14ac:dyDescent="0.3">
      <c r="A41" s="826" t="s">
        <v>2644</v>
      </c>
      <c r="B41" s="784"/>
      <c r="C41" s="15"/>
      <c r="D41" s="15"/>
      <c r="E41" s="15"/>
      <c r="F41" s="15"/>
      <c r="G41" s="15"/>
      <c r="H41" s="15"/>
      <c r="I41" s="15"/>
      <c r="J41" s="14"/>
      <c r="K41" s="1"/>
      <c r="L41" s="1"/>
      <c r="M41" s="29"/>
      <c r="N41" s="29"/>
      <c r="O41" s="29"/>
      <c r="P41" s="11"/>
      <c r="Q41" s="11"/>
    </row>
    <row r="42" spans="1:22" customFormat="1" ht="20.25" x14ac:dyDescent="0.3">
      <c r="A42" s="821" t="s">
        <v>6683</v>
      </c>
      <c r="B42" s="784"/>
      <c r="C42" s="15"/>
      <c r="D42" s="15"/>
      <c r="E42" s="15"/>
      <c r="F42" s="15"/>
      <c r="G42" s="15"/>
      <c r="H42" s="15"/>
      <c r="I42" s="15"/>
      <c r="J42" s="14"/>
      <c r="K42" s="1"/>
      <c r="L42" s="1"/>
      <c r="M42" s="29"/>
      <c r="N42" s="29"/>
      <c r="O42" s="29"/>
      <c r="P42" s="11"/>
      <c r="Q42" s="11"/>
    </row>
    <row r="43" spans="1:22" customFormat="1" ht="20.25" x14ac:dyDescent="0.3">
      <c r="A43" s="826" t="s">
        <v>6682</v>
      </c>
      <c r="B43" s="784"/>
      <c r="C43" s="15"/>
      <c r="D43" s="15"/>
      <c r="E43" s="15"/>
      <c r="F43" s="15"/>
      <c r="G43" s="15"/>
      <c r="H43" s="15"/>
      <c r="I43" s="15"/>
      <c r="J43" s="14"/>
      <c r="K43" s="1"/>
      <c r="L43" s="1"/>
      <c r="M43" s="29"/>
      <c r="N43" s="29"/>
      <c r="O43" s="29"/>
      <c r="P43" s="11"/>
      <c r="Q43" s="11"/>
    </row>
    <row r="44" spans="1:22" customFormat="1" ht="20.25" x14ac:dyDescent="0.3">
      <c r="A44" s="1"/>
      <c r="B44" s="784"/>
      <c r="C44" s="15"/>
      <c r="D44" s="15"/>
      <c r="E44" s="15"/>
      <c r="F44" s="15"/>
      <c r="G44" s="15"/>
      <c r="H44" s="15"/>
      <c r="I44" s="15"/>
      <c r="J44" s="14"/>
      <c r="K44" s="1"/>
      <c r="L44" s="1"/>
      <c r="M44" s="29"/>
      <c r="N44" s="29"/>
      <c r="O44" s="29"/>
      <c r="P44" s="11"/>
      <c r="Q44" s="11"/>
    </row>
    <row r="45" spans="1:22" customFormat="1" ht="21" x14ac:dyDescent="0.35">
      <c r="A45" s="786" t="s">
        <v>5523</v>
      </c>
      <c r="B45" s="785"/>
      <c r="C45" s="11"/>
      <c r="D45" s="11"/>
      <c r="E45" s="11"/>
      <c r="F45" s="11"/>
      <c r="G45" s="11"/>
      <c r="H45" s="11"/>
      <c r="I45" s="11"/>
      <c r="J45" s="29"/>
      <c r="K45" s="29"/>
      <c r="L45" s="29"/>
      <c r="M45" s="29"/>
      <c r="N45" s="29"/>
      <c r="O45" s="29"/>
      <c r="P45" s="11"/>
      <c r="Q45" s="11"/>
    </row>
    <row r="46" spans="1:22" customFormat="1" ht="20.25" x14ac:dyDescent="0.3">
      <c r="A46" s="479"/>
      <c r="B46" s="785"/>
      <c r="C46" s="11"/>
      <c r="D46" s="11"/>
      <c r="E46" s="11"/>
      <c r="F46" s="11"/>
      <c r="G46" s="11"/>
      <c r="H46" s="11"/>
      <c r="I46" s="11"/>
      <c r="J46" s="29"/>
      <c r="K46" s="29"/>
      <c r="L46" s="29"/>
      <c r="M46" s="29"/>
      <c r="N46" s="29"/>
      <c r="O46" s="29"/>
      <c r="P46" s="11"/>
      <c r="Q46" s="11"/>
    </row>
    <row r="47" spans="1:22" customFormat="1" ht="72" customHeight="1" x14ac:dyDescent="0.25">
      <c r="A47" s="4596" t="s">
        <v>653</v>
      </c>
      <c r="B47" s="4511"/>
      <c r="C47" s="4511"/>
      <c r="D47" s="4511"/>
      <c r="E47" s="4511"/>
      <c r="F47" s="4511"/>
      <c r="G47" s="4512"/>
      <c r="H47" s="787"/>
      <c r="I47" s="11"/>
      <c r="K47" s="29"/>
      <c r="L47" s="29"/>
      <c r="M47" s="788"/>
      <c r="N47" s="29"/>
      <c r="O47" s="29"/>
      <c r="P47" s="11"/>
      <c r="Q47" s="11"/>
      <c r="V47" s="807">
        <f>IF(H47=2,1,0)</f>
        <v>0</v>
      </c>
    </row>
    <row r="48" spans="1:22" customFormat="1" ht="39.75" customHeight="1" x14ac:dyDescent="0.25">
      <c r="A48" s="4602" t="s">
        <v>654</v>
      </c>
      <c r="B48" s="4603"/>
      <c r="C48" s="4603"/>
      <c r="D48" s="4603"/>
      <c r="E48" s="4603"/>
      <c r="F48" s="4603"/>
      <c r="G48" s="4603"/>
      <c r="H48" s="787"/>
      <c r="I48" s="11"/>
      <c r="K48" s="29"/>
      <c r="L48" s="29"/>
      <c r="M48" s="29"/>
      <c r="N48" s="29"/>
      <c r="O48" s="29"/>
      <c r="P48" s="11"/>
      <c r="Q48" s="11"/>
      <c r="V48" s="807">
        <f>IF(H48=3,1,0)</f>
        <v>0</v>
      </c>
    </row>
    <row r="49" spans="1:22" customFormat="1" ht="80.25" customHeight="1" x14ac:dyDescent="0.25">
      <c r="A49" s="4596" t="s">
        <v>655</v>
      </c>
      <c r="B49" s="4511"/>
      <c r="C49" s="4511"/>
      <c r="D49" s="4511"/>
      <c r="E49" s="4511"/>
      <c r="F49" s="4511"/>
      <c r="G49" s="4512"/>
      <c r="H49" s="787"/>
      <c r="I49" s="11"/>
      <c r="K49" s="29"/>
      <c r="L49" s="29"/>
      <c r="M49" s="29"/>
      <c r="N49" s="29"/>
      <c r="O49" s="29"/>
      <c r="P49" s="11"/>
      <c r="Q49" s="11"/>
      <c r="V49" s="807">
        <f>IF(H49=3,1,0)</f>
        <v>0</v>
      </c>
    </row>
    <row r="50" spans="1:22" customFormat="1" ht="59.25" customHeight="1" x14ac:dyDescent="0.25">
      <c r="A50" s="4596" t="s">
        <v>656</v>
      </c>
      <c r="B50" s="4511"/>
      <c r="C50" s="4511"/>
      <c r="D50" s="4511"/>
      <c r="E50" s="4511"/>
      <c r="F50" s="4511"/>
      <c r="G50" s="4512"/>
      <c r="H50" s="787"/>
      <c r="I50" s="11"/>
      <c r="K50" s="29"/>
      <c r="L50" s="29"/>
      <c r="M50" s="29"/>
      <c r="N50" s="29"/>
      <c r="O50" s="29"/>
      <c r="P50" s="11"/>
      <c r="Q50" s="11"/>
      <c r="V50" s="807">
        <f>IF(H50=3,1,0)</f>
        <v>0</v>
      </c>
    </row>
    <row r="51" spans="1:22" customFormat="1" ht="70.5" customHeight="1" x14ac:dyDescent="0.25">
      <c r="A51" s="4596" t="s">
        <v>3229</v>
      </c>
      <c r="B51" s="4511"/>
      <c r="C51" s="4511"/>
      <c r="D51" s="4511"/>
      <c r="E51" s="4511"/>
      <c r="F51" s="4511"/>
      <c r="G51" s="4512"/>
      <c r="H51" s="787"/>
      <c r="I51" s="11"/>
      <c r="K51" s="29"/>
      <c r="L51" s="29"/>
      <c r="M51" s="29"/>
      <c r="N51" s="29"/>
      <c r="O51" s="29"/>
      <c r="P51" s="11"/>
      <c r="Q51" s="11"/>
      <c r="V51" s="201">
        <f>IF(H51=1,1,0)</f>
        <v>0</v>
      </c>
    </row>
    <row r="52" spans="1:22" customFormat="1" ht="20.25" x14ac:dyDescent="0.3">
      <c r="A52" s="31"/>
      <c r="B52" s="785"/>
      <c r="C52" s="11"/>
      <c r="D52" s="11"/>
      <c r="E52" s="11"/>
      <c r="F52" s="11"/>
      <c r="G52" s="11"/>
      <c r="H52" s="11"/>
      <c r="I52" s="11"/>
      <c r="J52" s="29"/>
      <c r="K52" s="29"/>
      <c r="L52" s="29"/>
      <c r="M52" s="29"/>
      <c r="N52" s="29"/>
      <c r="O52" s="29"/>
      <c r="P52" s="11"/>
      <c r="Q52" s="11"/>
      <c r="V52" s="898">
        <f>SUM(V47:V51)-5</f>
        <v>-5</v>
      </c>
    </row>
    <row r="53" spans="1:22" customFormat="1" ht="20.25" x14ac:dyDescent="0.3">
      <c r="A53" s="789" t="str">
        <f>IF(SUM(V47:V51)=5,"Переходите к выполнению работы","Продолжайте отвечать на вопросы")</f>
        <v>Продолжайте отвечать на вопросы</v>
      </c>
      <c r="B53" s="785"/>
      <c r="C53" s="11"/>
      <c r="D53" s="11"/>
      <c r="E53" s="11"/>
      <c r="F53" s="11"/>
      <c r="G53" s="11"/>
      <c r="H53" s="11"/>
      <c r="I53" s="11"/>
      <c r="J53" s="29"/>
      <c r="K53" s="29"/>
      <c r="L53" s="29"/>
      <c r="M53" s="29"/>
      <c r="N53" s="29"/>
      <c r="O53" s="29"/>
      <c r="P53" s="11"/>
      <c r="Q53" s="11"/>
    </row>
    <row r="54" spans="1:22" customFormat="1" ht="20.25" x14ac:dyDescent="0.3">
      <c r="A54" s="789"/>
      <c r="B54" s="785"/>
      <c r="C54" s="11"/>
      <c r="D54" s="11"/>
      <c r="E54" s="11"/>
      <c r="F54" s="11"/>
      <c r="G54" s="11"/>
      <c r="H54" s="11"/>
      <c r="I54" s="11"/>
      <c r="J54" s="29"/>
      <c r="K54" s="29"/>
      <c r="L54" s="29"/>
      <c r="M54" s="29"/>
      <c r="N54" s="29"/>
      <c r="O54" s="29"/>
      <c r="P54" s="11"/>
      <c r="Q54" s="11"/>
    </row>
    <row r="55" spans="1:22" customFormat="1" ht="20.25" x14ac:dyDescent="0.3">
      <c r="A55" s="949" t="s">
        <v>6866</v>
      </c>
      <c r="B55" s="785"/>
      <c r="C55" s="11"/>
      <c r="D55" s="11"/>
      <c r="E55" s="11"/>
      <c r="F55" s="11"/>
      <c r="G55" s="11"/>
      <c r="H55" s="11"/>
      <c r="I55" s="11"/>
      <c r="J55" s="29"/>
      <c r="K55" s="29"/>
      <c r="L55" s="2383"/>
      <c r="M55" s="29"/>
      <c r="N55" s="29"/>
      <c r="O55" s="29"/>
      <c r="P55" s="11"/>
      <c r="Q55" s="11"/>
    </row>
    <row r="56" spans="1:22" customFormat="1" ht="20.25" x14ac:dyDescent="0.3">
      <c r="A56" s="789" t="s">
        <v>3704</v>
      </c>
      <c r="B56" s="785"/>
      <c r="C56" s="56" t="str">
        <f>IF(kursovoy!B500=1,"Комбайновая выемка с индивидуальной крепью",IF(kursovoy!B500=2,"Струговая выемка с индивидуальной крепью",IF(kursovoy!B500=3,"Комбайновая выемка с механизированной крепью","Струговая выемка с механизированной крепью")))</f>
        <v>Струговая выемка с механизированной крепью</v>
      </c>
      <c r="D56" s="11"/>
      <c r="E56" s="11"/>
      <c r="F56" s="11"/>
      <c r="G56" s="11"/>
      <c r="H56" s="11"/>
      <c r="I56" s="11"/>
      <c r="J56" s="29"/>
      <c r="K56" s="29"/>
      <c r="L56" s="29"/>
      <c r="M56" s="29"/>
      <c r="N56" s="29"/>
      <c r="O56" s="29"/>
      <c r="P56" s="11"/>
      <c r="Q56" s="11"/>
    </row>
    <row r="57" spans="1:22" customFormat="1" ht="15.75" x14ac:dyDescent="0.25">
      <c r="A57" s="950" t="s">
        <v>3706</v>
      </c>
      <c r="B57" s="1124">
        <v>100</v>
      </c>
      <c r="C57" s="1124">
        <v>150</v>
      </c>
      <c r="D57" s="1124">
        <v>200</v>
      </c>
      <c r="E57" s="1124">
        <v>250</v>
      </c>
      <c r="F57" s="1124">
        <v>300</v>
      </c>
      <c r="G57" s="11"/>
      <c r="H57" s="11"/>
      <c r="I57" s="11"/>
      <c r="J57" s="29"/>
      <c r="K57" s="29"/>
      <c r="L57" s="29"/>
      <c r="M57" s="29"/>
      <c r="N57" s="29"/>
      <c r="O57" s="29"/>
      <c r="P57" s="11"/>
      <c r="Q57" s="11"/>
    </row>
    <row r="58" spans="1:22" customFormat="1" ht="14.25" x14ac:dyDescent="0.2">
      <c r="A58" s="839" t="s">
        <v>3705</v>
      </c>
      <c r="B58" s="1133">
        <f>B59/B60</f>
        <v>0</v>
      </c>
      <c r="C58" s="1133">
        <f>C59/C60</f>
        <v>0</v>
      </c>
      <c r="D58" s="1133">
        <f>D59/D60</f>
        <v>0</v>
      </c>
      <c r="E58" s="1133">
        <f>E59/E60</f>
        <v>0</v>
      </c>
      <c r="F58" s="1133">
        <f>F59/F60</f>
        <v>0</v>
      </c>
      <c r="G58" s="11"/>
      <c r="H58" s="29"/>
      <c r="I58" s="1130"/>
      <c r="J58" s="1130"/>
      <c r="K58" s="1130"/>
      <c r="L58" s="1130"/>
      <c r="M58" s="1130"/>
      <c r="N58" s="29"/>
      <c r="O58" s="29"/>
      <c r="P58" s="11"/>
      <c r="Q58" s="11"/>
    </row>
    <row r="59" spans="1:22" customFormat="1" ht="14.25" x14ac:dyDescent="0.2">
      <c r="A59" s="1134" t="s">
        <v>2879</v>
      </c>
      <c r="B59" s="1133">
        <f>IF(OR(kursovoy!$B$500=1,kursovoy!$B$500=3),ком!C84,стр!B143)</f>
        <v>0</v>
      </c>
      <c r="C59" s="1133">
        <f>IF(OR(kursovoy!$B$500=1,kursovoy!$B$500=3),ком!D84,стр!C143)</f>
        <v>0</v>
      </c>
      <c r="D59" s="1133">
        <f>IF(OR(kursovoy!$B$500=1,kursovoy!$B$500=3),ком!E84,стр!D143)</f>
        <v>0</v>
      </c>
      <c r="E59" s="1133">
        <f>IF(OR(kursovoy!$B$500=1,kursovoy!$B$500=3),ком!F84,стр!E143)</f>
        <v>0</v>
      </c>
      <c r="F59" s="1133">
        <f>IF(OR(kursovoy!$B$500=1,kursovoy!$B$500=3),ком!G84,стр!F143)</f>
        <v>0</v>
      </c>
      <c r="G59" s="29"/>
      <c r="H59" s="29"/>
      <c r="I59" s="1130"/>
      <c r="J59" s="1130"/>
      <c r="K59" s="1130"/>
      <c r="L59" s="1130"/>
      <c r="M59" s="1130"/>
      <c r="N59" s="29"/>
      <c r="O59" s="29"/>
      <c r="P59" s="11"/>
      <c r="Q59" s="11"/>
    </row>
    <row r="60" spans="1:22" customFormat="1" ht="14.25" x14ac:dyDescent="0.2">
      <c r="A60" s="1134" t="s">
        <v>2659</v>
      </c>
      <c r="B60" s="1133">
        <f>IF(kursovoy!$B$216=1,2,3)</f>
        <v>3</v>
      </c>
      <c r="C60" s="1133">
        <f>IF(kursovoy!$B$216=1,2,3)</f>
        <v>3</v>
      </c>
      <c r="D60" s="1133">
        <f>IF(kursovoy!$B$216=1,2,3)</f>
        <v>3</v>
      </c>
      <c r="E60" s="1133">
        <f>IF(kursovoy!$B$216=1,2,3)</f>
        <v>3</v>
      </c>
      <c r="F60" s="1133">
        <f>IF(kursovoy!$B$216=1,2,3)</f>
        <v>3</v>
      </c>
      <c r="G60" s="11"/>
      <c r="H60" s="29"/>
      <c r="I60" s="541"/>
      <c r="J60" s="1"/>
      <c r="K60" s="29"/>
      <c r="L60" s="1"/>
      <c r="M60" s="29"/>
      <c r="N60" s="1"/>
      <c r="O60" s="29"/>
      <c r="P60" s="11"/>
      <c r="Q60" s="11"/>
    </row>
    <row r="61" spans="1:22" customFormat="1" ht="14.25" x14ac:dyDescent="0.2">
      <c r="A61" s="1135" t="str">
        <f>IF(OR(kursovoy!$B$500=1,kursovoy!$B$500=3),"Добыча из лавы за 1 цикл, т","")</f>
        <v/>
      </c>
      <c r="B61" s="1133" t="str">
        <f>IF(OR(kursovoy!$B$500=1,kursovoy!$B$500=3),ком!C89,"")</f>
        <v/>
      </c>
      <c r="C61" s="1133" t="str">
        <f>IF(OR(kursovoy!$B$500=1,kursovoy!$B$500=3),ком!D89,"")</f>
        <v/>
      </c>
      <c r="D61" s="1133" t="str">
        <f>IF(OR(kursovoy!$B$500=1,kursovoy!$B$500=3),ком!E89,"")</f>
        <v/>
      </c>
      <c r="E61" s="1133" t="str">
        <f>IF(OR(kursovoy!$B$500=1,kursovoy!$B$500=3),ком!F89,"")</f>
        <v/>
      </c>
      <c r="F61" s="1133" t="str">
        <f>IF(OR(kursovoy!$B$500=1,kursovoy!$B$500=3),ком!G89,"")</f>
        <v/>
      </c>
      <c r="G61" s="11"/>
      <c r="H61" s="29"/>
      <c r="I61" s="11"/>
      <c r="J61" s="29"/>
      <c r="K61" s="29"/>
      <c r="L61" s="29"/>
      <c r="M61" s="29"/>
      <c r="N61" s="29"/>
      <c r="O61" s="29"/>
      <c r="P61" s="11"/>
      <c r="Q61" s="11"/>
    </row>
    <row r="62" spans="1:22" customFormat="1" ht="14.25" x14ac:dyDescent="0.2">
      <c r="A62" s="2930"/>
      <c r="B62" s="2931"/>
      <c r="C62" s="2931"/>
      <c r="D62" s="2931"/>
      <c r="E62" s="2931"/>
      <c r="F62" s="2931"/>
      <c r="G62" s="11"/>
      <c r="H62" s="29"/>
      <c r="I62" s="11"/>
      <c r="J62" s="29"/>
      <c r="K62" s="29"/>
      <c r="L62" s="29"/>
      <c r="M62" s="29"/>
      <c r="N62" s="29"/>
      <c r="O62" s="29"/>
      <c r="P62" s="11"/>
      <c r="Q62" s="11"/>
    </row>
    <row r="63" spans="1:22" customFormat="1" ht="14.25" x14ac:dyDescent="0.2">
      <c r="A63" s="2456" t="s">
        <v>2426</v>
      </c>
      <c r="B63" s="1"/>
      <c r="C63" s="2931"/>
      <c r="D63" s="2931"/>
      <c r="E63" s="2931"/>
      <c r="F63" s="2931"/>
      <c r="G63" s="11"/>
      <c r="H63" s="29"/>
      <c r="I63" s="11"/>
      <c r="J63" s="29"/>
      <c r="K63" s="29"/>
      <c r="L63" s="29"/>
      <c r="M63" s="29"/>
      <c r="N63" s="29"/>
      <c r="O63" s="29"/>
      <c r="P63" s="11"/>
      <c r="Q63" s="11"/>
    </row>
    <row r="64" spans="1:22" customFormat="1" ht="14.25" x14ac:dyDescent="0.2">
      <c r="A64" s="1135" t="s">
        <v>608</v>
      </c>
      <c r="B64" s="1133" t="str">
        <f>kursovoy!B404</f>
        <v/>
      </c>
      <c r="C64" s="2931"/>
      <c r="D64" s="2931"/>
      <c r="E64" s="2931"/>
      <c r="F64" s="2931"/>
      <c r="G64" s="11"/>
      <c r="H64" s="29"/>
      <c r="I64" s="11"/>
      <c r="J64" s="29"/>
      <c r="K64" s="29"/>
      <c r="L64" s="29"/>
      <c r="M64" s="29"/>
      <c r="N64" s="29"/>
      <c r="O64" s="29"/>
      <c r="P64" s="11"/>
      <c r="Q64" s="11"/>
    </row>
    <row r="65" spans="1:17" customFormat="1" ht="14.25" x14ac:dyDescent="0.2">
      <c r="A65" s="1135" t="s">
        <v>3716</v>
      </c>
      <c r="B65" s="1133" t="str">
        <f>kursovoy!B205</f>
        <v/>
      </c>
      <c r="C65" s="2931"/>
      <c r="D65" s="2931"/>
      <c r="E65" s="2931"/>
      <c r="F65" s="2931"/>
      <c r="G65" s="11"/>
      <c r="H65" s="29"/>
      <c r="I65" s="11"/>
      <c r="J65" s="29"/>
      <c r="K65" s="29"/>
      <c r="L65" s="29"/>
      <c r="M65" s="29"/>
      <c r="N65" s="29"/>
      <c r="O65" s="29"/>
      <c r="P65" s="11"/>
      <c r="Q65" s="11"/>
    </row>
    <row r="66" spans="1:17" customFormat="1" ht="14.25" x14ac:dyDescent="0.2">
      <c r="A66" s="1135" t="s">
        <v>2427</v>
      </c>
      <c r="B66" s="1133" t="b">
        <f>IF(kursovoy!B500=1,kursovoy!B508,IF(kursovoy!B500=3,kursovoy!B516))</f>
        <v>0</v>
      </c>
      <c r="C66" s="2931"/>
      <c r="D66" s="2931"/>
      <c r="E66" s="2931"/>
      <c r="F66" s="2931"/>
      <c r="G66" s="11"/>
      <c r="H66" s="29"/>
      <c r="I66" s="11"/>
      <c r="J66" s="29"/>
      <c r="K66" s="29"/>
      <c r="L66" s="29"/>
      <c r="M66" s="29"/>
      <c r="N66" s="29"/>
      <c r="O66" s="29"/>
      <c r="P66" s="11"/>
      <c r="Q66" s="11"/>
    </row>
    <row r="67" spans="1:17" customFormat="1" ht="15" x14ac:dyDescent="0.25">
      <c r="A67" s="671"/>
      <c r="B67" s="951"/>
      <c r="C67" s="951"/>
      <c r="D67" s="951"/>
      <c r="E67" s="951"/>
      <c r="F67" s="951"/>
      <c r="G67" s="11"/>
      <c r="H67" s="11"/>
      <c r="I67" s="11"/>
      <c r="J67" s="1"/>
      <c r="K67" s="29"/>
      <c r="L67" s="29"/>
      <c r="M67" s="29"/>
      <c r="N67" s="29"/>
      <c r="O67" s="29"/>
      <c r="P67" s="11"/>
      <c r="Q67" s="11"/>
    </row>
    <row r="68" spans="1:17" customFormat="1" ht="15.75" x14ac:dyDescent="0.25">
      <c r="A68" s="393" t="s">
        <v>2384</v>
      </c>
      <c r="B68" s="951"/>
      <c r="C68" s="951"/>
      <c r="D68" s="951"/>
      <c r="E68" s="951"/>
      <c r="F68" s="951"/>
      <c r="G68" s="11"/>
      <c r="H68" s="11"/>
      <c r="I68" s="11"/>
      <c r="J68" s="1"/>
      <c r="K68" s="29"/>
      <c r="L68" s="29"/>
      <c r="M68" s="29"/>
      <c r="N68" s="29"/>
      <c r="O68" s="29"/>
      <c r="P68" s="11"/>
      <c r="Q68" s="11"/>
    </row>
    <row r="69" spans="1:17" customFormat="1" ht="15.75" x14ac:dyDescent="0.25">
      <c r="A69" s="393" t="s">
        <v>3778</v>
      </c>
      <c r="B69" s="951"/>
      <c r="C69" s="951"/>
      <c r="D69" s="951"/>
      <c r="E69" s="951"/>
      <c r="F69" s="951"/>
      <c r="G69" s="11"/>
      <c r="H69" s="11"/>
      <c r="I69" s="11"/>
      <c r="J69" s="29"/>
      <c r="K69" s="29"/>
      <c r="L69" s="29"/>
      <c r="M69" s="29"/>
      <c r="N69" s="29"/>
      <c r="O69" s="29"/>
      <c r="P69" s="11"/>
      <c r="Q69" s="11"/>
    </row>
    <row r="70" spans="1:17" customFormat="1" ht="15.75" x14ac:dyDescent="0.25">
      <c r="A70" s="393" t="s">
        <v>3779</v>
      </c>
      <c r="B70" s="951"/>
      <c r="C70" s="951"/>
      <c r="D70" s="951"/>
      <c r="E70" s="951"/>
      <c r="F70" s="951"/>
      <c r="G70" s="11"/>
      <c r="H70" s="11"/>
      <c r="I70" s="11"/>
      <c r="J70" s="29"/>
      <c r="K70" s="29"/>
      <c r="L70" s="29"/>
      <c r="M70" s="29"/>
      <c r="N70" s="29"/>
      <c r="O70" s="29"/>
      <c r="P70" s="11"/>
      <c r="Q70" s="11"/>
    </row>
    <row r="71" spans="1:17" customFormat="1" ht="15.75" x14ac:dyDescent="0.25">
      <c r="A71" s="393" t="s">
        <v>4369</v>
      </c>
      <c r="B71" s="951"/>
      <c r="C71" s="951"/>
      <c r="D71" s="951"/>
      <c r="E71" s="951"/>
      <c r="F71" s="951"/>
      <c r="G71" s="11"/>
      <c r="H71" s="11"/>
      <c r="I71" s="11"/>
      <c r="J71" s="29"/>
      <c r="K71" s="29"/>
      <c r="L71" s="29"/>
      <c r="M71" s="29"/>
      <c r="N71" s="29"/>
      <c r="O71" s="29"/>
      <c r="P71" s="11"/>
      <c r="Q71" s="11"/>
    </row>
    <row r="72" spans="1:17" customFormat="1" ht="15.75" x14ac:dyDescent="0.25">
      <c r="A72" s="393" t="s">
        <v>4370</v>
      </c>
      <c r="B72" s="951"/>
      <c r="C72" s="951"/>
      <c r="D72" s="951"/>
      <c r="E72" s="951"/>
      <c r="F72" s="951"/>
      <c r="G72" s="11"/>
      <c r="H72" s="11"/>
      <c r="I72" s="11"/>
      <c r="J72" s="29"/>
      <c r="K72" s="29"/>
      <c r="L72" s="29"/>
      <c r="M72" s="29"/>
      <c r="N72" s="29"/>
      <c r="O72" s="29"/>
      <c r="P72" s="11"/>
      <c r="Q72" s="11"/>
    </row>
    <row r="73" spans="1:17" customFormat="1" ht="15.75" x14ac:dyDescent="0.25">
      <c r="A73" s="393" t="s">
        <v>4371</v>
      </c>
      <c r="B73" s="951"/>
      <c r="C73" s="951"/>
      <c r="D73" s="951"/>
      <c r="E73" s="951"/>
      <c r="F73" s="951"/>
      <c r="G73" s="11"/>
      <c r="H73" s="11"/>
      <c r="I73" s="11"/>
      <c r="J73" s="29"/>
      <c r="K73" s="29"/>
      <c r="L73" s="29"/>
      <c r="M73" s="29"/>
      <c r="N73" s="29"/>
      <c r="O73" s="29"/>
      <c r="P73" s="11"/>
      <c r="Q73" s="11"/>
    </row>
    <row r="74" spans="1:17" customFormat="1" ht="15.75" x14ac:dyDescent="0.25">
      <c r="A74" s="393" t="s">
        <v>4372</v>
      </c>
      <c r="B74" s="951"/>
      <c r="C74" s="951"/>
      <c r="D74" s="951"/>
      <c r="E74" s="951"/>
      <c r="F74" s="951"/>
      <c r="G74" s="11"/>
      <c r="H74" s="11"/>
      <c r="I74" s="11"/>
      <c r="J74" s="29"/>
      <c r="K74" s="29"/>
      <c r="L74" s="29"/>
      <c r="M74" s="29"/>
      <c r="N74" s="29"/>
      <c r="O74" s="29"/>
      <c r="P74" s="11"/>
      <c r="Q74" s="11"/>
    </row>
    <row r="75" spans="1:17" customFormat="1" ht="15.75" x14ac:dyDescent="0.25">
      <c r="A75" s="393" t="s">
        <v>4106</v>
      </c>
      <c r="B75" s="951"/>
      <c r="C75" s="951"/>
      <c r="D75" s="951"/>
      <c r="E75" s="951"/>
      <c r="F75" s="951"/>
      <c r="G75" s="11"/>
      <c r="H75" s="11"/>
      <c r="I75" s="11"/>
      <c r="J75" s="29"/>
      <c r="K75" s="29"/>
      <c r="L75" s="29"/>
      <c r="M75" s="29"/>
      <c r="N75" s="29"/>
      <c r="O75" s="29"/>
      <c r="P75" s="11"/>
      <c r="Q75" s="11"/>
    </row>
    <row r="76" spans="1:17" customFormat="1" ht="15.75" x14ac:dyDescent="0.25">
      <c r="A76" s="393" t="s">
        <v>4107</v>
      </c>
      <c r="B76" s="951"/>
      <c r="C76" s="951"/>
      <c r="D76" s="951"/>
      <c r="E76" s="951"/>
      <c r="F76" s="951"/>
      <c r="G76" s="11"/>
      <c r="H76" s="11"/>
      <c r="I76" s="11"/>
      <c r="J76" s="29"/>
      <c r="K76" s="29"/>
      <c r="L76" s="1"/>
      <c r="M76" s="1"/>
      <c r="N76" s="29"/>
      <c r="O76" s="29"/>
      <c r="P76" s="11"/>
      <c r="Q76" s="11"/>
    </row>
    <row r="77" spans="1:17" customFormat="1" ht="18.75" x14ac:dyDescent="0.3">
      <c r="A77" s="952"/>
      <c r="B77" s="951"/>
      <c r="C77" s="951"/>
      <c r="D77" s="951"/>
      <c r="E77" s="951"/>
      <c r="F77" s="951"/>
      <c r="G77" s="11"/>
      <c r="H77" s="11"/>
      <c r="I77" s="11"/>
      <c r="J77" s="29"/>
      <c r="K77" s="29"/>
      <c r="L77" s="29"/>
      <c r="M77" s="29"/>
      <c r="N77" s="29"/>
      <c r="O77" s="29"/>
      <c r="P77" s="11"/>
      <c r="Q77" s="11"/>
    </row>
    <row r="78" spans="1:17" customFormat="1" ht="15" x14ac:dyDescent="0.25">
      <c r="A78" s="464"/>
      <c r="B78" s="951"/>
      <c r="C78" s="951"/>
      <c r="D78" s="951"/>
      <c r="E78" s="951"/>
      <c r="F78" s="951"/>
      <c r="G78" s="11"/>
      <c r="H78" s="11"/>
      <c r="I78" s="11"/>
      <c r="J78" s="29"/>
      <c r="K78" s="29"/>
      <c r="L78" s="29"/>
      <c r="M78" s="29"/>
      <c r="N78" s="29"/>
      <c r="O78" s="29"/>
      <c r="P78" s="11"/>
      <c r="Q78" s="11"/>
    </row>
    <row r="79" spans="1:17" customFormat="1" ht="15.75" x14ac:dyDescent="0.25">
      <c r="A79" s="393" t="s">
        <v>1209</v>
      </c>
      <c r="B79" s="951"/>
      <c r="C79" s="951"/>
      <c r="D79" s="951"/>
      <c r="E79" s="951"/>
      <c r="F79" s="951"/>
      <c r="G79" s="11"/>
      <c r="H79" s="11"/>
      <c r="I79" s="11"/>
      <c r="J79" s="29"/>
      <c r="K79" s="29"/>
      <c r="L79" s="29"/>
      <c r="M79" s="29"/>
      <c r="N79" s="29"/>
      <c r="O79" s="29"/>
      <c r="P79" s="11"/>
      <c r="Q79" s="11"/>
    </row>
    <row r="80" spans="1:17" customFormat="1" ht="87.75" customHeight="1" x14ac:dyDescent="0.2">
      <c r="A80" s="4597" t="e">
        <f>kursovoy!A819</f>
        <v>#VALUE!</v>
      </c>
      <c r="B80" s="4598"/>
      <c r="C80" s="4598"/>
      <c r="D80" s="4598"/>
      <c r="E80" s="4598"/>
      <c r="F80" s="4598"/>
      <c r="G80" s="4598"/>
      <c r="H80" s="4599"/>
      <c r="I80" s="11"/>
      <c r="J80" s="29"/>
      <c r="K80" s="29"/>
      <c r="L80" s="29"/>
      <c r="M80" s="29"/>
      <c r="N80" s="29"/>
      <c r="O80" s="29"/>
      <c r="P80" s="11"/>
      <c r="Q80" s="11"/>
    </row>
    <row r="81" spans="1:18" customFormat="1" ht="18" customHeight="1" x14ac:dyDescent="0.2">
      <c r="A81" s="2932"/>
      <c r="B81" s="2933"/>
      <c r="C81" s="2933"/>
      <c r="D81" s="2933"/>
      <c r="E81" s="2933"/>
      <c r="F81" s="2933"/>
      <c r="G81" s="2933"/>
      <c r="H81" s="2933"/>
      <c r="I81" s="11"/>
      <c r="J81" s="29"/>
      <c r="K81" s="29"/>
      <c r="L81" s="29"/>
      <c r="M81" s="29"/>
      <c r="N81" s="29"/>
      <c r="O81" s="29"/>
      <c r="P81" s="11"/>
      <c r="Q81" s="11"/>
    </row>
    <row r="82" spans="1:18" customFormat="1" ht="15.75" x14ac:dyDescent="0.25">
      <c r="A82" s="393" t="s">
        <v>2428</v>
      </c>
      <c r="B82" s="951"/>
      <c r="C82" s="951"/>
      <c r="D82" s="951"/>
      <c r="E82" s="951"/>
      <c r="F82" s="951"/>
      <c r="G82" s="11"/>
      <c r="H82" s="11"/>
      <c r="I82" s="11"/>
      <c r="J82" s="29"/>
      <c r="K82" s="29"/>
      <c r="L82" s="29"/>
      <c r="M82" s="29"/>
      <c r="N82" s="29"/>
      <c r="O82" s="29"/>
      <c r="P82" s="11"/>
      <c r="Q82" s="11"/>
    </row>
    <row r="83" spans="1:18" customFormat="1" ht="15.75" x14ac:dyDescent="0.25">
      <c r="A83" s="1104" t="s">
        <v>2424</v>
      </c>
      <c r="B83" s="951"/>
      <c r="C83" s="951"/>
      <c r="D83" s="951"/>
      <c r="E83" s="951"/>
      <c r="F83" s="951"/>
      <c r="G83" s="11"/>
      <c r="H83" s="11"/>
      <c r="I83" s="11"/>
      <c r="J83" s="29"/>
      <c r="K83" s="29"/>
      <c r="L83" s="29"/>
      <c r="M83" s="29"/>
      <c r="N83" s="29"/>
      <c r="O83" s="29"/>
      <c r="P83" s="11"/>
      <c r="Q83" s="11"/>
    </row>
    <row r="84" spans="1:18" customFormat="1" ht="15.75" x14ac:dyDescent="0.25">
      <c r="A84" s="1104" t="s">
        <v>2425</v>
      </c>
      <c r="B84" s="951"/>
      <c r="C84" s="951"/>
      <c r="D84" s="951"/>
      <c r="E84" s="951"/>
      <c r="F84" s="951"/>
      <c r="G84" s="11"/>
      <c r="H84" s="11"/>
      <c r="I84" s="11"/>
      <c r="J84" s="29"/>
      <c r="K84" s="29"/>
      <c r="L84" s="29"/>
      <c r="M84" s="29"/>
      <c r="N84" s="29"/>
      <c r="O84" s="29"/>
      <c r="P84" s="11"/>
      <c r="Q84" s="11"/>
    </row>
    <row r="85" spans="1:18" customFormat="1" ht="15" x14ac:dyDescent="0.25">
      <c r="A85" s="2456" t="s">
        <v>5129</v>
      </c>
      <c r="B85" s="951"/>
      <c r="C85" s="951"/>
      <c r="D85" s="951"/>
      <c r="E85" s="951"/>
      <c r="F85" s="951"/>
      <c r="G85" s="11"/>
      <c r="H85" s="11"/>
      <c r="I85" s="11"/>
      <c r="J85" s="29"/>
      <c r="K85" s="29"/>
      <c r="L85" s="29"/>
      <c r="M85" s="29"/>
      <c r="N85" s="29"/>
      <c r="O85" s="29"/>
      <c r="P85" s="11"/>
      <c r="Q85" s="11"/>
    </row>
    <row r="86" spans="1:18" customFormat="1" x14ac:dyDescent="0.2">
      <c r="A86" s="4023" t="s">
        <v>3315</v>
      </c>
      <c r="B86" s="4022">
        <v>100</v>
      </c>
      <c r="C86" s="4022">
        <v>150</v>
      </c>
      <c r="D86" s="4022">
        <v>200</v>
      </c>
      <c r="E86" s="4022">
        <v>250</v>
      </c>
      <c r="F86" s="4022">
        <v>300</v>
      </c>
      <c r="G86" s="510"/>
      <c r="H86" s="510"/>
      <c r="I86" s="1"/>
      <c r="J86" s="29"/>
      <c r="K86" s="29"/>
      <c r="L86" s="29"/>
      <c r="M86" s="29"/>
      <c r="N86" s="29"/>
      <c r="O86" s="29"/>
      <c r="P86" s="11"/>
      <c r="Q86" s="11"/>
    </row>
    <row r="87" spans="1:18" customFormat="1" x14ac:dyDescent="0.2">
      <c r="A87" s="4024" t="s">
        <v>1315</v>
      </c>
      <c r="B87" s="794" t="e">
        <f>IF(I286="","",IF($V$52=0,((I344/194)^1.94)*((I345/1440)^-1.67)*((I316/B86)^-0.67)*(I322^-0.67)*(I336^-1.67)*(I338^-1.67),0))</f>
        <v>#VALUE!</v>
      </c>
      <c r="C87" s="794" t="e">
        <f>IF(J286="","",IF($V$52=0,((J344/194)^1.94)*((J345/1440)^-1.67)*((J316/C86)^-0.67)*(J322^-0.67)*(J336^-1.67)*(J338^-1.67),0))</f>
        <v>#VALUE!</v>
      </c>
      <c r="D87" s="794" t="e">
        <f>IF(K286="","",IF($V$52=0,((K344/194)^1.94)*((K345/1440)^-1.67)*((K316/D86)^-0.67)*(K322^-0.67)*(K336^-1.67)*(K338^-1.67),0))</f>
        <v>#VALUE!</v>
      </c>
      <c r="E87" s="794" t="e">
        <f>IF(L286="","",IF($V$52=0,((L344/194)^1.94)*((L345/1440)^-1.67)*((L316/E86)^-0.67)*(L322^-0.67)*(L336^-1.67)*(L338^-1.67),0))</f>
        <v>#VALUE!</v>
      </c>
      <c r="F87" s="794" t="e">
        <f>IF(M286="","",IF($V$52=0,((M344/194)^1.94)*((M345/1440)^-1.67)*((M316/F86)^-0.67)*(M322^-0.67)*(M336^-1.67)*(M338^-1.67),0))</f>
        <v>#VALUE!</v>
      </c>
      <c r="G87" s="510"/>
      <c r="H87" s="510"/>
      <c r="I87" s="1"/>
      <c r="J87" s="29"/>
      <c r="K87" s="29"/>
      <c r="L87" s="29"/>
      <c r="M87" s="29"/>
      <c r="N87" s="29"/>
      <c r="O87" s="29"/>
      <c r="P87" s="11"/>
      <c r="Q87" s="11"/>
    </row>
    <row r="88" spans="1:18" customFormat="1" x14ac:dyDescent="0.2">
      <c r="A88" s="4023" t="s">
        <v>1316</v>
      </c>
      <c r="B88" s="824">
        <f>B59</f>
        <v>0</v>
      </c>
      <c r="C88" s="824">
        <f>C59</f>
        <v>0</v>
      </c>
      <c r="D88" s="824">
        <f>D59</f>
        <v>0</v>
      </c>
      <c r="E88" s="824">
        <f>E59</f>
        <v>0</v>
      </c>
      <c r="F88" s="824">
        <f>F59</f>
        <v>0</v>
      </c>
      <c r="G88" s="510"/>
      <c r="H88" s="510"/>
      <c r="J88" s="29"/>
      <c r="K88" s="29"/>
      <c r="L88" s="29"/>
      <c r="M88" s="29"/>
      <c r="N88" s="29"/>
      <c r="O88" s="29"/>
      <c r="P88" s="11"/>
      <c r="Q88" s="11"/>
    </row>
    <row r="89" spans="1:18" customFormat="1" ht="15" x14ac:dyDescent="0.25">
      <c r="A89" s="464"/>
      <c r="B89" s="951"/>
      <c r="C89" s="951"/>
      <c r="D89" s="951"/>
      <c r="E89" s="951"/>
      <c r="F89" s="951"/>
      <c r="G89" s="11"/>
      <c r="H89" s="11"/>
      <c r="I89" s="11"/>
      <c r="J89" s="29"/>
      <c r="K89" s="29"/>
      <c r="L89" s="29"/>
      <c r="M89" s="29"/>
      <c r="N89" s="29"/>
      <c r="O89" s="29"/>
      <c r="P89" s="11"/>
      <c r="Q89" s="11"/>
    </row>
    <row r="90" spans="1:18" customFormat="1" ht="15" x14ac:dyDescent="0.25">
      <c r="A90" s="464" t="s">
        <v>4506</v>
      </c>
      <c r="B90" s="951"/>
      <c r="C90" s="951"/>
      <c r="D90" s="951"/>
      <c r="E90" s="951"/>
      <c r="F90" s="951"/>
      <c r="G90" s="11"/>
      <c r="H90" s="11"/>
      <c r="I90" s="11"/>
      <c r="J90" s="29"/>
      <c r="K90" s="29"/>
      <c r="L90" s="1"/>
      <c r="M90" s="1"/>
      <c r="N90" s="29"/>
      <c r="O90" s="29"/>
      <c r="P90" s="11"/>
      <c r="Q90" s="11"/>
    </row>
    <row r="91" spans="1:18" customFormat="1" x14ac:dyDescent="0.2">
      <c r="A91" s="1"/>
      <c r="B91" s="1"/>
      <c r="C91" s="1"/>
      <c r="D91" s="1"/>
      <c r="E91" s="1"/>
      <c r="F91" s="1"/>
      <c r="G91" s="1"/>
      <c r="H91" s="1"/>
      <c r="I91" s="1"/>
      <c r="J91" s="29"/>
      <c r="K91" s="29"/>
      <c r="L91" s="29"/>
      <c r="M91" s="29"/>
      <c r="N91" s="29"/>
      <c r="O91" s="29"/>
      <c r="P91" s="11"/>
      <c r="Q91" s="11"/>
    </row>
    <row r="92" spans="1:18" customFormat="1" x14ac:dyDescent="0.2">
      <c r="A92" s="1"/>
      <c r="B92" s="1"/>
      <c r="C92" s="1"/>
      <c r="D92" s="1"/>
      <c r="E92" s="1"/>
      <c r="F92" s="1"/>
      <c r="G92" s="1"/>
      <c r="H92" s="1"/>
      <c r="I92" s="1"/>
      <c r="J92" s="29"/>
      <c r="K92" s="29"/>
      <c r="L92" s="29"/>
      <c r="M92" s="29"/>
      <c r="N92" s="29"/>
      <c r="O92" s="29"/>
      <c r="P92" s="11"/>
      <c r="Q92" s="11"/>
    </row>
    <row r="93" spans="1:18" customFormat="1" x14ac:dyDescent="0.2">
      <c r="A93" s="1"/>
      <c r="B93" s="1"/>
      <c r="C93" s="1"/>
      <c r="D93" s="1"/>
      <c r="E93" s="1"/>
      <c r="F93" s="1"/>
      <c r="G93" s="1"/>
      <c r="H93" s="1"/>
      <c r="I93" s="1"/>
      <c r="J93" s="29"/>
      <c r="K93" s="29"/>
      <c r="L93" s="29"/>
      <c r="M93" s="29"/>
      <c r="N93" s="29"/>
      <c r="O93" s="29"/>
      <c r="P93" s="11"/>
      <c r="Q93" s="11"/>
    </row>
    <row r="94" spans="1:18" customFormat="1" ht="56.25" customHeight="1" x14ac:dyDescent="0.2">
      <c r="A94" s="1"/>
      <c r="B94" s="1"/>
      <c r="C94" s="1"/>
      <c r="D94" s="1"/>
      <c r="E94" s="1"/>
      <c r="F94" s="1"/>
      <c r="G94" s="1"/>
      <c r="H94" s="1"/>
      <c r="I94" s="1"/>
      <c r="J94" s="29"/>
      <c r="K94" s="29"/>
      <c r="L94" s="29"/>
      <c r="M94" s="29"/>
      <c r="N94" s="29"/>
      <c r="O94" s="29"/>
      <c r="P94" s="11"/>
      <c r="Q94" s="11"/>
    </row>
    <row r="95" spans="1:18" customFormat="1" x14ac:dyDescent="0.2">
      <c r="A95" s="1"/>
      <c r="B95" s="1"/>
      <c r="C95" s="1"/>
      <c r="D95" s="1"/>
      <c r="E95" s="1"/>
      <c r="F95" s="1"/>
      <c r="G95" s="1"/>
      <c r="H95" s="1"/>
      <c r="I95" s="1"/>
      <c r="J95" s="1"/>
      <c r="K95" s="1"/>
      <c r="L95" s="1"/>
      <c r="M95" s="1"/>
      <c r="N95" s="1"/>
      <c r="O95" s="1"/>
      <c r="P95" s="1"/>
      <c r="Q95" s="1"/>
      <c r="R95" s="1"/>
    </row>
    <row r="96" spans="1:18" customFormat="1" x14ac:dyDescent="0.2">
      <c r="A96" s="1"/>
      <c r="B96" s="1"/>
      <c r="C96" s="1"/>
      <c r="D96" s="1"/>
      <c r="E96" s="1"/>
      <c r="F96" s="1"/>
      <c r="G96" s="1"/>
      <c r="H96" s="1"/>
      <c r="I96" s="1"/>
      <c r="J96" s="1"/>
      <c r="K96" s="1"/>
      <c r="L96" s="1"/>
      <c r="M96" s="1"/>
      <c r="N96" s="1"/>
      <c r="O96" s="1"/>
      <c r="P96" s="1"/>
      <c r="Q96" s="1"/>
      <c r="R96" s="1"/>
    </row>
    <row r="97" spans="1:23" customFormat="1" x14ac:dyDescent="0.2">
      <c r="A97" s="1"/>
      <c r="B97" s="1"/>
      <c r="C97" s="1"/>
      <c r="D97" s="1"/>
      <c r="E97" s="1"/>
      <c r="F97" s="1"/>
      <c r="G97" s="1"/>
      <c r="H97" s="1"/>
      <c r="I97" s="1"/>
      <c r="J97" s="1"/>
      <c r="K97" s="1"/>
      <c r="L97" s="1"/>
      <c r="M97" s="1"/>
      <c r="N97" s="1"/>
      <c r="O97" s="1"/>
      <c r="P97" s="1"/>
      <c r="Q97" s="1"/>
      <c r="R97" s="1"/>
    </row>
    <row r="98" spans="1:23" customFormat="1" x14ac:dyDescent="0.2">
      <c r="A98" s="1"/>
      <c r="B98" s="1"/>
      <c r="C98" s="1"/>
      <c r="D98" s="1"/>
      <c r="E98" s="1"/>
      <c r="F98" s="1"/>
      <c r="G98" s="1"/>
      <c r="H98" s="1"/>
      <c r="I98" s="1"/>
      <c r="J98" s="1"/>
      <c r="K98" s="1"/>
      <c r="L98" s="1"/>
      <c r="M98" s="1"/>
      <c r="N98" s="1"/>
      <c r="O98" s="1"/>
      <c r="P98" s="1"/>
      <c r="Q98" s="1"/>
      <c r="R98" s="1"/>
      <c r="S98" s="1"/>
      <c r="T98" s="12" t="s">
        <v>1630</v>
      </c>
      <c r="U98" s="12" t="s">
        <v>1631</v>
      </c>
      <c r="V98" s="213" t="s">
        <v>1632</v>
      </c>
      <c r="W98" s="361" t="s">
        <v>1633</v>
      </c>
    </row>
    <row r="100" spans="1:23" customFormat="1" x14ac:dyDescent="0.2">
      <c r="A100" s="1"/>
      <c r="B100" s="1"/>
      <c r="C100" s="1"/>
      <c r="D100" s="1"/>
      <c r="E100" s="1"/>
      <c r="F100" s="1"/>
      <c r="G100" s="1"/>
      <c r="H100" s="1"/>
      <c r="I100" s="1"/>
      <c r="J100" s="1"/>
      <c r="K100" s="1"/>
      <c r="L100" s="1"/>
      <c r="M100" s="1"/>
      <c r="N100" s="1"/>
      <c r="O100" s="1"/>
      <c r="P100" s="1"/>
      <c r="Q100" s="1"/>
      <c r="R100" s="1"/>
    </row>
    <row r="101" spans="1:23" customFormat="1" x14ac:dyDescent="0.2">
      <c r="A101" s="1"/>
      <c r="B101" s="1"/>
      <c r="C101" s="1"/>
      <c r="D101" s="1"/>
      <c r="E101" s="1"/>
      <c r="F101" s="1"/>
      <c r="G101" s="1"/>
      <c r="H101" s="1"/>
      <c r="I101" s="1"/>
      <c r="J101" s="1"/>
      <c r="K101" s="1"/>
      <c r="L101" s="1"/>
      <c r="M101" s="1"/>
      <c r="N101" s="1"/>
      <c r="O101" s="1"/>
      <c r="P101" s="1"/>
      <c r="Q101" s="1"/>
      <c r="R101" s="1"/>
    </row>
    <row r="102" spans="1:23" customFormat="1" x14ac:dyDescent="0.2">
      <c r="A102" s="1"/>
      <c r="B102" s="1"/>
      <c r="C102" s="1"/>
      <c r="D102" s="1"/>
      <c r="E102" s="1"/>
      <c r="F102" s="1"/>
      <c r="G102" s="1"/>
      <c r="H102" s="1"/>
      <c r="I102" s="1"/>
      <c r="J102" s="1"/>
      <c r="K102" s="1"/>
      <c r="L102" s="1"/>
      <c r="M102" s="1"/>
      <c r="N102" s="1"/>
      <c r="O102" s="1"/>
      <c r="P102" s="1"/>
      <c r="Q102" s="1"/>
      <c r="R102" s="1"/>
    </row>
    <row r="103" spans="1:23" customFormat="1" x14ac:dyDescent="0.2">
      <c r="A103" s="1"/>
      <c r="B103" s="1"/>
      <c r="C103" s="1"/>
      <c r="D103" s="1"/>
      <c r="E103" s="1"/>
      <c r="F103" s="1"/>
      <c r="G103" s="1"/>
      <c r="H103" s="1"/>
      <c r="I103" s="1"/>
      <c r="J103" s="29"/>
      <c r="K103" s="29"/>
      <c r="L103" s="29"/>
      <c r="M103" s="29"/>
      <c r="N103" s="29"/>
      <c r="O103" s="29"/>
      <c r="P103" s="11"/>
      <c r="Q103" s="11"/>
    </row>
    <row r="104" spans="1:23" customFormat="1" x14ac:dyDescent="0.2">
      <c r="A104" s="1"/>
      <c r="B104" s="1"/>
      <c r="C104" s="1"/>
      <c r="D104" s="1"/>
      <c r="E104" s="1"/>
      <c r="F104" s="1"/>
      <c r="G104" s="1"/>
      <c r="H104" s="1"/>
      <c r="I104" s="1"/>
      <c r="J104" s="29"/>
      <c r="K104" s="29"/>
      <c r="L104" s="29"/>
      <c r="M104" s="29"/>
      <c r="N104" s="29"/>
      <c r="O104" s="29"/>
      <c r="P104" s="11"/>
      <c r="Q104" s="11"/>
    </row>
    <row r="105" spans="1:23" customFormat="1" x14ac:dyDescent="0.2">
      <c r="A105" s="1"/>
      <c r="B105" s="1"/>
      <c r="C105" s="1"/>
      <c r="D105" s="1"/>
      <c r="E105" s="1"/>
      <c r="F105" s="1"/>
      <c r="G105" s="1"/>
      <c r="H105" s="1"/>
      <c r="I105" s="1"/>
      <c r="J105" s="29"/>
      <c r="K105" s="29"/>
      <c r="L105" s="29"/>
      <c r="M105" s="29"/>
      <c r="N105" s="29"/>
      <c r="O105" s="29"/>
      <c r="P105" s="11"/>
      <c r="Q105" s="11"/>
    </row>
    <row r="106" spans="1:23" customFormat="1" ht="15" x14ac:dyDescent="0.2">
      <c r="A106" s="1136" t="s">
        <v>387</v>
      </c>
      <c r="B106" s="1"/>
      <c r="C106" s="1"/>
      <c r="D106" s="1"/>
      <c r="E106" s="1"/>
      <c r="F106" s="1"/>
      <c r="G106" s="1"/>
      <c r="H106" s="1"/>
      <c r="I106" s="1"/>
      <c r="J106" s="1"/>
      <c r="K106" s="29"/>
      <c r="L106" s="29"/>
      <c r="M106" s="29"/>
      <c r="N106" s="29"/>
      <c r="O106" s="29"/>
      <c r="P106" s="11"/>
      <c r="Q106" s="11"/>
    </row>
    <row r="107" spans="1:23" customFormat="1" ht="15" x14ac:dyDescent="0.2">
      <c r="A107" s="1136" t="s">
        <v>1317</v>
      </c>
      <c r="B107" s="1"/>
      <c r="C107" s="1"/>
      <c r="D107" s="1"/>
      <c r="E107" s="1"/>
      <c r="F107" s="1"/>
      <c r="G107" s="1"/>
      <c r="H107" s="1"/>
      <c r="I107" s="1"/>
      <c r="J107" s="1"/>
      <c r="K107" s="1"/>
      <c r="L107" s="1"/>
      <c r="M107" s="1"/>
      <c r="N107" s="1"/>
      <c r="O107" s="1"/>
      <c r="P107" s="1"/>
      <c r="Q107" s="1"/>
      <c r="R107" s="1"/>
    </row>
    <row r="108" spans="1:23" customFormat="1" ht="15" x14ac:dyDescent="0.2">
      <c r="A108" s="1070" t="s">
        <v>4391</v>
      </c>
      <c r="B108" s="1"/>
      <c r="C108" s="1"/>
      <c r="D108" s="1"/>
      <c r="E108" s="1"/>
      <c r="F108" s="1"/>
      <c r="G108" s="1"/>
      <c r="H108" s="1"/>
      <c r="I108" s="1"/>
      <c r="J108" s="1"/>
      <c r="K108" s="1"/>
      <c r="L108" s="1"/>
      <c r="M108" s="1"/>
      <c r="N108" s="1"/>
      <c r="O108" s="1"/>
      <c r="P108" s="1"/>
      <c r="Q108" s="1"/>
      <c r="R108" s="1"/>
    </row>
    <row r="109" spans="1:23" customFormat="1" ht="15" x14ac:dyDescent="0.2">
      <c r="A109" s="1983" t="e">
        <f>IF(AND(B87&lt;B88,F87&lt;F88),"Имеет место первый случай !",IF(AND(B87&gt;B88,F87&gt;F88),"Имеет место первый случай","Имеет место второй случай !"))</f>
        <v>#VALUE!</v>
      </c>
      <c r="B109" s="1"/>
      <c r="C109" s="1"/>
      <c r="D109" s="1"/>
      <c r="E109" s="1"/>
      <c r="F109" s="1"/>
      <c r="G109" s="1"/>
      <c r="H109" s="362" t="e">
        <f>IF(AND(B87&lt;B88,F87&lt;F88),1,IF(AND(B87&gt;B88,F87&gt;F88),1,2))</f>
        <v>#VALUE!</v>
      </c>
      <c r="I109" s="1"/>
      <c r="J109" s="1"/>
      <c r="K109" s="1"/>
      <c r="L109" s="1"/>
      <c r="M109" s="1"/>
      <c r="N109" s="1"/>
      <c r="O109" s="1"/>
      <c r="P109" s="1"/>
      <c r="Q109" s="1"/>
      <c r="R109" s="1"/>
    </row>
    <row r="110" spans="1:23" customFormat="1" ht="15" x14ac:dyDescent="0.2">
      <c r="A110" s="1052" t="e">
        <f>IF(H109=2,"Необходимо определьться с длиной лавы и установить ограничивающий фактор !",IF(AND(H109=1,B87&lt;B88),"Ограничивающий фактор - проветриваеие !","Ограничивающий фактор - механизиция !"))</f>
        <v>#VALUE!</v>
      </c>
      <c r="B110" s="1"/>
      <c r="C110" s="1"/>
      <c r="D110" s="1"/>
      <c r="E110" s="1"/>
      <c r="F110" s="1"/>
      <c r="G110" s="1"/>
      <c r="H110" s="1"/>
      <c r="I110" s="1"/>
      <c r="J110" s="1"/>
      <c r="K110" s="1"/>
      <c r="L110" s="1"/>
      <c r="M110" s="1"/>
      <c r="N110" s="1"/>
      <c r="O110" s="1"/>
      <c r="P110" s="1"/>
      <c r="Q110" s="1"/>
      <c r="R110" s="1"/>
    </row>
    <row r="111" spans="1:23" customFormat="1" ht="15" x14ac:dyDescent="0.2">
      <c r="A111" s="4025" t="e">
        <f>IF(H109=1,"-----------------------------","    В зависимости от мощности пласта, длины механизированного комплекса в поставке, необходимо определиться, ")</f>
        <v>#VALUE!</v>
      </c>
      <c r="B111" s="1"/>
      <c r="C111" s="1"/>
      <c r="D111" s="1"/>
      <c r="E111" s="1"/>
      <c r="F111" s="1"/>
      <c r="G111" s="1"/>
      <c r="H111" s="1"/>
      <c r="I111" s="1"/>
      <c r="J111" s="1"/>
      <c r="K111" s="239"/>
      <c r="L111" s="239"/>
      <c r="M111" s="239"/>
      <c r="N111" s="239"/>
      <c r="O111" s="239"/>
      <c r="P111" s="239"/>
      <c r="Q111" s="1"/>
      <c r="R111" s="1"/>
    </row>
    <row r="112" spans="1:23" customFormat="1" ht="15" x14ac:dyDescent="0.2">
      <c r="A112" s="4025" t="e">
        <f>IF(H109=1,"------------------------------------------.","какой фактор в данных условиях является ограничивающим.")</f>
        <v>#VALUE!</v>
      </c>
      <c r="B112" s="1"/>
      <c r="C112" s="1"/>
      <c r="D112" s="1"/>
      <c r="E112" s="1"/>
      <c r="F112" s="1"/>
      <c r="G112" s="1"/>
      <c r="H112" s="1"/>
      <c r="I112" s="1"/>
      <c r="J112" s="1"/>
      <c r="K112" s="29"/>
      <c r="L112" s="29"/>
      <c r="M112" s="29"/>
      <c r="N112" s="29"/>
      <c r="O112" s="29"/>
      <c r="P112" s="11"/>
      <c r="Q112" s="11"/>
    </row>
    <row r="113" spans="1:17" customFormat="1" ht="15.75" x14ac:dyDescent="0.25">
      <c r="A113" s="821" t="s">
        <v>1333</v>
      </c>
      <c r="B113" s="1"/>
      <c r="C113" s="1"/>
      <c r="D113" s="1"/>
      <c r="E113" s="1"/>
      <c r="F113" s="1"/>
      <c r="G113" s="1"/>
      <c r="H113" s="1"/>
      <c r="I113" s="1"/>
      <c r="J113" s="1"/>
      <c r="K113" s="29"/>
      <c r="L113" s="29"/>
      <c r="M113" s="29"/>
      <c r="N113" s="29"/>
      <c r="O113" s="29"/>
      <c r="P113" s="11"/>
      <c r="Q113" s="11"/>
    </row>
    <row r="114" spans="1:17" customFormat="1" ht="15.75" x14ac:dyDescent="0.25">
      <c r="A114" s="825" t="s">
        <v>1334</v>
      </c>
      <c r="B114" s="1"/>
      <c r="C114" s="1"/>
      <c r="D114" s="1"/>
      <c r="E114" s="1"/>
      <c r="F114" s="1"/>
      <c r="G114" s="1"/>
      <c r="H114" s="1"/>
      <c r="I114" s="1"/>
      <c r="J114" s="1"/>
      <c r="K114" s="29"/>
      <c r="L114" s="29"/>
      <c r="M114" s="29"/>
      <c r="N114" s="29"/>
      <c r="O114" s="29"/>
      <c r="P114" s="11"/>
      <c r="Q114" s="11"/>
    </row>
    <row r="115" spans="1:17" customFormat="1" ht="15.75" x14ac:dyDescent="0.25">
      <c r="A115" s="825" t="s">
        <v>1620</v>
      </c>
      <c r="B115" s="1"/>
      <c r="C115" s="1"/>
      <c r="D115" s="1"/>
      <c r="E115" s="1"/>
      <c r="F115" s="1"/>
      <c r="G115" s="1"/>
      <c r="H115" s="1"/>
      <c r="I115" s="1"/>
      <c r="J115" s="1"/>
      <c r="K115" s="29"/>
      <c r="L115" s="29"/>
      <c r="M115" s="29"/>
      <c r="N115" s="29"/>
      <c r="O115" s="29"/>
      <c r="P115" s="11"/>
      <c r="Q115" s="11"/>
    </row>
    <row r="116" spans="1:17" customFormat="1" ht="15.75" x14ac:dyDescent="0.25">
      <c r="A116" s="825" t="s">
        <v>2461</v>
      </c>
      <c r="B116" s="1"/>
      <c r="C116" s="1"/>
      <c r="D116" s="1"/>
      <c r="E116" s="1"/>
      <c r="F116" s="1"/>
      <c r="G116" s="1"/>
      <c r="H116" s="1"/>
      <c r="I116" s="1"/>
      <c r="J116" s="1"/>
      <c r="K116" s="29"/>
      <c r="L116" s="29"/>
      <c r="M116" s="29"/>
      <c r="N116" s="29"/>
      <c r="O116" s="29"/>
      <c r="P116" s="11"/>
      <c r="Q116" s="11"/>
    </row>
    <row r="117" spans="1:17" customFormat="1" ht="15.75" x14ac:dyDescent="0.25">
      <c r="A117" s="825" t="s">
        <v>2462</v>
      </c>
      <c r="B117" s="1"/>
      <c r="C117" s="1"/>
      <c r="D117" s="1"/>
      <c r="E117" s="1"/>
      <c r="F117" s="1"/>
      <c r="G117" s="1"/>
      <c r="H117" s="1"/>
      <c r="I117" s="1"/>
      <c r="J117" s="1"/>
      <c r="K117" s="29"/>
      <c r="L117" s="29"/>
      <c r="M117" s="29"/>
      <c r="N117" s="29"/>
      <c r="O117" s="29"/>
      <c r="P117" s="11"/>
      <c r="Q117" s="11"/>
    </row>
    <row r="118" spans="1:17" customFormat="1" ht="15.75" x14ac:dyDescent="0.25">
      <c r="A118" s="825" t="s">
        <v>2463</v>
      </c>
      <c r="B118" s="1"/>
      <c r="C118" s="1"/>
      <c r="D118" s="1"/>
      <c r="E118" s="1"/>
      <c r="F118" s="1"/>
      <c r="G118" s="1"/>
      <c r="H118" s="1"/>
      <c r="I118" s="1"/>
      <c r="J118" s="1"/>
      <c r="K118" s="29"/>
      <c r="L118" s="29"/>
      <c r="M118" s="29"/>
      <c r="N118" s="29"/>
      <c r="O118" s="29"/>
      <c r="P118" s="11"/>
      <c r="Q118" s="11"/>
    </row>
    <row r="119" spans="1:17" customFormat="1" ht="15" x14ac:dyDescent="0.2">
      <c r="A119" s="1136" t="s">
        <v>6545</v>
      </c>
      <c r="B119" s="1"/>
      <c r="C119" s="1"/>
      <c r="D119" s="1"/>
      <c r="E119" s="1"/>
      <c r="F119" s="1"/>
      <c r="G119" s="1"/>
      <c r="H119" s="1"/>
      <c r="I119" s="1"/>
      <c r="J119" s="1"/>
      <c r="K119" s="29"/>
      <c r="L119" s="29"/>
      <c r="M119" s="29"/>
      <c r="N119" s="29"/>
      <c r="O119" s="29"/>
      <c r="P119" s="11"/>
      <c r="Q119" s="11"/>
    </row>
    <row r="120" spans="1:17" customFormat="1" ht="15" x14ac:dyDescent="0.2">
      <c r="A120" s="1136" t="s">
        <v>6554</v>
      </c>
      <c r="B120" s="1"/>
      <c r="C120" s="1"/>
      <c r="D120" s="1"/>
      <c r="E120" s="1"/>
      <c r="F120" s="1"/>
      <c r="G120" s="1"/>
      <c r="H120" s="1"/>
      <c r="I120" s="1"/>
      <c r="J120" s="1"/>
      <c r="K120" s="29"/>
      <c r="L120" s="29"/>
      <c r="M120" s="29"/>
      <c r="N120" s="29"/>
      <c r="O120" s="29"/>
      <c r="P120" s="11"/>
      <c r="Q120" s="11"/>
    </row>
    <row r="121" spans="1:17" customFormat="1" ht="14.25" x14ac:dyDescent="0.2">
      <c r="A121" s="841" t="s">
        <v>1164</v>
      </c>
      <c r="B121" s="1"/>
      <c r="C121" s="1"/>
      <c r="D121" s="1"/>
      <c r="E121" s="1"/>
      <c r="F121" s="1"/>
      <c r="G121" s="1"/>
      <c r="H121" s="1"/>
      <c r="I121" s="1"/>
      <c r="J121" s="1"/>
      <c r="K121" s="1"/>
      <c r="L121" s="1"/>
      <c r="M121" s="1"/>
      <c r="N121" s="1"/>
      <c r="O121" s="1"/>
      <c r="P121" s="1"/>
      <c r="Q121" s="1"/>
    </row>
    <row r="122" spans="1:17" customFormat="1" ht="14.25" x14ac:dyDescent="0.2">
      <c r="A122" s="841" t="s">
        <v>1165</v>
      </c>
      <c r="B122" s="1"/>
      <c r="C122" s="1"/>
      <c r="D122" s="1"/>
      <c r="E122" s="1"/>
      <c r="F122" s="1"/>
      <c r="G122" s="1"/>
      <c r="H122" s="1"/>
      <c r="I122" s="1"/>
      <c r="J122" s="1"/>
      <c r="K122" s="1"/>
      <c r="L122" s="1"/>
      <c r="M122" s="1"/>
      <c r="N122" s="1"/>
      <c r="O122" s="1"/>
      <c r="P122" s="1"/>
      <c r="Q122" s="1"/>
    </row>
    <row r="123" spans="1:17" customFormat="1" ht="14.25" x14ac:dyDescent="0.2">
      <c r="A123" s="4027" t="s">
        <v>1166</v>
      </c>
      <c r="B123" s="1"/>
      <c r="C123" s="1"/>
      <c r="D123" s="1"/>
      <c r="E123" s="1"/>
      <c r="F123" s="1"/>
      <c r="G123" s="1"/>
      <c r="H123" s="1"/>
      <c r="I123" s="1"/>
      <c r="J123" s="1"/>
      <c r="K123" s="29"/>
      <c r="L123" s="29"/>
      <c r="M123" s="29"/>
      <c r="N123" s="29"/>
      <c r="O123" s="29"/>
      <c r="P123" s="11"/>
      <c r="Q123" s="11"/>
    </row>
    <row r="124" spans="1:17" customFormat="1" ht="14.25" x14ac:dyDescent="0.2">
      <c r="A124" s="4027" t="s">
        <v>1167</v>
      </c>
      <c r="B124" s="1"/>
      <c r="C124" s="1"/>
      <c r="D124" s="1"/>
      <c r="E124" s="1"/>
      <c r="F124" s="1"/>
      <c r="G124" s="1"/>
      <c r="H124" s="1"/>
      <c r="I124" s="1"/>
      <c r="J124" s="1"/>
      <c r="K124" s="29"/>
      <c r="L124" s="29"/>
      <c r="M124" s="29"/>
      <c r="N124" s="29"/>
      <c r="O124" s="29"/>
      <c r="P124" s="11"/>
      <c r="Q124" s="11"/>
    </row>
    <row r="125" spans="1:17" customFormat="1" ht="15" x14ac:dyDescent="0.2">
      <c r="A125" s="4027" t="s">
        <v>1168</v>
      </c>
      <c r="B125" s="953" t="str">
        <f>kursovoy!B215</f>
        <v/>
      </c>
      <c r="C125" s="1" t="s">
        <v>3777</v>
      </c>
      <c r="D125" s="1"/>
      <c r="E125" s="1"/>
      <c r="F125" s="1"/>
      <c r="G125" s="1"/>
      <c r="H125" s="1"/>
      <c r="I125" s="1"/>
      <c r="J125" s="1"/>
      <c r="K125" s="29"/>
      <c r="L125" s="29"/>
      <c r="M125" s="29"/>
      <c r="N125" s="29"/>
      <c r="O125" s="29"/>
      <c r="P125" s="11"/>
      <c r="Q125" s="11"/>
    </row>
    <row r="126" spans="1:17" customFormat="1" ht="28.5" x14ac:dyDescent="0.2">
      <c r="A126" s="4028" t="s">
        <v>1169</v>
      </c>
      <c r="B126" s="953" t="str">
        <f>kursovoy!B237</f>
        <v/>
      </c>
      <c r="C126" s="1" t="s">
        <v>1170</v>
      </c>
      <c r="D126" s="1"/>
      <c r="E126" s="1"/>
      <c r="F126" s="1"/>
      <c r="G126" s="1"/>
      <c r="H126" s="1"/>
      <c r="I126" s="1"/>
      <c r="J126" s="1"/>
      <c r="K126" s="29"/>
      <c r="L126" s="29"/>
      <c r="M126" s="29"/>
      <c r="N126" s="29"/>
      <c r="O126" s="29"/>
      <c r="P126" s="11"/>
      <c r="Q126" s="11"/>
    </row>
    <row r="127" spans="1:17" customFormat="1" ht="15" x14ac:dyDescent="0.2">
      <c r="A127" s="4026" t="s">
        <v>6546</v>
      </c>
      <c r="B127" s="953"/>
      <c r="C127" s="1"/>
      <c r="D127" s="1"/>
      <c r="E127" s="1"/>
      <c r="F127" s="1"/>
      <c r="G127" s="1"/>
      <c r="H127" s="1"/>
      <c r="I127" s="1"/>
      <c r="J127" s="1"/>
      <c r="K127" s="29"/>
      <c r="L127" s="29"/>
      <c r="M127" s="29"/>
      <c r="N127" s="29"/>
      <c r="O127" s="29"/>
      <c r="P127" s="11"/>
      <c r="Q127" s="11"/>
    </row>
    <row r="128" spans="1:17" customFormat="1" ht="15" x14ac:dyDescent="0.2">
      <c r="A128" s="4026" t="s">
        <v>6548</v>
      </c>
      <c r="B128" s="953"/>
      <c r="C128" s="1"/>
      <c r="D128" s="1"/>
      <c r="E128" s="1"/>
      <c r="F128" s="1"/>
      <c r="G128" s="1"/>
      <c r="H128" s="1"/>
      <c r="I128" s="1"/>
      <c r="J128" s="1"/>
      <c r="K128" s="29"/>
      <c r="L128" s="29"/>
      <c r="M128" s="29"/>
      <c r="N128" s="29"/>
      <c r="O128" s="29"/>
      <c r="P128" s="11"/>
      <c r="Q128" s="11"/>
    </row>
    <row r="129" spans="1:24" customFormat="1" ht="15" x14ac:dyDescent="0.2">
      <c r="A129" s="4026" t="s">
        <v>6547</v>
      </c>
      <c r="B129" s="953"/>
      <c r="C129" s="1"/>
      <c r="D129" s="1"/>
      <c r="E129" s="1"/>
      <c r="F129" s="1"/>
      <c r="G129" s="1"/>
      <c r="H129" s="1"/>
      <c r="I129" s="1"/>
      <c r="J129" s="1"/>
      <c r="K129" s="29"/>
      <c r="L129" s="29"/>
      <c r="M129" s="29"/>
      <c r="N129" s="29"/>
      <c r="O129" s="29"/>
      <c r="P129" s="11"/>
      <c r="Q129" s="11"/>
    </row>
    <row r="130" spans="1:24" customFormat="1" ht="15" x14ac:dyDescent="0.2">
      <c r="A130" s="4026" t="s">
        <v>6553</v>
      </c>
      <c r="B130" s="4034" t="str">
        <f>IF(kursovoy!B817&gt;4,"В вашем случае схема проветривания лавы делает дегазацию выработанного пространства ненужной","В вашем случае дегазация выработанного пространства технически возможна")</f>
        <v>В вашем случае дегазация выработанного пространства технически возможна</v>
      </c>
      <c r="C130" s="1"/>
      <c r="D130" s="1"/>
      <c r="E130" s="1"/>
      <c r="F130" s="1"/>
      <c r="G130" s="1"/>
      <c r="H130" s="1"/>
      <c r="I130" s="1"/>
      <c r="J130" s="1"/>
      <c r="K130" s="29"/>
      <c r="L130" s="29"/>
      <c r="M130" s="29"/>
      <c r="N130" s="29"/>
      <c r="O130" s="29"/>
      <c r="P130" s="11"/>
      <c r="Q130" s="11"/>
    </row>
    <row r="131" spans="1:24" customFormat="1" ht="15" x14ac:dyDescent="0.2">
      <c r="A131" s="4026"/>
      <c r="B131" s="953"/>
      <c r="C131" s="1"/>
      <c r="D131" s="1"/>
      <c r="E131" s="1"/>
      <c r="F131" s="1"/>
      <c r="G131" s="1"/>
      <c r="H131" s="1"/>
      <c r="I131" s="1"/>
      <c r="J131" s="1"/>
      <c r="K131" s="29"/>
      <c r="L131" s="29"/>
      <c r="M131" s="29"/>
      <c r="N131" s="29"/>
      <c r="O131" s="29"/>
      <c r="P131" s="11"/>
      <c r="Q131" s="11"/>
    </row>
    <row r="132" spans="1:24" customFormat="1" ht="15" x14ac:dyDescent="0.2">
      <c r="A132" s="4026" t="s">
        <v>6549</v>
      </c>
      <c r="B132" s="953"/>
      <c r="C132" s="1"/>
      <c r="D132" s="1"/>
      <c r="E132" s="1"/>
      <c r="F132" s="1"/>
      <c r="G132" s="1"/>
      <c r="H132" s="1"/>
      <c r="I132" s="1"/>
      <c r="J132" s="1"/>
      <c r="K132" s="29"/>
      <c r="L132" s="29"/>
      <c r="M132" s="29"/>
      <c r="N132" s="29"/>
      <c r="O132" s="29"/>
      <c r="P132" s="11"/>
      <c r="Q132" s="11"/>
    </row>
    <row r="133" spans="1:24" customFormat="1" ht="15" x14ac:dyDescent="0.2">
      <c r="A133" s="4029" t="s">
        <v>386</v>
      </c>
      <c r="B133" s="11"/>
      <c r="C133" s="11"/>
      <c r="D133" s="1"/>
      <c r="E133" s="1"/>
      <c r="F133" s="506"/>
      <c r="G133" s="506"/>
      <c r="H133" s="506"/>
      <c r="I133" s="506"/>
      <c r="J133" s="506"/>
      <c r="K133" s="1"/>
      <c r="L133" s="29"/>
      <c r="M133" s="29"/>
      <c r="N133" s="29"/>
      <c r="O133" s="29"/>
      <c r="P133" s="11"/>
      <c r="Q133" s="11"/>
    </row>
    <row r="134" spans="1:24" customFormat="1" ht="15" x14ac:dyDescent="0.2">
      <c r="A134" s="4030" t="str">
        <f>IF(F133=1,"Принятая глубина дегазации пласта, доля единицы","Не вводить !")</f>
        <v>Не вводить !</v>
      </c>
      <c r="B134" s="29"/>
      <c r="C134" s="27"/>
      <c r="D134" s="1"/>
      <c r="E134" s="1"/>
      <c r="F134" s="507"/>
      <c r="G134" s="507"/>
      <c r="H134" s="507"/>
      <c r="I134" s="507"/>
      <c r="J134" s="507"/>
      <c r="K134" s="1"/>
      <c r="L134" s="29"/>
      <c r="M134" s="29"/>
      <c r="N134" s="29"/>
      <c r="O134" s="29"/>
      <c r="P134" s="11"/>
      <c r="Q134" s="11"/>
    </row>
    <row r="135" spans="1:24" customFormat="1" ht="15" x14ac:dyDescent="0.2">
      <c r="A135" s="4029" t="str">
        <f>IF(kursovoy!B817&gt;4,"-------------","Применить  дегазацию выработанного пространства (1 - Да, 0 - Нет)")</f>
        <v>Применить  дегазацию выработанного пространства (1 - Да, 0 - Нет)</v>
      </c>
      <c r="B135" s="11"/>
      <c r="C135" s="11"/>
      <c r="D135" s="1"/>
      <c r="E135" s="1"/>
      <c r="F135" s="507"/>
      <c r="G135" s="507"/>
      <c r="H135" s="507"/>
      <c r="I135" s="507"/>
      <c r="J135" s="507"/>
      <c r="K135" s="1264" t="e">
        <f>IF(AND(F135=1,kursovoy!B2281&gt;2),"При заданной схеме проветривания дегазация не влияет на нагрузку!","")</f>
        <v>#VALUE!</v>
      </c>
      <c r="L135" s="29"/>
      <c r="M135" s="29"/>
      <c r="N135" s="29"/>
      <c r="O135" s="29"/>
      <c r="P135" s="11"/>
      <c r="Q135" s="11"/>
    </row>
    <row r="136" spans="1:24" customFormat="1" ht="15" x14ac:dyDescent="0.2">
      <c r="A136" s="4029" t="str">
        <f>IF(kursovoy!B817&gt;4,"-------------",IF(F135=1,"Принятая глубина дегазации выработанного пространства, доля единицы","Не вводить !"))</f>
        <v>Не вводить !</v>
      </c>
      <c r="B136" s="29"/>
      <c r="C136" s="29"/>
      <c r="D136" s="1"/>
      <c r="E136" s="1"/>
      <c r="F136" s="507"/>
      <c r="G136" s="507"/>
      <c r="H136" s="507"/>
      <c r="I136" s="507"/>
      <c r="J136" s="507"/>
      <c r="K136" s="1"/>
      <c r="L136" s="29"/>
      <c r="M136" s="29"/>
      <c r="N136" s="29"/>
      <c r="O136" s="29"/>
      <c r="P136" s="11"/>
      <c r="Q136" s="11"/>
    </row>
    <row r="137" spans="1:24" customFormat="1" x14ac:dyDescent="0.2">
      <c r="A137" s="61"/>
      <c r="B137" s="29"/>
      <c r="C137" s="29"/>
      <c r="D137" s="510"/>
      <c r="E137" s="510"/>
      <c r="F137" s="510"/>
      <c r="G137" s="510"/>
      <c r="H137" s="510"/>
      <c r="I137" s="1"/>
      <c r="J137" s="1"/>
      <c r="K137" s="29"/>
      <c r="L137" s="29"/>
      <c r="M137" s="29"/>
      <c r="N137" s="29"/>
      <c r="O137" s="29"/>
      <c r="P137" s="11"/>
      <c r="Q137" s="11"/>
    </row>
    <row r="138" spans="1:24" customFormat="1" ht="15.75" x14ac:dyDescent="0.25">
      <c r="A138" s="10" t="s">
        <v>4010</v>
      </c>
      <c r="B138" s="29"/>
      <c r="C138" s="29"/>
      <c r="D138" s="510"/>
      <c r="E138" s="510"/>
      <c r="F138" s="510"/>
      <c r="G138" s="510"/>
      <c r="H138" s="510"/>
      <c r="I138" s="1"/>
      <c r="J138" s="1"/>
      <c r="K138" s="29"/>
      <c r="L138" s="29"/>
      <c r="M138" s="29"/>
      <c r="N138" s="29"/>
      <c r="O138" s="29"/>
      <c r="P138" s="11"/>
      <c r="Q138" s="11"/>
    </row>
    <row r="139" spans="1:24" customFormat="1" ht="26.25" customHeight="1" x14ac:dyDescent="0.2">
      <c r="A139" s="115" t="s">
        <v>3341</v>
      </c>
      <c r="B139" s="1"/>
      <c r="C139" s="1"/>
      <c r="D139" s="1"/>
      <c r="E139" s="1"/>
      <c r="F139" s="1"/>
      <c r="G139" s="1"/>
      <c r="H139" s="1"/>
      <c r="I139" s="1"/>
      <c r="J139" s="1"/>
      <c r="K139" s="1"/>
      <c r="L139" s="1"/>
      <c r="M139" s="1"/>
      <c r="N139" s="1"/>
      <c r="O139" s="1"/>
      <c r="P139" s="1"/>
      <c r="Q139" s="1"/>
      <c r="R139" s="1"/>
      <c r="X139" s="1"/>
    </row>
    <row r="140" spans="1:24" customFormat="1" ht="15.75" customHeight="1" x14ac:dyDescent="0.2">
      <c r="A140" s="1643" t="s">
        <v>3338</v>
      </c>
      <c r="B140" s="1"/>
      <c r="C140" s="1"/>
      <c r="D140" s="1"/>
      <c r="E140" s="1"/>
      <c r="F140" s="1"/>
      <c r="G140" s="1"/>
      <c r="H140" s="1"/>
      <c r="I140" s="1"/>
      <c r="J140" s="1"/>
      <c r="K140" s="1"/>
      <c r="L140" s="1"/>
      <c r="M140" s="1"/>
      <c r="N140" s="1"/>
      <c r="O140" s="1"/>
      <c r="P140" s="1"/>
      <c r="Q140" s="1"/>
      <c r="R140" s="1"/>
      <c r="X140" s="1"/>
    </row>
    <row r="141" spans="1:24" customFormat="1" ht="15.75" customHeight="1" x14ac:dyDescent="0.2">
      <c r="A141" s="4031" t="s">
        <v>3339</v>
      </c>
      <c r="B141" s="1"/>
      <c r="C141" s="1"/>
      <c r="D141" s="1"/>
      <c r="E141" s="1"/>
      <c r="F141" s="1"/>
      <c r="G141" s="1"/>
      <c r="H141" s="1"/>
      <c r="I141" s="1"/>
      <c r="J141" s="1"/>
      <c r="K141" s="1"/>
      <c r="L141" s="1"/>
      <c r="M141" s="1"/>
      <c r="N141" s="1"/>
      <c r="O141" s="1"/>
      <c r="P141" s="1"/>
      <c r="Q141" s="1"/>
      <c r="R141" s="1"/>
      <c r="X141" s="1"/>
    </row>
    <row r="142" spans="1:24" customFormat="1" ht="15" customHeight="1" x14ac:dyDescent="0.2">
      <c r="A142" s="4032" t="s">
        <v>3340</v>
      </c>
      <c r="B142" s="1"/>
      <c r="C142" s="1"/>
      <c r="D142" s="1"/>
      <c r="E142" s="1"/>
      <c r="F142" s="1"/>
      <c r="G142" s="1"/>
      <c r="H142" s="1"/>
      <c r="I142" s="1"/>
      <c r="J142" s="1"/>
      <c r="K142" s="1"/>
      <c r="L142" s="1"/>
      <c r="M142" s="1"/>
      <c r="N142" s="1"/>
      <c r="O142" s="1"/>
      <c r="P142" s="1"/>
      <c r="Q142" s="1"/>
      <c r="R142" s="1"/>
      <c r="X142" s="1"/>
    </row>
    <row r="143" spans="1:24" customFormat="1" ht="15.75" customHeight="1" x14ac:dyDescent="0.2">
      <c r="A143" s="115" t="s">
        <v>6550</v>
      </c>
      <c r="B143" s="1"/>
      <c r="C143" s="1"/>
      <c r="D143" s="1"/>
      <c r="E143" s="1"/>
      <c r="F143" s="1"/>
      <c r="G143" s="1"/>
      <c r="H143" s="1"/>
      <c r="I143" s="1"/>
      <c r="J143" s="1"/>
      <c r="K143" s="1"/>
      <c r="L143" s="1"/>
      <c r="M143" s="1"/>
      <c r="N143" s="1"/>
      <c r="O143" s="1"/>
      <c r="P143" s="1"/>
      <c r="Q143" s="1"/>
      <c r="R143" s="1"/>
      <c r="X143" s="1"/>
    </row>
    <row r="144" spans="1:24" customFormat="1" ht="15" customHeight="1" x14ac:dyDescent="0.2">
      <c r="A144" s="442" t="s">
        <v>6552</v>
      </c>
      <c r="B144" s="1"/>
      <c r="C144" s="1"/>
      <c r="D144" s="1"/>
      <c r="E144" s="1"/>
      <c r="F144" s="1"/>
      <c r="G144" s="1"/>
      <c r="H144" s="1"/>
      <c r="I144" s="1"/>
      <c r="J144" s="1"/>
      <c r="K144" s="1"/>
      <c r="L144" s="1"/>
      <c r="M144" s="1"/>
      <c r="N144" s="1"/>
      <c r="O144" s="1"/>
      <c r="P144" s="1"/>
      <c r="Q144" s="1"/>
      <c r="R144" s="1"/>
      <c r="X144" s="1"/>
    </row>
    <row r="145" spans="1:24" customFormat="1" ht="14.25" customHeight="1" x14ac:dyDescent="0.2">
      <c r="A145" s="4033" t="s">
        <v>6551</v>
      </c>
      <c r="B145" s="1"/>
      <c r="C145" s="1"/>
      <c r="D145" s="1"/>
      <c r="E145" s="1"/>
      <c r="F145" s="1"/>
      <c r="G145" s="1"/>
      <c r="H145" s="1"/>
      <c r="I145" s="1"/>
      <c r="J145" s="1"/>
      <c r="K145" s="1"/>
      <c r="L145" s="1"/>
      <c r="M145" s="1"/>
      <c r="N145" s="1"/>
      <c r="O145" s="1"/>
      <c r="P145" s="1"/>
      <c r="Q145" s="1"/>
      <c r="R145" s="1"/>
      <c r="X145" s="1"/>
    </row>
    <row r="146" spans="1:24" customFormat="1" x14ac:dyDescent="0.2">
      <c r="A146" s="1"/>
      <c r="B146" s="1"/>
      <c r="C146" s="1"/>
      <c r="D146" s="1"/>
      <c r="E146" s="1"/>
      <c r="F146" s="1"/>
      <c r="G146" s="1"/>
      <c r="H146" s="1"/>
      <c r="I146" s="1"/>
      <c r="J146" s="1"/>
      <c r="K146" s="1"/>
      <c r="L146" s="1"/>
      <c r="M146" s="1"/>
      <c r="N146" s="1"/>
      <c r="O146" s="1"/>
      <c r="P146" s="1"/>
      <c r="Q146" s="1"/>
      <c r="R146" s="1"/>
    </row>
    <row r="147" spans="1:24" customFormat="1" ht="43.5" customHeight="1" x14ac:dyDescent="0.25">
      <c r="A147" s="4600" t="s">
        <v>4346</v>
      </c>
      <c r="B147" s="4409"/>
      <c r="C147" s="4409"/>
      <c r="D147" s="4409"/>
      <c r="E147" s="4409"/>
      <c r="F147" s="4409"/>
      <c r="G147" s="507"/>
      <c r="H147" s="510"/>
      <c r="I147" s="1"/>
      <c r="J147" s="1"/>
      <c r="K147" s="1"/>
      <c r="L147" s="1"/>
      <c r="M147" s="1"/>
      <c r="N147" s="1"/>
      <c r="O147" s="1"/>
      <c r="P147" s="1"/>
      <c r="Q147" s="1"/>
      <c r="R147" s="1"/>
    </row>
    <row r="148" spans="1:24" customFormat="1" ht="18" x14ac:dyDescent="0.25">
      <c r="A148" s="2385" t="str">
        <f>IF(G147=1,"Переходите к строке","")</f>
        <v/>
      </c>
      <c r="B148" s="2384" t="str">
        <f>IF(G147=1,ROW(152:152),"")</f>
        <v/>
      </c>
      <c r="C148" s="29"/>
      <c r="D148" s="510"/>
      <c r="E148" s="510"/>
      <c r="F148" s="510"/>
      <c r="G148" s="510"/>
      <c r="H148" s="510"/>
      <c r="I148" s="1"/>
      <c r="J148" s="1"/>
      <c r="K148" s="1"/>
      <c r="L148" s="1"/>
      <c r="M148" s="1"/>
      <c r="N148" s="1"/>
      <c r="O148" s="1"/>
      <c r="P148" s="1"/>
      <c r="Q148" s="1"/>
      <c r="R148" s="1"/>
    </row>
    <row r="149" spans="1:24" customFormat="1" x14ac:dyDescent="0.2">
      <c r="A149" s="27"/>
      <c r="B149" s="29"/>
      <c r="C149" s="29"/>
      <c r="D149" s="510"/>
      <c r="E149" s="510"/>
      <c r="F149" s="510"/>
      <c r="G149" s="510"/>
      <c r="H149" s="510"/>
      <c r="I149" s="1"/>
      <c r="J149" s="1"/>
      <c r="K149" s="1"/>
      <c r="L149" s="1"/>
      <c r="M149" s="1"/>
      <c r="N149" s="1"/>
      <c r="O149" s="1"/>
      <c r="P149" s="1"/>
      <c r="Q149" s="1"/>
      <c r="R149" s="1"/>
    </row>
    <row r="150" spans="1:24" customFormat="1" x14ac:dyDescent="0.2">
      <c r="A150" s="2658" t="str">
        <f>IF(G147=2,"ПЕРЕХОДИТЕ К ОПИСАНИЮ НОВОГО ВАРИАНТА СИСТЕМЫ РАЗРАБОТКИ","")</f>
        <v/>
      </c>
      <c r="B150" s="1264"/>
      <c r="C150" s="1264"/>
      <c r="D150" s="2395"/>
      <c r="E150" s="2395"/>
      <c r="F150" s="510"/>
      <c r="G150" s="510"/>
      <c r="H150" s="510"/>
      <c r="I150" s="1"/>
      <c r="J150" s="1"/>
      <c r="K150" s="1"/>
      <c r="L150" s="1"/>
      <c r="M150" s="1"/>
      <c r="N150" s="1"/>
      <c r="O150" s="1"/>
      <c r="P150" s="1"/>
      <c r="Q150" s="1"/>
      <c r="R150" s="1"/>
    </row>
    <row r="151" spans="1:24" customFormat="1" x14ac:dyDescent="0.2">
      <c r="A151" s="27"/>
      <c r="B151" s="29"/>
      <c r="C151" s="29"/>
      <c r="D151" s="510"/>
      <c r="E151" s="510"/>
      <c r="F151" s="510"/>
      <c r="G151" s="510"/>
      <c r="H151" s="510"/>
      <c r="I151" s="1"/>
      <c r="J151" s="1"/>
      <c r="K151" s="1"/>
      <c r="L151" s="1"/>
      <c r="M151" s="1"/>
      <c r="N151" s="1"/>
      <c r="O151" s="1"/>
      <c r="P151" s="1"/>
      <c r="Q151" s="1"/>
      <c r="R151" s="1"/>
    </row>
    <row r="152" spans="1:24" customFormat="1" ht="60" x14ac:dyDescent="0.2">
      <c r="A152" s="1554" t="s">
        <v>939</v>
      </c>
      <c r="B152" s="793"/>
      <c r="C152" s="1"/>
      <c r="D152" s="1"/>
      <c r="E152" s="1"/>
      <c r="F152" s="1"/>
      <c r="G152" s="1"/>
      <c r="H152" s="1"/>
      <c r="I152" s="1"/>
      <c r="J152" s="1"/>
      <c r="K152" s="1"/>
      <c r="L152" s="1"/>
      <c r="M152" s="1"/>
      <c r="N152" s="1"/>
      <c r="O152" s="1"/>
      <c r="P152" s="1"/>
      <c r="Q152" s="1"/>
      <c r="R152" s="1"/>
    </row>
    <row r="153" spans="1:24" customFormat="1" ht="15.75" x14ac:dyDescent="0.25">
      <c r="A153" s="821"/>
      <c r="B153" s="1"/>
      <c r="C153" s="1"/>
      <c r="D153" s="1"/>
      <c r="E153" s="1"/>
      <c r="F153" s="1"/>
      <c r="G153" s="1"/>
      <c r="H153" s="1"/>
      <c r="I153" s="1"/>
      <c r="J153" s="1"/>
      <c r="K153" s="1"/>
      <c r="L153" s="1"/>
      <c r="M153" s="1"/>
      <c r="N153" s="1"/>
      <c r="O153" s="1"/>
      <c r="P153" s="1"/>
      <c r="Q153" s="1"/>
      <c r="R153" s="1"/>
    </row>
    <row r="154" spans="1:24" customFormat="1" ht="15.75" x14ac:dyDescent="0.25">
      <c r="A154" s="825" t="s">
        <v>4869</v>
      </c>
      <c r="B154" s="29"/>
      <c r="C154" s="29"/>
      <c r="D154" s="29"/>
      <c r="E154" s="29"/>
      <c r="F154" s="29"/>
      <c r="G154" s="29"/>
      <c r="H154" s="29"/>
      <c r="I154" s="820"/>
      <c r="J154" s="1"/>
      <c r="K154" s="1"/>
      <c r="L154" s="1"/>
      <c r="M154" s="1"/>
      <c r="N154" s="1"/>
      <c r="O154" s="1"/>
      <c r="P154" s="1"/>
      <c r="Q154" s="1"/>
      <c r="R154" s="1"/>
    </row>
    <row r="155" spans="1:24" customFormat="1" ht="15.75" x14ac:dyDescent="0.25">
      <c r="A155" s="825" t="s">
        <v>1126</v>
      </c>
      <c r="B155" s="29"/>
      <c r="C155" s="29"/>
      <c r="D155" s="29"/>
      <c r="E155" s="29"/>
      <c r="F155" s="14"/>
      <c r="G155" s="29"/>
      <c r="H155" s="29"/>
      <c r="I155" s="820"/>
      <c r="J155" s="1"/>
      <c r="K155" s="1"/>
      <c r="L155" s="1"/>
      <c r="M155" s="1"/>
      <c r="N155" s="1"/>
      <c r="O155" s="1"/>
      <c r="P155" s="1"/>
      <c r="Q155" s="1"/>
      <c r="R155" s="1"/>
    </row>
    <row r="156" spans="1:24" customFormat="1" ht="15.75" x14ac:dyDescent="0.25">
      <c r="A156" s="551" t="s">
        <v>1127</v>
      </c>
      <c r="B156" s="29"/>
      <c r="C156" s="29"/>
      <c r="D156" s="29"/>
      <c r="E156" s="29"/>
      <c r="F156" s="14"/>
      <c r="G156" s="29"/>
      <c r="H156" s="29"/>
      <c r="I156" s="820"/>
      <c r="J156" s="1"/>
      <c r="K156" s="1"/>
      <c r="L156" s="1"/>
      <c r="M156" s="1"/>
      <c r="N156" s="1"/>
      <c r="O156" s="1"/>
      <c r="P156" s="1"/>
      <c r="Q156" s="1"/>
      <c r="R156" s="1"/>
    </row>
    <row r="157" spans="1:24" customFormat="1" ht="15.75" x14ac:dyDescent="0.25">
      <c r="A157" s="821" t="s">
        <v>337</v>
      </c>
      <c r="B157" s="29"/>
      <c r="C157" s="29"/>
      <c r="D157" s="29"/>
      <c r="E157" s="29"/>
      <c r="F157" s="14"/>
      <c r="G157" s="29"/>
      <c r="H157" s="29"/>
      <c r="I157" s="820"/>
      <c r="J157" s="1"/>
      <c r="K157" s="1"/>
      <c r="L157" s="1"/>
      <c r="M157" s="1"/>
      <c r="N157" s="1"/>
      <c r="O157" s="1"/>
      <c r="P157" s="1"/>
      <c r="Q157" s="1"/>
      <c r="R157" s="1"/>
    </row>
    <row r="158" spans="1:24" customFormat="1" x14ac:dyDescent="0.2">
      <c r="A158" s="1"/>
      <c r="B158" s="1"/>
      <c r="C158" s="1"/>
      <c r="D158" s="1"/>
      <c r="E158" s="1"/>
      <c r="F158" s="1"/>
      <c r="G158" s="1"/>
      <c r="H158" s="1"/>
      <c r="I158" s="1"/>
      <c r="J158" s="1"/>
      <c r="K158" s="1"/>
      <c r="L158" s="1"/>
      <c r="M158" s="1"/>
      <c r="N158" s="1"/>
      <c r="O158" s="1"/>
      <c r="P158" s="1"/>
      <c r="Q158" s="1"/>
      <c r="R158" s="1"/>
    </row>
    <row r="159" spans="1:24" customFormat="1" x14ac:dyDescent="0.2">
      <c r="A159" s="1"/>
      <c r="B159" s="948" t="s">
        <v>5495</v>
      </c>
      <c r="C159" s="820"/>
      <c r="D159" s="820"/>
      <c r="E159" s="695"/>
      <c r="F159" s="29"/>
      <c r="G159" s="29"/>
      <c r="H159" s="1"/>
      <c r="I159" s="948" t="s">
        <v>5496</v>
      </c>
      <c r="J159" s="820"/>
      <c r="K159" s="820"/>
      <c r="L159" s="695"/>
      <c r="M159" s="29"/>
      <c r="N159" s="29"/>
      <c r="O159" s="1"/>
      <c r="P159" s="1"/>
      <c r="Q159" s="1"/>
      <c r="R159" s="1"/>
    </row>
    <row r="160" spans="1:24" customFormat="1" x14ac:dyDescent="0.2">
      <c r="A160" s="1"/>
      <c r="B160" s="1"/>
      <c r="C160" s="1"/>
      <c r="D160" s="1"/>
      <c r="E160" s="1"/>
      <c r="F160" s="1"/>
      <c r="G160" s="1"/>
      <c r="H160" s="1"/>
      <c r="I160" s="1"/>
      <c r="J160" s="1"/>
      <c r="K160" s="1"/>
      <c r="L160" s="1"/>
      <c r="M160" s="1"/>
      <c r="N160" s="1"/>
      <c r="O160" s="1"/>
      <c r="P160" s="1"/>
      <c r="Q160" s="1"/>
      <c r="R160" s="1"/>
    </row>
    <row r="161" spans="1:18" customFormat="1" x14ac:dyDescent="0.2">
      <c r="A161" s="1"/>
      <c r="B161" s="5" t="s">
        <v>5494</v>
      </c>
      <c r="C161" s="946">
        <v>100</v>
      </c>
      <c r="D161" s="946">
        <v>150</v>
      </c>
      <c r="E161" s="946">
        <v>200</v>
      </c>
      <c r="F161" s="946">
        <v>250</v>
      </c>
      <c r="G161" s="946">
        <v>300</v>
      </c>
      <c r="H161" s="1"/>
      <c r="I161" s="5" t="s">
        <v>5494</v>
      </c>
      <c r="J161" s="946">
        <f>B86</f>
        <v>100</v>
      </c>
      <c r="K161" s="946">
        <f>C86</f>
        <v>150</v>
      </c>
      <c r="L161" s="946">
        <f>D86</f>
        <v>200</v>
      </c>
      <c r="M161" s="946">
        <f>E86</f>
        <v>250</v>
      </c>
      <c r="N161" s="946">
        <f>F86</f>
        <v>300</v>
      </c>
      <c r="O161" s="1"/>
      <c r="P161" s="1"/>
      <c r="Q161" s="1"/>
      <c r="R161" s="1"/>
    </row>
    <row r="162" spans="1:18" customFormat="1" x14ac:dyDescent="0.2">
      <c r="A162" s="1"/>
      <c r="B162" s="5" t="s">
        <v>3703</v>
      </c>
      <c r="C162" s="947" t="e">
        <f>B87/B61</f>
        <v>#VALUE!</v>
      </c>
      <c r="D162" s="947" t="e">
        <f>C87/C61</f>
        <v>#VALUE!</v>
      </c>
      <c r="E162" s="947" t="e">
        <f>D87/D61</f>
        <v>#VALUE!</v>
      </c>
      <c r="F162" s="947" t="e">
        <f>E87/E61</f>
        <v>#VALUE!</v>
      </c>
      <c r="G162" s="947" t="e">
        <f>F87/F61</f>
        <v>#VALUE!</v>
      </c>
      <c r="H162" s="1"/>
      <c r="I162" s="5" t="s">
        <v>3703</v>
      </c>
      <c r="J162" s="947" t="e">
        <f>B88/B61</f>
        <v>#VALUE!</v>
      </c>
      <c r="K162" s="947" t="e">
        <f>C88/C61</f>
        <v>#VALUE!</v>
      </c>
      <c r="L162" s="947" t="e">
        <f>D88/D61</f>
        <v>#VALUE!</v>
      </c>
      <c r="M162" s="947" t="e">
        <f>E88/E61</f>
        <v>#VALUE!</v>
      </c>
      <c r="N162" s="947" t="e">
        <f>F88/F61</f>
        <v>#VALUE!</v>
      </c>
      <c r="O162" s="1"/>
      <c r="P162" s="1"/>
      <c r="Q162" s="1"/>
      <c r="R162" s="1"/>
    </row>
    <row r="163" spans="1:18" customFormat="1" x14ac:dyDescent="0.2">
      <c r="A163" s="1"/>
      <c r="B163" s="1"/>
      <c r="C163" s="1"/>
      <c r="D163" s="1"/>
      <c r="E163" s="1"/>
      <c r="F163" s="1"/>
      <c r="G163" s="1"/>
      <c r="H163" s="1"/>
      <c r="I163" s="1"/>
      <c r="J163" s="1"/>
      <c r="K163" s="1"/>
      <c r="L163" s="1"/>
      <c r="M163" s="1"/>
      <c r="N163" s="1"/>
      <c r="O163" s="1"/>
      <c r="P163" s="1"/>
      <c r="Q163" s="1"/>
      <c r="R163" s="1"/>
    </row>
    <row r="164" spans="1:18" customFormat="1" x14ac:dyDescent="0.2">
      <c r="A164" s="1"/>
      <c r="B164" s="1"/>
      <c r="C164" s="1"/>
      <c r="D164" s="1"/>
      <c r="E164" s="1"/>
      <c r="F164" s="1"/>
      <c r="G164" s="1"/>
      <c r="H164" s="1"/>
      <c r="I164" s="1"/>
      <c r="J164" s="1"/>
      <c r="K164" s="1"/>
      <c r="L164" s="1"/>
      <c r="M164" s="1"/>
      <c r="N164" s="1"/>
      <c r="O164" s="1"/>
      <c r="P164" s="1"/>
      <c r="Q164" s="1"/>
      <c r="R164" s="1"/>
    </row>
    <row r="165" spans="1:18" customFormat="1" x14ac:dyDescent="0.2">
      <c r="A165" s="1"/>
      <c r="B165" s="1"/>
      <c r="C165" s="1"/>
      <c r="D165" s="1"/>
      <c r="E165" s="1"/>
      <c r="F165" s="1"/>
      <c r="G165" s="1"/>
      <c r="H165" s="1"/>
      <c r="I165" s="1"/>
      <c r="J165" s="1"/>
      <c r="K165" s="2425"/>
      <c r="L165" s="2425"/>
      <c r="M165" s="2425"/>
      <c r="N165" s="2425"/>
      <c r="O165" s="2425"/>
      <c r="P165" s="1"/>
      <c r="Q165" s="1"/>
      <c r="R165" s="1"/>
    </row>
    <row r="166" spans="1:18" customFormat="1" x14ac:dyDescent="0.2">
      <c r="A166" s="1"/>
      <c r="B166" s="1"/>
      <c r="C166" s="1"/>
      <c r="D166" s="1"/>
      <c r="E166" s="1"/>
      <c r="F166" s="1"/>
      <c r="G166" s="1"/>
      <c r="H166" s="1"/>
      <c r="I166" s="1"/>
      <c r="J166" s="1"/>
      <c r="K166" s="1"/>
      <c r="L166" s="1"/>
      <c r="M166" s="1"/>
      <c r="N166" s="1"/>
      <c r="O166" s="1"/>
      <c r="P166" s="1"/>
      <c r="Q166" s="1"/>
      <c r="R166" s="1"/>
    </row>
    <row r="167" spans="1:18" customFormat="1" x14ac:dyDescent="0.2">
      <c r="A167" s="1"/>
      <c r="B167" s="1"/>
      <c r="C167" s="1"/>
      <c r="D167" s="1"/>
      <c r="E167" s="1"/>
      <c r="F167" s="1"/>
      <c r="G167" s="1"/>
      <c r="H167" s="1"/>
      <c r="I167" s="1"/>
      <c r="J167" s="1"/>
      <c r="K167" s="1"/>
      <c r="L167" s="1"/>
      <c r="M167" s="1"/>
      <c r="N167" s="1"/>
      <c r="O167" s="1"/>
      <c r="P167" s="1"/>
      <c r="Q167" s="1"/>
      <c r="R167" s="1"/>
    </row>
    <row r="168" spans="1:18" customFormat="1" x14ac:dyDescent="0.2">
      <c r="A168" s="1"/>
      <c r="B168" s="1"/>
      <c r="C168" s="1"/>
      <c r="D168" s="1"/>
      <c r="E168" s="1"/>
      <c r="F168" s="1"/>
      <c r="G168" s="1"/>
      <c r="H168" s="1"/>
      <c r="I168" s="1"/>
      <c r="J168" s="1"/>
      <c r="K168" s="1"/>
      <c r="L168" s="1"/>
      <c r="M168" s="1"/>
      <c r="N168" s="1"/>
      <c r="O168" s="1"/>
      <c r="P168" s="1"/>
      <c r="Q168" s="1"/>
      <c r="R168" s="1"/>
    </row>
    <row r="169" spans="1:18" customFormat="1" x14ac:dyDescent="0.2">
      <c r="A169" s="1"/>
      <c r="B169" s="1"/>
      <c r="C169" s="1"/>
      <c r="D169" s="1"/>
      <c r="E169" s="1"/>
      <c r="F169" s="1"/>
      <c r="G169" s="1"/>
      <c r="H169" s="1"/>
      <c r="I169" s="1"/>
      <c r="J169" s="1"/>
      <c r="K169" s="1"/>
      <c r="L169" s="1"/>
      <c r="M169" s="1"/>
      <c r="N169" s="1"/>
      <c r="O169" s="1"/>
      <c r="P169" s="1"/>
      <c r="Q169" s="1"/>
      <c r="R169" s="1"/>
    </row>
    <row r="170" spans="1:18" customFormat="1" x14ac:dyDescent="0.2">
      <c r="A170" s="1"/>
      <c r="B170" s="1"/>
      <c r="C170" s="1"/>
      <c r="D170" s="1"/>
      <c r="E170" s="1"/>
      <c r="F170" s="1"/>
      <c r="G170" s="1"/>
      <c r="H170" s="1"/>
      <c r="I170" s="1"/>
      <c r="J170" s="1"/>
      <c r="K170" s="1"/>
      <c r="L170" s="1"/>
      <c r="M170" s="1"/>
      <c r="N170" s="1"/>
      <c r="O170" s="1"/>
      <c r="P170" s="1"/>
      <c r="Q170" s="1"/>
      <c r="R170" s="1"/>
    </row>
    <row r="171" spans="1:18" customFormat="1" x14ac:dyDescent="0.2">
      <c r="A171" s="1"/>
      <c r="B171" s="1"/>
      <c r="C171" s="1"/>
      <c r="D171" s="1"/>
      <c r="E171" s="1"/>
      <c r="F171" s="1"/>
      <c r="G171" s="1"/>
      <c r="H171" s="1"/>
      <c r="I171" s="1"/>
      <c r="J171" s="1"/>
      <c r="K171" s="1"/>
      <c r="L171" s="1"/>
      <c r="M171" s="1"/>
      <c r="N171" s="1"/>
      <c r="O171" s="1"/>
      <c r="P171" s="1"/>
      <c r="Q171" s="1"/>
      <c r="R171" s="1"/>
    </row>
    <row r="172" spans="1:18" customFormat="1" x14ac:dyDescent="0.2">
      <c r="A172" s="1"/>
      <c r="B172" s="1"/>
      <c r="C172" s="1"/>
      <c r="D172" s="1"/>
      <c r="E172" s="1"/>
      <c r="F172" s="1"/>
      <c r="G172" s="1"/>
      <c r="H172" s="1"/>
      <c r="I172" s="1"/>
      <c r="J172" s="1"/>
      <c r="K172" s="1"/>
      <c r="L172" s="1"/>
      <c r="M172" s="1"/>
      <c r="N172" s="1"/>
      <c r="O172" s="1"/>
      <c r="P172" s="1"/>
      <c r="Q172" s="1"/>
      <c r="R172" s="1"/>
    </row>
    <row r="173" spans="1:18" customFormat="1" x14ac:dyDescent="0.2">
      <c r="A173" s="1"/>
      <c r="B173" s="1"/>
      <c r="C173" s="1"/>
      <c r="D173" s="1"/>
      <c r="E173" s="1"/>
      <c r="F173" s="1"/>
      <c r="G173" s="1"/>
      <c r="H173" s="1"/>
      <c r="I173" s="1"/>
      <c r="J173" s="1"/>
      <c r="K173" s="1"/>
      <c r="L173" s="1"/>
      <c r="M173" s="1"/>
      <c r="N173" s="1"/>
      <c r="O173" s="1"/>
      <c r="P173" s="1"/>
      <c r="Q173" s="1"/>
      <c r="R173" s="1"/>
    </row>
    <row r="174" spans="1:18" customFormat="1" x14ac:dyDescent="0.2">
      <c r="A174" s="1"/>
      <c r="B174" s="1"/>
      <c r="C174" s="1"/>
      <c r="D174" s="1"/>
      <c r="E174" s="1"/>
      <c r="F174" s="1"/>
      <c r="G174" s="1"/>
      <c r="H174" s="1"/>
      <c r="I174" s="1"/>
      <c r="J174" s="1"/>
      <c r="K174" s="1"/>
      <c r="L174" s="1"/>
      <c r="M174" s="1"/>
      <c r="N174" s="1"/>
      <c r="O174" s="1"/>
      <c r="P174" s="1"/>
      <c r="Q174" s="1"/>
      <c r="R174" s="1"/>
    </row>
    <row r="175" spans="1:18" customFormat="1" x14ac:dyDescent="0.2">
      <c r="A175" s="1"/>
      <c r="B175" s="1"/>
      <c r="C175" s="1"/>
      <c r="D175" s="1"/>
      <c r="E175" s="1"/>
      <c r="F175" s="1"/>
      <c r="G175" s="1"/>
      <c r="H175" s="1"/>
      <c r="I175" s="1"/>
      <c r="J175" s="1"/>
      <c r="K175" s="1"/>
      <c r="L175" s="1"/>
      <c r="M175" s="1"/>
      <c r="N175" s="1"/>
      <c r="O175" s="1"/>
      <c r="P175" s="1"/>
      <c r="Q175" s="1"/>
      <c r="R175" s="1"/>
    </row>
    <row r="176" spans="1:18" customFormat="1" x14ac:dyDescent="0.2">
      <c r="A176" s="1"/>
      <c r="B176" s="1"/>
      <c r="C176" s="1"/>
      <c r="D176" s="1"/>
      <c r="E176" s="1"/>
      <c r="F176" s="1"/>
      <c r="G176" s="1"/>
      <c r="H176" s="1"/>
      <c r="I176" s="1"/>
      <c r="J176" s="1"/>
      <c r="K176" s="1"/>
      <c r="L176" s="1"/>
      <c r="M176" s="1"/>
      <c r="N176" s="1"/>
      <c r="O176" s="1"/>
      <c r="P176" s="1"/>
      <c r="Q176" s="1"/>
      <c r="R176" s="1"/>
    </row>
    <row r="177" spans="1:18" customFormat="1" x14ac:dyDescent="0.2">
      <c r="A177" s="1"/>
      <c r="B177" s="1"/>
      <c r="C177" s="1"/>
      <c r="D177" s="1"/>
      <c r="E177" s="1"/>
      <c r="F177" s="1"/>
      <c r="G177" s="1"/>
      <c r="H177" s="1"/>
      <c r="I177" s="1"/>
      <c r="J177" s="1"/>
      <c r="K177" s="1"/>
      <c r="L177" s="1"/>
      <c r="M177" s="1"/>
      <c r="N177" s="1"/>
      <c r="O177" s="1"/>
      <c r="P177" s="1"/>
      <c r="Q177" s="1"/>
      <c r="R177" s="1"/>
    </row>
    <row r="178" spans="1:18" customFormat="1" x14ac:dyDescent="0.2">
      <c r="A178" s="1"/>
      <c r="B178" s="1"/>
      <c r="C178" s="1"/>
      <c r="D178" s="1"/>
      <c r="E178" s="1"/>
      <c r="F178" s="1"/>
      <c r="G178" s="1"/>
      <c r="H178" s="1"/>
      <c r="I178" s="1"/>
      <c r="J178" s="1"/>
      <c r="K178" s="1"/>
      <c r="L178" s="1"/>
      <c r="M178" s="1"/>
      <c r="N178" s="1"/>
      <c r="O178" s="1"/>
      <c r="P178" s="1"/>
      <c r="Q178" s="1"/>
      <c r="R178" s="1"/>
    </row>
    <row r="179" spans="1:18" customFormat="1" x14ac:dyDescent="0.2">
      <c r="A179" s="1"/>
      <c r="B179" s="1"/>
      <c r="C179" s="1"/>
      <c r="D179" s="1"/>
      <c r="E179" s="1"/>
      <c r="F179" s="1"/>
      <c r="G179" s="1"/>
      <c r="H179" s="1"/>
      <c r="I179" s="1"/>
      <c r="J179" s="1"/>
      <c r="K179" s="1"/>
      <c r="L179" s="1"/>
      <c r="M179" s="1"/>
      <c r="N179" s="1"/>
      <c r="O179" s="1"/>
      <c r="P179" s="1"/>
      <c r="Q179" s="1"/>
      <c r="R179" s="1"/>
    </row>
    <row r="180" spans="1:18" customFormat="1" x14ac:dyDescent="0.2">
      <c r="A180" s="1"/>
      <c r="B180" s="1"/>
      <c r="C180" s="1"/>
      <c r="D180" s="1"/>
      <c r="E180" s="1"/>
      <c r="F180" s="1"/>
      <c r="G180" s="1"/>
      <c r="H180" s="1"/>
      <c r="I180" s="1"/>
      <c r="J180" s="1"/>
      <c r="K180" s="1"/>
      <c r="L180" s="1"/>
      <c r="M180" s="1"/>
      <c r="N180" s="1"/>
      <c r="O180" s="1"/>
      <c r="P180" s="1"/>
      <c r="Q180" s="1"/>
      <c r="R180" s="1"/>
    </row>
    <row r="181" spans="1:18" customFormat="1" ht="15.75" x14ac:dyDescent="0.25">
      <c r="A181" s="821" t="s">
        <v>5418</v>
      </c>
      <c r="B181" s="1"/>
      <c r="C181" s="1"/>
      <c r="D181" s="1"/>
      <c r="E181" s="1"/>
      <c r="F181" s="1"/>
      <c r="G181" s="1"/>
      <c r="H181" s="1"/>
      <c r="I181" s="1"/>
      <c r="J181" s="1"/>
      <c r="K181" s="1"/>
      <c r="L181" s="1"/>
      <c r="M181" s="1"/>
      <c r="N181" s="1"/>
      <c r="O181" s="1"/>
      <c r="P181" s="1"/>
      <c r="Q181" s="1"/>
      <c r="R181" s="1"/>
    </row>
    <row r="182" spans="1:18" customFormat="1" ht="15.75" x14ac:dyDescent="0.25">
      <c r="A182" s="821" t="s">
        <v>5419</v>
      </c>
      <c r="B182" s="1"/>
      <c r="C182" s="1"/>
      <c r="D182" s="1"/>
      <c r="E182" s="1"/>
      <c r="F182" s="1"/>
      <c r="G182" s="1"/>
      <c r="H182" s="1"/>
      <c r="I182" s="1"/>
      <c r="J182" s="1"/>
      <c r="K182" s="1"/>
      <c r="L182" s="1"/>
      <c r="M182" s="1"/>
      <c r="N182" s="1"/>
      <c r="O182" s="1"/>
      <c r="P182" s="1"/>
      <c r="Q182" s="1"/>
      <c r="R182" s="1"/>
    </row>
    <row r="183" spans="1:18" customFormat="1" x14ac:dyDescent="0.2">
      <c r="A183" s="1" t="s">
        <v>5420</v>
      </c>
      <c r="B183" s="1"/>
      <c r="C183" s="1"/>
      <c r="D183" s="1"/>
      <c r="E183" s="1"/>
      <c r="F183" s="1"/>
      <c r="G183" s="1"/>
      <c r="H183" s="1"/>
      <c r="I183" s="1"/>
      <c r="J183" s="1"/>
      <c r="K183" s="1"/>
      <c r="L183" s="1"/>
      <c r="M183" s="1"/>
      <c r="N183" s="1"/>
      <c r="O183" s="1"/>
      <c r="P183" s="1"/>
      <c r="Q183" s="1"/>
      <c r="R183" s="1"/>
    </row>
    <row r="184" spans="1:18" customFormat="1" ht="15.75" x14ac:dyDescent="0.25">
      <c r="A184" s="825" t="s">
        <v>5421</v>
      </c>
      <c r="B184" s="1"/>
      <c r="C184" s="1"/>
      <c r="D184" s="1"/>
      <c r="E184" s="1"/>
      <c r="F184" s="1"/>
      <c r="G184" s="1"/>
      <c r="H184" s="1"/>
      <c r="I184" s="1"/>
      <c r="J184" s="1"/>
      <c r="K184" s="1"/>
      <c r="L184" s="1"/>
      <c r="M184" s="1"/>
      <c r="N184" s="1"/>
      <c r="O184" s="1"/>
      <c r="P184" s="1"/>
      <c r="Q184" s="1"/>
      <c r="R184" s="1"/>
    </row>
    <row r="185" spans="1:18" customFormat="1" ht="15.75" x14ac:dyDescent="0.25">
      <c r="A185" s="825" t="s">
        <v>5422</v>
      </c>
      <c r="B185" s="1"/>
      <c r="C185" s="1"/>
      <c r="D185" s="1"/>
      <c r="E185" s="1"/>
      <c r="F185" s="1"/>
      <c r="G185" s="1"/>
      <c r="H185" s="1"/>
      <c r="I185" s="1"/>
      <c r="J185" s="1"/>
      <c r="K185" s="1"/>
      <c r="L185" s="1"/>
      <c r="M185" s="1"/>
      <c r="N185" s="1"/>
      <c r="O185" s="1"/>
      <c r="P185" s="1"/>
      <c r="Q185" s="1"/>
      <c r="R185" s="1"/>
    </row>
    <row r="186" spans="1:18" customFormat="1" ht="15.75" x14ac:dyDescent="0.25">
      <c r="A186" s="2483" t="str">
        <f>IF(OR(kursovoy!B500=2,kursovoy!B500=4),"","             Длина лавы и нагрузка на комбайновую лаву")</f>
        <v xml:space="preserve">             Длина лавы и нагрузка на комбайновую лаву</v>
      </c>
      <c r="B186" s="1"/>
      <c r="C186" s="1"/>
      <c r="D186" s="1"/>
      <c r="E186" s="1"/>
      <c r="F186" s="1"/>
      <c r="G186" s="1"/>
      <c r="H186" s="1"/>
      <c r="I186" s="1"/>
      <c r="J186" s="1"/>
      <c r="K186" s="1"/>
      <c r="L186" s="1"/>
      <c r="M186" s="1"/>
      <c r="N186" s="1"/>
      <c r="O186" s="1"/>
      <c r="P186" s="1"/>
      <c r="Q186" s="1"/>
      <c r="R186" s="1"/>
    </row>
    <row r="187" spans="1:18" customFormat="1" ht="31.5" x14ac:dyDescent="0.25">
      <c r="A187" s="1138" t="str">
        <f>IF(OR(kursovoy!B500=2,kursovoy!B500=4),"","Рекомендуемое для проекта число циклов в сутки ")</f>
        <v xml:space="preserve">Рекомендуемое для проекта число циклов в сутки </v>
      </c>
      <c r="B187" s="1928"/>
      <c r="C187" s="1"/>
      <c r="D187" s="1"/>
      <c r="E187" s="1"/>
      <c r="F187" s="1"/>
      <c r="G187" s="1"/>
      <c r="H187" s="1"/>
      <c r="I187" s="1"/>
      <c r="J187" s="1"/>
      <c r="K187" s="1"/>
      <c r="L187" s="1"/>
      <c r="M187" s="1"/>
      <c r="N187" s="1"/>
      <c r="O187" s="1"/>
      <c r="P187" s="1"/>
      <c r="Q187" s="1"/>
      <c r="R187" s="1"/>
    </row>
    <row r="188" spans="1:18" customFormat="1" ht="15.75" x14ac:dyDescent="0.25">
      <c r="A188" s="1138" t="str">
        <f>IF(OR(kursovoy!B500=2,kursovoy!B500=4),"","Рекомендуемая для проекта  длина лавы, м")</f>
        <v>Рекомендуемая для проекта  длина лавы, м</v>
      </c>
      <c r="B188" s="1928"/>
      <c r="C188" s="1176" t="str">
        <f>IF(AND(kursovoy!B404&lt;0.8,вен!B188&gt;130),"А не много ли ?",IF(AND(kursovoy!B404&lt;1.2,вен!B188&gt;180),"А не много ли ?",IF(AND(kursovoy!B404&lt;1.2,вен!B188&lt;130),"А не мало ли ?",IF(AND(kursovoy!B404&gt;1.2,вен!B188&lt;180),"А не мало ли ?",IF(AND(kursovoy!B404&gt;1.2,вен!B188&gt;300),"А не много ли ?","")))))</f>
        <v>А не мало ли ?</v>
      </c>
      <c r="D188" s="1096"/>
      <c r="E188" s="1097"/>
      <c r="F188" s="1"/>
      <c r="G188" s="1"/>
      <c r="H188" s="1"/>
      <c r="I188" s="1"/>
      <c r="J188" s="1"/>
      <c r="K188" s="1"/>
      <c r="L188" s="1"/>
      <c r="M188" s="1"/>
      <c r="N188" s="1"/>
      <c r="O188" s="1"/>
      <c r="P188" s="1"/>
      <c r="Q188" s="1"/>
      <c r="R188" s="1"/>
    </row>
    <row r="189" spans="1:18" customFormat="1" ht="31.5" x14ac:dyDescent="0.25">
      <c r="A189" s="2482" t="str">
        <f>IF(OR(kursovoy!B500=2,kursovoy!B500=4),"","Суточная добыча лавы при этих параметрах составит, т")</f>
        <v>Суточная добыча лавы при этих параметрах составит, т</v>
      </c>
      <c r="B189" s="2427" t="e">
        <f>B187*B188*B64*B65*B66*ком!G55</f>
        <v>#VALUE!</v>
      </c>
      <c r="C189" s="1"/>
      <c r="D189" s="1"/>
      <c r="E189" s="1"/>
      <c r="F189" s="1"/>
      <c r="G189" s="1"/>
      <c r="H189" s="1"/>
      <c r="I189" s="1"/>
      <c r="J189" s="1"/>
      <c r="K189" s="1"/>
      <c r="L189" s="1"/>
      <c r="M189" s="1"/>
      <c r="N189" s="1"/>
      <c r="O189" s="1"/>
      <c r="P189" s="1"/>
      <c r="Q189" s="1"/>
      <c r="R189" s="1"/>
    </row>
    <row r="190" spans="1:18" customFormat="1" ht="18.75" x14ac:dyDescent="0.3">
      <c r="A190" s="940" t="s">
        <v>3652</v>
      </c>
      <c r="B190" s="2659"/>
      <c r="C190" s="239"/>
      <c r="D190" s="1"/>
      <c r="E190" s="1"/>
      <c r="F190" s="1"/>
      <c r="G190" s="239"/>
      <c r="H190" s="1"/>
      <c r="I190" s="1"/>
      <c r="J190" s="1"/>
      <c r="K190" s="1"/>
      <c r="L190" s="1"/>
      <c r="M190" s="1"/>
      <c r="N190" s="1"/>
      <c r="O190" s="1"/>
      <c r="P190" s="1"/>
      <c r="Q190" s="1"/>
      <c r="R190" s="1"/>
    </row>
    <row r="191" spans="1:18" customFormat="1" ht="15.75" x14ac:dyDescent="0.25">
      <c r="A191" s="363" t="s">
        <v>338</v>
      </c>
      <c r="B191" s="1074">
        <f>IF(OR(kursovoy!B500=2,kursovoy!B500=4),#REF!,B188)</f>
        <v>0</v>
      </c>
      <c r="C191" s="1"/>
      <c r="D191" s="1"/>
      <c r="E191" s="1"/>
      <c r="F191" s="1"/>
      <c r="G191" s="1"/>
      <c r="H191" s="1"/>
      <c r="I191" s="1"/>
      <c r="J191" s="1"/>
      <c r="K191" s="2425"/>
      <c r="L191" s="2425"/>
      <c r="M191" s="2425"/>
      <c r="N191" s="2425"/>
      <c r="O191" s="2425"/>
      <c r="P191" s="1"/>
      <c r="Q191" s="1"/>
      <c r="R191" s="1"/>
    </row>
    <row r="192" spans="1:18" customFormat="1" ht="15.75" x14ac:dyDescent="0.25">
      <c r="A192" s="363" t="s">
        <v>17</v>
      </c>
      <c r="B192" s="2574" t="e">
        <f>IF(OR(kursovoy!B500=2,kursovoy!B500=4),#REF!,B189)</f>
        <v>#VALUE!</v>
      </c>
      <c r="C192" s="1"/>
      <c r="D192" s="239" t="str">
        <f>IF(OR(kursovoy!B500=2,kursovoy!B500=4),"Возвращение к составлению отчета","")</f>
        <v/>
      </c>
      <c r="E192" s="14"/>
      <c r="F192" s="14"/>
      <c r="G192" s="14"/>
      <c r="H192" s="14"/>
      <c r="I192" s="14"/>
      <c r="J192" s="14"/>
      <c r="K192" s="14"/>
      <c r="L192" s="239"/>
      <c r="M192" s="1"/>
      <c r="N192" s="1"/>
      <c r="O192" s="1"/>
      <c r="P192" s="1"/>
      <c r="Q192" s="1"/>
      <c r="R192" s="1"/>
    </row>
    <row r="193" spans="1:18" customFormat="1" x14ac:dyDescent="0.2">
      <c r="A193" s="1"/>
      <c r="B193" s="1"/>
      <c r="C193" s="29"/>
      <c r="D193" s="239"/>
      <c r="E193" s="14"/>
      <c r="F193" s="14"/>
      <c r="G193" s="14"/>
      <c r="H193" s="14"/>
      <c r="I193" s="14"/>
      <c r="J193" s="14"/>
      <c r="K193" s="14"/>
      <c r="L193" s="91"/>
      <c r="N193" s="1"/>
      <c r="O193" s="1"/>
      <c r="P193" s="1"/>
      <c r="Q193" s="1"/>
      <c r="R193" s="1"/>
    </row>
    <row r="194" spans="1:18" customFormat="1" ht="15.75" x14ac:dyDescent="0.25">
      <c r="A194" s="363"/>
      <c r="B194" s="489"/>
      <c r="C194" s="29"/>
      <c r="D194" s="29"/>
      <c r="E194" s="29"/>
      <c r="F194" s="29"/>
      <c r="G194" s="29"/>
      <c r="H194" s="29"/>
      <c r="I194" s="91"/>
      <c r="J194" s="91"/>
      <c r="K194" s="91"/>
      <c r="L194" s="91"/>
      <c r="N194" s="1"/>
      <c r="O194" s="1"/>
      <c r="P194" s="1"/>
      <c r="Q194" s="1"/>
      <c r="R194" s="1"/>
    </row>
    <row r="195" spans="1:18" customFormat="1" x14ac:dyDescent="0.2">
      <c r="A195" s="2428" t="s">
        <v>298</v>
      </c>
      <c r="B195" s="489"/>
      <c r="C195" s="29"/>
      <c r="D195" s="29"/>
      <c r="E195" s="29"/>
      <c r="F195" s="29"/>
      <c r="G195" s="29"/>
      <c r="H195" s="29"/>
      <c r="I195" s="91"/>
      <c r="J195" s="91"/>
      <c r="K195" s="91"/>
      <c r="L195" s="91"/>
      <c r="N195" s="1"/>
      <c r="O195" s="1"/>
      <c r="P195" s="1"/>
      <c r="Q195" s="1"/>
      <c r="R195" s="1"/>
    </row>
    <row r="196" spans="1:18" customFormat="1" ht="15.75" x14ac:dyDescent="0.25">
      <c r="A196" s="363"/>
      <c r="B196" s="489"/>
      <c r="C196" s="29"/>
      <c r="D196" s="29"/>
      <c r="E196" s="29"/>
      <c r="F196" s="29"/>
      <c r="G196" s="29"/>
      <c r="H196" s="29"/>
      <c r="I196" s="91"/>
      <c r="J196" s="91"/>
      <c r="K196" s="91"/>
      <c r="L196" s="91"/>
      <c r="N196" s="1"/>
      <c r="O196" s="1"/>
      <c r="P196" s="1"/>
      <c r="Q196" s="1"/>
      <c r="R196" s="1"/>
    </row>
    <row r="197" spans="1:18" customFormat="1" ht="15.75" x14ac:dyDescent="0.25">
      <c r="A197" s="2429"/>
      <c r="B197" s="2412"/>
      <c r="C197" s="206"/>
      <c r="D197" s="206"/>
      <c r="E197" s="206"/>
      <c r="F197" s="206"/>
      <c r="G197" s="206"/>
      <c r="H197" s="206"/>
      <c r="I197" s="2430"/>
      <c r="J197" s="2430"/>
      <c r="K197" s="91"/>
      <c r="L197" s="91"/>
      <c r="N197" s="1"/>
      <c r="O197" s="1"/>
      <c r="P197" s="1"/>
      <c r="Q197" s="1"/>
      <c r="R197" s="1"/>
    </row>
    <row r="198" spans="1:18" customFormat="1" x14ac:dyDescent="0.2">
      <c r="A198" s="1"/>
      <c r="B198" s="11"/>
      <c r="C198" s="11"/>
      <c r="D198" s="11"/>
      <c r="E198" s="11"/>
      <c r="F198" s="11"/>
      <c r="G198" s="11"/>
      <c r="H198" s="823"/>
      <c r="I198" s="822"/>
      <c r="J198" s="822"/>
      <c r="K198" s="822"/>
      <c r="L198" s="822"/>
      <c r="M198" s="822"/>
      <c r="N198" s="29"/>
      <c r="O198" s="1"/>
      <c r="P198" s="1"/>
      <c r="Q198" s="1"/>
      <c r="R198" s="1"/>
    </row>
    <row r="199" spans="1:18" customFormat="1" ht="15.75" x14ac:dyDescent="0.25">
      <c r="A199" s="31"/>
      <c r="B199" s="11"/>
      <c r="C199" s="11"/>
      <c r="D199" s="11"/>
      <c r="E199" s="11"/>
      <c r="F199" s="11"/>
      <c r="G199" s="11"/>
      <c r="H199" s="11"/>
      <c r="I199" s="794"/>
      <c r="J199" s="794"/>
      <c r="K199" s="794"/>
      <c r="L199" s="794"/>
      <c r="M199" s="794"/>
      <c r="N199" s="29"/>
      <c r="O199" s="1"/>
      <c r="P199" s="1"/>
      <c r="Q199" s="1"/>
      <c r="R199" s="1"/>
    </row>
    <row r="200" spans="1:18" customFormat="1" ht="15.75" x14ac:dyDescent="0.25">
      <c r="A200" s="35"/>
      <c r="B200" s="29"/>
      <c r="C200" s="29"/>
      <c r="D200" s="29"/>
      <c r="E200" s="29"/>
      <c r="F200" s="29"/>
      <c r="G200" s="29"/>
      <c r="H200" s="29"/>
      <c r="I200" s="820"/>
      <c r="J200" s="820"/>
      <c r="K200" s="820"/>
      <c r="L200" s="820"/>
      <c r="M200" s="695"/>
      <c r="N200" s="29"/>
      <c r="O200" s="29"/>
      <c r="P200" s="11"/>
      <c r="Q200" s="11"/>
    </row>
    <row r="201" spans="1:18" customFormat="1" ht="15" x14ac:dyDescent="0.2">
      <c r="A201" s="442"/>
      <c r="B201" s="29"/>
      <c r="C201" s="29"/>
      <c r="D201" s="29"/>
      <c r="E201" s="29"/>
      <c r="F201" s="29"/>
      <c r="G201" s="29"/>
      <c r="H201" s="29"/>
      <c r="I201" s="820"/>
      <c r="J201" s="820"/>
      <c r="K201" s="820"/>
      <c r="L201" s="820"/>
      <c r="M201" s="695"/>
      <c r="N201" s="29"/>
      <c r="O201" s="29"/>
      <c r="P201" s="11"/>
      <c r="Q201" s="11"/>
    </row>
    <row r="202" spans="1:18" customFormat="1" ht="15.75" x14ac:dyDescent="0.25">
      <c r="A202" s="2389"/>
      <c r="B202" s="2390"/>
      <c r="C202" s="2390"/>
      <c r="D202" s="2390"/>
      <c r="E202" s="2390"/>
      <c r="F202" s="2390"/>
      <c r="G202" s="43"/>
      <c r="H202" s="1"/>
      <c r="I202" s="1"/>
      <c r="J202" s="1"/>
      <c r="K202" s="1"/>
      <c r="L202" s="1"/>
      <c r="M202" s="695"/>
      <c r="N202" s="29"/>
      <c r="O202" s="29"/>
      <c r="P202" s="11"/>
      <c r="Q202" s="11"/>
    </row>
    <row r="203" spans="1:18" customFormat="1" ht="15.75" x14ac:dyDescent="0.25">
      <c r="A203" s="2389"/>
      <c r="B203" s="2390"/>
      <c r="C203" s="2390"/>
      <c r="D203" s="2390"/>
      <c r="E203" s="2390"/>
      <c r="F203" s="2390"/>
      <c r="G203" s="43"/>
      <c r="H203" s="1"/>
      <c r="I203" s="1"/>
      <c r="J203" s="1"/>
      <c r="K203" s="1"/>
      <c r="L203" s="1"/>
      <c r="M203" s="695"/>
      <c r="N203" s="29"/>
      <c r="O203" s="29"/>
      <c r="P203" s="11"/>
      <c r="Q203" s="11"/>
    </row>
    <row r="204" spans="1:18" customFormat="1" ht="15.75" x14ac:dyDescent="0.25">
      <c r="A204" s="2389"/>
      <c r="B204" s="2390"/>
      <c r="C204" s="2390"/>
      <c r="D204" s="2390"/>
      <c r="E204" s="2390"/>
      <c r="F204" s="2390"/>
      <c r="G204" s="43"/>
      <c r="H204" s="1"/>
      <c r="I204" s="1"/>
      <c r="J204" s="1"/>
      <c r="K204" s="1"/>
      <c r="L204" s="1"/>
      <c r="M204" s="695"/>
      <c r="N204" s="29"/>
      <c r="O204" s="29"/>
      <c r="P204" s="11"/>
      <c r="Q204" s="11"/>
    </row>
    <row r="205" spans="1:18" customFormat="1" ht="15.75" x14ac:dyDescent="0.25">
      <c r="A205" s="2389"/>
      <c r="B205" s="2390"/>
      <c r="C205" s="2390"/>
      <c r="D205" s="2390"/>
      <c r="E205" s="2390"/>
      <c r="F205" s="2390"/>
      <c r="G205" s="43"/>
      <c r="H205" s="1"/>
      <c r="I205" s="1"/>
      <c r="J205" s="1"/>
      <c r="K205" s="1"/>
      <c r="L205" s="1"/>
      <c r="M205" s="695"/>
      <c r="N205" s="29"/>
      <c r="O205" s="29"/>
      <c r="P205" s="11"/>
      <c r="Q205" s="11"/>
    </row>
    <row r="206" spans="1:18" customFormat="1" ht="15.75" x14ac:dyDescent="0.25">
      <c r="A206" s="2389"/>
      <c r="B206" s="2390"/>
      <c r="C206" s="2390"/>
      <c r="D206" s="2390"/>
      <c r="E206" s="2390"/>
      <c r="F206" s="2390"/>
      <c r="G206" s="43"/>
      <c r="H206" s="1"/>
      <c r="I206" s="1"/>
      <c r="J206" s="1"/>
      <c r="K206" s="1"/>
      <c r="L206" s="1"/>
      <c r="M206" s="695"/>
      <c r="N206" s="29"/>
      <c r="O206" s="29"/>
      <c r="P206" s="11"/>
      <c r="Q206" s="11"/>
    </row>
    <row r="207" spans="1:18" customFormat="1" ht="15.75" x14ac:dyDescent="0.25">
      <c r="A207" s="2389"/>
      <c r="B207" s="2390"/>
      <c r="C207" s="2390"/>
      <c r="D207" s="2390"/>
      <c r="E207" s="2390"/>
      <c r="F207" s="2390"/>
      <c r="G207" s="43"/>
      <c r="H207" s="1"/>
      <c r="I207" s="1"/>
      <c r="J207" s="1"/>
      <c r="K207" s="1"/>
      <c r="L207" s="1"/>
      <c r="M207" s="695"/>
      <c r="N207" s="29"/>
      <c r="O207" s="29"/>
      <c r="P207" s="11"/>
      <c r="Q207" s="11"/>
    </row>
    <row r="208" spans="1:18" customFormat="1" ht="15.75" x14ac:dyDescent="0.25">
      <c r="A208" s="2389"/>
      <c r="B208" s="2390"/>
      <c r="C208" s="2390"/>
      <c r="D208" s="2390"/>
      <c r="E208" s="2390"/>
      <c r="F208" s="2390"/>
      <c r="G208" s="43"/>
      <c r="H208" s="1"/>
      <c r="I208" s="1"/>
      <c r="J208" s="1"/>
      <c r="K208" s="1"/>
      <c r="L208" s="1"/>
      <c r="M208" s="695"/>
      <c r="N208" s="29"/>
      <c r="O208" s="29"/>
      <c r="P208" s="11"/>
      <c r="Q208" s="11"/>
    </row>
    <row r="209" spans="1:17" customFormat="1" ht="15.75" x14ac:dyDescent="0.25">
      <c r="A209" s="2389"/>
      <c r="B209" s="2390"/>
      <c r="C209" s="2390"/>
      <c r="D209" s="2390"/>
      <c r="E209" s="2390"/>
      <c r="F209" s="2390"/>
      <c r="G209" s="43"/>
      <c r="H209" s="1"/>
      <c r="I209" s="1"/>
      <c r="J209" s="1"/>
      <c r="K209" s="1"/>
      <c r="L209" s="1"/>
      <c r="M209" s="695"/>
      <c r="N209" s="29"/>
      <c r="O209" s="29"/>
      <c r="P209" s="11"/>
      <c r="Q209" s="11"/>
    </row>
    <row r="210" spans="1:17" customFormat="1" ht="15.75" x14ac:dyDescent="0.25">
      <c r="A210" s="2389"/>
      <c r="B210" s="2390"/>
      <c r="C210" s="2390"/>
      <c r="D210" s="2390"/>
      <c r="E210" s="2390"/>
      <c r="F210" s="2390"/>
      <c r="G210" s="43"/>
      <c r="H210" s="1"/>
      <c r="I210" s="1"/>
      <c r="J210" s="1"/>
      <c r="K210" s="1"/>
      <c r="L210" s="1"/>
      <c r="M210" s="695"/>
      <c r="N210" s="29"/>
      <c r="O210" s="29"/>
      <c r="P210" s="11"/>
      <c r="Q210" s="11"/>
    </row>
    <row r="211" spans="1:17" customFormat="1" ht="15.75" x14ac:dyDescent="0.25">
      <c r="A211" s="2389"/>
      <c r="B211" s="2390"/>
      <c r="C211" s="2390"/>
      <c r="D211" s="2390"/>
      <c r="E211" s="2390"/>
      <c r="F211" s="2390"/>
      <c r="G211" s="43"/>
      <c r="H211" s="1"/>
      <c r="I211" s="1"/>
      <c r="J211" s="1"/>
      <c r="K211" s="1"/>
      <c r="L211" s="1"/>
      <c r="M211" s="695"/>
      <c r="N211" s="29"/>
      <c r="O211" s="29"/>
      <c r="P211" s="11"/>
      <c r="Q211" s="11"/>
    </row>
    <row r="212" spans="1:17" customFormat="1" ht="15.75" x14ac:dyDescent="0.25">
      <c r="A212" s="2389"/>
      <c r="B212" s="2390"/>
      <c r="C212" s="2390"/>
      <c r="D212" s="2390"/>
      <c r="E212" s="2390"/>
      <c r="F212" s="2390"/>
      <c r="G212" s="43"/>
      <c r="H212" s="1"/>
      <c r="I212" s="1"/>
      <c r="J212" s="1"/>
      <c r="K212" s="1"/>
      <c r="L212" s="1"/>
      <c r="M212" s="695"/>
      <c r="N212" s="29"/>
      <c r="O212" s="29"/>
      <c r="P212" s="11"/>
      <c r="Q212" s="11"/>
    </row>
    <row r="213" spans="1:17" customFormat="1" ht="15.75" x14ac:dyDescent="0.25">
      <c r="A213" s="2389"/>
      <c r="B213" s="2390"/>
      <c r="C213" s="2390"/>
      <c r="D213" s="2390"/>
      <c r="E213" s="2390"/>
      <c r="F213" s="2390"/>
      <c r="G213" s="43"/>
      <c r="H213" s="1"/>
      <c r="I213" s="1"/>
      <c r="J213" s="1"/>
      <c r="K213" s="1"/>
      <c r="L213" s="1"/>
      <c r="M213" s="695"/>
      <c r="N213" s="29"/>
      <c r="O213" s="29"/>
      <c r="P213" s="11"/>
      <c r="Q213" s="11"/>
    </row>
    <row r="214" spans="1:17" customFormat="1" ht="15.75" x14ac:dyDescent="0.25">
      <c r="A214" s="2389"/>
      <c r="B214" s="2390"/>
      <c r="C214" s="2390"/>
      <c r="D214" s="2390"/>
      <c r="E214" s="2390"/>
      <c r="F214" s="2390"/>
      <c r="G214" s="43"/>
      <c r="H214" s="1"/>
      <c r="I214" s="1"/>
      <c r="J214" s="1"/>
      <c r="K214" s="1"/>
      <c r="L214" s="1"/>
      <c r="M214" s="695"/>
      <c r="N214" s="29"/>
      <c r="O214" s="29"/>
      <c r="P214" s="11"/>
      <c r="Q214" s="11"/>
    </row>
    <row r="215" spans="1:17" customFormat="1" ht="15.75" x14ac:dyDescent="0.25">
      <c r="A215" s="2389"/>
      <c r="B215" s="2390"/>
      <c r="C215" s="2390"/>
      <c r="D215" s="2390"/>
      <c r="E215" s="2390"/>
      <c r="F215" s="2390"/>
      <c r="G215" s="43"/>
      <c r="H215" s="1"/>
      <c r="I215" s="1"/>
      <c r="J215" s="1"/>
      <c r="K215" s="1"/>
      <c r="L215" s="1"/>
      <c r="M215" s="695"/>
      <c r="N215" s="29"/>
      <c r="O215" s="29"/>
      <c r="P215" s="11"/>
      <c r="Q215" s="11"/>
    </row>
    <row r="216" spans="1:17" customFormat="1" ht="15.75" x14ac:dyDescent="0.25">
      <c r="A216" s="2389"/>
      <c r="B216" s="2390"/>
      <c r="C216" s="2390"/>
      <c r="D216" s="2390"/>
      <c r="E216" s="2390"/>
      <c r="F216" s="2390"/>
      <c r="G216" s="43"/>
      <c r="H216" s="1"/>
      <c r="I216" s="1"/>
      <c r="J216" s="1"/>
      <c r="K216" s="1"/>
      <c r="L216" s="1"/>
      <c r="M216" s="695"/>
      <c r="N216" s="29"/>
      <c r="O216" s="29"/>
      <c r="P216" s="11"/>
      <c r="Q216" s="11"/>
    </row>
    <row r="217" spans="1:17" customFormat="1" ht="15.75" x14ac:dyDescent="0.25">
      <c r="A217" s="2389"/>
      <c r="B217" s="2390"/>
      <c r="C217" s="2390"/>
      <c r="D217" s="2390"/>
      <c r="E217" s="2390"/>
      <c r="F217" s="2390"/>
      <c r="G217" s="43"/>
      <c r="H217" s="1"/>
      <c r="I217" s="1"/>
      <c r="J217" s="1"/>
      <c r="K217" s="1"/>
      <c r="L217" s="1"/>
      <c r="M217" s="695"/>
      <c r="N217" s="29"/>
      <c r="O217" s="29"/>
      <c r="P217" s="11"/>
      <c r="Q217" s="11"/>
    </row>
    <row r="218" spans="1:17" customFormat="1" ht="15.75" x14ac:dyDescent="0.25">
      <c r="A218" s="2389"/>
      <c r="B218" s="2390"/>
      <c r="C218" s="2390"/>
      <c r="D218" s="2390"/>
      <c r="E218" s="2390"/>
      <c r="F218" s="2390"/>
      <c r="G218" s="43"/>
      <c r="H218" s="1"/>
      <c r="I218" s="1"/>
      <c r="J218" s="1"/>
      <c r="K218" s="1"/>
      <c r="L218" s="1"/>
      <c r="M218" s="695"/>
      <c r="N218" s="29"/>
      <c r="O218" s="29"/>
      <c r="P218" s="11"/>
      <c r="Q218" s="11"/>
    </row>
    <row r="219" spans="1:17" customFormat="1" ht="15.75" x14ac:dyDescent="0.25">
      <c r="A219" s="2389"/>
      <c r="B219" s="2390"/>
      <c r="C219" s="2390"/>
      <c r="D219" s="2390"/>
      <c r="E219" s="2390"/>
      <c r="F219" s="2390"/>
      <c r="G219" s="43"/>
      <c r="H219" s="1"/>
      <c r="I219" s="1"/>
      <c r="J219" s="1"/>
      <c r="K219" s="1"/>
      <c r="L219" s="1"/>
      <c r="M219" s="695"/>
      <c r="N219" s="29"/>
      <c r="O219" s="29"/>
      <c r="P219" s="11"/>
      <c r="Q219" s="11"/>
    </row>
    <row r="220" spans="1:17" customFormat="1" ht="15.75" x14ac:dyDescent="0.25">
      <c r="A220" s="2389"/>
      <c r="B220" s="2390"/>
      <c r="C220" s="2390"/>
      <c r="D220" s="2390"/>
      <c r="E220" s="2390"/>
      <c r="F220" s="2390"/>
      <c r="G220" s="43"/>
      <c r="H220" s="1"/>
      <c r="I220" s="1"/>
      <c r="J220" s="1"/>
      <c r="K220" s="1"/>
      <c r="L220" s="1"/>
      <c r="M220" s="695"/>
      <c r="N220" s="29"/>
      <c r="O220" s="29"/>
      <c r="P220" s="11"/>
      <c r="Q220" s="11"/>
    </row>
    <row r="221" spans="1:17" customFormat="1" ht="15.75" x14ac:dyDescent="0.25">
      <c r="A221" s="2389"/>
      <c r="B221" s="2390"/>
      <c r="C221" s="2390"/>
      <c r="D221" s="2390"/>
      <c r="E221" s="2390"/>
      <c r="F221" s="2390"/>
      <c r="G221" s="43"/>
      <c r="H221" s="1"/>
      <c r="I221" s="1"/>
      <c r="J221" s="1"/>
      <c r="K221" s="1"/>
      <c r="L221" s="1"/>
      <c r="M221" s="695"/>
      <c r="N221" s="29"/>
      <c r="O221" s="29"/>
      <c r="P221" s="11"/>
      <c r="Q221" s="11"/>
    </row>
    <row r="222" spans="1:17" customFormat="1" ht="15.75" x14ac:dyDescent="0.25">
      <c r="A222" s="2389"/>
      <c r="B222" s="2390"/>
      <c r="C222" s="2390"/>
      <c r="D222" s="2390"/>
      <c r="E222" s="2390"/>
      <c r="F222" s="2390"/>
      <c r="G222" s="43"/>
      <c r="H222" s="1"/>
      <c r="I222" s="1"/>
      <c r="J222" s="1"/>
      <c r="K222" s="1"/>
      <c r="L222" s="1"/>
      <c r="M222" s="695"/>
      <c r="N222" s="29"/>
      <c r="O222" s="29"/>
      <c r="P222" s="11"/>
      <c r="Q222" s="11"/>
    </row>
    <row r="223" spans="1:17" customFormat="1" ht="15.75" x14ac:dyDescent="0.25">
      <c r="A223" s="2389"/>
      <c r="B223" s="2390"/>
      <c r="C223" s="2390"/>
      <c r="D223" s="2390"/>
      <c r="E223" s="2390"/>
      <c r="F223" s="2390"/>
      <c r="G223" s="43"/>
      <c r="H223" s="1"/>
      <c r="I223" s="1"/>
      <c r="J223" s="1"/>
      <c r="K223" s="1"/>
      <c r="L223" s="1"/>
      <c r="M223" s="695"/>
      <c r="N223" s="29"/>
      <c r="O223" s="29"/>
      <c r="P223" s="11"/>
      <c r="Q223" s="11"/>
    </row>
    <row r="224" spans="1:17" customFormat="1" ht="15.75" x14ac:dyDescent="0.25">
      <c r="A224" s="2389"/>
      <c r="B224" s="2390"/>
      <c r="C224" s="2390"/>
      <c r="D224" s="2390"/>
      <c r="E224" s="2390"/>
      <c r="F224" s="2390"/>
      <c r="G224" s="43"/>
      <c r="H224" s="1"/>
      <c r="I224" s="1"/>
      <c r="J224" s="1"/>
      <c r="K224" s="1"/>
      <c r="L224" s="1"/>
      <c r="M224" s="695"/>
      <c r="N224" s="29"/>
      <c r="O224" s="29"/>
      <c r="P224" s="11"/>
      <c r="Q224" s="11"/>
    </row>
    <row r="225" spans="1:18" customFormat="1" ht="15.75" x14ac:dyDescent="0.25">
      <c r="A225" s="2389"/>
      <c r="B225" s="2390"/>
      <c r="C225" s="2390"/>
      <c r="D225" s="2390"/>
      <c r="E225" s="2390"/>
      <c r="F225" s="2390"/>
      <c r="G225" s="43"/>
      <c r="H225" s="1"/>
      <c r="I225" s="1"/>
      <c r="J225" s="1"/>
      <c r="K225" s="1"/>
      <c r="L225" s="1"/>
      <c r="M225" s="695"/>
      <c r="N225" s="29"/>
      <c r="O225" s="29"/>
      <c r="P225" s="11"/>
      <c r="Q225" s="11"/>
    </row>
    <row r="226" spans="1:18" customFormat="1" ht="15.75" x14ac:dyDescent="0.25">
      <c r="A226" s="2389"/>
      <c r="B226" s="2390"/>
      <c r="C226" s="2390"/>
      <c r="D226" s="2390"/>
      <c r="E226" s="2390"/>
      <c r="F226" s="2390"/>
      <c r="G226" s="43"/>
      <c r="H226" s="1"/>
      <c r="I226" s="1"/>
      <c r="J226" s="1"/>
      <c r="K226" s="1"/>
      <c r="L226" s="1"/>
      <c r="M226" s="695"/>
      <c r="N226" s="29"/>
      <c r="O226" s="29"/>
      <c r="P226" s="11"/>
      <c r="Q226" s="11"/>
    </row>
    <row r="227" spans="1:18" customFormat="1" ht="15.75" x14ac:dyDescent="0.25">
      <c r="A227" s="2389"/>
      <c r="B227" s="2390"/>
      <c r="C227" s="2390"/>
      <c r="D227" s="2390"/>
      <c r="E227" s="2390"/>
      <c r="F227" s="2390"/>
      <c r="G227" s="43"/>
      <c r="H227" s="1"/>
      <c r="I227" s="1"/>
      <c r="J227" s="1"/>
      <c r="K227" s="1"/>
      <c r="L227" s="1"/>
      <c r="M227" s="695"/>
      <c r="N227" s="29"/>
      <c r="O227" s="29"/>
      <c r="P227" s="11"/>
      <c r="Q227" s="11"/>
    </row>
    <row r="228" spans="1:18" customFormat="1" ht="15.75" x14ac:dyDescent="0.25">
      <c r="A228" s="2389"/>
      <c r="B228" s="2390"/>
      <c r="C228" s="2390"/>
      <c r="D228" s="2390"/>
      <c r="E228" s="2390"/>
      <c r="F228" s="2390"/>
      <c r="G228" s="43"/>
      <c r="H228" s="1"/>
      <c r="I228" s="1"/>
      <c r="J228" s="1"/>
      <c r="K228" s="1"/>
      <c r="L228" s="1"/>
      <c r="M228" s="695"/>
      <c r="N228" s="29"/>
      <c r="O228" s="29"/>
      <c r="P228" s="11"/>
      <c r="Q228" s="11"/>
    </row>
    <row r="229" spans="1:18" customFormat="1" x14ac:dyDescent="0.2">
      <c r="A229" s="2391"/>
      <c r="B229" s="2391"/>
      <c r="C229" s="2391"/>
      <c r="D229" s="2391"/>
      <c r="E229" s="2391"/>
      <c r="F229" s="2391"/>
      <c r="G229" s="206"/>
      <c r="H229" s="206"/>
      <c r="I229" s="2392"/>
      <c r="J229" s="2392"/>
      <c r="K229" s="2392"/>
      <c r="L229" s="2392"/>
      <c r="M229" s="2393"/>
      <c r="N229" s="29"/>
      <c r="O229" s="29"/>
      <c r="P229" s="11"/>
      <c r="Q229" s="11"/>
    </row>
    <row r="230" spans="1:18" customFormat="1" ht="15.75" x14ac:dyDescent="0.25">
      <c r="A230" s="31"/>
      <c r="B230" s="11"/>
      <c r="C230" s="11"/>
      <c r="D230" s="11"/>
      <c r="E230" s="11"/>
      <c r="F230" s="11"/>
      <c r="G230" s="11"/>
      <c r="H230" s="11"/>
      <c r="I230" s="794"/>
      <c r="J230" s="794"/>
      <c r="K230" s="794"/>
      <c r="L230" s="794"/>
      <c r="M230" s="695"/>
      <c r="N230" s="29"/>
      <c r="O230" s="29"/>
      <c r="P230" s="11"/>
      <c r="Q230" s="11"/>
    </row>
    <row r="231" spans="1:18" customFormat="1" ht="15.75" x14ac:dyDescent="0.25">
      <c r="A231" s="4600" t="s">
        <v>2790</v>
      </c>
      <c r="B231" s="4609"/>
      <c r="C231" s="4609"/>
      <c r="D231" s="4609"/>
      <c r="E231" s="4609"/>
      <c r="F231" s="4609"/>
      <c r="G231" s="4609"/>
      <c r="H231" s="4609"/>
      <c r="I231" s="4342"/>
      <c r="J231" s="4342"/>
      <c r="K231" s="4342"/>
      <c r="L231" s="11"/>
      <c r="M231" s="695"/>
      <c r="N231" s="29"/>
      <c r="O231" s="29"/>
      <c r="P231" s="11"/>
      <c r="Q231" s="11"/>
    </row>
    <row r="232" spans="1:18" customFormat="1" ht="15.75" x14ac:dyDescent="0.25">
      <c r="A232" s="4600" t="s">
        <v>1594</v>
      </c>
      <c r="B232" s="4609"/>
      <c r="C232" s="4609"/>
      <c r="D232" s="4609"/>
      <c r="E232" s="4609"/>
      <c r="F232" s="4609"/>
      <c r="G232" s="4609"/>
      <c r="H232" s="4609"/>
      <c r="I232" s="4342"/>
      <c r="J232" s="4342"/>
      <c r="K232" s="4342"/>
      <c r="L232" s="11"/>
      <c r="M232" s="695"/>
      <c r="N232" s="29"/>
      <c r="O232" s="29"/>
      <c r="P232" s="11"/>
      <c r="Q232" s="11"/>
    </row>
    <row r="233" spans="1:18" customFormat="1" ht="13.5" x14ac:dyDescent="0.25">
      <c r="A233" s="4600" t="s">
        <v>1595</v>
      </c>
      <c r="B233" s="4342"/>
      <c r="C233" s="4342"/>
      <c r="D233" s="4342"/>
      <c r="E233" s="4342"/>
      <c r="F233" s="4342"/>
      <c r="G233" s="4342"/>
      <c r="H233" s="4342"/>
      <c r="I233" s="4342"/>
      <c r="J233" s="4342"/>
      <c r="K233" s="4342"/>
      <c r="L233" s="11"/>
      <c r="M233" s="695"/>
      <c r="N233" s="29"/>
      <c r="O233" s="29"/>
      <c r="P233" s="11"/>
      <c r="Q233" s="11"/>
    </row>
    <row r="234" spans="1:18" customFormat="1" x14ac:dyDescent="0.2">
      <c r="A234" s="4607" t="s">
        <v>1596</v>
      </c>
      <c r="B234" s="4608"/>
      <c r="C234" s="4608"/>
      <c r="D234" s="4608"/>
      <c r="E234" s="4608"/>
      <c r="F234" s="4608"/>
      <c r="G234" s="4608"/>
      <c r="H234" s="11"/>
      <c r="I234" s="11"/>
      <c r="J234" s="11"/>
      <c r="K234" s="11"/>
      <c r="L234" s="11"/>
      <c r="M234" s="695"/>
      <c r="N234" s="29"/>
      <c r="O234" s="29"/>
      <c r="P234" s="11"/>
      <c r="Q234" s="11"/>
    </row>
    <row r="235" spans="1:18" customFormat="1" ht="25.5" x14ac:dyDescent="0.2">
      <c r="A235" s="2368" t="s">
        <v>1597</v>
      </c>
      <c r="B235" s="404" t="e">
        <f t="shared" ref="B235:F236" si="0">I333</f>
        <v>#VALUE!</v>
      </c>
      <c r="C235" s="404" t="e">
        <f t="shared" si="0"/>
        <v>#VALUE!</v>
      </c>
      <c r="D235" s="404" t="e">
        <f t="shared" si="0"/>
        <v>#VALUE!</v>
      </c>
      <c r="E235" s="404" t="e">
        <f t="shared" si="0"/>
        <v>#VALUE!</v>
      </c>
      <c r="F235" s="404" t="e">
        <f t="shared" si="0"/>
        <v>#VALUE!</v>
      </c>
      <c r="G235" s="172"/>
      <c r="H235" s="1"/>
      <c r="I235" s="1"/>
      <c r="J235" s="1"/>
      <c r="K235" s="1"/>
      <c r="L235" s="1"/>
      <c r="M235" s="695"/>
      <c r="N235" s="29"/>
      <c r="O235" s="29"/>
      <c r="P235" s="11"/>
      <c r="Q235" s="11"/>
    </row>
    <row r="236" spans="1:18" customFormat="1" ht="25.5" x14ac:dyDescent="0.2">
      <c r="A236" s="2368" t="s">
        <v>1598</v>
      </c>
      <c r="B236" s="404" t="str">
        <f t="shared" si="0"/>
        <v/>
      </c>
      <c r="C236" s="404" t="str">
        <f t="shared" si="0"/>
        <v/>
      </c>
      <c r="D236" s="404" t="str">
        <f t="shared" si="0"/>
        <v/>
      </c>
      <c r="E236" s="404" t="str">
        <f t="shared" si="0"/>
        <v/>
      </c>
      <c r="F236" s="404" t="str">
        <f t="shared" si="0"/>
        <v/>
      </c>
      <c r="G236" s="172"/>
      <c r="H236" s="1"/>
      <c r="I236" s="1"/>
      <c r="J236" s="1"/>
      <c r="K236" s="1"/>
      <c r="L236" s="1"/>
      <c r="M236" s="695"/>
      <c r="N236" s="29"/>
      <c r="O236" s="29"/>
      <c r="P236" s="11"/>
      <c r="Q236" s="11"/>
    </row>
    <row r="237" spans="1:18" customFormat="1" x14ac:dyDescent="0.2">
      <c r="A237" s="1"/>
      <c r="B237" s="1"/>
      <c r="C237" s="1"/>
      <c r="D237" s="1"/>
      <c r="E237" s="1"/>
      <c r="F237" s="1"/>
      <c r="G237" s="172"/>
      <c r="H237" s="1"/>
      <c r="I237" s="1"/>
      <c r="J237" s="1"/>
      <c r="K237" s="1"/>
      <c r="L237" s="1"/>
      <c r="M237" s="695"/>
      <c r="N237" s="29"/>
      <c r="O237" s="29"/>
      <c r="P237" s="11"/>
      <c r="Q237" s="11"/>
    </row>
    <row r="238" spans="1:18" customFormat="1" ht="25.5" x14ac:dyDescent="0.2">
      <c r="A238" s="2368" t="s">
        <v>1599</v>
      </c>
      <c r="B238" s="444" t="e">
        <f t="shared" ref="B238:B247" si="1">I336</f>
        <v>#VALUE!</v>
      </c>
      <c r="C238" s="444" t="e">
        <f t="shared" ref="C238:C247" si="2">J336</f>
        <v>#VALUE!</v>
      </c>
      <c r="D238" s="444" t="e">
        <f t="shared" ref="D238:D247" si="3">K336</f>
        <v>#VALUE!</v>
      </c>
      <c r="E238" s="444" t="e">
        <f t="shared" ref="E238:E247" si="4">L336</f>
        <v>#VALUE!</v>
      </c>
      <c r="F238" s="444" t="e">
        <f t="shared" ref="F238:F247" si="5">M336</f>
        <v>#VALUE!</v>
      </c>
      <c r="G238" s="172"/>
      <c r="H238" s="1"/>
      <c r="I238" s="1"/>
      <c r="J238" s="1"/>
      <c r="K238" s="1"/>
      <c r="L238" s="1"/>
      <c r="O238" s="29"/>
      <c r="P238" s="11"/>
      <c r="Q238" s="11"/>
    </row>
    <row r="239" spans="1:18" customFormat="1" ht="39.75" x14ac:dyDescent="0.2">
      <c r="A239" s="2368" t="s">
        <v>1600</v>
      </c>
      <c r="B239" s="444" t="e">
        <f t="shared" si="1"/>
        <v>#VALUE!</v>
      </c>
      <c r="C239" s="444" t="e">
        <f t="shared" si="2"/>
        <v>#VALUE!</v>
      </c>
      <c r="D239" s="444" t="e">
        <f t="shared" si="3"/>
        <v>#VALUE!</v>
      </c>
      <c r="E239" s="444" t="e">
        <f t="shared" si="4"/>
        <v>#VALUE!</v>
      </c>
      <c r="F239" s="444" t="e">
        <f t="shared" si="5"/>
        <v>#VALUE!</v>
      </c>
      <c r="G239" s="172"/>
      <c r="H239" s="1"/>
      <c r="I239" s="1"/>
      <c r="J239" s="1"/>
      <c r="K239" s="1"/>
      <c r="L239" s="1"/>
      <c r="O239" s="796"/>
      <c r="P239" s="796"/>
      <c r="Q239" s="796"/>
      <c r="R239" s="796"/>
    </row>
    <row r="240" spans="1:18" customFormat="1" ht="25.5" x14ac:dyDescent="0.2">
      <c r="A240" s="2368" t="s">
        <v>3068</v>
      </c>
      <c r="B240" s="404" t="e">
        <f t="shared" si="1"/>
        <v>#VALUE!</v>
      </c>
      <c r="C240" s="404" t="e">
        <f t="shared" si="2"/>
        <v>#VALUE!</v>
      </c>
      <c r="D240" s="404" t="e">
        <f t="shared" si="3"/>
        <v>#VALUE!</v>
      </c>
      <c r="E240" s="404" t="e">
        <f t="shared" si="4"/>
        <v>#VALUE!</v>
      </c>
      <c r="F240" s="404" t="e">
        <f t="shared" si="5"/>
        <v>#VALUE!</v>
      </c>
      <c r="G240" s="172"/>
      <c r="H240" s="1"/>
      <c r="I240" s="1"/>
      <c r="J240" s="1"/>
      <c r="K240" s="1"/>
      <c r="L240" s="1"/>
      <c r="O240" s="29"/>
      <c r="P240" s="11"/>
      <c r="Q240" s="11"/>
    </row>
    <row r="241" spans="1:17" customFormat="1" ht="25.5" x14ac:dyDescent="0.2">
      <c r="A241" s="2368" t="s">
        <v>3069</v>
      </c>
      <c r="B241" s="444" t="e">
        <f t="shared" si="1"/>
        <v>#VALUE!</v>
      </c>
      <c r="C241" s="444" t="e">
        <f t="shared" si="2"/>
        <v>#VALUE!</v>
      </c>
      <c r="D241" s="444" t="e">
        <f t="shared" si="3"/>
        <v>#VALUE!</v>
      </c>
      <c r="E241" s="444" t="e">
        <f t="shared" si="4"/>
        <v>#VALUE!</v>
      </c>
      <c r="F241" s="444" t="e">
        <f t="shared" si="5"/>
        <v>#VALUE!</v>
      </c>
      <c r="G241" s="172"/>
      <c r="H241" s="1"/>
      <c r="I241" s="1"/>
      <c r="J241" s="1"/>
      <c r="K241" s="1"/>
      <c r="L241" s="1"/>
      <c r="O241" s="29"/>
      <c r="P241" s="11"/>
      <c r="Q241" s="11"/>
    </row>
    <row r="242" spans="1:17" customFormat="1" ht="25.5" x14ac:dyDescent="0.2">
      <c r="A242" s="2368" t="s">
        <v>3070</v>
      </c>
      <c r="B242" s="444" t="e">
        <f t="shared" si="1"/>
        <v>#VALUE!</v>
      </c>
      <c r="C242" s="444" t="e">
        <f t="shared" si="2"/>
        <v>#VALUE!</v>
      </c>
      <c r="D242" s="444" t="e">
        <f t="shared" si="3"/>
        <v>#VALUE!</v>
      </c>
      <c r="E242" s="444" t="e">
        <f t="shared" si="4"/>
        <v>#VALUE!</v>
      </c>
      <c r="F242" s="444" t="e">
        <f t="shared" si="5"/>
        <v>#VALUE!</v>
      </c>
      <c r="G242" s="172"/>
      <c r="H242" s="1"/>
      <c r="I242" s="1"/>
      <c r="J242" s="1"/>
      <c r="K242" s="1"/>
      <c r="L242" s="1"/>
      <c r="O242" s="29"/>
      <c r="P242" s="11"/>
      <c r="Q242" s="11"/>
    </row>
    <row r="243" spans="1:17" customFormat="1" ht="25.5" x14ac:dyDescent="0.2">
      <c r="A243" s="2368" t="s">
        <v>1112</v>
      </c>
      <c r="B243" s="404">
        <f t="shared" si="1"/>
        <v>1.3</v>
      </c>
      <c r="C243" s="404">
        <f t="shared" si="2"/>
        <v>1.3</v>
      </c>
      <c r="D243" s="404">
        <f t="shared" si="3"/>
        <v>1.3</v>
      </c>
      <c r="E243" s="404">
        <f t="shared" si="4"/>
        <v>1.3</v>
      </c>
      <c r="F243" s="404">
        <f t="shared" si="5"/>
        <v>1.3</v>
      </c>
      <c r="G243" s="172"/>
      <c r="H243" s="1"/>
      <c r="I243" s="1"/>
      <c r="J243" s="1"/>
      <c r="K243" s="1"/>
      <c r="L243" s="1"/>
      <c r="O243" s="29"/>
      <c r="P243" s="11"/>
      <c r="Q243" s="11"/>
    </row>
    <row r="244" spans="1:17" customFormat="1" ht="25.5" x14ac:dyDescent="0.2">
      <c r="A244" s="2368" t="s">
        <v>1113</v>
      </c>
      <c r="B244" s="404" t="e">
        <f t="shared" si="1"/>
        <v>#VALUE!</v>
      </c>
      <c r="C244" s="404" t="e">
        <f t="shared" si="2"/>
        <v>#VALUE!</v>
      </c>
      <c r="D244" s="404" t="e">
        <f t="shared" si="3"/>
        <v>#VALUE!</v>
      </c>
      <c r="E244" s="404" t="e">
        <f t="shared" si="4"/>
        <v>#VALUE!</v>
      </c>
      <c r="F244" s="404" t="e">
        <f t="shared" si="5"/>
        <v>#VALUE!</v>
      </c>
      <c r="G244" s="172"/>
      <c r="H244" s="1"/>
      <c r="I244" s="1"/>
      <c r="J244" s="1"/>
      <c r="K244" s="1"/>
      <c r="L244" s="1"/>
      <c r="O244" s="29"/>
      <c r="P244" s="11"/>
      <c r="Q244" s="11"/>
    </row>
    <row r="245" spans="1:17" customFormat="1" x14ac:dyDescent="0.2">
      <c r="A245" s="2368" t="s">
        <v>2297</v>
      </c>
      <c r="B245" s="404" t="e">
        <f t="shared" si="1"/>
        <v>#VALUE!</v>
      </c>
      <c r="C245" s="404" t="e">
        <f t="shared" si="2"/>
        <v>#VALUE!</v>
      </c>
      <c r="D245" s="404" t="e">
        <f t="shared" si="3"/>
        <v>#VALUE!</v>
      </c>
      <c r="E245" s="404" t="e">
        <f t="shared" si="4"/>
        <v>#VALUE!</v>
      </c>
      <c r="F245" s="404" t="e">
        <f t="shared" si="5"/>
        <v>#VALUE!</v>
      </c>
      <c r="G245" s="172"/>
      <c r="H245" s="1"/>
      <c r="I245" s="1"/>
      <c r="J245" s="1"/>
      <c r="K245" s="1"/>
      <c r="L245" s="1"/>
      <c r="O245" s="29"/>
      <c r="P245" s="11"/>
      <c r="Q245" s="11"/>
    </row>
    <row r="246" spans="1:17" customFormat="1" ht="25.5" x14ac:dyDescent="0.2">
      <c r="A246" s="2368" t="s">
        <v>2298</v>
      </c>
      <c r="B246" s="444" t="e">
        <f t="shared" si="1"/>
        <v>#VALUE!</v>
      </c>
      <c r="C246" s="444" t="e">
        <f t="shared" si="2"/>
        <v>#VALUE!</v>
      </c>
      <c r="D246" s="444" t="e">
        <f t="shared" si="3"/>
        <v>#VALUE!</v>
      </c>
      <c r="E246" s="444" t="e">
        <f t="shared" si="4"/>
        <v>#VALUE!</v>
      </c>
      <c r="F246" s="444" t="e">
        <f t="shared" si="5"/>
        <v>#VALUE!</v>
      </c>
      <c r="G246" s="172"/>
      <c r="H246" s="1"/>
      <c r="I246" s="1"/>
      <c r="J246" s="1"/>
      <c r="K246" s="1"/>
      <c r="L246" s="1"/>
      <c r="O246" s="29"/>
      <c r="P246" s="11"/>
      <c r="Q246" s="11"/>
    </row>
    <row r="247" spans="1:17" customFormat="1" x14ac:dyDescent="0.2">
      <c r="A247" s="2368" t="s">
        <v>2297</v>
      </c>
      <c r="B247" s="404" t="e">
        <f t="shared" si="1"/>
        <v>#VALUE!</v>
      </c>
      <c r="C247" s="404" t="e">
        <f t="shared" si="2"/>
        <v>#VALUE!</v>
      </c>
      <c r="D247" s="404" t="e">
        <f t="shared" si="3"/>
        <v>#VALUE!</v>
      </c>
      <c r="E247" s="404" t="e">
        <f t="shared" si="4"/>
        <v>#VALUE!</v>
      </c>
      <c r="F247" s="404" t="e">
        <f t="shared" si="5"/>
        <v>#VALUE!</v>
      </c>
      <c r="G247" s="172"/>
      <c r="H247" s="1"/>
      <c r="I247" s="1"/>
      <c r="J247" s="1"/>
      <c r="K247" s="1"/>
      <c r="L247" s="1"/>
      <c r="O247" s="29"/>
      <c r="P247" s="11"/>
      <c r="Q247" s="11"/>
    </row>
    <row r="248" spans="1:17" customFormat="1" x14ac:dyDescent="0.2">
      <c r="O248" s="29"/>
      <c r="P248" s="11"/>
      <c r="Q248" s="11"/>
    </row>
    <row r="259" spans="1:17" customFormat="1" x14ac:dyDescent="0.2">
      <c r="O259" s="29"/>
      <c r="P259" s="11"/>
      <c r="Q259" s="11"/>
    </row>
    <row r="260" spans="1:17" customFormat="1" x14ac:dyDescent="0.2">
      <c r="O260" s="29"/>
      <c r="P260" s="11"/>
      <c r="Q260" s="11"/>
    </row>
    <row r="261" spans="1:17" customFormat="1" x14ac:dyDescent="0.2">
      <c r="O261" s="29"/>
      <c r="P261" s="11"/>
      <c r="Q261" s="11"/>
    </row>
    <row r="262" spans="1:17" customFormat="1" x14ac:dyDescent="0.2">
      <c r="O262" s="29"/>
      <c r="P262" s="11"/>
      <c r="Q262" s="11"/>
    </row>
    <row r="263" spans="1:17" customFormat="1" x14ac:dyDescent="0.2">
      <c r="O263" s="29"/>
      <c r="P263" s="11"/>
      <c r="Q263" s="11"/>
    </row>
    <row r="264" spans="1:17" customFormat="1" x14ac:dyDescent="0.2">
      <c r="O264" s="29"/>
      <c r="P264" s="11"/>
      <c r="Q264" s="11"/>
    </row>
    <row r="265" spans="1:17" customFormat="1" x14ac:dyDescent="0.2">
      <c r="O265" s="29"/>
      <c r="P265" s="11"/>
      <c r="Q265" s="11"/>
    </row>
    <row r="266" spans="1:17" customFormat="1" x14ac:dyDescent="0.2">
      <c r="O266" s="29"/>
      <c r="P266" s="11"/>
      <c r="Q266" s="11"/>
    </row>
    <row r="267" spans="1:17" customFormat="1" x14ac:dyDescent="0.2">
      <c r="O267" s="29"/>
      <c r="P267" s="11"/>
      <c r="Q267" s="11"/>
    </row>
    <row r="268" spans="1:17" customFormat="1" x14ac:dyDescent="0.2">
      <c r="A268" s="196"/>
      <c r="B268" s="196"/>
      <c r="C268" s="196"/>
      <c r="D268" s="196"/>
      <c r="E268" s="196"/>
      <c r="F268" s="196"/>
      <c r="G268" s="196"/>
      <c r="H268" s="196"/>
      <c r="I268" s="196"/>
      <c r="J268" s="196"/>
      <c r="K268" s="196"/>
      <c r="L268" s="196"/>
      <c r="M268" s="196"/>
      <c r="N268" s="196"/>
      <c r="O268" s="29"/>
      <c r="P268" s="11"/>
      <c r="Q268" s="11"/>
    </row>
    <row r="269" spans="1:17" customFormat="1" x14ac:dyDescent="0.2">
      <c r="A269" s="196"/>
      <c r="B269" s="196"/>
      <c r="C269" s="196"/>
      <c r="D269" s="196"/>
      <c r="E269" s="196"/>
      <c r="F269" s="196"/>
      <c r="G269" s="196"/>
      <c r="H269" s="196"/>
      <c r="I269" s="196"/>
      <c r="J269" s="196"/>
      <c r="K269" s="196"/>
      <c r="L269" s="196"/>
      <c r="M269" s="196"/>
      <c r="N269" s="196"/>
      <c r="O269" s="29"/>
      <c r="P269" s="11"/>
      <c r="Q269" s="11"/>
    </row>
    <row r="270" spans="1:17" customFormat="1" ht="18" x14ac:dyDescent="0.25">
      <c r="A270" s="206"/>
      <c r="B270" s="206"/>
      <c r="C270" s="797" t="s">
        <v>2299</v>
      </c>
      <c r="D270" s="206"/>
      <c r="E270" s="206"/>
      <c r="F270" s="206"/>
      <c r="G270" s="206"/>
      <c r="H270" s="206"/>
      <c r="I270" s="206"/>
      <c r="J270" s="206"/>
      <c r="K270" s="206"/>
      <c r="L270" s="206"/>
      <c r="M270" s="206"/>
      <c r="N270" s="206"/>
      <c r="O270" s="29"/>
      <c r="P270" s="11"/>
      <c r="Q270" s="11"/>
    </row>
    <row r="271" spans="1:17" customFormat="1" ht="36" customHeight="1" x14ac:dyDescent="0.2">
      <c r="A271" s="11"/>
      <c r="B271" s="442"/>
      <c r="C271" s="11"/>
      <c r="D271" s="11"/>
      <c r="E271" s="11"/>
      <c r="F271" s="11"/>
      <c r="G271" s="11"/>
      <c r="H271" s="11"/>
      <c r="I271" s="11"/>
      <c r="J271" s="11"/>
      <c r="K271" s="11"/>
      <c r="L271" s="11"/>
      <c r="M271" s="11"/>
      <c r="N271" s="11"/>
      <c r="O271" s="29"/>
      <c r="P271" s="11"/>
      <c r="Q271" s="11"/>
    </row>
    <row r="272" spans="1:17" customFormat="1" ht="15" x14ac:dyDescent="0.2">
      <c r="A272" s="11"/>
      <c r="B272" s="442"/>
      <c r="C272" s="11"/>
      <c r="D272" s="11"/>
      <c r="E272" s="11"/>
      <c r="F272" s="11"/>
      <c r="G272" s="11"/>
      <c r="H272" s="11"/>
      <c r="I272" s="11"/>
      <c r="J272" s="11"/>
      <c r="K272" s="11"/>
      <c r="L272" s="11"/>
      <c r="M272" s="11"/>
      <c r="N272" s="11"/>
    </row>
    <row r="273" spans="1:18" customFormat="1" ht="15" x14ac:dyDescent="0.2">
      <c r="A273" s="11"/>
      <c r="B273" s="442"/>
      <c r="C273" s="11"/>
      <c r="D273" s="11"/>
      <c r="E273" s="11"/>
      <c r="F273" s="11"/>
      <c r="G273" s="11"/>
      <c r="H273" s="11"/>
      <c r="I273" s="11"/>
      <c r="J273" s="11"/>
      <c r="K273" s="11"/>
      <c r="L273" s="11"/>
      <c r="M273" s="11"/>
      <c r="N273" s="11"/>
    </row>
    <row r="274" spans="1:18" customFormat="1" x14ac:dyDescent="0.2"/>
    <row r="275" spans="1:18" customFormat="1" x14ac:dyDescent="0.2"/>
    <row r="276" spans="1:18" customFormat="1" x14ac:dyDescent="0.2"/>
    <row r="277" spans="1:18" customFormat="1" x14ac:dyDescent="0.2">
      <c r="O277" s="11"/>
      <c r="P277" s="11"/>
      <c r="Q277" s="11"/>
    </row>
    <row r="278" spans="1:18" customFormat="1" x14ac:dyDescent="0.2">
      <c r="O278" s="11"/>
      <c r="P278" s="11"/>
      <c r="Q278" s="11"/>
    </row>
    <row r="279" spans="1:18" customFormat="1" x14ac:dyDescent="0.2">
      <c r="O279" s="11"/>
      <c r="P279" s="11"/>
      <c r="Q279" s="11"/>
    </row>
    <row r="280" spans="1:18" customFormat="1" x14ac:dyDescent="0.2">
      <c r="O280" s="11"/>
      <c r="P280" s="11"/>
      <c r="Q280" s="11"/>
    </row>
    <row r="281" spans="1:18" customFormat="1" x14ac:dyDescent="0.2">
      <c r="O281" s="11"/>
      <c r="P281" s="11"/>
      <c r="Q281" s="11"/>
    </row>
    <row r="282" spans="1:18" customFormat="1" x14ac:dyDescent="0.2">
      <c r="O282" s="11"/>
      <c r="P282" s="11"/>
      <c r="Q282" s="11"/>
    </row>
    <row r="283" spans="1:18" customFormat="1" ht="15" x14ac:dyDescent="0.25">
      <c r="A283" s="464"/>
      <c r="B283" s="951"/>
      <c r="C283" s="951"/>
      <c r="D283" s="951"/>
      <c r="E283" s="951"/>
      <c r="F283" s="951"/>
      <c r="G283" s="11"/>
      <c r="H283" s="11"/>
      <c r="I283" s="11"/>
      <c r="J283" s="29"/>
      <c r="K283" s="29"/>
      <c r="L283" s="29"/>
      <c r="M283" s="29"/>
      <c r="N283" s="29"/>
      <c r="O283" s="206"/>
      <c r="P283" s="11"/>
      <c r="Q283" s="11"/>
    </row>
    <row r="284" spans="1:18" customFormat="1" ht="15" x14ac:dyDescent="0.25">
      <c r="A284" s="464"/>
      <c r="B284" s="951"/>
      <c r="C284" s="951"/>
      <c r="D284" s="951"/>
      <c r="E284" s="951"/>
      <c r="F284" s="951"/>
      <c r="G284" s="11"/>
      <c r="H284" s="11"/>
      <c r="I284" s="11"/>
      <c r="J284" s="29"/>
      <c r="K284" s="29"/>
      <c r="L284" s="29"/>
      <c r="M284" s="29"/>
      <c r="N284" s="29"/>
      <c r="O284" s="206"/>
      <c r="P284" s="11"/>
      <c r="Q284" s="11"/>
    </row>
    <row r="285" spans="1:18" customFormat="1" ht="15.75" x14ac:dyDescent="0.25">
      <c r="A285" s="2649" t="s">
        <v>3651</v>
      </c>
      <c r="B285" s="2650"/>
      <c r="C285" s="2650"/>
      <c r="D285" s="2650"/>
      <c r="E285" s="2650"/>
      <c r="F285" s="2650"/>
      <c r="G285" s="1128"/>
      <c r="H285" s="1128"/>
      <c r="I285" s="1128"/>
      <c r="J285" s="1056"/>
      <c r="K285" s="1056"/>
      <c r="L285" s="1056"/>
      <c r="M285" s="1056"/>
      <c r="N285" s="2651"/>
      <c r="O285" s="206"/>
      <c r="P285" s="11"/>
      <c r="Q285" s="11"/>
    </row>
    <row r="286" spans="1:18" customFormat="1" ht="15.75" x14ac:dyDescent="0.25">
      <c r="A286" s="4563" t="s">
        <v>1629</v>
      </c>
      <c r="B286" s="4427"/>
      <c r="C286" s="4427"/>
      <c r="D286" s="4427"/>
      <c r="E286" s="4427"/>
      <c r="F286" s="4427"/>
      <c r="G286" s="4427"/>
      <c r="H286" s="15"/>
      <c r="I286" s="801" t="e">
        <f>kursovoy!$B$2281</f>
        <v>#VALUE!</v>
      </c>
      <c r="J286" s="801" t="e">
        <f>kursovoy!$B$2281</f>
        <v>#VALUE!</v>
      </c>
      <c r="K286" s="801" t="e">
        <f>kursovoy!$B$2281</f>
        <v>#VALUE!</v>
      </c>
      <c r="L286" s="801" t="e">
        <f>kursovoy!$B$2281</f>
        <v>#VALUE!</v>
      </c>
      <c r="M286" s="801" t="e">
        <f>kursovoy!$B$2281</f>
        <v>#VALUE!</v>
      </c>
      <c r="N286" s="2652"/>
      <c r="O286" s="206"/>
      <c r="P286" s="1014" t="s">
        <v>529</v>
      </c>
      <c r="Q286" s="1"/>
      <c r="R286" s="1"/>
    </row>
    <row r="287" spans="1:18" customFormat="1" ht="15" x14ac:dyDescent="0.2">
      <c r="A287" s="2653" t="e">
        <f>IF(I286=kursovoy!T2406,"","                  Внимательнее рассмотрите принятую Вами систему разработки !")</f>
        <v>#VALUE!</v>
      </c>
      <c r="B287" s="1141"/>
      <c r="C287" s="1141"/>
      <c r="D287" s="1141"/>
      <c r="E287" s="1141"/>
      <c r="F287" s="1141"/>
      <c r="G287" s="1141"/>
      <c r="H287" s="1141"/>
      <c r="I287" s="1"/>
      <c r="J287" s="1"/>
      <c r="K287" s="1"/>
      <c r="L287" s="1"/>
      <c r="M287" s="1"/>
      <c r="N287" s="2654"/>
      <c r="O287" s="2391"/>
      <c r="P287" s="1"/>
      <c r="Q287" s="1"/>
      <c r="R287" s="1"/>
    </row>
    <row r="288" spans="1:18" customFormat="1" x14ac:dyDescent="0.2">
      <c r="A288" s="2655" t="s">
        <v>4981</v>
      </c>
      <c r="B288" s="15"/>
      <c r="C288" s="15"/>
      <c r="D288" s="15"/>
      <c r="E288" s="15"/>
      <c r="F288" s="15"/>
      <c r="G288" s="15"/>
      <c r="H288" s="15"/>
      <c r="I288" s="88" t="e">
        <f>kursovoy!$B$2282</f>
        <v>#VALUE!</v>
      </c>
      <c r="J288" s="88" t="e">
        <f>kursovoy!$B$2282</f>
        <v>#VALUE!</v>
      </c>
      <c r="K288" s="88" t="e">
        <f>kursovoy!$B$2282</f>
        <v>#VALUE!</v>
      </c>
      <c r="L288" s="88" t="e">
        <f>kursovoy!$B$2282</f>
        <v>#VALUE!</v>
      </c>
      <c r="M288" s="88" t="e">
        <f>kursovoy!$B$2282</f>
        <v>#VALUE!</v>
      </c>
      <c r="N288" s="2652"/>
      <c r="O288" s="206"/>
      <c r="P288" s="11"/>
      <c r="Q288" s="11"/>
    </row>
    <row r="289" spans="1:18" customFormat="1" x14ac:dyDescent="0.2">
      <c r="A289" s="2656" t="s">
        <v>711</v>
      </c>
      <c r="B289" s="719"/>
      <c r="C289" s="719"/>
      <c r="D289" s="719"/>
      <c r="E289" s="719"/>
      <c r="F289" s="719"/>
      <c r="G289" s="719"/>
      <c r="H289" s="719"/>
      <c r="I289" s="88" t="e">
        <f>kursovoy!$B$2280</f>
        <v>#VALUE!</v>
      </c>
      <c r="J289" s="88" t="e">
        <f>kursovoy!$B$2280</f>
        <v>#VALUE!</v>
      </c>
      <c r="K289" s="88" t="e">
        <f>kursovoy!$B$2280</f>
        <v>#VALUE!</v>
      </c>
      <c r="L289" s="88" t="e">
        <f>kursovoy!$B$2280</f>
        <v>#VALUE!</v>
      </c>
      <c r="M289" s="88" t="e">
        <f>kursovoy!$B$2280</f>
        <v>#VALUE!</v>
      </c>
      <c r="N289" s="2657"/>
      <c r="O289" s="206"/>
      <c r="P289" s="29"/>
      <c r="Q289" s="29"/>
      <c r="R289" s="8"/>
    </row>
    <row r="290" spans="1:18" customFormat="1" x14ac:dyDescent="0.2">
      <c r="A290" s="11"/>
      <c r="B290" s="11"/>
      <c r="C290" s="11"/>
      <c r="D290" s="11"/>
      <c r="E290" s="11"/>
      <c r="F290" s="11"/>
      <c r="G290" s="11"/>
      <c r="H290" s="11"/>
      <c r="I290" s="510"/>
      <c r="J290" s="510"/>
      <c r="K290" s="510"/>
      <c r="L290" s="510"/>
      <c r="M290" s="510"/>
      <c r="N290" s="29"/>
      <c r="O290" s="206"/>
      <c r="P290" s="11"/>
      <c r="Q290" s="11"/>
    </row>
    <row r="291" spans="1:18" customFormat="1" x14ac:dyDescent="0.2">
      <c r="A291" s="242"/>
      <c r="B291" s="1137"/>
      <c r="C291" s="1137"/>
      <c r="D291" s="1137"/>
      <c r="E291" s="1137"/>
      <c r="F291" s="1137"/>
      <c r="G291" s="1137"/>
      <c r="H291" s="1137"/>
      <c r="I291" s="206"/>
      <c r="J291" s="206"/>
      <c r="K291" s="206"/>
      <c r="L291" s="206"/>
      <c r="M291" s="206"/>
      <c r="N291" s="206"/>
      <c r="O291" s="11"/>
      <c r="P291" s="11"/>
      <c r="Q291" s="11"/>
    </row>
    <row r="292" spans="1:18" customFormat="1" x14ac:dyDescent="0.2">
      <c r="B292" s="798"/>
      <c r="C292" s="798"/>
      <c r="D292" s="798"/>
      <c r="E292" s="798"/>
      <c r="F292" s="798"/>
      <c r="G292" s="798"/>
      <c r="H292" s="798"/>
      <c r="I292" s="11"/>
      <c r="J292" s="11"/>
      <c r="K292" s="11"/>
      <c r="L292" s="11"/>
      <c r="M292" s="11"/>
      <c r="N292" s="11"/>
      <c r="O292" s="11"/>
      <c r="P292" s="11"/>
      <c r="Q292" s="11"/>
    </row>
    <row r="293" spans="1:18" customFormat="1" x14ac:dyDescent="0.2">
      <c r="A293" s="93" t="s">
        <v>2911</v>
      </c>
      <c r="B293" s="29"/>
      <c r="C293" s="11"/>
      <c r="D293" s="11"/>
      <c r="E293" s="798"/>
      <c r="F293" s="798"/>
      <c r="G293" s="798"/>
      <c r="H293" s="798"/>
      <c r="I293" s="11"/>
      <c r="J293" s="11"/>
      <c r="K293" s="11"/>
      <c r="L293" s="11"/>
      <c r="M293" s="11"/>
      <c r="N293" s="11"/>
      <c r="O293" s="11"/>
      <c r="P293" s="11"/>
      <c r="Q293" s="11"/>
    </row>
    <row r="294" spans="1:18" customFormat="1" x14ac:dyDescent="0.2">
      <c r="A294" s="3010"/>
      <c r="B294" s="3012" t="s">
        <v>550</v>
      </c>
      <c r="C294" s="3012" t="s">
        <v>551</v>
      </c>
      <c r="D294" s="3012" t="s">
        <v>552</v>
      </c>
      <c r="E294" s="798"/>
      <c r="F294" s="798"/>
      <c r="G294" s="798"/>
      <c r="H294" s="798"/>
      <c r="I294" s="11"/>
      <c r="J294" s="11"/>
      <c r="K294" s="11"/>
      <c r="L294" s="11"/>
      <c r="M294" s="11"/>
      <c r="N294" s="11"/>
      <c r="O294" s="11"/>
      <c r="P294" s="11"/>
      <c r="Q294" s="11"/>
    </row>
    <row r="295" spans="1:18" customFormat="1" x14ac:dyDescent="0.2">
      <c r="A295" s="3010"/>
      <c r="B295" s="3012"/>
      <c r="C295" s="3012"/>
      <c r="D295" s="3012"/>
      <c r="E295" s="798"/>
      <c r="F295" s="798"/>
      <c r="G295" s="798"/>
      <c r="H295" s="798"/>
      <c r="I295" s="11"/>
      <c r="J295" s="11"/>
      <c r="K295" s="11"/>
      <c r="L295" s="11"/>
      <c r="M295" s="11"/>
      <c r="N295" s="11"/>
      <c r="O295" s="11"/>
      <c r="P295" s="11"/>
      <c r="Q295" s="11"/>
    </row>
    <row r="296" spans="1:18" customFormat="1" x14ac:dyDescent="0.2">
      <c r="A296" s="3011">
        <v>1</v>
      </c>
      <c r="B296" s="3011" t="s">
        <v>4852</v>
      </c>
      <c r="C296" s="3043">
        <v>0.7</v>
      </c>
      <c r="D296" s="3043">
        <v>0.95</v>
      </c>
      <c r="E296" s="798"/>
      <c r="F296" s="798"/>
      <c r="G296" s="798"/>
      <c r="H296" s="798"/>
      <c r="I296" s="11"/>
      <c r="J296" s="11"/>
      <c r="K296" s="11"/>
      <c r="L296" s="11"/>
      <c r="M296" s="11"/>
      <c r="N296" s="11"/>
      <c r="O296" s="11"/>
      <c r="P296" s="11"/>
      <c r="Q296" s="11"/>
    </row>
    <row r="297" spans="1:18" customFormat="1" x14ac:dyDescent="0.2">
      <c r="A297" s="3011">
        <v>2</v>
      </c>
      <c r="B297" s="3011" t="s">
        <v>4853</v>
      </c>
      <c r="C297" s="3043">
        <v>0.7</v>
      </c>
      <c r="D297" s="3043">
        <v>1.3</v>
      </c>
      <c r="E297" s="798"/>
      <c r="F297" s="798"/>
      <c r="G297" s="798"/>
      <c r="H297" s="798"/>
      <c r="I297" s="11"/>
      <c r="J297" s="11"/>
      <c r="K297" s="11"/>
      <c r="L297" s="11"/>
      <c r="M297" s="11"/>
      <c r="N297" s="11"/>
      <c r="O297" s="11"/>
      <c r="P297" s="11"/>
      <c r="Q297" s="11"/>
    </row>
    <row r="298" spans="1:18" customFormat="1" x14ac:dyDescent="0.2">
      <c r="A298" s="3011">
        <v>3</v>
      </c>
      <c r="B298" s="3011" t="s">
        <v>4854</v>
      </c>
      <c r="C298" s="3043">
        <v>0.8</v>
      </c>
      <c r="D298" s="3043">
        <v>1.2</v>
      </c>
      <c r="E298" s="798"/>
      <c r="F298" s="798"/>
      <c r="G298" s="798"/>
      <c r="H298" s="798"/>
      <c r="I298" s="11"/>
      <c r="J298" s="11"/>
      <c r="K298" s="11"/>
      <c r="L298" s="11"/>
      <c r="M298" s="11"/>
      <c r="N298" s="11"/>
      <c r="O298" s="11"/>
      <c r="P298" s="11"/>
      <c r="Q298" s="11"/>
    </row>
    <row r="299" spans="1:18" customFormat="1" x14ac:dyDescent="0.2">
      <c r="A299" s="3011">
        <v>4</v>
      </c>
      <c r="B299" s="3011" t="s">
        <v>4855</v>
      </c>
      <c r="C299" s="3043">
        <v>0.8</v>
      </c>
      <c r="D299" s="3043">
        <v>1.1000000000000001</v>
      </c>
      <c r="E299" s="798"/>
      <c r="F299" s="798"/>
      <c r="G299" s="798"/>
      <c r="H299" s="798"/>
      <c r="I299" s="11"/>
      <c r="J299" s="11"/>
      <c r="K299" s="11"/>
      <c r="L299" s="11"/>
      <c r="M299" s="11"/>
      <c r="N299" s="11"/>
      <c r="O299" s="11"/>
      <c r="P299" s="11"/>
      <c r="Q299" s="11"/>
    </row>
    <row r="300" spans="1:18" customFormat="1" x14ac:dyDescent="0.2">
      <c r="A300" s="3011">
        <v>5</v>
      </c>
      <c r="B300" s="3011" t="s">
        <v>2777</v>
      </c>
      <c r="C300" s="3043">
        <v>1</v>
      </c>
      <c r="D300" s="3043">
        <v>1.3</v>
      </c>
      <c r="E300" s="798"/>
      <c r="F300" s="798"/>
      <c r="G300" s="798"/>
      <c r="H300" s="798"/>
      <c r="I300" s="11"/>
      <c r="J300" s="11"/>
      <c r="K300" s="11"/>
      <c r="L300" s="11"/>
      <c r="M300" s="11"/>
      <c r="N300" s="11"/>
      <c r="O300" s="11"/>
      <c r="P300" s="11"/>
      <c r="Q300" s="11"/>
    </row>
    <row r="301" spans="1:18" customFormat="1" x14ac:dyDescent="0.2">
      <c r="A301" s="3011">
        <v>6</v>
      </c>
      <c r="B301" s="3011" t="s">
        <v>4856</v>
      </c>
      <c r="C301" s="3043">
        <v>1.1499999999999999</v>
      </c>
      <c r="D301" s="3043">
        <v>1.95</v>
      </c>
      <c r="E301" s="798"/>
      <c r="F301" s="798"/>
      <c r="G301" s="798"/>
      <c r="H301" s="798"/>
      <c r="I301" s="11"/>
      <c r="J301" s="11"/>
      <c r="K301" s="11"/>
      <c r="L301" s="11"/>
      <c r="M301" s="11"/>
      <c r="N301" s="11"/>
      <c r="O301" s="11"/>
      <c r="P301" s="11"/>
      <c r="Q301" s="11"/>
    </row>
    <row r="302" spans="1:18" customFormat="1" x14ac:dyDescent="0.2">
      <c r="A302" s="3011">
        <v>7</v>
      </c>
      <c r="B302" s="3011" t="s">
        <v>4857</v>
      </c>
      <c r="C302" s="3043">
        <v>1.1499999999999999</v>
      </c>
      <c r="D302" s="3043">
        <v>1.95</v>
      </c>
      <c r="E302" s="798"/>
      <c r="F302" s="798"/>
      <c r="G302" s="798"/>
      <c r="H302" s="798"/>
      <c r="I302" s="11"/>
      <c r="J302" s="11"/>
      <c r="K302" s="11"/>
      <c r="L302" s="11"/>
      <c r="M302" s="11"/>
      <c r="N302" s="11"/>
      <c r="O302" s="11"/>
      <c r="P302" s="11"/>
      <c r="Q302" s="11"/>
    </row>
    <row r="303" spans="1:18" customFormat="1" x14ac:dyDescent="0.2">
      <c r="A303" s="3011">
        <v>8</v>
      </c>
      <c r="B303" s="3011" t="s">
        <v>4858</v>
      </c>
      <c r="C303" s="3043">
        <v>0.85</v>
      </c>
      <c r="D303" s="3043">
        <v>1.2</v>
      </c>
      <c r="E303" s="798"/>
      <c r="F303" s="798"/>
      <c r="G303" s="798"/>
      <c r="H303" s="798"/>
      <c r="I303" s="11"/>
      <c r="J303" s="11"/>
      <c r="K303" s="11"/>
      <c r="L303" s="11"/>
      <c r="M303" s="11"/>
      <c r="N303" s="11"/>
      <c r="O303" s="11"/>
      <c r="P303" s="11"/>
      <c r="Q303" s="11"/>
    </row>
    <row r="304" spans="1:18" customFormat="1" x14ac:dyDescent="0.2">
      <c r="A304" s="3011">
        <v>9</v>
      </c>
      <c r="B304" s="3011" t="s">
        <v>4859</v>
      </c>
      <c r="C304" s="3043">
        <v>1.1000000000000001</v>
      </c>
      <c r="D304" s="3043">
        <v>1.5</v>
      </c>
      <c r="E304" s="798"/>
      <c r="F304" s="798"/>
      <c r="G304" s="798"/>
      <c r="H304" s="798"/>
      <c r="I304" s="11"/>
      <c r="J304" s="11"/>
      <c r="K304" s="11"/>
      <c r="L304" s="11"/>
      <c r="M304" s="11"/>
      <c r="N304" s="11"/>
      <c r="O304" s="11"/>
      <c r="P304" s="11"/>
      <c r="Q304" s="11"/>
    </row>
    <row r="305" spans="1:17" customFormat="1" x14ac:dyDescent="0.2">
      <c r="A305" s="3011">
        <v>10</v>
      </c>
      <c r="B305" s="3011" t="s">
        <v>4860</v>
      </c>
      <c r="C305" s="3043">
        <v>0.85</v>
      </c>
      <c r="D305" s="3043">
        <v>2.2000000000000002</v>
      </c>
      <c r="E305" s="798"/>
      <c r="F305" s="798"/>
      <c r="G305" s="798"/>
      <c r="H305" s="798"/>
      <c r="I305" s="11"/>
      <c r="J305" s="11"/>
      <c r="K305" s="11"/>
      <c r="L305" s="11"/>
      <c r="M305" s="11"/>
      <c r="N305" s="11"/>
      <c r="O305" s="11"/>
      <c r="P305" s="11"/>
      <c r="Q305" s="11"/>
    </row>
    <row r="306" spans="1:17" customFormat="1" x14ac:dyDescent="0.2">
      <c r="A306" s="3011">
        <v>11</v>
      </c>
      <c r="B306" s="3011" t="s">
        <v>2060</v>
      </c>
      <c r="C306" s="3043">
        <v>1.6</v>
      </c>
      <c r="D306" s="3043">
        <v>2.2000000000000002</v>
      </c>
      <c r="E306" s="798"/>
      <c r="F306" s="798"/>
      <c r="G306" s="798"/>
      <c r="H306" s="798"/>
      <c r="I306" s="11"/>
      <c r="J306" s="11"/>
      <c r="K306" s="11"/>
      <c r="L306" s="11"/>
      <c r="M306" s="11"/>
      <c r="N306" s="11"/>
      <c r="O306" s="11"/>
      <c r="P306" s="11"/>
      <c r="Q306" s="11"/>
    </row>
    <row r="307" spans="1:17" customFormat="1" x14ac:dyDescent="0.2">
      <c r="A307" s="3011">
        <v>12</v>
      </c>
      <c r="B307" s="3011" t="s">
        <v>712</v>
      </c>
      <c r="C307" s="3043">
        <v>1.4</v>
      </c>
      <c r="D307" s="3043">
        <v>2.2000000000000002</v>
      </c>
      <c r="E307" s="798"/>
      <c r="F307" s="798"/>
      <c r="G307" s="798"/>
      <c r="H307" s="798"/>
      <c r="I307" s="11"/>
      <c r="J307" s="11"/>
      <c r="K307" s="11"/>
      <c r="L307" s="11"/>
      <c r="M307" s="11"/>
      <c r="N307" s="11"/>
      <c r="O307" s="11"/>
      <c r="P307" s="11"/>
      <c r="Q307" s="11"/>
    </row>
    <row r="308" spans="1:17" customFormat="1" x14ac:dyDescent="0.2">
      <c r="A308" s="3011">
        <v>13</v>
      </c>
      <c r="B308" s="3011" t="s">
        <v>524</v>
      </c>
      <c r="C308" s="3043">
        <v>2.4</v>
      </c>
      <c r="D308" s="3043">
        <v>4</v>
      </c>
      <c r="E308" s="798"/>
      <c r="F308" s="798"/>
      <c r="G308" s="798"/>
      <c r="H308" s="798"/>
      <c r="I308" s="11"/>
      <c r="J308" s="11"/>
      <c r="K308" s="11"/>
      <c r="L308" s="11"/>
      <c r="M308" s="11"/>
      <c r="N308" s="11"/>
      <c r="O308" s="11"/>
      <c r="P308" s="11"/>
      <c r="Q308" s="11"/>
    </row>
    <row r="309" spans="1:17" customFormat="1" x14ac:dyDescent="0.2">
      <c r="B309" s="798"/>
      <c r="C309" s="798"/>
      <c r="D309" s="798"/>
      <c r="E309" s="798"/>
      <c r="F309" s="798"/>
      <c r="G309" s="798"/>
      <c r="H309" s="798"/>
      <c r="I309" s="11"/>
      <c r="J309" s="11"/>
      <c r="K309" s="11"/>
      <c r="L309" s="11"/>
      <c r="M309" s="11"/>
      <c r="N309" s="11"/>
      <c r="O309" s="11"/>
      <c r="P309" s="11"/>
      <c r="Q309" s="11"/>
    </row>
    <row r="310" spans="1:17" customFormat="1" x14ac:dyDescent="0.2">
      <c r="A310" s="11" t="s">
        <v>553</v>
      </c>
      <c r="B310" s="11"/>
      <c r="C310" s="11"/>
      <c r="D310" s="11"/>
      <c r="E310" s="11"/>
      <c r="F310" s="11"/>
      <c r="G310" s="11"/>
      <c r="H310" s="29"/>
      <c r="I310" s="801">
        <v>1</v>
      </c>
      <c r="J310" s="801">
        <v>1</v>
      </c>
      <c r="K310" s="801">
        <v>1</v>
      </c>
      <c r="L310" s="801">
        <v>1</v>
      </c>
      <c r="M310" s="801">
        <v>1</v>
      </c>
      <c r="N310" s="11"/>
      <c r="O310" s="11"/>
      <c r="P310" s="11"/>
      <c r="Q310" s="11"/>
    </row>
    <row r="311" spans="1:17" customFormat="1" x14ac:dyDescent="0.2">
      <c r="A311" s="11" t="str">
        <f>IF(I310=1,"Природная метаноносность пласта для проектируемой лавы, м3/т с.б.м. ","Не вводить")</f>
        <v xml:space="preserve">Природная метаноносность пласта для проектируемой лавы, м3/т с.б.м. </v>
      </c>
      <c r="B311" s="11"/>
      <c r="C311" s="11"/>
      <c r="D311" s="11"/>
      <c r="E311" s="11"/>
      <c r="F311" s="11"/>
      <c r="G311" s="11"/>
      <c r="H311" s="29"/>
      <c r="I311" s="801" t="str">
        <f>kursovoy!$B$215</f>
        <v/>
      </c>
      <c r="J311" s="801" t="str">
        <f>kursovoy!$B$215</f>
        <v/>
      </c>
      <c r="K311" s="801" t="str">
        <f>kursovoy!$B$215</f>
        <v/>
      </c>
      <c r="L311" s="801" t="str">
        <f>kursovoy!$B$215</f>
        <v/>
      </c>
      <c r="M311" s="801" t="str">
        <f>kursovoy!$B$215</f>
        <v/>
      </c>
      <c r="N311" s="11"/>
      <c r="O311" s="11"/>
      <c r="P311" s="11"/>
      <c r="Q311" s="11"/>
    </row>
    <row r="312" spans="1:17" customFormat="1" x14ac:dyDescent="0.2">
      <c r="A312" s="11" t="str">
        <f>IF(I329=0,"Номер крепи в таблице 1","Не вводить !")</f>
        <v>Номер крепи в таблице 1</v>
      </c>
      <c r="B312" s="29"/>
      <c r="C312" s="11"/>
      <c r="D312" s="12" t="e">
        <f>IF(I329=1,"",IF(OR(I327&lt;INDEX($I$445:$I$457,I312),I327&gt;INDEX($J$445:$J$457,I312)),"Крепь не соответствует мощности пласта !",""))</f>
        <v>#VALUE!</v>
      </c>
      <c r="E312" s="11"/>
      <c r="F312" s="11"/>
      <c r="G312" s="11"/>
      <c r="H312" s="29"/>
      <c r="I312" s="801" t="str">
        <f>IF(kursovoy!$B$500=4,kursovoy!#REF!,IF(kursovoy!$B$500=3,kursovoy!$C$518,""))</f>
        <v/>
      </c>
      <c r="J312" s="801" t="str">
        <f>IF(kursovoy!$B$500=4,kursovoy!#REF!,IF(kursovoy!$B$500=3,kursovoy!$C$518,""))</f>
        <v/>
      </c>
      <c r="K312" s="801" t="str">
        <f>IF(kursovoy!$B$500=4,kursovoy!#REF!,IF(kursovoy!$B$500=3,kursovoy!$C$518,""))</f>
        <v/>
      </c>
      <c r="L312" s="801" t="str">
        <f>IF(kursovoy!$B$500=4,kursovoy!#REF!,IF(kursovoy!$B$500=3,kursovoy!$C$518,""))</f>
        <v/>
      </c>
      <c r="M312" s="801" t="str">
        <f>IF(kursovoy!$B$500=4,kursovoy!#REF!,IF(kursovoy!$B$500=3,kursovoy!$C$518,""))</f>
        <v/>
      </c>
      <c r="N312" s="11"/>
      <c r="O312" s="206" t="s">
        <v>2402</v>
      </c>
      <c r="P312" s="206"/>
      <c r="Q312" s="206"/>
    </row>
    <row r="313" spans="1:17" customFormat="1" x14ac:dyDescent="0.2">
      <c r="A313" s="214" t="s">
        <v>5530</v>
      </c>
      <c r="B313" s="798"/>
      <c r="C313" s="798"/>
      <c r="D313" s="798"/>
      <c r="E313" s="798"/>
      <c r="F313" s="798"/>
      <c r="G313" s="798"/>
      <c r="H313" s="798"/>
      <c r="I313" s="11"/>
      <c r="J313" s="11"/>
      <c r="K313" s="11"/>
      <c r="L313" s="11"/>
      <c r="M313" s="11"/>
      <c r="N313" s="11"/>
      <c r="O313" s="11"/>
      <c r="P313" s="11"/>
      <c r="Q313" s="11"/>
    </row>
    <row r="314" spans="1:17" customFormat="1" x14ac:dyDescent="0.2">
      <c r="A314" s="11" t="str">
        <f>IF(SUM(V47:V51)=5,"Вынимаемая мощность пласта, м","")</f>
        <v/>
      </c>
      <c r="B314" s="11"/>
      <c r="C314" s="11"/>
      <c r="D314" s="11"/>
      <c r="E314" s="11"/>
      <c r="F314" s="11"/>
      <c r="G314" s="11"/>
      <c r="H314" s="11"/>
      <c r="I314" s="801" t="str">
        <f>kursovoy!$B$230</f>
        <v/>
      </c>
      <c r="J314" s="801" t="str">
        <f>kursovoy!$B$230</f>
        <v/>
      </c>
      <c r="K314" s="801" t="str">
        <f>kursovoy!$B$230</f>
        <v/>
      </c>
      <c r="L314" s="801" t="str">
        <f>kursovoy!$B$230</f>
        <v/>
      </c>
      <c r="M314" s="801" t="str">
        <f>kursovoy!$B$230</f>
        <v/>
      </c>
      <c r="N314" s="11"/>
      <c r="O314" s="11"/>
      <c r="P314" s="11"/>
      <c r="Q314" s="11"/>
    </row>
    <row r="315" spans="1:17" customFormat="1" x14ac:dyDescent="0.2">
      <c r="A315" s="11" t="str">
        <f>IF(SUM(V47:V51)=5,"Коэффициент крепости пород по Протодьяконову ","")</f>
        <v/>
      </c>
      <c r="B315" s="11"/>
      <c r="C315" s="11"/>
      <c r="D315" s="11"/>
      <c r="E315" s="11"/>
      <c r="F315" s="11"/>
      <c r="G315" s="11"/>
      <c r="H315" s="29"/>
      <c r="I315" s="801" t="str">
        <f>kursovoy!$B$231</f>
        <v/>
      </c>
      <c r="J315" s="801" t="str">
        <f>kursovoy!$B$231</f>
        <v/>
      </c>
      <c r="K315" s="801" t="str">
        <f>kursovoy!$B$231</f>
        <v/>
      </c>
      <c r="L315" s="801" t="str">
        <f>kursovoy!$B$231</f>
        <v/>
      </c>
      <c r="M315" s="801" t="str">
        <f>kursovoy!$B$231</f>
        <v/>
      </c>
      <c r="N315" s="11"/>
      <c r="O315" s="11"/>
      <c r="P315" s="11"/>
      <c r="Q315" s="11"/>
    </row>
    <row r="316" spans="1:17" customFormat="1" x14ac:dyDescent="0.2">
      <c r="A316" s="11" t="str">
        <f>IF(SUM(V47:V51)=5,"Длина лавы, при которой определено газовыделение, м  ","")</f>
        <v/>
      </c>
      <c r="B316" s="11"/>
      <c r="C316" s="11"/>
      <c r="D316" s="11"/>
      <c r="E316" s="11"/>
      <c r="F316" s="11"/>
      <c r="G316" s="11"/>
      <c r="H316" s="29"/>
      <c r="I316" s="801" t="str">
        <f>kursovoy!$B$232</f>
        <v/>
      </c>
      <c r="J316" s="801" t="str">
        <f>kursovoy!$B$232</f>
        <v/>
      </c>
      <c r="K316" s="801" t="str">
        <f>kursovoy!$B$232</f>
        <v/>
      </c>
      <c r="L316" s="801" t="str">
        <f>kursovoy!$B$232</f>
        <v/>
      </c>
      <c r="M316" s="801" t="str">
        <f>kursovoy!$B$232</f>
        <v/>
      </c>
      <c r="N316" s="11"/>
      <c r="O316" s="11"/>
      <c r="P316" s="11"/>
      <c r="Q316" s="11"/>
    </row>
    <row r="317" spans="1:17" customFormat="1" x14ac:dyDescent="0.2">
      <c r="A317" s="11" t="str">
        <f>IF(SUM(V47:V51)=5,"Выход летучих веществ, процент","")</f>
        <v/>
      </c>
      <c r="B317" s="11"/>
      <c r="C317" s="11"/>
      <c r="D317" s="11"/>
      <c r="E317" s="11"/>
      <c r="F317" s="11"/>
      <c r="G317" s="11"/>
      <c r="H317" s="29"/>
      <c r="I317" s="801" t="str">
        <f>kursovoy!$B$233</f>
        <v/>
      </c>
      <c r="J317" s="801" t="str">
        <f>kursovoy!$B$233</f>
        <v/>
      </c>
      <c r="K317" s="801" t="str">
        <f>kursovoy!$B$233</f>
        <v/>
      </c>
      <c r="L317" s="801" t="str">
        <f>kursovoy!$B$233</f>
        <v/>
      </c>
      <c r="M317" s="801" t="str">
        <f>kursovoy!$B$233</f>
        <v/>
      </c>
      <c r="N317" s="11"/>
      <c r="O317" s="11"/>
      <c r="P317" s="11"/>
      <c r="Q317" s="11"/>
    </row>
    <row r="318" spans="1:17" customFormat="1" x14ac:dyDescent="0.2">
      <c r="A318" s="11" t="str">
        <f>IF(SUM(V47:V51)=5,"Глубина работ в действующей лаве,м","")</f>
        <v/>
      </c>
      <c r="B318" s="11"/>
      <c r="C318" s="11"/>
      <c r="D318" s="11"/>
      <c r="E318" s="11"/>
      <c r="F318" s="11"/>
      <c r="G318" s="11"/>
      <c r="H318" s="29"/>
      <c r="I318" s="801" t="str">
        <f>kursovoy!$B$234</f>
        <v/>
      </c>
      <c r="J318" s="801" t="str">
        <f>kursovoy!$B$234</f>
        <v/>
      </c>
      <c r="K318" s="801" t="str">
        <f>kursovoy!$B$234</f>
        <v/>
      </c>
      <c r="L318" s="801" t="str">
        <f>kursovoy!$B$234</f>
        <v/>
      </c>
      <c r="M318" s="801" t="str">
        <f>kursovoy!$B$234</f>
        <v/>
      </c>
      <c r="N318" s="11"/>
      <c r="O318" s="11"/>
      <c r="P318" s="11"/>
      <c r="Q318" s="11"/>
    </row>
    <row r="319" spans="1:17" customFormat="1" x14ac:dyDescent="0.2">
      <c r="A319" s="11" t="str">
        <f>IF(SUM(V47:V51)=5,"Природная метаноносность пласта в действующей лаве, м3/т с.б.м.","")</f>
        <v/>
      </c>
      <c r="B319" s="11"/>
      <c r="C319" s="11"/>
      <c r="D319" s="11"/>
      <c r="E319" s="11"/>
      <c r="F319" s="11"/>
      <c r="G319" s="11"/>
      <c r="H319" s="29"/>
      <c r="I319" s="801" t="str">
        <f>kursovoy!$B$235</f>
        <v/>
      </c>
      <c r="J319" s="801" t="str">
        <f>kursovoy!$B$235</f>
        <v/>
      </c>
      <c r="K319" s="801" t="str">
        <f>kursovoy!$B$235</f>
        <v/>
      </c>
      <c r="L319" s="801" t="str">
        <f>kursovoy!$B$235</f>
        <v/>
      </c>
      <c r="M319" s="801" t="str">
        <f>kursovoy!$B$235</f>
        <v/>
      </c>
      <c r="N319" s="11"/>
      <c r="O319" s="11"/>
      <c r="P319" s="11"/>
      <c r="Q319" s="11"/>
    </row>
    <row r="320" spans="1:17" customFormat="1" x14ac:dyDescent="0.2">
      <c r="A320" s="11" t="str">
        <f>IF(SUM(V47:V51)=5,"Фактическое относительное метановыделение из пласта, м3/т.с.д ","")</f>
        <v/>
      </c>
      <c r="B320" s="11"/>
      <c r="C320" s="11"/>
      <c r="D320" s="11"/>
      <c r="E320" s="11"/>
      <c r="F320" s="11"/>
      <c r="G320" s="11"/>
      <c r="H320" s="29"/>
      <c r="I320" s="801" t="str">
        <f>kursovoy!$B$236</f>
        <v/>
      </c>
      <c r="J320" s="801" t="str">
        <f>kursovoy!$B$236</f>
        <v/>
      </c>
      <c r="K320" s="801" t="str">
        <f>kursovoy!$B$236</f>
        <v/>
      </c>
      <c r="L320" s="801" t="str">
        <f>kursovoy!$B$236</f>
        <v/>
      </c>
      <c r="M320" s="801" t="str">
        <f>kursovoy!$B$236</f>
        <v/>
      </c>
      <c r="N320" s="11"/>
      <c r="O320" s="11"/>
      <c r="P320" s="11"/>
      <c r="Q320" s="11"/>
    </row>
    <row r="321" spans="1:17" customFormat="1" x14ac:dyDescent="0.2">
      <c r="A321" s="11" t="str">
        <f>IF(SUM(V47:V51)=5,"Факт.относительное метановыделение из выработанного пр-ва,м3/т.с.д ","")</f>
        <v/>
      </c>
      <c r="B321" s="11"/>
      <c r="C321" s="11"/>
      <c r="D321" s="11"/>
      <c r="E321" s="11"/>
      <c r="F321" s="11"/>
      <c r="G321" s="11"/>
      <c r="H321" s="29"/>
      <c r="I321" s="801" t="str">
        <f>kursovoy!$B$237</f>
        <v/>
      </c>
      <c r="J321" s="801" t="str">
        <f>kursovoy!$B$237</f>
        <v/>
      </c>
      <c r="K321" s="801" t="str">
        <f>kursovoy!$B$237</f>
        <v/>
      </c>
      <c r="L321" s="801" t="str">
        <f>kursovoy!$B$237</f>
        <v/>
      </c>
      <c r="M321" s="801" t="str">
        <f>kursovoy!$B$237</f>
        <v/>
      </c>
      <c r="N321" s="11"/>
      <c r="O321" s="11"/>
      <c r="P321" s="11"/>
      <c r="Q321" s="11"/>
    </row>
    <row r="322" spans="1:17" customFormat="1" x14ac:dyDescent="0.2">
      <c r="A322" s="11" t="str">
        <f>IF(SUM(V47:V51)=5,"Нагрузка на лаву, при которой определено газовыделение, т/сут","")</f>
        <v/>
      </c>
      <c r="B322" s="11"/>
      <c r="C322" s="11"/>
      <c r="D322" s="11"/>
      <c r="E322" s="11"/>
      <c r="G322" s="791"/>
      <c r="H322" s="29"/>
      <c r="I322" s="801" t="str">
        <f>kursovoy!$B$239</f>
        <v/>
      </c>
      <c r="J322" s="801" t="str">
        <f>kursovoy!$B$239</f>
        <v/>
      </c>
      <c r="K322" s="801" t="str">
        <f>kursovoy!$B$239</f>
        <v/>
      </c>
      <c r="L322" s="801" t="str">
        <f>kursovoy!$B$239</f>
        <v/>
      </c>
      <c r="M322" s="801" t="str">
        <f>kursovoy!$B$239</f>
        <v/>
      </c>
      <c r="N322" s="11"/>
      <c r="O322" s="11"/>
      <c r="P322" s="11"/>
      <c r="Q322" s="11"/>
    </row>
    <row r="323" spans="1:17" customFormat="1" x14ac:dyDescent="0.2">
      <c r="A323" s="4373" t="str">
        <f>IF(SUM(V47:V51)=5,#REF!,"")</f>
        <v/>
      </c>
      <c r="B323" s="4373"/>
      <c r="C323" s="4373"/>
      <c r="D323" s="4373"/>
      <c r="E323" s="4373"/>
      <c r="F323" s="4373"/>
      <c r="G323" s="4373"/>
      <c r="H323" s="29"/>
      <c r="I323" s="801" t="str">
        <f>kursovoy!$B$238</f>
        <v/>
      </c>
      <c r="J323" s="801" t="str">
        <f>kursovoy!$B$238</f>
        <v/>
      </c>
      <c r="K323" s="801" t="str">
        <f>kursovoy!$B$238</f>
        <v/>
      </c>
      <c r="L323" s="801" t="str">
        <f>kursovoy!$B$238</f>
        <v/>
      </c>
      <c r="M323" s="801" t="str">
        <f>kursovoy!$B$238</f>
        <v/>
      </c>
      <c r="N323" s="11"/>
      <c r="O323" s="11"/>
      <c r="P323" s="11"/>
      <c r="Q323" s="11"/>
    </row>
    <row r="324" spans="1:17" customFormat="1" x14ac:dyDescent="0.2">
      <c r="B324" s="29"/>
      <c r="C324" s="29"/>
      <c r="D324" s="29"/>
      <c r="E324" s="29"/>
      <c r="F324" s="29"/>
      <c r="G324" s="29"/>
      <c r="H324" s="29"/>
      <c r="I324" s="29"/>
      <c r="J324" s="29"/>
      <c r="K324" s="29"/>
      <c r="L324" s="29"/>
      <c r="M324" s="29"/>
      <c r="N324" s="11"/>
      <c r="O324" s="11"/>
      <c r="P324" s="11"/>
      <c r="Q324" s="11"/>
    </row>
    <row r="325" spans="1:17" customFormat="1" ht="18" x14ac:dyDescent="0.25">
      <c r="A325" s="790" t="str">
        <f>IF(SUM(V47:V51)=5,"Исходные данные по проектируемой лаве","")</f>
        <v/>
      </c>
      <c r="B325" s="29"/>
      <c r="C325" s="29"/>
      <c r="D325" s="29"/>
      <c r="E325" s="29"/>
      <c r="F325" s="29"/>
      <c r="G325" s="29"/>
      <c r="H325" s="29"/>
      <c r="I325" s="29"/>
      <c r="J325" s="29"/>
      <c r="K325" s="29"/>
      <c r="L325" s="29"/>
      <c r="M325" s="29"/>
      <c r="N325" s="11"/>
      <c r="O325" s="11"/>
      <c r="P325" s="11"/>
      <c r="Q325" s="11"/>
    </row>
    <row r="326" spans="1:17" customFormat="1" x14ac:dyDescent="0.2">
      <c r="A326" s="4375" t="s">
        <v>554</v>
      </c>
      <c r="B326" s="4375"/>
      <c r="C326" s="4375"/>
      <c r="D326" s="4375"/>
      <c r="E326" s="4375"/>
      <c r="F326" s="4375"/>
      <c r="G326" s="4375"/>
      <c r="H326" s="29"/>
      <c r="I326" s="828">
        <v>1</v>
      </c>
      <c r="J326" s="828">
        <v>1</v>
      </c>
      <c r="K326" s="828">
        <v>1</v>
      </c>
      <c r="L326" s="828">
        <v>1</v>
      </c>
      <c r="M326" s="828">
        <v>1</v>
      </c>
      <c r="N326" s="11"/>
      <c r="O326" s="11"/>
      <c r="P326" s="11"/>
      <c r="Q326" s="11"/>
    </row>
    <row r="327" spans="1:17" customFormat="1" x14ac:dyDescent="0.2">
      <c r="A327" s="22" t="s">
        <v>3230</v>
      </c>
      <c r="B327" s="29"/>
      <c r="C327" s="792"/>
      <c r="D327" s="792"/>
      <c r="E327" s="792"/>
      <c r="F327" s="792"/>
      <c r="G327" s="792"/>
      <c r="H327" s="792"/>
      <c r="I327" s="801" t="str">
        <f>kursovoy!$B$404</f>
        <v/>
      </c>
      <c r="J327" s="801" t="str">
        <f>kursovoy!$B$404</f>
        <v/>
      </c>
      <c r="K327" s="801" t="str">
        <f>kursovoy!$B$404</f>
        <v/>
      </c>
      <c r="L327" s="801" t="str">
        <f>kursovoy!$B$404</f>
        <v/>
      </c>
      <c r="M327" s="801" t="str">
        <f>kursovoy!$B$404</f>
        <v/>
      </c>
      <c r="N327" s="11"/>
      <c r="O327" s="11"/>
      <c r="P327" s="11"/>
      <c r="Q327" s="11"/>
    </row>
    <row r="328" spans="1:17" customFormat="1" x14ac:dyDescent="0.2">
      <c r="A328" s="11" t="s">
        <v>549</v>
      </c>
      <c r="B328" s="11"/>
      <c r="C328" s="11"/>
      <c r="D328" s="11"/>
      <c r="E328" s="11"/>
      <c r="F328" s="11"/>
      <c r="G328" s="11"/>
      <c r="H328" s="29"/>
      <c r="I328" s="801" t="e">
        <f>kursovoy!$B$2305</f>
        <v>#VALUE!</v>
      </c>
      <c r="J328" s="801" t="e">
        <f>kursovoy!$B$2305</f>
        <v>#VALUE!</v>
      </c>
      <c r="K328" s="801" t="e">
        <f>kursovoy!$B$2305</f>
        <v>#VALUE!</v>
      </c>
      <c r="L328" s="801" t="e">
        <f>kursovoy!$B$2305</f>
        <v>#VALUE!</v>
      </c>
      <c r="M328" s="801" t="e">
        <f>kursovoy!$B$2305</f>
        <v>#VALUE!</v>
      </c>
      <c r="N328" s="11"/>
      <c r="O328" s="11"/>
      <c r="P328" s="11"/>
      <c r="Q328" s="11"/>
    </row>
    <row r="329" spans="1:17" customFormat="1" x14ac:dyDescent="0.2">
      <c r="A329" s="11" t="s">
        <v>555</v>
      </c>
      <c r="B329" s="11"/>
      <c r="C329" s="11"/>
      <c r="D329" s="11"/>
      <c r="E329" s="11"/>
      <c r="F329" s="11"/>
      <c r="G329" s="11"/>
      <c r="H329" s="29"/>
      <c r="I329" s="801">
        <f>IF(OR(kursovoy!B500=1,kursovoy!B500=2),1,0)</f>
        <v>0</v>
      </c>
      <c r="J329" s="801">
        <f>I329</f>
        <v>0</v>
      </c>
      <c r="K329" s="801">
        <f>I329</f>
        <v>0</v>
      </c>
      <c r="L329" s="801">
        <f>I329</f>
        <v>0</v>
      </c>
      <c r="M329" s="801">
        <f>I329</f>
        <v>0</v>
      </c>
      <c r="N329" s="11"/>
      <c r="O329" s="11"/>
      <c r="P329" s="11"/>
      <c r="Q329" s="11"/>
    </row>
    <row r="330" spans="1:17" customFormat="1" x14ac:dyDescent="0.2">
      <c r="L330" s="11"/>
      <c r="M330" s="11"/>
      <c r="N330" s="11"/>
      <c r="O330" s="11"/>
      <c r="P330" s="11"/>
      <c r="Q330" s="11"/>
    </row>
    <row r="331" spans="1:17" customFormat="1" x14ac:dyDescent="0.2">
      <c r="A331" s="28"/>
      <c r="B331" s="28"/>
      <c r="C331" s="28"/>
      <c r="D331" s="28"/>
      <c r="E331" s="28"/>
      <c r="F331" s="28"/>
      <c r="G331" s="28"/>
      <c r="H331" s="28"/>
      <c r="I331" s="28"/>
      <c r="J331" s="28"/>
      <c r="K331" s="28"/>
      <c r="L331" s="28"/>
      <c r="M331" s="28"/>
      <c r="N331" s="28"/>
      <c r="O331" s="11"/>
      <c r="P331" s="11"/>
      <c r="Q331" s="11"/>
    </row>
    <row r="332" spans="1:17" customFormat="1" ht="15.75" x14ac:dyDescent="0.25">
      <c r="A332" s="29"/>
      <c r="B332" s="799" t="s">
        <v>1596</v>
      </c>
      <c r="C332" s="29"/>
      <c r="D332" s="29"/>
      <c r="E332" s="29"/>
      <c r="F332" s="29"/>
      <c r="G332" s="29"/>
      <c r="H332" s="29"/>
      <c r="I332" s="29"/>
      <c r="J332" s="29"/>
      <c r="K332" s="29"/>
      <c r="L332" s="29"/>
      <c r="M332" s="29"/>
      <c r="N332" s="29"/>
      <c r="O332" s="11"/>
      <c r="P332" s="11"/>
      <c r="Q332" s="11"/>
    </row>
    <row r="333" spans="1:17" customFormat="1" ht="15.75" x14ac:dyDescent="0.3">
      <c r="A333" s="4454" t="s">
        <v>2300</v>
      </c>
      <c r="B333" s="4454"/>
      <c r="C333" s="4454"/>
      <c r="D333" s="4454"/>
      <c r="E333" s="4454"/>
      <c r="F333" s="4454"/>
      <c r="G333" s="4454"/>
      <c r="H333" s="29" t="s">
        <v>2301</v>
      </c>
      <c r="I333" s="23" t="e">
        <f>I317*30</f>
        <v>#VALUE!</v>
      </c>
      <c r="J333" s="23" t="e">
        <f>J317*30</f>
        <v>#VALUE!</v>
      </c>
      <c r="K333" s="23" t="e">
        <f>K317*30</f>
        <v>#VALUE!</v>
      </c>
      <c r="L333" s="23" t="e">
        <f>L317*30</f>
        <v>#VALUE!</v>
      </c>
      <c r="M333" s="23" t="e">
        <f>M317*30</f>
        <v>#VALUE!</v>
      </c>
      <c r="N333" s="29"/>
      <c r="O333" s="11"/>
      <c r="P333" s="11"/>
      <c r="Q333" s="11"/>
    </row>
    <row r="334" spans="1:17" customFormat="1" ht="15.75" x14ac:dyDescent="0.3">
      <c r="A334" s="4601" t="s">
        <v>4190</v>
      </c>
      <c r="B334" s="4601"/>
      <c r="C334" s="4601"/>
      <c r="D334" s="4601"/>
      <c r="E334" s="4601"/>
      <c r="F334" s="4601"/>
      <c r="G334" s="4601"/>
      <c r="H334" s="29" t="s">
        <v>4191</v>
      </c>
      <c r="I334" s="24" t="str">
        <f>IF(I317="","",IF(I317&lt;8,8,IF(I317&lt;12.01,11,IF(I317&lt;18.01,14,IF(I317&lt;26.01,18,IF(I317&lt;35.01,14,11))))))</f>
        <v/>
      </c>
      <c r="J334" s="24" t="str">
        <f>IF(J317="","",IF(J317&lt;8,8,IF(J317&lt;12.01,11,IF(J317&lt;18.01,14,IF(J317&lt;26.01,18,IF(J317&lt;35.01,14,11))))))</f>
        <v/>
      </c>
      <c r="K334" s="24" t="str">
        <f>IF(K317="","",IF(K317&lt;8,8,IF(K317&lt;12.01,11,IF(K317&lt;18.01,14,IF(K317&lt;26.01,18,IF(K317&lt;35.01,14,11))))))</f>
        <v/>
      </c>
      <c r="L334" s="24" t="str">
        <f>IF(L317="","",IF(L317&lt;8,8,IF(L317&lt;12.01,11,IF(L317&lt;18.01,14,IF(L317&lt;26.01,18,IF(L317&lt;35.01,14,11))))))</f>
        <v/>
      </c>
      <c r="M334" s="24" t="str">
        <f>IF(M317="","",IF(M317&lt;8,8,IF(M317&lt;12.01,11,IF(M317&lt;18.01,14,IF(M317&lt;26.01,18,IF(M317&lt;35.01,14,11))))))</f>
        <v/>
      </c>
      <c r="N334" s="29"/>
      <c r="O334" s="11"/>
      <c r="P334" s="11"/>
      <c r="Q334" s="11"/>
    </row>
    <row r="335" spans="1:17" customFormat="1" ht="14.25" x14ac:dyDescent="0.2">
      <c r="A335" s="29" t="s">
        <v>4192</v>
      </c>
      <c r="B335" s="29"/>
      <c r="C335" s="29"/>
      <c r="D335" s="29"/>
      <c r="E335" s="29"/>
      <c r="F335" s="29"/>
      <c r="G335" s="29"/>
      <c r="H335" s="29" t="s">
        <v>4193</v>
      </c>
      <c r="I335" s="23" t="e">
        <f>IF(I329=0,INDEX(вен!$R$422:$R$436,kursovoy!$C$518)-INDEX(вен!$J$422:$J$435,kursovoy!$C$515),I327*3.5*0.9)</f>
        <v>#VALUE!</v>
      </c>
      <c r="J335" s="23" t="e">
        <f>IF(J329=0,INDEX(вен!$R$422:$R$436,kursovoy!$C$518)-INDEX(вен!$J$422:$J$435,kursovoy!$C$515),J327*3.5*0.9)</f>
        <v>#VALUE!</v>
      </c>
      <c r="K335" s="23" t="e">
        <f>IF(K329=0,INDEX(вен!$R$422:$R$436,kursovoy!$C$518)-INDEX(вен!$J$422:$J$435,kursovoy!$C$515),K327*3.5*0.9)</f>
        <v>#VALUE!</v>
      </c>
      <c r="L335" s="23" t="e">
        <f>IF(L329=0,INDEX(вен!$R$422:$R$436,kursovoy!$C$518)-INDEX(вен!$J$422:$J$435,kursovoy!$C$515),L327*3.5*0.9)</f>
        <v>#VALUE!</v>
      </c>
      <c r="M335" s="23" t="e">
        <f>IF(M329=0,INDEX(вен!$R$422:$R$436,kursovoy!$C$518)-INDEX(вен!$J$422:$J$435,kursovoy!$C$515),M327*3.5*0.9)</f>
        <v>#VALUE!</v>
      </c>
      <c r="N335" s="29"/>
      <c r="O335" s="11"/>
      <c r="P335" s="11"/>
      <c r="Q335" s="11"/>
    </row>
    <row r="336" spans="1:17" customFormat="1" x14ac:dyDescent="0.2">
      <c r="A336" s="4601" t="s">
        <v>1599</v>
      </c>
      <c r="B336" s="4601"/>
      <c r="C336" s="4601"/>
      <c r="D336" s="4601"/>
      <c r="E336" s="4601"/>
      <c r="F336" s="4601"/>
      <c r="G336" s="4601"/>
      <c r="H336" s="29" t="s">
        <v>4194</v>
      </c>
      <c r="I336" s="800" t="e">
        <f>INDEX($C$414:$E$416,I323,I346)</f>
        <v>#VALUE!</v>
      </c>
      <c r="J336" s="800" t="e">
        <f>INDEX($C$414:$E$416,J323,J346)</f>
        <v>#VALUE!</v>
      </c>
      <c r="K336" s="800" t="e">
        <f>INDEX($C$414:$E$416,K323,K346)</f>
        <v>#VALUE!</v>
      </c>
      <c r="L336" s="800" t="e">
        <f>INDEX($C$414:$E$416,L323,L346)</f>
        <v>#VALUE!</v>
      </c>
      <c r="M336" s="800" t="e">
        <f>INDEX($C$414:$E$416,M323,M346)</f>
        <v>#VALUE!</v>
      </c>
      <c r="N336" s="29"/>
      <c r="O336" s="11"/>
      <c r="P336" s="11"/>
      <c r="Q336" s="11"/>
    </row>
    <row r="337" spans="1:17" customFormat="1" ht="14.25" x14ac:dyDescent="0.3">
      <c r="A337" s="4454" t="s">
        <v>5517</v>
      </c>
      <c r="B337" s="4454"/>
      <c r="C337" s="4454"/>
      <c r="D337" s="4454"/>
      <c r="E337" s="4454"/>
      <c r="F337" s="4454"/>
      <c r="G337" s="4454"/>
      <c r="H337" s="29" t="s">
        <v>5518</v>
      </c>
      <c r="I337" s="26" t="e">
        <f>IF(I333&gt;165,18.54*(I317^(-0.6062)),0.15*I333-13.6)</f>
        <v>#VALUE!</v>
      </c>
      <c r="J337" s="26" t="e">
        <f>IF(J333&gt;165,18.54*(J317^(-0.6062)),0.15*J333-13.6)</f>
        <v>#VALUE!</v>
      </c>
      <c r="K337" s="26" t="e">
        <f>IF(K333&gt;165,18.54*(K317^(-0.6062)),0.15*K333-13.6)</f>
        <v>#VALUE!</v>
      </c>
      <c r="L337" s="26" t="e">
        <f>IF(L333&gt;165,18.54*(L317^(-0.6062)),0.15*L333-13.6)</f>
        <v>#VALUE!</v>
      </c>
      <c r="M337" s="26" t="e">
        <f>IF(M333&gt;165,18.54*(M317^(-0.6062)),0.15*M333-13.6)</f>
        <v>#VALUE!</v>
      </c>
      <c r="N337" s="29"/>
      <c r="O337" s="11"/>
      <c r="P337" s="11"/>
      <c r="Q337" s="11"/>
    </row>
    <row r="338" spans="1:17" customFormat="1" x14ac:dyDescent="0.2">
      <c r="A338" s="4458" t="s">
        <v>3068</v>
      </c>
      <c r="B338" s="4375"/>
      <c r="C338" s="4375"/>
      <c r="D338" s="4375"/>
      <c r="E338" s="4375"/>
      <c r="F338" s="4375"/>
      <c r="G338" s="4375"/>
      <c r="H338" s="29" t="s">
        <v>5519</v>
      </c>
      <c r="I338" s="24" t="e">
        <f>IF(I328&gt;(I318+50),(I351-I337)/(I319-I337),1)</f>
        <v>#VALUE!</v>
      </c>
      <c r="J338" s="24" t="e">
        <f>IF(J328&gt;(J318+50),(J351-J337)/(J319-J337),1)</f>
        <v>#VALUE!</v>
      </c>
      <c r="K338" s="24" t="e">
        <f>IF(K328&gt;(K318+50),(K351-K337)/(K319-K337),1)</f>
        <v>#VALUE!</v>
      </c>
      <c r="L338" s="24" t="e">
        <f>IF(L328&gt;(L318+50),(L351-L337)/(L319-L337),1)</f>
        <v>#VALUE!</v>
      </c>
      <c r="M338" s="24" t="e">
        <f>IF(M328&gt;(M318+50),(M351-M337)/(M319-M337),1)</f>
        <v>#VALUE!</v>
      </c>
      <c r="N338" s="29"/>
      <c r="O338" s="11"/>
      <c r="P338" s="11"/>
      <c r="Q338" s="11"/>
    </row>
    <row r="339" spans="1:17" customFormat="1" x14ac:dyDescent="0.2">
      <c r="A339" s="4454" t="s">
        <v>3069</v>
      </c>
      <c r="B339" s="4454"/>
      <c r="C339" s="4454"/>
      <c r="D339" s="4454"/>
      <c r="E339" s="4454"/>
      <c r="F339" s="4454"/>
      <c r="G339" s="4454"/>
      <c r="H339" s="29" t="s">
        <v>5520</v>
      </c>
      <c r="I339" s="26" t="e">
        <f>IF(I286=1,1+0.5*I327*EXP(0.24*I315-0.35*I335),IF(I286=2,1+0.13*I327*EXP(0.35*I315-0.25*I335),IF(I286=3,1+0.5*I327*EXP(0.24*I315-0.35*I335),1+0.5*I327*EXP(0.24*I315-0.35*I335))))</f>
        <v>#VALUE!</v>
      </c>
      <c r="J339" s="26" t="e">
        <f>IF(J286=1,1+0.5*J327*EXP(0.24*J315-0.35*J335),IF(J286=2,1+0.13*J327*EXP(0.35*J315-0.25*J335),IF(J286=3,1+0.5*J327*EXP(0.24*J315-0.35*J335),1+0.5*J327*EXP(0.24*J315-0.35*J335))))</f>
        <v>#VALUE!</v>
      </c>
      <c r="K339" s="26" t="e">
        <f>IF(K286=1,1+0.5*K327*EXP(0.24*K315-0.35*K335),IF(K286=2,1+0.13*K327*EXP(0.35*K315-0.25*K335),IF(K286=3,1+0.5*K327*EXP(0.24*K315-0.35*K335),1+0.5*K327*EXP(0.24*K315-0.35*K335))))</f>
        <v>#VALUE!</v>
      </c>
      <c r="L339" s="26" t="e">
        <f>IF(L286=1,1+0.5*L327*EXP(0.24*L315-0.35*L335),IF(L286=2,1+0.13*L327*EXP(0.35*L315-0.25*L335),IF(L286=3,1+0.5*L327*EXP(0.24*L315-0.35*L335),1+0.5*L327*EXP(0.24*L315-0.35*L335))))</f>
        <v>#VALUE!</v>
      </c>
      <c r="M339" s="26" t="e">
        <f>IF(M286=1,1+0.5*M327*EXP(0.24*M315-0.35*M335),IF(M286=2,1+0.13*M327*EXP(0.35*M315-0.25*M335),IF(M286=3,1+0.5*M327*EXP(0.24*M315-0.35*M335),1+0.5*M327*EXP(0.24*M315-0.35*M335))))</f>
        <v>#VALUE!</v>
      </c>
      <c r="N339" s="29"/>
      <c r="O339" s="11"/>
      <c r="P339" s="11"/>
      <c r="Q339" s="11"/>
    </row>
    <row r="340" spans="1:17" customFormat="1" x14ac:dyDescent="0.2">
      <c r="A340" s="4458" t="s">
        <v>3070</v>
      </c>
      <c r="B340" s="4454"/>
      <c r="C340" s="4454"/>
      <c r="D340" s="4454"/>
      <c r="E340" s="4454"/>
      <c r="F340" s="4454"/>
      <c r="G340" s="4454"/>
      <c r="H340" s="29" t="s">
        <v>5521</v>
      </c>
      <c r="I340" s="26" t="e">
        <f>IF(I326=1,I339,IF(I326=2,1,IF(I326=3,I339,0.5*(1+I339))))</f>
        <v>#VALUE!</v>
      </c>
      <c r="J340" s="26" t="e">
        <f>IF(J326=1,J339,IF(J326=2,1,IF(J326=3,J339,0.5*(1+J339))))</f>
        <v>#VALUE!</v>
      </c>
      <c r="K340" s="26" t="e">
        <f>IF(K326=1,K339,IF(K326=2,1,IF(K326=3,K339,0.5*(1+K339))))</f>
        <v>#VALUE!</v>
      </c>
      <c r="L340" s="26" t="e">
        <f>IF(L326=1,L339,IF(L326=2,1,IF(L326=3,L339,0.5*(1+L339))))</f>
        <v>#VALUE!</v>
      </c>
      <c r="M340" s="26" t="e">
        <f>IF(M326=1,M339,IF(M326=2,1,IF(M326=3,M339,0.5*(1+M339))))</f>
        <v>#VALUE!</v>
      </c>
      <c r="N340" s="29"/>
      <c r="O340" s="11"/>
      <c r="P340" s="11"/>
      <c r="Q340" s="11"/>
    </row>
    <row r="341" spans="1:17" customFormat="1" x14ac:dyDescent="0.2">
      <c r="A341" s="4458" t="s">
        <v>1112</v>
      </c>
      <c r="B341" s="4454"/>
      <c r="C341" s="4454"/>
      <c r="D341" s="4454"/>
      <c r="E341" s="4454"/>
      <c r="F341" s="4454"/>
      <c r="G341" s="4454"/>
      <c r="H341" s="29" t="s">
        <v>5522</v>
      </c>
      <c r="I341" s="24">
        <f>INDEX($B$421:$D$424,I326,$E$419)</f>
        <v>1.3</v>
      </c>
      <c r="J341" s="24">
        <f>INDEX($B$421:$D$424,J326,$E$419)</f>
        <v>1.3</v>
      </c>
      <c r="K341" s="24">
        <f>INDEX($B$421:$D$424,K326,$E$419)</f>
        <v>1.3</v>
      </c>
      <c r="L341" s="24">
        <f>INDEX($B$421:$D$424,L326,$E$419)</f>
        <v>1.3</v>
      </c>
      <c r="M341" s="24">
        <f>INDEX($B$421:$D$424,M326,$E$419)</f>
        <v>1.3</v>
      </c>
      <c r="N341" s="29"/>
      <c r="O341" s="11"/>
      <c r="P341" s="11"/>
      <c r="Q341" s="11"/>
    </row>
    <row r="342" spans="1:17" customFormat="1" x14ac:dyDescent="0.2">
      <c r="A342" s="4454" t="s">
        <v>1113</v>
      </c>
      <c r="B342" s="4454"/>
      <c r="C342" s="4454"/>
      <c r="D342" s="4454"/>
      <c r="E342" s="4454"/>
      <c r="F342" s="4454"/>
      <c r="G342" s="4454"/>
      <c r="H342" s="29" t="s">
        <v>4195</v>
      </c>
      <c r="I342" s="24" t="e">
        <f>I320*IF(F133=0,1,(1-F134))+I321*IF(F135=0,1,(1-F136))</f>
        <v>#VALUE!</v>
      </c>
      <c r="J342" s="24" t="e">
        <f>J320*IF(G133=0,1,(1-G134))+J321*IF(G135=0,1,(1-G136))</f>
        <v>#VALUE!</v>
      </c>
      <c r="K342" s="24" t="e">
        <f>K320*IF(H133=0,1,(1-H134))+K321*IF(H135=0,1,(1-H136))</f>
        <v>#VALUE!</v>
      </c>
      <c r="L342" s="24" t="e">
        <f>L320*IF(I133=0,1,(1-I134))+L321*IF(I135=0,1,(1-I136))</f>
        <v>#VALUE!</v>
      </c>
      <c r="M342" s="24" t="e">
        <f>M320*IF(J133=0,1,(1-J134))+M321*IF(J135=0,1,(1-J136))</f>
        <v>#VALUE!</v>
      </c>
      <c r="N342" s="29"/>
      <c r="O342" s="11"/>
      <c r="P342" s="11"/>
      <c r="Q342" s="11"/>
    </row>
    <row r="343" spans="1:17" customFormat="1" ht="14.25" x14ac:dyDescent="0.2">
      <c r="A343" s="29" t="s">
        <v>4972</v>
      </c>
      <c r="B343" s="29"/>
      <c r="C343" s="29"/>
      <c r="D343" s="29"/>
      <c r="E343" s="29"/>
      <c r="F343" s="29"/>
      <c r="G343" s="29"/>
      <c r="H343" s="29" t="s">
        <v>4973</v>
      </c>
      <c r="I343" s="24" t="e">
        <f>(0.9*I320+I288*0.1*I320)*IF(F133=0,1,(1-F134))+I347*I321*IF(F135=0,1,(1-F136))</f>
        <v>#VALUE!</v>
      </c>
      <c r="J343" s="24" t="e">
        <f>(0.9*J320+J288*0.1*J320)*IF(G133=0,1,(1-G134))+J347*J321*IF(G135=0,1,(1-G136))</f>
        <v>#VALUE!</v>
      </c>
      <c r="K343" s="24" t="e">
        <f>(0.9*K320+K288*0.1*K320)*IF(H133=0,1,(1-H134))+K347*K321*IF(H135=0,1,(1-H136))</f>
        <v>#VALUE!</v>
      </c>
      <c r="L343" s="24" t="e">
        <f>(0.9*L320+L288*0.1*L320)*IF(I133=0,1,(1-I134))+L347*L321*IF(I135=0,1,(1-I136))</f>
        <v>#VALUE!</v>
      </c>
      <c r="M343" s="24" t="e">
        <f>(0.9*M320+M288*0.1*M320)*IF(J133=0,1,(1-J134))+M347*M321*IF(J135=0,1,(1-J136))</f>
        <v>#VALUE!</v>
      </c>
      <c r="N343" s="29"/>
      <c r="O343" s="11"/>
      <c r="P343" s="11"/>
      <c r="Q343" s="11"/>
    </row>
    <row r="344" spans="1:17" customFormat="1" ht="14.25" x14ac:dyDescent="0.2">
      <c r="A344" s="29" t="s">
        <v>4974</v>
      </c>
      <c r="B344" s="29"/>
      <c r="C344" s="29"/>
      <c r="D344" s="29"/>
      <c r="E344" s="29"/>
      <c r="F344" s="29"/>
      <c r="G344" s="29"/>
      <c r="H344" s="29" t="s">
        <v>4975</v>
      </c>
      <c r="I344" s="26" t="e">
        <f>IF(I286=2,60*4*I335*I340,IF(I286=3,60*4*I335*I341,IF(I286=4,60*4*I335*I341,IF((I342/I343)&gt;I340,60*4*I335*I340,60*4*I335*I341))))</f>
        <v>#VALUE!</v>
      </c>
      <c r="J344" s="26" t="e">
        <f>IF(J286=2,60*4*J335*J340,IF(J286=3,60*4*J335*J341,IF(J286=4,60*4*J335*J341,IF((J342/J343)&gt;J340,60*4*J335*J340,60*4*J335*J341))))</f>
        <v>#VALUE!</v>
      </c>
      <c r="K344" s="26" t="e">
        <f>IF(K286=2,60*4*K335*K340,IF(K286=3,60*4*K335*K341,IF(K286=4,60*4*K335*K341,IF((K342/K343)&gt;K340,60*4*K335*K340,60*4*K335*K341))))</f>
        <v>#VALUE!</v>
      </c>
      <c r="L344" s="26" t="e">
        <f>IF(L286=2,60*4*L335*L340,IF(L286=3,60*4*L335*L341,IF(L286=4,60*4*L335*L341,IF((L342/L343)&gt;L340,60*4*L335*L340,60*4*L335*L341))))</f>
        <v>#VALUE!</v>
      </c>
      <c r="M344" s="26" t="e">
        <f>IF(M286=2,60*4*M335*M340,IF(M286=3,60*4*M335*M341,IF(M286=4,60*4*M335*M341,IF((M342/M343)&gt;M340,60*4*M335*M340,60*4*M335*M341))))</f>
        <v>#VALUE!</v>
      </c>
      <c r="N344" s="29"/>
      <c r="O344" s="11"/>
      <c r="P344" s="11"/>
      <c r="Q344" s="11"/>
    </row>
    <row r="345" spans="1:17" customFormat="1" ht="14.25" x14ac:dyDescent="0.2">
      <c r="A345" s="11" t="s">
        <v>4972</v>
      </c>
      <c r="B345" s="11"/>
      <c r="C345" s="11"/>
      <c r="D345" s="11"/>
      <c r="E345" s="11"/>
      <c r="F345" s="11"/>
      <c r="G345" s="11"/>
      <c r="H345" s="11" t="s">
        <v>4976</v>
      </c>
      <c r="I345" s="24" t="e">
        <f>IF(I286=2,I342,IF(I286=3,I343,IF(I286=4,I343,IF((I342/I343)&gt;I340,I342,I343))))</f>
        <v>#VALUE!</v>
      </c>
      <c r="J345" s="24" t="e">
        <f>IF(J286=2,J342,IF(J286=3,J343,IF(J286=4,J343,IF((J342/J343)&gt;J340,J342,J343))))</f>
        <v>#VALUE!</v>
      </c>
      <c r="K345" s="24" t="e">
        <f>IF(K286=2,K342,IF(K286=3,K343,IF(K286=4,K343,IF((K342/K343)&gt;K340,K342,K343))))</f>
        <v>#VALUE!</v>
      </c>
      <c r="L345" s="24" t="e">
        <f>IF(L286=2,L342,IF(L286=3,L343,IF(L286=4,L343,IF((L342/L343)&gt;L340,L342,L343))))</f>
        <v>#VALUE!</v>
      </c>
      <c r="M345" s="24" t="e">
        <f>IF(M286=2,M342,IF(M286=3,M343,IF(M286=4,M343,IF((M342/M343)&gt;M340,M342,M343))))</f>
        <v>#VALUE!</v>
      </c>
      <c r="N345" s="29"/>
      <c r="O345" s="11"/>
      <c r="P345" s="11"/>
      <c r="Q345" s="11"/>
    </row>
    <row r="346" spans="1:17" customFormat="1" x14ac:dyDescent="0.2">
      <c r="A346" s="4375" t="s">
        <v>4977</v>
      </c>
      <c r="B346" s="4375"/>
      <c r="C346" s="4375"/>
      <c r="D346" s="4375"/>
      <c r="E346" s="4375"/>
      <c r="F346" s="4375"/>
      <c r="G346" s="4375"/>
      <c r="H346" s="29" t="s">
        <v>4978</v>
      </c>
      <c r="I346" s="801" t="e">
        <f>I289</f>
        <v>#VALUE!</v>
      </c>
      <c r="J346" s="801" t="e">
        <f>J289</f>
        <v>#VALUE!</v>
      </c>
      <c r="K346" s="801" t="e">
        <f>K289</f>
        <v>#VALUE!</v>
      </c>
      <c r="L346" s="801" t="e">
        <f>L289</f>
        <v>#VALUE!</v>
      </c>
      <c r="M346" s="801" t="e">
        <f>M289</f>
        <v>#VALUE!</v>
      </c>
      <c r="N346" s="29"/>
      <c r="O346" s="11"/>
      <c r="P346" s="11"/>
      <c r="Q346" s="11"/>
    </row>
    <row r="347" spans="1:17" customFormat="1" x14ac:dyDescent="0.2">
      <c r="A347" s="11" t="s">
        <v>4979</v>
      </c>
      <c r="B347" s="11"/>
      <c r="C347" s="11"/>
      <c r="D347" s="11"/>
      <c r="E347" s="11"/>
      <c r="F347" s="11"/>
      <c r="G347" s="11"/>
      <c r="H347" s="11" t="s">
        <v>4980</v>
      </c>
      <c r="I347" s="801" t="e">
        <f>IF(I286=1,0.85,IF(I286=2,1,IF(I286=3,0,IF(I286=4,0))))</f>
        <v>#VALUE!</v>
      </c>
      <c r="J347" s="801" t="e">
        <f>IF(J286=1,0.85,IF(J286=2,1,IF(J286=3,0,IF(J286=4,0))))</f>
        <v>#VALUE!</v>
      </c>
      <c r="K347" s="801" t="e">
        <f>IF(K286=1,0.85,IF(K286=2,1,IF(K286=3,0,IF(K286=4,0))))</f>
        <v>#VALUE!</v>
      </c>
      <c r="L347" s="801" t="e">
        <f>IF(L286=1,0.85,IF(L286=2,1,IF(L286=3,0,IF(L286=4,0))))</f>
        <v>#VALUE!</v>
      </c>
      <c r="M347" s="801" t="e">
        <f>IF(M286=1,0.85,IF(M286=2,1,IF(M286=3,0,IF(M286=4,0))))</f>
        <v>#VALUE!</v>
      </c>
      <c r="O347" s="11"/>
      <c r="P347" s="11"/>
      <c r="Q347" s="11"/>
    </row>
    <row r="348" spans="1:17" customFormat="1" x14ac:dyDescent="0.2">
      <c r="A348" s="11" t="s">
        <v>1310</v>
      </c>
      <c r="I348" s="802" t="e">
        <f>IF(I318&lt;500,0.0000005*I318^3-0.00066*I318^2+0.317*I318-39.02,5.34*LN(I318)-17.31)</f>
        <v>#VALUE!</v>
      </c>
      <c r="J348" s="802" t="e">
        <f>IF(J318&lt;500,0.0000005*J318^3-0.00066*J318^2+0.317*J318-39.02,5.34*LN(J318)-17.31)</f>
        <v>#VALUE!</v>
      </c>
      <c r="K348" s="802" t="e">
        <f>IF(K318&lt;500,0.0000005*K318^3-0.00066*K318^2+0.317*K318-39.02,5.34*LN(K318)-17.31)</f>
        <v>#VALUE!</v>
      </c>
      <c r="L348" s="802" t="e">
        <f>IF(L318&lt;500,0.0000005*L318^3-0.00066*L318^2+0.317*L318-39.02,5.34*LN(L318)-17.31)</f>
        <v>#VALUE!</v>
      </c>
      <c r="M348" s="802" t="e">
        <f>IF(M318&lt;500,0.0000005*M318^3-0.00066*M318^2+0.317*M318-39.02,5.34*LN(M318)-17.31)</f>
        <v>#VALUE!</v>
      </c>
      <c r="O348" s="11"/>
      <c r="P348" s="11"/>
      <c r="Q348" s="11"/>
    </row>
    <row r="349" spans="1:17" customFormat="1" x14ac:dyDescent="0.2">
      <c r="A349" s="11" t="s">
        <v>2822</v>
      </c>
      <c r="I349" s="802" t="e">
        <f>I319-I348</f>
        <v>#VALUE!</v>
      </c>
      <c r="J349" s="802" t="e">
        <f>J319-J348</f>
        <v>#VALUE!</v>
      </c>
      <c r="K349" s="802" t="e">
        <f>K319-K348</f>
        <v>#VALUE!</v>
      </c>
      <c r="L349" s="802" t="e">
        <f>L319-L348</f>
        <v>#VALUE!</v>
      </c>
      <c r="M349" s="802" t="e">
        <f>M319-M348</f>
        <v>#VALUE!</v>
      </c>
      <c r="O349" s="11"/>
      <c r="P349" s="11"/>
      <c r="Q349" s="11"/>
    </row>
    <row r="350" spans="1:17" customFormat="1" x14ac:dyDescent="0.2">
      <c r="A350" s="11" t="s">
        <v>2823</v>
      </c>
      <c r="I350" s="802" t="e">
        <f>ROUND((IF(I328&lt;500,0.0000005*I328^3-0.00066*I328^2+0.317*I328-39.02,5.34*LN(I328)-17.31)+I349),0)</f>
        <v>#VALUE!</v>
      </c>
      <c r="J350" s="802" t="e">
        <f>ROUND((IF(J328&lt;500,0.0000005*J328^3-0.00066*J328^2+0.317*J328-39.02,5.34*LN(J328)-17.31)+J349),0)</f>
        <v>#VALUE!</v>
      </c>
      <c r="K350" s="802" t="e">
        <f>ROUND((IF(K328&lt;500,0.0000005*K328^3-0.00066*K328^2+0.317*K328-39.02,5.34*LN(K328)-17.31)+K349),0)</f>
        <v>#VALUE!</v>
      </c>
      <c r="L350" s="802" t="e">
        <f>ROUND((IF(L328&lt;500,0.0000005*L328^3-0.00066*L328^2+0.317*L328-39.02,5.34*LN(L328)-17.31)+L349),0)</f>
        <v>#VALUE!</v>
      </c>
      <c r="M350" s="802" t="e">
        <f>ROUND((IF(M328&lt;500,0.0000005*M328^3-0.00066*M328^2+0.317*M328-39.02,5.34*LN(M328)-17.31)+M349),0)</f>
        <v>#VALUE!</v>
      </c>
      <c r="O350" s="11"/>
      <c r="P350" s="11"/>
      <c r="Q350" s="11"/>
    </row>
    <row r="351" spans="1:17" customFormat="1" x14ac:dyDescent="0.2">
      <c r="A351" s="11" t="s">
        <v>2824</v>
      </c>
      <c r="I351" s="2567" t="str">
        <f>IF(I310=1,I311,I350)</f>
        <v/>
      </c>
      <c r="J351" s="2567" t="str">
        <f>IF(J310=1,J311,J350)</f>
        <v/>
      </c>
      <c r="K351" s="2567" t="str">
        <f>IF(K310=1,K311,K350)</f>
        <v/>
      </c>
      <c r="L351" s="2567" t="str">
        <f>IF(L310=1,L311,L350)</f>
        <v/>
      </c>
      <c r="M351" s="2567" t="str">
        <f>IF(M310=1,M311,M350)</f>
        <v/>
      </c>
      <c r="O351" s="11"/>
      <c r="P351" s="11"/>
      <c r="Q351" s="11"/>
    </row>
    <row r="352" spans="1:17" customFormat="1" x14ac:dyDescent="0.2">
      <c r="A352" s="6"/>
      <c r="B352" s="6"/>
      <c r="C352" s="6"/>
      <c r="D352" s="6"/>
      <c r="E352" s="6"/>
      <c r="F352" s="6"/>
      <c r="G352" s="6"/>
      <c r="H352" s="6"/>
      <c r="I352" s="6"/>
      <c r="J352" s="6"/>
      <c r="K352" s="6"/>
      <c r="L352" s="28"/>
      <c r="M352" s="28"/>
      <c r="N352" s="28"/>
      <c r="O352" s="11"/>
      <c r="P352" s="11"/>
      <c r="Q352" s="11"/>
    </row>
    <row r="353" spans="1:17" customFormat="1" x14ac:dyDescent="0.2">
      <c r="A353" s="4342"/>
      <c r="B353" s="4342"/>
      <c r="C353" s="4342"/>
      <c r="D353" s="4342"/>
      <c r="E353" s="4342"/>
      <c r="F353" s="4342"/>
      <c r="G353" s="4342"/>
      <c r="H353" s="4342"/>
      <c r="I353" s="11"/>
      <c r="J353" s="11"/>
      <c r="K353" s="11"/>
      <c r="L353" s="11"/>
      <c r="M353" s="11"/>
      <c r="N353" s="11"/>
      <c r="O353" s="11"/>
      <c r="P353" s="11"/>
      <c r="Q353" s="11"/>
    </row>
    <row r="354" spans="1:17" customFormat="1" x14ac:dyDescent="0.2">
      <c r="M354" s="11"/>
      <c r="N354" s="11"/>
      <c r="O354" s="11"/>
      <c r="P354" s="11"/>
      <c r="Q354" s="11"/>
    </row>
    <row r="355" spans="1:17" customFormat="1" x14ac:dyDescent="0.2">
      <c r="M355" s="11"/>
      <c r="N355" s="11"/>
      <c r="O355" s="11"/>
      <c r="P355" s="11"/>
      <c r="Q355" s="11"/>
    </row>
    <row r="356" spans="1:17" customFormat="1" x14ac:dyDescent="0.2">
      <c r="M356" s="11"/>
      <c r="N356" s="11"/>
      <c r="O356" s="11"/>
      <c r="P356" s="11"/>
      <c r="Q356" s="11"/>
    </row>
    <row r="357" spans="1:17" customFormat="1" x14ac:dyDescent="0.2">
      <c r="M357" s="11"/>
      <c r="N357" s="11"/>
      <c r="O357" s="11"/>
      <c r="P357" s="11"/>
      <c r="Q357" s="11"/>
    </row>
    <row r="358" spans="1:17" customFormat="1" x14ac:dyDescent="0.2">
      <c r="M358" s="11"/>
      <c r="N358" s="11"/>
      <c r="O358" s="11"/>
      <c r="P358" s="11"/>
      <c r="Q358" s="11"/>
    </row>
    <row r="359" spans="1:17" customFormat="1" x14ac:dyDescent="0.2">
      <c r="M359" s="11"/>
      <c r="N359" s="11"/>
      <c r="O359" s="11"/>
      <c r="P359" s="11"/>
      <c r="Q359" s="11"/>
    </row>
    <row r="360" spans="1:17" customFormat="1" x14ac:dyDescent="0.2">
      <c r="M360" s="11"/>
      <c r="N360" s="11"/>
      <c r="O360" s="11"/>
      <c r="P360" s="11"/>
      <c r="Q360" s="11"/>
    </row>
    <row r="361" spans="1:17" customFormat="1" x14ac:dyDescent="0.2">
      <c r="M361" s="11"/>
      <c r="N361" s="11"/>
      <c r="O361" s="11"/>
      <c r="P361" s="11"/>
      <c r="Q361" s="11"/>
    </row>
    <row r="362" spans="1:17" customFormat="1" x14ac:dyDescent="0.2">
      <c r="M362" s="11"/>
      <c r="N362" s="11"/>
      <c r="O362" s="11"/>
      <c r="P362" s="11"/>
      <c r="Q362" s="11"/>
    </row>
    <row r="363" spans="1:17" customFormat="1" x14ac:dyDescent="0.2">
      <c r="M363" s="11"/>
      <c r="N363" s="11"/>
      <c r="O363" s="11"/>
      <c r="P363" s="11"/>
      <c r="Q363" s="11"/>
    </row>
    <row r="364" spans="1:17" customFormat="1" x14ac:dyDescent="0.2">
      <c r="M364" s="11"/>
      <c r="N364" s="11"/>
      <c r="O364" s="11"/>
      <c r="P364" s="11"/>
      <c r="Q364" s="11"/>
    </row>
    <row r="365" spans="1:17" customFormat="1" x14ac:dyDescent="0.2">
      <c r="M365" s="11"/>
      <c r="N365" s="11"/>
      <c r="O365" s="11"/>
      <c r="P365" s="11"/>
      <c r="Q365" s="11"/>
    </row>
    <row r="366" spans="1:17" customFormat="1" x14ac:dyDescent="0.2">
      <c r="M366" s="11"/>
      <c r="N366" s="11"/>
      <c r="O366" s="11"/>
      <c r="P366" s="11"/>
      <c r="Q366" s="11"/>
    </row>
    <row r="367" spans="1:17" customFormat="1" x14ac:dyDescent="0.2">
      <c r="M367" s="11"/>
      <c r="N367" s="11"/>
      <c r="O367" s="11"/>
      <c r="P367" s="11"/>
      <c r="Q367" s="11"/>
    </row>
    <row r="368" spans="1:17" customFormat="1" x14ac:dyDescent="0.2">
      <c r="M368" s="11"/>
      <c r="N368" s="11"/>
      <c r="O368" s="11"/>
      <c r="P368" s="11"/>
      <c r="Q368" s="11"/>
    </row>
    <row r="369" spans="1:17" customFormat="1" x14ac:dyDescent="0.2">
      <c r="M369" s="11"/>
      <c r="N369" s="11"/>
      <c r="O369" s="11"/>
      <c r="P369" s="11"/>
      <c r="Q369" s="11"/>
    </row>
    <row r="370" spans="1:17" customFormat="1" x14ac:dyDescent="0.2">
      <c r="A370" s="172"/>
      <c r="B370" s="59"/>
      <c r="C370" s="59"/>
      <c r="D370" s="59"/>
      <c r="E370" s="59"/>
      <c r="F370" s="59"/>
      <c r="G370" s="172"/>
      <c r="H370" s="198"/>
      <c r="I370" s="11"/>
      <c r="J370" s="11"/>
      <c r="K370" s="11"/>
      <c r="L370" s="11"/>
      <c r="M370" s="11"/>
      <c r="N370" s="11"/>
      <c r="O370" s="11"/>
      <c r="P370" s="11"/>
      <c r="Q370" s="11"/>
    </row>
    <row r="371" spans="1:17" customFormat="1" x14ac:dyDescent="0.2">
      <c r="A371" s="172"/>
      <c r="B371" s="59"/>
      <c r="C371" s="59"/>
      <c r="D371" s="59"/>
      <c r="E371" s="59"/>
      <c r="F371" s="59"/>
      <c r="G371" s="172"/>
      <c r="H371" s="198"/>
      <c r="I371" s="11"/>
      <c r="J371" s="11"/>
      <c r="K371" s="11"/>
      <c r="L371" s="11"/>
      <c r="M371" s="11"/>
      <c r="N371" s="11"/>
      <c r="O371" s="11"/>
      <c r="P371" s="11"/>
      <c r="Q371" s="11"/>
    </row>
    <row r="372" spans="1:17" customFormat="1" x14ac:dyDescent="0.2">
      <c r="A372" s="172"/>
      <c r="B372" s="59"/>
      <c r="C372" s="59"/>
      <c r="D372" s="59"/>
      <c r="E372" s="59"/>
      <c r="F372" s="59"/>
      <c r="G372" s="172"/>
      <c r="H372" s="198"/>
      <c r="I372" s="11"/>
      <c r="J372" s="11"/>
      <c r="K372" s="11"/>
      <c r="L372" s="11"/>
      <c r="M372" s="11"/>
      <c r="N372" s="11"/>
      <c r="O372" s="11"/>
      <c r="P372" s="11"/>
      <c r="Q372" s="11"/>
    </row>
    <row r="373" spans="1:17" customFormat="1" x14ac:dyDescent="0.2">
      <c r="A373" s="172"/>
      <c r="B373" s="59"/>
      <c r="C373" s="59"/>
      <c r="D373" s="59"/>
      <c r="E373" s="59"/>
      <c r="F373" s="59"/>
      <c r="G373" s="172"/>
      <c r="H373" s="198"/>
      <c r="I373" s="11"/>
      <c r="J373" s="11"/>
      <c r="K373" s="11"/>
      <c r="L373" s="11"/>
      <c r="M373" s="11"/>
      <c r="N373" s="11"/>
      <c r="O373" s="11"/>
      <c r="P373" s="11"/>
      <c r="Q373" s="11"/>
    </row>
    <row r="374" spans="1:17" customFormat="1" x14ac:dyDescent="0.2">
      <c r="A374" s="172"/>
      <c r="B374" s="59"/>
      <c r="C374" s="59"/>
      <c r="D374" s="59"/>
      <c r="E374" s="59"/>
      <c r="F374" s="59"/>
      <c r="G374" s="172"/>
      <c r="H374" s="198"/>
      <c r="I374" s="11"/>
      <c r="J374" s="11"/>
      <c r="K374" s="11"/>
      <c r="L374" s="11"/>
      <c r="M374" s="11"/>
      <c r="N374" s="11"/>
      <c r="O374" s="11"/>
      <c r="P374" s="11"/>
      <c r="Q374" s="11"/>
    </row>
    <row r="375" spans="1:17" customFormat="1" x14ac:dyDescent="0.2">
      <c r="A375" s="172"/>
      <c r="B375" s="59"/>
      <c r="C375" s="59"/>
      <c r="D375" s="59"/>
      <c r="E375" s="59"/>
      <c r="F375" s="59"/>
      <c r="G375" s="172"/>
      <c r="H375" s="198"/>
      <c r="I375" s="11"/>
      <c r="J375" s="11"/>
      <c r="K375" s="11"/>
      <c r="L375" s="11"/>
      <c r="M375" s="11"/>
      <c r="N375" s="11"/>
      <c r="O375" s="11"/>
      <c r="P375" s="11"/>
      <c r="Q375" s="11"/>
    </row>
    <row r="376" spans="1:17" customFormat="1" x14ac:dyDescent="0.2">
      <c r="A376" s="172"/>
      <c r="B376" s="59"/>
      <c r="C376" s="59"/>
      <c r="D376" s="59"/>
      <c r="E376" s="59"/>
      <c r="F376" s="59"/>
      <c r="G376" s="172"/>
      <c r="H376" s="198"/>
      <c r="I376" s="11"/>
      <c r="J376" s="11"/>
      <c r="K376" s="11"/>
      <c r="L376" s="11"/>
      <c r="M376" s="11"/>
      <c r="N376" s="11"/>
      <c r="O376" s="11"/>
      <c r="P376" s="11"/>
      <c r="Q376" s="11"/>
    </row>
    <row r="377" spans="1:17" customFormat="1" x14ac:dyDescent="0.2">
      <c r="A377" s="172"/>
      <c r="B377" s="59"/>
      <c r="C377" s="59"/>
      <c r="D377" s="59"/>
      <c r="E377" s="59"/>
      <c r="F377" s="59"/>
      <c r="G377" s="172"/>
      <c r="H377" s="198"/>
      <c r="I377" s="11"/>
      <c r="J377" s="11"/>
      <c r="K377" s="11"/>
      <c r="L377" s="11"/>
      <c r="M377" s="11"/>
      <c r="N377" s="11"/>
      <c r="O377" s="11"/>
      <c r="P377" s="11"/>
      <c r="Q377" s="11"/>
    </row>
    <row r="378" spans="1:17" customFormat="1" x14ac:dyDescent="0.2">
      <c r="A378" s="172"/>
      <c r="B378" s="59"/>
      <c r="C378" s="59"/>
      <c r="D378" s="59"/>
      <c r="E378" s="59"/>
      <c r="F378" s="59"/>
      <c r="G378" s="172"/>
      <c r="H378" s="198"/>
      <c r="I378" s="11"/>
      <c r="J378" s="11"/>
      <c r="K378" s="11"/>
      <c r="L378" s="11"/>
      <c r="M378" s="11"/>
      <c r="N378" s="11"/>
      <c r="O378" s="11"/>
      <c r="P378" s="11"/>
      <c r="Q378" s="11"/>
    </row>
    <row r="379" spans="1:17" customFormat="1" x14ac:dyDescent="0.2">
      <c r="A379" s="172"/>
      <c r="B379" s="59"/>
      <c r="C379" s="59"/>
      <c r="D379" s="59"/>
      <c r="E379" s="59"/>
      <c r="F379" s="59"/>
      <c r="G379" s="172"/>
      <c r="H379" s="198"/>
      <c r="I379" s="11"/>
      <c r="J379" s="11"/>
      <c r="K379" s="11"/>
      <c r="L379" s="11"/>
      <c r="M379" s="11"/>
      <c r="N379" s="11"/>
      <c r="O379" s="11"/>
      <c r="P379" s="11"/>
      <c r="Q379" s="11"/>
    </row>
    <row r="380" spans="1:17" customFormat="1" x14ac:dyDescent="0.2">
      <c r="A380" s="172"/>
      <c r="B380" s="59"/>
      <c r="C380" s="59"/>
      <c r="D380" s="59"/>
      <c r="E380" s="59"/>
      <c r="F380" s="59"/>
      <c r="G380" s="172"/>
      <c r="H380" s="198"/>
      <c r="I380" s="11"/>
      <c r="J380" s="11"/>
      <c r="K380" s="11"/>
      <c r="L380" s="11"/>
      <c r="M380" s="11"/>
      <c r="N380" s="11"/>
      <c r="O380" s="11"/>
      <c r="P380" s="11"/>
      <c r="Q380" s="11"/>
    </row>
    <row r="381" spans="1:17" customFormat="1" x14ac:dyDescent="0.2">
      <c r="A381" s="172"/>
      <c r="B381" s="59"/>
      <c r="C381" s="59"/>
      <c r="D381" s="59"/>
      <c r="E381" s="59"/>
      <c r="F381" s="59"/>
      <c r="G381" s="172"/>
      <c r="H381" s="198"/>
      <c r="I381" s="11"/>
      <c r="J381" s="11"/>
      <c r="K381" s="11"/>
      <c r="L381" s="11"/>
      <c r="M381" s="11"/>
      <c r="N381" s="11"/>
      <c r="O381" s="11"/>
      <c r="P381" s="11"/>
      <c r="Q381" s="11"/>
    </row>
    <row r="382" spans="1:17" customFormat="1" x14ac:dyDescent="0.2">
      <c r="A382" s="172"/>
      <c r="B382" s="59"/>
      <c r="C382" s="59"/>
      <c r="D382" s="59"/>
      <c r="E382" s="59"/>
      <c r="F382" s="59"/>
      <c r="G382" s="172"/>
      <c r="H382" s="198"/>
      <c r="I382" s="11"/>
      <c r="J382" s="11"/>
      <c r="K382" s="11"/>
      <c r="L382" s="11"/>
      <c r="M382" s="11"/>
      <c r="N382" s="11"/>
      <c r="O382" s="11"/>
      <c r="P382" s="11"/>
      <c r="Q382" s="11"/>
    </row>
    <row r="383" spans="1:17" customFormat="1" x14ac:dyDescent="0.2">
      <c r="A383" s="172"/>
      <c r="B383" s="59"/>
      <c r="C383" s="59"/>
      <c r="D383" s="59"/>
      <c r="E383" s="59"/>
      <c r="F383" s="59"/>
      <c r="G383" s="172"/>
      <c r="H383" s="198"/>
      <c r="I383" s="11"/>
      <c r="J383" s="11"/>
      <c r="K383" s="11"/>
      <c r="L383" s="11"/>
      <c r="M383" s="11"/>
      <c r="N383" s="11"/>
      <c r="O383" s="11"/>
      <c r="P383" s="11"/>
      <c r="Q383" s="11"/>
    </row>
    <row r="384" spans="1:17" customFormat="1" x14ac:dyDescent="0.2">
      <c r="A384" s="172"/>
      <c r="B384" s="59"/>
      <c r="C384" s="59"/>
      <c r="D384" s="59"/>
      <c r="E384" s="59"/>
      <c r="F384" s="59"/>
      <c r="G384" s="172"/>
      <c r="H384" s="198"/>
      <c r="I384" s="11"/>
      <c r="J384" s="11"/>
      <c r="K384" s="11"/>
      <c r="L384" s="11"/>
      <c r="M384" s="11"/>
      <c r="N384" s="11"/>
      <c r="O384" s="11"/>
      <c r="P384" s="11"/>
      <c r="Q384" s="11"/>
    </row>
    <row r="385" spans="1:17" customFormat="1" x14ac:dyDescent="0.2">
      <c r="A385" s="172"/>
      <c r="B385" s="59"/>
      <c r="C385" s="59"/>
      <c r="D385" s="59"/>
      <c r="E385" s="59"/>
      <c r="F385" s="59"/>
      <c r="G385" s="172"/>
      <c r="H385" s="198"/>
      <c r="I385" s="11"/>
      <c r="J385" s="11"/>
      <c r="K385" s="11"/>
      <c r="L385" s="11"/>
      <c r="M385" s="11"/>
      <c r="N385" s="11"/>
      <c r="O385" s="11"/>
      <c r="P385" s="11"/>
      <c r="Q385" s="11"/>
    </row>
    <row r="386" spans="1:17" customFormat="1" x14ac:dyDescent="0.2">
      <c r="A386" s="172"/>
      <c r="B386" s="59"/>
      <c r="C386" s="59"/>
      <c r="D386" s="59"/>
      <c r="E386" s="59"/>
      <c r="F386" s="59"/>
      <c r="G386" s="172"/>
      <c r="H386" s="198"/>
      <c r="I386" s="11"/>
      <c r="J386" s="11"/>
      <c r="K386" s="11"/>
      <c r="L386" s="11"/>
      <c r="M386" s="11"/>
      <c r="N386" s="11"/>
      <c r="O386" s="11"/>
      <c r="P386" s="11"/>
      <c r="Q386" s="11"/>
    </row>
    <row r="387" spans="1:17" customFormat="1" x14ac:dyDescent="0.2">
      <c r="A387" s="172"/>
      <c r="B387" s="59"/>
      <c r="C387" s="59"/>
      <c r="D387" s="59"/>
      <c r="E387" s="59"/>
      <c r="F387" s="59"/>
      <c r="G387" s="172"/>
      <c r="H387" s="198"/>
      <c r="I387" s="11"/>
      <c r="J387" s="11"/>
      <c r="K387" s="11"/>
      <c r="L387" s="11"/>
      <c r="M387" s="11"/>
      <c r="N387" s="11"/>
      <c r="O387" s="11"/>
      <c r="P387" s="11"/>
      <c r="Q387" s="11"/>
    </row>
    <row r="388" spans="1:17" customFormat="1" x14ac:dyDescent="0.2">
      <c r="A388" s="172"/>
      <c r="B388" s="59"/>
      <c r="C388" s="59"/>
      <c r="D388" s="59"/>
      <c r="E388" s="59"/>
      <c r="F388" s="59"/>
      <c r="G388" s="172"/>
      <c r="H388" s="198"/>
      <c r="I388" s="11"/>
      <c r="J388" s="11"/>
      <c r="K388" s="11"/>
      <c r="L388" s="11"/>
      <c r="M388" s="11"/>
      <c r="N388" s="11"/>
      <c r="O388" s="11"/>
      <c r="P388" s="11"/>
      <c r="Q388" s="11"/>
    </row>
    <row r="389" spans="1:17" customFormat="1" x14ac:dyDescent="0.2">
      <c r="A389" s="172"/>
      <c r="B389" s="59"/>
      <c r="C389" s="59"/>
      <c r="D389" s="59"/>
      <c r="E389" s="59"/>
      <c r="F389" s="59"/>
      <c r="G389" s="172"/>
      <c r="H389" s="198"/>
      <c r="I389" s="11"/>
      <c r="J389" s="11"/>
      <c r="K389" s="11"/>
      <c r="L389" s="11"/>
      <c r="M389" s="11"/>
      <c r="N389" s="11"/>
      <c r="O389" s="11"/>
      <c r="P389" s="11"/>
      <c r="Q389" s="11"/>
    </row>
    <row r="390" spans="1:17" customFormat="1" x14ac:dyDescent="0.2">
      <c r="A390" s="172"/>
      <c r="B390" s="59"/>
      <c r="C390" s="59"/>
      <c r="D390" s="59"/>
      <c r="E390" s="59"/>
      <c r="F390" s="59"/>
      <c r="G390" s="172"/>
      <c r="H390" s="198"/>
      <c r="I390" s="11"/>
      <c r="J390" s="11"/>
      <c r="K390" s="11"/>
      <c r="L390" s="11"/>
      <c r="M390" s="11"/>
      <c r="N390" s="11"/>
      <c r="O390" s="11"/>
      <c r="P390" s="11"/>
      <c r="Q390" s="11"/>
    </row>
    <row r="391" spans="1:17" customFormat="1" x14ac:dyDescent="0.2">
      <c r="A391" s="172"/>
      <c r="B391" s="59"/>
      <c r="C391" s="59"/>
      <c r="D391" s="59"/>
      <c r="E391" s="59"/>
      <c r="F391" s="59"/>
      <c r="G391" s="172"/>
      <c r="H391" s="198"/>
      <c r="I391" s="11"/>
      <c r="J391" s="11"/>
      <c r="K391" s="11"/>
      <c r="L391" s="11"/>
      <c r="M391" s="11"/>
      <c r="N391" s="11"/>
      <c r="O391" s="11"/>
      <c r="P391" s="11"/>
      <c r="Q391" s="11"/>
    </row>
    <row r="392" spans="1:17" customFormat="1" x14ac:dyDescent="0.2">
      <c r="A392" s="172"/>
      <c r="B392" s="59"/>
      <c r="C392" s="59"/>
      <c r="D392" s="59"/>
      <c r="E392" s="59"/>
      <c r="F392" s="59"/>
      <c r="G392" s="172"/>
      <c r="H392" s="198"/>
      <c r="I392" s="11"/>
      <c r="J392" s="11"/>
      <c r="K392" s="11"/>
      <c r="L392" s="11"/>
      <c r="M392" s="11"/>
      <c r="N392" s="11"/>
      <c r="O392" s="11"/>
      <c r="P392" s="11"/>
      <c r="Q392" s="11"/>
    </row>
    <row r="393" spans="1:17" customFormat="1" x14ac:dyDescent="0.2">
      <c r="A393" s="172"/>
      <c r="B393" s="59"/>
      <c r="C393" s="59"/>
      <c r="D393" s="59"/>
      <c r="E393" s="59"/>
      <c r="F393" s="59"/>
      <c r="G393" s="172"/>
      <c r="H393" s="198"/>
      <c r="I393" s="11"/>
      <c r="J393" s="11"/>
      <c r="K393" s="11"/>
      <c r="L393" s="11"/>
      <c r="M393" s="11"/>
      <c r="N393" s="11"/>
      <c r="O393" s="11"/>
      <c r="P393" s="11"/>
      <c r="Q393" s="11"/>
    </row>
    <row r="394" spans="1:17" customFormat="1" x14ac:dyDescent="0.2">
      <c r="A394" s="172"/>
      <c r="B394" s="59"/>
      <c r="C394" s="59"/>
      <c r="D394" s="59"/>
      <c r="E394" s="59"/>
      <c r="F394" s="59"/>
      <c r="G394" s="172"/>
      <c r="H394" s="198"/>
      <c r="I394" s="11"/>
      <c r="J394" s="11"/>
      <c r="K394" s="11"/>
      <c r="L394" s="11"/>
      <c r="M394" s="11"/>
      <c r="N394" s="11"/>
      <c r="O394" s="11"/>
      <c r="P394" s="11"/>
      <c r="Q394" s="11"/>
    </row>
    <row r="395" spans="1:17" customFormat="1" x14ac:dyDescent="0.2">
      <c r="A395" s="172"/>
      <c r="B395" s="59"/>
      <c r="C395" s="59"/>
      <c r="D395" s="59"/>
      <c r="E395" s="59"/>
      <c r="F395" s="59"/>
      <c r="G395" s="172"/>
      <c r="H395" s="198"/>
      <c r="I395" s="11"/>
      <c r="J395" s="11"/>
      <c r="K395" s="11"/>
      <c r="L395" s="11"/>
      <c r="M395" s="11"/>
      <c r="N395" s="11"/>
      <c r="O395" s="11"/>
      <c r="P395" s="11"/>
      <c r="Q395" s="11"/>
    </row>
    <row r="396" spans="1:17" customFormat="1" x14ac:dyDescent="0.2">
      <c r="A396" s="172"/>
      <c r="B396" s="59"/>
      <c r="C396" s="59"/>
      <c r="D396" s="59"/>
      <c r="E396" s="59"/>
      <c r="F396" s="59"/>
      <c r="G396" s="172"/>
      <c r="H396" s="198"/>
      <c r="I396" s="11"/>
      <c r="J396" s="11"/>
      <c r="K396" s="11"/>
      <c r="L396" s="11"/>
      <c r="M396" s="11"/>
      <c r="N396" s="11"/>
      <c r="O396" s="11"/>
      <c r="P396" s="11"/>
      <c r="Q396" s="11"/>
    </row>
    <row r="397" spans="1:17" customFormat="1" x14ac:dyDescent="0.2">
      <c r="A397" s="172"/>
      <c r="B397" s="59"/>
      <c r="C397" s="59"/>
      <c r="D397" s="59"/>
      <c r="E397" s="59"/>
      <c r="F397" s="59"/>
      <c r="G397" s="172"/>
      <c r="H397" s="198"/>
      <c r="I397" s="11"/>
      <c r="J397" s="11"/>
      <c r="K397" s="11"/>
      <c r="L397" s="11"/>
      <c r="M397" s="11"/>
      <c r="N397" s="11"/>
      <c r="O397" s="11"/>
      <c r="P397" s="11"/>
      <c r="Q397" s="11"/>
    </row>
    <row r="398" spans="1:17" customFormat="1" x14ac:dyDescent="0.2">
      <c r="A398" s="172"/>
      <c r="B398" s="59"/>
      <c r="C398" s="59"/>
      <c r="D398" s="59"/>
      <c r="E398" s="59"/>
      <c r="F398" s="59"/>
      <c r="G398" s="172"/>
      <c r="H398" s="198"/>
      <c r="I398" s="11"/>
      <c r="J398" s="11"/>
      <c r="K398" s="11"/>
      <c r="L398" s="11"/>
      <c r="M398" s="11"/>
      <c r="N398" s="11"/>
      <c r="O398" s="11"/>
      <c r="P398" s="11"/>
      <c r="Q398" s="11"/>
    </row>
    <row r="399" spans="1:17" customFormat="1" x14ac:dyDescent="0.2">
      <c r="A399" s="172"/>
      <c r="B399" s="59"/>
      <c r="C399" s="59"/>
      <c r="D399" s="59"/>
      <c r="E399" s="59"/>
      <c r="F399" s="59"/>
      <c r="G399" s="172"/>
      <c r="H399" s="198"/>
      <c r="I399" s="11"/>
      <c r="J399" s="11"/>
      <c r="K399" s="11"/>
      <c r="L399" s="11"/>
      <c r="M399" s="11"/>
      <c r="N399" s="11"/>
      <c r="O399" s="11"/>
      <c r="P399" s="11"/>
      <c r="Q399" s="11"/>
    </row>
    <row r="400" spans="1:17" customFormat="1" x14ac:dyDescent="0.2">
      <c r="A400" s="172"/>
      <c r="B400" s="59"/>
      <c r="C400" s="59"/>
      <c r="D400" s="59"/>
      <c r="E400" s="59"/>
      <c r="F400" s="59"/>
      <c r="G400" s="172"/>
      <c r="H400" s="198"/>
      <c r="I400" s="11"/>
      <c r="J400" s="11"/>
      <c r="K400" s="11"/>
      <c r="L400" s="11"/>
      <c r="M400" s="11"/>
      <c r="N400" s="11"/>
      <c r="O400" s="11"/>
      <c r="P400" s="11"/>
      <c r="Q400" s="11"/>
    </row>
    <row r="401" spans="1:17" customFormat="1" x14ac:dyDescent="0.2">
      <c r="A401" s="172"/>
      <c r="B401" s="59"/>
      <c r="C401" s="59"/>
      <c r="D401" s="59"/>
      <c r="E401" s="59"/>
      <c r="F401" s="59"/>
      <c r="G401" s="172"/>
      <c r="H401" s="198"/>
      <c r="I401" s="11"/>
      <c r="J401" s="11"/>
      <c r="K401" s="11"/>
      <c r="L401" s="11"/>
      <c r="M401" s="11"/>
      <c r="N401" s="11"/>
      <c r="O401" s="11"/>
      <c r="P401" s="11"/>
      <c r="Q401" s="11"/>
    </row>
    <row r="402" spans="1:17" customFormat="1" x14ac:dyDescent="0.2"/>
    <row r="403" spans="1:17" customFormat="1" x14ac:dyDescent="0.2"/>
    <row r="404" spans="1:17" customFormat="1" x14ac:dyDescent="0.2">
      <c r="A404" s="29"/>
      <c r="B404" s="29"/>
      <c r="C404" s="29"/>
      <c r="D404" s="29"/>
      <c r="E404" s="29"/>
      <c r="F404" s="29"/>
      <c r="G404" s="29"/>
      <c r="H404" s="29"/>
      <c r="I404" s="29"/>
      <c r="J404" s="29"/>
      <c r="K404" s="29"/>
      <c r="L404" s="29"/>
      <c r="M404" s="29"/>
      <c r="N404" s="29"/>
      <c r="O404" s="29"/>
      <c r="P404" s="11"/>
      <c r="Q404" s="11"/>
    </row>
    <row r="405" spans="1:17" customFormat="1" x14ac:dyDescent="0.2">
      <c r="A405" s="29"/>
      <c r="B405" s="29"/>
      <c r="C405" s="29"/>
      <c r="D405" s="29"/>
      <c r="E405" s="29"/>
      <c r="F405" s="29"/>
      <c r="G405" s="29"/>
      <c r="H405" s="29"/>
      <c r="I405" s="29"/>
      <c r="J405" s="29"/>
      <c r="K405" s="29"/>
      <c r="L405" s="29"/>
      <c r="M405" s="29"/>
      <c r="N405" s="29"/>
      <c r="O405" s="29"/>
      <c r="P405" s="11"/>
      <c r="Q405" s="11"/>
    </row>
    <row r="406" spans="1:17" customFormat="1" x14ac:dyDescent="0.2">
      <c r="A406" s="28"/>
      <c r="B406" s="28"/>
      <c r="C406" s="28"/>
      <c r="D406" s="28"/>
      <c r="E406" s="28"/>
      <c r="F406" s="28"/>
      <c r="G406" s="28"/>
      <c r="H406" s="28"/>
      <c r="I406" s="28"/>
      <c r="J406" s="28"/>
      <c r="K406" s="28"/>
      <c r="L406" s="28"/>
      <c r="M406" s="28"/>
      <c r="N406" s="28"/>
      <c r="O406" s="28"/>
      <c r="P406" s="28"/>
      <c r="Q406" s="28"/>
    </row>
    <row r="407" spans="1:17" customFormat="1" x14ac:dyDescent="0.2">
      <c r="A407" s="29"/>
      <c r="B407" s="29"/>
      <c r="C407" s="29"/>
      <c r="D407" s="29"/>
      <c r="E407" s="29"/>
      <c r="F407" s="29"/>
      <c r="G407" s="29"/>
      <c r="H407" s="29"/>
      <c r="I407" s="29"/>
      <c r="J407" s="29"/>
      <c r="K407" s="29"/>
      <c r="L407" s="29"/>
      <c r="M407" s="29"/>
      <c r="N407" s="29"/>
      <c r="O407" s="29"/>
      <c r="P407" s="11"/>
      <c r="Q407" s="11"/>
    </row>
    <row r="408" spans="1:17" customFormat="1" ht="18" x14ac:dyDescent="0.25">
      <c r="A408" s="29"/>
      <c r="B408" s="29"/>
      <c r="C408" s="803" t="s">
        <v>2825</v>
      </c>
      <c r="D408" s="29"/>
      <c r="E408" s="29"/>
      <c r="F408" s="29"/>
      <c r="G408" s="29"/>
      <c r="H408" s="29"/>
      <c r="I408" s="29"/>
      <c r="J408" s="29"/>
      <c r="K408" s="29"/>
      <c r="L408" s="29"/>
      <c r="M408" s="29"/>
      <c r="N408" s="29"/>
      <c r="O408" s="29"/>
      <c r="P408" s="11"/>
      <c r="Q408" s="11"/>
    </row>
    <row r="409" spans="1:17" customFormat="1" x14ac:dyDescent="0.2">
      <c r="A409" s="11"/>
      <c r="B409" s="11"/>
      <c r="C409" s="11"/>
      <c r="D409" s="11"/>
      <c r="E409" s="11"/>
      <c r="F409" s="11"/>
      <c r="G409" s="11"/>
      <c r="H409" s="11"/>
      <c r="I409" s="30"/>
      <c r="J409" s="11"/>
      <c r="K409" s="11"/>
      <c r="L409" s="11"/>
      <c r="M409" s="11"/>
      <c r="N409" s="11"/>
      <c r="O409" s="11"/>
      <c r="P409" s="11"/>
      <c r="Q409" s="11"/>
    </row>
    <row r="410" spans="1:17" customFormat="1" x14ac:dyDescent="0.2">
      <c r="A410" s="11"/>
      <c r="B410" s="11"/>
      <c r="C410" s="11"/>
      <c r="D410" s="11"/>
      <c r="E410" s="11"/>
      <c r="F410" s="11"/>
      <c r="G410" s="11"/>
      <c r="H410" s="11"/>
      <c r="I410" s="11"/>
      <c r="J410" s="11"/>
      <c r="K410" s="11"/>
      <c r="L410" s="11"/>
      <c r="M410" s="11"/>
      <c r="N410" s="11"/>
      <c r="O410" s="11"/>
      <c r="P410" s="11"/>
      <c r="Q410" s="11"/>
    </row>
    <row r="411" spans="1:17" customFormat="1" x14ac:dyDescent="0.2">
      <c r="A411" s="25" t="s">
        <v>5559</v>
      </c>
      <c r="B411" s="25"/>
      <c r="C411" s="11"/>
      <c r="D411" s="11"/>
      <c r="E411" s="11"/>
      <c r="F411" s="11"/>
      <c r="G411" s="11"/>
      <c r="H411" s="25" t="s">
        <v>5560</v>
      </c>
      <c r="I411" s="25"/>
      <c r="J411" s="11"/>
      <c r="K411" s="11"/>
      <c r="L411" s="11"/>
      <c r="M411" s="11"/>
      <c r="N411" s="11"/>
      <c r="O411" s="11"/>
      <c r="P411" s="11"/>
      <c r="Q411" s="11"/>
    </row>
    <row r="412" spans="1:17" customFormat="1" x14ac:dyDescent="0.2">
      <c r="A412" s="11"/>
      <c r="B412" s="11"/>
      <c r="C412" s="4604" t="s">
        <v>5561</v>
      </c>
      <c r="D412" s="4605"/>
      <c r="E412" s="4606"/>
      <c r="F412" s="11"/>
      <c r="G412" s="11"/>
      <c r="H412" s="11"/>
      <c r="I412" s="11"/>
      <c r="J412" s="4604" t="s">
        <v>5561</v>
      </c>
      <c r="K412" s="4605"/>
      <c r="L412" s="4606"/>
      <c r="M412" s="11"/>
      <c r="N412" s="11"/>
      <c r="O412" s="11"/>
      <c r="P412" s="11"/>
      <c r="Q412" s="11"/>
    </row>
    <row r="413" spans="1:17" customFormat="1" ht="102" x14ac:dyDescent="0.2">
      <c r="A413" s="11"/>
      <c r="B413" s="11"/>
      <c r="C413" s="365" t="s">
        <v>5562</v>
      </c>
      <c r="D413" s="365" t="s">
        <v>4922</v>
      </c>
      <c r="E413" s="365" t="s">
        <v>3193</v>
      </c>
      <c r="F413" s="11"/>
      <c r="G413" s="11"/>
      <c r="H413" s="11"/>
      <c r="I413" s="11"/>
      <c r="J413" s="365" t="s">
        <v>5562</v>
      </c>
      <c r="K413" s="365" t="s">
        <v>4922</v>
      </c>
      <c r="L413" s="365" t="s">
        <v>3193</v>
      </c>
      <c r="M413" s="11"/>
      <c r="N413" s="11"/>
      <c r="O413" s="11"/>
      <c r="P413" s="11"/>
      <c r="Q413" s="11"/>
    </row>
    <row r="414" spans="1:17" customFormat="1" ht="138.75" x14ac:dyDescent="0.2">
      <c r="A414" s="4610" t="s">
        <v>2440</v>
      </c>
      <c r="B414" s="365" t="s">
        <v>5562</v>
      </c>
      <c r="C414" s="804">
        <v>1</v>
      </c>
      <c r="D414" s="800" t="e">
        <f>(B86-2*I334)/(B86+2*I334)</f>
        <v>#VALUE!</v>
      </c>
      <c r="E414" s="804" t="e">
        <f>B86/(B86+2*I334)</f>
        <v>#VALUE!</v>
      </c>
      <c r="F414" s="11"/>
      <c r="G414" s="11"/>
      <c r="H414" s="4610" t="s">
        <v>2440</v>
      </c>
      <c r="I414" s="365" t="s">
        <v>5562</v>
      </c>
      <c r="J414" s="804">
        <v>1</v>
      </c>
      <c r="K414" s="805" t="s">
        <v>2441</v>
      </c>
      <c r="L414" s="805" t="s">
        <v>2442</v>
      </c>
      <c r="M414" s="11"/>
      <c r="N414" s="11"/>
      <c r="O414" s="11"/>
      <c r="P414" s="11"/>
      <c r="Q414" s="11"/>
    </row>
    <row r="415" spans="1:17" customFormat="1" ht="138.75" x14ac:dyDescent="0.2">
      <c r="A415" s="4611"/>
      <c r="B415" s="365" t="s">
        <v>4922</v>
      </c>
      <c r="C415" s="804" t="e">
        <f>(B86+2*I334)/(B86-2*I334)</f>
        <v>#VALUE!</v>
      </c>
      <c r="D415" s="804">
        <v>1</v>
      </c>
      <c r="E415" s="804" t="e">
        <f>B86/(B86-2*I334)</f>
        <v>#VALUE!</v>
      </c>
      <c r="F415" s="11"/>
      <c r="G415" s="11"/>
      <c r="H415" s="4611"/>
      <c r="I415" s="365" t="s">
        <v>4922</v>
      </c>
      <c r="J415" s="805" t="s">
        <v>2443</v>
      </c>
      <c r="K415" s="804">
        <v>1</v>
      </c>
      <c r="L415" s="805" t="s">
        <v>2444</v>
      </c>
      <c r="M415" s="11"/>
      <c r="N415" s="11"/>
      <c r="O415" s="11"/>
      <c r="P415" s="11"/>
      <c r="Q415" s="11"/>
    </row>
    <row r="416" spans="1:17" customFormat="1" ht="102" x14ac:dyDescent="0.2">
      <c r="A416" s="4612"/>
      <c r="B416" s="365" t="s">
        <v>3193</v>
      </c>
      <c r="C416" s="804" t="e">
        <f>(B86+2*I334)/B86</f>
        <v>#VALUE!</v>
      </c>
      <c r="D416" s="804" t="e">
        <f>(B86-2*I334)/B86</f>
        <v>#VALUE!</v>
      </c>
      <c r="E416" s="804">
        <v>1</v>
      </c>
      <c r="F416" s="11"/>
      <c r="G416" s="11"/>
      <c r="H416" s="4612"/>
      <c r="I416" s="365" t="s">
        <v>3193</v>
      </c>
      <c r="J416" s="805" t="s">
        <v>2445</v>
      </c>
      <c r="K416" s="805" t="s">
        <v>2446</v>
      </c>
      <c r="L416" s="804">
        <v>1</v>
      </c>
      <c r="M416" s="11"/>
      <c r="N416" s="11"/>
      <c r="O416" s="11"/>
      <c r="P416" s="11"/>
      <c r="Q416" s="11"/>
    </row>
    <row r="417" spans="1:25" customFormat="1" x14ac:dyDescent="0.2">
      <c r="A417" s="11"/>
      <c r="B417" s="11"/>
      <c r="C417" s="11"/>
      <c r="D417" s="11"/>
      <c r="E417" s="11"/>
      <c r="F417" s="11"/>
      <c r="G417" s="11"/>
      <c r="H417" s="11"/>
      <c r="I417" s="11"/>
      <c r="J417" s="11"/>
      <c r="K417" s="11"/>
      <c r="L417" s="11"/>
      <c r="M417" s="11"/>
      <c r="N417" s="11"/>
      <c r="O417" s="11"/>
      <c r="P417" s="11"/>
      <c r="Q417" s="11"/>
    </row>
    <row r="418" spans="1:25" customFormat="1" ht="14.25" x14ac:dyDescent="0.2">
      <c r="A418" s="11"/>
      <c r="B418" s="11"/>
      <c r="C418" s="11"/>
      <c r="D418" s="11"/>
      <c r="E418" s="11"/>
      <c r="F418" s="11"/>
      <c r="G418" s="11"/>
      <c r="H418" s="3044"/>
      <c r="I418" s="3045" t="s">
        <v>2447</v>
      </c>
      <c r="J418" s="3044"/>
      <c r="K418" s="3044"/>
      <c r="L418" s="3044"/>
      <c r="M418" s="3044"/>
      <c r="N418" s="3044"/>
      <c r="O418" s="11"/>
      <c r="P418" s="11"/>
      <c r="Q418" s="11"/>
    </row>
    <row r="419" spans="1:25" customFormat="1" x14ac:dyDescent="0.2">
      <c r="A419" s="25" t="s">
        <v>2448</v>
      </c>
      <c r="B419" s="11"/>
      <c r="C419" s="11"/>
      <c r="D419" s="11"/>
      <c r="E419" s="806">
        <f>IF(I315&lt;=3,1,IF(I315&lt;=6,2,3))</f>
        <v>3</v>
      </c>
      <c r="F419" s="11"/>
      <c r="G419" s="11"/>
      <c r="H419" s="11"/>
      <c r="I419" s="11"/>
      <c r="J419" s="11" t="s">
        <v>5711</v>
      </c>
      <c r="K419" s="11"/>
      <c r="L419" s="11"/>
      <c r="M419" s="11"/>
      <c r="N419" s="11"/>
      <c r="O419" s="11"/>
      <c r="P419" s="11"/>
      <c r="Q419" s="11"/>
      <c r="R419" s="11"/>
      <c r="S419" s="1"/>
      <c r="T419" s="1"/>
      <c r="U419" s="1"/>
      <c r="V419" s="1"/>
      <c r="W419" s="1"/>
      <c r="X419" s="1"/>
      <c r="Y419" s="1"/>
    </row>
    <row r="420" spans="1:25" customFormat="1" ht="25.5" x14ac:dyDescent="0.2">
      <c r="A420" s="11"/>
      <c r="B420" s="486" t="s">
        <v>2449</v>
      </c>
      <c r="C420" s="486" t="s">
        <v>2450</v>
      </c>
      <c r="D420" s="486" t="s">
        <v>2451</v>
      </c>
      <c r="E420" s="11"/>
      <c r="F420" s="11"/>
      <c r="G420" s="11"/>
      <c r="H420" s="15"/>
      <c r="I420" s="15"/>
      <c r="J420" s="15"/>
      <c r="K420" s="15" t="s">
        <v>5712</v>
      </c>
      <c r="L420" s="15"/>
      <c r="M420" s="11"/>
      <c r="N420" s="11"/>
      <c r="O420" s="11"/>
      <c r="P420" s="3039" t="s">
        <v>5713</v>
      </c>
      <c r="Q420" s="1129"/>
      <c r="R420" s="11"/>
      <c r="S420" s="1"/>
      <c r="T420" s="1"/>
      <c r="U420" s="1"/>
      <c r="V420" s="1"/>
      <c r="W420" s="1"/>
      <c r="X420" s="1"/>
      <c r="Y420" s="1"/>
    </row>
    <row r="421" spans="1:25" customFormat="1" x14ac:dyDescent="0.2">
      <c r="A421" s="365" t="s">
        <v>2452</v>
      </c>
      <c r="B421" s="80">
        <v>1.2</v>
      </c>
      <c r="C421" s="80">
        <v>1.25</v>
      </c>
      <c r="D421" s="80">
        <v>1.3</v>
      </c>
      <c r="E421" s="15"/>
      <c r="F421" s="11"/>
      <c r="G421" s="11"/>
      <c r="H421" s="15"/>
      <c r="I421" s="15"/>
      <c r="J421" s="15" t="s">
        <v>5714</v>
      </c>
      <c r="K421" s="15"/>
      <c r="L421" s="15" t="s">
        <v>1863</v>
      </c>
      <c r="M421" s="15"/>
      <c r="N421" s="15"/>
      <c r="O421" s="15"/>
      <c r="P421" s="3040" t="s">
        <v>734</v>
      </c>
      <c r="Q421" s="3040" t="s">
        <v>735</v>
      </c>
      <c r="R421" s="3040" t="s">
        <v>5715</v>
      </c>
      <c r="S421" s="1"/>
      <c r="T421" s="1"/>
      <c r="U421" s="1"/>
      <c r="V421" s="1"/>
      <c r="W421" s="1"/>
      <c r="X421" s="1"/>
      <c r="Y421" s="1"/>
    </row>
    <row r="422" spans="1:25" customFormat="1" x14ac:dyDescent="0.2">
      <c r="A422" s="365" t="s">
        <v>2453</v>
      </c>
      <c r="B422" s="80">
        <v>1.05</v>
      </c>
      <c r="C422" s="80">
        <v>1.05</v>
      </c>
      <c r="D422" s="80">
        <v>1.05</v>
      </c>
      <c r="E422" s="15"/>
      <c r="F422" s="11"/>
      <c r="G422" s="11"/>
      <c r="H422" s="3041">
        <v>1</v>
      </c>
      <c r="I422" s="261" t="s">
        <v>5617</v>
      </c>
      <c r="J422" s="261">
        <v>1</v>
      </c>
      <c r="K422" s="11"/>
      <c r="L422" s="3046">
        <v>1</v>
      </c>
      <c r="M422" s="337" t="s">
        <v>5634</v>
      </c>
      <c r="N422" s="261">
        <v>3.8808912721893489</v>
      </c>
      <c r="O422" s="261">
        <v>8.3808912721893485</v>
      </c>
      <c r="P422" s="261">
        <v>4.5</v>
      </c>
      <c r="Q422" s="261">
        <v>-0.61909999999999998</v>
      </c>
      <c r="R422" s="3042" t="e">
        <f>P422*kursovoy!$B$189+вен!Q422</f>
        <v>#VALUE!</v>
      </c>
      <c r="S422" s="1"/>
      <c r="T422" s="1"/>
      <c r="U422" s="1"/>
      <c r="V422" s="1"/>
      <c r="W422" s="1"/>
      <c r="X422" s="1"/>
      <c r="Y422" s="1"/>
    </row>
    <row r="423" spans="1:25" customFormat="1" x14ac:dyDescent="0.2">
      <c r="A423" s="365" t="s">
        <v>5339</v>
      </c>
      <c r="B423" s="80">
        <v>1.1499999999999999</v>
      </c>
      <c r="C423" s="80">
        <v>1.1499999999999999</v>
      </c>
      <c r="D423" s="80">
        <v>1.1499999999999999</v>
      </c>
      <c r="E423" s="15"/>
      <c r="F423" s="11"/>
      <c r="G423" s="11"/>
      <c r="H423" s="3041">
        <v>2</v>
      </c>
      <c r="I423" s="261" t="s">
        <v>5620</v>
      </c>
      <c r="J423" s="261">
        <v>1</v>
      </c>
      <c r="K423" s="11"/>
      <c r="L423" s="3046">
        <v>2</v>
      </c>
      <c r="M423" s="337" t="s">
        <v>5639</v>
      </c>
      <c r="N423" s="261">
        <v>3.5977077433628324</v>
      </c>
      <c r="O423" s="261">
        <v>8.197707743362832</v>
      </c>
      <c r="P423" s="337">
        <v>4.5999999999999996</v>
      </c>
      <c r="Q423" s="337">
        <v>-1.0023</v>
      </c>
      <c r="R423" s="3042" t="e">
        <f>P423*kursovoy!$B$189+вен!Q423</f>
        <v>#VALUE!</v>
      </c>
      <c r="S423" s="1"/>
      <c r="T423" s="1"/>
      <c r="U423" s="1"/>
      <c r="V423" s="1"/>
      <c r="W423" s="1"/>
      <c r="X423" s="1"/>
      <c r="Y423" s="1"/>
    </row>
    <row r="424" spans="1:25" customFormat="1" x14ac:dyDescent="0.2">
      <c r="A424" s="365" t="s">
        <v>5340</v>
      </c>
      <c r="B424" s="80">
        <v>1.1000000000000001</v>
      </c>
      <c r="C424" s="80">
        <v>1.1000000000000001</v>
      </c>
      <c r="D424" s="80">
        <v>1.1000000000000001</v>
      </c>
      <c r="E424" s="15"/>
      <c r="F424" s="11"/>
      <c r="G424" s="11"/>
      <c r="H424" s="3041">
        <v>3</v>
      </c>
      <c r="I424" s="261" t="s">
        <v>5631</v>
      </c>
      <c r="J424" s="261">
        <v>1.02</v>
      </c>
      <c r="K424" s="11"/>
      <c r="L424" s="3046">
        <v>3</v>
      </c>
      <c r="M424" s="337" t="s">
        <v>2778</v>
      </c>
      <c r="N424" s="261">
        <v>3.9041384591194968</v>
      </c>
      <c r="O424" s="261">
        <v>8.6041384591194969</v>
      </c>
      <c r="P424" s="261">
        <v>4.7</v>
      </c>
      <c r="Q424" s="261">
        <v>-0.79590000000000005</v>
      </c>
      <c r="R424" s="3042" t="e">
        <f>P424*kursovoy!$B$189+вен!Q424</f>
        <v>#VALUE!</v>
      </c>
      <c r="S424" s="1"/>
      <c r="T424" s="1"/>
      <c r="U424" s="1"/>
      <c r="V424" s="1"/>
      <c r="W424" s="1"/>
      <c r="X424" s="1"/>
      <c r="Y424" s="1"/>
    </row>
    <row r="425" spans="1:25" customFormat="1" x14ac:dyDescent="0.2">
      <c r="A425" s="172"/>
      <c r="B425" s="15"/>
      <c r="C425" s="15"/>
      <c r="D425" s="15"/>
      <c r="E425" s="15"/>
      <c r="F425" s="11"/>
      <c r="G425" s="11"/>
      <c r="H425" s="3041">
        <v>4</v>
      </c>
      <c r="I425" s="261" t="s">
        <v>5630</v>
      </c>
      <c r="J425" s="261">
        <v>1</v>
      </c>
      <c r="K425" s="11"/>
      <c r="L425" s="3046">
        <v>4</v>
      </c>
      <c r="M425" s="337" t="s">
        <v>3481</v>
      </c>
      <c r="N425" s="261">
        <v>3.9562575774336288</v>
      </c>
      <c r="O425" s="261">
        <v>8.7562575774336278</v>
      </c>
      <c r="P425" s="337">
        <v>4.8</v>
      </c>
      <c r="Q425" s="337">
        <v>-0.84370000000000001</v>
      </c>
      <c r="R425" s="3042" t="e">
        <f>P425*kursovoy!$B$189+вен!Q425</f>
        <v>#VALUE!</v>
      </c>
      <c r="S425" s="1"/>
      <c r="T425" s="1"/>
      <c r="U425" s="1"/>
      <c r="V425" s="1"/>
      <c r="W425" s="1"/>
      <c r="X425" s="1"/>
      <c r="Y425" s="1"/>
    </row>
    <row r="426" spans="1:25" customFormat="1" x14ac:dyDescent="0.2">
      <c r="A426" s="671" t="s">
        <v>5341</v>
      </c>
      <c r="B426" s="15"/>
      <c r="C426" s="15"/>
      <c r="D426" s="15"/>
      <c r="E426" s="15"/>
      <c r="F426" s="11"/>
      <c r="G426" s="11"/>
      <c r="H426" s="3041">
        <v>5</v>
      </c>
      <c r="I426" s="261" t="s">
        <v>3478</v>
      </c>
      <c r="J426" s="261">
        <v>0.9</v>
      </c>
      <c r="K426" s="11"/>
      <c r="L426" s="3046">
        <v>5</v>
      </c>
      <c r="M426" s="337" t="s">
        <v>657</v>
      </c>
      <c r="N426" s="261">
        <v>3.9532826571792694</v>
      </c>
      <c r="O426" s="261">
        <v>8.8532826571792693</v>
      </c>
      <c r="P426" s="261">
        <v>4.9000000000000004</v>
      </c>
      <c r="Q426" s="261">
        <v>-0.94669999999999999</v>
      </c>
      <c r="R426" s="3042" t="e">
        <f>P426*kursovoy!$B$189+вен!Q426</f>
        <v>#VALUE!</v>
      </c>
      <c r="S426" s="1"/>
      <c r="T426" s="1"/>
      <c r="U426" s="1"/>
      <c r="V426" s="1"/>
      <c r="W426" s="1"/>
      <c r="X426" s="1"/>
      <c r="Y426" s="1"/>
    </row>
    <row r="427" spans="1:25" customFormat="1" ht="14.25" x14ac:dyDescent="0.2">
      <c r="A427" s="11" t="s">
        <v>5342</v>
      </c>
      <c r="B427" s="11"/>
      <c r="C427" s="11"/>
      <c r="D427" s="11"/>
      <c r="E427" s="11"/>
      <c r="F427" s="11" t="e">
        <f>4*60*4*1.2*0.75*#REF!</f>
        <v>#REF!</v>
      </c>
      <c r="G427" s="11"/>
      <c r="H427" s="3041">
        <v>6</v>
      </c>
      <c r="I427" s="261" t="s">
        <v>5614</v>
      </c>
      <c r="J427" s="337">
        <v>0.95</v>
      </c>
      <c r="K427" s="11"/>
      <c r="L427" s="3046">
        <v>6</v>
      </c>
      <c r="M427" s="337" t="s">
        <v>5629</v>
      </c>
      <c r="N427" s="261">
        <v>3.8232523076923077</v>
      </c>
      <c r="O427" s="261">
        <v>8.5232523076923066</v>
      </c>
      <c r="P427" s="261">
        <v>4.7</v>
      </c>
      <c r="Q427" s="261">
        <v>-0.87670000000000003</v>
      </c>
      <c r="R427" s="3042" t="e">
        <f>P427*kursovoy!$B$189+вен!Q427</f>
        <v>#VALUE!</v>
      </c>
      <c r="S427" s="1"/>
      <c r="T427" s="1"/>
      <c r="U427" s="1"/>
      <c r="V427" s="1"/>
      <c r="W427" s="1"/>
      <c r="X427" s="1"/>
      <c r="Y427" s="1"/>
    </row>
    <row r="428" spans="1:25" customFormat="1" x14ac:dyDescent="0.2">
      <c r="A428" s="11" t="s">
        <v>5343</v>
      </c>
      <c r="B428" s="11"/>
      <c r="C428" s="11"/>
      <c r="D428" s="11"/>
      <c r="E428" s="11"/>
      <c r="F428" s="11" t="e">
        <f>(#REF!+#REF!)*#REF!/1440</f>
        <v>#REF!</v>
      </c>
      <c r="G428" s="11"/>
      <c r="H428" s="3041">
        <v>7</v>
      </c>
      <c r="I428" s="261" t="s">
        <v>3480</v>
      </c>
      <c r="J428" s="337">
        <v>1.1100000000000001</v>
      </c>
      <c r="K428" s="11"/>
      <c r="L428" s="3046">
        <v>7</v>
      </c>
      <c r="M428" s="337" t="s">
        <v>3484</v>
      </c>
      <c r="N428" s="261">
        <v>3.6650392478813556</v>
      </c>
      <c r="O428" s="261">
        <v>8.3650392478813558</v>
      </c>
      <c r="P428" s="261">
        <v>4.7</v>
      </c>
      <c r="Q428" s="261">
        <v>-1.0349999999999999</v>
      </c>
      <c r="R428" s="3042" t="e">
        <f>P428*kursovoy!$B$189+вен!Q428</f>
        <v>#VALUE!</v>
      </c>
      <c r="S428" s="1"/>
      <c r="T428" s="1"/>
      <c r="U428" s="1"/>
      <c r="V428" s="1"/>
      <c r="W428" s="1"/>
      <c r="X428" s="1"/>
      <c r="Y428" s="1"/>
    </row>
    <row r="429" spans="1:25" customFormat="1" x14ac:dyDescent="0.2">
      <c r="A429" s="11" t="s">
        <v>5344</v>
      </c>
      <c r="B429" s="11"/>
      <c r="C429" s="11"/>
      <c r="D429" s="11"/>
      <c r="E429" s="11"/>
      <c r="F429" s="11" t="e">
        <f>(F428^-1.67)*((F427/194)^1.93)*#REF!</f>
        <v>#REF!</v>
      </c>
      <c r="G429" s="11"/>
      <c r="H429" s="3041">
        <v>8</v>
      </c>
      <c r="I429" s="261" t="s">
        <v>3483</v>
      </c>
      <c r="J429" s="261">
        <v>1.21</v>
      </c>
      <c r="K429" s="11"/>
      <c r="L429" s="3046">
        <v>8</v>
      </c>
      <c r="M429" s="337" t="s">
        <v>659</v>
      </c>
      <c r="N429" s="261">
        <v>3.5835359934853424</v>
      </c>
      <c r="O429" s="261">
        <v>8.2835359934853425</v>
      </c>
      <c r="P429" s="261">
        <v>4.7</v>
      </c>
      <c r="Q429" s="261">
        <v>-1.1165</v>
      </c>
      <c r="R429" s="3042" t="e">
        <f>P429*kursovoy!$B$189+вен!Q429</f>
        <v>#VALUE!</v>
      </c>
      <c r="S429" s="1"/>
      <c r="T429" s="1"/>
      <c r="U429" s="1"/>
      <c r="V429" s="1"/>
      <c r="W429" s="1"/>
      <c r="X429" s="1"/>
      <c r="Y429" s="1"/>
    </row>
    <row r="430" spans="1:25" customFormat="1" x14ac:dyDescent="0.2">
      <c r="A430" s="11" t="s">
        <v>5345</v>
      </c>
      <c r="B430" s="11"/>
      <c r="C430" s="11"/>
      <c r="D430" s="11"/>
      <c r="E430" s="11"/>
      <c r="F430" s="11"/>
      <c r="G430" s="11"/>
      <c r="H430" s="3041">
        <v>9</v>
      </c>
      <c r="I430" s="261" t="s">
        <v>2776</v>
      </c>
      <c r="J430" s="261">
        <v>1.21</v>
      </c>
      <c r="K430" s="11"/>
      <c r="L430" s="3046">
        <v>9</v>
      </c>
      <c r="M430" s="337" t="s">
        <v>660</v>
      </c>
      <c r="N430" s="261">
        <v>3.9619111577181205</v>
      </c>
      <c r="O430" s="261">
        <v>8.5019111577181192</v>
      </c>
      <c r="P430" s="261">
        <v>4.54</v>
      </c>
      <c r="Q430" s="261">
        <v>-0.57809999999999995</v>
      </c>
      <c r="R430" s="3042" t="e">
        <f>P430*kursovoy!$B$189+вен!Q430</f>
        <v>#VALUE!</v>
      </c>
      <c r="S430" s="1"/>
      <c r="T430" s="1"/>
      <c r="U430" s="1"/>
      <c r="V430" s="1"/>
      <c r="W430" s="1"/>
      <c r="X430" s="1"/>
      <c r="Y430" s="1"/>
    </row>
    <row r="431" spans="1:25" customFormat="1" x14ac:dyDescent="0.2">
      <c r="A431" s="11" t="s">
        <v>5346</v>
      </c>
      <c r="B431" s="11"/>
      <c r="C431" s="11"/>
      <c r="D431" s="11"/>
      <c r="E431" s="11"/>
      <c r="F431" s="11" t="e">
        <f>(#REF!/F429-1)*100</f>
        <v>#REF!</v>
      </c>
      <c r="G431" s="11"/>
      <c r="H431" s="3041">
        <v>10</v>
      </c>
      <c r="I431" s="261" t="s">
        <v>3482</v>
      </c>
      <c r="J431" s="261">
        <v>1.03</v>
      </c>
      <c r="K431" s="11"/>
      <c r="L431" s="3046">
        <v>10</v>
      </c>
      <c r="M431" s="337" t="s">
        <v>5636</v>
      </c>
      <c r="N431" s="261">
        <v>4.2088334324553953</v>
      </c>
      <c r="O431" s="261">
        <v>9.0188334324553949</v>
      </c>
      <c r="P431" s="261">
        <v>4.8099999999999996</v>
      </c>
      <c r="Q431" s="261">
        <v>-0.60119999999999996</v>
      </c>
      <c r="R431" s="3042" t="e">
        <f>P431*kursovoy!$B$189+вен!Q431</f>
        <v>#VALUE!</v>
      </c>
      <c r="S431" s="1"/>
      <c r="T431" s="1"/>
      <c r="U431" s="1"/>
      <c r="V431" s="1"/>
      <c r="W431" s="1"/>
      <c r="X431" s="1"/>
      <c r="Y431" s="1"/>
    </row>
    <row r="432" spans="1:25" customFormat="1" x14ac:dyDescent="0.2">
      <c r="A432" s="11"/>
      <c r="B432" s="11"/>
      <c r="C432" s="11"/>
      <c r="D432" s="11"/>
      <c r="E432" s="11"/>
      <c r="F432" s="11"/>
      <c r="G432" s="11"/>
      <c r="H432" s="3041">
        <v>11</v>
      </c>
      <c r="I432" s="261" t="s">
        <v>658</v>
      </c>
      <c r="J432" s="261">
        <v>1.2</v>
      </c>
      <c r="K432" s="11"/>
      <c r="L432" s="3046">
        <v>11</v>
      </c>
      <c r="M432" s="337" t="s">
        <v>5640</v>
      </c>
      <c r="N432" s="261">
        <v>3.9054250000000001</v>
      </c>
      <c r="O432" s="261">
        <v>8.455425</v>
      </c>
      <c r="P432" s="261">
        <v>4.55</v>
      </c>
      <c r="Q432" s="261">
        <v>-0.64459999999999995</v>
      </c>
      <c r="R432" s="3042" t="e">
        <f>P432*kursovoy!$B$189+вен!Q432</f>
        <v>#VALUE!</v>
      </c>
      <c r="S432" s="1"/>
      <c r="T432" s="1"/>
      <c r="U432" s="1"/>
      <c r="V432" s="1"/>
      <c r="W432" s="1"/>
      <c r="X432" s="1"/>
      <c r="Y432" s="1"/>
    </row>
    <row r="433" spans="8:25" customFormat="1" x14ac:dyDescent="0.2">
      <c r="H433" s="3041">
        <v>12</v>
      </c>
      <c r="I433" s="261" t="s">
        <v>5622</v>
      </c>
      <c r="J433" s="261">
        <v>1.04</v>
      </c>
      <c r="K433" s="11"/>
      <c r="L433" s="3046">
        <v>12</v>
      </c>
      <c r="M433" s="261" t="s">
        <v>5668</v>
      </c>
      <c r="N433" s="261">
        <v>3.92</v>
      </c>
      <c r="O433" s="261">
        <v>8.51</v>
      </c>
      <c r="P433" s="261">
        <v>4.59</v>
      </c>
      <c r="Q433" s="261">
        <v>-0.67</v>
      </c>
      <c r="R433" s="3042" t="e">
        <f>P433*kursovoy!$B$189+вен!Q433</f>
        <v>#VALUE!</v>
      </c>
      <c r="S433" s="1"/>
      <c r="T433" s="1"/>
      <c r="U433" s="1"/>
      <c r="V433" s="1"/>
      <c r="W433" s="1"/>
      <c r="X433" s="1"/>
      <c r="Y433" s="1"/>
    </row>
    <row r="434" spans="8:25" customFormat="1" x14ac:dyDescent="0.2">
      <c r="H434" s="3041">
        <v>13</v>
      </c>
      <c r="I434" s="261" t="s">
        <v>5624</v>
      </c>
      <c r="J434" s="261">
        <v>1.51</v>
      </c>
      <c r="K434" s="11"/>
      <c r="L434" s="3046">
        <v>13</v>
      </c>
      <c r="M434" s="337" t="s">
        <v>5635</v>
      </c>
      <c r="N434" s="261">
        <v>4.22811</v>
      </c>
      <c r="O434" s="261">
        <v>9.2281099999999991</v>
      </c>
      <c r="P434" s="261">
        <v>5</v>
      </c>
      <c r="Q434" s="261">
        <v>-0.77190000000000003</v>
      </c>
      <c r="R434" s="3042" t="e">
        <f>P434*kursovoy!$B$189+вен!Q434</f>
        <v>#VALUE!</v>
      </c>
      <c r="S434" s="1"/>
      <c r="T434" s="1"/>
      <c r="U434" s="1"/>
      <c r="V434" s="1"/>
      <c r="W434" s="1"/>
      <c r="X434" s="1"/>
      <c r="Y434" s="1"/>
    </row>
    <row r="435" spans="8:25" customFormat="1" x14ac:dyDescent="0.2">
      <c r="H435" s="3041">
        <v>14</v>
      </c>
      <c r="I435" s="261" t="s">
        <v>5655</v>
      </c>
      <c r="J435" s="261">
        <v>1.37</v>
      </c>
      <c r="K435" s="11"/>
      <c r="L435" s="3046">
        <v>14</v>
      </c>
      <c r="M435" s="337" t="s">
        <v>5633</v>
      </c>
      <c r="N435" s="261">
        <v>3.9803000000000006</v>
      </c>
      <c r="O435" s="261">
        <v>8.8603000000000005</v>
      </c>
      <c r="P435" s="261">
        <v>4.88</v>
      </c>
      <c r="Q435" s="261">
        <v>-0.89970000000000006</v>
      </c>
      <c r="R435" s="3042" t="e">
        <f>P435*kursovoy!$B$189+вен!Q435</f>
        <v>#VALUE!</v>
      </c>
      <c r="S435" s="1"/>
      <c r="T435" s="1"/>
      <c r="U435" s="1"/>
      <c r="V435" s="1"/>
      <c r="W435" s="1"/>
      <c r="X435" s="1"/>
      <c r="Y435" s="1"/>
    </row>
    <row r="436" spans="8:25" customFormat="1" x14ac:dyDescent="0.2">
      <c r="H436" s="11"/>
      <c r="I436" s="11"/>
      <c r="J436" s="11"/>
      <c r="K436" s="11"/>
      <c r="L436" s="3046">
        <v>15</v>
      </c>
      <c r="M436" s="337" t="s">
        <v>5632</v>
      </c>
      <c r="N436" s="261">
        <v>4.1062499999999993</v>
      </c>
      <c r="O436" s="261">
        <v>9.1262499999999989</v>
      </c>
      <c r="P436" s="261">
        <v>5.0199999999999996</v>
      </c>
      <c r="Q436" s="261">
        <v>-0.91369999999999996</v>
      </c>
      <c r="R436" s="3042" t="e">
        <f>P436*kursovoy!$B$189+вен!Q436</f>
        <v>#VALUE!</v>
      </c>
      <c r="S436" s="1"/>
      <c r="T436" s="1"/>
      <c r="U436" s="1"/>
      <c r="V436" s="1"/>
      <c r="W436" s="1"/>
      <c r="X436" s="1"/>
      <c r="Y436" s="1"/>
    </row>
    <row r="437" spans="8:25" customFormat="1" x14ac:dyDescent="0.2"/>
    <row r="444" spans="8:25" x14ac:dyDescent="0.2">
      <c r="H444" s="3044"/>
      <c r="I444" s="3011" t="s">
        <v>715</v>
      </c>
      <c r="J444" s="3011" t="s">
        <v>716</v>
      </c>
      <c r="K444" s="3011" t="s">
        <v>717</v>
      </c>
      <c r="L444" s="3011" t="s">
        <v>718</v>
      </c>
      <c r="M444" s="3011" t="s">
        <v>2910</v>
      </c>
      <c r="N444" s="3044"/>
    </row>
    <row r="445" spans="8:25" x14ac:dyDescent="0.2">
      <c r="H445" s="3011" t="s">
        <v>4852</v>
      </c>
      <c r="I445" s="3043">
        <v>0.7</v>
      </c>
      <c r="J445" s="3043">
        <v>0.95</v>
      </c>
      <c r="K445" s="3043">
        <v>1.4</v>
      </c>
      <c r="L445" s="3043">
        <v>1.9</v>
      </c>
      <c r="M445" s="3043">
        <f t="shared" ref="M445:M457" si="6">(L445-K445)/(J445-I445)</f>
        <v>2</v>
      </c>
      <c r="N445" s="3044">
        <v>1</v>
      </c>
    </row>
    <row r="446" spans="8:25" x14ac:dyDescent="0.2">
      <c r="H446" s="3011" t="s">
        <v>4853</v>
      </c>
      <c r="I446" s="3043">
        <v>0.7</v>
      </c>
      <c r="J446" s="3043">
        <v>1.3</v>
      </c>
      <c r="K446" s="3043">
        <v>1.5</v>
      </c>
      <c r="L446" s="3043">
        <v>3.4</v>
      </c>
      <c r="M446" s="3043">
        <f t="shared" si="6"/>
        <v>3.1666666666666661</v>
      </c>
      <c r="N446" s="3044">
        <v>2</v>
      </c>
    </row>
    <row r="447" spans="8:25" x14ac:dyDescent="0.2">
      <c r="H447" s="3011" t="s">
        <v>4854</v>
      </c>
      <c r="I447" s="3043">
        <v>0.8</v>
      </c>
      <c r="J447" s="3043">
        <v>1.2</v>
      </c>
      <c r="K447" s="3043">
        <v>1.56</v>
      </c>
      <c r="L447" s="3043">
        <v>2.5</v>
      </c>
      <c r="M447" s="3043">
        <f t="shared" si="6"/>
        <v>2.3500000000000005</v>
      </c>
      <c r="N447" s="3044">
        <v>3</v>
      </c>
    </row>
    <row r="448" spans="8:25" x14ac:dyDescent="0.2">
      <c r="H448" s="3011" t="s">
        <v>4855</v>
      </c>
      <c r="I448" s="3043">
        <v>0.8</v>
      </c>
      <c r="J448" s="3043">
        <v>1.1000000000000001</v>
      </c>
      <c r="K448" s="3043">
        <v>1.58</v>
      </c>
      <c r="L448" s="3043">
        <v>3.44</v>
      </c>
      <c r="M448" s="3043">
        <f t="shared" si="6"/>
        <v>6.1999999999999984</v>
      </c>
      <c r="N448" s="3044">
        <v>4</v>
      </c>
    </row>
    <row r="449" spans="8:14" x14ac:dyDescent="0.2">
      <c r="H449" s="3011" t="s">
        <v>2777</v>
      </c>
      <c r="I449" s="3043">
        <v>1</v>
      </c>
      <c r="J449" s="3043">
        <v>1.3</v>
      </c>
      <c r="K449" s="3043">
        <v>2.2999999999999998</v>
      </c>
      <c r="L449" s="3043">
        <v>2.7</v>
      </c>
      <c r="M449" s="3043">
        <f t="shared" si="6"/>
        <v>1.3333333333333344</v>
      </c>
      <c r="N449" s="3044">
        <v>5</v>
      </c>
    </row>
    <row r="450" spans="8:14" x14ac:dyDescent="0.2">
      <c r="H450" s="3011" t="s">
        <v>4856</v>
      </c>
      <c r="I450" s="3043">
        <v>1.1499999999999999</v>
      </c>
      <c r="J450" s="3043">
        <v>1.95</v>
      </c>
      <c r="K450" s="3043">
        <v>2.2999999999999998</v>
      </c>
      <c r="L450" s="3043">
        <v>4.5999999999999996</v>
      </c>
      <c r="M450" s="3043">
        <f t="shared" si="6"/>
        <v>2.8749999999999996</v>
      </c>
      <c r="N450" s="3044">
        <v>6</v>
      </c>
    </row>
    <row r="451" spans="8:14" x14ac:dyDescent="0.2">
      <c r="H451" s="3011" t="s">
        <v>4857</v>
      </c>
      <c r="I451" s="3043">
        <v>1.1499999999999999</v>
      </c>
      <c r="J451" s="3043">
        <v>1.95</v>
      </c>
      <c r="K451" s="3043">
        <v>2.2999999999999998</v>
      </c>
      <c r="L451" s="3043">
        <v>4.5999999999999996</v>
      </c>
      <c r="M451" s="3043">
        <f t="shared" si="6"/>
        <v>2.8749999999999996</v>
      </c>
      <c r="N451" s="3044">
        <v>7</v>
      </c>
    </row>
    <row r="452" spans="8:14" x14ac:dyDescent="0.2">
      <c r="H452" s="3011" t="s">
        <v>4858</v>
      </c>
      <c r="I452" s="3043">
        <v>0.85</v>
      </c>
      <c r="J452" s="3043">
        <v>1.2</v>
      </c>
      <c r="K452" s="3043">
        <v>1.7</v>
      </c>
      <c r="L452" s="3043">
        <v>2.4</v>
      </c>
      <c r="M452" s="3043">
        <f t="shared" si="6"/>
        <v>2</v>
      </c>
      <c r="N452" s="3044">
        <v>8</v>
      </c>
    </row>
    <row r="453" spans="8:14" x14ac:dyDescent="0.2">
      <c r="H453" s="3011" t="s">
        <v>4859</v>
      </c>
      <c r="I453" s="3043">
        <v>1.1000000000000001</v>
      </c>
      <c r="J453" s="3043">
        <v>1.5</v>
      </c>
      <c r="K453" s="3043">
        <v>2.4</v>
      </c>
      <c r="L453" s="3043">
        <v>3.3</v>
      </c>
      <c r="M453" s="3043">
        <f t="shared" si="6"/>
        <v>2.2500000000000004</v>
      </c>
      <c r="N453" s="3044">
        <v>9</v>
      </c>
    </row>
    <row r="454" spans="8:14" x14ac:dyDescent="0.2">
      <c r="H454" s="3011" t="s">
        <v>4860</v>
      </c>
      <c r="I454" s="3043">
        <v>0.85</v>
      </c>
      <c r="J454" s="3043">
        <v>1.2</v>
      </c>
      <c r="K454" s="3043">
        <v>1.7</v>
      </c>
      <c r="L454" s="3043">
        <v>2.4</v>
      </c>
      <c r="M454" s="3043">
        <f t="shared" si="6"/>
        <v>2</v>
      </c>
      <c r="N454" s="3044">
        <v>10</v>
      </c>
    </row>
    <row r="455" spans="8:14" x14ac:dyDescent="0.2">
      <c r="H455" s="3011" t="s">
        <v>2060</v>
      </c>
      <c r="I455" s="3043">
        <v>1.6</v>
      </c>
      <c r="J455" s="3043">
        <v>2.2000000000000002</v>
      </c>
      <c r="K455" s="3043">
        <v>2.8</v>
      </c>
      <c r="L455" s="3043">
        <v>3.9</v>
      </c>
      <c r="M455" s="3043">
        <f t="shared" si="6"/>
        <v>1.8333333333333333</v>
      </c>
      <c r="N455" s="3044">
        <v>11</v>
      </c>
    </row>
    <row r="456" spans="8:14" x14ac:dyDescent="0.2">
      <c r="H456" s="3011" t="s">
        <v>712</v>
      </c>
      <c r="I456" s="3043">
        <v>1.4</v>
      </c>
      <c r="J456" s="3043">
        <v>2.2000000000000002</v>
      </c>
      <c r="K456" s="3043">
        <v>2.93</v>
      </c>
      <c r="L456" s="3043">
        <v>5.15</v>
      </c>
      <c r="M456" s="3043">
        <f t="shared" si="6"/>
        <v>2.7749999999999995</v>
      </c>
      <c r="N456" s="3044">
        <v>12</v>
      </c>
    </row>
    <row r="457" spans="8:14" x14ac:dyDescent="0.2">
      <c r="H457" s="3011" t="s">
        <v>713</v>
      </c>
      <c r="I457" s="3043">
        <v>2.4</v>
      </c>
      <c r="J457" s="3043">
        <v>4</v>
      </c>
      <c r="K457" s="3043">
        <v>4</v>
      </c>
      <c r="L457" s="3043">
        <v>8</v>
      </c>
      <c r="M457" s="3043">
        <f t="shared" si="6"/>
        <v>2.5</v>
      </c>
      <c r="N457" s="3044">
        <v>13</v>
      </c>
    </row>
  </sheetData>
  <mergeCells count="29">
    <mergeCell ref="A414:A416"/>
    <mergeCell ref="H414:H416"/>
    <mergeCell ref="A340:G340"/>
    <mergeCell ref="A341:G341"/>
    <mergeCell ref="A342:G342"/>
    <mergeCell ref="J412:L412"/>
    <mergeCell ref="A50:G50"/>
    <mergeCell ref="A336:G336"/>
    <mergeCell ref="A234:G234"/>
    <mergeCell ref="A231:K231"/>
    <mergeCell ref="A232:K232"/>
    <mergeCell ref="A233:K233"/>
    <mergeCell ref="A333:G333"/>
    <mergeCell ref="A337:G337"/>
    <mergeCell ref="C412:E412"/>
    <mergeCell ref="A346:G346"/>
    <mergeCell ref="A353:H353"/>
    <mergeCell ref="A339:G339"/>
    <mergeCell ref="A326:G326"/>
    <mergeCell ref="A338:G338"/>
    <mergeCell ref="A51:G51"/>
    <mergeCell ref="A49:G49"/>
    <mergeCell ref="A80:H80"/>
    <mergeCell ref="A147:F147"/>
    <mergeCell ref="A334:G334"/>
    <mergeCell ref="A47:G47"/>
    <mergeCell ref="A286:G286"/>
    <mergeCell ref="A48:G48"/>
    <mergeCell ref="A323:G323"/>
  </mergeCells>
  <phoneticPr fontId="20" type="noConversion"/>
  <dataValidations count="12">
    <dataValidation type="decimal" allowBlank="1" showInputMessage="1" showErrorMessage="1" sqref="I290:M290 I288:M288">
      <formula1>0</formula1>
      <formula2>1</formula2>
    </dataValidation>
    <dataValidation type="whole" allowBlank="1" showInputMessage="1" showErrorMessage="1" error="Внимательнее !!!!" sqref="I286:M286">
      <formula1>1</formula1>
      <formula2>4</formula2>
    </dataValidation>
    <dataValidation type="whole" allowBlank="1" showInputMessage="1" showErrorMessage="1" sqref="I312:M312">
      <formula1>1</formula1>
      <formula2>13</formula2>
    </dataValidation>
    <dataValidation type="whole" allowBlank="1" showInputMessage="1" showErrorMessage="1" error="Внимательнее!!!" sqref="I326:M326">
      <formula1>1</formula1>
      <formula2>4</formula2>
    </dataValidation>
    <dataValidation type="whole" allowBlank="1" showInputMessage="1" showErrorMessage="1" error="Внимательнее!!!" sqref="I329:M329">
      <formula1>0</formula1>
      <formula2>1</formula2>
    </dataValidation>
    <dataValidation allowBlank="1" showInputMessage="1" showErrorMessage="1" error="Внимательнее!!!" sqref="I323:M323"/>
    <dataValidation type="decimal" allowBlank="1" showInputMessage="1" showErrorMessage="1" error="Внимательнее!!!" sqref="I347:M347">
      <formula1>0</formula1>
      <formula2>1</formula2>
    </dataValidation>
    <dataValidation type="whole" allowBlank="1" showInputMessage="1" showErrorMessage="1" error="Вниметельнее !!!" sqref="I346:M346">
      <formula1>1</formula1>
      <formula2>3</formula2>
    </dataValidation>
    <dataValidation type="decimal" allowBlank="1" showInputMessage="1" showErrorMessage="1" sqref="D148:G151 H147:H151 G86:H88 F134:J134">
      <formula1>0</formula1>
      <formula2>0.7</formula2>
    </dataValidation>
    <dataValidation type="whole" allowBlank="1" showInputMessage="1" showErrorMessage="1" sqref="F135:J135">
      <formula1>0</formula1>
      <formula2>1</formula2>
    </dataValidation>
    <dataValidation type="whole" allowBlank="1" showInputMessage="1" showErrorMessage="1" error="Aufmerksam, bitte !!!!" sqref="F133:J133">
      <formula1>0</formula1>
      <formula2>1</formula2>
    </dataValidation>
    <dataValidation type="decimal" allowBlank="1" showInputMessage="1" showErrorMessage="1" sqref="D137:H138 F136:J136">
      <formula1>0</formula1>
      <formula2>0.8</formula2>
    </dataValidation>
  </dataValidations>
  <hyperlinks>
    <hyperlink ref="A150" location="kursovoy!A437" display="kursovoy!A437"/>
    <hyperlink ref="A195" location="kursovoy!A975" display="ПЕРЕХОДИТЕ ПО ССЫЛКЕ ДЛЯ ПРОДОЛЖЕНИЯ ВЫЧИСЛЕНИЙ"/>
  </hyperlinks>
  <pageMargins left="0.75" right="0.75" top="1" bottom="1" header="0.5" footer="0.5"/>
  <pageSetup paperSize="9" orientation="portrait" horizontalDpi="300" verticalDpi="300"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L90"/>
  <sheetViews>
    <sheetView workbookViewId="0">
      <selection activeCell="A2" sqref="A2"/>
    </sheetView>
  </sheetViews>
  <sheetFormatPr defaultRowHeight="12.75" x14ac:dyDescent="0.2"/>
  <cols>
    <col min="1" max="1" width="45.7109375" customWidth="1"/>
  </cols>
  <sheetData>
    <row r="2" spans="1:142" ht="18" x14ac:dyDescent="0.25">
      <c r="A2" s="28"/>
      <c r="B2" s="834"/>
      <c r="C2" s="835" t="s">
        <v>437</v>
      </c>
      <c r="D2" s="836"/>
      <c r="E2" s="834"/>
      <c r="F2" s="837"/>
      <c r="G2" s="167"/>
      <c r="H2" s="1209" t="str">
        <f>IF(обор!G378=1,"Обратно к выбору типа  мехкрепи","")</f>
        <v/>
      </c>
      <c r="I2" s="167"/>
      <c r="J2" s="167"/>
      <c r="K2" s="167"/>
      <c r="L2" s="167"/>
      <c r="M2" s="1207" t="str">
        <f>IF(обор!G378=2,"Обратно к выбору индивидуальной крепи","")</f>
        <v/>
      </c>
      <c r="N2" s="1206"/>
      <c r="O2" s="167"/>
      <c r="P2" s="167"/>
      <c r="Q2" s="167"/>
      <c r="R2" s="8"/>
      <c r="S2" s="8"/>
      <c r="T2" s="8"/>
      <c r="U2" s="8"/>
      <c r="V2" s="8"/>
      <c r="W2" s="42"/>
      <c r="X2" s="42"/>
      <c r="Y2" s="42"/>
      <c r="Z2" s="42"/>
      <c r="AA2" s="42"/>
      <c r="AB2" s="42"/>
      <c r="AC2" s="42"/>
      <c r="AD2" s="42"/>
      <c r="AE2" s="42"/>
      <c r="AF2" s="42"/>
      <c r="AG2" s="42"/>
      <c r="AH2" s="42"/>
      <c r="AI2" s="42"/>
      <c r="AJ2" s="42"/>
      <c r="AK2" s="42"/>
      <c r="AL2" s="42"/>
      <c r="AM2" s="42"/>
      <c r="AN2" s="42"/>
      <c r="AO2" s="42"/>
      <c r="AP2" s="42"/>
      <c r="AQ2" s="42"/>
      <c r="AR2" s="42"/>
    </row>
    <row r="3" spans="1:142" x14ac:dyDescent="0.2">
      <c r="CG3" s="14"/>
      <c r="CH3" s="2985" t="s">
        <v>5642</v>
      </c>
      <c r="CI3" s="2986"/>
      <c r="CJ3" s="2986"/>
      <c r="CK3" s="2986"/>
      <c r="CL3" s="2986"/>
      <c r="CM3" s="2986"/>
      <c r="CN3" s="2986"/>
      <c r="CO3" s="2986"/>
      <c r="CP3" s="2986"/>
      <c r="CQ3" s="222"/>
      <c r="CR3" s="8"/>
      <c r="CT3" s="14"/>
      <c r="CU3" s="20"/>
      <c r="CV3" s="14"/>
      <c r="CW3" s="14"/>
      <c r="CX3" s="14"/>
      <c r="CY3" s="25"/>
      <c r="CZ3" s="11"/>
      <c r="DA3" s="11"/>
      <c r="DB3" s="11"/>
      <c r="DC3" s="11"/>
      <c r="DD3" s="29"/>
      <c r="DE3" s="11"/>
      <c r="DF3" s="11"/>
      <c r="DG3" s="11"/>
      <c r="DH3" s="11"/>
      <c r="DI3" s="29"/>
      <c r="DJ3" s="11"/>
      <c r="DK3" s="11"/>
      <c r="DQ3" s="42"/>
      <c r="DR3" s="42"/>
      <c r="DS3" s="42"/>
      <c r="DT3" s="42"/>
      <c r="DU3" s="42"/>
      <c r="DV3" s="42"/>
      <c r="DW3" s="42"/>
      <c r="DX3" s="42"/>
      <c r="DY3" s="42"/>
      <c r="DZ3" s="42"/>
      <c r="EA3" s="42"/>
      <c r="EB3" s="42"/>
      <c r="EC3" s="42"/>
      <c r="ED3" s="42"/>
      <c r="EE3" s="42"/>
      <c r="EF3" s="42"/>
      <c r="EG3" s="42"/>
      <c r="EH3" s="42"/>
      <c r="EI3" s="42"/>
      <c r="EJ3" s="42"/>
      <c r="EK3" s="42"/>
      <c r="EL3" s="42"/>
    </row>
    <row r="4" spans="1:142" ht="24.75" customHeight="1" x14ac:dyDescent="0.25">
      <c r="A4" s="14"/>
      <c r="B4" s="2985" t="s">
        <v>5642</v>
      </c>
      <c r="C4" s="2986"/>
      <c r="D4" s="2986"/>
      <c r="E4" s="2986"/>
      <c r="F4" s="2986"/>
      <c r="G4" s="2986"/>
      <c r="H4" s="2986"/>
      <c r="I4" s="2986"/>
      <c r="J4" s="2986"/>
      <c r="K4" s="222"/>
      <c r="L4" s="8"/>
      <c r="N4" s="14"/>
      <c r="CG4" s="14"/>
      <c r="CH4" s="2987" t="s">
        <v>5488</v>
      </c>
      <c r="CI4" s="2988" t="s">
        <v>3449</v>
      </c>
      <c r="CJ4" s="2988" t="s">
        <v>3450</v>
      </c>
      <c r="CK4" s="2988" t="s">
        <v>5643</v>
      </c>
      <c r="CL4" s="2988" t="s">
        <v>5644</v>
      </c>
      <c r="CM4" s="2988" t="s">
        <v>5645</v>
      </c>
      <c r="CN4" s="2988" t="s">
        <v>5646</v>
      </c>
      <c r="CO4" s="2988" t="s">
        <v>5647</v>
      </c>
      <c r="CP4" s="2988" t="s">
        <v>5648</v>
      </c>
      <c r="CQ4" s="2988" t="s">
        <v>5649</v>
      </c>
      <c r="CR4" s="2988" t="s">
        <v>3662</v>
      </c>
      <c r="CS4" s="2987" t="s">
        <v>3672</v>
      </c>
      <c r="CT4" s="2927" t="s">
        <v>5650</v>
      </c>
      <c r="CU4" s="169" t="s">
        <v>714</v>
      </c>
      <c r="CV4" s="169" t="s">
        <v>580</v>
      </c>
      <c r="CW4" s="169" t="s">
        <v>581</v>
      </c>
      <c r="CX4" s="69" t="s">
        <v>3983</v>
      </c>
      <c r="CY4" s="839" t="s">
        <v>632</v>
      </c>
      <c r="CZ4" s="888" t="s">
        <v>1269</v>
      </c>
      <c r="DA4" s="889" t="s">
        <v>1270</v>
      </c>
      <c r="DB4" s="4350" t="s">
        <v>856</v>
      </c>
      <c r="DC4" s="4364"/>
      <c r="DD4" s="904" t="s">
        <v>1863</v>
      </c>
      <c r="DE4" s="671"/>
      <c r="DF4" s="15"/>
      <c r="DG4" s="1223" t="s">
        <v>857</v>
      </c>
      <c r="DH4" s="67"/>
      <c r="DI4" s="67"/>
      <c r="DJ4" s="67"/>
      <c r="DK4" s="586"/>
      <c r="DL4" s="840"/>
      <c r="DM4" s="841"/>
      <c r="DN4" s="841"/>
      <c r="DO4" s="841"/>
      <c r="DQ4" s="42"/>
      <c r="DR4" s="42"/>
      <c r="DS4" s="42"/>
      <c r="DT4" s="42"/>
      <c r="DU4" s="42"/>
      <c r="DV4" s="42"/>
      <c r="DW4" s="42"/>
      <c r="DX4" s="42"/>
      <c r="DY4" s="42"/>
      <c r="DZ4" s="42"/>
      <c r="EA4" s="42"/>
      <c r="EB4" s="42"/>
      <c r="EC4" s="42"/>
      <c r="ED4" s="42"/>
      <c r="EE4" s="42"/>
      <c r="EF4" s="42"/>
      <c r="EG4" s="42"/>
      <c r="EH4" s="42"/>
      <c r="EI4" s="42"/>
      <c r="EJ4" s="42"/>
      <c r="EK4" s="42"/>
      <c r="EL4" s="42"/>
    </row>
    <row r="5" spans="1:142" ht="102.75" x14ac:dyDescent="0.25">
      <c r="A5" s="14"/>
      <c r="B5" s="2987" t="s">
        <v>5488</v>
      </c>
      <c r="C5" s="2988" t="s">
        <v>3449</v>
      </c>
      <c r="D5" s="2988" t="s">
        <v>3450</v>
      </c>
      <c r="E5" s="2988" t="s">
        <v>5643</v>
      </c>
      <c r="F5" s="2988" t="s">
        <v>5644</v>
      </c>
      <c r="G5" s="2988" t="s">
        <v>5645</v>
      </c>
      <c r="H5" s="2988" t="s">
        <v>5646</v>
      </c>
      <c r="I5" s="2988" t="s">
        <v>5647</v>
      </c>
      <c r="J5" s="2988" t="s">
        <v>5648</v>
      </c>
      <c r="K5" s="2988" t="s">
        <v>5649</v>
      </c>
      <c r="L5" s="2988" t="s">
        <v>3662</v>
      </c>
      <c r="M5" s="2987" t="s">
        <v>5656</v>
      </c>
      <c r="N5" s="2987" t="s">
        <v>5657</v>
      </c>
      <c r="O5" s="2927" t="s">
        <v>5650</v>
      </c>
      <c r="CG5" s="2989">
        <v>1</v>
      </c>
      <c r="CH5" s="2990" t="s">
        <v>5651</v>
      </c>
      <c r="CI5" s="2990">
        <v>0.85</v>
      </c>
      <c r="CJ5" s="2990">
        <v>1.3</v>
      </c>
      <c r="CK5" s="2990">
        <v>5.5</v>
      </c>
      <c r="CL5" s="2990">
        <v>3.3</v>
      </c>
      <c r="CM5" s="2990">
        <v>330</v>
      </c>
      <c r="CN5" s="2990">
        <v>5</v>
      </c>
      <c r="CO5" s="2990">
        <v>200</v>
      </c>
      <c r="CP5" s="2990">
        <v>5870</v>
      </c>
      <c r="CQ5" s="2990">
        <v>630</v>
      </c>
      <c r="CR5" s="2990">
        <v>14.8</v>
      </c>
      <c r="CS5" s="2027" t="s">
        <v>5652</v>
      </c>
      <c r="CT5" s="71">
        <v>2</v>
      </c>
      <c r="CU5" s="17" t="s">
        <v>3480</v>
      </c>
      <c r="CV5" s="17">
        <v>0.8</v>
      </c>
      <c r="CW5" s="17">
        <v>1.2</v>
      </c>
      <c r="CX5" s="69">
        <v>0.84</v>
      </c>
      <c r="CY5" s="838">
        <v>6.4</v>
      </c>
      <c r="CZ5" s="890">
        <v>0.8</v>
      </c>
      <c r="DA5" s="890">
        <v>0.8</v>
      </c>
      <c r="DB5" s="846">
        <v>1</v>
      </c>
      <c r="DC5" s="17"/>
      <c r="DD5" s="905">
        <v>1</v>
      </c>
      <c r="DE5" s="172"/>
      <c r="DF5" s="172"/>
      <c r="DG5" s="4427"/>
      <c r="DH5" s="4388"/>
      <c r="DI5" s="4438"/>
      <c r="DJ5" s="4438"/>
      <c r="DK5" s="842"/>
      <c r="DL5" s="586"/>
      <c r="DM5" s="841"/>
      <c r="DN5" s="841"/>
      <c r="DO5" s="841"/>
      <c r="DQ5" s="42"/>
      <c r="DR5" s="42"/>
      <c r="DS5" s="42"/>
      <c r="DT5" s="42"/>
      <c r="DU5" s="42"/>
      <c r="DV5" s="42"/>
      <c r="DW5" s="42"/>
      <c r="DX5" s="42"/>
      <c r="DY5" s="42"/>
      <c r="DZ5" s="42"/>
      <c r="EA5" s="42"/>
      <c r="EB5" s="42"/>
      <c r="EC5" s="42"/>
      <c r="ED5" s="42"/>
      <c r="EE5" s="42"/>
      <c r="EF5" s="42"/>
      <c r="EG5" s="42"/>
      <c r="EH5" s="42"/>
      <c r="EI5" s="42"/>
      <c r="EJ5" s="42"/>
      <c r="EK5" s="42"/>
      <c r="EL5" s="42"/>
    </row>
    <row r="6" spans="1:142" ht="15" x14ac:dyDescent="0.25">
      <c r="A6" s="2989">
        <v>1</v>
      </c>
      <c r="B6" s="2990" t="s">
        <v>5651</v>
      </c>
      <c r="C6" s="2990">
        <v>0.85</v>
      </c>
      <c r="D6" s="2990">
        <v>1.3</v>
      </c>
      <c r="E6" s="2990">
        <v>5.5</v>
      </c>
      <c r="F6" s="2990">
        <v>3.3</v>
      </c>
      <c r="G6" s="2990">
        <v>330</v>
      </c>
      <c r="H6" s="2990">
        <v>5</v>
      </c>
      <c r="I6" s="2990">
        <v>200</v>
      </c>
      <c r="J6" s="2990">
        <v>5870</v>
      </c>
      <c r="K6" s="2990">
        <v>630</v>
      </c>
      <c r="L6" s="2990">
        <v>14.8</v>
      </c>
      <c r="M6" s="2027">
        <v>0.63</v>
      </c>
      <c r="N6" s="2990">
        <v>0.8</v>
      </c>
      <c r="O6" s="71">
        <v>2</v>
      </c>
      <c r="CG6" s="2989"/>
      <c r="CH6" s="2990"/>
      <c r="CI6" s="2990"/>
      <c r="CJ6" s="2990"/>
      <c r="CK6" s="2990"/>
      <c r="CL6" s="2990"/>
      <c r="CM6" s="2990"/>
      <c r="CN6" s="2990"/>
      <c r="CO6" s="2990"/>
      <c r="CP6" s="2990"/>
      <c r="CQ6" s="2990"/>
      <c r="CR6" s="2990"/>
      <c r="CS6" s="2027"/>
      <c r="CT6" s="71"/>
      <c r="CU6" s="17"/>
      <c r="CV6" s="17"/>
      <c r="CW6" s="17"/>
      <c r="CX6" s="69"/>
      <c r="CY6" s="838"/>
      <c r="CZ6" s="890"/>
      <c r="DA6" s="890"/>
      <c r="DB6" s="846"/>
      <c r="DC6" s="17"/>
      <c r="DD6" s="905"/>
      <c r="DE6" s="2983"/>
      <c r="DF6" s="2983"/>
      <c r="DG6" s="2983"/>
      <c r="DH6" s="2981"/>
      <c r="DI6" s="2984"/>
      <c r="DJ6" s="2984"/>
      <c r="DK6" s="842"/>
      <c r="DL6" s="586"/>
      <c r="DM6" s="841"/>
      <c r="DN6" s="841"/>
      <c r="DO6" s="841"/>
      <c r="DQ6" s="2980"/>
      <c r="DR6" s="2980"/>
      <c r="DS6" s="2980"/>
      <c r="DT6" s="2980"/>
      <c r="DU6" s="2980"/>
      <c r="DV6" s="2980"/>
      <c r="DW6" s="2980"/>
      <c r="DX6" s="2980"/>
      <c r="DY6" s="2980"/>
      <c r="DZ6" s="2980"/>
      <c r="EA6" s="2980"/>
      <c r="EB6" s="2980"/>
      <c r="EC6" s="2980"/>
      <c r="ED6" s="2980"/>
      <c r="EE6" s="2980"/>
      <c r="EF6" s="2980"/>
      <c r="EG6" s="2980"/>
      <c r="EH6" s="2980"/>
      <c r="EI6" s="2980"/>
      <c r="EJ6" s="2980"/>
      <c r="EK6" s="2980"/>
      <c r="EL6" s="2980"/>
    </row>
    <row r="7" spans="1:142" ht="15" x14ac:dyDescent="0.25">
      <c r="A7" s="2989">
        <v>2</v>
      </c>
      <c r="B7" s="2990" t="s">
        <v>5653</v>
      </c>
      <c r="C7" s="2990">
        <v>0.85</v>
      </c>
      <c r="D7" s="2990">
        <v>1.6</v>
      </c>
      <c r="E7" s="2990">
        <v>6</v>
      </c>
      <c r="F7" s="2990">
        <v>4</v>
      </c>
      <c r="G7" s="2990">
        <v>510</v>
      </c>
      <c r="H7" s="2990">
        <v>5</v>
      </c>
      <c r="I7" s="2990">
        <v>250</v>
      </c>
      <c r="J7" s="2990">
        <v>5880</v>
      </c>
      <c r="K7" s="2990">
        <v>625</v>
      </c>
      <c r="L7" s="2990">
        <v>16.5</v>
      </c>
      <c r="M7" s="2027">
        <v>0.63</v>
      </c>
      <c r="N7" s="2990">
        <v>0.63</v>
      </c>
      <c r="O7" s="71">
        <v>2</v>
      </c>
      <c r="CG7" s="2989"/>
      <c r="CH7" s="2990"/>
      <c r="CI7" s="2990"/>
      <c r="CJ7" s="2990"/>
      <c r="CK7" s="2990"/>
      <c r="CL7" s="2990"/>
      <c r="CM7" s="2990"/>
      <c r="CN7" s="2990"/>
      <c r="CO7" s="2990"/>
      <c r="CP7" s="2990"/>
      <c r="CQ7" s="2990"/>
      <c r="CR7" s="2990"/>
      <c r="CS7" s="2027"/>
      <c r="CT7" s="71"/>
      <c r="CU7" s="17"/>
      <c r="CV7" s="17"/>
      <c r="CW7" s="17"/>
      <c r="CX7" s="69"/>
      <c r="CY7" s="838"/>
      <c r="CZ7" s="890"/>
      <c r="DA7" s="890"/>
      <c r="DB7" s="846"/>
      <c r="DC7" s="17"/>
      <c r="DD7" s="905"/>
      <c r="DE7" s="2983"/>
      <c r="DF7" s="2983"/>
      <c r="DG7" s="2983"/>
      <c r="DH7" s="2981"/>
      <c r="DI7" s="2984"/>
      <c r="DJ7" s="2984"/>
      <c r="DK7" s="842"/>
      <c r="DL7" s="586"/>
      <c r="DM7" s="841"/>
      <c r="DN7" s="841"/>
      <c r="DO7" s="841"/>
      <c r="DQ7" s="2980"/>
      <c r="DR7" s="2980"/>
      <c r="DS7" s="2980"/>
      <c r="DT7" s="2980"/>
      <c r="DU7" s="2980"/>
      <c r="DV7" s="2980"/>
      <c r="DW7" s="2980"/>
      <c r="DX7" s="2980"/>
      <c r="DY7" s="2980"/>
      <c r="DZ7" s="2980"/>
      <c r="EA7" s="2980"/>
      <c r="EB7" s="2980"/>
      <c r="EC7" s="2980"/>
      <c r="ED7" s="2980"/>
      <c r="EE7" s="2980"/>
      <c r="EF7" s="2980"/>
      <c r="EG7" s="2980"/>
      <c r="EH7" s="2980"/>
      <c r="EI7" s="2980"/>
      <c r="EJ7" s="2980"/>
      <c r="EK7" s="2980"/>
      <c r="EL7" s="2980"/>
    </row>
    <row r="8" spans="1:142" ht="15" x14ac:dyDescent="0.25">
      <c r="A8" s="2989">
        <v>3</v>
      </c>
      <c r="B8" s="2990" t="s">
        <v>5631</v>
      </c>
      <c r="C8" s="2990">
        <v>0.85</v>
      </c>
      <c r="D8" s="2991">
        <v>1.5</v>
      </c>
      <c r="E8" s="2990">
        <v>10</v>
      </c>
      <c r="F8" s="2990">
        <v>4.5</v>
      </c>
      <c r="G8" s="2990">
        <v>420</v>
      </c>
      <c r="H8" s="2990">
        <v>12</v>
      </c>
      <c r="I8" s="2990">
        <v>300</v>
      </c>
      <c r="J8" s="2990">
        <v>7440</v>
      </c>
      <c r="K8" s="2990">
        <v>705</v>
      </c>
      <c r="L8" s="2990">
        <v>21</v>
      </c>
      <c r="M8" s="2027">
        <v>0.7</v>
      </c>
      <c r="N8" s="2990">
        <v>0.7</v>
      </c>
      <c r="O8" s="71">
        <v>2</v>
      </c>
      <c r="CG8" s="2989"/>
      <c r="CH8" s="2990"/>
      <c r="CI8" s="2990"/>
      <c r="CJ8" s="2990"/>
      <c r="CK8" s="2990"/>
      <c r="CL8" s="2990"/>
      <c r="CM8" s="2990"/>
      <c r="CN8" s="2990"/>
      <c r="CO8" s="2990"/>
      <c r="CP8" s="2990"/>
      <c r="CQ8" s="2990"/>
      <c r="CR8" s="2990"/>
      <c r="CS8" s="2027"/>
      <c r="CT8" s="71"/>
      <c r="CU8" s="17"/>
      <c r="CV8" s="17"/>
      <c r="CW8" s="17"/>
      <c r="CX8" s="69"/>
      <c r="CY8" s="838"/>
      <c r="CZ8" s="890"/>
      <c r="DA8" s="890"/>
      <c r="DB8" s="846"/>
      <c r="DC8" s="17"/>
      <c r="DD8" s="905"/>
      <c r="DE8" s="2983"/>
      <c r="DF8" s="2983"/>
      <c r="DG8" s="2983"/>
      <c r="DH8" s="2981"/>
      <c r="DI8" s="2984"/>
      <c r="DJ8" s="2984"/>
      <c r="DK8" s="842"/>
      <c r="DL8" s="586"/>
      <c r="DM8" s="841"/>
      <c r="DN8" s="841"/>
      <c r="DO8" s="841"/>
      <c r="DQ8" s="2980"/>
      <c r="DR8" s="2980"/>
      <c r="DS8" s="2980"/>
      <c r="DT8" s="2980"/>
      <c r="DU8" s="2980"/>
      <c r="DV8" s="2980"/>
      <c r="DW8" s="2980"/>
      <c r="DX8" s="2980"/>
      <c r="DY8" s="2980"/>
      <c r="DZ8" s="2980"/>
      <c r="EA8" s="2980"/>
      <c r="EB8" s="2980"/>
      <c r="EC8" s="2980"/>
      <c r="ED8" s="2980"/>
      <c r="EE8" s="2980"/>
      <c r="EF8" s="2980"/>
      <c r="EG8" s="2980"/>
      <c r="EH8" s="2980"/>
      <c r="EI8" s="2980"/>
      <c r="EJ8" s="2980"/>
      <c r="EK8" s="2980"/>
      <c r="EL8" s="2980"/>
    </row>
    <row r="9" spans="1:142" ht="15" x14ac:dyDescent="0.25">
      <c r="A9" s="2989">
        <v>4</v>
      </c>
      <c r="B9" s="2990" t="s">
        <v>5616</v>
      </c>
      <c r="C9" s="2990">
        <v>0.85</v>
      </c>
      <c r="D9" s="2990">
        <v>1.5</v>
      </c>
      <c r="E9" s="2990">
        <v>12</v>
      </c>
      <c r="F9" s="2990">
        <v>5</v>
      </c>
      <c r="G9" s="2990">
        <v>460</v>
      </c>
      <c r="H9" s="2990">
        <v>12</v>
      </c>
      <c r="I9" s="2990">
        <v>300</v>
      </c>
      <c r="J9" s="2990">
        <v>7650</v>
      </c>
      <c r="K9" s="2990">
        <v>560</v>
      </c>
      <c r="L9" s="2990">
        <v>21</v>
      </c>
      <c r="M9" s="2027">
        <v>0.7</v>
      </c>
      <c r="N9" s="2990">
        <v>0.8</v>
      </c>
      <c r="O9" s="71">
        <v>2</v>
      </c>
      <c r="CG9" s="2989"/>
      <c r="CH9" s="2990"/>
      <c r="CI9" s="2990"/>
      <c r="CJ9" s="2990"/>
      <c r="CK9" s="2990"/>
      <c r="CL9" s="2990"/>
      <c r="CM9" s="2990"/>
      <c r="CN9" s="2990"/>
      <c r="CO9" s="2990"/>
      <c r="CP9" s="2990"/>
      <c r="CQ9" s="2990"/>
      <c r="CR9" s="2990"/>
      <c r="CS9" s="2027"/>
      <c r="CT9" s="71"/>
      <c r="CU9" s="17"/>
      <c r="CV9" s="17"/>
      <c r="CW9" s="17"/>
      <c r="CX9" s="69"/>
      <c r="CY9" s="838"/>
      <c r="CZ9" s="890"/>
      <c r="DA9" s="890"/>
      <c r="DB9" s="846"/>
      <c r="DC9" s="17"/>
      <c r="DD9" s="905"/>
      <c r="DE9" s="2983"/>
      <c r="DF9" s="2983"/>
      <c r="DG9" s="2983"/>
      <c r="DH9" s="2981"/>
      <c r="DI9" s="2984"/>
      <c r="DJ9" s="2984"/>
      <c r="DK9" s="842"/>
      <c r="DL9" s="586"/>
      <c r="DM9" s="841"/>
      <c r="DN9" s="841"/>
      <c r="DO9" s="841"/>
      <c r="DQ9" s="2980"/>
      <c r="DR9" s="2980"/>
      <c r="DS9" s="2980"/>
      <c r="DT9" s="2980"/>
      <c r="DU9" s="2980"/>
      <c r="DV9" s="2980"/>
      <c r="DW9" s="2980"/>
      <c r="DX9" s="2980"/>
      <c r="DY9" s="2980"/>
      <c r="DZ9" s="2980"/>
      <c r="EA9" s="2980"/>
      <c r="EB9" s="2980"/>
      <c r="EC9" s="2980"/>
      <c r="ED9" s="2980"/>
      <c r="EE9" s="2980"/>
      <c r="EF9" s="2980"/>
      <c r="EG9" s="2980"/>
      <c r="EH9" s="2980"/>
      <c r="EI9" s="2980"/>
      <c r="EJ9" s="2980"/>
      <c r="EK9" s="2980"/>
      <c r="EL9" s="2980"/>
    </row>
    <row r="10" spans="1:142" ht="15" x14ac:dyDescent="0.25">
      <c r="A10" s="2989">
        <v>5</v>
      </c>
      <c r="B10" s="2990" t="s">
        <v>3478</v>
      </c>
      <c r="C10" s="2990">
        <v>0.85</v>
      </c>
      <c r="D10" s="2990">
        <v>1.2</v>
      </c>
      <c r="E10" s="2990">
        <v>3.3</v>
      </c>
      <c r="F10" s="2990">
        <v>2.2000000000000002</v>
      </c>
      <c r="G10" s="2990">
        <v>290</v>
      </c>
      <c r="H10" s="2990">
        <v>5</v>
      </c>
      <c r="I10" s="2990">
        <v>200</v>
      </c>
      <c r="J10" s="2990">
        <v>3530</v>
      </c>
      <c r="K10" s="2990">
        <v>536</v>
      </c>
      <c r="L10" s="2990">
        <v>12.33</v>
      </c>
      <c r="M10" s="2027">
        <v>0.8</v>
      </c>
      <c r="N10" s="2990">
        <v>0.8</v>
      </c>
      <c r="O10" s="71">
        <v>2</v>
      </c>
      <c r="CG10" s="2989"/>
      <c r="CH10" s="2990"/>
      <c r="CI10" s="2990"/>
      <c r="CJ10" s="2990"/>
      <c r="CK10" s="2990"/>
      <c r="CL10" s="2990"/>
      <c r="CM10" s="2990"/>
      <c r="CN10" s="2990"/>
      <c r="CO10" s="2990"/>
      <c r="CP10" s="2990"/>
      <c r="CQ10" s="2990"/>
      <c r="CR10" s="2990"/>
      <c r="CS10" s="2027"/>
      <c r="CT10" s="71"/>
      <c r="CU10" s="17"/>
      <c r="CV10" s="17"/>
      <c r="CW10" s="17"/>
      <c r="CX10" s="69"/>
      <c r="CY10" s="838"/>
      <c r="CZ10" s="890"/>
      <c r="DA10" s="890"/>
      <c r="DB10" s="846"/>
      <c r="DC10" s="17"/>
      <c r="DD10" s="905"/>
      <c r="DE10" s="2983"/>
      <c r="DF10" s="2983"/>
      <c r="DG10" s="2983"/>
      <c r="DH10" s="2981"/>
      <c r="DI10" s="2984"/>
      <c r="DJ10" s="2984"/>
      <c r="DK10" s="842"/>
      <c r="DL10" s="586"/>
      <c r="DM10" s="841"/>
      <c r="DN10" s="841"/>
      <c r="DO10" s="841"/>
      <c r="DQ10" s="2980"/>
      <c r="DR10" s="2980"/>
      <c r="DS10" s="2980"/>
      <c r="DT10" s="2980"/>
      <c r="DU10" s="2980"/>
      <c r="DV10" s="2980"/>
      <c r="DW10" s="2980"/>
      <c r="DX10" s="2980"/>
      <c r="DY10" s="2980"/>
      <c r="DZ10" s="2980"/>
      <c r="EA10" s="2980"/>
      <c r="EB10" s="2980"/>
      <c r="EC10" s="2980"/>
      <c r="ED10" s="2980"/>
      <c r="EE10" s="2980"/>
      <c r="EF10" s="2980"/>
      <c r="EG10" s="2980"/>
      <c r="EH10" s="2980"/>
      <c r="EI10" s="2980"/>
      <c r="EJ10" s="2980"/>
      <c r="EK10" s="2980"/>
      <c r="EL10" s="2980"/>
    </row>
    <row r="11" spans="1:142" ht="15" x14ac:dyDescent="0.25">
      <c r="A11" s="2989">
        <v>6</v>
      </c>
      <c r="B11" s="2990" t="s">
        <v>5614</v>
      </c>
      <c r="C11" s="2990">
        <v>0.85</v>
      </c>
      <c r="D11" s="2990">
        <v>1.2</v>
      </c>
      <c r="E11" s="2990">
        <v>3.3</v>
      </c>
      <c r="F11" s="2990">
        <v>2.2000000000000002</v>
      </c>
      <c r="G11" s="2990">
        <v>290</v>
      </c>
      <c r="H11" s="2990">
        <v>5</v>
      </c>
      <c r="I11" s="2990">
        <v>200</v>
      </c>
      <c r="J11" s="2990">
        <v>3730</v>
      </c>
      <c r="K11" s="2990">
        <v>546</v>
      </c>
      <c r="L11" s="2990">
        <v>12.85</v>
      </c>
      <c r="M11" s="2027">
        <v>0.8</v>
      </c>
      <c r="N11" s="2990">
        <v>0.8</v>
      </c>
      <c r="O11" s="71">
        <v>2</v>
      </c>
      <c r="CG11" s="2989"/>
      <c r="CH11" s="2990"/>
      <c r="CI11" s="2990"/>
      <c r="CJ11" s="2990"/>
      <c r="CK11" s="2990"/>
      <c r="CL11" s="2990"/>
      <c r="CM11" s="2990"/>
      <c r="CN11" s="2990"/>
      <c r="CO11" s="2990"/>
      <c r="CP11" s="2990"/>
      <c r="CQ11" s="2990"/>
      <c r="CR11" s="2990"/>
      <c r="CS11" s="2027"/>
      <c r="CT11" s="71"/>
      <c r="CU11" s="17"/>
      <c r="CV11" s="17"/>
      <c r="CW11" s="17"/>
      <c r="CX11" s="69"/>
      <c r="CY11" s="838"/>
      <c r="CZ11" s="890"/>
      <c r="DA11" s="890"/>
      <c r="DB11" s="846"/>
      <c r="DC11" s="17"/>
      <c r="DD11" s="905"/>
      <c r="DE11" s="2983"/>
      <c r="DF11" s="2983"/>
      <c r="DG11" s="2983"/>
      <c r="DH11" s="2981"/>
      <c r="DI11" s="2984"/>
      <c r="DJ11" s="2984"/>
      <c r="DK11" s="842"/>
      <c r="DL11" s="586"/>
      <c r="DM11" s="841"/>
      <c r="DN11" s="841"/>
      <c r="DO11" s="841"/>
      <c r="DQ11" s="2980"/>
      <c r="DR11" s="2980"/>
      <c r="DS11" s="2980"/>
      <c r="DT11" s="2980"/>
      <c r="DU11" s="2980"/>
      <c r="DV11" s="2980"/>
      <c r="DW11" s="2980"/>
      <c r="DX11" s="2980"/>
      <c r="DY11" s="2980"/>
      <c r="DZ11" s="2980"/>
      <c r="EA11" s="2980"/>
      <c r="EB11" s="2980"/>
      <c r="EC11" s="2980"/>
      <c r="ED11" s="2980"/>
      <c r="EE11" s="2980"/>
      <c r="EF11" s="2980"/>
      <c r="EG11" s="2980"/>
      <c r="EH11" s="2980"/>
      <c r="EI11" s="2980"/>
      <c r="EJ11" s="2980"/>
      <c r="EK11" s="2980"/>
      <c r="EL11" s="2980"/>
    </row>
    <row r="12" spans="1:142" ht="15" x14ac:dyDescent="0.25">
      <c r="A12" s="2989">
        <v>7</v>
      </c>
      <c r="B12" s="2990" t="s">
        <v>3480</v>
      </c>
      <c r="C12" s="2990">
        <v>1.1499999999999999</v>
      </c>
      <c r="D12" s="2990">
        <v>1.3</v>
      </c>
      <c r="E12" s="2990">
        <v>3</v>
      </c>
      <c r="F12" s="2990">
        <v>1.8</v>
      </c>
      <c r="G12" s="2990">
        <v>230</v>
      </c>
      <c r="H12" s="2990">
        <v>4.5</v>
      </c>
      <c r="I12" s="2990">
        <v>250</v>
      </c>
      <c r="J12" s="2990">
        <v>1450</v>
      </c>
      <c r="K12" s="2990">
        <v>750</v>
      </c>
      <c r="L12" s="2990">
        <v>10.35</v>
      </c>
      <c r="M12" s="2027">
        <v>0.63</v>
      </c>
      <c r="N12" s="2990">
        <v>0.8</v>
      </c>
      <c r="O12" s="71">
        <v>1</v>
      </c>
      <c r="CG12" s="2989">
        <v>2</v>
      </c>
      <c r="CH12" s="2990" t="s">
        <v>5653</v>
      </c>
      <c r="CI12" s="2990">
        <v>0.85</v>
      </c>
      <c r="CJ12" s="2990">
        <v>1.6</v>
      </c>
      <c r="CK12" s="2990">
        <v>6</v>
      </c>
      <c r="CL12" s="2990">
        <v>4</v>
      </c>
      <c r="CM12" s="2990">
        <v>510</v>
      </c>
      <c r="CN12" s="2990">
        <v>5</v>
      </c>
      <c r="CO12" s="2990">
        <v>250</v>
      </c>
      <c r="CP12" s="2990">
        <v>5880</v>
      </c>
      <c r="CQ12" s="2990">
        <v>625</v>
      </c>
      <c r="CR12" s="2990">
        <v>16.5</v>
      </c>
      <c r="CS12" s="2027">
        <v>0.63</v>
      </c>
      <c r="CT12" s="71">
        <v>2</v>
      </c>
      <c r="CU12" s="17" t="s">
        <v>132</v>
      </c>
      <c r="CV12" s="17">
        <v>1</v>
      </c>
      <c r="CW12" s="17">
        <v>1.7</v>
      </c>
      <c r="CX12" s="17">
        <v>0.84</v>
      </c>
      <c r="CY12" s="838">
        <v>5</v>
      </c>
      <c r="CZ12" s="890">
        <v>0.63</v>
      </c>
      <c r="DA12" s="890">
        <v>0.63</v>
      </c>
      <c r="DB12" s="846">
        <v>2</v>
      </c>
      <c r="DC12" s="17"/>
      <c r="DD12" s="905">
        <v>2</v>
      </c>
      <c r="DE12" s="172"/>
      <c r="DF12" s="172"/>
      <c r="DG12" s="172"/>
      <c r="DH12" s="39"/>
      <c r="DI12" s="830"/>
      <c r="DJ12" s="830"/>
      <c r="DK12" s="842"/>
      <c r="DL12" s="586"/>
      <c r="DM12" s="841"/>
      <c r="DN12" s="841"/>
      <c r="DO12" s="841"/>
      <c r="DQ12" s="42"/>
      <c r="DR12" s="42"/>
      <c r="DS12" s="42"/>
      <c r="DT12" s="42"/>
      <c r="DU12" s="42"/>
      <c r="DV12" s="42"/>
      <c r="DW12" s="42"/>
      <c r="DX12" s="42"/>
      <c r="DY12" s="42"/>
      <c r="DZ12" s="42"/>
      <c r="EA12" s="42"/>
      <c r="EB12" s="42"/>
      <c r="EC12" s="42"/>
      <c r="ED12" s="42"/>
      <c r="EE12" s="42"/>
      <c r="EF12" s="42"/>
      <c r="EG12" s="42"/>
      <c r="EH12" s="42"/>
      <c r="EI12" s="42"/>
      <c r="EJ12" s="42"/>
      <c r="EK12" s="42"/>
      <c r="EL12" s="42"/>
    </row>
    <row r="13" spans="1:142" ht="15" x14ac:dyDescent="0.25">
      <c r="A13" s="2989">
        <v>8</v>
      </c>
      <c r="B13" s="2990" t="s">
        <v>3483</v>
      </c>
      <c r="C13" s="2990">
        <v>1.25</v>
      </c>
      <c r="D13" s="2990">
        <v>2.5</v>
      </c>
      <c r="E13" s="2990">
        <v>5</v>
      </c>
      <c r="F13" s="2990">
        <v>4.3</v>
      </c>
      <c r="G13" s="2990">
        <v>300</v>
      </c>
      <c r="H13" s="2990">
        <v>4.4000000000000004</v>
      </c>
      <c r="I13" s="2990">
        <v>250</v>
      </c>
      <c r="J13" s="2990">
        <v>9600</v>
      </c>
      <c r="K13" s="2990">
        <v>950</v>
      </c>
      <c r="L13" s="2990">
        <v>19.100000000000001</v>
      </c>
      <c r="M13" s="2027">
        <v>0.63</v>
      </c>
      <c r="N13" s="2990">
        <v>0.8</v>
      </c>
      <c r="O13" s="71">
        <v>2</v>
      </c>
      <c r="CG13" s="2989">
        <v>3</v>
      </c>
      <c r="CH13" s="2990" t="s">
        <v>5631</v>
      </c>
      <c r="CI13" s="2990">
        <v>0.85</v>
      </c>
      <c r="CJ13" s="2991">
        <v>1.5</v>
      </c>
      <c r="CK13" s="2990">
        <v>10</v>
      </c>
      <c r="CL13" s="2990">
        <v>4.5</v>
      </c>
      <c r="CM13" s="2990">
        <v>420</v>
      </c>
      <c r="CN13" s="2990">
        <v>12</v>
      </c>
      <c r="CO13" s="2990">
        <v>300</v>
      </c>
      <c r="CP13" s="2990">
        <v>7440</v>
      </c>
      <c r="CQ13" s="2990">
        <v>705</v>
      </c>
      <c r="CR13" s="2990">
        <v>21</v>
      </c>
      <c r="CS13" s="2027">
        <v>0.7</v>
      </c>
      <c r="CT13" s="71">
        <v>2</v>
      </c>
      <c r="CU13" s="17" t="s">
        <v>3483</v>
      </c>
      <c r="CV13" s="17">
        <v>1.1000000000000001</v>
      </c>
      <c r="CW13" s="17">
        <v>2.5</v>
      </c>
      <c r="CX13" s="17">
        <v>0.87</v>
      </c>
      <c r="CY13" s="838">
        <v>5.6</v>
      </c>
      <c r="CZ13" s="890">
        <v>0.63</v>
      </c>
      <c r="DA13" s="890">
        <v>0.63</v>
      </c>
      <c r="DB13" s="846">
        <v>2</v>
      </c>
      <c r="DC13" s="17"/>
      <c r="DD13" s="905">
        <v>3</v>
      </c>
      <c r="DE13" s="172"/>
      <c r="DF13" s="172"/>
      <c r="DG13" s="15"/>
      <c r="DH13" s="15"/>
      <c r="DI13" s="15"/>
      <c r="DJ13" s="15"/>
      <c r="DK13" s="842"/>
      <c r="DL13" s="586"/>
      <c r="DM13" s="841"/>
      <c r="DN13" s="841"/>
      <c r="DO13" s="841"/>
      <c r="DQ13" s="42"/>
      <c r="DR13" s="42"/>
      <c r="DS13" s="42"/>
      <c r="DT13" s="42"/>
      <c r="DU13" s="42"/>
      <c r="DV13" s="42"/>
      <c r="DW13" s="42"/>
      <c r="DX13" s="42"/>
      <c r="DY13" s="42"/>
      <c r="DZ13" s="42"/>
      <c r="EA13" s="42"/>
      <c r="EB13" s="42"/>
      <c r="EC13" s="42"/>
      <c r="ED13" s="42"/>
      <c r="EE13" s="42"/>
      <c r="EF13" s="42"/>
      <c r="EG13" s="42"/>
      <c r="EH13" s="42"/>
      <c r="EI13" s="42"/>
      <c r="EJ13" s="42"/>
      <c r="EK13" s="42"/>
      <c r="EL13" s="42"/>
    </row>
    <row r="14" spans="1:142" ht="15" x14ac:dyDescent="0.25">
      <c r="A14" s="2989">
        <v>9</v>
      </c>
      <c r="B14" s="2990" t="s">
        <v>2776</v>
      </c>
      <c r="C14" s="2990">
        <v>1.4</v>
      </c>
      <c r="D14" s="2990">
        <v>2.5</v>
      </c>
      <c r="E14" s="2990">
        <v>5</v>
      </c>
      <c r="F14" s="2990">
        <v>4.3</v>
      </c>
      <c r="G14" s="2990">
        <v>370</v>
      </c>
      <c r="H14" s="2990">
        <v>6</v>
      </c>
      <c r="I14" s="2990">
        <v>300</v>
      </c>
      <c r="J14" s="2990">
        <v>8820</v>
      </c>
      <c r="K14" s="2990">
        <v>950</v>
      </c>
      <c r="L14" s="2990">
        <v>21</v>
      </c>
      <c r="M14" s="2027">
        <v>0.63</v>
      </c>
      <c r="N14" s="2990">
        <v>0.8</v>
      </c>
      <c r="O14" s="71">
        <v>2</v>
      </c>
      <c r="CG14" s="2989">
        <v>4</v>
      </c>
      <c r="CH14" s="2990" t="s">
        <v>5616</v>
      </c>
      <c r="CI14" s="2990">
        <v>0.85</v>
      </c>
      <c r="CJ14" s="2990">
        <v>1.5</v>
      </c>
      <c r="CK14" s="2990">
        <v>12</v>
      </c>
      <c r="CL14" s="2990">
        <v>5</v>
      </c>
      <c r="CM14" s="2990">
        <v>460</v>
      </c>
      <c r="CN14" s="2990">
        <v>12</v>
      </c>
      <c r="CO14" s="2990">
        <v>300</v>
      </c>
      <c r="CP14" s="2990">
        <v>7650</v>
      </c>
      <c r="CQ14" s="2990">
        <v>560</v>
      </c>
      <c r="CR14" s="2990">
        <v>21</v>
      </c>
      <c r="CS14" s="2027" t="s">
        <v>5654</v>
      </c>
      <c r="CT14" s="71">
        <v>2</v>
      </c>
      <c r="CU14" s="17" t="s">
        <v>133</v>
      </c>
      <c r="CV14" s="17">
        <v>1.1000000000000001</v>
      </c>
      <c r="CW14" s="17">
        <v>2.5</v>
      </c>
      <c r="CX14" s="17">
        <v>0.87</v>
      </c>
      <c r="CY14" s="838">
        <v>5.6</v>
      </c>
      <c r="CZ14" s="890">
        <v>0.63</v>
      </c>
      <c r="DA14" s="890">
        <v>0.63</v>
      </c>
      <c r="DB14" s="846">
        <v>2</v>
      </c>
      <c r="DC14" s="17"/>
      <c r="DD14" s="905">
        <v>4</v>
      </c>
      <c r="DE14" s="15"/>
      <c r="DF14" s="14"/>
      <c r="DH14" s="14"/>
      <c r="DI14" s="14"/>
      <c r="DJ14" s="14"/>
      <c r="DK14" s="842"/>
      <c r="DL14" s="586"/>
      <c r="DM14" s="841"/>
      <c r="DN14" s="841"/>
      <c r="DO14" s="841"/>
      <c r="DQ14" s="42"/>
      <c r="DR14" s="42"/>
      <c r="DS14" s="42"/>
      <c r="DT14" s="42"/>
      <c r="DU14" s="42"/>
      <c r="DV14" s="42"/>
      <c r="DW14" s="42"/>
      <c r="DX14" s="42"/>
      <c r="DY14" s="42"/>
      <c r="DZ14" s="42"/>
      <c r="EA14" s="42"/>
      <c r="EB14" s="42"/>
      <c r="EC14" s="42"/>
      <c r="ED14" s="42"/>
      <c r="EE14" s="42"/>
      <c r="EF14" s="42"/>
      <c r="EG14" s="42"/>
      <c r="EH14" s="42"/>
      <c r="EI14" s="42"/>
      <c r="EJ14" s="42"/>
      <c r="EK14" s="42"/>
      <c r="EL14" s="42"/>
    </row>
    <row r="15" spans="1:142" ht="15" x14ac:dyDescent="0.25">
      <c r="A15" s="2989">
        <v>10</v>
      </c>
      <c r="B15" s="2990" t="s">
        <v>3482</v>
      </c>
      <c r="C15" s="2990">
        <v>1.35</v>
      </c>
      <c r="D15" s="2990">
        <v>2.5</v>
      </c>
      <c r="E15" s="2990">
        <v>7</v>
      </c>
      <c r="F15" s="2990">
        <v>5</v>
      </c>
      <c r="G15" s="2990">
        <v>400</v>
      </c>
      <c r="H15" s="2990">
        <v>10</v>
      </c>
      <c r="I15" s="2990">
        <v>250</v>
      </c>
      <c r="J15" s="2990">
        <v>6570</v>
      </c>
      <c r="K15" s="2990">
        <v>800</v>
      </c>
      <c r="L15" s="2990">
        <v>1.89</v>
      </c>
      <c r="M15" s="2027">
        <v>0.63</v>
      </c>
      <c r="N15" s="2990">
        <v>0.8</v>
      </c>
      <c r="O15" s="71">
        <v>2</v>
      </c>
      <c r="CG15" s="2989">
        <v>5</v>
      </c>
      <c r="CH15" s="2990" t="s">
        <v>3478</v>
      </c>
      <c r="CI15" s="2990">
        <v>0.85</v>
      </c>
      <c r="CJ15" s="2990">
        <v>1.2</v>
      </c>
      <c r="CK15" s="2990">
        <v>3.3</v>
      </c>
      <c r="CL15" s="2990">
        <v>2.2000000000000002</v>
      </c>
      <c r="CM15" s="2990">
        <v>290</v>
      </c>
      <c r="CN15" s="2990">
        <v>5</v>
      </c>
      <c r="CO15" s="2990">
        <v>200</v>
      </c>
      <c r="CP15" s="2990">
        <v>3530</v>
      </c>
      <c r="CQ15" s="2990">
        <v>536</v>
      </c>
      <c r="CR15" s="2990">
        <v>12.33</v>
      </c>
      <c r="CS15" s="2027">
        <v>0.8</v>
      </c>
      <c r="CT15" s="71">
        <v>2</v>
      </c>
      <c r="CU15" s="17" t="s">
        <v>134</v>
      </c>
      <c r="CV15" s="17">
        <v>1.6</v>
      </c>
      <c r="CW15" s="17">
        <v>3.2</v>
      </c>
      <c r="CX15" s="17">
        <v>0.94</v>
      </c>
      <c r="CY15" s="838">
        <v>9</v>
      </c>
      <c r="CZ15" s="890">
        <v>0.63</v>
      </c>
      <c r="DA15" s="890">
        <v>0.63</v>
      </c>
      <c r="DB15" s="846">
        <v>2</v>
      </c>
      <c r="DC15" s="17"/>
      <c r="DD15" s="905">
        <v>5</v>
      </c>
      <c r="DE15" s="15"/>
      <c r="DF15" s="14"/>
      <c r="DG15" s="14"/>
      <c r="DH15" s="14"/>
      <c r="DI15" s="14"/>
      <c r="DJ15" s="14"/>
      <c r="DK15" s="842"/>
      <c r="DL15" s="586"/>
      <c r="DM15" s="841"/>
      <c r="DN15" s="841"/>
      <c r="DO15" s="841"/>
      <c r="DQ15" s="42"/>
      <c r="DR15" s="42"/>
      <c r="DS15" s="42"/>
      <c r="DT15" s="42"/>
      <c r="DU15" s="42"/>
      <c r="DV15" s="42"/>
      <c r="DW15" s="42"/>
      <c r="DX15" s="42"/>
      <c r="DY15" s="42"/>
      <c r="DZ15" s="42"/>
      <c r="EA15" s="42"/>
      <c r="EB15" s="42"/>
      <c r="EC15" s="42"/>
      <c r="ED15" s="42"/>
      <c r="EE15" s="42"/>
      <c r="EF15" s="42"/>
      <c r="EG15" s="42"/>
      <c r="EH15" s="42"/>
      <c r="EI15" s="42"/>
      <c r="EJ15" s="42"/>
      <c r="EK15" s="42"/>
      <c r="EL15" s="42"/>
    </row>
    <row r="16" spans="1:142" ht="15" x14ac:dyDescent="0.25">
      <c r="A16" s="2989">
        <v>11</v>
      </c>
      <c r="B16" s="2990" t="s">
        <v>658</v>
      </c>
      <c r="C16" s="2990">
        <v>1.35</v>
      </c>
      <c r="D16" s="2990">
        <v>2.6</v>
      </c>
      <c r="E16" s="2990">
        <v>7</v>
      </c>
      <c r="F16" s="2990">
        <v>5</v>
      </c>
      <c r="G16" s="2990">
        <v>400</v>
      </c>
      <c r="H16" s="2990">
        <v>10</v>
      </c>
      <c r="I16" s="2990">
        <v>250</v>
      </c>
      <c r="J16" s="2990">
        <v>6570</v>
      </c>
      <c r="K16" s="2990">
        <v>950</v>
      </c>
      <c r="L16" s="2990">
        <v>23.85</v>
      </c>
      <c r="M16" s="2027">
        <v>0.63</v>
      </c>
      <c r="N16" s="2990">
        <v>0.63</v>
      </c>
      <c r="O16" s="71">
        <v>2</v>
      </c>
      <c r="CG16" s="2989">
        <v>6</v>
      </c>
      <c r="CH16" s="2990" t="s">
        <v>5614</v>
      </c>
      <c r="CI16" s="2990">
        <v>0.85</v>
      </c>
      <c r="CJ16" s="2990">
        <v>1.2</v>
      </c>
      <c r="CK16" s="2990">
        <v>3.3</v>
      </c>
      <c r="CL16" s="2990">
        <v>2.2000000000000002</v>
      </c>
      <c r="CM16" s="2990">
        <v>290</v>
      </c>
      <c r="CN16" s="2990">
        <v>5</v>
      </c>
      <c r="CO16" s="2990">
        <v>200</v>
      </c>
      <c r="CP16" s="2990">
        <v>3730</v>
      </c>
      <c r="CQ16" s="2990">
        <v>546</v>
      </c>
      <c r="CR16" s="2990">
        <v>12.85</v>
      </c>
      <c r="CS16" s="2027">
        <v>0.8</v>
      </c>
      <c r="CT16" s="71">
        <v>2</v>
      </c>
      <c r="CU16" s="17" t="s">
        <v>3477</v>
      </c>
      <c r="CV16" s="17">
        <v>0.6</v>
      </c>
      <c r="CW16" s="17">
        <v>1.2</v>
      </c>
      <c r="CX16" s="71">
        <v>0.9</v>
      </c>
      <c r="CY16" s="838">
        <v>6.3</v>
      </c>
      <c r="CZ16" s="890">
        <v>0.8</v>
      </c>
      <c r="DA16" s="890">
        <v>0.8</v>
      </c>
      <c r="DB16" s="846">
        <v>1</v>
      </c>
      <c r="DC16" s="17"/>
      <c r="DD16" s="905">
        <v>6</v>
      </c>
      <c r="DE16" s="15"/>
      <c r="DF16" s="14"/>
      <c r="DG16" s="14"/>
      <c r="DH16" s="14"/>
      <c r="DI16" s="14"/>
      <c r="DJ16" s="14"/>
      <c r="DK16" s="842"/>
      <c r="DL16" s="586"/>
      <c r="DM16" s="841"/>
      <c r="DN16" s="841"/>
      <c r="DO16" s="841"/>
      <c r="DQ16" s="42"/>
      <c r="DR16" s="42"/>
      <c r="DS16" s="42"/>
      <c r="DT16" s="42"/>
      <c r="DU16" s="42"/>
      <c r="DV16" s="42"/>
      <c r="DW16" s="42"/>
      <c r="DX16" s="42"/>
      <c r="DY16" s="42"/>
      <c r="DZ16" s="42"/>
      <c r="EA16" s="42"/>
      <c r="EB16" s="42"/>
      <c r="EC16" s="42"/>
      <c r="ED16" s="42"/>
      <c r="EE16" s="42"/>
      <c r="EF16" s="42"/>
      <c r="EG16" s="42"/>
      <c r="EH16" s="42"/>
      <c r="EI16" s="42"/>
      <c r="EJ16" s="42"/>
      <c r="EK16" s="42"/>
      <c r="EL16" s="42"/>
    </row>
    <row r="17" spans="1:142" ht="15" x14ac:dyDescent="0.25">
      <c r="A17" s="2989">
        <v>12</v>
      </c>
      <c r="B17" s="2990" t="s">
        <v>5622</v>
      </c>
      <c r="C17" s="2990">
        <v>1.1000000000000001</v>
      </c>
      <c r="D17" s="2990">
        <v>2.1</v>
      </c>
      <c r="E17" s="2990">
        <v>11</v>
      </c>
      <c r="F17" s="2990">
        <v>7</v>
      </c>
      <c r="G17" s="2990">
        <v>467</v>
      </c>
      <c r="H17" s="2990">
        <v>14</v>
      </c>
      <c r="I17" s="2990">
        <v>360</v>
      </c>
      <c r="J17" s="2990">
        <v>7200</v>
      </c>
      <c r="K17" s="2990">
        <v>770</v>
      </c>
      <c r="L17" s="2990">
        <v>21.5</v>
      </c>
      <c r="M17" s="2027">
        <v>0.63</v>
      </c>
      <c r="N17" s="2990">
        <v>0.8</v>
      </c>
      <c r="O17" s="71">
        <v>2</v>
      </c>
      <c r="CG17" s="2989">
        <v>7</v>
      </c>
      <c r="CH17" s="2990" t="s">
        <v>3480</v>
      </c>
      <c r="CI17" s="2990">
        <v>1.1499999999999999</v>
      </c>
      <c r="CJ17" s="2990">
        <v>1.3</v>
      </c>
      <c r="CK17" s="2990">
        <v>3</v>
      </c>
      <c r="CL17" s="2990">
        <v>1.8</v>
      </c>
      <c r="CM17" s="2990">
        <v>230</v>
      </c>
      <c r="CN17" s="2990">
        <v>4.5</v>
      </c>
      <c r="CO17" s="2990">
        <v>250</v>
      </c>
      <c r="CP17" s="2990">
        <v>1450</v>
      </c>
      <c r="CQ17" s="2990">
        <v>750</v>
      </c>
      <c r="CR17" s="2990">
        <v>10.35</v>
      </c>
      <c r="CS17" s="2027" t="s">
        <v>5652</v>
      </c>
      <c r="CT17" s="71">
        <v>1</v>
      </c>
      <c r="CU17" s="17" t="s">
        <v>3478</v>
      </c>
      <c r="CV17" s="17">
        <v>0.6</v>
      </c>
      <c r="CW17" s="17">
        <v>1.2</v>
      </c>
      <c r="CX17" s="17">
        <v>0.9</v>
      </c>
      <c r="CY17" s="838">
        <v>8.5</v>
      </c>
      <c r="CZ17" s="890">
        <v>0.8</v>
      </c>
      <c r="DA17" s="890">
        <v>0.8</v>
      </c>
      <c r="DB17" s="846">
        <v>2</v>
      </c>
      <c r="DC17" s="17"/>
      <c r="DD17" s="905">
        <v>7</v>
      </c>
      <c r="DE17" s="15"/>
      <c r="DF17" s="14"/>
      <c r="DG17" s="14"/>
      <c r="DH17" s="14"/>
      <c r="DI17" s="14"/>
      <c r="DJ17" s="14"/>
      <c r="DK17" s="842"/>
      <c r="DL17" s="586"/>
      <c r="DM17" s="841"/>
      <c r="DN17" s="841"/>
      <c r="DO17" s="841"/>
      <c r="DQ17" s="42"/>
      <c r="DR17" s="42"/>
      <c r="DS17" s="42"/>
      <c r="DT17" s="42"/>
      <c r="DU17" s="42"/>
      <c r="DV17" s="42"/>
      <c r="DW17" s="42"/>
      <c r="DX17" s="42"/>
      <c r="DY17" s="42"/>
      <c r="DZ17" s="42"/>
      <c r="EA17" s="42"/>
      <c r="EB17" s="42"/>
      <c r="EC17" s="42"/>
      <c r="ED17" s="42"/>
      <c r="EE17" s="42"/>
      <c r="EF17" s="42"/>
      <c r="EG17" s="42"/>
      <c r="EH17" s="42"/>
      <c r="EI17" s="42"/>
      <c r="EJ17" s="42"/>
      <c r="EK17" s="42"/>
      <c r="EL17" s="42"/>
    </row>
    <row r="18" spans="1:142" ht="15" x14ac:dyDescent="0.25">
      <c r="A18" s="2989">
        <v>13</v>
      </c>
      <c r="B18" s="2990" t="s">
        <v>5624</v>
      </c>
      <c r="C18" s="2990">
        <v>1.35</v>
      </c>
      <c r="D18" s="2990">
        <v>3.2</v>
      </c>
      <c r="E18" s="2990">
        <v>18</v>
      </c>
      <c r="F18" s="2990">
        <v>8</v>
      </c>
      <c r="G18" s="2990">
        <v>697</v>
      </c>
      <c r="H18" s="2990">
        <v>20</v>
      </c>
      <c r="I18" s="2990">
        <v>450</v>
      </c>
      <c r="J18" s="2990">
        <v>8620</v>
      </c>
      <c r="K18" s="2990">
        <v>1150</v>
      </c>
      <c r="L18" s="2990">
        <v>33.5</v>
      </c>
      <c r="M18" s="2027">
        <v>0.8</v>
      </c>
      <c r="N18" s="2990">
        <v>0.8</v>
      </c>
      <c r="O18" s="71">
        <v>2</v>
      </c>
      <c r="CG18" s="2989">
        <v>8</v>
      </c>
      <c r="CH18" s="2990" t="s">
        <v>3483</v>
      </c>
      <c r="CI18" s="2990">
        <v>1.25</v>
      </c>
      <c r="CJ18" s="2990">
        <v>2.5</v>
      </c>
      <c r="CK18" s="2990">
        <v>5</v>
      </c>
      <c r="CL18" s="2990">
        <v>4.3</v>
      </c>
      <c r="CM18" s="2990">
        <v>300</v>
      </c>
      <c r="CN18" s="2990">
        <v>4.4000000000000004</v>
      </c>
      <c r="CO18" s="2990">
        <v>250</v>
      </c>
      <c r="CP18" s="2990">
        <v>9600</v>
      </c>
      <c r="CQ18" s="2990">
        <v>950</v>
      </c>
      <c r="CR18" s="2990">
        <v>19.100000000000001</v>
      </c>
      <c r="CS18" s="2027" t="s">
        <v>5652</v>
      </c>
      <c r="CT18" s="71">
        <v>2</v>
      </c>
      <c r="CU18" s="17" t="s">
        <v>135</v>
      </c>
      <c r="CV18" s="17">
        <v>0.95</v>
      </c>
      <c r="CW18" s="17">
        <v>1.3</v>
      </c>
      <c r="CX18" s="17">
        <v>0.87</v>
      </c>
      <c r="CY18" s="838">
        <v>8.5</v>
      </c>
      <c r="CZ18" s="890">
        <v>0.8</v>
      </c>
      <c r="DA18" s="890">
        <v>0.8</v>
      </c>
      <c r="DB18" s="846">
        <v>2</v>
      </c>
      <c r="DC18" s="17"/>
      <c r="DD18" s="905">
        <v>8</v>
      </c>
      <c r="DE18" s="15"/>
      <c r="DF18" s="14"/>
      <c r="DG18" s="14"/>
      <c r="DH18" s="14"/>
      <c r="DI18" s="14"/>
      <c r="DJ18" s="14"/>
      <c r="DK18" s="842"/>
      <c r="DL18" s="586"/>
      <c r="DM18" s="841"/>
      <c r="DN18" s="841"/>
      <c r="DO18" s="841"/>
      <c r="DQ18" s="42"/>
      <c r="DR18" s="42"/>
      <c r="DS18" s="42"/>
      <c r="DT18" s="42"/>
      <c r="DU18" s="42"/>
      <c r="DV18" s="42"/>
      <c r="DW18" s="42"/>
      <c r="DX18" s="42"/>
      <c r="DY18" s="42"/>
      <c r="DZ18" s="42"/>
      <c r="EA18" s="42"/>
      <c r="EB18" s="42"/>
      <c r="EC18" s="42"/>
      <c r="ED18" s="42"/>
      <c r="EE18" s="42"/>
      <c r="EF18" s="42"/>
      <c r="EG18" s="42"/>
      <c r="EH18" s="42"/>
      <c r="EI18" s="42"/>
      <c r="EJ18" s="42"/>
      <c r="EK18" s="42"/>
      <c r="EL18" s="42"/>
    </row>
    <row r="19" spans="1:142" ht="15" x14ac:dyDescent="0.25">
      <c r="A19" s="2989">
        <v>14</v>
      </c>
      <c r="B19" s="2990" t="s">
        <v>5655</v>
      </c>
      <c r="C19" s="2990">
        <v>1.35</v>
      </c>
      <c r="D19" s="2990">
        <v>3.2</v>
      </c>
      <c r="E19" s="2990">
        <v>18</v>
      </c>
      <c r="F19" s="2990">
        <v>8</v>
      </c>
      <c r="G19" s="2990">
        <v>697</v>
      </c>
      <c r="H19" s="2990">
        <v>20</v>
      </c>
      <c r="I19" s="2990">
        <v>450</v>
      </c>
      <c r="J19" s="2990">
        <v>9420</v>
      </c>
      <c r="K19" s="2990">
        <v>1150</v>
      </c>
      <c r="L19" s="2990">
        <v>34.5</v>
      </c>
      <c r="M19" s="2027">
        <v>0.8</v>
      </c>
      <c r="N19" s="2990">
        <v>0.8</v>
      </c>
      <c r="O19" s="71">
        <v>2</v>
      </c>
      <c r="CG19" s="2989">
        <v>9</v>
      </c>
      <c r="CH19" s="2990" t="s">
        <v>2776</v>
      </c>
      <c r="CI19" s="2990">
        <v>1.4</v>
      </c>
      <c r="CJ19" s="2990">
        <v>2.5</v>
      </c>
      <c r="CK19" s="2990">
        <v>5</v>
      </c>
      <c r="CL19" s="2990">
        <v>4.3</v>
      </c>
      <c r="CM19" s="2990">
        <v>370</v>
      </c>
      <c r="CN19" s="2990">
        <v>6</v>
      </c>
      <c r="CO19" s="2990">
        <v>300</v>
      </c>
      <c r="CP19" s="2990">
        <v>8820</v>
      </c>
      <c r="CQ19" s="2990">
        <v>950</v>
      </c>
      <c r="CR19" s="2990">
        <v>21</v>
      </c>
      <c r="CS19" s="2027" t="s">
        <v>5652</v>
      </c>
      <c r="CT19" s="71">
        <v>2</v>
      </c>
      <c r="CU19" s="17" t="s">
        <v>136</v>
      </c>
      <c r="CV19" s="17">
        <v>0.95</v>
      </c>
      <c r="CW19" s="17">
        <v>1.5</v>
      </c>
      <c r="CX19" s="17">
        <v>0.9</v>
      </c>
      <c r="CY19" s="838">
        <v>8</v>
      </c>
      <c r="CZ19" s="890">
        <v>0.63</v>
      </c>
      <c r="DA19" s="890">
        <v>0.8</v>
      </c>
      <c r="DB19" s="846">
        <v>1</v>
      </c>
      <c r="DC19" s="17"/>
      <c r="DD19" s="905">
        <v>9</v>
      </c>
      <c r="DE19" s="15"/>
      <c r="DF19" s="14"/>
      <c r="DG19" s="14"/>
      <c r="DH19" s="14"/>
      <c r="DI19" s="14"/>
      <c r="DJ19" s="14"/>
      <c r="DK19" s="842"/>
      <c r="DL19" s="586"/>
      <c r="DM19" s="841"/>
      <c r="DN19" s="841"/>
      <c r="DO19" s="841"/>
      <c r="DQ19" s="42"/>
      <c r="DR19" s="42"/>
      <c r="DS19" s="42"/>
      <c r="DT19" s="42"/>
      <c r="DU19" s="42"/>
      <c r="DV19" s="42"/>
      <c r="DW19" s="42"/>
      <c r="DX19" s="42"/>
      <c r="DY19" s="42"/>
      <c r="DZ19" s="42"/>
      <c r="EA19" s="42"/>
      <c r="EB19" s="42"/>
      <c r="EC19" s="42"/>
      <c r="ED19" s="42"/>
      <c r="EE19" s="42"/>
      <c r="EF19" s="42"/>
      <c r="EG19" s="42"/>
      <c r="EH19" s="42"/>
      <c r="EI19" s="42"/>
      <c r="EJ19" s="42"/>
      <c r="EK19" s="42"/>
      <c r="EL19" s="42"/>
    </row>
    <row r="20" spans="1:142" ht="15" x14ac:dyDescent="0.25">
      <c r="CG20" s="2989">
        <v>10</v>
      </c>
      <c r="CH20" s="2990" t="s">
        <v>3482</v>
      </c>
      <c r="CI20" s="2990">
        <v>1.35</v>
      </c>
      <c r="CJ20" s="2990">
        <v>2.5</v>
      </c>
      <c r="CK20" s="2990">
        <v>7</v>
      </c>
      <c r="CL20" s="2990">
        <v>5</v>
      </c>
      <c r="CM20" s="2990">
        <v>400</v>
      </c>
      <c r="CN20" s="2990">
        <v>10</v>
      </c>
      <c r="CO20" s="2990">
        <v>250</v>
      </c>
      <c r="CP20" s="2990">
        <v>6570</v>
      </c>
      <c r="CQ20" s="2990">
        <v>800</v>
      </c>
      <c r="CR20" s="2990">
        <v>1.89</v>
      </c>
      <c r="CS20" s="2027" t="s">
        <v>5652</v>
      </c>
      <c r="CT20" s="71">
        <v>2</v>
      </c>
      <c r="CU20" s="17" t="s">
        <v>3479</v>
      </c>
      <c r="CV20" s="17">
        <v>0.95</v>
      </c>
      <c r="CW20" s="17">
        <v>1.5</v>
      </c>
      <c r="CX20" s="17">
        <v>0.9</v>
      </c>
      <c r="CY20" s="838">
        <v>3.2</v>
      </c>
      <c r="CZ20" s="890">
        <v>0.8</v>
      </c>
      <c r="DA20" s="890">
        <v>0.8</v>
      </c>
      <c r="DB20" s="846">
        <v>2</v>
      </c>
      <c r="DC20" s="17"/>
      <c r="DD20" s="905">
        <v>10</v>
      </c>
      <c r="DE20" s="15"/>
      <c r="DF20" s="14"/>
      <c r="DG20" s="14"/>
      <c r="DH20" s="14"/>
      <c r="DI20" s="14"/>
      <c r="DJ20" s="14"/>
      <c r="DK20" s="842"/>
      <c r="DL20" s="586"/>
      <c r="DM20" s="841"/>
      <c r="DN20" s="841"/>
      <c r="DO20" s="841"/>
      <c r="DQ20" s="42"/>
      <c r="DR20" s="42"/>
      <c r="DS20" s="42"/>
      <c r="DT20" s="42"/>
      <c r="DU20" s="42"/>
      <c r="DV20" s="42"/>
      <c r="DW20" s="42"/>
      <c r="DX20" s="42"/>
      <c r="DY20" s="42"/>
      <c r="DZ20" s="42"/>
      <c r="EA20" s="42"/>
      <c r="EB20" s="42"/>
      <c r="EC20" s="42"/>
      <c r="ED20" s="42"/>
      <c r="EE20" s="42"/>
      <c r="EF20" s="42"/>
      <c r="EG20" s="42"/>
      <c r="EH20" s="42"/>
      <c r="EI20" s="42"/>
      <c r="EJ20" s="42"/>
      <c r="EK20" s="42"/>
      <c r="EL20" s="42"/>
    </row>
    <row r="21" spans="1:142" ht="15" x14ac:dyDescent="0.25">
      <c r="CG21" s="2989">
        <v>11</v>
      </c>
      <c r="CH21" s="2990" t="s">
        <v>658</v>
      </c>
      <c r="CI21" s="2990">
        <v>1.35</v>
      </c>
      <c r="CJ21" s="2990">
        <v>2.6</v>
      </c>
      <c r="CK21" s="2990">
        <v>7</v>
      </c>
      <c r="CL21" s="2990">
        <v>5</v>
      </c>
      <c r="CM21" s="2990">
        <v>400</v>
      </c>
      <c r="CN21" s="2990">
        <v>10</v>
      </c>
      <c r="CO21" s="2990">
        <v>250</v>
      </c>
      <c r="CP21" s="2990">
        <v>6570</v>
      </c>
      <c r="CQ21" s="2990">
        <v>950</v>
      </c>
      <c r="CR21" s="2990">
        <v>23.85</v>
      </c>
      <c r="CS21" s="2027">
        <v>0.63</v>
      </c>
      <c r="CT21" s="71">
        <v>2</v>
      </c>
      <c r="CU21" s="17" t="s">
        <v>137</v>
      </c>
      <c r="CV21" s="17">
        <v>1.3</v>
      </c>
      <c r="CW21" s="17">
        <v>2.7</v>
      </c>
      <c r="CX21" s="17">
        <v>0.9</v>
      </c>
      <c r="CY21" s="838">
        <v>9</v>
      </c>
      <c r="CZ21" s="890">
        <v>0.63</v>
      </c>
      <c r="DA21" s="890">
        <v>0.63</v>
      </c>
      <c r="DB21" s="846">
        <v>2</v>
      </c>
      <c r="DC21" s="17"/>
      <c r="DD21" s="905">
        <v>11</v>
      </c>
      <c r="DE21" s="15"/>
      <c r="DF21" s="14"/>
      <c r="DG21" s="14"/>
      <c r="DH21" s="14"/>
      <c r="DI21" s="14"/>
      <c r="DJ21" s="14"/>
      <c r="DK21" s="842"/>
      <c r="DL21" s="586"/>
      <c r="DM21" s="841"/>
      <c r="DN21" s="841"/>
      <c r="DO21" s="841"/>
      <c r="DQ21" s="42"/>
      <c r="DR21" s="42"/>
      <c r="DS21" s="42"/>
      <c r="DT21" s="42"/>
      <c r="DU21" s="42"/>
      <c r="DV21" s="42"/>
      <c r="DW21" s="42"/>
      <c r="DX21" s="42"/>
      <c r="DY21" s="42"/>
      <c r="DZ21" s="42"/>
      <c r="EA21" s="42"/>
      <c r="EB21" s="42"/>
      <c r="EC21" s="42"/>
      <c r="ED21" s="42"/>
      <c r="EE21" s="42"/>
      <c r="EF21" s="42"/>
      <c r="EG21" s="42"/>
      <c r="EH21" s="42"/>
      <c r="EI21" s="42"/>
      <c r="EJ21" s="42"/>
      <c r="EK21" s="42"/>
      <c r="EL21" s="42"/>
    </row>
    <row r="22" spans="1:142" ht="15" x14ac:dyDescent="0.25">
      <c r="CG22" s="2989">
        <v>12</v>
      </c>
      <c r="CH22" s="2990" t="s">
        <v>5622</v>
      </c>
      <c r="CI22" s="2990">
        <v>1.1000000000000001</v>
      </c>
      <c r="CJ22" s="2990">
        <v>2.1</v>
      </c>
      <c r="CK22" s="2990">
        <v>11</v>
      </c>
      <c r="CL22" s="2990">
        <v>7</v>
      </c>
      <c r="CM22" s="2990">
        <v>467</v>
      </c>
      <c r="CN22" s="2990">
        <v>14</v>
      </c>
      <c r="CO22" s="2990">
        <v>360</v>
      </c>
      <c r="CP22" s="2990">
        <v>7200</v>
      </c>
      <c r="CQ22" s="2990">
        <v>770</v>
      </c>
      <c r="CR22" s="2990">
        <v>21.5</v>
      </c>
      <c r="CS22" s="2027" t="s">
        <v>5652</v>
      </c>
      <c r="CT22" s="71">
        <v>2</v>
      </c>
      <c r="CU22" s="17" t="s">
        <v>3482</v>
      </c>
      <c r="CV22" s="17">
        <v>1.1000000000000001</v>
      </c>
      <c r="CW22" s="17">
        <v>1.93</v>
      </c>
      <c r="CX22" s="17">
        <v>0.87</v>
      </c>
      <c r="CY22" s="838">
        <v>6.5</v>
      </c>
      <c r="CZ22" s="890">
        <v>0.63</v>
      </c>
      <c r="DA22" s="890">
        <v>0.63</v>
      </c>
      <c r="DB22" s="846">
        <v>1</v>
      </c>
      <c r="DC22" s="17"/>
      <c r="DD22" s="905">
        <v>12</v>
      </c>
      <c r="DE22" s="15"/>
      <c r="DF22" s="14"/>
      <c r="DG22" s="14"/>
      <c r="DH22" s="15"/>
      <c r="DI22" s="14"/>
      <c r="DJ22" s="14"/>
      <c r="DK22" s="842"/>
      <c r="DL22" s="586"/>
      <c r="DM22" s="841"/>
      <c r="DN22" s="841"/>
      <c r="DO22" s="841"/>
      <c r="DQ22" s="42"/>
      <c r="DR22" s="42"/>
      <c r="DS22" s="42"/>
      <c r="DT22" s="42"/>
      <c r="DU22" s="42"/>
      <c r="DV22" s="42"/>
      <c r="DW22" s="42"/>
      <c r="DX22" s="42"/>
      <c r="DY22" s="42"/>
      <c r="DZ22" s="42"/>
      <c r="EA22" s="42"/>
      <c r="EB22" s="42"/>
      <c r="EC22" s="42"/>
      <c r="ED22" s="42"/>
      <c r="EE22" s="42"/>
      <c r="EF22" s="42"/>
      <c r="EG22" s="42"/>
      <c r="EH22" s="42"/>
      <c r="EI22" s="42"/>
      <c r="EJ22" s="42"/>
      <c r="EK22" s="42"/>
      <c r="EL22" s="42"/>
    </row>
    <row r="23" spans="1:142" ht="15" x14ac:dyDescent="0.25">
      <c r="CG23" s="2989">
        <v>13</v>
      </c>
      <c r="CH23" s="2990" t="s">
        <v>5624</v>
      </c>
      <c r="CI23" s="2990">
        <v>1.35</v>
      </c>
      <c r="CJ23" s="2990">
        <v>3.2</v>
      </c>
      <c r="CK23" s="2990">
        <v>18</v>
      </c>
      <c r="CL23" s="2990">
        <v>8</v>
      </c>
      <c r="CM23" s="2990">
        <v>697</v>
      </c>
      <c r="CN23" s="2990">
        <v>20</v>
      </c>
      <c r="CO23" s="2990">
        <v>450</v>
      </c>
      <c r="CP23" s="2990">
        <v>8620</v>
      </c>
      <c r="CQ23" s="2990">
        <v>1150</v>
      </c>
      <c r="CR23" s="2990">
        <v>33.5</v>
      </c>
      <c r="CS23" s="2027">
        <v>0.8</v>
      </c>
      <c r="CT23" s="71">
        <v>2</v>
      </c>
      <c r="CU23" s="17" t="s">
        <v>658</v>
      </c>
      <c r="CV23" s="17">
        <v>1.35</v>
      </c>
      <c r="CW23" s="17">
        <v>2.6</v>
      </c>
      <c r="CX23" s="17">
        <v>0.84</v>
      </c>
      <c r="CY23" s="838">
        <v>5.6</v>
      </c>
      <c r="CZ23" s="890">
        <v>0.63</v>
      </c>
      <c r="DA23" s="890">
        <v>0.8</v>
      </c>
      <c r="DB23" s="846">
        <v>2</v>
      </c>
      <c r="DC23" s="17"/>
      <c r="DD23" s="905">
        <v>13</v>
      </c>
      <c r="DE23" s="15"/>
      <c r="DF23" s="14"/>
      <c r="DG23" s="15"/>
      <c r="DH23" s="15"/>
      <c r="DI23" s="14"/>
      <c r="DJ23" s="14"/>
      <c r="DK23" s="842"/>
      <c r="DL23" s="586"/>
      <c r="DM23" s="841"/>
      <c r="DN23" s="841"/>
      <c r="DO23" s="841"/>
      <c r="DQ23" s="42"/>
      <c r="DR23" s="42"/>
      <c r="DS23" s="42"/>
      <c r="DT23" s="42"/>
      <c r="DU23" s="42"/>
      <c r="DV23" s="42"/>
      <c r="DW23" s="42"/>
      <c r="DX23" s="42"/>
      <c r="DY23" s="42"/>
      <c r="DZ23" s="42"/>
      <c r="EA23" s="42"/>
      <c r="EB23" s="42"/>
      <c r="EC23" s="42"/>
      <c r="ED23" s="42"/>
      <c r="EE23" s="42"/>
      <c r="EF23" s="42"/>
      <c r="EG23" s="42"/>
      <c r="EH23" s="42"/>
      <c r="EI23" s="42"/>
      <c r="EJ23" s="42"/>
      <c r="EK23" s="42"/>
      <c r="EL23" s="42"/>
    </row>
    <row r="24" spans="1:142" ht="15" x14ac:dyDescent="0.25">
      <c r="CG24" s="2989">
        <v>14</v>
      </c>
      <c r="CH24" s="2990" t="s">
        <v>5655</v>
      </c>
      <c r="CI24" s="2990">
        <v>1.35</v>
      </c>
      <c r="CJ24" s="2990">
        <v>3.2</v>
      </c>
      <c r="CK24" s="2990">
        <v>18</v>
      </c>
      <c r="CL24" s="2990">
        <v>8</v>
      </c>
      <c r="CM24" s="2990">
        <v>697</v>
      </c>
      <c r="CN24" s="2990">
        <v>20</v>
      </c>
      <c r="CO24" s="2990">
        <v>450</v>
      </c>
      <c r="CP24" s="2990">
        <v>9420</v>
      </c>
      <c r="CQ24" s="2990">
        <v>1150</v>
      </c>
      <c r="CR24" s="2990">
        <v>34.5</v>
      </c>
      <c r="CS24" s="2027">
        <v>0.8</v>
      </c>
      <c r="CT24" s="71">
        <v>2</v>
      </c>
      <c r="DE24" s="15"/>
      <c r="DF24" s="14"/>
      <c r="DG24" s="14"/>
      <c r="DH24" s="14"/>
      <c r="DI24" s="14"/>
      <c r="DJ24" s="14"/>
      <c r="DK24" s="842"/>
      <c r="DL24" s="586"/>
      <c r="DM24" s="841"/>
      <c r="DN24" s="841"/>
      <c r="DO24" s="841"/>
      <c r="DQ24" s="42"/>
      <c r="DR24" s="42"/>
      <c r="DS24" s="42"/>
      <c r="DT24" s="42"/>
      <c r="DU24" s="42"/>
      <c r="DV24" s="42"/>
      <c r="DW24" s="42"/>
      <c r="DX24" s="42"/>
      <c r="DY24" s="42"/>
      <c r="DZ24" s="42"/>
      <c r="EA24" s="42"/>
      <c r="EB24" s="42"/>
      <c r="EC24" s="42"/>
      <c r="ED24" s="42"/>
      <c r="EE24" s="42"/>
      <c r="EF24" s="42"/>
      <c r="EG24" s="42"/>
      <c r="EH24" s="42"/>
      <c r="EI24" s="42"/>
      <c r="EJ24" s="42"/>
      <c r="EK24" s="42"/>
      <c r="EL24" s="42"/>
    </row>
    <row r="25" spans="1:142" ht="15.75" x14ac:dyDescent="0.25">
      <c r="A25" s="28"/>
      <c r="B25" s="844" t="s">
        <v>2911</v>
      </c>
      <c r="C25" s="28"/>
      <c r="D25" s="28"/>
      <c r="E25" s="28"/>
      <c r="F25" s="28"/>
      <c r="G25" s="29"/>
      <c r="H25" s="1181" t="str">
        <f>IF(обор!G378=1,"ОБРАТНО к выбору типа мехкрепи","")</f>
        <v/>
      </c>
      <c r="I25" s="29"/>
      <c r="J25" s="29"/>
      <c r="K25" s="15"/>
      <c r="L25" s="14"/>
      <c r="M25" s="14"/>
      <c r="N25" s="1223" t="s">
        <v>3650</v>
      </c>
      <c r="O25" s="14"/>
      <c r="P25" s="14"/>
      <c r="Q25" s="29"/>
      <c r="R25" s="8"/>
      <c r="S25" s="8"/>
      <c r="T25" s="8"/>
      <c r="U25" s="8"/>
      <c r="V25" s="8"/>
      <c r="W25" s="41"/>
      <c r="X25" s="42"/>
      <c r="Y25" s="42"/>
      <c r="Z25" s="42"/>
      <c r="AA25" s="42"/>
      <c r="AB25" s="42"/>
      <c r="AC25" s="42"/>
      <c r="AD25" s="42"/>
      <c r="AE25" s="42"/>
      <c r="AF25" s="42"/>
      <c r="AG25" s="42"/>
      <c r="AH25" s="42"/>
      <c r="AI25" s="42"/>
      <c r="AJ25" s="42"/>
      <c r="AK25" s="42"/>
      <c r="AL25" s="42"/>
      <c r="AM25" s="42"/>
      <c r="AN25" s="42"/>
      <c r="AO25" s="42"/>
      <c r="AP25" s="42"/>
      <c r="AQ25" s="42"/>
      <c r="AR25" s="42"/>
    </row>
    <row r="26" spans="1:142" ht="15.75" x14ac:dyDescent="0.25">
      <c r="A26" s="29"/>
      <c r="B26" s="35"/>
      <c r="C26" s="29"/>
      <c r="D26" s="29"/>
      <c r="E26" s="29"/>
      <c r="F26" s="29"/>
      <c r="G26" s="29"/>
      <c r="H26" s="1181"/>
      <c r="I26" s="29"/>
      <c r="J26" s="29"/>
      <c r="K26" s="15"/>
      <c r="L26" s="14"/>
      <c r="M26" s="14"/>
      <c r="N26" s="1223"/>
      <c r="O26" s="14"/>
      <c r="P26" s="14"/>
      <c r="Q26" s="29"/>
      <c r="R26" s="8"/>
      <c r="S26" s="8"/>
      <c r="T26" s="8"/>
      <c r="U26" s="8"/>
      <c r="V26" s="8"/>
      <c r="W26" s="41"/>
      <c r="X26" s="2980"/>
      <c r="Y26" s="2980"/>
      <c r="Z26" s="2980"/>
      <c r="AA26" s="2980"/>
      <c r="AB26" s="2980"/>
      <c r="AC26" s="2980"/>
      <c r="AD26" s="2980"/>
      <c r="AE26" s="2980"/>
      <c r="AF26" s="2980"/>
      <c r="AG26" s="2980"/>
      <c r="AH26" s="2980"/>
      <c r="AI26" s="2980"/>
      <c r="AJ26" s="2980"/>
      <c r="AK26" s="2980"/>
      <c r="AL26" s="2980"/>
      <c r="AM26" s="2980"/>
      <c r="AN26" s="2980"/>
      <c r="AO26" s="2980"/>
      <c r="AP26" s="2980"/>
      <c r="AQ26" s="2980"/>
      <c r="AR26" s="2980"/>
    </row>
    <row r="27" spans="1:142" ht="18.75" x14ac:dyDescent="0.3">
      <c r="A27" s="14"/>
      <c r="B27" s="222" t="s">
        <v>5658</v>
      </c>
      <c r="C27" s="2647"/>
      <c r="D27" s="8"/>
      <c r="E27" s="8"/>
      <c r="F27" s="8"/>
      <c r="G27" s="8"/>
      <c r="H27" s="8"/>
      <c r="I27" s="8"/>
      <c r="J27" s="8"/>
      <c r="K27" s="222"/>
      <c r="L27" s="14"/>
      <c r="M27" s="14"/>
      <c r="N27" s="1223"/>
      <c r="O27" s="14"/>
      <c r="P27" s="14"/>
      <c r="Q27" s="29"/>
      <c r="R27" s="8"/>
      <c r="S27" s="8"/>
      <c r="T27" s="8"/>
      <c r="U27" s="8"/>
      <c r="V27" s="8"/>
      <c r="W27" s="41"/>
      <c r="X27" s="2980"/>
      <c r="Y27" s="2980"/>
      <c r="Z27" s="2980"/>
      <c r="AA27" s="2980"/>
      <c r="AB27" s="2980"/>
      <c r="AC27" s="2980"/>
      <c r="AD27" s="2980"/>
      <c r="AE27" s="2980"/>
      <c r="AF27" s="2980"/>
      <c r="AG27" s="2980"/>
      <c r="AH27" s="2980"/>
      <c r="AI27" s="2980"/>
      <c r="AJ27" s="2980"/>
      <c r="AK27" s="2980"/>
      <c r="AL27" s="2980"/>
      <c r="AM27" s="2980"/>
      <c r="AN27" s="2980"/>
      <c r="AO27" s="2980"/>
      <c r="AP27" s="2980"/>
      <c r="AQ27" s="2980"/>
      <c r="AR27" s="2980"/>
    </row>
    <row r="28" spans="1:142" ht="102" x14ac:dyDescent="0.2">
      <c r="A28" s="14"/>
      <c r="B28" s="857"/>
      <c r="C28" s="2987" t="s">
        <v>5659</v>
      </c>
      <c r="D28" s="2987" t="s">
        <v>5660</v>
      </c>
      <c r="E28" s="2987" t="s">
        <v>5661</v>
      </c>
      <c r="F28" s="2987" t="s">
        <v>5662</v>
      </c>
      <c r="G28" s="2987" t="s">
        <v>5663</v>
      </c>
      <c r="H28" s="2987" t="s">
        <v>5664</v>
      </c>
      <c r="I28" s="2987" t="s">
        <v>5665</v>
      </c>
      <c r="J28" s="2987" t="s">
        <v>5666</v>
      </c>
      <c r="K28" s="2987" t="s">
        <v>5667</v>
      </c>
      <c r="L28" s="14"/>
      <c r="M28" s="14"/>
      <c r="N28" s="1223"/>
      <c r="O28" s="14"/>
      <c r="P28" s="14"/>
      <c r="Q28" s="29"/>
      <c r="R28" s="8"/>
      <c r="S28" s="8"/>
      <c r="T28" s="8"/>
      <c r="U28" s="8"/>
      <c r="V28" s="8"/>
      <c r="W28" s="41"/>
      <c r="X28" s="2980"/>
      <c r="Y28" s="2980"/>
      <c r="Z28" s="2980"/>
      <c r="AA28" s="2980"/>
      <c r="AB28" s="2980"/>
      <c r="AC28" s="2980"/>
      <c r="AD28" s="2980"/>
      <c r="AE28" s="2980"/>
      <c r="AF28" s="2980"/>
      <c r="AG28" s="2980"/>
      <c r="AH28" s="2980"/>
      <c r="AI28" s="2980"/>
      <c r="AJ28" s="2980"/>
      <c r="AK28" s="2980"/>
      <c r="AL28" s="2980"/>
      <c r="AM28" s="2980"/>
      <c r="AN28" s="2980"/>
      <c r="AO28" s="2980"/>
      <c r="AP28" s="2980"/>
      <c r="AQ28" s="2980"/>
      <c r="AR28" s="2980"/>
    </row>
    <row r="29" spans="1:142" x14ac:dyDescent="0.2">
      <c r="A29" s="2989">
        <v>1</v>
      </c>
      <c r="B29" s="2990" t="s">
        <v>5634</v>
      </c>
      <c r="C29" s="2990">
        <v>0.85</v>
      </c>
      <c r="D29" s="2990">
        <v>1.2</v>
      </c>
      <c r="E29" s="2990">
        <v>580</v>
      </c>
      <c r="F29" s="2990">
        <v>1090</v>
      </c>
      <c r="G29" s="2990">
        <v>1300</v>
      </c>
      <c r="H29" s="2990">
        <v>4800</v>
      </c>
      <c r="I29" s="2990">
        <v>1.35</v>
      </c>
      <c r="J29" s="2990">
        <v>5250</v>
      </c>
      <c r="K29" s="2990">
        <v>3</v>
      </c>
      <c r="L29" s="14"/>
      <c r="M29" s="14"/>
      <c r="N29" s="1223"/>
      <c r="O29" s="14"/>
      <c r="P29" s="14"/>
      <c r="Q29" s="29"/>
      <c r="R29" s="8"/>
      <c r="S29" s="8"/>
      <c r="T29" s="8"/>
      <c r="U29" s="8"/>
      <c r="V29" s="8"/>
      <c r="W29" s="41"/>
      <c r="X29" s="2980"/>
      <c r="Y29" s="2980"/>
      <c r="Z29" s="2980"/>
      <c r="AA29" s="2980"/>
      <c r="AB29" s="2980"/>
      <c r="AC29" s="2980"/>
      <c r="AD29" s="2980"/>
      <c r="AE29" s="2980"/>
      <c r="AF29" s="2980"/>
      <c r="AG29" s="2980"/>
      <c r="AH29" s="2980"/>
      <c r="AI29" s="2980"/>
      <c r="AJ29" s="2980"/>
      <c r="AK29" s="2980"/>
      <c r="AL29" s="2980"/>
      <c r="AM29" s="2980"/>
      <c r="AN29" s="2980"/>
      <c r="AO29" s="2980"/>
      <c r="AP29" s="2980"/>
      <c r="AQ29" s="2980"/>
      <c r="AR29" s="2980"/>
    </row>
    <row r="30" spans="1:142" x14ac:dyDescent="0.2">
      <c r="A30" s="2989">
        <v>2</v>
      </c>
      <c r="B30" s="2990" t="s">
        <v>5639</v>
      </c>
      <c r="C30" s="2990">
        <v>1.1000000000000001</v>
      </c>
      <c r="D30" s="2990">
        <v>1.5</v>
      </c>
      <c r="E30" s="2990">
        <v>710</v>
      </c>
      <c r="F30" s="2990">
        <v>1450</v>
      </c>
      <c r="G30" s="2990">
        <v>1300</v>
      </c>
      <c r="H30" s="2990">
        <v>4900</v>
      </c>
      <c r="I30" s="2990">
        <v>1.35</v>
      </c>
      <c r="J30" s="2990">
        <v>5400</v>
      </c>
      <c r="K30" s="2990">
        <v>3</v>
      </c>
      <c r="L30" s="14"/>
      <c r="M30" s="14"/>
      <c r="N30" s="1223"/>
      <c r="O30" s="14"/>
      <c r="P30" s="14"/>
      <c r="Q30" s="29"/>
      <c r="R30" s="8"/>
      <c r="S30" s="8"/>
      <c r="T30" s="8"/>
      <c r="U30" s="8"/>
      <c r="V30" s="8"/>
      <c r="W30" s="41"/>
      <c r="X30" s="2980"/>
      <c r="Y30" s="2980"/>
      <c r="Z30" s="2980"/>
      <c r="AA30" s="2980"/>
      <c r="AB30" s="2980"/>
      <c r="AC30" s="2980"/>
      <c r="AD30" s="2980"/>
      <c r="AE30" s="2980"/>
      <c r="AF30" s="2980"/>
      <c r="AG30" s="2980"/>
      <c r="AH30" s="2980"/>
      <c r="AI30" s="2980"/>
      <c r="AJ30" s="2980"/>
      <c r="AK30" s="2980"/>
      <c r="AL30" s="2980"/>
      <c r="AM30" s="2980"/>
      <c r="AN30" s="2980"/>
      <c r="AO30" s="2980"/>
      <c r="AP30" s="2980"/>
      <c r="AQ30" s="2980"/>
      <c r="AR30" s="2980"/>
    </row>
    <row r="31" spans="1:142" x14ac:dyDescent="0.2">
      <c r="A31" s="2989">
        <v>3</v>
      </c>
      <c r="B31" s="2990" t="s">
        <v>2778</v>
      </c>
      <c r="C31" s="2990">
        <v>0.85</v>
      </c>
      <c r="D31" s="2990">
        <v>1.25</v>
      </c>
      <c r="E31" s="2990">
        <v>600</v>
      </c>
      <c r="F31" s="2990">
        <v>1230</v>
      </c>
      <c r="G31" s="2990">
        <v>1420</v>
      </c>
      <c r="H31" s="2990">
        <v>5000</v>
      </c>
      <c r="I31" s="2990">
        <v>1.5</v>
      </c>
      <c r="J31" s="2990">
        <v>6550</v>
      </c>
      <c r="K31" s="2990">
        <v>3</v>
      </c>
      <c r="L31" s="14"/>
      <c r="M31" s="14"/>
      <c r="N31" s="1223"/>
      <c r="O31" s="14"/>
      <c r="P31" s="14"/>
      <c r="Q31" s="29"/>
      <c r="R31" s="8"/>
      <c r="S31" s="8"/>
      <c r="T31" s="8"/>
      <c r="U31" s="8"/>
      <c r="V31" s="8"/>
      <c r="W31" s="41"/>
      <c r="X31" s="2980"/>
      <c r="Y31" s="2980"/>
      <c r="Z31" s="2980"/>
      <c r="AA31" s="2980"/>
      <c r="AB31" s="2980"/>
      <c r="AC31" s="2980"/>
      <c r="AD31" s="2980"/>
      <c r="AE31" s="2980"/>
      <c r="AF31" s="2980"/>
      <c r="AG31" s="2980"/>
      <c r="AH31" s="2980"/>
      <c r="AI31" s="2980"/>
      <c r="AJ31" s="2980"/>
      <c r="AK31" s="2980"/>
      <c r="AL31" s="2980"/>
      <c r="AM31" s="2980"/>
      <c r="AN31" s="2980"/>
      <c r="AO31" s="2980"/>
      <c r="AP31" s="2980"/>
      <c r="AQ31" s="2980"/>
      <c r="AR31" s="2980"/>
    </row>
    <row r="32" spans="1:142" x14ac:dyDescent="0.2">
      <c r="A32" s="2989">
        <v>4</v>
      </c>
      <c r="B32" s="2990" t="s">
        <v>3481</v>
      </c>
      <c r="C32" s="2990">
        <v>1.1000000000000001</v>
      </c>
      <c r="D32" s="2990">
        <v>1.5</v>
      </c>
      <c r="E32" s="2990">
        <v>710</v>
      </c>
      <c r="F32" s="2990">
        <v>1450</v>
      </c>
      <c r="G32" s="2990">
        <v>1420</v>
      </c>
      <c r="H32" s="2990">
        <v>5100</v>
      </c>
      <c r="I32" s="2990">
        <v>1.5</v>
      </c>
      <c r="J32" s="2990">
        <v>5500</v>
      </c>
      <c r="K32" s="2990">
        <v>3</v>
      </c>
      <c r="L32" s="14"/>
      <c r="M32" s="14"/>
      <c r="N32" s="1223"/>
      <c r="O32" s="14"/>
      <c r="P32" s="14"/>
      <c r="Q32" s="29"/>
      <c r="R32" s="8"/>
      <c r="S32" s="8"/>
      <c r="T32" s="8"/>
      <c r="U32" s="8"/>
      <c r="V32" s="8"/>
      <c r="W32" s="41"/>
      <c r="X32" s="2980"/>
      <c r="Y32" s="2980"/>
      <c r="Z32" s="2980"/>
      <c r="AA32" s="2980"/>
      <c r="AB32" s="2980"/>
      <c r="AC32" s="2980"/>
      <c r="AD32" s="2980"/>
      <c r="AE32" s="2980"/>
      <c r="AF32" s="2980"/>
      <c r="AG32" s="2980"/>
      <c r="AH32" s="2980"/>
      <c r="AI32" s="2980"/>
      <c r="AJ32" s="2980"/>
      <c r="AK32" s="2980"/>
      <c r="AL32" s="2980"/>
      <c r="AM32" s="2980"/>
      <c r="AN32" s="2980"/>
      <c r="AO32" s="2980"/>
      <c r="AP32" s="2980"/>
      <c r="AQ32" s="2980"/>
      <c r="AR32" s="2980"/>
    </row>
    <row r="33" spans="1:44" x14ac:dyDescent="0.2">
      <c r="A33" s="2989">
        <v>5</v>
      </c>
      <c r="B33" s="2990" t="s">
        <v>657</v>
      </c>
      <c r="C33" s="2990">
        <v>1.35</v>
      </c>
      <c r="D33" s="2990">
        <v>2</v>
      </c>
      <c r="E33" s="2990">
        <v>1000</v>
      </c>
      <c r="F33" s="2990">
        <v>2000</v>
      </c>
      <c r="G33" s="2990">
        <v>1420</v>
      </c>
      <c r="H33" s="2990">
        <v>5200</v>
      </c>
      <c r="I33" s="2990">
        <v>1.5</v>
      </c>
      <c r="J33" s="2990">
        <v>7200</v>
      </c>
      <c r="K33" s="2990">
        <v>3</v>
      </c>
      <c r="L33" s="14"/>
      <c r="M33" s="14"/>
      <c r="N33" s="1223"/>
      <c r="O33" s="14"/>
      <c r="P33" s="14"/>
      <c r="Q33" s="29"/>
      <c r="R33" s="8"/>
      <c r="S33" s="8"/>
      <c r="T33" s="8"/>
      <c r="U33" s="8"/>
      <c r="V33" s="8"/>
      <c r="W33" s="41"/>
      <c r="X33" s="2980"/>
      <c r="Y33" s="2980"/>
      <c r="Z33" s="2980"/>
      <c r="AA33" s="2980"/>
      <c r="AB33" s="2980"/>
      <c r="AC33" s="2980"/>
      <c r="AD33" s="2980"/>
      <c r="AE33" s="2980"/>
      <c r="AF33" s="2980"/>
      <c r="AG33" s="2980"/>
      <c r="AH33" s="2980"/>
      <c r="AI33" s="2980"/>
      <c r="AJ33" s="2980"/>
      <c r="AK33" s="2980"/>
      <c r="AL33" s="2980"/>
      <c r="AM33" s="2980"/>
      <c r="AN33" s="2980"/>
      <c r="AO33" s="2980"/>
      <c r="AP33" s="2980"/>
      <c r="AQ33" s="2980"/>
      <c r="AR33" s="2980"/>
    </row>
    <row r="34" spans="1:44" x14ac:dyDescent="0.2">
      <c r="A34" s="2989">
        <v>6</v>
      </c>
      <c r="B34" s="2990" t="s">
        <v>5629</v>
      </c>
      <c r="C34" s="2990">
        <v>0.9</v>
      </c>
      <c r="D34" s="2990">
        <v>1.2</v>
      </c>
      <c r="E34" s="2990">
        <v>640</v>
      </c>
      <c r="F34" s="2990">
        <v>1180</v>
      </c>
      <c r="G34" s="2990">
        <v>1420</v>
      </c>
      <c r="H34" s="2990">
        <v>5000</v>
      </c>
      <c r="I34" s="2990">
        <v>1.5</v>
      </c>
      <c r="J34" s="2990">
        <v>8250</v>
      </c>
      <c r="K34" s="2990">
        <v>3</v>
      </c>
      <c r="L34" s="14"/>
      <c r="M34" s="14"/>
      <c r="N34" s="1223"/>
      <c r="O34" s="14"/>
      <c r="P34" s="14"/>
      <c r="Q34" s="29"/>
      <c r="R34" s="8"/>
      <c r="S34" s="8"/>
      <c r="T34" s="8"/>
      <c r="U34" s="8"/>
      <c r="V34" s="8"/>
      <c r="W34" s="41"/>
      <c r="X34" s="2980"/>
      <c r="Y34" s="2980"/>
      <c r="Z34" s="2980"/>
      <c r="AA34" s="2980"/>
      <c r="AB34" s="2980"/>
      <c r="AC34" s="2980"/>
      <c r="AD34" s="2980"/>
      <c r="AE34" s="2980"/>
      <c r="AF34" s="2980"/>
      <c r="AG34" s="2980"/>
      <c r="AH34" s="2980"/>
      <c r="AI34" s="2980"/>
      <c r="AJ34" s="2980"/>
      <c r="AK34" s="2980"/>
      <c r="AL34" s="2980"/>
      <c r="AM34" s="2980"/>
      <c r="AN34" s="2980"/>
      <c r="AO34" s="2980"/>
      <c r="AP34" s="2980"/>
      <c r="AQ34" s="2980"/>
      <c r="AR34" s="2980"/>
    </row>
    <row r="35" spans="1:44" x14ac:dyDescent="0.2">
      <c r="A35" s="2989">
        <v>7</v>
      </c>
      <c r="B35" s="2990" t="s">
        <v>3484</v>
      </c>
      <c r="C35" s="2990">
        <v>1.1000000000000001</v>
      </c>
      <c r="D35" s="2990">
        <v>1.5</v>
      </c>
      <c r="E35" s="2990">
        <v>700</v>
      </c>
      <c r="F35" s="2990">
        <v>1450</v>
      </c>
      <c r="G35" s="2990">
        <v>1420</v>
      </c>
      <c r="H35" s="2990">
        <v>5000</v>
      </c>
      <c r="I35" s="2990">
        <v>1.5</v>
      </c>
      <c r="J35" s="2990">
        <v>8500</v>
      </c>
      <c r="K35" s="2990">
        <v>3</v>
      </c>
      <c r="L35" s="14"/>
      <c r="M35" s="14"/>
      <c r="N35" s="1223"/>
      <c r="O35" s="14"/>
      <c r="P35" s="14"/>
      <c r="Q35" s="29"/>
      <c r="R35" s="8"/>
      <c r="S35" s="8"/>
      <c r="T35" s="8"/>
      <c r="U35" s="8"/>
      <c r="V35" s="8"/>
      <c r="W35" s="41"/>
      <c r="X35" s="2980"/>
      <c r="Y35" s="2980"/>
      <c r="Z35" s="2980"/>
      <c r="AA35" s="2980"/>
      <c r="AB35" s="2980"/>
      <c r="AC35" s="2980"/>
      <c r="AD35" s="2980"/>
      <c r="AE35" s="2980"/>
      <c r="AF35" s="2980"/>
      <c r="AG35" s="2980"/>
      <c r="AH35" s="2980"/>
      <c r="AI35" s="2980"/>
      <c r="AJ35" s="2980"/>
      <c r="AK35" s="2980"/>
      <c r="AL35" s="2980"/>
      <c r="AM35" s="2980"/>
      <c r="AN35" s="2980"/>
      <c r="AO35" s="2980"/>
      <c r="AP35" s="2980"/>
      <c r="AQ35" s="2980"/>
      <c r="AR35" s="2980"/>
    </row>
    <row r="36" spans="1:44" x14ac:dyDescent="0.2">
      <c r="A36" s="2989">
        <v>8</v>
      </c>
      <c r="B36" s="2990" t="s">
        <v>659</v>
      </c>
      <c r="C36" s="2990">
        <v>1.35</v>
      </c>
      <c r="D36" s="2990">
        <v>2</v>
      </c>
      <c r="E36" s="2990">
        <v>1000</v>
      </c>
      <c r="F36" s="2990">
        <v>2030</v>
      </c>
      <c r="G36" s="2990">
        <v>1420</v>
      </c>
      <c r="H36" s="2990">
        <v>5000</v>
      </c>
      <c r="I36" s="2990">
        <v>1.5</v>
      </c>
      <c r="J36" s="2990">
        <v>9200</v>
      </c>
      <c r="K36" s="2990">
        <v>3</v>
      </c>
      <c r="L36" s="14"/>
      <c r="M36" s="14"/>
      <c r="N36" s="1223"/>
      <c r="O36" s="14"/>
      <c r="P36" s="14"/>
      <c r="Q36" s="29"/>
      <c r="R36" s="8"/>
      <c r="S36" s="8"/>
      <c r="T36" s="8"/>
      <c r="U36" s="8"/>
      <c r="V36" s="8"/>
      <c r="W36" s="41"/>
      <c r="X36" s="2980"/>
      <c r="Y36" s="2980"/>
      <c r="Z36" s="2980"/>
      <c r="AA36" s="2980"/>
      <c r="AB36" s="2980"/>
      <c r="AC36" s="2980"/>
      <c r="AD36" s="2980"/>
      <c r="AE36" s="2980"/>
      <c r="AF36" s="2980"/>
      <c r="AG36" s="2980"/>
      <c r="AH36" s="2980"/>
      <c r="AI36" s="2980"/>
      <c r="AJ36" s="2980"/>
      <c r="AK36" s="2980"/>
      <c r="AL36" s="2980"/>
      <c r="AM36" s="2980"/>
      <c r="AN36" s="2980"/>
      <c r="AO36" s="2980"/>
      <c r="AP36" s="2980"/>
      <c r="AQ36" s="2980"/>
      <c r="AR36" s="2980"/>
    </row>
    <row r="37" spans="1:44" x14ac:dyDescent="0.2">
      <c r="A37" s="2989">
        <v>9</v>
      </c>
      <c r="B37" s="2990" t="s">
        <v>660</v>
      </c>
      <c r="C37" s="2990">
        <v>1</v>
      </c>
      <c r="D37" s="2990">
        <v>1.6</v>
      </c>
      <c r="E37" s="2990">
        <v>740</v>
      </c>
      <c r="F37" s="2990">
        <v>1600</v>
      </c>
      <c r="G37" s="2990">
        <v>1410</v>
      </c>
      <c r="H37" s="2990">
        <v>4840</v>
      </c>
      <c r="I37" s="2990">
        <v>1.5</v>
      </c>
      <c r="J37" s="2990">
        <v>7900</v>
      </c>
      <c r="K37" s="2990">
        <v>3</v>
      </c>
      <c r="L37" s="14"/>
      <c r="M37" s="14"/>
      <c r="N37" s="1223"/>
      <c r="O37" s="14"/>
      <c r="P37" s="14"/>
      <c r="Q37" s="29"/>
      <c r="R37" s="8"/>
      <c r="S37" s="8"/>
      <c r="T37" s="8"/>
      <c r="U37" s="8"/>
      <c r="V37" s="8"/>
      <c r="W37" s="41"/>
      <c r="X37" s="2980"/>
      <c r="Y37" s="2980"/>
      <c r="Z37" s="2980"/>
      <c r="AA37" s="2980"/>
      <c r="AB37" s="2980"/>
      <c r="AC37" s="2980"/>
      <c r="AD37" s="2980"/>
      <c r="AE37" s="2980"/>
      <c r="AF37" s="2980"/>
      <c r="AG37" s="2980"/>
      <c r="AH37" s="2980"/>
      <c r="AI37" s="2980"/>
      <c r="AJ37" s="2980"/>
      <c r="AK37" s="2980"/>
      <c r="AL37" s="2980"/>
      <c r="AM37" s="2980"/>
      <c r="AN37" s="2980"/>
      <c r="AO37" s="2980"/>
      <c r="AP37" s="2980"/>
      <c r="AQ37" s="2980"/>
      <c r="AR37" s="2980"/>
    </row>
    <row r="38" spans="1:44" x14ac:dyDescent="0.2">
      <c r="A38" s="2989">
        <v>10</v>
      </c>
      <c r="B38" s="2990" t="s">
        <v>5636</v>
      </c>
      <c r="C38" s="2990">
        <v>1.35</v>
      </c>
      <c r="D38" s="2990">
        <v>2.4</v>
      </c>
      <c r="E38" s="2990">
        <v>1115</v>
      </c>
      <c r="F38" s="2990">
        <v>2400</v>
      </c>
      <c r="G38" s="2990">
        <v>1410</v>
      </c>
      <c r="H38" s="2990">
        <v>5110</v>
      </c>
      <c r="I38" s="2990">
        <v>1.5</v>
      </c>
      <c r="J38" s="2990">
        <v>8600</v>
      </c>
      <c r="K38" s="2990">
        <v>3</v>
      </c>
      <c r="L38" s="14"/>
      <c r="M38" s="14"/>
      <c r="N38" s="1223"/>
      <c r="O38" s="14"/>
      <c r="P38" s="14"/>
      <c r="Q38" s="29"/>
      <c r="R38" s="8"/>
      <c r="S38" s="8"/>
      <c r="T38" s="8"/>
      <c r="U38" s="8"/>
      <c r="V38" s="8"/>
      <c r="W38" s="41"/>
      <c r="X38" s="2980"/>
      <c r="Y38" s="2980"/>
      <c r="Z38" s="2980"/>
      <c r="AA38" s="2980"/>
      <c r="AB38" s="2980"/>
      <c r="AC38" s="2980"/>
      <c r="AD38" s="2980"/>
      <c r="AE38" s="2980"/>
      <c r="AF38" s="2980"/>
      <c r="AG38" s="2980"/>
      <c r="AH38" s="2980"/>
      <c r="AI38" s="2980"/>
      <c r="AJ38" s="2980"/>
      <c r="AK38" s="2980"/>
      <c r="AL38" s="2980"/>
      <c r="AM38" s="2980"/>
      <c r="AN38" s="2980"/>
      <c r="AO38" s="2980"/>
      <c r="AP38" s="2980"/>
      <c r="AQ38" s="2980"/>
      <c r="AR38" s="2980"/>
    </row>
    <row r="39" spans="1:44" x14ac:dyDescent="0.2">
      <c r="A39" s="2989">
        <v>11</v>
      </c>
      <c r="B39" s="2990" t="s">
        <v>5640</v>
      </c>
      <c r="C39" s="2990">
        <v>0.85</v>
      </c>
      <c r="D39" s="2990">
        <v>1.5</v>
      </c>
      <c r="E39" s="2990">
        <v>610</v>
      </c>
      <c r="F39" s="2990">
        <v>1500</v>
      </c>
      <c r="G39" s="2990">
        <v>1440</v>
      </c>
      <c r="H39" s="2990">
        <v>4700</v>
      </c>
      <c r="I39" s="2990">
        <v>1.5</v>
      </c>
      <c r="J39" s="2990">
        <v>7400</v>
      </c>
      <c r="K39" s="2990">
        <v>2.6</v>
      </c>
      <c r="L39" s="14"/>
      <c r="M39" s="14"/>
      <c r="N39" s="1223"/>
      <c r="O39" s="14"/>
      <c r="P39" s="14"/>
      <c r="Q39" s="29"/>
      <c r="R39" s="8"/>
      <c r="S39" s="8"/>
      <c r="T39" s="8"/>
      <c r="U39" s="8"/>
      <c r="V39" s="8"/>
      <c r="W39" s="41"/>
      <c r="X39" s="2980"/>
      <c r="Y39" s="2980"/>
      <c r="Z39" s="2980"/>
      <c r="AA39" s="2980"/>
      <c r="AB39" s="2980"/>
      <c r="AC39" s="2980"/>
      <c r="AD39" s="2980"/>
      <c r="AE39" s="2980"/>
      <c r="AF39" s="2980"/>
      <c r="AG39" s="2980"/>
      <c r="AH39" s="2980"/>
      <c r="AI39" s="2980"/>
      <c r="AJ39" s="2980"/>
      <c r="AK39" s="2980"/>
      <c r="AL39" s="2980"/>
      <c r="AM39" s="2980"/>
      <c r="AN39" s="2980"/>
      <c r="AO39" s="2980"/>
      <c r="AP39" s="2980"/>
      <c r="AQ39" s="2980"/>
      <c r="AR39" s="2980"/>
    </row>
    <row r="40" spans="1:44" x14ac:dyDescent="0.2">
      <c r="A40" s="2989">
        <v>12</v>
      </c>
      <c r="B40" s="2990" t="s">
        <v>5668</v>
      </c>
      <c r="C40" s="2990">
        <v>0.95</v>
      </c>
      <c r="D40" s="2990">
        <v>1.75</v>
      </c>
      <c r="E40" s="2990">
        <v>730</v>
      </c>
      <c r="F40" s="2990">
        <v>1750</v>
      </c>
      <c r="G40" s="2990">
        <v>1440</v>
      </c>
      <c r="H40" s="2990">
        <v>4800</v>
      </c>
      <c r="I40" s="2990">
        <v>1.5</v>
      </c>
      <c r="J40" s="2990">
        <v>7700</v>
      </c>
      <c r="K40" s="2990">
        <v>2.6</v>
      </c>
      <c r="L40" s="14"/>
      <c r="M40" s="14"/>
      <c r="N40" s="1223"/>
      <c r="O40" s="14"/>
      <c r="P40" s="14"/>
      <c r="Q40" s="29"/>
      <c r="R40" s="8"/>
      <c r="S40" s="8"/>
      <c r="T40" s="8"/>
      <c r="U40" s="8"/>
      <c r="V40" s="8"/>
      <c r="W40" s="41"/>
      <c r="X40" s="2980"/>
      <c r="Y40" s="2980"/>
      <c r="Z40" s="2980"/>
      <c r="AA40" s="2980"/>
      <c r="AB40" s="2980"/>
      <c r="AC40" s="2980"/>
      <c r="AD40" s="2980"/>
      <c r="AE40" s="2980"/>
      <c r="AF40" s="2980"/>
      <c r="AG40" s="2980"/>
      <c r="AH40" s="2980"/>
      <c r="AI40" s="2980"/>
      <c r="AJ40" s="2980"/>
      <c r="AK40" s="2980"/>
      <c r="AL40" s="2980"/>
      <c r="AM40" s="2980"/>
      <c r="AN40" s="2980"/>
      <c r="AO40" s="2980"/>
      <c r="AP40" s="2980"/>
      <c r="AQ40" s="2980"/>
      <c r="AR40" s="2980"/>
    </row>
    <row r="41" spans="1:44" x14ac:dyDescent="0.2">
      <c r="A41" s="2989">
        <v>13</v>
      </c>
      <c r="B41" s="2990" t="s">
        <v>5635</v>
      </c>
      <c r="C41" s="2990">
        <v>0.95</v>
      </c>
      <c r="D41" s="2990">
        <v>1.5</v>
      </c>
      <c r="E41" s="2990">
        <v>720</v>
      </c>
      <c r="F41" s="2990">
        <v>1520</v>
      </c>
      <c r="G41" s="2990">
        <v>1440</v>
      </c>
      <c r="H41" s="2990">
        <v>5150</v>
      </c>
      <c r="I41" s="2990">
        <v>1.5</v>
      </c>
      <c r="J41" s="2990">
        <v>8400</v>
      </c>
      <c r="K41" s="2990">
        <v>2.6</v>
      </c>
      <c r="L41" s="14"/>
      <c r="M41" s="14"/>
      <c r="N41" s="1223"/>
      <c r="O41" s="14"/>
      <c r="P41" s="14"/>
      <c r="Q41" s="29"/>
      <c r="R41" s="8"/>
      <c r="S41" s="8"/>
      <c r="T41" s="8"/>
      <c r="U41" s="8"/>
      <c r="V41" s="8"/>
      <c r="W41" s="41"/>
      <c r="X41" s="2980"/>
      <c r="Y41" s="2980"/>
      <c r="Z41" s="2980"/>
      <c r="AA41" s="2980"/>
      <c r="AB41" s="2980"/>
      <c r="AC41" s="2980"/>
      <c r="AD41" s="2980"/>
      <c r="AE41" s="2980"/>
      <c r="AF41" s="2980"/>
      <c r="AG41" s="2980"/>
      <c r="AH41" s="2980"/>
      <c r="AI41" s="2980"/>
      <c r="AJ41" s="2980"/>
      <c r="AK41" s="2980"/>
      <c r="AL41" s="2980"/>
      <c r="AM41" s="2980"/>
      <c r="AN41" s="2980"/>
      <c r="AO41" s="2980"/>
      <c r="AP41" s="2980"/>
      <c r="AQ41" s="2980"/>
      <c r="AR41" s="2980"/>
    </row>
    <row r="42" spans="1:44" x14ac:dyDescent="0.2">
      <c r="A42" s="2989">
        <v>14</v>
      </c>
      <c r="B42" s="2990" t="s">
        <v>5633</v>
      </c>
      <c r="C42" s="2990">
        <v>1.1000000000000001</v>
      </c>
      <c r="D42" s="2990">
        <v>1.8</v>
      </c>
      <c r="E42" s="2990">
        <v>880</v>
      </c>
      <c r="F42" s="2990">
        <v>1800</v>
      </c>
      <c r="G42" s="2990">
        <v>1440</v>
      </c>
      <c r="H42" s="2990">
        <v>5030</v>
      </c>
      <c r="I42" s="2990">
        <v>1.5</v>
      </c>
      <c r="J42" s="2990">
        <v>9500</v>
      </c>
      <c r="K42" s="2990">
        <v>2.6</v>
      </c>
      <c r="L42" s="14"/>
      <c r="M42" s="14"/>
      <c r="N42" s="1223"/>
      <c r="O42" s="14"/>
      <c r="P42" s="14"/>
      <c r="Q42" s="29"/>
      <c r="R42" s="8"/>
      <c r="S42" s="8"/>
      <c r="T42" s="8"/>
      <c r="U42" s="8"/>
      <c r="V42" s="8"/>
      <c r="W42" s="41"/>
      <c r="X42" s="2980"/>
      <c r="Y42" s="2980"/>
      <c r="Z42" s="2980"/>
      <c r="AA42" s="2980"/>
      <c r="AB42" s="2980"/>
      <c r="AC42" s="2980"/>
      <c r="AD42" s="2980"/>
      <c r="AE42" s="2980"/>
      <c r="AF42" s="2980"/>
      <c r="AG42" s="2980"/>
      <c r="AH42" s="2980"/>
      <c r="AI42" s="2980"/>
      <c r="AJ42" s="2980"/>
      <c r="AK42" s="2980"/>
      <c r="AL42" s="2980"/>
      <c r="AM42" s="2980"/>
      <c r="AN42" s="2980"/>
      <c r="AO42" s="2980"/>
      <c r="AP42" s="2980"/>
      <c r="AQ42" s="2980"/>
      <c r="AR42" s="2980"/>
    </row>
    <row r="43" spans="1:44" x14ac:dyDescent="0.2">
      <c r="A43" s="2989">
        <v>15</v>
      </c>
      <c r="B43" s="2990" t="s">
        <v>5632</v>
      </c>
      <c r="C43" s="2990">
        <v>1.45</v>
      </c>
      <c r="D43" s="2990">
        <v>2.5</v>
      </c>
      <c r="E43" s="2990">
        <v>1175</v>
      </c>
      <c r="F43" s="2990">
        <v>2500</v>
      </c>
      <c r="G43" s="2990">
        <v>1440</v>
      </c>
      <c r="H43" s="2990">
        <v>5170</v>
      </c>
      <c r="I43" s="2990">
        <v>1.5</v>
      </c>
      <c r="J43" s="2990">
        <v>10100</v>
      </c>
      <c r="K43" s="2990">
        <v>2.6</v>
      </c>
      <c r="L43" s="14"/>
      <c r="M43" s="14"/>
      <c r="N43" s="1223"/>
      <c r="O43" s="14"/>
      <c r="P43" s="14"/>
      <c r="Q43" s="29"/>
      <c r="R43" s="8"/>
      <c r="S43" s="8"/>
      <c r="T43" s="8"/>
      <c r="U43" s="8"/>
      <c r="V43" s="8"/>
      <c r="W43" s="41"/>
      <c r="X43" s="2980"/>
      <c r="Y43" s="2980"/>
      <c r="Z43" s="2980"/>
      <c r="AA43" s="2980"/>
      <c r="AB43" s="2980"/>
      <c r="AC43" s="2980"/>
      <c r="AD43" s="2980"/>
      <c r="AE43" s="2980"/>
      <c r="AF43" s="2980"/>
      <c r="AG43" s="2980"/>
      <c r="AH43" s="2980"/>
      <c r="AI43" s="2980"/>
      <c r="AJ43" s="2980"/>
      <c r="AK43" s="2980"/>
      <c r="AL43" s="2980"/>
      <c r="AM43" s="2980"/>
      <c r="AN43" s="2980"/>
      <c r="AO43" s="2980"/>
      <c r="AP43" s="2980"/>
      <c r="AQ43" s="2980"/>
      <c r="AR43" s="2980"/>
    </row>
    <row r="44" spans="1:44" ht="15.75" x14ac:dyDescent="0.25">
      <c r="A44" s="29"/>
      <c r="B44" s="35"/>
      <c r="C44" s="29"/>
      <c r="D44" s="29"/>
      <c r="E44" s="29"/>
      <c r="F44" s="29"/>
      <c r="G44" s="29"/>
      <c r="H44" s="1181"/>
      <c r="I44" s="29"/>
      <c r="J44" s="29"/>
      <c r="K44" s="15"/>
      <c r="L44" s="14"/>
      <c r="M44" s="14"/>
      <c r="N44" s="1223"/>
      <c r="O44" s="14"/>
      <c r="P44" s="14"/>
      <c r="Q44" s="29"/>
      <c r="R44" s="8"/>
      <c r="S44" s="8"/>
      <c r="T44" s="8"/>
      <c r="U44" s="8"/>
      <c r="V44" s="8"/>
      <c r="W44" s="41"/>
      <c r="X44" s="2980"/>
      <c r="Y44" s="2980"/>
      <c r="Z44" s="2980"/>
      <c r="AA44" s="2980"/>
      <c r="AB44" s="2980"/>
      <c r="AC44" s="2980"/>
      <c r="AD44" s="2980"/>
      <c r="AE44" s="2980"/>
      <c r="AF44" s="2980"/>
      <c r="AG44" s="2980"/>
      <c r="AH44" s="2980"/>
      <c r="AI44" s="2980"/>
      <c r="AJ44" s="2980"/>
      <c r="AK44" s="2980"/>
      <c r="AL44" s="2980"/>
      <c r="AM44" s="2980"/>
      <c r="AN44" s="2980"/>
      <c r="AO44" s="2980"/>
      <c r="AP44" s="2980"/>
      <c r="AQ44" s="2980"/>
      <c r="AR44" s="2980"/>
    </row>
    <row r="45" spans="1:44" ht="15.75" x14ac:dyDescent="0.25">
      <c r="A45" s="29"/>
      <c r="B45" s="35"/>
      <c r="C45" s="29"/>
      <c r="D45" s="29"/>
      <c r="E45" s="29"/>
      <c r="F45" s="29"/>
      <c r="G45" s="29"/>
      <c r="H45" s="1181"/>
      <c r="I45" s="29"/>
      <c r="J45" s="29"/>
      <c r="K45" s="15"/>
      <c r="L45" s="14"/>
      <c r="M45" s="14"/>
      <c r="N45" s="1223"/>
      <c r="O45" s="14"/>
      <c r="P45" s="14"/>
      <c r="Q45" s="29"/>
      <c r="R45" s="8"/>
      <c r="S45" s="8"/>
      <c r="T45" s="8"/>
      <c r="U45" s="8"/>
      <c r="V45" s="8"/>
      <c r="W45" s="41"/>
      <c r="X45" s="2980"/>
      <c r="Y45" s="2980"/>
      <c r="Z45" s="2980"/>
      <c r="AA45" s="2980"/>
      <c r="AB45" s="2980"/>
      <c r="AC45" s="2980"/>
      <c r="AD45" s="2980"/>
      <c r="AE45" s="2980"/>
      <c r="AF45" s="2980"/>
      <c r="AG45" s="2980"/>
      <c r="AH45" s="2980"/>
      <c r="AI45" s="2980"/>
      <c r="AJ45" s="2980"/>
      <c r="AK45" s="2980"/>
      <c r="AL45" s="2980"/>
      <c r="AM45" s="2980"/>
      <c r="AN45" s="2980"/>
      <c r="AO45" s="2980"/>
      <c r="AP45" s="2980"/>
      <c r="AQ45" s="2980"/>
      <c r="AR45" s="2980"/>
    </row>
    <row r="46" spans="1:44" x14ac:dyDescent="0.2">
      <c r="A46" s="15"/>
      <c r="B46" s="15"/>
      <c r="C46" s="15"/>
      <c r="D46" s="15"/>
      <c r="E46" s="15"/>
      <c r="F46" s="15"/>
      <c r="G46" s="11"/>
      <c r="H46" s="11"/>
      <c r="I46" s="11"/>
      <c r="J46" s="11"/>
      <c r="K46" s="11"/>
      <c r="L46" s="11"/>
      <c r="M46" s="11"/>
      <c r="N46" s="11"/>
      <c r="O46" s="11"/>
      <c r="P46" s="11"/>
      <c r="Q46" s="11"/>
      <c r="W46" s="42"/>
      <c r="X46" s="42"/>
      <c r="Y46" s="42"/>
      <c r="Z46" s="42"/>
      <c r="AA46" s="42"/>
      <c r="AB46" s="42"/>
      <c r="AC46" s="42"/>
      <c r="AD46" s="42"/>
      <c r="AE46" s="42"/>
      <c r="AF46" s="42"/>
      <c r="AG46" s="42"/>
      <c r="AH46" s="42"/>
      <c r="AI46" s="42"/>
      <c r="AJ46" s="42"/>
      <c r="AK46" s="42"/>
      <c r="AL46" s="42"/>
      <c r="AM46" s="42"/>
      <c r="AN46" s="42"/>
      <c r="AO46" s="42"/>
      <c r="AP46" s="42"/>
      <c r="AQ46" s="42"/>
      <c r="AR46" s="42"/>
    </row>
    <row r="47" spans="1:44" x14ac:dyDescent="0.2">
      <c r="A47" s="15"/>
      <c r="B47" s="15"/>
      <c r="C47" s="15"/>
      <c r="D47" s="15"/>
      <c r="E47" s="15"/>
      <c r="F47" s="15"/>
      <c r="G47" s="15"/>
      <c r="H47" s="15"/>
      <c r="I47" s="15"/>
      <c r="J47" s="15"/>
      <c r="K47" s="15"/>
      <c r="L47" s="15"/>
      <c r="M47" s="15"/>
      <c r="N47" s="15"/>
      <c r="O47" s="671"/>
      <c r="P47" s="15"/>
      <c r="Q47" s="15"/>
      <c r="R47" s="1"/>
      <c r="S47" s="1"/>
      <c r="T47" s="1"/>
      <c r="U47" s="1"/>
      <c r="W47" s="42"/>
      <c r="X47" s="42"/>
      <c r="Y47" s="42"/>
      <c r="Z47" s="42"/>
      <c r="AA47" s="42"/>
      <c r="AB47" s="42"/>
      <c r="AC47" s="42"/>
      <c r="AD47" s="42"/>
      <c r="AE47" s="42"/>
      <c r="AF47" s="42"/>
      <c r="AG47" s="42"/>
      <c r="AH47" s="42"/>
      <c r="AI47" s="42"/>
      <c r="AJ47" s="42"/>
      <c r="AK47" s="42"/>
      <c r="AL47" s="42"/>
      <c r="AM47" s="42"/>
      <c r="AN47" s="42"/>
      <c r="AO47" s="42"/>
      <c r="AP47" s="42"/>
      <c r="AQ47" s="42"/>
      <c r="AR47" s="42"/>
    </row>
    <row r="48" spans="1:44" ht="18" x14ac:dyDescent="0.25">
      <c r="A48" s="28"/>
      <c r="B48" s="845" t="s">
        <v>633</v>
      </c>
      <c r="C48" s="28"/>
      <c r="D48" s="28"/>
      <c r="E48" s="28"/>
      <c r="F48" s="28"/>
      <c r="G48" s="29"/>
      <c r="H48" s="1181" t="str">
        <f>IF(обор!G378=1,"ОБРАТНО к выбору типа мехкрепи","")</f>
        <v/>
      </c>
      <c r="I48" s="1208" t="str">
        <f>IF(обор!G378=2,"Обратно","")</f>
        <v/>
      </c>
      <c r="J48" s="29"/>
      <c r="K48" s="1208" t="str">
        <f>IF(обор!G378=1,"Обратно","")</f>
        <v/>
      </c>
      <c r="L48" s="29"/>
      <c r="M48" s="29"/>
      <c r="N48" s="14"/>
      <c r="O48" s="1182"/>
      <c r="P48" s="396"/>
      <c r="Q48" s="396"/>
      <c r="R48" s="843"/>
      <c r="S48" s="843"/>
      <c r="T48" s="843"/>
      <c r="U48" s="843"/>
      <c r="W48" s="42"/>
      <c r="X48" s="42"/>
      <c r="Y48" s="42"/>
      <c r="Z48" s="42"/>
      <c r="AA48" s="42"/>
      <c r="AB48" s="42"/>
      <c r="AC48" s="42"/>
      <c r="AD48" s="42"/>
      <c r="AE48" s="42"/>
      <c r="AF48" s="42"/>
      <c r="AG48" s="42"/>
      <c r="AH48" s="42"/>
      <c r="AI48" s="42"/>
      <c r="AJ48" s="42"/>
      <c r="AK48" s="42"/>
      <c r="AL48" s="42"/>
      <c r="AM48" s="42"/>
      <c r="AN48" s="42"/>
      <c r="AO48" s="42"/>
      <c r="AP48" s="42"/>
      <c r="AQ48" s="42"/>
      <c r="AR48" s="42"/>
    </row>
    <row r="49" spans="1:44" ht="18" x14ac:dyDescent="0.25">
      <c r="A49" s="29"/>
      <c r="B49" s="803"/>
      <c r="C49" s="29"/>
      <c r="D49" s="29"/>
      <c r="E49" s="29"/>
      <c r="F49" s="29"/>
      <c r="G49" s="29"/>
      <c r="H49" s="1181"/>
      <c r="I49" s="1223"/>
      <c r="J49" s="29"/>
      <c r="K49" s="1223"/>
      <c r="L49" s="29"/>
      <c r="M49" s="29"/>
      <c r="N49" s="14"/>
      <c r="O49" s="1182"/>
      <c r="P49" s="396"/>
      <c r="Q49" s="396"/>
      <c r="R49" s="843"/>
      <c r="S49" s="843"/>
      <c r="T49" s="843"/>
      <c r="U49" s="843"/>
      <c r="W49" s="2980"/>
      <c r="X49" s="2980"/>
      <c r="Y49" s="2980"/>
      <c r="Z49" s="2980"/>
      <c r="AA49" s="2980"/>
      <c r="AB49" s="2980"/>
      <c r="AC49" s="2980"/>
      <c r="AD49" s="2980"/>
      <c r="AE49" s="2980"/>
      <c r="AF49" s="2980"/>
      <c r="AG49" s="2980"/>
      <c r="AH49" s="2980"/>
      <c r="AI49" s="2980"/>
      <c r="AJ49" s="2980"/>
      <c r="AK49" s="2980"/>
      <c r="AL49" s="2980"/>
      <c r="AM49" s="2980"/>
      <c r="AN49" s="2980"/>
      <c r="AO49" s="2980"/>
      <c r="AP49" s="2980"/>
      <c r="AQ49" s="2980"/>
      <c r="AR49" s="2980"/>
    </row>
    <row r="50" spans="1:44" ht="18.75" x14ac:dyDescent="0.3">
      <c r="A50" s="14"/>
      <c r="B50" s="8" t="s">
        <v>5669</v>
      </c>
      <c r="C50" s="2647"/>
      <c r="D50" s="8"/>
      <c r="E50" s="8"/>
      <c r="F50" s="8"/>
      <c r="G50" s="8"/>
      <c r="H50" s="1181"/>
      <c r="I50" s="1223"/>
      <c r="J50" s="29"/>
      <c r="K50" s="1223"/>
      <c r="L50" s="29"/>
      <c r="M50" s="29"/>
      <c r="N50" s="14"/>
      <c r="O50" s="1182"/>
      <c r="P50" s="396"/>
      <c r="Q50" s="396"/>
      <c r="R50" s="843"/>
      <c r="S50" s="843"/>
      <c r="T50" s="843"/>
      <c r="U50" s="843"/>
      <c r="W50" s="2980"/>
      <c r="X50" s="2980"/>
      <c r="Y50" s="2980"/>
      <c r="Z50" s="2980"/>
      <c r="AA50" s="2980"/>
      <c r="AB50" s="2980"/>
      <c r="AC50" s="2980"/>
      <c r="AD50" s="2980"/>
      <c r="AE50" s="2980"/>
      <c r="AF50" s="2980"/>
      <c r="AG50" s="2980"/>
      <c r="AH50" s="2980"/>
      <c r="AI50" s="2980"/>
      <c r="AJ50" s="2980"/>
      <c r="AK50" s="2980"/>
      <c r="AL50" s="2980"/>
      <c r="AM50" s="2980"/>
      <c r="AN50" s="2980"/>
      <c r="AO50" s="2980"/>
      <c r="AP50" s="2980"/>
      <c r="AQ50" s="2980"/>
      <c r="AR50" s="2980"/>
    </row>
    <row r="51" spans="1:44" ht="51" x14ac:dyDescent="0.2">
      <c r="A51" s="5" t="s">
        <v>649</v>
      </c>
      <c r="B51" s="2982" t="s">
        <v>3673</v>
      </c>
      <c r="C51" s="2982" t="s">
        <v>3674</v>
      </c>
      <c r="D51" s="2982" t="s">
        <v>5670</v>
      </c>
      <c r="E51" s="2982" t="s">
        <v>5671</v>
      </c>
      <c r="F51" s="2982" t="s">
        <v>5672</v>
      </c>
      <c r="G51" s="2982" t="s">
        <v>5673</v>
      </c>
      <c r="H51" s="1181"/>
      <c r="I51" s="1223"/>
      <c r="J51" s="29"/>
      <c r="K51" s="1223"/>
      <c r="L51" s="29"/>
      <c r="M51" s="29"/>
      <c r="N51" s="14"/>
      <c r="O51" s="1182"/>
      <c r="P51" s="396"/>
      <c r="Q51" s="396"/>
      <c r="R51" s="843"/>
      <c r="S51" s="843"/>
      <c r="T51" s="843"/>
      <c r="U51" s="843"/>
      <c r="W51" s="2980"/>
      <c r="X51" s="2980"/>
      <c r="Y51" s="2980"/>
      <c r="Z51" s="2980"/>
      <c r="AA51" s="2980"/>
      <c r="AB51" s="2980"/>
      <c r="AC51" s="2980"/>
      <c r="AD51" s="2980"/>
      <c r="AE51" s="2980"/>
      <c r="AF51" s="2980"/>
      <c r="AG51" s="2980"/>
      <c r="AH51" s="2980"/>
      <c r="AI51" s="2980"/>
      <c r="AJ51" s="2980"/>
      <c r="AK51" s="2980"/>
      <c r="AL51" s="2980"/>
      <c r="AM51" s="2980"/>
      <c r="AN51" s="2980"/>
      <c r="AO51" s="2980"/>
      <c r="AP51" s="2980"/>
      <c r="AQ51" s="2980"/>
      <c r="AR51" s="2980"/>
    </row>
    <row r="52" spans="1:44" x14ac:dyDescent="0.2">
      <c r="A52" s="2992">
        <v>1</v>
      </c>
      <c r="B52" s="5" t="s">
        <v>5619</v>
      </c>
      <c r="C52" s="5">
        <v>8</v>
      </c>
      <c r="D52" s="5">
        <v>320</v>
      </c>
      <c r="E52" s="5">
        <v>190</v>
      </c>
      <c r="F52" s="5">
        <v>642</v>
      </c>
      <c r="G52" s="5">
        <v>1500</v>
      </c>
      <c r="H52" s="1181"/>
      <c r="I52" s="1223"/>
      <c r="J52" s="29"/>
      <c r="K52" s="1223"/>
      <c r="L52" s="29"/>
      <c r="M52" s="29"/>
      <c r="N52" s="14"/>
      <c r="O52" s="1182"/>
      <c r="P52" s="396"/>
      <c r="Q52" s="396"/>
      <c r="R52" s="843"/>
      <c r="S52" s="843"/>
      <c r="T52" s="843"/>
      <c r="U52" s="843"/>
      <c r="W52" s="2980"/>
      <c r="X52" s="2980"/>
      <c r="Y52" s="2980"/>
      <c r="Z52" s="2980"/>
      <c r="AA52" s="2980"/>
      <c r="AB52" s="2980"/>
      <c r="AC52" s="2980"/>
      <c r="AD52" s="2980"/>
      <c r="AE52" s="2980"/>
      <c r="AF52" s="2980"/>
      <c r="AG52" s="2980"/>
      <c r="AH52" s="2980"/>
      <c r="AI52" s="2980"/>
      <c r="AJ52" s="2980"/>
      <c r="AK52" s="2980"/>
      <c r="AL52" s="2980"/>
      <c r="AM52" s="2980"/>
      <c r="AN52" s="2980"/>
      <c r="AO52" s="2980"/>
      <c r="AP52" s="2980"/>
      <c r="AQ52" s="2980"/>
      <c r="AR52" s="2980"/>
    </row>
    <row r="53" spans="1:44" x14ac:dyDescent="0.2">
      <c r="A53" s="2992">
        <v>2</v>
      </c>
      <c r="B53" s="5" t="s">
        <v>5637</v>
      </c>
      <c r="C53" s="5">
        <v>8</v>
      </c>
      <c r="D53" s="5">
        <v>320</v>
      </c>
      <c r="E53" s="5">
        <v>190</v>
      </c>
      <c r="F53" s="5">
        <v>642</v>
      </c>
      <c r="G53" s="5">
        <v>1500</v>
      </c>
      <c r="H53" s="1181"/>
      <c r="I53" s="1223"/>
      <c r="J53" s="29"/>
      <c r="K53" s="1223"/>
      <c r="L53" s="29"/>
      <c r="M53" s="29"/>
      <c r="N53" s="14"/>
      <c r="O53" s="1182"/>
      <c r="P53" s="396"/>
      <c r="Q53" s="396"/>
      <c r="R53" s="843"/>
      <c r="S53" s="843"/>
      <c r="T53" s="843"/>
      <c r="U53" s="843"/>
      <c r="W53" s="2980"/>
      <c r="X53" s="2980"/>
      <c r="Y53" s="2980"/>
      <c r="Z53" s="2980"/>
      <c r="AA53" s="2980"/>
      <c r="AB53" s="2980"/>
      <c r="AC53" s="2980"/>
      <c r="AD53" s="2980"/>
      <c r="AE53" s="2980"/>
      <c r="AF53" s="2980"/>
      <c r="AG53" s="2980"/>
      <c r="AH53" s="2980"/>
      <c r="AI53" s="2980"/>
      <c r="AJ53" s="2980"/>
      <c r="AK53" s="2980"/>
      <c r="AL53" s="2980"/>
      <c r="AM53" s="2980"/>
      <c r="AN53" s="2980"/>
      <c r="AO53" s="2980"/>
      <c r="AP53" s="2980"/>
      <c r="AQ53" s="2980"/>
      <c r="AR53" s="2980"/>
    </row>
    <row r="54" spans="1:44" x14ac:dyDescent="0.2">
      <c r="A54" s="2992">
        <v>3</v>
      </c>
      <c r="B54" s="5" t="s">
        <v>152</v>
      </c>
      <c r="C54" s="5">
        <v>8</v>
      </c>
      <c r="D54" s="5">
        <v>220</v>
      </c>
      <c r="E54" s="5">
        <v>190</v>
      </c>
      <c r="F54" s="5">
        <v>642</v>
      </c>
      <c r="G54" s="5">
        <v>1350</v>
      </c>
      <c r="H54" s="1181"/>
      <c r="I54" s="1223"/>
      <c r="J54" s="29"/>
      <c r="K54" s="1223"/>
      <c r="L54" s="29"/>
      <c r="M54" s="29"/>
      <c r="N54" s="14"/>
      <c r="O54" s="1182"/>
      <c r="P54" s="396"/>
      <c r="Q54" s="396"/>
      <c r="R54" s="843"/>
      <c r="S54" s="843"/>
      <c r="T54" s="843"/>
      <c r="U54" s="843"/>
      <c r="W54" s="2980"/>
      <c r="X54" s="2980"/>
      <c r="Y54" s="2980"/>
      <c r="Z54" s="2980"/>
      <c r="AA54" s="2980"/>
      <c r="AB54" s="2980"/>
      <c r="AC54" s="2980"/>
      <c r="AD54" s="2980"/>
      <c r="AE54" s="2980"/>
      <c r="AF54" s="2980"/>
      <c r="AG54" s="2980"/>
      <c r="AH54" s="2980"/>
      <c r="AI54" s="2980"/>
      <c r="AJ54" s="2980"/>
      <c r="AK54" s="2980"/>
      <c r="AL54" s="2980"/>
      <c r="AM54" s="2980"/>
      <c r="AN54" s="2980"/>
      <c r="AO54" s="2980"/>
      <c r="AP54" s="2980"/>
      <c r="AQ54" s="2980"/>
      <c r="AR54" s="2980"/>
    </row>
    <row r="55" spans="1:44" x14ac:dyDescent="0.2">
      <c r="A55" s="2992">
        <v>4</v>
      </c>
      <c r="B55" s="5" t="s">
        <v>1918</v>
      </c>
      <c r="C55" s="5">
        <v>10</v>
      </c>
      <c r="D55" s="5">
        <v>220</v>
      </c>
      <c r="E55" s="5">
        <v>190</v>
      </c>
      <c r="F55" s="5">
        <v>643</v>
      </c>
      <c r="G55" s="5">
        <v>1900</v>
      </c>
      <c r="H55" s="1181"/>
      <c r="I55" s="1223"/>
      <c r="J55" s="29"/>
      <c r="K55" s="1223"/>
      <c r="L55" s="29"/>
      <c r="M55" s="29"/>
      <c r="N55" s="14"/>
      <c r="O55" s="1182"/>
      <c r="P55" s="396"/>
      <c r="Q55" s="396"/>
      <c r="R55" s="843"/>
      <c r="S55" s="843"/>
      <c r="T55" s="843"/>
      <c r="U55" s="843"/>
      <c r="W55" s="2980"/>
      <c r="X55" s="2980"/>
      <c r="Y55" s="2980"/>
      <c r="Z55" s="2980"/>
      <c r="AA55" s="2980"/>
      <c r="AB55" s="2980"/>
      <c r="AC55" s="2980"/>
      <c r="AD55" s="2980"/>
      <c r="AE55" s="2980"/>
      <c r="AF55" s="2980"/>
      <c r="AG55" s="2980"/>
      <c r="AH55" s="2980"/>
      <c r="AI55" s="2980"/>
      <c r="AJ55" s="2980"/>
      <c r="AK55" s="2980"/>
      <c r="AL55" s="2980"/>
      <c r="AM55" s="2980"/>
      <c r="AN55" s="2980"/>
      <c r="AO55" s="2980"/>
      <c r="AP55" s="2980"/>
      <c r="AQ55" s="2980"/>
      <c r="AR55" s="2980"/>
    </row>
    <row r="56" spans="1:44" x14ac:dyDescent="0.2">
      <c r="A56" s="2992">
        <v>5</v>
      </c>
      <c r="B56" s="5" t="s">
        <v>5621</v>
      </c>
      <c r="C56" s="5">
        <v>8.6</v>
      </c>
      <c r="D56" s="5">
        <v>320</v>
      </c>
      <c r="E56" s="5">
        <v>192</v>
      </c>
      <c r="F56" s="5">
        <v>642</v>
      </c>
      <c r="G56" s="5">
        <v>1500</v>
      </c>
      <c r="H56" s="1181"/>
      <c r="I56" s="1223"/>
      <c r="J56" s="29"/>
      <c r="K56" s="1223"/>
      <c r="L56" s="29"/>
      <c r="M56" s="29"/>
      <c r="N56" s="14"/>
      <c r="O56" s="1182"/>
      <c r="P56" s="396"/>
      <c r="Q56" s="396"/>
      <c r="R56" s="843"/>
      <c r="S56" s="843"/>
      <c r="T56" s="843"/>
      <c r="U56" s="843"/>
      <c r="W56" s="2980"/>
      <c r="X56" s="2980"/>
      <c r="Y56" s="2980"/>
      <c r="Z56" s="2980"/>
      <c r="AA56" s="2980"/>
      <c r="AB56" s="2980"/>
      <c r="AC56" s="2980"/>
      <c r="AD56" s="2980"/>
      <c r="AE56" s="2980"/>
      <c r="AF56" s="2980"/>
      <c r="AG56" s="2980"/>
      <c r="AH56" s="2980"/>
      <c r="AI56" s="2980"/>
      <c r="AJ56" s="2980"/>
      <c r="AK56" s="2980"/>
      <c r="AL56" s="2980"/>
      <c r="AM56" s="2980"/>
      <c r="AN56" s="2980"/>
      <c r="AO56" s="2980"/>
      <c r="AP56" s="2980"/>
      <c r="AQ56" s="2980"/>
      <c r="AR56" s="2980"/>
    </row>
    <row r="57" spans="1:44" x14ac:dyDescent="0.2">
      <c r="A57" s="2992">
        <v>6</v>
      </c>
      <c r="B57" s="5" t="s">
        <v>1917</v>
      </c>
      <c r="C57" s="5">
        <v>8.6</v>
      </c>
      <c r="D57" s="5">
        <v>320</v>
      </c>
      <c r="E57" s="5">
        <v>192</v>
      </c>
      <c r="F57" s="5">
        <v>642</v>
      </c>
      <c r="G57" s="5">
        <v>1500</v>
      </c>
      <c r="H57" s="1181"/>
      <c r="I57" s="1223"/>
      <c r="J57" s="29"/>
      <c r="K57" s="1223"/>
      <c r="L57" s="29"/>
      <c r="M57" s="29"/>
      <c r="N57" s="14"/>
      <c r="O57" s="1182"/>
      <c r="P57" s="396"/>
      <c r="Q57" s="396"/>
      <c r="R57" s="843"/>
      <c r="S57" s="843"/>
      <c r="T57" s="843"/>
      <c r="U57" s="843"/>
      <c r="W57" s="2980"/>
      <c r="X57" s="2980"/>
      <c r="Y57" s="2980"/>
      <c r="Z57" s="2980"/>
      <c r="AA57" s="2980"/>
      <c r="AB57" s="2980"/>
      <c r="AC57" s="2980"/>
      <c r="AD57" s="2980"/>
      <c r="AE57" s="2980"/>
      <c r="AF57" s="2980"/>
      <c r="AG57" s="2980"/>
      <c r="AH57" s="2980"/>
      <c r="AI57" s="2980"/>
      <c r="AJ57" s="2980"/>
      <c r="AK57" s="2980"/>
      <c r="AL57" s="2980"/>
      <c r="AM57" s="2980"/>
      <c r="AN57" s="2980"/>
      <c r="AO57" s="2980"/>
      <c r="AP57" s="2980"/>
      <c r="AQ57" s="2980"/>
      <c r="AR57" s="2980"/>
    </row>
    <row r="58" spans="1:44" x14ac:dyDescent="0.2">
      <c r="A58" s="2992">
        <v>7</v>
      </c>
      <c r="B58" s="5" t="s">
        <v>5641</v>
      </c>
      <c r="C58" s="5">
        <v>9.3000000000000007</v>
      </c>
      <c r="D58" s="5">
        <v>400</v>
      </c>
      <c r="E58" s="5">
        <v>192</v>
      </c>
      <c r="F58" s="5">
        <v>642</v>
      </c>
      <c r="G58" s="5">
        <v>1500</v>
      </c>
      <c r="H58" s="1181"/>
      <c r="I58" s="1223"/>
      <c r="J58" s="29"/>
      <c r="K58" s="1223"/>
      <c r="L58" s="29"/>
      <c r="M58" s="29"/>
      <c r="N58" s="14"/>
      <c r="O58" s="1182"/>
      <c r="P58" s="396"/>
      <c r="Q58" s="396"/>
      <c r="R58" s="843"/>
      <c r="S58" s="843"/>
      <c r="T58" s="843"/>
      <c r="U58" s="843"/>
      <c r="W58" s="2980"/>
      <c r="X58" s="2980"/>
      <c r="Y58" s="2980"/>
      <c r="Z58" s="2980"/>
      <c r="AA58" s="2980"/>
      <c r="AB58" s="2980"/>
      <c r="AC58" s="2980"/>
      <c r="AD58" s="2980"/>
      <c r="AE58" s="2980"/>
      <c r="AF58" s="2980"/>
      <c r="AG58" s="2980"/>
      <c r="AH58" s="2980"/>
      <c r="AI58" s="2980"/>
      <c r="AJ58" s="2980"/>
      <c r="AK58" s="2980"/>
      <c r="AL58" s="2980"/>
      <c r="AM58" s="2980"/>
      <c r="AN58" s="2980"/>
      <c r="AO58" s="2980"/>
      <c r="AP58" s="2980"/>
      <c r="AQ58" s="2980"/>
      <c r="AR58" s="2980"/>
    </row>
    <row r="59" spans="1:44" x14ac:dyDescent="0.2">
      <c r="A59" s="2992">
        <v>8</v>
      </c>
      <c r="B59" s="5" t="s">
        <v>5623</v>
      </c>
      <c r="C59" s="5">
        <v>13</v>
      </c>
      <c r="D59" s="5">
        <v>320</v>
      </c>
      <c r="E59" s="5">
        <v>230</v>
      </c>
      <c r="F59" s="5">
        <v>642</v>
      </c>
      <c r="G59" s="5">
        <v>1500</v>
      </c>
      <c r="H59" s="1181"/>
      <c r="I59" s="1223"/>
      <c r="J59" s="29"/>
      <c r="K59" s="1223"/>
      <c r="L59" s="29"/>
      <c r="M59" s="29"/>
      <c r="N59" s="14"/>
      <c r="O59" s="1182"/>
      <c r="P59" s="396"/>
      <c r="Q59" s="396"/>
      <c r="R59" s="843"/>
      <c r="S59" s="843"/>
      <c r="T59" s="843"/>
      <c r="U59" s="843"/>
      <c r="W59" s="2980"/>
      <c r="X59" s="2980"/>
      <c r="Y59" s="2980"/>
      <c r="Z59" s="2980"/>
      <c r="AA59" s="2980"/>
      <c r="AB59" s="2980"/>
      <c r="AC59" s="2980"/>
      <c r="AD59" s="2980"/>
      <c r="AE59" s="2980"/>
      <c r="AF59" s="2980"/>
      <c r="AG59" s="2980"/>
      <c r="AH59" s="2980"/>
      <c r="AI59" s="2980"/>
      <c r="AJ59" s="2980"/>
      <c r="AK59" s="2980"/>
      <c r="AL59" s="2980"/>
      <c r="AM59" s="2980"/>
      <c r="AN59" s="2980"/>
      <c r="AO59" s="2980"/>
      <c r="AP59" s="2980"/>
      <c r="AQ59" s="2980"/>
      <c r="AR59" s="2980"/>
    </row>
    <row r="60" spans="1:44" x14ac:dyDescent="0.2">
      <c r="A60" s="2992">
        <v>9</v>
      </c>
      <c r="B60" s="5" t="s">
        <v>5626</v>
      </c>
      <c r="C60" s="5">
        <v>13</v>
      </c>
      <c r="D60" s="5">
        <v>320</v>
      </c>
      <c r="E60" s="5">
        <v>230</v>
      </c>
      <c r="F60" s="5">
        <v>636</v>
      </c>
      <c r="G60" s="5">
        <v>1500</v>
      </c>
      <c r="H60" s="1181"/>
      <c r="I60" s="1223"/>
      <c r="J60" s="29"/>
      <c r="K60" s="1223"/>
      <c r="L60" s="29"/>
      <c r="M60" s="29"/>
      <c r="N60" s="14"/>
      <c r="O60" s="1182"/>
      <c r="P60" s="396"/>
      <c r="Q60" s="396"/>
      <c r="R60" s="843"/>
      <c r="S60" s="843"/>
      <c r="T60" s="843"/>
      <c r="U60" s="843"/>
      <c r="W60" s="2980"/>
      <c r="X60" s="2980"/>
      <c r="Y60" s="2980"/>
      <c r="Z60" s="2980"/>
      <c r="AA60" s="2980"/>
      <c r="AB60" s="2980"/>
      <c r="AC60" s="2980"/>
      <c r="AD60" s="2980"/>
      <c r="AE60" s="2980"/>
      <c r="AF60" s="2980"/>
      <c r="AG60" s="2980"/>
      <c r="AH60" s="2980"/>
      <c r="AI60" s="2980"/>
      <c r="AJ60" s="2980"/>
      <c r="AK60" s="2980"/>
      <c r="AL60" s="2980"/>
      <c r="AM60" s="2980"/>
      <c r="AN60" s="2980"/>
      <c r="AO60" s="2980"/>
      <c r="AP60" s="2980"/>
      <c r="AQ60" s="2980"/>
      <c r="AR60" s="2980"/>
    </row>
    <row r="61" spans="1:44" x14ac:dyDescent="0.2">
      <c r="A61" s="2992">
        <v>10</v>
      </c>
      <c r="B61" s="5" t="s">
        <v>5618</v>
      </c>
      <c r="C61" s="5">
        <v>10</v>
      </c>
      <c r="D61" s="5">
        <v>400</v>
      </c>
      <c r="E61" s="5">
        <v>245</v>
      </c>
      <c r="F61" s="5">
        <v>620</v>
      </c>
      <c r="G61" s="5">
        <v>1500</v>
      </c>
      <c r="H61" s="1181"/>
      <c r="I61" s="1223"/>
      <c r="J61" s="29"/>
      <c r="K61" s="1223"/>
      <c r="L61" s="29"/>
      <c r="M61" s="29"/>
      <c r="N61" s="14"/>
      <c r="O61" s="1182"/>
      <c r="P61" s="396"/>
      <c r="Q61" s="396"/>
      <c r="R61" s="843"/>
      <c r="S61" s="843"/>
      <c r="T61" s="843"/>
      <c r="U61" s="843"/>
      <c r="W61" s="2980"/>
      <c r="X61" s="2980"/>
      <c r="Y61" s="2980"/>
      <c r="Z61" s="2980"/>
      <c r="AA61" s="2980"/>
      <c r="AB61" s="2980"/>
      <c r="AC61" s="2980"/>
      <c r="AD61" s="2980"/>
      <c r="AE61" s="2980"/>
      <c r="AF61" s="2980"/>
      <c r="AG61" s="2980"/>
      <c r="AH61" s="2980"/>
      <c r="AI61" s="2980"/>
      <c r="AJ61" s="2980"/>
      <c r="AK61" s="2980"/>
      <c r="AL61" s="2980"/>
      <c r="AM61" s="2980"/>
      <c r="AN61" s="2980"/>
      <c r="AO61" s="2980"/>
      <c r="AP61" s="2980"/>
      <c r="AQ61" s="2980"/>
      <c r="AR61" s="2980"/>
    </row>
    <row r="62" spans="1:44" x14ac:dyDescent="0.2">
      <c r="A62" s="2992">
        <v>11</v>
      </c>
      <c r="B62" s="5" t="s">
        <v>5628</v>
      </c>
      <c r="C62" s="5">
        <v>14</v>
      </c>
      <c r="D62" s="5">
        <v>400</v>
      </c>
      <c r="E62" s="5">
        <v>245</v>
      </c>
      <c r="F62" s="5">
        <v>754</v>
      </c>
      <c r="G62" s="5">
        <v>1500</v>
      </c>
      <c r="H62" s="1181"/>
      <c r="I62" s="1223"/>
      <c r="J62" s="29"/>
      <c r="K62" s="1223"/>
      <c r="L62" s="29"/>
      <c r="M62" s="29"/>
      <c r="N62" s="14"/>
      <c r="O62" s="1182"/>
      <c r="P62" s="396"/>
      <c r="Q62" s="396"/>
      <c r="R62" s="843"/>
      <c r="S62" s="843"/>
      <c r="T62" s="843"/>
      <c r="U62" s="843"/>
      <c r="W62" s="2980"/>
      <c r="X62" s="2980"/>
      <c r="Y62" s="2980"/>
      <c r="Z62" s="2980"/>
      <c r="AA62" s="2980"/>
      <c r="AB62" s="2980"/>
      <c r="AC62" s="2980"/>
      <c r="AD62" s="2980"/>
      <c r="AE62" s="2980"/>
      <c r="AF62" s="2980"/>
      <c r="AG62" s="2980"/>
      <c r="AH62" s="2980"/>
      <c r="AI62" s="2980"/>
      <c r="AJ62" s="2980"/>
      <c r="AK62" s="2980"/>
      <c r="AL62" s="2980"/>
      <c r="AM62" s="2980"/>
      <c r="AN62" s="2980"/>
      <c r="AO62" s="2980"/>
      <c r="AP62" s="2980"/>
      <c r="AQ62" s="2980"/>
      <c r="AR62" s="2980"/>
    </row>
    <row r="63" spans="1:44" x14ac:dyDescent="0.2">
      <c r="A63" s="2992">
        <v>12</v>
      </c>
      <c r="B63" s="5" t="s">
        <v>5627</v>
      </c>
      <c r="C63" s="5">
        <v>14.3</v>
      </c>
      <c r="D63" s="5">
        <v>320</v>
      </c>
      <c r="E63" s="5">
        <v>245</v>
      </c>
      <c r="F63" s="5">
        <v>754</v>
      </c>
      <c r="G63" s="5">
        <v>1500</v>
      </c>
      <c r="H63" s="1181"/>
      <c r="I63" s="1223"/>
      <c r="J63" s="29"/>
      <c r="K63" s="1223"/>
      <c r="L63" s="29"/>
      <c r="M63" s="29"/>
      <c r="N63" s="14"/>
      <c r="O63" s="1182"/>
      <c r="P63" s="396"/>
      <c r="Q63" s="396"/>
      <c r="R63" s="843"/>
      <c r="S63" s="843"/>
      <c r="T63" s="843"/>
      <c r="U63" s="843"/>
      <c r="W63" s="2980"/>
      <c r="X63" s="2980"/>
      <c r="Y63" s="2980"/>
      <c r="Z63" s="2980"/>
      <c r="AA63" s="2980"/>
      <c r="AB63" s="2980"/>
      <c r="AC63" s="2980"/>
      <c r="AD63" s="2980"/>
      <c r="AE63" s="2980"/>
      <c r="AF63" s="2980"/>
      <c r="AG63" s="2980"/>
      <c r="AH63" s="2980"/>
      <c r="AI63" s="2980"/>
      <c r="AJ63" s="2980"/>
      <c r="AK63" s="2980"/>
      <c r="AL63" s="2980"/>
      <c r="AM63" s="2980"/>
      <c r="AN63" s="2980"/>
      <c r="AO63" s="2980"/>
      <c r="AP63" s="2980"/>
      <c r="AQ63" s="2980"/>
      <c r="AR63" s="2980"/>
    </row>
    <row r="64" spans="1:44" x14ac:dyDescent="0.2">
      <c r="A64" s="2992">
        <v>13</v>
      </c>
      <c r="B64" s="5" t="s">
        <v>5674</v>
      </c>
      <c r="C64" s="5">
        <v>19</v>
      </c>
      <c r="D64" s="5">
        <v>500</v>
      </c>
      <c r="E64" s="5">
        <v>255</v>
      </c>
      <c r="F64" s="5">
        <v>754</v>
      </c>
      <c r="G64" s="5">
        <v>1500</v>
      </c>
      <c r="H64" s="1181"/>
      <c r="I64" s="1223"/>
      <c r="J64" s="29"/>
      <c r="K64" s="1223"/>
      <c r="L64" s="29"/>
      <c r="M64" s="29"/>
      <c r="N64" s="14"/>
      <c r="O64" s="1182"/>
      <c r="P64" s="396"/>
      <c r="Q64" s="396"/>
      <c r="R64" s="843"/>
      <c r="S64" s="843"/>
      <c r="T64" s="843"/>
      <c r="U64" s="843"/>
      <c r="W64" s="2980"/>
      <c r="X64" s="2980"/>
      <c r="Y64" s="2980"/>
      <c r="Z64" s="2980"/>
      <c r="AA64" s="2980"/>
      <c r="AB64" s="2980"/>
      <c r="AC64" s="2980"/>
      <c r="AD64" s="2980"/>
      <c r="AE64" s="2980"/>
      <c r="AF64" s="2980"/>
      <c r="AG64" s="2980"/>
      <c r="AH64" s="2980"/>
      <c r="AI64" s="2980"/>
      <c r="AJ64" s="2980"/>
      <c r="AK64" s="2980"/>
      <c r="AL64" s="2980"/>
      <c r="AM64" s="2980"/>
      <c r="AN64" s="2980"/>
      <c r="AO64" s="2980"/>
      <c r="AP64" s="2980"/>
      <c r="AQ64" s="2980"/>
      <c r="AR64" s="2980"/>
    </row>
    <row r="65" spans="1:44" x14ac:dyDescent="0.2">
      <c r="A65" s="2992">
        <v>14</v>
      </c>
      <c r="B65" s="5" t="s">
        <v>5675</v>
      </c>
      <c r="C65" s="5">
        <v>20</v>
      </c>
      <c r="D65" s="5">
        <v>500</v>
      </c>
      <c r="E65" s="5">
        <v>255</v>
      </c>
      <c r="F65" s="5">
        <v>754</v>
      </c>
      <c r="G65" s="5">
        <v>1500</v>
      </c>
      <c r="H65" s="1181"/>
      <c r="I65" s="1223"/>
      <c r="J65" s="29"/>
      <c r="K65" s="1223"/>
      <c r="L65" s="29"/>
      <c r="M65" s="29"/>
      <c r="N65" s="14"/>
      <c r="O65" s="1182"/>
      <c r="P65" s="396"/>
      <c r="Q65" s="396"/>
      <c r="R65" s="843"/>
      <c r="S65" s="843"/>
      <c r="T65" s="843"/>
      <c r="U65" s="843"/>
      <c r="W65" s="2980"/>
      <c r="X65" s="2980"/>
      <c r="Y65" s="2980"/>
      <c r="Z65" s="2980"/>
      <c r="AA65" s="2980"/>
      <c r="AB65" s="2980"/>
      <c r="AC65" s="2980"/>
      <c r="AD65" s="2980"/>
      <c r="AE65" s="2980"/>
      <c r="AF65" s="2980"/>
      <c r="AG65" s="2980"/>
      <c r="AH65" s="2980"/>
      <c r="AI65" s="2980"/>
      <c r="AJ65" s="2980"/>
      <c r="AK65" s="2980"/>
      <c r="AL65" s="2980"/>
      <c r="AM65" s="2980"/>
      <c r="AN65" s="2980"/>
      <c r="AO65" s="2980"/>
      <c r="AP65" s="2980"/>
      <c r="AQ65" s="2980"/>
      <c r="AR65" s="2980"/>
    </row>
    <row r="66" spans="1:44" x14ac:dyDescent="0.2">
      <c r="A66" s="2992">
        <v>15</v>
      </c>
      <c r="B66" s="5" t="s">
        <v>5676</v>
      </c>
      <c r="C66" s="5">
        <v>21</v>
      </c>
      <c r="D66" s="5">
        <v>720</v>
      </c>
      <c r="E66" s="5">
        <v>255</v>
      </c>
      <c r="F66" s="5">
        <v>834</v>
      </c>
      <c r="G66" s="5">
        <v>1500</v>
      </c>
      <c r="H66" s="1181"/>
      <c r="I66" s="1223"/>
      <c r="J66" s="29"/>
      <c r="K66" s="1223"/>
      <c r="L66" s="29"/>
      <c r="M66" s="29"/>
      <c r="N66" s="14"/>
      <c r="O66" s="1182"/>
      <c r="P66" s="396"/>
      <c r="Q66" s="396"/>
      <c r="R66" s="843"/>
      <c r="S66" s="843"/>
      <c r="T66" s="843"/>
      <c r="U66" s="843"/>
      <c r="W66" s="2980"/>
      <c r="X66" s="2980"/>
      <c r="Y66" s="2980"/>
      <c r="Z66" s="2980"/>
      <c r="AA66" s="2980"/>
      <c r="AB66" s="2980"/>
      <c r="AC66" s="2980"/>
      <c r="AD66" s="2980"/>
      <c r="AE66" s="2980"/>
      <c r="AF66" s="2980"/>
      <c r="AG66" s="2980"/>
      <c r="AH66" s="2980"/>
      <c r="AI66" s="2980"/>
      <c r="AJ66" s="2980"/>
      <c r="AK66" s="2980"/>
      <c r="AL66" s="2980"/>
      <c r="AM66" s="2980"/>
      <c r="AN66" s="2980"/>
      <c r="AO66" s="2980"/>
      <c r="AP66" s="2980"/>
      <c r="AQ66" s="2980"/>
      <c r="AR66" s="2980"/>
    </row>
    <row r="67" spans="1:44" ht="18" x14ac:dyDescent="0.25">
      <c r="A67" s="29"/>
      <c r="B67" s="803"/>
      <c r="C67" s="29"/>
      <c r="D67" s="29"/>
      <c r="E67" s="29"/>
      <c r="F67" s="29"/>
      <c r="G67" s="29"/>
      <c r="H67" s="1181"/>
      <c r="I67" s="1223"/>
      <c r="J67" s="29"/>
      <c r="K67" s="1223"/>
      <c r="L67" s="29"/>
      <c r="M67" s="29"/>
      <c r="N67" s="14"/>
      <c r="O67" s="1182"/>
      <c r="P67" s="396"/>
      <c r="Q67" s="396"/>
      <c r="R67" s="843"/>
      <c r="S67" s="843"/>
      <c r="T67" s="843"/>
      <c r="U67" s="843"/>
      <c r="W67" s="2980"/>
      <c r="X67" s="2980"/>
      <c r="Y67" s="2980"/>
      <c r="Z67" s="2980"/>
      <c r="AA67" s="2980"/>
      <c r="AB67" s="2980"/>
      <c r="AC67" s="2980"/>
      <c r="AD67" s="2980"/>
      <c r="AE67" s="2980"/>
      <c r="AF67" s="2980"/>
      <c r="AG67" s="2980"/>
      <c r="AH67" s="2980"/>
      <c r="AI67" s="2980"/>
      <c r="AJ67" s="2980"/>
      <c r="AK67" s="2980"/>
      <c r="AL67" s="2980"/>
      <c r="AM67" s="2980"/>
      <c r="AN67" s="2980"/>
      <c r="AO67" s="2980"/>
      <c r="AP67" s="2980"/>
      <c r="AQ67" s="2980"/>
      <c r="AR67" s="2980"/>
    </row>
    <row r="68" spans="1:44" ht="18" x14ac:dyDescent="0.25">
      <c r="A68" s="29"/>
      <c r="B68" s="803"/>
      <c r="C68" s="29"/>
      <c r="D68" s="29"/>
      <c r="E68" s="29"/>
      <c r="F68" s="29"/>
      <c r="G68" s="29"/>
      <c r="H68" s="1181"/>
      <c r="I68" s="1223"/>
      <c r="J68" s="29"/>
      <c r="K68" s="1223"/>
      <c r="L68" s="29"/>
      <c r="M68" s="29"/>
      <c r="N68" s="14"/>
      <c r="O68" s="1182"/>
      <c r="P68" s="396"/>
      <c r="Q68" s="396"/>
      <c r="R68" s="843"/>
      <c r="S68" s="843"/>
      <c r="T68" s="843"/>
      <c r="U68" s="843"/>
      <c r="W68" s="2980"/>
      <c r="X68" s="2980"/>
      <c r="Y68" s="2980"/>
      <c r="Z68" s="2980"/>
      <c r="AA68" s="2980"/>
      <c r="AB68" s="2980"/>
      <c r="AC68" s="2980"/>
      <c r="AD68" s="2980"/>
      <c r="AE68" s="2980"/>
      <c r="AF68" s="2980"/>
      <c r="AG68" s="2980"/>
      <c r="AH68" s="2980"/>
      <c r="AI68" s="2980"/>
      <c r="AJ68" s="2980"/>
      <c r="AK68" s="2980"/>
      <c r="AL68" s="2980"/>
      <c r="AM68" s="2980"/>
      <c r="AN68" s="2980"/>
      <c r="AO68" s="2980"/>
      <c r="AP68" s="2980"/>
      <c r="AQ68" s="2980"/>
      <c r="AR68" s="2980"/>
    </row>
    <row r="69" spans="1:44" ht="18" x14ac:dyDescent="0.25">
      <c r="A69" s="29"/>
      <c r="B69" s="803"/>
      <c r="C69" s="29"/>
      <c r="D69" s="29"/>
      <c r="E69" s="29"/>
      <c r="F69" s="29"/>
      <c r="G69" s="29"/>
      <c r="H69" s="1181"/>
      <c r="I69" s="1223"/>
      <c r="J69" s="29"/>
      <c r="K69" s="1223"/>
      <c r="L69" s="29"/>
      <c r="M69" s="29"/>
      <c r="N69" s="14"/>
      <c r="O69" s="1182"/>
      <c r="P69" s="396"/>
      <c r="Q69" s="396"/>
      <c r="R69" s="843"/>
      <c r="S69" s="843"/>
      <c r="T69" s="843"/>
      <c r="U69" s="843"/>
      <c r="W69" s="2980"/>
      <c r="X69" s="2980"/>
      <c r="Y69" s="2980"/>
      <c r="Z69" s="2980"/>
      <c r="AA69" s="2980"/>
      <c r="AB69" s="2980"/>
      <c r="AC69" s="2980"/>
      <c r="AD69" s="2980"/>
      <c r="AE69" s="2980"/>
      <c r="AF69" s="2980"/>
      <c r="AG69" s="2980"/>
      <c r="AH69" s="2980"/>
      <c r="AI69" s="2980"/>
      <c r="AJ69" s="2980"/>
      <c r="AK69" s="2980"/>
      <c r="AL69" s="2980"/>
      <c r="AM69" s="2980"/>
      <c r="AN69" s="2980"/>
      <c r="AO69" s="2980"/>
      <c r="AP69" s="2980"/>
      <c r="AQ69" s="2980"/>
      <c r="AR69" s="2980"/>
    </row>
    <row r="70" spans="1:44" ht="18" x14ac:dyDescent="0.25">
      <c r="A70" s="29"/>
      <c r="B70" s="803"/>
      <c r="C70" s="29"/>
      <c r="D70" s="29"/>
      <c r="E70" s="29"/>
      <c r="F70" s="29"/>
      <c r="G70" s="29"/>
      <c r="H70" s="1181"/>
      <c r="I70" s="1223"/>
      <c r="J70" s="29"/>
      <c r="K70" s="1223"/>
      <c r="L70" s="29"/>
      <c r="M70" s="29"/>
      <c r="N70" s="14"/>
      <c r="O70" s="1182"/>
      <c r="P70" s="396"/>
      <c r="Q70" s="396"/>
      <c r="R70" s="843"/>
      <c r="S70" s="843"/>
      <c r="T70" s="843"/>
      <c r="U70" s="843"/>
      <c r="W70" s="2980"/>
      <c r="X70" s="2980"/>
      <c r="Y70" s="2980"/>
      <c r="Z70" s="2980"/>
      <c r="AA70" s="2980"/>
      <c r="AB70" s="2980"/>
      <c r="AC70" s="2980"/>
      <c r="AD70" s="2980"/>
      <c r="AE70" s="2980"/>
      <c r="AF70" s="2980"/>
      <c r="AG70" s="2980"/>
      <c r="AH70" s="2980"/>
      <c r="AI70" s="2980"/>
      <c r="AJ70" s="2980"/>
      <c r="AK70" s="2980"/>
      <c r="AL70" s="2980"/>
      <c r="AM70" s="2980"/>
      <c r="AN70" s="2980"/>
      <c r="AO70" s="2980"/>
      <c r="AP70" s="2980"/>
      <c r="AQ70" s="2980"/>
      <c r="AR70" s="2980"/>
    </row>
    <row r="71" spans="1:44" ht="18" x14ac:dyDescent="0.25">
      <c r="A71" s="29"/>
      <c r="B71" s="803"/>
      <c r="C71" s="29"/>
      <c r="D71" s="29"/>
      <c r="E71" s="29"/>
      <c r="F71" s="29"/>
      <c r="G71" s="29"/>
      <c r="H71" s="1181"/>
      <c r="I71" s="1223"/>
      <c r="J71" s="29"/>
      <c r="K71" s="1223"/>
      <c r="L71" s="29"/>
      <c r="M71" s="29"/>
      <c r="N71" s="14"/>
      <c r="O71" s="1182"/>
      <c r="P71" s="396"/>
      <c r="Q71" s="396"/>
      <c r="R71" s="843"/>
      <c r="S71" s="843"/>
      <c r="T71" s="843"/>
      <c r="U71" s="843"/>
      <c r="W71" s="2980"/>
      <c r="X71" s="2980"/>
      <c r="Y71" s="2980"/>
      <c r="Z71" s="2980"/>
      <c r="AA71" s="2980"/>
      <c r="AB71" s="2980"/>
      <c r="AC71" s="2980"/>
      <c r="AD71" s="2980"/>
      <c r="AE71" s="2980"/>
      <c r="AF71" s="2980"/>
      <c r="AG71" s="2980"/>
      <c r="AH71" s="2980"/>
      <c r="AI71" s="2980"/>
      <c r="AJ71" s="2980"/>
      <c r="AK71" s="2980"/>
      <c r="AL71" s="2980"/>
      <c r="AM71" s="2980"/>
      <c r="AN71" s="2980"/>
      <c r="AO71" s="2980"/>
      <c r="AP71" s="2980"/>
      <c r="AQ71" s="2980"/>
      <c r="AR71" s="2980"/>
    </row>
    <row r="72" spans="1:44" ht="18" x14ac:dyDescent="0.25">
      <c r="A72" s="29"/>
      <c r="B72" s="803"/>
      <c r="C72" s="29"/>
      <c r="D72" s="29"/>
      <c r="E72" s="29"/>
      <c r="F72" s="29"/>
      <c r="G72" s="29"/>
      <c r="H72" s="1181"/>
      <c r="I72" s="1223"/>
      <c r="J72" s="29"/>
      <c r="K72" s="1223"/>
      <c r="L72" s="29"/>
      <c r="M72" s="29"/>
      <c r="N72" s="14"/>
      <c r="O72" s="1182"/>
      <c r="P72" s="396"/>
      <c r="Q72" s="396"/>
      <c r="R72" s="843"/>
      <c r="S72" s="843"/>
      <c r="T72" s="843"/>
      <c r="U72" s="843"/>
      <c r="W72" s="2980"/>
      <c r="X72" s="2980"/>
      <c r="Y72" s="2980"/>
      <c r="Z72" s="2980"/>
      <c r="AA72" s="2980"/>
      <c r="AB72" s="2980"/>
      <c r="AC72" s="2980"/>
      <c r="AD72" s="2980"/>
      <c r="AE72" s="2980"/>
      <c r="AF72" s="2980"/>
      <c r="AG72" s="2980"/>
      <c r="AH72" s="2980"/>
      <c r="AI72" s="2980"/>
      <c r="AJ72" s="2980"/>
      <c r="AK72" s="2980"/>
      <c r="AL72" s="2980"/>
      <c r="AM72" s="2980"/>
      <c r="AN72" s="2980"/>
      <c r="AO72" s="2980"/>
      <c r="AP72" s="2980"/>
      <c r="AQ72" s="2980"/>
      <c r="AR72" s="2980"/>
    </row>
    <row r="73" spans="1:44" x14ac:dyDescent="0.2">
      <c r="A73" s="11"/>
      <c r="B73" s="1264">
        <v>7</v>
      </c>
      <c r="C73" s="1264">
        <v>7</v>
      </c>
      <c r="D73" s="1264">
        <v>4</v>
      </c>
      <c r="E73" s="1264">
        <v>2</v>
      </c>
      <c r="F73" s="1264">
        <v>2</v>
      </c>
      <c r="G73" s="1264">
        <v>1</v>
      </c>
      <c r="H73" s="1264">
        <v>3</v>
      </c>
      <c r="I73" s="1264">
        <v>3</v>
      </c>
      <c r="J73" s="1264">
        <v>3</v>
      </c>
      <c r="K73" s="1264">
        <v>2</v>
      </c>
      <c r="L73" s="1264">
        <v>6</v>
      </c>
      <c r="M73" s="1264">
        <v>3</v>
      </c>
      <c r="N73" s="1264">
        <v>4</v>
      </c>
      <c r="O73" s="1264">
        <v>6</v>
      </c>
      <c r="P73" s="1264">
        <v>7</v>
      </c>
      <c r="Q73" s="1264">
        <v>7</v>
      </c>
      <c r="R73" s="1264">
        <v>7</v>
      </c>
      <c r="S73" s="1264">
        <v>7</v>
      </c>
      <c r="T73" s="1140">
        <v>8</v>
      </c>
      <c r="Y73" s="42"/>
      <c r="Z73" s="42"/>
      <c r="AA73" s="42"/>
      <c r="AB73" s="42"/>
      <c r="AC73" s="42"/>
      <c r="AD73" s="42"/>
      <c r="AE73" s="42"/>
      <c r="AF73" s="42"/>
      <c r="AG73" s="42"/>
      <c r="AH73" s="42"/>
      <c r="AI73" s="42"/>
      <c r="AJ73" s="42"/>
      <c r="AK73" s="42"/>
      <c r="AL73" s="42"/>
      <c r="AM73" s="42"/>
      <c r="AN73" s="42"/>
      <c r="AO73" s="42"/>
      <c r="AP73" s="42"/>
      <c r="AQ73" s="42"/>
      <c r="AR73" s="42"/>
    </row>
    <row r="74" spans="1:44" x14ac:dyDescent="0.2">
      <c r="A74" s="375" t="s">
        <v>1863</v>
      </c>
      <c r="B74" s="441">
        <v>1</v>
      </c>
      <c r="C74" s="441">
        <v>2</v>
      </c>
      <c r="D74" s="441">
        <v>3</v>
      </c>
      <c r="E74" s="441">
        <v>4</v>
      </c>
      <c r="F74" s="441">
        <v>5</v>
      </c>
      <c r="G74" s="441">
        <v>6</v>
      </c>
      <c r="H74" s="441">
        <v>7</v>
      </c>
      <c r="I74" s="441">
        <v>8</v>
      </c>
      <c r="J74" s="441">
        <v>9</v>
      </c>
      <c r="K74" s="441">
        <v>10</v>
      </c>
      <c r="L74" s="441">
        <v>11</v>
      </c>
      <c r="M74" s="441">
        <v>12</v>
      </c>
      <c r="N74" s="441">
        <v>13</v>
      </c>
      <c r="O74" s="441">
        <v>14</v>
      </c>
      <c r="P74" s="441">
        <v>15</v>
      </c>
      <c r="Q74" s="441">
        <v>16</v>
      </c>
      <c r="R74" s="895">
        <v>17</v>
      </c>
      <c r="S74" s="895">
        <v>18</v>
      </c>
      <c r="T74" s="895">
        <v>19</v>
      </c>
      <c r="U74" s="895"/>
      <c r="Y74" s="42"/>
      <c r="Z74" s="42"/>
      <c r="AA74" s="42"/>
      <c r="AB74" s="42"/>
      <c r="AC74" s="42"/>
      <c r="AD74" s="42"/>
      <c r="AE74" s="42"/>
      <c r="AF74" s="42"/>
      <c r="AG74" s="42"/>
      <c r="AH74" s="42"/>
      <c r="AI74" s="42"/>
      <c r="AJ74" s="42"/>
      <c r="AK74" s="42"/>
      <c r="AL74" s="42"/>
      <c r="AM74" s="42"/>
      <c r="AN74" s="42"/>
      <c r="AO74" s="42"/>
      <c r="AP74" s="42"/>
      <c r="AQ74" s="42"/>
      <c r="AR74" s="42"/>
    </row>
    <row r="75" spans="1:44" ht="53.25" thickBot="1" x14ac:dyDescent="0.25">
      <c r="A75" s="15"/>
      <c r="B75" s="176" t="s">
        <v>144</v>
      </c>
      <c r="C75" s="177" t="s">
        <v>145</v>
      </c>
      <c r="D75" s="177" t="s">
        <v>146</v>
      </c>
      <c r="E75" s="177" t="s">
        <v>147</v>
      </c>
      <c r="F75" s="177" t="s">
        <v>148</v>
      </c>
      <c r="G75" s="177" t="s">
        <v>149</v>
      </c>
      <c r="H75" s="177" t="s">
        <v>150</v>
      </c>
      <c r="I75" s="178" t="s">
        <v>150</v>
      </c>
      <c r="J75" s="177" t="s">
        <v>151</v>
      </c>
      <c r="K75" s="179" t="s">
        <v>152</v>
      </c>
      <c r="L75" s="176" t="s">
        <v>153</v>
      </c>
      <c r="M75" s="177" t="s">
        <v>154</v>
      </c>
      <c r="N75" s="177" t="s">
        <v>155</v>
      </c>
      <c r="O75" s="177" t="s">
        <v>156</v>
      </c>
      <c r="P75" s="177" t="s">
        <v>157</v>
      </c>
      <c r="Q75" s="177" t="s">
        <v>158</v>
      </c>
      <c r="R75" s="50" t="s">
        <v>159</v>
      </c>
      <c r="S75" s="50" t="s">
        <v>3622</v>
      </c>
      <c r="T75" s="51" t="s">
        <v>3623</v>
      </c>
      <c r="U75" s="1058"/>
      <c r="Y75" s="42"/>
      <c r="Z75" s="42"/>
      <c r="AA75" s="42"/>
      <c r="AB75" s="42"/>
      <c r="AC75" s="42"/>
      <c r="AD75" s="42"/>
      <c r="AE75" s="42"/>
      <c r="AF75" s="42"/>
      <c r="AG75" s="42"/>
      <c r="AH75" s="42"/>
      <c r="AI75" s="42"/>
      <c r="AJ75" s="42"/>
      <c r="AK75" s="42"/>
      <c r="AL75" s="42"/>
      <c r="AM75" s="42"/>
      <c r="AN75" s="42"/>
      <c r="AO75" s="42"/>
      <c r="AP75" s="42"/>
      <c r="AQ75" s="42"/>
      <c r="AR75" s="42"/>
    </row>
    <row r="76" spans="1:44" ht="13.5" thickBot="1" x14ac:dyDescent="0.25">
      <c r="A76" s="15"/>
      <c r="B76" s="180"/>
      <c r="C76" s="181"/>
      <c r="D76" s="181"/>
      <c r="E76" s="181"/>
      <c r="F76" s="181"/>
      <c r="G76" s="181"/>
      <c r="H76" s="181"/>
      <c r="I76" s="181"/>
      <c r="J76" s="181"/>
      <c r="K76" s="182"/>
      <c r="L76" s="180"/>
      <c r="M76" s="181"/>
      <c r="N76" s="181"/>
      <c r="O76" s="181"/>
      <c r="P76" s="181"/>
      <c r="Q76" s="181"/>
      <c r="R76" s="52"/>
      <c r="S76" s="52"/>
      <c r="T76" s="53"/>
      <c r="U76" s="53"/>
      <c r="Y76" s="42"/>
      <c r="Z76" s="42"/>
      <c r="AA76" s="42"/>
      <c r="AB76" s="42"/>
      <c r="AC76" s="42"/>
      <c r="AD76" s="42"/>
      <c r="AE76" s="42"/>
      <c r="AF76" s="42"/>
      <c r="AG76" s="42"/>
      <c r="AH76" s="42"/>
      <c r="AI76" s="42"/>
      <c r="AJ76" s="42"/>
      <c r="AK76" s="42"/>
      <c r="AL76" s="42"/>
      <c r="AM76" s="42"/>
      <c r="AN76" s="42"/>
      <c r="AO76" s="42"/>
      <c r="AP76" s="42"/>
      <c r="AQ76" s="42"/>
      <c r="AR76" s="42"/>
    </row>
    <row r="77" spans="1:44" x14ac:dyDescent="0.2">
      <c r="A77" s="183" t="s">
        <v>3984</v>
      </c>
      <c r="B77" s="184">
        <v>170</v>
      </c>
      <c r="C77" s="75">
        <v>250</v>
      </c>
      <c r="D77" s="75">
        <v>400</v>
      </c>
      <c r="E77" s="75">
        <v>400</v>
      </c>
      <c r="F77" s="75">
        <v>360</v>
      </c>
      <c r="G77" s="75">
        <v>500</v>
      </c>
      <c r="H77" s="75">
        <v>400</v>
      </c>
      <c r="I77" s="75">
        <v>600</v>
      </c>
      <c r="J77" s="75">
        <v>600</v>
      </c>
      <c r="K77" s="75">
        <v>400</v>
      </c>
      <c r="L77" s="184">
        <v>265</v>
      </c>
      <c r="M77" s="75">
        <v>600</v>
      </c>
      <c r="N77" s="75">
        <v>800</v>
      </c>
      <c r="O77" s="75">
        <v>800</v>
      </c>
      <c r="P77" s="75">
        <v>100</v>
      </c>
      <c r="Q77" s="75">
        <v>250</v>
      </c>
      <c r="R77" s="7">
        <v>225</v>
      </c>
      <c r="S77" s="7">
        <v>260</v>
      </c>
      <c r="T77" s="7">
        <v>450</v>
      </c>
      <c r="U77" s="7"/>
      <c r="Y77" s="42"/>
      <c r="Z77" s="42"/>
      <c r="AA77" s="42"/>
      <c r="AB77" s="42"/>
      <c r="AC77" s="42"/>
      <c r="AD77" s="42"/>
      <c r="AE77" s="42"/>
      <c r="AF77" s="42"/>
      <c r="AG77" s="42"/>
      <c r="AH77" s="42"/>
      <c r="AI77" s="42"/>
      <c r="AJ77" s="42"/>
      <c r="AK77" s="42"/>
      <c r="AL77" s="42"/>
      <c r="AM77" s="42"/>
      <c r="AN77" s="42"/>
      <c r="AO77" s="42"/>
      <c r="AP77" s="42"/>
      <c r="AQ77" s="42"/>
      <c r="AR77" s="42"/>
    </row>
    <row r="78" spans="1:44" x14ac:dyDescent="0.2">
      <c r="A78" s="185" t="s">
        <v>3985</v>
      </c>
      <c r="B78" s="33">
        <v>0.94</v>
      </c>
      <c r="C78" s="17">
        <v>0.85</v>
      </c>
      <c r="D78" s="17">
        <v>0.94</v>
      </c>
      <c r="E78" s="17">
        <v>0.87</v>
      </c>
      <c r="F78" s="17">
        <v>0.85</v>
      </c>
      <c r="G78" s="17">
        <v>0.94</v>
      </c>
      <c r="H78" s="17">
        <v>0.85</v>
      </c>
      <c r="I78" s="17">
        <v>0.85</v>
      </c>
      <c r="J78" s="17">
        <v>0.94</v>
      </c>
      <c r="K78" s="17">
        <v>0.85</v>
      </c>
      <c r="L78" s="33">
        <v>0.85</v>
      </c>
      <c r="M78" s="17">
        <v>0.92</v>
      </c>
      <c r="N78" s="17">
        <v>0.94</v>
      </c>
      <c r="O78" s="17">
        <v>0.94</v>
      </c>
      <c r="P78" s="17">
        <v>0.85</v>
      </c>
      <c r="Q78" s="17">
        <v>0.85</v>
      </c>
      <c r="R78" s="5">
        <v>0.86</v>
      </c>
      <c r="S78" s="5">
        <v>0.85</v>
      </c>
      <c r="T78" s="5">
        <v>0.85</v>
      </c>
      <c r="U78" s="5"/>
      <c r="Y78" s="42"/>
      <c r="Z78" s="42"/>
      <c r="AA78" s="42"/>
      <c r="AB78" s="42"/>
      <c r="AC78" s="42"/>
      <c r="AD78" s="42"/>
      <c r="AE78" s="42"/>
      <c r="AF78" s="42"/>
      <c r="AG78" s="42"/>
      <c r="AH78" s="42"/>
      <c r="AI78" s="42"/>
      <c r="AJ78" s="42"/>
      <c r="AK78" s="42"/>
      <c r="AL78" s="42"/>
      <c r="AM78" s="42"/>
      <c r="AN78" s="42"/>
      <c r="AO78" s="42"/>
      <c r="AP78" s="42"/>
      <c r="AQ78" s="42"/>
      <c r="AR78" s="42"/>
    </row>
    <row r="79" spans="1:44" ht="13.5" thickBot="1" x14ac:dyDescent="0.25">
      <c r="A79" s="84" t="s">
        <v>3986</v>
      </c>
      <c r="B79" s="186">
        <v>0.8</v>
      </c>
      <c r="C79" s="80">
        <v>1.1200000000000001</v>
      </c>
      <c r="D79" s="80">
        <v>1.25</v>
      </c>
      <c r="E79" s="80">
        <v>1.25</v>
      </c>
      <c r="F79" s="80">
        <v>1.1200000000000001</v>
      </c>
      <c r="G79" s="80">
        <v>1.25</v>
      </c>
      <c r="H79" s="80">
        <v>1.1200000000000001</v>
      </c>
      <c r="I79" s="17">
        <v>1.25</v>
      </c>
      <c r="J79" s="80">
        <v>1.25</v>
      </c>
      <c r="K79" s="80">
        <v>1</v>
      </c>
      <c r="L79" s="186">
        <v>0.9</v>
      </c>
      <c r="M79" s="80">
        <v>1.1000000000000001</v>
      </c>
      <c r="N79" s="80">
        <v>1.25</v>
      </c>
      <c r="O79" s="80">
        <v>1.4</v>
      </c>
      <c r="P79" s="80">
        <v>0.64</v>
      </c>
      <c r="Q79" s="80">
        <v>1.1200000000000001</v>
      </c>
      <c r="R79" s="40">
        <v>1.1000000000000001</v>
      </c>
      <c r="S79" s="40">
        <v>1</v>
      </c>
      <c r="T79" s="40">
        <v>1</v>
      </c>
      <c r="U79" s="40"/>
      <c r="Y79" s="42"/>
      <c r="Z79" s="42"/>
      <c r="AA79" s="42"/>
      <c r="AB79" s="42"/>
      <c r="AC79" s="42"/>
      <c r="AD79" s="42"/>
      <c r="AE79" s="42"/>
      <c r="AF79" s="42"/>
      <c r="AG79" s="42"/>
      <c r="AH79" s="42"/>
      <c r="AI79" s="42"/>
      <c r="AJ79" s="42"/>
      <c r="AK79" s="42"/>
      <c r="AL79" s="42"/>
      <c r="AM79" s="42"/>
      <c r="AN79" s="42"/>
      <c r="AO79" s="42"/>
      <c r="AP79" s="42"/>
      <c r="AQ79" s="42"/>
      <c r="AR79" s="42"/>
    </row>
    <row r="80" spans="1:44" x14ac:dyDescent="0.2">
      <c r="A80" s="11"/>
      <c r="B80" s="11"/>
      <c r="C80" s="11"/>
      <c r="D80" s="11"/>
      <c r="E80" s="11"/>
      <c r="F80" s="11"/>
      <c r="G80" s="11"/>
      <c r="H80" s="11"/>
      <c r="I80" s="11"/>
      <c r="J80" s="11"/>
      <c r="K80" s="11"/>
      <c r="L80" s="11"/>
      <c r="M80" s="11"/>
      <c r="N80" s="11"/>
      <c r="O80" s="11"/>
      <c r="P80" s="11"/>
      <c r="Q80" s="11"/>
      <c r="Y80" s="42"/>
      <c r="Z80" s="42"/>
      <c r="AA80" s="42"/>
      <c r="AB80" s="42"/>
      <c r="AC80" s="42"/>
      <c r="AD80" s="42"/>
      <c r="AE80" s="42"/>
      <c r="AF80" s="42"/>
      <c r="AG80" s="42"/>
      <c r="AH80" s="42"/>
      <c r="AI80" s="42"/>
      <c r="AJ80" s="42"/>
      <c r="AK80" s="42"/>
      <c r="AL80" s="42"/>
      <c r="AM80" s="42"/>
      <c r="AN80" s="42"/>
      <c r="AO80" s="42"/>
      <c r="AP80" s="42"/>
      <c r="AQ80" s="42"/>
      <c r="AR80" s="42"/>
    </row>
    <row r="81" spans="1:44" ht="17.25" customHeight="1" x14ac:dyDescent="0.25">
      <c r="A81" s="6"/>
      <c r="B81" s="6"/>
      <c r="C81" s="896" t="s">
        <v>1271</v>
      </c>
      <c r="D81" s="6"/>
      <c r="E81" s="6"/>
      <c r="F81" s="6"/>
      <c r="G81" s="8"/>
      <c r="H81" s="1183" t="str">
        <f>IF(обор!G378=1,"ОБРАТНО к выбору типа мехкрепи","")</f>
        <v/>
      </c>
      <c r="I81" s="8"/>
      <c r="J81" s="8"/>
      <c r="K81" s="8"/>
      <c r="L81" s="8"/>
      <c r="M81" s="8"/>
      <c r="N81" s="8"/>
      <c r="O81" s="8"/>
      <c r="P81" s="8"/>
      <c r="Q81" s="14"/>
      <c r="R81" s="14"/>
      <c r="S81" s="14"/>
      <c r="T81" s="14"/>
      <c r="U81" s="14"/>
      <c r="V81" s="14"/>
      <c r="W81" s="315"/>
      <c r="X81" s="14"/>
      <c r="Y81" s="42"/>
      <c r="Z81" s="42"/>
      <c r="AA81" s="42"/>
      <c r="AB81" s="42"/>
      <c r="AC81" s="42"/>
      <c r="AD81" s="42"/>
      <c r="AE81" s="42"/>
      <c r="AF81" s="42"/>
      <c r="AG81" s="42"/>
      <c r="AH81" s="42"/>
      <c r="AI81" s="42"/>
      <c r="AJ81" s="42"/>
      <c r="AK81" s="42"/>
      <c r="AL81" s="42"/>
      <c r="AM81" s="42"/>
      <c r="AN81" s="42"/>
      <c r="AO81" s="42"/>
      <c r="AP81" s="42"/>
      <c r="AQ81" s="42"/>
      <c r="AR81" s="42"/>
    </row>
    <row r="82" spans="1:44" ht="17.25" customHeight="1" x14ac:dyDescent="0.25">
      <c r="A82" s="8"/>
      <c r="B82" s="483"/>
      <c r="C82" s="484" t="s">
        <v>1272</v>
      </c>
      <c r="D82" s="29"/>
      <c r="E82" s="29"/>
      <c r="F82" s="29"/>
      <c r="G82" s="29"/>
      <c r="H82" s="29"/>
      <c r="I82" s="29"/>
      <c r="J82" s="461"/>
      <c r="K82" s="461"/>
      <c r="L82" s="461"/>
      <c r="M82" s="8"/>
      <c r="N82" s="8"/>
      <c r="O82" s="8"/>
      <c r="P82" s="8"/>
      <c r="Q82" s="14"/>
      <c r="R82" s="14"/>
      <c r="S82" s="14"/>
      <c r="T82" s="14"/>
      <c r="U82" s="14"/>
      <c r="V82" s="14"/>
      <c r="W82" s="315"/>
      <c r="X82" s="14"/>
      <c r="Y82" s="42"/>
      <c r="Z82" s="42"/>
      <c r="AA82" s="42"/>
      <c r="AB82" s="42"/>
      <c r="AC82" s="42"/>
      <c r="AD82" s="42"/>
      <c r="AE82" s="42"/>
      <c r="AF82" s="42"/>
      <c r="AG82" s="42"/>
      <c r="AH82" s="42"/>
      <c r="AI82" s="42"/>
      <c r="AJ82" s="42"/>
      <c r="AK82" s="42"/>
      <c r="AL82" s="42"/>
      <c r="AM82" s="42"/>
      <c r="AN82" s="42"/>
      <c r="AO82" s="42"/>
      <c r="AP82" s="42"/>
      <c r="AQ82" s="42"/>
      <c r="AR82" s="42"/>
    </row>
    <row r="83" spans="1:44" ht="17.25" customHeight="1" x14ac:dyDescent="0.25">
      <c r="A83" s="8"/>
      <c r="B83" s="483"/>
      <c r="C83" s="484"/>
      <c r="D83" s="29"/>
      <c r="E83" s="485">
        <v>1</v>
      </c>
      <c r="F83" s="485">
        <v>2</v>
      </c>
      <c r="G83" s="485">
        <v>3</v>
      </c>
      <c r="H83" s="485">
        <v>4</v>
      </c>
      <c r="I83" s="485">
        <v>5</v>
      </c>
      <c r="J83" s="485">
        <v>6</v>
      </c>
      <c r="K83" s="485">
        <v>7</v>
      </c>
      <c r="L83" s="485">
        <v>8</v>
      </c>
      <c r="M83" s="8"/>
      <c r="N83" s="8"/>
      <c r="O83" s="8"/>
      <c r="P83" s="8"/>
      <c r="Q83" s="14"/>
      <c r="R83" s="14"/>
      <c r="S83" s="14"/>
      <c r="T83" s="14"/>
      <c r="U83" s="14"/>
      <c r="V83" s="14"/>
      <c r="W83" s="315"/>
      <c r="X83" s="14"/>
      <c r="Y83" s="42"/>
      <c r="Z83" s="42"/>
      <c r="AA83" s="42"/>
      <c r="AB83" s="42"/>
      <c r="AC83" s="42"/>
      <c r="AD83" s="42"/>
      <c r="AE83" s="42"/>
      <c r="AF83" s="42"/>
      <c r="AG83" s="42"/>
      <c r="AH83" s="42"/>
      <c r="AI83" s="42"/>
      <c r="AJ83" s="42"/>
      <c r="AK83" s="42"/>
      <c r="AL83" s="42"/>
      <c r="AM83" s="42"/>
      <c r="AN83" s="42"/>
      <c r="AO83" s="42"/>
      <c r="AP83" s="42"/>
      <c r="AQ83" s="42"/>
      <c r="AR83" s="42"/>
    </row>
    <row r="84" spans="1:44" ht="36.75" customHeight="1" x14ac:dyDescent="0.25">
      <c r="A84" s="8"/>
      <c r="B84" s="4613" t="s">
        <v>2489</v>
      </c>
      <c r="C84" s="4614"/>
      <c r="D84" s="4615"/>
      <c r="E84" s="487" t="s">
        <v>2593</v>
      </c>
      <c r="F84" s="487" t="s">
        <v>47</v>
      </c>
      <c r="G84" s="487" t="s">
        <v>2493</v>
      </c>
      <c r="H84" s="487" t="s">
        <v>2494</v>
      </c>
      <c r="I84" s="487" t="s">
        <v>2495</v>
      </c>
      <c r="J84" s="487" t="s">
        <v>2496</v>
      </c>
      <c r="K84" s="487" t="s">
        <v>2497</v>
      </c>
      <c r="L84" s="487" t="s">
        <v>2498</v>
      </c>
      <c r="M84" s="8"/>
      <c r="N84" s="8"/>
      <c r="O84" s="8"/>
      <c r="P84" s="8"/>
      <c r="Q84" s="14"/>
      <c r="R84" s="14"/>
      <c r="S84" s="14"/>
      <c r="T84" s="14"/>
      <c r="U84" s="14"/>
      <c r="V84" s="14"/>
      <c r="W84" s="315"/>
      <c r="X84" s="14"/>
      <c r="Y84" s="42"/>
      <c r="Z84" s="42"/>
      <c r="AA84" s="42"/>
      <c r="AB84" s="42"/>
      <c r="AC84" s="42"/>
      <c r="AD84" s="42"/>
      <c r="AE84" s="42"/>
      <c r="AF84" s="42"/>
      <c r="AG84" s="42"/>
      <c r="AH84" s="42"/>
      <c r="AI84" s="42"/>
      <c r="AJ84" s="42"/>
      <c r="AK84" s="42"/>
      <c r="AL84" s="42"/>
      <c r="AM84" s="42"/>
      <c r="AN84" s="42"/>
      <c r="AO84" s="42"/>
      <c r="AP84" s="42"/>
      <c r="AQ84" s="42"/>
      <c r="AR84" s="42"/>
    </row>
    <row r="85" spans="1:44" ht="17.25" customHeight="1" x14ac:dyDescent="0.25">
      <c r="A85" s="8"/>
      <c r="B85" s="4521" t="s">
        <v>5046</v>
      </c>
      <c r="C85" s="4345"/>
      <c r="D85" s="4345"/>
      <c r="E85" s="487">
        <v>0.55000000000000004</v>
      </c>
      <c r="F85" s="487">
        <v>0.55000000000000004</v>
      </c>
      <c r="G85" s="487">
        <v>0.55000000000000004</v>
      </c>
      <c r="H85" s="487">
        <v>0.55000000000000004</v>
      </c>
      <c r="I85" s="487">
        <v>0.6</v>
      </c>
      <c r="J85" s="487">
        <v>0.65</v>
      </c>
      <c r="K85" s="487">
        <v>0.67</v>
      </c>
      <c r="L85" s="487">
        <v>0.8</v>
      </c>
      <c r="M85" s="8"/>
      <c r="N85" s="8"/>
      <c r="O85" s="8"/>
      <c r="P85" s="8"/>
      <c r="Q85" s="14"/>
      <c r="R85" s="14"/>
      <c r="S85" s="14"/>
      <c r="T85" s="14"/>
      <c r="U85" s="14"/>
      <c r="V85" s="14"/>
      <c r="W85" s="315"/>
      <c r="X85" s="14"/>
      <c r="Y85" s="42"/>
      <c r="Z85" s="42"/>
      <c r="AA85" s="42"/>
      <c r="AB85" s="42"/>
      <c r="AC85" s="42"/>
      <c r="AD85" s="42"/>
      <c r="AE85" s="42"/>
      <c r="AF85" s="42"/>
      <c r="AG85" s="42"/>
      <c r="AH85" s="42"/>
      <c r="AI85" s="42"/>
      <c r="AJ85" s="42"/>
      <c r="AK85" s="42"/>
      <c r="AL85" s="42"/>
      <c r="AM85" s="42"/>
      <c r="AN85" s="42"/>
      <c r="AO85" s="42"/>
      <c r="AP85" s="42"/>
      <c r="AQ85" s="42"/>
      <c r="AR85" s="42"/>
    </row>
    <row r="86" spans="1:44" ht="17.25" customHeight="1" x14ac:dyDescent="0.25">
      <c r="A86" s="8"/>
      <c r="B86" s="4521" t="s">
        <v>2488</v>
      </c>
      <c r="C86" s="4345"/>
      <c r="D86" s="4345"/>
      <c r="E86" s="487">
        <v>1</v>
      </c>
      <c r="F86" s="487">
        <v>1.2</v>
      </c>
      <c r="G86" s="487">
        <v>1.4</v>
      </c>
      <c r="H86" s="487">
        <v>1.4</v>
      </c>
      <c r="I86" s="487">
        <v>1</v>
      </c>
      <c r="J86" s="487">
        <v>1.4</v>
      </c>
      <c r="K86" s="487">
        <v>1.4</v>
      </c>
      <c r="L86" s="490">
        <v>1.4</v>
      </c>
      <c r="M86" s="8"/>
      <c r="N86" s="8"/>
      <c r="O86" s="8"/>
      <c r="P86" s="8"/>
      <c r="Q86" s="14"/>
      <c r="R86" s="14"/>
      <c r="S86" s="14"/>
      <c r="T86" s="14"/>
      <c r="U86" s="14"/>
      <c r="V86" s="14"/>
      <c r="W86" s="315"/>
      <c r="X86" s="14"/>
      <c r="Y86" s="42"/>
      <c r="Z86" s="42"/>
      <c r="AA86" s="42"/>
      <c r="AB86" s="42"/>
      <c r="AC86" s="42"/>
      <c r="AD86" s="42"/>
      <c r="AE86" s="42"/>
      <c r="AF86" s="42"/>
      <c r="AG86" s="42"/>
      <c r="AH86" s="42"/>
      <c r="AI86" s="42"/>
      <c r="AJ86" s="42"/>
      <c r="AK86" s="42"/>
      <c r="AL86" s="42"/>
      <c r="AM86" s="42"/>
      <c r="AN86" s="42"/>
      <c r="AO86" s="42"/>
      <c r="AP86" s="42"/>
      <c r="AQ86" s="42"/>
      <c r="AR86" s="42"/>
    </row>
    <row r="87" spans="1:44" ht="17.25" customHeight="1" x14ac:dyDescent="0.2">
      <c r="A87" s="242"/>
      <c r="B87" s="242"/>
      <c r="C87" s="242"/>
      <c r="D87" s="242"/>
      <c r="E87" s="242"/>
      <c r="F87" s="242"/>
      <c r="G87" s="242"/>
      <c r="H87" s="242"/>
      <c r="I87" s="242"/>
      <c r="J87" s="242"/>
      <c r="K87" s="242"/>
      <c r="L87" s="242"/>
      <c r="M87" s="242"/>
      <c r="N87" s="242"/>
      <c r="O87" s="242"/>
      <c r="P87" s="242"/>
      <c r="Q87" s="1042"/>
      <c r="R87" s="1042"/>
      <c r="S87" s="1042"/>
      <c r="T87" s="1042"/>
      <c r="U87" s="1042"/>
      <c r="V87" s="14"/>
      <c r="W87" s="315"/>
      <c r="X87" s="14"/>
      <c r="Y87" s="42"/>
      <c r="Z87" s="42"/>
      <c r="AA87" s="42"/>
      <c r="AB87" s="42"/>
      <c r="AC87" s="42"/>
      <c r="AD87" s="42"/>
      <c r="AE87" s="42"/>
      <c r="AF87" s="42"/>
      <c r="AG87" s="42"/>
      <c r="AH87" s="42"/>
      <c r="AI87" s="42"/>
      <c r="AJ87" s="42"/>
      <c r="AK87" s="42"/>
      <c r="AL87" s="42"/>
      <c r="AM87" s="42"/>
      <c r="AN87" s="42"/>
      <c r="AO87" s="42"/>
      <c r="AP87" s="42"/>
      <c r="AQ87" s="42"/>
      <c r="AR87" s="42"/>
    </row>
    <row r="89" spans="1:44" ht="18" x14ac:dyDescent="0.25">
      <c r="A89" s="891"/>
      <c r="B89" s="242"/>
      <c r="C89" s="242"/>
      <c r="D89" s="242"/>
      <c r="E89" s="242"/>
      <c r="F89" s="242"/>
      <c r="G89" s="242"/>
      <c r="I89" s="1194"/>
      <c r="J89" s="863"/>
    </row>
    <row r="90" spans="1:44" x14ac:dyDescent="0.2">
      <c r="A90" s="241"/>
    </row>
  </sheetData>
  <mergeCells count="6">
    <mergeCell ref="DI5:DJ5"/>
    <mergeCell ref="B85:D85"/>
    <mergeCell ref="B86:D86"/>
    <mergeCell ref="DB4:DC4"/>
    <mergeCell ref="B84:D84"/>
    <mergeCell ref="DG5:DH5"/>
  </mergeCells>
  <phoneticPr fontId="20" type="noConversion"/>
  <hyperlinks>
    <hyperlink ref="H2" location="обор!A414" display="обор!A414"/>
    <hyperlink ref="H25" location="обор!A420" display="обор!A420"/>
    <hyperlink ref="H48" location="обор!A423" display="обор!A423"/>
    <hyperlink ref="H81" location="обор!A427" display="обор!A427"/>
    <hyperlink ref="M2" location="обор!A608" display="обор!A608"/>
    <hyperlink ref="I48" location="обор!A388" display="обор!A388"/>
    <hyperlink ref="K48" location="обор!A572" display="обор!A572"/>
    <hyperlink ref="DG4" location="kursovoy!A647" display="Обратно к выбору размеров ниш"/>
    <hyperlink ref="N25" location="обор!A611" display="ОБРАТНО для лав с индивидуальной крепью"/>
  </hyperlinks>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DI2482"/>
  <sheetViews>
    <sheetView zoomScale="120" workbookViewId="0">
      <pane xSplit="27150" ySplit="11445" topLeftCell="R2142"/>
      <selection activeCell="I70" sqref="I70"/>
      <selection pane="topRight" activeCell="C955" sqref="C955"/>
      <selection pane="bottomLeft" activeCell="C955" sqref="C955"/>
      <selection pane="bottomRight" activeCell="C955" sqref="C955"/>
    </sheetView>
  </sheetViews>
  <sheetFormatPr defaultRowHeight="12.75" x14ac:dyDescent="0.2"/>
  <cols>
    <col min="1" max="1" width="48.140625" style="8" customWidth="1"/>
    <col min="2" max="2" width="12" style="8" customWidth="1"/>
    <col min="3" max="3" width="9.7109375" style="8" customWidth="1"/>
    <col min="4" max="4" width="11.7109375" style="8" customWidth="1"/>
    <col min="5" max="5" width="8.7109375" style="8" customWidth="1"/>
    <col min="6" max="6" width="9.28515625" style="8" customWidth="1"/>
    <col min="7" max="7" width="11.5703125" style="8" customWidth="1"/>
    <col min="8" max="8" width="14.28515625" style="8" customWidth="1"/>
    <col min="9" max="9" width="9.140625" style="8"/>
    <col min="10" max="10" width="10" style="8" customWidth="1"/>
    <col min="11" max="12" width="10.42578125" style="8" bestFit="1" customWidth="1"/>
    <col min="13" max="33" width="9.140625" style="8"/>
    <col min="34" max="34" width="36" style="8" customWidth="1"/>
    <col min="35" max="16384" width="9.140625" style="8"/>
  </cols>
  <sheetData>
    <row r="1" spans="1:7" x14ac:dyDescent="0.2">
      <c r="A1" s="1142"/>
      <c r="B1" s="2"/>
      <c r="C1" s="2"/>
      <c r="D1" s="2"/>
      <c r="E1" s="2"/>
      <c r="F1" s="2"/>
      <c r="G1" s="3"/>
    </row>
    <row r="2" spans="1:7" ht="18.75" x14ac:dyDescent="0.3">
      <c r="A2" s="2382" t="s">
        <v>5423</v>
      </c>
      <c r="B2" s="1"/>
      <c r="C2" s="1"/>
      <c r="D2" s="1"/>
      <c r="E2" s="1"/>
      <c r="F2" s="1"/>
      <c r="G2" s="253"/>
    </row>
    <row r="3" spans="1:7" ht="14.25" x14ac:dyDescent="0.2">
      <c r="A3" s="2431" t="s">
        <v>3919</v>
      </c>
      <c r="B3" s="1"/>
      <c r="C3" s="1"/>
      <c r="D3" s="1"/>
      <c r="E3" s="1"/>
      <c r="F3" s="1"/>
      <c r="G3" s="253"/>
    </row>
    <row r="4" spans="1:7" x14ac:dyDescent="0.2">
      <c r="A4" s="4"/>
      <c r="B4" s="1"/>
      <c r="C4" s="1"/>
      <c r="D4" s="1"/>
      <c r="E4" s="1"/>
      <c r="F4" s="1"/>
      <c r="G4" s="253"/>
    </row>
    <row r="5" spans="1:7" x14ac:dyDescent="0.2">
      <c r="A5" s="4"/>
      <c r="B5" s="1"/>
      <c r="C5" s="1"/>
      <c r="D5" s="1"/>
      <c r="E5" s="1"/>
      <c r="F5" s="1"/>
      <c r="G5" s="253"/>
    </row>
    <row r="6" spans="1:7" x14ac:dyDescent="0.2">
      <c r="A6" s="4"/>
      <c r="B6" s="1"/>
      <c r="C6" s="1"/>
      <c r="D6" s="1"/>
      <c r="E6" s="1"/>
      <c r="F6" s="1"/>
      <c r="G6" s="253"/>
    </row>
    <row r="7" spans="1:7" ht="18.75" x14ac:dyDescent="0.3">
      <c r="A7" s="4"/>
      <c r="B7" s="1"/>
      <c r="C7" s="1306" t="s">
        <v>3997</v>
      </c>
      <c r="D7" s="1"/>
      <c r="E7" s="1"/>
      <c r="F7" s="1"/>
      <c r="G7" s="253"/>
    </row>
    <row r="8" spans="1:7" x14ac:dyDescent="0.2">
      <c r="A8" s="4"/>
      <c r="B8" s="1"/>
      <c r="C8" s="1"/>
      <c r="D8" s="1"/>
      <c r="E8" s="1"/>
      <c r="F8" s="1"/>
      <c r="G8" s="253"/>
    </row>
    <row r="9" spans="1:7" x14ac:dyDescent="0.2">
      <c r="A9" s="4"/>
      <c r="B9" s="1"/>
      <c r="C9" s="1"/>
      <c r="D9" s="1"/>
      <c r="E9" s="1"/>
      <c r="F9" s="1"/>
      <c r="G9" s="253"/>
    </row>
    <row r="10" spans="1:7" x14ac:dyDescent="0.2">
      <c r="A10" s="4"/>
      <c r="B10" s="1"/>
      <c r="C10" s="1"/>
      <c r="D10" s="1"/>
      <c r="E10" s="1"/>
      <c r="F10" s="1"/>
      <c r="G10" s="253"/>
    </row>
    <row r="11" spans="1:7" x14ac:dyDescent="0.2">
      <c r="A11" s="4"/>
      <c r="B11" s="1"/>
      <c r="C11" s="1"/>
      <c r="D11" s="1"/>
      <c r="E11" s="1"/>
      <c r="F11" s="1"/>
      <c r="G11" s="253"/>
    </row>
    <row r="12" spans="1:7" ht="25.5" x14ac:dyDescent="0.35">
      <c r="A12" s="2432" t="s">
        <v>5424</v>
      </c>
      <c r="B12" s="1"/>
      <c r="C12" s="1"/>
      <c r="D12" s="1"/>
      <c r="E12" s="1"/>
      <c r="F12" s="1"/>
      <c r="G12" s="253"/>
    </row>
    <row r="13" spans="1:7" ht="25.5" x14ac:dyDescent="0.35">
      <c r="A13" s="2433" t="s">
        <v>3575</v>
      </c>
      <c r="B13" s="1"/>
      <c r="C13" s="1"/>
      <c r="D13" s="1"/>
      <c r="E13" s="1"/>
      <c r="F13" s="1"/>
      <c r="G13" s="253"/>
    </row>
    <row r="14" spans="1:7" ht="25.5" x14ac:dyDescent="0.35">
      <c r="A14" s="2433" t="s">
        <v>3168</v>
      </c>
      <c r="B14" s="1"/>
      <c r="C14" s="1"/>
      <c r="D14" s="1"/>
      <c r="E14" s="1"/>
      <c r="F14" s="1"/>
      <c r="G14" s="253"/>
    </row>
    <row r="15" spans="1:7" x14ac:dyDescent="0.2">
      <c r="A15" s="4"/>
      <c r="B15" s="1"/>
      <c r="C15" s="1"/>
      <c r="D15" s="1"/>
      <c r="E15" s="1"/>
      <c r="F15" s="1"/>
      <c r="G15" s="253"/>
    </row>
    <row r="16" spans="1:7" ht="20.25" x14ac:dyDescent="0.3">
      <c r="A16" s="4"/>
      <c r="B16" s="2434" t="s">
        <v>5260</v>
      </c>
      <c r="C16" s="1"/>
      <c r="D16" s="1"/>
      <c r="E16" s="1"/>
      <c r="F16" s="1"/>
      <c r="G16" s="253"/>
    </row>
    <row r="17" spans="1:7" x14ac:dyDescent="0.2">
      <c r="A17" s="4"/>
      <c r="B17" s="1"/>
      <c r="C17" s="1"/>
      <c r="D17" s="1"/>
      <c r="E17" s="1"/>
      <c r="F17" s="1"/>
      <c r="G17" s="253"/>
    </row>
    <row r="18" spans="1:7" x14ac:dyDescent="0.2">
      <c r="A18" s="4"/>
      <c r="B18" s="1"/>
      <c r="C18" s="1"/>
      <c r="D18" s="1"/>
      <c r="E18" s="1"/>
      <c r="F18" s="1"/>
      <c r="G18" s="253"/>
    </row>
    <row r="19" spans="1:7" x14ac:dyDescent="0.2">
      <c r="A19" s="4"/>
      <c r="B19" s="1"/>
      <c r="C19" s="1"/>
      <c r="D19" s="1"/>
      <c r="E19" s="1"/>
      <c r="F19" s="1"/>
      <c r="G19" s="253"/>
    </row>
    <row r="20" spans="1:7" x14ac:dyDescent="0.2">
      <c r="A20" s="4"/>
      <c r="B20" s="1"/>
      <c r="C20" s="1"/>
      <c r="D20" s="1"/>
      <c r="E20" s="1"/>
      <c r="F20" s="1"/>
      <c r="G20" s="253"/>
    </row>
    <row r="21" spans="1:7" x14ac:dyDescent="0.2">
      <c r="A21" s="4"/>
      <c r="B21" s="1"/>
      <c r="C21" s="1"/>
      <c r="D21" s="1"/>
      <c r="E21" s="1"/>
      <c r="F21" s="1"/>
      <c r="G21" s="253"/>
    </row>
    <row r="22" spans="1:7" x14ac:dyDescent="0.2">
      <c r="A22" s="4"/>
      <c r="B22" s="1"/>
      <c r="C22" s="1"/>
      <c r="D22" s="1"/>
      <c r="E22" s="1"/>
      <c r="F22" s="1"/>
      <c r="G22" s="253"/>
    </row>
    <row r="23" spans="1:7" ht="20.25" x14ac:dyDescent="0.3">
      <c r="A23" s="4"/>
      <c r="B23" s="2434" t="s">
        <v>5261</v>
      </c>
      <c r="C23" s="1"/>
      <c r="D23" s="1"/>
      <c r="E23" s="1"/>
      <c r="F23" s="1"/>
      <c r="G23" s="253"/>
    </row>
    <row r="24" spans="1:7" x14ac:dyDescent="0.2">
      <c r="A24" s="4"/>
      <c r="B24" s="1"/>
      <c r="C24" s="1"/>
      <c r="D24" s="1"/>
      <c r="E24" s="1"/>
      <c r="F24" s="1"/>
      <c r="G24" s="253"/>
    </row>
    <row r="25" spans="1:7" ht="19.5" thickBot="1" x14ac:dyDescent="0.35">
      <c r="A25" s="2435"/>
      <c r="B25" s="2436"/>
      <c r="C25" s="2437"/>
      <c r="D25" s="2437"/>
      <c r="E25" s="2437"/>
      <c r="F25" s="2437"/>
      <c r="G25" s="1940"/>
    </row>
    <row r="26" spans="1:7" ht="13.5" thickBot="1" x14ac:dyDescent="0.25"/>
    <row r="27" spans="1:7" ht="19.5" x14ac:dyDescent="0.35">
      <c r="A27" s="2438" t="s">
        <v>3920</v>
      </c>
      <c r="B27" s="2439"/>
      <c r="C27" s="2440"/>
      <c r="D27" s="2440"/>
      <c r="E27" s="2440"/>
      <c r="F27" s="2441"/>
    </row>
    <row r="28" spans="1:7" ht="19.5" x14ac:dyDescent="0.35">
      <c r="A28" s="2442" t="s">
        <v>3003</v>
      </c>
      <c r="B28" s="1308"/>
      <c r="C28" s="1309"/>
      <c r="D28" s="1309"/>
      <c r="E28" s="1309"/>
      <c r="F28" s="2443"/>
    </row>
    <row r="29" spans="1:7" ht="19.5" x14ac:dyDescent="0.35">
      <c r="A29" s="2442" t="s">
        <v>3004</v>
      </c>
      <c r="B29" s="1308"/>
      <c r="C29" s="1309"/>
      <c r="D29" s="1309"/>
      <c r="E29" s="1309"/>
      <c r="F29" s="2443"/>
    </row>
    <row r="30" spans="1:7" ht="19.5" x14ac:dyDescent="0.35">
      <c r="A30" s="2442" t="s">
        <v>3005</v>
      </c>
      <c r="B30" s="1308"/>
      <c r="C30" s="1309"/>
      <c r="D30" s="1309"/>
      <c r="E30" s="1309"/>
      <c r="F30" s="2443"/>
    </row>
    <row r="31" spans="1:7" ht="19.5" x14ac:dyDescent="0.35">
      <c r="A31" s="2442" t="s">
        <v>1949</v>
      </c>
      <c r="B31" s="1308"/>
      <c r="C31" s="1309"/>
      <c r="D31" s="1309"/>
      <c r="E31" s="1309"/>
      <c r="F31" s="2443"/>
    </row>
    <row r="32" spans="1:7" ht="19.5" x14ac:dyDescent="0.35">
      <c r="A32" s="2442" t="s">
        <v>267</v>
      </c>
      <c r="B32" s="1308"/>
      <c r="C32" s="1309"/>
      <c r="D32" s="1309"/>
      <c r="E32" s="1309"/>
      <c r="F32" s="2443"/>
    </row>
    <row r="33" spans="1:6" ht="19.5" x14ac:dyDescent="0.35">
      <c r="A33" s="2442"/>
      <c r="B33" s="1308"/>
      <c r="C33" s="1309"/>
      <c r="D33" s="1309"/>
      <c r="E33" s="1309"/>
      <c r="F33" s="2443"/>
    </row>
    <row r="34" spans="1:6" ht="19.5" x14ac:dyDescent="0.35">
      <c r="A34" s="2442"/>
      <c r="B34" s="1308"/>
      <c r="C34" s="1309"/>
      <c r="D34" s="1309"/>
      <c r="E34" s="1309"/>
      <c r="F34" s="2443"/>
    </row>
    <row r="35" spans="1:6" ht="15.75" x14ac:dyDescent="0.25">
      <c r="A35" s="476" t="s">
        <v>367</v>
      </c>
      <c r="B35" s="2426"/>
      <c r="C35" s="2426"/>
      <c r="D35" s="2426"/>
      <c r="E35" s="2426"/>
      <c r="F35" s="2444"/>
    </row>
    <row r="36" spans="1:6" ht="15.75" x14ac:dyDescent="0.25">
      <c r="A36" s="476" t="s">
        <v>368</v>
      </c>
      <c r="B36" s="821"/>
      <c r="C36" s="2426"/>
      <c r="D36" s="2426"/>
      <c r="E36" s="2426"/>
      <c r="F36" s="2444"/>
    </row>
    <row r="37" spans="1:6" ht="15.75" x14ac:dyDescent="0.25">
      <c r="A37" s="476" t="s">
        <v>369</v>
      </c>
      <c r="B37" s="821"/>
      <c r="C37" s="2426"/>
      <c r="D37" s="2426"/>
      <c r="E37" s="2426"/>
      <c r="F37" s="2444"/>
    </row>
    <row r="38" spans="1:6" ht="15.75" x14ac:dyDescent="0.25">
      <c r="A38" s="476" t="s">
        <v>370</v>
      </c>
      <c r="B38" s="821"/>
      <c r="C38" s="2426"/>
      <c r="D38" s="2426"/>
      <c r="E38" s="2426"/>
      <c r="F38" s="2444"/>
    </row>
    <row r="39" spans="1:6" ht="15.75" x14ac:dyDescent="0.25">
      <c r="A39" s="476" t="s">
        <v>3852</v>
      </c>
      <c r="B39" s="821"/>
      <c r="C39" s="2426"/>
      <c r="D39" s="2426"/>
      <c r="E39" s="2426"/>
      <c r="F39" s="2444"/>
    </row>
    <row r="40" spans="1:6" ht="15.75" x14ac:dyDescent="0.25">
      <c r="A40" s="476" t="s">
        <v>5347</v>
      </c>
      <c r="B40" s="821"/>
      <c r="C40" s="2426"/>
      <c r="D40" s="2426"/>
      <c r="E40" s="2426"/>
      <c r="F40" s="2444"/>
    </row>
    <row r="41" spans="1:6" ht="20.25" x14ac:dyDescent="0.35">
      <c r="A41" s="476" t="s">
        <v>5348</v>
      </c>
      <c r="B41" s="821"/>
      <c r="C41" s="2426"/>
      <c r="D41" s="2426"/>
      <c r="E41" s="2426"/>
      <c r="F41" s="2444"/>
    </row>
    <row r="42" spans="1:6" ht="15.75" x14ac:dyDescent="0.25">
      <c r="A42" s="476" t="s">
        <v>5349</v>
      </c>
      <c r="B42" s="821"/>
      <c r="C42" s="2426"/>
      <c r="D42" s="2426"/>
      <c r="E42" s="2426"/>
      <c r="F42" s="2444"/>
    </row>
    <row r="43" spans="1:6" ht="20.25" x14ac:dyDescent="0.35">
      <c r="A43" s="476" t="s">
        <v>5513</v>
      </c>
      <c r="B43" s="821"/>
      <c r="C43" s="2426"/>
      <c r="D43" s="2426"/>
      <c r="E43" s="2426"/>
      <c r="F43" s="2444"/>
    </row>
    <row r="44" spans="1:6" ht="20.25" x14ac:dyDescent="0.35">
      <c r="A44" s="476" t="s">
        <v>5514</v>
      </c>
      <c r="B44" s="821"/>
      <c r="C44" s="2426"/>
      <c r="D44" s="2426"/>
      <c r="E44" s="2426"/>
      <c r="F44" s="2444"/>
    </row>
    <row r="45" spans="1:6" ht="20.25" x14ac:dyDescent="0.35">
      <c r="A45" s="476" t="s">
        <v>5515</v>
      </c>
      <c r="B45" s="821"/>
      <c r="C45" s="2426"/>
      <c r="D45" s="2426"/>
      <c r="E45" s="2426"/>
      <c r="F45" s="2444"/>
    </row>
    <row r="46" spans="1:6" ht="20.25" x14ac:dyDescent="0.35">
      <c r="A46" s="476"/>
      <c r="B46" s="821"/>
      <c r="C46" s="1306" t="s">
        <v>5516</v>
      </c>
      <c r="D46" s="2426"/>
      <c r="E46" s="2426"/>
      <c r="F46" s="2444"/>
    </row>
    <row r="47" spans="1:6" ht="15.75" x14ac:dyDescent="0.25">
      <c r="A47" s="476" t="s">
        <v>4562</v>
      </c>
      <c r="B47" s="821"/>
      <c r="C47" s="2426"/>
      <c r="D47" s="2426"/>
      <c r="E47" s="2426"/>
      <c r="F47" s="2444"/>
    </row>
    <row r="48" spans="1:6" ht="20.25" x14ac:dyDescent="0.35">
      <c r="A48" s="2382" t="s">
        <v>4563</v>
      </c>
      <c r="B48" s="821"/>
      <c r="C48" s="1306"/>
      <c r="D48" s="2426"/>
      <c r="E48" s="2426"/>
      <c r="F48" s="2444"/>
    </row>
    <row r="49" spans="1:113" ht="15.75" x14ac:dyDescent="0.25">
      <c r="A49" s="476" t="s">
        <v>4564</v>
      </c>
      <c r="B49" s="821"/>
      <c r="C49" s="2426"/>
      <c r="D49" s="2426"/>
      <c r="E49" s="2426"/>
      <c r="F49" s="2444"/>
    </row>
    <row r="50" spans="1:113" ht="15.75" x14ac:dyDescent="0.25">
      <c r="A50" s="476" t="s">
        <v>4637</v>
      </c>
      <c r="B50" s="821"/>
      <c r="C50" s="2426"/>
      <c r="D50" s="2426"/>
      <c r="E50" s="2426"/>
      <c r="F50" s="2444"/>
    </row>
    <row r="51" spans="1:113" ht="20.25" x14ac:dyDescent="0.35">
      <c r="A51" s="476" t="s">
        <v>4945</v>
      </c>
      <c r="B51" s="821"/>
      <c r="C51" s="2426"/>
      <c r="D51" s="2426"/>
      <c r="E51" s="2426"/>
      <c r="F51" s="2444"/>
    </row>
    <row r="52" spans="1:113" ht="15.75" x14ac:dyDescent="0.25">
      <c r="A52" s="476" t="s">
        <v>4946</v>
      </c>
      <c r="B52" s="821"/>
      <c r="C52" s="2426"/>
      <c r="D52" s="2426"/>
      <c r="E52" s="2426"/>
      <c r="F52" s="2444"/>
    </row>
    <row r="53" spans="1:113" ht="20.25" x14ac:dyDescent="0.35">
      <c r="A53" s="4"/>
      <c r="B53" s="821"/>
      <c r="C53" s="1306" t="s">
        <v>4947</v>
      </c>
      <c r="D53" s="2426"/>
      <c r="E53" s="2426"/>
      <c r="F53" s="2444"/>
    </row>
    <row r="54" spans="1:113" ht="18.75" x14ac:dyDescent="0.3">
      <c r="A54" s="476" t="s">
        <v>5541</v>
      </c>
      <c r="B54" s="821"/>
      <c r="C54" s="1306"/>
      <c r="D54" s="2426"/>
      <c r="E54" s="2426"/>
      <c r="F54" s="2444"/>
    </row>
    <row r="55" spans="1:113" ht="19.5" thickBot="1" x14ac:dyDescent="0.35">
      <c r="A55" s="2689" t="s">
        <v>5542</v>
      </c>
      <c r="B55" s="2446"/>
      <c r="C55" s="2447"/>
      <c r="D55" s="2447"/>
      <c r="E55" s="2447"/>
      <c r="F55" s="2448"/>
    </row>
    <row r="57" spans="1:113" ht="19.5" x14ac:dyDescent="0.35">
      <c r="A57" s="1307"/>
      <c r="B57" s="1308"/>
      <c r="C57" s="1309"/>
      <c r="D57" s="1309"/>
      <c r="E57" s="1309"/>
      <c r="F57" s="1309"/>
      <c r="G57" s="1309"/>
      <c r="H57" s="1309"/>
      <c r="I57" s="1136"/>
      <c r="J57" s="1136"/>
      <c r="K57" s="1136"/>
      <c r="L57" s="1136"/>
      <c r="M57" s="1136"/>
      <c r="N57" s="1136"/>
      <c r="O57" s="1136"/>
      <c r="P57" s="1136"/>
      <c r="Q57" s="1136"/>
      <c r="R57" s="1136"/>
      <c r="S57" s="1136"/>
      <c r="T57" s="1136"/>
      <c r="U57" s="1136"/>
      <c r="V57" s="1136"/>
      <c r="W57" s="1136"/>
      <c r="X57" s="1136"/>
      <c r="Y57" s="1136"/>
      <c r="Z57" s="1136"/>
      <c r="AA57" s="1136"/>
      <c r="AB57" s="1136"/>
      <c r="AC57" s="1136"/>
      <c r="AD57" s="1136"/>
      <c r="AE57" s="1136"/>
      <c r="AF57" s="1136"/>
      <c r="AG57" s="1136"/>
      <c r="AH57" s="1136"/>
      <c r="AI57" s="1136"/>
      <c r="AJ57" s="1136"/>
      <c r="AK57" s="1136"/>
      <c r="AL57" s="1136"/>
      <c r="AM57" s="1136"/>
      <c r="AN57" s="1136"/>
      <c r="AO57" s="1136"/>
      <c r="AP57" s="1136"/>
      <c r="AQ57" s="1136"/>
      <c r="AR57" s="1136"/>
      <c r="AS57" s="1136"/>
      <c r="AT57" s="1136"/>
      <c r="AU57" s="1136"/>
      <c r="AV57" s="1136"/>
      <c r="AW57" s="1136"/>
      <c r="AX57" s="1136"/>
      <c r="AY57" s="1136"/>
      <c r="AZ57" s="1136"/>
      <c r="BA57" s="1136"/>
      <c r="BB57" s="1136"/>
      <c r="BC57" s="1136"/>
      <c r="BD57" s="1136"/>
      <c r="BE57" s="1136"/>
      <c r="BF57" s="1136"/>
      <c r="BG57" s="1136"/>
      <c r="BH57" s="1136"/>
      <c r="BI57" s="1136"/>
      <c r="BJ57" s="1136"/>
      <c r="BK57" s="1136"/>
      <c r="BL57" s="1136"/>
      <c r="BM57" s="1136"/>
      <c r="BN57" s="1136"/>
      <c r="BO57" s="1136"/>
      <c r="BP57" s="1136"/>
      <c r="BQ57" s="1136"/>
      <c r="BR57" s="1136"/>
      <c r="BS57" s="1136"/>
      <c r="BT57" s="1136"/>
      <c r="BU57" s="1136"/>
      <c r="BV57" s="1136"/>
      <c r="BW57" s="1136"/>
      <c r="BX57" s="1136"/>
      <c r="BY57" s="1136"/>
      <c r="BZ57" s="1136"/>
      <c r="CA57" s="1136"/>
      <c r="CB57" s="1136"/>
      <c r="CC57" s="1136"/>
      <c r="CD57" s="1136"/>
      <c r="CE57" s="1136"/>
      <c r="CF57" s="1136"/>
      <c r="CG57" s="1136"/>
      <c r="CH57" s="1136"/>
      <c r="CI57" s="1136"/>
      <c r="CJ57" s="1136"/>
      <c r="CK57" s="1136"/>
      <c r="CL57" s="1136"/>
      <c r="CM57" s="1136"/>
      <c r="CN57" s="1136"/>
      <c r="CO57" s="1136"/>
      <c r="CP57" s="1136"/>
      <c r="CQ57" s="1136"/>
      <c r="CR57" s="1136"/>
      <c r="CS57" s="1136"/>
      <c r="CT57" s="1136"/>
      <c r="CU57" s="1136"/>
      <c r="CV57" s="1136"/>
      <c r="CW57" s="1136"/>
      <c r="CX57" s="1136"/>
      <c r="CY57" s="1136"/>
      <c r="CZ57" s="1136"/>
      <c r="DA57" s="1136"/>
      <c r="DB57" s="1136"/>
      <c r="DC57" s="1136"/>
      <c r="DD57" s="1136"/>
      <c r="DE57" s="1136"/>
      <c r="DF57" s="1136"/>
      <c r="DG57" s="1136"/>
      <c r="DH57" s="1136"/>
      <c r="DI57" s="1136"/>
    </row>
    <row r="58" spans="1:113" ht="19.5" x14ac:dyDescent="0.35">
      <c r="A58" s="1243" t="s">
        <v>4948</v>
      </c>
      <c r="B58" s="818"/>
      <c r="C58" s="1298"/>
      <c r="D58" s="1157"/>
      <c r="E58" s="1157"/>
      <c r="F58" s="1157"/>
      <c r="G58" s="1157"/>
      <c r="H58" s="1157"/>
      <c r="I58" s="1157"/>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row>
    <row r="59" spans="1:113" ht="18.75" x14ac:dyDescent="0.3">
      <c r="A59"/>
      <c r="B59" s="818"/>
      <c r="C59" s="1298"/>
      <c r="D59" s="1157"/>
      <c r="E59" s="1157"/>
      <c r="F59" s="1157"/>
      <c r="G59" s="1157"/>
      <c r="H59" s="1157"/>
      <c r="I59" s="1157"/>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row>
    <row r="60" spans="1:113" ht="18.75" x14ac:dyDescent="0.3">
      <c r="A60" s="1310"/>
      <c r="B60" s="818"/>
      <c r="C60" s="1298"/>
      <c r="D60" s="1157"/>
      <c r="E60" s="1157"/>
      <c r="F60" s="1157"/>
      <c r="G60" s="1157"/>
      <c r="H60" s="1157"/>
      <c r="I60" s="1157"/>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row>
    <row r="61" spans="1:113" customFormat="1" ht="36" customHeight="1" x14ac:dyDescent="0.25">
      <c r="A61" s="4623" t="s">
        <v>1001</v>
      </c>
      <c r="B61" s="4624"/>
      <c r="C61" s="4624"/>
      <c r="D61" s="4624"/>
      <c r="E61" s="4624"/>
      <c r="F61" s="4624"/>
      <c r="G61" s="4624"/>
      <c r="H61" s="4624"/>
      <c r="I61" s="1311"/>
      <c r="S61" s="807">
        <f>IF(I61=9,1,0)</f>
        <v>0</v>
      </c>
    </row>
    <row r="62" spans="1:113" customFormat="1" ht="48.75" customHeight="1" x14ac:dyDescent="0.25">
      <c r="A62" s="4623" t="s">
        <v>1958</v>
      </c>
      <c r="B62" s="4624"/>
      <c r="C62" s="4624"/>
      <c r="D62" s="4624"/>
      <c r="E62" s="4624"/>
      <c r="F62" s="4624"/>
      <c r="G62" s="4624"/>
      <c r="H62" s="4624"/>
      <c r="I62" s="1311"/>
      <c r="S62" s="807">
        <f>IF(I62=1.25,1,0)</f>
        <v>0</v>
      </c>
    </row>
    <row r="63" spans="1:113" customFormat="1" ht="73.5" customHeight="1" x14ac:dyDescent="0.25">
      <c r="A63" s="4623" t="s">
        <v>5593</v>
      </c>
      <c r="B63" s="4625"/>
      <c r="C63" s="4625"/>
      <c r="D63" s="4625"/>
      <c r="E63" s="4625"/>
      <c r="F63" s="4625"/>
      <c r="G63" s="4625"/>
      <c r="H63" s="4625"/>
      <c r="I63" s="1311"/>
      <c r="M63" s="1312"/>
      <c r="S63" s="807">
        <f>IF(I63=0.25,1,0)</f>
        <v>0</v>
      </c>
    </row>
    <row r="64" spans="1:113" customFormat="1" ht="71.25" customHeight="1" x14ac:dyDescent="0.25">
      <c r="A64" s="4623" t="s">
        <v>5594</v>
      </c>
      <c r="B64" s="4345"/>
      <c r="C64" s="4345"/>
      <c r="D64" s="4345"/>
      <c r="E64" s="4345"/>
      <c r="F64" s="4345"/>
      <c r="G64" s="4345"/>
      <c r="H64" s="4345"/>
      <c r="I64" s="1313"/>
      <c r="S64" s="807">
        <f>IF(I64=10,1,0)</f>
        <v>0</v>
      </c>
    </row>
    <row r="65" spans="1:113" customFormat="1" ht="55.5" customHeight="1" x14ac:dyDescent="0.25">
      <c r="A65" s="4623" t="s">
        <v>5595</v>
      </c>
      <c r="B65" s="4345"/>
      <c r="C65" s="4345"/>
      <c r="D65" s="4345"/>
      <c r="E65" s="4345"/>
      <c r="F65" s="4345"/>
      <c r="G65" s="4345"/>
      <c r="H65" s="4345"/>
      <c r="I65" s="1313"/>
      <c r="S65" s="807">
        <f>IF(I65=2,1,0)</f>
        <v>0</v>
      </c>
    </row>
    <row r="66" spans="1:113" customFormat="1" ht="26.25" customHeight="1" x14ac:dyDescent="0.25">
      <c r="A66" s="4623" t="s">
        <v>1996</v>
      </c>
      <c r="B66" s="4349"/>
      <c r="C66" s="4349"/>
      <c r="D66" s="4349"/>
      <c r="E66" s="4349"/>
      <c r="F66" s="4349"/>
      <c r="G66" s="4349"/>
      <c r="H66" s="4349"/>
      <c r="I66" s="1313"/>
      <c r="S66" s="807">
        <f>IF(I66=3,1,0)</f>
        <v>0</v>
      </c>
    </row>
    <row r="67" spans="1:113" customFormat="1" ht="37.5" customHeight="1" x14ac:dyDescent="0.25">
      <c r="A67" s="4630" t="s">
        <v>2401</v>
      </c>
      <c r="B67" s="4349"/>
      <c r="C67" s="4349"/>
      <c r="D67" s="4349"/>
      <c r="E67" s="4349"/>
      <c r="F67" s="4349"/>
      <c r="G67" s="4349"/>
      <c r="H67" s="4349"/>
      <c r="I67" s="1313"/>
      <c r="S67" s="807">
        <f>IF(I67=2,1,0)</f>
        <v>0</v>
      </c>
    </row>
    <row r="68" spans="1:113" customFormat="1" ht="55.5" customHeight="1" x14ac:dyDescent="0.25">
      <c r="A68" s="4630" t="s">
        <v>5258</v>
      </c>
      <c r="B68" s="4349"/>
      <c r="C68" s="4349"/>
      <c r="D68" s="4349"/>
      <c r="E68" s="4349"/>
      <c r="F68" s="4349"/>
      <c r="G68" s="4349"/>
      <c r="H68" s="4349"/>
      <c r="I68" s="1313"/>
      <c r="S68" s="807">
        <f>IF(I68=3,1,0)</f>
        <v>0</v>
      </c>
    </row>
    <row r="69" spans="1:113" customFormat="1" ht="55.5" customHeight="1" x14ac:dyDescent="0.25">
      <c r="A69" s="4630" t="s">
        <v>3763</v>
      </c>
      <c r="B69" s="4349"/>
      <c r="C69" s="4349"/>
      <c r="D69" s="4349"/>
      <c r="E69" s="4349"/>
      <c r="F69" s="4349"/>
      <c r="G69" s="4349"/>
      <c r="H69" s="4349"/>
      <c r="I69" s="1313"/>
      <c r="S69" s="807">
        <f>IF(I69=1,1,0)</f>
        <v>0</v>
      </c>
    </row>
    <row r="70" spans="1:113" customFormat="1" ht="55.5" customHeight="1" x14ac:dyDescent="0.25">
      <c r="A70" s="4630" t="s">
        <v>1994</v>
      </c>
      <c r="B70" s="4349"/>
      <c r="C70" s="4349"/>
      <c r="D70" s="4349"/>
      <c r="E70" s="4349"/>
      <c r="F70" s="4349"/>
      <c r="G70" s="4349"/>
      <c r="H70" s="4349"/>
      <c r="I70" s="1313"/>
      <c r="S70" s="807">
        <f>IF(I70=2,1,0)</f>
        <v>0</v>
      </c>
    </row>
    <row r="71" spans="1:113" customFormat="1" ht="18.75" x14ac:dyDescent="0.3">
      <c r="A71" s="1310"/>
      <c r="B71" s="818"/>
      <c r="C71" s="1298"/>
      <c r="D71" s="1157"/>
      <c r="E71" s="1157"/>
      <c r="F71" s="1157"/>
      <c r="G71" s="1157"/>
      <c r="H71" s="1157"/>
      <c r="I71" s="1157"/>
      <c r="S71">
        <f>SUM(S61:S70)</f>
        <v>0</v>
      </c>
    </row>
    <row r="72" spans="1:113" customFormat="1" ht="19.5" x14ac:dyDescent="0.35">
      <c r="A72" s="786" t="str">
        <f>IF(S71=10,"Вы можете пользоваться результатами вычислений!","Отвечайте на вопросы !")</f>
        <v>Отвечайте на вопросы !</v>
      </c>
      <c r="B72" s="818"/>
      <c r="C72" s="1298"/>
      <c r="D72" s="1157"/>
      <c r="E72" s="1157"/>
      <c r="F72" s="1157"/>
      <c r="G72" s="1157"/>
      <c r="H72" s="1157"/>
      <c r="I72" s="1157"/>
    </row>
    <row r="73" spans="1:113" ht="18.75" x14ac:dyDescent="0.3">
      <c r="A73" s="1310"/>
      <c r="B73" s="818"/>
      <c r="C73" s="1298"/>
      <c r="D73" s="1157"/>
      <c r="E73" s="1157"/>
      <c r="F73" s="1157"/>
      <c r="G73" s="1157"/>
      <c r="H73" s="1157"/>
      <c r="I73" s="1157"/>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row>
    <row r="74" spans="1:113" ht="18.75" x14ac:dyDescent="0.3">
      <c r="A74" s="1314"/>
      <c r="C74" s="1298"/>
      <c r="D74" s="1157"/>
      <c r="E74" s="1157"/>
      <c r="F74" s="1157"/>
      <c r="G74" s="1157"/>
      <c r="H74" s="1157"/>
      <c r="I74" s="1157"/>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row>
    <row r="75" spans="1:113" ht="15.75" x14ac:dyDescent="0.25">
      <c r="A75" s="1317"/>
      <c r="B75" s="825"/>
      <c r="C75" s="825"/>
      <c r="D75" s="825"/>
      <c r="E75" s="825"/>
      <c r="F75" s="825"/>
      <c r="G75" s="825"/>
      <c r="H75" s="1136"/>
      <c r="I75" s="1136"/>
      <c r="J75" s="1315"/>
      <c r="K75" s="1316"/>
      <c r="L75" s="1316"/>
      <c r="M75" s="1315"/>
      <c r="N75" s="1136"/>
      <c r="O75" s="1136"/>
      <c r="P75" s="1136"/>
      <c r="Q75" s="1136"/>
      <c r="R75" s="1136"/>
      <c r="S75" s="1136"/>
      <c r="T75" s="1136"/>
      <c r="U75" s="1136"/>
      <c r="V75" s="1136"/>
      <c r="W75" s="1136"/>
      <c r="X75" s="1136"/>
      <c r="Y75" s="1136"/>
      <c r="Z75" s="1136"/>
      <c r="AA75" s="1136"/>
      <c r="AB75" s="1136"/>
      <c r="AC75" s="1136"/>
      <c r="AD75" s="1136"/>
      <c r="AE75" s="1136"/>
      <c r="AF75" s="1136"/>
      <c r="AG75" s="1136"/>
      <c r="AH75" s="1136"/>
      <c r="AI75" s="1136"/>
      <c r="AJ75" s="1136"/>
      <c r="AK75" s="1136"/>
      <c r="AL75" s="1136"/>
      <c r="AM75" s="1136"/>
      <c r="AN75" s="1136"/>
      <c r="AO75" s="1136"/>
      <c r="AP75" s="1136"/>
      <c r="AQ75" s="1136"/>
      <c r="AR75" s="1136"/>
      <c r="AS75" s="1136"/>
      <c r="AT75" s="1136"/>
      <c r="AU75" s="1136"/>
      <c r="AV75" s="1136"/>
      <c r="AW75" s="1136"/>
      <c r="AX75" s="1136"/>
      <c r="AY75" s="1136"/>
      <c r="AZ75" s="1136"/>
      <c r="BA75" s="1136"/>
      <c r="BB75" s="1136"/>
      <c r="BC75" s="1136"/>
      <c r="BD75" s="1136"/>
      <c r="BE75" s="1136"/>
      <c r="BF75" s="1136"/>
      <c r="BG75" s="1136"/>
      <c r="BH75" s="1136"/>
      <c r="BI75" s="1136"/>
      <c r="BJ75" s="1136"/>
      <c r="BK75" s="1136"/>
      <c r="BL75" s="1136"/>
      <c r="BM75" s="1136"/>
      <c r="BN75" s="1136"/>
      <c r="BO75" s="1136"/>
      <c r="BP75" s="1136"/>
      <c r="BQ75" s="1136"/>
      <c r="BR75" s="1136"/>
      <c r="BS75" s="1136"/>
      <c r="BT75" s="1136"/>
      <c r="BU75" s="1136"/>
      <c r="BV75" s="1136"/>
      <c r="BW75" s="1136"/>
      <c r="BX75" s="1136"/>
      <c r="BY75" s="1136"/>
      <c r="BZ75" s="1136"/>
      <c r="CA75" s="1136"/>
      <c r="CB75" s="1136"/>
      <c r="CC75" s="1136"/>
      <c r="CD75" s="1136"/>
      <c r="CE75" s="1136"/>
      <c r="CF75" s="1136"/>
      <c r="CG75" s="1136"/>
      <c r="CH75" s="1136"/>
      <c r="CI75" s="1136"/>
      <c r="CJ75" s="1136"/>
      <c r="CK75" s="1136"/>
      <c r="CL75" s="1136"/>
      <c r="CM75" s="1136"/>
      <c r="CN75" s="1136"/>
      <c r="CO75" s="1136"/>
      <c r="CP75" s="1136"/>
      <c r="CQ75" s="1136"/>
      <c r="CR75" s="1136"/>
      <c r="CS75" s="1136"/>
      <c r="CT75" s="1136"/>
      <c r="CU75" s="1136"/>
      <c r="CV75" s="1136"/>
      <c r="CW75" s="1136"/>
      <c r="CX75" s="1136"/>
      <c r="CY75" s="1136"/>
      <c r="CZ75" s="1136"/>
      <c r="DA75" s="1136"/>
      <c r="DB75" s="1136"/>
      <c r="DC75" s="1136"/>
      <c r="DD75" s="1136"/>
      <c r="DE75" s="1136"/>
      <c r="DF75" s="1136"/>
      <c r="DG75" s="1136"/>
      <c r="DH75" s="1136"/>
      <c r="DI75" s="1136"/>
    </row>
    <row r="76" spans="1:113" ht="18.75" x14ac:dyDescent="0.3">
      <c r="A76" s="2470" t="str">
        <f>IF(S71=10,"                                                                                                 Расчет трудоемкости работ в лаве","")</f>
        <v/>
      </c>
      <c r="B76" s="2471"/>
      <c r="C76" s="2471"/>
      <c r="D76" s="2471"/>
      <c r="E76" s="2471"/>
      <c r="F76" s="2471"/>
      <c r="G76" s="2471"/>
      <c r="H76" s="2471"/>
      <c r="I76" s="1070"/>
      <c r="J76" s="1315"/>
      <c r="K76" s="1316"/>
      <c r="L76" s="1316"/>
      <c r="M76" s="1315"/>
      <c r="N76" s="1070"/>
      <c r="O76" s="1070"/>
      <c r="P76" s="1070"/>
      <c r="Q76" s="1070"/>
      <c r="R76" s="1070"/>
      <c r="S76" s="1070"/>
      <c r="T76" s="1070"/>
      <c r="U76" s="1070"/>
      <c r="V76" s="1070"/>
      <c r="W76" s="1070"/>
      <c r="X76" s="1070"/>
      <c r="Y76" s="1070"/>
      <c r="Z76" s="1070"/>
      <c r="AA76" s="1070"/>
      <c r="AB76" s="1070"/>
      <c r="AC76" s="1070"/>
      <c r="AD76" s="1070"/>
      <c r="AE76" s="1070"/>
      <c r="AF76" s="1070"/>
      <c r="AG76" s="1070"/>
      <c r="AH76" s="1070"/>
      <c r="AI76" s="1070"/>
      <c r="AJ76" s="1070"/>
      <c r="AK76" s="1070"/>
      <c r="AL76" s="1070"/>
      <c r="AM76" s="1070"/>
      <c r="AN76" s="1070"/>
      <c r="AO76" s="1070"/>
      <c r="AP76" s="1070"/>
      <c r="AQ76" s="1070"/>
      <c r="AR76" s="1070"/>
      <c r="AS76" s="1070"/>
      <c r="AT76" s="1070"/>
      <c r="AU76" s="1070"/>
      <c r="AV76" s="1070"/>
      <c r="AW76" s="1070"/>
      <c r="AX76" s="1070"/>
      <c r="AY76" s="1070"/>
      <c r="AZ76" s="1070"/>
      <c r="BA76" s="1070"/>
      <c r="BB76" s="1070"/>
      <c r="BC76" s="1070"/>
      <c r="BD76" s="1070"/>
      <c r="BE76" s="1070"/>
      <c r="BF76" s="1070"/>
      <c r="BG76" s="1070"/>
      <c r="BH76" s="1070"/>
      <c r="BI76" s="1070"/>
      <c r="BJ76" s="1070"/>
      <c r="BK76" s="1070"/>
      <c r="BL76" s="1070"/>
      <c r="BM76" s="1070"/>
      <c r="BN76" s="1070"/>
      <c r="BO76" s="1070"/>
      <c r="BP76" s="1070"/>
      <c r="BQ76" s="1070"/>
      <c r="BR76" s="1070"/>
      <c r="BS76" s="1070"/>
      <c r="BT76" s="1070"/>
      <c r="BU76" s="1070"/>
      <c r="BV76" s="1070"/>
      <c r="BW76" s="1070"/>
      <c r="BX76" s="1070"/>
      <c r="BY76" s="1070"/>
      <c r="BZ76" s="1070"/>
      <c r="CA76" s="1070"/>
      <c r="CB76" s="1070"/>
      <c r="CC76" s="1070"/>
      <c r="CD76" s="1070"/>
      <c r="CE76" s="1070"/>
      <c r="CF76" s="1070"/>
      <c r="CG76" s="1070"/>
      <c r="CH76" s="1070"/>
      <c r="CI76" s="1070"/>
      <c r="CJ76" s="1070"/>
      <c r="CK76" s="1070"/>
      <c r="CL76" s="1070"/>
      <c r="CM76" s="1070"/>
      <c r="CN76" s="1070"/>
      <c r="CO76" s="1070"/>
      <c r="CP76" s="1070"/>
      <c r="CQ76" s="1070"/>
      <c r="CR76" s="1070"/>
      <c r="CS76" s="1070"/>
      <c r="CT76" s="1070"/>
      <c r="CU76" s="1070"/>
      <c r="CV76" s="1070"/>
      <c r="CW76" s="1070"/>
      <c r="CX76" s="1070"/>
      <c r="CY76" s="1070"/>
      <c r="CZ76" s="1070"/>
      <c r="DA76" s="1070"/>
      <c r="DB76" s="1070"/>
      <c r="DC76" s="1070"/>
      <c r="DD76" s="1070"/>
      <c r="DE76" s="1070"/>
      <c r="DF76" s="1070"/>
      <c r="DG76" s="1070"/>
      <c r="DH76" s="1070"/>
      <c r="DI76" s="1070"/>
    </row>
    <row r="77" spans="1:113" ht="94.5" x14ac:dyDescent="0.25">
      <c r="A77" s="1318"/>
      <c r="B77" s="1319" t="s">
        <v>5596</v>
      </c>
      <c r="C77" s="1319" t="s">
        <v>5597</v>
      </c>
      <c r="D77" s="1319" t="s">
        <v>5598</v>
      </c>
      <c r="E77" s="1319" t="s">
        <v>3368</v>
      </c>
      <c r="F77" s="1319" t="s">
        <v>3369</v>
      </c>
      <c r="G77" s="1319" t="s">
        <v>3412</v>
      </c>
      <c r="H77" s="1320" t="s">
        <v>4383</v>
      </c>
      <c r="I77" s="1070"/>
      <c r="J77" s="1315"/>
      <c r="K77" s="1316"/>
      <c r="L77" s="1316"/>
      <c r="M77" s="1315"/>
      <c r="N77" s="1070"/>
      <c r="O77" s="1070"/>
      <c r="P77" s="1070"/>
      <c r="Q77" s="1070"/>
      <c r="R77" s="1070"/>
      <c r="S77" s="1070"/>
      <c r="T77" s="1070"/>
      <c r="U77" s="1070"/>
      <c r="V77" s="1070"/>
      <c r="W77" s="1070"/>
      <c r="X77" s="1070"/>
      <c r="Y77" s="1070"/>
      <c r="Z77" s="1070"/>
      <c r="AA77" s="1070"/>
      <c r="AB77" s="1070"/>
      <c r="AC77" s="1070"/>
      <c r="AD77" s="1070"/>
      <c r="AE77" s="1070"/>
      <c r="AF77" s="1070"/>
      <c r="AG77" s="1070"/>
      <c r="AH77" s="1070"/>
      <c r="AI77" s="1070"/>
      <c r="AJ77" s="1070"/>
      <c r="AK77" s="1070"/>
      <c r="AL77" s="1070"/>
      <c r="AM77" s="1070"/>
      <c r="AN77" s="1070"/>
      <c r="AO77" s="1070"/>
      <c r="AP77" s="1070"/>
      <c r="AQ77" s="1070"/>
      <c r="AR77" s="1070"/>
      <c r="AS77" s="1070"/>
      <c r="AT77" s="1070"/>
      <c r="AU77" s="1070"/>
      <c r="AV77" s="1070"/>
      <c r="AW77" s="1070"/>
      <c r="AX77" s="1070"/>
      <c r="AY77" s="1070"/>
      <c r="AZ77" s="1070"/>
      <c r="BA77" s="1070"/>
      <c r="BB77" s="1070"/>
      <c r="BC77" s="1070"/>
      <c r="BD77" s="1070"/>
      <c r="BE77" s="1070"/>
      <c r="BF77" s="1070"/>
      <c r="BG77" s="1070"/>
      <c r="BH77" s="1070"/>
      <c r="BI77" s="1070"/>
      <c r="BJ77" s="1070"/>
      <c r="BK77" s="1070"/>
      <c r="BL77" s="1070"/>
      <c r="BM77" s="1070"/>
      <c r="BN77" s="1070"/>
      <c r="BO77" s="1070"/>
      <c r="BP77" s="1070"/>
      <c r="BQ77" s="1070"/>
      <c r="BR77" s="1070"/>
      <c r="BS77" s="1070"/>
      <c r="BT77" s="1070"/>
      <c r="BU77" s="1070"/>
      <c r="BV77" s="1070"/>
      <c r="BW77" s="1070"/>
      <c r="BX77" s="1070"/>
      <c r="BY77" s="1070"/>
      <c r="BZ77" s="1070"/>
      <c r="CA77" s="1070"/>
      <c r="CB77" s="1070"/>
      <c r="CC77" s="1070"/>
      <c r="CD77" s="1070"/>
      <c r="CE77" s="1070"/>
      <c r="CF77" s="1070"/>
      <c r="CG77" s="1070"/>
      <c r="CH77" s="1070"/>
      <c r="CI77" s="1070"/>
      <c r="CJ77" s="1070"/>
      <c r="CK77" s="1070"/>
      <c r="CL77" s="1070"/>
      <c r="CM77" s="1070"/>
      <c r="CN77" s="1070"/>
      <c r="CO77" s="1070"/>
      <c r="CP77" s="1070"/>
      <c r="CQ77" s="1070"/>
      <c r="CR77" s="1070"/>
      <c r="CS77" s="1070"/>
      <c r="CT77" s="1070"/>
      <c r="CU77" s="1070"/>
      <c r="CV77" s="1070"/>
      <c r="CW77" s="1070"/>
      <c r="CX77" s="1070"/>
      <c r="CY77" s="1070"/>
      <c r="CZ77" s="1070"/>
      <c r="DA77" s="1070"/>
      <c r="DB77" s="1070"/>
      <c r="DC77" s="1070"/>
      <c r="DD77" s="1070"/>
      <c r="DE77" s="1070"/>
      <c r="DF77" s="1070"/>
      <c r="DG77" s="1070"/>
      <c r="DH77" s="1070"/>
      <c r="DI77" s="1070"/>
    </row>
    <row r="78" spans="1:113" ht="15.75" x14ac:dyDescent="0.25">
      <c r="A78" s="4629" t="str">
        <f>IF(S71=10,"Работы на сопряжении лавы с транспортной выработкой","")</f>
        <v/>
      </c>
      <c r="B78" s="4478"/>
      <c r="C78" s="4478"/>
      <c r="D78" s="4478"/>
      <c r="E78" s="4478"/>
      <c r="F78" s="4478"/>
      <c r="G78" s="4478"/>
      <c r="H78" s="4477"/>
      <c r="I78" s="1070"/>
      <c r="J78" s="1315"/>
      <c r="K78" s="2581"/>
      <c r="L78" s="1316"/>
      <c r="M78" s="1315"/>
      <c r="N78" s="1070"/>
      <c r="O78" s="1070"/>
      <c r="P78" s="1070"/>
      <c r="Q78" s="1070"/>
      <c r="R78" s="1070"/>
      <c r="S78" s="1070"/>
      <c r="T78" s="1070"/>
      <c r="U78" s="1070"/>
      <c r="V78" s="1070"/>
      <c r="W78" s="1070"/>
      <c r="X78" s="1070"/>
      <c r="Y78" s="1070"/>
      <c r="Z78" s="1070"/>
      <c r="AA78" s="1070"/>
      <c r="AB78" s="1070"/>
      <c r="AC78" s="1070"/>
      <c r="AD78" s="1070"/>
      <c r="AE78" s="1070"/>
      <c r="AF78" s="1070"/>
      <c r="AG78" s="1070"/>
      <c r="AH78" s="1070"/>
      <c r="AI78" s="1070"/>
      <c r="AJ78" s="1070"/>
      <c r="AK78" s="1070"/>
      <c r="AL78" s="1070"/>
      <c r="AM78" s="1070"/>
      <c r="AN78" s="1070"/>
      <c r="AO78" s="1070"/>
      <c r="AP78" s="1070"/>
      <c r="AQ78" s="1070"/>
      <c r="AR78" s="1070"/>
      <c r="AS78" s="1070"/>
      <c r="AT78" s="1070"/>
      <c r="AU78" s="1070"/>
      <c r="AV78" s="1070"/>
      <c r="AW78" s="1070"/>
      <c r="AX78" s="1070"/>
      <c r="AY78" s="1070"/>
      <c r="AZ78" s="1070"/>
      <c r="BA78" s="1070"/>
      <c r="BB78" s="1070"/>
      <c r="BC78" s="1070"/>
      <c r="BD78" s="1070"/>
      <c r="BE78" s="1070"/>
      <c r="BF78" s="1070"/>
      <c r="BG78" s="1070"/>
      <c r="BH78" s="1070"/>
      <c r="BI78" s="1070"/>
      <c r="BJ78" s="1070"/>
      <c r="BK78" s="1070"/>
      <c r="BL78" s="1070"/>
      <c r="BM78" s="1070"/>
      <c r="BN78" s="1070"/>
      <c r="BO78" s="1070"/>
      <c r="BP78" s="1070"/>
      <c r="BQ78" s="1070"/>
      <c r="BR78" s="1070"/>
      <c r="BS78" s="1070"/>
      <c r="BT78" s="1070"/>
      <c r="BU78" s="1070"/>
      <c r="BV78" s="1070"/>
      <c r="BW78" s="1070"/>
      <c r="BX78" s="1070"/>
      <c r="BY78" s="1070"/>
      <c r="BZ78" s="1070"/>
      <c r="CA78" s="1070"/>
      <c r="CB78" s="1070"/>
      <c r="CC78" s="1070"/>
      <c r="CD78" s="1070"/>
      <c r="CE78" s="1070"/>
      <c r="CF78" s="1070"/>
      <c r="CG78" s="1070"/>
      <c r="CH78" s="1070"/>
      <c r="CI78" s="1070"/>
      <c r="CJ78" s="1070"/>
      <c r="CK78" s="1070"/>
      <c r="CL78" s="1070"/>
      <c r="CM78" s="1070"/>
      <c r="CN78" s="1070"/>
      <c r="CO78" s="1070"/>
      <c r="CP78" s="1070"/>
      <c r="CQ78" s="1070"/>
      <c r="CR78" s="1070"/>
      <c r="CS78" s="1070"/>
      <c r="CT78" s="1070"/>
      <c r="CU78" s="1070"/>
      <c r="CV78" s="1070"/>
      <c r="CW78" s="1070"/>
      <c r="CX78" s="1070"/>
      <c r="CY78" s="1070"/>
      <c r="CZ78" s="1070"/>
      <c r="DA78" s="1070"/>
      <c r="DB78" s="1070"/>
      <c r="DC78" s="1070"/>
      <c r="DD78" s="1070"/>
      <c r="DE78" s="1070"/>
      <c r="DF78" s="1070"/>
      <c r="DG78" s="1070"/>
      <c r="DH78" s="1070"/>
      <c r="DI78" s="1070"/>
    </row>
    <row r="79" spans="1:113" ht="15.75" x14ac:dyDescent="0.25">
      <c r="A79" s="1126" t="str">
        <f>IF(S71=10," Крепление в нише (все операции)","")</f>
        <v/>
      </c>
      <c r="B79" s="1321"/>
      <c r="C79" s="1321"/>
      <c r="D79" s="1321"/>
      <c r="E79" s="1321"/>
      <c r="F79" s="1321"/>
      <c r="G79" s="1321"/>
      <c r="H79" s="1321" t="e">
        <f>B1411*B1406*B1408</f>
        <v>#DIV/0!</v>
      </c>
      <c r="I79" s="1070"/>
      <c r="J79" s="1315"/>
      <c r="K79" s="2581"/>
      <c r="L79" s="1316"/>
      <c r="M79" s="1315"/>
      <c r="N79" s="1070"/>
      <c r="O79" s="1070"/>
      <c r="P79" s="1070"/>
      <c r="Q79" s="1070"/>
      <c r="R79" s="1070"/>
      <c r="S79" s="1070"/>
      <c r="T79" s="1070"/>
      <c r="U79" s="1070"/>
      <c r="V79" s="1070"/>
      <c r="W79" s="1070"/>
      <c r="X79" s="1070"/>
      <c r="Y79" s="1070"/>
      <c r="Z79" s="1070"/>
      <c r="AA79" s="1070"/>
      <c r="AB79" s="1070"/>
      <c r="AC79" s="1070"/>
      <c r="AD79" s="1070"/>
      <c r="AE79" s="1070"/>
      <c r="AF79" s="1070"/>
      <c r="AG79" s="1070"/>
      <c r="AH79" s="1070"/>
      <c r="AI79" s="1070"/>
      <c r="AJ79" s="1070"/>
      <c r="AK79" s="1070"/>
      <c r="AL79" s="1070"/>
      <c r="AM79" s="1070"/>
      <c r="AN79" s="1070"/>
      <c r="AO79" s="1070"/>
      <c r="AP79" s="1070"/>
      <c r="AQ79" s="1070"/>
      <c r="AR79" s="1070"/>
      <c r="AS79" s="1070"/>
      <c r="AT79" s="1070"/>
      <c r="AU79" s="1070"/>
      <c r="AV79" s="1070"/>
      <c r="AW79" s="1070"/>
      <c r="AX79" s="1070"/>
      <c r="AY79" s="1070"/>
      <c r="AZ79" s="1070"/>
      <c r="BA79" s="1070"/>
      <c r="BB79" s="1070"/>
      <c r="BC79" s="1070"/>
      <c r="BD79" s="1070"/>
      <c r="BE79" s="1070"/>
      <c r="BF79" s="1070"/>
      <c r="BG79" s="1070"/>
      <c r="BH79" s="1070"/>
      <c r="BI79" s="1070"/>
      <c r="BJ79" s="1070"/>
      <c r="BK79" s="1070"/>
      <c r="BL79" s="1070"/>
      <c r="BM79" s="1070"/>
      <c r="BN79" s="1070"/>
      <c r="BO79" s="1070"/>
      <c r="BP79" s="1070"/>
      <c r="BQ79" s="1070"/>
      <c r="BR79" s="1070"/>
      <c r="BS79" s="1070"/>
      <c r="BT79" s="1070"/>
      <c r="BU79" s="1070"/>
      <c r="BV79" s="1070"/>
      <c r="BW79" s="1070"/>
      <c r="BX79" s="1070"/>
      <c r="BY79" s="1070"/>
      <c r="BZ79" s="1070"/>
      <c r="CA79" s="1070"/>
      <c r="CB79" s="1070"/>
      <c r="CC79" s="1070"/>
      <c r="CD79" s="1070"/>
      <c r="CE79" s="1070"/>
      <c r="CF79" s="1070"/>
      <c r="CG79" s="1070"/>
      <c r="CH79" s="1070"/>
      <c r="CI79" s="1070"/>
      <c r="CJ79" s="1070"/>
      <c r="CK79" s="1070"/>
      <c r="CL79" s="1070"/>
      <c r="CM79" s="1070"/>
      <c r="CN79" s="1070"/>
      <c r="CO79" s="1070"/>
      <c r="CP79" s="1070"/>
      <c r="CQ79" s="1070"/>
      <c r="CR79" s="1070"/>
      <c r="CS79" s="1070"/>
      <c r="CT79" s="1070"/>
      <c r="CU79" s="1070"/>
      <c r="CV79" s="1070"/>
      <c r="CW79" s="1070"/>
      <c r="CX79" s="1070"/>
      <c r="CY79" s="1070"/>
      <c r="CZ79" s="1070"/>
      <c r="DA79" s="1070"/>
      <c r="DB79" s="1070"/>
      <c r="DC79" s="1070"/>
      <c r="DD79" s="1070"/>
      <c r="DE79" s="1070"/>
      <c r="DF79" s="1070"/>
      <c r="DG79" s="1070"/>
      <c r="DH79" s="1070"/>
      <c r="DI79" s="1070"/>
    </row>
    <row r="80" spans="1:113" ht="15.75" x14ac:dyDescent="0.25">
      <c r="A80" s="1126" t="str">
        <f>IF(S71=10," Погрузка угля на погрузочном пункте, т","")</f>
        <v/>
      </c>
      <c r="B80" s="1322" t="e">
        <f>B707</f>
        <v>#VALUE!</v>
      </c>
      <c r="C80" s="1322" t="e">
        <f>B80*B1406*B1408</f>
        <v>#VALUE!</v>
      </c>
      <c r="D80" s="1321" t="e">
        <f>B708</f>
        <v>#VALUE!</v>
      </c>
      <c r="E80" s="1321"/>
      <c r="F80" s="1323" t="e">
        <f>B341</f>
        <v>#VALUE!</v>
      </c>
      <c r="G80" s="1321" t="e">
        <f>D80*F80</f>
        <v>#VALUE!</v>
      </c>
      <c r="H80" s="1321" t="e">
        <f>D80/G80</f>
        <v>#VALUE!</v>
      </c>
      <c r="I80" s="1070"/>
      <c r="J80" s="1315"/>
      <c r="K80" s="2581"/>
      <c r="L80" s="1316"/>
      <c r="M80" s="1315"/>
      <c r="N80" s="1070"/>
      <c r="O80" s="1070"/>
      <c r="P80" s="1070"/>
      <c r="Q80" s="1070"/>
      <c r="R80" s="1070"/>
      <c r="S80" s="1070"/>
      <c r="T80" s="1070"/>
      <c r="U80" s="1070"/>
      <c r="V80" s="1070"/>
      <c r="W80" s="1070"/>
      <c r="X80" s="1070"/>
      <c r="Y80" s="1070"/>
      <c r="Z80" s="1070"/>
      <c r="AA80" s="1070"/>
      <c r="AB80" s="1070"/>
      <c r="AC80" s="1070"/>
      <c r="AD80" s="1070"/>
      <c r="AE80" s="1070"/>
      <c r="AF80" s="1070"/>
      <c r="AG80" s="1070"/>
      <c r="AH80" s="1070"/>
      <c r="AI80" s="1070"/>
      <c r="AJ80" s="1070"/>
      <c r="AK80" s="1070"/>
      <c r="AL80" s="1070"/>
      <c r="AM80" s="1070"/>
      <c r="AN80" s="1070"/>
      <c r="AO80" s="1070"/>
      <c r="AP80" s="1070"/>
      <c r="AQ80" s="1070"/>
      <c r="AR80" s="1070"/>
      <c r="AS80" s="1070"/>
      <c r="AT80" s="1070"/>
      <c r="AU80" s="1070"/>
      <c r="AV80" s="1070"/>
      <c r="AW80" s="1070"/>
      <c r="AX80" s="1070"/>
      <c r="AY80" s="1070"/>
      <c r="AZ80" s="1070"/>
      <c r="BA80" s="1070"/>
      <c r="BB80" s="1070"/>
      <c r="BC80" s="1070"/>
      <c r="BD80" s="1070"/>
      <c r="BE80" s="1070"/>
      <c r="BF80" s="1070"/>
      <c r="BG80" s="1070"/>
      <c r="BH80" s="1070"/>
      <c r="BI80" s="1070"/>
      <c r="BJ80" s="1070"/>
      <c r="BK80" s="1070"/>
      <c r="BL80" s="1070"/>
      <c r="BM80" s="1070"/>
      <c r="BN80" s="1070"/>
      <c r="BO80" s="1070"/>
      <c r="BP80" s="1070"/>
      <c r="BQ80" s="1070"/>
      <c r="BR80" s="1070"/>
      <c r="BS80" s="1070"/>
      <c r="BT80" s="1070"/>
      <c r="BU80" s="1070"/>
      <c r="BV80" s="1070"/>
      <c r="BW80" s="1070"/>
      <c r="BX80" s="1070"/>
      <c r="BY80" s="1070"/>
      <c r="BZ80" s="1070"/>
      <c r="CA80" s="1070"/>
      <c r="CB80" s="1070"/>
      <c r="CC80" s="1070"/>
      <c r="CD80" s="1070"/>
      <c r="CE80" s="1070"/>
      <c r="CF80" s="1070"/>
      <c r="CG80" s="1070"/>
      <c r="CH80" s="1070"/>
      <c r="CI80" s="1070"/>
      <c r="CJ80" s="1070"/>
      <c r="CK80" s="1070"/>
      <c r="CL80" s="1070"/>
      <c r="CM80" s="1070"/>
      <c r="CN80" s="1070"/>
      <c r="CO80" s="1070"/>
      <c r="CP80" s="1070"/>
      <c r="CQ80" s="1070"/>
      <c r="CR80" s="1070"/>
      <c r="CS80" s="1070"/>
      <c r="CT80" s="1070"/>
      <c r="CU80" s="1070"/>
      <c r="CV80" s="1070"/>
      <c r="CW80" s="1070"/>
      <c r="CX80" s="1070"/>
      <c r="CY80" s="1070"/>
      <c r="CZ80" s="1070"/>
      <c r="DA80" s="1070"/>
      <c r="DB80" s="1070"/>
      <c r="DC80" s="1070"/>
      <c r="DD80" s="1070"/>
      <c r="DE80" s="1070"/>
      <c r="DF80" s="1070"/>
      <c r="DG80" s="1070"/>
      <c r="DH80" s="1070"/>
      <c r="DI80" s="1070"/>
    </row>
    <row r="81" spans="1:113" ht="15.75" x14ac:dyDescent="0.25">
      <c r="A81" s="874" t="str">
        <f>IF(S71=10," Извлечение арочной крепи при погашении выработки, шт","")</f>
        <v/>
      </c>
      <c r="B81" s="1321">
        <f>B545</f>
        <v>1.25</v>
      </c>
      <c r="C81" s="1321" t="e">
        <f>B81*B1406*B1408</f>
        <v>#VALUE!</v>
      </c>
      <c r="D81" s="1321">
        <f>B547</f>
        <v>12.8</v>
      </c>
      <c r="E81" s="1321"/>
      <c r="F81" s="1323" t="e">
        <f>B341</f>
        <v>#VALUE!</v>
      </c>
      <c r="G81" s="1321" t="e">
        <f>B548</f>
        <v>#VALUE!</v>
      </c>
      <c r="H81" s="1321" t="e">
        <f>B1413*B1406*B1408</f>
        <v>#VALUE!</v>
      </c>
      <c r="I81" s="1070"/>
      <c r="J81" s="1315"/>
      <c r="K81" s="2581"/>
      <c r="L81" s="1316"/>
      <c r="M81" s="1315"/>
      <c r="N81" s="1070"/>
      <c r="O81" s="1070"/>
      <c r="P81" s="1070"/>
      <c r="Q81" s="1070"/>
      <c r="R81" s="1070"/>
      <c r="S81" s="1070"/>
      <c r="T81" s="1070"/>
      <c r="U81" s="1070"/>
      <c r="V81" s="1070"/>
      <c r="W81" s="1070"/>
      <c r="X81" s="1070"/>
      <c r="Y81" s="1070"/>
      <c r="Z81" s="1070"/>
      <c r="AA81" s="1070"/>
      <c r="AB81" s="1070"/>
      <c r="AC81" s="1070"/>
      <c r="AD81" s="1070"/>
      <c r="AE81" s="1070"/>
      <c r="AF81" s="1070"/>
      <c r="AG81" s="1070"/>
      <c r="AH81" s="1070"/>
      <c r="AI81" s="1070"/>
      <c r="AJ81" s="1070"/>
      <c r="AK81" s="1070"/>
      <c r="AL81" s="1070"/>
      <c r="AM81" s="1070"/>
      <c r="AN81" s="1070"/>
      <c r="AO81" s="1070"/>
      <c r="AP81" s="1070"/>
      <c r="AQ81" s="1070"/>
      <c r="AR81" s="1070"/>
      <c r="AS81" s="1070"/>
      <c r="AT81" s="1070"/>
      <c r="AU81" s="1070"/>
      <c r="AV81" s="1070"/>
      <c r="AW81" s="1070"/>
      <c r="AX81" s="1070"/>
      <c r="AY81" s="1070"/>
      <c r="AZ81" s="1070"/>
      <c r="BA81" s="1070"/>
      <c r="BB81" s="1070"/>
      <c r="BC81" s="1070"/>
      <c r="BD81" s="1070"/>
      <c r="BE81" s="1070"/>
      <c r="BF81" s="1070"/>
      <c r="BG81" s="1070"/>
      <c r="BH81" s="1070"/>
      <c r="BI81" s="1070"/>
      <c r="BJ81" s="1070"/>
      <c r="BK81" s="1070"/>
      <c r="BL81" s="1070"/>
      <c r="BM81" s="1070"/>
      <c r="BN81" s="1070"/>
      <c r="BO81" s="1070"/>
      <c r="BP81" s="1070"/>
      <c r="BQ81" s="1070"/>
      <c r="BR81" s="1070"/>
      <c r="BS81" s="1070"/>
      <c r="BT81" s="1070"/>
      <c r="BU81" s="1070"/>
      <c r="BV81" s="1070"/>
      <c r="BW81" s="1070"/>
      <c r="BX81" s="1070"/>
      <c r="BY81" s="1070"/>
      <c r="BZ81" s="1070"/>
      <c r="CA81" s="1070"/>
      <c r="CB81" s="1070"/>
      <c r="CC81" s="1070"/>
      <c r="CD81" s="1070"/>
      <c r="CE81" s="1070"/>
      <c r="CF81" s="1070"/>
      <c r="CG81" s="1070"/>
      <c r="CH81" s="1070"/>
      <c r="CI81" s="1070"/>
      <c r="CJ81" s="1070"/>
      <c r="CK81" s="1070"/>
      <c r="CL81" s="1070"/>
      <c r="CM81" s="1070"/>
      <c r="CN81" s="1070"/>
      <c r="CO81" s="1070"/>
      <c r="CP81" s="1070"/>
      <c r="CQ81" s="1070"/>
      <c r="CR81" s="1070"/>
      <c r="CS81" s="1070"/>
      <c r="CT81" s="1070"/>
      <c r="CU81" s="1070"/>
      <c r="CV81" s="1070"/>
      <c r="CW81" s="1070"/>
      <c r="CX81" s="1070"/>
      <c r="CY81" s="1070"/>
      <c r="CZ81" s="1070"/>
      <c r="DA81" s="1070"/>
      <c r="DB81" s="1070"/>
      <c r="DC81" s="1070"/>
      <c r="DD81" s="1070"/>
      <c r="DE81" s="1070"/>
      <c r="DF81" s="1070"/>
      <c r="DG81" s="1070"/>
      <c r="DH81" s="1070"/>
      <c r="DI81" s="1070"/>
    </row>
    <row r="82" spans="1:113" ht="15.75" x14ac:dyDescent="0.25">
      <c r="A82" s="874" t="str">
        <f>IF(S71=10,"Извлечение и установка ножек арочной крепи, шт","")</f>
        <v/>
      </c>
      <c r="B82" s="1321">
        <f>B81</f>
        <v>1.25</v>
      </c>
      <c r="C82" s="1321" t="e">
        <f>C81</f>
        <v>#VALUE!</v>
      </c>
      <c r="D82" s="1321">
        <f>B547</f>
        <v>12.8</v>
      </c>
      <c r="E82" s="1321"/>
      <c r="F82" s="1323" t="e">
        <f>B341</f>
        <v>#VALUE!</v>
      </c>
      <c r="G82" s="1321" t="e">
        <f>B548</f>
        <v>#VALUE!</v>
      </c>
      <c r="H82" s="1321" t="e">
        <f>B550*B1406*B1408</f>
        <v>#VALUE!</v>
      </c>
      <c r="I82" s="1070"/>
      <c r="J82" s="1315"/>
      <c r="K82" s="2581"/>
      <c r="L82" s="1316"/>
      <c r="M82" s="1315"/>
      <c r="N82" s="1070"/>
      <c r="O82" s="1070"/>
      <c r="P82" s="1070"/>
      <c r="Q82" s="1070"/>
      <c r="R82" s="1070"/>
      <c r="S82" s="1070"/>
      <c r="T82" s="1070"/>
      <c r="U82" s="1070"/>
      <c r="V82" s="1070"/>
      <c r="W82" s="1070"/>
      <c r="X82" s="1070"/>
      <c r="Y82" s="1070"/>
      <c r="Z82" s="1070"/>
      <c r="AA82" s="1070"/>
      <c r="AB82" s="1070"/>
      <c r="AC82" s="1070"/>
      <c r="AD82" s="1070"/>
      <c r="AE82" s="1070"/>
      <c r="AF82" s="1070"/>
      <c r="AG82" s="1070"/>
      <c r="AH82" s="1070"/>
      <c r="AI82" s="1070"/>
      <c r="AJ82" s="1070"/>
      <c r="AK82" s="1070"/>
      <c r="AL82" s="1070"/>
      <c r="AM82" s="1070"/>
      <c r="AN82" s="1070"/>
      <c r="AO82" s="1070"/>
      <c r="AP82" s="1070"/>
      <c r="AQ82" s="1070"/>
      <c r="AR82" s="1070"/>
      <c r="AS82" s="1070"/>
      <c r="AT82" s="1070"/>
      <c r="AU82" s="1070"/>
      <c r="AV82" s="1070"/>
      <c r="AW82" s="1070"/>
      <c r="AX82" s="1070"/>
      <c r="AY82" s="1070"/>
      <c r="AZ82" s="1070"/>
      <c r="BA82" s="1070"/>
      <c r="BB82" s="1070"/>
      <c r="BC82" s="1070"/>
      <c r="BD82" s="1070"/>
      <c r="BE82" s="1070"/>
      <c r="BF82" s="1070"/>
      <c r="BG82" s="1070"/>
      <c r="BH82" s="1070"/>
      <c r="BI82" s="1070"/>
      <c r="BJ82" s="1070"/>
      <c r="BK82" s="1070"/>
      <c r="BL82" s="1070"/>
      <c r="BM82" s="1070"/>
      <c r="BN82" s="1070"/>
      <c r="BO82" s="1070"/>
      <c r="BP82" s="1070"/>
      <c r="BQ82" s="1070"/>
      <c r="BR82" s="1070"/>
      <c r="BS82" s="1070"/>
      <c r="BT82" s="1070"/>
      <c r="BU82" s="1070"/>
      <c r="BV82" s="1070"/>
      <c r="BW82" s="1070"/>
      <c r="BX82" s="1070"/>
      <c r="BY82" s="1070"/>
      <c r="BZ82" s="1070"/>
      <c r="CA82" s="1070"/>
      <c r="CB82" s="1070"/>
      <c r="CC82" s="1070"/>
      <c r="CD82" s="1070"/>
      <c r="CE82" s="1070"/>
      <c r="CF82" s="1070"/>
      <c r="CG82" s="1070"/>
      <c r="CH82" s="1070"/>
      <c r="CI82" s="1070"/>
      <c r="CJ82" s="1070"/>
      <c r="CK82" s="1070"/>
      <c r="CL82" s="1070"/>
      <c r="CM82" s="1070"/>
      <c r="CN82" s="1070"/>
      <c r="CO82" s="1070"/>
      <c r="CP82" s="1070"/>
      <c r="CQ82" s="1070"/>
      <c r="CR82" s="1070"/>
      <c r="CS82" s="1070"/>
      <c r="CT82" s="1070"/>
      <c r="CU82" s="1070"/>
      <c r="CV82" s="1070"/>
      <c r="CW82" s="1070"/>
      <c r="CX82" s="1070"/>
      <c r="CY82" s="1070"/>
      <c r="CZ82" s="1070"/>
      <c r="DA82" s="1070"/>
      <c r="DB82" s="1070"/>
      <c r="DC82" s="1070"/>
      <c r="DD82" s="1070"/>
      <c r="DE82" s="1070"/>
      <c r="DF82" s="1070"/>
      <c r="DG82" s="1070"/>
      <c r="DH82" s="1070"/>
      <c r="DI82" s="1070"/>
    </row>
    <row r="83" spans="1:113" ht="15.75" x14ac:dyDescent="0.25">
      <c r="A83" s="1126" t="str">
        <f>IF(S71=10," Укорачивание скребкового конвейера, м","")</f>
        <v/>
      </c>
      <c r="B83" s="1321">
        <f>B555</f>
        <v>1</v>
      </c>
      <c r="C83" s="1321" t="e">
        <f>B83*B1406*B1408</f>
        <v>#VALUE!</v>
      </c>
      <c r="D83" s="1321">
        <f>B556</f>
        <v>4.6399999999999997</v>
      </c>
      <c r="E83" s="1321"/>
      <c r="F83" s="1323" t="e">
        <f>B341</f>
        <v>#VALUE!</v>
      </c>
      <c r="G83" s="1321" t="e">
        <f>B558</f>
        <v>#VALUE!</v>
      </c>
      <c r="H83" s="1321" t="e">
        <f>B1415*B1406*B1408</f>
        <v>#VALUE!</v>
      </c>
      <c r="I83" s="1070"/>
      <c r="J83" s="1315"/>
      <c r="K83" s="2581"/>
      <c r="L83" s="1316"/>
      <c r="M83" s="1315"/>
      <c r="N83" s="1070"/>
      <c r="O83" s="1070"/>
      <c r="P83" s="1070"/>
      <c r="Q83" s="1070"/>
      <c r="R83" s="1070"/>
      <c r="S83" s="1070"/>
      <c r="T83" s="1070"/>
      <c r="U83" s="1070"/>
      <c r="V83" s="1070"/>
      <c r="W83" s="1070"/>
      <c r="X83" s="1070"/>
      <c r="Y83" s="1070"/>
      <c r="Z83" s="1070"/>
      <c r="AA83" s="1070"/>
      <c r="AB83" s="1070"/>
      <c r="AC83" s="1070"/>
      <c r="AD83" s="1070"/>
      <c r="AE83" s="1070"/>
      <c r="AF83" s="1070"/>
      <c r="AG83" s="1070"/>
      <c r="AH83" s="1070"/>
      <c r="AI83" s="1070"/>
      <c r="AJ83" s="1070"/>
      <c r="AK83" s="1070"/>
      <c r="AL83" s="1070"/>
      <c r="AM83" s="1070"/>
      <c r="AN83" s="1070"/>
      <c r="AO83" s="1070"/>
      <c r="AP83" s="1070"/>
      <c r="AQ83" s="1070"/>
      <c r="AR83" s="1070"/>
      <c r="AS83" s="1070"/>
      <c r="AT83" s="1070"/>
      <c r="AU83" s="1070"/>
      <c r="AV83" s="1070"/>
      <c r="AW83" s="1070"/>
      <c r="AX83" s="1070"/>
      <c r="AY83" s="1070"/>
      <c r="AZ83" s="1070"/>
      <c r="BA83" s="1070"/>
      <c r="BB83" s="1070"/>
      <c r="BC83" s="1070"/>
      <c r="BD83" s="1070"/>
      <c r="BE83" s="1070"/>
      <c r="BF83" s="1070"/>
      <c r="BG83" s="1070"/>
      <c r="BH83" s="1070"/>
      <c r="BI83" s="1070"/>
      <c r="BJ83" s="1070"/>
      <c r="BK83" s="1070"/>
      <c r="BL83" s="1070"/>
      <c r="BM83" s="1070"/>
      <c r="BN83" s="1070"/>
      <c r="BO83" s="1070"/>
      <c r="BP83" s="1070"/>
      <c r="BQ83" s="1070"/>
      <c r="BR83" s="1070"/>
      <c r="BS83" s="1070"/>
      <c r="BT83" s="1070"/>
      <c r="BU83" s="1070"/>
      <c r="BV83" s="1070"/>
      <c r="BW83" s="1070"/>
      <c r="BX83" s="1070"/>
      <c r="BY83" s="1070"/>
      <c r="BZ83" s="1070"/>
      <c r="CA83" s="1070"/>
      <c r="CB83" s="1070"/>
      <c r="CC83" s="1070"/>
      <c r="CD83" s="1070"/>
      <c r="CE83" s="1070"/>
      <c r="CF83" s="1070"/>
      <c r="CG83" s="1070"/>
      <c r="CH83" s="1070"/>
      <c r="CI83" s="1070"/>
      <c r="CJ83" s="1070"/>
      <c r="CK83" s="1070"/>
      <c r="CL83" s="1070"/>
      <c r="CM83" s="1070"/>
      <c r="CN83" s="1070"/>
      <c r="CO83" s="1070"/>
      <c r="CP83" s="1070"/>
      <c r="CQ83" s="1070"/>
      <c r="CR83" s="1070"/>
      <c r="CS83" s="1070"/>
      <c r="CT83" s="1070"/>
      <c r="CU83" s="1070"/>
      <c r="CV83" s="1070"/>
      <c r="CW83" s="1070"/>
      <c r="CX83" s="1070"/>
      <c r="CY83" s="1070"/>
      <c r="CZ83" s="1070"/>
      <c r="DA83" s="1070"/>
      <c r="DB83" s="1070"/>
      <c r="DC83" s="1070"/>
      <c r="DD83" s="1070"/>
      <c r="DE83" s="1070"/>
      <c r="DF83" s="1070"/>
      <c r="DG83" s="1070"/>
      <c r="DH83" s="1070"/>
      <c r="DI83" s="1070"/>
    </row>
    <row r="84" spans="1:113" ht="15.75" x14ac:dyDescent="0.25">
      <c r="A84" s="1324" t="str">
        <f>IF(S71=10,IF(B257=1,A278,A276),"")</f>
        <v/>
      </c>
      <c r="B84" s="1325" t="e">
        <f>IF(B257=1,B278,B276)</f>
        <v>#VALUE!</v>
      </c>
      <c r="C84" s="1325" t="e">
        <f>IF(B257=1,C278,C276)</f>
        <v>#VALUE!</v>
      </c>
      <c r="D84" s="1326">
        <f>IF(B257=1,D278,D276)</f>
        <v>12.91</v>
      </c>
      <c r="E84" s="1326"/>
      <c r="F84" s="1327" t="e">
        <f>IF(B257=1,F278,F276)</f>
        <v>#VALUE!</v>
      </c>
      <c r="G84" s="1327" t="e">
        <f>IF(B257=1,G278,G276)</f>
        <v>#VALUE!</v>
      </c>
      <c r="H84" s="1327" t="e">
        <f>IF(B257=1,H278,H276)</f>
        <v>#VALUE!</v>
      </c>
      <c r="I84" s="1070"/>
      <c r="J84" s="1315"/>
      <c r="K84" s="2581"/>
      <c r="L84" s="1316"/>
      <c r="M84" s="1315"/>
      <c r="N84" s="1070"/>
      <c r="O84" s="1070"/>
      <c r="P84" s="1070"/>
      <c r="Q84" s="1070"/>
      <c r="R84" s="1070"/>
      <c r="S84" s="1070"/>
      <c r="T84" s="1070"/>
      <c r="U84" s="1070"/>
      <c r="V84" s="1070"/>
      <c r="W84" s="1070"/>
      <c r="X84" s="1070"/>
      <c r="Y84" s="1070"/>
      <c r="Z84" s="1070"/>
      <c r="AA84" s="1070"/>
      <c r="AB84" s="1070"/>
      <c r="AC84" s="1070"/>
      <c r="AD84" s="1070"/>
      <c r="AE84" s="1070"/>
      <c r="AF84" s="1070"/>
      <c r="AG84" s="1070"/>
      <c r="AH84" s="1070"/>
      <c r="AI84" s="1070"/>
      <c r="AJ84" s="1070"/>
      <c r="AK84" s="1070"/>
      <c r="AL84" s="1070"/>
      <c r="AM84" s="1070"/>
      <c r="AN84" s="1070"/>
      <c r="AO84" s="1070"/>
      <c r="AP84" s="1070"/>
      <c r="AQ84" s="1070"/>
      <c r="AR84" s="1070"/>
      <c r="AS84" s="1070"/>
      <c r="AT84" s="1070"/>
      <c r="AU84" s="1070"/>
      <c r="AV84" s="1070"/>
      <c r="AW84" s="1070"/>
      <c r="AX84" s="1070"/>
      <c r="AY84" s="1070"/>
      <c r="AZ84" s="1070"/>
      <c r="BA84" s="1070"/>
      <c r="BB84" s="1070"/>
      <c r="BC84" s="1070"/>
      <c r="BD84" s="1070"/>
      <c r="BE84" s="1070"/>
      <c r="BF84" s="1070"/>
      <c r="BG84" s="1070"/>
      <c r="BH84" s="1070"/>
      <c r="BI84" s="1070"/>
      <c r="BJ84" s="1070"/>
      <c r="BK84" s="1070"/>
      <c r="BL84" s="1070"/>
      <c r="BM84" s="1070"/>
      <c r="BN84" s="1070"/>
      <c r="BO84" s="1070"/>
      <c r="BP84" s="1070"/>
      <c r="BQ84" s="1070"/>
      <c r="BR84" s="1070"/>
      <c r="BS84" s="1070"/>
      <c r="BT84" s="1070"/>
      <c r="BU84" s="1070"/>
      <c r="BV84" s="1070"/>
      <c r="BW84" s="1070"/>
      <c r="BX84" s="1070"/>
      <c r="BY84" s="1070"/>
      <c r="BZ84" s="1070"/>
      <c r="CA84" s="1070"/>
      <c r="CB84" s="1070"/>
      <c r="CC84" s="1070"/>
      <c r="CD84" s="1070"/>
      <c r="CE84" s="1070"/>
      <c r="CF84" s="1070"/>
      <c r="CG84" s="1070"/>
      <c r="CH84" s="1070"/>
      <c r="CI84" s="1070"/>
      <c r="CJ84" s="1070"/>
      <c r="CK84" s="1070"/>
      <c r="CL84" s="1070"/>
      <c r="CM84" s="1070"/>
      <c r="CN84" s="1070"/>
      <c r="CO84" s="1070"/>
      <c r="CP84" s="1070"/>
      <c r="CQ84" s="1070"/>
      <c r="CR84" s="1070"/>
      <c r="CS84" s="1070"/>
      <c r="CT84" s="1070"/>
      <c r="CU84" s="1070"/>
      <c r="CV84" s="1070"/>
      <c r="CW84" s="1070"/>
      <c r="CX84" s="1070"/>
      <c r="CY84" s="1070"/>
      <c r="CZ84" s="1070"/>
      <c r="DA84" s="1070"/>
      <c r="DB84" s="1070"/>
      <c r="DC84" s="1070"/>
      <c r="DD84" s="1070"/>
      <c r="DE84" s="1070"/>
      <c r="DF84" s="1070"/>
      <c r="DG84" s="1070"/>
      <c r="DH84" s="1070"/>
      <c r="DI84" s="1070"/>
    </row>
    <row r="85" spans="1:113" ht="15.75" x14ac:dyDescent="0.25">
      <c r="A85" s="1324" t="str">
        <f>IF(S71=10,A277,"")</f>
        <v/>
      </c>
      <c r="B85" s="1325" t="str">
        <f>IF(B257=1,"",B277)</f>
        <v/>
      </c>
      <c r="C85" s="1325" t="str">
        <f>IF(B257=1,"",C277)</f>
        <v/>
      </c>
      <c r="D85" s="1326" t="str">
        <f>IF(B257=1,"",D277)</f>
        <v/>
      </c>
      <c r="E85" s="1326"/>
      <c r="F85" s="1327" t="str">
        <f>IF(B257=1,"",F277)</f>
        <v/>
      </c>
      <c r="G85" s="1327" t="str">
        <f>IF(B257=1,"",G277)</f>
        <v/>
      </c>
      <c r="H85" s="1327" t="str">
        <f>IF(B257=1,"",H277)</f>
        <v/>
      </c>
      <c r="I85" s="1070"/>
      <c r="J85" s="1315"/>
      <c r="K85" s="2581"/>
      <c r="L85" s="1316"/>
      <c r="M85" s="1315"/>
      <c r="N85" s="1070"/>
      <c r="O85" s="1070"/>
      <c r="P85" s="1070"/>
      <c r="Q85" s="1070"/>
      <c r="R85" s="1070"/>
      <c r="S85" s="1070"/>
      <c r="T85" s="1070"/>
      <c r="U85" s="1070"/>
      <c r="V85" s="1070"/>
      <c r="W85" s="1070"/>
      <c r="X85" s="1070"/>
      <c r="Y85" s="1070"/>
      <c r="Z85" s="1070"/>
      <c r="AA85" s="1070"/>
      <c r="AB85" s="1070"/>
      <c r="AC85" s="1070"/>
      <c r="AD85" s="1070"/>
      <c r="AE85" s="1070"/>
      <c r="AF85" s="1070"/>
      <c r="AG85" s="1070"/>
      <c r="AH85" s="1070"/>
      <c r="AI85" s="1070"/>
      <c r="AJ85" s="1070"/>
      <c r="AK85" s="1070"/>
      <c r="AL85" s="1070"/>
      <c r="AM85" s="1070"/>
      <c r="AN85" s="1070"/>
      <c r="AO85" s="1070"/>
      <c r="AP85" s="1070"/>
      <c r="AQ85" s="1070"/>
      <c r="AR85" s="1070"/>
      <c r="AS85" s="1070"/>
      <c r="AT85" s="1070"/>
      <c r="AU85" s="1070"/>
      <c r="AV85" s="1070"/>
      <c r="AW85" s="1070"/>
      <c r="AX85" s="1070"/>
      <c r="AY85" s="1070"/>
      <c r="AZ85" s="1070"/>
      <c r="BA85" s="1070"/>
      <c r="BB85" s="1070"/>
      <c r="BC85" s="1070"/>
      <c r="BD85" s="1070"/>
      <c r="BE85" s="1070"/>
      <c r="BF85" s="1070"/>
      <c r="BG85" s="1070"/>
      <c r="BH85" s="1070"/>
      <c r="BI85" s="1070"/>
      <c r="BJ85" s="1070"/>
      <c r="BK85" s="1070"/>
      <c r="BL85" s="1070"/>
      <c r="BM85" s="1070"/>
      <c r="BN85" s="1070"/>
      <c r="BO85" s="1070"/>
      <c r="BP85" s="1070"/>
      <c r="BQ85" s="1070"/>
      <c r="BR85" s="1070"/>
      <c r="BS85" s="1070"/>
      <c r="BT85" s="1070"/>
      <c r="BU85" s="1070"/>
      <c r="BV85" s="1070"/>
      <c r="BW85" s="1070"/>
      <c r="BX85" s="1070"/>
      <c r="BY85" s="1070"/>
      <c r="BZ85" s="1070"/>
      <c r="CA85" s="1070"/>
      <c r="CB85" s="1070"/>
      <c r="CC85" s="1070"/>
      <c r="CD85" s="1070"/>
      <c r="CE85" s="1070"/>
      <c r="CF85" s="1070"/>
      <c r="CG85" s="1070"/>
      <c r="CH85" s="1070"/>
      <c r="CI85" s="1070"/>
      <c r="CJ85" s="1070"/>
      <c r="CK85" s="1070"/>
      <c r="CL85" s="1070"/>
      <c r="CM85" s="1070"/>
      <c r="CN85" s="1070"/>
      <c r="CO85" s="1070"/>
      <c r="CP85" s="1070"/>
      <c r="CQ85" s="1070"/>
      <c r="CR85" s="1070"/>
      <c r="CS85" s="1070"/>
      <c r="CT85" s="1070"/>
      <c r="CU85" s="1070"/>
      <c r="CV85" s="1070"/>
      <c r="CW85" s="1070"/>
      <c r="CX85" s="1070"/>
      <c r="CY85" s="1070"/>
      <c r="CZ85" s="1070"/>
      <c r="DA85" s="1070"/>
      <c r="DB85" s="1070"/>
      <c r="DC85" s="1070"/>
      <c r="DD85" s="1070"/>
      <c r="DE85" s="1070"/>
      <c r="DF85" s="1070"/>
      <c r="DG85" s="1070"/>
      <c r="DH85" s="1070"/>
      <c r="DI85" s="1070"/>
    </row>
    <row r="86" spans="1:113" ht="15.75" x14ac:dyDescent="0.25">
      <c r="A86" s="1126" t="str">
        <f>IF(S71=10,"Установка крепи усиления в выработке, шт","")</f>
        <v/>
      </c>
      <c r="B86" s="1321">
        <f>B472</f>
        <v>1.25</v>
      </c>
      <c r="C86" s="1321" t="e">
        <f>B86*B1406*B1408</f>
        <v>#VALUE!</v>
      </c>
      <c r="D86" s="1321">
        <f>B473</f>
        <v>22.4</v>
      </c>
      <c r="E86" s="1321"/>
      <c r="F86" s="1323" t="e">
        <f>B341</f>
        <v>#VALUE!</v>
      </c>
      <c r="G86" s="1321" t="e">
        <f>D86*F86</f>
        <v>#VALUE!</v>
      </c>
      <c r="H86" s="1321" t="e">
        <f>C86/G86</f>
        <v>#VALUE!</v>
      </c>
      <c r="I86" s="1328"/>
      <c r="J86" s="1315"/>
      <c r="K86" s="2581"/>
      <c r="L86" s="1316"/>
      <c r="M86" s="1315"/>
      <c r="N86" s="1070"/>
      <c r="O86" s="1070"/>
      <c r="P86" s="1070"/>
      <c r="Q86" s="1070"/>
      <c r="R86" s="1070"/>
      <c r="S86" s="1070"/>
      <c r="T86" s="1070"/>
      <c r="U86" s="1070"/>
      <c r="V86" s="1070"/>
      <c r="W86" s="1070"/>
      <c r="X86" s="1070"/>
      <c r="Y86" s="1070"/>
      <c r="Z86" s="1070"/>
      <c r="AA86" s="1070"/>
      <c r="AB86" s="1070"/>
      <c r="AC86" s="1070"/>
      <c r="AD86" s="1070"/>
      <c r="AE86" s="1070"/>
      <c r="AF86" s="1070"/>
      <c r="AG86" s="1070"/>
      <c r="AH86" s="1070"/>
      <c r="AI86" s="1070"/>
      <c r="AJ86" s="1070"/>
      <c r="AK86" s="1070"/>
      <c r="AL86" s="1070"/>
      <c r="AM86" s="1070"/>
      <c r="AN86" s="1070"/>
      <c r="AO86" s="1070"/>
      <c r="AP86" s="1070"/>
      <c r="AQ86" s="1070"/>
      <c r="AR86" s="1070"/>
      <c r="AS86" s="1070"/>
      <c r="AT86" s="1070"/>
      <c r="AU86" s="1070"/>
      <c r="AV86" s="1070"/>
      <c r="AW86" s="1070"/>
      <c r="AX86" s="1070"/>
      <c r="AY86" s="1070"/>
      <c r="AZ86" s="1070"/>
      <c r="BA86" s="1070"/>
      <c r="BB86" s="1070"/>
      <c r="BC86" s="1070"/>
      <c r="BD86" s="1070"/>
      <c r="BE86" s="1070"/>
      <c r="BF86" s="1070"/>
      <c r="BG86" s="1070"/>
      <c r="BH86" s="1070"/>
      <c r="BI86" s="1070"/>
      <c r="BJ86" s="1070"/>
      <c r="BK86" s="1070"/>
      <c r="BL86" s="1070"/>
      <c r="BM86" s="1070"/>
      <c r="BN86" s="1070"/>
      <c r="BO86" s="1070"/>
      <c r="BP86" s="1070"/>
      <c r="BQ86" s="1070"/>
      <c r="BR86" s="1070"/>
      <c r="BS86" s="1070"/>
      <c r="BT86" s="1070"/>
      <c r="BU86" s="1070"/>
      <c r="BV86" s="1070"/>
      <c r="BW86" s="1070"/>
      <c r="BX86" s="1070"/>
      <c r="BY86" s="1070"/>
      <c r="BZ86" s="1070"/>
      <c r="CA86" s="1070"/>
      <c r="CB86" s="1070"/>
      <c r="CC86" s="1070"/>
      <c r="CD86" s="1070"/>
      <c r="CE86" s="1070"/>
      <c r="CF86" s="1070"/>
      <c r="CG86" s="1070"/>
      <c r="CH86" s="1070"/>
      <c r="CI86" s="1070"/>
      <c r="CJ86" s="1070"/>
      <c r="CK86" s="1070"/>
      <c r="CL86" s="1070"/>
      <c r="CM86" s="1070"/>
      <c r="CN86" s="1070"/>
      <c r="CO86" s="1070"/>
      <c r="CP86" s="1070"/>
      <c r="CQ86" s="1070"/>
      <c r="CR86" s="1070"/>
      <c r="CS86" s="1070"/>
      <c r="CT86" s="1070"/>
      <c r="CU86" s="1070"/>
      <c r="CV86" s="1070"/>
      <c r="CW86" s="1070"/>
      <c r="CX86" s="1070"/>
      <c r="CY86" s="1070"/>
      <c r="CZ86" s="1070"/>
      <c r="DA86" s="1070"/>
      <c r="DB86" s="1070"/>
      <c r="DC86" s="1070"/>
      <c r="DD86" s="1070"/>
      <c r="DE86" s="1070"/>
      <c r="DF86" s="1070"/>
      <c r="DG86" s="1070"/>
      <c r="DH86" s="1070"/>
      <c r="DI86" s="1070"/>
    </row>
    <row r="87" spans="1:113" ht="15.75" x14ac:dyDescent="0.25">
      <c r="A87" s="1126" t="str">
        <f>IF(S71=10,"Сооружение средств охраны","")</f>
        <v/>
      </c>
      <c r="B87" s="1329" t="e">
        <f>INDEX(G212:O212,B213)</f>
        <v>#VALUE!</v>
      </c>
      <c r="C87" s="1329"/>
      <c r="D87" s="1329"/>
      <c r="E87" s="1329"/>
      <c r="F87" s="1329"/>
      <c r="G87" s="1329"/>
      <c r="H87" s="1321" t="e">
        <f>INDEX(охр!B70:B78,B213)*B1406*B1408*B246</f>
        <v>#VALUE!</v>
      </c>
      <c r="I87" s="1328"/>
      <c r="J87" s="1315"/>
      <c r="K87" s="2581"/>
      <c r="L87" s="1316"/>
      <c r="M87" s="1315"/>
      <c r="N87" s="1070"/>
      <c r="O87" s="1070"/>
      <c r="P87" s="1070"/>
      <c r="Q87" s="1070"/>
      <c r="R87" s="1070"/>
      <c r="S87" s="1070"/>
      <c r="T87" s="1070"/>
      <c r="U87" s="1070"/>
      <c r="V87" s="1070"/>
      <c r="W87" s="1070"/>
      <c r="X87" s="1070"/>
      <c r="Y87" s="1070"/>
      <c r="Z87" s="1070"/>
      <c r="AA87" s="1070"/>
      <c r="AB87" s="1070"/>
      <c r="AC87" s="1070"/>
      <c r="AD87" s="1070"/>
      <c r="AE87" s="1070"/>
      <c r="AF87" s="1070"/>
      <c r="AG87" s="1070"/>
      <c r="AH87" s="1070"/>
      <c r="AI87" s="1070"/>
      <c r="AJ87" s="1070"/>
      <c r="AK87" s="1070"/>
      <c r="AL87" s="1070"/>
      <c r="AM87" s="1070"/>
      <c r="AN87" s="1070"/>
      <c r="AO87" s="1070"/>
      <c r="AP87" s="1070"/>
      <c r="AQ87" s="1070"/>
      <c r="AR87" s="1070"/>
      <c r="AS87" s="1070"/>
      <c r="AT87" s="1070"/>
      <c r="AU87" s="1070"/>
      <c r="AV87" s="1070"/>
      <c r="AW87" s="1070"/>
      <c r="AX87" s="1070"/>
      <c r="AY87" s="1070"/>
      <c r="AZ87" s="1070"/>
      <c r="BA87" s="1070"/>
      <c r="BB87" s="1070"/>
      <c r="BC87" s="1070"/>
      <c r="BD87" s="1070"/>
      <c r="BE87" s="1070"/>
      <c r="BF87" s="1070"/>
      <c r="BG87" s="1070"/>
      <c r="BH87" s="1070"/>
      <c r="BI87" s="1070"/>
      <c r="BJ87" s="1070"/>
      <c r="BK87" s="1070"/>
      <c r="BL87" s="1070"/>
      <c r="BM87" s="1070"/>
      <c r="BN87" s="1070"/>
      <c r="BO87" s="1070"/>
      <c r="BP87" s="1070"/>
      <c r="BQ87" s="1070"/>
      <c r="BR87" s="1070"/>
      <c r="BS87" s="1070"/>
      <c r="BT87" s="1070"/>
      <c r="BU87" s="1070"/>
      <c r="BV87" s="1070"/>
      <c r="BW87" s="1070"/>
      <c r="BX87" s="1070"/>
      <c r="BY87" s="1070"/>
      <c r="BZ87" s="1070"/>
      <c r="CA87" s="1070"/>
      <c r="CB87" s="1070"/>
      <c r="CC87" s="1070"/>
      <c r="CD87" s="1070"/>
      <c r="CE87" s="1070"/>
      <c r="CF87" s="1070"/>
      <c r="CG87" s="1070"/>
      <c r="CH87" s="1070"/>
      <c r="CI87" s="1070"/>
      <c r="CJ87" s="1070"/>
      <c r="CK87" s="1070"/>
      <c r="CL87" s="1070"/>
      <c r="CM87" s="1070"/>
      <c r="CN87" s="1070"/>
      <c r="CO87" s="1070"/>
      <c r="CP87" s="1070"/>
      <c r="CQ87" s="1070"/>
      <c r="CR87" s="1070"/>
      <c r="CS87" s="1070"/>
      <c r="CT87" s="1070"/>
      <c r="CU87" s="1070"/>
      <c r="CV87" s="1070"/>
      <c r="CW87" s="1070"/>
      <c r="CX87" s="1070"/>
      <c r="CY87" s="1070"/>
      <c r="CZ87" s="1070"/>
      <c r="DA87" s="1070"/>
      <c r="DB87" s="1070"/>
      <c r="DC87" s="1070"/>
      <c r="DD87" s="1070"/>
      <c r="DE87" s="1070"/>
      <c r="DF87" s="1070"/>
      <c r="DG87" s="1070"/>
      <c r="DH87" s="1070"/>
      <c r="DI87" s="1070"/>
    </row>
    <row r="88" spans="1:113" ht="15.75" x14ac:dyDescent="0.25">
      <c r="A88" s="1330" t="str">
        <f>IF(S71=10,"Всего за сутки","")</f>
        <v/>
      </c>
      <c r="B88" s="1329"/>
      <c r="C88" s="1329"/>
      <c r="D88" s="1329"/>
      <c r="E88" s="1329"/>
      <c r="F88" s="1329"/>
      <c r="G88" s="1329"/>
      <c r="H88" s="1331" t="e">
        <f>SUM(H79:H87)</f>
        <v>#DIV/0!</v>
      </c>
      <c r="I88" s="1328"/>
      <c r="J88" s="1315"/>
      <c r="K88" s="2581"/>
      <c r="L88" s="1316"/>
      <c r="M88" s="1315"/>
      <c r="N88" s="1070"/>
      <c r="O88" s="1070"/>
      <c r="P88" s="1070"/>
      <c r="Q88" s="1070"/>
      <c r="R88" s="1070"/>
      <c r="S88" s="1070"/>
      <c r="T88" s="1070"/>
      <c r="U88" s="1070"/>
      <c r="V88" s="1070"/>
      <c r="W88" s="1070"/>
      <c r="X88" s="1070"/>
      <c r="Y88" s="1070"/>
      <c r="Z88" s="1070"/>
      <c r="AA88" s="1070"/>
      <c r="AB88" s="1070"/>
      <c r="AC88" s="1070"/>
      <c r="AD88" s="1070"/>
      <c r="AE88" s="1070"/>
      <c r="AF88" s="1070"/>
      <c r="AG88" s="1070"/>
      <c r="AH88" s="1070"/>
      <c r="AI88" s="1070"/>
      <c r="AJ88" s="1070"/>
      <c r="AK88" s="1070"/>
      <c r="AL88" s="1070"/>
      <c r="AM88" s="1070"/>
      <c r="AN88" s="1070"/>
      <c r="AO88" s="1070"/>
      <c r="AP88" s="1070"/>
      <c r="AQ88" s="1070"/>
      <c r="AR88" s="1070"/>
      <c r="AS88" s="1070"/>
      <c r="AT88" s="1070"/>
      <c r="AU88" s="1070"/>
      <c r="AV88" s="1070"/>
      <c r="AW88" s="1070"/>
      <c r="AX88" s="1070"/>
      <c r="AY88" s="1070"/>
      <c r="AZ88" s="1070"/>
      <c r="BA88" s="1070"/>
      <c r="BB88" s="1070"/>
      <c r="BC88" s="1070"/>
      <c r="BD88" s="1070"/>
      <c r="BE88" s="1070"/>
      <c r="BF88" s="1070"/>
      <c r="BG88" s="1070"/>
      <c r="BH88" s="1070"/>
      <c r="BI88" s="1070"/>
      <c r="BJ88" s="1070"/>
      <c r="BK88" s="1070"/>
      <c r="BL88" s="1070"/>
      <c r="BM88" s="1070"/>
      <c r="BN88" s="1070"/>
      <c r="BO88" s="1070"/>
      <c r="BP88" s="1070"/>
      <c r="BQ88" s="1070"/>
      <c r="BR88" s="1070"/>
      <c r="BS88" s="1070"/>
      <c r="BT88" s="1070"/>
      <c r="BU88" s="1070"/>
      <c r="BV88" s="1070"/>
      <c r="BW88" s="1070"/>
      <c r="BX88" s="1070"/>
      <c r="BY88" s="1070"/>
      <c r="BZ88" s="1070"/>
      <c r="CA88" s="1070"/>
      <c r="CB88" s="1070"/>
      <c r="CC88" s="1070"/>
      <c r="CD88" s="1070"/>
      <c r="CE88" s="1070"/>
      <c r="CF88" s="1070"/>
      <c r="CG88" s="1070"/>
      <c r="CH88" s="1070"/>
      <c r="CI88" s="1070"/>
      <c r="CJ88" s="1070"/>
      <c r="CK88" s="1070"/>
      <c r="CL88" s="1070"/>
      <c r="CM88" s="1070"/>
      <c r="CN88" s="1070"/>
      <c r="CO88" s="1070"/>
      <c r="CP88" s="1070"/>
      <c r="CQ88" s="1070"/>
      <c r="CR88" s="1070"/>
      <c r="CS88" s="1070"/>
      <c r="CT88" s="1070"/>
      <c r="CU88" s="1070"/>
      <c r="CV88" s="1070"/>
      <c r="CW88" s="1070"/>
      <c r="CX88" s="1070"/>
      <c r="CY88" s="1070"/>
      <c r="CZ88" s="1070"/>
      <c r="DA88" s="1070"/>
      <c r="DB88" s="1070"/>
      <c r="DC88" s="1070"/>
      <c r="DD88" s="1070"/>
      <c r="DE88" s="1070"/>
      <c r="DF88" s="1070"/>
      <c r="DG88" s="1070"/>
      <c r="DH88" s="1070"/>
      <c r="DI88" s="1070"/>
    </row>
    <row r="89" spans="1:113" ht="15.75" x14ac:dyDescent="0.25">
      <c r="A89" s="4629" t="str">
        <f>IF(S71=10,"Работы на сопряжении лавы с вентиляционной  выработкой","")</f>
        <v/>
      </c>
      <c r="B89" s="4478"/>
      <c r="C89" s="4478"/>
      <c r="D89" s="4478"/>
      <c r="E89" s="4478"/>
      <c r="F89" s="4478"/>
      <c r="G89" s="4478"/>
      <c r="H89" s="4477"/>
      <c r="I89" s="1070"/>
      <c r="J89" s="1315"/>
      <c r="K89" s="2581"/>
      <c r="L89" s="1316"/>
      <c r="M89" s="1315"/>
      <c r="N89" s="1070"/>
      <c r="O89" s="1070"/>
      <c r="P89" s="1070"/>
      <c r="Q89" s="1070"/>
      <c r="R89" s="1070"/>
      <c r="S89" s="1070"/>
      <c r="T89" s="1070"/>
      <c r="U89" s="1070"/>
      <c r="V89" s="1070"/>
      <c r="W89" s="1070"/>
      <c r="X89" s="1070"/>
      <c r="Y89" s="1070"/>
      <c r="Z89" s="1070"/>
      <c r="AA89" s="1070"/>
      <c r="AB89" s="1070"/>
      <c r="AC89" s="1070"/>
      <c r="AD89" s="1070"/>
      <c r="AE89" s="1070"/>
      <c r="AF89" s="1070"/>
      <c r="AG89" s="1070"/>
      <c r="AH89" s="1070"/>
      <c r="AI89" s="1070"/>
      <c r="AJ89" s="1070"/>
      <c r="AK89" s="1070"/>
      <c r="AL89" s="1070"/>
      <c r="AM89" s="1070"/>
      <c r="AN89" s="1070"/>
      <c r="AO89" s="1070"/>
      <c r="AP89" s="1070"/>
      <c r="AQ89" s="1070"/>
      <c r="AR89" s="1070"/>
      <c r="AS89" s="1070"/>
      <c r="AT89" s="1070"/>
      <c r="AU89" s="1070"/>
      <c r="AV89" s="1070"/>
      <c r="AW89" s="1070"/>
      <c r="AX89" s="1070"/>
      <c r="AY89" s="1070"/>
      <c r="AZ89" s="1070"/>
      <c r="BA89" s="1070"/>
      <c r="BB89" s="1070"/>
      <c r="BC89" s="1070"/>
      <c r="BD89" s="1070"/>
      <c r="BE89" s="1070"/>
      <c r="BF89" s="1070"/>
      <c r="BG89" s="1070"/>
      <c r="BH89" s="1070"/>
      <c r="BI89" s="1070"/>
      <c r="BJ89" s="1070"/>
      <c r="BK89" s="1070"/>
      <c r="BL89" s="1070"/>
      <c r="BM89" s="1070"/>
      <c r="BN89" s="1070"/>
      <c r="BO89" s="1070"/>
      <c r="BP89" s="1070"/>
      <c r="BQ89" s="1070"/>
      <c r="BR89" s="1070"/>
      <c r="BS89" s="1070"/>
      <c r="BT89" s="1070"/>
      <c r="BU89" s="1070"/>
      <c r="BV89" s="1070"/>
      <c r="BW89" s="1070"/>
      <c r="BX89" s="1070"/>
      <c r="BY89" s="1070"/>
      <c r="BZ89" s="1070"/>
      <c r="CA89" s="1070"/>
      <c r="CB89" s="1070"/>
      <c r="CC89" s="1070"/>
      <c r="CD89" s="1070"/>
      <c r="CE89" s="1070"/>
      <c r="CF89" s="1070"/>
      <c r="CG89" s="1070"/>
      <c r="CH89" s="1070"/>
      <c r="CI89" s="1070"/>
      <c r="CJ89" s="1070"/>
      <c r="CK89" s="1070"/>
      <c r="CL89" s="1070"/>
      <c r="CM89" s="1070"/>
      <c r="CN89" s="1070"/>
      <c r="CO89" s="1070"/>
      <c r="CP89" s="1070"/>
      <c r="CQ89" s="1070"/>
      <c r="CR89" s="1070"/>
      <c r="CS89" s="1070"/>
      <c r="CT89" s="1070"/>
      <c r="CU89" s="1070"/>
      <c r="CV89" s="1070"/>
      <c r="CW89" s="1070"/>
      <c r="CX89" s="1070"/>
      <c r="CY89" s="1070"/>
      <c r="CZ89" s="1070"/>
      <c r="DA89" s="1070"/>
      <c r="DB89" s="1070"/>
      <c r="DC89" s="1070"/>
      <c r="DD89" s="1070"/>
      <c r="DE89" s="1070"/>
      <c r="DF89" s="1070"/>
      <c r="DG89" s="1070"/>
      <c r="DH89" s="1070"/>
      <c r="DI89" s="1070"/>
    </row>
    <row r="90" spans="1:113" ht="15.75" x14ac:dyDescent="0.25">
      <c r="A90" s="1126" t="str">
        <f>IF(S71=10," Крепление в нише  (все операции)","")</f>
        <v/>
      </c>
      <c r="B90" s="1321"/>
      <c r="C90" s="1321"/>
      <c r="D90" s="1321"/>
      <c r="E90" s="1321"/>
      <c r="F90" s="1321"/>
      <c r="G90" s="1321"/>
      <c r="H90" s="1321" t="e">
        <f>B1423*B1406*B1408</f>
        <v>#REF!</v>
      </c>
      <c r="I90" s="1070"/>
      <c r="J90" s="1315"/>
      <c r="K90" s="2581"/>
      <c r="L90" s="1316"/>
      <c r="M90" s="1315"/>
      <c r="N90" s="1070"/>
      <c r="O90" s="1070"/>
      <c r="P90" s="1070"/>
      <c r="Q90" s="1070"/>
      <c r="R90" s="1070"/>
      <c r="S90" s="1070"/>
      <c r="T90" s="1070"/>
      <c r="U90" s="1070"/>
      <c r="V90" s="1070"/>
      <c r="W90" s="1070"/>
      <c r="X90" s="1070"/>
      <c r="Y90" s="1070"/>
      <c r="Z90" s="1070"/>
      <c r="AA90" s="1070"/>
      <c r="AB90" s="1070"/>
      <c r="AC90" s="1070"/>
      <c r="AD90" s="1070"/>
      <c r="AE90" s="1070"/>
      <c r="AF90" s="1070"/>
      <c r="AG90" s="1070"/>
      <c r="AH90" s="1070"/>
      <c r="AI90" s="1070"/>
      <c r="AJ90" s="1070"/>
      <c r="AK90" s="1070"/>
      <c r="AL90" s="1070"/>
      <c r="AM90" s="1070"/>
      <c r="AN90" s="1070"/>
      <c r="AO90" s="1070"/>
      <c r="AP90" s="1070"/>
      <c r="AQ90" s="1070"/>
      <c r="AR90" s="1070"/>
      <c r="AS90" s="1070"/>
      <c r="AT90" s="1070"/>
      <c r="AU90" s="1070"/>
      <c r="AV90" s="1070"/>
      <c r="AW90" s="1070"/>
      <c r="AX90" s="1070"/>
      <c r="AY90" s="1070"/>
      <c r="AZ90" s="1070"/>
      <c r="BA90" s="1070"/>
      <c r="BB90" s="1070"/>
      <c r="BC90" s="1070"/>
      <c r="BD90" s="1070"/>
      <c r="BE90" s="1070"/>
      <c r="BF90" s="1070"/>
      <c r="BG90" s="1070"/>
      <c r="BH90" s="1070"/>
      <c r="BI90" s="1070"/>
      <c r="BJ90" s="1070"/>
      <c r="BK90" s="1070"/>
      <c r="BL90" s="1070"/>
      <c r="BM90" s="1070"/>
      <c r="BN90" s="1070"/>
      <c r="BO90" s="1070"/>
      <c r="BP90" s="1070"/>
      <c r="BQ90" s="1070"/>
      <c r="BR90" s="1070"/>
      <c r="BS90" s="1070"/>
      <c r="BT90" s="1070"/>
      <c r="BU90" s="1070"/>
      <c r="BV90" s="1070"/>
      <c r="BW90" s="1070"/>
      <c r="BX90" s="1070"/>
      <c r="BY90" s="1070"/>
      <c r="BZ90" s="1070"/>
      <c r="CA90" s="1070"/>
      <c r="CB90" s="1070"/>
      <c r="CC90" s="1070"/>
      <c r="CD90" s="1070"/>
      <c r="CE90" s="1070"/>
      <c r="CF90" s="1070"/>
      <c r="CG90" s="1070"/>
      <c r="CH90" s="1070"/>
      <c r="CI90" s="1070"/>
      <c r="CJ90" s="1070"/>
      <c r="CK90" s="1070"/>
      <c r="CL90" s="1070"/>
      <c r="CM90" s="1070"/>
      <c r="CN90" s="1070"/>
      <c r="CO90" s="1070"/>
      <c r="CP90" s="1070"/>
      <c r="CQ90" s="1070"/>
      <c r="CR90" s="1070"/>
      <c r="CS90" s="1070"/>
      <c r="CT90" s="1070"/>
      <c r="CU90" s="1070"/>
      <c r="CV90" s="1070"/>
      <c r="CW90" s="1070"/>
      <c r="CX90" s="1070"/>
      <c r="CY90" s="1070"/>
      <c r="CZ90" s="1070"/>
      <c r="DA90" s="1070"/>
      <c r="DB90" s="1070"/>
      <c r="DC90" s="1070"/>
      <c r="DD90" s="1070"/>
      <c r="DE90" s="1070"/>
      <c r="DF90" s="1070"/>
      <c r="DG90" s="1070"/>
      <c r="DH90" s="1070"/>
      <c r="DI90" s="1070"/>
    </row>
    <row r="91" spans="1:113" ht="15.75" x14ac:dyDescent="0.25">
      <c r="A91" s="1126" t="str">
        <f>IF(S71=10," Извлечение арочной крепи, шт","")</f>
        <v/>
      </c>
      <c r="B91" s="1321">
        <f>B1005</f>
        <v>1.25</v>
      </c>
      <c r="C91" s="1321" t="e">
        <f>B91*B1406*B1408</f>
        <v>#VALUE!</v>
      </c>
      <c r="D91" s="1321">
        <f>B1007</f>
        <v>8.68</v>
      </c>
      <c r="E91" s="1321"/>
      <c r="F91" s="1321" t="e">
        <f>B341</f>
        <v>#VALUE!</v>
      </c>
      <c r="G91" s="1321" t="e">
        <f>C91*F91</f>
        <v>#VALUE!</v>
      </c>
      <c r="H91" s="1321" t="e">
        <f>C91/G91</f>
        <v>#VALUE!</v>
      </c>
      <c r="I91" s="1070"/>
      <c r="J91" s="1315"/>
      <c r="K91" s="2581"/>
      <c r="L91" s="1316"/>
      <c r="M91" s="1315"/>
      <c r="N91" s="1070"/>
      <c r="O91" s="1070"/>
      <c r="P91" s="1070"/>
      <c r="Q91" s="1070"/>
      <c r="R91" s="1070"/>
      <c r="S91" s="1070"/>
      <c r="T91" s="1070"/>
      <c r="U91" s="1070"/>
      <c r="V91" s="1070"/>
      <c r="W91" s="1070"/>
      <c r="X91" s="1070"/>
      <c r="Y91" s="1070"/>
      <c r="Z91" s="1070"/>
      <c r="AA91" s="1070"/>
      <c r="AB91" s="1070"/>
      <c r="AC91" s="1070"/>
      <c r="AD91" s="1070"/>
      <c r="AE91" s="1070"/>
      <c r="AF91" s="1070"/>
      <c r="AG91" s="1070"/>
      <c r="AH91" s="1070"/>
      <c r="AI91" s="1070"/>
      <c r="AJ91" s="1070"/>
      <c r="AK91" s="1070"/>
      <c r="AL91" s="1070"/>
      <c r="AM91" s="1070"/>
      <c r="AN91" s="1070"/>
      <c r="AO91" s="1070"/>
      <c r="AP91" s="1070"/>
      <c r="AQ91" s="1070"/>
      <c r="AR91" s="1070"/>
      <c r="AS91" s="1070"/>
      <c r="AT91" s="1070"/>
      <c r="AU91" s="1070"/>
      <c r="AV91" s="1070"/>
      <c r="AW91" s="1070"/>
      <c r="AX91" s="1070"/>
      <c r="AY91" s="1070"/>
      <c r="AZ91" s="1070"/>
      <c r="BA91" s="1070"/>
      <c r="BB91" s="1070"/>
      <c r="BC91" s="1070"/>
      <c r="BD91" s="1070"/>
      <c r="BE91" s="1070"/>
      <c r="BF91" s="1070"/>
      <c r="BG91" s="1070"/>
      <c r="BH91" s="1070"/>
      <c r="BI91" s="1070"/>
      <c r="BJ91" s="1070"/>
      <c r="BK91" s="1070"/>
      <c r="BL91" s="1070"/>
      <c r="BM91" s="1070"/>
      <c r="BN91" s="1070"/>
      <c r="BO91" s="1070"/>
      <c r="BP91" s="1070"/>
      <c r="BQ91" s="1070"/>
      <c r="BR91" s="1070"/>
      <c r="BS91" s="1070"/>
      <c r="BT91" s="1070"/>
      <c r="BU91" s="1070"/>
      <c r="BV91" s="1070"/>
      <c r="BW91" s="1070"/>
      <c r="BX91" s="1070"/>
      <c r="BY91" s="1070"/>
      <c r="BZ91" s="1070"/>
      <c r="CA91" s="1070"/>
      <c r="CB91" s="1070"/>
      <c r="CC91" s="1070"/>
      <c r="CD91" s="1070"/>
      <c r="CE91" s="1070"/>
      <c r="CF91" s="1070"/>
      <c r="CG91" s="1070"/>
      <c r="CH91" s="1070"/>
      <c r="CI91" s="1070"/>
      <c r="CJ91" s="1070"/>
      <c r="CK91" s="1070"/>
      <c r="CL91" s="1070"/>
      <c r="CM91" s="1070"/>
      <c r="CN91" s="1070"/>
      <c r="CO91" s="1070"/>
      <c r="CP91" s="1070"/>
      <c r="CQ91" s="1070"/>
      <c r="CR91" s="1070"/>
      <c r="CS91" s="1070"/>
      <c r="CT91" s="1070"/>
      <c r="CU91" s="1070"/>
      <c r="CV91" s="1070"/>
      <c r="CW91" s="1070"/>
      <c r="CX91" s="1070"/>
      <c r="CY91" s="1070"/>
      <c r="CZ91" s="1070"/>
      <c r="DA91" s="1070"/>
      <c r="DB91" s="1070"/>
      <c r="DC91" s="1070"/>
      <c r="DD91" s="1070"/>
      <c r="DE91" s="1070"/>
      <c r="DF91" s="1070"/>
      <c r="DG91" s="1070"/>
      <c r="DH91" s="1070"/>
      <c r="DI91" s="1070"/>
    </row>
    <row r="92" spans="1:113" ht="15.75" x14ac:dyDescent="0.25">
      <c r="A92" s="874" t="str">
        <f>IF(S71=10,"Извлечение и установка ножек арочной крепи, шт","")</f>
        <v/>
      </c>
      <c r="B92" s="1321">
        <f>B546</f>
        <v>1.25</v>
      </c>
      <c r="C92" s="1321" t="e">
        <f>B92*B1406*B1408</f>
        <v>#VALUE!</v>
      </c>
      <c r="D92" s="1321">
        <f>B547</f>
        <v>12.8</v>
      </c>
      <c r="E92" s="1321"/>
      <c r="F92" s="1321" t="e">
        <f>B341</f>
        <v>#VALUE!</v>
      </c>
      <c r="G92" s="1321" t="e">
        <f>D92*F92</f>
        <v>#VALUE!</v>
      </c>
      <c r="H92" s="1321" t="e">
        <f>B552*B1406*B1408</f>
        <v>#VALUE!</v>
      </c>
      <c r="I92" s="1070"/>
      <c r="J92" s="1315"/>
      <c r="K92" s="2581"/>
      <c r="L92" s="1316"/>
      <c r="M92" s="1315"/>
      <c r="N92" s="1070"/>
      <c r="O92" s="1070"/>
      <c r="P92" s="1070"/>
      <c r="Q92" s="1070"/>
      <c r="R92" s="1070"/>
      <c r="S92" s="1070"/>
      <c r="T92" s="1070"/>
      <c r="U92" s="1070"/>
      <c r="V92" s="1070"/>
      <c r="W92" s="1070"/>
      <c r="X92" s="1070"/>
      <c r="Y92" s="1070"/>
      <c r="Z92" s="1070"/>
      <c r="AA92" s="1070"/>
      <c r="AB92" s="1070"/>
      <c r="AC92" s="1070"/>
      <c r="AD92" s="1070"/>
      <c r="AE92" s="1070"/>
      <c r="AF92" s="1070"/>
      <c r="AG92" s="1070"/>
      <c r="AH92" s="1070"/>
      <c r="AI92" s="1070"/>
      <c r="AJ92" s="1070"/>
      <c r="AK92" s="1070"/>
      <c r="AL92" s="1070"/>
      <c r="AM92" s="1070"/>
      <c r="AN92" s="1070"/>
      <c r="AO92" s="1070"/>
      <c r="AP92" s="1070"/>
      <c r="AQ92" s="1070"/>
      <c r="AR92" s="1070"/>
      <c r="AS92" s="1070"/>
      <c r="AT92" s="1070"/>
      <c r="AU92" s="1070"/>
      <c r="AV92" s="1070"/>
      <c r="AW92" s="1070"/>
      <c r="AX92" s="1070"/>
      <c r="AY92" s="1070"/>
      <c r="AZ92" s="1070"/>
      <c r="BA92" s="1070"/>
      <c r="BB92" s="1070"/>
      <c r="BC92" s="1070"/>
      <c r="BD92" s="1070"/>
      <c r="BE92" s="1070"/>
      <c r="BF92" s="1070"/>
      <c r="BG92" s="1070"/>
      <c r="BH92" s="1070"/>
      <c r="BI92" s="1070"/>
      <c r="BJ92" s="1070"/>
      <c r="BK92" s="1070"/>
      <c r="BL92" s="1070"/>
      <c r="BM92" s="1070"/>
      <c r="BN92" s="1070"/>
      <c r="BO92" s="1070"/>
      <c r="BP92" s="1070"/>
      <c r="BQ92" s="1070"/>
      <c r="BR92" s="1070"/>
      <c r="BS92" s="1070"/>
      <c r="BT92" s="1070"/>
      <c r="BU92" s="1070"/>
      <c r="BV92" s="1070"/>
      <c r="BW92" s="1070"/>
      <c r="BX92" s="1070"/>
      <c r="BY92" s="1070"/>
      <c r="BZ92" s="1070"/>
      <c r="CA92" s="1070"/>
      <c r="CB92" s="1070"/>
      <c r="CC92" s="1070"/>
      <c r="CD92" s="1070"/>
      <c r="CE92" s="1070"/>
      <c r="CF92" s="1070"/>
      <c r="CG92" s="1070"/>
      <c r="CH92" s="1070"/>
      <c r="CI92" s="1070"/>
      <c r="CJ92" s="1070"/>
      <c r="CK92" s="1070"/>
      <c r="CL92" s="1070"/>
      <c r="CM92" s="1070"/>
      <c r="CN92" s="1070"/>
      <c r="CO92" s="1070"/>
      <c r="CP92" s="1070"/>
      <c r="CQ92" s="1070"/>
      <c r="CR92" s="1070"/>
      <c r="CS92" s="1070"/>
      <c r="CT92" s="1070"/>
      <c r="CU92" s="1070"/>
      <c r="CV92" s="1070"/>
      <c r="CW92" s="1070"/>
      <c r="CX92" s="1070"/>
      <c r="CY92" s="1070"/>
      <c r="CZ92" s="1070"/>
      <c r="DA92" s="1070"/>
      <c r="DB92" s="1070"/>
      <c r="DC92" s="1070"/>
      <c r="DD92" s="1070"/>
      <c r="DE92" s="1070"/>
      <c r="DF92" s="1070"/>
      <c r="DG92" s="1070"/>
      <c r="DH92" s="1070"/>
      <c r="DI92" s="1070"/>
    </row>
    <row r="93" spans="1:113" ht="15.75" x14ac:dyDescent="0.25">
      <c r="A93" s="1324" t="str">
        <f>IF(B257=1,A274,A272)</f>
        <v xml:space="preserve"> Выемка угля отбойным молотком, т</v>
      </c>
      <c r="B93" s="1325" t="e">
        <f>IF(B257=1,B274,B272)</f>
        <v>#VALUE!</v>
      </c>
      <c r="C93" s="1325" t="e">
        <f>IF(B257=1,C274,C272)</f>
        <v>#VALUE!</v>
      </c>
      <c r="D93" s="1327">
        <f>IF(B257=1,D274,D272)</f>
        <v>12.91</v>
      </c>
      <c r="E93" s="1327"/>
      <c r="F93" s="1327" t="e">
        <f>IF(B257=1,F274,F272)</f>
        <v>#VALUE!</v>
      </c>
      <c r="G93" s="1327" t="e">
        <f>IF(B257=1,G274,G272)</f>
        <v>#VALUE!</v>
      </c>
      <c r="H93" s="1327" t="e">
        <f>IF(B257=1,H274,H272)</f>
        <v>#VALUE!</v>
      </c>
      <c r="I93" s="1070"/>
      <c r="J93" s="1315"/>
      <c r="K93" s="2581"/>
      <c r="L93" s="1316"/>
      <c r="M93" s="1315"/>
      <c r="N93" s="1070"/>
      <c r="O93" s="1070"/>
      <c r="P93" s="1070"/>
      <c r="Q93" s="1070"/>
      <c r="R93" s="1070"/>
      <c r="S93" s="1070"/>
      <c r="T93" s="1070"/>
      <c r="U93" s="1070"/>
      <c r="V93" s="1070"/>
      <c r="W93" s="1070"/>
      <c r="X93" s="1070"/>
      <c r="Y93" s="1070"/>
      <c r="Z93" s="1070"/>
      <c r="AA93" s="1070"/>
      <c r="AB93" s="1070"/>
      <c r="AC93" s="1070"/>
      <c r="AD93" s="1070"/>
      <c r="AE93" s="1070"/>
      <c r="AF93" s="1070"/>
      <c r="AG93" s="1070"/>
      <c r="AH93" s="1070"/>
      <c r="AI93" s="1070"/>
      <c r="AJ93" s="1070"/>
      <c r="AK93" s="1070"/>
      <c r="AL93" s="1070"/>
      <c r="AM93" s="1070"/>
      <c r="AN93" s="1070"/>
      <c r="AO93" s="1070"/>
      <c r="AP93" s="1070"/>
      <c r="AQ93" s="1070"/>
      <c r="AR93" s="1070"/>
      <c r="AS93" s="1070"/>
      <c r="AT93" s="1070"/>
      <c r="AU93" s="1070"/>
      <c r="AV93" s="1070"/>
      <c r="AW93" s="1070"/>
      <c r="AX93" s="1070"/>
      <c r="AY93" s="1070"/>
      <c r="AZ93" s="1070"/>
      <c r="BA93" s="1070"/>
      <c r="BB93" s="1070"/>
      <c r="BC93" s="1070"/>
      <c r="BD93" s="1070"/>
      <c r="BE93" s="1070"/>
      <c r="BF93" s="1070"/>
      <c r="BG93" s="1070"/>
      <c r="BH93" s="1070"/>
      <c r="BI93" s="1070"/>
      <c r="BJ93" s="1070"/>
      <c r="BK93" s="1070"/>
      <c r="BL93" s="1070"/>
      <c r="BM93" s="1070"/>
      <c r="BN93" s="1070"/>
      <c r="BO93" s="1070"/>
      <c r="BP93" s="1070"/>
      <c r="BQ93" s="1070"/>
      <c r="BR93" s="1070"/>
      <c r="BS93" s="1070"/>
      <c r="BT93" s="1070"/>
      <c r="BU93" s="1070"/>
      <c r="BV93" s="1070"/>
      <c r="BW93" s="1070"/>
      <c r="BX93" s="1070"/>
      <c r="BY93" s="1070"/>
      <c r="BZ93" s="1070"/>
      <c r="CA93" s="1070"/>
      <c r="CB93" s="1070"/>
      <c r="CC93" s="1070"/>
      <c r="CD93" s="1070"/>
      <c r="CE93" s="1070"/>
      <c r="CF93" s="1070"/>
      <c r="CG93" s="1070"/>
      <c r="CH93" s="1070"/>
      <c r="CI93" s="1070"/>
      <c r="CJ93" s="1070"/>
      <c r="CK93" s="1070"/>
      <c r="CL93" s="1070"/>
      <c r="CM93" s="1070"/>
      <c r="CN93" s="1070"/>
      <c r="CO93" s="1070"/>
      <c r="CP93" s="1070"/>
      <c r="CQ93" s="1070"/>
      <c r="CR93" s="1070"/>
      <c r="CS93" s="1070"/>
      <c r="CT93" s="1070"/>
      <c r="CU93" s="1070"/>
      <c r="CV93" s="1070"/>
      <c r="CW93" s="1070"/>
      <c r="CX93" s="1070"/>
      <c r="CY93" s="1070"/>
      <c r="CZ93" s="1070"/>
      <c r="DA93" s="1070"/>
      <c r="DB93" s="1070"/>
      <c r="DC93" s="1070"/>
      <c r="DD93" s="1070"/>
      <c r="DE93" s="1070"/>
      <c r="DF93" s="1070"/>
      <c r="DG93" s="1070"/>
      <c r="DH93" s="1070"/>
      <c r="DI93" s="1070"/>
    </row>
    <row r="94" spans="1:113" ht="15.75" x14ac:dyDescent="0.25">
      <c r="A94" s="1324" t="str">
        <f>IF(S71=10,A273,"")</f>
        <v/>
      </c>
      <c r="B94" s="1332" t="str">
        <f>IF(B257=1,"",B273)</f>
        <v/>
      </c>
      <c r="C94" s="1332" t="str">
        <f>IF(B257=1,"",C273)</f>
        <v/>
      </c>
      <c r="D94" s="1327" t="str">
        <f>IF(B257=1,"",D273)</f>
        <v/>
      </c>
      <c r="E94" s="1327"/>
      <c r="F94" s="1327" t="str">
        <f>IF(B257=1,"",F273)</f>
        <v/>
      </c>
      <c r="G94" s="1327" t="str">
        <f>IF(B257=1,"",G273)</f>
        <v/>
      </c>
      <c r="H94" s="1327" t="str">
        <f>IF(B257=1,"",H273)</f>
        <v/>
      </c>
      <c r="I94" s="1070"/>
      <c r="J94" s="1315"/>
      <c r="K94" s="2581"/>
      <c r="L94" s="1316"/>
      <c r="M94" s="1315"/>
      <c r="N94" s="1070"/>
      <c r="O94" s="1070"/>
      <c r="P94" s="1070"/>
      <c r="Q94" s="1070"/>
      <c r="R94" s="1070"/>
      <c r="S94" s="1070"/>
      <c r="T94" s="1070"/>
      <c r="U94" s="1070"/>
      <c r="V94" s="1070"/>
      <c r="W94" s="1070"/>
      <c r="X94" s="1070"/>
      <c r="Y94" s="1070"/>
      <c r="Z94" s="1070"/>
      <c r="AA94" s="1070"/>
      <c r="AB94" s="1070"/>
      <c r="AC94" s="1070"/>
      <c r="AD94" s="1070"/>
      <c r="AE94" s="1070"/>
      <c r="AF94" s="1070"/>
      <c r="AG94" s="1070"/>
      <c r="AH94" s="1070"/>
      <c r="AI94" s="1070"/>
      <c r="AJ94" s="1070"/>
      <c r="AK94" s="1070"/>
      <c r="AL94" s="1070"/>
      <c r="AM94" s="1070"/>
      <c r="AN94" s="1070"/>
      <c r="AO94" s="1070"/>
      <c r="AP94" s="1070"/>
      <c r="AQ94" s="1070"/>
      <c r="AR94" s="1070"/>
      <c r="AS94" s="1070"/>
      <c r="AT94" s="1070"/>
      <c r="AU94" s="1070"/>
      <c r="AV94" s="1070"/>
      <c r="AW94" s="1070"/>
      <c r="AX94" s="1070"/>
      <c r="AY94" s="1070"/>
      <c r="AZ94" s="1070"/>
      <c r="BA94" s="1070"/>
      <c r="BB94" s="1070"/>
      <c r="BC94" s="1070"/>
      <c r="BD94" s="1070"/>
      <c r="BE94" s="1070"/>
      <c r="BF94" s="1070"/>
      <c r="BG94" s="1070"/>
      <c r="BH94" s="1070"/>
      <c r="BI94" s="1070"/>
      <c r="BJ94" s="1070"/>
      <c r="BK94" s="1070"/>
      <c r="BL94" s="1070"/>
      <c r="BM94" s="1070"/>
      <c r="BN94" s="1070"/>
      <c r="BO94" s="1070"/>
      <c r="BP94" s="1070"/>
      <c r="BQ94" s="1070"/>
      <c r="BR94" s="1070"/>
      <c r="BS94" s="1070"/>
      <c r="BT94" s="1070"/>
      <c r="BU94" s="1070"/>
      <c r="BV94" s="1070"/>
      <c r="BW94" s="1070"/>
      <c r="BX94" s="1070"/>
      <c r="BY94" s="1070"/>
      <c r="BZ94" s="1070"/>
      <c r="CA94" s="1070"/>
      <c r="CB94" s="1070"/>
      <c r="CC94" s="1070"/>
      <c r="CD94" s="1070"/>
      <c r="CE94" s="1070"/>
      <c r="CF94" s="1070"/>
      <c r="CG94" s="1070"/>
      <c r="CH94" s="1070"/>
      <c r="CI94" s="1070"/>
      <c r="CJ94" s="1070"/>
      <c r="CK94" s="1070"/>
      <c r="CL94" s="1070"/>
      <c r="CM94" s="1070"/>
      <c r="CN94" s="1070"/>
      <c r="CO94" s="1070"/>
      <c r="CP94" s="1070"/>
      <c r="CQ94" s="1070"/>
      <c r="CR94" s="1070"/>
      <c r="CS94" s="1070"/>
      <c r="CT94" s="1070"/>
      <c r="CU94" s="1070"/>
      <c r="CV94" s="1070"/>
      <c r="CW94" s="1070"/>
      <c r="CX94" s="1070"/>
      <c r="CY94" s="1070"/>
      <c r="CZ94" s="1070"/>
      <c r="DA94" s="1070"/>
      <c r="DB94" s="1070"/>
      <c r="DC94" s="1070"/>
      <c r="DD94" s="1070"/>
      <c r="DE94" s="1070"/>
      <c r="DF94" s="1070"/>
      <c r="DG94" s="1070"/>
      <c r="DH94" s="1070"/>
      <c r="DI94" s="1070"/>
    </row>
    <row r="95" spans="1:113" ht="15.75" x14ac:dyDescent="0.25">
      <c r="A95" s="1126" t="str">
        <f>IF(S71=10," Установка крепи усиления в выработке, шт","")</f>
        <v/>
      </c>
      <c r="B95" s="1321">
        <f>B936</f>
        <v>1.25</v>
      </c>
      <c r="C95" s="1321" t="e">
        <f>B95*B1406*B1408</f>
        <v>#VALUE!</v>
      </c>
      <c r="D95" s="1321">
        <f>B937</f>
        <v>22.4</v>
      </c>
      <c r="E95" s="1321"/>
      <c r="F95" s="1321" t="e">
        <f>G95/D95</f>
        <v>#VALUE!</v>
      </c>
      <c r="G95" s="1321" t="e">
        <f>B939</f>
        <v>#VALUE!</v>
      </c>
      <c r="H95" s="1321" t="e">
        <f>B1428*B1406*B1408</f>
        <v>#VALUE!</v>
      </c>
      <c r="I95" s="1070"/>
      <c r="J95" s="1315"/>
      <c r="K95" s="2581"/>
      <c r="L95" s="1316"/>
      <c r="M95" s="1315"/>
      <c r="N95" s="1070"/>
      <c r="O95" s="1070"/>
      <c r="P95" s="1070"/>
      <c r="Q95" s="1070"/>
      <c r="R95" s="1070"/>
      <c r="S95" s="1070"/>
      <c r="T95" s="1070"/>
      <c r="U95" s="1070"/>
      <c r="V95" s="1070"/>
      <c r="W95" s="1070"/>
      <c r="X95" s="1070"/>
      <c r="Y95" s="1070"/>
      <c r="Z95" s="1070"/>
      <c r="AA95" s="1070"/>
      <c r="AB95" s="1070"/>
      <c r="AC95" s="1070"/>
      <c r="AD95" s="1070"/>
      <c r="AE95" s="1070"/>
      <c r="AF95" s="1070"/>
      <c r="AG95" s="1070"/>
      <c r="AH95" s="1070"/>
      <c r="AI95" s="1070"/>
      <c r="AJ95" s="1070"/>
      <c r="AK95" s="1070"/>
      <c r="AL95" s="1070"/>
      <c r="AM95" s="1070"/>
      <c r="AN95" s="1070"/>
      <c r="AO95" s="1070"/>
      <c r="AP95" s="1070"/>
      <c r="AQ95" s="1070"/>
      <c r="AR95" s="1070"/>
      <c r="AS95" s="1070"/>
      <c r="AT95" s="1070"/>
      <c r="AU95" s="1070"/>
      <c r="AV95" s="1070"/>
      <c r="AW95" s="1070"/>
      <c r="AX95" s="1070"/>
      <c r="AY95" s="1070"/>
      <c r="AZ95" s="1070"/>
      <c r="BA95" s="1070"/>
      <c r="BB95" s="1070"/>
      <c r="BC95" s="1070"/>
      <c r="BD95" s="1070"/>
      <c r="BE95" s="1070"/>
      <c r="BF95" s="1070"/>
      <c r="BG95" s="1070"/>
      <c r="BH95" s="1070"/>
      <c r="BI95" s="1070"/>
      <c r="BJ95" s="1070"/>
      <c r="BK95" s="1070"/>
      <c r="BL95" s="1070"/>
      <c r="BM95" s="1070"/>
      <c r="BN95" s="1070"/>
      <c r="BO95" s="1070"/>
      <c r="BP95" s="1070"/>
      <c r="BQ95" s="1070"/>
      <c r="BR95" s="1070"/>
      <c r="BS95" s="1070"/>
      <c r="BT95" s="1070"/>
      <c r="BU95" s="1070"/>
      <c r="BV95" s="1070"/>
      <c r="BW95" s="1070"/>
      <c r="BX95" s="1070"/>
      <c r="BY95" s="1070"/>
      <c r="BZ95" s="1070"/>
      <c r="CA95" s="1070"/>
      <c r="CB95" s="1070"/>
      <c r="CC95" s="1070"/>
      <c r="CD95" s="1070"/>
      <c r="CE95" s="1070"/>
      <c r="CF95" s="1070"/>
      <c r="CG95" s="1070"/>
      <c r="CH95" s="1070"/>
      <c r="CI95" s="1070"/>
      <c r="CJ95" s="1070"/>
      <c r="CK95" s="1070"/>
      <c r="CL95" s="1070"/>
      <c r="CM95" s="1070"/>
      <c r="CN95" s="1070"/>
      <c r="CO95" s="1070"/>
      <c r="CP95" s="1070"/>
      <c r="CQ95" s="1070"/>
      <c r="CR95" s="1070"/>
      <c r="CS95" s="1070"/>
      <c r="CT95" s="1070"/>
      <c r="CU95" s="1070"/>
      <c r="CV95" s="1070"/>
      <c r="CW95" s="1070"/>
      <c r="CX95" s="1070"/>
      <c r="CY95" s="1070"/>
      <c r="CZ95" s="1070"/>
      <c r="DA95" s="1070"/>
      <c r="DB95" s="1070"/>
      <c r="DC95" s="1070"/>
      <c r="DD95" s="1070"/>
      <c r="DE95" s="1070"/>
      <c r="DF95" s="1070"/>
      <c r="DG95" s="1070"/>
      <c r="DH95" s="1070"/>
      <c r="DI95" s="1070"/>
    </row>
    <row r="96" spans="1:113" ht="15.75" x14ac:dyDescent="0.25">
      <c r="A96" s="1126" t="str">
        <f>IF(S71=10,"Сооружение средств охраны м/цикл","")</f>
        <v/>
      </c>
      <c r="B96" s="2367" t="e">
        <f>INDEX(G212:O212,B211)</f>
        <v>#VALUE!</v>
      </c>
      <c r="C96" s="1329"/>
      <c r="D96" s="1329"/>
      <c r="E96" s="1329"/>
      <c r="F96" s="1329"/>
      <c r="G96" s="1329"/>
      <c r="H96" s="1321" t="e">
        <f>INDEX(охр!B70:B78,B211)*B1406*B1408*B246</f>
        <v>#VALUE!</v>
      </c>
      <c r="I96" s="1070"/>
      <c r="J96" s="1315"/>
      <c r="K96" s="2581"/>
      <c r="L96" s="1316"/>
      <c r="M96" s="1315"/>
      <c r="N96" s="1070"/>
      <c r="O96" s="1070"/>
      <c r="P96" s="1070"/>
      <c r="Q96" s="1070"/>
      <c r="R96" s="1070"/>
      <c r="S96" s="1070"/>
      <c r="T96" s="1070"/>
      <c r="U96" s="1070"/>
      <c r="V96" s="1070"/>
      <c r="W96" s="1070"/>
      <c r="X96" s="1070"/>
      <c r="Y96" s="1070"/>
      <c r="Z96" s="1070"/>
      <c r="AA96" s="1070"/>
      <c r="AB96" s="1070"/>
      <c r="AC96" s="1070"/>
      <c r="AD96" s="1070"/>
      <c r="AE96" s="1070"/>
      <c r="AF96" s="1070"/>
      <c r="AG96" s="1070"/>
      <c r="AH96" s="1070"/>
      <c r="AI96" s="1070"/>
      <c r="AJ96" s="1070"/>
      <c r="AK96" s="1070"/>
      <c r="AL96" s="1070"/>
      <c r="AM96" s="1070"/>
      <c r="AN96" s="1070"/>
      <c r="AO96" s="1070"/>
      <c r="AP96" s="1070"/>
      <c r="AQ96" s="1070"/>
      <c r="AR96" s="1070"/>
      <c r="AS96" s="1070"/>
      <c r="AT96" s="1070"/>
      <c r="AU96" s="1070"/>
      <c r="AV96" s="1070"/>
      <c r="AW96" s="1070"/>
      <c r="AX96" s="1070"/>
      <c r="AY96" s="1070"/>
      <c r="AZ96" s="1070"/>
      <c r="BA96" s="1070"/>
      <c r="BB96" s="1070"/>
      <c r="BC96" s="1070"/>
      <c r="BD96" s="1070"/>
      <c r="BE96" s="1070"/>
      <c r="BF96" s="1070"/>
      <c r="BG96" s="1070"/>
      <c r="BH96" s="1070"/>
      <c r="BI96" s="1070"/>
      <c r="BJ96" s="1070"/>
      <c r="BK96" s="1070"/>
      <c r="BL96" s="1070"/>
      <c r="BM96" s="1070"/>
      <c r="BN96" s="1070"/>
      <c r="BO96" s="1070"/>
      <c r="BP96" s="1070"/>
      <c r="BQ96" s="1070"/>
      <c r="BR96" s="1070"/>
      <c r="BS96" s="1070"/>
      <c r="BT96" s="1070"/>
      <c r="BU96" s="1070"/>
      <c r="BV96" s="1070"/>
      <c r="BW96" s="1070"/>
      <c r="BX96" s="1070"/>
      <c r="BY96" s="1070"/>
      <c r="BZ96" s="1070"/>
      <c r="CA96" s="1070"/>
      <c r="CB96" s="1070"/>
      <c r="CC96" s="1070"/>
      <c r="CD96" s="1070"/>
      <c r="CE96" s="1070"/>
      <c r="CF96" s="1070"/>
      <c r="CG96" s="1070"/>
      <c r="CH96" s="1070"/>
      <c r="CI96" s="1070"/>
      <c r="CJ96" s="1070"/>
      <c r="CK96" s="1070"/>
      <c r="CL96" s="1070"/>
      <c r="CM96" s="1070"/>
      <c r="CN96" s="1070"/>
      <c r="CO96" s="1070"/>
      <c r="CP96" s="1070"/>
      <c r="CQ96" s="1070"/>
      <c r="CR96" s="1070"/>
      <c r="CS96" s="1070"/>
      <c r="CT96" s="1070"/>
      <c r="CU96" s="1070"/>
      <c r="CV96" s="1070"/>
      <c r="CW96" s="1070"/>
      <c r="CX96" s="1070"/>
      <c r="CY96" s="1070"/>
      <c r="CZ96" s="1070"/>
      <c r="DA96" s="1070"/>
      <c r="DB96" s="1070"/>
      <c r="DC96" s="1070"/>
      <c r="DD96" s="1070"/>
      <c r="DE96" s="1070"/>
      <c r="DF96" s="1070"/>
      <c r="DG96" s="1070"/>
      <c r="DH96" s="1070"/>
      <c r="DI96" s="1070"/>
    </row>
    <row r="97" spans="1:113" ht="15.75" x14ac:dyDescent="0.25">
      <c r="A97" s="1333" t="str">
        <f>IF(S71=10,"Всего за сутки","")</f>
        <v/>
      </c>
      <c r="B97" s="1334"/>
      <c r="C97" s="1334"/>
      <c r="D97" s="1334"/>
      <c r="E97" s="1334"/>
      <c r="F97" s="1334"/>
      <c r="G97" s="1334"/>
      <c r="H97" s="1335" t="e">
        <f>SUM(H90:H96)</f>
        <v>#REF!</v>
      </c>
      <c r="I97" s="1070"/>
      <c r="J97" s="1315"/>
      <c r="K97" s="2581"/>
      <c r="L97" s="1316"/>
      <c r="M97" s="1315"/>
      <c r="N97" s="1070"/>
      <c r="O97" s="1070"/>
      <c r="P97" s="1070"/>
      <c r="Q97" s="1070"/>
      <c r="R97" s="1070"/>
      <c r="S97" s="1070"/>
      <c r="T97" s="1070"/>
      <c r="U97" s="1070"/>
      <c r="V97" s="1070"/>
      <c r="W97" s="1070"/>
      <c r="X97" s="1070"/>
      <c r="Y97" s="1070"/>
      <c r="Z97" s="1070"/>
      <c r="AA97" s="1070"/>
      <c r="AB97" s="1070"/>
      <c r="AC97" s="1070"/>
      <c r="AD97" s="1070"/>
      <c r="AE97" s="1070"/>
      <c r="AF97" s="1070"/>
      <c r="AG97" s="1070"/>
      <c r="AH97" s="1070"/>
      <c r="AI97" s="1070"/>
      <c r="AJ97" s="1070"/>
      <c r="AK97" s="1070"/>
      <c r="AL97" s="1070"/>
      <c r="AM97" s="1070"/>
      <c r="AN97" s="1070"/>
      <c r="AO97" s="1070"/>
      <c r="AP97" s="1070"/>
      <c r="AQ97" s="1070"/>
      <c r="AR97" s="1070"/>
      <c r="AS97" s="1070"/>
      <c r="AT97" s="1070"/>
      <c r="AU97" s="1070"/>
      <c r="AV97" s="1070"/>
      <c r="AW97" s="1070"/>
      <c r="AX97" s="1070"/>
      <c r="AY97" s="1070"/>
      <c r="AZ97" s="1070"/>
      <c r="BA97" s="1070"/>
      <c r="BB97" s="1070"/>
      <c r="BC97" s="1070"/>
      <c r="BD97" s="1070"/>
      <c r="BE97" s="1070"/>
      <c r="BF97" s="1070"/>
      <c r="BG97" s="1070"/>
      <c r="BH97" s="1070"/>
      <c r="BI97" s="1070"/>
      <c r="BJ97" s="1070"/>
      <c r="BK97" s="1070"/>
      <c r="BL97" s="1070"/>
      <c r="BM97" s="1070"/>
      <c r="BN97" s="1070"/>
      <c r="BO97" s="1070"/>
      <c r="BP97" s="1070"/>
      <c r="BQ97" s="1070"/>
      <c r="BR97" s="1070"/>
      <c r="BS97" s="1070"/>
      <c r="BT97" s="1070"/>
      <c r="BU97" s="1070"/>
      <c r="BV97" s="1070"/>
      <c r="BW97" s="1070"/>
      <c r="BX97" s="1070"/>
      <c r="BY97" s="1070"/>
      <c r="BZ97" s="1070"/>
      <c r="CA97" s="1070"/>
      <c r="CB97" s="1070"/>
      <c r="CC97" s="1070"/>
      <c r="CD97" s="1070"/>
      <c r="CE97" s="1070"/>
      <c r="CF97" s="1070"/>
      <c r="CG97" s="1070"/>
      <c r="CH97" s="1070"/>
      <c r="CI97" s="1070"/>
      <c r="CJ97" s="1070"/>
      <c r="CK97" s="1070"/>
      <c r="CL97" s="1070"/>
      <c r="CM97" s="1070"/>
      <c r="CN97" s="1070"/>
      <c r="CO97" s="1070"/>
      <c r="CP97" s="1070"/>
      <c r="CQ97" s="1070"/>
      <c r="CR97" s="1070"/>
      <c r="CS97" s="1070"/>
      <c r="CT97" s="1070"/>
      <c r="CU97" s="1070"/>
      <c r="CV97" s="1070"/>
      <c r="CW97" s="1070"/>
      <c r="CX97" s="1070"/>
      <c r="CY97" s="1070"/>
      <c r="CZ97" s="1070"/>
      <c r="DA97" s="1070"/>
      <c r="DB97" s="1070"/>
      <c r="DC97" s="1070"/>
      <c r="DD97" s="1070"/>
      <c r="DE97" s="1070"/>
      <c r="DF97" s="1070"/>
      <c r="DG97" s="1070"/>
      <c r="DH97" s="1070"/>
      <c r="DI97" s="1070"/>
    </row>
    <row r="98" spans="1:113" ht="15.75" x14ac:dyDescent="0.25">
      <c r="A98" s="1333" t="str">
        <f>IF(S71=10,"Итого трудоемкость работ на концевых участках","")</f>
        <v/>
      </c>
      <c r="B98" s="1321"/>
      <c r="C98" s="1321"/>
      <c r="D98" s="1321"/>
      <c r="E98" s="1321"/>
      <c r="F98" s="1321"/>
      <c r="G98" s="1321"/>
      <c r="H98" s="1336" t="e">
        <f>H88+H97</f>
        <v>#DIV/0!</v>
      </c>
      <c r="I98" s="1070"/>
      <c r="J98" s="1315"/>
      <c r="K98" s="2581"/>
      <c r="L98" s="1316"/>
      <c r="M98" s="1315"/>
      <c r="N98" s="1070"/>
      <c r="O98" s="1070"/>
      <c r="P98" s="1070"/>
      <c r="Q98" s="1070"/>
      <c r="R98" s="1070"/>
      <c r="S98" s="1070"/>
      <c r="T98" s="1070"/>
      <c r="U98" s="1070"/>
      <c r="V98" s="1070"/>
      <c r="W98" s="1070"/>
      <c r="X98" s="1070"/>
      <c r="Y98" s="1070"/>
      <c r="Z98" s="1070"/>
      <c r="AA98" s="1070"/>
      <c r="AB98" s="1070"/>
      <c r="AC98" s="1070"/>
      <c r="AD98" s="1070"/>
      <c r="AE98" s="1070"/>
      <c r="AF98" s="1070"/>
      <c r="AG98" s="1070"/>
      <c r="AH98" s="1070"/>
      <c r="AI98" s="1070"/>
      <c r="AJ98" s="1070"/>
      <c r="AK98" s="1070"/>
      <c r="AL98" s="1070"/>
      <c r="AM98" s="1070"/>
      <c r="AN98" s="1070"/>
      <c r="AO98" s="1070"/>
      <c r="AP98" s="1070"/>
      <c r="AQ98" s="1070"/>
      <c r="AR98" s="1070"/>
      <c r="AS98" s="1070"/>
      <c r="AT98" s="1070"/>
      <c r="AU98" s="1070"/>
      <c r="AV98" s="1070"/>
      <c r="AW98" s="1070"/>
      <c r="AX98" s="1070"/>
      <c r="AY98" s="1070"/>
      <c r="AZ98" s="1070"/>
      <c r="BA98" s="1070"/>
      <c r="BB98" s="1070"/>
      <c r="BC98" s="1070"/>
      <c r="BD98" s="1070"/>
      <c r="BE98" s="1070"/>
      <c r="BF98" s="1070"/>
      <c r="BG98" s="1070"/>
      <c r="BH98" s="1070"/>
      <c r="BI98" s="1070"/>
      <c r="BJ98" s="1070"/>
      <c r="BK98" s="1070"/>
      <c r="BL98" s="1070"/>
      <c r="BM98" s="1070"/>
      <c r="BN98" s="1070"/>
      <c r="BO98" s="1070"/>
      <c r="BP98" s="1070"/>
      <c r="BQ98" s="1070"/>
      <c r="BR98" s="1070"/>
      <c r="BS98" s="1070"/>
      <c r="BT98" s="1070"/>
      <c r="BU98" s="1070"/>
      <c r="BV98" s="1070"/>
      <c r="BW98" s="1070"/>
      <c r="BX98" s="1070"/>
      <c r="BY98" s="1070"/>
      <c r="BZ98" s="1070"/>
      <c r="CA98" s="1070"/>
      <c r="CB98" s="1070"/>
      <c r="CC98" s="1070"/>
      <c r="CD98" s="1070"/>
      <c r="CE98" s="1070"/>
      <c r="CF98" s="1070"/>
      <c r="CG98" s="1070"/>
      <c r="CH98" s="1070"/>
      <c r="CI98" s="1070"/>
      <c r="CJ98" s="1070"/>
      <c r="CK98" s="1070"/>
      <c r="CL98" s="1070"/>
      <c r="CM98" s="1070"/>
      <c r="CN98" s="1070"/>
      <c r="CO98" s="1070"/>
      <c r="CP98" s="1070"/>
      <c r="CQ98" s="1070"/>
      <c r="CR98" s="1070"/>
      <c r="CS98" s="1070"/>
      <c r="CT98" s="1070"/>
      <c r="CU98" s="1070"/>
      <c r="CV98" s="1070"/>
      <c r="CW98" s="1070"/>
      <c r="CX98" s="1070"/>
      <c r="CY98" s="1070"/>
      <c r="CZ98" s="1070"/>
      <c r="DA98" s="1070"/>
      <c r="DB98" s="1070"/>
      <c r="DC98" s="1070"/>
      <c r="DD98" s="1070"/>
      <c r="DE98" s="1070"/>
      <c r="DF98" s="1070"/>
      <c r="DG98" s="1070"/>
      <c r="DH98" s="1070"/>
      <c r="DI98" s="1070"/>
    </row>
    <row r="99" spans="1:113" ht="15.75" x14ac:dyDescent="0.25">
      <c r="A99" s="2472" t="str">
        <f>IF(S71=10,"Работы в центральной части лавы","")</f>
        <v/>
      </c>
      <c r="B99" s="203"/>
      <c r="C99" s="203"/>
      <c r="D99" s="203"/>
      <c r="E99" s="203"/>
      <c r="F99" s="203"/>
      <c r="G99" s="203"/>
      <c r="H99" s="2473"/>
      <c r="J99" s="1315"/>
      <c r="K99" s="2582"/>
    </row>
    <row r="100" spans="1:113" ht="15.75" x14ac:dyDescent="0.25">
      <c r="A100" s="1337" t="str">
        <f>IF(S71=10,"Выемка угля струговым комплексом, т","")</f>
        <v/>
      </c>
      <c r="B100" s="1323" t="e">
        <f>B219*B2190*B221*B245*(B243-B247-B248)</f>
        <v>#VALUE!</v>
      </c>
      <c r="C100" s="1323" t="e">
        <f>B2260*B2256</f>
        <v>#VALUE!</v>
      </c>
      <c r="D100" s="1323">
        <f>B2250</f>
        <v>474</v>
      </c>
      <c r="E100" s="1323">
        <f>B2253</f>
        <v>5.8570000000000002</v>
      </c>
      <c r="F100" s="1323" t="e">
        <f>B2251</f>
        <v>#VALUE!</v>
      </c>
      <c r="G100" s="1323" t="e">
        <f>B2252</f>
        <v>#VALUE!</v>
      </c>
      <c r="H100" s="1338" t="e">
        <f>(C100/G100)*E100</f>
        <v>#VALUE!</v>
      </c>
      <c r="J100" s="1315"/>
      <c r="K100" s="2582"/>
    </row>
    <row r="101" spans="1:113" ht="15.75" x14ac:dyDescent="0.25">
      <c r="A101" s="1339" t="s">
        <v>4387</v>
      </c>
      <c r="B101" s="1323"/>
      <c r="C101" s="1323"/>
      <c r="D101" s="1323"/>
      <c r="E101" s="1323"/>
      <c r="F101" s="1323"/>
      <c r="G101" s="1323"/>
      <c r="H101" s="1340">
        <f>B2256</f>
        <v>3</v>
      </c>
      <c r="J101" s="1315"/>
      <c r="K101" s="2582"/>
    </row>
    <row r="102" spans="1:113" ht="15.75" x14ac:dyDescent="0.25">
      <c r="A102" s="1339" t="s">
        <v>4388</v>
      </c>
      <c r="B102" s="1323"/>
      <c r="C102" s="1323"/>
      <c r="D102" s="1323"/>
      <c r="E102" s="1323"/>
      <c r="F102" s="1323"/>
      <c r="G102" s="1323"/>
      <c r="H102" s="1340" t="e">
        <f>H100-H101</f>
        <v>#VALUE!</v>
      </c>
      <c r="J102" s="1315"/>
      <c r="K102" s="2582"/>
    </row>
    <row r="103" spans="1:113" ht="15.75" x14ac:dyDescent="0.25">
      <c r="A103" s="1324" t="str">
        <f>IF(S71=10,"Дежурный электрослесарь","")</f>
        <v/>
      </c>
      <c r="B103" s="2584"/>
      <c r="C103" s="2584"/>
      <c r="D103" s="2584"/>
      <c r="E103" s="2584"/>
      <c r="F103" s="2584"/>
      <c r="G103" s="2584"/>
      <c r="H103" s="1340" t="e">
        <f>B2157*B2158</f>
        <v>#VALUE!</v>
      </c>
      <c r="J103" s="1315"/>
      <c r="K103" s="2582"/>
    </row>
    <row r="104" spans="1:113" ht="15.75" x14ac:dyDescent="0.25">
      <c r="A104" s="2585" t="s">
        <v>2829</v>
      </c>
      <c r="B104" s="2584"/>
      <c r="C104" s="2584"/>
      <c r="D104" s="2584"/>
      <c r="E104" s="2584"/>
      <c r="F104" s="2584"/>
      <c r="G104" s="2584"/>
      <c r="H104" s="1340" t="e">
        <f>H100+H103</f>
        <v>#VALUE!</v>
      </c>
      <c r="J104" s="1315"/>
      <c r="K104" s="2582"/>
    </row>
    <row r="105" spans="1:113" ht="15.75" x14ac:dyDescent="0.25">
      <c r="A105" s="4626" t="str">
        <f>IF(S71=10,"Работы в ремонтную смену","")</f>
        <v/>
      </c>
      <c r="B105" s="4627"/>
      <c r="C105" s="4627"/>
      <c r="D105" s="4627"/>
      <c r="E105" s="4627"/>
      <c r="F105" s="4627"/>
      <c r="G105" s="4627"/>
      <c r="H105" s="4628"/>
      <c r="J105" s="1315"/>
      <c r="K105" s="2582"/>
    </row>
    <row r="106" spans="1:113" ht="15.75" x14ac:dyDescent="0.25">
      <c r="A106" s="1339" t="s">
        <v>4387</v>
      </c>
      <c r="B106" s="1323"/>
      <c r="C106" s="1323"/>
      <c r="D106" s="1323"/>
      <c r="E106" s="1323"/>
      <c r="F106" s="1323"/>
      <c r="G106" s="1323"/>
      <c r="H106" s="1340">
        <f>B2268</f>
        <v>1</v>
      </c>
      <c r="J106" s="1315"/>
      <c r="K106" s="2582"/>
    </row>
    <row r="107" spans="1:113" ht="31.5" x14ac:dyDescent="0.25">
      <c r="A107" s="1339" t="s">
        <v>5458</v>
      </c>
      <c r="B107" s="1323"/>
      <c r="C107" s="1323"/>
      <c r="D107" s="1323"/>
      <c r="E107" s="1323"/>
      <c r="F107" s="1323"/>
      <c r="G107" s="1323"/>
      <c r="H107" s="1340">
        <f>B2267</f>
        <v>8</v>
      </c>
      <c r="J107" s="1315"/>
      <c r="K107" s="2582"/>
    </row>
    <row r="108" spans="1:113" ht="15.75" x14ac:dyDescent="0.25">
      <c r="A108" s="1339" t="s">
        <v>5301</v>
      </c>
      <c r="B108" s="1323"/>
      <c r="C108" s="1323"/>
      <c r="D108" s="1323"/>
      <c r="E108" s="1323"/>
      <c r="F108" s="1323"/>
      <c r="G108" s="1323"/>
      <c r="H108" s="1340">
        <f>B2266</f>
        <v>4</v>
      </c>
      <c r="J108" s="1315"/>
      <c r="K108" s="2582"/>
    </row>
    <row r="109" spans="1:113" ht="15.75" x14ac:dyDescent="0.25">
      <c r="A109" s="1337" t="str">
        <f>IF(S71=10,"Бурение шпуров для увлажнения по лаве, м","")</f>
        <v/>
      </c>
      <c r="B109" s="1323">
        <f>B2208</f>
        <v>0</v>
      </c>
      <c r="C109" s="1323" t="e">
        <f>B109*B2259</f>
        <v>#VALUE!</v>
      </c>
      <c r="D109" s="1323">
        <f>B2210</f>
        <v>134</v>
      </c>
      <c r="E109" s="1323"/>
      <c r="F109" s="1323" t="e">
        <f>B522</f>
        <v>#VALUE!</v>
      </c>
      <c r="G109" s="1323" t="e">
        <f>D109*F109</f>
        <v>#VALUE!</v>
      </c>
      <c r="H109" s="1338" t="e">
        <f>C109/G109</f>
        <v>#VALUE!</v>
      </c>
      <c r="J109" s="1315"/>
      <c r="K109" s="2582"/>
    </row>
    <row r="110" spans="1:113" ht="15.75" x14ac:dyDescent="0.25">
      <c r="A110" s="1341" t="s">
        <v>5302</v>
      </c>
      <c r="B110" s="1321"/>
      <c r="C110" s="1321"/>
      <c r="D110" s="1321"/>
      <c r="E110" s="1321"/>
      <c r="F110" s="1321"/>
      <c r="G110" s="1321"/>
      <c r="H110" s="1336" t="e">
        <f>B1401</f>
        <v>#VALUE!</v>
      </c>
      <c r="J110" s="1315"/>
      <c r="K110" s="2582"/>
    </row>
    <row r="111" spans="1:113" ht="15.75" x14ac:dyDescent="0.25">
      <c r="A111" s="1342" t="str">
        <f>IF(S71=10,"Всего в ремонтную смену","")</f>
        <v/>
      </c>
      <c r="B111" s="1323"/>
      <c r="C111" s="1323"/>
      <c r="D111" s="1323"/>
      <c r="E111" s="1323"/>
      <c r="F111" s="1323"/>
      <c r="G111" s="1323"/>
      <c r="H111" s="1338" t="e">
        <f>H106+H107+H108+H109+H110</f>
        <v>#VALUE!</v>
      </c>
      <c r="J111" s="1315"/>
      <c r="K111" s="2583"/>
      <c r="L111" s="1343"/>
    </row>
    <row r="112" spans="1:113" ht="15.75" x14ac:dyDescent="0.25">
      <c r="A112" s="2472" t="str">
        <f>IF(S71=10,"Всего трудоемкость работ за сутки, чел.смен","")</f>
        <v/>
      </c>
      <c r="B112" s="2469"/>
      <c r="C112" s="2469"/>
      <c r="D112" s="2469"/>
      <c r="E112" s="2469"/>
      <c r="F112" s="2469"/>
      <c r="G112" s="2468"/>
      <c r="H112" s="1338" t="e">
        <f>H98+H100+H111</f>
        <v>#DIV/0!</v>
      </c>
      <c r="J112" s="1315"/>
      <c r="K112" s="2583"/>
      <c r="L112" s="1343"/>
    </row>
    <row r="113" spans="1:12" ht="15.75" x14ac:dyDescent="0.25">
      <c r="A113" s="2484" t="str">
        <f>IF(S71=10,"Призводительность труда рабочего очистного забоя согласно нормам выработки, т/выход","")</f>
        <v/>
      </c>
      <c r="B113" s="175"/>
      <c r="C113" s="175"/>
      <c r="D113" s="175"/>
      <c r="E113" s="175"/>
      <c r="F113" s="175"/>
      <c r="G113" s="175"/>
      <c r="H113" s="1338" t="e">
        <f>B244/H112</f>
        <v>#VALUE!</v>
      </c>
      <c r="J113" s="1315"/>
      <c r="K113" s="2583"/>
      <c r="L113" s="1343"/>
    </row>
    <row r="114" spans="1:12" ht="15.75" x14ac:dyDescent="0.25">
      <c r="A114" s="1344"/>
      <c r="B114" s="825"/>
      <c r="C114" s="825"/>
      <c r="D114" s="825"/>
      <c r="E114" s="825"/>
      <c r="F114" s="825"/>
      <c r="G114" s="825"/>
      <c r="H114" s="1345"/>
      <c r="J114" s="1343"/>
      <c r="K114" s="2583"/>
      <c r="L114" s="1343"/>
    </row>
    <row r="115" spans="1:12" ht="15.75" x14ac:dyDescent="0.25">
      <c r="A115" s="1344"/>
      <c r="C115" s="825"/>
      <c r="D115" s="825"/>
      <c r="E115" s="825"/>
      <c r="F115" s="825"/>
      <c r="G115" s="825"/>
      <c r="H115" s="1345"/>
      <c r="J115" s="1343"/>
      <c r="K115" s="1343"/>
      <c r="L115" s="1343"/>
    </row>
    <row r="116" spans="1:12" ht="15.75" x14ac:dyDescent="0.25">
      <c r="A116" s="1183" t="s">
        <v>3316</v>
      </c>
      <c r="B116" s="825"/>
      <c r="C116" s="825"/>
      <c r="D116" s="825"/>
      <c r="E116" s="825"/>
      <c r="F116" s="825"/>
      <c r="G116" s="825"/>
      <c r="H116" s="1345"/>
      <c r="J116" s="1343"/>
      <c r="K116" s="1343"/>
      <c r="L116" s="1343"/>
    </row>
    <row r="117" spans="1:12" ht="15.75" x14ac:dyDescent="0.25">
      <c r="A117" s="1344"/>
      <c r="B117" s="825"/>
      <c r="C117" s="825"/>
      <c r="D117" s="825"/>
      <c r="E117" s="825"/>
      <c r="F117" s="825"/>
      <c r="G117" s="825"/>
      <c r="H117" s="1345"/>
      <c r="J117" s="1343"/>
      <c r="K117" s="1343"/>
      <c r="L117" s="1343"/>
    </row>
    <row r="118" spans="1:12" ht="15.75" x14ac:dyDescent="0.25">
      <c r="A118" s="2406"/>
      <c r="B118" s="43"/>
      <c r="C118" s="43"/>
      <c r="D118" s="43"/>
      <c r="E118" s="43"/>
      <c r="F118" s="43"/>
      <c r="G118" s="43"/>
      <c r="H118" s="43"/>
      <c r="J118" s="1343"/>
      <c r="K118" s="1343"/>
      <c r="L118" s="1343"/>
    </row>
    <row r="119" spans="1:12" ht="15.75" x14ac:dyDescent="0.25">
      <c r="A119" s="1344"/>
      <c r="B119" s="825"/>
      <c r="C119" s="825"/>
      <c r="D119" s="825"/>
      <c r="E119" s="825"/>
      <c r="F119" s="825"/>
      <c r="G119" s="825"/>
      <c r="H119" s="1345"/>
      <c r="J119" s="1343"/>
      <c r="K119" s="1343"/>
      <c r="L119" s="1343"/>
    </row>
    <row r="120" spans="1:12" ht="19.5" x14ac:dyDescent="0.35">
      <c r="A120" s="1344"/>
      <c r="B120" s="2370"/>
      <c r="C120" s="825"/>
      <c r="D120" s="825"/>
      <c r="E120" s="825"/>
      <c r="F120" s="825"/>
      <c r="G120" s="825"/>
      <c r="H120" s="1345"/>
      <c r="J120" s="1343"/>
      <c r="K120" s="1343"/>
      <c r="L120" s="1343"/>
    </row>
    <row r="121" spans="1:12" ht="15.75" x14ac:dyDescent="0.25">
      <c r="B121" s="825"/>
      <c r="C121" s="825"/>
      <c r="D121" s="825"/>
      <c r="E121" s="825"/>
      <c r="F121" s="825"/>
      <c r="G121" s="825"/>
      <c r="H121" s="1345"/>
      <c r="J121" s="1343"/>
      <c r="K121" s="1343"/>
      <c r="L121" s="1343"/>
    </row>
    <row r="122" spans="1:12" ht="15.75" x14ac:dyDescent="0.25">
      <c r="A122" s="1344"/>
      <c r="B122" s="825"/>
      <c r="C122" s="825"/>
      <c r="D122" s="825"/>
      <c r="E122" s="825"/>
      <c r="F122" s="825"/>
      <c r="G122" s="825"/>
      <c r="H122" s="1345"/>
      <c r="J122" s="1343"/>
      <c r="K122" s="1343"/>
      <c r="L122" s="1343"/>
    </row>
    <row r="123" spans="1:12" ht="24.75" customHeight="1" x14ac:dyDescent="0.25">
      <c r="A123" s="1346"/>
      <c r="B123" s="825"/>
      <c r="C123" s="825"/>
      <c r="D123" s="825"/>
      <c r="E123" s="825"/>
      <c r="F123" s="825"/>
      <c r="G123" s="825"/>
      <c r="H123" s="1345"/>
      <c r="J123" s="1343"/>
      <c r="K123" s="1343"/>
      <c r="L123" s="1343"/>
    </row>
    <row r="124" spans="1:12" x14ac:dyDescent="0.2">
      <c r="J124" s="1343"/>
      <c r="K124" s="1343"/>
      <c r="L124" s="1343"/>
    </row>
    <row r="125" spans="1:12" x14ac:dyDescent="0.2">
      <c r="J125" s="1343"/>
      <c r="K125" s="1343"/>
      <c r="L125" s="1343"/>
    </row>
    <row r="126" spans="1:12" x14ac:dyDescent="0.2">
      <c r="C126" s="239"/>
      <c r="D126" s="239"/>
      <c r="E126" s="239"/>
      <c r="F126" s="239"/>
      <c r="G126" s="239"/>
      <c r="J126" s="1343"/>
      <c r="K126" s="1343"/>
      <c r="L126" s="1343"/>
    </row>
    <row r="127" spans="1:12" x14ac:dyDescent="0.2">
      <c r="C127" s="239"/>
      <c r="D127" s="239"/>
      <c r="E127" s="239"/>
      <c r="F127" s="239"/>
      <c r="G127" s="239"/>
      <c r="J127" s="1343"/>
      <c r="K127" s="1343"/>
      <c r="L127" s="1343"/>
    </row>
    <row r="128" spans="1:12" x14ac:dyDescent="0.2">
      <c r="C128" s="239"/>
      <c r="D128" s="239"/>
      <c r="E128" s="239"/>
      <c r="F128" s="239"/>
      <c r="G128" s="239"/>
      <c r="J128" s="1343"/>
      <c r="K128" s="1343"/>
      <c r="L128" s="1343"/>
    </row>
    <row r="129" spans="3:12" x14ac:dyDescent="0.2">
      <c r="C129" s="239"/>
      <c r="D129" s="239"/>
      <c r="E129" s="239"/>
      <c r="F129" s="239"/>
      <c r="G129" s="239"/>
      <c r="J129" s="1343"/>
      <c r="K129" s="1343"/>
      <c r="L129" s="1343"/>
    </row>
    <row r="130" spans="3:12" x14ac:dyDescent="0.2">
      <c r="C130" s="239"/>
      <c r="D130" s="239"/>
      <c r="E130" s="239"/>
      <c r="F130" s="239"/>
      <c r="G130" s="239"/>
      <c r="J130" s="1343"/>
      <c r="K130" s="1343"/>
      <c r="L130" s="1343"/>
    </row>
    <row r="131" spans="3:12" x14ac:dyDescent="0.2">
      <c r="C131" s="1347"/>
      <c r="D131" s="1347"/>
      <c r="E131" s="1347"/>
      <c r="F131" s="1347"/>
      <c r="G131" s="1347"/>
      <c r="J131" s="1343"/>
      <c r="K131" s="1343"/>
      <c r="L131" s="1343"/>
    </row>
    <row r="132" spans="3:12" x14ac:dyDescent="0.2">
      <c r="C132" s="1347"/>
      <c r="D132" s="1347"/>
      <c r="E132" s="1347"/>
      <c r="F132" s="1347"/>
      <c r="G132" s="1347"/>
      <c r="J132" s="1343"/>
      <c r="K132" s="1343"/>
      <c r="L132" s="1343"/>
    </row>
    <row r="133" spans="3:12" x14ac:dyDescent="0.2">
      <c r="C133" s="1347"/>
      <c r="D133" s="1347"/>
      <c r="E133" s="1347"/>
      <c r="F133" s="1347"/>
      <c r="G133" s="1347"/>
      <c r="J133" s="1343"/>
      <c r="K133" s="1343"/>
      <c r="L133" s="1343"/>
    </row>
    <row r="134" spans="3:12" x14ac:dyDescent="0.2">
      <c r="C134" s="1348"/>
      <c r="D134" s="1348"/>
      <c r="E134" s="1348"/>
      <c r="F134" s="1348"/>
      <c r="G134" s="1348"/>
      <c r="J134" s="1343"/>
      <c r="K134" s="1343"/>
      <c r="L134" s="1343"/>
    </row>
    <row r="135" spans="3:12" x14ac:dyDescent="0.2">
      <c r="C135" s="239"/>
      <c r="D135" s="239"/>
      <c r="E135" s="239"/>
      <c r="F135" s="239"/>
      <c r="G135" s="239"/>
      <c r="J135" s="1343"/>
      <c r="K135" s="1343"/>
      <c r="L135" s="1343"/>
    </row>
    <row r="136" spans="3:12" x14ac:dyDescent="0.2">
      <c r="C136" s="1347"/>
      <c r="D136" s="1347"/>
      <c r="E136" s="1347"/>
      <c r="F136" s="1347"/>
      <c r="G136" s="1347"/>
      <c r="J136" s="1343"/>
      <c r="K136" s="1343"/>
      <c r="L136" s="1343"/>
    </row>
    <row r="137" spans="3:12" x14ac:dyDescent="0.2">
      <c r="C137" s="239"/>
      <c r="D137" s="239"/>
      <c r="E137" s="239"/>
      <c r="F137" s="239"/>
      <c r="G137" s="239"/>
      <c r="J137" s="1343"/>
      <c r="K137" s="1343"/>
      <c r="L137" s="1343"/>
    </row>
    <row r="138" spans="3:12" x14ac:dyDescent="0.2">
      <c r="C138" s="239"/>
      <c r="D138" s="239"/>
      <c r="E138" s="239"/>
      <c r="F138" s="239"/>
      <c r="G138" s="239"/>
      <c r="J138" s="1343"/>
      <c r="K138" s="1343"/>
      <c r="L138" s="1343"/>
    </row>
    <row r="139" spans="3:12" x14ac:dyDescent="0.2">
      <c r="C139" s="239"/>
      <c r="D139" s="239"/>
      <c r="E139" s="239"/>
      <c r="F139" s="239"/>
      <c r="G139" s="239"/>
      <c r="J139" s="1343"/>
      <c r="K139" s="1343"/>
      <c r="L139" s="1343"/>
    </row>
    <row r="140" spans="3:12" x14ac:dyDescent="0.2">
      <c r="C140" s="239"/>
      <c r="D140" s="239"/>
      <c r="E140" s="239"/>
      <c r="F140" s="239"/>
      <c r="G140" s="239"/>
      <c r="J140" s="1343"/>
      <c r="K140" s="1343"/>
      <c r="L140" s="1343"/>
    </row>
    <row r="141" spans="3:12" x14ac:dyDescent="0.2">
      <c r="C141" s="239"/>
      <c r="D141" s="239"/>
      <c r="E141" s="239"/>
      <c r="F141" s="239"/>
      <c r="G141" s="239"/>
      <c r="J141" s="1343"/>
      <c r="K141" s="1343"/>
      <c r="L141" s="1343"/>
    </row>
    <row r="142" spans="3:12" ht="15.75" x14ac:dyDescent="0.25">
      <c r="C142" s="1349"/>
      <c r="D142" s="1349"/>
      <c r="E142" s="1349"/>
      <c r="F142" s="1349"/>
      <c r="G142" s="1349"/>
      <c r="J142" s="1343"/>
      <c r="K142" s="1343"/>
      <c r="L142" s="1343"/>
    </row>
    <row r="143" spans="3:12" x14ac:dyDescent="0.2">
      <c r="C143" s="239"/>
      <c r="D143" s="239"/>
      <c r="E143" s="239"/>
      <c r="F143" s="239"/>
      <c r="G143" s="239"/>
      <c r="J143" s="1343"/>
      <c r="K143" s="1343"/>
      <c r="L143" s="1343"/>
    </row>
    <row r="144" spans="3:12" ht="15.75" x14ac:dyDescent="0.25">
      <c r="C144" s="1350"/>
      <c r="D144" s="1350"/>
      <c r="E144" s="1350"/>
      <c r="F144" s="1350"/>
      <c r="G144" s="1350"/>
      <c r="J144" s="1343"/>
      <c r="K144" s="1343"/>
      <c r="L144" s="1343"/>
    </row>
    <row r="145" spans="3:12" ht="15.75" x14ac:dyDescent="0.25">
      <c r="C145" s="1350"/>
      <c r="D145" s="1350"/>
      <c r="E145" s="1350"/>
      <c r="F145" s="1350"/>
      <c r="G145" s="1350"/>
      <c r="J145" s="1343"/>
      <c r="K145" s="1343"/>
      <c r="L145" s="1343"/>
    </row>
    <row r="146" spans="3:12" ht="15.75" x14ac:dyDescent="0.25">
      <c r="C146" s="1350"/>
      <c r="D146" s="1350"/>
      <c r="E146" s="1350"/>
      <c r="F146" s="1350"/>
      <c r="G146" s="1350"/>
      <c r="J146" s="1343"/>
      <c r="K146" s="1343"/>
      <c r="L146" s="1343"/>
    </row>
    <row r="147" spans="3:12" ht="15.75" x14ac:dyDescent="0.25">
      <c r="C147" s="1350"/>
      <c r="D147" s="1350"/>
      <c r="E147" s="1350"/>
      <c r="F147" s="1350"/>
      <c r="G147" s="1350"/>
      <c r="J147" s="1343"/>
      <c r="K147" s="1343"/>
      <c r="L147" s="1343"/>
    </row>
    <row r="148" spans="3:12" ht="15.75" x14ac:dyDescent="0.25">
      <c r="C148" s="1350"/>
      <c r="D148" s="1350"/>
      <c r="E148" s="1350"/>
      <c r="F148" s="1350"/>
      <c r="G148" s="1350"/>
      <c r="J148" s="1343"/>
      <c r="K148" s="1343"/>
      <c r="L148" s="1343"/>
    </row>
    <row r="149" spans="3:12" ht="15.75" x14ac:dyDescent="0.25">
      <c r="C149" s="1350"/>
      <c r="D149" s="1350"/>
      <c r="E149" s="1350"/>
      <c r="F149" s="1350"/>
      <c r="G149" s="1350"/>
      <c r="J149" s="1343"/>
      <c r="K149" s="1343"/>
      <c r="L149" s="1343"/>
    </row>
    <row r="150" spans="3:12" x14ac:dyDescent="0.2">
      <c r="C150" s="239"/>
      <c r="D150" s="239"/>
      <c r="E150" s="239"/>
      <c r="F150" s="239"/>
      <c r="G150" s="239"/>
      <c r="J150" s="1343"/>
      <c r="K150" s="1343"/>
      <c r="L150" s="1343"/>
    </row>
    <row r="151" spans="3:12" x14ac:dyDescent="0.2">
      <c r="C151" s="239"/>
      <c r="D151" s="239"/>
      <c r="E151" s="239"/>
      <c r="F151" s="239"/>
      <c r="G151" s="239"/>
      <c r="J151" s="1343"/>
      <c r="K151" s="1343"/>
      <c r="L151" s="1343"/>
    </row>
    <row r="152" spans="3:12" x14ac:dyDescent="0.2">
      <c r="C152" s="227"/>
      <c r="D152" s="227"/>
      <c r="E152" s="227"/>
      <c r="F152" s="227"/>
      <c r="G152" s="227"/>
      <c r="J152" s="1343"/>
      <c r="K152" s="1343"/>
      <c r="L152" s="1343"/>
    </row>
    <row r="153" spans="3:12" x14ac:dyDescent="0.2">
      <c r="C153" s="239"/>
      <c r="D153" s="239"/>
      <c r="E153" s="239"/>
      <c r="F153" s="239"/>
      <c r="G153" s="239"/>
      <c r="J153" s="1343"/>
      <c r="K153" s="1343"/>
      <c r="L153" s="1343"/>
    </row>
    <row r="154" spans="3:12" x14ac:dyDescent="0.2">
      <c r="C154" s="239"/>
      <c r="D154" s="239"/>
      <c r="E154" s="239"/>
      <c r="F154" s="239"/>
      <c r="G154" s="239"/>
      <c r="J154" s="1343"/>
      <c r="K154" s="1343"/>
      <c r="L154" s="1343"/>
    </row>
    <row r="155" spans="3:12" x14ac:dyDescent="0.2">
      <c r="C155" s="239"/>
      <c r="D155" s="239"/>
      <c r="E155" s="239"/>
      <c r="F155" s="239"/>
      <c r="G155" s="239"/>
      <c r="J155" s="1343"/>
      <c r="K155" s="1343"/>
      <c r="L155" s="1343"/>
    </row>
    <row r="156" spans="3:12" x14ac:dyDescent="0.2">
      <c r="C156" s="239"/>
      <c r="D156" s="239"/>
      <c r="E156" s="239"/>
      <c r="F156" s="239"/>
      <c r="G156" s="239"/>
      <c r="J156" s="1343"/>
      <c r="K156" s="1343"/>
      <c r="L156" s="1343"/>
    </row>
    <row r="157" spans="3:12" x14ac:dyDescent="0.2">
      <c r="C157" s="239"/>
      <c r="D157" s="239"/>
      <c r="E157" s="239"/>
      <c r="F157" s="239"/>
      <c r="G157" s="239"/>
      <c r="H157" s="219"/>
      <c r="J157" s="1343"/>
      <c r="K157" s="1343"/>
      <c r="L157" s="1343"/>
    </row>
    <row r="158" spans="3:12" x14ac:dyDescent="0.2">
      <c r="C158" s="239"/>
      <c r="D158" s="239"/>
      <c r="E158" s="239"/>
      <c r="F158" s="239"/>
      <c r="G158" s="239"/>
      <c r="J158" s="1343"/>
      <c r="K158" s="1343"/>
      <c r="L158" s="1343"/>
    </row>
    <row r="159" spans="3:12" x14ac:dyDescent="0.2">
      <c r="C159" s="239"/>
      <c r="D159" s="239"/>
      <c r="E159" s="239"/>
      <c r="F159" s="239"/>
      <c r="G159" s="239"/>
      <c r="J159" s="1343"/>
      <c r="K159" s="1343"/>
      <c r="L159" s="1343"/>
    </row>
    <row r="160" spans="3:12" ht="27.75" customHeight="1" x14ac:dyDescent="0.2">
      <c r="C160" s="239"/>
      <c r="D160" s="239"/>
      <c r="E160" s="239"/>
      <c r="F160" s="239"/>
      <c r="G160" s="239"/>
      <c r="J160" s="1343"/>
      <c r="K160" s="1343"/>
      <c r="L160" s="1343"/>
    </row>
    <row r="161" spans="3:12" ht="15" customHeight="1" x14ac:dyDescent="0.2">
      <c r="C161" s="239"/>
      <c r="D161" s="239"/>
      <c r="E161" s="239"/>
      <c r="F161" s="239"/>
      <c r="G161" s="239"/>
      <c r="J161" s="1343"/>
      <c r="K161" s="1343"/>
      <c r="L161" s="1343"/>
    </row>
    <row r="162" spans="3:12" x14ac:dyDescent="0.2">
      <c r="C162" s="239"/>
      <c r="D162" s="239"/>
      <c r="E162" s="239"/>
      <c r="F162" s="239"/>
      <c r="G162" s="239"/>
      <c r="J162" s="1343"/>
      <c r="K162" s="1343"/>
      <c r="L162" s="1343"/>
    </row>
    <row r="163" spans="3:12" x14ac:dyDescent="0.2">
      <c r="C163" s="239"/>
      <c r="D163" s="239"/>
      <c r="E163" s="239"/>
      <c r="F163" s="239"/>
      <c r="G163" s="239"/>
      <c r="J163" s="1343"/>
      <c r="K163" s="1343"/>
      <c r="L163" s="1343"/>
    </row>
    <row r="164" spans="3:12" x14ac:dyDescent="0.2">
      <c r="C164" s="239"/>
      <c r="D164" s="239"/>
      <c r="E164" s="239"/>
      <c r="F164" s="239"/>
      <c r="G164" s="239"/>
      <c r="J164" s="1343"/>
      <c r="K164" s="1343"/>
      <c r="L164" s="1343"/>
    </row>
    <row r="165" spans="3:12" x14ac:dyDescent="0.2">
      <c r="C165" s="239"/>
      <c r="D165" s="239"/>
      <c r="E165" s="239"/>
      <c r="F165" s="239"/>
      <c r="G165" s="239"/>
      <c r="J165" s="1343"/>
      <c r="K165" s="1343"/>
      <c r="L165" s="1343"/>
    </row>
    <row r="166" spans="3:12" x14ac:dyDescent="0.2">
      <c r="C166" s="239"/>
      <c r="D166" s="239"/>
      <c r="E166" s="239"/>
      <c r="F166" s="239"/>
      <c r="G166" s="239"/>
      <c r="J166" s="1343"/>
      <c r="K166" s="1343"/>
      <c r="L166" s="1343"/>
    </row>
    <row r="167" spans="3:12" x14ac:dyDescent="0.2">
      <c r="C167" s="239"/>
      <c r="D167" s="239"/>
      <c r="E167" s="239"/>
      <c r="F167" s="239"/>
      <c r="G167" s="239"/>
      <c r="J167" s="1343"/>
      <c r="K167" s="1343"/>
      <c r="L167" s="1343"/>
    </row>
    <row r="168" spans="3:12" x14ac:dyDescent="0.2">
      <c r="C168" s="239"/>
      <c r="D168" s="239"/>
      <c r="E168" s="239"/>
      <c r="F168" s="239"/>
      <c r="G168" s="239"/>
      <c r="J168" s="1343"/>
      <c r="K168" s="1343"/>
      <c r="L168" s="1343"/>
    </row>
    <row r="169" spans="3:12" x14ac:dyDescent="0.2">
      <c r="C169" s="239"/>
      <c r="D169" s="239"/>
      <c r="E169" s="239"/>
      <c r="F169" s="239"/>
      <c r="G169" s="239"/>
    </row>
    <row r="170" spans="3:12" x14ac:dyDescent="0.2">
      <c r="C170" s="239"/>
      <c r="D170" s="239"/>
      <c r="E170" s="239"/>
      <c r="F170" s="239"/>
      <c r="G170" s="239"/>
    </row>
    <row r="171" spans="3:12" x14ac:dyDescent="0.2">
      <c r="C171" s="239"/>
      <c r="D171" s="239"/>
      <c r="E171" s="239"/>
      <c r="F171" s="239"/>
      <c r="G171" s="239"/>
    </row>
    <row r="172" spans="3:12" x14ac:dyDescent="0.2">
      <c r="C172" s="239"/>
      <c r="D172" s="239"/>
      <c r="E172" s="239"/>
      <c r="F172" s="239"/>
      <c r="G172" s="239"/>
    </row>
    <row r="173" spans="3:12" x14ac:dyDescent="0.2">
      <c r="C173" s="239"/>
      <c r="D173" s="239"/>
      <c r="E173" s="239"/>
      <c r="F173" s="239"/>
      <c r="G173" s="239"/>
    </row>
    <row r="174" spans="3:12" x14ac:dyDescent="0.2">
      <c r="C174" s="239"/>
      <c r="D174" s="239"/>
      <c r="E174" s="239"/>
      <c r="F174" s="239"/>
      <c r="G174" s="239"/>
    </row>
    <row r="175" spans="3:12" x14ac:dyDescent="0.2">
      <c r="C175" s="239"/>
      <c r="D175" s="239"/>
      <c r="E175" s="239"/>
      <c r="F175" s="239"/>
      <c r="G175" s="239"/>
    </row>
    <row r="176" spans="3:12" x14ac:dyDescent="0.2">
      <c r="C176" s="239"/>
      <c r="D176" s="239"/>
      <c r="E176" s="239"/>
      <c r="F176" s="239"/>
      <c r="G176" s="239"/>
    </row>
    <row r="177" spans="3:7" x14ac:dyDescent="0.2">
      <c r="C177" s="239"/>
      <c r="D177" s="239"/>
      <c r="E177" s="239"/>
      <c r="F177" s="239"/>
      <c r="G177" s="239"/>
    </row>
    <row r="178" spans="3:7" x14ac:dyDescent="0.2">
      <c r="C178" s="239"/>
      <c r="D178" s="239"/>
      <c r="E178" s="239"/>
      <c r="F178" s="239"/>
      <c r="G178" s="239"/>
    </row>
    <row r="179" spans="3:7" x14ac:dyDescent="0.2">
      <c r="C179" s="239"/>
      <c r="D179" s="239"/>
      <c r="E179" s="239"/>
      <c r="F179" s="239"/>
      <c r="G179" s="239"/>
    </row>
    <row r="180" spans="3:7" x14ac:dyDescent="0.2">
      <c r="C180" s="239"/>
      <c r="D180" s="239"/>
      <c r="E180" s="239"/>
      <c r="F180" s="239"/>
      <c r="G180" s="239"/>
    </row>
    <row r="181" spans="3:7" x14ac:dyDescent="0.2">
      <c r="C181" s="239"/>
      <c r="D181" s="239"/>
      <c r="E181" s="239"/>
      <c r="F181" s="239"/>
      <c r="G181" s="239"/>
    </row>
    <row r="182" spans="3:7" x14ac:dyDescent="0.2">
      <c r="C182" s="239"/>
      <c r="D182" s="239"/>
      <c r="E182" s="239"/>
      <c r="F182" s="239"/>
      <c r="G182" s="239"/>
    </row>
    <row r="183" spans="3:7" x14ac:dyDescent="0.2">
      <c r="C183" s="239"/>
      <c r="D183" s="239"/>
      <c r="E183" s="239"/>
      <c r="F183" s="239"/>
      <c r="G183" s="239"/>
    </row>
    <row r="184" spans="3:7" x14ac:dyDescent="0.2">
      <c r="C184" s="239"/>
      <c r="D184" s="239"/>
      <c r="E184" s="239"/>
      <c r="F184" s="239"/>
      <c r="G184" s="239"/>
    </row>
    <row r="185" spans="3:7" x14ac:dyDescent="0.2">
      <c r="C185" s="239"/>
      <c r="D185" s="239"/>
      <c r="E185" s="239"/>
      <c r="F185" s="239"/>
      <c r="G185" s="239"/>
    </row>
    <row r="186" spans="3:7" x14ac:dyDescent="0.2">
      <c r="C186" s="239"/>
      <c r="D186" s="239"/>
      <c r="E186" s="239"/>
      <c r="F186" s="239"/>
      <c r="G186" s="239"/>
    </row>
    <row r="187" spans="3:7" x14ac:dyDescent="0.2">
      <c r="C187" s="239"/>
      <c r="D187" s="239"/>
      <c r="E187" s="239"/>
      <c r="F187" s="239"/>
      <c r="G187" s="239"/>
    </row>
    <row r="188" spans="3:7" x14ac:dyDescent="0.2">
      <c r="C188" s="239"/>
      <c r="D188" s="239"/>
      <c r="E188" s="239"/>
      <c r="F188" s="239"/>
      <c r="G188" s="239"/>
    </row>
    <row r="189" spans="3:7" x14ac:dyDescent="0.2">
      <c r="C189" s="239"/>
      <c r="D189" s="239"/>
      <c r="E189" s="239"/>
      <c r="F189" s="239"/>
      <c r="G189" s="239"/>
    </row>
    <row r="190" spans="3:7" x14ac:dyDescent="0.2">
      <c r="C190" s="239"/>
      <c r="D190" s="239"/>
      <c r="E190" s="239"/>
      <c r="F190" s="239"/>
      <c r="G190" s="239"/>
    </row>
    <row r="191" spans="3:7" x14ac:dyDescent="0.2">
      <c r="C191" s="239"/>
      <c r="D191" s="239"/>
      <c r="E191" s="239"/>
      <c r="F191" s="239"/>
      <c r="G191" s="239"/>
    </row>
    <row r="192" spans="3:7" x14ac:dyDescent="0.2">
      <c r="C192" s="239"/>
      <c r="D192" s="239"/>
      <c r="E192" s="239"/>
      <c r="F192" s="239"/>
      <c r="G192" s="239"/>
    </row>
    <row r="193" spans="1:9" x14ac:dyDescent="0.2">
      <c r="C193" s="239"/>
      <c r="D193" s="239"/>
      <c r="E193" s="239"/>
      <c r="F193" s="239"/>
      <c r="G193" s="239"/>
    </row>
    <row r="194" spans="1:9" x14ac:dyDescent="0.2">
      <c r="C194" s="239"/>
      <c r="D194" s="239"/>
      <c r="E194" s="239"/>
      <c r="F194" s="239"/>
      <c r="G194" s="239"/>
    </row>
    <row r="195" spans="1:9" x14ac:dyDescent="0.2">
      <c r="C195" s="239"/>
      <c r="D195" s="239"/>
      <c r="E195" s="239"/>
      <c r="F195" s="239"/>
      <c r="G195" s="239"/>
    </row>
    <row r="196" spans="1:9" x14ac:dyDescent="0.2">
      <c r="C196" s="239"/>
      <c r="D196" s="239"/>
      <c r="E196" s="239"/>
      <c r="F196" s="239"/>
      <c r="G196" s="239"/>
    </row>
    <row r="197" spans="1:9" x14ac:dyDescent="0.2">
      <c r="C197" s="239"/>
      <c r="D197" s="239"/>
      <c r="E197" s="239"/>
      <c r="F197" s="239"/>
      <c r="G197" s="239"/>
    </row>
    <row r="198" spans="1:9" x14ac:dyDescent="0.2">
      <c r="C198" s="239"/>
      <c r="D198" s="239"/>
      <c r="E198" s="239"/>
      <c r="F198" s="239"/>
      <c r="G198" s="239"/>
    </row>
    <row r="199" spans="1:9" x14ac:dyDescent="0.2">
      <c r="C199" s="239"/>
      <c r="D199" s="239"/>
      <c r="E199" s="239"/>
      <c r="F199" s="239"/>
      <c r="G199" s="239"/>
    </row>
    <row r="200" spans="1:9" ht="15.75" x14ac:dyDescent="0.25">
      <c r="A200" s="242"/>
      <c r="B200" s="242"/>
      <c r="C200" s="1351"/>
      <c r="D200" s="1351"/>
      <c r="E200" s="1351"/>
      <c r="F200" s="1351"/>
      <c r="G200" s="1351"/>
      <c r="H200" s="242"/>
      <c r="I200" s="242"/>
    </row>
    <row r="201" spans="1:9" x14ac:dyDescent="0.2">
      <c r="A201" s="1352" t="s">
        <v>5303</v>
      </c>
      <c r="B201" s="332"/>
      <c r="C201" s="239"/>
      <c r="D201" s="239"/>
      <c r="E201" s="239"/>
      <c r="F201" s="239"/>
      <c r="G201" s="239"/>
    </row>
    <row r="202" spans="1:9" ht="15.75" x14ac:dyDescent="0.25">
      <c r="A202" s="880" t="s">
        <v>5304</v>
      </c>
      <c r="B202" s="1353">
        <f>kursovoy!B847</f>
        <v>3</v>
      </c>
      <c r="C202" s="239"/>
      <c r="D202" s="239"/>
      <c r="E202" s="239"/>
      <c r="F202" s="239"/>
      <c r="G202" s="239"/>
    </row>
    <row r="203" spans="1:9" ht="15.75" x14ac:dyDescent="0.25">
      <c r="A203" s="880" t="s">
        <v>5305</v>
      </c>
      <c r="B203" s="810">
        <f>B202</f>
        <v>3</v>
      </c>
      <c r="C203" s="239"/>
      <c r="D203" s="239"/>
      <c r="E203" s="239"/>
      <c r="F203" s="239"/>
      <c r="G203" s="239"/>
    </row>
    <row r="204" spans="1:9" ht="31.5" x14ac:dyDescent="0.25">
      <c r="A204" s="880" t="s">
        <v>5306</v>
      </c>
      <c r="B204" s="810">
        <f>kursovoy!B866</f>
        <v>0</v>
      </c>
      <c r="C204" s="239"/>
      <c r="D204" s="239"/>
      <c r="E204" s="239"/>
      <c r="F204" s="239"/>
      <c r="G204" s="239"/>
    </row>
    <row r="205" spans="1:9" ht="15.75" x14ac:dyDescent="0.25">
      <c r="A205" s="880" t="s">
        <v>3342</v>
      </c>
      <c r="B205" s="810">
        <f>kursovoy!B870</f>
        <v>0</v>
      </c>
      <c r="C205" s="239"/>
      <c r="D205" s="239"/>
      <c r="E205" s="239"/>
      <c r="F205" s="239"/>
      <c r="G205" s="239"/>
    </row>
    <row r="206" spans="1:9" ht="15.75" x14ac:dyDescent="0.25">
      <c r="A206" s="1354" t="s">
        <v>1501</v>
      </c>
      <c r="B206" s="1355" t="e">
        <f>IF(kursovoy!B2258=1,0,1)</f>
        <v>#VALUE!</v>
      </c>
      <c r="C206" s="239"/>
      <c r="D206" s="239"/>
      <c r="E206" s="239"/>
      <c r="F206" s="239"/>
      <c r="G206" s="239"/>
    </row>
    <row r="207" spans="1:9" ht="15.75" x14ac:dyDescent="0.25">
      <c r="A207" s="1354" t="s">
        <v>1502</v>
      </c>
      <c r="B207" s="1355" t="e">
        <f>IF(kursovoy!B2267=1,1,0)</f>
        <v>#VALUE!</v>
      </c>
      <c r="C207" s="239"/>
      <c r="E207" s="239"/>
      <c r="F207" s="239"/>
      <c r="G207" s="239"/>
    </row>
    <row r="208" spans="1:9" ht="15.75" x14ac:dyDescent="0.25">
      <c r="A208" s="1354" t="s">
        <v>565</v>
      </c>
      <c r="B208" s="1355">
        <f>kursovoy!B897</f>
        <v>0</v>
      </c>
      <c r="C208" s="239"/>
      <c r="D208" s="239"/>
      <c r="E208" s="239"/>
      <c r="F208" s="239"/>
      <c r="G208" s="239"/>
    </row>
    <row r="209" spans="1:113" ht="15.75" x14ac:dyDescent="0.25">
      <c r="A209" s="1354" t="s">
        <v>2005</v>
      </c>
      <c r="B209" s="1355">
        <f>kursovoy!B902</f>
        <v>0</v>
      </c>
      <c r="C209" s="239"/>
      <c r="D209" s="239"/>
      <c r="E209" s="239"/>
      <c r="F209" s="239"/>
      <c r="G209" s="239"/>
    </row>
    <row r="210" spans="1:113" ht="15.75" x14ac:dyDescent="0.25">
      <c r="A210" s="1356" t="s">
        <v>1503</v>
      </c>
      <c r="B210" s="1357"/>
      <c r="C210" s="239"/>
      <c r="D210" s="239"/>
      <c r="E210" s="239"/>
      <c r="F210" s="239"/>
      <c r="G210" s="239"/>
    </row>
    <row r="211" spans="1:113" ht="94.5" x14ac:dyDescent="0.25">
      <c r="A211" s="943" t="s">
        <v>564</v>
      </c>
      <c r="B211" s="1358">
        <f>Оптимизация!B59</f>
        <v>0</v>
      </c>
      <c r="C211" s="239"/>
      <c r="D211" s="239"/>
      <c r="E211" s="239"/>
      <c r="F211" s="239"/>
      <c r="G211" s="1070">
        <v>1</v>
      </c>
      <c r="H211" s="1070">
        <v>2</v>
      </c>
      <c r="I211" s="1070">
        <v>3</v>
      </c>
      <c r="J211" s="1070">
        <v>4</v>
      </c>
      <c r="K211" s="1070">
        <v>5</v>
      </c>
      <c r="L211" s="1070">
        <v>6</v>
      </c>
      <c r="M211" s="1070">
        <v>7</v>
      </c>
      <c r="N211" s="1070">
        <v>8</v>
      </c>
      <c r="O211" s="1070">
        <v>9</v>
      </c>
    </row>
    <row r="212" spans="1:113" ht="78.75" x14ac:dyDescent="0.25">
      <c r="A212" s="1220" t="s">
        <v>1504</v>
      </c>
      <c r="B212" s="1359"/>
      <c r="C212" s="825"/>
      <c r="D212" s="825"/>
      <c r="E212" s="825"/>
      <c r="F212" s="825"/>
      <c r="G212" s="1070" t="s">
        <v>499</v>
      </c>
      <c r="H212" s="1070" t="s">
        <v>2258</v>
      </c>
      <c r="I212" s="1070" t="s">
        <v>500</v>
      </c>
      <c r="J212" s="1070" t="s">
        <v>1190</v>
      </c>
      <c r="K212" s="1315" t="s">
        <v>220</v>
      </c>
      <c r="L212" s="1316" t="s">
        <v>501</v>
      </c>
      <c r="M212" s="1316" t="s">
        <v>502</v>
      </c>
      <c r="N212" s="1315" t="s">
        <v>760</v>
      </c>
      <c r="O212" s="1070" t="s">
        <v>761</v>
      </c>
    </row>
    <row r="213" spans="1:113" ht="94.5" x14ac:dyDescent="0.25">
      <c r="A213" s="943" t="s">
        <v>564</v>
      </c>
      <c r="B213" s="1358">
        <f>Оптимизация!B60</f>
        <v>0</v>
      </c>
      <c r="J213" s="239"/>
      <c r="K213" s="239"/>
    </row>
    <row r="214" spans="1:113" ht="15.75" x14ac:dyDescent="0.25">
      <c r="A214" s="880" t="s">
        <v>1505</v>
      </c>
      <c r="B214" s="1360">
        <v>23</v>
      </c>
      <c r="C214" s="825"/>
      <c r="D214" s="825"/>
      <c r="E214" s="825"/>
      <c r="F214" s="825"/>
      <c r="G214" s="825"/>
      <c r="J214" s="239"/>
      <c r="K214" s="239"/>
    </row>
    <row r="215" spans="1:113" ht="32.25" x14ac:dyDescent="0.3">
      <c r="A215" s="880" t="s">
        <v>1506</v>
      </c>
      <c r="B215" s="1361">
        <v>4</v>
      </c>
      <c r="C215" s="1298"/>
      <c r="D215" s="1157"/>
      <c r="E215" s="1157"/>
      <c r="F215" s="1157"/>
      <c r="G215" s="1157"/>
      <c r="H215" s="1157"/>
      <c r="I215" s="1157"/>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row>
    <row r="216" spans="1:113" ht="32.25" x14ac:dyDescent="0.3">
      <c r="A216" s="880" t="s">
        <v>1507</v>
      </c>
      <c r="B216" s="1203">
        <v>4</v>
      </c>
      <c r="C216" s="1298"/>
      <c r="D216" s="1157"/>
      <c r="E216" s="1157"/>
      <c r="F216" s="1157"/>
      <c r="G216" s="1157"/>
      <c r="H216" s="1157"/>
      <c r="I216" s="1157"/>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row>
    <row r="217" spans="1:113" ht="32.25" x14ac:dyDescent="0.3">
      <c r="A217" s="1362" t="s">
        <v>1508</v>
      </c>
      <c r="B217" s="1203">
        <v>2</v>
      </c>
      <c r="C217" s="1298"/>
      <c r="D217" s="1157"/>
      <c r="E217" s="1157"/>
      <c r="F217" s="1157"/>
      <c r="G217" s="1157"/>
      <c r="H217" s="1157"/>
      <c r="I217" s="115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row>
    <row r="218" spans="1:113" ht="32.25" x14ac:dyDescent="0.3">
      <c r="A218" s="880" t="s">
        <v>844</v>
      </c>
      <c r="B218" s="1203">
        <v>2</v>
      </c>
      <c r="C218" s="1298"/>
      <c r="D218" s="1157"/>
      <c r="E218" s="1157"/>
      <c r="F218" s="1157"/>
      <c r="G218" s="1157"/>
      <c r="H218" s="1157"/>
      <c r="I218" s="1157"/>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row>
    <row r="219" spans="1:113" ht="15.75" x14ac:dyDescent="0.25">
      <c r="A219" s="880" t="s">
        <v>608</v>
      </c>
      <c r="B219" s="810" t="str">
        <f>kursovoy!B404</f>
        <v/>
      </c>
      <c r="J219" s="239"/>
      <c r="K219" s="239"/>
    </row>
    <row r="220" spans="1:113" ht="15.75" x14ac:dyDescent="0.25">
      <c r="A220" s="880" t="s">
        <v>3867</v>
      </c>
      <c r="B220" s="810" t="str">
        <f>kursovoy!B225</f>
        <v/>
      </c>
      <c r="J220" s="239"/>
      <c r="K220" s="239"/>
    </row>
    <row r="221" spans="1:113" ht="15.75" x14ac:dyDescent="0.25">
      <c r="A221" s="880" t="s">
        <v>845</v>
      </c>
      <c r="B221" s="810" t="str">
        <f>kursovoy!B218</f>
        <v/>
      </c>
      <c r="J221" s="239"/>
      <c r="K221" s="239"/>
    </row>
    <row r="222" spans="1:113" ht="31.5" x14ac:dyDescent="0.25">
      <c r="A222" s="1363" t="s">
        <v>846</v>
      </c>
      <c r="B222" s="810" t="str">
        <f>kursovoy!B207</f>
        <v/>
      </c>
      <c r="J222" s="239"/>
      <c r="K222" s="239"/>
    </row>
    <row r="223" spans="1:113" ht="47.25" x14ac:dyDescent="0.25">
      <c r="A223" s="880" t="s">
        <v>847</v>
      </c>
      <c r="B223" s="810" t="str">
        <f>kursovoy!B208</f>
        <v/>
      </c>
      <c r="J223" s="239"/>
      <c r="K223" s="239"/>
    </row>
    <row r="224" spans="1:113" ht="63" x14ac:dyDescent="0.25">
      <c r="A224" s="880" t="s">
        <v>1822</v>
      </c>
      <c r="B224" s="810" t="str">
        <f>kursovoy!B221</f>
        <v/>
      </c>
      <c r="J224" s="239"/>
      <c r="K224" s="239"/>
    </row>
    <row r="225" spans="1:11" ht="63" x14ac:dyDescent="0.25">
      <c r="A225" s="880" t="s">
        <v>848</v>
      </c>
      <c r="B225" s="810">
        <f>IF(kursovoy!B216=1,3,1)</f>
        <v>1</v>
      </c>
      <c r="J225" s="239"/>
      <c r="K225" s="239"/>
    </row>
    <row r="226" spans="1:11" ht="15.75" x14ac:dyDescent="0.25">
      <c r="A226" s="880" t="s">
        <v>849</v>
      </c>
      <c r="B226" s="810" t="e">
        <f>kursovoy!B2305</f>
        <v>#VALUE!</v>
      </c>
      <c r="J226" s="239"/>
      <c r="K226" s="239"/>
    </row>
    <row r="227" spans="1:11" ht="31.5" x14ac:dyDescent="0.25">
      <c r="A227" s="880" t="s">
        <v>850</v>
      </c>
      <c r="B227" s="2365">
        <v>5</v>
      </c>
      <c r="J227" s="239"/>
      <c r="K227" s="239"/>
    </row>
    <row r="228" spans="1:11" ht="63" x14ac:dyDescent="0.25">
      <c r="A228" s="1364" t="s">
        <v>997</v>
      </c>
      <c r="B228" s="810" t="str">
        <f>kursovoy!B223</f>
        <v/>
      </c>
      <c r="J228" s="239"/>
      <c r="K228" s="239"/>
    </row>
    <row r="229" spans="1:11" ht="63" x14ac:dyDescent="0.25">
      <c r="A229" s="880" t="s">
        <v>4875</v>
      </c>
      <c r="B229" s="810" t="str">
        <f>kursovoy!B228</f>
        <v/>
      </c>
      <c r="J229" s="239"/>
      <c r="K229" s="239"/>
    </row>
    <row r="230" spans="1:11" ht="15.75" x14ac:dyDescent="0.25">
      <c r="A230" s="880" t="s">
        <v>998</v>
      </c>
      <c r="B230" s="1353" t="str">
        <f>kursovoy!B211</f>
        <v/>
      </c>
      <c r="J230" s="239"/>
      <c r="K230" s="239"/>
    </row>
    <row r="231" spans="1:11" ht="31.5" x14ac:dyDescent="0.25">
      <c r="A231" s="880" t="s">
        <v>999</v>
      </c>
      <c r="B231" s="1353" t="str">
        <f>kursovoy!B212</f>
        <v/>
      </c>
      <c r="J231" s="239"/>
      <c r="K231" s="239"/>
    </row>
    <row r="232" spans="1:11" ht="15.75" x14ac:dyDescent="0.25">
      <c r="A232" s="880" t="s">
        <v>3785</v>
      </c>
      <c r="B232" s="810" t="str">
        <f>kursovoy!B405</f>
        <v/>
      </c>
      <c r="J232" s="239"/>
      <c r="K232" s="239"/>
    </row>
    <row r="233" spans="1:11" ht="15.75" x14ac:dyDescent="0.25">
      <c r="A233" s="880" t="s">
        <v>851</v>
      </c>
      <c r="B233" s="1353" t="str">
        <f>kursovoy!B209</f>
        <v/>
      </c>
      <c r="J233" s="239"/>
      <c r="K233" s="239"/>
    </row>
    <row r="234" spans="1:11" ht="15" x14ac:dyDescent="0.2">
      <c r="A234" s="1365" t="s">
        <v>852</v>
      </c>
      <c r="B234" s="1203"/>
      <c r="J234" s="239"/>
      <c r="K234" s="239"/>
    </row>
    <row r="235" spans="1:11" ht="47.25" x14ac:dyDescent="0.25">
      <c r="A235" s="880" t="s">
        <v>1021</v>
      </c>
      <c r="B235" s="810">
        <f>IF(kursovoy!B917=1,2,1)</f>
        <v>1</v>
      </c>
      <c r="J235" s="239"/>
      <c r="K235" s="239"/>
    </row>
    <row r="236" spans="1:11" ht="91.5" customHeight="1" x14ac:dyDescent="0.25">
      <c r="A236" s="880" t="s">
        <v>1022</v>
      </c>
      <c r="B236" s="810">
        <v>1</v>
      </c>
      <c r="C236" s="8" t="s">
        <v>3886</v>
      </c>
      <c r="J236" s="239"/>
      <c r="K236" s="239"/>
    </row>
    <row r="237" spans="1:11" ht="47.25" x14ac:dyDescent="0.25">
      <c r="A237" s="880" t="s">
        <v>1023</v>
      </c>
      <c r="B237" s="1366">
        <v>3</v>
      </c>
      <c r="J237" s="239"/>
      <c r="K237" s="239"/>
    </row>
    <row r="238" spans="1:11" ht="31.5" x14ac:dyDescent="0.25">
      <c r="A238" s="880" t="s">
        <v>1024</v>
      </c>
      <c r="B238" s="2365">
        <v>1</v>
      </c>
      <c r="J238" s="239"/>
      <c r="K238" s="239"/>
    </row>
    <row r="239" spans="1:11" ht="31.5" x14ac:dyDescent="0.25">
      <c r="A239" s="880" t="s">
        <v>1025</v>
      </c>
      <c r="B239" s="1353" t="str">
        <f>kursovoy!B210</f>
        <v/>
      </c>
      <c r="J239" s="239"/>
      <c r="K239" s="239"/>
    </row>
    <row r="240" spans="1:11" ht="15.75" x14ac:dyDescent="0.25">
      <c r="A240" s="880" t="s">
        <v>1026</v>
      </c>
      <c r="B240" s="1203">
        <v>4</v>
      </c>
      <c r="J240" s="239"/>
      <c r="K240" s="239"/>
    </row>
    <row r="241" spans="1:11" ht="25.5" x14ac:dyDescent="0.2">
      <c r="A241" s="1367" t="s">
        <v>1027</v>
      </c>
      <c r="B241" s="1203">
        <v>0</v>
      </c>
      <c r="J241" s="239"/>
      <c r="K241" s="239"/>
    </row>
    <row r="242" spans="1:11" ht="15" x14ac:dyDescent="0.2">
      <c r="A242" s="1365" t="s">
        <v>1028</v>
      </c>
      <c r="B242" s="1203"/>
      <c r="D242" s="6"/>
      <c r="E242" s="6"/>
      <c r="F242" s="6"/>
      <c r="G242" s="6"/>
      <c r="J242" s="239"/>
      <c r="K242" s="239"/>
    </row>
    <row r="243" spans="1:11" ht="15.75" x14ac:dyDescent="0.25">
      <c r="A243" s="880" t="s">
        <v>3315</v>
      </c>
      <c r="B243" s="810">
        <f>kursovoy!B1103</f>
        <v>0</v>
      </c>
      <c r="J243" s="239"/>
      <c r="K243" s="239"/>
    </row>
    <row r="244" spans="1:11" ht="15.75" x14ac:dyDescent="0.25">
      <c r="A244" s="880" t="s">
        <v>3885</v>
      </c>
      <c r="B244" s="810" t="e">
        <f>kursovoy!B1102</f>
        <v>#VALUE!</v>
      </c>
      <c r="J244" s="239"/>
      <c r="K244" s="239"/>
    </row>
    <row r="245" spans="1:11" ht="15.75" x14ac:dyDescent="0.25">
      <c r="A245" s="880" t="s">
        <v>1029</v>
      </c>
      <c r="B245" s="810">
        <f>ком!G55</f>
        <v>0.98</v>
      </c>
      <c r="J245" s="239"/>
      <c r="K245" s="239"/>
    </row>
    <row r="246" spans="1:11" ht="15.75" x14ac:dyDescent="0.25">
      <c r="A246" s="880" t="s">
        <v>2664</v>
      </c>
      <c r="B246" s="1368">
        <v>1</v>
      </c>
      <c r="J246" s="239"/>
      <c r="K246" s="239"/>
    </row>
    <row r="247" spans="1:11" ht="31.5" x14ac:dyDescent="0.25">
      <c r="A247" s="880" t="s">
        <v>2665</v>
      </c>
      <c r="B247" s="810" t="e">
        <f>kursovoy!#REF!</f>
        <v>#REF!</v>
      </c>
      <c r="J247" s="239"/>
      <c r="K247" s="239"/>
    </row>
    <row r="248" spans="1:11" ht="31.5" x14ac:dyDescent="0.25">
      <c r="A248" s="880" t="s">
        <v>2666</v>
      </c>
      <c r="B248" s="810" t="e">
        <f>kursovoy!#REF!</f>
        <v>#REF!</v>
      </c>
      <c r="J248" s="239"/>
      <c r="K248" s="239"/>
    </row>
    <row r="249" spans="1:11" ht="15.75" x14ac:dyDescent="0.25">
      <c r="A249" s="880" t="s">
        <v>2667</v>
      </c>
      <c r="B249" s="1353">
        <f>kursovoy!B848</f>
        <v>2.2000000000000002</v>
      </c>
      <c r="J249" s="239"/>
      <c r="K249" s="239"/>
    </row>
    <row r="250" spans="1:11" ht="15.75" x14ac:dyDescent="0.25">
      <c r="A250" s="880" t="s">
        <v>2668</v>
      </c>
      <c r="B250" s="1361">
        <v>0.8</v>
      </c>
      <c r="J250" s="239"/>
      <c r="K250" s="239"/>
    </row>
    <row r="251" spans="1:11" ht="31.5" x14ac:dyDescent="0.25">
      <c r="A251" s="875" t="s">
        <v>2669</v>
      </c>
      <c r="B251" s="1369">
        <f>kursovoy!B876</f>
        <v>0</v>
      </c>
      <c r="J251" s="239"/>
      <c r="K251" s="239"/>
    </row>
    <row r="252" spans="1:11" ht="31.5" x14ac:dyDescent="0.25">
      <c r="A252" s="875" t="s">
        <v>2269</v>
      </c>
      <c r="B252" s="1361">
        <v>1</v>
      </c>
      <c r="J252" s="239"/>
      <c r="K252" s="239"/>
    </row>
    <row r="253" spans="1:11" ht="31.5" x14ac:dyDescent="0.25">
      <c r="A253" s="875" t="s">
        <v>2673</v>
      </c>
      <c r="B253" s="2366">
        <f>B251</f>
        <v>0</v>
      </c>
      <c r="J253" s="239"/>
      <c r="K253" s="239"/>
    </row>
    <row r="254" spans="1:11" ht="31.5" x14ac:dyDescent="0.2">
      <c r="A254" s="1370" t="s">
        <v>5567</v>
      </c>
      <c r="B254" s="1353">
        <f>IF(kursovoy!B895=0,1,0)</f>
        <v>1</v>
      </c>
      <c r="J254" s="239"/>
      <c r="K254" s="239"/>
    </row>
    <row r="255" spans="1:11" ht="47.25" x14ac:dyDescent="0.25">
      <c r="A255" s="880" t="s">
        <v>5568</v>
      </c>
      <c r="B255" s="1361">
        <v>2</v>
      </c>
      <c r="J255" s="239"/>
      <c r="K255" s="239"/>
    </row>
    <row r="256" spans="1:11" ht="31.5" x14ac:dyDescent="0.25">
      <c r="A256" s="880" t="s">
        <v>5569</v>
      </c>
      <c r="B256" s="1371">
        <v>1</v>
      </c>
      <c r="J256" s="239"/>
      <c r="K256" s="239"/>
    </row>
    <row r="257" spans="1:113" ht="15.75" x14ac:dyDescent="0.25">
      <c r="A257" s="880" t="s">
        <v>5570</v>
      </c>
      <c r="B257" s="810">
        <f>IF(kursovoy!B891=0,1,2)</f>
        <v>1</v>
      </c>
      <c r="J257" s="239"/>
      <c r="K257" s="239"/>
    </row>
    <row r="258" spans="1:113" ht="31.5" x14ac:dyDescent="0.25">
      <c r="A258" s="880" t="s">
        <v>5571</v>
      </c>
      <c r="B258" s="1203">
        <v>2.1</v>
      </c>
      <c r="J258" s="239"/>
      <c r="K258" s="239"/>
    </row>
    <row r="259" spans="1:113" ht="31.5" x14ac:dyDescent="0.25">
      <c r="A259" s="880" t="s">
        <v>5572</v>
      </c>
      <c r="B259" s="1203">
        <v>3</v>
      </c>
      <c r="C259" s="825"/>
      <c r="D259" s="825"/>
      <c r="E259" s="825"/>
      <c r="F259" s="825"/>
      <c r="G259" s="825"/>
      <c r="H259" s="1372"/>
      <c r="J259" s="239"/>
      <c r="K259" s="239"/>
    </row>
    <row r="260" spans="1:113" s="239" customFormat="1" ht="31.5" x14ac:dyDescent="0.25">
      <c r="A260" s="880" t="s">
        <v>5573</v>
      </c>
      <c r="B260" s="1373">
        <v>0</v>
      </c>
      <c r="C260" s="825"/>
      <c r="D260" s="825"/>
      <c r="E260" s="825"/>
      <c r="F260" s="825"/>
      <c r="G260" s="825"/>
      <c r="H260" s="1374"/>
    </row>
    <row r="261" spans="1:113" s="239" customFormat="1" ht="31.5" x14ac:dyDescent="0.25">
      <c r="A261" s="875" t="s">
        <v>5574</v>
      </c>
      <c r="B261" s="1375" t="e">
        <f>kursovoy!#REF!</f>
        <v>#REF!</v>
      </c>
      <c r="C261" s="825"/>
      <c r="D261" s="825"/>
      <c r="E261" s="825"/>
      <c r="F261" s="825"/>
      <c r="G261" s="825"/>
      <c r="H261" s="1374"/>
    </row>
    <row r="262" spans="1:113" s="239" customFormat="1" ht="31.5" x14ac:dyDescent="0.25">
      <c r="A262" s="875" t="s">
        <v>5565</v>
      </c>
      <c r="B262" s="1375">
        <f>обор!H833</f>
        <v>0</v>
      </c>
      <c r="C262" s="825"/>
      <c r="D262" s="825"/>
      <c r="E262" s="825"/>
      <c r="F262" s="825"/>
      <c r="G262" s="825"/>
      <c r="H262" s="1374"/>
    </row>
    <row r="263" spans="1:113" s="239" customFormat="1" ht="15.75" x14ac:dyDescent="0.25">
      <c r="A263" s="1365" t="s">
        <v>5566</v>
      </c>
      <c r="B263" s="1203"/>
      <c r="C263" s="825"/>
      <c r="D263" s="825"/>
      <c r="E263" s="825"/>
      <c r="F263" s="825"/>
      <c r="G263" s="825"/>
      <c r="H263" s="1374"/>
    </row>
    <row r="264" spans="1:113" s="239" customFormat="1" ht="15.75" x14ac:dyDescent="0.25">
      <c r="A264" s="1377" t="s">
        <v>3195</v>
      </c>
      <c r="B264" s="1203">
        <v>0</v>
      </c>
      <c r="C264" s="825"/>
      <c r="D264" s="825"/>
      <c r="E264" s="825"/>
      <c r="F264" s="825"/>
      <c r="G264" s="825"/>
      <c r="H264" s="1374"/>
    </row>
    <row r="265" spans="1:113" s="239" customFormat="1" ht="39" x14ac:dyDescent="0.25">
      <c r="A265" s="1354" t="s">
        <v>3196</v>
      </c>
      <c r="B265" s="1378">
        <v>1</v>
      </c>
      <c r="C265" s="825"/>
      <c r="D265" s="825"/>
      <c r="E265" s="825"/>
      <c r="F265" s="825"/>
      <c r="G265" s="825"/>
      <c r="H265" s="1374"/>
    </row>
    <row r="266" spans="1:113" s="239" customFormat="1" ht="26.25" x14ac:dyDescent="0.25">
      <c r="A266" s="1379" t="s">
        <v>530</v>
      </c>
      <c r="B266" s="1355">
        <f>Оптимизация!B739</f>
        <v>0.8</v>
      </c>
      <c r="C266" s="825"/>
      <c r="D266" s="825"/>
      <c r="E266" s="825"/>
      <c r="F266" s="825"/>
      <c r="G266" s="825"/>
      <c r="H266" s="1374"/>
    </row>
    <row r="267" spans="1:113" s="239" customFormat="1" ht="26.25" x14ac:dyDescent="0.25">
      <c r="A267" s="1354" t="s">
        <v>4626</v>
      </c>
      <c r="B267" s="1355">
        <f>Оптимизация!B740</f>
        <v>0.8</v>
      </c>
      <c r="C267" s="825"/>
      <c r="D267" s="825"/>
      <c r="E267" s="825"/>
      <c r="F267" s="825"/>
      <c r="G267" s="825"/>
      <c r="H267" s="1374"/>
    </row>
    <row r="268" spans="1:113" s="239" customFormat="1" ht="15.75" x14ac:dyDescent="0.25">
      <c r="A268" s="1380" t="s">
        <v>4627</v>
      </c>
      <c r="B268" s="1203">
        <v>3.5</v>
      </c>
      <c r="C268" s="825"/>
      <c r="D268" s="825"/>
      <c r="E268" s="825"/>
      <c r="F268" s="825"/>
      <c r="G268" s="825"/>
      <c r="H268" s="1374"/>
    </row>
    <row r="269" spans="1:113" s="239" customFormat="1" ht="63" x14ac:dyDescent="0.25">
      <c r="A269" s="1381" t="s">
        <v>2925</v>
      </c>
      <c r="B269" s="1326">
        <v>2</v>
      </c>
      <c r="C269" s="825"/>
      <c r="D269" s="825"/>
      <c r="E269" s="825"/>
      <c r="F269" s="825"/>
      <c r="G269" s="825"/>
      <c r="H269" s="1374"/>
    </row>
    <row r="270" spans="1:113" ht="15.75" x14ac:dyDescent="0.25">
      <c r="A270" s="1382"/>
      <c r="B270" s="825"/>
      <c r="C270" s="825"/>
      <c r="D270" s="825"/>
      <c r="E270" s="825"/>
      <c r="F270" s="825"/>
      <c r="G270" s="825"/>
      <c r="H270" s="1372"/>
      <c r="J270" s="239"/>
      <c r="K270" s="239"/>
    </row>
    <row r="271" spans="1:113" ht="15.75" x14ac:dyDescent="0.2">
      <c r="A271" s="1383" t="s">
        <v>2926</v>
      </c>
      <c r="B271" s="1384"/>
      <c r="C271" s="1384"/>
      <c r="D271" s="1384"/>
      <c r="E271" s="1384"/>
      <c r="F271" s="1384"/>
      <c r="G271" s="1384"/>
      <c r="H271" s="1070"/>
      <c r="I271" s="1070"/>
      <c r="J271" s="1315"/>
      <c r="K271" s="1316"/>
      <c r="L271" s="1316"/>
      <c r="M271" s="1315"/>
      <c r="N271" s="1070"/>
      <c r="O271" s="1070"/>
      <c r="P271" s="1070"/>
      <c r="Q271" s="1070"/>
      <c r="R271" s="1070"/>
      <c r="S271" s="1070"/>
      <c r="T271" s="1070"/>
      <c r="U271" s="1070"/>
      <c r="V271" s="1070"/>
      <c r="W271" s="1070"/>
      <c r="X271" s="1070"/>
      <c r="Y271" s="1070"/>
      <c r="Z271" s="1070"/>
      <c r="AA271" s="1070"/>
      <c r="AB271" s="1070"/>
      <c r="AC271" s="1070"/>
      <c r="AD271" s="1070"/>
      <c r="AE271" s="1070"/>
      <c r="AF271" s="1070"/>
      <c r="AG271" s="1070"/>
      <c r="AH271" s="1070"/>
      <c r="AI271" s="1070"/>
      <c r="AJ271" s="1070"/>
      <c r="AK271" s="1070"/>
      <c r="AL271" s="1070"/>
      <c r="AM271" s="1070"/>
      <c r="AN271" s="1070"/>
      <c r="AO271" s="1070"/>
      <c r="AP271" s="1070"/>
      <c r="AQ271" s="1070"/>
      <c r="AR271" s="1070"/>
      <c r="AS271" s="1070"/>
      <c r="AT271" s="1070"/>
      <c r="AU271" s="1070"/>
      <c r="AV271" s="1070"/>
      <c r="AW271" s="1070"/>
      <c r="AX271" s="1070"/>
      <c r="AY271" s="1070"/>
      <c r="AZ271" s="1070"/>
      <c r="BA271" s="1070"/>
      <c r="BB271" s="1070"/>
      <c r="BC271" s="1070"/>
      <c r="BD271" s="1070"/>
      <c r="BE271" s="1070"/>
      <c r="BF271" s="1070"/>
      <c r="BG271" s="1070"/>
      <c r="BH271" s="1070"/>
      <c r="BI271" s="1070"/>
      <c r="BJ271" s="1070"/>
      <c r="BK271" s="1070"/>
      <c r="BL271" s="1070"/>
      <c r="BM271" s="1070"/>
      <c r="BN271" s="1070"/>
      <c r="BO271" s="1070"/>
      <c r="BP271" s="1070"/>
      <c r="BQ271" s="1070"/>
      <c r="BR271" s="1070"/>
      <c r="BS271" s="1070"/>
      <c r="BT271" s="1070"/>
      <c r="BU271" s="1070"/>
      <c r="BV271" s="1070"/>
      <c r="BW271" s="1070"/>
      <c r="BX271" s="1070"/>
      <c r="BY271" s="1070"/>
      <c r="BZ271" s="1070"/>
      <c r="CA271" s="1070"/>
      <c r="CB271" s="1070"/>
      <c r="CC271" s="1070"/>
      <c r="CD271" s="1070"/>
      <c r="CE271" s="1070"/>
      <c r="CF271" s="1070"/>
      <c r="CG271" s="1070"/>
      <c r="CH271" s="1070"/>
      <c r="CI271" s="1070"/>
      <c r="CJ271" s="1070"/>
      <c r="CK271" s="1070"/>
      <c r="CL271" s="1070"/>
      <c r="CM271" s="1070"/>
      <c r="CN271" s="1070"/>
      <c r="CO271" s="1070"/>
      <c r="CP271" s="1070"/>
      <c r="CQ271" s="1070"/>
      <c r="CR271" s="1070"/>
      <c r="CS271" s="1070"/>
      <c r="CT271" s="1070"/>
      <c r="CU271" s="1070"/>
      <c r="CV271" s="1070"/>
      <c r="CW271" s="1070"/>
      <c r="CX271" s="1070"/>
      <c r="CY271" s="1070"/>
      <c r="CZ271" s="1070"/>
      <c r="DA271" s="1070"/>
      <c r="DB271" s="1070"/>
      <c r="DC271" s="1070"/>
      <c r="DD271" s="1070"/>
      <c r="DE271" s="1070"/>
      <c r="DF271" s="1070"/>
      <c r="DG271" s="1070"/>
      <c r="DH271" s="1070"/>
      <c r="DI271" s="1070"/>
    </row>
    <row r="272" spans="1:113" ht="15.75" x14ac:dyDescent="0.25">
      <c r="A272" s="1126" t="s">
        <v>2927</v>
      </c>
      <c r="B272" s="1321" t="e">
        <f>B982</f>
        <v>#VALUE!</v>
      </c>
      <c r="C272" s="1321" t="e">
        <f>B272*B1406*B1408</f>
        <v>#VALUE!</v>
      </c>
      <c r="D272" s="1321">
        <f>B983</f>
        <v>16.5</v>
      </c>
      <c r="E272" s="1321"/>
      <c r="F272" s="1321" t="e">
        <f>G272/D272</f>
        <v>#REF!</v>
      </c>
      <c r="G272" s="1321" t="e">
        <f>B994</f>
        <v>#REF!</v>
      </c>
      <c r="H272" s="1321" t="e">
        <f>B1425*B1406*B1408</f>
        <v>#VALUE!</v>
      </c>
      <c r="I272" s="1070"/>
      <c r="J272" s="1315"/>
      <c r="K272" s="1316"/>
      <c r="L272" s="1316"/>
      <c r="M272" s="1315"/>
      <c r="N272" s="1070"/>
      <c r="O272" s="1070"/>
      <c r="P272" s="1070"/>
      <c r="Q272" s="1070"/>
      <c r="R272" s="1070"/>
      <c r="S272" s="1070"/>
      <c r="T272" s="1070"/>
      <c r="U272" s="1070"/>
      <c r="V272" s="1070"/>
      <c r="W272" s="1070"/>
      <c r="X272" s="1070"/>
      <c r="Y272" s="1070"/>
      <c r="Z272" s="1070"/>
      <c r="AA272" s="1070"/>
      <c r="AB272" s="1070"/>
      <c r="AC272" s="1070"/>
      <c r="AD272" s="1070"/>
      <c r="AE272" s="1070"/>
      <c r="AF272" s="1070"/>
      <c r="AG272" s="1070"/>
      <c r="AH272" s="1070"/>
      <c r="AI272" s="1070"/>
      <c r="AJ272" s="1070"/>
      <c r="AK272" s="1070"/>
      <c r="AL272" s="1070"/>
      <c r="AM272" s="1070"/>
      <c r="AN272" s="1070"/>
      <c r="AO272" s="1070"/>
      <c r="AP272" s="1070"/>
      <c r="AQ272" s="1070"/>
      <c r="AR272" s="1070"/>
      <c r="AS272" s="1070"/>
      <c r="AT272" s="1070"/>
      <c r="AU272" s="1070"/>
      <c r="AV272" s="1070"/>
      <c r="AW272" s="1070"/>
      <c r="AX272" s="1070"/>
      <c r="AY272" s="1070"/>
      <c r="AZ272" s="1070"/>
      <c r="BA272" s="1070"/>
      <c r="BB272" s="1070"/>
      <c r="BC272" s="1070"/>
      <c r="BD272" s="1070"/>
      <c r="BE272" s="1070"/>
      <c r="BF272" s="1070"/>
      <c r="BG272" s="1070"/>
      <c r="BH272" s="1070"/>
      <c r="BI272" s="1070"/>
      <c r="BJ272" s="1070"/>
      <c r="BK272" s="1070"/>
      <c r="BL272" s="1070"/>
      <c r="BM272" s="1070"/>
      <c r="BN272" s="1070"/>
      <c r="BO272" s="1070"/>
      <c r="BP272" s="1070"/>
      <c r="BQ272" s="1070"/>
      <c r="BR272" s="1070"/>
      <c r="BS272" s="1070"/>
      <c r="BT272" s="1070"/>
      <c r="BU272" s="1070"/>
      <c r="BV272" s="1070"/>
      <c r="BW272" s="1070"/>
      <c r="BX272" s="1070"/>
      <c r="BY272" s="1070"/>
      <c r="BZ272" s="1070"/>
      <c r="CA272" s="1070"/>
      <c r="CB272" s="1070"/>
      <c r="CC272" s="1070"/>
      <c r="CD272" s="1070"/>
      <c r="CE272" s="1070"/>
      <c r="CF272" s="1070"/>
      <c r="CG272" s="1070"/>
      <c r="CH272" s="1070"/>
      <c r="CI272" s="1070"/>
      <c r="CJ272" s="1070"/>
      <c r="CK272" s="1070"/>
      <c r="CL272" s="1070"/>
      <c r="CM272" s="1070"/>
      <c r="CN272" s="1070"/>
      <c r="CO272" s="1070"/>
      <c r="CP272" s="1070"/>
      <c r="CQ272" s="1070"/>
      <c r="CR272" s="1070"/>
      <c r="CS272" s="1070"/>
      <c r="CT272" s="1070"/>
      <c r="CU272" s="1070"/>
      <c r="CV272" s="1070"/>
      <c r="CW272" s="1070"/>
      <c r="CX272" s="1070"/>
      <c r="CY272" s="1070"/>
      <c r="CZ272" s="1070"/>
      <c r="DA272" s="1070"/>
      <c r="DB272" s="1070"/>
      <c r="DC272" s="1070"/>
      <c r="DD272" s="1070"/>
      <c r="DE272" s="1070"/>
      <c r="DF272" s="1070"/>
      <c r="DG272" s="1070"/>
      <c r="DH272" s="1070"/>
      <c r="DI272" s="1070"/>
    </row>
    <row r="273" spans="1:113" ht="15.75" x14ac:dyDescent="0.25">
      <c r="A273" s="1126" t="s">
        <v>2928</v>
      </c>
      <c r="B273" s="1321" t="e">
        <f>B958</f>
        <v>#REF!</v>
      </c>
      <c r="C273" s="1321" t="e">
        <f>B273*B1406*B1408</f>
        <v>#REF!</v>
      </c>
      <c r="D273" s="1321">
        <f>B960</f>
        <v>134</v>
      </c>
      <c r="E273" s="1321"/>
      <c r="F273" s="1321" t="e">
        <f>G273/D273</f>
        <v>#VALUE!</v>
      </c>
      <c r="G273" s="1321" t="e">
        <f>B977</f>
        <v>#VALUE!</v>
      </c>
      <c r="H273" s="1321" t="e">
        <f>B1426*B1406*B1408</f>
        <v>#VALUE!</v>
      </c>
      <c r="I273" s="1070"/>
      <c r="J273" s="1315"/>
      <c r="K273" s="1316"/>
      <c r="L273" s="1316"/>
      <c r="M273" s="1315"/>
      <c r="N273" s="1070"/>
      <c r="O273" s="1070"/>
      <c r="P273" s="1070"/>
      <c r="Q273" s="1070"/>
      <c r="R273" s="1070"/>
      <c r="S273" s="1070"/>
      <c r="T273" s="1070"/>
      <c r="U273" s="1070"/>
      <c r="V273" s="1070"/>
      <c r="W273" s="1070"/>
      <c r="X273" s="1070"/>
      <c r="Y273" s="1070"/>
      <c r="Z273" s="1070"/>
      <c r="AA273" s="1070"/>
      <c r="AB273" s="1070"/>
      <c r="AC273" s="1070"/>
      <c r="AD273" s="1070"/>
      <c r="AE273" s="1070"/>
      <c r="AF273" s="1070"/>
      <c r="AG273" s="1070"/>
      <c r="AH273" s="1070"/>
      <c r="AI273" s="1070"/>
      <c r="AJ273" s="1070"/>
      <c r="AK273" s="1070"/>
      <c r="AL273" s="1070"/>
      <c r="AM273" s="1070"/>
      <c r="AN273" s="1070"/>
      <c r="AO273" s="1070"/>
      <c r="AP273" s="1070"/>
      <c r="AQ273" s="1070"/>
      <c r="AR273" s="1070"/>
      <c r="AS273" s="1070"/>
      <c r="AT273" s="1070"/>
      <c r="AU273" s="1070"/>
      <c r="AV273" s="1070"/>
      <c r="AW273" s="1070"/>
      <c r="AX273" s="1070"/>
      <c r="AY273" s="1070"/>
      <c r="AZ273" s="1070"/>
      <c r="BA273" s="1070"/>
      <c r="BB273" s="1070"/>
      <c r="BC273" s="1070"/>
      <c r="BD273" s="1070"/>
      <c r="BE273" s="1070"/>
      <c r="BF273" s="1070"/>
      <c r="BG273" s="1070"/>
      <c r="BH273" s="1070"/>
      <c r="BI273" s="1070"/>
      <c r="BJ273" s="1070"/>
      <c r="BK273" s="1070"/>
      <c r="BL273" s="1070"/>
      <c r="BM273" s="1070"/>
      <c r="BN273" s="1070"/>
      <c r="BO273" s="1070"/>
      <c r="BP273" s="1070"/>
      <c r="BQ273" s="1070"/>
      <c r="BR273" s="1070"/>
      <c r="BS273" s="1070"/>
      <c r="BT273" s="1070"/>
      <c r="BU273" s="1070"/>
      <c r="BV273" s="1070"/>
      <c r="BW273" s="1070"/>
      <c r="BX273" s="1070"/>
      <c r="BY273" s="1070"/>
      <c r="BZ273" s="1070"/>
      <c r="CA273" s="1070"/>
      <c r="CB273" s="1070"/>
      <c r="CC273" s="1070"/>
      <c r="CD273" s="1070"/>
      <c r="CE273" s="1070"/>
      <c r="CF273" s="1070"/>
      <c r="CG273" s="1070"/>
      <c r="CH273" s="1070"/>
      <c r="CI273" s="1070"/>
      <c r="CJ273" s="1070"/>
      <c r="CK273" s="1070"/>
      <c r="CL273" s="1070"/>
      <c r="CM273" s="1070"/>
      <c r="CN273" s="1070"/>
      <c r="CO273" s="1070"/>
      <c r="CP273" s="1070"/>
      <c r="CQ273" s="1070"/>
      <c r="CR273" s="1070"/>
      <c r="CS273" s="1070"/>
      <c r="CT273" s="1070"/>
      <c r="CU273" s="1070"/>
      <c r="CV273" s="1070"/>
      <c r="CW273" s="1070"/>
      <c r="CX273" s="1070"/>
      <c r="CY273" s="1070"/>
      <c r="CZ273" s="1070"/>
      <c r="DA273" s="1070"/>
      <c r="DB273" s="1070"/>
      <c r="DC273" s="1070"/>
      <c r="DD273" s="1070"/>
      <c r="DE273" s="1070"/>
      <c r="DF273" s="1070"/>
      <c r="DG273" s="1070"/>
      <c r="DH273" s="1070"/>
      <c r="DI273" s="1070"/>
    </row>
    <row r="274" spans="1:113" ht="15.75" x14ac:dyDescent="0.25">
      <c r="A274" s="1126" t="s">
        <v>2929</v>
      </c>
      <c r="B274" s="1321" t="e">
        <f>B943</f>
        <v>#VALUE!</v>
      </c>
      <c r="C274" s="1321" t="e">
        <f>B274*B1406*B1408</f>
        <v>#VALUE!</v>
      </c>
      <c r="D274" s="1321">
        <f>B944</f>
        <v>12.91</v>
      </c>
      <c r="E274" s="1321"/>
      <c r="F274" s="1321" t="e">
        <f>G274/D274</f>
        <v>#VALUE!</v>
      </c>
      <c r="G274" s="1321" t="e">
        <f>B952</f>
        <v>#VALUE!</v>
      </c>
      <c r="H274" s="1321" t="e">
        <f>B1427*B1406*B1408</f>
        <v>#VALUE!</v>
      </c>
      <c r="I274" s="1070"/>
      <c r="J274" s="1315"/>
      <c r="K274" s="1316"/>
      <c r="L274" s="1316"/>
      <c r="M274" s="1315"/>
      <c r="N274" s="1070"/>
      <c r="O274" s="1070"/>
      <c r="P274" s="1070"/>
      <c r="Q274" s="1070"/>
      <c r="R274" s="1070"/>
      <c r="S274" s="1070"/>
      <c r="T274" s="1070"/>
      <c r="U274" s="1070"/>
      <c r="V274" s="1070"/>
      <c r="W274" s="1070"/>
      <c r="X274" s="1070"/>
      <c r="Y274" s="1070"/>
      <c r="Z274" s="1070"/>
      <c r="AA274" s="1070"/>
      <c r="AB274" s="1070"/>
      <c r="AC274" s="1070"/>
      <c r="AD274" s="1070"/>
      <c r="AE274" s="1070"/>
      <c r="AF274" s="1070"/>
      <c r="AG274" s="1070"/>
      <c r="AH274" s="1070"/>
      <c r="AI274" s="1070"/>
      <c r="AJ274" s="1070"/>
      <c r="AK274" s="1070"/>
      <c r="AL274" s="1070"/>
      <c r="AM274" s="1070"/>
      <c r="AN274" s="1070"/>
      <c r="AO274" s="1070"/>
      <c r="AP274" s="1070"/>
      <c r="AQ274" s="1070"/>
      <c r="AR274" s="1070"/>
      <c r="AS274" s="1070"/>
      <c r="AT274" s="1070"/>
      <c r="AU274" s="1070"/>
      <c r="AV274" s="1070"/>
      <c r="AW274" s="1070"/>
      <c r="AX274" s="1070"/>
      <c r="AY274" s="1070"/>
      <c r="AZ274" s="1070"/>
      <c r="BA274" s="1070"/>
      <c r="BB274" s="1070"/>
      <c r="BC274" s="1070"/>
      <c r="BD274" s="1070"/>
      <c r="BE274" s="1070"/>
      <c r="BF274" s="1070"/>
      <c r="BG274" s="1070"/>
      <c r="BH274" s="1070"/>
      <c r="BI274" s="1070"/>
      <c r="BJ274" s="1070"/>
      <c r="BK274" s="1070"/>
      <c r="BL274" s="1070"/>
      <c r="BM274" s="1070"/>
      <c r="BN274" s="1070"/>
      <c r="BO274" s="1070"/>
      <c r="BP274" s="1070"/>
      <c r="BQ274" s="1070"/>
      <c r="BR274" s="1070"/>
      <c r="BS274" s="1070"/>
      <c r="BT274" s="1070"/>
      <c r="BU274" s="1070"/>
      <c r="BV274" s="1070"/>
      <c r="BW274" s="1070"/>
      <c r="BX274" s="1070"/>
      <c r="BY274" s="1070"/>
      <c r="BZ274" s="1070"/>
      <c r="CA274" s="1070"/>
      <c r="CB274" s="1070"/>
      <c r="CC274" s="1070"/>
      <c r="CD274" s="1070"/>
      <c r="CE274" s="1070"/>
      <c r="CF274" s="1070"/>
      <c r="CG274" s="1070"/>
      <c r="CH274" s="1070"/>
      <c r="CI274" s="1070"/>
      <c r="CJ274" s="1070"/>
      <c r="CK274" s="1070"/>
      <c r="CL274" s="1070"/>
      <c r="CM274" s="1070"/>
      <c r="CN274" s="1070"/>
      <c r="CO274" s="1070"/>
      <c r="CP274" s="1070"/>
      <c r="CQ274" s="1070"/>
      <c r="CR274" s="1070"/>
      <c r="CS274" s="1070"/>
      <c r="CT274" s="1070"/>
      <c r="CU274" s="1070"/>
      <c r="CV274" s="1070"/>
      <c r="CW274" s="1070"/>
      <c r="CX274" s="1070"/>
      <c r="CY274" s="1070"/>
      <c r="CZ274" s="1070"/>
      <c r="DA274" s="1070"/>
      <c r="DB274" s="1070"/>
      <c r="DC274" s="1070"/>
      <c r="DD274" s="1070"/>
      <c r="DE274" s="1070"/>
      <c r="DF274" s="1070"/>
      <c r="DG274" s="1070"/>
      <c r="DH274" s="1070"/>
      <c r="DI274" s="1070"/>
    </row>
    <row r="275" spans="1:113" ht="15.75" x14ac:dyDescent="0.2">
      <c r="A275" s="1383" t="s">
        <v>2930</v>
      </c>
      <c r="B275" s="1384"/>
      <c r="C275" s="1384"/>
      <c r="D275" s="1384"/>
      <c r="E275" s="1384"/>
      <c r="F275" s="1384"/>
      <c r="G275" s="1384"/>
      <c r="H275" s="1070"/>
      <c r="I275" s="1070"/>
      <c r="J275" s="1315"/>
      <c r="K275" s="1316"/>
      <c r="L275" s="1316"/>
      <c r="M275" s="1315"/>
      <c r="N275" s="1070"/>
      <c r="O275" s="1070"/>
      <c r="P275" s="1070"/>
      <c r="Q275" s="1070"/>
      <c r="R275" s="1070"/>
      <c r="S275" s="1070"/>
      <c r="T275" s="1070"/>
      <c r="U275" s="1070"/>
      <c r="V275" s="1070"/>
      <c r="W275" s="1070"/>
      <c r="X275" s="1070"/>
      <c r="Y275" s="1070"/>
      <c r="Z275" s="1070"/>
      <c r="AA275" s="1070"/>
      <c r="AB275" s="1070"/>
      <c r="AC275" s="1070"/>
      <c r="AD275" s="1070"/>
      <c r="AE275" s="1070"/>
      <c r="AF275" s="1070"/>
      <c r="AG275" s="1070"/>
      <c r="AH275" s="1070"/>
      <c r="AI275" s="1070"/>
      <c r="AJ275" s="1070"/>
      <c r="AK275" s="1070"/>
      <c r="AL275" s="1070"/>
      <c r="AM275" s="1070"/>
      <c r="AN275" s="1070"/>
      <c r="AO275" s="1070"/>
      <c r="AP275" s="1070"/>
      <c r="AQ275" s="1070"/>
      <c r="AR275" s="1070"/>
      <c r="AS275" s="1070"/>
      <c r="AT275" s="1070"/>
      <c r="AU275" s="1070"/>
      <c r="AV275" s="1070"/>
      <c r="AW275" s="1070"/>
      <c r="AX275" s="1070"/>
      <c r="AY275" s="1070"/>
      <c r="AZ275" s="1070"/>
      <c r="BA275" s="1070"/>
      <c r="BB275" s="1070"/>
      <c r="BC275" s="1070"/>
      <c r="BD275" s="1070"/>
      <c r="BE275" s="1070"/>
      <c r="BF275" s="1070"/>
      <c r="BG275" s="1070"/>
      <c r="BH275" s="1070"/>
      <c r="BI275" s="1070"/>
      <c r="BJ275" s="1070"/>
      <c r="BK275" s="1070"/>
      <c r="BL275" s="1070"/>
      <c r="BM275" s="1070"/>
      <c r="BN275" s="1070"/>
      <c r="BO275" s="1070"/>
      <c r="BP275" s="1070"/>
      <c r="BQ275" s="1070"/>
      <c r="BR275" s="1070"/>
      <c r="BS275" s="1070"/>
      <c r="BT275" s="1070"/>
      <c r="BU275" s="1070"/>
      <c r="BV275" s="1070"/>
      <c r="BW275" s="1070"/>
      <c r="BX275" s="1070"/>
      <c r="BY275" s="1070"/>
      <c r="BZ275" s="1070"/>
      <c r="CA275" s="1070"/>
      <c r="CB275" s="1070"/>
      <c r="CC275" s="1070"/>
      <c r="CD275" s="1070"/>
      <c r="CE275" s="1070"/>
      <c r="CF275" s="1070"/>
      <c r="CG275" s="1070"/>
      <c r="CH275" s="1070"/>
      <c r="CI275" s="1070"/>
      <c r="CJ275" s="1070"/>
      <c r="CK275" s="1070"/>
      <c r="CL275" s="1070"/>
      <c r="CM275" s="1070"/>
      <c r="CN275" s="1070"/>
      <c r="CO275" s="1070"/>
      <c r="CP275" s="1070"/>
      <c r="CQ275" s="1070"/>
      <c r="CR275" s="1070"/>
      <c r="CS275" s="1070"/>
      <c r="CT275" s="1070"/>
      <c r="CU275" s="1070"/>
      <c r="CV275" s="1070"/>
      <c r="CW275" s="1070"/>
      <c r="CX275" s="1070"/>
      <c r="CY275" s="1070"/>
      <c r="CZ275" s="1070"/>
      <c r="DA275" s="1070"/>
      <c r="DB275" s="1070"/>
      <c r="DC275" s="1070"/>
      <c r="DD275" s="1070"/>
      <c r="DE275" s="1070"/>
      <c r="DF275" s="1070"/>
      <c r="DG275" s="1070"/>
      <c r="DH275" s="1070"/>
      <c r="DI275" s="1070"/>
    </row>
    <row r="276" spans="1:113" ht="15.75" x14ac:dyDescent="0.25">
      <c r="A276" s="1126" t="s">
        <v>2927</v>
      </c>
      <c r="B276" s="1321" t="e">
        <f>B528</f>
        <v>#VALUE!</v>
      </c>
      <c r="C276" s="1321" t="e">
        <f>B276*B1406*B1408</f>
        <v>#VALUE!</v>
      </c>
      <c r="D276" s="1321">
        <f>B529</f>
        <v>16.5</v>
      </c>
      <c r="E276" s="1321"/>
      <c r="F276" s="1321" t="e">
        <f>G276/D276</f>
        <v>#REF!</v>
      </c>
      <c r="G276" s="1321" t="e">
        <f>B540</f>
        <v>#REF!</v>
      </c>
      <c r="H276" s="1321" t="e">
        <f>B1416*B1406*B1408</f>
        <v>#VALUE!</v>
      </c>
      <c r="I276" s="1070"/>
      <c r="J276" s="1315"/>
      <c r="K276" s="1316"/>
      <c r="L276" s="1316"/>
      <c r="M276" s="1315"/>
      <c r="N276" s="1070"/>
      <c r="O276" s="1070"/>
      <c r="P276" s="1070"/>
      <c r="Q276" s="1070"/>
      <c r="R276" s="1070"/>
      <c r="S276" s="1070"/>
      <c r="T276" s="1070"/>
      <c r="U276" s="1070"/>
      <c r="V276" s="1070"/>
      <c r="W276" s="1070"/>
      <c r="X276" s="1070"/>
      <c r="Y276" s="1070"/>
      <c r="Z276" s="1070"/>
      <c r="AA276" s="1070"/>
      <c r="AB276" s="1070"/>
      <c r="AC276" s="1070"/>
      <c r="AD276" s="1070"/>
      <c r="AE276" s="1070"/>
      <c r="AF276" s="1070"/>
      <c r="AG276" s="1070"/>
      <c r="AH276" s="1070"/>
      <c r="AI276" s="1070"/>
      <c r="AJ276" s="1070"/>
      <c r="AK276" s="1070"/>
      <c r="AL276" s="1070"/>
      <c r="AM276" s="1070"/>
      <c r="AN276" s="1070"/>
      <c r="AO276" s="1070"/>
      <c r="AP276" s="1070"/>
      <c r="AQ276" s="1070"/>
      <c r="AR276" s="1070"/>
      <c r="AS276" s="1070"/>
      <c r="AT276" s="1070"/>
      <c r="AU276" s="1070"/>
      <c r="AV276" s="1070"/>
      <c r="AW276" s="1070"/>
      <c r="AX276" s="1070"/>
      <c r="AY276" s="1070"/>
      <c r="AZ276" s="1070"/>
      <c r="BA276" s="1070"/>
      <c r="BB276" s="1070"/>
      <c r="BC276" s="1070"/>
      <c r="BD276" s="1070"/>
      <c r="BE276" s="1070"/>
      <c r="BF276" s="1070"/>
      <c r="BG276" s="1070"/>
      <c r="BH276" s="1070"/>
      <c r="BI276" s="1070"/>
      <c r="BJ276" s="1070"/>
      <c r="BK276" s="1070"/>
      <c r="BL276" s="1070"/>
      <c r="BM276" s="1070"/>
      <c r="BN276" s="1070"/>
      <c r="BO276" s="1070"/>
      <c r="BP276" s="1070"/>
      <c r="BQ276" s="1070"/>
      <c r="BR276" s="1070"/>
      <c r="BS276" s="1070"/>
      <c r="BT276" s="1070"/>
      <c r="BU276" s="1070"/>
      <c r="BV276" s="1070"/>
      <c r="BW276" s="1070"/>
      <c r="BX276" s="1070"/>
      <c r="BY276" s="1070"/>
      <c r="BZ276" s="1070"/>
      <c r="CA276" s="1070"/>
      <c r="CB276" s="1070"/>
      <c r="CC276" s="1070"/>
      <c r="CD276" s="1070"/>
      <c r="CE276" s="1070"/>
      <c r="CF276" s="1070"/>
      <c r="CG276" s="1070"/>
      <c r="CH276" s="1070"/>
      <c r="CI276" s="1070"/>
      <c r="CJ276" s="1070"/>
      <c r="CK276" s="1070"/>
      <c r="CL276" s="1070"/>
      <c r="CM276" s="1070"/>
      <c r="CN276" s="1070"/>
      <c r="CO276" s="1070"/>
      <c r="CP276" s="1070"/>
      <c r="CQ276" s="1070"/>
      <c r="CR276" s="1070"/>
      <c r="CS276" s="1070"/>
      <c r="CT276" s="1070"/>
      <c r="CU276" s="1070"/>
      <c r="CV276" s="1070"/>
      <c r="CW276" s="1070"/>
      <c r="CX276" s="1070"/>
      <c r="CY276" s="1070"/>
      <c r="CZ276" s="1070"/>
      <c r="DA276" s="1070"/>
      <c r="DB276" s="1070"/>
      <c r="DC276" s="1070"/>
      <c r="DD276" s="1070"/>
      <c r="DE276" s="1070"/>
      <c r="DF276" s="1070"/>
      <c r="DG276" s="1070"/>
      <c r="DH276" s="1070"/>
      <c r="DI276" s="1070"/>
    </row>
    <row r="277" spans="1:113" ht="15.75" x14ac:dyDescent="0.25">
      <c r="A277" s="1126" t="s">
        <v>2928</v>
      </c>
      <c r="B277" s="1321" t="e">
        <f>B494</f>
        <v>#REF!</v>
      </c>
      <c r="C277" s="1321" t="e">
        <f>B277*B1406*B1408</f>
        <v>#REF!</v>
      </c>
      <c r="D277" s="1321">
        <f>B496</f>
        <v>134</v>
      </c>
      <c r="E277" s="1321"/>
      <c r="F277" s="1321" t="e">
        <f>G277/D277</f>
        <v>#VALUE!</v>
      </c>
      <c r="G277" s="1321" t="e">
        <f>B513</f>
        <v>#VALUE!</v>
      </c>
      <c r="H277" s="1321" t="e">
        <f>B1418*B1406*B1408</f>
        <v>#VALUE!</v>
      </c>
      <c r="I277" s="1070"/>
      <c r="J277" s="1315"/>
      <c r="K277" s="1316"/>
      <c r="L277" s="1316"/>
      <c r="M277" s="1315"/>
      <c r="N277" s="1070"/>
      <c r="O277" s="1070"/>
      <c r="P277" s="1070"/>
      <c r="Q277" s="1070"/>
      <c r="R277" s="1070"/>
      <c r="S277" s="1070"/>
      <c r="T277" s="1070"/>
      <c r="U277" s="1070"/>
      <c r="V277" s="1070"/>
      <c r="W277" s="1070"/>
      <c r="X277" s="1070"/>
      <c r="Y277" s="1070"/>
      <c r="Z277" s="1070"/>
      <c r="AA277" s="1070"/>
      <c r="AB277" s="1070"/>
      <c r="AC277" s="1070"/>
      <c r="AD277" s="1070"/>
      <c r="AE277" s="1070"/>
      <c r="AF277" s="1070"/>
      <c r="AG277" s="1070"/>
      <c r="AH277" s="1070"/>
      <c r="AI277" s="1070"/>
      <c r="AJ277" s="1070"/>
      <c r="AK277" s="1070"/>
      <c r="AL277" s="1070"/>
      <c r="AM277" s="1070"/>
      <c r="AN277" s="1070"/>
      <c r="AO277" s="1070"/>
      <c r="AP277" s="1070"/>
      <c r="AQ277" s="1070"/>
      <c r="AR277" s="1070"/>
      <c r="AS277" s="1070"/>
      <c r="AT277" s="1070"/>
      <c r="AU277" s="1070"/>
      <c r="AV277" s="1070"/>
      <c r="AW277" s="1070"/>
      <c r="AX277" s="1070"/>
      <c r="AY277" s="1070"/>
      <c r="AZ277" s="1070"/>
      <c r="BA277" s="1070"/>
      <c r="BB277" s="1070"/>
      <c r="BC277" s="1070"/>
      <c r="BD277" s="1070"/>
      <c r="BE277" s="1070"/>
      <c r="BF277" s="1070"/>
      <c r="BG277" s="1070"/>
      <c r="BH277" s="1070"/>
      <c r="BI277" s="1070"/>
      <c r="BJ277" s="1070"/>
      <c r="BK277" s="1070"/>
      <c r="BL277" s="1070"/>
      <c r="BM277" s="1070"/>
      <c r="BN277" s="1070"/>
      <c r="BO277" s="1070"/>
      <c r="BP277" s="1070"/>
      <c r="BQ277" s="1070"/>
      <c r="BR277" s="1070"/>
      <c r="BS277" s="1070"/>
      <c r="BT277" s="1070"/>
      <c r="BU277" s="1070"/>
      <c r="BV277" s="1070"/>
      <c r="BW277" s="1070"/>
      <c r="BX277" s="1070"/>
      <c r="BY277" s="1070"/>
      <c r="BZ277" s="1070"/>
      <c r="CA277" s="1070"/>
      <c r="CB277" s="1070"/>
      <c r="CC277" s="1070"/>
      <c r="CD277" s="1070"/>
      <c r="CE277" s="1070"/>
      <c r="CF277" s="1070"/>
      <c r="CG277" s="1070"/>
      <c r="CH277" s="1070"/>
      <c r="CI277" s="1070"/>
      <c r="CJ277" s="1070"/>
      <c r="CK277" s="1070"/>
      <c r="CL277" s="1070"/>
      <c r="CM277" s="1070"/>
      <c r="CN277" s="1070"/>
      <c r="CO277" s="1070"/>
      <c r="CP277" s="1070"/>
      <c r="CQ277" s="1070"/>
      <c r="CR277" s="1070"/>
      <c r="CS277" s="1070"/>
      <c r="CT277" s="1070"/>
      <c r="CU277" s="1070"/>
      <c r="CV277" s="1070"/>
      <c r="CW277" s="1070"/>
      <c r="CX277" s="1070"/>
      <c r="CY277" s="1070"/>
      <c r="CZ277" s="1070"/>
      <c r="DA277" s="1070"/>
      <c r="DB277" s="1070"/>
      <c r="DC277" s="1070"/>
      <c r="DD277" s="1070"/>
      <c r="DE277" s="1070"/>
      <c r="DF277" s="1070"/>
      <c r="DG277" s="1070"/>
      <c r="DH277" s="1070"/>
      <c r="DI277" s="1070"/>
    </row>
    <row r="278" spans="1:113" ht="15.75" x14ac:dyDescent="0.25">
      <c r="A278" s="1126" t="s">
        <v>2929</v>
      </c>
      <c r="B278" s="1321" t="e">
        <f>B479</f>
        <v>#VALUE!</v>
      </c>
      <c r="C278" s="1321" t="e">
        <f>B278*B1406*B1408</f>
        <v>#VALUE!</v>
      </c>
      <c r="D278" s="1321">
        <f>B480</f>
        <v>12.91</v>
      </c>
      <c r="E278" s="1321"/>
      <c r="F278" s="1321" t="e">
        <f>B483</f>
        <v>#VALUE!</v>
      </c>
      <c r="G278" s="1321" t="e">
        <f>D278*F278</f>
        <v>#VALUE!</v>
      </c>
      <c r="H278" s="1321" t="e">
        <f>C278/G278</f>
        <v>#VALUE!</v>
      </c>
      <c r="I278" s="1070"/>
      <c r="J278" s="1315"/>
      <c r="K278" s="1316"/>
      <c r="L278" s="1316"/>
      <c r="M278" s="1315"/>
      <c r="N278" s="1070"/>
      <c r="O278" s="1070"/>
      <c r="P278" s="1070"/>
      <c r="Q278" s="1070"/>
      <c r="R278" s="1070"/>
      <c r="S278" s="1070"/>
      <c r="T278" s="1070"/>
      <c r="U278" s="1070"/>
      <c r="V278" s="1070"/>
      <c r="W278" s="1070"/>
      <c r="X278" s="1070"/>
      <c r="Y278" s="1070"/>
      <c r="Z278" s="1070"/>
      <c r="AA278" s="1070"/>
      <c r="AB278" s="1070"/>
      <c r="AC278" s="1070"/>
      <c r="AD278" s="1070"/>
      <c r="AE278" s="1070"/>
      <c r="AF278" s="1070"/>
      <c r="AG278" s="1070"/>
      <c r="AH278" s="1070"/>
      <c r="AI278" s="1070"/>
      <c r="AJ278" s="1070"/>
      <c r="AK278" s="1070"/>
      <c r="AL278" s="1070"/>
      <c r="AM278" s="1070"/>
      <c r="AN278" s="1070"/>
      <c r="AO278" s="1070"/>
      <c r="AP278" s="1070"/>
      <c r="AQ278" s="1070"/>
      <c r="AR278" s="1070"/>
      <c r="AS278" s="1070"/>
      <c r="AT278" s="1070"/>
      <c r="AU278" s="1070"/>
      <c r="AV278" s="1070"/>
      <c r="AW278" s="1070"/>
      <c r="AX278" s="1070"/>
      <c r="AY278" s="1070"/>
      <c r="AZ278" s="1070"/>
      <c r="BA278" s="1070"/>
      <c r="BB278" s="1070"/>
      <c r="BC278" s="1070"/>
      <c r="BD278" s="1070"/>
      <c r="BE278" s="1070"/>
      <c r="BF278" s="1070"/>
      <c r="BG278" s="1070"/>
      <c r="BH278" s="1070"/>
      <c r="BI278" s="1070"/>
      <c r="BJ278" s="1070"/>
      <c r="BK278" s="1070"/>
      <c r="BL278" s="1070"/>
      <c r="BM278" s="1070"/>
      <c r="BN278" s="1070"/>
      <c r="BO278" s="1070"/>
      <c r="BP278" s="1070"/>
      <c r="BQ278" s="1070"/>
      <c r="BR278" s="1070"/>
      <c r="BS278" s="1070"/>
      <c r="BT278" s="1070"/>
      <c r="BU278" s="1070"/>
      <c r="BV278" s="1070"/>
      <c r="BW278" s="1070"/>
      <c r="BX278" s="1070"/>
      <c r="BY278" s="1070"/>
      <c r="BZ278" s="1070"/>
      <c r="CA278" s="1070"/>
      <c r="CB278" s="1070"/>
      <c r="CC278" s="1070"/>
      <c r="CD278" s="1070"/>
      <c r="CE278" s="1070"/>
      <c r="CF278" s="1070"/>
      <c r="CG278" s="1070"/>
      <c r="CH278" s="1070"/>
      <c r="CI278" s="1070"/>
      <c r="CJ278" s="1070"/>
      <c r="CK278" s="1070"/>
      <c r="CL278" s="1070"/>
      <c r="CM278" s="1070"/>
      <c r="CN278" s="1070"/>
      <c r="CO278" s="1070"/>
      <c r="CP278" s="1070"/>
      <c r="CQ278" s="1070"/>
      <c r="CR278" s="1070"/>
      <c r="CS278" s="1070"/>
      <c r="CT278" s="1070"/>
      <c r="CU278" s="1070"/>
      <c r="CV278" s="1070"/>
      <c r="CW278" s="1070"/>
      <c r="CX278" s="1070"/>
      <c r="CY278" s="1070"/>
      <c r="CZ278" s="1070"/>
      <c r="DA278" s="1070"/>
      <c r="DB278" s="1070"/>
      <c r="DC278" s="1070"/>
      <c r="DD278" s="1070"/>
      <c r="DE278" s="1070"/>
      <c r="DF278" s="1070"/>
      <c r="DG278" s="1070"/>
      <c r="DH278" s="1070"/>
      <c r="DI278" s="1070"/>
    </row>
    <row r="279" spans="1:113" ht="15.75" x14ac:dyDescent="0.2">
      <c r="A279" s="1385"/>
      <c r="B279" s="1386"/>
      <c r="C279" s="1386"/>
      <c r="D279" s="1386"/>
      <c r="E279" s="1386"/>
      <c r="F279" s="1386"/>
      <c r="G279" s="1386"/>
      <c r="H279" s="1387"/>
      <c r="I279" s="1387"/>
      <c r="J279" s="1388"/>
      <c r="K279" s="1389"/>
      <c r="L279" s="1389"/>
      <c r="M279" s="1315"/>
      <c r="N279" s="1070"/>
      <c r="O279" s="1070"/>
      <c r="P279" s="1070"/>
      <c r="Q279" s="1070"/>
      <c r="R279" s="1070"/>
      <c r="S279" s="1070"/>
      <c r="T279" s="1070"/>
      <c r="U279" s="1070"/>
      <c r="V279" s="1070"/>
      <c r="W279" s="1070"/>
      <c r="X279" s="1070"/>
      <c r="Y279" s="1070"/>
      <c r="Z279" s="1070"/>
      <c r="AA279" s="1070"/>
      <c r="AB279" s="1070"/>
      <c r="AC279" s="1070"/>
      <c r="AD279" s="1070"/>
      <c r="AE279" s="1070"/>
      <c r="AF279" s="1070"/>
      <c r="AG279" s="1070"/>
      <c r="AH279" s="1070"/>
      <c r="AI279" s="1070"/>
      <c r="AJ279" s="1070"/>
      <c r="AK279" s="1070"/>
      <c r="AL279" s="1070"/>
      <c r="AM279" s="1070"/>
      <c r="AN279" s="1070"/>
      <c r="AO279" s="1070"/>
      <c r="AP279" s="1070"/>
      <c r="AQ279" s="1070"/>
      <c r="AR279" s="1070"/>
      <c r="AS279" s="1070"/>
      <c r="AT279" s="1070"/>
      <c r="AU279" s="1070"/>
      <c r="AV279" s="1070"/>
      <c r="AW279" s="1070"/>
      <c r="AX279" s="1070"/>
      <c r="AY279" s="1070"/>
      <c r="AZ279" s="1070"/>
      <c r="BA279" s="1070"/>
      <c r="BB279" s="1070"/>
      <c r="BC279" s="1070"/>
      <c r="BD279" s="1070"/>
      <c r="BE279" s="1070"/>
      <c r="BF279" s="1070"/>
      <c r="BG279" s="1070"/>
      <c r="BH279" s="1070"/>
      <c r="BI279" s="1070"/>
      <c r="BJ279" s="1070"/>
      <c r="BK279" s="1070"/>
      <c r="BL279" s="1070"/>
      <c r="BM279" s="1070"/>
      <c r="BN279" s="1070"/>
      <c r="BO279" s="1070"/>
      <c r="BP279" s="1070"/>
      <c r="BQ279" s="1070"/>
      <c r="BR279" s="1070"/>
      <c r="BS279" s="1070"/>
      <c r="BT279" s="1070"/>
      <c r="BU279" s="1070"/>
      <c r="BV279" s="1070"/>
      <c r="BW279" s="1070"/>
      <c r="BX279" s="1070"/>
      <c r="BY279" s="1070"/>
      <c r="BZ279" s="1070"/>
      <c r="CA279" s="1070"/>
      <c r="CB279" s="1070"/>
      <c r="CC279" s="1070"/>
      <c r="CD279" s="1070"/>
      <c r="CE279" s="1070"/>
      <c r="CF279" s="1070"/>
      <c r="CG279" s="1070"/>
      <c r="CH279" s="1070"/>
      <c r="CI279" s="1070"/>
      <c r="CJ279" s="1070"/>
      <c r="CK279" s="1070"/>
      <c r="CL279" s="1070"/>
      <c r="CM279" s="1070"/>
      <c r="CN279" s="1070"/>
      <c r="CO279" s="1070"/>
      <c r="CP279" s="1070"/>
      <c r="CQ279" s="1070"/>
      <c r="CR279" s="1070"/>
      <c r="CS279" s="1070"/>
      <c r="CT279" s="1070"/>
      <c r="CU279" s="1070"/>
      <c r="CV279" s="1070"/>
      <c r="CW279" s="1070"/>
      <c r="CX279" s="1070"/>
      <c r="CY279" s="1070"/>
      <c r="CZ279" s="1070"/>
      <c r="DA279" s="1070"/>
      <c r="DB279" s="1070"/>
      <c r="DC279" s="1070"/>
      <c r="DD279" s="1070"/>
      <c r="DE279" s="1070"/>
      <c r="DF279" s="1070"/>
      <c r="DG279" s="1070"/>
      <c r="DH279" s="1070"/>
      <c r="DI279" s="1070"/>
    </row>
    <row r="280" spans="1:113" ht="15.75" x14ac:dyDescent="0.2">
      <c r="A280" s="1383"/>
      <c r="B280" s="1384"/>
      <c r="C280" s="1384"/>
      <c r="D280" s="1384"/>
      <c r="E280" s="1384"/>
      <c r="F280" s="1384"/>
      <c r="G280" s="1384"/>
      <c r="H280" s="1070"/>
      <c r="I280" s="1070"/>
      <c r="J280" s="1315"/>
      <c r="K280" s="1316"/>
      <c r="L280" s="1316"/>
      <c r="M280" s="1315"/>
      <c r="N280" s="1070"/>
      <c r="O280" s="1070"/>
      <c r="P280" s="1070"/>
      <c r="Q280" s="1070"/>
      <c r="R280" s="1070"/>
      <c r="S280" s="1070"/>
      <c r="T280" s="1070"/>
      <c r="U280" s="1070"/>
      <c r="V280" s="1070"/>
      <c r="W280" s="1070"/>
      <c r="X280" s="1070"/>
      <c r="Y280" s="1070"/>
      <c r="Z280" s="1070"/>
      <c r="AA280" s="1070"/>
      <c r="AB280" s="1070"/>
      <c r="AC280" s="1070"/>
      <c r="AD280" s="1070"/>
      <c r="AE280" s="1070"/>
      <c r="AF280" s="1070"/>
      <c r="AG280" s="1070"/>
      <c r="AH280" s="1070"/>
      <c r="AI280" s="1070"/>
      <c r="AJ280" s="1070"/>
      <c r="AK280" s="1070"/>
      <c r="AL280" s="1070"/>
      <c r="AM280" s="1070"/>
      <c r="AN280" s="1070"/>
      <c r="AO280" s="1070"/>
      <c r="AP280" s="1070"/>
      <c r="AQ280" s="1070"/>
      <c r="AR280" s="1070"/>
      <c r="AS280" s="1070"/>
      <c r="AT280" s="1070"/>
      <c r="AU280" s="1070"/>
      <c r="AV280" s="1070"/>
      <c r="AW280" s="1070"/>
      <c r="AX280" s="1070"/>
      <c r="AY280" s="1070"/>
      <c r="AZ280" s="1070"/>
      <c r="BA280" s="1070"/>
      <c r="BB280" s="1070"/>
      <c r="BC280" s="1070"/>
      <c r="BD280" s="1070"/>
      <c r="BE280" s="1070"/>
      <c r="BF280" s="1070"/>
      <c r="BG280" s="1070"/>
      <c r="BH280" s="1070"/>
      <c r="BI280" s="1070"/>
      <c r="BJ280" s="1070"/>
      <c r="BK280" s="1070"/>
      <c r="BL280" s="1070"/>
      <c r="BM280" s="1070"/>
      <c r="BN280" s="1070"/>
      <c r="BO280" s="1070"/>
      <c r="BP280" s="1070"/>
      <c r="BQ280" s="1070"/>
      <c r="BR280" s="1070"/>
      <c r="BS280" s="1070"/>
      <c r="BT280" s="1070"/>
      <c r="BU280" s="1070"/>
      <c r="BV280" s="1070"/>
      <c r="BW280" s="1070"/>
      <c r="BX280" s="1070"/>
      <c r="BY280" s="1070"/>
      <c r="BZ280" s="1070"/>
      <c r="CA280" s="1070"/>
      <c r="CB280" s="1070"/>
      <c r="CC280" s="1070"/>
      <c r="CD280" s="1070"/>
      <c r="CE280" s="1070"/>
      <c r="CF280" s="1070"/>
      <c r="CG280" s="1070"/>
      <c r="CH280" s="1070"/>
      <c r="CI280" s="1070"/>
      <c r="CJ280" s="1070"/>
      <c r="CK280" s="1070"/>
      <c r="CL280" s="1070"/>
      <c r="CM280" s="1070"/>
      <c r="CN280" s="1070"/>
      <c r="CO280" s="1070"/>
      <c r="CP280" s="1070"/>
      <c r="CQ280" s="1070"/>
      <c r="CR280" s="1070"/>
      <c r="CS280" s="1070"/>
      <c r="CT280" s="1070"/>
      <c r="CU280" s="1070"/>
      <c r="CV280" s="1070"/>
      <c r="CW280" s="1070"/>
      <c r="CX280" s="1070"/>
      <c r="CY280" s="1070"/>
      <c r="CZ280" s="1070"/>
      <c r="DA280" s="1070"/>
      <c r="DB280" s="1070"/>
      <c r="DC280" s="1070"/>
      <c r="DD280" s="1070"/>
      <c r="DE280" s="1070"/>
      <c r="DF280" s="1070"/>
      <c r="DG280" s="1070"/>
      <c r="DH280" s="1070"/>
      <c r="DI280" s="1070"/>
    </row>
    <row r="281" spans="1:113" ht="15.75" x14ac:dyDescent="0.2">
      <c r="A281" s="1157" t="s">
        <v>2931</v>
      </c>
      <c r="B281" s="970" t="e">
        <f>B222+2</f>
        <v>#VALUE!</v>
      </c>
      <c r="C281" s="1384"/>
      <c r="D281" s="1384"/>
      <c r="E281" s="1384"/>
      <c r="F281" s="1384"/>
      <c r="G281" s="1384"/>
      <c r="H281" s="1070"/>
      <c r="I281" s="1070"/>
      <c r="J281" s="1315"/>
      <c r="K281" s="1316"/>
      <c r="L281" s="1316"/>
      <c r="M281" s="1315"/>
      <c r="N281" s="1070"/>
      <c r="O281" s="1070"/>
      <c r="P281" s="1070"/>
      <c r="Q281" s="1070"/>
      <c r="R281" s="1070"/>
      <c r="S281" s="1070"/>
      <c r="T281" s="1070"/>
      <c r="U281" s="1070"/>
      <c r="V281" s="1070"/>
      <c r="W281" s="1070"/>
      <c r="X281" s="1070"/>
      <c r="Y281" s="1070"/>
      <c r="Z281" s="1070"/>
      <c r="AA281" s="1070"/>
      <c r="AB281" s="1070"/>
      <c r="AC281" s="1070"/>
      <c r="AD281" s="1070"/>
      <c r="AE281" s="1070"/>
      <c r="AF281" s="1070"/>
      <c r="AG281" s="1070"/>
      <c r="AH281" s="1070"/>
      <c r="AI281" s="1070"/>
      <c r="AJ281" s="1070"/>
      <c r="AK281" s="1070"/>
      <c r="AL281" s="1070"/>
      <c r="AM281" s="1070"/>
      <c r="AN281" s="1070"/>
      <c r="AO281" s="1070"/>
      <c r="AP281" s="1070"/>
      <c r="AQ281" s="1070"/>
      <c r="AR281" s="1070"/>
      <c r="AS281" s="1070"/>
      <c r="AT281" s="1070"/>
      <c r="AU281" s="1070"/>
      <c r="AV281" s="1070"/>
      <c r="AW281" s="1070"/>
      <c r="AX281" s="1070"/>
      <c r="AY281" s="1070"/>
      <c r="AZ281" s="1070"/>
      <c r="BA281" s="1070"/>
      <c r="BB281" s="1070"/>
      <c r="BC281" s="1070"/>
      <c r="BD281" s="1070"/>
      <c r="BE281" s="1070"/>
      <c r="BF281" s="1070"/>
      <c r="BG281" s="1070"/>
      <c r="BH281" s="1070"/>
      <c r="BI281" s="1070"/>
      <c r="BJ281" s="1070"/>
      <c r="BK281" s="1070"/>
      <c r="BL281" s="1070"/>
      <c r="BM281" s="1070"/>
      <c r="BN281" s="1070"/>
      <c r="BO281" s="1070"/>
      <c r="BP281" s="1070"/>
      <c r="BQ281" s="1070"/>
      <c r="BR281" s="1070"/>
      <c r="BS281" s="1070"/>
      <c r="BT281" s="1070"/>
      <c r="BU281" s="1070"/>
      <c r="BV281" s="1070"/>
      <c r="BW281" s="1070"/>
      <c r="BX281" s="1070"/>
      <c r="BY281" s="1070"/>
      <c r="BZ281" s="1070"/>
      <c r="CA281" s="1070"/>
      <c r="CB281" s="1070"/>
      <c r="CC281" s="1070"/>
      <c r="CD281" s="1070"/>
      <c r="CE281" s="1070"/>
      <c r="CF281" s="1070"/>
      <c r="CG281" s="1070"/>
      <c r="CH281" s="1070"/>
      <c r="CI281" s="1070"/>
      <c r="CJ281" s="1070"/>
      <c r="CK281" s="1070"/>
      <c r="CL281" s="1070"/>
      <c r="CM281" s="1070"/>
      <c r="CN281" s="1070"/>
      <c r="CO281" s="1070"/>
      <c r="CP281" s="1070"/>
      <c r="CQ281" s="1070"/>
      <c r="CR281" s="1070"/>
      <c r="CS281" s="1070"/>
      <c r="CT281" s="1070"/>
      <c r="CU281" s="1070"/>
      <c r="CV281" s="1070"/>
      <c r="CW281" s="1070"/>
      <c r="CX281" s="1070"/>
      <c r="CY281" s="1070"/>
      <c r="CZ281" s="1070"/>
      <c r="DA281" s="1070"/>
      <c r="DB281" s="1070"/>
      <c r="DC281" s="1070"/>
      <c r="DD281" s="1070"/>
      <c r="DE281" s="1070"/>
      <c r="DF281" s="1070"/>
      <c r="DG281" s="1070"/>
      <c r="DH281" s="1070"/>
      <c r="DI281" s="1070"/>
    </row>
    <row r="282" spans="1:113" ht="15.75" x14ac:dyDescent="0.2">
      <c r="A282" s="1157" t="s">
        <v>2932</v>
      </c>
      <c r="B282" s="970" t="e">
        <f>B223+2</f>
        <v>#VALUE!</v>
      </c>
      <c r="C282" s="1384"/>
      <c r="D282" s="1384"/>
      <c r="E282" s="1384"/>
      <c r="F282" s="1384"/>
      <c r="G282" s="1384"/>
      <c r="H282" s="1070"/>
      <c r="I282" s="1070"/>
      <c r="J282" s="1315"/>
      <c r="K282" s="1316"/>
      <c r="L282" s="1316"/>
      <c r="M282" s="1315"/>
      <c r="N282" s="1070"/>
      <c r="O282" s="1070"/>
      <c r="P282" s="1070"/>
      <c r="Q282" s="1070"/>
      <c r="R282" s="1070"/>
      <c r="S282" s="1070"/>
      <c r="T282" s="1070"/>
      <c r="U282" s="1070"/>
      <c r="V282" s="1070"/>
      <c r="W282" s="1070"/>
      <c r="X282" s="1070"/>
      <c r="Y282" s="1070"/>
      <c r="Z282" s="1070"/>
      <c r="AA282" s="1070"/>
      <c r="AB282" s="1070"/>
      <c r="AC282" s="1070"/>
      <c r="AD282" s="1070"/>
      <c r="AE282" s="1070"/>
      <c r="AF282" s="1070"/>
      <c r="AG282" s="1070"/>
      <c r="AH282" s="1070"/>
      <c r="AI282" s="1070"/>
      <c r="AJ282" s="1070"/>
      <c r="AK282" s="1070"/>
      <c r="AL282" s="1070"/>
      <c r="AM282" s="1070"/>
      <c r="AN282" s="1070"/>
      <c r="AO282" s="1070"/>
      <c r="AP282" s="1070"/>
      <c r="AQ282" s="1070"/>
      <c r="AR282" s="1070"/>
      <c r="AS282" s="1070"/>
      <c r="AT282" s="1070"/>
      <c r="AU282" s="1070"/>
      <c r="AV282" s="1070"/>
      <c r="AW282" s="1070"/>
      <c r="AX282" s="1070"/>
      <c r="AY282" s="1070"/>
      <c r="AZ282" s="1070"/>
      <c r="BA282" s="1070"/>
      <c r="BB282" s="1070"/>
      <c r="BC282" s="1070"/>
      <c r="BD282" s="1070"/>
      <c r="BE282" s="1070"/>
      <c r="BF282" s="1070"/>
      <c r="BG282" s="1070"/>
      <c r="BH282" s="1070"/>
      <c r="BI282" s="1070"/>
      <c r="BJ282" s="1070"/>
      <c r="BK282" s="1070"/>
      <c r="BL282" s="1070"/>
      <c r="BM282" s="1070"/>
      <c r="BN282" s="1070"/>
      <c r="BO282" s="1070"/>
      <c r="BP282" s="1070"/>
      <c r="BQ282" s="1070"/>
      <c r="BR282" s="1070"/>
      <c r="BS282" s="1070"/>
      <c r="BT282" s="1070"/>
      <c r="BU282" s="1070"/>
      <c r="BV282" s="1070"/>
      <c r="BW282" s="1070"/>
      <c r="BX282" s="1070"/>
      <c r="BY282" s="1070"/>
      <c r="BZ282" s="1070"/>
      <c r="CA282" s="1070"/>
      <c r="CB282" s="1070"/>
      <c r="CC282" s="1070"/>
      <c r="CD282" s="1070"/>
      <c r="CE282" s="1070"/>
      <c r="CF282" s="1070"/>
      <c r="CG282" s="1070"/>
      <c r="CH282" s="1070"/>
      <c r="CI282" s="1070"/>
      <c r="CJ282" s="1070"/>
      <c r="CK282" s="1070"/>
      <c r="CL282" s="1070"/>
      <c r="CM282" s="1070"/>
      <c r="CN282" s="1070"/>
      <c r="CO282" s="1070"/>
      <c r="CP282" s="1070"/>
      <c r="CQ282" s="1070"/>
      <c r="CR282" s="1070"/>
      <c r="CS282" s="1070"/>
      <c r="CT282" s="1070"/>
      <c r="CU282" s="1070"/>
      <c r="CV282" s="1070"/>
      <c r="CW282" s="1070"/>
      <c r="CX282" s="1070"/>
      <c r="CY282" s="1070"/>
      <c r="CZ282" s="1070"/>
      <c r="DA282" s="1070"/>
      <c r="DB282" s="1070"/>
      <c r="DC282" s="1070"/>
      <c r="DD282" s="1070"/>
      <c r="DE282" s="1070"/>
      <c r="DF282" s="1070"/>
      <c r="DG282" s="1070"/>
      <c r="DH282" s="1070"/>
      <c r="DI282" s="1070"/>
    </row>
    <row r="283" spans="1:113" x14ac:dyDescent="0.2">
      <c r="A283" s="1157" t="s">
        <v>2933</v>
      </c>
      <c r="B283" s="970" t="e">
        <f>(((B281+B282)/2)*4+1.5)/5</f>
        <v>#VALUE!</v>
      </c>
    </row>
    <row r="284" spans="1:113" ht="15.75" x14ac:dyDescent="0.25">
      <c r="A284" s="1390" t="s">
        <v>2934</v>
      </c>
      <c r="B284" s="1391"/>
      <c r="C284" s="1384"/>
      <c r="D284" s="1384"/>
      <c r="E284" s="1384"/>
      <c r="F284" s="1384"/>
      <c r="G284" s="1384"/>
      <c r="H284" s="1070"/>
      <c r="I284" s="1070"/>
      <c r="J284" s="1315"/>
      <c r="K284" s="1316"/>
      <c r="L284" s="1316"/>
      <c r="M284" s="1315"/>
      <c r="N284" s="1070"/>
      <c r="O284" s="1070"/>
      <c r="P284" s="1070"/>
      <c r="Q284" s="1070"/>
      <c r="R284" s="1070"/>
      <c r="S284" s="1070"/>
      <c r="T284" s="1070"/>
      <c r="U284" s="1070"/>
      <c r="V284" s="1070"/>
      <c r="W284" s="1070"/>
      <c r="X284" s="1070"/>
      <c r="Y284" s="1070"/>
      <c r="Z284" s="1070"/>
      <c r="AA284" s="1070"/>
      <c r="AB284" s="1070"/>
      <c r="AC284" s="1070"/>
      <c r="AD284" s="1070"/>
      <c r="AE284" s="1070"/>
      <c r="AF284" s="1070"/>
      <c r="AG284" s="1070"/>
      <c r="AH284" s="1070"/>
      <c r="AI284" s="1070"/>
      <c r="AJ284" s="1070"/>
      <c r="AK284" s="1070"/>
      <c r="AL284" s="1070"/>
      <c r="AM284" s="1070"/>
      <c r="AN284" s="1070"/>
      <c r="AO284" s="1070"/>
      <c r="AP284" s="1070"/>
      <c r="AQ284" s="1070"/>
      <c r="AR284" s="1070"/>
      <c r="AS284" s="1070"/>
      <c r="AT284" s="1070"/>
      <c r="AU284" s="1070"/>
      <c r="AV284" s="1070"/>
      <c r="AW284" s="1070"/>
      <c r="AX284" s="1070"/>
      <c r="AY284" s="1070"/>
      <c r="AZ284" s="1070"/>
      <c r="BA284" s="1070"/>
      <c r="BB284" s="1070"/>
      <c r="BC284" s="1070"/>
      <c r="BD284" s="1070"/>
      <c r="BE284" s="1070"/>
      <c r="BF284" s="1070"/>
      <c r="BG284" s="1070"/>
      <c r="BH284" s="1070"/>
      <c r="BI284" s="1070"/>
      <c r="BJ284" s="1070"/>
      <c r="BK284" s="1070"/>
      <c r="BL284" s="1070"/>
      <c r="BM284" s="1070"/>
      <c r="BN284" s="1070"/>
      <c r="BO284" s="1070"/>
      <c r="BP284" s="1070"/>
      <c r="BQ284" s="1070"/>
      <c r="BR284" s="1070"/>
      <c r="BS284" s="1070"/>
      <c r="BT284" s="1070"/>
      <c r="BU284" s="1070"/>
      <c r="BV284" s="1070"/>
      <c r="BW284" s="1070"/>
      <c r="BX284" s="1070"/>
      <c r="BY284" s="1070"/>
      <c r="BZ284" s="1070"/>
      <c r="CA284" s="1070"/>
      <c r="CB284" s="1070"/>
      <c r="CC284" s="1070"/>
      <c r="CD284" s="1070"/>
      <c r="CE284" s="1070"/>
      <c r="CF284" s="1070"/>
      <c r="CG284" s="1070"/>
      <c r="CH284" s="1070"/>
      <c r="CI284" s="1070"/>
      <c r="CJ284" s="1070"/>
      <c r="CK284" s="1070"/>
      <c r="CL284" s="1070"/>
      <c r="CM284" s="1070"/>
      <c r="CN284" s="1070"/>
      <c r="CO284" s="1070"/>
      <c r="CP284" s="1070"/>
      <c r="CQ284" s="1070"/>
      <c r="CR284" s="1070"/>
      <c r="CS284" s="1070"/>
      <c r="CT284" s="1070"/>
      <c r="CU284" s="1070"/>
      <c r="CV284" s="1070"/>
      <c r="CW284" s="1070"/>
      <c r="CX284" s="1070"/>
      <c r="CY284" s="1070"/>
      <c r="CZ284" s="1070"/>
      <c r="DA284" s="1070"/>
      <c r="DB284" s="1070"/>
      <c r="DC284" s="1070"/>
      <c r="DD284" s="1070"/>
      <c r="DE284" s="1070"/>
      <c r="DF284" s="1070"/>
      <c r="DG284" s="1070"/>
      <c r="DH284" s="1070"/>
      <c r="DI284" s="1070"/>
    </row>
    <row r="285" spans="1:113" ht="15.75" x14ac:dyDescent="0.25">
      <c r="A285" s="1392" t="s">
        <v>3315</v>
      </c>
      <c r="B285" s="1393">
        <f>B243</f>
        <v>0</v>
      </c>
      <c r="C285" s="1384"/>
      <c r="D285" s="1384"/>
      <c r="E285" s="1384"/>
      <c r="F285" s="1384"/>
      <c r="G285" s="1384"/>
      <c r="H285" s="1070"/>
      <c r="I285" s="1070"/>
      <c r="J285" s="1315"/>
      <c r="K285" s="1316"/>
      <c r="L285" s="1316"/>
      <c r="M285" s="1315"/>
      <c r="N285" s="1070"/>
      <c r="O285" s="1070"/>
      <c r="P285" s="1070"/>
      <c r="Q285" s="1070"/>
      <c r="R285" s="1070"/>
      <c r="S285" s="1070"/>
      <c r="T285" s="1070"/>
      <c r="U285" s="1070"/>
      <c r="V285" s="1070"/>
      <c r="W285" s="1070"/>
      <c r="X285" s="1070"/>
      <c r="Y285" s="1070"/>
      <c r="Z285" s="1070"/>
      <c r="AA285" s="1070"/>
      <c r="AB285" s="1070"/>
      <c r="AC285" s="1070"/>
      <c r="AD285" s="1070"/>
      <c r="AE285" s="1070"/>
      <c r="AF285" s="1070"/>
      <c r="AG285" s="1070"/>
      <c r="AH285" s="1070"/>
      <c r="AI285" s="1070"/>
      <c r="AJ285" s="1070"/>
      <c r="AK285" s="1070"/>
      <c r="AL285" s="1070"/>
      <c r="AM285" s="1070"/>
      <c r="AN285" s="1070"/>
      <c r="AO285" s="1070"/>
      <c r="AP285" s="1070"/>
      <c r="AQ285" s="1070"/>
      <c r="AR285" s="1070"/>
      <c r="AS285" s="1070"/>
      <c r="AT285" s="1070"/>
      <c r="AU285" s="1070"/>
      <c r="AV285" s="1070"/>
      <c r="AW285" s="1070"/>
      <c r="AX285" s="1070"/>
      <c r="AY285" s="1070"/>
      <c r="AZ285" s="1070"/>
      <c r="BA285" s="1070"/>
      <c r="BB285" s="1070"/>
      <c r="BC285" s="1070"/>
      <c r="BD285" s="1070"/>
      <c r="BE285" s="1070"/>
      <c r="BF285" s="1070"/>
      <c r="BG285" s="1070"/>
      <c r="BH285" s="1070"/>
      <c r="BI285" s="1070"/>
      <c r="BJ285" s="1070"/>
      <c r="BK285" s="1070"/>
      <c r="BL285" s="1070"/>
      <c r="BM285" s="1070"/>
      <c r="BN285" s="1070"/>
      <c r="BO285" s="1070"/>
      <c r="BP285" s="1070"/>
      <c r="BQ285" s="1070"/>
      <c r="BR285" s="1070"/>
      <c r="BS285" s="1070"/>
      <c r="BT285" s="1070"/>
      <c r="BU285" s="1070"/>
      <c r="BV285" s="1070"/>
      <c r="BW285" s="1070"/>
      <c r="BX285" s="1070"/>
      <c r="BY285" s="1070"/>
      <c r="BZ285" s="1070"/>
      <c r="CA285" s="1070"/>
      <c r="CB285" s="1070"/>
      <c r="CC285" s="1070"/>
      <c r="CD285" s="1070"/>
      <c r="CE285" s="1070"/>
      <c r="CF285" s="1070"/>
      <c r="CG285" s="1070"/>
      <c r="CH285" s="1070"/>
      <c r="CI285" s="1070"/>
      <c r="CJ285" s="1070"/>
      <c r="CK285" s="1070"/>
      <c r="CL285" s="1070"/>
      <c r="CM285" s="1070"/>
      <c r="CN285" s="1070"/>
      <c r="CO285" s="1070"/>
      <c r="CP285" s="1070"/>
      <c r="CQ285" s="1070"/>
      <c r="CR285" s="1070"/>
      <c r="CS285" s="1070"/>
      <c r="CT285" s="1070"/>
      <c r="CU285" s="1070"/>
      <c r="CV285" s="1070"/>
      <c r="CW285" s="1070"/>
      <c r="CX285" s="1070"/>
      <c r="CY285" s="1070"/>
      <c r="CZ285" s="1070"/>
      <c r="DA285" s="1070"/>
      <c r="DB285" s="1070"/>
      <c r="DC285" s="1070"/>
      <c r="DD285" s="1070"/>
      <c r="DE285" s="1070"/>
      <c r="DF285" s="1070"/>
      <c r="DG285" s="1070"/>
      <c r="DH285" s="1070"/>
      <c r="DI285" s="1070"/>
    </row>
    <row r="286" spans="1:113" ht="15.75" x14ac:dyDescent="0.25">
      <c r="A286" s="1392" t="s">
        <v>2935</v>
      </c>
      <c r="B286" s="1394" t="str">
        <f>B219</f>
        <v/>
      </c>
      <c r="C286" s="1384"/>
      <c r="D286" s="1384"/>
      <c r="E286" s="1384"/>
      <c r="F286" s="1384"/>
      <c r="G286" s="1384"/>
      <c r="H286" s="1070"/>
      <c r="I286" s="1070"/>
      <c r="J286" s="1315"/>
      <c r="K286" s="1316"/>
      <c r="L286" s="1316"/>
      <c r="M286" s="1315"/>
      <c r="N286" s="1070"/>
      <c r="O286" s="1070"/>
      <c r="P286" s="1070"/>
      <c r="Q286" s="1070"/>
      <c r="R286" s="1070"/>
      <c r="S286" s="1070"/>
      <c r="T286" s="1070"/>
      <c r="U286" s="1070"/>
      <c r="V286" s="1070"/>
      <c r="W286" s="1070"/>
      <c r="X286" s="1070"/>
      <c r="Y286" s="1070"/>
      <c r="Z286" s="1070"/>
      <c r="AA286" s="1070"/>
      <c r="AB286" s="1070"/>
      <c r="AC286" s="1070"/>
      <c r="AD286" s="1070"/>
      <c r="AE286" s="1070"/>
      <c r="AF286" s="1070"/>
      <c r="AG286" s="1070"/>
      <c r="AH286" s="1070"/>
      <c r="AI286" s="1070"/>
      <c r="AJ286" s="1070"/>
      <c r="AK286" s="1070"/>
      <c r="AL286" s="1070"/>
      <c r="AM286" s="1070"/>
      <c r="AN286" s="1070"/>
      <c r="AO286" s="1070"/>
      <c r="AP286" s="1070"/>
      <c r="AQ286" s="1070"/>
      <c r="AR286" s="1070"/>
      <c r="AS286" s="1070"/>
      <c r="AT286" s="1070"/>
      <c r="AU286" s="1070"/>
      <c r="AV286" s="1070"/>
      <c r="AW286" s="1070"/>
      <c r="AX286" s="1070"/>
      <c r="AY286" s="1070"/>
      <c r="AZ286" s="1070"/>
      <c r="BA286" s="1070"/>
      <c r="BB286" s="1070"/>
      <c r="BC286" s="1070"/>
      <c r="BD286" s="1070"/>
      <c r="BE286" s="1070"/>
      <c r="BF286" s="1070"/>
      <c r="BG286" s="1070"/>
      <c r="BH286" s="1070"/>
      <c r="BI286" s="1070"/>
      <c r="BJ286" s="1070"/>
      <c r="BK286" s="1070"/>
      <c r="BL286" s="1070"/>
      <c r="BM286" s="1070"/>
      <c r="BN286" s="1070"/>
      <c r="BO286" s="1070"/>
      <c r="BP286" s="1070"/>
      <c r="BQ286" s="1070"/>
      <c r="BR286" s="1070"/>
      <c r="BS286" s="1070"/>
      <c r="BT286" s="1070"/>
      <c r="BU286" s="1070"/>
      <c r="BV286" s="1070"/>
      <c r="BW286" s="1070"/>
      <c r="BX286" s="1070"/>
      <c r="BY286" s="1070"/>
      <c r="BZ286" s="1070"/>
      <c r="CA286" s="1070"/>
      <c r="CB286" s="1070"/>
      <c r="CC286" s="1070"/>
      <c r="CD286" s="1070"/>
      <c r="CE286" s="1070"/>
      <c r="CF286" s="1070"/>
      <c r="CG286" s="1070"/>
      <c r="CH286" s="1070"/>
      <c r="CI286" s="1070"/>
      <c r="CJ286" s="1070"/>
      <c r="CK286" s="1070"/>
      <c r="CL286" s="1070"/>
      <c r="CM286" s="1070"/>
      <c r="CN286" s="1070"/>
      <c r="CO286" s="1070"/>
      <c r="CP286" s="1070"/>
      <c r="CQ286" s="1070"/>
      <c r="CR286" s="1070"/>
      <c r="CS286" s="1070"/>
      <c r="CT286" s="1070"/>
      <c r="CU286" s="1070"/>
      <c r="CV286" s="1070"/>
      <c r="CW286" s="1070"/>
      <c r="CX286" s="1070"/>
      <c r="CY286" s="1070"/>
      <c r="CZ286" s="1070"/>
      <c r="DA286" s="1070"/>
      <c r="DB286" s="1070"/>
      <c r="DC286" s="1070"/>
      <c r="DD286" s="1070"/>
      <c r="DE286" s="1070"/>
      <c r="DF286" s="1070"/>
      <c r="DG286" s="1070"/>
      <c r="DH286" s="1070"/>
      <c r="DI286" s="1070"/>
    </row>
    <row r="287" spans="1:113" ht="15.75" x14ac:dyDescent="0.25">
      <c r="A287" s="1392" t="s">
        <v>2936</v>
      </c>
      <c r="B287" s="1394" t="e">
        <f>B244</f>
        <v>#VALUE!</v>
      </c>
      <c r="C287" s="1384"/>
      <c r="D287" s="1384"/>
      <c r="E287" s="1384"/>
      <c r="F287" s="1384"/>
      <c r="G287" s="1384"/>
      <c r="H287" s="1070"/>
      <c r="I287" s="1070"/>
      <c r="J287" s="1315"/>
      <c r="K287" s="1316"/>
      <c r="L287" s="1316"/>
      <c r="M287" s="1315"/>
      <c r="N287" s="1070"/>
      <c r="O287" s="1070"/>
      <c r="P287" s="1070"/>
      <c r="Q287" s="1070"/>
      <c r="R287" s="1070"/>
      <c r="S287" s="1070"/>
      <c r="T287" s="1070"/>
      <c r="U287" s="1070"/>
      <c r="V287" s="1070"/>
      <c r="W287" s="1070"/>
      <c r="X287" s="1070"/>
      <c r="Y287" s="1070"/>
      <c r="Z287" s="1070"/>
      <c r="AA287" s="1070"/>
      <c r="AB287" s="1070"/>
      <c r="AC287" s="1070"/>
      <c r="AD287" s="1070"/>
      <c r="AE287" s="1070"/>
      <c r="AF287" s="1070"/>
      <c r="AG287" s="1070"/>
      <c r="AH287" s="1070"/>
      <c r="AI287" s="1070"/>
      <c r="AJ287" s="1070"/>
      <c r="AK287" s="1070"/>
      <c r="AL287" s="1070"/>
      <c r="AM287" s="1070"/>
      <c r="AN287" s="1070"/>
      <c r="AO287" s="1070"/>
      <c r="AP287" s="1070"/>
      <c r="AQ287" s="1070"/>
      <c r="AR287" s="1070"/>
      <c r="AS287" s="1070"/>
      <c r="AT287" s="1070"/>
      <c r="AU287" s="1070"/>
      <c r="AV287" s="1070"/>
      <c r="AW287" s="1070"/>
      <c r="AX287" s="1070"/>
      <c r="AY287" s="1070"/>
      <c r="AZ287" s="1070"/>
      <c r="BA287" s="1070"/>
      <c r="BB287" s="1070"/>
      <c r="BC287" s="1070"/>
      <c r="BD287" s="1070"/>
      <c r="BE287" s="1070"/>
      <c r="BF287" s="1070"/>
      <c r="BG287" s="1070"/>
      <c r="BH287" s="1070"/>
      <c r="BI287" s="1070"/>
      <c r="BJ287" s="1070"/>
      <c r="BK287" s="1070"/>
      <c r="BL287" s="1070"/>
      <c r="BM287" s="1070"/>
      <c r="BN287" s="1070"/>
      <c r="BO287" s="1070"/>
      <c r="BP287" s="1070"/>
      <c r="BQ287" s="1070"/>
      <c r="BR287" s="1070"/>
      <c r="BS287" s="1070"/>
      <c r="BT287" s="1070"/>
      <c r="BU287" s="1070"/>
      <c r="BV287" s="1070"/>
      <c r="BW287" s="1070"/>
      <c r="BX287" s="1070"/>
      <c r="BY287" s="1070"/>
      <c r="BZ287" s="1070"/>
      <c r="CA287" s="1070"/>
      <c r="CB287" s="1070"/>
      <c r="CC287" s="1070"/>
      <c r="CD287" s="1070"/>
      <c r="CE287" s="1070"/>
      <c r="CF287" s="1070"/>
      <c r="CG287" s="1070"/>
      <c r="CH287" s="1070"/>
      <c r="CI287" s="1070"/>
      <c r="CJ287" s="1070"/>
      <c r="CK287" s="1070"/>
      <c r="CL287" s="1070"/>
      <c r="CM287" s="1070"/>
      <c r="CN287" s="1070"/>
      <c r="CO287" s="1070"/>
      <c r="CP287" s="1070"/>
      <c r="CQ287" s="1070"/>
      <c r="CR287" s="1070"/>
      <c r="CS287" s="1070"/>
      <c r="CT287" s="1070"/>
      <c r="CU287" s="1070"/>
      <c r="CV287" s="1070"/>
      <c r="CW287" s="1070"/>
      <c r="CX287" s="1070"/>
      <c r="CY287" s="1070"/>
      <c r="CZ287" s="1070"/>
      <c r="DA287" s="1070"/>
      <c r="DB287" s="1070"/>
      <c r="DC287" s="1070"/>
      <c r="DD287" s="1070"/>
      <c r="DE287" s="1070"/>
      <c r="DF287" s="1070"/>
      <c r="DG287" s="1070"/>
      <c r="DH287" s="1070"/>
      <c r="DI287" s="1070"/>
    </row>
    <row r="288" spans="1:113" ht="25.5" x14ac:dyDescent="0.2">
      <c r="A288" s="1395" t="s">
        <v>2937</v>
      </c>
      <c r="B288" s="810">
        <f>IF(B257=2,3,0)</f>
        <v>0</v>
      </c>
      <c r="C288" s="1384"/>
      <c r="D288" s="1384"/>
      <c r="E288" s="1384"/>
      <c r="F288" s="1384"/>
      <c r="G288" s="1384"/>
      <c r="H288" s="1070"/>
      <c r="I288" s="1070"/>
      <c r="J288" s="1315"/>
      <c r="K288" s="1316"/>
      <c r="L288" s="1316"/>
      <c r="M288" s="1315"/>
      <c r="N288" s="1070"/>
      <c r="O288" s="1070"/>
      <c r="P288" s="1070"/>
      <c r="Q288" s="1070"/>
      <c r="R288" s="1070"/>
      <c r="S288" s="1070"/>
      <c r="T288" s="1070"/>
      <c r="U288" s="1070"/>
      <c r="V288" s="1070"/>
      <c r="W288" s="1070"/>
      <c r="X288" s="1070"/>
      <c r="Y288" s="1070"/>
      <c r="Z288" s="1070"/>
      <c r="AA288" s="1070"/>
      <c r="AB288" s="1070"/>
      <c r="AC288" s="1070"/>
      <c r="AD288" s="1070"/>
      <c r="AE288" s="1070"/>
      <c r="AF288" s="1070"/>
      <c r="AG288" s="1070"/>
      <c r="AH288" s="1070"/>
      <c r="AI288" s="1070"/>
      <c r="AJ288" s="1070"/>
      <c r="AK288" s="1070"/>
      <c r="AL288" s="1070"/>
      <c r="AM288" s="1070"/>
      <c r="AN288" s="1070"/>
      <c r="AO288" s="1070"/>
      <c r="AP288" s="1070"/>
      <c r="AQ288" s="1070"/>
      <c r="AR288" s="1070"/>
      <c r="AS288" s="1070"/>
      <c r="AT288" s="1070"/>
      <c r="AU288" s="1070"/>
      <c r="AV288" s="1070"/>
      <c r="AW288" s="1070"/>
      <c r="AX288" s="1070"/>
      <c r="AY288" s="1070"/>
      <c r="AZ288" s="1070"/>
      <c r="BA288" s="1070"/>
      <c r="BB288" s="1070"/>
      <c r="BC288" s="1070"/>
      <c r="BD288" s="1070"/>
      <c r="BE288" s="1070"/>
      <c r="BF288" s="1070"/>
      <c r="BG288" s="1070"/>
      <c r="BH288" s="1070"/>
      <c r="BI288" s="1070"/>
      <c r="BJ288" s="1070"/>
      <c r="BK288" s="1070"/>
      <c r="BL288" s="1070"/>
      <c r="BM288" s="1070"/>
      <c r="BN288" s="1070"/>
      <c r="BO288" s="1070"/>
      <c r="BP288" s="1070"/>
      <c r="BQ288" s="1070"/>
      <c r="BR288" s="1070"/>
      <c r="BS288" s="1070"/>
      <c r="BT288" s="1070"/>
      <c r="BU288" s="1070"/>
      <c r="BV288" s="1070"/>
      <c r="BW288" s="1070"/>
      <c r="BX288" s="1070"/>
      <c r="BY288" s="1070"/>
      <c r="BZ288" s="1070"/>
      <c r="CA288" s="1070"/>
      <c r="CB288" s="1070"/>
      <c r="CC288" s="1070"/>
      <c r="CD288" s="1070"/>
      <c r="CE288" s="1070"/>
      <c r="CF288" s="1070"/>
      <c r="CG288" s="1070"/>
      <c r="CH288" s="1070"/>
      <c r="CI288" s="1070"/>
      <c r="CJ288" s="1070"/>
      <c r="CK288" s="1070"/>
      <c r="CL288" s="1070"/>
      <c r="CM288" s="1070"/>
      <c r="CN288" s="1070"/>
      <c r="CO288" s="1070"/>
      <c r="CP288" s="1070"/>
      <c r="CQ288" s="1070"/>
      <c r="CR288" s="1070"/>
      <c r="CS288" s="1070"/>
      <c r="CT288" s="1070"/>
      <c r="CU288" s="1070"/>
      <c r="CV288" s="1070"/>
      <c r="CW288" s="1070"/>
      <c r="CX288" s="1070"/>
      <c r="CY288" s="1070"/>
      <c r="CZ288" s="1070"/>
      <c r="DA288" s="1070"/>
      <c r="DB288" s="1070"/>
      <c r="DC288" s="1070"/>
      <c r="DD288" s="1070"/>
      <c r="DE288" s="1070"/>
      <c r="DF288" s="1070"/>
      <c r="DG288" s="1070"/>
      <c r="DH288" s="1070"/>
      <c r="DI288" s="1070"/>
    </row>
    <row r="289" spans="1:113" ht="15.75" x14ac:dyDescent="0.25">
      <c r="A289" s="875" t="s">
        <v>2938</v>
      </c>
      <c r="B289" s="1394" t="e">
        <f>B247</f>
        <v>#REF!</v>
      </c>
      <c r="C289" s="1384"/>
      <c r="D289" s="1384"/>
      <c r="E289" s="1384"/>
      <c r="F289" s="1384"/>
      <c r="G289" s="1384"/>
      <c r="H289" s="1070"/>
      <c r="I289" s="1070"/>
      <c r="J289" s="1315"/>
      <c r="K289" s="1316"/>
      <c r="L289" s="1316"/>
      <c r="M289" s="1315"/>
      <c r="N289" s="1070"/>
      <c r="O289" s="1070"/>
      <c r="P289" s="1070"/>
      <c r="Q289" s="1070"/>
      <c r="R289" s="1070"/>
      <c r="S289" s="1070"/>
      <c r="T289" s="1070"/>
      <c r="U289" s="1070"/>
      <c r="V289" s="1070"/>
      <c r="W289" s="1070"/>
      <c r="X289" s="1070"/>
      <c r="Y289" s="1070"/>
      <c r="Z289" s="1070"/>
      <c r="AA289" s="1070"/>
      <c r="AB289" s="1070"/>
      <c r="AC289" s="1070"/>
      <c r="AD289" s="1070"/>
      <c r="AE289" s="1070"/>
      <c r="AF289" s="1070"/>
      <c r="AG289" s="1070"/>
      <c r="AH289" s="1070"/>
      <c r="AI289" s="1070"/>
      <c r="AJ289" s="1070"/>
      <c r="AK289" s="1070"/>
      <c r="AL289" s="1070"/>
      <c r="AM289" s="1070"/>
      <c r="AN289" s="1070"/>
      <c r="AO289" s="1070"/>
      <c r="AP289" s="1070"/>
      <c r="AQ289" s="1070"/>
      <c r="AR289" s="1070"/>
      <c r="AS289" s="1070"/>
      <c r="AT289" s="1070"/>
      <c r="AU289" s="1070"/>
      <c r="AV289" s="1070"/>
      <c r="AW289" s="1070"/>
      <c r="AX289" s="1070"/>
      <c r="AY289" s="1070"/>
      <c r="AZ289" s="1070"/>
      <c r="BA289" s="1070"/>
      <c r="BB289" s="1070"/>
      <c r="BC289" s="1070"/>
      <c r="BD289" s="1070"/>
      <c r="BE289" s="1070"/>
      <c r="BF289" s="1070"/>
      <c r="BG289" s="1070"/>
      <c r="BH289" s="1070"/>
      <c r="BI289" s="1070"/>
      <c r="BJ289" s="1070"/>
      <c r="BK289" s="1070"/>
      <c r="BL289" s="1070"/>
      <c r="BM289" s="1070"/>
      <c r="BN289" s="1070"/>
      <c r="BO289" s="1070"/>
      <c r="BP289" s="1070"/>
      <c r="BQ289" s="1070"/>
      <c r="BR289" s="1070"/>
      <c r="BS289" s="1070"/>
      <c r="BT289" s="1070"/>
      <c r="BU289" s="1070"/>
      <c r="BV289" s="1070"/>
      <c r="BW289" s="1070"/>
      <c r="BX289" s="1070"/>
      <c r="BY289" s="1070"/>
      <c r="BZ289" s="1070"/>
      <c r="CA289" s="1070"/>
      <c r="CB289" s="1070"/>
      <c r="CC289" s="1070"/>
      <c r="CD289" s="1070"/>
      <c r="CE289" s="1070"/>
      <c r="CF289" s="1070"/>
      <c r="CG289" s="1070"/>
      <c r="CH289" s="1070"/>
      <c r="CI289" s="1070"/>
      <c r="CJ289" s="1070"/>
      <c r="CK289" s="1070"/>
      <c r="CL289" s="1070"/>
      <c r="CM289" s="1070"/>
      <c r="CN289" s="1070"/>
      <c r="CO289" s="1070"/>
      <c r="CP289" s="1070"/>
      <c r="CQ289" s="1070"/>
      <c r="CR289" s="1070"/>
      <c r="CS289" s="1070"/>
      <c r="CT289" s="1070"/>
      <c r="CU289" s="1070"/>
      <c r="CV289" s="1070"/>
      <c r="CW289" s="1070"/>
      <c r="CX289" s="1070"/>
      <c r="CY289" s="1070"/>
      <c r="CZ289" s="1070"/>
      <c r="DA289" s="1070"/>
      <c r="DB289" s="1070"/>
      <c r="DC289" s="1070"/>
      <c r="DD289" s="1070"/>
      <c r="DE289" s="1070"/>
      <c r="DF289" s="1070"/>
      <c r="DG289" s="1070"/>
      <c r="DH289" s="1070"/>
      <c r="DI289" s="1070"/>
    </row>
    <row r="290" spans="1:113" ht="15.75" x14ac:dyDescent="0.25">
      <c r="A290" s="1392" t="s">
        <v>2939</v>
      </c>
      <c r="B290" s="1394" t="str">
        <f>B221</f>
        <v/>
      </c>
      <c r="C290" s="1384"/>
      <c r="D290" s="1384"/>
      <c r="E290" s="1384"/>
      <c r="F290" s="1384"/>
      <c r="G290" s="1384"/>
      <c r="H290" s="1070"/>
      <c r="I290" s="1070"/>
      <c r="J290" s="1315"/>
      <c r="K290" s="1316"/>
      <c r="L290" s="1316"/>
      <c r="M290" s="1315"/>
      <c r="N290" s="1070"/>
      <c r="O290" s="1070"/>
      <c r="P290" s="1070"/>
      <c r="Q290" s="1070"/>
      <c r="R290" s="1070"/>
      <c r="S290" s="1070"/>
      <c r="T290" s="1070"/>
      <c r="U290" s="1070"/>
      <c r="V290" s="1070"/>
      <c r="W290" s="1070"/>
      <c r="X290" s="1070"/>
      <c r="Y290" s="1070"/>
      <c r="Z290" s="1070"/>
      <c r="AA290" s="1070"/>
      <c r="AB290" s="1070"/>
      <c r="AC290" s="1070"/>
      <c r="AD290" s="1070"/>
      <c r="AE290" s="1070"/>
      <c r="AF290" s="1070"/>
      <c r="AG290" s="1070"/>
      <c r="AH290" s="1070"/>
      <c r="AI290" s="1070"/>
      <c r="AJ290" s="1070"/>
      <c r="AK290" s="1070"/>
      <c r="AL290" s="1070"/>
      <c r="AM290" s="1070"/>
      <c r="AN290" s="1070"/>
      <c r="AO290" s="1070"/>
      <c r="AP290" s="1070"/>
      <c r="AQ290" s="1070"/>
      <c r="AR290" s="1070"/>
      <c r="AS290" s="1070"/>
      <c r="AT290" s="1070"/>
      <c r="AU290" s="1070"/>
      <c r="AV290" s="1070"/>
      <c r="AW290" s="1070"/>
      <c r="AX290" s="1070"/>
      <c r="AY290" s="1070"/>
      <c r="AZ290" s="1070"/>
      <c r="BA290" s="1070"/>
      <c r="BB290" s="1070"/>
      <c r="BC290" s="1070"/>
      <c r="BD290" s="1070"/>
      <c r="BE290" s="1070"/>
      <c r="BF290" s="1070"/>
      <c r="BG290" s="1070"/>
      <c r="BH290" s="1070"/>
      <c r="BI290" s="1070"/>
      <c r="BJ290" s="1070"/>
      <c r="BK290" s="1070"/>
      <c r="BL290" s="1070"/>
      <c r="BM290" s="1070"/>
      <c r="BN290" s="1070"/>
      <c r="BO290" s="1070"/>
      <c r="BP290" s="1070"/>
      <c r="BQ290" s="1070"/>
      <c r="BR290" s="1070"/>
      <c r="BS290" s="1070"/>
      <c r="BT290" s="1070"/>
      <c r="BU290" s="1070"/>
      <c r="BV290" s="1070"/>
      <c r="BW290" s="1070"/>
      <c r="BX290" s="1070"/>
      <c r="BY290" s="1070"/>
      <c r="BZ290" s="1070"/>
      <c r="CA290" s="1070"/>
      <c r="CB290" s="1070"/>
      <c r="CC290" s="1070"/>
      <c r="CD290" s="1070"/>
      <c r="CE290" s="1070"/>
      <c r="CF290" s="1070"/>
      <c r="CG290" s="1070"/>
      <c r="CH290" s="1070"/>
      <c r="CI290" s="1070"/>
      <c r="CJ290" s="1070"/>
      <c r="CK290" s="1070"/>
      <c r="CL290" s="1070"/>
      <c r="CM290" s="1070"/>
      <c r="CN290" s="1070"/>
      <c r="CO290" s="1070"/>
      <c r="CP290" s="1070"/>
      <c r="CQ290" s="1070"/>
      <c r="CR290" s="1070"/>
      <c r="CS290" s="1070"/>
      <c r="CT290" s="1070"/>
      <c r="CU290" s="1070"/>
      <c r="CV290" s="1070"/>
      <c r="CW290" s="1070"/>
      <c r="CX290" s="1070"/>
      <c r="CY290" s="1070"/>
      <c r="CZ290" s="1070"/>
      <c r="DA290" s="1070"/>
      <c r="DB290" s="1070"/>
      <c r="DC290" s="1070"/>
      <c r="DD290" s="1070"/>
      <c r="DE290" s="1070"/>
      <c r="DF290" s="1070"/>
      <c r="DG290" s="1070"/>
      <c r="DH290" s="1070"/>
      <c r="DI290" s="1070"/>
    </row>
    <row r="291" spans="1:113" ht="15.75" x14ac:dyDescent="0.25">
      <c r="A291" s="1392" t="s">
        <v>2940</v>
      </c>
      <c r="B291" s="1394">
        <f>B246</f>
        <v>1</v>
      </c>
      <c r="C291" s="1384"/>
      <c r="D291" s="1384"/>
      <c r="E291" s="1384"/>
      <c r="F291" s="1384"/>
      <c r="G291" s="1384"/>
      <c r="H291" s="1070"/>
      <c r="I291" s="1070"/>
      <c r="J291" s="1315"/>
      <c r="K291" s="1316"/>
      <c r="L291" s="1316"/>
      <c r="M291" s="1315"/>
      <c r="N291" s="1070"/>
      <c r="O291" s="1070"/>
      <c r="P291" s="1070"/>
      <c r="Q291" s="1070"/>
      <c r="R291" s="1070"/>
      <c r="S291" s="1070"/>
      <c r="T291" s="1070"/>
      <c r="U291" s="1070"/>
      <c r="V291" s="1070"/>
      <c r="W291" s="1070"/>
      <c r="X291" s="1070"/>
      <c r="Y291" s="1070"/>
      <c r="Z291" s="1070"/>
      <c r="AA291" s="1070"/>
      <c r="AB291" s="1070"/>
      <c r="AC291" s="1070"/>
      <c r="AD291" s="1070"/>
      <c r="AE291" s="1070"/>
      <c r="AF291" s="1070"/>
      <c r="AG291" s="1070"/>
      <c r="AH291" s="1070"/>
      <c r="AI291" s="1070"/>
      <c r="AJ291" s="1070"/>
      <c r="AK291" s="1070"/>
      <c r="AL291" s="1070"/>
      <c r="AM291" s="1070"/>
      <c r="AN291" s="1070"/>
      <c r="AO291" s="1070"/>
      <c r="AP291" s="1070"/>
      <c r="AQ291" s="1070"/>
      <c r="AR291" s="1070"/>
      <c r="AS291" s="1070"/>
      <c r="AT291" s="1070"/>
      <c r="AU291" s="1070"/>
      <c r="AV291" s="1070"/>
      <c r="AW291" s="1070"/>
      <c r="AX291" s="1070"/>
      <c r="AY291" s="1070"/>
      <c r="AZ291" s="1070"/>
      <c r="BA291" s="1070"/>
      <c r="BB291" s="1070"/>
      <c r="BC291" s="1070"/>
      <c r="BD291" s="1070"/>
      <c r="BE291" s="1070"/>
      <c r="BF291" s="1070"/>
      <c r="BG291" s="1070"/>
      <c r="BH291" s="1070"/>
      <c r="BI291" s="1070"/>
      <c r="BJ291" s="1070"/>
      <c r="BK291" s="1070"/>
      <c r="BL291" s="1070"/>
      <c r="BM291" s="1070"/>
      <c r="BN291" s="1070"/>
      <c r="BO291" s="1070"/>
      <c r="BP291" s="1070"/>
      <c r="BQ291" s="1070"/>
      <c r="BR291" s="1070"/>
      <c r="BS291" s="1070"/>
      <c r="BT291" s="1070"/>
      <c r="BU291" s="1070"/>
      <c r="BV291" s="1070"/>
      <c r="BW291" s="1070"/>
      <c r="BX291" s="1070"/>
      <c r="BY291" s="1070"/>
      <c r="BZ291" s="1070"/>
      <c r="CA291" s="1070"/>
      <c r="CB291" s="1070"/>
      <c r="CC291" s="1070"/>
      <c r="CD291" s="1070"/>
      <c r="CE291" s="1070"/>
      <c r="CF291" s="1070"/>
      <c r="CG291" s="1070"/>
      <c r="CH291" s="1070"/>
      <c r="CI291" s="1070"/>
      <c r="CJ291" s="1070"/>
      <c r="CK291" s="1070"/>
      <c r="CL291" s="1070"/>
      <c r="CM291" s="1070"/>
      <c r="CN291" s="1070"/>
      <c r="CO291" s="1070"/>
      <c r="CP291" s="1070"/>
      <c r="CQ291" s="1070"/>
      <c r="CR291" s="1070"/>
      <c r="CS291" s="1070"/>
      <c r="CT291" s="1070"/>
      <c r="CU291" s="1070"/>
      <c r="CV291" s="1070"/>
      <c r="CW291" s="1070"/>
      <c r="CX291" s="1070"/>
      <c r="CY291" s="1070"/>
      <c r="CZ291" s="1070"/>
      <c r="DA291" s="1070"/>
      <c r="DB291" s="1070"/>
      <c r="DC291" s="1070"/>
      <c r="DD291" s="1070"/>
      <c r="DE291" s="1070"/>
      <c r="DF291" s="1070"/>
      <c r="DG291" s="1070"/>
      <c r="DH291" s="1070"/>
      <c r="DI291" s="1070"/>
    </row>
    <row r="292" spans="1:113" ht="15.75" x14ac:dyDescent="0.25">
      <c r="A292" s="1392" t="s">
        <v>2941</v>
      </c>
      <c r="B292" s="1394">
        <f>IF(B225&gt;2,2,3)</f>
        <v>3</v>
      </c>
      <c r="C292" s="1384"/>
      <c r="D292" s="1384"/>
      <c r="E292" s="1384"/>
      <c r="F292" s="1384"/>
      <c r="G292" s="1384"/>
      <c r="H292" s="1070"/>
      <c r="I292" s="1070"/>
      <c r="J292" s="1315"/>
      <c r="K292" s="1316"/>
      <c r="L292" s="1316"/>
      <c r="M292" s="1315"/>
      <c r="N292" s="1070"/>
      <c r="O292" s="1070"/>
      <c r="P292" s="1070"/>
      <c r="Q292" s="1070"/>
      <c r="R292" s="1070"/>
      <c r="S292" s="1070"/>
      <c r="T292" s="1070"/>
      <c r="U292" s="1070"/>
      <c r="V292" s="1070"/>
      <c r="W292" s="1070"/>
      <c r="X292" s="1070"/>
      <c r="Y292" s="1070"/>
      <c r="Z292" s="1070"/>
      <c r="AA292" s="1070"/>
      <c r="AB292" s="1070"/>
      <c r="AC292" s="1070"/>
      <c r="AD292" s="1070"/>
      <c r="AE292" s="1070"/>
      <c r="AF292" s="1070"/>
      <c r="AG292" s="1070"/>
      <c r="AH292" s="1070"/>
      <c r="AI292" s="1070"/>
      <c r="AJ292" s="1070"/>
      <c r="AK292" s="1070"/>
      <c r="AL292" s="1070"/>
      <c r="AM292" s="1070"/>
      <c r="AN292" s="1070"/>
      <c r="AO292" s="1070"/>
      <c r="AP292" s="1070"/>
      <c r="AQ292" s="1070"/>
      <c r="AR292" s="1070"/>
      <c r="AS292" s="1070"/>
      <c r="AT292" s="1070"/>
      <c r="AU292" s="1070"/>
      <c r="AV292" s="1070"/>
      <c r="AW292" s="1070"/>
      <c r="AX292" s="1070"/>
      <c r="AY292" s="1070"/>
      <c r="AZ292" s="1070"/>
      <c r="BA292" s="1070"/>
      <c r="BB292" s="1070"/>
      <c r="BC292" s="1070"/>
      <c r="BD292" s="1070"/>
      <c r="BE292" s="1070"/>
      <c r="BF292" s="1070"/>
      <c r="BG292" s="1070"/>
      <c r="BH292" s="1070"/>
      <c r="BI292" s="1070"/>
      <c r="BJ292" s="1070"/>
      <c r="BK292" s="1070"/>
      <c r="BL292" s="1070"/>
      <c r="BM292" s="1070"/>
      <c r="BN292" s="1070"/>
      <c r="BO292" s="1070"/>
      <c r="BP292" s="1070"/>
      <c r="BQ292" s="1070"/>
      <c r="BR292" s="1070"/>
      <c r="BS292" s="1070"/>
      <c r="BT292" s="1070"/>
      <c r="BU292" s="1070"/>
      <c r="BV292" s="1070"/>
      <c r="BW292" s="1070"/>
      <c r="BX292" s="1070"/>
      <c r="BY292" s="1070"/>
      <c r="BZ292" s="1070"/>
      <c r="CA292" s="1070"/>
      <c r="CB292" s="1070"/>
      <c r="CC292" s="1070"/>
      <c r="CD292" s="1070"/>
      <c r="CE292" s="1070"/>
      <c r="CF292" s="1070"/>
      <c r="CG292" s="1070"/>
      <c r="CH292" s="1070"/>
      <c r="CI292" s="1070"/>
      <c r="CJ292" s="1070"/>
      <c r="CK292" s="1070"/>
      <c r="CL292" s="1070"/>
      <c r="CM292" s="1070"/>
      <c r="CN292" s="1070"/>
      <c r="CO292" s="1070"/>
      <c r="CP292" s="1070"/>
      <c r="CQ292" s="1070"/>
      <c r="CR292" s="1070"/>
      <c r="CS292" s="1070"/>
      <c r="CT292" s="1070"/>
      <c r="CU292" s="1070"/>
      <c r="CV292" s="1070"/>
      <c r="CW292" s="1070"/>
      <c r="CX292" s="1070"/>
      <c r="CY292" s="1070"/>
      <c r="CZ292" s="1070"/>
      <c r="DA292" s="1070"/>
      <c r="DB292" s="1070"/>
      <c r="DC292" s="1070"/>
      <c r="DD292" s="1070"/>
      <c r="DE292" s="1070"/>
      <c r="DF292" s="1070"/>
      <c r="DG292" s="1070"/>
      <c r="DH292" s="1070"/>
      <c r="DI292" s="1070"/>
    </row>
    <row r="293" spans="1:113" ht="15.75" x14ac:dyDescent="0.25">
      <c r="A293" s="1392" t="s">
        <v>2942</v>
      </c>
      <c r="B293" s="1394">
        <f>B245</f>
        <v>0.98</v>
      </c>
      <c r="C293" s="1384"/>
      <c r="D293" s="1384"/>
      <c r="E293" s="1384"/>
      <c r="F293" s="1384"/>
      <c r="G293" s="1384"/>
      <c r="H293" s="1070"/>
      <c r="I293" s="1070"/>
      <c r="J293" s="1315"/>
      <c r="K293" s="1316"/>
      <c r="L293" s="1316"/>
      <c r="M293" s="1315"/>
      <c r="N293" s="1070"/>
      <c r="O293" s="1070"/>
      <c r="P293" s="1070"/>
      <c r="Q293" s="1070"/>
      <c r="R293" s="1070"/>
      <c r="S293" s="1070"/>
      <c r="T293" s="1070"/>
      <c r="U293" s="1070"/>
      <c r="V293" s="1070"/>
      <c r="W293" s="1070"/>
      <c r="X293" s="1070"/>
      <c r="Y293" s="1070"/>
      <c r="Z293" s="1070"/>
      <c r="AA293" s="1070"/>
      <c r="AB293" s="1070"/>
      <c r="AC293" s="1070"/>
      <c r="AD293" s="1070"/>
      <c r="AE293" s="1070"/>
      <c r="AF293" s="1070"/>
      <c r="AG293" s="1070"/>
      <c r="AH293" s="1070"/>
      <c r="AI293" s="1070"/>
      <c r="AJ293" s="1070"/>
      <c r="AK293" s="1070"/>
      <c r="AL293" s="1070"/>
      <c r="AM293" s="1070"/>
      <c r="AN293" s="1070"/>
      <c r="AO293" s="1070"/>
      <c r="AP293" s="1070"/>
      <c r="AQ293" s="1070"/>
      <c r="AR293" s="1070"/>
      <c r="AS293" s="1070"/>
      <c r="AT293" s="1070"/>
      <c r="AU293" s="1070"/>
      <c r="AV293" s="1070"/>
      <c r="AW293" s="1070"/>
      <c r="AX293" s="1070"/>
      <c r="AY293" s="1070"/>
      <c r="AZ293" s="1070"/>
      <c r="BA293" s="1070"/>
      <c r="BB293" s="1070"/>
      <c r="BC293" s="1070"/>
      <c r="BD293" s="1070"/>
      <c r="BE293" s="1070"/>
      <c r="BF293" s="1070"/>
      <c r="BG293" s="1070"/>
      <c r="BH293" s="1070"/>
      <c r="BI293" s="1070"/>
      <c r="BJ293" s="1070"/>
      <c r="BK293" s="1070"/>
      <c r="BL293" s="1070"/>
      <c r="BM293" s="1070"/>
      <c r="BN293" s="1070"/>
      <c r="BO293" s="1070"/>
      <c r="BP293" s="1070"/>
      <c r="BQ293" s="1070"/>
      <c r="BR293" s="1070"/>
      <c r="BS293" s="1070"/>
      <c r="BT293" s="1070"/>
      <c r="BU293" s="1070"/>
      <c r="BV293" s="1070"/>
      <c r="BW293" s="1070"/>
      <c r="BX293" s="1070"/>
      <c r="BY293" s="1070"/>
      <c r="BZ293" s="1070"/>
      <c r="CA293" s="1070"/>
      <c r="CB293" s="1070"/>
      <c r="CC293" s="1070"/>
      <c r="CD293" s="1070"/>
      <c r="CE293" s="1070"/>
      <c r="CF293" s="1070"/>
      <c r="CG293" s="1070"/>
      <c r="CH293" s="1070"/>
      <c r="CI293" s="1070"/>
      <c r="CJ293" s="1070"/>
      <c r="CK293" s="1070"/>
      <c r="CL293" s="1070"/>
      <c r="CM293" s="1070"/>
      <c r="CN293" s="1070"/>
      <c r="CO293" s="1070"/>
      <c r="CP293" s="1070"/>
      <c r="CQ293" s="1070"/>
      <c r="CR293" s="1070"/>
      <c r="CS293" s="1070"/>
      <c r="CT293" s="1070"/>
      <c r="CU293" s="1070"/>
      <c r="CV293" s="1070"/>
      <c r="CW293" s="1070"/>
      <c r="CX293" s="1070"/>
      <c r="CY293" s="1070"/>
      <c r="CZ293" s="1070"/>
      <c r="DA293" s="1070"/>
      <c r="DB293" s="1070"/>
      <c r="DC293" s="1070"/>
      <c r="DD293" s="1070"/>
      <c r="DE293" s="1070"/>
      <c r="DF293" s="1070"/>
      <c r="DG293" s="1070"/>
      <c r="DH293" s="1070"/>
      <c r="DI293" s="1070"/>
    </row>
    <row r="294" spans="1:113" ht="63" x14ac:dyDescent="0.25">
      <c r="A294" s="875" t="s">
        <v>2943</v>
      </c>
      <c r="B294" s="1394" t="str">
        <f>B224</f>
        <v/>
      </c>
      <c r="C294" s="1384"/>
      <c r="D294" s="1384"/>
      <c r="E294" s="1384"/>
      <c r="F294" s="1384"/>
      <c r="G294" s="1384"/>
      <c r="H294" s="1070"/>
      <c r="I294" s="1070"/>
      <c r="J294" s="1315"/>
      <c r="K294" s="1316"/>
      <c r="L294" s="1316"/>
      <c r="M294" s="1315"/>
      <c r="N294" s="1070"/>
      <c r="O294" s="1070"/>
      <c r="P294" s="1070"/>
      <c r="Q294" s="1070"/>
      <c r="R294" s="1070"/>
      <c r="S294" s="1070"/>
      <c r="T294" s="1070"/>
      <c r="U294" s="1070"/>
      <c r="V294" s="1070"/>
      <c r="W294" s="1070"/>
      <c r="X294" s="1070"/>
      <c r="Y294" s="1070"/>
      <c r="Z294" s="1070"/>
      <c r="AA294" s="1070"/>
      <c r="AB294" s="1070"/>
      <c r="AC294" s="1070"/>
      <c r="AD294" s="1070"/>
      <c r="AE294" s="1070"/>
      <c r="AF294" s="1070"/>
      <c r="AG294" s="1070"/>
      <c r="AH294" s="1070"/>
      <c r="AI294" s="1070"/>
      <c r="AJ294" s="1070"/>
      <c r="AK294" s="1070"/>
      <c r="AL294" s="1070"/>
      <c r="AM294" s="1070"/>
      <c r="AN294" s="1070"/>
      <c r="AO294" s="1070"/>
      <c r="AP294" s="1070"/>
      <c r="AQ294" s="1070"/>
      <c r="AR294" s="1070"/>
      <c r="AS294" s="1070"/>
      <c r="AT294" s="1070"/>
      <c r="AU294" s="1070"/>
      <c r="AV294" s="1070"/>
      <c r="AW294" s="1070"/>
      <c r="AX294" s="1070"/>
      <c r="AY294" s="1070"/>
      <c r="AZ294" s="1070"/>
      <c r="BA294" s="1070"/>
      <c r="BB294" s="1070"/>
      <c r="BC294" s="1070"/>
      <c r="BD294" s="1070"/>
      <c r="BE294" s="1070"/>
      <c r="BF294" s="1070"/>
      <c r="BG294" s="1070"/>
      <c r="BH294" s="1070"/>
      <c r="BI294" s="1070"/>
      <c r="BJ294" s="1070"/>
      <c r="BK294" s="1070"/>
      <c r="BL294" s="1070"/>
      <c r="BM294" s="1070"/>
      <c r="BN294" s="1070"/>
      <c r="BO294" s="1070"/>
      <c r="BP294" s="1070"/>
      <c r="BQ294" s="1070"/>
      <c r="BR294" s="1070"/>
      <c r="BS294" s="1070"/>
      <c r="BT294" s="1070"/>
      <c r="BU294" s="1070"/>
      <c r="BV294" s="1070"/>
      <c r="BW294" s="1070"/>
      <c r="BX294" s="1070"/>
      <c r="BY294" s="1070"/>
      <c r="BZ294" s="1070"/>
      <c r="CA294" s="1070"/>
      <c r="CB294" s="1070"/>
      <c r="CC294" s="1070"/>
      <c r="CD294" s="1070"/>
      <c r="CE294" s="1070"/>
      <c r="CF294" s="1070"/>
      <c r="CG294" s="1070"/>
      <c r="CH294" s="1070"/>
      <c r="CI294" s="1070"/>
      <c r="CJ294" s="1070"/>
      <c r="CK294" s="1070"/>
      <c r="CL294" s="1070"/>
      <c r="CM294" s="1070"/>
      <c r="CN294" s="1070"/>
      <c r="CO294" s="1070"/>
      <c r="CP294" s="1070"/>
      <c r="CQ294" s="1070"/>
      <c r="CR294" s="1070"/>
      <c r="CS294" s="1070"/>
      <c r="CT294" s="1070"/>
      <c r="CU294" s="1070"/>
      <c r="CV294" s="1070"/>
      <c r="CW294" s="1070"/>
      <c r="CX294" s="1070"/>
      <c r="CY294" s="1070"/>
      <c r="CZ294" s="1070"/>
      <c r="DA294" s="1070"/>
      <c r="DB294" s="1070"/>
      <c r="DC294" s="1070"/>
      <c r="DD294" s="1070"/>
      <c r="DE294" s="1070"/>
      <c r="DF294" s="1070"/>
      <c r="DG294" s="1070"/>
      <c r="DH294" s="1070"/>
      <c r="DI294" s="1070"/>
    </row>
    <row r="295" spans="1:113" ht="63" x14ac:dyDescent="0.25">
      <c r="A295" s="875" t="s">
        <v>3161</v>
      </c>
      <c r="B295" s="1394">
        <f>B225</f>
        <v>1</v>
      </c>
      <c r="C295" s="1384"/>
      <c r="D295" s="1384"/>
      <c r="E295" s="1384"/>
      <c r="F295" s="1384"/>
      <c r="G295" s="1384"/>
      <c r="H295" s="1070"/>
      <c r="I295" s="1070"/>
      <c r="J295" s="1315"/>
      <c r="K295" s="1316"/>
      <c r="L295" s="1316"/>
      <c r="M295" s="1315"/>
      <c r="N295" s="1070"/>
      <c r="O295" s="1070"/>
      <c r="P295" s="1070"/>
      <c r="Q295" s="1070"/>
      <c r="R295" s="1070"/>
      <c r="S295" s="1070"/>
      <c r="T295" s="1070"/>
      <c r="U295" s="1070"/>
      <c r="V295" s="1070"/>
      <c r="W295" s="1070"/>
      <c r="X295" s="1070"/>
      <c r="Y295" s="1070"/>
      <c r="Z295" s="1070"/>
      <c r="AA295" s="1070"/>
      <c r="AB295" s="1070"/>
      <c r="AC295" s="1070"/>
      <c r="AD295" s="1070"/>
      <c r="AE295" s="1070"/>
      <c r="AF295" s="1070"/>
      <c r="AG295" s="1070"/>
      <c r="AH295" s="1070"/>
      <c r="AI295" s="1070"/>
      <c r="AJ295" s="1070"/>
      <c r="AK295" s="1070"/>
      <c r="AL295" s="1070"/>
      <c r="AM295" s="1070"/>
      <c r="AN295" s="1070"/>
      <c r="AO295" s="1070"/>
      <c r="AP295" s="1070"/>
      <c r="AQ295" s="1070"/>
      <c r="AR295" s="1070"/>
      <c r="AS295" s="1070"/>
      <c r="AT295" s="1070"/>
      <c r="AU295" s="1070"/>
      <c r="AV295" s="1070"/>
      <c r="AW295" s="1070"/>
      <c r="AX295" s="1070"/>
      <c r="AY295" s="1070"/>
      <c r="AZ295" s="1070"/>
      <c r="BA295" s="1070"/>
      <c r="BB295" s="1070"/>
      <c r="BC295" s="1070"/>
      <c r="BD295" s="1070"/>
      <c r="BE295" s="1070"/>
      <c r="BF295" s="1070"/>
      <c r="BG295" s="1070"/>
      <c r="BH295" s="1070"/>
      <c r="BI295" s="1070"/>
      <c r="BJ295" s="1070"/>
      <c r="BK295" s="1070"/>
      <c r="BL295" s="1070"/>
      <c r="BM295" s="1070"/>
      <c r="BN295" s="1070"/>
      <c r="BO295" s="1070"/>
      <c r="BP295" s="1070"/>
      <c r="BQ295" s="1070"/>
      <c r="BR295" s="1070"/>
      <c r="BS295" s="1070"/>
      <c r="BT295" s="1070"/>
      <c r="BU295" s="1070"/>
      <c r="BV295" s="1070"/>
      <c r="BW295" s="1070"/>
      <c r="BX295" s="1070"/>
      <c r="BY295" s="1070"/>
      <c r="BZ295" s="1070"/>
      <c r="CA295" s="1070"/>
      <c r="CB295" s="1070"/>
      <c r="CC295" s="1070"/>
      <c r="CD295" s="1070"/>
      <c r="CE295" s="1070"/>
      <c r="CF295" s="1070"/>
      <c r="CG295" s="1070"/>
      <c r="CH295" s="1070"/>
      <c r="CI295" s="1070"/>
      <c r="CJ295" s="1070"/>
      <c r="CK295" s="1070"/>
      <c r="CL295" s="1070"/>
      <c r="CM295" s="1070"/>
      <c r="CN295" s="1070"/>
      <c r="CO295" s="1070"/>
      <c r="CP295" s="1070"/>
      <c r="CQ295" s="1070"/>
      <c r="CR295" s="1070"/>
      <c r="CS295" s="1070"/>
      <c r="CT295" s="1070"/>
      <c r="CU295" s="1070"/>
      <c r="CV295" s="1070"/>
      <c r="CW295" s="1070"/>
      <c r="CX295" s="1070"/>
      <c r="CY295" s="1070"/>
      <c r="CZ295" s="1070"/>
      <c r="DA295" s="1070"/>
      <c r="DB295" s="1070"/>
      <c r="DC295" s="1070"/>
      <c r="DD295" s="1070"/>
      <c r="DE295" s="1070"/>
      <c r="DF295" s="1070"/>
      <c r="DG295" s="1070"/>
      <c r="DH295" s="1070"/>
      <c r="DI295" s="1070"/>
    </row>
    <row r="296" spans="1:113" ht="15.75" x14ac:dyDescent="0.25">
      <c r="A296" s="1392" t="s">
        <v>3162</v>
      </c>
      <c r="B296" s="1394" t="e">
        <f>B226</f>
        <v>#VALUE!</v>
      </c>
      <c r="C296" s="1384"/>
      <c r="D296" s="1384"/>
      <c r="E296" s="1384"/>
      <c r="F296" s="1384"/>
      <c r="G296" s="1384"/>
      <c r="H296" s="1070"/>
      <c r="I296" s="1070"/>
      <c r="J296" s="1315"/>
      <c r="K296" s="1316"/>
      <c r="L296" s="1316"/>
      <c r="M296" s="1315"/>
      <c r="N296" s="1070"/>
      <c r="O296" s="1070"/>
      <c r="P296" s="1070"/>
      <c r="Q296" s="1070"/>
      <c r="R296" s="1070"/>
      <c r="S296" s="1070"/>
      <c r="T296" s="1070"/>
      <c r="U296" s="1070"/>
      <c r="V296" s="1070"/>
      <c r="W296" s="1070"/>
      <c r="X296" s="1070"/>
      <c r="Y296" s="1070"/>
      <c r="Z296" s="1070"/>
      <c r="AA296" s="1070"/>
      <c r="AB296" s="1070"/>
      <c r="AC296" s="1070"/>
      <c r="AD296" s="1070"/>
      <c r="AE296" s="1070"/>
      <c r="AF296" s="1070"/>
      <c r="AG296" s="1070"/>
      <c r="AH296" s="1070"/>
      <c r="AI296" s="1070"/>
      <c r="AJ296" s="1070"/>
      <c r="AK296" s="1070"/>
      <c r="AL296" s="1070"/>
      <c r="AM296" s="1070"/>
      <c r="AN296" s="1070"/>
      <c r="AO296" s="1070"/>
      <c r="AP296" s="1070"/>
      <c r="AQ296" s="1070"/>
      <c r="AR296" s="1070"/>
      <c r="AS296" s="1070"/>
      <c r="AT296" s="1070"/>
      <c r="AU296" s="1070"/>
      <c r="AV296" s="1070"/>
      <c r="AW296" s="1070"/>
      <c r="AX296" s="1070"/>
      <c r="AY296" s="1070"/>
      <c r="AZ296" s="1070"/>
      <c r="BA296" s="1070"/>
      <c r="BB296" s="1070"/>
      <c r="BC296" s="1070"/>
      <c r="BD296" s="1070"/>
      <c r="BE296" s="1070"/>
      <c r="BF296" s="1070"/>
      <c r="BG296" s="1070"/>
      <c r="BH296" s="1070"/>
      <c r="BI296" s="1070"/>
      <c r="BJ296" s="1070"/>
      <c r="BK296" s="1070"/>
      <c r="BL296" s="1070"/>
      <c r="BM296" s="1070"/>
      <c r="BN296" s="1070"/>
      <c r="BO296" s="1070"/>
      <c r="BP296" s="1070"/>
      <c r="BQ296" s="1070"/>
      <c r="BR296" s="1070"/>
      <c r="BS296" s="1070"/>
      <c r="BT296" s="1070"/>
      <c r="BU296" s="1070"/>
      <c r="BV296" s="1070"/>
      <c r="BW296" s="1070"/>
      <c r="BX296" s="1070"/>
      <c r="BY296" s="1070"/>
      <c r="BZ296" s="1070"/>
      <c r="CA296" s="1070"/>
      <c r="CB296" s="1070"/>
      <c r="CC296" s="1070"/>
      <c r="CD296" s="1070"/>
      <c r="CE296" s="1070"/>
      <c r="CF296" s="1070"/>
      <c r="CG296" s="1070"/>
      <c r="CH296" s="1070"/>
      <c r="CI296" s="1070"/>
      <c r="CJ296" s="1070"/>
      <c r="CK296" s="1070"/>
      <c r="CL296" s="1070"/>
      <c r="CM296" s="1070"/>
      <c r="CN296" s="1070"/>
      <c r="CO296" s="1070"/>
      <c r="CP296" s="1070"/>
      <c r="CQ296" s="1070"/>
      <c r="CR296" s="1070"/>
      <c r="CS296" s="1070"/>
      <c r="CT296" s="1070"/>
      <c r="CU296" s="1070"/>
      <c r="CV296" s="1070"/>
      <c r="CW296" s="1070"/>
      <c r="CX296" s="1070"/>
      <c r="CY296" s="1070"/>
      <c r="CZ296" s="1070"/>
      <c r="DA296" s="1070"/>
      <c r="DB296" s="1070"/>
      <c r="DC296" s="1070"/>
      <c r="DD296" s="1070"/>
      <c r="DE296" s="1070"/>
      <c r="DF296" s="1070"/>
      <c r="DG296" s="1070"/>
      <c r="DH296" s="1070"/>
      <c r="DI296" s="1070"/>
    </row>
    <row r="297" spans="1:113" ht="15.75" x14ac:dyDescent="0.25">
      <c r="A297" s="1392" t="s">
        <v>4057</v>
      </c>
      <c r="B297" s="1394" t="str">
        <f>B232</f>
        <v/>
      </c>
      <c r="C297" s="1384"/>
      <c r="D297" s="1384"/>
      <c r="E297" s="1384"/>
      <c r="F297" s="1384"/>
      <c r="G297" s="1384"/>
      <c r="H297" s="1070"/>
      <c r="I297" s="1070"/>
      <c r="J297" s="1315"/>
      <c r="K297" s="1316"/>
      <c r="L297" s="1316"/>
      <c r="M297" s="1315"/>
      <c r="N297" s="1070"/>
      <c r="O297" s="1070"/>
      <c r="P297" s="1070"/>
      <c r="Q297" s="1070"/>
      <c r="R297" s="1070"/>
      <c r="S297" s="1070"/>
      <c r="T297" s="1070"/>
      <c r="U297" s="1070"/>
      <c r="V297" s="1070"/>
      <c r="W297" s="1070"/>
      <c r="X297" s="1070"/>
      <c r="Y297" s="1070"/>
      <c r="Z297" s="1070"/>
      <c r="AA297" s="1070"/>
      <c r="AB297" s="1070"/>
      <c r="AC297" s="1070"/>
      <c r="AD297" s="1070"/>
      <c r="AE297" s="1070"/>
      <c r="AF297" s="1070"/>
      <c r="AG297" s="1070"/>
      <c r="AH297" s="1070"/>
      <c r="AI297" s="1070"/>
      <c r="AJ297" s="1070"/>
      <c r="AK297" s="1070"/>
      <c r="AL297" s="1070"/>
      <c r="AM297" s="1070"/>
      <c r="AN297" s="1070"/>
      <c r="AO297" s="1070"/>
      <c r="AP297" s="1070"/>
      <c r="AQ297" s="1070"/>
      <c r="AR297" s="1070"/>
      <c r="AS297" s="1070"/>
      <c r="AT297" s="1070"/>
      <c r="AU297" s="1070"/>
      <c r="AV297" s="1070"/>
      <c r="AW297" s="1070"/>
      <c r="AX297" s="1070"/>
      <c r="AY297" s="1070"/>
      <c r="AZ297" s="1070"/>
      <c r="BA297" s="1070"/>
      <c r="BB297" s="1070"/>
      <c r="BC297" s="1070"/>
      <c r="BD297" s="1070"/>
      <c r="BE297" s="1070"/>
      <c r="BF297" s="1070"/>
      <c r="BG297" s="1070"/>
      <c r="BH297" s="1070"/>
      <c r="BI297" s="1070"/>
      <c r="BJ297" s="1070"/>
      <c r="BK297" s="1070"/>
      <c r="BL297" s="1070"/>
      <c r="BM297" s="1070"/>
      <c r="BN297" s="1070"/>
      <c r="BO297" s="1070"/>
      <c r="BP297" s="1070"/>
      <c r="BQ297" s="1070"/>
      <c r="BR297" s="1070"/>
      <c r="BS297" s="1070"/>
      <c r="BT297" s="1070"/>
      <c r="BU297" s="1070"/>
      <c r="BV297" s="1070"/>
      <c r="BW297" s="1070"/>
      <c r="BX297" s="1070"/>
      <c r="BY297" s="1070"/>
      <c r="BZ297" s="1070"/>
      <c r="CA297" s="1070"/>
      <c r="CB297" s="1070"/>
      <c r="CC297" s="1070"/>
      <c r="CD297" s="1070"/>
      <c r="CE297" s="1070"/>
      <c r="CF297" s="1070"/>
      <c r="CG297" s="1070"/>
      <c r="CH297" s="1070"/>
      <c r="CI297" s="1070"/>
      <c r="CJ297" s="1070"/>
      <c r="CK297" s="1070"/>
      <c r="CL297" s="1070"/>
      <c r="CM297" s="1070"/>
      <c r="CN297" s="1070"/>
      <c r="CO297" s="1070"/>
      <c r="CP297" s="1070"/>
      <c r="CQ297" s="1070"/>
      <c r="CR297" s="1070"/>
      <c r="CS297" s="1070"/>
      <c r="CT297" s="1070"/>
      <c r="CU297" s="1070"/>
      <c r="CV297" s="1070"/>
      <c r="CW297" s="1070"/>
      <c r="CX297" s="1070"/>
      <c r="CY297" s="1070"/>
      <c r="CZ297" s="1070"/>
      <c r="DA297" s="1070"/>
      <c r="DB297" s="1070"/>
      <c r="DC297" s="1070"/>
      <c r="DD297" s="1070"/>
      <c r="DE297" s="1070"/>
      <c r="DF297" s="1070"/>
      <c r="DG297" s="1070"/>
      <c r="DH297" s="1070"/>
      <c r="DI297" s="1070"/>
    </row>
    <row r="298" spans="1:113" ht="15.75" x14ac:dyDescent="0.25">
      <c r="A298" s="875" t="s">
        <v>5251</v>
      </c>
      <c r="B298" s="1396">
        <f>B257</f>
        <v>1</v>
      </c>
      <c r="C298" s="1384"/>
      <c r="D298" s="1384"/>
      <c r="E298" s="1384"/>
      <c r="F298" s="1384"/>
      <c r="G298" s="1384"/>
      <c r="H298" s="1070"/>
      <c r="I298" s="1070"/>
      <c r="J298" s="1315"/>
      <c r="K298" s="1316"/>
      <c r="L298" s="1316"/>
      <c r="M298" s="1315"/>
      <c r="N298" s="1070"/>
      <c r="O298" s="1070"/>
      <c r="P298" s="1070"/>
      <c r="Q298" s="1070"/>
      <c r="R298" s="1070"/>
      <c r="S298" s="1070"/>
      <c r="T298" s="1070"/>
      <c r="U298" s="1070"/>
      <c r="V298" s="1070"/>
      <c r="W298" s="1070"/>
      <c r="X298" s="1070"/>
      <c r="Y298" s="1070"/>
      <c r="Z298" s="1070"/>
      <c r="AA298" s="1070"/>
      <c r="AB298" s="1070"/>
      <c r="AC298" s="1070"/>
      <c r="AD298" s="1070"/>
      <c r="AE298" s="1070"/>
      <c r="AF298" s="1070"/>
      <c r="AG298" s="1070"/>
      <c r="AH298" s="1070"/>
      <c r="AI298" s="1070"/>
      <c r="AJ298" s="1070"/>
      <c r="AK298" s="1070"/>
      <c r="AL298" s="1070"/>
      <c r="AM298" s="1070"/>
      <c r="AN298" s="1070"/>
      <c r="AO298" s="1070"/>
      <c r="AP298" s="1070"/>
      <c r="AQ298" s="1070"/>
      <c r="AR298" s="1070"/>
      <c r="AS298" s="1070"/>
      <c r="AT298" s="1070"/>
      <c r="AU298" s="1070"/>
      <c r="AV298" s="1070"/>
      <c r="AW298" s="1070"/>
      <c r="AX298" s="1070"/>
      <c r="AY298" s="1070"/>
      <c r="AZ298" s="1070"/>
      <c r="BA298" s="1070"/>
      <c r="BB298" s="1070"/>
      <c r="BC298" s="1070"/>
      <c r="BD298" s="1070"/>
      <c r="BE298" s="1070"/>
      <c r="BF298" s="1070"/>
      <c r="BG298" s="1070"/>
      <c r="BH298" s="1070"/>
      <c r="BI298" s="1070"/>
      <c r="BJ298" s="1070"/>
      <c r="BK298" s="1070"/>
      <c r="BL298" s="1070"/>
      <c r="BM298" s="1070"/>
      <c r="BN298" s="1070"/>
      <c r="BO298" s="1070"/>
      <c r="BP298" s="1070"/>
      <c r="BQ298" s="1070"/>
      <c r="BR298" s="1070"/>
      <c r="BS298" s="1070"/>
      <c r="BT298" s="1070"/>
      <c r="BU298" s="1070"/>
      <c r="BV298" s="1070"/>
      <c r="BW298" s="1070"/>
      <c r="BX298" s="1070"/>
      <c r="BY298" s="1070"/>
      <c r="BZ298" s="1070"/>
      <c r="CA298" s="1070"/>
      <c r="CB298" s="1070"/>
      <c r="CC298" s="1070"/>
      <c r="CD298" s="1070"/>
      <c r="CE298" s="1070"/>
      <c r="CF298" s="1070"/>
      <c r="CG298" s="1070"/>
      <c r="CH298" s="1070"/>
      <c r="CI298" s="1070"/>
      <c r="CJ298" s="1070"/>
      <c r="CK298" s="1070"/>
      <c r="CL298" s="1070"/>
      <c r="CM298" s="1070"/>
      <c r="CN298" s="1070"/>
      <c r="CO298" s="1070"/>
      <c r="CP298" s="1070"/>
      <c r="CQ298" s="1070"/>
      <c r="CR298" s="1070"/>
      <c r="CS298" s="1070"/>
      <c r="CT298" s="1070"/>
      <c r="CU298" s="1070"/>
      <c r="CV298" s="1070"/>
      <c r="CW298" s="1070"/>
      <c r="CX298" s="1070"/>
      <c r="CY298" s="1070"/>
      <c r="CZ298" s="1070"/>
      <c r="DA298" s="1070"/>
      <c r="DB298" s="1070"/>
      <c r="DC298" s="1070"/>
      <c r="DD298" s="1070"/>
      <c r="DE298" s="1070"/>
      <c r="DF298" s="1070"/>
      <c r="DG298" s="1070"/>
      <c r="DH298" s="1070"/>
      <c r="DI298" s="1070"/>
    </row>
    <row r="299" spans="1:113" ht="31.5" x14ac:dyDescent="0.25">
      <c r="A299" s="875" t="s">
        <v>4236</v>
      </c>
      <c r="B299" s="1394">
        <f>B288</f>
        <v>0</v>
      </c>
      <c r="C299" s="1384"/>
      <c r="D299" s="1384"/>
      <c r="E299" s="1384"/>
      <c r="F299" s="1384"/>
      <c r="G299" s="1384"/>
      <c r="H299" s="1070"/>
      <c r="I299" s="1070"/>
      <c r="J299" s="1315"/>
      <c r="K299" s="1316"/>
      <c r="L299" s="1316"/>
      <c r="M299" s="1315"/>
      <c r="N299" s="1070"/>
      <c r="O299" s="1070"/>
      <c r="P299" s="1070"/>
      <c r="Q299" s="1070"/>
      <c r="R299" s="1070"/>
      <c r="S299" s="1070"/>
      <c r="T299" s="1070"/>
      <c r="U299" s="1070"/>
      <c r="V299" s="1070"/>
      <c r="W299" s="1070"/>
      <c r="X299" s="1070"/>
      <c r="Y299" s="1070"/>
      <c r="Z299" s="1070"/>
      <c r="AA299" s="1070"/>
      <c r="AB299" s="1070"/>
      <c r="AC299" s="1070"/>
      <c r="AD299" s="1070"/>
      <c r="AE299" s="1070"/>
      <c r="AF299" s="1070"/>
      <c r="AG299" s="1070"/>
      <c r="AH299" s="1070"/>
      <c r="AI299" s="1070"/>
      <c r="AJ299" s="1070"/>
      <c r="AK299" s="1070"/>
      <c r="AL299" s="1070"/>
      <c r="AM299" s="1070"/>
      <c r="AN299" s="1070"/>
      <c r="AO299" s="1070"/>
      <c r="AP299" s="1070"/>
      <c r="AQ299" s="1070"/>
      <c r="AR299" s="1070"/>
      <c r="AS299" s="1070"/>
      <c r="AT299" s="1070"/>
      <c r="AU299" s="1070"/>
      <c r="AV299" s="1070"/>
      <c r="AW299" s="1070"/>
      <c r="AX299" s="1070"/>
      <c r="AY299" s="1070"/>
      <c r="AZ299" s="1070"/>
      <c r="BA299" s="1070"/>
      <c r="BB299" s="1070"/>
      <c r="BC299" s="1070"/>
      <c r="BD299" s="1070"/>
      <c r="BE299" s="1070"/>
      <c r="BF299" s="1070"/>
      <c r="BG299" s="1070"/>
      <c r="BH299" s="1070"/>
      <c r="BI299" s="1070"/>
      <c r="BJ299" s="1070"/>
      <c r="BK299" s="1070"/>
      <c r="BL299" s="1070"/>
      <c r="BM299" s="1070"/>
      <c r="BN299" s="1070"/>
      <c r="BO299" s="1070"/>
      <c r="BP299" s="1070"/>
      <c r="BQ299" s="1070"/>
      <c r="BR299" s="1070"/>
      <c r="BS299" s="1070"/>
      <c r="BT299" s="1070"/>
      <c r="BU299" s="1070"/>
      <c r="BV299" s="1070"/>
      <c r="BW299" s="1070"/>
      <c r="BX299" s="1070"/>
      <c r="BY299" s="1070"/>
      <c r="BZ299" s="1070"/>
      <c r="CA299" s="1070"/>
      <c r="CB299" s="1070"/>
      <c r="CC299" s="1070"/>
      <c r="CD299" s="1070"/>
      <c r="CE299" s="1070"/>
      <c r="CF299" s="1070"/>
      <c r="CG299" s="1070"/>
      <c r="CH299" s="1070"/>
      <c r="CI299" s="1070"/>
      <c r="CJ299" s="1070"/>
      <c r="CK299" s="1070"/>
      <c r="CL299" s="1070"/>
      <c r="CM299" s="1070"/>
      <c r="CN299" s="1070"/>
      <c r="CO299" s="1070"/>
      <c r="CP299" s="1070"/>
      <c r="CQ299" s="1070"/>
      <c r="CR299" s="1070"/>
      <c r="CS299" s="1070"/>
      <c r="CT299" s="1070"/>
      <c r="CU299" s="1070"/>
      <c r="CV299" s="1070"/>
      <c r="CW299" s="1070"/>
      <c r="CX299" s="1070"/>
      <c r="CY299" s="1070"/>
      <c r="CZ299" s="1070"/>
      <c r="DA299" s="1070"/>
      <c r="DB299" s="1070"/>
      <c r="DC299" s="1070"/>
      <c r="DD299" s="1070"/>
      <c r="DE299" s="1070"/>
      <c r="DF299" s="1070"/>
      <c r="DG299" s="1070"/>
      <c r="DH299" s="1070"/>
      <c r="DI299" s="1070"/>
    </row>
    <row r="300" spans="1:113" ht="47.25" x14ac:dyDescent="0.25">
      <c r="A300" s="875" t="s">
        <v>4237</v>
      </c>
      <c r="B300" s="1394" t="str">
        <f>B229</f>
        <v/>
      </c>
      <c r="C300" s="1384"/>
      <c r="D300" s="1384"/>
      <c r="E300" s="1384"/>
      <c r="F300" s="1384"/>
      <c r="G300" s="1384"/>
      <c r="H300" s="1070"/>
      <c r="I300" s="1070"/>
      <c r="J300" s="1315"/>
      <c r="K300" s="1316"/>
      <c r="L300" s="1316"/>
      <c r="M300" s="1315"/>
      <c r="N300" s="1070"/>
      <c r="O300" s="1070"/>
      <c r="P300" s="1070"/>
      <c r="Q300" s="1070"/>
      <c r="R300" s="1070"/>
      <c r="S300" s="1070"/>
      <c r="T300" s="1070"/>
      <c r="U300" s="1070"/>
      <c r="V300" s="1070"/>
      <c r="W300" s="1070"/>
      <c r="X300" s="1070"/>
      <c r="Y300" s="1070"/>
      <c r="Z300" s="1070"/>
      <c r="AA300" s="1070"/>
      <c r="AB300" s="1070"/>
      <c r="AC300" s="1070"/>
      <c r="AD300" s="1070"/>
      <c r="AE300" s="1070"/>
      <c r="AF300" s="1070"/>
      <c r="AG300" s="1070"/>
      <c r="AH300" s="1070"/>
      <c r="AI300" s="1070"/>
      <c r="AJ300" s="1070"/>
      <c r="AK300" s="1070"/>
      <c r="AL300" s="1070"/>
      <c r="AM300" s="1070"/>
      <c r="AN300" s="1070"/>
      <c r="AO300" s="1070"/>
      <c r="AP300" s="1070"/>
      <c r="AQ300" s="1070"/>
      <c r="AR300" s="1070"/>
      <c r="AS300" s="1070"/>
      <c r="AT300" s="1070"/>
      <c r="AU300" s="1070"/>
      <c r="AV300" s="1070"/>
      <c r="AW300" s="1070"/>
      <c r="AX300" s="1070"/>
      <c r="AY300" s="1070"/>
      <c r="AZ300" s="1070"/>
      <c r="BA300" s="1070"/>
      <c r="BB300" s="1070"/>
      <c r="BC300" s="1070"/>
      <c r="BD300" s="1070"/>
      <c r="BE300" s="1070"/>
      <c r="BF300" s="1070"/>
      <c r="BG300" s="1070"/>
      <c r="BH300" s="1070"/>
      <c r="BI300" s="1070"/>
      <c r="BJ300" s="1070"/>
      <c r="BK300" s="1070"/>
      <c r="BL300" s="1070"/>
      <c r="BM300" s="1070"/>
      <c r="BN300" s="1070"/>
      <c r="BO300" s="1070"/>
      <c r="BP300" s="1070"/>
      <c r="BQ300" s="1070"/>
      <c r="BR300" s="1070"/>
      <c r="BS300" s="1070"/>
      <c r="BT300" s="1070"/>
      <c r="BU300" s="1070"/>
      <c r="BV300" s="1070"/>
      <c r="BW300" s="1070"/>
      <c r="BX300" s="1070"/>
      <c r="BY300" s="1070"/>
      <c r="BZ300" s="1070"/>
      <c r="CA300" s="1070"/>
      <c r="CB300" s="1070"/>
      <c r="CC300" s="1070"/>
      <c r="CD300" s="1070"/>
      <c r="CE300" s="1070"/>
      <c r="CF300" s="1070"/>
      <c r="CG300" s="1070"/>
      <c r="CH300" s="1070"/>
      <c r="CI300" s="1070"/>
      <c r="CJ300" s="1070"/>
      <c r="CK300" s="1070"/>
      <c r="CL300" s="1070"/>
      <c r="CM300" s="1070"/>
      <c r="CN300" s="1070"/>
      <c r="CO300" s="1070"/>
      <c r="CP300" s="1070"/>
      <c r="CQ300" s="1070"/>
      <c r="CR300" s="1070"/>
      <c r="CS300" s="1070"/>
      <c r="CT300" s="1070"/>
      <c r="CU300" s="1070"/>
      <c r="CV300" s="1070"/>
      <c r="CW300" s="1070"/>
      <c r="CX300" s="1070"/>
      <c r="CY300" s="1070"/>
      <c r="CZ300" s="1070"/>
      <c r="DA300" s="1070"/>
      <c r="DB300" s="1070"/>
      <c r="DC300" s="1070"/>
      <c r="DD300" s="1070"/>
      <c r="DE300" s="1070"/>
      <c r="DF300" s="1070"/>
      <c r="DG300" s="1070"/>
      <c r="DH300" s="1070"/>
      <c r="DI300" s="1070"/>
    </row>
    <row r="301" spans="1:113" ht="31.5" x14ac:dyDescent="0.25">
      <c r="A301" s="875" t="s">
        <v>4238</v>
      </c>
      <c r="B301" s="1394" t="str">
        <f>B223</f>
        <v/>
      </c>
      <c r="C301" s="1384"/>
      <c r="D301" s="1384"/>
      <c r="E301" s="1384"/>
      <c r="F301" s="1384"/>
      <c r="G301" s="1384"/>
      <c r="H301" s="1070"/>
      <c r="I301" s="1070"/>
      <c r="J301" s="1315"/>
      <c r="K301" s="1316"/>
      <c r="L301" s="1316"/>
      <c r="M301" s="1315"/>
      <c r="N301" s="1070"/>
      <c r="O301" s="1070"/>
      <c r="P301" s="1070"/>
      <c r="Q301" s="1070"/>
      <c r="R301" s="1070"/>
      <c r="S301" s="1070"/>
      <c r="T301" s="1070"/>
      <c r="U301" s="1070"/>
      <c r="V301" s="1070"/>
      <c r="W301" s="1070"/>
      <c r="X301" s="1070"/>
      <c r="Y301" s="1070"/>
      <c r="Z301" s="1070"/>
      <c r="AA301" s="1070"/>
      <c r="AB301" s="1070"/>
      <c r="AC301" s="1070"/>
      <c r="AD301" s="1070"/>
      <c r="AE301" s="1070"/>
      <c r="AF301" s="1070"/>
      <c r="AG301" s="1070"/>
      <c r="AH301" s="1070"/>
      <c r="AI301" s="1070"/>
      <c r="AJ301" s="1070"/>
      <c r="AK301" s="1070"/>
      <c r="AL301" s="1070"/>
      <c r="AM301" s="1070"/>
      <c r="AN301" s="1070"/>
      <c r="AO301" s="1070"/>
      <c r="AP301" s="1070"/>
      <c r="AQ301" s="1070"/>
      <c r="AR301" s="1070"/>
      <c r="AS301" s="1070"/>
      <c r="AT301" s="1070"/>
      <c r="AU301" s="1070"/>
      <c r="AV301" s="1070"/>
      <c r="AW301" s="1070"/>
      <c r="AX301" s="1070"/>
      <c r="AY301" s="1070"/>
      <c r="AZ301" s="1070"/>
      <c r="BA301" s="1070"/>
      <c r="BB301" s="1070"/>
      <c r="BC301" s="1070"/>
      <c r="BD301" s="1070"/>
      <c r="BE301" s="1070"/>
      <c r="BF301" s="1070"/>
      <c r="BG301" s="1070"/>
      <c r="BH301" s="1070"/>
      <c r="BI301" s="1070"/>
      <c r="BJ301" s="1070"/>
      <c r="BK301" s="1070"/>
      <c r="BL301" s="1070"/>
      <c r="BM301" s="1070"/>
      <c r="BN301" s="1070"/>
      <c r="BO301" s="1070"/>
      <c r="BP301" s="1070"/>
      <c r="BQ301" s="1070"/>
      <c r="BR301" s="1070"/>
      <c r="BS301" s="1070"/>
      <c r="BT301" s="1070"/>
      <c r="BU301" s="1070"/>
      <c r="BV301" s="1070"/>
      <c r="BW301" s="1070"/>
      <c r="BX301" s="1070"/>
      <c r="BY301" s="1070"/>
      <c r="BZ301" s="1070"/>
      <c r="CA301" s="1070"/>
      <c r="CB301" s="1070"/>
      <c r="CC301" s="1070"/>
      <c r="CD301" s="1070"/>
      <c r="CE301" s="1070"/>
      <c r="CF301" s="1070"/>
      <c r="CG301" s="1070"/>
      <c r="CH301" s="1070"/>
      <c r="CI301" s="1070"/>
      <c r="CJ301" s="1070"/>
      <c r="CK301" s="1070"/>
      <c r="CL301" s="1070"/>
      <c r="CM301" s="1070"/>
      <c r="CN301" s="1070"/>
      <c r="CO301" s="1070"/>
      <c r="CP301" s="1070"/>
      <c r="CQ301" s="1070"/>
      <c r="CR301" s="1070"/>
      <c r="CS301" s="1070"/>
      <c r="CT301" s="1070"/>
      <c r="CU301" s="1070"/>
      <c r="CV301" s="1070"/>
      <c r="CW301" s="1070"/>
      <c r="CX301" s="1070"/>
      <c r="CY301" s="1070"/>
      <c r="CZ301" s="1070"/>
      <c r="DA301" s="1070"/>
      <c r="DB301" s="1070"/>
      <c r="DC301" s="1070"/>
      <c r="DD301" s="1070"/>
      <c r="DE301" s="1070"/>
      <c r="DF301" s="1070"/>
      <c r="DG301" s="1070"/>
      <c r="DH301" s="1070"/>
      <c r="DI301" s="1070"/>
    </row>
    <row r="302" spans="1:113" ht="15.75" x14ac:dyDescent="0.25">
      <c r="A302" s="875" t="s">
        <v>4239</v>
      </c>
      <c r="B302" s="1394">
        <f>IF(B301&gt;2,1,2)</f>
        <v>1</v>
      </c>
      <c r="C302" s="1384"/>
      <c r="D302" s="1384"/>
      <c r="E302" s="1384"/>
      <c r="F302" s="1384"/>
      <c r="G302" s="1384"/>
      <c r="H302" s="1070"/>
      <c r="I302" s="1070"/>
      <c r="J302" s="1315"/>
      <c r="K302" s="1316"/>
      <c r="L302" s="1316"/>
      <c r="M302" s="1315"/>
      <c r="N302" s="1070"/>
      <c r="O302" s="1070"/>
      <c r="P302" s="1070"/>
      <c r="Q302" s="1070"/>
      <c r="R302" s="1070"/>
      <c r="S302" s="1070"/>
      <c r="T302" s="1070"/>
      <c r="U302" s="1070"/>
      <c r="V302" s="1070"/>
      <c r="W302" s="1070"/>
      <c r="X302" s="1070"/>
      <c r="Y302" s="1070"/>
      <c r="Z302" s="1070"/>
      <c r="AA302" s="1070"/>
      <c r="AB302" s="1070"/>
      <c r="AC302" s="1070"/>
      <c r="AD302" s="1070"/>
      <c r="AE302" s="1070"/>
      <c r="AF302" s="1070"/>
      <c r="AG302" s="1070"/>
      <c r="AH302" s="1070"/>
      <c r="AI302" s="1070"/>
      <c r="AJ302" s="1070"/>
      <c r="AK302" s="1070"/>
      <c r="AL302" s="1070"/>
      <c r="AM302" s="1070"/>
      <c r="AN302" s="1070"/>
      <c r="AO302" s="1070"/>
      <c r="AP302" s="1070"/>
      <c r="AQ302" s="1070"/>
      <c r="AR302" s="1070"/>
      <c r="AS302" s="1070"/>
      <c r="AT302" s="1070"/>
      <c r="AU302" s="1070"/>
      <c r="AV302" s="1070"/>
      <c r="AW302" s="1070"/>
      <c r="AX302" s="1070"/>
      <c r="AY302" s="1070"/>
      <c r="AZ302" s="1070"/>
      <c r="BA302" s="1070"/>
      <c r="BB302" s="1070"/>
      <c r="BC302" s="1070"/>
      <c r="BD302" s="1070"/>
      <c r="BE302" s="1070"/>
      <c r="BF302" s="1070"/>
      <c r="BG302" s="1070"/>
      <c r="BH302" s="1070"/>
      <c r="BI302" s="1070"/>
      <c r="BJ302" s="1070"/>
      <c r="BK302" s="1070"/>
      <c r="BL302" s="1070"/>
      <c r="BM302" s="1070"/>
      <c r="BN302" s="1070"/>
      <c r="BO302" s="1070"/>
      <c r="BP302" s="1070"/>
      <c r="BQ302" s="1070"/>
      <c r="BR302" s="1070"/>
      <c r="BS302" s="1070"/>
      <c r="BT302" s="1070"/>
      <c r="BU302" s="1070"/>
      <c r="BV302" s="1070"/>
      <c r="BW302" s="1070"/>
      <c r="BX302" s="1070"/>
      <c r="BY302" s="1070"/>
      <c r="BZ302" s="1070"/>
      <c r="CA302" s="1070"/>
      <c r="CB302" s="1070"/>
      <c r="CC302" s="1070"/>
      <c r="CD302" s="1070"/>
      <c r="CE302" s="1070"/>
      <c r="CF302" s="1070"/>
      <c r="CG302" s="1070"/>
      <c r="CH302" s="1070"/>
      <c r="CI302" s="1070"/>
      <c r="CJ302" s="1070"/>
      <c r="CK302" s="1070"/>
      <c r="CL302" s="1070"/>
      <c r="CM302" s="1070"/>
      <c r="CN302" s="1070"/>
      <c r="CO302" s="1070"/>
      <c r="CP302" s="1070"/>
      <c r="CQ302" s="1070"/>
      <c r="CR302" s="1070"/>
      <c r="CS302" s="1070"/>
      <c r="CT302" s="1070"/>
      <c r="CU302" s="1070"/>
      <c r="CV302" s="1070"/>
      <c r="CW302" s="1070"/>
      <c r="CX302" s="1070"/>
      <c r="CY302" s="1070"/>
      <c r="CZ302" s="1070"/>
      <c r="DA302" s="1070"/>
      <c r="DB302" s="1070"/>
      <c r="DC302" s="1070"/>
      <c r="DD302" s="1070"/>
      <c r="DE302" s="1070"/>
      <c r="DF302" s="1070"/>
      <c r="DG302" s="1070"/>
      <c r="DH302" s="1070"/>
      <c r="DI302" s="1070"/>
    </row>
    <row r="303" spans="1:113" ht="15.75" x14ac:dyDescent="0.25">
      <c r="A303" s="875" t="s">
        <v>4240</v>
      </c>
      <c r="B303" s="1394">
        <f>B202</f>
        <v>3</v>
      </c>
      <c r="C303" s="1384"/>
      <c r="D303" s="1384"/>
      <c r="E303" s="1384"/>
      <c r="F303" s="1384"/>
      <c r="G303" s="1384"/>
      <c r="H303" s="1070"/>
      <c r="I303" s="1070"/>
      <c r="J303" s="1315"/>
      <c r="K303" s="1316"/>
      <c r="L303" s="1316"/>
      <c r="M303" s="1315"/>
      <c r="N303" s="1070"/>
      <c r="O303" s="1070"/>
      <c r="P303" s="1070"/>
      <c r="Q303" s="1070"/>
      <c r="R303" s="1070"/>
      <c r="S303" s="1070"/>
      <c r="T303" s="1070"/>
      <c r="U303" s="1070"/>
      <c r="V303" s="1070"/>
      <c r="W303" s="1070"/>
      <c r="X303" s="1070"/>
      <c r="Y303" s="1070"/>
      <c r="Z303" s="1070"/>
      <c r="AA303" s="1070"/>
      <c r="AB303" s="1070"/>
      <c r="AC303" s="1070"/>
      <c r="AD303" s="1070"/>
      <c r="AE303" s="1070"/>
      <c r="AF303" s="1070"/>
      <c r="AG303" s="1070"/>
      <c r="AH303" s="1070"/>
      <c r="AI303" s="1070"/>
      <c r="AJ303" s="1070"/>
      <c r="AK303" s="1070"/>
      <c r="AL303" s="1070"/>
      <c r="AM303" s="1070"/>
      <c r="AN303" s="1070"/>
      <c r="AO303" s="1070"/>
      <c r="AP303" s="1070"/>
      <c r="AQ303" s="1070"/>
      <c r="AR303" s="1070"/>
      <c r="AS303" s="1070"/>
      <c r="AT303" s="1070"/>
      <c r="AU303" s="1070"/>
      <c r="AV303" s="1070"/>
      <c r="AW303" s="1070"/>
      <c r="AX303" s="1070"/>
      <c r="AY303" s="1070"/>
      <c r="AZ303" s="1070"/>
      <c r="BA303" s="1070"/>
      <c r="BB303" s="1070"/>
      <c r="BC303" s="1070"/>
      <c r="BD303" s="1070"/>
      <c r="BE303" s="1070"/>
      <c r="BF303" s="1070"/>
      <c r="BG303" s="1070"/>
      <c r="BH303" s="1070"/>
      <c r="BI303" s="1070"/>
      <c r="BJ303" s="1070"/>
      <c r="BK303" s="1070"/>
      <c r="BL303" s="1070"/>
      <c r="BM303" s="1070"/>
      <c r="BN303" s="1070"/>
      <c r="BO303" s="1070"/>
      <c r="BP303" s="1070"/>
      <c r="BQ303" s="1070"/>
      <c r="BR303" s="1070"/>
      <c r="BS303" s="1070"/>
      <c r="BT303" s="1070"/>
      <c r="BU303" s="1070"/>
      <c r="BV303" s="1070"/>
      <c r="BW303" s="1070"/>
      <c r="BX303" s="1070"/>
      <c r="BY303" s="1070"/>
      <c r="BZ303" s="1070"/>
      <c r="CA303" s="1070"/>
      <c r="CB303" s="1070"/>
      <c r="CC303" s="1070"/>
      <c r="CD303" s="1070"/>
      <c r="CE303" s="1070"/>
      <c r="CF303" s="1070"/>
      <c r="CG303" s="1070"/>
      <c r="CH303" s="1070"/>
      <c r="CI303" s="1070"/>
      <c r="CJ303" s="1070"/>
      <c r="CK303" s="1070"/>
      <c r="CL303" s="1070"/>
      <c r="CM303" s="1070"/>
      <c r="CN303" s="1070"/>
      <c r="CO303" s="1070"/>
      <c r="CP303" s="1070"/>
      <c r="CQ303" s="1070"/>
      <c r="CR303" s="1070"/>
      <c r="CS303" s="1070"/>
      <c r="CT303" s="1070"/>
      <c r="CU303" s="1070"/>
      <c r="CV303" s="1070"/>
      <c r="CW303" s="1070"/>
      <c r="CX303" s="1070"/>
      <c r="CY303" s="1070"/>
      <c r="CZ303" s="1070"/>
      <c r="DA303" s="1070"/>
      <c r="DB303" s="1070"/>
      <c r="DC303" s="1070"/>
      <c r="DD303" s="1070"/>
      <c r="DE303" s="1070"/>
      <c r="DF303" s="1070"/>
      <c r="DG303" s="1070"/>
      <c r="DH303" s="1070"/>
      <c r="DI303" s="1070"/>
    </row>
    <row r="304" spans="1:113" ht="31.5" x14ac:dyDescent="0.25">
      <c r="A304" s="875" t="s">
        <v>4241</v>
      </c>
      <c r="B304" s="1394">
        <f>B204</f>
        <v>0</v>
      </c>
      <c r="C304" s="1384"/>
      <c r="D304" s="1384"/>
      <c r="E304" s="1384"/>
      <c r="F304" s="1384"/>
      <c r="G304" s="1384"/>
      <c r="H304" s="1070"/>
      <c r="I304" s="1070"/>
      <c r="J304" s="1315"/>
      <c r="K304" s="1316"/>
      <c r="L304" s="1316"/>
      <c r="M304" s="1315"/>
      <c r="N304" s="1070"/>
      <c r="O304" s="1070"/>
      <c r="P304" s="1070"/>
      <c r="Q304" s="1070"/>
      <c r="R304" s="1070"/>
      <c r="S304" s="1070"/>
      <c r="T304" s="1070"/>
      <c r="U304" s="1070"/>
      <c r="V304" s="1070"/>
      <c r="W304" s="1070"/>
      <c r="X304" s="1070"/>
      <c r="Y304" s="1070"/>
      <c r="Z304" s="1070"/>
      <c r="AA304" s="1070"/>
      <c r="AB304" s="1070"/>
      <c r="AC304" s="1070"/>
      <c r="AD304" s="1070"/>
      <c r="AE304" s="1070"/>
      <c r="AF304" s="1070"/>
      <c r="AG304" s="1070"/>
      <c r="AH304" s="1070"/>
      <c r="AI304" s="1070"/>
      <c r="AJ304" s="1070"/>
      <c r="AK304" s="1070"/>
      <c r="AL304" s="1070"/>
      <c r="AM304" s="1070"/>
      <c r="AN304" s="1070"/>
      <c r="AO304" s="1070"/>
      <c r="AP304" s="1070"/>
      <c r="AQ304" s="1070"/>
      <c r="AR304" s="1070"/>
      <c r="AS304" s="1070"/>
      <c r="AT304" s="1070"/>
      <c r="AU304" s="1070"/>
      <c r="AV304" s="1070"/>
      <c r="AW304" s="1070"/>
      <c r="AX304" s="1070"/>
      <c r="AY304" s="1070"/>
      <c r="AZ304" s="1070"/>
      <c r="BA304" s="1070"/>
      <c r="BB304" s="1070"/>
      <c r="BC304" s="1070"/>
      <c r="BD304" s="1070"/>
      <c r="BE304" s="1070"/>
      <c r="BF304" s="1070"/>
      <c r="BG304" s="1070"/>
      <c r="BH304" s="1070"/>
      <c r="BI304" s="1070"/>
      <c r="BJ304" s="1070"/>
      <c r="BK304" s="1070"/>
      <c r="BL304" s="1070"/>
      <c r="BM304" s="1070"/>
      <c r="BN304" s="1070"/>
      <c r="BO304" s="1070"/>
      <c r="BP304" s="1070"/>
      <c r="BQ304" s="1070"/>
      <c r="BR304" s="1070"/>
      <c r="BS304" s="1070"/>
      <c r="BT304" s="1070"/>
      <c r="BU304" s="1070"/>
      <c r="BV304" s="1070"/>
      <c r="BW304" s="1070"/>
      <c r="BX304" s="1070"/>
      <c r="BY304" s="1070"/>
      <c r="BZ304" s="1070"/>
      <c r="CA304" s="1070"/>
      <c r="CB304" s="1070"/>
      <c r="CC304" s="1070"/>
      <c r="CD304" s="1070"/>
      <c r="CE304" s="1070"/>
      <c r="CF304" s="1070"/>
      <c r="CG304" s="1070"/>
      <c r="CH304" s="1070"/>
      <c r="CI304" s="1070"/>
      <c r="CJ304" s="1070"/>
      <c r="CK304" s="1070"/>
      <c r="CL304" s="1070"/>
      <c r="CM304" s="1070"/>
      <c r="CN304" s="1070"/>
      <c r="CO304" s="1070"/>
      <c r="CP304" s="1070"/>
      <c r="CQ304" s="1070"/>
      <c r="CR304" s="1070"/>
      <c r="CS304" s="1070"/>
      <c r="CT304" s="1070"/>
      <c r="CU304" s="1070"/>
      <c r="CV304" s="1070"/>
      <c r="CW304" s="1070"/>
      <c r="CX304" s="1070"/>
      <c r="CY304" s="1070"/>
      <c r="CZ304" s="1070"/>
      <c r="DA304" s="1070"/>
      <c r="DB304" s="1070"/>
      <c r="DC304" s="1070"/>
      <c r="DD304" s="1070"/>
      <c r="DE304" s="1070"/>
      <c r="DF304" s="1070"/>
      <c r="DG304" s="1070"/>
      <c r="DH304" s="1070"/>
      <c r="DI304" s="1070"/>
    </row>
    <row r="305" spans="1:113" ht="31.5" x14ac:dyDescent="0.25">
      <c r="A305" s="875" t="s">
        <v>4176</v>
      </c>
      <c r="B305" s="1052">
        <f>B205</f>
        <v>0</v>
      </c>
      <c r="C305" s="1384"/>
      <c r="D305" s="1384"/>
      <c r="E305" s="1384"/>
      <c r="F305" s="1384"/>
      <c r="G305" s="1384"/>
      <c r="H305" s="1070"/>
      <c r="I305" s="1070"/>
      <c r="J305" s="1315"/>
      <c r="K305" s="1316"/>
      <c r="L305" s="1316"/>
      <c r="M305" s="1315"/>
      <c r="N305" s="1070"/>
      <c r="O305" s="1070"/>
      <c r="P305" s="1070"/>
      <c r="Q305" s="1070"/>
      <c r="R305" s="1070"/>
      <c r="S305" s="1070"/>
      <c r="T305" s="1070"/>
      <c r="U305" s="1070"/>
      <c r="V305" s="1070"/>
      <c r="W305" s="1070"/>
      <c r="X305" s="1070"/>
      <c r="Y305" s="1070"/>
      <c r="Z305" s="1070"/>
      <c r="AA305" s="1070"/>
      <c r="AB305" s="1070"/>
      <c r="AC305" s="1070"/>
      <c r="AD305" s="1070"/>
      <c r="AE305" s="1070"/>
      <c r="AF305" s="1070"/>
      <c r="AG305" s="1070"/>
      <c r="AH305" s="1070"/>
      <c r="AI305" s="1070"/>
      <c r="AJ305" s="1070"/>
      <c r="AK305" s="1070"/>
      <c r="AL305" s="1070"/>
      <c r="AM305" s="1070"/>
      <c r="AN305" s="1070"/>
      <c r="AO305" s="1070"/>
      <c r="AP305" s="1070"/>
      <c r="AQ305" s="1070"/>
      <c r="AR305" s="1070"/>
      <c r="AS305" s="1070"/>
      <c r="AT305" s="1070"/>
      <c r="AU305" s="1070"/>
      <c r="AV305" s="1070"/>
      <c r="AW305" s="1070"/>
      <c r="AX305" s="1070"/>
      <c r="AY305" s="1070"/>
      <c r="AZ305" s="1070"/>
      <c r="BA305" s="1070"/>
      <c r="BB305" s="1070"/>
      <c r="BC305" s="1070"/>
      <c r="BD305" s="1070"/>
      <c r="BE305" s="1070"/>
      <c r="BF305" s="1070"/>
      <c r="BG305" s="1070"/>
      <c r="BH305" s="1070"/>
      <c r="BI305" s="1070"/>
      <c r="BJ305" s="1070"/>
      <c r="BK305" s="1070"/>
      <c r="BL305" s="1070"/>
      <c r="BM305" s="1070"/>
      <c r="BN305" s="1070"/>
      <c r="BO305" s="1070"/>
      <c r="BP305" s="1070"/>
      <c r="BQ305" s="1070"/>
      <c r="BR305" s="1070"/>
      <c r="BS305" s="1070"/>
      <c r="BT305" s="1070"/>
      <c r="BU305" s="1070"/>
      <c r="BV305" s="1070"/>
      <c r="BW305" s="1070"/>
      <c r="BX305" s="1070"/>
      <c r="BY305" s="1070"/>
      <c r="BZ305" s="1070"/>
      <c r="CA305" s="1070"/>
      <c r="CB305" s="1070"/>
      <c r="CC305" s="1070"/>
      <c r="CD305" s="1070"/>
      <c r="CE305" s="1070"/>
      <c r="CF305" s="1070"/>
      <c r="CG305" s="1070"/>
      <c r="CH305" s="1070"/>
      <c r="CI305" s="1070"/>
      <c r="CJ305" s="1070"/>
      <c r="CK305" s="1070"/>
      <c r="CL305" s="1070"/>
      <c r="CM305" s="1070"/>
      <c r="CN305" s="1070"/>
      <c r="CO305" s="1070"/>
      <c r="CP305" s="1070"/>
      <c r="CQ305" s="1070"/>
      <c r="CR305" s="1070"/>
      <c r="CS305" s="1070"/>
      <c r="CT305" s="1070"/>
      <c r="CU305" s="1070"/>
      <c r="CV305" s="1070"/>
      <c r="CW305" s="1070"/>
      <c r="CX305" s="1070"/>
      <c r="CY305" s="1070"/>
      <c r="CZ305" s="1070"/>
      <c r="DA305" s="1070"/>
      <c r="DB305" s="1070"/>
      <c r="DC305" s="1070"/>
      <c r="DD305" s="1070"/>
      <c r="DE305" s="1070"/>
      <c r="DF305" s="1070"/>
      <c r="DG305" s="1070"/>
      <c r="DH305" s="1070"/>
      <c r="DI305" s="1070"/>
    </row>
    <row r="306" spans="1:113" ht="31.5" x14ac:dyDescent="0.25">
      <c r="A306" s="875" t="s">
        <v>3259</v>
      </c>
      <c r="B306" s="1394" t="e">
        <f>B248</f>
        <v>#REF!</v>
      </c>
      <c r="C306" s="1384"/>
      <c r="D306" s="1384"/>
      <c r="E306" s="1384"/>
      <c r="F306" s="1384"/>
      <c r="G306" s="1384"/>
      <c r="H306" s="1070"/>
      <c r="I306" s="1070"/>
      <c r="J306" s="1315"/>
      <c r="K306" s="1316"/>
      <c r="L306" s="1316"/>
      <c r="M306" s="1315"/>
      <c r="N306" s="1070"/>
      <c r="O306" s="1070"/>
      <c r="P306" s="1070"/>
      <c r="Q306" s="1070"/>
      <c r="R306" s="1070"/>
      <c r="S306" s="1070"/>
      <c r="T306" s="1070"/>
      <c r="U306" s="1070"/>
      <c r="V306" s="1070"/>
      <c r="W306" s="1070"/>
      <c r="X306" s="1070"/>
      <c r="Y306" s="1070"/>
      <c r="Z306" s="1070"/>
      <c r="AA306" s="1070"/>
      <c r="AB306" s="1070"/>
      <c r="AC306" s="1070"/>
      <c r="AD306" s="1070"/>
      <c r="AE306" s="1070"/>
      <c r="AF306" s="1070"/>
      <c r="AG306" s="1070"/>
      <c r="AH306" s="1070"/>
      <c r="AI306" s="1070"/>
      <c r="AJ306" s="1070"/>
      <c r="AK306" s="1070"/>
      <c r="AL306" s="1070"/>
      <c r="AM306" s="1070"/>
      <c r="AN306" s="1070"/>
      <c r="AO306" s="1070"/>
      <c r="AP306" s="1070"/>
      <c r="AQ306" s="1070"/>
      <c r="AR306" s="1070"/>
      <c r="AS306" s="1070"/>
      <c r="AT306" s="1070"/>
      <c r="AU306" s="1070"/>
      <c r="AV306" s="1070"/>
      <c r="AW306" s="1070"/>
      <c r="AX306" s="1070"/>
      <c r="AY306" s="1070"/>
      <c r="AZ306" s="1070"/>
      <c r="BA306" s="1070"/>
      <c r="BB306" s="1070"/>
      <c r="BC306" s="1070"/>
      <c r="BD306" s="1070"/>
      <c r="BE306" s="1070"/>
      <c r="BF306" s="1070"/>
      <c r="BG306" s="1070"/>
      <c r="BH306" s="1070"/>
      <c r="BI306" s="1070"/>
      <c r="BJ306" s="1070"/>
      <c r="BK306" s="1070"/>
      <c r="BL306" s="1070"/>
      <c r="BM306" s="1070"/>
      <c r="BN306" s="1070"/>
      <c r="BO306" s="1070"/>
      <c r="BP306" s="1070"/>
      <c r="BQ306" s="1070"/>
      <c r="BR306" s="1070"/>
      <c r="BS306" s="1070"/>
      <c r="BT306" s="1070"/>
      <c r="BU306" s="1070"/>
      <c r="BV306" s="1070"/>
      <c r="BW306" s="1070"/>
      <c r="BX306" s="1070"/>
      <c r="BY306" s="1070"/>
      <c r="BZ306" s="1070"/>
      <c r="CA306" s="1070"/>
      <c r="CB306" s="1070"/>
      <c r="CC306" s="1070"/>
      <c r="CD306" s="1070"/>
      <c r="CE306" s="1070"/>
      <c r="CF306" s="1070"/>
      <c r="CG306" s="1070"/>
      <c r="CH306" s="1070"/>
      <c r="CI306" s="1070"/>
      <c r="CJ306" s="1070"/>
      <c r="CK306" s="1070"/>
      <c r="CL306" s="1070"/>
      <c r="CM306" s="1070"/>
      <c r="CN306" s="1070"/>
      <c r="CO306" s="1070"/>
      <c r="CP306" s="1070"/>
      <c r="CQ306" s="1070"/>
      <c r="CR306" s="1070"/>
      <c r="CS306" s="1070"/>
      <c r="CT306" s="1070"/>
      <c r="CU306" s="1070"/>
      <c r="CV306" s="1070"/>
      <c r="CW306" s="1070"/>
      <c r="CX306" s="1070"/>
      <c r="CY306" s="1070"/>
      <c r="CZ306" s="1070"/>
      <c r="DA306" s="1070"/>
      <c r="DB306" s="1070"/>
      <c r="DC306" s="1070"/>
      <c r="DD306" s="1070"/>
      <c r="DE306" s="1070"/>
      <c r="DF306" s="1070"/>
      <c r="DG306" s="1070"/>
      <c r="DH306" s="1070"/>
      <c r="DI306" s="1070"/>
    </row>
    <row r="307" spans="1:113" ht="31.5" x14ac:dyDescent="0.25">
      <c r="A307" s="875" t="s">
        <v>4176</v>
      </c>
      <c r="B307" s="1394">
        <f>B205</f>
        <v>0</v>
      </c>
      <c r="C307" s="1384"/>
      <c r="D307" s="1384"/>
      <c r="E307" s="1384"/>
      <c r="F307" s="1384"/>
      <c r="G307" s="1384"/>
      <c r="H307" s="1070"/>
      <c r="I307" s="1070"/>
      <c r="J307" s="1315"/>
      <c r="K307" s="1316"/>
      <c r="L307" s="1316"/>
      <c r="M307" s="1315"/>
      <c r="N307" s="1070"/>
      <c r="O307" s="1070"/>
      <c r="P307" s="1070"/>
      <c r="Q307" s="1070"/>
      <c r="R307" s="1070"/>
      <c r="S307" s="1070"/>
      <c r="T307" s="1070"/>
      <c r="U307" s="1070"/>
      <c r="V307" s="1070"/>
      <c r="W307" s="1070"/>
      <c r="X307" s="1070"/>
      <c r="Y307" s="1070"/>
      <c r="Z307" s="1070"/>
      <c r="AA307" s="1070"/>
      <c r="AB307" s="1070"/>
      <c r="AC307" s="1070"/>
      <c r="AD307" s="1070"/>
      <c r="AE307" s="1070"/>
      <c r="AF307" s="1070"/>
      <c r="AG307" s="1070"/>
      <c r="AH307" s="1070"/>
      <c r="AI307" s="1070"/>
      <c r="AJ307" s="1070"/>
      <c r="AK307" s="1070"/>
      <c r="AL307" s="1070"/>
      <c r="AM307" s="1070"/>
      <c r="AN307" s="1070"/>
      <c r="AO307" s="1070"/>
      <c r="AP307" s="1070"/>
      <c r="AQ307" s="1070"/>
      <c r="AR307" s="1070"/>
      <c r="AS307" s="1070"/>
      <c r="AT307" s="1070"/>
      <c r="AU307" s="1070"/>
      <c r="AV307" s="1070"/>
      <c r="AW307" s="1070"/>
      <c r="AX307" s="1070"/>
      <c r="AY307" s="1070"/>
      <c r="AZ307" s="1070"/>
      <c r="BA307" s="1070"/>
      <c r="BB307" s="1070"/>
      <c r="BC307" s="1070"/>
      <c r="BD307" s="1070"/>
      <c r="BE307" s="1070"/>
      <c r="BF307" s="1070"/>
      <c r="BG307" s="1070"/>
      <c r="BH307" s="1070"/>
      <c r="BI307" s="1070"/>
      <c r="BJ307" s="1070"/>
      <c r="BK307" s="1070"/>
      <c r="BL307" s="1070"/>
      <c r="BM307" s="1070"/>
      <c r="BN307" s="1070"/>
      <c r="BO307" s="1070"/>
      <c r="BP307" s="1070"/>
      <c r="BQ307" s="1070"/>
      <c r="BR307" s="1070"/>
      <c r="BS307" s="1070"/>
      <c r="BT307" s="1070"/>
      <c r="BU307" s="1070"/>
      <c r="BV307" s="1070"/>
      <c r="BW307" s="1070"/>
      <c r="BX307" s="1070"/>
      <c r="BY307" s="1070"/>
      <c r="BZ307" s="1070"/>
      <c r="CA307" s="1070"/>
      <c r="CB307" s="1070"/>
      <c r="CC307" s="1070"/>
      <c r="CD307" s="1070"/>
      <c r="CE307" s="1070"/>
      <c r="CF307" s="1070"/>
      <c r="CG307" s="1070"/>
      <c r="CH307" s="1070"/>
      <c r="CI307" s="1070"/>
      <c r="CJ307" s="1070"/>
      <c r="CK307" s="1070"/>
      <c r="CL307" s="1070"/>
      <c r="CM307" s="1070"/>
      <c r="CN307" s="1070"/>
      <c r="CO307" s="1070"/>
      <c r="CP307" s="1070"/>
      <c r="CQ307" s="1070"/>
      <c r="CR307" s="1070"/>
      <c r="CS307" s="1070"/>
      <c r="CT307" s="1070"/>
      <c r="CU307" s="1070"/>
      <c r="CV307" s="1070"/>
      <c r="CW307" s="1070"/>
      <c r="CX307" s="1070"/>
      <c r="CY307" s="1070"/>
      <c r="CZ307" s="1070"/>
      <c r="DA307" s="1070"/>
      <c r="DB307" s="1070"/>
      <c r="DC307" s="1070"/>
      <c r="DD307" s="1070"/>
      <c r="DE307" s="1070"/>
      <c r="DF307" s="1070"/>
      <c r="DG307" s="1070"/>
      <c r="DH307" s="1070"/>
      <c r="DI307" s="1070"/>
    </row>
    <row r="308" spans="1:113" ht="31.5" x14ac:dyDescent="0.25">
      <c r="A308" s="875" t="s">
        <v>5574</v>
      </c>
      <c r="B308" s="1396">
        <v>1</v>
      </c>
      <c r="C308" s="1384"/>
      <c r="D308" s="1384"/>
      <c r="E308" s="1384"/>
      <c r="F308" s="1384"/>
      <c r="G308" s="1384"/>
      <c r="H308" s="1070"/>
      <c r="I308" s="1070"/>
      <c r="J308" s="1315"/>
      <c r="K308" s="1316"/>
      <c r="L308" s="1316"/>
      <c r="M308" s="1315"/>
      <c r="N308" s="1070"/>
      <c r="O308" s="1070"/>
      <c r="P308" s="1070"/>
      <c r="Q308" s="1070"/>
      <c r="R308" s="1070"/>
      <c r="S308" s="1070"/>
      <c r="T308" s="1070"/>
      <c r="U308" s="1070"/>
      <c r="V308" s="1070"/>
      <c r="W308" s="1070"/>
      <c r="X308" s="1070"/>
      <c r="Y308" s="1070"/>
      <c r="Z308" s="1070"/>
      <c r="AA308" s="1070"/>
      <c r="AB308" s="1070"/>
      <c r="AC308" s="1070"/>
      <c r="AD308" s="1070"/>
      <c r="AE308" s="1070"/>
      <c r="AF308" s="1070"/>
      <c r="AG308" s="1070"/>
      <c r="AH308" s="1070"/>
      <c r="AI308" s="1070"/>
      <c r="AJ308" s="1070"/>
      <c r="AK308" s="1070"/>
      <c r="AL308" s="1070"/>
      <c r="AM308" s="1070"/>
      <c r="AN308" s="1070"/>
      <c r="AO308" s="1070"/>
      <c r="AP308" s="1070"/>
      <c r="AQ308" s="1070"/>
      <c r="AR308" s="1070"/>
      <c r="AS308" s="1070"/>
      <c r="AT308" s="1070"/>
      <c r="AU308" s="1070"/>
      <c r="AV308" s="1070"/>
      <c r="AW308" s="1070"/>
      <c r="AX308" s="1070"/>
      <c r="AY308" s="1070"/>
      <c r="AZ308" s="1070"/>
      <c r="BA308" s="1070"/>
      <c r="BB308" s="1070"/>
      <c r="BC308" s="1070"/>
      <c r="BD308" s="1070"/>
      <c r="BE308" s="1070"/>
      <c r="BF308" s="1070"/>
      <c r="BG308" s="1070"/>
      <c r="BH308" s="1070"/>
      <c r="BI308" s="1070"/>
      <c r="BJ308" s="1070"/>
      <c r="BK308" s="1070"/>
      <c r="BL308" s="1070"/>
      <c r="BM308" s="1070"/>
      <c r="BN308" s="1070"/>
      <c r="BO308" s="1070"/>
      <c r="BP308" s="1070"/>
      <c r="BQ308" s="1070"/>
      <c r="BR308" s="1070"/>
      <c r="BS308" s="1070"/>
      <c r="BT308" s="1070"/>
      <c r="BU308" s="1070"/>
      <c r="BV308" s="1070"/>
      <c r="BW308" s="1070"/>
      <c r="BX308" s="1070"/>
      <c r="BY308" s="1070"/>
      <c r="BZ308" s="1070"/>
      <c r="CA308" s="1070"/>
      <c r="CB308" s="1070"/>
      <c r="CC308" s="1070"/>
      <c r="CD308" s="1070"/>
      <c r="CE308" s="1070"/>
      <c r="CF308" s="1070"/>
      <c r="CG308" s="1070"/>
      <c r="CH308" s="1070"/>
      <c r="CI308" s="1070"/>
      <c r="CJ308" s="1070"/>
      <c r="CK308" s="1070"/>
      <c r="CL308" s="1070"/>
      <c r="CM308" s="1070"/>
      <c r="CN308" s="1070"/>
      <c r="CO308" s="1070"/>
      <c r="CP308" s="1070"/>
      <c r="CQ308" s="1070"/>
      <c r="CR308" s="1070"/>
      <c r="CS308" s="1070"/>
      <c r="CT308" s="1070"/>
      <c r="CU308" s="1070"/>
      <c r="CV308" s="1070"/>
      <c r="CW308" s="1070"/>
      <c r="CX308" s="1070"/>
      <c r="CY308" s="1070"/>
      <c r="CZ308" s="1070"/>
      <c r="DA308" s="1070"/>
      <c r="DB308" s="1070"/>
      <c r="DC308" s="1070"/>
      <c r="DD308" s="1070"/>
      <c r="DE308" s="1070"/>
      <c r="DF308" s="1070"/>
      <c r="DG308" s="1070"/>
      <c r="DH308" s="1070"/>
      <c r="DI308" s="1070"/>
    </row>
    <row r="309" spans="1:113" ht="31.5" x14ac:dyDescent="0.25">
      <c r="A309" s="875" t="s">
        <v>5565</v>
      </c>
      <c r="B309" s="1396">
        <f>B262</f>
        <v>0</v>
      </c>
      <c r="C309" s="1384"/>
      <c r="D309" s="1384"/>
      <c r="E309" s="1384"/>
      <c r="F309" s="1384"/>
      <c r="G309" s="1384"/>
      <c r="H309" s="1070"/>
      <c r="I309" s="1070"/>
      <c r="J309" s="1315"/>
      <c r="K309" s="1316"/>
      <c r="L309" s="1316"/>
      <c r="M309" s="1315"/>
      <c r="N309" s="1070"/>
      <c r="O309" s="1070"/>
      <c r="P309" s="1070"/>
      <c r="Q309" s="1070"/>
      <c r="R309" s="1070"/>
      <c r="S309" s="1070"/>
      <c r="T309" s="1070"/>
      <c r="U309" s="1070"/>
      <c r="V309" s="1070"/>
      <c r="W309" s="1070"/>
      <c r="X309" s="1070"/>
      <c r="Y309" s="1070"/>
      <c r="Z309" s="1070"/>
      <c r="AA309" s="1070"/>
      <c r="AB309" s="1070"/>
      <c r="AC309" s="1070"/>
      <c r="AD309" s="1070"/>
      <c r="AE309" s="1070"/>
      <c r="AF309" s="1070"/>
      <c r="AG309" s="1070"/>
      <c r="AH309" s="1070"/>
      <c r="AI309" s="1070"/>
      <c r="AJ309" s="1070"/>
      <c r="AK309" s="1070"/>
      <c r="AL309" s="1070"/>
      <c r="AM309" s="1070"/>
      <c r="AN309" s="1070"/>
      <c r="AO309" s="1070"/>
      <c r="AP309" s="1070"/>
      <c r="AQ309" s="1070"/>
      <c r="AR309" s="1070"/>
      <c r="AS309" s="1070"/>
      <c r="AT309" s="1070"/>
      <c r="AU309" s="1070"/>
      <c r="AV309" s="1070"/>
      <c r="AW309" s="1070"/>
      <c r="AX309" s="1070"/>
      <c r="AY309" s="1070"/>
      <c r="AZ309" s="1070"/>
      <c r="BA309" s="1070"/>
      <c r="BB309" s="1070"/>
      <c r="BC309" s="1070"/>
      <c r="BD309" s="1070"/>
      <c r="BE309" s="1070"/>
      <c r="BF309" s="1070"/>
      <c r="BG309" s="1070"/>
      <c r="BH309" s="1070"/>
      <c r="BI309" s="1070"/>
      <c r="BJ309" s="1070"/>
      <c r="BK309" s="1070"/>
      <c r="BL309" s="1070"/>
      <c r="BM309" s="1070"/>
      <c r="BN309" s="1070"/>
      <c r="BO309" s="1070"/>
      <c r="BP309" s="1070"/>
      <c r="BQ309" s="1070"/>
      <c r="BR309" s="1070"/>
      <c r="BS309" s="1070"/>
      <c r="BT309" s="1070"/>
      <c r="BU309" s="1070"/>
      <c r="BV309" s="1070"/>
      <c r="BW309" s="1070"/>
      <c r="BX309" s="1070"/>
      <c r="BY309" s="1070"/>
      <c r="BZ309" s="1070"/>
      <c r="CA309" s="1070"/>
      <c r="CB309" s="1070"/>
      <c r="CC309" s="1070"/>
      <c r="CD309" s="1070"/>
      <c r="CE309" s="1070"/>
      <c r="CF309" s="1070"/>
      <c r="CG309" s="1070"/>
      <c r="CH309" s="1070"/>
      <c r="CI309" s="1070"/>
      <c r="CJ309" s="1070"/>
      <c r="CK309" s="1070"/>
      <c r="CL309" s="1070"/>
      <c r="CM309" s="1070"/>
      <c r="CN309" s="1070"/>
      <c r="CO309" s="1070"/>
      <c r="CP309" s="1070"/>
      <c r="CQ309" s="1070"/>
      <c r="CR309" s="1070"/>
      <c r="CS309" s="1070"/>
      <c r="CT309" s="1070"/>
      <c r="CU309" s="1070"/>
      <c r="CV309" s="1070"/>
      <c r="CW309" s="1070"/>
      <c r="CX309" s="1070"/>
      <c r="CY309" s="1070"/>
      <c r="CZ309" s="1070"/>
      <c r="DA309" s="1070"/>
      <c r="DB309" s="1070"/>
      <c r="DC309" s="1070"/>
      <c r="DD309" s="1070"/>
      <c r="DE309" s="1070"/>
      <c r="DF309" s="1070"/>
      <c r="DG309" s="1070"/>
      <c r="DH309" s="1070"/>
      <c r="DI309" s="1070"/>
    </row>
    <row r="310" spans="1:113" ht="31.5" x14ac:dyDescent="0.25">
      <c r="A310" s="875" t="s">
        <v>3260</v>
      </c>
      <c r="B310" s="1394">
        <f>B266</f>
        <v>0.8</v>
      </c>
      <c r="C310" s="1384"/>
      <c r="D310" s="1384"/>
      <c r="E310" s="1384"/>
      <c r="F310" s="1384"/>
      <c r="G310" s="1384"/>
      <c r="H310" s="1070"/>
      <c r="I310" s="1070"/>
      <c r="J310" s="1315"/>
      <c r="K310" s="1316"/>
      <c r="L310" s="1316"/>
      <c r="M310" s="1315"/>
      <c r="N310" s="1070"/>
      <c r="O310" s="1070"/>
      <c r="P310" s="1070"/>
      <c r="Q310" s="1070"/>
      <c r="R310" s="1070"/>
      <c r="S310" s="1070"/>
      <c r="T310" s="1070"/>
      <c r="U310" s="1070"/>
      <c r="V310" s="1070"/>
      <c r="W310" s="1070"/>
      <c r="X310" s="1070"/>
      <c r="Y310" s="1070"/>
      <c r="Z310" s="1070"/>
      <c r="AA310" s="1070"/>
      <c r="AB310" s="1070"/>
      <c r="AC310" s="1070"/>
      <c r="AD310" s="1070"/>
      <c r="AE310" s="1070"/>
      <c r="AF310" s="1070"/>
      <c r="AG310" s="1070"/>
      <c r="AH310" s="1070"/>
      <c r="AI310" s="1070"/>
      <c r="AJ310" s="1070"/>
      <c r="AK310" s="1070"/>
      <c r="AL310" s="1070"/>
      <c r="AM310" s="1070"/>
      <c r="AN310" s="1070"/>
      <c r="AO310" s="1070"/>
      <c r="AP310" s="1070"/>
      <c r="AQ310" s="1070"/>
      <c r="AR310" s="1070"/>
      <c r="AS310" s="1070"/>
      <c r="AT310" s="1070"/>
      <c r="AU310" s="1070"/>
      <c r="AV310" s="1070"/>
      <c r="AW310" s="1070"/>
      <c r="AX310" s="1070"/>
      <c r="AY310" s="1070"/>
      <c r="AZ310" s="1070"/>
      <c r="BA310" s="1070"/>
      <c r="BB310" s="1070"/>
      <c r="BC310" s="1070"/>
      <c r="BD310" s="1070"/>
      <c r="BE310" s="1070"/>
      <c r="BF310" s="1070"/>
      <c r="BG310" s="1070"/>
      <c r="BH310" s="1070"/>
      <c r="BI310" s="1070"/>
      <c r="BJ310" s="1070"/>
      <c r="BK310" s="1070"/>
      <c r="BL310" s="1070"/>
      <c r="BM310" s="1070"/>
      <c r="BN310" s="1070"/>
      <c r="BO310" s="1070"/>
      <c r="BP310" s="1070"/>
      <c r="BQ310" s="1070"/>
      <c r="BR310" s="1070"/>
      <c r="BS310" s="1070"/>
      <c r="BT310" s="1070"/>
      <c r="BU310" s="1070"/>
      <c r="BV310" s="1070"/>
      <c r="BW310" s="1070"/>
      <c r="BX310" s="1070"/>
      <c r="BY310" s="1070"/>
      <c r="BZ310" s="1070"/>
      <c r="CA310" s="1070"/>
      <c r="CB310" s="1070"/>
      <c r="CC310" s="1070"/>
      <c r="CD310" s="1070"/>
      <c r="CE310" s="1070"/>
      <c r="CF310" s="1070"/>
      <c r="CG310" s="1070"/>
      <c r="CH310" s="1070"/>
      <c r="CI310" s="1070"/>
      <c r="CJ310" s="1070"/>
      <c r="CK310" s="1070"/>
      <c r="CL310" s="1070"/>
      <c r="CM310" s="1070"/>
      <c r="CN310" s="1070"/>
      <c r="CO310" s="1070"/>
      <c r="CP310" s="1070"/>
      <c r="CQ310" s="1070"/>
      <c r="CR310" s="1070"/>
      <c r="CS310" s="1070"/>
      <c r="CT310" s="1070"/>
      <c r="CU310" s="1070"/>
      <c r="CV310" s="1070"/>
      <c r="CW310" s="1070"/>
      <c r="CX310" s="1070"/>
      <c r="CY310" s="1070"/>
      <c r="CZ310" s="1070"/>
      <c r="DA310" s="1070"/>
      <c r="DB310" s="1070"/>
      <c r="DC310" s="1070"/>
      <c r="DD310" s="1070"/>
      <c r="DE310" s="1070"/>
      <c r="DF310" s="1070"/>
      <c r="DG310" s="1070"/>
      <c r="DH310" s="1070"/>
      <c r="DI310" s="1070"/>
    </row>
    <row r="311" spans="1:113" ht="31.5" x14ac:dyDescent="0.25">
      <c r="A311" s="875" t="s">
        <v>3261</v>
      </c>
      <c r="B311" s="1394">
        <f>B267</f>
        <v>0.8</v>
      </c>
      <c r="C311" s="1384"/>
      <c r="D311" s="1384"/>
      <c r="E311" s="1384"/>
      <c r="F311" s="1384"/>
      <c r="G311" s="1384"/>
      <c r="H311" s="1070"/>
      <c r="I311" s="1070"/>
      <c r="J311" s="1315"/>
      <c r="K311" s="1316"/>
      <c r="L311" s="1316"/>
      <c r="M311" s="1315"/>
      <c r="N311" s="1070"/>
      <c r="O311" s="1070"/>
      <c r="P311" s="1070"/>
      <c r="Q311" s="1070"/>
      <c r="R311" s="1070"/>
      <c r="S311" s="1070"/>
      <c r="T311" s="1070"/>
      <c r="U311" s="1070"/>
      <c r="V311" s="1070"/>
      <c r="W311" s="1070"/>
      <c r="X311" s="1070"/>
      <c r="Y311" s="1070"/>
      <c r="Z311" s="1070"/>
      <c r="AA311" s="1070"/>
      <c r="AB311" s="1070"/>
      <c r="AC311" s="1070"/>
      <c r="AD311" s="1070"/>
      <c r="AE311" s="1070"/>
      <c r="AF311" s="1070"/>
      <c r="AG311" s="1070"/>
      <c r="AH311" s="1070"/>
      <c r="AI311" s="1070"/>
      <c r="AJ311" s="1070"/>
      <c r="AK311" s="1070"/>
      <c r="AL311" s="1070"/>
      <c r="AM311" s="1070"/>
      <c r="AN311" s="1070"/>
      <c r="AO311" s="1070"/>
      <c r="AP311" s="1070"/>
      <c r="AQ311" s="1070"/>
      <c r="AR311" s="1070"/>
      <c r="AS311" s="1070"/>
      <c r="AT311" s="1070"/>
      <c r="AU311" s="1070"/>
      <c r="AV311" s="1070"/>
      <c r="AW311" s="1070"/>
      <c r="AX311" s="1070"/>
      <c r="AY311" s="1070"/>
      <c r="AZ311" s="1070"/>
      <c r="BA311" s="1070"/>
      <c r="BB311" s="1070"/>
      <c r="BC311" s="1070"/>
      <c r="BD311" s="1070"/>
      <c r="BE311" s="1070"/>
      <c r="BF311" s="1070"/>
      <c r="BG311" s="1070"/>
      <c r="BH311" s="1070"/>
      <c r="BI311" s="1070"/>
      <c r="BJ311" s="1070"/>
      <c r="BK311" s="1070"/>
      <c r="BL311" s="1070"/>
      <c r="BM311" s="1070"/>
      <c r="BN311" s="1070"/>
      <c r="BO311" s="1070"/>
      <c r="BP311" s="1070"/>
      <c r="BQ311" s="1070"/>
      <c r="BR311" s="1070"/>
      <c r="BS311" s="1070"/>
      <c r="BT311" s="1070"/>
      <c r="BU311" s="1070"/>
      <c r="BV311" s="1070"/>
      <c r="BW311" s="1070"/>
      <c r="BX311" s="1070"/>
      <c r="BY311" s="1070"/>
      <c r="BZ311" s="1070"/>
      <c r="CA311" s="1070"/>
      <c r="CB311" s="1070"/>
      <c r="CC311" s="1070"/>
      <c r="CD311" s="1070"/>
      <c r="CE311" s="1070"/>
      <c r="CF311" s="1070"/>
      <c r="CG311" s="1070"/>
      <c r="CH311" s="1070"/>
      <c r="CI311" s="1070"/>
      <c r="CJ311" s="1070"/>
      <c r="CK311" s="1070"/>
      <c r="CL311" s="1070"/>
      <c r="CM311" s="1070"/>
      <c r="CN311" s="1070"/>
      <c r="CO311" s="1070"/>
      <c r="CP311" s="1070"/>
      <c r="CQ311" s="1070"/>
      <c r="CR311" s="1070"/>
      <c r="CS311" s="1070"/>
      <c r="CT311" s="1070"/>
      <c r="CU311" s="1070"/>
      <c r="CV311" s="1070"/>
      <c r="CW311" s="1070"/>
      <c r="CX311" s="1070"/>
      <c r="CY311" s="1070"/>
      <c r="CZ311" s="1070"/>
      <c r="DA311" s="1070"/>
      <c r="DB311" s="1070"/>
      <c r="DC311" s="1070"/>
      <c r="DD311" s="1070"/>
      <c r="DE311" s="1070"/>
      <c r="DF311" s="1070"/>
      <c r="DG311" s="1070"/>
      <c r="DH311" s="1070"/>
      <c r="DI311" s="1070"/>
    </row>
    <row r="312" spans="1:113" ht="31.5" x14ac:dyDescent="0.25">
      <c r="A312" s="875" t="s">
        <v>1501</v>
      </c>
      <c r="B312" s="1394" t="e">
        <f>B206</f>
        <v>#VALUE!</v>
      </c>
      <c r="C312" s="1384"/>
      <c r="D312" s="1384"/>
      <c r="E312" s="1384"/>
      <c r="F312" s="1384"/>
      <c r="G312" s="1384"/>
      <c r="H312" s="1070"/>
      <c r="I312" s="1070"/>
      <c r="J312" s="1315"/>
      <c r="K312" s="1316"/>
      <c r="L312" s="1316"/>
      <c r="M312" s="1315"/>
      <c r="N312" s="1070"/>
      <c r="O312" s="1070"/>
      <c r="P312" s="1070"/>
      <c r="Q312" s="1070"/>
      <c r="R312" s="1070"/>
      <c r="S312" s="1070"/>
      <c r="T312" s="1070"/>
      <c r="U312" s="1070"/>
      <c r="V312" s="1070"/>
      <c r="W312" s="1070"/>
      <c r="X312" s="1070"/>
      <c r="Y312" s="1070"/>
      <c r="Z312" s="1070"/>
      <c r="AA312" s="1070"/>
      <c r="AB312" s="1070"/>
      <c r="AC312" s="1070"/>
      <c r="AD312" s="1070"/>
      <c r="AE312" s="1070"/>
      <c r="AF312" s="1070"/>
      <c r="AG312" s="1070"/>
      <c r="AH312" s="1070"/>
      <c r="AI312" s="1070"/>
      <c r="AJ312" s="1070"/>
      <c r="AK312" s="1070"/>
      <c r="AL312" s="1070"/>
      <c r="AM312" s="1070"/>
      <c r="AN312" s="1070"/>
      <c r="AO312" s="1070"/>
      <c r="AP312" s="1070"/>
      <c r="AQ312" s="1070"/>
      <c r="AR312" s="1070"/>
      <c r="AS312" s="1070"/>
      <c r="AT312" s="1070"/>
      <c r="AU312" s="1070"/>
      <c r="AV312" s="1070"/>
      <c r="AW312" s="1070"/>
      <c r="AX312" s="1070"/>
      <c r="AY312" s="1070"/>
      <c r="AZ312" s="1070"/>
      <c r="BA312" s="1070"/>
      <c r="BB312" s="1070"/>
      <c r="BC312" s="1070"/>
      <c r="BD312" s="1070"/>
      <c r="BE312" s="1070"/>
      <c r="BF312" s="1070"/>
      <c r="BG312" s="1070"/>
      <c r="BH312" s="1070"/>
      <c r="BI312" s="1070"/>
      <c r="BJ312" s="1070"/>
      <c r="BK312" s="1070"/>
      <c r="BL312" s="1070"/>
      <c r="BM312" s="1070"/>
      <c r="BN312" s="1070"/>
      <c r="BO312" s="1070"/>
      <c r="BP312" s="1070"/>
      <c r="BQ312" s="1070"/>
      <c r="BR312" s="1070"/>
      <c r="BS312" s="1070"/>
      <c r="BT312" s="1070"/>
      <c r="BU312" s="1070"/>
      <c r="BV312" s="1070"/>
      <c r="BW312" s="1070"/>
      <c r="BX312" s="1070"/>
      <c r="BY312" s="1070"/>
      <c r="BZ312" s="1070"/>
      <c r="CA312" s="1070"/>
      <c r="CB312" s="1070"/>
      <c r="CC312" s="1070"/>
      <c r="CD312" s="1070"/>
      <c r="CE312" s="1070"/>
      <c r="CF312" s="1070"/>
      <c r="CG312" s="1070"/>
      <c r="CH312" s="1070"/>
      <c r="CI312" s="1070"/>
      <c r="CJ312" s="1070"/>
      <c r="CK312" s="1070"/>
      <c r="CL312" s="1070"/>
      <c r="CM312" s="1070"/>
      <c r="CN312" s="1070"/>
      <c r="CO312" s="1070"/>
      <c r="CP312" s="1070"/>
      <c r="CQ312" s="1070"/>
      <c r="CR312" s="1070"/>
      <c r="CS312" s="1070"/>
      <c r="CT312" s="1070"/>
      <c r="CU312" s="1070"/>
      <c r="CV312" s="1070"/>
      <c r="CW312" s="1070"/>
      <c r="CX312" s="1070"/>
      <c r="CY312" s="1070"/>
      <c r="CZ312" s="1070"/>
      <c r="DA312" s="1070"/>
      <c r="DB312" s="1070"/>
      <c r="DC312" s="1070"/>
      <c r="DD312" s="1070"/>
      <c r="DE312" s="1070"/>
      <c r="DF312" s="1070"/>
      <c r="DG312" s="1070"/>
      <c r="DH312" s="1070"/>
      <c r="DI312" s="1070"/>
    </row>
    <row r="313" spans="1:113" ht="31.5" x14ac:dyDescent="0.25">
      <c r="A313" s="875" t="s">
        <v>1502</v>
      </c>
      <c r="B313" s="1394" t="e">
        <f>B207</f>
        <v>#VALUE!</v>
      </c>
      <c r="C313" s="1384"/>
      <c r="D313" s="1384"/>
      <c r="E313" s="1384"/>
      <c r="F313" s="1384"/>
      <c r="G313" s="1384"/>
      <c r="H313" s="1070"/>
      <c r="I313" s="1070"/>
      <c r="J313" s="1315"/>
      <c r="K313" s="1316"/>
      <c r="L313" s="1316"/>
      <c r="M313" s="1315"/>
      <c r="N313" s="1070"/>
      <c r="O313" s="1070"/>
      <c r="P313" s="1070"/>
      <c r="Q313" s="1070"/>
      <c r="R313" s="1070"/>
      <c r="S313" s="1070"/>
      <c r="T313" s="1070"/>
      <c r="U313" s="1070"/>
      <c r="V313" s="1070"/>
      <c r="W313" s="1070"/>
      <c r="X313" s="1070"/>
      <c r="Y313" s="1070"/>
      <c r="Z313" s="1070"/>
      <c r="AA313" s="1070"/>
      <c r="AB313" s="1070"/>
      <c r="AC313" s="1070"/>
      <c r="AD313" s="1070"/>
      <c r="AE313" s="1070"/>
      <c r="AF313" s="1070"/>
      <c r="AG313" s="1070"/>
      <c r="AH313" s="1070"/>
      <c r="AI313" s="1070"/>
      <c r="AJ313" s="1070"/>
      <c r="AK313" s="1070"/>
      <c r="AL313" s="1070"/>
      <c r="AM313" s="1070"/>
      <c r="AN313" s="1070"/>
      <c r="AO313" s="1070"/>
      <c r="AP313" s="1070"/>
      <c r="AQ313" s="1070"/>
      <c r="AR313" s="1070"/>
      <c r="AS313" s="1070"/>
      <c r="AT313" s="1070"/>
      <c r="AU313" s="1070"/>
      <c r="AV313" s="1070"/>
      <c r="AW313" s="1070"/>
      <c r="AX313" s="1070"/>
      <c r="AY313" s="1070"/>
      <c r="AZ313" s="1070"/>
      <c r="BA313" s="1070"/>
      <c r="BB313" s="1070"/>
      <c r="BC313" s="1070"/>
      <c r="BD313" s="1070"/>
      <c r="BE313" s="1070"/>
      <c r="BF313" s="1070"/>
      <c r="BG313" s="1070"/>
      <c r="BH313" s="1070"/>
      <c r="BI313" s="1070"/>
      <c r="BJ313" s="1070"/>
      <c r="BK313" s="1070"/>
      <c r="BL313" s="1070"/>
      <c r="BM313" s="1070"/>
      <c r="BN313" s="1070"/>
      <c r="BO313" s="1070"/>
      <c r="BP313" s="1070"/>
      <c r="BQ313" s="1070"/>
      <c r="BR313" s="1070"/>
      <c r="BS313" s="1070"/>
      <c r="BT313" s="1070"/>
      <c r="BU313" s="1070"/>
      <c r="BV313" s="1070"/>
      <c r="BW313" s="1070"/>
      <c r="BX313" s="1070"/>
      <c r="BY313" s="1070"/>
      <c r="BZ313" s="1070"/>
      <c r="CA313" s="1070"/>
      <c r="CB313" s="1070"/>
      <c r="CC313" s="1070"/>
      <c r="CD313" s="1070"/>
      <c r="CE313" s="1070"/>
      <c r="CF313" s="1070"/>
      <c r="CG313" s="1070"/>
      <c r="CH313" s="1070"/>
      <c r="CI313" s="1070"/>
      <c r="CJ313" s="1070"/>
      <c r="CK313" s="1070"/>
      <c r="CL313" s="1070"/>
      <c r="CM313" s="1070"/>
      <c r="CN313" s="1070"/>
      <c r="CO313" s="1070"/>
      <c r="CP313" s="1070"/>
      <c r="CQ313" s="1070"/>
      <c r="CR313" s="1070"/>
      <c r="CS313" s="1070"/>
      <c r="CT313" s="1070"/>
      <c r="CU313" s="1070"/>
      <c r="CV313" s="1070"/>
      <c r="CW313" s="1070"/>
      <c r="CX313" s="1070"/>
      <c r="CY313" s="1070"/>
      <c r="CZ313" s="1070"/>
      <c r="DA313" s="1070"/>
      <c r="DB313" s="1070"/>
      <c r="DC313" s="1070"/>
      <c r="DD313" s="1070"/>
      <c r="DE313" s="1070"/>
      <c r="DF313" s="1070"/>
      <c r="DG313" s="1070"/>
      <c r="DH313" s="1070"/>
      <c r="DI313" s="1070"/>
    </row>
    <row r="314" spans="1:113" ht="15.75" x14ac:dyDescent="0.25">
      <c r="A314" s="875" t="s">
        <v>565</v>
      </c>
      <c r="B314" s="1397">
        <f>B208</f>
        <v>0</v>
      </c>
      <c r="C314" s="1384"/>
      <c r="D314" s="1384"/>
      <c r="E314" s="1384"/>
      <c r="F314" s="1384"/>
      <c r="G314" s="1384"/>
      <c r="H314" s="1070"/>
      <c r="I314" s="1070"/>
      <c r="J314" s="1315"/>
      <c r="K314" s="1316"/>
      <c r="L314" s="1316"/>
      <c r="M314" s="1315"/>
      <c r="N314" s="1070"/>
      <c r="O314" s="1070"/>
      <c r="P314" s="1070"/>
      <c r="Q314" s="1070"/>
      <c r="R314" s="1070"/>
      <c r="S314" s="1070"/>
      <c r="T314" s="1070"/>
      <c r="U314" s="1070"/>
      <c r="V314" s="1070"/>
      <c r="W314" s="1070"/>
      <c r="X314" s="1070"/>
      <c r="Y314" s="1070"/>
      <c r="Z314" s="1070"/>
      <c r="AA314" s="1070"/>
      <c r="AB314" s="1070"/>
      <c r="AC314" s="1070"/>
      <c r="AD314" s="1070"/>
      <c r="AE314" s="1070"/>
      <c r="AF314" s="1070"/>
      <c r="AG314" s="1070"/>
      <c r="AH314" s="1070"/>
      <c r="AI314" s="1070"/>
      <c r="AJ314" s="1070"/>
      <c r="AK314" s="1070"/>
      <c r="AL314" s="1070"/>
      <c r="AM314" s="1070"/>
      <c r="AN314" s="1070"/>
      <c r="AO314" s="1070"/>
      <c r="AP314" s="1070"/>
      <c r="AQ314" s="1070"/>
      <c r="AR314" s="1070"/>
      <c r="AS314" s="1070"/>
      <c r="AT314" s="1070"/>
      <c r="AU314" s="1070"/>
      <c r="AV314" s="1070"/>
      <c r="AW314" s="1070"/>
      <c r="AX314" s="1070"/>
      <c r="AY314" s="1070"/>
      <c r="AZ314" s="1070"/>
      <c r="BA314" s="1070"/>
      <c r="BB314" s="1070"/>
      <c r="BC314" s="1070"/>
      <c r="BD314" s="1070"/>
      <c r="BE314" s="1070"/>
      <c r="BF314" s="1070"/>
      <c r="BG314" s="1070"/>
      <c r="BH314" s="1070"/>
      <c r="BI314" s="1070"/>
      <c r="BJ314" s="1070"/>
      <c r="BK314" s="1070"/>
      <c r="BL314" s="1070"/>
      <c r="BM314" s="1070"/>
      <c r="BN314" s="1070"/>
      <c r="BO314" s="1070"/>
      <c r="BP314" s="1070"/>
      <c r="BQ314" s="1070"/>
      <c r="BR314" s="1070"/>
      <c r="BS314" s="1070"/>
      <c r="BT314" s="1070"/>
      <c r="BU314" s="1070"/>
      <c r="BV314" s="1070"/>
      <c r="BW314" s="1070"/>
      <c r="BX314" s="1070"/>
      <c r="BY314" s="1070"/>
      <c r="BZ314" s="1070"/>
      <c r="CA314" s="1070"/>
      <c r="CB314" s="1070"/>
      <c r="CC314" s="1070"/>
      <c r="CD314" s="1070"/>
      <c r="CE314" s="1070"/>
      <c r="CF314" s="1070"/>
      <c r="CG314" s="1070"/>
      <c r="CH314" s="1070"/>
      <c r="CI314" s="1070"/>
      <c r="CJ314" s="1070"/>
      <c r="CK314" s="1070"/>
      <c r="CL314" s="1070"/>
      <c r="CM314" s="1070"/>
      <c r="CN314" s="1070"/>
      <c r="CO314" s="1070"/>
      <c r="CP314" s="1070"/>
      <c r="CQ314" s="1070"/>
      <c r="CR314" s="1070"/>
      <c r="CS314" s="1070"/>
      <c r="CT314" s="1070"/>
      <c r="CU314" s="1070"/>
      <c r="CV314" s="1070"/>
      <c r="CW314" s="1070"/>
      <c r="CX314" s="1070"/>
      <c r="CY314" s="1070"/>
      <c r="CZ314" s="1070"/>
      <c r="DA314" s="1070"/>
      <c r="DB314" s="1070"/>
      <c r="DC314" s="1070"/>
      <c r="DD314" s="1070"/>
      <c r="DE314" s="1070"/>
      <c r="DF314" s="1070"/>
      <c r="DG314" s="1070"/>
      <c r="DH314" s="1070"/>
      <c r="DI314" s="1070"/>
    </row>
    <row r="315" spans="1:113" ht="15.75" x14ac:dyDescent="0.25">
      <c r="A315" s="875" t="s">
        <v>2005</v>
      </c>
      <c r="B315" s="1397">
        <f>B209</f>
        <v>0</v>
      </c>
      <c r="C315" s="1384"/>
      <c r="D315" s="1384"/>
      <c r="E315" s="1384"/>
      <c r="F315" s="1384"/>
      <c r="G315" s="1384"/>
      <c r="H315" s="1070"/>
      <c r="I315" s="1070"/>
      <c r="J315" s="1315"/>
      <c r="K315" s="1316"/>
      <c r="L315" s="1316"/>
      <c r="M315" s="1315"/>
      <c r="N315" s="1070"/>
      <c r="O315" s="1070"/>
      <c r="P315" s="1070"/>
      <c r="Q315" s="1070"/>
      <c r="R315" s="1070"/>
      <c r="S315" s="1070"/>
      <c r="T315" s="1070"/>
      <c r="U315" s="1070"/>
      <c r="V315" s="1070"/>
      <c r="W315" s="1070"/>
      <c r="X315" s="1070"/>
      <c r="Y315" s="1070"/>
      <c r="Z315" s="1070"/>
      <c r="AA315" s="1070"/>
      <c r="AB315" s="1070"/>
      <c r="AC315" s="1070"/>
      <c r="AD315" s="1070"/>
      <c r="AE315" s="1070"/>
      <c r="AF315" s="1070"/>
      <c r="AG315" s="1070"/>
      <c r="AH315" s="1070"/>
      <c r="AI315" s="1070"/>
      <c r="AJ315" s="1070"/>
      <c r="AK315" s="1070"/>
      <c r="AL315" s="1070"/>
      <c r="AM315" s="1070"/>
      <c r="AN315" s="1070"/>
      <c r="AO315" s="1070"/>
      <c r="AP315" s="1070"/>
      <c r="AQ315" s="1070"/>
      <c r="AR315" s="1070"/>
      <c r="AS315" s="1070"/>
      <c r="AT315" s="1070"/>
      <c r="AU315" s="1070"/>
      <c r="AV315" s="1070"/>
      <c r="AW315" s="1070"/>
      <c r="AX315" s="1070"/>
      <c r="AY315" s="1070"/>
      <c r="AZ315" s="1070"/>
      <c r="BA315" s="1070"/>
      <c r="BB315" s="1070"/>
      <c r="BC315" s="1070"/>
      <c r="BD315" s="1070"/>
      <c r="BE315" s="1070"/>
      <c r="BF315" s="1070"/>
      <c r="BG315" s="1070"/>
      <c r="BH315" s="1070"/>
      <c r="BI315" s="1070"/>
      <c r="BJ315" s="1070"/>
      <c r="BK315" s="1070"/>
      <c r="BL315" s="1070"/>
      <c r="BM315" s="1070"/>
      <c r="BN315" s="1070"/>
      <c r="BO315" s="1070"/>
      <c r="BP315" s="1070"/>
      <c r="BQ315" s="1070"/>
      <c r="BR315" s="1070"/>
      <c r="BS315" s="1070"/>
      <c r="BT315" s="1070"/>
      <c r="BU315" s="1070"/>
      <c r="BV315" s="1070"/>
      <c r="BW315" s="1070"/>
      <c r="BX315" s="1070"/>
      <c r="BY315" s="1070"/>
      <c r="BZ315" s="1070"/>
      <c r="CA315" s="1070"/>
      <c r="CB315" s="1070"/>
      <c r="CC315" s="1070"/>
      <c r="CD315" s="1070"/>
      <c r="CE315" s="1070"/>
      <c r="CF315" s="1070"/>
      <c r="CG315" s="1070"/>
      <c r="CH315" s="1070"/>
      <c r="CI315" s="1070"/>
      <c r="CJ315" s="1070"/>
      <c r="CK315" s="1070"/>
      <c r="CL315" s="1070"/>
      <c r="CM315" s="1070"/>
      <c r="CN315" s="1070"/>
      <c r="CO315" s="1070"/>
      <c r="CP315" s="1070"/>
      <c r="CQ315" s="1070"/>
      <c r="CR315" s="1070"/>
      <c r="CS315" s="1070"/>
      <c r="CT315" s="1070"/>
      <c r="CU315" s="1070"/>
      <c r="CV315" s="1070"/>
      <c r="CW315" s="1070"/>
      <c r="CX315" s="1070"/>
      <c r="CY315" s="1070"/>
      <c r="CZ315" s="1070"/>
      <c r="DA315" s="1070"/>
      <c r="DB315" s="1070"/>
      <c r="DC315" s="1070"/>
      <c r="DD315" s="1070"/>
      <c r="DE315" s="1070"/>
      <c r="DF315" s="1070"/>
      <c r="DG315" s="1070"/>
      <c r="DH315" s="1070"/>
      <c r="DI315" s="1070"/>
    </row>
    <row r="316" spans="1:113" ht="15.75" x14ac:dyDescent="0.2">
      <c r="A316" s="1136"/>
      <c r="B316" s="1136"/>
      <c r="C316" s="1384"/>
      <c r="D316" s="1384"/>
      <c r="E316" s="1384"/>
      <c r="F316" s="1384"/>
      <c r="G316" s="1384"/>
      <c r="H316" s="1070"/>
      <c r="I316" s="1070"/>
      <c r="J316" s="1315"/>
      <c r="K316" s="1316"/>
      <c r="L316" s="1316"/>
      <c r="M316" s="1315"/>
      <c r="N316" s="1070"/>
      <c r="O316" s="1070"/>
      <c r="P316" s="1070"/>
      <c r="Q316" s="1070"/>
      <c r="R316" s="1070"/>
      <c r="S316" s="1070"/>
      <c r="T316" s="1070"/>
      <c r="U316" s="1070"/>
      <c r="V316" s="1070"/>
      <c r="W316" s="1070"/>
      <c r="X316" s="1070"/>
      <c r="Y316" s="1070"/>
      <c r="Z316" s="1070"/>
      <c r="AA316" s="1070"/>
      <c r="AB316" s="1070"/>
      <c r="AC316" s="1070"/>
      <c r="AD316" s="1070"/>
      <c r="AE316" s="1070"/>
      <c r="AF316" s="1070"/>
      <c r="AG316" s="1070"/>
      <c r="AH316" s="1070"/>
      <c r="AI316" s="1070"/>
      <c r="AJ316" s="1070"/>
      <c r="AK316" s="1070"/>
      <c r="AL316" s="1070"/>
      <c r="AM316" s="1070"/>
      <c r="AN316" s="1070"/>
      <c r="AO316" s="1070"/>
      <c r="AP316" s="1070"/>
      <c r="AQ316" s="1070"/>
      <c r="AR316" s="1070"/>
      <c r="AS316" s="1070"/>
      <c r="AT316" s="1070"/>
      <c r="AU316" s="1070"/>
      <c r="AV316" s="1070"/>
      <c r="AW316" s="1070"/>
      <c r="AX316" s="1070"/>
      <c r="AY316" s="1070"/>
      <c r="AZ316" s="1070"/>
      <c r="BA316" s="1070"/>
      <c r="BB316" s="1070"/>
      <c r="BC316" s="1070"/>
      <c r="BD316" s="1070"/>
      <c r="BE316" s="1070"/>
      <c r="BF316" s="1070"/>
      <c r="BG316" s="1070"/>
      <c r="BH316" s="1070"/>
      <c r="BI316" s="1070"/>
      <c r="BJ316" s="1070"/>
      <c r="BK316" s="1070"/>
      <c r="BL316" s="1070"/>
      <c r="BM316" s="1070"/>
      <c r="BN316" s="1070"/>
      <c r="BO316" s="1070"/>
      <c r="BP316" s="1070"/>
      <c r="BQ316" s="1070"/>
      <c r="BR316" s="1070"/>
      <c r="BS316" s="1070"/>
      <c r="BT316" s="1070"/>
      <c r="BU316" s="1070"/>
      <c r="BV316" s="1070"/>
      <c r="BW316" s="1070"/>
      <c r="BX316" s="1070"/>
      <c r="BY316" s="1070"/>
      <c r="BZ316" s="1070"/>
      <c r="CA316" s="1070"/>
      <c r="CB316" s="1070"/>
      <c r="CC316" s="1070"/>
      <c r="CD316" s="1070"/>
      <c r="CE316" s="1070"/>
      <c r="CF316" s="1070"/>
      <c r="CG316" s="1070"/>
      <c r="CH316" s="1070"/>
      <c r="CI316" s="1070"/>
      <c r="CJ316" s="1070"/>
      <c r="CK316" s="1070"/>
      <c r="CL316" s="1070"/>
      <c r="CM316" s="1070"/>
      <c r="CN316" s="1070"/>
      <c r="CO316" s="1070"/>
      <c r="CP316" s="1070"/>
      <c r="CQ316" s="1070"/>
      <c r="CR316" s="1070"/>
      <c r="CS316" s="1070"/>
      <c r="CT316" s="1070"/>
      <c r="CU316" s="1070"/>
      <c r="CV316" s="1070"/>
      <c r="CW316" s="1070"/>
      <c r="CX316" s="1070"/>
      <c r="CY316" s="1070"/>
      <c r="CZ316" s="1070"/>
      <c r="DA316" s="1070"/>
      <c r="DB316" s="1070"/>
      <c r="DC316" s="1070"/>
      <c r="DD316" s="1070"/>
      <c r="DE316" s="1070"/>
      <c r="DF316" s="1070"/>
      <c r="DG316" s="1070"/>
      <c r="DH316" s="1070"/>
      <c r="DI316" s="1070"/>
    </row>
    <row r="317" spans="1:113" ht="15.75" x14ac:dyDescent="0.25">
      <c r="A317" s="875" t="s">
        <v>3262</v>
      </c>
      <c r="B317" s="1397">
        <f>B249</f>
        <v>2.2000000000000002</v>
      </c>
      <c r="C317" s="1384"/>
      <c r="D317" s="1384"/>
      <c r="E317" s="1384"/>
      <c r="F317" s="1384"/>
      <c r="G317" s="1384"/>
      <c r="H317" s="1070"/>
      <c r="I317" s="1070"/>
      <c r="J317" s="1315"/>
      <c r="K317" s="1316"/>
      <c r="L317" s="1316"/>
      <c r="M317" s="1315"/>
      <c r="N317" s="1070"/>
      <c r="O317" s="1070"/>
      <c r="P317" s="1070"/>
      <c r="Q317" s="1070"/>
      <c r="R317" s="1070"/>
      <c r="S317" s="1070"/>
      <c r="T317" s="1070"/>
      <c r="U317" s="1070"/>
      <c r="V317" s="1070"/>
      <c r="W317" s="1070"/>
      <c r="X317" s="1070"/>
      <c r="Y317" s="1070"/>
      <c r="Z317" s="1070"/>
      <c r="AA317" s="1070"/>
      <c r="AB317" s="1070"/>
      <c r="AC317" s="1070"/>
      <c r="AD317" s="1070"/>
      <c r="AE317" s="1070"/>
      <c r="AF317" s="1070"/>
      <c r="AG317" s="1070"/>
      <c r="AH317" s="1070"/>
      <c r="AI317" s="1070"/>
      <c r="AJ317" s="1070"/>
      <c r="AK317" s="1070"/>
      <c r="AL317" s="1070"/>
      <c r="AM317" s="1070"/>
      <c r="AN317" s="1070"/>
      <c r="AO317" s="1070"/>
      <c r="AP317" s="1070"/>
      <c r="AQ317" s="1070"/>
      <c r="AR317" s="1070"/>
      <c r="AS317" s="1070"/>
      <c r="AT317" s="1070"/>
      <c r="AU317" s="1070"/>
      <c r="AV317" s="1070"/>
      <c r="AW317" s="1070"/>
      <c r="AX317" s="1070"/>
      <c r="AY317" s="1070"/>
      <c r="AZ317" s="1070"/>
      <c r="BA317" s="1070"/>
      <c r="BB317" s="1070"/>
      <c r="BC317" s="1070"/>
      <c r="BD317" s="1070"/>
      <c r="BE317" s="1070"/>
      <c r="BF317" s="1070"/>
      <c r="BG317" s="1070"/>
      <c r="BH317" s="1070"/>
      <c r="BI317" s="1070"/>
      <c r="BJ317" s="1070"/>
      <c r="BK317" s="1070"/>
      <c r="BL317" s="1070"/>
      <c r="BM317" s="1070"/>
      <c r="BN317" s="1070"/>
      <c r="BO317" s="1070"/>
      <c r="BP317" s="1070"/>
      <c r="BQ317" s="1070"/>
      <c r="BR317" s="1070"/>
      <c r="BS317" s="1070"/>
      <c r="BT317" s="1070"/>
      <c r="BU317" s="1070"/>
      <c r="BV317" s="1070"/>
      <c r="BW317" s="1070"/>
      <c r="BX317" s="1070"/>
      <c r="BY317" s="1070"/>
      <c r="BZ317" s="1070"/>
      <c r="CA317" s="1070"/>
      <c r="CB317" s="1070"/>
      <c r="CC317" s="1070"/>
      <c r="CD317" s="1070"/>
      <c r="CE317" s="1070"/>
      <c r="CF317" s="1070"/>
      <c r="CG317" s="1070"/>
      <c r="CH317" s="1070"/>
      <c r="CI317" s="1070"/>
      <c r="CJ317" s="1070"/>
      <c r="CK317" s="1070"/>
      <c r="CL317" s="1070"/>
      <c r="CM317" s="1070"/>
      <c r="CN317" s="1070"/>
      <c r="CO317" s="1070"/>
      <c r="CP317" s="1070"/>
      <c r="CQ317" s="1070"/>
      <c r="CR317" s="1070"/>
      <c r="CS317" s="1070"/>
      <c r="CT317" s="1070"/>
      <c r="CU317" s="1070"/>
      <c r="CV317" s="1070"/>
      <c r="CW317" s="1070"/>
      <c r="CX317" s="1070"/>
      <c r="CY317" s="1070"/>
      <c r="CZ317" s="1070"/>
      <c r="DA317" s="1070"/>
      <c r="DB317" s="1070"/>
      <c r="DC317" s="1070"/>
      <c r="DD317" s="1070"/>
      <c r="DE317" s="1070"/>
      <c r="DF317" s="1070"/>
      <c r="DG317" s="1070"/>
      <c r="DH317" s="1070"/>
      <c r="DI317" s="1070"/>
    </row>
    <row r="318" spans="1:113" ht="15.75" x14ac:dyDescent="0.25">
      <c r="A318" s="875" t="s">
        <v>2668</v>
      </c>
      <c r="B318" s="1397">
        <f>B250</f>
        <v>0.8</v>
      </c>
      <c r="C318" s="1384"/>
      <c r="D318" s="1384"/>
      <c r="E318" s="1384"/>
      <c r="F318" s="1384"/>
      <c r="G318" s="1384"/>
      <c r="H318" s="1070"/>
      <c r="I318" s="1070"/>
      <c r="J318" s="1315"/>
      <c r="K318" s="1316"/>
      <c r="L318" s="1316"/>
      <c r="M318" s="1315"/>
      <c r="N318" s="1070"/>
      <c r="O318" s="1070"/>
      <c r="P318" s="1070"/>
      <c r="Q318" s="1070"/>
      <c r="R318" s="1070"/>
      <c r="S318" s="1070"/>
      <c r="T318" s="1070"/>
      <c r="U318" s="1070"/>
      <c r="V318" s="1070"/>
      <c r="W318" s="1070"/>
      <c r="X318" s="1070"/>
      <c r="Y318" s="1070"/>
      <c r="Z318" s="1070"/>
      <c r="AA318" s="1070"/>
      <c r="AB318" s="1070"/>
      <c r="AC318" s="1070"/>
      <c r="AD318" s="1070"/>
      <c r="AE318" s="1070"/>
      <c r="AF318" s="1070"/>
      <c r="AG318" s="1070"/>
      <c r="AH318" s="1070"/>
      <c r="AI318" s="1070"/>
      <c r="AJ318" s="1070"/>
      <c r="AK318" s="1070"/>
      <c r="AL318" s="1070"/>
      <c r="AM318" s="1070"/>
      <c r="AN318" s="1070"/>
      <c r="AO318" s="1070"/>
      <c r="AP318" s="1070"/>
      <c r="AQ318" s="1070"/>
      <c r="AR318" s="1070"/>
      <c r="AS318" s="1070"/>
      <c r="AT318" s="1070"/>
      <c r="AU318" s="1070"/>
      <c r="AV318" s="1070"/>
      <c r="AW318" s="1070"/>
      <c r="AX318" s="1070"/>
      <c r="AY318" s="1070"/>
      <c r="AZ318" s="1070"/>
      <c r="BA318" s="1070"/>
      <c r="BB318" s="1070"/>
      <c r="BC318" s="1070"/>
      <c r="BD318" s="1070"/>
      <c r="BE318" s="1070"/>
      <c r="BF318" s="1070"/>
      <c r="BG318" s="1070"/>
      <c r="BH318" s="1070"/>
      <c r="BI318" s="1070"/>
      <c r="BJ318" s="1070"/>
      <c r="BK318" s="1070"/>
      <c r="BL318" s="1070"/>
      <c r="BM318" s="1070"/>
      <c r="BN318" s="1070"/>
      <c r="BO318" s="1070"/>
      <c r="BP318" s="1070"/>
      <c r="BQ318" s="1070"/>
      <c r="BR318" s="1070"/>
      <c r="BS318" s="1070"/>
      <c r="BT318" s="1070"/>
      <c r="BU318" s="1070"/>
      <c r="BV318" s="1070"/>
      <c r="BW318" s="1070"/>
      <c r="BX318" s="1070"/>
      <c r="BY318" s="1070"/>
      <c r="BZ318" s="1070"/>
      <c r="CA318" s="1070"/>
      <c r="CB318" s="1070"/>
      <c r="CC318" s="1070"/>
      <c r="CD318" s="1070"/>
      <c r="CE318" s="1070"/>
      <c r="CF318" s="1070"/>
      <c r="CG318" s="1070"/>
      <c r="CH318" s="1070"/>
      <c r="CI318" s="1070"/>
      <c r="CJ318" s="1070"/>
      <c r="CK318" s="1070"/>
      <c r="CL318" s="1070"/>
      <c r="CM318" s="1070"/>
      <c r="CN318" s="1070"/>
      <c r="CO318" s="1070"/>
      <c r="CP318" s="1070"/>
      <c r="CQ318" s="1070"/>
      <c r="CR318" s="1070"/>
      <c r="CS318" s="1070"/>
      <c r="CT318" s="1070"/>
      <c r="CU318" s="1070"/>
      <c r="CV318" s="1070"/>
      <c r="CW318" s="1070"/>
      <c r="CX318" s="1070"/>
      <c r="CY318" s="1070"/>
      <c r="CZ318" s="1070"/>
      <c r="DA318" s="1070"/>
      <c r="DB318" s="1070"/>
      <c r="DC318" s="1070"/>
      <c r="DD318" s="1070"/>
      <c r="DE318" s="1070"/>
      <c r="DF318" s="1070"/>
      <c r="DG318" s="1070"/>
      <c r="DH318" s="1070"/>
      <c r="DI318" s="1070"/>
    </row>
    <row r="319" spans="1:113" ht="15.75" x14ac:dyDescent="0.25">
      <c r="A319" s="875" t="s">
        <v>1026</v>
      </c>
      <c r="B319" s="1396">
        <f>B240</f>
        <v>4</v>
      </c>
      <c r="C319" s="1384"/>
      <c r="D319" s="1384"/>
      <c r="E319" s="1384"/>
      <c r="F319" s="1384"/>
      <c r="G319" s="1384"/>
      <c r="H319" s="1070"/>
      <c r="I319" s="1070"/>
      <c r="J319" s="1315"/>
      <c r="K319" s="1316"/>
      <c r="L319" s="1316"/>
      <c r="M319" s="1315"/>
      <c r="N319" s="1070"/>
      <c r="O319" s="1070"/>
      <c r="P319" s="1070"/>
      <c r="Q319" s="1070"/>
      <c r="R319" s="1070"/>
      <c r="S319" s="1070"/>
      <c r="T319" s="1070"/>
      <c r="U319" s="1070"/>
      <c r="V319" s="1070"/>
      <c r="W319" s="1070"/>
      <c r="X319" s="1070"/>
      <c r="Y319" s="1070"/>
      <c r="Z319" s="1070"/>
      <c r="AA319" s="1070"/>
      <c r="AB319" s="1070"/>
      <c r="AC319" s="1070"/>
      <c r="AD319" s="1070"/>
      <c r="AE319" s="1070"/>
      <c r="AF319" s="1070"/>
      <c r="AG319" s="1070"/>
      <c r="AH319" s="1070"/>
      <c r="AI319" s="1070"/>
      <c r="AJ319" s="1070"/>
      <c r="AK319" s="1070"/>
      <c r="AL319" s="1070"/>
      <c r="AM319" s="1070"/>
      <c r="AN319" s="1070"/>
      <c r="AO319" s="1070"/>
      <c r="AP319" s="1070"/>
      <c r="AQ319" s="1070"/>
      <c r="AR319" s="1070"/>
      <c r="AS319" s="1070"/>
      <c r="AT319" s="1070"/>
      <c r="AU319" s="1070"/>
      <c r="AV319" s="1070"/>
      <c r="AW319" s="1070"/>
      <c r="AX319" s="1070"/>
      <c r="AY319" s="1070"/>
      <c r="AZ319" s="1070"/>
      <c r="BA319" s="1070"/>
      <c r="BB319" s="1070"/>
      <c r="BC319" s="1070"/>
      <c r="BD319" s="1070"/>
      <c r="BE319" s="1070"/>
      <c r="BF319" s="1070"/>
      <c r="BG319" s="1070"/>
      <c r="BH319" s="1070"/>
      <c r="BI319" s="1070"/>
      <c r="BJ319" s="1070"/>
      <c r="BK319" s="1070"/>
      <c r="BL319" s="1070"/>
      <c r="BM319" s="1070"/>
      <c r="BN319" s="1070"/>
      <c r="BO319" s="1070"/>
      <c r="BP319" s="1070"/>
      <c r="BQ319" s="1070"/>
      <c r="BR319" s="1070"/>
      <c r="BS319" s="1070"/>
      <c r="BT319" s="1070"/>
      <c r="BU319" s="1070"/>
      <c r="BV319" s="1070"/>
      <c r="BW319" s="1070"/>
      <c r="BX319" s="1070"/>
      <c r="BY319" s="1070"/>
      <c r="BZ319" s="1070"/>
      <c r="CA319" s="1070"/>
      <c r="CB319" s="1070"/>
      <c r="CC319" s="1070"/>
      <c r="CD319" s="1070"/>
      <c r="CE319" s="1070"/>
      <c r="CF319" s="1070"/>
      <c r="CG319" s="1070"/>
      <c r="CH319" s="1070"/>
      <c r="CI319" s="1070"/>
      <c r="CJ319" s="1070"/>
      <c r="CK319" s="1070"/>
      <c r="CL319" s="1070"/>
      <c r="CM319" s="1070"/>
      <c r="CN319" s="1070"/>
      <c r="CO319" s="1070"/>
      <c r="CP319" s="1070"/>
      <c r="CQ319" s="1070"/>
      <c r="CR319" s="1070"/>
      <c r="CS319" s="1070"/>
      <c r="CT319" s="1070"/>
      <c r="CU319" s="1070"/>
      <c r="CV319" s="1070"/>
      <c r="CW319" s="1070"/>
      <c r="CX319" s="1070"/>
      <c r="CY319" s="1070"/>
      <c r="CZ319" s="1070"/>
      <c r="DA319" s="1070"/>
      <c r="DB319" s="1070"/>
      <c r="DC319" s="1070"/>
      <c r="DD319" s="1070"/>
      <c r="DE319" s="1070"/>
      <c r="DF319" s="1070"/>
      <c r="DG319" s="1070"/>
      <c r="DH319" s="1070"/>
      <c r="DI319" s="1070"/>
    </row>
    <row r="320" spans="1:113" ht="31.5" x14ac:dyDescent="0.25">
      <c r="A320" s="875" t="s">
        <v>3263</v>
      </c>
      <c r="B320" s="1396">
        <f>B238</f>
        <v>1</v>
      </c>
      <c r="C320" s="1384"/>
      <c r="D320" s="1384"/>
      <c r="E320" s="1384"/>
      <c r="F320" s="1384"/>
      <c r="G320" s="1384"/>
      <c r="H320" s="1070"/>
      <c r="I320" s="1070"/>
      <c r="J320" s="1315"/>
      <c r="K320" s="1316"/>
      <c r="L320" s="1316"/>
      <c r="M320" s="1315"/>
      <c r="N320" s="1070"/>
      <c r="O320" s="1070"/>
      <c r="P320" s="1070"/>
      <c r="Q320" s="1070"/>
      <c r="R320" s="1070"/>
      <c r="S320" s="1070"/>
      <c r="T320" s="1070"/>
      <c r="U320" s="1070"/>
      <c r="V320" s="1070"/>
      <c r="W320" s="1070"/>
      <c r="X320" s="1070"/>
      <c r="Y320" s="1070"/>
      <c r="Z320" s="1070"/>
      <c r="AA320" s="1070"/>
      <c r="AB320" s="1070"/>
      <c r="AC320" s="1070"/>
      <c r="AD320" s="1070"/>
      <c r="AE320" s="1070"/>
      <c r="AF320" s="1070"/>
      <c r="AG320" s="1070"/>
      <c r="AH320" s="1070"/>
      <c r="AI320" s="1070"/>
      <c r="AJ320" s="1070"/>
      <c r="AK320" s="1070"/>
      <c r="AL320" s="1070"/>
      <c r="AM320" s="1070"/>
      <c r="AN320" s="1070"/>
      <c r="AO320" s="1070"/>
      <c r="AP320" s="1070"/>
      <c r="AQ320" s="1070"/>
      <c r="AR320" s="1070"/>
      <c r="AS320" s="1070"/>
      <c r="AT320" s="1070"/>
      <c r="AU320" s="1070"/>
      <c r="AV320" s="1070"/>
      <c r="AW320" s="1070"/>
      <c r="AX320" s="1070"/>
      <c r="AY320" s="1070"/>
      <c r="AZ320" s="1070"/>
      <c r="BA320" s="1070"/>
      <c r="BB320" s="1070"/>
      <c r="BC320" s="1070"/>
      <c r="BD320" s="1070"/>
      <c r="BE320" s="1070"/>
      <c r="BF320" s="1070"/>
      <c r="BG320" s="1070"/>
      <c r="BH320" s="1070"/>
      <c r="BI320" s="1070"/>
      <c r="BJ320" s="1070"/>
      <c r="BK320" s="1070"/>
      <c r="BL320" s="1070"/>
      <c r="BM320" s="1070"/>
      <c r="BN320" s="1070"/>
      <c r="BO320" s="1070"/>
      <c r="BP320" s="1070"/>
      <c r="BQ320" s="1070"/>
      <c r="BR320" s="1070"/>
      <c r="BS320" s="1070"/>
      <c r="BT320" s="1070"/>
      <c r="BU320" s="1070"/>
      <c r="BV320" s="1070"/>
      <c r="BW320" s="1070"/>
      <c r="BX320" s="1070"/>
      <c r="BY320" s="1070"/>
      <c r="BZ320" s="1070"/>
      <c r="CA320" s="1070"/>
      <c r="CB320" s="1070"/>
      <c r="CC320" s="1070"/>
      <c r="CD320" s="1070"/>
      <c r="CE320" s="1070"/>
      <c r="CF320" s="1070"/>
      <c r="CG320" s="1070"/>
      <c r="CH320" s="1070"/>
      <c r="CI320" s="1070"/>
      <c r="CJ320" s="1070"/>
      <c r="CK320" s="1070"/>
      <c r="CL320" s="1070"/>
      <c r="CM320" s="1070"/>
      <c r="CN320" s="1070"/>
      <c r="CO320" s="1070"/>
      <c r="CP320" s="1070"/>
      <c r="CQ320" s="1070"/>
      <c r="CR320" s="1070"/>
      <c r="CS320" s="1070"/>
      <c r="CT320" s="1070"/>
      <c r="CU320" s="1070"/>
      <c r="CV320" s="1070"/>
      <c r="CW320" s="1070"/>
      <c r="CX320" s="1070"/>
      <c r="CY320" s="1070"/>
      <c r="CZ320" s="1070"/>
      <c r="DA320" s="1070"/>
      <c r="DB320" s="1070"/>
      <c r="DC320" s="1070"/>
      <c r="DD320" s="1070"/>
      <c r="DE320" s="1070"/>
      <c r="DF320" s="1070"/>
      <c r="DG320" s="1070"/>
      <c r="DH320" s="1070"/>
      <c r="DI320" s="1070"/>
    </row>
    <row r="321" spans="1:113" ht="31.5" x14ac:dyDescent="0.25">
      <c r="A321" s="875" t="s">
        <v>3264</v>
      </c>
      <c r="B321" s="1398" t="str">
        <f>B220</f>
        <v/>
      </c>
      <c r="C321" s="1384"/>
      <c r="D321" s="1384"/>
      <c r="E321" s="1384"/>
      <c r="F321" s="1384"/>
      <c r="G321" s="1384"/>
      <c r="H321" s="1070"/>
      <c r="I321" s="1070"/>
      <c r="J321" s="1315"/>
      <c r="K321" s="1316"/>
      <c r="L321" s="1316"/>
      <c r="M321" s="1315"/>
      <c r="N321" s="1070"/>
      <c r="O321" s="1070"/>
      <c r="P321" s="1070"/>
      <c r="Q321" s="1070"/>
      <c r="R321" s="1070"/>
      <c r="S321" s="1070"/>
      <c r="T321" s="1070"/>
      <c r="U321" s="1070"/>
      <c r="V321" s="1070"/>
      <c r="W321" s="1070"/>
      <c r="X321" s="1070"/>
      <c r="Y321" s="1070"/>
      <c r="Z321" s="1070"/>
      <c r="AA321" s="1070"/>
      <c r="AB321" s="1070"/>
      <c r="AC321" s="1070"/>
      <c r="AD321" s="1070"/>
      <c r="AE321" s="1070"/>
      <c r="AF321" s="1070"/>
      <c r="AG321" s="1070"/>
      <c r="AH321" s="1070"/>
      <c r="AI321" s="1070"/>
      <c r="AJ321" s="1070"/>
      <c r="AK321" s="1070"/>
      <c r="AL321" s="1070"/>
      <c r="AM321" s="1070"/>
      <c r="AN321" s="1070"/>
      <c r="AO321" s="1070"/>
      <c r="AP321" s="1070"/>
      <c r="AQ321" s="1070"/>
      <c r="AR321" s="1070"/>
      <c r="AS321" s="1070"/>
      <c r="AT321" s="1070"/>
      <c r="AU321" s="1070"/>
      <c r="AV321" s="1070"/>
      <c r="AW321" s="1070"/>
      <c r="AX321" s="1070"/>
      <c r="AY321" s="1070"/>
      <c r="AZ321" s="1070"/>
      <c r="BA321" s="1070"/>
      <c r="BB321" s="1070"/>
      <c r="BC321" s="1070"/>
      <c r="BD321" s="1070"/>
      <c r="BE321" s="1070"/>
      <c r="BF321" s="1070"/>
      <c r="BG321" s="1070"/>
      <c r="BH321" s="1070"/>
      <c r="BI321" s="1070"/>
      <c r="BJ321" s="1070"/>
      <c r="BK321" s="1070"/>
      <c r="BL321" s="1070"/>
      <c r="BM321" s="1070"/>
      <c r="BN321" s="1070"/>
      <c r="BO321" s="1070"/>
      <c r="BP321" s="1070"/>
      <c r="BQ321" s="1070"/>
      <c r="BR321" s="1070"/>
      <c r="BS321" s="1070"/>
      <c r="BT321" s="1070"/>
      <c r="BU321" s="1070"/>
      <c r="BV321" s="1070"/>
      <c r="BW321" s="1070"/>
      <c r="BX321" s="1070"/>
      <c r="BY321" s="1070"/>
      <c r="BZ321" s="1070"/>
      <c r="CA321" s="1070"/>
      <c r="CB321" s="1070"/>
      <c r="CC321" s="1070"/>
      <c r="CD321" s="1070"/>
      <c r="CE321" s="1070"/>
      <c r="CF321" s="1070"/>
      <c r="CG321" s="1070"/>
      <c r="CH321" s="1070"/>
      <c r="CI321" s="1070"/>
      <c r="CJ321" s="1070"/>
      <c r="CK321" s="1070"/>
      <c r="CL321" s="1070"/>
      <c r="CM321" s="1070"/>
      <c r="CN321" s="1070"/>
      <c r="CO321" s="1070"/>
      <c r="CP321" s="1070"/>
      <c r="CQ321" s="1070"/>
      <c r="CR321" s="1070"/>
      <c r="CS321" s="1070"/>
      <c r="CT321" s="1070"/>
      <c r="CU321" s="1070"/>
      <c r="CV321" s="1070"/>
      <c r="CW321" s="1070"/>
      <c r="CX321" s="1070"/>
      <c r="CY321" s="1070"/>
      <c r="CZ321" s="1070"/>
      <c r="DA321" s="1070"/>
      <c r="DB321" s="1070"/>
      <c r="DC321" s="1070"/>
      <c r="DD321" s="1070"/>
      <c r="DE321" s="1070"/>
      <c r="DF321" s="1070"/>
      <c r="DG321" s="1070"/>
      <c r="DH321" s="1070"/>
      <c r="DI321" s="1070"/>
    </row>
    <row r="322" spans="1:113" ht="31.5" x14ac:dyDescent="0.25">
      <c r="A322" s="875" t="s">
        <v>4127</v>
      </c>
      <c r="B322" s="1396" t="str">
        <f>B239</f>
        <v/>
      </c>
      <c r="C322" s="1384"/>
      <c r="D322" s="1384"/>
      <c r="E322" s="1384"/>
      <c r="F322" s="1384"/>
      <c r="G322" s="1384"/>
      <c r="H322" s="1070"/>
      <c r="I322" s="1070"/>
      <c r="J322" s="1315"/>
      <c r="K322" s="1316"/>
      <c r="L322" s="1316"/>
      <c r="M322" s="1315"/>
      <c r="N322" s="1070"/>
      <c r="O322" s="1070"/>
      <c r="P322" s="1070"/>
      <c r="Q322" s="1070"/>
      <c r="R322" s="1070"/>
      <c r="S322" s="1070"/>
      <c r="T322" s="1070"/>
      <c r="U322" s="1070"/>
      <c r="V322" s="1070"/>
      <c r="W322" s="1070"/>
      <c r="X322" s="1070"/>
      <c r="Y322" s="1070"/>
      <c r="Z322" s="1070"/>
      <c r="AA322" s="1070"/>
      <c r="AB322" s="1070"/>
      <c r="AC322" s="1070"/>
      <c r="AD322" s="1070"/>
      <c r="AE322" s="1070"/>
      <c r="AF322" s="1070"/>
      <c r="AG322" s="1070"/>
      <c r="AH322" s="1070"/>
      <c r="AI322" s="1070"/>
      <c r="AJ322" s="1070"/>
      <c r="AK322" s="1070"/>
      <c r="AL322" s="1070"/>
      <c r="AM322" s="1070"/>
      <c r="AN322" s="1070"/>
      <c r="AO322" s="1070"/>
      <c r="AP322" s="1070"/>
      <c r="AQ322" s="1070"/>
      <c r="AR322" s="1070"/>
      <c r="AS322" s="1070"/>
      <c r="AT322" s="1070"/>
      <c r="AU322" s="1070"/>
      <c r="AV322" s="1070"/>
      <c r="AW322" s="1070"/>
      <c r="AX322" s="1070"/>
      <c r="AY322" s="1070"/>
      <c r="AZ322" s="1070"/>
      <c r="BA322" s="1070"/>
      <c r="BB322" s="1070"/>
      <c r="BC322" s="1070"/>
      <c r="BD322" s="1070"/>
      <c r="BE322" s="1070"/>
      <c r="BF322" s="1070"/>
      <c r="BG322" s="1070"/>
      <c r="BH322" s="1070"/>
      <c r="BI322" s="1070"/>
      <c r="BJ322" s="1070"/>
      <c r="BK322" s="1070"/>
      <c r="BL322" s="1070"/>
      <c r="BM322" s="1070"/>
      <c r="BN322" s="1070"/>
      <c r="BO322" s="1070"/>
      <c r="BP322" s="1070"/>
      <c r="BQ322" s="1070"/>
      <c r="BR322" s="1070"/>
      <c r="BS322" s="1070"/>
      <c r="BT322" s="1070"/>
      <c r="BU322" s="1070"/>
      <c r="BV322" s="1070"/>
      <c r="BW322" s="1070"/>
      <c r="BX322" s="1070"/>
      <c r="BY322" s="1070"/>
      <c r="BZ322" s="1070"/>
      <c r="CA322" s="1070"/>
      <c r="CB322" s="1070"/>
      <c r="CC322" s="1070"/>
      <c r="CD322" s="1070"/>
      <c r="CE322" s="1070"/>
      <c r="CF322" s="1070"/>
      <c r="CG322" s="1070"/>
      <c r="CH322" s="1070"/>
      <c r="CI322" s="1070"/>
      <c r="CJ322" s="1070"/>
      <c r="CK322" s="1070"/>
      <c r="CL322" s="1070"/>
      <c r="CM322" s="1070"/>
      <c r="CN322" s="1070"/>
      <c r="CO322" s="1070"/>
      <c r="CP322" s="1070"/>
      <c r="CQ322" s="1070"/>
      <c r="CR322" s="1070"/>
      <c r="CS322" s="1070"/>
      <c r="CT322" s="1070"/>
      <c r="CU322" s="1070"/>
      <c r="CV322" s="1070"/>
      <c r="CW322" s="1070"/>
      <c r="CX322" s="1070"/>
      <c r="CY322" s="1070"/>
      <c r="CZ322" s="1070"/>
      <c r="DA322" s="1070"/>
      <c r="DB322" s="1070"/>
      <c r="DC322" s="1070"/>
      <c r="DD322" s="1070"/>
      <c r="DE322" s="1070"/>
      <c r="DF322" s="1070"/>
      <c r="DG322" s="1070"/>
      <c r="DH322" s="1070"/>
      <c r="DI322" s="1070"/>
    </row>
    <row r="323" spans="1:113" ht="31.5" x14ac:dyDescent="0.25">
      <c r="A323" s="875" t="s">
        <v>4128</v>
      </c>
      <c r="B323" s="1396">
        <f>B256</f>
        <v>1</v>
      </c>
      <c r="C323" s="1384"/>
      <c r="D323" s="1384"/>
      <c r="E323" s="1384"/>
      <c r="F323" s="1384"/>
      <c r="G323" s="1384"/>
      <c r="H323" s="1070"/>
      <c r="I323" s="1070"/>
      <c r="J323" s="1315"/>
      <c r="K323" s="1316"/>
      <c r="L323" s="1316"/>
      <c r="M323" s="1315"/>
      <c r="N323" s="1070"/>
      <c r="O323" s="1070"/>
      <c r="P323" s="1070"/>
      <c r="Q323" s="1070"/>
      <c r="R323" s="1070"/>
      <c r="S323" s="1070"/>
      <c r="T323" s="1070"/>
      <c r="U323" s="1070"/>
      <c r="V323" s="1070"/>
      <c r="W323" s="1070"/>
      <c r="X323" s="1070"/>
      <c r="Y323" s="1070"/>
      <c r="Z323" s="1070"/>
      <c r="AA323" s="1070"/>
      <c r="AB323" s="1070"/>
      <c r="AC323" s="1070"/>
      <c r="AD323" s="1070"/>
      <c r="AE323" s="1070"/>
      <c r="AF323" s="1070"/>
      <c r="AG323" s="1070"/>
      <c r="AH323" s="1070"/>
      <c r="AI323" s="1070"/>
      <c r="AJ323" s="1070"/>
      <c r="AK323" s="1070"/>
      <c r="AL323" s="1070"/>
      <c r="AM323" s="1070"/>
      <c r="AN323" s="1070"/>
      <c r="AO323" s="1070"/>
      <c r="AP323" s="1070"/>
      <c r="AQ323" s="1070"/>
      <c r="AR323" s="1070"/>
      <c r="AS323" s="1070"/>
      <c r="AT323" s="1070"/>
      <c r="AU323" s="1070"/>
      <c r="AV323" s="1070"/>
      <c r="AW323" s="1070"/>
      <c r="AX323" s="1070"/>
      <c r="AY323" s="1070"/>
      <c r="AZ323" s="1070"/>
      <c r="BA323" s="1070"/>
      <c r="BB323" s="1070"/>
      <c r="BC323" s="1070"/>
      <c r="BD323" s="1070"/>
      <c r="BE323" s="1070"/>
      <c r="BF323" s="1070"/>
      <c r="BG323" s="1070"/>
      <c r="BH323" s="1070"/>
      <c r="BI323" s="1070"/>
      <c r="BJ323" s="1070"/>
      <c r="BK323" s="1070"/>
      <c r="BL323" s="1070"/>
      <c r="BM323" s="1070"/>
      <c r="BN323" s="1070"/>
      <c r="BO323" s="1070"/>
      <c r="BP323" s="1070"/>
      <c r="BQ323" s="1070"/>
      <c r="BR323" s="1070"/>
      <c r="BS323" s="1070"/>
      <c r="BT323" s="1070"/>
      <c r="BU323" s="1070"/>
      <c r="BV323" s="1070"/>
      <c r="BW323" s="1070"/>
      <c r="BX323" s="1070"/>
      <c r="BY323" s="1070"/>
      <c r="BZ323" s="1070"/>
      <c r="CA323" s="1070"/>
      <c r="CB323" s="1070"/>
      <c r="CC323" s="1070"/>
      <c r="CD323" s="1070"/>
      <c r="CE323" s="1070"/>
      <c r="CF323" s="1070"/>
      <c r="CG323" s="1070"/>
      <c r="CH323" s="1070"/>
      <c r="CI323" s="1070"/>
      <c r="CJ323" s="1070"/>
      <c r="CK323" s="1070"/>
      <c r="CL323" s="1070"/>
      <c r="CM323" s="1070"/>
      <c r="CN323" s="1070"/>
      <c r="CO323" s="1070"/>
      <c r="CP323" s="1070"/>
      <c r="CQ323" s="1070"/>
      <c r="CR323" s="1070"/>
      <c r="CS323" s="1070"/>
      <c r="CT323" s="1070"/>
      <c r="CU323" s="1070"/>
      <c r="CV323" s="1070"/>
      <c r="CW323" s="1070"/>
      <c r="CX323" s="1070"/>
      <c r="CY323" s="1070"/>
      <c r="CZ323" s="1070"/>
      <c r="DA323" s="1070"/>
      <c r="DB323" s="1070"/>
      <c r="DC323" s="1070"/>
      <c r="DD323" s="1070"/>
      <c r="DE323" s="1070"/>
      <c r="DF323" s="1070"/>
      <c r="DG323" s="1070"/>
      <c r="DH323" s="1070"/>
      <c r="DI323" s="1070"/>
    </row>
    <row r="324" spans="1:113" ht="15.75" x14ac:dyDescent="0.2">
      <c r="A324" s="1136"/>
      <c r="B324" s="1136"/>
      <c r="C324" s="1384"/>
      <c r="D324" s="1384"/>
      <c r="E324" s="1384"/>
      <c r="F324" s="1384"/>
      <c r="G324" s="1384"/>
      <c r="H324" s="1070"/>
      <c r="I324" s="1070"/>
      <c r="J324" s="1315"/>
      <c r="K324" s="1316"/>
      <c r="L324" s="1316"/>
      <c r="M324" s="1315"/>
      <c r="N324" s="1070"/>
      <c r="O324" s="1070"/>
      <c r="P324" s="1070"/>
      <c r="Q324" s="1070"/>
      <c r="R324" s="1070"/>
      <c r="S324" s="1070"/>
      <c r="T324" s="1070"/>
      <c r="U324" s="1070"/>
      <c r="V324" s="1070"/>
      <c r="W324" s="1070"/>
      <c r="X324" s="1070"/>
      <c r="Y324" s="1070"/>
      <c r="Z324" s="1070"/>
      <c r="AA324" s="1070"/>
      <c r="AB324" s="1070"/>
      <c r="AC324" s="1070"/>
      <c r="AD324" s="1070"/>
      <c r="AE324" s="1070"/>
      <c r="AF324" s="1070"/>
      <c r="AG324" s="1070"/>
      <c r="AH324" s="1070"/>
      <c r="AI324" s="1070"/>
      <c r="AJ324" s="1070"/>
      <c r="AK324" s="1070"/>
      <c r="AL324" s="1070"/>
      <c r="AM324" s="1070"/>
      <c r="AN324" s="1070"/>
      <c r="AO324" s="1070"/>
      <c r="AP324" s="1070"/>
      <c r="AQ324" s="1070"/>
      <c r="AR324" s="1070"/>
      <c r="AS324" s="1070"/>
      <c r="AT324" s="1070"/>
      <c r="AU324" s="1070"/>
      <c r="AV324" s="1070"/>
      <c r="AW324" s="1070"/>
      <c r="AX324" s="1070"/>
      <c r="AY324" s="1070"/>
      <c r="AZ324" s="1070"/>
      <c r="BA324" s="1070"/>
      <c r="BB324" s="1070"/>
      <c r="BC324" s="1070"/>
      <c r="BD324" s="1070"/>
      <c r="BE324" s="1070"/>
      <c r="BF324" s="1070"/>
      <c r="BG324" s="1070"/>
      <c r="BH324" s="1070"/>
      <c r="BI324" s="1070"/>
      <c r="BJ324" s="1070"/>
      <c r="BK324" s="1070"/>
      <c r="BL324" s="1070"/>
      <c r="BM324" s="1070"/>
      <c r="BN324" s="1070"/>
      <c r="BO324" s="1070"/>
      <c r="BP324" s="1070"/>
      <c r="BQ324" s="1070"/>
      <c r="BR324" s="1070"/>
      <c r="BS324" s="1070"/>
      <c r="BT324" s="1070"/>
      <c r="BU324" s="1070"/>
      <c r="BV324" s="1070"/>
      <c r="BW324" s="1070"/>
      <c r="BX324" s="1070"/>
      <c r="BY324" s="1070"/>
      <c r="BZ324" s="1070"/>
      <c r="CA324" s="1070"/>
      <c r="CB324" s="1070"/>
      <c r="CC324" s="1070"/>
      <c r="CD324" s="1070"/>
      <c r="CE324" s="1070"/>
      <c r="CF324" s="1070"/>
      <c r="CG324" s="1070"/>
      <c r="CH324" s="1070"/>
      <c r="CI324" s="1070"/>
      <c r="CJ324" s="1070"/>
      <c r="CK324" s="1070"/>
      <c r="CL324" s="1070"/>
      <c r="CM324" s="1070"/>
      <c r="CN324" s="1070"/>
      <c r="CO324" s="1070"/>
      <c r="CP324" s="1070"/>
      <c r="CQ324" s="1070"/>
      <c r="CR324" s="1070"/>
      <c r="CS324" s="1070"/>
      <c r="CT324" s="1070"/>
      <c r="CU324" s="1070"/>
      <c r="CV324" s="1070"/>
      <c r="CW324" s="1070"/>
      <c r="CX324" s="1070"/>
      <c r="CY324" s="1070"/>
      <c r="CZ324" s="1070"/>
      <c r="DA324" s="1070"/>
      <c r="DB324" s="1070"/>
      <c r="DC324" s="1070"/>
      <c r="DD324" s="1070"/>
      <c r="DE324" s="1070"/>
      <c r="DF324" s="1070"/>
      <c r="DG324" s="1070"/>
      <c r="DH324" s="1070"/>
      <c r="DI324" s="1070"/>
    </row>
    <row r="325" spans="1:113" ht="31.5" x14ac:dyDescent="0.25">
      <c r="A325" s="875" t="s">
        <v>2669</v>
      </c>
      <c r="B325" s="1397">
        <f>B251</f>
        <v>0</v>
      </c>
      <c r="C325" s="1384"/>
      <c r="D325" s="1384"/>
      <c r="E325" s="1384"/>
      <c r="F325" s="1384"/>
      <c r="G325" s="1384"/>
      <c r="H325" s="1070"/>
      <c r="I325" s="1070"/>
      <c r="J325" s="1315"/>
      <c r="K325" s="1316"/>
      <c r="L325" s="1316"/>
      <c r="M325" s="1315"/>
      <c r="N325" s="1070"/>
      <c r="O325" s="1070"/>
      <c r="P325" s="1070"/>
      <c r="Q325" s="1070"/>
      <c r="R325" s="1070"/>
      <c r="S325" s="1070"/>
      <c r="T325" s="1070"/>
      <c r="U325" s="1070"/>
      <c r="V325" s="1070"/>
      <c r="W325" s="1070"/>
      <c r="X325" s="1070"/>
      <c r="Y325" s="1070"/>
      <c r="Z325" s="1070"/>
      <c r="AA325" s="1070"/>
      <c r="AB325" s="1070"/>
      <c r="AC325" s="1070"/>
      <c r="AD325" s="1070"/>
      <c r="AE325" s="1070"/>
      <c r="AF325" s="1070"/>
      <c r="AG325" s="1070"/>
      <c r="AH325" s="1070"/>
      <c r="AI325" s="1070"/>
      <c r="AJ325" s="1070"/>
      <c r="AK325" s="1070"/>
      <c r="AL325" s="1070"/>
      <c r="AM325" s="1070"/>
      <c r="AN325" s="1070"/>
      <c r="AO325" s="1070"/>
      <c r="AP325" s="1070"/>
      <c r="AQ325" s="1070"/>
      <c r="AR325" s="1070"/>
      <c r="AS325" s="1070"/>
      <c r="AT325" s="1070"/>
      <c r="AU325" s="1070"/>
      <c r="AV325" s="1070"/>
      <c r="AW325" s="1070"/>
      <c r="AX325" s="1070"/>
      <c r="AY325" s="1070"/>
      <c r="AZ325" s="1070"/>
      <c r="BA325" s="1070"/>
      <c r="BB325" s="1070"/>
      <c r="BC325" s="1070"/>
      <c r="BD325" s="1070"/>
      <c r="BE325" s="1070"/>
      <c r="BF325" s="1070"/>
      <c r="BG325" s="1070"/>
      <c r="BH325" s="1070"/>
      <c r="BI325" s="1070"/>
      <c r="BJ325" s="1070"/>
      <c r="BK325" s="1070"/>
      <c r="BL325" s="1070"/>
      <c r="BM325" s="1070"/>
      <c r="BN325" s="1070"/>
      <c r="BO325" s="1070"/>
      <c r="BP325" s="1070"/>
      <c r="BQ325" s="1070"/>
      <c r="BR325" s="1070"/>
      <c r="BS325" s="1070"/>
      <c r="BT325" s="1070"/>
      <c r="BU325" s="1070"/>
      <c r="BV325" s="1070"/>
      <c r="BW325" s="1070"/>
      <c r="BX325" s="1070"/>
      <c r="BY325" s="1070"/>
      <c r="BZ325" s="1070"/>
      <c r="CA325" s="1070"/>
      <c r="CB325" s="1070"/>
      <c r="CC325" s="1070"/>
      <c r="CD325" s="1070"/>
      <c r="CE325" s="1070"/>
      <c r="CF325" s="1070"/>
      <c r="CG325" s="1070"/>
      <c r="CH325" s="1070"/>
      <c r="CI325" s="1070"/>
      <c r="CJ325" s="1070"/>
      <c r="CK325" s="1070"/>
      <c r="CL325" s="1070"/>
      <c r="CM325" s="1070"/>
      <c r="CN325" s="1070"/>
      <c r="CO325" s="1070"/>
      <c r="CP325" s="1070"/>
      <c r="CQ325" s="1070"/>
      <c r="CR325" s="1070"/>
      <c r="CS325" s="1070"/>
      <c r="CT325" s="1070"/>
      <c r="CU325" s="1070"/>
      <c r="CV325" s="1070"/>
      <c r="CW325" s="1070"/>
      <c r="CX325" s="1070"/>
      <c r="CY325" s="1070"/>
      <c r="CZ325" s="1070"/>
      <c r="DA325" s="1070"/>
      <c r="DB325" s="1070"/>
      <c r="DC325" s="1070"/>
      <c r="DD325" s="1070"/>
      <c r="DE325" s="1070"/>
      <c r="DF325" s="1070"/>
      <c r="DG325" s="1070"/>
      <c r="DH325" s="1070"/>
      <c r="DI325" s="1070"/>
    </row>
    <row r="326" spans="1:113" ht="31.5" x14ac:dyDescent="0.25">
      <c r="A326" s="875" t="s">
        <v>2269</v>
      </c>
      <c r="B326" s="1397">
        <f>B252</f>
        <v>1</v>
      </c>
      <c r="C326" s="1384"/>
      <c r="D326" s="1384"/>
      <c r="E326" s="1384"/>
      <c r="F326" s="1384"/>
      <c r="G326" s="1384"/>
      <c r="H326" s="1070"/>
      <c r="I326" s="1070"/>
      <c r="J326" s="1315"/>
      <c r="K326" s="1316"/>
      <c r="L326" s="1316"/>
      <c r="M326" s="1315"/>
      <c r="N326" s="1070"/>
      <c r="O326" s="1070"/>
      <c r="P326" s="1070"/>
      <c r="Q326" s="1070"/>
      <c r="R326" s="1070"/>
      <c r="S326" s="1070"/>
      <c r="T326" s="1070"/>
      <c r="U326" s="1070"/>
      <c r="V326" s="1070"/>
      <c r="W326" s="1070"/>
      <c r="X326" s="1070"/>
      <c r="Y326" s="1070"/>
      <c r="Z326" s="1070"/>
      <c r="AA326" s="1070"/>
      <c r="AB326" s="1070"/>
      <c r="AC326" s="1070"/>
      <c r="AD326" s="1070"/>
      <c r="AE326" s="1070"/>
      <c r="AF326" s="1070"/>
      <c r="AG326" s="1070"/>
      <c r="AH326" s="1070"/>
      <c r="AI326" s="1070"/>
      <c r="AJ326" s="1070"/>
      <c r="AK326" s="1070"/>
      <c r="AL326" s="1070"/>
      <c r="AM326" s="1070"/>
      <c r="AN326" s="1070"/>
      <c r="AO326" s="1070"/>
      <c r="AP326" s="1070"/>
      <c r="AQ326" s="1070"/>
      <c r="AR326" s="1070"/>
      <c r="AS326" s="1070"/>
      <c r="AT326" s="1070"/>
      <c r="AU326" s="1070"/>
      <c r="AV326" s="1070"/>
      <c r="AW326" s="1070"/>
      <c r="AX326" s="1070"/>
      <c r="AY326" s="1070"/>
      <c r="AZ326" s="1070"/>
      <c r="BA326" s="1070"/>
      <c r="BB326" s="1070"/>
      <c r="BC326" s="1070"/>
      <c r="BD326" s="1070"/>
      <c r="BE326" s="1070"/>
      <c r="BF326" s="1070"/>
      <c r="BG326" s="1070"/>
      <c r="BH326" s="1070"/>
      <c r="BI326" s="1070"/>
      <c r="BJ326" s="1070"/>
      <c r="BK326" s="1070"/>
      <c r="BL326" s="1070"/>
      <c r="BM326" s="1070"/>
      <c r="BN326" s="1070"/>
      <c r="BO326" s="1070"/>
      <c r="BP326" s="1070"/>
      <c r="BQ326" s="1070"/>
      <c r="BR326" s="1070"/>
      <c r="BS326" s="1070"/>
      <c r="BT326" s="1070"/>
      <c r="BU326" s="1070"/>
      <c r="BV326" s="1070"/>
      <c r="BW326" s="1070"/>
      <c r="BX326" s="1070"/>
      <c r="BY326" s="1070"/>
      <c r="BZ326" s="1070"/>
      <c r="CA326" s="1070"/>
      <c r="CB326" s="1070"/>
      <c r="CC326" s="1070"/>
      <c r="CD326" s="1070"/>
      <c r="CE326" s="1070"/>
      <c r="CF326" s="1070"/>
      <c r="CG326" s="1070"/>
      <c r="CH326" s="1070"/>
      <c r="CI326" s="1070"/>
      <c r="CJ326" s="1070"/>
      <c r="CK326" s="1070"/>
      <c r="CL326" s="1070"/>
      <c r="CM326" s="1070"/>
      <c r="CN326" s="1070"/>
      <c r="CO326" s="1070"/>
      <c r="CP326" s="1070"/>
      <c r="CQ326" s="1070"/>
      <c r="CR326" s="1070"/>
      <c r="CS326" s="1070"/>
      <c r="CT326" s="1070"/>
      <c r="CU326" s="1070"/>
      <c r="CV326" s="1070"/>
      <c r="CW326" s="1070"/>
      <c r="CX326" s="1070"/>
      <c r="CY326" s="1070"/>
      <c r="CZ326" s="1070"/>
      <c r="DA326" s="1070"/>
      <c r="DB326" s="1070"/>
      <c r="DC326" s="1070"/>
      <c r="DD326" s="1070"/>
      <c r="DE326" s="1070"/>
      <c r="DF326" s="1070"/>
      <c r="DG326" s="1070"/>
      <c r="DH326" s="1070"/>
      <c r="DI326" s="1070"/>
    </row>
    <row r="327" spans="1:113" ht="31.5" x14ac:dyDescent="0.25">
      <c r="A327" s="875" t="s">
        <v>4129</v>
      </c>
      <c r="B327" s="1397">
        <f>B253</f>
        <v>0</v>
      </c>
      <c r="C327" s="1384"/>
      <c r="D327" s="1384"/>
      <c r="E327" s="1384"/>
      <c r="F327" s="1384"/>
      <c r="G327" s="1384"/>
      <c r="H327" s="1070"/>
      <c r="I327" s="1070"/>
      <c r="J327" s="1315"/>
      <c r="K327" s="1316"/>
      <c r="L327" s="1316"/>
      <c r="M327" s="1315"/>
      <c r="N327" s="1070"/>
      <c r="O327" s="1070"/>
      <c r="P327" s="1070"/>
      <c r="Q327" s="1070"/>
      <c r="R327" s="1070"/>
      <c r="S327" s="1070"/>
      <c r="T327" s="1070"/>
      <c r="U327" s="1070"/>
      <c r="V327" s="1070"/>
      <c r="W327" s="1070"/>
      <c r="X327" s="1070"/>
      <c r="Y327" s="1070"/>
      <c r="Z327" s="1070"/>
      <c r="AA327" s="1070"/>
      <c r="AB327" s="1070"/>
      <c r="AC327" s="1070"/>
      <c r="AD327" s="1070"/>
      <c r="AE327" s="1070"/>
      <c r="AF327" s="1070"/>
      <c r="AG327" s="1070"/>
      <c r="AH327" s="1070"/>
      <c r="AI327" s="1070"/>
      <c r="AJ327" s="1070"/>
      <c r="AK327" s="1070"/>
      <c r="AL327" s="1070"/>
      <c r="AM327" s="1070"/>
      <c r="AN327" s="1070"/>
      <c r="AO327" s="1070"/>
      <c r="AP327" s="1070"/>
      <c r="AQ327" s="1070"/>
      <c r="AR327" s="1070"/>
      <c r="AS327" s="1070"/>
      <c r="AT327" s="1070"/>
      <c r="AU327" s="1070"/>
      <c r="AV327" s="1070"/>
      <c r="AW327" s="1070"/>
      <c r="AX327" s="1070"/>
      <c r="AY327" s="1070"/>
      <c r="AZ327" s="1070"/>
      <c r="BA327" s="1070"/>
      <c r="BB327" s="1070"/>
      <c r="BC327" s="1070"/>
      <c r="BD327" s="1070"/>
      <c r="BE327" s="1070"/>
      <c r="BF327" s="1070"/>
      <c r="BG327" s="1070"/>
      <c r="BH327" s="1070"/>
      <c r="BI327" s="1070"/>
      <c r="BJ327" s="1070"/>
      <c r="BK327" s="1070"/>
      <c r="BL327" s="1070"/>
      <c r="BM327" s="1070"/>
      <c r="BN327" s="1070"/>
      <c r="BO327" s="1070"/>
      <c r="BP327" s="1070"/>
      <c r="BQ327" s="1070"/>
      <c r="BR327" s="1070"/>
      <c r="BS327" s="1070"/>
      <c r="BT327" s="1070"/>
      <c r="BU327" s="1070"/>
      <c r="BV327" s="1070"/>
      <c r="BW327" s="1070"/>
      <c r="BX327" s="1070"/>
      <c r="BY327" s="1070"/>
      <c r="BZ327" s="1070"/>
      <c r="CA327" s="1070"/>
      <c r="CB327" s="1070"/>
      <c r="CC327" s="1070"/>
      <c r="CD327" s="1070"/>
      <c r="CE327" s="1070"/>
      <c r="CF327" s="1070"/>
      <c r="CG327" s="1070"/>
      <c r="CH327" s="1070"/>
      <c r="CI327" s="1070"/>
      <c r="CJ327" s="1070"/>
      <c r="CK327" s="1070"/>
      <c r="CL327" s="1070"/>
      <c r="CM327" s="1070"/>
      <c r="CN327" s="1070"/>
      <c r="CO327" s="1070"/>
      <c r="CP327" s="1070"/>
      <c r="CQ327" s="1070"/>
      <c r="CR327" s="1070"/>
      <c r="CS327" s="1070"/>
      <c r="CT327" s="1070"/>
      <c r="CU327" s="1070"/>
      <c r="CV327" s="1070"/>
      <c r="CW327" s="1070"/>
      <c r="CX327" s="1070"/>
      <c r="CY327" s="1070"/>
      <c r="CZ327" s="1070"/>
      <c r="DA327" s="1070"/>
      <c r="DB327" s="1070"/>
      <c r="DC327" s="1070"/>
      <c r="DD327" s="1070"/>
      <c r="DE327" s="1070"/>
      <c r="DF327" s="1070"/>
      <c r="DG327" s="1070"/>
      <c r="DH327" s="1070"/>
      <c r="DI327" s="1070"/>
    </row>
    <row r="328" spans="1:113" ht="31.5" x14ac:dyDescent="0.2">
      <c r="A328" s="1370" t="s">
        <v>5567</v>
      </c>
      <c r="B328" s="1394">
        <f>B254</f>
        <v>1</v>
      </c>
      <c r="C328" s="1384"/>
      <c r="D328" s="1384"/>
      <c r="E328" s="1384"/>
      <c r="F328" s="1384"/>
      <c r="G328" s="1384"/>
      <c r="H328" s="1070"/>
      <c r="I328" s="1070"/>
      <c r="J328" s="1315"/>
      <c r="K328" s="1316"/>
      <c r="L328" s="1316"/>
      <c r="M328" s="1315"/>
      <c r="N328" s="1070"/>
      <c r="O328" s="1070"/>
      <c r="P328" s="1070"/>
      <c r="Q328" s="1070"/>
      <c r="R328" s="1070"/>
      <c r="S328" s="1070"/>
      <c r="T328" s="1070"/>
      <c r="U328" s="1070"/>
      <c r="V328" s="1070"/>
      <c r="W328" s="1070"/>
      <c r="X328" s="1070"/>
      <c r="Y328" s="1070"/>
      <c r="Z328" s="1070"/>
      <c r="AA328" s="1070"/>
      <c r="AB328" s="1070"/>
      <c r="AC328" s="1070"/>
      <c r="AD328" s="1070"/>
      <c r="AE328" s="1070"/>
      <c r="AF328" s="1070"/>
      <c r="AG328" s="1070"/>
      <c r="AH328" s="1070"/>
      <c r="AI328" s="1070"/>
      <c r="AJ328" s="1070"/>
      <c r="AK328" s="1070"/>
      <c r="AL328" s="1070"/>
      <c r="AM328" s="1070"/>
      <c r="AN328" s="1070"/>
      <c r="AO328" s="1070"/>
      <c r="AP328" s="1070"/>
      <c r="AQ328" s="1070"/>
      <c r="AR328" s="1070"/>
      <c r="AS328" s="1070"/>
      <c r="AT328" s="1070"/>
      <c r="AU328" s="1070"/>
      <c r="AV328" s="1070"/>
      <c r="AW328" s="1070"/>
      <c r="AX328" s="1070"/>
      <c r="AY328" s="1070"/>
      <c r="AZ328" s="1070"/>
      <c r="BA328" s="1070"/>
      <c r="BB328" s="1070"/>
      <c r="BC328" s="1070"/>
      <c r="BD328" s="1070"/>
      <c r="BE328" s="1070"/>
      <c r="BF328" s="1070"/>
      <c r="BG328" s="1070"/>
      <c r="BH328" s="1070"/>
      <c r="BI328" s="1070"/>
      <c r="BJ328" s="1070"/>
      <c r="BK328" s="1070"/>
      <c r="BL328" s="1070"/>
      <c r="BM328" s="1070"/>
      <c r="BN328" s="1070"/>
      <c r="BO328" s="1070"/>
      <c r="BP328" s="1070"/>
      <c r="BQ328" s="1070"/>
      <c r="BR328" s="1070"/>
      <c r="BS328" s="1070"/>
      <c r="BT328" s="1070"/>
      <c r="BU328" s="1070"/>
      <c r="BV328" s="1070"/>
      <c r="BW328" s="1070"/>
      <c r="BX328" s="1070"/>
      <c r="BY328" s="1070"/>
      <c r="BZ328" s="1070"/>
      <c r="CA328" s="1070"/>
      <c r="CB328" s="1070"/>
      <c r="CC328" s="1070"/>
      <c r="CD328" s="1070"/>
      <c r="CE328" s="1070"/>
      <c r="CF328" s="1070"/>
      <c r="CG328" s="1070"/>
      <c r="CH328" s="1070"/>
      <c r="CI328" s="1070"/>
      <c r="CJ328" s="1070"/>
      <c r="CK328" s="1070"/>
      <c r="CL328" s="1070"/>
      <c r="CM328" s="1070"/>
      <c r="CN328" s="1070"/>
      <c r="CO328" s="1070"/>
      <c r="CP328" s="1070"/>
      <c r="CQ328" s="1070"/>
      <c r="CR328" s="1070"/>
      <c r="CS328" s="1070"/>
      <c r="CT328" s="1070"/>
      <c r="CU328" s="1070"/>
      <c r="CV328" s="1070"/>
      <c r="CW328" s="1070"/>
      <c r="CX328" s="1070"/>
      <c r="CY328" s="1070"/>
      <c r="CZ328" s="1070"/>
      <c r="DA328" s="1070"/>
      <c r="DB328" s="1070"/>
      <c r="DC328" s="1070"/>
      <c r="DD328" s="1070"/>
      <c r="DE328" s="1070"/>
      <c r="DF328" s="1070"/>
      <c r="DG328" s="1070"/>
      <c r="DH328" s="1070"/>
      <c r="DI328" s="1070"/>
    </row>
    <row r="329" spans="1:113" ht="15.75" x14ac:dyDescent="0.25">
      <c r="A329" s="1399" t="s">
        <v>1505</v>
      </c>
      <c r="B329" s="1400">
        <f>B214</f>
        <v>23</v>
      </c>
      <c r="C329" s="1384"/>
      <c r="D329" s="1384"/>
      <c r="E329" s="1384"/>
      <c r="F329" s="1384"/>
      <c r="G329" s="1384"/>
      <c r="H329" s="1070"/>
      <c r="I329" s="1070"/>
      <c r="J329" s="1315"/>
      <c r="K329" s="1316"/>
      <c r="L329" s="1316"/>
      <c r="M329" s="1315"/>
      <c r="N329" s="1070"/>
      <c r="O329" s="1070"/>
      <c r="P329" s="1070"/>
      <c r="Q329" s="1070"/>
      <c r="R329" s="1070"/>
      <c r="S329" s="1070"/>
      <c r="T329" s="1070"/>
      <c r="U329" s="1070"/>
      <c r="V329" s="1070"/>
      <c r="W329" s="1070"/>
      <c r="X329" s="1070"/>
      <c r="Y329" s="1070"/>
      <c r="Z329" s="1070"/>
      <c r="AA329" s="1070"/>
      <c r="AB329" s="1070"/>
      <c r="AC329" s="1070"/>
      <c r="AD329" s="1070"/>
      <c r="AE329" s="1070"/>
      <c r="AF329" s="1070"/>
      <c r="AG329" s="1070"/>
      <c r="AH329" s="1070"/>
      <c r="AI329" s="1070"/>
      <c r="AJ329" s="1070"/>
      <c r="AK329" s="1070"/>
      <c r="AL329" s="1070"/>
      <c r="AM329" s="1070"/>
      <c r="AN329" s="1070"/>
      <c r="AO329" s="1070"/>
      <c r="AP329" s="1070"/>
      <c r="AQ329" s="1070"/>
      <c r="AR329" s="1070"/>
      <c r="AS329" s="1070"/>
      <c r="AT329" s="1070"/>
      <c r="AU329" s="1070"/>
      <c r="AV329" s="1070"/>
      <c r="AW329" s="1070"/>
      <c r="AX329" s="1070"/>
      <c r="AY329" s="1070"/>
      <c r="AZ329" s="1070"/>
      <c r="BA329" s="1070"/>
      <c r="BB329" s="1070"/>
      <c r="BC329" s="1070"/>
      <c r="BD329" s="1070"/>
      <c r="BE329" s="1070"/>
      <c r="BF329" s="1070"/>
      <c r="BG329" s="1070"/>
      <c r="BH329" s="1070"/>
      <c r="BI329" s="1070"/>
      <c r="BJ329" s="1070"/>
      <c r="BK329" s="1070"/>
      <c r="BL329" s="1070"/>
      <c r="BM329" s="1070"/>
      <c r="BN329" s="1070"/>
      <c r="BO329" s="1070"/>
      <c r="BP329" s="1070"/>
      <c r="BQ329" s="1070"/>
      <c r="BR329" s="1070"/>
      <c r="BS329" s="1070"/>
      <c r="BT329" s="1070"/>
      <c r="BU329" s="1070"/>
      <c r="BV329" s="1070"/>
      <c r="BW329" s="1070"/>
      <c r="BX329" s="1070"/>
      <c r="BY329" s="1070"/>
      <c r="BZ329" s="1070"/>
      <c r="CA329" s="1070"/>
      <c r="CB329" s="1070"/>
      <c r="CC329" s="1070"/>
      <c r="CD329" s="1070"/>
      <c r="CE329" s="1070"/>
      <c r="CF329" s="1070"/>
      <c r="CG329" s="1070"/>
      <c r="CH329" s="1070"/>
      <c r="CI329" s="1070"/>
      <c r="CJ329" s="1070"/>
      <c r="CK329" s="1070"/>
      <c r="CL329" s="1070"/>
      <c r="CM329" s="1070"/>
      <c r="CN329" s="1070"/>
      <c r="CO329" s="1070"/>
      <c r="CP329" s="1070"/>
      <c r="CQ329" s="1070"/>
      <c r="CR329" s="1070"/>
      <c r="CS329" s="1070"/>
      <c r="CT329" s="1070"/>
      <c r="CU329" s="1070"/>
      <c r="CV329" s="1070"/>
      <c r="CW329" s="1070"/>
      <c r="CX329" s="1070"/>
      <c r="CY329" s="1070"/>
      <c r="CZ329" s="1070"/>
      <c r="DA329" s="1070"/>
      <c r="DB329" s="1070"/>
      <c r="DC329" s="1070"/>
      <c r="DD329" s="1070"/>
      <c r="DE329" s="1070"/>
      <c r="DF329" s="1070"/>
      <c r="DG329" s="1070"/>
      <c r="DH329" s="1070"/>
      <c r="DI329" s="1070"/>
    </row>
    <row r="330" spans="1:113" ht="15.75" x14ac:dyDescent="0.2">
      <c r="A330" s="1136"/>
      <c r="B330" s="1136"/>
      <c r="C330" s="1384"/>
      <c r="D330" s="1384"/>
      <c r="E330" s="1384"/>
      <c r="F330" s="1384"/>
      <c r="G330" s="1384"/>
      <c r="H330" s="1070"/>
      <c r="I330" s="1070"/>
      <c r="J330" s="1315"/>
      <c r="K330" s="1316"/>
      <c r="L330" s="1316"/>
      <c r="M330" s="1315"/>
      <c r="N330" s="1070"/>
      <c r="O330" s="1070"/>
      <c r="P330" s="1070"/>
      <c r="Q330" s="1070"/>
      <c r="R330" s="1070"/>
      <c r="S330" s="1070"/>
      <c r="T330" s="1070"/>
      <c r="U330" s="1070"/>
      <c r="V330" s="1070"/>
      <c r="W330" s="1070"/>
      <c r="X330" s="1070"/>
      <c r="Y330" s="1070"/>
      <c r="Z330" s="1070"/>
      <c r="AA330" s="1070"/>
      <c r="AB330" s="1070"/>
      <c r="AC330" s="1070"/>
      <c r="AD330" s="1070"/>
      <c r="AE330" s="1070"/>
      <c r="AF330" s="1070"/>
      <c r="AG330" s="1070"/>
      <c r="AH330" s="1070"/>
      <c r="AI330" s="1070"/>
      <c r="AJ330" s="1070"/>
      <c r="AK330" s="1070"/>
      <c r="AL330" s="1070"/>
      <c r="AM330" s="1070"/>
      <c r="AN330" s="1070"/>
      <c r="AO330" s="1070"/>
      <c r="AP330" s="1070"/>
      <c r="AQ330" s="1070"/>
      <c r="AR330" s="1070"/>
      <c r="AS330" s="1070"/>
      <c r="AT330" s="1070"/>
      <c r="AU330" s="1070"/>
      <c r="AV330" s="1070"/>
      <c r="AW330" s="1070"/>
      <c r="AX330" s="1070"/>
      <c r="AY330" s="1070"/>
      <c r="AZ330" s="1070"/>
      <c r="BA330" s="1070"/>
      <c r="BB330" s="1070"/>
      <c r="BC330" s="1070"/>
      <c r="BD330" s="1070"/>
      <c r="BE330" s="1070"/>
      <c r="BF330" s="1070"/>
      <c r="BG330" s="1070"/>
      <c r="BH330" s="1070"/>
      <c r="BI330" s="1070"/>
      <c r="BJ330" s="1070"/>
      <c r="BK330" s="1070"/>
      <c r="BL330" s="1070"/>
      <c r="BM330" s="1070"/>
      <c r="BN330" s="1070"/>
      <c r="BO330" s="1070"/>
      <c r="BP330" s="1070"/>
      <c r="BQ330" s="1070"/>
      <c r="BR330" s="1070"/>
      <c r="BS330" s="1070"/>
      <c r="BT330" s="1070"/>
      <c r="BU330" s="1070"/>
      <c r="BV330" s="1070"/>
      <c r="BW330" s="1070"/>
      <c r="BX330" s="1070"/>
      <c r="BY330" s="1070"/>
      <c r="BZ330" s="1070"/>
      <c r="CA330" s="1070"/>
      <c r="CB330" s="1070"/>
      <c r="CC330" s="1070"/>
      <c r="CD330" s="1070"/>
      <c r="CE330" s="1070"/>
      <c r="CF330" s="1070"/>
      <c r="CG330" s="1070"/>
      <c r="CH330" s="1070"/>
      <c r="CI330" s="1070"/>
      <c r="CJ330" s="1070"/>
      <c r="CK330" s="1070"/>
      <c r="CL330" s="1070"/>
      <c r="CM330" s="1070"/>
      <c r="CN330" s="1070"/>
      <c r="CO330" s="1070"/>
      <c r="CP330" s="1070"/>
      <c r="CQ330" s="1070"/>
      <c r="CR330" s="1070"/>
      <c r="CS330" s="1070"/>
      <c r="CT330" s="1070"/>
      <c r="CU330" s="1070"/>
      <c r="CV330" s="1070"/>
      <c r="CW330" s="1070"/>
      <c r="CX330" s="1070"/>
      <c r="CY330" s="1070"/>
      <c r="CZ330" s="1070"/>
      <c r="DA330" s="1070"/>
      <c r="DB330" s="1070"/>
      <c r="DC330" s="1070"/>
      <c r="DD330" s="1070"/>
      <c r="DE330" s="1070"/>
      <c r="DF330" s="1070"/>
      <c r="DG330" s="1070"/>
      <c r="DH330" s="1070"/>
      <c r="DI330" s="1070"/>
    </row>
    <row r="331" spans="1:113" ht="20.25" x14ac:dyDescent="0.3">
      <c r="A331" s="1401" t="s">
        <v>4130</v>
      </c>
      <c r="B331" s="1402"/>
      <c r="C331" s="1384"/>
      <c r="D331" s="1384"/>
      <c r="E331" s="1384"/>
      <c r="F331" s="1384"/>
      <c r="G331" s="1384"/>
      <c r="H331" s="1070"/>
      <c r="I331" s="1070"/>
      <c r="J331" s="1315"/>
      <c r="K331" s="1316"/>
      <c r="L331" s="1316"/>
      <c r="M331" s="1315"/>
      <c r="N331" s="1070"/>
      <c r="O331" s="1070"/>
      <c r="P331" s="1070"/>
      <c r="Q331" s="1070"/>
      <c r="R331" s="1070"/>
      <c r="S331" s="1070"/>
      <c r="T331" s="1070"/>
      <c r="U331" s="1070"/>
      <c r="V331" s="1070"/>
      <c r="W331" s="1070"/>
      <c r="X331" s="1070"/>
      <c r="Y331" s="1070"/>
      <c r="Z331" s="1070"/>
      <c r="AA331" s="1070"/>
      <c r="AB331" s="1070"/>
      <c r="AC331" s="1070"/>
      <c r="AD331" s="1070"/>
      <c r="AE331" s="1070"/>
      <c r="AF331" s="1070"/>
      <c r="AG331" s="1070"/>
      <c r="AH331" s="1070"/>
      <c r="AI331" s="1070"/>
      <c r="AJ331" s="1070"/>
      <c r="AK331" s="1070"/>
      <c r="AL331" s="1070"/>
      <c r="AM331" s="1070"/>
      <c r="AN331" s="1070"/>
      <c r="AO331" s="1070"/>
      <c r="AP331" s="1070"/>
      <c r="AQ331" s="1070"/>
      <c r="AR331" s="1070"/>
      <c r="AS331" s="1070"/>
      <c r="AT331" s="1070"/>
      <c r="AU331" s="1070"/>
      <c r="AV331" s="1070"/>
      <c r="AW331" s="1070"/>
      <c r="AX331" s="1070"/>
      <c r="AY331" s="1070"/>
      <c r="AZ331" s="1070"/>
      <c r="BA331" s="1070"/>
      <c r="BB331" s="1070"/>
      <c r="BC331" s="1070"/>
      <c r="BD331" s="1070"/>
      <c r="BE331" s="1070"/>
      <c r="BF331" s="1070"/>
      <c r="BG331" s="1070"/>
      <c r="BH331" s="1070"/>
      <c r="BI331" s="1070"/>
      <c r="BJ331" s="1070"/>
      <c r="BK331" s="1070"/>
      <c r="BL331" s="1070"/>
      <c r="BM331" s="1070"/>
      <c r="BN331" s="1070"/>
      <c r="BO331" s="1070"/>
      <c r="BP331" s="1070"/>
      <c r="BQ331" s="1070"/>
      <c r="BR331" s="1070"/>
      <c r="BS331" s="1070"/>
      <c r="BT331" s="1070"/>
      <c r="BU331" s="1070"/>
      <c r="BV331" s="1070"/>
      <c r="BW331" s="1070"/>
      <c r="BX331" s="1070"/>
      <c r="BY331" s="1070"/>
      <c r="BZ331" s="1070"/>
      <c r="CA331" s="1070"/>
      <c r="CB331" s="1070"/>
      <c r="CC331" s="1070"/>
      <c r="CD331" s="1070"/>
      <c r="CE331" s="1070"/>
      <c r="CF331" s="1070"/>
      <c r="CG331" s="1070"/>
      <c r="CH331" s="1070"/>
      <c r="CI331" s="1070"/>
      <c r="CJ331" s="1070"/>
      <c r="CK331" s="1070"/>
      <c r="CL331" s="1070"/>
      <c r="CM331" s="1070"/>
      <c r="CN331" s="1070"/>
      <c r="CO331" s="1070"/>
      <c r="CP331" s="1070"/>
      <c r="CQ331" s="1070"/>
      <c r="CR331" s="1070"/>
      <c r="CS331" s="1070"/>
      <c r="CT331" s="1070"/>
      <c r="CU331" s="1070"/>
      <c r="CV331" s="1070"/>
      <c r="CW331" s="1070"/>
      <c r="CX331" s="1070"/>
      <c r="CY331" s="1070"/>
      <c r="CZ331" s="1070"/>
      <c r="DA331" s="1070"/>
      <c r="DB331" s="1070"/>
      <c r="DC331" s="1070"/>
      <c r="DD331" s="1070"/>
      <c r="DE331" s="1070"/>
      <c r="DF331" s="1070"/>
      <c r="DG331" s="1070"/>
      <c r="DH331" s="1070"/>
      <c r="DI331" s="1070"/>
    </row>
    <row r="332" spans="1:113" ht="15.75" x14ac:dyDescent="0.25">
      <c r="A332" s="1403" t="s">
        <v>4131</v>
      </c>
      <c r="B332" s="1404"/>
      <c r="C332" s="1070"/>
      <c r="D332" s="1070"/>
      <c r="E332" s="1070"/>
      <c r="F332" s="1070"/>
      <c r="G332" s="1070"/>
      <c r="H332" s="1070"/>
      <c r="I332" s="1070"/>
      <c r="J332" s="1070"/>
      <c r="K332" s="1070"/>
      <c r="L332" s="1070"/>
      <c r="M332" s="1070"/>
      <c r="N332" s="1070"/>
      <c r="O332" s="1070"/>
      <c r="P332" s="1070"/>
      <c r="Q332" s="1070"/>
      <c r="R332" s="1070"/>
      <c r="S332" s="1070"/>
      <c r="T332" s="1070"/>
      <c r="U332" s="1070"/>
      <c r="V332" s="1070"/>
      <c r="W332" s="1070"/>
      <c r="X332" s="1070"/>
      <c r="Y332" s="1070"/>
      <c r="Z332" s="1070"/>
      <c r="AA332" s="1070"/>
      <c r="AB332" s="1070"/>
      <c r="AC332" s="1070"/>
      <c r="AD332" s="1070"/>
      <c r="AE332" s="1070"/>
      <c r="AF332" s="1070"/>
      <c r="AG332" s="1070"/>
      <c r="AH332" s="1070"/>
      <c r="AI332" s="1070"/>
      <c r="AJ332" s="1070"/>
      <c r="AK332" s="1070"/>
      <c r="AL332" s="1070"/>
      <c r="AM332" s="1070"/>
      <c r="AN332" s="1070"/>
      <c r="AO332" s="1070"/>
      <c r="AP332" s="1070"/>
      <c r="AQ332" s="1070"/>
      <c r="AR332" s="1070"/>
      <c r="AS332" s="1070"/>
      <c r="AT332" s="1070"/>
      <c r="AU332" s="1070"/>
      <c r="AV332" s="1070"/>
      <c r="AW332" s="1070"/>
      <c r="AX332" s="1070"/>
      <c r="AY332" s="1070"/>
      <c r="AZ332" s="1070"/>
      <c r="BA332" s="1070"/>
      <c r="BB332" s="1070"/>
      <c r="BC332" s="1070"/>
      <c r="BD332" s="1070"/>
      <c r="BE332" s="1070"/>
      <c r="BF332" s="1070"/>
      <c r="BG332" s="1070"/>
      <c r="BH332" s="1070"/>
      <c r="BI332" s="1070"/>
      <c r="BJ332" s="1070"/>
      <c r="BK332" s="1070"/>
      <c r="BL332" s="1070"/>
      <c r="BM332" s="1070"/>
      <c r="BN332" s="1070"/>
      <c r="BO332" s="1070"/>
      <c r="BP332" s="1070"/>
      <c r="BQ332" s="1070"/>
      <c r="BR332" s="1070"/>
      <c r="BS332" s="1070"/>
      <c r="BT332" s="1070"/>
      <c r="BU332" s="1070"/>
      <c r="BV332" s="1070"/>
      <c r="BW332" s="1070"/>
      <c r="BX332" s="1070"/>
      <c r="BY332" s="1070"/>
      <c r="BZ332" s="1070"/>
      <c r="CA332" s="1070"/>
      <c r="CB332" s="1070"/>
      <c r="CC332" s="1070"/>
      <c r="CD332" s="1070"/>
      <c r="CE332" s="1070"/>
      <c r="CF332" s="1070"/>
      <c r="CG332" s="1070"/>
      <c r="CH332" s="1070"/>
      <c r="CI332" s="1070"/>
      <c r="CJ332" s="1070"/>
      <c r="CK332" s="1070"/>
      <c r="CL332" s="1070"/>
      <c r="CM332" s="1070"/>
      <c r="CN332" s="1070"/>
      <c r="CO332" s="1070"/>
      <c r="CP332" s="1070"/>
      <c r="CQ332" s="1070"/>
      <c r="CR332" s="1070"/>
      <c r="CS332" s="1070"/>
      <c r="CT332" s="1070"/>
      <c r="CU332" s="1070"/>
      <c r="CV332" s="1070"/>
      <c r="CW332" s="1070"/>
      <c r="CX332" s="1070"/>
      <c r="CY332" s="1070"/>
      <c r="CZ332" s="1070"/>
      <c r="DA332" s="1070"/>
      <c r="DB332" s="1070"/>
      <c r="DC332" s="1070"/>
      <c r="DD332" s="1070"/>
      <c r="DE332" s="1070"/>
      <c r="DF332" s="1070"/>
      <c r="DG332" s="1070"/>
      <c r="DH332" s="1070"/>
      <c r="DI332" s="1070"/>
    </row>
    <row r="333" spans="1:113" ht="15.75" x14ac:dyDescent="0.25">
      <c r="A333" s="1403" t="s">
        <v>4132</v>
      </c>
      <c r="B333" s="1404"/>
      <c r="C333" s="1070"/>
      <c r="D333" s="1070"/>
      <c r="E333" s="1070"/>
      <c r="F333" s="1070"/>
      <c r="G333" s="1070"/>
      <c r="H333" s="1070"/>
      <c r="I333" s="1070"/>
      <c r="J333" s="1070"/>
      <c r="K333" s="1070"/>
      <c r="L333" s="1070"/>
      <c r="M333" s="1070"/>
      <c r="N333" s="1070"/>
      <c r="O333" s="1070"/>
      <c r="P333" s="1070"/>
      <c r="Q333" s="1070"/>
      <c r="R333" s="1070"/>
      <c r="S333" s="1070"/>
      <c r="T333" s="1070"/>
      <c r="U333" s="1070"/>
      <c r="V333" s="1070"/>
      <c r="W333" s="1070"/>
      <c r="X333" s="1070"/>
      <c r="Y333" s="1070"/>
      <c r="Z333" s="1070"/>
      <c r="AA333" s="1070"/>
      <c r="AB333" s="1070"/>
      <c r="AC333" s="1070"/>
      <c r="AD333" s="1070"/>
      <c r="AE333" s="1070"/>
      <c r="AF333" s="1070"/>
      <c r="AG333" s="1070"/>
      <c r="AH333" s="1070"/>
      <c r="AI333" s="1070"/>
      <c r="AJ333" s="1070"/>
      <c r="AK333" s="1070"/>
      <c r="AL333" s="1070"/>
      <c r="AM333" s="1070"/>
      <c r="AN333" s="1070"/>
      <c r="AO333" s="1070"/>
      <c r="AP333" s="1070"/>
      <c r="AQ333" s="1070"/>
      <c r="AR333" s="1070"/>
      <c r="AS333" s="1070"/>
      <c r="AT333" s="1070"/>
      <c r="AU333" s="1070"/>
      <c r="AV333" s="1070"/>
      <c r="AW333" s="1070"/>
      <c r="AX333" s="1070"/>
      <c r="AY333" s="1070"/>
      <c r="AZ333" s="1070"/>
      <c r="BA333" s="1070"/>
      <c r="BB333" s="1070"/>
      <c r="BC333" s="1070"/>
      <c r="BD333" s="1070"/>
      <c r="BE333" s="1070"/>
      <c r="BF333" s="1070"/>
      <c r="BG333" s="1070"/>
      <c r="BH333" s="1070"/>
      <c r="BI333" s="1070"/>
      <c r="BJ333" s="1070"/>
      <c r="BK333" s="1070"/>
      <c r="BL333" s="1070"/>
      <c r="BM333" s="1070"/>
      <c r="BN333" s="1070"/>
      <c r="BO333" s="1070"/>
      <c r="BP333" s="1070"/>
      <c r="BQ333" s="1070"/>
      <c r="BR333" s="1070"/>
      <c r="BS333" s="1070"/>
      <c r="BT333" s="1070"/>
      <c r="BU333" s="1070"/>
      <c r="BV333" s="1070"/>
      <c r="BW333" s="1070"/>
      <c r="BX333" s="1070"/>
      <c r="BY333" s="1070"/>
      <c r="BZ333" s="1070"/>
      <c r="CA333" s="1070"/>
      <c r="CB333" s="1070"/>
      <c r="CC333" s="1070"/>
      <c r="CD333" s="1070"/>
      <c r="CE333" s="1070"/>
      <c r="CF333" s="1070"/>
      <c r="CG333" s="1070"/>
      <c r="CH333" s="1070"/>
      <c r="CI333" s="1070"/>
      <c r="CJ333" s="1070"/>
      <c r="CK333" s="1070"/>
      <c r="CL333" s="1070"/>
      <c r="CM333" s="1070"/>
      <c r="CN333" s="1070"/>
      <c r="CO333" s="1070"/>
      <c r="CP333" s="1070"/>
      <c r="CQ333" s="1070"/>
      <c r="CR333" s="1070"/>
      <c r="CS333" s="1070"/>
      <c r="CT333" s="1070"/>
      <c r="CU333" s="1070"/>
      <c r="CV333" s="1070"/>
      <c r="CW333" s="1070"/>
      <c r="CX333" s="1070"/>
      <c r="CY333" s="1070"/>
      <c r="CZ333" s="1070"/>
      <c r="DA333" s="1070"/>
      <c r="DB333" s="1070"/>
      <c r="DC333" s="1070"/>
      <c r="DD333" s="1070"/>
      <c r="DE333" s="1070"/>
      <c r="DF333" s="1070"/>
      <c r="DG333" s="1070"/>
      <c r="DH333" s="1070"/>
      <c r="DI333" s="1070"/>
    </row>
    <row r="334" spans="1:113" ht="15" x14ac:dyDescent="0.2">
      <c r="A334" s="1405" t="s">
        <v>4133</v>
      </c>
      <c r="B334" s="1406" t="e">
        <f>IF(B286&lt;=1,INDEX($G$1463:$G$1466,B294),INDEX($H$1463:$H$1466,B294))</f>
        <v>#VALUE!</v>
      </c>
      <c r="C334" s="1407"/>
      <c r="D334" s="1407"/>
      <c r="E334" s="1407"/>
      <c r="F334" s="1407"/>
      <c r="G334" s="1407"/>
      <c r="H334" s="1070"/>
      <c r="I334" s="1070"/>
      <c r="J334" s="1070"/>
      <c r="K334" s="1070"/>
      <c r="L334" s="1070"/>
      <c r="M334" s="1070"/>
      <c r="N334" s="1070"/>
      <c r="O334" s="1070"/>
      <c r="P334" s="1070"/>
      <c r="Q334" s="1070"/>
      <c r="R334" s="1070"/>
      <c r="S334" s="1070"/>
      <c r="T334" s="1070"/>
      <c r="U334" s="1070"/>
      <c r="V334" s="1070"/>
      <c r="W334" s="1070"/>
      <c r="X334" s="1070"/>
      <c r="Y334" s="1070"/>
      <c r="Z334" s="1070"/>
      <c r="AA334" s="1070"/>
      <c r="AB334" s="1070"/>
      <c r="AC334" s="1070"/>
      <c r="AD334" s="1070"/>
      <c r="AE334" s="1070"/>
      <c r="AF334" s="1070"/>
      <c r="AG334" s="1070"/>
      <c r="AH334" s="1070"/>
      <c r="AI334" s="1070"/>
      <c r="AJ334" s="1070"/>
      <c r="AK334" s="1070"/>
      <c r="AL334" s="1070"/>
      <c r="AM334" s="1070"/>
      <c r="AN334" s="1070"/>
      <c r="AO334" s="1070"/>
      <c r="AP334" s="1070"/>
      <c r="AQ334" s="1070"/>
      <c r="AR334" s="1070"/>
      <c r="AS334" s="1070"/>
      <c r="AT334" s="1070"/>
      <c r="AU334" s="1070"/>
      <c r="AV334" s="1070"/>
      <c r="AW334" s="1070"/>
      <c r="AX334" s="1070"/>
      <c r="AY334" s="1070"/>
      <c r="AZ334" s="1070"/>
      <c r="BA334" s="1070"/>
      <c r="BB334" s="1070"/>
      <c r="BC334" s="1070"/>
      <c r="BD334" s="1070"/>
      <c r="BE334" s="1070"/>
      <c r="BF334" s="1070"/>
      <c r="BG334" s="1070"/>
      <c r="BH334" s="1070"/>
      <c r="BI334" s="1070"/>
      <c r="BJ334" s="1070"/>
      <c r="BK334" s="1070"/>
      <c r="BL334" s="1070"/>
      <c r="BM334" s="1070"/>
      <c r="BN334" s="1070"/>
      <c r="BO334" s="1070"/>
      <c r="BP334" s="1070"/>
      <c r="BQ334" s="1070"/>
      <c r="BR334" s="1070"/>
      <c r="BS334" s="1070"/>
      <c r="BT334" s="1070"/>
      <c r="BU334" s="1070"/>
      <c r="BV334" s="1070"/>
      <c r="BW334" s="1070"/>
      <c r="BX334" s="1070"/>
      <c r="BY334" s="1070"/>
      <c r="BZ334" s="1070"/>
      <c r="CA334" s="1070"/>
      <c r="CB334" s="1070"/>
      <c r="CC334" s="1070"/>
      <c r="CD334" s="1070"/>
      <c r="CE334" s="1070"/>
      <c r="CF334" s="1070"/>
      <c r="CG334" s="1070"/>
      <c r="CH334" s="1070"/>
      <c r="CI334" s="1070"/>
      <c r="CJ334" s="1070"/>
      <c r="CK334" s="1070"/>
      <c r="CL334" s="1070"/>
      <c r="CM334" s="1070"/>
      <c r="CN334" s="1070"/>
      <c r="CO334" s="1070"/>
      <c r="CP334" s="1070"/>
      <c r="CQ334" s="1070"/>
      <c r="CR334" s="1070"/>
      <c r="CS334" s="1070"/>
      <c r="CT334" s="1070"/>
      <c r="CU334" s="1070"/>
      <c r="CV334" s="1070"/>
      <c r="CW334" s="1070"/>
      <c r="CX334" s="1070"/>
      <c r="CY334" s="1070"/>
      <c r="CZ334" s="1070"/>
      <c r="DA334" s="1070"/>
      <c r="DB334" s="1070"/>
      <c r="DC334" s="1070"/>
      <c r="DD334" s="1070"/>
      <c r="DE334" s="1070"/>
      <c r="DF334" s="1070"/>
      <c r="DG334" s="1070"/>
      <c r="DH334" s="1070"/>
      <c r="DI334" s="1070"/>
    </row>
    <row r="335" spans="1:113" ht="15" x14ac:dyDescent="0.2">
      <c r="A335" s="1405" t="s">
        <v>4134</v>
      </c>
      <c r="B335" s="1406">
        <f>INDEX($D$1463:$D$1466,B295)</f>
        <v>1</v>
      </c>
      <c r="C335" s="1407"/>
      <c r="D335" s="1407"/>
      <c r="E335" s="1407"/>
      <c r="F335" s="1407"/>
      <c r="G335" s="1407"/>
      <c r="H335" s="1070"/>
      <c r="I335" s="1070"/>
      <c r="J335" s="1070"/>
      <c r="K335" s="1070"/>
      <c r="L335" s="1070"/>
      <c r="M335" s="1070"/>
      <c r="N335" s="1070"/>
      <c r="O335" s="1070"/>
      <c r="P335" s="1070"/>
      <c r="Q335" s="1070"/>
      <c r="R335" s="1070"/>
      <c r="S335" s="1070"/>
      <c r="T335" s="1070"/>
      <c r="U335" s="1070"/>
      <c r="V335" s="1070"/>
      <c r="W335" s="1070"/>
      <c r="X335" s="1070"/>
      <c r="Y335" s="1070"/>
      <c r="Z335" s="1070"/>
      <c r="AA335" s="1070"/>
      <c r="AB335" s="1070"/>
      <c r="AC335" s="1070"/>
      <c r="AD335" s="1070"/>
      <c r="AE335" s="1070"/>
      <c r="AF335" s="1070"/>
      <c r="AG335" s="1070"/>
      <c r="AH335" s="1070"/>
      <c r="AI335" s="1070"/>
      <c r="AJ335" s="1070"/>
      <c r="AK335" s="1070"/>
      <c r="AL335" s="1070"/>
      <c r="AM335" s="1070"/>
      <c r="AN335" s="1070"/>
      <c r="AO335" s="1070"/>
      <c r="AP335" s="1070"/>
      <c r="AQ335" s="1070"/>
      <c r="AR335" s="1070"/>
      <c r="AS335" s="1070"/>
      <c r="AT335" s="1070"/>
      <c r="AU335" s="1070"/>
      <c r="AV335" s="1070"/>
      <c r="AW335" s="1070"/>
      <c r="AX335" s="1070"/>
      <c r="AY335" s="1070"/>
      <c r="AZ335" s="1070"/>
      <c r="BA335" s="1070"/>
      <c r="BB335" s="1070"/>
      <c r="BC335" s="1070"/>
      <c r="BD335" s="1070"/>
      <c r="BE335" s="1070"/>
      <c r="BF335" s="1070"/>
      <c r="BG335" s="1070"/>
      <c r="BH335" s="1070"/>
      <c r="BI335" s="1070"/>
      <c r="BJ335" s="1070"/>
      <c r="BK335" s="1070"/>
      <c r="BL335" s="1070"/>
      <c r="BM335" s="1070"/>
      <c r="BN335" s="1070"/>
      <c r="BO335" s="1070"/>
      <c r="BP335" s="1070"/>
      <c r="BQ335" s="1070"/>
      <c r="BR335" s="1070"/>
      <c r="BS335" s="1070"/>
      <c r="BT335" s="1070"/>
      <c r="BU335" s="1070"/>
      <c r="BV335" s="1070"/>
      <c r="BW335" s="1070"/>
      <c r="BX335" s="1070"/>
      <c r="BY335" s="1070"/>
      <c r="BZ335" s="1070"/>
      <c r="CA335" s="1070"/>
      <c r="CB335" s="1070"/>
      <c r="CC335" s="1070"/>
      <c r="CD335" s="1070"/>
      <c r="CE335" s="1070"/>
      <c r="CF335" s="1070"/>
      <c r="CG335" s="1070"/>
      <c r="CH335" s="1070"/>
      <c r="CI335" s="1070"/>
      <c r="CJ335" s="1070"/>
      <c r="CK335" s="1070"/>
      <c r="CL335" s="1070"/>
      <c r="CM335" s="1070"/>
      <c r="CN335" s="1070"/>
      <c r="CO335" s="1070"/>
      <c r="CP335" s="1070"/>
      <c r="CQ335" s="1070"/>
      <c r="CR335" s="1070"/>
      <c r="CS335" s="1070"/>
      <c r="CT335" s="1070"/>
      <c r="CU335" s="1070"/>
      <c r="CV335" s="1070"/>
      <c r="CW335" s="1070"/>
      <c r="CX335" s="1070"/>
      <c r="CY335" s="1070"/>
      <c r="CZ335" s="1070"/>
      <c r="DA335" s="1070"/>
      <c r="DB335" s="1070"/>
      <c r="DC335" s="1070"/>
      <c r="DD335" s="1070"/>
      <c r="DE335" s="1070"/>
      <c r="DF335" s="1070"/>
      <c r="DG335" s="1070"/>
      <c r="DH335" s="1070"/>
      <c r="DI335" s="1070"/>
    </row>
    <row r="336" spans="1:113" ht="15" x14ac:dyDescent="0.2">
      <c r="A336" s="1405" t="s">
        <v>4135</v>
      </c>
      <c r="B336" s="1406" t="e">
        <f>IF(B296&lt;=700,1,IF(B296&lt;=900,0.95,IF(B296&lt;=1050,0.9,IF(B296&lt;=1200,0.85,0.8))))</f>
        <v>#VALUE!</v>
      </c>
      <c r="C336" s="1407"/>
      <c r="D336" s="1407"/>
      <c r="E336" s="1407"/>
      <c r="F336" s="1407"/>
      <c r="G336" s="1407"/>
      <c r="H336" s="1070"/>
      <c r="I336" s="1070"/>
      <c r="J336" s="1070"/>
      <c r="K336" s="1070"/>
      <c r="L336" s="1070"/>
      <c r="M336" s="1070"/>
      <c r="N336" s="1070"/>
      <c r="O336" s="1070"/>
      <c r="P336" s="1070"/>
      <c r="Q336" s="1070"/>
      <c r="R336" s="1070"/>
      <c r="S336" s="1070"/>
      <c r="T336" s="1070"/>
      <c r="U336" s="1070"/>
      <c r="V336" s="1070"/>
      <c r="W336" s="1070"/>
      <c r="X336" s="1070"/>
      <c r="Y336" s="1070"/>
      <c r="Z336" s="1070"/>
      <c r="AA336" s="1070"/>
      <c r="AB336" s="1070"/>
      <c r="AC336" s="1070"/>
      <c r="AD336" s="1070"/>
      <c r="AE336" s="1070"/>
      <c r="AF336" s="1070"/>
      <c r="AG336" s="1070"/>
      <c r="AH336" s="1070"/>
      <c r="AI336" s="1070"/>
      <c r="AJ336" s="1070"/>
      <c r="AK336" s="1070"/>
      <c r="AL336" s="1070"/>
      <c r="AM336" s="1070"/>
      <c r="AN336" s="1070"/>
      <c r="AO336" s="1070"/>
      <c r="AP336" s="1070"/>
      <c r="AQ336" s="1070"/>
      <c r="AR336" s="1070"/>
      <c r="AS336" s="1070"/>
      <c r="AT336" s="1070"/>
      <c r="AU336" s="1070"/>
      <c r="AV336" s="1070"/>
      <c r="AW336" s="1070"/>
      <c r="AX336" s="1070"/>
      <c r="AY336" s="1070"/>
      <c r="AZ336" s="1070"/>
      <c r="BA336" s="1070"/>
      <c r="BB336" s="1070"/>
      <c r="BC336" s="1070"/>
      <c r="BD336" s="1070"/>
      <c r="BE336" s="1070"/>
      <c r="BF336" s="1070"/>
      <c r="BG336" s="1070"/>
      <c r="BH336" s="1070"/>
      <c r="BI336" s="1070"/>
      <c r="BJ336" s="1070"/>
      <c r="BK336" s="1070"/>
      <c r="BL336" s="1070"/>
      <c r="BM336" s="1070"/>
      <c r="BN336" s="1070"/>
      <c r="BO336" s="1070"/>
      <c r="BP336" s="1070"/>
      <c r="BQ336" s="1070"/>
      <c r="BR336" s="1070"/>
      <c r="BS336" s="1070"/>
      <c r="BT336" s="1070"/>
      <c r="BU336" s="1070"/>
      <c r="BV336" s="1070"/>
      <c r="BW336" s="1070"/>
      <c r="BX336" s="1070"/>
      <c r="BY336" s="1070"/>
      <c r="BZ336" s="1070"/>
      <c r="CA336" s="1070"/>
      <c r="CB336" s="1070"/>
      <c r="CC336" s="1070"/>
      <c r="CD336" s="1070"/>
      <c r="CE336" s="1070"/>
      <c r="CF336" s="1070"/>
      <c r="CG336" s="1070"/>
      <c r="CH336" s="1070"/>
      <c r="CI336" s="1070"/>
      <c r="CJ336" s="1070"/>
      <c r="CK336" s="1070"/>
      <c r="CL336" s="1070"/>
      <c r="CM336" s="1070"/>
      <c r="CN336" s="1070"/>
      <c r="CO336" s="1070"/>
      <c r="CP336" s="1070"/>
      <c r="CQ336" s="1070"/>
      <c r="CR336" s="1070"/>
      <c r="CS336" s="1070"/>
      <c r="CT336" s="1070"/>
      <c r="CU336" s="1070"/>
      <c r="CV336" s="1070"/>
      <c r="CW336" s="1070"/>
      <c r="CX336" s="1070"/>
      <c r="CY336" s="1070"/>
      <c r="CZ336" s="1070"/>
      <c r="DA336" s="1070"/>
      <c r="DB336" s="1070"/>
      <c r="DC336" s="1070"/>
      <c r="DD336" s="1070"/>
      <c r="DE336" s="1070"/>
      <c r="DF336" s="1070"/>
      <c r="DG336" s="1070"/>
      <c r="DH336" s="1070"/>
      <c r="DI336" s="1070"/>
    </row>
    <row r="337" spans="1:113" ht="15" x14ac:dyDescent="0.2">
      <c r="A337" s="1405" t="s">
        <v>4136</v>
      </c>
      <c r="B337" s="1406">
        <f>IF(B290&lt;=1.25,0.9,IF(B290&lt;=1.32,0.95,IF(B290&lt;=1.39,1,IF(B290&lt;=1.46,1.05,IF(B290&lt;=1.52,1.1,IF(B290&lt;=1.6,1.15,B338))))))</f>
        <v>1.35</v>
      </c>
      <c r="C337" s="1407"/>
      <c r="D337" s="1407"/>
      <c r="E337" s="1407"/>
      <c r="F337" s="1407"/>
      <c r="G337" s="1407"/>
      <c r="H337" s="1070"/>
      <c r="I337" s="1070"/>
      <c r="J337" s="1070"/>
      <c r="K337" s="1070"/>
      <c r="L337" s="1070"/>
      <c r="M337" s="1070"/>
      <c r="N337" s="1070"/>
      <c r="O337" s="1070"/>
      <c r="P337" s="1070"/>
      <c r="Q337" s="1070"/>
      <c r="R337" s="1070"/>
      <c r="S337" s="1070"/>
      <c r="T337" s="1070"/>
      <c r="U337" s="1070"/>
      <c r="V337" s="1070"/>
      <c r="W337" s="1070"/>
      <c r="X337" s="1070"/>
      <c r="Y337" s="1070"/>
      <c r="Z337" s="1070"/>
      <c r="AA337" s="1070"/>
      <c r="AB337" s="1070"/>
      <c r="AC337" s="1070"/>
      <c r="AD337" s="1070"/>
      <c r="AE337" s="1070"/>
      <c r="AF337" s="1070"/>
      <c r="AG337" s="1070"/>
      <c r="AH337" s="1070"/>
      <c r="AI337" s="1070"/>
      <c r="AJ337" s="1070"/>
      <c r="AK337" s="1070"/>
      <c r="AL337" s="1070"/>
      <c r="AM337" s="1070"/>
      <c r="AN337" s="1070"/>
      <c r="AO337" s="1070"/>
      <c r="AP337" s="1070"/>
      <c r="AQ337" s="1070"/>
      <c r="AR337" s="1070"/>
      <c r="AS337" s="1070"/>
      <c r="AT337" s="1070"/>
      <c r="AU337" s="1070"/>
      <c r="AV337" s="1070"/>
      <c r="AW337" s="1070"/>
      <c r="AX337" s="1070"/>
      <c r="AY337" s="1070"/>
      <c r="AZ337" s="1070"/>
      <c r="BA337" s="1070"/>
      <c r="BB337" s="1070"/>
      <c r="BC337" s="1070"/>
      <c r="BD337" s="1070"/>
      <c r="BE337" s="1070"/>
      <c r="BF337" s="1070"/>
      <c r="BG337" s="1070"/>
      <c r="BH337" s="1070"/>
      <c r="BI337" s="1070"/>
      <c r="BJ337" s="1070"/>
      <c r="BK337" s="1070"/>
      <c r="BL337" s="1070"/>
      <c r="BM337" s="1070"/>
      <c r="BN337" s="1070"/>
      <c r="BO337" s="1070"/>
      <c r="BP337" s="1070"/>
      <c r="BQ337" s="1070"/>
      <c r="BR337" s="1070"/>
      <c r="BS337" s="1070"/>
      <c r="BT337" s="1070"/>
      <c r="BU337" s="1070"/>
      <c r="BV337" s="1070"/>
      <c r="BW337" s="1070"/>
      <c r="BX337" s="1070"/>
      <c r="BY337" s="1070"/>
      <c r="BZ337" s="1070"/>
      <c r="CA337" s="1070"/>
      <c r="CB337" s="1070"/>
      <c r="CC337" s="1070"/>
      <c r="CD337" s="1070"/>
      <c r="CE337" s="1070"/>
      <c r="CF337" s="1070"/>
      <c r="CG337" s="1070"/>
      <c r="CH337" s="1070"/>
      <c r="CI337" s="1070"/>
      <c r="CJ337" s="1070"/>
      <c r="CK337" s="1070"/>
      <c r="CL337" s="1070"/>
      <c r="CM337" s="1070"/>
      <c r="CN337" s="1070"/>
      <c r="CO337" s="1070"/>
      <c r="CP337" s="1070"/>
      <c r="CQ337" s="1070"/>
      <c r="CR337" s="1070"/>
      <c r="CS337" s="1070"/>
      <c r="CT337" s="1070"/>
      <c r="CU337" s="1070"/>
      <c r="CV337" s="1070"/>
      <c r="CW337" s="1070"/>
      <c r="CX337" s="1070"/>
      <c r="CY337" s="1070"/>
      <c r="CZ337" s="1070"/>
      <c r="DA337" s="1070"/>
      <c r="DB337" s="1070"/>
      <c r="DC337" s="1070"/>
      <c r="DD337" s="1070"/>
      <c r="DE337" s="1070"/>
      <c r="DF337" s="1070"/>
      <c r="DG337" s="1070"/>
      <c r="DH337" s="1070"/>
      <c r="DI337" s="1070"/>
    </row>
    <row r="338" spans="1:113" ht="15" x14ac:dyDescent="0.2">
      <c r="A338" s="1408" t="s">
        <v>4137</v>
      </c>
      <c r="B338" s="1406">
        <f>IF(B290&lt;=1.65,1.2,IF(B290&lt;=1.74,1.25,IF(B290&lt;=1.79,1.3,1.35)))</f>
        <v>1.35</v>
      </c>
      <c r="C338" s="1407"/>
      <c r="D338" s="1407"/>
      <c r="E338" s="1407"/>
      <c r="F338" s="1407"/>
      <c r="G338" s="1407"/>
      <c r="H338" s="1070"/>
      <c r="I338" s="1070"/>
      <c r="J338" s="1070"/>
      <c r="K338" s="1070"/>
      <c r="L338" s="1070"/>
      <c r="M338" s="1070"/>
      <c r="N338" s="1070"/>
      <c r="O338" s="1070"/>
      <c r="P338" s="1070"/>
      <c r="Q338" s="1070"/>
      <c r="R338" s="1070"/>
      <c r="S338" s="1070"/>
      <c r="T338" s="1070"/>
      <c r="U338" s="1070"/>
      <c r="V338" s="1070"/>
      <c r="W338" s="1070"/>
      <c r="X338" s="1070"/>
      <c r="Y338" s="1070"/>
      <c r="Z338" s="1070"/>
      <c r="AA338" s="1070"/>
      <c r="AB338" s="1070"/>
      <c r="AC338" s="1070"/>
      <c r="AD338" s="1070"/>
      <c r="AE338" s="1070"/>
      <c r="AF338" s="1070"/>
      <c r="AG338" s="1070"/>
      <c r="AH338" s="1070"/>
      <c r="AI338" s="1070"/>
      <c r="AJ338" s="1070"/>
      <c r="AK338" s="1070"/>
      <c r="AL338" s="1070"/>
      <c r="AM338" s="1070"/>
      <c r="AN338" s="1070"/>
      <c r="AO338" s="1070"/>
      <c r="AP338" s="1070"/>
      <c r="AQ338" s="1070"/>
      <c r="AR338" s="1070"/>
      <c r="AS338" s="1070"/>
      <c r="AT338" s="1070"/>
      <c r="AU338" s="1070"/>
      <c r="AV338" s="1070"/>
      <c r="AW338" s="1070"/>
      <c r="AX338" s="1070"/>
      <c r="AY338" s="1070"/>
      <c r="AZ338" s="1070"/>
      <c r="BA338" s="1070"/>
      <c r="BB338" s="1070"/>
      <c r="BC338" s="1070"/>
      <c r="BD338" s="1070"/>
      <c r="BE338" s="1070"/>
      <c r="BF338" s="1070"/>
      <c r="BG338" s="1070"/>
      <c r="BH338" s="1070"/>
      <c r="BI338" s="1070"/>
      <c r="BJ338" s="1070"/>
      <c r="BK338" s="1070"/>
      <c r="BL338" s="1070"/>
      <c r="BM338" s="1070"/>
      <c r="BN338" s="1070"/>
      <c r="BO338" s="1070"/>
      <c r="BP338" s="1070"/>
      <c r="BQ338" s="1070"/>
      <c r="BR338" s="1070"/>
      <c r="BS338" s="1070"/>
      <c r="BT338" s="1070"/>
      <c r="BU338" s="1070"/>
      <c r="BV338" s="1070"/>
      <c r="BW338" s="1070"/>
      <c r="BX338" s="1070"/>
      <c r="BY338" s="1070"/>
      <c r="BZ338" s="1070"/>
      <c r="CA338" s="1070"/>
      <c r="CB338" s="1070"/>
      <c r="CC338" s="1070"/>
      <c r="CD338" s="1070"/>
      <c r="CE338" s="1070"/>
      <c r="CF338" s="1070"/>
      <c r="CG338" s="1070"/>
      <c r="CH338" s="1070"/>
      <c r="CI338" s="1070"/>
      <c r="CJ338" s="1070"/>
      <c r="CK338" s="1070"/>
      <c r="CL338" s="1070"/>
      <c r="CM338" s="1070"/>
      <c r="CN338" s="1070"/>
      <c r="CO338" s="1070"/>
      <c r="CP338" s="1070"/>
      <c r="CQ338" s="1070"/>
      <c r="CR338" s="1070"/>
      <c r="CS338" s="1070"/>
      <c r="CT338" s="1070"/>
      <c r="CU338" s="1070"/>
      <c r="CV338" s="1070"/>
      <c r="CW338" s="1070"/>
      <c r="CX338" s="1070"/>
      <c r="CY338" s="1070"/>
      <c r="CZ338" s="1070"/>
      <c r="DA338" s="1070"/>
      <c r="DB338" s="1070"/>
      <c r="DC338" s="1070"/>
      <c r="DD338" s="1070"/>
      <c r="DE338" s="1070"/>
      <c r="DF338" s="1070"/>
      <c r="DG338" s="1070"/>
      <c r="DH338" s="1070"/>
      <c r="DI338" s="1070"/>
    </row>
    <row r="339" spans="1:113" ht="15" x14ac:dyDescent="0.2">
      <c r="A339" s="1405" t="s">
        <v>4138</v>
      </c>
      <c r="B339" s="1406">
        <f>IF(B299&lt;9,0.99-0.02*B299,0.8)</f>
        <v>0.99</v>
      </c>
      <c r="C339" s="1407"/>
      <c r="D339" s="1407"/>
      <c r="E339" s="1407"/>
      <c r="F339" s="1407"/>
      <c r="G339" s="1407"/>
      <c r="H339" s="1070"/>
      <c r="I339" s="1070"/>
      <c r="J339" s="1070"/>
      <c r="K339" s="1070"/>
      <c r="L339" s="1070"/>
      <c r="M339" s="1070"/>
      <c r="N339" s="1070"/>
      <c r="O339" s="1070"/>
      <c r="P339" s="1070"/>
      <c r="Q339" s="1070"/>
      <c r="R339" s="1070"/>
      <c r="S339" s="1070"/>
      <c r="T339" s="1070"/>
      <c r="U339" s="1070"/>
      <c r="V339" s="1070"/>
      <c r="W339" s="1070"/>
      <c r="X339" s="1070"/>
      <c r="Y339" s="1070"/>
      <c r="Z339" s="1070"/>
      <c r="AA339" s="1070"/>
      <c r="AB339" s="1070"/>
      <c r="AC339" s="1070"/>
      <c r="AD339" s="1070"/>
      <c r="AE339" s="1070"/>
      <c r="AF339" s="1070"/>
      <c r="AG339" s="1070"/>
      <c r="AH339" s="1070"/>
      <c r="AI339" s="1070"/>
      <c r="AJ339" s="1070"/>
      <c r="AK339" s="1070"/>
      <c r="AL339" s="1070"/>
      <c r="AM339" s="1070"/>
      <c r="AN339" s="1070"/>
      <c r="AO339" s="1070"/>
      <c r="AP339" s="1070"/>
      <c r="AQ339" s="1070"/>
      <c r="AR339" s="1070"/>
      <c r="AS339" s="1070"/>
      <c r="AT339" s="1070"/>
      <c r="AU339" s="1070"/>
      <c r="AV339" s="1070"/>
      <c r="AW339" s="1070"/>
      <c r="AX339" s="1070"/>
      <c r="AY339" s="1070"/>
      <c r="AZ339" s="1070"/>
      <c r="BA339" s="1070"/>
      <c r="BB339" s="1070"/>
      <c r="BC339" s="1070"/>
      <c r="BD339" s="1070"/>
      <c r="BE339" s="1070"/>
      <c r="BF339" s="1070"/>
      <c r="BG339" s="1070"/>
      <c r="BH339" s="1070"/>
      <c r="BI339" s="1070"/>
      <c r="BJ339" s="1070"/>
      <c r="BK339" s="1070"/>
      <c r="BL339" s="1070"/>
      <c r="BM339" s="1070"/>
      <c r="BN339" s="1070"/>
      <c r="BO339" s="1070"/>
      <c r="BP339" s="1070"/>
      <c r="BQ339" s="1070"/>
      <c r="BR339" s="1070"/>
      <c r="BS339" s="1070"/>
      <c r="BT339" s="1070"/>
      <c r="BU339" s="1070"/>
      <c r="BV339" s="1070"/>
      <c r="BW339" s="1070"/>
      <c r="BX339" s="1070"/>
      <c r="BY339" s="1070"/>
      <c r="BZ339" s="1070"/>
      <c r="CA339" s="1070"/>
      <c r="CB339" s="1070"/>
      <c r="CC339" s="1070"/>
      <c r="CD339" s="1070"/>
      <c r="CE339" s="1070"/>
      <c r="CF339" s="1070"/>
      <c r="CG339" s="1070"/>
      <c r="CH339" s="1070"/>
      <c r="CI339" s="1070"/>
      <c r="CJ339" s="1070"/>
      <c r="CK339" s="1070"/>
      <c r="CL339" s="1070"/>
      <c r="CM339" s="1070"/>
      <c r="CN339" s="1070"/>
      <c r="CO339" s="1070"/>
      <c r="CP339" s="1070"/>
      <c r="CQ339" s="1070"/>
      <c r="CR339" s="1070"/>
      <c r="CS339" s="1070"/>
      <c r="CT339" s="1070"/>
      <c r="CU339" s="1070"/>
      <c r="CV339" s="1070"/>
      <c r="CW339" s="1070"/>
      <c r="CX339" s="1070"/>
      <c r="CY339" s="1070"/>
      <c r="CZ339" s="1070"/>
      <c r="DA339" s="1070"/>
      <c r="DB339" s="1070"/>
      <c r="DC339" s="1070"/>
      <c r="DD339" s="1070"/>
      <c r="DE339" s="1070"/>
      <c r="DF339" s="1070"/>
      <c r="DG339" s="1070"/>
      <c r="DH339" s="1070"/>
      <c r="DI339" s="1070"/>
    </row>
    <row r="340" spans="1:113" ht="15" x14ac:dyDescent="0.2">
      <c r="A340" s="1405" t="s">
        <v>4139</v>
      </c>
      <c r="B340" s="1406" t="e">
        <f>1-0.05*B300</f>
        <v>#VALUE!</v>
      </c>
      <c r="C340" s="1407"/>
      <c r="D340" s="1407"/>
      <c r="E340" s="1407"/>
      <c r="F340" s="1407"/>
      <c r="G340" s="1407"/>
      <c r="H340" s="1070"/>
      <c r="I340" s="1070"/>
      <c r="J340" s="1070"/>
      <c r="K340" s="1070"/>
      <c r="L340" s="1070"/>
      <c r="M340" s="1070"/>
      <c r="N340" s="1070"/>
      <c r="O340" s="1070"/>
      <c r="P340" s="1070"/>
      <c r="Q340" s="1070"/>
      <c r="R340" s="1070"/>
      <c r="S340" s="1070"/>
      <c r="T340" s="1070"/>
      <c r="U340" s="1070"/>
      <c r="V340" s="1070"/>
      <c r="W340" s="1070"/>
      <c r="X340" s="1070"/>
      <c r="Y340" s="1070"/>
      <c r="Z340" s="1070"/>
      <c r="AA340" s="1070"/>
      <c r="AB340" s="1070"/>
      <c r="AC340" s="1070"/>
      <c r="AD340" s="1070"/>
      <c r="AE340" s="1070"/>
      <c r="AF340" s="1070"/>
      <c r="AG340" s="1070"/>
      <c r="AH340" s="1070"/>
      <c r="AI340" s="1070"/>
      <c r="AJ340" s="1070"/>
      <c r="AK340" s="1070"/>
      <c r="AL340" s="1070"/>
      <c r="AM340" s="1070"/>
      <c r="AN340" s="1070"/>
      <c r="AO340" s="1070"/>
      <c r="AP340" s="1070"/>
      <c r="AQ340" s="1070"/>
      <c r="AR340" s="1070"/>
      <c r="AS340" s="1070"/>
      <c r="AT340" s="1070"/>
      <c r="AU340" s="1070"/>
      <c r="AV340" s="1070"/>
      <c r="AW340" s="1070"/>
      <c r="AX340" s="1070"/>
      <c r="AY340" s="1070"/>
      <c r="AZ340" s="1070"/>
      <c r="BA340" s="1070"/>
      <c r="BB340" s="1070"/>
      <c r="BC340" s="1070"/>
      <c r="BD340" s="1070"/>
      <c r="BE340" s="1070"/>
      <c r="BF340" s="1070"/>
      <c r="BG340" s="1070"/>
      <c r="BH340" s="1070"/>
      <c r="BI340" s="1070"/>
      <c r="BJ340" s="1070"/>
      <c r="BK340" s="1070"/>
      <c r="BL340" s="1070"/>
      <c r="BM340" s="1070"/>
      <c r="BN340" s="1070"/>
      <c r="BO340" s="1070"/>
      <c r="BP340" s="1070"/>
      <c r="BQ340" s="1070"/>
      <c r="BR340" s="1070"/>
      <c r="BS340" s="1070"/>
      <c r="BT340" s="1070"/>
      <c r="BU340" s="1070"/>
      <c r="BV340" s="1070"/>
      <c r="BW340" s="1070"/>
      <c r="BX340" s="1070"/>
      <c r="BY340" s="1070"/>
      <c r="BZ340" s="1070"/>
      <c r="CA340" s="1070"/>
      <c r="CB340" s="1070"/>
      <c r="CC340" s="1070"/>
      <c r="CD340" s="1070"/>
      <c r="CE340" s="1070"/>
      <c r="CF340" s="1070"/>
      <c r="CG340" s="1070"/>
      <c r="CH340" s="1070"/>
      <c r="CI340" s="1070"/>
      <c r="CJ340" s="1070"/>
      <c r="CK340" s="1070"/>
      <c r="CL340" s="1070"/>
      <c r="CM340" s="1070"/>
      <c r="CN340" s="1070"/>
      <c r="CO340" s="1070"/>
      <c r="CP340" s="1070"/>
      <c r="CQ340" s="1070"/>
      <c r="CR340" s="1070"/>
      <c r="CS340" s="1070"/>
      <c r="CT340" s="1070"/>
      <c r="CU340" s="1070"/>
      <c r="CV340" s="1070"/>
      <c r="CW340" s="1070"/>
      <c r="CX340" s="1070"/>
      <c r="CY340" s="1070"/>
      <c r="CZ340" s="1070"/>
      <c r="DA340" s="1070"/>
      <c r="DB340" s="1070"/>
      <c r="DC340" s="1070"/>
      <c r="DD340" s="1070"/>
      <c r="DE340" s="1070"/>
      <c r="DF340" s="1070"/>
      <c r="DG340" s="1070"/>
      <c r="DH340" s="1070"/>
      <c r="DI340" s="1070"/>
    </row>
    <row r="341" spans="1:113" ht="15.75" x14ac:dyDescent="0.25">
      <c r="A341" s="1403" t="s">
        <v>4140</v>
      </c>
      <c r="B341" s="1409" t="e">
        <f>B334*B335*B336*B337*B339*B340</f>
        <v>#VALUE!</v>
      </c>
      <c r="C341" s="1410"/>
      <c r="D341" s="1410"/>
      <c r="E341" s="1410"/>
      <c r="F341" s="1410"/>
      <c r="G341" s="1410"/>
      <c r="H341" s="1070"/>
      <c r="I341" s="1070"/>
      <c r="J341" s="1070"/>
      <c r="K341" s="1070"/>
      <c r="L341" s="1070"/>
      <c r="M341" s="1070"/>
      <c r="N341" s="1070"/>
      <c r="O341" s="1070"/>
      <c r="P341" s="1070"/>
      <c r="Q341" s="1070"/>
      <c r="R341" s="1070"/>
      <c r="S341" s="1070"/>
      <c r="T341" s="1070"/>
      <c r="U341" s="1070"/>
      <c r="V341" s="1070"/>
      <c r="W341" s="1070"/>
      <c r="X341" s="1070"/>
      <c r="Y341" s="1070"/>
      <c r="Z341" s="1070"/>
      <c r="AA341" s="1070"/>
      <c r="AB341" s="1070"/>
      <c r="AC341" s="1070"/>
      <c r="AD341" s="1070"/>
      <c r="AE341" s="1070"/>
      <c r="AF341" s="1070"/>
      <c r="AG341" s="1070"/>
      <c r="AH341" s="1070"/>
      <c r="AI341" s="1070"/>
      <c r="AJ341" s="1070"/>
      <c r="AK341" s="1070"/>
      <c r="AL341" s="1070"/>
      <c r="AM341" s="1070"/>
      <c r="AN341" s="1070"/>
      <c r="AO341" s="1070"/>
      <c r="AP341" s="1070"/>
      <c r="AQ341" s="1070"/>
      <c r="AR341" s="1070"/>
      <c r="AS341" s="1070"/>
      <c r="AT341" s="1070"/>
      <c r="AU341" s="1070"/>
      <c r="AV341" s="1070"/>
      <c r="AW341" s="1070"/>
      <c r="AX341" s="1070"/>
      <c r="AY341" s="1070"/>
      <c r="AZ341" s="1070"/>
      <c r="BA341" s="1070"/>
      <c r="BB341" s="1070"/>
      <c r="BC341" s="1070"/>
      <c r="BD341" s="1070"/>
      <c r="BE341" s="1070"/>
      <c r="BF341" s="1070"/>
      <c r="BG341" s="1070"/>
      <c r="BH341" s="1070"/>
      <c r="BI341" s="1070"/>
      <c r="BJ341" s="1070"/>
      <c r="BK341" s="1070"/>
      <c r="BL341" s="1070"/>
      <c r="BM341" s="1070"/>
      <c r="BN341" s="1070"/>
      <c r="BO341" s="1070"/>
      <c r="BP341" s="1070"/>
      <c r="BQ341" s="1070"/>
      <c r="BR341" s="1070"/>
      <c r="BS341" s="1070"/>
      <c r="BT341" s="1070"/>
      <c r="BU341" s="1070"/>
      <c r="BV341" s="1070"/>
      <c r="BW341" s="1070"/>
      <c r="BX341" s="1070"/>
      <c r="BY341" s="1070"/>
      <c r="BZ341" s="1070"/>
      <c r="CA341" s="1070"/>
      <c r="CB341" s="1070"/>
      <c r="CC341" s="1070"/>
      <c r="CD341" s="1070"/>
      <c r="CE341" s="1070"/>
      <c r="CF341" s="1070"/>
      <c r="CG341" s="1070"/>
      <c r="CH341" s="1070"/>
      <c r="CI341" s="1070"/>
      <c r="CJ341" s="1070"/>
      <c r="CK341" s="1070"/>
      <c r="CL341" s="1070"/>
      <c r="CM341" s="1070"/>
      <c r="CN341" s="1070"/>
      <c r="CO341" s="1070"/>
      <c r="CP341" s="1070"/>
      <c r="CQ341" s="1070"/>
      <c r="CR341" s="1070"/>
      <c r="CS341" s="1070"/>
      <c r="CT341" s="1070"/>
      <c r="CU341" s="1070"/>
      <c r="CV341" s="1070"/>
      <c r="CW341" s="1070"/>
      <c r="CX341" s="1070"/>
      <c r="CY341" s="1070"/>
      <c r="CZ341" s="1070"/>
      <c r="DA341" s="1070"/>
      <c r="DB341" s="1070"/>
      <c r="DC341" s="1070"/>
      <c r="DD341" s="1070"/>
      <c r="DE341" s="1070"/>
      <c r="DF341" s="1070"/>
      <c r="DG341" s="1070"/>
      <c r="DH341" s="1070"/>
      <c r="DI341" s="1070"/>
    </row>
    <row r="342" spans="1:113" ht="15.75" x14ac:dyDescent="0.25">
      <c r="A342" s="1411" t="s">
        <v>4141</v>
      </c>
      <c r="B342" s="1412"/>
      <c r="C342" s="1413"/>
      <c r="D342" s="1413"/>
      <c r="E342" s="1413"/>
      <c r="F342" s="1413"/>
      <c r="G342" s="1413"/>
      <c r="H342" s="1413"/>
      <c r="I342" s="1350"/>
      <c r="J342" s="1350"/>
      <c r="K342" s="1350"/>
      <c r="L342" s="1070"/>
      <c r="M342" s="1070"/>
      <c r="N342" s="1070"/>
      <c r="O342" s="1070"/>
      <c r="P342" s="1070"/>
      <c r="Q342" s="1070"/>
      <c r="R342" s="1070"/>
      <c r="S342" s="1070"/>
      <c r="T342" s="1070"/>
      <c r="U342" s="1070"/>
      <c r="V342" s="1070"/>
      <c r="W342" s="1070"/>
      <c r="X342" s="1070"/>
      <c r="Y342" s="1070"/>
      <c r="Z342" s="1070"/>
      <c r="AA342" s="1070"/>
      <c r="AB342" s="1070"/>
      <c r="AC342" s="1070"/>
      <c r="AD342" s="1070"/>
      <c r="AE342" s="1070"/>
      <c r="AF342" s="1070"/>
      <c r="AG342" s="1070"/>
      <c r="AH342" s="1070"/>
      <c r="AI342" s="1070"/>
      <c r="AJ342" s="1070"/>
      <c r="AK342" s="1070"/>
      <c r="AL342" s="1070"/>
      <c r="AM342" s="1070"/>
      <c r="AN342" s="1070"/>
      <c r="AO342" s="1070"/>
      <c r="AP342" s="1070"/>
      <c r="AQ342" s="1070"/>
      <c r="AR342" s="1070"/>
      <c r="AS342" s="1070"/>
      <c r="AT342" s="1070"/>
      <c r="AU342" s="1350"/>
      <c r="AV342" s="1350"/>
      <c r="AW342" s="1350"/>
      <c r="AX342" s="1350"/>
      <c r="AY342" s="1350"/>
      <c r="AZ342" s="1350"/>
      <c r="BA342" s="1070"/>
      <c r="BB342" s="1070"/>
      <c r="BC342" s="1070"/>
      <c r="BD342" s="1070"/>
      <c r="BE342" s="1070"/>
      <c r="BF342" s="1070"/>
      <c r="BG342" s="1070"/>
      <c r="BH342" s="1070"/>
      <c r="BI342" s="1070"/>
      <c r="BJ342" s="1070"/>
      <c r="BK342" s="1070"/>
      <c r="BL342" s="1070"/>
      <c r="BM342" s="1070"/>
      <c r="BN342" s="1070"/>
      <c r="BO342" s="1070"/>
      <c r="BP342" s="1070"/>
      <c r="BQ342" s="1070"/>
      <c r="BR342" s="1070"/>
      <c r="BS342" s="1070"/>
      <c r="BT342" s="1070"/>
      <c r="BU342" s="1070"/>
      <c r="BV342" s="1070"/>
      <c r="BW342" s="1070"/>
      <c r="BX342" s="1070"/>
      <c r="BY342" s="1070"/>
      <c r="BZ342" s="1070"/>
      <c r="CA342" s="1070"/>
      <c r="CB342" s="1070"/>
      <c r="CC342" s="1070"/>
      <c r="CD342" s="1070"/>
      <c r="CE342" s="1070"/>
      <c r="CF342" s="1070"/>
      <c r="CG342" s="1070"/>
      <c r="CH342" s="1070"/>
      <c r="CI342" s="1070"/>
      <c r="CJ342" s="1070"/>
      <c r="CK342" s="1070"/>
      <c r="CL342" s="1070"/>
      <c r="CM342" s="1070"/>
      <c r="CN342" s="1070"/>
      <c r="CO342" s="1070"/>
      <c r="CP342" s="1070"/>
      <c r="CQ342" s="1070"/>
      <c r="CR342" s="1070"/>
      <c r="CS342" s="1070"/>
      <c r="CT342" s="1070"/>
      <c r="CU342" s="1070"/>
      <c r="CV342" s="1070"/>
      <c r="CW342" s="1070"/>
      <c r="CX342" s="1070"/>
      <c r="CY342" s="1070"/>
      <c r="CZ342" s="1070"/>
      <c r="DA342" s="1070"/>
      <c r="DB342" s="1070"/>
      <c r="DC342" s="1070"/>
      <c r="DD342" s="1070"/>
      <c r="DE342" s="1070"/>
      <c r="DF342" s="1070"/>
      <c r="DG342" s="1070"/>
      <c r="DH342" s="1070"/>
      <c r="DI342" s="1070"/>
    </row>
    <row r="343" spans="1:113" ht="15.75" x14ac:dyDescent="0.25">
      <c r="A343" s="1414" t="s">
        <v>4142</v>
      </c>
      <c r="B343" s="1415"/>
      <c r="C343" s="1350"/>
      <c r="D343" s="1416"/>
      <c r="E343" s="1350"/>
      <c r="F343" s="1350"/>
      <c r="G343" s="1350"/>
      <c r="H343" s="1350"/>
      <c r="I343" s="1350"/>
      <c r="J343" s="1350"/>
      <c r="K343" s="1350"/>
      <c r="L343" s="1070"/>
      <c r="M343" s="1070"/>
      <c r="N343" s="1070"/>
      <c r="O343" s="1070"/>
      <c r="P343" s="1070"/>
      <c r="Q343" s="1070"/>
      <c r="R343" s="1070"/>
      <c r="S343" s="1070"/>
      <c r="T343" s="1070"/>
      <c r="U343" s="1070"/>
      <c r="V343" s="1070"/>
      <c r="W343" s="1070"/>
      <c r="X343" s="1070"/>
      <c r="Y343" s="1070"/>
      <c r="Z343" s="1070"/>
      <c r="AA343" s="1070"/>
      <c r="AB343" s="1070"/>
      <c r="AC343" s="1070"/>
      <c r="AD343" s="1070"/>
      <c r="AE343" s="1070"/>
      <c r="AF343" s="1070"/>
      <c r="AG343" s="1070"/>
      <c r="AH343" s="1070"/>
      <c r="AI343" s="1070"/>
      <c r="AJ343" s="1070"/>
      <c r="AK343" s="1070"/>
      <c r="AL343" s="1070"/>
      <c r="AM343" s="1070"/>
      <c r="AN343" s="1070"/>
      <c r="AO343" s="1070"/>
      <c r="AP343" s="1070"/>
      <c r="AQ343" s="1070"/>
      <c r="AR343" s="1070"/>
      <c r="AS343" s="1070"/>
      <c r="AT343" s="1070"/>
      <c r="AU343" s="1350"/>
      <c r="AV343" s="1350"/>
      <c r="AW343" s="1350"/>
      <c r="AX343" s="1350"/>
      <c r="AY343" s="1350"/>
      <c r="AZ343" s="1350"/>
      <c r="BA343" s="1070"/>
      <c r="BB343" s="1070"/>
      <c r="BC343" s="1070"/>
      <c r="BD343" s="1070"/>
      <c r="BE343" s="1070"/>
      <c r="BF343" s="1070"/>
      <c r="BG343" s="1070"/>
      <c r="BH343" s="1070"/>
      <c r="BI343" s="1070"/>
      <c r="BJ343" s="1070"/>
      <c r="BK343" s="1070"/>
      <c r="BL343" s="1070"/>
      <c r="BM343" s="1070"/>
      <c r="BN343" s="1070"/>
      <c r="BO343" s="1070"/>
      <c r="BP343" s="1070"/>
      <c r="BQ343" s="1070"/>
      <c r="BR343" s="1070"/>
      <c r="BS343" s="1070"/>
      <c r="BT343" s="1070"/>
      <c r="BU343" s="1070"/>
      <c r="BV343" s="1070"/>
      <c r="BW343" s="1070"/>
      <c r="BX343" s="1070"/>
      <c r="BY343" s="1070"/>
      <c r="BZ343" s="1070"/>
      <c r="CA343" s="1070"/>
      <c r="CB343" s="1070"/>
      <c r="CC343" s="1070"/>
      <c r="CD343" s="1070"/>
      <c r="CE343" s="1070"/>
      <c r="CF343" s="1070"/>
      <c r="CG343" s="1070"/>
      <c r="CH343" s="1070"/>
      <c r="CI343" s="1070"/>
      <c r="CJ343" s="1070"/>
      <c r="CK343" s="1070"/>
      <c r="CL343" s="1070"/>
      <c r="CM343" s="1070"/>
      <c r="CN343" s="1070"/>
      <c r="CO343" s="1070"/>
      <c r="CP343" s="1070"/>
      <c r="CQ343" s="1070"/>
      <c r="CR343" s="1070"/>
      <c r="CS343" s="1070"/>
      <c r="CT343" s="1070"/>
      <c r="CU343" s="1070"/>
      <c r="CV343" s="1070"/>
      <c r="CW343" s="1070"/>
      <c r="CX343" s="1070"/>
      <c r="CY343" s="1070"/>
      <c r="CZ343" s="1070"/>
      <c r="DA343" s="1070"/>
      <c r="DB343" s="1070"/>
      <c r="DC343" s="1070"/>
      <c r="DD343" s="1070"/>
      <c r="DE343" s="1070"/>
      <c r="DF343" s="1070"/>
      <c r="DG343" s="1070"/>
      <c r="DH343" s="1070"/>
      <c r="DI343" s="1070"/>
    </row>
    <row r="344" spans="1:113" ht="15.75" x14ac:dyDescent="0.25">
      <c r="A344" s="1417" t="s">
        <v>4143</v>
      </c>
      <c r="B344" s="1418">
        <v>4</v>
      </c>
      <c r="C344" s="1350"/>
      <c r="D344" s="1350"/>
      <c r="E344" s="1350"/>
      <c r="F344" s="1350"/>
      <c r="G344" s="1350"/>
      <c r="H344" s="1350"/>
      <c r="I344" s="1350"/>
      <c r="J344" s="1350"/>
      <c r="K344" s="1350"/>
      <c r="L344" s="1070"/>
      <c r="M344" s="1070"/>
      <c r="N344" s="1070"/>
      <c r="O344" s="1070"/>
      <c r="P344" s="1070"/>
      <c r="Q344" s="1070"/>
      <c r="R344" s="1070"/>
      <c r="S344" s="1070"/>
      <c r="T344" s="1070"/>
      <c r="U344" s="1070"/>
      <c r="V344" s="1070"/>
      <c r="W344" s="1070"/>
      <c r="X344" s="1070"/>
      <c r="Y344" s="1070"/>
      <c r="Z344" s="1070"/>
      <c r="AA344" s="1070"/>
      <c r="AB344" s="1070"/>
      <c r="AC344" s="1070"/>
      <c r="AD344" s="1070"/>
      <c r="AE344" s="1070"/>
      <c r="AF344" s="1070"/>
      <c r="AG344" s="1070"/>
      <c r="AH344" s="1070"/>
      <c r="AI344" s="1070"/>
      <c r="AJ344" s="1070"/>
      <c r="AK344" s="1070"/>
      <c r="AL344" s="1070"/>
      <c r="AM344" s="1070"/>
      <c r="AN344" s="1070"/>
      <c r="AO344" s="1070"/>
      <c r="AP344" s="1070"/>
      <c r="AQ344" s="1070"/>
      <c r="AR344" s="1070"/>
      <c r="AS344" s="1070"/>
      <c r="AT344" s="1070"/>
      <c r="AU344" s="1350"/>
      <c r="AV344" s="1350"/>
      <c r="AW344" s="1350"/>
      <c r="AX344" s="1350"/>
      <c r="AY344" s="1350"/>
      <c r="AZ344" s="1350"/>
      <c r="BA344" s="1070"/>
      <c r="BB344" s="1070"/>
      <c r="BC344" s="1070"/>
      <c r="BD344" s="1070"/>
      <c r="BE344" s="1070"/>
      <c r="BF344" s="1070"/>
      <c r="BG344" s="1070"/>
      <c r="BH344" s="1070"/>
      <c r="BI344" s="1070"/>
      <c r="BJ344" s="1070"/>
      <c r="BK344" s="1070"/>
      <c r="BL344" s="1070"/>
      <c r="BM344" s="1070"/>
      <c r="BN344" s="1070"/>
      <c r="BO344" s="1070"/>
      <c r="BP344" s="1070"/>
      <c r="BQ344" s="1070"/>
      <c r="BR344" s="1070"/>
      <c r="BS344" s="1070"/>
      <c r="BT344" s="1070"/>
      <c r="BU344" s="1070"/>
      <c r="BV344" s="1070"/>
      <c r="BW344" s="1070"/>
      <c r="BX344" s="1070"/>
      <c r="BY344" s="1070"/>
      <c r="BZ344" s="1070"/>
      <c r="CA344" s="1070"/>
      <c r="CB344" s="1070"/>
      <c r="CC344" s="1070"/>
      <c r="CD344" s="1070"/>
      <c r="CE344" s="1070"/>
      <c r="CF344" s="1070"/>
      <c r="CG344" s="1070"/>
      <c r="CH344" s="1070"/>
      <c r="CI344" s="1070"/>
      <c r="CJ344" s="1070"/>
      <c r="CK344" s="1070"/>
      <c r="CL344" s="1070"/>
      <c r="CM344" s="1070"/>
      <c r="CN344" s="1070"/>
      <c r="CO344" s="1070"/>
      <c r="CP344" s="1070"/>
      <c r="CQ344" s="1070"/>
      <c r="CR344" s="1070"/>
      <c r="CS344" s="1070"/>
      <c r="CT344" s="1070"/>
      <c r="CU344" s="1070"/>
      <c r="CV344" s="1070"/>
      <c r="CW344" s="1070"/>
      <c r="CX344" s="1070"/>
      <c r="CY344" s="1070"/>
      <c r="CZ344" s="1070"/>
      <c r="DA344" s="1070"/>
      <c r="DB344" s="1070"/>
      <c r="DC344" s="1070"/>
      <c r="DD344" s="1070"/>
      <c r="DE344" s="1070"/>
      <c r="DF344" s="1070"/>
      <c r="DG344" s="1070"/>
      <c r="DH344" s="1070"/>
      <c r="DI344" s="1070"/>
    </row>
    <row r="345" spans="1:113" ht="15.75" x14ac:dyDescent="0.25">
      <c r="A345" s="1419" t="s">
        <v>4144</v>
      </c>
      <c r="B345" s="1415"/>
      <c r="C345" s="1350"/>
      <c r="D345" s="1416"/>
      <c r="E345" s="1350"/>
      <c r="F345" s="1350"/>
      <c r="G345" s="1350"/>
      <c r="H345" s="1350"/>
      <c r="I345" s="1350"/>
      <c r="J345" s="1350"/>
      <c r="K345" s="1350"/>
      <c r="L345" s="1070"/>
      <c r="M345" s="1070"/>
      <c r="N345" s="1070"/>
      <c r="O345" s="1070"/>
      <c r="P345" s="1070"/>
      <c r="Q345" s="1070"/>
      <c r="R345" s="1070"/>
      <c r="S345" s="1070"/>
      <c r="T345" s="1070"/>
      <c r="U345" s="1070"/>
      <c r="V345" s="1070"/>
      <c r="W345" s="1070"/>
      <c r="X345" s="1070"/>
      <c r="Y345" s="1070"/>
      <c r="Z345" s="1070"/>
      <c r="AA345" s="1070"/>
      <c r="AB345" s="1070"/>
      <c r="AC345" s="1070"/>
      <c r="AD345" s="1070"/>
      <c r="AE345" s="1070"/>
      <c r="AF345" s="1070"/>
      <c r="AG345" s="1070"/>
      <c r="AH345" s="1070"/>
      <c r="AI345" s="1070"/>
      <c r="AJ345" s="1070"/>
      <c r="AK345" s="1070"/>
      <c r="AL345" s="1070"/>
      <c r="AM345" s="1070"/>
      <c r="AN345" s="1070"/>
      <c r="AO345" s="1070"/>
      <c r="AP345" s="1070"/>
      <c r="AQ345" s="1070"/>
      <c r="AR345" s="1070"/>
      <c r="AS345" s="1070"/>
      <c r="AT345" s="1070"/>
      <c r="AU345" s="1350"/>
      <c r="AV345" s="1350"/>
      <c r="AW345" s="1350"/>
      <c r="AX345" s="1350"/>
      <c r="AY345" s="1350"/>
      <c r="AZ345" s="1350"/>
      <c r="BA345" s="1070"/>
      <c r="BB345" s="1070"/>
      <c r="BC345" s="1070"/>
      <c r="BD345" s="1070"/>
      <c r="BE345" s="1070"/>
      <c r="BF345" s="1070"/>
      <c r="BG345" s="1070"/>
      <c r="BH345" s="1070"/>
      <c r="BI345" s="1070"/>
      <c r="BJ345" s="1070"/>
      <c r="BK345" s="1070"/>
      <c r="BL345" s="1070"/>
      <c r="BM345" s="1070"/>
      <c r="BN345" s="1070"/>
      <c r="BO345" s="1070"/>
      <c r="BP345" s="1070"/>
      <c r="BQ345" s="1070"/>
      <c r="BR345" s="1070"/>
      <c r="BS345" s="1070"/>
      <c r="BT345" s="1070"/>
      <c r="BU345" s="1070"/>
      <c r="BV345" s="1070"/>
      <c r="BW345" s="1070"/>
      <c r="BX345" s="1070"/>
      <c r="BY345" s="1070"/>
      <c r="BZ345" s="1070"/>
      <c r="CA345" s="1070"/>
      <c r="CB345" s="1070"/>
      <c r="CC345" s="1070"/>
      <c r="CD345" s="1070"/>
      <c r="CE345" s="1070"/>
      <c r="CF345" s="1070"/>
      <c r="CG345" s="1070"/>
      <c r="CH345" s="1070"/>
      <c r="CI345" s="1070"/>
      <c r="CJ345" s="1070"/>
      <c r="CK345" s="1070"/>
      <c r="CL345" s="1070"/>
      <c r="CM345" s="1070"/>
      <c r="CN345" s="1070"/>
      <c r="CO345" s="1070"/>
      <c r="CP345" s="1070"/>
      <c r="CQ345" s="1070"/>
      <c r="CR345" s="1070"/>
      <c r="CS345" s="1070"/>
      <c r="CT345" s="1070"/>
      <c r="CU345" s="1070"/>
      <c r="CV345" s="1070"/>
      <c r="CW345" s="1070"/>
      <c r="CX345" s="1070"/>
      <c r="CY345" s="1070"/>
      <c r="CZ345" s="1070"/>
      <c r="DA345" s="1070"/>
      <c r="DB345" s="1070"/>
      <c r="DC345" s="1070"/>
      <c r="DD345" s="1070"/>
      <c r="DE345" s="1070"/>
      <c r="DF345" s="1070"/>
      <c r="DG345" s="1070"/>
      <c r="DH345" s="1070"/>
      <c r="DI345" s="1070"/>
    </row>
    <row r="346" spans="1:113" ht="31.5" x14ac:dyDescent="0.25">
      <c r="A346" s="1420" t="s">
        <v>4145</v>
      </c>
      <c r="B346" s="1421" t="e">
        <f>CEILING((B303-B304)/B309+1,1)</f>
        <v>#DIV/0!</v>
      </c>
      <c r="C346" s="1350"/>
      <c r="D346" s="1416"/>
      <c r="E346" s="1350"/>
      <c r="F346" s="1350"/>
      <c r="G346" s="1350"/>
      <c r="H346" s="1350"/>
      <c r="I346" s="1350"/>
      <c r="J346" s="1350"/>
      <c r="K346" s="1350"/>
      <c r="L346" s="1070"/>
      <c r="M346" s="1070"/>
      <c r="N346" s="1070"/>
      <c r="O346" s="1070"/>
      <c r="P346" s="1070"/>
      <c r="Q346" s="1070"/>
      <c r="R346" s="1070"/>
      <c r="S346" s="1070"/>
      <c r="T346" s="1070"/>
      <c r="U346" s="1070"/>
      <c r="V346" s="1070"/>
      <c r="W346" s="1070"/>
      <c r="X346" s="1070"/>
      <c r="Y346" s="1070"/>
      <c r="Z346" s="1070"/>
      <c r="AA346" s="1070"/>
      <c r="AB346" s="1070"/>
      <c r="AC346" s="1070"/>
      <c r="AD346" s="1070"/>
      <c r="AE346" s="1070"/>
      <c r="AF346" s="1070"/>
      <c r="AG346" s="1070"/>
      <c r="AH346" s="1070"/>
      <c r="AI346" s="1070"/>
      <c r="AJ346" s="1070"/>
      <c r="AK346" s="1070"/>
      <c r="AL346" s="1070"/>
      <c r="AM346" s="1070"/>
      <c r="AN346" s="1070"/>
      <c r="AO346" s="1070"/>
      <c r="AP346" s="1070"/>
      <c r="AQ346" s="1070"/>
      <c r="AR346" s="1070"/>
      <c r="AS346" s="1070"/>
      <c r="AT346" s="1070"/>
      <c r="AU346" s="1350"/>
      <c r="AV346" s="1350"/>
      <c r="AW346" s="1350"/>
      <c r="AX346" s="1350"/>
      <c r="AY346" s="1350"/>
      <c r="AZ346" s="1350"/>
      <c r="BA346" s="1070"/>
      <c r="BB346" s="1070"/>
      <c r="BC346" s="1070"/>
      <c r="BD346" s="1070"/>
      <c r="BE346" s="1070"/>
      <c r="BF346" s="1070"/>
      <c r="BG346" s="1070"/>
      <c r="BH346" s="1070"/>
      <c r="BI346" s="1070"/>
      <c r="BJ346" s="1070"/>
      <c r="BK346" s="1070"/>
      <c r="BL346" s="1070"/>
      <c r="BM346" s="1070"/>
      <c r="BN346" s="1070"/>
      <c r="BO346" s="1070"/>
      <c r="BP346" s="1070"/>
      <c r="BQ346" s="1070"/>
      <c r="BR346" s="1070"/>
      <c r="BS346" s="1070"/>
      <c r="BT346" s="1070"/>
      <c r="BU346" s="1070"/>
      <c r="BV346" s="1070"/>
      <c r="BW346" s="1070"/>
      <c r="BX346" s="1070"/>
      <c r="BY346" s="1070"/>
      <c r="BZ346" s="1070"/>
      <c r="CA346" s="1070"/>
      <c r="CB346" s="1070"/>
      <c r="CC346" s="1070"/>
      <c r="CD346" s="1070"/>
      <c r="CE346" s="1070"/>
      <c r="CF346" s="1070"/>
      <c r="CG346" s="1070"/>
      <c r="CH346" s="1070"/>
      <c r="CI346" s="1070"/>
      <c r="CJ346" s="1070"/>
      <c r="CK346" s="1070"/>
      <c r="CL346" s="1070"/>
      <c r="CM346" s="1070"/>
      <c r="CN346" s="1070"/>
      <c r="CO346" s="1070"/>
      <c r="CP346" s="1070"/>
      <c r="CQ346" s="1070"/>
      <c r="CR346" s="1070"/>
      <c r="CS346" s="1070"/>
      <c r="CT346" s="1070"/>
      <c r="CU346" s="1070"/>
      <c r="CV346" s="1070"/>
      <c r="CW346" s="1070"/>
      <c r="CX346" s="1070"/>
      <c r="CY346" s="1070"/>
      <c r="CZ346" s="1070"/>
      <c r="DA346" s="1070"/>
      <c r="DB346" s="1070"/>
      <c r="DC346" s="1070"/>
      <c r="DD346" s="1070"/>
      <c r="DE346" s="1070"/>
      <c r="DF346" s="1070"/>
      <c r="DG346" s="1070"/>
      <c r="DH346" s="1070"/>
      <c r="DI346" s="1070"/>
    </row>
    <row r="347" spans="1:113" ht="31.5" x14ac:dyDescent="0.25">
      <c r="A347" s="1420" t="s">
        <v>4146</v>
      </c>
      <c r="B347" s="1421" t="e">
        <f>CEILING((B306-B303+B304)/B309,1)</f>
        <v>#REF!</v>
      </c>
      <c r="C347" s="1350"/>
      <c r="D347" s="1416"/>
      <c r="E347" s="1350"/>
      <c r="F347" s="1350"/>
      <c r="G347" s="1350"/>
      <c r="H347" s="1350"/>
      <c r="I347" s="1350"/>
      <c r="J347" s="1350"/>
      <c r="K347" s="1350"/>
      <c r="L347" s="1070"/>
      <c r="M347" s="1070"/>
      <c r="N347" s="1070"/>
      <c r="O347" s="1070"/>
      <c r="P347" s="1070"/>
      <c r="Q347" s="1070"/>
      <c r="R347" s="1070"/>
      <c r="S347" s="1070"/>
      <c r="T347" s="1070"/>
      <c r="U347" s="1070"/>
      <c r="V347" s="1070"/>
      <c r="W347" s="1070"/>
      <c r="X347" s="1070"/>
      <c r="Y347" s="1070"/>
      <c r="Z347" s="1070"/>
      <c r="AA347" s="1070"/>
      <c r="AB347" s="1070"/>
      <c r="AC347" s="1070"/>
      <c r="AD347" s="1070"/>
      <c r="AE347" s="1070"/>
      <c r="AF347" s="1070"/>
      <c r="AG347" s="1070"/>
      <c r="AH347" s="1070"/>
      <c r="AI347" s="1070"/>
      <c r="AJ347" s="1070"/>
      <c r="AK347" s="1070"/>
      <c r="AL347" s="1070"/>
      <c r="AM347" s="1070"/>
      <c r="AN347" s="1070"/>
      <c r="AO347" s="1070"/>
      <c r="AP347" s="1070"/>
      <c r="AQ347" s="1070"/>
      <c r="AR347" s="1070"/>
      <c r="AS347" s="1070"/>
      <c r="AT347" s="1070"/>
      <c r="AU347" s="1350"/>
      <c r="AV347" s="1350"/>
      <c r="AW347" s="1350"/>
      <c r="AX347" s="1350"/>
      <c r="AY347" s="1350"/>
      <c r="AZ347" s="1350"/>
      <c r="BA347" s="1070"/>
      <c r="BB347" s="1070"/>
      <c r="BC347" s="1070"/>
      <c r="BD347" s="1070"/>
      <c r="BE347" s="1070"/>
      <c r="BF347" s="1070"/>
      <c r="BG347" s="1070"/>
      <c r="BH347" s="1070"/>
      <c r="BI347" s="1070"/>
      <c r="BJ347" s="1070"/>
      <c r="BK347" s="1070"/>
      <c r="BL347" s="1070"/>
      <c r="BM347" s="1070"/>
      <c r="BN347" s="1070"/>
      <c r="BO347" s="1070"/>
      <c r="BP347" s="1070"/>
      <c r="BQ347" s="1070"/>
      <c r="BR347" s="1070"/>
      <c r="BS347" s="1070"/>
      <c r="BT347" s="1070"/>
      <c r="BU347" s="1070"/>
      <c r="BV347" s="1070"/>
      <c r="BW347" s="1070"/>
      <c r="BX347" s="1070"/>
      <c r="BY347" s="1070"/>
      <c r="BZ347" s="1070"/>
      <c r="CA347" s="1070"/>
      <c r="CB347" s="1070"/>
      <c r="CC347" s="1070"/>
      <c r="CD347" s="1070"/>
      <c r="CE347" s="1070"/>
      <c r="CF347" s="1070"/>
      <c r="CG347" s="1070"/>
      <c r="CH347" s="1070"/>
      <c r="CI347" s="1070"/>
      <c r="CJ347" s="1070"/>
      <c r="CK347" s="1070"/>
      <c r="CL347" s="1070"/>
      <c r="CM347" s="1070"/>
      <c r="CN347" s="1070"/>
      <c r="CO347" s="1070"/>
      <c r="CP347" s="1070"/>
      <c r="CQ347" s="1070"/>
      <c r="CR347" s="1070"/>
      <c r="CS347" s="1070"/>
      <c r="CT347" s="1070"/>
      <c r="CU347" s="1070"/>
      <c r="CV347" s="1070"/>
      <c r="CW347" s="1070"/>
      <c r="CX347" s="1070"/>
      <c r="CY347" s="1070"/>
      <c r="CZ347" s="1070"/>
      <c r="DA347" s="1070"/>
      <c r="DB347" s="1070"/>
      <c r="DC347" s="1070"/>
      <c r="DD347" s="1070"/>
      <c r="DE347" s="1070"/>
      <c r="DF347" s="1070"/>
      <c r="DG347" s="1070"/>
      <c r="DH347" s="1070"/>
      <c r="DI347" s="1070"/>
    </row>
    <row r="348" spans="1:113" ht="31.5" x14ac:dyDescent="0.25">
      <c r="A348" s="1422" t="s">
        <v>4147</v>
      </c>
      <c r="B348" s="1423">
        <f>B317+0.1</f>
        <v>2.3000000000000003</v>
      </c>
      <c r="C348" s="1350"/>
      <c r="D348" s="1416"/>
      <c r="E348" s="1350"/>
      <c r="F348" s="1350"/>
      <c r="G348" s="1350"/>
      <c r="H348" s="1350"/>
      <c r="I348" s="1350"/>
      <c r="J348" s="1350"/>
      <c r="K348" s="1350"/>
      <c r="L348" s="1070"/>
      <c r="M348" s="1070"/>
      <c r="N348" s="1070"/>
      <c r="O348" s="1070"/>
      <c r="P348" s="1070"/>
      <c r="Q348" s="1070"/>
      <c r="R348" s="1070"/>
      <c r="S348" s="1070"/>
      <c r="T348" s="1070"/>
      <c r="U348" s="1070"/>
      <c r="V348" s="1070"/>
      <c r="W348" s="1070"/>
      <c r="X348" s="1070"/>
      <c r="Y348" s="1070"/>
      <c r="Z348" s="1070"/>
      <c r="AA348" s="1070"/>
      <c r="AB348" s="1070"/>
      <c r="AC348" s="1070"/>
      <c r="AD348" s="1070"/>
      <c r="AE348" s="1070"/>
      <c r="AF348" s="1070"/>
      <c r="AG348" s="1070"/>
      <c r="AH348" s="1070"/>
      <c r="AI348" s="1070"/>
      <c r="AJ348" s="1070"/>
      <c r="AK348" s="1070"/>
      <c r="AL348" s="1070"/>
      <c r="AM348" s="1070"/>
      <c r="AN348" s="1070"/>
      <c r="AO348" s="1070"/>
      <c r="AP348" s="1070"/>
      <c r="AQ348" s="1070"/>
      <c r="AR348" s="1070"/>
      <c r="AS348" s="1070"/>
      <c r="AT348" s="1070"/>
      <c r="AU348" s="1350"/>
      <c r="AV348" s="1350"/>
      <c r="AW348" s="1350"/>
      <c r="AX348" s="1350"/>
      <c r="AY348" s="1350"/>
      <c r="AZ348" s="1350"/>
      <c r="BA348" s="1070"/>
      <c r="BB348" s="1070"/>
      <c r="BC348" s="1070"/>
      <c r="BD348" s="1070"/>
      <c r="BE348" s="1070"/>
      <c r="BF348" s="1070"/>
      <c r="BG348" s="1070"/>
      <c r="BH348" s="1070"/>
      <c r="BI348" s="1070"/>
      <c r="BJ348" s="1070"/>
      <c r="BK348" s="1070"/>
      <c r="BL348" s="1070"/>
      <c r="BM348" s="1070"/>
      <c r="BN348" s="1070"/>
      <c r="BO348" s="1070"/>
      <c r="BP348" s="1070"/>
      <c r="BQ348" s="1070"/>
      <c r="BR348" s="1070"/>
      <c r="BS348" s="1070"/>
      <c r="BT348" s="1070"/>
      <c r="BU348" s="1070"/>
      <c r="BV348" s="1070"/>
      <c r="BW348" s="1070"/>
      <c r="BX348" s="1070"/>
      <c r="BY348" s="1070"/>
      <c r="BZ348" s="1070"/>
      <c r="CA348" s="1070"/>
      <c r="CB348" s="1070"/>
      <c r="CC348" s="1070"/>
      <c r="CD348" s="1070"/>
      <c r="CE348" s="1070"/>
      <c r="CF348" s="1070"/>
      <c r="CG348" s="1070"/>
      <c r="CH348" s="1070"/>
      <c r="CI348" s="1070"/>
      <c r="CJ348" s="1070"/>
      <c r="CK348" s="1070"/>
      <c r="CL348" s="1070"/>
      <c r="CM348" s="1070"/>
      <c r="CN348" s="1070"/>
      <c r="CO348" s="1070"/>
      <c r="CP348" s="1070"/>
      <c r="CQ348" s="1070"/>
      <c r="CR348" s="1070"/>
      <c r="CS348" s="1070"/>
      <c r="CT348" s="1070"/>
      <c r="CU348" s="1070"/>
      <c r="CV348" s="1070"/>
      <c r="CW348" s="1070"/>
      <c r="CX348" s="1070"/>
      <c r="CY348" s="1070"/>
      <c r="CZ348" s="1070"/>
      <c r="DA348" s="1070"/>
      <c r="DB348" s="1070"/>
      <c r="DC348" s="1070"/>
      <c r="DD348" s="1070"/>
      <c r="DE348" s="1070"/>
      <c r="DF348" s="1070"/>
      <c r="DG348" s="1070"/>
      <c r="DH348" s="1070"/>
      <c r="DI348" s="1070"/>
    </row>
    <row r="349" spans="1:113" ht="31.5" x14ac:dyDescent="0.25">
      <c r="A349" s="1420" t="s">
        <v>4148</v>
      </c>
      <c r="B349" s="1424">
        <f>B318+0.1</f>
        <v>0.9</v>
      </c>
      <c r="C349" s="1350"/>
      <c r="D349" s="1416"/>
      <c r="E349" s="1350"/>
      <c r="F349" s="1350"/>
      <c r="G349" s="1350"/>
      <c r="H349" s="1350"/>
      <c r="I349" s="1350"/>
      <c r="J349" s="1350"/>
      <c r="K349" s="1350"/>
      <c r="L349" s="1070"/>
      <c r="M349" s="1070"/>
      <c r="N349" s="1070"/>
      <c r="O349" s="1070"/>
      <c r="P349" s="1070"/>
      <c r="Q349" s="1070"/>
      <c r="R349" s="1070"/>
      <c r="S349" s="1070"/>
      <c r="T349" s="1070"/>
      <c r="U349" s="1070"/>
      <c r="V349" s="1070"/>
      <c r="W349" s="1070"/>
      <c r="X349" s="1070"/>
      <c r="Y349" s="1070"/>
      <c r="Z349" s="1070"/>
      <c r="AA349" s="1070"/>
      <c r="AB349" s="1070"/>
      <c r="AC349" s="1070"/>
      <c r="AD349" s="1070"/>
      <c r="AE349" s="1070"/>
      <c r="AF349" s="1070"/>
      <c r="AG349" s="1070"/>
      <c r="AH349" s="1070"/>
      <c r="AI349" s="1070"/>
      <c r="AJ349" s="1070"/>
      <c r="AK349" s="1070"/>
      <c r="AL349" s="1070"/>
      <c r="AM349" s="1070"/>
      <c r="AN349" s="1070"/>
      <c r="AO349" s="1070"/>
      <c r="AP349" s="1070"/>
      <c r="AQ349" s="1070"/>
      <c r="AR349" s="1070"/>
      <c r="AS349" s="1070"/>
      <c r="AT349" s="1070"/>
      <c r="AU349" s="1350"/>
      <c r="AV349" s="1350"/>
      <c r="AW349" s="1350"/>
      <c r="AX349" s="1350"/>
      <c r="AY349" s="1350"/>
      <c r="AZ349" s="1350"/>
      <c r="BA349" s="1070"/>
      <c r="BB349" s="1070"/>
      <c r="BC349" s="1070"/>
      <c r="BD349" s="1070"/>
      <c r="BE349" s="1070"/>
      <c r="BF349" s="1070"/>
      <c r="BG349" s="1070"/>
      <c r="BH349" s="1070"/>
      <c r="BI349" s="1070"/>
      <c r="BJ349" s="1070"/>
      <c r="BK349" s="1070"/>
      <c r="BL349" s="1070"/>
      <c r="BM349" s="1070"/>
      <c r="BN349" s="1070"/>
      <c r="BO349" s="1070"/>
      <c r="BP349" s="1070"/>
      <c r="BQ349" s="1070"/>
      <c r="BR349" s="1070"/>
      <c r="BS349" s="1070"/>
      <c r="BT349" s="1070"/>
      <c r="BU349" s="1070"/>
      <c r="BV349" s="1070"/>
      <c r="BW349" s="1070"/>
      <c r="BX349" s="1070"/>
      <c r="BY349" s="1070"/>
      <c r="BZ349" s="1070"/>
      <c r="CA349" s="1070"/>
      <c r="CB349" s="1070"/>
      <c r="CC349" s="1070"/>
      <c r="CD349" s="1070"/>
      <c r="CE349" s="1070"/>
      <c r="CF349" s="1070"/>
      <c r="CG349" s="1070"/>
      <c r="CH349" s="1070"/>
      <c r="CI349" s="1070"/>
      <c r="CJ349" s="1070"/>
      <c r="CK349" s="1070"/>
      <c r="CL349" s="1070"/>
      <c r="CM349" s="1070"/>
      <c r="CN349" s="1070"/>
      <c r="CO349" s="1070"/>
      <c r="CP349" s="1070"/>
      <c r="CQ349" s="1070"/>
      <c r="CR349" s="1070"/>
      <c r="CS349" s="1070"/>
      <c r="CT349" s="1070"/>
      <c r="CU349" s="1070"/>
      <c r="CV349" s="1070"/>
      <c r="CW349" s="1070"/>
      <c r="CX349" s="1070"/>
      <c r="CY349" s="1070"/>
      <c r="CZ349" s="1070"/>
      <c r="DA349" s="1070"/>
      <c r="DB349" s="1070"/>
      <c r="DC349" s="1070"/>
      <c r="DD349" s="1070"/>
      <c r="DE349" s="1070"/>
      <c r="DF349" s="1070"/>
      <c r="DG349" s="1070"/>
      <c r="DH349" s="1070"/>
      <c r="DI349" s="1070"/>
    </row>
    <row r="350" spans="1:113" ht="31.5" x14ac:dyDescent="0.25">
      <c r="A350" s="1425" t="s">
        <v>4149</v>
      </c>
      <c r="B350" s="1421"/>
      <c r="C350" s="1350"/>
      <c r="D350" s="1416"/>
      <c r="E350" s="1350"/>
      <c r="F350" s="1350"/>
      <c r="G350" s="1350"/>
      <c r="H350" s="1350"/>
      <c r="I350" s="1350"/>
      <c r="J350" s="1350"/>
      <c r="K350" s="1350"/>
      <c r="L350" s="1070"/>
      <c r="M350" s="1070"/>
      <c r="N350" s="1070"/>
      <c r="O350" s="1070"/>
      <c r="P350" s="1070"/>
      <c r="Q350" s="1070"/>
      <c r="R350" s="1070"/>
      <c r="S350" s="1070"/>
      <c r="T350" s="1070"/>
      <c r="U350" s="1070"/>
      <c r="V350" s="1070"/>
      <c r="W350" s="1070"/>
      <c r="X350" s="1070"/>
      <c r="Y350" s="1070"/>
      <c r="Z350" s="1070"/>
      <c r="AA350" s="1070"/>
      <c r="AB350" s="1070"/>
      <c r="AC350" s="1070"/>
      <c r="AD350" s="1070"/>
      <c r="AE350" s="1070"/>
      <c r="AF350" s="1070"/>
      <c r="AG350" s="1070"/>
      <c r="AH350" s="1070"/>
      <c r="AI350" s="1070"/>
      <c r="AJ350" s="1070"/>
      <c r="AK350" s="1070"/>
      <c r="AL350" s="1070"/>
      <c r="AM350" s="1070"/>
      <c r="AN350" s="1070"/>
      <c r="AO350" s="1070"/>
      <c r="AP350" s="1070"/>
      <c r="AQ350" s="1070"/>
      <c r="AR350" s="1070"/>
      <c r="AS350" s="1070"/>
      <c r="AT350" s="1070"/>
      <c r="AU350" s="1350"/>
      <c r="AV350" s="1350"/>
      <c r="AW350" s="1350"/>
      <c r="AX350" s="1350"/>
      <c r="AY350" s="1350"/>
      <c r="AZ350" s="1350"/>
      <c r="BA350" s="1070"/>
      <c r="BB350" s="1070"/>
      <c r="BC350" s="1070"/>
      <c r="BD350" s="1070"/>
      <c r="BE350" s="1070"/>
      <c r="BF350" s="1070"/>
      <c r="BG350" s="1070"/>
      <c r="BH350" s="1070"/>
      <c r="BI350" s="1070"/>
      <c r="BJ350" s="1070"/>
      <c r="BK350" s="1070"/>
      <c r="BL350" s="1070"/>
      <c r="BM350" s="1070"/>
      <c r="BN350" s="1070"/>
      <c r="BO350" s="1070"/>
      <c r="BP350" s="1070"/>
      <c r="BQ350" s="1070"/>
      <c r="BR350" s="1070"/>
      <c r="BS350" s="1070"/>
      <c r="BT350" s="1070"/>
      <c r="BU350" s="1070"/>
      <c r="BV350" s="1070"/>
      <c r="BW350" s="1070"/>
      <c r="BX350" s="1070"/>
      <c r="BY350" s="1070"/>
      <c r="BZ350" s="1070"/>
      <c r="CA350" s="1070"/>
      <c r="CB350" s="1070"/>
      <c r="CC350" s="1070"/>
      <c r="CD350" s="1070"/>
      <c r="CE350" s="1070"/>
      <c r="CF350" s="1070"/>
      <c r="CG350" s="1070"/>
      <c r="CH350" s="1070"/>
      <c r="CI350" s="1070"/>
      <c r="CJ350" s="1070"/>
      <c r="CK350" s="1070"/>
      <c r="CL350" s="1070"/>
      <c r="CM350" s="1070"/>
      <c r="CN350" s="1070"/>
      <c r="CO350" s="1070"/>
      <c r="CP350" s="1070"/>
      <c r="CQ350" s="1070"/>
      <c r="CR350" s="1070"/>
      <c r="CS350" s="1070"/>
      <c r="CT350" s="1070"/>
      <c r="CU350" s="1070"/>
      <c r="CV350" s="1070"/>
      <c r="CW350" s="1070"/>
      <c r="CX350" s="1070"/>
      <c r="CY350" s="1070"/>
      <c r="CZ350" s="1070"/>
      <c r="DA350" s="1070"/>
      <c r="DB350" s="1070"/>
      <c r="DC350" s="1070"/>
      <c r="DD350" s="1070"/>
      <c r="DE350" s="1070"/>
      <c r="DF350" s="1070"/>
      <c r="DG350" s="1070"/>
      <c r="DH350" s="1070"/>
      <c r="DI350" s="1070"/>
    </row>
    <row r="351" spans="1:113" ht="15.75" x14ac:dyDescent="0.25">
      <c r="A351" s="1391"/>
      <c r="B351" s="1046"/>
      <c r="C351" s="1350"/>
      <c r="D351" s="1350"/>
      <c r="E351" s="1350"/>
      <c r="F351" s="1350"/>
      <c r="G351" s="1350"/>
      <c r="H351" s="1350"/>
      <c r="I351" s="1350"/>
      <c r="J351" s="1350"/>
      <c r="K351" s="1350"/>
      <c r="L351" s="1070"/>
      <c r="M351" s="1070"/>
      <c r="N351" s="1070"/>
      <c r="O351" s="1070"/>
      <c r="P351" s="1070"/>
      <c r="Q351" s="1070"/>
      <c r="R351" s="1070"/>
      <c r="S351" s="1070"/>
      <c r="T351" s="1070"/>
      <c r="U351" s="1070"/>
      <c r="V351" s="1070"/>
      <c r="W351" s="1070"/>
      <c r="X351" s="1070"/>
      <c r="Y351" s="1070"/>
      <c r="Z351" s="1070"/>
      <c r="AA351" s="1070"/>
      <c r="AB351" s="1070"/>
      <c r="AC351" s="1070"/>
      <c r="AD351" s="1070"/>
      <c r="AE351" s="1070"/>
      <c r="AF351" s="1070"/>
      <c r="AG351" s="1070"/>
      <c r="AH351" s="1070"/>
      <c r="AI351" s="1070"/>
      <c r="AJ351" s="1070"/>
      <c r="AK351" s="1070"/>
      <c r="AL351" s="1070"/>
      <c r="AM351" s="1070"/>
      <c r="AN351" s="1070"/>
      <c r="AO351" s="1070"/>
      <c r="AP351" s="1070"/>
      <c r="AQ351" s="1070"/>
      <c r="AR351" s="1070"/>
      <c r="AS351" s="1070"/>
      <c r="AT351" s="1070"/>
      <c r="AU351" s="1350"/>
      <c r="AV351" s="1350"/>
      <c r="AW351" s="1350"/>
      <c r="AX351" s="1350"/>
      <c r="AY351" s="1350"/>
      <c r="AZ351" s="1350"/>
      <c r="BA351" s="1070"/>
      <c r="BB351" s="1070"/>
      <c r="BC351" s="1070"/>
      <c r="BD351" s="1070"/>
      <c r="BE351" s="1070"/>
      <c r="BF351" s="1070"/>
      <c r="BG351" s="1070"/>
      <c r="BH351" s="1070"/>
      <c r="BI351" s="1070"/>
      <c r="BJ351" s="1070"/>
      <c r="BK351" s="1070"/>
      <c r="BL351" s="1070"/>
      <c r="BM351" s="1070"/>
      <c r="BN351" s="1070"/>
      <c r="BO351" s="1070"/>
      <c r="BP351" s="1070"/>
      <c r="BQ351" s="1070"/>
      <c r="BR351" s="1070"/>
      <c r="BS351" s="1070"/>
      <c r="BT351" s="1070"/>
      <c r="BU351" s="1070"/>
      <c r="BV351" s="1070"/>
      <c r="BW351" s="1070"/>
      <c r="BX351" s="1070"/>
      <c r="BY351" s="1070"/>
      <c r="BZ351" s="1070"/>
      <c r="CA351" s="1070"/>
      <c r="CB351" s="1070"/>
      <c r="CC351" s="1070"/>
      <c r="CD351" s="1070"/>
      <c r="CE351" s="1070"/>
      <c r="CF351" s="1070"/>
      <c r="CG351" s="1070"/>
      <c r="CH351" s="1070"/>
      <c r="CI351" s="1070"/>
      <c r="CJ351" s="1070"/>
      <c r="CK351" s="1070"/>
      <c r="CL351" s="1070"/>
      <c r="CM351" s="1070"/>
      <c r="CN351" s="1070"/>
      <c r="CO351" s="1070"/>
      <c r="CP351" s="1070"/>
      <c r="CQ351" s="1070"/>
      <c r="CR351" s="1070"/>
      <c r="CS351" s="1070"/>
      <c r="CT351" s="1070"/>
      <c r="CU351" s="1070"/>
      <c r="CV351" s="1070"/>
      <c r="CW351" s="1070"/>
      <c r="CX351" s="1070"/>
      <c r="CY351" s="1070"/>
      <c r="CZ351" s="1070"/>
      <c r="DA351" s="1070"/>
      <c r="DB351" s="1070"/>
      <c r="DC351" s="1070"/>
      <c r="DD351" s="1070"/>
      <c r="DE351" s="1070"/>
      <c r="DF351" s="1070"/>
      <c r="DG351" s="1070"/>
      <c r="DH351" s="1070"/>
      <c r="DI351" s="1070"/>
    </row>
    <row r="352" spans="1:113" ht="15.75" x14ac:dyDescent="0.25">
      <c r="A352" s="1426" t="s">
        <v>4150</v>
      </c>
      <c r="B352" s="1046"/>
      <c r="C352" s="1416"/>
      <c r="D352" s="1416"/>
      <c r="E352" s="1416"/>
      <c r="F352" s="1416"/>
      <c r="G352" s="1416"/>
      <c r="H352" s="1350"/>
      <c r="I352" s="1350"/>
      <c r="J352" s="1350"/>
      <c r="K352" s="1350"/>
      <c r="L352" s="1070"/>
      <c r="M352" s="1070"/>
      <c r="N352" s="1070"/>
      <c r="O352" s="1070"/>
      <c r="P352" s="1070"/>
      <c r="Q352" s="1070"/>
      <c r="R352" s="1070"/>
      <c r="S352" s="1070"/>
      <c r="T352" s="1070"/>
      <c r="U352" s="1070"/>
      <c r="V352" s="1070"/>
      <c r="W352" s="1070"/>
      <c r="X352" s="1070"/>
      <c r="Y352" s="1070"/>
      <c r="Z352" s="1070"/>
      <c r="AA352" s="1070"/>
      <c r="AB352" s="1070"/>
      <c r="AC352" s="1070"/>
      <c r="AD352" s="1070"/>
      <c r="AE352" s="1070"/>
      <c r="AF352" s="1070"/>
      <c r="AG352" s="1070"/>
      <c r="AH352" s="1070"/>
      <c r="AI352" s="1070"/>
      <c r="AJ352" s="1070"/>
      <c r="AK352" s="1070"/>
      <c r="AL352" s="1070"/>
      <c r="AM352" s="1070"/>
      <c r="AN352" s="1070"/>
      <c r="AO352" s="1070"/>
      <c r="AP352" s="1070"/>
      <c r="AQ352" s="1070"/>
      <c r="AR352" s="1070"/>
      <c r="AS352" s="1070"/>
      <c r="AT352" s="1070"/>
      <c r="AU352" s="1350"/>
      <c r="AV352" s="1350"/>
      <c r="AW352" s="1350"/>
      <c r="AX352" s="1350"/>
      <c r="AY352" s="1350"/>
      <c r="AZ352" s="1350"/>
      <c r="BA352" s="1070"/>
      <c r="BB352" s="1070"/>
      <c r="BC352" s="1070"/>
      <c r="BD352" s="1070"/>
      <c r="BE352" s="1070"/>
      <c r="BF352" s="1070"/>
      <c r="BG352" s="1070"/>
      <c r="BH352" s="1070"/>
      <c r="BI352" s="1070"/>
      <c r="BJ352" s="1070"/>
      <c r="BK352" s="1070"/>
      <c r="BL352" s="1070"/>
      <c r="BM352" s="1070"/>
      <c r="BN352" s="1070"/>
      <c r="BO352" s="1070"/>
      <c r="BP352" s="1070"/>
      <c r="BQ352" s="1070"/>
      <c r="BR352" s="1070"/>
      <c r="BS352" s="1070"/>
      <c r="BT352" s="1070"/>
      <c r="BU352" s="1070"/>
      <c r="BV352" s="1070"/>
      <c r="BW352" s="1070"/>
      <c r="BX352" s="1070"/>
      <c r="BY352" s="1070"/>
      <c r="BZ352" s="1070"/>
      <c r="CA352" s="1070"/>
      <c r="CB352" s="1070"/>
      <c r="CC352" s="1070"/>
      <c r="CD352" s="1070"/>
      <c r="CE352" s="1070"/>
      <c r="CF352" s="1070"/>
      <c r="CG352" s="1070"/>
      <c r="CH352" s="1070"/>
      <c r="CI352" s="1070"/>
      <c r="CJ352" s="1070"/>
      <c r="CK352" s="1070"/>
      <c r="CL352" s="1070"/>
      <c r="CM352" s="1070"/>
      <c r="CN352" s="1070"/>
      <c r="CO352" s="1070"/>
      <c r="CP352" s="1070"/>
      <c r="CQ352" s="1070"/>
      <c r="CR352" s="1070"/>
      <c r="CS352" s="1070"/>
      <c r="CT352" s="1070"/>
      <c r="CU352" s="1070"/>
      <c r="CV352" s="1070"/>
      <c r="CW352" s="1070"/>
      <c r="CX352" s="1070"/>
      <c r="CY352" s="1070"/>
      <c r="CZ352" s="1070"/>
      <c r="DA352" s="1070"/>
      <c r="DB352" s="1070"/>
      <c r="DC352" s="1070"/>
      <c r="DD352" s="1070"/>
      <c r="DE352" s="1070"/>
      <c r="DF352" s="1070"/>
      <c r="DG352" s="1070"/>
      <c r="DH352" s="1070"/>
      <c r="DI352" s="1070"/>
    </row>
    <row r="353" spans="1:113" ht="47.25" x14ac:dyDescent="0.25">
      <c r="A353" s="1427" t="s">
        <v>4151</v>
      </c>
      <c r="B353" s="1415"/>
      <c r="C353" s="1416"/>
      <c r="D353" s="1416"/>
      <c r="E353" s="1416"/>
      <c r="F353" s="1416"/>
      <c r="G353" s="1416"/>
      <c r="H353" s="1350"/>
      <c r="I353" s="1350"/>
      <c r="J353" s="1350"/>
      <c r="K353" s="1350"/>
      <c r="L353" s="1070"/>
      <c r="M353" s="1070"/>
      <c r="N353" s="1070"/>
      <c r="O353" s="1070"/>
      <c r="P353" s="1070"/>
      <c r="Q353" s="1070"/>
      <c r="R353" s="1070"/>
      <c r="S353" s="1070"/>
      <c r="T353" s="1070"/>
      <c r="U353" s="1070"/>
      <c r="V353" s="1070"/>
      <c r="W353" s="1070"/>
      <c r="X353" s="1070"/>
      <c r="Y353" s="1070"/>
      <c r="Z353" s="1070"/>
      <c r="AA353" s="1070"/>
      <c r="AB353" s="1070"/>
      <c r="AC353" s="1070"/>
      <c r="AD353" s="1070"/>
      <c r="AE353" s="1070"/>
      <c r="AF353" s="1070"/>
      <c r="AG353" s="1070"/>
      <c r="AH353" s="1070"/>
      <c r="AI353" s="1070"/>
      <c r="AJ353" s="1070"/>
      <c r="AK353" s="1070"/>
      <c r="AL353" s="1070"/>
      <c r="AM353" s="1070"/>
      <c r="AN353" s="1070"/>
      <c r="AO353" s="1070"/>
      <c r="AP353" s="1070"/>
      <c r="AQ353" s="1070"/>
      <c r="AR353" s="1070"/>
      <c r="AS353" s="1070"/>
      <c r="AT353" s="1070"/>
      <c r="AU353" s="1350"/>
      <c r="AV353" s="1350"/>
      <c r="AW353" s="1350"/>
      <c r="AX353" s="1350"/>
      <c r="AY353" s="1350"/>
      <c r="AZ353" s="1350"/>
      <c r="BA353" s="1070"/>
      <c r="BB353" s="1070"/>
      <c r="BC353" s="1070"/>
      <c r="BD353" s="1070"/>
      <c r="BE353" s="1070"/>
      <c r="BF353" s="1070"/>
      <c r="BG353" s="1070"/>
      <c r="BH353" s="1070"/>
      <c r="BI353" s="1070"/>
      <c r="BJ353" s="1070"/>
      <c r="BK353" s="1070"/>
      <c r="BL353" s="1070"/>
      <c r="BM353" s="1070"/>
      <c r="BN353" s="1070"/>
      <c r="BO353" s="1070"/>
      <c r="BP353" s="1070"/>
      <c r="BQ353" s="1070"/>
      <c r="BR353" s="1070"/>
      <c r="BS353" s="1070"/>
      <c r="BT353" s="1070"/>
      <c r="BU353" s="1070"/>
      <c r="BV353" s="1070"/>
      <c r="BW353" s="1070"/>
      <c r="BX353" s="1070"/>
      <c r="BY353" s="1070"/>
      <c r="BZ353" s="1070"/>
      <c r="CA353" s="1070"/>
      <c r="CB353" s="1070"/>
      <c r="CC353" s="1070"/>
      <c r="CD353" s="1070"/>
      <c r="CE353" s="1070"/>
      <c r="CF353" s="1070"/>
      <c r="CG353" s="1070"/>
      <c r="CH353" s="1070"/>
      <c r="CI353" s="1070"/>
      <c r="CJ353" s="1070"/>
      <c r="CK353" s="1070"/>
      <c r="CL353" s="1070"/>
      <c r="CM353" s="1070"/>
      <c r="CN353" s="1070"/>
      <c r="CO353" s="1070"/>
      <c r="CP353" s="1070"/>
      <c r="CQ353" s="1070"/>
      <c r="CR353" s="1070"/>
      <c r="CS353" s="1070"/>
      <c r="CT353" s="1070"/>
      <c r="CU353" s="1070"/>
      <c r="CV353" s="1070"/>
      <c r="CW353" s="1070"/>
      <c r="CX353" s="1070"/>
      <c r="CY353" s="1070"/>
      <c r="CZ353" s="1070"/>
      <c r="DA353" s="1070"/>
      <c r="DB353" s="1070"/>
      <c r="DC353" s="1070"/>
      <c r="DD353" s="1070"/>
      <c r="DE353" s="1070"/>
      <c r="DF353" s="1070"/>
      <c r="DG353" s="1070"/>
      <c r="DH353" s="1070"/>
      <c r="DI353" s="1070"/>
    </row>
    <row r="354" spans="1:113" ht="15.75" x14ac:dyDescent="0.25">
      <c r="A354" s="1422" t="s">
        <v>4152</v>
      </c>
      <c r="B354" s="1428" t="e">
        <f>(B291/(B344-B348))*B346</f>
        <v>#DIV/0!</v>
      </c>
      <c r="C354" s="1429"/>
      <c r="D354" s="1429"/>
      <c r="E354" s="1429"/>
      <c r="F354" s="1429"/>
      <c r="G354" s="1429"/>
      <c r="H354" s="1350"/>
      <c r="I354" s="1350"/>
      <c r="J354" s="1350"/>
      <c r="K354" s="1350"/>
      <c r="L354" s="1070"/>
      <c r="M354" s="1070"/>
      <c r="N354" s="1070"/>
      <c r="O354" s="1070"/>
      <c r="P354" s="1070"/>
      <c r="Q354" s="1070"/>
      <c r="R354" s="1070"/>
      <c r="S354" s="1070"/>
      <c r="T354" s="1070"/>
      <c r="U354" s="1070"/>
      <c r="V354" s="1070"/>
      <c r="W354" s="1070"/>
      <c r="X354" s="1070"/>
      <c r="Y354" s="1070"/>
      <c r="Z354" s="1070"/>
      <c r="AA354" s="1070"/>
      <c r="AB354" s="1070"/>
      <c r="AC354" s="1070"/>
      <c r="AD354" s="1070"/>
      <c r="AE354" s="1070"/>
      <c r="AF354" s="1070"/>
      <c r="AG354" s="1070"/>
      <c r="AH354" s="1070"/>
      <c r="AI354" s="1070"/>
      <c r="AJ354" s="1070"/>
      <c r="AK354" s="1070"/>
      <c r="AL354" s="1070"/>
      <c r="AM354" s="1070"/>
      <c r="AN354" s="1070"/>
      <c r="AO354" s="1070"/>
      <c r="AP354" s="1070"/>
      <c r="AQ354" s="1070"/>
      <c r="AR354" s="1070"/>
      <c r="AS354" s="1070"/>
      <c r="AT354" s="1070"/>
      <c r="AU354" s="1350"/>
      <c r="AV354" s="1350"/>
      <c r="AW354" s="1350"/>
      <c r="AX354" s="1350"/>
      <c r="AY354" s="1350"/>
      <c r="AZ354" s="1350"/>
      <c r="BA354" s="1070"/>
      <c r="BB354" s="1070"/>
      <c r="BC354" s="1070"/>
      <c r="BD354" s="1070"/>
      <c r="BE354" s="1070"/>
      <c r="BF354" s="1070"/>
      <c r="BG354" s="1070"/>
      <c r="BH354" s="1070"/>
      <c r="BI354" s="1070"/>
      <c r="BJ354" s="1070"/>
      <c r="BK354" s="1070"/>
      <c r="BL354" s="1070"/>
      <c r="BM354" s="1070"/>
      <c r="BN354" s="1070"/>
      <c r="BO354" s="1070"/>
      <c r="BP354" s="1070"/>
      <c r="BQ354" s="1070"/>
      <c r="BR354" s="1070"/>
      <c r="BS354" s="1070"/>
      <c r="BT354" s="1070"/>
      <c r="BU354" s="1070"/>
      <c r="BV354" s="1070"/>
      <c r="BW354" s="1070"/>
      <c r="BX354" s="1070"/>
      <c r="BY354" s="1070"/>
      <c r="BZ354" s="1070"/>
      <c r="CA354" s="1070"/>
      <c r="CB354" s="1070"/>
      <c r="CC354" s="1070"/>
      <c r="CD354" s="1070"/>
      <c r="CE354" s="1070"/>
      <c r="CF354" s="1070"/>
      <c r="CG354" s="1070"/>
      <c r="CH354" s="1070"/>
      <c r="CI354" s="1070"/>
      <c r="CJ354" s="1070"/>
      <c r="CK354" s="1070"/>
      <c r="CL354" s="1070"/>
      <c r="CM354" s="1070"/>
      <c r="CN354" s="1070"/>
      <c r="CO354" s="1070"/>
      <c r="CP354" s="1070"/>
      <c r="CQ354" s="1070"/>
      <c r="CR354" s="1070"/>
      <c r="CS354" s="1070"/>
      <c r="CT354" s="1070"/>
      <c r="CU354" s="1070"/>
      <c r="CV354" s="1070"/>
      <c r="CW354" s="1070"/>
      <c r="CX354" s="1070"/>
      <c r="CY354" s="1070"/>
      <c r="CZ354" s="1070"/>
      <c r="DA354" s="1070"/>
      <c r="DB354" s="1070"/>
      <c r="DC354" s="1070"/>
      <c r="DD354" s="1070"/>
      <c r="DE354" s="1070"/>
      <c r="DF354" s="1070"/>
      <c r="DG354" s="1070"/>
      <c r="DH354" s="1070"/>
      <c r="DI354" s="1070"/>
    </row>
    <row r="355" spans="1:113" ht="31.5" x14ac:dyDescent="0.25">
      <c r="A355" s="1422" t="s">
        <v>2048</v>
      </c>
      <c r="B355" s="1423" t="e">
        <f>INDEX($U$1475:$X$1484,B358,B360)</f>
        <v>#VALUE!</v>
      </c>
      <c r="C355" s="1429"/>
      <c r="D355" s="1429"/>
      <c r="E355" s="1429"/>
      <c r="F355" s="1429"/>
      <c r="G355" s="1429"/>
      <c r="H355" s="1350"/>
      <c r="I355" s="1350"/>
      <c r="J355" s="1350"/>
      <c r="K355" s="1350"/>
      <c r="L355" s="1070"/>
      <c r="M355" s="1070"/>
      <c r="N355" s="1070"/>
      <c r="O355" s="1070"/>
      <c r="P355" s="1070"/>
      <c r="Q355" s="1070"/>
      <c r="R355" s="1070"/>
      <c r="S355" s="1070"/>
      <c r="T355" s="1070"/>
      <c r="U355" s="1070"/>
      <c r="V355" s="1070"/>
      <c r="W355" s="1070"/>
      <c r="X355" s="1070"/>
      <c r="Y355" s="1070"/>
      <c r="Z355" s="1070"/>
      <c r="AA355" s="1070"/>
      <c r="AB355" s="1070"/>
      <c r="AC355" s="1070"/>
      <c r="AD355" s="1070"/>
      <c r="AE355" s="1070"/>
      <c r="AF355" s="1070"/>
      <c r="AG355" s="1070"/>
      <c r="AH355" s="1070"/>
      <c r="AI355" s="1070"/>
      <c r="AJ355" s="1070"/>
      <c r="AK355" s="1070"/>
      <c r="AL355" s="1070"/>
      <c r="AM355" s="1070"/>
      <c r="AN355" s="1070"/>
      <c r="AO355" s="1070"/>
      <c r="AP355" s="1070"/>
      <c r="AQ355" s="1070"/>
      <c r="AR355" s="1070"/>
      <c r="AS355" s="1070"/>
      <c r="AT355" s="1070"/>
      <c r="AU355" s="1350"/>
      <c r="AV355" s="1350"/>
      <c r="AW355" s="1350"/>
      <c r="AX355" s="1350"/>
      <c r="AY355" s="1350"/>
      <c r="AZ355" s="1350"/>
      <c r="BA355" s="1070"/>
      <c r="BB355" s="1070"/>
      <c r="BC355" s="1070"/>
      <c r="BD355" s="1070"/>
      <c r="BE355" s="1070"/>
      <c r="BF355" s="1070"/>
      <c r="BG355" s="1070"/>
      <c r="BH355" s="1070"/>
      <c r="BI355" s="1070"/>
      <c r="BJ355" s="1070"/>
      <c r="BK355" s="1070"/>
      <c r="BL355" s="1070"/>
      <c r="BM355" s="1070"/>
      <c r="BN355" s="1070"/>
      <c r="BO355" s="1070"/>
      <c r="BP355" s="1070"/>
      <c r="BQ355" s="1070"/>
      <c r="BR355" s="1070"/>
      <c r="BS355" s="1070"/>
      <c r="BT355" s="1070"/>
      <c r="BU355" s="1070"/>
      <c r="BV355" s="1070"/>
      <c r="BW355" s="1070"/>
      <c r="BX355" s="1070"/>
      <c r="BY355" s="1070"/>
      <c r="BZ355" s="1070"/>
      <c r="CA355" s="1070"/>
      <c r="CB355" s="1070"/>
      <c r="CC355" s="1070"/>
      <c r="CD355" s="1070"/>
      <c r="CE355" s="1070"/>
      <c r="CF355" s="1070"/>
      <c r="CG355" s="1070"/>
      <c r="CH355" s="1070"/>
      <c r="CI355" s="1070"/>
      <c r="CJ355" s="1070"/>
      <c r="CK355" s="1070"/>
      <c r="CL355" s="1070"/>
      <c r="CM355" s="1070"/>
      <c r="CN355" s="1070"/>
      <c r="CO355" s="1070"/>
      <c r="CP355" s="1070"/>
      <c r="CQ355" s="1070"/>
      <c r="CR355" s="1070"/>
      <c r="CS355" s="1070"/>
      <c r="CT355" s="1070"/>
      <c r="CU355" s="1070"/>
      <c r="CV355" s="1070"/>
      <c r="CW355" s="1070"/>
      <c r="CX355" s="1070"/>
      <c r="CY355" s="1070"/>
      <c r="CZ355" s="1070"/>
      <c r="DA355" s="1070"/>
      <c r="DB355" s="1070"/>
      <c r="DC355" s="1070"/>
      <c r="DD355" s="1070"/>
      <c r="DE355" s="1070"/>
      <c r="DF355" s="1070"/>
      <c r="DG355" s="1070"/>
      <c r="DH355" s="1070"/>
      <c r="DI355" s="1070"/>
    </row>
    <row r="356" spans="1:113" ht="15.75" x14ac:dyDescent="0.25">
      <c r="A356" s="1417" t="s">
        <v>2049</v>
      </c>
      <c r="B356" s="1428"/>
      <c r="C356" s="1416"/>
      <c r="D356" s="1350"/>
      <c r="E356" s="1350"/>
      <c r="F356" s="1350"/>
      <c r="G356" s="1350"/>
      <c r="H356" s="1350"/>
      <c r="I356" s="1350"/>
      <c r="J356" s="1350"/>
      <c r="K356" s="1350"/>
      <c r="L356" s="1070"/>
      <c r="M356" s="1070"/>
      <c r="N356" s="1070"/>
      <c r="O356" s="1070"/>
      <c r="P356" s="1070"/>
      <c r="Q356" s="1070"/>
      <c r="R356" s="1070"/>
      <c r="S356" s="1070"/>
      <c r="T356" s="1070"/>
      <c r="U356" s="1070"/>
      <c r="V356" s="1070"/>
      <c r="W356" s="1070"/>
      <c r="X356" s="1070"/>
      <c r="Y356" s="1070"/>
      <c r="Z356" s="1070"/>
      <c r="AA356" s="1070"/>
      <c r="AB356" s="1070"/>
      <c r="AC356" s="1070"/>
      <c r="AD356" s="1070"/>
      <c r="AE356" s="1070"/>
      <c r="AF356" s="1070"/>
      <c r="AG356" s="1070"/>
      <c r="AH356" s="1070"/>
      <c r="AI356" s="1070"/>
      <c r="AJ356" s="1070"/>
      <c r="AK356" s="1070"/>
      <c r="AL356" s="1070"/>
      <c r="AM356" s="1070"/>
      <c r="AN356" s="1070"/>
      <c r="AO356" s="1070"/>
      <c r="AP356" s="1070"/>
      <c r="AQ356" s="1070"/>
      <c r="AR356" s="1070"/>
      <c r="AS356" s="1070"/>
      <c r="AT356" s="1070"/>
      <c r="AU356" s="1350"/>
      <c r="AV356" s="1350"/>
      <c r="AW356" s="1350"/>
      <c r="AX356" s="1350"/>
      <c r="AY356" s="1350"/>
      <c r="AZ356" s="1350"/>
      <c r="BA356" s="1070"/>
      <c r="BB356" s="1070"/>
      <c r="BC356" s="1070"/>
      <c r="BD356" s="1070"/>
      <c r="BE356" s="1070"/>
      <c r="BF356" s="1070"/>
      <c r="BG356" s="1070"/>
      <c r="BH356" s="1070"/>
      <c r="BI356" s="1070"/>
      <c r="BJ356" s="1070"/>
      <c r="BK356" s="1070"/>
      <c r="BL356" s="1070"/>
      <c r="BM356" s="1070"/>
      <c r="BN356" s="1070"/>
      <c r="BO356" s="1070"/>
      <c r="BP356" s="1070"/>
      <c r="BQ356" s="1070"/>
      <c r="BR356" s="1070"/>
      <c r="BS356" s="1070"/>
      <c r="BT356" s="1070"/>
      <c r="BU356" s="1070"/>
      <c r="BV356" s="1070"/>
      <c r="BW356" s="1070"/>
      <c r="BX356" s="1070"/>
      <c r="BY356" s="1070"/>
      <c r="BZ356" s="1070"/>
      <c r="CA356" s="1070"/>
      <c r="CB356" s="1070"/>
      <c r="CC356" s="1070"/>
      <c r="CD356" s="1070"/>
      <c r="CE356" s="1070"/>
      <c r="CF356" s="1070"/>
      <c r="CG356" s="1070"/>
      <c r="CH356" s="1070"/>
      <c r="CI356" s="1070"/>
      <c r="CJ356" s="1070"/>
      <c r="CK356" s="1070"/>
      <c r="CL356" s="1070"/>
      <c r="CM356" s="1070"/>
      <c r="CN356" s="1070"/>
      <c r="CO356" s="1070"/>
      <c r="CP356" s="1070"/>
      <c r="CQ356" s="1070"/>
      <c r="CR356" s="1070"/>
      <c r="CS356" s="1070"/>
      <c r="CT356" s="1070"/>
      <c r="CU356" s="1070"/>
      <c r="CV356" s="1070"/>
      <c r="CW356" s="1070"/>
      <c r="CX356" s="1070"/>
      <c r="CY356" s="1070"/>
      <c r="CZ356" s="1070"/>
      <c r="DA356" s="1070"/>
      <c r="DB356" s="1070"/>
      <c r="DC356" s="1070"/>
      <c r="DD356" s="1070"/>
      <c r="DE356" s="1070"/>
      <c r="DF356" s="1070"/>
      <c r="DG356" s="1070"/>
      <c r="DH356" s="1070"/>
      <c r="DI356" s="1070"/>
    </row>
    <row r="357" spans="1:113" ht="15.75" x14ac:dyDescent="0.25">
      <c r="A357" s="1430" t="s">
        <v>1318</v>
      </c>
      <c r="B357" s="1423" t="e">
        <f>30.872*LN(B286)+31.551</f>
        <v>#VALUE!</v>
      </c>
      <c r="C357" s="1070"/>
      <c r="D357" s="1070"/>
      <c r="E357" s="1070"/>
      <c r="F357" s="1070"/>
      <c r="G357" s="1070"/>
      <c r="H357" s="1350"/>
      <c r="I357" s="1350"/>
      <c r="J357" s="1350"/>
      <c r="K357" s="1350"/>
      <c r="L357" s="1070"/>
      <c r="M357" s="1070"/>
      <c r="N357" s="1070"/>
      <c r="O357" s="1070"/>
      <c r="P357" s="1070"/>
      <c r="Q357" s="1070"/>
      <c r="R357" s="1070"/>
      <c r="S357" s="1070"/>
      <c r="T357" s="1070"/>
      <c r="U357" s="1070"/>
      <c r="V357" s="1070"/>
      <c r="W357" s="1070"/>
      <c r="X357" s="1070"/>
      <c r="Y357" s="1070"/>
      <c r="Z357" s="1070"/>
      <c r="AA357" s="1070"/>
      <c r="AB357" s="1070"/>
      <c r="AC357" s="1070"/>
      <c r="AD357" s="1070"/>
      <c r="AE357" s="1070"/>
      <c r="AF357" s="1070"/>
      <c r="AG357" s="1070"/>
      <c r="AH357" s="1070"/>
      <c r="AI357" s="1070"/>
      <c r="AJ357" s="1070"/>
      <c r="AK357" s="1070"/>
      <c r="AL357" s="1070"/>
      <c r="AM357" s="1070"/>
      <c r="AN357" s="1070"/>
      <c r="AO357" s="1070"/>
      <c r="AP357" s="1070"/>
      <c r="AQ357" s="1070"/>
      <c r="AR357" s="1070"/>
      <c r="AS357" s="1070"/>
      <c r="AT357" s="1070"/>
      <c r="AU357" s="1350"/>
      <c r="AV357" s="1350"/>
      <c r="AW357" s="1350"/>
      <c r="AX357" s="1350"/>
      <c r="AY357" s="1350"/>
      <c r="AZ357" s="1350"/>
      <c r="BA357" s="1070"/>
      <c r="BB357" s="1070"/>
      <c r="BC357" s="1070"/>
      <c r="BD357" s="1070"/>
      <c r="BE357" s="1070"/>
      <c r="BF357" s="1070"/>
      <c r="BG357" s="1070"/>
      <c r="BH357" s="1070"/>
      <c r="BI357" s="1070"/>
      <c r="BJ357" s="1070"/>
      <c r="BK357" s="1070"/>
      <c r="BL357" s="1070"/>
      <c r="BM357" s="1070"/>
      <c r="BN357" s="1070"/>
      <c r="BO357" s="1070"/>
      <c r="BP357" s="1070"/>
      <c r="BQ357" s="1070"/>
      <c r="BR357" s="1070"/>
      <c r="BS357" s="1070"/>
      <c r="BT357" s="1070"/>
      <c r="BU357" s="1070"/>
      <c r="BV357" s="1070"/>
      <c r="BW357" s="1070"/>
      <c r="BX357" s="1070"/>
      <c r="BY357" s="1070"/>
      <c r="BZ357" s="1070"/>
      <c r="CA357" s="1070"/>
      <c r="CB357" s="1070"/>
      <c r="CC357" s="1070"/>
      <c r="CD357" s="1070"/>
      <c r="CE357" s="1070"/>
      <c r="CF357" s="1070"/>
      <c r="CG357" s="1070"/>
      <c r="CH357" s="1070"/>
      <c r="CI357" s="1070"/>
      <c r="CJ357" s="1070"/>
      <c r="CK357" s="1070"/>
      <c r="CL357" s="1070"/>
      <c r="CM357" s="1070"/>
      <c r="CN357" s="1070"/>
      <c r="CO357" s="1070"/>
      <c r="CP357" s="1070"/>
      <c r="CQ357" s="1070"/>
      <c r="CR357" s="1070"/>
      <c r="CS357" s="1070"/>
      <c r="CT357" s="1070"/>
      <c r="CU357" s="1070"/>
      <c r="CV357" s="1070"/>
      <c r="CW357" s="1070"/>
      <c r="CX357" s="1070"/>
      <c r="CY357" s="1070"/>
      <c r="CZ357" s="1070"/>
      <c r="DA357" s="1070"/>
      <c r="DB357" s="1070"/>
      <c r="DC357" s="1070"/>
      <c r="DD357" s="1070"/>
      <c r="DE357" s="1070"/>
      <c r="DF357" s="1070"/>
      <c r="DG357" s="1070"/>
      <c r="DH357" s="1070"/>
      <c r="DI357" s="1070"/>
    </row>
    <row r="358" spans="1:113" ht="15.75" x14ac:dyDescent="0.25">
      <c r="A358" s="1422" t="s">
        <v>1319</v>
      </c>
      <c r="B358" s="1431" t="e">
        <f>IF(B357&lt;24.3,1,IF(B357&lt;28.1,2,IF(B357&lt;32.1,3,IF(B357&lt;36.3,4,IF(B357&lt;41.4,5,IF(B357&lt;46.1,6,IF(B357&lt;51.3,7,B359)))))))</f>
        <v>#VALUE!</v>
      </c>
      <c r="C358" s="1070"/>
      <c r="D358" s="1070"/>
      <c r="E358" s="1070"/>
      <c r="F358" s="1070"/>
      <c r="G358" s="1070"/>
      <c r="H358" s="1350"/>
      <c r="I358" s="1350"/>
      <c r="J358" s="1350"/>
      <c r="K358" s="1350"/>
      <c r="L358" s="1070"/>
      <c r="M358" s="1070"/>
      <c r="N358" s="1070"/>
      <c r="O358" s="1070"/>
      <c r="P358" s="1070"/>
      <c r="Q358" s="1070"/>
      <c r="R358" s="1070"/>
      <c r="S358" s="1070"/>
      <c r="T358" s="1070"/>
      <c r="U358" s="1070"/>
      <c r="V358" s="1070"/>
      <c r="W358" s="1070"/>
      <c r="X358" s="1070"/>
      <c r="Y358" s="1070"/>
      <c r="Z358" s="1070"/>
      <c r="AA358" s="1070"/>
      <c r="AB358" s="1070"/>
      <c r="AC358" s="1070"/>
      <c r="AD358" s="1070"/>
      <c r="AE358" s="1070"/>
      <c r="AF358" s="1070"/>
      <c r="AG358" s="1070"/>
      <c r="AH358" s="1070"/>
      <c r="AI358" s="1070"/>
      <c r="AJ358" s="1070"/>
      <c r="AK358" s="1070"/>
      <c r="AL358" s="1070"/>
      <c r="AM358" s="1070"/>
      <c r="AN358" s="1070"/>
      <c r="AO358" s="1070"/>
      <c r="AP358" s="1070"/>
      <c r="AQ358" s="1070"/>
      <c r="AR358" s="1070"/>
      <c r="AS358" s="1070"/>
      <c r="AT358" s="1070"/>
      <c r="AU358" s="1350"/>
      <c r="AV358" s="1350"/>
      <c r="AW358" s="1350"/>
      <c r="AX358" s="1350"/>
      <c r="AY358" s="1350"/>
      <c r="AZ358" s="1350"/>
      <c r="BA358" s="1070"/>
      <c r="BB358" s="1070"/>
      <c r="BC358" s="1070"/>
      <c r="BD358" s="1070"/>
      <c r="BE358" s="1070"/>
      <c r="BF358" s="1070"/>
      <c r="BG358" s="1070"/>
      <c r="BH358" s="1070"/>
      <c r="BI358" s="1070"/>
      <c r="BJ358" s="1070"/>
      <c r="BK358" s="1070"/>
      <c r="BL358" s="1070"/>
      <c r="BM358" s="1070"/>
      <c r="BN358" s="1070"/>
      <c r="BO358" s="1070"/>
      <c r="BP358" s="1070"/>
      <c r="BQ358" s="1070"/>
      <c r="BR358" s="1070"/>
      <c r="BS358" s="1070"/>
      <c r="BT358" s="1070"/>
      <c r="BU358" s="1070"/>
      <c r="BV358" s="1070"/>
      <c r="BW358" s="1070"/>
      <c r="BX358" s="1070"/>
      <c r="BY358" s="1070"/>
      <c r="BZ358" s="1070"/>
      <c r="CA358" s="1070"/>
      <c r="CB358" s="1070"/>
      <c r="CC358" s="1070"/>
      <c r="CD358" s="1070"/>
      <c r="CE358" s="1070"/>
      <c r="CF358" s="1070"/>
      <c r="CG358" s="1070"/>
      <c r="CH358" s="1070"/>
      <c r="CI358" s="1070"/>
      <c r="CJ358" s="1070"/>
      <c r="CK358" s="1070"/>
      <c r="CL358" s="1070"/>
      <c r="CM358" s="1070"/>
      <c r="CN358" s="1070"/>
      <c r="CO358" s="1070"/>
      <c r="CP358" s="1070"/>
      <c r="CQ358" s="1070"/>
      <c r="CR358" s="1070"/>
      <c r="CS358" s="1070"/>
      <c r="CT358" s="1070"/>
      <c r="CU358" s="1070"/>
      <c r="CV358" s="1070"/>
      <c r="CW358" s="1070"/>
      <c r="CX358" s="1070"/>
      <c r="CY358" s="1070"/>
      <c r="CZ358" s="1070"/>
      <c r="DA358" s="1070"/>
      <c r="DB358" s="1070"/>
      <c r="DC358" s="1070"/>
      <c r="DD358" s="1070"/>
      <c r="DE358" s="1070"/>
      <c r="DF358" s="1070"/>
      <c r="DG358" s="1070"/>
      <c r="DH358" s="1070"/>
      <c r="DI358" s="1070"/>
    </row>
    <row r="359" spans="1:113" ht="15.75" x14ac:dyDescent="0.25">
      <c r="A359" s="1417" t="s">
        <v>1320</v>
      </c>
      <c r="B359" s="1431" t="e">
        <f>IF(B357&lt;57.1,8,IF(B357&lt;63.1,9,IF(B357&lt;69.7,10,11)))</f>
        <v>#VALUE!</v>
      </c>
      <c r="C359" s="1350"/>
      <c r="D359" s="1350"/>
      <c r="E359" s="1350"/>
      <c r="F359" s="1350"/>
      <c r="G359" s="1350"/>
      <c r="H359" s="1350"/>
      <c r="I359" s="1350"/>
      <c r="J359" s="1350"/>
      <c r="K359" s="1350"/>
      <c r="L359" s="1070"/>
      <c r="M359" s="1070"/>
      <c r="N359" s="1070"/>
      <c r="O359" s="1070"/>
      <c r="P359" s="1070"/>
      <c r="Q359" s="1070"/>
      <c r="R359" s="1070"/>
      <c r="S359" s="1070"/>
      <c r="T359" s="1070"/>
      <c r="U359" s="1070"/>
      <c r="V359" s="1070"/>
      <c r="W359" s="1070"/>
      <c r="X359" s="1070"/>
      <c r="Y359" s="1070"/>
      <c r="Z359" s="1070"/>
      <c r="AA359" s="1070"/>
      <c r="AB359" s="1070"/>
      <c r="AC359" s="1070"/>
      <c r="AD359" s="1070"/>
      <c r="AE359" s="1070"/>
      <c r="AF359" s="1070"/>
      <c r="AG359" s="1070"/>
      <c r="AH359" s="1070"/>
      <c r="AI359" s="1070"/>
      <c r="AJ359" s="1070"/>
      <c r="AK359" s="1070"/>
      <c r="AL359" s="1070"/>
      <c r="AM359" s="1070"/>
      <c r="AN359" s="1070"/>
      <c r="AO359" s="1070"/>
      <c r="AP359" s="1070"/>
      <c r="AQ359" s="1070"/>
      <c r="AR359" s="1070"/>
      <c r="AS359" s="1070"/>
      <c r="AT359" s="1070"/>
      <c r="AU359" s="1350"/>
      <c r="AV359" s="1350"/>
      <c r="AW359" s="1350"/>
      <c r="AX359" s="1350"/>
      <c r="AY359" s="1350"/>
      <c r="AZ359" s="1350"/>
      <c r="BA359" s="1070"/>
      <c r="BB359" s="1070"/>
      <c r="BC359" s="1070"/>
      <c r="BD359" s="1070"/>
      <c r="BE359" s="1070"/>
      <c r="BF359" s="1070"/>
      <c r="BG359" s="1070"/>
      <c r="BH359" s="1070"/>
      <c r="BI359" s="1070"/>
      <c r="BJ359" s="1070"/>
      <c r="BK359" s="1070"/>
      <c r="BL359" s="1070"/>
      <c r="BM359" s="1070"/>
      <c r="BN359" s="1070"/>
      <c r="BO359" s="1070"/>
      <c r="BP359" s="1070"/>
      <c r="BQ359" s="1070"/>
      <c r="BR359" s="1070"/>
      <c r="BS359" s="1070"/>
      <c r="BT359" s="1070"/>
      <c r="BU359" s="1070"/>
      <c r="BV359" s="1070"/>
      <c r="BW359" s="1070"/>
      <c r="BX359" s="1070"/>
      <c r="BY359" s="1070"/>
      <c r="BZ359" s="1070"/>
      <c r="CA359" s="1070"/>
      <c r="CB359" s="1070"/>
      <c r="CC359" s="1070"/>
      <c r="CD359" s="1070"/>
      <c r="CE359" s="1070"/>
      <c r="CF359" s="1070"/>
      <c r="CG359" s="1070"/>
      <c r="CH359" s="1070"/>
      <c r="CI359" s="1070"/>
      <c r="CJ359" s="1070"/>
      <c r="CK359" s="1070"/>
      <c r="CL359" s="1070"/>
      <c r="CM359" s="1070"/>
      <c r="CN359" s="1070"/>
      <c r="CO359" s="1070"/>
      <c r="CP359" s="1070"/>
      <c r="CQ359" s="1070"/>
      <c r="CR359" s="1070"/>
      <c r="CS359" s="1070"/>
      <c r="CT359" s="1070"/>
      <c r="CU359" s="1070"/>
      <c r="CV359" s="1070"/>
      <c r="CW359" s="1070"/>
      <c r="CX359" s="1070"/>
      <c r="CY359" s="1070"/>
      <c r="CZ359" s="1070"/>
      <c r="DA359" s="1070"/>
      <c r="DB359" s="1070"/>
      <c r="DC359" s="1070"/>
      <c r="DD359" s="1070"/>
      <c r="DE359" s="1070"/>
      <c r="DF359" s="1070"/>
      <c r="DG359" s="1070"/>
      <c r="DH359" s="1070"/>
      <c r="DI359" s="1070"/>
    </row>
    <row r="360" spans="1:113" ht="15.75" x14ac:dyDescent="0.25">
      <c r="A360" s="1422" t="s">
        <v>1321</v>
      </c>
      <c r="B360" s="1431">
        <v>4</v>
      </c>
      <c r="C360" s="1432"/>
      <c r="D360" s="1432"/>
      <c r="E360" s="1432"/>
      <c r="F360" s="1432"/>
      <c r="G360" s="1432"/>
      <c r="H360" s="1350"/>
      <c r="I360" s="1350"/>
      <c r="J360" s="1350"/>
      <c r="K360" s="1350"/>
      <c r="L360" s="1070"/>
      <c r="M360" s="1070"/>
      <c r="N360" s="1070"/>
      <c r="O360" s="1070"/>
      <c r="P360" s="1070"/>
      <c r="Q360" s="1070"/>
      <c r="R360" s="1070"/>
      <c r="S360" s="1070"/>
      <c r="T360" s="1070"/>
      <c r="U360" s="1070"/>
      <c r="V360" s="1070"/>
      <c r="W360" s="1070"/>
      <c r="X360" s="1070"/>
      <c r="Y360" s="1070"/>
      <c r="Z360" s="1070"/>
      <c r="AA360" s="1070"/>
      <c r="AB360" s="1070"/>
      <c r="AC360" s="1070"/>
      <c r="AD360" s="1070"/>
      <c r="AE360" s="1070"/>
      <c r="AF360" s="1070"/>
      <c r="AG360" s="1070"/>
      <c r="AH360" s="1070"/>
      <c r="AI360" s="1070"/>
      <c r="AJ360" s="1070"/>
      <c r="AK360" s="1070"/>
      <c r="AL360" s="1070"/>
      <c r="AM360" s="1070"/>
      <c r="AN360" s="1070"/>
      <c r="AO360" s="1070"/>
      <c r="AP360" s="1070"/>
      <c r="AQ360" s="1070"/>
      <c r="AR360" s="1070"/>
      <c r="AS360" s="1070"/>
      <c r="AT360" s="1070"/>
      <c r="AU360" s="1350"/>
      <c r="AV360" s="1350"/>
      <c r="AW360" s="1350"/>
      <c r="AX360" s="1350"/>
      <c r="AY360" s="1350"/>
      <c r="AZ360" s="1350"/>
      <c r="BA360" s="1070"/>
      <c r="BB360" s="1070"/>
      <c r="BC360" s="1070"/>
      <c r="BD360" s="1070"/>
      <c r="BE360" s="1070"/>
      <c r="BF360" s="1070"/>
      <c r="BG360" s="1070"/>
      <c r="BH360" s="1070"/>
      <c r="BI360" s="1070"/>
      <c r="BJ360" s="1070"/>
      <c r="BK360" s="1070"/>
      <c r="BL360" s="1070"/>
      <c r="BM360" s="1070"/>
      <c r="BN360" s="1070"/>
      <c r="BO360" s="1070"/>
      <c r="BP360" s="1070"/>
      <c r="BQ360" s="1070"/>
      <c r="BR360" s="1070"/>
      <c r="BS360" s="1070"/>
      <c r="BT360" s="1070"/>
      <c r="BU360" s="1070"/>
      <c r="BV360" s="1070"/>
      <c r="BW360" s="1070"/>
      <c r="BX360" s="1070"/>
      <c r="BY360" s="1070"/>
      <c r="BZ360" s="1070"/>
      <c r="CA360" s="1070"/>
      <c r="CB360" s="1070"/>
      <c r="CC360" s="1070"/>
      <c r="CD360" s="1070"/>
      <c r="CE360" s="1070"/>
      <c r="CF360" s="1070"/>
      <c r="CG360" s="1070"/>
      <c r="CH360" s="1070"/>
      <c r="CI360" s="1070"/>
      <c r="CJ360" s="1070"/>
      <c r="CK360" s="1070"/>
      <c r="CL360" s="1070"/>
      <c r="CM360" s="1070"/>
      <c r="CN360" s="1070"/>
      <c r="CO360" s="1070"/>
      <c r="CP360" s="1070"/>
      <c r="CQ360" s="1070"/>
      <c r="CR360" s="1070"/>
      <c r="CS360" s="1070"/>
      <c r="CT360" s="1070"/>
      <c r="CU360" s="1070"/>
      <c r="CV360" s="1070"/>
      <c r="CW360" s="1070"/>
      <c r="CX360" s="1070"/>
      <c r="CY360" s="1070"/>
      <c r="CZ360" s="1070"/>
      <c r="DA360" s="1070"/>
      <c r="DB360" s="1070"/>
      <c r="DC360" s="1070"/>
      <c r="DD360" s="1070"/>
      <c r="DE360" s="1070"/>
      <c r="DF360" s="1070"/>
      <c r="DG360" s="1070"/>
      <c r="DH360" s="1070"/>
      <c r="DI360" s="1070"/>
    </row>
    <row r="361" spans="1:113" ht="15.75" x14ac:dyDescent="0.25">
      <c r="A361" s="1422" t="s">
        <v>1322</v>
      </c>
      <c r="B361" s="1428"/>
      <c r="C361" s="1429"/>
      <c r="D361" s="1429"/>
      <c r="E361" s="1429"/>
      <c r="F361" s="1429"/>
      <c r="G361" s="1429"/>
      <c r="H361" s="1350"/>
      <c r="I361" s="1350"/>
      <c r="J361" s="1350"/>
      <c r="K361" s="1350"/>
      <c r="L361" s="1070"/>
      <c r="M361" s="1070"/>
      <c r="N361" s="1070"/>
      <c r="O361" s="1070"/>
      <c r="P361" s="1070"/>
      <c r="Q361" s="1070"/>
      <c r="R361" s="1070"/>
      <c r="S361" s="1070"/>
      <c r="T361" s="1070"/>
      <c r="U361" s="1070"/>
      <c r="V361" s="1070"/>
      <c r="W361" s="1070"/>
      <c r="X361" s="1070"/>
      <c r="Y361" s="1070"/>
      <c r="Z361" s="1070"/>
      <c r="AA361" s="1070"/>
      <c r="AB361" s="1070"/>
      <c r="AC361" s="1070"/>
      <c r="AD361" s="1070"/>
      <c r="AE361" s="1070"/>
      <c r="AF361" s="1070"/>
      <c r="AG361" s="1070"/>
      <c r="AH361" s="1070"/>
      <c r="AI361" s="1070"/>
      <c r="AJ361" s="1070"/>
      <c r="AK361" s="1070"/>
      <c r="AL361" s="1070"/>
      <c r="AM361" s="1070"/>
      <c r="AN361" s="1070"/>
      <c r="AO361" s="1070"/>
      <c r="AP361" s="1070"/>
      <c r="AQ361" s="1070"/>
      <c r="AR361" s="1070"/>
      <c r="AS361" s="1070"/>
      <c r="AT361" s="1070"/>
      <c r="AU361" s="1350"/>
      <c r="AV361" s="1350"/>
      <c r="AW361" s="1350"/>
      <c r="AX361" s="1350"/>
      <c r="AY361" s="1350"/>
      <c r="AZ361" s="1350"/>
      <c r="BA361" s="1070"/>
      <c r="BB361" s="1070"/>
      <c r="BC361" s="1070"/>
      <c r="BD361" s="1070"/>
      <c r="BE361" s="1070"/>
      <c r="BF361" s="1070"/>
      <c r="BG361" s="1070"/>
      <c r="BH361" s="1070"/>
      <c r="BI361" s="1070"/>
      <c r="BJ361" s="1070"/>
      <c r="BK361" s="1070"/>
      <c r="BL361" s="1070"/>
      <c r="BM361" s="1070"/>
      <c r="BN361" s="1070"/>
      <c r="BO361" s="1070"/>
      <c r="BP361" s="1070"/>
      <c r="BQ361" s="1070"/>
      <c r="BR361" s="1070"/>
      <c r="BS361" s="1070"/>
      <c r="BT361" s="1070"/>
      <c r="BU361" s="1070"/>
      <c r="BV361" s="1070"/>
      <c r="BW361" s="1070"/>
      <c r="BX361" s="1070"/>
      <c r="BY361" s="1070"/>
      <c r="BZ361" s="1070"/>
      <c r="CA361" s="1070"/>
      <c r="CB361" s="1070"/>
      <c r="CC361" s="1070"/>
      <c r="CD361" s="1070"/>
      <c r="CE361" s="1070"/>
      <c r="CF361" s="1070"/>
      <c r="CG361" s="1070"/>
      <c r="CH361" s="1070"/>
      <c r="CI361" s="1070"/>
      <c r="CJ361" s="1070"/>
      <c r="CK361" s="1070"/>
      <c r="CL361" s="1070"/>
      <c r="CM361" s="1070"/>
      <c r="CN361" s="1070"/>
      <c r="CO361" s="1070"/>
      <c r="CP361" s="1070"/>
      <c r="CQ361" s="1070"/>
      <c r="CR361" s="1070"/>
      <c r="CS361" s="1070"/>
      <c r="CT361" s="1070"/>
      <c r="CU361" s="1070"/>
      <c r="CV361" s="1070"/>
      <c r="CW361" s="1070"/>
      <c r="CX361" s="1070"/>
      <c r="CY361" s="1070"/>
      <c r="CZ361" s="1070"/>
      <c r="DA361" s="1070"/>
      <c r="DB361" s="1070"/>
      <c r="DC361" s="1070"/>
      <c r="DD361" s="1070"/>
      <c r="DE361" s="1070"/>
      <c r="DF361" s="1070"/>
      <c r="DG361" s="1070"/>
      <c r="DH361" s="1070"/>
      <c r="DI361" s="1070"/>
    </row>
    <row r="362" spans="1:113" ht="15.75" x14ac:dyDescent="0.25">
      <c r="A362" s="1422" t="s">
        <v>1323</v>
      </c>
      <c r="B362" s="1433">
        <f>IF(B344&lt;1.26,1,IF(B344&lt;1.27,0.9,0.85))</f>
        <v>0.85</v>
      </c>
      <c r="C362" s="1432"/>
      <c r="D362" s="1350"/>
      <c r="E362" s="1350"/>
      <c r="F362" s="1350"/>
      <c r="G362" s="1350"/>
      <c r="H362" s="1350"/>
      <c r="I362" s="1350"/>
      <c r="J362" s="1350"/>
      <c r="K362" s="1350"/>
      <c r="L362" s="1070"/>
      <c r="M362" s="1070"/>
      <c r="N362" s="1070"/>
      <c r="O362" s="1070"/>
      <c r="P362" s="1070"/>
      <c r="Q362" s="1070"/>
      <c r="R362" s="1070"/>
      <c r="S362" s="1070"/>
      <c r="T362" s="1070"/>
      <c r="U362" s="1070"/>
      <c r="V362" s="1070"/>
      <c r="W362" s="1070"/>
      <c r="X362" s="1070"/>
      <c r="Y362" s="1070"/>
      <c r="Z362" s="1070"/>
      <c r="AA362" s="1070"/>
      <c r="AB362" s="1070"/>
      <c r="AC362" s="1070"/>
      <c r="AD362" s="1070"/>
      <c r="AE362" s="1070"/>
      <c r="AF362" s="1070"/>
      <c r="AG362" s="1070"/>
      <c r="AH362" s="1070"/>
      <c r="AI362" s="1070"/>
      <c r="AJ362" s="1070"/>
      <c r="AK362" s="1070"/>
      <c r="AL362" s="1070"/>
      <c r="AM362" s="1070"/>
      <c r="AN362" s="1070"/>
      <c r="AO362" s="1070"/>
      <c r="AP362" s="1070"/>
      <c r="AQ362" s="1070"/>
      <c r="AR362" s="1070"/>
      <c r="AS362" s="1070"/>
      <c r="AT362" s="1070"/>
      <c r="AU362" s="1350"/>
      <c r="AV362" s="1350"/>
      <c r="AW362" s="1350"/>
      <c r="AX362" s="1350"/>
      <c r="AY362" s="1350"/>
      <c r="AZ362" s="1350"/>
      <c r="BA362" s="1070"/>
      <c r="BB362" s="1070"/>
      <c r="BC362" s="1070"/>
      <c r="BD362" s="1070"/>
      <c r="BE362" s="1070"/>
      <c r="BF362" s="1070"/>
      <c r="BG362" s="1070"/>
      <c r="BH362" s="1070"/>
      <c r="BI362" s="1070"/>
      <c r="BJ362" s="1070"/>
      <c r="BK362" s="1070"/>
      <c r="BL362" s="1070"/>
      <c r="BM362" s="1070"/>
      <c r="BN362" s="1070"/>
      <c r="BO362" s="1070"/>
      <c r="BP362" s="1070"/>
      <c r="BQ362" s="1070"/>
      <c r="BR362" s="1070"/>
      <c r="BS362" s="1070"/>
      <c r="BT362" s="1070"/>
      <c r="BU362" s="1070"/>
      <c r="BV362" s="1070"/>
      <c r="BW362" s="1070"/>
      <c r="BX362" s="1070"/>
      <c r="BY362" s="1070"/>
      <c r="BZ362" s="1070"/>
      <c r="CA362" s="1070"/>
      <c r="CB362" s="1070"/>
      <c r="CC362" s="1070"/>
      <c r="CD362" s="1070"/>
      <c r="CE362" s="1070"/>
      <c r="CF362" s="1070"/>
      <c r="CG362" s="1070"/>
      <c r="CH362" s="1070"/>
      <c r="CI362" s="1070"/>
      <c r="CJ362" s="1070"/>
      <c r="CK362" s="1070"/>
      <c r="CL362" s="1070"/>
      <c r="CM362" s="1070"/>
      <c r="CN362" s="1070"/>
      <c r="CO362" s="1070"/>
      <c r="CP362" s="1070"/>
      <c r="CQ362" s="1070"/>
      <c r="CR362" s="1070"/>
      <c r="CS362" s="1070"/>
      <c r="CT362" s="1070"/>
      <c r="CU362" s="1070"/>
      <c r="CV362" s="1070"/>
      <c r="CW362" s="1070"/>
      <c r="CX362" s="1070"/>
      <c r="CY362" s="1070"/>
      <c r="CZ362" s="1070"/>
      <c r="DA362" s="1070"/>
      <c r="DB362" s="1070"/>
      <c r="DC362" s="1070"/>
      <c r="DD362" s="1070"/>
      <c r="DE362" s="1070"/>
      <c r="DF362" s="1070"/>
      <c r="DG362" s="1070"/>
      <c r="DH362" s="1070"/>
      <c r="DI362" s="1070"/>
    </row>
    <row r="363" spans="1:113" ht="15.75" x14ac:dyDescent="0.25">
      <c r="A363" s="1422" t="s">
        <v>391</v>
      </c>
      <c r="B363" s="1433">
        <f>IF(B302=2,1,1.15)</f>
        <v>1.1499999999999999</v>
      </c>
      <c r="C363" s="1429"/>
      <c r="D363" s="1429"/>
      <c r="E363" s="1429"/>
      <c r="F363" s="1429"/>
      <c r="G363" s="1429"/>
      <c r="H363" s="1350"/>
      <c r="I363" s="1350"/>
      <c r="J363" s="1350"/>
      <c r="K363" s="1350"/>
      <c r="L363" s="1070"/>
      <c r="M363" s="1070"/>
      <c r="N363" s="1070"/>
      <c r="O363" s="1070"/>
      <c r="P363" s="1070"/>
      <c r="Q363" s="1070"/>
      <c r="R363" s="1070"/>
      <c r="S363" s="1070"/>
      <c r="T363" s="1070"/>
      <c r="U363" s="1070"/>
      <c r="V363" s="1070"/>
      <c r="W363" s="1070"/>
      <c r="X363" s="1070"/>
      <c r="Y363" s="1070"/>
      <c r="Z363" s="1070"/>
      <c r="AA363" s="1070"/>
      <c r="AB363" s="1070"/>
      <c r="AC363" s="1070"/>
      <c r="AD363" s="1070"/>
      <c r="AE363" s="1070"/>
      <c r="AF363" s="1070"/>
      <c r="AG363" s="1070"/>
      <c r="AH363" s="1070"/>
      <c r="AI363" s="1070"/>
      <c r="AJ363" s="1070"/>
      <c r="AK363" s="1070"/>
      <c r="AL363" s="1070"/>
      <c r="AM363" s="1070"/>
      <c r="AN363" s="1070"/>
      <c r="AO363" s="1070"/>
      <c r="AP363" s="1070"/>
      <c r="AQ363" s="1070"/>
      <c r="AR363" s="1070"/>
      <c r="AS363" s="1070"/>
      <c r="AT363" s="1070"/>
      <c r="AU363" s="1350"/>
      <c r="AV363" s="1350"/>
      <c r="AW363" s="1350"/>
      <c r="AX363" s="1350"/>
      <c r="AY363" s="1350"/>
      <c r="AZ363" s="1350"/>
      <c r="BA363" s="1070"/>
      <c r="BB363" s="1070"/>
      <c r="BC363" s="1070"/>
      <c r="BD363" s="1070"/>
      <c r="BE363" s="1070"/>
      <c r="BF363" s="1070"/>
      <c r="BG363" s="1070"/>
      <c r="BH363" s="1070"/>
      <c r="BI363" s="1070"/>
      <c r="BJ363" s="1070"/>
      <c r="BK363" s="1070"/>
      <c r="BL363" s="1070"/>
      <c r="BM363" s="1070"/>
      <c r="BN363" s="1070"/>
      <c r="BO363" s="1070"/>
      <c r="BP363" s="1070"/>
      <c r="BQ363" s="1070"/>
      <c r="BR363" s="1070"/>
      <c r="BS363" s="1070"/>
      <c r="BT363" s="1070"/>
      <c r="BU363" s="1070"/>
      <c r="BV363" s="1070"/>
      <c r="BW363" s="1070"/>
      <c r="BX363" s="1070"/>
      <c r="BY363" s="1070"/>
      <c r="BZ363" s="1070"/>
      <c r="CA363" s="1070"/>
      <c r="CB363" s="1070"/>
      <c r="CC363" s="1070"/>
      <c r="CD363" s="1070"/>
      <c r="CE363" s="1070"/>
      <c r="CF363" s="1070"/>
      <c r="CG363" s="1070"/>
      <c r="CH363" s="1070"/>
      <c r="CI363" s="1070"/>
      <c r="CJ363" s="1070"/>
      <c r="CK363" s="1070"/>
      <c r="CL363" s="1070"/>
      <c r="CM363" s="1070"/>
      <c r="CN363" s="1070"/>
      <c r="CO363" s="1070"/>
      <c r="CP363" s="1070"/>
      <c r="CQ363" s="1070"/>
      <c r="CR363" s="1070"/>
      <c r="CS363" s="1070"/>
      <c r="CT363" s="1070"/>
      <c r="CU363" s="1070"/>
      <c r="CV363" s="1070"/>
      <c r="CW363" s="1070"/>
      <c r="CX363" s="1070"/>
      <c r="CY363" s="1070"/>
      <c r="CZ363" s="1070"/>
      <c r="DA363" s="1070"/>
      <c r="DB363" s="1070"/>
      <c r="DC363" s="1070"/>
      <c r="DD363" s="1070"/>
      <c r="DE363" s="1070"/>
      <c r="DF363" s="1070"/>
      <c r="DG363" s="1070"/>
      <c r="DH363" s="1070"/>
      <c r="DI363" s="1070"/>
    </row>
    <row r="364" spans="1:113" ht="15.75" x14ac:dyDescent="0.25">
      <c r="A364" s="1422" t="s">
        <v>392</v>
      </c>
      <c r="B364" s="1433">
        <f>IF(B297&lt;21,1,IF(B297&lt;31,0.9,0.8))</f>
        <v>0.8</v>
      </c>
      <c r="C364" s="1434"/>
      <c r="D364" s="1434"/>
      <c r="E364" s="1434"/>
      <c r="F364" s="1434"/>
      <c r="G364" s="1434"/>
      <c r="H364" s="1350"/>
      <c r="I364" s="1350"/>
      <c r="J364" s="1350"/>
      <c r="K364" s="1350"/>
      <c r="L364" s="1070"/>
      <c r="M364" s="1070"/>
      <c r="N364" s="1070"/>
      <c r="O364" s="1070"/>
      <c r="P364" s="1070"/>
      <c r="Q364" s="1070"/>
      <c r="R364" s="1070"/>
      <c r="S364" s="1070"/>
      <c r="T364" s="1070"/>
      <c r="U364" s="1070"/>
      <c r="V364" s="1070"/>
      <c r="W364" s="1070"/>
      <c r="X364" s="1070"/>
      <c r="Y364" s="1070"/>
      <c r="Z364" s="1070"/>
      <c r="AA364" s="1070"/>
      <c r="AB364" s="1070"/>
      <c r="AC364" s="1070"/>
      <c r="AD364" s="1070"/>
      <c r="AE364" s="1070"/>
      <c r="AF364" s="1070"/>
      <c r="AG364" s="1070"/>
      <c r="AH364" s="1070"/>
      <c r="AI364" s="1070"/>
      <c r="AJ364" s="1070"/>
      <c r="AK364" s="1070"/>
      <c r="AL364" s="1070"/>
      <c r="AM364" s="1070"/>
      <c r="AN364" s="1070"/>
      <c r="AO364" s="1070"/>
      <c r="AP364" s="1070"/>
      <c r="AQ364" s="1070"/>
      <c r="AR364" s="1070"/>
      <c r="AS364" s="1070"/>
      <c r="AT364" s="1070"/>
      <c r="AU364" s="1350"/>
      <c r="AV364" s="1350"/>
      <c r="AW364" s="1350"/>
      <c r="AX364" s="1350"/>
      <c r="AY364" s="1350"/>
      <c r="AZ364" s="1350"/>
      <c r="BA364" s="1070"/>
      <c r="BB364" s="1070"/>
      <c r="BC364" s="1070"/>
      <c r="BD364" s="1070"/>
      <c r="BE364" s="1070"/>
      <c r="BF364" s="1070"/>
      <c r="BG364" s="1070"/>
      <c r="BH364" s="1070"/>
      <c r="BI364" s="1070"/>
      <c r="BJ364" s="1070"/>
      <c r="BK364" s="1070"/>
      <c r="BL364" s="1070"/>
      <c r="BM364" s="1070"/>
      <c r="BN364" s="1070"/>
      <c r="BO364" s="1070"/>
      <c r="BP364" s="1070"/>
      <c r="BQ364" s="1070"/>
      <c r="BR364" s="1070"/>
      <c r="BS364" s="1070"/>
      <c r="BT364" s="1070"/>
      <c r="BU364" s="1070"/>
      <c r="BV364" s="1070"/>
      <c r="BW364" s="1070"/>
      <c r="BX364" s="1070"/>
      <c r="BY364" s="1070"/>
      <c r="BZ364" s="1070"/>
      <c r="CA364" s="1070"/>
      <c r="CB364" s="1070"/>
      <c r="CC364" s="1070"/>
      <c r="CD364" s="1070"/>
      <c r="CE364" s="1070"/>
      <c r="CF364" s="1070"/>
      <c r="CG364" s="1070"/>
      <c r="CH364" s="1070"/>
      <c r="CI364" s="1070"/>
      <c r="CJ364" s="1070"/>
      <c r="CK364" s="1070"/>
      <c r="CL364" s="1070"/>
      <c r="CM364" s="1070"/>
      <c r="CN364" s="1070"/>
      <c r="CO364" s="1070"/>
      <c r="CP364" s="1070"/>
      <c r="CQ364" s="1070"/>
      <c r="CR364" s="1070"/>
      <c r="CS364" s="1070"/>
      <c r="CT364" s="1070"/>
      <c r="CU364" s="1070"/>
      <c r="CV364" s="1070"/>
      <c r="CW364" s="1070"/>
      <c r="CX364" s="1070"/>
      <c r="CY364" s="1070"/>
      <c r="CZ364" s="1070"/>
      <c r="DA364" s="1070"/>
      <c r="DB364" s="1070"/>
      <c r="DC364" s="1070"/>
      <c r="DD364" s="1070"/>
      <c r="DE364" s="1070"/>
      <c r="DF364" s="1070"/>
      <c r="DG364" s="1070"/>
      <c r="DH364" s="1070"/>
      <c r="DI364" s="1070"/>
    </row>
    <row r="365" spans="1:113" ht="31.5" x14ac:dyDescent="0.25">
      <c r="A365" s="1422" t="s">
        <v>393</v>
      </c>
      <c r="B365" s="1433">
        <f>IF(B322&lt;2,0.85,1)</f>
        <v>1</v>
      </c>
      <c r="C365" s="1434"/>
      <c r="D365" s="1434"/>
      <c r="E365" s="1434"/>
      <c r="F365" s="1434"/>
      <c r="G365" s="1434"/>
      <c r="H365" s="1350"/>
      <c r="I365" s="1350"/>
      <c r="J365" s="1350"/>
      <c r="K365" s="1350"/>
      <c r="L365" s="1070"/>
      <c r="M365" s="1070"/>
      <c r="N365" s="1070"/>
      <c r="O365" s="1070"/>
      <c r="P365" s="1070"/>
      <c r="Q365" s="1070"/>
      <c r="R365" s="1070"/>
      <c r="S365" s="1070"/>
      <c r="T365" s="1070"/>
      <c r="U365" s="1070"/>
      <c r="V365" s="1070"/>
      <c r="W365" s="1070"/>
      <c r="X365" s="1070"/>
      <c r="Y365" s="1070"/>
      <c r="Z365" s="1070"/>
      <c r="AA365" s="1070"/>
      <c r="AB365" s="1070"/>
      <c r="AC365" s="1070"/>
      <c r="AD365" s="1070"/>
      <c r="AE365" s="1070"/>
      <c r="AF365" s="1070"/>
      <c r="AG365" s="1070"/>
      <c r="AH365" s="1070"/>
      <c r="AI365" s="1070"/>
      <c r="AJ365" s="1070"/>
      <c r="AK365" s="1070"/>
      <c r="AL365" s="1070"/>
      <c r="AM365" s="1070"/>
      <c r="AN365" s="1070"/>
      <c r="AO365" s="1070"/>
      <c r="AP365" s="1070"/>
      <c r="AQ365" s="1070"/>
      <c r="AR365" s="1070"/>
      <c r="AS365" s="1070"/>
      <c r="AT365" s="1070"/>
      <c r="AU365" s="1350"/>
      <c r="AV365" s="1350"/>
      <c r="AW365" s="1350"/>
      <c r="AX365" s="1350"/>
      <c r="AY365" s="1350"/>
      <c r="AZ365" s="1350"/>
      <c r="BA365" s="1070"/>
      <c r="BB365" s="1070"/>
      <c r="BC365" s="1070"/>
      <c r="BD365" s="1070"/>
      <c r="BE365" s="1070"/>
      <c r="BF365" s="1070"/>
      <c r="BG365" s="1070"/>
      <c r="BH365" s="1070"/>
      <c r="BI365" s="1070"/>
      <c r="BJ365" s="1070"/>
      <c r="BK365" s="1070"/>
      <c r="BL365" s="1070"/>
      <c r="BM365" s="1070"/>
      <c r="BN365" s="1070"/>
      <c r="BO365" s="1070"/>
      <c r="BP365" s="1070"/>
      <c r="BQ365" s="1070"/>
      <c r="BR365" s="1070"/>
      <c r="BS365" s="1070"/>
      <c r="BT365" s="1070"/>
      <c r="BU365" s="1070"/>
      <c r="BV365" s="1070"/>
      <c r="BW365" s="1070"/>
      <c r="BX365" s="1070"/>
      <c r="BY365" s="1070"/>
      <c r="BZ365" s="1070"/>
      <c r="CA365" s="1070"/>
      <c r="CB365" s="1070"/>
      <c r="CC365" s="1070"/>
      <c r="CD365" s="1070"/>
      <c r="CE365" s="1070"/>
      <c r="CF365" s="1070"/>
      <c r="CG365" s="1070"/>
      <c r="CH365" s="1070"/>
      <c r="CI365" s="1070"/>
      <c r="CJ365" s="1070"/>
      <c r="CK365" s="1070"/>
      <c r="CL365" s="1070"/>
      <c r="CM365" s="1070"/>
      <c r="CN365" s="1070"/>
      <c r="CO365" s="1070"/>
      <c r="CP365" s="1070"/>
      <c r="CQ365" s="1070"/>
      <c r="CR365" s="1070"/>
      <c r="CS365" s="1070"/>
      <c r="CT365" s="1070"/>
      <c r="CU365" s="1070"/>
      <c r="CV365" s="1070"/>
      <c r="CW365" s="1070"/>
      <c r="CX365" s="1070"/>
      <c r="CY365" s="1070"/>
      <c r="CZ365" s="1070"/>
      <c r="DA365" s="1070"/>
      <c r="DB365" s="1070"/>
      <c r="DC365" s="1070"/>
      <c r="DD365" s="1070"/>
      <c r="DE365" s="1070"/>
      <c r="DF365" s="1070"/>
      <c r="DG365" s="1070"/>
      <c r="DH365" s="1070"/>
      <c r="DI365" s="1070"/>
    </row>
    <row r="366" spans="1:113" ht="31.5" x14ac:dyDescent="0.25">
      <c r="A366" s="1435" t="s">
        <v>419</v>
      </c>
      <c r="B366" s="1433">
        <f>IF(B344&lt;2.1,0.9,IF(B344&lt;3.1,0.85,0.8))</f>
        <v>0.8</v>
      </c>
      <c r="C366" s="1434"/>
      <c r="D366" s="1434"/>
      <c r="E366" s="1434"/>
      <c r="F366" s="1434"/>
      <c r="G366" s="1434"/>
      <c r="H366" s="1350"/>
      <c r="I366" s="1350"/>
      <c r="J366" s="1350"/>
      <c r="K366" s="1350"/>
      <c r="L366" s="1070"/>
      <c r="M366" s="1070"/>
      <c r="N366" s="1070"/>
      <c r="O366" s="1070"/>
      <c r="P366" s="1070"/>
      <c r="Q366" s="1070"/>
      <c r="R366" s="1070"/>
      <c r="S366" s="1070"/>
      <c r="T366" s="1070"/>
      <c r="U366" s="1070"/>
      <c r="V366" s="1070"/>
      <c r="W366" s="1070"/>
      <c r="X366" s="1070"/>
      <c r="Y366" s="1070"/>
      <c r="Z366" s="1070"/>
      <c r="AA366" s="1070"/>
      <c r="AB366" s="1070"/>
      <c r="AC366" s="1070"/>
      <c r="AD366" s="1070"/>
      <c r="AE366" s="1070"/>
      <c r="AF366" s="1070"/>
      <c r="AG366" s="1070"/>
      <c r="AH366" s="1070"/>
      <c r="AI366" s="1070"/>
      <c r="AJ366" s="1070"/>
      <c r="AK366" s="1070"/>
      <c r="AL366" s="1070"/>
      <c r="AM366" s="1070"/>
      <c r="AN366" s="1070"/>
      <c r="AO366" s="1070"/>
      <c r="AP366" s="1070"/>
      <c r="AQ366" s="1070"/>
      <c r="AR366" s="1070"/>
      <c r="AS366" s="1070"/>
      <c r="AT366" s="1070"/>
      <c r="AU366" s="1350"/>
      <c r="AV366" s="1350"/>
      <c r="AW366" s="1350"/>
      <c r="AX366" s="1350"/>
      <c r="AY366" s="1350"/>
      <c r="AZ366" s="1350"/>
      <c r="BA366" s="1070"/>
      <c r="BB366" s="1070"/>
      <c r="BC366" s="1070"/>
      <c r="BD366" s="1070"/>
      <c r="BE366" s="1070"/>
      <c r="BF366" s="1070"/>
      <c r="BG366" s="1070"/>
      <c r="BH366" s="1070"/>
      <c r="BI366" s="1070"/>
      <c r="BJ366" s="1070"/>
      <c r="BK366" s="1070"/>
      <c r="BL366" s="1070"/>
      <c r="BM366" s="1070"/>
      <c r="BN366" s="1070"/>
      <c r="BO366" s="1070"/>
      <c r="BP366" s="1070"/>
      <c r="BQ366" s="1070"/>
      <c r="BR366" s="1070"/>
      <c r="BS366" s="1070"/>
      <c r="BT366" s="1070"/>
      <c r="BU366" s="1070"/>
      <c r="BV366" s="1070"/>
      <c r="BW366" s="1070"/>
      <c r="BX366" s="1070"/>
      <c r="BY366" s="1070"/>
      <c r="BZ366" s="1070"/>
      <c r="CA366" s="1070"/>
      <c r="CB366" s="1070"/>
      <c r="CC366" s="1070"/>
      <c r="CD366" s="1070"/>
      <c r="CE366" s="1070"/>
      <c r="CF366" s="1070"/>
      <c r="CG366" s="1070"/>
      <c r="CH366" s="1070"/>
      <c r="CI366" s="1070"/>
      <c r="CJ366" s="1070"/>
      <c r="CK366" s="1070"/>
      <c r="CL366" s="1070"/>
      <c r="CM366" s="1070"/>
      <c r="CN366" s="1070"/>
      <c r="CO366" s="1070"/>
      <c r="CP366" s="1070"/>
      <c r="CQ366" s="1070"/>
      <c r="CR366" s="1070"/>
      <c r="CS366" s="1070"/>
      <c r="CT366" s="1070"/>
      <c r="CU366" s="1070"/>
      <c r="CV366" s="1070"/>
      <c r="CW366" s="1070"/>
      <c r="CX366" s="1070"/>
      <c r="CY366" s="1070"/>
      <c r="CZ366" s="1070"/>
      <c r="DA366" s="1070"/>
      <c r="DB366" s="1070"/>
      <c r="DC366" s="1070"/>
      <c r="DD366" s="1070"/>
      <c r="DE366" s="1070"/>
      <c r="DF366" s="1070"/>
      <c r="DG366" s="1070"/>
      <c r="DH366" s="1070"/>
      <c r="DI366" s="1070"/>
    </row>
    <row r="367" spans="1:113" ht="31.5" x14ac:dyDescent="0.25">
      <c r="A367" s="1422" t="s">
        <v>420</v>
      </c>
      <c r="B367" s="1433">
        <v>0.8</v>
      </c>
      <c r="C367" s="1432"/>
      <c r="D367" s="1350"/>
      <c r="E367" s="1350"/>
      <c r="F367" s="1350"/>
      <c r="G367" s="1350"/>
      <c r="H367" s="1350"/>
      <c r="I367" s="1350"/>
      <c r="J367" s="1350"/>
      <c r="K367" s="1350"/>
      <c r="L367" s="1070"/>
      <c r="M367" s="1070"/>
      <c r="N367" s="1070"/>
      <c r="O367" s="1070"/>
      <c r="P367" s="1070"/>
      <c r="Q367" s="1070"/>
      <c r="R367" s="1070"/>
      <c r="S367" s="1070"/>
      <c r="T367" s="1070"/>
      <c r="U367" s="1070"/>
      <c r="V367" s="1070"/>
      <c r="W367" s="1070"/>
      <c r="X367" s="1070"/>
      <c r="Y367" s="1070"/>
      <c r="Z367" s="1070"/>
      <c r="AA367" s="1070"/>
      <c r="AB367" s="1070"/>
      <c r="AC367" s="1070"/>
      <c r="AD367" s="1070"/>
      <c r="AE367" s="1070"/>
      <c r="AF367" s="1070"/>
      <c r="AG367" s="1070"/>
      <c r="AH367" s="1070"/>
      <c r="AI367" s="1070"/>
      <c r="AJ367" s="1070"/>
      <c r="AK367" s="1070"/>
      <c r="AL367" s="1070"/>
      <c r="AM367" s="1070"/>
      <c r="AN367" s="1070"/>
      <c r="AO367" s="1070"/>
      <c r="AP367" s="1070"/>
      <c r="AQ367" s="1070"/>
      <c r="AR367" s="1070"/>
      <c r="AS367" s="1070"/>
      <c r="AT367" s="1070"/>
      <c r="AU367" s="1350"/>
      <c r="AV367" s="1350"/>
      <c r="AW367" s="1350"/>
      <c r="AX367" s="1350"/>
      <c r="AY367" s="1350"/>
      <c r="AZ367" s="1350"/>
      <c r="BA367" s="1070"/>
      <c r="BB367" s="1070"/>
      <c r="BC367" s="1070"/>
      <c r="BD367" s="1070"/>
      <c r="BE367" s="1070"/>
      <c r="BF367" s="1070"/>
      <c r="BG367" s="1070"/>
      <c r="BH367" s="1070"/>
      <c r="BI367" s="1070"/>
      <c r="BJ367" s="1070"/>
      <c r="BK367" s="1070"/>
      <c r="BL367" s="1070"/>
      <c r="BM367" s="1070"/>
      <c r="BN367" s="1070"/>
      <c r="BO367" s="1070"/>
      <c r="BP367" s="1070"/>
      <c r="BQ367" s="1070"/>
      <c r="BR367" s="1070"/>
      <c r="BS367" s="1070"/>
      <c r="BT367" s="1070"/>
      <c r="BU367" s="1070"/>
      <c r="BV367" s="1070"/>
      <c r="BW367" s="1070"/>
      <c r="BX367" s="1070"/>
      <c r="BY367" s="1070"/>
      <c r="BZ367" s="1070"/>
      <c r="CA367" s="1070"/>
      <c r="CB367" s="1070"/>
      <c r="CC367" s="1070"/>
      <c r="CD367" s="1070"/>
      <c r="CE367" s="1070"/>
      <c r="CF367" s="1070"/>
      <c r="CG367" s="1070"/>
      <c r="CH367" s="1070"/>
      <c r="CI367" s="1070"/>
      <c r="CJ367" s="1070"/>
      <c r="CK367" s="1070"/>
      <c r="CL367" s="1070"/>
      <c r="CM367" s="1070"/>
      <c r="CN367" s="1070"/>
      <c r="CO367" s="1070"/>
      <c r="CP367" s="1070"/>
      <c r="CQ367" s="1070"/>
      <c r="CR367" s="1070"/>
      <c r="CS367" s="1070"/>
      <c r="CT367" s="1070"/>
      <c r="CU367" s="1070"/>
      <c r="CV367" s="1070"/>
      <c r="CW367" s="1070"/>
      <c r="CX367" s="1070"/>
      <c r="CY367" s="1070"/>
      <c r="CZ367" s="1070"/>
      <c r="DA367" s="1070"/>
      <c r="DB367" s="1070"/>
      <c r="DC367" s="1070"/>
      <c r="DD367" s="1070"/>
      <c r="DE367" s="1070"/>
      <c r="DF367" s="1070"/>
      <c r="DG367" s="1070"/>
      <c r="DH367" s="1070"/>
      <c r="DI367" s="1070"/>
    </row>
    <row r="368" spans="1:113" ht="15.75" x14ac:dyDescent="0.25">
      <c r="A368" s="1422" t="s">
        <v>421</v>
      </c>
      <c r="B368" s="1436">
        <v>0.7</v>
      </c>
      <c r="C368" s="1437"/>
      <c r="D368" s="1437"/>
      <c r="E368" s="1437"/>
      <c r="F368" s="1437"/>
      <c r="G368" s="1437"/>
      <c r="H368" s="1350"/>
      <c r="I368" s="1350"/>
      <c r="J368" s="1350"/>
      <c r="K368" s="1350"/>
      <c r="L368" s="1070"/>
      <c r="M368" s="1070"/>
      <c r="N368" s="1070"/>
      <c r="O368" s="1070"/>
      <c r="P368" s="1070"/>
      <c r="Q368" s="1070"/>
      <c r="R368" s="1070"/>
      <c r="S368" s="1070"/>
      <c r="T368" s="1070"/>
      <c r="U368" s="1070"/>
      <c r="V368" s="1070"/>
      <c r="W368" s="1070"/>
      <c r="X368" s="1070"/>
      <c r="Y368" s="1070"/>
      <c r="Z368" s="1070"/>
      <c r="AA368" s="1070"/>
      <c r="AB368" s="1070"/>
      <c r="AC368" s="1070"/>
      <c r="AD368" s="1070"/>
      <c r="AE368" s="1070"/>
      <c r="AF368" s="1070"/>
      <c r="AG368" s="1070"/>
      <c r="AH368" s="1070"/>
      <c r="AI368" s="1070"/>
      <c r="AJ368" s="1070"/>
      <c r="AK368" s="1070"/>
      <c r="AL368" s="1070"/>
      <c r="AM368" s="1070"/>
      <c r="AN368" s="1070"/>
      <c r="AO368" s="1070"/>
      <c r="AP368" s="1070"/>
      <c r="AQ368" s="1070"/>
      <c r="AR368" s="1070"/>
      <c r="AS368" s="1070"/>
      <c r="AT368" s="1070"/>
      <c r="AU368" s="1350"/>
      <c r="AV368" s="1350"/>
      <c r="AW368" s="1350"/>
      <c r="AX368" s="1350"/>
      <c r="AY368" s="1350"/>
      <c r="AZ368" s="1350"/>
      <c r="BA368" s="1070"/>
      <c r="BB368" s="1070"/>
      <c r="BC368" s="1070"/>
      <c r="BD368" s="1070"/>
      <c r="BE368" s="1070"/>
      <c r="BF368" s="1070"/>
      <c r="BG368" s="1070"/>
      <c r="BH368" s="1070"/>
      <c r="BI368" s="1070"/>
      <c r="BJ368" s="1070"/>
      <c r="BK368" s="1070"/>
      <c r="BL368" s="1070"/>
      <c r="BM368" s="1070"/>
      <c r="BN368" s="1070"/>
      <c r="BO368" s="1070"/>
      <c r="BP368" s="1070"/>
      <c r="BQ368" s="1070"/>
      <c r="BR368" s="1070"/>
      <c r="BS368" s="1070"/>
      <c r="BT368" s="1070"/>
      <c r="BU368" s="1070"/>
      <c r="BV368" s="1070"/>
      <c r="BW368" s="1070"/>
      <c r="BX368" s="1070"/>
      <c r="BY368" s="1070"/>
      <c r="BZ368" s="1070"/>
      <c r="CA368" s="1070"/>
      <c r="CB368" s="1070"/>
      <c r="CC368" s="1070"/>
      <c r="CD368" s="1070"/>
      <c r="CE368" s="1070"/>
      <c r="CF368" s="1070"/>
      <c r="CG368" s="1070"/>
      <c r="CH368" s="1070"/>
      <c r="CI368" s="1070"/>
      <c r="CJ368" s="1070"/>
      <c r="CK368" s="1070"/>
      <c r="CL368" s="1070"/>
      <c r="CM368" s="1070"/>
      <c r="CN368" s="1070"/>
      <c r="CO368" s="1070"/>
      <c r="CP368" s="1070"/>
      <c r="CQ368" s="1070"/>
      <c r="CR368" s="1070"/>
      <c r="CS368" s="1070"/>
      <c r="CT368" s="1070"/>
      <c r="CU368" s="1070"/>
      <c r="CV368" s="1070"/>
      <c r="CW368" s="1070"/>
      <c r="CX368" s="1070"/>
      <c r="CY368" s="1070"/>
      <c r="CZ368" s="1070"/>
      <c r="DA368" s="1070"/>
      <c r="DB368" s="1070"/>
      <c r="DC368" s="1070"/>
      <c r="DD368" s="1070"/>
      <c r="DE368" s="1070"/>
      <c r="DF368" s="1070"/>
      <c r="DG368" s="1070"/>
      <c r="DH368" s="1070"/>
      <c r="DI368" s="1070"/>
    </row>
    <row r="369" spans="1:113" ht="15.75" x14ac:dyDescent="0.25">
      <c r="A369" s="1422" t="s">
        <v>3412</v>
      </c>
      <c r="B369" s="1433" t="e">
        <f>B355*B362*B363*B364*B365*B367*B368*B341</f>
        <v>#VALUE!</v>
      </c>
      <c r="C369" s="1437"/>
      <c r="D369" s="1437"/>
      <c r="E369" s="1437"/>
      <c r="F369" s="1437"/>
      <c r="G369" s="1437"/>
      <c r="H369" s="1350"/>
      <c r="I369" s="1350"/>
      <c r="J369" s="1350"/>
      <c r="K369" s="1350"/>
      <c r="L369" s="1070"/>
      <c r="M369" s="1070"/>
      <c r="N369" s="1070"/>
      <c r="O369" s="1070"/>
      <c r="P369" s="1070"/>
      <c r="Q369" s="1070"/>
      <c r="R369" s="1070"/>
      <c r="S369" s="1070"/>
      <c r="T369" s="1070"/>
      <c r="U369" s="1070"/>
      <c r="V369" s="1070"/>
      <c r="W369" s="1070"/>
      <c r="X369" s="1070"/>
      <c r="Y369" s="1070"/>
      <c r="Z369" s="1070"/>
      <c r="AA369" s="1070"/>
      <c r="AB369" s="1070"/>
      <c r="AC369" s="1070"/>
      <c r="AD369" s="1070"/>
      <c r="AE369" s="1070"/>
      <c r="AF369" s="1070"/>
      <c r="AG369" s="1070"/>
      <c r="AH369" s="1070"/>
      <c r="AI369" s="1070"/>
      <c r="AJ369" s="1070"/>
      <c r="AK369" s="1070"/>
      <c r="AL369" s="1070"/>
      <c r="AM369" s="1070"/>
      <c r="AN369" s="1070"/>
      <c r="AO369" s="1070"/>
      <c r="AP369" s="1070"/>
      <c r="AQ369" s="1070"/>
      <c r="AR369" s="1070"/>
      <c r="AS369" s="1070"/>
      <c r="AT369" s="1070"/>
      <c r="AU369" s="1350"/>
      <c r="AV369" s="1350"/>
      <c r="AW369" s="1350"/>
      <c r="AX369" s="1350"/>
      <c r="AY369" s="1350"/>
      <c r="AZ369" s="1350"/>
      <c r="BA369" s="1070"/>
      <c r="BB369" s="1070"/>
      <c r="BC369" s="1070"/>
      <c r="BD369" s="1070"/>
      <c r="BE369" s="1070"/>
      <c r="BF369" s="1070"/>
      <c r="BG369" s="1070"/>
      <c r="BH369" s="1070"/>
      <c r="BI369" s="1070"/>
      <c r="BJ369" s="1070"/>
      <c r="BK369" s="1070"/>
      <c r="BL369" s="1070"/>
      <c r="BM369" s="1070"/>
      <c r="BN369" s="1070"/>
      <c r="BO369" s="1070"/>
      <c r="BP369" s="1070"/>
      <c r="BQ369" s="1070"/>
      <c r="BR369" s="1070"/>
      <c r="BS369" s="1070"/>
      <c r="BT369" s="1070"/>
      <c r="BU369" s="1070"/>
      <c r="BV369" s="1070"/>
      <c r="BW369" s="1070"/>
      <c r="BX369" s="1070"/>
      <c r="BY369" s="1070"/>
      <c r="BZ369" s="1070"/>
      <c r="CA369" s="1070"/>
      <c r="CB369" s="1070"/>
      <c r="CC369" s="1070"/>
      <c r="CD369" s="1070"/>
      <c r="CE369" s="1070"/>
      <c r="CF369" s="1070"/>
      <c r="CG369" s="1070"/>
      <c r="CH369" s="1070"/>
      <c r="CI369" s="1070"/>
      <c r="CJ369" s="1070"/>
      <c r="CK369" s="1070"/>
      <c r="CL369" s="1070"/>
      <c r="CM369" s="1070"/>
      <c r="CN369" s="1070"/>
      <c r="CO369" s="1070"/>
      <c r="CP369" s="1070"/>
      <c r="CQ369" s="1070"/>
      <c r="CR369" s="1070"/>
      <c r="CS369" s="1070"/>
      <c r="CT369" s="1070"/>
      <c r="CU369" s="1070"/>
      <c r="CV369" s="1070"/>
      <c r="CW369" s="1070"/>
      <c r="CX369" s="1070"/>
      <c r="CY369" s="1070"/>
      <c r="CZ369" s="1070"/>
      <c r="DA369" s="1070"/>
      <c r="DB369" s="1070"/>
      <c r="DC369" s="1070"/>
      <c r="DD369" s="1070"/>
      <c r="DE369" s="1070"/>
      <c r="DF369" s="1070"/>
      <c r="DG369" s="1070"/>
      <c r="DH369" s="1070"/>
      <c r="DI369" s="1070"/>
    </row>
    <row r="370" spans="1:113" ht="15.75" x14ac:dyDescent="0.25">
      <c r="A370" s="1422" t="s">
        <v>422</v>
      </c>
      <c r="B370" s="1428" t="e">
        <f>B354/B369</f>
        <v>#DIV/0!</v>
      </c>
      <c r="C370" s="1437"/>
      <c r="D370" s="1437"/>
      <c r="E370" s="1437"/>
      <c r="F370" s="1437"/>
      <c r="G370" s="1437"/>
      <c r="H370" s="1350"/>
      <c r="I370" s="1350"/>
      <c r="J370" s="1350"/>
      <c r="K370" s="1350"/>
      <c r="L370" s="1070"/>
      <c r="M370" s="1070"/>
      <c r="N370" s="1070"/>
      <c r="O370" s="1070"/>
      <c r="P370" s="1070"/>
      <c r="Q370" s="1070"/>
      <c r="R370" s="1070"/>
      <c r="S370" s="1070"/>
      <c r="T370" s="1070"/>
      <c r="U370" s="1070"/>
      <c r="V370" s="1070"/>
      <c r="W370" s="1070"/>
      <c r="X370" s="1070"/>
      <c r="Y370" s="1070"/>
      <c r="Z370" s="1070"/>
      <c r="AA370" s="1070"/>
      <c r="AB370" s="1070"/>
      <c r="AC370" s="1070"/>
      <c r="AD370" s="1070"/>
      <c r="AE370" s="1070"/>
      <c r="AF370" s="1070"/>
      <c r="AG370" s="1070"/>
      <c r="AH370" s="1070"/>
      <c r="AI370" s="1070"/>
      <c r="AJ370" s="1070"/>
      <c r="AK370" s="1070"/>
      <c r="AL370" s="1070"/>
      <c r="AM370" s="1070"/>
      <c r="AN370" s="1070"/>
      <c r="AO370" s="1070"/>
      <c r="AP370" s="1070"/>
      <c r="AQ370" s="1070"/>
      <c r="AR370" s="1070"/>
      <c r="AS370" s="1070"/>
      <c r="AT370" s="1070"/>
      <c r="AU370" s="1350"/>
      <c r="AV370" s="1350"/>
      <c r="AW370" s="1350"/>
      <c r="AX370" s="1350"/>
      <c r="AY370" s="1350"/>
      <c r="AZ370" s="1350"/>
      <c r="BA370" s="1070"/>
      <c r="BB370" s="1070"/>
      <c r="BC370" s="1070"/>
      <c r="BD370" s="1070"/>
      <c r="BE370" s="1070"/>
      <c r="BF370" s="1070"/>
      <c r="BG370" s="1070"/>
      <c r="BH370" s="1070"/>
      <c r="BI370" s="1070"/>
      <c r="BJ370" s="1070"/>
      <c r="BK370" s="1070"/>
      <c r="BL370" s="1070"/>
      <c r="BM370" s="1070"/>
      <c r="BN370" s="1070"/>
      <c r="BO370" s="1070"/>
      <c r="BP370" s="1070"/>
      <c r="BQ370" s="1070"/>
      <c r="BR370" s="1070"/>
      <c r="BS370" s="1070"/>
      <c r="BT370" s="1070"/>
      <c r="BU370" s="1070"/>
      <c r="BV370" s="1070"/>
      <c r="BW370" s="1070"/>
      <c r="BX370" s="1070"/>
      <c r="BY370" s="1070"/>
      <c r="BZ370" s="1070"/>
      <c r="CA370" s="1070"/>
      <c r="CB370" s="1070"/>
      <c r="CC370" s="1070"/>
      <c r="CD370" s="1070"/>
      <c r="CE370" s="1070"/>
      <c r="CF370" s="1070"/>
      <c r="CG370" s="1070"/>
      <c r="CH370" s="1070"/>
      <c r="CI370" s="1070"/>
      <c r="CJ370" s="1070"/>
      <c r="CK370" s="1070"/>
      <c r="CL370" s="1070"/>
      <c r="CM370" s="1070"/>
      <c r="CN370" s="1070"/>
      <c r="CO370" s="1070"/>
      <c r="CP370" s="1070"/>
      <c r="CQ370" s="1070"/>
      <c r="CR370" s="1070"/>
      <c r="CS370" s="1070"/>
      <c r="CT370" s="1070"/>
      <c r="CU370" s="1070"/>
      <c r="CV370" s="1070"/>
      <c r="CW370" s="1070"/>
      <c r="CX370" s="1070"/>
      <c r="CY370" s="1070"/>
      <c r="CZ370" s="1070"/>
      <c r="DA370" s="1070"/>
      <c r="DB370" s="1070"/>
      <c r="DC370" s="1070"/>
      <c r="DD370" s="1070"/>
      <c r="DE370" s="1070"/>
      <c r="DF370" s="1070"/>
      <c r="DG370" s="1070"/>
      <c r="DH370" s="1070"/>
      <c r="DI370" s="1070"/>
    </row>
    <row r="371" spans="1:113" ht="15.75" x14ac:dyDescent="0.25">
      <c r="A371" s="1422"/>
      <c r="B371" s="1433"/>
      <c r="C371" s="1437"/>
      <c r="D371" s="1437"/>
      <c r="E371" s="1437"/>
      <c r="F371" s="1437"/>
      <c r="G371" s="1437"/>
      <c r="H371" s="1350"/>
      <c r="I371" s="1350"/>
      <c r="J371" s="1350"/>
      <c r="K371" s="1350"/>
      <c r="L371" s="1070"/>
      <c r="M371" s="1070"/>
      <c r="N371" s="1070"/>
      <c r="O371" s="1070"/>
      <c r="P371" s="1070"/>
      <c r="Q371" s="1070"/>
      <c r="R371" s="1070"/>
      <c r="S371" s="1070"/>
      <c r="T371" s="1070"/>
      <c r="U371" s="1070"/>
      <c r="V371" s="1070"/>
      <c r="W371" s="1070"/>
      <c r="X371" s="1070"/>
      <c r="Y371" s="1070"/>
      <c r="Z371" s="1070"/>
      <c r="AA371" s="1070"/>
      <c r="AB371" s="1070"/>
      <c r="AC371" s="1070"/>
      <c r="AD371" s="1070"/>
      <c r="AE371" s="1070"/>
      <c r="AF371" s="1070"/>
      <c r="AG371" s="1070"/>
      <c r="AH371" s="1070"/>
      <c r="AI371" s="1070"/>
      <c r="AJ371" s="1070"/>
      <c r="AK371" s="1070"/>
      <c r="AL371" s="1070"/>
      <c r="AM371" s="1070"/>
      <c r="AN371" s="1070"/>
      <c r="AO371" s="1070"/>
      <c r="AP371" s="1070"/>
      <c r="AQ371" s="1070"/>
      <c r="AR371" s="1070"/>
      <c r="AS371" s="1070"/>
      <c r="AT371" s="1070"/>
      <c r="AU371" s="1350"/>
      <c r="AV371" s="1350"/>
      <c r="AW371" s="1350"/>
      <c r="AX371" s="1350"/>
      <c r="AY371" s="1350"/>
      <c r="AZ371" s="1350"/>
      <c r="BA371" s="1070"/>
      <c r="BB371" s="1070"/>
      <c r="BC371" s="1070"/>
      <c r="BD371" s="1070"/>
      <c r="BE371" s="1070"/>
      <c r="BF371" s="1070"/>
      <c r="BG371" s="1070"/>
      <c r="BH371" s="1070"/>
      <c r="BI371" s="1070"/>
      <c r="BJ371" s="1070"/>
      <c r="BK371" s="1070"/>
      <c r="BL371" s="1070"/>
      <c r="BM371" s="1070"/>
      <c r="BN371" s="1070"/>
      <c r="BO371" s="1070"/>
      <c r="BP371" s="1070"/>
      <c r="BQ371" s="1070"/>
      <c r="BR371" s="1070"/>
      <c r="BS371" s="1070"/>
      <c r="BT371" s="1070"/>
      <c r="BU371" s="1070"/>
      <c r="BV371" s="1070"/>
      <c r="BW371" s="1070"/>
      <c r="BX371" s="1070"/>
      <c r="BY371" s="1070"/>
      <c r="BZ371" s="1070"/>
      <c r="CA371" s="1070"/>
      <c r="CB371" s="1070"/>
      <c r="CC371" s="1070"/>
      <c r="CD371" s="1070"/>
      <c r="CE371" s="1070"/>
      <c r="CF371" s="1070"/>
      <c r="CG371" s="1070"/>
      <c r="CH371" s="1070"/>
      <c r="CI371" s="1070"/>
      <c r="CJ371" s="1070"/>
      <c r="CK371" s="1070"/>
      <c r="CL371" s="1070"/>
      <c r="CM371" s="1070"/>
      <c r="CN371" s="1070"/>
      <c r="CO371" s="1070"/>
      <c r="CP371" s="1070"/>
      <c r="CQ371" s="1070"/>
      <c r="CR371" s="1070"/>
      <c r="CS371" s="1070"/>
      <c r="CT371" s="1070"/>
      <c r="CU371" s="1070"/>
      <c r="CV371" s="1070"/>
      <c r="CW371" s="1070"/>
      <c r="CX371" s="1070"/>
      <c r="CY371" s="1070"/>
      <c r="CZ371" s="1070"/>
      <c r="DA371" s="1070"/>
      <c r="DB371" s="1070"/>
      <c r="DC371" s="1070"/>
      <c r="DD371" s="1070"/>
      <c r="DE371" s="1070"/>
      <c r="DF371" s="1070"/>
      <c r="DG371" s="1070"/>
      <c r="DH371" s="1070"/>
      <c r="DI371" s="1070"/>
    </row>
    <row r="372" spans="1:113" ht="47.25" x14ac:dyDescent="0.25">
      <c r="A372" s="1438" t="s">
        <v>423</v>
      </c>
      <c r="B372" s="1433"/>
      <c r="C372" s="1437"/>
      <c r="D372" s="1437"/>
      <c r="E372" s="1437"/>
      <c r="F372" s="1437"/>
      <c r="G372" s="1437"/>
      <c r="H372" s="1350"/>
      <c r="I372" s="1350"/>
      <c r="J372" s="1350"/>
      <c r="K372" s="1350"/>
      <c r="L372" s="1070"/>
      <c r="M372" s="1070"/>
      <c r="N372" s="1070"/>
      <c r="O372" s="1070"/>
      <c r="P372" s="1070"/>
      <c r="Q372" s="1070"/>
      <c r="R372" s="1070"/>
      <c r="S372" s="1070"/>
      <c r="T372" s="1070"/>
      <c r="U372" s="1070"/>
      <c r="V372" s="1070"/>
      <c r="W372" s="1070"/>
      <c r="X372" s="1070"/>
      <c r="Y372" s="1070"/>
      <c r="Z372" s="1070"/>
      <c r="AA372" s="1070"/>
      <c r="AB372" s="1070"/>
      <c r="AC372" s="1070"/>
      <c r="AD372" s="1070"/>
      <c r="AE372" s="1070"/>
      <c r="AF372" s="1070"/>
      <c r="AG372" s="1070"/>
      <c r="AH372" s="1070"/>
      <c r="AI372" s="1070"/>
      <c r="AJ372" s="1070"/>
      <c r="AK372" s="1070"/>
      <c r="AL372" s="1070"/>
      <c r="AM372" s="1070"/>
      <c r="AN372" s="1070"/>
      <c r="AO372" s="1070"/>
      <c r="AP372" s="1070"/>
      <c r="AQ372" s="1070"/>
      <c r="AR372" s="1070"/>
      <c r="AS372" s="1070"/>
      <c r="AT372" s="1070"/>
      <c r="AU372" s="1350"/>
      <c r="AV372" s="1350"/>
      <c r="AW372" s="1350"/>
      <c r="AX372" s="1350"/>
      <c r="AY372" s="1350"/>
      <c r="AZ372" s="1350"/>
      <c r="BA372" s="1070"/>
      <c r="BB372" s="1070"/>
      <c r="BC372" s="1070"/>
      <c r="BD372" s="1070"/>
      <c r="BE372" s="1070"/>
      <c r="BF372" s="1070"/>
      <c r="BG372" s="1070"/>
      <c r="BH372" s="1070"/>
      <c r="BI372" s="1070"/>
      <c r="BJ372" s="1070"/>
      <c r="BK372" s="1070"/>
      <c r="BL372" s="1070"/>
      <c r="BM372" s="1070"/>
      <c r="BN372" s="1070"/>
      <c r="BO372" s="1070"/>
      <c r="BP372" s="1070"/>
      <c r="BQ372" s="1070"/>
      <c r="BR372" s="1070"/>
      <c r="BS372" s="1070"/>
      <c r="BT372" s="1070"/>
      <c r="BU372" s="1070"/>
      <c r="BV372" s="1070"/>
      <c r="BW372" s="1070"/>
      <c r="BX372" s="1070"/>
      <c r="BY372" s="1070"/>
      <c r="BZ372" s="1070"/>
      <c r="CA372" s="1070"/>
      <c r="CB372" s="1070"/>
      <c r="CC372" s="1070"/>
      <c r="CD372" s="1070"/>
      <c r="CE372" s="1070"/>
      <c r="CF372" s="1070"/>
      <c r="CG372" s="1070"/>
      <c r="CH372" s="1070"/>
      <c r="CI372" s="1070"/>
      <c r="CJ372" s="1070"/>
      <c r="CK372" s="1070"/>
      <c r="CL372" s="1070"/>
      <c r="CM372" s="1070"/>
      <c r="CN372" s="1070"/>
      <c r="CO372" s="1070"/>
      <c r="CP372" s="1070"/>
      <c r="CQ372" s="1070"/>
      <c r="CR372" s="1070"/>
      <c r="CS372" s="1070"/>
      <c r="CT372" s="1070"/>
      <c r="CU372" s="1070"/>
      <c r="CV372" s="1070"/>
      <c r="CW372" s="1070"/>
      <c r="CX372" s="1070"/>
      <c r="CY372" s="1070"/>
      <c r="CZ372" s="1070"/>
      <c r="DA372" s="1070"/>
      <c r="DB372" s="1070"/>
      <c r="DC372" s="1070"/>
      <c r="DD372" s="1070"/>
      <c r="DE372" s="1070"/>
      <c r="DF372" s="1070"/>
      <c r="DG372" s="1070"/>
      <c r="DH372" s="1070"/>
      <c r="DI372" s="1070"/>
    </row>
    <row r="373" spans="1:113" ht="15.75" x14ac:dyDescent="0.25">
      <c r="A373" s="1420" t="s">
        <v>424</v>
      </c>
      <c r="B373" s="1439" t="e">
        <f>((B344/B308+1)-3)*B346</f>
        <v>#DIV/0!</v>
      </c>
      <c r="C373" s="1437"/>
      <c r="D373" s="1437"/>
      <c r="E373" s="1437"/>
      <c r="F373" s="1437"/>
      <c r="G373" s="1437"/>
      <c r="H373" s="1350"/>
      <c r="I373" s="1350"/>
      <c r="J373" s="1350"/>
      <c r="K373" s="1350"/>
      <c r="L373" s="1070"/>
      <c r="M373" s="1070"/>
      <c r="N373" s="1070"/>
      <c r="O373" s="1070"/>
      <c r="P373" s="1070"/>
      <c r="Q373" s="1070"/>
      <c r="R373" s="1070"/>
      <c r="S373" s="1070"/>
      <c r="T373" s="1070"/>
      <c r="U373" s="1070"/>
      <c r="V373" s="1070"/>
      <c r="W373" s="1070"/>
      <c r="X373" s="1070"/>
      <c r="Y373" s="1070"/>
      <c r="Z373" s="1070"/>
      <c r="AA373" s="1070"/>
      <c r="AB373" s="1070"/>
      <c r="AC373" s="1070"/>
      <c r="AD373" s="1070"/>
      <c r="AE373" s="1070"/>
      <c r="AF373" s="1070"/>
      <c r="AG373" s="1070"/>
      <c r="AH373" s="1070"/>
      <c r="AI373" s="1070"/>
      <c r="AJ373" s="1070"/>
      <c r="AK373" s="1070"/>
      <c r="AL373" s="1070"/>
      <c r="AM373" s="1070"/>
      <c r="AN373" s="1070"/>
      <c r="AO373" s="1070"/>
      <c r="AP373" s="1070"/>
      <c r="AQ373" s="1070"/>
      <c r="AR373" s="1070"/>
      <c r="AS373" s="1070"/>
      <c r="AT373" s="1070"/>
      <c r="AU373" s="1350"/>
      <c r="AV373" s="1350"/>
      <c r="AW373" s="1350"/>
      <c r="AX373" s="1350"/>
      <c r="AY373" s="1350"/>
      <c r="AZ373" s="1350"/>
      <c r="BA373" s="1070"/>
      <c r="BB373" s="1070"/>
      <c r="BC373" s="1070"/>
      <c r="BD373" s="1070"/>
      <c r="BE373" s="1070"/>
      <c r="BF373" s="1070"/>
      <c r="BG373" s="1070"/>
      <c r="BH373" s="1070"/>
      <c r="BI373" s="1070"/>
      <c r="BJ373" s="1070"/>
      <c r="BK373" s="1070"/>
      <c r="BL373" s="1070"/>
      <c r="BM373" s="1070"/>
      <c r="BN373" s="1070"/>
      <c r="BO373" s="1070"/>
      <c r="BP373" s="1070"/>
      <c r="BQ373" s="1070"/>
      <c r="BR373" s="1070"/>
      <c r="BS373" s="1070"/>
      <c r="BT373" s="1070"/>
      <c r="BU373" s="1070"/>
      <c r="BV373" s="1070"/>
      <c r="BW373" s="1070"/>
      <c r="BX373" s="1070"/>
      <c r="BY373" s="1070"/>
      <c r="BZ373" s="1070"/>
      <c r="CA373" s="1070"/>
      <c r="CB373" s="1070"/>
      <c r="CC373" s="1070"/>
      <c r="CD373" s="1070"/>
      <c r="CE373" s="1070"/>
      <c r="CF373" s="1070"/>
      <c r="CG373" s="1070"/>
      <c r="CH373" s="1070"/>
      <c r="CI373" s="1070"/>
      <c r="CJ373" s="1070"/>
      <c r="CK373" s="1070"/>
      <c r="CL373" s="1070"/>
      <c r="CM373" s="1070"/>
      <c r="CN373" s="1070"/>
      <c r="CO373" s="1070"/>
      <c r="CP373" s="1070"/>
      <c r="CQ373" s="1070"/>
      <c r="CR373" s="1070"/>
      <c r="CS373" s="1070"/>
      <c r="CT373" s="1070"/>
      <c r="CU373" s="1070"/>
      <c r="CV373" s="1070"/>
      <c r="CW373" s="1070"/>
      <c r="CX373" s="1070"/>
      <c r="CY373" s="1070"/>
      <c r="CZ373" s="1070"/>
      <c r="DA373" s="1070"/>
      <c r="DB373" s="1070"/>
      <c r="DC373" s="1070"/>
      <c r="DD373" s="1070"/>
      <c r="DE373" s="1070"/>
      <c r="DF373" s="1070"/>
      <c r="DG373" s="1070"/>
      <c r="DH373" s="1070"/>
      <c r="DI373" s="1070"/>
    </row>
    <row r="374" spans="1:113" ht="15.75" x14ac:dyDescent="0.25">
      <c r="A374" s="1420" t="s">
        <v>425</v>
      </c>
      <c r="B374" s="1424" t="e">
        <f>INDEX($U$1475:$X$1484,B375,B376)</f>
        <v>#VALUE!</v>
      </c>
      <c r="C374" s="1440"/>
      <c r="D374" s="1440"/>
      <c r="E374" s="1440"/>
      <c r="F374" s="1440"/>
      <c r="G374" s="1440"/>
      <c r="H374" s="1350"/>
      <c r="I374" s="1350"/>
      <c r="J374" s="1350"/>
      <c r="K374" s="1350"/>
      <c r="L374" s="1070"/>
      <c r="M374" s="1070"/>
      <c r="N374" s="1070"/>
      <c r="O374" s="1070"/>
      <c r="P374" s="1070"/>
      <c r="Q374" s="1070"/>
      <c r="R374" s="1070"/>
      <c r="S374" s="1070"/>
      <c r="T374" s="1070"/>
      <c r="U374" s="1070"/>
      <c r="V374" s="1070"/>
      <c r="W374" s="1070"/>
      <c r="X374" s="1070"/>
      <c r="Y374" s="1070"/>
      <c r="Z374" s="1070"/>
      <c r="AA374" s="1070"/>
      <c r="AB374" s="1070"/>
      <c r="AC374" s="1070"/>
      <c r="AD374" s="1070"/>
      <c r="AE374" s="1070"/>
      <c r="AF374" s="1070"/>
      <c r="AG374" s="1070"/>
      <c r="AH374" s="1070"/>
      <c r="AI374" s="1070"/>
      <c r="AJ374" s="1070"/>
      <c r="AK374" s="1070"/>
      <c r="AL374" s="1070"/>
      <c r="AM374" s="1070"/>
      <c r="AN374" s="1070"/>
      <c r="AO374" s="1070"/>
      <c r="AP374" s="1070"/>
      <c r="AQ374" s="1070"/>
      <c r="AR374" s="1070"/>
      <c r="AS374" s="1070"/>
      <c r="AT374" s="1070"/>
      <c r="AU374" s="1350"/>
      <c r="AV374" s="1350"/>
      <c r="AW374" s="1350"/>
      <c r="AX374" s="1350"/>
      <c r="AY374" s="1350"/>
      <c r="AZ374" s="1350"/>
      <c r="BA374" s="1070"/>
      <c r="BB374" s="1070"/>
      <c r="BC374" s="1070"/>
      <c r="BD374" s="1070"/>
      <c r="BE374" s="1070"/>
      <c r="BF374" s="1070"/>
      <c r="BG374" s="1070"/>
      <c r="BH374" s="1070"/>
      <c r="BI374" s="1070"/>
      <c r="BJ374" s="1070"/>
      <c r="BK374" s="1070"/>
      <c r="BL374" s="1070"/>
      <c r="BM374" s="1070"/>
      <c r="BN374" s="1070"/>
      <c r="BO374" s="1070"/>
      <c r="BP374" s="1070"/>
      <c r="BQ374" s="1070"/>
      <c r="BR374" s="1070"/>
      <c r="BS374" s="1070"/>
      <c r="BT374" s="1070"/>
      <c r="BU374" s="1070"/>
      <c r="BV374" s="1070"/>
      <c r="BW374" s="1070"/>
      <c r="BX374" s="1070"/>
      <c r="BY374" s="1070"/>
      <c r="BZ374" s="1070"/>
      <c r="CA374" s="1070"/>
      <c r="CB374" s="1070"/>
      <c r="CC374" s="1070"/>
      <c r="CD374" s="1070"/>
      <c r="CE374" s="1070"/>
      <c r="CF374" s="1070"/>
      <c r="CG374" s="1070"/>
      <c r="CH374" s="1070"/>
      <c r="CI374" s="1070"/>
      <c r="CJ374" s="1070"/>
      <c r="CK374" s="1070"/>
      <c r="CL374" s="1070"/>
      <c r="CM374" s="1070"/>
      <c r="CN374" s="1070"/>
      <c r="CO374" s="1070"/>
      <c r="CP374" s="1070"/>
      <c r="CQ374" s="1070"/>
      <c r="CR374" s="1070"/>
      <c r="CS374" s="1070"/>
      <c r="CT374" s="1070"/>
      <c r="CU374" s="1070"/>
      <c r="CV374" s="1070"/>
      <c r="CW374" s="1070"/>
      <c r="CX374" s="1070"/>
      <c r="CY374" s="1070"/>
      <c r="CZ374" s="1070"/>
      <c r="DA374" s="1070"/>
      <c r="DB374" s="1070"/>
      <c r="DC374" s="1070"/>
      <c r="DD374" s="1070"/>
      <c r="DE374" s="1070"/>
      <c r="DF374" s="1070"/>
      <c r="DG374" s="1070"/>
      <c r="DH374" s="1070"/>
      <c r="DI374" s="1070"/>
    </row>
    <row r="375" spans="1:113" ht="15.75" x14ac:dyDescent="0.25">
      <c r="A375" s="1420" t="s">
        <v>426</v>
      </c>
      <c r="B375" s="1441" t="e">
        <f>B358</f>
        <v>#VALUE!</v>
      </c>
      <c r="C375" s="1437"/>
      <c r="D375" s="1437"/>
      <c r="E375" s="1437"/>
      <c r="F375" s="1437"/>
      <c r="G375" s="1437"/>
      <c r="H375" s="1350"/>
      <c r="I375" s="1350"/>
      <c r="J375" s="1350"/>
      <c r="K375" s="1350"/>
      <c r="L375" s="1070"/>
      <c r="M375" s="1070"/>
      <c r="N375" s="1070"/>
      <c r="O375" s="1070"/>
      <c r="P375" s="1070"/>
      <c r="Q375" s="1070"/>
      <c r="R375" s="1070"/>
      <c r="S375" s="1070"/>
      <c r="T375" s="1070"/>
      <c r="U375" s="1070"/>
      <c r="V375" s="1070"/>
      <c r="W375" s="1070"/>
      <c r="X375" s="1070"/>
      <c r="Y375" s="1070"/>
      <c r="Z375" s="1070"/>
      <c r="AA375" s="1070"/>
      <c r="AB375" s="1070"/>
      <c r="AC375" s="1070"/>
      <c r="AD375" s="1070"/>
      <c r="AE375" s="1070"/>
      <c r="AF375" s="1070"/>
      <c r="AG375" s="1070"/>
      <c r="AH375" s="1070"/>
      <c r="AI375" s="1070"/>
      <c r="AJ375" s="1070"/>
      <c r="AK375" s="1070"/>
      <c r="AL375" s="1070"/>
      <c r="AM375" s="1070"/>
      <c r="AN375" s="1070"/>
      <c r="AO375" s="1070"/>
      <c r="AP375" s="1070"/>
      <c r="AQ375" s="1070"/>
      <c r="AR375" s="1070"/>
      <c r="AS375" s="1070"/>
      <c r="AT375" s="1070"/>
      <c r="AU375" s="1350"/>
      <c r="AV375" s="1350"/>
      <c r="AW375" s="1350"/>
      <c r="AX375" s="1350"/>
      <c r="AY375" s="1350"/>
      <c r="AZ375" s="1350"/>
      <c r="BA375" s="1070"/>
      <c r="BB375" s="1070"/>
      <c r="BC375" s="1070"/>
      <c r="BD375" s="1070"/>
      <c r="BE375" s="1070"/>
      <c r="BF375" s="1070"/>
      <c r="BG375" s="1070"/>
      <c r="BH375" s="1070"/>
      <c r="BI375" s="1070"/>
      <c r="BJ375" s="1070"/>
      <c r="BK375" s="1070"/>
      <c r="BL375" s="1070"/>
      <c r="BM375" s="1070"/>
      <c r="BN375" s="1070"/>
      <c r="BO375" s="1070"/>
      <c r="BP375" s="1070"/>
      <c r="BQ375" s="1070"/>
      <c r="BR375" s="1070"/>
      <c r="BS375" s="1070"/>
      <c r="BT375" s="1070"/>
      <c r="BU375" s="1070"/>
      <c r="BV375" s="1070"/>
      <c r="BW375" s="1070"/>
      <c r="BX375" s="1070"/>
      <c r="BY375" s="1070"/>
      <c r="BZ375" s="1070"/>
      <c r="CA375" s="1070"/>
      <c r="CB375" s="1070"/>
      <c r="CC375" s="1070"/>
      <c r="CD375" s="1070"/>
      <c r="CE375" s="1070"/>
      <c r="CF375" s="1070"/>
      <c r="CG375" s="1070"/>
      <c r="CH375" s="1070"/>
      <c r="CI375" s="1070"/>
      <c r="CJ375" s="1070"/>
      <c r="CK375" s="1070"/>
      <c r="CL375" s="1070"/>
      <c r="CM375" s="1070"/>
      <c r="CN375" s="1070"/>
      <c r="CO375" s="1070"/>
      <c r="CP375" s="1070"/>
      <c r="CQ375" s="1070"/>
      <c r="CR375" s="1070"/>
      <c r="CS375" s="1070"/>
      <c r="CT375" s="1070"/>
      <c r="CU375" s="1070"/>
      <c r="CV375" s="1070"/>
      <c r="CW375" s="1070"/>
      <c r="CX375" s="1070"/>
      <c r="CY375" s="1070"/>
      <c r="CZ375" s="1070"/>
      <c r="DA375" s="1070"/>
      <c r="DB375" s="1070"/>
      <c r="DC375" s="1070"/>
      <c r="DD375" s="1070"/>
      <c r="DE375" s="1070"/>
      <c r="DF375" s="1070"/>
      <c r="DG375" s="1070"/>
      <c r="DH375" s="1070"/>
      <c r="DI375" s="1070"/>
    </row>
    <row r="376" spans="1:113" ht="15.75" x14ac:dyDescent="0.25">
      <c r="A376" s="1420" t="s">
        <v>427</v>
      </c>
      <c r="B376" s="1441">
        <v>1</v>
      </c>
      <c r="C376" s="1432"/>
      <c r="D376" s="1432"/>
      <c r="E376" s="1432"/>
      <c r="F376" s="1432"/>
      <c r="G376" s="1432"/>
      <c r="H376" s="1350"/>
      <c r="I376" s="1350"/>
      <c r="J376" s="1350"/>
      <c r="K376" s="1350"/>
      <c r="L376" s="1070"/>
      <c r="M376" s="1070"/>
      <c r="N376" s="1070"/>
      <c r="O376" s="1070"/>
      <c r="P376" s="1070"/>
      <c r="Q376" s="1070"/>
      <c r="R376" s="1070"/>
      <c r="S376" s="1070"/>
      <c r="T376" s="1070"/>
      <c r="U376" s="1070"/>
      <c r="V376" s="1070"/>
      <c r="W376" s="1070"/>
      <c r="X376" s="1070"/>
      <c r="Y376" s="1070"/>
      <c r="Z376" s="1070"/>
      <c r="AA376" s="1070"/>
      <c r="AB376" s="1070"/>
      <c r="AC376" s="1070"/>
      <c r="AD376" s="1070"/>
      <c r="AE376" s="1070"/>
      <c r="AF376" s="1070"/>
      <c r="AG376" s="1070"/>
      <c r="AH376" s="1070"/>
      <c r="AI376" s="1070"/>
      <c r="AJ376" s="1070"/>
      <c r="AK376" s="1070"/>
      <c r="AL376" s="1070"/>
      <c r="AM376" s="1070"/>
      <c r="AN376" s="1070"/>
      <c r="AO376" s="1070"/>
      <c r="AP376" s="1070"/>
      <c r="AQ376" s="1070"/>
      <c r="AR376" s="1070"/>
      <c r="AS376" s="1070"/>
      <c r="AT376" s="1070"/>
      <c r="AU376" s="1350"/>
      <c r="AV376" s="1350"/>
      <c r="AW376" s="1350"/>
      <c r="AX376" s="1350"/>
      <c r="AY376" s="1350"/>
      <c r="AZ376" s="1350"/>
      <c r="BA376" s="1070"/>
      <c r="BB376" s="1070"/>
      <c r="BC376" s="1070"/>
      <c r="BD376" s="1070"/>
      <c r="BE376" s="1070"/>
      <c r="BF376" s="1070"/>
      <c r="BG376" s="1070"/>
      <c r="BH376" s="1070"/>
      <c r="BI376" s="1070"/>
      <c r="BJ376" s="1070"/>
      <c r="BK376" s="1070"/>
      <c r="BL376" s="1070"/>
      <c r="BM376" s="1070"/>
      <c r="BN376" s="1070"/>
      <c r="BO376" s="1070"/>
      <c r="BP376" s="1070"/>
      <c r="BQ376" s="1070"/>
      <c r="BR376" s="1070"/>
      <c r="BS376" s="1070"/>
      <c r="BT376" s="1070"/>
      <c r="BU376" s="1070"/>
      <c r="BV376" s="1070"/>
      <c r="BW376" s="1070"/>
      <c r="BX376" s="1070"/>
      <c r="BY376" s="1070"/>
      <c r="BZ376" s="1070"/>
      <c r="CA376" s="1070"/>
      <c r="CB376" s="1070"/>
      <c r="CC376" s="1070"/>
      <c r="CD376" s="1070"/>
      <c r="CE376" s="1070"/>
      <c r="CF376" s="1070"/>
      <c r="CG376" s="1070"/>
      <c r="CH376" s="1070"/>
      <c r="CI376" s="1070"/>
      <c r="CJ376" s="1070"/>
      <c r="CK376" s="1070"/>
      <c r="CL376" s="1070"/>
      <c r="CM376" s="1070"/>
      <c r="CN376" s="1070"/>
      <c r="CO376" s="1070"/>
      <c r="CP376" s="1070"/>
      <c r="CQ376" s="1070"/>
      <c r="CR376" s="1070"/>
      <c r="CS376" s="1070"/>
      <c r="CT376" s="1070"/>
      <c r="CU376" s="1070"/>
      <c r="CV376" s="1070"/>
      <c r="CW376" s="1070"/>
      <c r="CX376" s="1070"/>
      <c r="CY376" s="1070"/>
      <c r="CZ376" s="1070"/>
      <c r="DA376" s="1070"/>
      <c r="DB376" s="1070"/>
      <c r="DC376" s="1070"/>
      <c r="DD376" s="1070"/>
      <c r="DE376" s="1070"/>
      <c r="DF376" s="1070"/>
      <c r="DG376" s="1070"/>
      <c r="DH376" s="1070"/>
      <c r="DI376" s="1070"/>
    </row>
    <row r="377" spans="1:113" ht="15.75" x14ac:dyDescent="0.25">
      <c r="A377" s="1420" t="s">
        <v>428</v>
      </c>
      <c r="B377" s="1439" t="e">
        <f>B362*B363*B364*B365*B367*B368*B341</f>
        <v>#VALUE!</v>
      </c>
      <c r="C377" s="1437"/>
      <c r="D377" s="1350"/>
      <c r="E377" s="1350"/>
      <c r="F377" s="1350"/>
      <c r="G377" s="1350"/>
      <c r="H377" s="1350"/>
      <c r="I377" s="1350"/>
      <c r="J377" s="1350"/>
      <c r="K377" s="1350"/>
      <c r="L377" s="1070"/>
      <c r="M377" s="1070"/>
      <c r="N377" s="1070"/>
      <c r="O377" s="1070"/>
      <c r="P377" s="1070"/>
      <c r="Q377" s="1070"/>
      <c r="R377" s="1070"/>
      <c r="S377" s="1070"/>
      <c r="T377" s="1070"/>
      <c r="U377" s="1070"/>
      <c r="V377" s="1070"/>
      <c r="W377" s="1070"/>
      <c r="X377" s="1070"/>
      <c r="Y377" s="1070"/>
      <c r="Z377" s="1070"/>
      <c r="AA377" s="1070"/>
      <c r="AB377" s="1070"/>
      <c r="AC377" s="1070"/>
      <c r="AD377" s="1070"/>
      <c r="AE377" s="1070"/>
      <c r="AF377" s="1070"/>
      <c r="AG377" s="1070"/>
      <c r="AH377" s="1070"/>
      <c r="AI377" s="1070"/>
      <c r="AJ377" s="1070"/>
      <c r="AK377" s="1070"/>
      <c r="AL377" s="1070"/>
      <c r="AM377" s="1070"/>
      <c r="AN377" s="1070"/>
      <c r="AO377" s="1070"/>
      <c r="AP377" s="1070"/>
      <c r="AQ377" s="1070"/>
      <c r="AR377" s="1070"/>
      <c r="AS377" s="1070"/>
      <c r="AT377" s="1070"/>
      <c r="AU377" s="1350"/>
      <c r="AV377" s="1350"/>
      <c r="AW377" s="1350"/>
      <c r="AX377" s="1350"/>
      <c r="AY377" s="1350"/>
      <c r="AZ377" s="1350"/>
      <c r="BA377" s="1070"/>
      <c r="BB377" s="1070"/>
      <c r="BC377" s="1070"/>
      <c r="BD377" s="1070"/>
      <c r="BE377" s="1070"/>
      <c r="BF377" s="1070"/>
      <c r="BG377" s="1070"/>
      <c r="BH377" s="1070"/>
      <c r="BI377" s="1070"/>
      <c r="BJ377" s="1070"/>
      <c r="BK377" s="1070"/>
      <c r="BL377" s="1070"/>
      <c r="BM377" s="1070"/>
      <c r="BN377" s="1070"/>
      <c r="BO377" s="1070"/>
      <c r="BP377" s="1070"/>
      <c r="BQ377" s="1070"/>
      <c r="BR377" s="1070"/>
      <c r="BS377" s="1070"/>
      <c r="BT377" s="1070"/>
      <c r="BU377" s="1070"/>
      <c r="BV377" s="1070"/>
      <c r="BW377" s="1070"/>
      <c r="BX377" s="1070"/>
      <c r="BY377" s="1070"/>
      <c r="BZ377" s="1070"/>
      <c r="CA377" s="1070"/>
      <c r="CB377" s="1070"/>
      <c r="CC377" s="1070"/>
      <c r="CD377" s="1070"/>
      <c r="CE377" s="1070"/>
      <c r="CF377" s="1070"/>
      <c r="CG377" s="1070"/>
      <c r="CH377" s="1070"/>
      <c r="CI377" s="1070"/>
      <c r="CJ377" s="1070"/>
      <c r="CK377" s="1070"/>
      <c r="CL377" s="1070"/>
      <c r="CM377" s="1070"/>
      <c r="CN377" s="1070"/>
      <c r="CO377" s="1070"/>
      <c r="CP377" s="1070"/>
      <c r="CQ377" s="1070"/>
      <c r="CR377" s="1070"/>
      <c r="CS377" s="1070"/>
      <c r="CT377" s="1070"/>
      <c r="CU377" s="1070"/>
      <c r="CV377" s="1070"/>
      <c r="CW377" s="1070"/>
      <c r="CX377" s="1070"/>
      <c r="CY377" s="1070"/>
      <c r="CZ377" s="1070"/>
      <c r="DA377" s="1070"/>
      <c r="DB377" s="1070"/>
      <c r="DC377" s="1070"/>
      <c r="DD377" s="1070"/>
      <c r="DE377" s="1070"/>
      <c r="DF377" s="1070"/>
      <c r="DG377" s="1070"/>
      <c r="DH377" s="1070"/>
      <c r="DI377" s="1070"/>
    </row>
    <row r="378" spans="1:113" ht="15.75" x14ac:dyDescent="0.25">
      <c r="A378" s="1420" t="s">
        <v>3412</v>
      </c>
      <c r="B378" s="1439" t="e">
        <f>B374*B377</f>
        <v>#VALUE!</v>
      </c>
      <c r="C378" s="1437"/>
      <c r="D378" s="1350"/>
      <c r="E378" s="1350"/>
      <c r="F378" s="1350"/>
      <c r="G378" s="1350"/>
      <c r="H378" s="1350"/>
      <c r="I378" s="1350"/>
      <c r="J378" s="1350"/>
      <c r="K378" s="1350"/>
      <c r="L378" s="1070"/>
      <c r="M378" s="1070"/>
      <c r="N378" s="1070"/>
      <c r="O378" s="1070"/>
      <c r="P378" s="1070"/>
      <c r="Q378" s="1070"/>
      <c r="R378" s="1070"/>
      <c r="S378" s="1070"/>
      <c r="T378" s="1070"/>
      <c r="U378" s="1070"/>
      <c r="V378" s="1070"/>
      <c r="W378" s="1070"/>
      <c r="X378" s="1070"/>
      <c r="Y378" s="1070"/>
      <c r="Z378" s="1070"/>
      <c r="AA378" s="1070"/>
      <c r="AB378" s="1070"/>
      <c r="AC378" s="1070"/>
      <c r="AD378" s="1070"/>
      <c r="AE378" s="1070"/>
      <c r="AF378" s="1070"/>
      <c r="AG378" s="1070"/>
      <c r="AH378" s="1070"/>
      <c r="AI378" s="1070"/>
      <c r="AJ378" s="1070"/>
      <c r="AK378" s="1070"/>
      <c r="AL378" s="1070"/>
      <c r="AM378" s="1070"/>
      <c r="AN378" s="1070"/>
      <c r="AO378" s="1070"/>
      <c r="AP378" s="1070"/>
      <c r="AQ378" s="1070"/>
      <c r="AR378" s="1070"/>
      <c r="AS378" s="1070"/>
      <c r="AT378" s="1070"/>
      <c r="AU378" s="1350"/>
      <c r="AV378" s="1350"/>
      <c r="AW378" s="1350"/>
      <c r="AX378" s="1350"/>
      <c r="AY378" s="1350"/>
      <c r="AZ378" s="1350"/>
      <c r="BA378" s="1070"/>
      <c r="BB378" s="1070"/>
      <c r="BC378" s="1070"/>
      <c r="BD378" s="1070"/>
      <c r="BE378" s="1070"/>
      <c r="BF378" s="1070"/>
      <c r="BG378" s="1070"/>
      <c r="BH378" s="1070"/>
      <c r="BI378" s="1070"/>
      <c r="BJ378" s="1070"/>
      <c r="BK378" s="1070"/>
      <c r="BL378" s="1070"/>
      <c r="BM378" s="1070"/>
      <c r="BN378" s="1070"/>
      <c r="BO378" s="1070"/>
      <c r="BP378" s="1070"/>
      <c r="BQ378" s="1070"/>
      <c r="BR378" s="1070"/>
      <c r="BS378" s="1070"/>
      <c r="BT378" s="1070"/>
      <c r="BU378" s="1070"/>
      <c r="BV378" s="1070"/>
      <c r="BW378" s="1070"/>
      <c r="BX378" s="1070"/>
      <c r="BY378" s="1070"/>
      <c r="BZ378" s="1070"/>
      <c r="CA378" s="1070"/>
      <c r="CB378" s="1070"/>
      <c r="CC378" s="1070"/>
      <c r="CD378" s="1070"/>
      <c r="CE378" s="1070"/>
      <c r="CF378" s="1070"/>
      <c r="CG378" s="1070"/>
      <c r="CH378" s="1070"/>
      <c r="CI378" s="1070"/>
      <c r="CJ378" s="1070"/>
      <c r="CK378" s="1070"/>
      <c r="CL378" s="1070"/>
      <c r="CM378" s="1070"/>
      <c r="CN378" s="1070"/>
      <c r="CO378" s="1070"/>
      <c r="CP378" s="1070"/>
      <c r="CQ378" s="1070"/>
      <c r="CR378" s="1070"/>
      <c r="CS378" s="1070"/>
      <c r="CT378" s="1070"/>
      <c r="CU378" s="1070"/>
      <c r="CV378" s="1070"/>
      <c r="CW378" s="1070"/>
      <c r="CX378" s="1070"/>
      <c r="CY378" s="1070"/>
      <c r="CZ378" s="1070"/>
      <c r="DA378" s="1070"/>
      <c r="DB378" s="1070"/>
      <c r="DC378" s="1070"/>
      <c r="DD378" s="1070"/>
      <c r="DE378" s="1070"/>
      <c r="DF378" s="1070"/>
      <c r="DG378" s="1070"/>
      <c r="DH378" s="1070"/>
      <c r="DI378" s="1070"/>
    </row>
    <row r="379" spans="1:113" ht="15.75" x14ac:dyDescent="0.25">
      <c r="A379" s="1422" t="s">
        <v>429</v>
      </c>
      <c r="B379" s="1439" t="e">
        <f>B373/B378</f>
        <v>#DIV/0!</v>
      </c>
      <c r="C379" s="1432"/>
      <c r="D379" s="1432"/>
      <c r="E379" s="1432"/>
      <c r="F379" s="1432"/>
      <c r="G379" s="1432"/>
      <c r="H379" s="1350"/>
      <c r="I379" s="1350"/>
      <c r="J379" s="1350"/>
      <c r="K379" s="1350"/>
      <c r="L379" s="1070"/>
      <c r="M379" s="1070"/>
      <c r="N379" s="1070"/>
      <c r="O379" s="1070"/>
      <c r="P379" s="1070"/>
      <c r="Q379" s="1070"/>
      <c r="R379" s="1070"/>
      <c r="S379" s="1070"/>
      <c r="T379" s="1070"/>
      <c r="U379" s="1070"/>
      <c r="V379" s="1070"/>
      <c r="W379" s="1070"/>
      <c r="X379" s="1070"/>
      <c r="Y379" s="1070"/>
      <c r="Z379" s="1070"/>
      <c r="AA379" s="1070"/>
      <c r="AB379" s="1070"/>
      <c r="AC379" s="1070"/>
      <c r="AD379" s="1070"/>
      <c r="AE379" s="1070"/>
      <c r="AF379" s="1070"/>
      <c r="AG379" s="1070"/>
      <c r="AH379" s="1070"/>
      <c r="AI379" s="1070"/>
      <c r="AJ379" s="1070"/>
      <c r="AK379" s="1070"/>
      <c r="AL379" s="1070"/>
      <c r="AM379" s="1070"/>
      <c r="AN379" s="1070"/>
      <c r="AO379" s="1070"/>
      <c r="AP379" s="1070"/>
      <c r="AQ379" s="1070"/>
      <c r="AR379" s="1070"/>
      <c r="AS379" s="1070"/>
      <c r="AT379" s="1070"/>
      <c r="AU379" s="1350"/>
      <c r="AV379" s="1350"/>
      <c r="AW379" s="1350"/>
      <c r="AX379" s="1350"/>
      <c r="AY379" s="1350"/>
      <c r="AZ379" s="1350"/>
      <c r="BA379" s="1070"/>
      <c r="BB379" s="1070"/>
      <c r="BC379" s="1070"/>
      <c r="BD379" s="1070"/>
      <c r="BE379" s="1070"/>
      <c r="BF379" s="1070"/>
      <c r="BG379" s="1070"/>
      <c r="BH379" s="1070"/>
      <c r="BI379" s="1070"/>
      <c r="BJ379" s="1070"/>
      <c r="BK379" s="1070"/>
      <c r="BL379" s="1070"/>
      <c r="BM379" s="1070"/>
      <c r="BN379" s="1070"/>
      <c r="BO379" s="1070"/>
      <c r="BP379" s="1070"/>
      <c r="BQ379" s="1070"/>
      <c r="BR379" s="1070"/>
      <c r="BS379" s="1070"/>
      <c r="BT379" s="1070"/>
      <c r="BU379" s="1070"/>
      <c r="BV379" s="1070"/>
      <c r="BW379" s="1070"/>
      <c r="BX379" s="1070"/>
      <c r="BY379" s="1070"/>
      <c r="BZ379" s="1070"/>
      <c r="CA379" s="1070"/>
      <c r="CB379" s="1070"/>
      <c r="CC379" s="1070"/>
      <c r="CD379" s="1070"/>
      <c r="CE379" s="1070"/>
      <c r="CF379" s="1070"/>
      <c r="CG379" s="1070"/>
      <c r="CH379" s="1070"/>
      <c r="CI379" s="1070"/>
      <c r="CJ379" s="1070"/>
      <c r="CK379" s="1070"/>
      <c r="CL379" s="1070"/>
      <c r="CM379" s="1070"/>
      <c r="CN379" s="1070"/>
      <c r="CO379" s="1070"/>
      <c r="CP379" s="1070"/>
      <c r="CQ379" s="1070"/>
      <c r="CR379" s="1070"/>
      <c r="CS379" s="1070"/>
      <c r="CT379" s="1070"/>
      <c r="CU379" s="1070"/>
      <c r="CV379" s="1070"/>
      <c r="CW379" s="1070"/>
      <c r="CX379" s="1070"/>
      <c r="CY379" s="1070"/>
      <c r="CZ379" s="1070"/>
      <c r="DA379" s="1070"/>
      <c r="DB379" s="1070"/>
      <c r="DC379" s="1070"/>
      <c r="DD379" s="1070"/>
      <c r="DE379" s="1070"/>
      <c r="DF379" s="1070"/>
      <c r="DG379" s="1070"/>
      <c r="DH379" s="1070"/>
      <c r="DI379" s="1070"/>
    </row>
    <row r="380" spans="1:113" ht="47.25" x14ac:dyDescent="0.25">
      <c r="A380" s="1438" t="s">
        <v>3389</v>
      </c>
      <c r="B380" s="1421"/>
      <c r="C380" s="1429"/>
      <c r="D380" s="1429"/>
      <c r="E380" s="1429"/>
      <c r="F380" s="1429"/>
      <c r="G380" s="1429"/>
      <c r="H380" s="1350"/>
      <c r="I380" s="1350"/>
      <c r="J380" s="1350"/>
      <c r="K380" s="1350"/>
      <c r="L380" s="1070"/>
      <c r="M380" s="1070"/>
      <c r="N380" s="1070"/>
      <c r="O380" s="1070"/>
      <c r="P380" s="1070"/>
      <c r="Q380" s="1070"/>
      <c r="R380" s="1070"/>
      <c r="S380" s="1070"/>
      <c r="T380" s="1070"/>
      <c r="U380" s="1070"/>
      <c r="V380" s="1070"/>
      <c r="W380" s="1070"/>
      <c r="X380" s="1070"/>
      <c r="Y380" s="1070"/>
      <c r="Z380" s="1070"/>
      <c r="AA380" s="1070"/>
      <c r="AB380" s="1070"/>
      <c r="AC380" s="1070"/>
      <c r="AD380" s="1070"/>
      <c r="AE380" s="1070"/>
      <c r="AF380" s="1070"/>
      <c r="AG380" s="1070"/>
      <c r="AH380" s="1070"/>
      <c r="AI380" s="1070"/>
      <c r="AJ380" s="1070"/>
      <c r="AK380" s="1070"/>
      <c r="AL380" s="1070"/>
      <c r="AM380" s="1070"/>
      <c r="AN380" s="1070"/>
      <c r="AO380" s="1070"/>
      <c r="AP380" s="1070"/>
      <c r="AQ380" s="1070"/>
      <c r="AR380" s="1070"/>
      <c r="AS380" s="1070"/>
      <c r="AT380" s="1070"/>
      <c r="AU380" s="1350"/>
      <c r="AV380" s="1350"/>
      <c r="AW380" s="1350"/>
      <c r="AX380" s="1350"/>
      <c r="AY380" s="1350"/>
      <c r="AZ380" s="1350"/>
      <c r="BA380" s="1070"/>
      <c r="BB380" s="1070"/>
      <c r="BC380" s="1070"/>
      <c r="BD380" s="1070"/>
      <c r="BE380" s="1070"/>
      <c r="BF380" s="1070"/>
      <c r="BG380" s="1070"/>
      <c r="BH380" s="1070"/>
      <c r="BI380" s="1070"/>
      <c r="BJ380" s="1070"/>
      <c r="BK380" s="1070"/>
      <c r="BL380" s="1070"/>
      <c r="BM380" s="1070"/>
      <c r="BN380" s="1070"/>
      <c r="BO380" s="1070"/>
      <c r="BP380" s="1070"/>
      <c r="BQ380" s="1070"/>
      <c r="BR380" s="1070"/>
      <c r="BS380" s="1070"/>
      <c r="BT380" s="1070"/>
      <c r="BU380" s="1070"/>
      <c r="BV380" s="1070"/>
      <c r="BW380" s="1070"/>
      <c r="BX380" s="1070"/>
      <c r="BY380" s="1070"/>
      <c r="BZ380" s="1070"/>
      <c r="CA380" s="1070"/>
      <c r="CB380" s="1070"/>
      <c r="CC380" s="1070"/>
      <c r="CD380" s="1070"/>
      <c r="CE380" s="1070"/>
      <c r="CF380" s="1070"/>
      <c r="CG380" s="1070"/>
      <c r="CH380" s="1070"/>
      <c r="CI380" s="1070"/>
      <c r="CJ380" s="1070"/>
      <c r="CK380" s="1070"/>
      <c r="CL380" s="1070"/>
      <c r="CM380" s="1070"/>
      <c r="CN380" s="1070"/>
      <c r="CO380" s="1070"/>
      <c r="CP380" s="1070"/>
      <c r="CQ380" s="1070"/>
      <c r="CR380" s="1070"/>
      <c r="CS380" s="1070"/>
      <c r="CT380" s="1070"/>
      <c r="CU380" s="1070"/>
      <c r="CV380" s="1070"/>
      <c r="CW380" s="1070"/>
      <c r="CX380" s="1070"/>
      <c r="CY380" s="1070"/>
      <c r="CZ380" s="1070"/>
      <c r="DA380" s="1070"/>
      <c r="DB380" s="1070"/>
      <c r="DC380" s="1070"/>
      <c r="DD380" s="1070"/>
      <c r="DE380" s="1070"/>
      <c r="DF380" s="1070"/>
      <c r="DG380" s="1070"/>
      <c r="DH380" s="1070"/>
      <c r="DI380" s="1070"/>
    </row>
    <row r="381" spans="1:113" ht="15.75" x14ac:dyDescent="0.25">
      <c r="A381" s="1420" t="s">
        <v>424</v>
      </c>
      <c r="B381" s="1439" t="e">
        <f>(B291^2*((B344-B348)/B308+1)/(B344-B348))*B346</f>
        <v>#DIV/0!</v>
      </c>
      <c r="C381" s="1434"/>
      <c r="D381" s="1434"/>
      <c r="E381" s="1434"/>
      <c r="F381" s="1434"/>
      <c r="G381" s="1434"/>
      <c r="H381" s="1350"/>
      <c r="I381" s="1350"/>
      <c r="J381" s="1350"/>
      <c r="K381" s="1350"/>
      <c r="L381" s="1350"/>
      <c r="M381" s="1350"/>
      <c r="N381" s="1350"/>
      <c r="O381" s="1350"/>
      <c r="P381" s="1350"/>
      <c r="Q381" s="1350"/>
      <c r="R381" s="1350"/>
      <c r="S381" s="1350"/>
      <c r="T381" s="1350"/>
      <c r="U381" s="1350"/>
      <c r="V381" s="1350"/>
      <c r="W381" s="1350"/>
      <c r="X381" s="1350"/>
      <c r="Y381" s="1350"/>
      <c r="Z381" s="1350"/>
      <c r="AA381" s="1350"/>
      <c r="AB381" s="1350"/>
      <c r="AC381" s="1350"/>
      <c r="AD381" s="1350"/>
      <c r="AE381" s="1350"/>
      <c r="AF381" s="1350"/>
      <c r="AG381" s="1350"/>
      <c r="AH381" s="1350"/>
      <c r="AI381" s="1350"/>
      <c r="AJ381" s="1350"/>
      <c r="AK381" s="1350"/>
      <c r="AL381" s="1350"/>
      <c r="AM381" s="1350"/>
      <c r="AN381" s="1350"/>
      <c r="AO381" s="1350"/>
      <c r="AP381" s="1350"/>
      <c r="AQ381" s="1350"/>
      <c r="AR381" s="1350"/>
      <c r="AS381" s="1350"/>
      <c r="AT381" s="1350"/>
      <c r="AU381" s="1350"/>
      <c r="AV381" s="1350"/>
      <c r="AW381" s="1350"/>
      <c r="AX381" s="1350"/>
      <c r="AY381" s="1350"/>
      <c r="AZ381" s="1350"/>
      <c r="BA381" s="1070"/>
      <c r="BB381" s="1070"/>
      <c r="BC381" s="1070"/>
      <c r="BD381" s="1070"/>
      <c r="BE381" s="1070"/>
      <c r="BF381" s="1070"/>
      <c r="BG381" s="1070"/>
      <c r="BH381" s="1070"/>
      <c r="BI381" s="1070"/>
      <c r="BJ381" s="1070"/>
      <c r="BK381" s="1070"/>
      <c r="BL381" s="1070"/>
      <c r="BM381" s="1070"/>
      <c r="BN381" s="1070"/>
      <c r="BO381" s="1070"/>
      <c r="BP381" s="1070"/>
      <c r="BQ381" s="1070"/>
      <c r="BR381" s="1070"/>
      <c r="BS381" s="1070"/>
      <c r="BT381" s="1070"/>
      <c r="BU381" s="1070"/>
      <c r="BV381" s="1070"/>
      <c r="BW381" s="1070"/>
      <c r="BX381" s="1070"/>
      <c r="BY381" s="1070"/>
      <c r="BZ381" s="1070"/>
      <c r="CA381" s="1070"/>
      <c r="CB381" s="1070"/>
      <c r="CC381" s="1070"/>
      <c r="CD381" s="1070"/>
      <c r="CE381" s="1070"/>
      <c r="CF381" s="1070"/>
      <c r="CG381" s="1070"/>
      <c r="CH381" s="1070"/>
      <c r="CI381" s="1070"/>
      <c r="CJ381" s="1070"/>
      <c r="CK381" s="1070"/>
      <c r="CL381" s="1070"/>
      <c r="CM381" s="1070"/>
      <c r="CN381" s="1070"/>
      <c r="CO381" s="1070"/>
      <c r="CP381" s="1070"/>
      <c r="CQ381" s="1070"/>
      <c r="CR381" s="1070"/>
      <c r="CS381" s="1070"/>
      <c r="CT381" s="1070"/>
      <c r="CU381" s="1070"/>
      <c r="CV381" s="1070"/>
      <c r="CW381" s="1070"/>
      <c r="CX381" s="1070"/>
      <c r="CY381" s="1070"/>
      <c r="CZ381" s="1070"/>
      <c r="DA381" s="1070"/>
      <c r="DB381" s="1070"/>
      <c r="DC381" s="1070"/>
      <c r="DD381" s="1070"/>
      <c r="DE381" s="1070"/>
      <c r="DF381" s="1070"/>
      <c r="DG381" s="1070"/>
      <c r="DH381" s="1070"/>
      <c r="DI381" s="1070"/>
    </row>
    <row r="382" spans="1:113" ht="15.75" x14ac:dyDescent="0.25">
      <c r="A382" s="1420" t="s">
        <v>3390</v>
      </c>
      <c r="B382" s="1441" t="e">
        <f>IF(B357&lt;23.1,281,IF(B357&lt;29.1,250,IF(B357&lt;36.1,224,IF(B357&lt;45.1,197,IF(B357&lt;55.1,172,IF(B357&lt;65.1,149,128))))))</f>
        <v>#VALUE!</v>
      </c>
      <c r="C382" s="1434"/>
      <c r="D382" s="1434"/>
      <c r="E382" s="1434"/>
      <c r="F382" s="1434"/>
      <c r="G382" s="1434"/>
      <c r="H382" s="1350"/>
      <c r="I382" s="1350"/>
      <c r="J382" s="1350"/>
      <c r="K382" s="1350"/>
      <c r="L382" s="1350"/>
      <c r="M382" s="1350"/>
      <c r="N382" s="1350"/>
      <c r="O382" s="1350"/>
      <c r="P382" s="1350"/>
      <c r="Q382" s="1350"/>
      <c r="R382" s="1350"/>
      <c r="S382" s="1350"/>
      <c r="T382" s="1350"/>
      <c r="U382" s="1350"/>
      <c r="V382" s="1350"/>
      <c r="W382" s="1350"/>
      <c r="X382" s="1350"/>
      <c r="Y382" s="1350"/>
      <c r="Z382" s="1350"/>
      <c r="AA382" s="1350"/>
      <c r="AB382" s="1350"/>
      <c r="AC382" s="1350"/>
      <c r="AD382" s="1350"/>
      <c r="AE382" s="1350"/>
      <c r="AF382" s="1350"/>
      <c r="AG382" s="1350"/>
      <c r="AH382" s="1350"/>
      <c r="AI382" s="1350"/>
      <c r="AJ382" s="1350"/>
      <c r="AK382" s="1350"/>
      <c r="AL382" s="1350"/>
      <c r="AM382" s="1350"/>
      <c r="AN382" s="1350"/>
      <c r="AO382" s="1350"/>
      <c r="AP382" s="1350"/>
      <c r="AQ382" s="1350"/>
      <c r="AR382" s="1350"/>
      <c r="AS382" s="1350"/>
      <c r="AT382" s="1350"/>
      <c r="AU382" s="1350"/>
      <c r="AV382" s="1350"/>
      <c r="AW382" s="1350"/>
      <c r="AX382" s="1350"/>
      <c r="AY382" s="1350"/>
      <c r="AZ382" s="1350"/>
      <c r="BA382" s="1070"/>
      <c r="BB382" s="1070"/>
      <c r="BC382" s="1070"/>
      <c r="BD382" s="1070"/>
      <c r="BE382" s="1070"/>
      <c r="BF382" s="1070"/>
      <c r="BG382" s="1070"/>
      <c r="BH382" s="1070"/>
      <c r="BI382" s="1070"/>
      <c r="BJ382" s="1070"/>
      <c r="BK382" s="1070"/>
      <c r="BL382" s="1070"/>
      <c r="BM382" s="1070"/>
      <c r="BN382" s="1070"/>
      <c r="BO382" s="1070"/>
      <c r="BP382" s="1070"/>
      <c r="BQ382" s="1070"/>
      <c r="BR382" s="1070"/>
      <c r="BS382" s="1070"/>
      <c r="BT382" s="1070"/>
      <c r="BU382" s="1070"/>
      <c r="BV382" s="1070"/>
      <c r="BW382" s="1070"/>
      <c r="BX382" s="1070"/>
      <c r="BY382" s="1070"/>
      <c r="BZ382" s="1070"/>
      <c r="CA382" s="1070"/>
      <c r="CB382" s="1070"/>
      <c r="CC382" s="1070"/>
      <c r="CD382" s="1070"/>
      <c r="CE382" s="1070"/>
      <c r="CF382" s="1070"/>
      <c r="CG382" s="1070"/>
      <c r="CH382" s="1070"/>
      <c r="CI382" s="1070"/>
      <c r="CJ382" s="1070"/>
      <c r="CK382" s="1070"/>
      <c r="CL382" s="1070"/>
      <c r="CM382" s="1070"/>
      <c r="CN382" s="1070"/>
      <c r="CO382" s="1070"/>
      <c r="CP382" s="1070"/>
      <c r="CQ382" s="1070"/>
      <c r="CR382" s="1070"/>
      <c r="CS382" s="1070"/>
      <c r="CT382" s="1070"/>
      <c r="CU382" s="1070"/>
      <c r="CV382" s="1070"/>
      <c r="CW382" s="1070"/>
      <c r="CX382" s="1070"/>
      <c r="CY382" s="1070"/>
      <c r="CZ382" s="1070"/>
      <c r="DA382" s="1070"/>
      <c r="DB382" s="1070"/>
      <c r="DC382" s="1070"/>
      <c r="DD382" s="1070"/>
      <c r="DE382" s="1070"/>
      <c r="DF382" s="1070"/>
      <c r="DG382" s="1070"/>
      <c r="DH382" s="1070"/>
      <c r="DI382" s="1070"/>
    </row>
    <row r="383" spans="1:113" ht="15.75" x14ac:dyDescent="0.25">
      <c r="A383" s="1420" t="s">
        <v>3391</v>
      </c>
      <c r="B383" s="1439"/>
      <c r="C383" s="1432"/>
      <c r="D383" s="1432"/>
      <c r="E383" s="1432"/>
      <c r="F383" s="1432"/>
      <c r="G383" s="1432"/>
      <c r="H383" s="1350"/>
      <c r="I383" s="1350"/>
      <c r="J383" s="1350"/>
      <c r="K383" s="1350"/>
      <c r="L383" s="1350"/>
      <c r="M383" s="1350"/>
      <c r="N383" s="1350"/>
      <c r="O383" s="1350"/>
      <c r="P383" s="1350"/>
      <c r="Q383" s="1350"/>
      <c r="R383" s="1350"/>
      <c r="S383" s="1350"/>
      <c r="T383" s="1350"/>
      <c r="U383" s="1350"/>
      <c r="V383" s="1350"/>
      <c r="W383" s="1350"/>
      <c r="X383" s="1350"/>
      <c r="Y383" s="1350"/>
      <c r="Z383" s="1350"/>
      <c r="AA383" s="1350"/>
      <c r="AB383" s="1350"/>
      <c r="AC383" s="1350"/>
      <c r="AD383" s="1350"/>
      <c r="AE383" s="1350"/>
      <c r="AF383" s="1350"/>
      <c r="AG383" s="1350"/>
      <c r="AH383" s="1350"/>
      <c r="AI383" s="1350"/>
      <c r="AJ383" s="1350"/>
      <c r="AK383" s="1350"/>
      <c r="AL383" s="1350"/>
      <c r="AM383" s="1350"/>
      <c r="AN383" s="1350"/>
      <c r="AO383" s="1350"/>
      <c r="AP383" s="1350"/>
      <c r="AQ383" s="1350"/>
      <c r="AR383" s="1350"/>
      <c r="AS383" s="1350"/>
      <c r="AT383" s="1350"/>
      <c r="AU383" s="1350"/>
      <c r="AV383" s="1350"/>
      <c r="AW383" s="1350"/>
      <c r="AX383" s="1350"/>
      <c r="AY383" s="1350"/>
      <c r="AZ383" s="1350"/>
      <c r="BA383" s="1070"/>
      <c r="BB383" s="1070"/>
      <c r="BC383" s="1070"/>
      <c r="BD383" s="1070"/>
      <c r="BE383" s="1070"/>
      <c r="BF383" s="1070"/>
      <c r="BG383" s="1070"/>
      <c r="BH383" s="1070"/>
      <c r="BI383" s="1070"/>
      <c r="BJ383" s="1070"/>
      <c r="BK383" s="1070"/>
      <c r="BL383" s="1070"/>
      <c r="BM383" s="1070"/>
      <c r="BN383" s="1070"/>
      <c r="BO383" s="1070"/>
      <c r="BP383" s="1070"/>
      <c r="BQ383" s="1070"/>
      <c r="BR383" s="1070"/>
      <c r="BS383" s="1070"/>
      <c r="BT383" s="1070"/>
      <c r="BU383" s="1070"/>
      <c r="BV383" s="1070"/>
      <c r="BW383" s="1070"/>
      <c r="BX383" s="1070"/>
      <c r="BY383" s="1070"/>
      <c r="BZ383" s="1070"/>
      <c r="CA383" s="1070"/>
      <c r="CB383" s="1070"/>
      <c r="CC383" s="1070"/>
      <c r="CD383" s="1070"/>
      <c r="CE383" s="1070"/>
      <c r="CF383" s="1070"/>
      <c r="CG383" s="1070"/>
      <c r="CH383" s="1070"/>
      <c r="CI383" s="1070"/>
      <c r="CJ383" s="1070"/>
      <c r="CK383" s="1070"/>
      <c r="CL383" s="1070"/>
      <c r="CM383" s="1070"/>
      <c r="CN383" s="1070"/>
      <c r="CO383" s="1070"/>
      <c r="CP383" s="1070"/>
      <c r="CQ383" s="1070"/>
      <c r="CR383" s="1070"/>
      <c r="CS383" s="1070"/>
      <c r="CT383" s="1070"/>
      <c r="CU383" s="1070"/>
      <c r="CV383" s="1070"/>
      <c r="CW383" s="1070"/>
      <c r="CX383" s="1070"/>
      <c r="CY383" s="1070"/>
      <c r="CZ383" s="1070"/>
      <c r="DA383" s="1070"/>
      <c r="DB383" s="1070"/>
      <c r="DC383" s="1070"/>
      <c r="DD383" s="1070"/>
      <c r="DE383" s="1070"/>
      <c r="DF383" s="1070"/>
      <c r="DG383" s="1070"/>
      <c r="DH383" s="1070"/>
      <c r="DI383" s="1070"/>
    </row>
    <row r="384" spans="1:113" ht="15.75" x14ac:dyDescent="0.25">
      <c r="A384" s="1420" t="s">
        <v>392</v>
      </c>
      <c r="B384" s="1424">
        <f>IF(B297&lt;21,1,IF(B297&lt;31,0.9,0.8))</f>
        <v>0.8</v>
      </c>
      <c r="C384" s="1432"/>
      <c r="D384" s="1432"/>
      <c r="E384" s="1432"/>
      <c r="F384" s="1432"/>
      <c r="G384" s="1432"/>
      <c r="H384" s="1350"/>
      <c r="I384" s="1350"/>
      <c r="J384" s="1350"/>
      <c r="K384" s="1350"/>
      <c r="L384" s="1350"/>
      <c r="M384" s="1350"/>
      <c r="N384" s="1350"/>
      <c r="O384" s="1350"/>
      <c r="P384" s="1350"/>
      <c r="Q384" s="1350"/>
      <c r="R384" s="1350"/>
      <c r="S384" s="1350"/>
      <c r="T384" s="1350"/>
      <c r="U384" s="1350"/>
      <c r="V384" s="1350"/>
      <c r="W384" s="1350"/>
      <c r="X384" s="1350"/>
      <c r="Y384" s="1350"/>
      <c r="Z384" s="1350"/>
      <c r="AA384" s="1350"/>
      <c r="AB384" s="1350"/>
      <c r="AC384" s="1350"/>
      <c r="AD384" s="1350"/>
      <c r="AE384" s="1350"/>
      <c r="AF384" s="1350"/>
      <c r="AG384" s="1350"/>
      <c r="AH384" s="1350"/>
      <c r="AI384" s="1350"/>
      <c r="AJ384" s="1350"/>
      <c r="AK384" s="1350"/>
      <c r="AL384" s="1350"/>
      <c r="AM384" s="1350"/>
      <c r="AN384" s="1350"/>
      <c r="AO384" s="1350"/>
      <c r="AP384" s="1350"/>
      <c r="AQ384" s="1350"/>
      <c r="AR384" s="1350"/>
      <c r="AS384" s="1350"/>
      <c r="AT384" s="1350"/>
      <c r="AU384" s="1350"/>
      <c r="AV384" s="1350"/>
      <c r="AW384" s="1350"/>
      <c r="AX384" s="1350"/>
      <c r="AY384" s="1350"/>
      <c r="AZ384" s="1350"/>
      <c r="BA384" s="1070"/>
      <c r="BB384" s="1070"/>
      <c r="BC384" s="1070"/>
      <c r="BD384" s="1070"/>
      <c r="BE384" s="1070"/>
      <c r="BF384" s="1070"/>
      <c r="BG384" s="1070"/>
      <c r="BH384" s="1070"/>
      <c r="BI384" s="1070"/>
      <c r="BJ384" s="1070"/>
      <c r="BK384" s="1070"/>
      <c r="BL384" s="1070"/>
      <c r="BM384" s="1070"/>
      <c r="BN384" s="1070"/>
      <c r="BO384" s="1070"/>
      <c r="BP384" s="1070"/>
      <c r="BQ384" s="1070"/>
      <c r="BR384" s="1070"/>
      <c r="BS384" s="1070"/>
      <c r="BT384" s="1070"/>
      <c r="BU384" s="1070"/>
      <c r="BV384" s="1070"/>
      <c r="BW384" s="1070"/>
      <c r="BX384" s="1070"/>
      <c r="BY384" s="1070"/>
      <c r="BZ384" s="1070"/>
      <c r="CA384" s="1070"/>
      <c r="CB384" s="1070"/>
      <c r="CC384" s="1070"/>
      <c r="CD384" s="1070"/>
      <c r="CE384" s="1070"/>
      <c r="CF384" s="1070"/>
      <c r="CG384" s="1070"/>
      <c r="CH384" s="1070"/>
      <c r="CI384" s="1070"/>
      <c r="CJ384" s="1070"/>
      <c r="CK384" s="1070"/>
      <c r="CL384" s="1070"/>
      <c r="CM384" s="1070"/>
      <c r="CN384" s="1070"/>
      <c r="CO384" s="1070"/>
      <c r="CP384" s="1070"/>
      <c r="CQ384" s="1070"/>
      <c r="CR384" s="1070"/>
      <c r="CS384" s="1070"/>
      <c r="CT384" s="1070"/>
      <c r="CU384" s="1070"/>
      <c r="CV384" s="1070"/>
      <c r="CW384" s="1070"/>
      <c r="CX384" s="1070"/>
      <c r="CY384" s="1070"/>
      <c r="CZ384" s="1070"/>
      <c r="DA384" s="1070"/>
      <c r="DB384" s="1070"/>
      <c r="DC384" s="1070"/>
      <c r="DD384" s="1070"/>
      <c r="DE384" s="1070"/>
      <c r="DF384" s="1070"/>
      <c r="DG384" s="1070"/>
      <c r="DH384" s="1070"/>
      <c r="DI384" s="1070"/>
    </row>
    <row r="385" spans="1:113" ht="15.75" x14ac:dyDescent="0.25">
      <c r="A385" s="1420" t="s">
        <v>391</v>
      </c>
      <c r="B385" s="1424">
        <f>IF(B321&gt;0.2,0.9,1)</f>
        <v>0.9</v>
      </c>
      <c r="C385" s="1432"/>
      <c r="D385" s="1432"/>
      <c r="E385" s="1432"/>
      <c r="F385" s="1432"/>
      <c r="G385" s="1432"/>
      <c r="H385" s="1350"/>
      <c r="I385" s="1350"/>
      <c r="J385" s="1350"/>
      <c r="K385" s="1350"/>
      <c r="L385" s="1350"/>
      <c r="M385" s="1350"/>
      <c r="N385" s="1350"/>
      <c r="O385" s="1350"/>
      <c r="P385" s="1350"/>
      <c r="Q385" s="1350"/>
      <c r="R385" s="1350"/>
      <c r="S385" s="1350"/>
      <c r="T385" s="1350"/>
      <c r="U385" s="1350"/>
      <c r="V385" s="1350"/>
      <c r="W385" s="1350"/>
      <c r="X385" s="1350"/>
      <c r="Y385" s="1350"/>
      <c r="Z385" s="1350"/>
      <c r="AA385" s="1350"/>
      <c r="AB385" s="1350"/>
      <c r="AC385" s="1350"/>
      <c r="AD385" s="1350"/>
      <c r="AE385" s="1350"/>
      <c r="AF385" s="1350"/>
      <c r="AG385" s="1350"/>
      <c r="AH385" s="1350"/>
      <c r="AI385" s="1350"/>
      <c r="AJ385" s="1350"/>
      <c r="AK385" s="1350"/>
      <c r="AL385" s="1350"/>
      <c r="AM385" s="1350"/>
      <c r="AN385" s="1350"/>
      <c r="AO385" s="1350"/>
      <c r="AP385" s="1350"/>
      <c r="AQ385" s="1350"/>
      <c r="AR385" s="1350"/>
      <c r="AS385" s="1350"/>
      <c r="AT385" s="1350"/>
      <c r="AU385" s="1350"/>
      <c r="AV385" s="1350"/>
      <c r="AW385" s="1350"/>
      <c r="AX385" s="1350"/>
      <c r="AY385" s="1350"/>
      <c r="AZ385" s="1350"/>
      <c r="BA385" s="1070"/>
      <c r="BB385" s="1070"/>
      <c r="BC385" s="1070"/>
      <c r="BD385" s="1070"/>
      <c r="BE385" s="1070"/>
      <c r="BF385" s="1070"/>
      <c r="BG385" s="1070"/>
      <c r="BH385" s="1070"/>
      <c r="BI385" s="1070"/>
      <c r="BJ385" s="1070"/>
      <c r="BK385" s="1070"/>
      <c r="BL385" s="1070"/>
      <c r="BM385" s="1070"/>
      <c r="BN385" s="1070"/>
      <c r="BO385" s="1070"/>
      <c r="BP385" s="1070"/>
      <c r="BQ385" s="1070"/>
      <c r="BR385" s="1070"/>
      <c r="BS385" s="1070"/>
      <c r="BT385" s="1070"/>
      <c r="BU385" s="1070"/>
      <c r="BV385" s="1070"/>
      <c r="BW385" s="1070"/>
      <c r="BX385" s="1070"/>
      <c r="BY385" s="1070"/>
      <c r="BZ385" s="1070"/>
      <c r="CA385" s="1070"/>
      <c r="CB385" s="1070"/>
      <c r="CC385" s="1070"/>
      <c r="CD385" s="1070"/>
      <c r="CE385" s="1070"/>
      <c r="CF385" s="1070"/>
      <c r="CG385" s="1070"/>
      <c r="CH385" s="1070"/>
      <c r="CI385" s="1070"/>
      <c r="CJ385" s="1070"/>
      <c r="CK385" s="1070"/>
      <c r="CL385" s="1070"/>
      <c r="CM385" s="1070"/>
      <c r="CN385" s="1070"/>
      <c r="CO385" s="1070"/>
      <c r="CP385" s="1070"/>
      <c r="CQ385" s="1070"/>
      <c r="CR385" s="1070"/>
      <c r="CS385" s="1070"/>
      <c r="CT385" s="1070"/>
      <c r="CU385" s="1070"/>
      <c r="CV385" s="1070"/>
      <c r="CW385" s="1070"/>
      <c r="CX385" s="1070"/>
      <c r="CY385" s="1070"/>
      <c r="CZ385" s="1070"/>
      <c r="DA385" s="1070"/>
      <c r="DB385" s="1070"/>
      <c r="DC385" s="1070"/>
      <c r="DD385" s="1070"/>
      <c r="DE385" s="1070"/>
      <c r="DF385" s="1070"/>
      <c r="DG385" s="1070"/>
      <c r="DH385" s="1070"/>
      <c r="DI385" s="1070"/>
    </row>
    <row r="386" spans="1:113" ht="31.5" x14ac:dyDescent="0.25">
      <c r="A386" s="1435" t="s">
        <v>3392</v>
      </c>
      <c r="B386" s="1442">
        <v>0</v>
      </c>
      <c r="C386" s="1432"/>
      <c r="D386" s="1350"/>
      <c r="E386" s="1350"/>
      <c r="F386" s="1350"/>
      <c r="G386" s="1350"/>
      <c r="H386" s="1350"/>
      <c r="I386" s="1350"/>
      <c r="J386" s="1350"/>
      <c r="K386" s="1350"/>
      <c r="L386" s="1350"/>
      <c r="M386" s="1350"/>
      <c r="N386" s="1350"/>
      <c r="O386" s="1350"/>
      <c r="P386" s="1350"/>
      <c r="Q386" s="1350"/>
      <c r="R386" s="1350"/>
      <c r="S386" s="1350"/>
      <c r="T386" s="1350"/>
      <c r="U386" s="1350"/>
      <c r="V386" s="1350"/>
      <c r="W386" s="1350"/>
      <c r="X386" s="1350"/>
      <c r="Y386" s="1350"/>
      <c r="Z386" s="1350"/>
      <c r="AA386" s="1350"/>
      <c r="AB386" s="1350"/>
      <c r="AC386" s="1350"/>
      <c r="AD386" s="1350"/>
      <c r="AE386" s="1350"/>
      <c r="AF386" s="1350"/>
      <c r="AG386" s="1350"/>
      <c r="AH386" s="1350"/>
      <c r="AI386" s="1350"/>
      <c r="AJ386" s="1350"/>
      <c r="AK386" s="1350"/>
      <c r="AL386" s="1350"/>
      <c r="AM386" s="1350"/>
      <c r="AN386" s="1350"/>
      <c r="AO386" s="1350"/>
      <c r="AP386" s="1350"/>
      <c r="AQ386" s="1350"/>
      <c r="AR386" s="1350"/>
      <c r="AS386" s="1350"/>
      <c r="AT386" s="1350"/>
      <c r="AU386" s="1350"/>
      <c r="AV386" s="1350"/>
      <c r="AW386" s="1350"/>
      <c r="AX386" s="1350"/>
      <c r="AY386" s="1350"/>
      <c r="AZ386" s="1350"/>
      <c r="BA386" s="1070"/>
      <c r="BB386" s="1070"/>
      <c r="BC386" s="1070"/>
      <c r="BD386" s="1070"/>
      <c r="BE386" s="1070"/>
      <c r="BF386" s="1070"/>
      <c r="BG386" s="1070"/>
      <c r="BH386" s="1070"/>
      <c r="BI386" s="1070"/>
      <c r="BJ386" s="1070"/>
      <c r="BK386" s="1070"/>
      <c r="BL386" s="1070"/>
      <c r="BM386" s="1070"/>
      <c r="BN386" s="1070"/>
      <c r="BO386" s="1070"/>
      <c r="BP386" s="1070"/>
      <c r="BQ386" s="1070"/>
      <c r="BR386" s="1070"/>
      <c r="BS386" s="1070"/>
      <c r="BT386" s="1070"/>
      <c r="BU386" s="1070"/>
      <c r="BV386" s="1070"/>
      <c r="BW386" s="1070"/>
      <c r="BX386" s="1070"/>
      <c r="BY386" s="1070"/>
      <c r="BZ386" s="1070"/>
      <c r="CA386" s="1070"/>
      <c r="CB386" s="1070"/>
      <c r="CC386" s="1070"/>
      <c r="CD386" s="1070"/>
      <c r="CE386" s="1070"/>
      <c r="CF386" s="1070"/>
      <c r="CG386" s="1070"/>
      <c r="CH386" s="1070"/>
      <c r="CI386" s="1070"/>
      <c r="CJ386" s="1070"/>
      <c r="CK386" s="1070"/>
      <c r="CL386" s="1070"/>
      <c r="CM386" s="1070"/>
      <c r="CN386" s="1070"/>
      <c r="CO386" s="1070"/>
      <c r="CP386" s="1070"/>
      <c r="CQ386" s="1070"/>
      <c r="CR386" s="1070"/>
      <c r="CS386" s="1070"/>
      <c r="CT386" s="1070"/>
      <c r="CU386" s="1070"/>
      <c r="CV386" s="1070"/>
      <c r="CW386" s="1070"/>
      <c r="CX386" s="1070"/>
      <c r="CY386" s="1070"/>
      <c r="CZ386" s="1070"/>
      <c r="DA386" s="1070"/>
      <c r="DB386" s="1070"/>
      <c r="DC386" s="1070"/>
      <c r="DD386" s="1070"/>
      <c r="DE386" s="1070"/>
      <c r="DF386" s="1070"/>
      <c r="DG386" s="1070"/>
      <c r="DH386" s="1070"/>
      <c r="DI386" s="1070"/>
    </row>
    <row r="387" spans="1:113" ht="15.75" x14ac:dyDescent="0.25">
      <c r="A387" s="1420" t="s">
        <v>3393</v>
      </c>
      <c r="B387" s="1424">
        <f>IF(B386=0,1,1.2)</f>
        <v>1</v>
      </c>
      <c r="C387" s="1432"/>
      <c r="D387" s="1350"/>
      <c r="E387" s="1350"/>
      <c r="F387" s="1350"/>
      <c r="G387" s="1350"/>
      <c r="H387" s="1350"/>
      <c r="I387" s="1350"/>
      <c r="J387" s="1350"/>
      <c r="K387" s="1350"/>
      <c r="L387" s="1350"/>
      <c r="M387" s="1350"/>
      <c r="N387" s="1350"/>
      <c r="O387" s="1350"/>
      <c r="P387" s="1350"/>
      <c r="Q387" s="1350"/>
      <c r="R387" s="1350"/>
      <c r="S387" s="1350"/>
      <c r="T387" s="1350"/>
      <c r="U387" s="1350"/>
      <c r="V387" s="1350"/>
      <c r="W387" s="1350"/>
      <c r="X387" s="1350"/>
      <c r="Y387" s="1350"/>
      <c r="Z387" s="1350"/>
      <c r="AA387" s="1350"/>
      <c r="AB387" s="1350"/>
      <c r="AC387" s="1350"/>
      <c r="AD387" s="1350"/>
      <c r="AE387" s="1350"/>
      <c r="AF387" s="1350"/>
      <c r="AG387" s="1350"/>
      <c r="AH387" s="1350"/>
      <c r="AI387" s="1350"/>
      <c r="AJ387" s="1350"/>
      <c r="AK387" s="1350"/>
      <c r="AL387" s="1350"/>
      <c r="AM387" s="1350"/>
      <c r="AN387" s="1350"/>
      <c r="AO387" s="1350"/>
      <c r="AP387" s="1350"/>
      <c r="AQ387" s="1350"/>
      <c r="AR387" s="1350"/>
      <c r="AS387" s="1350"/>
      <c r="AT387" s="1350"/>
      <c r="AU387" s="1350"/>
      <c r="AV387" s="1350"/>
      <c r="AW387" s="1350"/>
      <c r="AX387" s="1350"/>
      <c r="AY387" s="1350"/>
      <c r="AZ387" s="1350"/>
      <c r="BA387" s="1070"/>
      <c r="BB387" s="1070"/>
      <c r="BC387" s="1070"/>
      <c r="BD387" s="1070"/>
      <c r="BE387" s="1070"/>
      <c r="BF387" s="1070"/>
      <c r="BG387" s="1070"/>
      <c r="BH387" s="1070"/>
      <c r="BI387" s="1070"/>
      <c r="BJ387" s="1070"/>
      <c r="BK387" s="1070"/>
      <c r="BL387" s="1070"/>
      <c r="BM387" s="1070"/>
      <c r="BN387" s="1070"/>
      <c r="BO387" s="1070"/>
      <c r="BP387" s="1070"/>
      <c r="BQ387" s="1070"/>
      <c r="BR387" s="1070"/>
      <c r="BS387" s="1070"/>
      <c r="BT387" s="1070"/>
      <c r="BU387" s="1070"/>
      <c r="BV387" s="1070"/>
      <c r="BW387" s="1070"/>
      <c r="BX387" s="1070"/>
      <c r="BY387" s="1070"/>
      <c r="BZ387" s="1070"/>
      <c r="CA387" s="1070"/>
      <c r="CB387" s="1070"/>
      <c r="CC387" s="1070"/>
      <c r="CD387" s="1070"/>
      <c r="CE387" s="1070"/>
      <c r="CF387" s="1070"/>
      <c r="CG387" s="1070"/>
      <c r="CH387" s="1070"/>
      <c r="CI387" s="1070"/>
      <c r="CJ387" s="1070"/>
      <c r="CK387" s="1070"/>
      <c r="CL387" s="1070"/>
      <c r="CM387" s="1070"/>
      <c r="CN387" s="1070"/>
      <c r="CO387" s="1070"/>
      <c r="CP387" s="1070"/>
      <c r="CQ387" s="1070"/>
      <c r="CR387" s="1070"/>
      <c r="CS387" s="1070"/>
      <c r="CT387" s="1070"/>
      <c r="CU387" s="1070"/>
      <c r="CV387" s="1070"/>
      <c r="CW387" s="1070"/>
      <c r="CX387" s="1070"/>
      <c r="CY387" s="1070"/>
      <c r="CZ387" s="1070"/>
      <c r="DA387" s="1070"/>
      <c r="DB387" s="1070"/>
      <c r="DC387" s="1070"/>
      <c r="DD387" s="1070"/>
      <c r="DE387" s="1070"/>
      <c r="DF387" s="1070"/>
      <c r="DG387" s="1070"/>
      <c r="DH387" s="1070"/>
      <c r="DI387" s="1070"/>
    </row>
    <row r="388" spans="1:113" ht="47.25" x14ac:dyDescent="0.25">
      <c r="A388" s="1435" t="s">
        <v>1892</v>
      </c>
      <c r="B388" s="1442">
        <v>1</v>
      </c>
      <c r="C388" s="1432"/>
      <c r="D388" s="1432"/>
      <c r="E388" s="1432"/>
      <c r="F388" s="1432"/>
      <c r="G388" s="1432"/>
      <c r="H388" s="1350"/>
      <c r="I388" s="1350"/>
      <c r="J388" s="1350"/>
      <c r="K388" s="1350"/>
      <c r="L388" s="1350"/>
      <c r="M388" s="1350"/>
      <c r="N388" s="1350"/>
      <c r="O388" s="1350"/>
      <c r="P388" s="1350"/>
      <c r="Q388" s="1350"/>
      <c r="R388" s="1350"/>
      <c r="S388" s="1350"/>
      <c r="T388" s="1350"/>
      <c r="U388" s="1350"/>
      <c r="V388" s="1350"/>
      <c r="W388" s="1350"/>
      <c r="X388" s="1350"/>
      <c r="Y388" s="1350"/>
      <c r="Z388" s="1350"/>
      <c r="AA388" s="1350"/>
      <c r="AB388" s="1350"/>
      <c r="AC388" s="1350"/>
      <c r="AD388" s="1350"/>
      <c r="AE388" s="1350"/>
      <c r="AF388" s="1350"/>
      <c r="AG388" s="1350"/>
      <c r="AH388" s="1350"/>
      <c r="AI388" s="1350"/>
      <c r="AJ388" s="1350"/>
      <c r="AK388" s="1350"/>
      <c r="AL388" s="1350"/>
      <c r="AM388" s="1350"/>
      <c r="AN388" s="1350"/>
      <c r="AO388" s="1350"/>
      <c r="AP388" s="1350"/>
      <c r="AQ388" s="1350"/>
      <c r="AR388" s="1350"/>
      <c r="AS388" s="1350"/>
      <c r="AT388" s="1350"/>
      <c r="AU388" s="1350"/>
      <c r="AV388" s="1350"/>
      <c r="AW388" s="1350"/>
      <c r="AX388" s="1350"/>
      <c r="AY388" s="1350"/>
      <c r="AZ388" s="1350"/>
      <c r="BA388" s="1070"/>
      <c r="BB388" s="1070"/>
      <c r="BC388" s="1070"/>
      <c r="BD388" s="1070"/>
      <c r="BE388" s="1070"/>
      <c r="BF388" s="1070"/>
      <c r="BG388" s="1070"/>
      <c r="BH388" s="1070"/>
      <c r="BI388" s="1070"/>
      <c r="BJ388" s="1070"/>
      <c r="BK388" s="1070"/>
      <c r="BL388" s="1070"/>
      <c r="BM388" s="1070"/>
      <c r="BN388" s="1070"/>
      <c r="BO388" s="1070"/>
      <c r="BP388" s="1070"/>
      <c r="BQ388" s="1070"/>
      <c r="BR388" s="1070"/>
      <c r="BS388" s="1070"/>
      <c r="BT388" s="1070"/>
      <c r="BU388" s="1070"/>
      <c r="BV388" s="1070"/>
      <c r="BW388" s="1070"/>
      <c r="BX388" s="1070"/>
      <c r="BY388" s="1070"/>
      <c r="BZ388" s="1070"/>
      <c r="CA388" s="1070"/>
      <c r="CB388" s="1070"/>
      <c r="CC388" s="1070"/>
      <c r="CD388" s="1070"/>
      <c r="CE388" s="1070"/>
      <c r="CF388" s="1070"/>
      <c r="CG388" s="1070"/>
      <c r="CH388" s="1070"/>
      <c r="CI388" s="1070"/>
      <c r="CJ388" s="1070"/>
      <c r="CK388" s="1070"/>
      <c r="CL388" s="1070"/>
      <c r="CM388" s="1070"/>
      <c r="CN388" s="1070"/>
      <c r="CO388" s="1070"/>
      <c r="CP388" s="1070"/>
      <c r="CQ388" s="1070"/>
      <c r="CR388" s="1070"/>
      <c r="CS388" s="1070"/>
      <c r="CT388" s="1070"/>
      <c r="CU388" s="1070"/>
      <c r="CV388" s="1070"/>
      <c r="CW388" s="1070"/>
      <c r="CX388" s="1070"/>
      <c r="CY388" s="1070"/>
      <c r="CZ388" s="1070"/>
      <c r="DA388" s="1070"/>
      <c r="DB388" s="1070"/>
      <c r="DC388" s="1070"/>
      <c r="DD388" s="1070"/>
      <c r="DE388" s="1070"/>
      <c r="DF388" s="1070"/>
      <c r="DG388" s="1070"/>
      <c r="DH388" s="1070"/>
      <c r="DI388" s="1070"/>
    </row>
    <row r="389" spans="1:113" ht="15.75" x14ac:dyDescent="0.25">
      <c r="A389" s="1420" t="s">
        <v>1893</v>
      </c>
      <c r="B389" s="1443">
        <f>IF(B388=0,1.05,1)</f>
        <v>1</v>
      </c>
      <c r="C389" s="1434"/>
      <c r="D389" s="1434"/>
      <c r="E389" s="1434"/>
      <c r="F389" s="1434"/>
      <c r="G389" s="1434"/>
      <c r="H389" s="1350"/>
      <c r="I389" s="1350"/>
      <c r="J389" s="1350"/>
      <c r="K389" s="1350"/>
      <c r="L389" s="1350"/>
      <c r="M389" s="1350"/>
      <c r="N389" s="1350"/>
      <c r="O389" s="1350"/>
      <c r="P389" s="1350"/>
      <c r="Q389" s="1350"/>
      <c r="R389" s="1350"/>
      <c r="S389" s="1350"/>
      <c r="T389" s="1350"/>
      <c r="U389" s="1350"/>
      <c r="V389" s="1350"/>
      <c r="W389" s="1350"/>
      <c r="X389" s="1350"/>
      <c r="Y389" s="1350"/>
      <c r="Z389" s="1350"/>
      <c r="AA389" s="1350"/>
      <c r="AB389" s="1350"/>
      <c r="AC389" s="1350"/>
      <c r="AD389" s="1350"/>
      <c r="AE389" s="1350"/>
      <c r="AF389" s="1350"/>
      <c r="AG389" s="1350"/>
      <c r="AH389" s="1350"/>
      <c r="AI389" s="1350"/>
      <c r="AJ389" s="1350"/>
      <c r="AK389" s="1350"/>
      <c r="AL389" s="1350"/>
      <c r="AM389" s="1350"/>
      <c r="AN389" s="1350"/>
      <c r="AO389" s="1350"/>
      <c r="AP389" s="1350"/>
      <c r="AQ389" s="1350"/>
      <c r="AR389" s="1350"/>
      <c r="AS389" s="1350"/>
      <c r="AT389" s="1350"/>
      <c r="AU389" s="1350"/>
      <c r="AV389" s="1350"/>
      <c r="AW389" s="1350"/>
      <c r="AX389" s="1350"/>
      <c r="AY389" s="1350"/>
      <c r="AZ389" s="1350"/>
      <c r="BA389" s="1070"/>
      <c r="BB389" s="1070"/>
      <c r="BC389" s="1070"/>
      <c r="BD389" s="1070"/>
      <c r="BE389" s="1070"/>
      <c r="BF389" s="1070"/>
      <c r="BG389" s="1070"/>
      <c r="BH389" s="1070"/>
      <c r="BI389" s="1070"/>
      <c r="BJ389" s="1070"/>
      <c r="BK389" s="1070"/>
      <c r="BL389" s="1070"/>
      <c r="BM389" s="1070"/>
      <c r="BN389" s="1070"/>
      <c r="BO389" s="1070"/>
      <c r="BP389" s="1070"/>
      <c r="BQ389" s="1070"/>
      <c r="BR389" s="1070"/>
      <c r="BS389" s="1070"/>
      <c r="BT389" s="1070"/>
      <c r="BU389" s="1070"/>
      <c r="BV389" s="1070"/>
      <c r="BW389" s="1070"/>
      <c r="BX389" s="1070"/>
      <c r="BY389" s="1070"/>
      <c r="BZ389" s="1070"/>
      <c r="CA389" s="1070"/>
      <c r="CB389" s="1070"/>
      <c r="CC389" s="1070"/>
      <c r="CD389" s="1070"/>
      <c r="CE389" s="1070"/>
      <c r="CF389" s="1070"/>
      <c r="CG389" s="1070"/>
      <c r="CH389" s="1070"/>
      <c r="CI389" s="1070"/>
      <c r="CJ389" s="1070"/>
      <c r="CK389" s="1070"/>
      <c r="CL389" s="1070"/>
      <c r="CM389" s="1070"/>
      <c r="CN389" s="1070"/>
      <c r="CO389" s="1070"/>
      <c r="CP389" s="1070"/>
      <c r="CQ389" s="1070"/>
      <c r="CR389" s="1070"/>
      <c r="CS389" s="1070"/>
      <c r="CT389" s="1070"/>
      <c r="CU389" s="1070"/>
      <c r="CV389" s="1070"/>
      <c r="CW389" s="1070"/>
      <c r="CX389" s="1070"/>
      <c r="CY389" s="1070"/>
      <c r="CZ389" s="1070"/>
      <c r="DA389" s="1070"/>
      <c r="DB389" s="1070"/>
      <c r="DC389" s="1070"/>
      <c r="DD389" s="1070"/>
      <c r="DE389" s="1070"/>
      <c r="DF389" s="1070"/>
      <c r="DG389" s="1070"/>
      <c r="DH389" s="1070"/>
      <c r="DI389" s="1070"/>
    </row>
    <row r="390" spans="1:113" ht="15.75" x14ac:dyDescent="0.25">
      <c r="A390" s="1420" t="s">
        <v>1894</v>
      </c>
      <c r="B390" s="1424" t="e">
        <f>B382*B384*B385*B387*B389*B341</f>
        <v>#VALUE!</v>
      </c>
      <c r="C390" s="1432"/>
      <c r="D390" s="1350"/>
      <c r="E390" s="1350"/>
      <c r="F390" s="1350"/>
      <c r="G390" s="1350"/>
      <c r="H390" s="1350"/>
      <c r="I390" s="1350"/>
      <c r="J390" s="1350"/>
      <c r="K390" s="1350"/>
      <c r="L390" s="1350"/>
      <c r="M390" s="1350"/>
      <c r="N390" s="1350"/>
      <c r="O390" s="1350"/>
      <c r="P390" s="1350"/>
      <c r="Q390" s="1350"/>
      <c r="R390" s="1350"/>
      <c r="S390" s="1350"/>
      <c r="T390" s="1350"/>
      <c r="U390" s="1350"/>
      <c r="V390" s="1350"/>
      <c r="W390" s="1350"/>
      <c r="X390" s="1350"/>
      <c r="Y390" s="1350"/>
      <c r="Z390" s="1350"/>
      <c r="AA390" s="1350"/>
      <c r="AB390" s="1350"/>
      <c r="AC390" s="1350"/>
      <c r="AD390" s="1350"/>
      <c r="AE390" s="1350"/>
      <c r="AF390" s="1350"/>
      <c r="AG390" s="1350"/>
      <c r="AH390" s="1350"/>
      <c r="AI390" s="1350"/>
      <c r="AJ390" s="1350"/>
      <c r="AK390" s="1350"/>
      <c r="AL390" s="1350"/>
      <c r="AM390" s="1350"/>
      <c r="AN390" s="1350"/>
      <c r="AO390" s="1350"/>
      <c r="AP390" s="1350"/>
      <c r="AQ390" s="1350"/>
      <c r="AR390" s="1350"/>
      <c r="AS390" s="1350"/>
      <c r="AT390" s="1350"/>
      <c r="AU390" s="1350"/>
      <c r="AV390" s="1350"/>
      <c r="AW390" s="1350"/>
      <c r="AX390" s="1350"/>
      <c r="AY390" s="1350"/>
      <c r="AZ390" s="1350"/>
      <c r="BA390" s="1070"/>
      <c r="BB390" s="1070"/>
      <c r="BC390" s="1070"/>
      <c r="BD390" s="1070"/>
      <c r="BE390" s="1070"/>
      <c r="BF390" s="1070"/>
      <c r="BG390" s="1070"/>
      <c r="BH390" s="1070"/>
      <c r="BI390" s="1070"/>
      <c r="BJ390" s="1070"/>
      <c r="BK390" s="1070"/>
      <c r="BL390" s="1070"/>
      <c r="BM390" s="1070"/>
      <c r="BN390" s="1070"/>
      <c r="BO390" s="1070"/>
      <c r="BP390" s="1070"/>
      <c r="BQ390" s="1070"/>
      <c r="BR390" s="1070"/>
      <c r="BS390" s="1070"/>
      <c r="BT390" s="1070"/>
      <c r="BU390" s="1070"/>
      <c r="BV390" s="1070"/>
      <c r="BW390" s="1070"/>
      <c r="BX390" s="1070"/>
      <c r="BY390" s="1070"/>
      <c r="BZ390" s="1070"/>
      <c r="CA390" s="1070"/>
      <c r="CB390" s="1070"/>
      <c r="CC390" s="1070"/>
      <c r="CD390" s="1070"/>
      <c r="CE390" s="1070"/>
      <c r="CF390" s="1070"/>
      <c r="CG390" s="1070"/>
      <c r="CH390" s="1070"/>
      <c r="CI390" s="1070"/>
      <c r="CJ390" s="1070"/>
      <c r="CK390" s="1070"/>
      <c r="CL390" s="1070"/>
      <c r="CM390" s="1070"/>
      <c r="CN390" s="1070"/>
      <c r="CO390" s="1070"/>
      <c r="CP390" s="1070"/>
      <c r="CQ390" s="1070"/>
      <c r="CR390" s="1070"/>
      <c r="CS390" s="1070"/>
      <c r="CT390" s="1070"/>
      <c r="CU390" s="1070"/>
      <c r="CV390" s="1070"/>
      <c r="CW390" s="1070"/>
      <c r="CX390" s="1070"/>
      <c r="CY390" s="1070"/>
      <c r="CZ390" s="1070"/>
      <c r="DA390" s="1070"/>
      <c r="DB390" s="1070"/>
      <c r="DC390" s="1070"/>
      <c r="DD390" s="1070"/>
      <c r="DE390" s="1070"/>
      <c r="DF390" s="1070"/>
      <c r="DG390" s="1070"/>
      <c r="DH390" s="1070"/>
      <c r="DI390" s="1070"/>
    </row>
    <row r="391" spans="1:113" ht="15.75" x14ac:dyDescent="0.25">
      <c r="A391" s="1420" t="s">
        <v>429</v>
      </c>
      <c r="B391" s="1439" t="e">
        <f>B381/B390</f>
        <v>#DIV/0!</v>
      </c>
      <c r="C391" s="1429"/>
      <c r="D391" s="1429"/>
      <c r="E391" s="1429"/>
      <c r="F391" s="1429"/>
      <c r="G391" s="1429"/>
      <c r="H391" s="1350"/>
      <c r="I391" s="1350"/>
      <c r="J391" s="1350"/>
      <c r="K391" s="1350"/>
      <c r="L391" s="1350"/>
      <c r="M391" s="1350"/>
      <c r="N391" s="1350"/>
      <c r="O391" s="1350"/>
      <c r="P391" s="1350"/>
      <c r="Q391" s="1350"/>
      <c r="R391" s="1350"/>
      <c r="S391" s="1350"/>
      <c r="T391" s="1350"/>
      <c r="U391" s="1350"/>
      <c r="V391" s="1350"/>
      <c r="W391" s="1350"/>
      <c r="X391" s="1350"/>
      <c r="Y391" s="1350"/>
      <c r="Z391" s="1350"/>
      <c r="AA391" s="1350"/>
      <c r="AB391" s="1350"/>
      <c r="AC391" s="1350"/>
      <c r="AD391" s="1350"/>
      <c r="AE391" s="1350"/>
      <c r="AF391" s="1350"/>
      <c r="AG391" s="1350"/>
      <c r="AH391" s="1350"/>
      <c r="AI391" s="1350"/>
      <c r="AJ391" s="1350"/>
      <c r="AK391" s="1350"/>
      <c r="AL391" s="1350"/>
      <c r="AM391" s="1350"/>
      <c r="AN391" s="1350"/>
      <c r="AO391" s="1350"/>
      <c r="AP391" s="1350"/>
      <c r="AQ391" s="1350"/>
      <c r="AR391" s="1350"/>
      <c r="AS391" s="1350"/>
      <c r="AT391" s="1350"/>
      <c r="AU391" s="1350"/>
      <c r="AV391" s="1350"/>
      <c r="AW391" s="1350"/>
      <c r="AX391" s="1350"/>
      <c r="AY391" s="1350"/>
      <c r="AZ391" s="1350"/>
      <c r="BA391" s="1070"/>
      <c r="BB391" s="1070"/>
      <c r="BC391" s="1070"/>
      <c r="BD391" s="1070"/>
      <c r="BE391" s="1070"/>
      <c r="BF391" s="1070"/>
      <c r="BG391" s="1070"/>
      <c r="BH391" s="1070"/>
      <c r="BI391" s="1070"/>
      <c r="BJ391" s="1070"/>
      <c r="BK391" s="1070"/>
      <c r="BL391" s="1070"/>
      <c r="BM391" s="1070"/>
      <c r="BN391" s="1070"/>
      <c r="BO391" s="1070"/>
      <c r="BP391" s="1070"/>
      <c r="BQ391" s="1070"/>
      <c r="BR391" s="1070"/>
      <c r="BS391" s="1070"/>
      <c r="BT391" s="1070"/>
      <c r="BU391" s="1070"/>
      <c r="BV391" s="1070"/>
      <c r="BW391" s="1070"/>
      <c r="BX391" s="1070"/>
      <c r="BY391" s="1070"/>
      <c r="BZ391" s="1070"/>
      <c r="CA391" s="1070"/>
      <c r="CB391" s="1070"/>
      <c r="CC391" s="1070"/>
      <c r="CD391" s="1070"/>
      <c r="CE391" s="1070"/>
      <c r="CF391" s="1070"/>
      <c r="CG391" s="1070"/>
      <c r="CH391" s="1070"/>
      <c r="CI391" s="1070"/>
      <c r="CJ391" s="1070"/>
      <c r="CK391" s="1070"/>
      <c r="CL391" s="1070"/>
      <c r="CM391" s="1070"/>
      <c r="CN391" s="1070"/>
      <c r="CO391" s="1070"/>
      <c r="CP391" s="1070"/>
      <c r="CQ391" s="1070"/>
      <c r="CR391" s="1070"/>
      <c r="CS391" s="1070"/>
      <c r="CT391" s="1070"/>
      <c r="CU391" s="1070"/>
      <c r="CV391" s="1070"/>
      <c r="CW391" s="1070"/>
      <c r="CX391" s="1070"/>
      <c r="CY391" s="1070"/>
      <c r="CZ391" s="1070"/>
      <c r="DA391" s="1070"/>
      <c r="DB391" s="1070"/>
      <c r="DC391" s="1070"/>
      <c r="DD391" s="1070"/>
      <c r="DE391" s="1070"/>
      <c r="DF391" s="1070"/>
      <c r="DG391" s="1070"/>
      <c r="DH391" s="1070"/>
      <c r="DI391" s="1070"/>
    </row>
    <row r="392" spans="1:113" ht="15.75" x14ac:dyDescent="0.25">
      <c r="A392" s="1420"/>
      <c r="B392" s="1424"/>
      <c r="C392" s="1429"/>
      <c r="D392" s="1429"/>
      <c r="E392" s="1429"/>
      <c r="F392" s="1429"/>
      <c r="G392" s="1429"/>
      <c r="H392" s="1350"/>
      <c r="I392" s="1350"/>
      <c r="J392" s="1350"/>
      <c r="K392" s="1350"/>
      <c r="L392" s="1350"/>
      <c r="M392" s="1350"/>
      <c r="N392" s="1350"/>
      <c r="O392" s="1350"/>
      <c r="P392" s="1350"/>
      <c r="Q392" s="1350"/>
      <c r="R392" s="1350"/>
      <c r="S392" s="1350"/>
      <c r="T392" s="1350"/>
      <c r="U392" s="1350"/>
      <c r="V392" s="1350"/>
      <c r="W392" s="1350"/>
      <c r="X392" s="1350"/>
      <c r="Y392" s="1350"/>
      <c r="Z392" s="1350"/>
      <c r="AA392" s="1350"/>
      <c r="AB392" s="1350"/>
      <c r="AC392" s="1350"/>
      <c r="AD392" s="1350"/>
      <c r="AE392" s="1350"/>
      <c r="AF392" s="1350"/>
      <c r="AG392" s="1350"/>
      <c r="AH392" s="1350"/>
      <c r="AI392" s="1350"/>
      <c r="AJ392" s="1350"/>
      <c r="AK392" s="1350"/>
      <c r="AL392" s="1350"/>
      <c r="AM392" s="1350"/>
      <c r="AN392" s="1350"/>
      <c r="AO392" s="1350"/>
      <c r="AP392" s="1350"/>
      <c r="AQ392" s="1350"/>
      <c r="AR392" s="1350"/>
      <c r="AS392" s="1350"/>
      <c r="AT392" s="1350"/>
      <c r="AU392" s="1350"/>
      <c r="AV392" s="1350"/>
      <c r="AW392" s="1350"/>
      <c r="AX392" s="1350"/>
      <c r="AY392" s="1350"/>
      <c r="AZ392" s="1350"/>
      <c r="BA392" s="1070"/>
      <c r="BB392" s="1070"/>
      <c r="BC392" s="1070"/>
      <c r="BD392" s="1070"/>
      <c r="BE392" s="1070"/>
      <c r="BF392" s="1070"/>
      <c r="BG392" s="1070"/>
      <c r="BH392" s="1070"/>
      <c r="BI392" s="1070"/>
      <c r="BJ392" s="1070"/>
      <c r="BK392" s="1070"/>
      <c r="BL392" s="1070"/>
      <c r="BM392" s="1070"/>
      <c r="BN392" s="1070"/>
      <c r="BO392" s="1070"/>
      <c r="BP392" s="1070"/>
      <c r="BQ392" s="1070"/>
      <c r="BR392" s="1070"/>
      <c r="BS392" s="1070"/>
      <c r="BT392" s="1070"/>
      <c r="BU392" s="1070"/>
      <c r="BV392" s="1070"/>
      <c r="BW392" s="1070"/>
      <c r="BX392" s="1070"/>
      <c r="BY392" s="1070"/>
      <c r="BZ392" s="1070"/>
      <c r="CA392" s="1070"/>
      <c r="CB392" s="1070"/>
      <c r="CC392" s="1070"/>
      <c r="CD392" s="1070"/>
      <c r="CE392" s="1070"/>
      <c r="CF392" s="1070"/>
      <c r="CG392" s="1070"/>
      <c r="CH392" s="1070"/>
      <c r="CI392" s="1070"/>
      <c r="CJ392" s="1070"/>
      <c r="CK392" s="1070"/>
      <c r="CL392" s="1070"/>
      <c r="CM392" s="1070"/>
      <c r="CN392" s="1070"/>
      <c r="CO392" s="1070"/>
      <c r="CP392" s="1070"/>
      <c r="CQ392" s="1070"/>
      <c r="CR392" s="1070"/>
      <c r="CS392" s="1070"/>
      <c r="CT392" s="1070"/>
      <c r="CU392" s="1070"/>
      <c r="CV392" s="1070"/>
      <c r="CW392" s="1070"/>
      <c r="CX392" s="1070"/>
      <c r="CY392" s="1070"/>
      <c r="CZ392" s="1070"/>
      <c r="DA392" s="1070"/>
      <c r="DB392" s="1070"/>
      <c r="DC392" s="1070"/>
      <c r="DD392" s="1070"/>
      <c r="DE392" s="1070"/>
      <c r="DF392" s="1070"/>
      <c r="DG392" s="1070"/>
      <c r="DH392" s="1070"/>
      <c r="DI392" s="1070"/>
    </row>
    <row r="393" spans="1:113" ht="47.25" x14ac:dyDescent="0.25">
      <c r="A393" s="1438" t="s">
        <v>1895</v>
      </c>
      <c r="B393" s="1439"/>
      <c r="C393" s="1349"/>
      <c r="D393" s="1349"/>
      <c r="E393" s="1349"/>
      <c r="F393" s="1349"/>
      <c r="G393" s="1349"/>
      <c r="H393" s="1350"/>
      <c r="I393" s="1350"/>
      <c r="J393" s="1350"/>
      <c r="K393" s="1350"/>
      <c r="L393" s="1350"/>
      <c r="M393" s="1350"/>
      <c r="N393" s="1350"/>
      <c r="O393" s="1350"/>
      <c r="P393" s="1350"/>
      <c r="Q393" s="1350"/>
      <c r="R393" s="1350"/>
      <c r="S393" s="1350"/>
      <c r="T393" s="1350"/>
      <c r="U393" s="1350"/>
      <c r="V393" s="1350"/>
      <c r="W393" s="1350"/>
      <c r="X393" s="1350"/>
      <c r="Y393" s="1350"/>
      <c r="Z393" s="1350"/>
      <c r="AA393" s="1350"/>
      <c r="AB393" s="1350"/>
      <c r="AC393" s="1350"/>
      <c r="AD393" s="1350"/>
      <c r="AE393" s="1350"/>
      <c r="AF393" s="1350"/>
      <c r="AG393" s="1350"/>
      <c r="AH393" s="1350"/>
      <c r="AI393" s="1350"/>
      <c r="AJ393" s="1350"/>
      <c r="AK393" s="1350"/>
      <c r="AL393" s="1350"/>
      <c r="AM393" s="1350"/>
      <c r="AN393" s="1350"/>
      <c r="AO393" s="1350"/>
      <c r="AP393" s="1350"/>
      <c r="AQ393" s="1350"/>
      <c r="AR393" s="1350"/>
      <c r="AS393" s="1350"/>
      <c r="AT393" s="1350"/>
      <c r="AU393" s="1350"/>
      <c r="AV393" s="1350"/>
      <c r="AW393" s="1350"/>
      <c r="AX393" s="1350"/>
      <c r="AY393" s="1350"/>
      <c r="AZ393" s="1350"/>
      <c r="BA393" s="1070"/>
      <c r="BB393" s="1070"/>
      <c r="BC393" s="1070"/>
      <c r="BD393" s="1070"/>
      <c r="BE393" s="1070"/>
      <c r="BF393" s="1070"/>
      <c r="BG393" s="1070"/>
      <c r="BH393" s="1070"/>
      <c r="BI393" s="1070"/>
      <c r="BJ393" s="1070"/>
      <c r="BK393" s="1070"/>
      <c r="BL393" s="1070"/>
      <c r="BM393" s="1070"/>
      <c r="BN393" s="1070"/>
      <c r="BO393" s="1070"/>
      <c r="BP393" s="1070"/>
      <c r="BQ393" s="1070"/>
      <c r="BR393" s="1070"/>
      <c r="BS393" s="1070"/>
      <c r="BT393" s="1070"/>
      <c r="BU393" s="1070"/>
      <c r="BV393" s="1070"/>
      <c r="BW393" s="1070"/>
      <c r="BX393" s="1070"/>
      <c r="BY393" s="1070"/>
      <c r="BZ393" s="1070"/>
      <c r="CA393" s="1070"/>
      <c r="CB393" s="1070"/>
      <c r="CC393" s="1070"/>
      <c r="CD393" s="1070"/>
      <c r="CE393" s="1070"/>
      <c r="CF393" s="1070"/>
      <c r="CG393" s="1070"/>
      <c r="CH393" s="1070"/>
      <c r="CI393" s="1070"/>
      <c r="CJ393" s="1070"/>
      <c r="CK393" s="1070"/>
      <c r="CL393" s="1070"/>
      <c r="CM393" s="1070"/>
      <c r="CN393" s="1070"/>
      <c r="CO393" s="1070"/>
      <c r="CP393" s="1070"/>
      <c r="CQ393" s="1070"/>
      <c r="CR393" s="1070"/>
      <c r="CS393" s="1070"/>
      <c r="CT393" s="1070"/>
      <c r="CU393" s="1070"/>
      <c r="CV393" s="1070"/>
      <c r="CW393" s="1070"/>
      <c r="CX393" s="1070"/>
      <c r="CY393" s="1070"/>
      <c r="CZ393" s="1070"/>
      <c r="DA393" s="1070"/>
      <c r="DB393" s="1070"/>
      <c r="DC393" s="1070"/>
      <c r="DD393" s="1070"/>
      <c r="DE393" s="1070"/>
      <c r="DF393" s="1070"/>
      <c r="DG393" s="1070"/>
      <c r="DH393" s="1070"/>
      <c r="DI393" s="1070"/>
    </row>
    <row r="394" spans="1:113" ht="15.75" x14ac:dyDescent="0.25">
      <c r="A394" s="1420" t="s">
        <v>424</v>
      </c>
      <c r="B394" s="1439" t="e">
        <f>(B291^2*((B344-B348)/B308+1)/(B344-B348))*B346</f>
        <v>#DIV/0!</v>
      </c>
      <c r="C394" s="1429"/>
      <c r="D394" s="1429"/>
      <c r="E394" s="1429"/>
      <c r="F394" s="1429"/>
      <c r="G394" s="1429"/>
      <c r="H394" s="1350"/>
      <c r="I394" s="1350"/>
      <c r="J394" s="1350"/>
      <c r="K394" s="1350"/>
      <c r="L394" s="1350"/>
      <c r="M394" s="1350"/>
      <c r="N394" s="1350"/>
      <c r="O394" s="1350"/>
      <c r="P394" s="1350"/>
      <c r="Q394" s="1350"/>
      <c r="R394" s="1350"/>
      <c r="S394" s="1350"/>
      <c r="T394" s="1350"/>
      <c r="U394" s="1350"/>
      <c r="V394" s="1350"/>
      <c r="W394" s="1350"/>
      <c r="X394" s="1350"/>
      <c r="Y394" s="1350"/>
      <c r="Z394" s="1350"/>
      <c r="AA394" s="1350"/>
      <c r="AB394" s="1350"/>
      <c r="AC394" s="1350"/>
      <c r="AD394" s="1350"/>
      <c r="AE394" s="1350"/>
      <c r="AF394" s="1350"/>
      <c r="AG394" s="1350"/>
      <c r="AH394" s="1350"/>
      <c r="AI394" s="1350"/>
      <c r="AJ394" s="1350"/>
      <c r="AK394" s="1350"/>
      <c r="AL394" s="1350"/>
      <c r="AM394" s="1350"/>
      <c r="AN394" s="1350"/>
      <c r="AO394" s="1350"/>
      <c r="AP394" s="1350"/>
      <c r="AQ394" s="1350"/>
      <c r="AR394" s="1350"/>
      <c r="AS394" s="1350"/>
      <c r="AT394" s="1350"/>
      <c r="AU394" s="1350"/>
      <c r="AV394" s="1350"/>
      <c r="AW394" s="1350"/>
      <c r="AX394" s="1350"/>
      <c r="AY394" s="1350"/>
      <c r="AZ394" s="1350"/>
      <c r="BA394" s="1070"/>
      <c r="BB394" s="1070"/>
      <c r="BC394" s="1070"/>
      <c r="BD394" s="1070"/>
      <c r="BE394" s="1070"/>
      <c r="BF394" s="1070"/>
      <c r="BG394" s="1070"/>
      <c r="BH394" s="1070"/>
      <c r="BI394" s="1070"/>
      <c r="BJ394" s="1070"/>
      <c r="BK394" s="1070"/>
      <c r="BL394" s="1070"/>
      <c r="BM394" s="1070"/>
      <c r="BN394" s="1070"/>
      <c r="BO394" s="1070"/>
      <c r="BP394" s="1070"/>
      <c r="BQ394" s="1070"/>
      <c r="BR394" s="1070"/>
      <c r="BS394" s="1070"/>
      <c r="BT394" s="1070"/>
      <c r="BU394" s="1070"/>
      <c r="BV394" s="1070"/>
      <c r="BW394" s="1070"/>
      <c r="BX394" s="1070"/>
      <c r="BY394" s="1070"/>
      <c r="BZ394" s="1070"/>
      <c r="CA394" s="1070"/>
      <c r="CB394" s="1070"/>
      <c r="CC394" s="1070"/>
      <c r="CD394" s="1070"/>
      <c r="CE394" s="1070"/>
      <c r="CF394" s="1070"/>
      <c r="CG394" s="1070"/>
      <c r="CH394" s="1070"/>
      <c r="CI394" s="1070"/>
      <c r="CJ394" s="1070"/>
      <c r="CK394" s="1070"/>
      <c r="CL394" s="1070"/>
      <c r="CM394" s="1070"/>
      <c r="CN394" s="1070"/>
      <c r="CO394" s="1070"/>
      <c r="CP394" s="1070"/>
      <c r="CQ394" s="1070"/>
      <c r="CR394" s="1070"/>
      <c r="CS394" s="1070"/>
      <c r="CT394" s="1070"/>
      <c r="CU394" s="1070"/>
      <c r="CV394" s="1070"/>
      <c r="CW394" s="1070"/>
      <c r="CX394" s="1070"/>
      <c r="CY394" s="1070"/>
      <c r="CZ394" s="1070"/>
      <c r="DA394" s="1070"/>
      <c r="DB394" s="1070"/>
      <c r="DC394" s="1070"/>
      <c r="DD394" s="1070"/>
      <c r="DE394" s="1070"/>
      <c r="DF394" s="1070"/>
      <c r="DG394" s="1070"/>
      <c r="DH394" s="1070"/>
      <c r="DI394" s="1070"/>
    </row>
    <row r="395" spans="1:113" ht="15.75" x14ac:dyDescent="0.25">
      <c r="A395" s="1420" t="s">
        <v>1718</v>
      </c>
      <c r="B395" s="1424">
        <f>INDEX($G$1619:$J$1631,B397,B399)</f>
        <v>29.7</v>
      </c>
      <c r="C395" s="1349"/>
      <c r="D395" s="1349"/>
      <c r="E395" s="1349"/>
      <c r="F395" s="1349"/>
      <c r="G395" s="1349"/>
      <c r="H395" s="1350"/>
      <c r="I395" s="1350"/>
      <c r="J395" s="1350"/>
      <c r="K395" s="1350"/>
      <c r="L395" s="1350"/>
      <c r="M395" s="1350"/>
      <c r="N395" s="1350"/>
      <c r="O395" s="1350"/>
      <c r="P395" s="1350"/>
      <c r="Q395" s="1350"/>
      <c r="R395" s="1350"/>
      <c r="S395" s="1350"/>
      <c r="T395" s="1350"/>
      <c r="U395" s="1350"/>
      <c r="V395" s="1350"/>
      <c r="W395" s="1350"/>
      <c r="X395" s="1350"/>
      <c r="Y395" s="1350"/>
      <c r="Z395" s="1350"/>
      <c r="AA395" s="1350"/>
      <c r="AB395" s="1350"/>
      <c r="AC395" s="1350"/>
      <c r="AD395" s="1350"/>
      <c r="AE395" s="1350"/>
      <c r="AF395" s="1350"/>
      <c r="AG395" s="1350"/>
      <c r="AH395" s="1350"/>
      <c r="AI395" s="1350"/>
      <c r="AJ395" s="1350"/>
      <c r="AK395" s="1350"/>
      <c r="AL395" s="1350"/>
      <c r="AM395" s="1350"/>
      <c r="AN395" s="1350"/>
      <c r="AO395" s="1350"/>
      <c r="AP395" s="1350"/>
      <c r="AQ395" s="1350"/>
      <c r="AR395" s="1350"/>
      <c r="AS395" s="1350"/>
      <c r="AT395" s="1350"/>
      <c r="AU395" s="1350"/>
      <c r="AV395" s="1350"/>
      <c r="AW395" s="1350"/>
      <c r="AX395" s="1350"/>
      <c r="AY395" s="1350"/>
      <c r="AZ395" s="1350"/>
      <c r="BA395" s="1070"/>
      <c r="BB395" s="1070"/>
      <c r="BC395" s="1070"/>
      <c r="BD395" s="1070"/>
      <c r="BE395" s="1070"/>
      <c r="BF395" s="1070"/>
      <c r="BG395" s="1070"/>
      <c r="BH395" s="1070"/>
      <c r="BI395" s="1070"/>
      <c r="BJ395" s="1070"/>
      <c r="BK395" s="1070"/>
      <c r="BL395" s="1070"/>
      <c r="BM395" s="1070"/>
      <c r="BN395" s="1070"/>
      <c r="BO395" s="1070"/>
      <c r="BP395" s="1070"/>
      <c r="BQ395" s="1070"/>
      <c r="BR395" s="1070"/>
      <c r="BS395" s="1070"/>
      <c r="BT395" s="1070"/>
      <c r="BU395" s="1070"/>
      <c r="BV395" s="1070"/>
      <c r="BW395" s="1070"/>
      <c r="BX395" s="1070"/>
      <c r="BY395" s="1070"/>
      <c r="BZ395" s="1070"/>
      <c r="CA395" s="1070"/>
      <c r="CB395" s="1070"/>
      <c r="CC395" s="1070"/>
      <c r="CD395" s="1070"/>
      <c r="CE395" s="1070"/>
      <c r="CF395" s="1070"/>
      <c r="CG395" s="1070"/>
      <c r="CH395" s="1070"/>
      <c r="CI395" s="1070"/>
      <c r="CJ395" s="1070"/>
      <c r="CK395" s="1070"/>
      <c r="CL395" s="1070"/>
      <c r="CM395" s="1070"/>
      <c r="CN395" s="1070"/>
      <c r="CO395" s="1070"/>
      <c r="CP395" s="1070"/>
      <c r="CQ395" s="1070"/>
      <c r="CR395" s="1070"/>
      <c r="CS395" s="1070"/>
      <c r="CT395" s="1070"/>
      <c r="CU395" s="1070"/>
      <c r="CV395" s="1070"/>
      <c r="CW395" s="1070"/>
      <c r="CX395" s="1070"/>
      <c r="CY395" s="1070"/>
      <c r="CZ395" s="1070"/>
      <c r="DA395" s="1070"/>
      <c r="DB395" s="1070"/>
      <c r="DC395" s="1070"/>
      <c r="DD395" s="1070"/>
      <c r="DE395" s="1070"/>
      <c r="DF395" s="1070"/>
      <c r="DG395" s="1070"/>
      <c r="DH395" s="1070"/>
      <c r="DI395" s="1070"/>
    </row>
    <row r="396" spans="1:113" ht="15.75" x14ac:dyDescent="0.25">
      <c r="A396" s="1435" t="s">
        <v>1719</v>
      </c>
      <c r="B396" s="1439"/>
      <c r="C396" s="1437"/>
      <c r="D396" s="1437"/>
      <c r="E396" s="1437"/>
      <c r="F396" s="1437"/>
      <c r="G396" s="1437"/>
      <c r="H396" s="1350"/>
      <c r="I396" s="1350"/>
      <c r="J396" s="1350"/>
      <c r="K396" s="1350"/>
      <c r="L396" s="1350"/>
      <c r="M396" s="1350"/>
      <c r="N396" s="1350"/>
      <c r="O396" s="1350"/>
      <c r="P396" s="1350"/>
      <c r="Q396" s="1350"/>
      <c r="R396" s="1350"/>
      <c r="S396" s="1350"/>
      <c r="T396" s="1350"/>
      <c r="U396" s="1350"/>
      <c r="V396" s="1350"/>
      <c r="W396" s="1350"/>
      <c r="X396" s="1350"/>
      <c r="Y396" s="1350"/>
      <c r="Z396" s="1350"/>
      <c r="AA396" s="1350"/>
      <c r="AB396" s="1350"/>
      <c r="AC396" s="1350"/>
      <c r="AD396" s="1350"/>
      <c r="AE396" s="1350"/>
      <c r="AF396" s="1350"/>
      <c r="AG396" s="1350"/>
      <c r="AH396" s="1350"/>
      <c r="AI396" s="1350"/>
      <c r="AJ396" s="1350"/>
      <c r="AK396" s="1350"/>
      <c r="AL396" s="1350"/>
      <c r="AM396" s="1350"/>
      <c r="AN396" s="1350"/>
      <c r="AO396" s="1350"/>
      <c r="AP396" s="1350"/>
      <c r="AQ396" s="1350"/>
      <c r="AR396" s="1350"/>
      <c r="AS396" s="1350"/>
      <c r="AT396" s="1350"/>
      <c r="AU396" s="1350"/>
      <c r="AV396" s="1350"/>
      <c r="AW396" s="1350"/>
      <c r="AX396" s="1350"/>
      <c r="AY396" s="1350"/>
      <c r="AZ396" s="1350"/>
      <c r="BA396" s="1070"/>
      <c r="BB396" s="1070"/>
      <c r="BC396" s="1070"/>
      <c r="BD396" s="1070"/>
      <c r="BE396" s="1070"/>
      <c r="BF396" s="1070"/>
      <c r="BG396" s="1070"/>
      <c r="BH396" s="1070"/>
      <c r="BI396" s="1070"/>
      <c r="BJ396" s="1070"/>
      <c r="BK396" s="1070"/>
      <c r="BL396" s="1070"/>
      <c r="BM396" s="1070"/>
      <c r="BN396" s="1070"/>
      <c r="BO396" s="1070"/>
      <c r="BP396" s="1070"/>
      <c r="BQ396" s="1070"/>
      <c r="BR396" s="1070"/>
      <c r="BS396" s="1070"/>
      <c r="BT396" s="1070"/>
      <c r="BU396" s="1070"/>
      <c r="BV396" s="1070"/>
      <c r="BW396" s="1070"/>
      <c r="BX396" s="1070"/>
      <c r="BY396" s="1070"/>
      <c r="BZ396" s="1070"/>
      <c r="CA396" s="1070"/>
      <c r="CB396" s="1070"/>
      <c r="CC396" s="1070"/>
      <c r="CD396" s="1070"/>
      <c r="CE396" s="1070"/>
      <c r="CF396" s="1070"/>
      <c r="CG396" s="1070"/>
      <c r="CH396" s="1070"/>
      <c r="CI396" s="1070"/>
      <c r="CJ396" s="1070"/>
      <c r="CK396" s="1070"/>
      <c r="CL396" s="1070"/>
      <c r="CM396" s="1070"/>
      <c r="CN396" s="1070"/>
      <c r="CO396" s="1070"/>
      <c r="CP396" s="1070"/>
      <c r="CQ396" s="1070"/>
      <c r="CR396" s="1070"/>
      <c r="CS396" s="1070"/>
      <c r="CT396" s="1070"/>
      <c r="CU396" s="1070"/>
      <c r="CV396" s="1070"/>
      <c r="CW396" s="1070"/>
      <c r="CX396" s="1070"/>
      <c r="CY396" s="1070"/>
      <c r="CZ396" s="1070"/>
      <c r="DA396" s="1070"/>
      <c r="DB396" s="1070"/>
      <c r="DC396" s="1070"/>
      <c r="DD396" s="1070"/>
      <c r="DE396" s="1070"/>
      <c r="DF396" s="1070"/>
      <c r="DG396" s="1070"/>
      <c r="DH396" s="1070"/>
      <c r="DI396" s="1070"/>
    </row>
    <row r="397" spans="1:113" ht="15.75" x14ac:dyDescent="0.25">
      <c r="A397" s="1420" t="s">
        <v>1720</v>
      </c>
      <c r="B397" s="1441">
        <f>IF(B286&lt;0.51,1,IF(B286&lt;0.61,2,IF(B286&lt;0.71,3,IF(B286&lt;0.81,4,IF(B286&lt;0.91,5,IF(B286&lt;1.01,6,IF(B286&lt;1.11,7,B398)))))))</f>
        <v>13</v>
      </c>
      <c r="C397" s="1429"/>
      <c r="D397" s="1429"/>
      <c r="E397" s="1429"/>
      <c r="F397" s="1429"/>
      <c r="G397" s="1429"/>
      <c r="H397" s="1350"/>
      <c r="I397" s="1350"/>
      <c r="J397" s="1350"/>
      <c r="K397" s="1350"/>
      <c r="L397" s="1350"/>
      <c r="M397" s="1350"/>
      <c r="N397" s="1350"/>
      <c r="O397" s="1350"/>
      <c r="P397" s="1350"/>
      <c r="Q397" s="1350"/>
      <c r="R397" s="1350"/>
      <c r="S397" s="1350"/>
      <c r="T397" s="1350"/>
      <c r="U397" s="1350"/>
      <c r="V397" s="1350"/>
      <c r="W397" s="1350"/>
      <c r="X397" s="1350"/>
      <c r="Y397" s="1350"/>
      <c r="Z397" s="1350"/>
      <c r="AA397" s="1350"/>
      <c r="AB397" s="1350"/>
      <c r="AC397" s="1350"/>
      <c r="AD397" s="1350"/>
      <c r="AE397" s="1350"/>
      <c r="AF397" s="1350"/>
      <c r="AG397" s="1350"/>
      <c r="AH397" s="1350"/>
      <c r="AI397" s="1350"/>
      <c r="AJ397" s="1350"/>
      <c r="AK397" s="1350"/>
      <c r="AL397" s="1350"/>
      <c r="AM397" s="1350"/>
      <c r="AN397" s="1350"/>
      <c r="AO397" s="1350"/>
      <c r="AP397" s="1350"/>
      <c r="AQ397" s="1350"/>
      <c r="AR397" s="1350"/>
      <c r="AS397" s="1350"/>
      <c r="AT397" s="1350"/>
      <c r="AU397" s="1350"/>
      <c r="AV397" s="1350"/>
      <c r="AW397" s="1350"/>
      <c r="AX397" s="1350"/>
      <c r="AY397" s="1350"/>
      <c r="AZ397" s="1350"/>
      <c r="BA397" s="1070"/>
      <c r="BB397" s="1070"/>
      <c r="BC397" s="1070"/>
      <c r="BD397" s="1070"/>
      <c r="BE397" s="1070"/>
      <c r="BF397" s="1070"/>
      <c r="BG397" s="1070"/>
      <c r="BH397" s="1070"/>
      <c r="BI397" s="1070"/>
      <c r="BJ397" s="1070"/>
      <c r="BK397" s="1070"/>
      <c r="BL397" s="1070"/>
      <c r="BM397" s="1070"/>
      <c r="BN397" s="1070"/>
      <c r="BO397" s="1070"/>
      <c r="BP397" s="1070"/>
      <c r="BQ397" s="1070"/>
      <c r="BR397" s="1070"/>
      <c r="BS397" s="1070"/>
      <c r="BT397" s="1070"/>
      <c r="BU397" s="1070"/>
      <c r="BV397" s="1070"/>
      <c r="BW397" s="1070"/>
      <c r="BX397" s="1070"/>
      <c r="BY397" s="1070"/>
      <c r="BZ397" s="1070"/>
      <c r="CA397" s="1070"/>
      <c r="CB397" s="1070"/>
      <c r="CC397" s="1070"/>
      <c r="CD397" s="1070"/>
      <c r="CE397" s="1070"/>
      <c r="CF397" s="1070"/>
      <c r="CG397" s="1070"/>
      <c r="CH397" s="1070"/>
      <c r="CI397" s="1070"/>
      <c r="CJ397" s="1070"/>
      <c r="CK397" s="1070"/>
      <c r="CL397" s="1070"/>
      <c r="CM397" s="1070"/>
      <c r="CN397" s="1070"/>
      <c r="CO397" s="1070"/>
      <c r="CP397" s="1070"/>
      <c r="CQ397" s="1070"/>
      <c r="CR397" s="1070"/>
      <c r="CS397" s="1070"/>
      <c r="CT397" s="1070"/>
      <c r="CU397" s="1070"/>
      <c r="CV397" s="1070"/>
      <c r="CW397" s="1070"/>
      <c r="CX397" s="1070"/>
      <c r="CY397" s="1070"/>
      <c r="CZ397" s="1070"/>
      <c r="DA397" s="1070"/>
      <c r="DB397" s="1070"/>
      <c r="DC397" s="1070"/>
      <c r="DD397" s="1070"/>
      <c r="DE397" s="1070"/>
      <c r="DF397" s="1070"/>
      <c r="DG397" s="1070"/>
      <c r="DH397" s="1070"/>
      <c r="DI397" s="1070"/>
    </row>
    <row r="398" spans="1:113" ht="31.5" x14ac:dyDescent="0.25">
      <c r="A398" s="1435" t="s">
        <v>1721</v>
      </c>
      <c r="B398" s="1441">
        <f>IF(B286&lt;1.26,8,IF(B286&lt;1.41,9,IF(B286&lt;1.61,10,IF(B286&lt;1.81,11,IF(B286&lt;2.01,12,13)))))</f>
        <v>13</v>
      </c>
      <c r="C398" s="1432"/>
      <c r="D398" s="1432"/>
      <c r="E398" s="1432"/>
      <c r="F398" s="1432"/>
      <c r="G398" s="1432"/>
      <c r="H398" s="1350"/>
      <c r="I398" s="1350"/>
      <c r="J398" s="1350"/>
      <c r="K398" s="1350"/>
      <c r="L398" s="1350"/>
      <c r="M398" s="1350"/>
      <c r="N398" s="1350"/>
      <c r="O398" s="1350"/>
      <c r="P398" s="1350"/>
      <c r="Q398" s="1350"/>
      <c r="R398" s="1350"/>
      <c r="S398" s="1350"/>
      <c r="T398" s="1350"/>
      <c r="U398" s="1350"/>
      <c r="V398" s="1350"/>
      <c r="W398" s="1350"/>
      <c r="X398" s="1350"/>
      <c r="Y398" s="1350"/>
      <c r="Z398" s="1350"/>
      <c r="AA398" s="1350"/>
      <c r="AB398" s="1350"/>
      <c r="AC398" s="1350"/>
      <c r="AD398" s="1350"/>
      <c r="AE398" s="1350"/>
      <c r="AF398" s="1350"/>
      <c r="AG398" s="1350"/>
      <c r="AH398" s="1350"/>
      <c r="AI398" s="1350"/>
      <c r="AJ398" s="1350"/>
      <c r="AK398" s="1350"/>
      <c r="AL398" s="1350"/>
      <c r="AM398" s="1350"/>
      <c r="AN398" s="1350"/>
      <c r="AO398" s="1350"/>
      <c r="AP398" s="1350"/>
      <c r="AQ398" s="1350"/>
      <c r="AR398" s="1350"/>
      <c r="AS398" s="1350"/>
      <c r="AT398" s="1350"/>
      <c r="AU398" s="1350"/>
      <c r="AV398" s="1350"/>
      <c r="AW398" s="1350"/>
      <c r="AX398" s="1350"/>
      <c r="AY398" s="1350"/>
      <c r="AZ398" s="1350"/>
      <c r="BA398" s="1070"/>
      <c r="BB398" s="1070"/>
      <c r="BC398" s="1070"/>
      <c r="BD398" s="1070"/>
      <c r="BE398" s="1070"/>
      <c r="BF398" s="1070"/>
      <c r="BG398" s="1070"/>
      <c r="BH398" s="1070"/>
      <c r="BI398" s="1070"/>
      <c r="BJ398" s="1070"/>
      <c r="BK398" s="1070"/>
      <c r="BL398" s="1070"/>
      <c r="BM398" s="1070"/>
      <c r="BN398" s="1070"/>
      <c r="BO398" s="1070"/>
      <c r="BP398" s="1070"/>
      <c r="BQ398" s="1070"/>
      <c r="BR398" s="1070"/>
      <c r="BS398" s="1070"/>
      <c r="BT398" s="1070"/>
      <c r="BU398" s="1070"/>
      <c r="BV398" s="1070"/>
      <c r="BW398" s="1070"/>
      <c r="BX398" s="1070"/>
      <c r="BY398" s="1070"/>
      <c r="BZ398" s="1070"/>
      <c r="CA398" s="1070"/>
      <c r="CB398" s="1070"/>
      <c r="CC398" s="1070"/>
      <c r="CD398" s="1070"/>
      <c r="CE398" s="1070"/>
      <c r="CF398" s="1070"/>
      <c r="CG398" s="1070"/>
      <c r="CH398" s="1070"/>
      <c r="CI398" s="1070"/>
      <c r="CJ398" s="1070"/>
      <c r="CK398" s="1070"/>
      <c r="CL398" s="1070"/>
      <c r="CM398" s="1070"/>
      <c r="CN398" s="1070"/>
      <c r="CO398" s="1070"/>
      <c r="CP398" s="1070"/>
      <c r="CQ398" s="1070"/>
      <c r="CR398" s="1070"/>
      <c r="CS398" s="1070"/>
      <c r="CT398" s="1070"/>
      <c r="CU398" s="1070"/>
      <c r="CV398" s="1070"/>
      <c r="CW398" s="1070"/>
      <c r="CX398" s="1070"/>
      <c r="CY398" s="1070"/>
      <c r="CZ398" s="1070"/>
      <c r="DA398" s="1070"/>
      <c r="DB398" s="1070"/>
      <c r="DC398" s="1070"/>
      <c r="DD398" s="1070"/>
      <c r="DE398" s="1070"/>
      <c r="DF398" s="1070"/>
      <c r="DG398" s="1070"/>
      <c r="DH398" s="1070"/>
      <c r="DI398" s="1070"/>
    </row>
    <row r="399" spans="1:113" ht="15.75" x14ac:dyDescent="0.25">
      <c r="A399" s="1420" t="s">
        <v>1722</v>
      </c>
      <c r="B399" s="1441">
        <f>IF(B297&lt;21,1,IF(B297&lt;36,2,IF(B297&lt;56,3,4)))</f>
        <v>4</v>
      </c>
      <c r="C399" s="1429"/>
      <c r="D399" s="1350"/>
      <c r="E399" s="1350"/>
      <c r="F399" s="1350"/>
      <c r="G399" s="1350"/>
      <c r="H399" s="1350"/>
      <c r="I399" s="1350"/>
      <c r="J399" s="1350"/>
      <c r="K399" s="1350"/>
      <c r="L399" s="1350"/>
      <c r="M399" s="1350"/>
      <c r="N399" s="1350"/>
      <c r="O399" s="1350"/>
      <c r="P399" s="1350"/>
      <c r="Q399" s="1350"/>
      <c r="R399" s="1350"/>
      <c r="S399" s="1350"/>
      <c r="T399" s="1350"/>
      <c r="U399" s="1350"/>
      <c r="V399" s="1350"/>
      <c r="W399" s="1350"/>
      <c r="X399" s="1350"/>
      <c r="Y399" s="1350"/>
      <c r="Z399" s="1350"/>
      <c r="AA399" s="1350"/>
      <c r="AB399" s="1350"/>
      <c r="AC399" s="1350"/>
      <c r="AD399" s="1350"/>
      <c r="AE399" s="1350"/>
      <c r="AF399" s="1350"/>
      <c r="AG399" s="1350"/>
      <c r="AH399" s="1350"/>
      <c r="AI399" s="1350"/>
      <c r="AJ399" s="1350"/>
      <c r="AK399" s="1350"/>
      <c r="AL399" s="1350"/>
      <c r="AM399" s="1350"/>
      <c r="AN399" s="1350"/>
      <c r="AO399" s="1350"/>
      <c r="AP399" s="1350"/>
      <c r="AQ399" s="1350"/>
      <c r="AR399" s="1350"/>
      <c r="AS399" s="1350"/>
      <c r="AT399" s="1350"/>
      <c r="AU399" s="1350"/>
      <c r="AV399" s="1350"/>
      <c r="AW399" s="1350"/>
      <c r="AX399" s="1350"/>
      <c r="AY399" s="1350"/>
      <c r="AZ399" s="1350"/>
      <c r="BA399" s="1070"/>
      <c r="BB399" s="1070"/>
      <c r="BC399" s="1070"/>
      <c r="BD399" s="1070"/>
      <c r="BE399" s="1070"/>
      <c r="BF399" s="1070"/>
      <c r="BG399" s="1070"/>
      <c r="BH399" s="1070"/>
      <c r="BI399" s="1070"/>
      <c r="BJ399" s="1070"/>
      <c r="BK399" s="1070"/>
      <c r="BL399" s="1070"/>
      <c r="BM399" s="1070"/>
      <c r="BN399" s="1070"/>
      <c r="BO399" s="1070"/>
      <c r="BP399" s="1070"/>
      <c r="BQ399" s="1070"/>
      <c r="BR399" s="1070"/>
      <c r="BS399" s="1070"/>
      <c r="BT399" s="1070"/>
      <c r="BU399" s="1070"/>
      <c r="BV399" s="1070"/>
      <c r="BW399" s="1070"/>
      <c r="BX399" s="1070"/>
      <c r="BY399" s="1070"/>
      <c r="BZ399" s="1070"/>
      <c r="CA399" s="1070"/>
      <c r="CB399" s="1070"/>
      <c r="CC399" s="1070"/>
      <c r="CD399" s="1070"/>
      <c r="CE399" s="1070"/>
      <c r="CF399" s="1070"/>
      <c r="CG399" s="1070"/>
      <c r="CH399" s="1070"/>
      <c r="CI399" s="1070"/>
      <c r="CJ399" s="1070"/>
      <c r="CK399" s="1070"/>
      <c r="CL399" s="1070"/>
      <c r="CM399" s="1070"/>
      <c r="CN399" s="1070"/>
      <c r="CO399" s="1070"/>
      <c r="CP399" s="1070"/>
      <c r="CQ399" s="1070"/>
      <c r="CR399" s="1070"/>
      <c r="CS399" s="1070"/>
      <c r="CT399" s="1070"/>
      <c r="CU399" s="1070"/>
      <c r="CV399" s="1070"/>
      <c r="CW399" s="1070"/>
      <c r="CX399" s="1070"/>
      <c r="CY399" s="1070"/>
      <c r="CZ399" s="1070"/>
      <c r="DA399" s="1070"/>
      <c r="DB399" s="1070"/>
      <c r="DC399" s="1070"/>
      <c r="DD399" s="1070"/>
      <c r="DE399" s="1070"/>
      <c r="DF399" s="1070"/>
      <c r="DG399" s="1070"/>
      <c r="DH399" s="1070"/>
      <c r="DI399" s="1070"/>
    </row>
    <row r="400" spans="1:113" ht="15.75" x14ac:dyDescent="0.25">
      <c r="A400" s="1420" t="s">
        <v>1723</v>
      </c>
      <c r="B400" s="1439"/>
      <c r="C400" s="1432"/>
      <c r="D400" s="1350"/>
      <c r="E400" s="1350"/>
      <c r="F400" s="1350"/>
      <c r="G400" s="1350"/>
      <c r="H400" s="1350"/>
      <c r="I400" s="1350"/>
      <c r="J400" s="1350"/>
      <c r="K400" s="1350"/>
      <c r="L400" s="1350"/>
      <c r="M400" s="1350"/>
      <c r="N400" s="1350"/>
      <c r="O400" s="1350"/>
      <c r="P400" s="1350"/>
      <c r="Q400" s="1350"/>
      <c r="R400" s="1350"/>
      <c r="S400" s="1350"/>
      <c r="T400" s="1350"/>
      <c r="U400" s="1350"/>
      <c r="V400" s="1350"/>
      <c r="W400" s="1350"/>
      <c r="X400" s="1350"/>
      <c r="Y400" s="1350"/>
      <c r="Z400" s="1350"/>
      <c r="AA400" s="1350"/>
      <c r="AB400" s="1350"/>
      <c r="AC400" s="1350"/>
      <c r="AD400" s="1350"/>
      <c r="AE400" s="1350"/>
      <c r="AF400" s="1350"/>
      <c r="AG400" s="1350"/>
      <c r="AH400" s="1350"/>
      <c r="AI400" s="1350"/>
      <c r="AJ400" s="1350"/>
      <c r="AK400" s="1350"/>
      <c r="AL400" s="1350"/>
      <c r="AM400" s="1350"/>
      <c r="AN400" s="1350"/>
      <c r="AO400" s="1350"/>
      <c r="AP400" s="1350"/>
      <c r="AQ400" s="1350"/>
      <c r="AR400" s="1350"/>
      <c r="AS400" s="1350"/>
      <c r="AT400" s="1350"/>
      <c r="AU400" s="1350"/>
      <c r="AV400" s="1350"/>
      <c r="AW400" s="1350"/>
      <c r="AX400" s="1350"/>
      <c r="AY400" s="1350"/>
      <c r="AZ400" s="1350"/>
      <c r="BA400" s="1070"/>
      <c r="BB400" s="1070"/>
      <c r="BC400" s="1070"/>
      <c r="BD400" s="1070"/>
      <c r="BE400" s="1070"/>
      <c r="BF400" s="1070"/>
      <c r="BG400" s="1070"/>
      <c r="BH400" s="1070"/>
      <c r="BI400" s="1070"/>
      <c r="BJ400" s="1070"/>
      <c r="BK400" s="1070"/>
      <c r="BL400" s="1070"/>
      <c r="BM400" s="1070"/>
      <c r="BN400" s="1070"/>
      <c r="BO400" s="1070"/>
      <c r="BP400" s="1070"/>
      <c r="BQ400" s="1070"/>
      <c r="BR400" s="1070"/>
      <c r="BS400" s="1070"/>
      <c r="BT400" s="1070"/>
      <c r="BU400" s="1070"/>
      <c r="BV400" s="1070"/>
      <c r="BW400" s="1070"/>
      <c r="BX400" s="1070"/>
      <c r="BY400" s="1070"/>
      <c r="BZ400" s="1070"/>
      <c r="CA400" s="1070"/>
      <c r="CB400" s="1070"/>
      <c r="CC400" s="1070"/>
      <c r="CD400" s="1070"/>
      <c r="CE400" s="1070"/>
      <c r="CF400" s="1070"/>
      <c r="CG400" s="1070"/>
      <c r="CH400" s="1070"/>
      <c r="CI400" s="1070"/>
      <c r="CJ400" s="1070"/>
      <c r="CK400" s="1070"/>
      <c r="CL400" s="1070"/>
      <c r="CM400" s="1070"/>
      <c r="CN400" s="1070"/>
      <c r="CO400" s="1070"/>
      <c r="CP400" s="1070"/>
      <c r="CQ400" s="1070"/>
      <c r="CR400" s="1070"/>
      <c r="CS400" s="1070"/>
      <c r="CT400" s="1070"/>
      <c r="CU400" s="1070"/>
      <c r="CV400" s="1070"/>
      <c r="CW400" s="1070"/>
      <c r="CX400" s="1070"/>
      <c r="CY400" s="1070"/>
      <c r="CZ400" s="1070"/>
      <c r="DA400" s="1070"/>
      <c r="DB400" s="1070"/>
      <c r="DC400" s="1070"/>
      <c r="DD400" s="1070"/>
      <c r="DE400" s="1070"/>
      <c r="DF400" s="1070"/>
      <c r="DG400" s="1070"/>
      <c r="DH400" s="1070"/>
      <c r="DI400" s="1070"/>
    </row>
    <row r="401" spans="1:113" ht="31.5" x14ac:dyDescent="0.25">
      <c r="A401" s="1435" t="s">
        <v>1724</v>
      </c>
      <c r="B401" s="1442">
        <v>0</v>
      </c>
      <c r="C401" s="1432"/>
      <c r="D401" s="1432"/>
      <c r="E401" s="1432"/>
      <c r="F401" s="1432"/>
      <c r="G401" s="1432"/>
      <c r="H401" s="1350"/>
      <c r="I401" s="1350"/>
      <c r="J401" s="1350"/>
      <c r="K401" s="1350"/>
      <c r="L401" s="1350"/>
      <c r="M401" s="1350"/>
      <c r="N401" s="1350"/>
      <c r="O401" s="1350"/>
      <c r="P401" s="1350"/>
      <c r="Q401" s="1350"/>
      <c r="R401" s="1350"/>
      <c r="S401" s="1350"/>
      <c r="T401" s="1350"/>
      <c r="U401" s="1350"/>
      <c r="V401" s="1350"/>
      <c r="W401" s="1350"/>
      <c r="X401" s="1350"/>
      <c r="Y401" s="1350"/>
      <c r="Z401" s="1350"/>
      <c r="AA401" s="1350"/>
      <c r="AB401" s="1350"/>
      <c r="AC401" s="1350"/>
      <c r="AD401" s="1350"/>
      <c r="AE401" s="1350"/>
      <c r="AF401" s="1350"/>
      <c r="AG401" s="1350"/>
      <c r="AH401" s="1350"/>
      <c r="AI401" s="1350"/>
      <c r="AJ401" s="1350"/>
      <c r="AK401" s="1350"/>
      <c r="AL401" s="1350"/>
      <c r="AM401" s="1350"/>
      <c r="AN401" s="1350"/>
      <c r="AO401" s="1350"/>
      <c r="AP401" s="1350"/>
      <c r="AQ401" s="1350"/>
      <c r="AR401" s="1350"/>
      <c r="AS401" s="1350"/>
      <c r="AT401" s="1350"/>
      <c r="AU401" s="1350"/>
      <c r="AV401" s="1350"/>
      <c r="AW401" s="1350"/>
      <c r="AX401" s="1350"/>
      <c r="AY401" s="1350"/>
      <c r="AZ401" s="1350"/>
      <c r="BA401" s="1070"/>
      <c r="BB401" s="1070"/>
      <c r="BC401" s="1070"/>
      <c r="BD401" s="1070"/>
      <c r="BE401" s="1070"/>
      <c r="BF401" s="1070"/>
      <c r="BG401" s="1070"/>
      <c r="BH401" s="1070"/>
      <c r="BI401" s="1070"/>
      <c r="BJ401" s="1070"/>
      <c r="BK401" s="1070"/>
      <c r="BL401" s="1070"/>
      <c r="BM401" s="1070"/>
      <c r="BN401" s="1070"/>
      <c r="BO401" s="1070"/>
      <c r="BP401" s="1070"/>
      <c r="BQ401" s="1070"/>
      <c r="BR401" s="1070"/>
      <c r="BS401" s="1070"/>
      <c r="BT401" s="1070"/>
      <c r="BU401" s="1070"/>
      <c r="BV401" s="1070"/>
      <c r="BW401" s="1070"/>
      <c r="BX401" s="1070"/>
      <c r="BY401" s="1070"/>
      <c r="BZ401" s="1070"/>
      <c r="CA401" s="1070"/>
      <c r="CB401" s="1070"/>
      <c r="CC401" s="1070"/>
      <c r="CD401" s="1070"/>
      <c r="CE401" s="1070"/>
      <c r="CF401" s="1070"/>
      <c r="CG401" s="1070"/>
      <c r="CH401" s="1070"/>
      <c r="CI401" s="1070"/>
      <c r="CJ401" s="1070"/>
      <c r="CK401" s="1070"/>
      <c r="CL401" s="1070"/>
      <c r="CM401" s="1070"/>
      <c r="CN401" s="1070"/>
      <c r="CO401" s="1070"/>
      <c r="CP401" s="1070"/>
      <c r="CQ401" s="1070"/>
      <c r="CR401" s="1070"/>
      <c r="CS401" s="1070"/>
      <c r="CT401" s="1070"/>
      <c r="CU401" s="1070"/>
      <c r="CV401" s="1070"/>
      <c r="CW401" s="1070"/>
      <c r="CX401" s="1070"/>
      <c r="CY401" s="1070"/>
      <c r="CZ401" s="1070"/>
      <c r="DA401" s="1070"/>
      <c r="DB401" s="1070"/>
      <c r="DC401" s="1070"/>
      <c r="DD401" s="1070"/>
      <c r="DE401" s="1070"/>
      <c r="DF401" s="1070"/>
      <c r="DG401" s="1070"/>
      <c r="DH401" s="1070"/>
      <c r="DI401" s="1070"/>
    </row>
    <row r="402" spans="1:113" ht="15.75" x14ac:dyDescent="0.25">
      <c r="A402" s="1444" t="s">
        <v>1725</v>
      </c>
      <c r="B402" s="1433">
        <f>IF(B401=1,1.15,1)</f>
        <v>1</v>
      </c>
      <c r="C402" s="1437"/>
      <c r="D402" s="1429"/>
      <c r="E402" s="1429"/>
      <c r="F402" s="1429"/>
      <c r="G402" s="1429"/>
      <c r="H402" s="1350"/>
      <c r="I402" s="1350"/>
      <c r="J402" s="1350"/>
      <c r="K402" s="1350"/>
      <c r="L402" s="1350"/>
      <c r="M402" s="1350"/>
      <c r="N402" s="1350"/>
      <c r="O402" s="1350"/>
      <c r="P402" s="1350"/>
      <c r="Q402" s="1350"/>
      <c r="R402" s="1350"/>
      <c r="S402" s="1350"/>
      <c r="T402" s="1350"/>
      <c r="U402" s="1350"/>
      <c r="V402" s="1350"/>
      <c r="W402" s="1350"/>
      <c r="X402" s="1350"/>
      <c r="Y402" s="1350"/>
      <c r="Z402" s="1350"/>
      <c r="AA402" s="1350"/>
      <c r="AB402" s="1350"/>
      <c r="AC402" s="1350"/>
      <c r="AD402" s="1350"/>
      <c r="AE402" s="1350"/>
      <c r="AF402" s="1350"/>
      <c r="AG402" s="1350"/>
      <c r="AH402" s="1350"/>
      <c r="AI402" s="1350"/>
      <c r="AJ402" s="1350"/>
      <c r="AK402" s="1350"/>
      <c r="AL402" s="1350"/>
      <c r="AM402" s="1350"/>
      <c r="AN402" s="1350"/>
      <c r="AO402" s="1350"/>
      <c r="AP402" s="1350"/>
      <c r="AQ402" s="1350"/>
      <c r="AR402" s="1350"/>
      <c r="AS402" s="1350"/>
      <c r="AT402" s="1350"/>
      <c r="AU402" s="1350"/>
      <c r="AV402" s="1350"/>
      <c r="AW402" s="1350"/>
      <c r="AX402" s="1350"/>
      <c r="AY402" s="1350"/>
      <c r="AZ402" s="1350"/>
      <c r="BA402" s="1070"/>
      <c r="BB402" s="1070"/>
      <c r="BC402" s="1070"/>
      <c r="BD402" s="1070"/>
      <c r="BE402" s="1070"/>
      <c r="BF402" s="1070"/>
      <c r="BG402" s="1070"/>
      <c r="BH402" s="1070"/>
      <c r="BI402" s="1070"/>
      <c r="BJ402" s="1070"/>
      <c r="BK402" s="1070"/>
      <c r="BL402" s="1070"/>
      <c r="BM402" s="1070"/>
      <c r="BN402" s="1070"/>
      <c r="BO402" s="1070"/>
      <c r="BP402" s="1070"/>
      <c r="BQ402" s="1070"/>
      <c r="BR402" s="1070"/>
      <c r="BS402" s="1070"/>
      <c r="BT402" s="1070"/>
      <c r="BU402" s="1070"/>
      <c r="BV402" s="1070"/>
      <c r="BW402" s="1070"/>
      <c r="BX402" s="1070"/>
      <c r="BY402" s="1070"/>
      <c r="BZ402" s="1070"/>
      <c r="CA402" s="1070"/>
      <c r="CB402" s="1070"/>
      <c r="CC402" s="1070"/>
      <c r="CD402" s="1070"/>
      <c r="CE402" s="1070"/>
      <c r="CF402" s="1070"/>
      <c r="CG402" s="1070"/>
      <c r="CH402" s="1070"/>
      <c r="CI402" s="1070"/>
      <c r="CJ402" s="1070"/>
      <c r="CK402" s="1070"/>
      <c r="CL402" s="1070"/>
      <c r="CM402" s="1070"/>
      <c r="CN402" s="1070"/>
      <c r="CO402" s="1070"/>
      <c r="CP402" s="1070"/>
      <c r="CQ402" s="1070"/>
      <c r="CR402" s="1070"/>
      <c r="CS402" s="1070"/>
      <c r="CT402" s="1070"/>
      <c r="CU402" s="1070"/>
      <c r="CV402" s="1070"/>
      <c r="CW402" s="1070"/>
      <c r="CX402" s="1070"/>
      <c r="CY402" s="1070"/>
      <c r="CZ402" s="1070"/>
      <c r="DA402" s="1070"/>
      <c r="DB402" s="1070"/>
      <c r="DC402" s="1070"/>
      <c r="DD402" s="1070"/>
      <c r="DE402" s="1070"/>
      <c r="DF402" s="1070"/>
      <c r="DG402" s="1070"/>
      <c r="DH402" s="1070"/>
      <c r="DI402" s="1070"/>
    </row>
    <row r="403" spans="1:113" ht="31.5" x14ac:dyDescent="0.25">
      <c r="A403" s="1435" t="s">
        <v>5573</v>
      </c>
      <c r="B403" s="1442">
        <v>0</v>
      </c>
      <c r="C403" s="1349"/>
      <c r="D403" s="1350"/>
      <c r="E403" s="1350"/>
      <c r="F403" s="1350"/>
      <c r="G403" s="1350"/>
      <c r="H403" s="1350"/>
      <c r="I403" s="1350"/>
      <c r="J403" s="1350"/>
      <c r="K403" s="1350"/>
      <c r="L403" s="1350"/>
      <c r="M403" s="1350"/>
      <c r="N403" s="1350"/>
      <c r="O403" s="1350"/>
      <c r="P403" s="1350"/>
      <c r="Q403" s="1350"/>
      <c r="R403" s="1350"/>
      <c r="S403" s="1350"/>
      <c r="T403" s="1350"/>
      <c r="U403" s="1350"/>
      <c r="V403" s="1350"/>
      <c r="W403" s="1350"/>
      <c r="X403" s="1350"/>
      <c r="Y403" s="1350"/>
      <c r="Z403" s="1350"/>
      <c r="AA403" s="1350"/>
      <c r="AB403" s="1350"/>
      <c r="AC403" s="1350"/>
      <c r="AD403" s="1350"/>
      <c r="AE403" s="1350"/>
      <c r="AF403" s="1350"/>
      <c r="AG403" s="1350"/>
      <c r="AH403" s="1350"/>
      <c r="AI403" s="1350"/>
      <c r="AJ403" s="1350"/>
      <c r="AK403" s="1350"/>
      <c r="AL403" s="1350"/>
      <c r="AM403" s="1350"/>
      <c r="AN403" s="1350"/>
      <c r="AO403" s="1350"/>
      <c r="AP403" s="1350"/>
      <c r="AQ403" s="1350"/>
      <c r="AR403" s="1350"/>
      <c r="AS403" s="1350"/>
      <c r="AT403" s="1350"/>
      <c r="AU403" s="1350"/>
      <c r="AV403" s="1350"/>
      <c r="AW403" s="1350"/>
      <c r="AX403" s="1350"/>
      <c r="AY403" s="1350"/>
      <c r="AZ403" s="1350"/>
      <c r="BA403" s="1070"/>
      <c r="BB403" s="1070"/>
      <c r="BC403" s="1070"/>
      <c r="BD403" s="1070"/>
      <c r="BE403" s="1070"/>
      <c r="BF403" s="1070"/>
      <c r="BG403" s="1070"/>
      <c r="BH403" s="1070"/>
      <c r="BI403" s="1070"/>
      <c r="BJ403" s="1070"/>
      <c r="BK403" s="1070"/>
      <c r="BL403" s="1070"/>
      <c r="BM403" s="1070"/>
      <c r="BN403" s="1070"/>
      <c r="BO403" s="1070"/>
      <c r="BP403" s="1070"/>
      <c r="BQ403" s="1070"/>
      <c r="BR403" s="1070"/>
      <c r="BS403" s="1070"/>
      <c r="BT403" s="1070"/>
      <c r="BU403" s="1070"/>
      <c r="BV403" s="1070"/>
      <c r="BW403" s="1070"/>
      <c r="BX403" s="1070"/>
      <c r="BY403" s="1070"/>
      <c r="BZ403" s="1070"/>
      <c r="CA403" s="1070"/>
      <c r="CB403" s="1070"/>
      <c r="CC403" s="1070"/>
      <c r="CD403" s="1070"/>
      <c r="CE403" s="1070"/>
      <c r="CF403" s="1070"/>
      <c r="CG403" s="1070"/>
      <c r="CH403" s="1070"/>
      <c r="CI403" s="1070"/>
      <c r="CJ403" s="1070"/>
      <c r="CK403" s="1070"/>
      <c r="CL403" s="1070"/>
      <c r="CM403" s="1070"/>
      <c r="CN403" s="1070"/>
      <c r="CO403" s="1070"/>
      <c r="CP403" s="1070"/>
      <c r="CQ403" s="1070"/>
      <c r="CR403" s="1070"/>
      <c r="CS403" s="1070"/>
      <c r="CT403" s="1070"/>
      <c r="CU403" s="1070"/>
      <c r="CV403" s="1070"/>
      <c r="CW403" s="1070"/>
      <c r="CX403" s="1070"/>
      <c r="CY403" s="1070"/>
      <c r="CZ403" s="1070"/>
      <c r="DA403" s="1070"/>
      <c r="DB403" s="1070"/>
      <c r="DC403" s="1070"/>
      <c r="DD403" s="1070"/>
      <c r="DE403" s="1070"/>
      <c r="DF403" s="1070"/>
      <c r="DG403" s="1070"/>
      <c r="DH403" s="1070"/>
      <c r="DI403" s="1070"/>
    </row>
    <row r="404" spans="1:113" ht="15.75" x14ac:dyDescent="0.25">
      <c r="A404" s="1420" t="s">
        <v>2636</v>
      </c>
      <c r="B404" s="1433">
        <f>IF(B403=1,1.15,1)</f>
        <v>1</v>
      </c>
      <c r="C404" s="1437"/>
      <c r="D404" s="1434"/>
      <c r="E404" s="1434"/>
      <c r="F404" s="1434"/>
      <c r="G404" s="1434"/>
      <c r="H404" s="1350"/>
      <c r="I404" s="1350"/>
      <c r="J404" s="1350"/>
      <c r="K404" s="1350"/>
      <c r="L404" s="1350"/>
      <c r="M404" s="1350"/>
      <c r="N404" s="1350"/>
      <c r="O404" s="1350"/>
      <c r="P404" s="1350"/>
      <c r="Q404" s="1350"/>
      <c r="R404" s="1350"/>
      <c r="S404" s="1350"/>
      <c r="T404" s="1350"/>
      <c r="U404" s="1350"/>
      <c r="V404" s="1350"/>
      <c r="W404" s="1350"/>
      <c r="X404" s="1350"/>
      <c r="Y404" s="1350"/>
      <c r="Z404" s="1350"/>
      <c r="AA404" s="1350"/>
      <c r="AB404" s="1350"/>
      <c r="AC404" s="1350"/>
      <c r="AD404" s="1350"/>
      <c r="AE404" s="1350"/>
      <c r="AF404" s="1350"/>
      <c r="AG404" s="1350"/>
      <c r="AH404" s="1350"/>
      <c r="AI404" s="1350"/>
      <c r="AJ404" s="1350"/>
      <c r="AK404" s="1350"/>
      <c r="AL404" s="1350"/>
      <c r="AM404" s="1350"/>
      <c r="AN404" s="1350"/>
      <c r="AO404" s="1350"/>
      <c r="AP404" s="1350"/>
      <c r="AQ404" s="1350"/>
      <c r="AR404" s="1350"/>
      <c r="AS404" s="1350"/>
      <c r="AT404" s="1350"/>
      <c r="AU404" s="1350"/>
      <c r="AV404" s="1350"/>
      <c r="AW404" s="1350"/>
      <c r="AX404" s="1350"/>
      <c r="AY404" s="1350"/>
      <c r="AZ404" s="1350"/>
      <c r="BA404" s="1070"/>
      <c r="BB404" s="1070"/>
      <c r="BC404" s="1070"/>
      <c r="BD404" s="1070"/>
      <c r="BE404" s="1070"/>
      <c r="BF404" s="1070"/>
      <c r="BG404" s="1070"/>
      <c r="BH404" s="1070"/>
      <c r="BI404" s="1070"/>
      <c r="BJ404" s="1070"/>
      <c r="BK404" s="1070"/>
      <c r="BL404" s="1070"/>
      <c r="BM404" s="1070"/>
      <c r="BN404" s="1070"/>
      <c r="BO404" s="1070"/>
      <c r="BP404" s="1070"/>
      <c r="BQ404" s="1070"/>
      <c r="BR404" s="1070"/>
      <c r="BS404" s="1070"/>
      <c r="BT404" s="1070"/>
      <c r="BU404" s="1070"/>
      <c r="BV404" s="1070"/>
      <c r="BW404" s="1070"/>
      <c r="BX404" s="1070"/>
      <c r="BY404" s="1070"/>
      <c r="BZ404" s="1070"/>
      <c r="CA404" s="1070"/>
      <c r="CB404" s="1070"/>
      <c r="CC404" s="1070"/>
      <c r="CD404" s="1070"/>
      <c r="CE404" s="1070"/>
      <c r="CF404" s="1070"/>
      <c r="CG404" s="1070"/>
      <c r="CH404" s="1070"/>
      <c r="CI404" s="1070"/>
      <c r="CJ404" s="1070"/>
      <c r="CK404" s="1070"/>
      <c r="CL404" s="1070"/>
      <c r="CM404" s="1070"/>
      <c r="CN404" s="1070"/>
      <c r="CO404" s="1070"/>
      <c r="CP404" s="1070"/>
      <c r="CQ404" s="1070"/>
      <c r="CR404" s="1070"/>
      <c r="CS404" s="1070"/>
      <c r="CT404" s="1070"/>
      <c r="CU404" s="1070"/>
      <c r="CV404" s="1070"/>
      <c r="CW404" s="1070"/>
      <c r="CX404" s="1070"/>
      <c r="CY404" s="1070"/>
      <c r="CZ404" s="1070"/>
      <c r="DA404" s="1070"/>
      <c r="DB404" s="1070"/>
      <c r="DC404" s="1070"/>
      <c r="DD404" s="1070"/>
      <c r="DE404" s="1070"/>
      <c r="DF404" s="1070"/>
      <c r="DG404" s="1070"/>
      <c r="DH404" s="1070"/>
      <c r="DI404" s="1070"/>
    </row>
    <row r="405" spans="1:113" ht="31.5" x14ac:dyDescent="0.25">
      <c r="A405" s="1420" t="s">
        <v>2637</v>
      </c>
      <c r="B405" s="1433">
        <f>IF(B322&lt;2,0.85,1)</f>
        <v>1</v>
      </c>
      <c r="C405" s="1437"/>
      <c r="D405" s="1434"/>
      <c r="E405" s="1434"/>
      <c r="F405" s="1434"/>
      <c r="G405" s="1434"/>
      <c r="H405" s="1350"/>
      <c r="I405" s="1350"/>
      <c r="J405" s="1350"/>
      <c r="K405" s="1350"/>
      <c r="L405" s="1350"/>
      <c r="M405" s="1350"/>
      <c r="N405" s="1350"/>
      <c r="O405" s="1350"/>
      <c r="P405" s="1350"/>
      <c r="Q405" s="1350"/>
      <c r="R405" s="1350"/>
      <c r="S405" s="1350"/>
      <c r="T405" s="1350"/>
      <c r="U405" s="1350"/>
      <c r="V405" s="1350"/>
      <c r="W405" s="1350"/>
      <c r="X405" s="1350"/>
      <c r="Y405" s="1350"/>
      <c r="Z405" s="1350"/>
      <c r="AA405" s="1350"/>
      <c r="AB405" s="1350"/>
      <c r="AC405" s="1350"/>
      <c r="AD405" s="1350"/>
      <c r="AE405" s="1350"/>
      <c r="AF405" s="1350"/>
      <c r="AG405" s="1350"/>
      <c r="AH405" s="1350"/>
      <c r="AI405" s="1350"/>
      <c r="AJ405" s="1350"/>
      <c r="AK405" s="1350"/>
      <c r="AL405" s="1350"/>
      <c r="AM405" s="1350"/>
      <c r="AN405" s="1350"/>
      <c r="AO405" s="1350"/>
      <c r="AP405" s="1350"/>
      <c r="AQ405" s="1350"/>
      <c r="AR405" s="1350"/>
      <c r="AS405" s="1350"/>
      <c r="AT405" s="1350"/>
      <c r="AU405" s="1350"/>
      <c r="AV405" s="1350"/>
      <c r="AW405" s="1350"/>
      <c r="AX405" s="1350"/>
      <c r="AY405" s="1350"/>
      <c r="AZ405" s="1350"/>
      <c r="BA405" s="1070"/>
      <c r="BB405" s="1070"/>
      <c r="BC405" s="1070"/>
      <c r="BD405" s="1070"/>
      <c r="BE405" s="1070"/>
      <c r="BF405" s="1070"/>
      <c r="BG405" s="1070"/>
      <c r="BH405" s="1070"/>
      <c r="BI405" s="1070"/>
      <c r="BJ405" s="1070"/>
      <c r="BK405" s="1070"/>
      <c r="BL405" s="1070"/>
      <c r="BM405" s="1070"/>
      <c r="BN405" s="1070"/>
      <c r="BO405" s="1070"/>
      <c r="BP405" s="1070"/>
      <c r="BQ405" s="1070"/>
      <c r="BR405" s="1070"/>
      <c r="BS405" s="1070"/>
      <c r="BT405" s="1070"/>
      <c r="BU405" s="1070"/>
      <c r="BV405" s="1070"/>
      <c r="BW405" s="1070"/>
      <c r="BX405" s="1070"/>
      <c r="BY405" s="1070"/>
      <c r="BZ405" s="1070"/>
      <c r="CA405" s="1070"/>
      <c r="CB405" s="1070"/>
      <c r="CC405" s="1070"/>
      <c r="CD405" s="1070"/>
      <c r="CE405" s="1070"/>
      <c r="CF405" s="1070"/>
      <c r="CG405" s="1070"/>
      <c r="CH405" s="1070"/>
      <c r="CI405" s="1070"/>
      <c r="CJ405" s="1070"/>
      <c r="CK405" s="1070"/>
      <c r="CL405" s="1070"/>
      <c r="CM405" s="1070"/>
      <c r="CN405" s="1070"/>
      <c r="CO405" s="1070"/>
      <c r="CP405" s="1070"/>
      <c r="CQ405" s="1070"/>
      <c r="CR405" s="1070"/>
      <c r="CS405" s="1070"/>
      <c r="CT405" s="1070"/>
      <c r="CU405" s="1070"/>
      <c r="CV405" s="1070"/>
      <c r="CW405" s="1070"/>
      <c r="CX405" s="1070"/>
      <c r="CY405" s="1070"/>
      <c r="CZ405" s="1070"/>
      <c r="DA405" s="1070"/>
      <c r="DB405" s="1070"/>
      <c r="DC405" s="1070"/>
      <c r="DD405" s="1070"/>
      <c r="DE405" s="1070"/>
      <c r="DF405" s="1070"/>
      <c r="DG405" s="1070"/>
      <c r="DH405" s="1070"/>
      <c r="DI405" s="1070"/>
    </row>
    <row r="406" spans="1:113" ht="15.75" x14ac:dyDescent="0.25">
      <c r="A406" s="1420" t="s">
        <v>1743</v>
      </c>
      <c r="B406" s="1445">
        <v>0.7</v>
      </c>
      <c r="C406" s="1446"/>
      <c r="D406" s="1434"/>
      <c r="E406" s="1434"/>
      <c r="F406" s="1434"/>
      <c r="G406" s="1434"/>
      <c r="H406" s="1350"/>
      <c r="I406" s="1350"/>
      <c r="J406" s="1350"/>
      <c r="K406" s="1350"/>
      <c r="L406" s="1350"/>
      <c r="M406" s="1350"/>
      <c r="N406" s="1350"/>
      <c r="O406" s="1350"/>
      <c r="P406" s="1350"/>
      <c r="Q406" s="1350"/>
      <c r="R406" s="1350"/>
      <c r="S406" s="1350"/>
      <c r="T406" s="1350"/>
      <c r="U406" s="1350"/>
      <c r="V406" s="1350"/>
      <c r="W406" s="1350"/>
      <c r="X406" s="1350"/>
      <c r="Y406" s="1350"/>
      <c r="Z406" s="1350"/>
      <c r="AA406" s="1350"/>
      <c r="AB406" s="1350"/>
      <c r="AC406" s="1350"/>
      <c r="AD406" s="1350"/>
      <c r="AE406" s="1350"/>
      <c r="AF406" s="1350"/>
      <c r="AG406" s="1350"/>
      <c r="AH406" s="1350"/>
      <c r="AI406" s="1350"/>
      <c r="AJ406" s="1350"/>
      <c r="AK406" s="1350"/>
      <c r="AL406" s="1350"/>
      <c r="AM406" s="1350"/>
      <c r="AN406" s="1350"/>
      <c r="AO406" s="1350"/>
      <c r="AP406" s="1350"/>
      <c r="AQ406" s="1350"/>
      <c r="AR406" s="1350"/>
      <c r="AS406" s="1350"/>
      <c r="AT406" s="1350"/>
      <c r="AU406" s="1350"/>
      <c r="AV406" s="1350"/>
      <c r="AW406" s="1350"/>
      <c r="AX406" s="1350"/>
      <c r="AY406" s="1350"/>
      <c r="AZ406" s="1350"/>
      <c r="BA406" s="1070"/>
      <c r="BB406" s="1070"/>
      <c r="BC406" s="1070"/>
      <c r="BD406" s="1070"/>
      <c r="BE406" s="1070"/>
      <c r="BF406" s="1070"/>
      <c r="BG406" s="1070"/>
      <c r="BH406" s="1070"/>
      <c r="BI406" s="1070"/>
      <c r="BJ406" s="1070"/>
      <c r="BK406" s="1070"/>
      <c r="BL406" s="1070"/>
      <c r="BM406" s="1070"/>
      <c r="BN406" s="1070"/>
      <c r="BO406" s="1070"/>
      <c r="BP406" s="1070"/>
      <c r="BQ406" s="1070"/>
      <c r="BR406" s="1070"/>
      <c r="BS406" s="1070"/>
      <c r="BT406" s="1070"/>
      <c r="BU406" s="1070"/>
      <c r="BV406" s="1070"/>
      <c r="BW406" s="1070"/>
      <c r="BX406" s="1070"/>
      <c r="BY406" s="1070"/>
      <c r="BZ406" s="1070"/>
      <c r="CA406" s="1070"/>
      <c r="CB406" s="1070"/>
      <c r="CC406" s="1070"/>
      <c r="CD406" s="1070"/>
      <c r="CE406" s="1070"/>
      <c r="CF406" s="1070"/>
      <c r="CG406" s="1070"/>
      <c r="CH406" s="1070"/>
      <c r="CI406" s="1070"/>
      <c r="CJ406" s="1070"/>
      <c r="CK406" s="1070"/>
      <c r="CL406" s="1070"/>
      <c r="CM406" s="1070"/>
      <c r="CN406" s="1070"/>
      <c r="CO406" s="1070"/>
      <c r="CP406" s="1070"/>
      <c r="CQ406" s="1070"/>
      <c r="CR406" s="1070"/>
      <c r="CS406" s="1070"/>
      <c r="CT406" s="1070"/>
      <c r="CU406" s="1070"/>
      <c r="CV406" s="1070"/>
      <c r="CW406" s="1070"/>
      <c r="CX406" s="1070"/>
      <c r="CY406" s="1070"/>
      <c r="CZ406" s="1070"/>
      <c r="DA406" s="1070"/>
      <c r="DB406" s="1070"/>
      <c r="DC406" s="1070"/>
      <c r="DD406" s="1070"/>
      <c r="DE406" s="1070"/>
      <c r="DF406" s="1070"/>
      <c r="DG406" s="1070"/>
      <c r="DH406" s="1070"/>
      <c r="DI406" s="1070"/>
    </row>
    <row r="407" spans="1:113" ht="15.75" x14ac:dyDescent="0.25">
      <c r="A407" s="1420" t="s">
        <v>3412</v>
      </c>
      <c r="B407" s="1433" t="e">
        <f>B395*B402*B404*B405*B406*B341</f>
        <v>#VALUE!</v>
      </c>
      <c r="C407" s="1437"/>
      <c r="D407" s="1350"/>
      <c r="E407" s="1350"/>
      <c r="F407" s="1350"/>
      <c r="G407" s="1350"/>
      <c r="H407" s="1350"/>
      <c r="I407" s="1350"/>
      <c r="J407" s="1350"/>
      <c r="K407" s="1350"/>
      <c r="L407" s="1350"/>
      <c r="M407" s="1350"/>
      <c r="N407" s="1350"/>
      <c r="O407" s="1350"/>
      <c r="P407" s="1350"/>
      <c r="Q407" s="1350"/>
      <c r="R407" s="1350"/>
      <c r="S407" s="1350"/>
      <c r="T407" s="1350"/>
      <c r="U407" s="1350"/>
      <c r="V407" s="1350"/>
      <c r="W407" s="1350"/>
      <c r="X407" s="1350"/>
      <c r="Y407" s="1350"/>
      <c r="Z407" s="1350"/>
      <c r="AA407" s="1350"/>
      <c r="AB407" s="1350"/>
      <c r="AC407" s="1350"/>
      <c r="AD407" s="1350"/>
      <c r="AE407" s="1350"/>
      <c r="AF407" s="1350"/>
      <c r="AG407" s="1350"/>
      <c r="AH407" s="1350"/>
      <c r="AI407" s="1350"/>
      <c r="AJ407" s="1350"/>
      <c r="AK407" s="1350"/>
      <c r="AL407" s="1350"/>
      <c r="AM407" s="1350"/>
      <c r="AN407" s="1350"/>
      <c r="AO407" s="1350"/>
      <c r="AP407" s="1350"/>
      <c r="AQ407" s="1350"/>
      <c r="AR407" s="1350"/>
      <c r="AS407" s="1350"/>
      <c r="AT407" s="1350"/>
      <c r="AU407" s="1350"/>
      <c r="AV407" s="1350"/>
      <c r="AW407" s="1350"/>
      <c r="AX407" s="1350"/>
      <c r="AY407" s="1350"/>
      <c r="AZ407" s="1350"/>
      <c r="BA407" s="1070"/>
      <c r="BB407" s="1070"/>
      <c r="BC407" s="1070"/>
      <c r="BD407" s="1070"/>
      <c r="BE407" s="1070"/>
      <c r="BF407" s="1070"/>
      <c r="BG407" s="1070"/>
      <c r="BH407" s="1070"/>
      <c r="BI407" s="1070"/>
      <c r="BJ407" s="1070"/>
      <c r="BK407" s="1070"/>
      <c r="BL407" s="1070"/>
      <c r="BM407" s="1070"/>
      <c r="BN407" s="1070"/>
      <c r="BO407" s="1070"/>
      <c r="BP407" s="1070"/>
      <c r="BQ407" s="1070"/>
      <c r="BR407" s="1070"/>
      <c r="BS407" s="1070"/>
      <c r="BT407" s="1070"/>
      <c r="BU407" s="1070"/>
      <c r="BV407" s="1070"/>
      <c r="BW407" s="1070"/>
      <c r="BX407" s="1070"/>
      <c r="BY407" s="1070"/>
      <c r="BZ407" s="1070"/>
      <c r="CA407" s="1070"/>
      <c r="CB407" s="1070"/>
      <c r="CC407" s="1070"/>
      <c r="CD407" s="1070"/>
      <c r="CE407" s="1070"/>
      <c r="CF407" s="1070"/>
      <c r="CG407" s="1070"/>
      <c r="CH407" s="1070"/>
      <c r="CI407" s="1070"/>
      <c r="CJ407" s="1070"/>
      <c r="CK407" s="1070"/>
      <c r="CL407" s="1070"/>
      <c r="CM407" s="1070"/>
      <c r="CN407" s="1070"/>
      <c r="CO407" s="1070"/>
      <c r="CP407" s="1070"/>
      <c r="CQ407" s="1070"/>
      <c r="CR407" s="1070"/>
      <c r="CS407" s="1070"/>
      <c r="CT407" s="1070"/>
      <c r="CU407" s="1070"/>
      <c r="CV407" s="1070"/>
      <c r="CW407" s="1070"/>
      <c r="CX407" s="1070"/>
      <c r="CY407" s="1070"/>
      <c r="CZ407" s="1070"/>
      <c r="DA407" s="1070"/>
      <c r="DB407" s="1070"/>
      <c r="DC407" s="1070"/>
      <c r="DD407" s="1070"/>
      <c r="DE407" s="1070"/>
      <c r="DF407" s="1070"/>
      <c r="DG407" s="1070"/>
      <c r="DH407" s="1070"/>
      <c r="DI407" s="1070"/>
    </row>
    <row r="408" spans="1:113" ht="15.75" x14ac:dyDescent="0.25">
      <c r="A408" s="1420" t="s">
        <v>429</v>
      </c>
      <c r="B408" s="1428" t="e">
        <f>B394/B407</f>
        <v>#DIV/0!</v>
      </c>
      <c r="C408" s="1432"/>
      <c r="D408" s="1349"/>
      <c r="E408" s="1349"/>
      <c r="F408" s="1349"/>
      <c r="G408" s="1349"/>
      <c r="H408" s="1350"/>
      <c r="I408" s="1350"/>
      <c r="J408" s="1350"/>
      <c r="K408" s="1350"/>
      <c r="L408" s="1350"/>
      <c r="M408" s="1350"/>
      <c r="N408" s="1350"/>
      <c r="O408" s="1350"/>
      <c r="P408" s="1350"/>
      <c r="Q408" s="1350"/>
      <c r="R408" s="1350"/>
      <c r="S408" s="1350"/>
      <c r="T408" s="1350"/>
      <c r="U408" s="1350"/>
      <c r="V408" s="1350"/>
      <c r="W408" s="1350"/>
      <c r="X408" s="1350"/>
      <c r="Y408" s="1350"/>
      <c r="Z408" s="1350"/>
      <c r="AA408" s="1350"/>
      <c r="AB408" s="1350"/>
      <c r="AC408" s="1350"/>
      <c r="AD408" s="1350"/>
      <c r="AE408" s="1350"/>
      <c r="AF408" s="1350"/>
      <c r="AG408" s="1350"/>
      <c r="AH408" s="1350"/>
      <c r="AI408" s="1350"/>
      <c r="AJ408" s="1350"/>
      <c r="AK408" s="1350"/>
      <c r="AL408" s="1350"/>
      <c r="AM408" s="1350"/>
      <c r="AN408" s="1350"/>
      <c r="AO408" s="1350"/>
      <c r="AP408" s="1350"/>
      <c r="AQ408" s="1350"/>
      <c r="AR408" s="1350"/>
      <c r="AS408" s="1350"/>
      <c r="AT408" s="1350"/>
      <c r="AU408" s="1350"/>
      <c r="AV408" s="1350"/>
      <c r="AW408" s="1350"/>
      <c r="AX408" s="1350"/>
      <c r="AY408" s="1350"/>
      <c r="AZ408" s="1350"/>
      <c r="BA408" s="1070"/>
      <c r="BB408" s="1070"/>
      <c r="BC408" s="1070"/>
      <c r="BD408" s="1070"/>
      <c r="BE408" s="1070"/>
      <c r="BF408" s="1070"/>
      <c r="BG408" s="1070"/>
      <c r="BH408" s="1070"/>
      <c r="BI408" s="1070"/>
      <c r="BJ408" s="1070"/>
      <c r="BK408" s="1070"/>
      <c r="BL408" s="1070"/>
      <c r="BM408" s="1070"/>
      <c r="BN408" s="1070"/>
      <c r="BO408" s="1070"/>
      <c r="BP408" s="1070"/>
      <c r="BQ408" s="1070"/>
      <c r="BR408" s="1070"/>
      <c r="BS408" s="1070"/>
      <c r="BT408" s="1070"/>
      <c r="BU408" s="1070"/>
      <c r="BV408" s="1070"/>
      <c r="BW408" s="1070"/>
      <c r="BX408" s="1070"/>
      <c r="BY408" s="1070"/>
      <c r="BZ408" s="1070"/>
      <c r="CA408" s="1070"/>
      <c r="CB408" s="1070"/>
      <c r="CC408" s="1070"/>
      <c r="CD408" s="1070"/>
      <c r="CE408" s="1070"/>
      <c r="CF408" s="1070"/>
      <c r="CG408" s="1070"/>
      <c r="CH408" s="1070"/>
      <c r="CI408" s="1070"/>
      <c r="CJ408" s="1070"/>
      <c r="CK408" s="1070"/>
      <c r="CL408" s="1070"/>
      <c r="CM408" s="1070"/>
      <c r="CN408" s="1070"/>
      <c r="CO408" s="1070"/>
      <c r="CP408" s="1070"/>
      <c r="CQ408" s="1070"/>
      <c r="CR408" s="1070"/>
      <c r="CS408" s="1070"/>
      <c r="CT408" s="1070"/>
      <c r="CU408" s="1070"/>
      <c r="CV408" s="1070"/>
      <c r="CW408" s="1070"/>
      <c r="CX408" s="1070"/>
      <c r="CY408" s="1070"/>
      <c r="CZ408" s="1070"/>
      <c r="DA408" s="1070"/>
      <c r="DB408" s="1070"/>
      <c r="DC408" s="1070"/>
      <c r="DD408" s="1070"/>
      <c r="DE408" s="1070"/>
      <c r="DF408" s="1070"/>
      <c r="DG408" s="1070"/>
      <c r="DH408" s="1070"/>
      <c r="DI408" s="1070"/>
    </row>
    <row r="409" spans="1:113" ht="31.5" x14ac:dyDescent="0.25">
      <c r="A409" s="1447" t="s">
        <v>2971</v>
      </c>
      <c r="B409" s="1428"/>
      <c r="C409" s="1432"/>
      <c r="D409" s="1437"/>
      <c r="E409" s="1437"/>
      <c r="F409" s="1437"/>
      <c r="G409" s="1437"/>
      <c r="H409" s="1350"/>
      <c r="I409" s="1350"/>
      <c r="J409" s="1350"/>
      <c r="K409" s="1350"/>
      <c r="L409" s="1350"/>
      <c r="M409" s="1350"/>
      <c r="N409" s="1350"/>
      <c r="O409" s="1350"/>
      <c r="P409" s="1350"/>
      <c r="Q409" s="1350"/>
      <c r="R409" s="1350"/>
      <c r="S409" s="1350"/>
      <c r="T409" s="1350"/>
      <c r="U409" s="1350"/>
      <c r="V409" s="1350"/>
      <c r="W409" s="1350"/>
      <c r="X409" s="1350"/>
      <c r="Y409" s="1350"/>
      <c r="Z409" s="1350"/>
      <c r="AA409" s="1350"/>
      <c r="AB409" s="1350"/>
      <c r="AC409" s="1350"/>
      <c r="AD409" s="1350"/>
      <c r="AE409" s="1350"/>
      <c r="AF409" s="1350"/>
      <c r="AG409" s="1350"/>
      <c r="AH409" s="1350"/>
      <c r="AI409" s="1350"/>
      <c r="AJ409" s="1350"/>
      <c r="AK409" s="1350"/>
      <c r="AL409" s="1350"/>
      <c r="AM409" s="1350"/>
      <c r="AN409" s="1350"/>
      <c r="AO409" s="1350"/>
      <c r="AP409" s="1350"/>
      <c r="AQ409" s="1350"/>
      <c r="AR409" s="1350"/>
      <c r="AS409" s="1350"/>
      <c r="AT409" s="1350"/>
      <c r="AU409" s="1350"/>
      <c r="AV409" s="1350"/>
      <c r="AW409" s="1350"/>
      <c r="AX409" s="1350"/>
      <c r="AY409" s="1350"/>
      <c r="AZ409" s="1350"/>
      <c r="BA409" s="1070"/>
      <c r="BB409" s="1070"/>
      <c r="BC409" s="1070"/>
      <c r="BD409" s="1070"/>
      <c r="BE409" s="1070"/>
      <c r="BF409" s="1070"/>
      <c r="BG409" s="1070"/>
      <c r="BH409" s="1070"/>
      <c r="BI409" s="1070"/>
      <c r="BJ409" s="1070"/>
      <c r="BK409" s="1070"/>
      <c r="BL409" s="1070"/>
      <c r="BM409" s="1070"/>
      <c r="BN409" s="1070"/>
      <c r="BO409" s="1070"/>
      <c r="BP409" s="1070"/>
      <c r="BQ409" s="1070"/>
      <c r="BR409" s="1070"/>
      <c r="BS409" s="1070"/>
      <c r="BT409" s="1070"/>
      <c r="BU409" s="1070"/>
      <c r="BV409" s="1070"/>
      <c r="BW409" s="1070"/>
      <c r="BX409" s="1070"/>
      <c r="BY409" s="1070"/>
      <c r="BZ409" s="1070"/>
      <c r="CA409" s="1070"/>
      <c r="CB409" s="1070"/>
      <c r="CC409" s="1070"/>
      <c r="CD409" s="1070"/>
      <c r="CE409" s="1070"/>
      <c r="CF409" s="1070"/>
      <c r="CG409" s="1070"/>
      <c r="CH409" s="1070"/>
      <c r="CI409" s="1070"/>
      <c r="CJ409" s="1070"/>
      <c r="CK409" s="1070"/>
      <c r="CL409" s="1070"/>
      <c r="CM409" s="1070"/>
      <c r="CN409" s="1070"/>
      <c r="CO409" s="1070"/>
      <c r="CP409" s="1070"/>
      <c r="CQ409" s="1070"/>
      <c r="CR409" s="1070"/>
      <c r="CS409" s="1070"/>
      <c r="CT409" s="1070"/>
      <c r="CU409" s="1070"/>
      <c r="CV409" s="1070"/>
      <c r="CW409" s="1070"/>
      <c r="CX409" s="1070"/>
      <c r="CY409" s="1070"/>
      <c r="CZ409" s="1070"/>
      <c r="DA409" s="1070"/>
      <c r="DB409" s="1070"/>
      <c r="DC409" s="1070"/>
      <c r="DD409" s="1070"/>
      <c r="DE409" s="1070"/>
      <c r="DF409" s="1070"/>
      <c r="DG409" s="1070"/>
      <c r="DH409" s="1070"/>
      <c r="DI409" s="1070"/>
    </row>
    <row r="410" spans="1:113" ht="47.25" x14ac:dyDescent="0.25">
      <c r="A410" s="1427" t="s">
        <v>2972</v>
      </c>
      <c r="B410" s="1439"/>
      <c r="C410" s="1432"/>
      <c r="D410" s="1349"/>
      <c r="E410" s="1349"/>
      <c r="F410" s="1349"/>
      <c r="G410" s="1349"/>
      <c r="H410" s="1350"/>
      <c r="I410" s="1350"/>
      <c r="J410" s="1350"/>
      <c r="K410" s="1350"/>
      <c r="L410" s="1350"/>
      <c r="M410" s="1350"/>
      <c r="N410" s="1350"/>
      <c r="O410" s="1350"/>
      <c r="P410" s="1350"/>
      <c r="Q410" s="1350"/>
      <c r="R410" s="1350"/>
      <c r="S410" s="1350"/>
      <c r="T410" s="1350"/>
      <c r="U410" s="1350"/>
      <c r="V410" s="1350"/>
      <c r="W410" s="1350"/>
      <c r="X410" s="1350"/>
      <c r="Y410" s="1350"/>
      <c r="Z410" s="1350"/>
      <c r="AA410" s="1350"/>
      <c r="AB410" s="1350"/>
      <c r="AC410" s="1350"/>
      <c r="AD410" s="1350"/>
      <c r="AE410" s="1350"/>
      <c r="AF410" s="1350"/>
      <c r="AG410" s="1350"/>
      <c r="AH410" s="1350"/>
      <c r="AI410" s="1350"/>
      <c r="AJ410" s="1350"/>
      <c r="AK410" s="1350"/>
      <c r="AL410" s="1350"/>
      <c r="AM410" s="1350"/>
      <c r="AN410" s="1350"/>
      <c r="AO410" s="1350"/>
      <c r="AP410" s="1350"/>
      <c r="AQ410" s="1350"/>
      <c r="AR410" s="1350"/>
      <c r="AS410" s="1350"/>
      <c r="AT410" s="1350"/>
      <c r="AU410" s="1350"/>
      <c r="AV410" s="1350"/>
      <c r="AW410" s="1350"/>
      <c r="AX410" s="1350"/>
      <c r="AY410" s="1350"/>
      <c r="AZ410" s="1350"/>
      <c r="BA410" s="1070"/>
      <c r="BB410" s="1070"/>
      <c r="BC410" s="1070"/>
      <c r="BD410" s="1070"/>
      <c r="BE410" s="1070"/>
      <c r="BF410" s="1070"/>
      <c r="BG410" s="1070"/>
      <c r="BH410" s="1070"/>
      <c r="BI410" s="1070"/>
      <c r="BJ410" s="1070"/>
      <c r="BK410" s="1070"/>
      <c r="BL410" s="1070"/>
      <c r="BM410" s="1070"/>
      <c r="BN410" s="1070"/>
      <c r="BO410" s="1070"/>
      <c r="BP410" s="1070"/>
      <c r="BQ410" s="1070"/>
      <c r="BR410" s="1070"/>
      <c r="BS410" s="1070"/>
      <c r="BT410" s="1070"/>
      <c r="BU410" s="1070"/>
      <c r="BV410" s="1070"/>
      <c r="BW410" s="1070"/>
      <c r="BX410" s="1070"/>
      <c r="BY410" s="1070"/>
      <c r="BZ410" s="1070"/>
      <c r="CA410" s="1070"/>
      <c r="CB410" s="1070"/>
      <c r="CC410" s="1070"/>
      <c r="CD410" s="1070"/>
      <c r="CE410" s="1070"/>
      <c r="CF410" s="1070"/>
      <c r="CG410" s="1070"/>
      <c r="CH410" s="1070"/>
      <c r="CI410" s="1070"/>
      <c r="CJ410" s="1070"/>
      <c r="CK410" s="1070"/>
      <c r="CL410" s="1070"/>
      <c r="CM410" s="1070"/>
      <c r="CN410" s="1070"/>
      <c r="CO410" s="1070"/>
      <c r="CP410" s="1070"/>
      <c r="CQ410" s="1070"/>
      <c r="CR410" s="1070"/>
      <c r="CS410" s="1070"/>
      <c r="CT410" s="1070"/>
      <c r="CU410" s="1070"/>
      <c r="CV410" s="1070"/>
      <c r="CW410" s="1070"/>
      <c r="CX410" s="1070"/>
      <c r="CY410" s="1070"/>
      <c r="CZ410" s="1070"/>
      <c r="DA410" s="1070"/>
      <c r="DB410" s="1070"/>
      <c r="DC410" s="1070"/>
      <c r="DD410" s="1070"/>
      <c r="DE410" s="1070"/>
      <c r="DF410" s="1070"/>
      <c r="DG410" s="1070"/>
      <c r="DH410" s="1070"/>
      <c r="DI410" s="1070"/>
    </row>
    <row r="411" spans="1:113" ht="15.75" x14ac:dyDescent="0.25">
      <c r="A411" s="1422" t="s">
        <v>4152</v>
      </c>
      <c r="B411" s="1439" t="e">
        <f>(B291/(B344-B349))*B347</f>
        <v>#REF!</v>
      </c>
      <c r="C411" s="1432"/>
      <c r="D411" s="1437"/>
      <c r="E411" s="1437"/>
      <c r="F411" s="1437"/>
      <c r="G411" s="1437"/>
      <c r="H411" s="1350"/>
      <c r="I411" s="1350"/>
      <c r="J411" s="1350"/>
      <c r="K411" s="1350"/>
      <c r="L411" s="1350"/>
      <c r="M411" s="1350"/>
      <c r="N411" s="1350"/>
      <c r="O411" s="1350"/>
      <c r="P411" s="1350"/>
      <c r="Q411" s="1350"/>
      <c r="R411" s="1350"/>
      <c r="S411" s="1350"/>
      <c r="T411" s="1350"/>
      <c r="U411" s="1350"/>
      <c r="V411" s="1350"/>
      <c r="W411" s="1350"/>
      <c r="X411" s="1350"/>
      <c r="Y411" s="1350"/>
      <c r="Z411" s="1350"/>
      <c r="AA411" s="1350"/>
      <c r="AB411" s="1350"/>
      <c r="AC411" s="1350"/>
      <c r="AD411" s="1350"/>
      <c r="AE411" s="1350"/>
      <c r="AF411" s="1350"/>
      <c r="AG411" s="1350"/>
      <c r="AH411" s="1350"/>
      <c r="AI411" s="1350"/>
      <c r="AJ411" s="1350"/>
      <c r="AK411" s="1350"/>
      <c r="AL411" s="1350"/>
      <c r="AM411" s="1350"/>
      <c r="AN411" s="1350"/>
      <c r="AO411" s="1350"/>
      <c r="AP411" s="1350"/>
      <c r="AQ411" s="1350"/>
      <c r="AR411" s="1350"/>
      <c r="AS411" s="1350"/>
      <c r="AT411" s="1350"/>
      <c r="AU411" s="1350"/>
      <c r="AV411" s="1350"/>
      <c r="AW411" s="1350"/>
      <c r="AX411" s="1350"/>
      <c r="AY411" s="1350"/>
      <c r="AZ411" s="1350"/>
      <c r="BA411" s="1070"/>
      <c r="BB411" s="1070"/>
      <c r="BC411" s="1070"/>
      <c r="BD411" s="1070"/>
      <c r="BE411" s="1070"/>
      <c r="BF411" s="1070"/>
      <c r="BG411" s="1070"/>
      <c r="BH411" s="1070"/>
      <c r="BI411" s="1070"/>
      <c r="BJ411" s="1070"/>
      <c r="BK411" s="1070"/>
      <c r="BL411" s="1070"/>
      <c r="BM411" s="1070"/>
      <c r="BN411" s="1070"/>
      <c r="BO411" s="1070"/>
      <c r="BP411" s="1070"/>
      <c r="BQ411" s="1070"/>
      <c r="BR411" s="1070"/>
      <c r="BS411" s="1070"/>
      <c r="BT411" s="1070"/>
      <c r="BU411" s="1070"/>
      <c r="BV411" s="1070"/>
      <c r="BW411" s="1070"/>
      <c r="BX411" s="1070"/>
      <c r="BY411" s="1070"/>
      <c r="BZ411" s="1070"/>
      <c r="CA411" s="1070"/>
      <c r="CB411" s="1070"/>
      <c r="CC411" s="1070"/>
      <c r="CD411" s="1070"/>
      <c r="CE411" s="1070"/>
      <c r="CF411" s="1070"/>
      <c r="CG411" s="1070"/>
      <c r="CH411" s="1070"/>
      <c r="CI411" s="1070"/>
      <c r="CJ411" s="1070"/>
      <c r="CK411" s="1070"/>
      <c r="CL411" s="1070"/>
      <c r="CM411" s="1070"/>
      <c r="CN411" s="1070"/>
      <c r="CO411" s="1070"/>
      <c r="CP411" s="1070"/>
      <c r="CQ411" s="1070"/>
      <c r="CR411" s="1070"/>
      <c r="CS411" s="1070"/>
      <c r="CT411" s="1070"/>
      <c r="CU411" s="1070"/>
      <c r="CV411" s="1070"/>
      <c r="CW411" s="1070"/>
      <c r="CX411" s="1070"/>
      <c r="CY411" s="1070"/>
      <c r="CZ411" s="1070"/>
      <c r="DA411" s="1070"/>
      <c r="DB411" s="1070"/>
      <c r="DC411" s="1070"/>
      <c r="DD411" s="1070"/>
      <c r="DE411" s="1070"/>
      <c r="DF411" s="1070"/>
      <c r="DG411" s="1070"/>
      <c r="DH411" s="1070"/>
      <c r="DI411" s="1070"/>
    </row>
    <row r="412" spans="1:113" ht="15.75" x14ac:dyDescent="0.25">
      <c r="A412" s="1422" t="s">
        <v>425</v>
      </c>
      <c r="B412" s="1424" t="e">
        <f>INDEX($U$1475:$X$1484,B414,B415)</f>
        <v>#VALUE!</v>
      </c>
      <c r="C412" s="1429"/>
      <c r="D412" s="1437"/>
      <c r="E412" s="1437"/>
      <c r="F412" s="1437"/>
      <c r="G412" s="1437"/>
      <c r="H412" s="1350"/>
      <c r="I412" s="1350"/>
      <c r="J412" s="1350"/>
      <c r="K412" s="1350"/>
      <c r="L412" s="1350"/>
      <c r="M412" s="1350"/>
      <c r="N412" s="1350"/>
      <c r="O412" s="1350"/>
      <c r="P412" s="1350"/>
      <c r="Q412" s="1350"/>
      <c r="R412" s="1350"/>
      <c r="S412" s="1350"/>
      <c r="T412" s="1350"/>
      <c r="U412" s="1350"/>
      <c r="V412" s="1350"/>
      <c r="W412" s="1350"/>
      <c r="X412" s="1350"/>
      <c r="Y412" s="1350"/>
      <c r="Z412" s="1350"/>
      <c r="AA412" s="1350"/>
      <c r="AB412" s="1350"/>
      <c r="AC412" s="1350"/>
      <c r="AD412" s="1350"/>
      <c r="AE412" s="1350"/>
      <c r="AF412" s="1350"/>
      <c r="AG412" s="1350"/>
      <c r="AH412" s="1350"/>
      <c r="AI412" s="1350"/>
      <c r="AJ412" s="1350"/>
      <c r="AK412" s="1350"/>
      <c r="AL412" s="1350"/>
      <c r="AM412" s="1350"/>
      <c r="AN412" s="1350"/>
      <c r="AO412" s="1350"/>
      <c r="AP412" s="1350"/>
      <c r="AQ412" s="1350"/>
      <c r="AR412" s="1350"/>
      <c r="AS412" s="1350"/>
      <c r="AT412" s="1350"/>
      <c r="AU412" s="1350"/>
      <c r="AV412" s="1350"/>
      <c r="AW412" s="1350"/>
      <c r="AX412" s="1350"/>
      <c r="AY412" s="1350"/>
      <c r="AZ412" s="1350"/>
      <c r="BA412" s="1070"/>
      <c r="BB412" s="1070"/>
      <c r="BC412" s="1070"/>
      <c r="BD412" s="1070"/>
      <c r="BE412" s="1070"/>
      <c r="BF412" s="1070"/>
      <c r="BG412" s="1070"/>
      <c r="BH412" s="1070"/>
      <c r="BI412" s="1070"/>
      <c r="BJ412" s="1070"/>
      <c r="BK412" s="1070"/>
      <c r="BL412" s="1070"/>
      <c r="BM412" s="1070"/>
      <c r="BN412" s="1070"/>
      <c r="BO412" s="1070"/>
      <c r="BP412" s="1070"/>
      <c r="BQ412" s="1070"/>
      <c r="BR412" s="1070"/>
      <c r="BS412" s="1070"/>
      <c r="BT412" s="1070"/>
      <c r="BU412" s="1070"/>
      <c r="BV412" s="1070"/>
      <c r="BW412" s="1070"/>
      <c r="BX412" s="1070"/>
      <c r="BY412" s="1070"/>
      <c r="BZ412" s="1070"/>
      <c r="CA412" s="1070"/>
      <c r="CB412" s="1070"/>
      <c r="CC412" s="1070"/>
      <c r="CD412" s="1070"/>
      <c r="CE412" s="1070"/>
      <c r="CF412" s="1070"/>
      <c r="CG412" s="1070"/>
      <c r="CH412" s="1070"/>
      <c r="CI412" s="1070"/>
      <c r="CJ412" s="1070"/>
      <c r="CK412" s="1070"/>
      <c r="CL412" s="1070"/>
      <c r="CM412" s="1070"/>
      <c r="CN412" s="1070"/>
      <c r="CO412" s="1070"/>
      <c r="CP412" s="1070"/>
      <c r="CQ412" s="1070"/>
      <c r="CR412" s="1070"/>
      <c r="CS412" s="1070"/>
      <c r="CT412" s="1070"/>
      <c r="CU412" s="1070"/>
      <c r="CV412" s="1070"/>
      <c r="CW412" s="1070"/>
      <c r="CX412" s="1070"/>
      <c r="CY412" s="1070"/>
      <c r="CZ412" s="1070"/>
      <c r="DA412" s="1070"/>
      <c r="DB412" s="1070"/>
      <c r="DC412" s="1070"/>
      <c r="DD412" s="1070"/>
      <c r="DE412" s="1070"/>
      <c r="DF412" s="1070"/>
      <c r="DG412" s="1070"/>
      <c r="DH412" s="1070"/>
      <c r="DI412" s="1070"/>
    </row>
    <row r="413" spans="1:113" ht="15.75" x14ac:dyDescent="0.25">
      <c r="A413" s="1448" t="s">
        <v>1719</v>
      </c>
      <c r="B413" s="1439"/>
      <c r="C413" s="1432"/>
      <c r="D413" s="1446"/>
      <c r="E413" s="1446"/>
      <c r="F413" s="1446"/>
      <c r="G413" s="1446"/>
      <c r="H413" s="1350"/>
      <c r="I413" s="1350"/>
      <c r="J413" s="1350"/>
      <c r="K413" s="1350"/>
      <c r="L413" s="1350"/>
      <c r="M413" s="1350"/>
      <c r="N413" s="1350"/>
      <c r="O413" s="1350"/>
      <c r="P413" s="1350"/>
      <c r="Q413" s="1350"/>
      <c r="R413" s="1350"/>
      <c r="S413" s="1350"/>
      <c r="T413" s="1350"/>
      <c r="U413" s="1350"/>
      <c r="V413" s="1350"/>
      <c r="W413" s="1350"/>
      <c r="X413" s="1350"/>
      <c r="Y413" s="1350"/>
      <c r="Z413" s="1350"/>
      <c r="AA413" s="1350"/>
      <c r="AB413" s="1350"/>
      <c r="AC413" s="1350"/>
      <c r="AD413" s="1350"/>
      <c r="AE413" s="1350"/>
      <c r="AF413" s="1350"/>
      <c r="AG413" s="1350"/>
      <c r="AH413" s="1350"/>
      <c r="AI413" s="1350"/>
      <c r="AJ413" s="1350"/>
      <c r="AK413" s="1350"/>
      <c r="AL413" s="1350"/>
      <c r="AM413" s="1350"/>
      <c r="AN413" s="1350"/>
      <c r="AO413" s="1350"/>
      <c r="AP413" s="1350"/>
      <c r="AQ413" s="1350"/>
      <c r="AR413" s="1350"/>
      <c r="AS413" s="1350"/>
      <c r="AT413" s="1350"/>
      <c r="AU413" s="1350"/>
      <c r="AV413" s="1350"/>
      <c r="AW413" s="1350"/>
      <c r="AX413" s="1350"/>
      <c r="AY413" s="1350"/>
      <c r="AZ413" s="1350"/>
      <c r="BA413" s="1070"/>
      <c r="BB413" s="1070"/>
      <c r="BC413" s="1070"/>
      <c r="BD413" s="1070"/>
      <c r="BE413" s="1070"/>
      <c r="BF413" s="1070"/>
      <c r="BG413" s="1070"/>
      <c r="BH413" s="1070"/>
      <c r="BI413" s="1070"/>
      <c r="BJ413" s="1070"/>
      <c r="BK413" s="1070"/>
      <c r="BL413" s="1070"/>
      <c r="BM413" s="1070"/>
      <c r="BN413" s="1070"/>
      <c r="BO413" s="1070"/>
      <c r="BP413" s="1070"/>
      <c r="BQ413" s="1070"/>
      <c r="BR413" s="1070"/>
      <c r="BS413" s="1070"/>
      <c r="BT413" s="1070"/>
      <c r="BU413" s="1070"/>
      <c r="BV413" s="1070"/>
      <c r="BW413" s="1070"/>
      <c r="BX413" s="1070"/>
      <c r="BY413" s="1070"/>
      <c r="BZ413" s="1070"/>
      <c r="CA413" s="1070"/>
      <c r="CB413" s="1070"/>
      <c r="CC413" s="1070"/>
      <c r="CD413" s="1070"/>
      <c r="CE413" s="1070"/>
      <c r="CF413" s="1070"/>
      <c r="CG413" s="1070"/>
      <c r="CH413" s="1070"/>
      <c r="CI413" s="1070"/>
      <c r="CJ413" s="1070"/>
      <c r="CK413" s="1070"/>
      <c r="CL413" s="1070"/>
      <c r="CM413" s="1070"/>
      <c r="CN413" s="1070"/>
      <c r="CO413" s="1070"/>
      <c r="CP413" s="1070"/>
      <c r="CQ413" s="1070"/>
      <c r="CR413" s="1070"/>
      <c r="CS413" s="1070"/>
      <c r="CT413" s="1070"/>
      <c r="CU413" s="1070"/>
      <c r="CV413" s="1070"/>
      <c r="CW413" s="1070"/>
      <c r="CX413" s="1070"/>
      <c r="CY413" s="1070"/>
      <c r="CZ413" s="1070"/>
      <c r="DA413" s="1070"/>
      <c r="DB413" s="1070"/>
      <c r="DC413" s="1070"/>
      <c r="DD413" s="1070"/>
      <c r="DE413" s="1070"/>
      <c r="DF413" s="1070"/>
      <c r="DG413" s="1070"/>
      <c r="DH413" s="1070"/>
      <c r="DI413" s="1070"/>
    </row>
    <row r="414" spans="1:113" ht="15.75" x14ac:dyDescent="0.25">
      <c r="A414" s="1422" t="s">
        <v>1319</v>
      </c>
      <c r="B414" s="1441" t="e">
        <f>B358</f>
        <v>#VALUE!</v>
      </c>
      <c r="C414" s="1434"/>
      <c r="D414" s="1437"/>
      <c r="E414" s="1437"/>
      <c r="F414" s="1437"/>
      <c r="G414" s="1437"/>
      <c r="H414" s="1350"/>
      <c r="I414" s="1350"/>
      <c r="J414" s="1350"/>
      <c r="K414" s="1350"/>
      <c r="L414" s="1350"/>
      <c r="M414" s="1350"/>
      <c r="N414" s="1350"/>
      <c r="O414" s="1350"/>
      <c r="P414" s="1350"/>
      <c r="Q414" s="1350"/>
      <c r="R414" s="1350"/>
      <c r="S414" s="1350"/>
      <c r="T414" s="1350"/>
      <c r="U414" s="1350"/>
      <c r="V414" s="1350"/>
      <c r="W414" s="1350"/>
      <c r="X414" s="1350"/>
      <c r="Y414" s="1350"/>
      <c r="Z414" s="1350"/>
      <c r="AA414" s="1350"/>
      <c r="AB414" s="1350"/>
      <c r="AC414" s="1350"/>
      <c r="AD414" s="1350"/>
      <c r="AE414" s="1350"/>
      <c r="AF414" s="1350"/>
      <c r="AG414" s="1350"/>
      <c r="AH414" s="1350"/>
      <c r="AI414" s="1350"/>
      <c r="AJ414" s="1350"/>
      <c r="AK414" s="1350"/>
      <c r="AL414" s="1350"/>
      <c r="AM414" s="1350"/>
      <c r="AN414" s="1350"/>
      <c r="AO414" s="1350"/>
      <c r="AP414" s="1350"/>
      <c r="AQ414" s="1350"/>
      <c r="AR414" s="1350"/>
      <c r="AS414" s="1350"/>
      <c r="AT414" s="1350"/>
      <c r="AU414" s="1350"/>
      <c r="AV414" s="1350"/>
      <c r="AW414" s="1350"/>
      <c r="AX414" s="1350"/>
      <c r="AY414" s="1350"/>
      <c r="AZ414" s="1350"/>
      <c r="BA414" s="1070"/>
      <c r="BB414" s="1070"/>
      <c r="BC414" s="1070"/>
      <c r="BD414" s="1070"/>
      <c r="BE414" s="1070"/>
      <c r="BF414" s="1070"/>
      <c r="BG414" s="1070"/>
      <c r="BH414" s="1070"/>
      <c r="BI414" s="1070"/>
      <c r="BJ414" s="1070"/>
      <c r="BK414" s="1070"/>
      <c r="BL414" s="1070"/>
      <c r="BM414" s="1070"/>
      <c r="BN414" s="1070"/>
      <c r="BO414" s="1070"/>
      <c r="BP414" s="1070"/>
      <c r="BQ414" s="1070"/>
      <c r="BR414" s="1070"/>
      <c r="BS414" s="1070"/>
      <c r="BT414" s="1070"/>
      <c r="BU414" s="1070"/>
      <c r="BV414" s="1070"/>
      <c r="BW414" s="1070"/>
      <c r="BX414" s="1070"/>
      <c r="BY414" s="1070"/>
      <c r="BZ414" s="1070"/>
      <c r="CA414" s="1070"/>
      <c r="CB414" s="1070"/>
      <c r="CC414" s="1070"/>
      <c r="CD414" s="1070"/>
      <c r="CE414" s="1070"/>
      <c r="CF414" s="1070"/>
      <c r="CG414" s="1070"/>
      <c r="CH414" s="1070"/>
      <c r="CI414" s="1070"/>
      <c r="CJ414" s="1070"/>
      <c r="CK414" s="1070"/>
      <c r="CL414" s="1070"/>
      <c r="CM414" s="1070"/>
      <c r="CN414" s="1070"/>
      <c r="CO414" s="1070"/>
      <c r="CP414" s="1070"/>
      <c r="CQ414" s="1070"/>
      <c r="CR414" s="1070"/>
      <c r="CS414" s="1070"/>
      <c r="CT414" s="1070"/>
      <c r="CU414" s="1070"/>
      <c r="CV414" s="1070"/>
      <c r="CW414" s="1070"/>
      <c r="CX414" s="1070"/>
      <c r="CY414" s="1070"/>
      <c r="CZ414" s="1070"/>
      <c r="DA414" s="1070"/>
      <c r="DB414" s="1070"/>
      <c r="DC414" s="1070"/>
      <c r="DD414" s="1070"/>
      <c r="DE414" s="1070"/>
      <c r="DF414" s="1070"/>
      <c r="DG414" s="1070"/>
      <c r="DH414" s="1070"/>
      <c r="DI414" s="1070"/>
    </row>
    <row r="415" spans="1:113" ht="15.75" x14ac:dyDescent="0.25">
      <c r="A415" s="1422" t="s">
        <v>427</v>
      </c>
      <c r="B415" s="1441">
        <f>B360</f>
        <v>4</v>
      </c>
      <c r="C415" s="1434"/>
      <c r="D415" s="1432"/>
      <c r="E415" s="1432"/>
      <c r="F415" s="1432"/>
      <c r="G415" s="1432"/>
      <c r="H415" s="1350"/>
      <c r="I415" s="1350"/>
      <c r="J415" s="1350"/>
      <c r="K415" s="1350"/>
      <c r="L415" s="1350"/>
      <c r="M415" s="1350"/>
      <c r="N415" s="1350"/>
      <c r="O415" s="1350"/>
      <c r="P415" s="1350"/>
      <c r="Q415" s="1350"/>
      <c r="R415" s="1350"/>
      <c r="S415" s="1350"/>
      <c r="T415" s="1350"/>
      <c r="U415" s="1350"/>
      <c r="V415" s="1350"/>
      <c r="W415" s="1350"/>
      <c r="X415" s="1350"/>
      <c r="Y415" s="1350"/>
      <c r="Z415" s="1350"/>
      <c r="AA415" s="1350"/>
      <c r="AB415" s="1350"/>
      <c r="AC415" s="1350"/>
      <c r="AD415" s="1350"/>
      <c r="AE415" s="1350"/>
      <c r="AF415" s="1350"/>
      <c r="AG415" s="1350"/>
      <c r="AH415" s="1350"/>
      <c r="AI415" s="1350"/>
      <c r="AJ415" s="1350"/>
      <c r="AK415" s="1350"/>
      <c r="AL415" s="1350"/>
      <c r="AM415" s="1350"/>
      <c r="AN415" s="1350"/>
      <c r="AO415" s="1350"/>
      <c r="AP415" s="1350"/>
      <c r="AQ415" s="1350"/>
      <c r="AR415" s="1350"/>
      <c r="AS415" s="1350"/>
      <c r="AT415" s="1350"/>
      <c r="AU415" s="1350"/>
      <c r="AV415" s="1350"/>
      <c r="AW415" s="1350"/>
      <c r="AX415" s="1350"/>
      <c r="AY415" s="1350"/>
      <c r="AZ415" s="1350"/>
      <c r="BA415" s="1070"/>
      <c r="BB415" s="1070"/>
      <c r="BC415" s="1070"/>
      <c r="BD415" s="1070"/>
      <c r="BE415" s="1070"/>
      <c r="BF415" s="1070"/>
      <c r="BG415" s="1070"/>
      <c r="BH415" s="1070"/>
      <c r="BI415" s="1070"/>
      <c r="BJ415" s="1070"/>
      <c r="BK415" s="1070"/>
      <c r="BL415" s="1070"/>
      <c r="BM415" s="1070"/>
      <c r="BN415" s="1070"/>
      <c r="BO415" s="1070"/>
      <c r="BP415" s="1070"/>
      <c r="BQ415" s="1070"/>
      <c r="BR415" s="1070"/>
      <c r="BS415" s="1070"/>
      <c r="BT415" s="1070"/>
      <c r="BU415" s="1070"/>
      <c r="BV415" s="1070"/>
      <c r="BW415" s="1070"/>
      <c r="BX415" s="1070"/>
      <c r="BY415" s="1070"/>
      <c r="BZ415" s="1070"/>
      <c r="CA415" s="1070"/>
      <c r="CB415" s="1070"/>
      <c r="CC415" s="1070"/>
      <c r="CD415" s="1070"/>
      <c r="CE415" s="1070"/>
      <c r="CF415" s="1070"/>
      <c r="CG415" s="1070"/>
      <c r="CH415" s="1070"/>
      <c r="CI415" s="1070"/>
      <c r="CJ415" s="1070"/>
      <c r="CK415" s="1070"/>
      <c r="CL415" s="1070"/>
      <c r="CM415" s="1070"/>
      <c r="CN415" s="1070"/>
      <c r="CO415" s="1070"/>
      <c r="CP415" s="1070"/>
      <c r="CQ415" s="1070"/>
      <c r="CR415" s="1070"/>
      <c r="CS415" s="1070"/>
      <c r="CT415" s="1070"/>
      <c r="CU415" s="1070"/>
      <c r="CV415" s="1070"/>
      <c r="CW415" s="1070"/>
      <c r="CX415" s="1070"/>
      <c r="CY415" s="1070"/>
      <c r="CZ415" s="1070"/>
      <c r="DA415" s="1070"/>
      <c r="DB415" s="1070"/>
      <c r="DC415" s="1070"/>
      <c r="DD415" s="1070"/>
      <c r="DE415" s="1070"/>
      <c r="DF415" s="1070"/>
      <c r="DG415" s="1070"/>
      <c r="DH415" s="1070"/>
      <c r="DI415" s="1070"/>
    </row>
    <row r="416" spans="1:113" ht="15.75" x14ac:dyDescent="0.25">
      <c r="A416" s="1422" t="s">
        <v>1322</v>
      </c>
      <c r="B416" s="1441"/>
      <c r="C416" s="1434"/>
      <c r="D416" s="1350"/>
      <c r="E416" s="1350"/>
      <c r="F416" s="1350"/>
      <c r="G416" s="1350"/>
      <c r="H416" s="1350"/>
      <c r="I416" s="1350"/>
      <c r="J416" s="1350"/>
      <c r="K416" s="1350"/>
      <c r="L416" s="1350"/>
      <c r="M416" s="1350"/>
      <c r="N416" s="1350"/>
      <c r="O416" s="1350"/>
      <c r="P416" s="1350"/>
      <c r="Q416" s="1350"/>
      <c r="R416" s="1350"/>
      <c r="S416" s="1350"/>
      <c r="T416" s="1350"/>
      <c r="U416" s="1350"/>
      <c r="V416" s="1350"/>
      <c r="W416" s="1350"/>
      <c r="X416" s="1350"/>
      <c r="Y416" s="1350"/>
      <c r="Z416" s="1350"/>
      <c r="AA416" s="1350"/>
      <c r="AB416" s="1350"/>
      <c r="AC416" s="1350"/>
      <c r="AD416" s="1350"/>
      <c r="AE416" s="1350"/>
      <c r="AF416" s="1350"/>
      <c r="AG416" s="1350"/>
      <c r="AH416" s="1350"/>
      <c r="AI416" s="1350"/>
      <c r="AJ416" s="1350"/>
      <c r="AK416" s="1350"/>
      <c r="AL416" s="1350"/>
      <c r="AM416" s="1350"/>
      <c r="AN416" s="1350"/>
      <c r="AO416" s="1350"/>
      <c r="AP416" s="1350"/>
      <c r="AQ416" s="1350"/>
      <c r="AR416" s="1350"/>
      <c r="AS416" s="1350"/>
      <c r="AT416" s="1350"/>
      <c r="AU416" s="1350"/>
      <c r="AV416" s="1350"/>
      <c r="AW416" s="1350"/>
      <c r="AX416" s="1350"/>
      <c r="AY416" s="1350"/>
      <c r="AZ416" s="1350"/>
      <c r="BA416" s="1070"/>
      <c r="BB416" s="1070"/>
      <c r="BC416" s="1070"/>
      <c r="BD416" s="1070"/>
      <c r="BE416" s="1070"/>
      <c r="BF416" s="1070"/>
      <c r="BG416" s="1070"/>
      <c r="BH416" s="1070"/>
      <c r="BI416" s="1070"/>
      <c r="BJ416" s="1070"/>
      <c r="BK416" s="1070"/>
      <c r="BL416" s="1070"/>
      <c r="BM416" s="1070"/>
      <c r="BN416" s="1070"/>
      <c r="BO416" s="1070"/>
      <c r="BP416" s="1070"/>
      <c r="BQ416" s="1070"/>
      <c r="BR416" s="1070"/>
      <c r="BS416" s="1070"/>
      <c r="BT416" s="1070"/>
      <c r="BU416" s="1070"/>
      <c r="BV416" s="1070"/>
      <c r="BW416" s="1070"/>
      <c r="BX416" s="1070"/>
      <c r="BY416" s="1070"/>
      <c r="BZ416" s="1070"/>
      <c r="CA416" s="1070"/>
      <c r="CB416" s="1070"/>
      <c r="CC416" s="1070"/>
      <c r="CD416" s="1070"/>
      <c r="CE416" s="1070"/>
      <c r="CF416" s="1070"/>
      <c r="CG416" s="1070"/>
      <c r="CH416" s="1070"/>
      <c r="CI416" s="1070"/>
      <c r="CJ416" s="1070"/>
      <c r="CK416" s="1070"/>
      <c r="CL416" s="1070"/>
      <c r="CM416" s="1070"/>
      <c r="CN416" s="1070"/>
      <c r="CO416" s="1070"/>
      <c r="CP416" s="1070"/>
      <c r="CQ416" s="1070"/>
      <c r="CR416" s="1070"/>
      <c r="CS416" s="1070"/>
      <c r="CT416" s="1070"/>
      <c r="CU416" s="1070"/>
      <c r="CV416" s="1070"/>
      <c r="CW416" s="1070"/>
      <c r="CX416" s="1070"/>
      <c r="CY416" s="1070"/>
      <c r="CZ416" s="1070"/>
      <c r="DA416" s="1070"/>
      <c r="DB416" s="1070"/>
      <c r="DC416" s="1070"/>
      <c r="DD416" s="1070"/>
      <c r="DE416" s="1070"/>
      <c r="DF416" s="1070"/>
      <c r="DG416" s="1070"/>
      <c r="DH416" s="1070"/>
      <c r="DI416" s="1070"/>
    </row>
    <row r="417" spans="1:113" ht="15.75" x14ac:dyDescent="0.25">
      <c r="A417" s="1422" t="s">
        <v>2973</v>
      </c>
      <c r="B417" s="1449">
        <f>B344</f>
        <v>4</v>
      </c>
      <c r="C417" s="1437"/>
      <c r="D417" s="1350"/>
      <c r="E417" s="1350"/>
      <c r="F417" s="1350"/>
      <c r="G417" s="1350"/>
      <c r="H417" s="1350"/>
      <c r="I417" s="1350"/>
      <c r="J417" s="1350"/>
      <c r="K417" s="1350"/>
      <c r="L417" s="1350"/>
      <c r="M417" s="1350"/>
      <c r="N417" s="1350"/>
      <c r="O417" s="1350"/>
      <c r="P417" s="1350"/>
      <c r="Q417" s="1350"/>
      <c r="R417" s="1350"/>
      <c r="S417" s="1350"/>
      <c r="T417" s="1350"/>
      <c r="U417" s="1350"/>
      <c r="V417" s="1350"/>
      <c r="W417" s="1350"/>
      <c r="X417" s="1350"/>
      <c r="Y417" s="1350"/>
      <c r="Z417" s="1350"/>
      <c r="AA417" s="1350"/>
      <c r="AB417" s="1350"/>
      <c r="AC417" s="1350"/>
      <c r="AD417" s="1350"/>
      <c r="AE417" s="1350"/>
      <c r="AF417" s="1350"/>
      <c r="AG417" s="1350"/>
      <c r="AH417" s="1350"/>
      <c r="AI417" s="1350"/>
      <c r="AJ417" s="1350"/>
      <c r="AK417" s="1350"/>
      <c r="AL417" s="1350"/>
      <c r="AM417" s="1350"/>
      <c r="AN417" s="1350"/>
      <c r="AO417" s="1350"/>
      <c r="AP417" s="1350"/>
      <c r="AQ417" s="1350"/>
      <c r="AR417" s="1350"/>
      <c r="AS417" s="1350"/>
      <c r="AT417" s="1350"/>
      <c r="AU417" s="1350"/>
      <c r="AV417" s="1350"/>
      <c r="AW417" s="1350"/>
      <c r="AX417" s="1350"/>
      <c r="AY417" s="1350"/>
      <c r="AZ417" s="1350"/>
      <c r="BA417" s="1070"/>
      <c r="BB417" s="1070"/>
      <c r="BC417" s="1070"/>
      <c r="BD417" s="1070"/>
      <c r="BE417" s="1070"/>
      <c r="BF417" s="1070"/>
      <c r="BG417" s="1070"/>
      <c r="BH417" s="1070"/>
      <c r="BI417" s="1070"/>
      <c r="BJ417" s="1070"/>
      <c r="BK417" s="1070"/>
      <c r="BL417" s="1070"/>
      <c r="BM417" s="1070"/>
      <c r="BN417" s="1070"/>
      <c r="BO417" s="1070"/>
      <c r="BP417" s="1070"/>
      <c r="BQ417" s="1070"/>
      <c r="BR417" s="1070"/>
      <c r="BS417" s="1070"/>
      <c r="BT417" s="1070"/>
      <c r="BU417" s="1070"/>
      <c r="BV417" s="1070"/>
      <c r="BW417" s="1070"/>
      <c r="BX417" s="1070"/>
      <c r="BY417" s="1070"/>
      <c r="BZ417" s="1070"/>
      <c r="CA417" s="1070"/>
      <c r="CB417" s="1070"/>
      <c r="CC417" s="1070"/>
      <c r="CD417" s="1070"/>
      <c r="CE417" s="1070"/>
      <c r="CF417" s="1070"/>
      <c r="CG417" s="1070"/>
      <c r="CH417" s="1070"/>
      <c r="CI417" s="1070"/>
      <c r="CJ417" s="1070"/>
      <c r="CK417" s="1070"/>
      <c r="CL417" s="1070"/>
      <c r="CM417" s="1070"/>
      <c r="CN417" s="1070"/>
      <c r="CO417" s="1070"/>
      <c r="CP417" s="1070"/>
      <c r="CQ417" s="1070"/>
      <c r="CR417" s="1070"/>
      <c r="CS417" s="1070"/>
      <c r="CT417" s="1070"/>
      <c r="CU417" s="1070"/>
      <c r="CV417" s="1070"/>
      <c r="CW417" s="1070"/>
      <c r="CX417" s="1070"/>
      <c r="CY417" s="1070"/>
      <c r="CZ417" s="1070"/>
      <c r="DA417" s="1070"/>
      <c r="DB417" s="1070"/>
      <c r="DC417" s="1070"/>
      <c r="DD417" s="1070"/>
      <c r="DE417" s="1070"/>
      <c r="DF417" s="1070"/>
      <c r="DG417" s="1070"/>
      <c r="DH417" s="1070"/>
      <c r="DI417" s="1070"/>
    </row>
    <row r="418" spans="1:113" ht="15.75" x14ac:dyDescent="0.25">
      <c r="A418" s="1448" t="s">
        <v>2974</v>
      </c>
      <c r="B418" s="1423">
        <f>B417*0.02*500</f>
        <v>40</v>
      </c>
      <c r="C418" s="1429"/>
      <c r="D418" s="1432"/>
      <c r="E418" s="1432"/>
      <c r="F418" s="1432"/>
      <c r="G418" s="1432"/>
      <c r="H418" s="1350"/>
      <c r="I418" s="1350"/>
      <c r="J418" s="1350"/>
      <c r="K418" s="1350"/>
      <c r="L418" s="1350"/>
      <c r="M418" s="1350"/>
      <c r="N418" s="1350"/>
      <c r="O418" s="1350"/>
      <c r="P418" s="1350"/>
      <c r="Q418" s="1350"/>
      <c r="R418" s="1350"/>
      <c r="S418" s="1350"/>
      <c r="T418" s="1350"/>
      <c r="U418" s="1350"/>
      <c r="V418" s="1350"/>
      <c r="W418" s="1350"/>
      <c r="X418" s="1350"/>
      <c r="Y418" s="1350"/>
      <c r="Z418" s="1350"/>
      <c r="AA418" s="1350"/>
      <c r="AB418" s="1350"/>
      <c r="AC418" s="1350"/>
      <c r="AD418" s="1350"/>
      <c r="AE418" s="1350"/>
      <c r="AF418" s="1350"/>
      <c r="AG418" s="1350"/>
      <c r="AH418" s="1350"/>
      <c r="AI418" s="1350"/>
      <c r="AJ418" s="1350"/>
      <c r="AK418" s="1350"/>
      <c r="AL418" s="1350"/>
      <c r="AM418" s="1350"/>
      <c r="AN418" s="1350"/>
      <c r="AO418" s="1350"/>
      <c r="AP418" s="1350"/>
      <c r="AQ418" s="1350"/>
      <c r="AR418" s="1350"/>
      <c r="AS418" s="1350"/>
      <c r="AT418" s="1350"/>
      <c r="AU418" s="1350"/>
      <c r="AV418" s="1350"/>
      <c r="AW418" s="1350"/>
      <c r="AX418" s="1350"/>
      <c r="AY418" s="1350"/>
      <c r="AZ418" s="1350"/>
      <c r="BA418" s="1070"/>
      <c r="BB418" s="1070"/>
      <c r="BC418" s="1070"/>
      <c r="BD418" s="1070"/>
      <c r="BE418" s="1070"/>
      <c r="BF418" s="1070"/>
      <c r="BG418" s="1070"/>
      <c r="BH418" s="1070"/>
      <c r="BI418" s="1070"/>
      <c r="BJ418" s="1070"/>
      <c r="BK418" s="1070"/>
      <c r="BL418" s="1070"/>
      <c r="BM418" s="1070"/>
      <c r="BN418" s="1070"/>
      <c r="BO418" s="1070"/>
      <c r="BP418" s="1070"/>
      <c r="BQ418" s="1070"/>
      <c r="BR418" s="1070"/>
      <c r="BS418" s="1070"/>
      <c r="BT418" s="1070"/>
      <c r="BU418" s="1070"/>
      <c r="BV418" s="1070"/>
      <c r="BW418" s="1070"/>
      <c r="BX418" s="1070"/>
      <c r="BY418" s="1070"/>
      <c r="BZ418" s="1070"/>
      <c r="CA418" s="1070"/>
      <c r="CB418" s="1070"/>
      <c r="CC418" s="1070"/>
      <c r="CD418" s="1070"/>
      <c r="CE418" s="1070"/>
      <c r="CF418" s="1070"/>
      <c r="CG418" s="1070"/>
      <c r="CH418" s="1070"/>
      <c r="CI418" s="1070"/>
      <c r="CJ418" s="1070"/>
      <c r="CK418" s="1070"/>
      <c r="CL418" s="1070"/>
      <c r="CM418" s="1070"/>
      <c r="CN418" s="1070"/>
      <c r="CO418" s="1070"/>
      <c r="CP418" s="1070"/>
      <c r="CQ418" s="1070"/>
      <c r="CR418" s="1070"/>
      <c r="CS418" s="1070"/>
      <c r="CT418" s="1070"/>
      <c r="CU418" s="1070"/>
      <c r="CV418" s="1070"/>
      <c r="CW418" s="1070"/>
      <c r="CX418" s="1070"/>
      <c r="CY418" s="1070"/>
      <c r="CZ418" s="1070"/>
      <c r="DA418" s="1070"/>
      <c r="DB418" s="1070"/>
      <c r="DC418" s="1070"/>
      <c r="DD418" s="1070"/>
      <c r="DE418" s="1070"/>
      <c r="DF418" s="1070"/>
      <c r="DG418" s="1070"/>
      <c r="DH418" s="1070"/>
      <c r="DI418" s="1070"/>
    </row>
    <row r="419" spans="1:113" ht="15.75" x14ac:dyDescent="0.25">
      <c r="A419" s="1422" t="s">
        <v>2975</v>
      </c>
      <c r="B419" s="1433">
        <f>IF(B418&lt;20.1,1,IF(B418&lt;30,0.9,0.85))</f>
        <v>0.85</v>
      </c>
      <c r="C419" s="1437"/>
      <c r="D419" s="1429"/>
      <c r="E419" s="1429"/>
      <c r="F419" s="1429"/>
      <c r="G419" s="1429"/>
      <c r="H419" s="1350"/>
      <c r="I419" s="1350"/>
      <c r="J419" s="1350"/>
      <c r="K419" s="1350"/>
      <c r="L419" s="1350"/>
      <c r="M419" s="1350"/>
      <c r="N419" s="1350"/>
      <c r="O419" s="1350"/>
      <c r="P419" s="1350"/>
      <c r="Q419" s="1350"/>
      <c r="R419" s="1350"/>
      <c r="S419" s="1350"/>
      <c r="T419" s="1350"/>
      <c r="U419" s="1350"/>
      <c r="V419" s="1350"/>
      <c r="W419" s="1350"/>
      <c r="X419" s="1350"/>
      <c r="Y419" s="1350"/>
      <c r="Z419" s="1350"/>
      <c r="AA419" s="1350"/>
      <c r="AB419" s="1350"/>
      <c r="AC419" s="1350"/>
      <c r="AD419" s="1350"/>
      <c r="AE419" s="1350"/>
      <c r="AF419" s="1350"/>
      <c r="AG419" s="1350"/>
      <c r="AH419" s="1350"/>
      <c r="AI419" s="1350"/>
      <c r="AJ419" s="1350"/>
      <c r="AK419" s="1350"/>
      <c r="AL419" s="1350"/>
      <c r="AM419" s="1350"/>
      <c r="AN419" s="1350"/>
      <c r="AO419" s="1350"/>
      <c r="AP419" s="1350"/>
      <c r="AQ419" s="1350"/>
      <c r="AR419" s="1350"/>
      <c r="AS419" s="1350"/>
      <c r="AT419" s="1350"/>
      <c r="AU419" s="1350"/>
      <c r="AV419" s="1350"/>
      <c r="AW419" s="1350"/>
      <c r="AX419" s="1350"/>
      <c r="AY419" s="1350"/>
      <c r="AZ419" s="1350"/>
      <c r="BA419" s="1070"/>
      <c r="BB419" s="1070"/>
      <c r="BC419" s="1070"/>
      <c r="BD419" s="1070"/>
      <c r="BE419" s="1070"/>
      <c r="BF419" s="1070"/>
      <c r="BG419" s="1070"/>
      <c r="BH419" s="1070"/>
      <c r="BI419" s="1070"/>
      <c r="BJ419" s="1070"/>
      <c r="BK419" s="1070"/>
      <c r="BL419" s="1070"/>
      <c r="BM419" s="1070"/>
      <c r="BN419" s="1070"/>
      <c r="BO419" s="1070"/>
      <c r="BP419" s="1070"/>
      <c r="BQ419" s="1070"/>
      <c r="BR419" s="1070"/>
      <c r="BS419" s="1070"/>
      <c r="BT419" s="1070"/>
      <c r="BU419" s="1070"/>
      <c r="BV419" s="1070"/>
      <c r="BW419" s="1070"/>
      <c r="BX419" s="1070"/>
      <c r="BY419" s="1070"/>
      <c r="BZ419" s="1070"/>
      <c r="CA419" s="1070"/>
      <c r="CB419" s="1070"/>
      <c r="CC419" s="1070"/>
      <c r="CD419" s="1070"/>
      <c r="CE419" s="1070"/>
      <c r="CF419" s="1070"/>
      <c r="CG419" s="1070"/>
      <c r="CH419" s="1070"/>
      <c r="CI419" s="1070"/>
      <c r="CJ419" s="1070"/>
      <c r="CK419" s="1070"/>
      <c r="CL419" s="1070"/>
      <c r="CM419" s="1070"/>
      <c r="CN419" s="1070"/>
      <c r="CO419" s="1070"/>
      <c r="CP419" s="1070"/>
      <c r="CQ419" s="1070"/>
      <c r="CR419" s="1070"/>
      <c r="CS419" s="1070"/>
      <c r="CT419" s="1070"/>
      <c r="CU419" s="1070"/>
      <c r="CV419" s="1070"/>
      <c r="CW419" s="1070"/>
      <c r="CX419" s="1070"/>
      <c r="CY419" s="1070"/>
      <c r="CZ419" s="1070"/>
      <c r="DA419" s="1070"/>
      <c r="DB419" s="1070"/>
      <c r="DC419" s="1070"/>
      <c r="DD419" s="1070"/>
      <c r="DE419" s="1070"/>
      <c r="DF419" s="1070"/>
      <c r="DG419" s="1070"/>
      <c r="DH419" s="1070"/>
      <c r="DI419" s="1070"/>
    </row>
    <row r="420" spans="1:113" ht="15.75" x14ac:dyDescent="0.25">
      <c r="A420" s="1422" t="s">
        <v>391</v>
      </c>
      <c r="B420" s="1443">
        <f>B363</f>
        <v>1.1499999999999999</v>
      </c>
      <c r="C420" s="1437"/>
      <c r="D420" s="1350"/>
      <c r="E420" s="1350"/>
      <c r="F420" s="1350"/>
      <c r="G420" s="1350"/>
      <c r="H420" s="1350"/>
      <c r="I420" s="1350"/>
      <c r="J420" s="1350"/>
      <c r="K420" s="1350"/>
      <c r="L420" s="1350"/>
      <c r="M420" s="1350"/>
      <c r="N420" s="1350"/>
      <c r="O420" s="1350"/>
      <c r="P420" s="1350"/>
      <c r="Q420" s="1350"/>
      <c r="R420" s="1350"/>
      <c r="S420" s="1350"/>
      <c r="T420" s="1350"/>
      <c r="U420" s="1350"/>
      <c r="V420" s="1350"/>
      <c r="W420" s="1350"/>
      <c r="X420" s="1350"/>
      <c r="Y420" s="1350"/>
      <c r="Z420" s="1350"/>
      <c r="AA420" s="1350"/>
      <c r="AB420" s="1350"/>
      <c r="AC420" s="1350"/>
      <c r="AD420" s="1350"/>
      <c r="AE420" s="1350"/>
      <c r="AF420" s="1350"/>
      <c r="AG420" s="1350"/>
      <c r="AH420" s="1350"/>
      <c r="AI420" s="1350"/>
      <c r="AJ420" s="1350"/>
      <c r="AK420" s="1350"/>
      <c r="AL420" s="1350"/>
      <c r="AM420" s="1350"/>
      <c r="AN420" s="1350"/>
      <c r="AO420" s="1350"/>
      <c r="AP420" s="1350"/>
      <c r="AQ420" s="1350"/>
      <c r="AR420" s="1350"/>
      <c r="AS420" s="1350"/>
      <c r="AT420" s="1350"/>
      <c r="AU420" s="1350"/>
      <c r="AV420" s="1350"/>
      <c r="AW420" s="1350"/>
      <c r="AX420" s="1350"/>
      <c r="AY420" s="1350"/>
      <c r="AZ420" s="1350"/>
      <c r="BA420" s="1070"/>
      <c r="BB420" s="1070"/>
      <c r="BC420" s="1070"/>
      <c r="BD420" s="1070"/>
      <c r="BE420" s="1070"/>
      <c r="BF420" s="1070"/>
      <c r="BG420" s="1070"/>
      <c r="BH420" s="1070"/>
      <c r="BI420" s="1070"/>
      <c r="BJ420" s="1070"/>
      <c r="BK420" s="1070"/>
      <c r="BL420" s="1070"/>
      <c r="BM420" s="1070"/>
      <c r="BN420" s="1070"/>
      <c r="BO420" s="1070"/>
      <c r="BP420" s="1070"/>
      <c r="BQ420" s="1070"/>
      <c r="BR420" s="1070"/>
      <c r="BS420" s="1070"/>
      <c r="BT420" s="1070"/>
      <c r="BU420" s="1070"/>
      <c r="BV420" s="1070"/>
      <c r="BW420" s="1070"/>
      <c r="BX420" s="1070"/>
      <c r="BY420" s="1070"/>
      <c r="BZ420" s="1070"/>
      <c r="CA420" s="1070"/>
      <c r="CB420" s="1070"/>
      <c r="CC420" s="1070"/>
      <c r="CD420" s="1070"/>
      <c r="CE420" s="1070"/>
      <c r="CF420" s="1070"/>
      <c r="CG420" s="1070"/>
      <c r="CH420" s="1070"/>
      <c r="CI420" s="1070"/>
      <c r="CJ420" s="1070"/>
      <c r="CK420" s="1070"/>
      <c r="CL420" s="1070"/>
      <c r="CM420" s="1070"/>
      <c r="CN420" s="1070"/>
      <c r="CO420" s="1070"/>
      <c r="CP420" s="1070"/>
      <c r="CQ420" s="1070"/>
      <c r="CR420" s="1070"/>
      <c r="CS420" s="1070"/>
      <c r="CT420" s="1070"/>
      <c r="CU420" s="1070"/>
      <c r="CV420" s="1070"/>
      <c r="CW420" s="1070"/>
      <c r="CX420" s="1070"/>
      <c r="CY420" s="1070"/>
      <c r="CZ420" s="1070"/>
      <c r="DA420" s="1070"/>
      <c r="DB420" s="1070"/>
      <c r="DC420" s="1070"/>
      <c r="DD420" s="1070"/>
      <c r="DE420" s="1070"/>
      <c r="DF420" s="1070"/>
      <c r="DG420" s="1070"/>
      <c r="DH420" s="1070"/>
      <c r="DI420" s="1070"/>
    </row>
    <row r="421" spans="1:113" ht="15.75" x14ac:dyDescent="0.25">
      <c r="A421" s="1422" t="s">
        <v>392</v>
      </c>
      <c r="B421" s="1443">
        <f>B364</f>
        <v>0.8</v>
      </c>
      <c r="C421" s="1437"/>
      <c r="D421" s="1434"/>
      <c r="E421" s="1434"/>
      <c r="F421" s="1434"/>
      <c r="G421" s="1434"/>
      <c r="H421" s="1350"/>
      <c r="I421" s="1350"/>
      <c r="J421" s="1350"/>
      <c r="K421" s="1350"/>
      <c r="L421" s="1350"/>
      <c r="M421" s="1350"/>
      <c r="N421" s="1350"/>
      <c r="O421" s="1350"/>
      <c r="P421" s="1350"/>
      <c r="Q421" s="1350"/>
      <c r="R421" s="1350"/>
      <c r="S421" s="1350"/>
      <c r="T421" s="1350"/>
      <c r="U421" s="1350"/>
      <c r="V421" s="1350"/>
      <c r="W421" s="1350"/>
      <c r="X421" s="1350"/>
      <c r="Y421" s="1350"/>
      <c r="Z421" s="1350"/>
      <c r="AA421" s="1350"/>
      <c r="AB421" s="1350"/>
      <c r="AC421" s="1350"/>
      <c r="AD421" s="1350"/>
      <c r="AE421" s="1350"/>
      <c r="AF421" s="1350"/>
      <c r="AG421" s="1350"/>
      <c r="AH421" s="1350"/>
      <c r="AI421" s="1350"/>
      <c r="AJ421" s="1350"/>
      <c r="AK421" s="1350"/>
      <c r="AL421" s="1350"/>
      <c r="AM421" s="1350"/>
      <c r="AN421" s="1350"/>
      <c r="AO421" s="1350"/>
      <c r="AP421" s="1350"/>
      <c r="AQ421" s="1350"/>
      <c r="AR421" s="1350"/>
      <c r="AS421" s="1350"/>
      <c r="AT421" s="1350"/>
      <c r="AU421" s="1350"/>
      <c r="AV421" s="1350"/>
      <c r="AW421" s="1350"/>
      <c r="AX421" s="1350"/>
      <c r="AY421" s="1350"/>
      <c r="AZ421" s="1350"/>
      <c r="BA421" s="1070"/>
      <c r="BB421" s="1070"/>
      <c r="BC421" s="1070"/>
      <c r="BD421" s="1070"/>
      <c r="BE421" s="1070"/>
      <c r="BF421" s="1070"/>
      <c r="BG421" s="1070"/>
      <c r="BH421" s="1070"/>
      <c r="BI421" s="1070"/>
      <c r="BJ421" s="1070"/>
      <c r="BK421" s="1070"/>
      <c r="BL421" s="1070"/>
      <c r="BM421" s="1070"/>
      <c r="BN421" s="1070"/>
      <c r="BO421" s="1070"/>
      <c r="BP421" s="1070"/>
      <c r="BQ421" s="1070"/>
      <c r="BR421" s="1070"/>
      <c r="BS421" s="1070"/>
      <c r="BT421" s="1070"/>
      <c r="BU421" s="1070"/>
      <c r="BV421" s="1070"/>
      <c r="BW421" s="1070"/>
      <c r="BX421" s="1070"/>
      <c r="BY421" s="1070"/>
      <c r="BZ421" s="1070"/>
      <c r="CA421" s="1070"/>
      <c r="CB421" s="1070"/>
      <c r="CC421" s="1070"/>
      <c r="CD421" s="1070"/>
      <c r="CE421" s="1070"/>
      <c r="CF421" s="1070"/>
      <c r="CG421" s="1070"/>
      <c r="CH421" s="1070"/>
      <c r="CI421" s="1070"/>
      <c r="CJ421" s="1070"/>
      <c r="CK421" s="1070"/>
      <c r="CL421" s="1070"/>
      <c r="CM421" s="1070"/>
      <c r="CN421" s="1070"/>
      <c r="CO421" s="1070"/>
      <c r="CP421" s="1070"/>
      <c r="CQ421" s="1070"/>
      <c r="CR421" s="1070"/>
      <c r="CS421" s="1070"/>
      <c r="CT421" s="1070"/>
      <c r="CU421" s="1070"/>
      <c r="CV421" s="1070"/>
      <c r="CW421" s="1070"/>
      <c r="CX421" s="1070"/>
      <c r="CY421" s="1070"/>
      <c r="CZ421" s="1070"/>
      <c r="DA421" s="1070"/>
      <c r="DB421" s="1070"/>
      <c r="DC421" s="1070"/>
      <c r="DD421" s="1070"/>
      <c r="DE421" s="1070"/>
      <c r="DF421" s="1070"/>
      <c r="DG421" s="1070"/>
      <c r="DH421" s="1070"/>
      <c r="DI421" s="1070"/>
    </row>
    <row r="422" spans="1:113" ht="31.5" x14ac:dyDescent="0.25">
      <c r="A422" s="1422" t="s">
        <v>393</v>
      </c>
      <c r="B422" s="1443">
        <f>B365</f>
        <v>1</v>
      </c>
      <c r="C422" s="1437"/>
      <c r="D422" s="1434"/>
      <c r="E422" s="1434"/>
      <c r="F422" s="1434"/>
      <c r="G422" s="1434"/>
      <c r="H422" s="1350"/>
      <c r="I422" s="1350"/>
      <c r="J422" s="1350"/>
      <c r="K422" s="1350"/>
      <c r="L422" s="1350"/>
      <c r="M422" s="1350"/>
      <c r="N422" s="1350"/>
      <c r="O422" s="1350"/>
      <c r="P422" s="1350"/>
      <c r="Q422" s="1350"/>
      <c r="R422" s="1350"/>
      <c r="S422" s="1350"/>
      <c r="T422" s="1350"/>
      <c r="U422" s="1350"/>
      <c r="V422" s="1350"/>
      <c r="W422" s="1350"/>
      <c r="X422" s="1350"/>
      <c r="Y422" s="1350"/>
      <c r="Z422" s="1350"/>
      <c r="AA422" s="1350"/>
      <c r="AB422" s="1350"/>
      <c r="AC422" s="1350"/>
      <c r="AD422" s="1350"/>
      <c r="AE422" s="1350"/>
      <c r="AF422" s="1350"/>
      <c r="AG422" s="1350"/>
      <c r="AH422" s="1350"/>
      <c r="AI422" s="1350"/>
      <c r="AJ422" s="1350"/>
      <c r="AK422" s="1350"/>
      <c r="AL422" s="1350"/>
      <c r="AM422" s="1350"/>
      <c r="AN422" s="1350"/>
      <c r="AO422" s="1350"/>
      <c r="AP422" s="1350"/>
      <c r="AQ422" s="1350"/>
      <c r="AR422" s="1350"/>
      <c r="AS422" s="1350"/>
      <c r="AT422" s="1350"/>
      <c r="AU422" s="1350"/>
      <c r="AV422" s="1350"/>
      <c r="AW422" s="1350"/>
      <c r="AX422" s="1350"/>
      <c r="AY422" s="1350"/>
      <c r="AZ422" s="1350"/>
      <c r="BA422" s="1070"/>
      <c r="BB422" s="1070"/>
      <c r="BC422" s="1070"/>
      <c r="BD422" s="1070"/>
      <c r="BE422" s="1070"/>
      <c r="BF422" s="1070"/>
      <c r="BG422" s="1070"/>
      <c r="BH422" s="1070"/>
      <c r="BI422" s="1070"/>
      <c r="BJ422" s="1070"/>
      <c r="BK422" s="1070"/>
      <c r="BL422" s="1070"/>
      <c r="BM422" s="1070"/>
      <c r="BN422" s="1070"/>
      <c r="BO422" s="1070"/>
      <c r="BP422" s="1070"/>
      <c r="BQ422" s="1070"/>
      <c r="BR422" s="1070"/>
      <c r="BS422" s="1070"/>
      <c r="BT422" s="1070"/>
      <c r="BU422" s="1070"/>
      <c r="BV422" s="1070"/>
      <c r="BW422" s="1070"/>
      <c r="BX422" s="1070"/>
      <c r="BY422" s="1070"/>
      <c r="BZ422" s="1070"/>
      <c r="CA422" s="1070"/>
      <c r="CB422" s="1070"/>
      <c r="CC422" s="1070"/>
      <c r="CD422" s="1070"/>
      <c r="CE422" s="1070"/>
      <c r="CF422" s="1070"/>
      <c r="CG422" s="1070"/>
      <c r="CH422" s="1070"/>
      <c r="CI422" s="1070"/>
      <c r="CJ422" s="1070"/>
      <c r="CK422" s="1070"/>
      <c r="CL422" s="1070"/>
      <c r="CM422" s="1070"/>
      <c r="CN422" s="1070"/>
      <c r="CO422" s="1070"/>
      <c r="CP422" s="1070"/>
      <c r="CQ422" s="1070"/>
      <c r="CR422" s="1070"/>
      <c r="CS422" s="1070"/>
      <c r="CT422" s="1070"/>
      <c r="CU422" s="1070"/>
      <c r="CV422" s="1070"/>
      <c r="CW422" s="1070"/>
      <c r="CX422" s="1070"/>
      <c r="CY422" s="1070"/>
      <c r="CZ422" s="1070"/>
      <c r="DA422" s="1070"/>
      <c r="DB422" s="1070"/>
      <c r="DC422" s="1070"/>
      <c r="DD422" s="1070"/>
      <c r="DE422" s="1070"/>
      <c r="DF422" s="1070"/>
      <c r="DG422" s="1070"/>
      <c r="DH422" s="1070"/>
      <c r="DI422" s="1070"/>
    </row>
    <row r="423" spans="1:113" ht="15.75" x14ac:dyDescent="0.25">
      <c r="A423" s="1422" t="s">
        <v>1323</v>
      </c>
      <c r="B423" s="1443">
        <f>IF(B417&lt;2.1,0.9,IF(B417&lt;3.1,0.85,0.8))</f>
        <v>0.8</v>
      </c>
      <c r="C423" s="1437"/>
      <c r="D423" s="1350"/>
      <c r="E423" s="1350"/>
      <c r="F423" s="1350"/>
      <c r="G423" s="1350"/>
      <c r="H423" s="1350"/>
      <c r="I423" s="1350"/>
      <c r="J423" s="1350"/>
      <c r="K423" s="1350"/>
      <c r="L423" s="1350"/>
      <c r="M423" s="1350"/>
      <c r="N423" s="1350"/>
      <c r="O423" s="1350"/>
      <c r="P423" s="1350"/>
      <c r="Q423" s="1350"/>
      <c r="R423" s="1350"/>
      <c r="S423" s="1350"/>
      <c r="T423" s="1350"/>
      <c r="U423" s="1350"/>
      <c r="V423" s="1350"/>
      <c r="W423" s="1350"/>
      <c r="X423" s="1350"/>
      <c r="Y423" s="1350"/>
      <c r="Z423" s="1350"/>
      <c r="AA423" s="1350"/>
      <c r="AB423" s="1350"/>
      <c r="AC423" s="1350"/>
      <c r="AD423" s="1350"/>
      <c r="AE423" s="1350"/>
      <c r="AF423" s="1350"/>
      <c r="AG423" s="1350"/>
      <c r="AH423" s="1350"/>
      <c r="AI423" s="1350"/>
      <c r="AJ423" s="1350"/>
      <c r="AK423" s="1350"/>
      <c r="AL423" s="1350"/>
      <c r="AM423" s="1350"/>
      <c r="AN423" s="1350"/>
      <c r="AO423" s="1350"/>
      <c r="AP423" s="1350"/>
      <c r="AQ423" s="1350"/>
      <c r="AR423" s="1350"/>
      <c r="AS423" s="1350"/>
      <c r="AT423" s="1350"/>
      <c r="AU423" s="1350"/>
      <c r="AV423" s="1350"/>
      <c r="AW423" s="1350"/>
      <c r="AX423" s="1350"/>
      <c r="AY423" s="1350"/>
      <c r="AZ423" s="1350"/>
      <c r="BA423" s="1070"/>
      <c r="BB423" s="1070"/>
      <c r="BC423" s="1070"/>
      <c r="BD423" s="1070"/>
      <c r="BE423" s="1070"/>
      <c r="BF423" s="1070"/>
      <c r="BG423" s="1070"/>
      <c r="BH423" s="1070"/>
      <c r="BI423" s="1070"/>
      <c r="BJ423" s="1070"/>
      <c r="BK423" s="1070"/>
      <c r="BL423" s="1070"/>
      <c r="BM423" s="1070"/>
      <c r="BN423" s="1070"/>
      <c r="BO423" s="1070"/>
      <c r="BP423" s="1070"/>
      <c r="BQ423" s="1070"/>
      <c r="BR423" s="1070"/>
      <c r="BS423" s="1070"/>
      <c r="BT423" s="1070"/>
      <c r="BU423" s="1070"/>
      <c r="BV423" s="1070"/>
      <c r="BW423" s="1070"/>
      <c r="BX423" s="1070"/>
      <c r="BY423" s="1070"/>
      <c r="BZ423" s="1070"/>
      <c r="CA423" s="1070"/>
      <c r="CB423" s="1070"/>
      <c r="CC423" s="1070"/>
      <c r="CD423" s="1070"/>
      <c r="CE423" s="1070"/>
      <c r="CF423" s="1070"/>
      <c r="CG423" s="1070"/>
      <c r="CH423" s="1070"/>
      <c r="CI423" s="1070"/>
      <c r="CJ423" s="1070"/>
      <c r="CK423" s="1070"/>
      <c r="CL423" s="1070"/>
      <c r="CM423" s="1070"/>
      <c r="CN423" s="1070"/>
      <c r="CO423" s="1070"/>
      <c r="CP423" s="1070"/>
      <c r="CQ423" s="1070"/>
      <c r="CR423" s="1070"/>
      <c r="CS423" s="1070"/>
      <c r="CT423" s="1070"/>
      <c r="CU423" s="1070"/>
      <c r="CV423" s="1070"/>
      <c r="CW423" s="1070"/>
      <c r="CX423" s="1070"/>
      <c r="CY423" s="1070"/>
      <c r="CZ423" s="1070"/>
      <c r="DA423" s="1070"/>
      <c r="DB423" s="1070"/>
      <c r="DC423" s="1070"/>
      <c r="DD423" s="1070"/>
      <c r="DE423" s="1070"/>
      <c r="DF423" s="1070"/>
      <c r="DG423" s="1070"/>
      <c r="DH423" s="1070"/>
      <c r="DI423" s="1070"/>
    </row>
    <row r="424" spans="1:113" ht="15.75" x14ac:dyDescent="0.25">
      <c r="A424" s="1422" t="s">
        <v>2976</v>
      </c>
      <c r="B424" s="1450">
        <v>0.7</v>
      </c>
      <c r="C424" s="1440"/>
      <c r="D424" s="1437"/>
      <c r="E424" s="1437"/>
      <c r="F424" s="1437"/>
      <c r="G424" s="1437"/>
      <c r="H424" s="1350"/>
      <c r="I424" s="1350"/>
      <c r="J424" s="1350"/>
      <c r="K424" s="1350"/>
      <c r="L424" s="1350"/>
      <c r="M424" s="1350"/>
      <c r="N424" s="1350"/>
      <c r="O424" s="1350"/>
      <c r="P424" s="1350"/>
      <c r="Q424" s="1350"/>
      <c r="R424" s="1350"/>
      <c r="S424" s="1350"/>
      <c r="T424" s="1350"/>
      <c r="U424" s="1350"/>
      <c r="V424" s="1350"/>
      <c r="W424" s="1350"/>
      <c r="X424" s="1350"/>
      <c r="Y424" s="1350"/>
      <c r="Z424" s="1350"/>
      <c r="AA424" s="1350"/>
      <c r="AB424" s="1350"/>
      <c r="AC424" s="1350"/>
      <c r="AD424" s="1350"/>
      <c r="AE424" s="1350"/>
      <c r="AF424" s="1350"/>
      <c r="AG424" s="1350"/>
      <c r="AH424" s="1350"/>
      <c r="AI424" s="1350"/>
      <c r="AJ424" s="1350"/>
      <c r="AK424" s="1350"/>
      <c r="AL424" s="1350"/>
      <c r="AM424" s="1350"/>
      <c r="AN424" s="1350"/>
      <c r="AO424" s="1350"/>
      <c r="AP424" s="1350"/>
      <c r="AQ424" s="1350"/>
      <c r="AR424" s="1350"/>
      <c r="AS424" s="1350"/>
      <c r="AT424" s="1350"/>
      <c r="AU424" s="1350"/>
      <c r="AV424" s="1350"/>
      <c r="AW424" s="1350"/>
      <c r="AX424" s="1350"/>
      <c r="AY424" s="1350"/>
      <c r="AZ424" s="1350"/>
      <c r="BA424" s="1070"/>
      <c r="BB424" s="1070"/>
      <c r="BC424" s="1070"/>
      <c r="BD424" s="1070"/>
      <c r="BE424" s="1070"/>
      <c r="BF424" s="1070"/>
      <c r="BG424" s="1070"/>
      <c r="BH424" s="1070"/>
      <c r="BI424" s="1070"/>
      <c r="BJ424" s="1070"/>
      <c r="BK424" s="1070"/>
      <c r="BL424" s="1070"/>
      <c r="BM424" s="1070"/>
      <c r="BN424" s="1070"/>
      <c r="BO424" s="1070"/>
      <c r="BP424" s="1070"/>
      <c r="BQ424" s="1070"/>
      <c r="BR424" s="1070"/>
      <c r="BS424" s="1070"/>
      <c r="BT424" s="1070"/>
      <c r="BU424" s="1070"/>
      <c r="BV424" s="1070"/>
      <c r="BW424" s="1070"/>
      <c r="BX424" s="1070"/>
      <c r="BY424" s="1070"/>
      <c r="BZ424" s="1070"/>
      <c r="CA424" s="1070"/>
      <c r="CB424" s="1070"/>
      <c r="CC424" s="1070"/>
      <c r="CD424" s="1070"/>
      <c r="CE424" s="1070"/>
      <c r="CF424" s="1070"/>
      <c r="CG424" s="1070"/>
      <c r="CH424" s="1070"/>
      <c r="CI424" s="1070"/>
      <c r="CJ424" s="1070"/>
      <c r="CK424" s="1070"/>
      <c r="CL424" s="1070"/>
      <c r="CM424" s="1070"/>
      <c r="CN424" s="1070"/>
      <c r="CO424" s="1070"/>
      <c r="CP424" s="1070"/>
      <c r="CQ424" s="1070"/>
      <c r="CR424" s="1070"/>
      <c r="CS424" s="1070"/>
      <c r="CT424" s="1070"/>
      <c r="CU424" s="1070"/>
      <c r="CV424" s="1070"/>
      <c r="CW424" s="1070"/>
      <c r="CX424" s="1070"/>
      <c r="CY424" s="1070"/>
      <c r="CZ424" s="1070"/>
      <c r="DA424" s="1070"/>
      <c r="DB424" s="1070"/>
      <c r="DC424" s="1070"/>
      <c r="DD424" s="1070"/>
      <c r="DE424" s="1070"/>
      <c r="DF424" s="1070"/>
      <c r="DG424" s="1070"/>
      <c r="DH424" s="1070"/>
      <c r="DI424" s="1070"/>
    </row>
    <row r="425" spans="1:113" ht="15.75" x14ac:dyDescent="0.25">
      <c r="A425" s="1422" t="s">
        <v>3412</v>
      </c>
      <c r="B425" s="1443" t="e">
        <f>B412*B419*B420*B421*B422*B423*B424*B341</f>
        <v>#VALUE!</v>
      </c>
      <c r="C425" s="1437"/>
      <c r="D425" s="1429"/>
      <c r="E425" s="1429"/>
      <c r="F425" s="1429"/>
      <c r="G425" s="1429"/>
      <c r="H425" s="1350"/>
      <c r="I425" s="1350"/>
      <c r="J425" s="1350"/>
      <c r="K425" s="1350"/>
      <c r="L425" s="1350"/>
      <c r="M425" s="1350"/>
      <c r="N425" s="1350"/>
      <c r="O425" s="1350"/>
      <c r="P425" s="1350"/>
      <c r="Q425" s="1350"/>
      <c r="R425" s="1350"/>
      <c r="S425" s="1350"/>
      <c r="T425" s="1350"/>
      <c r="U425" s="1350"/>
      <c r="V425" s="1350"/>
      <c r="W425" s="1350"/>
      <c r="X425" s="1350"/>
      <c r="Y425" s="1350"/>
      <c r="Z425" s="1350"/>
      <c r="AA425" s="1350"/>
      <c r="AB425" s="1350"/>
      <c r="AC425" s="1350"/>
      <c r="AD425" s="1350"/>
      <c r="AE425" s="1350"/>
      <c r="AF425" s="1350"/>
      <c r="AG425" s="1350"/>
      <c r="AH425" s="1350"/>
      <c r="AI425" s="1350"/>
      <c r="AJ425" s="1350"/>
      <c r="AK425" s="1350"/>
      <c r="AL425" s="1350"/>
      <c r="AM425" s="1350"/>
      <c r="AN425" s="1350"/>
      <c r="AO425" s="1350"/>
      <c r="AP425" s="1350"/>
      <c r="AQ425" s="1350"/>
      <c r="AR425" s="1350"/>
      <c r="AS425" s="1350"/>
      <c r="AT425" s="1350"/>
      <c r="AU425" s="1350"/>
      <c r="AV425" s="1350"/>
      <c r="AW425" s="1350"/>
      <c r="AX425" s="1350"/>
      <c r="AY425" s="1350"/>
      <c r="AZ425" s="1350"/>
      <c r="BA425" s="1070"/>
      <c r="BB425" s="1070"/>
      <c r="BC425" s="1070"/>
      <c r="BD425" s="1070"/>
      <c r="BE425" s="1070"/>
      <c r="BF425" s="1070"/>
      <c r="BG425" s="1070"/>
      <c r="BH425" s="1070"/>
      <c r="BI425" s="1070"/>
      <c r="BJ425" s="1070"/>
      <c r="BK425" s="1070"/>
      <c r="BL425" s="1070"/>
      <c r="BM425" s="1070"/>
      <c r="BN425" s="1070"/>
      <c r="BO425" s="1070"/>
      <c r="BP425" s="1070"/>
      <c r="BQ425" s="1070"/>
      <c r="BR425" s="1070"/>
      <c r="BS425" s="1070"/>
      <c r="BT425" s="1070"/>
      <c r="BU425" s="1070"/>
      <c r="BV425" s="1070"/>
      <c r="BW425" s="1070"/>
      <c r="BX425" s="1070"/>
      <c r="BY425" s="1070"/>
      <c r="BZ425" s="1070"/>
      <c r="CA425" s="1070"/>
      <c r="CB425" s="1070"/>
      <c r="CC425" s="1070"/>
      <c r="CD425" s="1070"/>
      <c r="CE425" s="1070"/>
      <c r="CF425" s="1070"/>
      <c r="CG425" s="1070"/>
      <c r="CH425" s="1070"/>
      <c r="CI425" s="1070"/>
      <c r="CJ425" s="1070"/>
      <c r="CK425" s="1070"/>
      <c r="CL425" s="1070"/>
      <c r="CM425" s="1070"/>
      <c r="CN425" s="1070"/>
      <c r="CO425" s="1070"/>
      <c r="CP425" s="1070"/>
      <c r="CQ425" s="1070"/>
      <c r="CR425" s="1070"/>
      <c r="CS425" s="1070"/>
      <c r="CT425" s="1070"/>
      <c r="CU425" s="1070"/>
      <c r="CV425" s="1070"/>
      <c r="CW425" s="1070"/>
      <c r="CX425" s="1070"/>
      <c r="CY425" s="1070"/>
      <c r="CZ425" s="1070"/>
      <c r="DA425" s="1070"/>
      <c r="DB425" s="1070"/>
      <c r="DC425" s="1070"/>
      <c r="DD425" s="1070"/>
      <c r="DE425" s="1070"/>
      <c r="DF425" s="1070"/>
      <c r="DG425" s="1070"/>
      <c r="DH425" s="1070"/>
      <c r="DI425" s="1070"/>
    </row>
    <row r="426" spans="1:113" ht="15.75" x14ac:dyDescent="0.25">
      <c r="A426" s="1422" t="s">
        <v>429</v>
      </c>
      <c r="B426" s="1439" t="e">
        <f>B411/B425</f>
        <v>#REF!</v>
      </c>
      <c r="C426" s="1432"/>
      <c r="D426" s="1437"/>
      <c r="E426" s="1437"/>
      <c r="F426" s="1437"/>
      <c r="G426" s="1437"/>
      <c r="H426" s="1350"/>
      <c r="I426" s="1350"/>
      <c r="J426" s="1350"/>
      <c r="K426" s="1350"/>
      <c r="L426" s="1350"/>
      <c r="M426" s="1350"/>
      <c r="N426" s="1350"/>
      <c r="O426" s="1350"/>
      <c r="P426" s="1350"/>
      <c r="Q426" s="1350"/>
      <c r="R426" s="1350"/>
      <c r="S426" s="1350"/>
      <c r="T426" s="1350"/>
      <c r="U426" s="1350"/>
      <c r="V426" s="1350"/>
      <c r="W426" s="1350"/>
      <c r="X426" s="1350"/>
      <c r="Y426" s="1350"/>
      <c r="Z426" s="1350"/>
      <c r="AA426" s="1350"/>
      <c r="AB426" s="1350"/>
      <c r="AC426" s="1350"/>
      <c r="AD426" s="1350"/>
      <c r="AE426" s="1350"/>
      <c r="AF426" s="1350"/>
      <c r="AG426" s="1350"/>
      <c r="AH426" s="1350"/>
      <c r="AI426" s="1350"/>
      <c r="AJ426" s="1350"/>
      <c r="AK426" s="1350"/>
      <c r="AL426" s="1350"/>
      <c r="AM426" s="1350"/>
      <c r="AN426" s="1350"/>
      <c r="AO426" s="1350"/>
      <c r="AP426" s="1350"/>
      <c r="AQ426" s="1350"/>
      <c r="AR426" s="1350"/>
      <c r="AS426" s="1350"/>
      <c r="AT426" s="1350"/>
      <c r="AU426" s="1350"/>
      <c r="AV426" s="1350"/>
      <c r="AW426" s="1350"/>
      <c r="AX426" s="1350"/>
      <c r="AY426" s="1350"/>
      <c r="AZ426" s="1350"/>
      <c r="BA426" s="1070"/>
      <c r="BB426" s="1070"/>
      <c r="BC426" s="1070"/>
      <c r="BD426" s="1070"/>
      <c r="BE426" s="1070"/>
      <c r="BF426" s="1070"/>
      <c r="BG426" s="1070"/>
      <c r="BH426" s="1070"/>
      <c r="BI426" s="1070"/>
      <c r="BJ426" s="1070"/>
      <c r="BK426" s="1070"/>
      <c r="BL426" s="1070"/>
      <c r="BM426" s="1070"/>
      <c r="BN426" s="1070"/>
      <c r="BO426" s="1070"/>
      <c r="BP426" s="1070"/>
      <c r="BQ426" s="1070"/>
      <c r="BR426" s="1070"/>
      <c r="BS426" s="1070"/>
      <c r="BT426" s="1070"/>
      <c r="BU426" s="1070"/>
      <c r="BV426" s="1070"/>
      <c r="BW426" s="1070"/>
      <c r="BX426" s="1070"/>
      <c r="BY426" s="1070"/>
      <c r="BZ426" s="1070"/>
      <c r="CA426" s="1070"/>
      <c r="CB426" s="1070"/>
      <c r="CC426" s="1070"/>
      <c r="CD426" s="1070"/>
      <c r="CE426" s="1070"/>
      <c r="CF426" s="1070"/>
      <c r="CG426" s="1070"/>
      <c r="CH426" s="1070"/>
      <c r="CI426" s="1070"/>
      <c r="CJ426" s="1070"/>
      <c r="CK426" s="1070"/>
      <c r="CL426" s="1070"/>
      <c r="CM426" s="1070"/>
      <c r="CN426" s="1070"/>
      <c r="CO426" s="1070"/>
      <c r="CP426" s="1070"/>
      <c r="CQ426" s="1070"/>
      <c r="CR426" s="1070"/>
      <c r="CS426" s="1070"/>
      <c r="CT426" s="1070"/>
      <c r="CU426" s="1070"/>
      <c r="CV426" s="1070"/>
      <c r="CW426" s="1070"/>
      <c r="CX426" s="1070"/>
      <c r="CY426" s="1070"/>
      <c r="CZ426" s="1070"/>
      <c r="DA426" s="1070"/>
      <c r="DB426" s="1070"/>
      <c r="DC426" s="1070"/>
      <c r="DD426" s="1070"/>
      <c r="DE426" s="1070"/>
      <c r="DF426" s="1070"/>
      <c r="DG426" s="1070"/>
      <c r="DH426" s="1070"/>
      <c r="DI426" s="1070"/>
    </row>
    <row r="427" spans="1:113" ht="15.75" x14ac:dyDescent="0.25">
      <c r="A427" s="1422"/>
      <c r="B427" s="1421"/>
      <c r="C427" s="1437"/>
      <c r="D427" s="1437"/>
      <c r="E427" s="1437"/>
      <c r="F427" s="1437"/>
      <c r="G427" s="1437"/>
      <c r="H427" s="1350"/>
      <c r="I427" s="1350"/>
      <c r="J427" s="1350"/>
      <c r="K427" s="1350"/>
      <c r="L427" s="1350"/>
      <c r="M427" s="1350"/>
      <c r="N427" s="1350"/>
      <c r="O427" s="1350"/>
      <c r="P427" s="1350"/>
      <c r="Q427" s="1350"/>
      <c r="R427" s="1350"/>
      <c r="S427" s="1350"/>
      <c r="T427" s="1350"/>
      <c r="U427" s="1350"/>
      <c r="V427" s="1350"/>
      <c r="W427" s="1350"/>
      <c r="X427" s="1350"/>
      <c r="Y427" s="1350"/>
      <c r="Z427" s="1350"/>
      <c r="AA427" s="1350"/>
      <c r="AB427" s="1350"/>
      <c r="AC427" s="1350"/>
      <c r="AD427" s="1350"/>
      <c r="AE427" s="1350"/>
      <c r="AF427" s="1350"/>
      <c r="AG427" s="1350"/>
      <c r="AH427" s="1350"/>
      <c r="AI427" s="1350"/>
      <c r="AJ427" s="1350"/>
      <c r="AK427" s="1350"/>
      <c r="AL427" s="1350"/>
      <c r="AM427" s="1350"/>
      <c r="AN427" s="1350"/>
      <c r="AO427" s="1350"/>
      <c r="AP427" s="1350"/>
      <c r="AQ427" s="1350"/>
      <c r="AR427" s="1350"/>
      <c r="AS427" s="1350"/>
      <c r="AT427" s="1350"/>
      <c r="AU427" s="1350"/>
      <c r="AV427" s="1350"/>
      <c r="AW427" s="1350"/>
      <c r="AX427" s="1350"/>
      <c r="AY427" s="1350"/>
      <c r="AZ427" s="1350"/>
      <c r="BA427" s="1070"/>
      <c r="BB427" s="1070"/>
      <c r="BC427" s="1070"/>
      <c r="BD427" s="1070"/>
      <c r="BE427" s="1070"/>
      <c r="BF427" s="1070"/>
      <c r="BG427" s="1070"/>
      <c r="BH427" s="1070"/>
      <c r="BI427" s="1070"/>
      <c r="BJ427" s="1070"/>
      <c r="BK427" s="1070"/>
      <c r="BL427" s="1070"/>
      <c r="BM427" s="1070"/>
      <c r="BN427" s="1070"/>
      <c r="BO427" s="1070"/>
      <c r="BP427" s="1070"/>
      <c r="BQ427" s="1070"/>
      <c r="BR427" s="1070"/>
      <c r="BS427" s="1070"/>
      <c r="BT427" s="1070"/>
      <c r="BU427" s="1070"/>
      <c r="BV427" s="1070"/>
      <c r="BW427" s="1070"/>
      <c r="BX427" s="1070"/>
      <c r="BY427" s="1070"/>
      <c r="BZ427" s="1070"/>
      <c r="CA427" s="1070"/>
      <c r="CB427" s="1070"/>
      <c r="CC427" s="1070"/>
      <c r="CD427" s="1070"/>
      <c r="CE427" s="1070"/>
      <c r="CF427" s="1070"/>
      <c r="CG427" s="1070"/>
      <c r="CH427" s="1070"/>
      <c r="CI427" s="1070"/>
      <c r="CJ427" s="1070"/>
      <c r="CK427" s="1070"/>
      <c r="CL427" s="1070"/>
      <c r="CM427" s="1070"/>
      <c r="CN427" s="1070"/>
      <c r="CO427" s="1070"/>
      <c r="CP427" s="1070"/>
      <c r="CQ427" s="1070"/>
      <c r="CR427" s="1070"/>
      <c r="CS427" s="1070"/>
      <c r="CT427" s="1070"/>
      <c r="CU427" s="1070"/>
      <c r="CV427" s="1070"/>
      <c r="CW427" s="1070"/>
      <c r="CX427" s="1070"/>
      <c r="CY427" s="1070"/>
      <c r="CZ427" s="1070"/>
      <c r="DA427" s="1070"/>
      <c r="DB427" s="1070"/>
      <c r="DC427" s="1070"/>
      <c r="DD427" s="1070"/>
      <c r="DE427" s="1070"/>
      <c r="DF427" s="1070"/>
      <c r="DG427" s="1070"/>
      <c r="DH427" s="1070"/>
      <c r="DI427" s="1070"/>
    </row>
    <row r="428" spans="1:113" ht="47.25" x14ac:dyDescent="0.25">
      <c r="A428" s="1438" t="s">
        <v>2977</v>
      </c>
      <c r="B428" s="1421"/>
      <c r="C428" s="1437"/>
      <c r="D428" s="1437"/>
      <c r="E428" s="1437"/>
      <c r="F428" s="1437"/>
      <c r="G428" s="1437"/>
      <c r="H428" s="1350"/>
      <c r="I428" s="1350"/>
      <c r="J428" s="1350"/>
      <c r="K428" s="1350"/>
      <c r="L428" s="1350"/>
      <c r="M428" s="1350"/>
      <c r="N428" s="1350"/>
      <c r="O428" s="1350"/>
      <c r="P428" s="1350"/>
      <c r="Q428" s="1350"/>
      <c r="R428" s="1350"/>
      <c r="S428" s="1350"/>
      <c r="T428" s="1350"/>
      <c r="U428" s="1350"/>
      <c r="V428" s="1350"/>
      <c r="W428" s="1350"/>
      <c r="X428" s="1350"/>
      <c r="Y428" s="1350"/>
      <c r="Z428" s="1350"/>
      <c r="AA428" s="1350"/>
      <c r="AB428" s="1350"/>
      <c r="AC428" s="1350"/>
      <c r="AD428" s="1350"/>
      <c r="AE428" s="1350"/>
      <c r="AF428" s="1350"/>
      <c r="AG428" s="1350"/>
      <c r="AH428" s="1350"/>
      <c r="AI428" s="1350"/>
      <c r="AJ428" s="1350"/>
      <c r="AK428" s="1350"/>
      <c r="AL428" s="1350"/>
      <c r="AM428" s="1350"/>
      <c r="AN428" s="1350"/>
      <c r="AO428" s="1350"/>
      <c r="AP428" s="1350"/>
      <c r="AQ428" s="1350"/>
      <c r="AR428" s="1350"/>
      <c r="AS428" s="1350"/>
      <c r="AT428" s="1350"/>
      <c r="AU428" s="1350"/>
      <c r="AV428" s="1350"/>
      <c r="AW428" s="1350"/>
      <c r="AX428" s="1350"/>
      <c r="AY428" s="1350"/>
      <c r="AZ428" s="1350"/>
      <c r="BA428" s="1070"/>
      <c r="BB428" s="1070"/>
      <c r="BC428" s="1070"/>
      <c r="BD428" s="1070"/>
      <c r="BE428" s="1070"/>
      <c r="BF428" s="1070"/>
      <c r="BG428" s="1070"/>
      <c r="BH428" s="1070"/>
      <c r="BI428" s="1070"/>
      <c r="BJ428" s="1070"/>
      <c r="BK428" s="1070"/>
      <c r="BL428" s="1070"/>
      <c r="BM428" s="1070"/>
      <c r="BN428" s="1070"/>
      <c r="BO428" s="1070"/>
      <c r="BP428" s="1070"/>
      <c r="BQ428" s="1070"/>
      <c r="BR428" s="1070"/>
      <c r="BS428" s="1070"/>
      <c r="BT428" s="1070"/>
      <c r="BU428" s="1070"/>
      <c r="BV428" s="1070"/>
      <c r="BW428" s="1070"/>
      <c r="BX428" s="1070"/>
      <c r="BY428" s="1070"/>
      <c r="BZ428" s="1070"/>
      <c r="CA428" s="1070"/>
      <c r="CB428" s="1070"/>
      <c r="CC428" s="1070"/>
      <c r="CD428" s="1070"/>
      <c r="CE428" s="1070"/>
      <c r="CF428" s="1070"/>
      <c r="CG428" s="1070"/>
      <c r="CH428" s="1070"/>
      <c r="CI428" s="1070"/>
      <c r="CJ428" s="1070"/>
      <c r="CK428" s="1070"/>
      <c r="CL428" s="1070"/>
      <c r="CM428" s="1070"/>
      <c r="CN428" s="1070"/>
      <c r="CO428" s="1070"/>
      <c r="CP428" s="1070"/>
      <c r="CQ428" s="1070"/>
      <c r="CR428" s="1070"/>
      <c r="CS428" s="1070"/>
      <c r="CT428" s="1070"/>
      <c r="CU428" s="1070"/>
      <c r="CV428" s="1070"/>
      <c r="CW428" s="1070"/>
      <c r="CX428" s="1070"/>
      <c r="CY428" s="1070"/>
      <c r="CZ428" s="1070"/>
      <c r="DA428" s="1070"/>
      <c r="DB428" s="1070"/>
      <c r="DC428" s="1070"/>
      <c r="DD428" s="1070"/>
      <c r="DE428" s="1070"/>
      <c r="DF428" s="1070"/>
      <c r="DG428" s="1070"/>
      <c r="DH428" s="1070"/>
      <c r="DI428" s="1070"/>
    </row>
    <row r="429" spans="1:113" ht="15.75" x14ac:dyDescent="0.25">
      <c r="A429" s="1420" t="s">
        <v>1753</v>
      </c>
      <c r="B429" s="1424" t="e">
        <f>((B344/B308+1)-3)*B347</f>
        <v>#REF!</v>
      </c>
      <c r="C429" s="1429"/>
      <c r="D429" s="1437"/>
      <c r="E429" s="1437"/>
      <c r="F429" s="1437"/>
      <c r="G429" s="1437"/>
      <c r="H429" s="1350"/>
      <c r="I429" s="1350"/>
      <c r="J429" s="1350"/>
      <c r="K429" s="1350"/>
      <c r="L429" s="1350"/>
      <c r="M429" s="1350"/>
      <c r="N429" s="1350"/>
      <c r="O429" s="1350"/>
      <c r="P429" s="1350"/>
      <c r="Q429" s="1350"/>
      <c r="R429" s="1350"/>
      <c r="S429" s="1350"/>
      <c r="T429" s="1350"/>
      <c r="U429" s="1350"/>
      <c r="V429" s="1350"/>
      <c r="W429" s="1350"/>
      <c r="X429" s="1350"/>
      <c r="Y429" s="1350"/>
      <c r="Z429" s="1350"/>
      <c r="AA429" s="1350"/>
      <c r="AB429" s="1350"/>
      <c r="AC429" s="1350"/>
      <c r="AD429" s="1350"/>
      <c r="AE429" s="1350"/>
      <c r="AF429" s="1350"/>
      <c r="AG429" s="1350"/>
      <c r="AH429" s="1350"/>
      <c r="AI429" s="1350"/>
      <c r="AJ429" s="1350"/>
      <c r="AK429" s="1350"/>
      <c r="AL429" s="1350"/>
      <c r="AM429" s="1350"/>
      <c r="AN429" s="1350"/>
      <c r="AO429" s="1350"/>
      <c r="AP429" s="1350"/>
      <c r="AQ429" s="1350"/>
      <c r="AR429" s="1350"/>
      <c r="AS429" s="1350"/>
      <c r="AT429" s="1350"/>
      <c r="AU429" s="1350"/>
      <c r="AV429" s="1350"/>
      <c r="AW429" s="1350"/>
      <c r="AX429" s="1350"/>
      <c r="AY429" s="1350"/>
      <c r="AZ429" s="1350"/>
      <c r="BA429" s="1070"/>
      <c r="BB429" s="1070"/>
      <c r="BC429" s="1070"/>
      <c r="BD429" s="1070"/>
      <c r="BE429" s="1070"/>
      <c r="BF429" s="1070"/>
      <c r="BG429" s="1070"/>
      <c r="BH429" s="1070"/>
      <c r="BI429" s="1070"/>
      <c r="BJ429" s="1070"/>
      <c r="BK429" s="1070"/>
      <c r="BL429" s="1070"/>
      <c r="BM429" s="1070"/>
      <c r="BN429" s="1070"/>
      <c r="BO429" s="1070"/>
      <c r="BP429" s="1070"/>
      <c r="BQ429" s="1070"/>
      <c r="BR429" s="1070"/>
      <c r="BS429" s="1070"/>
      <c r="BT429" s="1070"/>
      <c r="BU429" s="1070"/>
      <c r="BV429" s="1070"/>
      <c r="BW429" s="1070"/>
      <c r="BX429" s="1070"/>
      <c r="BY429" s="1070"/>
      <c r="BZ429" s="1070"/>
      <c r="CA429" s="1070"/>
      <c r="CB429" s="1070"/>
      <c r="CC429" s="1070"/>
      <c r="CD429" s="1070"/>
      <c r="CE429" s="1070"/>
      <c r="CF429" s="1070"/>
      <c r="CG429" s="1070"/>
      <c r="CH429" s="1070"/>
      <c r="CI429" s="1070"/>
      <c r="CJ429" s="1070"/>
      <c r="CK429" s="1070"/>
      <c r="CL429" s="1070"/>
      <c r="CM429" s="1070"/>
      <c r="CN429" s="1070"/>
      <c r="CO429" s="1070"/>
      <c r="CP429" s="1070"/>
      <c r="CQ429" s="1070"/>
      <c r="CR429" s="1070"/>
      <c r="CS429" s="1070"/>
      <c r="CT429" s="1070"/>
      <c r="CU429" s="1070"/>
      <c r="CV429" s="1070"/>
      <c r="CW429" s="1070"/>
      <c r="CX429" s="1070"/>
      <c r="CY429" s="1070"/>
      <c r="CZ429" s="1070"/>
      <c r="DA429" s="1070"/>
      <c r="DB429" s="1070"/>
      <c r="DC429" s="1070"/>
      <c r="DD429" s="1070"/>
      <c r="DE429" s="1070"/>
      <c r="DF429" s="1070"/>
      <c r="DG429" s="1070"/>
      <c r="DH429" s="1070"/>
      <c r="DI429" s="1070"/>
    </row>
    <row r="430" spans="1:113" ht="15.75" x14ac:dyDescent="0.25">
      <c r="A430" s="1420" t="s">
        <v>425</v>
      </c>
      <c r="B430" s="1424" t="e">
        <f>INDEX($U$1475:$X$1484,B431,B432)</f>
        <v>#VALUE!</v>
      </c>
      <c r="C430" s="1429"/>
      <c r="D430" s="1437"/>
      <c r="E430" s="1437"/>
      <c r="F430" s="1437"/>
      <c r="G430" s="1437"/>
      <c r="H430" s="1350"/>
      <c r="I430" s="1350"/>
      <c r="J430" s="1350"/>
      <c r="K430" s="1350"/>
      <c r="L430" s="1350"/>
      <c r="M430" s="1350"/>
      <c r="N430" s="1350"/>
      <c r="O430" s="1350"/>
      <c r="P430" s="1350"/>
      <c r="Q430" s="1350"/>
      <c r="R430" s="1350"/>
      <c r="S430" s="1350"/>
      <c r="T430" s="1350"/>
      <c r="U430" s="1350"/>
      <c r="V430" s="1350"/>
      <c r="W430" s="1350"/>
      <c r="X430" s="1350"/>
      <c r="Y430" s="1350"/>
      <c r="Z430" s="1350"/>
      <c r="AA430" s="1350"/>
      <c r="AB430" s="1350"/>
      <c r="AC430" s="1350"/>
      <c r="AD430" s="1350"/>
      <c r="AE430" s="1350"/>
      <c r="AF430" s="1350"/>
      <c r="AG430" s="1350"/>
      <c r="AH430" s="1350"/>
      <c r="AI430" s="1350"/>
      <c r="AJ430" s="1350"/>
      <c r="AK430" s="1350"/>
      <c r="AL430" s="1350"/>
      <c r="AM430" s="1350"/>
      <c r="AN430" s="1350"/>
      <c r="AO430" s="1350"/>
      <c r="AP430" s="1350"/>
      <c r="AQ430" s="1350"/>
      <c r="AR430" s="1350"/>
      <c r="AS430" s="1350"/>
      <c r="AT430" s="1350"/>
      <c r="AU430" s="1350"/>
      <c r="AV430" s="1350"/>
      <c r="AW430" s="1350"/>
      <c r="AX430" s="1350"/>
      <c r="AY430" s="1350"/>
      <c r="AZ430" s="1350"/>
      <c r="BA430" s="1070"/>
      <c r="BB430" s="1070"/>
      <c r="BC430" s="1070"/>
      <c r="BD430" s="1070"/>
      <c r="BE430" s="1070"/>
      <c r="BF430" s="1070"/>
      <c r="BG430" s="1070"/>
      <c r="BH430" s="1070"/>
      <c r="BI430" s="1070"/>
      <c r="BJ430" s="1070"/>
      <c r="BK430" s="1070"/>
      <c r="BL430" s="1070"/>
      <c r="BM430" s="1070"/>
      <c r="BN430" s="1070"/>
      <c r="BO430" s="1070"/>
      <c r="BP430" s="1070"/>
      <c r="BQ430" s="1070"/>
      <c r="BR430" s="1070"/>
      <c r="BS430" s="1070"/>
      <c r="BT430" s="1070"/>
      <c r="BU430" s="1070"/>
      <c r="BV430" s="1070"/>
      <c r="BW430" s="1070"/>
      <c r="BX430" s="1070"/>
      <c r="BY430" s="1070"/>
      <c r="BZ430" s="1070"/>
      <c r="CA430" s="1070"/>
      <c r="CB430" s="1070"/>
      <c r="CC430" s="1070"/>
      <c r="CD430" s="1070"/>
      <c r="CE430" s="1070"/>
      <c r="CF430" s="1070"/>
      <c r="CG430" s="1070"/>
      <c r="CH430" s="1070"/>
      <c r="CI430" s="1070"/>
      <c r="CJ430" s="1070"/>
      <c r="CK430" s="1070"/>
      <c r="CL430" s="1070"/>
      <c r="CM430" s="1070"/>
      <c r="CN430" s="1070"/>
      <c r="CO430" s="1070"/>
      <c r="CP430" s="1070"/>
      <c r="CQ430" s="1070"/>
      <c r="CR430" s="1070"/>
      <c r="CS430" s="1070"/>
      <c r="CT430" s="1070"/>
      <c r="CU430" s="1070"/>
      <c r="CV430" s="1070"/>
      <c r="CW430" s="1070"/>
      <c r="CX430" s="1070"/>
      <c r="CY430" s="1070"/>
      <c r="CZ430" s="1070"/>
      <c r="DA430" s="1070"/>
      <c r="DB430" s="1070"/>
      <c r="DC430" s="1070"/>
      <c r="DD430" s="1070"/>
      <c r="DE430" s="1070"/>
      <c r="DF430" s="1070"/>
      <c r="DG430" s="1070"/>
      <c r="DH430" s="1070"/>
      <c r="DI430" s="1070"/>
    </row>
    <row r="431" spans="1:113" ht="15.75" x14ac:dyDescent="0.25">
      <c r="A431" s="1420" t="s">
        <v>426</v>
      </c>
      <c r="B431" s="1441" t="e">
        <f>B414</f>
        <v>#VALUE!</v>
      </c>
      <c r="C431" s="1434"/>
      <c r="D431" s="1440"/>
      <c r="E431" s="1440"/>
      <c r="F431" s="1440"/>
      <c r="G431" s="1440"/>
      <c r="H431" s="1350"/>
      <c r="I431" s="1350"/>
      <c r="J431" s="1350"/>
      <c r="K431" s="1350"/>
      <c r="L431" s="1350"/>
      <c r="M431" s="1350"/>
      <c r="N431" s="1350"/>
      <c r="O431" s="1350"/>
      <c r="P431" s="1350"/>
      <c r="Q431" s="1350"/>
      <c r="R431" s="1350"/>
      <c r="S431" s="1350"/>
      <c r="T431" s="1350"/>
      <c r="U431" s="1350"/>
      <c r="V431" s="1350"/>
      <c r="W431" s="1350"/>
      <c r="X431" s="1350"/>
      <c r="Y431" s="1350"/>
      <c r="Z431" s="1350"/>
      <c r="AA431" s="1350"/>
      <c r="AB431" s="1350"/>
      <c r="AC431" s="1350"/>
      <c r="AD431" s="1350"/>
      <c r="AE431" s="1350"/>
      <c r="AF431" s="1350"/>
      <c r="AG431" s="1350"/>
      <c r="AH431" s="1350"/>
      <c r="AI431" s="1350"/>
      <c r="AJ431" s="1350"/>
      <c r="AK431" s="1350"/>
      <c r="AL431" s="1350"/>
      <c r="AM431" s="1350"/>
      <c r="AN431" s="1350"/>
      <c r="AO431" s="1350"/>
      <c r="AP431" s="1350"/>
      <c r="AQ431" s="1350"/>
      <c r="AR431" s="1350"/>
      <c r="AS431" s="1350"/>
      <c r="AT431" s="1350"/>
      <c r="AU431" s="1350"/>
      <c r="AV431" s="1350"/>
      <c r="AW431" s="1350"/>
      <c r="AX431" s="1350"/>
      <c r="AY431" s="1350"/>
      <c r="AZ431" s="1350"/>
      <c r="BA431" s="1070"/>
      <c r="BB431" s="1070"/>
      <c r="BC431" s="1070"/>
      <c r="BD431" s="1070"/>
      <c r="BE431" s="1070"/>
      <c r="BF431" s="1070"/>
      <c r="BG431" s="1070"/>
      <c r="BH431" s="1070"/>
      <c r="BI431" s="1070"/>
      <c r="BJ431" s="1070"/>
      <c r="BK431" s="1070"/>
      <c r="BL431" s="1070"/>
      <c r="BM431" s="1070"/>
      <c r="BN431" s="1070"/>
      <c r="BO431" s="1070"/>
      <c r="BP431" s="1070"/>
      <c r="BQ431" s="1070"/>
      <c r="BR431" s="1070"/>
      <c r="BS431" s="1070"/>
      <c r="BT431" s="1070"/>
      <c r="BU431" s="1070"/>
      <c r="BV431" s="1070"/>
      <c r="BW431" s="1070"/>
      <c r="BX431" s="1070"/>
      <c r="BY431" s="1070"/>
      <c r="BZ431" s="1070"/>
      <c r="CA431" s="1070"/>
      <c r="CB431" s="1070"/>
      <c r="CC431" s="1070"/>
      <c r="CD431" s="1070"/>
      <c r="CE431" s="1070"/>
      <c r="CF431" s="1070"/>
      <c r="CG431" s="1070"/>
      <c r="CH431" s="1070"/>
      <c r="CI431" s="1070"/>
      <c r="CJ431" s="1070"/>
      <c r="CK431" s="1070"/>
      <c r="CL431" s="1070"/>
      <c r="CM431" s="1070"/>
      <c r="CN431" s="1070"/>
      <c r="CO431" s="1070"/>
      <c r="CP431" s="1070"/>
      <c r="CQ431" s="1070"/>
      <c r="CR431" s="1070"/>
      <c r="CS431" s="1070"/>
      <c r="CT431" s="1070"/>
      <c r="CU431" s="1070"/>
      <c r="CV431" s="1070"/>
      <c r="CW431" s="1070"/>
      <c r="CX431" s="1070"/>
      <c r="CY431" s="1070"/>
      <c r="CZ431" s="1070"/>
      <c r="DA431" s="1070"/>
      <c r="DB431" s="1070"/>
      <c r="DC431" s="1070"/>
      <c r="DD431" s="1070"/>
      <c r="DE431" s="1070"/>
      <c r="DF431" s="1070"/>
      <c r="DG431" s="1070"/>
      <c r="DH431" s="1070"/>
      <c r="DI431" s="1070"/>
    </row>
    <row r="432" spans="1:113" ht="15.75" x14ac:dyDescent="0.25">
      <c r="A432" s="1420" t="s">
        <v>427</v>
      </c>
      <c r="B432" s="1421">
        <v>1</v>
      </c>
      <c r="C432" s="1416"/>
      <c r="D432" s="1437"/>
      <c r="E432" s="1437"/>
      <c r="F432" s="1437"/>
      <c r="G432" s="1437"/>
      <c r="H432" s="1350"/>
      <c r="I432" s="1350"/>
      <c r="J432" s="1350"/>
      <c r="K432" s="1350"/>
      <c r="L432" s="1350"/>
      <c r="M432" s="1350"/>
      <c r="N432" s="1350"/>
      <c r="O432" s="1350"/>
      <c r="P432" s="1350"/>
      <c r="Q432" s="1350"/>
      <c r="R432" s="1350"/>
      <c r="S432" s="1350"/>
      <c r="T432" s="1350"/>
      <c r="U432" s="1350"/>
      <c r="V432" s="1350"/>
      <c r="W432" s="1350"/>
      <c r="X432" s="1350"/>
      <c r="Y432" s="1350"/>
      <c r="Z432" s="1350"/>
      <c r="AA432" s="1350"/>
      <c r="AB432" s="1350"/>
      <c r="AC432" s="1350"/>
      <c r="AD432" s="1350"/>
      <c r="AE432" s="1350"/>
      <c r="AF432" s="1350"/>
      <c r="AG432" s="1350"/>
      <c r="AH432" s="1350"/>
      <c r="AI432" s="1350"/>
      <c r="AJ432" s="1350"/>
      <c r="AK432" s="1350"/>
      <c r="AL432" s="1350"/>
      <c r="AM432" s="1350"/>
      <c r="AN432" s="1350"/>
      <c r="AO432" s="1350"/>
      <c r="AP432" s="1350"/>
      <c r="AQ432" s="1350"/>
      <c r="AR432" s="1350"/>
      <c r="AS432" s="1350"/>
      <c r="AT432" s="1350"/>
      <c r="AU432" s="1350"/>
      <c r="AV432" s="1350"/>
      <c r="AW432" s="1350"/>
      <c r="AX432" s="1350"/>
      <c r="AY432" s="1350"/>
      <c r="AZ432" s="1350"/>
      <c r="BA432" s="1070"/>
      <c r="BB432" s="1070"/>
      <c r="BC432" s="1070"/>
      <c r="BD432" s="1070"/>
      <c r="BE432" s="1070"/>
      <c r="BF432" s="1070"/>
      <c r="BG432" s="1070"/>
      <c r="BH432" s="1070"/>
      <c r="BI432" s="1070"/>
      <c r="BJ432" s="1070"/>
      <c r="BK432" s="1070"/>
      <c r="BL432" s="1070"/>
      <c r="BM432" s="1070"/>
      <c r="BN432" s="1070"/>
      <c r="BO432" s="1070"/>
      <c r="BP432" s="1070"/>
      <c r="BQ432" s="1070"/>
      <c r="BR432" s="1070"/>
      <c r="BS432" s="1070"/>
      <c r="BT432" s="1070"/>
      <c r="BU432" s="1070"/>
      <c r="BV432" s="1070"/>
      <c r="BW432" s="1070"/>
      <c r="BX432" s="1070"/>
      <c r="BY432" s="1070"/>
      <c r="BZ432" s="1070"/>
      <c r="CA432" s="1070"/>
      <c r="CB432" s="1070"/>
      <c r="CC432" s="1070"/>
      <c r="CD432" s="1070"/>
      <c r="CE432" s="1070"/>
      <c r="CF432" s="1070"/>
      <c r="CG432" s="1070"/>
      <c r="CH432" s="1070"/>
      <c r="CI432" s="1070"/>
      <c r="CJ432" s="1070"/>
      <c r="CK432" s="1070"/>
      <c r="CL432" s="1070"/>
      <c r="CM432" s="1070"/>
      <c r="CN432" s="1070"/>
      <c r="CO432" s="1070"/>
      <c r="CP432" s="1070"/>
      <c r="CQ432" s="1070"/>
      <c r="CR432" s="1070"/>
      <c r="CS432" s="1070"/>
      <c r="CT432" s="1070"/>
      <c r="CU432" s="1070"/>
      <c r="CV432" s="1070"/>
      <c r="CW432" s="1070"/>
      <c r="CX432" s="1070"/>
      <c r="CY432" s="1070"/>
      <c r="CZ432" s="1070"/>
      <c r="DA432" s="1070"/>
      <c r="DB432" s="1070"/>
      <c r="DC432" s="1070"/>
      <c r="DD432" s="1070"/>
      <c r="DE432" s="1070"/>
      <c r="DF432" s="1070"/>
      <c r="DG432" s="1070"/>
      <c r="DH432" s="1070"/>
      <c r="DI432" s="1070"/>
    </row>
    <row r="433" spans="1:113" ht="15.75" x14ac:dyDescent="0.25">
      <c r="A433" s="1420" t="s">
        <v>1322</v>
      </c>
      <c r="B433" s="1439"/>
      <c r="C433" s="1432"/>
      <c r="D433" s="1432"/>
      <c r="E433" s="1432"/>
      <c r="F433" s="1432"/>
      <c r="G433" s="1432"/>
      <c r="H433" s="1350"/>
      <c r="I433" s="1350"/>
      <c r="J433" s="1350"/>
      <c r="K433" s="1350"/>
      <c r="L433" s="1350"/>
      <c r="M433" s="1350"/>
      <c r="N433" s="1350"/>
      <c r="O433" s="1350"/>
      <c r="P433" s="1350"/>
      <c r="Q433" s="1350"/>
      <c r="R433" s="1350"/>
      <c r="S433" s="1350"/>
      <c r="T433" s="1350"/>
      <c r="U433" s="1350"/>
      <c r="V433" s="1350"/>
      <c r="W433" s="1350"/>
      <c r="X433" s="1350"/>
      <c r="Y433" s="1350"/>
      <c r="Z433" s="1350"/>
      <c r="AA433" s="1350"/>
      <c r="AB433" s="1350"/>
      <c r="AC433" s="1350"/>
      <c r="AD433" s="1350"/>
      <c r="AE433" s="1350"/>
      <c r="AF433" s="1350"/>
      <c r="AG433" s="1350"/>
      <c r="AH433" s="1350"/>
      <c r="AI433" s="1350"/>
      <c r="AJ433" s="1350"/>
      <c r="AK433" s="1350"/>
      <c r="AL433" s="1350"/>
      <c r="AM433" s="1350"/>
      <c r="AN433" s="1350"/>
      <c r="AO433" s="1350"/>
      <c r="AP433" s="1350"/>
      <c r="AQ433" s="1350"/>
      <c r="AR433" s="1350"/>
      <c r="AS433" s="1350"/>
      <c r="AT433" s="1350"/>
      <c r="AU433" s="1350"/>
      <c r="AV433" s="1350"/>
      <c r="AW433" s="1350"/>
      <c r="AX433" s="1350"/>
      <c r="AY433" s="1350"/>
      <c r="AZ433" s="1350"/>
      <c r="BA433" s="1070"/>
      <c r="BB433" s="1070"/>
      <c r="BC433" s="1070"/>
      <c r="BD433" s="1070"/>
      <c r="BE433" s="1070"/>
      <c r="BF433" s="1070"/>
      <c r="BG433" s="1070"/>
      <c r="BH433" s="1070"/>
      <c r="BI433" s="1070"/>
      <c r="BJ433" s="1070"/>
      <c r="BK433" s="1070"/>
      <c r="BL433" s="1070"/>
      <c r="BM433" s="1070"/>
      <c r="BN433" s="1070"/>
      <c r="BO433" s="1070"/>
      <c r="BP433" s="1070"/>
      <c r="BQ433" s="1070"/>
      <c r="BR433" s="1070"/>
      <c r="BS433" s="1070"/>
      <c r="BT433" s="1070"/>
      <c r="BU433" s="1070"/>
      <c r="BV433" s="1070"/>
      <c r="BW433" s="1070"/>
      <c r="BX433" s="1070"/>
      <c r="BY433" s="1070"/>
      <c r="BZ433" s="1070"/>
      <c r="CA433" s="1070"/>
      <c r="CB433" s="1070"/>
      <c r="CC433" s="1070"/>
      <c r="CD433" s="1070"/>
      <c r="CE433" s="1070"/>
      <c r="CF433" s="1070"/>
      <c r="CG433" s="1070"/>
      <c r="CH433" s="1070"/>
      <c r="CI433" s="1070"/>
      <c r="CJ433" s="1070"/>
      <c r="CK433" s="1070"/>
      <c r="CL433" s="1070"/>
      <c r="CM433" s="1070"/>
      <c r="CN433" s="1070"/>
      <c r="CO433" s="1070"/>
      <c r="CP433" s="1070"/>
      <c r="CQ433" s="1070"/>
      <c r="CR433" s="1070"/>
      <c r="CS433" s="1070"/>
      <c r="CT433" s="1070"/>
      <c r="CU433" s="1070"/>
      <c r="CV433" s="1070"/>
      <c r="CW433" s="1070"/>
      <c r="CX433" s="1070"/>
      <c r="CY433" s="1070"/>
      <c r="CZ433" s="1070"/>
      <c r="DA433" s="1070"/>
      <c r="DB433" s="1070"/>
      <c r="DC433" s="1070"/>
      <c r="DD433" s="1070"/>
      <c r="DE433" s="1070"/>
      <c r="DF433" s="1070"/>
      <c r="DG433" s="1070"/>
      <c r="DH433" s="1070"/>
      <c r="DI433" s="1070"/>
    </row>
    <row r="434" spans="1:113" ht="15.75" x14ac:dyDescent="0.25">
      <c r="A434" s="1420" t="s">
        <v>391</v>
      </c>
      <c r="B434" s="1443">
        <f>B420</f>
        <v>1.1499999999999999</v>
      </c>
      <c r="C434" s="1437"/>
      <c r="D434" s="1350"/>
      <c r="E434" s="1350"/>
      <c r="F434" s="1350"/>
      <c r="G434" s="1350"/>
      <c r="H434" s="1350"/>
      <c r="I434" s="1350"/>
      <c r="J434" s="1350"/>
      <c r="K434" s="1350"/>
      <c r="L434" s="1350"/>
      <c r="M434" s="1350"/>
      <c r="N434" s="1350"/>
      <c r="O434" s="1350"/>
      <c r="P434" s="1350"/>
      <c r="Q434" s="1350"/>
      <c r="R434" s="1350"/>
      <c r="S434" s="1350"/>
      <c r="T434" s="1350"/>
      <c r="U434" s="1350"/>
      <c r="V434" s="1350"/>
      <c r="W434" s="1350"/>
      <c r="X434" s="1350"/>
      <c r="Y434" s="1350"/>
      <c r="Z434" s="1350"/>
      <c r="AA434" s="1350"/>
      <c r="AB434" s="1350"/>
      <c r="AC434" s="1350"/>
      <c r="AD434" s="1350"/>
      <c r="AE434" s="1350"/>
      <c r="AF434" s="1350"/>
      <c r="AG434" s="1350"/>
      <c r="AH434" s="1350"/>
      <c r="AI434" s="1350"/>
      <c r="AJ434" s="1350"/>
      <c r="AK434" s="1350"/>
      <c r="AL434" s="1350"/>
      <c r="AM434" s="1350"/>
      <c r="AN434" s="1350"/>
      <c r="AO434" s="1350"/>
      <c r="AP434" s="1350"/>
      <c r="AQ434" s="1350"/>
      <c r="AR434" s="1350"/>
      <c r="AS434" s="1350"/>
      <c r="AT434" s="1350"/>
      <c r="AU434" s="1350"/>
      <c r="AV434" s="1350"/>
      <c r="AW434" s="1350"/>
      <c r="AX434" s="1350"/>
      <c r="AY434" s="1350"/>
      <c r="AZ434" s="1350"/>
      <c r="BA434" s="1070"/>
      <c r="BB434" s="1070"/>
      <c r="BC434" s="1070"/>
      <c r="BD434" s="1070"/>
      <c r="BE434" s="1070"/>
      <c r="BF434" s="1070"/>
      <c r="BG434" s="1070"/>
      <c r="BH434" s="1070"/>
      <c r="BI434" s="1070"/>
      <c r="BJ434" s="1070"/>
      <c r="BK434" s="1070"/>
      <c r="BL434" s="1070"/>
      <c r="BM434" s="1070"/>
      <c r="BN434" s="1070"/>
      <c r="BO434" s="1070"/>
      <c r="BP434" s="1070"/>
      <c r="BQ434" s="1070"/>
      <c r="BR434" s="1070"/>
      <c r="BS434" s="1070"/>
      <c r="BT434" s="1070"/>
      <c r="BU434" s="1070"/>
      <c r="BV434" s="1070"/>
      <c r="BW434" s="1070"/>
      <c r="BX434" s="1070"/>
      <c r="BY434" s="1070"/>
      <c r="BZ434" s="1070"/>
      <c r="CA434" s="1070"/>
      <c r="CB434" s="1070"/>
      <c r="CC434" s="1070"/>
      <c r="CD434" s="1070"/>
      <c r="CE434" s="1070"/>
      <c r="CF434" s="1070"/>
      <c r="CG434" s="1070"/>
      <c r="CH434" s="1070"/>
      <c r="CI434" s="1070"/>
      <c r="CJ434" s="1070"/>
      <c r="CK434" s="1070"/>
      <c r="CL434" s="1070"/>
      <c r="CM434" s="1070"/>
      <c r="CN434" s="1070"/>
      <c r="CO434" s="1070"/>
      <c r="CP434" s="1070"/>
      <c r="CQ434" s="1070"/>
      <c r="CR434" s="1070"/>
      <c r="CS434" s="1070"/>
      <c r="CT434" s="1070"/>
      <c r="CU434" s="1070"/>
      <c r="CV434" s="1070"/>
      <c r="CW434" s="1070"/>
      <c r="CX434" s="1070"/>
      <c r="CY434" s="1070"/>
      <c r="CZ434" s="1070"/>
      <c r="DA434" s="1070"/>
      <c r="DB434" s="1070"/>
      <c r="DC434" s="1070"/>
      <c r="DD434" s="1070"/>
      <c r="DE434" s="1070"/>
      <c r="DF434" s="1070"/>
      <c r="DG434" s="1070"/>
      <c r="DH434" s="1070"/>
      <c r="DI434" s="1070"/>
    </row>
    <row r="435" spans="1:113" ht="15.75" x14ac:dyDescent="0.25">
      <c r="A435" s="1422" t="s">
        <v>392</v>
      </c>
      <c r="B435" s="1443">
        <f>B421</f>
        <v>0.8</v>
      </c>
      <c r="C435" s="1437"/>
      <c r="D435" s="1350"/>
      <c r="E435" s="1350"/>
      <c r="F435" s="1350"/>
      <c r="G435" s="1350"/>
      <c r="H435" s="1350"/>
      <c r="I435" s="1350"/>
      <c r="J435" s="1350"/>
      <c r="K435" s="1350"/>
      <c r="L435" s="1350"/>
      <c r="M435" s="1350"/>
      <c r="N435" s="1350"/>
      <c r="O435" s="1350"/>
      <c r="P435" s="1350"/>
      <c r="Q435" s="1350"/>
      <c r="R435" s="1350"/>
      <c r="S435" s="1350"/>
      <c r="T435" s="1350"/>
      <c r="U435" s="1350"/>
      <c r="V435" s="1350"/>
      <c r="W435" s="1350"/>
      <c r="X435" s="1350"/>
      <c r="Y435" s="1350"/>
      <c r="Z435" s="1350"/>
      <c r="AA435" s="1350"/>
      <c r="AB435" s="1350"/>
      <c r="AC435" s="1350"/>
      <c r="AD435" s="1350"/>
      <c r="AE435" s="1350"/>
      <c r="AF435" s="1350"/>
      <c r="AG435" s="1350"/>
      <c r="AH435" s="1350"/>
      <c r="AI435" s="1350"/>
      <c r="AJ435" s="1350"/>
      <c r="AK435" s="1350"/>
      <c r="AL435" s="1350"/>
      <c r="AM435" s="1350"/>
      <c r="AN435" s="1350"/>
      <c r="AO435" s="1350"/>
      <c r="AP435" s="1350"/>
      <c r="AQ435" s="1350"/>
      <c r="AR435" s="1350"/>
      <c r="AS435" s="1350"/>
      <c r="AT435" s="1350"/>
      <c r="AU435" s="1350"/>
      <c r="AV435" s="1350"/>
      <c r="AW435" s="1350"/>
      <c r="AX435" s="1350"/>
      <c r="AY435" s="1350"/>
      <c r="AZ435" s="1350"/>
      <c r="BA435" s="1070"/>
      <c r="BB435" s="1070"/>
      <c r="BC435" s="1070"/>
      <c r="BD435" s="1070"/>
      <c r="BE435" s="1070"/>
      <c r="BF435" s="1070"/>
      <c r="BG435" s="1070"/>
      <c r="BH435" s="1070"/>
      <c r="BI435" s="1070"/>
      <c r="BJ435" s="1070"/>
      <c r="BK435" s="1070"/>
      <c r="BL435" s="1070"/>
      <c r="BM435" s="1070"/>
      <c r="BN435" s="1070"/>
      <c r="BO435" s="1070"/>
      <c r="BP435" s="1070"/>
      <c r="BQ435" s="1070"/>
      <c r="BR435" s="1070"/>
      <c r="BS435" s="1070"/>
      <c r="BT435" s="1070"/>
      <c r="BU435" s="1070"/>
      <c r="BV435" s="1070"/>
      <c r="BW435" s="1070"/>
      <c r="BX435" s="1070"/>
      <c r="BY435" s="1070"/>
      <c r="BZ435" s="1070"/>
      <c r="CA435" s="1070"/>
      <c r="CB435" s="1070"/>
      <c r="CC435" s="1070"/>
      <c r="CD435" s="1070"/>
      <c r="CE435" s="1070"/>
      <c r="CF435" s="1070"/>
      <c r="CG435" s="1070"/>
      <c r="CH435" s="1070"/>
      <c r="CI435" s="1070"/>
      <c r="CJ435" s="1070"/>
      <c r="CK435" s="1070"/>
      <c r="CL435" s="1070"/>
      <c r="CM435" s="1070"/>
      <c r="CN435" s="1070"/>
      <c r="CO435" s="1070"/>
      <c r="CP435" s="1070"/>
      <c r="CQ435" s="1070"/>
      <c r="CR435" s="1070"/>
      <c r="CS435" s="1070"/>
      <c r="CT435" s="1070"/>
      <c r="CU435" s="1070"/>
      <c r="CV435" s="1070"/>
      <c r="CW435" s="1070"/>
      <c r="CX435" s="1070"/>
      <c r="CY435" s="1070"/>
      <c r="CZ435" s="1070"/>
      <c r="DA435" s="1070"/>
      <c r="DB435" s="1070"/>
      <c r="DC435" s="1070"/>
      <c r="DD435" s="1070"/>
      <c r="DE435" s="1070"/>
      <c r="DF435" s="1070"/>
      <c r="DG435" s="1070"/>
      <c r="DH435" s="1070"/>
      <c r="DI435" s="1070"/>
    </row>
    <row r="436" spans="1:113" ht="15.75" x14ac:dyDescent="0.25">
      <c r="A436" s="1422" t="s">
        <v>2976</v>
      </c>
      <c r="B436" s="1450">
        <v>0.7</v>
      </c>
      <c r="C436" s="1440"/>
      <c r="D436" s="1429"/>
      <c r="E436" s="1429"/>
      <c r="F436" s="1429"/>
      <c r="G436" s="1429"/>
      <c r="H436" s="1350"/>
      <c r="I436" s="1350"/>
      <c r="J436" s="1350"/>
      <c r="K436" s="1350"/>
      <c r="L436" s="1350"/>
      <c r="M436" s="1350"/>
      <c r="N436" s="1350"/>
      <c r="O436" s="1350"/>
      <c r="P436" s="1350"/>
      <c r="Q436" s="1350"/>
      <c r="R436" s="1350"/>
      <c r="S436" s="1350"/>
      <c r="T436" s="1350"/>
      <c r="U436" s="1350"/>
      <c r="V436" s="1350"/>
      <c r="W436" s="1350"/>
      <c r="X436" s="1350"/>
      <c r="Y436" s="1350"/>
      <c r="Z436" s="1350"/>
      <c r="AA436" s="1350"/>
      <c r="AB436" s="1350"/>
      <c r="AC436" s="1350"/>
      <c r="AD436" s="1350"/>
      <c r="AE436" s="1350"/>
      <c r="AF436" s="1350"/>
      <c r="AG436" s="1350"/>
      <c r="AH436" s="1350"/>
      <c r="AI436" s="1350"/>
      <c r="AJ436" s="1350"/>
      <c r="AK436" s="1350"/>
      <c r="AL436" s="1350"/>
      <c r="AM436" s="1350"/>
      <c r="AN436" s="1350"/>
      <c r="AO436" s="1350"/>
      <c r="AP436" s="1350"/>
      <c r="AQ436" s="1350"/>
      <c r="AR436" s="1350"/>
      <c r="AS436" s="1350"/>
      <c r="AT436" s="1350"/>
      <c r="AU436" s="1350"/>
      <c r="AV436" s="1350"/>
      <c r="AW436" s="1350"/>
      <c r="AX436" s="1350"/>
      <c r="AY436" s="1350"/>
      <c r="AZ436" s="1350"/>
      <c r="BA436" s="1070"/>
      <c r="BB436" s="1070"/>
      <c r="BC436" s="1070"/>
      <c r="BD436" s="1070"/>
      <c r="BE436" s="1070"/>
      <c r="BF436" s="1070"/>
      <c r="BG436" s="1070"/>
      <c r="BH436" s="1070"/>
      <c r="BI436" s="1070"/>
      <c r="BJ436" s="1070"/>
      <c r="BK436" s="1070"/>
      <c r="BL436" s="1070"/>
      <c r="BM436" s="1070"/>
      <c r="BN436" s="1070"/>
      <c r="BO436" s="1070"/>
      <c r="BP436" s="1070"/>
      <c r="BQ436" s="1070"/>
      <c r="BR436" s="1070"/>
      <c r="BS436" s="1070"/>
      <c r="BT436" s="1070"/>
      <c r="BU436" s="1070"/>
      <c r="BV436" s="1070"/>
      <c r="BW436" s="1070"/>
      <c r="BX436" s="1070"/>
      <c r="BY436" s="1070"/>
      <c r="BZ436" s="1070"/>
      <c r="CA436" s="1070"/>
      <c r="CB436" s="1070"/>
      <c r="CC436" s="1070"/>
      <c r="CD436" s="1070"/>
      <c r="CE436" s="1070"/>
      <c r="CF436" s="1070"/>
      <c r="CG436" s="1070"/>
      <c r="CH436" s="1070"/>
      <c r="CI436" s="1070"/>
      <c r="CJ436" s="1070"/>
      <c r="CK436" s="1070"/>
      <c r="CL436" s="1070"/>
      <c r="CM436" s="1070"/>
      <c r="CN436" s="1070"/>
      <c r="CO436" s="1070"/>
      <c r="CP436" s="1070"/>
      <c r="CQ436" s="1070"/>
      <c r="CR436" s="1070"/>
      <c r="CS436" s="1070"/>
      <c r="CT436" s="1070"/>
      <c r="CU436" s="1070"/>
      <c r="CV436" s="1070"/>
      <c r="CW436" s="1070"/>
      <c r="CX436" s="1070"/>
      <c r="CY436" s="1070"/>
      <c r="CZ436" s="1070"/>
      <c r="DA436" s="1070"/>
      <c r="DB436" s="1070"/>
      <c r="DC436" s="1070"/>
      <c r="DD436" s="1070"/>
      <c r="DE436" s="1070"/>
      <c r="DF436" s="1070"/>
      <c r="DG436" s="1070"/>
      <c r="DH436" s="1070"/>
      <c r="DI436" s="1070"/>
    </row>
    <row r="437" spans="1:113" ht="15.75" x14ac:dyDescent="0.25">
      <c r="A437" s="1420" t="s">
        <v>3412</v>
      </c>
      <c r="B437" s="1443" t="e">
        <f>B430*B434*B435*B436*B341</f>
        <v>#VALUE!</v>
      </c>
      <c r="C437" s="1437"/>
      <c r="D437" s="1429"/>
      <c r="E437" s="1429"/>
      <c r="F437" s="1429"/>
      <c r="G437" s="1429"/>
      <c r="H437" s="1350"/>
      <c r="I437" s="1350"/>
      <c r="J437" s="1350"/>
      <c r="K437" s="1350"/>
      <c r="L437" s="1350"/>
      <c r="M437" s="1350"/>
      <c r="N437" s="1350"/>
      <c r="O437" s="1350"/>
      <c r="P437" s="1350"/>
      <c r="Q437" s="1350"/>
      <c r="R437" s="1350"/>
      <c r="S437" s="1350"/>
      <c r="T437" s="1350"/>
      <c r="U437" s="1350"/>
      <c r="V437" s="1350"/>
      <c r="W437" s="1350"/>
      <c r="X437" s="1350"/>
      <c r="Y437" s="1350"/>
      <c r="Z437" s="1350"/>
      <c r="AA437" s="1350"/>
      <c r="AB437" s="1350"/>
      <c r="AC437" s="1350"/>
      <c r="AD437" s="1350"/>
      <c r="AE437" s="1350"/>
      <c r="AF437" s="1350"/>
      <c r="AG437" s="1350"/>
      <c r="AH437" s="1350"/>
      <c r="AI437" s="1350"/>
      <c r="AJ437" s="1350"/>
      <c r="AK437" s="1350"/>
      <c r="AL437" s="1350"/>
      <c r="AM437" s="1350"/>
      <c r="AN437" s="1350"/>
      <c r="AO437" s="1350"/>
      <c r="AP437" s="1350"/>
      <c r="AQ437" s="1350"/>
      <c r="AR437" s="1350"/>
      <c r="AS437" s="1350"/>
      <c r="AT437" s="1350"/>
      <c r="AU437" s="1350"/>
      <c r="AV437" s="1350"/>
      <c r="AW437" s="1350"/>
      <c r="AX437" s="1350"/>
      <c r="AY437" s="1350"/>
      <c r="AZ437" s="1350"/>
      <c r="BA437" s="1070"/>
      <c r="BB437" s="1070"/>
      <c r="BC437" s="1070"/>
      <c r="BD437" s="1070"/>
      <c r="BE437" s="1070"/>
      <c r="BF437" s="1070"/>
      <c r="BG437" s="1070"/>
      <c r="BH437" s="1070"/>
      <c r="BI437" s="1070"/>
      <c r="BJ437" s="1070"/>
      <c r="BK437" s="1070"/>
      <c r="BL437" s="1070"/>
      <c r="BM437" s="1070"/>
      <c r="BN437" s="1070"/>
      <c r="BO437" s="1070"/>
      <c r="BP437" s="1070"/>
      <c r="BQ437" s="1070"/>
      <c r="BR437" s="1070"/>
      <c r="BS437" s="1070"/>
      <c r="BT437" s="1070"/>
      <c r="BU437" s="1070"/>
      <c r="BV437" s="1070"/>
      <c r="BW437" s="1070"/>
      <c r="BX437" s="1070"/>
      <c r="BY437" s="1070"/>
      <c r="BZ437" s="1070"/>
      <c r="CA437" s="1070"/>
      <c r="CB437" s="1070"/>
      <c r="CC437" s="1070"/>
      <c r="CD437" s="1070"/>
      <c r="CE437" s="1070"/>
      <c r="CF437" s="1070"/>
      <c r="CG437" s="1070"/>
      <c r="CH437" s="1070"/>
      <c r="CI437" s="1070"/>
      <c r="CJ437" s="1070"/>
      <c r="CK437" s="1070"/>
      <c r="CL437" s="1070"/>
      <c r="CM437" s="1070"/>
      <c r="CN437" s="1070"/>
      <c r="CO437" s="1070"/>
      <c r="CP437" s="1070"/>
      <c r="CQ437" s="1070"/>
      <c r="CR437" s="1070"/>
      <c r="CS437" s="1070"/>
      <c r="CT437" s="1070"/>
      <c r="CU437" s="1070"/>
      <c r="CV437" s="1070"/>
      <c r="CW437" s="1070"/>
      <c r="CX437" s="1070"/>
      <c r="CY437" s="1070"/>
      <c r="CZ437" s="1070"/>
      <c r="DA437" s="1070"/>
      <c r="DB437" s="1070"/>
      <c r="DC437" s="1070"/>
      <c r="DD437" s="1070"/>
      <c r="DE437" s="1070"/>
      <c r="DF437" s="1070"/>
      <c r="DG437" s="1070"/>
      <c r="DH437" s="1070"/>
      <c r="DI437" s="1070"/>
    </row>
    <row r="438" spans="1:113" ht="15.75" x14ac:dyDescent="0.25">
      <c r="A438" s="1420" t="s">
        <v>429</v>
      </c>
      <c r="B438" s="1439" t="e">
        <f>B429/B437</f>
        <v>#REF!</v>
      </c>
      <c r="C438" s="1432"/>
      <c r="D438" s="1434"/>
      <c r="E438" s="1434"/>
      <c r="F438" s="1434"/>
      <c r="G438" s="1434"/>
      <c r="H438" s="1350"/>
      <c r="I438" s="1350"/>
      <c r="J438" s="1350"/>
      <c r="K438" s="1350"/>
      <c r="L438" s="1350"/>
      <c r="M438" s="1350"/>
      <c r="N438" s="1350"/>
      <c r="O438" s="1350"/>
      <c r="P438" s="1350"/>
      <c r="Q438" s="1350"/>
      <c r="R438" s="1350"/>
      <c r="S438" s="1350"/>
      <c r="T438" s="1350"/>
      <c r="U438" s="1350"/>
      <c r="V438" s="1350"/>
      <c r="W438" s="1350"/>
      <c r="X438" s="1350"/>
      <c r="Y438" s="1350"/>
      <c r="Z438" s="1350"/>
      <c r="AA438" s="1350"/>
      <c r="AB438" s="1350"/>
      <c r="AC438" s="1350"/>
      <c r="AD438" s="1350"/>
      <c r="AE438" s="1350"/>
      <c r="AF438" s="1350"/>
      <c r="AG438" s="1350"/>
      <c r="AH438" s="1350"/>
      <c r="AI438" s="1350"/>
      <c r="AJ438" s="1350"/>
      <c r="AK438" s="1350"/>
      <c r="AL438" s="1350"/>
      <c r="AM438" s="1350"/>
      <c r="AN438" s="1350"/>
      <c r="AO438" s="1350"/>
      <c r="AP438" s="1350"/>
      <c r="AQ438" s="1350"/>
      <c r="AR438" s="1350"/>
      <c r="AS438" s="1350"/>
      <c r="AT438" s="1350"/>
      <c r="AU438" s="1350"/>
      <c r="AV438" s="1350"/>
      <c r="AW438" s="1350"/>
      <c r="AX438" s="1350"/>
      <c r="AY438" s="1350"/>
      <c r="AZ438" s="1350"/>
      <c r="BA438" s="1070"/>
      <c r="BB438" s="1070"/>
      <c r="BC438" s="1070"/>
      <c r="BD438" s="1070"/>
      <c r="BE438" s="1070"/>
      <c r="BF438" s="1070"/>
      <c r="BG438" s="1070"/>
      <c r="BH438" s="1070"/>
      <c r="BI438" s="1070"/>
      <c r="BJ438" s="1070"/>
      <c r="BK438" s="1070"/>
      <c r="BL438" s="1070"/>
      <c r="BM438" s="1070"/>
      <c r="BN438" s="1070"/>
      <c r="BO438" s="1070"/>
      <c r="BP438" s="1070"/>
      <c r="BQ438" s="1070"/>
      <c r="BR438" s="1070"/>
      <c r="BS438" s="1070"/>
      <c r="BT438" s="1070"/>
      <c r="BU438" s="1070"/>
      <c r="BV438" s="1070"/>
      <c r="BW438" s="1070"/>
      <c r="BX438" s="1070"/>
      <c r="BY438" s="1070"/>
      <c r="BZ438" s="1070"/>
      <c r="CA438" s="1070"/>
      <c r="CB438" s="1070"/>
      <c r="CC438" s="1070"/>
      <c r="CD438" s="1070"/>
      <c r="CE438" s="1070"/>
      <c r="CF438" s="1070"/>
      <c r="CG438" s="1070"/>
      <c r="CH438" s="1070"/>
      <c r="CI438" s="1070"/>
      <c r="CJ438" s="1070"/>
      <c r="CK438" s="1070"/>
      <c r="CL438" s="1070"/>
      <c r="CM438" s="1070"/>
      <c r="CN438" s="1070"/>
      <c r="CO438" s="1070"/>
      <c r="CP438" s="1070"/>
      <c r="CQ438" s="1070"/>
      <c r="CR438" s="1070"/>
      <c r="CS438" s="1070"/>
      <c r="CT438" s="1070"/>
      <c r="CU438" s="1070"/>
      <c r="CV438" s="1070"/>
      <c r="CW438" s="1070"/>
      <c r="CX438" s="1070"/>
      <c r="CY438" s="1070"/>
      <c r="CZ438" s="1070"/>
      <c r="DA438" s="1070"/>
      <c r="DB438" s="1070"/>
      <c r="DC438" s="1070"/>
      <c r="DD438" s="1070"/>
      <c r="DE438" s="1070"/>
      <c r="DF438" s="1070"/>
      <c r="DG438" s="1070"/>
      <c r="DH438" s="1070"/>
      <c r="DI438" s="1070"/>
    </row>
    <row r="439" spans="1:113" ht="15.75" x14ac:dyDescent="0.25">
      <c r="A439" s="1420"/>
      <c r="B439" s="1443"/>
      <c r="C439" s="1437"/>
      <c r="D439" s="1416"/>
      <c r="E439" s="1416"/>
      <c r="F439" s="1416"/>
      <c r="G439" s="1416"/>
      <c r="H439" s="1350"/>
      <c r="I439" s="1350"/>
      <c r="J439" s="1350"/>
      <c r="K439" s="1350"/>
      <c r="L439" s="1350"/>
      <c r="M439" s="1350"/>
      <c r="N439" s="1350"/>
      <c r="O439" s="1350"/>
      <c r="P439" s="1350"/>
      <c r="Q439" s="1350"/>
      <c r="R439" s="1350"/>
      <c r="S439" s="1350"/>
      <c r="T439" s="1350"/>
      <c r="U439" s="1350"/>
      <c r="V439" s="1350"/>
      <c r="W439" s="1350"/>
      <c r="X439" s="1350"/>
      <c r="Y439" s="1350"/>
      <c r="Z439" s="1350"/>
      <c r="AA439" s="1350"/>
      <c r="AB439" s="1350"/>
      <c r="AC439" s="1350"/>
      <c r="AD439" s="1350"/>
      <c r="AE439" s="1350"/>
      <c r="AF439" s="1350"/>
      <c r="AG439" s="1350"/>
      <c r="AH439" s="1350"/>
      <c r="AI439" s="1350"/>
      <c r="AJ439" s="1350"/>
      <c r="AK439" s="1350"/>
      <c r="AL439" s="1350"/>
      <c r="AM439" s="1350"/>
      <c r="AN439" s="1350"/>
      <c r="AO439" s="1350"/>
      <c r="AP439" s="1350"/>
      <c r="AQ439" s="1350"/>
      <c r="AR439" s="1350"/>
      <c r="AS439" s="1350"/>
      <c r="AT439" s="1350"/>
      <c r="AU439" s="1350"/>
      <c r="AV439" s="1350"/>
      <c r="AW439" s="1350"/>
      <c r="AX439" s="1350"/>
      <c r="AY439" s="1350"/>
      <c r="AZ439" s="1350"/>
      <c r="BA439" s="1070"/>
      <c r="BB439" s="1070"/>
      <c r="BC439" s="1070"/>
      <c r="BD439" s="1070"/>
      <c r="BE439" s="1070"/>
      <c r="BF439" s="1070"/>
      <c r="BG439" s="1070"/>
      <c r="BH439" s="1070"/>
      <c r="BI439" s="1070"/>
      <c r="BJ439" s="1070"/>
      <c r="BK439" s="1070"/>
      <c r="BL439" s="1070"/>
      <c r="BM439" s="1070"/>
      <c r="BN439" s="1070"/>
      <c r="BO439" s="1070"/>
      <c r="BP439" s="1070"/>
      <c r="BQ439" s="1070"/>
      <c r="BR439" s="1070"/>
      <c r="BS439" s="1070"/>
      <c r="BT439" s="1070"/>
      <c r="BU439" s="1070"/>
      <c r="BV439" s="1070"/>
      <c r="BW439" s="1070"/>
      <c r="BX439" s="1070"/>
      <c r="BY439" s="1070"/>
      <c r="BZ439" s="1070"/>
      <c r="CA439" s="1070"/>
      <c r="CB439" s="1070"/>
      <c r="CC439" s="1070"/>
      <c r="CD439" s="1070"/>
      <c r="CE439" s="1070"/>
      <c r="CF439" s="1070"/>
      <c r="CG439" s="1070"/>
      <c r="CH439" s="1070"/>
      <c r="CI439" s="1070"/>
      <c r="CJ439" s="1070"/>
      <c r="CK439" s="1070"/>
      <c r="CL439" s="1070"/>
      <c r="CM439" s="1070"/>
      <c r="CN439" s="1070"/>
      <c r="CO439" s="1070"/>
      <c r="CP439" s="1070"/>
      <c r="CQ439" s="1070"/>
      <c r="CR439" s="1070"/>
      <c r="CS439" s="1070"/>
      <c r="CT439" s="1070"/>
      <c r="CU439" s="1070"/>
      <c r="CV439" s="1070"/>
      <c r="CW439" s="1070"/>
      <c r="CX439" s="1070"/>
      <c r="CY439" s="1070"/>
      <c r="CZ439" s="1070"/>
      <c r="DA439" s="1070"/>
      <c r="DB439" s="1070"/>
      <c r="DC439" s="1070"/>
      <c r="DD439" s="1070"/>
      <c r="DE439" s="1070"/>
      <c r="DF439" s="1070"/>
      <c r="DG439" s="1070"/>
      <c r="DH439" s="1070"/>
      <c r="DI439" s="1070"/>
    </row>
    <row r="440" spans="1:113" ht="47.25" x14ac:dyDescent="0.25">
      <c r="A440" s="1438" t="s">
        <v>3212</v>
      </c>
      <c r="B440" s="1443"/>
      <c r="C440" s="1437"/>
      <c r="D440" s="1350"/>
      <c r="E440" s="1350"/>
      <c r="F440" s="1350"/>
      <c r="G440" s="1350"/>
      <c r="H440" s="1350"/>
      <c r="I440" s="1350"/>
      <c r="J440" s="1350"/>
      <c r="K440" s="1350"/>
      <c r="L440" s="1350"/>
      <c r="M440" s="1350"/>
      <c r="N440" s="1350"/>
      <c r="O440" s="1350"/>
      <c r="P440" s="1350"/>
      <c r="Q440" s="1350"/>
      <c r="R440" s="1350"/>
      <c r="S440" s="1350"/>
      <c r="T440" s="1350"/>
      <c r="U440" s="1350"/>
      <c r="V440" s="1350"/>
      <c r="W440" s="1350"/>
      <c r="X440" s="1350"/>
      <c r="Y440" s="1350"/>
      <c r="Z440" s="1350"/>
      <c r="AA440" s="1350"/>
      <c r="AB440" s="1350"/>
      <c r="AC440" s="1350"/>
      <c r="AD440" s="1350"/>
      <c r="AE440" s="1350"/>
      <c r="AF440" s="1350"/>
      <c r="AG440" s="1350"/>
      <c r="AH440" s="1350"/>
      <c r="AI440" s="1350"/>
      <c r="AJ440" s="1350"/>
      <c r="AK440" s="1350"/>
      <c r="AL440" s="1350"/>
      <c r="AM440" s="1350"/>
      <c r="AN440" s="1350"/>
      <c r="AO440" s="1350"/>
      <c r="AP440" s="1350"/>
      <c r="AQ440" s="1350"/>
      <c r="AR440" s="1350"/>
      <c r="AS440" s="1350"/>
      <c r="AT440" s="1350"/>
      <c r="AU440" s="1350"/>
      <c r="AV440" s="1350"/>
      <c r="AW440" s="1350"/>
      <c r="AX440" s="1350"/>
      <c r="AY440" s="1350"/>
      <c r="AZ440" s="1350"/>
      <c r="BA440" s="1070"/>
      <c r="BB440" s="1070"/>
      <c r="BC440" s="1070"/>
      <c r="BD440" s="1070"/>
      <c r="BE440" s="1070"/>
      <c r="BF440" s="1070"/>
      <c r="BG440" s="1070"/>
      <c r="BH440" s="1070"/>
      <c r="BI440" s="1070"/>
      <c r="BJ440" s="1070"/>
      <c r="BK440" s="1070"/>
      <c r="BL440" s="1070"/>
      <c r="BM440" s="1070"/>
      <c r="BN440" s="1070"/>
      <c r="BO440" s="1070"/>
      <c r="BP440" s="1070"/>
      <c r="BQ440" s="1070"/>
      <c r="BR440" s="1070"/>
      <c r="BS440" s="1070"/>
      <c r="BT440" s="1070"/>
      <c r="BU440" s="1070"/>
      <c r="BV440" s="1070"/>
      <c r="BW440" s="1070"/>
      <c r="BX440" s="1070"/>
      <c r="BY440" s="1070"/>
      <c r="BZ440" s="1070"/>
      <c r="CA440" s="1070"/>
      <c r="CB440" s="1070"/>
      <c r="CC440" s="1070"/>
      <c r="CD440" s="1070"/>
      <c r="CE440" s="1070"/>
      <c r="CF440" s="1070"/>
      <c r="CG440" s="1070"/>
      <c r="CH440" s="1070"/>
      <c r="CI440" s="1070"/>
      <c r="CJ440" s="1070"/>
      <c r="CK440" s="1070"/>
      <c r="CL440" s="1070"/>
      <c r="CM440" s="1070"/>
      <c r="CN440" s="1070"/>
      <c r="CO440" s="1070"/>
      <c r="CP440" s="1070"/>
      <c r="CQ440" s="1070"/>
      <c r="CR440" s="1070"/>
      <c r="CS440" s="1070"/>
      <c r="CT440" s="1070"/>
      <c r="CU440" s="1070"/>
      <c r="CV440" s="1070"/>
      <c r="CW440" s="1070"/>
      <c r="CX440" s="1070"/>
      <c r="CY440" s="1070"/>
      <c r="CZ440" s="1070"/>
      <c r="DA440" s="1070"/>
      <c r="DB440" s="1070"/>
      <c r="DC440" s="1070"/>
      <c r="DD440" s="1070"/>
      <c r="DE440" s="1070"/>
      <c r="DF440" s="1070"/>
      <c r="DG440" s="1070"/>
      <c r="DH440" s="1070"/>
      <c r="DI440" s="1070"/>
    </row>
    <row r="441" spans="1:113" ht="15.75" x14ac:dyDescent="0.25">
      <c r="A441" s="1420" t="s">
        <v>1753</v>
      </c>
      <c r="B441" s="1439" t="e">
        <f>(B291^2*((B344-B349)/B308+1)/(B344-B349))*B347</f>
        <v>#REF!</v>
      </c>
      <c r="C441" s="1432"/>
      <c r="D441" s="1437"/>
      <c r="E441" s="1437"/>
      <c r="F441" s="1437"/>
      <c r="G441" s="1437"/>
      <c r="H441" s="1350"/>
      <c r="I441" s="1350"/>
      <c r="J441" s="1350"/>
      <c r="K441" s="1350"/>
      <c r="L441" s="1350"/>
      <c r="M441" s="1350"/>
      <c r="N441" s="1350"/>
      <c r="O441" s="1350"/>
      <c r="P441" s="1350"/>
      <c r="Q441" s="1350"/>
      <c r="R441" s="1350"/>
      <c r="S441" s="1350"/>
      <c r="T441" s="1350"/>
      <c r="U441" s="1350"/>
      <c r="V441" s="1350"/>
      <c r="W441" s="1350"/>
      <c r="X441" s="1350"/>
      <c r="Y441" s="1350"/>
      <c r="Z441" s="1350"/>
      <c r="AA441" s="1350"/>
      <c r="AB441" s="1350"/>
      <c r="AC441" s="1350"/>
      <c r="AD441" s="1350"/>
      <c r="AE441" s="1350"/>
      <c r="AF441" s="1350"/>
      <c r="AG441" s="1350"/>
      <c r="AH441" s="1350"/>
      <c r="AI441" s="1350"/>
      <c r="AJ441" s="1350"/>
      <c r="AK441" s="1350"/>
      <c r="AL441" s="1350"/>
      <c r="AM441" s="1350"/>
      <c r="AN441" s="1350"/>
      <c r="AO441" s="1350"/>
      <c r="AP441" s="1350"/>
      <c r="AQ441" s="1350"/>
      <c r="AR441" s="1350"/>
      <c r="AS441" s="1350"/>
      <c r="AT441" s="1350"/>
      <c r="AU441" s="1350"/>
      <c r="AV441" s="1350"/>
      <c r="AW441" s="1350"/>
      <c r="AX441" s="1350"/>
      <c r="AY441" s="1350"/>
      <c r="AZ441" s="1350"/>
      <c r="BA441" s="1070"/>
      <c r="BB441" s="1070"/>
      <c r="BC441" s="1070"/>
      <c r="BD441" s="1070"/>
      <c r="BE441" s="1070"/>
      <c r="BF441" s="1070"/>
      <c r="BG441" s="1070"/>
      <c r="BH441" s="1070"/>
      <c r="BI441" s="1070"/>
      <c r="BJ441" s="1070"/>
      <c r="BK441" s="1070"/>
      <c r="BL441" s="1070"/>
      <c r="BM441" s="1070"/>
      <c r="BN441" s="1070"/>
      <c r="BO441" s="1070"/>
      <c r="BP441" s="1070"/>
      <c r="BQ441" s="1070"/>
      <c r="BR441" s="1070"/>
      <c r="BS441" s="1070"/>
      <c r="BT441" s="1070"/>
      <c r="BU441" s="1070"/>
      <c r="BV441" s="1070"/>
      <c r="BW441" s="1070"/>
      <c r="BX441" s="1070"/>
      <c r="BY441" s="1070"/>
      <c r="BZ441" s="1070"/>
      <c r="CA441" s="1070"/>
      <c r="CB441" s="1070"/>
      <c r="CC441" s="1070"/>
      <c r="CD441" s="1070"/>
      <c r="CE441" s="1070"/>
      <c r="CF441" s="1070"/>
      <c r="CG441" s="1070"/>
      <c r="CH441" s="1070"/>
      <c r="CI441" s="1070"/>
      <c r="CJ441" s="1070"/>
      <c r="CK441" s="1070"/>
      <c r="CL441" s="1070"/>
      <c r="CM441" s="1070"/>
      <c r="CN441" s="1070"/>
      <c r="CO441" s="1070"/>
      <c r="CP441" s="1070"/>
      <c r="CQ441" s="1070"/>
      <c r="CR441" s="1070"/>
      <c r="CS441" s="1070"/>
      <c r="CT441" s="1070"/>
      <c r="CU441" s="1070"/>
      <c r="CV441" s="1070"/>
      <c r="CW441" s="1070"/>
      <c r="CX441" s="1070"/>
      <c r="CY441" s="1070"/>
      <c r="CZ441" s="1070"/>
      <c r="DA441" s="1070"/>
      <c r="DB441" s="1070"/>
      <c r="DC441" s="1070"/>
      <c r="DD441" s="1070"/>
      <c r="DE441" s="1070"/>
      <c r="DF441" s="1070"/>
      <c r="DG441" s="1070"/>
      <c r="DH441" s="1070"/>
      <c r="DI441" s="1070"/>
    </row>
    <row r="442" spans="1:113" ht="15.75" x14ac:dyDescent="0.25">
      <c r="A442" s="1420" t="s">
        <v>3390</v>
      </c>
      <c r="B442" s="1424" t="e">
        <f>B382</f>
        <v>#VALUE!</v>
      </c>
      <c r="C442" s="1429"/>
      <c r="D442" s="1437"/>
      <c r="E442" s="1437"/>
      <c r="F442" s="1437"/>
      <c r="G442" s="1437"/>
      <c r="H442" s="1350"/>
      <c r="I442" s="1350"/>
      <c r="J442" s="1350"/>
      <c r="K442" s="1350"/>
      <c r="L442" s="1350"/>
      <c r="M442" s="1350"/>
      <c r="N442" s="1350"/>
      <c r="O442" s="1350"/>
      <c r="P442" s="1350"/>
      <c r="Q442" s="1350"/>
      <c r="R442" s="1350"/>
      <c r="S442" s="1350"/>
      <c r="T442" s="1350"/>
      <c r="U442" s="1350"/>
      <c r="V442" s="1350"/>
      <c r="W442" s="1350"/>
      <c r="X442" s="1350"/>
      <c r="Y442" s="1350"/>
      <c r="Z442" s="1350"/>
      <c r="AA442" s="1350"/>
      <c r="AB442" s="1350"/>
      <c r="AC442" s="1350"/>
      <c r="AD442" s="1350"/>
      <c r="AE442" s="1350"/>
      <c r="AF442" s="1350"/>
      <c r="AG442" s="1350"/>
      <c r="AH442" s="1350"/>
      <c r="AI442" s="1350"/>
      <c r="AJ442" s="1350"/>
      <c r="AK442" s="1350"/>
      <c r="AL442" s="1350"/>
      <c r="AM442" s="1350"/>
      <c r="AN442" s="1350"/>
      <c r="AO442" s="1350"/>
      <c r="AP442" s="1350"/>
      <c r="AQ442" s="1350"/>
      <c r="AR442" s="1350"/>
      <c r="AS442" s="1350"/>
      <c r="AT442" s="1350"/>
      <c r="AU442" s="1350"/>
      <c r="AV442" s="1350"/>
      <c r="AW442" s="1350"/>
      <c r="AX442" s="1350"/>
      <c r="AY442" s="1350"/>
      <c r="AZ442" s="1350"/>
      <c r="BA442" s="1070"/>
      <c r="BB442" s="1070"/>
      <c r="BC442" s="1070"/>
      <c r="BD442" s="1070"/>
      <c r="BE442" s="1070"/>
      <c r="BF442" s="1070"/>
      <c r="BG442" s="1070"/>
      <c r="BH442" s="1070"/>
      <c r="BI442" s="1070"/>
      <c r="BJ442" s="1070"/>
      <c r="BK442" s="1070"/>
      <c r="BL442" s="1070"/>
      <c r="BM442" s="1070"/>
      <c r="BN442" s="1070"/>
      <c r="BO442" s="1070"/>
      <c r="BP442" s="1070"/>
      <c r="BQ442" s="1070"/>
      <c r="BR442" s="1070"/>
      <c r="BS442" s="1070"/>
      <c r="BT442" s="1070"/>
      <c r="BU442" s="1070"/>
      <c r="BV442" s="1070"/>
      <c r="BW442" s="1070"/>
      <c r="BX442" s="1070"/>
      <c r="BY442" s="1070"/>
      <c r="BZ442" s="1070"/>
      <c r="CA442" s="1070"/>
      <c r="CB442" s="1070"/>
      <c r="CC442" s="1070"/>
      <c r="CD442" s="1070"/>
      <c r="CE442" s="1070"/>
      <c r="CF442" s="1070"/>
      <c r="CG442" s="1070"/>
      <c r="CH442" s="1070"/>
      <c r="CI442" s="1070"/>
      <c r="CJ442" s="1070"/>
      <c r="CK442" s="1070"/>
      <c r="CL442" s="1070"/>
      <c r="CM442" s="1070"/>
      <c r="CN442" s="1070"/>
      <c r="CO442" s="1070"/>
      <c r="CP442" s="1070"/>
      <c r="CQ442" s="1070"/>
      <c r="CR442" s="1070"/>
      <c r="CS442" s="1070"/>
      <c r="CT442" s="1070"/>
      <c r="CU442" s="1070"/>
      <c r="CV442" s="1070"/>
      <c r="CW442" s="1070"/>
      <c r="CX442" s="1070"/>
      <c r="CY442" s="1070"/>
      <c r="CZ442" s="1070"/>
      <c r="DA442" s="1070"/>
      <c r="DB442" s="1070"/>
      <c r="DC442" s="1070"/>
      <c r="DD442" s="1070"/>
      <c r="DE442" s="1070"/>
      <c r="DF442" s="1070"/>
      <c r="DG442" s="1070"/>
      <c r="DH442" s="1070"/>
      <c r="DI442" s="1070"/>
    </row>
    <row r="443" spans="1:113" ht="15.75" x14ac:dyDescent="0.25">
      <c r="A443" s="1420" t="s">
        <v>3391</v>
      </c>
      <c r="B443" s="1439"/>
      <c r="C443" s="1432"/>
      <c r="D443" s="1440"/>
      <c r="E443" s="1440"/>
      <c r="F443" s="1440"/>
      <c r="G443" s="1440"/>
      <c r="H443" s="1350"/>
      <c r="I443" s="1350"/>
      <c r="J443" s="1350"/>
      <c r="K443" s="1350"/>
      <c r="L443" s="1350"/>
      <c r="M443" s="1350"/>
      <c r="N443" s="1350"/>
      <c r="O443" s="1350"/>
      <c r="P443" s="1350"/>
      <c r="Q443" s="1350"/>
      <c r="R443" s="1350"/>
      <c r="S443" s="1350"/>
      <c r="T443" s="1350"/>
      <c r="U443" s="1350"/>
      <c r="V443" s="1350"/>
      <c r="W443" s="1350"/>
      <c r="X443" s="1350"/>
      <c r="Y443" s="1350"/>
      <c r="Z443" s="1350"/>
      <c r="AA443" s="1350"/>
      <c r="AB443" s="1350"/>
      <c r="AC443" s="1350"/>
      <c r="AD443" s="1350"/>
      <c r="AE443" s="1350"/>
      <c r="AF443" s="1350"/>
      <c r="AG443" s="1350"/>
      <c r="AH443" s="1350"/>
      <c r="AI443" s="1350"/>
      <c r="AJ443" s="1350"/>
      <c r="AK443" s="1350"/>
      <c r="AL443" s="1350"/>
      <c r="AM443" s="1350"/>
      <c r="AN443" s="1350"/>
      <c r="AO443" s="1350"/>
      <c r="AP443" s="1350"/>
      <c r="AQ443" s="1350"/>
      <c r="AR443" s="1350"/>
      <c r="AS443" s="1350"/>
      <c r="AT443" s="1350"/>
      <c r="AU443" s="1350"/>
      <c r="AV443" s="1350"/>
      <c r="AW443" s="1350"/>
      <c r="AX443" s="1350"/>
      <c r="AY443" s="1350"/>
      <c r="AZ443" s="1350"/>
      <c r="BA443" s="1070"/>
      <c r="BB443" s="1070"/>
      <c r="BC443" s="1070"/>
      <c r="BD443" s="1070"/>
      <c r="BE443" s="1070"/>
      <c r="BF443" s="1070"/>
      <c r="BG443" s="1070"/>
      <c r="BH443" s="1070"/>
      <c r="BI443" s="1070"/>
      <c r="BJ443" s="1070"/>
      <c r="BK443" s="1070"/>
      <c r="BL443" s="1070"/>
      <c r="BM443" s="1070"/>
      <c r="BN443" s="1070"/>
      <c r="BO443" s="1070"/>
      <c r="BP443" s="1070"/>
      <c r="BQ443" s="1070"/>
      <c r="BR443" s="1070"/>
      <c r="BS443" s="1070"/>
      <c r="BT443" s="1070"/>
      <c r="BU443" s="1070"/>
      <c r="BV443" s="1070"/>
      <c r="BW443" s="1070"/>
      <c r="BX443" s="1070"/>
      <c r="BY443" s="1070"/>
      <c r="BZ443" s="1070"/>
      <c r="CA443" s="1070"/>
      <c r="CB443" s="1070"/>
      <c r="CC443" s="1070"/>
      <c r="CD443" s="1070"/>
      <c r="CE443" s="1070"/>
      <c r="CF443" s="1070"/>
      <c r="CG443" s="1070"/>
      <c r="CH443" s="1070"/>
      <c r="CI443" s="1070"/>
      <c r="CJ443" s="1070"/>
      <c r="CK443" s="1070"/>
      <c r="CL443" s="1070"/>
      <c r="CM443" s="1070"/>
      <c r="CN443" s="1070"/>
      <c r="CO443" s="1070"/>
      <c r="CP443" s="1070"/>
      <c r="CQ443" s="1070"/>
      <c r="CR443" s="1070"/>
      <c r="CS443" s="1070"/>
      <c r="CT443" s="1070"/>
      <c r="CU443" s="1070"/>
      <c r="CV443" s="1070"/>
      <c r="CW443" s="1070"/>
      <c r="CX443" s="1070"/>
      <c r="CY443" s="1070"/>
      <c r="CZ443" s="1070"/>
      <c r="DA443" s="1070"/>
      <c r="DB443" s="1070"/>
      <c r="DC443" s="1070"/>
      <c r="DD443" s="1070"/>
      <c r="DE443" s="1070"/>
      <c r="DF443" s="1070"/>
      <c r="DG443" s="1070"/>
      <c r="DH443" s="1070"/>
      <c r="DI443" s="1070"/>
    </row>
    <row r="444" spans="1:113" ht="15.75" x14ac:dyDescent="0.25">
      <c r="A444" s="1420" t="s">
        <v>392</v>
      </c>
      <c r="B444" s="1443">
        <f>B384</f>
        <v>0.8</v>
      </c>
      <c r="C444" s="1437"/>
      <c r="D444" s="1437"/>
      <c r="E444" s="1437"/>
      <c r="F444" s="1437"/>
      <c r="G444" s="1437"/>
      <c r="H444" s="1350"/>
      <c r="I444" s="1350"/>
      <c r="J444" s="1350"/>
      <c r="K444" s="1350"/>
      <c r="L444" s="1350"/>
      <c r="M444" s="1350"/>
      <c r="N444" s="1350"/>
      <c r="O444" s="1350"/>
      <c r="P444" s="1350"/>
      <c r="Q444" s="1350"/>
      <c r="R444" s="1350"/>
      <c r="S444" s="1350"/>
      <c r="T444" s="1350"/>
      <c r="U444" s="1350"/>
      <c r="V444" s="1350"/>
      <c r="W444" s="1350"/>
      <c r="X444" s="1350"/>
      <c r="Y444" s="1350"/>
      <c r="Z444" s="1350"/>
      <c r="AA444" s="1350"/>
      <c r="AB444" s="1350"/>
      <c r="AC444" s="1350"/>
      <c r="AD444" s="1350"/>
      <c r="AE444" s="1350"/>
      <c r="AF444" s="1350"/>
      <c r="AG444" s="1350"/>
      <c r="AH444" s="1350"/>
      <c r="AI444" s="1350"/>
      <c r="AJ444" s="1350"/>
      <c r="AK444" s="1350"/>
      <c r="AL444" s="1350"/>
      <c r="AM444" s="1350"/>
      <c r="AN444" s="1350"/>
      <c r="AO444" s="1350"/>
      <c r="AP444" s="1350"/>
      <c r="AQ444" s="1350"/>
      <c r="AR444" s="1350"/>
      <c r="AS444" s="1350"/>
      <c r="AT444" s="1350"/>
      <c r="AU444" s="1350"/>
      <c r="AV444" s="1350"/>
      <c r="AW444" s="1350"/>
      <c r="AX444" s="1350"/>
      <c r="AY444" s="1350"/>
      <c r="AZ444" s="1350"/>
      <c r="BA444" s="1070"/>
      <c r="BB444" s="1070"/>
      <c r="BC444" s="1070"/>
      <c r="BD444" s="1070"/>
      <c r="BE444" s="1070"/>
      <c r="BF444" s="1070"/>
      <c r="BG444" s="1070"/>
      <c r="BH444" s="1070"/>
      <c r="BI444" s="1070"/>
      <c r="BJ444" s="1070"/>
      <c r="BK444" s="1070"/>
      <c r="BL444" s="1070"/>
      <c r="BM444" s="1070"/>
      <c r="BN444" s="1070"/>
      <c r="BO444" s="1070"/>
      <c r="BP444" s="1070"/>
      <c r="BQ444" s="1070"/>
      <c r="BR444" s="1070"/>
      <c r="BS444" s="1070"/>
      <c r="BT444" s="1070"/>
      <c r="BU444" s="1070"/>
      <c r="BV444" s="1070"/>
      <c r="BW444" s="1070"/>
      <c r="BX444" s="1070"/>
      <c r="BY444" s="1070"/>
      <c r="BZ444" s="1070"/>
      <c r="CA444" s="1070"/>
      <c r="CB444" s="1070"/>
      <c r="CC444" s="1070"/>
      <c r="CD444" s="1070"/>
      <c r="CE444" s="1070"/>
      <c r="CF444" s="1070"/>
      <c r="CG444" s="1070"/>
      <c r="CH444" s="1070"/>
      <c r="CI444" s="1070"/>
      <c r="CJ444" s="1070"/>
      <c r="CK444" s="1070"/>
      <c r="CL444" s="1070"/>
      <c r="CM444" s="1070"/>
      <c r="CN444" s="1070"/>
      <c r="CO444" s="1070"/>
      <c r="CP444" s="1070"/>
      <c r="CQ444" s="1070"/>
      <c r="CR444" s="1070"/>
      <c r="CS444" s="1070"/>
      <c r="CT444" s="1070"/>
      <c r="CU444" s="1070"/>
      <c r="CV444" s="1070"/>
      <c r="CW444" s="1070"/>
      <c r="CX444" s="1070"/>
      <c r="CY444" s="1070"/>
      <c r="CZ444" s="1070"/>
      <c r="DA444" s="1070"/>
      <c r="DB444" s="1070"/>
      <c r="DC444" s="1070"/>
      <c r="DD444" s="1070"/>
      <c r="DE444" s="1070"/>
      <c r="DF444" s="1070"/>
      <c r="DG444" s="1070"/>
      <c r="DH444" s="1070"/>
      <c r="DI444" s="1070"/>
    </row>
    <row r="445" spans="1:113" ht="15.75" x14ac:dyDescent="0.25">
      <c r="A445" s="1420" t="s">
        <v>391</v>
      </c>
      <c r="B445" s="1443">
        <f>B385</f>
        <v>0.9</v>
      </c>
      <c r="C445" s="1437"/>
      <c r="D445" s="1432"/>
      <c r="E445" s="1432"/>
      <c r="F445" s="1432"/>
      <c r="G445" s="1432"/>
      <c r="H445" s="1350"/>
      <c r="I445" s="1350"/>
      <c r="J445" s="1350"/>
      <c r="K445" s="1350"/>
      <c r="L445" s="1350"/>
      <c r="M445" s="1350"/>
      <c r="N445" s="1350"/>
      <c r="O445" s="1350"/>
      <c r="P445" s="1350"/>
      <c r="Q445" s="1350"/>
      <c r="R445" s="1350"/>
      <c r="S445" s="1350"/>
      <c r="T445" s="1350"/>
      <c r="U445" s="1350"/>
      <c r="V445" s="1350"/>
      <c r="W445" s="1350"/>
      <c r="X445" s="1350"/>
      <c r="Y445" s="1350"/>
      <c r="Z445" s="1350"/>
      <c r="AA445" s="1350"/>
      <c r="AB445" s="1350"/>
      <c r="AC445" s="1350"/>
      <c r="AD445" s="1350"/>
      <c r="AE445" s="1350"/>
      <c r="AF445" s="1350"/>
      <c r="AG445" s="1350"/>
      <c r="AH445" s="1350"/>
      <c r="AI445" s="1350"/>
      <c r="AJ445" s="1350"/>
      <c r="AK445" s="1350"/>
      <c r="AL445" s="1350"/>
      <c r="AM445" s="1350"/>
      <c r="AN445" s="1350"/>
      <c r="AO445" s="1350"/>
      <c r="AP445" s="1350"/>
      <c r="AQ445" s="1350"/>
      <c r="AR445" s="1350"/>
      <c r="AS445" s="1350"/>
      <c r="AT445" s="1350"/>
      <c r="AU445" s="1350"/>
      <c r="AV445" s="1350"/>
      <c r="AW445" s="1350"/>
      <c r="AX445" s="1350"/>
      <c r="AY445" s="1350"/>
      <c r="AZ445" s="1350"/>
      <c r="BA445" s="1070"/>
      <c r="BB445" s="1070"/>
      <c r="BC445" s="1070"/>
      <c r="BD445" s="1070"/>
      <c r="BE445" s="1070"/>
      <c r="BF445" s="1070"/>
      <c r="BG445" s="1070"/>
      <c r="BH445" s="1070"/>
      <c r="BI445" s="1070"/>
      <c r="BJ445" s="1070"/>
      <c r="BK445" s="1070"/>
      <c r="BL445" s="1070"/>
      <c r="BM445" s="1070"/>
      <c r="BN445" s="1070"/>
      <c r="BO445" s="1070"/>
      <c r="BP445" s="1070"/>
      <c r="BQ445" s="1070"/>
      <c r="BR445" s="1070"/>
      <c r="BS445" s="1070"/>
      <c r="BT445" s="1070"/>
      <c r="BU445" s="1070"/>
      <c r="BV445" s="1070"/>
      <c r="BW445" s="1070"/>
      <c r="BX445" s="1070"/>
      <c r="BY445" s="1070"/>
      <c r="BZ445" s="1070"/>
      <c r="CA445" s="1070"/>
      <c r="CB445" s="1070"/>
      <c r="CC445" s="1070"/>
      <c r="CD445" s="1070"/>
      <c r="CE445" s="1070"/>
      <c r="CF445" s="1070"/>
      <c r="CG445" s="1070"/>
      <c r="CH445" s="1070"/>
      <c r="CI445" s="1070"/>
      <c r="CJ445" s="1070"/>
      <c r="CK445" s="1070"/>
      <c r="CL445" s="1070"/>
      <c r="CM445" s="1070"/>
      <c r="CN445" s="1070"/>
      <c r="CO445" s="1070"/>
      <c r="CP445" s="1070"/>
      <c r="CQ445" s="1070"/>
      <c r="CR445" s="1070"/>
      <c r="CS445" s="1070"/>
      <c r="CT445" s="1070"/>
      <c r="CU445" s="1070"/>
      <c r="CV445" s="1070"/>
      <c r="CW445" s="1070"/>
      <c r="CX445" s="1070"/>
      <c r="CY445" s="1070"/>
      <c r="CZ445" s="1070"/>
      <c r="DA445" s="1070"/>
      <c r="DB445" s="1070"/>
      <c r="DC445" s="1070"/>
      <c r="DD445" s="1070"/>
      <c r="DE445" s="1070"/>
      <c r="DF445" s="1070"/>
      <c r="DG445" s="1070"/>
      <c r="DH445" s="1070"/>
      <c r="DI445" s="1070"/>
    </row>
    <row r="446" spans="1:113" ht="31.5" x14ac:dyDescent="0.25">
      <c r="A446" s="1420" t="s">
        <v>3213</v>
      </c>
      <c r="B446" s="1451">
        <f>B386</f>
        <v>0</v>
      </c>
      <c r="C446" s="1434"/>
      <c r="D446" s="1350"/>
      <c r="E446" s="1350"/>
      <c r="F446" s="1350"/>
      <c r="G446" s="1350"/>
      <c r="H446" s="1350"/>
      <c r="I446" s="1350"/>
      <c r="J446" s="1350"/>
      <c r="K446" s="1350"/>
      <c r="L446" s="1350"/>
      <c r="M446" s="1350"/>
      <c r="N446" s="1350"/>
      <c r="O446" s="1350"/>
      <c r="P446" s="1350"/>
      <c r="Q446" s="1350"/>
      <c r="R446" s="1350"/>
      <c r="S446" s="1350"/>
      <c r="T446" s="1350"/>
      <c r="U446" s="1350"/>
      <c r="V446" s="1350"/>
      <c r="W446" s="1350"/>
      <c r="X446" s="1350"/>
      <c r="Y446" s="1350"/>
      <c r="Z446" s="1350"/>
      <c r="AA446" s="1350"/>
      <c r="AB446" s="1350"/>
      <c r="AC446" s="1350"/>
      <c r="AD446" s="1350"/>
      <c r="AE446" s="1350"/>
      <c r="AF446" s="1350"/>
      <c r="AG446" s="1350"/>
      <c r="AH446" s="1350"/>
      <c r="AI446" s="1350"/>
      <c r="AJ446" s="1350"/>
      <c r="AK446" s="1350"/>
      <c r="AL446" s="1350"/>
      <c r="AM446" s="1350"/>
      <c r="AN446" s="1350"/>
      <c r="AO446" s="1350"/>
      <c r="AP446" s="1350"/>
      <c r="AQ446" s="1350"/>
      <c r="AR446" s="1350"/>
      <c r="AS446" s="1350"/>
      <c r="AT446" s="1350"/>
      <c r="AU446" s="1350"/>
      <c r="AV446" s="1350"/>
      <c r="AW446" s="1350"/>
      <c r="AX446" s="1350"/>
      <c r="AY446" s="1350"/>
      <c r="AZ446" s="1350"/>
      <c r="BA446" s="1070"/>
      <c r="BB446" s="1070"/>
      <c r="BC446" s="1070"/>
      <c r="BD446" s="1070"/>
      <c r="BE446" s="1070"/>
      <c r="BF446" s="1070"/>
      <c r="BG446" s="1070"/>
      <c r="BH446" s="1070"/>
      <c r="BI446" s="1070"/>
      <c r="BJ446" s="1070"/>
      <c r="BK446" s="1070"/>
      <c r="BL446" s="1070"/>
      <c r="BM446" s="1070"/>
      <c r="BN446" s="1070"/>
      <c r="BO446" s="1070"/>
      <c r="BP446" s="1070"/>
      <c r="BQ446" s="1070"/>
      <c r="BR446" s="1070"/>
      <c r="BS446" s="1070"/>
      <c r="BT446" s="1070"/>
      <c r="BU446" s="1070"/>
      <c r="BV446" s="1070"/>
      <c r="BW446" s="1070"/>
      <c r="BX446" s="1070"/>
      <c r="BY446" s="1070"/>
      <c r="BZ446" s="1070"/>
      <c r="CA446" s="1070"/>
      <c r="CB446" s="1070"/>
      <c r="CC446" s="1070"/>
      <c r="CD446" s="1070"/>
      <c r="CE446" s="1070"/>
      <c r="CF446" s="1070"/>
      <c r="CG446" s="1070"/>
      <c r="CH446" s="1070"/>
      <c r="CI446" s="1070"/>
      <c r="CJ446" s="1070"/>
      <c r="CK446" s="1070"/>
      <c r="CL446" s="1070"/>
      <c r="CM446" s="1070"/>
      <c r="CN446" s="1070"/>
      <c r="CO446" s="1070"/>
      <c r="CP446" s="1070"/>
      <c r="CQ446" s="1070"/>
      <c r="CR446" s="1070"/>
      <c r="CS446" s="1070"/>
      <c r="CT446" s="1070"/>
      <c r="CU446" s="1070"/>
      <c r="CV446" s="1070"/>
      <c r="CW446" s="1070"/>
      <c r="CX446" s="1070"/>
      <c r="CY446" s="1070"/>
      <c r="CZ446" s="1070"/>
      <c r="DA446" s="1070"/>
      <c r="DB446" s="1070"/>
      <c r="DC446" s="1070"/>
      <c r="DD446" s="1070"/>
      <c r="DE446" s="1070"/>
      <c r="DF446" s="1070"/>
      <c r="DG446" s="1070"/>
      <c r="DH446" s="1070"/>
      <c r="DI446" s="1070"/>
    </row>
    <row r="447" spans="1:113" ht="15.75" x14ac:dyDescent="0.25">
      <c r="A447" s="1420" t="s">
        <v>3393</v>
      </c>
      <c r="B447" s="1443">
        <f>IF(B446=0,1,1.2)</f>
        <v>1</v>
      </c>
      <c r="C447" s="1437"/>
      <c r="D447" s="1350"/>
      <c r="E447" s="1350"/>
      <c r="F447" s="1350"/>
      <c r="G447" s="1350"/>
      <c r="H447" s="1350"/>
      <c r="I447" s="1350"/>
      <c r="J447" s="1350"/>
      <c r="K447" s="1350"/>
      <c r="L447" s="1350"/>
      <c r="M447" s="1350"/>
      <c r="N447" s="1350"/>
      <c r="O447" s="1350"/>
      <c r="P447" s="1350"/>
      <c r="Q447" s="1350"/>
      <c r="R447" s="1350"/>
      <c r="S447" s="1350"/>
      <c r="T447" s="1350"/>
      <c r="U447" s="1350"/>
      <c r="V447" s="1350"/>
      <c r="W447" s="1350"/>
      <c r="X447" s="1350"/>
      <c r="Y447" s="1350"/>
      <c r="Z447" s="1350"/>
      <c r="AA447" s="1350"/>
      <c r="AB447" s="1350"/>
      <c r="AC447" s="1350"/>
      <c r="AD447" s="1350"/>
      <c r="AE447" s="1350"/>
      <c r="AF447" s="1350"/>
      <c r="AG447" s="1350"/>
      <c r="AH447" s="1350"/>
      <c r="AI447" s="1350"/>
      <c r="AJ447" s="1350"/>
      <c r="AK447" s="1350"/>
      <c r="AL447" s="1350"/>
      <c r="AM447" s="1350"/>
      <c r="AN447" s="1350"/>
      <c r="AO447" s="1350"/>
      <c r="AP447" s="1350"/>
      <c r="AQ447" s="1350"/>
      <c r="AR447" s="1350"/>
      <c r="AS447" s="1350"/>
      <c r="AT447" s="1350"/>
      <c r="AU447" s="1350"/>
      <c r="AV447" s="1350"/>
      <c r="AW447" s="1350"/>
      <c r="AX447" s="1350"/>
      <c r="AY447" s="1350"/>
      <c r="AZ447" s="1350"/>
      <c r="BA447" s="1070"/>
      <c r="BB447" s="1070"/>
      <c r="BC447" s="1070"/>
      <c r="BD447" s="1070"/>
      <c r="BE447" s="1070"/>
      <c r="BF447" s="1070"/>
      <c r="BG447" s="1070"/>
      <c r="BH447" s="1070"/>
      <c r="BI447" s="1070"/>
      <c r="BJ447" s="1070"/>
      <c r="BK447" s="1070"/>
      <c r="BL447" s="1070"/>
      <c r="BM447" s="1070"/>
      <c r="BN447" s="1070"/>
      <c r="BO447" s="1070"/>
      <c r="BP447" s="1070"/>
      <c r="BQ447" s="1070"/>
      <c r="BR447" s="1070"/>
      <c r="BS447" s="1070"/>
      <c r="BT447" s="1070"/>
      <c r="BU447" s="1070"/>
      <c r="BV447" s="1070"/>
      <c r="BW447" s="1070"/>
      <c r="BX447" s="1070"/>
      <c r="BY447" s="1070"/>
      <c r="BZ447" s="1070"/>
      <c r="CA447" s="1070"/>
      <c r="CB447" s="1070"/>
      <c r="CC447" s="1070"/>
      <c r="CD447" s="1070"/>
      <c r="CE447" s="1070"/>
      <c r="CF447" s="1070"/>
      <c r="CG447" s="1070"/>
      <c r="CH447" s="1070"/>
      <c r="CI447" s="1070"/>
      <c r="CJ447" s="1070"/>
      <c r="CK447" s="1070"/>
      <c r="CL447" s="1070"/>
      <c r="CM447" s="1070"/>
      <c r="CN447" s="1070"/>
      <c r="CO447" s="1070"/>
      <c r="CP447" s="1070"/>
      <c r="CQ447" s="1070"/>
      <c r="CR447" s="1070"/>
      <c r="CS447" s="1070"/>
      <c r="CT447" s="1070"/>
      <c r="CU447" s="1070"/>
      <c r="CV447" s="1070"/>
      <c r="CW447" s="1070"/>
      <c r="CX447" s="1070"/>
      <c r="CY447" s="1070"/>
      <c r="CZ447" s="1070"/>
      <c r="DA447" s="1070"/>
      <c r="DB447" s="1070"/>
      <c r="DC447" s="1070"/>
      <c r="DD447" s="1070"/>
      <c r="DE447" s="1070"/>
      <c r="DF447" s="1070"/>
      <c r="DG447" s="1070"/>
      <c r="DH447" s="1070"/>
      <c r="DI447" s="1070"/>
    </row>
    <row r="448" spans="1:113" ht="47.25" x14ac:dyDescent="0.25">
      <c r="A448" s="1420" t="s">
        <v>3214</v>
      </c>
      <c r="B448" s="1451">
        <f>B388</f>
        <v>1</v>
      </c>
      <c r="C448" s="1434"/>
      <c r="D448" s="1432"/>
      <c r="E448" s="1432"/>
      <c r="F448" s="1432"/>
      <c r="G448" s="1432"/>
      <c r="H448" s="1350"/>
      <c r="I448" s="1350"/>
      <c r="J448" s="1350"/>
      <c r="K448" s="1350"/>
      <c r="L448" s="1350"/>
      <c r="M448" s="1350"/>
      <c r="N448" s="1350"/>
      <c r="O448" s="1350"/>
      <c r="P448" s="1350"/>
      <c r="Q448" s="1350"/>
      <c r="R448" s="1350"/>
      <c r="S448" s="1350"/>
      <c r="T448" s="1350"/>
      <c r="U448" s="1350"/>
      <c r="V448" s="1350"/>
      <c r="W448" s="1350"/>
      <c r="X448" s="1350"/>
      <c r="Y448" s="1350"/>
      <c r="Z448" s="1350"/>
      <c r="AA448" s="1350"/>
      <c r="AB448" s="1350"/>
      <c r="AC448" s="1350"/>
      <c r="AD448" s="1350"/>
      <c r="AE448" s="1350"/>
      <c r="AF448" s="1350"/>
      <c r="AG448" s="1350"/>
      <c r="AH448" s="1350"/>
      <c r="AI448" s="1350"/>
      <c r="AJ448" s="1350"/>
      <c r="AK448" s="1350"/>
      <c r="AL448" s="1350"/>
      <c r="AM448" s="1350"/>
      <c r="AN448" s="1350"/>
      <c r="AO448" s="1350"/>
      <c r="AP448" s="1350"/>
      <c r="AQ448" s="1350"/>
      <c r="AR448" s="1350"/>
      <c r="AS448" s="1350"/>
      <c r="AT448" s="1350"/>
      <c r="AU448" s="1350"/>
      <c r="AV448" s="1350"/>
      <c r="AW448" s="1350"/>
      <c r="AX448" s="1350"/>
      <c r="AY448" s="1350"/>
      <c r="AZ448" s="1350"/>
      <c r="BA448" s="1070"/>
      <c r="BB448" s="1070"/>
      <c r="BC448" s="1070"/>
      <c r="BD448" s="1070"/>
      <c r="BE448" s="1070"/>
      <c r="BF448" s="1070"/>
      <c r="BG448" s="1070"/>
      <c r="BH448" s="1070"/>
      <c r="BI448" s="1070"/>
      <c r="BJ448" s="1070"/>
      <c r="BK448" s="1070"/>
      <c r="BL448" s="1070"/>
      <c r="BM448" s="1070"/>
      <c r="BN448" s="1070"/>
      <c r="BO448" s="1070"/>
      <c r="BP448" s="1070"/>
      <c r="BQ448" s="1070"/>
      <c r="BR448" s="1070"/>
      <c r="BS448" s="1070"/>
      <c r="BT448" s="1070"/>
      <c r="BU448" s="1070"/>
      <c r="BV448" s="1070"/>
      <c r="BW448" s="1070"/>
      <c r="BX448" s="1070"/>
      <c r="BY448" s="1070"/>
      <c r="BZ448" s="1070"/>
      <c r="CA448" s="1070"/>
      <c r="CB448" s="1070"/>
      <c r="CC448" s="1070"/>
      <c r="CD448" s="1070"/>
      <c r="CE448" s="1070"/>
      <c r="CF448" s="1070"/>
      <c r="CG448" s="1070"/>
      <c r="CH448" s="1070"/>
      <c r="CI448" s="1070"/>
      <c r="CJ448" s="1070"/>
      <c r="CK448" s="1070"/>
      <c r="CL448" s="1070"/>
      <c r="CM448" s="1070"/>
      <c r="CN448" s="1070"/>
      <c r="CO448" s="1070"/>
      <c r="CP448" s="1070"/>
      <c r="CQ448" s="1070"/>
      <c r="CR448" s="1070"/>
      <c r="CS448" s="1070"/>
      <c r="CT448" s="1070"/>
      <c r="CU448" s="1070"/>
      <c r="CV448" s="1070"/>
      <c r="CW448" s="1070"/>
      <c r="CX448" s="1070"/>
      <c r="CY448" s="1070"/>
      <c r="CZ448" s="1070"/>
      <c r="DA448" s="1070"/>
      <c r="DB448" s="1070"/>
      <c r="DC448" s="1070"/>
      <c r="DD448" s="1070"/>
      <c r="DE448" s="1070"/>
      <c r="DF448" s="1070"/>
      <c r="DG448" s="1070"/>
      <c r="DH448" s="1070"/>
      <c r="DI448" s="1070"/>
    </row>
    <row r="449" spans="1:113" ht="15.75" x14ac:dyDescent="0.25">
      <c r="A449" s="1420" t="s">
        <v>1893</v>
      </c>
      <c r="B449" s="1443">
        <f>IF(B448=0,1.05,1)</f>
        <v>1</v>
      </c>
      <c r="C449" s="1437"/>
      <c r="D449" s="1429"/>
      <c r="E449" s="1429"/>
      <c r="F449" s="1429"/>
      <c r="G449" s="1429"/>
      <c r="H449" s="1350"/>
      <c r="I449" s="1350"/>
      <c r="J449" s="1350"/>
      <c r="K449" s="1350"/>
      <c r="L449" s="1350"/>
      <c r="M449" s="1350"/>
      <c r="N449" s="1350"/>
      <c r="O449" s="1350"/>
      <c r="P449" s="1350"/>
      <c r="Q449" s="1350"/>
      <c r="R449" s="1350"/>
      <c r="S449" s="1350"/>
      <c r="T449" s="1350"/>
      <c r="U449" s="1350"/>
      <c r="V449" s="1350"/>
      <c r="W449" s="1350"/>
      <c r="X449" s="1350"/>
      <c r="Y449" s="1350"/>
      <c r="Z449" s="1350"/>
      <c r="AA449" s="1350"/>
      <c r="AB449" s="1350"/>
      <c r="AC449" s="1350"/>
      <c r="AD449" s="1350"/>
      <c r="AE449" s="1350"/>
      <c r="AF449" s="1350"/>
      <c r="AG449" s="1350"/>
      <c r="AH449" s="1350"/>
      <c r="AI449" s="1350"/>
      <c r="AJ449" s="1350"/>
      <c r="AK449" s="1350"/>
      <c r="AL449" s="1350"/>
      <c r="AM449" s="1350"/>
      <c r="AN449" s="1350"/>
      <c r="AO449" s="1350"/>
      <c r="AP449" s="1350"/>
      <c r="AQ449" s="1350"/>
      <c r="AR449" s="1350"/>
      <c r="AS449" s="1350"/>
      <c r="AT449" s="1350"/>
      <c r="AU449" s="1350"/>
      <c r="AV449" s="1350"/>
      <c r="AW449" s="1350"/>
      <c r="AX449" s="1350"/>
      <c r="AY449" s="1350"/>
      <c r="AZ449" s="1350"/>
      <c r="BA449" s="1070"/>
      <c r="BB449" s="1070"/>
      <c r="BC449" s="1070"/>
      <c r="BD449" s="1070"/>
      <c r="BE449" s="1070"/>
      <c r="BF449" s="1070"/>
      <c r="BG449" s="1070"/>
      <c r="BH449" s="1070"/>
      <c r="BI449" s="1070"/>
      <c r="BJ449" s="1070"/>
      <c r="BK449" s="1070"/>
      <c r="BL449" s="1070"/>
      <c r="BM449" s="1070"/>
      <c r="BN449" s="1070"/>
      <c r="BO449" s="1070"/>
      <c r="BP449" s="1070"/>
      <c r="BQ449" s="1070"/>
      <c r="BR449" s="1070"/>
      <c r="BS449" s="1070"/>
      <c r="BT449" s="1070"/>
      <c r="BU449" s="1070"/>
      <c r="BV449" s="1070"/>
      <c r="BW449" s="1070"/>
      <c r="BX449" s="1070"/>
      <c r="BY449" s="1070"/>
      <c r="BZ449" s="1070"/>
      <c r="CA449" s="1070"/>
      <c r="CB449" s="1070"/>
      <c r="CC449" s="1070"/>
      <c r="CD449" s="1070"/>
      <c r="CE449" s="1070"/>
      <c r="CF449" s="1070"/>
      <c r="CG449" s="1070"/>
      <c r="CH449" s="1070"/>
      <c r="CI449" s="1070"/>
      <c r="CJ449" s="1070"/>
      <c r="CK449" s="1070"/>
      <c r="CL449" s="1070"/>
      <c r="CM449" s="1070"/>
      <c r="CN449" s="1070"/>
      <c r="CO449" s="1070"/>
      <c r="CP449" s="1070"/>
      <c r="CQ449" s="1070"/>
      <c r="CR449" s="1070"/>
      <c r="CS449" s="1070"/>
      <c r="CT449" s="1070"/>
      <c r="CU449" s="1070"/>
      <c r="CV449" s="1070"/>
      <c r="CW449" s="1070"/>
      <c r="CX449" s="1070"/>
      <c r="CY449" s="1070"/>
      <c r="CZ449" s="1070"/>
      <c r="DA449" s="1070"/>
      <c r="DB449" s="1070"/>
      <c r="DC449" s="1070"/>
      <c r="DD449" s="1070"/>
      <c r="DE449" s="1070"/>
      <c r="DF449" s="1070"/>
      <c r="DG449" s="1070"/>
      <c r="DH449" s="1070"/>
      <c r="DI449" s="1070"/>
    </row>
    <row r="450" spans="1:113" ht="15.75" x14ac:dyDescent="0.25">
      <c r="A450" s="1420" t="s">
        <v>1894</v>
      </c>
      <c r="B450" s="1443" t="e">
        <f>B442*B444*B445*B447*B449*B341</f>
        <v>#VALUE!</v>
      </c>
      <c r="C450" s="1437"/>
      <c r="D450" s="1350"/>
      <c r="E450" s="1350"/>
      <c r="F450" s="1350"/>
      <c r="G450" s="1350"/>
      <c r="H450" s="1350"/>
      <c r="I450" s="1350"/>
      <c r="J450" s="1350"/>
      <c r="K450" s="1350"/>
      <c r="L450" s="1350"/>
      <c r="M450" s="1350"/>
      <c r="N450" s="1350"/>
      <c r="O450" s="1350"/>
      <c r="P450" s="1350"/>
      <c r="Q450" s="1350"/>
      <c r="R450" s="1350"/>
      <c r="S450" s="1350"/>
      <c r="T450" s="1350"/>
      <c r="U450" s="1350"/>
      <c r="V450" s="1350"/>
      <c r="W450" s="1350"/>
      <c r="X450" s="1350"/>
      <c r="Y450" s="1350"/>
      <c r="Z450" s="1350"/>
      <c r="AA450" s="1350"/>
      <c r="AB450" s="1350"/>
      <c r="AC450" s="1350"/>
      <c r="AD450" s="1350"/>
      <c r="AE450" s="1350"/>
      <c r="AF450" s="1350"/>
      <c r="AG450" s="1350"/>
      <c r="AH450" s="1350"/>
      <c r="AI450" s="1350"/>
      <c r="AJ450" s="1350"/>
      <c r="AK450" s="1350"/>
      <c r="AL450" s="1350"/>
      <c r="AM450" s="1350"/>
      <c r="AN450" s="1350"/>
      <c r="AO450" s="1350"/>
      <c r="AP450" s="1350"/>
      <c r="AQ450" s="1350"/>
      <c r="AR450" s="1350"/>
      <c r="AS450" s="1350"/>
      <c r="AT450" s="1350"/>
      <c r="AU450" s="1350"/>
      <c r="AV450" s="1350"/>
      <c r="AW450" s="1350"/>
      <c r="AX450" s="1350"/>
      <c r="AY450" s="1350"/>
      <c r="AZ450" s="1350"/>
      <c r="BA450" s="1070"/>
      <c r="BB450" s="1070"/>
      <c r="BC450" s="1070"/>
      <c r="BD450" s="1070"/>
      <c r="BE450" s="1070"/>
      <c r="BF450" s="1070"/>
      <c r="BG450" s="1070"/>
      <c r="BH450" s="1070"/>
      <c r="BI450" s="1070"/>
      <c r="BJ450" s="1070"/>
      <c r="BK450" s="1070"/>
      <c r="BL450" s="1070"/>
      <c r="BM450" s="1070"/>
      <c r="BN450" s="1070"/>
      <c r="BO450" s="1070"/>
      <c r="BP450" s="1070"/>
      <c r="BQ450" s="1070"/>
      <c r="BR450" s="1070"/>
      <c r="BS450" s="1070"/>
      <c r="BT450" s="1070"/>
      <c r="BU450" s="1070"/>
      <c r="BV450" s="1070"/>
      <c r="BW450" s="1070"/>
      <c r="BX450" s="1070"/>
      <c r="BY450" s="1070"/>
      <c r="BZ450" s="1070"/>
      <c r="CA450" s="1070"/>
      <c r="CB450" s="1070"/>
      <c r="CC450" s="1070"/>
      <c r="CD450" s="1070"/>
      <c r="CE450" s="1070"/>
      <c r="CF450" s="1070"/>
      <c r="CG450" s="1070"/>
      <c r="CH450" s="1070"/>
      <c r="CI450" s="1070"/>
      <c r="CJ450" s="1070"/>
      <c r="CK450" s="1070"/>
      <c r="CL450" s="1070"/>
      <c r="CM450" s="1070"/>
      <c r="CN450" s="1070"/>
      <c r="CO450" s="1070"/>
      <c r="CP450" s="1070"/>
      <c r="CQ450" s="1070"/>
      <c r="CR450" s="1070"/>
      <c r="CS450" s="1070"/>
      <c r="CT450" s="1070"/>
      <c r="CU450" s="1070"/>
      <c r="CV450" s="1070"/>
      <c r="CW450" s="1070"/>
      <c r="CX450" s="1070"/>
      <c r="CY450" s="1070"/>
      <c r="CZ450" s="1070"/>
      <c r="DA450" s="1070"/>
      <c r="DB450" s="1070"/>
      <c r="DC450" s="1070"/>
      <c r="DD450" s="1070"/>
      <c r="DE450" s="1070"/>
      <c r="DF450" s="1070"/>
      <c r="DG450" s="1070"/>
      <c r="DH450" s="1070"/>
      <c r="DI450" s="1070"/>
    </row>
    <row r="451" spans="1:113" ht="15.75" x14ac:dyDescent="0.25">
      <c r="A451" s="1420" t="s">
        <v>429</v>
      </c>
      <c r="B451" s="1439" t="e">
        <f>B441/B450</f>
        <v>#REF!</v>
      </c>
      <c r="C451" s="1432"/>
      <c r="D451" s="1437"/>
      <c r="E451" s="1437"/>
      <c r="F451" s="1437"/>
      <c r="G451" s="1437"/>
      <c r="H451" s="1350"/>
      <c r="I451" s="1350"/>
      <c r="J451" s="1350"/>
      <c r="K451" s="1350"/>
      <c r="L451" s="1350"/>
      <c r="M451" s="1350"/>
      <c r="N451" s="1350"/>
      <c r="O451" s="1350"/>
      <c r="P451" s="1350"/>
      <c r="Q451" s="1350"/>
      <c r="R451" s="1350"/>
      <c r="S451" s="1350"/>
      <c r="T451" s="1350"/>
      <c r="U451" s="1350"/>
      <c r="V451" s="1350"/>
      <c r="W451" s="1350"/>
      <c r="X451" s="1350"/>
      <c r="Y451" s="1350"/>
      <c r="Z451" s="1350"/>
      <c r="AA451" s="1350"/>
      <c r="AB451" s="1350"/>
      <c r="AC451" s="1350"/>
      <c r="AD451" s="1350"/>
      <c r="AE451" s="1350"/>
      <c r="AF451" s="1350"/>
      <c r="AG451" s="1350"/>
      <c r="AH451" s="1350"/>
      <c r="AI451" s="1350"/>
      <c r="AJ451" s="1350"/>
      <c r="AK451" s="1350"/>
      <c r="AL451" s="1350"/>
      <c r="AM451" s="1350"/>
      <c r="AN451" s="1350"/>
      <c r="AO451" s="1350"/>
      <c r="AP451" s="1350"/>
      <c r="AQ451" s="1350"/>
      <c r="AR451" s="1350"/>
      <c r="AS451" s="1350"/>
      <c r="AT451" s="1350"/>
      <c r="AU451" s="1350"/>
      <c r="AV451" s="1350"/>
      <c r="AW451" s="1350"/>
      <c r="AX451" s="1350"/>
      <c r="AY451" s="1350"/>
      <c r="AZ451" s="1350"/>
      <c r="BA451" s="1070"/>
      <c r="BB451" s="1070"/>
      <c r="BC451" s="1070"/>
      <c r="BD451" s="1070"/>
      <c r="BE451" s="1070"/>
      <c r="BF451" s="1070"/>
      <c r="BG451" s="1070"/>
      <c r="BH451" s="1070"/>
      <c r="BI451" s="1070"/>
      <c r="BJ451" s="1070"/>
      <c r="BK451" s="1070"/>
      <c r="BL451" s="1070"/>
      <c r="BM451" s="1070"/>
      <c r="BN451" s="1070"/>
      <c r="BO451" s="1070"/>
      <c r="BP451" s="1070"/>
      <c r="BQ451" s="1070"/>
      <c r="BR451" s="1070"/>
      <c r="BS451" s="1070"/>
      <c r="BT451" s="1070"/>
      <c r="BU451" s="1070"/>
      <c r="BV451" s="1070"/>
      <c r="BW451" s="1070"/>
      <c r="BX451" s="1070"/>
      <c r="BY451" s="1070"/>
      <c r="BZ451" s="1070"/>
      <c r="CA451" s="1070"/>
      <c r="CB451" s="1070"/>
      <c r="CC451" s="1070"/>
      <c r="CD451" s="1070"/>
      <c r="CE451" s="1070"/>
      <c r="CF451" s="1070"/>
      <c r="CG451" s="1070"/>
      <c r="CH451" s="1070"/>
      <c r="CI451" s="1070"/>
      <c r="CJ451" s="1070"/>
      <c r="CK451" s="1070"/>
      <c r="CL451" s="1070"/>
      <c r="CM451" s="1070"/>
      <c r="CN451" s="1070"/>
      <c r="CO451" s="1070"/>
      <c r="CP451" s="1070"/>
      <c r="CQ451" s="1070"/>
      <c r="CR451" s="1070"/>
      <c r="CS451" s="1070"/>
      <c r="CT451" s="1070"/>
      <c r="CU451" s="1070"/>
      <c r="CV451" s="1070"/>
      <c r="CW451" s="1070"/>
      <c r="CX451" s="1070"/>
      <c r="CY451" s="1070"/>
      <c r="CZ451" s="1070"/>
      <c r="DA451" s="1070"/>
      <c r="DB451" s="1070"/>
      <c r="DC451" s="1070"/>
      <c r="DD451" s="1070"/>
      <c r="DE451" s="1070"/>
      <c r="DF451" s="1070"/>
      <c r="DG451" s="1070"/>
      <c r="DH451" s="1070"/>
      <c r="DI451" s="1070"/>
    </row>
    <row r="452" spans="1:113" ht="15.75" x14ac:dyDescent="0.25">
      <c r="A452" s="1420"/>
      <c r="B452" s="1439"/>
      <c r="C452" s="1432"/>
      <c r="D452" s="1437"/>
      <c r="E452" s="1437"/>
      <c r="F452" s="1437"/>
      <c r="G452" s="1437"/>
      <c r="H452" s="1350"/>
      <c r="I452" s="1350"/>
      <c r="J452" s="1350"/>
      <c r="K452" s="1350"/>
      <c r="L452" s="1350"/>
      <c r="M452" s="1350"/>
      <c r="N452" s="1350"/>
      <c r="O452" s="1350"/>
      <c r="P452" s="1350"/>
      <c r="Q452" s="1350"/>
      <c r="R452" s="1350"/>
      <c r="S452" s="1350"/>
      <c r="T452" s="1350"/>
      <c r="U452" s="1350"/>
      <c r="V452" s="1350"/>
      <c r="W452" s="1350"/>
      <c r="X452" s="1350"/>
      <c r="Y452" s="1350"/>
      <c r="Z452" s="1350"/>
      <c r="AA452" s="1350"/>
      <c r="AB452" s="1350"/>
      <c r="AC452" s="1350"/>
      <c r="AD452" s="1350"/>
      <c r="AE452" s="1350"/>
      <c r="AF452" s="1350"/>
      <c r="AG452" s="1350"/>
      <c r="AH452" s="1350"/>
      <c r="AI452" s="1350"/>
      <c r="AJ452" s="1350"/>
      <c r="AK452" s="1350"/>
      <c r="AL452" s="1350"/>
      <c r="AM452" s="1350"/>
      <c r="AN452" s="1350"/>
      <c r="AO452" s="1350"/>
      <c r="AP452" s="1350"/>
      <c r="AQ452" s="1350"/>
      <c r="AR452" s="1350"/>
      <c r="AS452" s="1350"/>
      <c r="AT452" s="1350"/>
      <c r="AU452" s="1350"/>
      <c r="AV452" s="1350"/>
      <c r="AW452" s="1350"/>
      <c r="AX452" s="1350"/>
      <c r="AY452" s="1350"/>
      <c r="AZ452" s="1350"/>
      <c r="BA452" s="1070"/>
      <c r="BB452" s="1070"/>
      <c r="BC452" s="1070"/>
      <c r="BD452" s="1070"/>
      <c r="BE452" s="1070"/>
      <c r="BF452" s="1070"/>
      <c r="BG452" s="1070"/>
      <c r="BH452" s="1070"/>
      <c r="BI452" s="1070"/>
      <c r="BJ452" s="1070"/>
      <c r="BK452" s="1070"/>
      <c r="BL452" s="1070"/>
      <c r="BM452" s="1070"/>
      <c r="BN452" s="1070"/>
      <c r="BO452" s="1070"/>
      <c r="BP452" s="1070"/>
      <c r="BQ452" s="1070"/>
      <c r="BR452" s="1070"/>
      <c r="BS452" s="1070"/>
      <c r="BT452" s="1070"/>
      <c r="BU452" s="1070"/>
      <c r="BV452" s="1070"/>
      <c r="BW452" s="1070"/>
      <c r="BX452" s="1070"/>
      <c r="BY452" s="1070"/>
      <c r="BZ452" s="1070"/>
      <c r="CA452" s="1070"/>
      <c r="CB452" s="1070"/>
      <c r="CC452" s="1070"/>
      <c r="CD452" s="1070"/>
      <c r="CE452" s="1070"/>
      <c r="CF452" s="1070"/>
      <c r="CG452" s="1070"/>
      <c r="CH452" s="1070"/>
      <c r="CI452" s="1070"/>
      <c r="CJ452" s="1070"/>
      <c r="CK452" s="1070"/>
      <c r="CL452" s="1070"/>
      <c r="CM452" s="1070"/>
      <c r="CN452" s="1070"/>
      <c r="CO452" s="1070"/>
      <c r="CP452" s="1070"/>
      <c r="CQ452" s="1070"/>
      <c r="CR452" s="1070"/>
      <c r="CS452" s="1070"/>
      <c r="CT452" s="1070"/>
      <c r="CU452" s="1070"/>
      <c r="CV452" s="1070"/>
      <c r="CW452" s="1070"/>
      <c r="CX452" s="1070"/>
      <c r="CY452" s="1070"/>
      <c r="CZ452" s="1070"/>
      <c r="DA452" s="1070"/>
      <c r="DB452" s="1070"/>
      <c r="DC452" s="1070"/>
      <c r="DD452" s="1070"/>
      <c r="DE452" s="1070"/>
      <c r="DF452" s="1070"/>
      <c r="DG452" s="1070"/>
      <c r="DH452" s="1070"/>
      <c r="DI452" s="1070"/>
    </row>
    <row r="453" spans="1:113" ht="47.25" x14ac:dyDescent="0.25">
      <c r="A453" s="1438" t="s">
        <v>531</v>
      </c>
      <c r="B453" s="1450"/>
      <c r="C453" s="1440"/>
      <c r="D453" s="1434"/>
      <c r="E453" s="1434"/>
      <c r="F453" s="1434"/>
      <c r="G453" s="1434"/>
      <c r="H453" s="1350"/>
      <c r="I453" s="1350"/>
      <c r="J453" s="1350"/>
      <c r="K453" s="1350"/>
      <c r="L453" s="1350"/>
      <c r="M453" s="1350"/>
      <c r="N453" s="1350"/>
      <c r="O453" s="1350"/>
      <c r="P453" s="1350"/>
      <c r="Q453" s="1350"/>
      <c r="R453" s="1350"/>
      <c r="S453" s="1350"/>
      <c r="T453" s="1350"/>
      <c r="U453" s="1350"/>
      <c r="V453" s="1350"/>
      <c r="W453" s="1350"/>
      <c r="X453" s="1350"/>
      <c r="Y453" s="1350"/>
      <c r="Z453" s="1350"/>
      <c r="AA453" s="1350"/>
      <c r="AB453" s="1350"/>
      <c r="AC453" s="1350"/>
      <c r="AD453" s="1350"/>
      <c r="AE453" s="1350"/>
      <c r="AF453" s="1350"/>
      <c r="AG453" s="1350"/>
      <c r="AH453" s="1350"/>
      <c r="AI453" s="1350"/>
      <c r="AJ453" s="1350"/>
      <c r="AK453" s="1350"/>
      <c r="AL453" s="1350"/>
      <c r="AM453" s="1350"/>
      <c r="AN453" s="1350"/>
      <c r="AO453" s="1350"/>
      <c r="AP453" s="1350"/>
      <c r="AQ453" s="1350"/>
      <c r="AR453" s="1350"/>
      <c r="AS453" s="1350"/>
      <c r="AT453" s="1350"/>
      <c r="AU453" s="1350"/>
      <c r="AV453" s="1350"/>
      <c r="AW453" s="1350"/>
      <c r="AX453" s="1350"/>
      <c r="AY453" s="1350"/>
      <c r="AZ453" s="1350"/>
      <c r="BA453" s="1070"/>
      <c r="BB453" s="1070"/>
      <c r="BC453" s="1070"/>
      <c r="BD453" s="1070"/>
      <c r="BE453" s="1070"/>
      <c r="BF453" s="1070"/>
      <c r="BG453" s="1070"/>
      <c r="BH453" s="1070"/>
      <c r="BI453" s="1070"/>
      <c r="BJ453" s="1070"/>
      <c r="BK453" s="1070"/>
      <c r="BL453" s="1070"/>
      <c r="BM453" s="1070"/>
      <c r="BN453" s="1070"/>
      <c r="BO453" s="1070"/>
      <c r="BP453" s="1070"/>
      <c r="BQ453" s="1070"/>
      <c r="BR453" s="1070"/>
      <c r="BS453" s="1070"/>
      <c r="BT453" s="1070"/>
      <c r="BU453" s="1070"/>
      <c r="BV453" s="1070"/>
      <c r="BW453" s="1070"/>
      <c r="BX453" s="1070"/>
      <c r="BY453" s="1070"/>
      <c r="BZ453" s="1070"/>
      <c r="CA453" s="1070"/>
      <c r="CB453" s="1070"/>
      <c r="CC453" s="1070"/>
      <c r="CD453" s="1070"/>
      <c r="CE453" s="1070"/>
      <c r="CF453" s="1070"/>
      <c r="CG453" s="1070"/>
      <c r="CH453" s="1070"/>
      <c r="CI453" s="1070"/>
      <c r="CJ453" s="1070"/>
      <c r="CK453" s="1070"/>
      <c r="CL453" s="1070"/>
      <c r="CM453" s="1070"/>
      <c r="CN453" s="1070"/>
      <c r="CO453" s="1070"/>
      <c r="CP453" s="1070"/>
      <c r="CQ453" s="1070"/>
      <c r="CR453" s="1070"/>
      <c r="CS453" s="1070"/>
      <c r="CT453" s="1070"/>
      <c r="CU453" s="1070"/>
      <c r="CV453" s="1070"/>
      <c r="CW453" s="1070"/>
      <c r="CX453" s="1070"/>
      <c r="CY453" s="1070"/>
      <c r="CZ453" s="1070"/>
      <c r="DA453" s="1070"/>
      <c r="DB453" s="1070"/>
      <c r="DC453" s="1070"/>
      <c r="DD453" s="1070"/>
      <c r="DE453" s="1070"/>
      <c r="DF453" s="1070"/>
      <c r="DG453" s="1070"/>
      <c r="DH453" s="1070"/>
      <c r="DI453" s="1070"/>
    </row>
    <row r="454" spans="1:113" ht="15.75" x14ac:dyDescent="0.25">
      <c r="A454" s="1420" t="s">
        <v>424</v>
      </c>
      <c r="B454" s="1439" t="e">
        <f>(B291^2*((B344-B349)/B308+1)/(B344-B349))*B347</f>
        <v>#REF!</v>
      </c>
      <c r="C454" s="1432"/>
      <c r="D454" s="1437"/>
      <c r="E454" s="1437"/>
      <c r="F454" s="1437"/>
      <c r="G454" s="1437"/>
      <c r="H454" s="1350"/>
      <c r="I454" s="1350"/>
      <c r="J454" s="1350"/>
      <c r="K454" s="1350"/>
      <c r="L454" s="1350"/>
      <c r="M454" s="1350"/>
      <c r="N454" s="1350"/>
      <c r="O454" s="1350"/>
      <c r="P454" s="1350"/>
      <c r="Q454" s="1350"/>
      <c r="R454" s="1350"/>
      <c r="S454" s="1350"/>
      <c r="T454" s="1350"/>
      <c r="U454" s="1350"/>
      <c r="V454" s="1350"/>
      <c r="W454" s="1350"/>
      <c r="X454" s="1350"/>
      <c r="Y454" s="1350"/>
      <c r="Z454" s="1350"/>
      <c r="AA454" s="1350"/>
      <c r="AB454" s="1350"/>
      <c r="AC454" s="1350"/>
      <c r="AD454" s="1350"/>
      <c r="AE454" s="1350"/>
      <c r="AF454" s="1350"/>
      <c r="AG454" s="1350"/>
      <c r="AH454" s="1350"/>
      <c r="AI454" s="1350"/>
      <c r="AJ454" s="1350"/>
      <c r="AK454" s="1350"/>
      <c r="AL454" s="1350"/>
      <c r="AM454" s="1350"/>
      <c r="AN454" s="1350"/>
      <c r="AO454" s="1350"/>
      <c r="AP454" s="1350"/>
      <c r="AQ454" s="1350"/>
      <c r="AR454" s="1350"/>
      <c r="AS454" s="1350"/>
      <c r="AT454" s="1350"/>
      <c r="AU454" s="1350"/>
      <c r="AV454" s="1350"/>
      <c r="AW454" s="1350"/>
      <c r="AX454" s="1350"/>
      <c r="AY454" s="1350"/>
      <c r="AZ454" s="1350"/>
      <c r="BA454" s="1070"/>
      <c r="BB454" s="1070"/>
      <c r="BC454" s="1070"/>
      <c r="BD454" s="1070"/>
      <c r="BE454" s="1070"/>
      <c r="BF454" s="1070"/>
      <c r="BG454" s="1070"/>
      <c r="BH454" s="1070"/>
      <c r="BI454" s="1070"/>
      <c r="BJ454" s="1070"/>
      <c r="BK454" s="1070"/>
      <c r="BL454" s="1070"/>
      <c r="BM454" s="1070"/>
      <c r="BN454" s="1070"/>
      <c r="BO454" s="1070"/>
      <c r="BP454" s="1070"/>
      <c r="BQ454" s="1070"/>
      <c r="BR454" s="1070"/>
      <c r="BS454" s="1070"/>
      <c r="BT454" s="1070"/>
      <c r="BU454" s="1070"/>
      <c r="BV454" s="1070"/>
      <c r="BW454" s="1070"/>
      <c r="BX454" s="1070"/>
      <c r="BY454" s="1070"/>
      <c r="BZ454" s="1070"/>
      <c r="CA454" s="1070"/>
      <c r="CB454" s="1070"/>
      <c r="CC454" s="1070"/>
      <c r="CD454" s="1070"/>
      <c r="CE454" s="1070"/>
      <c r="CF454" s="1070"/>
      <c r="CG454" s="1070"/>
      <c r="CH454" s="1070"/>
      <c r="CI454" s="1070"/>
      <c r="CJ454" s="1070"/>
      <c r="CK454" s="1070"/>
      <c r="CL454" s="1070"/>
      <c r="CM454" s="1070"/>
      <c r="CN454" s="1070"/>
      <c r="CO454" s="1070"/>
      <c r="CP454" s="1070"/>
      <c r="CQ454" s="1070"/>
      <c r="CR454" s="1070"/>
      <c r="CS454" s="1070"/>
      <c r="CT454" s="1070"/>
      <c r="CU454" s="1070"/>
      <c r="CV454" s="1070"/>
      <c r="CW454" s="1070"/>
      <c r="CX454" s="1070"/>
      <c r="CY454" s="1070"/>
      <c r="CZ454" s="1070"/>
      <c r="DA454" s="1070"/>
      <c r="DB454" s="1070"/>
      <c r="DC454" s="1070"/>
      <c r="DD454" s="1070"/>
      <c r="DE454" s="1070"/>
      <c r="DF454" s="1070"/>
      <c r="DG454" s="1070"/>
      <c r="DH454" s="1070"/>
      <c r="DI454" s="1070"/>
    </row>
    <row r="455" spans="1:113" ht="15.75" x14ac:dyDescent="0.25">
      <c r="A455" s="1420" t="s">
        <v>1718</v>
      </c>
      <c r="B455" s="1424">
        <f>INDEX($G$1619:$J$1631,B457,B458)</f>
        <v>29.7</v>
      </c>
      <c r="C455" s="1429"/>
      <c r="D455" s="1434"/>
      <c r="E455" s="1434"/>
      <c r="F455" s="1434"/>
      <c r="G455" s="1434"/>
      <c r="H455" s="1350"/>
      <c r="I455" s="1350"/>
      <c r="J455" s="1350"/>
      <c r="K455" s="1350"/>
      <c r="L455" s="1350"/>
      <c r="M455" s="1350"/>
      <c r="N455" s="1350"/>
      <c r="O455" s="1350"/>
      <c r="P455" s="1350"/>
      <c r="Q455" s="1350"/>
      <c r="R455" s="1350"/>
      <c r="S455" s="1350"/>
      <c r="T455" s="1350"/>
      <c r="U455" s="1350"/>
      <c r="V455" s="1350"/>
      <c r="W455" s="1350"/>
      <c r="X455" s="1350"/>
      <c r="Y455" s="1350"/>
      <c r="Z455" s="1350"/>
      <c r="AA455" s="1350"/>
      <c r="AB455" s="1350"/>
      <c r="AC455" s="1350"/>
      <c r="AD455" s="1350"/>
      <c r="AE455" s="1350"/>
      <c r="AF455" s="1350"/>
      <c r="AG455" s="1350"/>
      <c r="AH455" s="1350"/>
      <c r="AI455" s="1350"/>
      <c r="AJ455" s="1350"/>
      <c r="AK455" s="1350"/>
      <c r="AL455" s="1350"/>
      <c r="AM455" s="1350"/>
      <c r="AN455" s="1350"/>
      <c r="AO455" s="1350"/>
      <c r="AP455" s="1350"/>
      <c r="AQ455" s="1350"/>
      <c r="AR455" s="1350"/>
      <c r="AS455" s="1350"/>
      <c r="AT455" s="1350"/>
      <c r="AU455" s="1350"/>
      <c r="AV455" s="1350"/>
      <c r="AW455" s="1350"/>
      <c r="AX455" s="1350"/>
      <c r="AY455" s="1350"/>
      <c r="AZ455" s="1350"/>
      <c r="BA455" s="1070"/>
      <c r="BB455" s="1070"/>
      <c r="BC455" s="1070"/>
      <c r="BD455" s="1070"/>
      <c r="BE455" s="1070"/>
      <c r="BF455" s="1070"/>
      <c r="BG455" s="1070"/>
      <c r="BH455" s="1070"/>
      <c r="BI455" s="1070"/>
      <c r="BJ455" s="1070"/>
      <c r="BK455" s="1070"/>
      <c r="BL455" s="1070"/>
      <c r="BM455" s="1070"/>
      <c r="BN455" s="1070"/>
      <c r="BO455" s="1070"/>
      <c r="BP455" s="1070"/>
      <c r="BQ455" s="1070"/>
      <c r="BR455" s="1070"/>
      <c r="BS455" s="1070"/>
      <c r="BT455" s="1070"/>
      <c r="BU455" s="1070"/>
      <c r="BV455" s="1070"/>
      <c r="BW455" s="1070"/>
      <c r="BX455" s="1070"/>
      <c r="BY455" s="1070"/>
      <c r="BZ455" s="1070"/>
      <c r="CA455" s="1070"/>
      <c r="CB455" s="1070"/>
      <c r="CC455" s="1070"/>
      <c r="CD455" s="1070"/>
      <c r="CE455" s="1070"/>
      <c r="CF455" s="1070"/>
      <c r="CG455" s="1070"/>
      <c r="CH455" s="1070"/>
      <c r="CI455" s="1070"/>
      <c r="CJ455" s="1070"/>
      <c r="CK455" s="1070"/>
      <c r="CL455" s="1070"/>
      <c r="CM455" s="1070"/>
      <c r="CN455" s="1070"/>
      <c r="CO455" s="1070"/>
      <c r="CP455" s="1070"/>
      <c r="CQ455" s="1070"/>
      <c r="CR455" s="1070"/>
      <c r="CS455" s="1070"/>
      <c r="CT455" s="1070"/>
      <c r="CU455" s="1070"/>
      <c r="CV455" s="1070"/>
      <c r="CW455" s="1070"/>
      <c r="CX455" s="1070"/>
      <c r="CY455" s="1070"/>
      <c r="CZ455" s="1070"/>
      <c r="DA455" s="1070"/>
      <c r="DB455" s="1070"/>
      <c r="DC455" s="1070"/>
      <c r="DD455" s="1070"/>
      <c r="DE455" s="1070"/>
      <c r="DF455" s="1070"/>
      <c r="DG455" s="1070"/>
      <c r="DH455" s="1070"/>
      <c r="DI455" s="1070"/>
    </row>
    <row r="456" spans="1:113" ht="15.75" x14ac:dyDescent="0.25">
      <c r="A456" s="1435" t="s">
        <v>1719</v>
      </c>
      <c r="B456" s="1439"/>
      <c r="C456" s="1432"/>
      <c r="D456" s="1437"/>
      <c r="E456" s="1437"/>
      <c r="F456" s="1437"/>
      <c r="G456" s="1437"/>
      <c r="H456" s="1350"/>
      <c r="I456" s="1350"/>
      <c r="J456" s="1350"/>
      <c r="K456" s="1350"/>
      <c r="L456" s="1350"/>
      <c r="M456" s="1350"/>
      <c r="N456" s="1350"/>
      <c r="O456" s="1350"/>
      <c r="P456" s="1350"/>
      <c r="Q456" s="1350"/>
      <c r="R456" s="1350"/>
      <c r="S456" s="1350"/>
      <c r="T456" s="1350"/>
      <c r="U456" s="1350"/>
      <c r="V456" s="1350"/>
      <c r="W456" s="1350"/>
      <c r="X456" s="1350"/>
      <c r="Y456" s="1350"/>
      <c r="Z456" s="1350"/>
      <c r="AA456" s="1350"/>
      <c r="AB456" s="1350"/>
      <c r="AC456" s="1350"/>
      <c r="AD456" s="1350"/>
      <c r="AE456" s="1350"/>
      <c r="AF456" s="1350"/>
      <c r="AG456" s="1350"/>
      <c r="AH456" s="1350"/>
      <c r="AI456" s="1350"/>
      <c r="AJ456" s="1350"/>
      <c r="AK456" s="1350"/>
      <c r="AL456" s="1350"/>
      <c r="AM456" s="1350"/>
      <c r="AN456" s="1350"/>
      <c r="AO456" s="1350"/>
      <c r="AP456" s="1350"/>
      <c r="AQ456" s="1350"/>
      <c r="AR456" s="1350"/>
      <c r="AS456" s="1350"/>
      <c r="AT456" s="1350"/>
      <c r="AU456" s="1350"/>
      <c r="AV456" s="1350"/>
      <c r="AW456" s="1350"/>
      <c r="AX456" s="1350"/>
      <c r="AY456" s="1350"/>
      <c r="AZ456" s="1350"/>
      <c r="BA456" s="1070"/>
      <c r="BB456" s="1070"/>
      <c r="BC456" s="1070"/>
      <c r="BD456" s="1070"/>
      <c r="BE456" s="1070"/>
      <c r="BF456" s="1070"/>
      <c r="BG456" s="1070"/>
      <c r="BH456" s="1070"/>
      <c r="BI456" s="1070"/>
      <c r="BJ456" s="1070"/>
      <c r="BK456" s="1070"/>
      <c r="BL456" s="1070"/>
      <c r="BM456" s="1070"/>
      <c r="BN456" s="1070"/>
      <c r="BO456" s="1070"/>
      <c r="BP456" s="1070"/>
      <c r="BQ456" s="1070"/>
      <c r="BR456" s="1070"/>
      <c r="BS456" s="1070"/>
      <c r="BT456" s="1070"/>
      <c r="BU456" s="1070"/>
      <c r="BV456" s="1070"/>
      <c r="BW456" s="1070"/>
      <c r="BX456" s="1070"/>
      <c r="BY456" s="1070"/>
      <c r="BZ456" s="1070"/>
      <c r="CA456" s="1070"/>
      <c r="CB456" s="1070"/>
      <c r="CC456" s="1070"/>
      <c r="CD456" s="1070"/>
      <c r="CE456" s="1070"/>
      <c r="CF456" s="1070"/>
      <c r="CG456" s="1070"/>
      <c r="CH456" s="1070"/>
      <c r="CI456" s="1070"/>
      <c r="CJ456" s="1070"/>
      <c r="CK456" s="1070"/>
      <c r="CL456" s="1070"/>
      <c r="CM456" s="1070"/>
      <c r="CN456" s="1070"/>
      <c r="CO456" s="1070"/>
      <c r="CP456" s="1070"/>
      <c r="CQ456" s="1070"/>
      <c r="CR456" s="1070"/>
      <c r="CS456" s="1070"/>
      <c r="CT456" s="1070"/>
      <c r="CU456" s="1070"/>
      <c r="CV456" s="1070"/>
      <c r="CW456" s="1070"/>
      <c r="CX456" s="1070"/>
      <c r="CY456" s="1070"/>
      <c r="CZ456" s="1070"/>
      <c r="DA456" s="1070"/>
      <c r="DB456" s="1070"/>
      <c r="DC456" s="1070"/>
      <c r="DD456" s="1070"/>
      <c r="DE456" s="1070"/>
      <c r="DF456" s="1070"/>
      <c r="DG456" s="1070"/>
      <c r="DH456" s="1070"/>
      <c r="DI456" s="1070"/>
    </row>
    <row r="457" spans="1:113" ht="15.75" x14ac:dyDescent="0.25">
      <c r="A457" s="1420" t="s">
        <v>1720</v>
      </c>
      <c r="B457" s="1441">
        <f>B397</f>
        <v>13</v>
      </c>
      <c r="C457" s="1434"/>
      <c r="D457" s="1437"/>
      <c r="E457" s="1437"/>
      <c r="F457" s="1437"/>
      <c r="G457" s="1437"/>
      <c r="H457" s="1350"/>
      <c r="I457" s="1350"/>
      <c r="J457" s="1350"/>
      <c r="K457" s="1350"/>
      <c r="L457" s="1350"/>
      <c r="M457" s="1350"/>
      <c r="N457" s="1350"/>
      <c r="O457" s="1350"/>
      <c r="P457" s="1350"/>
      <c r="Q457" s="1350"/>
      <c r="R457" s="1350"/>
      <c r="S457" s="1350"/>
      <c r="T457" s="1350"/>
      <c r="U457" s="1350"/>
      <c r="V457" s="1350"/>
      <c r="W457" s="1350"/>
      <c r="X457" s="1350"/>
      <c r="Y457" s="1350"/>
      <c r="Z457" s="1350"/>
      <c r="AA457" s="1350"/>
      <c r="AB457" s="1350"/>
      <c r="AC457" s="1350"/>
      <c r="AD457" s="1350"/>
      <c r="AE457" s="1350"/>
      <c r="AF457" s="1350"/>
      <c r="AG457" s="1350"/>
      <c r="AH457" s="1350"/>
      <c r="AI457" s="1350"/>
      <c r="AJ457" s="1350"/>
      <c r="AK457" s="1350"/>
      <c r="AL457" s="1350"/>
      <c r="AM457" s="1350"/>
      <c r="AN457" s="1350"/>
      <c r="AO457" s="1350"/>
      <c r="AP457" s="1350"/>
      <c r="AQ457" s="1350"/>
      <c r="AR457" s="1350"/>
      <c r="AS457" s="1350"/>
      <c r="AT457" s="1350"/>
      <c r="AU457" s="1350"/>
      <c r="AV457" s="1350"/>
      <c r="AW457" s="1350"/>
      <c r="AX457" s="1350"/>
      <c r="AY457" s="1350"/>
      <c r="AZ457" s="1350"/>
      <c r="BA457" s="1070"/>
      <c r="BB457" s="1070"/>
      <c r="BC457" s="1070"/>
      <c r="BD457" s="1070"/>
      <c r="BE457" s="1070"/>
      <c r="BF457" s="1070"/>
      <c r="BG457" s="1070"/>
      <c r="BH457" s="1070"/>
      <c r="BI457" s="1070"/>
      <c r="BJ457" s="1070"/>
      <c r="BK457" s="1070"/>
      <c r="BL457" s="1070"/>
      <c r="BM457" s="1070"/>
      <c r="BN457" s="1070"/>
      <c r="BO457" s="1070"/>
      <c r="BP457" s="1070"/>
      <c r="BQ457" s="1070"/>
      <c r="BR457" s="1070"/>
      <c r="BS457" s="1070"/>
      <c r="BT457" s="1070"/>
      <c r="BU457" s="1070"/>
      <c r="BV457" s="1070"/>
      <c r="BW457" s="1070"/>
      <c r="BX457" s="1070"/>
      <c r="BY457" s="1070"/>
      <c r="BZ457" s="1070"/>
      <c r="CA457" s="1070"/>
      <c r="CB457" s="1070"/>
      <c r="CC457" s="1070"/>
      <c r="CD457" s="1070"/>
      <c r="CE457" s="1070"/>
      <c r="CF457" s="1070"/>
      <c r="CG457" s="1070"/>
      <c r="CH457" s="1070"/>
      <c r="CI457" s="1070"/>
      <c r="CJ457" s="1070"/>
      <c r="CK457" s="1070"/>
      <c r="CL457" s="1070"/>
      <c r="CM457" s="1070"/>
      <c r="CN457" s="1070"/>
      <c r="CO457" s="1070"/>
      <c r="CP457" s="1070"/>
      <c r="CQ457" s="1070"/>
      <c r="CR457" s="1070"/>
      <c r="CS457" s="1070"/>
      <c r="CT457" s="1070"/>
      <c r="CU457" s="1070"/>
      <c r="CV457" s="1070"/>
      <c r="CW457" s="1070"/>
      <c r="CX457" s="1070"/>
      <c r="CY457" s="1070"/>
      <c r="CZ457" s="1070"/>
      <c r="DA457" s="1070"/>
      <c r="DB457" s="1070"/>
      <c r="DC457" s="1070"/>
      <c r="DD457" s="1070"/>
      <c r="DE457" s="1070"/>
      <c r="DF457" s="1070"/>
      <c r="DG457" s="1070"/>
      <c r="DH457" s="1070"/>
      <c r="DI457" s="1070"/>
    </row>
    <row r="458" spans="1:113" ht="15.75" x14ac:dyDescent="0.25">
      <c r="A458" s="1420" t="s">
        <v>1722</v>
      </c>
      <c r="B458" s="1441">
        <f>B399</f>
        <v>4</v>
      </c>
      <c r="C458" s="1434"/>
      <c r="D458" s="1432"/>
      <c r="E458" s="1432"/>
      <c r="F458" s="1432"/>
      <c r="G458" s="1432"/>
      <c r="H458" s="1350"/>
      <c r="I458" s="1350"/>
      <c r="J458" s="1350"/>
      <c r="K458" s="1350"/>
      <c r="L458" s="1350"/>
      <c r="M458" s="1350"/>
      <c r="N458" s="1350"/>
      <c r="O458" s="1350"/>
      <c r="P458" s="1350"/>
      <c r="Q458" s="1350"/>
      <c r="R458" s="1350"/>
      <c r="S458" s="1350"/>
      <c r="T458" s="1350"/>
      <c r="U458" s="1350"/>
      <c r="V458" s="1350"/>
      <c r="W458" s="1350"/>
      <c r="X458" s="1350"/>
      <c r="Y458" s="1350"/>
      <c r="Z458" s="1350"/>
      <c r="AA458" s="1350"/>
      <c r="AB458" s="1350"/>
      <c r="AC458" s="1350"/>
      <c r="AD458" s="1350"/>
      <c r="AE458" s="1350"/>
      <c r="AF458" s="1350"/>
      <c r="AG458" s="1350"/>
      <c r="AH458" s="1350"/>
      <c r="AI458" s="1350"/>
      <c r="AJ458" s="1350"/>
      <c r="AK458" s="1350"/>
      <c r="AL458" s="1350"/>
      <c r="AM458" s="1350"/>
      <c r="AN458" s="1350"/>
      <c r="AO458" s="1350"/>
      <c r="AP458" s="1350"/>
      <c r="AQ458" s="1350"/>
      <c r="AR458" s="1350"/>
      <c r="AS458" s="1350"/>
      <c r="AT458" s="1350"/>
      <c r="AU458" s="1350"/>
      <c r="AV458" s="1350"/>
      <c r="AW458" s="1350"/>
      <c r="AX458" s="1350"/>
      <c r="AY458" s="1350"/>
      <c r="AZ458" s="1350"/>
      <c r="BA458" s="1070"/>
      <c r="BB458" s="1070"/>
      <c r="BC458" s="1070"/>
      <c r="BD458" s="1070"/>
      <c r="BE458" s="1070"/>
      <c r="BF458" s="1070"/>
      <c r="BG458" s="1070"/>
      <c r="BH458" s="1070"/>
      <c r="BI458" s="1070"/>
      <c r="BJ458" s="1070"/>
      <c r="BK458" s="1070"/>
      <c r="BL458" s="1070"/>
      <c r="BM458" s="1070"/>
      <c r="BN458" s="1070"/>
      <c r="BO458" s="1070"/>
      <c r="BP458" s="1070"/>
      <c r="BQ458" s="1070"/>
      <c r="BR458" s="1070"/>
      <c r="BS458" s="1070"/>
      <c r="BT458" s="1070"/>
      <c r="BU458" s="1070"/>
      <c r="BV458" s="1070"/>
      <c r="BW458" s="1070"/>
      <c r="BX458" s="1070"/>
      <c r="BY458" s="1070"/>
      <c r="BZ458" s="1070"/>
      <c r="CA458" s="1070"/>
      <c r="CB458" s="1070"/>
      <c r="CC458" s="1070"/>
      <c r="CD458" s="1070"/>
      <c r="CE458" s="1070"/>
      <c r="CF458" s="1070"/>
      <c r="CG458" s="1070"/>
      <c r="CH458" s="1070"/>
      <c r="CI458" s="1070"/>
      <c r="CJ458" s="1070"/>
      <c r="CK458" s="1070"/>
      <c r="CL458" s="1070"/>
      <c r="CM458" s="1070"/>
      <c r="CN458" s="1070"/>
      <c r="CO458" s="1070"/>
      <c r="CP458" s="1070"/>
      <c r="CQ458" s="1070"/>
      <c r="CR458" s="1070"/>
      <c r="CS458" s="1070"/>
      <c r="CT458" s="1070"/>
      <c r="CU458" s="1070"/>
      <c r="CV458" s="1070"/>
      <c r="CW458" s="1070"/>
      <c r="CX458" s="1070"/>
      <c r="CY458" s="1070"/>
      <c r="CZ458" s="1070"/>
      <c r="DA458" s="1070"/>
      <c r="DB458" s="1070"/>
      <c r="DC458" s="1070"/>
      <c r="DD458" s="1070"/>
      <c r="DE458" s="1070"/>
      <c r="DF458" s="1070"/>
      <c r="DG458" s="1070"/>
      <c r="DH458" s="1070"/>
      <c r="DI458" s="1070"/>
    </row>
    <row r="459" spans="1:113" ht="15.75" x14ac:dyDescent="0.25">
      <c r="A459" s="1420" t="s">
        <v>1723</v>
      </c>
      <c r="B459" s="1439"/>
      <c r="C459" s="1432"/>
      <c r="D459" s="1350"/>
      <c r="E459" s="1350"/>
      <c r="F459" s="1350"/>
      <c r="G459" s="1350"/>
      <c r="H459" s="1350"/>
      <c r="I459" s="1350"/>
      <c r="J459" s="1350"/>
      <c r="K459" s="1350"/>
      <c r="L459" s="1350"/>
      <c r="M459" s="1350"/>
      <c r="N459" s="1350"/>
      <c r="O459" s="1350"/>
      <c r="P459" s="1350"/>
      <c r="Q459" s="1350"/>
      <c r="R459" s="1350"/>
      <c r="S459" s="1350"/>
      <c r="T459" s="1350"/>
      <c r="U459" s="1350"/>
      <c r="V459" s="1350"/>
      <c r="W459" s="1350"/>
      <c r="X459" s="1350"/>
      <c r="Y459" s="1350"/>
      <c r="Z459" s="1350"/>
      <c r="AA459" s="1350"/>
      <c r="AB459" s="1350"/>
      <c r="AC459" s="1350"/>
      <c r="AD459" s="1350"/>
      <c r="AE459" s="1350"/>
      <c r="AF459" s="1350"/>
      <c r="AG459" s="1350"/>
      <c r="AH459" s="1350"/>
      <c r="AI459" s="1350"/>
      <c r="AJ459" s="1350"/>
      <c r="AK459" s="1350"/>
      <c r="AL459" s="1350"/>
      <c r="AM459" s="1350"/>
      <c r="AN459" s="1350"/>
      <c r="AO459" s="1350"/>
      <c r="AP459" s="1350"/>
      <c r="AQ459" s="1350"/>
      <c r="AR459" s="1350"/>
      <c r="AS459" s="1350"/>
      <c r="AT459" s="1350"/>
      <c r="AU459" s="1350"/>
      <c r="AV459" s="1350"/>
      <c r="AW459" s="1350"/>
      <c r="AX459" s="1350"/>
      <c r="AY459" s="1350"/>
      <c r="AZ459" s="1350"/>
      <c r="BA459" s="1070"/>
      <c r="BB459" s="1070"/>
      <c r="BC459" s="1070"/>
      <c r="BD459" s="1070"/>
      <c r="BE459" s="1070"/>
      <c r="BF459" s="1070"/>
      <c r="BG459" s="1070"/>
      <c r="BH459" s="1070"/>
      <c r="BI459" s="1070"/>
      <c r="BJ459" s="1070"/>
      <c r="BK459" s="1070"/>
      <c r="BL459" s="1070"/>
      <c r="BM459" s="1070"/>
      <c r="BN459" s="1070"/>
      <c r="BO459" s="1070"/>
      <c r="BP459" s="1070"/>
      <c r="BQ459" s="1070"/>
      <c r="BR459" s="1070"/>
      <c r="BS459" s="1070"/>
      <c r="BT459" s="1070"/>
      <c r="BU459" s="1070"/>
      <c r="BV459" s="1070"/>
      <c r="BW459" s="1070"/>
      <c r="BX459" s="1070"/>
      <c r="BY459" s="1070"/>
      <c r="BZ459" s="1070"/>
      <c r="CA459" s="1070"/>
      <c r="CB459" s="1070"/>
      <c r="CC459" s="1070"/>
      <c r="CD459" s="1070"/>
      <c r="CE459" s="1070"/>
      <c r="CF459" s="1070"/>
      <c r="CG459" s="1070"/>
      <c r="CH459" s="1070"/>
      <c r="CI459" s="1070"/>
      <c r="CJ459" s="1070"/>
      <c r="CK459" s="1070"/>
      <c r="CL459" s="1070"/>
      <c r="CM459" s="1070"/>
      <c r="CN459" s="1070"/>
      <c r="CO459" s="1070"/>
      <c r="CP459" s="1070"/>
      <c r="CQ459" s="1070"/>
      <c r="CR459" s="1070"/>
      <c r="CS459" s="1070"/>
      <c r="CT459" s="1070"/>
      <c r="CU459" s="1070"/>
      <c r="CV459" s="1070"/>
      <c r="CW459" s="1070"/>
      <c r="CX459" s="1070"/>
      <c r="CY459" s="1070"/>
      <c r="CZ459" s="1070"/>
      <c r="DA459" s="1070"/>
      <c r="DB459" s="1070"/>
      <c r="DC459" s="1070"/>
      <c r="DD459" s="1070"/>
      <c r="DE459" s="1070"/>
      <c r="DF459" s="1070"/>
      <c r="DG459" s="1070"/>
      <c r="DH459" s="1070"/>
      <c r="DI459" s="1070"/>
    </row>
    <row r="460" spans="1:113" ht="31.5" x14ac:dyDescent="0.25">
      <c r="A460" s="1420" t="s">
        <v>1724</v>
      </c>
      <c r="B460" s="1451">
        <f>B401</f>
        <v>0</v>
      </c>
      <c r="C460" s="1434"/>
      <c r="D460" s="1350"/>
      <c r="E460" s="1350"/>
      <c r="F460" s="1350"/>
      <c r="G460" s="1350"/>
      <c r="H460" s="1350"/>
      <c r="I460" s="1350"/>
      <c r="J460" s="1350"/>
      <c r="K460" s="1350"/>
      <c r="L460" s="1350"/>
      <c r="M460" s="1350"/>
      <c r="N460" s="1350"/>
      <c r="O460" s="1350"/>
      <c r="P460" s="1350"/>
      <c r="Q460" s="1350"/>
      <c r="R460" s="1350"/>
      <c r="S460" s="1350"/>
      <c r="T460" s="1350"/>
      <c r="U460" s="1350"/>
      <c r="V460" s="1350"/>
      <c r="W460" s="1350"/>
      <c r="X460" s="1350"/>
      <c r="Y460" s="1350"/>
      <c r="Z460" s="1350"/>
      <c r="AA460" s="1350"/>
      <c r="AB460" s="1350"/>
      <c r="AC460" s="1350"/>
      <c r="AD460" s="1350"/>
      <c r="AE460" s="1350"/>
      <c r="AF460" s="1350"/>
      <c r="AG460" s="1350"/>
      <c r="AH460" s="1350"/>
      <c r="AI460" s="1350"/>
      <c r="AJ460" s="1350"/>
      <c r="AK460" s="1350"/>
      <c r="AL460" s="1350"/>
      <c r="AM460" s="1350"/>
      <c r="AN460" s="1350"/>
      <c r="AO460" s="1350"/>
      <c r="AP460" s="1350"/>
      <c r="AQ460" s="1350"/>
      <c r="AR460" s="1350"/>
      <c r="AS460" s="1350"/>
      <c r="AT460" s="1350"/>
      <c r="AU460" s="1350"/>
      <c r="AV460" s="1350"/>
      <c r="AW460" s="1350"/>
      <c r="AX460" s="1350"/>
      <c r="AY460" s="1350"/>
      <c r="AZ460" s="1350"/>
      <c r="BA460" s="1070"/>
      <c r="BB460" s="1070"/>
      <c r="BC460" s="1070"/>
      <c r="BD460" s="1070"/>
      <c r="BE460" s="1070"/>
      <c r="BF460" s="1070"/>
      <c r="BG460" s="1070"/>
      <c r="BH460" s="1070"/>
      <c r="BI460" s="1070"/>
      <c r="BJ460" s="1070"/>
      <c r="BK460" s="1070"/>
      <c r="BL460" s="1070"/>
      <c r="BM460" s="1070"/>
      <c r="BN460" s="1070"/>
      <c r="BO460" s="1070"/>
      <c r="BP460" s="1070"/>
      <c r="BQ460" s="1070"/>
      <c r="BR460" s="1070"/>
      <c r="BS460" s="1070"/>
      <c r="BT460" s="1070"/>
      <c r="BU460" s="1070"/>
      <c r="BV460" s="1070"/>
      <c r="BW460" s="1070"/>
      <c r="BX460" s="1070"/>
      <c r="BY460" s="1070"/>
      <c r="BZ460" s="1070"/>
      <c r="CA460" s="1070"/>
      <c r="CB460" s="1070"/>
      <c r="CC460" s="1070"/>
      <c r="CD460" s="1070"/>
      <c r="CE460" s="1070"/>
      <c r="CF460" s="1070"/>
      <c r="CG460" s="1070"/>
      <c r="CH460" s="1070"/>
      <c r="CI460" s="1070"/>
      <c r="CJ460" s="1070"/>
      <c r="CK460" s="1070"/>
      <c r="CL460" s="1070"/>
      <c r="CM460" s="1070"/>
      <c r="CN460" s="1070"/>
      <c r="CO460" s="1070"/>
      <c r="CP460" s="1070"/>
      <c r="CQ460" s="1070"/>
      <c r="CR460" s="1070"/>
      <c r="CS460" s="1070"/>
      <c r="CT460" s="1070"/>
      <c r="CU460" s="1070"/>
      <c r="CV460" s="1070"/>
      <c r="CW460" s="1070"/>
      <c r="CX460" s="1070"/>
      <c r="CY460" s="1070"/>
      <c r="CZ460" s="1070"/>
      <c r="DA460" s="1070"/>
      <c r="DB460" s="1070"/>
      <c r="DC460" s="1070"/>
      <c r="DD460" s="1070"/>
      <c r="DE460" s="1070"/>
      <c r="DF460" s="1070"/>
      <c r="DG460" s="1070"/>
      <c r="DH460" s="1070"/>
      <c r="DI460" s="1070"/>
    </row>
    <row r="461" spans="1:113" ht="15.75" x14ac:dyDescent="0.25">
      <c r="A461" s="1420" t="s">
        <v>1725</v>
      </c>
      <c r="B461" s="1443">
        <f>IF(B460=1,1.15,1)</f>
        <v>1</v>
      </c>
      <c r="C461" s="1437"/>
      <c r="D461" s="1432"/>
      <c r="E461" s="1432"/>
      <c r="F461" s="1432"/>
      <c r="G461" s="1432"/>
      <c r="H461" s="1350"/>
      <c r="I461" s="1350"/>
      <c r="J461" s="1350"/>
      <c r="K461" s="1350"/>
      <c r="L461" s="1350"/>
      <c r="M461" s="1350"/>
      <c r="N461" s="1350"/>
      <c r="O461" s="1350"/>
      <c r="P461" s="1350"/>
      <c r="Q461" s="1350"/>
      <c r="R461" s="1350"/>
      <c r="S461" s="1350"/>
      <c r="T461" s="1350"/>
      <c r="U461" s="1350"/>
      <c r="V461" s="1350"/>
      <c r="W461" s="1350"/>
      <c r="X461" s="1350"/>
      <c r="Y461" s="1350"/>
      <c r="Z461" s="1350"/>
      <c r="AA461" s="1350"/>
      <c r="AB461" s="1350"/>
      <c r="AC461" s="1350"/>
      <c r="AD461" s="1350"/>
      <c r="AE461" s="1350"/>
      <c r="AF461" s="1350"/>
      <c r="AG461" s="1350"/>
      <c r="AH461" s="1350"/>
      <c r="AI461" s="1350"/>
      <c r="AJ461" s="1350"/>
      <c r="AK461" s="1350"/>
      <c r="AL461" s="1350"/>
      <c r="AM461" s="1350"/>
      <c r="AN461" s="1350"/>
      <c r="AO461" s="1350"/>
      <c r="AP461" s="1350"/>
      <c r="AQ461" s="1350"/>
      <c r="AR461" s="1350"/>
      <c r="AS461" s="1350"/>
      <c r="AT461" s="1350"/>
      <c r="AU461" s="1350"/>
      <c r="AV461" s="1350"/>
      <c r="AW461" s="1350"/>
      <c r="AX461" s="1350"/>
      <c r="AY461" s="1350"/>
      <c r="AZ461" s="1350"/>
      <c r="BA461" s="1070"/>
      <c r="BB461" s="1070"/>
      <c r="BC461" s="1070"/>
      <c r="BD461" s="1070"/>
      <c r="BE461" s="1070"/>
      <c r="BF461" s="1070"/>
      <c r="BG461" s="1070"/>
      <c r="BH461" s="1070"/>
      <c r="BI461" s="1070"/>
      <c r="BJ461" s="1070"/>
      <c r="BK461" s="1070"/>
      <c r="BL461" s="1070"/>
      <c r="BM461" s="1070"/>
      <c r="BN461" s="1070"/>
      <c r="BO461" s="1070"/>
      <c r="BP461" s="1070"/>
      <c r="BQ461" s="1070"/>
      <c r="BR461" s="1070"/>
      <c r="BS461" s="1070"/>
      <c r="BT461" s="1070"/>
      <c r="BU461" s="1070"/>
      <c r="BV461" s="1070"/>
      <c r="BW461" s="1070"/>
      <c r="BX461" s="1070"/>
      <c r="BY461" s="1070"/>
      <c r="BZ461" s="1070"/>
      <c r="CA461" s="1070"/>
      <c r="CB461" s="1070"/>
      <c r="CC461" s="1070"/>
      <c r="CD461" s="1070"/>
      <c r="CE461" s="1070"/>
      <c r="CF461" s="1070"/>
      <c r="CG461" s="1070"/>
      <c r="CH461" s="1070"/>
      <c r="CI461" s="1070"/>
      <c r="CJ461" s="1070"/>
      <c r="CK461" s="1070"/>
      <c r="CL461" s="1070"/>
      <c r="CM461" s="1070"/>
      <c r="CN461" s="1070"/>
      <c r="CO461" s="1070"/>
      <c r="CP461" s="1070"/>
      <c r="CQ461" s="1070"/>
      <c r="CR461" s="1070"/>
      <c r="CS461" s="1070"/>
      <c r="CT461" s="1070"/>
      <c r="CU461" s="1070"/>
      <c r="CV461" s="1070"/>
      <c r="CW461" s="1070"/>
      <c r="CX461" s="1070"/>
      <c r="CY461" s="1070"/>
      <c r="CZ461" s="1070"/>
      <c r="DA461" s="1070"/>
      <c r="DB461" s="1070"/>
      <c r="DC461" s="1070"/>
      <c r="DD461" s="1070"/>
      <c r="DE461" s="1070"/>
      <c r="DF461" s="1070"/>
      <c r="DG461" s="1070"/>
      <c r="DH461" s="1070"/>
      <c r="DI461" s="1070"/>
    </row>
    <row r="462" spans="1:113" ht="31.5" x14ac:dyDescent="0.25">
      <c r="A462" s="1420" t="s">
        <v>5573</v>
      </c>
      <c r="B462" s="1451">
        <f>B403</f>
        <v>0</v>
      </c>
      <c r="C462" s="1434"/>
      <c r="D462" s="1429"/>
      <c r="E462" s="1429"/>
      <c r="F462" s="1429"/>
      <c r="G462" s="1429"/>
      <c r="H462" s="1350"/>
      <c r="I462" s="1350"/>
      <c r="J462" s="1350"/>
      <c r="K462" s="1350"/>
      <c r="L462" s="1350"/>
      <c r="M462" s="1350"/>
      <c r="N462" s="1350"/>
      <c r="O462" s="1350"/>
      <c r="P462" s="1350"/>
      <c r="Q462" s="1350"/>
      <c r="R462" s="1350"/>
      <c r="S462" s="1350"/>
      <c r="T462" s="1350"/>
      <c r="U462" s="1350"/>
      <c r="V462" s="1350"/>
      <c r="W462" s="1350"/>
      <c r="X462" s="1350"/>
      <c r="Y462" s="1350"/>
      <c r="Z462" s="1350"/>
      <c r="AA462" s="1350"/>
      <c r="AB462" s="1350"/>
      <c r="AC462" s="1350"/>
      <c r="AD462" s="1350"/>
      <c r="AE462" s="1350"/>
      <c r="AF462" s="1350"/>
      <c r="AG462" s="1350"/>
      <c r="AH462" s="1350"/>
      <c r="AI462" s="1350"/>
      <c r="AJ462" s="1350"/>
      <c r="AK462" s="1350"/>
      <c r="AL462" s="1350"/>
      <c r="AM462" s="1350"/>
      <c r="AN462" s="1350"/>
      <c r="AO462" s="1350"/>
      <c r="AP462" s="1350"/>
      <c r="AQ462" s="1350"/>
      <c r="AR462" s="1350"/>
      <c r="AS462" s="1350"/>
      <c r="AT462" s="1350"/>
      <c r="AU462" s="1350"/>
      <c r="AV462" s="1350"/>
      <c r="AW462" s="1350"/>
      <c r="AX462" s="1350"/>
      <c r="AY462" s="1350"/>
      <c r="AZ462" s="1350"/>
      <c r="BA462" s="1070"/>
      <c r="BB462" s="1070"/>
      <c r="BC462" s="1070"/>
      <c r="BD462" s="1070"/>
      <c r="BE462" s="1070"/>
      <c r="BF462" s="1070"/>
      <c r="BG462" s="1070"/>
      <c r="BH462" s="1070"/>
      <c r="BI462" s="1070"/>
      <c r="BJ462" s="1070"/>
      <c r="BK462" s="1070"/>
      <c r="BL462" s="1070"/>
      <c r="BM462" s="1070"/>
      <c r="BN462" s="1070"/>
      <c r="BO462" s="1070"/>
      <c r="BP462" s="1070"/>
      <c r="BQ462" s="1070"/>
      <c r="BR462" s="1070"/>
      <c r="BS462" s="1070"/>
      <c r="BT462" s="1070"/>
      <c r="BU462" s="1070"/>
      <c r="BV462" s="1070"/>
      <c r="BW462" s="1070"/>
      <c r="BX462" s="1070"/>
      <c r="BY462" s="1070"/>
      <c r="BZ462" s="1070"/>
      <c r="CA462" s="1070"/>
      <c r="CB462" s="1070"/>
      <c r="CC462" s="1070"/>
      <c r="CD462" s="1070"/>
      <c r="CE462" s="1070"/>
      <c r="CF462" s="1070"/>
      <c r="CG462" s="1070"/>
      <c r="CH462" s="1070"/>
      <c r="CI462" s="1070"/>
      <c r="CJ462" s="1070"/>
      <c r="CK462" s="1070"/>
      <c r="CL462" s="1070"/>
      <c r="CM462" s="1070"/>
      <c r="CN462" s="1070"/>
      <c r="CO462" s="1070"/>
      <c r="CP462" s="1070"/>
      <c r="CQ462" s="1070"/>
      <c r="CR462" s="1070"/>
      <c r="CS462" s="1070"/>
      <c r="CT462" s="1070"/>
      <c r="CU462" s="1070"/>
      <c r="CV462" s="1070"/>
      <c r="CW462" s="1070"/>
      <c r="CX462" s="1070"/>
      <c r="CY462" s="1070"/>
      <c r="CZ462" s="1070"/>
      <c r="DA462" s="1070"/>
      <c r="DB462" s="1070"/>
      <c r="DC462" s="1070"/>
      <c r="DD462" s="1070"/>
      <c r="DE462" s="1070"/>
      <c r="DF462" s="1070"/>
      <c r="DG462" s="1070"/>
      <c r="DH462" s="1070"/>
      <c r="DI462" s="1070"/>
    </row>
    <row r="463" spans="1:113" ht="15.75" x14ac:dyDescent="0.25">
      <c r="A463" s="1420" t="s">
        <v>2636</v>
      </c>
      <c r="B463" s="1443">
        <f>IF(B462=1,1.15,1)</f>
        <v>1</v>
      </c>
      <c r="C463" s="1437"/>
      <c r="D463" s="1350"/>
      <c r="E463" s="1350"/>
      <c r="F463" s="1350"/>
      <c r="G463" s="1350"/>
      <c r="H463" s="1350"/>
      <c r="I463" s="1350"/>
      <c r="J463" s="1350"/>
      <c r="K463" s="1350"/>
      <c r="L463" s="1350"/>
      <c r="M463" s="1350"/>
      <c r="N463" s="1350"/>
      <c r="O463" s="1350"/>
      <c r="P463" s="1350"/>
      <c r="Q463" s="1350"/>
      <c r="R463" s="1350"/>
      <c r="S463" s="1350"/>
      <c r="T463" s="1350"/>
      <c r="U463" s="1350"/>
      <c r="V463" s="1350"/>
      <c r="W463" s="1350"/>
      <c r="X463" s="1350"/>
      <c r="Y463" s="1350"/>
      <c r="Z463" s="1350"/>
      <c r="AA463" s="1350"/>
      <c r="AB463" s="1350"/>
      <c r="AC463" s="1350"/>
      <c r="AD463" s="1350"/>
      <c r="AE463" s="1350"/>
      <c r="AF463" s="1350"/>
      <c r="AG463" s="1350"/>
      <c r="AH463" s="1350"/>
      <c r="AI463" s="1350"/>
      <c r="AJ463" s="1350"/>
      <c r="AK463" s="1350"/>
      <c r="AL463" s="1350"/>
      <c r="AM463" s="1350"/>
      <c r="AN463" s="1350"/>
      <c r="AO463" s="1350"/>
      <c r="AP463" s="1350"/>
      <c r="AQ463" s="1350"/>
      <c r="AR463" s="1350"/>
      <c r="AS463" s="1350"/>
      <c r="AT463" s="1350"/>
      <c r="AU463" s="1350"/>
      <c r="AV463" s="1350"/>
      <c r="AW463" s="1350"/>
      <c r="AX463" s="1350"/>
      <c r="AY463" s="1350"/>
      <c r="AZ463" s="1350"/>
      <c r="BA463" s="1070"/>
      <c r="BB463" s="1070"/>
      <c r="BC463" s="1070"/>
      <c r="BD463" s="1070"/>
      <c r="BE463" s="1070"/>
      <c r="BF463" s="1070"/>
      <c r="BG463" s="1070"/>
      <c r="BH463" s="1070"/>
      <c r="BI463" s="1070"/>
      <c r="BJ463" s="1070"/>
      <c r="BK463" s="1070"/>
      <c r="BL463" s="1070"/>
      <c r="BM463" s="1070"/>
      <c r="BN463" s="1070"/>
      <c r="BO463" s="1070"/>
      <c r="BP463" s="1070"/>
      <c r="BQ463" s="1070"/>
      <c r="BR463" s="1070"/>
      <c r="BS463" s="1070"/>
      <c r="BT463" s="1070"/>
      <c r="BU463" s="1070"/>
      <c r="BV463" s="1070"/>
      <c r="BW463" s="1070"/>
      <c r="BX463" s="1070"/>
      <c r="BY463" s="1070"/>
      <c r="BZ463" s="1070"/>
      <c r="CA463" s="1070"/>
      <c r="CB463" s="1070"/>
      <c r="CC463" s="1070"/>
      <c r="CD463" s="1070"/>
      <c r="CE463" s="1070"/>
      <c r="CF463" s="1070"/>
      <c r="CG463" s="1070"/>
      <c r="CH463" s="1070"/>
      <c r="CI463" s="1070"/>
      <c r="CJ463" s="1070"/>
      <c r="CK463" s="1070"/>
      <c r="CL463" s="1070"/>
      <c r="CM463" s="1070"/>
      <c r="CN463" s="1070"/>
      <c r="CO463" s="1070"/>
      <c r="CP463" s="1070"/>
      <c r="CQ463" s="1070"/>
      <c r="CR463" s="1070"/>
      <c r="CS463" s="1070"/>
      <c r="CT463" s="1070"/>
      <c r="CU463" s="1070"/>
      <c r="CV463" s="1070"/>
      <c r="CW463" s="1070"/>
      <c r="CX463" s="1070"/>
      <c r="CY463" s="1070"/>
      <c r="CZ463" s="1070"/>
      <c r="DA463" s="1070"/>
      <c r="DB463" s="1070"/>
      <c r="DC463" s="1070"/>
      <c r="DD463" s="1070"/>
      <c r="DE463" s="1070"/>
      <c r="DF463" s="1070"/>
      <c r="DG463" s="1070"/>
      <c r="DH463" s="1070"/>
      <c r="DI463" s="1070"/>
    </row>
    <row r="464" spans="1:113" ht="31.5" x14ac:dyDescent="0.25">
      <c r="A464" s="1420" t="s">
        <v>2637</v>
      </c>
      <c r="B464" s="1443">
        <f>IF(B322&lt;2,0.85,1)</f>
        <v>1</v>
      </c>
      <c r="C464" s="1437"/>
      <c r="D464" s="1434"/>
      <c r="E464" s="1434"/>
      <c r="F464" s="1434"/>
      <c r="G464" s="1434"/>
      <c r="H464" s="1350"/>
      <c r="I464" s="1350"/>
      <c r="J464" s="1350"/>
      <c r="K464" s="1350"/>
      <c r="L464" s="1350"/>
      <c r="M464" s="1350"/>
      <c r="N464" s="1350"/>
      <c r="O464" s="1350"/>
      <c r="P464" s="1350"/>
      <c r="Q464" s="1350"/>
      <c r="R464" s="1350"/>
      <c r="S464" s="1350"/>
      <c r="T464" s="1350"/>
      <c r="U464" s="1350"/>
      <c r="V464" s="1350"/>
      <c r="W464" s="1350"/>
      <c r="X464" s="1350"/>
      <c r="Y464" s="1350"/>
      <c r="Z464" s="1350"/>
      <c r="AA464" s="1350"/>
      <c r="AB464" s="1350"/>
      <c r="AC464" s="1350"/>
      <c r="AD464" s="1350"/>
      <c r="AE464" s="1350"/>
      <c r="AF464" s="1350"/>
      <c r="AG464" s="1350"/>
      <c r="AH464" s="1350"/>
      <c r="AI464" s="1350"/>
      <c r="AJ464" s="1350"/>
      <c r="AK464" s="1350"/>
      <c r="AL464" s="1350"/>
      <c r="AM464" s="1350"/>
      <c r="AN464" s="1350"/>
      <c r="AO464" s="1350"/>
      <c r="AP464" s="1350"/>
      <c r="AQ464" s="1350"/>
      <c r="AR464" s="1350"/>
      <c r="AS464" s="1350"/>
      <c r="AT464" s="1350"/>
      <c r="AU464" s="1350"/>
      <c r="AV464" s="1350"/>
      <c r="AW464" s="1350"/>
      <c r="AX464" s="1350"/>
      <c r="AY464" s="1350"/>
      <c r="AZ464" s="1350"/>
      <c r="BA464" s="1070"/>
      <c r="BB464" s="1070"/>
      <c r="BC464" s="1070"/>
      <c r="BD464" s="1070"/>
      <c r="BE464" s="1070"/>
      <c r="BF464" s="1070"/>
      <c r="BG464" s="1070"/>
      <c r="BH464" s="1070"/>
      <c r="BI464" s="1070"/>
      <c r="BJ464" s="1070"/>
      <c r="BK464" s="1070"/>
      <c r="BL464" s="1070"/>
      <c r="BM464" s="1070"/>
      <c r="BN464" s="1070"/>
      <c r="BO464" s="1070"/>
      <c r="BP464" s="1070"/>
      <c r="BQ464" s="1070"/>
      <c r="BR464" s="1070"/>
      <c r="BS464" s="1070"/>
      <c r="BT464" s="1070"/>
      <c r="BU464" s="1070"/>
      <c r="BV464" s="1070"/>
      <c r="BW464" s="1070"/>
      <c r="BX464" s="1070"/>
      <c r="BY464" s="1070"/>
      <c r="BZ464" s="1070"/>
      <c r="CA464" s="1070"/>
      <c r="CB464" s="1070"/>
      <c r="CC464" s="1070"/>
      <c r="CD464" s="1070"/>
      <c r="CE464" s="1070"/>
      <c r="CF464" s="1070"/>
      <c r="CG464" s="1070"/>
      <c r="CH464" s="1070"/>
      <c r="CI464" s="1070"/>
      <c r="CJ464" s="1070"/>
      <c r="CK464" s="1070"/>
      <c r="CL464" s="1070"/>
      <c r="CM464" s="1070"/>
      <c r="CN464" s="1070"/>
      <c r="CO464" s="1070"/>
      <c r="CP464" s="1070"/>
      <c r="CQ464" s="1070"/>
      <c r="CR464" s="1070"/>
      <c r="CS464" s="1070"/>
      <c r="CT464" s="1070"/>
      <c r="CU464" s="1070"/>
      <c r="CV464" s="1070"/>
      <c r="CW464" s="1070"/>
      <c r="CX464" s="1070"/>
      <c r="CY464" s="1070"/>
      <c r="CZ464" s="1070"/>
      <c r="DA464" s="1070"/>
      <c r="DB464" s="1070"/>
      <c r="DC464" s="1070"/>
      <c r="DD464" s="1070"/>
      <c r="DE464" s="1070"/>
      <c r="DF464" s="1070"/>
      <c r="DG464" s="1070"/>
      <c r="DH464" s="1070"/>
      <c r="DI464" s="1070"/>
    </row>
    <row r="465" spans="1:113" ht="15.75" x14ac:dyDescent="0.25">
      <c r="A465" s="1420" t="s">
        <v>532</v>
      </c>
      <c r="B465" s="1450">
        <v>0.7</v>
      </c>
      <c r="C465" s="1440"/>
      <c r="D465" s="1434"/>
      <c r="E465" s="1434"/>
      <c r="F465" s="1434"/>
      <c r="G465" s="1434"/>
      <c r="H465" s="1350"/>
      <c r="I465" s="1350"/>
      <c r="J465" s="1350"/>
      <c r="K465" s="1350"/>
      <c r="L465" s="1350"/>
      <c r="M465" s="1350"/>
      <c r="N465" s="1350"/>
      <c r="O465" s="1350"/>
      <c r="P465" s="1350"/>
      <c r="Q465" s="1350"/>
      <c r="R465" s="1350"/>
      <c r="S465" s="1350"/>
      <c r="T465" s="1350"/>
      <c r="U465" s="1350"/>
      <c r="V465" s="1350"/>
      <c r="W465" s="1350"/>
      <c r="X465" s="1350"/>
      <c r="Y465" s="1350"/>
      <c r="Z465" s="1350"/>
      <c r="AA465" s="1350"/>
      <c r="AB465" s="1350"/>
      <c r="AC465" s="1350"/>
      <c r="AD465" s="1350"/>
      <c r="AE465" s="1350"/>
      <c r="AF465" s="1350"/>
      <c r="AG465" s="1350"/>
      <c r="AH465" s="1350"/>
      <c r="AI465" s="1350"/>
      <c r="AJ465" s="1350"/>
      <c r="AK465" s="1350"/>
      <c r="AL465" s="1350"/>
      <c r="AM465" s="1350"/>
      <c r="AN465" s="1350"/>
      <c r="AO465" s="1350"/>
      <c r="AP465" s="1350"/>
      <c r="AQ465" s="1350"/>
      <c r="AR465" s="1350"/>
      <c r="AS465" s="1350"/>
      <c r="AT465" s="1350"/>
      <c r="AU465" s="1350"/>
      <c r="AV465" s="1350"/>
      <c r="AW465" s="1350"/>
      <c r="AX465" s="1350"/>
      <c r="AY465" s="1350"/>
      <c r="AZ465" s="1350"/>
      <c r="BA465" s="1070"/>
      <c r="BB465" s="1070"/>
      <c r="BC465" s="1070"/>
      <c r="BD465" s="1070"/>
      <c r="BE465" s="1070"/>
      <c r="BF465" s="1070"/>
      <c r="BG465" s="1070"/>
      <c r="BH465" s="1070"/>
      <c r="BI465" s="1070"/>
      <c r="BJ465" s="1070"/>
      <c r="BK465" s="1070"/>
      <c r="BL465" s="1070"/>
      <c r="BM465" s="1070"/>
      <c r="BN465" s="1070"/>
      <c r="BO465" s="1070"/>
      <c r="BP465" s="1070"/>
      <c r="BQ465" s="1070"/>
      <c r="BR465" s="1070"/>
      <c r="BS465" s="1070"/>
      <c r="BT465" s="1070"/>
      <c r="BU465" s="1070"/>
      <c r="BV465" s="1070"/>
      <c r="BW465" s="1070"/>
      <c r="BX465" s="1070"/>
      <c r="BY465" s="1070"/>
      <c r="BZ465" s="1070"/>
      <c r="CA465" s="1070"/>
      <c r="CB465" s="1070"/>
      <c r="CC465" s="1070"/>
      <c r="CD465" s="1070"/>
      <c r="CE465" s="1070"/>
      <c r="CF465" s="1070"/>
      <c r="CG465" s="1070"/>
      <c r="CH465" s="1070"/>
      <c r="CI465" s="1070"/>
      <c r="CJ465" s="1070"/>
      <c r="CK465" s="1070"/>
      <c r="CL465" s="1070"/>
      <c r="CM465" s="1070"/>
      <c r="CN465" s="1070"/>
      <c r="CO465" s="1070"/>
      <c r="CP465" s="1070"/>
      <c r="CQ465" s="1070"/>
      <c r="CR465" s="1070"/>
      <c r="CS465" s="1070"/>
      <c r="CT465" s="1070"/>
      <c r="CU465" s="1070"/>
      <c r="CV465" s="1070"/>
      <c r="CW465" s="1070"/>
      <c r="CX465" s="1070"/>
      <c r="CY465" s="1070"/>
      <c r="CZ465" s="1070"/>
      <c r="DA465" s="1070"/>
      <c r="DB465" s="1070"/>
      <c r="DC465" s="1070"/>
      <c r="DD465" s="1070"/>
      <c r="DE465" s="1070"/>
      <c r="DF465" s="1070"/>
      <c r="DG465" s="1070"/>
      <c r="DH465" s="1070"/>
      <c r="DI465" s="1070"/>
    </row>
    <row r="466" spans="1:113" ht="15.75" x14ac:dyDescent="0.25">
      <c r="A466" s="1420" t="s">
        <v>3412</v>
      </c>
      <c r="B466" s="1443" t="e">
        <f>B455*B461*B463*B464*B465*B341</f>
        <v>#VALUE!</v>
      </c>
      <c r="C466" s="1437"/>
      <c r="D466" s="1350"/>
      <c r="E466" s="1350"/>
      <c r="F466" s="1350"/>
      <c r="G466" s="1350"/>
      <c r="H466" s="1350"/>
      <c r="I466" s="1350"/>
      <c r="J466" s="1350"/>
      <c r="K466" s="1350"/>
      <c r="L466" s="1350"/>
      <c r="M466" s="1350"/>
      <c r="N466" s="1350"/>
      <c r="O466" s="1350"/>
      <c r="P466" s="1350"/>
      <c r="Q466" s="1350"/>
      <c r="R466" s="1350"/>
      <c r="S466" s="1350"/>
      <c r="T466" s="1350"/>
      <c r="U466" s="1350"/>
      <c r="V466" s="1350"/>
      <c r="W466" s="1350"/>
      <c r="X466" s="1350"/>
      <c r="Y466" s="1350"/>
      <c r="Z466" s="1350"/>
      <c r="AA466" s="1350"/>
      <c r="AB466" s="1350"/>
      <c r="AC466" s="1350"/>
      <c r="AD466" s="1350"/>
      <c r="AE466" s="1350"/>
      <c r="AF466" s="1350"/>
      <c r="AG466" s="1350"/>
      <c r="AH466" s="1350"/>
      <c r="AI466" s="1350"/>
      <c r="AJ466" s="1350"/>
      <c r="AK466" s="1350"/>
      <c r="AL466" s="1350"/>
      <c r="AM466" s="1350"/>
      <c r="AN466" s="1350"/>
      <c r="AO466" s="1350"/>
      <c r="AP466" s="1350"/>
      <c r="AQ466" s="1350"/>
      <c r="AR466" s="1350"/>
      <c r="AS466" s="1350"/>
      <c r="AT466" s="1350"/>
      <c r="AU466" s="1350"/>
      <c r="AV466" s="1350"/>
      <c r="AW466" s="1350"/>
      <c r="AX466" s="1350"/>
      <c r="AY466" s="1350"/>
      <c r="AZ466" s="1350"/>
      <c r="BA466" s="1070"/>
      <c r="BB466" s="1070"/>
      <c r="BC466" s="1070"/>
      <c r="BD466" s="1070"/>
      <c r="BE466" s="1070"/>
      <c r="BF466" s="1070"/>
      <c r="BG466" s="1070"/>
      <c r="BH466" s="1070"/>
      <c r="BI466" s="1070"/>
      <c r="BJ466" s="1070"/>
      <c r="BK466" s="1070"/>
      <c r="BL466" s="1070"/>
      <c r="BM466" s="1070"/>
      <c r="BN466" s="1070"/>
      <c r="BO466" s="1070"/>
      <c r="BP466" s="1070"/>
      <c r="BQ466" s="1070"/>
      <c r="BR466" s="1070"/>
      <c r="BS466" s="1070"/>
      <c r="BT466" s="1070"/>
      <c r="BU466" s="1070"/>
      <c r="BV466" s="1070"/>
      <c r="BW466" s="1070"/>
      <c r="BX466" s="1070"/>
      <c r="BY466" s="1070"/>
      <c r="BZ466" s="1070"/>
      <c r="CA466" s="1070"/>
      <c r="CB466" s="1070"/>
      <c r="CC466" s="1070"/>
      <c r="CD466" s="1070"/>
      <c r="CE466" s="1070"/>
      <c r="CF466" s="1070"/>
      <c r="CG466" s="1070"/>
      <c r="CH466" s="1070"/>
      <c r="CI466" s="1070"/>
      <c r="CJ466" s="1070"/>
      <c r="CK466" s="1070"/>
      <c r="CL466" s="1070"/>
      <c r="CM466" s="1070"/>
      <c r="CN466" s="1070"/>
      <c r="CO466" s="1070"/>
      <c r="CP466" s="1070"/>
      <c r="CQ466" s="1070"/>
      <c r="CR466" s="1070"/>
      <c r="CS466" s="1070"/>
      <c r="CT466" s="1070"/>
      <c r="CU466" s="1070"/>
      <c r="CV466" s="1070"/>
      <c r="CW466" s="1070"/>
      <c r="CX466" s="1070"/>
      <c r="CY466" s="1070"/>
      <c r="CZ466" s="1070"/>
      <c r="DA466" s="1070"/>
      <c r="DB466" s="1070"/>
      <c r="DC466" s="1070"/>
      <c r="DD466" s="1070"/>
      <c r="DE466" s="1070"/>
      <c r="DF466" s="1070"/>
      <c r="DG466" s="1070"/>
      <c r="DH466" s="1070"/>
      <c r="DI466" s="1070"/>
    </row>
    <row r="467" spans="1:113" ht="15.75" x14ac:dyDescent="0.25">
      <c r="A467" s="1420" t="s">
        <v>429</v>
      </c>
      <c r="B467" s="1439" t="e">
        <f>B454/B466</f>
        <v>#REF!</v>
      </c>
      <c r="C467" s="1432"/>
      <c r="D467" s="1434"/>
      <c r="E467" s="1434"/>
      <c r="F467" s="1434"/>
      <c r="G467" s="1434"/>
      <c r="H467" s="1350"/>
      <c r="I467" s="1350"/>
      <c r="J467" s="1350"/>
      <c r="K467" s="1350"/>
      <c r="L467" s="1350"/>
      <c r="M467" s="1350"/>
      <c r="N467" s="1350"/>
      <c r="O467" s="1350"/>
      <c r="P467" s="1350"/>
      <c r="Q467" s="1350"/>
      <c r="R467" s="1350"/>
      <c r="S467" s="1350"/>
      <c r="T467" s="1350"/>
      <c r="U467" s="1350"/>
      <c r="V467" s="1350"/>
      <c r="W467" s="1350"/>
      <c r="X467" s="1350"/>
      <c r="Y467" s="1350"/>
      <c r="Z467" s="1350"/>
      <c r="AA467" s="1350"/>
      <c r="AB467" s="1350"/>
      <c r="AC467" s="1350"/>
      <c r="AD467" s="1350"/>
      <c r="AE467" s="1350"/>
      <c r="AF467" s="1350"/>
      <c r="AG467" s="1350"/>
      <c r="AH467" s="1350"/>
      <c r="AI467" s="1350"/>
      <c r="AJ467" s="1350"/>
      <c r="AK467" s="1350"/>
      <c r="AL467" s="1350"/>
      <c r="AM467" s="1350"/>
      <c r="AN467" s="1350"/>
      <c r="AO467" s="1350"/>
      <c r="AP467" s="1350"/>
      <c r="AQ467" s="1350"/>
      <c r="AR467" s="1350"/>
      <c r="AS467" s="1350"/>
      <c r="AT467" s="1350"/>
      <c r="AU467" s="1350"/>
      <c r="AV467" s="1350"/>
      <c r="AW467" s="1350"/>
      <c r="AX467" s="1350"/>
      <c r="AY467" s="1350"/>
      <c r="AZ467" s="1350"/>
      <c r="BA467" s="1070"/>
      <c r="BB467" s="1070"/>
      <c r="BC467" s="1070"/>
      <c r="BD467" s="1070"/>
      <c r="BE467" s="1070"/>
      <c r="BF467" s="1070"/>
      <c r="BG467" s="1070"/>
      <c r="BH467" s="1070"/>
      <c r="BI467" s="1070"/>
      <c r="BJ467" s="1070"/>
      <c r="BK467" s="1070"/>
      <c r="BL467" s="1070"/>
      <c r="BM467" s="1070"/>
      <c r="BN467" s="1070"/>
      <c r="BO467" s="1070"/>
      <c r="BP467" s="1070"/>
      <c r="BQ467" s="1070"/>
      <c r="BR467" s="1070"/>
      <c r="BS467" s="1070"/>
      <c r="BT467" s="1070"/>
      <c r="BU467" s="1070"/>
      <c r="BV467" s="1070"/>
      <c r="BW467" s="1070"/>
      <c r="BX467" s="1070"/>
      <c r="BY467" s="1070"/>
      <c r="BZ467" s="1070"/>
      <c r="CA467" s="1070"/>
      <c r="CB467" s="1070"/>
      <c r="CC467" s="1070"/>
      <c r="CD467" s="1070"/>
      <c r="CE467" s="1070"/>
      <c r="CF467" s="1070"/>
      <c r="CG467" s="1070"/>
      <c r="CH467" s="1070"/>
      <c r="CI467" s="1070"/>
      <c r="CJ467" s="1070"/>
      <c r="CK467" s="1070"/>
      <c r="CL467" s="1070"/>
      <c r="CM467" s="1070"/>
      <c r="CN467" s="1070"/>
      <c r="CO467" s="1070"/>
      <c r="CP467" s="1070"/>
      <c r="CQ467" s="1070"/>
      <c r="CR467" s="1070"/>
      <c r="CS467" s="1070"/>
      <c r="CT467" s="1070"/>
      <c r="CU467" s="1070"/>
      <c r="CV467" s="1070"/>
      <c r="CW467" s="1070"/>
      <c r="CX467" s="1070"/>
      <c r="CY467" s="1070"/>
      <c r="CZ467" s="1070"/>
      <c r="DA467" s="1070"/>
      <c r="DB467" s="1070"/>
      <c r="DC467" s="1070"/>
      <c r="DD467" s="1070"/>
      <c r="DE467" s="1070"/>
      <c r="DF467" s="1070"/>
      <c r="DG467" s="1070"/>
      <c r="DH467" s="1070"/>
      <c r="DI467" s="1070"/>
    </row>
    <row r="468" spans="1:113" ht="31.5" x14ac:dyDescent="0.25">
      <c r="A468" s="1420" t="s">
        <v>533</v>
      </c>
      <c r="B468" s="1439" t="e">
        <f>B370+B379+B391+B408+B426+B438+B451+B467</f>
        <v>#DIV/0!</v>
      </c>
      <c r="C468" s="1432"/>
      <c r="D468" s="1437"/>
      <c r="E468" s="1437"/>
      <c r="F468" s="1437"/>
      <c r="G468" s="1437"/>
      <c r="H468" s="1350"/>
      <c r="I468" s="1350"/>
      <c r="J468" s="1350"/>
      <c r="K468" s="1350"/>
      <c r="L468" s="1350"/>
      <c r="M468" s="1350"/>
      <c r="N468" s="1350"/>
      <c r="O468" s="1350"/>
      <c r="P468" s="1350"/>
      <c r="Q468" s="1350"/>
      <c r="R468" s="1350"/>
      <c r="S468" s="1350"/>
      <c r="T468" s="1350"/>
      <c r="U468" s="1350"/>
      <c r="V468" s="1350"/>
      <c r="W468" s="1350"/>
      <c r="X468" s="1350"/>
      <c r="Y468" s="1350"/>
      <c r="Z468" s="1350"/>
      <c r="AA468" s="1350"/>
      <c r="AB468" s="1350"/>
      <c r="AC468" s="1350"/>
      <c r="AD468" s="1350"/>
      <c r="AE468" s="1350"/>
      <c r="AF468" s="1350"/>
      <c r="AG468" s="1350"/>
      <c r="AH468" s="1350"/>
      <c r="AI468" s="1350"/>
      <c r="AJ468" s="1350"/>
      <c r="AK468" s="1350"/>
      <c r="AL468" s="1350"/>
      <c r="AM468" s="1350"/>
      <c r="AN468" s="1350"/>
      <c r="AO468" s="1350"/>
      <c r="AP468" s="1350"/>
      <c r="AQ468" s="1350"/>
      <c r="AR468" s="1350"/>
      <c r="AS468" s="1350"/>
      <c r="AT468" s="1350"/>
      <c r="AU468" s="1350"/>
      <c r="AV468" s="1350"/>
      <c r="AW468" s="1350"/>
      <c r="AX468" s="1350"/>
      <c r="AY468" s="1350"/>
      <c r="AZ468" s="1350"/>
      <c r="BA468" s="1070"/>
      <c r="BB468" s="1070"/>
      <c r="BC468" s="1070"/>
      <c r="BD468" s="1070"/>
      <c r="BE468" s="1070"/>
      <c r="BF468" s="1070"/>
      <c r="BG468" s="1070"/>
      <c r="BH468" s="1070"/>
      <c r="BI468" s="1070"/>
      <c r="BJ468" s="1070"/>
      <c r="BK468" s="1070"/>
      <c r="BL468" s="1070"/>
      <c r="BM468" s="1070"/>
      <c r="BN468" s="1070"/>
      <c r="BO468" s="1070"/>
      <c r="BP468" s="1070"/>
      <c r="BQ468" s="1070"/>
      <c r="BR468" s="1070"/>
      <c r="BS468" s="1070"/>
      <c r="BT468" s="1070"/>
      <c r="BU468" s="1070"/>
      <c r="BV468" s="1070"/>
      <c r="BW468" s="1070"/>
      <c r="BX468" s="1070"/>
      <c r="BY468" s="1070"/>
      <c r="BZ468" s="1070"/>
      <c r="CA468" s="1070"/>
      <c r="CB468" s="1070"/>
      <c r="CC468" s="1070"/>
      <c r="CD468" s="1070"/>
      <c r="CE468" s="1070"/>
      <c r="CF468" s="1070"/>
      <c r="CG468" s="1070"/>
      <c r="CH468" s="1070"/>
      <c r="CI468" s="1070"/>
      <c r="CJ468" s="1070"/>
      <c r="CK468" s="1070"/>
      <c r="CL468" s="1070"/>
      <c r="CM468" s="1070"/>
      <c r="CN468" s="1070"/>
      <c r="CO468" s="1070"/>
      <c r="CP468" s="1070"/>
      <c r="CQ468" s="1070"/>
      <c r="CR468" s="1070"/>
      <c r="CS468" s="1070"/>
      <c r="CT468" s="1070"/>
      <c r="CU468" s="1070"/>
      <c r="CV468" s="1070"/>
      <c r="CW468" s="1070"/>
      <c r="CX468" s="1070"/>
      <c r="CY468" s="1070"/>
      <c r="CZ468" s="1070"/>
      <c r="DA468" s="1070"/>
      <c r="DB468" s="1070"/>
      <c r="DC468" s="1070"/>
      <c r="DD468" s="1070"/>
      <c r="DE468" s="1070"/>
      <c r="DF468" s="1070"/>
      <c r="DG468" s="1070"/>
      <c r="DH468" s="1070"/>
      <c r="DI468" s="1070"/>
    </row>
    <row r="469" spans="1:113" ht="47.25" x14ac:dyDescent="0.25">
      <c r="A469" s="1452" t="s">
        <v>534</v>
      </c>
      <c r="B469" s="1453">
        <f>IF(B323=0,B468,0)</f>
        <v>0</v>
      </c>
      <c r="C469" s="1454"/>
      <c r="D469" s="1434"/>
      <c r="E469" s="1434"/>
      <c r="F469" s="1434"/>
      <c r="G469" s="1434"/>
      <c r="H469" s="1350"/>
      <c r="I469" s="1350"/>
      <c r="J469" s="1350"/>
      <c r="K469" s="1350"/>
      <c r="L469" s="1350"/>
      <c r="M469" s="1350"/>
      <c r="N469" s="1350"/>
      <c r="O469" s="1350"/>
      <c r="P469" s="1350"/>
      <c r="Q469" s="1350"/>
      <c r="R469" s="1350"/>
      <c r="S469" s="1350"/>
      <c r="T469" s="1350"/>
      <c r="U469" s="1350"/>
      <c r="V469" s="1350"/>
      <c r="W469" s="1350"/>
      <c r="X469" s="1350"/>
      <c r="Y469" s="1350"/>
      <c r="Z469" s="1350"/>
      <c r="AA469" s="1350"/>
      <c r="AB469" s="1350"/>
      <c r="AC469" s="1350"/>
      <c r="AD469" s="1350"/>
      <c r="AE469" s="1350"/>
      <c r="AF469" s="1350"/>
      <c r="AG469" s="1350"/>
      <c r="AH469" s="1350"/>
      <c r="AI469" s="1350"/>
      <c r="AJ469" s="1350"/>
      <c r="AK469" s="1350"/>
      <c r="AL469" s="1350"/>
      <c r="AM469" s="1350"/>
      <c r="AN469" s="1350"/>
      <c r="AO469" s="1350"/>
      <c r="AP469" s="1350"/>
      <c r="AQ469" s="1350"/>
      <c r="AR469" s="1350"/>
      <c r="AS469" s="1350"/>
      <c r="AT469" s="1350"/>
      <c r="AU469" s="1350"/>
      <c r="AV469" s="1350"/>
      <c r="AW469" s="1350"/>
      <c r="AX469" s="1350"/>
      <c r="AY469" s="1350"/>
      <c r="AZ469" s="1350"/>
      <c r="BA469" s="1070"/>
      <c r="BB469" s="1070"/>
      <c r="BC469" s="1070"/>
      <c r="BD469" s="1070"/>
      <c r="BE469" s="1070"/>
      <c r="BF469" s="1070"/>
      <c r="BG469" s="1070"/>
      <c r="BH469" s="1070"/>
      <c r="BI469" s="1070"/>
      <c r="BJ469" s="1070"/>
      <c r="BK469" s="1070"/>
      <c r="BL469" s="1070"/>
      <c r="BM469" s="1070"/>
      <c r="BN469" s="1070"/>
      <c r="BO469" s="1070"/>
      <c r="BP469" s="1070"/>
      <c r="BQ469" s="1070"/>
      <c r="BR469" s="1070"/>
      <c r="BS469" s="1070"/>
      <c r="BT469" s="1070"/>
      <c r="BU469" s="1070"/>
      <c r="BV469" s="1070"/>
      <c r="BW469" s="1070"/>
      <c r="BX469" s="1070"/>
      <c r="BY469" s="1070"/>
      <c r="BZ469" s="1070"/>
      <c r="CA469" s="1070"/>
      <c r="CB469" s="1070"/>
      <c r="CC469" s="1070"/>
      <c r="CD469" s="1070"/>
      <c r="CE469" s="1070"/>
      <c r="CF469" s="1070"/>
      <c r="CG469" s="1070"/>
      <c r="CH469" s="1070"/>
      <c r="CI469" s="1070"/>
      <c r="CJ469" s="1070"/>
      <c r="CK469" s="1070"/>
      <c r="CL469" s="1070"/>
      <c r="CM469" s="1070"/>
      <c r="CN469" s="1070"/>
      <c r="CO469" s="1070"/>
      <c r="CP469" s="1070"/>
      <c r="CQ469" s="1070"/>
      <c r="CR469" s="1070"/>
      <c r="CS469" s="1070"/>
      <c r="CT469" s="1070"/>
      <c r="CU469" s="1070"/>
      <c r="CV469" s="1070"/>
      <c r="CW469" s="1070"/>
      <c r="CX469" s="1070"/>
      <c r="CY469" s="1070"/>
      <c r="CZ469" s="1070"/>
      <c r="DA469" s="1070"/>
      <c r="DB469" s="1070"/>
      <c r="DC469" s="1070"/>
      <c r="DD469" s="1070"/>
      <c r="DE469" s="1070"/>
      <c r="DF469" s="1070"/>
      <c r="DG469" s="1070"/>
      <c r="DH469" s="1070"/>
      <c r="DI469" s="1070"/>
    </row>
    <row r="470" spans="1:113" ht="15.75" x14ac:dyDescent="0.25">
      <c r="A470" s="1455"/>
      <c r="B470" s="1439"/>
      <c r="C470" s="1432"/>
      <c r="D470" s="1437"/>
      <c r="E470" s="1437"/>
      <c r="F470" s="1437"/>
      <c r="G470" s="1437"/>
      <c r="H470" s="1350"/>
      <c r="I470" s="1350"/>
      <c r="J470" s="1350"/>
      <c r="K470" s="1350"/>
      <c r="L470" s="1350"/>
      <c r="M470" s="1350"/>
      <c r="N470" s="1350"/>
      <c r="O470" s="1350"/>
      <c r="P470" s="1350"/>
      <c r="Q470" s="1350"/>
      <c r="R470" s="1350"/>
      <c r="S470" s="1350"/>
      <c r="T470" s="1350"/>
      <c r="U470" s="1350"/>
      <c r="V470" s="1350"/>
      <c r="W470" s="1350"/>
      <c r="X470" s="1350"/>
      <c r="Y470" s="1350"/>
      <c r="Z470" s="1350"/>
      <c r="AA470" s="1350"/>
      <c r="AB470" s="1350"/>
      <c r="AC470" s="1350"/>
      <c r="AD470" s="1350"/>
      <c r="AE470" s="1350"/>
      <c r="AF470" s="1350"/>
      <c r="AG470" s="1350"/>
      <c r="AH470" s="1350"/>
      <c r="AI470" s="1350"/>
      <c r="AJ470" s="1350"/>
      <c r="AK470" s="1350"/>
      <c r="AL470" s="1350"/>
      <c r="AM470" s="1350"/>
      <c r="AN470" s="1350"/>
      <c r="AO470" s="1350"/>
      <c r="AP470" s="1350"/>
      <c r="AQ470" s="1350"/>
      <c r="AR470" s="1350"/>
      <c r="AS470" s="1350"/>
      <c r="AT470" s="1350"/>
      <c r="AU470" s="1350"/>
      <c r="AV470" s="1350"/>
      <c r="AW470" s="1350"/>
      <c r="AX470" s="1350"/>
      <c r="AY470" s="1350"/>
      <c r="AZ470" s="1350"/>
      <c r="BA470" s="1070"/>
      <c r="BB470" s="1070"/>
      <c r="BC470" s="1070"/>
      <c r="BD470" s="1070"/>
      <c r="BE470" s="1070"/>
      <c r="BF470" s="1070"/>
      <c r="BG470" s="1070"/>
      <c r="BH470" s="1070"/>
      <c r="BI470" s="1070"/>
      <c r="BJ470" s="1070"/>
      <c r="BK470" s="1070"/>
      <c r="BL470" s="1070"/>
      <c r="BM470" s="1070"/>
      <c r="BN470" s="1070"/>
      <c r="BO470" s="1070"/>
      <c r="BP470" s="1070"/>
      <c r="BQ470" s="1070"/>
      <c r="BR470" s="1070"/>
      <c r="BS470" s="1070"/>
      <c r="BT470" s="1070"/>
      <c r="BU470" s="1070"/>
      <c r="BV470" s="1070"/>
      <c r="BW470" s="1070"/>
      <c r="BX470" s="1070"/>
      <c r="BY470" s="1070"/>
      <c r="BZ470" s="1070"/>
      <c r="CA470" s="1070"/>
      <c r="CB470" s="1070"/>
      <c r="CC470" s="1070"/>
      <c r="CD470" s="1070"/>
      <c r="CE470" s="1070"/>
      <c r="CF470" s="1070"/>
      <c r="CG470" s="1070"/>
      <c r="CH470" s="1070"/>
      <c r="CI470" s="1070"/>
      <c r="CJ470" s="1070"/>
      <c r="CK470" s="1070"/>
      <c r="CL470" s="1070"/>
      <c r="CM470" s="1070"/>
      <c r="CN470" s="1070"/>
      <c r="CO470" s="1070"/>
      <c r="CP470" s="1070"/>
      <c r="CQ470" s="1070"/>
      <c r="CR470" s="1070"/>
      <c r="CS470" s="1070"/>
      <c r="CT470" s="1070"/>
      <c r="CU470" s="1070"/>
      <c r="CV470" s="1070"/>
      <c r="CW470" s="1070"/>
      <c r="CX470" s="1070"/>
      <c r="CY470" s="1070"/>
      <c r="CZ470" s="1070"/>
      <c r="DA470" s="1070"/>
      <c r="DB470" s="1070"/>
      <c r="DC470" s="1070"/>
      <c r="DD470" s="1070"/>
      <c r="DE470" s="1070"/>
      <c r="DF470" s="1070"/>
      <c r="DG470" s="1070"/>
      <c r="DH470" s="1070"/>
      <c r="DI470" s="1070"/>
    </row>
    <row r="471" spans="1:113" ht="31.5" x14ac:dyDescent="0.25">
      <c r="A471" s="1438" t="s">
        <v>535</v>
      </c>
      <c r="B471" s="1443"/>
      <c r="C471" s="1437"/>
      <c r="D471" s="1437"/>
      <c r="E471" s="1437"/>
      <c r="F471" s="1437"/>
      <c r="G471" s="1437"/>
      <c r="H471" s="1350"/>
      <c r="I471" s="1350"/>
      <c r="J471" s="1350"/>
      <c r="K471" s="1350"/>
      <c r="L471" s="1350"/>
      <c r="M471" s="1350"/>
      <c r="N471" s="1350"/>
      <c r="O471" s="1350"/>
      <c r="P471" s="1350"/>
      <c r="Q471" s="1350"/>
      <c r="R471" s="1350"/>
      <c r="S471" s="1350"/>
      <c r="T471" s="1350"/>
      <c r="U471" s="1350"/>
      <c r="V471" s="1350"/>
      <c r="W471" s="1350"/>
      <c r="X471" s="1350"/>
      <c r="Y471" s="1350"/>
      <c r="Z471" s="1350"/>
      <c r="AA471" s="1350"/>
      <c r="AB471" s="1350"/>
      <c r="AC471" s="1350"/>
      <c r="AD471" s="1350"/>
      <c r="AE471" s="1350"/>
      <c r="AF471" s="1350"/>
      <c r="AG471" s="1350"/>
      <c r="AH471" s="1350"/>
      <c r="AI471" s="1350"/>
      <c r="AJ471" s="1350"/>
      <c r="AK471" s="1350"/>
      <c r="AL471" s="1350"/>
      <c r="AM471" s="1350"/>
      <c r="AN471" s="1350"/>
      <c r="AO471" s="1350"/>
      <c r="AP471" s="1350"/>
      <c r="AQ471" s="1350"/>
      <c r="AR471" s="1350"/>
      <c r="AS471" s="1350"/>
      <c r="AT471" s="1350"/>
      <c r="AU471" s="1350"/>
      <c r="AV471" s="1350"/>
      <c r="AW471" s="1350"/>
      <c r="AX471" s="1350"/>
      <c r="AY471" s="1350"/>
      <c r="AZ471" s="1350"/>
      <c r="BA471" s="1070"/>
      <c r="BB471" s="1070"/>
      <c r="BC471" s="1070"/>
      <c r="BD471" s="1070"/>
      <c r="BE471" s="1070"/>
      <c r="BF471" s="1070"/>
      <c r="BG471" s="1070"/>
      <c r="BH471" s="1070"/>
      <c r="BI471" s="1070"/>
      <c r="BJ471" s="1070"/>
      <c r="BK471" s="1070"/>
      <c r="BL471" s="1070"/>
      <c r="BM471" s="1070"/>
      <c r="BN471" s="1070"/>
      <c r="BO471" s="1070"/>
      <c r="BP471" s="1070"/>
      <c r="BQ471" s="1070"/>
      <c r="BR471" s="1070"/>
      <c r="BS471" s="1070"/>
      <c r="BT471" s="1070"/>
      <c r="BU471" s="1070"/>
      <c r="BV471" s="1070"/>
      <c r="BW471" s="1070"/>
      <c r="BX471" s="1070"/>
      <c r="BY471" s="1070"/>
      <c r="BZ471" s="1070"/>
      <c r="CA471" s="1070"/>
      <c r="CB471" s="1070"/>
      <c r="CC471" s="1070"/>
      <c r="CD471" s="1070"/>
      <c r="CE471" s="1070"/>
      <c r="CF471" s="1070"/>
      <c r="CG471" s="1070"/>
      <c r="CH471" s="1070"/>
      <c r="CI471" s="1070"/>
      <c r="CJ471" s="1070"/>
      <c r="CK471" s="1070"/>
      <c r="CL471" s="1070"/>
      <c r="CM471" s="1070"/>
      <c r="CN471" s="1070"/>
      <c r="CO471" s="1070"/>
      <c r="CP471" s="1070"/>
      <c r="CQ471" s="1070"/>
      <c r="CR471" s="1070"/>
      <c r="CS471" s="1070"/>
      <c r="CT471" s="1070"/>
      <c r="CU471" s="1070"/>
      <c r="CV471" s="1070"/>
      <c r="CW471" s="1070"/>
      <c r="CX471" s="1070"/>
      <c r="CY471" s="1070"/>
      <c r="CZ471" s="1070"/>
      <c r="DA471" s="1070"/>
      <c r="DB471" s="1070"/>
      <c r="DC471" s="1070"/>
      <c r="DD471" s="1070"/>
      <c r="DE471" s="1070"/>
      <c r="DF471" s="1070"/>
      <c r="DG471" s="1070"/>
      <c r="DH471" s="1070"/>
      <c r="DI471" s="1070"/>
    </row>
    <row r="472" spans="1:113" ht="15.75" x14ac:dyDescent="0.25">
      <c r="A472" s="1430" t="s">
        <v>424</v>
      </c>
      <c r="B472" s="1439">
        <f>B291/B310</f>
        <v>1.25</v>
      </c>
      <c r="C472" s="1432"/>
      <c r="D472" s="1440"/>
      <c r="E472" s="1440"/>
      <c r="F472" s="1440"/>
      <c r="G472" s="1440"/>
      <c r="H472" s="1350"/>
      <c r="I472" s="1350"/>
      <c r="J472" s="1350"/>
      <c r="K472" s="1350"/>
      <c r="L472" s="1350"/>
      <c r="M472" s="1350"/>
      <c r="N472" s="1350"/>
      <c r="O472" s="1350"/>
      <c r="P472" s="1350"/>
      <c r="Q472" s="1350"/>
      <c r="R472" s="1350"/>
      <c r="S472" s="1350"/>
      <c r="T472" s="1350"/>
      <c r="U472" s="1350"/>
      <c r="V472" s="1350"/>
      <c r="W472" s="1350"/>
      <c r="X472" s="1350"/>
      <c r="Y472" s="1350"/>
      <c r="Z472" s="1350"/>
      <c r="AA472" s="1350"/>
      <c r="AB472" s="1350"/>
      <c r="AC472" s="1350"/>
      <c r="AD472" s="1350"/>
      <c r="AE472" s="1350"/>
      <c r="AF472" s="1350"/>
      <c r="AG472" s="1350"/>
      <c r="AH472" s="1350"/>
      <c r="AI472" s="1350"/>
      <c r="AJ472" s="1350"/>
      <c r="AK472" s="1350"/>
      <c r="AL472" s="1350"/>
      <c r="AM472" s="1350"/>
      <c r="AN472" s="1350"/>
      <c r="AO472" s="1350"/>
      <c r="AP472" s="1350"/>
      <c r="AQ472" s="1350"/>
      <c r="AR472" s="1350"/>
      <c r="AS472" s="1350"/>
      <c r="AT472" s="1350"/>
      <c r="AU472" s="1350"/>
      <c r="AV472" s="1350"/>
      <c r="AW472" s="1350"/>
      <c r="AX472" s="1350"/>
      <c r="AY472" s="1350"/>
      <c r="AZ472" s="1350"/>
      <c r="BA472" s="1070"/>
      <c r="BB472" s="1070"/>
      <c r="BC472" s="1070"/>
      <c r="BD472" s="1070"/>
      <c r="BE472" s="1070"/>
      <c r="BF472" s="1070"/>
      <c r="BG472" s="1070"/>
      <c r="BH472" s="1070"/>
      <c r="BI472" s="1070"/>
      <c r="BJ472" s="1070"/>
      <c r="BK472" s="1070"/>
      <c r="BL472" s="1070"/>
      <c r="BM472" s="1070"/>
      <c r="BN472" s="1070"/>
      <c r="BO472" s="1070"/>
      <c r="BP472" s="1070"/>
      <c r="BQ472" s="1070"/>
      <c r="BR472" s="1070"/>
      <c r="BS472" s="1070"/>
      <c r="BT472" s="1070"/>
      <c r="BU472" s="1070"/>
      <c r="BV472" s="1070"/>
      <c r="BW472" s="1070"/>
      <c r="BX472" s="1070"/>
      <c r="BY472" s="1070"/>
      <c r="BZ472" s="1070"/>
      <c r="CA472" s="1070"/>
      <c r="CB472" s="1070"/>
      <c r="CC472" s="1070"/>
      <c r="CD472" s="1070"/>
      <c r="CE472" s="1070"/>
      <c r="CF472" s="1070"/>
      <c r="CG472" s="1070"/>
      <c r="CH472" s="1070"/>
      <c r="CI472" s="1070"/>
      <c r="CJ472" s="1070"/>
      <c r="CK472" s="1070"/>
      <c r="CL472" s="1070"/>
      <c r="CM472" s="1070"/>
      <c r="CN472" s="1070"/>
      <c r="CO472" s="1070"/>
      <c r="CP472" s="1070"/>
      <c r="CQ472" s="1070"/>
      <c r="CR472" s="1070"/>
      <c r="CS472" s="1070"/>
      <c r="CT472" s="1070"/>
      <c r="CU472" s="1070"/>
      <c r="CV472" s="1070"/>
      <c r="CW472" s="1070"/>
      <c r="CX472" s="1070"/>
      <c r="CY472" s="1070"/>
      <c r="CZ472" s="1070"/>
      <c r="DA472" s="1070"/>
      <c r="DB472" s="1070"/>
      <c r="DC472" s="1070"/>
      <c r="DD472" s="1070"/>
      <c r="DE472" s="1070"/>
      <c r="DF472" s="1070"/>
      <c r="DG472" s="1070"/>
      <c r="DH472" s="1070"/>
      <c r="DI472" s="1070"/>
    </row>
    <row r="473" spans="1:113" ht="15.75" x14ac:dyDescent="0.25">
      <c r="A473" s="1430" t="s">
        <v>425</v>
      </c>
      <c r="B473" s="1424">
        <f>IF(B474&lt;2.51,30.8,IF(B474&lt;3.01,26.1,IF(B474&lt;3.31,22.4,IF(B474&lt;3.61,18.9,IF(B474&lt;3.81,16.1,IF(B474&lt;4.4,14,12.1))))))</f>
        <v>22.4</v>
      </c>
      <c r="C473" s="1429"/>
      <c r="D473" s="1437"/>
      <c r="E473" s="1437"/>
      <c r="F473" s="1437"/>
      <c r="G473" s="1437"/>
      <c r="H473" s="1350"/>
      <c r="I473" s="1350"/>
      <c r="J473" s="1350"/>
      <c r="K473" s="1350"/>
      <c r="L473" s="1350"/>
      <c r="M473" s="1350"/>
      <c r="N473" s="1350"/>
      <c r="O473" s="1350"/>
      <c r="P473" s="1350"/>
      <c r="Q473" s="1350"/>
      <c r="R473" s="1350"/>
      <c r="S473" s="1350"/>
      <c r="T473" s="1350"/>
      <c r="U473" s="1350"/>
      <c r="V473" s="1350"/>
      <c r="W473" s="1350"/>
      <c r="X473" s="1350"/>
      <c r="Y473" s="1350"/>
      <c r="Z473" s="1350"/>
      <c r="AA473" s="1350"/>
      <c r="AB473" s="1350"/>
      <c r="AC473" s="1350"/>
      <c r="AD473" s="1350"/>
      <c r="AE473" s="1350"/>
      <c r="AF473" s="1350"/>
      <c r="AG473" s="1350"/>
      <c r="AH473" s="1350"/>
      <c r="AI473" s="1350"/>
      <c r="AJ473" s="1350"/>
      <c r="AK473" s="1350"/>
      <c r="AL473" s="1350"/>
      <c r="AM473" s="1350"/>
      <c r="AN473" s="1350"/>
      <c r="AO473" s="1350"/>
      <c r="AP473" s="1350"/>
      <c r="AQ473" s="1350"/>
      <c r="AR473" s="1350"/>
      <c r="AS473" s="1350"/>
      <c r="AT473" s="1350"/>
      <c r="AU473" s="1350"/>
      <c r="AV473" s="1350"/>
      <c r="AW473" s="1350"/>
      <c r="AX473" s="1350"/>
      <c r="AY473" s="1350"/>
      <c r="AZ473" s="1350"/>
      <c r="BA473" s="1070"/>
      <c r="BB473" s="1070"/>
      <c r="BC473" s="1070"/>
      <c r="BD473" s="1070"/>
      <c r="BE473" s="1070"/>
      <c r="BF473" s="1070"/>
      <c r="BG473" s="1070"/>
      <c r="BH473" s="1070"/>
      <c r="BI473" s="1070"/>
      <c r="BJ473" s="1070"/>
      <c r="BK473" s="1070"/>
      <c r="BL473" s="1070"/>
      <c r="BM473" s="1070"/>
      <c r="BN473" s="1070"/>
      <c r="BO473" s="1070"/>
      <c r="BP473" s="1070"/>
      <c r="BQ473" s="1070"/>
      <c r="BR473" s="1070"/>
      <c r="BS473" s="1070"/>
      <c r="BT473" s="1070"/>
      <c r="BU473" s="1070"/>
      <c r="BV473" s="1070"/>
      <c r="BW473" s="1070"/>
      <c r="BX473" s="1070"/>
      <c r="BY473" s="1070"/>
      <c r="BZ473" s="1070"/>
      <c r="CA473" s="1070"/>
      <c r="CB473" s="1070"/>
      <c r="CC473" s="1070"/>
      <c r="CD473" s="1070"/>
      <c r="CE473" s="1070"/>
      <c r="CF473" s="1070"/>
      <c r="CG473" s="1070"/>
      <c r="CH473" s="1070"/>
      <c r="CI473" s="1070"/>
      <c r="CJ473" s="1070"/>
      <c r="CK473" s="1070"/>
      <c r="CL473" s="1070"/>
      <c r="CM473" s="1070"/>
      <c r="CN473" s="1070"/>
      <c r="CO473" s="1070"/>
      <c r="CP473" s="1070"/>
      <c r="CQ473" s="1070"/>
      <c r="CR473" s="1070"/>
      <c r="CS473" s="1070"/>
      <c r="CT473" s="1070"/>
      <c r="CU473" s="1070"/>
      <c r="CV473" s="1070"/>
      <c r="CW473" s="1070"/>
      <c r="CX473" s="1070"/>
      <c r="CY473" s="1070"/>
      <c r="CZ473" s="1070"/>
      <c r="DA473" s="1070"/>
      <c r="DB473" s="1070"/>
      <c r="DC473" s="1070"/>
      <c r="DD473" s="1070"/>
      <c r="DE473" s="1070"/>
      <c r="DF473" s="1070"/>
      <c r="DG473" s="1070"/>
      <c r="DH473" s="1070"/>
      <c r="DI473" s="1070"/>
    </row>
    <row r="474" spans="1:113" ht="15.75" x14ac:dyDescent="0.25">
      <c r="A474" s="1456" t="s">
        <v>536</v>
      </c>
      <c r="B474" s="1457">
        <v>3.3</v>
      </c>
      <c r="C474" s="1458"/>
      <c r="D474" s="1432"/>
      <c r="E474" s="1432"/>
      <c r="F474" s="1432"/>
      <c r="G474" s="1432"/>
      <c r="H474" s="1350"/>
      <c r="I474" s="1350"/>
      <c r="J474" s="1350"/>
      <c r="K474" s="1350"/>
      <c r="L474" s="1350"/>
      <c r="M474" s="1350"/>
      <c r="N474" s="1350"/>
      <c r="O474" s="1350"/>
      <c r="P474" s="1350"/>
      <c r="Q474" s="1350"/>
      <c r="R474" s="1350"/>
      <c r="S474" s="1350"/>
      <c r="T474" s="1350"/>
      <c r="U474" s="1350"/>
      <c r="V474" s="1350"/>
      <c r="W474" s="1350"/>
      <c r="X474" s="1350"/>
      <c r="Y474" s="1350"/>
      <c r="Z474" s="1350"/>
      <c r="AA474" s="1350"/>
      <c r="AB474" s="1350"/>
      <c r="AC474" s="1350"/>
      <c r="AD474" s="1350"/>
      <c r="AE474" s="1350"/>
      <c r="AF474" s="1350"/>
      <c r="AG474" s="1350"/>
      <c r="AH474" s="1350"/>
      <c r="AI474" s="1350"/>
      <c r="AJ474" s="1350"/>
      <c r="AK474" s="1350"/>
      <c r="AL474" s="1350"/>
      <c r="AM474" s="1350"/>
      <c r="AN474" s="1350"/>
      <c r="AO474" s="1350"/>
      <c r="AP474" s="1350"/>
      <c r="AQ474" s="1350"/>
      <c r="AR474" s="1350"/>
      <c r="AS474" s="1350"/>
      <c r="AT474" s="1350"/>
      <c r="AU474" s="1350"/>
      <c r="AV474" s="1350"/>
      <c r="AW474" s="1350"/>
      <c r="AX474" s="1350"/>
      <c r="AY474" s="1350"/>
      <c r="AZ474" s="1350"/>
      <c r="BA474" s="1070"/>
      <c r="BB474" s="1070"/>
      <c r="BC474" s="1070"/>
      <c r="BD474" s="1070"/>
      <c r="BE474" s="1070"/>
      <c r="BF474" s="1070"/>
      <c r="BG474" s="1070"/>
      <c r="BH474" s="1070"/>
      <c r="BI474" s="1070"/>
      <c r="BJ474" s="1070"/>
      <c r="BK474" s="1070"/>
      <c r="BL474" s="1070"/>
      <c r="BM474" s="1070"/>
      <c r="BN474" s="1070"/>
      <c r="BO474" s="1070"/>
      <c r="BP474" s="1070"/>
      <c r="BQ474" s="1070"/>
      <c r="BR474" s="1070"/>
      <c r="BS474" s="1070"/>
      <c r="BT474" s="1070"/>
      <c r="BU474" s="1070"/>
      <c r="BV474" s="1070"/>
      <c r="BW474" s="1070"/>
      <c r="BX474" s="1070"/>
      <c r="BY474" s="1070"/>
      <c r="BZ474" s="1070"/>
      <c r="CA474" s="1070"/>
      <c r="CB474" s="1070"/>
      <c r="CC474" s="1070"/>
      <c r="CD474" s="1070"/>
      <c r="CE474" s="1070"/>
      <c r="CF474" s="1070"/>
      <c r="CG474" s="1070"/>
      <c r="CH474" s="1070"/>
      <c r="CI474" s="1070"/>
      <c r="CJ474" s="1070"/>
      <c r="CK474" s="1070"/>
      <c r="CL474" s="1070"/>
      <c r="CM474" s="1070"/>
      <c r="CN474" s="1070"/>
      <c r="CO474" s="1070"/>
      <c r="CP474" s="1070"/>
      <c r="CQ474" s="1070"/>
      <c r="CR474" s="1070"/>
      <c r="CS474" s="1070"/>
      <c r="CT474" s="1070"/>
      <c r="CU474" s="1070"/>
      <c r="CV474" s="1070"/>
      <c r="CW474" s="1070"/>
      <c r="CX474" s="1070"/>
      <c r="CY474" s="1070"/>
      <c r="CZ474" s="1070"/>
      <c r="DA474" s="1070"/>
      <c r="DB474" s="1070"/>
      <c r="DC474" s="1070"/>
      <c r="DD474" s="1070"/>
      <c r="DE474" s="1070"/>
      <c r="DF474" s="1070"/>
      <c r="DG474" s="1070"/>
      <c r="DH474" s="1070"/>
      <c r="DI474" s="1070"/>
    </row>
    <row r="475" spans="1:113" ht="15.75" x14ac:dyDescent="0.25">
      <c r="A475" s="1420" t="s">
        <v>3412</v>
      </c>
      <c r="B475" s="1433" t="e">
        <f>B473*B341</f>
        <v>#VALUE!</v>
      </c>
      <c r="C475" s="1437"/>
      <c r="D475" s="1432"/>
      <c r="E475" s="1432"/>
      <c r="F475" s="1432"/>
      <c r="G475" s="1432"/>
      <c r="H475" s="1350"/>
      <c r="I475" s="1350"/>
      <c r="J475" s="1350"/>
      <c r="K475" s="1350"/>
      <c r="L475" s="1350"/>
      <c r="M475" s="1350"/>
      <c r="N475" s="1350"/>
      <c r="O475" s="1350"/>
      <c r="P475" s="1350"/>
      <c r="Q475" s="1350"/>
      <c r="R475" s="1350"/>
      <c r="S475" s="1350"/>
      <c r="T475" s="1350"/>
      <c r="U475" s="1350"/>
      <c r="V475" s="1350"/>
      <c r="W475" s="1350"/>
      <c r="X475" s="1350"/>
      <c r="Y475" s="1350"/>
      <c r="Z475" s="1350"/>
      <c r="AA475" s="1350"/>
      <c r="AB475" s="1350"/>
      <c r="AC475" s="1350"/>
      <c r="AD475" s="1350"/>
      <c r="AE475" s="1350"/>
      <c r="AF475" s="1350"/>
      <c r="AG475" s="1350"/>
      <c r="AH475" s="1350"/>
      <c r="AI475" s="1350"/>
      <c r="AJ475" s="1350"/>
      <c r="AK475" s="1350"/>
      <c r="AL475" s="1350"/>
      <c r="AM475" s="1350"/>
      <c r="AN475" s="1350"/>
      <c r="AO475" s="1350"/>
      <c r="AP475" s="1350"/>
      <c r="AQ475" s="1350"/>
      <c r="AR475" s="1350"/>
      <c r="AS475" s="1350"/>
      <c r="AT475" s="1350"/>
      <c r="AU475" s="1350"/>
      <c r="AV475" s="1350"/>
      <c r="AW475" s="1350"/>
      <c r="AX475" s="1350"/>
      <c r="AY475" s="1350"/>
      <c r="AZ475" s="1350"/>
      <c r="BA475" s="1070"/>
      <c r="BB475" s="1070"/>
      <c r="BC475" s="1070"/>
      <c r="BD475" s="1070"/>
      <c r="BE475" s="1070"/>
      <c r="BF475" s="1070"/>
      <c r="BG475" s="1070"/>
      <c r="BH475" s="1070"/>
      <c r="BI475" s="1070"/>
      <c r="BJ475" s="1070"/>
      <c r="BK475" s="1070"/>
      <c r="BL475" s="1070"/>
      <c r="BM475" s="1070"/>
      <c r="BN475" s="1070"/>
      <c r="BO475" s="1070"/>
      <c r="BP475" s="1070"/>
      <c r="BQ475" s="1070"/>
      <c r="BR475" s="1070"/>
      <c r="BS475" s="1070"/>
      <c r="BT475" s="1070"/>
      <c r="BU475" s="1070"/>
      <c r="BV475" s="1070"/>
      <c r="BW475" s="1070"/>
      <c r="BX475" s="1070"/>
      <c r="BY475" s="1070"/>
      <c r="BZ475" s="1070"/>
      <c r="CA475" s="1070"/>
      <c r="CB475" s="1070"/>
      <c r="CC475" s="1070"/>
      <c r="CD475" s="1070"/>
      <c r="CE475" s="1070"/>
      <c r="CF475" s="1070"/>
      <c r="CG475" s="1070"/>
      <c r="CH475" s="1070"/>
      <c r="CI475" s="1070"/>
      <c r="CJ475" s="1070"/>
      <c r="CK475" s="1070"/>
      <c r="CL475" s="1070"/>
      <c r="CM475" s="1070"/>
      <c r="CN475" s="1070"/>
      <c r="CO475" s="1070"/>
      <c r="CP475" s="1070"/>
      <c r="CQ475" s="1070"/>
      <c r="CR475" s="1070"/>
      <c r="CS475" s="1070"/>
      <c r="CT475" s="1070"/>
      <c r="CU475" s="1070"/>
      <c r="CV475" s="1070"/>
      <c r="CW475" s="1070"/>
      <c r="CX475" s="1070"/>
      <c r="CY475" s="1070"/>
      <c r="CZ475" s="1070"/>
      <c r="DA475" s="1070"/>
      <c r="DB475" s="1070"/>
      <c r="DC475" s="1070"/>
      <c r="DD475" s="1070"/>
      <c r="DE475" s="1070"/>
      <c r="DF475" s="1070"/>
      <c r="DG475" s="1070"/>
      <c r="DH475" s="1070"/>
      <c r="DI475" s="1070"/>
    </row>
    <row r="476" spans="1:113" ht="15.75" x14ac:dyDescent="0.25">
      <c r="A476" s="1452" t="s">
        <v>429</v>
      </c>
      <c r="B476" s="1459" t="e">
        <f>B472/B475</f>
        <v>#VALUE!</v>
      </c>
      <c r="C476" s="1454"/>
      <c r="D476" s="1454"/>
      <c r="E476" s="1454"/>
      <c r="F476" s="1454"/>
      <c r="G476" s="1454"/>
      <c r="H476" s="1350"/>
      <c r="I476" s="1350"/>
      <c r="J476" s="1350"/>
      <c r="K476" s="1350"/>
      <c r="L476" s="1350"/>
      <c r="M476" s="1350"/>
      <c r="N476" s="1350"/>
      <c r="O476" s="1350"/>
      <c r="P476" s="1350"/>
      <c r="Q476" s="1350"/>
      <c r="R476" s="1350"/>
      <c r="S476" s="1350"/>
      <c r="T476" s="1350"/>
      <c r="U476" s="1350"/>
      <c r="V476" s="1350"/>
      <c r="W476" s="1350"/>
      <c r="X476" s="1350"/>
      <c r="Y476" s="1350"/>
      <c r="Z476" s="1350"/>
      <c r="AA476" s="1350"/>
      <c r="AB476" s="1350"/>
      <c r="AC476" s="1350"/>
      <c r="AD476" s="1350"/>
      <c r="AE476" s="1350"/>
      <c r="AF476" s="1350"/>
      <c r="AG476" s="1350"/>
      <c r="AH476" s="1350"/>
      <c r="AI476" s="1350"/>
      <c r="AJ476" s="1350"/>
      <c r="AK476" s="1350"/>
      <c r="AL476" s="1350"/>
      <c r="AM476" s="1350"/>
      <c r="AN476" s="1350"/>
      <c r="AO476" s="1350"/>
      <c r="AP476" s="1350"/>
      <c r="AQ476" s="1350"/>
      <c r="AR476" s="1350"/>
      <c r="AS476" s="1350"/>
      <c r="AT476" s="1350"/>
      <c r="AU476" s="1350"/>
      <c r="AV476" s="1350"/>
      <c r="AW476" s="1350"/>
      <c r="AX476" s="1350"/>
      <c r="AY476" s="1350"/>
      <c r="AZ476" s="1350"/>
      <c r="BA476" s="1070"/>
      <c r="BB476" s="1070"/>
      <c r="BC476" s="1070"/>
      <c r="BD476" s="1070"/>
      <c r="BE476" s="1070"/>
      <c r="BF476" s="1070"/>
      <c r="BG476" s="1070"/>
      <c r="BH476" s="1070"/>
      <c r="BI476" s="1070"/>
      <c r="BJ476" s="1070"/>
      <c r="BK476" s="1070"/>
      <c r="BL476" s="1070"/>
      <c r="BM476" s="1070"/>
      <c r="BN476" s="1070"/>
      <c r="BO476" s="1070"/>
      <c r="BP476" s="1070"/>
      <c r="BQ476" s="1070"/>
      <c r="BR476" s="1070"/>
      <c r="BS476" s="1070"/>
      <c r="BT476" s="1070"/>
      <c r="BU476" s="1070"/>
      <c r="BV476" s="1070"/>
      <c r="BW476" s="1070"/>
      <c r="BX476" s="1070"/>
      <c r="BY476" s="1070"/>
      <c r="BZ476" s="1070"/>
      <c r="CA476" s="1070"/>
      <c r="CB476" s="1070"/>
      <c r="CC476" s="1070"/>
      <c r="CD476" s="1070"/>
      <c r="CE476" s="1070"/>
      <c r="CF476" s="1070"/>
      <c r="CG476" s="1070"/>
      <c r="CH476" s="1070"/>
      <c r="CI476" s="1070"/>
      <c r="CJ476" s="1070"/>
      <c r="CK476" s="1070"/>
      <c r="CL476" s="1070"/>
      <c r="CM476" s="1070"/>
      <c r="CN476" s="1070"/>
      <c r="CO476" s="1070"/>
      <c r="CP476" s="1070"/>
      <c r="CQ476" s="1070"/>
      <c r="CR476" s="1070"/>
      <c r="CS476" s="1070"/>
      <c r="CT476" s="1070"/>
      <c r="CU476" s="1070"/>
      <c r="CV476" s="1070"/>
      <c r="CW476" s="1070"/>
      <c r="CX476" s="1070"/>
      <c r="CY476" s="1070"/>
      <c r="CZ476" s="1070"/>
      <c r="DA476" s="1070"/>
      <c r="DB476" s="1070"/>
      <c r="DC476" s="1070"/>
      <c r="DD476" s="1070"/>
      <c r="DE476" s="1070"/>
      <c r="DF476" s="1070"/>
      <c r="DG476" s="1070"/>
      <c r="DH476" s="1070"/>
      <c r="DI476" s="1070"/>
    </row>
    <row r="477" spans="1:113" ht="15.75" x14ac:dyDescent="0.25">
      <c r="A477" s="1460"/>
      <c r="B477" s="1439"/>
      <c r="C477" s="1432"/>
      <c r="D477" s="1350"/>
      <c r="E477" s="1350"/>
      <c r="F477" s="1350"/>
      <c r="G477" s="1350"/>
      <c r="H477" s="1350"/>
      <c r="I477" s="1350"/>
      <c r="J477" s="1350"/>
      <c r="K477" s="1350"/>
      <c r="L477" s="1350"/>
      <c r="M477" s="1350"/>
      <c r="N477" s="1350"/>
      <c r="O477" s="1350"/>
      <c r="P477" s="1350"/>
      <c r="Q477" s="1350"/>
      <c r="R477" s="1350"/>
      <c r="S477" s="1350"/>
      <c r="T477" s="1350"/>
      <c r="U477" s="1350"/>
      <c r="V477" s="1350"/>
      <c r="W477" s="1350"/>
      <c r="X477" s="1350"/>
      <c r="Y477" s="1350"/>
      <c r="Z477" s="1350"/>
      <c r="AA477" s="1350"/>
      <c r="AB477" s="1350"/>
      <c r="AC477" s="1350"/>
      <c r="AD477" s="1350"/>
      <c r="AE477" s="1350"/>
      <c r="AF477" s="1350"/>
      <c r="AG477" s="1350"/>
      <c r="AH477" s="1350"/>
      <c r="AI477" s="1350"/>
      <c r="AJ477" s="1350"/>
      <c r="AK477" s="1350"/>
      <c r="AL477" s="1350"/>
      <c r="AM477" s="1350"/>
      <c r="AN477" s="1350"/>
      <c r="AO477" s="1350"/>
      <c r="AP477" s="1350"/>
      <c r="AQ477" s="1350"/>
      <c r="AR477" s="1350"/>
      <c r="AS477" s="1350"/>
      <c r="AT477" s="1350"/>
      <c r="AU477" s="1350"/>
      <c r="AV477" s="1350"/>
      <c r="AW477" s="1350"/>
      <c r="AX477" s="1350"/>
      <c r="AY477" s="1350"/>
      <c r="AZ477" s="1350"/>
      <c r="BA477" s="1070"/>
      <c r="BB477" s="1070"/>
      <c r="BC477" s="1070"/>
      <c r="BD477" s="1070"/>
      <c r="BE477" s="1070"/>
      <c r="BF477" s="1070"/>
      <c r="BG477" s="1070"/>
      <c r="BH477" s="1070"/>
      <c r="BI477" s="1070"/>
      <c r="BJ477" s="1070"/>
      <c r="BK477" s="1070"/>
      <c r="BL477" s="1070"/>
      <c r="BM477" s="1070"/>
      <c r="BN477" s="1070"/>
      <c r="BO477" s="1070"/>
      <c r="BP477" s="1070"/>
      <c r="BQ477" s="1070"/>
      <c r="BR477" s="1070"/>
      <c r="BS477" s="1070"/>
      <c r="BT477" s="1070"/>
      <c r="BU477" s="1070"/>
      <c r="BV477" s="1070"/>
      <c r="BW477" s="1070"/>
      <c r="BX477" s="1070"/>
      <c r="BY477" s="1070"/>
      <c r="BZ477" s="1070"/>
      <c r="CA477" s="1070"/>
      <c r="CB477" s="1070"/>
      <c r="CC477" s="1070"/>
      <c r="CD477" s="1070"/>
      <c r="CE477" s="1070"/>
      <c r="CF477" s="1070"/>
      <c r="CG477" s="1070"/>
      <c r="CH477" s="1070"/>
      <c r="CI477" s="1070"/>
      <c r="CJ477" s="1070"/>
      <c r="CK477" s="1070"/>
      <c r="CL477" s="1070"/>
      <c r="CM477" s="1070"/>
      <c r="CN477" s="1070"/>
      <c r="CO477" s="1070"/>
      <c r="CP477" s="1070"/>
      <c r="CQ477" s="1070"/>
      <c r="CR477" s="1070"/>
      <c r="CS477" s="1070"/>
      <c r="CT477" s="1070"/>
      <c r="CU477" s="1070"/>
      <c r="CV477" s="1070"/>
      <c r="CW477" s="1070"/>
      <c r="CX477" s="1070"/>
      <c r="CY477" s="1070"/>
      <c r="CZ477" s="1070"/>
      <c r="DA477" s="1070"/>
      <c r="DB477" s="1070"/>
      <c r="DC477" s="1070"/>
      <c r="DD477" s="1070"/>
      <c r="DE477" s="1070"/>
      <c r="DF477" s="1070"/>
      <c r="DG477" s="1070"/>
      <c r="DH477" s="1070"/>
      <c r="DI477" s="1070"/>
    </row>
    <row r="478" spans="1:113" ht="15.75" x14ac:dyDescent="0.25">
      <c r="A478" s="1461" t="s">
        <v>2994</v>
      </c>
      <c r="B478" s="1439"/>
      <c r="C478" s="1432"/>
      <c r="D478" s="1350"/>
      <c r="E478" s="1350"/>
      <c r="F478" s="1350"/>
      <c r="G478" s="1350"/>
      <c r="H478" s="1350"/>
      <c r="I478" s="1350"/>
      <c r="J478" s="1350"/>
      <c r="K478" s="1350"/>
      <c r="L478" s="1350"/>
      <c r="M478" s="1350"/>
      <c r="N478" s="1350"/>
      <c r="O478" s="1350"/>
      <c r="P478" s="1350"/>
      <c r="Q478" s="1350"/>
      <c r="R478" s="1350"/>
      <c r="S478" s="1350"/>
      <c r="T478" s="1350"/>
      <c r="U478" s="1350"/>
      <c r="V478" s="1350"/>
      <c r="W478" s="1350"/>
      <c r="X478" s="1350"/>
      <c r="Y478" s="1350"/>
      <c r="Z478" s="1350"/>
      <c r="AA478" s="1350"/>
      <c r="AB478" s="1350"/>
      <c r="AC478" s="1350"/>
      <c r="AD478" s="1350"/>
      <c r="AE478" s="1350"/>
      <c r="AF478" s="1350"/>
      <c r="AG478" s="1350"/>
      <c r="AH478" s="1350"/>
      <c r="AI478" s="1350"/>
      <c r="AJ478" s="1350"/>
      <c r="AK478" s="1350"/>
      <c r="AL478" s="1350"/>
      <c r="AM478" s="1350"/>
      <c r="AN478" s="1350"/>
      <c r="AO478" s="1350"/>
      <c r="AP478" s="1350"/>
      <c r="AQ478" s="1350"/>
      <c r="AR478" s="1350"/>
      <c r="AS478" s="1350"/>
      <c r="AT478" s="1350"/>
      <c r="AU478" s="1350"/>
      <c r="AV478" s="1350"/>
      <c r="AW478" s="1350"/>
      <c r="AX478" s="1350"/>
      <c r="AY478" s="1350"/>
      <c r="AZ478" s="1350"/>
      <c r="BA478" s="1070"/>
      <c r="BB478" s="1070"/>
      <c r="BC478" s="1070"/>
      <c r="BD478" s="1070"/>
      <c r="BE478" s="1070"/>
      <c r="BF478" s="1070"/>
      <c r="BG478" s="1070"/>
      <c r="BH478" s="1070"/>
      <c r="BI478" s="1070"/>
      <c r="BJ478" s="1070"/>
      <c r="BK478" s="1070"/>
      <c r="BL478" s="1070"/>
      <c r="BM478" s="1070"/>
      <c r="BN478" s="1070"/>
      <c r="BO478" s="1070"/>
      <c r="BP478" s="1070"/>
      <c r="BQ478" s="1070"/>
      <c r="BR478" s="1070"/>
      <c r="BS478" s="1070"/>
      <c r="BT478" s="1070"/>
      <c r="BU478" s="1070"/>
      <c r="BV478" s="1070"/>
      <c r="BW478" s="1070"/>
      <c r="BX478" s="1070"/>
      <c r="BY478" s="1070"/>
      <c r="BZ478" s="1070"/>
      <c r="CA478" s="1070"/>
      <c r="CB478" s="1070"/>
      <c r="CC478" s="1070"/>
      <c r="CD478" s="1070"/>
      <c r="CE478" s="1070"/>
      <c r="CF478" s="1070"/>
      <c r="CG478" s="1070"/>
      <c r="CH478" s="1070"/>
      <c r="CI478" s="1070"/>
      <c r="CJ478" s="1070"/>
      <c r="CK478" s="1070"/>
      <c r="CL478" s="1070"/>
      <c r="CM478" s="1070"/>
      <c r="CN478" s="1070"/>
      <c r="CO478" s="1070"/>
      <c r="CP478" s="1070"/>
      <c r="CQ478" s="1070"/>
      <c r="CR478" s="1070"/>
      <c r="CS478" s="1070"/>
      <c r="CT478" s="1070"/>
      <c r="CU478" s="1070"/>
      <c r="CV478" s="1070"/>
      <c r="CW478" s="1070"/>
      <c r="CX478" s="1070"/>
      <c r="CY478" s="1070"/>
      <c r="CZ478" s="1070"/>
      <c r="DA478" s="1070"/>
      <c r="DB478" s="1070"/>
      <c r="DC478" s="1070"/>
      <c r="DD478" s="1070"/>
      <c r="DE478" s="1070"/>
      <c r="DF478" s="1070"/>
      <c r="DG478" s="1070"/>
      <c r="DH478" s="1070"/>
      <c r="DI478" s="1070"/>
    </row>
    <row r="479" spans="1:113" ht="15.75" x14ac:dyDescent="0.25">
      <c r="A479" s="1430" t="s">
        <v>2995</v>
      </c>
      <c r="B479" s="1439" t="e">
        <f>B286*B306*B291*B293*B290</f>
        <v>#VALUE!</v>
      </c>
      <c r="C479" s="1432"/>
      <c r="D479" s="1432"/>
      <c r="E479" s="1432" t="s">
        <v>2996</v>
      </c>
      <c r="F479" s="1432"/>
      <c r="G479" s="1432"/>
      <c r="H479" s="1350"/>
      <c r="I479" s="1350"/>
      <c r="J479" s="1350"/>
      <c r="K479" s="1350"/>
      <c r="L479" s="1350"/>
      <c r="M479" s="1350"/>
      <c r="N479" s="1350"/>
      <c r="O479" s="1350"/>
      <c r="P479" s="1350"/>
      <c r="Q479" s="1350"/>
      <c r="R479" s="1350"/>
      <c r="S479" s="1350"/>
      <c r="T479" s="1350"/>
      <c r="U479" s="1350"/>
      <c r="V479" s="1350"/>
      <c r="W479" s="1350"/>
      <c r="X479" s="1350"/>
      <c r="Y479" s="1350"/>
      <c r="Z479" s="1350"/>
      <c r="AA479" s="1350"/>
      <c r="AB479" s="1350"/>
      <c r="AC479" s="1350"/>
      <c r="AD479" s="1350"/>
      <c r="AE479" s="1350"/>
      <c r="AF479" s="1350"/>
      <c r="AG479" s="1350"/>
      <c r="AH479" s="1350"/>
      <c r="AI479" s="1350"/>
      <c r="AJ479" s="1350"/>
      <c r="AK479" s="1350"/>
      <c r="AL479" s="1350"/>
      <c r="AM479" s="1350"/>
      <c r="AN479" s="1350"/>
      <c r="AO479" s="1350"/>
      <c r="AP479" s="1350"/>
      <c r="AQ479" s="1350"/>
      <c r="AR479" s="1350"/>
      <c r="AS479" s="1350"/>
      <c r="AT479" s="1350"/>
      <c r="AU479" s="1350"/>
      <c r="AV479" s="1350"/>
      <c r="AW479" s="1350"/>
      <c r="AX479" s="1350"/>
      <c r="AY479" s="1350"/>
      <c r="AZ479" s="1350"/>
      <c r="BA479" s="1070"/>
      <c r="BB479" s="1070"/>
      <c r="BC479" s="1070"/>
      <c r="BD479" s="1070"/>
      <c r="BE479" s="1070"/>
      <c r="BF479" s="1070"/>
      <c r="BG479" s="1070"/>
      <c r="BH479" s="1070"/>
      <c r="BI479" s="1070"/>
      <c r="BJ479" s="1070"/>
      <c r="BK479" s="1070"/>
      <c r="BL479" s="1070"/>
      <c r="BM479" s="1070"/>
      <c r="BN479" s="1070"/>
      <c r="BO479" s="1070"/>
      <c r="BP479" s="1070"/>
      <c r="BQ479" s="1070"/>
      <c r="BR479" s="1070"/>
      <c r="BS479" s="1070"/>
      <c r="BT479" s="1070"/>
      <c r="BU479" s="1070"/>
      <c r="BV479" s="1070"/>
      <c r="BW479" s="1070"/>
      <c r="BX479" s="1070"/>
      <c r="BY479" s="1070"/>
      <c r="BZ479" s="1070"/>
      <c r="CA479" s="1070"/>
      <c r="CB479" s="1070"/>
      <c r="CC479" s="1070"/>
      <c r="CD479" s="1070"/>
      <c r="CE479" s="1070"/>
      <c r="CF479" s="1070"/>
      <c r="CG479" s="1070"/>
      <c r="CH479" s="1070"/>
      <c r="CI479" s="1070"/>
      <c r="CJ479" s="1070"/>
      <c r="CK479" s="1070"/>
      <c r="CL479" s="1070"/>
      <c r="CM479" s="1070"/>
      <c r="CN479" s="1070"/>
      <c r="CO479" s="1070"/>
      <c r="CP479" s="1070"/>
      <c r="CQ479" s="1070"/>
      <c r="CR479" s="1070"/>
      <c r="CS479" s="1070"/>
      <c r="CT479" s="1070"/>
      <c r="CU479" s="1070"/>
      <c r="CV479" s="1070"/>
      <c r="CW479" s="1070"/>
      <c r="CX479" s="1070"/>
      <c r="CY479" s="1070"/>
      <c r="CZ479" s="1070"/>
      <c r="DA479" s="1070"/>
      <c r="DB479" s="1070"/>
      <c r="DC479" s="1070"/>
      <c r="DD479" s="1070"/>
      <c r="DE479" s="1070"/>
      <c r="DF479" s="1070"/>
      <c r="DG479" s="1070"/>
      <c r="DH479" s="1070"/>
      <c r="DI479" s="1070"/>
    </row>
    <row r="480" spans="1:113" ht="15.75" x14ac:dyDescent="0.25">
      <c r="A480" s="1430" t="s">
        <v>425</v>
      </c>
      <c r="B480" s="1439">
        <f>INDEX($I$1475:$Q$1478,B481,B482)</f>
        <v>12.91</v>
      </c>
      <c r="C480" s="1432"/>
      <c r="D480" s="1429"/>
      <c r="E480" s="1429"/>
      <c r="F480" s="1429"/>
      <c r="G480" s="1429"/>
      <c r="H480" s="1350"/>
      <c r="I480" s="1350"/>
      <c r="J480" s="1350"/>
      <c r="K480" s="1350"/>
      <c r="L480" s="1350"/>
      <c r="M480" s="1350"/>
      <c r="N480" s="1350"/>
      <c r="O480" s="1350"/>
      <c r="P480" s="1350"/>
      <c r="Q480" s="1350"/>
      <c r="R480" s="1350"/>
      <c r="S480" s="1350"/>
      <c r="T480" s="1350"/>
      <c r="U480" s="1350"/>
      <c r="V480" s="1350"/>
      <c r="W480" s="1350"/>
      <c r="X480" s="1350"/>
      <c r="Y480" s="1350"/>
      <c r="Z480" s="1350"/>
      <c r="AA480" s="1350"/>
      <c r="AB480" s="1350"/>
      <c r="AC480" s="1350"/>
      <c r="AD480" s="1350"/>
      <c r="AE480" s="1350"/>
      <c r="AF480" s="1350"/>
      <c r="AG480" s="1350"/>
      <c r="AH480" s="1350"/>
      <c r="AI480" s="1350"/>
      <c r="AJ480" s="1350"/>
      <c r="AK480" s="1350"/>
      <c r="AL480" s="1350"/>
      <c r="AM480" s="1350"/>
      <c r="AN480" s="1350"/>
      <c r="AO480" s="1350"/>
      <c r="AP480" s="1350"/>
      <c r="AQ480" s="1350"/>
      <c r="AR480" s="1350"/>
      <c r="AS480" s="1350"/>
      <c r="AT480" s="1350"/>
      <c r="AU480" s="1350"/>
      <c r="AV480" s="1350"/>
      <c r="AW480" s="1350"/>
      <c r="AX480" s="1350"/>
      <c r="AY480" s="1350"/>
      <c r="AZ480" s="1350"/>
      <c r="BA480" s="1070"/>
      <c r="BB480" s="1070"/>
      <c r="BC480" s="1070"/>
      <c r="BD480" s="1070"/>
      <c r="BE480" s="1070"/>
      <c r="BF480" s="1070"/>
      <c r="BG480" s="1070"/>
      <c r="BH480" s="1070"/>
      <c r="BI480" s="1070"/>
      <c r="BJ480" s="1070"/>
      <c r="BK480" s="1070"/>
      <c r="BL480" s="1070"/>
      <c r="BM480" s="1070"/>
      <c r="BN480" s="1070"/>
      <c r="BO480" s="1070"/>
      <c r="BP480" s="1070"/>
      <c r="BQ480" s="1070"/>
      <c r="BR480" s="1070"/>
      <c r="BS480" s="1070"/>
      <c r="BT480" s="1070"/>
      <c r="BU480" s="1070"/>
      <c r="BV480" s="1070"/>
      <c r="BW480" s="1070"/>
      <c r="BX480" s="1070"/>
      <c r="BY480" s="1070"/>
      <c r="BZ480" s="1070"/>
      <c r="CA480" s="1070"/>
      <c r="CB480" s="1070"/>
      <c r="CC480" s="1070"/>
      <c r="CD480" s="1070"/>
      <c r="CE480" s="1070"/>
      <c r="CF480" s="1070"/>
      <c r="CG480" s="1070"/>
      <c r="CH480" s="1070"/>
      <c r="CI480" s="1070"/>
      <c r="CJ480" s="1070"/>
      <c r="CK480" s="1070"/>
      <c r="CL480" s="1070"/>
      <c r="CM480" s="1070"/>
      <c r="CN480" s="1070"/>
      <c r="CO480" s="1070"/>
      <c r="CP480" s="1070"/>
      <c r="CQ480" s="1070"/>
      <c r="CR480" s="1070"/>
      <c r="CS480" s="1070"/>
      <c r="CT480" s="1070"/>
      <c r="CU480" s="1070"/>
      <c r="CV480" s="1070"/>
      <c r="CW480" s="1070"/>
      <c r="CX480" s="1070"/>
      <c r="CY480" s="1070"/>
      <c r="CZ480" s="1070"/>
      <c r="DA480" s="1070"/>
      <c r="DB480" s="1070"/>
      <c r="DC480" s="1070"/>
      <c r="DD480" s="1070"/>
      <c r="DE480" s="1070"/>
      <c r="DF480" s="1070"/>
      <c r="DG480" s="1070"/>
      <c r="DH480" s="1070"/>
      <c r="DI480" s="1070"/>
    </row>
    <row r="481" spans="1:113" ht="15.75" x14ac:dyDescent="0.25">
      <c r="A481" s="1430" t="s">
        <v>2997</v>
      </c>
      <c r="B481" s="1441">
        <f>IF(B286&lt;0.91,1,IF(B286&lt;0.126,2,IF(B286&lt;1.6,3,4)))</f>
        <v>4</v>
      </c>
      <c r="C481" s="1434"/>
      <c r="D481" s="1458"/>
      <c r="E481" s="1458"/>
      <c r="F481" s="1458"/>
      <c r="G481" s="1458"/>
      <c r="H481" s="1350"/>
      <c r="I481" s="1350"/>
      <c r="J481" s="1350"/>
      <c r="K481" s="1350"/>
      <c r="L481" s="1350"/>
      <c r="M481" s="1350"/>
      <c r="N481" s="1350"/>
      <c r="O481" s="1350"/>
      <c r="P481" s="1350"/>
      <c r="Q481" s="1350"/>
      <c r="R481" s="1350"/>
      <c r="S481" s="1350"/>
      <c r="T481" s="1350"/>
      <c r="U481" s="1350"/>
      <c r="V481" s="1350"/>
      <c r="W481" s="1350"/>
      <c r="X481" s="1350"/>
      <c r="Y481" s="1350"/>
      <c r="Z481" s="1350"/>
      <c r="AA481" s="1350"/>
      <c r="AB481" s="1350"/>
      <c r="AC481" s="1350"/>
      <c r="AD481" s="1350"/>
      <c r="AE481" s="1350"/>
      <c r="AF481" s="1350"/>
      <c r="AG481" s="1350"/>
      <c r="AH481" s="1350"/>
      <c r="AI481" s="1350"/>
      <c r="AJ481" s="1350"/>
      <c r="AK481" s="1350"/>
      <c r="AL481" s="1350"/>
      <c r="AM481" s="1350"/>
      <c r="AN481" s="1350"/>
      <c r="AO481" s="1350"/>
      <c r="AP481" s="1350"/>
      <c r="AQ481" s="1350"/>
      <c r="AR481" s="1350"/>
      <c r="AS481" s="1350"/>
      <c r="AT481" s="1350"/>
      <c r="AU481" s="1350"/>
      <c r="AV481" s="1350"/>
      <c r="AW481" s="1350"/>
      <c r="AX481" s="1350"/>
      <c r="AY481" s="1350"/>
      <c r="AZ481" s="1350"/>
      <c r="BA481" s="1070"/>
      <c r="BB481" s="1070"/>
      <c r="BC481" s="1070"/>
      <c r="BD481" s="1070"/>
      <c r="BE481" s="1070"/>
      <c r="BF481" s="1070"/>
      <c r="BG481" s="1070"/>
      <c r="BH481" s="1070"/>
      <c r="BI481" s="1070"/>
      <c r="BJ481" s="1070"/>
      <c r="BK481" s="1070"/>
      <c r="BL481" s="1070"/>
      <c r="BM481" s="1070"/>
      <c r="BN481" s="1070"/>
      <c r="BO481" s="1070"/>
      <c r="BP481" s="1070"/>
      <c r="BQ481" s="1070"/>
      <c r="BR481" s="1070"/>
      <c r="BS481" s="1070"/>
      <c r="BT481" s="1070"/>
      <c r="BU481" s="1070"/>
      <c r="BV481" s="1070"/>
      <c r="BW481" s="1070"/>
      <c r="BX481" s="1070"/>
      <c r="BY481" s="1070"/>
      <c r="BZ481" s="1070"/>
      <c r="CA481" s="1070"/>
      <c r="CB481" s="1070"/>
      <c r="CC481" s="1070"/>
      <c r="CD481" s="1070"/>
      <c r="CE481" s="1070"/>
      <c r="CF481" s="1070"/>
      <c r="CG481" s="1070"/>
      <c r="CH481" s="1070"/>
      <c r="CI481" s="1070"/>
      <c r="CJ481" s="1070"/>
      <c r="CK481" s="1070"/>
      <c r="CL481" s="1070"/>
      <c r="CM481" s="1070"/>
      <c r="CN481" s="1070"/>
      <c r="CO481" s="1070"/>
      <c r="CP481" s="1070"/>
      <c r="CQ481" s="1070"/>
      <c r="CR481" s="1070"/>
      <c r="CS481" s="1070"/>
      <c r="CT481" s="1070"/>
      <c r="CU481" s="1070"/>
      <c r="CV481" s="1070"/>
      <c r="CW481" s="1070"/>
      <c r="CX481" s="1070"/>
      <c r="CY481" s="1070"/>
      <c r="CZ481" s="1070"/>
      <c r="DA481" s="1070"/>
      <c r="DB481" s="1070"/>
      <c r="DC481" s="1070"/>
      <c r="DD481" s="1070"/>
      <c r="DE481" s="1070"/>
      <c r="DF481" s="1070"/>
      <c r="DG481" s="1070"/>
      <c r="DH481" s="1070"/>
      <c r="DI481" s="1070"/>
    </row>
    <row r="482" spans="1:113" ht="15.75" x14ac:dyDescent="0.25">
      <c r="A482" s="1430" t="s">
        <v>2998</v>
      </c>
      <c r="B482" s="1441">
        <f>B319</f>
        <v>4</v>
      </c>
      <c r="C482" s="1434"/>
      <c r="D482" s="1437"/>
      <c r="E482" s="1437"/>
      <c r="F482" s="1437"/>
      <c r="G482" s="1437"/>
      <c r="H482" s="1350"/>
      <c r="I482" s="1350"/>
      <c r="J482" s="1350"/>
      <c r="K482" s="1350"/>
      <c r="L482" s="1350"/>
      <c r="M482" s="1350"/>
      <c r="N482" s="1350"/>
      <c r="O482" s="1350"/>
      <c r="P482" s="1350"/>
      <c r="Q482" s="1350"/>
      <c r="R482" s="1350"/>
      <c r="S482" s="1350"/>
      <c r="T482" s="1350"/>
      <c r="U482" s="1350"/>
      <c r="V482" s="1350"/>
      <c r="W482" s="1350"/>
      <c r="X482" s="1350"/>
      <c r="Y482" s="1350"/>
      <c r="Z482" s="1350"/>
      <c r="AA482" s="1350"/>
      <c r="AB482" s="1350"/>
      <c r="AC482" s="1350"/>
      <c r="AD482" s="1350"/>
      <c r="AE482" s="1350"/>
      <c r="AF482" s="1350"/>
      <c r="AG482" s="1350"/>
      <c r="AH482" s="1350"/>
      <c r="AI482" s="1350"/>
      <c r="AJ482" s="1350"/>
      <c r="AK482" s="1350"/>
      <c r="AL482" s="1350"/>
      <c r="AM482" s="1350"/>
      <c r="AN482" s="1350"/>
      <c r="AO482" s="1350"/>
      <c r="AP482" s="1350"/>
      <c r="AQ482" s="1350"/>
      <c r="AR482" s="1350"/>
      <c r="AS482" s="1350"/>
      <c r="AT482" s="1350"/>
      <c r="AU482" s="1350"/>
      <c r="AV482" s="1350"/>
      <c r="AW482" s="1350"/>
      <c r="AX482" s="1350"/>
      <c r="AY482" s="1350"/>
      <c r="AZ482" s="1350"/>
      <c r="BA482" s="1070"/>
      <c r="BB482" s="1070"/>
      <c r="BC482" s="1070"/>
      <c r="BD482" s="1070"/>
      <c r="BE482" s="1070"/>
      <c r="BF482" s="1070"/>
      <c r="BG482" s="1070"/>
      <c r="BH482" s="1070"/>
      <c r="BI482" s="1070"/>
      <c r="BJ482" s="1070"/>
      <c r="BK482" s="1070"/>
      <c r="BL482" s="1070"/>
      <c r="BM482" s="1070"/>
      <c r="BN482" s="1070"/>
      <c r="BO482" s="1070"/>
      <c r="BP482" s="1070"/>
      <c r="BQ482" s="1070"/>
      <c r="BR482" s="1070"/>
      <c r="BS482" s="1070"/>
      <c r="BT482" s="1070"/>
      <c r="BU482" s="1070"/>
      <c r="BV482" s="1070"/>
      <c r="BW482" s="1070"/>
      <c r="BX482" s="1070"/>
      <c r="BY482" s="1070"/>
      <c r="BZ482" s="1070"/>
      <c r="CA482" s="1070"/>
      <c r="CB482" s="1070"/>
      <c r="CC482" s="1070"/>
      <c r="CD482" s="1070"/>
      <c r="CE482" s="1070"/>
      <c r="CF482" s="1070"/>
      <c r="CG482" s="1070"/>
      <c r="CH482" s="1070"/>
      <c r="CI482" s="1070"/>
      <c r="CJ482" s="1070"/>
      <c r="CK482" s="1070"/>
      <c r="CL482" s="1070"/>
      <c r="CM482" s="1070"/>
      <c r="CN482" s="1070"/>
      <c r="CO482" s="1070"/>
      <c r="CP482" s="1070"/>
      <c r="CQ482" s="1070"/>
      <c r="CR482" s="1070"/>
      <c r="CS482" s="1070"/>
      <c r="CT482" s="1070"/>
      <c r="CU482" s="1070"/>
      <c r="CV482" s="1070"/>
      <c r="CW482" s="1070"/>
      <c r="CX482" s="1070"/>
      <c r="CY482" s="1070"/>
      <c r="CZ482" s="1070"/>
      <c r="DA482" s="1070"/>
      <c r="DB482" s="1070"/>
      <c r="DC482" s="1070"/>
      <c r="DD482" s="1070"/>
      <c r="DE482" s="1070"/>
      <c r="DF482" s="1070"/>
      <c r="DG482" s="1070"/>
      <c r="DH482" s="1070"/>
      <c r="DI482" s="1070"/>
    </row>
    <row r="483" spans="1:113" ht="15.75" x14ac:dyDescent="0.25">
      <c r="A483" s="1430" t="s">
        <v>428</v>
      </c>
      <c r="B483" s="1439" t="e">
        <f>B484*B485*B487*B341</f>
        <v>#VALUE!</v>
      </c>
      <c r="C483" s="1432"/>
      <c r="D483" s="1454"/>
      <c r="E483" s="1454"/>
      <c r="F483" s="1454"/>
      <c r="G483" s="1454"/>
      <c r="H483" s="1350"/>
      <c r="I483" s="1350"/>
      <c r="J483" s="1350"/>
      <c r="K483" s="1350"/>
      <c r="L483" s="1350"/>
      <c r="M483" s="1350"/>
      <c r="N483" s="1350"/>
      <c r="O483" s="1350"/>
      <c r="P483" s="1350"/>
      <c r="Q483" s="1350"/>
      <c r="R483" s="1350"/>
      <c r="S483" s="1350"/>
      <c r="T483" s="1350"/>
      <c r="U483" s="1350"/>
      <c r="V483" s="1350"/>
      <c r="W483" s="1350"/>
      <c r="X483" s="1350"/>
      <c r="Y483" s="1350"/>
      <c r="Z483" s="1350"/>
      <c r="AA483" s="1350"/>
      <c r="AB483" s="1350"/>
      <c r="AC483" s="1350"/>
      <c r="AD483" s="1350"/>
      <c r="AE483" s="1350"/>
      <c r="AF483" s="1350"/>
      <c r="AG483" s="1350"/>
      <c r="AH483" s="1350"/>
      <c r="AI483" s="1350"/>
      <c r="AJ483" s="1350"/>
      <c r="AK483" s="1350"/>
      <c r="AL483" s="1350"/>
      <c r="AM483" s="1350"/>
      <c r="AN483" s="1350"/>
      <c r="AO483" s="1350"/>
      <c r="AP483" s="1350"/>
      <c r="AQ483" s="1350"/>
      <c r="AR483" s="1350"/>
      <c r="AS483" s="1350"/>
      <c r="AT483" s="1350"/>
      <c r="AU483" s="1350"/>
      <c r="AV483" s="1350"/>
      <c r="AW483" s="1350"/>
      <c r="AX483" s="1350"/>
      <c r="AY483" s="1350"/>
      <c r="AZ483" s="1350"/>
      <c r="BA483" s="1070"/>
      <c r="BB483" s="1070"/>
      <c r="BC483" s="1070"/>
      <c r="BD483" s="1070"/>
      <c r="BE483" s="1070"/>
      <c r="BF483" s="1070"/>
      <c r="BG483" s="1070"/>
      <c r="BH483" s="1070"/>
      <c r="BI483" s="1070"/>
      <c r="BJ483" s="1070"/>
      <c r="BK483" s="1070"/>
      <c r="BL483" s="1070"/>
      <c r="BM483" s="1070"/>
      <c r="BN483" s="1070"/>
      <c r="BO483" s="1070"/>
      <c r="BP483" s="1070"/>
      <c r="BQ483" s="1070"/>
      <c r="BR483" s="1070"/>
      <c r="BS483" s="1070"/>
      <c r="BT483" s="1070"/>
      <c r="BU483" s="1070"/>
      <c r="BV483" s="1070"/>
      <c r="BW483" s="1070"/>
      <c r="BX483" s="1070"/>
      <c r="BY483" s="1070"/>
      <c r="BZ483" s="1070"/>
      <c r="CA483" s="1070"/>
      <c r="CB483" s="1070"/>
      <c r="CC483" s="1070"/>
      <c r="CD483" s="1070"/>
      <c r="CE483" s="1070"/>
      <c r="CF483" s="1070"/>
      <c r="CG483" s="1070"/>
      <c r="CH483" s="1070"/>
      <c r="CI483" s="1070"/>
      <c r="CJ483" s="1070"/>
      <c r="CK483" s="1070"/>
      <c r="CL483" s="1070"/>
      <c r="CM483" s="1070"/>
      <c r="CN483" s="1070"/>
      <c r="CO483" s="1070"/>
      <c r="CP483" s="1070"/>
      <c r="CQ483" s="1070"/>
      <c r="CR483" s="1070"/>
      <c r="CS483" s="1070"/>
      <c r="CT483" s="1070"/>
      <c r="CU483" s="1070"/>
      <c r="CV483" s="1070"/>
      <c r="CW483" s="1070"/>
      <c r="CX483" s="1070"/>
      <c r="CY483" s="1070"/>
      <c r="CZ483" s="1070"/>
      <c r="DA483" s="1070"/>
      <c r="DB483" s="1070"/>
      <c r="DC483" s="1070"/>
      <c r="DD483" s="1070"/>
      <c r="DE483" s="1070"/>
      <c r="DF483" s="1070"/>
      <c r="DG483" s="1070"/>
      <c r="DH483" s="1070"/>
      <c r="DI483" s="1070"/>
    </row>
    <row r="484" spans="1:113" ht="15.75" x14ac:dyDescent="0.25">
      <c r="A484" s="1430" t="s">
        <v>2999</v>
      </c>
      <c r="B484" s="1421">
        <f>IF(B320=1,1.05,1)</f>
        <v>1.05</v>
      </c>
      <c r="C484" s="1416"/>
      <c r="D484" s="1350"/>
      <c r="E484" s="1350"/>
      <c r="F484" s="1350"/>
      <c r="G484" s="1350"/>
      <c r="H484" s="1350"/>
      <c r="I484" s="1350"/>
      <c r="J484" s="1350"/>
      <c r="K484" s="1350"/>
      <c r="L484" s="1350"/>
      <c r="M484" s="1350"/>
      <c r="N484" s="1350"/>
      <c r="O484" s="1350"/>
      <c r="P484" s="1350"/>
      <c r="Q484" s="1350"/>
      <c r="R484" s="1350"/>
      <c r="S484" s="1350"/>
      <c r="T484" s="1350"/>
      <c r="U484" s="1350"/>
      <c r="V484" s="1350"/>
      <c r="W484" s="1350"/>
      <c r="X484" s="1350"/>
      <c r="Y484" s="1350"/>
      <c r="Z484" s="1350"/>
      <c r="AA484" s="1350"/>
      <c r="AB484" s="1350"/>
      <c r="AC484" s="1350"/>
      <c r="AD484" s="1350"/>
      <c r="AE484" s="1350"/>
      <c r="AF484" s="1350"/>
      <c r="AG484" s="1350"/>
      <c r="AH484" s="1350"/>
      <c r="AI484" s="1350"/>
      <c r="AJ484" s="1350"/>
      <c r="AK484" s="1350"/>
      <c r="AL484" s="1350"/>
      <c r="AM484" s="1350"/>
      <c r="AN484" s="1350"/>
      <c r="AO484" s="1350"/>
      <c r="AP484" s="1350"/>
      <c r="AQ484" s="1350"/>
      <c r="AR484" s="1350"/>
      <c r="AS484" s="1350"/>
      <c r="AT484" s="1350"/>
      <c r="AU484" s="1350"/>
      <c r="AV484" s="1350"/>
      <c r="AW484" s="1350"/>
      <c r="AX484" s="1350"/>
      <c r="AY484" s="1350"/>
      <c r="AZ484" s="1350"/>
      <c r="BA484" s="1070"/>
      <c r="BB484" s="1070"/>
      <c r="BC484" s="1070"/>
      <c r="BD484" s="1070"/>
      <c r="BE484" s="1070"/>
      <c r="BF484" s="1070"/>
      <c r="BG484" s="1070"/>
      <c r="BH484" s="1070"/>
      <c r="BI484" s="1070"/>
      <c r="BJ484" s="1070"/>
      <c r="BK484" s="1070"/>
      <c r="BL484" s="1070"/>
      <c r="BM484" s="1070"/>
      <c r="BN484" s="1070"/>
      <c r="BO484" s="1070"/>
      <c r="BP484" s="1070"/>
      <c r="BQ484" s="1070"/>
      <c r="BR484" s="1070"/>
      <c r="BS484" s="1070"/>
      <c r="BT484" s="1070"/>
      <c r="BU484" s="1070"/>
      <c r="BV484" s="1070"/>
      <c r="BW484" s="1070"/>
      <c r="BX484" s="1070"/>
      <c r="BY484" s="1070"/>
      <c r="BZ484" s="1070"/>
      <c r="CA484" s="1070"/>
      <c r="CB484" s="1070"/>
      <c r="CC484" s="1070"/>
      <c r="CD484" s="1070"/>
      <c r="CE484" s="1070"/>
      <c r="CF484" s="1070"/>
      <c r="CG484" s="1070"/>
      <c r="CH484" s="1070"/>
      <c r="CI484" s="1070"/>
      <c r="CJ484" s="1070"/>
      <c r="CK484" s="1070"/>
      <c r="CL484" s="1070"/>
      <c r="CM484" s="1070"/>
      <c r="CN484" s="1070"/>
      <c r="CO484" s="1070"/>
      <c r="CP484" s="1070"/>
      <c r="CQ484" s="1070"/>
      <c r="CR484" s="1070"/>
      <c r="CS484" s="1070"/>
      <c r="CT484" s="1070"/>
      <c r="CU484" s="1070"/>
      <c r="CV484" s="1070"/>
      <c r="CW484" s="1070"/>
      <c r="CX484" s="1070"/>
      <c r="CY484" s="1070"/>
      <c r="CZ484" s="1070"/>
      <c r="DA484" s="1070"/>
      <c r="DB484" s="1070"/>
      <c r="DC484" s="1070"/>
      <c r="DD484" s="1070"/>
      <c r="DE484" s="1070"/>
      <c r="DF484" s="1070"/>
      <c r="DG484" s="1070"/>
      <c r="DH484" s="1070"/>
      <c r="DI484" s="1070"/>
    </row>
    <row r="485" spans="1:113" ht="15.75" x14ac:dyDescent="0.25">
      <c r="A485" s="1430" t="s">
        <v>3000</v>
      </c>
      <c r="B485" s="1421" t="e">
        <f>IF(B486&lt;5.1,1,IF(B486&lt;10.1,0.9,IF(B486&lt;20.1,0.8,0.7)))</f>
        <v>#VALUE!</v>
      </c>
      <c r="C485" s="1416"/>
      <c r="D485" s="1350"/>
      <c r="E485" s="1350"/>
      <c r="F485" s="1350"/>
      <c r="G485" s="1350"/>
      <c r="H485" s="1350"/>
      <c r="I485" s="1350"/>
      <c r="J485" s="1350"/>
      <c r="K485" s="1350"/>
      <c r="L485" s="1350"/>
      <c r="M485" s="1350"/>
      <c r="N485" s="1350"/>
      <c r="O485" s="1350"/>
      <c r="P485" s="1350"/>
      <c r="Q485" s="1350"/>
      <c r="R485" s="1350"/>
      <c r="S485" s="1350"/>
      <c r="T485" s="1350"/>
      <c r="U485" s="1350"/>
      <c r="V485" s="1350"/>
      <c r="W485" s="1350"/>
      <c r="X485" s="1350"/>
      <c r="Y485" s="1350"/>
      <c r="Z485" s="1350"/>
      <c r="AA485" s="1350"/>
      <c r="AB485" s="1350"/>
      <c r="AC485" s="1350"/>
      <c r="AD485" s="1350"/>
      <c r="AE485" s="1350"/>
      <c r="AF485" s="1350"/>
      <c r="AG485" s="1350"/>
      <c r="AH485" s="1350"/>
      <c r="AI485" s="1350"/>
      <c r="AJ485" s="1350"/>
      <c r="AK485" s="1350"/>
      <c r="AL485" s="1350"/>
      <c r="AM485" s="1350"/>
      <c r="AN485" s="1350"/>
      <c r="AO485" s="1350"/>
      <c r="AP485" s="1350"/>
      <c r="AQ485" s="1350"/>
      <c r="AR485" s="1350"/>
      <c r="AS485" s="1350"/>
      <c r="AT485" s="1350"/>
      <c r="AU485" s="1350"/>
      <c r="AV485" s="1350"/>
      <c r="AW485" s="1350"/>
      <c r="AX485" s="1350"/>
      <c r="AY485" s="1350"/>
      <c r="AZ485" s="1350"/>
      <c r="BA485" s="1070"/>
      <c r="BB485" s="1070"/>
      <c r="BC485" s="1070"/>
      <c r="BD485" s="1070"/>
      <c r="BE485" s="1070"/>
      <c r="BF485" s="1070"/>
      <c r="BG485" s="1070"/>
      <c r="BH485" s="1070"/>
      <c r="BI485" s="1070"/>
      <c r="BJ485" s="1070"/>
      <c r="BK485" s="1070"/>
      <c r="BL485" s="1070"/>
      <c r="BM485" s="1070"/>
      <c r="BN485" s="1070"/>
      <c r="BO485" s="1070"/>
      <c r="BP485" s="1070"/>
      <c r="BQ485" s="1070"/>
      <c r="BR485" s="1070"/>
      <c r="BS485" s="1070"/>
      <c r="BT485" s="1070"/>
      <c r="BU485" s="1070"/>
      <c r="BV485" s="1070"/>
      <c r="BW485" s="1070"/>
      <c r="BX485" s="1070"/>
      <c r="BY485" s="1070"/>
      <c r="BZ485" s="1070"/>
      <c r="CA485" s="1070"/>
      <c r="CB485" s="1070"/>
      <c r="CC485" s="1070"/>
      <c r="CD485" s="1070"/>
      <c r="CE485" s="1070"/>
      <c r="CF485" s="1070"/>
      <c r="CG485" s="1070"/>
      <c r="CH485" s="1070"/>
      <c r="CI485" s="1070"/>
      <c r="CJ485" s="1070"/>
      <c r="CK485" s="1070"/>
      <c r="CL485" s="1070"/>
      <c r="CM485" s="1070"/>
      <c r="CN485" s="1070"/>
      <c r="CO485" s="1070"/>
      <c r="CP485" s="1070"/>
      <c r="CQ485" s="1070"/>
      <c r="CR485" s="1070"/>
      <c r="CS485" s="1070"/>
      <c r="CT485" s="1070"/>
      <c r="CU485" s="1070"/>
      <c r="CV485" s="1070"/>
      <c r="CW485" s="1070"/>
      <c r="CX485" s="1070"/>
      <c r="CY485" s="1070"/>
      <c r="CZ485" s="1070"/>
      <c r="DA485" s="1070"/>
      <c r="DB485" s="1070"/>
      <c r="DC485" s="1070"/>
      <c r="DD485" s="1070"/>
      <c r="DE485" s="1070"/>
      <c r="DF485" s="1070"/>
      <c r="DG485" s="1070"/>
      <c r="DH485" s="1070"/>
      <c r="DI485" s="1070"/>
    </row>
    <row r="486" spans="1:113" ht="15.75" x14ac:dyDescent="0.25">
      <c r="A486" s="1417" t="s">
        <v>3001</v>
      </c>
      <c r="B486" s="1462" t="e">
        <f>(B321/B286)*100</f>
        <v>#VALUE!</v>
      </c>
      <c r="C486" s="1463"/>
      <c r="D486" s="1432"/>
      <c r="E486" s="1432"/>
      <c r="F486" s="1432"/>
      <c r="G486" s="1432"/>
      <c r="H486" s="1350"/>
      <c r="I486" s="1350"/>
      <c r="J486" s="1350"/>
      <c r="K486" s="1350"/>
      <c r="L486" s="1350"/>
      <c r="M486" s="1350"/>
      <c r="N486" s="1350"/>
      <c r="O486" s="1350"/>
      <c r="P486" s="1350"/>
      <c r="Q486" s="1350"/>
      <c r="R486" s="1350"/>
      <c r="S486" s="1350"/>
      <c r="T486" s="1350"/>
      <c r="U486" s="1350"/>
      <c r="V486" s="1350"/>
      <c r="W486" s="1350"/>
      <c r="X486" s="1350"/>
      <c r="Y486" s="1350"/>
      <c r="Z486" s="1350"/>
      <c r="AA486" s="1350"/>
      <c r="AB486" s="1350"/>
      <c r="AC486" s="1350"/>
      <c r="AD486" s="1350"/>
      <c r="AE486" s="1350"/>
      <c r="AF486" s="1350"/>
      <c r="AG486" s="1350"/>
      <c r="AH486" s="1350"/>
      <c r="AI486" s="1350"/>
      <c r="AJ486" s="1350"/>
      <c r="AK486" s="1350"/>
      <c r="AL486" s="1350"/>
      <c r="AM486" s="1350"/>
      <c r="AN486" s="1350"/>
      <c r="AO486" s="1350"/>
      <c r="AP486" s="1350"/>
      <c r="AQ486" s="1350"/>
      <c r="AR486" s="1350"/>
      <c r="AS486" s="1350"/>
      <c r="AT486" s="1350"/>
      <c r="AU486" s="1350"/>
      <c r="AV486" s="1350"/>
      <c r="AW486" s="1350"/>
      <c r="AX486" s="1350"/>
      <c r="AY486" s="1350"/>
      <c r="AZ486" s="1350"/>
      <c r="BA486" s="1070"/>
      <c r="BB486" s="1070"/>
      <c r="BC486" s="1070"/>
      <c r="BD486" s="1070"/>
      <c r="BE486" s="1070"/>
      <c r="BF486" s="1070"/>
      <c r="BG486" s="1070"/>
      <c r="BH486" s="1070"/>
      <c r="BI486" s="1070"/>
      <c r="BJ486" s="1070"/>
      <c r="BK486" s="1070"/>
      <c r="BL486" s="1070"/>
      <c r="BM486" s="1070"/>
      <c r="BN486" s="1070"/>
      <c r="BO486" s="1070"/>
      <c r="BP486" s="1070"/>
      <c r="BQ486" s="1070"/>
      <c r="BR486" s="1070"/>
      <c r="BS486" s="1070"/>
      <c r="BT486" s="1070"/>
      <c r="BU486" s="1070"/>
      <c r="BV486" s="1070"/>
      <c r="BW486" s="1070"/>
      <c r="BX486" s="1070"/>
      <c r="BY486" s="1070"/>
      <c r="BZ486" s="1070"/>
      <c r="CA486" s="1070"/>
      <c r="CB486" s="1070"/>
      <c r="CC486" s="1070"/>
      <c r="CD486" s="1070"/>
      <c r="CE486" s="1070"/>
      <c r="CF486" s="1070"/>
      <c r="CG486" s="1070"/>
      <c r="CH486" s="1070"/>
      <c r="CI486" s="1070"/>
      <c r="CJ486" s="1070"/>
      <c r="CK486" s="1070"/>
      <c r="CL486" s="1070"/>
      <c r="CM486" s="1070"/>
      <c r="CN486" s="1070"/>
      <c r="CO486" s="1070"/>
      <c r="CP486" s="1070"/>
      <c r="CQ486" s="1070"/>
      <c r="CR486" s="1070"/>
      <c r="CS486" s="1070"/>
      <c r="CT486" s="1070"/>
      <c r="CU486" s="1070"/>
      <c r="CV486" s="1070"/>
      <c r="CW486" s="1070"/>
      <c r="CX486" s="1070"/>
      <c r="CY486" s="1070"/>
      <c r="CZ486" s="1070"/>
      <c r="DA486" s="1070"/>
      <c r="DB486" s="1070"/>
      <c r="DC486" s="1070"/>
      <c r="DD486" s="1070"/>
      <c r="DE486" s="1070"/>
      <c r="DF486" s="1070"/>
      <c r="DG486" s="1070"/>
      <c r="DH486" s="1070"/>
      <c r="DI486" s="1070"/>
    </row>
    <row r="487" spans="1:113" ht="15.75" x14ac:dyDescent="0.25">
      <c r="A487" s="1430" t="s">
        <v>3002</v>
      </c>
      <c r="B487" s="1464">
        <v>0.7</v>
      </c>
      <c r="C487" s="1465"/>
      <c r="D487" s="1432"/>
      <c r="E487" s="1432"/>
      <c r="F487" s="1432"/>
      <c r="G487" s="1432"/>
      <c r="H487" s="1350"/>
      <c r="I487" s="1350"/>
      <c r="J487" s="1350"/>
      <c r="K487" s="1350"/>
      <c r="L487" s="1350"/>
      <c r="M487" s="1350"/>
      <c r="N487" s="1350"/>
      <c r="O487" s="1350"/>
      <c r="P487" s="1350"/>
      <c r="Q487" s="1350"/>
      <c r="R487" s="1350"/>
      <c r="S487" s="1350"/>
      <c r="T487" s="1350"/>
      <c r="U487" s="1350"/>
      <c r="V487" s="1350"/>
      <c r="W487" s="1350"/>
      <c r="X487" s="1350"/>
      <c r="Y487" s="1350"/>
      <c r="Z487" s="1350"/>
      <c r="AA487" s="1350"/>
      <c r="AB487" s="1350"/>
      <c r="AC487" s="1350"/>
      <c r="AD487" s="1350"/>
      <c r="AE487" s="1350"/>
      <c r="AF487" s="1350"/>
      <c r="AG487" s="1350"/>
      <c r="AH487" s="1350"/>
      <c r="AI487" s="1350"/>
      <c r="AJ487" s="1350"/>
      <c r="AK487" s="1350"/>
      <c r="AL487" s="1350"/>
      <c r="AM487" s="1350"/>
      <c r="AN487" s="1350"/>
      <c r="AO487" s="1350"/>
      <c r="AP487" s="1350"/>
      <c r="AQ487" s="1350"/>
      <c r="AR487" s="1350"/>
      <c r="AS487" s="1350"/>
      <c r="AT487" s="1350"/>
      <c r="AU487" s="1350"/>
      <c r="AV487" s="1350"/>
      <c r="AW487" s="1350"/>
      <c r="AX487" s="1350"/>
      <c r="AY487" s="1350"/>
      <c r="AZ487" s="1350"/>
      <c r="BA487" s="1070"/>
      <c r="BB487" s="1070"/>
      <c r="BC487" s="1070"/>
      <c r="BD487" s="1070"/>
      <c r="BE487" s="1070"/>
      <c r="BF487" s="1070"/>
      <c r="BG487" s="1070"/>
      <c r="BH487" s="1070"/>
      <c r="BI487" s="1070"/>
      <c r="BJ487" s="1070"/>
      <c r="BK487" s="1070"/>
      <c r="BL487" s="1070"/>
      <c r="BM487" s="1070"/>
      <c r="BN487" s="1070"/>
      <c r="BO487" s="1070"/>
      <c r="BP487" s="1070"/>
      <c r="BQ487" s="1070"/>
      <c r="BR487" s="1070"/>
      <c r="BS487" s="1070"/>
      <c r="BT487" s="1070"/>
      <c r="BU487" s="1070"/>
      <c r="BV487" s="1070"/>
      <c r="BW487" s="1070"/>
      <c r="BX487" s="1070"/>
      <c r="BY487" s="1070"/>
      <c r="BZ487" s="1070"/>
      <c r="CA487" s="1070"/>
      <c r="CB487" s="1070"/>
      <c r="CC487" s="1070"/>
      <c r="CD487" s="1070"/>
      <c r="CE487" s="1070"/>
      <c r="CF487" s="1070"/>
      <c r="CG487" s="1070"/>
      <c r="CH487" s="1070"/>
      <c r="CI487" s="1070"/>
      <c r="CJ487" s="1070"/>
      <c r="CK487" s="1070"/>
      <c r="CL487" s="1070"/>
      <c r="CM487" s="1070"/>
      <c r="CN487" s="1070"/>
      <c r="CO487" s="1070"/>
      <c r="CP487" s="1070"/>
      <c r="CQ487" s="1070"/>
      <c r="CR487" s="1070"/>
      <c r="CS487" s="1070"/>
      <c r="CT487" s="1070"/>
      <c r="CU487" s="1070"/>
      <c r="CV487" s="1070"/>
      <c r="CW487" s="1070"/>
      <c r="CX487" s="1070"/>
      <c r="CY487" s="1070"/>
      <c r="CZ487" s="1070"/>
      <c r="DA487" s="1070"/>
      <c r="DB487" s="1070"/>
      <c r="DC487" s="1070"/>
      <c r="DD487" s="1070"/>
      <c r="DE487" s="1070"/>
      <c r="DF487" s="1070"/>
      <c r="DG487" s="1070"/>
      <c r="DH487" s="1070"/>
      <c r="DI487" s="1070"/>
    </row>
    <row r="488" spans="1:113" ht="15.75" x14ac:dyDescent="0.25">
      <c r="A488" s="1430" t="s">
        <v>830</v>
      </c>
      <c r="B488" s="1443" t="e">
        <f>B480*B483</f>
        <v>#VALUE!</v>
      </c>
      <c r="C488" s="1437"/>
      <c r="D488" s="1434"/>
      <c r="E488" s="1434"/>
      <c r="F488" s="1434"/>
      <c r="G488" s="1434"/>
      <c r="H488" s="1350"/>
      <c r="I488" s="1350"/>
      <c r="J488" s="1350"/>
      <c r="K488" s="1350"/>
      <c r="L488" s="1350"/>
      <c r="M488" s="1350"/>
      <c r="N488" s="1350"/>
      <c r="O488" s="1350"/>
      <c r="P488" s="1350"/>
      <c r="Q488" s="1350"/>
      <c r="R488" s="1350"/>
      <c r="S488" s="1350"/>
      <c r="T488" s="1350"/>
      <c r="U488" s="1350"/>
      <c r="V488" s="1350"/>
      <c r="W488" s="1350"/>
      <c r="X488" s="1350"/>
      <c r="Y488" s="1350"/>
      <c r="Z488" s="1350"/>
      <c r="AA488" s="1350"/>
      <c r="AB488" s="1350"/>
      <c r="AC488" s="1350"/>
      <c r="AD488" s="1350"/>
      <c r="AE488" s="1350"/>
      <c r="AF488" s="1350"/>
      <c r="AG488" s="1350"/>
      <c r="AH488" s="1350"/>
      <c r="AI488" s="1350"/>
      <c r="AJ488" s="1350"/>
      <c r="AK488" s="1350"/>
      <c r="AL488" s="1350"/>
      <c r="AM488" s="1350"/>
      <c r="AN488" s="1350"/>
      <c r="AO488" s="1350"/>
      <c r="AP488" s="1350"/>
      <c r="AQ488" s="1350"/>
      <c r="AR488" s="1350"/>
      <c r="AS488" s="1350"/>
      <c r="AT488" s="1350"/>
      <c r="AU488" s="1350"/>
      <c r="AV488" s="1350"/>
      <c r="AW488" s="1350"/>
      <c r="AX488" s="1350"/>
      <c r="AY488" s="1350"/>
      <c r="AZ488" s="1350"/>
      <c r="BA488" s="1070"/>
      <c r="BB488" s="1070"/>
      <c r="BC488" s="1070"/>
      <c r="BD488" s="1070"/>
      <c r="BE488" s="1070"/>
      <c r="BF488" s="1070"/>
      <c r="BG488" s="1070"/>
      <c r="BH488" s="1070"/>
      <c r="BI488" s="1070"/>
      <c r="BJ488" s="1070"/>
      <c r="BK488" s="1070"/>
      <c r="BL488" s="1070"/>
      <c r="BM488" s="1070"/>
      <c r="BN488" s="1070"/>
      <c r="BO488" s="1070"/>
      <c r="BP488" s="1070"/>
      <c r="BQ488" s="1070"/>
      <c r="BR488" s="1070"/>
      <c r="BS488" s="1070"/>
      <c r="BT488" s="1070"/>
      <c r="BU488" s="1070"/>
      <c r="BV488" s="1070"/>
      <c r="BW488" s="1070"/>
      <c r="BX488" s="1070"/>
      <c r="BY488" s="1070"/>
      <c r="BZ488" s="1070"/>
      <c r="CA488" s="1070"/>
      <c r="CB488" s="1070"/>
      <c r="CC488" s="1070"/>
      <c r="CD488" s="1070"/>
      <c r="CE488" s="1070"/>
      <c r="CF488" s="1070"/>
      <c r="CG488" s="1070"/>
      <c r="CH488" s="1070"/>
      <c r="CI488" s="1070"/>
      <c r="CJ488" s="1070"/>
      <c r="CK488" s="1070"/>
      <c r="CL488" s="1070"/>
      <c r="CM488" s="1070"/>
      <c r="CN488" s="1070"/>
      <c r="CO488" s="1070"/>
      <c r="CP488" s="1070"/>
      <c r="CQ488" s="1070"/>
      <c r="CR488" s="1070"/>
      <c r="CS488" s="1070"/>
      <c r="CT488" s="1070"/>
      <c r="CU488" s="1070"/>
      <c r="CV488" s="1070"/>
      <c r="CW488" s="1070"/>
      <c r="CX488" s="1070"/>
      <c r="CY488" s="1070"/>
      <c r="CZ488" s="1070"/>
      <c r="DA488" s="1070"/>
      <c r="DB488" s="1070"/>
      <c r="DC488" s="1070"/>
      <c r="DD488" s="1070"/>
      <c r="DE488" s="1070"/>
      <c r="DF488" s="1070"/>
      <c r="DG488" s="1070"/>
      <c r="DH488" s="1070"/>
      <c r="DI488" s="1070"/>
    </row>
    <row r="489" spans="1:113" ht="15.75" x14ac:dyDescent="0.25">
      <c r="A489" s="1430" t="s">
        <v>429</v>
      </c>
      <c r="B489" s="1443" t="e">
        <f>B479/B488</f>
        <v>#VALUE!</v>
      </c>
      <c r="C489" s="1437"/>
      <c r="D489" s="1434"/>
      <c r="E489" s="1434"/>
      <c r="F489" s="1434"/>
      <c r="G489" s="1434"/>
      <c r="H489" s="1350"/>
      <c r="I489" s="1350"/>
      <c r="J489" s="1350"/>
      <c r="K489" s="1350"/>
      <c r="L489" s="1350"/>
      <c r="M489" s="1350"/>
      <c r="N489" s="1350"/>
      <c r="O489" s="1350"/>
      <c r="P489" s="1350"/>
      <c r="Q489" s="1350"/>
      <c r="R489" s="1350"/>
      <c r="S489" s="1350"/>
      <c r="T489" s="1350"/>
      <c r="U489" s="1350"/>
      <c r="V489" s="1350"/>
      <c r="W489" s="1350"/>
      <c r="X489" s="1350"/>
      <c r="Y489" s="1350"/>
      <c r="Z489" s="1350"/>
      <c r="AA489" s="1350"/>
      <c r="AB489" s="1350"/>
      <c r="AC489" s="1350"/>
      <c r="AD489" s="1350"/>
      <c r="AE489" s="1350"/>
      <c r="AF489" s="1350"/>
      <c r="AG489" s="1350"/>
      <c r="AH489" s="1350"/>
      <c r="AI489" s="1350"/>
      <c r="AJ489" s="1350"/>
      <c r="AK489" s="1350"/>
      <c r="AL489" s="1350"/>
      <c r="AM489" s="1350"/>
      <c r="AN489" s="1350"/>
      <c r="AO489" s="1350"/>
      <c r="AP489" s="1350"/>
      <c r="AQ489" s="1350"/>
      <c r="AR489" s="1350"/>
      <c r="AS489" s="1350"/>
      <c r="AT489" s="1350"/>
      <c r="AU489" s="1350"/>
      <c r="AV489" s="1350"/>
      <c r="AW489" s="1350"/>
      <c r="AX489" s="1350"/>
      <c r="AY489" s="1350"/>
      <c r="AZ489" s="1350"/>
      <c r="BA489" s="1070"/>
      <c r="BB489" s="1070"/>
      <c r="BC489" s="1070"/>
      <c r="BD489" s="1070"/>
      <c r="BE489" s="1070"/>
      <c r="BF489" s="1070"/>
      <c r="BG489" s="1070"/>
      <c r="BH489" s="1070"/>
      <c r="BI489" s="1070"/>
      <c r="BJ489" s="1070"/>
      <c r="BK489" s="1070"/>
      <c r="BL489" s="1070"/>
      <c r="BM489" s="1070"/>
      <c r="BN489" s="1070"/>
      <c r="BO489" s="1070"/>
      <c r="BP489" s="1070"/>
      <c r="BQ489" s="1070"/>
      <c r="BR489" s="1070"/>
      <c r="BS489" s="1070"/>
      <c r="BT489" s="1070"/>
      <c r="BU489" s="1070"/>
      <c r="BV489" s="1070"/>
      <c r="BW489" s="1070"/>
      <c r="BX489" s="1070"/>
      <c r="BY489" s="1070"/>
      <c r="BZ489" s="1070"/>
      <c r="CA489" s="1070"/>
      <c r="CB489" s="1070"/>
      <c r="CC489" s="1070"/>
      <c r="CD489" s="1070"/>
      <c r="CE489" s="1070"/>
      <c r="CF489" s="1070"/>
      <c r="CG489" s="1070"/>
      <c r="CH489" s="1070"/>
      <c r="CI489" s="1070"/>
      <c r="CJ489" s="1070"/>
      <c r="CK489" s="1070"/>
      <c r="CL489" s="1070"/>
      <c r="CM489" s="1070"/>
      <c r="CN489" s="1070"/>
      <c r="CO489" s="1070"/>
      <c r="CP489" s="1070"/>
      <c r="CQ489" s="1070"/>
      <c r="CR489" s="1070"/>
      <c r="CS489" s="1070"/>
      <c r="CT489" s="1070"/>
      <c r="CU489" s="1070"/>
      <c r="CV489" s="1070"/>
      <c r="CW489" s="1070"/>
      <c r="CX489" s="1070"/>
      <c r="CY489" s="1070"/>
      <c r="CZ489" s="1070"/>
      <c r="DA489" s="1070"/>
      <c r="DB489" s="1070"/>
      <c r="DC489" s="1070"/>
      <c r="DD489" s="1070"/>
      <c r="DE489" s="1070"/>
      <c r="DF489" s="1070"/>
      <c r="DG489" s="1070"/>
      <c r="DH489" s="1070"/>
      <c r="DI489" s="1070"/>
    </row>
    <row r="490" spans="1:113" ht="15.75" x14ac:dyDescent="0.25">
      <c r="A490" s="1466" t="s">
        <v>831</v>
      </c>
      <c r="B490" s="1467" t="e">
        <f>IF(B298=1,B489,0)</f>
        <v>#VALUE!</v>
      </c>
      <c r="C490" s="1468"/>
      <c r="D490" s="1432"/>
      <c r="E490" s="1432"/>
      <c r="F490" s="1432"/>
      <c r="G490" s="1432"/>
      <c r="H490" s="1350"/>
      <c r="I490" s="1350"/>
      <c r="J490" s="1350"/>
      <c r="K490" s="1350"/>
      <c r="L490" s="1350"/>
      <c r="M490" s="1350"/>
      <c r="N490" s="1350"/>
      <c r="O490" s="1350"/>
      <c r="P490" s="1350"/>
      <c r="Q490" s="1350"/>
      <c r="R490" s="1350"/>
      <c r="S490" s="1350"/>
      <c r="T490" s="1350"/>
      <c r="U490" s="1350"/>
      <c r="V490" s="1350"/>
      <c r="W490" s="1350"/>
      <c r="X490" s="1350"/>
      <c r="Y490" s="1350"/>
      <c r="Z490" s="1350"/>
      <c r="AA490" s="1350"/>
      <c r="AB490" s="1350"/>
      <c r="AC490" s="1350"/>
      <c r="AD490" s="1350"/>
      <c r="AE490" s="1350"/>
      <c r="AF490" s="1350"/>
      <c r="AG490" s="1350"/>
      <c r="AH490" s="1350"/>
      <c r="AI490" s="1350"/>
      <c r="AJ490" s="1350"/>
      <c r="AK490" s="1350"/>
      <c r="AL490" s="1350"/>
      <c r="AM490" s="1350"/>
      <c r="AN490" s="1350"/>
      <c r="AO490" s="1350"/>
      <c r="AP490" s="1350"/>
      <c r="AQ490" s="1350"/>
      <c r="AR490" s="1350"/>
      <c r="AS490" s="1350"/>
      <c r="AT490" s="1350"/>
      <c r="AU490" s="1350"/>
      <c r="AV490" s="1350"/>
      <c r="AW490" s="1350"/>
      <c r="AX490" s="1350"/>
      <c r="AY490" s="1350"/>
      <c r="AZ490" s="1350"/>
      <c r="BA490" s="1070"/>
      <c r="BB490" s="1070"/>
      <c r="BC490" s="1070"/>
      <c r="BD490" s="1070"/>
      <c r="BE490" s="1070"/>
      <c r="BF490" s="1070"/>
      <c r="BG490" s="1070"/>
      <c r="BH490" s="1070"/>
      <c r="BI490" s="1070"/>
      <c r="BJ490" s="1070"/>
      <c r="BK490" s="1070"/>
      <c r="BL490" s="1070"/>
      <c r="BM490" s="1070"/>
      <c r="BN490" s="1070"/>
      <c r="BO490" s="1070"/>
      <c r="BP490" s="1070"/>
      <c r="BQ490" s="1070"/>
      <c r="BR490" s="1070"/>
      <c r="BS490" s="1070"/>
      <c r="BT490" s="1070"/>
      <c r="BU490" s="1070"/>
      <c r="BV490" s="1070"/>
      <c r="BW490" s="1070"/>
      <c r="BX490" s="1070"/>
      <c r="BY490" s="1070"/>
      <c r="BZ490" s="1070"/>
      <c r="CA490" s="1070"/>
      <c r="CB490" s="1070"/>
      <c r="CC490" s="1070"/>
      <c r="CD490" s="1070"/>
      <c r="CE490" s="1070"/>
      <c r="CF490" s="1070"/>
      <c r="CG490" s="1070"/>
      <c r="CH490" s="1070"/>
      <c r="CI490" s="1070"/>
      <c r="CJ490" s="1070"/>
      <c r="CK490" s="1070"/>
      <c r="CL490" s="1070"/>
      <c r="CM490" s="1070"/>
      <c r="CN490" s="1070"/>
      <c r="CO490" s="1070"/>
      <c r="CP490" s="1070"/>
      <c r="CQ490" s="1070"/>
      <c r="CR490" s="1070"/>
      <c r="CS490" s="1070"/>
      <c r="CT490" s="1070"/>
      <c r="CU490" s="1070"/>
      <c r="CV490" s="1070"/>
      <c r="CW490" s="1070"/>
      <c r="CX490" s="1070"/>
      <c r="CY490" s="1070"/>
      <c r="CZ490" s="1070"/>
      <c r="DA490" s="1070"/>
      <c r="DB490" s="1070"/>
      <c r="DC490" s="1070"/>
      <c r="DD490" s="1070"/>
      <c r="DE490" s="1070"/>
      <c r="DF490" s="1070"/>
      <c r="DG490" s="1070"/>
      <c r="DH490" s="1070"/>
      <c r="DI490" s="1070"/>
    </row>
    <row r="491" spans="1:113" ht="15.75" x14ac:dyDescent="0.25">
      <c r="A491" s="1460"/>
      <c r="B491" s="1443"/>
      <c r="C491" s="1437"/>
      <c r="D491" s="1416"/>
      <c r="E491" s="1416"/>
      <c r="F491" s="1416"/>
      <c r="G491" s="1416"/>
      <c r="H491" s="1350"/>
      <c r="I491" s="1350"/>
      <c r="J491" s="1350"/>
      <c r="K491" s="1350"/>
      <c r="L491" s="1350"/>
      <c r="M491" s="1350"/>
      <c r="N491" s="1350"/>
      <c r="O491" s="1350"/>
      <c r="P491" s="1350"/>
      <c r="Q491" s="1350"/>
      <c r="R491" s="1350"/>
      <c r="S491" s="1350"/>
      <c r="T491" s="1350"/>
      <c r="U491" s="1350"/>
      <c r="V491" s="1350"/>
      <c r="W491" s="1350"/>
      <c r="X491" s="1350"/>
      <c r="Y491" s="1350"/>
      <c r="Z491" s="1350"/>
      <c r="AA491" s="1350"/>
      <c r="AB491" s="1350"/>
      <c r="AC491" s="1350"/>
      <c r="AD491" s="1350"/>
      <c r="AE491" s="1350"/>
      <c r="AF491" s="1350"/>
      <c r="AG491" s="1350"/>
      <c r="AH491" s="1350"/>
      <c r="AI491" s="1350"/>
      <c r="AJ491" s="1350"/>
      <c r="AK491" s="1350"/>
      <c r="AL491" s="1350"/>
      <c r="AM491" s="1350"/>
      <c r="AN491" s="1350"/>
      <c r="AO491" s="1350"/>
      <c r="AP491" s="1350"/>
      <c r="AQ491" s="1350"/>
      <c r="AR491" s="1350"/>
      <c r="AS491" s="1350"/>
      <c r="AT491" s="1350"/>
      <c r="AU491" s="1350"/>
      <c r="AV491" s="1350"/>
      <c r="AW491" s="1350"/>
      <c r="AX491" s="1350"/>
      <c r="AY491" s="1350"/>
      <c r="AZ491" s="1350"/>
      <c r="BA491" s="1070"/>
      <c r="BB491" s="1070"/>
      <c r="BC491" s="1070"/>
      <c r="BD491" s="1070"/>
      <c r="BE491" s="1070"/>
      <c r="BF491" s="1070"/>
      <c r="BG491" s="1070"/>
      <c r="BH491" s="1070"/>
      <c r="BI491" s="1070"/>
      <c r="BJ491" s="1070"/>
      <c r="BK491" s="1070"/>
      <c r="BL491" s="1070"/>
      <c r="BM491" s="1070"/>
      <c r="BN491" s="1070"/>
      <c r="BO491" s="1070"/>
      <c r="BP491" s="1070"/>
      <c r="BQ491" s="1070"/>
      <c r="BR491" s="1070"/>
      <c r="BS491" s="1070"/>
      <c r="BT491" s="1070"/>
      <c r="BU491" s="1070"/>
      <c r="BV491" s="1070"/>
      <c r="BW491" s="1070"/>
      <c r="BX491" s="1070"/>
      <c r="BY491" s="1070"/>
      <c r="BZ491" s="1070"/>
      <c r="CA491" s="1070"/>
      <c r="CB491" s="1070"/>
      <c r="CC491" s="1070"/>
      <c r="CD491" s="1070"/>
      <c r="CE491" s="1070"/>
      <c r="CF491" s="1070"/>
      <c r="CG491" s="1070"/>
      <c r="CH491" s="1070"/>
      <c r="CI491" s="1070"/>
      <c r="CJ491" s="1070"/>
      <c r="CK491" s="1070"/>
      <c r="CL491" s="1070"/>
      <c r="CM491" s="1070"/>
      <c r="CN491" s="1070"/>
      <c r="CO491" s="1070"/>
      <c r="CP491" s="1070"/>
      <c r="CQ491" s="1070"/>
      <c r="CR491" s="1070"/>
      <c r="CS491" s="1070"/>
      <c r="CT491" s="1070"/>
      <c r="CU491" s="1070"/>
      <c r="CV491" s="1070"/>
      <c r="CW491" s="1070"/>
      <c r="CX491" s="1070"/>
      <c r="CY491" s="1070"/>
      <c r="CZ491" s="1070"/>
      <c r="DA491" s="1070"/>
      <c r="DB491" s="1070"/>
      <c r="DC491" s="1070"/>
      <c r="DD491" s="1070"/>
      <c r="DE491" s="1070"/>
      <c r="DF491" s="1070"/>
      <c r="DG491" s="1070"/>
      <c r="DH491" s="1070"/>
      <c r="DI491" s="1070"/>
    </row>
    <row r="492" spans="1:113" ht="15.75" x14ac:dyDescent="0.25">
      <c r="A492" s="1461" t="s">
        <v>832</v>
      </c>
      <c r="B492" s="1443"/>
      <c r="C492" s="1437"/>
      <c r="D492" s="1416"/>
      <c r="E492" s="1416"/>
      <c r="F492" s="1416"/>
      <c r="G492" s="1416"/>
      <c r="H492" s="1350"/>
      <c r="I492" s="1350"/>
      <c r="J492" s="1350"/>
      <c r="K492" s="1350"/>
      <c r="L492" s="1350"/>
      <c r="M492" s="1350"/>
      <c r="N492" s="1350"/>
      <c r="O492" s="1350"/>
      <c r="P492" s="1350"/>
      <c r="Q492" s="1350"/>
      <c r="R492" s="1350"/>
      <c r="S492" s="1350"/>
      <c r="T492" s="1350"/>
      <c r="U492" s="1350"/>
      <c r="V492" s="1350"/>
      <c r="W492" s="1350"/>
      <c r="X492" s="1350"/>
      <c r="Y492" s="1350"/>
      <c r="Z492" s="1350"/>
      <c r="AA492" s="1350"/>
      <c r="AB492" s="1350"/>
      <c r="AC492" s="1350"/>
      <c r="AD492" s="1350"/>
      <c r="AE492" s="1350"/>
      <c r="AF492" s="1350"/>
      <c r="AG492" s="1350"/>
      <c r="AH492" s="1350"/>
      <c r="AI492" s="1350"/>
      <c r="AJ492" s="1350"/>
      <c r="AK492" s="1350"/>
      <c r="AL492" s="1350"/>
      <c r="AM492" s="1350"/>
      <c r="AN492" s="1350"/>
      <c r="AO492" s="1350"/>
      <c r="AP492" s="1350"/>
      <c r="AQ492" s="1350"/>
      <c r="AR492" s="1350"/>
      <c r="AS492" s="1350"/>
      <c r="AT492" s="1350"/>
      <c r="AU492" s="1350"/>
      <c r="AV492" s="1350"/>
      <c r="AW492" s="1350"/>
      <c r="AX492" s="1350"/>
      <c r="AY492" s="1350"/>
      <c r="AZ492" s="1350"/>
      <c r="BA492" s="1070"/>
      <c r="BB492" s="1070"/>
      <c r="BC492" s="1070"/>
      <c r="BD492" s="1070"/>
      <c r="BE492" s="1070"/>
      <c r="BF492" s="1070"/>
      <c r="BG492" s="1070"/>
      <c r="BH492" s="1070"/>
      <c r="BI492" s="1070"/>
      <c r="BJ492" s="1070"/>
      <c r="BK492" s="1070"/>
      <c r="BL492" s="1070"/>
      <c r="BM492" s="1070"/>
      <c r="BN492" s="1070"/>
      <c r="BO492" s="1070"/>
      <c r="BP492" s="1070"/>
      <c r="BQ492" s="1070"/>
      <c r="BR492" s="1070"/>
      <c r="BS492" s="1070"/>
      <c r="BT492" s="1070"/>
      <c r="BU492" s="1070"/>
      <c r="BV492" s="1070"/>
      <c r="BW492" s="1070"/>
      <c r="BX492" s="1070"/>
      <c r="BY492" s="1070"/>
      <c r="BZ492" s="1070"/>
      <c r="CA492" s="1070"/>
      <c r="CB492" s="1070"/>
      <c r="CC492" s="1070"/>
      <c r="CD492" s="1070"/>
      <c r="CE492" s="1070"/>
      <c r="CF492" s="1070"/>
      <c r="CG492" s="1070"/>
      <c r="CH492" s="1070"/>
      <c r="CI492" s="1070"/>
      <c r="CJ492" s="1070"/>
      <c r="CK492" s="1070"/>
      <c r="CL492" s="1070"/>
      <c r="CM492" s="1070"/>
      <c r="CN492" s="1070"/>
      <c r="CO492" s="1070"/>
      <c r="CP492" s="1070"/>
      <c r="CQ492" s="1070"/>
      <c r="CR492" s="1070"/>
      <c r="CS492" s="1070"/>
      <c r="CT492" s="1070"/>
      <c r="CU492" s="1070"/>
      <c r="CV492" s="1070"/>
      <c r="CW492" s="1070"/>
      <c r="CX492" s="1070"/>
      <c r="CY492" s="1070"/>
      <c r="CZ492" s="1070"/>
      <c r="DA492" s="1070"/>
      <c r="DB492" s="1070"/>
      <c r="DC492" s="1070"/>
      <c r="DD492" s="1070"/>
      <c r="DE492" s="1070"/>
      <c r="DF492" s="1070"/>
      <c r="DG492" s="1070"/>
      <c r="DH492" s="1070"/>
      <c r="DI492" s="1070"/>
    </row>
    <row r="493" spans="1:113" ht="15.75" x14ac:dyDescent="0.25">
      <c r="A493" s="1456" t="s">
        <v>833</v>
      </c>
      <c r="B493" s="1457">
        <v>2.1</v>
      </c>
      <c r="C493" s="1458"/>
      <c r="D493" s="1463"/>
      <c r="E493" s="1463"/>
      <c r="F493" s="1463"/>
      <c r="G493" s="1463"/>
      <c r="H493" s="1350"/>
      <c r="I493" s="1350"/>
      <c r="J493" s="1350"/>
      <c r="K493" s="1350"/>
      <c r="L493" s="1350"/>
      <c r="M493" s="1350"/>
      <c r="N493" s="1350"/>
      <c r="O493" s="1350"/>
      <c r="P493" s="1350"/>
      <c r="Q493" s="1350"/>
      <c r="R493" s="1350"/>
      <c r="S493" s="1350"/>
      <c r="T493" s="1350"/>
      <c r="U493" s="1350"/>
      <c r="V493" s="1350"/>
      <c r="W493" s="1350"/>
      <c r="X493" s="1350"/>
      <c r="Y493" s="1350"/>
      <c r="Z493" s="1350"/>
      <c r="AA493" s="1350"/>
      <c r="AB493" s="1350"/>
      <c r="AC493" s="1350"/>
      <c r="AD493" s="1350"/>
      <c r="AE493" s="1350"/>
      <c r="AF493" s="1350"/>
      <c r="AG493" s="1350"/>
      <c r="AH493" s="1350"/>
      <c r="AI493" s="1350"/>
      <c r="AJ493" s="1350"/>
      <c r="AK493" s="1350"/>
      <c r="AL493" s="1350"/>
      <c r="AM493" s="1350"/>
      <c r="AN493" s="1350"/>
      <c r="AO493" s="1350"/>
      <c r="AP493" s="1350"/>
      <c r="AQ493" s="1350"/>
      <c r="AR493" s="1350"/>
      <c r="AS493" s="1350"/>
      <c r="AT493" s="1350"/>
      <c r="AU493" s="1350"/>
      <c r="AV493" s="1350"/>
      <c r="AW493" s="1350"/>
      <c r="AX493" s="1350"/>
      <c r="AY493" s="1350"/>
      <c r="AZ493" s="1350"/>
      <c r="BA493" s="1070"/>
      <c r="BB493" s="1070"/>
      <c r="BC493" s="1070"/>
      <c r="BD493" s="1070"/>
      <c r="BE493" s="1070"/>
      <c r="BF493" s="1070"/>
      <c r="BG493" s="1070"/>
      <c r="BH493" s="1070"/>
      <c r="BI493" s="1070"/>
      <c r="BJ493" s="1070"/>
      <c r="BK493" s="1070"/>
      <c r="BL493" s="1070"/>
      <c r="BM493" s="1070"/>
      <c r="BN493" s="1070"/>
      <c r="BO493" s="1070"/>
      <c r="BP493" s="1070"/>
      <c r="BQ493" s="1070"/>
      <c r="BR493" s="1070"/>
      <c r="BS493" s="1070"/>
      <c r="BT493" s="1070"/>
      <c r="BU493" s="1070"/>
      <c r="BV493" s="1070"/>
      <c r="BW493" s="1070"/>
      <c r="BX493" s="1070"/>
      <c r="BY493" s="1070"/>
      <c r="BZ493" s="1070"/>
      <c r="CA493" s="1070"/>
      <c r="CB493" s="1070"/>
      <c r="CC493" s="1070"/>
      <c r="CD493" s="1070"/>
      <c r="CE493" s="1070"/>
      <c r="CF493" s="1070"/>
      <c r="CG493" s="1070"/>
      <c r="CH493" s="1070"/>
      <c r="CI493" s="1070"/>
      <c r="CJ493" s="1070"/>
      <c r="CK493" s="1070"/>
      <c r="CL493" s="1070"/>
      <c r="CM493" s="1070"/>
      <c r="CN493" s="1070"/>
      <c r="CO493" s="1070"/>
      <c r="CP493" s="1070"/>
      <c r="CQ493" s="1070"/>
      <c r="CR493" s="1070"/>
      <c r="CS493" s="1070"/>
      <c r="CT493" s="1070"/>
      <c r="CU493" s="1070"/>
      <c r="CV493" s="1070"/>
      <c r="CW493" s="1070"/>
      <c r="CX493" s="1070"/>
      <c r="CY493" s="1070"/>
      <c r="CZ493" s="1070"/>
      <c r="DA493" s="1070"/>
      <c r="DB493" s="1070"/>
      <c r="DC493" s="1070"/>
      <c r="DD493" s="1070"/>
      <c r="DE493" s="1070"/>
      <c r="DF493" s="1070"/>
      <c r="DG493" s="1070"/>
      <c r="DH493" s="1070"/>
      <c r="DI493" s="1070"/>
    </row>
    <row r="494" spans="1:113" ht="15.75" x14ac:dyDescent="0.25">
      <c r="A494" s="1430" t="s">
        <v>834</v>
      </c>
      <c r="B494" s="1424" t="e">
        <f>B306*B286*B291*B493</f>
        <v>#REF!</v>
      </c>
      <c r="C494" s="1429"/>
      <c r="D494" s="1465"/>
      <c r="E494" s="1465"/>
      <c r="F494" s="1465"/>
      <c r="G494" s="1465"/>
      <c r="H494" s="1350"/>
      <c r="I494" s="1350"/>
      <c r="J494" s="1350"/>
      <c r="K494" s="1350"/>
      <c r="L494" s="1350"/>
      <c r="M494" s="1350"/>
      <c r="N494" s="1350"/>
      <c r="O494" s="1350"/>
      <c r="P494" s="1350"/>
      <c r="Q494" s="1350"/>
      <c r="R494" s="1350"/>
      <c r="S494" s="1350"/>
      <c r="T494" s="1350"/>
      <c r="U494" s="1350"/>
      <c r="V494" s="1350"/>
      <c r="W494" s="1350"/>
      <c r="X494" s="1350"/>
      <c r="Y494" s="1350"/>
      <c r="Z494" s="1350"/>
      <c r="AA494" s="1350"/>
      <c r="AB494" s="1350"/>
      <c r="AC494" s="1350"/>
      <c r="AD494" s="1350"/>
      <c r="AE494" s="1350"/>
      <c r="AF494" s="1350"/>
      <c r="AG494" s="1350"/>
      <c r="AH494" s="1350"/>
      <c r="AI494" s="1350"/>
      <c r="AJ494" s="1350"/>
      <c r="AK494" s="1350"/>
      <c r="AL494" s="1350"/>
      <c r="AM494" s="1350"/>
      <c r="AN494" s="1350"/>
      <c r="AO494" s="1350"/>
      <c r="AP494" s="1350"/>
      <c r="AQ494" s="1350"/>
      <c r="AR494" s="1350"/>
      <c r="AS494" s="1350"/>
      <c r="AT494" s="1350"/>
      <c r="AU494" s="1350"/>
      <c r="AV494" s="1350"/>
      <c r="AW494" s="1350"/>
      <c r="AX494" s="1350"/>
      <c r="AY494" s="1350"/>
      <c r="AZ494" s="1350"/>
      <c r="BA494" s="1070"/>
      <c r="BB494" s="1070"/>
      <c r="BC494" s="1070"/>
      <c r="BD494" s="1070"/>
      <c r="BE494" s="1070"/>
      <c r="BF494" s="1070"/>
      <c r="BG494" s="1070"/>
      <c r="BH494" s="1070"/>
      <c r="BI494" s="1070"/>
      <c r="BJ494" s="1070"/>
      <c r="BK494" s="1070"/>
      <c r="BL494" s="1070"/>
      <c r="BM494" s="1070"/>
      <c r="BN494" s="1070"/>
      <c r="BO494" s="1070"/>
      <c r="BP494" s="1070"/>
      <c r="BQ494" s="1070"/>
      <c r="BR494" s="1070"/>
      <c r="BS494" s="1070"/>
      <c r="BT494" s="1070"/>
      <c r="BU494" s="1070"/>
      <c r="BV494" s="1070"/>
      <c r="BW494" s="1070"/>
      <c r="BX494" s="1070"/>
      <c r="BY494" s="1070"/>
      <c r="BZ494" s="1070"/>
      <c r="CA494" s="1070"/>
      <c r="CB494" s="1070"/>
      <c r="CC494" s="1070"/>
      <c r="CD494" s="1070"/>
      <c r="CE494" s="1070"/>
      <c r="CF494" s="1070"/>
      <c r="CG494" s="1070"/>
      <c r="CH494" s="1070"/>
      <c r="CI494" s="1070"/>
      <c r="CJ494" s="1070"/>
      <c r="CK494" s="1070"/>
      <c r="CL494" s="1070"/>
      <c r="CM494" s="1070"/>
      <c r="CN494" s="1070"/>
      <c r="CO494" s="1070"/>
      <c r="CP494" s="1070"/>
      <c r="CQ494" s="1070"/>
      <c r="CR494" s="1070"/>
      <c r="CS494" s="1070"/>
      <c r="CT494" s="1070"/>
      <c r="CU494" s="1070"/>
      <c r="CV494" s="1070"/>
      <c r="CW494" s="1070"/>
      <c r="CX494" s="1070"/>
      <c r="CY494" s="1070"/>
      <c r="CZ494" s="1070"/>
      <c r="DA494" s="1070"/>
      <c r="DB494" s="1070"/>
      <c r="DC494" s="1070"/>
      <c r="DD494" s="1070"/>
      <c r="DE494" s="1070"/>
      <c r="DF494" s="1070"/>
      <c r="DG494" s="1070"/>
      <c r="DH494" s="1070"/>
      <c r="DI494" s="1070"/>
    </row>
    <row r="495" spans="1:113" ht="15.75" x14ac:dyDescent="0.25">
      <c r="A495" s="1417" t="s">
        <v>5572</v>
      </c>
      <c r="B495" s="1469">
        <v>3</v>
      </c>
      <c r="C495" s="1470"/>
      <c r="D495" s="1437"/>
      <c r="E495" s="1437"/>
      <c r="F495" s="1437"/>
      <c r="G495" s="1437"/>
      <c r="H495" s="1350"/>
      <c r="I495" s="1350"/>
      <c r="J495" s="1350"/>
      <c r="K495" s="1350"/>
      <c r="L495" s="1350"/>
      <c r="M495" s="1350"/>
      <c r="N495" s="1350"/>
      <c r="O495" s="1350"/>
      <c r="P495" s="1350"/>
      <c r="Q495" s="1350"/>
      <c r="R495" s="1350"/>
      <c r="S495" s="1350"/>
      <c r="T495" s="1350"/>
      <c r="U495" s="1350"/>
      <c r="V495" s="1350"/>
      <c r="W495" s="1350"/>
      <c r="X495" s="1350"/>
      <c r="Y495" s="1350"/>
      <c r="Z495" s="1350"/>
      <c r="AA495" s="1350"/>
      <c r="AB495" s="1350"/>
      <c r="AC495" s="1350"/>
      <c r="AD495" s="1350"/>
      <c r="AE495" s="1350"/>
      <c r="AF495" s="1350"/>
      <c r="AG495" s="1350"/>
      <c r="AH495" s="1350"/>
      <c r="AI495" s="1350"/>
      <c r="AJ495" s="1350"/>
      <c r="AK495" s="1350"/>
      <c r="AL495" s="1350"/>
      <c r="AM495" s="1350"/>
      <c r="AN495" s="1350"/>
      <c r="AO495" s="1350"/>
      <c r="AP495" s="1350"/>
      <c r="AQ495" s="1350"/>
      <c r="AR495" s="1350"/>
      <c r="AS495" s="1350"/>
      <c r="AT495" s="1350"/>
      <c r="AU495" s="1350"/>
      <c r="AV495" s="1350"/>
      <c r="AW495" s="1350"/>
      <c r="AX495" s="1350"/>
      <c r="AY495" s="1350"/>
      <c r="AZ495" s="1350"/>
      <c r="BA495" s="1070"/>
      <c r="BB495" s="1070"/>
      <c r="BC495" s="1070"/>
      <c r="BD495" s="1070"/>
      <c r="BE495" s="1070"/>
      <c r="BF495" s="1070"/>
      <c r="BG495" s="1070"/>
      <c r="BH495" s="1070"/>
      <c r="BI495" s="1070"/>
      <c r="BJ495" s="1070"/>
      <c r="BK495" s="1070"/>
      <c r="BL495" s="1070"/>
      <c r="BM495" s="1070"/>
      <c r="BN495" s="1070"/>
      <c r="BO495" s="1070"/>
      <c r="BP495" s="1070"/>
      <c r="BQ495" s="1070"/>
      <c r="BR495" s="1070"/>
      <c r="BS495" s="1070"/>
      <c r="BT495" s="1070"/>
      <c r="BU495" s="1070"/>
      <c r="BV495" s="1070"/>
      <c r="BW495" s="1070"/>
      <c r="BX495" s="1070"/>
      <c r="BY495" s="1070"/>
      <c r="BZ495" s="1070"/>
      <c r="CA495" s="1070"/>
      <c r="CB495" s="1070"/>
      <c r="CC495" s="1070"/>
      <c r="CD495" s="1070"/>
      <c r="CE495" s="1070"/>
      <c r="CF495" s="1070"/>
      <c r="CG495" s="1070"/>
      <c r="CH495" s="1070"/>
      <c r="CI495" s="1070"/>
      <c r="CJ495" s="1070"/>
      <c r="CK495" s="1070"/>
      <c r="CL495" s="1070"/>
      <c r="CM495" s="1070"/>
      <c r="CN495" s="1070"/>
      <c r="CO495" s="1070"/>
      <c r="CP495" s="1070"/>
      <c r="CQ495" s="1070"/>
      <c r="CR495" s="1070"/>
      <c r="CS495" s="1070"/>
      <c r="CT495" s="1070"/>
      <c r="CU495" s="1070"/>
      <c r="CV495" s="1070"/>
      <c r="CW495" s="1070"/>
      <c r="CX495" s="1070"/>
      <c r="CY495" s="1070"/>
      <c r="CZ495" s="1070"/>
      <c r="DA495" s="1070"/>
      <c r="DB495" s="1070"/>
      <c r="DC495" s="1070"/>
      <c r="DD495" s="1070"/>
      <c r="DE495" s="1070"/>
      <c r="DF495" s="1070"/>
      <c r="DG495" s="1070"/>
      <c r="DH495" s="1070"/>
      <c r="DI495" s="1070"/>
    </row>
    <row r="496" spans="1:113" ht="15.75" x14ac:dyDescent="0.25">
      <c r="A496" s="1430" t="s">
        <v>425</v>
      </c>
      <c r="B496" s="1441">
        <f>IF(B495&lt;2,B500,IF(B495&lt;3,B501,IF(B495&lt;4,B502,IF(B495&lt;5,B503,B504))))</f>
        <v>134</v>
      </c>
      <c r="C496" s="1434"/>
      <c r="D496" s="1437"/>
      <c r="E496" s="1437"/>
      <c r="F496" s="1437"/>
      <c r="G496" s="1437"/>
      <c r="H496" s="1350"/>
      <c r="I496" s="1350"/>
      <c r="J496" s="1350"/>
      <c r="K496" s="1070"/>
      <c r="L496" s="1070"/>
      <c r="M496" s="1070"/>
      <c r="N496" s="1070"/>
      <c r="O496" s="1070"/>
      <c r="P496" s="1070"/>
      <c r="Q496" s="1070"/>
      <c r="R496" s="1070"/>
      <c r="S496" s="1070"/>
      <c r="T496" s="1070"/>
      <c r="U496" s="1070"/>
      <c r="V496" s="1070"/>
      <c r="W496" s="1070"/>
      <c r="X496" s="1070"/>
      <c r="Y496" s="1070"/>
      <c r="Z496" s="1070"/>
      <c r="AA496" s="1070"/>
      <c r="AB496" s="1070"/>
      <c r="AC496" s="1070"/>
      <c r="AD496" s="1070"/>
      <c r="AE496" s="1070"/>
      <c r="AF496" s="1070"/>
      <c r="AG496" s="1070"/>
      <c r="AH496" s="1070"/>
      <c r="AI496" s="1350"/>
      <c r="AJ496" s="1350"/>
      <c r="AK496" s="1350"/>
      <c r="AL496" s="1350"/>
      <c r="AM496" s="1350"/>
      <c r="AN496" s="1350"/>
      <c r="AO496" s="1350"/>
      <c r="AP496" s="1350"/>
      <c r="AQ496" s="1350"/>
      <c r="AR496" s="1350"/>
      <c r="AS496" s="1350"/>
      <c r="AT496" s="1350"/>
      <c r="AU496" s="1350"/>
      <c r="AV496" s="1350"/>
      <c r="AW496" s="1350"/>
      <c r="AX496" s="1350"/>
      <c r="AY496" s="1350"/>
      <c r="AZ496" s="1350"/>
      <c r="BA496" s="1070"/>
      <c r="BB496" s="1070"/>
      <c r="BC496" s="1070"/>
      <c r="BD496" s="1070"/>
      <c r="BE496" s="1070"/>
      <c r="BF496" s="1070"/>
      <c r="BG496" s="1070"/>
      <c r="BH496" s="1070"/>
      <c r="BI496" s="1070"/>
      <c r="BJ496" s="1070"/>
      <c r="BK496" s="1070"/>
      <c r="BL496" s="1070"/>
      <c r="BM496" s="1070"/>
      <c r="BN496" s="1070"/>
      <c r="BO496" s="1070"/>
      <c r="BP496" s="1070"/>
      <c r="BQ496" s="1070"/>
      <c r="BR496" s="1070"/>
      <c r="BS496" s="1070"/>
      <c r="BT496" s="1070"/>
      <c r="BU496" s="1070"/>
      <c r="BV496" s="1070"/>
      <c r="BW496" s="1070"/>
      <c r="BX496" s="1070"/>
      <c r="BY496" s="1070"/>
      <c r="BZ496" s="1070"/>
      <c r="CA496" s="1070"/>
      <c r="CB496" s="1070"/>
      <c r="CC496" s="1070"/>
      <c r="CD496" s="1070"/>
      <c r="CE496" s="1070"/>
      <c r="CF496" s="1070"/>
      <c r="CG496" s="1070"/>
      <c r="CH496" s="1070"/>
      <c r="CI496" s="1070"/>
      <c r="CJ496" s="1070"/>
      <c r="CK496" s="1070"/>
      <c r="CL496" s="1070"/>
      <c r="CM496" s="1070"/>
      <c r="CN496" s="1070"/>
      <c r="CO496" s="1070"/>
      <c r="CP496" s="1070"/>
      <c r="CQ496" s="1070"/>
      <c r="CR496" s="1070"/>
      <c r="CS496" s="1070"/>
      <c r="CT496" s="1070"/>
      <c r="CU496" s="1070"/>
      <c r="CV496" s="1070"/>
      <c r="CW496" s="1070"/>
      <c r="CX496" s="1070"/>
      <c r="CY496" s="1070"/>
      <c r="CZ496" s="1070"/>
      <c r="DA496" s="1070"/>
      <c r="DB496" s="1070"/>
      <c r="DC496" s="1070"/>
      <c r="DD496" s="1070"/>
      <c r="DE496" s="1070"/>
      <c r="DF496" s="1070"/>
      <c r="DG496" s="1070"/>
      <c r="DH496" s="1070"/>
      <c r="DI496" s="1070"/>
    </row>
    <row r="497" spans="1:113" ht="15.75" x14ac:dyDescent="0.25">
      <c r="A497" s="1430" t="s">
        <v>835</v>
      </c>
      <c r="B497" s="1441">
        <f>IF(B286&lt;0.61,1,IF(B286&lt;0.81,2,IF(B286&lt;1.41,3,IF(B286&lt;1.81,4,5))))</f>
        <v>5</v>
      </c>
      <c r="C497" s="1434"/>
      <c r="D497" s="1468"/>
      <c r="E497" s="1468"/>
      <c r="F497" s="1468"/>
      <c r="G497" s="1468"/>
      <c r="H497" s="1350"/>
      <c r="I497" s="1350"/>
      <c r="J497" s="1350"/>
      <c r="K497" s="1070"/>
      <c r="L497" s="1070"/>
      <c r="M497" s="1070"/>
      <c r="N497" s="1070"/>
      <c r="O497" s="1070"/>
      <c r="P497" s="1070"/>
      <c r="Q497" s="1070"/>
      <c r="R497" s="1070"/>
      <c r="S497" s="1070"/>
      <c r="T497" s="1070"/>
      <c r="U497" s="1070"/>
      <c r="V497" s="1070"/>
      <c r="W497" s="1070"/>
      <c r="X497" s="1070"/>
      <c r="Y497" s="1070"/>
      <c r="Z497" s="1070"/>
      <c r="AA497" s="1070"/>
      <c r="AB497" s="1070"/>
      <c r="AC497" s="1070"/>
      <c r="AD497" s="1070"/>
      <c r="AE497" s="1070"/>
      <c r="AF497" s="1070"/>
      <c r="AG497" s="1070"/>
      <c r="AH497" s="1070"/>
      <c r="AI497" s="1350"/>
      <c r="AJ497" s="1350"/>
      <c r="AK497" s="1350"/>
      <c r="AL497" s="1350"/>
      <c r="AM497" s="1350"/>
      <c r="AN497" s="1350"/>
      <c r="AO497" s="1350"/>
      <c r="AP497" s="1350"/>
      <c r="AQ497" s="1350"/>
      <c r="AR497" s="1350"/>
      <c r="AS497" s="1350"/>
      <c r="AT497" s="1350"/>
      <c r="AU497" s="1350"/>
      <c r="AV497" s="1350"/>
      <c r="AW497" s="1350"/>
      <c r="AX497" s="1350"/>
      <c r="AY497" s="1350"/>
      <c r="AZ497" s="1350"/>
      <c r="BA497" s="1070"/>
      <c r="BB497" s="1070"/>
      <c r="BC497" s="1070"/>
      <c r="BD497" s="1070"/>
      <c r="BE497" s="1070"/>
      <c r="BF497" s="1070"/>
      <c r="BG497" s="1070"/>
      <c r="BH497" s="1070"/>
      <c r="BI497" s="1070"/>
      <c r="BJ497" s="1070"/>
      <c r="BK497" s="1070"/>
      <c r="BL497" s="1070"/>
      <c r="BM497" s="1070"/>
      <c r="BN497" s="1070"/>
      <c r="BO497" s="1070"/>
      <c r="BP497" s="1070"/>
      <c r="BQ497" s="1070"/>
      <c r="BR497" s="1070"/>
      <c r="BS497" s="1070"/>
      <c r="BT497" s="1070"/>
      <c r="BU497" s="1070"/>
      <c r="BV497" s="1070"/>
      <c r="BW497" s="1070"/>
      <c r="BX497" s="1070"/>
      <c r="BY497" s="1070"/>
      <c r="BZ497" s="1070"/>
      <c r="CA497" s="1070"/>
      <c r="CB497" s="1070"/>
      <c r="CC497" s="1070"/>
      <c r="CD497" s="1070"/>
      <c r="CE497" s="1070"/>
      <c r="CF497" s="1070"/>
      <c r="CG497" s="1070"/>
      <c r="CH497" s="1070"/>
      <c r="CI497" s="1070"/>
      <c r="CJ497" s="1070"/>
      <c r="CK497" s="1070"/>
      <c r="CL497" s="1070"/>
      <c r="CM497" s="1070"/>
      <c r="CN497" s="1070"/>
      <c r="CO497" s="1070"/>
      <c r="CP497" s="1070"/>
      <c r="CQ497" s="1070"/>
      <c r="CR497" s="1070"/>
      <c r="CS497" s="1070"/>
      <c r="CT497" s="1070"/>
      <c r="CU497" s="1070"/>
      <c r="CV497" s="1070"/>
      <c r="CW497" s="1070"/>
      <c r="CX497" s="1070"/>
      <c r="CY497" s="1070"/>
      <c r="CZ497" s="1070"/>
      <c r="DA497" s="1070"/>
      <c r="DB497" s="1070"/>
      <c r="DC497" s="1070"/>
      <c r="DD497" s="1070"/>
      <c r="DE497" s="1070"/>
      <c r="DF497" s="1070"/>
      <c r="DG497" s="1070"/>
      <c r="DH497" s="1070"/>
      <c r="DI497" s="1070"/>
    </row>
    <row r="498" spans="1:113" ht="15.75" x14ac:dyDescent="0.25">
      <c r="A498" s="1430" t="s">
        <v>836</v>
      </c>
      <c r="B498" s="1441">
        <f>IF(B297&lt;25,1,IF(B297&lt;46,2,3))</f>
        <v>3</v>
      </c>
      <c r="C498" s="1434"/>
      <c r="D498" s="1350"/>
      <c r="E498" s="1350"/>
      <c r="F498" s="1350"/>
      <c r="G498" s="1350"/>
      <c r="H498" s="1350"/>
      <c r="I498" s="1350"/>
      <c r="J498" s="1350"/>
      <c r="K498" s="1070"/>
      <c r="L498" s="1070"/>
      <c r="M498" s="1070"/>
      <c r="N498" s="1070"/>
      <c r="O498" s="1070"/>
      <c r="P498" s="1070"/>
      <c r="Q498" s="1070"/>
      <c r="R498" s="1070"/>
      <c r="S498" s="1070"/>
      <c r="T498" s="1070"/>
      <c r="U498" s="1070"/>
      <c r="V498" s="1070"/>
      <c r="W498" s="1070"/>
      <c r="X498" s="1070"/>
      <c r="Y498" s="1070"/>
      <c r="Z498" s="1070"/>
      <c r="AA498" s="1070"/>
      <c r="AB498" s="1070"/>
      <c r="AC498" s="1070"/>
      <c r="AD498" s="1070"/>
      <c r="AE498" s="1070"/>
      <c r="AF498" s="1070"/>
      <c r="AG498" s="1070"/>
      <c r="AH498" s="1070"/>
      <c r="AI498" s="1350"/>
      <c r="AJ498" s="1350"/>
      <c r="AK498" s="1350"/>
      <c r="AL498" s="1350"/>
      <c r="AM498" s="1350"/>
      <c r="AN498" s="1350"/>
      <c r="AO498" s="1350"/>
      <c r="AP498" s="1350"/>
      <c r="AQ498" s="1350"/>
      <c r="AR498" s="1350"/>
      <c r="AS498" s="1350"/>
      <c r="AT498" s="1350"/>
      <c r="AU498" s="1350"/>
      <c r="AV498" s="1350"/>
      <c r="AW498" s="1350"/>
      <c r="AX498" s="1350"/>
      <c r="AY498" s="1350"/>
      <c r="AZ498" s="1350"/>
      <c r="BA498" s="1070"/>
      <c r="BB498" s="1070"/>
      <c r="BC498" s="1070"/>
      <c r="BD498" s="1070"/>
      <c r="BE498" s="1070"/>
      <c r="BF498" s="1070"/>
      <c r="BG498" s="1070"/>
      <c r="BH498" s="1070"/>
      <c r="BI498" s="1070"/>
      <c r="BJ498" s="1070"/>
      <c r="BK498" s="1070"/>
      <c r="BL498" s="1070"/>
      <c r="BM498" s="1070"/>
      <c r="BN498" s="1070"/>
      <c r="BO498" s="1070"/>
      <c r="BP498" s="1070"/>
      <c r="BQ498" s="1070"/>
      <c r="BR498" s="1070"/>
      <c r="BS498" s="1070"/>
      <c r="BT498" s="1070"/>
      <c r="BU498" s="1070"/>
      <c r="BV498" s="1070"/>
      <c r="BW498" s="1070"/>
      <c r="BX498" s="1070"/>
      <c r="BY498" s="1070"/>
      <c r="BZ498" s="1070"/>
      <c r="CA498" s="1070"/>
      <c r="CB498" s="1070"/>
      <c r="CC498" s="1070"/>
      <c r="CD498" s="1070"/>
      <c r="CE498" s="1070"/>
      <c r="CF498" s="1070"/>
      <c r="CG498" s="1070"/>
      <c r="CH498" s="1070"/>
      <c r="CI498" s="1070"/>
      <c r="CJ498" s="1070"/>
      <c r="CK498" s="1070"/>
      <c r="CL498" s="1070"/>
      <c r="CM498" s="1070"/>
      <c r="CN498" s="1070"/>
      <c r="CO498" s="1070"/>
      <c r="CP498" s="1070"/>
      <c r="CQ498" s="1070"/>
      <c r="CR498" s="1070"/>
      <c r="CS498" s="1070"/>
      <c r="CT498" s="1070"/>
      <c r="CU498" s="1070"/>
      <c r="CV498" s="1070"/>
      <c r="CW498" s="1070"/>
      <c r="CX498" s="1070"/>
      <c r="CY498" s="1070"/>
      <c r="CZ498" s="1070"/>
      <c r="DA498" s="1070"/>
      <c r="DB498" s="1070"/>
      <c r="DC498" s="1070"/>
      <c r="DD498" s="1070"/>
      <c r="DE498" s="1070"/>
      <c r="DF498" s="1070"/>
      <c r="DG498" s="1070"/>
      <c r="DH498" s="1070"/>
      <c r="DI498" s="1070"/>
    </row>
    <row r="499" spans="1:113" ht="15.75" x14ac:dyDescent="0.25">
      <c r="A499" s="1456" t="s">
        <v>1719</v>
      </c>
      <c r="B499" s="1443"/>
      <c r="C499" s="1437"/>
      <c r="D499" s="1350"/>
      <c r="E499" s="1350"/>
      <c r="F499" s="1350"/>
      <c r="G499" s="1350"/>
      <c r="H499" s="1350"/>
      <c r="I499" s="1350"/>
      <c r="J499" s="1350"/>
      <c r="K499" s="1070"/>
      <c r="L499" s="1070"/>
      <c r="M499" s="1070"/>
      <c r="N499" s="1070"/>
      <c r="O499" s="1070"/>
      <c r="P499" s="1070"/>
      <c r="Q499" s="1070"/>
      <c r="R499" s="1070"/>
      <c r="S499" s="1070"/>
      <c r="T499" s="1070"/>
      <c r="U499" s="1070"/>
      <c r="V499" s="1070"/>
      <c r="W499" s="1070"/>
      <c r="X499" s="1070"/>
      <c r="Y499" s="1070"/>
      <c r="Z499" s="1070"/>
      <c r="AA499" s="1070"/>
      <c r="AB499" s="1070"/>
      <c r="AC499" s="1070"/>
      <c r="AD499" s="1070"/>
      <c r="AE499" s="1070"/>
      <c r="AF499" s="1070"/>
      <c r="AG499" s="1070"/>
      <c r="AH499" s="1070"/>
      <c r="AI499" s="1350"/>
      <c r="AJ499" s="1350"/>
      <c r="AK499" s="1350"/>
      <c r="AL499" s="1350"/>
      <c r="AM499" s="1350"/>
      <c r="AN499" s="1350"/>
      <c r="AO499" s="1350"/>
      <c r="AP499" s="1350"/>
      <c r="AQ499" s="1350"/>
      <c r="AR499" s="1350"/>
      <c r="AS499" s="1350"/>
      <c r="AT499" s="1350"/>
      <c r="AU499" s="1350"/>
      <c r="AV499" s="1350"/>
      <c r="AW499" s="1350"/>
      <c r="AX499" s="1350"/>
      <c r="AY499" s="1350"/>
      <c r="AZ499" s="1350"/>
      <c r="BA499" s="1070"/>
      <c r="BB499" s="1070"/>
      <c r="BC499" s="1070"/>
      <c r="BD499" s="1070"/>
      <c r="BE499" s="1070"/>
      <c r="BF499" s="1070"/>
      <c r="BG499" s="1070"/>
      <c r="BH499" s="1070"/>
      <c r="BI499" s="1070"/>
      <c r="BJ499" s="1070"/>
      <c r="BK499" s="1070"/>
      <c r="BL499" s="1070"/>
      <c r="BM499" s="1070"/>
      <c r="BN499" s="1070"/>
      <c r="BO499" s="1070"/>
      <c r="BP499" s="1070"/>
      <c r="BQ499" s="1070"/>
      <c r="BR499" s="1070"/>
      <c r="BS499" s="1070"/>
      <c r="BT499" s="1070"/>
      <c r="BU499" s="1070"/>
      <c r="BV499" s="1070"/>
      <c r="BW499" s="1070"/>
      <c r="BX499" s="1070"/>
      <c r="BY499" s="1070"/>
      <c r="BZ499" s="1070"/>
      <c r="CA499" s="1070"/>
      <c r="CB499" s="1070"/>
      <c r="CC499" s="1070"/>
      <c r="CD499" s="1070"/>
      <c r="CE499" s="1070"/>
      <c r="CF499" s="1070"/>
      <c r="CG499" s="1070"/>
      <c r="CH499" s="1070"/>
      <c r="CI499" s="1070"/>
      <c r="CJ499" s="1070"/>
      <c r="CK499" s="1070"/>
      <c r="CL499" s="1070"/>
      <c r="CM499" s="1070"/>
      <c r="CN499" s="1070"/>
      <c r="CO499" s="1070"/>
      <c r="CP499" s="1070"/>
      <c r="CQ499" s="1070"/>
      <c r="CR499" s="1070"/>
      <c r="CS499" s="1070"/>
      <c r="CT499" s="1070"/>
      <c r="CU499" s="1070"/>
      <c r="CV499" s="1070"/>
      <c r="CW499" s="1070"/>
      <c r="CX499" s="1070"/>
      <c r="CY499" s="1070"/>
      <c r="CZ499" s="1070"/>
      <c r="DA499" s="1070"/>
      <c r="DB499" s="1070"/>
      <c r="DC499" s="1070"/>
      <c r="DD499" s="1070"/>
      <c r="DE499" s="1070"/>
      <c r="DF499" s="1070"/>
      <c r="DG499" s="1070"/>
      <c r="DH499" s="1070"/>
      <c r="DI499" s="1070"/>
    </row>
    <row r="500" spans="1:113" ht="15.75" x14ac:dyDescent="0.25">
      <c r="A500" s="1456" t="s">
        <v>837</v>
      </c>
      <c r="B500" s="1441">
        <f>INDEX($AB$1480:$AD$1484,B497,B498)</f>
        <v>230</v>
      </c>
      <c r="C500" s="1434"/>
      <c r="D500" s="1458"/>
      <c r="E500" s="1458"/>
      <c r="F500" s="1458"/>
      <c r="G500" s="1458"/>
      <c r="H500" s="1350"/>
      <c r="I500" s="1350"/>
      <c r="J500" s="1350"/>
      <c r="K500" s="1070"/>
      <c r="L500" s="1070"/>
      <c r="M500" s="1070"/>
      <c r="N500" s="1070"/>
      <c r="O500" s="1070"/>
      <c r="P500" s="1070"/>
      <c r="Q500" s="1070"/>
      <c r="R500" s="1070"/>
      <c r="S500" s="1070"/>
      <c r="T500" s="1070"/>
      <c r="U500" s="1070"/>
      <c r="V500" s="1070"/>
      <c r="W500" s="1070"/>
      <c r="X500" s="1070"/>
      <c r="Y500" s="1070"/>
      <c r="Z500" s="1070"/>
      <c r="AA500" s="1070"/>
      <c r="AB500" s="1070"/>
      <c r="AC500" s="1070"/>
      <c r="AD500" s="1070"/>
      <c r="AE500" s="1070"/>
      <c r="AF500" s="1070"/>
      <c r="AG500" s="1070"/>
      <c r="AH500" s="1070"/>
      <c r="AI500" s="1350"/>
      <c r="AJ500" s="1350"/>
      <c r="AK500" s="1350"/>
      <c r="AL500" s="1350"/>
      <c r="AM500" s="1350"/>
      <c r="AN500" s="1350"/>
      <c r="AO500" s="1350"/>
      <c r="AP500" s="1350"/>
      <c r="AQ500" s="1350"/>
      <c r="AR500" s="1350"/>
      <c r="AS500" s="1350"/>
      <c r="AT500" s="1350"/>
      <c r="AU500" s="1350"/>
      <c r="AV500" s="1350"/>
      <c r="AW500" s="1350"/>
      <c r="AX500" s="1350"/>
      <c r="AY500" s="1350"/>
      <c r="AZ500" s="1350"/>
      <c r="BA500" s="1070"/>
      <c r="BB500" s="1070"/>
      <c r="BC500" s="1070"/>
      <c r="BD500" s="1070"/>
      <c r="BE500" s="1070"/>
      <c r="BF500" s="1070"/>
      <c r="BG500" s="1070"/>
      <c r="BH500" s="1070"/>
      <c r="BI500" s="1070"/>
      <c r="BJ500" s="1070"/>
      <c r="BK500" s="1070"/>
      <c r="BL500" s="1070"/>
      <c r="BM500" s="1070"/>
      <c r="BN500" s="1070"/>
      <c r="BO500" s="1070"/>
      <c r="BP500" s="1070"/>
      <c r="BQ500" s="1070"/>
      <c r="BR500" s="1070"/>
      <c r="BS500" s="1070"/>
      <c r="BT500" s="1070"/>
      <c r="BU500" s="1070"/>
      <c r="BV500" s="1070"/>
      <c r="BW500" s="1070"/>
      <c r="BX500" s="1070"/>
      <c r="BY500" s="1070"/>
      <c r="BZ500" s="1070"/>
      <c r="CA500" s="1070"/>
      <c r="CB500" s="1070"/>
      <c r="CC500" s="1070"/>
      <c r="CD500" s="1070"/>
      <c r="CE500" s="1070"/>
      <c r="CF500" s="1070"/>
      <c r="CG500" s="1070"/>
      <c r="CH500" s="1070"/>
      <c r="CI500" s="1070"/>
      <c r="CJ500" s="1070"/>
      <c r="CK500" s="1070"/>
      <c r="CL500" s="1070"/>
      <c r="CM500" s="1070"/>
      <c r="CN500" s="1070"/>
      <c r="CO500" s="1070"/>
      <c r="CP500" s="1070"/>
      <c r="CQ500" s="1070"/>
      <c r="CR500" s="1070"/>
      <c r="CS500" s="1070"/>
      <c r="CT500" s="1070"/>
      <c r="CU500" s="1070"/>
      <c r="CV500" s="1070"/>
      <c r="CW500" s="1070"/>
      <c r="CX500" s="1070"/>
      <c r="CY500" s="1070"/>
      <c r="CZ500" s="1070"/>
      <c r="DA500" s="1070"/>
      <c r="DB500" s="1070"/>
      <c r="DC500" s="1070"/>
      <c r="DD500" s="1070"/>
      <c r="DE500" s="1070"/>
      <c r="DF500" s="1070"/>
      <c r="DG500" s="1070"/>
      <c r="DH500" s="1070"/>
      <c r="DI500" s="1070"/>
    </row>
    <row r="501" spans="1:113" ht="15.75" x14ac:dyDescent="0.25">
      <c r="A501" s="1417" t="s">
        <v>491</v>
      </c>
      <c r="B501" s="1441">
        <f>INDEX($AE$1480:$AG$1484,B497,B498)</f>
        <v>175</v>
      </c>
      <c r="C501" s="1434"/>
      <c r="D501" s="1429"/>
      <c r="E501" s="1429"/>
      <c r="F501" s="1429"/>
      <c r="G501" s="1429"/>
      <c r="H501" s="1350"/>
      <c r="I501" s="1350"/>
      <c r="J501" s="1350"/>
      <c r="K501" s="1070"/>
      <c r="L501" s="1070"/>
      <c r="M501" s="1070"/>
      <c r="N501" s="1070"/>
      <c r="O501" s="1070"/>
      <c r="P501" s="1070"/>
      <c r="Q501" s="1070"/>
      <c r="R501" s="1070"/>
      <c r="S501" s="1070"/>
      <c r="T501" s="1070"/>
      <c r="U501" s="1070"/>
      <c r="V501" s="1070"/>
      <c r="W501" s="1070"/>
      <c r="X501" s="1070"/>
      <c r="Y501" s="1070"/>
      <c r="Z501" s="1070"/>
      <c r="AA501" s="1070"/>
      <c r="AB501" s="1070"/>
      <c r="AC501" s="1070"/>
      <c r="AD501" s="1070"/>
      <c r="AE501" s="1070"/>
      <c r="AF501" s="1070"/>
      <c r="AG501" s="1070"/>
      <c r="AH501" s="1070"/>
      <c r="AI501" s="1350"/>
      <c r="AJ501" s="1350"/>
      <c r="AK501" s="1350"/>
      <c r="AL501" s="1350"/>
      <c r="AM501" s="1350"/>
      <c r="AN501" s="1350"/>
      <c r="AO501" s="1350"/>
      <c r="AP501" s="1350"/>
      <c r="AQ501" s="1350"/>
      <c r="AR501" s="1350"/>
      <c r="AS501" s="1350"/>
      <c r="AT501" s="1350"/>
      <c r="AU501" s="1350"/>
      <c r="AV501" s="1350"/>
      <c r="AW501" s="1350"/>
      <c r="AX501" s="1350"/>
      <c r="AY501" s="1350"/>
      <c r="AZ501" s="1350"/>
      <c r="BA501" s="1070"/>
      <c r="BB501" s="1070"/>
      <c r="BC501" s="1070"/>
      <c r="BD501" s="1070"/>
      <c r="BE501" s="1070"/>
      <c r="BF501" s="1070"/>
      <c r="BG501" s="1070"/>
      <c r="BH501" s="1070"/>
      <c r="BI501" s="1070"/>
      <c r="BJ501" s="1070"/>
      <c r="BK501" s="1070"/>
      <c r="BL501" s="1070"/>
      <c r="BM501" s="1070"/>
      <c r="BN501" s="1070"/>
      <c r="BO501" s="1070"/>
      <c r="BP501" s="1070"/>
      <c r="BQ501" s="1070"/>
      <c r="BR501" s="1070"/>
      <c r="BS501" s="1070"/>
      <c r="BT501" s="1070"/>
      <c r="BU501" s="1070"/>
      <c r="BV501" s="1070"/>
      <c r="BW501" s="1070"/>
      <c r="BX501" s="1070"/>
      <c r="BY501" s="1070"/>
      <c r="BZ501" s="1070"/>
      <c r="CA501" s="1070"/>
      <c r="CB501" s="1070"/>
      <c r="CC501" s="1070"/>
      <c r="CD501" s="1070"/>
      <c r="CE501" s="1070"/>
      <c r="CF501" s="1070"/>
      <c r="CG501" s="1070"/>
      <c r="CH501" s="1070"/>
      <c r="CI501" s="1070"/>
      <c r="CJ501" s="1070"/>
      <c r="CK501" s="1070"/>
      <c r="CL501" s="1070"/>
      <c r="CM501" s="1070"/>
      <c r="CN501" s="1070"/>
      <c r="CO501" s="1070"/>
      <c r="CP501" s="1070"/>
      <c r="CQ501" s="1070"/>
      <c r="CR501" s="1070"/>
      <c r="CS501" s="1070"/>
      <c r="CT501" s="1070"/>
      <c r="CU501" s="1070"/>
      <c r="CV501" s="1070"/>
      <c r="CW501" s="1070"/>
      <c r="CX501" s="1070"/>
      <c r="CY501" s="1070"/>
      <c r="CZ501" s="1070"/>
      <c r="DA501" s="1070"/>
      <c r="DB501" s="1070"/>
      <c r="DC501" s="1070"/>
      <c r="DD501" s="1070"/>
      <c r="DE501" s="1070"/>
      <c r="DF501" s="1070"/>
      <c r="DG501" s="1070"/>
      <c r="DH501" s="1070"/>
      <c r="DI501" s="1070"/>
    </row>
    <row r="502" spans="1:113" ht="15.75" x14ac:dyDescent="0.25">
      <c r="A502" s="1417" t="s">
        <v>492</v>
      </c>
      <c r="B502" s="1441">
        <f>INDEX($AH$1480:$AJ$1484,B497,B498)</f>
        <v>134</v>
      </c>
      <c r="C502" s="1434"/>
      <c r="D502" s="1470"/>
      <c r="E502" s="1470"/>
      <c r="F502" s="1470"/>
      <c r="G502" s="1470"/>
      <c r="H502" s="1350"/>
      <c r="I502" s="1350"/>
      <c r="J502" s="1350"/>
      <c r="K502" s="1070"/>
      <c r="L502" s="1070"/>
      <c r="M502" s="1070"/>
      <c r="N502" s="1070"/>
      <c r="O502" s="1070"/>
      <c r="P502" s="1070"/>
      <c r="Q502" s="1070"/>
      <c r="R502" s="1070"/>
      <c r="S502" s="1070"/>
      <c r="T502" s="1070"/>
      <c r="U502" s="1070"/>
      <c r="V502" s="1070"/>
      <c r="W502" s="1070"/>
      <c r="X502" s="1070"/>
      <c r="Y502" s="1070"/>
      <c r="Z502" s="1070"/>
      <c r="AA502" s="1070"/>
      <c r="AB502" s="1070"/>
      <c r="AC502" s="1070"/>
      <c r="AD502" s="1070"/>
      <c r="AE502" s="1070"/>
      <c r="AF502" s="1070"/>
      <c r="AG502" s="1070"/>
      <c r="AH502" s="1070"/>
      <c r="AI502" s="1350"/>
      <c r="AJ502" s="1350"/>
      <c r="AK502" s="1350"/>
      <c r="AL502" s="1350"/>
      <c r="AM502" s="1350"/>
      <c r="AN502" s="1350"/>
      <c r="AO502" s="1350"/>
      <c r="AP502" s="1350"/>
      <c r="AQ502" s="1350"/>
      <c r="AR502" s="1350"/>
      <c r="AS502" s="1350"/>
      <c r="AT502" s="1350"/>
      <c r="AU502" s="1350"/>
      <c r="AV502" s="1350"/>
      <c r="AW502" s="1350"/>
      <c r="AX502" s="1350"/>
      <c r="AY502" s="1350"/>
      <c r="AZ502" s="1350"/>
      <c r="BA502" s="1070"/>
      <c r="BB502" s="1070"/>
      <c r="BC502" s="1070"/>
      <c r="BD502" s="1070"/>
      <c r="BE502" s="1070"/>
      <c r="BF502" s="1070"/>
      <c r="BG502" s="1070"/>
      <c r="BH502" s="1070"/>
      <c r="BI502" s="1070"/>
      <c r="BJ502" s="1070"/>
      <c r="BK502" s="1070"/>
      <c r="BL502" s="1070"/>
      <c r="BM502" s="1070"/>
      <c r="BN502" s="1070"/>
      <c r="BO502" s="1070"/>
      <c r="BP502" s="1070"/>
      <c r="BQ502" s="1070"/>
      <c r="BR502" s="1070"/>
      <c r="BS502" s="1070"/>
      <c r="BT502" s="1070"/>
      <c r="BU502" s="1070"/>
      <c r="BV502" s="1070"/>
      <c r="BW502" s="1070"/>
      <c r="BX502" s="1070"/>
      <c r="BY502" s="1070"/>
      <c r="BZ502" s="1070"/>
      <c r="CA502" s="1070"/>
      <c r="CB502" s="1070"/>
      <c r="CC502" s="1070"/>
      <c r="CD502" s="1070"/>
      <c r="CE502" s="1070"/>
      <c r="CF502" s="1070"/>
      <c r="CG502" s="1070"/>
      <c r="CH502" s="1070"/>
      <c r="CI502" s="1070"/>
      <c r="CJ502" s="1070"/>
      <c r="CK502" s="1070"/>
      <c r="CL502" s="1070"/>
      <c r="CM502" s="1070"/>
      <c r="CN502" s="1070"/>
      <c r="CO502" s="1070"/>
      <c r="CP502" s="1070"/>
      <c r="CQ502" s="1070"/>
      <c r="CR502" s="1070"/>
      <c r="CS502" s="1070"/>
      <c r="CT502" s="1070"/>
      <c r="CU502" s="1070"/>
      <c r="CV502" s="1070"/>
      <c r="CW502" s="1070"/>
      <c r="CX502" s="1070"/>
      <c r="CY502" s="1070"/>
      <c r="CZ502" s="1070"/>
      <c r="DA502" s="1070"/>
      <c r="DB502" s="1070"/>
      <c r="DC502" s="1070"/>
      <c r="DD502" s="1070"/>
      <c r="DE502" s="1070"/>
      <c r="DF502" s="1070"/>
      <c r="DG502" s="1070"/>
      <c r="DH502" s="1070"/>
      <c r="DI502" s="1070"/>
    </row>
    <row r="503" spans="1:113" ht="15.75" x14ac:dyDescent="0.25">
      <c r="A503" s="1417" t="s">
        <v>493</v>
      </c>
      <c r="B503" s="1441">
        <f>INDEX($AK$1480:$AM$1484,B497,B498)</f>
        <v>106</v>
      </c>
      <c r="C503" s="1434"/>
      <c r="D503" s="1434"/>
      <c r="E503" s="1434"/>
      <c r="F503" s="1434"/>
      <c r="G503" s="1434"/>
      <c r="H503" s="1350"/>
      <c r="I503" s="1350"/>
      <c r="J503" s="1350"/>
      <c r="K503" s="1070"/>
      <c r="L503" s="1070"/>
      <c r="M503" s="1070"/>
      <c r="N503" s="1070"/>
      <c r="O503" s="1070"/>
      <c r="P503" s="1070"/>
      <c r="Q503" s="1070"/>
      <c r="R503" s="1070"/>
      <c r="S503" s="1070"/>
      <c r="T503" s="1070"/>
      <c r="U503" s="1070"/>
      <c r="V503" s="1070"/>
      <c r="W503" s="1070"/>
      <c r="X503" s="1070"/>
      <c r="Y503" s="1070"/>
      <c r="Z503" s="1070"/>
      <c r="AA503" s="1070"/>
      <c r="AB503" s="1070"/>
      <c r="AC503" s="1070"/>
      <c r="AD503" s="1070"/>
      <c r="AE503" s="1070"/>
      <c r="AF503" s="1070"/>
      <c r="AG503" s="1070"/>
      <c r="AH503" s="1070"/>
      <c r="AI503" s="1350"/>
      <c r="AJ503" s="1350"/>
      <c r="AK503" s="1350"/>
      <c r="AL503" s="1350"/>
      <c r="AM503" s="1350"/>
      <c r="AN503" s="1350"/>
      <c r="AO503" s="1350"/>
      <c r="AP503" s="1350"/>
      <c r="AQ503" s="1350"/>
      <c r="AR503" s="1350"/>
      <c r="AS503" s="1350"/>
      <c r="AT503" s="1350"/>
      <c r="AU503" s="1350"/>
      <c r="AV503" s="1350"/>
      <c r="AW503" s="1350"/>
      <c r="AX503" s="1350"/>
      <c r="AY503" s="1350"/>
      <c r="AZ503" s="1350"/>
      <c r="BA503" s="1070"/>
      <c r="BB503" s="1070"/>
      <c r="BC503" s="1070"/>
      <c r="BD503" s="1070"/>
      <c r="BE503" s="1070"/>
      <c r="BF503" s="1070"/>
      <c r="BG503" s="1070"/>
      <c r="BH503" s="1070"/>
      <c r="BI503" s="1070"/>
      <c r="BJ503" s="1070"/>
      <c r="BK503" s="1070"/>
      <c r="BL503" s="1070"/>
      <c r="BM503" s="1070"/>
      <c r="BN503" s="1070"/>
      <c r="BO503" s="1070"/>
      <c r="BP503" s="1070"/>
      <c r="BQ503" s="1070"/>
      <c r="BR503" s="1070"/>
      <c r="BS503" s="1070"/>
      <c r="BT503" s="1070"/>
      <c r="BU503" s="1070"/>
      <c r="BV503" s="1070"/>
      <c r="BW503" s="1070"/>
      <c r="BX503" s="1070"/>
      <c r="BY503" s="1070"/>
      <c r="BZ503" s="1070"/>
      <c r="CA503" s="1070"/>
      <c r="CB503" s="1070"/>
      <c r="CC503" s="1070"/>
      <c r="CD503" s="1070"/>
      <c r="CE503" s="1070"/>
      <c r="CF503" s="1070"/>
      <c r="CG503" s="1070"/>
      <c r="CH503" s="1070"/>
      <c r="CI503" s="1070"/>
      <c r="CJ503" s="1070"/>
      <c r="CK503" s="1070"/>
      <c r="CL503" s="1070"/>
      <c r="CM503" s="1070"/>
      <c r="CN503" s="1070"/>
      <c r="CO503" s="1070"/>
      <c r="CP503" s="1070"/>
      <c r="CQ503" s="1070"/>
      <c r="CR503" s="1070"/>
      <c r="CS503" s="1070"/>
      <c r="CT503" s="1070"/>
      <c r="CU503" s="1070"/>
      <c r="CV503" s="1070"/>
      <c r="CW503" s="1070"/>
      <c r="CX503" s="1070"/>
      <c r="CY503" s="1070"/>
      <c r="CZ503" s="1070"/>
      <c r="DA503" s="1070"/>
      <c r="DB503" s="1070"/>
      <c r="DC503" s="1070"/>
      <c r="DD503" s="1070"/>
      <c r="DE503" s="1070"/>
      <c r="DF503" s="1070"/>
      <c r="DG503" s="1070"/>
      <c r="DH503" s="1070"/>
      <c r="DI503" s="1070"/>
    </row>
    <row r="504" spans="1:113" ht="15.75" x14ac:dyDescent="0.25">
      <c r="A504" s="1417" t="s">
        <v>494</v>
      </c>
      <c r="B504" s="1441">
        <f>INDEX($AN$1480:$AP$1484,B497,B498)</f>
        <v>84</v>
      </c>
      <c r="C504" s="1434"/>
      <c r="D504" s="1434"/>
      <c r="E504" s="1434"/>
      <c r="F504" s="1434"/>
      <c r="G504" s="1434"/>
      <c r="H504" s="1350"/>
      <c r="I504" s="1350"/>
      <c r="J504" s="1350"/>
      <c r="K504" s="1070"/>
      <c r="L504" s="1070"/>
      <c r="M504" s="1070"/>
      <c r="N504" s="1070"/>
      <c r="O504" s="1070"/>
      <c r="P504" s="1070"/>
      <c r="Q504" s="1070"/>
      <c r="R504" s="1070"/>
      <c r="S504" s="1070"/>
      <c r="T504" s="1070"/>
      <c r="U504" s="1070"/>
      <c r="V504" s="1070"/>
      <c r="W504" s="1070"/>
      <c r="X504" s="1070"/>
      <c r="Y504" s="1070"/>
      <c r="Z504" s="1070"/>
      <c r="AA504" s="1070"/>
      <c r="AB504" s="1070"/>
      <c r="AC504" s="1070"/>
      <c r="AD504" s="1070"/>
      <c r="AE504" s="1070"/>
      <c r="AF504" s="1070"/>
      <c r="AG504" s="1070"/>
      <c r="AH504" s="1070"/>
      <c r="AI504" s="1350"/>
      <c r="AJ504" s="1350"/>
      <c r="AK504" s="1350"/>
      <c r="AL504" s="1350"/>
      <c r="AM504" s="1350"/>
      <c r="AN504" s="1350"/>
      <c r="AO504" s="1350"/>
      <c r="AP504" s="1350"/>
      <c r="AQ504" s="1350"/>
      <c r="AR504" s="1350"/>
      <c r="AS504" s="1350"/>
      <c r="AT504" s="1350"/>
      <c r="AU504" s="1350"/>
      <c r="AV504" s="1350"/>
      <c r="AW504" s="1350"/>
      <c r="AX504" s="1350"/>
      <c r="AY504" s="1350"/>
      <c r="AZ504" s="1350"/>
      <c r="BA504" s="1070"/>
      <c r="BB504" s="1070"/>
      <c r="BC504" s="1070"/>
      <c r="BD504" s="1070"/>
      <c r="BE504" s="1070"/>
      <c r="BF504" s="1070"/>
      <c r="BG504" s="1070"/>
      <c r="BH504" s="1070"/>
      <c r="BI504" s="1070"/>
      <c r="BJ504" s="1070"/>
      <c r="BK504" s="1070"/>
      <c r="BL504" s="1070"/>
      <c r="BM504" s="1070"/>
      <c r="BN504" s="1070"/>
      <c r="BO504" s="1070"/>
      <c r="BP504" s="1070"/>
      <c r="BQ504" s="1070"/>
      <c r="BR504" s="1070"/>
      <c r="BS504" s="1070"/>
      <c r="BT504" s="1070"/>
      <c r="BU504" s="1070"/>
      <c r="BV504" s="1070"/>
      <c r="BW504" s="1070"/>
      <c r="BX504" s="1070"/>
      <c r="BY504" s="1070"/>
      <c r="BZ504" s="1070"/>
      <c r="CA504" s="1070"/>
      <c r="CB504" s="1070"/>
      <c r="CC504" s="1070"/>
      <c r="CD504" s="1070"/>
      <c r="CE504" s="1070"/>
      <c r="CF504" s="1070"/>
      <c r="CG504" s="1070"/>
      <c r="CH504" s="1070"/>
      <c r="CI504" s="1070"/>
      <c r="CJ504" s="1070"/>
      <c r="CK504" s="1070"/>
      <c r="CL504" s="1070"/>
      <c r="CM504" s="1070"/>
      <c r="CN504" s="1070"/>
      <c r="CO504" s="1070"/>
      <c r="CP504" s="1070"/>
      <c r="CQ504" s="1070"/>
      <c r="CR504" s="1070"/>
      <c r="CS504" s="1070"/>
      <c r="CT504" s="1070"/>
      <c r="CU504" s="1070"/>
      <c r="CV504" s="1070"/>
      <c r="CW504" s="1070"/>
      <c r="CX504" s="1070"/>
      <c r="CY504" s="1070"/>
      <c r="CZ504" s="1070"/>
      <c r="DA504" s="1070"/>
      <c r="DB504" s="1070"/>
      <c r="DC504" s="1070"/>
      <c r="DD504" s="1070"/>
      <c r="DE504" s="1070"/>
      <c r="DF504" s="1070"/>
      <c r="DG504" s="1070"/>
      <c r="DH504" s="1070"/>
      <c r="DI504" s="1070"/>
    </row>
    <row r="505" spans="1:113" ht="15.75" x14ac:dyDescent="0.25">
      <c r="A505" s="1430" t="s">
        <v>1322</v>
      </c>
      <c r="B505" s="1443"/>
      <c r="C505" s="1437"/>
      <c r="D505" s="1434"/>
      <c r="E505" s="1434"/>
      <c r="F505" s="1434"/>
      <c r="G505" s="1434"/>
      <c r="H505" s="1350"/>
      <c r="I505" s="1350"/>
      <c r="J505" s="1350"/>
      <c r="K505" s="1070"/>
      <c r="L505" s="1070"/>
      <c r="M505" s="1070"/>
      <c r="N505" s="1070"/>
      <c r="O505" s="1070"/>
      <c r="P505" s="1070"/>
      <c r="Q505" s="1070"/>
      <c r="R505" s="1070"/>
      <c r="S505" s="1070"/>
      <c r="T505" s="1070"/>
      <c r="U505" s="1070"/>
      <c r="V505" s="1070"/>
      <c r="W505" s="1070"/>
      <c r="X505" s="1070"/>
      <c r="Y505" s="1070"/>
      <c r="Z505" s="1070"/>
      <c r="AA505" s="1070"/>
      <c r="AB505" s="1070"/>
      <c r="AC505" s="1070"/>
      <c r="AD505" s="1070"/>
      <c r="AE505" s="1070"/>
      <c r="AF505" s="1070"/>
      <c r="AG505" s="1070"/>
      <c r="AH505" s="1070"/>
      <c r="AI505" s="1350"/>
      <c r="AJ505" s="1350"/>
      <c r="AK505" s="1350"/>
      <c r="AL505" s="1350"/>
      <c r="AM505" s="1350"/>
      <c r="AN505" s="1350"/>
      <c r="AO505" s="1350"/>
      <c r="AP505" s="1350"/>
      <c r="AQ505" s="1350"/>
      <c r="AR505" s="1350"/>
      <c r="AS505" s="1350"/>
      <c r="AT505" s="1350"/>
      <c r="AU505" s="1350"/>
      <c r="AV505" s="1350"/>
      <c r="AW505" s="1350"/>
      <c r="AX505" s="1350"/>
      <c r="AY505" s="1350"/>
      <c r="AZ505" s="1350"/>
      <c r="BA505" s="1070"/>
      <c r="BB505" s="1070"/>
      <c r="BC505" s="1070"/>
      <c r="BD505" s="1070"/>
      <c r="BE505" s="1070"/>
      <c r="BF505" s="1070"/>
      <c r="BG505" s="1070"/>
      <c r="BH505" s="1070"/>
      <c r="BI505" s="1070"/>
      <c r="BJ505" s="1070"/>
      <c r="BK505" s="1070"/>
      <c r="BL505" s="1070"/>
      <c r="BM505" s="1070"/>
      <c r="BN505" s="1070"/>
      <c r="BO505" s="1070"/>
      <c r="BP505" s="1070"/>
      <c r="BQ505" s="1070"/>
      <c r="BR505" s="1070"/>
      <c r="BS505" s="1070"/>
      <c r="BT505" s="1070"/>
      <c r="BU505" s="1070"/>
      <c r="BV505" s="1070"/>
      <c r="BW505" s="1070"/>
      <c r="BX505" s="1070"/>
      <c r="BY505" s="1070"/>
      <c r="BZ505" s="1070"/>
      <c r="CA505" s="1070"/>
      <c r="CB505" s="1070"/>
      <c r="CC505" s="1070"/>
      <c r="CD505" s="1070"/>
      <c r="CE505" s="1070"/>
      <c r="CF505" s="1070"/>
      <c r="CG505" s="1070"/>
      <c r="CH505" s="1070"/>
      <c r="CI505" s="1070"/>
      <c r="CJ505" s="1070"/>
      <c r="CK505" s="1070"/>
      <c r="CL505" s="1070"/>
      <c r="CM505" s="1070"/>
      <c r="CN505" s="1070"/>
      <c r="CO505" s="1070"/>
      <c r="CP505" s="1070"/>
      <c r="CQ505" s="1070"/>
      <c r="CR505" s="1070"/>
      <c r="CS505" s="1070"/>
      <c r="CT505" s="1070"/>
      <c r="CU505" s="1070"/>
      <c r="CV505" s="1070"/>
      <c r="CW505" s="1070"/>
      <c r="CX505" s="1070"/>
      <c r="CY505" s="1070"/>
      <c r="CZ505" s="1070"/>
      <c r="DA505" s="1070"/>
      <c r="DB505" s="1070"/>
      <c r="DC505" s="1070"/>
      <c r="DD505" s="1070"/>
      <c r="DE505" s="1070"/>
      <c r="DF505" s="1070"/>
      <c r="DG505" s="1070"/>
      <c r="DH505" s="1070"/>
      <c r="DI505" s="1070"/>
    </row>
    <row r="506" spans="1:113" ht="15.75" x14ac:dyDescent="0.25">
      <c r="A506" s="1430" t="s">
        <v>495</v>
      </c>
      <c r="B506" s="1450">
        <v>0.7</v>
      </c>
      <c r="C506" s="1440"/>
      <c r="D506" s="1350"/>
      <c r="E506" s="1350"/>
      <c r="F506" s="1350"/>
      <c r="G506" s="1350"/>
      <c r="H506" s="1350"/>
      <c r="I506" s="1350"/>
      <c r="J506" s="1350"/>
      <c r="K506" s="1070"/>
      <c r="L506" s="1070"/>
      <c r="M506" s="1070"/>
      <c r="N506" s="1070"/>
      <c r="O506" s="1070"/>
      <c r="P506" s="1070"/>
      <c r="Q506" s="1070"/>
      <c r="R506" s="1070"/>
      <c r="S506" s="1070"/>
      <c r="T506" s="1070"/>
      <c r="U506" s="1070"/>
      <c r="V506" s="1070"/>
      <c r="W506" s="1070"/>
      <c r="X506" s="1070"/>
      <c r="Y506" s="1070"/>
      <c r="Z506" s="1070"/>
      <c r="AA506" s="1070"/>
      <c r="AB506" s="1070"/>
      <c r="AC506" s="1070"/>
      <c r="AD506" s="1070"/>
      <c r="AE506" s="1070"/>
      <c r="AF506" s="1070"/>
      <c r="AG506" s="1070"/>
      <c r="AH506" s="1070"/>
      <c r="AI506" s="1350"/>
      <c r="AJ506" s="1350"/>
      <c r="AK506" s="1350"/>
      <c r="AL506" s="1350"/>
      <c r="AM506" s="1350"/>
      <c r="AN506" s="1350"/>
      <c r="AO506" s="1350"/>
      <c r="AP506" s="1350"/>
      <c r="AQ506" s="1350"/>
      <c r="AR506" s="1350"/>
      <c r="AS506" s="1350"/>
      <c r="AT506" s="1350"/>
      <c r="AU506" s="1350"/>
      <c r="AV506" s="1350"/>
      <c r="AW506" s="1350"/>
      <c r="AX506" s="1350"/>
      <c r="AY506" s="1350"/>
      <c r="AZ506" s="1350"/>
      <c r="BA506" s="1070"/>
      <c r="BB506" s="1070"/>
      <c r="BC506" s="1070"/>
      <c r="BD506" s="1070"/>
      <c r="BE506" s="1070"/>
      <c r="BF506" s="1070"/>
      <c r="BG506" s="1070"/>
      <c r="BH506" s="1070"/>
      <c r="BI506" s="1070"/>
      <c r="BJ506" s="1070"/>
      <c r="BK506" s="1070"/>
      <c r="BL506" s="1070"/>
      <c r="BM506" s="1070"/>
      <c r="BN506" s="1070"/>
      <c r="BO506" s="1070"/>
      <c r="BP506" s="1070"/>
      <c r="BQ506" s="1070"/>
      <c r="BR506" s="1070"/>
      <c r="BS506" s="1070"/>
      <c r="BT506" s="1070"/>
      <c r="BU506" s="1070"/>
      <c r="BV506" s="1070"/>
      <c r="BW506" s="1070"/>
      <c r="BX506" s="1070"/>
      <c r="BY506" s="1070"/>
      <c r="BZ506" s="1070"/>
      <c r="CA506" s="1070"/>
      <c r="CB506" s="1070"/>
      <c r="CC506" s="1070"/>
      <c r="CD506" s="1070"/>
      <c r="CE506" s="1070"/>
      <c r="CF506" s="1070"/>
      <c r="CG506" s="1070"/>
      <c r="CH506" s="1070"/>
      <c r="CI506" s="1070"/>
      <c r="CJ506" s="1070"/>
      <c r="CK506" s="1070"/>
      <c r="CL506" s="1070"/>
      <c r="CM506" s="1070"/>
      <c r="CN506" s="1070"/>
      <c r="CO506" s="1070"/>
      <c r="CP506" s="1070"/>
      <c r="CQ506" s="1070"/>
      <c r="CR506" s="1070"/>
      <c r="CS506" s="1070"/>
      <c r="CT506" s="1070"/>
      <c r="CU506" s="1070"/>
      <c r="CV506" s="1070"/>
      <c r="CW506" s="1070"/>
      <c r="CX506" s="1070"/>
      <c r="CY506" s="1070"/>
      <c r="CZ506" s="1070"/>
      <c r="DA506" s="1070"/>
      <c r="DB506" s="1070"/>
      <c r="DC506" s="1070"/>
      <c r="DD506" s="1070"/>
      <c r="DE506" s="1070"/>
      <c r="DF506" s="1070"/>
      <c r="DG506" s="1070"/>
      <c r="DH506" s="1070"/>
      <c r="DI506" s="1070"/>
    </row>
    <row r="507" spans="1:113" ht="31.5" x14ac:dyDescent="0.25">
      <c r="A507" s="1471" t="s">
        <v>496</v>
      </c>
      <c r="B507" s="1469">
        <v>0</v>
      </c>
      <c r="C507" s="1470"/>
      <c r="D507" s="1434"/>
      <c r="E507" s="1434"/>
      <c r="F507" s="1434"/>
      <c r="G507" s="1434"/>
      <c r="H507" s="1350"/>
      <c r="I507" s="1350"/>
      <c r="J507" s="1350"/>
      <c r="K507" s="1070"/>
      <c r="L507" s="1070"/>
      <c r="M507" s="1070"/>
      <c r="N507" s="1070"/>
      <c r="O507" s="1070"/>
      <c r="P507" s="1070"/>
      <c r="Q507" s="1070"/>
      <c r="R507" s="1070"/>
      <c r="S507" s="1070"/>
      <c r="T507" s="1070"/>
      <c r="U507" s="1070"/>
      <c r="V507" s="1070"/>
      <c r="W507" s="1070"/>
      <c r="X507" s="1070"/>
      <c r="Y507" s="1070"/>
      <c r="Z507" s="1070"/>
      <c r="AA507" s="1070"/>
      <c r="AB507" s="1070"/>
      <c r="AC507" s="1070"/>
      <c r="AD507" s="1070"/>
      <c r="AE507" s="1070"/>
      <c r="AF507" s="1070"/>
      <c r="AG507" s="1070"/>
      <c r="AH507" s="1070"/>
      <c r="AI507" s="1350"/>
      <c r="AJ507" s="1350"/>
      <c r="AK507" s="1350"/>
      <c r="AL507" s="1350"/>
      <c r="AM507" s="1350"/>
      <c r="AN507" s="1350"/>
      <c r="AO507" s="1350"/>
      <c r="AP507" s="1350"/>
      <c r="AQ507" s="1350"/>
      <c r="AR507" s="1350"/>
      <c r="AS507" s="1350"/>
      <c r="AT507" s="1350"/>
      <c r="AU507" s="1350"/>
      <c r="AV507" s="1350"/>
      <c r="AW507" s="1350"/>
      <c r="AX507" s="1350"/>
      <c r="AY507" s="1350"/>
      <c r="AZ507" s="1350"/>
      <c r="BA507" s="1070"/>
      <c r="BB507" s="1070"/>
      <c r="BC507" s="1070"/>
      <c r="BD507" s="1070"/>
      <c r="BE507" s="1070"/>
      <c r="BF507" s="1070"/>
      <c r="BG507" s="1070"/>
      <c r="BH507" s="1070"/>
      <c r="BI507" s="1070"/>
      <c r="BJ507" s="1070"/>
      <c r="BK507" s="1070"/>
      <c r="BL507" s="1070"/>
      <c r="BM507" s="1070"/>
      <c r="BN507" s="1070"/>
      <c r="BO507" s="1070"/>
      <c r="BP507" s="1070"/>
      <c r="BQ507" s="1070"/>
      <c r="BR507" s="1070"/>
      <c r="BS507" s="1070"/>
      <c r="BT507" s="1070"/>
      <c r="BU507" s="1070"/>
      <c r="BV507" s="1070"/>
      <c r="BW507" s="1070"/>
      <c r="BX507" s="1070"/>
      <c r="BY507" s="1070"/>
      <c r="BZ507" s="1070"/>
      <c r="CA507" s="1070"/>
      <c r="CB507" s="1070"/>
      <c r="CC507" s="1070"/>
      <c r="CD507" s="1070"/>
      <c r="CE507" s="1070"/>
      <c r="CF507" s="1070"/>
      <c r="CG507" s="1070"/>
      <c r="CH507" s="1070"/>
      <c r="CI507" s="1070"/>
      <c r="CJ507" s="1070"/>
      <c r="CK507" s="1070"/>
      <c r="CL507" s="1070"/>
      <c r="CM507" s="1070"/>
      <c r="CN507" s="1070"/>
      <c r="CO507" s="1070"/>
      <c r="CP507" s="1070"/>
      <c r="CQ507" s="1070"/>
      <c r="CR507" s="1070"/>
      <c r="CS507" s="1070"/>
      <c r="CT507" s="1070"/>
      <c r="CU507" s="1070"/>
      <c r="CV507" s="1070"/>
      <c r="CW507" s="1070"/>
      <c r="CX507" s="1070"/>
      <c r="CY507" s="1070"/>
      <c r="CZ507" s="1070"/>
      <c r="DA507" s="1070"/>
      <c r="DB507" s="1070"/>
      <c r="DC507" s="1070"/>
      <c r="DD507" s="1070"/>
      <c r="DE507" s="1070"/>
      <c r="DF507" s="1070"/>
      <c r="DG507" s="1070"/>
      <c r="DH507" s="1070"/>
      <c r="DI507" s="1070"/>
    </row>
    <row r="508" spans="1:113" ht="15.75" x14ac:dyDescent="0.25">
      <c r="A508" s="1420" t="s">
        <v>2978</v>
      </c>
      <c r="B508" s="1423">
        <f>IF(B507=1,0.8,1)</f>
        <v>1</v>
      </c>
      <c r="C508" s="1429"/>
      <c r="D508" s="1434"/>
      <c r="E508" s="1434"/>
      <c r="F508" s="1434"/>
      <c r="G508" s="1434"/>
      <c r="H508" s="1350"/>
      <c r="I508" s="1350"/>
      <c r="J508" s="1350"/>
      <c r="K508" s="1070"/>
      <c r="L508" s="1070"/>
      <c r="M508" s="1070"/>
      <c r="N508" s="1070"/>
      <c r="O508" s="1070"/>
      <c r="P508" s="1070"/>
      <c r="Q508" s="1070"/>
      <c r="R508" s="1070"/>
      <c r="S508" s="1070"/>
      <c r="T508" s="1070"/>
      <c r="U508" s="1070"/>
      <c r="V508" s="1070"/>
      <c r="W508" s="1070"/>
      <c r="X508" s="1070"/>
      <c r="Y508" s="1070"/>
      <c r="Z508" s="1070"/>
      <c r="AA508" s="1070"/>
      <c r="AB508" s="1070"/>
      <c r="AC508" s="1070"/>
      <c r="AD508" s="1070"/>
      <c r="AE508" s="1070"/>
      <c r="AF508" s="1070"/>
      <c r="AG508" s="1070"/>
      <c r="AH508" s="1070"/>
      <c r="AI508" s="1350"/>
      <c r="AJ508" s="1350"/>
      <c r="AK508" s="1350"/>
      <c r="AL508" s="1350"/>
      <c r="AM508" s="1350"/>
      <c r="AN508" s="1350"/>
      <c r="AO508" s="1350"/>
      <c r="AP508" s="1350"/>
      <c r="AQ508" s="1350"/>
      <c r="AR508" s="1350"/>
      <c r="AS508" s="1350"/>
      <c r="AT508" s="1350"/>
      <c r="AU508" s="1350"/>
      <c r="AV508" s="1350"/>
      <c r="AW508" s="1350"/>
      <c r="AX508" s="1350"/>
      <c r="AY508" s="1350"/>
      <c r="AZ508" s="1350"/>
      <c r="BA508" s="1070"/>
      <c r="BB508" s="1070"/>
      <c r="BC508" s="1070"/>
      <c r="BD508" s="1070"/>
      <c r="BE508" s="1070"/>
      <c r="BF508" s="1070"/>
      <c r="BG508" s="1070"/>
      <c r="BH508" s="1070"/>
      <c r="BI508" s="1070"/>
      <c r="BJ508" s="1070"/>
      <c r="BK508" s="1070"/>
      <c r="BL508" s="1070"/>
      <c r="BM508" s="1070"/>
      <c r="BN508" s="1070"/>
      <c r="BO508" s="1070"/>
      <c r="BP508" s="1070"/>
      <c r="BQ508" s="1070"/>
      <c r="BR508" s="1070"/>
      <c r="BS508" s="1070"/>
      <c r="BT508" s="1070"/>
      <c r="BU508" s="1070"/>
      <c r="BV508" s="1070"/>
      <c r="BW508" s="1070"/>
      <c r="BX508" s="1070"/>
      <c r="BY508" s="1070"/>
      <c r="BZ508" s="1070"/>
      <c r="CA508" s="1070"/>
      <c r="CB508" s="1070"/>
      <c r="CC508" s="1070"/>
      <c r="CD508" s="1070"/>
      <c r="CE508" s="1070"/>
      <c r="CF508" s="1070"/>
      <c r="CG508" s="1070"/>
      <c r="CH508" s="1070"/>
      <c r="CI508" s="1070"/>
      <c r="CJ508" s="1070"/>
      <c r="CK508" s="1070"/>
      <c r="CL508" s="1070"/>
      <c r="CM508" s="1070"/>
      <c r="CN508" s="1070"/>
      <c r="CO508" s="1070"/>
      <c r="CP508" s="1070"/>
      <c r="CQ508" s="1070"/>
      <c r="CR508" s="1070"/>
      <c r="CS508" s="1070"/>
      <c r="CT508" s="1070"/>
      <c r="CU508" s="1070"/>
      <c r="CV508" s="1070"/>
      <c r="CW508" s="1070"/>
      <c r="CX508" s="1070"/>
      <c r="CY508" s="1070"/>
      <c r="CZ508" s="1070"/>
      <c r="DA508" s="1070"/>
      <c r="DB508" s="1070"/>
      <c r="DC508" s="1070"/>
      <c r="DD508" s="1070"/>
      <c r="DE508" s="1070"/>
      <c r="DF508" s="1070"/>
      <c r="DG508" s="1070"/>
      <c r="DH508" s="1070"/>
      <c r="DI508" s="1070"/>
    </row>
    <row r="509" spans="1:113" ht="78.75" x14ac:dyDescent="0.25">
      <c r="A509" s="1471" t="s">
        <v>3968</v>
      </c>
      <c r="B509" s="1469">
        <v>0</v>
      </c>
      <c r="C509" s="1470"/>
      <c r="D509" s="1434"/>
      <c r="E509" s="1434"/>
      <c r="F509" s="1434"/>
      <c r="G509" s="1434"/>
      <c r="H509" s="1350"/>
      <c r="I509" s="1350"/>
      <c r="J509" s="1350"/>
      <c r="K509" s="1070"/>
      <c r="L509" s="1070"/>
      <c r="M509" s="1070"/>
      <c r="N509" s="1070"/>
      <c r="O509" s="1070"/>
      <c r="P509" s="1070"/>
      <c r="Q509" s="1070"/>
      <c r="R509" s="1070"/>
      <c r="S509" s="1070"/>
      <c r="T509" s="1070"/>
      <c r="U509" s="1070"/>
      <c r="V509" s="1070"/>
      <c r="W509" s="1070"/>
      <c r="X509" s="1070"/>
      <c r="Y509" s="1070"/>
      <c r="Z509" s="1070"/>
      <c r="AA509" s="1070"/>
      <c r="AB509" s="1070"/>
      <c r="AC509" s="1070"/>
      <c r="AD509" s="1070"/>
      <c r="AE509" s="1070"/>
      <c r="AF509" s="1070"/>
      <c r="AG509" s="1070"/>
      <c r="AH509" s="1070"/>
      <c r="AI509" s="1350"/>
      <c r="AJ509" s="1350"/>
      <c r="AK509" s="1350"/>
      <c r="AL509" s="1350"/>
      <c r="AM509" s="1350"/>
      <c r="AN509" s="1350"/>
      <c r="AO509" s="1350"/>
      <c r="AP509" s="1350"/>
      <c r="AQ509" s="1350"/>
      <c r="AR509" s="1350"/>
      <c r="AS509" s="1350"/>
      <c r="AT509" s="1350"/>
      <c r="AU509" s="1350"/>
      <c r="AV509" s="1350"/>
      <c r="AW509" s="1350"/>
      <c r="AX509" s="1350"/>
      <c r="AY509" s="1350"/>
      <c r="AZ509" s="1350"/>
      <c r="BA509" s="1070"/>
      <c r="BB509" s="1070"/>
      <c r="BC509" s="1070"/>
      <c r="BD509" s="1070"/>
      <c r="BE509" s="1070"/>
      <c r="BF509" s="1070"/>
      <c r="BG509" s="1070"/>
      <c r="BH509" s="1070"/>
      <c r="BI509" s="1070"/>
      <c r="BJ509" s="1070"/>
      <c r="BK509" s="1070"/>
      <c r="BL509" s="1070"/>
      <c r="BM509" s="1070"/>
      <c r="BN509" s="1070"/>
      <c r="BO509" s="1070"/>
      <c r="BP509" s="1070"/>
      <c r="BQ509" s="1070"/>
      <c r="BR509" s="1070"/>
      <c r="BS509" s="1070"/>
      <c r="BT509" s="1070"/>
      <c r="BU509" s="1070"/>
      <c r="BV509" s="1070"/>
      <c r="BW509" s="1070"/>
      <c r="BX509" s="1070"/>
      <c r="BY509" s="1070"/>
      <c r="BZ509" s="1070"/>
      <c r="CA509" s="1070"/>
      <c r="CB509" s="1070"/>
      <c r="CC509" s="1070"/>
      <c r="CD509" s="1070"/>
      <c r="CE509" s="1070"/>
      <c r="CF509" s="1070"/>
      <c r="CG509" s="1070"/>
      <c r="CH509" s="1070"/>
      <c r="CI509" s="1070"/>
      <c r="CJ509" s="1070"/>
      <c r="CK509" s="1070"/>
      <c r="CL509" s="1070"/>
      <c r="CM509" s="1070"/>
      <c r="CN509" s="1070"/>
      <c r="CO509" s="1070"/>
      <c r="CP509" s="1070"/>
      <c r="CQ509" s="1070"/>
      <c r="CR509" s="1070"/>
      <c r="CS509" s="1070"/>
      <c r="CT509" s="1070"/>
      <c r="CU509" s="1070"/>
      <c r="CV509" s="1070"/>
      <c r="CW509" s="1070"/>
      <c r="CX509" s="1070"/>
      <c r="CY509" s="1070"/>
      <c r="CZ509" s="1070"/>
      <c r="DA509" s="1070"/>
      <c r="DB509" s="1070"/>
      <c r="DC509" s="1070"/>
      <c r="DD509" s="1070"/>
      <c r="DE509" s="1070"/>
      <c r="DF509" s="1070"/>
      <c r="DG509" s="1070"/>
      <c r="DH509" s="1070"/>
      <c r="DI509" s="1070"/>
    </row>
    <row r="510" spans="1:113" ht="31.5" x14ac:dyDescent="0.25">
      <c r="A510" s="1420" t="s">
        <v>3969</v>
      </c>
      <c r="B510" s="1423">
        <f>IF(B509=1,0.9,1)</f>
        <v>1</v>
      </c>
      <c r="C510" s="1429"/>
      <c r="D510" s="1434"/>
      <c r="E510" s="1434"/>
      <c r="F510" s="1434"/>
      <c r="G510" s="1434"/>
      <c r="H510" s="1350"/>
      <c r="I510" s="1350"/>
      <c r="J510" s="1350"/>
      <c r="K510" s="1070"/>
      <c r="L510" s="1070"/>
      <c r="M510" s="1070"/>
      <c r="N510" s="1070"/>
      <c r="O510" s="1070"/>
      <c r="P510" s="1070"/>
      <c r="Q510" s="1070"/>
      <c r="R510" s="1070"/>
      <c r="S510" s="1070"/>
      <c r="T510" s="1070"/>
      <c r="U510" s="1070"/>
      <c r="V510" s="1070"/>
      <c r="W510" s="1070"/>
      <c r="X510" s="1070"/>
      <c r="Y510" s="1070"/>
      <c r="Z510" s="1070"/>
      <c r="AA510" s="1070"/>
      <c r="AB510" s="1070"/>
      <c r="AC510" s="1070"/>
      <c r="AD510" s="1070"/>
      <c r="AE510" s="1070"/>
      <c r="AF510" s="1070"/>
      <c r="AG510" s="1070"/>
      <c r="AH510" s="1070"/>
      <c r="AI510" s="1350"/>
      <c r="AJ510" s="1350"/>
      <c r="AK510" s="1350"/>
      <c r="AL510" s="1350"/>
      <c r="AM510" s="1350"/>
      <c r="AN510" s="1350"/>
      <c r="AO510" s="1350"/>
      <c r="AP510" s="1350"/>
      <c r="AQ510" s="1350"/>
      <c r="AR510" s="1350"/>
      <c r="AS510" s="1350"/>
      <c r="AT510" s="1350"/>
      <c r="AU510" s="1350"/>
      <c r="AV510" s="1350"/>
      <c r="AW510" s="1350"/>
      <c r="AX510" s="1350"/>
      <c r="AY510" s="1350"/>
      <c r="AZ510" s="1350"/>
      <c r="BA510" s="1070"/>
      <c r="BB510" s="1070"/>
      <c r="BC510" s="1070"/>
      <c r="BD510" s="1070"/>
      <c r="BE510" s="1070"/>
      <c r="BF510" s="1070"/>
      <c r="BG510" s="1070"/>
      <c r="BH510" s="1070"/>
      <c r="BI510" s="1070"/>
      <c r="BJ510" s="1070"/>
      <c r="BK510" s="1070"/>
      <c r="BL510" s="1070"/>
      <c r="BM510" s="1070"/>
      <c r="BN510" s="1070"/>
      <c r="BO510" s="1070"/>
      <c r="BP510" s="1070"/>
      <c r="BQ510" s="1070"/>
      <c r="BR510" s="1070"/>
      <c r="BS510" s="1070"/>
      <c r="BT510" s="1070"/>
      <c r="BU510" s="1070"/>
      <c r="BV510" s="1070"/>
      <c r="BW510" s="1070"/>
      <c r="BX510" s="1070"/>
      <c r="BY510" s="1070"/>
      <c r="BZ510" s="1070"/>
      <c r="CA510" s="1070"/>
      <c r="CB510" s="1070"/>
      <c r="CC510" s="1070"/>
      <c r="CD510" s="1070"/>
      <c r="CE510" s="1070"/>
      <c r="CF510" s="1070"/>
      <c r="CG510" s="1070"/>
      <c r="CH510" s="1070"/>
      <c r="CI510" s="1070"/>
      <c r="CJ510" s="1070"/>
      <c r="CK510" s="1070"/>
      <c r="CL510" s="1070"/>
      <c r="CM510" s="1070"/>
      <c r="CN510" s="1070"/>
      <c r="CO510" s="1070"/>
      <c r="CP510" s="1070"/>
      <c r="CQ510" s="1070"/>
      <c r="CR510" s="1070"/>
      <c r="CS510" s="1070"/>
      <c r="CT510" s="1070"/>
      <c r="CU510" s="1070"/>
      <c r="CV510" s="1070"/>
      <c r="CW510" s="1070"/>
      <c r="CX510" s="1070"/>
      <c r="CY510" s="1070"/>
      <c r="CZ510" s="1070"/>
      <c r="DA510" s="1070"/>
      <c r="DB510" s="1070"/>
      <c r="DC510" s="1070"/>
      <c r="DD510" s="1070"/>
      <c r="DE510" s="1070"/>
      <c r="DF510" s="1070"/>
      <c r="DG510" s="1070"/>
      <c r="DH510" s="1070"/>
      <c r="DI510" s="1070"/>
    </row>
    <row r="511" spans="1:113" ht="63" x14ac:dyDescent="0.25">
      <c r="A511" s="1471" t="s">
        <v>1335</v>
      </c>
      <c r="B511" s="1469">
        <v>0</v>
      </c>
      <c r="C511" s="1470"/>
      <c r="D511" s="1434"/>
      <c r="E511" s="1434"/>
      <c r="F511" s="1434"/>
      <c r="G511" s="1434"/>
      <c r="H511" s="1350"/>
      <c r="I511" s="1350"/>
      <c r="J511" s="1350"/>
      <c r="K511" s="1070"/>
      <c r="L511" s="1070"/>
      <c r="M511" s="1070"/>
      <c r="N511" s="1070"/>
      <c r="O511" s="1070"/>
      <c r="P511" s="1070"/>
      <c r="Q511" s="1070"/>
      <c r="R511" s="1070"/>
      <c r="S511" s="1070"/>
      <c r="T511" s="1070"/>
      <c r="U511" s="1070"/>
      <c r="V511" s="1070"/>
      <c r="W511" s="1070"/>
      <c r="X511" s="1070"/>
      <c r="Y511" s="1070"/>
      <c r="Z511" s="1070"/>
      <c r="AA511" s="1070"/>
      <c r="AB511" s="1070"/>
      <c r="AC511" s="1070"/>
      <c r="AD511" s="1070"/>
      <c r="AE511" s="1070"/>
      <c r="AF511" s="1070"/>
      <c r="AG511" s="1070"/>
      <c r="AH511" s="1070"/>
      <c r="AI511" s="1350"/>
      <c r="AJ511" s="1350"/>
      <c r="AK511" s="1350"/>
      <c r="AL511" s="1350"/>
      <c r="AM511" s="1350"/>
      <c r="AN511" s="1350"/>
      <c r="AO511" s="1350"/>
      <c r="AP511" s="1350"/>
      <c r="AQ511" s="1350"/>
      <c r="AR511" s="1350"/>
      <c r="AS511" s="1350"/>
      <c r="AT511" s="1350"/>
      <c r="AU511" s="1350"/>
      <c r="AV511" s="1350"/>
      <c r="AW511" s="1350"/>
      <c r="AX511" s="1350"/>
      <c r="AY511" s="1350"/>
      <c r="AZ511" s="1350"/>
      <c r="BA511" s="1070"/>
      <c r="BB511" s="1070"/>
      <c r="BC511" s="1070"/>
      <c r="BD511" s="1070"/>
      <c r="BE511" s="1070"/>
      <c r="BF511" s="1070"/>
      <c r="BG511" s="1070"/>
      <c r="BH511" s="1070"/>
      <c r="BI511" s="1070"/>
      <c r="BJ511" s="1070"/>
      <c r="BK511" s="1070"/>
      <c r="BL511" s="1070"/>
      <c r="BM511" s="1070"/>
      <c r="BN511" s="1070"/>
      <c r="BO511" s="1070"/>
      <c r="BP511" s="1070"/>
      <c r="BQ511" s="1070"/>
      <c r="BR511" s="1070"/>
      <c r="BS511" s="1070"/>
      <c r="BT511" s="1070"/>
      <c r="BU511" s="1070"/>
      <c r="BV511" s="1070"/>
      <c r="BW511" s="1070"/>
      <c r="BX511" s="1070"/>
      <c r="BY511" s="1070"/>
      <c r="BZ511" s="1070"/>
      <c r="CA511" s="1070"/>
      <c r="CB511" s="1070"/>
      <c r="CC511" s="1070"/>
      <c r="CD511" s="1070"/>
      <c r="CE511" s="1070"/>
      <c r="CF511" s="1070"/>
      <c r="CG511" s="1070"/>
      <c r="CH511" s="1070"/>
      <c r="CI511" s="1070"/>
      <c r="CJ511" s="1070"/>
      <c r="CK511" s="1070"/>
      <c r="CL511" s="1070"/>
      <c r="CM511" s="1070"/>
      <c r="CN511" s="1070"/>
      <c r="CO511" s="1070"/>
      <c r="CP511" s="1070"/>
      <c r="CQ511" s="1070"/>
      <c r="CR511" s="1070"/>
      <c r="CS511" s="1070"/>
      <c r="CT511" s="1070"/>
      <c r="CU511" s="1070"/>
      <c r="CV511" s="1070"/>
      <c r="CW511" s="1070"/>
      <c r="CX511" s="1070"/>
      <c r="CY511" s="1070"/>
      <c r="CZ511" s="1070"/>
      <c r="DA511" s="1070"/>
      <c r="DB511" s="1070"/>
      <c r="DC511" s="1070"/>
      <c r="DD511" s="1070"/>
      <c r="DE511" s="1070"/>
      <c r="DF511" s="1070"/>
      <c r="DG511" s="1070"/>
      <c r="DH511" s="1070"/>
      <c r="DI511" s="1070"/>
    </row>
    <row r="512" spans="1:113" ht="15.75" x14ac:dyDescent="0.25">
      <c r="A512" s="1420" t="s">
        <v>1336</v>
      </c>
      <c r="B512" s="1433">
        <f>IF(B511=1,0.95,1)</f>
        <v>1</v>
      </c>
      <c r="C512" s="1437"/>
      <c r="D512" s="1350"/>
      <c r="E512" s="1350"/>
      <c r="F512" s="1350"/>
      <c r="G512" s="1350"/>
      <c r="H512" s="1350"/>
      <c r="I512" s="1350"/>
      <c r="J512" s="1350"/>
      <c r="K512" s="1070"/>
      <c r="L512" s="1070"/>
      <c r="M512" s="1070"/>
      <c r="N512" s="1070"/>
      <c r="O512" s="1070"/>
      <c r="P512" s="1070"/>
      <c r="Q512" s="1070"/>
      <c r="R512" s="1070"/>
      <c r="S512" s="1070"/>
      <c r="T512" s="1070"/>
      <c r="U512" s="1070"/>
      <c r="V512" s="1070"/>
      <c r="W512" s="1070"/>
      <c r="X512" s="1070"/>
      <c r="Y512" s="1070"/>
      <c r="Z512" s="1070"/>
      <c r="AA512" s="1070"/>
      <c r="AB512" s="1070"/>
      <c r="AC512" s="1070"/>
      <c r="AD512" s="1070"/>
      <c r="AE512" s="1070"/>
      <c r="AF512" s="1070"/>
      <c r="AG512" s="1070"/>
      <c r="AH512" s="1070"/>
      <c r="AI512" s="1350"/>
      <c r="AJ512" s="1350"/>
      <c r="AK512" s="1350"/>
      <c r="AL512" s="1350"/>
      <c r="AM512" s="1350"/>
      <c r="AN512" s="1350"/>
      <c r="AO512" s="1350"/>
      <c r="AP512" s="1350"/>
      <c r="AQ512" s="1350"/>
      <c r="AR512" s="1350"/>
      <c r="AS512" s="1350"/>
      <c r="AT512" s="1350"/>
      <c r="AU512" s="1350"/>
      <c r="AV512" s="1350"/>
      <c r="AW512" s="1350"/>
      <c r="AX512" s="1350"/>
      <c r="AY512" s="1350"/>
      <c r="AZ512" s="1350"/>
      <c r="BA512" s="1070"/>
      <c r="BB512" s="1070"/>
      <c r="BC512" s="1070"/>
      <c r="BD512" s="1070"/>
      <c r="BE512" s="1070"/>
      <c r="BF512" s="1070"/>
      <c r="BG512" s="1070"/>
      <c r="BH512" s="1070"/>
      <c r="BI512" s="1070"/>
      <c r="BJ512" s="1070"/>
      <c r="BK512" s="1070"/>
      <c r="BL512" s="1070"/>
      <c r="BM512" s="1070"/>
      <c r="BN512" s="1070"/>
      <c r="BO512" s="1070"/>
      <c r="BP512" s="1070"/>
      <c r="BQ512" s="1070"/>
      <c r="BR512" s="1070"/>
      <c r="BS512" s="1070"/>
      <c r="BT512" s="1070"/>
      <c r="BU512" s="1070"/>
      <c r="BV512" s="1070"/>
      <c r="BW512" s="1070"/>
      <c r="BX512" s="1070"/>
      <c r="BY512" s="1070"/>
      <c r="BZ512" s="1070"/>
      <c r="CA512" s="1070"/>
      <c r="CB512" s="1070"/>
      <c r="CC512" s="1070"/>
      <c r="CD512" s="1070"/>
      <c r="CE512" s="1070"/>
      <c r="CF512" s="1070"/>
      <c r="CG512" s="1070"/>
      <c r="CH512" s="1070"/>
      <c r="CI512" s="1070"/>
      <c r="CJ512" s="1070"/>
      <c r="CK512" s="1070"/>
      <c r="CL512" s="1070"/>
      <c r="CM512" s="1070"/>
      <c r="CN512" s="1070"/>
      <c r="CO512" s="1070"/>
      <c r="CP512" s="1070"/>
      <c r="CQ512" s="1070"/>
      <c r="CR512" s="1070"/>
      <c r="CS512" s="1070"/>
      <c r="CT512" s="1070"/>
      <c r="CU512" s="1070"/>
      <c r="CV512" s="1070"/>
      <c r="CW512" s="1070"/>
      <c r="CX512" s="1070"/>
      <c r="CY512" s="1070"/>
      <c r="CZ512" s="1070"/>
      <c r="DA512" s="1070"/>
      <c r="DB512" s="1070"/>
      <c r="DC512" s="1070"/>
      <c r="DD512" s="1070"/>
      <c r="DE512" s="1070"/>
      <c r="DF512" s="1070"/>
      <c r="DG512" s="1070"/>
      <c r="DH512" s="1070"/>
      <c r="DI512" s="1070"/>
    </row>
    <row r="513" spans="1:113" ht="15.75" x14ac:dyDescent="0.25">
      <c r="A513" s="1430" t="s">
        <v>1</v>
      </c>
      <c r="B513" s="1433" t="e">
        <f>B496*B506*B508*B510*B512*B341</f>
        <v>#VALUE!</v>
      </c>
      <c r="C513" s="1437"/>
      <c r="D513" s="1440"/>
      <c r="E513" s="1440"/>
      <c r="F513" s="1440"/>
      <c r="G513" s="1440"/>
      <c r="H513" s="1350"/>
      <c r="I513" s="1350"/>
      <c r="J513" s="1350"/>
      <c r="K513" s="1070"/>
      <c r="L513" s="1070"/>
      <c r="M513" s="1070"/>
      <c r="N513" s="1070"/>
      <c r="O513" s="1070"/>
      <c r="P513" s="1070"/>
      <c r="Q513" s="1070"/>
      <c r="R513" s="1070"/>
      <c r="S513" s="1070"/>
      <c r="T513" s="1070"/>
      <c r="U513" s="1070"/>
      <c r="V513" s="1070"/>
      <c r="W513" s="1070"/>
      <c r="X513" s="1070"/>
      <c r="Y513" s="1070"/>
      <c r="Z513" s="1070"/>
      <c r="AA513" s="1070"/>
      <c r="AB513" s="1070"/>
      <c r="AC513" s="1070"/>
      <c r="AD513" s="1070"/>
      <c r="AE513" s="1070"/>
      <c r="AF513" s="1070"/>
      <c r="AG513" s="1070"/>
      <c r="AH513" s="1070"/>
      <c r="AI513" s="1350"/>
      <c r="AJ513" s="1350"/>
      <c r="AK513" s="1350"/>
      <c r="AL513" s="1350"/>
      <c r="AM513" s="1350"/>
      <c r="AN513" s="1350"/>
      <c r="AO513" s="1350"/>
      <c r="AP513" s="1350"/>
      <c r="AQ513" s="1350"/>
      <c r="AR513" s="1350"/>
      <c r="AS513" s="1350"/>
      <c r="AT513" s="1350"/>
      <c r="AU513" s="1350"/>
      <c r="AV513" s="1350"/>
      <c r="AW513" s="1350"/>
      <c r="AX513" s="1350"/>
      <c r="AY513" s="1350"/>
      <c r="AZ513" s="1350"/>
      <c r="BA513" s="1070"/>
      <c r="BB513" s="1070"/>
      <c r="BC513" s="1070"/>
      <c r="BD513" s="1070"/>
      <c r="BE513" s="1070"/>
      <c r="BF513" s="1070"/>
      <c r="BG513" s="1070"/>
      <c r="BH513" s="1070"/>
      <c r="BI513" s="1070"/>
      <c r="BJ513" s="1070"/>
      <c r="BK513" s="1070"/>
      <c r="BL513" s="1070"/>
      <c r="BM513" s="1070"/>
      <c r="BN513" s="1070"/>
      <c r="BO513" s="1070"/>
      <c r="BP513" s="1070"/>
      <c r="BQ513" s="1070"/>
      <c r="BR513" s="1070"/>
      <c r="BS513" s="1070"/>
      <c r="BT513" s="1070"/>
      <c r="BU513" s="1070"/>
      <c r="BV513" s="1070"/>
      <c r="BW513" s="1070"/>
      <c r="BX513" s="1070"/>
      <c r="BY513" s="1070"/>
      <c r="BZ513" s="1070"/>
      <c r="CA513" s="1070"/>
      <c r="CB513" s="1070"/>
      <c r="CC513" s="1070"/>
      <c r="CD513" s="1070"/>
      <c r="CE513" s="1070"/>
      <c r="CF513" s="1070"/>
      <c r="CG513" s="1070"/>
      <c r="CH513" s="1070"/>
      <c r="CI513" s="1070"/>
      <c r="CJ513" s="1070"/>
      <c r="CK513" s="1070"/>
      <c r="CL513" s="1070"/>
      <c r="CM513" s="1070"/>
      <c r="CN513" s="1070"/>
      <c r="CO513" s="1070"/>
      <c r="CP513" s="1070"/>
      <c r="CQ513" s="1070"/>
      <c r="CR513" s="1070"/>
      <c r="CS513" s="1070"/>
      <c r="CT513" s="1070"/>
      <c r="CU513" s="1070"/>
      <c r="CV513" s="1070"/>
      <c r="CW513" s="1070"/>
      <c r="CX513" s="1070"/>
      <c r="CY513" s="1070"/>
      <c r="CZ513" s="1070"/>
      <c r="DA513" s="1070"/>
      <c r="DB513" s="1070"/>
      <c r="DC513" s="1070"/>
      <c r="DD513" s="1070"/>
      <c r="DE513" s="1070"/>
      <c r="DF513" s="1070"/>
      <c r="DG513" s="1070"/>
      <c r="DH513" s="1070"/>
      <c r="DI513" s="1070"/>
    </row>
    <row r="514" spans="1:113" ht="15.75" x14ac:dyDescent="0.25">
      <c r="A514" s="1430" t="s">
        <v>429</v>
      </c>
      <c r="B514" s="1428" t="e">
        <f>B494/B513</f>
        <v>#REF!</v>
      </c>
      <c r="C514" s="1432"/>
      <c r="D514" s="1470"/>
      <c r="E514" s="1470"/>
      <c r="F514" s="1470"/>
      <c r="G514" s="1470"/>
      <c r="H514" s="1350"/>
      <c r="I514" s="1350"/>
      <c r="J514" s="1350"/>
      <c r="K514" s="1070"/>
      <c r="L514" s="1070"/>
      <c r="M514" s="1070"/>
      <c r="N514" s="1070"/>
      <c r="O514" s="1070"/>
      <c r="P514" s="1070"/>
      <c r="Q514" s="1070"/>
      <c r="R514" s="1070"/>
      <c r="S514" s="1070"/>
      <c r="T514" s="1070"/>
      <c r="U514" s="1070"/>
      <c r="V514" s="1070"/>
      <c r="W514" s="1070"/>
      <c r="X514" s="1070"/>
      <c r="Y514" s="1070"/>
      <c r="Z514" s="1070"/>
      <c r="AA514" s="1070"/>
      <c r="AB514" s="1070"/>
      <c r="AC514" s="1070"/>
      <c r="AD514" s="1070"/>
      <c r="AE514" s="1070"/>
      <c r="AF514" s="1070"/>
      <c r="AG514" s="1070"/>
      <c r="AH514" s="1070"/>
      <c r="AI514" s="1350"/>
      <c r="AJ514" s="1350"/>
      <c r="AK514" s="1350"/>
      <c r="AL514" s="1350"/>
      <c r="AM514" s="1350"/>
      <c r="AN514" s="1350"/>
      <c r="AO514" s="1350"/>
      <c r="AP514" s="1350"/>
      <c r="AQ514" s="1350"/>
      <c r="AR514" s="1350"/>
      <c r="AS514" s="1350"/>
      <c r="AT514" s="1350"/>
      <c r="AU514" s="1350"/>
      <c r="AV514" s="1350"/>
      <c r="AW514" s="1350"/>
      <c r="AX514" s="1350"/>
      <c r="AY514" s="1350"/>
      <c r="AZ514" s="1350"/>
      <c r="BA514" s="1070"/>
      <c r="BB514" s="1070"/>
      <c r="BC514" s="1070"/>
      <c r="BD514" s="1070"/>
      <c r="BE514" s="1070"/>
      <c r="BF514" s="1070"/>
      <c r="BG514" s="1070"/>
      <c r="BH514" s="1070"/>
      <c r="BI514" s="1070"/>
      <c r="BJ514" s="1070"/>
      <c r="BK514" s="1070"/>
      <c r="BL514" s="1070"/>
      <c r="BM514" s="1070"/>
      <c r="BN514" s="1070"/>
      <c r="BO514" s="1070"/>
      <c r="BP514" s="1070"/>
      <c r="BQ514" s="1070"/>
      <c r="BR514" s="1070"/>
      <c r="BS514" s="1070"/>
      <c r="BT514" s="1070"/>
      <c r="BU514" s="1070"/>
      <c r="BV514" s="1070"/>
      <c r="BW514" s="1070"/>
      <c r="BX514" s="1070"/>
      <c r="BY514" s="1070"/>
      <c r="BZ514" s="1070"/>
      <c r="CA514" s="1070"/>
      <c r="CB514" s="1070"/>
      <c r="CC514" s="1070"/>
      <c r="CD514" s="1070"/>
      <c r="CE514" s="1070"/>
      <c r="CF514" s="1070"/>
      <c r="CG514" s="1070"/>
      <c r="CH514" s="1070"/>
      <c r="CI514" s="1070"/>
      <c r="CJ514" s="1070"/>
      <c r="CK514" s="1070"/>
      <c r="CL514" s="1070"/>
      <c r="CM514" s="1070"/>
      <c r="CN514" s="1070"/>
      <c r="CO514" s="1070"/>
      <c r="CP514" s="1070"/>
      <c r="CQ514" s="1070"/>
      <c r="CR514" s="1070"/>
      <c r="CS514" s="1070"/>
      <c r="CT514" s="1070"/>
      <c r="CU514" s="1070"/>
      <c r="CV514" s="1070"/>
      <c r="CW514" s="1070"/>
      <c r="CX514" s="1070"/>
      <c r="CY514" s="1070"/>
      <c r="CZ514" s="1070"/>
      <c r="DA514" s="1070"/>
      <c r="DB514" s="1070"/>
      <c r="DC514" s="1070"/>
      <c r="DD514" s="1070"/>
      <c r="DE514" s="1070"/>
      <c r="DF514" s="1070"/>
      <c r="DG514" s="1070"/>
      <c r="DH514" s="1070"/>
      <c r="DI514" s="1070"/>
    </row>
    <row r="515" spans="1:113" ht="15.75" x14ac:dyDescent="0.25">
      <c r="A515" s="1466" t="s">
        <v>831</v>
      </c>
      <c r="B515" s="1459">
        <f>IF(B298=2,B514,0)</f>
        <v>0</v>
      </c>
      <c r="C515" s="1454"/>
      <c r="D515" s="1429"/>
      <c r="E515" s="1429"/>
      <c r="F515" s="1429"/>
      <c r="G515" s="1429"/>
      <c r="H515" s="1350"/>
      <c r="I515" s="1350"/>
      <c r="J515" s="1350"/>
      <c r="K515" s="1070"/>
      <c r="L515" s="1070"/>
      <c r="M515" s="1070"/>
      <c r="N515" s="1070"/>
      <c r="O515" s="1070"/>
      <c r="P515" s="1070"/>
      <c r="Q515" s="1070"/>
      <c r="R515" s="1070"/>
      <c r="S515" s="1070"/>
      <c r="T515" s="1070"/>
      <c r="U515" s="1070"/>
      <c r="V515" s="1070"/>
      <c r="W515" s="1070"/>
      <c r="X515" s="1070"/>
      <c r="Y515" s="1070"/>
      <c r="Z515" s="1070"/>
      <c r="AA515" s="1070"/>
      <c r="AB515" s="1070"/>
      <c r="AC515" s="1070"/>
      <c r="AD515" s="1070"/>
      <c r="AE515" s="1070"/>
      <c r="AF515" s="1070"/>
      <c r="AG515" s="1070"/>
      <c r="AH515" s="1070"/>
      <c r="AI515" s="1350"/>
      <c r="AJ515" s="1350"/>
      <c r="AK515" s="1350"/>
      <c r="AL515" s="1350"/>
      <c r="AM515" s="1350"/>
      <c r="AN515" s="1350"/>
      <c r="AO515" s="1350"/>
      <c r="AP515" s="1350"/>
      <c r="AQ515" s="1350"/>
      <c r="AR515" s="1350"/>
      <c r="AS515" s="1350"/>
      <c r="AT515" s="1350"/>
      <c r="AU515" s="1350"/>
      <c r="AV515" s="1350"/>
      <c r="AW515" s="1350"/>
      <c r="AX515" s="1350"/>
      <c r="AY515" s="1350"/>
      <c r="AZ515" s="1350"/>
      <c r="BA515" s="1070"/>
      <c r="BB515" s="1070"/>
      <c r="BC515" s="1070"/>
      <c r="BD515" s="1070"/>
      <c r="BE515" s="1070"/>
      <c r="BF515" s="1070"/>
      <c r="BG515" s="1070"/>
      <c r="BH515" s="1070"/>
      <c r="BI515" s="1070"/>
      <c r="BJ515" s="1070"/>
      <c r="BK515" s="1070"/>
      <c r="BL515" s="1070"/>
      <c r="BM515" s="1070"/>
      <c r="BN515" s="1070"/>
      <c r="BO515" s="1070"/>
      <c r="BP515" s="1070"/>
      <c r="BQ515" s="1070"/>
      <c r="BR515" s="1070"/>
      <c r="BS515" s="1070"/>
      <c r="BT515" s="1070"/>
      <c r="BU515" s="1070"/>
      <c r="BV515" s="1070"/>
      <c r="BW515" s="1070"/>
      <c r="BX515" s="1070"/>
      <c r="BY515" s="1070"/>
      <c r="BZ515" s="1070"/>
      <c r="CA515" s="1070"/>
      <c r="CB515" s="1070"/>
      <c r="CC515" s="1070"/>
      <c r="CD515" s="1070"/>
      <c r="CE515" s="1070"/>
      <c r="CF515" s="1070"/>
      <c r="CG515" s="1070"/>
      <c r="CH515" s="1070"/>
      <c r="CI515" s="1070"/>
      <c r="CJ515" s="1070"/>
      <c r="CK515" s="1070"/>
      <c r="CL515" s="1070"/>
      <c r="CM515" s="1070"/>
      <c r="CN515" s="1070"/>
      <c r="CO515" s="1070"/>
      <c r="CP515" s="1070"/>
      <c r="CQ515" s="1070"/>
      <c r="CR515" s="1070"/>
      <c r="CS515" s="1070"/>
      <c r="CT515" s="1070"/>
      <c r="CU515" s="1070"/>
      <c r="CV515" s="1070"/>
      <c r="CW515" s="1070"/>
      <c r="CX515" s="1070"/>
      <c r="CY515" s="1070"/>
      <c r="CZ515" s="1070"/>
      <c r="DA515" s="1070"/>
      <c r="DB515" s="1070"/>
      <c r="DC515" s="1070"/>
      <c r="DD515" s="1070"/>
      <c r="DE515" s="1070"/>
      <c r="DF515" s="1070"/>
      <c r="DG515" s="1070"/>
      <c r="DH515" s="1070"/>
      <c r="DI515" s="1070"/>
    </row>
    <row r="516" spans="1:113" ht="15.75" x14ac:dyDescent="0.25">
      <c r="A516" s="1472"/>
      <c r="B516" s="1459"/>
      <c r="C516" s="1454"/>
      <c r="D516" s="1470"/>
      <c r="E516" s="1470"/>
      <c r="F516" s="1470"/>
      <c r="G516" s="1470"/>
      <c r="H516" s="1350"/>
      <c r="I516" s="1350"/>
      <c r="J516" s="1350"/>
      <c r="K516" s="1070"/>
      <c r="L516" s="1070"/>
      <c r="M516" s="1070"/>
      <c r="N516" s="1070"/>
      <c r="O516" s="1070"/>
      <c r="P516" s="1070"/>
      <c r="Q516" s="1070"/>
      <c r="R516" s="1070"/>
      <c r="S516" s="1070"/>
      <c r="T516" s="1070"/>
      <c r="U516" s="1070"/>
      <c r="V516" s="1070"/>
      <c r="W516" s="1070"/>
      <c r="X516" s="1070"/>
      <c r="Y516" s="1070"/>
      <c r="Z516" s="1070"/>
      <c r="AA516" s="1070"/>
      <c r="AB516" s="1070"/>
      <c r="AC516" s="1070"/>
      <c r="AD516" s="1070"/>
      <c r="AE516" s="1070"/>
      <c r="AF516" s="1070"/>
      <c r="AG516" s="1070"/>
      <c r="AH516" s="1070"/>
      <c r="AI516" s="1350"/>
      <c r="AJ516" s="1350"/>
      <c r="AK516" s="1350"/>
      <c r="AL516" s="1350"/>
      <c r="AM516" s="1350"/>
      <c r="AN516" s="1350"/>
      <c r="AO516" s="1350"/>
      <c r="AP516" s="1350"/>
      <c r="AQ516" s="1350"/>
      <c r="AR516" s="1350"/>
      <c r="AS516" s="1350"/>
      <c r="AT516" s="1350"/>
      <c r="AU516" s="1350"/>
      <c r="AV516" s="1350"/>
      <c r="AW516" s="1350"/>
      <c r="AX516" s="1350"/>
      <c r="AY516" s="1350"/>
      <c r="AZ516" s="1350"/>
      <c r="BA516" s="1070"/>
      <c r="BB516" s="1070"/>
      <c r="BC516" s="1070"/>
      <c r="BD516" s="1070"/>
      <c r="BE516" s="1070"/>
      <c r="BF516" s="1070"/>
      <c r="BG516" s="1070"/>
      <c r="BH516" s="1070"/>
      <c r="BI516" s="1070"/>
      <c r="BJ516" s="1070"/>
      <c r="BK516" s="1070"/>
      <c r="BL516" s="1070"/>
      <c r="BM516" s="1070"/>
      <c r="BN516" s="1070"/>
      <c r="BO516" s="1070"/>
      <c r="BP516" s="1070"/>
      <c r="BQ516" s="1070"/>
      <c r="BR516" s="1070"/>
      <c r="BS516" s="1070"/>
      <c r="BT516" s="1070"/>
      <c r="BU516" s="1070"/>
      <c r="BV516" s="1070"/>
      <c r="BW516" s="1070"/>
      <c r="BX516" s="1070"/>
      <c r="BY516" s="1070"/>
      <c r="BZ516" s="1070"/>
      <c r="CA516" s="1070"/>
      <c r="CB516" s="1070"/>
      <c r="CC516" s="1070"/>
      <c r="CD516" s="1070"/>
      <c r="CE516" s="1070"/>
      <c r="CF516" s="1070"/>
      <c r="CG516" s="1070"/>
      <c r="CH516" s="1070"/>
      <c r="CI516" s="1070"/>
      <c r="CJ516" s="1070"/>
      <c r="CK516" s="1070"/>
      <c r="CL516" s="1070"/>
      <c r="CM516" s="1070"/>
      <c r="CN516" s="1070"/>
      <c r="CO516" s="1070"/>
      <c r="CP516" s="1070"/>
      <c r="CQ516" s="1070"/>
      <c r="CR516" s="1070"/>
      <c r="CS516" s="1070"/>
      <c r="CT516" s="1070"/>
      <c r="CU516" s="1070"/>
      <c r="CV516" s="1070"/>
      <c r="CW516" s="1070"/>
      <c r="CX516" s="1070"/>
      <c r="CY516" s="1070"/>
      <c r="CZ516" s="1070"/>
      <c r="DA516" s="1070"/>
      <c r="DB516" s="1070"/>
      <c r="DC516" s="1070"/>
      <c r="DD516" s="1070"/>
      <c r="DE516" s="1070"/>
      <c r="DF516" s="1070"/>
      <c r="DG516" s="1070"/>
      <c r="DH516" s="1070"/>
      <c r="DI516" s="1070"/>
    </row>
    <row r="517" spans="1:113" ht="15.75" x14ac:dyDescent="0.25">
      <c r="A517" s="1461" t="s">
        <v>3377</v>
      </c>
      <c r="B517" s="1459"/>
      <c r="C517" s="1454"/>
      <c r="D517" s="1473"/>
      <c r="E517" s="1429"/>
      <c r="F517" s="1429"/>
      <c r="G517" s="1429"/>
      <c r="H517" s="1350"/>
      <c r="I517" s="1350"/>
      <c r="J517" s="1350"/>
      <c r="K517" s="1070"/>
      <c r="L517" s="1070"/>
      <c r="M517" s="1070"/>
      <c r="N517" s="1070"/>
      <c r="O517" s="1070"/>
      <c r="P517" s="1070"/>
      <c r="Q517" s="1070"/>
      <c r="R517" s="1070"/>
      <c r="S517" s="1070"/>
      <c r="T517" s="1070"/>
      <c r="U517" s="1070"/>
      <c r="V517" s="1070"/>
      <c r="W517" s="1070"/>
      <c r="X517" s="1070"/>
      <c r="Y517" s="1070"/>
      <c r="Z517" s="1070"/>
      <c r="AA517" s="1070"/>
      <c r="AB517" s="1070"/>
      <c r="AC517" s="1070"/>
      <c r="AD517" s="1070"/>
      <c r="AE517" s="1070"/>
      <c r="AF517" s="1070"/>
      <c r="AG517" s="1070"/>
      <c r="AH517" s="1070"/>
      <c r="AI517" s="1350"/>
      <c r="AJ517" s="1350"/>
      <c r="AK517" s="1350"/>
      <c r="AL517" s="1350"/>
      <c r="AM517" s="1350"/>
      <c r="AN517" s="1350"/>
      <c r="AO517" s="1350"/>
      <c r="AP517" s="1350"/>
      <c r="AQ517" s="1350"/>
      <c r="AR517" s="1350"/>
      <c r="AS517" s="1350"/>
      <c r="AT517" s="1350"/>
      <c r="AU517" s="1350"/>
      <c r="AV517" s="1350"/>
      <c r="AW517" s="1350"/>
      <c r="AX517" s="1350"/>
      <c r="AY517" s="1350"/>
      <c r="AZ517" s="1350"/>
      <c r="BA517" s="1070"/>
      <c r="BB517" s="1070"/>
      <c r="BC517" s="1070"/>
      <c r="BD517" s="1070"/>
      <c r="BE517" s="1070"/>
      <c r="BF517" s="1070"/>
      <c r="BG517" s="1070"/>
      <c r="BH517" s="1070"/>
      <c r="BI517" s="1070"/>
      <c r="BJ517" s="1070"/>
      <c r="BK517" s="1070"/>
      <c r="BL517" s="1070"/>
      <c r="BM517" s="1070"/>
      <c r="BN517" s="1070"/>
      <c r="BO517" s="1070"/>
      <c r="BP517" s="1070"/>
      <c r="BQ517" s="1070"/>
      <c r="BR517" s="1070"/>
      <c r="BS517" s="1070"/>
      <c r="BT517" s="1070"/>
      <c r="BU517" s="1070"/>
      <c r="BV517" s="1070"/>
      <c r="BW517" s="1070"/>
      <c r="BX517" s="1070"/>
      <c r="BY517" s="1070"/>
      <c r="BZ517" s="1070"/>
      <c r="CA517" s="1070"/>
      <c r="CB517" s="1070"/>
      <c r="CC517" s="1070"/>
      <c r="CD517" s="1070"/>
      <c r="CE517" s="1070"/>
      <c r="CF517" s="1070"/>
      <c r="CG517" s="1070"/>
      <c r="CH517" s="1070"/>
      <c r="CI517" s="1070"/>
      <c r="CJ517" s="1070"/>
      <c r="CK517" s="1070"/>
      <c r="CL517" s="1070"/>
      <c r="CM517" s="1070"/>
      <c r="CN517" s="1070"/>
      <c r="CO517" s="1070"/>
      <c r="CP517" s="1070"/>
      <c r="CQ517" s="1070"/>
      <c r="CR517" s="1070"/>
      <c r="CS517" s="1070"/>
      <c r="CT517" s="1070"/>
      <c r="CU517" s="1070"/>
      <c r="CV517" s="1070"/>
      <c r="CW517" s="1070"/>
      <c r="CX517" s="1070"/>
      <c r="CY517" s="1070"/>
      <c r="CZ517" s="1070"/>
      <c r="DA517" s="1070"/>
      <c r="DB517" s="1070"/>
      <c r="DC517" s="1070"/>
      <c r="DD517" s="1070"/>
      <c r="DE517" s="1070"/>
      <c r="DF517" s="1070"/>
      <c r="DG517" s="1070"/>
      <c r="DH517" s="1070"/>
      <c r="DI517" s="1070"/>
    </row>
    <row r="518" spans="1:113" ht="15.75" x14ac:dyDescent="0.25">
      <c r="A518" s="1456" t="s">
        <v>833</v>
      </c>
      <c r="B518" s="1457">
        <v>0.5</v>
      </c>
      <c r="C518" s="1458"/>
      <c r="D518" s="1474"/>
      <c r="E518" s="1470"/>
      <c r="F518" s="1470"/>
      <c r="G518" s="1470"/>
      <c r="H518" s="1350"/>
      <c r="I518" s="1350"/>
      <c r="J518" s="1350"/>
      <c r="K518" s="1350"/>
      <c r="L518" s="1350"/>
      <c r="M518" s="1350"/>
      <c r="N518" s="1350"/>
      <c r="O518" s="1350"/>
      <c r="P518" s="1350"/>
      <c r="Q518" s="1350"/>
      <c r="R518" s="1350"/>
      <c r="S518" s="1350"/>
      <c r="T518" s="1350"/>
      <c r="U518" s="1350"/>
      <c r="V518" s="1350"/>
      <c r="W518" s="1350"/>
      <c r="X518" s="1350"/>
      <c r="Y518" s="1350"/>
      <c r="Z518" s="1350"/>
      <c r="AA518" s="1350"/>
      <c r="AB518" s="1350"/>
      <c r="AC518" s="1350"/>
      <c r="AD518" s="1350"/>
      <c r="AE518" s="1350"/>
      <c r="AF518" s="1350"/>
      <c r="AG518" s="1350"/>
      <c r="AH518" s="1350"/>
      <c r="AI518" s="1350"/>
      <c r="AJ518" s="1350"/>
      <c r="AK518" s="1350"/>
      <c r="AL518" s="1350"/>
      <c r="AM518" s="1350"/>
      <c r="AN518" s="1350"/>
      <c r="AO518" s="1350"/>
      <c r="AP518" s="1350"/>
      <c r="AQ518" s="1350"/>
      <c r="AR518" s="1350"/>
      <c r="AS518" s="1350"/>
      <c r="AT518" s="1350"/>
      <c r="AU518" s="1350"/>
      <c r="AV518" s="1350"/>
      <c r="AW518" s="1350"/>
      <c r="AX518" s="1350"/>
      <c r="AY518" s="1350"/>
      <c r="AZ518" s="1350"/>
      <c r="BA518" s="1070"/>
      <c r="BB518" s="1070"/>
      <c r="BC518" s="1070"/>
      <c r="BD518" s="1070"/>
      <c r="BE518" s="1070"/>
      <c r="BF518" s="1070"/>
      <c r="BG518" s="1070"/>
      <c r="BH518" s="1070"/>
      <c r="BI518" s="1070"/>
      <c r="BJ518" s="1070"/>
      <c r="BK518" s="1070"/>
      <c r="BL518" s="1070"/>
      <c r="BM518" s="1070"/>
      <c r="BN518" s="1070"/>
      <c r="BO518" s="1070"/>
      <c r="BP518" s="1070"/>
      <c r="BQ518" s="1070"/>
      <c r="BR518" s="1070"/>
      <c r="BS518" s="1070"/>
      <c r="BT518" s="1070"/>
      <c r="BU518" s="1070"/>
      <c r="BV518" s="1070"/>
      <c r="BW518" s="1070"/>
      <c r="BX518" s="1070"/>
      <c r="BY518" s="1070"/>
      <c r="BZ518" s="1070"/>
      <c r="CA518" s="1070"/>
      <c r="CB518" s="1070"/>
      <c r="CC518" s="1070"/>
      <c r="CD518" s="1070"/>
      <c r="CE518" s="1070"/>
      <c r="CF518" s="1070"/>
      <c r="CG518" s="1070"/>
      <c r="CH518" s="1070"/>
      <c r="CI518" s="1070"/>
      <c r="CJ518" s="1070"/>
      <c r="CK518" s="1070"/>
      <c r="CL518" s="1070"/>
      <c r="CM518" s="1070"/>
      <c r="CN518" s="1070"/>
      <c r="CO518" s="1070"/>
      <c r="CP518" s="1070"/>
      <c r="CQ518" s="1070"/>
      <c r="CR518" s="1070"/>
      <c r="CS518" s="1070"/>
      <c r="CT518" s="1070"/>
      <c r="CU518" s="1070"/>
      <c r="CV518" s="1070"/>
      <c r="CW518" s="1070"/>
      <c r="CX518" s="1070"/>
      <c r="CY518" s="1070"/>
      <c r="CZ518" s="1070"/>
      <c r="DA518" s="1070"/>
      <c r="DB518" s="1070"/>
      <c r="DC518" s="1070"/>
      <c r="DD518" s="1070"/>
      <c r="DE518" s="1070"/>
      <c r="DF518" s="1070"/>
      <c r="DG518" s="1070"/>
      <c r="DH518" s="1070"/>
      <c r="DI518" s="1070"/>
    </row>
    <row r="519" spans="1:113" ht="15.75" x14ac:dyDescent="0.25">
      <c r="A519" s="1430" t="s">
        <v>834</v>
      </c>
      <c r="B519" s="1433">
        <f>B285*B518*B291</f>
        <v>0</v>
      </c>
      <c r="C519" s="1437"/>
      <c r="D519" s="1475"/>
      <c r="E519" s="1437"/>
      <c r="F519" s="1437"/>
      <c r="G519" s="1437"/>
      <c r="H519" s="1350"/>
      <c r="I519" s="1350"/>
      <c r="J519" s="1350"/>
      <c r="K519" s="1350"/>
      <c r="L519" s="1350"/>
      <c r="M519" s="1350"/>
      <c r="N519" s="1350"/>
      <c r="O519" s="1350"/>
      <c r="P519" s="1350"/>
      <c r="Q519" s="1350"/>
      <c r="R519" s="1350"/>
      <c r="S519" s="1350"/>
      <c r="T519" s="1350"/>
      <c r="U519" s="1350"/>
      <c r="V519" s="1350"/>
      <c r="W519" s="1350"/>
      <c r="X519" s="1350"/>
      <c r="Y519" s="1350"/>
      <c r="Z519" s="1350"/>
      <c r="AA519" s="1350"/>
      <c r="AB519" s="1350"/>
      <c r="AC519" s="1350"/>
      <c r="AD519" s="1350"/>
      <c r="AE519" s="1350"/>
      <c r="AF519" s="1350"/>
      <c r="AG519" s="1350"/>
      <c r="AH519" s="1350"/>
      <c r="AI519" s="1350"/>
      <c r="AJ519" s="1350"/>
      <c r="AK519" s="1350"/>
      <c r="AL519" s="1350"/>
      <c r="AM519" s="1350"/>
      <c r="AN519" s="1350"/>
      <c r="AO519" s="1350"/>
      <c r="AP519" s="1350"/>
      <c r="AQ519" s="1350"/>
      <c r="AR519" s="1350"/>
      <c r="AS519" s="1350"/>
      <c r="AT519" s="1350"/>
      <c r="AU519" s="1350"/>
      <c r="AV519" s="1350"/>
      <c r="AW519" s="1350"/>
      <c r="AX519" s="1350"/>
      <c r="AY519" s="1350"/>
      <c r="AZ519" s="1350"/>
      <c r="BA519" s="1070"/>
      <c r="BB519" s="1070"/>
      <c r="BC519" s="1070"/>
      <c r="BD519" s="1070"/>
      <c r="BE519" s="1070"/>
      <c r="BF519" s="1070"/>
      <c r="BG519" s="1070"/>
      <c r="BH519" s="1070"/>
      <c r="BI519" s="1070"/>
      <c r="BJ519" s="1070"/>
      <c r="BK519" s="1070"/>
      <c r="BL519" s="1070"/>
      <c r="BM519" s="1070"/>
      <c r="BN519" s="1070"/>
      <c r="BO519" s="1070"/>
      <c r="BP519" s="1070"/>
      <c r="BQ519" s="1070"/>
      <c r="BR519" s="1070"/>
      <c r="BS519" s="1070"/>
      <c r="BT519" s="1070"/>
      <c r="BU519" s="1070"/>
      <c r="BV519" s="1070"/>
      <c r="BW519" s="1070"/>
      <c r="BX519" s="1070"/>
      <c r="BY519" s="1070"/>
      <c r="BZ519" s="1070"/>
      <c r="CA519" s="1070"/>
      <c r="CB519" s="1070"/>
      <c r="CC519" s="1070"/>
      <c r="CD519" s="1070"/>
      <c r="CE519" s="1070"/>
      <c r="CF519" s="1070"/>
      <c r="CG519" s="1070"/>
      <c r="CH519" s="1070"/>
      <c r="CI519" s="1070"/>
      <c r="CJ519" s="1070"/>
      <c r="CK519" s="1070"/>
      <c r="CL519" s="1070"/>
      <c r="CM519" s="1070"/>
      <c r="CN519" s="1070"/>
      <c r="CO519" s="1070"/>
      <c r="CP519" s="1070"/>
      <c r="CQ519" s="1070"/>
      <c r="CR519" s="1070"/>
      <c r="CS519" s="1070"/>
      <c r="CT519" s="1070"/>
      <c r="CU519" s="1070"/>
      <c r="CV519" s="1070"/>
      <c r="CW519" s="1070"/>
      <c r="CX519" s="1070"/>
      <c r="CY519" s="1070"/>
      <c r="CZ519" s="1070"/>
      <c r="DA519" s="1070"/>
      <c r="DB519" s="1070"/>
      <c r="DC519" s="1070"/>
      <c r="DD519" s="1070"/>
      <c r="DE519" s="1070"/>
      <c r="DF519" s="1070"/>
      <c r="DG519" s="1070"/>
      <c r="DH519" s="1070"/>
      <c r="DI519" s="1070"/>
    </row>
    <row r="520" spans="1:113" ht="15.75" x14ac:dyDescent="0.25">
      <c r="A520" s="1417" t="s">
        <v>5572</v>
      </c>
      <c r="B520" s="1431">
        <f>B495</f>
        <v>3</v>
      </c>
      <c r="C520" s="1434"/>
      <c r="D520" s="1476"/>
      <c r="E520" s="1437"/>
      <c r="F520" s="1437"/>
      <c r="G520" s="1437"/>
      <c r="H520" s="1350"/>
      <c r="I520" s="1350"/>
      <c r="J520" s="1350"/>
      <c r="K520" s="1350"/>
      <c r="L520" s="1350"/>
      <c r="M520" s="1350"/>
      <c r="N520" s="1350"/>
      <c r="O520" s="1350"/>
      <c r="P520" s="1350"/>
      <c r="Q520" s="1350"/>
      <c r="R520" s="1350"/>
      <c r="S520" s="1350"/>
      <c r="T520" s="1350"/>
      <c r="U520" s="1350"/>
      <c r="V520" s="1350"/>
      <c r="W520" s="1350"/>
      <c r="X520" s="1350"/>
      <c r="Y520" s="1350"/>
      <c r="Z520" s="1350"/>
      <c r="AA520" s="1350"/>
      <c r="AB520" s="1350"/>
      <c r="AC520" s="1350"/>
      <c r="AD520" s="1350"/>
      <c r="AE520" s="1350"/>
      <c r="AF520" s="1350"/>
      <c r="AG520" s="1350"/>
      <c r="AH520" s="1350"/>
      <c r="AI520" s="1350"/>
      <c r="AJ520" s="1350"/>
      <c r="AK520" s="1350"/>
      <c r="AL520" s="1350"/>
      <c r="AM520" s="1350"/>
      <c r="AN520" s="1350"/>
      <c r="AO520" s="1350"/>
      <c r="AP520" s="1350"/>
      <c r="AQ520" s="1350"/>
      <c r="AR520" s="1350"/>
      <c r="AS520" s="1350"/>
      <c r="AT520" s="1350"/>
      <c r="AU520" s="1350"/>
      <c r="AV520" s="1350"/>
      <c r="AW520" s="1350"/>
      <c r="AX520" s="1350"/>
      <c r="AY520" s="1350"/>
      <c r="AZ520" s="1350"/>
      <c r="BA520" s="1070"/>
      <c r="BB520" s="1070"/>
      <c r="BC520" s="1070"/>
      <c r="BD520" s="1070"/>
      <c r="BE520" s="1070"/>
      <c r="BF520" s="1070"/>
      <c r="BG520" s="1070"/>
      <c r="BH520" s="1070"/>
      <c r="BI520" s="1070"/>
      <c r="BJ520" s="1070"/>
      <c r="BK520" s="1070"/>
      <c r="BL520" s="1070"/>
      <c r="BM520" s="1070"/>
      <c r="BN520" s="1070"/>
      <c r="BO520" s="1070"/>
      <c r="BP520" s="1070"/>
      <c r="BQ520" s="1070"/>
      <c r="BR520" s="1070"/>
      <c r="BS520" s="1070"/>
      <c r="BT520" s="1070"/>
      <c r="BU520" s="1070"/>
      <c r="BV520" s="1070"/>
      <c r="BW520" s="1070"/>
      <c r="BX520" s="1070"/>
      <c r="BY520" s="1070"/>
      <c r="BZ520" s="1070"/>
      <c r="CA520" s="1070"/>
      <c r="CB520" s="1070"/>
      <c r="CC520" s="1070"/>
      <c r="CD520" s="1070"/>
      <c r="CE520" s="1070"/>
      <c r="CF520" s="1070"/>
      <c r="CG520" s="1070"/>
      <c r="CH520" s="1070"/>
      <c r="CI520" s="1070"/>
      <c r="CJ520" s="1070"/>
      <c r="CK520" s="1070"/>
      <c r="CL520" s="1070"/>
      <c r="CM520" s="1070"/>
      <c r="CN520" s="1070"/>
      <c r="CO520" s="1070"/>
      <c r="CP520" s="1070"/>
      <c r="CQ520" s="1070"/>
      <c r="CR520" s="1070"/>
      <c r="CS520" s="1070"/>
      <c r="CT520" s="1070"/>
      <c r="CU520" s="1070"/>
      <c r="CV520" s="1070"/>
      <c r="CW520" s="1070"/>
      <c r="CX520" s="1070"/>
      <c r="CY520" s="1070"/>
      <c r="CZ520" s="1070"/>
      <c r="DA520" s="1070"/>
      <c r="DB520" s="1070"/>
      <c r="DC520" s="1070"/>
      <c r="DD520" s="1070"/>
      <c r="DE520" s="1070"/>
      <c r="DF520" s="1070"/>
      <c r="DG520" s="1070"/>
      <c r="DH520" s="1070"/>
      <c r="DI520" s="1070"/>
    </row>
    <row r="521" spans="1:113" ht="15.75" x14ac:dyDescent="0.25">
      <c r="A521" s="1430" t="s">
        <v>425</v>
      </c>
      <c r="B521" s="1423">
        <f>B496</f>
        <v>134</v>
      </c>
      <c r="C521" s="1429"/>
      <c r="D521" s="1477"/>
      <c r="E521" s="1432"/>
      <c r="F521" s="1432"/>
      <c r="G521" s="1432"/>
      <c r="H521" s="1350"/>
      <c r="I521" s="1350"/>
      <c r="J521" s="1350"/>
      <c r="K521" s="1350"/>
      <c r="L521" s="1350"/>
      <c r="M521" s="1350"/>
      <c r="N521" s="1350"/>
      <c r="O521" s="1350"/>
      <c r="P521" s="1350"/>
      <c r="Q521" s="1350"/>
      <c r="R521" s="1350"/>
      <c r="S521" s="1350"/>
      <c r="T521" s="1350"/>
      <c r="U521" s="1350"/>
      <c r="V521" s="1350"/>
      <c r="W521" s="1350"/>
      <c r="X521" s="1350"/>
      <c r="Y521" s="1350"/>
      <c r="Z521" s="1350"/>
      <c r="AA521" s="1350"/>
      <c r="AB521" s="1350"/>
      <c r="AC521" s="1350"/>
      <c r="AD521" s="1350"/>
      <c r="AE521" s="1350"/>
      <c r="AF521" s="1350"/>
      <c r="AG521" s="1350"/>
      <c r="AH521" s="1350"/>
      <c r="AI521" s="1350"/>
      <c r="AJ521" s="1350"/>
      <c r="AK521" s="1350"/>
      <c r="AL521" s="1350"/>
      <c r="AM521" s="1350"/>
      <c r="AN521" s="1350"/>
      <c r="AO521" s="1350"/>
      <c r="AP521" s="1350"/>
      <c r="AQ521" s="1350"/>
      <c r="AR521" s="1350"/>
      <c r="AS521" s="1350"/>
      <c r="AT521" s="1350"/>
      <c r="AU521" s="1350"/>
      <c r="AV521" s="1350"/>
      <c r="AW521" s="1350"/>
      <c r="AX521" s="1350"/>
      <c r="AY521" s="1350"/>
      <c r="AZ521" s="1350"/>
      <c r="BA521" s="1070"/>
      <c r="BB521" s="1070"/>
      <c r="BC521" s="1070"/>
      <c r="BD521" s="1070"/>
      <c r="BE521" s="1070"/>
      <c r="BF521" s="1070"/>
      <c r="BG521" s="1070"/>
      <c r="BH521" s="1070"/>
      <c r="BI521" s="1070"/>
      <c r="BJ521" s="1070"/>
      <c r="BK521" s="1070"/>
      <c r="BL521" s="1070"/>
      <c r="BM521" s="1070"/>
      <c r="BN521" s="1070"/>
      <c r="BO521" s="1070"/>
      <c r="BP521" s="1070"/>
      <c r="BQ521" s="1070"/>
      <c r="BR521" s="1070"/>
      <c r="BS521" s="1070"/>
      <c r="BT521" s="1070"/>
      <c r="BU521" s="1070"/>
      <c r="BV521" s="1070"/>
      <c r="BW521" s="1070"/>
      <c r="BX521" s="1070"/>
      <c r="BY521" s="1070"/>
      <c r="BZ521" s="1070"/>
      <c r="CA521" s="1070"/>
      <c r="CB521" s="1070"/>
      <c r="CC521" s="1070"/>
      <c r="CD521" s="1070"/>
      <c r="CE521" s="1070"/>
      <c r="CF521" s="1070"/>
      <c r="CG521" s="1070"/>
      <c r="CH521" s="1070"/>
      <c r="CI521" s="1070"/>
      <c r="CJ521" s="1070"/>
      <c r="CK521" s="1070"/>
      <c r="CL521" s="1070"/>
      <c r="CM521" s="1070"/>
      <c r="CN521" s="1070"/>
      <c r="CO521" s="1070"/>
      <c r="CP521" s="1070"/>
      <c r="CQ521" s="1070"/>
      <c r="CR521" s="1070"/>
      <c r="CS521" s="1070"/>
      <c r="CT521" s="1070"/>
      <c r="CU521" s="1070"/>
      <c r="CV521" s="1070"/>
      <c r="CW521" s="1070"/>
      <c r="CX521" s="1070"/>
      <c r="CY521" s="1070"/>
      <c r="CZ521" s="1070"/>
      <c r="DA521" s="1070"/>
      <c r="DB521" s="1070"/>
      <c r="DC521" s="1070"/>
      <c r="DD521" s="1070"/>
      <c r="DE521" s="1070"/>
      <c r="DF521" s="1070"/>
      <c r="DG521" s="1070"/>
      <c r="DH521" s="1070"/>
      <c r="DI521" s="1070"/>
    </row>
    <row r="522" spans="1:113" ht="15.75" x14ac:dyDescent="0.25">
      <c r="A522" s="1430" t="s">
        <v>1322</v>
      </c>
      <c r="B522" s="1433" t="e">
        <f>B506*B508*B510*B512*B341</f>
        <v>#VALUE!</v>
      </c>
      <c r="C522" s="1437"/>
      <c r="D522" s="1478"/>
      <c r="E522" s="1454"/>
      <c r="F522" s="1454"/>
      <c r="G522" s="1454"/>
      <c r="H522" s="1350"/>
      <c r="I522" s="1350"/>
      <c r="J522" s="1350"/>
      <c r="K522" s="1350"/>
      <c r="L522" s="1350"/>
      <c r="M522" s="1350"/>
      <c r="N522" s="1350"/>
      <c r="O522" s="1350"/>
      <c r="P522" s="1350"/>
      <c r="Q522" s="1350"/>
      <c r="R522" s="1350"/>
      <c r="S522" s="1350"/>
      <c r="T522" s="1350"/>
      <c r="U522" s="1350"/>
      <c r="V522" s="1350"/>
      <c r="W522" s="1350"/>
      <c r="X522" s="1350"/>
      <c r="Y522" s="1350"/>
      <c r="Z522" s="1350"/>
      <c r="AA522" s="1350"/>
      <c r="AB522" s="1350"/>
      <c r="AC522" s="1350"/>
      <c r="AD522" s="1350"/>
      <c r="AE522" s="1350"/>
      <c r="AF522" s="1350"/>
      <c r="AG522" s="1350"/>
      <c r="AH522" s="1350"/>
      <c r="AI522" s="1350"/>
      <c r="AJ522" s="1350"/>
      <c r="AK522" s="1350"/>
      <c r="AL522" s="1350"/>
      <c r="AM522" s="1350"/>
      <c r="AN522" s="1350"/>
      <c r="AO522" s="1350"/>
      <c r="AP522" s="1350"/>
      <c r="AQ522" s="1350"/>
      <c r="AR522" s="1350"/>
      <c r="AS522" s="1350"/>
      <c r="AT522" s="1350"/>
      <c r="AU522" s="1350"/>
      <c r="AV522" s="1350"/>
      <c r="AW522" s="1350"/>
      <c r="AX522" s="1350"/>
      <c r="AY522" s="1350"/>
      <c r="AZ522" s="1350"/>
      <c r="BA522" s="1070"/>
      <c r="BB522" s="1070"/>
      <c r="BC522" s="1070"/>
      <c r="BD522" s="1070"/>
      <c r="BE522" s="1070"/>
      <c r="BF522" s="1070"/>
      <c r="BG522" s="1070"/>
      <c r="BH522" s="1070"/>
      <c r="BI522" s="1070"/>
      <c r="BJ522" s="1070"/>
      <c r="BK522" s="1070"/>
      <c r="BL522" s="1070"/>
      <c r="BM522" s="1070"/>
      <c r="BN522" s="1070"/>
      <c r="BO522" s="1070"/>
      <c r="BP522" s="1070"/>
      <c r="BQ522" s="1070"/>
      <c r="BR522" s="1070"/>
      <c r="BS522" s="1070"/>
      <c r="BT522" s="1070"/>
      <c r="BU522" s="1070"/>
      <c r="BV522" s="1070"/>
      <c r="BW522" s="1070"/>
      <c r="BX522" s="1070"/>
      <c r="BY522" s="1070"/>
      <c r="BZ522" s="1070"/>
      <c r="CA522" s="1070"/>
      <c r="CB522" s="1070"/>
      <c r="CC522" s="1070"/>
      <c r="CD522" s="1070"/>
      <c r="CE522" s="1070"/>
      <c r="CF522" s="1070"/>
      <c r="CG522" s="1070"/>
      <c r="CH522" s="1070"/>
      <c r="CI522" s="1070"/>
      <c r="CJ522" s="1070"/>
      <c r="CK522" s="1070"/>
      <c r="CL522" s="1070"/>
      <c r="CM522" s="1070"/>
      <c r="CN522" s="1070"/>
      <c r="CO522" s="1070"/>
      <c r="CP522" s="1070"/>
      <c r="CQ522" s="1070"/>
      <c r="CR522" s="1070"/>
      <c r="CS522" s="1070"/>
      <c r="CT522" s="1070"/>
      <c r="CU522" s="1070"/>
      <c r="CV522" s="1070"/>
      <c r="CW522" s="1070"/>
      <c r="CX522" s="1070"/>
      <c r="CY522" s="1070"/>
      <c r="CZ522" s="1070"/>
      <c r="DA522" s="1070"/>
      <c r="DB522" s="1070"/>
      <c r="DC522" s="1070"/>
      <c r="DD522" s="1070"/>
      <c r="DE522" s="1070"/>
      <c r="DF522" s="1070"/>
      <c r="DG522" s="1070"/>
      <c r="DH522" s="1070"/>
      <c r="DI522" s="1070"/>
    </row>
    <row r="523" spans="1:113" ht="15.75" x14ac:dyDescent="0.25">
      <c r="A523" s="1430" t="s">
        <v>1</v>
      </c>
      <c r="B523" s="1433" t="e">
        <f>B521*B522</f>
        <v>#VALUE!</v>
      </c>
      <c r="C523" s="1437"/>
      <c r="D523" s="1478"/>
      <c r="E523" s="1454"/>
      <c r="F523" s="1454"/>
      <c r="G523" s="1454"/>
      <c r="H523" s="1350"/>
      <c r="I523" s="1350"/>
      <c r="J523" s="1350"/>
      <c r="K523" s="1350"/>
      <c r="L523" s="1350"/>
      <c r="M523" s="1350"/>
      <c r="N523" s="1350"/>
      <c r="O523" s="1350"/>
      <c r="P523" s="1350"/>
      <c r="Q523" s="1350"/>
      <c r="R523" s="1350"/>
      <c r="S523" s="1350"/>
      <c r="T523" s="1350"/>
      <c r="U523" s="1350"/>
      <c r="V523" s="1350"/>
      <c r="W523" s="1350"/>
      <c r="X523" s="1350"/>
      <c r="Y523" s="1350"/>
      <c r="Z523" s="1350"/>
      <c r="AA523" s="1350"/>
      <c r="AB523" s="1350"/>
      <c r="AC523" s="1350"/>
      <c r="AD523" s="1350"/>
      <c r="AE523" s="1350"/>
      <c r="AF523" s="1350"/>
      <c r="AG523" s="1350"/>
      <c r="AH523" s="1350"/>
      <c r="AI523" s="1350"/>
      <c r="AJ523" s="1350"/>
      <c r="AK523" s="1350"/>
      <c r="AL523" s="1350"/>
      <c r="AM523" s="1350"/>
      <c r="AN523" s="1350"/>
      <c r="AO523" s="1350"/>
      <c r="AP523" s="1350"/>
      <c r="AQ523" s="1350"/>
      <c r="AR523" s="1350"/>
      <c r="AS523" s="1350"/>
      <c r="AT523" s="1350"/>
      <c r="AU523" s="1350"/>
      <c r="AV523" s="1350"/>
      <c r="AW523" s="1350"/>
      <c r="AX523" s="1350"/>
      <c r="AY523" s="1350"/>
      <c r="AZ523" s="1350"/>
      <c r="BA523" s="1070"/>
      <c r="BB523" s="1070"/>
      <c r="BC523" s="1070"/>
      <c r="BD523" s="1070"/>
      <c r="BE523" s="1070"/>
      <c r="BF523" s="1070"/>
      <c r="BG523" s="1070"/>
      <c r="BH523" s="1070"/>
      <c r="BI523" s="1070"/>
      <c r="BJ523" s="1070"/>
      <c r="BK523" s="1070"/>
      <c r="BL523" s="1070"/>
      <c r="BM523" s="1070"/>
      <c r="BN523" s="1070"/>
      <c r="BO523" s="1070"/>
      <c r="BP523" s="1070"/>
      <c r="BQ523" s="1070"/>
      <c r="BR523" s="1070"/>
      <c r="BS523" s="1070"/>
      <c r="BT523" s="1070"/>
      <c r="BU523" s="1070"/>
      <c r="BV523" s="1070"/>
      <c r="BW523" s="1070"/>
      <c r="BX523" s="1070"/>
      <c r="BY523" s="1070"/>
      <c r="BZ523" s="1070"/>
      <c r="CA523" s="1070"/>
      <c r="CB523" s="1070"/>
      <c r="CC523" s="1070"/>
      <c r="CD523" s="1070"/>
      <c r="CE523" s="1070"/>
      <c r="CF523" s="1070"/>
      <c r="CG523" s="1070"/>
      <c r="CH523" s="1070"/>
      <c r="CI523" s="1070"/>
      <c r="CJ523" s="1070"/>
      <c r="CK523" s="1070"/>
      <c r="CL523" s="1070"/>
      <c r="CM523" s="1070"/>
      <c r="CN523" s="1070"/>
      <c r="CO523" s="1070"/>
      <c r="CP523" s="1070"/>
      <c r="CQ523" s="1070"/>
      <c r="CR523" s="1070"/>
      <c r="CS523" s="1070"/>
      <c r="CT523" s="1070"/>
      <c r="CU523" s="1070"/>
      <c r="CV523" s="1070"/>
      <c r="CW523" s="1070"/>
      <c r="CX523" s="1070"/>
      <c r="CY523" s="1070"/>
      <c r="CZ523" s="1070"/>
      <c r="DA523" s="1070"/>
      <c r="DB523" s="1070"/>
      <c r="DC523" s="1070"/>
      <c r="DD523" s="1070"/>
      <c r="DE523" s="1070"/>
      <c r="DF523" s="1070"/>
      <c r="DG523" s="1070"/>
      <c r="DH523" s="1070"/>
      <c r="DI523" s="1070"/>
    </row>
    <row r="524" spans="1:113" ht="15.75" x14ac:dyDescent="0.25">
      <c r="A524" s="1430" t="s">
        <v>4351</v>
      </c>
      <c r="B524" s="1433" t="e">
        <f>B519/B523</f>
        <v>#VALUE!</v>
      </c>
      <c r="C524" s="1437"/>
      <c r="D524" s="1478"/>
      <c r="E524" s="1454"/>
      <c r="F524" s="1454"/>
      <c r="G524" s="1454"/>
      <c r="H524" s="1350"/>
      <c r="I524" s="1350"/>
      <c r="J524" s="1350"/>
      <c r="K524" s="1350"/>
      <c r="L524" s="1350"/>
      <c r="M524" s="1350"/>
      <c r="N524" s="1350"/>
      <c r="O524" s="1350"/>
      <c r="P524" s="1350"/>
      <c r="Q524" s="1350"/>
      <c r="R524" s="1350"/>
      <c r="S524" s="1350"/>
      <c r="T524" s="1350"/>
      <c r="U524" s="1350"/>
      <c r="V524" s="1350"/>
      <c r="W524" s="1350"/>
      <c r="X524" s="1350"/>
      <c r="Y524" s="1350"/>
      <c r="Z524" s="1350"/>
      <c r="AA524" s="1350"/>
      <c r="AB524" s="1350"/>
      <c r="AC524" s="1350"/>
      <c r="AD524" s="1350"/>
      <c r="AE524" s="1350"/>
      <c r="AF524" s="1350"/>
      <c r="AG524" s="1350"/>
      <c r="AH524" s="1350"/>
      <c r="AI524" s="1350"/>
      <c r="AJ524" s="1350"/>
      <c r="AK524" s="1350"/>
      <c r="AL524" s="1350"/>
      <c r="AM524" s="1350"/>
      <c r="AN524" s="1350"/>
      <c r="AO524" s="1350"/>
      <c r="AP524" s="1350"/>
      <c r="AQ524" s="1350"/>
      <c r="AR524" s="1350"/>
      <c r="AS524" s="1350"/>
      <c r="AT524" s="1350"/>
      <c r="AU524" s="1350"/>
      <c r="AV524" s="1350"/>
      <c r="AW524" s="1350"/>
      <c r="AX524" s="1350"/>
      <c r="AY524" s="1350"/>
      <c r="AZ524" s="1350"/>
      <c r="BA524" s="1070"/>
      <c r="BB524" s="1070"/>
      <c r="BC524" s="1070"/>
      <c r="BD524" s="1070"/>
      <c r="BE524" s="1070"/>
      <c r="BF524" s="1070"/>
      <c r="BG524" s="1070"/>
      <c r="BH524" s="1070"/>
      <c r="BI524" s="1070"/>
      <c r="BJ524" s="1070"/>
      <c r="BK524" s="1070"/>
      <c r="BL524" s="1070"/>
      <c r="BM524" s="1070"/>
      <c r="BN524" s="1070"/>
      <c r="BO524" s="1070"/>
      <c r="BP524" s="1070"/>
      <c r="BQ524" s="1070"/>
      <c r="BR524" s="1070"/>
      <c r="BS524" s="1070"/>
      <c r="BT524" s="1070"/>
      <c r="BU524" s="1070"/>
      <c r="BV524" s="1070"/>
      <c r="BW524" s="1070"/>
      <c r="BX524" s="1070"/>
      <c r="BY524" s="1070"/>
      <c r="BZ524" s="1070"/>
      <c r="CA524" s="1070"/>
      <c r="CB524" s="1070"/>
      <c r="CC524" s="1070"/>
      <c r="CD524" s="1070"/>
      <c r="CE524" s="1070"/>
      <c r="CF524" s="1070"/>
      <c r="CG524" s="1070"/>
      <c r="CH524" s="1070"/>
      <c r="CI524" s="1070"/>
      <c r="CJ524" s="1070"/>
      <c r="CK524" s="1070"/>
      <c r="CL524" s="1070"/>
      <c r="CM524" s="1070"/>
      <c r="CN524" s="1070"/>
      <c r="CO524" s="1070"/>
      <c r="CP524" s="1070"/>
      <c r="CQ524" s="1070"/>
      <c r="CR524" s="1070"/>
      <c r="CS524" s="1070"/>
      <c r="CT524" s="1070"/>
      <c r="CU524" s="1070"/>
      <c r="CV524" s="1070"/>
      <c r="CW524" s="1070"/>
      <c r="CX524" s="1070"/>
      <c r="CY524" s="1070"/>
      <c r="CZ524" s="1070"/>
      <c r="DA524" s="1070"/>
      <c r="DB524" s="1070"/>
      <c r="DC524" s="1070"/>
      <c r="DD524" s="1070"/>
      <c r="DE524" s="1070"/>
      <c r="DF524" s="1070"/>
      <c r="DG524" s="1070"/>
      <c r="DH524" s="1070"/>
      <c r="DI524" s="1070"/>
    </row>
    <row r="525" spans="1:113" ht="15.75" x14ac:dyDescent="0.25">
      <c r="A525" s="1466" t="s">
        <v>831</v>
      </c>
      <c r="B525" s="1433" t="e">
        <f>IF(B320=1,B524,0)</f>
        <v>#VALUE!</v>
      </c>
      <c r="C525" s="1437"/>
      <c r="D525" s="1478"/>
      <c r="E525" s="1458"/>
      <c r="F525" s="1458"/>
      <c r="G525" s="1458"/>
      <c r="H525" s="1350"/>
      <c r="I525" s="1350"/>
      <c r="J525" s="1350"/>
      <c r="K525" s="1350"/>
      <c r="L525" s="1350"/>
      <c r="M525" s="1350"/>
      <c r="N525" s="1350"/>
      <c r="O525" s="1350"/>
      <c r="P525" s="1350"/>
      <c r="Q525" s="1350"/>
      <c r="R525" s="1350"/>
      <c r="S525" s="1350"/>
      <c r="T525" s="1350"/>
      <c r="U525" s="1350"/>
      <c r="V525" s="1350"/>
      <c r="W525" s="1350"/>
      <c r="X525" s="1350"/>
      <c r="Y525" s="1350"/>
      <c r="Z525" s="1350"/>
      <c r="AA525" s="1350"/>
      <c r="AB525" s="1350"/>
      <c r="AC525" s="1350"/>
      <c r="AD525" s="1350"/>
      <c r="AE525" s="1350"/>
      <c r="AF525" s="1350"/>
      <c r="AG525" s="1350"/>
      <c r="AH525" s="1350"/>
      <c r="AI525" s="1350"/>
      <c r="AJ525" s="1350"/>
      <c r="AK525" s="1350"/>
      <c r="AL525" s="1350"/>
      <c r="AM525" s="1350"/>
      <c r="AN525" s="1350"/>
      <c r="AO525" s="1350"/>
      <c r="AP525" s="1350"/>
      <c r="AQ525" s="1350"/>
      <c r="AR525" s="1350"/>
      <c r="AS525" s="1350"/>
      <c r="AT525" s="1350"/>
      <c r="AU525" s="1350"/>
      <c r="AV525" s="1350"/>
      <c r="AW525" s="1350"/>
      <c r="AX525" s="1350"/>
      <c r="AY525" s="1350"/>
      <c r="AZ525" s="1350"/>
      <c r="BA525" s="1070"/>
      <c r="BB525" s="1070"/>
      <c r="BC525" s="1070"/>
      <c r="BD525" s="1070"/>
      <c r="BE525" s="1070"/>
      <c r="BF525" s="1070"/>
      <c r="BG525" s="1070"/>
      <c r="BH525" s="1070"/>
      <c r="BI525" s="1070"/>
      <c r="BJ525" s="1070"/>
      <c r="BK525" s="1070"/>
      <c r="BL525" s="1070"/>
      <c r="BM525" s="1070"/>
      <c r="BN525" s="1070"/>
      <c r="BO525" s="1070"/>
      <c r="BP525" s="1070"/>
      <c r="BQ525" s="1070"/>
      <c r="BR525" s="1070"/>
      <c r="BS525" s="1070"/>
      <c r="BT525" s="1070"/>
      <c r="BU525" s="1070"/>
      <c r="BV525" s="1070"/>
      <c r="BW525" s="1070"/>
      <c r="BX525" s="1070"/>
      <c r="BY525" s="1070"/>
      <c r="BZ525" s="1070"/>
      <c r="CA525" s="1070"/>
      <c r="CB525" s="1070"/>
      <c r="CC525" s="1070"/>
      <c r="CD525" s="1070"/>
      <c r="CE525" s="1070"/>
      <c r="CF525" s="1070"/>
      <c r="CG525" s="1070"/>
      <c r="CH525" s="1070"/>
      <c r="CI525" s="1070"/>
      <c r="CJ525" s="1070"/>
      <c r="CK525" s="1070"/>
      <c r="CL525" s="1070"/>
      <c r="CM525" s="1070"/>
      <c r="CN525" s="1070"/>
      <c r="CO525" s="1070"/>
      <c r="CP525" s="1070"/>
      <c r="CQ525" s="1070"/>
      <c r="CR525" s="1070"/>
      <c r="CS525" s="1070"/>
      <c r="CT525" s="1070"/>
      <c r="CU525" s="1070"/>
      <c r="CV525" s="1070"/>
      <c r="CW525" s="1070"/>
      <c r="CX525" s="1070"/>
      <c r="CY525" s="1070"/>
      <c r="CZ525" s="1070"/>
      <c r="DA525" s="1070"/>
      <c r="DB525" s="1070"/>
      <c r="DC525" s="1070"/>
      <c r="DD525" s="1070"/>
      <c r="DE525" s="1070"/>
      <c r="DF525" s="1070"/>
      <c r="DG525" s="1070"/>
      <c r="DH525" s="1070"/>
      <c r="DI525" s="1070"/>
    </row>
    <row r="526" spans="1:113" ht="15.75" x14ac:dyDescent="0.25">
      <c r="A526" s="1460"/>
      <c r="B526" s="1428"/>
      <c r="C526" s="1432"/>
      <c r="D526" s="1136"/>
      <c r="E526" s="1437"/>
      <c r="F526" s="1437"/>
      <c r="G526" s="1437"/>
      <c r="H526" s="1350"/>
      <c r="I526" s="1350"/>
      <c r="J526" s="1350"/>
      <c r="K526" s="1350"/>
      <c r="L526" s="1350"/>
      <c r="M526" s="1350"/>
      <c r="N526" s="1350"/>
      <c r="O526" s="1350"/>
      <c r="P526" s="1350"/>
      <c r="Q526" s="1350"/>
      <c r="R526" s="1350"/>
      <c r="S526" s="1350"/>
      <c r="T526" s="1350"/>
      <c r="U526" s="1350"/>
      <c r="V526" s="1350"/>
      <c r="W526" s="1350"/>
      <c r="X526" s="1350"/>
      <c r="Y526" s="1350"/>
      <c r="Z526" s="1350"/>
      <c r="AA526" s="1350"/>
      <c r="AB526" s="1350"/>
      <c r="AC526" s="1350"/>
      <c r="AD526" s="1350"/>
      <c r="AE526" s="1350"/>
      <c r="AF526" s="1350"/>
      <c r="AG526" s="1350"/>
      <c r="AH526" s="1350"/>
      <c r="AI526" s="1350"/>
      <c r="AJ526" s="1350"/>
      <c r="AK526" s="1350"/>
      <c r="AL526" s="1350"/>
      <c r="AM526" s="1350"/>
      <c r="AN526" s="1350"/>
      <c r="AO526" s="1350"/>
      <c r="AP526" s="1350"/>
      <c r="AQ526" s="1350"/>
      <c r="AR526" s="1350"/>
      <c r="AS526" s="1350"/>
      <c r="AT526" s="1350"/>
      <c r="AU526" s="1350"/>
      <c r="AV526" s="1350"/>
      <c r="AW526" s="1350"/>
      <c r="AX526" s="1350"/>
      <c r="AY526" s="1350"/>
      <c r="AZ526" s="1350"/>
      <c r="BA526" s="1070"/>
      <c r="BB526" s="1070"/>
      <c r="BC526" s="1070"/>
      <c r="BD526" s="1070"/>
      <c r="BE526" s="1070"/>
      <c r="BF526" s="1070"/>
      <c r="BG526" s="1070"/>
      <c r="BH526" s="1070"/>
      <c r="BI526" s="1070"/>
      <c r="BJ526" s="1070"/>
      <c r="BK526" s="1070"/>
      <c r="BL526" s="1070"/>
      <c r="BM526" s="1070"/>
      <c r="BN526" s="1070"/>
      <c r="BO526" s="1070"/>
      <c r="BP526" s="1070"/>
      <c r="BQ526" s="1070"/>
      <c r="BR526" s="1070"/>
      <c r="BS526" s="1070"/>
      <c r="BT526" s="1070"/>
      <c r="BU526" s="1070"/>
      <c r="BV526" s="1070"/>
      <c r="BW526" s="1070"/>
      <c r="BX526" s="1070"/>
      <c r="BY526" s="1070"/>
      <c r="BZ526" s="1070"/>
      <c r="CA526" s="1070"/>
      <c r="CB526" s="1070"/>
      <c r="CC526" s="1070"/>
      <c r="CD526" s="1070"/>
      <c r="CE526" s="1070"/>
      <c r="CF526" s="1070"/>
      <c r="CG526" s="1070"/>
      <c r="CH526" s="1070"/>
      <c r="CI526" s="1070"/>
      <c r="CJ526" s="1070"/>
      <c r="CK526" s="1070"/>
      <c r="CL526" s="1070"/>
      <c r="CM526" s="1070"/>
      <c r="CN526" s="1070"/>
      <c r="CO526" s="1070"/>
      <c r="CP526" s="1070"/>
      <c r="CQ526" s="1070"/>
      <c r="CR526" s="1070"/>
      <c r="CS526" s="1070"/>
      <c r="CT526" s="1070"/>
      <c r="CU526" s="1070"/>
      <c r="CV526" s="1070"/>
      <c r="CW526" s="1070"/>
      <c r="CX526" s="1070"/>
      <c r="CY526" s="1070"/>
      <c r="CZ526" s="1070"/>
      <c r="DA526" s="1070"/>
      <c r="DB526" s="1070"/>
      <c r="DC526" s="1070"/>
      <c r="DD526" s="1070"/>
      <c r="DE526" s="1070"/>
      <c r="DF526" s="1070"/>
      <c r="DG526" s="1070"/>
      <c r="DH526" s="1070"/>
      <c r="DI526" s="1070"/>
    </row>
    <row r="527" spans="1:113" ht="15.75" x14ac:dyDescent="0.25">
      <c r="A527" s="1461" t="s">
        <v>4352</v>
      </c>
      <c r="B527" s="1428"/>
      <c r="C527" s="1432"/>
      <c r="D527" s="1136"/>
      <c r="E527" s="1434"/>
      <c r="F527" s="1434"/>
      <c r="G527" s="1434"/>
      <c r="H527" s="1350"/>
      <c r="I527" s="1350"/>
      <c r="J527" s="1350"/>
      <c r="K527" s="1350"/>
      <c r="L527" s="1350"/>
      <c r="M527" s="1350"/>
      <c r="N527" s="1350"/>
      <c r="O527" s="1350"/>
      <c r="P527" s="1350"/>
      <c r="Q527" s="1350"/>
      <c r="R527" s="1350"/>
      <c r="S527" s="1350"/>
      <c r="T527" s="1350"/>
      <c r="U527" s="1350"/>
      <c r="V527" s="1350"/>
      <c r="W527" s="1350"/>
      <c r="X527" s="1350"/>
      <c r="Y527" s="1350"/>
      <c r="Z527" s="1350"/>
      <c r="AA527" s="1350"/>
      <c r="AB527" s="1350"/>
      <c r="AC527" s="1350"/>
      <c r="AD527" s="1350"/>
      <c r="AE527" s="1350"/>
      <c r="AF527" s="1350"/>
      <c r="AG527" s="1350"/>
      <c r="AH527" s="1350"/>
      <c r="AI527" s="1350"/>
      <c r="AJ527" s="1350"/>
      <c r="AK527" s="1350"/>
      <c r="AL527" s="1350"/>
      <c r="AM527" s="1350"/>
      <c r="AN527" s="1350"/>
      <c r="AO527" s="1350"/>
      <c r="AP527" s="1350"/>
      <c r="AQ527" s="1350"/>
      <c r="AR527" s="1350"/>
      <c r="AS527" s="1350"/>
      <c r="AT527" s="1350"/>
      <c r="AU527" s="1350"/>
      <c r="AV527" s="1350"/>
      <c r="AW527" s="1350"/>
      <c r="AX527" s="1350"/>
      <c r="AY527" s="1350"/>
      <c r="AZ527" s="1350"/>
      <c r="BA527" s="1070"/>
      <c r="BB527" s="1070"/>
      <c r="BC527" s="1070"/>
      <c r="BD527" s="1070"/>
      <c r="BE527" s="1070"/>
      <c r="BF527" s="1070"/>
      <c r="BG527" s="1070"/>
      <c r="BH527" s="1070"/>
      <c r="BI527" s="1070"/>
      <c r="BJ527" s="1070"/>
      <c r="BK527" s="1070"/>
      <c r="BL527" s="1070"/>
      <c r="BM527" s="1070"/>
      <c r="BN527" s="1070"/>
      <c r="BO527" s="1070"/>
      <c r="BP527" s="1070"/>
      <c r="BQ527" s="1070"/>
      <c r="BR527" s="1070"/>
      <c r="BS527" s="1070"/>
      <c r="BT527" s="1070"/>
      <c r="BU527" s="1070"/>
      <c r="BV527" s="1070"/>
      <c r="BW527" s="1070"/>
      <c r="BX527" s="1070"/>
      <c r="BY527" s="1070"/>
      <c r="BZ527" s="1070"/>
      <c r="CA527" s="1070"/>
      <c r="CB527" s="1070"/>
      <c r="CC527" s="1070"/>
      <c r="CD527" s="1070"/>
      <c r="CE527" s="1070"/>
      <c r="CF527" s="1070"/>
      <c r="CG527" s="1070"/>
      <c r="CH527" s="1070"/>
      <c r="CI527" s="1070"/>
      <c r="CJ527" s="1070"/>
      <c r="CK527" s="1070"/>
      <c r="CL527" s="1070"/>
      <c r="CM527" s="1070"/>
      <c r="CN527" s="1070"/>
      <c r="CO527" s="1070"/>
      <c r="CP527" s="1070"/>
      <c r="CQ527" s="1070"/>
      <c r="CR527" s="1070"/>
      <c r="CS527" s="1070"/>
      <c r="CT527" s="1070"/>
      <c r="CU527" s="1070"/>
      <c r="CV527" s="1070"/>
      <c r="CW527" s="1070"/>
      <c r="CX527" s="1070"/>
      <c r="CY527" s="1070"/>
      <c r="CZ527" s="1070"/>
      <c r="DA527" s="1070"/>
      <c r="DB527" s="1070"/>
      <c r="DC527" s="1070"/>
      <c r="DD527" s="1070"/>
      <c r="DE527" s="1070"/>
      <c r="DF527" s="1070"/>
      <c r="DG527" s="1070"/>
      <c r="DH527" s="1070"/>
      <c r="DI527" s="1070"/>
    </row>
    <row r="528" spans="1:113" ht="15.75" x14ac:dyDescent="0.25">
      <c r="A528" s="1430" t="s">
        <v>2995</v>
      </c>
      <c r="B528" s="1428" t="e">
        <f>B286*B291*B306*B290*B293</f>
        <v>#VALUE!</v>
      </c>
      <c r="C528" s="1432"/>
      <c r="D528" s="1136"/>
      <c r="E528" s="1429"/>
      <c r="F528" s="1429"/>
      <c r="G528" s="1429"/>
      <c r="H528" s="1350"/>
      <c r="I528" s="1350"/>
      <c r="J528" s="1350"/>
      <c r="K528" s="1350"/>
      <c r="L528" s="1350"/>
      <c r="M528" s="1350"/>
      <c r="N528" s="1350"/>
      <c r="O528" s="1350"/>
      <c r="P528" s="1350"/>
      <c r="Q528" s="1350"/>
      <c r="R528" s="1350"/>
      <c r="S528" s="1350"/>
      <c r="T528" s="1350"/>
      <c r="U528" s="1350"/>
      <c r="V528" s="1350"/>
      <c r="W528" s="1350"/>
      <c r="X528" s="1350"/>
      <c r="Y528" s="1350"/>
      <c r="Z528" s="1350"/>
      <c r="AA528" s="1350"/>
      <c r="AB528" s="1350"/>
      <c r="AC528" s="1350"/>
      <c r="AD528" s="1350"/>
      <c r="AE528" s="1350"/>
      <c r="AF528" s="1350"/>
      <c r="AG528" s="1350"/>
      <c r="AH528" s="1350"/>
      <c r="AI528" s="1350"/>
      <c r="AJ528" s="1350"/>
      <c r="AK528" s="1350"/>
      <c r="AL528" s="1350"/>
      <c r="AM528" s="1350"/>
      <c r="AN528" s="1350"/>
      <c r="AO528" s="1350"/>
      <c r="AP528" s="1350"/>
      <c r="AQ528" s="1350"/>
      <c r="AR528" s="1350"/>
      <c r="AS528" s="1350"/>
      <c r="AT528" s="1350"/>
      <c r="AU528" s="1350"/>
      <c r="AV528" s="1350"/>
      <c r="AW528" s="1350"/>
      <c r="AX528" s="1350"/>
      <c r="AY528" s="1350"/>
      <c r="AZ528" s="1350"/>
      <c r="BA528" s="1070"/>
      <c r="BB528" s="1070"/>
      <c r="BC528" s="1070"/>
      <c r="BD528" s="1070"/>
      <c r="BE528" s="1070"/>
      <c r="BF528" s="1070"/>
      <c r="BG528" s="1070"/>
      <c r="BH528" s="1070"/>
      <c r="BI528" s="1070"/>
      <c r="BJ528" s="1070"/>
      <c r="BK528" s="1070"/>
      <c r="BL528" s="1070"/>
      <c r="BM528" s="1070"/>
      <c r="BN528" s="1070"/>
      <c r="BO528" s="1070"/>
      <c r="BP528" s="1070"/>
      <c r="BQ528" s="1070"/>
      <c r="BR528" s="1070"/>
      <c r="BS528" s="1070"/>
      <c r="BT528" s="1070"/>
      <c r="BU528" s="1070"/>
      <c r="BV528" s="1070"/>
      <c r="BW528" s="1070"/>
      <c r="BX528" s="1070"/>
      <c r="BY528" s="1070"/>
      <c r="BZ528" s="1070"/>
      <c r="CA528" s="1070"/>
      <c r="CB528" s="1070"/>
      <c r="CC528" s="1070"/>
      <c r="CD528" s="1070"/>
      <c r="CE528" s="1070"/>
      <c r="CF528" s="1070"/>
      <c r="CG528" s="1070"/>
      <c r="CH528" s="1070"/>
      <c r="CI528" s="1070"/>
      <c r="CJ528" s="1070"/>
      <c r="CK528" s="1070"/>
      <c r="CL528" s="1070"/>
      <c r="CM528" s="1070"/>
      <c r="CN528" s="1070"/>
      <c r="CO528" s="1070"/>
      <c r="CP528" s="1070"/>
      <c r="CQ528" s="1070"/>
      <c r="CR528" s="1070"/>
      <c r="CS528" s="1070"/>
      <c r="CT528" s="1070"/>
      <c r="CU528" s="1070"/>
      <c r="CV528" s="1070"/>
      <c r="CW528" s="1070"/>
      <c r="CX528" s="1070"/>
      <c r="CY528" s="1070"/>
      <c r="CZ528" s="1070"/>
      <c r="DA528" s="1070"/>
      <c r="DB528" s="1070"/>
      <c r="DC528" s="1070"/>
      <c r="DD528" s="1070"/>
      <c r="DE528" s="1070"/>
      <c r="DF528" s="1070"/>
      <c r="DG528" s="1070"/>
      <c r="DH528" s="1070"/>
      <c r="DI528" s="1070"/>
    </row>
    <row r="529" spans="1:113" ht="15.75" x14ac:dyDescent="0.25">
      <c r="A529" s="1430" t="s">
        <v>4353</v>
      </c>
      <c r="B529" s="1423">
        <f>IF(B286&lt;0.61,9.05,IF(B286&lt;0.71,9.93,IF(B286&lt;0.81,10.8,IF(B286&lt;0.91,11.4,IF(B286&lt;1.01,12,IF(B286&lt;1.11,12.5,IF(B286&lt;1.26,13.2,B530)))))))</f>
        <v>16.5</v>
      </c>
      <c r="C529" s="1429"/>
      <c r="D529" s="1136"/>
      <c r="E529" s="1437"/>
      <c r="F529" s="1437"/>
      <c r="G529" s="1437"/>
      <c r="H529" s="1350"/>
      <c r="I529" s="1350"/>
      <c r="J529" s="1350"/>
      <c r="K529" s="1350"/>
      <c r="L529" s="1350"/>
      <c r="M529" s="1350"/>
      <c r="N529" s="1350"/>
      <c r="O529" s="1350"/>
      <c r="P529" s="1350"/>
      <c r="Q529" s="1350"/>
      <c r="R529" s="1350"/>
      <c r="S529" s="1350"/>
      <c r="T529" s="1350"/>
      <c r="U529" s="1350"/>
      <c r="V529" s="1350"/>
      <c r="W529" s="1350"/>
      <c r="X529" s="1350"/>
      <c r="Y529" s="1350"/>
      <c r="Z529" s="1350"/>
      <c r="AA529" s="1350"/>
      <c r="AB529" s="1350"/>
      <c r="AC529" s="1350"/>
      <c r="AD529" s="1350"/>
      <c r="AE529" s="1350"/>
      <c r="AF529" s="1350"/>
      <c r="AG529" s="1350"/>
      <c r="AH529" s="1350"/>
      <c r="AI529" s="1350"/>
      <c r="AJ529" s="1350"/>
      <c r="AK529" s="1350"/>
      <c r="AL529" s="1350"/>
      <c r="AM529" s="1350"/>
      <c r="AN529" s="1350"/>
      <c r="AO529" s="1350"/>
      <c r="AP529" s="1350"/>
      <c r="AQ529" s="1350"/>
      <c r="AR529" s="1350"/>
      <c r="AS529" s="1350"/>
      <c r="AT529" s="1350"/>
      <c r="AU529" s="1350"/>
      <c r="AV529" s="1350"/>
      <c r="AW529" s="1350"/>
      <c r="AX529" s="1350"/>
      <c r="AY529" s="1350"/>
      <c r="AZ529" s="1350"/>
      <c r="BA529" s="1070"/>
      <c r="BB529" s="1070"/>
      <c r="BC529" s="1070"/>
      <c r="BD529" s="1070"/>
      <c r="BE529" s="1070"/>
      <c r="BF529" s="1070"/>
      <c r="BG529" s="1070"/>
      <c r="BH529" s="1070"/>
      <c r="BI529" s="1070"/>
      <c r="BJ529" s="1070"/>
      <c r="BK529" s="1070"/>
      <c r="BL529" s="1070"/>
      <c r="BM529" s="1070"/>
      <c r="BN529" s="1070"/>
      <c r="BO529" s="1070"/>
      <c r="BP529" s="1070"/>
      <c r="BQ529" s="1070"/>
      <c r="BR529" s="1070"/>
      <c r="BS529" s="1070"/>
      <c r="BT529" s="1070"/>
      <c r="BU529" s="1070"/>
      <c r="BV529" s="1070"/>
      <c r="BW529" s="1070"/>
      <c r="BX529" s="1070"/>
      <c r="BY529" s="1070"/>
      <c r="BZ529" s="1070"/>
      <c r="CA529" s="1070"/>
      <c r="CB529" s="1070"/>
      <c r="CC529" s="1070"/>
      <c r="CD529" s="1070"/>
      <c r="CE529" s="1070"/>
      <c r="CF529" s="1070"/>
      <c r="CG529" s="1070"/>
      <c r="CH529" s="1070"/>
      <c r="CI529" s="1070"/>
      <c r="CJ529" s="1070"/>
      <c r="CK529" s="1070"/>
      <c r="CL529" s="1070"/>
      <c r="CM529" s="1070"/>
      <c r="CN529" s="1070"/>
      <c r="CO529" s="1070"/>
      <c r="CP529" s="1070"/>
      <c r="CQ529" s="1070"/>
      <c r="CR529" s="1070"/>
      <c r="CS529" s="1070"/>
      <c r="CT529" s="1070"/>
      <c r="CU529" s="1070"/>
      <c r="CV529" s="1070"/>
      <c r="CW529" s="1070"/>
      <c r="CX529" s="1070"/>
      <c r="CY529" s="1070"/>
      <c r="CZ529" s="1070"/>
      <c r="DA529" s="1070"/>
      <c r="DB529" s="1070"/>
      <c r="DC529" s="1070"/>
      <c r="DD529" s="1070"/>
      <c r="DE529" s="1070"/>
      <c r="DF529" s="1070"/>
      <c r="DG529" s="1070"/>
      <c r="DH529" s="1070"/>
      <c r="DI529" s="1070"/>
    </row>
    <row r="530" spans="1:113" ht="15.75" x14ac:dyDescent="0.25">
      <c r="A530" s="1430" t="s">
        <v>4354</v>
      </c>
      <c r="B530" s="1423">
        <f>IF(B286&lt;1.41,13.8,IF(B286&lt;1.81,14.7,16.5))</f>
        <v>16.5</v>
      </c>
      <c r="C530" s="1429"/>
      <c r="D530" s="1136"/>
      <c r="E530" s="1437"/>
      <c r="F530" s="1437"/>
      <c r="G530" s="1437"/>
      <c r="H530" s="1350"/>
      <c r="I530" s="1350"/>
      <c r="J530" s="1350"/>
      <c r="K530" s="1350"/>
      <c r="L530" s="1350"/>
      <c r="M530" s="1350"/>
      <c r="N530" s="1350"/>
      <c r="O530" s="1350"/>
      <c r="P530" s="1350"/>
      <c r="Q530" s="1350"/>
      <c r="R530" s="1350"/>
      <c r="S530" s="1350"/>
      <c r="T530" s="1350"/>
      <c r="U530" s="1350"/>
      <c r="V530" s="1350"/>
      <c r="W530" s="1350"/>
      <c r="X530" s="1350"/>
      <c r="Y530" s="1350"/>
      <c r="Z530" s="1350"/>
      <c r="AA530" s="1350"/>
      <c r="AB530" s="1350"/>
      <c r="AC530" s="1350"/>
      <c r="AD530" s="1350"/>
      <c r="AE530" s="1350"/>
      <c r="AF530" s="1350"/>
      <c r="AG530" s="1350"/>
      <c r="AH530" s="1350"/>
      <c r="AI530" s="1350"/>
      <c r="AJ530" s="1350"/>
      <c r="AK530" s="1350"/>
      <c r="AL530" s="1350"/>
      <c r="AM530" s="1350"/>
      <c r="AN530" s="1350"/>
      <c r="AO530" s="1350"/>
      <c r="AP530" s="1350"/>
      <c r="AQ530" s="1350"/>
      <c r="AR530" s="1350"/>
      <c r="AS530" s="1350"/>
      <c r="AT530" s="1350"/>
      <c r="AU530" s="1350"/>
      <c r="AV530" s="1350"/>
      <c r="AW530" s="1350"/>
      <c r="AX530" s="1350"/>
      <c r="AY530" s="1350"/>
      <c r="AZ530" s="1350"/>
      <c r="BA530" s="1070"/>
      <c r="BB530" s="1070"/>
      <c r="BC530" s="1070"/>
      <c r="BD530" s="1070"/>
      <c r="BE530" s="1070"/>
      <c r="BF530" s="1070"/>
      <c r="BG530" s="1070"/>
      <c r="BH530" s="1070"/>
      <c r="BI530" s="1070"/>
      <c r="BJ530" s="1070"/>
      <c r="BK530" s="1070"/>
      <c r="BL530" s="1070"/>
      <c r="BM530" s="1070"/>
      <c r="BN530" s="1070"/>
      <c r="BO530" s="1070"/>
      <c r="BP530" s="1070"/>
      <c r="BQ530" s="1070"/>
      <c r="BR530" s="1070"/>
      <c r="BS530" s="1070"/>
      <c r="BT530" s="1070"/>
      <c r="BU530" s="1070"/>
      <c r="BV530" s="1070"/>
      <c r="BW530" s="1070"/>
      <c r="BX530" s="1070"/>
      <c r="BY530" s="1070"/>
      <c r="BZ530" s="1070"/>
      <c r="CA530" s="1070"/>
      <c r="CB530" s="1070"/>
      <c r="CC530" s="1070"/>
      <c r="CD530" s="1070"/>
      <c r="CE530" s="1070"/>
      <c r="CF530" s="1070"/>
      <c r="CG530" s="1070"/>
      <c r="CH530" s="1070"/>
      <c r="CI530" s="1070"/>
      <c r="CJ530" s="1070"/>
      <c r="CK530" s="1070"/>
      <c r="CL530" s="1070"/>
      <c r="CM530" s="1070"/>
      <c r="CN530" s="1070"/>
      <c r="CO530" s="1070"/>
      <c r="CP530" s="1070"/>
      <c r="CQ530" s="1070"/>
      <c r="CR530" s="1070"/>
      <c r="CS530" s="1070"/>
      <c r="CT530" s="1070"/>
      <c r="CU530" s="1070"/>
      <c r="CV530" s="1070"/>
      <c r="CW530" s="1070"/>
      <c r="CX530" s="1070"/>
      <c r="CY530" s="1070"/>
      <c r="CZ530" s="1070"/>
      <c r="DA530" s="1070"/>
      <c r="DB530" s="1070"/>
      <c r="DC530" s="1070"/>
      <c r="DD530" s="1070"/>
      <c r="DE530" s="1070"/>
      <c r="DF530" s="1070"/>
      <c r="DG530" s="1070"/>
      <c r="DH530" s="1070"/>
      <c r="DI530" s="1070"/>
    </row>
    <row r="531" spans="1:113" ht="15.75" x14ac:dyDescent="0.25">
      <c r="A531" s="1430" t="s">
        <v>1322</v>
      </c>
      <c r="B531" s="1423"/>
      <c r="C531" s="1429"/>
      <c r="D531" s="1136"/>
      <c r="E531" s="1437"/>
      <c r="F531" s="1437"/>
      <c r="G531" s="1437"/>
      <c r="H531" s="1350"/>
      <c r="I531" s="1350"/>
      <c r="J531" s="1350"/>
      <c r="K531" s="1350"/>
      <c r="L531" s="1350"/>
      <c r="M531" s="1350"/>
      <c r="N531" s="1350"/>
      <c r="O531" s="1350"/>
      <c r="P531" s="1350"/>
      <c r="Q531" s="1350"/>
      <c r="R531" s="1350"/>
      <c r="S531" s="1350"/>
      <c r="T531" s="1350"/>
      <c r="U531" s="1350"/>
      <c r="V531" s="1350"/>
      <c r="W531" s="1350"/>
      <c r="X531" s="1350"/>
      <c r="Y531" s="1350"/>
      <c r="Z531" s="1350"/>
      <c r="AA531" s="1350"/>
      <c r="AB531" s="1350"/>
      <c r="AC531" s="1350"/>
      <c r="AD531" s="1350"/>
      <c r="AE531" s="1350"/>
      <c r="AF531" s="1350"/>
      <c r="AG531" s="1350"/>
      <c r="AH531" s="1350"/>
      <c r="AI531" s="1350"/>
      <c r="AJ531" s="1350"/>
      <c r="AK531" s="1350"/>
      <c r="AL531" s="1350"/>
      <c r="AM531" s="1350"/>
      <c r="AN531" s="1350"/>
      <c r="AO531" s="1350"/>
      <c r="AP531" s="1350"/>
      <c r="AQ531" s="1350"/>
      <c r="AR531" s="1350"/>
      <c r="AS531" s="1350"/>
      <c r="AT531" s="1350"/>
      <c r="AU531" s="1350"/>
      <c r="AV531" s="1350"/>
      <c r="AW531" s="1350"/>
      <c r="AX531" s="1350"/>
      <c r="AY531" s="1350"/>
      <c r="AZ531" s="1350"/>
      <c r="BA531" s="1070"/>
      <c r="BB531" s="1070"/>
      <c r="BC531" s="1070"/>
      <c r="BD531" s="1070"/>
      <c r="BE531" s="1070"/>
      <c r="BF531" s="1070"/>
      <c r="BG531" s="1070"/>
      <c r="BH531" s="1070"/>
      <c r="BI531" s="1070"/>
      <c r="BJ531" s="1070"/>
      <c r="BK531" s="1070"/>
      <c r="BL531" s="1070"/>
      <c r="BM531" s="1070"/>
      <c r="BN531" s="1070"/>
      <c r="BO531" s="1070"/>
      <c r="BP531" s="1070"/>
      <c r="BQ531" s="1070"/>
      <c r="BR531" s="1070"/>
      <c r="BS531" s="1070"/>
      <c r="BT531" s="1070"/>
      <c r="BU531" s="1070"/>
      <c r="BV531" s="1070"/>
      <c r="BW531" s="1070"/>
      <c r="BX531" s="1070"/>
      <c r="BY531" s="1070"/>
      <c r="BZ531" s="1070"/>
      <c r="CA531" s="1070"/>
      <c r="CB531" s="1070"/>
      <c r="CC531" s="1070"/>
      <c r="CD531" s="1070"/>
      <c r="CE531" s="1070"/>
      <c r="CF531" s="1070"/>
      <c r="CG531" s="1070"/>
      <c r="CH531" s="1070"/>
      <c r="CI531" s="1070"/>
      <c r="CJ531" s="1070"/>
      <c r="CK531" s="1070"/>
      <c r="CL531" s="1070"/>
      <c r="CM531" s="1070"/>
      <c r="CN531" s="1070"/>
      <c r="CO531" s="1070"/>
      <c r="CP531" s="1070"/>
      <c r="CQ531" s="1070"/>
      <c r="CR531" s="1070"/>
      <c r="CS531" s="1070"/>
      <c r="CT531" s="1070"/>
      <c r="CU531" s="1070"/>
      <c r="CV531" s="1070"/>
      <c r="CW531" s="1070"/>
      <c r="CX531" s="1070"/>
      <c r="CY531" s="1070"/>
      <c r="CZ531" s="1070"/>
      <c r="DA531" s="1070"/>
      <c r="DB531" s="1070"/>
      <c r="DC531" s="1070"/>
      <c r="DD531" s="1070"/>
      <c r="DE531" s="1070"/>
      <c r="DF531" s="1070"/>
      <c r="DG531" s="1070"/>
      <c r="DH531" s="1070"/>
      <c r="DI531" s="1070"/>
    </row>
    <row r="532" spans="1:113" ht="15.75" x14ac:dyDescent="0.25">
      <c r="A532" s="1456" t="s">
        <v>4355</v>
      </c>
      <c r="B532" s="1423" t="e">
        <f>1.5*B306</f>
        <v>#REF!</v>
      </c>
      <c r="C532" s="1429"/>
      <c r="D532" s="1136"/>
      <c r="E532" s="1437"/>
      <c r="F532" s="1437"/>
      <c r="G532" s="1437"/>
      <c r="H532" s="1350"/>
      <c r="I532" s="1350"/>
      <c r="J532" s="1350"/>
      <c r="K532" s="1350"/>
      <c r="L532" s="1350"/>
      <c r="M532" s="1350"/>
      <c r="N532" s="1350"/>
      <c r="O532" s="1350"/>
      <c r="P532" s="1350"/>
      <c r="Q532" s="1350"/>
      <c r="R532" s="1350"/>
      <c r="S532" s="1350"/>
      <c r="T532" s="1350"/>
      <c r="U532" s="1350"/>
      <c r="V532" s="1350"/>
      <c r="W532" s="1350"/>
      <c r="X532" s="1350"/>
      <c r="Y532" s="1350"/>
      <c r="Z532" s="1350"/>
      <c r="AA532" s="1350"/>
      <c r="AB532" s="1350"/>
      <c r="AC532" s="1350"/>
      <c r="AD532" s="1350"/>
      <c r="AE532" s="1350"/>
      <c r="AF532" s="1350"/>
      <c r="AG532" s="1350"/>
      <c r="AH532" s="1350"/>
      <c r="AI532" s="1350"/>
      <c r="AJ532" s="1350"/>
      <c r="AK532" s="1350"/>
      <c r="AL532" s="1350"/>
      <c r="AM532" s="1350"/>
      <c r="AN532" s="1350"/>
      <c r="AO532" s="1350"/>
      <c r="AP532" s="1350"/>
      <c r="AQ532" s="1350"/>
      <c r="AR532" s="1350"/>
      <c r="AS532" s="1350"/>
      <c r="AT532" s="1350"/>
      <c r="AU532" s="1350"/>
      <c r="AV532" s="1350"/>
      <c r="AW532" s="1350"/>
      <c r="AX532" s="1350"/>
      <c r="AY532" s="1350"/>
      <c r="AZ532" s="1350"/>
      <c r="BA532" s="1070"/>
      <c r="BB532" s="1070"/>
      <c r="BC532" s="1070"/>
      <c r="BD532" s="1070"/>
      <c r="BE532" s="1070"/>
      <c r="BF532" s="1070"/>
      <c r="BG532" s="1070"/>
      <c r="BH532" s="1070"/>
      <c r="BI532" s="1070"/>
      <c r="BJ532" s="1070"/>
      <c r="BK532" s="1070"/>
      <c r="BL532" s="1070"/>
      <c r="BM532" s="1070"/>
      <c r="BN532" s="1070"/>
      <c r="BO532" s="1070"/>
      <c r="BP532" s="1070"/>
      <c r="BQ532" s="1070"/>
      <c r="BR532" s="1070"/>
      <c r="BS532" s="1070"/>
      <c r="BT532" s="1070"/>
      <c r="BU532" s="1070"/>
      <c r="BV532" s="1070"/>
      <c r="BW532" s="1070"/>
      <c r="BX532" s="1070"/>
      <c r="BY532" s="1070"/>
      <c r="BZ532" s="1070"/>
      <c r="CA532" s="1070"/>
      <c r="CB532" s="1070"/>
      <c r="CC532" s="1070"/>
      <c r="CD532" s="1070"/>
      <c r="CE532" s="1070"/>
      <c r="CF532" s="1070"/>
      <c r="CG532" s="1070"/>
      <c r="CH532" s="1070"/>
      <c r="CI532" s="1070"/>
      <c r="CJ532" s="1070"/>
      <c r="CK532" s="1070"/>
      <c r="CL532" s="1070"/>
      <c r="CM532" s="1070"/>
      <c r="CN532" s="1070"/>
      <c r="CO532" s="1070"/>
      <c r="CP532" s="1070"/>
      <c r="CQ532" s="1070"/>
      <c r="CR532" s="1070"/>
      <c r="CS532" s="1070"/>
      <c r="CT532" s="1070"/>
      <c r="CU532" s="1070"/>
      <c r="CV532" s="1070"/>
      <c r="CW532" s="1070"/>
      <c r="CX532" s="1070"/>
      <c r="CY532" s="1070"/>
      <c r="CZ532" s="1070"/>
      <c r="DA532" s="1070"/>
      <c r="DB532" s="1070"/>
      <c r="DC532" s="1070"/>
      <c r="DD532" s="1070"/>
      <c r="DE532" s="1070"/>
      <c r="DF532" s="1070"/>
      <c r="DG532" s="1070"/>
      <c r="DH532" s="1070"/>
      <c r="DI532" s="1070"/>
    </row>
    <row r="533" spans="1:113" ht="15.75" x14ac:dyDescent="0.25">
      <c r="A533" s="1430" t="s">
        <v>4356</v>
      </c>
      <c r="B533" s="1433" t="e">
        <f>IF(B532&lt;6.1,0.85,0.9)</f>
        <v>#REF!</v>
      </c>
      <c r="C533" s="1437"/>
      <c r="D533" s="1350"/>
      <c r="E533" s="1350"/>
      <c r="F533" s="1350"/>
      <c r="G533" s="1350"/>
      <c r="H533" s="1350"/>
      <c r="I533" s="1350"/>
      <c r="J533" s="1350"/>
      <c r="K533" s="1350"/>
      <c r="L533" s="1350"/>
      <c r="M533" s="1350"/>
      <c r="N533" s="1350"/>
      <c r="O533" s="1350"/>
      <c r="P533" s="1350"/>
      <c r="Q533" s="1350"/>
      <c r="R533" s="1350"/>
      <c r="S533" s="1350"/>
      <c r="T533" s="1350"/>
      <c r="U533" s="1350"/>
      <c r="V533" s="1350"/>
      <c r="W533" s="1350"/>
      <c r="X533" s="1350"/>
      <c r="Y533" s="1350"/>
      <c r="Z533" s="1350"/>
      <c r="AA533" s="1350"/>
      <c r="AB533" s="1350"/>
      <c r="AC533" s="1350"/>
      <c r="AD533" s="1350"/>
      <c r="AE533" s="1350"/>
      <c r="AF533" s="1350"/>
      <c r="AG533" s="1350"/>
      <c r="AH533" s="1350"/>
      <c r="AI533" s="1350"/>
      <c r="AJ533" s="1350"/>
      <c r="AK533" s="1350"/>
      <c r="AL533" s="1350"/>
      <c r="AM533" s="1350"/>
      <c r="AN533" s="1350"/>
      <c r="AO533" s="1350"/>
      <c r="AP533" s="1350"/>
      <c r="AQ533" s="1350"/>
      <c r="AR533" s="1350"/>
      <c r="AS533" s="1350"/>
      <c r="AT533" s="1350"/>
      <c r="AU533" s="1350"/>
      <c r="AV533" s="1350"/>
      <c r="AW533" s="1350"/>
      <c r="AX533" s="1350"/>
      <c r="AY533" s="1350"/>
      <c r="AZ533" s="1350"/>
      <c r="BA533" s="1070"/>
      <c r="BB533" s="1070"/>
      <c r="BC533" s="1070"/>
      <c r="BD533" s="1070"/>
      <c r="BE533" s="1070"/>
      <c r="BF533" s="1070"/>
      <c r="BG533" s="1070"/>
      <c r="BH533" s="1070"/>
      <c r="BI533" s="1070"/>
      <c r="BJ533" s="1070"/>
      <c r="BK533" s="1070"/>
      <c r="BL533" s="1070"/>
      <c r="BM533" s="1070"/>
      <c r="BN533" s="1070"/>
      <c r="BO533" s="1070"/>
      <c r="BP533" s="1070"/>
      <c r="BQ533" s="1070"/>
      <c r="BR533" s="1070"/>
      <c r="BS533" s="1070"/>
      <c r="BT533" s="1070"/>
      <c r="BU533" s="1070"/>
      <c r="BV533" s="1070"/>
      <c r="BW533" s="1070"/>
      <c r="BX533" s="1070"/>
      <c r="BY533" s="1070"/>
      <c r="BZ533" s="1070"/>
      <c r="CA533" s="1070"/>
      <c r="CB533" s="1070"/>
      <c r="CC533" s="1070"/>
      <c r="CD533" s="1070"/>
      <c r="CE533" s="1070"/>
      <c r="CF533" s="1070"/>
      <c r="CG533" s="1070"/>
      <c r="CH533" s="1070"/>
      <c r="CI533" s="1070"/>
      <c r="CJ533" s="1070"/>
      <c r="CK533" s="1070"/>
      <c r="CL533" s="1070"/>
      <c r="CM533" s="1070"/>
      <c r="CN533" s="1070"/>
      <c r="CO533" s="1070"/>
      <c r="CP533" s="1070"/>
      <c r="CQ533" s="1070"/>
      <c r="CR533" s="1070"/>
      <c r="CS533" s="1070"/>
      <c r="CT533" s="1070"/>
      <c r="CU533" s="1070"/>
      <c r="CV533" s="1070"/>
      <c r="CW533" s="1070"/>
      <c r="CX533" s="1070"/>
      <c r="CY533" s="1070"/>
      <c r="CZ533" s="1070"/>
      <c r="DA533" s="1070"/>
      <c r="DB533" s="1070"/>
      <c r="DC533" s="1070"/>
      <c r="DD533" s="1070"/>
      <c r="DE533" s="1070"/>
      <c r="DF533" s="1070"/>
      <c r="DG533" s="1070"/>
      <c r="DH533" s="1070"/>
      <c r="DI533" s="1070"/>
    </row>
    <row r="534" spans="1:113" ht="15.75" x14ac:dyDescent="0.25">
      <c r="A534" s="1430" t="s">
        <v>4357</v>
      </c>
      <c r="B534" s="1433" t="e">
        <f>B340</f>
        <v>#VALUE!</v>
      </c>
      <c r="C534" s="1437"/>
      <c r="D534" s="1350"/>
      <c r="E534" s="1350"/>
      <c r="F534" s="1350"/>
      <c r="G534" s="1350"/>
      <c r="H534" s="1350"/>
      <c r="I534" s="1350"/>
      <c r="J534" s="1350"/>
      <c r="K534" s="1350"/>
      <c r="L534" s="1350"/>
      <c r="M534" s="1350"/>
      <c r="N534" s="1350"/>
      <c r="O534" s="1350"/>
      <c r="P534" s="1350"/>
      <c r="Q534" s="1350"/>
      <c r="R534" s="1350"/>
      <c r="S534" s="1350"/>
      <c r="T534" s="1350"/>
      <c r="U534" s="1350"/>
      <c r="V534" s="1350"/>
      <c r="W534" s="1350"/>
      <c r="X534" s="1350"/>
      <c r="Y534" s="1350"/>
      <c r="Z534" s="1350"/>
      <c r="AA534" s="1350"/>
      <c r="AB534" s="1350"/>
      <c r="AC534" s="1350"/>
      <c r="AD534" s="1350"/>
      <c r="AE534" s="1350"/>
      <c r="AF534" s="1350"/>
      <c r="AG534" s="1350"/>
      <c r="AH534" s="1350"/>
      <c r="AI534" s="1350"/>
      <c r="AJ534" s="1350"/>
      <c r="AK534" s="1350"/>
      <c r="AL534" s="1350"/>
      <c r="AM534" s="1350"/>
      <c r="AN534" s="1350"/>
      <c r="AO534" s="1350"/>
      <c r="AP534" s="1350"/>
      <c r="AQ534" s="1350"/>
      <c r="AR534" s="1350"/>
      <c r="AS534" s="1350"/>
      <c r="AT534" s="1350"/>
      <c r="AU534" s="1350"/>
      <c r="AV534" s="1350"/>
      <c r="AW534" s="1350"/>
      <c r="AX534" s="1350"/>
      <c r="AY534" s="1350"/>
      <c r="AZ534" s="1350"/>
      <c r="BA534" s="1070"/>
      <c r="BB534" s="1070"/>
      <c r="BC534" s="1070"/>
      <c r="BD534" s="1070"/>
      <c r="BE534" s="1070"/>
      <c r="BF534" s="1070"/>
      <c r="BG534" s="1070"/>
      <c r="BH534" s="1070"/>
      <c r="BI534" s="1070"/>
      <c r="BJ534" s="1070"/>
      <c r="BK534" s="1070"/>
      <c r="BL534" s="1070"/>
      <c r="BM534" s="1070"/>
      <c r="BN534" s="1070"/>
      <c r="BO534" s="1070"/>
      <c r="BP534" s="1070"/>
      <c r="BQ534" s="1070"/>
      <c r="BR534" s="1070"/>
      <c r="BS534" s="1070"/>
      <c r="BT534" s="1070"/>
      <c r="BU534" s="1070"/>
      <c r="BV534" s="1070"/>
      <c r="BW534" s="1070"/>
      <c r="BX534" s="1070"/>
      <c r="BY534" s="1070"/>
      <c r="BZ534" s="1070"/>
      <c r="CA534" s="1070"/>
      <c r="CB534" s="1070"/>
      <c r="CC534" s="1070"/>
      <c r="CD534" s="1070"/>
      <c r="CE534" s="1070"/>
      <c r="CF534" s="1070"/>
      <c r="CG534" s="1070"/>
      <c r="CH534" s="1070"/>
      <c r="CI534" s="1070"/>
      <c r="CJ534" s="1070"/>
      <c r="CK534" s="1070"/>
      <c r="CL534" s="1070"/>
      <c r="CM534" s="1070"/>
      <c r="CN534" s="1070"/>
      <c r="CO534" s="1070"/>
      <c r="CP534" s="1070"/>
      <c r="CQ534" s="1070"/>
      <c r="CR534" s="1070"/>
      <c r="CS534" s="1070"/>
      <c r="CT534" s="1070"/>
      <c r="CU534" s="1070"/>
      <c r="CV534" s="1070"/>
      <c r="CW534" s="1070"/>
      <c r="CX534" s="1070"/>
      <c r="CY534" s="1070"/>
      <c r="CZ534" s="1070"/>
      <c r="DA534" s="1070"/>
      <c r="DB534" s="1070"/>
      <c r="DC534" s="1070"/>
      <c r="DD534" s="1070"/>
      <c r="DE534" s="1070"/>
      <c r="DF534" s="1070"/>
      <c r="DG534" s="1070"/>
      <c r="DH534" s="1070"/>
      <c r="DI534" s="1070"/>
    </row>
    <row r="535" spans="1:113" ht="15.75" x14ac:dyDescent="0.25">
      <c r="A535" s="1430" t="s">
        <v>4358</v>
      </c>
      <c r="B535" s="1479">
        <v>0.7</v>
      </c>
      <c r="C535" s="1458"/>
      <c r="D535" s="1432"/>
      <c r="E535" s="1432"/>
      <c r="F535" s="1432"/>
      <c r="G535" s="1432"/>
      <c r="H535" s="1350"/>
      <c r="I535" s="1350"/>
      <c r="J535" s="1350"/>
      <c r="K535" s="1350"/>
      <c r="L535" s="1350"/>
      <c r="M535" s="1350"/>
      <c r="N535" s="1350"/>
      <c r="O535" s="1350"/>
      <c r="P535" s="1350"/>
      <c r="Q535" s="1350"/>
      <c r="R535" s="1350"/>
      <c r="S535" s="1350"/>
      <c r="T535" s="1350"/>
      <c r="U535" s="1350"/>
      <c r="V535" s="1350"/>
      <c r="W535" s="1350"/>
      <c r="X535" s="1350"/>
      <c r="Y535" s="1350"/>
      <c r="Z535" s="1350"/>
      <c r="AA535" s="1350"/>
      <c r="AB535" s="1350"/>
      <c r="AC535" s="1350"/>
      <c r="AD535" s="1350"/>
      <c r="AE535" s="1350"/>
      <c r="AF535" s="1350"/>
      <c r="AG535" s="1350"/>
      <c r="AH535" s="1350"/>
      <c r="AI535" s="1350"/>
      <c r="AJ535" s="1350"/>
      <c r="AK535" s="1350"/>
      <c r="AL535" s="1350"/>
      <c r="AM535" s="1350"/>
      <c r="AN535" s="1350"/>
      <c r="AO535" s="1350"/>
      <c r="AP535" s="1350"/>
      <c r="AQ535" s="1350"/>
      <c r="AR535" s="1350"/>
      <c r="AS535" s="1350"/>
      <c r="AT535" s="1350"/>
      <c r="AU535" s="1350"/>
      <c r="AV535" s="1350"/>
      <c r="AW535" s="1350"/>
      <c r="AX535" s="1350"/>
      <c r="AY535" s="1350"/>
      <c r="AZ535" s="1350"/>
      <c r="BA535" s="1070"/>
      <c r="BB535" s="1070"/>
      <c r="BC535" s="1070"/>
      <c r="BD535" s="1070"/>
      <c r="BE535" s="1070"/>
      <c r="BF535" s="1070"/>
      <c r="BG535" s="1070"/>
      <c r="BH535" s="1070"/>
      <c r="BI535" s="1070"/>
      <c r="BJ535" s="1070"/>
      <c r="BK535" s="1070"/>
      <c r="BL535" s="1070"/>
      <c r="BM535" s="1070"/>
      <c r="BN535" s="1070"/>
      <c r="BO535" s="1070"/>
      <c r="BP535" s="1070"/>
      <c r="BQ535" s="1070"/>
      <c r="BR535" s="1070"/>
      <c r="BS535" s="1070"/>
      <c r="BT535" s="1070"/>
      <c r="BU535" s="1070"/>
      <c r="BV535" s="1070"/>
      <c r="BW535" s="1070"/>
      <c r="BX535" s="1070"/>
      <c r="BY535" s="1070"/>
      <c r="BZ535" s="1070"/>
      <c r="CA535" s="1070"/>
      <c r="CB535" s="1070"/>
      <c r="CC535" s="1070"/>
      <c r="CD535" s="1070"/>
      <c r="CE535" s="1070"/>
      <c r="CF535" s="1070"/>
      <c r="CG535" s="1070"/>
      <c r="CH535" s="1070"/>
      <c r="CI535" s="1070"/>
      <c r="CJ535" s="1070"/>
      <c r="CK535" s="1070"/>
      <c r="CL535" s="1070"/>
      <c r="CM535" s="1070"/>
      <c r="CN535" s="1070"/>
      <c r="CO535" s="1070"/>
      <c r="CP535" s="1070"/>
      <c r="CQ535" s="1070"/>
      <c r="CR535" s="1070"/>
      <c r="CS535" s="1070"/>
      <c r="CT535" s="1070"/>
      <c r="CU535" s="1070"/>
      <c r="CV535" s="1070"/>
      <c r="CW535" s="1070"/>
      <c r="CX535" s="1070"/>
      <c r="CY535" s="1070"/>
      <c r="CZ535" s="1070"/>
      <c r="DA535" s="1070"/>
      <c r="DB535" s="1070"/>
      <c r="DC535" s="1070"/>
      <c r="DD535" s="1070"/>
      <c r="DE535" s="1070"/>
      <c r="DF535" s="1070"/>
      <c r="DG535" s="1070"/>
      <c r="DH535" s="1070"/>
      <c r="DI535" s="1070"/>
    </row>
    <row r="536" spans="1:113" ht="31.5" x14ac:dyDescent="0.25">
      <c r="A536" s="1471" t="s">
        <v>4359</v>
      </c>
      <c r="B536" s="1469">
        <v>0</v>
      </c>
      <c r="C536" s="1470"/>
      <c r="D536" s="1429"/>
      <c r="E536" s="1429"/>
      <c r="F536" s="1429"/>
      <c r="G536" s="1429"/>
      <c r="H536" s="1350"/>
      <c r="I536" s="1350"/>
      <c r="J536" s="1350"/>
      <c r="K536" s="1350"/>
      <c r="L536" s="1350"/>
      <c r="M536" s="1350"/>
      <c r="N536" s="1350"/>
      <c r="O536" s="1350"/>
      <c r="P536" s="1350"/>
      <c r="Q536" s="1350"/>
      <c r="R536" s="1350"/>
      <c r="S536" s="1350"/>
      <c r="T536" s="1350"/>
      <c r="U536" s="1350"/>
      <c r="V536" s="1350"/>
      <c r="W536" s="1350"/>
      <c r="X536" s="1350"/>
      <c r="Y536" s="1350"/>
      <c r="Z536" s="1350"/>
      <c r="AA536" s="1350"/>
      <c r="AB536" s="1350"/>
      <c r="AC536" s="1350"/>
      <c r="AD536" s="1350"/>
      <c r="AE536" s="1350"/>
      <c r="AF536" s="1350"/>
      <c r="AG536" s="1350"/>
      <c r="AH536" s="1350"/>
      <c r="AI536" s="1350"/>
      <c r="AJ536" s="1350"/>
      <c r="AK536" s="1350"/>
      <c r="AL536" s="1350"/>
      <c r="AM536" s="1350"/>
      <c r="AN536" s="1350"/>
      <c r="AO536" s="1350"/>
      <c r="AP536" s="1350"/>
      <c r="AQ536" s="1350"/>
      <c r="AR536" s="1350"/>
      <c r="AS536" s="1350"/>
      <c r="AT536" s="1350"/>
      <c r="AU536" s="1350"/>
      <c r="AV536" s="1350"/>
      <c r="AW536" s="1350"/>
      <c r="AX536" s="1350"/>
      <c r="AY536" s="1350"/>
      <c r="AZ536" s="1350"/>
      <c r="BA536" s="1070"/>
      <c r="BB536" s="1070"/>
      <c r="BC536" s="1070"/>
      <c r="BD536" s="1070"/>
      <c r="BE536" s="1070"/>
      <c r="BF536" s="1070"/>
      <c r="BG536" s="1070"/>
      <c r="BH536" s="1070"/>
      <c r="BI536" s="1070"/>
      <c r="BJ536" s="1070"/>
      <c r="BK536" s="1070"/>
      <c r="BL536" s="1070"/>
      <c r="BM536" s="1070"/>
      <c r="BN536" s="1070"/>
      <c r="BO536" s="1070"/>
      <c r="BP536" s="1070"/>
      <c r="BQ536" s="1070"/>
      <c r="BR536" s="1070"/>
      <c r="BS536" s="1070"/>
      <c r="BT536" s="1070"/>
      <c r="BU536" s="1070"/>
      <c r="BV536" s="1070"/>
      <c r="BW536" s="1070"/>
      <c r="BX536" s="1070"/>
      <c r="BY536" s="1070"/>
      <c r="BZ536" s="1070"/>
      <c r="CA536" s="1070"/>
      <c r="CB536" s="1070"/>
      <c r="CC536" s="1070"/>
      <c r="CD536" s="1070"/>
      <c r="CE536" s="1070"/>
      <c r="CF536" s="1070"/>
      <c r="CG536" s="1070"/>
      <c r="CH536" s="1070"/>
      <c r="CI536" s="1070"/>
      <c r="CJ536" s="1070"/>
      <c r="CK536" s="1070"/>
      <c r="CL536" s="1070"/>
      <c r="CM536" s="1070"/>
      <c r="CN536" s="1070"/>
      <c r="CO536" s="1070"/>
      <c r="CP536" s="1070"/>
      <c r="CQ536" s="1070"/>
      <c r="CR536" s="1070"/>
      <c r="CS536" s="1070"/>
      <c r="CT536" s="1070"/>
      <c r="CU536" s="1070"/>
      <c r="CV536" s="1070"/>
      <c r="CW536" s="1070"/>
      <c r="CX536" s="1070"/>
      <c r="CY536" s="1070"/>
      <c r="CZ536" s="1070"/>
      <c r="DA536" s="1070"/>
      <c r="DB536" s="1070"/>
      <c r="DC536" s="1070"/>
      <c r="DD536" s="1070"/>
      <c r="DE536" s="1070"/>
      <c r="DF536" s="1070"/>
      <c r="DG536" s="1070"/>
      <c r="DH536" s="1070"/>
      <c r="DI536" s="1070"/>
    </row>
    <row r="537" spans="1:113" ht="15.75" x14ac:dyDescent="0.25">
      <c r="A537" s="1430" t="s">
        <v>4360</v>
      </c>
      <c r="B537" s="1433">
        <f>IF(B536=0,1.15,1.1)</f>
        <v>1.1499999999999999</v>
      </c>
      <c r="C537" s="1437"/>
      <c r="D537" s="1429"/>
      <c r="E537" s="1429"/>
      <c r="F537" s="1429"/>
      <c r="G537" s="1429"/>
      <c r="H537" s="1350"/>
      <c r="I537" s="1350"/>
      <c r="J537" s="1350"/>
      <c r="K537" s="1350"/>
      <c r="L537" s="1350"/>
      <c r="M537" s="1350"/>
      <c r="N537" s="1350"/>
      <c r="O537" s="1350"/>
      <c r="P537" s="1350"/>
      <c r="Q537" s="1350"/>
      <c r="R537" s="1350"/>
      <c r="S537" s="1350"/>
      <c r="T537" s="1350"/>
      <c r="U537" s="1350"/>
      <c r="V537" s="1350"/>
      <c r="W537" s="1350"/>
      <c r="X537" s="1350"/>
      <c r="Y537" s="1350"/>
      <c r="Z537" s="1350"/>
      <c r="AA537" s="1350"/>
      <c r="AB537" s="1350"/>
      <c r="AC537" s="1350"/>
      <c r="AD537" s="1350"/>
      <c r="AE537" s="1350"/>
      <c r="AF537" s="1350"/>
      <c r="AG537" s="1350"/>
      <c r="AH537" s="1350"/>
      <c r="AI537" s="1350"/>
      <c r="AJ537" s="1350"/>
      <c r="AK537" s="1350"/>
      <c r="AL537" s="1350"/>
      <c r="AM537" s="1350"/>
      <c r="AN537" s="1350"/>
      <c r="AO537" s="1350"/>
      <c r="AP537" s="1350"/>
      <c r="AQ537" s="1350"/>
      <c r="AR537" s="1350"/>
      <c r="AS537" s="1350"/>
      <c r="AT537" s="1350"/>
      <c r="AU537" s="1350"/>
      <c r="AV537" s="1350"/>
      <c r="AW537" s="1350"/>
      <c r="AX537" s="1350"/>
      <c r="AY537" s="1350"/>
      <c r="AZ537" s="1350"/>
      <c r="BA537" s="1070"/>
      <c r="BB537" s="1070"/>
      <c r="BC537" s="1070"/>
      <c r="BD537" s="1070"/>
      <c r="BE537" s="1070"/>
      <c r="BF537" s="1070"/>
      <c r="BG537" s="1070"/>
      <c r="BH537" s="1070"/>
      <c r="BI537" s="1070"/>
      <c r="BJ537" s="1070"/>
      <c r="BK537" s="1070"/>
      <c r="BL537" s="1070"/>
      <c r="BM537" s="1070"/>
      <c r="BN537" s="1070"/>
      <c r="BO537" s="1070"/>
      <c r="BP537" s="1070"/>
      <c r="BQ537" s="1070"/>
      <c r="BR537" s="1070"/>
      <c r="BS537" s="1070"/>
      <c r="BT537" s="1070"/>
      <c r="BU537" s="1070"/>
      <c r="BV537" s="1070"/>
      <c r="BW537" s="1070"/>
      <c r="BX537" s="1070"/>
      <c r="BY537" s="1070"/>
      <c r="BZ537" s="1070"/>
      <c r="CA537" s="1070"/>
      <c r="CB537" s="1070"/>
      <c r="CC537" s="1070"/>
      <c r="CD537" s="1070"/>
      <c r="CE537" s="1070"/>
      <c r="CF537" s="1070"/>
      <c r="CG537" s="1070"/>
      <c r="CH537" s="1070"/>
      <c r="CI537" s="1070"/>
      <c r="CJ537" s="1070"/>
      <c r="CK537" s="1070"/>
      <c r="CL537" s="1070"/>
      <c r="CM537" s="1070"/>
      <c r="CN537" s="1070"/>
      <c r="CO537" s="1070"/>
      <c r="CP537" s="1070"/>
      <c r="CQ537" s="1070"/>
      <c r="CR537" s="1070"/>
      <c r="CS537" s="1070"/>
      <c r="CT537" s="1070"/>
      <c r="CU537" s="1070"/>
      <c r="CV537" s="1070"/>
      <c r="CW537" s="1070"/>
      <c r="CX537" s="1070"/>
      <c r="CY537" s="1070"/>
      <c r="CZ537" s="1070"/>
      <c r="DA537" s="1070"/>
      <c r="DB537" s="1070"/>
      <c r="DC537" s="1070"/>
      <c r="DD537" s="1070"/>
      <c r="DE537" s="1070"/>
      <c r="DF537" s="1070"/>
      <c r="DG537" s="1070"/>
      <c r="DH537" s="1070"/>
      <c r="DI537" s="1070"/>
    </row>
    <row r="538" spans="1:113" ht="47.25" x14ac:dyDescent="0.25">
      <c r="A538" s="1471" t="s">
        <v>4361</v>
      </c>
      <c r="B538" s="1423" t="e">
        <f>(B321/B286)*100</f>
        <v>#VALUE!</v>
      </c>
      <c r="C538" s="1429"/>
      <c r="D538" s="1350"/>
      <c r="E538" s="1350"/>
      <c r="F538" s="1350"/>
      <c r="G538" s="1350"/>
      <c r="H538" s="1350"/>
      <c r="I538" s="1350"/>
      <c r="J538" s="1350"/>
      <c r="K538" s="1350"/>
      <c r="L538" s="1350"/>
      <c r="M538" s="1350"/>
      <c r="N538" s="1350"/>
      <c r="O538" s="1350"/>
      <c r="P538" s="1350"/>
      <c r="Q538" s="1350"/>
      <c r="R538" s="1350"/>
      <c r="S538" s="1350"/>
      <c r="T538" s="1350"/>
      <c r="U538" s="1350"/>
      <c r="V538" s="1350"/>
      <c r="W538" s="1350"/>
      <c r="X538" s="1350"/>
      <c r="Y538" s="1350"/>
      <c r="Z538" s="1350"/>
      <c r="AA538" s="1350"/>
      <c r="AB538" s="1350"/>
      <c r="AC538" s="1350"/>
      <c r="AD538" s="1350"/>
      <c r="AE538" s="1350"/>
      <c r="AF538" s="1350"/>
      <c r="AG538" s="1350"/>
      <c r="AH538" s="1350"/>
      <c r="AI538" s="1350"/>
      <c r="AJ538" s="1350"/>
      <c r="AK538" s="1350"/>
      <c r="AL538" s="1350"/>
      <c r="AM538" s="1350"/>
      <c r="AN538" s="1350"/>
      <c r="AO538" s="1350"/>
      <c r="AP538" s="1350"/>
      <c r="AQ538" s="1350"/>
      <c r="AR538" s="1350"/>
      <c r="AS538" s="1350"/>
      <c r="AT538" s="1350"/>
      <c r="AU538" s="1350"/>
      <c r="AV538" s="1350"/>
      <c r="AW538" s="1350"/>
      <c r="AX538" s="1350"/>
      <c r="AY538" s="1350"/>
      <c r="AZ538" s="1350"/>
      <c r="BA538" s="1070"/>
      <c r="BB538" s="1070"/>
      <c r="BC538" s="1070"/>
      <c r="BD538" s="1070"/>
      <c r="BE538" s="1070"/>
      <c r="BF538" s="1070"/>
      <c r="BG538" s="1070"/>
      <c r="BH538" s="1070"/>
      <c r="BI538" s="1070"/>
      <c r="BJ538" s="1070"/>
      <c r="BK538" s="1070"/>
      <c r="BL538" s="1070"/>
      <c r="BM538" s="1070"/>
      <c r="BN538" s="1070"/>
      <c r="BO538" s="1070"/>
      <c r="BP538" s="1070"/>
      <c r="BQ538" s="1070"/>
      <c r="BR538" s="1070"/>
      <c r="BS538" s="1070"/>
      <c r="BT538" s="1070"/>
      <c r="BU538" s="1070"/>
      <c r="BV538" s="1070"/>
      <c r="BW538" s="1070"/>
      <c r="BX538" s="1070"/>
      <c r="BY538" s="1070"/>
      <c r="BZ538" s="1070"/>
      <c r="CA538" s="1070"/>
      <c r="CB538" s="1070"/>
      <c r="CC538" s="1070"/>
      <c r="CD538" s="1070"/>
      <c r="CE538" s="1070"/>
      <c r="CF538" s="1070"/>
      <c r="CG538" s="1070"/>
      <c r="CH538" s="1070"/>
      <c r="CI538" s="1070"/>
      <c r="CJ538" s="1070"/>
      <c r="CK538" s="1070"/>
      <c r="CL538" s="1070"/>
      <c r="CM538" s="1070"/>
      <c r="CN538" s="1070"/>
      <c r="CO538" s="1070"/>
      <c r="CP538" s="1070"/>
      <c r="CQ538" s="1070"/>
      <c r="CR538" s="1070"/>
      <c r="CS538" s="1070"/>
      <c r="CT538" s="1070"/>
      <c r="CU538" s="1070"/>
      <c r="CV538" s="1070"/>
      <c r="CW538" s="1070"/>
      <c r="CX538" s="1070"/>
      <c r="CY538" s="1070"/>
      <c r="CZ538" s="1070"/>
      <c r="DA538" s="1070"/>
      <c r="DB538" s="1070"/>
      <c r="DC538" s="1070"/>
      <c r="DD538" s="1070"/>
      <c r="DE538" s="1070"/>
      <c r="DF538" s="1070"/>
      <c r="DG538" s="1070"/>
      <c r="DH538" s="1070"/>
      <c r="DI538" s="1070"/>
    </row>
    <row r="539" spans="1:113" ht="63" x14ac:dyDescent="0.25">
      <c r="A539" s="1420" t="s">
        <v>4362</v>
      </c>
      <c r="B539" s="1433" t="e">
        <f>IF(B538&lt;10.1,0.9,IF(B538&lt;20.1,0.8,IF(B538&lt;30.1,0.7,0.6)))</f>
        <v>#VALUE!</v>
      </c>
      <c r="C539" s="1437"/>
      <c r="D539" s="1429"/>
      <c r="E539" s="1429"/>
      <c r="F539" s="1429"/>
      <c r="G539" s="1429"/>
      <c r="H539" s="1350"/>
      <c r="I539" s="1350"/>
      <c r="J539" s="1350"/>
      <c r="K539" s="1350"/>
      <c r="L539" s="1350"/>
      <c r="M539" s="1350"/>
      <c r="N539" s="1350"/>
      <c r="O539" s="1350"/>
      <c r="P539" s="1350"/>
      <c r="Q539" s="1350"/>
      <c r="R539" s="1350"/>
      <c r="S539" s="1350"/>
      <c r="T539" s="1350"/>
      <c r="U539" s="1350"/>
      <c r="V539" s="1350"/>
      <c r="W539" s="1350"/>
      <c r="X539" s="1350"/>
      <c r="Y539" s="1350"/>
      <c r="Z539" s="1350"/>
      <c r="AA539" s="1350"/>
      <c r="AB539" s="1350"/>
      <c r="AC539" s="1350"/>
      <c r="AD539" s="1350"/>
      <c r="AE539" s="1350"/>
      <c r="AF539" s="1350"/>
      <c r="AG539" s="1350"/>
      <c r="AH539" s="1350"/>
      <c r="AI539" s="1350"/>
      <c r="AJ539" s="1350"/>
      <c r="AK539" s="1350"/>
      <c r="AL539" s="1350"/>
      <c r="AM539" s="1350"/>
      <c r="AN539" s="1350"/>
      <c r="AO539" s="1350"/>
      <c r="AP539" s="1350"/>
      <c r="AQ539" s="1350"/>
      <c r="AR539" s="1350"/>
      <c r="AS539" s="1350"/>
      <c r="AT539" s="1350"/>
      <c r="AU539" s="1350"/>
      <c r="AV539" s="1350"/>
      <c r="AW539" s="1350"/>
      <c r="AX539" s="1350"/>
      <c r="AY539" s="1350"/>
      <c r="AZ539" s="1350"/>
      <c r="BA539" s="1070"/>
      <c r="BB539" s="1070"/>
      <c r="BC539" s="1070"/>
      <c r="BD539" s="1070"/>
      <c r="BE539" s="1070"/>
      <c r="BF539" s="1070"/>
      <c r="BG539" s="1070"/>
      <c r="BH539" s="1070"/>
      <c r="BI539" s="1070"/>
      <c r="BJ539" s="1070"/>
      <c r="BK539" s="1070"/>
      <c r="BL539" s="1070"/>
      <c r="BM539" s="1070"/>
      <c r="BN539" s="1070"/>
      <c r="BO539" s="1070"/>
      <c r="BP539" s="1070"/>
      <c r="BQ539" s="1070"/>
      <c r="BR539" s="1070"/>
      <c r="BS539" s="1070"/>
      <c r="BT539" s="1070"/>
      <c r="BU539" s="1070"/>
      <c r="BV539" s="1070"/>
      <c r="BW539" s="1070"/>
      <c r="BX539" s="1070"/>
      <c r="BY539" s="1070"/>
      <c r="BZ539" s="1070"/>
      <c r="CA539" s="1070"/>
      <c r="CB539" s="1070"/>
      <c r="CC539" s="1070"/>
      <c r="CD539" s="1070"/>
      <c r="CE539" s="1070"/>
      <c r="CF539" s="1070"/>
      <c r="CG539" s="1070"/>
      <c r="CH539" s="1070"/>
      <c r="CI539" s="1070"/>
      <c r="CJ539" s="1070"/>
      <c r="CK539" s="1070"/>
      <c r="CL539" s="1070"/>
      <c r="CM539" s="1070"/>
      <c r="CN539" s="1070"/>
      <c r="CO539" s="1070"/>
      <c r="CP539" s="1070"/>
      <c r="CQ539" s="1070"/>
      <c r="CR539" s="1070"/>
      <c r="CS539" s="1070"/>
      <c r="CT539" s="1070"/>
      <c r="CU539" s="1070"/>
      <c r="CV539" s="1070"/>
      <c r="CW539" s="1070"/>
      <c r="CX539" s="1070"/>
      <c r="CY539" s="1070"/>
      <c r="CZ539" s="1070"/>
      <c r="DA539" s="1070"/>
      <c r="DB539" s="1070"/>
      <c r="DC539" s="1070"/>
      <c r="DD539" s="1070"/>
      <c r="DE539" s="1070"/>
      <c r="DF539" s="1070"/>
      <c r="DG539" s="1070"/>
      <c r="DH539" s="1070"/>
      <c r="DI539" s="1070"/>
    </row>
    <row r="540" spans="1:113" ht="15.75" x14ac:dyDescent="0.25">
      <c r="A540" s="1430" t="s">
        <v>830</v>
      </c>
      <c r="B540" s="1433" t="e">
        <f>B529*B533*B534*B535*B537*B539*B341</f>
        <v>#REF!</v>
      </c>
      <c r="C540" s="1437"/>
      <c r="D540" s="1437"/>
      <c r="E540" s="1437"/>
      <c r="F540" s="1437"/>
      <c r="G540" s="1437"/>
      <c r="H540" s="1350"/>
      <c r="I540" s="1350"/>
      <c r="J540" s="1350"/>
      <c r="K540" s="1350"/>
      <c r="L540" s="1350"/>
      <c r="M540" s="1350"/>
      <c r="N540" s="1350"/>
      <c r="O540" s="1350"/>
      <c r="P540" s="1350"/>
      <c r="Q540" s="1350"/>
      <c r="R540" s="1350"/>
      <c r="S540" s="1350"/>
      <c r="T540" s="1350"/>
      <c r="U540" s="1350"/>
      <c r="V540" s="1350"/>
      <c r="W540" s="1350"/>
      <c r="X540" s="1350"/>
      <c r="Y540" s="1350"/>
      <c r="Z540" s="1350"/>
      <c r="AA540" s="1350"/>
      <c r="AB540" s="1350"/>
      <c r="AC540" s="1350"/>
      <c r="AD540" s="1350"/>
      <c r="AE540" s="1350"/>
      <c r="AF540" s="1350"/>
      <c r="AG540" s="1350"/>
      <c r="AH540" s="1350"/>
      <c r="AI540" s="1350"/>
      <c r="AJ540" s="1350"/>
      <c r="AK540" s="1350"/>
      <c r="AL540" s="1350"/>
      <c r="AM540" s="1350"/>
      <c r="AN540" s="1350"/>
      <c r="AO540" s="1350"/>
      <c r="AP540" s="1350"/>
      <c r="AQ540" s="1350"/>
      <c r="AR540" s="1350"/>
      <c r="AS540" s="1350"/>
      <c r="AT540" s="1350"/>
      <c r="AU540" s="1350"/>
      <c r="AV540" s="1350"/>
      <c r="AW540" s="1350"/>
      <c r="AX540" s="1350"/>
      <c r="AY540" s="1350"/>
      <c r="AZ540" s="1350"/>
      <c r="BA540" s="1070"/>
      <c r="BB540" s="1070"/>
      <c r="BC540" s="1070"/>
      <c r="BD540" s="1070"/>
      <c r="BE540" s="1070"/>
      <c r="BF540" s="1070"/>
      <c r="BG540" s="1070"/>
      <c r="BH540" s="1070"/>
      <c r="BI540" s="1070"/>
      <c r="BJ540" s="1070"/>
      <c r="BK540" s="1070"/>
      <c r="BL540" s="1070"/>
      <c r="BM540" s="1070"/>
      <c r="BN540" s="1070"/>
      <c r="BO540" s="1070"/>
      <c r="BP540" s="1070"/>
      <c r="BQ540" s="1070"/>
      <c r="BR540" s="1070"/>
      <c r="BS540" s="1070"/>
      <c r="BT540" s="1070"/>
      <c r="BU540" s="1070"/>
      <c r="BV540" s="1070"/>
      <c r="BW540" s="1070"/>
      <c r="BX540" s="1070"/>
      <c r="BY540" s="1070"/>
      <c r="BZ540" s="1070"/>
      <c r="CA540" s="1070"/>
      <c r="CB540" s="1070"/>
      <c r="CC540" s="1070"/>
      <c r="CD540" s="1070"/>
      <c r="CE540" s="1070"/>
      <c r="CF540" s="1070"/>
      <c r="CG540" s="1070"/>
      <c r="CH540" s="1070"/>
      <c r="CI540" s="1070"/>
      <c r="CJ540" s="1070"/>
      <c r="CK540" s="1070"/>
      <c r="CL540" s="1070"/>
      <c r="CM540" s="1070"/>
      <c r="CN540" s="1070"/>
      <c r="CO540" s="1070"/>
      <c r="CP540" s="1070"/>
      <c r="CQ540" s="1070"/>
      <c r="CR540" s="1070"/>
      <c r="CS540" s="1070"/>
      <c r="CT540" s="1070"/>
      <c r="CU540" s="1070"/>
      <c r="CV540" s="1070"/>
      <c r="CW540" s="1070"/>
      <c r="CX540" s="1070"/>
      <c r="CY540" s="1070"/>
      <c r="CZ540" s="1070"/>
      <c r="DA540" s="1070"/>
      <c r="DB540" s="1070"/>
      <c r="DC540" s="1070"/>
      <c r="DD540" s="1070"/>
      <c r="DE540" s="1070"/>
      <c r="DF540" s="1070"/>
      <c r="DG540" s="1070"/>
      <c r="DH540" s="1070"/>
      <c r="DI540" s="1070"/>
    </row>
    <row r="541" spans="1:113" ht="15.75" x14ac:dyDescent="0.25">
      <c r="A541" s="1430" t="s">
        <v>429</v>
      </c>
      <c r="B541" s="1428" t="e">
        <f>B528/B540</f>
        <v>#VALUE!</v>
      </c>
      <c r="C541" s="1432"/>
      <c r="D541" s="1437"/>
      <c r="E541" s="1437"/>
      <c r="F541" s="1437"/>
      <c r="G541" s="1437"/>
      <c r="H541" s="1350"/>
      <c r="I541" s="1350"/>
      <c r="J541" s="1350"/>
      <c r="K541" s="1350"/>
      <c r="L541" s="1350"/>
      <c r="M541" s="1350"/>
      <c r="N541" s="1350"/>
      <c r="O541" s="1350"/>
      <c r="P541" s="1350"/>
      <c r="Q541" s="1350"/>
      <c r="R541" s="1350"/>
      <c r="S541" s="1350"/>
      <c r="T541" s="1350"/>
      <c r="U541" s="1350"/>
      <c r="V541" s="1350"/>
      <c r="W541" s="1350"/>
      <c r="X541" s="1350"/>
      <c r="Y541" s="1350"/>
      <c r="Z541" s="1350"/>
      <c r="AA541" s="1350"/>
      <c r="AB541" s="1350"/>
      <c r="AC541" s="1350"/>
      <c r="AD541" s="1350"/>
      <c r="AE541" s="1350"/>
      <c r="AF541" s="1350"/>
      <c r="AG541" s="1350"/>
      <c r="AH541" s="1350"/>
      <c r="AI541" s="1350"/>
      <c r="AJ541" s="1350"/>
      <c r="AK541" s="1350"/>
      <c r="AL541" s="1350"/>
      <c r="AM541" s="1350"/>
      <c r="AN541" s="1350"/>
      <c r="AO541" s="1350"/>
      <c r="AP541" s="1350"/>
      <c r="AQ541" s="1350"/>
      <c r="AR541" s="1350"/>
      <c r="AS541" s="1350"/>
      <c r="AT541" s="1350"/>
      <c r="AU541" s="1350"/>
      <c r="AV541" s="1350"/>
      <c r="AW541" s="1350"/>
      <c r="AX541" s="1350"/>
      <c r="AY541" s="1350"/>
      <c r="AZ541" s="1350"/>
      <c r="BA541" s="1070"/>
      <c r="BB541" s="1070"/>
      <c r="BC541" s="1070"/>
      <c r="BD541" s="1070"/>
      <c r="BE541" s="1070"/>
      <c r="BF541" s="1070"/>
      <c r="BG541" s="1070"/>
      <c r="BH541" s="1070"/>
      <c r="BI541" s="1070"/>
      <c r="BJ541" s="1070"/>
      <c r="BK541" s="1070"/>
      <c r="BL541" s="1070"/>
      <c r="BM541" s="1070"/>
      <c r="BN541" s="1070"/>
      <c r="BO541" s="1070"/>
      <c r="BP541" s="1070"/>
      <c r="BQ541" s="1070"/>
      <c r="BR541" s="1070"/>
      <c r="BS541" s="1070"/>
      <c r="BT541" s="1070"/>
      <c r="BU541" s="1070"/>
      <c r="BV541" s="1070"/>
      <c r="BW541" s="1070"/>
      <c r="BX541" s="1070"/>
      <c r="BY541" s="1070"/>
      <c r="BZ541" s="1070"/>
      <c r="CA541" s="1070"/>
      <c r="CB541" s="1070"/>
      <c r="CC541" s="1070"/>
      <c r="CD541" s="1070"/>
      <c r="CE541" s="1070"/>
      <c r="CF541" s="1070"/>
      <c r="CG541" s="1070"/>
      <c r="CH541" s="1070"/>
      <c r="CI541" s="1070"/>
      <c r="CJ541" s="1070"/>
      <c r="CK541" s="1070"/>
      <c r="CL541" s="1070"/>
      <c r="CM541" s="1070"/>
      <c r="CN541" s="1070"/>
      <c r="CO541" s="1070"/>
      <c r="CP541" s="1070"/>
      <c r="CQ541" s="1070"/>
      <c r="CR541" s="1070"/>
      <c r="CS541" s="1070"/>
      <c r="CT541" s="1070"/>
      <c r="CU541" s="1070"/>
      <c r="CV541" s="1070"/>
      <c r="CW541" s="1070"/>
      <c r="CX541" s="1070"/>
      <c r="CY541" s="1070"/>
      <c r="CZ541" s="1070"/>
      <c r="DA541" s="1070"/>
      <c r="DB541" s="1070"/>
      <c r="DC541" s="1070"/>
      <c r="DD541" s="1070"/>
      <c r="DE541" s="1070"/>
      <c r="DF541" s="1070"/>
      <c r="DG541" s="1070"/>
      <c r="DH541" s="1070"/>
      <c r="DI541" s="1070"/>
    </row>
    <row r="542" spans="1:113" ht="15.75" x14ac:dyDescent="0.25">
      <c r="A542" s="1466" t="s">
        <v>831</v>
      </c>
      <c r="B542" s="1459">
        <f>IF(B298=1,0,B541)</f>
        <v>0</v>
      </c>
      <c r="C542" s="1454"/>
      <c r="D542" s="1458"/>
      <c r="E542" s="1458"/>
      <c r="F542" s="1458"/>
      <c r="G542" s="1458"/>
      <c r="H542" s="1350"/>
      <c r="I542" s="1350"/>
      <c r="J542" s="1350"/>
      <c r="K542" s="1350"/>
      <c r="L542" s="1350"/>
      <c r="M542" s="1350"/>
      <c r="N542" s="1350"/>
      <c r="O542" s="1350"/>
      <c r="P542" s="1350"/>
      <c r="Q542" s="1350"/>
      <c r="R542" s="1350"/>
      <c r="S542" s="1350"/>
      <c r="T542" s="1350"/>
      <c r="U542" s="1350"/>
      <c r="V542" s="1350"/>
      <c r="W542" s="1350"/>
      <c r="X542" s="1350"/>
      <c r="Y542" s="1350"/>
      <c r="Z542" s="1350"/>
      <c r="AA542" s="1350"/>
      <c r="AB542" s="1350"/>
      <c r="AC542" s="1350"/>
      <c r="AD542" s="1350"/>
      <c r="AE542" s="1350"/>
      <c r="AF542" s="1350"/>
      <c r="AG542" s="1350"/>
      <c r="AH542" s="1350"/>
      <c r="AI542" s="1350"/>
      <c r="AJ542" s="1350"/>
      <c r="AK542" s="1350"/>
      <c r="AL542" s="1350"/>
      <c r="AM542" s="1350"/>
      <c r="AN542" s="1350"/>
      <c r="AO542" s="1350"/>
      <c r="AP542" s="1350"/>
      <c r="AQ542" s="1350"/>
      <c r="AR542" s="1350"/>
      <c r="AS542" s="1350"/>
      <c r="AT542" s="1350"/>
      <c r="AU542" s="1350"/>
      <c r="AV542" s="1350"/>
      <c r="AW542" s="1350"/>
      <c r="AX542" s="1350"/>
      <c r="AY542" s="1350"/>
      <c r="AZ542" s="1350"/>
      <c r="BA542" s="1070"/>
      <c r="BB542" s="1070"/>
      <c r="BC542" s="1070"/>
      <c r="BD542" s="1070"/>
      <c r="BE542" s="1070"/>
      <c r="BF542" s="1070"/>
      <c r="BG542" s="1070"/>
      <c r="BH542" s="1070"/>
      <c r="BI542" s="1070"/>
      <c r="BJ542" s="1070"/>
      <c r="BK542" s="1070"/>
      <c r="BL542" s="1070"/>
      <c r="BM542" s="1070"/>
      <c r="BN542" s="1070"/>
      <c r="BO542" s="1070"/>
      <c r="BP542" s="1070"/>
      <c r="BQ542" s="1070"/>
      <c r="BR542" s="1070"/>
      <c r="BS542" s="1070"/>
      <c r="BT542" s="1070"/>
      <c r="BU542" s="1070"/>
      <c r="BV542" s="1070"/>
      <c r="BW542" s="1070"/>
      <c r="BX542" s="1070"/>
      <c r="BY542" s="1070"/>
      <c r="BZ542" s="1070"/>
      <c r="CA542" s="1070"/>
      <c r="CB542" s="1070"/>
      <c r="CC542" s="1070"/>
      <c r="CD542" s="1070"/>
      <c r="CE542" s="1070"/>
      <c r="CF542" s="1070"/>
      <c r="CG542" s="1070"/>
      <c r="CH542" s="1070"/>
      <c r="CI542" s="1070"/>
      <c r="CJ542" s="1070"/>
      <c r="CK542" s="1070"/>
      <c r="CL542" s="1070"/>
      <c r="CM542" s="1070"/>
      <c r="CN542" s="1070"/>
      <c r="CO542" s="1070"/>
      <c r="CP542" s="1070"/>
      <c r="CQ542" s="1070"/>
      <c r="CR542" s="1070"/>
      <c r="CS542" s="1070"/>
      <c r="CT542" s="1070"/>
      <c r="CU542" s="1070"/>
      <c r="CV542" s="1070"/>
      <c r="CW542" s="1070"/>
      <c r="CX542" s="1070"/>
      <c r="CY542" s="1070"/>
      <c r="CZ542" s="1070"/>
      <c r="DA542" s="1070"/>
      <c r="DB542" s="1070"/>
      <c r="DC542" s="1070"/>
      <c r="DD542" s="1070"/>
      <c r="DE542" s="1070"/>
      <c r="DF542" s="1070"/>
      <c r="DG542" s="1070"/>
      <c r="DH542" s="1070"/>
      <c r="DI542" s="1070"/>
    </row>
    <row r="543" spans="1:113" ht="15.75" x14ac:dyDescent="0.25">
      <c r="A543" s="1480"/>
      <c r="B543" s="1415"/>
      <c r="C543" s="1350"/>
      <c r="D543" s="1470"/>
      <c r="E543" s="1470"/>
      <c r="F543" s="1470"/>
      <c r="G543" s="1470"/>
      <c r="H543" s="1350"/>
      <c r="I543" s="1350"/>
      <c r="J543" s="1350"/>
      <c r="K543" s="1350"/>
      <c r="L543" s="1350"/>
      <c r="M543" s="1350"/>
      <c r="N543" s="1350"/>
      <c r="O543" s="1350"/>
      <c r="P543" s="1350"/>
      <c r="Q543" s="1350"/>
      <c r="R543" s="1350"/>
      <c r="S543" s="1350"/>
      <c r="T543" s="1350"/>
      <c r="U543" s="1350"/>
      <c r="V543" s="1350"/>
      <c r="W543" s="1350"/>
      <c r="X543" s="1350"/>
      <c r="Y543" s="1350"/>
      <c r="Z543" s="1350"/>
      <c r="AA543" s="1350"/>
      <c r="AB543" s="1350"/>
      <c r="AC543" s="1350"/>
      <c r="AD543" s="1350"/>
      <c r="AE543" s="1350"/>
      <c r="AF543" s="1350"/>
      <c r="AG543" s="1350"/>
      <c r="AH543" s="1350"/>
      <c r="AI543" s="1350"/>
      <c r="AJ543" s="1350"/>
      <c r="AK543" s="1350"/>
      <c r="AL543" s="1350"/>
      <c r="AM543" s="1350"/>
      <c r="AN543" s="1350"/>
      <c r="AO543" s="1350"/>
      <c r="AP543" s="1350"/>
      <c r="AQ543" s="1350"/>
      <c r="AR543" s="1350"/>
      <c r="AS543" s="1350"/>
      <c r="AT543" s="1350"/>
      <c r="AU543" s="1350"/>
      <c r="AV543" s="1350"/>
      <c r="AW543" s="1350"/>
      <c r="AX543" s="1350"/>
      <c r="AY543" s="1350"/>
      <c r="AZ543" s="1350"/>
      <c r="BA543" s="1070"/>
      <c r="BB543" s="1070"/>
      <c r="BC543" s="1070"/>
      <c r="BD543" s="1070"/>
      <c r="BE543" s="1070"/>
      <c r="BF543" s="1070"/>
      <c r="BG543" s="1070"/>
      <c r="BH543" s="1070"/>
      <c r="BI543" s="1070"/>
      <c r="BJ543" s="1070"/>
      <c r="BK543" s="1070"/>
      <c r="BL543" s="1070"/>
      <c r="BM543" s="1070"/>
      <c r="BN543" s="1070"/>
      <c r="BO543" s="1070"/>
      <c r="BP543" s="1070"/>
      <c r="BQ543" s="1070"/>
      <c r="BR543" s="1070"/>
      <c r="BS543" s="1070"/>
      <c r="BT543" s="1070"/>
      <c r="BU543" s="1070"/>
      <c r="BV543" s="1070"/>
      <c r="BW543" s="1070"/>
      <c r="BX543" s="1070"/>
      <c r="BY543" s="1070"/>
      <c r="BZ543" s="1070"/>
      <c r="CA543" s="1070"/>
      <c r="CB543" s="1070"/>
      <c r="CC543" s="1070"/>
      <c r="CD543" s="1070"/>
      <c r="CE543" s="1070"/>
      <c r="CF543" s="1070"/>
      <c r="CG543" s="1070"/>
      <c r="CH543" s="1070"/>
      <c r="CI543" s="1070"/>
      <c r="CJ543" s="1070"/>
      <c r="CK543" s="1070"/>
      <c r="CL543" s="1070"/>
      <c r="CM543" s="1070"/>
      <c r="CN543" s="1070"/>
      <c r="CO543" s="1070"/>
      <c r="CP543" s="1070"/>
      <c r="CQ543" s="1070"/>
      <c r="CR543" s="1070"/>
      <c r="CS543" s="1070"/>
      <c r="CT543" s="1070"/>
      <c r="CU543" s="1070"/>
      <c r="CV543" s="1070"/>
      <c r="CW543" s="1070"/>
      <c r="CX543" s="1070"/>
      <c r="CY543" s="1070"/>
      <c r="CZ543" s="1070"/>
      <c r="DA543" s="1070"/>
      <c r="DB543" s="1070"/>
      <c r="DC543" s="1070"/>
      <c r="DD543" s="1070"/>
      <c r="DE543" s="1070"/>
      <c r="DF543" s="1070"/>
      <c r="DG543" s="1070"/>
      <c r="DH543" s="1070"/>
      <c r="DI543" s="1070"/>
    </row>
    <row r="544" spans="1:113" ht="15.75" x14ac:dyDescent="0.25">
      <c r="A544" s="1461" t="s">
        <v>2391</v>
      </c>
      <c r="B544" s="1443"/>
      <c r="C544" s="1437"/>
      <c r="D544" s="1437"/>
      <c r="E544" s="1437"/>
      <c r="F544" s="1437"/>
      <c r="G544" s="1437"/>
      <c r="H544" s="1350"/>
      <c r="I544" s="1350"/>
      <c r="J544" s="1350"/>
      <c r="K544" s="1350"/>
      <c r="L544" s="1350"/>
      <c r="M544" s="1350"/>
      <c r="N544" s="1350"/>
      <c r="O544" s="1350"/>
      <c r="P544" s="1350"/>
      <c r="Q544" s="1350"/>
      <c r="R544" s="1350"/>
      <c r="S544" s="1350"/>
      <c r="T544" s="1350"/>
      <c r="U544" s="1350"/>
      <c r="V544" s="1350"/>
      <c r="W544" s="1350"/>
      <c r="X544" s="1350"/>
      <c r="Y544" s="1350"/>
      <c r="Z544" s="1350"/>
      <c r="AA544" s="1350"/>
      <c r="AB544" s="1350"/>
      <c r="AC544" s="1350"/>
      <c r="AD544" s="1350"/>
      <c r="AE544" s="1350"/>
      <c r="AF544" s="1350"/>
      <c r="AG544" s="1350"/>
      <c r="AH544" s="1350"/>
      <c r="AI544" s="1350"/>
      <c r="AJ544" s="1350"/>
      <c r="AK544" s="1350"/>
      <c r="AL544" s="1350"/>
      <c r="AM544" s="1350"/>
      <c r="AN544" s="1350"/>
      <c r="AO544" s="1350"/>
      <c r="AP544" s="1350"/>
      <c r="AQ544" s="1350"/>
      <c r="AR544" s="1350"/>
      <c r="AS544" s="1350"/>
      <c r="AT544" s="1350"/>
      <c r="AU544" s="1350"/>
      <c r="AV544" s="1350"/>
      <c r="AW544" s="1350"/>
      <c r="AX544" s="1350"/>
      <c r="AY544" s="1350"/>
      <c r="AZ544" s="1350"/>
      <c r="BA544" s="1070"/>
      <c r="BB544" s="1070"/>
      <c r="BC544" s="1070"/>
      <c r="BD544" s="1070"/>
      <c r="BE544" s="1070"/>
      <c r="BF544" s="1070"/>
      <c r="BG544" s="1070"/>
      <c r="BH544" s="1070"/>
      <c r="BI544" s="1070"/>
      <c r="BJ544" s="1070"/>
      <c r="BK544" s="1070"/>
      <c r="BL544" s="1070"/>
      <c r="BM544" s="1070"/>
      <c r="BN544" s="1070"/>
      <c r="BO544" s="1070"/>
      <c r="BP544" s="1070"/>
      <c r="BQ544" s="1070"/>
      <c r="BR544" s="1070"/>
      <c r="BS544" s="1070"/>
      <c r="BT544" s="1070"/>
      <c r="BU544" s="1070"/>
      <c r="BV544" s="1070"/>
      <c r="BW544" s="1070"/>
      <c r="BX544" s="1070"/>
      <c r="BY544" s="1070"/>
      <c r="BZ544" s="1070"/>
      <c r="CA544" s="1070"/>
      <c r="CB544" s="1070"/>
      <c r="CC544" s="1070"/>
      <c r="CD544" s="1070"/>
      <c r="CE544" s="1070"/>
      <c r="CF544" s="1070"/>
      <c r="CG544" s="1070"/>
      <c r="CH544" s="1070"/>
      <c r="CI544" s="1070"/>
      <c r="CJ544" s="1070"/>
      <c r="CK544" s="1070"/>
      <c r="CL544" s="1070"/>
      <c r="CM544" s="1070"/>
      <c r="CN544" s="1070"/>
      <c r="CO544" s="1070"/>
      <c r="CP544" s="1070"/>
      <c r="CQ544" s="1070"/>
      <c r="CR544" s="1070"/>
      <c r="CS544" s="1070"/>
      <c r="CT544" s="1070"/>
      <c r="CU544" s="1070"/>
      <c r="CV544" s="1070"/>
      <c r="CW544" s="1070"/>
      <c r="CX544" s="1070"/>
      <c r="CY544" s="1070"/>
      <c r="CZ544" s="1070"/>
      <c r="DA544" s="1070"/>
      <c r="DB544" s="1070"/>
      <c r="DC544" s="1070"/>
      <c r="DD544" s="1070"/>
      <c r="DE544" s="1070"/>
      <c r="DF544" s="1070"/>
      <c r="DG544" s="1070"/>
      <c r="DH544" s="1070"/>
      <c r="DI544" s="1070"/>
    </row>
    <row r="545" spans="1:113" ht="15.75" x14ac:dyDescent="0.25">
      <c r="A545" s="1430" t="s">
        <v>2392</v>
      </c>
      <c r="B545" s="1439">
        <f>B291/B310</f>
        <v>1.25</v>
      </c>
      <c r="C545" s="1432"/>
      <c r="D545" s="1429"/>
      <c r="E545" s="1429"/>
      <c r="F545" s="1429"/>
      <c r="G545" s="1429"/>
      <c r="H545" s="1429"/>
      <c r="I545" s="1350"/>
      <c r="J545" s="1350"/>
      <c r="K545" s="1350"/>
      <c r="L545" s="1350"/>
      <c r="M545" s="1350"/>
      <c r="N545" s="1350"/>
      <c r="O545" s="1350"/>
      <c r="P545" s="1350"/>
      <c r="Q545" s="1350"/>
      <c r="R545" s="1350"/>
      <c r="S545" s="1350"/>
      <c r="T545" s="1350"/>
      <c r="U545" s="1350"/>
      <c r="V545" s="1350"/>
      <c r="W545" s="1350"/>
      <c r="X545" s="1350"/>
      <c r="Y545" s="1350"/>
      <c r="Z545" s="1350"/>
      <c r="AA545" s="1350"/>
      <c r="AB545" s="1350"/>
      <c r="AC545" s="1350"/>
      <c r="AD545" s="1350"/>
      <c r="AE545" s="1350"/>
      <c r="AF545" s="1350"/>
      <c r="AG545" s="1350"/>
      <c r="AH545" s="1350"/>
      <c r="AI545" s="1350"/>
      <c r="AJ545" s="1350"/>
      <c r="AK545" s="1350"/>
      <c r="AL545" s="1350"/>
      <c r="AM545" s="1350"/>
      <c r="AN545" s="1350"/>
      <c r="AO545" s="1350"/>
      <c r="AP545" s="1350"/>
      <c r="AQ545" s="1350"/>
      <c r="AR545" s="1350"/>
      <c r="AS545" s="1350"/>
      <c r="AT545" s="1350"/>
      <c r="AU545" s="1350"/>
      <c r="AV545" s="1350"/>
      <c r="AW545" s="1350"/>
      <c r="AX545" s="1350"/>
      <c r="AY545" s="1350"/>
      <c r="AZ545" s="1350"/>
      <c r="BA545" s="1070"/>
      <c r="BB545" s="1070"/>
      <c r="BC545" s="1070"/>
      <c r="BD545" s="1070"/>
      <c r="BE545" s="1070"/>
      <c r="BF545" s="1070"/>
      <c r="BG545" s="1070"/>
      <c r="BH545" s="1070"/>
      <c r="BI545" s="1070"/>
      <c r="BJ545" s="1070"/>
      <c r="BK545" s="1070"/>
      <c r="BL545" s="1070"/>
      <c r="BM545" s="1070"/>
      <c r="BN545" s="1070"/>
      <c r="BO545" s="1070"/>
      <c r="BP545" s="1070"/>
      <c r="BQ545" s="1070"/>
      <c r="BR545" s="1070"/>
      <c r="BS545" s="1070"/>
      <c r="BT545" s="1070"/>
      <c r="BU545" s="1070"/>
      <c r="BV545" s="1070"/>
      <c r="BW545" s="1070"/>
      <c r="BX545" s="1070"/>
      <c r="BY545" s="1070"/>
      <c r="BZ545" s="1070"/>
      <c r="CA545" s="1070"/>
      <c r="CB545" s="1070"/>
      <c r="CC545" s="1070"/>
      <c r="CD545" s="1070"/>
      <c r="CE545" s="1070"/>
      <c r="CF545" s="1070"/>
      <c r="CG545" s="1070"/>
      <c r="CH545" s="1070"/>
      <c r="CI545" s="1070"/>
      <c r="CJ545" s="1070"/>
      <c r="CK545" s="1070"/>
      <c r="CL545" s="1070"/>
      <c r="CM545" s="1070"/>
      <c r="CN545" s="1070"/>
      <c r="CO545" s="1070"/>
      <c r="CP545" s="1070"/>
      <c r="CQ545" s="1070"/>
      <c r="CR545" s="1070"/>
      <c r="CS545" s="1070"/>
      <c r="CT545" s="1070"/>
      <c r="CU545" s="1070"/>
      <c r="CV545" s="1070"/>
      <c r="CW545" s="1070"/>
      <c r="CX545" s="1070"/>
      <c r="CY545" s="1070"/>
      <c r="CZ545" s="1070"/>
      <c r="DA545" s="1070"/>
      <c r="DB545" s="1070"/>
      <c r="DC545" s="1070"/>
      <c r="DD545" s="1070"/>
      <c r="DE545" s="1070"/>
      <c r="DF545" s="1070"/>
      <c r="DG545" s="1070"/>
      <c r="DH545" s="1070"/>
      <c r="DI545" s="1070"/>
    </row>
    <row r="546" spans="1:113" ht="15.75" x14ac:dyDescent="0.25">
      <c r="A546" s="1481" t="s">
        <v>2393</v>
      </c>
      <c r="B546" s="1482">
        <f>B291/B311</f>
        <v>1.25</v>
      </c>
      <c r="C546" s="1432"/>
      <c r="D546" s="1429"/>
      <c r="E546" s="1429"/>
      <c r="F546" s="1429"/>
      <c r="G546" s="1429"/>
      <c r="H546" s="1429"/>
      <c r="I546" s="1350"/>
      <c r="J546" s="1350"/>
      <c r="K546" s="1350"/>
      <c r="L546" s="1350"/>
      <c r="M546" s="1350"/>
      <c r="N546" s="1350"/>
      <c r="O546" s="1350"/>
      <c r="P546" s="1350"/>
      <c r="Q546" s="1350"/>
      <c r="R546" s="1350"/>
      <c r="S546" s="1350"/>
      <c r="T546" s="1350"/>
      <c r="U546" s="1350"/>
      <c r="V546" s="1350"/>
      <c r="W546" s="1350"/>
      <c r="X546" s="1350"/>
      <c r="Y546" s="1350"/>
      <c r="Z546" s="1350"/>
      <c r="AA546" s="1350"/>
      <c r="AB546" s="1350"/>
      <c r="AC546" s="1350"/>
      <c r="AD546" s="1350"/>
      <c r="AE546" s="1350"/>
      <c r="AF546" s="1350"/>
      <c r="AG546" s="1350"/>
      <c r="AH546" s="1350"/>
      <c r="AI546" s="1350"/>
      <c r="AJ546" s="1350"/>
      <c r="AK546" s="1350"/>
      <c r="AL546" s="1350"/>
      <c r="AM546" s="1350"/>
      <c r="AN546" s="1350"/>
      <c r="AO546" s="1350"/>
      <c r="AP546" s="1350"/>
      <c r="AQ546" s="1350"/>
      <c r="AR546" s="1350"/>
      <c r="AS546" s="1350"/>
      <c r="AT546" s="1350"/>
      <c r="AU546" s="1350"/>
      <c r="AV546" s="1350"/>
      <c r="AW546" s="1350"/>
      <c r="AX546" s="1350"/>
      <c r="AY546" s="1350"/>
      <c r="AZ546" s="1350"/>
      <c r="BA546" s="1070"/>
      <c r="BB546" s="1070"/>
      <c r="BC546" s="1070"/>
      <c r="BD546" s="1070"/>
      <c r="BE546" s="1070"/>
      <c r="BF546" s="1070"/>
      <c r="BG546" s="1070"/>
      <c r="BH546" s="1070"/>
      <c r="BI546" s="1070"/>
      <c r="BJ546" s="1070"/>
      <c r="BK546" s="1070"/>
      <c r="BL546" s="1070"/>
      <c r="BM546" s="1070"/>
      <c r="BN546" s="1070"/>
      <c r="BO546" s="1070"/>
      <c r="BP546" s="1070"/>
      <c r="BQ546" s="1070"/>
      <c r="BR546" s="1070"/>
      <c r="BS546" s="1070"/>
      <c r="BT546" s="1070"/>
      <c r="BU546" s="1070"/>
      <c r="BV546" s="1070"/>
      <c r="BW546" s="1070"/>
      <c r="BX546" s="1070"/>
      <c r="BY546" s="1070"/>
      <c r="BZ546" s="1070"/>
      <c r="CA546" s="1070"/>
      <c r="CB546" s="1070"/>
      <c r="CC546" s="1070"/>
      <c r="CD546" s="1070"/>
      <c r="CE546" s="1070"/>
      <c r="CF546" s="1070"/>
      <c r="CG546" s="1070"/>
      <c r="CH546" s="1070"/>
      <c r="CI546" s="1070"/>
      <c r="CJ546" s="1070"/>
      <c r="CK546" s="1070"/>
      <c r="CL546" s="1070"/>
      <c r="CM546" s="1070"/>
      <c r="CN546" s="1070"/>
      <c r="CO546" s="1070"/>
      <c r="CP546" s="1070"/>
      <c r="CQ546" s="1070"/>
      <c r="CR546" s="1070"/>
      <c r="CS546" s="1070"/>
      <c r="CT546" s="1070"/>
      <c r="CU546" s="1070"/>
      <c r="CV546" s="1070"/>
      <c r="CW546" s="1070"/>
      <c r="CX546" s="1070"/>
      <c r="CY546" s="1070"/>
      <c r="CZ546" s="1070"/>
      <c r="DA546" s="1070"/>
      <c r="DB546" s="1070"/>
      <c r="DC546" s="1070"/>
      <c r="DD546" s="1070"/>
      <c r="DE546" s="1070"/>
      <c r="DF546" s="1070"/>
      <c r="DG546" s="1070"/>
      <c r="DH546" s="1070"/>
      <c r="DI546" s="1070"/>
    </row>
    <row r="547" spans="1:113" ht="15.75" x14ac:dyDescent="0.25">
      <c r="A547" s="1430" t="s">
        <v>425</v>
      </c>
      <c r="B547" s="1424">
        <v>12.8</v>
      </c>
      <c r="C547" s="1429"/>
      <c r="D547" s="1437"/>
      <c r="E547" s="1437"/>
      <c r="F547" s="1437"/>
      <c r="G547" s="1437"/>
      <c r="H547" s="1350"/>
      <c r="I547" s="1350"/>
      <c r="J547" s="1350"/>
      <c r="K547" s="1350"/>
      <c r="L547" s="1350"/>
      <c r="M547" s="1350"/>
      <c r="N547" s="1350"/>
      <c r="O547" s="1350"/>
      <c r="P547" s="1350"/>
      <c r="Q547" s="1350"/>
      <c r="R547" s="1350"/>
      <c r="S547" s="1350"/>
      <c r="T547" s="1350"/>
      <c r="U547" s="1350"/>
      <c r="V547" s="1350"/>
      <c r="W547" s="1350"/>
      <c r="X547" s="1350"/>
      <c r="Y547" s="1350"/>
      <c r="Z547" s="1350"/>
      <c r="AA547" s="1350"/>
      <c r="AB547" s="1350"/>
      <c r="AC547" s="1350"/>
      <c r="AD547" s="1350"/>
      <c r="AE547" s="1350"/>
      <c r="AF547" s="1350"/>
      <c r="AG547" s="1350"/>
      <c r="AH547" s="1350"/>
      <c r="AI547" s="1350"/>
      <c r="AJ547" s="1350"/>
      <c r="AK547" s="1350"/>
      <c r="AL547" s="1350"/>
      <c r="AM547" s="1350"/>
      <c r="AN547" s="1350"/>
      <c r="AO547" s="1350"/>
      <c r="AP547" s="1350"/>
      <c r="AQ547" s="1350"/>
      <c r="AR547" s="1350"/>
      <c r="AS547" s="1350"/>
      <c r="AT547" s="1350"/>
      <c r="AU547" s="1350"/>
      <c r="AV547" s="1350"/>
      <c r="AW547" s="1350"/>
      <c r="AX547" s="1350"/>
      <c r="AY547" s="1350"/>
      <c r="AZ547" s="1350"/>
      <c r="BA547" s="1070"/>
      <c r="BB547" s="1070"/>
      <c r="BC547" s="1070"/>
      <c r="BD547" s="1070"/>
      <c r="BE547" s="1070"/>
      <c r="BF547" s="1070"/>
      <c r="BG547" s="1070"/>
      <c r="BH547" s="1070"/>
      <c r="BI547" s="1070"/>
      <c r="BJ547" s="1070"/>
      <c r="BK547" s="1070"/>
      <c r="BL547" s="1070"/>
      <c r="BM547" s="1070"/>
      <c r="BN547" s="1070"/>
      <c r="BO547" s="1070"/>
      <c r="BP547" s="1070"/>
      <c r="BQ547" s="1070"/>
      <c r="BR547" s="1070"/>
      <c r="BS547" s="1070"/>
      <c r="BT547" s="1070"/>
      <c r="BU547" s="1070"/>
      <c r="BV547" s="1070"/>
      <c r="BW547" s="1070"/>
      <c r="BX547" s="1070"/>
      <c r="BY547" s="1070"/>
      <c r="BZ547" s="1070"/>
      <c r="CA547" s="1070"/>
      <c r="CB547" s="1070"/>
      <c r="CC547" s="1070"/>
      <c r="CD547" s="1070"/>
      <c r="CE547" s="1070"/>
      <c r="CF547" s="1070"/>
      <c r="CG547" s="1070"/>
      <c r="CH547" s="1070"/>
      <c r="CI547" s="1070"/>
      <c r="CJ547" s="1070"/>
      <c r="CK547" s="1070"/>
      <c r="CL547" s="1070"/>
      <c r="CM547" s="1070"/>
      <c r="CN547" s="1070"/>
      <c r="CO547" s="1070"/>
      <c r="CP547" s="1070"/>
      <c r="CQ547" s="1070"/>
      <c r="CR547" s="1070"/>
      <c r="CS547" s="1070"/>
      <c r="CT547" s="1070"/>
      <c r="CU547" s="1070"/>
      <c r="CV547" s="1070"/>
      <c r="CW547" s="1070"/>
      <c r="CX547" s="1070"/>
      <c r="CY547" s="1070"/>
      <c r="CZ547" s="1070"/>
      <c r="DA547" s="1070"/>
      <c r="DB547" s="1070"/>
      <c r="DC547" s="1070"/>
      <c r="DD547" s="1070"/>
      <c r="DE547" s="1070"/>
      <c r="DF547" s="1070"/>
      <c r="DG547" s="1070"/>
      <c r="DH547" s="1070"/>
      <c r="DI547" s="1070"/>
    </row>
    <row r="548" spans="1:113" ht="15.75" x14ac:dyDescent="0.25">
      <c r="A548" s="1430" t="s">
        <v>830</v>
      </c>
      <c r="B548" s="1424" t="e">
        <f>B547*B341</f>
        <v>#VALUE!</v>
      </c>
      <c r="C548" s="1429"/>
      <c r="D548" s="1437"/>
      <c r="E548" s="1437"/>
      <c r="F548" s="1437"/>
      <c r="G548" s="1437"/>
      <c r="H548" s="1350"/>
      <c r="I548" s="1350"/>
      <c r="J548" s="1350"/>
      <c r="K548" s="1350"/>
      <c r="L548" s="1350"/>
      <c r="M548" s="1350"/>
      <c r="N548" s="1350"/>
      <c r="O548" s="1350"/>
      <c r="P548" s="1350"/>
      <c r="Q548" s="1350"/>
      <c r="R548" s="1350"/>
      <c r="S548" s="1350"/>
      <c r="T548" s="1350"/>
      <c r="U548" s="1350"/>
      <c r="V548" s="1350"/>
      <c r="W548" s="1350"/>
      <c r="X548" s="1350"/>
      <c r="Y548" s="1350"/>
      <c r="Z548" s="1350"/>
      <c r="AA548" s="1350"/>
      <c r="AB548" s="1350"/>
      <c r="AC548" s="1350"/>
      <c r="AD548" s="1350"/>
      <c r="AE548" s="1350"/>
      <c r="AF548" s="1350"/>
      <c r="AG548" s="1350"/>
      <c r="AH548" s="1350"/>
      <c r="AI548" s="1350"/>
      <c r="AJ548" s="1350"/>
      <c r="AK548" s="1350"/>
      <c r="AL548" s="1350"/>
      <c r="AM548" s="1350"/>
      <c r="AN548" s="1350"/>
      <c r="AO548" s="1350"/>
      <c r="AP548" s="1350"/>
      <c r="AQ548" s="1350"/>
      <c r="AR548" s="1350"/>
      <c r="AS548" s="1350"/>
      <c r="AT548" s="1350"/>
      <c r="AU548" s="1350"/>
      <c r="AV548" s="1350"/>
      <c r="AW548" s="1350"/>
      <c r="AX548" s="1350"/>
      <c r="AY548" s="1350"/>
      <c r="AZ548" s="1350"/>
      <c r="BA548" s="1070"/>
      <c r="BB548" s="1070"/>
      <c r="BC548" s="1070"/>
      <c r="BD548" s="1070"/>
      <c r="BE548" s="1070"/>
      <c r="BF548" s="1070"/>
      <c r="BG548" s="1070"/>
      <c r="BH548" s="1070"/>
      <c r="BI548" s="1070"/>
      <c r="BJ548" s="1070"/>
      <c r="BK548" s="1070"/>
      <c r="BL548" s="1070"/>
      <c r="BM548" s="1070"/>
      <c r="BN548" s="1070"/>
      <c r="BO548" s="1070"/>
      <c r="BP548" s="1070"/>
      <c r="BQ548" s="1070"/>
      <c r="BR548" s="1070"/>
      <c r="BS548" s="1070"/>
      <c r="BT548" s="1070"/>
      <c r="BU548" s="1070"/>
      <c r="BV548" s="1070"/>
      <c r="BW548" s="1070"/>
      <c r="BX548" s="1070"/>
      <c r="BY548" s="1070"/>
      <c r="BZ548" s="1070"/>
      <c r="CA548" s="1070"/>
      <c r="CB548" s="1070"/>
      <c r="CC548" s="1070"/>
      <c r="CD548" s="1070"/>
      <c r="CE548" s="1070"/>
      <c r="CF548" s="1070"/>
      <c r="CG548" s="1070"/>
      <c r="CH548" s="1070"/>
      <c r="CI548" s="1070"/>
      <c r="CJ548" s="1070"/>
      <c r="CK548" s="1070"/>
      <c r="CL548" s="1070"/>
      <c r="CM548" s="1070"/>
      <c r="CN548" s="1070"/>
      <c r="CO548" s="1070"/>
      <c r="CP548" s="1070"/>
      <c r="CQ548" s="1070"/>
      <c r="CR548" s="1070"/>
      <c r="CS548" s="1070"/>
      <c r="CT548" s="1070"/>
      <c r="CU548" s="1070"/>
      <c r="CV548" s="1070"/>
      <c r="CW548" s="1070"/>
      <c r="CX548" s="1070"/>
      <c r="CY548" s="1070"/>
      <c r="CZ548" s="1070"/>
      <c r="DA548" s="1070"/>
      <c r="DB548" s="1070"/>
      <c r="DC548" s="1070"/>
      <c r="DD548" s="1070"/>
      <c r="DE548" s="1070"/>
      <c r="DF548" s="1070"/>
      <c r="DG548" s="1070"/>
      <c r="DH548" s="1070"/>
      <c r="DI548" s="1070"/>
    </row>
    <row r="549" spans="1:113" ht="15.75" x14ac:dyDescent="0.25">
      <c r="A549" s="1483" t="s">
        <v>1442</v>
      </c>
      <c r="B549" s="1484" t="e">
        <f>B545/B548</f>
        <v>#VALUE!</v>
      </c>
      <c r="C549" s="1485"/>
      <c r="D549" s="1432"/>
      <c r="E549" s="1432"/>
      <c r="F549" s="1432"/>
      <c r="G549" s="1432"/>
      <c r="H549" s="1350"/>
      <c r="I549" s="1350"/>
      <c r="J549" s="1350"/>
      <c r="K549" s="1350"/>
      <c r="L549" s="1350"/>
      <c r="M549" s="1350"/>
      <c r="N549" s="1350"/>
      <c r="O549" s="1350"/>
      <c r="P549" s="1350"/>
      <c r="Q549" s="1350"/>
      <c r="R549" s="1350"/>
      <c r="S549" s="1350"/>
      <c r="T549" s="1350"/>
      <c r="U549" s="1350"/>
      <c r="V549" s="1350"/>
      <c r="W549" s="1350"/>
      <c r="X549" s="1350"/>
      <c r="Y549" s="1350"/>
      <c r="Z549" s="1350"/>
      <c r="AA549" s="1350"/>
      <c r="AB549" s="1350"/>
      <c r="AC549" s="1350"/>
      <c r="AD549" s="1350"/>
      <c r="AE549" s="1350"/>
      <c r="AF549" s="1350"/>
      <c r="AG549" s="1350"/>
      <c r="AH549" s="1350"/>
      <c r="AI549" s="1350"/>
      <c r="AJ549" s="1350"/>
      <c r="AK549" s="1350"/>
      <c r="AL549" s="1350"/>
      <c r="AM549" s="1350"/>
      <c r="AN549" s="1350"/>
      <c r="AO549" s="1350"/>
      <c r="AP549" s="1350"/>
      <c r="AQ549" s="1350"/>
      <c r="AR549" s="1350"/>
      <c r="AS549" s="1350"/>
      <c r="AT549" s="1350"/>
      <c r="AU549" s="1350"/>
      <c r="AV549" s="1350"/>
      <c r="AW549" s="1350"/>
      <c r="AX549" s="1350"/>
      <c r="AY549" s="1350"/>
      <c r="AZ549" s="1350"/>
      <c r="BA549" s="1070"/>
      <c r="BB549" s="1070"/>
      <c r="BC549" s="1070"/>
      <c r="BD549" s="1070"/>
      <c r="BE549" s="1070"/>
      <c r="BF549" s="1070"/>
      <c r="BG549" s="1070"/>
      <c r="BH549" s="1070"/>
      <c r="BI549" s="1070"/>
      <c r="BJ549" s="1070"/>
      <c r="BK549" s="1070"/>
      <c r="BL549" s="1070"/>
      <c r="BM549" s="1070"/>
      <c r="BN549" s="1070"/>
      <c r="BO549" s="1070"/>
      <c r="BP549" s="1070"/>
      <c r="BQ549" s="1070"/>
      <c r="BR549" s="1070"/>
      <c r="BS549" s="1070"/>
      <c r="BT549" s="1070"/>
      <c r="BU549" s="1070"/>
      <c r="BV549" s="1070"/>
      <c r="BW549" s="1070"/>
      <c r="BX549" s="1070"/>
      <c r="BY549" s="1070"/>
      <c r="BZ549" s="1070"/>
      <c r="CA549" s="1070"/>
      <c r="CB549" s="1070"/>
      <c r="CC549" s="1070"/>
      <c r="CD549" s="1070"/>
      <c r="CE549" s="1070"/>
      <c r="CF549" s="1070"/>
      <c r="CG549" s="1070"/>
      <c r="CH549" s="1070"/>
      <c r="CI549" s="1070"/>
      <c r="CJ549" s="1070"/>
      <c r="CK549" s="1070"/>
      <c r="CL549" s="1070"/>
      <c r="CM549" s="1070"/>
      <c r="CN549" s="1070"/>
      <c r="CO549" s="1070"/>
      <c r="CP549" s="1070"/>
      <c r="CQ549" s="1070"/>
      <c r="CR549" s="1070"/>
      <c r="CS549" s="1070"/>
      <c r="CT549" s="1070"/>
      <c r="CU549" s="1070"/>
      <c r="CV549" s="1070"/>
      <c r="CW549" s="1070"/>
      <c r="CX549" s="1070"/>
      <c r="CY549" s="1070"/>
      <c r="CZ549" s="1070"/>
      <c r="DA549" s="1070"/>
      <c r="DB549" s="1070"/>
      <c r="DC549" s="1070"/>
      <c r="DD549" s="1070"/>
      <c r="DE549" s="1070"/>
      <c r="DF549" s="1070"/>
      <c r="DG549" s="1070"/>
      <c r="DH549" s="1070"/>
      <c r="DI549" s="1070"/>
    </row>
    <row r="550" spans="1:113" ht="31.5" x14ac:dyDescent="0.25">
      <c r="A550" s="1452" t="s">
        <v>1443</v>
      </c>
      <c r="B550" s="1453" t="e">
        <f>IF(AND(B304&gt;0,B312=0),B549,0)</f>
        <v>#VALUE!</v>
      </c>
      <c r="C550" s="1454"/>
      <c r="D550" s="1454"/>
      <c r="E550" s="1454"/>
      <c r="F550" s="1454"/>
      <c r="G550" s="1454"/>
      <c r="H550" s="1350"/>
      <c r="I550" s="1350"/>
      <c r="J550" s="1350"/>
      <c r="K550" s="1350"/>
      <c r="L550" s="1350"/>
      <c r="M550" s="1350"/>
      <c r="N550" s="1350"/>
      <c r="O550" s="1350"/>
      <c r="P550" s="1350"/>
      <c r="Q550" s="1350"/>
      <c r="R550" s="1350"/>
      <c r="S550" s="1350"/>
      <c r="T550" s="1350"/>
      <c r="U550" s="1350"/>
      <c r="V550" s="1350"/>
      <c r="W550" s="1350"/>
      <c r="X550" s="1350"/>
      <c r="Y550" s="1350"/>
      <c r="Z550" s="1350"/>
      <c r="AA550" s="1350"/>
      <c r="AB550" s="1350"/>
      <c r="AC550" s="1350"/>
      <c r="AD550" s="1350"/>
      <c r="AE550" s="1350"/>
      <c r="AF550" s="1350"/>
      <c r="AG550" s="1350"/>
      <c r="AH550" s="1350"/>
      <c r="AI550" s="1350"/>
      <c r="AJ550" s="1350"/>
      <c r="AK550" s="1350"/>
      <c r="AL550" s="1350"/>
      <c r="AM550" s="1350"/>
      <c r="AN550" s="1350"/>
      <c r="AO550" s="1350"/>
      <c r="AP550" s="1350"/>
      <c r="AQ550" s="1350"/>
      <c r="AR550" s="1350"/>
      <c r="AS550" s="1350"/>
      <c r="AT550" s="1350"/>
      <c r="AU550" s="1350"/>
      <c r="AV550" s="1350"/>
      <c r="AW550" s="1350"/>
      <c r="AX550" s="1350"/>
      <c r="AY550" s="1350"/>
      <c r="AZ550" s="1350"/>
      <c r="BA550" s="1070"/>
      <c r="BB550" s="1070"/>
      <c r="BC550" s="1070"/>
      <c r="BD550" s="1070"/>
      <c r="BE550" s="1070"/>
      <c r="BF550" s="1070"/>
      <c r="BG550" s="1070"/>
      <c r="BH550" s="1070"/>
      <c r="BI550" s="1070"/>
      <c r="BJ550" s="1070"/>
      <c r="BK550" s="1070"/>
      <c r="BL550" s="1070"/>
      <c r="BM550" s="1070"/>
      <c r="BN550" s="1070"/>
      <c r="BO550" s="1070"/>
      <c r="BP550" s="1070"/>
      <c r="BQ550" s="1070"/>
      <c r="BR550" s="1070"/>
      <c r="BS550" s="1070"/>
      <c r="BT550" s="1070"/>
      <c r="BU550" s="1070"/>
      <c r="BV550" s="1070"/>
      <c r="BW550" s="1070"/>
      <c r="BX550" s="1070"/>
      <c r="BY550" s="1070"/>
      <c r="BZ550" s="1070"/>
      <c r="CA550" s="1070"/>
      <c r="CB550" s="1070"/>
      <c r="CC550" s="1070"/>
      <c r="CD550" s="1070"/>
      <c r="CE550" s="1070"/>
      <c r="CF550" s="1070"/>
      <c r="CG550" s="1070"/>
      <c r="CH550" s="1070"/>
      <c r="CI550" s="1070"/>
      <c r="CJ550" s="1070"/>
      <c r="CK550" s="1070"/>
      <c r="CL550" s="1070"/>
      <c r="CM550" s="1070"/>
      <c r="CN550" s="1070"/>
      <c r="CO550" s="1070"/>
      <c r="CP550" s="1070"/>
      <c r="CQ550" s="1070"/>
      <c r="CR550" s="1070"/>
      <c r="CS550" s="1070"/>
      <c r="CT550" s="1070"/>
      <c r="CU550" s="1070"/>
      <c r="CV550" s="1070"/>
      <c r="CW550" s="1070"/>
      <c r="CX550" s="1070"/>
      <c r="CY550" s="1070"/>
      <c r="CZ550" s="1070"/>
      <c r="DA550" s="1070"/>
      <c r="DB550" s="1070"/>
      <c r="DC550" s="1070"/>
      <c r="DD550" s="1070"/>
      <c r="DE550" s="1070"/>
      <c r="DF550" s="1070"/>
      <c r="DG550" s="1070"/>
      <c r="DH550" s="1070"/>
      <c r="DI550" s="1070"/>
    </row>
    <row r="551" spans="1:113" ht="15.75" x14ac:dyDescent="0.25">
      <c r="A551" s="1486" t="s">
        <v>1444</v>
      </c>
      <c r="B551" s="1482" t="e">
        <f>B546/B548</f>
        <v>#VALUE!</v>
      </c>
      <c r="C551" s="1454"/>
      <c r="D551" s="1454"/>
      <c r="E551" s="1454"/>
      <c r="F551" s="1454"/>
      <c r="G551" s="1454"/>
      <c r="H551" s="1350"/>
      <c r="I551" s="1350"/>
      <c r="J551" s="1350"/>
      <c r="K551" s="1350"/>
      <c r="L551" s="1350"/>
      <c r="M551" s="1350"/>
      <c r="N551" s="1350"/>
      <c r="O551" s="1350"/>
      <c r="P551" s="1350"/>
      <c r="Q551" s="1350"/>
      <c r="R551" s="1350"/>
      <c r="S551" s="1350"/>
      <c r="T551" s="1350"/>
      <c r="U551" s="1350"/>
      <c r="V551" s="1350"/>
      <c r="W551" s="1350"/>
      <c r="X551" s="1350"/>
      <c r="Y551" s="1350"/>
      <c r="Z551" s="1350"/>
      <c r="AA551" s="1350"/>
      <c r="AB551" s="1350"/>
      <c r="AC551" s="1350"/>
      <c r="AD551" s="1350"/>
      <c r="AE551" s="1350"/>
      <c r="AF551" s="1350"/>
      <c r="AG551" s="1350"/>
      <c r="AH551" s="1350"/>
      <c r="AI551" s="1350"/>
      <c r="AJ551" s="1350"/>
      <c r="AK551" s="1350"/>
      <c r="AL551" s="1350"/>
      <c r="AM551" s="1350"/>
      <c r="AN551" s="1350"/>
      <c r="AO551" s="1350"/>
      <c r="AP551" s="1350"/>
      <c r="AQ551" s="1350"/>
      <c r="AR551" s="1350"/>
      <c r="AS551" s="1350"/>
      <c r="AT551" s="1350"/>
      <c r="AU551" s="1350"/>
      <c r="AV551" s="1350"/>
      <c r="AW551" s="1350"/>
      <c r="AX551" s="1350"/>
      <c r="AY551" s="1350"/>
      <c r="AZ551" s="1350"/>
      <c r="BA551" s="1070"/>
      <c r="BB551" s="1070"/>
      <c r="BC551" s="1070"/>
      <c r="BD551" s="1070"/>
      <c r="BE551" s="1070"/>
      <c r="BF551" s="1070"/>
      <c r="BG551" s="1070"/>
      <c r="BH551" s="1070"/>
      <c r="BI551" s="1070"/>
      <c r="BJ551" s="1070"/>
      <c r="BK551" s="1070"/>
      <c r="BL551" s="1070"/>
      <c r="BM551" s="1070"/>
      <c r="BN551" s="1070"/>
      <c r="BO551" s="1070"/>
      <c r="BP551" s="1070"/>
      <c r="BQ551" s="1070"/>
      <c r="BR551" s="1070"/>
      <c r="BS551" s="1070"/>
      <c r="BT551" s="1070"/>
      <c r="BU551" s="1070"/>
      <c r="BV551" s="1070"/>
      <c r="BW551" s="1070"/>
      <c r="BX551" s="1070"/>
      <c r="BY551" s="1070"/>
      <c r="BZ551" s="1070"/>
      <c r="CA551" s="1070"/>
      <c r="CB551" s="1070"/>
      <c r="CC551" s="1070"/>
      <c r="CD551" s="1070"/>
      <c r="CE551" s="1070"/>
      <c r="CF551" s="1070"/>
      <c r="CG551" s="1070"/>
      <c r="CH551" s="1070"/>
      <c r="CI551" s="1070"/>
      <c r="CJ551" s="1070"/>
      <c r="CK551" s="1070"/>
      <c r="CL551" s="1070"/>
      <c r="CM551" s="1070"/>
      <c r="CN551" s="1070"/>
      <c r="CO551" s="1070"/>
      <c r="CP551" s="1070"/>
      <c r="CQ551" s="1070"/>
      <c r="CR551" s="1070"/>
      <c r="CS551" s="1070"/>
      <c r="CT551" s="1070"/>
      <c r="CU551" s="1070"/>
      <c r="CV551" s="1070"/>
      <c r="CW551" s="1070"/>
      <c r="CX551" s="1070"/>
      <c r="CY551" s="1070"/>
      <c r="CZ551" s="1070"/>
      <c r="DA551" s="1070"/>
      <c r="DB551" s="1070"/>
      <c r="DC551" s="1070"/>
      <c r="DD551" s="1070"/>
      <c r="DE551" s="1070"/>
      <c r="DF551" s="1070"/>
      <c r="DG551" s="1070"/>
      <c r="DH551" s="1070"/>
      <c r="DI551" s="1070"/>
    </row>
    <row r="552" spans="1:113" ht="31.5" x14ac:dyDescent="0.25">
      <c r="A552" s="1486" t="s">
        <v>1445</v>
      </c>
      <c r="B552" s="1453" t="e">
        <f>IF(AND(B305&gt;0,B313=0),B549,0)</f>
        <v>#VALUE!</v>
      </c>
      <c r="C552" s="1454"/>
      <c r="D552" s="1454"/>
      <c r="E552" s="1454"/>
      <c r="F552" s="1454"/>
      <c r="G552" s="1454"/>
      <c r="H552" s="1350"/>
      <c r="I552" s="1350"/>
      <c r="J552" s="1350"/>
      <c r="K552" s="1350"/>
      <c r="L552" s="1350"/>
      <c r="M552" s="1350"/>
      <c r="N552" s="1350"/>
      <c r="O552" s="1350"/>
      <c r="P552" s="1350"/>
      <c r="Q552" s="1350"/>
      <c r="R552" s="1350"/>
      <c r="S552" s="1350"/>
      <c r="T552" s="1350"/>
      <c r="U552" s="1350"/>
      <c r="V552" s="1350"/>
      <c r="W552" s="1350"/>
      <c r="X552" s="1350"/>
      <c r="Y552" s="1350"/>
      <c r="Z552" s="1350"/>
      <c r="AA552" s="1350"/>
      <c r="AB552" s="1350"/>
      <c r="AC552" s="1350"/>
      <c r="AD552" s="1350"/>
      <c r="AE552" s="1350"/>
      <c r="AF552" s="1350"/>
      <c r="AG552" s="1350"/>
      <c r="AH552" s="1350"/>
      <c r="AI552" s="1350"/>
      <c r="AJ552" s="1350"/>
      <c r="AK552" s="1350"/>
      <c r="AL552" s="1350"/>
      <c r="AM552" s="1350"/>
      <c r="AN552" s="1350"/>
      <c r="AO552" s="1350"/>
      <c r="AP552" s="1350"/>
      <c r="AQ552" s="1350"/>
      <c r="AR552" s="1350"/>
      <c r="AS552" s="1350"/>
      <c r="AT552" s="1350"/>
      <c r="AU552" s="1350"/>
      <c r="AV552" s="1350"/>
      <c r="AW552" s="1350"/>
      <c r="AX552" s="1350"/>
      <c r="AY552" s="1350"/>
      <c r="AZ552" s="1350"/>
      <c r="BA552" s="1070"/>
      <c r="BB552" s="1070"/>
      <c r="BC552" s="1070"/>
      <c r="BD552" s="1070"/>
      <c r="BE552" s="1070"/>
      <c r="BF552" s="1070"/>
      <c r="BG552" s="1070"/>
      <c r="BH552" s="1070"/>
      <c r="BI552" s="1070"/>
      <c r="BJ552" s="1070"/>
      <c r="BK552" s="1070"/>
      <c r="BL552" s="1070"/>
      <c r="BM552" s="1070"/>
      <c r="BN552" s="1070"/>
      <c r="BO552" s="1070"/>
      <c r="BP552" s="1070"/>
      <c r="BQ552" s="1070"/>
      <c r="BR552" s="1070"/>
      <c r="BS552" s="1070"/>
      <c r="BT552" s="1070"/>
      <c r="BU552" s="1070"/>
      <c r="BV552" s="1070"/>
      <c r="BW552" s="1070"/>
      <c r="BX552" s="1070"/>
      <c r="BY552" s="1070"/>
      <c r="BZ552" s="1070"/>
      <c r="CA552" s="1070"/>
      <c r="CB552" s="1070"/>
      <c r="CC552" s="1070"/>
      <c r="CD552" s="1070"/>
      <c r="CE552" s="1070"/>
      <c r="CF552" s="1070"/>
      <c r="CG552" s="1070"/>
      <c r="CH552" s="1070"/>
      <c r="CI552" s="1070"/>
      <c r="CJ552" s="1070"/>
      <c r="CK552" s="1070"/>
      <c r="CL552" s="1070"/>
      <c r="CM552" s="1070"/>
      <c r="CN552" s="1070"/>
      <c r="CO552" s="1070"/>
      <c r="CP552" s="1070"/>
      <c r="CQ552" s="1070"/>
      <c r="CR552" s="1070"/>
      <c r="CS552" s="1070"/>
      <c r="CT552" s="1070"/>
      <c r="CU552" s="1070"/>
      <c r="CV552" s="1070"/>
      <c r="CW552" s="1070"/>
      <c r="CX552" s="1070"/>
      <c r="CY552" s="1070"/>
      <c r="CZ552" s="1070"/>
      <c r="DA552" s="1070"/>
      <c r="DB552" s="1070"/>
      <c r="DC552" s="1070"/>
      <c r="DD552" s="1070"/>
      <c r="DE552" s="1070"/>
      <c r="DF552" s="1070"/>
      <c r="DG552" s="1070"/>
      <c r="DH552" s="1070"/>
      <c r="DI552" s="1070"/>
    </row>
    <row r="553" spans="1:113" ht="15.75" x14ac:dyDescent="0.25">
      <c r="A553" s="1460"/>
      <c r="B553" s="1439"/>
      <c r="C553" s="1432"/>
      <c r="D553" s="1350"/>
      <c r="E553" s="1350"/>
      <c r="F553" s="1350"/>
      <c r="G553" s="1350"/>
      <c r="H553" s="1350"/>
      <c r="I553" s="1350"/>
      <c r="J553" s="1350"/>
      <c r="K553" s="1350"/>
      <c r="L553" s="1350"/>
      <c r="M553" s="1350"/>
      <c r="N553" s="1350"/>
      <c r="O553" s="1350"/>
      <c r="P553" s="1350"/>
      <c r="Q553" s="1350"/>
      <c r="R553" s="1350"/>
      <c r="S553" s="1350"/>
      <c r="T553" s="1350"/>
      <c r="U553" s="1350"/>
      <c r="V553" s="1350"/>
      <c r="W553" s="1350"/>
      <c r="X553" s="1350"/>
      <c r="Y553" s="1350"/>
      <c r="Z553" s="1350"/>
      <c r="AA553" s="1350"/>
      <c r="AB553" s="1350"/>
      <c r="AC553" s="1350"/>
      <c r="AD553" s="1350"/>
      <c r="AE553" s="1350"/>
      <c r="AF553" s="1350"/>
      <c r="AG553" s="1350"/>
      <c r="AH553" s="1350"/>
      <c r="AI553" s="1350"/>
      <c r="AJ553" s="1350"/>
      <c r="AK553" s="1350"/>
      <c r="AL553" s="1350"/>
      <c r="AM553" s="1350"/>
      <c r="AN553" s="1350"/>
      <c r="AO553" s="1350"/>
      <c r="AP553" s="1350"/>
      <c r="AQ553" s="1350"/>
      <c r="AR553" s="1350"/>
      <c r="AS553" s="1350"/>
      <c r="AT553" s="1350"/>
      <c r="AU553" s="1350"/>
      <c r="AV553" s="1350"/>
      <c r="AW553" s="1350"/>
      <c r="AX553" s="1350"/>
      <c r="AY553" s="1350"/>
      <c r="AZ553" s="1350"/>
      <c r="BA553" s="1070"/>
      <c r="BB553" s="1070"/>
      <c r="BC553" s="1070"/>
      <c r="BD553" s="1070"/>
      <c r="BE553" s="1070"/>
      <c r="BF553" s="1070"/>
      <c r="BG553" s="1070"/>
      <c r="BH553" s="1070"/>
      <c r="BI553" s="1070"/>
      <c r="BJ553" s="1070"/>
      <c r="BK553" s="1070"/>
      <c r="BL553" s="1070"/>
      <c r="BM553" s="1070"/>
      <c r="BN553" s="1070"/>
      <c r="BO553" s="1070"/>
      <c r="BP553" s="1070"/>
      <c r="BQ553" s="1070"/>
      <c r="BR553" s="1070"/>
      <c r="BS553" s="1070"/>
      <c r="BT553" s="1070"/>
      <c r="BU553" s="1070"/>
      <c r="BV553" s="1070"/>
      <c r="BW553" s="1070"/>
      <c r="BX553" s="1070"/>
      <c r="BY553" s="1070"/>
      <c r="BZ553" s="1070"/>
      <c r="CA553" s="1070"/>
      <c r="CB553" s="1070"/>
      <c r="CC553" s="1070"/>
      <c r="CD553" s="1070"/>
      <c r="CE553" s="1070"/>
      <c r="CF553" s="1070"/>
      <c r="CG553" s="1070"/>
      <c r="CH553" s="1070"/>
      <c r="CI553" s="1070"/>
      <c r="CJ553" s="1070"/>
      <c r="CK553" s="1070"/>
      <c r="CL553" s="1070"/>
      <c r="CM553" s="1070"/>
      <c r="CN553" s="1070"/>
      <c r="CO553" s="1070"/>
      <c r="CP553" s="1070"/>
      <c r="CQ553" s="1070"/>
      <c r="CR553" s="1070"/>
      <c r="CS553" s="1070"/>
      <c r="CT553" s="1070"/>
      <c r="CU553" s="1070"/>
      <c r="CV553" s="1070"/>
      <c r="CW553" s="1070"/>
      <c r="CX553" s="1070"/>
      <c r="CY553" s="1070"/>
      <c r="CZ553" s="1070"/>
      <c r="DA553" s="1070"/>
      <c r="DB553" s="1070"/>
      <c r="DC553" s="1070"/>
      <c r="DD553" s="1070"/>
      <c r="DE553" s="1070"/>
      <c r="DF553" s="1070"/>
      <c r="DG553" s="1070"/>
      <c r="DH553" s="1070"/>
      <c r="DI553" s="1070"/>
    </row>
    <row r="554" spans="1:113" ht="15.75" x14ac:dyDescent="0.25">
      <c r="A554" s="1461" t="s">
        <v>5158</v>
      </c>
      <c r="B554" s="1439"/>
      <c r="C554" s="1432"/>
      <c r="D554" s="1350"/>
      <c r="E554" s="1350"/>
      <c r="F554" s="1350"/>
      <c r="G554" s="1350"/>
      <c r="H554" s="1350"/>
      <c r="I554" s="1350"/>
      <c r="J554" s="1350"/>
      <c r="K554" s="1350"/>
      <c r="L554" s="1350"/>
      <c r="M554" s="1350"/>
      <c r="N554" s="1350"/>
      <c r="O554" s="1350"/>
      <c r="P554" s="1350"/>
      <c r="Q554" s="1350"/>
      <c r="R554" s="1350"/>
      <c r="S554" s="1350"/>
      <c r="T554" s="1350"/>
      <c r="U554" s="1350"/>
      <c r="V554" s="1350"/>
      <c r="W554" s="1350"/>
      <c r="X554" s="1350"/>
      <c r="Y554" s="1350"/>
      <c r="Z554" s="1350"/>
      <c r="AA554" s="1350"/>
      <c r="AB554" s="1350"/>
      <c r="AC554" s="1350"/>
      <c r="AD554" s="1350"/>
      <c r="AE554" s="1350"/>
      <c r="AF554" s="1350"/>
      <c r="AG554" s="1350"/>
      <c r="AH554" s="1350"/>
      <c r="AI554" s="1350"/>
      <c r="AJ554" s="1350"/>
      <c r="AK554" s="1350"/>
      <c r="AL554" s="1350"/>
      <c r="AM554" s="1350"/>
      <c r="AN554" s="1350"/>
      <c r="AO554" s="1350"/>
      <c r="AP554" s="1350"/>
      <c r="AQ554" s="1350"/>
      <c r="AR554" s="1350"/>
      <c r="AS554" s="1350"/>
      <c r="AT554" s="1350"/>
      <c r="AU554" s="1350"/>
      <c r="AV554" s="1350"/>
      <c r="AW554" s="1350"/>
      <c r="AX554" s="1350"/>
      <c r="AY554" s="1350"/>
      <c r="AZ554" s="1350"/>
      <c r="BA554" s="1070"/>
      <c r="BB554" s="1070"/>
      <c r="BC554" s="1070"/>
      <c r="BD554" s="1070"/>
      <c r="BE554" s="1070"/>
      <c r="BF554" s="1070"/>
      <c r="BG554" s="1070"/>
      <c r="BH554" s="1070"/>
      <c r="BI554" s="1070"/>
      <c r="BJ554" s="1070"/>
      <c r="BK554" s="1070"/>
      <c r="BL554" s="1070"/>
      <c r="BM554" s="1070"/>
      <c r="BN554" s="1070"/>
      <c r="BO554" s="1070"/>
      <c r="BP554" s="1070"/>
      <c r="BQ554" s="1070"/>
      <c r="BR554" s="1070"/>
      <c r="BS554" s="1070"/>
      <c r="BT554" s="1070"/>
      <c r="BU554" s="1070"/>
      <c r="BV554" s="1070"/>
      <c r="BW554" s="1070"/>
      <c r="BX554" s="1070"/>
      <c r="BY554" s="1070"/>
      <c r="BZ554" s="1070"/>
      <c r="CA554" s="1070"/>
      <c r="CB554" s="1070"/>
      <c r="CC554" s="1070"/>
      <c r="CD554" s="1070"/>
      <c r="CE554" s="1070"/>
      <c r="CF554" s="1070"/>
      <c r="CG554" s="1070"/>
      <c r="CH554" s="1070"/>
      <c r="CI554" s="1070"/>
      <c r="CJ554" s="1070"/>
      <c r="CK554" s="1070"/>
      <c r="CL554" s="1070"/>
      <c r="CM554" s="1070"/>
      <c r="CN554" s="1070"/>
      <c r="CO554" s="1070"/>
      <c r="CP554" s="1070"/>
      <c r="CQ554" s="1070"/>
      <c r="CR554" s="1070"/>
      <c r="CS554" s="1070"/>
      <c r="CT554" s="1070"/>
      <c r="CU554" s="1070"/>
      <c r="CV554" s="1070"/>
      <c r="CW554" s="1070"/>
      <c r="CX554" s="1070"/>
      <c r="CY554" s="1070"/>
      <c r="CZ554" s="1070"/>
      <c r="DA554" s="1070"/>
      <c r="DB554" s="1070"/>
      <c r="DC554" s="1070"/>
      <c r="DD554" s="1070"/>
      <c r="DE554" s="1070"/>
      <c r="DF554" s="1070"/>
      <c r="DG554" s="1070"/>
      <c r="DH554" s="1070"/>
      <c r="DI554" s="1070"/>
    </row>
    <row r="555" spans="1:113" ht="15.75" x14ac:dyDescent="0.25">
      <c r="A555" s="1430" t="s">
        <v>4144</v>
      </c>
      <c r="B555" s="1439">
        <f>B291</f>
        <v>1</v>
      </c>
      <c r="C555" s="1432"/>
      <c r="D555" s="1432"/>
      <c r="E555" s="1432"/>
      <c r="F555" s="1432"/>
      <c r="G555" s="1432"/>
      <c r="H555" s="1350"/>
      <c r="I555" s="1350"/>
      <c r="J555" s="1350"/>
      <c r="K555" s="1350"/>
      <c r="L555" s="1350"/>
      <c r="M555" s="1350"/>
      <c r="N555" s="1350"/>
      <c r="O555" s="1350"/>
      <c r="P555" s="1350"/>
      <c r="Q555" s="1350"/>
      <c r="R555" s="1350"/>
      <c r="S555" s="1350"/>
      <c r="T555" s="1350"/>
      <c r="U555" s="1350"/>
      <c r="V555" s="1350"/>
      <c r="W555" s="1350"/>
      <c r="X555" s="1350"/>
      <c r="Y555" s="1350"/>
      <c r="Z555" s="1350"/>
      <c r="AA555" s="1350"/>
      <c r="AB555" s="1350"/>
      <c r="AC555" s="1350"/>
      <c r="AD555" s="1350"/>
      <c r="AE555" s="1350"/>
      <c r="AF555" s="1350"/>
      <c r="AG555" s="1350"/>
      <c r="AH555" s="1350"/>
      <c r="AI555" s="1350"/>
      <c r="AJ555" s="1350"/>
      <c r="AK555" s="1350"/>
      <c r="AL555" s="1350"/>
      <c r="AM555" s="1350"/>
      <c r="AN555" s="1350"/>
      <c r="AO555" s="1350"/>
      <c r="AP555" s="1350"/>
      <c r="AQ555" s="1350"/>
      <c r="AR555" s="1350"/>
      <c r="AS555" s="1350"/>
      <c r="AT555" s="1350"/>
      <c r="AU555" s="1350"/>
      <c r="AV555" s="1350"/>
      <c r="AW555" s="1350"/>
      <c r="AX555" s="1350"/>
      <c r="AY555" s="1350"/>
      <c r="AZ555" s="1350"/>
      <c r="BA555" s="1070"/>
      <c r="BB555" s="1070"/>
      <c r="BC555" s="1070"/>
      <c r="BD555" s="1070"/>
      <c r="BE555" s="1070"/>
      <c r="BF555" s="1070"/>
      <c r="BG555" s="1070"/>
      <c r="BH555" s="1070"/>
      <c r="BI555" s="1070"/>
      <c r="BJ555" s="1070"/>
      <c r="BK555" s="1070"/>
      <c r="BL555" s="1070"/>
      <c r="BM555" s="1070"/>
      <c r="BN555" s="1070"/>
      <c r="BO555" s="1070"/>
      <c r="BP555" s="1070"/>
      <c r="BQ555" s="1070"/>
      <c r="BR555" s="1070"/>
      <c r="BS555" s="1070"/>
      <c r="BT555" s="1070"/>
      <c r="BU555" s="1070"/>
      <c r="BV555" s="1070"/>
      <c r="BW555" s="1070"/>
      <c r="BX555" s="1070"/>
      <c r="BY555" s="1070"/>
      <c r="BZ555" s="1070"/>
      <c r="CA555" s="1070"/>
      <c r="CB555" s="1070"/>
      <c r="CC555" s="1070"/>
      <c r="CD555" s="1070"/>
      <c r="CE555" s="1070"/>
      <c r="CF555" s="1070"/>
      <c r="CG555" s="1070"/>
      <c r="CH555" s="1070"/>
      <c r="CI555" s="1070"/>
      <c r="CJ555" s="1070"/>
      <c r="CK555" s="1070"/>
      <c r="CL555" s="1070"/>
      <c r="CM555" s="1070"/>
      <c r="CN555" s="1070"/>
      <c r="CO555" s="1070"/>
      <c r="CP555" s="1070"/>
      <c r="CQ555" s="1070"/>
      <c r="CR555" s="1070"/>
      <c r="CS555" s="1070"/>
      <c r="CT555" s="1070"/>
      <c r="CU555" s="1070"/>
      <c r="CV555" s="1070"/>
      <c r="CW555" s="1070"/>
      <c r="CX555" s="1070"/>
      <c r="CY555" s="1070"/>
      <c r="CZ555" s="1070"/>
      <c r="DA555" s="1070"/>
      <c r="DB555" s="1070"/>
      <c r="DC555" s="1070"/>
      <c r="DD555" s="1070"/>
      <c r="DE555" s="1070"/>
      <c r="DF555" s="1070"/>
      <c r="DG555" s="1070"/>
      <c r="DH555" s="1070"/>
      <c r="DI555" s="1070"/>
    </row>
    <row r="556" spans="1:113" ht="15.75" x14ac:dyDescent="0.25">
      <c r="A556" s="1430" t="s">
        <v>425</v>
      </c>
      <c r="B556" s="1443">
        <f>IF(B557=1,5.98,4.64)</f>
        <v>4.6399999999999997</v>
      </c>
      <c r="C556" s="1437"/>
      <c r="D556" s="1429"/>
      <c r="E556" s="1429"/>
      <c r="F556" s="1429"/>
      <c r="G556" s="1429"/>
      <c r="H556" s="1350"/>
      <c r="I556" s="1350"/>
      <c r="J556" s="1350"/>
      <c r="K556" s="1350"/>
      <c r="L556" s="1350"/>
      <c r="M556" s="1350"/>
      <c r="N556" s="1350"/>
      <c r="O556" s="1350"/>
      <c r="P556" s="1350"/>
      <c r="Q556" s="1350"/>
      <c r="R556" s="1350"/>
      <c r="S556" s="1350"/>
      <c r="T556" s="1350"/>
      <c r="U556" s="1350"/>
      <c r="V556" s="1350"/>
      <c r="W556" s="1350"/>
      <c r="X556" s="1350"/>
      <c r="Y556" s="1350"/>
      <c r="Z556" s="1350"/>
      <c r="AA556" s="1350"/>
      <c r="AB556" s="1350"/>
      <c r="AC556" s="1350"/>
      <c r="AD556" s="1350"/>
      <c r="AE556" s="1350"/>
      <c r="AF556" s="1350"/>
      <c r="AG556" s="1350"/>
      <c r="AH556" s="1350"/>
      <c r="AI556" s="1350"/>
      <c r="AJ556" s="1350"/>
      <c r="AK556" s="1350"/>
      <c r="AL556" s="1350"/>
      <c r="AM556" s="1350"/>
      <c r="AN556" s="1350"/>
      <c r="AO556" s="1350"/>
      <c r="AP556" s="1350"/>
      <c r="AQ556" s="1350"/>
      <c r="AR556" s="1350"/>
      <c r="AS556" s="1350"/>
      <c r="AT556" s="1350"/>
      <c r="AU556" s="1350"/>
      <c r="AV556" s="1350"/>
      <c r="AW556" s="1350"/>
      <c r="AX556" s="1350"/>
      <c r="AY556" s="1350"/>
      <c r="AZ556" s="1350"/>
      <c r="BA556" s="1070"/>
      <c r="BB556" s="1070"/>
      <c r="BC556" s="1070"/>
      <c r="BD556" s="1070"/>
      <c r="BE556" s="1070"/>
      <c r="BF556" s="1070"/>
      <c r="BG556" s="1070"/>
      <c r="BH556" s="1070"/>
      <c r="BI556" s="1070"/>
      <c r="BJ556" s="1070"/>
      <c r="BK556" s="1070"/>
      <c r="BL556" s="1070"/>
      <c r="BM556" s="1070"/>
      <c r="BN556" s="1070"/>
      <c r="BO556" s="1070"/>
      <c r="BP556" s="1070"/>
      <c r="BQ556" s="1070"/>
      <c r="BR556" s="1070"/>
      <c r="BS556" s="1070"/>
      <c r="BT556" s="1070"/>
      <c r="BU556" s="1070"/>
      <c r="BV556" s="1070"/>
      <c r="BW556" s="1070"/>
      <c r="BX556" s="1070"/>
      <c r="BY556" s="1070"/>
      <c r="BZ556" s="1070"/>
      <c r="CA556" s="1070"/>
      <c r="CB556" s="1070"/>
      <c r="CC556" s="1070"/>
      <c r="CD556" s="1070"/>
      <c r="CE556" s="1070"/>
      <c r="CF556" s="1070"/>
      <c r="CG556" s="1070"/>
      <c r="CH556" s="1070"/>
      <c r="CI556" s="1070"/>
      <c r="CJ556" s="1070"/>
      <c r="CK556" s="1070"/>
      <c r="CL556" s="1070"/>
      <c r="CM556" s="1070"/>
      <c r="CN556" s="1070"/>
      <c r="CO556" s="1070"/>
      <c r="CP556" s="1070"/>
      <c r="CQ556" s="1070"/>
      <c r="CR556" s="1070"/>
      <c r="CS556" s="1070"/>
      <c r="CT556" s="1070"/>
      <c r="CU556" s="1070"/>
      <c r="CV556" s="1070"/>
      <c r="CW556" s="1070"/>
      <c r="CX556" s="1070"/>
      <c r="CY556" s="1070"/>
      <c r="CZ556" s="1070"/>
      <c r="DA556" s="1070"/>
      <c r="DB556" s="1070"/>
      <c r="DC556" s="1070"/>
      <c r="DD556" s="1070"/>
      <c r="DE556" s="1070"/>
      <c r="DF556" s="1070"/>
      <c r="DG556" s="1070"/>
      <c r="DH556" s="1070"/>
      <c r="DI556" s="1070"/>
    </row>
    <row r="557" spans="1:113" ht="15.75" x14ac:dyDescent="0.25">
      <c r="A557" s="1456" t="s">
        <v>5168</v>
      </c>
      <c r="B557" s="1469">
        <v>2</v>
      </c>
      <c r="C557" s="1470"/>
      <c r="D557" s="1429"/>
      <c r="E557" s="1429"/>
      <c r="F557" s="1429"/>
      <c r="G557" s="1429"/>
      <c r="H557" s="1350"/>
      <c r="I557" s="1350"/>
      <c r="J557" s="1350"/>
      <c r="K557" s="1350"/>
      <c r="L557" s="1350"/>
      <c r="M557" s="1350"/>
      <c r="N557" s="1350"/>
      <c r="O557" s="1350"/>
      <c r="P557" s="1350"/>
      <c r="Q557" s="1350"/>
      <c r="R557" s="1350"/>
      <c r="S557" s="1350"/>
      <c r="T557" s="1350"/>
      <c r="U557" s="1350"/>
      <c r="V557" s="1350"/>
      <c r="W557" s="1350"/>
      <c r="X557" s="1350"/>
      <c r="Y557" s="1350"/>
      <c r="Z557" s="1350"/>
      <c r="AA557" s="1350"/>
      <c r="AB557" s="1350"/>
      <c r="AC557" s="1350"/>
      <c r="AD557" s="1350"/>
      <c r="AE557" s="1350"/>
      <c r="AF557" s="1350"/>
      <c r="AG557" s="1350"/>
      <c r="AH557" s="1350"/>
      <c r="AI557" s="1350"/>
      <c r="AJ557" s="1350"/>
      <c r="AK557" s="1350"/>
      <c r="AL557" s="1350"/>
      <c r="AM557" s="1350"/>
      <c r="AN557" s="1350"/>
      <c r="AO557" s="1350"/>
      <c r="AP557" s="1350"/>
      <c r="AQ557" s="1350"/>
      <c r="AR557" s="1350"/>
      <c r="AS557" s="1350"/>
      <c r="AT557" s="1350"/>
      <c r="AU557" s="1350"/>
      <c r="AV557" s="1350"/>
      <c r="AW557" s="1350"/>
      <c r="AX557" s="1350"/>
      <c r="AY557" s="1350"/>
      <c r="AZ557" s="1350"/>
      <c r="BA557" s="1070"/>
      <c r="BB557" s="1070"/>
      <c r="BC557" s="1070"/>
      <c r="BD557" s="1070"/>
      <c r="BE557" s="1070"/>
      <c r="BF557" s="1070"/>
      <c r="BG557" s="1070"/>
      <c r="BH557" s="1070"/>
      <c r="BI557" s="1070"/>
      <c r="BJ557" s="1070"/>
      <c r="BK557" s="1070"/>
      <c r="BL557" s="1070"/>
      <c r="BM557" s="1070"/>
      <c r="BN557" s="1070"/>
      <c r="BO557" s="1070"/>
      <c r="BP557" s="1070"/>
      <c r="BQ557" s="1070"/>
      <c r="BR557" s="1070"/>
      <c r="BS557" s="1070"/>
      <c r="BT557" s="1070"/>
      <c r="BU557" s="1070"/>
      <c r="BV557" s="1070"/>
      <c r="BW557" s="1070"/>
      <c r="BX557" s="1070"/>
      <c r="BY557" s="1070"/>
      <c r="BZ557" s="1070"/>
      <c r="CA557" s="1070"/>
      <c r="CB557" s="1070"/>
      <c r="CC557" s="1070"/>
      <c r="CD557" s="1070"/>
      <c r="CE557" s="1070"/>
      <c r="CF557" s="1070"/>
      <c r="CG557" s="1070"/>
      <c r="CH557" s="1070"/>
      <c r="CI557" s="1070"/>
      <c r="CJ557" s="1070"/>
      <c r="CK557" s="1070"/>
      <c r="CL557" s="1070"/>
      <c r="CM557" s="1070"/>
      <c r="CN557" s="1070"/>
      <c r="CO557" s="1070"/>
      <c r="CP557" s="1070"/>
      <c r="CQ557" s="1070"/>
      <c r="CR557" s="1070"/>
      <c r="CS557" s="1070"/>
      <c r="CT557" s="1070"/>
      <c r="CU557" s="1070"/>
      <c r="CV557" s="1070"/>
      <c r="CW557" s="1070"/>
      <c r="CX557" s="1070"/>
      <c r="CY557" s="1070"/>
      <c r="CZ557" s="1070"/>
      <c r="DA557" s="1070"/>
      <c r="DB557" s="1070"/>
      <c r="DC557" s="1070"/>
      <c r="DD557" s="1070"/>
      <c r="DE557" s="1070"/>
      <c r="DF557" s="1070"/>
      <c r="DG557" s="1070"/>
      <c r="DH557" s="1070"/>
      <c r="DI557" s="1070"/>
    </row>
    <row r="558" spans="1:113" ht="15.75" x14ac:dyDescent="0.25">
      <c r="A558" s="1430" t="s">
        <v>3412</v>
      </c>
      <c r="B558" s="1443" t="e">
        <f>B556*B341</f>
        <v>#VALUE!</v>
      </c>
      <c r="C558" s="1437"/>
      <c r="D558" s="1485"/>
      <c r="E558" s="1485"/>
      <c r="F558" s="1485"/>
      <c r="G558" s="1485"/>
      <c r="H558" s="1350"/>
      <c r="I558" s="1350"/>
      <c r="J558" s="1350"/>
      <c r="K558" s="1350"/>
      <c r="L558" s="1350"/>
      <c r="M558" s="1350"/>
      <c r="N558" s="1350"/>
      <c r="O558" s="1350"/>
      <c r="P558" s="1350"/>
      <c r="Q558" s="1350"/>
      <c r="R558" s="1350"/>
      <c r="S558" s="1350"/>
      <c r="T558" s="1350"/>
      <c r="U558" s="1350"/>
      <c r="V558" s="1350"/>
      <c r="W558" s="1350"/>
      <c r="X558" s="1350"/>
      <c r="Y558" s="1350"/>
      <c r="Z558" s="1350"/>
      <c r="AA558" s="1350"/>
      <c r="AB558" s="1350"/>
      <c r="AC558" s="1350"/>
      <c r="AD558" s="1350"/>
      <c r="AE558" s="1350"/>
      <c r="AF558" s="1350"/>
      <c r="AG558" s="1350"/>
      <c r="AH558" s="1350"/>
      <c r="AI558" s="1350"/>
      <c r="AJ558" s="1350"/>
      <c r="AK558" s="1350"/>
      <c r="AL558" s="1350"/>
      <c r="AM558" s="1350"/>
      <c r="AN558" s="1350"/>
      <c r="AO558" s="1350"/>
      <c r="AP558" s="1350"/>
      <c r="AQ558" s="1350"/>
      <c r="AR558" s="1350"/>
      <c r="AS558" s="1350"/>
      <c r="AT558" s="1350"/>
      <c r="AU558" s="1350"/>
      <c r="AV558" s="1350"/>
      <c r="AW558" s="1350"/>
      <c r="AX558" s="1350"/>
      <c r="AY558" s="1350"/>
      <c r="AZ558" s="1350"/>
      <c r="BA558" s="1070"/>
      <c r="BB558" s="1070"/>
      <c r="BC558" s="1070"/>
      <c r="BD558" s="1070"/>
      <c r="BE558" s="1070"/>
      <c r="BF558" s="1070"/>
      <c r="BG558" s="1070"/>
      <c r="BH558" s="1070"/>
      <c r="BI558" s="1070"/>
      <c r="BJ558" s="1070"/>
      <c r="BK558" s="1070"/>
      <c r="BL558" s="1070"/>
      <c r="BM558" s="1070"/>
      <c r="BN558" s="1070"/>
      <c r="BO558" s="1070"/>
      <c r="BP558" s="1070"/>
      <c r="BQ558" s="1070"/>
      <c r="BR558" s="1070"/>
      <c r="BS558" s="1070"/>
      <c r="BT558" s="1070"/>
      <c r="BU558" s="1070"/>
      <c r="BV558" s="1070"/>
      <c r="BW558" s="1070"/>
      <c r="BX558" s="1070"/>
      <c r="BY558" s="1070"/>
      <c r="BZ558" s="1070"/>
      <c r="CA558" s="1070"/>
      <c r="CB558" s="1070"/>
      <c r="CC558" s="1070"/>
      <c r="CD558" s="1070"/>
      <c r="CE558" s="1070"/>
      <c r="CF558" s="1070"/>
      <c r="CG558" s="1070"/>
      <c r="CH558" s="1070"/>
      <c r="CI558" s="1070"/>
      <c r="CJ558" s="1070"/>
      <c r="CK558" s="1070"/>
      <c r="CL558" s="1070"/>
      <c r="CM558" s="1070"/>
      <c r="CN558" s="1070"/>
      <c r="CO558" s="1070"/>
      <c r="CP558" s="1070"/>
      <c r="CQ558" s="1070"/>
      <c r="CR558" s="1070"/>
      <c r="CS558" s="1070"/>
      <c r="CT558" s="1070"/>
      <c r="CU558" s="1070"/>
      <c r="CV558" s="1070"/>
      <c r="CW558" s="1070"/>
      <c r="CX558" s="1070"/>
      <c r="CY558" s="1070"/>
      <c r="CZ558" s="1070"/>
      <c r="DA558" s="1070"/>
      <c r="DB558" s="1070"/>
      <c r="DC558" s="1070"/>
      <c r="DD558" s="1070"/>
      <c r="DE558" s="1070"/>
      <c r="DF558" s="1070"/>
      <c r="DG558" s="1070"/>
      <c r="DH558" s="1070"/>
      <c r="DI558" s="1070"/>
    </row>
    <row r="559" spans="1:113" ht="15.75" x14ac:dyDescent="0.25">
      <c r="A559" s="1466" t="s">
        <v>5169</v>
      </c>
      <c r="B559" s="1453" t="e">
        <f>B555/B558</f>
        <v>#VALUE!</v>
      </c>
      <c r="C559" s="1454"/>
      <c r="D559" s="1454"/>
      <c r="E559" s="1454"/>
      <c r="F559" s="1454"/>
      <c r="G559" s="1454"/>
      <c r="H559" s="1350"/>
      <c r="I559" s="1350"/>
      <c r="J559" s="1350"/>
      <c r="K559" s="1350"/>
      <c r="L559" s="1350"/>
      <c r="M559" s="1350"/>
      <c r="N559" s="1350"/>
      <c r="O559" s="1350"/>
      <c r="P559" s="1350"/>
      <c r="Q559" s="1350"/>
      <c r="R559" s="1350"/>
      <c r="S559" s="1350"/>
      <c r="T559" s="1350"/>
      <c r="U559" s="1350"/>
      <c r="V559" s="1350"/>
      <c r="W559" s="1350"/>
      <c r="X559" s="1350"/>
      <c r="Y559" s="1350"/>
      <c r="Z559" s="1350"/>
      <c r="AA559" s="1350"/>
      <c r="AB559" s="1350"/>
      <c r="AC559" s="1350"/>
      <c r="AD559" s="1350"/>
      <c r="AE559" s="1350"/>
      <c r="AF559" s="1350"/>
      <c r="AG559" s="1350"/>
      <c r="AH559" s="1350"/>
      <c r="AI559" s="1350"/>
      <c r="AJ559" s="1350"/>
      <c r="AK559" s="1350"/>
      <c r="AL559" s="1350"/>
      <c r="AM559" s="1350"/>
      <c r="AN559" s="1350"/>
      <c r="AO559" s="1350"/>
      <c r="AP559" s="1350"/>
      <c r="AQ559" s="1350"/>
      <c r="AR559" s="1350"/>
      <c r="AS559" s="1350"/>
      <c r="AT559" s="1350"/>
      <c r="AU559" s="1350"/>
      <c r="AV559" s="1350"/>
      <c r="AW559" s="1350"/>
      <c r="AX559" s="1350"/>
      <c r="AY559" s="1350"/>
      <c r="AZ559" s="1350"/>
      <c r="BA559" s="1070"/>
      <c r="BB559" s="1070"/>
      <c r="BC559" s="1070"/>
      <c r="BD559" s="1070"/>
      <c r="BE559" s="1070"/>
      <c r="BF559" s="1070"/>
      <c r="BG559" s="1070"/>
      <c r="BH559" s="1070"/>
      <c r="BI559" s="1070"/>
      <c r="BJ559" s="1070"/>
      <c r="BK559" s="1070"/>
      <c r="BL559" s="1070"/>
      <c r="BM559" s="1070"/>
      <c r="BN559" s="1070"/>
      <c r="BO559" s="1070"/>
      <c r="BP559" s="1070"/>
      <c r="BQ559" s="1070"/>
      <c r="BR559" s="1070"/>
      <c r="BS559" s="1070"/>
      <c r="BT559" s="1070"/>
      <c r="BU559" s="1070"/>
      <c r="BV559" s="1070"/>
      <c r="BW559" s="1070"/>
      <c r="BX559" s="1070"/>
      <c r="BY559" s="1070"/>
      <c r="BZ559" s="1070"/>
      <c r="CA559" s="1070"/>
      <c r="CB559" s="1070"/>
      <c r="CC559" s="1070"/>
      <c r="CD559" s="1070"/>
      <c r="CE559" s="1070"/>
      <c r="CF559" s="1070"/>
      <c r="CG559" s="1070"/>
      <c r="CH559" s="1070"/>
      <c r="CI559" s="1070"/>
      <c r="CJ559" s="1070"/>
      <c r="CK559" s="1070"/>
      <c r="CL559" s="1070"/>
      <c r="CM559" s="1070"/>
      <c r="CN559" s="1070"/>
      <c r="CO559" s="1070"/>
      <c r="CP559" s="1070"/>
      <c r="CQ559" s="1070"/>
      <c r="CR559" s="1070"/>
      <c r="CS559" s="1070"/>
      <c r="CT559" s="1070"/>
      <c r="CU559" s="1070"/>
      <c r="CV559" s="1070"/>
      <c r="CW559" s="1070"/>
      <c r="CX559" s="1070"/>
      <c r="CY559" s="1070"/>
      <c r="CZ559" s="1070"/>
      <c r="DA559" s="1070"/>
      <c r="DB559" s="1070"/>
      <c r="DC559" s="1070"/>
      <c r="DD559" s="1070"/>
      <c r="DE559" s="1070"/>
      <c r="DF559" s="1070"/>
      <c r="DG559" s="1070"/>
      <c r="DH559" s="1070"/>
      <c r="DI559" s="1070"/>
    </row>
    <row r="560" spans="1:113" ht="15.75" x14ac:dyDescent="0.25">
      <c r="A560" s="1472"/>
      <c r="B560" s="1453"/>
      <c r="C560" s="1454"/>
      <c r="D560" s="1350"/>
      <c r="E560" s="1350"/>
      <c r="F560" s="1350"/>
      <c r="G560" s="1350"/>
      <c r="H560" s="1350"/>
      <c r="I560" s="1350"/>
      <c r="J560" s="1350"/>
      <c r="K560" s="1350"/>
      <c r="L560" s="1350"/>
      <c r="M560" s="1350"/>
      <c r="N560" s="1350"/>
      <c r="O560" s="1350"/>
      <c r="P560" s="1350"/>
      <c r="Q560" s="1350"/>
      <c r="R560" s="1350"/>
      <c r="S560" s="1350"/>
      <c r="T560" s="1350"/>
      <c r="U560" s="1350"/>
      <c r="V560" s="1350"/>
      <c r="W560" s="1350"/>
      <c r="X560" s="1350"/>
      <c r="Y560" s="1350"/>
      <c r="Z560" s="1350"/>
      <c r="AA560" s="1350"/>
      <c r="AB560" s="1350"/>
      <c r="AC560" s="1350"/>
      <c r="AD560" s="1350"/>
      <c r="AE560" s="1350"/>
      <c r="AF560" s="1350"/>
      <c r="AG560" s="1350"/>
      <c r="AH560" s="1350"/>
      <c r="AI560" s="1350"/>
      <c r="AJ560" s="1350"/>
      <c r="AK560" s="1350"/>
      <c r="AL560" s="1350"/>
      <c r="AM560" s="1350"/>
      <c r="AN560" s="1350"/>
      <c r="AO560" s="1350"/>
      <c r="AP560" s="1350"/>
      <c r="AQ560" s="1350"/>
      <c r="AR560" s="1350"/>
      <c r="AS560" s="1350"/>
      <c r="AT560" s="1350"/>
      <c r="AU560" s="1350"/>
      <c r="AV560" s="1350"/>
      <c r="AW560" s="1350"/>
      <c r="AX560" s="1350"/>
      <c r="AY560" s="1350"/>
      <c r="AZ560" s="1350"/>
      <c r="BA560" s="1070"/>
      <c r="BB560" s="1070"/>
      <c r="BC560" s="1070"/>
      <c r="BD560" s="1070"/>
      <c r="BE560" s="1070"/>
      <c r="BF560" s="1070"/>
      <c r="BG560" s="1070"/>
      <c r="BH560" s="1070"/>
      <c r="BI560" s="1070"/>
      <c r="BJ560" s="1070"/>
      <c r="BK560" s="1070"/>
      <c r="BL560" s="1070"/>
      <c r="BM560" s="1070"/>
      <c r="BN560" s="1070"/>
      <c r="BO560" s="1070"/>
      <c r="BP560" s="1070"/>
      <c r="BQ560" s="1070"/>
      <c r="BR560" s="1070"/>
      <c r="BS560" s="1070"/>
      <c r="BT560" s="1070"/>
      <c r="BU560" s="1070"/>
      <c r="BV560" s="1070"/>
      <c r="BW560" s="1070"/>
      <c r="BX560" s="1070"/>
      <c r="BY560" s="1070"/>
      <c r="BZ560" s="1070"/>
      <c r="CA560" s="1070"/>
      <c r="CB560" s="1070"/>
      <c r="CC560" s="1070"/>
      <c r="CD560" s="1070"/>
      <c r="CE560" s="1070"/>
      <c r="CF560" s="1070"/>
      <c r="CG560" s="1070"/>
      <c r="CH560" s="1070"/>
      <c r="CI560" s="1070"/>
      <c r="CJ560" s="1070"/>
      <c r="CK560" s="1070"/>
      <c r="CL560" s="1070"/>
      <c r="CM560" s="1070"/>
      <c r="CN560" s="1070"/>
      <c r="CO560" s="1070"/>
      <c r="CP560" s="1070"/>
      <c r="CQ560" s="1070"/>
      <c r="CR560" s="1070"/>
      <c r="CS560" s="1070"/>
      <c r="CT560" s="1070"/>
      <c r="CU560" s="1070"/>
      <c r="CV560" s="1070"/>
      <c r="CW560" s="1070"/>
      <c r="CX560" s="1070"/>
      <c r="CY560" s="1070"/>
      <c r="CZ560" s="1070"/>
      <c r="DA560" s="1070"/>
      <c r="DB560" s="1070"/>
      <c r="DC560" s="1070"/>
      <c r="DD560" s="1070"/>
      <c r="DE560" s="1070"/>
      <c r="DF560" s="1070"/>
      <c r="DG560" s="1070"/>
      <c r="DH560" s="1070"/>
      <c r="DI560" s="1070"/>
    </row>
    <row r="561" spans="1:113" ht="15.75" x14ac:dyDescent="0.25">
      <c r="A561" s="1487" t="s">
        <v>5170</v>
      </c>
      <c r="B561" s="1488"/>
      <c r="C561" s="1454"/>
      <c r="D561" s="1350"/>
      <c r="E561" s="1350"/>
      <c r="F561" s="1350"/>
      <c r="G561" s="1350"/>
      <c r="H561" s="1350"/>
      <c r="I561" s="1350"/>
      <c r="J561" s="1350"/>
      <c r="K561" s="1350"/>
      <c r="L561" s="1350"/>
      <c r="M561" s="1350"/>
      <c r="N561" s="1350"/>
      <c r="O561" s="1350"/>
      <c r="P561" s="1350"/>
      <c r="Q561" s="1350"/>
      <c r="R561" s="1350"/>
      <c r="S561" s="1350"/>
      <c r="T561" s="1350"/>
      <c r="U561" s="1350"/>
      <c r="V561" s="1350"/>
      <c r="W561" s="1350"/>
      <c r="X561" s="1350"/>
      <c r="Y561" s="1350"/>
      <c r="Z561" s="1350"/>
      <c r="AA561" s="1350"/>
      <c r="AB561" s="1350"/>
      <c r="AC561" s="1350"/>
      <c r="AD561" s="1350"/>
      <c r="AE561" s="1350"/>
      <c r="AF561" s="1350"/>
      <c r="AG561" s="1350"/>
      <c r="AH561" s="1350"/>
      <c r="AI561" s="1350"/>
      <c r="AJ561" s="1350"/>
      <c r="AK561" s="1350"/>
      <c r="AL561" s="1350"/>
      <c r="AM561" s="1350"/>
      <c r="AN561" s="1350"/>
      <c r="AO561" s="1350"/>
      <c r="AP561" s="1350"/>
      <c r="AQ561" s="1350"/>
      <c r="AR561" s="1350"/>
      <c r="AS561" s="1350"/>
      <c r="AT561" s="1350"/>
      <c r="AU561" s="1350"/>
      <c r="AV561" s="1350"/>
      <c r="AW561" s="1350"/>
      <c r="AX561" s="1350"/>
      <c r="AY561" s="1350"/>
      <c r="AZ561" s="1350"/>
      <c r="BA561" s="1070"/>
      <c r="BB561" s="1070"/>
      <c r="BC561" s="1070"/>
      <c r="BD561" s="1070"/>
      <c r="BE561" s="1070"/>
      <c r="BF561" s="1070"/>
      <c r="BG561" s="1070"/>
      <c r="BH561" s="1070"/>
      <c r="BI561" s="1070"/>
      <c r="BJ561" s="1070"/>
      <c r="BK561" s="1070"/>
      <c r="BL561" s="1070"/>
      <c r="BM561" s="1070"/>
      <c r="BN561" s="1070"/>
      <c r="BO561" s="1070"/>
      <c r="BP561" s="1070"/>
      <c r="BQ561" s="1070"/>
      <c r="BR561" s="1070"/>
      <c r="BS561" s="1070"/>
      <c r="BT561" s="1070"/>
      <c r="BU561" s="1070"/>
      <c r="BV561" s="1070"/>
      <c r="BW561" s="1070"/>
      <c r="BX561" s="1070"/>
      <c r="BY561" s="1070"/>
      <c r="BZ561" s="1070"/>
      <c r="CA561" s="1070"/>
      <c r="CB561" s="1070"/>
      <c r="CC561" s="1070"/>
      <c r="CD561" s="1070"/>
      <c r="CE561" s="1070"/>
      <c r="CF561" s="1070"/>
      <c r="CG561" s="1070"/>
      <c r="CH561" s="1070"/>
      <c r="CI561" s="1070"/>
      <c r="CJ561" s="1070"/>
      <c r="CK561" s="1070"/>
      <c r="CL561" s="1070"/>
      <c r="CM561" s="1070"/>
      <c r="CN561" s="1070"/>
      <c r="CO561" s="1070"/>
      <c r="CP561" s="1070"/>
      <c r="CQ561" s="1070"/>
      <c r="CR561" s="1070"/>
      <c r="CS561" s="1070"/>
      <c r="CT561" s="1070"/>
      <c r="CU561" s="1070"/>
      <c r="CV561" s="1070"/>
      <c r="CW561" s="1070"/>
      <c r="CX561" s="1070"/>
      <c r="CY561" s="1070"/>
      <c r="CZ561" s="1070"/>
      <c r="DA561" s="1070"/>
      <c r="DB561" s="1070"/>
      <c r="DC561" s="1070"/>
      <c r="DD561" s="1070"/>
      <c r="DE561" s="1070"/>
      <c r="DF561" s="1070"/>
      <c r="DG561" s="1070"/>
      <c r="DH561" s="1070"/>
      <c r="DI561" s="1070"/>
    </row>
    <row r="562" spans="1:113" ht="15.75" x14ac:dyDescent="0.25">
      <c r="A562" s="1489" t="s">
        <v>5171</v>
      </c>
      <c r="B562" s="1490">
        <f>B291/B310</f>
        <v>1.25</v>
      </c>
      <c r="C562" s="1432"/>
      <c r="D562" s="1432"/>
      <c r="E562" s="1432"/>
      <c r="F562" s="1432"/>
      <c r="G562" s="1432"/>
      <c r="H562" s="1350"/>
      <c r="I562" s="1350"/>
      <c r="J562" s="1350"/>
      <c r="K562" s="1350"/>
      <c r="L562" s="1350"/>
      <c r="M562" s="1350"/>
      <c r="N562" s="1350"/>
      <c r="O562" s="1350"/>
      <c r="P562" s="1350"/>
      <c r="Q562" s="1350"/>
      <c r="R562" s="1350"/>
      <c r="S562" s="1350"/>
      <c r="T562" s="1350"/>
      <c r="U562" s="1350"/>
      <c r="V562" s="1350"/>
      <c r="W562" s="1350"/>
      <c r="X562" s="1350"/>
      <c r="Y562" s="1350"/>
      <c r="Z562" s="1350"/>
      <c r="AA562" s="1350"/>
      <c r="AB562" s="1350"/>
      <c r="AC562" s="1350"/>
      <c r="AD562" s="1350"/>
      <c r="AE562" s="1350"/>
      <c r="AF562" s="1350"/>
      <c r="AG562" s="1350"/>
      <c r="AH562" s="1350"/>
      <c r="AI562" s="1350"/>
      <c r="AJ562" s="1350"/>
      <c r="AK562" s="1350"/>
      <c r="AL562" s="1350"/>
      <c r="AM562" s="1350"/>
      <c r="AN562" s="1350"/>
      <c r="AO562" s="1350"/>
      <c r="AP562" s="1350"/>
      <c r="AQ562" s="1350"/>
      <c r="AR562" s="1350"/>
      <c r="AS562" s="1350"/>
      <c r="AT562" s="1350"/>
      <c r="AU562" s="1350"/>
      <c r="AV562" s="1350"/>
      <c r="AW562" s="1350"/>
      <c r="AX562" s="1350"/>
      <c r="AY562" s="1350"/>
      <c r="AZ562" s="1350"/>
      <c r="BA562" s="1070"/>
      <c r="BB562" s="1070"/>
      <c r="BC562" s="1070"/>
      <c r="BD562" s="1070"/>
      <c r="BE562" s="1070"/>
      <c r="BF562" s="1070"/>
      <c r="BG562" s="1070"/>
      <c r="BH562" s="1070"/>
      <c r="BI562" s="1070"/>
      <c r="BJ562" s="1070"/>
      <c r="BK562" s="1070"/>
      <c r="BL562" s="1070"/>
      <c r="BM562" s="1070"/>
      <c r="BN562" s="1070"/>
      <c r="BO562" s="1070"/>
      <c r="BP562" s="1070"/>
      <c r="BQ562" s="1070"/>
      <c r="BR562" s="1070"/>
      <c r="BS562" s="1070"/>
      <c r="BT562" s="1070"/>
      <c r="BU562" s="1070"/>
      <c r="BV562" s="1070"/>
      <c r="BW562" s="1070"/>
      <c r="BX562" s="1070"/>
      <c r="BY562" s="1070"/>
      <c r="BZ562" s="1070"/>
      <c r="CA562" s="1070"/>
      <c r="CB562" s="1070"/>
      <c r="CC562" s="1070"/>
      <c r="CD562" s="1070"/>
      <c r="CE562" s="1070"/>
      <c r="CF562" s="1070"/>
      <c r="CG562" s="1070"/>
      <c r="CH562" s="1070"/>
      <c r="CI562" s="1070"/>
      <c r="CJ562" s="1070"/>
      <c r="CK562" s="1070"/>
      <c r="CL562" s="1070"/>
      <c r="CM562" s="1070"/>
      <c r="CN562" s="1070"/>
      <c r="CO562" s="1070"/>
      <c r="CP562" s="1070"/>
      <c r="CQ562" s="1070"/>
      <c r="CR562" s="1070"/>
      <c r="CS562" s="1070"/>
      <c r="CT562" s="1070"/>
      <c r="CU562" s="1070"/>
      <c r="CV562" s="1070"/>
      <c r="CW562" s="1070"/>
      <c r="CX562" s="1070"/>
      <c r="CY562" s="1070"/>
      <c r="CZ562" s="1070"/>
      <c r="DA562" s="1070"/>
      <c r="DB562" s="1070"/>
      <c r="DC562" s="1070"/>
      <c r="DD562" s="1070"/>
      <c r="DE562" s="1070"/>
      <c r="DF562" s="1070"/>
      <c r="DG562" s="1070"/>
      <c r="DH562" s="1070"/>
      <c r="DI562" s="1070"/>
    </row>
    <row r="563" spans="1:113" ht="47.25" x14ac:dyDescent="0.25">
      <c r="A563" s="1491" t="s">
        <v>3196</v>
      </c>
      <c r="B563" s="1492">
        <f>B265</f>
        <v>1</v>
      </c>
      <c r="C563" s="1470"/>
      <c r="D563" s="1437"/>
      <c r="E563" s="1437"/>
      <c r="F563" s="1437"/>
      <c r="G563" s="1437"/>
      <c r="H563" s="1350"/>
      <c r="I563" s="1350"/>
      <c r="J563" s="1350"/>
      <c r="K563" s="1350"/>
      <c r="L563" s="1350"/>
      <c r="M563" s="1350"/>
      <c r="N563" s="1350"/>
      <c r="O563" s="1350"/>
      <c r="P563" s="1350"/>
      <c r="Q563" s="1350"/>
      <c r="R563" s="1350"/>
      <c r="S563" s="1350"/>
      <c r="T563" s="1350"/>
      <c r="U563" s="1350"/>
      <c r="V563" s="1350"/>
      <c r="W563" s="1350"/>
      <c r="X563" s="1350"/>
      <c r="Y563" s="1350"/>
      <c r="Z563" s="1350"/>
      <c r="AA563" s="1350"/>
      <c r="AB563" s="1350"/>
      <c r="AC563" s="1350"/>
      <c r="AD563" s="1350"/>
      <c r="AE563" s="1350"/>
      <c r="AF563" s="1350"/>
      <c r="AG563" s="1350"/>
      <c r="AH563" s="1350"/>
      <c r="AI563" s="1350"/>
      <c r="AJ563" s="1350"/>
      <c r="AK563" s="1350"/>
      <c r="AL563" s="1350"/>
      <c r="AM563" s="1350"/>
      <c r="AN563" s="1350"/>
      <c r="AO563" s="1350"/>
      <c r="AP563" s="1350"/>
      <c r="AQ563" s="1350"/>
      <c r="AR563" s="1350"/>
      <c r="AS563" s="1350"/>
      <c r="AT563" s="1350"/>
      <c r="AU563" s="1350"/>
      <c r="AV563" s="1350"/>
      <c r="AW563" s="1350"/>
      <c r="AX563" s="1350"/>
      <c r="AY563" s="1350"/>
      <c r="AZ563" s="1350"/>
      <c r="BA563" s="1070"/>
      <c r="BB563" s="1070"/>
      <c r="BC563" s="1070"/>
      <c r="BD563" s="1070"/>
      <c r="BE563" s="1070"/>
      <c r="BF563" s="1070"/>
      <c r="BG563" s="1070"/>
      <c r="BH563" s="1070"/>
      <c r="BI563" s="1070"/>
      <c r="BJ563" s="1070"/>
      <c r="BK563" s="1070"/>
      <c r="BL563" s="1070"/>
      <c r="BM563" s="1070"/>
      <c r="BN563" s="1070"/>
      <c r="BO563" s="1070"/>
      <c r="BP563" s="1070"/>
      <c r="BQ563" s="1070"/>
      <c r="BR563" s="1070"/>
      <c r="BS563" s="1070"/>
      <c r="BT563" s="1070"/>
      <c r="BU563" s="1070"/>
      <c r="BV563" s="1070"/>
      <c r="BW563" s="1070"/>
      <c r="BX563" s="1070"/>
      <c r="BY563" s="1070"/>
      <c r="BZ563" s="1070"/>
      <c r="CA563" s="1070"/>
      <c r="CB563" s="1070"/>
      <c r="CC563" s="1070"/>
      <c r="CD563" s="1070"/>
      <c r="CE563" s="1070"/>
      <c r="CF563" s="1070"/>
      <c r="CG563" s="1070"/>
      <c r="CH563" s="1070"/>
      <c r="CI563" s="1070"/>
      <c r="CJ563" s="1070"/>
      <c r="CK563" s="1070"/>
      <c r="CL563" s="1070"/>
      <c r="CM563" s="1070"/>
      <c r="CN563" s="1070"/>
      <c r="CO563" s="1070"/>
      <c r="CP563" s="1070"/>
      <c r="CQ563" s="1070"/>
      <c r="CR563" s="1070"/>
      <c r="CS563" s="1070"/>
      <c r="CT563" s="1070"/>
      <c r="CU563" s="1070"/>
      <c r="CV563" s="1070"/>
      <c r="CW563" s="1070"/>
      <c r="CX563" s="1070"/>
      <c r="CY563" s="1070"/>
      <c r="CZ563" s="1070"/>
      <c r="DA563" s="1070"/>
      <c r="DB563" s="1070"/>
      <c r="DC563" s="1070"/>
      <c r="DD563" s="1070"/>
      <c r="DE563" s="1070"/>
      <c r="DF563" s="1070"/>
      <c r="DG563" s="1070"/>
      <c r="DH563" s="1070"/>
      <c r="DI563" s="1070"/>
    </row>
    <row r="564" spans="1:113" ht="15.75" x14ac:dyDescent="0.25">
      <c r="A564" s="1489" t="s">
        <v>425</v>
      </c>
      <c r="B564" s="1490">
        <f>IF(B563&lt;2,B567,IF(B563&lt;3,B566,B568))</f>
        <v>8.68</v>
      </c>
      <c r="C564" s="1432"/>
      <c r="D564" s="1470"/>
      <c r="E564" s="1470"/>
      <c r="F564" s="1470"/>
      <c r="G564" s="1470"/>
      <c r="H564" s="1350"/>
      <c r="I564" s="1350"/>
      <c r="J564" s="1350"/>
      <c r="K564" s="1350"/>
      <c r="L564" s="1350"/>
      <c r="M564" s="1350"/>
      <c r="N564" s="1350"/>
      <c r="O564" s="1350"/>
      <c r="P564" s="1350"/>
      <c r="Q564" s="1350"/>
      <c r="R564" s="1350"/>
      <c r="S564" s="1350"/>
      <c r="T564" s="1350"/>
      <c r="U564" s="1350"/>
      <c r="V564" s="1350"/>
      <c r="W564" s="1350"/>
      <c r="X564" s="1350"/>
      <c r="Y564" s="1350"/>
      <c r="Z564" s="1350"/>
      <c r="AA564" s="1350"/>
      <c r="AB564" s="1350"/>
      <c r="AC564" s="1350"/>
      <c r="AD564" s="1350"/>
      <c r="AE564" s="1350"/>
      <c r="AF564" s="1350"/>
      <c r="AG564" s="1350"/>
      <c r="AH564" s="1350"/>
      <c r="AI564" s="1350"/>
      <c r="AJ564" s="1350"/>
      <c r="AK564" s="1350"/>
      <c r="AL564" s="1350"/>
      <c r="AM564" s="1350"/>
      <c r="AN564" s="1350"/>
      <c r="AO564" s="1350"/>
      <c r="AP564" s="1350"/>
      <c r="AQ564" s="1350"/>
      <c r="AR564" s="1350"/>
      <c r="AS564" s="1350"/>
      <c r="AT564" s="1350"/>
      <c r="AU564" s="1350"/>
      <c r="AV564" s="1350"/>
      <c r="AW564" s="1350"/>
      <c r="AX564" s="1350"/>
      <c r="AY564" s="1350"/>
      <c r="AZ564" s="1350"/>
      <c r="BA564" s="1070"/>
      <c r="BB564" s="1070"/>
      <c r="BC564" s="1070"/>
      <c r="BD564" s="1070"/>
      <c r="BE564" s="1070"/>
      <c r="BF564" s="1070"/>
      <c r="BG564" s="1070"/>
      <c r="BH564" s="1070"/>
      <c r="BI564" s="1070"/>
      <c r="BJ564" s="1070"/>
      <c r="BK564" s="1070"/>
      <c r="BL564" s="1070"/>
      <c r="BM564" s="1070"/>
      <c r="BN564" s="1070"/>
      <c r="BO564" s="1070"/>
      <c r="BP564" s="1070"/>
      <c r="BQ564" s="1070"/>
      <c r="BR564" s="1070"/>
      <c r="BS564" s="1070"/>
      <c r="BT564" s="1070"/>
      <c r="BU564" s="1070"/>
      <c r="BV564" s="1070"/>
      <c r="BW564" s="1070"/>
      <c r="BX564" s="1070"/>
      <c r="BY564" s="1070"/>
      <c r="BZ564" s="1070"/>
      <c r="CA564" s="1070"/>
      <c r="CB564" s="1070"/>
      <c r="CC564" s="1070"/>
      <c r="CD564" s="1070"/>
      <c r="CE564" s="1070"/>
      <c r="CF564" s="1070"/>
      <c r="CG564" s="1070"/>
      <c r="CH564" s="1070"/>
      <c r="CI564" s="1070"/>
      <c r="CJ564" s="1070"/>
      <c r="CK564" s="1070"/>
      <c r="CL564" s="1070"/>
      <c r="CM564" s="1070"/>
      <c r="CN564" s="1070"/>
      <c r="CO564" s="1070"/>
      <c r="CP564" s="1070"/>
      <c r="CQ564" s="1070"/>
      <c r="CR564" s="1070"/>
      <c r="CS564" s="1070"/>
      <c r="CT564" s="1070"/>
      <c r="CU564" s="1070"/>
      <c r="CV564" s="1070"/>
      <c r="CW564" s="1070"/>
      <c r="CX564" s="1070"/>
      <c r="CY564" s="1070"/>
      <c r="CZ564" s="1070"/>
      <c r="DA564" s="1070"/>
      <c r="DB564" s="1070"/>
      <c r="DC564" s="1070"/>
      <c r="DD564" s="1070"/>
      <c r="DE564" s="1070"/>
      <c r="DF564" s="1070"/>
      <c r="DG564" s="1070"/>
      <c r="DH564" s="1070"/>
      <c r="DI564" s="1070"/>
    </row>
    <row r="565" spans="1:113" ht="15.75" x14ac:dyDescent="0.25">
      <c r="A565" s="1493" t="s">
        <v>3001</v>
      </c>
      <c r="B565" s="1494"/>
      <c r="C565" s="1454"/>
      <c r="D565" s="1437"/>
      <c r="E565" s="1437"/>
      <c r="F565" s="1437"/>
      <c r="G565" s="1437"/>
      <c r="H565" s="1350"/>
      <c r="I565" s="1350"/>
      <c r="J565" s="1350"/>
      <c r="K565" s="1350"/>
      <c r="L565" s="1350"/>
      <c r="M565" s="1350"/>
      <c r="N565" s="1350"/>
      <c r="O565" s="1350"/>
      <c r="P565" s="1350"/>
      <c r="Q565" s="1350"/>
      <c r="R565" s="1350"/>
      <c r="S565" s="1350"/>
      <c r="T565" s="1350"/>
      <c r="U565" s="1350"/>
      <c r="V565" s="1350"/>
      <c r="W565" s="1350"/>
      <c r="X565" s="1350"/>
      <c r="Y565" s="1350"/>
      <c r="Z565" s="1350"/>
      <c r="AA565" s="1350"/>
      <c r="AB565" s="1350"/>
      <c r="AC565" s="1350"/>
      <c r="AD565" s="1350"/>
      <c r="AE565" s="1350"/>
      <c r="AF565" s="1350"/>
      <c r="AG565" s="1350"/>
      <c r="AH565" s="1350"/>
      <c r="AI565" s="1350"/>
      <c r="AJ565" s="1350"/>
      <c r="AK565" s="1350"/>
      <c r="AL565" s="1350"/>
      <c r="AM565" s="1350"/>
      <c r="AN565" s="1350"/>
      <c r="AO565" s="1350"/>
      <c r="AP565" s="1350"/>
      <c r="AQ565" s="1350"/>
      <c r="AR565" s="1350"/>
      <c r="AS565" s="1350"/>
      <c r="AT565" s="1350"/>
      <c r="AU565" s="1350"/>
      <c r="AV565" s="1350"/>
      <c r="AW565" s="1350"/>
      <c r="AX565" s="1350"/>
      <c r="AY565" s="1350"/>
      <c r="AZ565" s="1350"/>
      <c r="BA565" s="1070"/>
      <c r="BB565" s="1070"/>
      <c r="BC565" s="1070"/>
      <c r="BD565" s="1070"/>
      <c r="BE565" s="1070"/>
      <c r="BF565" s="1070"/>
      <c r="BG565" s="1070"/>
      <c r="BH565" s="1070"/>
      <c r="BI565" s="1070"/>
      <c r="BJ565" s="1070"/>
      <c r="BK565" s="1070"/>
      <c r="BL565" s="1070"/>
      <c r="BM565" s="1070"/>
      <c r="BN565" s="1070"/>
      <c r="BO565" s="1070"/>
      <c r="BP565" s="1070"/>
      <c r="BQ565" s="1070"/>
      <c r="BR565" s="1070"/>
      <c r="BS565" s="1070"/>
      <c r="BT565" s="1070"/>
      <c r="BU565" s="1070"/>
      <c r="BV565" s="1070"/>
      <c r="BW565" s="1070"/>
      <c r="BX565" s="1070"/>
      <c r="BY565" s="1070"/>
      <c r="BZ565" s="1070"/>
      <c r="CA565" s="1070"/>
      <c r="CB565" s="1070"/>
      <c r="CC565" s="1070"/>
      <c r="CD565" s="1070"/>
      <c r="CE565" s="1070"/>
      <c r="CF565" s="1070"/>
      <c r="CG565" s="1070"/>
      <c r="CH565" s="1070"/>
      <c r="CI565" s="1070"/>
      <c r="CJ565" s="1070"/>
      <c r="CK565" s="1070"/>
      <c r="CL565" s="1070"/>
      <c r="CM565" s="1070"/>
      <c r="CN565" s="1070"/>
      <c r="CO565" s="1070"/>
      <c r="CP565" s="1070"/>
      <c r="CQ565" s="1070"/>
      <c r="CR565" s="1070"/>
      <c r="CS565" s="1070"/>
      <c r="CT565" s="1070"/>
      <c r="CU565" s="1070"/>
      <c r="CV565" s="1070"/>
      <c r="CW565" s="1070"/>
      <c r="CX565" s="1070"/>
      <c r="CY565" s="1070"/>
      <c r="CZ565" s="1070"/>
      <c r="DA565" s="1070"/>
      <c r="DB565" s="1070"/>
      <c r="DC565" s="1070"/>
      <c r="DD565" s="1070"/>
      <c r="DE565" s="1070"/>
      <c r="DF565" s="1070"/>
      <c r="DG565" s="1070"/>
      <c r="DH565" s="1070"/>
      <c r="DI565" s="1070"/>
    </row>
    <row r="566" spans="1:113" ht="15.75" x14ac:dyDescent="0.25">
      <c r="A566" s="1489" t="s">
        <v>5112</v>
      </c>
      <c r="B566" s="1490">
        <f>IF(B314&lt;6.01,11.5,IF(B314&lt;8.01,9.41,IF(B314&lt;10.01,7.87,IF(B314&lt;12.01,6.5,IF(B314&lt;14.01,5.66,IF(B314&lt;16.01,4.84,IF(B314&lt;18.01,4.08,3.5)))))))</f>
        <v>11.5</v>
      </c>
      <c r="C566" s="1432"/>
      <c r="D566" s="1454"/>
      <c r="E566" s="1454"/>
      <c r="F566" s="1454"/>
      <c r="G566" s="1454"/>
      <c r="H566" s="1350"/>
      <c r="I566" s="1350"/>
      <c r="J566" s="1350"/>
      <c r="K566" s="1350"/>
      <c r="L566" s="1350"/>
      <c r="M566" s="1350"/>
      <c r="N566" s="1350"/>
      <c r="O566" s="1350"/>
      <c r="P566" s="1350"/>
      <c r="Q566" s="1350"/>
      <c r="R566" s="1350"/>
      <c r="S566" s="1350"/>
      <c r="T566" s="1350"/>
      <c r="U566" s="1350"/>
      <c r="V566" s="1350"/>
      <c r="W566" s="1350"/>
      <c r="X566" s="1350"/>
      <c r="Y566" s="1350"/>
      <c r="Z566" s="1350"/>
      <c r="AA566" s="1350"/>
      <c r="AB566" s="1350"/>
      <c r="AC566" s="1350"/>
      <c r="AD566" s="1350"/>
      <c r="AE566" s="1350"/>
      <c r="AF566" s="1350"/>
      <c r="AG566" s="1350"/>
      <c r="AH566" s="1350"/>
      <c r="AI566" s="1350"/>
      <c r="AJ566" s="1350"/>
      <c r="AK566" s="1350"/>
      <c r="AL566" s="1350"/>
      <c r="AM566" s="1350"/>
      <c r="AN566" s="1350"/>
      <c r="AO566" s="1350"/>
      <c r="AP566" s="1350"/>
      <c r="AQ566" s="1350"/>
      <c r="AR566" s="1350"/>
      <c r="AS566" s="1350"/>
      <c r="AT566" s="1350"/>
      <c r="AU566" s="1350"/>
      <c r="AV566" s="1350"/>
      <c r="AW566" s="1350"/>
      <c r="AX566" s="1350"/>
      <c r="AY566" s="1350"/>
      <c r="AZ566" s="1350"/>
      <c r="BA566" s="1070"/>
      <c r="BB566" s="1070"/>
      <c r="BC566" s="1070"/>
      <c r="BD566" s="1070"/>
      <c r="BE566" s="1070"/>
      <c r="BF566" s="1070"/>
      <c r="BG566" s="1070"/>
      <c r="BH566" s="1070"/>
      <c r="BI566" s="1070"/>
      <c r="BJ566" s="1070"/>
      <c r="BK566" s="1070"/>
      <c r="BL566" s="1070"/>
      <c r="BM566" s="1070"/>
      <c r="BN566" s="1070"/>
      <c r="BO566" s="1070"/>
      <c r="BP566" s="1070"/>
      <c r="BQ566" s="1070"/>
      <c r="BR566" s="1070"/>
      <c r="BS566" s="1070"/>
      <c r="BT566" s="1070"/>
      <c r="BU566" s="1070"/>
      <c r="BV566" s="1070"/>
      <c r="BW566" s="1070"/>
      <c r="BX566" s="1070"/>
      <c r="BY566" s="1070"/>
      <c r="BZ566" s="1070"/>
      <c r="CA566" s="1070"/>
      <c r="CB566" s="1070"/>
      <c r="CC566" s="1070"/>
      <c r="CD566" s="1070"/>
      <c r="CE566" s="1070"/>
      <c r="CF566" s="1070"/>
      <c r="CG566" s="1070"/>
      <c r="CH566" s="1070"/>
      <c r="CI566" s="1070"/>
      <c r="CJ566" s="1070"/>
      <c r="CK566" s="1070"/>
      <c r="CL566" s="1070"/>
      <c r="CM566" s="1070"/>
      <c r="CN566" s="1070"/>
      <c r="CO566" s="1070"/>
      <c r="CP566" s="1070"/>
      <c r="CQ566" s="1070"/>
      <c r="CR566" s="1070"/>
      <c r="CS566" s="1070"/>
      <c r="CT566" s="1070"/>
      <c r="CU566" s="1070"/>
      <c r="CV566" s="1070"/>
      <c r="CW566" s="1070"/>
      <c r="CX566" s="1070"/>
      <c r="CY566" s="1070"/>
      <c r="CZ566" s="1070"/>
      <c r="DA566" s="1070"/>
      <c r="DB566" s="1070"/>
      <c r="DC566" s="1070"/>
      <c r="DD566" s="1070"/>
      <c r="DE566" s="1070"/>
      <c r="DF566" s="1070"/>
      <c r="DG566" s="1070"/>
      <c r="DH566" s="1070"/>
      <c r="DI566" s="1070"/>
    </row>
    <row r="567" spans="1:113" ht="15.75" x14ac:dyDescent="0.25">
      <c r="A567" s="1489" t="s">
        <v>5113</v>
      </c>
      <c r="B567" s="1490">
        <f>IF(B314&lt;6.01,8.68,IF(B314&lt;8.01,7.4,IF(B314&lt;10.01,6.28,IF(B314&lt;12.01,5.38,IF(B314&lt;14.01,4.7,IF(B314&lt;16.01,4.24,IF(B314&lt;18.01,3.71,3.37)))))))</f>
        <v>8.68</v>
      </c>
      <c r="C567" s="1432"/>
      <c r="D567" s="1454"/>
      <c r="E567" s="1454"/>
      <c r="F567" s="1454"/>
      <c r="G567" s="1454"/>
      <c r="H567" s="1350"/>
      <c r="I567" s="1350"/>
      <c r="J567" s="1350"/>
      <c r="K567" s="1350"/>
      <c r="L567" s="1350"/>
      <c r="M567" s="1350"/>
      <c r="N567" s="1350"/>
      <c r="O567" s="1350"/>
      <c r="P567" s="1350"/>
      <c r="Q567" s="1350"/>
      <c r="R567" s="1350"/>
      <c r="S567" s="1350"/>
      <c r="T567" s="1350"/>
      <c r="U567" s="1350"/>
      <c r="V567" s="1350"/>
      <c r="W567" s="1350"/>
      <c r="X567" s="1350"/>
      <c r="Y567" s="1350"/>
      <c r="Z567" s="1350"/>
      <c r="AA567" s="1350"/>
      <c r="AB567" s="1350"/>
      <c r="AC567" s="1350"/>
      <c r="AD567" s="1350"/>
      <c r="AE567" s="1350"/>
      <c r="AF567" s="1350"/>
      <c r="AG567" s="1350"/>
      <c r="AH567" s="1350"/>
      <c r="AI567" s="1350"/>
      <c r="AJ567" s="1350"/>
      <c r="AK567" s="1350"/>
      <c r="AL567" s="1350"/>
      <c r="AM567" s="1350"/>
      <c r="AN567" s="1350"/>
      <c r="AO567" s="1350"/>
      <c r="AP567" s="1350"/>
      <c r="AQ567" s="1350"/>
      <c r="AR567" s="1350"/>
      <c r="AS567" s="1350"/>
      <c r="AT567" s="1350"/>
      <c r="AU567" s="1350"/>
      <c r="AV567" s="1350"/>
      <c r="AW567" s="1350"/>
      <c r="AX567" s="1350"/>
      <c r="AY567" s="1350"/>
      <c r="AZ567" s="1350"/>
      <c r="BA567" s="1070"/>
      <c r="BB567" s="1070"/>
      <c r="BC567" s="1070"/>
      <c r="BD567" s="1070"/>
      <c r="BE567" s="1070"/>
      <c r="BF567" s="1070"/>
      <c r="BG567" s="1070"/>
      <c r="BH567" s="1070"/>
      <c r="BI567" s="1070"/>
      <c r="BJ567" s="1070"/>
      <c r="BK567" s="1070"/>
      <c r="BL567" s="1070"/>
      <c r="BM567" s="1070"/>
      <c r="BN567" s="1070"/>
      <c r="BO567" s="1070"/>
      <c r="BP567" s="1070"/>
      <c r="BQ567" s="1070"/>
      <c r="BR567" s="1070"/>
      <c r="BS567" s="1070"/>
      <c r="BT567" s="1070"/>
      <c r="BU567" s="1070"/>
      <c r="BV567" s="1070"/>
      <c r="BW567" s="1070"/>
      <c r="BX567" s="1070"/>
      <c r="BY567" s="1070"/>
      <c r="BZ567" s="1070"/>
      <c r="CA567" s="1070"/>
      <c r="CB567" s="1070"/>
      <c r="CC567" s="1070"/>
      <c r="CD567" s="1070"/>
      <c r="CE567" s="1070"/>
      <c r="CF567" s="1070"/>
      <c r="CG567" s="1070"/>
      <c r="CH567" s="1070"/>
      <c r="CI567" s="1070"/>
      <c r="CJ567" s="1070"/>
      <c r="CK567" s="1070"/>
      <c r="CL567" s="1070"/>
      <c r="CM567" s="1070"/>
      <c r="CN567" s="1070"/>
      <c r="CO567" s="1070"/>
      <c r="CP567" s="1070"/>
      <c r="CQ567" s="1070"/>
      <c r="CR567" s="1070"/>
      <c r="CS567" s="1070"/>
      <c r="CT567" s="1070"/>
      <c r="CU567" s="1070"/>
      <c r="CV567" s="1070"/>
      <c r="CW567" s="1070"/>
      <c r="CX567" s="1070"/>
      <c r="CY567" s="1070"/>
      <c r="CZ567" s="1070"/>
      <c r="DA567" s="1070"/>
      <c r="DB567" s="1070"/>
      <c r="DC567" s="1070"/>
      <c r="DD567" s="1070"/>
      <c r="DE567" s="1070"/>
      <c r="DF567" s="1070"/>
      <c r="DG567" s="1070"/>
      <c r="DH567" s="1070"/>
      <c r="DI567" s="1070"/>
    </row>
    <row r="568" spans="1:113" ht="15.75" x14ac:dyDescent="0.25">
      <c r="A568" s="1489" t="s">
        <v>5114</v>
      </c>
      <c r="B568" s="1490">
        <f>IF(B314&lt;6.01,6.32,IF(B314&lt;8.01,5.69,IF(B314&lt;10.01,4.97,IF(B314&lt;12.01,4.34,IF(B314&lt;14.01,3.97,IF(B314&lt;16.01,3.62,IF(B314&lt;18.01,3.29,2.98)))))))</f>
        <v>6.32</v>
      </c>
      <c r="C568" s="1432"/>
      <c r="D568" s="1454"/>
      <c r="E568" s="1454"/>
      <c r="F568" s="1454"/>
      <c r="G568" s="1454"/>
      <c r="H568" s="1350"/>
      <c r="I568" s="1350"/>
      <c r="J568" s="1350"/>
      <c r="K568" s="1350"/>
      <c r="L568" s="1350"/>
      <c r="M568" s="1350"/>
      <c r="N568" s="1350"/>
      <c r="O568" s="1350"/>
      <c r="P568" s="1350"/>
      <c r="Q568" s="1350"/>
      <c r="R568" s="1350"/>
      <c r="S568" s="1350"/>
      <c r="T568" s="1350"/>
      <c r="U568" s="1350"/>
      <c r="V568" s="1350"/>
      <c r="W568" s="1350"/>
      <c r="X568" s="1350"/>
      <c r="Y568" s="1350"/>
      <c r="Z568" s="1350"/>
      <c r="AA568" s="1350"/>
      <c r="AB568" s="1350"/>
      <c r="AC568" s="1350"/>
      <c r="AD568" s="1350"/>
      <c r="AE568" s="1350"/>
      <c r="AF568" s="1350"/>
      <c r="AG568" s="1350"/>
      <c r="AH568" s="1350"/>
      <c r="AI568" s="1350"/>
      <c r="AJ568" s="1350"/>
      <c r="AK568" s="1350"/>
      <c r="AL568" s="1350"/>
      <c r="AM568" s="1350"/>
      <c r="AN568" s="1350"/>
      <c r="AO568" s="1350"/>
      <c r="AP568" s="1350"/>
      <c r="AQ568" s="1350"/>
      <c r="AR568" s="1350"/>
      <c r="AS568" s="1350"/>
      <c r="AT568" s="1350"/>
      <c r="AU568" s="1350"/>
      <c r="AV568" s="1350"/>
      <c r="AW568" s="1350"/>
      <c r="AX568" s="1350"/>
      <c r="AY568" s="1350"/>
      <c r="AZ568" s="1350"/>
      <c r="BA568" s="1070"/>
      <c r="BB568" s="1070"/>
      <c r="BC568" s="1070"/>
      <c r="BD568" s="1070"/>
      <c r="BE568" s="1070"/>
      <c r="BF568" s="1070"/>
      <c r="BG568" s="1070"/>
      <c r="BH568" s="1070"/>
      <c r="BI568" s="1070"/>
      <c r="BJ568" s="1070"/>
      <c r="BK568" s="1070"/>
      <c r="BL568" s="1070"/>
      <c r="BM568" s="1070"/>
      <c r="BN568" s="1070"/>
      <c r="BO568" s="1070"/>
      <c r="BP568" s="1070"/>
      <c r="BQ568" s="1070"/>
      <c r="BR568" s="1070"/>
      <c r="BS568" s="1070"/>
      <c r="BT568" s="1070"/>
      <c r="BU568" s="1070"/>
      <c r="BV568" s="1070"/>
      <c r="BW568" s="1070"/>
      <c r="BX568" s="1070"/>
      <c r="BY568" s="1070"/>
      <c r="BZ568" s="1070"/>
      <c r="CA568" s="1070"/>
      <c r="CB568" s="1070"/>
      <c r="CC568" s="1070"/>
      <c r="CD568" s="1070"/>
      <c r="CE568" s="1070"/>
      <c r="CF568" s="1070"/>
      <c r="CG568" s="1070"/>
      <c r="CH568" s="1070"/>
      <c r="CI568" s="1070"/>
      <c r="CJ568" s="1070"/>
      <c r="CK568" s="1070"/>
      <c r="CL568" s="1070"/>
      <c r="CM568" s="1070"/>
      <c r="CN568" s="1070"/>
      <c r="CO568" s="1070"/>
      <c r="CP568" s="1070"/>
      <c r="CQ568" s="1070"/>
      <c r="CR568" s="1070"/>
      <c r="CS568" s="1070"/>
      <c r="CT568" s="1070"/>
      <c r="CU568" s="1070"/>
      <c r="CV568" s="1070"/>
      <c r="CW568" s="1070"/>
      <c r="CX568" s="1070"/>
      <c r="CY568" s="1070"/>
      <c r="CZ568" s="1070"/>
      <c r="DA568" s="1070"/>
      <c r="DB568" s="1070"/>
      <c r="DC568" s="1070"/>
      <c r="DD568" s="1070"/>
      <c r="DE568" s="1070"/>
      <c r="DF568" s="1070"/>
      <c r="DG568" s="1070"/>
      <c r="DH568" s="1070"/>
      <c r="DI568" s="1070"/>
    </row>
    <row r="569" spans="1:113" ht="31.5" x14ac:dyDescent="0.25">
      <c r="A569" s="1495" t="s">
        <v>3427</v>
      </c>
      <c r="B569" s="1496"/>
      <c r="C569" s="1454"/>
      <c r="D569" s="1432"/>
      <c r="E569" s="1432"/>
      <c r="F569" s="1432"/>
      <c r="G569" s="1432"/>
      <c r="H569" s="1350"/>
      <c r="I569" s="1350"/>
      <c r="J569" s="1350"/>
      <c r="K569" s="1350"/>
      <c r="L569" s="1350"/>
      <c r="M569" s="1350"/>
      <c r="N569" s="1350"/>
      <c r="O569" s="1350"/>
      <c r="P569" s="1350"/>
      <c r="Q569" s="1350"/>
      <c r="R569" s="1350"/>
      <c r="S569" s="1350"/>
      <c r="T569" s="1350"/>
      <c r="U569" s="1350"/>
      <c r="V569" s="1350"/>
      <c r="W569" s="1350"/>
      <c r="X569" s="1350"/>
      <c r="Y569" s="1350"/>
      <c r="Z569" s="1350"/>
      <c r="AA569" s="1350"/>
      <c r="AB569" s="1350"/>
      <c r="AC569" s="1350"/>
      <c r="AD569" s="1350"/>
      <c r="AE569" s="1350"/>
      <c r="AF569" s="1350"/>
      <c r="AG569" s="1350"/>
      <c r="AH569" s="1350"/>
      <c r="AI569" s="1350"/>
      <c r="AJ569" s="1350"/>
      <c r="AK569" s="1350"/>
      <c r="AL569" s="1350"/>
      <c r="AM569" s="1350"/>
      <c r="AN569" s="1350"/>
      <c r="AO569" s="1350"/>
      <c r="AP569" s="1350"/>
      <c r="AQ569" s="1350"/>
      <c r="AR569" s="1350"/>
      <c r="AS569" s="1350"/>
      <c r="AT569" s="1350"/>
      <c r="AU569" s="1350"/>
      <c r="AV569" s="1350"/>
      <c r="AW569" s="1350"/>
      <c r="AX569" s="1350"/>
      <c r="AY569" s="1350"/>
      <c r="AZ569" s="1350"/>
      <c r="BA569" s="1070"/>
      <c r="BB569" s="1070"/>
      <c r="BC569" s="1070"/>
      <c r="BD569" s="1070"/>
      <c r="BE569" s="1070"/>
      <c r="BF569" s="1070"/>
      <c r="BG569" s="1070"/>
      <c r="BH569" s="1070"/>
      <c r="BI569" s="1070"/>
      <c r="BJ569" s="1070"/>
      <c r="BK569" s="1070"/>
      <c r="BL569" s="1070"/>
      <c r="BM569" s="1070"/>
      <c r="BN569" s="1070"/>
      <c r="BO569" s="1070"/>
      <c r="BP569" s="1070"/>
      <c r="BQ569" s="1070"/>
      <c r="BR569" s="1070"/>
      <c r="BS569" s="1070"/>
      <c r="BT569" s="1070"/>
      <c r="BU569" s="1070"/>
      <c r="BV569" s="1070"/>
      <c r="BW569" s="1070"/>
      <c r="BX569" s="1070"/>
      <c r="BY569" s="1070"/>
      <c r="BZ569" s="1070"/>
      <c r="CA569" s="1070"/>
      <c r="CB569" s="1070"/>
      <c r="CC569" s="1070"/>
      <c r="CD569" s="1070"/>
      <c r="CE569" s="1070"/>
      <c r="CF569" s="1070"/>
      <c r="CG569" s="1070"/>
      <c r="CH569" s="1070"/>
      <c r="CI569" s="1070"/>
      <c r="CJ569" s="1070"/>
      <c r="CK569" s="1070"/>
      <c r="CL569" s="1070"/>
      <c r="CM569" s="1070"/>
      <c r="CN569" s="1070"/>
      <c r="CO569" s="1070"/>
      <c r="CP569" s="1070"/>
      <c r="CQ569" s="1070"/>
      <c r="CR569" s="1070"/>
      <c r="CS569" s="1070"/>
      <c r="CT569" s="1070"/>
      <c r="CU569" s="1070"/>
      <c r="CV569" s="1070"/>
      <c r="CW569" s="1070"/>
      <c r="CX569" s="1070"/>
      <c r="CY569" s="1070"/>
      <c r="CZ569" s="1070"/>
      <c r="DA569" s="1070"/>
      <c r="DB569" s="1070"/>
      <c r="DC569" s="1070"/>
      <c r="DD569" s="1070"/>
      <c r="DE569" s="1070"/>
      <c r="DF569" s="1070"/>
      <c r="DG569" s="1070"/>
      <c r="DH569" s="1070"/>
      <c r="DI569" s="1070"/>
    </row>
    <row r="570" spans="1:113" ht="15.75" x14ac:dyDescent="0.25">
      <c r="A570" s="1497" t="s">
        <v>3195</v>
      </c>
      <c r="B570" s="1434">
        <f>B264</f>
        <v>0</v>
      </c>
      <c r="C570" s="1470"/>
      <c r="D570" s="1470"/>
      <c r="E570" s="1470"/>
      <c r="F570" s="1470"/>
      <c r="G570" s="1470"/>
      <c r="H570" s="1350"/>
      <c r="I570" s="1350"/>
      <c r="J570" s="1350"/>
      <c r="K570" s="1350"/>
      <c r="L570" s="1350"/>
      <c r="M570" s="1350"/>
      <c r="N570" s="1350"/>
      <c r="O570" s="1350"/>
      <c r="P570" s="1350"/>
      <c r="Q570" s="1350"/>
      <c r="R570" s="1350"/>
      <c r="S570" s="1350"/>
      <c r="T570" s="1350"/>
      <c r="U570" s="1350"/>
      <c r="V570" s="1350"/>
      <c r="W570" s="1350"/>
      <c r="X570" s="1350"/>
      <c r="Y570" s="1350"/>
      <c r="Z570" s="1350"/>
      <c r="AA570" s="1350"/>
      <c r="AB570" s="1350"/>
      <c r="AC570" s="1350"/>
      <c r="AD570" s="1350"/>
      <c r="AE570" s="1350"/>
      <c r="AF570" s="1350"/>
      <c r="AG570" s="1350"/>
      <c r="AH570" s="1350"/>
      <c r="AI570" s="1350"/>
      <c r="AJ570" s="1350"/>
      <c r="AK570" s="1350"/>
      <c r="AL570" s="1350"/>
      <c r="AM570" s="1350"/>
      <c r="AN570" s="1350"/>
      <c r="AO570" s="1350"/>
      <c r="AP570" s="1350"/>
      <c r="AQ570" s="1350"/>
      <c r="AR570" s="1350"/>
      <c r="AS570" s="1350"/>
      <c r="AT570" s="1350"/>
      <c r="AU570" s="1350"/>
      <c r="AV570" s="1350"/>
      <c r="AW570" s="1350"/>
      <c r="AX570" s="1350"/>
      <c r="AY570" s="1350"/>
      <c r="AZ570" s="1350"/>
      <c r="BA570" s="1070"/>
      <c r="BB570" s="1070"/>
      <c r="BC570" s="1070"/>
      <c r="BD570" s="1070"/>
      <c r="BE570" s="1070"/>
      <c r="BF570" s="1070"/>
      <c r="BG570" s="1070"/>
      <c r="BH570" s="1070"/>
      <c r="BI570" s="1070"/>
      <c r="BJ570" s="1070"/>
      <c r="BK570" s="1070"/>
      <c r="BL570" s="1070"/>
      <c r="BM570" s="1070"/>
      <c r="BN570" s="1070"/>
      <c r="BO570" s="1070"/>
      <c r="BP570" s="1070"/>
      <c r="BQ570" s="1070"/>
      <c r="BR570" s="1070"/>
      <c r="BS570" s="1070"/>
      <c r="BT570" s="1070"/>
      <c r="BU570" s="1070"/>
      <c r="BV570" s="1070"/>
      <c r="BW570" s="1070"/>
      <c r="BX570" s="1070"/>
      <c r="BY570" s="1070"/>
      <c r="BZ570" s="1070"/>
      <c r="CA570" s="1070"/>
      <c r="CB570" s="1070"/>
      <c r="CC570" s="1070"/>
      <c r="CD570" s="1070"/>
      <c r="CE570" s="1070"/>
      <c r="CF570" s="1070"/>
      <c r="CG570" s="1070"/>
      <c r="CH570" s="1070"/>
      <c r="CI570" s="1070"/>
      <c r="CJ570" s="1070"/>
      <c r="CK570" s="1070"/>
      <c r="CL570" s="1070"/>
      <c r="CM570" s="1070"/>
      <c r="CN570" s="1070"/>
      <c r="CO570" s="1070"/>
      <c r="CP570" s="1070"/>
      <c r="CQ570" s="1070"/>
      <c r="CR570" s="1070"/>
      <c r="CS570" s="1070"/>
      <c r="CT570" s="1070"/>
      <c r="CU570" s="1070"/>
      <c r="CV570" s="1070"/>
      <c r="CW570" s="1070"/>
      <c r="CX570" s="1070"/>
      <c r="CY570" s="1070"/>
      <c r="CZ570" s="1070"/>
      <c r="DA570" s="1070"/>
      <c r="DB570" s="1070"/>
      <c r="DC570" s="1070"/>
      <c r="DD570" s="1070"/>
      <c r="DE570" s="1070"/>
      <c r="DF570" s="1070"/>
      <c r="DG570" s="1070"/>
      <c r="DH570" s="1070"/>
      <c r="DI570" s="1070"/>
    </row>
    <row r="571" spans="1:113" ht="15.75" x14ac:dyDescent="0.25">
      <c r="A571" s="1498" t="s">
        <v>3428</v>
      </c>
      <c r="B571" s="1499">
        <f>IF(B570=1,1,0.85)</f>
        <v>0.85</v>
      </c>
      <c r="C571" s="1437"/>
      <c r="D571" s="1432"/>
      <c r="E571" s="1432"/>
      <c r="F571" s="1432"/>
      <c r="G571" s="1432"/>
      <c r="H571" s="1350"/>
      <c r="I571" s="1350"/>
      <c r="J571" s="1350"/>
      <c r="K571" s="1350"/>
      <c r="L571" s="1350"/>
      <c r="M571" s="1350"/>
      <c r="N571" s="1350"/>
      <c r="O571" s="1350"/>
      <c r="P571" s="1350"/>
      <c r="Q571" s="1350"/>
      <c r="R571" s="1350"/>
      <c r="S571" s="1350"/>
      <c r="T571" s="1350"/>
      <c r="U571" s="1350"/>
      <c r="V571" s="1350"/>
      <c r="W571" s="1350"/>
      <c r="X571" s="1350"/>
      <c r="Y571" s="1350"/>
      <c r="Z571" s="1350"/>
      <c r="AA571" s="1350"/>
      <c r="AB571" s="1350"/>
      <c r="AC571" s="1350"/>
      <c r="AD571" s="1350"/>
      <c r="AE571" s="1350"/>
      <c r="AF571" s="1350"/>
      <c r="AG571" s="1350"/>
      <c r="AH571" s="1350"/>
      <c r="AI571" s="1350"/>
      <c r="AJ571" s="1350"/>
      <c r="AK571" s="1350"/>
      <c r="AL571" s="1350"/>
      <c r="AM571" s="1350"/>
      <c r="AN571" s="1350"/>
      <c r="AO571" s="1350"/>
      <c r="AP571" s="1350"/>
      <c r="AQ571" s="1350"/>
      <c r="AR571" s="1350"/>
      <c r="AS571" s="1350"/>
      <c r="AT571" s="1350"/>
      <c r="AU571" s="1350"/>
      <c r="AV571" s="1350"/>
      <c r="AW571" s="1350"/>
      <c r="AX571" s="1350"/>
      <c r="AY571" s="1350"/>
      <c r="AZ571" s="1350"/>
      <c r="BA571" s="1070"/>
      <c r="BB571" s="1070"/>
      <c r="BC571" s="1070"/>
      <c r="BD571" s="1070"/>
      <c r="BE571" s="1070"/>
      <c r="BF571" s="1070"/>
      <c r="BG571" s="1070"/>
      <c r="BH571" s="1070"/>
      <c r="BI571" s="1070"/>
      <c r="BJ571" s="1070"/>
      <c r="BK571" s="1070"/>
      <c r="BL571" s="1070"/>
      <c r="BM571" s="1070"/>
      <c r="BN571" s="1070"/>
      <c r="BO571" s="1070"/>
      <c r="BP571" s="1070"/>
      <c r="BQ571" s="1070"/>
      <c r="BR571" s="1070"/>
      <c r="BS571" s="1070"/>
      <c r="BT571" s="1070"/>
      <c r="BU571" s="1070"/>
      <c r="BV571" s="1070"/>
      <c r="BW571" s="1070"/>
      <c r="BX571" s="1070"/>
      <c r="BY571" s="1070"/>
      <c r="BZ571" s="1070"/>
      <c r="CA571" s="1070"/>
      <c r="CB571" s="1070"/>
      <c r="CC571" s="1070"/>
      <c r="CD571" s="1070"/>
      <c r="CE571" s="1070"/>
      <c r="CF571" s="1070"/>
      <c r="CG571" s="1070"/>
      <c r="CH571" s="1070"/>
      <c r="CI571" s="1070"/>
      <c r="CJ571" s="1070"/>
      <c r="CK571" s="1070"/>
      <c r="CL571" s="1070"/>
      <c r="CM571" s="1070"/>
      <c r="CN571" s="1070"/>
      <c r="CO571" s="1070"/>
      <c r="CP571" s="1070"/>
      <c r="CQ571" s="1070"/>
      <c r="CR571" s="1070"/>
      <c r="CS571" s="1070"/>
      <c r="CT571" s="1070"/>
      <c r="CU571" s="1070"/>
      <c r="CV571" s="1070"/>
      <c r="CW571" s="1070"/>
      <c r="CX571" s="1070"/>
      <c r="CY571" s="1070"/>
      <c r="CZ571" s="1070"/>
      <c r="DA571" s="1070"/>
      <c r="DB571" s="1070"/>
      <c r="DC571" s="1070"/>
      <c r="DD571" s="1070"/>
      <c r="DE571" s="1070"/>
      <c r="DF571" s="1070"/>
      <c r="DG571" s="1070"/>
      <c r="DH571" s="1070"/>
      <c r="DI571" s="1070"/>
    </row>
    <row r="572" spans="1:113" ht="15.75" x14ac:dyDescent="0.25">
      <c r="A572" s="1500" t="s">
        <v>3412</v>
      </c>
      <c r="B572" s="1501">
        <f>IF(B563&lt;2,B564,IF(B563&lt;3,B564,B564*B571))</f>
        <v>8.68</v>
      </c>
      <c r="C572" s="1437"/>
      <c r="D572" s="1454"/>
      <c r="E572" s="1454"/>
      <c r="F572" s="1454"/>
      <c r="G572" s="1454"/>
      <c r="H572" s="1350"/>
      <c r="I572" s="1350"/>
      <c r="J572" s="1350"/>
      <c r="K572" s="1350"/>
      <c r="L572" s="1350"/>
      <c r="M572" s="1350"/>
      <c r="N572" s="1350"/>
      <c r="O572" s="1350"/>
      <c r="P572" s="1350"/>
      <c r="Q572" s="1350"/>
      <c r="R572" s="1350"/>
      <c r="S572" s="1350"/>
      <c r="T572" s="1350"/>
      <c r="U572" s="1350"/>
      <c r="V572" s="1350"/>
      <c r="W572" s="1350"/>
      <c r="X572" s="1350"/>
      <c r="Y572" s="1350"/>
      <c r="Z572" s="1350"/>
      <c r="AA572" s="1350"/>
      <c r="AB572" s="1350"/>
      <c r="AC572" s="1350"/>
      <c r="AD572" s="1350"/>
      <c r="AE572" s="1350"/>
      <c r="AF572" s="1350"/>
      <c r="AG572" s="1350"/>
      <c r="AH572" s="1350"/>
      <c r="AI572" s="1350"/>
      <c r="AJ572" s="1350"/>
      <c r="AK572" s="1350"/>
      <c r="AL572" s="1350"/>
      <c r="AM572" s="1350"/>
      <c r="AN572" s="1350"/>
      <c r="AO572" s="1350"/>
      <c r="AP572" s="1350"/>
      <c r="AQ572" s="1350"/>
      <c r="AR572" s="1350"/>
      <c r="AS572" s="1350"/>
      <c r="AT572" s="1350"/>
      <c r="AU572" s="1350"/>
      <c r="AV572" s="1350"/>
      <c r="AW572" s="1350"/>
      <c r="AX572" s="1350"/>
      <c r="AY572" s="1350"/>
      <c r="AZ572" s="1350"/>
      <c r="BA572" s="1070"/>
      <c r="BB572" s="1070"/>
      <c r="BC572" s="1070"/>
      <c r="BD572" s="1070"/>
      <c r="BE572" s="1070"/>
      <c r="BF572" s="1070"/>
      <c r="BG572" s="1070"/>
      <c r="BH572" s="1070"/>
      <c r="BI572" s="1070"/>
      <c r="BJ572" s="1070"/>
      <c r="BK572" s="1070"/>
      <c r="BL572" s="1070"/>
      <c r="BM572" s="1070"/>
      <c r="BN572" s="1070"/>
      <c r="BO572" s="1070"/>
      <c r="BP572" s="1070"/>
      <c r="BQ572" s="1070"/>
      <c r="BR572" s="1070"/>
      <c r="BS572" s="1070"/>
      <c r="BT572" s="1070"/>
      <c r="BU572" s="1070"/>
      <c r="BV572" s="1070"/>
      <c r="BW572" s="1070"/>
      <c r="BX572" s="1070"/>
      <c r="BY572" s="1070"/>
      <c r="BZ572" s="1070"/>
      <c r="CA572" s="1070"/>
      <c r="CB572" s="1070"/>
      <c r="CC572" s="1070"/>
      <c r="CD572" s="1070"/>
      <c r="CE572" s="1070"/>
      <c r="CF572" s="1070"/>
      <c r="CG572" s="1070"/>
      <c r="CH572" s="1070"/>
      <c r="CI572" s="1070"/>
      <c r="CJ572" s="1070"/>
      <c r="CK572" s="1070"/>
      <c r="CL572" s="1070"/>
      <c r="CM572" s="1070"/>
      <c r="CN572" s="1070"/>
      <c r="CO572" s="1070"/>
      <c r="CP572" s="1070"/>
      <c r="CQ572" s="1070"/>
      <c r="CR572" s="1070"/>
      <c r="CS572" s="1070"/>
      <c r="CT572" s="1070"/>
      <c r="CU572" s="1070"/>
      <c r="CV572" s="1070"/>
      <c r="CW572" s="1070"/>
      <c r="CX572" s="1070"/>
      <c r="CY572" s="1070"/>
      <c r="CZ572" s="1070"/>
      <c r="DA572" s="1070"/>
      <c r="DB572" s="1070"/>
      <c r="DC572" s="1070"/>
      <c r="DD572" s="1070"/>
      <c r="DE572" s="1070"/>
      <c r="DF572" s="1070"/>
      <c r="DG572" s="1070"/>
      <c r="DH572" s="1070"/>
      <c r="DI572" s="1070"/>
    </row>
    <row r="573" spans="1:113" ht="15.75" x14ac:dyDescent="0.25">
      <c r="A573" s="1500" t="s">
        <v>429</v>
      </c>
      <c r="B573" s="1490">
        <f>B562/B572</f>
        <v>0.14400921658986177</v>
      </c>
      <c r="C573" s="1432"/>
      <c r="D573" s="1432"/>
      <c r="E573" s="1432"/>
      <c r="F573" s="1432"/>
      <c r="G573" s="1432"/>
      <c r="H573" s="1350"/>
      <c r="I573" s="1350"/>
      <c r="J573" s="1350"/>
      <c r="K573" s="1350"/>
      <c r="L573" s="1350"/>
      <c r="M573" s="1350"/>
      <c r="N573" s="1350"/>
      <c r="O573" s="1350"/>
      <c r="P573" s="1350"/>
      <c r="Q573" s="1350"/>
      <c r="R573" s="1350"/>
      <c r="S573" s="1350"/>
      <c r="T573" s="1350"/>
      <c r="U573" s="1350"/>
      <c r="V573" s="1350"/>
      <c r="W573" s="1350"/>
      <c r="X573" s="1350"/>
      <c r="Y573" s="1350"/>
      <c r="Z573" s="1350"/>
      <c r="AA573" s="1350"/>
      <c r="AB573" s="1350"/>
      <c r="AC573" s="1350"/>
      <c r="AD573" s="1350"/>
      <c r="AE573" s="1350"/>
      <c r="AF573" s="1350"/>
      <c r="AG573" s="1350"/>
      <c r="AH573" s="1350"/>
      <c r="AI573" s="1350"/>
      <c r="AJ573" s="1350"/>
      <c r="AK573" s="1350"/>
      <c r="AL573" s="1350"/>
      <c r="AM573" s="1350"/>
      <c r="AN573" s="1350"/>
      <c r="AO573" s="1350"/>
      <c r="AP573" s="1350"/>
      <c r="AQ573" s="1350"/>
      <c r="AR573" s="1350"/>
      <c r="AS573" s="1350"/>
      <c r="AT573" s="1350"/>
      <c r="AU573" s="1350"/>
      <c r="AV573" s="1350"/>
      <c r="AW573" s="1350"/>
      <c r="AX573" s="1350"/>
      <c r="AY573" s="1350"/>
      <c r="AZ573" s="1350"/>
      <c r="BA573" s="1070"/>
      <c r="BB573" s="1070"/>
      <c r="BC573" s="1070"/>
      <c r="BD573" s="1070"/>
      <c r="BE573" s="1070"/>
      <c r="BF573" s="1070"/>
      <c r="BG573" s="1070"/>
      <c r="BH573" s="1070"/>
      <c r="BI573" s="1070"/>
      <c r="BJ573" s="1070"/>
      <c r="BK573" s="1070"/>
      <c r="BL573" s="1070"/>
      <c r="BM573" s="1070"/>
      <c r="BN573" s="1070"/>
      <c r="BO573" s="1070"/>
      <c r="BP573" s="1070"/>
      <c r="BQ573" s="1070"/>
      <c r="BR573" s="1070"/>
      <c r="BS573" s="1070"/>
      <c r="BT573" s="1070"/>
      <c r="BU573" s="1070"/>
      <c r="BV573" s="1070"/>
      <c r="BW573" s="1070"/>
      <c r="BX573" s="1070"/>
      <c r="BY573" s="1070"/>
      <c r="BZ573" s="1070"/>
      <c r="CA573" s="1070"/>
      <c r="CB573" s="1070"/>
      <c r="CC573" s="1070"/>
      <c r="CD573" s="1070"/>
      <c r="CE573" s="1070"/>
      <c r="CF573" s="1070"/>
      <c r="CG573" s="1070"/>
      <c r="CH573" s="1070"/>
      <c r="CI573" s="1070"/>
      <c r="CJ573" s="1070"/>
      <c r="CK573" s="1070"/>
      <c r="CL573" s="1070"/>
      <c r="CM573" s="1070"/>
      <c r="CN573" s="1070"/>
      <c r="CO573" s="1070"/>
      <c r="CP573" s="1070"/>
      <c r="CQ573" s="1070"/>
      <c r="CR573" s="1070"/>
      <c r="CS573" s="1070"/>
      <c r="CT573" s="1070"/>
      <c r="CU573" s="1070"/>
      <c r="CV573" s="1070"/>
      <c r="CW573" s="1070"/>
      <c r="CX573" s="1070"/>
      <c r="CY573" s="1070"/>
      <c r="CZ573" s="1070"/>
      <c r="DA573" s="1070"/>
      <c r="DB573" s="1070"/>
      <c r="DC573" s="1070"/>
      <c r="DD573" s="1070"/>
      <c r="DE573" s="1070"/>
      <c r="DF573" s="1070"/>
      <c r="DG573" s="1070"/>
      <c r="DH573" s="1070"/>
      <c r="DI573" s="1070"/>
    </row>
    <row r="574" spans="1:113" ht="15.75" x14ac:dyDescent="0.25">
      <c r="A574" s="1488" t="s">
        <v>831</v>
      </c>
      <c r="B574" s="1494" t="e">
        <f>IF(B312=1,B573,0)</f>
        <v>#VALUE!</v>
      </c>
      <c r="C574" s="1454"/>
      <c r="D574" s="1432"/>
      <c r="E574" s="1432"/>
      <c r="F574" s="1432"/>
      <c r="G574" s="1432"/>
      <c r="H574" s="1350"/>
      <c r="I574" s="1350"/>
      <c r="J574" s="1350"/>
      <c r="K574" s="1350"/>
      <c r="L574" s="1350"/>
      <c r="M574" s="1350"/>
      <c r="N574" s="1350"/>
      <c r="O574" s="1350"/>
      <c r="P574" s="1350"/>
      <c r="Q574" s="1350"/>
      <c r="R574" s="1350"/>
      <c r="S574" s="1350"/>
      <c r="T574" s="1350"/>
      <c r="U574" s="1350"/>
      <c r="V574" s="1350"/>
      <c r="W574" s="1350"/>
      <c r="X574" s="1350"/>
      <c r="Y574" s="1350"/>
      <c r="Z574" s="1350"/>
      <c r="AA574" s="1350"/>
      <c r="AB574" s="1350"/>
      <c r="AC574" s="1350"/>
      <c r="AD574" s="1350"/>
      <c r="AE574" s="1350"/>
      <c r="AF574" s="1350"/>
      <c r="AG574" s="1350"/>
      <c r="AH574" s="1350"/>
      <c r="AI574" s="1350"/>
      <c r="AJ574" s="1350"/>
      <c r="AK574" s="1350"/>
      <c r="AL574" s="1350"/>
      <c r="AM574" s="1350"/>
      <c r="AN574" s="1350"/>
      <c r="AO574" s="1350"/>
      <c r="AP574" s="1350"/>
      <c r="AQ574" s="1350"/>
      <c r="AR574" s="1350"/>
      <c r="AS574" s="1350"/>
      <c r="AT574" s="1350"/>
      <c r="AU574" s="1350"/>
      <c r="AV574" s="1350"/>
      <c r="AW574" s="1350"/>
      <c r="AX574" s="1350"/>
      <c r="AY574" s="1350"/>
      <c r="AZ574" s="1350"/>
      <c r="BA574" s="1070"/>
      <c r="BB574" s="1070"/>
      <c r="BC574" s="1070"/>
      <c r="BD574" s="1070"/>
      <c r="BE574" s="1070"/>
      <c r="BF574" s="1070"/>
      <c r="BG574" s="1070"/>
      <c r="BH574" s="1070"/>
      <c r="BI574" s="1070"/>
      <c r="BJ574" s="1070"/>
      <c r="BK574" s="1070"/>
      <c r="BL574" s="1070"/>
      <c r="BM574" s="1070"/>
      <c r="BN574" s="1070"/>
      <c r="BO574" s="1070"/>
      <c r="BP574" s="1070"/>
      <c r="BQ574" s="1070"/>
      <c r="BR574" s="1070"/>
      <c r="BS574" s="1070"/>
      <c r="BT574" s="1070"/>
      <c r="BU574" s="1070"/>
      <c r="BV574" s="1070"/>
      <c r="BW574" s="1070"/>
      <c r="BX574" s="1070"/>
      <c r="BY574" s="1070"/>
      <c r="BZ574" s="1070"/>
      <c r="CA574" s="1070"/>
      <c r="CB574" s="1070"/>
      <c r="CC574" s="1070"/>
      <c r="CD574" s="1070"/>
      <c r="CE574" s="1070"/>
      <c r="CF574" s="1070"/>
      <c r="CG574" s="1070"/>
      <c r="CH574" s="1070"/>
      <c r="CI574" s="1070"/>
      <c r="CJ574" s="1070"/>
      <c r="CK574" s="1070"/>
      <c r="CL574" s="1070"/>
      <c r="CM574" s="1070"/>
      <c r="CN574" s="1070"/>
      <c r="CO574" s="1070"/>
      <c r="CP574" s="1070"/>
      <c r="CQ574" s="1070"/>
      <c r="CR574" s="1070"/>
      <c r="CS574" s="1070"/>
      <c r="CT574" s="1070"/>
      <c r="CU574" s="1070"/>
      <c r="CV574" s="1070"/>
      <c r="CW574" s="1070"/>
      <c r="CX574" s="1070"/>
      <c r="CY574" s="1070"/>
      <c r="CZ574" s="1070"/>
      <c r="DA574" s="1070"/>
      <c r="DB574" s="1070"/>
      <c r="DC574" s="1070"/>
      <c r="DD574" s="1070"/>
      <c r="DE574" s="1070"/>
      <c r="DF574" s="1070"/>
      <c r="DG574" s="1070"/>
      <c r="DH574" s="1070"/>
      <c r="DI574" s="1070"/>
    </row>
    <row r="575" spans="1:113" ht="15.75" x14ac:dyDescent="0.25">
      <c r="A575" s="1430"/>
      <c r="B575" s="1443"/>
      <c r="C575" s="1437"/>
      <c r="D575" s="1432"/>
      <c r="E575" s="1432"/>
      <c r="F575" s="1432"/>
      <c r="G575" s="1432"/>
      <c r="H575" s="1350"/>
      <c r="I575" s="1350"/>
      <c r="J575" s="1350"/>
      <c r="K575" s="1350"/>
      <c r="L575" s="1350"/>
      <c r="M575" s="1350"/>
      <c r="N575" s="1350"/>
      <c r="O575" s="1350"/>
      <c r="P575" s="1350"/>
      <c r="Q575" s="1350"/>
      <c r="R575" s="1350"/>
      <c r="S575" s="1350"/>
      <c r="T575" s="1350"/>
      <c r="U575" s="1350"/>
      <c r="V575" s="1350"/>
      <c r="W575" s="1350"/>
      <c r="X575" s="1350"/>
      <c r="Y575" s="1350"/>
      <c r="Z575" s="1350"/>
      <c r="AA575" s="1350"/>
      <c r="AB575" s="1350"/>
      <c r="AC575" s="1350"/>
      <c r="AD575" s="1350"/>
      <c r="AE575" s="1350"/>
      <c r="AF575" s="1350"/>
      <c r="AG575" s="1350"/>
      <c r="AH575" s="1350"/>
      <c r="AI575" s="1350"/>
      <c r="AJ575" s="1350"/>
      <c r="AK575" s="1350"/>
      <c r="AL575" s="1350"/>
      <c r="AM575" s="1350"/>
      <c r="AN575" s="1350"/>
      <c r="AO575" s="1350"/>
      <c r="AP575" s="1350"/>
      <c r="AQ575" s="1350"/>
      <c r="AR575" s="1350"/>
      <c r="AS575" s="1350"/>
      <c r="AT575" s="1350"/>
      <c r="AU575" s="1350"/>
      <c r="AV575" s="1350"/>
      <c r="AW575" s="1350"/>
      <c r="AX575" s="1350"/>
      <c r="AY575" s="1350"/>
      <c r="AZ575" s="1350"/>
      <c r="BA575" s="1070"/>
      <c r="BB575" s="1070"/>
      <c r="BC575" s="1070"/>
      <c r="BD575" s="1070"/>
      <c r="BE575" s="1070"/>
      <c r="BF575" s="1070"/>
      <c r="BG575" s="1070"/>
      <c r="BH575" s="1070"/>
      <c r="BI575" s="1070"/>
      <c r="BJ575" s="1070"/>
      <c r="BK575" s="1070"/>
      <c r="BL575" s="1070"/>
      <c r="BM575" s="1070"/>
      <c r="BN575" s="1070"/>
      <c r="BO575" s="1070"/>
      <c r="BP575" s="1070"/>
      <c r="BQ575" s="1070"/>
      <c r="BR575" s="1070"/>
      <c r="BS575" s="1070"/>
      <c r="BT575" s="1070"/>
      <c r="BU575" s="1070"/>
      <c r="BV575" s="1070"/>
      <c r="BW575" s="1070"/>
      <c r="BX575" s="1070"/>
      <c r="BY575" s="1070"/>
      <c r="BZ575" s="1070"/>
      <c r="CA575" s="1070"/>
      <c r="CB575" s="1070"/>
      <c r="CC575" s="1070"/>
      <c r="CD575" s="1070"/>
      <c r="CE575" s="1070"/>
      <c r="CF575" s="1070"/>
      <c r="CG575" s="1070"/>
      <c r="CH575" s="1070"/>
      <c r="CI575" s="1070"/>
      <c r="CJ575" s="1070"/>
      <c r="CK575" s="1070"/>
      <c r="CL575" s="1070"/>
      <c r="CM575" s="1070"/>
      <c r="CN575" s="1070"/>
      <c r="CO575" s="1070"/>
      <c r="CP575" s="1070"/>
      <c r="CQ575" s="1070"/>
      <c r="CR575" s="1070"/>
      <c r="CS575" s="1070"/>
      <c r="CT575" s="1070"/>
      <c r="CU575" s="1070"/>
      <c r="CV575" s="1070"/>
      <c r="CW575" s="1070"/>
      <c r="CX575" s="1070"/>
      <c r="CY575" s="1070"/>
      <c r="CZ575" s="1070"/>
      <c r="DA575" s="1070"/>
      <c r="DB575" s="1070"/>
      <c r="DC575" s="1070"/>
      <c r="DD575" s="1070"/>
      <c r="DE575" s="1070"/>
      <c r="DF575" s="1070"/>
      <c r="DG575" s="1070"/>
      <c r="DH575" s="1070"/>
      <c r="DI575" s="1070"/>
    </row>
    <row r="576" spans="1:113" ht="31.5" x14ac:dyDescent="0.25">
      <c r="A576" s="1502" t="s">
        <v>3429</v>
      </c>
      <c r="B576" s="1439"/>
      <c r="C576" s="1432"/>
      <c r="D576" s="1454"/>
      <c r="E576" s="1454"/>
      <c r="F576" s="1454"/>
      <c r="G576" s="1454"/>
      <c r="H576" s="1350"/>
      <c r="I576" s="1350"/>
      <c r="J576" s="1350"/>
      <c r="K576" s="1350"/>
      <c r="L576" s="1350"/>
      <c r="M576" s="1350"/>
      <c r="N576" s="1350"/>
      <c r="O576" s="1350"/>
      <c r="P576" s="1350"/>
      <c r="Q576" s="1350"/>
      <c r="R576" s="1350"/>
      <c r="S576" s="1350"/>
      <c r="T576" s="1350"/>
      <c r="U576" s="1350"/>
      <c r="V576" s="1350"/>
      <c r="W576" s="1350"/>
      <c r="X576" s="1350"/>
      <c r="Y576" s="1350"/>
      <c r="Z576" s="1350"/>
      <c r="AA576" s="1350"/>
      <c r="AB576" s="1350"/>
      <c r="AC576" s="1350"/>
      <c r="AD576" s="1350"/>
      <c r="AE576" s="1350"/>
      <c r="AF576" s="1350"/>
      <c r="AG576" s="1350"/>
      <c r="AH576" s="1350"/>
      <c r="AI576" s="1350"/>
      <c r="AJ576" s="1350"/>
      <c r="AK576" s="1350"/>
      <c r="AL576" s="1350"/>
      <c r="AM576" s="1350"/>
      <c r="AN576" s="1350"/>
      <c r="AO576" s="1350"/>
      <c r="AP576" s="1350"/>
      <c r="AQ576" s="1350"/>
      <c r="AR576" s="1350"/>
      <c r="AS576" s="1350"/>
      <c r="AT576" s="1350"/>
      <c r="AU576" s="1350"/>
      <c r="AV576" s="1350"/>
      <c r="AW576" s="1350"/>
      <c r="AX576" s="1350"/>
      <c r="AY576" s="1350"/>
      <c r="AZ576" s="1350"/>
      <c r="BA576" s="1070"/>
      <c r="BB576" s="1070"/>
      <c r="BC576" s="1070"/>
      <c r="BD576" s="1070"/>
      <c r="BE576" s="1070"/>
      <c r="BF576" s="1070"/>
      <c r="BG576" s="1070"/>
      <c r="BH576" s="1070"/>
      <c r="BI576" s="1070"/>
      <c r="BJ576" s="1070"/>
      <c r="BK576" s="1070"/>
      <c r="BL576" s="1070"/>
      <c r="BM576" s="1070"/>
      <c r="BN576" s="1070"/>
      <c r="BO576" s="1070"/>
      <c r="BP576" s="1070"/>
      <c r="BQ576" s="1070"/>
      <c r="BR576" s="1070"/>
      <c r="BS576" s="1070"/>
      <c r="BT576" s="1070"/>
      <c r="BU576" s="1070"/>
      <c r="BV576" s="1070"/>
      <c r="BW576" s="1070"/>
      <c r="BX576" s="1070"/>
      <c r="BY576" s="1070"/>
      <c r="BZ576" s="1070"/>
      <c r="CA576" s="1070"/>
      <c r="CB576" s="1070"/>
      <c r="CC576" s="1070"/>
      <c r="CD576" s="1070"/>
      <c r="CE576" s="1070"/>
      <c r="CF576" s="1070"/>
      <c r="CG576" s="1070"/>
      <c r="CH576" s="1070"/>
      <c r="CI576" s="1070"/>
      <c r="CJ576" s="1070"/>
      <c r="CK576" s="1070"/>
      <c r="CL576" s="1070"/>
      <c r="CM576" s="1070"/>
      <c r="CN576" s="1070"/>
      <c r="CO576" s="1070"/>
      <c r="CP576" s="1070"/>
      <c r="CQ576" s="1070"/>
      <c r="CR576" s="1070"/>
      <c r="CS576" s="1070"/>
      <c r="CT576" s="1070"/>
      <c r="CU576" s="1070"/>
      <c r="CV576" s="1070"/>
      <c r="CW576" s="1070"/>
      <c r="CX576" s="1070"/>
      <c r="CY576" s="1070"/>
      <c r="CZ576" s="1070"/>
      <c r="DA576" s="1070"/>
      <c r="DB576" s="1070"/>
      <c r="DC576" s="1070"/>
      <c r="DD576" s="1070"/>
      <c r="DE576" s="1070"/>
      <c r="DF576" s="1070"/>
      <c r="DG576" s="1070"/>
      <c r="DH576" s="1070"/>
      <c r="DI576" s="1070"/>
    </row>
    <row r="577" spans="1:113" ht="31.5" x14ac:dyDescent="0.25">
      <c r="A577" s="1435" t="s">
        <v>1612</v>
      </c>
      <c r="B577" s="1503">
        <v>4</v>
      </c>
      <c r="C577" s="1504"/>
      <c r="D577" s="1470"/>
      <c r="E577" s="1470"/>
      <c r="F577" s="1470"/>
      <c r="G577" s="1470"/>
      <c r="H577" s="1350"/>
      <c r="I577" s="1350"/>
      <c r="J577" s="1350"/>
      <c r="K577" s="1350"/>
      <c r="L577" s="1350"/>
      <c r="M577" s="1350"/>
      <c r="N577" s="1350"/>
      <c r="O577" s="1350"/>
      <c r="P577" s="1350"/>
      <c r="Q577" s="1350"/>
      <c r="R577" s="1350"/>
      <c r="S577" s="1350"/>
      <c r="T577" s="1350"/>
      <c r="U577" s="1350"/>
      <c r="V577" s="1350"/>
      <c r="W577" s="1350"/>
      <c r="X577" s="1350"/>
      <c r="Y577" s="1350"/>
      <c r="Z577" s="1350"/>
      <c r="AA577" s="1350"/>
      <c r="AB577" s="1350"/>
      <c r="AC577" s="1350"/>
      <c r="AD577" s="1350"/>
      <c r="AE577" s="1350"/>
      <c r="AF577" s="1350"/>
      <c r="AG577" s="1350"/>
      <c r="AH577" s="1350"/>
      <c r="AI577" s="1350"/>
      <c r="AJ577" s="1350"/>
      <c r="AK577" s="1350"/>
      <c r="AL577" s="1350"/>
      <c r="AM577" s="1350"/>
      <c r="AN577" s="1350"/>
      <c r="AO577" s="1350"/>
      <c r="AP577" s="1350"/>
      <c r="AQ577" s="1350"/>
      <c r="AR577" s="1350"/>
      <c r="AS577" s="1350"/>
      <c r="AT577" s="1350"/>
      <c r="AU577" s="1350"/>
      <c r="AV577" s="1350"/>
      <c r="AW577" s="1350"/>
      <c r="AX577" s="1350"/>
      <c r="AY577" s="1350"/>
      <c r="AZ577" s="1350"/>
      <c r="BA577" s="1070"/>
      <c r="BB577" s="1070"/>
      <c r="BC577" s="1070"/>
      <c r="BD577" s="1070"/>
      <c r="BE577" s="1070"/>
      <c r="BF577" s="1070"/>
      <c r="BG577" s="1070"/>
      <c r="BH577" s="1070"/>
      <c r="BI577" s="1070"/>
      <c r="BJ577" s="1070"/>
      <c r="BK577" s="1070"/>
      <c r="BL577" s="1070"/>
      <c r="BM577" s="1070"/>
      <c r="BN577" s="1070"/>
      <c r="BO577" s="1070"/>
      <c r="BP577" s="1070"/>
      <c r="BQ577" s="1070"/>
      <c r="BR577" s="1070"/>
      <c r="BS577" s="1070"/>
      <c r="BT577" s="1070"/>
      <c r="BU577" s="1070"/>
      <c r="BV577" s="1070"/>
      <c r="BW577" s="1070"/>
      <c r="BX577" s="1070"/>
      <c r="BY577" s="1070"/>
      <c r="BZ577" s="1070"/>
      <c r="CA577" s="1070"/>
      <c r="CB577" s="1070"/>
      <c r="CC577" s="1070"/>
      <c r="CD577" s="1070"/>
      <c r="CE577" s="1070"/>
      <c r="CF577" s="1070"/>
      <c r="CG577" s="1070"/>
      <c r="CH577" s="1070"/>
      <c r="CI577" s="1070"/>
      <c r="CJ577" s="1070"/>
      <c r="CK577" s="1070"/>
      <c r="CL577" s="1070"/>
      <c r="CM577" s="1070"/>
      <c r="CN577" s="1070"/>
      <c r="CO577" s="1070"/>
      <c r="CP577" s="1070"/>
      <c r="CQ577" s="1070"/>
      <c r="CR577" s="1070"/>
      <c r="CS577" s="1070"/>
      <c r="CT577" s="1070"/>
      <c r="CU577" s="1070"/>
      <c r="CV577" s="1070"/>
      <c r="CW577" s="1070"/>
      <c r="CX577" s="1070"/>
      <c r="CY577" s="1070"/>
      <c r="CZ577" s="1070"/>
      <c r="DA577" s="1070"/>
      <c r="DB577" s="1070"/>
      <c r="DC577" s="1070"/>
      <c r="DD577" s="1070"/>
      <c r="DE577" s="1070"/>
      <c r="DF577" s="1070"/>
      <c r="DG577" s="1070"/>
      <c r="DH577" s="1070"/>
      <c r="DI577" s="1070"/>
    </row>
    <row r="578" spans="1:113" ht="47.25" x14ac:dyDescent="0.25">
      <c r="A578" s="1427" t="s">
        <v>4151</v>
      </c>
      <c r="B578" s="1439"/>
      <c r="C578" s="1432"/>
      <c r="D578" s="1437"/>
      <c r="E578" s="1437"/>
      <c r="F578" s="1437"/>
      <c r="G578" s="1437"/>
      <c r="H578" s="1350"/>
      <c r="I578" s="1350"/>
      <c r="J578" s="1350"/>
      <c r="K578" s="1350"/>
      <c r="L578" s="1350"/>
      <c r="M578" s="1350"/>
      <c r="N578" s="1350"/>
      <c r="O578" s="1350"/>
      <c r="P578" s="1350"/>
      <c r="Q578" s="1350"/>
      <c r="R578" s="1350"/>
      <c r="S578" s="1350"/>
      <c r="T578" s="1350"/>
      <c r="U578" s="1350"/>
      <c r="V578" s="1350"/>
      <c r="W578" s="1350"/>
      <c r="X578" s="1350"/>
      <c r="Y578" s="1350"/>
      <c r="Z578" s="1350"/>
      <c r="AA578" s="1350"/>
      <c r="AB578" s="1350"/>
      <c r="AC578" s="1350"/>
      <c r="AD578" s="1350"/>
      <c r="AE578" s="1350"/>
      <c r="AF578" s="1350"/>
      <c r="AG578" s="1350"/>
      <c r="AH578" s="1350"/>
      <c r="AI578" s="1350"/>
      <c r="AJ578" s="1350"/>
      <c r="AK578" s="1350"/>
      <c r="AL578" s="1350"/>
      <c r="AM578" s="1350"/>
      <c r="AN578" s="1350"/>
      <c r="AO578" s="1350"/>
      <c r="AP578" s="1350"/>
      <c r="AQ578" s="1350"/>
      <c r="AR578" s="1350"/>
      <c r="AS578" s="1350"/>
      <c r="AT578" s="1350"/>
      <c r="AU578" s="1350"/>
      <c r="AV578" s="1350"/>
      <c r="AW578" s="1350"/>
      <c r="AX578" s="1350"/>
      <c r="AY578" s="1350"/>
      <c r="AZ578" s="1350"/>
      <c r="BA578" s="1070"/>
      <c r="BB578" s="1070"/>
      <c r="BC578" s="1070"/>
      <c r="BD578" s="1070"/>
      <c r="BE578" s="1070"/>
      <c r="BF578" s="1070"/>
      <c r="BG578" s="1070"/>
      <c r="BH578" s="1070"/>
      <c r="BI578" s="1070"/>
      <c r="BJ578" s="1070"/>
      <c r="BK578" s="1070"/>
      <c r="BL578" s="1070"/>
      <c r="BM578" s="1070"/>
      <c r="BN578" s="1070"/>
      <c r="BO578" s="1070"/>
      <c r="BP578" s="1070"/>
      <c r="BQ578" s="1070"/>
      <c r="BR578" s="1070"/>
      <c r="BS578" s="1070"/>
      <c r="BT578" s="1070"/>
      <c r="BU578" s="1070"/>
      <c r="BV578" s="1070"/>
      <c r="BW578" s="1070"/>
      <c r="BX578" s="1070"/>
      <c r="BY578" s="1070"/>
      <c r="BZ578" s="1070"/>
      <c r="CA578" s="1070"/>
      <c r="CB578" s="1070"/>
      <c r="CC578" s="1070"/>
      <c r="CD578" s="1070"/>
      <c r="CE578" s="1070"/>
      <c r="CF578" s="1070"/>
      <c r="CG578" s="1070"/>
      <c r="CH578" s="1070"/>
      <c r="CI578" s="1070"/>
      <c r="CJ578" s="1070"/>
      <c r="CK578" s="1070"/>
      <c r="CL578" s="1070"/>
      <c r="CM578" s="1070"/>
      <c r="CN578" s="1070"/>
      <c r="CO578" s="1070"/>
      <c r="CP578" s="1070"/>
      <c r="CQ578" s="1070"/>
      <c r="CR578" s="1070"/>
      <c r="CS578" s="1070"/>
      <c r="CT578" s="1070"/>
      <c r="CU578" s="1070"/>
      <c r="CV578" s="1070"/>
      <c r="CW578" s="1070"/>
      <c r="CX578" s="1070"/>
      <c r="CY578" s="1070"/>
      <c r="CZ578" s="1070"/>
      <c r="DA578" s="1070"/>
      <c r="DB578" s="1070"/>
      <c r="DC578" s="1070"/>
      <c r="DD578" s="1070"/>
      <c r="DE578" s="1070"/>
      <c r="DF578" s="1070"/>
      <c r="DG578" s="1070"/>
      <c r="DH578" s="1070"/>
      <c r="DI578" s="1070"/>
    </row>
    <row r="579" spans="1:113" ht="15.75" x14ac:dyDescent="0.25">
      <c r="A579" s="1422" t="s">
        <v>4152</v>
      </c>
      <c r="B579" s="1439" t="e">
        <f>(B291/(B577-B348))*B346</f>
        <v>#DIV/0!</v>
      </c>
      <c r="C579" s="1432"/>
      <c r="D579" s="1437"/>
      <c r="E579" s="1437"/>
      <c r="F579" s="1437"/>
      <c r="G579" s="1437"/>
      <c r="H579" s="1350"/>
      <c r="I579" s="1350"/>
      <c r="J579" s="1350"/>
      <c r="K579" s="1350"/>
      <c r="L579" s="1350"/>
      <c r="M579" s="1350"/>
      <c r="N579" s="1350"/>
      <c r="O579" s="1350"/>
      <c r="P579" s="1350"/>
      <c r="Q579" s="1350"/>
      <c r="R579" s="1350"/>
      <c r="S579" s="1350"/>
      <c r="T579" s="1350"/>
      <c r="U579" s="1350"/>
      <c r="V579" s="1350"/>
      <c r="W579" s="1350"/>
      <c r="X579" s="1350"/>
      <c r="Y579" s="1350"/>
      <c r="Z579" s="1350"/>
      <c r="AA579" s="1350"/>
      <c r="AB579" s="1350"/>
      <c r="AC579" s="1350"/>
      <c r="AD579" s="1350"/>
      <c r="AE579" s="1350"/>
      <c r="AF579" s="1350"/>
      <c r="AG579" s="1350"/>
      <c r="AH579" s="1350"/>
      <c r="AI579" s="1350"/>
      <c r="AJ579" s="1350"/>
      <c r="AK579" s="1350"/>
      <c r="AL579" s="1350"/>
      <c r="AM579" s="1350"/>
      <c r="AN579" s="1350"/>
      <c r="AO579" s="1350"/>
      <c r="AP579" s="1350"/>
      <c r="AQ579" s="1350"/>
      <c r="AR579" s="1350"/>
      <c r="AS579" s="1350"/>
      <c r="AT579" s="1350"/>
      <c r="AU579" s="1350"/>
      <c r="AV579" s="1350"/>
      <c r="AW579" s="1350"/>
      <c r="AX579" s="1350"/>
      <c r="AY579" s="1350"/>
      <c r="AZ579" s="1350"/>
      <c r="BA579" s="1070"/>
      <c r="BB579" s="1070"/>
      <c r="BC579" s="1070"/>
      <c r="BD579" s="1070"/>
      <c r="BE579" s="1070"/>
      <c r="BF579" s="1070"/>
      <c r="BG579" s="1070"/>
      <c r="BH579" s="1070"/>
      <c r="BI579" s="1070"/>
      <c r="BJ579" s="1070"/>
      <c r="BK579" s="1070"/>
      <c r="BL579" s="1070"/>
      <c r="BM579" s="1070"/>
      <c r="BN579" s="1070"/>
      <c r="BO579" s="1070"/>
      <c r="BP579" s="1070"/>
      <c r="BQ579" s="1070"/>
      <c r="BR579" s="1070"/>
      <c r="BS579" s="1070"/>
      <c r="BT579" s="1070"/>
      <c r="BU579" s="1070"/>
      <c r="BV579" s="1070"/>
      <c r="BW579" s="1070"/>
      <c r="BX579" s="1070"/>
      <c r="BY579" s="1070"/>
      <c r="BZ579" s="1070"/>
      <c r="CA579" s="1070"/>
      <c r="CB579" s="1070"/>
      <c r="CC579" s="1070"/>
      <c r="CD579" s="1070"/>
      <c r="CE579" s="1070"/>
      <c r="CF579" s="1070"/>
      <c r="CG579" s="1070"/>
      <c r="CH579" s="1070"/>
      <c r="CI579" s="1070"/>
      <c r="CJ579" s="1070"/>
      <c r="CK579" s="1070"/>
      <c r="CL579" s="1070"/>
      <c r="CM579" s="1070"/>
      <c r="CN579" s="1070"/>
      <c r="CO579" s="1070"/>
      <c r="CP579" s="1070"/>
      <c r="CQ579" s="1070"/>
      <c r="CR579" s="1070"/>
      <c r="CS579" s="1070"/>
      <c r="CT579" s="1070"/>
      <c r="CU579" s="1070"/>
      <c r="CV579" s="1070"/>
      <c r="CW579" s="1070"/>
      <c r="CX579" s="1070"/>
      <c r="CY579" s="1070"/>
      <c r="CZ579" s="1070"/>
      <c r="DA579" s="1070"/>
      <c r="DB579" s="1070"/>
      <c r="DC579" s="1070"/>
      <c r="DD579" s="1070"/>
      <c r="DE579" s="1070"/>
      <c r="DF579" s="1070"/>
      <c r="DG579" s="1070"/>
      <c r="DH579" s="1070"/>
      <c r="DI579" s="1070"/>
    </row>
    <row r="580" spans="1:113" ht="31.5" x14ac:dyDescent="0.25">
      <c r="A580" s="1422" t="s">
        <v>2048</v>
      </c>
      <c r="B580" s="1424" t="e">
        <f>INDEX($U$1475:$X$1484,B583,B584)</f>
        <v>#VALUE!</v>
      </c>
      <c r="C580" s="1429"/>
      <c r="D580" s="1432"/>
      <c r="E580" s="1432"/>
      <c r="F580" s="1432"/>
      <c r="G580" s="1432"/>
      <c r="H580" s="1350"/>
      <c r="I580" s="1350"/>
      <c r="J580" s="1350"/>
      <c r="K580" s="1350"/>
      <c r="L580" s="1350"/>
      <c r="M580" s="1350"/>
      <c r="N580" s="1350"/>
      <c r="O580" s="1350"/>
      <c r="P580" s="1350"/>
      <c r="Q580" s="1350"/>
      <c r="R580" s="1350"/>
      <c r="S580" s="1350"/>
      <c r="T580" s="1350"/>
      <c r="U580" s="1350"/>
      <c r="V580" s="1350"/>
      <c r="W580" s="1350"/>
      <c r="X580" s="1350"/>
      <c r="Y580" s="1350"/>
      <c r="Z580" s="1350"/>
      <c r="AA580" s="1350"/>
      <c r="AB580" s="1350"/>
      <c r="AC580" s="1350"/>
      <c r="AD580" s="1350"/>
      <c r="AE580" s="1350"/>
      <c r="AF580" s="1350"/>
      <c r="AG580" s="1350"/>
      <c r="AH580" s="1350"/>
      <c r="AI580" s="1350"/>
      <c r="AJ580" s="1350"/>
      <c r="AK580" s="1350"/>
      <c r="AL580" s="1350"/>
      <c r="AM580" s="1350"/>
      <c r="AN580" s="1350"/>
      <c r="AO580" s="1350"/>
      <c r="AP580" s="1350"/>
      <c r="AQ580" s="1350"/>
      <c r="AR580" s="1350"/>
      <c r="AS580" s="1350"/>
      <c r="AT580" s="1350"/>
      <c r="AU580" s="1350"/>
      <c r="AV580" s="1350"/>
      <c r="AW580" s="1350"/>
      <c r="AX580" s="1350"/>
      <c r="AY580" s="1350"/>
      <c r="AZ580" s="1350"/>
      <c r="BA580" s="1070"/>
      <c r="BB580" s="1070"/>
      <c r="BC580" s="1070"/>
      <c r="BD580" s="1070"/>
      <c r="BE580" s="1070"/>
      <c r="BF580" s="1070"/>
      <c r="BG580" s="1070"/>
      <c r="BH580" s="1070"/>
      <c r="BI580" s="1070"/>
      <c r="BJ580" s="1070"/>
      <c r="BK580" s="1070"/>
      <c r="BL580" s="1070"/>
      <c r="BM580" s="1070"/>
      <c r="BN580" s="1070"/>
      <c r="BO580" s="1070"/>
      <c r="BP580" s="1070"/>
      <c r="BQ580" s="1070"/>
      <c r="BR580" s="1070"/>
      <c r="BS580" s="1070"/>
      <c r="BT580" s="1070"/>
      <c r="BU580" s="1070"/>
      <c r="BV580" s="1070"/>
      <c r="BW580" s="1070"/>
      <c r="BX580" s="1070"/>
      <c r="BY580" s="1070"/>
      <c r="BZ580" s="1070"/>
      <c r="CA580" s="1070"/>
      <c r="CB580" s="1070"/>
      <c r="CC580" s="1070"/>
      <c r="CD580" s="1070"/>
      <c r="CE580" s="1070"/>
      <c r="CF580" s="1070"/>
      <c r="CG580" s="1070"/>
      <c r="CH580" s="1070"/>
      <c r="CI580" s="1070"/>
      <c r="CJ580" s="1070"/>
      <c r="CK580" s="1070"/>
      <c r="CL580" s="1070"/>
      <c r="CM580" s="1070"/>
      <c r="CN580" s="1070"/>
      <c r="CO580" s="1070"/>
      <c r="CP580" s="1070"/>
      <c r="CQ580" s="1070"/>
      <c r="CR580" s="1070"/>
      <c r="CS580" s="1070"/>
      <c r="CT580" s="1070"/>
      <c r="CU580" s="1070"/>
      <c r="CV580" s="1070"/>
      <c r="CW580" s="1070"/>
      <c r="CX580" s="1070"/>
      <c r="CY580" s="1070"/>
      <c r="CZ580" s="1070"/>
      <c r="DA580" s="1070"/>
      <c r="DB580" s="1070"/>
      <c r="DC580" s="1070"/>
      <c r="DD580" s="1070"/>
      <c r="DE580" s="1070"/>
      <c r="DF580" s="1070"/>
      <c r="DG580" s="1070"/>
      <c r="DH580" s="1070"/>
      <c r="DI580" s="1070"/>
    </row>
    <row r="581" spans="1:113" ht="15.75" x14ac:dyDescent="0.25">
      <c r="A581" s="1456" t="s">
        <v>1719</v>
      </c>
      <c r="B581" s="1439"/>
      <c r="C581" s="1432"/>
      <c r="D581" s="1454"/>
      <c r="E581" s="1454"/>
      <c r="F581" s="1454"/>
      <c r="G581" s="1454"/>
      <c r="H581" s="1350"/>
      <c r="I581" s="1350"/>
      <c r="J581" s="1350"/>
      <c r="K581" s="1350"/>
      <c r="L581" s="1350"/>
      <c r="M581" s="1350"/>
      <c r="N581" s="1350"/>
      <c r="O581" s="1350"/>
      <c r="P581" s="1350"/>
      <c r="Q581" s="1350"/>
      <c r="R581" s="1350"/>
      <c r="S581" s="1350"/>
      <c r="T581" s="1350"/>
      <c r="U581" s="1350"/>
      <c r="V581" s="1350"/>
      <c r="W581" s="1350"/>
      <c r="X581" s="1350"/>
      <c r="Y581" s="1350"/>
      <c r="Z581" s="1350"/>
      <c r="AA581" s="1350"/>
      <c r="AB581" s="1350"/>
      <c r="AC581" s="1350"/>
      <c r="AD581" s="1350"/>
      <c r="AE581" s="1350"/>
      <c r="AF581" s="1350"/>
      <c r="AG581" s="1350"/>
      <c r="AH581" s="1350"/>
      <c r="AI581" s="1350"/>
      <c r="AJ581" s="1350"/>
      <c r="AK581" s="1350"/>
      <c r="AL581" s="1350"/>
      <c r="AM581" s="1350"/>
      <c r="AN581" s="1350"/>
      <c r="AO581" s="1350"/>
      <c r="AP581" s="1350"/>
      <c r="AQ581" s="1350"/>
      <c r="AR581" s="1350"/>
      <c r="AS581" s="1350"/>
      <c r="AT581" s="1350"/>
      <c r="AU581" s="1350"/>
      <c r="AV581" s="1350"/>
      <c r="AW581" s="1350"/>
      <c r="AX581" s="1350"/>
      <c r="AY581" s="1350"/>
      <c r="AZ581" s="1350"/>
      <c r="BA581" s="1070"/>
      <c r="BB581" s="1070"/>
      <c r="BC581" s="1070"/>
      <c r="BD581" s="1070"/>
      <c r="BE581" s="1070"/>
      <c r="BF581" s="1070"/>
      <c r="BG581" s="1070"/>
      <c r="BH581" s="1070"/>
      <c r="BI581" s="1070"/>
      <c r="BJ581" s="1070"/>
      <c r="BK581" s="1070"/>
      <c r="BL581" s="1070"/>
      <c r="BM581" s="1070"/>
      <c r="BN581" s="1070"/>
      <c r="BO581" s="1070"/>
      <c r="BP581" s="1070"/>
      <c r="BQ581" s="1070"/>
      <c r="BR581" s="1070"/>
      <c r="BS581" s="1070"/>
      <c r="BT581" s="1070"/>
      <c r="BU581" s="1070"/>
      <c r="BV581" s="1070"/>
      <c r="BW581" s="1070"/>
      <c r="BX581" s="1070"/>
      <c r="BY581" s="1070"/>
      <c r="BZ581" s="1070"/>
      <c r="CA581" s="1070"/>
      <c r="CB581" s="1070"/>
      <c r="CC581" s="1070"/>
      <c r="CD581" s="1070"/>
      <c r="CE581" s="1070"/>
      <c r="CF581" s="1070"/>
      <c r="CG581" s="1070"/>
      <c r="CH581" s="1070"/>
      <c r="CI581" s="1070"/>
      <c r="CJ581" s="1070"/>
      <c r="CK581" s="1070"/>
      <c r="CL581" s="1070"/>
      <c r="CM581" s="1070"/>
      <c r="CN581" s="1070"/>
      <c r="CO581" s="1070"/>
      <c r="CP581" s="1070"/>
      <c r="CQ581" s="1070"/>
      <c r="CR581" s="1070"/>
      <c r="CS581" s="1070"/>
      <c r="CT581" s="1070"/>
      <c r="CU581" s="1070"/>
      <c r="CV581" s="1070"/>
      <c r="CW581" s="1070"/>
      <c r="CX581" s="1070"/>
      <c r="CY581" s="1070"/>
      <c r="CZ581" s="1070"/>
      <c r="DA581" s="1070"/>
      <c r="DB581" s="1070"/>
      <c r="DC581" s="1070"/>
      <c r="DD581" s="1070"/>
      <c r="DE581" s="1070"/>
      <c r="DF581" s="1070"/>
      <c r="DG581" s="1070"/>
      <c r="DH581" s="1070"/>
      <c r="DI581" s="1070"/>
    </row>
    <row r="582" spans="1:113" ht="15.75" x14ac:dyDescent="0.25">
      <c r="A582" s="1430" t="s">
        <v>1613</v>
      </c>
      <c r="B582" s="1424" t="e">
        <f>B357</f>
        <v>#VALUE!</v>
      </c>
      <c r="C582" s="1429"/>
      <c r="D582" s="1350"/>
      <c r="E582" s="1350"/>
      <c r="F582" s="1350"/>
      <c r="G582" s="1350"/>
      <c r="H582" s="1350"/>
      <c r="I582" s="1350"/>
      <c r="J582" s="1350"/>
      <c r="K582" s="1350"/>
      <c r="L582" s="1350"/>
      <c r="M582" s="1350"/>
      <c r="N582" s="1350"/>
      <c r="O582" s="1350"/>
      <c r="P582" s="1350"/>
      <c r="Q582" s="1350"/>
      <c r="R582" s="1350"/>
      <c r="S582" s="1350"/>
      <c r="T582" s="1350"/>
      <c r="U582" s="1350"/>
      <c r="V582" s="1350"/>
      <c r="W582" s="1350"/>
      <c r="X582" s="1350"/>
      <c r="Y582" s="1350"/>
      <c r="Z582" s="1350"/>
      <c r="AA582" s="1350"/>
      <c r="AB582" s="1350"/>
      <c r="AC582" s="1350"/>
      <c r="AD582" s="1350"/>
      <c r="AE582" s="1350"/>
      <c r="AF582" s="1350"/>
      <c r="AG582" s="1350"/>
      <c r="AH582" s="1350"/>
      <c r="AI582" s="1350"/>
      <c r="AJ582" s="1350"/>
      <c r="AK582" s="1350"/>
      <c r="AL582" s="1350"/>
      <c r="AM582" s="1350"/>
      <c r="AN582" s="1350"/>
      <c r="AO582" s="1350"/>
      <c r="AP582" s="1350"/>
      <c r="AQ582" s="1350"/>
      <c r="AR582" s="1350"/>
      <c r="AS582" s="1350"/>
      <c r="AT582" s="1350"/>
      <c r="AU582" s="1350"/>
      <c r="AV582" s="1350"/>
      <c r="AW582" s="1350"/>
      <c r="AX582" s="1350"/>
      <c r="AY582" s="1350"/>
      <c r="AZ582" s="1350"/>
      <c r="BA582" s="1070"/>
      <c r="BB582" s="1070"/>
      <c r="BC582" s="1070"/>
      <c r="BD582" s="1070"/>
      <c r="BE582" s="1070"/>
      <c r="BF582" s="1070"/>
      <c r="BG582" s="1070"/>
      <c r="BH582" s="1070"/>
      <c r="BI582" s="1070"/>
      <c r="BJ582" s="1070"/>
      <c r="BK582" s="1070"/>
      <c r="BL582" s="1070"/>
      <c r="BM582" s="1070"/>
      <c r="BN582" s="1070"/>
      <c r="BO582" s="1070"/>
      <c r="BP582" s="1070"/>
      <c r="BQ582" s="1070"/>
      <c r="BR582" s="1070"/>
      <c r="BS582" s="1070"/>
      <c r="BT582" s="1070"/>
      <c r="BU582" s="1070"/>
      <c r="BV582" s="1070"/>
      <c r="BW582" s="1070"/>
      <c r="BX582" s="1070"/>
      <c r="BY582" s="1070"/>
      <c r="BZ582" s="1070"/>
      <c r="CA582" s="1070"/>
      <c r="CB582" s="1070"/>
      <c r="CC582" s="1070"/>
      <c r="CD582" s="1070"/>
      <c r="CE582" s="1070"/>
      <c r="CF582" s="1070"/>
      <c r="CG582" s="1070"/>
      <c r="CH582" s="1070"/>
      <c r="CI582" s="1070"/>
      <c r="CJ582" s="1070"/>
      <c r="CK582" s="1070"/>
      <c r="CL582" s="1070"/>
      <c r="CM582" s="1070"/>
      <c r="CN582" s="1070"/>
      <c r="CO582" s="1070"/>
      <c r="CP582" s="1070"/>
      <c r="CQ582" s="1070"/>
      <c r="CR582" s="1070"/>
      <c r="CS582" s="1070"/>
      <c r="CT582" s="1070"/>
      <c r="CU582" s="1070"/>
      <c r="CV582" s="1070"/>
      <c r="CW582" s="1070"/>
      <c r="CX582" s="1070"/>
      <c r="CY582" s="1070"/>
      <c r="CZ582" s="1070"/>
      <c r="DA582" s="1070"/>
      <c r="DB582" s="1070"/>
      <c r="DC582" s="1070"/>
      <c r="DD582" s="1070"/>
      <c r="DE582" s="1070"/>
      <c r="DF582" s="1070"/>
      <c r="DG582" s="1070"/>
      <c r="DH582" s="1070"/>
      <c r="DI582" s="1070"/>
    </row>
    <row r="583" spans="1:113" ht="15.75" x14ac:dyDescent="0.25">
      <c r="A583" s="1422" t="s">
        <v>1319</v>
      </c>
      <c r="B583" s="1441" t="e">
        <f>B358</f>
        <v>#VALUE!</v>
      </c>
      <c r="C583" s="1434"/>
      <c r="D583" s="1350"/>
      <c r="E583" s="1350"/>
      <c r="F583" s="1350"/>
      <c r="G583" s="1350"/>
      <c r="H583" s="1350"/>
      <c r="I583" s="1350"/>
      <c r="J583" s="1350"/>
      <c r="K583" s="1350"/>
      <c r="L583" s="1350"/>
      <c r="M583" s="1350"/>
      <c r="N583" s="1350"/>
      <c r="O583" s="1350"/>
      <c r="P583" s="1350"/>
      <c r="Q583" s="1350"/>
      <c r="R583" s="1350"/>
      <c r="S583" s="1350"/>
      <c r="T583" s="1350"/>
      <c r="U583" s="1350"/>
      <c r="V583" s="1350"/>
      <c r="W583" s="1350"/>
      <c r="X583" s="1350"/>
      <c r="Y583" s="1350"/>
      <c r="Z583" s="1350"/>
      <c r="AA583" s="1350"/>
      <c r="AB583" s="1350"/>
      <c r="AC583" s="1350"/>
      <c r="AD583" s="1350"/>
      <c r="AE583" s="1350"/>
      <c r="AF583" s="1350"/>
      <c r="AG583" s="1350"/>
      <c r="AH583" s="1350"/>
      <c r="AI583" s="1350"/>
      <c r="AJ583" s="1350"/>
      <c r="AK583" s="1350"/>
      <c r="AL583" s="1350"/>
      <c r="AM583" s="1350"/>
      <c r="AN583" s="1350"/>
      <c r="AO583" s="1350"/>
      <c r="AP583" s="1350"/>
      <c r="AQ583" s="1350"/>
      <c r="AR583" s="1350"/>
      <c r="AS583" s="1350"/>
      <c r="AT583" s="1350"/>
      <c r="AU583" s="1350"/>
      <c r="AV583" s="1350"/>
      <c r="AW583" s="1350"/>
      <c r="AX583" s="1350"/>
      <c r="AY583" s="1350"/>
      <c r="AZ583" s="1350"/>
      <c r="BA583" s="1070"/>
      <c r="BB583" s="1070"/>
      <c r="BC583" s="1070"/>
      <c r="BD583" s="1070"/>
      <c r="BE583" s="1070"/>
      <c r="BF583" s="1070"/>
      <c r="BG583" s="1070"/>
      <c r="BH583" s="1070"/>
      <c r="BI583" s="1070"/>
      <c r="BJ583" s="1070"/>
      <c r="BK583" s="1070"/>
      <c r="BL583" s="1070"/>
      <c r="BM583" s="1070"/>
      <c r="BN583" s="1070"/>
      <c r="BO583" s="1070"/>
      <c r="BP583" s="1070"/>
      <c r="BQ583" s="1070"/>
      <c r="BR583" s="1070"/>
      <c r="BS583" s="1070"/>
      <c r="BT583" s="1070"/>
      <c r="BU583" s="1070"/>
      <c r="BV583" s="1070"/>
      <c r="BW583" s="1070"/>
      <c r="BX583" s="1070"/>
      <c r="BY583" s="1070"/>
      <c r="BZ583" s="1070"/>
      <c r="CA583" s="1070"/>
      <c r="CB583" s="1070"/>
      <c r="CC583" s="1070"/>
      <c r="CD583" s="1070"/>
      <c r="CE583" s="1070"/>
      <c r="CF583" s="1070"/>
      <c r="CG583" s="1070"/>
      <c r="CH583" s="1070"/>
      <c r="CI583" s="1070"/>
      <c r="CJ583" s="1070"/>
      <c r="CK583" s="1070"/>
      <c r="CL583" s="1070"/>
      <c r="CM583" s="1070"/>
      <c r="CN583" s="1070"/>
      <c r="CO583" s="1070"/>
      <c r="CP583" s="1070"/>
      <c r="CQ583" s="1070"/>
      <c r="CR583" s="1070"/>
      <c r="CS583" s="1070"/>
      <c r="CT583" s="1070"/>
      <c r="CU583" s="1070"/>
      <c r="CV583" s="1070"/>
      <c r="CW583" s="1070"/>
      <c r="CX583" s="1070"/>
      <c r="CY583" s="1070"/>
      <c r="CZ583" s="1070"/>
      <c r="DA583" s="1070"/>
      <c r="DB583" s="1070"/>
      <c r="DC583" s="1070"/>
      <c r="DD583" s="1070"/>
      <c r="DE583" s="1070"/>
      <c r="DF583" s="1070"/>
      <c r="DG583" s="1070"/>
      <c r="DH583" s="1070"/>
      <c r="DI583" s="1070"/>
    </row>
    <row r="584" spans="1:113" ht="15.75" x14ac:dyDescent="0.25">
      <c r="A584" s="1422" t="s">
        <v>1321</v>
      </c>
      <c r="B584" s="1441">
        <v>4</v>
      </c>
      <c r="C584" s="1434"/>
      <c r="D584" s="1504"/>
      <c r="E584" s="1504"/>
      <c r="F584" s="1504"/>
      <c r="G584" s="1504"/>
      <c r="H584" s="1350"/>
      <c r="I584" s="1350"/>
      <c r="J584" s="1350"/>
      <c r="K584" s="1350"/>
      <c r="L584" s="1350"/>
      <c r="M584" s="1350"/>
      <c r="N584" s="1350"/>
      <c r="O584" s="1350"/>
      <c r="P584" s="1350"/>
      <c r="Q584" s="1350"/>
      <c r="R584" s="1350"/>
      <c r="S584" s="1350"/>
      <c r="T584" s="1350"/>
      <c r="U584" s="1350"/>
      <c r="V584" s="1350"/>
      <c r="W584" s="1350"/>
      <c r="X584" s="1350"/>
      <c r="Y584" s="1350"/>
      <c r="Z584" s="1350"/>
      <c r="AA584" s="1350"/>
      <c r="AB584" s="1350"/>
      <c r="AC584" s="1350"/>
      <c r="AD584" s="1350"/>
      <c r="AE584" s="1350"/>
      <c r="AF584" s="1350"/>
      <c r="AG584" s="1350"/>
      <c r="AH584" s="1350"/>
      <c r="AI584" s="1350"/>
      <c r="AJ584" s="1350"/>
      <c r="AK584" s="1350"/>
      <c r="AL584" s="1350"/>
      <c r="AM584" s="1350"/>
      <c r="AN584" s="1350"/>
      <c r="AO584" s="1350"/>
      <c r="AP584" s="1350"/>
      <c r="AQ584" s="1350"/>
      <c r="AR584" s="1350"/>
      <c r="AS584" s="1350"/>
      <c r="AT584" s="1350"/>
      <c r="AU584" s="1350"/>
      <c r="AV584" s="1350"/>
      <c r="AW584" s="1350"/>
      <c r="AX584" s="1350"/>
      <c r="AY584" s="1350"/>
      <c r="AZ584" s="1350"/>
      <c r="BA584" s="1070"/>
      <c r="BB584" s="1070"/>
      <c r="BC584" s="1070"/>
      <c r="BD584" s="1070"/>
      <c r="BE584" s="1070"/>
      <c r="BF584" s="1070"/>
      <c r="BG584" s="1070"/>
      <c r="BH584" s="1070"/>
      <c r="BI584" s="1070"/>
      <c r="BJ584" s="1070"/>
      <c r="BK584" s="1070"/>
      <c r="BL584" s="1070"/>
      <c r="BM584" s="1070"/>
      <c r="BN584" s="1070"/>
      <c r="BO584" s="1070"/>
      <c r="BP584" s="1070"/>
      <c r="BQ584" s="1070"/>
      <c r="BR584" s="1070"/>
      <c r="BS584" s="1070"/>
      <c r="BT584" s="1070"/>
      <c r="BU584" s="1070"/>
      <c r="BV584" s="1070"/>
      <c r="BW584" s="1070"/>
      <c r="BX584" s="1070"/>
      <c r="BY584" s="1070"/>
      <c r="BZ584" s="1070"/>
      <c r="CA584" s="1070"/>
      <c r="CB584" s="1070"/>
      <c r="CC584" s="1070"/>
      <c r="CD584" s="1070"/>
      <c r="CE584" s="1070"/>
      <c r="CF584" s="1070"/>
      <c r="CG584" s="1070"/>
      <c r="CH584" s="1070"/>
      <c r="CI584" s="1070"/>
      <c r="CJ584" s="1070"/>
      <c r="CK584" s="1070"/>
      <c r="CL584" s="1070"/>
      <c r="CM584" s="1070"/>
      <c r="CN584" s="1070"/>
      <c r="CO584" s="1070"/>
      <c r="CP584" s="1070"/>
      <c r="CQ584" s="1070"/>
      <c r="CR584" s="1070"/>
      <c r="CS584" s="1070"/>
      <c r="CT584" s="1070"/>
      <c r="CU584" s="1070"/>
      <c r="CV584" s="1070"/>
      <c r="CW584" s="1070"/>
      <c r="CX584" s="1070"/>
      <c r="CY584" s="1070"/>
      <c r="CZ584" s="1070"/>
      <c r="DA584" s="1070"/>
      <c r="DB584" s="1070"/>
      <c r="DC584" s="1070"/>
      <c r="DD584" s="1070"/>
      <c r="DE584" s="1070"/>
      <c r="DF584" s="1070"/>
      <c r="DG584" s="1070"/>
      <c r="DH584" s="1070"/>
      <c r="DI584" s="1070"/>
    </row>
    <row r="585" spans="1:113" ht="15.75" x14ac:dyDescent="0.25">
      <c r="A585" s="1422" t="s">
        <v>1322</v>
      </c>
      <c r="B585" s="1439"/>
      <c r="C585" s="1432"/>
      <c r="D585" s="1350"/>
      <c r="E585" s="1350"/>
      <c r="F585" s="1350"/>
      <c r="G585" s="1350"/>
      <c r="H585" s="1350"/>
      <c r="I585" s="1350"/>
      <c r="J585" s="1350"/>
      <c r="K585" s="1350"/>
      <c r="L585" s="1350"/>
      <c r="M585" s="1350"/>
      <c r="N585" s="1350"/>
      <c r="O585" s="1350"/>
      <c r="P585" s="1350"/>
      <c r="Q585" s="1350"/>
      <c r="R585" s="1350"/>
      <c r="S585" s="1350"/>
      <c r="T585" s="1350"/>
      <c r="U585" s="1350"/>
      <c r="V585" s="1350"/>
      <c r="W585" s="1350"/>
      <c r="X585" s="1350"/>
      <c r="Y585" s="1350"/>
      <c r="Z585" s="1350"/>
      <c r="AA585" s="1350"/>
      <c r="AB585" s="1350"/>
      <c r="AC585" s="1350"/>
      <c r="AD585" s="1350"/>
      <c r="AE585" s="1350"/>
      <c r="AF585" s="1350"/>
      <c r="AG585" s="1350"/>
      <c r="AH585" s="1350"/>
      <c r="AI585" s="1350"/>
      <c r="AJ585" s="1350"/>
      <c r="AK585" s="1350"/>
      <c r="AL585" s="1350"/>
      <c r="AM585" s="1350"/>
      <c r="AN585" s="1350"/>
      <c r="AO585" s="1350"/>
      <c r="AP585" s="1350"/>
      <c r="AQ585" s="1350"/>
      <c r="AR585" s="1350"/>
      <c r="AS585" s="1350"/>
      <c r="AT585" s="1350"/>
      <c r="AU585" s="1350"/>
      <c r="AV585" s="1350"/>
      <c r="AW585" s="1350"/>
      <c r="AX585" s="1350"/>
      <c r="AY585" s="1350"/>
      <c r="AZ585" s="1350"/>
      <c r="BA585" s="1070"/>
      <c r="BB585" s="1070"/>
      <c r="BC585" s="1070"/>
      <c r="BD585" s="1070"/>
      <c r="BE585" s="1070"/>
      <c r="BF585" s="1070"/>
      <c r="BG585" s="1070"/>
      <c r="BH585" s="1070"/>
      <c r="BI585" s="1070"/>
      <c r="BJ585" s="1070"/>
      <c r="BK585" s="1070"/>
      <c r="BL585" s="1070"/>
      <c r="BM585" s="1070"/>
      <c r="BN585" s="1070"/>
      <c r="BO585" s="1070"/>
      <c r="BP585" s="1070"/>
      <c r="BQ585" s="1070"/>
      <c r="BR585" s="1070"/>
      <c r="BS585" s="1070"/>
      <c r="BT585" s="1070"/>
      <c r="BU585" s="1070"/>
      <c r="BV585" s="1070"/>
      <c r="BW585" s="1070"/>
      <c r="BX585" s="1070"/>
      <c r="BY585" s="1070"/>
      <c r="BZ585" s="1070"/>
      <c r="CA585" s="1070"/>
      <c r="CB585" s="1070"/>
      <c r="CC585" s="1070"/>
      <c r="CD585" s="1070"/>
      <c r="CE585" s="1070"/>
      <c r="CF585" s="1070"/>
      <c r="CG585" s="1070"/>
      <c r="CH585" s="1070"/>
      <c r="CI585" s="1070"/>
      <c r="CJ585" s="1070"/>
      <c r="CK585" s="1070"/>
      <c r="CL585" s="1070"/>
      <c r="CM585" s="1070"/>
      <c r="CN585" s="1070"/>
      <c r="CO585" s="1070"/>
      <c r="CP585" s="1070"/>
      <c r="CQ585" s="1070"/>
      <c r="CR585" s="1070"/>
      <c r="CS585" s="1070"/>
      <c r="CT585" s="1070"/>
      <c r="CU585" s="1070"/>
      <c r="CV585" s="1070"/>
      <c r="CW585" s="1070"/>
      <c r="CX585" s="1070"/>
      <c r="CY585" s="1070"/>
      <c r="CZ585" s="1070"/>
      <c r="DA585" s="1070"/>
      <c r="DB585" s="1070"/>
      <c r="DC585" s="1070"/>
      <c r="DD585" s="1070"/>
      <c r="DE585" s="1070"/>
      <c r="DF585" s="1070"/>
      <c r="DG585" s="1070"/>
      <c r="DH585" s="1070"/>
      <c r="DI585" s="1070"/>
    </row>
    <row r="586" spans="1:113" ht="15.75" x14ac:dyDescent="0.25">
      <c r="A586" s="1422" t="s">
        <v>1323</v>
      </c>
      <c r="B586" s="1443">
        <f>IF(B577&lt;1.63,1,IF(B577&lt;2.45,0.9,0.85))</f>
        <v>0.85</v>
      </c>
      <c r="C586" s="1437"/>
      <c r="D586" s="1432"/>
      <c r="E586" s="1432"/>
      <c r="F586" s="1432"/>
      <c r="G586" s="1432"/>
      <c r="H586" s="1350"/>
      <c r="I586" s="1350"/>
      <c r="J586" s="1350"/>
      <c r="K586" s="1350"/>
      <c r="L586" s="1350"/>
      <c r="M586" s="1350"/>
      <c r="N586" s="1350"/>
      <c r="O586" s="1350"/>
      <c r="P586" s="1350"/>
      <c r="Q586" s="1350"/>
      <c r="R586" s="1350"/>
      <c r="S586" s="1350"/>
      <c r="T586" s="1350"/>
      <c r="U586" s="1350"/>
      <c r="V586" s="1350"/>
      <c r="W586" s="1350"/>
      <c r="X586" s="1350"/>
      <c r="Y586" s="1350"/>
      <c r="Z586" s="1350"/>
      <c r="AA586" s="1350"/>
      <c r="AB586" s="1350"/>
      <c r="AC586" s="1350"/>
      <c r="AD586" s="1350"/>
      <c r="AE586" s="1350"/>
      <c r="AF586" s="1350"/>
      <c r="AG586" s="1350"/>
      <c r="AH586" s="1350"/>
      <c r="AI586" s="1350"/>
      <c r="AJ586" s="1350"/>
      <c r="AK586" s="1350"/>
      <c r="AL586" s="1350"/>
      <c r="AM586" s="1350"/>
      <c r="AN586" s="1350"/>
      <c r="AO586" s="1350"/>
      <c r="AP586" s="1350"/>
      <c r="AQ586" s="1350"/>
      <c r="AR586" s="1350"/>
      <c r="AS586" s="1350"/>
      <c r="AT586" s="1350"/>
      <c r="AU586" s="1350"/>
      <c r="AV586" s="1350"/>
      <c r="AW586" s="1350"/>
      <c r="AX586" s="1350"/>
      <c r="AY586" s="1350"/>
      <c r="AZ586" s="1350"/>
      <c r="BA586" s="1070"/>
      <c r="BB586" s="1070"/>
      <c r="BC586" s="1070"/>
      <c r="BD586" s="1070"/>
      <c r="BE586" s="1070"/>
      <c r="BF586" s="1070"/>
      <c r="BG586" s="1070"/>
      <c r="BH586" s="1070"/>
      <c r="BI586" s="1070"/>
      <c r="BJ586" s="1070"/>
      <c r="BK586" s="1070"/>
      <c r="BL586" s="1070"/>
      <c r="BM586" s="1070"/>
      <c r="BN586" s="1070"/>
      <c r="BO586" s="1070"/>
      <c r="BP586" s="1070"/>
      <c r="BQ586" s="1070"/>
      <c r="BR586" s="1070"/>
      <c r="BS586" s="1070"/>
      <c r="BT586" s="1070"/>
      <c r="BU586" s="1070"/>
      <c r="BV586" s="1070"/>
      <c r="BW586" s="1070"/>
      <c r="BX586" s="1070"/>
      <c r="BY586" s="1070"/>
      <c r="BZ586" s="1070"/>
      <c r="CA586" s="1070"/>
      <c r="CB586" s="1070"/>
      <c r="CC586" s="1070"/>
      <c r="CD586" s="1070"/>
      <c r="CE586" s="1070"/>
      <c r="CF586" s="1070"/>
      <c r="CG586" s="1070"/>
      <c r="CH586" s="1070"/>
      <c r="CI586" s="1070"/>
      <c r="CJ586" s="1070"/>
      <c r="CK586" s="1070"/>
      <c r="CL586" s="1070"/>
      <c r="CM586" s="1070"/>
      <c r="CN586" s="1070"/>
      <c r="CO586" s="1070"/>
      <c r="CP586" s="1070"/>
      <c r="CQ586" s="1070"/>
      <c r="CR586" s="1070"/>
      <c r="CS586" s="1070"/>
      <c r="CT586" s="1070"/>
      <c r="CU586" s="1070"/>
      <c r="CV586" s="1070"/>
      <c r="CW586" s="1070"/>
      <c r="CX586" s="1070"/>
      <c r="CY586" s="1070"/>
      <c r="CZ586" s="1070"/>
      <c r="DA586" s="1070"/>
      <c r="DB586" s="1070"/>
      <c r="DC586" s="1070"/>
      <c r="DD586" s="1070"/>
      <c r="DE586" s="1070"/>
      <c r="DF586" s="1070"/>
      <c r="DG586" s="1070"/>
      <c r="DH586" s="1070"/>
      <c r="DI586" s="1070"/>
    </row>
    <row r="587" spans="1:113" ht="15.75" x14ac:dyDescent="0.25">
      <c r="A587" s="1422" t="s">
        <v>391</v>
      </c>
      <c r="B587" s="1443">
        <f>B363</f>
        <v>1.1499999999999999</v>
      </c>
      <c r="C587" s="1437"/>
      <c r="D587" s="1429"/>
      <c r="E587" s="1429"/>
      <c r="F587" s="1429"/>
      <c r="G587" s="1429"/>
      <c r="H587" s="1350"/>
      <c r="I587" s="1350"/>
      <c r="J587" s="1350"/>
      <c r="K587" s="1350"/>
      <c r="L587" s="1350"/>
      <c r="M587" s="1350"/>
      <c r="N587" s="1350"/>
      <c r="O587" s="1350"/>
      <c r="P587" s="1350"/>
      <c r="Q587" s="1350"/>
      <c r="R587" s="1350"/>
      <c r="S587" s="1350"/>
      <c r="T587" s="1350"/>
      <c r="U587" s="1350"/>
      <c r="V587" s="1350"/>
      <c r="W587" s="1350"/>
      <c r="X587" s="1350"/>
      <c r="Y587" s="1350"/>
      <c r="Z587" s="1350"/>
      <c r="AA587" s="1350"/>
      <c r="AB587" s="1350"/>
      <c r="AC587" s="1350"/>
      <c r="AD587" s="1350"/>
      <c r="AE587" s="1350"/>
      <c r="AF587" s="1350"/>
      <c r="AG587" s="1350"/>
      <c r="AH587" s="1350"/>
      <c r="AI587" s="1350"/>
      <c r="AJ587" s="1350"/>
      <c r="AK587" s="1350"/>
      <c r="AL587" s="1350"/>
      <c r="AM587" s="1350"/>
      <c r="AN587" s="1350"/>
      <c r="AO587" s="1350"/>
      <c r="AP587" s="1350"/>
      <c r="AQ587" s="1350"/>
      <c r="AR587" s="1350"/>
      <c r="AS587" s="1350"/>
      <c r="AT587" s="1350"/>
      <c r="AU587" s="1350"/>
      <c r="AV587" s="1350"/>
      <c r="AW587" s="1350"/>
      <c r="AX587" s="1350"/>
      <c r="AY587" s="1350"/>
      <c r="AZ587" s="1350"/>
      <c r="BA587" s="1070"/>
      <c r="BB587" s="1070"/>
      <c r="BC587" s="1070"/>
      <c r="BD587" s="1070"/>
      <c r="BE587" s="1070"/>
      <c r="BF587" s="1070"/>
      <c r="BG587" s="1070"/>
      <c r="BH587" s="1070"/>
      <c r="BI587" s="1070"/>
      <c r="BJ587" s="1070"/>
      <c r="BK587" s="1070"/>
      <c r="BL587" s="1070"/>
      <c r="BM587" s="1070"/>
      <c r="BN587" s="1070"/>
      <c r="BO587" s="1070"/>
      <c r="BP587" s="1070"/>
      <c r="BQ587" s="1070"/>
      <c r="BR587" s="1070"/>
      <c r="BS587" s="1070"/>
      <c r="BT587" s="1070"/>
      <c r="BU587" s="1070"/>
      <c r="BV587" s="1070"/>
      <c r="BW587" s="1070"/>
      <c r="BX587" s="1070"/>
      <c r="BY587" s="1070"/>
      <c r="BZ587" s="1070"/>
      <c r="CA587" s="1070"/>
      <c r="CB587" s="1070"/>
      <c r="CC587" s="1070"/>
      <c r="CD587" s="1070"/>
      <c r="CE587" s="1070"/>
      <c r="CF587" s="1070"/>
      <c r="CG587" s="1070"/>
      <c r="CH587" s="1070"/>
      <c r="CI587" s="1070"/>
      <c r="CJ587" s="1070"/>
      <c r="CK587" s="1070"/>
      <c r="CL587" s="1070"/>
      <c r="CM587" s="1070"/>
      <c r="CN587" s="1070"/>
      <c r="CO587" s="1070"/>
      <c r="CP587" s="1070"/>
      <c r="CQ587" s="1070"/>
      <c r="CR587" s="1070"/>
      <c r="CS587" s="1070"/>
      <c r="CT587" s="1070"/>
      <c r="CU587" s="1070"/>
      <c r="CV587" s="1070"/>
      <c r="CW587" s="1070"/>
      <c r="CX587" s="1070"/>
      <c r="CY587" s="1070"/>
      <c r="CZ587" s="1070"/>
      <c r="DA587" s="1070"/>
      <c r="DB587" s="1070"/>
      <c r="DC587" s="1070"/>
      <c r="DD587" s="1070"/>
      <c r="DE587" s="1070"/>
      <c r="DF587" s="1070"/>
      <c r="DG587" s="1070"/>
      <c r="DH587" s="1070"/>
      <c r="DI587" s="1070"/>
    </row>
    <row r="588" spans="1:113" ht="15.75" x14ac:dyDescent="0.25">
      <c r="A588" s="1422" t="s">
        <v>392</v>
      </c>
      <c r="B588" s="1443">
        <f>B364</f>
        <v>0.8</v>
      </c>
      <c r="C588" s="1437"/>
      <c r="D588" s="1350"/>
      <c r="E588" s="1350"/>
      <c r="F588" s="1350"/>
      <c r="G588" s="1350"/>
      <c r="H588" s="1350"/>
      <c r="I588" s="1350"/>
      <c r="J588" s="1350"/>
      <c r="K588" s="1350"/>
      <c r="L588" s="1350"/>
      <c r="M588" s="1350"/>
      <c r="N588" s="1350"/>
      <c r="O588" s="1350"/>
      <c r="P588" s="1350"/>
      <c r="Q588" s="1350"/>
      <c r="R588" s="1350"/>
      <c r="S588" s="1350"/>
      <c r="T588" s="1350"/>
      <c r="U588" s="1350"/>
      <c r="V588" s="1350"/>
      <c r="W588" s="1350"/>
      <c r="X588" s="1350"/>
      <c r="Y588" s="1350"/>
      <c r="Z588" s="1350"/>
      <c r="AA588" s="1350"/>
      <c r="AB588" s="1350"/>
      <c r="AC588" s="1350"/>
      <c r="AD588" s="1350"/>
      <c r="AE588" s="1350"/>
      <c r="AF588" s="1350"/>
      <c r="AG588" s="1350"/>
      <c r="AH588" s="1350"/>
      <c r="AI588" s="1350"/>
      <c r="AJ588" s="1350"/>
      <c r="AK588" s="1350"/>
      <c r="AL588" s="1350"/>
      <c r="AM588" s="1350"/>
      <c r="AN588" s="1350"/>
      <c r="AO588" s="1350"/>
      <c r="AP588" s="1350"/>
      <c r="AQ588" s="1350"/>
      <c r="AR588" s="1350"/>
      <c r="AS588" s="1350"/>
      <c r="AT588" s="1350"/>
      <c r="AU588" s="1350"/>
      <c r="AV588" s="1350"/>
      <c r="AW588" s="1350"/>
      <c r="AX588" s="1350"/>
      <c r="AY588" s="1350"/>
      <c r="AZ588" s="1350"/>
      <c r="BA588" s="1070"/>
      <c r="BB588" s="1070"/>
      <c r="BC588" s="1070"/>
      <c r="BD588" s="1070"/>
      <c r="BE588" s="1070"/>
      <c r="BF588" s="1070"/>
      <c r="BG588" s="1070"/>
      <c r="BH588" s="1070"/>
      <c r="BI588" s="1070"/>
      <c r="BJ588" s="1070"/>
      <c r="BK588" s="1070"/>
      <c r="BL588" s="1070"/>
      <c r="BM588" s="1070"/>
      <c r="BN588" s="1070"/>
      <c r="BO588" s="1070"/>
      <c r="BP588" s="1070"/>
      <c r="BQ588" s="1070"/>
      <c r="BR588" s="1070"/>
      <c r="BS588" s="1070"/>
      <c r="BT588" s="1070"/>
      <c r="BU588" s="1070"/>
      <c r="BV588" s="1070"/>
      <c r="BW588" s="1070"/>
      <c r="BX588" s="1070"/>
      <c r="BY588" s="1070"/>
      <c r="BZ588" s="1070"/>
      <c r="CA588" s="1070"/>
      <c r="CB588" s="1070"/>
      <c r="CC588" s="1070"/>
      <c r="CD588" s="1070"/>
      <c r="CE588" s="1070"/>
      <c r="CF588" s="1070"/>
      <c r="CG588" s="1070"/>
      <c r="CH588" s="1070"/>
      <c r="CI588" s="1070"/>
      <c r="CJ588" s="1070"/>
      <c r="CK588" s="1070"/>
      <c r="CL588" s="1070"/>
      <c r="CM588" s="1070"/>
      <c r="CN588" s="1070"/>
      <c r="CO588" s="1070"/>
      <c r="CP588" s="1070"/>
      <c r="CQ588" s="1070"/>
      <c r="CR588" s="1070"/>
      <c r="CS588" s="1070"/>
      <c r="CT588" s="1070"/>
      <c r="CU588" s="1070"/>
      <c r="CV588" s="1070"/>
      <c r="CW588" s="1070"/>
      <c r="CX588" s="1070"/>
      <c r="CY588" s="1070"/>
      <c r="CZ588" s="1070"/>
      <c r="DA588" s="1070"/>
      <c r="DB588" s="1070"/>
      <c r="DC588" s="1070"/>
      <c r="DD588" s="1070"/>
      <c r="DE588" s="1070"/>
      <c r="DF588" s="1070"/>
      <c r="DG588" s="1070"/>
      <c r="DH588" s="1070"/>
      <c r="DI588" s="1070"/>
    </row>
    <row r="589" spans="1:113" ht="31.5" x14ac:dyDescent="0.25">
      <c r="A589" s="1422" t="s">
        <v>393</v>
      </c>
      <c r="B589" s="1443">
        <f>B365</f>
        <v>1</v>
      </c>
      <c r="C589" s="1437"/>
      <c r="D589" s="1429"/>
      <c r="E589" s="1429"/>
      <c r="F589" s="1429"/>
      <c r="G589" s="1429"/>
      <c r="H589" s="1350"/>
      <c r="I589" s="1350"/>
      <c r="J589" s="1350"/>
      <c r="K589" s="1350"/>
      <c r="L589" s="1350"/>
      <c r="M589" s="1350"/>
      <c r="N589" s="1350"/>
      <c r="O589" s="1350"/>
      <c r="P589" s="1350"/>
      <c r="Q589" s="1350"/>
      <c r="R589" s="1350"/>
      <c r="S589" s="1350"/>
      <c r="T589" s="1350"/>
      <c r="U589" s="1350"/>
      <c r="V589" s="1350"/>
      <c r="W589" s="1350"/>
      <c r="X589" s="1350"/>
      <c r="Y589" s="1350"/>
      <c r="Z589" s="1350"/>
      <c r="AA589" s="1350"/>
      <c r="AB589" s="1350"/>
      <c r="AC589" s="1350"/>
      <c r="AD589" s="1350"/>
      <c r="AE589" s="1350"/>
      <c r="AF589" s="1350"/>
      <c r="AG589" s="1350"/>
      <c r="AH589" s="1350"/>
      <c r="AI589" s="1350"/>
      <c r="AJ589" s="1350"/>
      <c r="AK589" s="1350"/>
      <c r="AL589" s="1350"/>
      <c r="AM589" s="1350"/>
      <c r="AN589" s="1350"/>
      <c r="AO589" s="1350"/>
      <c r="AP589" s="1350"/>
      <c r="AQ589" s="1350"/>
      <c r="AR589" s="1350"/>
      <c r="AS589" s="1350"/>
      <c r="AT589" s="1350"/>
      <c r="AU589" s="1350"/>
      <c r="AV589" s="1350"/>
      <c r="AW589" s="1350"/>
      <c r="AX589" s="1350"/>
      <c r="AY589" s="1350"/>
      <c r="AZ589" s="1350"/>
      <c r="BA589" s="1070"/>
      <c r="BB589" s="1070"/>
      <c r="BC589" s="1070"/>
      <c r="BD589" s="1070"/>
      <c r="BE589" s="1070"/>
      <c r="BF589" s="1070"/>
      <c r="BG589" s="1070"/>
      <c r="BH589" s="1070"/>
      <c r="BI589" s="1070"/>
      <c r="BJ589" s="1070"/>
      <c r="BK589" s="1070"/>
      <c r="BL589" s="1070"/>
      <c r="BM589" s="1070"/>
      <c r="BN589" s="1070"/>
      <c r="BO589" s="1070"/>
      <c r="BP589" s="1070"/>
      <c r="BQ589" s="1070"/>
      <c r="BR589" s="1070"/>
      <c r="BS589" s="1070"/>
      <c r="BT589" s="1070"/>
      <c r="BU589" s="1070"/>
      <c r="BV589" s="1070"/>
      <c r="BW589" s="1070"/>
      <c r="BX589" s="1070"/>
      <c r="BY589" s="1070"/>
      <c r="BZ589" s="1070"/>
      <c r="CA589" s="1070"/>
      <c r="CB589" s="1070"/>
      <c r="CC589" s="1070"/>
      <c r="CD589" s="1070"/>
      <c r="CE589" s="1070"/>
      <c r="CF589" s="1070"/>
      <c r="CG589" s="1070"/>
      <c r="CH589" s="1070"/>
      <c r="CI589" s="1070"/>
      <c r="CJ589" s="1070"/>
      <c r="CK589" s="1070"/>
      <c r="CL589" s="1070"/>
      <c r="CM589" s="1070"/>
      <c r="CN589" s="1070"/>
      <c r="CO589" s="1070"/>
      <c r="CP589" s="1070"/>
      <c r="CQ589" s="1070"/>
      <c r="CR589" s="1070"/>
      <c r="CS589" s="1070"/>
      <c r="CT589" s="1070"/>
      <c r="CU589" s="1070"/>
      <c r="CV589" s="1070"/>
      <c r="CW589" s="1070"/>
      <c r="CX589" s="1070"/>
      <c r="CY589" s="1070"/>
      <c r="CZ589" s="1070"/>
      <c r="DA589" s="1070"/>
      <c r="DB589" s="1070"/>
      <c r="DC589" s="1070"/>
      <c r="DD589" s="1070"/>
      <c r="DE589" s="1070"/>
      <c r="DF589" s="1070"/>
      <c r="DG589" s="1070"/>
      <c r="DH589" s="1070"/>
      <c r="DI589" s="1070"/>
    </row>
    <row r="590" spans="1:113" ht="15.75" x14ac:dyDescent="0.25">
      <c r="A590" s="1422" t="s">
        <v>1614</v>
      </c>
      <c r="B590" s="1450">
        <v>0.7</v>
      </c>
      <c r="C590" s="1440"/>
      <c r="D590" s="1434"/>
      <c r="E590" s="1434"/>
      <c r="F590" s="1434"/>
      <c r="G590" s="1434"/>
      <c r="H590" s="1350"/>
      <c r="I590" s="1350"/>
      <c r="J590" s="1350"/>
      <c r="K590" s="1350"/>
      <c r="L590" s="1350"/>
      <c r="M590" s="1350"/>
      <c r="N590" s="1350"/>
      <c r="O590" s="1350"/>
      <c r="P590" s="1350"/>
      <c r="Q590" s="1350"/>
      <c r="R590" s="1350"/>
      <c r="S590" s="1350"/>
      <c r="T590" s="1350"/>
      <c r="U590" s="1350"/>
      <c r="V590" s="1350"/>
      <c r="W590" s="1350"/>
      <c r="X590" s="1350"/>
      <c r="Y590" s="1350"/>
      <c r="Z590" s="1350"/>
      <c r="AA590" s="1350"/>
      <c r="AB590" s="1350"/>
      <c r="AC590" s="1350"/>
      <c r="AD590" s="1350"/>
      <c r="AE590" s="1350"/>
      <c r="AF590" s="1350"/>
      <c r="AG590" s="1350"/>
      <c r="AH590" s="1350"/>
      <c r="AI590" s="1350"/>
      <c r="AJ590" s="1350"/>
      <c r="AK590" s="1350"/>
      <c r="AL590" s="1350"/>
      <c r="AM590" s="1350"/>
      <c r="AN590" s="1350"/>
      <c r="AO590" s="1350"/>
      <c r="AP590" s="1350"/>
      <c r="AQ590" s="1350"/>
      <c r="AR590" s="1350"/>
      <c r="AS590" s="1350"/>
      <c r="AT590" s="1350"/>
      <c r="AU590" s="1350"/>
      <c r="AV590" s="1350"/>
      <c r="AW590" s="1350"/>
      <c r="AX590" s="1350"/>
      <c r="AY590" s="1350"/>
      <c r="AZ590" s="1350"/>
      <c r="BA590" s="1070"/>
      <c r="BB590" s="1070"/>
      <c r="BC590" s="1070"/>
      <c r="BD590" s="1070"/>
      <c r="BE590" s="1070"/>
      <c r="BF590" s="1070"/>
      <c r="BG590" s="1070"/>
      <c r="BH590" s="1070"/>
      <c r="BI590" s="1070"/>
      <c r="BJ590" s="1070"/>
      <c r="BK590" s="1070"/>
      <c r="BL590" s="1070"/>
      <c r="BM590" s="1070"/>
      <c r="BN590" s="1070"/>
      <c r="BO590" s="1070"/>
      <c r="BP590" s="1070"/>
      <c r="BQ590" s="1070"/>
      <c r="BR590" s="1070"/>
      <c r="BS590" s="1070"/>
      <c r="BT590" s="1070"/>
      <c r="BU590" s="1070"/>
      <c r="BV590" s="1070"/>
      <c r="BW590" s="1070"/>
      <c r="BX590" s="1070"/>
      <c r="BY590" s="1070"/>
      <c r="BZ590" s="1070"/>
      <c r="CA590" s="1070"/>
      <c r="CB590" s="1070"/>
      <c r="CC590" s="1070"/>
      <c r="CD590" s="1070"/>
      <c r="CE590" s="1070"/>
      <c r="CF590" s="1070"/>
      <c r="CG590" s="1070"/>
      <c r="CH590" s="1070"/>
      <c r="CI590" s="1070"/>
      <c r="CJ590" s="1070"/>
      <c r="CK590" s="1070"/>
      <c r="CL590" s="1070"/>
      <c r="CM590" s="1070"/>
      <c r="CN590" s="1070"/>
      <c r="CO590" s="1070"/>
      <c r="CP590" s="1070"/>
      <c r="CQ590" s="1070"/>
      <c r="CR590" s="1070"/>
      <c r="CS590" s="1070"/>
      <c r="CT590" s="1070"/>
      <c r="CU590" s="1070"/>
      <c r="CV590" s="1070"/>
      <c r="CW590" s="1070"/>
      <c r="CX590" s="1070"/>
      <c r="CY590" s="1070"/>
      <c r="CZ590" s="1070"/>
      <c r="DA590" s="1070"/>
      <c r="DB590" s="1070"/>
      <c r="DC590" s="1070"/>
      <c r="DD590" s="1070"/>
      <c r="DE590" s="1070"/>
      <c r="DF590" s="1070"/>
      <c r="DG590" s="1070"/>
      <c r="DH590" s="1070"/>
      <c r="DI590" s="1070"/>
    </row>
    <row r="591" spans="1:113" ht="15.75" x14ac:dyDescent="0.25">
      <c r="A591" s="1422" t="s">
        <v>3412</v>
      </c>
      <c r="B591" s="1443" t="e">
        <f>B580*B586*B587*B588*B589*B590*B341</f>
        <v>#VALUE!</v>
      </c>
      <c r="C591" s="1437"/>
      <c r="D591" s="1434"/>
      <c r="E591" s="1434"/>
      <c r="F591" s="1434"/>
      <c r="G591" s="1434"/>
      <c r="H591" s="1350"/>
      <c r="I591" s="1350"/>
      <c r="J591" s="1350"/>
      <c r="K591" s="1350"/>
      <c r="L591" s="1350"/>
      <c r="M591" s="1350"/>
      <c r="N591" s="1350"/>
      <c r="O591" s="1350"/>
      <c r="P591" s="1350"/>
      <c r="Q591" s="1350"/>
      <c r="R591" s="1350"/>
      <c r="S591" s="1350"/>
      <c r="T591" s="1350"/>
      <c r="U591" s="1350"/>
      <c r="V591" s="1350"/>
      <c r="W591" s="1350"/>
      <c r="X591" s="1350"/>
      <c r="Y591" s="1350"/>
      <c r="Z591" s="1350"/>
      <c r="AA591" s="1350"/>
      <c r="AB591" s="1350"/>
      <c r="AC591" s="1350"/>
      <c r="AD591" s="1350"/>
      <c r="AE591" s="1350"/>
      <c r="AF591" s="1350"/>
      <c r="AG591" s="1350"/>
      <c r="AH591" s="1350"/>
      <c r="AI591" s="1350"/>
      <c r="AJ591" s="1350"/>
      <c r="AK591" s="1350"/>
      <c r="AL591" s="1350"/>
      <c r="AM591" s="1350"/>
      <c r="AN591" s="1350"/>
      <c r="AO591" s="1350"/>
      <c r="AP591" s="1350"/>
      <c r="AQ591" s="1350"/>
      <c r="AR591" s="1350"/>
      <c r="AS591" s="1350"/>
      <c r="AT591" s="1350"/>
      <c r="AU591" s="1350"/>
      <c r="AV591" s="1350"/>
      <c r="AW591" s="1350"/>
      <c r="AX591" s="1350"/>
      <c r="AY591" s="1350"/>
      <c r="AZ591" s="1350"/>
      <c r="BA591" s="1070"/>
      <c r="BB591" s="1070"/>
      <c r="BC591" s="1070"/>
      <c r="BD591" s="1070"/>
      <c r="BE591" s="1070"/>
      <c r="BF591" s="1070"/>
      <c r="BG591" s="1070"/>
      <c r="BH591" s="1070"/>
      <c r="BI591" s="1070"/>
      <c r="BJ591" s="1070"/>
      <c r="BK591" s="1070"/>
      <c r="BL591" s="1070"/>
      <c r="BM591" s="1070"/>
      <c r="BN591" s="1070"/>
      <c r="BO591" s="1070"/>
      <c r="BP591" s="1070"/>
      <c r="BQ591" s="1070"/>
      <c r="BR591" s="1070"/>
      <c r="BS591" s="1070"/>
      <c r="BT591" s="1070"/>
      <c r="BU591" s="1070"/>
      <c r="BV591" s="1070"/>
      <c r="BW591" s="1070"/>
      <c r="BX591" s="1070"/>
      <c r="BY591" s="1070"/>
      <c r="BZ591" s="1070"/>
      <c r="CA591" s="1070"/>
      <c r="CB591" s="1070"/>
      <c r="CC591" s="1070"/>
      <c r="CD591" s="1070"/>
      <c r="CE591" s="1070"/>
      <c r="CF591" s="1070"/>
      <c r="CG591" s="1070"/>
      <c r="CH591" s="1070"/>
      <c r="CI591" s="1070"/>
      <c r="CJ591" s="1070"/>
      <c r="CK591" s="1070"/>
      <c r="CL591" s="1070"/>
      <c r="CM591" s="1070"/>
      <c r="CN591" s="1070"/>
      <c r="CO591" s="1070"/>
      <c r="CP591" s="1070"/>
      <c r="CQ591" s="1070"/>
      <c r="CR591" s="1070"/>
      <c r="CS591" s="1070"/>
      <c r="CT591" s="1070"/>
      <c r="CU591" s="1070"/>
      <c r="CV591" s="1070"/>
      <c r="CW591" s="1070"/>
      <c r="CX591" s="1070"/>
      <c r="CY591" s="1070"/>
      <c r="CZ591" s="1070"/>
      <c r="DA591" s="1070"/>
      <c r="DB591" s="1070"/>
      <c r="DC591" s="1070"/>
      <c r="DD591" s="1070"/>
      <c r="DE591" s="1070"/>
      <c r="DF591" s="1070"/>
      <c r="DG591" s="1070"/>
      <c r="DH591" s="1070"/>
      <c r="DI591" s="1070"/>
    </row>
    <row r="592" spans="1:113" ht="15.75" x14ac:dyDescent="0.25">
      <c r="A592" s="1422" t="s">
        <v>429</v>
      </c>
      <c r="B592" s="1439" t="e">
        <f>B579/B591</f>
        <v>#DIV/0!</v>
      </c>
      <c r="C592" s="1432"/>
      <c r="D592" s="1350"/>
      <c r="E592" s="1350"/>
      <c r="F592" s="1350"/>
      <c r="G592" s="1350"/>
      <c r="H592" s="1350"/>
      <c r="I592" s="1350"/>
      <c r="J592" s="1350"/>
      <c r="K592" s="1350"/>
      <c r="L592" s="1350"/>
      <c r="M592" s="1350"/>
      <c r="N592" s="1350"/>
      <c r="O592" s="1350"/>
      <c r="P592" s="1350"/>
      <c r="Q592" s="1350"/>
      <c r="R592" s="1350"/>
      <c r="S592" s="1350"/>
      <c r="T592" s="1350"/>
      <c r="U592" s="1350"/>
      <c r="V592" s="1350"/>
      <c r="W592" s="1350"/>
      <c r="X592" s="1350"/>
      <c r="Y592" s="1350"/>
      <c r="Z592" s="1350"/>
      <c r="AA592" s="1350"/>
      <c r="AB592" s="1350"/>
      <c r="AC592" s="1350"/>
      <c r="AD592" s="1350"/>
      <c r="AE592" s="1350"/>
      <c r="AF592" s="1350"/>
      <c r="AG592" s="1350"/>
      <c r="AH592" s="1350"/>
      <c r="AI592" s="1350"/>
      <c r="AJ592" s="1350"/>
      <c r="AK592" s="1350"/>
      <c r="AL592" s="1350"/>
      <c r="AM592" s="1350"/>
      <c r="AN592" s="1350"/>
      <c r="AO592" s="1350"/>
      <c r="AP592" s="1350"/>
      <c r="AQ592" s="1350"/>
      <c r="AR592" s="1350"/>
      <c r="AS592" s="1350"/>
      <c r="AT592" s="1350"/>
      <c r="AU592" s="1350"/>
      <c r="AV592" s="1350"/>
      <c r="AW592" s="1350"/>
      <c r="AX592" s="1350"/>
      <c r="AY592" s="1350"/>
      <c r="AZ592" s="1350"/>
      <c r="BA592" s="1070"/>
      <c r="BB592" s="1070"/>
      <c r="BC592" s="1070"/>
      <c r="BD592" s="1070"/>
      <c r="BE592" s="1070"/>
      <c r="BF592" s="1070"/>
      <c r="BG592" s="1070"/>
      <c r="BH592" s="1070"/>
      <c r="BI592" s="1070"/>
      <c r="BJ592" s="1070"/>
      <c r="BK592" s="1070"/>
      <c r="BL592" s="1070"/>
      <c r="BM592" s="1070"/>
      <c r="BN592" s="1070"/>
      <c r="BO592" s="1070"/>
      <c r="BP592" s="1070"/>
      <c r="BQ592" s="1070"/>
      <c r="BR592" s="1070"/>
      <c r="BS592" s="1070"/>
      <c r="BT592" s="1070"/>
      <c r="BU592" s="1070"/>
      <c r="BV592" s="1070"/>
      <c r="BW592" s="1070"/>
      <c r="BX592" s="1070"/>
      <c r="BY592" s="1070"/>
      <c r="BZ592" s="1070"/>
      <c r="CA592" s="1070"/>
      <c r="CB592" s="1070"/>
      <c r="CC592" s="1070"/>
      <c r="CD592" s="1070"/>
      <c r="CE592" s="1070"/>
      <c r="CF592" s="1070"/>
      <c r="CG592" s="1070"/>
      <c r="CH592" s="1070"/>
      <c r="CI592" s="1070"/>
      <c r="CJ592" s="1070"/>
      <c r="CK592" s="1070"/>
      <c r="CL592" s="1070"/>
      <c r="CM592" s="1070"/>
      <c r="CN592" s="1070"/>
      <c r="CO592" s="1070"/>
      <c r="CP592" s="1070"/>
      <c r="CQ592" s="1070"/>
      <c r="CR592" s="1070"/>
      <c r="CS592" s="1070"/>
      <c r="CT592" s="1070"/>
      <c r="CU592" s="1070"/>
      <c r="CV592" s="1070"/>
      <c r="CW592" s="1070"/>
      <c r="CX592" s="1070"/>
      <c r="CY592" s="1070"/>
      <c r="CZ592" s="1070"/>
      <c r="DA592" s="1070"/>
      <c r="DB592" s="1070"/>
      <c r="DC592" s="1070"/>
      <c r="DD592" s="1070"/>
      <c r="DE592" s="1070"/>
      <c r="DF592" s="1070"/>
      <c r="DG592" s="1070"/>
      <c r="DH592" s="1070"/>
      <c r="DI592" s="1070"/>
    </row>
    <row r="593" spans="1:113" ht="15.75" x14ac:dyDescent="0.25">
      <c r="A593" s="1422"/>
      <c r="B593" s="1443"/>
      <c r="C593" s="1437"/>
      <c r="D593" s="1437"/>
      <c r="E593" s="1437"/>
      <c r="F593" s="1437"/>
      <c r="G593" s="1437"/>
      <c r="H593" s="1350"/>
      <c r="I593" s="1350"/>
      <c r="J593" s="1350"/>
      <c r="K593" s="1350"/>
      <c r="L593" s="1350"/>
      <c r="M593" s="1350"/>
      <c r="N593" s="1350"/>
      <c r="O593" s="1350"/>
      <c r="P593" s="1350"/>
      <c r="Q593" s="1350"/>
      <c r="R593" s="1350"/>
      <c r="S593" s="1350"/>
      <c r="T593" s="1350"/>
      <c r="U593" s="1350"/>
      <c r="V593" s="1350"/>
      <c r="W593" s="1350"/>
      <c r="X593" s="1350"/>
      <c r="Y593" s="1350"/>
      <c r="Z593" s="1350"/>
      <c r="AA593" s="1350"/>
      <c r="AB593" s="1350"/>
      <c r="AC593" s="1350"/>
      <c r="AD593" s="1350"/>
      <c r="AE593" s="1350"/>
      <c r="AF593" s="1350"/>
      <c r="AG593" s="1350"/>
      <c r="AH593" s="1350"/>
      <c r="AI593" s="1350"/>
      <c r="AJ593" s="1350"/>
      <c r="AK593" s="1350"/>
      <c r="AL593" s="1350"/>
      <c r="AM593" s="1350"/>
      <c r="AN593" s="1350"/>
      <c r="AO593" s="1350"/>
      <c r="AP593" s="1350"/>
      <c r="AQ593" s="1350"/>
      <c r="AR593" s="1350"/>
      <c r="AS593" s="1350"/>
      <c r="AT593" s="1350"/>
      <c r="AU593" s="1350"/>
      <c r="AV593" s="1350"/>
      <c r="AW593" s="1350"/>
      <c r="AX593" s="1350"/>
      <c r="AY593" s="1350"/>
      <c r="AZ593" s="1350"/>
      <c r="BA593" s="1070"/>
      <c r="BB593" s="1070"/>
      <c r="BC593" s="1070"/>
      <c r="BD593" s="1070"/>
      <c r="BE593" s="1070"/>
      <c r="BF593" s="1070"/>
      <c r="BG593" s="1070"/>
      <c r="BH593" s="1070"/>
      <c r="BI593" s="1070"/>
      <c r="BJ593" s="1070"/>
      <c r="BK593" s="1070"/>
      <c r="BL593" s="1070"/>
      <c r="BM593" s="1070"/>
      <c r="BN593" s="1070"/>
      <c r="BO593" s="1070"/>
      <c r="BP593" s="1070"/>
      <c r="BQ593" s="1070"/>
      <c r="BR593" s="1070"/>
      <c r="BS593" s="1070"/>
      <c r="BT593" s="1070"/>
      <c r="BU593" s="1070"/>
      <c r="BV593" s="1070"/>
      <c r="BW593" s="1070"/>
      <c r="BX593" s="1070"/>
      <c r="BY593" s="1070"/>
      <c r="BZ593" s="1070"/>
      <c r="CA593" s="1070"/>
      <c r="CB593" s="1070"/>
      <c r="CC593" s="1070"/>
      <c r="CD593" s="1070"/>
      <c r="CE593" s="1070"/>
      <c r="CF593" s="1070"/>
      <c r="CG593" s="1070"/>
      <c r="CH593" s="1070"/>
      <c r="CI593" s="1070"/>
      <c r="CJ593" s="1070"/>
      <c r="CK593" s="1070"/>
      <c r="CL593" s="1070"/>
      <c r="CM593" s="1070"/>
      <c r="CN593" s="1070"/>
      <c r="CO593" s="1070"/>
      <c r="CP593" s="1070"/>
      <c r="CQ593" s="1070"/>
      <c r="CR593" s="1070"/>
      <c r="CS593" s="1070"/>
      <c r="CT593" s="1070"/>
      <c r="CU593" s="1070"/>
      <c r="CV593" s="1070"/>
      <c r="CW593" s="1070"/>
      <c r="CX593" s="1070"/>
      <c r="CY593" s="1070"/>
      <c r="CZ593" s="1070"/>
      <c r="DA593" s="1070"/>
      <c r="DB593" s="1070"/>
      <c r="DC593" s="1070"/>
      <c r="DD593" s="1070"/>
      <c r="DE593" s="1070"/>
      <c r="DF593" s="1070"/>
      <c r="DG593" s="1070"/>
      <c r="DH593" s="1070"/>
      <c r="DI593" s="1070"/>
    </row>
    <row r="594" spans="1:113" ht="47.25" x14ac:dyDescent="0.25">
      <c r="A594" s="1438" t="s">
        <v>423</v>
      </c>
      <c r="B594" s="1443"/>
      <c r="C594" s="1437"/>
      <c r="D594" s="1437"/>
      <c r="E594" s="1437"/>
      <c r="F594" s="1437"/>
      <c r="G594" s="1437"/>
      <c r="H594" s="1350"/>
      <c r="I594" s="1350"/>
      <c r="J594" s="1350"/>
      <c r="K594" s="1350"/>
      <c r="L594" s="1350"/>
      <c r="M594" s="1350"/>
      <c r="N594" s="1350"/>
      <c r="O594" s="1350"/>
      <c r="P594" s="1350"/>
      <c r="Q594" s="1350"/>
      <c r="R594" s="1350"/>
      <c r="S594" s="1350"/>
      <c r="T594" s="1350"/>
      <c r="U594" s="1350"/>
      <c r="V594" s="1350"/>
      <c r="W594" s="1350"/>
      <c r="X594" s="1350"/>
      <c r="Y594" s="1350"/>
      <c r="Z594" s="1350"/>
      <c r="AA594" s="1350"/>
      <c r="AB594" s="1350"/>
      <c r="AC594" s="1350"/>
      <c r="AD594" s="1350"/>
      <c r="AE594" s="1350"/>
      <c r="AF594" s="1350"/>
      <c r="AG594" s="1350"/>
      <c r="AH594" s="1350"/>
      <c r="AI594" s="1350"/>
      <c r="AJ594" s="1350"/>
      <c r="AK594" s="1350"/>
      <c r="AL594" s="1350"/>
      <c r="AM594" s="1350"/>
      <c r="AN594" s="1350"/>
      <c r="AO594" s="1350"/>
      <c r="AP594" s="1350"/>
      <c r="AQ594" s="1350"/>
      <c r="AR594" s="1350"/>
      <c r="AS594" s="1350"/>
      <c r="AT594" s="1350"/>
      <c r="AU594" s="1350"/>
      <c r="AV594" s="1350"/>
      <c r="AW594" s="1350"/>
      <c r="AX594" s="1350"/>
      <c r="AY594" s="1350"/>
      <c r="AZ594" s="1350"/>
      <c r="BA594" s="1070"/>
      <c r="BB594" s="1070"/>
      <c r="BC594" s="1070"/>
      <c r="BD594" s="1070"/>
      <c r="BE594" s="1070"/>
      <c r="BF594" s="1070"/>
      <c r="BG594" s="1070"/>
      <c r="BH594" s="1070"/>
      <c r="BI594" s="1070"/>
      <c r="BJ594" s="1070"/>
      <c r="BK594" s="1070"/>
      <c r="BL594" s="1070"/>
      <c r="BM594" s="1070"/>
      <c r="BN594" s="1070"/>
      <c r="BO594" s="1070"/>
      <c r="BP594" s="1070"/>
      <c r="BQ594" s="1070"/>
      <c r="BR594" s="1070"/>
      <c r="BS594" s="1070"/>
      <c r="BT594" s="1070"/>
      <c r="BU594" s="1070"/>
      <c r="BV594" s="1070"/>
      <c r="BW594" s="1070"/>
      <c r="BX594" s="1070"/>
      <c r="BY594" s="1070"/>
      <c r="BZ594" s="1070"/>
      <c r="CA594" s="1070"/>
      <c r="CB594" s="1070"/>
      <c r="CC594" s="1070"/>
      <c r="CD594" s="1070"/>
      <c r="CE594" s="1070"/>
      <c r="CF594" s="1070"/>
      <c r="CG594" s="1070"/>
      <c r="CH594" s="1070"/>
      <c r="CI594" s="1070"/>
      <c r="CJ594" s="1070"/>
      <c r="CK594" s="1070"/>
      <c r="CL594" s="1070"/>
      <c r="CM594" s="1070"/>
      <c r="CN594" s="1070"/>
      <c r="CO594" s="1070"/>
      <c r="CP594" s="1070"/>
      <c r="CQ594" s="1070"/>
      <c r="CR594" s="1070"/>
      <c r="CS594" s="1070"/>
      <c r="CT594" s="1070"/>
      <c r="CU594" s="1070"/>
      <c r="CV594" s="1070"/>
      <c r="CW594" s="1070"/>
      <c r="CX594" s="1070"/>
      <c r="CY594" s="1070"/>
      <c r="CZ594" s="1070"/>
      <c r="DA594" s="1070"/>
      <c r="DB594" s="1070"/>
      <c r="DC594" s="1070"/>
      <c r="DD594" s="1070"/>
      <c r="DE594" s="1070"/>
      <c r="DF594" s="1070"/>
      <c r="DG594" s="1070"/>
      <c r="DH594" s="1070"/>
      <c r="DI594" s="1070"/>
    </row>
    <row r="595" spans="1:113" ht="15.75" x14ac:dyDescent="0.25">
      <c r="A595" s="1420" t="s">
        <v>424</v>
      </c>
      <c r="B595" s="1443" t="e">
        <f>(((B577/B308)+1)-3)*B346</f>
        <v>#DIV/0!</v>
      </c>
      <c r="C595" s="1437"/>
      <c r="D595" s="1437"/>
      <c r="E595" s="1437"/>
      <c r="F595" s="1437"/>
      <c r="G595" s="1437"/>
      <c r="H595" s="1350"/>
      <c r="I595" s="1350"/>
      <c r="J595" s="1350"/>
      <c r="K595" s="1350"/>
      <c r="L595" s="1350"/>
      <c r="M595" s="1350"/>
      <c r="N595" s="1350"/>
      <c r="O595" s="1350"/>
      <c r="P595" s="1350"/>
      <c r="Q595" s="1350"/>
      <c r="R595" s="1350"/>
      <c r="S595" s="1350"/>
      <c r="T595" s="1350"/>
      <c r="U595" s="1350"/>
      <c r="V595" s="1350"/>
      <c r="W595" s="1350"/>
      <c r="X595" s="1350"/>
      <c r="Y595" s="1350"/>
      <c r="Z595" s="1350"/>
      <c r="AA595" s="1350"/>
      <c r="AB595" s="1350"/>
      <c r="AC595" s="1350"/>
      <c r="AD595" s="1350"/>
      <c r="AE595" s="1350"/>
      <c r="AF595" s="1350"/>
      <c r="AG595" s="1350"/>
      <c r="AH595" s="1350"/>
      <c r="AI595" s="1350"/>
      <c r="AJ595" s="1350"/>
      <c r="AK595" s="1350"/>
      <c r="AL595" s="1350"/>
      <c r="AM595" s="1350"/>
      <c r="AN595" s="1350"/>
      <c r="AO595" s="1350"/>
      <c r="AP595" s="1350"/>
      <c r="AQ595" s="1350"/>
      <c r="AR595" s="1350"/>
      <c r="AS595" s="1350"/>
      <c r="AT595" s="1350"/>
      <c r="AU595" s="1350"/>
      <c r="AV595" s="1350"/>
      <c r="AW595" s="1350"/>
      <c r="AX595" s="1350"/>
      <c r="AY595" s="1350"/>
      <c r="AZ595" s="1350"/>
      <c r="BA595" s="1070"/>
      <c r="BB595" s="1070"/>
      <c r="BC595" s="1070"/>
      <c r="BD595" s="1070"/>
      <c r="BE595" s="1070"/>
      <c r="BF595" s="1070"/>
      <c r="BG595" s="1070"/>
      <c r="BH595" s="1070"/>
      <c r="BI595" s="1070"/>
      <c r="BJ595" s="1070"/>
      <c r="BK595" s="1070"/>
      <c r="BL595" s="1070"/>
      <c r="BM595" s="1070"/>
      <c r="BN595" s="1070"/>
      <c r="BO595" s="1070"/>
      <c r="BP595" s="1070"/>
      <c r="BQ595" s="1070"/>
      <c r="BR595" s="1070"/>
      <c r="BS595" s="1070"/>
      <c r="BT595" s="1070"/>
      <c r="BU595" s="1070"/>
      <c r="BV595" s="1070"/>
      <c r="BW595" s="1070"/>
      <c r="BX595" s="1070"/>
      <c r="BY595" s="1070"/>
      <c r="BZ595" s="1070"/>
      <c r="CA595" s="1070"/>
      <c r="CB595" s="1070"/>
      <c r="CC595" s="1070"/>
      <c r="CD595" s="1070"/>
      <c r="CE595" s="1070"/>
      <c r="CF595" s="1070"/>
      <c r="CG595" s="1070"/>
      <c r="CH595" s="1070"/>
      <c r="CI595" s="1070"/>
      <c r="CJ595" s="1070"/>
      <c r="CK595" s="1070"/>
      <c r="CL595" s="1070"/>
      <c r="CM595" s="1070"/>
      <c r="CN595" s="1070"/>
      <c r="CO595" s="1070"/>
      <c r="CP595" s="1070"/>
      <c r="CQ595" s="1070"/>
      <c r="CR595" s="1070"/>
      <c r="CS595" s="1070"/>
      <c r="CT595" s="1070"/>
      <c r="CU595" s="1070"/>
      <c r="CV595" s="1070"/>
      <c r="CW595" s="1070"/>
      <c r="CX595" s="1070"/>
      <c r="CY595" s="1070"/>
      <c r="CZ595" s="1070"/>
      <c r="DA595" s="1070"/>
      <c r="DB595" s="1070"/>
      <c r="DC595" s="1070"/>
      <c r="DD595" s="1070"/>
      <c r="DE595" s="1070"/>
      <c r="DF595" s="1070"/>
      <c r="DG595" s="1070"/>
      <c r="DH595" s="1070"/>
      <c r="DI595" s="1070"/>
    </row>
    <row r="596" spans="1:113" ht="15.75" x14ac:dyDescent="0.25">
      <c r="A596" s="1420" t="s">
        <v>425</v>
      </c>
      <c r="B596" s="1443" t="e">
        <f>B374</f>
        <v>#VALUE!</v>
      </c>
      <c r="C596" s="1437"/>
      <c r="D596" s="1437"/>
      <c r="E596" s="1437"/>
      <c r="F596" s="1437"/>
      <c r="G596" s="1437"/>
      <c r="H596" s="1350"/>
      <c r="I596" s="1350"/>
      <c r="J596" s="1350"/>
      <c r="K596" s="1350"/>
      <c r="L596" s="1350"/>
      <c r="M596" s="1350"/>
      <c r="N596" s="1350"/>
      <c r="O596" s="1350"/>
      <c r="P596" s="1350"/>
      <c r="Q596" s="1350"/>
      <c r="R596" s="1350"/>
      <c r="S596" s="1350"/>
      <c r="T596" s="1350"/>
      <c r="U596" s="1350"/>
      <c r="V596" s="1350"/>
      <c r="W596" s="1350"/>
      <c r="X596" s="1350"/>
      <c r="Y596" s="1350"/>
      <c r="Z596" s="1350"/>
      <c r="AA596" s="1350"/>
      <c r="AB596" s="1350"/>
      <c r="AC596" s="1350"/>
      <c r="AD596" s="1350"/>
      <c r="AE596" s="1350"/>
      <c r="AF596" s="1350"/>
      <c r="AG596" s="1350"/>
      <c r="AH596" s="1350"/>
      <c r="AI596" s="1350"/>
      <c r="AJ596" s="1350"/>
      <c r="AK596" s="1350"/>
      <c r="AL596" s="1350"/>
      <c r="AM596" s="1350"/>
      <c r="AN596" s="1350"/>
      <c r="AO596" s="1350"/>
      <c r="AP596" s="1350"/>
      <c r="AQ596" s="1350"/>
      <c r="AR596" s="1350"/>
      <c r="AS596" s="1350"/>
      <c r="AT596" s="1350"/>
      <c r="AU596" s="1350"/>
      <c r="AV596" s="1350"/>
      <c r="AW596" s="1350"/>
      <c r="AX596" s="1350"/>
      <c r="AY596" s="1350"/>
      <c r="AZ596" s="1350"/>
      <c r="BA596" s="1070"/>
      <c r="BB596" s="1070"/>
      <c r="BC596" s="1070"/>
      <c r="BD596" s="1070"/>
      <c r="BE596" s="1070"/>
      <c r="BF596" s="1070"/>
      <c r="BG596" s="1070"/>
      <c r="BH596" s="1070"/>
      <c r="BI596" s="1070"/>
      <c r="BJ596" s="1070"/>
      <c r="BK596" s="1070"/>
      <c r="BL596" s="1070"/>
      <c r="BM596" s="1070"/>
      <c r="BN596" s="1070"/>
      <c r="BO596" s="1070"/>
      <c r="BP596" s="1070"/>
      <c r="BQ596" s="1070"/>
      <c r="BR596" s="1070"/>
      <c r="BS596" s="1070"/>
      <c r="BT596" s="1070"/>
      <c r="BU596" s="1070"/>
      <c r="BV596" s="1070"/>
      <c r="BW596" s="1070"/>
      <c r="BX596" s="1070"/>
      <c r="BY596" s="1070"/>
      <c r="BZ596" s="1070"/>
      <c r="CA596" s="1070"/>
      <c r="CB596" s="1070"/>
      <c r="CC596" s="1070"/>
      <c r="CD596" s="1070"/>
      <c r="CE596" s="1070"/>
      <c r="CF596" s="1070"/>
      <c r="CG596" s="1070"/>
      <c r="CH596" s="1070"/>
      <c r="CI596" s="1070"/>
      <c r="CJ596" s="1070"/>
      <c r="CK596" s="1070"/>
      <c r="CL596" s="1070"/>
      <c r="CM596" s="1070"/>
      <c r="CN596" s="1070"/>
      <c r="CO596" s="1070"/>
      <c r="CP596" s="1070"/>
      <c r="CQ596" s="1070"/>
      <c r="CR596" s="1070"/>
      <c r="CS596" s="1070"/>
      <c r="CT596" s="1070"/>
      <c r="CU596" s="1070"/>
      <c r="CV596" s="1070"/>
      <c r="CW596" s="1070"/>
      <c r="CX596" s="1070"/>
      <c r="CY596" s="1070"/>
      <c r="CZ596" s="1070"/>
      <c r="DA596" s="1070"/>
      <c r="DB596" s="1070"/>
      <c r="DC596" s="1070"/>
      <c r="DD596" s="1070"/>
      <c r="DE596" s="1070"/>
      <c r="DF596" s="1070"/>
      <c r="DG596" s="1070"/>
      <c r="DH596" s="1070"/>
      <c r="DI596" s="1070"/>
    </row>
    <row r="597" spans="1:113" ht="15.75" x14ac:dyDescent="0.25">
      <c r="A597" s="1420" t="s">
        <v>428</v>
      </c>
      <c r="B597" s="1443" t="e">
        <f>B586*B587*B588*B589*B590*B341</f>
        <v>#VALUE!</v>
      </c>
      <c r="C597" s="1437"/>
      <c r="D597" s="1440"/>
      <c r="E597" s="1440"/>
      <c r="F597" s="1440"/>
      <c r="G597" s="1440"/>
      <c r="H597" s="1350"/>
      <c r="I597" s="1350"/>
      <c r="J597" s="1350"/>
      <c r="K597" s="1350"/>
      <c r="L597" s="1350"/>
      <c r="M597" s="1350"/>
      <c r="N597" s="1350"/>
      <c r="O597" s="1350"/>
      <c r="P597" s="1350"/>
      <c r="Q597" s="1350"/>
      <c r="R597" s="1350"/>
      <c r="S597" s="1350"/>
      <c r="T597" s="1350"/>
      <c r="U597" s="1350"/>
      <c r="V597" s="1350"/>
      <c r="W597" s="1350"/>
      <c r="X597" s="1350"/>
      <c r="Y597" s="1350"/>
      <c r="Z597" s="1350"/>
      <c r="AA597" s="1350"/>
      <c r="AB597" s="1350"/>
      <c r="AC597" s="1350"/>
      <c r="AD597" s="1350"/>
      <c r="AE597" s="1350"/>
      <c r="AF597" s="1350"/>
      <c r="AG597" s="1350"/>
      <c r="AH597" s="1350"/>
      <c r="AI597" s="1350"/>
      <c r="AJ597" s="1350"/>
      <c r="AK597" s="1350"/>
      <c r="AL597" s="1350"/>
      <c r="AM597" s="1350"/>
      <c r="AN597" s="1350"/>
      <c r="AO597" s="1350"/>
      <c r="AP597" s="1350"/>
      <c r="AQ597" s="1350"/>
      <c r="AR597" s="1350"/>
      <c r="AS597" s="1350"/>
      <c r="AT597" s="1350"/>
      <c r="AU597" s="1350"/>
      <c r="AV597" s="1350"/>
      <c r="AW597" s="1350"/>
      <c r="AX597" s="1350"/>
      <c r="AY597" s="1350"/>
      <c r="AZ597" s="1350"/>
      <c r="BA597" s="1070"/>
      <c r="BB597" s="1070"/>
      <c r="BC597" s="1070"/>
      <c r="BD597" s="1070"/>
      <c r="BE597" s="1070"/>
      <c r="BF597" s="1070"/>
      <c r="BG597" s="1070"/>
      <c r="BH597" s="1070"/>
      <c r="BI597" s="1070"/>
      <c r="BJ597" s="1070"/>
      <c r="BK597" s="1070"/>
      <c r="BL597" s="1070"/>
      <c r="BM597" s="1070"/>
      <c r="BN597" s="1070"/>
      <c r="BO597" s="1070"/>
      <c r="BP597" s="1070"/>
      <c r="BQ597" s="1070"/>
      <c r="BR597" s="1070"/>
      <c r="BS597" s="1070"/>
      <c r="BT597" s="1070"/>
      <c r="BU597" s="1070"/>
      <c r="BV597" s="1070"/>
      <c r="BW597" s="1070"/>
      <c r="BX597" s="1070"/>
      <c r="BY597" s="1070"/>
      <c r="BZ597" s="1070"/>
      <c r="CA597" s="1070"/>
      <c r="CB597" s="1070"/>
      <c r="CC597" s="1070"/>
      <c r="CD597" s="1070"/>
      <c r="CE597" s="1070"/>
      <c r="CF597" s="1070"/>
      <c r="CG597" s="1070"/>
      <c r="CH597" s="1070"/>
      <c r="CI597" s="1070"/>
      <c r="CJ597" s="1070"/>
      <c r="CK597" s="1070"/>
      <c r="CL597" s="1070"/>
      <c r="CM597" s="1070"/>
      <c r="CN597" s="1070"/>
      <c r="CO597" s="1070"/>
      <c r="CP597" s="1070"/>
      <c r="CQ597" s="1070"/>
      <c r="CR597" s="1070"/>
      <c r="CS597" s="1070"/>
      <c r="CT597" s="1070"/>
      <c r="CU597" s="1070"/>
      <c r="CV597" s="1070"/>
      <c r="CW597" s="1070"/>
      <c r="CX597" s="1070"/>
      <c r="CY597" s="1070"/>
      <c r="CZ597" s="1070"/>
      <c r="DA597" s="1070"/>
      <c r="DB597" s="1070"/>
      <c r="DC597" s="1070"/>
      <c r="DD597" s="1070"/>
      <c r="DE597" s="1070"/>
      <c r="DF597" s="1070"/>
      <c r="DG597" s="1070"/>
      <c r="DH597" s="1070"/>
      <c r="DI597" s="1070"/>
    </row>
    <row r="598" spans="1:113" ht="15.75" x14ac:dyDescent="0.25">
      <c r="A598" s="1420" t="s">
        <v>3412</v>
      </c>
      <c r="B598" s="1443" t="e">
        <f>B596*B597</f>
        <v>#VALUE!</v>
      </c>
      <c r="C598" s="1437"/>
      <c r="D598" s="1437"/>
      <c r="E598" s="1437"/>
      <c r="F598" s="1437"/>
      <c r="G598" s="1437"/>
      <c r="H598" s="1350"/>
      <c r="I598" s="1350"/>
      <c r="J598" s="1350"/>
      <c r="K598" s="1350"/>
      <c r="L598" s="1350"/>
      <c r="M598" s="1350"/>
      <c r="N598" s="1350"/>
      <c r="O598" s="1350"/>
      <c r="P598" s="1350"/>
      <c r="Q598" s="1350"/>
      <c r="R598" s="1350"/>
      <c r="S598" s="1350"/>
      <c r="T598" s="1350"/>
      <c r="U598" s="1350"/>
      <c r="V598" s="1350"/>
      <c r="W598" s="1350"/>
      <c r="X598" s="1350"/>
      <c r="Y598" s="1350"/>
      <c r="Z598" s="1350"/>
      <c r="AA598" s="1350"/>
      <c r="AB598" s="1350"/>
      <c r="AC598" s="1350"/>
      <c r="AD598" s="1350"/>
      <c r="AE598" s="1350"/>
      <c r="AF598" s="1350"/>
      <c r="AG598" s="1350"/>
      <c r="AH598" s="1350"/>
      <c r="AI598" s="1350"/>
      <c r="AJ598" s="1350"/>
      <c r="AK598" s="1350"/>
      <c r="AL598" s="1350"/>
      <c r="AM598" s="1350"/>
      <c r="AN598" s="1350"/>
      <c r="AO598" s="1350"/>
      <c r="AP598" s="1350"/>
      <c r="AQ598" s="1350"/>
      <c r="AR598" s="1350"/>
      <c r="AS598" s="1350"/>
      <c r="AT598" s="1350"/>
      <c r="AU598" s="1350"/>
      <c r="AV598" s="1350"/>
      <c r="AW598" s="1350"/>
      <c r="AX598" s="1350"/>
      <c r="AY598" s="1350"/>
      <c r="AZ598" s="1350"/>
      <c r="BA598" s="1070"/>
      <c r="BB598" s="1070"/>
      <c r="BC598" s="1070"/>
      <c r="BD598" s="1070"/>
      <c r="BE598" s="1070"/>
      <c r="BF598" s="1070"/>
      <c r="BG598" s="1070"/>
      <c r="BH598" s="1070"/>
      <c r="BI598" s="1070"/>
      <c r="BJ598" s="1070"/>
      <c r="BK598" s="1070"/>
      <c r="BL598" s="1070"/>
      <c r="BM598" s="1070"/>
      <c r="BN598" s="1070"/>
      <c r="BO598" s="1070"/>
      <c r="BP598" s="1070"/>
      <c r="BQ598" s="1070"/>
      <c r="BR598" s="1070"/>
      <c r="BS598" s="1070"/>
      <c r="BT598" s="1070"/>
      <c r="BU598" s="1070"/>
      <c r="BV598" s="1070"/>
      <c r="BW598" s="1070"/>
      <c r="BX598" s="1070"/>
      <c r="BY598" s="1070"/>
      <c r="BZ598" s="1070"/>
      <c r="CA598" s="1070"/>
      <c r="CB598" s="1070"/>
      <c r="CC598" s="1070"/>
      <c r="CD598" s="1070"/>
      <c r="CE598" s="1070"/>
      <c r="CF598" s="1070"/>
      <c r="CG598" s="1070"/>
      <c r="CH598" s="1070"/>
      <c r="CI598" s="1070"/>
      <c r="CJ598" s="1070"/>
      <c r="CK598" s="1070"/>
      <c r="CL598" s="1070"/>
      <c r="CM598" s="1070"/>
      <c r="CN598" s="1070"/>
      <c r="CO598" s="1070"/>
      <c r="CP598" s="1070"/>
      <c r="CQ598" s="1070"/>
      <c r="CR598" s="1070"/>
      <c r="CS598" s="1070"/>
      <c r="CT598" s="1070"/>
      <c r="CU598" s="1070"/>
      <c r="CV598" s="1070"/>
      <c r="CW598" s="1070"/>
      <c r="CX598" s="1070"/>
      <c r="CY598" s="1070"/>
      <c r="CZ598" s="1070"/>
      <c r="DA598" s="1070"/>
      <c r="DB598" s="1070"/>
      <c r="DC598" s="1070"/>
      <c r="DD598" s="1070"/>
      <c r="DE598" s="1070"/>
      <c r="DF598" s="1070"/>
      <c r="DG598" s="1070"/>
      <c r="DH598" s="1070"/>
      <c r="DI598" s="1070"/>
    </row>
    <row r="599" spans="1:113" ht="15.75" x14ac:dyDescent="0.25">
      <c r="A599" s="1422" t="s">
        <v>429</v>
      </c>
      <c r="B599" s="1439" t="e">
        <f>B595/B598</f>
        <v>#DIV/0!</v>
      </c>
      <c r="C599" s="1432"/>
      <c r="D599" s="1432"/>
      <c r="E599" s="1432"/>
      <c r="F599" s="1432"/>
      <c r="G599" s="1432"/>
      <c r="H599" s="1350"/>
      <c r="I599" s="1350"/>
      <c r="J599" s="1350"/>
      <c r="K599" s="1350"/>
      <c r="L599" s="1350"/>
      <c r="M599" s="1350"/>
      <c r="N599" s="1350"/>
      <c r="O599" s="1350"/>
      <c r="P599" s="1350"/>
      <c r="Q599" s="1350"/>
      <c r="R599" s="1350"/>
      <c r="S599" s="1350"/>
      <c r="T599" s="1350"/>
      <c r="U599" s="1350"/>
      <c r="V599" s="1350"/>
      <c r="W599" s="1350"/>
      <c r="X599" s="1350"/>
      <c r="Y599" s="1350"/>
      <c r="Z599" s="1350"/>
      <c r="AA599" s="1350"/>
      <c r="AB599" s="1350"/>
      <c r="AC599" s="1350"/>
      <c r="AD599" s="1350"/>
      <c r="AE599" s="1350"/>
      <c r="AF599" s="1350"/>
      <c r="AG599" s="1350"/>
      <c r="AH599" s="1350"/>
      <c r="AI599" s="1350"/>
      <c r="AJ599" s="1350"/>
      <c r="AK599" s="1350"/>
      <c r="AL599" s="1350"/>
      <c r="AM599" s="1350"/>
      <c r="AN599" s="1350"/>
      <c r="AO599" s="1350"/>
      <c r="AP599" s="1350"/>
      <c r="AQ599" s="1350"/>
      <c r="AR599" s="1350"/>
      <c r="AS599" s="1350"/>
      <c r="AT599" s="1350"/>
      <c r="AU599" s="1350"/>
      <c r="AV599" s="1350"/>
      <c r="AW599" s="1350"/>
      <c r="AX599" s="1350"/>
      <c r="AY599" s="1350"/>
      <c r="AZ599" s="1350"/>
      <c r="BA599" s="1070"/>
      <c r="BB599" s="1070"/>
      <c r="BC599" s="1070"/>
      <c r="BD599" s="1070"/>
      <c r="BE599" s="1070"/>
      <c r="BF599" s="1070"/>
      <c r="BG599" s="1070"/>
      <c r="BH599" s="1070"/>
      <c r="BI599" s="1070"/>
      <c r="BJ599" s="1070"/>
      <c r="BK599" s="1070"/>
      <c r="BL599" s="1070"/>
      <c r="BM599" s="1070"/>
      <c r="BN599" s="1070"/>
      <c r="BO599" s="1070"/>
      <c r="BP599" s="1070"/>
      <c r="BQ599" s="1070"/>
      <c r="BR599" s="1070"/>
      <c r="BS599" s="1070"/>
      <c r="BT599" s="1070"/>
      <c r="BU599" s="1070"/>
      <c r="BV599" s="1070"/>
      <c r="BW599" s="1070"/>
      <c r="BX599" s="1070"/>
      <c r="BY599" s="1070"/>
      <c r="BZ599" s="1070"/>
      <c r="CA599" s="1070"/>
      <c r="CB599" s="1070"/>
      <c r="CC599" s="1070"/>
      <c r="CD599" s="1070"/>
      <c r="CE599" s="1070"/>
      <c r="CF599" s="1070"/>
      <c r="CG599" s="1070"/>
      <c r="CH599" s="1070"/>
      <c r="CI599" s="1070"/>
      <c r="CJ599" s="1070"/>
      <c r="CK599" s="1070"/>
      <c r="CL599" s="1070"/>
      <c r="CM599" s="1070"/>
      <c r="CN599" s="1070"/>
      <c r="CO599" s="1070"/>
      <c r="CP599" s="1070"/>
      <c r="CQ599" s="1070"/>
      <c r="CR599" s="1070"/>
      <c r="CS599" s="1070"/>
      <c r="CT599" s="1070"/>
      <c r="CU599" s="1070"/>
      <c r="CV599" s="1070"/>
      <c r="CW599" s="1070"/>
      <c r="CX599" s="1070"/>
      <c r="CY599" s="1070"/>
      <c r="CZ599" s="1070"/>
      <c r="DA599" s="1070"/>
      <c r="DB599" s="1070"/>
      <c r="DC599" s="1070"/>
      <c r="DD599" s="1070"/>
      <c r="DE599" s="1070"/>
      <c r="DF599" s="1070"/>
      <c r="DG599" s="1070"/>
      <c r="DH599" s="1070"/>
      <c r="DI599" s="1070"/>
    </row>
    <row r="600" spans="1:113" ht="15.75" x14ac:dyDescent="0.25">
      <c r="A600" s="1430"/>
      <c r="B600" s="1443"/>
      <c r="C600" s="1437"/>
      <c r="D600" s="1350"/>
      <c r="E600" s="1350"/>
      <c r="F600" s="1350"/>
      <c r="G600" s="1350"/>
      <c r="H600" s="1350"/>
      <c r="I600" s="1350"/>
      <c r="J600" s="1350"/>
      <c r="K600" s="1350"/>
      <c r="L600" s="1350"/>
      <c r="M600" s="1350"/>
      <c r="N600" s="1350"/>
      <c r="O600" s="1350"/>
      <c r="P600" s="1350"/>
      <c r="Q600" s="1350"/>
      <c r="R600" s="1350"/>
      <c r="S600" s="1350"/>
      <c r="T600" s="1350"/>
      <c r="U600" s="1350"/>
      <c r="V600" s="1350"/>
      <c r="W600" s="1350"/>
      <c r="X600" s="1350"/>
      <c r="Y600" s="1350"/>
      <c r="Z600" s="1350"/>
      <c r="AA600" s="1350"/>
      <c r="AB600" s="1350"/>
      <c r="AC600" s="1350"/>
      <c r="AD600" s="1350"/>
      <c r="AE600" s="1350"/>
      <c r="AF600" s="1350"/>
      <c r="AG600" s="1350"/>
      <c r="AH600" s="1350"/>
      <c r="AI600" s="1350"/>
      <c r="AJ600" s="1350"/>
      <c r="AK600" s="1350"/>
      <c r="AL600" s="1350"/>
      <c r="AM600" s="1350"/>
      <c r="AN600" s="1350"/>
      <c r="AO600" s="1350"/>
      <c r="AP600" s="1350"/>
      <c r="AQ600" s="1350"/>
      <c r="AR600" s="1350"/>
      <c r="AS600" s="1350"/>
      <c r="AT600" s="1350"/>
      <c r="AU600" s="1350"/>
      <c r="AV600" s="1350"/>
      <c r="AW600" s="1350"/>
      <c r="AX600" s="1350"/>
      <c r="AY600" s="1350"/>
      <c r="AZ600" s="1350"/>
      <c r="BA600" s="1070"/>
      <c r="BB600" s="1070"/>
      <c r="BC600" s="1070"/>
      <c r="BD600" s="1070"/>
      <c r="BE600" s="1070"/>
      <c r="BF600" s="1070"/>
      <c r="BG600" s="1070"/>
      <c r="BH600" s="1070"/>
      <c r="BI600" s="1070"/>
      <c r="BJ600" s="1070"/>
      <c r="BK600" s="1070"/>
      <c r="BL600" s="1070"/>
      <c r="BM600" s="1070"/>
      <c r="BN600" s="1070"/>
      <c r="BO600" s="1070"/>
      <c r="BP600" s="1070"/>
      <c r="BQ600" s="1070"/>
      <c r="BR600" s="1070"/>
      <c r="BS600" s="1070"/>
      <c r="BT600" s="1070"/>
      <c r="BU600" s="1070"/>
      <c r="BV600" s="1070"/>
      <c r="BW600" s="1070"/>
      <c r="BX600" s="1070"/>
      <c r="BY600" s="1070"/>
      <c r="BZ600" s="1070"/>
      <c r="CA600" s="1070"/>
      <c r="CB600" s="1070"/>
      <c r="CC600" s="1070"/>
      <c r="CD600" s="1070"/>
      <c r="CE600" s="1070"/>
      <c r="CF600" s="1070"/>
      <c r="CG600" s="1070"/>
      <c r="CH600" s="1070"/>
      <c r="CI600" s="1070"/>
      <c r="CJ600" s="1070"/>
      <c r="CK600" s="1070"/>
      <c r="CL600" s="1070"/>
      <c r="CM600" s="1070"/>
      <c r="CN600" s="1070"/>
      <c r="CO600" s="1070"/>
      <c r="CP600" s="1070"/>
      <c r="CQ600" s="1070"/>
      <c r="CR600" s="1070"/>
      <c r="CS600" s="1070"/>
      <c r="CT600" s="1070"/>
      <c r="CU600" s="1070"/>
      <c r="CV600" s="1070"/>
      <c r="CW600" s="1070"/>
      <c r="CX600" s="1070"/>
      <c r="CY600" s="1070"/>
      <c r="CZ600" s="1070"/>
      <c r="DA600" s="1070"/>
      <c r="DB600" s="1070"/>
      <c r="DC600" s="1070"/>
      <c r="DD600" s="1070"/>
      <c r="DE600" s="1070"/>
      <c r="DF600" s="1070"/>
      <c r="DG600" s="1070"/>
      <c r="DH600" s="1070"/>
      <c r="DI600" s="1070"/>
    </row>
    <row r="601" spans="1:113" ht="47.25" x14ac:dyDescent="0.25">
      <c r="A601" s="1438" t="s">
        <v>3389</v>
      </c>
      <c r="B601" s="1443"/>
      <c r="C601" s="1437"/>
      <c r="D601" s="1350"/>
      <c r="E601" s="1350"/>
      <c r="F601" s="1350"/>
      <c r="G601" s="1350"/>
      <c r="H601" s="1350"/>
      <c r="I601" s="1350"/>
      <c r="J601" s="1350"/>
      <c r="K601" s="1350"/>
      <c r="L601" s="1350"/>
      <c r="M601" s="1350"/>
      <c r="N601" s="1350"/>
      <c r="O601" s="1350"/>
      <c r="P601" s="1350"/>
      <c r="Q601" s="1350"/>
      <c r="R601" s="1350"/>
      <c r="S601" s="1350"/>
      <c r="T601" s="1350"/>
      <c r="U601" s="1350"/>
      <c r="V601" s="1350"/>
      <c r="W601" s="1350"/>
      <c r="X601" s="1350"/>
      <c r="Y601" s="1350"/>
      <c r="Z601" s="1350"/>
      <c r="AA601" s="1350"/>
      <c r="AB601" s="1350"/>
      <c r="AC601" s="1350"/>
      <c r="AD601" s="1350"/>
      <c r="AE601" s="1350"/>
      <c r="AF601" s="1350"/>
      <c r="AG601" s="1350"/>
      <c r="AH601" s="1350"/>
      <c r="AI601" s="1350"/>
      <c r="AJ601" s="1350"/>
      <c r="AK601" s="1350"/>
      <c r="AL601" s="1350"/>
      <c r="AM601" s="1350"/>
      <c r="AN601" s="1350"/>
      <c r="AO601" s="1350"/>
      <c r="AP601" s="1350"/>
      <c r="AQ601" s="1350"/>
      <c r="AR601" s="1350"/>
      <c r="AS601" s="1350"/>
      <c r="AT601" s="1350"/>
      <c r="AU601" s="1350"/>
      <c r="AV601" s="1350"/>
      <c r="AW601" s="1350"/>
      <c r="AX601" s="1350"/>
      <c r="AY601" s="1350"/>
      <c r="AZ601" s="1350"/>
      <c r="BA601" s="1070"/>
      <c r="BB601" s="1070"/>
      <c r="BC601" s="1070"/>
      <c r="BD601" s="1070"/>
      <c r="BE601" s="1070"/>
      <c r="BF601" s="1070"/>
      <c r="BG601" s="1070"/>
      <c r="BH601" s="1070"/>
      <c r="BI601" s="1070"/>
      <c r="BJ601" s="1070"/>
      <c r="BK601" s="1070"/>
      <c r="BL601" s="1070"/>
      <c r="BM601" s="1070"/>
      <c r="BN601" s="1070"/>
      <c r="BO601" s="1070"/>
      <c r="BP601" s="1070"/>
      <c r="BQ601" s="1070"/>
      <c r="BR601" s="1070"/>
      <c r="BS601" s="1070"/>
      <c r="BT601" s="1070"/>
      <c r="BU601" s="1070"/>
      <c r="BV601" s="1070"/>
      <c r="BW601" s="1070"/>
      <c r="BX601" s="1070"/>
      <c r="BY601" s="1070"/>
      <c r="BZ601" s="1070"/>
      <c r="CA601" s="1070"/>
      <c r="CB601" s="1070"/>
      <c r="CC601" s="1070"/>
      <c r="CD601" s="1070"/>
      <c r="CE601" s="1070"/>
      <c r="CF601" s="1070"/>
      <c r="CG601" s="1070"/>
      <c r="CH601" s="1070"/>
      <c r="CI601" s="1070"/>
      <c r="CJ601" s="1070"/>
      <c r="CK601" s="1070"/>
      <c r="CL601" s="1070"/>
      <c r="CM601" s="1070"/>
      <c r="CN601" s="1070"/>
      <c r="CO601" s="1070"/>
      <c r="CP601" s="1070"/>
      <c r="CQ601" s="1070"/>
      <c r="CR601" s="1070"/>
      <c r="CS601" s="1070"/>
      <c r="CT601" s="1070"/>
      <c r="CU601" s="1070"/>
      <c r="CV601" s="1070"/>
      <c r="CW601" s="1070"/>
      <c r="CX601" s="1070"/>
      <c r="CY601" s="1070"/>
      <c r="CZ601" s="1070"/>
      <c r="DA601" s="1070"/>
      <c r="DB601" s="1070"/>
      <c r="DC601" s="1070"/>
      <c r="DD601" s="1070"/>
      <c r="DE601" s="1070"/>
      <c r="DF601" s="1070"/>
      <c r="DG601" s="1070"/>
      <c r="DH601" s="1070"/>
      <c r="DI601" s="1070"/>
    </row>
    <row r="602" spans="1:113" ht="15.75" x14ac:dyDescent="0.25">
      <c r="A602" s="1420" t="s">
        <v>424</v>
      </c>
      <c r="B602" s="1439" t="e">
        <f>(B291*(((B577-B348)/B308+1)-1)/(B577-B348))*B346</f>
        <v>#DIV/0!</v>
      </c>
      <c r="C602" s="1432"/>
      <c r="D602" s="1437"/>
      <c r="E602" s="1437"/>
      <c r="F602" s="1437"/>
      <c r="G602" s="1437"/>
      <c r="H602" s="1350"/>
      <c r="I602" s="1350"/>
      <c r="J602" s="1350"/>
      <c r="K602" s="1350"/>
      <c r="L602" s="1350"/>
      <c r="M602" s="1350"/>
      <c r="N602" s="1350"/>
      <c r="O602" s="1350"/>
      <c r="P602" s="1350"/>
      <c r="Q602" s="1350"/>
      <c r="R602" s="1350"/>
      <c r="S602" s="1350"/>
      <c r="T602" s="1350"/>
      <c r="U602" s="1350"/>
      <c r="V602" s="1350"/>
      <c r="W602" s="1350"/>
      <c r="X602" s="1350"/>
      <c r="Y602" s="1350"/>
      <c r="Z602" s="1350"/>
      <c r="AA602" s="1350"/>
      <c r="AB602" s="1350"/>
      <c r="AC602" s="1350"/>
      <c r="AD602" s="1350"/>
      <c r="AE602" s="1350"/>
      <c r="AF602" s="1350"/>
      <c r="AG602" s="1350"/>
      <c r="AH602" s="1350"/>
      <c r="AI602" s="1350"/>
      <c r="AJ602" s="1350"/>
      <c r="AK602" s="1350"/>
      <c r="AL602" s="1350"/>
      <c r="AM602" s="1350"/>
      <c r="AN602" s="1350"/>
      <c r="AO602" s="1350"/>
      <c r="AP602" s="1350"/>
      <c r="AQ602" s="1350"/>
      <c r="AR602" s="1350"/>
      <c r="AS602" s="1350"/>
      <c r="AT602" s="1350"/>
      <c r="AU602" s="1350"/>
      <c r="AV602" s="1350"/>
      <c r="AW602" s="1350"/>
      <c r="AX602" s="1350"/>
      <c r="AY602" s="1350"/>
      <c r="AZ602" s="1350"/>
      <c r="BA602" s="1070"/>
      <c r="BB602" s="1070"/>
      <c r="BC602" s="1070"/>
      <c r="BD602" s="1070"/>
      <c r="BE602" s="1070"/>
      <c r="BF602" s="1070"/>
      <c r="BG602" s="1070"/>
      <c r="BH602" s="1070"/>
      <c r="BI602" s="1070"/>
      <c r="BJ602" s="1070"/>
      <c r="BK602" s="1070"/>
      <c r="BL602" s="1070"/>
      <c r="BM602" s="1070"/>
      <c r="BN602" s="1070"/>
      <c r="BO602" s="1070"/>
      <c r="BP602" s="1070"/>
      <c r="BQ602" s="1070"/>
      <c r="BR602" s="1070"/>
      <c r="BS602" s="1070"/>
      <c r="BT602" s="1070"/>
      <c r="BU602" s="1070"/>
      <c r="BV602" s="1070"/>
      <c r="BW602" s="1070"/>
      <c r="BX602" s="1070"/>
      <c r="BY602" s="1070"/>
      <c r="BZ602" s="1070"/>
      <c r="CA602" s="1070"/>
      <c r="CB602" s="1070"/>
      <c r="CC602" s="1070"/>
      <c r="CD602" s="1070"/>
      <c r="CE602" s="1070"/>
      <c r="CF602" s="1070"/>
      <c r="CG602" s="1070"/>
      <c r="CH602" s="1070"/>
      <c r="CI602" s="1070"/>
      <c r="CJ602" s="1070"/>
      <c r="CK602" s="1070"/>
      <c r="CL602" s="1070"/>
      <c r="CM602" s="1070"/>
      <c r="CN602" s="1070"/>
      <c r="CO602" s="1070"/>
      <c r="CP602" s="1070"/>
      <c r="CQ602" s="1070"/>
      <c r="CR602" s="1070"/>
      <c r="CS602" s="1070"/>
      <c r="CT602" s="1070"/>
      <c r="CU602" s="1070"/>
      <c r="CV602" s="1070"/>
      <c r="CW602" s="1070"/>
      <c r="CX602" s="1070"/>
      <c r="CY602" s="1070"/>
      <c r="CZ602" s="1070"/>
      <c r="DA602" s="1070"/>
      <c r="DB602" s="1070"/>
      <c r="DC602" s="1070"/>
      <c r="DD602" s="1070"/>
      <c r="DE602" s="1070"/>
      <c r="DF602" s="1070"/>
      <c r="DG602" s="1070"/>
      <c r="DH602" s="1070"/>
      <c r="DI602" s="1070"/>
    </row>
    <row r="603" spans="1:113" ht="15.75" x14ac:dyDescent="0.25">
      <c r="A603" s="1420" t="s">
        <v>3390</v>
      </c>
      <c r="B603" s="1441" t="e">
        <f>B382</f>
        <v>#VALUE!</v>
      </c>
      <c r="C603" s="1434"/>
      <c r="D603" s="1437"/>
      <c r="E603" s="1437"/>
      <c r="F603" s="1437"/>
      <c r="G603" s="1437"/>
      <c r="H603" s="1350"/>
      <c r="I603" s="1350"/>
      <c r="J603" s="1350"/>
      <c r="K603" s="1350"/>
      <c r="L603" s="1350"/>
      <c r="M603" s="1350"/>
      <c r="N603" s="1350"/>
      <c r="O603" s="1350"/>
      <c r="P603" s="1350"/>
      <c r="Q603" s="1350"/>
      <c r="R603" s="1350"/>
      <c r="S603" s="1350"/>
      <c r="T603" s="1350"/>
      <c r="U603" s="1350"/>
      <c r="V603" s="1350"/>
      <c r="W603" s="1350"/>
      <c r="X603" s="1350"/>
      <c r="Y603" s="1350"/>
      <c r="Z603" s="1350"/>
      <c r="AA603" s="1350"/>
      <c r="AB603" s="1350"/>
      <c r="AC603" s="1350"/>
      <c r="AD603" s="1350"/>
      <c r="AE603" s="1350"/>
      <c r="AF603" s="1350"/>
      <c r="AG603" s="1350"/>
      <c r="AH603" s="1350"/>
      <c r="AI603" s="1350"/>
      <c r="AJ603" s="1350"/>
      <c r="AK603" s="1350"/>
      <c r="AL603" s="1350"/>
      <c r="AM603" s="1350"/>
      <c r="AN603" s="1350"/>
      <c r="AO603" s="1350"/>
      <c r="AP603" s="1350"/>
      <c r="AQ603" s="1350"/>
      <c r="AR603" s="1350"/>
      <c r="AS603" s="1350"/>
      <c r="AT603" s="1350"/>
      <c r="AU603" s="1350"/>
      <c r="AV603" s="1350"/>
      <c r="AW603" s="1350"/>
      <c r="AX603" s="1350"/>
      <c r="AY603" s="1350"/>
      <c r="AZ603" s="1350"/>
      <c r="BA603" s="1070"/>
      <c r="BB603" s="1070"/>
      <c r="BC603" s="1070"/>
      <c r="BD603" s="1070"/>
      <c r="BE603" s="1070"/>
      <c r="BF603" s="1070"/>
      <c r="BG603" s="1070"/>
      <c r="BH603" s="1070"/>
      <c r="BI603" s="1070"/>
      <c r="BJ603" s="1070"/>
      <c r="BK603" s="1070"/>
      <c r="BL603" s="1070"/>
      <c r="BM603" s="1070"/>
      <c r="BN603" s="1070"/>
      <c r="BO603" s="1070"/>
      <c r="BP603" s="1070"/>
      <c r="BQ603" s="1070"/>
      <c r="BR603" s="1070"/>
      <c r="BS603" s="1070"/>
      <c r="BT603" s="1070"/>
      <c r="BU603" s="1070"/>
      <c r="BV603" s="1070"/>
      <c r="BW603" s="1070"/>
      <c r="BX603" s="1070"/>
      <c r="BY603" s="1070"/>
      <c r="BZ603" s="1070"/>
      <c r="CA603" s="1070"/>
      <c r="CB603" s="1070"/>
      <c r="CC603" s="1070"/>
      <c r="CD603" s="1070"/>
      <c r="CE603" s="1070"/>
      <c r="CF603" s="1070"/>
      <c r="CG603" s="1070"/>
      <c r="CH603" s="1070"/>
      <c r="CI603" s="1070"/>
      <c r="CJ603" s="1070"/>
      <c r="CK603" s="1070"/>
      <c r="CL603" s="1070"/>
      <c r="CM603" s="1070"/>
      <c r="CN603" s="1070"/>
      <c r="CO603" s="1070"/>
      <c r="CP603" s="1070"/>
      <c r="CQ603" s="1070"/>
      <c r="CR603" s="1070"/>
      <c r="CS603" s="1070"/>
      <c r="CT603" s="1070"/>
      <c r="CU603" s="1070"/>
      <c r="CV603" s="1070"/>
      <c r="CW603" s="1070"/>
      <c r="CX603" s="1070"/>
      <c r="CY603" s="1070"/>
      <c r="CZ603" s="1070"/>
      <c r="DA603" s="1070"/>
      <c r="DB603" s="1070"/>
      <c r="DC603" s="1070"/>
      <c r="DD603" s="1070"/>
      <c r="DE603" s="1070"/>
      <c r="DF603" s="1070"/>
      <c r="DG603" s="1070"/>
      <c r="DH603" s="1070"/>
      <c r="DI603" s="1070"/>
    </row>
    <row r="604" spans="1:113" ht="15.75" x14ac:dyDescent="0.25">
      <c r="A604" s="1420" t="s">
        <v>3391</v>
      </c>
      <c r="B604" s="1443"/>
      <c r="C604" s="1437"/>
      <c r="D604" s="1437"/>
      <c r="E604" s="1437"/>
      <c r="F604" s="1437"/>
      <c r="G604" s="1437"/>
      <c r="H604" s="1437"/>
      <c r="I604" s="1350"/>
      <c r="J604" s="1350"/>
      <c r="K604" s="1350"/>
      <c r="L604" s="1350"/>
      <c r="M604" s="1350"/>
      <c r="N604" s="1350"/>
      <c r="O604" s="1350"/>
      <c r="P604" s="1350"/>
      <c r="Q604" s="1350"/>
      <c r="R604" s="1350"/>
      <c r="S604" s="1350"/>
      <c r="T604" s="1350"/>
      <c r="U604" s="1350"/>
      <c r="V604" s="1350"/>
      <c r="W604" s="1350"/>
      <c r="X604" s="1350"/>
      <c r="Y604" s="1350"/>
      <c r="Z604" s="1350"/>
      <c r="AA604" s="1350"/>
      <c r="AB604" s="1350"/>
      <c r="AC604" s="1350"/>
      <c r="AD604" s="1350"/>
      <c r="AE604" s="1350"/>
      <c r="AF604" s="1350"/>
      <c r="AG604" s="1350"/>
      <c r="AH604" s="1350"/>
      <c r="AI604" s="1350"/>
      <c r="AJ604" s="1350"/>
      <c r="AK604" s="1350"/>
      <c r="AL604" s="1350"/>
      <c r="AM604" s="1350"/>
      <c r="AN604" s="1350"/>
      <c r="AO604" s="1350"/>
      <c r="AP604" s="1350"/>
      <c r="AQ604" s="1350"/>
      <c r="AR604" s="1350"/>
      <c r="AS604" s="1350"/>
      <c r="AT604" s="1350"/>
      <c r="AU604" s="1350"/>
      <c r="AV604" s="1350"/>
      <c r="AW604" s="1350"/>
      <c r="AX604" s="1350"/>
      <c r="AY604" s="1350"/>
      <c r="AZ604" s="1350"/>
      <c r="BA604" s="1070"/>
      <c r="BB604" s="1070"/>
      <c r="BC604" s="1070"/>
      <c r="BD604" s="1070"/>
      <c r="BE604" s="1070"/>
      <c r="BF604" s="1070"/>
      <c r="BG604" s="1070"/>
      <c r="BH604" s="1070"/>
      <c r="BI604" s="1070"/>
      <c r="BJ604" s="1070"/>
      <c r="BK604" s="1070"/>
      <c r="BL604" s="1070"/>
      <c r="BM604" s="1070"/>
      <c r="BN604" s="1070"/>
      <c r="BO604" s="1070"/>
      <c r="BP604" s="1070"/>
      <c r="BQ604" s="1070"/>
      <c r="BR604" s="1070"/>
      <c r="BS604" s="1070"/>
      <c r="BT604" s="1070"/>
      <c r="BU604" s="1070"/>
      <c r="BV604" s="1070"/>
      <c r="BW604" s="1070"/>
      <c r="BX604" s="1070"/>
      <c r="BY604" s="1070"/>
      <c r="BZ604" s="1070"/>
      <c r="CA604" s="1070"/>
      <c r="CB604" s="1070"/>
      <c r="CC604" s="1070"/>
      <c r="CD604" s="1070"/>
      <c r="CE604" s="1070"/>
      <c r="CF604" s="1070"/>
      <c r="CG604" s="1070"/>
      <c r="CH604" s="1070"/>
      <c r="CI604" s="1070"/>
      <c r="CJ604" s="1070"/>
      <c r="CK604" s="1070"/>
      <c r="CL604" s="1070"/>
      <c r="CM604" s="1070"/>
      <c r="CN604" s="1070"/>
      <c r="CO604" s="1070"/>
      <c r="CP604" s="1070"/>
      <c r="CQ604" s="1070"/>
      <c r="CR604" s="1070"/>
      <c r="CS604" s="1070"/>
      <c r="CT604" s="1070"/>
      <c r="CU604" s="1070"/>
      <c r="CV604" s="1070"/>
      <c r="CW604" s="1070"/>
      <c r="CX604" s="1070"/>
      <c r="CY604" s="1070"/>
      <c r="CZ604" s="1070"/>
      <c r="DA604" s="1070"/>
      <c r="DB604" s="1070"/>
      <c r="DC604" s="1070"/>
      <c r="DD604" s="1070"/>
      <c r="DE604" s="1070"/>
      <c r="DF604" s="1070"/>
      <c r="DG604" s="1070"/>
      <c r="DH604" s="1070"/>
      <c r="DI604" s="1070"/>
    </row>
    <row r="605" spans="1:113" ht="15.75" x14ac:dyDescent="0.25">
      <c r="A605" s="1420" t="s">
        <v>392</v>
      </c>
      <c r="B605" s="1443">
        <f>B384</f>
        <v>0.8</v>
      </c>
      <c r="C605" s="1437"/>
      <c r="D605" s="1437"/>
      <c r="E605" s="1437"/>
      <c r="F605" s="1437"/>
      <c r="G605" s="1437"/>
      <c r="H605" s="1350"/>
      <c r="I605" s="1350"/>
      <c r="J605" s="1350"/>
      <c r="K605" s="1350"/>
      <c r="L605" s="1350"/>
      <c r="M605" s="1350"/>
      <c r="N605" s="1350"/>
      <c r="O605" s="1350"/>
      <c r="P605" s="1350"/>
      <c r="Q605" s="1350"/>
      <c r="R605" s="1350"/>
      <c r="S605" s="1350"/>
      <c r="T605" s="1350"/>
      <c r="U605" s="1350"/>
      <c r="V605" s="1350"/>
      <c r="W605" s="1350"/>
      <c r="X605" s="1350"/>
      <c r="Y605" s="1350"/>
      <c r="Z605" s="1350"/>
      <c r="AA605" s="1350"/>
      <c r="AB605" s="1350"/>
      <c r="AC605" s="1350"/>
      <c r="AD605" s="1350"/>
      <c r="AE605" s="1350"/>
      <c r="AF605" s="1350"/>
      <c r="AG605" s="1350"/>
      <c r="AH605" s="1350"/>
      <c r="AI605" s="1350"/>
      <c r="AJ605" s="1350"/>
      <c r="AK605" s="1350"/>
      <c r="AL605" s="1350"/>
      <c r="AM605" s="1350"/>
      <c r="AN605" s="1350"/>
      <c r="AO605" s="1350"/>
      <c r="AP605" s="1350"/>
      <c r="AQ605" s="1350"/>
      <c r="AR605" s="1350"/>
      <c r="AS605" s="1350"/>
      <c r="AT605" s="1350"/>
      <c r="AU605" s="1350"/>
      <c r="AV605" s="1350"/>
      <c r="AW605" s="1350"/>
      <c r="AX605" s="1350"/>
      <c r="AY605" s="1350"/>
      <c r="AZ605" s="1350"/>
      <c r="BA605" s="1070"/>
      <c r="BB605" s="1070"/>
      <c r="BC605" s="1070"/>
      <c r="BD605" s="1070"/>
      <c r="BE605" s="1070"/>
      <c r="BF605" s="1070"/>
      <c r="BG605" s="1070"/>
      <c r="BH605" s="1070"/>
      <c r="BI605" s="1070"/>
      <c r="BJ605" s="1070"/>
      <c r="BK605" s="1070"/>
      <c r="BL605" s="1070"/>
      <c r="BM605" s="1070"/>
      <c r="BN605" s="1070"/>
      <c r="BO605" s="1070"/>
      <c r="BP605" s="1070"/>
      <c r="BQ605" s="1070"/>
      <c r="BR605" s="1070"/>
      <c r="BS605" s="1070"/>
      <c r="BT605" s="1070"/>
      <c r="BU605" s="1070"/>
      <c r="BV605" s="1070"/>
      <c r="BW605" s="1070"/>
      <c r="BX605" s="1070"/>
      <c r="BY605" s="1070"/>
      <c r="BZ605" s="1070"/>
      <c r="CA605" s="1070"/>
      <c r="CB605" s="1070"/>
      <c r="CC605" s="1070"/>
      <c r="CD605" s="1070"/>
      <c r="CE605" s="1070"/>
      <c r="CF605" s="1070"/>
      <c r="CG605" s="1070"/>
      <c r="CH605" s="1070"/>
      <c r="CI605" s="1070"/>
      <c r="CJ605" s="1070"/>
      <c r="CK605" s="1070"/>
      <c r="CL605" s="1070"/>
      <c r="CM605" s="1070"/>
      <c r="CN605" s="1070"/>
      <c r="CO605" s="1070"/>
      <c r="CP605" s="1070"/>
      <c r="CQ605" s="1070"/>
      <c r="CR605" s="1070"/>
      <c r="CS605" s="1070"/>
      <c r="CT605" s="1070"/>
      <c r="CU605" s="1070"/>
      <c r="CV605" s="1070"/>
      <c r="CW605" s="1070"/>
      <c r="CX605" s="1070"/>
      <c r="CY605" s="1070"/>
      <c r="CZ605" s="1070"/>
      <c r="DA605" s="1070"/>
      <c r="DB605" s="1070"/>
      <c r="DC605" s="1070"/>
      <c r="DD605" s="1070"/>
      <c r="DE605" s="1070"/>
      <c r="DF605" s="1070"/>
      <c r="DG605" s="1070"/>
      <c r="DH605" s="1070"/>
      <c r="DI605" s="1070"/>
    </row>
    <row r="606" spans="1:113" ht="15.75" x14ac:dyDescent="0.25">
      <c r="A606" s="1420" t="s">
        <v>391</v>
      </c>
      <c r="B606" s="1443">
        <f>B385</f>
        <v>0.9</v>
      </c>
      <c r="C606" s="1437"/>
      <c r="D606" s="1432"/>
      <c r="E606" s="1432"/>
      <c r="F606" s="1432"/>
      <c r="G606" s="1432"/>
      <c r="H606" s="1350"/>
      <c r="I606" s="1350"/>
      <c r="J606" s="1350"/>
      <c r="K606" s="1350"/>
      <c r="L606" s="1350"/>
      <c r="M606" s="1350"/>
      <c r="N606" s="1350"/>
      <c r="O606" s="1350"/>
      <c r="P606" s="1350"/>
      <c r="Q606" s="1350"/>
      <c r="R606" s="1350"/>
      <c r="S606" s="1350"/>
      <c r="T606" s="1350"/>
      <c r="U606" s="1350"/>
      <c r="V606" s="1350"/>
      <c r="W606" s="1350"/>
      <c r="X606" s="1350"/>
      <c r="Y606" s="1350"/>
      <c r="Z606" s="1350"/>
      <c r="AA606" s="1350"/>
      <c r="AB606" s="1350"/>
      <c r="AC606" s="1350"/>
      <c r="AD606" s="1350"/>
      <c r="AE606" s="1350"/>
      <c r="AF606" s="1350"/>
      <c r="AG606" s="1350"/>
      <c r="AH606" s="1350"/>
      <c r="AI606" s="1350"/>
      <c r="AJ606" s="1350"/>
      <c r="AK606" s="1350"/>
      <c r="AL606" s="1350"/>
      <c r="AM606" s="1350"/>
      <c r="AN606" s="1350"/>
      <c r="AO606" s="1350"/>
      <c r="AP606" s="1350"/>
      <c r="AQ606" s="1350"/>
      <c r="AR606" s="1350"/>
      <c r="AS606" s="1350"/>
      <c r="AT606" s="1350"/>
      <c r="AU606" s="1350"/>
      <c r="AV606" s="1350"/>
      <c r="AW606" s="1350"/>
      <c r="AX606" s="1350"/>
      <c r="AY606" s="1350"/>
      <c r="AZ606" s="1350"/>
      <c r="BA606" s="1070"/>
      <c r="BB606" s="1070"/>
      <c r="BC606" s="1070"/>
      <c r="BD606" s="1070"/>
      <c r="BE606" s="1070"/>
      <c r="BF606" s="1070"/>
      <c r="BG606" s="1070"/>
      <c r="BH606" s="1070"/>
      <c r="BI606" s="1070"/>
      <c r="BJ606" s="1070"/>
      <c r="BK606" s="1070"/>
      <c r="BL606" s="1070"/>
      <c r="BM606" s="1070"/>
      <c r="BN606" s="1070"/>
      <c r="BO606" s="1070"/>
      <c r="BP606" s="1070"/>
      <c r="BQ606" s="1070"/>
      <c r="BR606" s="1070"/>
      <c r="BS606" s="1070"/>
      <c r="BT606" s="1070"/>
      <c r="BU606" s="1070"/>
      <c r="BV606" s="1070"/>
      <c r="BW606" s="1070"/>
      <c r="BX606" s="1070"/>
      <c r="BY606" s="1070"/>
      <c r="BZ606" s="1070"/>
      <c r="CA606" s="1070"/>
      <c r="CB606" s="1070"/>
      <c r="CC606" s="1070"/>
      <c r="CD606" s="1070"/>
      <c r="CE606" s="1070"/>
      <c r="CF606" s="1070"/>
      <c r="CG606" s="1070"/>
      <c r="CH606" s="1070"/>
      <c r="CI606" s="1070"/>
      <c r="CJ606" s="1070"/>
      <c r="CK606" s="1070"/>
      <c r="CL606" s="1070"/>
      <c r="CM606" s="1070"/>
      <c r="CN606" s="1070"/>
      <c r="CO606" s="1070"/>
      <c r="CP606" s="1070"/>
      <c r="CQ606" s="1070"/>
      <c r="CR606" s="1070"/>
      <c r="CS606" s="1070"/>
      <c r="CT606" s="1070"/>
      <c r="CU606" s="1070"/>
      <c r="CV606" s="1070"/>
      <c r="CW606" s="1070"/>
      <c r="CX606" s="1070"/>
      <c r="CY606" s="1070"/>
      <c r="CZ606" s="1070"/>
      <c r="DA606" s="1070"/>
      <c r="DB606" s="1070"/>
      <c r="DC606" s="1070"/>
      <c r="DD606" s="1070"/>
      <c r="DE606" s="1070"/>
      <c r="DF606" s="1070"/>
      <c r="DG606" s="1070"/>
      <c r="DH606" s="1070"/>
      <c r="DI606" s="1070"/>
    </row>
    <row r="607" spans="1:113" ht="31.5" x14ac:dyDescent="0.25">
      <c r="A607" s="1420" t="s">
        <v>3392</v>
      </c>
      <c r="B607" s="1451">
        <f>B386</f>
        <v>0</v>
      </c>
      <c r="C607" s="1434"/>
      <c r="D607" s="1350"/>
      <c r="E607" s="1350"/>
      <c r="F607" s="1350"/>
      <c r="G607" s="1350"/>
      <c r="H607" s="1350"/>
      <c r="I607" s="1350"/>
      <c r="J607" s="1350"/>
      <c r="K607" s="1350"/>
      <c r="L607" s="1350"/>
      <c r="M607" s="1350"/>
      <c r="N607" s="1350"/>
      <c r="O607" s="1350"/>
      <c r="P607" s="1350"/>
      <c r="Q607" s="1350"/>
      <c r="R607" s="1350"/>
      <c r="S607" s="1350"/>
      <c r="T607" s="1350"/>
      <c r="U607" s="1350"/>
      <c r="V607" s="1350"/>
      <c r="W607" s="1350"/>
      <c r="X607" s="1350"/>
      <c r="Y607" s="1350"/>
      <c r="Z607" s="1350"/>
      <c r="AA607" s="1350"/>
      <c r="AB607" s="1350"/>
      <c r="AC607" s="1350"/>
      <c r="AD607" s="1350"/>
      <c r="AE607" s="1350"/>
      <c r="AF607" s="1350"/>
      <c r="AG607" s="1350"/>
      <c r="AH607" s="1350"/>
      <c r="AI607" s="1350"/>
      <c r="AJ607" s="1350"/>
      <c r="AK607" s="1350"/>
      <c r="AL607" s="1350"/>
      <c r="AM607" s="1350"/>
      <c r="AN607" s="1350"/>
      <c r="AO607" s="1350"/>
      <c r="AP607" s="1350"/>
      <c r="AQ607" s="1350"/>
      <c r="AR607" s="1350"/>
      <c r="AS607" s="1350"/>
      <c r="AT607" s="1350"/>
      <c r="AU607" s="1350"/>
      <c r="AV607" s="1350"/>
      <c r="AW607" s="1350"/>
      <c r="AX607" s="1350"/>
      <c r="AY607" s="1350"/>
      <c r="AZ607" s="1350"/>
      <c r="BA607" s="1070"/>
      <c r="BB607" s="1070"/>
      <c r="BC607" s="1070"/>
      <c r="BD607" s="1070"/>
      <c r="BE607" s="1070"/>
      <c r="BF607" s="1070"/>
      <c r="BG607" s="1070"/>
      <c r="BH607" s="1070"/>
      <c r="BI607" s="1070"/>
      <c r="BJ607" s="1070"/>
      <c r="BK607" s="1070"/>
      <c r="BL607" s="1070"/>
      <c r="BM607" s="1070"/>
      <c r="BN607" s="1070"/>
      <c r="BO607" s="1070"/>
      <c r="BP607" s="1070"/>
      <c r="BQ607" s="1070"/>
      <c r="BR607" s="1070"/>
      <c r="BS607" s="1070"/>
      <c r="BT607" s="1070"/>
      <c r="BU607" s="1070"/>
      <c r="BV607" s="1070"/>
      <c r="BW607" s="1070"/>
      <c r="BX607" s="1070"/>
      <c r="BY607" s="1070"/>
      <c r="BZ607" s="1070"/>
      <c r="CA607" s="1070"/>
      <c r="CB607" s="1070"/>
      <c r="CC607" s="1070"/>
      <c r="CD607" s="1070"/>
      <c r="CE607" s="1070"/>
      <c r="CF607" s="1070"/>
      <c r="CG607" s="1070"/>
      <c r="CH607" s="1070"/>
      <c r="CI607" s="1070"/>
      <c r="CJ607" s="1070"/>
      <c r="CK607" s="1070"/>
      <c r="CL607" s="1070"/>
      <c r="CM607" s="1070"/>
      <c r="CN607" s="1070"/>
      <c r="CO607" s="1070"/>
      <c r="CP607" s="1070"/>
      <c r="CQ607" s="1070"/>
      <c r="CR607" s="1070"/>
      <c r="CS607" s="1070"/>
      <c r="CT607" s="1070"/>
      <c r="CU607" s="1070"/>
      <c r="CV607" s="1070"/>
      <c r="CW607" s="1070"/>
      <c r="CX607" s="1070"/>
      <c r="CY607" s="1070"/>
      <c r="CZ607" s="1070"/>
      <c r="DA607" s="1070"/>
      <c r="DB607" s="1070"/>
      <c r="DC607" s="1070"/>
      <c r="DD607" s="1070"/>
      <c r="DE607" s="1070"/>
      <c r="DF607" s="1070"/>
      <c r="DG607" s="1070"/>
      <c r="DH607" s="1070"/>
      <c r="DI607" s="1070"/>
    </row>
    <row r="608" spans="1:113" ht="15.75" x14ac:dyDescent="0.25">
      <c r="A608" s="1420" t="s">
        <v>3393</v>
      </c>
      <c r="B608" s="1443">
        <f>IF(B607=0,1,1.2)</f>
        <v>1</v>
      </c>
      <c r="C608" s="1437"/>
      <c r="D608" s="1350"/>
      <c r="E608" s="1350"/>
      <c r="F608" s="1350"/>
      <c r="G608" s="1350"/>
      <c r="H608" s="1350"/>
      <c r="I608" s="1350"/>
      <c r="J608" s="1350"/>
      <c r="K608" s="1350"/>
      <c r="L608" s="1350"/>
      <c r="M608" s="1350"/>
      <c r="N608" s="1350"/>
      <c r="O608" s="1350"/>
      <c r="P608" s="1350"/>
      <c r="Q608" s="1350"/>
      <c r="R608" s="1350"/>
      <c r="S608" s="1350"/>
      <c r="T608" s="1350"/>
      <c r="U608" s="1350"/>
      <c r="V608" s="1350"/>
      <c r="W608" s="1350"/>
      <c r="X608" s="1350"/>
      <c r="Y608" s="1350"/>
      <c r="Z608" s="1350"/>
      <c r="AA608" s="1350"/>
      <c r="AB608" s="1350"/>
      <c r="AC608" s="1350"/>
      <c r="AD608" s="1350"/>
      <c r="AE608" s="1350"/>
      <c r="AF608" s="1350"/>
      <c r="AG608" s="1350"/>
      <c r="AH608" s="1350"/>
      <c r="AI608" s="1350"/>
      <c r="AJ608" s="1350"/>
      <c r="AK608" s="1350"/>
      <c r="AL608" s="1350"/>
      <c r="AM608" s="1350"/>
      <c r="AN608" s="1350"/>
      <c r="AO608" s="1350"/>
      <c r="AP608" s="1350"/>
      <c r="AQ608" s="1350"/>
      <c r="AR608" s="1350"/>
      <c r="AS608" s="1350"/>
      <c r="AT608" s="1350"/>
      <c r="AU608" s="1350"/>
      <c r="AV608" s="1350"/>
      <c r="AW608" s="1350"/>
      <c r="AX608" s="1350"/>
      <c r="AY608" s="1350"/>
      <c r="AZ608" s="1350"/>
      <c r="BA608" s="1070"/>
      <c r="BB608" s="1070"/>
      <c r="BC608" s="1070"/>
      <c r="BD608" s="1070"/>
      <c r="BE608" s="1070"/>
      <c r="BF608" s="1070"/>
      <c r="BG608" s="1070"/>
      <c r="BH608" s="1070"/>
      <c r="BI608" s="1070"/>
      <c r="BJ608" s="1070"/>
      <c r="BK608" s="1070"/>
      <c r="BL608" s="1070"/>
      <c r="BM608" s="1070"/>
      <c r="BN608" s="1070"/>
      <c r="BO608" s="1070"/>
      <c r="BP608" s="1070"/>
      <c r="BQ608" s="1070"/>
      <c r="BR608" s="1070"/>
      <c r="BS608" s="1070"/>
      <c r="BT608" s="1070"/>
      <c r="BU608" s="1070"/>
      <c r="BV608" s="1070"/>
      <c r="BW608" s="1070"/>
      <c r="BX608" s="1070"/>
      <c r="BY608" s="1070"/>
      <c r="BZ608" s="1070"/>
      <c r="CA608" s="1070"/>
      <c r="CB608" s="1070"/>
      <c r="CC608" s="1070"/>
      <c r="CD608" s="1070"/>
      <c r="CE608" s="1070"/>
      <c r="CF608" s="1070"/>
      <c r="CG608" s="1070"/>
      <c r="CH608" s="1070"/>
      <c r="CI608" s="1070"/>
      <c r="CJ608" s="1070"/>
      <c r="CK608" s="1070"/>
      <c r="CL608" s="1070"/>
      <c r="CM608" s="1070"/>
      <c r="CN608" s="1070"/>
      <c r="CO608" s="1070"/>
      <c r="CP608" s="1070"/>
      <c r="CQ608" s="1070"/>
      <c r="CR608" s="1070"/>
      <c r="CS608" s="1070"/>
      <c r="CT608" s="1070"/>
      <c r="CU608" s="1070"/>
      <c r="CV608" s="1070"/>
      <c r="CW608" s="1070"/>
      <c r="CX608" s="1070"/>
      <c r="CY608" s="1070"/>
      <c r="CZ608" s="1070"/>
      <c r="DA608" s="1070"/>
      <c r="DB608" s="1070"/>
      <c r="DC608" s="1070"/>
      <c r="DD608" s="1070"/>
      <c r="DE608" s="1070"/>
      <c r="DF608" s="1070"/>
      <c r="DG608" s="1070"/>
      <c r="DH608" s="1070"/>
      <c r="DI608" s="1070"/>
    </row>
    <row r="609" spans="1:113" ht="47.25" x14ac:dyDescent="0.25">
      <c r="A609" s="1420" t="s">
        <v>1892</v>
      </c>
      <c r="B609" s="1451">
        <f>B388</f>
        <v>1</v>
      </c>
      <c r="C609" s="1434"/>
      <c r="D609" s="1432"/>
      <c r="E609" s="1432"/>
      <c r="F609" s="1432"/>
      <c r="G609" s="1432"/>
      <c r="H609" s="1350"/>
      <c r="I609" s="1350"/>
      <c r="J609" s="1350"/>
      <c r="K609" s="1350"/>
      <c r="L609" s="1350"/>
      <c r="M609" s="1350"/>
      <c r="N609" s="1350"/>
      <c r="O609" s="1350"/>
      <c r="P609" s="1350"/>
      <c r="Q609" s="1350"/>
      <c r="R609" s="1350"/>
      <c r="S609" s="1350"/>
      <c r="T609" s="1350"/>
      <c r="U609" s="1350"/>
      <c r="V609" s="1350"/>
      <c r="W609" s="1350"/>
      <c r="X609" s="1350"/>
      <c r="Y609" s="1350"/>
      <c r="Z609" s="1350"/>
      <c r="AA609" s="1350"/>
      <c r="AB609" s="1350"/>
      <c r="AC609" s="1350"/>
      <c r="AD609" s="1350"/>
      <c r="AE609" s="1350"/>
      <c r="AF609" s="1350"/>
      <c r="AG609" s="1350"/>
      <c r="AH609" s="1350"/>
      <c r="AI609" s="1350"/>
      <c r="AJ609" s="1350"/>
      <c r="AK609" s="1350"/>
      <c r="AL609" s="1350"/>
      <c r="AM609" s="1350"/>
      <c r="AN609" s="1350"/>
      <c r="AO609" s="1350"/>
      <c r="AP609" s="1350"/>
      <c r="AQ609" s="1350"/>
      <c r="AR609" s="1350"/>
      <c r="AS609" s="1350"/>
      <c r="AT609" s="1350"/>
      <c r="AU609" s="1350"/>
      <c r="AV609" s="1350"/>
      <c r="AW609" s="1350"/>
      <c r="AX609" s="1350"/>
      <c r="AY609" s="1350"/>
      <c r="AZ609" s="1350"/>
      <c r="BA609" s="1070"/>
      <c r="BB609" s="1070"/>
      <c r="BC609" s="1070"/>
      <c r="BD609" s="1070"/>
      <c r="BE609" s="1070"/>
      <c r="BF609" s="1070"/>
      <c r="BG609" s="1070"/>
      <c r="BH609" s="1070"/>
      <c r="BI609" s="1070"/>
      <c r="BJ609" s="1070"/>
      <c r="BK609" s="1070"/>
      <c r="BL609" s="1070"/>
      <c r="BM609" s="1070"/>
      <c r="BN609" s="1070"/>
      <c r="BO609" s="1070"/>
      <c r="BP609" s="1070"/>
      <c r="BQ609" s="1070"/>
      <c r="BR609" s="1070"/>
      <c r="BS609" s="1070"/>
      <c r="BT609" s="1070"/>
      <c r="BU609" s="1070"/>
      <c r="BV609" s="1070"/>
      <c r="BW609" s="1070"/>
      <c r="BX609" s="1070"/>
      <c r="BY609" s="1070"/>
      <c r="BZ609" s="1070"/>
      <c r="CA609" s="1070"/>
      <c r="CB609" s="1070"/>
      <c r="CC609" s="1070"/>
      <c r="CD609" s="1070"/>
      <c r="CE609" s="1070"/>
      <c r="CF609" s="1070"/>
      <c r="CG609" s="1070"/>
      <c r="CH609" s="1070"/>
      <c r="CI609" s="1070"/>
      <c r="CJ609" s="1070"/>
      <c r="CK609" s="1070"/>
      <c r="CL609" s="1070"/>
      <c r="CM609" s="1070"/>
      <c r="CN609" s="1070"/>
      <c r="CO609" s="1070"/>
      <c r="CP609" s="1070"/>
      <c r="CQ609" s="1070"/>
      <c r="CR609" s="1070"/>
      <c r="CS609" s="1070"/>
      <c r="CT609" s="1070"/>
      <c r="CU609" s="1070"/>
      <c r="CV609" s="1070"/>
      <c r="CW609" s="1070"/>
      <c r="CX609" s="1070"/>
      <c r="CY609" s="1070"/>
      <c r="CZ609" s="1070"/>
      <c r="DA609" s="1070"/>
      <c r="DB609" s="1070"/>
      <c r="DC609" s="1070"/>
      <c r="DD609" s="1070"/>
      <c r="DE609" s="1070"/>
      <c r="DF609" s="1070"/>
      <c r="DG609" s="1070"/>
      <c r="DH609" s="1070"/>
      <c r="DI609" s="1070"/>
    </row>
    <row r="610" spans="1:113" ht="15.75" x14ac:dyDescent="0.25">
      <c r="A610" s="1420" t="s">
        <v>1893</v>
      </c>
      <c r="B610" s="1443">
        <f>IF(B609=0,1.05,1)</f>
        <v>1</v>
      </c>
      <c r="C610" s="1437"/>
      <c r="D610" s="1434"/>
      <c r="E610" s="1434"/>
      <c r="F610" s="1434"/>
      <c r="G610" s="1434"/>
      <c r="H610" s="1350"/>
      <c r="I610" s="1350"/>
      <c r="J610" s="1350"/>
      <c r="K610" s="1350"/>
      <c r="L610" s="1350"/>
      <c r="M610" s="1350"/>
      <c r="N610" s="1350"/>
      <c r="O610" s="1350"/>
      <c r="P610" s="1350"/>
      <c r="Q610" s="1350"/>
      <c r="R610" s="1350"/>
      <c r="S610" s="1350"/>
      <c r="T610" s="1350"/>
      <c r="U610" s="1350"/>
      <c r="V610" s="1350"/>
      <c r="W610" s="1350"/>
      <c r="X610" s="1350"/>
      <c r="Y610" s="1350"/>
      <c r="Z610" s="1350"/>
      <c r="AA610" s="1350"/>
      <c r="AB610" s="1350"/>
      <c r="AC610" s="1350"/>
      <c r="AD610" s="1350"/>
      <c r="AE610" s="1350"/>
      <c r="AF610" s="1350"/>
      <c r="AG610" s="1350"/>
      <c r="AH610" s="1350"/>
      <c r="AI610" s="1350"/>
      <c r="AJ610" s="1350"/>
      <c r="AK610" s="1350"/>
      <c r="AL610" s="1350"/>
      <c r="AM610" s="1350"/>
      <c r="AN610" s="1350"/>
      <c r="AO610" s="1350"/>
      <c r="AP610" s="1350"/>
      <c r="AQ610" s="1350"/>
      <c r="AR610" s="1350"/>
      <c r="AS610" s="1350"/>
      <c r="AT610" s="1350"/>
      <c r="AU610" s="1350"/>
      <c r="AV610" s="1350"/>
      <c r="AW610" s="1350"/>
      <c r="AX610" s="1350"/>
      <c r="AY610" s="1350"/>
      <c r="AZ610" s="1350"/>
      <c r="BA610" s="1070"/>
      <c r="BB610" s="1070"/>
      <c r="BC610" s="1070"/>
      <c r="BD610" s="1070"/>
      <c r="BE610" s="1070"/>
      <c r="BF610" s="1070"/>
      <c r="BG610" s="1070"/>
      <c r="BH610" s="1070"/>
      <c r="BI610" s="1070"/>
      <c r="BJ610" s="1070"/>
      <c r="BK610" s="1070"/>
      <c r="BL610" s="1070"/>
      <c r="BM610" s="1070"/>
      <c r="BN610" s="1070"/>
      <c r="BO610" s="1070"/>
      <c r="BP610" s="1070"/>
      <c r="BQ610" s="1070"/>
      <c r="BR610" s="1070"/>
      <c r="BS610" s="1070"/>
      <c r="BT610" s="1070"/>
      <c r="BU610" s="1070"/>
      <c r="BV610" s="1070"/>
      <c r="BW610" s="1070"/>
      <c r="BX610" s="1070"/>
      <c r="BY610" s="1070"/>
      <c r="BZ610" s="1070"/>
      <c r="CA610" s="1070"/>
      <c r="CB610" s="1070"/>
      <c r="CC610" s="1070"/>
      <c r="CD610" s="1070"/>
      <c r="CE610" s="1070"/>
      <c r="CF610" s="1070"/>
      <c r="CG610" s="1070"/>
      <c r="CH610" s="1070"/>
      <c r="CI610" s="1070"/>
      <c r="CJ610" s="1070"/>
      <c r="CK610" s="1070"/>
      <c r="CL610" s="1070"/>
      <c r="CM610" s="1070"/>
      <c r="CN610" s="1070"/>
      <c r="CO610" s="1070"/>
      <c r="CP610" s="1070"/>
      <c r="CQ610" s="1070"/>
      <c r="CR610" s="1070"/>
      <c r="CS610" s="1070"/>
      <c r="CT610" s="1070"/>
      <c r="CU610" s="1070"/>
      <c r="CV610" s="1070"/>
      <c r="CW610" s="1070"/>
      <c r="CX610" s="1070"/>
      <c r="CY610" s="1070"/>
      <c r="CZ610" s="1070"/>
      <c r="DA610" s="1070"/>
      <c r="DB610" s="1070"/>
      <c r="DC610" s="1070"/>
      <c r="DD610" s="1070"/>
      <c r="DE610" s="1070"/>
      <c r="DF610" s="1070"/>
      <c r="DG610" s="1070"/>
      <c r="DH610" s="1070"/>
      <c r="DI610" s="1070"/>
    </row>
    <row r="611" spans="1:113" ht="15.75" x14ac:dyDescent="0.25">
      <c r="A611" s="1420" t="s">
        <v>1894</v>
      </c>
      <c r="B611" s="1443" t="e">
        <f>B603*B605*B606*B608*B610*B341</f>
        <v>#VALUE!</v>
      </c>
      <c r="C611" s="1437"/>
      <c r="D611" s="1350"/>
      <c r="E611" s="1350"/>
      <c r="F611" s="1350"/>
      <c r="G611" s="1350"/>
      <c r="H611" s="1350"/>
      <c r="I611" s="1350"/>
      <c r="J611" s="1350"/>
      <c r="K611" s="1350"/>
      <c r="L611" s="1350"/>
      <c r="M611" s="1350"/>
      <c r="N611" s="1350"/>
      <c r="O611" s="1350"/>
      <c r="P611" s="1350"/>
      <c r="Q611" s="1350"/>
      <c r="R611" s="1350"/>
      <c r="S611" s="1350"/>
      <c r="T611" s="1350"/>
      <c r="U611" s="1350"/>
      <c r="V611" s="1350"/>
      <c r="W611" s="1350"/>
      <c r="X611" s="1350"/>
      <c r="Y611" s="1350"/>
      <c r="Z611" s="1350"/>
      <c r="AA611" s="1350"/>
      <c r="AB611" s="1350"/>
      <c r="AC611" s="1350"/>
      <c r="AD611" s="1350"/>
      <c r="AE611" s="1350"/>
      <c r="AF611" s="1350"/>
      <c r="AG611" s="1350"/>
      <c r="AH611" s="1350"/>
      <c r="AI611" s="1350"/>
      <c r="AJ611" s="1350"/>
      <c r="AK611" s="1350"/>
      <c r="AL611" s="1350"/>
      <c r="AM611" s="1350"/>
      <c r="AN611" s="1350"/>
      <c r="AO611" s="1350"/>
      <c r="AP611" s="1350"/>
      <c r="AQ611" s="1350"/>
      <c r="AR611" s="1350"/>
      <c r="AS611" s="1350"/>
      <c r="AT611" s="1350"/>
      <c r="AU611" s="1350"/>
      <c r="AV611" s="1350"/>
      <c r="AW611" s="1350"/>
      <c r="AX611" s="1350"/>
      <c r="AY611" s="1350"/>
      <c r="AZ611" s="1350"/>
      <c r="BA611" s="1070"/>
      <c r="BB611" s="1070"/>
      <c r="BC611" s="1070"/>
      <c r="BD611" s="1070"/>
      <c r="BE611" s="1070"/>
      <c r="BF611" s="1070"/>
      <c r="BG611" s="1070"/>
      <c r="BH611" s="1070"/>
      <c r="BI611" s="1070"/>
      <c r="BJ611" s="1070"/>
      <c r="BK611" s="1070"/>
      <c r="BL611" s="1070"/>
      <c r="BM611" s="1070"/>
      <c r="BN611" s="1070"/>
      <c r="BO611" s="1070"/>
      <c r="BP611" s="1070"/>
      <c r="BQ611" s="1070"/>
      <c r="BR611" s="1070"/>
      <c r="BS611" s="1070"/>
      <c r="BT611" s="1070"/>
      <c r="BU611" s="1070"/>
      <c r="BV611" s="1070"/>
      <c r="BW611" s="1070"/>
      <c r="BX611" s="1070"/>
      <c r="BY611" s="1070"/>
      <c r="BZ611" s="1070"/>
      <c r="CA611" s="1070"/>
      <c r="CB611" s="1070"/>
      <c r="CC611" s="1070"/>
      <c r="CD611" s="1070"/>
      <c r="CE611" s="1070"/>
      <c r="CF611" s="1070"/>
      <c r="CG611" s="1070"/>
      <c r="CH611" s="1070"/>
      <c r="CI611" s="1070"/>
      <c r="CJ611" s="1070"/>
      <c r="CK611" s="1070"/>
      <c r="CL611" s="1070"/>
      <c r="CM611" s="1070"/>
      <c r="CN611" s="1070"/>
      <c r="CO611" s="1070"/>
      <c r="CP611" s="1070"/>
      <c r="CQ611" s="1070"/>
      <c r="CR611" s="1070"/>
      <c r="CS611" s="1070"/>
      <c r="CT611" s="1070"/>
      <c r="CU611" s="1070"/>
      <c r="CV611" s="1070"/>
      <c r="CW611" s="1070"/>
      <c r="CX611" s="1070"/>
      <c r="CY611" s="1070"/>
      <c r="CZ611" s="1070"/>
      <c r="DA611" s="1070"/>
      <c r="DB611" s="1070"/>
      <c r="DC611" s="1070"/>
      <c r="DD611" s="1070"/>
      <c r="DE611" s="1070"/>
      <c r="DF611" s="1070"/>
      <c r="DG611" s="1070"/>
      <c r="DH611" s="1070"/>
      <c r="DI611" s="1070"/>
    </row>
    <row r="612" spans="1:113" ht="15.75" x14ac:dyDescent="0.25">
      <c r="A612" s="1420" t="s">
        <v>429</v>
      </c>
      <c r="B612" s="1439" t="e">
        <f>B602/B611</f>
        <v>#DIV/0!</v>
      </c>
      <c r="C612" s="1432"/>
      <c r="D612" s="1437"/>
      <c r="E612" s="1437"/>
      <c r="F612" s="1437"/>
      <c r="G612" s="1437"/>
      <c r="H612" s="1350"/>
      <c r="I612" s="1350"/>
      <c r="J612" s="1350"/>
      <c r="K612" s="1350"/>
      <c r="L612" s="1350"/>
      <c r="M612" s="1350"/>
      <c r="N612" s="1350"/>
      <c r="O612" s="1350"/>
      <c r="P612" s="1350"/>
      <c r="Q612" s="1350"/>
      <c r="R612" s="1350"/>
      <c r="S612" s="1350"/>
      <c r="T612" s="1350"/>
      <c r="U612" s="1350"/>
      <c r="V612" s="1350"/>
      <c r="W612" s="1350"/>
      <c r="X612" s="1350"/>
      <c r="Y612" s="1350"/>
      <c r="Z612" s="1350"/>
      <c r="AA612" s="1350"/>
      <c r="AB612" s="1350"/>
      <c r="AC612" s="1350"/>
      <c r="AD612" s="1350"/>
      <c r="AE612" s="1350"/>
      <c r="AF612" s="1350"/>
      <c r="AG612" s="1350"/>
      <c r="AH612" s="1350"/>
      <c r="AI612" s="1350"/>
      <c r="AJ612" s="1350"/>
      <c r="AK612" s="1350"/>
      <c r="AL612" s="1350"/>
      <c r="AM612" s="1350"/>
      <c r="AN612" s="1350"/>
      <c r="AO612" s="1350"/>
      <c r="AP612" s="1350"/>
      <c r="AQ612" s="1350"/>
      <c r="AR612" s="1350"/>
      <c r="AS612" s="1350"/>
      <c r="AT612" s="1350"/>
      <c r="AU612" s="1350"/>
      <c r="AV612" s="1350"/>
      <c r="AW612" s="1350"/>
      <c r="AX612" s="1350"/>
      <c r="AY612" s="1350"/>
      <c r="AZ612" s="1350"/>
      <c r="BA612" s="1070"/>
      <c r="BB612" s="1070"/>
      <c r="BC612" s="1070"/>
      <c r="BD612" s="1070"/>
      <c r="BE612" s="1070"/>
      <c r="BF612" s="1070"/>
      <c r="BG612" s="1070"/>
      <c r="BH612" s="1070"/>
      <c r="BI612" s="1070"/>
      <c r="BJ612" s="1070"/>
      <c r="BK612" s="1070"/>
      <c r="BL612" s="1070"/>
      <c r="BM612" s="1070"/>
      <c r="BN612" s="1070"/>
      <c r="BO612" s="1070"/>
      <c r="BP612" s="1070"/>
      <c r="BQ612" s="1070"/>
      <c r="BR612" s="1070"/>
      <c r="BS612" s="1070"/>
      <c r="BT612" s="1070"/>
      <c r="BU612" s="1070"/>
      <c r="BV612" s="1070"/>
      <c r="BW612" s="1070"/>
      <c r="BX612" s="1070"/>
      <c r="BY612" s="1070"/>
      <c r="BZ612" s="1070"/>
      <c r="CA612" s="1070"/>
      <c r="CB612" s="1070"/>
      <c r="CC612" s="1070"/>
      <c r="CD612" s="1070"/>
      <c r="CE612" s="1070"/>
      <c r="CF612" s="1070"/>
      <c r="CG612" s="1070"/>
      <c r="CH612" s="1070"/>
      <c r="CI612" s="1070"/>
      <c r="CJ612" s="1070"/>
      <c r="CK612" s="1070"/>
      <c r="CL612" s="1070"/>
      <c r="CM612" s="1070"/>
      <c r="CN612" s="1070"/>
      <c r="CO612" s="1070"/>
      <c r="CP612" s="1070"/>
      <c r="CQ612" s="1070"/>
      <c r="CR612" s="1070"/>
      <c r="CS612" s="1070"/>
      <c r="CT612" s="1070"/>
      <c r="CU612" s="1070"/>
      <c r="CV612" s="1070"/>
      <c r="CW612" s="1070"/>
      <c r="CX612" s="1070"/>
      <c r="CY612" s="1070"/>
      <c r="CZ612" s="1070"/>
      <c r="DA612" s="1070"/>
      <c r="DB612" s="1070"/>
      <c r="DC612" s="1070"/>
      <c r="DD612" s="1070"/>
      <c r="DE612" s="1070"/>
      <c r="DF612" s="1070"/>
      <c r="DG612" s="1070"/>
      <c r="DH612" s="1070"/>
      <c r="DI612" s="1070"/>
    </row>
    <row r="613" spans="1:113" ht="15.75" x14ac:dyDescent="0.25">
      <c r="A613" s="1430"/>
      <c r="B613" s="1443"/>
      <c r="C613" s="1437"/>
      <c r="D613" s="1437"/>
      <c r="E613" s="1437"/>
      <c r="F613" s="1437"/>
      <c r="G613" s="1437"/>
      <c r="H613" s="1350"/>
      <c r="I613" s="1350"/>
      <c r="J613" s="1350"/>
      <c r="K613" s="1350"/>
      <c r="L613" s="1350"/>
      <c r="M613" s="1350"/>
      <c r="N613" s="1350"/>
      <c r="O613" s="1350"/>
      <c r="P613" s="1350"/>
      <c r="Q613" s="1350"/>
      <c r="R613" s="1350"/>
      <c r="S613" s="1350"/>
      <c r="T613" s="1350"/>
      <c r="U613" s="1350"/>
      <c r="V613" s="1350"/>
      <c r="W613" s="1350"/>
      <c r="X613" s="1350"/>
      <c r="Y613" s="1350"/>
      <c r="Z613" s="1350"/>
      <c r="AA613" s="1350"/>
      <c r="AB613" s="1350"/>
      <c r="AC613" s="1350"/>
      <c r="AD613" s="1350"/>
      <c r="AE613" s="1350"/>
      <c r="AF613" s="1350"/>
      <c r="AG613" s="1350"/>
      <c r="AH613" s="1350"/>
      <c r="AI613" s="1350"/>
      <c r="AJ613" s="1350"/>
      <c r="AK613" s="1350"/>
      <c r="AL613" s="1350"/>
      <c r="AM613" s="1350"/>
      <c r="AN613" s="1350"/>
      <c r="AO613" s="1350"/>
      <c r="AP613" s="1350"/>
      <c r="AQ613" s="1350"/>
      <c r="AR613" s="1350"/>
      <c r="AS613" s="1350"/>
      <c r="AT613" s="1350"/>
      <c r="AU613" s="1350"/>
      <c r="AV613" s="1350"/>
      <c r="AW613" s="1350"/>
      <c r="AX613" s="1350"/>
      <c r="AY613" s="1350"/>
      <c r="AZ613" s="1350"/>
      <c r="BA613" s="1070"/>
      <c r="BB613" s="1070"/>
      <c r="BC613" s="1070"/>
      <c r="BD613" s="1070"/>
      <c r="BE613" s="1070"/>
      <c r="BF613" s="1070"/>
      <c r="BG613" s="1070"/>
      <c r="BH613" s="1070"/>
      <c r="BI613" s="1070"/>
      <c r="BJ613" s="1070"/>
      <c r="BK613" s="1070"/>
      <c r="BL613" s="1070"/>
      <c r="BM613" s="1070"/>
      <c r="BN613" s="1070"/>
      <c r="BO613" s="1070"/>
      <c r="BP613" s="1070"/>
      <c r="BQ613" s="1070"/>
      <c r="BR613" s="1070"/>
      <c r="BS613" s="1070"/>
      <c r="BT613" s="1070"/>
      <c r="BU613" s="1070"/>
      <c r="BV613" s="1070"/>
      <c r="BW613" s="1070"/>
      <c r="BX613" s="1070"/>
      <c r="BY613" s="1070"/>
      <c r="BZ613" s="1070"/>
      <c r="CA613" s="1070"/>
      <c r="CB613" s="1070"/>
      <c r="CC613" s="1070"/>
      <c r="CD613" s="1070"/>
      <c r="CE613" s="1070"/>
      <c r="CF613" s="1070"/>
      <c r="CG613" s="1070"/>
      <c r="CH613" s="1070"/>
      <c r="CI613" s="1070"/>
      <c r="CJ613" s="1070"/>
      <c r="CK613" s="1070"/>
      <c r="CL613" s="1070"/>
      <c r="CM613" s="1070"/>
      <c r="CN613" s="1070"/>
      <c r="CO613" s="1070"/>
      <c r="CP613" s="1070"/>
      <c r="CQ613" s="1070"/>
      <c r="CR613" s="1070"/>
      <c r="CS613" s="1070"/>
      <c r="CT613" s="1070"/>
      <c r="CU613" s="1070"/>
      <c r="CV613" s="1070"/>
      <c r="CW613" s="1070"/>
      <c r="CX613" s="1070"/>
      <c r="CY613" s="1070"/>
      <c r="CZ613" s="1070"/>
      <c r="DA613" s="1070"/>
      <c r="DB613" s="1070"/>
      <c r="DC613" s="1070"/>
      <c r="DD613" s="1070"/>
      <c r="DE613" s="1070"/>
      <c r="DF613" s="1070"/>
      <c r="DG613" s="1070"/>
      <c r="DH613" s="1070"/>
      <c r="DI613" s="1070"/>
    </row>
    <row r="614" spans="1:113" ht="47.25" x14ac:dyDescent="0.25">
      <c r="A614" s="1438" t="s">
        <v>1895</v>
      </c>
      <c r="B614" s="1443"/>
      <c r="C614" s="1437"/>
      <c r="D614" s="1434"/>
      <c r="E614" s="1434"/>
      <c r="F614" s="1434"/>
      <c r="G614" s="1434"/>
      <c r="H614" s="1350"/>
      <c r="I614" s="1350"/>
      <c r="J614" s="1350"/>
      <c r="K614" s="1350"/>
      <c r="L614" s="1350"/>
      <c r="M614" s="1350"/>
      <c r="N614" s="1350"/>
      <c r="O614" s="1350"/>
      <c r="P614" s="1350"/>
      <c r="Q614" s="1350"/>
      <c r="R614" s="1350"/>
      <c r="S614" s="1350"/>
      <c r="T614" s="1350"/>
      <c r="U614" s="1350"/>
      <c r="V614" s="1350"/>
      <c r="W614" s="1350"/>
      <c r="X614" s="1350"/>
      <c r="Y614" s="1350"/>
      <c r="Z614" s="1350"/>
      <c r="AA614" s="1350"/>
      <c r="AB614" s="1350"/>
      <c r="AC614" s="1350"/>
      <c r="AD614" s="1350"/>
      <c r="AE614" s="1350"/>
      <c r="AF614" s="1350"/>
      <c r="AG614" s="1350"/>
      <c r="AH614" s="1350"/>
      <c r="AI614" s="1350"/>
      <c r="AJ614" s="1350"/>
      <c r="AK614" s="1350"/>
      <c r="AL614" s="1350"/>
      <c r="AM614" s="1350"/>
      <c r="AN614" s="1350"/>
      <c r="AO614" s="1350"/>
      <c r="AP614" s="1350"/>
      <c r="AQ614" s="1350"/>
      <c r="AR614" s="1350"/>
      <c r="AS614" s="1350"/>
      <c r="AT614" s="1350"/>
      <c r="AU614" s="1350"/>
      <c r="AV614" s="1350"/>
      <c r="AW614" s="1350"/>
      <c r="AX614" s="1350"/>
      <c r="AY614" s="1350"/>
      <c r="AZ614" s="1350"/>
      <c r="BA614" s="1070"/>
      <c r="BB614" s="1070"/>
      <c r="BC614" s="1070"/>
      <c r="BD614" s="1070"/>
      <c r="BE614" s="1070"/>
      <c r="BF614" s="1070"/>
      <c r="BG614" s="1070"/>
      <c r="BH614" s="1070"/>
      <c r="BI614" s="1070"/>
      <c r="BJ614" s="1070"/>
      <c r="BK614" s="1070"/>
      <c r="BL614" s="1070"/>
      <c r="BM614" s="1070"/>
      <c r="BN614" s="1070"/>
      <c r="BO614" s="1070"/>
      <c r="BP614" s="1070"/>
      <c r="BQ614" s="1070"/>
      <c r="BR614" s="1070"/>
      <c r="BS614" s="1070"/>
      <c r="BT614" s="1070"/>
      <c r="BU614" s="1070"/>
      <c r="BV614" s="1070"/>
      <c r="BW614" s="1070"/>
      <c r="BX614" s="1070"/>
      <c r="BY614" s="1070"/>
      <c r="BZ614" s="1070"/>
      <c r="CA614" s="1070"/>
      <c r="CB614" s="1070"/>
      <c r="CC614" s="1070"/>
      <c r="CD614" s="1070"/>
      <c r="CE614" s="1070"/>
      <c r="CF614" s="1070"/>
      <c r="CG614" s="1070"/>
      <c r="CH614" s="1070"/>
      <c r="CI614" s="1070"/>
      <c r="CJ614" s="1070"/>
      <c r="CK614" s="1070"/>
      <c r="CL614" s="1070"/>
      <c r="CM614" s="1070"/>
      <c r="CN614" s="1070"/>
      <c r="CO614" s="1070"/>
      <c r="CP614" s="1070"/>
      <c r="CQ614" s="1070"/>
      <c r="CR614" s="1070"/>
      <c r="CS614" s="1070"/>
      <c r="CT614" s="1070"/>
      <c r="CU614" s="1070"/>
      <c r="CV614" s="1070"/>
      <c r="CW614" s="1070"/>
      <c r="CX614" s="1070"/>
      <c r="CY614" s="1070"/>
      <c r="CZ614" s="1070"/>
      <c r="DA614" s="1070"/>
      <c r="DB614" s="1070"/>
      <c r="DC614" s="1070"/>
      <c r="DD614" s="1070"/>
      <c r="DE614" s="1070"/>
      <c r="DF614" s="1070"/>
      <c r="DG614" s="1070"/>
      <c r="DH614" s="1070"/>
      <c r="DI614" s="1070"/>
    </row>
    <row r="615" spans="1:113" ht="15.75" x14ac:dyDescent="0.25">
      <c r="A615" s="1420" t="s">
        <v>424</v>
      </c>
      <c r="B615" s="1443" t="e">
        <f>B602</f>
        <v>#DIV/0!</v>
      </c>
      <c r="C615" s="1437"/>
      <c r="D615" s="1437"/>
      <c r="E615" s="1437"/>
      <c r="F615" s="1437"/>
      <c r="G615" s="1437"/>
      <c r="H615" s="1350"/>
      <c r="I615" s="1350"/>
      <c r="J615" s="1350"/>
      <c r="K615" s="1350"/>
      <c r="L615" s="1350"/>
      <c r="M615" s="1350"/>
      <c r="N615" s="1350"/>
      <c r="O615" s="1350"/>
      <c r="P615" s="1350"/>
      <c r="Q615" s="1350"/>
      <c r="R615" s="1350"/>
      <c r="S615" s="1350"/>
      <c r="T615" s="1350"/>
      <c r="U615" s="1350"/>
      <c r="V615" s="1350"/>
      <c r="W615" s="1350"/>
      <c r="X615" s="1350"/>
      <c r="Y615" s="1350"/>
      <c r="Z615" s="1350"/>
      <c r="AA615" s="1350"/>
      <c r="AB615" s="1350"/>
      <c r="AC615" s="1350"/>
      <c r="AD615" s="1350"/>
      <c r="AE615" s="1350"/>
      <c r="AF615" s="1350"/>
      <c r="AG615" s="1350"/>
      <c r="AH615" s="1350"/>
      <c r="AI615" s="1350"/>
      <c r="AJ615" s="1350"/>
      <c r="AK615" s="1350"/>
      <c r="AL615" s="1350"/>
      <c r="AM615" s="1350"/>
      <c r="AN615" s="1350"/>
      <c r="AO615" s="1350"/>
      <c r="AP615" s="1350"/>
      <c r="AQ615" s="1350"/>
      <c r="AR615" s="1350"/>
      <c r="AS615" s="1350"/>
      <c r="AT615" s="1350"/>
      <c r="AU615" s="1350"/>
      <c r="AV615" s="1350"/>
      <c r="AW615" s="1350"/>
      <c r="AX615" s="1350"/>
      <c r="AY615" s="1350"/>
      <c r="AZ615" s="1350"/>
      <c r="BA615" s="1070"/>
      <c r="BB615" s="1070"/>
      <c r="BC615" s="1070"/>
      <c r="BD615" s="1070"/>
      <c r="BE615" s="1070"/>
      <c r="BF615" s="1070"/>
      <c r="BG615" s="1070"/>
      <c r="BH615" s="1070"/>
      <c r="BI615" s="1070"/>
      <c r="BJ615" s="1070"/>
      <c r="BK615" s="1070"/>
      <c r="BL615" s="1070"/>
      <c r="BM615" s="1070"/>
      <c r="BN615" s="1070"/>
      <c r="BO615" s="1070"/>
      <c r="BP615" s="1070"/>
      <c r="BQ615" s="1070"/>
      <c r="BR615" s="1070"/>
      <c r="BS615" s="1070"/>
      <c r="BT615" s="1070"/>
      <c r="BU615" s="1070"/>
      <c r="BV615" s="1070"/>
      <c r="BW615" s="1070"/>
      <c r="BX615" s="1070"/>
      <c r="BY615" s="1070"/>
      <c r="BZ615" s="1070"/>
      <c r="CA615" s="1070"/>
      <c r="CB615" s="1070"/>
      <c r="CC615" s="1070"/>
      <c r="CD615" s="1070"/>
      <c r="CE615" s="1070"/>
      <c r="CF615" s="1070"/>
      <c r="CG615" s="1070"/>
      <c r="CH615" s="1070"/>
      <c r="CI615" s="1070"/>
      <c r="CJ615" s="1070"/>
      <c r="CK615" s="1070"/>
      <c r="CL615" s="1070"/>
      <c r="CM615" s="1070"/>
      <c r="CN615" s="1070"/>
      <c r="CO615" s="1070"/>
      <c r="CP615" s="1070"/>
      <c r="CQ615" s="1070"/>
      <c r="CR615" s="1070"/>
      <c r="CS615" s="1070"/>
      <c r="CT615" s="1070"/>
      <c r="CU615" s="1070"/>
      <c r="CV615" s="1070"/>
      <c r="CW615" s="1070"/>
      <c r="CX615" s="1070"/>
      <c r="CY615" s="1070"/>
      <c r="CZ615" s="1070"/>
      <c r="DA615" s="1070"/>
      <c r="DB615" s="1070"/>
      <c r="DC615" s="1070"/>
      <c r="DD615" s="1070"/>
      <c r="DE615" s="1070"/>
      <c r="DF615" s="1070"/>
      <c r="DG615" s="1070"/>
      <c r="DH615" s="1070"/>
      <c r="DI615" s="1070"/>
    </row>
    <row r="616" spans="1:113" ht="15.75" x14ac:dyDescent="0.25">
      <c r="A616" s="1420" t="s">
        <v>1718</v>
      </c>
      <c r="B616" s="1443">
        <f>B395</f>
        <v>29.7</v>
      </c>
      <c r="C616" s="1437"/>
      <c r="D616" s="1434"/>
      <c r="E616" s="1434"/>
      <c r="F616" s="1434"/>
      <c r="G616" s="1434"/>
      <c r="H616" s="1350"/>
      <c r="I616" s="1350"/>
      <c r="J616" s="1350"/>
      <c r="K616" s="1350"/>
      <c r="L616" s="1350"/>
      <c r="M616" s="1350"/>
      <c r="N616" s="1350"/>
      <c r="O616" s="1350"/>
      <c r="P616" s="1350"/>
      <c r="Q616" s="1350"/>
      <c r="R616" s="1350"/>
      <c r="S616" s="1350"/>
      <c r="T616" s="1350"/>
      <c r="U616" s="1350"/>
      <c r="V616" s="1350"/>
      <c r="W616" s="1350"/>
      <c r="X616" s="1350"/>
      <c r="Y616" s="1350"/>
      <c r="Z616" s="1350"/>
      <c r="AA616" s="1350"/>
      <c r="AB616" s="1350"/>
      <c r="AC616" s="1350"/>
      <c r="AD616" s="1350"/>
      <c r="AE616" s="1350"/>
      <c r="AF616" s="1350"/>
      <c r="AG616" s="1350"/>
      <c r="AH616" s="1350"/>
      <c r="AI616" s="1350"/>
      <c r="AJ616" s="1350"/>
      <c r="AK616" s="1350"/>
      <c r="AL616" s="1350"/>
      <c r="AM616" s="1350"/>
      <c r="AN616" s="1350"/>
      <c r="AO616" s="1350"/>
      <c r="AP616" s="1350"/>
      <c r="AQ616" s="1350"/>
      <c r="AR616" s="1350"/>
      <c r="AS616" s="1350"/>
      <c r="AT616" s="1350"/>
      <c r="AU616" s="1350"/>
      <c r="AV616" s="1350"/>
      <c r="AW616" s="1350"/>
      <c r="AX616" s="1350"/>
      <c r="AY616" s="1350"/>
      <c r="AZ616" s="1350"/>
      <c r="BA616" s="1070"/>
      <c r="BB616" s="1070"/>
      <c r="BC616" s="1070"/>
      <c r="BD616" s="1070"/>
      <c r="BE616" s="1070"/>
      <c r="BF616" s="1070"/>
      <c r="BG616" s="1070"/>
      <c r="BH616" s="1070"/>
      <c r="BI616" s="1070"/>
      <c r="BJ616" s="1070"/>
      <c r="BK616" s="1070"/>
      <c r="BL616" s="1070"/>
      <c r="BM616" s="1070"/>
      <c r="BN616" s="1070"/>
      <c r="BO616" s="1070"/>
      <c r="BP616" s="1070"/>
      <c r="BQ616" s="1070"/>
      <c r="BR616" s="1070"/>
      <c r="BS616" s="1070"/>
      <c r="BT616" s="1070"/>
      <c r="BU616" s="1070"/>
      <c r="BV616" s="1070"/>
      <c r="BW616" s="1070"/>
      <c r="BX616" s="1070"/>
      <c r="BY616" s="1070"/>
      <c r="BZ616" s="1070"/>
      <c r="CA616" s="1070"/>
      <c r="CB616" s="1070"/>
      <c r="CC616" s="1070"/>
      <c r="CD616" s="1070"/>
      <c r="CE616" s="1070"/>
      <c r="CF616" s="1070"/>
      <c r="CG616" s="1070"/>
      <c r="CH616" s="1070"/>
      <c r="CI616" s="1070"/>
      <c r="CJ616" s="1070"/>
      <c r="CK616" s="1070"/>
      <c r="CL616" s="1070"/>
      <c r="CM616" s="1070"/>
      <c r="CN616" s="1070"/>
      <c r="CO616" s="1070"/>
      <c r="CP616" s="1070"/>
      <c r="CQ616" s="1070"/>
      <c r="CR616" s="1070"/>
      <c r="CS616" s="1070"/>
      <c r="CT616" s="1070"/>
      <c r="CU616" s="1070"/>
      <c r="CV616" s="1070"/>
      <c r="CW616" s="1070"/>
      <c r="CX616" s="1070"/>
      <c r="CY616" s="1070"/>
      <c r="CZ616" s="1070"/>
      <c r="DA616" s="1070"/>
      <c r="DB616" s="1070"/>
      <c r="DC616" s="1070"/>
      <c r="DD616" s="1070"/>
      <c r="DE616" s="1070"/>
      <c r="DF616" s="1070"/>
      <c r="DG616" s="1070"/>
      <c r="DH616" s="1070"/>
      <c r="DI616" s="1070"/>
    </row>
    <row r="617" spans="1:113" ht="15.75" x14ac:dyDescent="0.25">
      <c r="A617" s="1420" t="s">
        <v>1723</v>
      </c>
      <c r="B617" s="1443"/>
      <c r="C617" s="1437"/>
      <c r="D617" s="1437"/>
      <c r="E617" s="1437"/>
      <c r="F617" s="1437"/>
      <c r="G617" s="1437"/>
      <c r="H617" s="1350"/>
      <c r="I617" s="1350"/>
      <c r="J617" s="1350"/>
      <c r="K617" s="1350"/>
      <c r="L617" s="1350"/>
      <c r="M617" s="1350"/>
      <c r="N617" s="1350"/>
      <c r="O617" s="1350"/>
      <c r="P617" s="1350"/>
      <c r="Q617" s="1350"/>
      <c r="R617" s="1350"/>
      <c r="S617" s="1350"/>
      <c r="T617" s="1350"/>
      <c r="U617" s="1350"/>
      <c r="V617" s="1350"/>
      <c r="W617" s="1350"/>
      <c r="X617" s="1350"/>
      <c r="Y617" s="1350"/>
      <c r="Z617" s="1350"/>
      <c r="AA617" s="1350"/>
      <c r="AB617" s="1350"/>
      <c r="AC617" s="1350"/>
      <c r="AD617" s="1350"/>
      <c r="AE617" s="1350"/>
      <c r="AF617" s="1350"/>
      <c r="AG617" s="1350"/>
      <c r="AH617" s="1350"/>
      <c r="AI617" s="1350"/>
      <c r="AJ617" s="1350"/>
      <c r="AK617" s="1350"/>
      <c r="AL617" s="1350"/>
      <c r="AM617" s="1350"/>
      <c r="AN617" s="1350"/>
      <c r="AO617" s="1350"/>
      <c r="AP617" s="1350"/>
      <c r="AQ617" s="1350"/>
      <c r="AR617" s="1350"/>
      <c r="AS617" s="1350"/>
      <c r="AT617" s="1350"/>
      <c r="AU617" s="1350"/>
      <c r="AV617" s="1350"/>
      <c r="AW617" s="1350"/>
      <c r="AX617" s="1350"/>
      <c r="AY617" s="1350"/>
      <c r="AZ617" s="1350"/>
      <c r="BA617" s="1070"/>
      <c r="BB617" s="1070"/>
      <c r="BC617" s="1070"/>
      <c r="BD617" s="1070"/>
      <c r="BE617" s="1070"/>
      <c r="BF617" s="1070"/>
      <c r="BG617" s="1070"/>
      <c r="BH617" s="1070"/>
      <c r="BI617" s="1070"/>
      <c r="BJ617" s="1070"/>
      <c r="BK617" s="1070"/>
      <c r="BL617" s="1070"/>
      <c r="BM617" s="1070"/>
      <c r="BN617" s="1070"/>
      <c r="BO617" s="1070"/>
      <c r="BP617" s="1070"/>
      <c r="BQ617" s="1070"/>
      <c r="BR617" s="1070"/>
      <c r="BS617" s="1070"/>
      <c r="BT617" s="1070"/>
      <c r="BU617" s="1070"/>
      <c r="BV617" s="1070"/>
      <c r="BW617" s="1070"/>
      <c r="BX617" s="1070"/>
      <c r="BY617" s="1070"/>
      <c r="BZ617" s="1070"/>
      <c r="CA617" s="1070"/>
      <c r="CB617" s="1070"/>
      <c r="CC617" s="1070"/>
      <c r="CD617" s="1070"/>
      <c r="CE617" s="1070"/>
      <c r="CF617" s="1070"/>
      <c r="CG617" s="1070"/>
      <c r="CH617" s="1070"/>
      <c r="CI617" s="1070"/>
      <c r="CJ617" s="1070"/>
      <c r="CK617" s="1070"/>
      <c r="CL617" s="1070"/>
      <c r="CM617" s="1070"/>
      <c r="CN617" s="1070"/>
      <c r="CO617" s="1070"/>
      <c r="CP617" s="1070"/>
      <c r="CQ617" s="1070"/>
      <c r="CR617" s="1070"/>
      <c r="CS617" s="1070"/>
      <c r="CT617" s="1070"/>
      <c r="CU617" s="1070"/>
      <c r="CV617" s="1070"/>
      <c r="CW617" s="1070"/>
      <c r="CX617" s="1070"/>
      <c r="CY617" s="1070"/>
      <c r="CZ617" s="1070"/>
      <c r="DA617" s="1070"/>
      <c r="DB617" s="1070"/>
      <c r="DC617" s="1070"/>
      <c r="DD617" s="1070"/>
      <c r="DE617" s="1070"/>
      <c r="DF617" s="1070"/>
      <c r="DG617" s="1070"/>
      <c r="DH617" s="1070"/>
      <c r="DI617" s="1070"/>
    </row>
    <row r="618" spans="1:113" ht="31.5" x14ac:dyDescent="0.25">
      <c r="A618" s="1420" t="s">
        <v>1724</v>
      </c>
      <c r="B618" s="1451">
        <f>B401</f>
        <v>0</v>
      </c>
      <c r="C618" s="1434"/>
      <c r="D618" s="1437"/>
      <c r="E618" s="1437"/>
      <c r="F618" s="1437"/>
      <c r="G618" s="1437"/>
      <c r="H618" s="1350"/>
      <c r="I618" s="1350"/>
      <c r="J618" s="1350"/>
      <c r="K618" s="1350"/>
      <c r="L618" s="1350"/>
      <c r="M618" s="1350"/>
      <c r="N618" s="1350"/>
      <c r="O618" s="1350"/>
      <c r="P618" s="1350"/>
      <c r="Q618" s="1350"/>
      <c r="R618" s="1350"/>
      <c r="S618" s="1350"/>
      <c r="T618" s="1350"/>
      <c r="U618" s="1350"/>
      <c r="V618" s="1350"/>
      <c r="W618" s="1350"/>
      <c r="X618" s="1350"/>
      <c r="Y618" s="1350"/>
      <c r="Z618" s="1350"/>
      <c r="AA618" s="1350"/>
      <c r="AB618" s="1350"/>
      <c r="AC618" s="1350"/>
      <c r="AD618" s="1350"/>
      <c r="AE618" s="1350"/>
      <c r="AF618" s="1350"/>
      <c r="AG618" s="1350"/>
      <c r="AH618" s="1350"/>
      <c r="AI618" s="1350"/>
      <c r="AJ618" s="1350"/>
      <c r="AK618" s="1350"/>
      <c r="AL618" s="1350"/>
      <c r="AM618" s="1350"/>
      <c r="AN618" s="1350"/>
      <c r="AO618" s="1350"/>
      <c r="AP618" s="1350"/>
      <c r="AQ618" s="1350"/>
      <c r="AR618" s="1350"/>
      <c r="AS618" s="1350"/>
      <c r="AT618" s="1350"/>
      <c r="AU618" s="1350"/>
      <c r="AV618" s="1350"/>
      <c r="AW618" s="1350"/>
      <c r="AX618" s="1350"/>
      <c r="AY618" s="1350"/>
      <c r="AZ618" s="1350"/>
      <c r="BA618" s="1070"/>
      <c r="BB618" s="1070"/>
      <c r="BC618" s="1070"/>
      <c r="BD618" s="1070"/>
      <c r="BE618" s="1070"/>
      <c r="BF618" s="1070"/>
      <c r="BG618" s="1070"/>
      <c r="BH618" s="1070"/>
      <c r="BI618" s="1070"/>
      <c r="BJ618" s="1070"/>
      <c r="BK618" s="1070"/>
      <c r="BL618" s="1070"/>
      <c r="BM618" s="1070"/>
      <c r="BN618" s="1070"/>
      <c r="BO618" s="1070"/>
      <c r="BP618" s="1070"/>
      <c r="BQ618" s="1070"/>
      <c r="BR618" s="1070"/>
      <c r="BS618" s="1070"/>
      <c r="BT618" s="1070"/>
      <c r="BU618" s="1070"/>
      <c r="BV618" s="1070"/>
      <c r="BW618" s="1070"/>
      <c r="BX618" s="1070"/>
      <c r="BY618" s="1070"/>
      <c r="BZ618" s="1070"/>
      <c r="CA618" s="1070"/>
      <c r="CB618" s="1070"/>
      <c r="CC618" s="1070"/>
      <c r="CD618" s="1070"/>
      <c r="CE618" s="1070"/>
      <c r="CF618" s="1070"/>
      <c r="CG618" s="1070"/>
      <c r="CH618" s="1070"/>
      <c r="CI618" s="1070"/>
      <c r="CJ618" s="1070"/>
      <c r="CK618" s="1070"/>
      <c r="CL618" s="1070"/>
      <c r="CM618" s="1070"/>
      <c r="CN618" s="1070"/>
      <c r="CO618" s="1070"/>
      <c r="CP618" s="1070"/>
      <c r="CQ618" s="1070"/>
      <c r="CR618" s="1070"/>
      <c r="CS618" s="1070"/>
      <c r="CT618" s="1070"/>
      <c r="CU618" s="1070"/>
      <c r="CV618" s="1070"/>
      <c r="CW618" s="1070"/>
      <c r="CX618" s="1070"/>
      <c r="CY618" s="1070"/>
      <c r="CZ618" s="1070"/>
      <c r="DA618" s="1070"/>
      <c r="DB618" s="1070"/>
      <c r="DC618" s="1070"/>
      <c r="DD618" s="1070"/>
      <c r="DE618" s="1070"/>
      <c r="DF618" s="1070"/>
      <c r="DG618" s="1070"/>
      <c r="DH618" s="1070"/>
      <c r="DI618" s="1070"/>
    </row>
    <row r="619" spans="1:113" ht="15.75" x14ac:dyDescent="0.25">
      <c r="A619" s="1420" t="s">
        <v>1725</v>
      </c>
      <c r="B619" s="1443">
        <f>IF(B618=1,1.15,1)</f>
        <v>1</v>
      </c>
      <c r="C619" s="1437"/>
      <c r="D619" s="1432"/>
      <c r="E619" s="1432"/>
      <c r="F619" s="1432"/>
      <c r="G619" s="1432"/>
      <c r="H619" s="1350"/>
      <c r="I619" s="1350"/>
      <c r="J619" s="1350"/>
      <c r="K619" s="1350"/>
      <c r="L619" s="1350"/>
      <c r="M619" s="1350"/>
      <c r="N619" s="1350"/>
      <c r="O619" s="1350"/>
      <c r="P619" s="1350"/>
      <c r="Q619" s="1350"/>
      <c r="R619" s="1350"/>
      <c r="S619" s="1350"/>
      <c r="T619" s="1350"/>
      <c r="U619" s="1350"/>
      <c r="V619" s="1350"/>
      <c r="W619" s="1350"/>
      <c r="X619" s="1350"/>
      <c r="Y619" s="1350"/>
      <c r="Z619" s="1350"/>
      <c r="AA619" s="1350"/>
      <c r="AB619" s="1350"/>
      <c r="AC619" s="1350"/>
      <c r="AD619" s="1350"/>
      <c r="AE619" s="1350"/>
      <c r="AF619" s="1350"/>
      <c r="AG619" s="1350"/>
      <c r="AH619" s="1350"/>
      <c r="AI619" s="1350"/>
      <c r="AJ619" s="1350"/>
      <c r="AK619" s="1350"/>
      <c r="AL619" s="1350"/>
      <c r="AM619" s="1350"/>
      <c r="AN619" s="1350"/>
      <c r="AO619" s="1350"/>
      <c r="AP619" s="1350"/>
      <c r="AQ619" s="1350"/>
      <c r="AR619" s="1350"/>
      <c r="AS619" s="1350"/>
      <c r="AT619" s="1350"/>
      <c r="AU619" s="1350"/>
      <c r="AV619" s="1350"/>
      <c r="AW619" s="1350"/>
      <c r="AX619" s="1350"/>
      <c r="AY619" s="1350"/>
      <c r="AZ619" s="1350"/>
      <c r="BA619" s="1070"/>
      <c r="BB619" s="1070"/>
      <c r="BC619" s="1070"/>
      <c r="BD619" s="1070"/>
      <c r="BE619" s="1070"/>
      <c r="BF619" s="1070"/>
      <c r="BG619" s="1070"/>
      <c r="BH619" s="1070"/>
      <c r="BI619" s="1070"/>
      <c r="BJ619" s="1070"/>
      <c r="BK619" s="1070"/>
      <c r="BL619" s="1070"/>
      <c r="BM619" s="1070"/>
      <c r="BN619" s="1070"/>
      <c r="BO619" s="1070"/>
      <c r="BP619" s="1070"/>
      <c r="BQ619" s="1070"/>
      <c r="BR619" s="1070"/>
      <c r="BS619" s="1070"/>
      <c r="BT619" s="1070"/>
      <c r="BU619" s="1070"/>
      <c r="BV619" s="1070"/>
      <c r="BW619" s="1070"/>
      <c r="BX619" s="1070"/>
      <c r="BY619" s="1070"/>
      <c r="BZ619" s="1070"/>
      <c r="CA619" s="1070"/>
      <c r="CB619" s="1070"/>
      <c r="CC619" s="1070"/>
      <c r="CD619" s="1070"/>
      <c r="CE619" s="1070"/>
      <c r="CF619" s="1070"/>
      <c r="CG619" s="1070"/>
      <c r="CH619" s="1070"/>
      <c r="CI619" s="1070"/>
      <c r="CJ619" s="1070"/>
      <c r="CK619" s="1070"/>
      <c r="CL619" s="1070"/>
      <c r="CM619" s="1070"/>
      <c r="CN619" s="1070"/>
      <c r="CO619" s="1070"/>
      <c r="CP619" s="1070"/>
      <c r="CQ619" s="1070"/>
      <c r="CR619" s="1070"/>
      <c r="CS619" s="1070"/>
      <c r="CT619" s="1070"/>
      <c r="CU619" s="1070"/>
      <c r="CV619" s="1070"/>
      <c r="CW619" s="1070"/>
      <c r="CX619" s="1070"/>
      <c r="CY619" s="1070"/>
      <c r="CZ619" s="1070"/>
      <c r="DA619" s="1070"/>
      <c r="DB619" s="1070"/>
      <c r="DC619" s="1070"/>
      <c r="DD619" s="1070"/>
      <c r="DE619" s="1070"/>
      <c r="DF619" s="1070"/>
      <c r="DG619" s="1070"/>
      <c r="DH619" s="1070"/>
      <c r="DI619" s="1070"/>
    </row>
    <row r="620" spans="1:113" ht="31.5" x14ac:dyDescent="0.25">
      <c r="A620" s="1420" t="s">
        <v>5573</v>
      </c>
      <c r="B620" s="1451">
        <f>B403</f>
        <v>0</v>
      </c>
      <c r="C620" s="1434"/>
      <c r="D620" s="1350"/>
      <c r="E620" s="1350"/>
      <c r="F620" s="1350"/>
      <c r="G620" s="1350"/>
      <c r="H620" s="1350"/>
      <c r="I620" s="1350"/>
      <c r="J620" s="1350"/>
      <c r="K620" s="1350"/>
      <c r="L620" s="1350"/>
      <c r="M620" s="1350"/>
      <c r="N620" s="1350"/>
      <c r="O620" s="1350"/>
      <c r="P620" s="1350"/>
      <c r="Q620" s="1350"/>
      <c r="R620" s="1350"/>
      <c r="S620" s="1350"/>
      <c r="T620" s="1350"/>
      <c r="U620" s="1350"/>
      <c r="V620" s="1350"/>
      <c r="W620" s="1350"/>
      <c r="X620" s="1350"/>
      <c r="Y620" s="1350"/>
      <c r="Z620" s="1350"/>
      <c r="AA620" s="1350"/>
      <c r="AB620" s="1350"/>
      <c r="AC620" s="1350"/>
      <c r="AD620" s="1350"/>
      <c r="AE620" s="1350"/>
      <c r="AF620" s="1350"/>
      <c r="AG620" s="1350"/>
      <c r="AH620" s="1350"/>
      <c r="AI620" s="1350"/>
      <c r="AJ620" s="1350"/>
      <c r="AK620" s="1350"/>
      <c r="AL620" s="1350"/>
      <c r="AM620" s="1350"/>
      <c r="AN620" s="1350"/>
      <c r="AO620" s="1350"/>
      <c r="AP620" s="1350"/>
      <c r="AQ620" s="1350"/>
      <c r="AR620" s="1350"/>
      <c r="AS620" s="1350"/>
      <c r="AT620" s="1350"/>
      <c r="AU620" s="1350"/>
      <c r="AV620" s="1350"/>
      <c r="AW620" s="1350"/>
      <c r="AX620" s="1350"/>
      <c r="AY620" s="1350"/>
      <c r="AZ620" s="1350"/>
      <c r="BA620" s="1070"/>
      <c r="BB620" s="1070"/>
      <c r="BC620" s="1070"/>
      <c r="BD620" s="1070"/>
      <c r="BE620" s="1070"/>
      <c r="BF620" s="1070"/>
      <c r="BG620" s="1070"/>
      <c r="BH620" s="1070"/>
      <c r="BI620" s="1070"/>
      <c r="BJ620" s="1070"/>
      <c r="BK620" s="1070"/>
      <c r="BL620" s="1070"/>
      <c r="BM620" s="1070"/>
      <c r="BN620" s="1070"/>
      <c r="BO620" s="1070"/>
      <c r="BP620" s="1070"/>
      <c r="BQ620" s="1070"/>
      <c r="BR620" s="1070"/>
      <c r="BS620" s="1070"/>
      <c r="BT620" s="1070"/>
      <c r="BU620" s="1070"/>
      <c r="BV620" s="1070"/>
      <c r="BW620" s="1070"/>
      <c r="BX620" s="1070"/>
      <c r="BY620" s="1070"/>
      <c r="BZ620" s="1070"/>
      <c r="CA620" s="1070"/>
      <c r="CB620" s="1070"/>
      <c r="CC620" s="1070"/>
      <c r="CD620" s="1070"/>
      <c r="CE620" s="1070"/>
      <c r="CF620" s="1070"/>
      <c r="CG620" s="1070"/>
      <c r="CH620" s="1070"/>
      <c r="CI620" s="1070"/>
      <c r="CJ620" s="1070"/>
      <c r="CK620" s="1070"/>
      <c r="CL620" s="1070"/>
      <c r="CM620" s="1070"/>
      <c r="CN620" s="1070"/>
      <c r="CO620" s="1070"/>
      <c r="CP620" s="1070"/>
      <c r="CQ620" s="1070"/>
      <c r="CR620" s="1070"/>
      <c r="CS620" s="1070"/>
      <c r="CT620" s="1070"/>
      <c r="CU620" s="1070"/>
      <c r="CV620" s="1070"/>
      <c r="CW620" s="1070"/>
      <c r="CX620" s="1070"/>
      <c r="CY620" s="1070"/>
      <c r="CZ620" s="1070"/>
      <c r="DA620" s="1070"/>
      <c r="DB620" s="1070"/>
      <c r="DC620" s="1070"/>
      <c r="DD620" s="1070"/>
      <c r="DE620" s="1070"/>
      <c r="DF620" s="1070"/>
      <c r="DG620" s="1070"/>
      <c r="DH620" s="1070"/>
      <c r="DI620" s="1070"/>
    </row>
    <row r="621" spans="1:113" ht="15.75" x14ac:dyDescent="0.25">
      <c r="A621" s="1420" t="s">
        <v>2636</v>
      </c>
      <c r="B621" s="1443">
        <f>IF(B620=1,1.15,1)</f>
        <v>1</v>
      </c>
      <c r="C621" s="1437"/>
      <c r="D621" s="1350"/>
      <c r="E621" s="1350"/>
      <c r="F621" s="1350"/>
      <c r="G621" s="1350"/>
      <c r="H621" s="1350"/>
      <c r="I621" s="1350"/>
      <c r="J621" s="1350"/>
      <c r="K621" s="1350"/>
      <c r="L621" s="1350"/>
      <c r="M621" s="1350"/>
      <c r="N621" s="1350"/>
      <c r="O621" s="1350"/>
      <c r="P621" s="1350"/>
      <c r="Q621" s="1350"/>
      <c r="R621" s="1350"/>
      <c r="S621" s="1350"/>
      <c r="T621" s="1350"/>
      <c r="U621" s="1350"/>
      <c r="V621" s="1350"/>
      <c r="W621" s="1350"/>
      <c r="X621" s="1350"/>
      <c r="Y621" s="1350"/>
      <c r="Z621" s="1350"/>
      <c r="AA621" s="1350"/>
      <c r="AB621" s="1350"/>
      <c r="AC621" s="1350"/>
      <c r="AD621" s="1350"/>
      <c r="AE621" s="1350"/>
      <c r="AF621" s="1350"/>
      <c r="AG621" s="1350"/>
      <c r="AH621" s="1350"/>
      <c r="AI621" s="1350"/>
      <c r="AJ621" s="1350"/>
      <c r="AK621" s="1350"/>
      <c r="AL621" s="1350"/>
      <c r="AM621" s="1350"/>
      <c r="AN621" s="1350"/>
      <c r="AO621" s="1350"/>
      <c r="AP621" s="1350"/>
      <c r="AQ621" s="1350"/>
      <c r="AR621" s="1350"/>
      <c r="AS621" s="1350"/>
      <c r="AT621" s="1350"/>
      <c r="AU621" s="1350"/>
      <c r="AV621" s="1350"/>
      <c r="AW621" s="1350"/>
      <c r="AX621" s="1350"/>
      <c r="AY621" s="1350"/>
      <c r="AZ621" s="1350"/>
      <c r="BA621" s="1070"/>
      <c r="BB621" s="1070"/>
      <c r="BC621" s="1070"/>
      <c r="BD621" s="1070"/>
      <c r="BE621" s="1070"/>
      <c r="BF621" s="1070"/>
      <c r="BG621" s="1070"/>
      <c r="BH621" s="1070"/>
      <c r="BI621" s="1070"/>
      <c r="BJ621" s="1070"/>
      <c r="BK621" s="1070"/>
      <c r="BL621" s="1070"/>
      <c r="BM621" s="1070"/>
      <c r="BN621" s="1070"/>
      <c r="BO621" s="1070"/>
      <c r="BP621" s="1070"/>
      <c r="BQ621" s="1070"/>
      <c r="BR621" s="1070"/>
      <c r="BS621" s="1070"/>
      <c r="BT621" s="1070"/>
      <c r="BU621" s="1070"/>
      <c r="BV621" s="1070"/>
      <c r="BW621" s="1070"/>
      <c r="BX621" s="1070"/>
      <c r="BY621" s="1070"/>
      <c r="BZ621" s="1070"/>
      <c r="CA621" s="1070"/>
      <c r="CB621" s="1070"/>
      <c r="CC621" s="1070"/>
      <c r="CD621" s="1070"/>
      <c r="CE621" s="1070"/>
      <c r="CF621" s="1070"/>
      <c r="CG621" s="1070"/>
      <c r="CH621" s="1070"/>
      <c r="CI621" s="1070"/>
      <c r="CJ621" s="1070"/>
      <c r="CK621" s="1070"/>
      <c r="CL621" s="1070"/>
      <c r="CM621" s="1070"/>
      <c r="CN621" s="1070"/>
      <c r="CO621" s="1070"/>
      <c r="CP621" s="1070"/>
      <c r="CQ621" s="1070"/>
      <c r="CR621" s="1070"/>
      <c r="CS621" s="1070"/>
      <c r="CT621" s="1070"/>
      <c r="CU621" s="1070"/>
      <c r="CV621" s="1070"/>
      <c r="CW621" s="1070"/>
      <c r="CX621" s="1070"/>
      <c r="CY621" s="1070"/>
      <c r="CZ621" s="1070"/>
      <c r="DA621" s="1070"/>
      <c r="DB621" s="1070"/>
      <c r="DC621" s="1070"/>
      <c r="DD621" s="1070"/>
      <c r="DE621" s="1070"/>
      <c r="DF621" s="1070"/>
      <c r="DG621" s="1070"/>
      <c r="DH621" s="1070"/>
      <c r="DI621" s="1070"/>
    </row>
    <row r="622" spans="1:113" ht="31.5" x14ac:dyDescent="0.25">
      <c r="A622" s="1420" t="s">
        <v>2637</v>
      </c>
      <c r="B622" s="1443">
        <f>IF(B322&lt;2,0.85,1)</f>
        <v>1</v>
      </c>
      <c r="C622" s="1437"/>
      <c r="D622" s="1437"/>
      <c r="E622" s="1437"/>
      <c r="F622" s="1437"/>
      <c r="G622" s="1437"/>
      <c r="H622" s="1350"/>
      <c r="I622" s="1350"/>
      <c r="J622" s="1350"/>
      <c r="K622" s="1350"/>
      <c r="L622" s="1350"/>
      <c r="M622" s="1350"/>
      <c r="N622" s="1350"/>
      <c r="O622" s="1350"/>
      <c r="P622" s="1350"/>
      <c r="Q622" s="1350"/>
      <c r="R622" s="1350"/>
      <c r="S622" s="1350"/>
      <c r="T622" s="1350"/>
      <c r="U622" s="1350"/>
      <c r="V622" s="1350"/>
      <c r="W622" s="1350"/>
      <c r="X622" s="1350"/>
      <c r="Y622" s="1350"/>
      <c r="Z622" s="1350"/>
      <c r="AA622" s="1350"/>
      <c r="AB622" s="1350"/>
      <c r="AC622" s="1350"/>
      <c r="AD622" s="1350"/>
      <c r="AE622" s="1350"/>
      <c r="AF622" s="1350"/>
      <c r="AG622" s="1350"/>
      <c r="AH622" s="1350"/>
      <c r="AI622" s="1350"/>
      <c r="AJ622" s="1350"/>
      <c r="AK622" s="1350"/>
      <c r="AL622" s="1350"/>
      <c r="AM622" s="1350"/>
      <c r="AN622" s="1350"/>
      <c r="AO622" s="1350"/>
      <c r="AP622" s="1350"/>
      <c r="AQ622" s="1350"/>
      <c r="AR622" s="1350"/>
      <c r="AS622" s="1350"/>
      <c r="AT622" s="1350"/>
      <c r="AU622" s="1350"/>
      <c r="AV622" s="1350"/>
      <c r="AW622" s="1350"/>
      <c r="AX622" s="1350"/>
      <c r="AY622" s="1350"/>
      <c r="AZ622" s="1350"/>
      <c r="BA622" s="1070"/>
      <c r="BB622" s="1070"/>
      <c r="BC622" s="1070"/>
      <c r="BD622" s="1070"/>
      <c r="BE622" s="1070"/>
      <c r="BF622" s="1070"/>
      <c r="BG622" s="1070"/>
      <c r="BH622" s="1070"/>
      <c r="BI622" s="1070"/>
      <c r="BJ622" s="1070"/>
      <c r="BK622" s="1070"/>
      <c r="BL622" s="1070"/>
      <c r="BM622" s="1070"/>
      <c r="BN622" s="1070"/>
      <c r="BO622" s="1070"/>
      <c r="BP622" s="1070"/>
      <c r="BQ622" s="1070"/>
      <c r="BR622" s="1070"/>
      <c r="BS622" s="1070"/>
      <c r="BT622" s="1070"/>
      <c r="BU622" s="1070"/>
      <c r="BV622" s="1070"/>
      <c r="BW622" s="1070"/>
      <c r="BX622" s="1070"/>
      <c r="BY622" s="1070"/>
      <c r="BZ622" s="1070"/>
      <c r="CA622" s="1070"/>
      <c r="CB622" s="1070"/>
      <c r="CC622" s="1070"/>
      <c r="CD622" s="1070"/>
      <c r="CE622" s="1070"/>
      <c r="CF622" s="1070"/>
      <c r="CG622" s="1070"/>
      <c r="CH622" s="1070"/>
      <c r="CI622" s="1070"/>
      <c r="CJ622" s="1070"/>
      <c r="CK622" s="1070"/>
      <c r="CL622" s="1070"/>
      <c r="CM622" s="1070"/>
      <c r="CN622" s="1070"/>
      <c r="CO622" s="1070"/>
      <c r="CP622" s="1070"/>
      <c r="CQ622" s="1070"/>
      <c r="CR622" s="1070"/>
      <c r="CS622" s="1070"/>
      <c r="CT622" s="1070"/>
      <c r="CU622" s="1070"/>
      <c r="CV622" s="1070"/>
      <c r="CW622" s="1070"/>
      <c r="CX622" s="1070"/>
      <c r="CY622" s="1070"/>
      <c r="CZ622" s="1070"/>
      <c r="DA622" s="1070"/>
      <c r="DB622" s="1070"/>
      <c r="DC622" s="1070"/>
      <c r="DD622" s="1070"/>
      <c r="DE622" s="1070"/>
      <c r="DF622" s="1070"/>
      <c r="DG622" s="1070"/>
      <c r="DH622" s="1070"/>
      <c r="DI622" s="1070"/>
    </row>
    <row r="623" spans="1:113" ht="15.75" x14ac:dyDescent="0.25">
      <c r="A623" s="1420" t="s">
        <v>1615</v>
      </c>
      <c r="B623" s="1505">
        <v>0.7</v>
      </c>
      <c r="C623" s="1446"/>
      <c r="D623" s="1437"/>
      <c r="E623" s="1437"/>
      <c r="F623" s="1437"/>
      <c r="G623" s="1437"/>
      <c r="H623" s="1350"/>
      <c r="I623" s="1350"/>
      <c r="J623" s="1350"/>
      <c r="K623" s="1350"/>
      <c r="L623" s="1350"/>
      <c r="M623" s="1350"/>
      <c r="N623" s="1350"/>
      <c r="O623" s="1350"/>
      <c r="P623" s="1350"/>
      <c r="Q623" s="1350"/>
      <c r="R623" s="1350"/>
      <c r="S623" s="1350"/>
      <c r="T623" s="1350"/>
      <c r="U623" s="1350"/>
      <c r="V623" s="1350"/>
      <c r="W623" s="1350"/>
      <c r="X623" s="1350"/>
      <c r="Y623" s="1350"/>
      <c r="Z623" s="1350"/>
      <c r="AA623" s="1350"/>
      <c r="AB623" s="1350"/>
      <c r="AC623" s="1350"/>
      <c r="AD623" s="1350"/>
      <c r="AE623" s="1350"/>
      <c r="AF623" s="1350"/>
      <c r="AG623" s="1350"/>
      <c r="AH623" s="1350"/>
      <c r="AI623" s="1350"/>
      <c r="AJ623" s="1350"/>
      <c r="AK623" s="1350"/>
      <c r="AL623" s="1350"/>
      <c r="AM623" s="1350"/>
      <c r="AN623" s="1350"/>
      <c r="AO623" s="1350"/>
      <c r="AP623" s="1350"/>
      <c r="AQ623" s="1350"/>
      <c r="AR623" s="1350"/>
      <c r="AS623" s="1350"/>
      <c r="AT623" s="1350"/>
      <c r="AU623" s="1350"/>
      <c r="AV623" s="1350"/>
      <c r="AW623" s="1350"/>
      <c r="AX623" s="1350"/>
      <c r="AY623" s="1350"/>
      <c r="AZ623" s="1350"/>
      <c r="BA623" s="1070"/>
      <c r="BB623" s="1070"/>
      <c r="BC623" s="1070"/>
      <c r="BD623" s="1070"/>
      <c r="BE623" s="1070"/>
      <c r="BF623" s="1070"/>
      <c r="BG623" s="1070"/>
      <c r="BH623" s="1070"/>
      <c r="BI623" s="1070"/>
      <c r="BJ623" s="1070"/>
      <c r="BK623" s="1070"/>
      <c r="BL623" s="1070"/>
      <c r="BM623" s="1070"/>
      <c r="BN623" s="1070"/>
      <c r="BO623" s="1070"/>
      <c r="BP623" s="1070"/>
      <c r="BQ623" s="1070"/>
      <c r="BR623" s="1070"/>
      <c r="BS623" s="1070"/>
      <c r="BT623" s="1070"/>
      <c r="BU623" s="1070"/>
      <c r="BV623" s="1070"/>
      <c r="BW623" s="1070"/>
      <c r="BX623" s="1070"/>
      <c r="BY623" s="1070"/>
      <c r="BZ623" s="1070"/>
      <c r="CA623" s="1070"/>
      <c r="CB623" s="1070"/>
      <c r="CC623" s="1070"/>
      <c r="CD623" s="1070"/>
      <c r="CE623" s="1070"/>
      <c r="CF623" s="1070"/>
      <c r="CG623" s="1070"/>
      <c r="CH623" s="1070"/>
      <c r="CI623" s="1070"/>
      <c r="CJ623" s="1070"/>
      <c r="CK623" s="1070"/>
      <c r="CL623" s="1070"/>
      <c r="CM623" s="1070"/>
      <c r="CN623" s="1070"/>
      <c r="CO623" s="1070"/>
      <c r="CP623" s="1070"/>
      <c r="CQ623" s="1070"/>
      <c r="CR623" s="1070"/>
      <c r="CS623" s="1070"/>
      <c r="CT623" s="1070"/>
      <c r="CU623" s="1070"/>
      <c r="CV623" s="1070"/>
      <c r="CW623" s="1070"/>
      <c r="CX623" s="1070"/>
      <c r="CY623" s="1070"/>
      <c r="CZ623" s="1070"/>
      <c r="DA623" s="1070"/>
      <c r="DB623" s="1070"/>
      <c r="DC623" s="1070"/>
      <c r="DD623" s="1070"/>
      <c r="DE623" s="1070"/>
      <c r="DF623" s="1070"/>
      <c r="DG623" s="1070"/>
      <c r="DH623" s="1070"/>
      <c r="DI623" s="1070"/>
    </row>
    <row r="624" spans="1:113" ht="15.75" x14ac:dyDescent="0.25">
      <c r="A624" s="1420" t="s">
        <v>3412</v>
      </c>
      <c r="B624" s="1439" t="e">
        <f>B616*B619*B621*B622*B623*B341</f>
        <v>#VALUE!</v>
      </c>
      <c r="C624" s="1432"/>
      <c r="D624" s="1350"/>
      <c r="E624" s="1350"/>
      <c r="F624" s="1350"/>
      <c r="G624" s="1350"/>
      <c r="H624" s="1350"/>
      <c r="I624" s="1350"/>
      <c r="J624" s="1350"/>
      <c r="K624" s="1350"/>
      <c r="L624" s="1350"/>
      <c r="M624" s="1350"/>
      <c r="N624" s="1350"/>
      <c r="O624" s="1350"/>
      <c r="P624" s="1350"/>
      <c r="Q624" s="1350"/>
      <c r="R624" s="1350"/>
      <c r="S624" s="1350"/>
      <c r="T624" s="1350"/>
      <c r="U624" s="1350"/>
      <c r="V624" s="1350"/>
      <c r="W624" s="1350"/>
      <c r="X624" s="1350"/>
      <c r="Y624" s="1350"/>
      <c r="Z624" s="1350"/>
      <c r="AA624" s="1350"/>
      <c r="AB624" s="1350"/>
      <c r="AC624" s="1350"/>
      <c r="AD624" s="1350"/>
      <c r="AE624" s="1350"/>
      <c r="AF624" s="1350"/>
      <c r="AG624" s="1350"/>
      <c r="AH624" s="1350"/>
      <c r="AI624" s="1350"/>
      <c r="AJ624" s="1350"/>
      <c r="AK624" s="1350"/>
      <c r="AL624" s="1350"/>
      <c r="AM624" s="1350"/>
      <c r="AN624" s="1350"/>
      <c r="AO624" s="1350"/>
      <c r="AP624" s="1350"/>
      <c r="AQ624" s="1350"/>
      <c r="AR624" s="1350"/>
      <c r="AS624" s="1350"/>
      <c r="AT624" s="1350"/>
      <c r="AU624" s="1350"/>
      <c r="AV624" s="1350"/>
      <c r="AW624" s="1350"/>
      <c r="AX624" s="1350"/>
      <c r="AY624" s="1350"/>
      <c r="AZ624" s="1350"/>
      <c r="BA624" s="1070"/>
      <c r="BB624" s="1070"/>
      <c r="BC624" s="1070"/>
      <c r="BD624" s="1070"/>
      <c r="BE624" s="1070"/>
      <c r="BF624" s="1070"/>
      <c r="BG624" s="1070"/>
      <c r="BH624" s="1070"/>
      <c r="BI624" s="1070"/>
      <c r="BJ624" s="1070"/>
      <c r="BK624" s="1070"/>
      <c r="BL624" s="1070"/>
      <c r="BM624" s="1070"/>
      <c r="BN624" s="1070"/>
      <c r="BO624" s="1070"/>
      <c r="BP624" s="1070"/>
      <c r="BQ624" s="1070"/>
      <c r="BR624" s="1070"/>
      <c r="BS624" s="1070"/>
      <c r="BT624" s="1070"/>
      <c r="BU624" s="1070"/>
      <c r="BV624" s="1070"/>
      <c r="BW624" s="1070"/>
      <c r="BX624" s="1070"/>
      <c r="BY624" s="1070"/>
      <c r="BZ624" s="1070"/>
      <c r="CA624" s="1070"/>
      <c r="CB624" s="1070"/>
      <c r="CC624" s="1070"/>
      <c r="CD624" s="1070"/>
      <c r="CE624" s="1070"/>
      <c r="CF624" s="1070"/>
      <c r="CG624" s="1070"/>
      <c r="CH624" s="1070"/>
      <c r="CI624" s="1070"/>
      <c r="CJ624" s="1070"/>
      <c r="CK624" s="1070"/>
      <c r="CL624" s="1070"/>
      <c r="CM624" s="1070"/>
      <c r="CN624" s="1070"/>
      <c r="CO624" s="1070"/>
      <c r="CP624" s="1070"/>
      <c r="CQ624" s="1070"/>
      <c r="CR624" s="1070"/>
      <c r="CS624" s="1070"/>
      <c r="CT624" s="1070"/>
      <c r="CU624" s="1070"/>
      <c r="CV624" s="1070"/>
      <c r="CW624" s="1070"/>
      <c r="CX624" s="1070"/>
      <c r="CY624" s="1070"/>
      <c r="CZ624" s="1070"/>
      <c r="DA624" s="1070"/>
      <c r="DB624" s="1070"/>
      <c r="DC624" s="1070"/>
      <c r="DD624" s="1070"/>
      <c r="DE624" s="1070"/>
      <c r="DF624" s="1070"/>
      <c r="DG624" s="1070"/>
      <c r="DH624" s="1070"/>
      <c r="DI624" s="1070"/>
    </row>
    <row r="625" spans="1:113" ht="15.75" x14ac:dyDescent="0.25">
      <c r="A625" s="1420" t="s">
        <v>429</v>
      </c>
      <c r="B625" s="1439" t="e">
        <f>B615/B624</f>
        <v>#DIV/0!</v>
      </c>
      <c r="C625" s="1432"/>
      <c r="D625" s="1434"/>
      <c r="E625" s="1434"/>
      <c r="F625" s="1434"/>
      <c r="G625" s="1434"/>
      <c r="H625" s="1350"/>
      <c r="I625" s="1350"/>
      <c r="J625" s="1350"/>
      <c r="K625" s="1350"/>
      <c r="L625" s="1350"/>
      <c r="M625" s="1350"/>
      <c r="N625" s="1350"/>
      <c r="O625" s="1350"/>
      <c r="P625" s="1350"/>
      <c r="Q625" s="1350"/>
      <c r="R625" s="1350"/>
      <c r="S625" s="1350"/>
      <c r="T625" s="1350"/>
      <c r="U625" s="1350"/>
      <c r="V625" s="1350"/>
      <c r="W625" s="1350"/>
      <c r="X625" s="1350"/>
      <c r="Y625" s="1350"/>
      <c r="Z625" s="1350"/>
      <c r="AA625" s="1350"/>
      <c r="AB625" s="1350"/>
      <c r="AC625" s="1350"/>
      <c r="AD625" s="1350"/>
      <c r="AE625" s="1350"/>
      <c r="AF625" s="1350"/>
      <c r="AG625" s="1350"/>
      <c r="AH625" s="1350"/>
      <c r="AI625" s="1350"/>
      <c r="AJ625" s="1350"/>
      <c r="AK625" s="1350"/>
      <c r="AL625" s="1350"/>
      <c r="AM625" s="1350"/>
      <c r="AN625" s="1350"/>
      <c r="AO625" s="1350"/>
      <c r="AP625" s="1350"/>
      <c r="AQ625" s="1350"/>
      <c r="AR625" s="1350"/>
      <c r="AS625" s="1350"/>
      <c r="AT625" s="1350"/>
      <c r="AU625" s="1350"/>
      <c r="AV625" s="1350"/>
      <c r="AW625" s="1350"/>
      <c r="AX625" s="1350"/>
      <c r="AY625" s="1350"/>
      <c r="AZ625" s="1350"/>
      <c r="BA625" s="1070"/>
      <c r="BB625" s="1070"/>
      <c r="BC625" s="1070"/>
      <c r="BD625" s="1070"/>
      <c r="BE625" s="1070"/>
      <c r="BF625" s="1070"/>
      <c r="BG625" s="1070"/>
      <c r="BH625" s="1070"/>
      <c r="BI625" s="1070"/>
      <c r="BJ625" s="1070"/>
      <c r="BK625" s="1070"/>
      <c r="BL625" s="1070"/>
      <c r="BM625" s="1070"/>
      <c r="BN625" s="1070"/>
      <c r="BO625" s="1070"/>
      <c r="BP625" s="1070"/>
      <c r="BQ625" s="1070"/>
      <c r="BR625" s="1070"/>
      <c r="BS625" s="1070"/>
      <c r="BT625" s="1070"/>
      <c r="BU625" s="1070"/>
      <c r="BV625" s="1070"/>
      <c r="BW625" s="1070"/>
      <c r="BX625" s="1070"/>
      <c r="BY625" s="1070"/>
      <c r="BZ625" s="1070"/>
      <c r="CA625" s="1070"/>
      <c r="CB625" s="1070"/>
      <c r="CC625" s="1070"/>
      <c r="CD625" s="1070"/>
      <c r="CE625" s="1070"/>
      <c r="CF625" s="1070"/>
      <c r="CG625" s="1070"/>
      <c r="CH625" s="1070"/>
      <c r="CI625" s="1070"/>
      <c r="CJ625" s="1070"/>
      <c r="CK625" s="1070"/>
      <c r="CL625" s="1070"/>
      <c r="CM625" s="1070"/>
      <c r="CN625" s="1070"/>
      <c r="CO625" s="1070"/>
      <c r="CP625" s="1070"/>
      <c r="CQ625" s="1070"/>
      <c r="CR625" s="1070"/>
      <c r="CS625" s="1070"/>
      <c r="CT625" s="1070"/>
      <c r="CU625" s="1070"/>
      <c r="CV625" s="1070"/>
      <c r="CW625" s="1070"/>
      <c r="CX625" s="1070"/>
      <c r="CY625" s="1070"/>
      <c r="CZ625" s="1070"/>
      <c r="DA625" s="1070"/>
      <c r="DB625" s="1070"/>
      <c r="DC625" s="1070"/>
      <c r="DD625" s="1070"/>
      <c r="DE625" s="1070"/>
      <c r="DF625" s="1070"/>
      <c r="DG625" s="1070"/>
      <c r="DH625" s="1070"/>
      <c r="DI625" s="1070"/>
    </row>
    <row r="626" spans="1:113" ht="15.75" x14ac:dyDescent="0.25">
      <c r="A626" s="1430"/>
      <c r="B626" s="1443"/>
      <c r="C626" s="1437"/>
      <c r="D626" s="1437"/>
      <c r="E626" s="1437"/>
      <c r="F626" s="1437"/>
      <c r="G626" s="1437"/>
      <c r="H626" s="1350"/>
      <c r="I626" s="1350"/>
      <c r="J626" s="1350"/>
      <c r="K626" s="1350"/>
      <c r="L626" s="1350"/>
      <c r="M626" s="1350"/>
      <c r="N626" s="1350"/>
      <c r="O626" s="1350"/>
      <c r="P626" s="1350"/>
      <c r="Q626" s="1350"/>
      <c r="R626" s="1350"/>
      <c r="S626" s="1350"/>
      <c r="T626" s="1350"/>
      <c r="U626" s="1350"/>
      <c r="V626" s="1350"/>
      <c r="W626" s="1350"/>
      <c r="X626" s="1350"/>
      <c r="Y626" s="1350"/>
      <c r="Z626" s="1350"/>
      <c r="AA626" s="1350"/>
      <c r="AB626" s="1350"/>
      <c r="AC626" s="1350"/>
      <c r="AD626" s="1350"/>
      <c r="AE626" s="1350"/>
      <c r="AF626" s="1350"/>
      <c r="AG626" s="1350"/>
      <c r="AH626" s="1350"/>
      <c r="AI626" s="1350"/>
      <c r="AJ626" s="1350"/>
      <c r="AK626" s="1350"/>
      <c r="AL626" s="1350"/>
      <c r="AM626" s="1350"/>
      <c r="AN626" s="1350"/>
      <c r="AO626" s="1350"/>
      <c r="AP626" s="1350"/>
      <c r="AQ626" s="1350"/>
      <c r="AR626" s="1350"/>
      <c r="AS626" s="1350"/>
      <c r="AT626" s="1350"/>
      <c r="AU626" s="1350"/>
      <c r="AV626" s="1350"/>
      <c r="AW626" s="1350"/>
      <c r="AX626" s="1350"/>
      <c r="AY626" s="1350"/>
      <c r="AZ626" s="1350"/>
      <c r="BA626" s="1070"/>
      <c r="BB626" s="1070"/>
      <c r="BC626" s="1070"/>
      <c r="BD626" s="1070"/>
      <c r="BE626" s="1070"/>
      <c r="BF626" s="1070"/>
      <c r="BG626" s="1070"/>
      <c r="BH626" s="1070"/>
      <c r="BI626" s="1070"/>
      <c r="BJ626" s="1070"/>
      <c r="BK626" s="1070"/>
      <c r="BL626" s="1070"/>
      <c r="BM626" s="1070"/>
      <c r="BN626" s="1070"/>
      <c r="BO626" s="1070"/>
      <c r="BP626" s="1070"/>
      <c r="BQ626" s="1070"/>
      <c r="BR626" s="1070"/>
      <c r="BS626" s="1070"/>
      <c r="BT626" s="1070"/>
      <c r="BU626" s="1070"/>
      <c r="BV626" s="1070"/>
      <c r="BW626" s="1070"/>
      <c r="BX626" s="1070"/>
      <c r="BY626" s="1070"/>
      <c r="BZ626" s="1070"/>
      <c r="CA626" s="1070"/>
      <c r="CB626" s="1070"/>
      <c r="CC626" s="1070"/>
      <c r="CD626" s="1070"/>
      <c r="CE626" s="1070"/>
      <c r="CF626" s="1070"/>
      <c r="CG626" s="1070"/>
      <c r="CH626" s="1070"/>
      <c r="CI626" s="1070"/>
      <c r="CJ626" s="1070"/>
      <c r="CK626" s="1070"/>
      <c r="CL626" s="1070"/>
      <c r="CM626" s="1070"/>
      <c r="CN626" s="1070"/>
      <c r="CO626" s="1070"/>
      <c r="CP626" s="1070"/>
      <c r="CQ626" s="1070"/>
      <c r="CR626" s="1070"/>
      <c r="CS626" s="1070"/>
      <c r="CT626" s="1070"/>
      <c r="CU626" s="1070"/>
      <c r="CV626" s="1070"/>
      <c r="CW626" s="1070"/>
      <c r="CX626" s="1070"/>
      <c r="CY626" s="1070"/>
      <c r="CZ626" s="1070"/>
      <c r="DA626" s="1070"/>
      <c r="DB626" s="1070"/>
      <c r="DC626" s="1070"/>
      <c r="DD626" s="1070"/>
      <c r="DE626" s="1070"/>
      <c r="DF626" s="1070"/>
      <c r="DG626" s="1070"/>
      <c r="DH626" s="1070"/>
      <c r="DI626" s="1070"/>
    </row>
    <row r="627" spans="1:113" ht="63" x14ac:dyDescent="0.25">
      <c r="A627" s="1438" t="s">
        <v>1616</v>
      </c>
      <c r="B627" s="1443"/>
      <c r="C627" s="1437"/>
      <c r="D627" s="1434"/>
      <c r="E627" s="1434"/>
      <c r="F627" s="1434"/>
      <c r="G627" s="1434"/>
      <c r="H627" s="1350"/>
      <c r="I627" s="1350"/>
      <c r="J627" s="1350"/>
      <c r="K627" s="1350"/>
      <c r="L627" s="1350"/>
      <c r="M627" s="1350"/>
      <c r="N627" s="1350"/>
      <c r="O627" s="1350"/>
      <c r="P627" s="1350"/>
      <c r="Q627" s="1350"/>
      <c r="R627" s="1350"/>
      <c r="S627" s="1350"/>
      <c r="T627" s="1350"/>
      <c r="U627" s="1350"/>
      <c r="V627" s="1350"/>
      <c r="W627" s="1350"/>
      <c r="X627" s="1350"/>
      <c r="Y627" s="1350"/>
      <c r="Z627" s="1350"/>
      <c r="AA627" s="1350"/>
      <c r="AB627" s="1350"/>
      <c r="AC627" s="1350"/>
      <c r="AD627" s="1350"/>
      <c r="AE627" s="1350"/>
      <c r="AF627" s="1350"/>
      <c r="AG627" s="1350"/>
      <c r="AH627" s="1350"/>
      <c r="AI627" s="1350"/>
      <c r="AJ627" s="1350"/>
      <c r="AK627" s="1350"/>
      <c r="AL627" s="1350"/>
      <c r="AM627" s="1350"/>
      <c r="AN627" s="1350"/>
      <c r="AO627" s="1350"/>
      <c r="AP627" s="1350"/>
      <c r="AQ627" s="1350"/>
      <c r="AR627" s="1350"/>
      <c r="AS627" s="1350"/>
      <c r="AT627" s="1350"/>
      <c r="AU627" s="1350"/>
      <c r="AV627" s="1350"/>
      <c r="AW627" s="1350"/>
      <c r="AX627" s="1350"/>
      <c r="AY627" s="1350"/>
      <c r="AZ627" s="1350"/>
      <c r="BA627" s="1070"/>
      <c r="BB627" s="1070"/>
      <c r="BC627" s="1070"/>
      <c r="BD627" s="1070"/>
      <c r="BE627" s="1070"/>
      <c r="BF627" s="1070"/>
      <c r="BG627" s="1070"/>
      <c r="BH627" s="1070"/>
      <c r="BI627" s="1070"/>
      <c r="BJ627" s="1070"/>
      <c r="BK627" s="1070"/>
      <c r="BL627" s="1070"/>
      <c r="BM627" s="1070"/>
      <c r="BN627" s="1070"/>
      <c r="BO627" s="1070"/>
      <c r="BP627" s="1070"/>
      <c r="BQ627" s="1070"/>
      <c r="BR627" s="1070"/>
      <c r="BS627" s="1070"/>
      <c r="BT627" s="1070"/>
      <c r="BU627" s="1070"/>
      <c r="BV627" s="1070"/>
      <c r="BW627" s="1070"/>
      <c r="BX627" s="1070"/>
      <c r="BY627" s="1070"/>
      <c r="BZ627" s="1070"/>
      <c r="CA627" s="1070"/>
      <c r="CB627" s="1070"/>
      <c r="CC627" s="1070"/>
      <c r="CD627" s="1070"/>
      <c r="CE627" s="1070"/>
      <c r="CF627" s="1070"/>
      <c r="CG627" s="1070"/>
      <c r="CH627" s="1070"/>
      <c r="CI627" s="1070"/>
      <c r="CJ627" s="1070"/>
      <c r="CK627" s="1070"/>
      <c r="CL627" s="1070"/>
      <c r="CM627" s="1070"/>
      <c r="CN627" s="1070"/>
      <c r="CO627" s="1070"/>
      <c r="CP627" s="1070"/>
      <c r="CQ627" s="1070"/>
      <c r="CR627" s="1070"/>
      <c r="CS627" s="1070"/>
      <c r="CT627" s="1070"/>
      <c r="CU627" s="1070"/>
      <c r="CV627" s="1070"/>
      <c r="CW627" s="1070"/>
      <c r="CX627" s="1070"/>
      <c r="CY627" s="1070"/>
      <c r="CZ627" s="1070"/>
      <c r="DA627" s="1070"/>
      <c r="DB627" s="1070"/>
      <c r="DC627" s="1070"/>
      <c r="DD627" s="1070"/>
      <c r="DE627" s="1070"/>
      <c r="DF627" s="1070"/>
      <c r="DG627" s="1070"/>
      <c r="DH627" s="1070"/>
      <c r="DI627" s="1070"/>
    </row>
    <row r="628" spans="1:113" ht="15.75" x14ac:dyDescent="0.25">
      <c r="A628" s="1422" t="s">
        <v>424</v>
      </c>
      <c r="B628" s="1443" t="e">
        <f>((B577/B308+1)*B346*B291)/(B577-B348)</f>
        <v>#DIV/0!</v>
      </c>
      <c r="C628" s="1437"/>
      <c r="D628" s="1437"/>
      <c r="E628" s="1437"/>
      <c r="F628" s="1437"/>
      <c r="G628" s="1437"/>
      <c r="H628" s="1350"/>
      <c r="I628" s="1350"/>
      <c r="J628" s="1350"/>
      <c r="K628" s="1350"/>
      <c r="L628" s="1350"/>
      <c r="M628" s="1350"/>
      <c r="N628" s="1350"/>
      <c r="O628" s="1350"/>
      <c r="P628" s="1350"/>
      <c r="Q628" s="1350"/>
      <c r="R628" s="1350"/>
      <c r="S628" s="1350"/>
      <c r="T628" s="1350"/>
      <c r="U628" s="1350"/>
      <c r="V628" s="1350"/>
      <c r="W628" s="1350"/>
      <c r="X628" s="1350"/>
      <c r="Y628" s="1350"/>
      <c r="Z628" s="1350"/>
      <c r="AA628" s="1350"/>
      <c r="AB628" s="1350"/>
      <c r="AC628" s="1350"/>
      <c r="AD628" s="1350"/>
      <c r="AE628" s="1350"/>
      <c r="AF628" s="1350"/>
      <c r="AG628" s="1350"/>
      <c r="AH628" s="1350"/>
      <c r="AI628" s="1350"/>
      <c r="AJ628" s="1350"/>
      <c r="AK628" s="1350"/>
      <c r="AL628" s="1350"/>
      <c r="AM628" s="1350"/>
      <c r="AN628" s="1350"/>
      <c r="AO628" s="1350"/>
      <c r="AP628" s="1350"/>
      <c r="AQ628" s="1350"/>
      <c r="AR628" s="1350"/>
      <c r="AS628" s="1350"/>
      <c r="AT628" s="1350"/>
      <c r="AU628" s="1350"/>
      <c r="AV628" s="1350"/>
      <c r="AW628" s="1350"/>
      <c r="AX628" s="1350"/>
      <c r="AY628" s="1350"/>
      <c r="AZ628" s="1350"/>
      <c r="BA628" s="1070"/>
      <c r="BB628" s="1070"/>
      <c r="BC628" s="1070"/>
      <c r="BD628" s="1070"/>
      <c r="BE628" s="1070"/>
      <c r="BF628" s="1070"/>
      <c r="BG628" s="1070"/>
      <c r="BH628" s="1070"/>
      <c r="BI628" s="1070"/>
      <c r="BJ628" s="1070"/>
      <c r="BK628" s="1070"/>
      <c r="BL628" s="1070"/>
      <c r="BM628" s="1070"/>
      <c r="BN628" s="1070"/>
      <c r="BO628" s="1070"/>
      <c r="BP628" s="1070"/>
      <c r="BQ628" s="1070"/>
      <c r="BR628" s="1070"/>
      <c r="BS628" s="1070"/>
      <c r="BT628" s="1070"/>
      <c r="BU628" s="1070"/>
      <c r="BV628" s="1070"/>
      <c r="BW628" s="1070"/>
      <c r="BX628" s="1070"/>
      <c r="BY628" s="1070"/>
      <c r="BZ628" s="1070"/>
      <c r="CA628" s="1070"/>
      <c r="CB628" s="1070"/>
      <c r="CC628" s="1070"/>
      <c r="CD628" s="1070"/>
      <c r="CE628" s="1070"/>
      <c r="CF628" s="1070"/>
      <c r="CG628" s="1070"/>
      <c r="CH628" s="1070"/>
      <c r="CI628" s="1070"/>
      <c r="CJ628" s="1070"/>
      <c r="CK628" s="1070"/>
      <c r="CL628" s="1070"/>
      <c r="CM628" s="1070"/>
      <c r="CN628" s="1070"/>
      <c r="CO628" s="1070"/>
      <c r="CP628" s="1070"/>
      <c r="CQ628" s="1070"/>
      <c r="CR628" s="1070"/>
      <c r="CS628" s="1070"/>
      <c r="CT628" s="1070"/>
      <c r="CU628" s="1070"/>
      <c r="CV628" s="1070"/>
      <c r="CW628" s="1070"/>
      <c r="CX628" s="1070"/>
      <c r="CY628" s="1070"/>
      <c r="CZ628" s="1070"/>
      <c r="DA628" s="1070"/>
      <c r="DB628" s="1070"/>
      <c r="DC628" s="1070"/>
      <c r="DD628" s="1070"/>
      <c r="DE628" s="1070"/>
      <c r="DF628" s="1070"/>
      <c r="DG628" s="1070"/>
      <c r="DH628" s="1070"/>
      <c r="DI628" s="1070"/>
    </row>
    <row r="629" spans="1:113" ht="15.75" x14ac:dyDescent="0.25">
      <c r="A629" s="1456" t="s">
        <v>1617</v>
      </c>
      <c r="B629" s="1506">
        <v>400</v>
      </c>
      <c r="C629" s="1470"/>
      <c r="D629" s="1437"/>
      <c r="E629" s="1437"/>
      <c r="F629" s="1437"/>
      <c r="G629" s="1437"/>
      <c r="H629" s="1350"/>
      <c r="I629" s="1350"/>
      <c r="J629" s="1350"/>
      <c r="K629" s="1350"/>
      <c r="L629" s="1350"/>
      <c r="M629" s="1350"/>
      <c r="N629" s="1350"/>
      <c r="O629" s="1350"/>
      <c r="P629" s="1350"/>
      <c r="Q629" s="1350"/>
      <c r="R629" s="1350"/>
      <c r="S629" s="1350"/>
      <c r="T629" s="1350"/>
      <c r="U629" s="1350"/>
      <c r="V629" s="1350"/>
      <c r="W629" s="1350"/>
      <c r="X629" s="1350"/>
      <c r="Y629" s="1350"/>
      <c r="Z629" s="1350"/>
      <c r="AA629" s="1350"/>
      <c r="AB629" s="1350"/>
      <c r="AC629" s="1350"/>
      <c r="AD629" s="1350"/>
      <c r="AE629" s="1350"/>
      <c r="AF629" s="1350"/>
      <c r="AG629" s="1350"/>
      <c r="AH629" s="1350"/>
      <c r="AI629" s="1350"/>
      <c r="AJ629" s="1350"/>
      <c r="AK629" s="1350"/>
      <c r="AL629" s="1350"/>
      <c r="AM629" s="1350"/>
      <c r="AN629" s="1350"/>
      <c r="AO629" s="1350"/>
      <c r="AP629" s="1350"/>
      <c r="AQ629" s="1350"/>
      <c r="AR629" s="1350"/>
      <c r="AS629" s="1350"/>
      <c r="AT629" s="1350"/>
      <c r="AU629" s="1350"/>
      <c r="AV629" s="1350"/>
      <c r="AW629" s="1350"/>
      <c r="AX629" s="1350"/>
      <c r="AY629" s="1350"/>
      <c r="AZ629" s="1350"/>
      <c r="BA629" s="1070"/>
      <c r="BB629" s="1070"/>
      <c r="BC629" s="1070"/>
      <c r="BD629" s="1070"/>
      <c r="BE629" s="1070"/>
      <c r="BF629" s="1070"/>
      <c r="BG629" s="1070"/>
      <c r="BH629" s="1070"/>
      <c r="BI629" s="1070"/>
      <c r="BJ629" s="1070"/>
      <c r="BK629" s="1070"/>
      <c r="BL629" s="1070"/>
      <c r="BM629" s="1070"/>
      <c r="BN629" s="1070"/>
      <c r="BO629" s="1070"/>
      <c r="BP629" s="1070"/>
      <c r="BQ629" s="1070"/>
      <c r="BR629" s="1070"/>
      <c r="BS629" s="1070"/>
      <c r="BT629" s="1070"/>
      <c r="BU629" s="1070"/>
      <c r="BV629" s="1070"/>
      <c r="BW629" s="1070"/>
      <c r="BX629" s="1070"/>
      <c r="BY629" s="1070"/>
      <c r="BZ629" s="1070"/>
      <c r="CA629" s="1070"/>
      <c r="CB629" s="1070"/>
      <c r="CC629" s="1070"/>
      <c r="CD629" s="1070"/>
      <c r="CE629" s="1070"/>
      <c r="CF629" s="1070"/>
      <c r="CG629" s="1070"/>
      <c r="CH629" s="1070"/>
      <c r="CI629" s="1070"/>
      <c r="CJ629" s="1070"/>
      <c r="CK629" s="1070"/>
      <c r="CL629" s="1070"/>
      <c r="CM629" s="1070"/>
      <c r="CN629" s="1070"/>
      <c r="CO629" s="1070"/>
      <c r="CP629" s="1070"/>
      <c r="CQ629" s="1070"/>
      <c r="CR629" s="1070"/>
      <c r="CS629" s="1070"/>
      <c r="CT629" s="1070"/>
      <c r="CU629" s="1070"/>
      <c r="CV629" s="1070"/>
      <c r="CW629" s="1070"/>
      <c r="CX629" s="1070"/>
      <c r="CY629" s="1070"/>
      <c r="CZ629" s="1070"/>
      <c r="DA629" s="1070"/>
      <c r="DB629" s="1070"/>
      <c r="DC629" s="1070"/>
      <c r="DD629" s="1070"/>
      <c r="DE629" s="1070"/>
      <c r="DF629" s="1070"/>
      <c r="DG629" s="1070"/>
      <c r="DH629" s="1070"/>
      <c r="DI629" s="1070"/>
    </row>
    <row r="630" spans="1:113" ht="15.75" x14ac:dyDescent="0.25">
      <c r="A630" s="1420" t="s">
        <v>3412</v>
      </c>
      <c r="B630" s="1441" t="e">
        <f>B629*B341</f>
        <v>#VALUE!</v>
      </c>
      <c r="C630" s="1434"/>
      <c r="D630" s="1446"/>
      <c r="E630" s="1446"/>
      <c r="F630" s="1446"/>
      <c r="G630" s="1446"/>
      <c r="H630" s="1350"/>
      <c r="I630" s="1350"/>
      <c r="J630" s="1350"/>
      <c r="K630" s="1350"/>
      <c r="L630" s="1350"/>
      <c r="M630" s="1350"/>
      <c r="N630" s="1350"/>
      <c r="O630" s="1350"/>
      <c r="P630" s="1350"/>
      <c r="Q630" s="1350"/>
      <c r="R630" s="1350"/>
      <c r="S630" s="1350"/>
      <c r="T630" s="1350"/>
      <c r="U630" s="1350"/>
      <c r="V630" s="1350"/>
      <c r="W630" s="1350"/>
      <c r="X630" s="1350"/>
      <c r="Y630" s="1350"/>
      <c r="Z630" s="1350"/>
      <c r="AA630" s="1350"/>
      <c r="AB630" s="1350"/>
      <c r="AC630" s="1350"/>
      <c r="AD630" s="1350"/>
      <c r="AE630" s="1350"/>
      <c r="AF630" s="1350"/>
      <c r="AG630" s="1350"/>
      <c r="AH630" s="1350"/>
      <c r="AI630" s="1350"/>
      <c r="AJ630" s="1350"/>
      <c r="AK630" s="1350"/>
      <c r="AL630" s="1350"/>
      <c r="AM630" s="1350"/>
      <c r="AN630" s="1350"/>
      <c r="AO630" s="1350"/>
      <c r="AP630" s="1350"/>
      <c r="AQ630" s="1350"/>
      <c r="AR630" s="1350"/>
      <c r="AS630" s="1350"/>
      <c r="AT630" s="1350"/>
      <c r="AU630" s="1350"/>
      <c r="AV630" s="1350"/>
      <c r="AW630" s="1350"/>
      <c r="AX630" s="1350"/>
      <c r="AY630" s="1350"/>
      <c r="AZ630" s="1350"/>
      <c r="BA630" s="1070"/>
      <c r="BB630" s="1070"/>
      <c r="BC630" s="1070"/>
      <c r="BD630" s="1070"/>
      <c r="BE630" s="1070"/>
      <c r="BF630" s="1070"/>
      <c r="BG630" s="1070"/>
      <c r="BH630" s="1070"/>
      <c r="BI630" s="1070"/>
      <c r="BJ630" s="1070"/>
      <c r="BK630" s="1070"/>
      <c r="BL630" s="1070"/>
      <c r="BM630" s="1070"/>
      <c r="BN630" s="1070"/>
      <c r="BO630" s="1070"/>
      <c r="BP630" s="1070"/>
      <c r="BQ630" s="1070"/>
      <c r="BR630" s="1070"/>
      <c r="BS630" s="1070"/>
      <c r="BT630" s="1070"/>
      <c r="BU630" s="1070"/>
      <c r="BV630" s="1070"/>
      <c r="BW630" s="1070"/>
      <c r="BX630" s="1070"/>
      <c r="BY630" s="1070"/>
      <c r="BZ630" s="1070"/>
      <c r="CA630" s="1070"/>
      <c r="CB630" s="1070"/>
      <c r="CC630" s="1070"/>
      <c r="CD630" s="1070"/>
      <c r="CE630" s="1070"/>
      <c r="CF630" s="1070"/>
      <c r="CG630" s="1070"/>
      <c r="CH630" s="1070"/>
      <c r="CI630" s="1070"/>
      <c r="CJ630" s="1070"/>
      <c r="CK630" s="1070"/>
      <c r="CL630" s="1070"/>
      <c r="CM630" s="1070"/>
      <c r="CN630" s="1070"/>
      <c r="CO630" s="1070"/>
      <c r="CP630" s="1070"/>
      <c r="CQ630" s="1070"/>
      <c r="CR630" s="1070"/>
      <c r="CS630" s="1070"/>
      <c r="CT630" s="1070"/>
      <c r="CU630" s="1070"/>
      <c r="CV630" s="1070"/>
      <c r="CW630" s="1070"/>
      <c r="CX630" s="1070"/>
      <c r="CY630" s="1070"/>
      <c r="CZ630" s="1070"/>
      <c r="DA630" s="1070"/>
      <c r="DB630" s="1070"/>
      <c r="DC630" s="1070"/>
      <c r="DD630" s="1070"/>
      <c r="DE630" s="1070"/>
      <c r="DF630" s="1070"/>
      <c r="DG630" s="1070"/>
      <c r="DH630" s="1070"/>
      <c r="DI630" s="1070"/>
    </row>
    <row r="631" spans="1:113" ht="15.75" x14ac:dyDescent="0.25">
      <c r="A631" s="1430" t="s">
        <v>429</v>
      </c>
      <c r="B631" s="1439" t="e">
        <f>B628/B630</f>
        <v>#DIV/0!</v>
      </c>
      <c r="C631" s="1432"/>
      <c r="D631" s="1432"/>
      <c r="E631" s="1432"/>
      <c r="F631" s="1432"/>
      <c r="G631" s="1432"/>
      <c r="H631" s="1350"/>
      <c r="I631" s="1350"/>
      <c r="J631" s="1350"/>
      <c r="K631" s="1350"/>
      <c r="L631" s="1350"/>
      <c r="M631" s="1350"/>
      <c r="N631" s="1350"/>
      <c r="O631" s="1350"/>
      <c r="P631" s="1350"/>
      <c r="Q631" s="1350"/>
      <c r="R631" s="1350"/>
      <c r="S631" s="1350"/>
      <c r="T631" s="1350"/>
      <c r="U631" s="1350"/>
      <c r="V631" s="1350"/>
      <c r="W631" s="1350"/>
      <c r="X631" s="1350"/>
      <c r="Y631" s="1350"/>
      <c r="Z631" s="1350"/>
      <c r="AA631" s="1350"/>
      <c r="AB631" s="1350"/>
      <c r="AC631" s="1350"/>
      <c r="AD631" s="1350"/>
      <c r="AE631" s="1350"/>
      <c r="AF631" s="1350"/>
      <c r="AG631" s="1350"/>
      <c r="AH631" s="1350"/>
      <c r="AI631" s="1350"/>
      <c r="AJ631" s="1350"/>
      <c r="AK631" s="1350"/>
      <c r="AL631" s="1350"/>
      <c r="AM631" s="1350"/>
      <c r="AN631" s="1350"/>
      <c r="AO631" s="1350"/>
      <c r="AP631" s="1350"/>
      <c r="AQ631" s="1350"/>
      <c r="AR631" s="1350"/>
      <c r="AS631" s="1350"/>
      <c r="AT631" s="1350"/>
      <c r="AU631" s="1350"/>
      <c r="AV631" s="1350"/>
      <c r="AW631" s="1350"/>
      <c r="AX631" s="1350"/>
      <c r="AY631" s="1350"/>
      <c r="AZ631" s="1350"/>
      <c r="BA631" s="1070"/>
      <c r="BB631" s="1070"/>
      <c r="BC631" s="1070"/>
      <c r="BD631" s="1070"/>
      <c r="BE631" s="1070"/>
      <c r="BF631" s="1070"/>
      <c r="BG631" s="1070"/>
      <c r="BH631" s="1070"/>
      <c r="BI631" s="1070"/>
      <c r="BJ631" s="1070"/>
      <c r="BK631" s="1070"/>
      <c r="BL631" s="1070"/>
      <c r="BM631" s="1070"/>
      <c r="BN631" s="1070"/>
      <c r="BO631" s="1070"/>
      <c r="BP631" s="1070"/>
      <c r="BQ631" s="1070"/>
      <c r="BR631" s="1070"/>
      <c r="BS631" s="1070"/>
      <c r="BT631" s="1070"/>
      <c r="BU631" s="1070"/>
      <c r="BV631" s="1070"/>
      <c r="BW631" s="1070"/>
      <c r="BX631" s="1070"/>
      <c r="BY631" s="1070"/>
      <c r="BZ631" s="1070"/>
      <c r="CA631" s="1070"/>
      <c r="CB631" s="1070"/>
      <c r="CC631" s="1070"/>
      <c r="CD631" s="1070"/>
      <c r="CE631" s="1070"/>
      <c r="CF631" s="1070"/>
      <c r="CG631" s="1070"/>
      <c r="CH631" s="1070"/>
      <c r="CI631" s="1070"/>
      <c r="CJ631" s="1070"/>
      <c r="CK631" s="1070"/>
      <c r="CL631" s="1070"/>
      <c r="CM631" s="1070"/>
      <c r="CN631" s="1070"/>
      <c r="CO631" s="1070"/>
      <c r="CP631" s="1070"/>
      <c r="CQ631" s="1070"/>
      <c r="CR631" s="1070"/>
      <c r="CS631" s="1070"/>
      <c r="CT631" s="1070"/>
      <c r="CU631" s="1070"/>
      <c r="CV631" s="1070"/>
      <c r="CW631" s="1070"/>
      <c r="CX631" s="1070"/>
      <c r="CY631" s="1070"/>
      <c r="CZ631" s="1070"/>
      <c r="DA631" s="1070"/>
      <c r="DB631" s="1070"/>
      <c r="DC631" s="1070"/>
      <c r="DD631" s="1070"/>
      <c r="DE631" s="1070"/>
      <c r="DF631" s="1070"/>
      <c r="DG631" s="1070"/>
      <c r="DH631" s="1070"/>
      <c r="DI631" s="1070"/>
    </row>
    <row r="632" spans="1:113" ht="15.75" x14ac:dyDescent="0.25">
      <c r="A632" s="1430"/>
      <c r="B632" s="1443"/>
      <c r="C632" s="1437"/>
      <c r="D632" s="1432"/>
      <c r="E632" s="1432"/>
      <c r="F632" s="1432"/>
      <c r="G632" s="1432"/>
      <c r="H632" s="1350"/>
      <c r="I632" s="1350"/>
      <c r="J632" s="1350"/>
      <c r="K632" s="1350"/>
      <c r="L632" s="1350"/>
      <c r="M632" s="1350"/>
      <c r="N632" s="1350"/>
      <c r="O632" s="1350"/>
      <c r="P632" s="1350"/>
      <c r="Q632" s="1350"/>
      <c r="R632" s="1350"/>
      <c r="S632" s="1350"/>
      <c r="T632" s="1350"/>
      <c r="U632" s="1350"/>
      <c r="V632" s="1350"/>
      <c r="W632" s="1350"/>
      <c r="X632" s="1350"/>
      <c r="Y632" s="1350"/>
      <c r="Z632" s="1350"/>
      <c r="AA632" s="1350"/>
      <c r="AB632" s="1350"/>
      <c r="AC632" s="1350"/>
      <c r="AD632" s="1350"/>
      <c r="AE632" s="1350"/>
      <c r="AF632" s="1350"/>
      <c r="AG632" s="1350"/>
      <c r="AH632" s="1350"/>
      <c r="AI632" s="1350"/>
      <c r="AJ632" s="1350"/>
      <c r="AK632" s="1350"/>
      <c r="AL632" s="1350"/>
      <c r="AM632" s="1350"/>
      <c r="AN632" s="1350"/>
      <c r="AO632" s="1350"/>
      <c r="AP632" s="1350"/>
      <c r="AQ632" s="1350"/>
      <c r="AR632" s="1350"/>
      <c r="AS632" s="1350"/>
      <c r="AT632" s="1350"/>
      <c r="AU632" s="1350"/>
      <c r="AV632" s="1350"/>
      <c r="AW632" s="1350"/>
      <c r="AX632" s="1350"/>
      <c r="AY632" s="1350"/>
      <c r="AZ632" s="1350"/>
      <c r="BA632" s="1070"/>
      <c r="BB632" s="1070"/>
      <c r="BC632" s="1070"/>
      <c r="BD632" s="1070"/>
      <c r="BE632" s="1070"/>
      <c r="BF632" s="1070"/>
      <c r="BG632" s="1070"/>
      <c r="BH632" s="1070"/>
      <c r="BI632" s="1070"/>
      <c r="BJ632" s="1070"/>
      <c r="BK632" s="1070"/>
      <c r="BL632" s="1070"/>
      <c r="BM632" s="1070"/>
      <c r="BN632" s="1070"/>
      <c r="BO632" s="1070"/>
      <c r="BP632" s="1070"/>
      <c r="BQ632" s="1070"/>
      <c r="BR632" s="1070"/>
      <c r="BS632" s="1070"/>
      <c r="BT632" s="1070"/>
      <c r="BU632" s="1070"/>
      <c r="BV632" s="1070"/>
      <c r="BW632" s="1070"/>
      <c r="BX632" s="1070"/>
      <c r="BY632" s="1070"/>
      <c r="BZ632" s="1070"/>
      <c r="CA632" s="1070"/>
      <c r="CB632" s="1070"/>
      <c r="CC632" s="1070"/>
      <c r="CD632" s="1070"/>
      <c r="CE632" s="1070"/>
      <c r="CF632" s="1070"/>
      <c r="CG632" s="1070"/>
      <c r="CH632" s="1070"/>
      <c r="CI632" s="1070"/>
      <c r="CJ632" s="1070"/>
      <c r="CK632" s="1070"/>
      <c r="CL632" s="1070"/>
      <c r="CM632" s="1070"/>
      <c r="CN632" s="1070"/>
      <c r="CO632" s="1070"/>
      <c r="CP632" s="1070"/>
      <c r="CQ632" s="1070"/>
      <c r="CR632" s="1070"/>
      <c r="CS632" s="1070"/>
      <c r="CT632" s="1070"/>
      <c r="CU632" s="1070"/>
      <c r="CV632" s="1070"/>
      <c r="CW632" s="1070"/>
      <c r="CX632" s="1070"/>
      <c r="CY632" s="1070"/>
      <c r="CZ632" s="1070"/>
      <c r="DA632" s="1070"/>
      <c r="DB632" s="1070"/>
      <c r="DC632" s="1070"/>
      <c r="DD632" s="1070"/>
      <c r="DE632" s="1070"/>
      <c r="DF632" s="1070"/>
      <c r="DG632" s="1070"/>
      <c r="DH632" s="1070"/>
      <c r="DI632" s="1070"/>
    </row>
    <row r="633" spans="1:113" ht="47.25" x14ac:dyDescent="0.25">
      <c r="A633" s="1438" t="s">
        <v>1618</v>
      </c>
      <c r="B633" s="1443"/>
      <c r="C633" s="1437"/>
      <c r="D633" s="1350"/>
      <c r="E633" s="1350"/>
      <c r="F633" s="1350"/>
      <c r="G633" s="1350"/>
      <c r="H633" s="1350"/>
      <c r="I633" s="1350"/>
      <c r="J633" s="1350"/>
      <c r="K633" s="1350"/>
      <c r="L633" s="1350"/>
      <c r="M633" s="1350"/>
      <c r="N633" s="1350"/>
      <c r="O633" s="1350"/>
      <c r="P633" s="1350"/>
      <c r="Q633" s="1350"/>
      <c r="R633" s="1350"/>
      <c r="S633" s="1350"/>
      <c r="T633" s="1350"/>
      <c r="U633" s="1350"/>
      <c r="V633" s="1350"/>
      <c r="W633" s="1350"/>
      <c r="X633" s="1350"/>
      <c r="Y633" s="1350"/>
      <c r="Z633" s="1350"/>
      <c r="AA633" s="1350"/>
      <c r="AB633" s="1350"/>
      <c r="AC633" s="1350"/>
      <c r="AD633" s="1350"/>
      <c r="AE633" s="1350"/>
      <c r="AF633" s="1350"/>
      <c r="AG633" s="1350"/>
      <c r="AH633" s="1350"/>
      <c r="AI633" s="1350"/>
      <c r="AJ633" s="1350"/>
      <c r="AK633" s="1350"/>
      <c r="AL633" s="1350"/>
      <c r="AM633" s="1350"/>
      <c r="AN633" s="1350"/>
      <c r="AO633" s="1350"/>
      <c r="AP633" s="1350"/>
      <c r="AQ633" s="1350"/>
      <c r="AR633" s="1350"/>
      <c r="AS633" s="1350"/>
      <c r="AT633" s="1350"/>
      <c r="AU633" s="1350"/>
      <c r="AV633" s="1350"/>
      <c r="AW633" s="1350"/>
      <c r="AX633" s="1350"/>
      <c r="AY633" s="1350"/>
      <c r="AZ633" s="1350"/>
      <c r="BA633" s="1070"/>
      <c r="BB633" s="1070"/>
      <c r="BC633" s="1070"/>
      <c r="BD633" s="1070"/>
      <c r="BE633" s="1070"/>
      <c r="BF633" s="1070"/>
      <c r="BG633" s="1070"/>
      <c r="BH633" s="1070"/>
      <c r="BI633" s="1070"/>
      <c r="BJ633" s="1070"/>
      <c r="BK633" s="1070"/>
      <c r="BL633" s="1070"/>
      <c r="BM633" s="1070"/>
      <c r="BN633" s="1070"/>
      <c r="BO633" s="1070"/>
      <c r="BP633" s="1070"/>
      <c r="BQ633" s="1070"/>
      <c r="BR633" s="1070"/>
      <c r="BS633" s="1070"/>
      <c r="BT633" s="1070"/>
      <c r="BU633" s="1070"/>
      <c r="BV633" s="1070"/>
      <c r="BW633" s="1070"/>
      <c r="BX633" s="1070"/>
      <c r="BY633" s="1070"/>
      <c r="BZ633" s="1070"/>
      <c r="CA633" s="1070"/>
      <c r="CB633" s="1070"/>
      <c r="CC633" s="1070"/>
      <c r="CD633" s="1070"/>
      <c r="CE633" s="1070"/>
      <c r="CF633" s="1070"/>
      <c r="CG633" s="1070"/>
      <c r="CH633" s="1070"/>
      <c r="CI633" s="1070"/>
      <c r="CJ633" s="1070"/>
      <c r="CK633" s="1070"/>
      <c r="CL633" s="1070"/>
      <c r="CM633" s="1070"/>
      <c r="CN633" s="1070"/>
      <c r="CO633" s="1070"/>
      <c r="CP633" s="1070"/>
      <c r="CQ633" s="1070"/>
      <c r="CR633" s="1070"/>
      <c r="CS633" s="1070"/>
      <c r="CT633" s="1070"/>
      <c r="CU633" s="1070"/>
      <c r="CV633" s="1070"/>
      <c r="CW633" s="1070"/>
      <c r="CX633" s="1070"/>
      <c r="CY633" s="1070"/>
      <c r="CZ633" s="1070"/>
      <c r="DA633" s="1070"/>
      <c r="DB633" s="1070"/>
      <c r="DC633" s="1070"/>
      <c r="DD633" s="1070"/>
      <c r="DE633" s="1070"/>
      <c r="DF633" s="1070"/>
      <c r="DG633" s="1070"/>
      <c r="DH633" s="1070"/>
      <c r="DI633" s="1070"/>
    </row>
    <row r="634" spans="1:113" ht="31.5" x14ac:dyDescent="0.25">
      <c r="A634" s="1435" t="s">
        <v>1619</v>
      </c>
      <c r="B634" s="1457">
        <v>2</v>
      </c>
      <c r="C634" s="1458"/>
      <c r="D634" s="1350"/>
      <c r="E634" s="1350"/>
      <c r="F634" s="1350"/>
      <c r="G634" s="1350"/>
      <c r="H634" s="1350"/>
      <c r="I634" s="1350"/>
      <c r="J634" s="1350"/>
      <c r="K634" s="1350"/>
      <c r="L634" s="1350"/>
      <c r="M634" s="1350"/>
      <c r="N634" s="1350"/>
      <c r="O634" s="1350"/>
      <c r="P634" s="1350"/>
      <c r="Q634" s="1350"/>
      <c r="R634" s="1350"/>
      <c r="S634" s="1350"/>
      <c r="T634" s="1350"/>
      <c r="U634" s="1350"/>
      <c r="V634" s="1350"/>
      <c r="W634" s="1350"/>
      <c r="X634" s="1350"/>
      <c r="Y634" s="1350"/>
      <c r="Z634" s="1350"/>
      <c r="AA634" s="1350"/>
      <c r="AB634" s="1350"/>
      <c r="AC634" s="1350"/>
      <c r="AD634" s="1350"/>
      <c r="AE634" s="1350"/>
      <c r="AF634" s="1350"/>
      <c r="AG634" s="1350"/>
      <c r="AH634" s="1350"/>
      <c r="AI634" s="1350"/>
      <c r="AJ634" s="1350"/>
      <c r="AK634" s="1350"/>
      <c r="AL634" s="1350"/>
      <c r="AM634" s="1350"/>
      <c r="AN634" s="1350"/>
      <c r="AO634" s="1350"/>
      <c r="AP634" s="1350"/>
      <c r="AQ634" s="1350"/>
      <c r="AR634" s="1350"/>
      <c r="AS634" s="1350"/>
      <c r="AT634" s="1350"/>
      <c r="AU634" s="1350"/>
      <c r="AV634" s="1350"/>
      <c r="AW634" s="1350"/>
      <c r="AX634" s="1350"/>
      <c r="AY634" s="1350"/>
      <c r="AZ634" s="1350"/>
      <c r="BA634" s="1070"/>
      <c r="BB634" s="1070"/>
      <c r="BC634" s="1070"/>
      <c r="BD634" s="1070"/>
      <c r="BE634" s="1070"/>
      <c r="BF634" s="1070"/>
      <c r="BG634" s="1070"/>
      <c r="BH634" s="1070"/>
      <c r="BI634" s="1070"/>
      <c r="BJ634" s="1070"/>
      <c r="BK634" s="1070"/>
      <c r="BL634" s="1070"/>
      <c r="BM634" s="1070"/>
      <c r="BN634" s="1070"/>
      <c r="BO634" s="1070"/>
      <c r="BP634" s="1070"/>
      <c r="BQ634" s="1070"/>
      <c r="BR634" s="1070"/>
      <c r="BS634" s="1070"/>
      <c r="BT634" s="1070"/>
      <c r="BU634" s="1070"/>
      <c r="BV634" s="1070"/>
      <c r="BW634" s="1070"/>
      <c r="BX634" s="1070"/>
      <c r="BY634" s="1070"/>
      <c r="BZ634" s="1070"/>
      <c r="CA634" s="1070"/>
      <c r="CB634" s="1070"/>
      <c r="CC634" s="1070"/>
      <c r="CD634" s="1070"/>
      <c r="CE634" s="1070"/>
      <c r="CF634" s="1070"/>
      <c r="CG634" s="1070"/>
      <c r="CH634" s="1070"/>
      <c r="CI634" s="1070"/>
      <c r="CJ634" s="1070"/>
      <c r="CK634" s="1070"/>
      <c r="CL634" s="1070"/>
      <c r="CM634" s="1070"/>
      <c r="CN634" s="1070"/>
      <c r="CO634" s="1070"/>
      <c r="CP634" s="1070"/>
      <c r="CQ634" s="1070"/>
      <c r="CR634" s="1070"/>
      <c r="CS634" s="1070"/>
      <c r="CT634" s="1070"/>
      <c r="CU634" s="1070"/>
      <c r="CV634" s="1070"/>
      <c r="CW634" s="1070"/>
      <c r="CX634" s="1070"/>
      <c r="CY634" s="1070"/>
      <c r="CZ634" s="1070"/>
      <c r="DA634" s="1070"/>
      <c r="DB634" s="1070"/>
      <c r="DC634" s="1070"/>
      <c r="DD634" s="1070"/>
      <c r="DE634" s="1070"/>
      <c r="DF634" s="1070"/>
      <c r="DG634" s="1070"/>
      <c r="DH634" s="1070"/>
      <c r="DI634" s="1070"/>
    </row>
    <row r="635" spans="1:113" ht="15.75" x14ac:dyDescent="0.25">
      <c r="A635" s="1430" t="s">
        <v>4152</v>
      </c>
      <c r="B635" s="1433" t="e">
        <f>(B291/B634)*(B346+B347)</f>
        <v>#DIV/0!</v>
      </c>
      <c r="C635" s="1437"/>
      <c r="D635" s="1437"/>
      <c r="E635" s="1437"/>
      <c r="F635" s="1437"/>
      <c r="G635" s="1437"/>
      <c r="H635" s="1350"/>
      <c r="I635" s="1350"/>
      <c r="J635" s="1350"/>
      <c r="K635" s="1350"/>
      <c r="L635" s="1350"/>
      <c r="M635" s="1350"/>
      <c r="N635" s="1350"/>
      <c r="O635" s="1350"/>
      <c r="P635" s="1350"/>
      <c r="Q635" s="1350"/>
      <c r="R635" s="1350"/>
      <c r="S635" s="1350"/>
      <c r="T635" s="1350"/>
      <c r="U635" s="1350"/>
      <c r="V635" s="1350"/>
      <c r="W635" s="1350"/>
      <c r="X635" s="1350"/>
      <c r="Y635" s="1350"/>
      <c r="Z635" s="1350"/>
      <c r="AA635" s="1350"/>
      <c r="AB635" s="1350"/>
      <c r="AC635" s="1350"/>
      <c r="AD635" s="1350"/>
      <c r="AE635" s="1350"/>
      <c r="AF635" s="1350"/>
      <c r="AG635" s="1350"/>
      <c r="AH635" s="1350"/>
      <c r="AI635" s="1350"/>
      <c r="AJ635" s="1350"/>
      <c r="AK635" s="1350"/>
      <c r="AL635" s="1350"/>
      <c r="AM635" s="1350"/>
      <c r="AN635" s="1350"/>
      <c r="AO635" s="1350"/>
      <c r="AP635" s="1350"/>
      <c r="AQ635" s="1350"/>
      <c r="AR635" s="1350"/>
      <c r="AS635" s="1350"/>
      <c r="AT635" s="1350"/>
      <c r="AU635" s="1350"/>
      <c r="AV635" s="1350"/>
      <c r="AW635" s="1350"/>
      <c r="AX635" s="1350"/>
      <c r="AY635" s="1350"/>
      <c r="AZ635" s="1350"/>
      <c r="BA635" s="1070"/>
      <c r="BB635" s="1070"/>
      <c r="BC635" s="1070"/>
      <c r="BD635" s="1070"/>
      <c r="BE635" s="1070"/>
      <c r="BF635" s="1070"/>
      <c r="BG635" s="1070"/>
      <c r="BH635" s="1070"/>
      <c r="BI635" s="1070"/>
      <c r="BJ635" s="1070"/>
      <c r="BK635" s="1070"/>
      <c r="BL635" s="1070"/>
      <c r="BM635" s="1070"/>
      <c r="BN635" s="1070"/>
      <c r="BO635" s="1070"/>
      <c r="BP635" s="1070"/>
      <c r="BQ635" s="1070"/>
      <c r="BR635" s="1070"/>
      <c r="BS635" s="1070"/>
      <c r="BT635" s="1070"/>
      <c r="BU635" s="1070"/>
      <c r="BV635" s="1070"/>
      <c r="BW635" s="1070"/>
      <c r="BX635" s="1070"/>
      <c r="BY635" s="1070"/>
      <c r="BZ635" s="1070"/>
      <c r="CA635" s="1070"/>
      <c r="CB635" s="1070"/>
      <c r="CC635" s="1070"/>
      <c r="CD635" s="1070"/>
      <c r="CE635" s="1070"/>
      <c r="CF635" s="1070"/>
      <c r="CG635" s="1070"/>
      <c r="CH635" s="1070"/>
      <c r="CI635" s="1070"/>
      <c r="CJ635" s="1070"/>
      <c r="CK635" s="1070"/>
      <c r="CL635" s="1070"/>
      <c r="CM635" s="1070"/>
      <c r="CN635" s="1070"/>
      <c r="CO635" s="1070"/>
      <c r="CP635" s="1070"/>
      <c r="CQ635" s="1070"/>
      <c r="CR635" s="1070"/>
      <c r="CS635" s="1070"/>
      <c r="CT635" s="1070"/>
      <c r="CU635" s="1070"/>
      <c r="CV635" s="1070"/>
      <c r="CW635" s="1070"/>
      <c r="CX635" s="1070"/>
      <c r="CY635" s="1070"/>
      <c r="CZ635" s="1070"/>
      <c r="DA635" s="1070"/>
      <c r="DB635" s="1070"/>
      <c r="DC635" s="1070"/>
      <c r="DD635" s="1070"/>
      <c r="DE635" s="1070"/>
      <c r="DF635" s="1070"/>
      <c r="DG635" s="1070"/>
      <c r="DH635" s="1070"/>
      <c r="DI635" s="1070"/>
    </row>
    <row r="636" spans="1:113" ht="15.75" x14ac:dyDescent="0.25">
      <c r="A636" s="1430" t="s">
        <v>425</v>
      </c>
      <c r="B636" s="1423">
        <f>INDEX($Q$1619:$T$1631,B638,B640)</f>
        <v>10.6</v>
      </c>
      <c r="C636" s="1429"/>
      <c r="D636" s="1470"/>
      <c r="E636" s="1470"/>
      <c r="F636" s="1470"/>
      <c r="G636" s="1470"/>
      <c r="H636" s="1350"/>
      <c r="I636" s="1350"/>
      <c r="J636" s="1350"/>
      <c r="K636" s="1350"/>
      <c r="L636" s="1350"/>
      <c r="M636" s="1350"/>
      <c r="N636" s="1350"/>
      <c r="O636" s="1350"/>
      <c r="P636" s="1350"/>
      <c r="Q636" s="1350"/>
      <c r="R636" s="1350"/>
      <c r="S636" s="1350"/>
      <c r="T636" s="1350"/>
      <c r="U636" s="1350"/>
      <c r="V636" s="1350"/>
      <c r="W636" s="1350"/>
      <c r="X636" s="1350"/>
      <c r="Y636" s="1350"/>
      <c r="Z636" s="1350"/>
      <c r="AA636" s="1350"/>
      <c r="AB636" s="1350"/>
      <c r="AC636" s="1350"/>
      <c r="AD636" s="1350"/>
      <c r="AE636" s="1350"/>
      <c r="AF636" s="1350"/>
      <c r="AG636" s="1350"/>
      <c r="AH636" s="1350"/>
      <c r="AI636" s="1350"/>
      <c r="AJ636" s="1350"/>
      <c r="AK636" s="1350"/>
      <c r="AL636" s="1350"/>
      <c r="AM636" s="1350"/>
      <c r="AN636" s="1350"/>
      <c r="AO636" s="1350"/>
      <c r="AP636" s="1350"/>
      <c r="AQ636" s="1350"/>
      <c r="AR636" s="1350"/>
      <c r="AS636" s="1350"/>
      <c r="AT636" s="1350"/>
      <c r="AU636" s="1350"/>
      <c r="AV636" s="1350"/>
      <c r="AW636" s="1350"/>
      <c r="AX636" s="1350"/>
      <c r="AY636" s="1350"/>
      <c r="AZ636" s="1350"/>
      <c r="BA636" s="1070"/>
      <c r="BB636" s="1070"/>
      <c r="BC636" s="1070"/>
      <c r="BD636" s="1070"/>
      <c r="BE636" s="1070"/>
      <c r="BF636" s="1070"/>
      <c r="BG636" s="1070"/>
      <c r="BH636" s="1070"/>
      <c r="BI636" s="1070"/>
      <c r="BJ636" s="1070"/>
      <c r="BK636" s="1070"/>
      <c r="BL636" s="1070"/>
      <c r="BM636" s="1070"/>
      <c r="BN636" s="1070"/>
      <c r="BO636" s="1070"/>
      <c r="BP636" s="1070"/>
      <c r="BQ636" s="1070"/>
      <c r="BR636" s="1070"/>
      <c r="BS636" s="1070"/>
      <c r="BT636" s="1070"/>
      <c r="BU636" s="1070"/>
      <c r="BV636" s="1070"/>
      <c r="BW636" s="1070"/>
      <c r="BX636" s="1070"/>
      <c r="BY636" s="1070"/>
      <c r="BZ636" s="1070"/>
      <c r="CA636" s="1070"/>
      <c r="CB636" s="1070"/>
      <c r="CC636" s="1070"/>
      <c r="CD636" s="1070"/>
      <c r="CE636" s="1070"/>
      <c r="CF636" s="1070"/>
      <c r="CG636" s="1070"/>
      <c r="CH636" s="1070"/>
      <c r="CI636" s="1070"/>
      <c r="CJ636" s="1070"/>
      <c r="CK636" s="1070"/>
      <c r="CL636" s="1070"/>
      <c r="CM636" s="1070"/>
      <c r="CN636" s="1070"/>
      <c r="CO636" s="1070"/>
      <c r="CP636" s="1070"/>
      <c r="CQ636" s="1070"/>
      <c r="CR636" s="1070"/>
      <c r="CS636" s="1070"/>
      <c r="CT636" s="1070"/>
      <c r="CU636" s="1070"/>
      <c r="CV636" s="1070"/>
      <c r="CW636" s="1070"/>
      <c r="CX636" s="1070"/>
      <c r="CY636" s="1070"/>
      <c r="CZ636" s="1070"/>
      <c r="DA636" s="1070"/>
      <c r="DB636" s="1070"/>
      <c r="DC636" s="1070"/>
      <c r="DD636" s="1070"/>
      <c r="DE636" s="1070"/>
      <c r="DF636" s="1070"/>
      <c r="DG636" s="1070"/>
      <c r="DH636" s="1070"/>
      <c r="DI636" s="1070"/>
    </row>
    <row r="637" spans="1:113" ht="15.75" x14ac:dyDescent="0.25">
      <c r="A637" s="1456" t="s">
        <v>1719</v>
      </c>
      <c r="B637" s="1479"/>
      <c r="C637" s="1458"/>
      <c r="D637" s="1434"/>
      <c r="E637" s="1434"/>
      <c r="F637" s="1434"/>
      <c r="G637" s="1434"/>
      <c r="H637" s="1350"/>
      <c r="I637" s="1350"/>
      <c r="J637" s="1350"/>
      <c r="K637" s="1350"/>
      <c r="L637" s="1350"/>
      <c r="M637" s="1350"/>
      <c r="N637" s="1350"/>
      <c r="O637" s="1350"/>
      <c r="P637" s="1350"/>
      <c r="Q637" s="1350"/>
      <c r="R637" s="1350"/>
      <c r="S637" s="1350"/>
      <c r="T637" s="1350"/>
      <c r="U637" s="1350"/>
      <c r="V637" s="1350"/>
      <c r="W637" s="1350"/>
      <c r="X637" s="1350"/>
      <c r="Y637" s="1350"/>
      <c r="Z637" s="1350"/>
      <c r="AA637" s="1350"/>
      <c r="AB637" s="1350"/>
      <c r="AC637" s="1350"/>
      <c r="AD637" s="1350"/>
      <c r="AE637" s="1350"/>
      <c r="AF637" s="1350"/>
      <c r="AG637" s="1350"/>
      <c r="AH637" s="1350"/>
      <c r="AI637" s="1350"/>
      <c r="AJ637" s="1350"/>
      <c r="AK637" s="1350"/>
      <c r="AL637" s="1350"/>
      <c r="AM637" s="1350"/>
      <c r="AN637" s="1350"/>
      <c r="AO637" s="1350"/>
      <c r="AP637" s="1350"/>
      <c r="AQ637" s="1350"/>
      <c r="AR637" s="1350"/>
      <c r="AS637" s="1350"/>
      <c r="AT637" s="1350"/>
      <c r="AU637" s="1350"/>
      <c r="AV637" s="1350"/>
      <c r="AW637" s="1350"/>
      <c r="AX637" s="1350"/>
      <c r="AY637" s="1350"/>
      <c r="AZ637" s="1350"/>
      <c r="BA637" s="1070"/>
      <c r="BB637" s="1070"/>
      <c r="BC637" s="1070"/>
      <c r="BD637" s="1070"/>
      <c r="BE637" s="1070"/>
      <c r="BF637" s="1070"/>
      <c r="BG637" s="1070"/>
      <c r="BH637" s="1070"/>
      <c r="BI637" s="1070"/>
      <c r="BJ637" s="1070"/>
      <c r="BK637" s="1070"/>
      <c r="BL637" s="1070"/>
      <c r="BM637" s="1070"/>
      <c r="BN637" s="1070"/>
      <c r="BO637" s="1070"/>
      <c r="BP637" s="1070"/>
      <c r="BQ637" s="1070"/>
      <c r="BR637" s="1070"/>
      <c r="BS637" s="1070"/>
      <c r="BT637" s="1070"/>
      <c r="BU637" s="1070"/>
      <c r="BV637" s="1070"/>
      <c r="BW637" s="1070"/>
      <c r="BX637" s="1070"/>
      <c r="BY637" s="1070"/>
      <c r="BZ637" s="1070"/>
      <c r="CA637" s="1070"/>
      <c r="CB637" s="1070"/>
      <c r="CC637" s="1070"/>
      <c r="CD637" s="1070"/>
      <c r="CE637" s="1070"/>
      <c r="CF637" s="1070"/>
      <c r="CG637" s="1070"/>
      <c r="CH637" s="1070"/>
      <c r="CI637" s="1070"/>
      <c r="CJ637" s="1070"/>
      <c r="CK637" s="1070"/>
      <c r="CL637" s="1070"/>
      <c r="CM637" s="1070"/>
      <c r="CN637" s="1070"/>
      <c r="CO637" s="1070"/>
      <c r="CP637" s="1070"/>
      <c r="CQ637" s="1070"/>
      <c r="CR637" s="1070"/>
      <c r="CS637" s="1070"/>
      <c r="CT637" s="1070"/>
      <c r="CU637" s="1070"/>
      <c r="CV637" s="1070"/>
      <c r="CW637" s="1070"/>
      <c r="CX637" s="1070"/>
      <c r="CY637" s="1070"/>
      <c r="CZ637" s="1070"/>
      <c r="DA637" s="1070"/>
      <c r="DB637" s="1070"/>
      <c r="DC637" s="1070"/>
      <c r="DD637" s="1070"/>
      <c r="DE637" s="1070"/>
      <c r="DF637" s="1070"/>
      <c r="DG637" s="1070"/>
      <c r="DH637" s="1070"/>
      <c r="DI637" s="1070"/>
    </row>
    <row r="638" spans="1:113" ht="15.75" x14ac:dyDescent="0.25">
      <c r="A638" s="1430" t="s">
        <v>199</v>
      </c>
      <c r="B638" s="1431">
        <f>IF(B286&lt;0.51,1,IF(B286&lt;0.61,2,IF(B286&lt;0.71,3,IF(B286&lt;0.81,4,IF(B286&lt;0.91,5,IF(B286&lt;1.01,6,IF(B286&lt;1.11,7,B639)))))))</f>
        <v>13</v>
      </c>
      <c r="C638" s="1434"/>
      <c r="D638" s="1432"/>
      <c r="E638" s="1432"/>
      <c r="F638" s="1432"/>
      <c r="G638" s="1432"/>
      <c r="H638" s="1350"/>
      <c r="I638" s="1350"/>
      <c r="J638" s="1350"/>
      <c r="K638" s="1350"/>
      <c r="L638" s="1350"/>
      <c r="M638" s="1350"/>
      <c r="N638" s="1350"/>
      <c r="O638" s="1350"/>
      <c r="P638" s="1350"/>
      <c r="Q638" s="1350"/>
      <c r="R638" s="1350"/>
      <c r="S638" s="1350"/>
      <c r="T638" s="1350"/>
      <c r="U638" s="1350"/>
      <c r="V638" s="1350"/>
      <c r="W638" s="1350"/>
      <c r="X638" s="1350"/>
      <c r="Y638" s="1350"/>
      <c r="Z638" s="1350"/>
      <c r="AA638" s="1350"/>
      <c r="AB638" s="1350"/>
      <c r="AC638" s="1350"/>
      <c r="AD638" s="1350"/>
      <c r="AE638" s="1350"/>
      <c r="AF638" s="1350"/>
      <c r="AG638" s="1350"/>
      <c r="AH638" s="1350"/>
      <c r="AI638" s="1350"/>
      <c r="AJ638" s="1350"/>
      <c r="AK638" s="1350"/>
      <c r="AL638" s="1350"/>
      <c r="AM638" s="1350"/>
      <c r="AN638" s="1350"/>
      <c r="AO638" s="1350"/>
      <c r="AP638" s="1350"/>
      <c r="AQ638" s="1350"/>
      <c r="AR638" s="1350"/>
      <c r="AS638" s="1350"/>
      <c r="AT638" s="1350"/>
      <c r="AU638" s="1350"/>
      <c r="AV638" s="1350"/>
      <c r="AW638" s="1350"/>
      <c r="AX638" s="1350"/>
      <c r="AY638" s="1350"/>
      <c r="AZ638" s="1350"/>
      <c r="BA638" s="1070"/>
      <c r="BB638" s="1070"/>
      <c r="BC638" s="1070"/>
      <c r="BD638" s="1070"/>
      <c r="BE638" s="1070"/>
      <c r="BF638" s="1070"/>
      <c r="BG638" s="1070"/>
      <c r="BH638" s="1070"/>
      <c r="BI638" s="1070"/>
      <c r="BJ638" s="1070"/>
      <c r="BK638" s="1070"/>
      <c r="BL638" s="1070"/>
      <c r="BM638" s="1070"/>
      <c r="BN638" s="1070"/>
      <c r="BO638" s="1070"/>
      <c r="BP638" s="1070"/>
      <c r="BQ638" s="1070"/>
      <c r="BR638" s="1070"/>
      <c r="BS638" s="1070"/>
      <c r="BT638" s="1070"/>
      <c r="BU638" s="1070"/>
      <c r="BV638" s="1070"/>
      <c r="BW638" s="1070"/>
      <c r="BX638" s="1070"/>
      <c r="BY638" s="1070"/>
      <c r="BZ638" s="1070"/>
      <c r="CA638" s="1070"/>
      <c r="CB638" s="1070"/>
      <c r="CC638" s="1070"/>
      <c r="CD638" s="1070"/>
      <c r="CE638" s="1070"/>
      <c r="CF638" s="1070"/>
      <c r="CG638" s="1070"/>
      <c r="CH638" s="1070"/>
      <c r="CI638" s="1070"/>
      <c r="CJ638" s="1070"/>
      <c r="CK638" s="1070"/>
      <c r="CL638" s="1070"/>
      <c r="CM638" s="1070"/>
      <c r="CN638" s="1070"/>
      <c r="CO638" s="1070"/>
      <c r="CP638" s="1070"/>
      <c r="CQ638" s="1070"/>
      <c r="CR638" s="1070"/>
      <c r="CS638" s="1070"/>
      <c r="CT638" s="1070"/>
      <c r="CU638" s="1070"/>
      <c r="CV638" s="1070"/>
      <c r="CW638" s="1070"/>
      <c r="CX638" s="1070"/>
      <c r="CY638" s="1070"/>
      <c r="CZ638" s="1070"/>
      <c r="DA638" s="1070"/>
      <c r="DB638" s="1070"/>
      <c r="DC638" s="1070"/>
      <c r="DD638" s="1070"/>
      <c r="DE638" s="1070"/>
      <c r="DF638" s="1070"/>
      <c r="DG638" s="1070"/>
      <c r="DH638" s="1070"/>
      <c r="DI638" s="1070"/>
    </row>
    <row r="639" spans="1:113" ht="15.75" x14ac:dyDescent="0.25">
      <c r="A639" s="1456" t="s">
        <v>200</v>
      </c>
      <c r="B639" s="1431">
        <f>IF(B286&lt;1.26,8,IF(B286&lt;1.41,9,IF(B286&lt;1.61,10,IF(B286&lt;1.81,11,IF(B286&lt;2.01,12,13)))))</f>
        <v>13</v>
      </c>
      <c r="C639" s="1434"/>
      <c r="D639" s="1350"/>
      <c r="E639" s="1350"/>
      <c r="F639" s="1350"/>
      <c r="G639" s="1350"/>
      <c r="H639" s="1350"/>
      <c r="I639" s="1350"/>
      <c r="J639" s="1350"/>
      <c r="K639" s="1350"/>
      <c r="L639" s="1350"/>
      <c r="M639" s="1350"/>
      <c r="N639" s="1350"/>
      <c r="O639" s="1350"/>
      <c r="P639" s="1350"/>
      <c r="Q639" s="1350"/>
      <c r="R639" s="1350"/>
      <c r="S639" s="1350"/>
      <c r="T639" s="1350"/>
      <c r="U639" s="1350"/>
      <c r="V639" s="1350"/>
      <c r="W639" s="1350"/>
      <c r="X639" s="1350"/>
      <c r="Y639" s="1350"/>
      <c r="Z639" s="1350"/>
      <c r="AA639" s="1350"/>
      <c r="AB639" s="1350"/>
      <c r="AC639" s="1350"/>
      <c r="AD639" s="1350"/>
      <c r="AE639" s="1350"/>
      <c r="AF639" s="1350"/>
      <c r="AG639" s="1350"/>
      <c r="AH639" s="1350"/>
      <c r="AI639" s="1350"/>
      <c r="AJ639" s="1350"/>
      <c r="AK639" s="1350"/>
      <c r="AL639" s="1350"/>
      <c r="AM639" s="1350"/>
      <c r="AN639" s="1350"/>
      <c r="AO639" s="1350"/>
      <c r="AP639" s="1350"/>
      <c r="AQ639" s="1350"/>
      <c r="AR639" s="1350"/>
      <c r="AS639" s="1350"/>
      <c r="AT639" s="1350"/>
      <c r="AU639" s="1350"/>
      <c r="AV639" s="1350"/>
      <c r="AW639" s="1350"/>
      <c r="AX639" s="1350"/>
      <c r="AY639" s="1350"/>
      <c r="AZ639" s="1350"/>
      <c r="BA639" s="1070"/>
      <c r="BB639" s="1070"/>
      <c r="BC639" s="1070"/>
      <c r="BD639" s="1070"/>
      <c r="BE639" s="1070"/>
      <c r="BF639" s="1070"/>
      <c r="BG639" s="1070"/>
      <c r="BH639" s="1070"/>
      <c r="BI639" s="1070"/>
      <c r="BJ639" s="1070"/>
      <c r="BK639" s="1070"/>
      <c r="BL639" s="1070"/>
      <c r="BM639" s="1070"/>
      <c r="BN639" s="1070"/>
      <c r="BO639" s="1070"/>
      <c r="BP639" s="1070"/>
      <c r="BQ639" s="1070"/>
      <c r="BR639" s="1070"/>
      <c r="BS639" s="1070"/>
      <c r="BT639" s="1070"/>
      <c r="BU639" s="1070"/>
      <c r="BV639" s="1070"/>
      <c r="BW639" s="1070"/>
      <c r="BX639" s="1070"/>
      <c r="BY639" s="1070"/>
      <c r="BZ639" s="1070"/>
      <c r="CA639" s="1070"/>
      <c r="CB639" s="1070"/>
      <c r="CC639" s="1070"/>
      <c r="CD639" s="1070"/>
      <c r="CE639" s="1070"/>
      <c r="CF639" s="1070"/>
      <c r="CG639" s="1070"/>
      <c r="CH639" s="1070"/>
      <c r="CI639" s="1070"/>
      <c r="CJ639" s="1070"/>
      <c r="CK639" s="1070"/>
      <c r="CL639" s="1070"/>
      <c r="CM639" s="1070"/>
      <c r="CN639" s="1070"/>
      <c r="CO639" s="1070"/>
      <c r="CP639" s="1070"/>
      <c r="CQ639" s="1070"/>
      <c r="CR639" s="1070"/>
      <c r="CS639" s="1070"/>
      <c r="CT639" s="1070"/>
      <c r="CU639" s="1070"/>
      <c r="CV639" s="1070"/>
      <c r="CW639" s="1070"/>
      <c r="CX639" s="1070"/>
      <c r="CY639" s="1070"/>
      <c r="CZ639" s="1070"/>
      <c r="DA639" s="1070"/>
      <c r="DB639" s="1070"/>
      <c r="DC639" s="1070"/>
      <c r="DD639" s="1070"/>
      <c r="DE639" s="1070"/>
      <c r="DF639" s="1070"/>
      <c r="DG639" s="1070"/>
      <c r="DH639" s="1070"/>
      <c r="DI639" s="1070"/>
    </row>
    <row r="640" spans="1:113" ht="15.75" x14ac:dyDescent="0.25">
      <c r="A640" s="1430" t="s">
        <v>201</v>
      </c>
      <c r="B640" s="1431">
        <f>IF(B297&lt;21,1,IF(B297&lt;36,2,IF(B299&lt;56,3,4)))</f>
        <v>3</v>
      </c>
      <c r="C640" s="1434"/>
      <c r="D640" s="1350"/>
      <c r="E640" s="1350"/>
      <c r="F640" s="1350"/>
      <c r="G640" s="1350"/>
      <c r="H640" s="1350"/>
      <c r="I640" s="1350"/>
      <c r="J640" s="1350"/>
      <c r="K640" s="1350"/>
      <c r="L640" s="1350"/>
      <c r="M640" s="1350"/>
      <c r="N640" s="1350"/>
      <c r="O640" s="1350"/>
      <c r="P640" s="1350"/>
      <c r="Q640" s="1350"/>
      <c r="R640" s="1350"/>
      <c r="S640" s="1350"/>
      <c r="T640" s="1350"/>
      <c r="U640" s="1350"/>
      <c r="V640" s="1350"/>
      <c r="W640" s="1350"/>
      <c r="X640" s="1350"/>
      <c r="Y640" s="1350"/>
      <c r="Z640" s="1350"/>
      <c r="AA640" s="1350"/>
      <c r="AB640" s="1350"/>
      <c r="AC640" s="1350"/>
      <c r="AD640" s="1350"/>
      <c r="AE640" s="1350"/>
      <c r="AF640" s="1350"/>
      <c r="AG640" s="1350"/>
      <c r="AH640" s="1350"/>
      <c r="AI640" s="1350"/>
      <c r="AJ640" s="1350"/>
      <c r="AK640" s="1350"/>
      <c r="AL640" s="1350"/>
      <c r="AM640" s="1350"/>
      <c r="AN640" s="1350"/>
      <c r="AO640" s="1350"/>
      <c r="AP640" s="1350"/>
      <c r="AQ640" s="1350"/>
      <c r="AR640" s="1350"/>
      <c r="AS640" s="1350"/>
      <c r="AT640" s="1350"/>
      <c r="AU640" s="1350"/>
      <c r="AV640" s="1350"/>
      <c r="AW640" s="1350"/>
      <c r="AX640" s="1350"/>
      <c r="AY640" s="1350"/>
      <c r="AZ640" s="1350"/>
      <c r="BA640" s="1070"/>
      <c r="BB640" s="1070"/>
      <c r="BC640" s="1070"/>
      <c r="BD640" s="1070"/>
      <c r="BE640" s="1070"/>
      <c r="BF640" s="1070"/>
      <c r="BG640" s="1070"/>
      <c r="BH640" s="1070"/>
      <c r="BI640" s="1070"/>
      <c r="BJ640" s="1070"/>
      <c r="BK640" s="1070"/>
      <c r="BL640" s="1070"/>
      <c r="BM640" s="1070"/>
      <c r="BN640" s="1070"/>
      <c r="BO640" s="1070"/>
      <c r="BP640" s="1070"/>
      <c r="BQ640" s="1070"/>
      <c r="BR640" s="1070"/>
      <c r="BS640" s="1070"/>
      <c r="BT640" s="1070"/>
      <c r="BU640" s="1070"/>
      <c r="BV640" s="1070"/>
      <c r="BW640" s="1070"/>
      <c r="BX640" s="1070"/>
      <c r="BY640" s="1070"/>
      <c r="BZ640" s="1070"/>
      <c r="CA640" s="1070"/>
      <c r="CB640" s="1070"/>
      <c r="CC640" s="1070"/>
      <c r="CD640" s="1070"/>
      <c r="CE640" s="1070"/>
      <c r="CF640" s="1070"/>
      <c r="CG640" s="1070"/>
      <c r="CH640" s="1070"/>
      <c r="CI640" s="1070"/>
      <c r="CJ640" s="1070"/>
      <c r="CK640" s="1070"/>
      <c r="CL640" s="1070"/>
      <c r="CM640" s="1070"/>
      <c r="CN640" s="1070"/>
      <c r="CO640" s="1070"/>
      <c r="CP640" s="1070"/>
      <c r="CQ640" s="1070"/>
      <c r="CR640" s="1070"/>
      <c r="CS640" s="1070"/>
      <c r="CT640" s="1070"/>
      <c r="CU640" s="1070"/>
      <c r="CV640" s="1070"/>
      <c r="CW640" s="1070"/>
      <c r="CX640" s="1070"/>
      <c r="CY640" s="1070"/>
      <c r="CZ640" s="1070"/>
      <c r="DA640" s="1070"/>
      <c r="DB640" s="1070"/>
      <c r="DC640" s="1070"/>
      <c r="DD640" s="1070"/>
      <c r="DE640" s="1070"/>
      <c r="DF640" s="1070"/>
      <c r="DG640" s="1070"/>
      <c r="DH640" s="1070"/>
      <c r="DI640" s="1070"/>
    </row>
    <row r="641" spans="1:113" ht="15.75" x14ac:dyDescent="0.25">
      <c r="A641" s="1430" t="s">
        <v>3391</v>
      </c>
      <c r="B641" s="1479"/>
      <c r="C641" s="1458"/>
      <c r="D641" s="1458"/>
      <c r="E641" s="1458"/>
      <c r="F641" s="1458"/>
      <c r="G641" s="1458"/>
      <c r="H641" s="1350"/>
      <c r="I641" s="1350"/>
      <c r="J641" s="1350"/>
      <c r="K641" s="1350"/>
      <c r="L641" s="1350"/>
      <c r="M641" s="1350"/>
      <c r="N641" s="1350"/>
      <c r="O641" s="1350"/>
      <c r="P641" s="1350"/>
      <c r="Q641" s="1350"/>
      <c r="R641" s="1350"/>
      <c r="S641" s="1350"/>
      <c r="T641" s="1350"/>
      <c r="U641" s="1350"/>
      <c r="V641" s="1350"/>
      <c r="W641" s="1350"/>
      <c r="X641" s="1350"/>
      <c r="Y641" s="1350"/>
      <c r="Z641" s="1350"/>
      <c r="AA641" s="1350"/>
      <c r="AB641" s="1350"/>
      <c r="AC641" s="1350"/>
      <c r="AD641" s="1350"/>
      <c r="AE641" s="1350"/>
      <c r="AF641" s="1350"/>
      <c r="AG641" s="1350"/>
      <c r="AH641" s="1350"/>
      <c r="AI641" s="1350"/>
      <c r="AJ641" s="1350"/>
      <c r="AK641" s="1350"/>
      <c r="AL641" s="1350"/>
      <c r="AM641" s="1350"/>
      <c r="AN641" s="1350"/>
      <c r="AO641" s="1350"/>
      <c r="AP641" s="1350"/>
      <c r="AQ641" s="1350"/>
      <c r="AR641" s="1350"/>
      <c r="AS641" s="1350"/>
      <c r="AT641" s="1350"/>
      <c r="AU641" s="1350"/>
      <c r="AV641" s="1350"/>
      <c r="AW641" s="1350"/>
      <c r="AX641" s="1350"/>
      <c r="AY641" s="1350"/>
      <c r="AZ641" s="1350"/>
      <c r="BA641" s="1070"/>
      <c r="BB641" s="1070"/>
      <c r="BC641" s="1070"/>
      <c r="BD641" s="1070"/>
      <c r="BE641" s="1070"/>
      <c r="BF641" s="1070"/>
      <c r="BG641" s="1070"/>
      <c r="BH641" s="1070"/>
      <c r="BI641" s="1070"/>
      <c r="BJ641" s="1070"/>
      <c r="BK641" s="1070"/>
      <c r="BL641" s="1070"/>
      <c r="BM641" s="1070"/>
      <c r="BN641" s="1070"/>
      <c r="BO641" s="1070"/>
      <c r="BP641" s="1070"/>
      <c r="BQ641" s="1070"/>
      <c r="BR641" s="1070"/>
      <c r="BS641" s="1070"/>
      <c r="BT641" s="1070"/>
      <c r="BU641" s="1070"/>
      <c r="BV641" s="1070"/>
      <c r="BW641" s="1070"/>
      <c r="BX641" s="1070"/>
      <c r="BY641" s="1070"/>
      <c r="BZ641" s="1070"/>
      <c r="CA641" s="1070"/>
      <c r="CB641" s="1070"/>
      <c r="CC641" s="1070"/>
      <c r="CD641" s="1070"/>
      <c r="CE641" s="1070"/>
      <c r="CF641" s="1070"/>
      <c r="CG641" s="1070"/>
      <c r="CH641" s="1070"/>
      <c r="CI641" s="1070"/>
      <c r="CJ641" s="1070"/>
      <c r="CK641" s="1070"/>
      <c r="CL641" s="1070"/>
      <c r="CM641" s="1070"/>
      <c r="CN641" s="1070"/>
      <c r="CO641" s="1070"/>
      <c r="CP641" s="1070"/>
      <c r="CQ641" s="1070"/>
      <c r="CR641" s="1070"/>
      <c r="CS641" s="1070"/>
      <c r="CT641" s="1070"/>
      <c r="CU641" s="1070"/>
      <c r="CV641" s="1070"/>
      <c r="CW641" s="1070"/>
      <c r="CX641" s="1070"/>
      <c r="CY641" s="1070"/>
      <c r="CZ641" s="1070"/>
      <c r="DA641" s="1070"/>
      <c r="DB641" s="1070"/>
      <c r="DC641" s="1070"/>
      <c r="DD641" s="1070"/>
      <c r="DE641" s="1070"/>
      <c r="DF641" s="1070"/>
      <c r="DG641" s="1070"/>
      <c r="DH641" s="1070"/>
      <c r="DI641" s="1070"/>
    </row>
    <row r="642" spans="1:113" ht="31.5" x14ac:dyDescent="0.25">
      <c r="A642" s="1420" t="s">
        <v>1724</v>
      </c>
      <c r="B642" s="1451">
        <f>B401</f>
        <v>0</v>
      </c>
      <c r="C642" s="1434"/>
      <c r="D642" s="1437"/>
      <c r="E642" s="1437"/>
      <c r="F642" s="1437"/>
      <c r="G642" s="1437"/>
      <c r="H642" s="1350"/>
      <c r="I642" s="1350"/>
      <c r="J642" s="1350"/>
      <c r="K642" s="1350"/>
      <c r="L642" s="1350"/>
      <c r="M642" s="1350"/>
      <c r="N642" s="1350"/>
      <c r="O642" s="1350"/>
      <c r="P642" s="1350"/>
      <c r="Q642" s="1350"/>
      <c r="R642" s="1350"/>
      <c r="S642" s="1350"/>
      <c r="T642" s="1350"/>
      <c r="U642" s="1350"/>
      <c r="V642" s="1350"/>
      <c r="W642" s="1350"/>
      <c r="X642" s="1350"/>
      <c r="Y642" s="1350"/>
      <c r="Z642" s="1350"/>
      <c r="AA642" s="1350"/>
      <c r="AB642" s="1350"/>
      <c r="AC642" s="1350"/>
      <c r="AD642" s="1350"/>
      <c r="AE642" s="1350"/>
      <c r="AF642" s="1350"/>
      <c r="AG642" s="1350"/>
      <c r="AH642" s="1350"/>
      <c r="AI642" s="1350"/>
      <c r="AJ642" s="1350"/>
      <c r="AK642" s="1350"/>
      <c r="AL642" s="1350"/>
      <c r="AM642" s="1350"/>
      <c r="AN642" s="1350"/>
      <c r="AO642" s="1350"/>
      <c r="AP642" s="1350"/>
      <c r="AQ642" s="1350"/>
      <c r="AR642" s="1350"/>
      <c r="AS642" s="1350"/>
      <c r="AT642" s="1350"/>
      <c r="AU642" s="1350"/>
      <c r="AV642" s="1350"/>
      <c r="AW642" s="1350"/>
      <c r="AX642" s="1350"/>
      <c r="AY642" s="1350"/>
      <c r="AZ642" s="1350"/>
      <c r="BA642" s="1070"/>
      <c r="BB642" s="1070"/>
      <c r="BC642" s="1070"/>
      <c r="BD642" s="1070"/>
      <c r="BE642" s="1070"/>
      <c r="BF642" s="1070"/>
      <c r="BG642" s="1070"/>
      <c r="BH642" s="1070"/>
      <c r="BI642" s="1070"/>
      <c r="BJ642" s="1070"/>
      <c r="BK642" s="1070"/>
      <c r="BL642" s="1070"/>
      <c r="BM642" s="1070"/>
      <c r="BN642" s="1070"/>
      <c r="BO642" s="1070"/>
      <c r="BP642" s="1070"/>
      <c r="BQ642" s="1070"/>
      <c r="BR642" s="1070"/>
      <c r="BS642" s="1070"/>
      <c r="BT642" s="1070"/>
      <c r="BU642" s="1070"/>
      <c r="BV642" s="1070"/>
      <c r="BW642" s="1070"/>
      <c r="BX642" s="1070"/>
      <c r="BY642" s="1070"/>
      <c r="BZ642" s="1070"/>
      <c r="CA642" s="1070"/>
      <c r="CB642" s="1070"/>
      <c r="CC642" s="1070"/>
      <c r="CD642" s="1070"/>
      <c r="CE642" s="1070"/>
      <c r="CF642" s="1070"/>
      <c r="CG642" s="1070"/>
      <c r="CH642" s="1070"/>
      <c r="CI642" s="1070"/>
      <c r="CJ642" s="1070"/>
      <c r="CK642" s="1070"/>
      <c r="CL642" s="1070"/>
      <c r="CM642" s="1070"/>
      <c r="CN642" s="1070"/>
      <c r="CO642" s="1070"/>
      <c r="CP642" s="1070"/>
      <c r="CQ642" s="1070"/>
      <c r="CR642" s="1070"/>
      <c r="CS642" s="1070"/>
      <c r="CT642" s="1070"/>
      <c r="CU642" s="1070"/>
      <c r="CV642" s="1070"/>
      <c r="CW642" s="1070"/>
      <c r="CX642" s="1070"/>
      <c r="CY642" s="1070"/>
      <c r="CZ642" s="1070"/>
      <c r="DA642" s="1070"/>
      <c r="DB642" s="1070"/>
      <c r="DC642" s="1070"/>
      <c r="DD642" s="1070"/>
      <c r="DE642" s="1070"/>
      <c r="DF642" s="1070"/>
      <c r="DG642" s="1070"/>
      <c r="DH642" s="1070"/>
      <c r="DI642" s="1070"/>
    </row>
    <row r="643" spans="1:113" ht="15.75" x14ac:dyDescent="0.25">
      <c r="A643" s="1420" t="s">
        <v>1725</v>
      </c>
      <c r="B643" s="1443">
        <f>IF(B642=1,1.15,1)</f>
        <v>1</v>
      </c>
      <c r="C643" s="1437"/>
      <c r="D643" s="1429"/>
      <c r="E643" s="1429"/>
      <c r="F643" s="1429"/>
      <c r="G643" s="1429"/>
      <c r="H643" s="1350"/>
      <c r="I643" s="1350"/>
      <c r="J643" s="1350"/>
      <c r="K643" s="1350"/>
      <c r="L643" s="1350"/>
      <c r="M643" s="1350"/>
      <c r="N643" s="1350"/>
      <c r="O643" s="1350"/>
      <c r="P643" s="1350"/>
      <c r="Q643" s="1350"/>
      <c r="R643" s="1350"/>
      <c r="S643" s="1350"/>
      <c r="T643" s="1350"/>
      <c r="U643" s="1350"/>
      <c r="V643" s="1350"/>
      <c r="W643" s="1350"/>
      <c r="X643" s="1350"/>
      <c r="Y643" s="1350"/>
      <c r="Z643" s="1350"/>
      <c r="AA643" s="1350"/>
      <c r="AB643" s="1350"/>
      <c r="AC643" s="1350"/>
      <c r="AD643" s="1350"/>
      <c r="AE643" s="1350"/>
      <c r="AF643" s="1350"/>
      <c r="AG643" s="1350"/>
      <c r="AH643" s="1350"/>
      <c r="AI643" s="1350"/>
      <c r="AJ643" s="1350"/>
      <c r="AK643" s="1350"/>
      <c r="AL643" s="1350"/>
      <c r="AM643" s="1350"/>
      <c r="AN643" s="1350"/>
      <c r="AO643" s="1350"/>
      <c r="AP643" s="1350"/>
      <c r="AQ643" s="1350"/>
      <c r="AR643" s="1350"/>
      <c r="AS643" s="1350"/>
      <c r="AT643" s="1350"/>
      <c r="AU643" s="1350"/>
      <c r="AV643" s="1350"/>
      <c r="AW643" s="1350"/>
      <c r="AX643" s="1350"/>
      <c r="AY643" s="1350"/>
      <c r="AZ643" s="1350"/>
      <c r="BA643" s="1070"/>
      <c r="BB643" s="1070"/>
      <c r="BC643" s="1070"/>
      <c r="BD643" s="1070"/>
      <c r="BE643" s="1070"/>
      <c r="BF643" s="1070"/>
      <c r="BG643" s="1070"/>
      <c r="BH643" s="1070"/>
      <c r="BI643" s="1070"/>
      <c r="BJ643" s="1070"/>
      <c r="BK643" s="1070"/>
      <c r="BL643" s="1070"/>
      <c r="BM643" s="1070"/>
      <c r="BN643" s="1070"/>
      <c r="BO643" s="1070"/>
      <c r="BP643" s="1070"/>
      <c r="BQ643" s="1070"/>
      <c r="BR643" s="1070"/>
      <c r="BS643" s="1070"/>
      <c r="BT643" s="1070"/>
      <c r="BU643" s="1070"/>
      <c r="BV643" s="1070"/>
      <c r="BW643" s="1070"/>
      <c r="BX643" s="1070"/>
      <c r="BY643" s="1070"/>
      <c r="BZ643" s="1070"/>
      <c r="CA643" s="1070"/>
      <c r="CB643" s="1070"/>
      <c r="CC643" s="1070"/>
      <c r="CD643" s="1070"/>
      <c r="CE643" s="1070"/>
      <c r="CF643" s="1070"/>
      <c r="CG643" s="1070"/>
      <c r="CH643" s="1070"/>
      <c r="CI643" s="1070"/>
      <c r="CJ643" s="1070"/>
      <c r="CK643" s="1070"/>
      <c r="CL643" s="1070"/>
      <c r="CM643" s="1070"/>
      <c r="CN643" s="1070"/>
      <c r="CO643" s="1070"/>
      <c r="CP643" s="1070"/>
      <c r="CQ643" s="1070"/>
      <c r="CR643" s="1070"/>
      <c r="CS643" s="1070"/>
      <c r="CT643" s="1070"/>
      <c r="CU643" s="1070"/>
      <c r="CV643" s="1070"/>
      <c r="CW643" s="1070"/>
      <c r="CX643" s="1070"/>
      <c r="CY643" s="1070"/>
      <c r="CZ643" s="1070"/>
      <c r="DA643" s="1070"/>
      <c r="DB643" s="1070"/>
      <c r="DC643" s="1070"/>
      <c r="DD643" s="1070"/>
      <c r="DE643" s="1070"/>
      <c r="DF643" s="1070"/>
      <c r="DG643" s="1070"/>
      <c r="DH643" s="1070"/>
      <c r="DI643" s="1070"/>
    </row>
    <row r="644" spans="1:113" ht="31.5" x14ac:dyDescent="0.25">
      <c r="A644" s="1420" t="s">
        <v>5573</v>
      </c>
      <c r="B644" s="1451">
        <f>B403</f>
        <v>0</v>
      </c>
      <c r="C644" s="1434"/>
      <c r="D644" s="1350"/>
      <c r="E644" s="1350"/>
      <c r="F644" s="1350"/>
      <c r="G644" s="1350"/>
      <c r="H644" s="1350"/>
      <c r="I644" s="1350"/>
      <c r="J644" s="1350"/>
      <c r="K644" s="1350"/>
      <c r="L644" s="1350"/>
      <c r="M644" s="1350"/>
      <c r="N644" s="1350"/>
      <c r="O644" s="1350"/>
      <c r="P644" s="1350"/>
      <c r="Q644" s="1350"/>
      <c r="R644" s="1350"/>
      <c r="S644" s="1350"/>
      <c r="T644" s="1350"/>
      <c r="U644" s="1350"/>
      <c r="V644" s="1350"/>
      <c r="W644" s="1350"/>
      <c r="X644" s="1350"/>
      <c r="Y644" s="1350"/>
      <c r="Z644" s="1350"/>
      <c r="AA644" s="1350"/>
      <c r="AB644" s="1350"/>
      <c r="AC644" s="1350"/>
      <c r="AD644" s="1350"/>
      <c r="AE644" s="1350"/>
      <c r="AF644" s="1350"/>
      <c r="AG644" s="1350"/>
      <c r="AH644" s="1350"/>
      <c r="AI644" s="1350"/>
      <c r="AJ644" s="1350"/>
      <c r="AK644" s="1350"/>
      <c r="AL644" s="1350"/>
      <c r="AM644" s="1350"/>
      <c r="AN644" s="1350"/>
      <c r="AO644" s="1350"/>
      <c r="AP644" s="1350"/>
      <c r="AQ644" s="1350"/>
      <c r="AR644" s="1350"/>
      <c r="AS644" s="1350"/>
      <c r="AT644" s="1350"/>
      <c r="AU644" s="1350"/>
      <c r="AV644" s="1350"/>
      <c r="AW644" s="1350"/>
      <c r="AX644" s="1350"/>
      <c r="AY644" s="1350"/>
      <c r="AZ644" s="1350"/>
      <c r="BA644" s="1070"/>
      <c r="BB644" s="1070"/>
      <c r="BC644" s="1070"/>
      <c r="BD644" s="1070"/>
      <c r="BE644" s="1070"/>
      <c r="BF644" s="1070"/>
      <c r="BG644" s="1070"/>
      <c r="BH644" s="1070"/>
      <c r="BI644" s="1070"/>
      <c r="BJ644" s="1070"/>
      <c r="BK644" s="1070"/>
      <c r="BL644" s="1070"/>
      <c r="BM644" s="1070"/>
      <c r="BN644" s="1070"/>
      <c r="BO644" s="1070"/>
      <c r="BP644" s="1070"/>
      <c r="BQ644" s="1070"/>
      <c r="BR644" s="1070"/>
      <c r="BS644" s="1070"/>
      <c r="BT644" s="1070"/>
      <c r="BU644" s="1070"/>
      <c r="BV644" s="1070"/>
      <c r="BW644" s="1070"/>
      <c r="BX644" s="1070"/>
      <c r="BY644" s="1070"/>
      <c r="BZ644" s="1070"/>
      <c r="CA644" s="1070"/>
      <c r="CB644" s="1070"/>
      <c r="CC644" s="1070"/>
      <c r="CD644" s="1070"/>
      <c r="CE644" s="1070"/>
      <c r="CF644" s="1070"/>
      <c r="CG644" s="1070"/>
      <c r="CH644" s="1070"/>
      <c r="CI644" s="1070"/>
      <c r="CJ644" s="1070"/>
      <c r="CK644" s="1070"/>
      <c r="CL644" s="1070"/>
      <c r="CM644" s="1070"/>
      <c r="CN644" s="1070"/>
      <c r="CO644" s="1070"/>
      <c r="CP644" s="1070"/>
      <c r="CQ644" s="1070"/>
      <c r="CR644" s="1070"/>
      <c r="CS644" s="1070"/>
      <c r="CT644" s="1070"/>
      <c r="CU644" s="1070"/>
      <c r="CV644" s="1070"/>
      <c r="CW644" s="1070"/>
      <c r="CX644" s="1070"/>
      <c r="CY644" s="1070"/>
      <c r="CZ644" s="1070"/>
      <c r="DA644" s="1070"/>
      <c r="DB644" s="1070"/>
      <c r="DC644" s="1070"/>
      <c r="DD644" s="1070"/>
      <c r="DE644" s="1070"/>
      <c r="DF644" s="1070"/>
      <c r="DG644" s="1070"/>
      <c r="DH644" s="1070"/>
      <c r="DI644" s="1070"/>
    </row>
    <row r="645" spans="1:113" ht="15.75" x14ac:dyDescent="0.25">
      <c r="A645" s="1420" t="s">
        <v>2636</v>
      </c>
      <c r="B645" s="1443">
        <f>IF(B644=1,1.15,1)</f>
        <v>1</v>
      </c>
      <c r="C645" s="1437"/>
      <c r="D645" s="1434"/>
      <c r="E645" s="1434"/>
      <c r="F645" s="1434"/>
      <c r="G645" s="1434"/>
      <c r="H645" s="1350"/>
      <c r="I645" s="1350"/>
      <c r="J645" s="1350"/>
      <c r="K645" s="1350"/>
      <c r="L645" s="1350"/>
      <c r="M645" s="1350"/>
      <c r="N645" s="1350"/>
      <c r="O645" s="1350"/>
      <c r="P645" s="1350"/>
      <c r="Q645" s="1350"/>
      <c r="R645" s="1350"/>
      <c r="S645" s="1350"/>
      <c r="T645" s="1350"/>
      <c r="U645" s="1350"/>
      <c r="V645" s="1350"/>
      <c r="W645" s="1350"/>
      <c r="X645" s="1350"/>
      <c r="Y645" s="1350"/>
      <c r="Z645" s="1350"/>
      <c r="AA645" s="1350"/>
      <c r="AB645" s="1350"/>
      <c r="AC645" s="1350"/>
      <c r="AD645" s="1350"/>
      <c r="AE645" s="1350"/>
      <c r="AF645" s="1350"/>
      <c r="AG645" s="1350"/>
      <c r="AH645" s="1350"/>
      <c r="AI645" s="1350"/>
      <c r="AJ645" s="1350"/>
      <c r="AK645" s="1350"/>
      <c r="AL645" s="1350"/>
      <c r="AM645" s="1350"/>
      <c r="AN645" s="1350"/>
      <c r="AO645" s="1350"/>
      <c r="AP645" s="1350"/>
      <c r="AQ645" s="1350"/>
      <c r="AR645" s="1350"/>
      <c r="AS645" s="1350"/>
      <c r="AT645" s="1350"/>
      <c r="AU645" s="1350"/>
      <c r="AV645" s="1350"/>
      <c r="AW645" s="1350"/>
      <c r="AX645" s="1350"/>
      <c r="AY645" s="1350"/>
      <c r="AZ645" s="1350"/>
      <c r="BA645" s="1070"/>
      <c r="BB645" s="1070"/>
      <c r="BC645" s="1070"/>
      <c r="BD645" s="1070"/>
      <c r="BE645" s="1070"/>
      <c r="BF645" s="1070"/>
      <c r="BG645" s="1070"/>
      <c r="BH645" s="1070"/>
      <c r="BI645" s="1070"/>
      <c r="BJ645" s="1070"/>
      <c r="BK645" s="1070"/>
      <c r="BL645" s="1070"/>
      <c r="BM645" s="1070"/>
      <c r="BN645" s="1070"/>
      <c r="BO645" s="1070"/>
      <c r="BP645" s="1070"/>
      <c r="BQ645" s="1070"/>
      <c r="BR645" s="1070"/>
      <c r="BS645" s="1070"/>
      <c r="BT645" s="1070"/>
      <c r="BU645" s="1070"/>
      <c r="BV645" s="1070"/>
      <c r="BW645" s="1070"/>
      <c r="BX645" s="1070"/>
      <c r="BY645" s="1070"/>
      <c r="BZ645" s="1070"/>
      <c r="CA645" s="1070"/>
      <c r="CB645" s="1070"/>
      <c r="CC645" s="1070"/>
      <c r="CD645" s="1070"/>
      <c r="CE645" s="1070"/>
      <c r="CF645" s="1070"/>
      <c r="CG645" s="1070"/>
      <c r="CH645" s="1070"/>
      <c r="CI645" s="1070"/>
      <c r="CJ645" s="1070"/>
      <c r="CK645" s="1070"/>
      <c r="CL645" s="1070"/>
      <c r="CM645" s="1070"/>
      <c r="CN645" s="1070"/>
      <c r="CO645" s="1070"/>
      <c r="CP645" s="1070"/>
      <c r="CQ645" s="1070"/>
      <c r="CR645" s="1070"/>
      <c r="CS645" s="1070"/>
      <c r="CT645" s="1070"/>
      <c r="CU645" s="1070"/>
      <c r="CV645" s="1070"/>
      <c r="CW645" s="1070"/>
      <c r="CX645" s="1070"/>
      <c r="CY645" s="1070"/>
      <c r="CZ645" s="1070"/>
      <c r="DA645" s="1070"/>
      <c r="DB645" s="1070"/>
      <c r="DC645" s="1070"/>
      <c r="DD645" s="1070"/>
      <c r="DE645" s="1070"/>
      <c r="DF645" s="1070"/>
      <c r="DG645" s="1070"/>
      <c r="DH645" s="1070"/>
      <c r="DI645" s="1070"/>
    </row>
    <row r="646" spans="1:113" ht="31.5" x14ac:dyDescent="0.25">
      <c r="A646" s="1420" t="s">
        <v>2637</v>
      </c>
      <c r="B646" s="1443">
        <f>IF(B322&lt;2,0.85,1)</f>
        <v>1</v>
      </c>
      <c r="C646" s="1437"/>
      <c r="D646" s="1434"/>
      <c r="E646" s="1434"/>
      <c r="F646" s="1434"/>
      <c r="G646" s="1434"/>
      <c r="H646" s="1350"/>
      <c r="I646" s="1350"/>
      <c r="J646" s="1350"/>
      <c r="K646" s="1350"/>
      <c r="L646" s="1350"/>
      <c r="M646" s="1350"/>
      <c r="N646" s="1350"/>
      <c r="O646" s="1350"/>
      <c r="P646" s="1350"/>
      <c r="Q646" s="1350"/>
      <c r="R646" s="1350"/>
      <c r="S646" s="1350"/>
      <c r="T646" s="1350"/>
      <c r="U646" s="1350"/>
      <c r="V646" s="1350"/>
      <c r="W646" s="1350"/>
      <c r="X646" s="1350"/>
      <c r="Y646" s="1350"/>
      <c r="Z646" s="1350"/>
      <c r="AA646" s="1350"/>
      <c r="AB646" s="1350"/>
      <c r="AC646" s="1350"/>
      <c r="AD646" s="1350"/>
      <c r="AE646" s="1350"/>
      <c r="AF646" s="1350"/>
      <c r="AG646" s="1350"/>
      <c r="AH646" s="1350"/>
      <c r="AI646" s="1350"/>
      <c r="AJ646" s="1350"/>
      <c r="AK646" s="1350"/>
      <c r="AL646" s="1350"/>
      <c r="AM646" s="1350"/>
      <c r="AN646" s="1350"/>
      <c r="AO646" s="1350"/>
      <c r="AP646" s="1350"/>
      <c r="AQ646" s="1350"/>
      <c r="AR646" s="1350"/>
      <c r="AS646" s="1350"/>
      <c r="AT646" s="1350"/>
      <c r="AU646" s="1350"/>
      <c r="AV646" s="1350"/>
      <c r="AW646" s="1350"/>
      <c r="AX646" s="1350"/>
      <c r="AY646" s="1350"/>
      <c r="AZ646" s="1350"/>
      <c r="BA646" s="1070"/>
      <c r="BB646" s="1070"/>
      <c r="BC646" s="1070"/>
      <c r="BD646" s="1070"/>
      <c r="BE646" s="1070"/>
      <c r="BF646" s="1070"/>
      <c r="BG646" s="1070"/>
      <c r="BH646" s="1070"/>
      <c r="BI646" s="1070"/>
      <c r="BJ646" s="1070"/>
      <c r="BK646" s="1070"/>
      <c r="BL646" s="1070"/>
      <c r="BM646" s="1070"/>
      <c r="BN646" s="1070"/>
      <c r="BO646" s="1070"/>
      <c r="BP646" s="1070"/>
      <c r="BQ646" s="1070"/>
      <c r="BR646" s="1070"/>
      <c r="BS646" s="1070"/>
      <c r="BT646" s="1070"/>
      <c r="BU646" s="1070"/>
      <c r="BV646" s="1070"/>
      <c r="BW646" s="1070"/>
      <c r="BX646" s="1070"/>
      <c r="BY646" s="1070"/>
      <c r="BZ646" s="1070"/>
      <c r="CA646" s="1070"/>
      <c r="CB646" s="1070"/>
      <c r="CC646" s="1070"/>
      <c r="CD646" s="1070"/>
      <c r="CE646" s="1070"/>
      <c r="CF646" s="1070"/>
      <c r="CG646" s="1070"/>
      <c r="CH646" s="1070"/>
      <c r="CI646" s="1070"/>
      <c r="CJ646" s="1070"/>
      <c r="CK646" s="1070"/>
      <c r="CL646" s="1070"/>
      <c r="CM646" s="1070"/>
      <c r="CN646" s="1070"/>
      <c r="CO646" s="1070"/>
      <c r="CP646" s="1070"/>
      <c r="CQ646" s="1070"/>
      <c r="CR646" s="1070"/>
      <c r="CS646" s="1070"/>
      <c r="CT646" s="1070"/>
      <c r="CU646" s="1070"/>
      <c r="CV646" s="1070"/>
      <c r="CW646" s="1070"/>
      <c r="CX646" s="1070"/>
      <c r="CY646" s="1070"/>
      <c r="CZ646" s="1070"/>
      <c r="DA646" s="1070"/>
      <c r="DB646" s="1070"/>
      <c r="DC646" s="1070"/>
      <c r="DD646" s="1070"/>
      <c r="DE646" s="1070"/>
      <c r="DF646" s="1070"/>
      <c r="DG646" s="1070"/>
      <c r="DH646" s="1070"/>
      <c r="DI646" s="1070"/>
    </row>
    <row r="647" spans="1:113" ht="15.75" x14ac:dyDescent="0.25">
      <c r="A647" s="1420" t="s">
        <v>1743</v>
      </c>
      <c r="B647" s="1507">
        <v>0.7</v>
      </c>
      <c r="C647" s="1458"/>
      <c r="D647" s="1434"/>
      <c r="E647" s="1434"/>
      <c r="F647" s="1434"/>
      <c r="G647" s="1434"/>
      <c r="H647" s="1350"/>
      <c r="I647" s="1350"/>
      <c r="J647" s="1350"/>
      <c r="K647" s="1350"/>
      <c r="L647" s="1350"/>
      <c r="M647" s="1350"/>
      <c r="N647" s="1350"/>
      <c r="O647" s="1350"/>
      <c r="P647" s="1350"/>
      <c r="Q647" s="1350"/>
      <c r="R647" s="1350"/>
      <c r="S647" s="1350"/>
      <c r="T647" s="1350"/>
      <c r="U647" s="1350"/>
      <c r="V647" s="1350"/>
      <c r="W647" s="1350"/>
      <c r="X647" s="1350"/>
      <c r="Y647" s="1350"/>
      <c r="Z647" s="1350"/>
      <c r="AA647" s="1350"/>
      <c r="AB647" s="1350"/>
      <c r="AC647" s="1350"/>
      <c r="AD647" s="1350"/>
      <c r="AE647" s="1350"/>
      <c r="AF647" s="1350"/>
      <c r="AG647" s="1350"/>
      <c r="AH647" s="1350"/>
      <c r="AI647" s="1350"/>
      <c r="AJ647" s="1350"/>
      <c r="AK647" s="1350"/>
      <c r="AL647" s="1350"/>
      <c r="AM647" s="1350"/>
      <c r="AN647" s="1350"/>
      <c r="AO647" s="1350"/>
      <c r="AP647" s="1350"/>
      <c r="AQ647" s="1350"/>
      <c r="AR647" s="1350"/>
      <c r="AS647" s="1350"/>
      <c r="AT647" s="1350"/>
      <c r="AU647" s="1350"/>
      <c r="AV647" s="1350"/>
      <c r="AW647" s="1350"/>
      <c r="AX647" s="1350"/>
      <c r="AY647" s="1350"/>
      <c r="AZ647" s="1350"/>
      <c r="BA647" s="1070"/>
      <c r="BB647" s="1070"/>
      <c r="BC647" s="1070"/>
      <c r="BD647" s="1070"/>
      <c r="BE647" s="1070"/>
      <c r="BF647" s="1070"/>
      <c r="BG647" s="1070"/>
      <c r="BH647" s="1070"/>
      <c r="BI647" s="1070"/>
      <c r="BJ647" s="1070"/>
      <c r="BK647" s="1070"/>
      <c r="BL647" s="1070"/>
      <c r="BM647" s="1070"/>
      <c r="BN647" s="1070"/>
      <c r="BO647" s="1070"/>
      <c r="BP647" s="1070"/>
      <c r="BQ647" s="1070"/>
      <c r="BR647" s="1070"/>
      <c r="BS647" s="1070"/>
      <c r="BT647" s="1070"/>
      <c r="BU647" s="1070"/>
      <c r="BV647" s="1070"/>
      <c r="BW647" s="1070"/>
      <c r="BX647" s="1070"/>
      <c r="BY647" s="1070"/>
      <c r="BZ647" s="1070"/>
      <c r="CA647" s="1070"/>
      <c r="CB647" s="1070"/>
      <c r="CC647" s="1070"/>
      <c r="CD647" s="1070"/>
      <c r="CE647" s="1070"/>
      <c r="CF647" s="1070"/>
      <c r="CG647" s="1070"/>
      <c r="CH647" s="1070"/>
      <c r="CI647" s="1070"/>
      <c r="CJ647" s="1070"/>
      <c r="CK647" s="1070"/>
      <c r="CL647" s="1070"/>
      <c r="CM647" s="1070"/>
      <c r="CN647" s="1070"/>
      <c r="CO647" s="1070"/>
      <c r="CP647" s="1070"/>
      <c r="CQ647" s="1070"/>
      <c r="CR647" s="1070"/>
      <c r="CS647" s="1070"/>
      <c r="CT647" s="1070"/>
      <c r="CU647" s="1070"/>
      <c r="CV647" s="1070"/>
      <c r="CW647" s="1070"/>
      <c r="CX647" s="1070"/>
      <c r="CY647" s="1070"/>
      <c r="CZ647" s="1070"/>
      <c r="DA647" s="1070"/>
      <c r="DB647" s="1070"/>
      <c r="DC647" s="1070"/>
      <c r="DD647" s="1070"/>
      <c r="DE647" s="1070"/>
      <c r="DF647" s="1070"/>
      <c r="DG647" s="1070"/>
      <c r="DH647" s="1070"/>
      <c r="DI647" s="1070"/>
    </row>
    <row r="648" spans="1:113" ht="31.5" x14ac:dyDescent="0.25">
      <c r="A648" s="1420" t="s">
        <v>202</v>
      </c>
      <c r="B648" s="1443">
        <f>IF(B634&lt;2,0.8,0.7)</f>
        <v>0.7</v>
      </c>
      <c r="C648" s="1437"/>
      <c r="D648" s="1350"/>
      <c r="E648" s="1350"/>
      <c r="F648" s="1350"/>
      <c r="G648" s="1350"/>
      <c r="H648" s="1350"/>
      <c r="I648" s="1350"/>
      <c r="J648" s="1350"/>
      <c r="K648" s="1350"/>
      <c r="L648" s="1350"/>
      <c r="M648" s="1350"/>
      <c r="N648" s="1350"/>
      <c r="O648" s="1350"/>
      <c r="P648" s="1350"/>
      <c r="Q648" s="1350"/>
      <c r="R648" s="1350"/>
      <c r="S648" s="1350"/>
      <c r="T648" s="1350"/>
      <c r="U648" s="1350"/>
      <c r="V648" s="1350"/>
      <c r="W648" s="1350"/>
      <c r="X648" s="1350"/>
      <c r="Y648" s="1350"/>
      <c r="Z648" s="1350"/>
      <c r="AA648" s="1350"/>
      <c r="AB648" s="1350"/>
      <c r="AC648" s="1350"/>
      <c r="AD648" s="1350"/>
      <c r="AE648" s="1350"/>
      <c r="AF648" s="1350"/>
      <c r="AG648" s="1350"/>
      <c r="AH648" s="1350"/>
      <c r="AI648" s="1350"/>
      <c r="AJ648" s="1350"/>
      <c r="AK648" s="1350"/>
      <c r="AL648" s="1350"/>
      <c r="AM648" s="1350"/>
      <c r="AN648" s="1350"/>
      <c r="AO648" s="1350"/>
      <c r="AP648" s="1350"/>
      <c r="AQ648" s="1350"/>
      <c r="AR648" s="1350"/>
      <c r="AS648" s="1350"/>
      <c r="AT648" s="1350"/>
      <c r="AU648" s="1350"/>
      <c r="AV648" s="1350"/>
      <c r="AW648" s="1350"/>
      <c r="AX648" s="1350"/>
      <c r="AY648" s="1350"/>
      <c r="AZ648" s="1350"/>
      <c r="BA648" s="1070"/>
      <c r="BB648" s="1070"/>
      <c r="BC648" s="1070"/>
      <c r="BD648" s="1070"/>
      <c r="BE648" s="1070"/>
      <c r="BF648" s="1070"/>
      <c r="BG648" s="1070"/>
      <c r="BH648" s="1070"/>
      <c r="BI648" s="1070"/>
      <c r="BJ648" s="1070"/>
      <c r="BK648" s="1070"/>
      <c r="BL648" s="1070"/>
      <c r="BM648" s="1070"/>
      <c r="BN648" s="1070"/>
      <c r="BO648" s="1070"/>
      <c r="BP648" s="1070"/>
      <c r="BQ648" s="1070"/>
      <c r="BR648" s="1070"/>
      <c r="BS648" s="1070"/>
      <c r="BT648" s="1070"/>
      <c r="BU648" s="1070"/>
      <c r="BV648" s="1070"/>
      <c r="BW648" s="1070"/>
      <c r="BX648" s="1070"/>
      <c r="BY648" s="1070"/>
      <c r="BZ648" s="1070"/>
      <c r="CA648" s="1070"/>
      <c r="CB648" s="1070"/>
      <c r="CC648" s="1070"/>
      <c r="CD648" s="1070"/>
      <c r="CE648" s="1070"/>
      <c r="CF648" s="1070"/>
      <c r="CG648" s="1070"/>
      <c r="CH648" s="1070"/>
      <c r="CI648" s="1070"/>
      <c r="CJ648" s="1070"/>
      <c r="CK648" s="1070"/>
      <c r="CL648" s="1070"/>
      <c r="CM648" s="1070"/>
      <c r="CN648" s="1070"/>
      <c r="CO648" s="1070"/>
      <c r="CP648" s="1070"/>
      <c r="CQ648" s="1070"/>
      <c r="CR648" s="1070"/>
      <c r="CS648" s="1070"/>
      <c r="CT648" s="1070"/>
      <c r="CU648" s="1070"/>
      <c r="CV648" s="1070"/>
      <c r="CW648" s="1070"/>
      <c r="CX648" s="1070"/>
      <c r="CY648" s="1070"/>
      <c r="CZ648" s="1070"/>
      <c r="DA648" s="1070"/>
      <c r="DB648" s="1070"/>
      <c r="DC648" s="1070"/>
      <c r="DD648" s="1070"/>
      <c r="DE648" s="1070"/>
      <c r="DF648" s="1070"/>
      <c r="DG648" s="1070"/>
      <c r="DH648" s="1070"/>
      <c r="DI648" s="1070"/>
    </row>
    <row r="649" spans="1:113" ht="15.75" x14ac:dyDescent="0.25">
      <c r="A649" s="1420" t="s">
        <v>203</v>
      </c>
      <c r="B649" s="1439" t="e">
        <f>B636*B643*B645*B646*B647*B648*B341</f>
        <v>#VALUE!</v>
      </c>
      <c r="C649" s="1432"/>
      <c r="D649" s="1434"/>
      <c r="E649" s="1434"/>
      <c r="F649" s="1434"/>
      <c r="G649" s="1434"/>
      <c r="H649" s="1350"/>
      <c r="I649" s="1350"/>
      <c r="J649" s="1350"/>
      <c r="K649" s="1350"/>
      <c r="L649" s="1350"/>
      <c r="M649" s="1350"/>
      <c r="N649" s="1350"/>
      <c r="O649" s="1350"/>
      <c r="P649" s="1350"/>
      <c r="Q649" s="1350"/>
      <c r="R649" s="1350"/>
      <c r="S649" s="1350"/>
      <c r="T649" s="1350"/>
      <c r="U649" s="1350"/>
      <c r="V649" s="1350"/>
      <c r="W649" s="1350"/>
      <c r="X649" s="1350"/>
      <c r="Y649" s="1350"/>
      <c r="Z649" s="1350"/>
      <c r="AA649" s="1350"/>
      <c r="AB649" s="1350"/>
      <c r="AC649" s="1350"/>
      <c r="AD649" s="1350"/>
      <c r="AE649" s="1350"/>
      <c r="AF649" s="1350"/>
      <c r="AG649" s="1350"/>
      <c r="AH649" s="1350"/>
      <c r="AI649" s="1350"/>
      <c r="AJ649" s="1350"/>
      <c r="AK649" s="1350"/>
      <c r="AL649" s="1350"/>
      <c r="AM649" s="1350"/>
      <c r="AN649" s="1350"/>
      <c r="AO649" s="1350"/>
      <c r="AP649" s="1350"/>
      <c r="AQ649" s="1350"/>
      <c r="AR649" s="1350"/>
      <c r="AS649" s="1350"/>
      <c r="AT649" s="1350"/>
      <c r="AU649" s="1350"/>
      <c r="AV649" s="1350"/>
      <c r="AW649" s="1350"/>
      <c r="AX649" s="1350"/>
      <c r="AY649" s="1350"/>
      <c r="AZ649" s="1350"/>
      <c r="BA649" s="1070"/>
      <c r="BB649" s="1070"/>
      <c r="BC649" s="1070"/>
      <c r="BD649" s="1070"/>
      <c r="BE649" s="1070"/>
      <c r="BF649" s="1070"/>
      <c r="BG649" s="1070"/>
      <c r="BH649" s="1070"/>
      <c r="BI649" s="1070"/>
      <c r="BJ649" s="1070"/>
      <c r="BK649" s="1070"/>
      <c r="BL649" s="1070"/>
      <c r="BM649" s="1070"/>
      <c r="BN649" s="1070"/>
      <c r="BO649" s="1070"/>
      <c r="BP649" s="1070"/>
      <c r="BQ649" s="1070"/>
      <c r="BR649" s="1070"/>
      <c r="BS649" s="1070"/>
      <c r="BT649" s="1070"/>
      <c r="BU649" s="1070"/>
      <c r="BV649" s="1070"/>
      <c r="BW649" s="1070"/>
      <c r="BX649" s="1070"/>
      <c r="BY649" s="1070"/>
      <c r="BZ649" s="1070"/>
      <c r="CA649" s="1070"/>
      <c r="CB649" s="1070"/>
      <c r="CC649" s="1070"/>
      <c r="CD649" s="1070"/>
      <c r="CE649" s="1070"/>
      <c r="CF649" s="1070"/>
      <c r="CG649" s="1070"/>
      <c r="CH649" s="1070"/>
      <c r="CI649" s="1070"/>
      <c r="CJ649" s="1070"/>
      <c r="CK649" s="1070"/>
      <c r="CL649" s="1070"/>
      <c r="CM649" s="1070"/>
      <c r="CN649" s="1070"/>
      <c r="CO649" s="1070"/>
      <c r="CP649" s="1070"/>
      <c r="CQ649" s="1070"/>
      <c r="CR649" s="1070"/>
      <c r="CS649" s="1070"/>
      <c r="CT649" s="1070"/>
      <c r="CU649" s="1070"/>
      <c r="CV649" s="1070"/>
      <c r="CW649" s="1070"/>
      <c r="CX649" s="1070"/>
      <c r="CY649" s="1070"/>
      <c r="CZ649" s="1070"/>
      <c r="DA649" s="1070"/>
      <c r="DB649" s="1070"/>
      <c r="DC649" s="1070"/>
      <c r="DD649" s="1070"/>
      <c r="DE649" s="1070"/>
      <c r="DF649" s="1070"/>
      <c r="DG649" s="1070"/>
      <c r="DH649" s="1070"/>
      <c r="DI649" s="1070"/>
    </row>
    <row r="650" spans="1:113" ht="15.75" x14ac:dyDescent="0.25">
      <c r="A650" s="1461" t="s">
        <v>429</v>
      </c>
      <c r="B650" s="1439" t="e">
        <f>B635/B649</f>
        <v>#DIV/0!</v>
      </c>
      <c r="C650" s="1432"/>
      <c r="D650" s="1437"/>
      <c r="E650" s="1437"/>
      <c r="F650" s="1437"/>
      <c r="G650" s="1437"/>
      <c r="H650" s="1350"/>
      <c r="I650" s="1350"/>
      <c r="J650" s="1350"/>
      <c r="K650" s="1350"/>
      <c r="L650" s="1350"/>
      <c r="M650" s="1350"/>
      <c r="N650" s="1350"/>
      <c r="O650" s="1350"/>
      <c r="P650" s="1350"/>
      <c r="Q650" s="1350"/>
      <c r="R650" s="1350"/>
      <c r="S650" s="1350"/>
      <c r="T650" s="1350"/>
      <c r="U650" s="1350"/>
      <c r="V650" s="1350"/>
      <c r="W650" s="1350"/>
      <c r="X650" s="1350"/>
      <c r="Y650" s="1350"/>
      <c r="Z650" s="1350"/>
      <c r="AA650" s="1350"/>
      <c r="AB650" s="1350"/>
      <c r="AC650" s="1350"/>
      <c r="AD650" s="1350"/>
      <c r="AE650" s="1350"/>
      <c r="AF650" s="1350"/>
      <c r="AG650" s="1350"/>
      <c r="AH650" s="1350"/>
      <c r="AI650" s="1350"/>
      <c r="AJ650" s="1350"/>
      <c r="AK650" s="1350"/>
      <c r="AL650" s="1350"/>
      <c r="AM650" s="1350"/>
      <c r="AN650" s="1350"/>
      <c r="AO650" s="1350"/>
      <c r="AP650" s="1350"/>
      <c r="AQ650" s="1350"/>
      <c r="AR650" s="1350"/>
      <c r="AS650" s="1350"/>
      <c r="AT650" s="1350"/>
      <c r="AU650" s="1350"/>
      <c r="AV650" s="1350"/>
      <c r="AW650" s="1350"/>
      <c r="AX650" s="1350"/>
      <c r="AY650" s="1350"/>
      <c r="AZ650" s="1350"/>
      <c r="BA650" s="1070"/>
      <c r="BB650" s="1070"/>
      <c r="BC650" s="1070"/>
      <c r="BD650" s="1070"/>
      <c r="BE650" s="1070"/>
      <c r="BF650" s="1070"/>
      <c r="BG650" s="1070"/>
      <c r="BH650" s="1070"/>
      <c r="BI650" s="1070"/>
      <c r="BJ650" s="1070"/>
      <c r="BK650" s="1070"/>
      <c r="BL650" s="1070"/>
      <c r="BM650" s="1070"/>
      <c r="BN650" s="1070"/>
      <c r="BO650" s="1070"/>
      <c r="BP650" s="1070"/>
      <c r="BQ650" s="1070"/>
      <c r="BR650" s="1070"/>
      <c r="BS650" s="1070"/>
      <c r="BT650" s="1070"/>
      <c r="BU650" s="1070"/>
      <c r="BV650" s="1070"/>
      <c r="BW650" s="1070"/>
      <c r="BX650" s="1070"/>
      <c r="BY650" s="1070"/>
      <c r="BZ650" s="1070"/>
      <c r="CA650" s="1070"/>
      <c r="CB650" s="1070"/>
      <c r="CC650" s="1070"/>
      <c r="CD650" s="1070"/>
      <c r="CE650" s="1070"/>
      <c r="CF650" s="1070"/>
      <c r="CG650" s="1070"/>
      <c r="CH650" s="1070"/>
      <c r="CI650" s="1070"/>
      <c r="CJ650" s="1070"/>
      <c r="CK650" s="1070"/>
      <c r="CL650" s="1070"/>
      <c r="CM650" s="1070"/>
      <c r="CN650" s="1070"/>
      <c r="CO650" s="1070"/>
      <c r="CP650" s="1070"/>
      <c r="CQ650" s="1070"/>
      <c r="CR650" s="1070"/>
      <c r="CS650" s="1070"/>
      <c r="CT650" s="1070"/>
      <c r="CU650" s="1070"/>
      <c r="CV650" s="1070"/>
      <c r="CW650" s="1070"/>
      <c r="CX650" s="1070"/>
      <c r="CY650" s="1070"/>
      <c r="CZ650" s="1070"/>
      <c r="DA650" s="1070"/>
      <c r="DB650" s="1070"/>
      <c r="DC650" s="1070"/>
      <c r="DD650" s="1070"/>
      <c r="DE650" s="1070"/>
      <c r="DF650" s="1070"/>
      <c r="DG650" s="1070"/>
      <c r="DH650" s="1070"/>
      <c r="DI650" s="1070"/>
    </row>
    <row r="651" spans="1:113" ht="15.75" x14ac:dyDescent="0.25">
      <c r="A651" s="1430"/>
      <c r="B651" s="1443"/>
      <c r="C651" s="1437"/>
      <c r="D651" s="1434"/>
      <c r="E651" s="1434"/>
      <c r="F651" s="1434"/>
      <c r="G651" s="1434"/>
      <c r="H651" s="1350"/>
      <c r="I651" s="1350"/>
      <c r="J651" s="1350"/>
      <c r="K651" s="1350"/>
      <c r="L651" s="1350"/>
      <c r="M651" s="1350"/>
      <c r="N651" s="1350"/>
      <c r="O651" s="1350"/>
      <c r="P651" s="1350"/>
      <c r="Q651" s="1350"/>
      <c r="R651" s="1350"/>
      <c r="S651" s="1350"/>
      <c r="T651" s="1350"/>
      <c r="U651" s="1350"/>
      <c r="V651" s="1350"/>
      <c r="W651" s="1350"/>
      <c r="X651" s="1350"/>
      <c r="Y651" s="1350"/>
      <c r="Z651" s="1350"/>
      <c r="AA651" s="1350"/>
      <c r="AB651" s="1350"/>
      <c r="AC651" s="1350"/>
      <c r="AD651" s="1350"/>
      <c r="AE651" s="1350"/>
      <c r="AF651" s="1350"/>
      <c r="AG651" s="1350"/>
      <c r="AH651" s="1350"/>
      <c r="AI651" s="1350"/>
      <c r="AJ651" s="1350"/>
      <c r="AK651" s="1350"/>
      <c r="AL651" s="1350"/>
      <c r="AM651" s="1350"/>
      <c r="AN651" s="1350"/>
      <c r="AO651" s="1350"/>
      <c r="AP651" s="1350"/>
      <c r="AQ651" s="1350"/>
      <c r="AR651" s="1350"/>
      <c r="AS651" s="1350"/>
      <c r="AT651" s="1350"/>
      <c r="AU651" s="1350"/>
      <c r="AV651" s="1350"/>
      <c r="AW651" s="1350"/>
      <c r="AX651" s="1350"/>
      <c r="AY651" s="1350"/>
      <c r="AZ651" s="1350"/>
      <c r="BA651" s="1070"/>
      <c r="BB651" s="1070"/>
      <c r="BC651" s="1070"/>
      <c r="BD651" s="1070"/>
      <c r="BE651" s="1070"/>
      <c r="BF651" s="1070"/>
      <c r="BG651" s="1070"/>
      <c r="BH651" s="1070"/>
      <c r="BI651" s="1070"/>
      <c r="BJ651" s="1070"/>
      <c r="BK651" s="1070"/>
      <c r="BL651" s="1070"/>
      <c r="BM651" s="1070"/>
      <c r="BN651" s="1070"/>
      <c r="BO651" s="1070"/>
      <c r="BP651" s="1070"/>
      <c r="BQ651" s="1070"/>
      <c r="BR651" s="1070"/>
      <c r="BS651" s="1070"/>
      <c r="BT651" s="1070"/>
      <c r="BU651" s="1070"/>
      <c r="BV651" s="1070"/>
      <c r="BW651" s="1070"/>
      <c r="BX651" s="1070"/>
      <c r="BY651" s="1070"/>
      <c r="BZ651" s="1070"/>
      <c r="CA651" s="1070"/>
      <c r="CB651" s="1070"/>
      <c r="CC651" s="1070"/>
      <c r="CD651" s="1070"/>
      <c r="CE651" s="1070"/>
      <c r="CF651" s="1070"/>
      <c r="CG651" s="1070"/>
      <c r="CH651" s="1070"/>
      <c r="CI651" s="1070"/>
      <c r="CJ651" s="1070"/>
      <c r="CK651" s="1070"/>
      <c r="CL651" s="1070"/>
      <c r="CM651" s="1070"/>
      <c r="CN651" s="1070"/>
      <c r="CO651" s="1070"/>
      <c r="CP651" s="1070"/>
      <c r="CQ651" s="1070"/>
      <c r="CR651" s="1070"/>
      <c r="CS651" s="1070"/>
      <c r="CT651" s="1070"/>
      <c r="CU651" s="1070"/>
      <c r="CV651" s="1070"/>
      <c r="CW651" s="1070"/>
      <c r="CX651" s="1070"/>
      <c r="CY651" s="1070"/>
      <c r="CZ651" s="1070"/>
      <c r="DA651" s="1070"/>
      <c r="DB651" s="1070"/>
      <c r="DC651" s="1070"/>
      <c r="DD651" s="1070"/>
      <c r="DE651" s="1070"/>
      <c r="DF651" s="1070"/>
      <c r="DG651" s="1070"/>
      <c r="DH651" s="1070"/>
      <c r="DI651" s="1070"/>
    </row>
    <row r="652" spans="1:113" ht="31.5" x14ac:dyDescent="0.25">
      <c r="A652" s="1427" t="s">
        <v>204</v>
      </c>
      <c r="B652" s="1443"/>
      <c r="C652" s="1437"/>
      <c r="D652" s="1437"/>
      <c r="E652" s="1437"/>
      <c r="F652" s="1437"/>
      <c r="G652" s="1437"/>
      <c r="H652" s="1350"/>
      <c r="I652" s="1350"/>
      <c r="J652" s="1350"/>
      <c r="K652" s="1350"/>
      <c r="L652" s="1350"/>
      <c r="M652" s="1350"/>
      <c r="N652" s="1350"/>
      <c r="O652" s="1350"/>
      <c r="P652" s="1350"/>
      <c r="Q652" s="1350"/>
      <c r="R652" s="1350"/>
      <c r="S652" s="1350"/>
      <c r="T652" s="1350"/>
      <c r="U652" s="1350"/>
      <c r="V652" s="1350"/>
      <c r="W652" s="1350"/>
      <c r="X652" s="1350"/>
      <c r="Y652" s="1350"/>
      <c r="Z652" s="1350"/>
      <c r="AA652" s="1350"/>
      <c r="AB652" s="1350"/>
      <c r="AC652" s="1350"/>
      <c r="AD652" s="1350"/>
      <c r="AE652" s="1350"/>
      <c r="AF652" s="1350"/>
      <c r="AG652" s="1350"/>
      <c r="AH652" s="1350"/>
      <c r="AI652" s="1350"/>
      <c r="AJ652" s="1350"/>
      <c r="AK652" s="1350"/>
      <c r="AL652" s="1350"/>
      <c r="AM652" s="1350"/>
      <c r="AN652" s="1350"/>
      <c r="AO652" s="1350"/>
      <c r="AP652" s="1350"/>
      <c r="AQ652" s="1350"/>
      <c r="AR652" s="1350"/>
      <c r="AS652" s="1350"/>
      <c r="AT652" s="1350"/>
      <c r="AU652" s="1350"/>
      <c r="AV652" s="1350"/>
      <c r="AW652" s="1350"/>
      <c r="AX652" s="1350"/>
      <c r="AY652" s="1350"/>
      <c r="AZ652" s="1350"/>
      <c r="BA652" s="1070"/>
      <c r="BB652" s="1070"/>
      <c r="BC652" s="1070"/>
      <c r="BD652" s="1070"/>
      <c r="BE652" s="1070"/>
      <c r="BF652" s="1070"/>
      <c r="BG652" s="1070"/>
      <c r="BH652" s="1070"/>
      <c r="BI652" s="1070"/>
      <c r="BJ652" s="1070"/>
      <c r="BK652" s="1070"/>
      <c r="BL652" s="1070"/>
      <c r="BM652" s="1070"/>
      <c r="BN652" s="1070"/>
      <c r="BO652" s="1070"/>
      <c r="BP652" s="1070"/>
      <c r="BQ652" s="1070"/>
      <c r="BR652" s="1070"/>
      <c r="BS652" s="1070"/>
      <c r="BT652" s="1070"/>
      <c r="BU652" s="1070"/>
      <c r="BV652" s="1070"/>
      <c r="BW652" s="1070"/>
      <c r="BX652" s="1070"/>
      <c r="BY652" s="1070"/>
      <c r="BZ652" s="1070"/>
      <c r="CA652" s="1070"/>
      <c r="CB652" s="1070"/>
      <c r="CC652" s="1070"/>
      <c r="CD652" s="1070"/>
      <c r="CE652" s="1070"/>
      <c r="CF652" s="1070"/>
      <c r="CG652" s="1070"/>
      <c r="CH652" s="1070"/>
      <c r="CI652" s="1070"/>
      <c r="CJ652" s="1070"/>
      <c r="CK652" s="1070"/>
      <c r="CL652" s="1070"/>
      <c r="CM652" s="1070"/>
      <c r="CN652" s="1070"/>
      <c r="CO652" s="1070"/>
      <c r="CP652" s="1070"/>
      <c r="CQ652" s="1070"/>
      <c r="CR652" s="1070"/>
      <c r="CS652" s="1070"/>
      <c r="CT652" s="1070"/>
      <c r="CU652" s="1070"/>
      <c r="CV652" s="1070"/>
      <c r="CW652" s="1070"/>
      <c r="CX652" s="1070"/>
      <c r="CY652" s="1070"/>
      <c r="CZ652" s="1070"/>
      <c r="DA652" s="1070"/>
      <c r="DB652" s="1070"/>
      <c r="DC652" s="1070"/>
      <c r="DD652" s="1070"/>
      <c r="DE652" s="1070"/>
      <c r="DF652" s="1070"/>
      <c r="DG652" s="1070"/>
      <c r="DH652" s="1070"/>
      <c r="DI652" s="1070"/>
    </row>
    <row r="653" spans="1:113" ht="15.75" x14ac:dyDescent="0.25">
      <c r="A653" s="1508" t="s">
        <v>205</v>
      </c>
      <c r="B653" s="1508" t="str">
        <f>B286</f>
        <v/>
      </c>
      <c r="C653" s="1416"/>
      <c r="D653" s="1437"/>
      <c r="E653" s="1437"/>
      <c r="F653" s="1437"/>
      <c r="G653" s="1437"/>
      <c r="H653" s="1350"/>
      <c r="I653" s="1350"/>
      <c r="J653" s="1350"/>
      <c r="K653" s="1350"/>
      <c r="L653" s="1350"/>
      <c r="M653" s="1350"/>
      <c r="N653" s="1350"/>
      <c r="O653" s="1350"/>
      <c r="P653" s="1350"/>
      <c r="Q653" s="1350"/>
      <c r="R653" s="1350"/>
      <c r="S653" s="1350"/>
      <c r="T653" s="1350"/>
      <c r="U653" s="1350"/>
      <c r="V653" s="1350"/>
      <c r="W653" s="1350"/>
      <c r="X653" s="1350"/>
      <c r="Y653" s="1350"/>
      <c r="Z653" s="1350"/>
      <c r="AA653" s="1350"/>
      <c r="AB653" s="1350"/>
      <c r="AC653" s="1350"/>
      <c r="AD653" s="1350"/>
      <c r="AE653" s="1350"/>
      <c r="AF653" s="1350"/>
      <c r="AG653" s="1350"/>
      <c r="AH653" s="1350"/>
      <c r="AI653" s="1350"/>
      <c r="AJ653" s="1350"/>
      <c r="AK653" s="1350"/>
      <c r="AL653" s="1350"/>
      <c r="AM653" s="1350"/>
      <c r="AN653" s="1350"/>
      <c r="AO653" s="1350"/>
      <c r="AP653" s="1350"/>
      <c r="AQ653" s="1350"/>
      <c r="AR653" s="1350"/>
      <c r="AS653" s="1350"/>
      <c r="AT653" s="1350"/>
      <c r="AU653" s="1350"/>
      <c r="AV653" s="1350"/>
      <c r="AW653" s="1350"/>
      <c r="AX653" s="1350"/>
      <c r="AY653" s="1350"/>
      <c r="AZ653" s="1350"/>
      <c r="BA653" s="1070"/>
      <c r="BB653" s="1070"/>
      <c r="BC653" s="1070"/>
      <c r="BD653" s="1070"/>
      <c r="BE653" s="1070"/>
      <c r="BF653" s="1070"/>
      <c r="BG653" s="1070"/>
      <c r="BH653" s="1070"/>
      <c r="BI653" s="1070"/>
      <c r="BJ653" s="1070"/>
      <c r="BK653" s="1070"/>
      <c r="BL653" s="1070"/>
      <c r="BM653" s="1070"/>
      <c r="BN653" s="1070"/>
      <c r="BO653" s="1070"/>
      <c r="BP653" s="1070"/>
      <c r="BQ653" s="1070"/>
      <c r="BR653" s="1070"/>
      <c r="BS653" s="1070"/>
      <c r="BT653" s="1070"/>
      <c r="BU653" s="1070"/>
      <c r="BV653" s="1070"/>
      <c r="BW653" s="1070"/>
      <c r="BX653" s="1070"/>
      <c r="BY653" s="1070"/>
      <c r="BZ653" s="1070"/>
      <c r="CA653" s="1070"/>
      <c r="CB653" s="1070"/>
      <c r="CC653" s="1070"/>
      <c r="CD653" s="1070"/>
      <c r="CE653" s="1070"/>
      <c r="CF653" s="1070"/>
      <c r="CG653" s="1070"/>
      <c r="CH653" s="1070"/>
      <c r="CI653" s="1070"/>
      <c r="CJ653" s="1070"/>
      <c r="CK653" s="1070"/>
      <c r="CL653" s="1070"/>
      <c r="CM653" s="1070"/>
      <c r="CN653" s="1070"/>
      <c r="CO653" s="1070"/>
      <c r="CP653" s="1070"/>
      <c r="CQ653" s="1070"/>
      <c r="CR653" s="1070"/>
      <c r="CS653" s="1070"/>
      <c r="CT653" s="1070"/>
      <c r="CU653" s="1070"/>
      <c r="CV653" s="1070"/>
      <c r="CW653" s="1070"/>
      <c r="CX653" s="1070"/>
      <c r="CY653" s="1070"/>
      <c r="CZ653" s="1070"/>
      <c r="DA653" s="1070"/>
      <c r="DB653" s="1070"/>
      <c r="DC653" s="1070"/>
      <c r="DD653" s="1070"/>
      <c r="DE653" s="1070"/>
      <c r="DF653" s="1070"/>
      <c r="DG653" s="1070"/>
      <c r="DH653" s="1070"/>
      <c r="DI653" s="1070"/>
    </row>
    <row r="654" spans="1:113" ht="15.75" x14ac:dyDescent="0.25">
      <c r="A654" s="1508" t="s">
        <v>418</v>
      </c>
      <c r="B654" s="1508">
        <f>B291</f>
        <v>1</v>
      </c>
      <c r="C654" s="1416"/>
      <c r="D654" s="1458"/>
      <c r="E654" s="1458"/>
      <c r="F654" s="1458"/>
      <c r="G654" s="1458"/>
      <c r="H654" s="1350"/>
      <c r="I654" s="1350"/>
      <c r="J654" s="1350"/>
      <c r="K654" s="1350"/>
      <c r="L654" s="1350"/>
      <c r="M654" s="1350"/>
      <c r="N654" s="1350"/>
      <c r="O654" s="1350"/>
      <c r="P654" s="1350"/>
      <c r="Q654" s="1350"/>
      <c r="R654" s="1350"/>
      <c r="S654" s="1350"/>
      <c r="T654" s="1350"/>
      <c r="U654" s="1350"/>
      <c r="V654" s="1350"/>
      <c r="W654" s="1350"/>
      <c r="X654" s="1350"/>
      <c r="Y654" s="1350"/>
      <c r="Z654" s="1350"/>
      <c r="AA654" s="1350"/>
      <c r="AB654" s="1350"/>
      <c r="AC654" s="1350"/>
      <c r="AD654" s="1350"/>
      <c r="AE654" s="1350"/>
      <c r="AF654" s="1350"/>
      <c r="AG654" s="1350"/>
      <c r="AH654" s="1350"/>
      <c r="AI654" s="1350"/>
      <c r="AJ654" s="1350"/>
      <c r="AK654" s="1350"/>
      <c r="AL654" s="1350"/>
      <c r="AM654" s="1350"/>
      <c r="AN654" s="1350"/>
      <c r="AO654" s="1350"/>
      <c r="AP654" s="1350"/>
      <c r="AQ654" s="1350"/>
      <c r="AR654" s="1350"/>
      <c r="AS654" s="1350"/>
      <c r="AT654" s="1350"/>
      <c r="AU654" s="1350"/>
      <c r="AV654" s="1350"/>
      <c r="AW654" s="1350"/>
      <c r="AX654" s="1350"/>
      <c r="AY654" s="1350"/>
      <c r="AZ654" s="1350"/>
      <c r="BA654" s="1070"/>
      <c r="BB654" s="1070"/>
      <c r="BC654" s="1070"/>
      <c r="BD654" s="1070"/>
      <c r="BE654" s="1070"/>
      <c r="BF654" s="1070"/>
      <c r="BG654" s="1070"/>
      <c r="BH654" s="1070"/>
      <c r="BI654" s="1070"/>
      <c r="BJ654" s="1070"/>
      <c r="BK654" s="1070"/>
      <c r="BL654" s="1070"/>
      <c r="BM654" s="1070"/>
      <c r="BN654" s="1070"/>
      <c r="BO654" s="1070"/>
      <c r="BP654" s="1070"/>
      <c r="BQ654" s="1070"/>
      <c r="BR654" s="1070"/>
      <c r="BS654" s="1070"/>
      <c r="BT654" s="1070"/>
      <c r="BU654" s="1070"/>
      <c r="BV654" s="1070"/>
      <c r="BW654" s="1070"/>
      <c r="BX654" s="1070"/>
      <c r="BY654" s="1070"/>
      <c r="BZ654" s="1070"/>
      <c r="CA654" s="1070"/>
      <c r="CB654" s="1070"/>
      <c r="CC654" s="1070"/>
      <c r="CD654" s="1070"/>
      <c r="CE654" s="1070"/>
      <c r="CF654" s="1070"/>
      <c r="CG654" s="1070"/>
      <c r="CH654" s="1070"/>
      <c r="CI654" s="1070"/>
      <c r="CJ654" s="1070"/>
      <c r="CK654" s="1070"/>
      <c r="CL654" s="1070"/>
      <c r="CM654" s="1070"/>
      <c r="CN654" s="1070"/>
      <c r="CO654" s="1070"/>
      <c r="CP654" s="1070"/>
      <c r="CQ654" s="1070"/>
      <c r="CR654" s="1070"/>
      <c r="CS654" s="1070"/>
      <c r="CT654" s="1070"/>
      <c r="CU654" s="1070"/>
      <c r="CV654" s="1070"/>
      <c r="CW654" s="1070"/>
      <c r="CX654" s="1070"/>
      <c r="CY654" s="1070"/>
      <c r="CZ654" s="1070"/>
      <c r="DA654" s="1070"/>
      <c r="DB654" s="1070"/>
      <c r="DC654" s="1070"/>
      <c r="DD654" s="1070"/>
      <c r="DE654" s="1070"/>
      <c r="DF654" s="1070"/>
      <c r="DG654" s="1070"/>
      <c r="DH654" s="1070"/>
      <c r="DI654" s="1070"/>
    </row>
    <row r="655" spans="1:113" ht="15.75" x14ac:dyDescent="0.25">
      <c r="A655" s="1509" t="s">
        <v>3785</v>
      </c>
      <c r="B655" s="1508" t="str">
        <f>B297</f>
        <v/>
      </c>
      <c r="C655" s="1416"/>
      <c r="D655" s="1437"/>
      <c r="E655" s="1437"/>
      <c r="F655" s="1437"/>
      <c r="G655" s="1437"/>
      <c r="H655" s="1350"/>
      <c r="I655" s="1350"/>
      <c r="J655" s="1350"/>
      <c r="K655" s="1350"/>
      <c r="L655" s="1350"/>
      <c r="M655" s="1350"/>
      <c r="N655" s="1350"/>
      <c r="O655" s="1350"/>
      <c r="P655" s="1350"/>
      <c r="Q655" s="1350"/>
      <c r="R655" s="1350"/>
      <c r="S655" s="1350"/>
      <c r="T655" s="1350"/>
      <c r="U655" s="1350"/>
      <c r="V655" s="1350"/>
      <c r="W655" s="1350"/>
      <c r="X655" s="1350"/>
      <c r="Y655" s="1350"/>
      <c r="Z655" s="1350"/>
      <c r="AA655" s="1350"/>
      <c r="AB655" s="1350"/>
      <c r="AC655" s="1350"/>
      <c r="AD655" s="1350"/>
      <c r="AE655" s="1350"/>
      <c r="AF655" s="1350"/>
      <c r="AG655" s="1350"/>
      <c r="AH655" s="1350"/>
      <c r="AI655" s="1350"/>
      <c r="AJ655" s="1350"/>
      <c r="AK655" s="1350"/>
      <c r="AL655" s="1350"/>
      <c r="AM655" s="1350"/>
      <c r="AN655" s="1350"/>
      <c r="AO655" s="1350"/>
      <c r="AP655" s="1350"/>
      <c r="AQ655" s="1350"/>
      <c r="AR655" s="1350"/>
      <c r="AS655" s="1350"/>
      <c r="AT655" s="1350"/>
      <c r="AU655" s="1350"/>
      <c r="AV655" s="1350"/>
      <c r="AW655" s="1350"/>
      <c r="AX655" s="1350"/>
      <c r="AY655" s="1350"/>
      <c r="AZ655" s="1350"/>
      <c r="BA655" s="1070"/>
      <c r="BB655" s="1070"/>
      <c r="BC655" s="1070"/>
      <c r="BD655" s="1070"/>
      <c r="BE655" s="1070"/>
      <c r="BF655" s="1070"/>
      <c r="BG655" s="1070"/>
      <c r="BH655" s="1070"/>
      <c r="BI655" s="1070"/>
      <c r="BJ655" s="1070"/>
      <c r="BK655" s="1070"/>
      <c r="BL655" s="1070"/>
      <c r="BM655" s="1070"/>
      <c r="BN655" s="1070"/>
      <c r="BO655" s="1070"/>
      <c r="BP655" s="1070"/>
      <c r="BQ655" s="1070"/>
      <c r="BR655" s="1070"/>
      <c r="BS655" s="1070"/>
      <c r="BT655" s="1070"/>
      <c r="BU655" s="1070"/>
      <c r="BV655" s="1070"/>
      <c r="BW655" s="1070"/>
      <c r="BX655" s="1070"/>
      <c r="BY655" s="1070"/>
      <c r="BZ655" s="1070"/>
      <c r="CA655" s="1070"/>
      <c r="CB655" s="1070"/>
      <c r="CC655" s="1070"/>
      <c r="CD655" s="1070"/>
      <c r="CE655" s="1070"/>
      <c r="CF655" s="1070"/>
      <c r="CG655" s="1070"/>
      <c r="CH655" s="1070"/>
      <c r="CI655" s="1070"/>
      <c r="CJ655" s="1070"/>
      <c r="CK655" s="1070"/>
      <c r="CL655" s="1070"/>
      <c r="CM655" s="1070"/>
      <c r="CN655" s="1070"/>
      <c r="CO655" s="1070"/>
      <c r="CP655" s="1070"/>
      <c r="CQ655" s="1070"/>
      <c r="CR655" s="1070"/>
      <c r="CS655" s="1070"/>
      <c r="CT655" s="1070"/>
      <c r="CU655" s="1070"/>
      <c r="CV655" s="1070"/>
      <c r="CW655" s="1070"/>
      <c r="CX655" s="1070"/>
      <c r="CY655" s="1070"/>
      <c r="CZ655" s="1070"/>
      <c r="DA655" s="1070"/>
      <c r="DB655" s="1070"/>
      <c r="DC655" s="1070"/>
      <c r="DD655" s="1070"/>
      <c r="DE655" s="1070"/>
      <c r="DF655" s="1070"/>
      <c r="DG655" s="1070"/>
      <c r="DH655" s="1070"/>
      <c r="DI655" s="1070"/>
    </row>
    <row r="656" spans="1:113" ht="47.25" x14ac:dyDescent="0.25">
      <c r="A656" s="1509" t="s">
        <v>4334</v>
      </c>
      <c r="B656" s="1508" t="str">
        <f>B301</f>
        <v/>
      </c>
      <c r="C656" s="1416"/>
      <c r="D656" s="1432"/>
      <c r="E656" s="1432"/>
      <c r="F656" s="1432"/>
      <c r="G656" s="1432"/>
      <c r="H656" s="1350"/>
      <c r="I656" s="1350"/>
      <c r="J656" s="1350"/>
      <c r="K656" s="1350"/>
      <c r="L656" s="1350"/>
      <c r="M656" s="1350"/>
      <c r="N656" s="1350"/>
      <c r="O656" s="1350"/>
      <c r="P656" s="1350"/>
      <c r="Q656" s="1350"/>
      <c r="R656" s="1350"/>
      <c r="S656" s="1350"/>
      <c r="T656" s="1350"/>
      <c r="U656" s="1350"/>
      <c r="V656" s="1350"/>
      <c r="W656" s="1350"/>
      <c r="X656" s="1350"/>
      <c r="Y656" s="1350"/>
      <c r="Z656" s="1350"/>
      <c r="AA656" s="1350"/>
      <c r="AB656" s="1350"/>
      <c r="AC656" s="1350"/>
      <c r="AD656" s="1350"/>
      <c r="AE656" s="1350"/>
      <c r="AF656" s="1350"/>
      <c r="AG656" s="1350"/>
      <c r="AH656" s="1350"/>
      <c r="AI656" s="1350"/>
      <c r="AJ656" s="1350"/>
      <c r="AK656" s="1350"/>
      <c r="AL656" s="1350"/>
      <c r="AM656" s="1350"/>
      <c r="AN656" s="1350"/>
      <c r="AO656" s="1350"/>
      <c r="AP656" s="1350"/>
      <c r="AQ656" s="1350"/>
      <c r="AR656" s="1350"/>
      <c r="AS656" s="1350"/>
      <c r="AT656" s="1350"/>
      <c r="AU656" s="1350"/>
      <c r="AV656" s="1350"/>
      <c r="AW656" s="1350"/>
      <c r="AX656" s="1350"/>
      <c r="AY656" s="1350"/>
      <c r="AZ656" s="1350"/>
      <c r="BA656" s="1070"/>
      <c r="BB656" s="1070"/>
      <c r="BC656" s="1070"/>
      <c r="BD656" s="1070"/>
      <c r="BE656" s="1070"/>
      <c r="BF656" s="1070"/>
      <c r="BG656" s="1070"/>
      <c r="BH656" s="1070"/>
      <c r="BI656" s="1070"/>
      <c r="BJ656" s="1070"/>
      <c r="BK656" s="1070"/>
      <c r="BL656" s="1070"/>
      <c r="BM656" s="1070"/>
      <c r="BN656" s="1070"/>
      <c r="BO656" s="1070"/>
      <c r="BP656" s="1070"/>
      <c r="BQ656" s="1070"/>
      <c r="BR656" s="1070"/>
      <c r="BS656" s="1070"/>
      <c r="BT656" s="1070"/>
      <c r="BU656" s="1070"/>
      <c r="BV656" s="1070"/>
      <c r="BW656" s="1070"/>
      <c r="BX656" s="1070"/>
      <c r="BY656" s="1070"/>
      <c r="BZ656" s="1070"/>
      <c r="CA656" s="1070"/>
      <c r="CB656" s="1070"/>
      <c r="CC656" s="1070"/>
      <c r="CD656" s="1070"/>
      <c r="CE656" s="1070"/>
      <c r="CF656" s="1070"/>
      <c r="CG656" s="1070"/>
      <c r="CH656" s="1070"/>
      <c r="CI656" s="1070"/>
      <c r="CJ656" s="1070"/>
      <c r="CK656" s="1070"/>
      <c r="CL656" s="1070"/>
      <c r="CM656" s="1070"/>
      <c r="CN656" s="1070"/>
      <c r="CO656" s="1070"/>
      <c r="CP656" s="1070"/>
      <c r="CQ656" s="1070"/>
      <c r="CR656" s="1070"/>
      <c r="CS656" s="1070"/>
      <c r="CT656" s="1070"/>
      <c r="CU656" s="1070"/>
      <c r="CV656" s="1070"/>
      <c r="CW656" s="1070"/>
      <c r="CX656" s="1070"/>
      <c r="CY656" s="1070"/>
      <c r="CZ656" s="1070"/>
      <c r="DA656" s="1070"/>
      <c r="DB656" s="1070"/>
      <c r="DC656" s="1070"/>
      <c r="DD656" s="1070"/>
      <c r="DE656" s="1070"/>
      <c r="DF656" s="1070"/>
      <c r="DG656" s="1070"/>
      <c r="DH656" s="1070"/>
      <c r="DI656" s="1070"/>
    </row>
    <row r="657" spans="1:113" ht="15.75" x14ac:dyDescent="0.25">
      <c r="A657" s="1510" t="s">
        <v>5436</v>
      </c>
      <c r="B657" s="1511" t="str">
        <f>B321</f>
        <v/>
      </c>
      <c r="C657" s="1429"/>
      <c r="D657" s="1432"/>
      <c r="E657" s="1432"/>
      <c r="F657" s="1432"/>
      <c r="G657" s="1432"/>
      <c r="H657" s="1350"/>
      <c r="I657" s="1350"/>
      <c r="J657" s="1350"/>
      <c r="K657" s="1350"/>
      <c r="L657" s="1350"/>
      <c r="M657" s="1350"/>
      <c r="N657" s="1350"/>
      <c r="O657" s="1350"/>
      <c r="P657" s="1350"/>
      <c r="Q657" s="1350"/>
      <c r="R657" s="1350"/>
      <c r="S657" s="1350"/>
      <c r="T657" s="1350"/>
      <c r="U657" s="1350"/>
      <c r="V657" s="1350"/>
      <c r="W657" s="1350"/>
      <c r="X657" s="1350"/>
      <c r="Y657" s="1350"/>
      <c r="Z657" s="1350"/>
      <c r="AA657" s="1350"/>
      <c r="AB657" s="1350"/>
      <c r="AC657" s="1350"/>
      <c r="AD657" s="1350"/>
      <c r="AE657" s="1350"/>
      <c r="AF657" s="1350"/>
      <c r="AG657" s="1350"/>
      <c r="AH657" s="1350"/>
      <c r="AI657" s="1350"/>
      <c r="AJ657" s="1350"/>
      <c r="AK657" s="1350"/>
      <c r="AL657" s="1350"/>
      <c r="AM657" s="1350"/>
      <c r="AN657" s="1350"/>
      <c r="AO657" s="1350"/>
      <c r="AP657" s="1350"/>
      <c r="AQ657" s="1350"/>
      <c r="AR657" s="1350"/>
      <c r="AS657" s="1350"/>
      <c r="AT657" s="1350"/>
      <c r="AU657" s="1350"/>
      <c r="AV657" s="1350"/>
      <c r="AW657" s="1350"/>
      <c r="AX657" s="1350"/>
      <c r="AY657" s="1350"/>
      <c r="AZ657" s="1350"/>
      <c r="BA657" s="1070"/>
      <c r="BB657" s="1070"/>
      <c r="BC657" s="1070"/>
      <c r="BD657" s="1070"/>
      <c r="BE657" s="1070"/>
      <c r="BF657" s="1070"/>
      <c r="BG657" s="1070"/>
      <c r="BH657" s="1070"/>
      <c r="BI657" s="1070"/>
      <c r="BJ657" s="1070"/>
      <c r="BK657" s="1070"/>
      <c r="BL657" s="1070"/>
      <c r="BM657" s="1070"/>
      <c r="BN657" s="1070"/>
      <c r="BO657" s="1070"/>
      <c r="BP657" s="1070"/>
      <c r="BQ657" s="1070"/>
      <c r="BR657" s="1070"/>
      <c r="BS657" s="1070"/>
      <c r="BT657" s="1070"/>
      <c r="BU657" s="1070"/>
      <c r="BV657" s="1070"/>
      <c r="BW657" s="1070"/>
      <c r="BX657" s="1070"/>
      <c r="BY657" s="1070"/>
      <c r="BZ657" s="1070"/>
      <c r="CA657" s="1070"/>
      <c r="CB657" s="1070"/>
      <c r="CC657" s="1070"/>
      <c r="CD657" s="1070"/>
      <c r="CE657" s="1070"/>
      <c r="CF657" s="1070"/>
      <c r="CG657" s="1070"/>
      <c r="CH657" s="1070"/>
      <c r="CI657" s="1070"/>
      <c r="CJ657" s="1070"/>
      <c r="CK657" s="1070"/>
      <c r="CL657" s="1070"/>
      <c r="CM657" s="1070"/>
      <c r="CN657" s="1070"/>
      <c r="CO657" s="1070"/>
      <c r="CP657" s="1070"/>
      <c r="CQ657" s="1070"/>
      <c r="CR657" s="1070"/>
      <c r="CS657" s="1070"/>
      <c r="CT657" s="1070"/>
      <c r="CU657" s="1070"/>
      <c r="CV657" s="1070"/>
      <c r="CW657" s="1070"/>
      <c r="CX657" s="1070"/>
      <c r="CY657" s="1070"/>
      <c r="CZ657" s="1070"/>
      <c r="DA657" s="1070"/>
      <c r="DB657" s="1070"/>
      <c r="DC657" s="1070"/>
      <c r="DD657" s="1070"/>
      <c r="DE657" s="1070"/>
      <c r="DF657" s="1070"/>
      <c r="DG657" s="1070"/>
      <c r="DH657" s="1070"/>
      <c r="DI657" s="1070"/>
    </row>
    <row r="658" spans="1:113" ht="16.5" thickBot="1" x14ac:dyDescent="0.3">
      <c r="A658" s="1512" t="s">
        <v>4325</v>
      </c>
      <c r="B658" s="1513"/>
      <c r="C658" s="1514"/>
      <c r="D658" s="1350"/>
      <c r="E658" s="1350"/>
      <c r="F658" s="1350"/>
      <c r="G658" s="1350"/>
      <c r="H658" s="1350"/>
      <c r="I658" s="1350"/>
      <c r="J658" s="1350"/>
      <c r="K658" s="1350"/>
      <c r="L658" s="1350"/>
      <c r="M658" s="1350"/>
      <c r="N658" s="1350"/>
      <c r="O658" s="1350"/>
      <c r="P658" s="1350"/>
      <c r="Q658" s="1350"/>
      <c r="R658" s="1350"/>
      <c r="S658" s="1350"/>
      <c r="T658" s="1350"/>
      <c r="U658" s="1350"/>
      <c r="V658" s="1350"/>
      <c r="W658" s="1350"/>
      <c r="X658" s="1350"/>
      <c r="Y658" s="1350"/>
      <c r="Z658" s="1350"/>
      <c r="AA658" s="1350"/>
      <c r="AB658" s="1350"/>
      <c r="AC658" s="1350"/>
      <c r="AD658" s="1350"/>
      <c r="AE658" s="1350"/>
      <c r="AF658" s="1350"/>
      <c r="AG658" s="1350"/>
      <c r="AH658" s="1350"/>
      <c r="AI658" s="1350"/>
      <c r="AJ658" s="1350"/>
      <c r="AK658" s="1350"/>
      <c r="AL658" s="1350"/>
      <c r="AM658" s="1350"/>
      <c r="AN658" s="1350"/>
      <c r="AO658" s="1350"/>
      <c r="AP658" s="1350"/>
      <c r="AQ658" s="1350"/>
      <c r="AR658" s="1350"/>
      <c r="AS658" s="1350"/>
      <c r="AT658" s="1350"/>
      <c r="AU658" s="1350"/>
      <c r="AV658" s="1350"/>
      <c r="AW658" s="1350"/>
      <c r="AX658" s="1350"/>
      <c r="AY658" s="1350"/>
      <c r="AZ658" s="1350"/>
      <c r="BA658" s="1070"/>
      <c r="BB658" s="1070"/>
      <c r="BC658" s="1070"/>
      <c r="BD658" s="1070"/>
      <c r="BE658" s="1070"/>
      <c r="BF658" s="1070"/>
      <c r="BG658" s="1070"/>
      <c r="BH658" s="1070"/>
      <c r="BI658" s="1070"/>
      <c r="BJ658" s="1070"/>
      <c r="BK658" s="1070"/>
      <c r="BL658" s="1070"/>
      <c r="BM658" s="1070"/>
      <c r="BN658" s="1070"/>
      <c r="BO658" s="1070"/>
      <c r="BP658" s="1070"/>
      <c r="BQ658" s="1070"/>
      <c r="BR658" s="1070"/>
      <c r="BS658" s="1070"/>
      <c r="BT658" s="1070"/>
      <c r="BU658" s="1070"/>
      <c r="BV658" s="1070"/>
      <c r="BW658" s="1070"/>
      <c r="BX658" s="1070"/>
      <c r="BY658" s="1070"/>
      <c r="BZ658" s="1070"/>
      <c r="CA658" s="1070"/>
      <c r="CB658" s="1070"/>
      <c r="CC658" s="1070"/>
      <c r="CD658" s="1070"/>
      <c r="CE658" s="1070"/>
      <c r="CF658" s="1070"/>
      <c r="CG658" s="1070"/>
      <c r="CH658" s="1070"/>
      <c r="CI658" s="1070"/>
      <c r="CJ658" s="1070"/>
      <c r="CK658" s="1070"/>
      <c r="CL658" s="1070"/>
      <c r="CM658" s="1070"/>
      <c r="CN658" s="1070"/>
      <c r="CO658" s="1070"/>
      <c r="CP658" s="1070"/>
      <c r="CQ658" s="1070"/>
      <c r="CR658" s="1070"/>
      <c r="CS658" s="1070"/>
      <c r="CT658" s="1070"/>
      <c r="CU658" s="1070"/>
      <c r="CV658" s="1070"/>
      <c r="CW658" s="1070"/>
      <c r="CX658" s="1070"/>
      <c r="CY658" s="1070"/>
      <c r="CZ658" s="1070"/>
      <c r="DA658" s="1070"/>
      <c r="DB658" s="1070"/>
      <c r="DC658" s="1070"/>
      <c r="DD658" s="1070"/>
      <c r="DE658" s="1070"/>
      <c r="DF658" s="1070"/>
      <c r="DG658" s="1070"/>
      <c r="DH658" s="1070"/>
      <c r="DI658" s="1070"/>
    </row>
    <row r="659" spans="1:113" ht="15.75" x14ac:dyDescent="0.25">
      <c r="A659" s="1515" t="s">
        <v>5019</v>
      </c>
      <c r="B659" s="1516">
        <f>IF(B291=0.5,1,IF(B291=0.63,1.25,IF(B291=0.8,0.8,IF(B291=1,1))))</f>
        <v>1</v>
      </c>
      <c r="C659" s="1350"/>
      <c r="D659" s="1350"/>
      <c r="E659" s="1350"/>
      <c r="F659" s="1350"/>
      <c r="G659" s="1350"/>
      <c r="H659" s="1350"/>
      <c r="I659" s="1350"/>
      <c r="J659" s="1350"/>
      <c r="K659" s="1350"/>
      <c r="L659" s="1350"/>
      <c r="M659" s="1350"/>
      <c r="N659" s="1350"/>
      <c r="O659" s="1350"/>
      <c r="P659" s="1350"/>
      <c r="Q659" s="1350"/>
      <c r="R659" s="1350"/>
      <c r="S659" s="1350"/>
      <c r="T659" s="1350"/>
      <c r="U659" s="1350"/>
      <c r="V659" s="1350"/>
      <c r="W659" s="1350"/>
      <c r="X659" s="1350"/>
      <c r="Y659" s="1350"/>
      <c r="Z659" s="1350"/>
      <c r="AA659" s="1350"/>
      <c r="AB659" s="1350"/>
      <c r="AC659" s="1350"/>
      <c r="AD659" s="1350"/>
      <c r="AE659" s="1350"/>
      <c r="AF659" s="1350"/>
      <c r="AG659" s="1350"/>
      <c r="AH659" s="1350"/>
      <c r="AI659" s="1350"/>
      <c r="AJ659" s="1350"/>
      <c r="AK659" s="1350"/>
      <c r="AL659" s="1350"/>
      <c r="AM659" s="1350"/>
      <c r="AN659" s="1350"/>
      <c r="AO659" s="1350"/>
      <c r="AP659" s="1350"/>
      <c r="AQ659" s="1350"/>
      <c r="AR659" s="1350"/>
      <c r="AS659" s="1350"/>
      <c r="AT659" s="1350"/>
      <c r="AU659" s="1350"/>
      <c r="AV659" s="1350"/>
      <c r="AW659" s="1350"/>
      <c r="AX659" s="1350"/>
      <c r="AY659" s="1350"/>
      <c r="AZ659" s="1350"/>
      <c r="BA659" s="1070"/>
      <c r="BB659" s="1070"/>
      <c r="BC659" s="1070"/>
      <c r="BD659" s="1070"/>
      <c r="BE659" s="1070"/>
      <c r="BF659" s="1070"/>
      <c r="BG659" s="1070"/>
      <c r="BH659" s="1070"/>
      <c r="BI659" s="1070"/>
      <c r="BJ659" s="1070"/>
      <c r="BK659" s="1070"/>
      <c r="BL659" s="1070"/>
      <c r="BM659" s="1070"/>
      <c r="BN659" s="1070"/>
      <c r="BO659" s="1070"/>
      <c r="BP659" s="1070"/>
      <c r="BQ659" s="1070"/>
      <c r="BR659" s="1070"/>
      <c r="BS659" s="1070"/>
      <c r="BT659" s="1070"/>
      <c r="BU659" s="1070"/>
      <c r="BV659" s="1070"/>
      <c r="BW659" s="1070"/>
      <c r="BX659" s="1070"/>
      <c r="BY659" s="1070"/>
      <c r="BZ659" s="1070"/>
      <c r="CA659" s="1070"/>
      <c r="CB659" s="1070"/>
      <c r="CC659" s="1070"/>
      <c r="CD659" s="1070"/>
      <c r="CE659" s="1070"/>
      <c r="CF659" s="1070"/>
      <c r="CG659" s="1070"/>
      <c r="CH659" s="1070"/>
      <c r="CI659" s="1070"/>
      <c r="CJ659" s="1070"/>
      <c r="CK659" s="1070"/>
      <c r="CL659" s="1070"/>
      <c r="CM659" s="1070"/>
      <c r="CN659" s="1070"/>
      <c r="CO659" s="1070"/>
      <c r="CP659" s="1070"/>
      <c r="CQ659" s="1070"/>
      <c r="CR659" s="1070"/>
      <c r="CS659" s="1070"/>
      <c r="CT659" s="1070"/>
      <c r="CU659" s="1070"/>
      <c r="CV659" s="1070"/>
      <c r="CW659" s="1070"/>
      <c r="CX659" s="1070"/>
      <c r="CY659" s="1070"/>
      <c r="CZ659" s="1070"/>
      <c r="DA659" s="1070"/>
      <c r="DB659" s="1070"/>
      <c r="DC659" s="1070"/>
      <c r="DD659" s="1070"/>
      <c r="DE659" s="1070"/>
      <c r="DF659" s="1070"/>
      <c r="DG659" s="1070"/>
      <c r="DH659" s="1070"/>
      <c r="DI659" s="1070"/>
    </row>
    <row r="660" spans="1:113" ht="15.75" x14ac:dyDescent="0.25">
      <c r="A660" s="1517" t="s">
        <v>5476</v>
      </c>
      <c r="B660" s="1518">
        <v>1</v>
      </c>
      <c r="C660" s="1350"/>
      <c r="D660" s="1416"/>
      <c r="E660" s="1416"/>
      <c r="F660" s="1416"/>
      <c r="G660" s="1416"/>
      <c r="H660" s="1493"/>
      <c r="I660" s="1493"/>
      <c r="J660" s="1493"/>
      <c r="K660" s="1493"/>
      <c r="L660" s="1493"/>
      <c r="M660" s="1493"/>
      <c r="N660" s="1493"/>
      <c r="O660" s="1493"/>
      <c r="P660" s="1493"/>
      <c r="Q660" s="1493"/>
      <c r="R660" s="1493"/>
      <c r="S660" s="1493"/>
      <c r="T660" s="1493"/>
      <c r="U660" s="1493"/>
      <c r="V660" s="1493"/>
      <c r="W660" s="1493"/>
      <c r="X660" s="1493"/>
      <c r="Y660" s="1493"/>
      <c r="Z660" s="1493"/>
      <c r="AA660" s="1493"/>
      <c r="AB660" s="1493"/>
      <c r="AC660" s="1493"/>
      <c r="AD660" s="1493"/>
      <c r="AE660" s="1493"/>
      <c r="AF660" s="1493"/>
      <c r="AG660" s="1493"/>
      <c r="AH660" s="1493"/>
      <c r="AI660" s="1493"/>
      <c r="AJ660" s="1493"/>
      <c r="AK660" s="1493"/>
      <c r="AL660" s="1493"/>
      <c r="AM660" s="1493"/>
      <c r="AN660" s="1493"/>
      <c r="AO660" s="1493"/>
      <c r="AP660" s="1493"/>
      <c r="AQ660" s="1493"/>
      <c r="AR660" s="1493"/>
      <c r="AS660" s="1493"/>
      <c r="AT660" s="1493"/>
      <c r="AU660" s="1493"/>
      <c r="AV660" s="1493"/>
      <c r="AW660" s="1493"/>
      <c r="AX660" s="1493"/>
      <c r="AY660" s="1493"/>
      <c r="AZ660" s="1493"/>
      <c r="BA660" s="1493"/>
      <c r="BB660" s="1493"/>
      <c r="BC660" s="1493"/>
      <c r="BD660" s="1493"/>
      <c r="BE660" s="1493"/>
      <c r="BF660" s="1493"/>
      <c r="BG660" s="1493"/>
      <c r="BH660" s="1493"/>
      <c r="BI660" s="1493"/>
      <c r="BJ660" s="1493"/>
      <c r="BK660" s="1493"/>
      <c r="BL660" s="1493"/>
      <c r="BM660" s="1493"/>
      <c r="BN660" s="1493"/>
      <c r="BO660" s="1493"/>
      <c r="BP660" s="1493"/>
      <c r="BQ660" s="1493"/>
      <c r="BR660" s="1493"/>
      <c r="BS660" s="1493"/>
      <c r="BT660" s="1493"/>
      <c r="BU660" s="1493"/>
      <c r="BV660" s="1493"/>
      <c r="BW660" s="1493"/>
      <c r="BX660" s="1493"/>
      <c r="BY660" s="1493"/>
      <c r="BZ660" s="1493"/>
      <c r="CA660" s="1493"/>
      <c r="CB660" s="1493"/>
      <c r="CC660" s="1493"/>
      <c r="CD660" s="1493"/>
      <c r="CE660" s="1493"/>
      <c r="CF660" s="1493"/>
      <c r="CG660" s="1493"/>
      <c r="CH660" s="1493"/>
      <c r="CI660" s="1493"/>
      <c r="CJ660" s="1493"/>
      <c r="CK660" s="1493"/>
      <c r="CL660" s="1493"/>
      <c r="CM660" s="1493"/>
      <c r="CN660" s="1493"/>
      <c r="CO660" s="1493"/>
      <c r="CP660" s="1493"/>
      <c r="CQ660" s="1493"/>
      <c r="CR660" s="1493"/>
      <c r="CS660" s="1493"/>
      <c r="CT660" s="1493"/>
      <c r="CU660" s="1493"/>
      <c r="CV660" s="1493"/>
      <c r="CW660" s="1493"/>
      <c r="CX660" s="1493"/>
      <c r="CY660" s="1493"/>
      <c r="CZ660" s="1493"/>
      <c r="DA660" s="1493"/>
      <c r="DB660" s="1493"/>
      <c r="DC660" s="1493"/>
      <c r="DD660" s="1493"/>
      <c r="DE660" s="1493"/>
      <c r="DF660" s="1493"/>
      <c r="DG660" s="1493"/>
      <c r="DH660" s="1493"/>
      <c r="DI660" s="1493"/>
    </row>
    <row r="661" spans="1:113" ht="15.75" x14ac:dyDescent="0.25">
      <c r="A661" s="1517" t="s">
        <v>5477</v>
      </c>
      <c r="B661" s="1508">
        <f>B659</f>
        <v>1</v>
      </c>
      <c r="C661" s="1416"/>
      <c r="D661" s="1416"/>
      <c r="E661" s="1416"/>
      <c r="F661" s="1416"/>
      <c r="G661" s="1416"/>
      <c r="H661" s="1493"/>
      <c r="I661" s="1493"/>
      <c r="J661" s="1493"/>
      <c r="K661" s="1493"/>
      <c r="L661" s="1493"/>
      <c r="M661" s="1493"/>
      <c r="N661" s="1493"/>
      <c r="O661" s="1493"/>
      <c r="P661" s="1493"/>
      <c r="Q661" s="1493"/>
      <c r="R661" s="1493"/>
      <c r="S661" s="1493"/>
      <c r="T661" s="1493"/>
      <c r="U661" s="1493"/>
      <c r="V661" s="1493"/>
      <c r="W661" s="1493"/>
      <c r="X661" s="1493"/>
      <c r="Y661" s="1493"/>
      <c r="Z661" s="1493"/>
      <c r="AA661" s="1493"/>
      <c r="AB661" s="1493"/>
      <c r="AC661" s="1493"/>
      <c r="AD661" s="1493"/>
      <c r="AE661" s="1493"/>
      <c r="AF661" s="1493"/>
      <c r="AG661" s="1493"/>
      <c r="AH661" s="1493"/>
      <c r="AI661" s="1493"/>
      <c r="AJ661" s="1493"/>
      <c r="AK661" s="1493"/>
      <c r="AL661" s="1493"/>
      <c r="AM661" s="1493"/>
      <c r="AN661" s="1493"/>
      <c r="AO661" s="1493"/>
      <c r="AP661" s="1493"/>
      <c r="AQ661" s="1493"/>
      <c r="AR661" s="1493"/>
      <c r="AS661" s="1493"/>
      <c r="AT661" s="1493"/>
      <c r="AU661" s="1493"/>
      <c r="AV661" s="1493"/>
      <c r="AW661" s="1493"/>
      <c r="AX661" s="1493"/>
      <c r="AY661" s="1493"/>
      <c r="AZ661" s="1493"/>
      <c r="BA661" s="1493"/>
      <c r="BB661" s="1493"/>
      <c r="BC661" s="1493"/>
      <c r="BD661" s="1493"/>
      <c r="BE661" s="1493"/>
      <c r="BF661" s="1493"/>
      <c r="BG661" s="1493"/>
      <c r="BH661" s="1493"/>
      <c r="BI661" s="1493"/>
      <c r="BJ661" s="1493"/>
      <c r="BK661" s="1493"/>
      <c r="BL661" s="1493"/>
      <c r="BM661" s="1493"/>
      <c r="BN661" s="1493"/>
      <c r="BO661" s="1493"/>
      <c r="BP661" s="1493"/>
      <c r="BQ661" s="1493"/>
      <c r="BR661" s="1493"/>
      <c r="BS661" s="1493"/>
      <c r="BT661" s="1493"/>
      <c r="BU661" s="1493"/>
      <c r="BV661" s="1493"/>
      <c r="BW661" s="1493"/>
      <c r="BX661" s="1493"/>
      <c r="BY661" s="1493"/>
      <c r="BZ661" s="1493"/>
      <c r="CA661" s="1493"/>
      <c r="CB661" s="1493"/>
      <c r="CC661" s="1493"/>
      <c r="CD661" s="1493"/>
      <c r="CE661" s="1493"/>
      <c r="CF661" s="1493"/>
      <c r="CG661" s="1493"/>
      <c r="CH661" s="1493"/>
      <c r="CI661" s="1493"/>
      <c r="CJ661" s="1493"/>
      <c r="CK661" s="1493"/>
      <c r="CL661" s="1493"/>
      <c r="CM661" s="1493"/>
      <c r="CN661" s="1493"/>
      <c r="CO661" s="1493"/>
      <c r="CP661" s="1493"/>
      <c r="CQ661" s="1493"/>
      <c r="CR661" s="1493"/>
      <c r="CS661" s="1493"/>
      <c r="CT661" s="1493"/>
      <c r="CU661" s="1493"/>
      <c r="CV661" s="1493"/>
      <c r="CW661" s="1493"/>
      <c r="CX661" s="1493"/>
      <c r="CY661" s="1493"/>
      <c r="CZ661" s="1493"/>
      <c r="DA661" s="1493"/>
      <c r="DB661" s="1493"/>
      <c r="DC661" s="1493"/>
      <c r="DD661" s="1493"/>
      <c r="DE661" s="1493"/>
      <c r="DF661" s="1493"/>
      <c r="DG661" s="1493"/>
      <c r="DH661" s="1493"/>
      <c r="DI661" s="1493"/>
    </row>
    <row r="662" spans="1:113" ht="15.75" x14ac:dyDescent="0.25">
      <c r="A662" s="1519" t="s">
        <v>5478</v>
      </c>
      <c r="B662" s="1520" t="e">
        <f>(B654/B659)*B347</f>
        <v>#REF!</v>
      </c>
      <c r="C662" s="1521"/>
      <c r="D662" s="1416"/>
      <c r="E662" s="1416"/>
      <c r="F662" s="1416"/>
      <c r="G662" s="1416"/>
      <c r="H662" s="1493"/>
      <c r="I662" s="1493"/>
      <c r="J662" s="1493"/>
      <c r="K662" s="1493"/>
      <c r="L662" s="1493"/>
      <c r="M662" s="1493"/>
      <c r="N662" s="1493"/>
      <c r="O662" s="1493"/>
      <c r="P662" s="1493"/>
      <c r="Q662" s="1493"/>
      <c r="R662" s="1493"/>
      <c r="S662" s="1493"/>
      <c r="T662" s="1493"/>
      <c r="U662" s="1493"/>
      <c r="V662" s="1493"/>
      <c r="W662" s="1493"/>
      <c r="X662" s="1493"/>
      <c r="Y662" s="1493"/>
      <c r="Z662" s="1493"/>
      <c r="AA662" s="1493"/>
      <c r="AB662" s="1493"/>
      <c r="AC662" s="1493"/>
      <c r="AD662" s="1493"/>
      <c r="AE662" s="1493"/>
      <c r="AF662" s="1493"/>
      <c r="AG662" s="1493"/>
      <c r="AH662" s="1493"/>
      <c r="AI662" s="1493"/>
      <c r="AJ662" s="1493"/>
      <c r="AK662" s="1493"/>
      <c r="AL662" s="1493"/>
      <c r="AM662" s="1493"/>
      <c r="AN662" s="1493"/>
      <c r="AO662" s="1493"/>
      <c r="AP662" s="1493"/>
      <c r="AQ662" s="1493"/>
      <c r="AR662" s="1493"/>
      <c r="AS662" s="1493"/>
      <c r="AT662" s="1493"/>
      <c r="AU662" s="1493"/>
      <c r="AV662" s="1493"/>
      <c r="AW662" s="1493"/>
      <c r="AX662" s="1493"/>
      <c r="AY662" s="1493"/>
      <c r="AZ662" s="1493"/>
      <c r="BA662" s="1493"/>
      <c r="BB662" s="1493"/>
      <c r="BC662" s="1493"/>
      <c r="BD662" s="1493"/>
      <c r="BE662" s="1493"/>
      <c r="BF662" s="1493"/>
      <c r="BG662" s="1493"/>
      <c r="BH662" s="1493"/>
      <c r="BI662" s="1493"/>
      <c r="BJ662" s="1493"/>
      <c r="BK662" s="1493"/>
      <c r="BL662" s="1493"/>
      <c r="BM662" s="1493"/>
      <c r="BN662" s="1493"/>
      <c r="BO662" s="1493"/>
      <c r="BP662" s="1493"/>
      <c r="BQ662" s="1493"/>
      <c r="BR662" s="1493"/>
      <c r="BS662" s="1493"/>
      <c r="BT662" s="1493"/>
      <c r="BU662" s="1493"/>
      <c r="BV662" s="1493"/>
      <c r="BW662" s="1493"/>
      <c r="BX662" s="1493"/>
      <c r="BY662" s="1493"/>
      <c r="BZ662" s="1493"/>
      <c r="CA662" s="1493"/>
      <c r="CB662" s="1493"/>
      <c r="CC662" s="1493"/>
      <c r="CD662" s="1493"/>
      <c r="CE662" s="1493"/>
      <c r="CF662" s="1493"/>
      <c r="CG662" s="1493"/>
      <c r="CH662" s="1493"/>
      <c r="CI662" s="1493"/>
      <c r="CJ662" s="1493"/>
      <c r="CK662" s="1493"/>
      <c r="CL662" s="1493"/>
      <c r="CM662" s="1493"/>
      <c r="CN662" s="1493"/>
      <c r="CO662" s="1493"/>
      <c r="CP662" s="1493"/>
      <c r="CQ662" s="1493"/>
      <c r="CR662" s="1493"/>
      <c r="CS662" s="1493"/>
      <c r="CT662" s="1493"/>
      <c r="CU662" s="1493"/>
      <c r="CV662" s="1493"/>
      <c r="CW662" s="1493"/>
      <c r="CX662" s="1493"/>
      <c r="CY662" s="1493"/>
      <c r="CZ662" s="1493"/>
      <c r="DA662" s="1493"/>
      <c r="DB662" s="1493"/>
      <c r="DC662" s="1493"/>
      <c r="DD662" s="1493"/>
      <c r="DE662" s="1493"/>
      <c r="DF662" s="1493"/>
      <c r="DG662" s="1493"/>
      <c r="DH662" s="1493"/>
      <c r="DI662" s="1493"/>
    </row>
    <row r="663" spans="1:113" ht="15.75" x14ac:dyDescent="0.25">
      <c r="A663" s="1519" t="s">
        <v>5479</v>
      </c>
      <c r="B663" s="1522" t="e">
        <f>29.34*LN(B653)+31.4</f>
        <v>#VALUE!</v>
      </c>
      <c r="C663" s="1523"/>
      <c r="D663" s="1416"/>
      <c r="E663" s="1416"/>
      <c r="F663" s="1416"/>
      <c r="G663" s="1416"/>
      <c r="H663" s="1493"/>
      <c r="I663" s="1493"/>
      <c r="J663" s="1493"/>
      <c r="K663" s="1493"/>
      <c r="L663" s="1493"/>
      <c r="M663" s="1493"/>
      <c r="N663" s="1493"/>
      <c r="O663" s="1493"/>
      <c r="P663" s="1493"/>
      <c r="Q663" s="1493"/>
      <c r="R663" s="1493"/>
      <c r="S663" s="1493"/>
      <c r="T663" s="1493"/>
      <c r="U663" s="1493"/>
      <c r="V663" s="1493"/>
      <c r="W663" s="1493"/>
      <c r="X663" s="1493"/>
      <c r="Y663" s="1493"/>
      <c r="Z663" s="1493"/>
      <c r="AA663" s="1493"/>
      <c r="AB663" s="1493"/>
      <c r="AC663" s="1493"/>
      <c r="AD663" s="1493"/>
      <c r="AE663" s="1493"/>
      <c r="AF663" s="1493"/>
      <c r="AG663" s="1493"/>
      <c r="AH663" s="1493"/>
      <c r="AI663" s="1493"/>
      <c r="AJ663" s="1493"/>
      <c r="AK663" s="1493"/>
      <c r="AL663" s="1493"/>
      <c r="AM663" s="1493"/>
      <c r="AN663" s="1493"/>
      <c r="AO663" s="1493"/>
      <c r="AP663" s="1493"/>
      <c r="AQ663" s="1493"/>
      <c r="AR663" s="1493"/>
      <c r="AS663" s="1493"/>
      <c r="AT663" s="1493"/>
      <c r="AU663" s="1493"/>
      <c r="AV663" s="1493"/>
      <c r="AW663" s="1493"/>
      <c r="AX663" s="1493"/>
      <c r="AY663" s="1493"/>
      <c r="AZ663" s="1493"/>
      <c r="BA663" s="1493"/>
      <c r="BB663" s="1493"/>
      <c r="BC663" s="1493"/>
      <c r="BD663" s="1493"/>
      <c r="BE663" s="1493"/>
      <c r="BF663" s="1493"/>
      <c r="BG663" s="1493"/>
      <c r="BH663" s="1493"/>
      <c r="BI663" s="1493"/>
      <c r="BJ663" s="1493"/>
      <c r="BK663" s="1493"/>
      <c r="BL663" s="1493"/>
      <c r="BM663" s="1493"/>
      <c r="BN663" s="1493"/>
      <c r="BO663" s="1493"/>
      <c r="BP663" s="1493"/>
      <c r="BQ663" s="1493"/>
      <c r="BR663" s="1493"/>
      <c r="BS663" s="1493"/>
      <c r="BT663" s="1493"/>
      <c r="BU663" s="1493"/>
      <c r="BV663" s="1493"/>
      <c r="BW663" s="1493"/>
      <c r="BX663" s="1493"/>
      <c r="BY663" s="1493"/>
      <c r="BZ663" s="1493"/>
      <c r="CA663" s="1493"/>
      <c r="CB663" s="1493"/>
      <c r="CC663" s="1493"/>
      <c r="CD663" s="1493"/>
      <c r="CE663" s="1493"/>
      <c r="CF663" s="1493"/>
      <c r="CG663" s="1493"/>
      <c r="CH663" s="1493"/>
      <c r="CI663" s="1493"/>
      <c r="CJ663" s="1493"/>
      <c r="CK663" s="1493"/>
      <c r="CL663" s="1493"/>
      <c r="CM663" s="1493"/>
      <c r="CN663" s="1493"/>
      <c r="CO663" s="1493"/>
      <c r="CP663" s="1493"/>
      <c r="CQ663" s="1493"/>
      <c r="CR663" s="1493"/>
      <c r="CS663" s="1493"/>
      <c r="CT663" s="1493"/>
      <c r="CU663" s="1493"/>
      <c r="CV663" s="1493"/>
      <c r="CW663" s="1493"/>
      <c r="CX663" s="1493"/>
      <c r="CY663" s="1493"/>
      <c r="CZ663" s="1493"/>
      <c r="DA663" s="1493"/>
      <c r="DB663" s="1493"/>
      <c r="DC663" s="1493"/>
      <c r="DD663" s="1493"/>
      <c r="DE663" s="1493"/>
      <c r="DF663" s="1493"/>
      <c r="DG663" s="1493"/>
      <c r="DH663" s="1493"/>
      <c r="DI663" s="1493"/>
    </row>
    <row r="664" spans="1:113" ht="15.75" x14ac:dyDescent="0.25">
      <c r="A664" s="1519" t="s">
        <v>955</v>
      </c>
      <c r="B664" s="1522" t="e">
        <f>IF(B663&lt;24.3,1,IF(B663&lt;28.1,2,IF(B663&lt;32.1,3,IF(B663&lt;36.3,4,IF(B663&lt;41.1,5,IF(B663&lt;46.1,6,IF(B663&lt;51.32,7,B665)))))))</f>
        <v>#VALUE!</v>
      </c>
      <c r="C664" s="1523"/>
      <c r="D664" s="1429"/>
      <c r="E664" s="1429"/>
      <c r="F664" s="1429"/>
      <c r="G664" s="1429"/>
      <c r="H664" s="1493"/>
      <c r="I664" s="1493"/>
      <c r="J664" s="1493"/>
      <c r="K664" s="1493"/>
      <c r="L664" s="1493"/>
      <c r="M664" s="1493"/>
      <c r="N664" s="1493"/>
      <c r="O664" s="1493"/>
      <c r="P664" s="1493"/>
      <c r="Q664" s="1493"/>
      <c r="R664" s="1493"/>
      <c r="S664" s="1493"/>
      <c r="T664" s="1493"/>
      <c r="U664" s="1493"/>
      <c r="V664" s="1493"/>
      <c r="W664" s="1493"/>
      <c r="X664" s="1493"/>
      <c r="Y664" s="1493"/>
      <c r="Z664" s="1493"/>
      <c r="AA664" s="1493"/>
      <c r="AB664" s="1493"/>
      <c r="AC664" s="1493"/>
      <c r="AD664" s="1493"/>
      <c r="AE664" s="1493"/>
      <c r="AF664" s="1493"/>
      <c r="AG664" s="1493"/>
      <c r="AH664" s="1493"/>
      <c r="AI664" s="1493"/>
      <c r="AJ664" s="1493"/>
      <c r="AK664" s="1493"/>
      <c r="AL664" s="1493"/>
      <c r="AM664" s="1493"/>
      <c r="AN664" s="1493"/>
      <c r="AO664" s="1493"/>
      <c r="AP664" s="1493"/>
      <c r="AQ664" s="1493"/>
      <c r="AR664" s="1493"/>
      <c r="AS664" s="1493"/>
      <c r="AT664" s="1493"/>
      <c r="AU664" s="1493"/>
      <c r="AV664" s="1493"/>
      <c r="AW664" s="1493"/>
      <c r="AX664" s="1493"/>
      <c r="AY664" s="1493"/>
      <c r="AZ664" s="1493"/>
      <c r="BA664" s="1493"/>
      <c r="BB664" s="1493"/>
      <c r="BC664" s="1493"/>
      <c r="BD664" s="1493"/>
      <c r="BE664" s="1493"/>
      <c r="BF664" s="1493"/>
      <c r="BG664" s="1493"/>
      <c r="BH664" s="1493"/>
      <c r="BI664" s="1493"/>
      <c r="BJ664" s="1493"/>
      <c r="BK664" s="1493"/>
      <c r="BL664" s="1493"/>
      <c r="BM664" s="1493"/>
      <c r="BN664" s="1493"/>
      <c r="BO664" s="1493"/>
      <c r="BP664" s="1493"/>
      <c r="BQ664" s="1493"/>
      <c r="BR664" s="1493"/>
      <c r="BS664" s="1493"/>
      <c r="BT664" s="1493"/>
      <c r="BU664" s="1493"/>
      <c r="BV664" s="1493"/>
      <c r="BW664" s="1493"/>
      <c r="BX664" s="1493"/>
      <c r="BY664" s="1493"/>
      <c r="BZ664" s="1493"/>
      <c r="CA664" s="1493"/>
      <c r="CB664" s="1493"/>
      <c r="CC664" s="1493"/>
      <c r="CD664" s="1493"/>
      <c r="CE664" s="1493"/>
      <c r="CF664" s="1493"/>
      <c r="CG664" s="1493"/>
      <c r="CH664" s="1493"/>
      <c r="CI664" s="1493"/>
      <c r="CJ664" s="1493"/>
      <c r="CK664" s="1493"/>
      <c r="CL664" s="1493"/>
      <c r="CM664" s="1493"/>
      <c r="CN664" s="1493"/>
      <c r="CO664" s="1493"/>
      <c r="CP664" s="1493"/>
      <c r="CQ664" s="1493"/>
      <c r="CR664" s="1493"/>
      <c r="CS664" s="1493"/>
      <c r="CT664" s="1493"/>
      <c r="CU664" s="1493"/>
      <c r="CV664" s="1493"/>
      <c r="CW664" s="1493"/>
      <c r="CX664" s="1493"/>
      <c r="CY664" s="1493"/>
      <c r="CZ664" s="1493"/>
      <c r="DA664" s="1493"/>
      <c r="DB664" s="1493"/>
      <c r="DC664" s="1493"/>
      <c r="DD664" s="1493"/>
      <c r="DE664" s="1493"/>
      <c r="DF664" s="1493"/>
      <c r="DG664" s="1493"/>
      <c r="DH664" s="1493"/>
      <c r="DI664" s="1493"/>
    </row>
    <row r="665" spans="1:113" ht="15.75" x14ac:dyDescent="0.25">
      <c r="A665" s="1524" t="s">
        <v>3053</v>
      </c>
      <c r="B665" s="1525" t="e">
        <f>IF(B663&lt;57.1,8,IF(B663&lt;63.1,9,IF(B663&lt;69.7,10,11)))</f>
        <v>#VALUE!</v>
      </c>
      <c r="C665" s="1350"/>
      <c r="D665" s="1514"/>
      <c r="E665" s="1514"/>
      <c r="F665" s="1514"/>
      <c r="G665" s="1514"/>
      <c r="H665" s="1526"/>
      <c r="I665" s="1526"/>
      <c r="J665" s="1526"/>
      <c r="K665" s="1526"/>
      <c r="L665" s="1526"/>
      <c r="M665" s="1526"/>
      <c r="N665" s="1526"/>
      <c r="O665" s="1526"/>
      <c r="P665" s="1493"/>
      <c r="Q665" s="1493"/>
      <c r="R665" s="1493"/>
      <c r="S665" s="1493"/>
      <c r="T665" s="1493"/>
      <c r="U665" s="1493"/>
      <c r="V665" s="1493"/>
      <c r="W665" s="1493"/>
      <c r="X665" s="1493"/>
      <c r="Y665" s="1493"/>
      <c r="Z665" s="1493"/>
      <c r="AA665" s="1493"/>
      <c r="AB665" s="1493"/>
      <c r="AC665" s="1493"/>
      <c r="AD665" s="1493"/>
      <c r="AE665" s="1493"/>
      <c r="AF665" s="1493"/>
      <c r="AG665" s="1493"/>
      <c r="AH665" s="1493"/>
      <c r="AI665" s="1493"/>
      <c r="AJ665" s="1493"/>
      <c r="AK665" s="1493"/>
      <c r="AL665" s="1493"/>
      <c r="AM665" s="1493"/>
      <c r="AN665" s="1493"/>
      <c r="AO665" s="1493"/>
      <c r="AP665" s="1493"/>
      <c r="AQ665" s="1493"/>
      <c r="AR665" s="1493"/>
      <c r="AS665" s="1493"/>
      <c r="AT665" s="1493"/>
      <c r="AU665" s="1493"/>
      <c r="AV665" s="1493"/>
      <c r="AW665" s="1493"/>
      <c r="AX665" s="1493"/>
      <c r="AY665" s="1493"/>
      <c r="AZ665" s="1493"/>
      <c r="BA665" s="1493"/>
      <c r="BB665" s="1493"/>
      <c r="BC665" s="1493"/>
      <c r="BD665" s="1493"/>
      <c r="BE665" s="1493"/>
      <c r="BF665" s="1493"/>
      <c r="BG665" s="1493"/>
      <c r="BH665" s="1493"/>
      <c r="BI665" s="1493"/>
      <c r="BJ665" s="1493"/>
      <c r="BK665" s="1493"/>
      <c r="BL665" s="1493"/>
      <c r="BM665" s="1493"/>
      <c r="BN665" s="1493"/>
      <c r="BO665" s="1493"/>
      <c r="BP665" s="1493"/>
      <c r="BQ665" s="1493"/>
      <c r="BR665" s="1493"/>
      <c r="BS665" s="1493"/>
      <c r="BT665" s="1493"/>
      <c r="BU665" s="1493"/>
      <c r="BV665" s="1493"/>
      <c r="BW665" s="1493"/>
      <c r="BX665" s="1493"/>
      <c r="BY665" s="1493"/>
      <c r="BZ665" s="1493"/>
      <c r="CA665" s="1493"/>
      <c r="CB665" s="1493"/>
      <c r="CC665" s="1493"/>
      <c r="CD665" s="1493"/>
      <c r="CE665" s="1493"/>
      <c r="CF665" s="1493"/>
      <c r="CG665" s="1493"/>
      <c r="CH665" s="1493"/>
      <c r="CI665" s="1493"/>
      <c r="CJ665" s="1493"/>
      <c r="CK665" s="1493"/>
      <c r="CL665" s="1493"/>
      <c r="CM665" s="1493"/>
      <c r="CN665" s="1493"/>
      <c r="CO665" s="1493"/>
      <c r="CP665" s="1493"/>
      <c r="CQ665" s="1493"/>
      <c r="CR665" s="1493"/>
      <c r="CS665" s="1493"/>
      <c r="CT665" s="1493"/>
      <c r="CU665" s="1493"/>
      <c r="CV665" s="1493"/>
      <c r="CW665" s="1493"/>
      <c r="CX665" s="1493"/>
      <c r="CY665" s="1493"/>
      <c r="CZ665" s="1493"/>
      <c r="DA665" s="1493"/>
      <c r="DB665" s="1493"/>
      <c r="DC665" s="1493"/>
      <c r="DD665" s="1493"/>
      <c r="DE665" s="1493"/>
      <c r="DF665" s="1493"/>
      <c r="DG665" s="1493"/>
      <c r="DH665" s="1493"/>
      <c r="DI665" s="1493"/>
    </row>
    <row r="666" spans="1:113" ht="15.75" x14ac:dyDescent="0.25">
      <c r="A666" s="1527" t="s">
        <v>3054</v>
      </c>
      <c r="B666" s="1522">
        <v>98.8</v>
      </c>
      <c r="C666" s="1523"/>
      <c r="D666" s="1350"/>
      <c r="E666" s="1350"/>
      <c r="F666" s="1350"/>
      <c r="G666" s="1350"/>
      <c r="H666" s="1526"/>
      <c r="I666" s="1526"/>
      <c r="J666" s="1526"/>
      <c r="K666" s="1526"/>
      <c r="L666" s="1526"/>
      <c r="M666" s="1526"/>
      <c r="N666" s="1526"/>
      <c r="O666" s="1526"/>
      <c r="P666" s="1493"/>
      <c r="Q666" s="1493"/>
      <c r="R666" s="1493"/>
      <c r="S666" s="1493"/>
      <c r="T666" s="1493"/>
      <c r="U666" s="1493"/>
      <c r="V666" s="1493"/>
      <c r="W666" s="1493"/>
      <c r="X666" s="1493"/>
      <c r="Y666" s="1493"/>
      <c r="Z666" s="1493"/>
      <c r="AA666" s="1493"/>
      <c r="AB666" s="1493"/>
      <c r="AC666" s="1493"/>
      <c r="AD666" s="1493"/>
      <c r="AE666" s="1493"/>
      <c r="AF666" s="1493"/>
      <c r="AG666" s="1493"/>
      <c r="AH666" s="1493"/>
      <c r="AI666" s="1493"/>
      <c r="AJ666" s="1493"/>
      <c r="AK666" s="1493"/>
      <c r="AL666" s="1493"/>
      <c r="AM666" s="1493"/>
      <c r="AN666" s="1493"/>
      <c r="AO666" s="1493"/>
      <c r="AP666" s="1493"/>
      <c r="AQ666" s="1493"/>
      <c r="AR666" s="1493"/>
      <c r="AS666" s="1493"/>
      <c r="AT666" s="1493"/>
      <c r="AU666" s="1493"/>
      <c r="AV666" s="1493"/>
      <c r="AW666" s="1493"/>
      <c r="AX666" s="1493"/>
      <c r="AY666" s="1493"/>
      <c r="AZ666" s="1493"/>
      <c r="BA666" s="1493"/>
      <c r="BB666" s="1493"/>
      <c r="BC666" s="1493"/>
      <c r="BD666" s="1493"/>
      <c r="BE666" s="1493"/>
      <c r="BF666" s="1493"/>
      <c r="BG666" s="1493"/>
      <c r="BH666" s="1493"/>
      <c r="BI666" s="1493"/>
      <c r="BJ666" s="1493"/>
      <c r="BK666" s="1493"/>
      <c r="BL666" s="1493"/>
      <c r="BM666" s="1493"/>
      <c r="BN666" s="1493"/>
      <c r="BO666" s="1493"/>
      <c r="BP666" s="1493"/>
      <c r="BQ666" s="1493"/>
      <c r="BR666" s="1493"/>
      <c r="BS666" s="1493"/>
      <c r="BT666" s="1493"/>
      <c r="BU666" s="1493"/>
      <c r="BV666" s="1493"/>
      <c r="BW666" s="1493"/>
      <c r="BX666" s="1493"/>
      <c r="BY666" s="1493"/>
      <c r="BZ666" s="1493"/>
      <c r="CA666" s="1493"/>
      <c r="CB666" s="1493"/>
      <c r="CC666" s="1493"/>
      <c r="CD666" s="1493"/>
      <c r="CE666" s="1493"/>
      <c r="CF666" s="1493"/>
      <c r="CG666" s="1493"/>
      <c r="CH666" s="1493"/>
      <c r="CI666" s="1493"/>
      <c r="CJ666" s="1493"/>
      <c r="CK666" s="1493"/>
      <c r="CL666" s="1493"/>
      <c r="CM666" s="1493"/>
      <c r="CN666" s="1493"/>
      <c r="CO666" s="1493"/>
      <c r="CP666" s="1493"/>
      <c r="CQ666" s="1493"/>
      <c r="CR666" s="1493"/>
      <c r="CS666" s="1493"/>
      <c r="CT666" s="1493"/>
      <c r="CU666" s="1493"/>
      <c r="CV666" s="1493"/>
      <c r="CW666" s="1493"/>
      <c r="CX666" s="1493"/>
      <c r="CY666" s="1493"/>
      <c r="CZ666" s="1493"/>
      <c r="DA666" s="1493"/>
      <c r="DB666" s="1493"/>
      <c r="DC666" s="1493"/>
      <c r="DD666" s="1493"/>
      <c r="DE666" s="1493"/>
      <c r="DF666" s="1493"/>
      <c r="DG666" s="1493"/>
      <c r="DH666" s="1493"/>
      <c r="DI666" s="1493"/>
    </row>
    <row r="667" spans="1:113" ht="15.75" x14ac:dyDescent="0.25">
      <c r="A667" s="1519" t="s">
        <v>3055</v>
      </c>
      <c r="B667" s="1528"/>
      <c r="C667" s="1529"/>
      <c r="D667" s="1350"/>
      <c r="E667" s="1350"/>
      <c r="F667" s="1350"/>
      <c r="G667" s="1350"/>
      <c r="H667" s="1526"/>
      <c r="I667" s="1526"/>
      <c r="J667" s="1526"/>
      <c r="K667" s="1526"/>
      <c r="L667" s="1526"/>
      <c r="M667" s="1526"/>
      <c r="N667" s="1526"/>
      <c r="O667" s="1526"/>
      <c r="P667" s="1493"/>
      <c r="Q667" s="1493"/>
      <c r="R667" s="1493"/>
      <c r="S667" s="1493"/>
      <c r="T667" s="1493"/>
      <c r="U667" s="1493"/>
      <c r="V667" s="1493"/>
      <c r="W667" s="1493"/>
      <c r="X667" s="1493"/>
      <c r="Y667" s="1493"/>
      <c r="Z667" s="1493"/>
      <c r="AA667" s="1493"/>
      <c r="AB667" s="1493"/>
      <c r="AC667" s="1493"/>
      <c r="AD667" s="1493"/>
      <c r="AE667" s="1493"/>
      <c r="AF667" s="1493"/>
      <c r="AG667" s="1493"/>
      <c r="AH667" s="1493"/>
      <c r="AI667" s="1493"/>
      <c r="AJ667" s="1493"/>
      <c r="AK667" s="1493"/>
      <c r="AL667" s="1493"/>
      <c r="AM667" s="1493"/>
      <c r="AN667" s="1493"/>
      <c r="AO667" s="1493"/>
      <c r="AP667" s="1493"/>
      <c r="AQ667" s="1493"/>
      <c r="AR667" s="1493"/>
      <c r="AS667" s="1493"/>
      <c r="AT667" s="1493"/>
      <c r="AU667" s="1493"/>
      <c r="AV667" s="1493"/>
      <c r="AW667" s="1493"/>
      <c r="AX667" s="1493"/>
      <c r="AY667" s="1493"/>
      <c r="AZ667" s="1493"/>
      <c r="BA667" s="1493"/>
      <c r="BB667" s="1493"/>
      <c r="BC667" s="1493"/>
      <c r="BD667" s="1493"/>
      <c r="BE667" s="1493"/>
      <c r="BF667" s="1493"/>
      <c r="BG667" s="1493"/>
      <c r="BH667" s="1493"/>
      <c r="BI667" s="1493"/>
      <c r="BJ667" s="1493"/>
      <c r="BK667" s="1493"/>
      <c r="BL667" s="1493"/>
      <c r="BM667" s="1493"/>
      <c r="BN667" s="1493"/>
      <c r="BO667" s="1493"/>
      <c r="BP667" s="1493"/>
      <c r="BQ667" s="1493"/>
      <c r="BR667" s="1493"/>
      <c r="BS667" s="1493"/>
      <c r="BT667" s="1493"/>
      <c r="BU667" s="1493"/>
      <c r="BV667" s="1493"/>
      <c r="BW667" s="1493"/>
      <c r="BX667" s="1493"/>
      <c r="BY667" s="1493"/>
      <c r="BZ667" s="1493"/>
      <c r="CA667" s="1493"/>
      <c r="CB667" s="1493"/>
      <c r="CC667" s="1493"/>
      <c r="CD667" s="1493"/>
      <c r="CE667" s="1493"/>
      <c r="CF667" s="1493"/>
      <c r="CG667" s="1493"/>
      <c r="CH667" s="1493"/>
      <c r="CI667" s="1493"/>
      <c r="CJ667" s="1493"/>
      <c r="CK667" s="1493"/>
      <c r="CL667" s="1493"/>
      <c r="CM667" s="1493"/>
      <c r="CN667" s="1493"/>
      <c r="CO667" s="1493"/>
      <c r="CP667" s="1493"/>
      <c r="CQ667" s="1493"/>
      <c r="CR667" s="1493"/>
      <c r="CS667" s="1493"/>
      <c r="CT667" s="1493"/>
      <c r="CU667" s="1493"/>
      <c r="CV667" s="1493"/>
      <c r="CW667" s="1493"/>
      <c r="CX667" s="1493"/>
      <c r="CY667" s="1493"/>
      <c r="CZ667" s="1493"/>
      <c r="DA667" s="1493"/>
      <c r="DB667" s="1493"/>
      <c r="DC667" s="1493"/>
      <c r="DD667" s="1493"/>
      <c r="DE667" s="1493"/>
      <c r="DF667" s="1493"/>
      <c r="DG667" s="1493"/>
      <c r="DH667" s="1493"/>
      <c r="DI667" s="1493"/>
    </row>
    <row r="668" spans="1:113" ht="15.75" x14ac:dyDescent="0.25">
      <c r="A668" s="1530" t="s">
        <v>3056</v>
      </c>
      <c r="B668" s="1508">
        <f>IF(B659=1.26,0.9,1)</f>
        <v>1</v>
      </c>
      <c r="C668" s="1416"/>
      <c r="D668" s="1416"/>
      <c r="E668" s="1416"/>
      <c r="F668" s="1416"/>
      <c r="G668" s="1416"/>
      <c r="H668" s="1526"/>
      <c r="I668" s="1526"/>
      <c r="J668" s="1526"/>
      <c r="K668" s="1526"/>
      <c r="L668" s="1526"/>
      <c r="M668" s="1526"/>
      <c r="N668" s="1526"/>
      <c r="O668" s="1526"/>
      <c r="P668" s="1493"/>
      <c r="Q668" s="1493"/>
      <c r="R668" s="1493"/>
      <c r="S668" s="1493"/>
      <c r="T668" s="1493"/>
      <c r="U668" s="1493"/>
      <c r="V668" s="1493"/>
      <c r="W668" s="1493"/>
      <c r="X668" s="1493"/>
      <c r="Y668" s="1493"/>
      <c r="Z668" s="1493"/>
      <c r="AA668" s="1493"/>
      <c r="AB668" s="1493"/>
      <c r="AC668" s="1493"/>
      <c r="AD668" s="1493"/>
      <c r="AE668" s="1493"/>
      <c r="AF668" s="1493"/>
      <c r="AG668" s="1493"/>
      <c r="AH668" s="1493"/>
      <c r="AI668" s="1493"/>
      <c r="AJ668" s="1493"/>
      <c r="AK668" s="1493"/>
      <c r="AL668" s="1493"/>
      <c r="AM668" s="1493"/>
      <c r="AN668" s="1493"/>
      <c r="AO668" s="1493"/>
      <c r="AP668" s="1493"/>
      <c r="AQ668" s="1493"/>
      <c r="AR668" s="1493"/>
      <c r="AS668" s="1493"/>
      <c r="AT668" s="1493"/>
      <c r="AU668" s="1493"/>
      <c r="AV668" s="1493"/>
      <c r="AW668" s="1493"/>
      <c r="AX668" s="1493"/>
      <c r="AY668" s="1493"/>
      <c r="AZ668" s="1493"/>
      <c r="BA668" s="1493"/>
      <c r="BB668" s="1493"/>
      <c r="BC668" s="1493"/>
      <c r="BD668" s="1493"/>
      <c r="BE668" s="1493"/>
      <c r="BF668" s="1493"/>
      <c r="BG668" s="1493"/>
      <c r="BH668" s="1493"/>
      <c r="BI668" s="1493"/>
      <c r="BJ668" s="1493"/>
      <c r="BK668" s="1493"/>
      <c r="BL668" s="1493"/>
      <c r="BM668" s="1493"/>
      <c r="BN668" s="1493"/>
      <c r="BO668" s="1493"/>
      <c r="BP668" s="1493"/>
      <c r="BQ668" s="1493"/>
      <c r="BR668" s="1493"/>
      <c r="BS668" s="1493"/>
      <c r="BT668" s="1493"/>
      <c r="BU668" s="1493"/>
      <c r="BV668" s="1493"/>
      <c r="BW668" s="1493"/>
      <c r="BX668" s="1493"/>
      <c r="BY668" s="1493"/>
      <c r="BZ668" s="1493"/>
      <c r="CA668" s="1493"/>
      <c r="CB668" s="1493"/>
      <c r="CC668" s="1493"/>
      <c r="CD668" s="1493"/>
      <c r="CE668" s="1493"/>
      <c r="CF668" s="1493"/>
      <c r="CG668" s="1493"/>
      <c r="CH668" s="1493"/>
      <c r="CI668" s="1493"/>
      <c r="CJ668" s="1493"/>
      <c r="CK668" s="1493"/>
      <c r="CL668" s="1493"/>
      <c r="CM668" s="1493"/>
      <c r="CN668" s="1493"/>
      <c r="CO668" s="1493"/>
      <c r="CP668" s="1493"/>
      <c r="CQ668" s="1493"/>
      <c r="CR668" s="1493"/>
      <c r="CS668" s="1493"/>
      <c r="CT668" s="1493"/>
      <c r="CU668" s="1493"/>
      <c r="CV668" s="1493"/>
      <c r="CW668" s="1493"/>
      <c r="CX668" s="1493"/>
      <c r="CY668" s="1493"/>
      <c r="CZ668" s="1493"/>
      <c r="DA668" s="1493"/>
      <c r="DB668" s="1493"/>
      <c r="DC668" s="1493"/>
      <c r="DD668" s="1493"/>
      <c r="DE668" s="1493"/>
      <c r="DF668" s="1493"/>
      <c r="DG668" s="1493"/>
      <c r="DH668" s="1493"/>
      <c r="DI668" s="1493"/>
    </row>
    <row r="669" spans="1:113" ht="15.75" x14ac:dyDescent="0.25">
      <c r="A669" s="1519" t="s">
        <v>3057</v>
      </c>
      <c r="B669" s="1522">
        <f>IF(B655&lt;30,0.9,0.8)</f>
        <v>0.8</v>
      </c>
      <c r="C669" s="1523"/>
      <c r="D669" s="1521"/>
      <c r="E669" s="1521"/>
      <c r="F669" s="1521"/>
      <c r="G669" s="1521"/>
      <c r="H669" s="1531"/>
      <c r="I669" s="1531"/>
      <c r="J669" s="1493"/>
      <c r="K669" s="1493"/>
      <c r="L669" s="1493"/>
      <c r="M669" s="1493"/>
      <c r="N669" s="1493"/>
      <c r="O669" s="1493"/>
      <c r="P669" s="1493"/>
      <c r="Q669" s="1493"/>
      <c r="R669" s="1493"/>
      <c r="S669" s="1493"/>
      <c r="T669" s="1493"/>
      <c r="U669" s="1493"/>
      <c r="V669" s="1493"/>
      <c r="W669" s="1493"/>
      <c r="X669" s="1493"/>
      <c r="Y669" s="1493"/>
      <c r="Z669" s="1493"/>
      <c r="AA669" s="1493"/>
      <c r="AB669" s="1493"/>
      <c r="AC669" s="1493"/>
      <c r="AD669" s="1493"/>
      <c r="AE669" s="1493"/>
      <c r="AF669" s="1493"/>
      <c r="AG669" s="1493"/>
      <c r="AH669" s="1493"/>
      <c r="AI669" s="1493"/>
      <c r="AJ669" s="1493"/>
      <c r="AK669" s="1493"/>
      <c r="AL669" s="1493"/>
      <c r="AM669" s="1493"/>
      <c r="AN669" s="1493"/>
      <c r="AO669" s="1493"/>
      <c r="AP669" s="1493"/>
      <c r="AQ669" s="1493"/>
      <c r="AR669" s="1493"/>
      <c r="AS669" s="1493"/>
      <c r="AT669" s="1493"/>
      <c r="AU669" s="1493"/>
      <c r="AV669" s="1493"/>
      <c r="AW669" s="1493"/>
      <c r="AX669" s="1493"/>
      <c r="AY669" s="1493"/>
      <c r="AZ669" s="1493"/>
      <c r="BA669" s="1493"/>
      <c r="BB669" s="1493"/>
      <c r="BC669" s="1493"/>
      <c r="BD669" s="1493"/>
      <c r="BE669" s="1493"/>
      <c r="BF669" s="1493"/>
      <c r="BG669" s="1493"/>
      <c r="BH669" s="1493"/>
      <c r="BI669" s="1493"/>
      <c r="BJ669" s="1493"/>
      <c r="BK669" s="1493"/>
      <c r="BL669" s="1493"/>
      <c r="BM669" s="1493"/>
      <c r="BN669" s="1493"/>
      <c r="BO669" s="1493"/>
      <c r="BP669" s="1493"/>
      <c r="BQ669" s="1493"/>
      <c r="BR669" s="1493"/>
      <c r="BS669" s="1493"/>
      <c r="BT669" s="1493"/>
      <c r="BU669" s="1493"/>
      <c r="BV669" s="1493"/>
      <c r="BW669" s="1493"/>
      <c r="BX669" s="1493"/>
      <c r="BY669" s="1493"/>
      <c r="BZ669" s="1493"/>
      <c r="CA669" s="1493"/>
      <c r="CB669" s="1493"/>
      <c r="CC669" s="1493"/>
      <c r="CD669" s="1493"/>
      <c r="CE669" s="1493"/>
      <c r="CF669" s="1493"/>
      <c r="CG669" s="1493"/>
      <c r="CH669" s="1493"/>
      <c r="CI669" s="1493"/>
      <c r="CJ669" s="1493"/>
      <c r="CK669" s="1493"/>
      <c r="CL669" s="1493"/>
      <c r="CM669" s="1493"/>
      <c r="CN669" s="1493"/>
      <c r="CO669" s="1493"/>
      <c r="CP669" s="1493"/>
      <c r="CQ669" s="1493"/>
      <c r="CR669" s="1493"/>
      <c r="CS669" s="1493"/>
      <c r="CT669" s="1493"/>
      <c r="CU669" s="1493"/>
      <c r="CV669" s="1493"/>
      <c r="CW669" s="1493"/>
      <c r="CX669" s="1493"/>
      <c r="CY669" s="1493"/>
      <c r="CZ669" s="1493"/>
      <c r="DA669" s="1493"/>
      <c r="DB669" s="1493"/>
      <c r="DC669" s="1493"/>
      <c r="DD669" s="1493"/>
      <c r="DE669" s="1493"/>
      <c r="DF669" s="1493"/>
      <c r="DG669" s="1493"/>
      <c r="DH669" s="1493"/>
      <c r="DI669" s="1493"/>
    </row>
    <row r="670" spans="1:113" ht="15.75" x14ac:dyDescent="0.25">
      <c r="A670" s="1519" t="s">
        <v>3058</v>
      </c>
      <c r="B670" s="1522">
        <f>IF(B656=3,1.15,IF(B656=4,1.15,1))</f>
        <v>1</v>
      </c>
      <c r="C670" s="1523"/>
      <c r="D670" s="1523"/>
      <c r="E670" s="1523"/>
      <c r="F670" s="1523"/>
      <c r="G670" s="1523"/>
      <c r="H670" s="1531"/>
      <c r="I670" s="1531"/>
      <c r="J670" s="1493"/>
      <c r="K670" s="1493"/>
      <c r="L670" s="1493"/>
      <c r="M670" s="1493"/>
      <c r="N670" s="1493"/>
      <c r="O670" s="1493"/>
      <c r="P670" s="1493"/>
      <c r="Q670" s="1493"/>
      <c r="R670" s="1493"/>
      <c r="S670" s="1493"/>
      <c r="T670" s="1493"/>
      <c r="U670" s="1493"/>
      <c r="V670" s="1493"/>
      <c r="W670" s="1493"/>
      <c r="X670" s="1493"/>
      <c r="Y670" s="1493"/>
      <c r="Z670" s="1493"/>
      <c r="AA670" s="1493"/>
      <c r="AB670" s="1493"/>
      <c r="AC670" s="1493"/>
      <c r="AD670" s="1493"/>
      <c r="AE670" s="1493"/>
      <c r="AF670" s="1493"/>
      <c r="AG670" s="1493"/>
      <c r="AH670" s="1493"/>
      <c r="AI670" s="1493"/>
      <c r="AJ670" s="1493"/>
      <c r="AK670" s="1493"/>
      <c r="AL670" s="1493"/>
      <c r="AM670" s="1493"/>
      <c r="AN670" s="1493"/>
      <c r="AO670" s="1493"/>
      <c r="AP670" s="1493"/>
      <c r="AQ670" s="1493"/>
      <c r="AR670" s="1493"/>
      <c r="AS670" s="1493"/>
      <c r="AT670" s="1493"/>
      <c r="AU670" s="1493"/>
      <c r="AV670" s="1493"/>
      <c r="AW670" s="1493"/>
      <c r="AX670" s="1493"/>
      <c r="AY670" s="1493"/>
      <c r="AZ670" s="1493"/>
      <c r="BA670" s="1493"/>
      <c r="BB670" s="1493"/>
      <c r="BC670" s="1493"/>
      <c r="BD670" s="1493"/>
      <c r="BE670" s="1493"/>
      <c r="BF670" s="1493"/>
      <c r="BG670" s="1493"/>
      <c r="BH670" s="1493"/>
      <c r="BI670" s="1493"/>
      <c r="BJ670" s="1493"/>
      <c r="BK670" s="1493"/>
      <c r="BL670" s="1493"/>
      <c r="BM670" s="1493"/>
      <c r="BN670" s="1493"/>
      <c r="BO670" s="1493"/>
      <c r="BP670" s="1493"/>
      <c r="BQ670" s="1493"/>
      <c r="BR670" s="1493"/>
      <c r="BS670" s="1493"/>
      <c r="BT670" s="1493"/>
      <c r="BU670" s="1493"/>
      <c r="BV670" s="1493"/>
      <c r="BW670" s="1493"/>
      <c r="BX670" s="1493"/>
      <c r="BY670" s="1493"/>
      <c r="BZ670" s="1493"/>
      <c r="CA670" s="1493"/>
      <c r="CB670" s="1493"/>
      <c r="CC670" s="1493"/>
      <c r="CD670" s="1493"/>
      <c r="CE670" s="1493"/>
      <c r="CF670" s="1493"/>
      <c r="CG670" s="1493"/>
      <c r="CH670" s="1493"/>
      <c r="CI670" s="1493"/>
      <c r="CJ670" s="1493"/>
      <c r="CK670" s="1493"/>
      <c r="CL670" s="1493"/>
      <c r="CM670" s="1493"/>
      <c r="CN670" s="1493"/>
      <c r="CO670" s="1493"/>
      <c r="CP670" s="1493"/>
      <c r="CQ670" s="1493"/>
      <c r="CR670" s="1493"/>
      <c r="CS670" s="1493"/>
      <c r="CT670" s="1493"/>
      <c r="CU670" s="1493"/>
      <c r="CV670" s="1493"/>
      <c r="CW670" s="1493"/>
      <c r="CX670" s="1493"/>
      <c r="CY670" s="1493"/>
      <c r="CZ670" s="1493"/>
      <c r="DA670" s="1493"/>
      <c r="DB670" s="1493"/>
      <c r="DC670" s="1493"/>
      <c r="DD670" s="1493"/>
      <c r="DE670" s="1493"/>
      <c r="DF670" s="1493"/>
      <c r="DG670" s="1493"/>
      <c r="DH670" s="1493"/>
      <c r="DI670" s="1493"/>
    </row>
    <row r="671" spans="1:113" ht="15.75" x14ac:dyDescent="0.25">
      <c r="A671" s="1519" t="s">
        <v>3059</v>
      </c>
      <c r="B671" s="1522" t="e">
        <f>B668*B669*B670*B341</f>
        <v>#VALUE!</v>
      </c>
      <c r="C671" s="1523"/>
      <c r="D671" s="1523"/>
      <c r="E671" s="1523"/>
      <c r="F671" s="1523"/>
      <c r="G671" s="1523"/>
      <c r="H671" s="1531"/>
      <c r="I671" s="1531"/>
      <c r="J671" s="1493"/>
      <c r="K671" s="1493"/>
      <c r="L671" s="1493"/>
      <c r="M671" s="1493"/>
      <c r="N671" s="1493"/>
      <c r="O671" s="1493"/>
      <c r="P671" s="1493"/>
      <c r="Q671" s="1493"/>
      <c r="R671" s="1493"/>
      <c r="S671" s="1493"/>
      <c r="T671" s="1493"/>
      <c r="U671" s="1493"/>
      <c r="V671" s="1493"/>
      <c r="W671" s="1493"/>
      <c r="X671" s="1493"/>
      <c r="Y671" s="1493"/>
      <c r="Z671" s="1493"/>
      <c r="AA671" s="1493"/>
      <c r="AB671" s="1493"/>
      <c r="AC671" s="1493"/>
      <c r="AD671" s="1493"/>
      <c r="AE671" s="1493"/>
      <c r="AF671" s="1493"/>
      <c r="AG671" s="1493"/>
      <c r="AH671" s="1493"/>
      <c r="AI671" s="1493"/>
      <c r="AJ671" s="1493"/>
      <c r="AK671" s="1493"/>
      <c r="AL671" s="1493"/>
      <c r="AM671" s="1493"/>
      <c r="AN671" s="1493"/>
      <c r="AO671" s="1493"/>
      <c r="AP671" s="1493"/>
      <c r="AQ671" s="1493"/>
      <c r="AR671" s="1493"/>
      <c r="AS671" s="1493"/>
      <c r="AT671" s="1493"/>
      <c r="AU671" s="1493"/>
      <c r="AV671" s="1493"/>
      <c r="AW671" s="1493"/>
      <c r="AX671" s="1493"/>
      <c r="AY671" s="1493"/>
      <c r="AZ671" s="1493"/>
      <c r="BA671" s="1493"/>
      <c r="BB671" s="1493"/>
      <c r="BC671" s="1493"/>
      <c r="BD671" s="1493"/>
      <c r="BE671" s="1493"/>
      <c r="BF671" s="1493"/>
      <c r="BG671" s="1493"/>
      <c r="BH671" s="1493"/>
      <c r="BI671" s="1493"/>
      <c r="BJ671" s="1493"/>
      <c r="BK671" s="1493"/>
      <c r="BL671" s="1493"/>
      <c r="BM671" s="1493"/>
      <c r="BN671" s="1493"/>
      <c r="BO671" s="1493"/>
      <c r="BP671" s="1493"/>
      <c r="BQ671" s="1493"/>
      <c r="BR671" s="1493"/>
      <c r="BS671" s="1493"/>
      <c r="BT671" s="1493"/>
      <c r="BU671" s="1493"/>
      <c r="BV671" s="1493"/>
      <c r="BW671" s="1493"/>
      <c r="BX671" s="1493"/>
      <c r="BY671" s="1493"/>
      <c r="BZ671" s="1493"/>
      <c r="CA671" s="1493"/>
      <c r="CB671" s="1493"/>
      <c r="CC671" s="1493"/>
      <c r="CD671" s="1493"/>
      <c r="CE671" s="1493"/>
      <c r="CF671" s="1493"/>
      <c r="CG671" s="1493"/>
      <c r="CH671" s="1493"/>
      <c r="CI671" s="1493"/>
      <c r="CJ671" s="1493"/>
      <c r="CK671" s="1493"/>
      <c r="CL671" s="1493"/>
      <c r="CM671" s="1493"/>
      <c r="CN671" s="1493"/>
      <c r="CO671" s="1493"/>
      <c r="CP671" s="1493"/>
      <c r="CQ671" s="1493"/>
      <c r="CR671" s="1493"/>
      <c r="CS671" s="1493"/>
      <c r="CT671" s="1493"/>
      <c r="CU671" s="1493"/>
      <c r="CV671" s="1493"/>
      <c r="CW671" s="1493"/>
      <c r="CX671" s="1493"/>
      <c r="CY671" s="1493"/>
      <c r="CZ671" s="1493"/>
      <c r="DA671" s="1493"/>
      <c r="DB671" s="1493"/>
      <c r="DC671" s="1493"/>
      <c r="DD671" s="1493"/>
      <c r="DE671" s="1493"/>
      <c r="DF671" s="1493"/>
      <c r="DG671" s="1493"/>
      <c r="DH671" s="1493"/>
      <c r="DI671" s="1493"/>
    </row>
    <row r="672" spans="1:113" ht="15.75" x14ac:dyDescent="0.25">
      <c r="A672" s="1519" t="s">
        <v>3060</v>
      </c>
      <c r="B672" s="1522" t="e">
        <f>B671*B666</f>
        <v>#VALUE!</v>
      </c>
      <c r="C672" s="1523"/>
      <c r="D672" s="1350"/>
      <c r="E672" s="1350"/>
      <c r="F672" s="1350"/>
      <c r="G672" s="1350"/>
      <c r="H672" s="1350"/>
      <c r="I672" s="1531"/>
      <c r="J672" s="1493"/>
      <c r="K672" s="1493"/>
      <c r="L672" s="1493"/>
      <c r="M672" s="1493"/>
      <c r="N672" s="1493"/>
      <c r="O672" s="1493"/>
      <c r="P672" s="1493"/>
      <c r="Q672" s="1493"/>
      <c r="R672" s="1493"/>
      <c r="S672" s="1493"/>
      <c r="T672" s="1493"/>
      <c r="U672" s="1493"/>
      <c r="V672" s="1493"/>
      <c r="W672" s="1493"/>
      <c r="X672" s="1493"/>
      <c r="Y672" s="1493"/>
      <c r="Z672" s="1493"/>
      <c r="AA672" s="1493"/>
      <c r="AB672" s="1493"/>
      <c r="AC672" s="1493"/>
      <c r="AD672" s="1493"/>
      <c r="AE672" s="1493"/>
      <c r="AF672" s="1493"/>
      <c r="AG672" s="1493"/>
      <c r="AH672" s="1493"/>
      <c r="AI672" s="1493"/>
      <c r="AJ672" s="1493"/>
      <c r="AK672" s="1493"/>
      <c r="AL672" s="1493"/>
      <c r="AM672" s="1493"/>
      <c r="AN672" s="1493"/>
      <c r="AO672" s="1493"/>
      <c r="AP672" s="1493"/>
      <c r="AQ672" s="1493"/>
      <c r="AR672" s="1493"/>
      <c r="AS672" s="1493"/>
      <c r="AT672" s="1493"/>
      <c r="AU672" s="1493"/>
      <c r="AV672" s="1493"/>
      <c r="AW672" s="1493"/>
      <c r="AX672" s="1493"/>
      <c r="AY672" s="1493"/>
      <c r="AZ672" s="1493"/>
      <c r="BA672" s="1493"/>
      <c r="BB672" s="1493"/>
      <c r="BC672" s="1493"/>
      <c r="BD672" s="1493"/>
      <c r="BE672" s="1493"/>
      <c r="BF672" s="1493"/>
      <c r="BG672" s="1493"/>
      <c r="BH672" s="1493"/>
      <c r="BI672" s="1493"/>
      <c r="BJ672" s="1493"/>
      <c r="BK672" s="1493"/>
      <c r="BL672" s="1493"/>
      <c r="BM672" s="1493"/>
      <c r="BN672" s="1493"/>
      <c r="BO672" s="1493"/>
      <c r="BP672" s="1493"/>
      <c r="BQ672" s="1493"/>
      <c r="BR672" s="1493"/>
      <c r="BS672" s="1493"/>
      <c r="BT672" s="1493"/>
      <c r="BU672" s="1493"/>
      <c r="BV672" s="1493"/>
      <c r="BW672" s="1493"/>
      <c r="BX672" s="1493"/>
      <c r="BY672" s="1493"/>
      <c r="BZ672" s="1493"/>
      <c r="CA672" s="1493"/>
      <c r="CB672" s="1493"/>
      <c r="CC672" s="1493"/>
      <c r="CD672" s="1493"/>
      <c r="CE672" s="1493"/>
      <c r="CF672" s="1493"/>
      <c r="CG672" s="1493"/>
      <c r="CH672" s="1493"/>
      <c r="CI672" s="1493"/>
      <c r="CJ672" s="1493"/>
      <c r="CK672" s="1493"/>
      <c r="CL672" s="1493"/>
      <c r="CM672" s="1493"/>
      <c r="CN672" s="1493"/>
      <c r="CO672" s="1493"/>
      <c r="CP672" s="1493"/>
      <c r="CQ672" s="1493"/>
      <c r="CR672" s="1493"/>
      <c r="CS672" s="1493"/>
      <c r="CT672" s="1493"/>
      <c r="CU672" s="1493"/>
      <c r="CV672" s="1493"/>
      <c r="CW672" s="1493"/>
      <c r="CX672" s="1493"/>
      <c r="CY672" s="1493"/>
      <c r="CZ672" s="1493"/>
      <c r="DA672" s="1493"/>
      <c r="DB672" s="1493"/>
      <c r="DC672" s="1493"/>
      <c r="DD672" s="1493"/>
      <c r="DE672" s="1493"/>
      <c r="DF672" s="1493"/>
      <c r="DG672" s="1493"/>
      <c r="DH672" s="1493"/>
      <c r="DI672" s="1493"/>
    </row>
    <row r="673" spans="1:113" ht="16.5" thickBot="1" x14ac:dyDescent="0.3">
      <c r="A673" s="1532" t="s">
        <v>3061</v>
      </c>
      <c r="B673" s="1533" t="e">
        <f>B662/B672</f>
        <v>#REF!</v>
      </c>
      <c r="C673" s="1523"/>
      <c r="D673" s="1523"/>
      <c r="E673" s="1523"/>
      <c r="F673" s="1523"/>
      <c r="G673" s="1523"/>
      <c r="H673" s="1531"/>
      <c r="I673" s="1531"/>
      <c r="J673" s="1493"/>
      <c r="K673" s="1493"/>
      <c r="L673" s="1493"/>
      <c r="M673" s="1493"/>
      <c r="N673" s="1493"/>
      <c r="O673" s="1493"/>
      <c r="P673" s="1493"/>
      <c r="Q673" s="1493"/>
      <c r="R673" s="1493"/>
      <c r="S673" s="1493"/>
      <c r="T673" s="1493"/>
      <c r="U673" s="1493"/>
      <c r="V673" s="1493"/>
      <c r="W673" s="1493"/>
      <c r="X673" s="1493"/>
      <c r="Y673" s="1493"/>
      <c r="Z673" s="1493"/>
      <c r="AA673" s="1493"/>
      <c r="AB673" s="1493"/>
      <c r="AC673" s="1493"/>
      <c r="AD673" s="1493"/>
      <c r="AE673" s="1493"/>
      <c r="AF673" s="1493"/>
      <c r="AG673" s="1493"/>
      <c r="AH673" s="1493"/>
      <c r="AI673" s="1493"/>
      <c r="AJ673" s="1493"/>
      <c r="AK673" s="1493"/>
      <c r="AL673" s="1493"/>
      <c r="AM673" s="1493"/>
      <c r="AN673" s="1493"/>
      <c r="AO673" s="1493"/>
      <c r="AP673" s="1493"/>
      <c r="AQ673" s="1493"/>
      <c r="AR673" s="1493"/>
      <c r="AS673" s="1493"/>
      <c r="AT673" s="1493"/>
      <c r="AU673" s="1493"/>
      <c r="AV673" s="1493"/>
      <c r="AW673" s="1493"/>
      <c r="AX673" s="1493"/>
      <c r="AY673" s="1493"/>
      <c r="AZ673" s="1493"/>
      <c r="BA673" s="1493"/>
      <c r="BB673" s="1493"/>
      <c r="BC673" s="1493"/>
      <c r="BD673" s="1493"/>
      <c r="BE673" s="1493"/>
      <c r="BF673" s="1493"/>
      <c r="BG673" s="1493"/>
      <c r="BH673" s="1493"/>
      <c r="BI673" s="1493"/>
      <c r="BJ673" s="1493"/>
      <c r="BK673" s="1493"/>
      <c r="BL673" s="1493"/>
      <c r="BM673" s="1493"/>
      <c r="BN673" s="1493"/>
      <c r="BO673" s="1493"/>
      <c r="BP673" s="1493"/>
      <c r="BQ673" s="1493"/>
      <c r="BR673" s="1493"/>
      <c r="BS673" s="1493"/>
      <c r="BT673" s="1493"/>
      <c r="BU673" s="1493"/>
      <c r="BV673" s="1493"/>
      <c r="BW673" s="1493"/>
      <c r="BX673" s="1493"/>
      <c r="BY673" s="1493"/>
      <c r="BZ673" s="1493"/>
      <c r="CA673" s="1493"/>
      <c r="CB673" s="1493"/>
      <c r="CC673" s="1493"/>
      <c r="CD673" s="1493"/>
      <c r="CE673" s="1493"/>
      <c r="CF673" s="1493"/>
      <c r="CG673" s="1493"/>
      <c r="CH673" s="1493"/>
      <c r="CI673" s="1493"/>
      <c r="CJ673" s="1493"/>
      <c r="CK673" s="1493"/>
      <c r="CL673" s="1493"/>
      <c r="CM673" s="1493"/>
      <c r="CN673" s="1493"/>
      <c r="CO673" s="1493"/>
      <c r="CP673" s="1493"/>
      <c r="CQ673" s="1493"/>
      <c r="CR673" s="1493"/>
      <c r="CS673" s="1493"/>
      <c r="CT673" s="1493"/>
      <c r="CU673" s="1493"/>
      <c r="CV673" s="1493"/>
      <c r="CW673" s="1493"/>
      <c r="CX673" s="1493"/>
      <c r="CY673" s="1493"/>
      <c r="CZ673" s="1493"/>
      <c r="DA673" s="1493"/>
      <c r="DB673" s="1493"/>
      <c r="DC673" s="1493"/>
      <c r="DD673" s="1493"/>
      <c r="DE673" s="1493"/>
      <c r="DF673" s="1493"/>
      <c r="DG673" s="1493"/>
      <c r="DH673" s="1493"/>
      <c r="DI673" s="1493"/>
    </row>
    <row r="674" spans="1:113" ht="15.75" x14ac:dyDescent="0.25">
      <c r="A674" s="1493" t="s">
        <v>3062</v>
      </c>
      <c r="B674" s="1489" t="e">
        <f>INDEX($C$1582:$C$1592,B664)</f>
        <v>#VALUE!</v>
      </c>
      <c r="C674" s="1523"/>
      <c r="D674" s="1529"/>
      <c r="E674" s="1529"/>
      <c r="F674" s="1529"/>
      <c r="G674" s="1529"/>
      <c r="H674" s="1531"/>
      <c r="I674" s="1531"/>
      <c r="J674" s="1493"/>
      <c r="K674" s="1493"/>
      <c r="L674" s="1493"/>
      <c r="M674" s="1493"/>
      <c r="N674" s="1493"/>
      <c r="O674" s="1493"/>
      <c r="P674" s="1493"/>
      <c r="Q674" s="1493"/>
      <c r="R674" s="1493"/>
      <c r="S674" s="1493"/>
      <c r="T674" s="1493"/>
      <c r="U674" s="1493"/>
      <c r="V674" s="1493"/>
      <c r="W674" s="1493"/>
      <c r="X674" s="1493"/>
      <c r="Y674" s="1493"/>
      <c r="Z674" s="1493"/>
      <c r="AA674" s="1493"/>
      <c r="AB674" s="1493"/>
      <c r="AC674" s="1493"/>
      <c r="AD674" s="1493"/>
      <c r="AE674" s="1493"/>
      <c r="AF674" s="1493"/>
      <c r="AG674" s="1493"/>
      <c r="AH674" s="1493"/>
      <c r="AI674" s="1493"/>
      <c r="AJ674" s="1493"/>
      <c r="AK674" s="1493"/>
      <c r="AL674" s="1493"/>
      <c r="AM674" s="1493"/>
      <c r="AN674" s="1493"/>
      <c r="AO674" s="1493"/>
      <c r="AP674" s="1493"/>
      <c r="AQ674" s="1493"/>
      <c r="AR674" s="1493"/>
      <c r="AS674" s="1493"/>
      <c r="AT674" s="1493"/>
      <c r="AU674" s="1493"/>
      <c r="AV674" s="1493"/>
      <c r="AW674" s="1493"/>
      <c r="AX674" s="1493"/>
      <c r="AY674" s="1493"/>
      <c r="AZ674" s="1493"/>
      <c r="BA674" s="1493"/>
      <c r="BB674" s="1493"/>
      <c r="BC674" s="1493"/>
      <c r="BD674" s="1493"/>
      <c r="BE674" s="1493"/>
      <c r="BF674" s="1493"/>
      <c r="BG674" s="1493"/>
      <c r="BH674" s="1493"/>
      <c r="BI674" s="1493"/>
      <c r="BJ674" s="1493"/>
      <c r="BK674" s="1493"/>
      <c r="BL674" s="1493"/>
      <c r="BM674" s="1493"/>
      <c r="BN674" s="1493"/>
      <c r="BO674" s="1493"/>
      <c r="BP674" s="1493"/>
      <c r="BQ674" s="1493"/>
      <c r="BR674" s="1493"/>
      <c r="BS674" s="1493"/>
      <c r="BT674" s="1493"/>
      <c r="BU674" s="1493"/>
      <c r="BV674" s="1493"/>
      <c r="BW674" s="1493"/>
      <c r="BX674" s="1493"/>
      <c r="BY674" s="1493"/>
      <c r="BZ674" s="1493"/>
      <c r="CA674" s="1493"/>
      <c r="CB674" s="1493"/>
      <c r="CC674" s="1493"/>
      <c r="CD674" s="1493"/>
      <c r="CE674" s="1493"/>
      <c r="CF674" s="1493"/>
      <c r="CG674" s="1493"/>
      <c r="CH674" s="1493"/>
      <c r="CI674" s="1493"/>
      <c r="CJ674" s="1493"/>
      <c r="CK674" s="1493"/>
      <c r="CL674" s="1493"/>
      <c r="CM674" s="1493"/>
      <c r="CN674" s="1493"/>
      <c r="CO674" s="1493"/>
      <c r="CP674" s="1493"/>
      <c r="CQ674" s="1493"/>
      <c r="CR674" s="1493"/>
      <c r="CS674" s="1493"/>
      <c r="CT674" s="1493"/>
      <c r="CU674" s="1493"/>
      <c r="CV674" s="1493"/>
      <c r="CW674" s="1493"/>
      <c r="CX674" s="1493"/>
      <c r="CY674" s="1493"/>
      <c r="CZ674" s="1493"/>
      <c r="DA674" s="1493"/>
      <c r="DB674" s="1493"/>
      <c r="DC674" s="1493"/>
      <c r="DD674" s="1493"/>
      <c r="DE674" s="1493"/>
      <c r="DF674" s="1493"/>
      <c r="DG674" s="1493"/>
      <c r="DH674" s="1493"/>
      <c r="DI674" s="1493"/>
    </row>
    <row r="675" spans="1:113" ht="15.75" x14ac:dyDescent="0.25">
      <c r="A675" s="1493" t="s">
        <v>4653</v>
      </c>
      <c r="B675" s="1489" t="e">
        <f>B668*B669*B341</f>
        <v>#VALUE!</v>
      </c>
      <c r="C675" s="1523"/>
      <c r="D675" s="1416"/>
      <c r="E675" s="1416"/>
      <c r="F675" s="1416"/>
      <c r="G675" s="1416"/>
      <c r="H675" s="1531"/>
      <c r="I675" s="1531"/>
      <c r="J675" s="1493"/>
      <c r="K675" s="1493"/>
      <c r="L675" s="1493"/>
      <c r="M675" s="1493"/>
      <c r="N675" s="1493"/>
      <c r="O675" s="1493"/>
      <c r="P675" s="1493"/>
      <c r="Q675" s="1493"/>
      <c r="R675" s="1493"/>
      <c r="S675" s="1493"/>
      <c r="T675" s="1493"/>
      <c r="U675" s="1493"/>
      <c r="V675" s="1493"/>
      <c r="W675" s="1493"/>
      <c r="X675" s="1493"/>
      <c r="Y675" s="1493"/>
      <c r="Z675" s="1493"/>
      <c r="AA675" s="1493"/>
      <c r="AB675" s="1493"/>
      <c r="AC675" s="1493"/>
      <c r="AD675" s="1493"/>
      <c r="AE675" s="1493"/>
      <c r="AF675" s="1493"/>
      <c r="AG675" s="1493"/>
      <c r="AH675" s="1493"/>
      <c r="AI675" s="1493"/>
      <c r="AJ675" s="1493"/>
      <c r="AK675" s="1493"/>
      <c r="AL675" s="1493"/>
      <c r="AM675" s="1493"/>
      <c r="AN675" s="1493"/>
      <c r="AO675" s="1493"/>
      <c r="AP675" s="1493"/>
      <c r="AQ675" s="1493"/>
      <c r="AR675" s="1493"/>
      <c r="AS675" s="1493"/>
      <c r="AT675" s="1493"/>
      <c r="AU675" s="1493"/>
      <c r="AV675" s="1493"/>
      <c r="AW675" s="1493"/>
      <c r="AX675" s="1493"/>
      <c r="AY675" s="1493"/>
      <c r="AZ675" s="1493"/>
      <c r="BA675" s="1493"/>
      <c r="BB675" s="1493"/>
      <c r="BC675" s="1493"/>
      <c r="BD675" s="1493"/>
      <c r="BE675" s="1493"/>
      <c r="BF675" s="1493"/>
      <c r="BG675" s="1493"/>
      <c r="BH675" s="1493"/>
      <c r="BI675" s="1493"/>
      <c r="BJ675" s="1493"/>
      <c r="BK675" s="1493"/>
      <c r="BL675" s="1493"/>
      <c r="BM675" s="1493"/>
      <c r="BN675" s="1493"/>
      <c r="BO675" s="1493"/>
      <c r="BP675" s="1493"/>
      <c r="BQ675" s="1493"/>
      <c r="BR675" s="1493"/>
      <c r="BS675" s="1493"/>
      <c r="BT675" s="1493"/>
      <c r="BU675" s="1493"/>
      <c r="BV675" s="1493"/>
      <c r="BW675" s="1493"/>
      <c r="BX675" s="1493"/>
      <c r="BY675" s="1493"/>
      <c r="BZ675" s="1493"/>
      <c r="CA675" s="1493"/>
      <c r="CB675" s="1493"/>
      <c r="CC675" s="1493"/>
      <c r="CD675" s="1493"/>
      <c r="CE675" s="1493"/>
      <c r="CF675" s="1493"/>
      <c r="CG675" s="1493"/>
      <c r="CH675" s="1493"/>
      <c r="CI675" s="1493"/>
      <c r="CJ675" s="1493"/>
      <c r="CK675" s="1493"/>
      <c r="CL675" s="1493"/>
      <c r="CM675" s="1493"/>
      <c r="CN675" s="1493"/>
      <c r="CO675" s="1493"/>
      <c r="CP675" s="1493"/>
      <c r="CQ675" s="1493"/>
      <c r="CR675" s="1493"/>
      <c r="CS675" s="1493"/>
      <c r="CT675" s="1493"/>
      <c r="CU675" s="1493"/>
      <c r="CV675" s="1493"/>
      <c r="CW675" s="1493"/>
      <c r="CX675" s="1493"/>
      <c r="CY675" s="1493"/>
      <c r="CZ675" s="1493"/>
      <c r="DA675" s="1493"/>
      <c r="DB675" s="1493"/>
      <c r="DC675" s="1493"/>
      <c r="DD675" s="1493"/>
      <c r="DE675" s="1493"/>
      <c r="DF675" s="1493"/>
      <c r="DG675" s="1493"/>
      <c r="DH675" s="1493"/>
      <c r="DI675" s="1493"/>
    </row>
    <row r="676" spans="1:113" ht="15.75" x14ac:dyDescent="0.25">
      <c r="A676" s="1493" t="s">
        <v>4654</v>
      </c>
      <c r="B676" s="1489" t="e">
        <f>B674*B675</f>
        <v>#VALUE!</v>
      </c>
      <c r="C676" s="1489"/>
      <c r="D676" s="1523"/>
      <c r="E676" s="1523"/>
      <c r="F676" s="1523"/>
      <c r="G676" s="1523"/>
      <c r="H676" s="1531"/>
      <c r="I676" s="1531"/>
      <c r="J676" s="1493"/>
      <c r="K676" s="1493"/>
      <c r="L676" s="1493"/>
      <c r="M676" s="1493"/>
      <c r="N676" s="1493"/>
      <c r="O676" s="1493"/>
      <c r="P676" s="1493"/>
      <c r="Q676" s="1493"/>
      <c r="R676" s="1493"/>
      <c r="S676" s="1493"/>
      <c r="T676" s="1493"/>
      <c r="U676" s="1493"/>
      <c r="V676" s="1493"/>
      <c r="W676" s="1493"/>
      <c r="X676" s="1493"/>
      <c r="Y676" s="1493"/>
      <c r="Z676" s="1493"/>
      <c r="AA676" s="1493"/>
      <c r="AB676" s="1493"/>
      <c r="AC676" s="1493"/>
      <c r="AD676" s="1493"/>
      <c r="AE676" s="1493"/>
      <c r="AF676" s="1493"/>
      <c r="AG676" s="1493"/>
      <c r="AH676" s="1493"/>
      <c r="AI676" s="1493"/>
      <c r="AJ676" s="1493"/>
      <c r="AK676" s="1493"/>
      <c r="AL676" s="1493"/>
      <c r="AM676" s="1493"/>
      <c r="AN676" s="1493"/>
      <c r="AO676" s="1493"/>
      <c r="AP676" s="1493"/>
      <c r="AQ676" s="1493"/>
      <c r="AR676" s="1493"/>
      <c r="AS676" s="1493"/>
      <c r="AT676" s="1493"/>
      <c r="AU676" s="1493"/>
      <c r="AV676" s="1493"/>
      <c r="AW676" s="1493"/>
      <c r="AX676" s="1493"/>
      <c r="AY676" s="1493"/>
      <c r="AZ676" s="1493"/>
      <c r="BA676" s="1493"/>
      <c r="BB676" s="1493"/>
      <c r="BC676" s="1493"/>
      <c r="BD676" s="1493"/>
      <c r="BE676" s="1493"/>
      <c r="BF676" s="1493"/>
      <c r="BG676" s="1493"/>
      <c r="BH676" s="1493"/>
      <c r="BI676" s="1493"/>
      <c r="BJ676" s="1493"/>
      <c r="BK676" s="1493"/>
      <c r="BL676" s="1493"/>
      <c r="BM676" s="1493"/>
      <c r="BN676" s="1493"/>
      <c r="BO676" s="1493"/>
      <c r="BP676" s="1493"/>
      <c r="BQ676" s="1493"/>
      <c r="BR676" s="1493"/>
      <c r="BS676" s="1493"/>
      <c r="BT676" s="1493"/>
      <c r="BU676" s="1493"/>
      <c r="BV676" s="1493"/>
      <c r="BW676" s="1493"/>
      <c r="BX676" s="1493"/>
      <c r="BY676" s="1493"/>
      <c r="BZ676" s="1493"/>
      <c r="CA676" s="1493"/>
      <c r="CB676" s="1493"/>
      <c r="CC676" s="1493"/>
      <c r="CD676" s="1493"/>
      <c r="CE676" s="1493"/>
      <c r="CF676" s="1493"/>
      <c r="CG676" s="1493"/>
      <c r="CH676" s="1493"/>
      <c r="CI676" s="1493"/>
      <c r="CJ676" s="1493"/>
      <c r="CK676" s="1493"/>
      <c r="CL676" s="1493"/>
      <c r="CM676" s="1493"/>
      <c r="CN676" s="1493"/>
      <c r="CO676" s="1493"/>
      <c r="CP676" s="1493"/>
      <c r="CQ676" s="1493"/>
      <c r="CR676" s="1493"/>
      <c r="CS676" s="1493"/>
      <c r="CT676" s="1493"/>
      <c r="CU676" s="1493"/>
      <c r="CV676" s="1493"/>
      <c r="CW676" s="1493"/>
      <c r="CX676" s="1493"/>
      <c r="CY676" s="1493"/>
      <c r="CZ676" s="1493"/>
      <c r="DA676" s="1493"/>
      <c r="DB676" s="1493"/>
      <c r="DC676" s="1493"/>
      <c r="DD676" s="1493"/>
      <c r="DE676" s="1493"/>
      <c r="DF676" s="1493"/>
      <c r="DG676" s="1493"/>
      <c r="DH676" s="1493"/>
      <c r="DI676" s="1493"/>
    </row>
    <row r="677" spans="1:113" ht="15.75" x14ac:dyDescent="0.25">
      <c r="A677" s="1493" t="s">
        <v>18</v>
      </c>
      <c r="B677" s="1489" t="e">
        <f>B662/B676</f>
        <v>#REF!</v>
      </c>
      <c r="C677" s="1489"/>
      <c r="D677" s="1523"/>
      <c r="E677" s="1523"/>
      <c r="F677" s="1523"/>
      <c r="G677" s="1523"/>
      <c r="H677" s="1531"/>
      <c r="I677" s="1531"/>
      <c r="J677" s="1493"/>
      <c r="K677" s="1493"/>
      <c r="L677" s="1493"/>
      <c r="M677" s="1493"/>
      <c r="N677" s="1493"/>
      <c r="O677" s="1493"/>
      <c r="P677" s="1493"/>
      <c r="Q677" s="1493"/>
      <c r="R677" s="1493"/>
      <c r="S677" s="1493"/>
      <c r="T677" s="1493"/>
      <c r="U677" s="1493"/>
      <c r="V677" s="1493"/>
      <c r="W677" s="1493"/>
      <c r="X677" s="1493"/>
      <c r="Y677" s="1493"/>
      <c r="Z677" s="1493"/>
      <c r="AA677" s="1493"/>
      <c r="AB677" s="1493"/>
      <c r="AC677" s="1493"/>
      <c r="AD677" s="1493"/>
      <c r="AE677" s="1493"/>
      <c r="AF677" s="1493"/>
      <c r="AG677" s="1493"/>
      <c r="AH677" s="1493"/>
      <c r="AI677" s="1493"/>
      <c r="AJ677" s="1493"/>
      <c r="AK677" s="1493"/>
      <c r="AL677" s="1493"/>
      <c r="AM677" s="1493"/>
      <c r="AN677" s="1493"/>
      <c r="AO677" s="1493"/>
      <c r="AP677" s="1493"/>
      <c r="AQ677" s="1493"/>
      <c r="AR677" s="1493"/>
      <c r="AS677" s="1493"/>
      <c r="AT677" s="1493"/>
      <c r="AU677" s="1493"/>
      <c r="AV677" s="1493"/>
      <c r="AW677" s="1493"/>
      <c r="AX677" s="1493"/>
      <c r="AY677" s="1493"/>
      <c r="AZ677" s="1493"/>
      <c r="BA677" s="1493"/>
      <c r="BB677" s="1493"/>
      <c r="BC677" s="1493"/>
      <c r="BD677" s="1493"/>
      <c r="BE677" s="1493"/>
      <c r="BF677" s="1493"/>
      <c r="BG677" s="1493"/>
      <c r="BH677" s="1493"/>
      <c r="BI677" s="1493"/>
      <c r="BJ677" s="1493"/>
      <c r="BK677" s="1493"/>
      <c r="BL677" s="1493"/>
      <c r="BM677" s="1493"/>
      <c r="BN677" s="1493"/>
      <c r="BO677" s="1493"/>
      <c r="BP677" s="1493"/>
      <c r="BQ677" s="1493"/>
      <c r="BR677" s="1493"/>
      <c r="BS677" s="1493"/>
      <c r="BT677" s="1493"/>
      <c r="BU677" s="1493"/>
      <c r="BV677" s="1493"/>
      <c r="BW677" s="1493"/>
      <c r="BX677" s="1493"/>
      <c r="BY677" s="1493"/>
      <c r="BZ677" s="1493"/>
      <c r="CA677" s="1493"/>
      <c r="CB677" s="1493"/>
      <c r="CC677" s="1493"/>
      <c r="CD677" s="1493"/>
      <c r="CE677" s="1493"/>
      <c r="CF677" s="1493"/>
      <c r="CG677" s="1493"/>
      <c r="CH677" s="1493"/>
      <c r="CI677" s="1493"/>
      <c r="CJ677" s="1493"/>
      <c r="CK677" s="1493"/>
      <c r="CL677" s="1493"/>
      <c r="CM677" s="1493"/>
      <c r="CN677" s="1493"/>
      <c r="CO677" s="1493"/>
      <c r="CP677" s="1493"/>
      <c r="CQ677" s="1493"/>
      <c r="CR677" s="1493"/>
      <c r="CS677" s="1493"/>
      <c r="CT677" s="1493"/>
      <c r="CU677" s="1493"/>
      <c r="CV677" s="1493"/>
      <c r="CW677" s="1493"/>
      <c r="CX677" s="1493"/>
      <c r="CY677" s="1493"/>
      <c r="CZ677" s="1493"/>
      <c r="DA677" s="1493"/>
      <c r="DB677" s="1493"/>
      <c r="DC677" s="1493"/>
      <c r="DD677" s="1493"/>
      <c r="DE677" s="1493"/>
      <c r="DF677" s="1493"/>
      <c r="DG677" s="1493"/>
      <c r="DH677" s="1493"/>
      <c r="DI677" s="1493"/>
    </row>
    <row r="678" spans="1:113" ht="15.75" x14ac:dyDescent="0.25">
      <c r="A678" s="1493" t="s">
        <v>19</v>
      </c>
      <c r="B678" s="1489" t="e">
        <f>B673+B677</f>
        <v>#REF!</v>
      </c>
      <c r="C678" s="1489"/>
      <c r="D678" s="1523"/>
      <c r="E678" s="1523"/>
      <c r="F678" s="1523"/>
      <c r="G678" s="1523"/>
      <c r="H678" s="1531"/>
      <c r="I678" s="1531"/>
      <c r="J678" s="1493"/>
      <c r="K678" s="1493"/>
      <c r="L678" s="1493"/>
      <c r="M678" s="1493"/>
      <c r="N678" s="1493"/>
      <c r="O678" s="1493"/>
      <c r="P678" s="1493"/>
      <c r="Q678" s="1493"/>
      <c r="R678" s="1493"/>
      <c r="S678" s="1493"/>
      <c r="T678" s="1493"/>
      <c r="U678" s="1493"/>
      <c r="V678" s="1493"/>
      <c r="W678" s="1493"/>
      <c r="X678" s="1493"/>
      <c r="Y678" s="1493"/>
      <c r="Z678" s="1493"/>
      <c r="AA678" s="1493"/>
      <c r="AB678" s="1493"/>
      <c r="AC678" s="1493"/>
      <c r="AD678" s="1493"/>
      <c r="AE678" s="1493"/>
      <c r="AF678" s="1493"/>
      <c r="AG678" s="1493"/>
      <c r="AH678" s="1493"/>
      <c r="AI678" s="1493"/>
      <c r="AJ678" s="1493"/>
      <c r="AK678" s="1493"/>
      <c r="AL678" s="1493"/>
      <c r="AM678" s="1493"/>
      <c r="AN678" s="1493"/>
      <c r="AO678" s="1493"/>
      <c r="AP678" s="1493"/>
      <c r="AQ678" s="1493"/>
      <c r="AR678" s="1493"/>
      <c r="AS678" s="1493"/>
      <c r="AT678" s="1493"/>
      <c r="AU678" s="1493"/>
      <c r="AV678" s="1493"/>
      <c r="AW678" s="1493"/>
      <c r="AX678" s="1493"/>
      <c r="AY678" s="1493"/>
      <c r="AZ678" s="1493"/>
      <c r="BA678" s="1493"/>
      <c r="BB678" s="1493"/>
      <c r="BC678" s="1493"/>
      <c r="BD678" s="1493"/>
      <c r="BE678" s="1493"/>
      <c r="BF678" s="1493"/>
      <c r="BG678" s="1493"/>
      <c r="BH678" s="1493"/>
      <c r="BI678" s="1493"/>
      <c r="BJ678" s="1493"/>
      <c r="BK678" s="1493"/>
      <c r="BL678" s="1493"/>
      <c r="BM678" s="1493"/>
      <c r="BN678" s="1493"/>
      <c r="BO678" s="1493"/>
      <c r="BP678" s="1493"/>
      <c r="BQ678" s="1493"/>
      <c r="BR678" s="1493"/>
      <c r="BS678" s="1493"/>
      <c r="BT678" s="1493"/>
      <c r="BU678" s="1493"/>
      <c r="BV678" s="1493"/>
      <c r="BW678" s="1493"/>
      <c r="BX678" s="1493"/>
      <c r="BY678" s="1493"/>
      <c r="BZ678" s="1493"/>
      <c r="CA678" s="1493"/>
      <c r="CB678" s="1493"/>
      <c r="CC678" s="1493"/>
      <c r="CD678" s="1493"/>
      <c r="CE678" s="1493"/>
      <c r="CF678" s="1493"/>
      <c r="CG678" s="1493"/>
      <c r="CH678" s="1493"/>
      <c r="CI678" s="1493"/>
      <c r="CJ678" s="1493"/>
      <c r="CK678" s="1493"/>
      <c r="CL678" s="1493"/>
      <c r="CM678" s="1493"/>
      <c r="CN678" s="1493"/>
      <c r="CO678" s="1493"/>
      <c r="CP678" s="1493"/>
      <c r="CQ678" s="1493"/>
      <c r="CR678" s="1493"/>
      <c r="CS678" s="1493"/>
      <c r="CT678" s="1493"/>
      <c r="CU678" s="1493"/>
      <c r="CV678" s="1493"/>
      <c r="CW678" s="1493"/>
      <c r="CX678" s="1493"/>
      <c r="CY678" s="1493"/>
      <c r="CZ678" s="1493"/>
      <c r="DA678" s="1493"/>
      <c r="DB678" s="1493"/>
      <c r="DC678" s="1493"/>
      <c r="DD678" s="1493"/>
      <c r="DE678" s="1493"/>
      <c r="DF678" s="1493"/>
      <c r="DG678" s="1493"/>
      <c r="DH678" s="1493"/>
      <c r="DI678" s="1493"/>
    </row>
    <row r="679" spans="1:113" ht="16.5" thickBot="1" x14ac:dyDescent="0.3">
      <c r="A679" s="1534"/>
      <c r="B679" s="1535"/>
      <c r="C679" s="1416"/>
      <c r="D679" s="1523"/>
      <c r="E679" s="1523"/>
      <c r="F679" s="1523"/>
      <c r="G679" s="1523"/>
      <c r="H679" s="1536"/>
      <c r="I679" s="1531"/>
      <c r="J679" s="1493"/>
      <c r="K679" s="1493"/>
      <c r="L679" s="1493"/>
      <c r="M679" s="1493"/>
      <c r="N679" s="1493"/>
      <c r="O679" s="1493"/>
      <c r="P679" s="1493"/>
      <c r="Q679" s="1493"/>
      <c r="R679" s="1493"/>
      <c r="S679" s="1493"/>
      <c r="T679" s="1493"/>
      <c r="U679" s="1493"/>
      <c r="V679" s="1493"/>
      <c r="W679" s="1493"/>
      <c r="X679" s="1493"/>
      <c r="Y679" s="1493"/>
      <c r="Z679" s="1493"/>
      <c r="AA679" s="1493"/>
      <c r="AB679" s="1493"/>
      <c r="AC679" s="1493"/>
      <c r="AD679" s="1493"/>
      <c r="AE679" s="1493"/>
      <c r="AF679" s="1493"/>
      <c r="AG679" s="1493"/>
      <c r="AH679" s="1493"/>
      <c r="AI679" s="1493"/>
      <c r="AJ679" s="1493"/>
      <c r="AK679" s="1493"/>
      <c r="AL679" s="1493"/>
      <c r="AM679" s="1493"/>
      <c r="AN679" s="1493"/>
      <c r="AO679" s="1493"/>
      <c r="AP679" s="1493"/>
      <c r="AQ679" s="1493"/>
      <c r="AR679" s="1493"/>
      <c r="AS679" s="1493"/>
      <c r="AT679" s="1493"/>
      <c r="AU679" s="1493"/>
      <c r="AV679" s="1493"/>
      <c r="AW679" s="1493"/>
      <c r="AX679" s="1493"/>
      <c r="AY679" s="1493"/>
      <c r="AZ679" s="1493"/>
      <c r="BA679" s="1493"/>
      <c r="BB679" s="1493"/>
      <c r="BC679" s="1493"/>
      <c r="BD679" s="1493"/>
      <c r="BE679" s="1493"/>
      <c r="BF679" s="1493"/>
      <c r="BG679" s="1493"/>
      <c r="BH679" s="1493"/>
      <c r="BI679" s="1493"/>
      <c r="BJ679" s="1493"/>
      <c r="BK679" s="1493"/>
      <c r="BL679" s="1493"/>
      <c r="BM679" s="1493"/>
      <c r="BN679" s="1493"/>
      <c r="BO679" s="1493"/>
      <c r="BP679" s="1493"/>
      <c r="BQ679" s="1493"/>
      <c r="BR679" s="1493"/>
      <c r="BS679" s="1493"/>
      <c r="BT679" s="1493"/>
      <c r="BU679" s="1493"/>
      <c r="BV679" s="1493"/>
      <c r="BW679" s="1493"/>
      <c r="BX679" s="1493"/>
      <c r="BY679" s="1493"/>
      <c r="BZ679" s="1493"/>
      <c r="CA679" s="1493"/>
      <c r="CB679" s="1493"/>
      <c r="CC679" s="1493"/>
      <c r="CD679" s="1493"/>
      <c r="CE679" s="1493"/>
      <c r="CF679" s="1493"/>
      <c r="CG679" s="1493"/>
      <c r="CH679" s="1493"/>
      <c r="CI679" s="1493"/>
      <c r="CJ679" s="1493"/>
      <c r="CK679" s="1493"/>
      <c r="CL679" s="1493"/>
      <c r="CM679" s="1493"/>
      <c r="CN679" s="1493"/>
      <c r="CO679" s="1493"/>
      <c r="CP679" s="1493"/>
      <c r="CQ679" s="1493"/>
      <c r="CR679" s="1493"/>
      <c r="CS679" s="1493"/>
      <c r="CT679" s="1493"/>
      <c r="CU679" s="1493"/>
      <c r="CV679" s="1493"/>
      <c r="CW679" s="1493"/>
      <c r="CX679" s="1493"/>
      <c r="CY679" s="1493"/>
      <c r="CZ679" s="1493"/>
      <c r="DA679" s="1493"/>
      <c r="DB679" s="1493"/>
      <c r="DC679" s="1493"/>
      <c r="DD679" s="1493"/>
      <c r="DE679" s="1493"/>
      <c r="DF679" s="1493"/>
      <c r="DG679" s="1493"/>
      <c r="DH679" s="1493"/>
      <c r="DI679" s="1493"/>
    </row>
    <row r="680" spans="1:113" ht="16.5" thickBot="1" x14ac:dyDescent="0.3">
      <c r="A680" s="1537" t="s">
        <v>20</v>
      </c>
      <c r="B680" s="1538"/>
      <c r="C680" s="1514"/>
      <c r="D680" s="1523"/>
      <c r="E680" s="1523"/>
      <c r="F680" s="1523"/>
      <c r="G680" s="1523"/>
      <c r="H680" s="1531"/>
      <c r="I680" s="1531"/>
      <c r="J680" s="1493"/>
      <c r="K680" s="1493"/>
      <c r="L680" s="1493"/>
      <c r="M680" s="1493"/>
      <c r="N680" s="1493"/>
      <c r="O680" s="1493"/>
      <c r="P680" s="1493"/>
      <c r="Q680" s="1493"/>
      <c r="R680" s="1493"/>
      <c r="S680" s="1493"/>
      <c r="T680" s="1493"/>
      <c r="U680" s="1493"/>
      <c r="V680" s="1493"/>
      <c r="W680" s="1493"/>
      <c r="X680" s="1493"/>
      <c r="Y680" s="1493"/>
      <c r="Z680" s="1493"/>
      <c r="AA680" s="1493"/>
      <c r="AB680" s="1493"/>
      <c r="AC680" s="1493"/>
      <c r="AD680" s="1493"/>
      <c r="AE680" s="1493"/>
      <c r="AF680" s="1493"/>
      <c r="AG680" s="1493"/>
      <c r="AH680" s="1493"/>
      <c r="AI680" s="1493"/>
      <c r="AJ680" s="1493"/>
      <c r="AK680" s="1493"/>
      <c r="AL680" s="1493"/>
      <c r="AM680" s="1493"/>
      <c r="AN680" s="1493"/>
      <c r="AO680" s="1493"/>
      <c r="AP680" s="1493"/>
      <c r="AQ680" s="1493"/>
      <c r="AR680" s="1493"/>
      <c r="AS680" s="1493"/>
      <c r="AT680" s="1493"/>
      <c r="AU680" s="1493"/>
      <c r="AV680" s="1493"/>
      <c r="AW680" s="1493"/>
      <c r="AX680" s="1493"/>
      <c r="AY680" s="1493"/>
      <c r="AZ680" s="1493"/>
      <c r="BA680" s="1493"/>
      <c r="BB680" s="1493"/>
      <c r="BC680" s="1493"/>
      <c r="BD680" s="1493"/>
      <c r="BE680" s="1493"/>
      <c r="BF680" s="1493"/>
      <c r="BG680" s="1493"/>
      <c r="BH680" s="1493"/>
      <c r="BI680" s="1493"/>
      <c r="BJ680" s="1493"/>
      <c r="BK680" s="1493"/>
      <c r="BL680" s="1493"/>
      <c r="BM680" s="1493"/>
      <c r="BN680" s="1493"/>
      <c r="BO680" s="1493"/>
      <c r="BP680" s="1493"/>
      <c r="BQ680" s="1493"/>
      <c r="BR680" s="1493"/>
      <c r="BS680" s="1493"/>
      <c r="BT680" s="1493"/>
      <c r="BU680" s="1493"/>
      <c r="BV680" s="1493"/>
      <c r="BW680" s="1493"/>
      <c r="BX680" s="1493"/>
      <c r="BY680" s="1493"/>
      <c r="BZ680" s="1493"/>
      <c r="CA680" s="1493"/>
      <c r="CB680" s="1493"/>
      <c r="CC680" s="1493"/>
      <c r="CD680" s="1493"/>
      <c r="CE680" s="1493"/>
      <c r="CF680" s="1493"/>
      <c r="CG680" s="1493"/>
      <c r="CH680" s="1493"/>
      <c r="CI680" s="1493"/>
      <c r="CJ680" s="1493"/>
      <c r="CK680" s="1493"/>
      <c r="CL680" s="1493"/>
      <c r="CM680" s="1493"/>
      <c r="CN680" s="1493"/>
      <c r="CO680" s="1493"/>
      <c r="CP680" s="1493"/>
      <c r="CQ680" s="1493"/>
      <c r="CR680" s="1493"/>
      <c r="CS680" s="1493"/>
      <c r="CT680" s="1493"/>
      <c r="CU680" s="1493"/>
      <c r="CV680" s="1493"/>
      <c r="CW680" s="1493"/>
      <c r="CX680" s="1493"/>
      <c r="CY680" s="1493"/>
      <c r="CZ680" s="1493"/>
      <c r="DA680" s="1493"/>
      <c r="DB680" s="1493"/>
      <c r="DC680" s="1493"/>
      <c r="DD680" s="1493"/>
      <c r="DE680" s="1493"/>
      <c r="DF680" s="1493"/>
      <c r="DG680" s="1493"/>
      <c r="DH680" s="1493"/>
      <c r="DI680" s="1493"/>
    </row>
    <row r="681" spans="1:113" ht="31.5" x14ac:dyDescent="0.25">
      <c r="A681" s="1539" t="s">
        <v>21</v>
      </c>
      <c r="B681" s="1540" t="e">
        <f>B662</f>
        <v>#REF!</v>
      </c>
      <c r="C681" s="1523"/>
      <c r="D681" s="1523"/>
      <c r="E681" s="1523"/>
      <c r="F681" s="1523"/>
      <c r="G681" s="1523"/>
      <c r="H681" s="1531"/>
      <c r="I681" s="1531"/>
      <c r="J681" s="1493"/>
      <c r="K681" s="1493"/>
      <c r="L681" s="1493"/>
      <c r="M681" s="1493"/>
      <c r="N681" s="1493"/>
      <c r="O681" s="1493"/>
      <c r="P681" s="1493"/>
      <c r="Q681" s="1493"/>
      <c r="R681" s="1493"/>
      <c r="S681" s="1493"/>
      <c r="T681" s="1493"/>
      <c r="U681" s="1493"/>
      <c r="V681" s="1493"/>
      <c r="W681" s="1493"/>
      <c r="X681" s="1493"/>
      <c r="Y681" s="1493"/>
      <c r="Z681" s="1493"/>
      <c r="AA681" s="1493"/>
      <c r="AB681" s="1493"/>
      <c r="AC681" s="1493"/>
      <c r="AD681" s="1493"/>
      <c r="AE681" s="1493"/>
      <c r="AF681" s="1493"/>
      <c r="AG681" s="1493"/>
      <c r="AH681" s="1493"/>
      <c r="AI681" s="1493"/>
      <c r="AJ681" s="1493"/>
      <c r="AK681" s="1493"/>
      <c r="AL681" s="1493"/>
      <c r="AM681" s="1493"/>
      <c r="AN681" s="1493"/>
      <c r="AO681" s="1493"/>
      <c r="AP681" s="1493"/>
      <c r="AQ681" s="1493"/>
      <c r="AR681" s="1493"/>
      <c r="AS681" s="1493"/>
      <c r="AT681" s="1493"/>
      <c r="AU681" s="1493"/>
      <c r="AV681" s="1493"/>
      <c r="AW681" s="1493"/>
      <c r="AX681" s="1493"/>
      <c r="AY681" s="1493"/>
      <c r="AZ681" s="1493"/>
      <c r="BA681" s="1493"/>
      <c r="BB681" s="1493"/>
      <c r="BC681" s="1493"/>
      <c r="BD681" s="1493"/>
      <c r="BE681" s="1493"/>
      <c r="BF681" s="1493"/>
      <c r="BG681" s="1493"/>
      <c r="BH681" s="1493"/>
      <c r="BI681" s="1493"/>
      <c r="BJ681" s="1493"/>
      <c r="BK681" s="1493"/>
      <c r="BL681" s="1493"/>
      <c r="BM681" s="1493"/>
      <c r="BN681" s="1493"/>
      <c r="BO681" s="1493"/>
      <c r="BP681" s="1493"/>
      <c r="BQ681" s="1493"/>
      <c r="BR681" s="1493"/>
      <c r="BS681" s="1493"/>
      <c r="BT681" s="1493"/>
      <c r="BU681" s="1493"/>
      <c r="BV681" s="1493"/>
      <c r="BW681" s="1493"/>
      <c r="BX681" s="1493"/>
      <c r="BY681" s="1493"/>
      <c r="BZ681" s="1493"/>
      <c r="CA681" s="1493"/>
      <c r="CB681" s="1493"/>
      <c r="CC681" s="1493"/>
      <c r="CD681" s="1493"/>
      <c r="CE681" s="1493"/>
      <c r="CF681" s="1493"/>
      <c r="CG681" s="1493"/>
      <c r="CH681" s="1493"/>
      <c r="CI681" s="1493"/>
      <c r="CJ681" s="1493"/>
      <c r="CK681" s="1493"/>
      <c r="CL681" s="1493"/>
      <c r="CM681" s="1493"/>
      <c r="CN681" s="1493"/>
      <c r="CO681" s="1493"/>
      <c r="CP681" s="1493"/>
      <c r="CQ681" s="1493"/>
      <c r="CR681" s="1493"/>
      <c r="CS681" s="1493"/>
      <c r="CT681" s="1493"/>
      <c r="CU681" s="1493"/>
      <c r="CV681" s="1493"/>
      <c r="CW681" s="1493"/>
      <c r="CX681" s="1493"/>
      <c r="CY681" s="1493"/>
      <c r="CZ681" s="1493"/>
      <c r="DA681" s="1493"/>
      <c r="DB681" s="1493"/>
      <c r="DC681" s="1493"/>
      <c r="DD681" s="1493"/>
      <c r="DE681" s="1493"/>
      <c r="DF681" s="1493"/>
      <c r="DG681" s="1493"/>
      <c r="DH681" s="1493"/>
      <c r="DI681" s="1493"/>
    </row>
    <row r="682" spans="1:113" ht="15.75" x14ac:dyDescent="0.25">
      <c r="A682" s="1519" t="s">
        <v>1536</v>
      </c>
      <c r="B682" s="1541"/>
      <c r="C682" s="1531"/>
      <c r="D682" s="1523"/>
      <c r="E682" s="1523"/>
      <c r="F682" s="1523"/>
      <c r="G682" s="1523"/>
      <c r="H682" s="1531"/>
      <c r="I682" s="1531"/>
      <c r="J682" s="1493"/>
      <c r="K682" s="1493"/>
      <c r="L682" s="1493"/>
      <c r="M682" s="1493"/>
      <c r="N682" s="1493"/>
      <c r="O682" s="1493"/>
      <c r="P682" s="1493"/>
      <c r="Q682" s="1493"/>
      <c r="R682" s="1493"/>
      <c r="S682" s="1493"/>
      <c r="T682" s="1493"/>
      <c r="U682" s="1493"/>
      <c r="V682" s="1493"/>
      <c r="W682" s="1493"/>
      <c r="X682" s="1493"/>
      <c r="Y682" s="1493"/>
      <c r="Z682" s="1493"/>
      <c r="AA682" s="1493"/>
      <c r="AB682" s="1493"/>
      <c r="AC682" s="1493"/>
      <c r="AD682" s="1493"/>
      <c r="AE682" s="1493"/>
      <c r="AF682" s="1493"/>
      <c r="AG682" s="1493"/>
      <c r="AH682" s="1493"/>
      <c r="AI682" s="1493"/>
      <c r="AJ682" s="1493"/>
      <c r="AK682" s="1493"/>
      <c r="AL682" s="1493"/>
      <c r="AM682" s="1493"/>
      <c r="AN682" s="1493"/>
      <c r="AO682" s="1493"/>
      <c r="AP682" s="1493"/>
      <c r="AQ682" s="1493"/>
      <c r="AR682" s="1493"/>
      <c r="AS682" s="1493"/>
      <c r="AT682" s="1493"/>
      <c r="AU682" s="1493"/>
      <c r="AV682" s="1493"/>
      <c r="AW682" s="1493"/>
      <c r="AX682" s="1493"/>
      <c r="AY682" s="1493"/>
      <c r="AZ682" s="1493"/>
      <c r="BA682" s="1493"/>
      <c r="BB682" s="1493"/>
      <c r="BC682" s="1493"/>
      <c r="BD682" s="1493"/>
      <c r="BE682" s="1493"/>
      <c r="BF682" s="1493"/>
      <c r="BG682" s="1493"/>
      <c r="BH682" s="1493"/>
      <c r="BI682" s="1493"/>
      <c r="BJ682" s="1493"/>
      <c r="BK682" s="1493"/>
      <c r="BL682" s="1493"/>
      <c r="BM682" s="1493"/>
      <c r="BN682" s="1493"/>
      <c r="BO682" s="1493"/>
      <c r="BP682" s="1493"/>
      <c r="BQ682" s="1493"/>
      <c r="BR682" s="1493"/>
      <c r="BS682" s="1493"/>
      <c r="BT682" s="1493"/>
      <c r="BU682" s="1493"/>
      <c r="BV682" s="1493"/>
      <c r="BW682" s="1493"/>
      <c r="BX682" s="1493"/>
      <c r="BY682" s="1493"/>
      <c r="BZ682" s="1493"/>
      <c r="CA682" s="1493"/>
      <c r="CB682" s="1493"/>
      <c r="CC682" s="1493"/>
      <c r="CD682" s="1493"/>
      <c r="CE682" s="1493"/>
      <c r="CF682" s="1493"/>
      <c r="CG682" s="1493"/>
      <c r="CH682" s="1493"/>
      <c r="CI682" s="1493"/>
      <c r="CJ682" s="1493"/>
      <c r="CK682" s="1493"/>
      <c r="CL682" s="1493"/>
      <c r="CM682" s="1493"/>
      <c r="CN682" s="1493"/>
      <c r="CO682" s="1493"/>
      <c r="CP682" s="1493"/>
      <c r="CQ682" s="1493"/>
      <c r="CR682" s="1493"/>
      <c r="CS682" s="1493"/>
      <c r="CT682" s="1493"/>
      <c r="CU682" s="1493"/>
      <c r="CV682" s="1493"/>
      <c r="CW682" s="1493"/>
      <c r="CX682" s="1493"/>
      <c r="CY682" s="1493"/>
      <c r="CZ682" s="1493"/>
      <c r="DA682" s="1493"/>
      <c r="DB682" s="1493"/>
      <c r="DC682" s="1493"/>
      <c r="DD682" s="1493"/>
      <c r="DE682" s="1493"/>
      <c r="DF682" s="1493"/>
      <c r="DG682" s="1493"/>
      <c r="DH682" s="1493"/>
      <c r="DI682" s="1493"/>
    </row>
    <row r="683" spans="1:113" ht="15.75" x14ac:dyDescent="0.25">
      <c r="A683" s="1519" t="s">
        <v>5479</v>
      </c>
      <c r="B683" s="1522" t="e">
        <f>B663</f>
        <v>#VALUE!</v>
      </c>
      <c r="C683" s="1523"/>
      <c r="D683" s="1489"/>
      <c r="E683" s="1489"/>
      <c r="F683" s="1489"/>
      <c r="G683" s="1489"/>
      <c r="H683" s="1493"/>
      <c r="I683" s="1493"/>
      <c r="J683" s="1493"/>
      <c r="K683" s="1493"/>
      <c r="L683" s="1493"/>
      <c r="M683" s="1493"/>
      <c r="N683" s="1493"/>
      <c r="O683" s="1493"/>
      <c r="P683" s="1493"/>
      <c r="Q683" s="1493"/>
      <c r="R683" s="1493"/>
      <c r="S683" s="1493"/>
      <c r="T683" s="1493"/>
      <c r="U683" s="1493"/>
      <c r="V683" s="1493"/>
      <c r="W683" s="1493"/>
      <c r="X683" s="1493"/>
      <c r="Y683" s="1493"/>
      <c r="Z683" s="1493"/>
      <c r="AA683" s="1493"/>
      <c r="AB683" s="1493"/>
      <c r="AC683" s="1493"/>
      <c r="AD683" s="1493"/>
      <c r="AE683" s="1493"/>
      <c r="AF683" s="1493"/>
      <c r="AG683" s="1493"/>
      <c r="AH683" s="1493"/>
      <c r="AI683" s="1493"/>
      <c r="AJ683" s="1493"/>
      <c r="AK683" s="1493"/>
      <c r="AL683" s="1493"/>
      <c r="AM683" s="1493"/>
      <c r="AN683" s="1493"/>
      <c r="AO683" s="1493"/>
      <c r="AP683" s="1493"/>
      <c r="AQ683" s="1493"/>
      <c r="AR683" s="1493"/>
      <c r="AS683" s="1493"/>
      <c r="AT683" s="1493"/>
      <c r="AU683" s="1493"/>
      <c r="AV683" s="1493"/>
      <c r="AW683" s="1493"/>
      <c r="AX683" s="1493"/>
      <c r="AY683" s="1493"/>
      <c r="AZ683" s="1493"/>
      <c r="BA683" s="1493"/>
      <c r="BB683" s="1493"/>
      <c r="BC683" s="1493"/>
      <c r="BD683" s="1493"/>
      <c r="BE683" s="1493"/>
      <c r="BF683" s="1493"/>
      <c r="BG683" s="1493"/>
      <c r="BH683" s="1493"/>
      <c r="BI683" s="1493"/>
      <c r="BJ683" s="1493"/>
      <c r="BK683" s="1493"/>
      <c r="BL683" s="1493"/>
      <c r="BM683" s="1493"/>
      <c r="BN683" s="1493"/>
      <c r="BO683" s="1493"/>
      <c r="BP683" s="1493"/>
      <c r="BQ683" s="1493"/>
      <c r="BR683" s="1493"/>
      <c r="BS683" s="1493"/>
      <c r="BT683" s="1493"/>
      <c r="BU683" s="1493"/>
      <c r="BV683" s="1493"/>
      <c r="BW683" s="1493"/>
      <c r="BX683" s="1493"/>
      <c r="BY683" s="1493"/>
      <c r="BZ683" s="1493"/>
      <c r="CA683" s="1493"/>
      <c r="CB683" s="1493"/>
      <c r="CC683" s="1493"/>
      <c r="CD683" s="1493"/>
      <c r="CE683" s="1493"/>
      <c r="CF683" s="1493"/>
      <c r="CG683" s="1493"/>
      <c r="CH683" s="1493"/>
      <c r="CI683" s="1493"/>
      <c r="CJ683" s="1493"/>
      <c r="CK683" s="1493"/>
      <c r="CL683" s="1493"/>
      <c r="CM683" s="1493"/>
      <c r="CN683" s="1493"/>
      <c r="CO683" s="1493"/>
      <c r="CP683" s="1493"/>
      <c r="CQ683" s="1493"/>
      <c r="CR683" s="1493"/>
      <c r="CS683" s="1493"/>
      <c r="CT683" s="1493"/>
      <c r="CU683" s="1493"/>
      <c r="CV683" s="1493"/>
      <c r="CW683" s="1493"/>
      <c r="CX683" s="1493"/>
      <c r="CY683" s="1493"/>
      <c r="CZ683" s="1493"/>
      <c r="DA683" s="1493"/>
      <c r="DB683" s="1493"/>
      <c r="DC683" s="1493"/>
      <c r="DD683" s="1493"/>
      <c r="DE683" s="1493"/>
      <c r="DF683" s="1493"/>
      <c r="DG683" s="1493"/>
      <c r="DH683" s="1493"/>
      <c r="DI683" s="1493"/>
    </row>
    <row r="684" spans="1:113" ht="15.75" x14ac:dyDescent="0.25">
      <c r="A684" s="1519" t="s">
        <v>1537</v>
      </c>
      <c r="B684" s="1522" t="e">
        <f>IF(B683&lt;23.1,1,IF(B683&lt;29.1,2,IF(B683&lt;36.1,3,IF(B683&lt;45.1,4,IF(B683&lt;55.1,5,6)))))</f>
        <v>#VALUE!</v>
      </c>
      <c r="C684" s="1523"/>
      <c r="D684" s="1489"/>
      <c r="E684" s="1489"/>
      <c r="F684" s="1489"/>
      <c r="G684" s="1489"/>
      <c r="H684" s="1493"/>
      <c r="I684" s="1493"/>
      <c r="J684" s="1493"/>
      <c r="K684" s="1493"/>
      <c r="L684" s="1493"/>
      <c r="M684" s="1493"/>
      <c r="N684" s="1493"/>
      <c r="O684" s="1493"/>
      <c r="P684" s="1493"/>
      <c r="Q684" s="1493"/>
      <c r="R684" s="1493"/>
      <c r="S684" s="1493"/>
      <c r="T684" s="1493"/>
      <c r="U684" s="1493"/>
      <c r="V684" s="1493"/>
      <c r="W684" s="1493"/>
      <c r="X684" s="1493"/>
      <c r="Y684" s="1493"/>
      <c r="Z684" s="1493"/>
      <c r="AA684" s="1493"/>
      <c r="AB684" s="1493"/>
      <c r="AC684" s="1493"/>
      <c r="AD684" s="1493"/>
      <c r="AE684" s="1493"/>
      <c r="AF684" s="1493"/>
      <c r="AG684" s="1493"/>
      <c r="AH684" s="1493"/>
      <c r="AI684" s="1493"/>
      <c r="AJ684" s="1493"/>
      <c r="AK684" s="1493"/>
      <c r="AL684" s="1493"/>
      <c r="AM684" s="1493"/>
      <c r="AN684" s="1493"/>
      <c r="AO684" s="1493"/>
      <c r="AP684" s="1493"/>
      <c r="AQ684" s="1493"/>
      <c r="AR684" s="1493"/>
      <c r="AS684" s="1493"/>
      <c r="AT684" s="1493"/>
      <c r="AU684" s="1493"/>
      <c r="AV684" s="1493"/>
      <c r="AW684" s="1493"/>
      <c r="AX684" s="1493"/>
      <c r="AY684" s="1493"/>
      <c r="AZ684" s="1493"/>
      <c r="BA684" s="1493"/>
      <c r="BB684" s="1493"/>
      <c r="BC684" s="1493"/>
      <c r="BD684" s="1493"/>
      <c r="BE684" s="1493"/>
      <c r="BF684" s="1493"/>
      <c r="BG684" s="1493"/>
      <c r="BH684" s="1493"/>
      <c r="BI684" s="1493"/>
      <c r="BJ684" s="1493"/>
      <c r="BK684" s="1493"/>
      <c r="BL684" s="1493"/>
      <c r="BM684" s="1493"/>
      <c r="BN684" s="1493"/>
      <c r="BO684" s="1493"/>
      <c r="BP684" s="1493"/>
      <c r="BQ684" s="1493"/>
      <c r="BR684" s="1493"/>
      <c r="BS684" s="1493"/>
      <c r="BT684" s="1493"/>
      <c r="BU684" s="1493"/>
      <c r="BV684" s="1493"/>
      <c r="BW684" s="1493"/>
      <c r="BX684" s="1493"/>
      <c r="BY684" s="1493"/>
      <c r="BZ684" s="1493"/>
      <c r="CA684" s="1493"/>
      <c r="CB684" s="1493"/>
      <c r="CC684" s="1493"/>
      <c r="CD684" s="1493"/>
      <c r="CE684" s="1493"/>
      <c r="CF684" s="1493"/>
      <c r="CG684" s="1493"/>
      <c r="CH684" s="1493"/>
      <c r="CI684" s="1493"/>
      <c r="CJ684" s="1493"/>
      <c r="CK684" s="1493"/>
      <c r="CL684" s="1493"/>
      <c r="CM684" s="1493"/>
      <c r="CN684" s="1493"/>
      <c r="CO684" s="1493"/>
      <c r="CP684" s="1493"/>
      <c r="CQ684" s="1493"/>
      <c r="CR684" s="1493"/>
      <c r="CS684" s="1493"/>
      <c r="CT684" s="1493"/>
      <c r="CU684" s="1493"/>
      <c r="CV684" s="1493"/>
      <c r="CW684" s="1493"/>
      <c r="CX684" s="1493"/>
      <c r="CY684" s="1493"/>
      <c r="CZ684" s="1493"/>
      <c r="DA684" s="1493"/>
      <c r="DB684" s="1493"/>
      <c r="DC684" s="1493"/>
      <c r="DD684" s="1493"/>
      <c r="DE684" s="1493"/>
      <c r="DF684" s="1493"/>
      <c r="DG684" s="1493"/>
      <c r="DH684" s="1493"/>
      <c r="DI684" s="1493"/>
    </row>
    <row r="685" spans="1:113" ht="15.75" x14ac:dyDescent="0.25">
      <c r="A685" s="1519" t="s">
        <v>1538</v>
      </c>
      <c r="B685" s="1522">
        <v>224</v>
      </c>
      <c r="C685" s="1523"/>
      <c r="D685" s="1489"/>
      <c r="E685" s="1489"/>
      <c r="F685" s="1489"/>
      <c r="G685" s="1489"/>
      <c r="H685" s="1493"/>
      <c r="I685" s="1493"/>
      <c r="J685" s="1493"/>
      <c r="K685" s="1493"/>
      <c r="L685" s="1493"/>
      <c r="M685" s="1493"/>
      <c r="N685" s="1493"/>
      <c r="O685" s="1493"/>
      <c r="P685" s="1493"/>
      <c r="Q685" s="1493"/>
      <c r="R685" s="1493"/>
      <c r="S685" s="1493"/>
      <c r="T685" s="1493"/>
      <c r="U685" s="1493"/>
      <c r="V685" s="1493"/>
      <c r="W685" s="1493"/>
      <c r="X685" s="1493"/>
      <c r="Y685" s="1493"/>
      <c r="Z685" s="1493"/>
      <c r="AA685" s="1493"/>
      <c r="AB685" s="1493"/>
      <c r="AC685" s="1493"/>
      <c r="AD685" s="1493"/>
      <c r="AE685" s="1493"/>
      <c r="AF685" s="1493"/>
      <c r="AG685" s="1493"/>
      <c r="AH685" s="1493"/>
      <c r="AI685" s="1493"/>
      <c r="AJ685" s="1493"/>
      <c r="AK685" s="1493"/>
      <c r="AL685" s="1493"/>
      <c r="AM685" s="1493"/>
      <c r="AN685" s="1493"/>
      <c r="AO685" s="1493"/>
      <c r="AP685" s="1493"/>
      <c r="AQ685" s="1493"/>
      <c r="AR685" s="1493"/>
      <c r="AS685" s="1493"/>
      <c r="AT685" s="1493"/>
      <c r="AU685" s="1493"/>
      <c r="AV685" s="1493"/>
      <c r="AW685" s="1493"/>
      <c r="AX685" s="1493"/>
      <c r="AY685" s="1493"/>
      <c r="AZ685" s="1493"/>
      <c r="BA685" s="1493"/>
      <c r="BB685" s="1493"/>
      <c r="BC685" s="1493"/>
      <c r="BD685" s="1493"/>
      <c r="BE685" s="1493"/>
      <c r="BF685" s="1493"/>
      <c r="BG685" s="1493"/>
      <c r="BH685" s="1493"/>
      <c r="BI685" s="1493"/>
      <c r="BJ685" s="1493"/>
      <c r="BK685" s="1493"/>
      <c r="BL685" s="1493"/>
      <c r="BM685" s="1493"/>
      <c r="BN685" s="1493"/>
      <c r="BO685" s="1493"/>
      <c r="BP685" s="1493"/>
      <c r="BQ685" s="1493"/>
      <c r="BR685" s="1493"/>
      <c r="BS685" s="1493"/>
      <c r="BT685" s="1493"/>
      <c r="BU685" s="1493"/>
      <c r="BV685" s="1493"/>
      <c r="BW685" s="1493"/>
      <c r="BX685" s="1493"/>
      <c r="BY685" s="1493"/>
      <c r="BZ685" s="1493"/>
      <c r="CA685" s="1493"/>
      <c r="CB685" s="1493"/>
      <c r="CC685" s="1493"/>
      <c r="CD685" s="1493"/>
      <c r="CE685" s="1493"/>
      <c r="CF685" s="1493"/>
      <c r="CG685" s="1493"/>
      <c r="CH685" s="1493"/>
      <c r="CI685" s="1493"/>
      <c r="CJ685" s="1493"/>
      <c r="CK685" s="1493"/>
      <c r="CL685" s="1493"/>
      <c r="CM685" s="1493"/>
      <c r="CN685" s="1493"/>
      <c r="CO685" s="1493"/>
      <c r="CP685" s="1493"/>
      <c r="CQ685" s="1493"/>
      <c r="CR685" s="1493"/>
      <c r="CS685" s="1493"/>
      <c r="CT685" s="1493"/>
      <c r="CU685" s="1493"/>
      <c r="CV685" s="1493"/>
      <c r="CW685" s="1493"/>
      <c r="CX685" s="1493"/>
      <c r="CY685" s="1493"/>
      <c r="CZ685" s="1493"/>
      <c r="DA685" s="1493"/>
      <c r="DB685" s="1493"/>
      <c r="DC685" s="1493"/>
      <c r="DD685" s="1493"/>
      <c r="DE685" s="1493"/>
      <c r="DF685" s="1493"/>
      <c r="DG685" s="1493"/>
      <c r="DH685" s="1493"/>
      <c r="DI685" s="1493"/>
    </row>
    <row r="686" spans="1:113" ht="31.5" x14ac:dyDescent="0.25">
      <c r="A686" s="1542" t="s">
        <v>3055</v>
      </c>
      <c r="B686" s="1541"/>
      <c r="C686" s="1531"/>
      <c r="D686" s="1416"/>
      <c r="E686" s="1416"/>
      <c r="F686" s="1416"/>
      <c r="G686" s="1416"/>
      <c r="H686" s="1531"/>
      <c r="I686" s="1493"/>
      <c r="J686" s="1493"/>
      <c r="K686" s="1493"/>
      <c r="L686" s="1493"/>
      <c r="M686" s="1493"/>
      <c r="N686" s="1493"/>
      <c r="O686" s="1493"/>
      <c r="P686" s="1493"/>
      <c r="Q686" s="1493"/>
      <c r="R686" s="1493"/>
      <c r="S686" s="1493"/>
      <c r="T686" s="1493"/>
      <c r="U686" s="1493"/>
      <c r="V686" s="1493"/>
      <c r="W686" s="1493"/>
      <c r="X686" s="1493"/>
      <c r="Y686" s="1493"/>
      <c r="Z686" s="1493"/>
      <c r="AA686" s="1493"/>
      <c r="AB686" s="1493"/>
      <c r="AC686" s="1493"/>
      <c r="AD686" s="1493"/>
      <c r="AE686" s="1493"/>
      <c r="AF686" s="1493"/>
      <c r="AG686" s="1493"/>
      <c r="AH686" s="1493"/>
      <c r="AI686" s="1493"/>
      <c r="AJ686" s="1493"/>
      <c r="AK686" s="1493"/>
      <c r="AL686" s="1493"/>
      <c r="AM686" s="1493"/>
      <c r="AN686" s="1493"/>
      <c r="AO686" s="1493"/>
      <c r="AP686" s="1493"/>
      <c r="AQ686" s="1493"/>
      <c r="AR686" s="1493"/>
      <c r="AS686" s="1493"/>
      <c r="AT686" s="1493"/>
      <c r="AU686" s="1493"/>
      <c r="AV686" s="1493"/>
      <c r="AW686" s="1493"/>
      <c r="AX686" s="1493"/>
      <c r="AY686" s="1493"/>
      <c r="AZ686" s="1493"/>
      <c r="BA686" s="1493"/>
      <c r="BB686" s="1493"/>
      <c r="BC686" s="1493"/>
      <c r="BD686" s="1493"/>
      <c r="BE686" s="1493"/>
      <c r="BF686" s="1493"/>
      <c r="BG686" s="1493"/>
      <c r="BH686" s="1493"/>
      <c r="BI686" s="1493"/>
      <c r="BJ686" s="1493"/>
      <c r="BK686" s="1493"/>
      <c r="BL686" s="1493"/>
      <c r="BM686" s="1493"/>
      <c r="BN686" s="1493"/>
      <c r="BO686" s="1493"/>
      <c r="BP686" s="1493"/>
      <c r="BQ686" s="1493"/>
      <c r="BR686" s="1493"/>
      <c r="BS686" s="1493"/>
      <c r="BT686" s="1493"/>
      <c r="BU686" s="1493"/>
      <c r="BV686" s="1493"/>
      <c r="BW686" s="1493"/>
      <c r="BX686" s="1493"/>
      <c r="BY686" s="1493"/>
      <c r="BZ686" s="1493"/>
      <c r="CA686" s="1493"/>
      <c r="CB686" s="1493"/>
      <c r="CC686" s="1493"/>
      <c r="CD686" s="1493"/>
      <c r="CE686" s="1493"/>
      <c r="CF686" s="1493"/>
      <c r="CG686" s="1493"/>
      <c r="CH686" s="1493"/>
      <c r="CI686" s="1493"/>
      <c r="CJ686" s="1493"/>
      <c r="CK686" s="1493"/>
      <c r="CL686" s="1493"/>
      <c r="CM686" s="1493"/>
      <c r="CN686" s="1493"/>
      <c r="CO686" s="1493"/>
      <c r="CP686" s="1493"/>
      <c r="CQ686" s="1493"/>
      <c r="CR686" s="1493"/>
      <c r="CS686" s="1493"/>
      <c r="CT686" s="1493"/>
      <c r="CU686" s="1493"/>
      <c r="CV686" s="1493"/>
      <c r="CW686" s="1493"/>
      <c r="CX686" s="1493"/>
      <c r="CY686" s="1493"/>
      <c r="CZ686" s="1493"/>
      <c r="DA686" s="1493"/>
      <c r="DB686" s="1493"/>
      <c r="DC686" s="1493"/>
      <c r="DD686" s="1493"/>
      <c r="DE686" s="1493"/>
      <c r="DF686" s="1493"/>
      <c r="DG686" s="1493"/>
      <c r="DH686" s="1493"/>
      <c r="DI686" s="1493"/>
    </row>
    <row r="687" spans="1:113" ht="15.75" x14ac:dyDescent="0.25">
      <c r="A687" s="1519" t="s">
        <v>3057</v>
      </c>
      <c r="B687" s="1522">
        <f>IF(B655&lt;21,1,IF(B655&lt;31,0.9,0.8))</f>
        <v>0.8</v>
      </c>
      <c r="C687" s="1523"/>
      <c r="D687" s="1514"/>
      <c r="E687" s="1514"/>
      <c r="F687" s="1514"/>
      <c r="G687" s="1514"/>
      <c r="H687" s="1531"/>
      <c r="I687" s="1531"/>
      <c r="J687" s="1531"/>
      <c r="K687" s="1531"/>
      <c r="L687" s="1531"/>
      <c r="M687" s="1531"/>
      <c r="N687" s="1531"/>
      <c r="O687" s="1531"/>
      <c r="P687" s="1531"/>
      <c r="Q687" s="1531"/>
      <c r="R687" s="1531"/>
      <c r="S687" s="1531"/>
      <c r="T687" s="1531"/>
      <c r="U687" s="1531"/>
      <c r="V687" s="1531"/>
      <c r="W687" s="1531"/>
      <c r="X687" s="1531"/>
      <c r="Y687" s="1531"/>
      <c r="Z687" s="1531"/>
      <c r="AA687" s="1531"/>
      <c r="AB687" s="1531"/>
      <c r="AC687" s="1531"/>
      <c r="AD687" s="1531"/>
      <c r="AE687" s="1531"/>
      <c r="AF687" s="1531"/>
      <c r="AG687" s="1531"/>
      <c r="AH687" s="1531"/>
      <c r="AI687" s="1531"/>
      <c r="AJ687" s="1531"/>
      <c r="AK687" s="1531"/>
      <c r="AL687" s="1531"/>
      <c r="AM687" s="1531"/>
      <c r="AN687" s="1531"/>
      <c r="AO687" s="1531"/>
      <c r="AP687" s="1531"/>
      <c r="AQ687" s="1531"/>
      <c r="AR687" s="1531"/>
      <c r="AS687" s="1531"/>
      <c r="AT687" s="1531"/>
      <c r="AU687" s="1531"/>
      <c r="AV687" s="1531"/>
      <c r="AW687" s="1531"/>
      <c r="AX687" s="1531"/>
      <c r="AY687" s="1531"/>
      <c r="AZ687" s="1531"/>
      <c r="BA687" s="1531"/>
      <c r="BB687" s="1531"/>
      <c r="BC687" s="1531"/>
      <c r="BD687" s="1531"/>
      <c r="BE687" s="1531"/>
      <c r="BF687" s="1531"/>
      <c r="BG687" s="1531"/>
      <c r="BH687" s="1531"/>
      <c r="BI687" s="1531"/>
      <c r="BJ687" s="1531"/>
      <c r="BK687" s="1531"/>
      <c r="BL687" s="1531"/>
      <c r="BM687" s="1493"/>
      <c r="BN687" s="1493"/>
      <c r="BO687" s="1493"/>
      <c r="BP687" s="1493"/>
      <c r="BQ687" s="1493"/>
      <c r="BR687" s="1493"/>
      <c r="BS687" s="1493"/>
      <c r="BT687" s="1493"/>
      <c r="BU687" s="1493"/>
      <c r="BV687" s="1493"/>
      <c r="BW687" s="1493"/>
      <c r="BX687" s="1493"/>
      <c r="BY687" s="1493"/>
      <c r="BZ687" s="1493"/>
      <c r="CA687" s="1493"/>
      <c r="CB687" s="1493"/>
      <c r="CC687" s="1493"/>
      <c r="CD687" s="1493"/>
      <c r="CE687" s="1493"/>
      <c r="CF687" s="1493"/>
      <c r="CG687" s="1493"/>
      <c r="CH687" s="1493"/>
      <c r="CI687" s="1493"/>
      <c r="CJ687" s="1493"/>
      <c r="CK687" s="1493"/>
      <c r="CL687" s="1493"/>
      <c r="CM687" s="1493"/>
      <c r="CN687" s="1493"/>
      <c r="CO687" s="1493"/>
      <c r="CP687" s="1493"/>
      <c r="CQ687" s="1493"/>
      <c r="CR687" s="1493"/>
      <c r="CS687" s="1493"/>
      <c r="CT687" s="1493"/>
      <c r="CU687" s="1493"/>
      <c r="CV687" s="1493"/>
      <c r="CW687" s="1493"/>
      <c r="CX687" s="1493"/>
      <c r="CY687" s="1493"/>
      <c r="CZ687" s="1493"/>
      <c r="DA687" s="1493"/>
      <c r="DB687" s="1493"/>
      <c r="DC687" s="1493"/>
      <c r="DD687" s="1493"/>
      <c r="DE687" s="1493"/>
      <c r="DF687" s="1493"/>
      <c r="DG687" s="1493"/>
      <c r="DH687" s="1493"/>
      <c r="DI687" s="1493"/>
    </row>
    <row r="688" spans="1:113" ht="31.5" x14ac:dyDescent="0.25">
      <c r="A688" s="1530" t="s">
        <v>1539</v>
      </c>
      <c r="B688" s="1522" t="e">
        <f>IF((B657)/B653&gt;0.2,0.9,1)</f>
        <v>#VALUE!</v>
      </c>
      <c r="C688" s="1523"/>
      <c r="D688" s="1523"/>
      <c r="E688" s="1523"/>
      <c r="F688" s="1523"/>
      <c r="G688" s="1523"/>
      <c r="H688" s="1531"/>
      <c r="I688" s="1531"/>
      <c r="J688" s="1531"/>
      <c r="K688" s="1531"/>
      <c r="L688" s="1531"/>
      <c r="M688" s="1531"/>
      <c r="N688" s="1531"/>
      <c r="O688" s="1531"/>
      <c r="P688" s="1531"/>
      <c r="Q688" s="1531"/>
      <c r="R688" s="1531"/>
      <c r="S688" s="1531"/>
      <c r="T688" s="1531"/>
      <c r="U688" s="1531"/>
      <c r="V688" s="1531"/>
      <c r="W688" s="1531"/>
      <c r="X688" s="1531"/>
      <c r="Y688" s="1531"/>
      <c r="Z688" s="1531"/>
      <c r="AA688" s="1531"/>
      <c r="AB688" s="1531"/>
      <c r="AC688" s="1531"/>
      <c r="AD688" s="1531"/>
      <c r="AE688" s="1531"/>
      <c r="AF688" s="1531"/>
      <c r="AG688" s="1531"/>
      <c r="AH688" s="1531"/>
      <c r="AI688" s="1531"/>
      <c r="AJ688" s="1531"/>
      <c r="AK688" s="1531"/>
      <c r="AL688" s="1531"/>
      <c r="AM688" s="1531"/>
      <c r="AN688" s="1531"/>
      <c r="AO688" s="1531"/>
      <c r="AP688" s="1531"/>
      <c r="AQ688" s="1531"/>
      <c r="AR688" s="1531"/>
      <c r="AS688" s="1531"/>
      <c r="AT688" s="1531"/>
      <c r="AU688" s="1531"/>
      <c r="AV688" s="1531"/>
      <c r="AW688" s="1531"/>
      <c r="AX688" s="1531"/>
      <c r="AY688" s="1531"/>
      <c r="AZ688" s="1531"/>
      <c r="BA688" s="1531"/>
      <c r="BB688" s="1531"/>
      <c r="BC688" s="1531"/>
      <c r="BD688" s="1531"/>
      <c r="BE688" s="1531"/>
      <c r="BF688" s="1531"/>
      <c r="BG688" s="1531"/>
      <c r="BH688" s="1531"/>
      <c r="BI688" s="1531"/>
      <c r="BJ688" s="1531"/>
      <c r="BK688" s="1531"/>
      <c r="BL688" s="1531"/>
      <c r="BM688" s="1493"/>
      <c r="BN688" s="1493"/>
      <c r="BO688" s="1493"/>
      <c r="BP688" s="1493"/>
      <c r="BQ688" s="1493"/>
      <c r="BR688" s="1493"/>
      <c r="BS688" s="1493"/>
      <c r="BT688" s="1493"/>
      <c r="BU688" s="1493"/>
      <c r="BV688" s="1493"/>
      <c r="BW688" s="1493"/>
      <c r="BX688" s="1493"/>
      <c r="BY688" s="1493"/>
      <c r="BZ688" s="1493"/>
      <c r="CA688" s="1493"/>
      <c r="CB688" s="1493"/>
      <c r="CC688" s="1493"/>
      <c r="CD688" s="1493"/>
      <c r="CE688" s="1493"/>
      <c r="CF688" s="1493"/>
      <c r="CG688" s="1493"/>
      <c r="CH688" s="1493"/>
      <c r="CI688" s="1493"/>
      <c r="CJ688" s="1493"/>
      <c r="CK688" s="1493"/>
      <c r="CL688" s="1493"/>
      <c r="CM688" s="1493"/>
      <c r="CN688" s="1493"/>
      <c r="CO688" s="1493"/>
      <c r="CP688" s="1493"/>
      <c r="CQ688" s="1493"/>
      <c r="CR688" s="1493"/>
      <c r="CS688" s="1493"/>
      <c r="CT688" s="1493"/>
      <c r="CU688" s="1493"/>
      <c r="CV688" s="1493"/>
      <c r="CW688" s="1493"/>
      <c r="CX688" s="1493"/>
      <c r="CY688" s="1493"/>
      <c r="CZ688" s="1493"/>
      <c r="DA688" s="1493"/>
      <c r="DB688" s="1493"/>
      <c r="DC688" s="1493"/>
      <c r="DD688" s="1493"/>
      <c r="DE688" s="1493"/>
      <c r="DF688" s="1493"/>
      <c r="DG688" s="1493"/>
      <c r="DH688" s="1493"/>
      <c r="DI688" s="1493"/>
    </row>
    <row r="689" spans="1:113" ht="15.75" x14ac:dyDescent="0.25">
      <c r="A689" s="1519" t="s">
        <v>3059</v>
      </c>
      <c r="B689" s="1522" t="e">
        <f>B687*B688*B341</f>
        <v>#VALUE!</v>
      </c>
      <c r="C689" s="1523"/>
      <c r="D689" s="1531"/>
      <c r="E689" s="1531"/>
      <c r="F689" s="1531"/>
      <c r="G689" s="1531"/>
      <c r="H689" s="1531"/>
      <c r="I689" s="1531"/>
      <c r="J689" s="1531"/>
      <c r="K689" s="1531"/>
      <c r="L689" s="1531"/>
      <c r="M689" s="1531"/>
      <c r="N689" s="1531"/>
      <c r="O689" s="1531"/>
      <c r="P689" s="1531"/>
      <c r="Q689" s="1531"/>
      <c r="R689" s="1531"/>
      <c r="S689" s="1531"/>
      <c r="T689" s="1531"/>
      <c r="U689" s="1531"/>
      <c r="V689" s="1531"/>
      <c r="W689" s="1531"/>
      <c r="X689" s="1531"/>
      <c r="Y689" s="1531"/>
      <c r="Z689" s="1531"/>
      <c r="AA689" s="1531"/>
      <c r="AB689" s="1531"/>
      <c r="AC689" s="1531"/>
      <c r="AD689" s="1531"/>
      <c r="AE689" s="1531"/>
      <c r="AF689" s="1531"/>
      <c r="AG689" s="1531"/>
      <c r="AH689" s="1531"/>
      <c r="AI689" s="1531"/>
      <c r="AJ689" s="1531"/>
      <c r="AK689" s="1531"/>
      <c r="AL689" s="1531"/>
      <c r="AM689" s="1531"/>
      <c r="AN689" s="1531"/>
      <c r="AO689" s="1531"/>
      <c r="AP689" s="1531"/>
      <c r="AQ689" s="1531"/>
      <c r="AR689" s="1531"/>
      <c r="AS689" s="1531"/>
      <c r="AT689" s="1531"/>
      <c r="AU689" s="1531"/>
      <c r="AV689" s="1531"/>
      <c r="AW689" s="1531"/>
      <c r="AX689" s="1531"/>
      <c r="AY689" s="1531"/>
      <c r="AZ689" s="1531"/>
      <c r="BA689" s="1531"/>
      <c r="BB689" s="1531"/>
      <c r="BC689" s="1531"/>
      <c r="BD689" s="1531"/>
      <c r="BE689" s="1531"/>
      <c r="BF689" s="1531"/>
      <c r="BG689" s="1531"/>
      <c r="BH689" s="1531"/>
      <c r="BI689" s="1531"/>
      <c r="BJ689" s="1531"/>
      <c r="BK689" s="1531"/>
      <c r="BL689" s="1531"/>
      <c r="BM689" s="1493"/>
      <c r="BN689" s="1493"/>
      <c r="BO689" s="1493"/>
      <c r="BP689" s="1493"/>
      <c r="BQ689" s="1493"/>
      <c r="BR689" s="1493"/>
      <c r="BS689" s="1493"/>
      <c r="BT689" s="1493"/>
      <c r="BU689" s="1493"/>
      <c r="BV689" s="1493"/>
      <c r="BW689" s="1493"/>
      <c r="BX689" s="1493"/>
      <c r="BY689" s="1493"/>
      <c r="BZ689" s="1493"/>
      <c r="CA689" s="1493"/>
      <c r="CB689" s="1493"/>
      <c r="CC689" s="1493"/>
      <c r="CD689" s="1493"/>
      <c r="CE689" s="1493"/>
      <c r="CF689" s="1493"/>
      <c r="CG689" s="1493"/>
      <c r="CH689" s="1493"/>
      <c r="CI689" s="1493"/>
      <c r="CJ689" s="1493"/>
      <c r="CK689" s="1493"/>
      <c r="CL689" s="1493"/>
      <c r="CM689" s="1493"/>
      <c r="CN689" s="1493"/>
      <c r="CO689" s="1493"/>
      <c r="CP689" s="1493"/>
      <c r="CQ689" s="1493"/>
      <c r="CR689" s="1493"/>
      <c r="CS689" s="1493"/>
      <c r="CT689" s="1493"/>
      <c r="CU689" s="1493"/>
      <c r="CV689" s="1493"/>
      <c r="CW689" s="1493"/>
      <c r="CX689" s="1493"/>
      <c r="CY689" s="1493"/>
      <c r="CZ689" s="1493"/>
      <c r="DA689" s="1493"/>
      <c r="DB689" s="1493"/>
      <c r="DC689" s="1493"/>
      <c r="DD689" s="1493"/>
      <c r="DE689" s="1493"/>
      <c r="DF689" s="1493"/>
      <c r="DG689" s="1493"/>
      <c r="DH689" s="1493"/>
      <c r="DI689" s="1493"/>
    </row>
    <row r="690" spans="1:113" ht="15.75" x14ac:dyDescent="0.25">
      <c r="A690" s="1519" t="s">
        <v>3412</v>
      </c>
      <c r="B690" s="1522" t="e">
        <f>B689*B685</f>
        <v>#VALUE!</v>
      </c>
      <c r="C690" s="1523"/>
      <c r="D690" s="1523"/>
      <c r="E690" s="1523"/>
      <c r="F690" s="1523"/>
      <c r="G690" s="1523"/>
      <c r="H690" s="1531"/>
      <c r="I690" s="1531"/>
      <c r="J690" s="1531"/>
      <c r="K690" s="1531"/>
      <c r="L690" s="1531"/>
      <c r="M690" s="1531"/>
      <c r="N690" s="1531"/>
      <c r="O690" s="1531"/>
      <c r="P690" s="1531"/>
      <c r="Q690" s="1531"/>
      <c r="R690" s="1531"/>
      <c r="S690" s="1531"/>
      <c r="T690" s="1531"/>
      <c r="U690" s="1531"/>
      <c r="V690" s="1531"/>
      <c r="W690" s="1531"/>
      <c r="X690" s="1531"/>
      <c r="Y690" s="1531"/>
      <c r="Z690" s="1531"/>
      <c r="AA690" s="1531"/>
      <c r="AB690" s="1531"/>
      <c r="AC690" s="1531"/>
      <c r="AD690" s="1531"/>
      <c r="AE690" s="1531"/>
      <c r="AF690" s="1531"/>
      <c r="AG690" s="1531"/>
      <c r="AH690" s="1531"/>
      <c r="AI690" s="1531"/>
      <c r="AJ690" s="1531"/>
      <c r="AK690" s="1531"/>
      <c r="AL690" s="1531"/>
      <c r="AM690" s="1531"/>
      <c r="AN690" s="1531"/>
      <c r="AO690" s="1531"/>
      <c r="AP690" s="1531"/>
      <c r="AQ690" s="1531"/>
      <c r="AR690" s="1531"/>
      <c r="AS690" s="1531"/>
      <c r="AT690" s="1531"/>
      <c r="AU690" s="1531"/>
      <c r="AV690" s="1531"/>
      <c r="AW690" s="1531"/>
      <c r="AX690" s="1531"/>
      <c r="AY690" s="1531"/>
      <c r="AZ690" s="1531"/>
      <c r="BA690" s="1531"/>
      <c r="BB690" s="1531"/>
      <c r="BC690" s="1531"/>
      <c r="BD690" s="1531"/>
      <c r="BE690" s="1531"/>
      <c r="BF690" s="1531"/>
      <c r="BG690" s="1531"/>
      <c r="BH690" s="1531"/>
      <c r="BI690" s="1531"/>
      <c r="BJ690" s="1531"/>
      <c r="BK690" s="1531"/>
      <c r="BL690" s="1531"/>
      <c r="BM690" s="1493"/>
      <c r="BN690" s="1493"/>
      <c r="BO690" s="1493"/>
      <c r="BP690" s="1493"/>
      <c r="BQ690" s="1493"/>
      <c r="BR690" s="1493"/>
      <c r="BS690" s="1493"/>
      <c r="BT690" s="1493"/>
      <c r="BU690" s="1493"/>
      <c r="BV690" s="1493"/>
      <c r="BW690" s="1493"/>
      <c r="BX690" s="1493"/>
      <c r="BY690" s="1493"/>
      <c r="BZ690" s="1493"/>
      <c r="CA690" s="1493"/>
      <c r="CB690" s="1493"/>
      <c r="CC690" s="1493"/>
      <c r="CD690" s="1493"/>
      <c r="CE690" s="1493"/>
      <c r="CF690" s="1493"/>
      <c r="CG690" s="1493"/>
      <c r="CH690" s="1493"/>
      <c r="CI690" s="1493"/>
      <c r="CJ690" s="1493"/>
      <c r="CK690" s="1493"/>
      <c r="CL690" s="1493"/>
      <c r="CM690" s="1493"/>
      <c r="CN690" s="1493"/>
      <c r="CO690" s="1493"/>
      <c r="CP690" s="1493"/>
      <c r="CQ690" s="1493"/>
      <c r="CR690" s="1493"/>
      <c r="CS690" s="1493"/>
      <c r="CT690" s="1493"/>
      <c r="CU690" s="1493"/>
      <c r="CV690" s="1493"/>
      <c r="CW690" s="1493"/>
      <c r="CX690" s="1493"/>
      <c r="CY690" s="1493"/>
      <c r="CZ690" s="1493"/>
      <c r="DA690" s="1493"/>
      <c r="DB690" s="1493"/>
      <c r="DC690" s="1493"/>
      <c r="DD690" s="1493"/>
      <c r="DE690" s="1493"/>
      <c r="DF690" s="1493"/>
      <c r="DG690" s="1493"/>
      <c r="DH690" s="1493"/>
      <c r="DI690" s="1493"/>
    </row>
    <row r="691" spans="1:113" ht="32.25" thickBot="1" x14ac:dyDescent="0.3">
      <c r="A691" s="1543" t="s">
        <v>1540</v>
      </c>
      <c r="B691" s="1533" t="e">
        <f>B681/B690</f>
        <v>#REF!</v>
      </c>
      <c r="C691" s="1523"/>
      <c r="D691" s="1523"/>
      <c r="E691" s="1523"/>
      <c r="F691" s="1523"/>
      <c r="G691" s="1523"/>
      <c r="H691" s="1531"/>
      <c r="I691" s="1531"/>
      <c r="J691" s="1531"/>
      <c r="K691" s="1531"/>
      <c r="L691" s="1531"/>
      <c r="M691" s="1531"/>
      <c r="N691" s="1531"/>
      <c r="O691" s="1531"/>
      <c r="P691" s="1531"/>
      <c r="Q691" s="1531"/>
      <c r="R691" s="1531"/>
      <c r="S691" s="1531"/>
      <c r="T691" s="1531"/>
      <c r="U691" s="1531"/>
      <c r="V691" s="1531"/>
      <c r="W691" s="1531"/>
      <c r="X691" s="1531"/>
      <c r="Y691" s="1531"/>
      <c r="Z691" s="1531"/>
      <c r="AA691" s="1531"/>
      <c r="AB691" s="1531"/>
      <c r="AC691" s="1531"/>
      <c r="AD691" s="1531"/>
      <c r="AE691" s="1531"/>
      <c r="AF691" s="1531"/>
      <c r="AG691" s="1531"/>
      <c r="AH691" s="1531"/>
      <c r="AI691" s="1531"/>
      <c r="AJ691" s="1531"/>
      <c r="AK691" s="1531"/>
      <c r="AL691" s="1531"/>
      <c r="AM691" s="1531"/>
      <c r="AN691" s="1531"/>
      <c r="AO691" s="1531"/>
      <c r="AP691" s="1531"/>
      <c r="AQ691" s="1531"/>
      <c r="AR691" s="1531"/>
      <c r="AS691" s="1531"/>
      <c r="AT691" s="1531"/>
      <c r="AU691" s="1531"/>
      <c r="AV691" s="1531"/>
      <c r="AW691" s="1531"/>
      <c r="AX691" s="1531"/>
      <c r="AY691" s="1531"/>
      <c r="AZ691" s="1531"/>
      <c r="BA691" s="1531"/>
      <c r="BB691" s="1531"/>
      <c r="BC691" s="1531"/>
      <c r="BD691" s="1531"/>
      <c r="BE691" s="1531"/>
      <c r="BF691" s="1531"/>
      <c r="BG691" s="1531"/>
      <c r="BH691" s="1531"/>
      <c r="BI691" s="1531"/>
      <c r="BJ691" s="1531"/>
      <c r="BK691" s="1531"/>
      <c r="BL691" s="1531"/>
      <c r="BM691" s="1493"/>
      <c r="BN691" s="1493"/>
      <c r="BO691" s="1493"/>
      <c r="BP691" s="1493"/>
      <c r="BQ691" s="1493"/>
      <c r="BR691" s="1493"/>
      <c r="BS691" s="1493"/>
      <c r="BT691" s="1493"/>
      <c r="BU691" s="1493"/>
      <c r="BV691" s="1493"/>
      <c r="BW691" s="1493"/>
      <c r="BX691" s="1493"/>
      <c r="BY691" s="1493"/>
      <c r="BZ691" s="1493"/>
      <c r="CA691" s="1493"/>
      <c r="CB691" s="1493"/>
      <c r="CC691" s="1493"/>
      <c r="CD691" s="1493"/>
      <c r="CE691" s="1493"/>
      <c r="CF691" s="1493"/>
      <c r="CG691" s="1493"/>
      <c r="CH691" s="1493"/>
      <c r="CI691" s="1493"/>
      <c r="CJ691" s="1493"/>
      <c r="CK691" s="1493"/>
      <c r="CL691" s="1493"/>
      <c r="CM691" s="1493"/>
      <c r="CN691" s="1493"/>
      <c r="CO691" s="1493"/>
      <c r="CP691" s="1493"/>
      <c r="CQ691" s="1493"/>
      <c r="CR691" s="1493"/>
      <c r="CS691" s="1493"/>
      <c r="CT691" s="1493"/>
      <c r="CU691" s="1493"/>
      <c r="CV691" s="1493"/>
      <c r="CW691" s="1493"/>
      <c r="CX691" s="1493"/>
      <c r="CY691" s="1493"/>
      <c r="CZ691" s="1493"/>
      <c r="DA691" s="1493"/>
      <c r="DB691" s="1493"/>
      <c r="DC691" s="1493"/>
      <c r="DD691" s="1493"/>
      <c r="DE691" s="1493"/>
      <c r="DF691" s="1493"/>
      <c r="DG691" s="1493"/>
      <c r="DH691" s="1493"/>
      <c r="DI691" s="1493"/>
    </row>
    <row r="692" spans="1:113" ht="16.5" thickBot="1" x14ac:dyDescent="0.3">
      <c r="A692" s="1544" t="s">
        <v>1541</v>
      </c>
      <c r="B692" s="1545"/>
      <c r="C692" s="1546"/>
      <c r="D692" s="1523"/>
      <c r="E692" s="1523"/>
      <c r="F692" s="1523"/>
      <c r="G692" s="1523"/>
      <c r="H692" s="1531"/>
      <c r="I692" s="1531"/>
      <c r="J692" s="1531"/>
      <c r="K692" s="1531"/>
      <c r="L692" s="1531"/>
      <c r="M692" s="1531"/>
      <c r="N692" s="1531"/>
      <c r="O692" s="1531"/>
      <c r="P692" s="1531"/>
      <c r="Q692" s="1531"/>
      <c r="R692" s="1531"/>
      <c r="S692" s="1531"/>
      <c r="T692" s="1531"/>
      <c r="U692" s="1531"/>
      <c r="V692" s="1531"/>
      <c r="W692" s="1531"/>
      <c r="X692" s="1531"/>
      <c r="Y692" s="1531"/>
      <c r="Z692" s="1531"/>
      <c r="AA692" s="1531"/>
      <c r="AB692" s="1531"/>
      <c r="AC692" s="1531"/>
      <c r="AD692" s="1531"/>
      <c r="AE692" s="1531"/>
      <c r="AF692" s="1531"/>
      <c r="AG692" s="1531"/>
      <c r="AH692" s="1531"/>
      <c r="AI692" s="1531"/>
      <c r="AJ692" s="1531"/>
      <c r="AK692" s="1531"/>
      <c r="AL692" s="1531"/>
      <c r="AM692" s="1531"/>
      <c r="AN692" s="1531"/>
      <c r="AO692" s="1531"/>
      <c r="AP692" s="1531"/>
      <c r="AQ692" s="1531"/>
      <c r="AR692" s="1531"/>
      <c r="AS692" s="1531"/>
      <c r="AT692" s="1531"/>
      <c r="AU692" s="1531"/>
      <c r="AV692" s="1531"/>
      <c r="AW692" s="1531"/>
      <c r="AX692" s="1531"/>
      <c r="AY692" s="1531"/>
      <c r="AZ692" s="1531"/>
      <c r="BA692" s="1531"/>
      <c r="BB692" s="1531"/>
      <c r="BC692" s="1531"/>
      <c r="BD692" s="1531"/>
      <c r="BE692" s="1531"/>
      <c r="BF692" s="1531"/>
      <c r="BG692" s="1531"/>
      <c r="BH692" s="1531"/>
      <c r="BI692" s="1531"/>
      <c r="BJ692" s="1531"/>
      <c r="BK692" s="1531"/>
      <c r="BL692" s="1531"/>
      <c r="BM692" s="1493"/>
      <c r="BN692" s="1493"/>
      <c r="BO692" s="1493"/>
      <c r="BP692" s="1493"/>
      <c r="BQ692" s="1493"/>
      <c r="BR692" s="1493"/>
      <c r="BS692" s="1493"/>
      <c r="BT692" s="1493"/>
      <c r="BU692" s="1493"/>
      <c r="BV692" s="1493"/>
      <c r="BW692" s="1493"/>
      <c r="BX692" s="1493"/>
      <c r="BY692" s="1493"/>
      <c r="BZ692" s="1493"/>
      <c r="CA692" s="1493"/>
      <c r="CB692" s="1493"/>
      <c r="CC692" s="1493"/>
      <c r="CD692" s="1493"/>
      <c r="CE692" s="1493"/>
      <c r="CF692" s="1493"/>
      <c r="CG692" s="1493"/>
      <c r="CH692" s="1493"/>
      <c r="CI692" s="1493"/>
      <c r="CJ692" s="1493"/>
      <c r="CK692" s="1493"/>
      <c r="CL692" s="1493"/>
      <c r="CM692" s="1493"/>
      <c r="CN692" s="1493"/>
      <c r="CO692" s="1493"/>
      <c r="CP692" s="1493"/>
      <c r="CQ692" s="1493"/>
      <c r="CR692" s="1493"/>
      <c r="CS692" s="1493"/>
      <c r="CT692" s="1493"/>
      <c r="CU692" s="1493"/>
      <c r="CV692" s="1493"/>
      <c r="CW692" s="1493"/>
      <c r="CX692" s="1493"/>
      <c r="CY692" s="1493"/>
      <c r="CZ692" s="1493"/>
      <c r="DA692" s="1493"/>
      <c r="DB692" s="1493"/>
      <c r="DC692" s="1493"/>
      <c r="DD692" s="1493"/>
      <c r="DE692" s="1493"/>
      <c r="DF692" s="1493"/>
      <c r="DG692" s="1493"/>
      <c r="DH692" s="1493"/>
      <c r="DI692" s="1493"/>
    </row>
    <row r="693" spans="1:113" ht="15.75" x14ac:dyDescent="0.25">
      <c r="A693" s="1547"/>
      <c r="B693" s="1548"/>
      <c r="C693" s="1416"/>
      <c r="D693" s="1531"/>
      <c r="E693" s="1531"/>
      <c r="F693" s="1531"/>
      <c r="G693" s="1531"/>
      <c r="H693" s="1531"/>
      <c r="I693" s="1531"/>
      <c r="J693" s="1531"/>
      <c r="K693" s="1531"/>
      <c r="L693" s="1531"/>
      <c r="M693" s="1531"/>
      <c r="N693" s="1531"/>
      <c r="O693" s="1531"/>
      <c r="P693" s="1531"/>
      <c r="Q693" s="1531"/>
      <c r="R693" s="1531"/>
      <c r="S693" s="1531"/>
      <c r="T693" s="1531"/>
      <c r="U693" s="1531"/>
      <c r="V693" s="1531"/>
      <c r="W693" s="1531"/>
      <c r="X693" s="1531"/>
      <c r="Y693" s="1531"/>
      <c r="Z693" s="1531"/>
      <c r="AA693" s="1531"/>
      <c r="AB693" s="1531"/>
      <c r="AC693" s="1531"/>
      <c r="AD693" s="1531"/>
      <c r="AE693" s="1531"/>
      <c r="AF693" s="1531"/>
      <c r="AG693" s="1531"/>
      <c r="AH693" s="1531"/>
      <c r="AI693" s="1531"/>
      <c r="AJ693" s="1531"/>
      <c r="AK693" s="1531"/>
      <c r="AL693" s="1531"/>
      <c r="AM693" s="1531"/>
      <c r="AN693" s="1531"/>
      <c r="AO693" s="1531"/>
      <c r="AP693" s="1531"/>
      <c r="AQ693" s="1531"/>
      <c r="AR693" s="1531"/>
      <c r="AS693" s="1531"/>
      <c r="AT693" s="1531"/>
      <c r="AU693" s="1531"/>
      <c r="AV693" s="1531"/>
      <c r="AW693" s="1531"/>
      <c r="AX693" s="1531"/>
      <c r="AY693" s="1531"/>
      <c r="AZ693" s="1531"/>
      <c r="BA693" s="1531"/>
      <c r="BB693" s="1531"/>
      <c r="BC693" s="1531"/>
      <c r="BD693" s="1531"/>
      <c r="BE693" s="1531"/>
      <c r="BF693" s="1531"/>
      <c r="BG693" s="1531"/>
      <c r="BH693" s="1531"/>
      <c r="BI693" s="1531"/>
      <c r="BJ693" s="1531"/>
      <c r="BK693" s="1531"/>
      <c r="BL693" s="1531"/>
      <c r="BM693" s="1493"/>
      <c r="BN693" s="1493"/>
      <c r="BO693" s="1493"/>
      <c r="BP693" s="1493"/>
      <c r="BQ693" s="1493"/>
      <c r="BR693" s="1493"/>
      <c r="BS693" s="1493"/>
      <c r="BT693" s="1493"/>
      <c r="BU693" s="1493"/>
      <c r="BV693" s="1493"/>
      <c r="BW693" s="1493"/>
      <c r="BX693" s="1493"/>
      <c r="BY693" s="1493"/>
      <c r="BZ693" s="1493"/>
      <c r="CA693" s="1493"/>
      <c r="CB693" s="1493"/>
      <c r="CC693" s="1493"/>
      <c r="CD693" s="1493"/>
      <c r="CE693" s="1493"/>
      <c r="CF693" s="1493"/>
      <c r="CG693" s="1493"/>
      <c r="CH693" s="1493"/>
      <c r="CI693" s="1493"/>
      <c r="CJ693" s="1493"/>
      <c r="CK693" s="1493"/>
      <c r="CL693" s="1493"/>
      <c r="CM693" s="1493"/>
      <c r="CN693" s="1493"/>
      <c r="CO693" s="1493"/>
      <c r="CP693" s="1493"/>
      <c r="CQ693" s="1493"/>
      <c r="CR693" s="1493"/>
      <c r="CS693" s="1493"/>
      <c r="CT693" s="1493"/>
      <c r="CU693" s="1493"/>
      <c r="CV693" s="1493"/>
      <c r="CW693" s="1493"/>
      <c r="CX693" s="1493"/>
      <c r="CY693" s="1493"/>
      <c r="CZ693" s="1493"/>
      <c r="DA693" s="1493"/>
      <c r="DB693" s="1493"/>
      <c r="DC693" s="1493"/>
      <c r="DD693" s="1493"/>
      <c r="DE693" s="1493"/>
      <c r="DF693" s="1493"/>
      <c r="DG693" s="1493"/>
      <c r="DH693" s="1493"/>
      <c r="DI693" s="1493"/>
    </row>
    <row r="694" spans="1:113" ht="15.75" x14ac:dyDescent="0.25">
      <c r="A694" s="1549" t="s">
        <v>1542</v>
      </c>
      <c r="B694" s="1550">
        <f>IF(B653&gt;1.2,2,1)</f>
        <v>2</v>
      </c>
      <c r="C694" s="1350"/>
      <c r="D694" s="1523"/>
      <c r="E694" s="1523"/>
      <c r="F694" s="1523"/>
      <c r="G694" s="1523"/>
      <c r="H694" s="1531"/>
      <c r="I694" s="1531"/>
      <c r="J694" s="1531"/>
      <c r="K694" s="1531"/>
      <c r="L694" s="1531"/>
      <c r="M694" s="1531"/>
      <c r="N694" s="1531"/>
      <c r="O694" s="1531"/>
      <c r="P694" s="1531"/>
      <c r="Q694" s="1531"/>
      <c r="R694" s="1531"/>
      <c r="S694" s="1531"/>
      <c r="T694" s="1531"/>
      <c r="U694" s="1531"/>
      <c r="V694" s="1531"/>
      <c r="W694" s="1531"/>
      <c r="X694" s="1531"/>
      <c r="Y694" s="1531"/>
      <c r="Z694" s="1531"/>
      <c r="AA694" s="1531"/>
      <c r="AB694" s="1531"/>
      <c r="AC694" s="1531"/>
      <c r="AD694" s="1531"/>
      <c r="AE694" s="1531"/>
      <c r="AF694" s="1531"/>
      <c r="AG694" s="1531"/>
      <c r="AH694" s="1531"/>
      <c r="AI694" s="1531"/>
      <c r="AJ694" s="1531"/>
      <c r="AK694" s="1531"/>
      <c r="AL694" s="1531"/>
      <c r="AM694" s="1531"/>
      <c r="AN694" s="1531"/>
      <c r="AO694" s="1531"/>
      <c r="AP694" s="1531"/>
      <c r="AQ694" s="1531"/>
      <c r="AR694" s="1531"/>
      <c r="AS694" s="1531"/>
      <c r="AT694" s="1531"/>
      <c r="AU694" s="1531"/>
      <c r="AV694" s="1531"/>
      <c r="AW694" s="1531"/>
      <c r="AX694" s="1531"/>
      <c r="AY694" s="1531"/>
      <c r="AZ694" s="1531"/>
      <c r="BA694" s="1531"/>
      <c r="BB694" s="1531"/>
      <c r="BC694" s="1531"/>
      <c r="BD694" s="1531"/>
      <c r="BE694" s="1531"/>
      <c r="BF694" s="1531"/>
      <c r="BG694" s="1531"/>
      <c r="BH694" s="1531"/>
      <c r="BI694" s="1531"/>
      <c r="BJ694" s="1531"/>
      <c r="BK694" s="1531"/>
      <c r="BL694" s="1531"/>
      <c r="BM694" s="1493"/>
      <c r="BN694" s="1493"/>
      <c r="BO694" s="1493"/>
      <c r="BP694" s="1493"/>
      <c r="BQ694" s="1493"/>
      <c r="BR694" s="1493"/>
      <c r="BS694" s="1493"/>
      <c r="BT694" s="1493"/>
      <c r="BU694" s="1493"/>
      <c r="BV694" s="1493"/>
      <c r="BW694" s="1493"/>
      <c r="BX694" s="1493"/>
      <c r="BY694" s="1493"/>
      <c r="BZ694" s="1493"/>
      <c r="CA694" s="1493"/>
      <c r="CB694" s="1493"/>
      <c r="CC694" s="1493"/>
      <c r="CD694" s="1493"/>
      <c r="CE694" s="1493"/>
      <c r="CF694" s="1493"/>
      <c r="CG694" s="1493"/>
      <c r="CH694" s="1493"/>
      <c r="CI694" s="1493"/>
      <c r="CJ694" s="1493"/>
      <c r="CK694" s="1493"/>
      <c r="CL694" s="1493"/>
      <c r="CM694" s="1493"/>
      <c r="CN694" s="1493"/>
      <c r="CO694" s="1493"/>
      <c r="CP694" s="1493"/>
      <c r="CQ694" s="1493"/>
      <c r="CR694" s="1493"/>
      <c r="CS694" s="1493"/>
      <c r="CT694" s="1493"/>
      <c r="CU694" s="1493"/>
      <c r="CV694" s="1493"/>
      <c r="CW694" s="1493"/>
      <c r="CX694" s="1493"/>
      <c r="CY694" s="1493"/>
      <c r="CZ694" s="1493"/>
      <c r="DA694" s="1493"/>
      <c r="DB694" s="1493"/>
      <c r="DC694" s="1493"/>
      <c r="DD694" s="1493"/>
      <c r="DE694" s="1493"/>
      <c r="DF694" s="1493"/>
      <c r="DG694" s="1493"/>
      <c r="DH694" s="1493"/>
      <c r="DI694" s="1493"/>
    </row>
    <row r="695" spans="1:113" ht="15.75" x14ac:dyDescent="0.25">
      <c r="A695" s="1549" t="s">
        <v>1543</v>
      </c>
      <c r="B695" s="1550">
        <f>IF(B659&gt;1.25,3,1)</f>
        <v>1</v>
      </c>
      <c r="C695" s="1350"/>
      <c r="D695" s="1523"/>
      <c r="E695" s="1523"/>
      <c r="F695" s="1523"/>
      <c r="G695" s="1523"/>
      <c r="H695" s="1551"/>
      <c r="I695" s="1531"/>
      <c r="J695" s="1531"/>
      <c r="K695" s="1531"/>
      <c r="L695" s="1531"/>
      <c r="M695" s="1531"/>
      <c r="N695" s="1531"/>
      <c r="O695" s="1531"/>
      <c r="P695" s="1531"/>
      <c r="Q695" s="1531"/>
      <c r="R695" s="1531"/>
      <c r="S695" s="1531"/>
      <c r="T695" s="1531"/>
      <c r="U695" s="1531"/>
      <c r="V695" s="1531"/>
      <c r="W695" s="1531"/>
      <c r="X695" s="1531"/>
      <c r="Y695" s="1531"/>
      <c r="Z695" s="1531"/>
      <c r="AA695" s="1531"/>
      <c r="AB695" s="1531"/>
      <c r="AC695" s="1531"/>
      <c r="AD695" s="1531"/>
      <c r="AE695" s="1531"/>
      <c r="AF695" s="1531"/>
      <c r="AG695" s="1531"/>
      <c r="AH695" s="1531"/>
      <c r="AI695" s="1531"/>
      <c r="AJ695" s="1531"/>
      <c r="AK695" s="1531"/>
      <c r="AL695" s="1531"/>
      <c r="AM695" s="1531"/>
      <c r="AN695" s="1531"/>
      <c r="AO695" s="1531"/>
      <c r="AP695" s="1531"/>
      <c r="AQ695" s="1531"/>
      <c r="AR695" s="1531"/>
      <c r="AS695" s="1531"/>
      <c r="AT695" s="1531"/>
      <c r="AU695" s="1531"/>
      <c r="AV695" s="1531"/>
      <c r="AW695" s="1531"/>
      <c r="AX695" s="1531"/>
      <c r="AY695" s="1531"/>
      <c r="AZ695" s="1531"/>
      <c r="BA695" s="1531"/>
      <c r="BB695" s="1531"/>
      <c r="BC695" s="1531"/>
      <c r="BD695" s="1531"/>
      <c r="BE695" s="1531"/>
      <c r="BF695" s="1531"/>
      <c r="BG695" s="1531"/>
      <c r="BH695" s="1531"/>
      <c r="BI695" s="1531"/>
      <c r="BJ695" s="1531"/>
      <c r="BK695" s="1531"/>
      <c r="BL695" s="1531"/>
      <c r="BM695" s="1493"/>
      <c r="BN695" s="1493"/>
      <c r="BO695" s="1493"/>
      <c r="BP695" s="1493"/>
      <c r="BQ695" s="1493"/>
      <c r="BR695" s="1493"/>
      <c r="BS695" s="1493"/>
      <c r="BT695" s="1493"/>
      <c r="BU695" s="1493"/>
      <c r="BV695" s="1493"/>
      <c r="BW695" s="1493"/>
      <c r="BX695" s="1493"/>
      <c r="BY695" s="1493"/>
      <c r="BZ695" s="1493"/>
      <c r="CA695" s="1493"/>
      <c r="CB695" s="1493"/>
      <c r="CC695" s="1493"/>
      <c r="CD695" s="1493"/>
      <c r="CE695" s="1493"/>
      <c r="CF695" s="1493"/>
      <c r="CG695" s="1493"/>
      <c r="CH695" s="1493"/>
      <c r="CI695" s="1493"/>
      <c r="CJ695" s="1493"/>
      <c r="CK695" s="1493"/>
      <c r="CL695" s="1493"/>
      <c r="CM695" s="1493"/>
      <c r="CN695" s="1493"/>
      <c r="CO695" s="1493"/>
      <c r="CP695" s="1493"/>
      <c r="CQ695" s="1493"/>
      <c r="CR695" s="1493"/>
      <c r="CS695" s="1493"/>
      <c r="CT695" s="1493"/>
      <c r="CU695" s="1493"/>
      <c r="CV695" s="1493"/>
      <c r="CW695" s="1493"/>
      <c r="CX695" s="1493"/>
      <c r="CY695" s="1493"/>
      <c r="CZ695" s="1493"/>
      <c r="DA695" s="1493"/>
      <c r="DB695" s="1493"/>
      <c r="DC695" s="1493"/>
      <c r="DD695" s="1493"/>
      <c r="DE695" s="1493"/>
      <c r="DF695" s="1493"/>
      <c r="DG695" s="1493"/>
      <c r="DH695" s="1493"/>
      <c r="DI695" s="1493"/>
    </row>
    <row r="696" spans="1:113" ht="16.5" thickBot="1" x14ac:dyDescent="0.3">
      <c r="A696" s="1552" t="s">
        <v>1538</v>
      </c>
      <c r="B696" s="1553">
        <v>444</v>
      </c>
      <c r="C696" s="1416"/>
      <c r="D696" s="1523"/>
      <c r="E696" s="1523"/>
      <c r="F696" s="1523"/>
      <c r="G696" s="1523"/>
      <c r="H696" s="1531"/>
      <c r="I696" s="1531"/>
      <c r="J696" s="1531"/>
      <c r="K696" s="1531"/>
      <c r="L696" s="1531"/>
      <c r="M696" s="1531"/>
      <c r="N696" s="1531"/>
      <c r="O696" s="1531"/>
      <c r="P696" s="1554"/>
      <c r="Q696" s="1070"/>
      <c r="R696" s="1070"/>
      <c r="S696" s="1070"/>
      <c r="T696" s="1531"/>
      <c r="U696" s="1531"/>
      <c r="V696" s="1531"/>
      <c r="W696" s="1531"/>
      <c r="X696" s="1531"/>
      <c r="Y696" s="1531"/>
      <c r="Z696" s="1531"/>
      <c r="AA696" s="1531"/>
      <c r="AB696" s="1531"/>
      <c r="AC696" s="1531"/>
      <c r="AD696" s="1531"/>
      <c r="AE696" s="1531"/>
      <c r="AF696" s="1531"/>
      <c r="AG696" s="1531"/>
      <c r="AH696" s="1531"/>
      <c r="AI696" s="1531"/>
      <c r="AJ696" s="1531"/>
      <c r="AK696" s="1531"/>
      <c r="AL696" s="1531"/>
      <c r="AM696" s="1531"/>
      <c r="AN696" s="1531"/>
      <c r="AO696" s="1531"/>
      <c r="AP696" s="1531"/>
      <c r="AQ696" s="1531"/>
      <c r="AR696" s="1531"/>
      <c r="AS696" s="1531"/>
      <c r="AT696" s="1531"/>
      <c r="AU696" s="1531"/>
      <c r="AV696" s="1531"/>
      <c r="AW696" s="1531"/>
      <c r="AX696" s="1531"/>
      <c r="AY696" s="1531"/>
      <c r="AZ696" s="1531"/>
      <c r="BA696" s="1531"/>
      <c r="BB696" s="1531"/>
      <c r="BC696" s="1531"/>
      <c r="BD696" s="1531"/>
      <c r="BE696" s="1531"/>
      <c r="BF696" s="1531"/>
      <c r="BG696" s="1531"/>
      <c r="BH696" s="1531"/>
      <c r="BI696" s="1531"/>
      <c r="BJ696" s="1531"/>
      <c r="BK696" s="1531"/>
      <c r="BL696" s="1531"/>
      <c r="BM696" s="1493"/>
      <c r="BN696" s="1493"/>
      <c r="BO696" s="1493"/>
      <c r="BP696" s="1493"/>
      <c r="BQ696" s="1493"/>
      <c r="BR696" s="1493"/>
      <c r="BS696" s="1493"/>
      <c r="BT696" s="1493"/>
      <c r="BU696" s="1493"/>
      <c r="BV696" s="1493"/>
      <c r="BW696" s="1493"/>
      <c r="BX696" s="1493"/>
      <c r="BY696" s="1493"/>
      <c r="BZ696" s="1493"/>
      <c r="CA696" s="1493"/>
      <c r="CB696" s="1493"/>
      <c r="CC696" s="1493"/>
      <c r="CD696" s="1493"/>
      <c r="CE696" s="1493"/>
      <c r="CF696" s="1493"/>
      <c r="CG696" s="1493"/>
      <c r="CH696" s="1493"/>
      <c r="CI696" s="1493"/>
      <c r="CJ696" s="1493"/>
      <c r="CK696" s="1493"/>
      <c r="CL696" s="1493"/>
      <c r="CM696" s="1493"/>
      <c r="CN696" s="1493"/>
      <c r="CO696" s="1493"/>
      <c r="CP696" s="1493"/>
      <c r="CQ696" s="1493"/>
      <c r="CR696" s="1493"/>
      <c r="CS696" s="1493"/>
      <c r="CT696" s="1493"/>
      <c r="CU696" s="1493"/>
      <c r="CV696" s="1493"/>
      <c r="CW696" s="1493"/>
      <c r="CX696" s="1493"/>
      <c r="CY696" s="1493"/>
      <c r="CZ696" s="1493"/>
      <c r="DA696" s="1493"/>
      <c r="DB696" s="1493"/>
      <c r="DC696" s="1493"/>
      <c r="DD696" s="1493"/>
      <c r="DE696" s="1493"/>
      <c r="DF696" s="1493"/>
      <c r="DG696" s="1493"/>
      <c r="DH696" s="1493"/>
      <c r="DI696" s="1493"/>
    </row>
    <row r="697" spans="1:113" ht="16.5" thickBot="1" x14ac:dyDescent="0.3">
      <c r="A697" s="1555" t="s">
        <v>3055</v>
      </c>
      <c r="B697" s="1556"/>
      <c r="C697" s="1557"/>
      <c r="D697" s="1523"/>
      <c r="E697" s="1523"/>
      <c r="F697" s="1523"/>
      <c r="G697" s="1523"/>
      <c r="H697" s="1531"/>
      <c r="I697" s="1531"/>
      <c r="J697" s="1531"/>
      <c r="K697" s="1531"/>
      <c r="L697" s="1531"/>
      <c r="M697" s="1531"/>
      <c r="N697" s="1531"/>
      <c r="O697" s="1531"/>
      <c r="P697" s="1554"/>
      <c r="Q697" s="1070"/>
      <c r="R697" s="1070"/>
      <c r="S697" s="1070"/>
      <c r="T697" s="1531"/>
      <c r="U697" s="1531"/>
      <c r="V697" s="1531"/>
      <c r="W697" s="1531"/>
      <c r="X697" s="1531"/>
      <c r="Y697" s="1531"/>
      <c r="Z697" s="1531"/>
      <c r="AA697" s="1531"/>
      <c r="AB697" s="1531"/>
      <c r="AC697" s="1531"/>
      <c r="AD697" s="1531"/>
      <c r="AE697" s="1531"/>
      <c r="AF697" s="1531"/>
      <c r="AG697" s="1531"/>
      <c r="AH697" s="1531"/>
      <c r="AI697" s="1531"/>
      <c r="AJ697" s="1531"/>
      <c r="AK697" s="1531"/>
      <c r="AL697" s="1531"/>
      <c r="AM697" s="1531"/>
      <c r="AN697" s="1531"/>
      <c r="AO697" s="1531"/>
      <c r="AP697" s="1531"/>
      <c r="AQ697" s="1531"/>
      <c r="AR697" s="1531"/>
      <c r="AS697" s="1531"/>
      <c r="AT697" s="1531"/>
      <c r="AU697" s="1531"/>
      <c r="AV697" s="1531"/>
      <c r="AW697" s="1531"/>
      <c r="AX697" s="1531"/>
      <c r="AY697" s="1531"/>
      <c r="AZ697" s="1531"/>
      <c r="BA697" s="1531"/>
      <c r="BB697" s="1531"/>
      <c r="BC697" s="1531"/>
      <c r="BD697" s="1531"/>
      <c r="BE697" s="1531"/>
      <c r="BF697" s="1531"/>
      <c r="BG697" s="1531"/>
      <c r="BH697" s="1531"/>
      <c r="BI697" s="1531"/>
      <c r="BJ697" s="1531"/>
      <c r="BK697" s="1531"/>
      <c r="BL697" s="1531"/>
      <c r="BM697" s="1493"/>
      <c r="BN697" s="1493"/>
      <c r="BO697" s="1493"/>
      <c r="BP697" s="1493"/>
      <c r="BQ697" s="1493"/>
      <c r="BR697" s="1493"/>
      <c r="BS697" s="1493"/>
      <c r="BT697" s="1493"/>
      <c r="BU697" s="1493"/>
      <c r="BV697" s="1493"/>
      <c r="BW697" s="1493"/>
      <c r="BX697" s="1493"/>
      <c r="BY697" s="1493"/>
      <c r="BZ697" s="1493"/>
      <c r="CA697" s="1493"/>
      <c r="CB697" s="1493"/>
      <c r="CC697" s="1493"/>
      <c r="CD697" s="1493"/>
      <c r="CE697" s="1493"/>
      <c r="CF697" s="1493"/>
      <c r="CG697" s="1493"/>
      <c r="CH697" s="1493"/>
      <c r="CI697" s="1493"/>
      <c r="CJ697" s="1493"/>
      <c r="CK697" s="1493"/>
      <c r="CL697" s="1493"/>
      <c r="CM697" s="1493"/>
      <c r="CN697" s="1493"/>
      <c r="CO697" s="1493"/>
      <c r="CP697" s="1493"/>
      <c r="CQ697" s="1493"/>
      <c r="CR697" s="1493"/>
      <c r="CS697" s="1493"/>
      <c r="CT697" s="1493"/>
      <c r="CU697" s="1493"/>
      <c r="CV697" s="1493"/>
      <c r="CW697" s="1493"/>
      <c r="CX697" s="1493"/>
      <c r="CY697" s="1493"/>
      <c r="CZ697" s="1493"/>
      <c r="DA697" s="1493"/>
      <c r="DB697" s="1493"/>
      <c r="DC697" s="1493"/>
      <c r="DD697" s="1493"/>
      <c r="DE697" s="1493"/>
      <c r="DF697" s="1493"/>
      <c r="DG697" s="1493"/>
      <c r="DH697" s="1493"/>
      <c r="DI697" s="1493"/>
    </row>
    <row r="698" spans="1:113" ht="15.75" x14ac:dyDescent="0.25">
      <c r="A698" s="1558" t="s">
        <v>1544</v>
      </c>
      <c r="B698" s="1516" t="e">
        <f>B341</f>
        <v>#VALUE!</v>
      </c>
      <c r="C698" s="1416"/>
      <c r="D698" s="1523"/>
      <c r="E698" s="1523"/>
      <c r="F698" s="1523"/>
      <c r="G698" s="1523"/>
      <c r="H698" s="1531"/>
      <c r="I698" s="1531"/>
      <c r="J698" s="1531"/>
      <c r="K698" s="1531"/>
      <c r="L698" s="1531"/>
      <c r="M698" s="1531"/>
      <c r="N698" s="1531"/>
      <c r="O698" s="1531"/>
      <c r="P698" s="1554"/>
      <c r="Q698" s="1070"/>
      <c r="R698" s="1070"/>
      <c r="S698" s="1070"/>
      <c r="T698" s="1531"/>
      <c r="U698" s="1531"/>
      <c r="V698" s="1531"/>
      <c r="W698" s="1531"/>
      <c r="X698" s="1531"/>
      <c r="Y698" s="1531"/>
      <c r="Z698" s="1531"/>
      <c r="AA698" s="1531"/>
      <c r="AB698" s="1531"/>
      <c r="AC698" s="1531"/>
      <c r="AD698" s="1531"/>
      <c r="AE698" s="1531"/>
      <c r="AF698" s="1531"/>
      <c r="AG698" s="1531"/>
      <c r="AH698" s="1531"/>
      <c r="AI698" s="1531"/>
      <c r="AJ698" s="1531"/>
      <c r="AK698" s="1531"/>
      <c r="AL698" s="1531"/>
      <c r="AM698" s="1531"/>
      <c r="AN698" s="1531"/>
      <c r="AO698" s="1531"/>
      <c r="AP698" s="1531"/>
      <c r="AQ698" s="1531"/>
      <c r="AR698" s="1531"/>
      <c r="AS698" s="1531"/>
      <c r="AT698" s="1531"/>
      <c r="AU698" s="1531"/>
      <c r="AV698" s="1531"/>
      <c r="AW698" s="1531"/>
      <c r="AX698" s="1531"/>
      <c r="AY698" s="1531"/>
      <c r="AZ698" s="1531"/>
      <c r="BA698" s="1531"/>
      <c r="BB698" s="1531"/>
      <c r="BC698" s="1531"/>
      <c r="BD698" s="1531"/>
      <c r="BE698" s="1531"/>
      <c r="BF698" s="1531"/>
      <c r="BG698" s="1531"/>
      <c r="BH698" s="1531"/>
      <c r="BI698" s="1531"/>
      <c r="BJ698" s="1531"/>
      <c r="BK698" s="1531"/>
      <c r="BL698" s="1531"/>
      <c r="BM698" s="1493"/>
      <c r="BN698" s="1493"/>
      <c r="BO698" s="1493"/>
      <c r="BP698" s="1493"/>
      <c r="BQ698" s="1493"/>
      <c r="BR698" s="1493"/>
      <c r="BS698" s="1493"/>
      <c r="BT698" s="1493"/>
      <c r="BU698" s="1493"/>
      <c r="BV698" s="1493"/>
      <c r="BW698" s="1493"/>
      <c r="BX698" s="1493"/>
      <c r="BY698" s="1493"/>
      <c r="BZ698" s="1493"/>
      <c r="CA698" s="1493"/>
      <c r="CB698" s="1493"/>
      <c r="CC698" s="1493"/>
      <c r="CD698" s="1493"/>
      <c r="CE698" s="1493"/>
      <c r="CF698" s="1493"/>
      <c r="CG698" s="1493"/>
      <c r="CH698" s="1493"/>
      <c r="CI698" s="1493"/>
      <c r="CJ698" s="1493"/>
      <c r="CK698" s="1493"/>
      <c r="CL698" s="1493"/>
      <c r="CM698" s="1493"/>
      <c r="CN698" s="1493"/>
      <c r="CO698" s="1493"/>
      <c r="CP698" s="1493"/>
      <c r="CQ698" s="1493"/>
      <c r="CR698" s="1493"/>
      <c r="CS698" s="1493"/>
      <c r="CT698" s="1493"/>
      <c r="CU698" s="1493"/>
      <c r="CV698" s="1493"/>
      <c r="CW698" s="1493"/>
      <c r="CX698" s="1493"/>
      <c r="CY698" s="1493"/>
      <c r="CZ698" s="1493"/>
      <c r="DA698" s="1493"/>
      <c r="DB698" s="1493"/>
      <c r="DC698" s="1493"/>
      <c r="DD698" s="1493"/>
      <c r="DE698" s="1493"/>
      <c r="DF698" s="1493"/>
      <c r="DG698" s="1493"/>
      <c r="DH698" s="1493"/>
      <c r="DI698" s="1493"/>
    </row>
    <row r="699" spans="1:113" ht="15.75" x14ac:dyDescent="0.25">
      <c r="A699" s="1519" t="s">
        <v>3059</v>
      </c>
      <c r="B699" s="1522" t="e">
        <f>B698</f>
        <v>#VALUE!</v>
      </c>
      <c r="C699" s="1523"/>
      <c r="D699" s="1546"/>
      <c r="E699" s="1546"/>
      <c r="F699" s="1546"/>
      <c r="G699" s="1546"/>
      <c r="H699" s="1350"/>
      <c r="I699" s="1531"/>
      <c r="J699" s="1531"/>
      <c r="K699" s="1531"/>
      <c r="L699" s="1531"/>
      <c r="M699" s="1531"/>
      <c r="N699" s="1531"/>
      <c r="O699" s="1531"/>
      <c r="P699" s="1554"/>
      <c r="Q699" s="1070"/>
      <c r="R699" s="1070"/>
      <c r="S699" s="1070"/>
      <c r="T699" s="1350"/>
      <c r="U699" s="1350"/>
      <c r="V699" s="1350"/>
      <c r="W699" s="1350"/>
      <c r="X699" s="1350"/>
      <c r="Y699" s="1350"/>
      <c r="Z699" s="1350"/>
      <c r="AA699" s="1350"/>
      <c r="AB699" s="1350"/>
      <c r="AC699" s="1531"/>
      <c r="AD699" s="1531"/>
      <c r="AE699" s="1531"/>
      <c r="AF699" s="1531"/>
      <c r="AG699" s="1531"/>
      <c r="AH699" s="1531"/>
      <c r="AI699" s="1531"/>
      <c r="AJ699" s="1531"/>
      <c r="AK699" s="1531"/>
      <c r="AL699" s="1531"/>
      <c r="AM699" s="1531"/>
      <c r="AN699" s="1531"/>
      <c r="AO699" s="1531"/>
      <c r="AP699" s="1531"/>
      <c r="AQ699" s="1531"/>
      <c r="AR699" s="1531"/>
      <c r="AS699" s="1531"/>
      <c r="AT699" s="1531"/>
      <c r="AU699" s="1531"/>
      <c r="AV699" s="1531"/>
      <c r="AW699" s="1531"/>
      <c r="AX699" s="1531"/>
      <c r="AY699" s="1531"/>
      <c r="AZ699" s="1531"/>
      <c r="BA699" s="1531"/>
      <c r="BB699" s="1531"/>
      <c r="BC699" s="1531"/>
      <c r="BD699" s="1531"/>
      <c r="BE699" s="1531"/>
      <c r="BF699" s="1531"/>
      <c r="BG699" s="1531"/>
      <c r="BH699" s="1531"/>
      <c r="BI699" s="1531"/>
      <c r="BJ699" s="1531"/>
      <c r="BK699" s="1531"/>
      <c r="BL699" s="1531"/>
      <c r="BM699" s="1493"/>
      <c r="BN699" s="1493"/>
      <c r="BO699" s="1493"/>
      <c r="BP699" s="1493"/>
      <c r="BQ699" s="1493"/>
      <c r="BR699" s="1493"/>
      <c r="BS699" s="1493"/>
      <c r="BT699" s="1493"/>
      <c r="BU699" s="1493"/>
      <c r="BV699" s="1493"/>
      <c r="BW699" s="1493"/>
      <c r="BX699" s="1493"/>
      <c r="BY699" s="1493"/>
      <c r="BZ699" s="1493"/>
      <c r="CA699" s="1493"/>
      <c r="CB699" s="1493"/>
      <c r="CC699" s="1493"/>
      <c r="CD699" s="1493"/>
      <c r="CE699" s="1493"/>
      <c r="CF699" s="1493"/>
      <c r="CG699" s="1493"/>
      <c r="CH699" s="1493"/>
      <c r="CI699" s="1493"/>
      <c r="CJ699" s="1493"/>
      <c r="CK699" s="1493"/>
      <c r="CL699" s="1493"/>
      <c r="CM699" s="1493"/>
      <c r="CN699" s="1493"/>
      <c r="CO699" s="1493"/>
      <c r="CP699" s="1493"/>
      <c r="CQ699" s="1493"/>
      <c r="CR699" s="1493"/>
      <c r="CS699" s="1493"/>
      <c r="CT699" s="1493"/>
      <c r="CU699" s="1493"/>
      <c r="CV699" s="1493"/>
      <c r="CW699" s="1493"/>
      <c r="CX699" s="1493"/>
      <c r="CY699" s="1493"/>
      <c r="CZ699" s="1493"/>
      <c r="DA699" s="1493"/>
      <c r="DB699" s="1493"/>
      <c r="DC699" s="1493"/>
      <c r="DD699" s="1493"/>
      <c r="DE699" s="1493"/>
      <c r="DF699" s="1493"/>
      <c r="DG699" s="1493"/>
      <c r="DH699" s="1493"/>
      <c r="DI699" s="1493"/>
    </row>
    <row r="700" spans="1:113" ht="15.75" x14ac:dyDescent="0.25">
      <c r="A700" s="1519" t="s">
        <v>3412</v>
      </c>
      <c r="B700" s="1522" t="e">
        <f>B696*B699</f>
        <v>#VALUE!</v>
      </c>
      <c r="C700" s="1523"/>
      <c r="D700" s="1416"/>
      <c r="E700" s="1416"/>
      <c r="F700" s="1416"/>
      <c r="G700" s="1416"/>
      <c r="H700" s="1350"/>
      <c r="I700" s="1531"/>
      <c r="J700" s="1531"/>
      <c r="K700" s="1531"/>
      <c r="L700" s="1531"/>
      <c r="M700" s="1531"/>
      <c r="N700" s="1531"/>
      <c r="O700" s="1531"/>
      <c r="P700" s="1554"/>
      <c r="Q700" s="1070"/>
      <c r="R700" s="1070"/>
      <c r="S700" s="1070"/>
      <c r="T700" s="1350"/>
      <c r="U700" s="1350"/>
      <c r="V700" s="1350"/>
      <c r="W700" s="1350"/>
      <c r="X700" s="1350"/>
      <c r="Y700" s="1350"/>
      <c r="Z700" s="1350"/>
      <c r="AA700" s="1350"/>
      <c r="AB700" s="1350"/>
      <c r="AC700" s="1531"/>
      <c r="AD700" s="1531"/>
      <c r="AE700" s="1531"/>
      <c r="AF700" s="1531"/>
      <c r="AG700" s="1531"/>
      <c r="AH700" s="1531"/>
      <c r="AI700" s="1531"/>
      <c r="AJ700" s="1531"/>
      <c r="AK700" s="1531"/>
      <c r="AL700" s="1531"/>
      <c r="AM700" s="1531"/>
      <c r="AN700" s="1531"/>
      <c r="AO700" s="1531"/>
      <c r="AP700" s="1531"/>
      <c r="AQ700" s="1531"/>
      <c r="AR700" s="1531"/>
      <c r="AS700" s="1531"/>
      <c r="AT700" s="1531"/>
      <c r="AU700" s="1531"/>
      <c r="AV700" s="1531"/>
      <c r="AW700" s="1531"/>
      <c r="AX700" s="1531"/>
      <c r="AY700" s="1531"/>
      <c r="AZ700" s="1531"/>
      <c r="BA700" s="1531"/>
      <c r="BB700" s="1531"/>
      <c r="BC700" s="1531"/>
      <c r="BD700" s="1531"/>
      <c r="BE700" s="1531"/>
      <c r="BF700" s="1531"/>
      <c r="BG700" s="1531"/>
      <c r="BH700" s="1531"/>
      <c r="BI700" s="1531"/>
      <c r="BJ700" s="1531"/>
      <c r="BK700" s="1531"/>
      <c r="BL700" s="1531"/>
      <c r="BM700" s="1493"/>
      <c r="BN700" s="1493"/>
      <c r="BO700" s="1493"/>
      <c r="BP700" s="1493"/>
      <c r="BQ700" s="1493"/>
      <c r="BR700" s="1493"/>
      <c r="BS700" s="1493"/>
      <c r="BT700" s="1493"/>
      <c r="BU700" s="1493"/>
      <c r="BV700" s="1493"/>
      <c r="BW700" s="1493"/>
      <c r="BX700" s="1493"/>
      <c r="BY700" s="1493"/>
      <c r="BZ700" s="1493"/>
      <c r="CA700" s="1493"/>
      <c r="CB700" s="1493"/>
      <c r="CC700" s="1493"/>
      <c r="CD700" s="1493"/>
      <c r="CE700" s="1493"/>
      <c r="CF700" s="1493"/>
      <c r="CG700" s="1493"/>
      <c r="CH700" s="1493"/>
      <c r="CI700" s="1493"/>
      <c r="CJ700" s="1493"/>
      <c r="CK700" s="1493"/>
      <c r="CL700" s="1493"/>
      <c r="CM700" s="1493"/>
      <c r="CN700" s="1493"/>
      <c r="CO700" s="1493"/>
      <c r="CP700" s="1493"/>
      <c r="CQ700" s="1493"/>
      <c r="CR700" s="1493"/>
      <c r="CS700" s="1493"/>
      <c r="CT700" s="1493"/>
      <c r="CU700" s="1493"/>
      <c r="CV700" s="1493"/>
      <c r="CW700" s="1493"/>
      <c r="CX700" s="1493"/>
      <c r="CY700" s="1493"/>
      <c r="CZ700" s="1493"/>
      <c r="DA700" s="1493"/>
      <c r="DB700" s="1493"/>
      <c r="DC700" s="1493"/>
      <c r="DD700" s="1493"/>
      <c r="DE700" s="1493"/>
      <c r="DF700" s="1493"/>
      <c r="DG700" s="1493"/>
      <c r="DH700" s="1493"/>
      <c r="DI700" s="1493"/>
    </row>
    <row r="701" spans="1:113" ht="31.5" x14ac:dyDescent="0.25">
      <c r="A701" s="1542" t="s">
        <v>3032</v>
      </c>
      <c r="B701" s="1522" t="e">
        <f>B662/B700</f>
        <v>#REF!</v>
      </c>
      <c r="C701" s="1523"/>
      <c r="D701" s="1350"/>
      <c r="E701" s="1350"/>
      <c r="F701" s="1350"/>
      <c r="G701" s="1350"/>
      <c r="H701" s="1350"/>
      <c r="I701" s="1531"/>
      <c r="J701" s="1531"/>
      <c r="K701" s="1531"/>
      <c r="L701" s="1531"/>
      <c r="M701" s="1531"/>
      <c r="N701" s="1531"/>
      <c r="O701" s="1531"/>
      <c r="P701" s="1554"/>
      <c r="Q701" s="1070"/>
      <c r="R701" s="1070"/>
      <c r="S701" s="1070"/>
      <c r="T701" s="1350"/>
      <c r="U701" s="1350"/>
      <c r="V701" s="1350"/>
      <c r="W701" s="1350"/>
      <c r="X701" s="1350"/>
      <c r="Y701" s="1350"/>
      <c r="Z701" s="1350"/>
      <c r="AA701" s="1350"/>
      <c r="AB701" s="1350"/>
      <c r="AC701" s="1531"/>
      <c r="AD701" s="1531"/>
      <c r="AE701" s="1531"/>
      <c r="AF701" s="1531"/>
      <c r="AG701" s="1531"/>
      <c r="AH701" s="1531"/>
      <c r="AI701" s="1531"/>
      <c r="AJ701" s="1531"/>
      <c r="AK701" s="1531"/>
      <c r="AL701" s="1531"/>
      <c r="AM701" s="1531"/>
      <c r="AN701" s="1531"/>
      <c r="AO701" s="1531"/>
      <c r="AP701" s="1531"/>
      <c r="AQ701" s="1531"/>
      <c r="AR701" s="1531"/>
      <c r="AS701" s="1531"/>
      <c r="AT701" s="1531"/>
      <c r="AU701" s="1531"/>
      <c r="AV701" s="1531"/>
      <c r="AW701" s="1531"/>
      <c r="AX701" s="1531"/>
      <c r="AY701" s="1531"/>
      <c r="AZ701" s="1531"/>
      <c r="BA701" s="1531"/>
      <c r="BB701" s="1531"/>
      <c r="BC701" s="1531"/>
      <c r="BD701" s="1531"/>
      <c r="BE701" s="1531"/>
      <c r="BF701" s="1531"/>
      <c r="BG701" s="1531"/>
      <c r="BH701" s="1531"/>
      <c r="BI701" s="1531"/>
      <c r="BJ701" s="1531"/>
      <c r="BK701" s="1531"/>
      <c r="BL701" s="1531"/>
      <c r="BM701" s="1493"/>
      <c r="BN701" s="1493"/>
      <c r="BO701" s="1493"/>
      <c r="BP701" s="1493"/>
      <c r="BQ701" s="1493"/>
      <c r="BR701" s="1493"/>
      <c r="BS701" s="1493"/>
      <c r="BT701" s="1493"/>
      <c r="BU701" s="1493"/>
      <c r="BV701" s="1493"/>
      <c r="BW701" s="1493"/>
      <c r="BX701" s="1493"/>
      <c r="BY701" s="1493"/>
      <c r="BZ701" s="1493"/>
      <c r="CA701" s="1493"/>
      <c r="CB701" s="1493"/>
      <c r="CC701" s="1493"/>
      <c r="CD701" s="1493"/>
      <c r="CE701" s="1493"/>
      <c r="CF701" s="1493"/>
      <c r="CG701" s="1493"/>
      <c r="CH701" s="1493"/>
      <c r="CI701" s="1493"/>
      <c r="CJ701" s="1493"/>
      <c r="CK701" s="1493"/>
      <c r="CL701" s="1493"/>
      <c r="CM701" s="1493"/>
      <c r="CN701" s="1493"/>
      <c r="CO701" s="1493"/>
      <c r="CP701" s="1493"/>
      <c r="CQ701" s="1493"/>
      <c r="CR701" s="1493"/>
      <c r="CS701" s="1493"/>
      <c r="CT701" s="1493"/>
      <c r="CU701" s="1493"/>
      <c r="CV701" s="1493"/>
      <c r="CW701" s="1493"/>
      <c r="CX701" s="1493"/>
      <c r="CY701" s="1493"/>
      <c r="CZ701" s="1493"/>
      <c r="DA701" s="1493"/>
      <c r="DB701" s="1493"/>
      <c r="DC701" s="1493"/>
      <c r="DD701" s="1493"/>
      <c r="DE701" s="1493"/>
      <c r="DF701" s="1493"/>
      <c r="DG701" s="1493"/>
      <c r="DH701" s="1493"/>
      <c r="DI701" s="1493"/>
    </row>
    <row r="702" spans="1:113" ht="31.5" x14ac:dyDescent="0.25">
      <c r="A702" s="1559" t="s">
        <v>4409</v>
      </c>
      <c r="B702" s="1560" t="e">
        <f>B678+B691+B701</f>
        <v>#REF!</v>
      </c>
      <c r="C702" s="1561"/>
      <c r="D702" s="1350"/>
      <c r="E702" s="1350"/>
      <c r="F702" s="1350"/>
      <c r="G702" s="1350"/>
      <c r="H702" s="1350"/>
      <c r="I702" s="1531"/>
      <c r="J702" s="1531"/>
      <c r="K702" s="1531"/>
      <c r="L702" s="1531"/>
      <c r="M702" s="1531"/>
      <c r="N702" s="1531"/>
      <c r="O702" s="1531"/>
      <c r="P702" s="1554"/>
      <c r="Q702" s="1070"/>
      <c r="R702" s="1070"/>
      <c r="S702" s="1070"/>
      <c r="T702" s="1350"/>
      <c r="U702" s="1350"/>
      <c r="V702" s="1350"/>
      <c r="W702" s="1350"/>
      <c r="X702" s="1350"/>
      <c r="Y702" s="1350"/>
      <c r="Z702" s="1350"/>
      <c r="AA702" s="1350"/>
      <c r="AB702" s="1350"/>
      <c r="AC702" s="1531"/>
      <c r="AD702" s="1531"/>
      <c r="AE702" s="1531"/>
      <c r="AF702" s="1531"/>
      <c r="AG702" s="1531"/>
      <c r="AH702" s="1531"/>
      <c r="AI702" s="1531"/>
      <c r="AJ702" s="1531"/>
      <c r="AK702" s="1531"/>
      <c r="AL702" s="1531"/>
      <c r="AM702" s="1531"/>
      <c r="AN702" s="1531"/>
      <c r="AO702" s="1531"/>
      <c r="AP702" s="1531"/>
      <c r="AQ702" s="1531"/>
      <c r="AR702" s="1531"/>
      <c r="AS702" s="1531"/>
      <c r="AT702" s="1531"/>
      <c r="AU702" s="1531"/>
      <c r="AV702" s="1531"/>
      <c r="AW702" s="1531"/>
      <c r="AX702" s="1531"/>
      <c r="AY702" s="1531"/>
      <c r="AZ702" s="1531"/>
      <c r="BA702" s="1531"/>
      <c r="BB702" s="1531"/>
      <c r="BC702" s="1531"/>
      <c r="BD702" s="1531"/>
      <c r="BE702" s="1531"/>
      <c r="BF702" s="1531"/>
      <c r="BG702" s="1531"/>
      <c r="BH702" s="1531"/>
      <c r="BI702" s="1531"/>
      <c r="BJ702" s="1531"/>
      <c r="BK702" s="1531"/>
      <c r="BL702" s="1531"/>
      <c r="BM702" s="1493"/>
      <c r="BN702" s="1493"/>
      <c r="BO702" s="1493"/>
      <c r="BP702" s="1493"/>
      <c r="BQ702" s="1493"/>
      <c r="BR702" s="1493"/>
      <c r="BS702" s="1493"/>
      <c r="BT702" s="1493"/>
      <c r="BU702" s="1493"/>
      <c r="BV702" s="1493"/>
      <c r="BW702" s="1493"/>
      <c r="BX702" s="1493"/>
      <c r="BY702" s="1493"/>
      <c r="BZ702" s="1493"/>
      <c r="CA702" s="1493"/>
      <c r="CB702" s="1493"/>
      <c r="CC702" s="1493"/>
      <c r="CD702" s="1493"/>
      <c r="CE702" s="1493"/>
      <c r="CF702" s="1493"/>
      <c r="CG702" s="1493"/>
      <c r="CH702" s="1493"/>
      <c r="CI702" s="1493"/>
      <c r="CJ702" s="1493"/>
      <c r="CK702" s="1493"/>
      <c r="CL702" s="1493"/>
      <c r="CM702" s="1493"/>
      <c r="CN702" s="1493"/>
      <c r="CO702" s="1493"/>
      <c r="CP702" s="1493"/>
      <c r="CQ702" s="1493"/>
      <c r="CR702" s="1493"/>
      <c r="CS702" s="1493"/>
      <c r="CT702" s="1493"/>
      <c r="CU702" s="1493"/>
      <c r="CV702" s="1493"/>
      <c r="CW702" s="1493"/>
      <c r="CX702" s="1493"/>
      <c r="CY702" s="1493"/>
      <c r="CZ702" s="1493"/>
      <c r="DA702" s="1493"/>
      <c r="DB702" s="1493"/>
      <c r="DC702" s="1493"/>
      <c r="DD702" s="1493"/>
      <c r="DE702" s="1493"/>
      <c r="DF702" s="1493"/>
      <c r="DG702" s="1493"/>
      <c r="DH702" s="1493"/>
      <c r="DI702" s="1493"/>
    </row>
    <row r="703" spans="1:113" ht="31.5" x14ac:dyDescent="0.25">
      <c r="A703" s="1438" t="s">
        <v>4410</v>
      </c>
      <c r="B703" s="1439" t="e">
        <f>B592+B599+B612+B625+B631+B650+B702</f>
        <v>#DIV/0!</v>
      </c>
      <c r="C703" s="1562"/>
      <c r="D703" s="1416"/>
      <c r="E703" s="1416"/>
      <c r="F703" s="1416"/>
      <c r="G703" s="1416"/>
      <c r="H703" s="1350"/>
      <c r="I703" s="1531"/>
      <c r="J703" s="1531"/>
      <c r="K703" s="1531"/>
      <c r="L703" s="1531"/>
      <c r="M703" s="1531"/>
      <c r="N703" s="1531"/>
      <c r="O703" s="1531"/>
      <c r="P703" s="1531"/>
      <c r="Q703" s="1531"/>
      <c r="R703" s="1531"/>
      <c r="S703" s="1531"/>
      <c r="T703" s="1350"/>
      <c r="U703" s="1350"/>
      <c r="V703" s="1350"/>
      <c r="W703" s="1350"/>
      <c r="X703" s="1350"/>
      <c r="Y703" s="1350"/>
      <c r="Z703" s="1350"/>
      <c r="AA703" s="1350"/>
      <c r="AB703" s="1350"/>
      <c r="AC703" s="1531"/>
      <c r="AD703" s="1531"/>
      <c r="AE703" s="1531"/>
      <c r="AF703" s="1531"/>
      <c r="AG703" s="1531"/>
      <c r="AH703" s="1531"/>
      <c r="AI703" s="1531"/>
      <c r="AJ703" s="1531"/>
      <c r="AK703" s="1531"/>
      <c r="AL703" s="1531"/>
      <c r="AM703" s="1531"/>
      <c r="AN703" s="1531"/>
      <c r="AO703" s="1531"/>
      <c r="AP703" s="1531"/>
      <c r="AQ703" s="1531"/>
      <c r="AR703" s="1531"/>
      <c r="AS703" s="1531"/>
      <c r="AT703" s="1531"/>
      <c r="AU703" s="1531"/>
      <c r="AV703" s="1531"/>
      <c r="AW703" s="1531"/>
      <c r="AX703" s="1531"/>
      <c r="AY703" s="1531"/>
      <c r="AZ703" s="1531"/>
      <c r="BA703" s="1531"/>
      <c r="BB703" s="1531"/>
      <c r="BC703" s="1531"/>
      <c r="BD703" s="1531"/>
      <c r="BE703" s="1531"/>
      <c r="BF703" s="1531"/>
      <c r="BG703" s="1531"/>
      <c r="BH703" s="1531"/>
      <c r="BI703" s="1531"/>
      <c r="BJ703" s="1531"/>
      <c r="BK703" s="1531"/>
      <c r="BL703" s="1531"/>
      <c r="BM703" s="1493"/>
      <c r="BN703" s="1493"/>
      <c r="BO703" s="1493"/>
      <c r="BP703" s="1493"/>
      <c r="BQ703" s="1493"/>
      <c r="BR703" s="1493"/>
      <c r="BS703" s="1493"/>
      <c r="BT703" s="1493"/>
      <c r="BU703" s="1493"/>
      <c r="BV703" s="1493"/>
      <c r="BW703" s="1493"/>
      <c r="BX703" s="1493"/>
      <c r="BY703" s="1493"/>
      <c r="BZ703" s="1493"/>
      <c r="CA703" s="1493"/>
      <c r="CB703" s="1493"/>
      <c r="CC703" s="1493"/>
      <c r="CD703" s="1493"/>
      <c r="CE703" s="1493"/>
      <c r="CF703" s="1493"/>
      <c r="CG703" s="1493"/>
      <c r="CH703" s="1493"/>
      <c r="CI703" s="1493"/>
      <c r="CJ703" s="1493"/>
      <c r="CK703" s="1493"/>
      <c r="CL703" s="1493"/>
      <c r="CM703" s="1493"/>
      <c r="CN703" s="1493"/>
      <c r="CO703" s="1493"/>
      <c r="CP703" s="1493"/>
      <c r="CQ703" s="1493"/>
      <c r="CR703" s="1493"/>
      <c r="CS703" s="1493"/>
      <c r="CT703" s="1493"/>
      <c r="CU703" s="1493"/>
      <c r="CV703" s="1493"/>
      <c r="CW703" s="1493"/>
      <c r="CX703" s="1493"/>
      <c r="CY703" s="1493"/>
      <c r="CZ703" s="1493"/>
      <c r="DA703" s="1493"/>
      <c r="DB703" s="1493"/>
      <c r="DC703" s="1493"/>
      <c r="DD703" s="1493"/>
      <c r="DE703" s="1493"/>
      <c r="DF703" s="1493"/>
      <c r="DG703" s="1493"/>
      <c r="DH703" s="1493"/>
      <c r="DI703" s="1493"/>
    </row>
    <row r="704" spans="1:113" ht="15.75" x14ac:dyDescent="0.25">
      <c r="A704" s="1466" t="s">
        <v>831</v>
      </c>
      <c r="B704" s="1453" t="e">
        <f>IF(B323=1,B703,0)</f>
        <v>#DIV/0!</v>
      </c>
      <c r="C704" s="1563"/>
      <c r="D704" s="1557"/>
      <c r="E704" s="1557"/>
      <c r="F704" s="1557"/>
      <c r="G704" s="1557"/>
      <c r="H704" s="1350"/>
      <c r="I704" s="1531"/>
      <c r="J704" s="1531"/>
      <c r="K704" s="1531"/>
      <c r="L704" s="1531"/>
      <c r="M704" s="1531"/>
      <c r="N704" s="1531"/>
      <c r="O704" s="1531"/>
      <c r="P704" s="1531"/>
      <c r="Q704" s="1531"/>
      <c r="R704" s="1531"/>
      <c r="S704" s="1531"/>
      <c r="T704" s="1350"/>
      <c r="U704" s="1350"/>
      <c r="V704" s="1350"/>
      <c r="W704" s="1350"/>
      <c r="X704" s="1350"/>
      <c r="Y704" s="1350"/>
      <c r="Z704" s="1350"/>
      <c r="AA704" s="1350"/>
      <c r="AB704" s="1350"/>
      <c r="AC704" s="1531"/>
      <c r="AD704" s="1531"/>
      <c r="AE704" s="1531"/>
      <c r="AF704" s="1531"/>
      <c r="AG704" s="1531"/>
      <c r="AH704" s="1531"/>
      <c r="AI704" s="1531"/>
      <c r="AJ704" s="1531"/>
      <c r="AK704" s="1531"/>
      <c r="AL704" s="1531"/>
      <c r="AM704" s="1531"/>
      <c r="AN704" s="1531"/>
      <c r="AO704" s="1531"/>
      <c r="AP704" s="1531"/>
      <c r="AQ704" s="1531"/>
      <c r="AR704" s="1531"/>
      <c r="AS704" s="1531"/>
      <c r="AT704" s="1531"/>
      <c r="AU704" s="1531"/>
      <c r="AV704" s="1531"/>
      <c r="AW704" s="1531"/>
      <c r="AX704" s="1531"/>
      <c r="AY704" s="1531"/>
      <c r="AZ704" s="1531"/>
      <c r="BA704" s="1531"/>
      <c r="BB704" s="1531"/>
      <c r="BC704" s="1531"/>
      <c r="BD704" s="1531"/>
      <c r="BE704" s="1531"/>
      <c r="BF704" s="1531"/>
      <c r="BG704" s="1531"/>
      <c r="BH704" s="1531"/>
      <c r="BI704" s="1531"/>
      <c r="BJ704" s="1531"/>
      <c r="BK704" s="1531"/>
      <c r="BL704" s="1531"/>
      <c r="BM704" s="1493"/>
      <c r="BN704" s="1493"/>
      <c r="BO704" s="1493"/>
      <c r="BP704" s="1493"/>
      <c r="BQ704" s="1493"/>
      <c r="BR704" s="1493"/>
      <c r="BS704" s="1493"/>
      <c r="BT704" s="1493"/>
      <c r="BU704" s="1493"/>
      <c r="BV704" s="1493"/>
      <c r="BW704" s="1493"/>
      <c r="BX704" s="1493"/>
      <c r="BY704" s="1493"/>
      <c r="BZ704" s="1493"/>
      <c r="CA704" s="1493"/>
      <c r="CB704" s="1493"/>
      <c r="CC704" s="1493"/>
      <c r="CD704" s="1493"/>
      <c r="CE704" s="1493"/>
      <c r="CF704" s="1493"/>
      <c r="CG704" s="1493"/>
      <c r="CH704" s="1493"/>
      <c r="CI704" s="1493"/>
      <c r="CJ704" s="1493"/>
      <c r="CK704" s="1493"/>
      <c r="CL704" s="1493"/>
      <c r="CM704" s="1493"/>
      <c r="CN704" s="1493"/>
      <c r="CO704" s="1493"/>
      <c r="CP704" s="1493"/>
      <c r="CQ704" s="1493"/>
      <c r="CR704" s="1493"/>
      <c r="CS704" s="1493"/>
      <c r="CT704" s="1493"/>
      <c r="CU704" s="1493"/>
      <c r="CV704" s="1493"/>
      <c r="CW704" s="1493"/>
      <c r="CX704" s="1493"/>
      <c r="CY704" s="1493"/>
      <c r="CZ704" s="1493"/>
      <c r="DA704" s="1493"/>
      <c r="DB704" s="1493"/>
      <c r="DC704" s="1493"/>
      <c r="DD704" s="1493"/>
      <c r="DE704" s="1493"/>
      <c r="DF704" s="1493"/>
      <c r="DG704" s="1493"/>
      <c r="DH704" s="1493"/>
      <c r="DI704" s="1493"/>
    </row>
    <row r="705" spans="1:113" ht="15.75" x14ac:dyDescent="0.25">
      <c r="A705" s="1564"/>
      <c r="B705" s="1479"/>
      <c r="C705" s="1565"/>
      <c r="D705" s="1416"/>
      <c r="E705" s="1416"/>
      <c r="F705" s="1416"/>
      <c r="G705" s="1416"/>
      <c r="H705" s="1070"/>
      <c r="I705" s="1070"/>
      <c r="J705" s="1070"/>
      <c r="K705" s="1070"/>
      <c r="L705" s="1070"/>
      <c r="M705" s="1070"/>
      <c r="N705" s="1070"/>
      <c r="O705" s="1136"/>
      <c r="P705" s="1136"/>
      <c r="Q705" s="1136"/>
      <c r="R705" s="1136"/>
      <c r="S705" s="1136"/>
      <c r="T705" s="1136"/>
      <c r="U705" s="1136"/>
      <c r="V705" s="1136"/>
      <c r="W705" s="1136"/>
      <c r="X705" s="1136"/>
      <c r="Y705" s="1136"/>
      <c r="Z705" s="1136"/>
      <c r="AA705" s="1136"/>
      <c r="AB705" s="1136"/>
      <c r="AC705" s="1136"/>
      <c r="AD705" s="1136"/>
      <c r="AE705" s="1136"/>
      <c r="AF705" s="1136"/>
      <c r="AG705" s="1136"/>
      <c r="AH705" s="1136"/>
      <c r="AI705" s="1136"/>
      <c r="AJ705" s="1136"/>
      <c r="AK705" s="1136"/>
      <c r="AL705" s="1136"/>
      <c r="AM705" s="1136"/>
      <c r="AN705" s="1531"/>
      <c r="AO705" s="1531"/>
      <c r="AP705" s="1531"/>
      <c r="AQ705" s="1531"/>
      <c r="AR705" s="1531"/>
      <c r="AS705" s="1531"/>
      <c r="AT705" s="1531"/>
      <c r="AU705" s="1531"/>
      <c r="AV705" s="1531"/>
      <c r="AW705" s="1531"/>
      <c r="AX705" s="1531"/>
      <c r="AY705" s="1531"/>
      <c r="AZ705" s="1531"/>
      <c r="BA705" s="1531"/>
      <c r="BB705" s="1531"/>
      <c r="BC705" s="1531"/>
      <c r="BD705" s="1531"/>
      <c r="BE705" s="1531"/>
      <c r="BF705" s="1531"/>
      <c r="BG705" s="1531"/>
      <c r="BH705" s="1531"/>
      <c r="BI705" s="1531"/>
      <c r="BJ705" s="1531"/>
      <c r="BK705" s="1531"/>
      <c r="BL705" s="1531"/>
      <c r="BM705" s="1493"/>
      <c r="BN705" s="1493"/>
      <c r="BO705" s="1493"/>
      <c r="BP705" s="1493"/>
      <c r="BQ705" s="1493"/>
      <c r="BR705" s="1493"/>
      <c r="BS705" s="1493"/>
      <c r="BT705" s="1493"/>
      <c r="BU705" s="1493"/>
      <c r="BV705" s="1493"/>
      <c r="BW705" s="1493"/>
      <c r="BX705" s="1493"/>
      <c r="BY705" s="1493"/>
      <c r="BZ705" s="1493"/>
      <c r="CA705" s="1493"/>
      <c r="CB705" s="1493"/>
      <c r="CC705" s="1493"/>
      <c r="CD705" s="1493"/>
      <c r="CE705" s="1493"/>
      <c r="CF705" s="1493"/>
      <c r="CG705" s="1493"/>
      <c r="CH705" s="1493"/>
      <c r="CI705" s="1493"/>
      <c r="CJ705" s="1493"/>
      <c r="CK705" s="1493"/>
      <c r="CL705" s="1493"/>
      <c r="CM705" s="1493"/>
      <c r="CN705" s="1493"/>
      <c r="CO705" s="1493"/>
      <c r="CP705" s="1493"/>
      <c r="CQ705" s="1493"/>
      <c r="CR705" s="1493"/>
      <c r="CS705" s="1493"/>
      <c r="CT705" s="1493"/>
      <c r="CU705" s="1493"/>
      <c r="CV705" s="1493"/>
      <c r="CW705" s="1493"/>
      <c r="CX705" s="1493"/>
      <c r="CY705" s="1493"/>
      <c r="CZ705" s="1493"/>
      <c r="DA705" s="1493"/>
      <c r="DB705" s="1493"/>
      <c r="DC705" s="1493"/>
      <c r="DD705" s="1493"/>
      <c r="DE705" s="1493"/>
      <c r="DF705" s="1493"/>
      <c r="DG705" s="1493"/>
      <c r="DH705" s="1493"/>
      <c r="DI705" s="1493"/>
    </row>
    <row r="706" spans="1:113" ht="31.5" x14ac:dyDescent="0.25">
      <c r="A706" s="1438" t="s">
        <v>4411</v>
      </c>
      <c r="B706" s="1479"/>
      <c r="C706" s="1565"/>
      <c r="D706" s="1523"/>
      <c r="E706" s="1523"/>
      <c r="F706" s="1523"/>
      <c r="G706" s="1523"/>
      <c r="H706" s="1136"/>
      <c r="I706" s="1136"/>
      <c r="J706" s="1136"/>
      <c r="K706" s="1136"/>
      <c r="L706" s="1136"/>
      <c r="M706" s="1136"/>
      <c r="N706" s="1136"/>
      <c r="O706" s="1136"/>
      <c r="P706" s="1070"/>
      <c r="Q706" s="1070"/>
      <c r="R706" s="1070"/>
      <c r="S706" s="1070"/>
      <c r="T706" s="1070"/>
      <c r="U706" s="1070"/>
      <c r="V706" s="1070"/>
      <c r="W706" s="1070"/>
      <c r="X706" s="1070"/>
      <c r="Y706" s="1070"/>
      <c r="Z706" s="1070"/>
      <c r="AA706" s="1136"/>
      <c r="AB706" s="1136"/>
      <c r="AC706" s="1136"/>
      <c r="AD706" s="1136"/>
      <c r="AE706" s="1136"/>
      <c r="AF706" s="1136"/>
      <c r="AG706" s="1136"/>
      <c r="AH706" s="1136"/>
      <c r="AI706" s="1136"/>
      <c r="AJ706" s="1136"/>
      <c r="AK706" s="1136"/>
      <c r="AL706" s="1136"/>
      <c r="AM706" s="1136"/>
      <c r="AN706" s="1531"/>
      <c r="AO706" s="1531"/>
      <c r="AP706" s="1531"/>
      <c r="AQ706" s="1531"/>
      <c r="AR706" s="1531"/>
      <c r="AS706" s="1531"/>
      <c r="AT706" s="1531"/>
      <c r="AU706" s="1531"/>
      <c r="AV706" s="1531"/>
      <c r="AW706" s="1531"/>
      <c r="AX706" s="1531"/>
      <c r="AY706" s="1531"/>
      <c r="AZ706" s="1531"/>
      <c r="BA706" s="1531"/>
      <c r="BB706" s="1531"/>
      <c r="BC706" s="1531"/>
      <c r="BD706" s="1531"/>
      <c r="BE706" s="1531"/>
      <c r="BF706" s="1531"/>
      <c r="BG706" s="1531"/>
      <c r="BH706" s="1531"/>
      <c r="BI706" s="1531"/>
      <c r="BJ706" s="1531"/>
      <c r="BK706" s="1531"/>
      <c r="BL706" s="1531"/>
      <c r="BM706" s="1493"/>
      <c r="BN706" s="1493"/>
      <c r="BO706" s="1493"/>
      <c r="BP706" s="1493"/>
      <c r="BQ706" s="1493"/>
      <c r="BR706" s="1493"/>
      <c r="BS706" s="1493"/>
      <c r="BT706" s="1493"/>
      <c r="BU706" s="1493"/>
      <c r="BV706" s="1493"/>
      <c r="BW706" s="1493"/>
      <c r="BX706" s="1493"/>
      <c r="BY706" s="1493"/>
      <c r="BZ706" s="1493"/>
      <c r="CA706" s="1493"/>
      <c r="CB706" s="1493"/>
      <c r="CC706" s="1493"/>
      <c r="CD706" s="1493"/>
      <c r="CE706" s="1493"/>
      <c r="CF706" s="1493"/>
      <c r="CG706" s="1493"/>
      <c r="CH706" s="1493"/>
      <c r="CI706" s="1493"/>
      <c r="CJ706" s="1493"/>
      <c r="CK706" s="1493"/>
      <c r="CL706" s="1493"/>
      <c r="CM706" s="1493"/>
      <c r="CN706" s="1493"/>
      <c r="CO706" s="1493"/>
      <c r="CP706" s="1493"/>
      <c r="CQ706" s="1493"/>
      <c r="CR706" s="1493"/>
      <c r="CS706" s="1493"/>
      <c r="CT706" s="1493"/>
      <c r="CU706" s="1493"/>
      <c r="CV706" s="1493"/>
      <c r="CW706" s="1493"/>
      <c r="CX706" s="1493"/>
      <c r="CY706" s="1493"/>
      <c r="CZ706" s="1493"/>
      <c r="DA706" s="1493"/>
      <c r="DB706" s="1493"/>
      <c r="DC706" s="1493"/>
      <c r="DD706" s="1493"/>
      <c r="DE706" s="1493"/>
      <c r="DF706" s="1493"/>
      <c r="DG706" s="1493"/>
      <c r="DH706" s="1493"/>
      <c r="DI706" s="1493"/>
    </row>
    <row r="707" spans="1:113" ht="15.75" x14ac:dyDescent="0.25">
      <c r="A707" s="1422" t="s">
        <v>2995</v>
      </c>
      <c r="B707" s="1428" t="e">
        <f>B286*B291*B290*B293*B285</f>
        <v>#VALUE!</v>
      </c>
      <c r="C707" s="1566"/>
      <c r="D707" s="1523"/>
      <c r="E707" s="1523"/>
      <c r="F707" s="1523"/>
      <c r="G707" s="1523"/>
      <c r="H707" s="1136"/>
      <c r="I707" s="1136"/>
      <c r="J707" s="1136"/>
      <c r="K707" s="1136"/>
      <c r="L707" s="1136"/>
      <c r="M707" s="1136"/>
      <c r="N707" s="1136"/>
      <c r="O707" s="1136"/>
      <c r="P707" s="1136"/>
      <c r="Q707" s="1136"/>
      <c r="R707" s="1136"/>
      <c r="S707" s="1136"/>
      <c r="T707" s="1136"/>
      <c r="U707" s="1136"/>
      <c r="V707" s="1136"/>
      <c r="W707" s="1136"/>
      <c r="X707" s="1136"/>
      <c r="Y707" s="1136"/>
      <c r="Z707" s="1136"/>
      <c r="AA707" s="1136"/>
      <c r="AB707" s="1136"/>
      <c r="AC707" s="1136"/>
      <c r="AD707" s="1136"/>
      <c r="AE707" s="1136"/>
      <c r="AF707" s="1136"/>
      <c r="AG707" s="1136"/>
      <c r="AH707" s="1136"/>
      <c r="AI707" s="1136"/>
      <c r="AJ707" s="1136"/>
      <c r="AK707" s="1136"/>
      <c r="AL707" s="1136"/>
      <c r="AM707" s="1136"/>
      <c r="AN707" s="1531"/>
      <c r="AO707" s="1531"/>
      <c r="AP707" s="1531"/>
      <c r="AQ707" s="1531"/>
      <c r="AR707" s="1531"/>
      <c r="AS707" s="1531"/>
      <c r="AT707" s="1531"/>
      <c r="AU707" s="1531"/>
      <c r="AV707" s="1531"/>
      <c r="AW707" s="1531"/>
      <c r="AX707" s="1531"/>
      <c r="AY707" s="1531"/>
      <c r="AZ707" s="1531"/>
      <c r="BA707" s="1531"/>
      <c r="BB707" s="1531"/>
      <c r="BC707" s="1531"/>
      <c r="BD707" s="1531"/>
      <c r="BE707" s="1531"/>
      <c r="BF707" s="1531"/>
      <c r="BG707" s="1531"/>
      <c r="BH707" s="1531"/>
      <c r="BI707" s="1531"/>
      <c r="BJ707" s="1531"/>
      <c r="BK707" s="1531"/>
      <c r="BL707" s="1531"/>
      <c r="BM707" s="1493"/>
      <c r="BN707" s="1493"/>
      <c r="BO707" s="1493"/>
      <c r="BP707" s="1493"/>
      <c r="BQ707" s="1493"/>
      <c r="BR707" s="1493"/>
      <c r="BS707" s="1493"/>
      <c r="BT707" s="1493"/>
      <c r="BU707" s="1493"/>
      <c r="BV707" s="1493"/>
      <c r="BW707" s="1493"/>
      <c r="BX707" s="1493"/>
      <c r="BY707" s="1493"/>
      <c r="BZ707" s="1493"/>
      <c r="CA707" s="1493"/>
      <c r="CB707" s="1493"/>
      <c r="CC707" s="1493"/>
      <c r="CD707" s="1493"/>
      <c r="CE707" s="1493"/>
      <c r="CF707" s="1493"/>
      <c r="CG707" s="1493"/>
      <c r="CH707" s="1493"/>
      <c r="CI707" s="1493"/>
      <c r="CJ707" s="1493"/>
      <c r="CK707" s="1493"/>
      <c r="CL707" s="1493"/>
      <c r="CM707" s="1493"/>
      <c r="CN707" s="1493"/>
      <c r="CO707" s="1493"/>
      <c r="CP707" s="1493"/>
      <c r="CQ707" s="1493"/>
      <c r="CR707" s="1493"/>
      <c r="CS707" s="1493"/>
      <c r="CT707" s="1493"/>
      <c r="CU707" s="1493"/>
      <c r="CV707" s="1493"/>
      <c r="CW707" s="1493"/>
      <c r="CX707" s="1493"/>
      <c r="CY707" s="1493"/>
      <c r="CZ707" s="1493"/>
      <c r="DA707" s="1493"/>
      <c r="DB707" s="1493"/>
      <c r="DC707" s="1493"/>
      <c r="DD707" s="1493"/>
      <c r="DE707" s="1493"/>
      <c r="DF707" s="1493"/>
      <c r="DG707" s="1493"/>
      <c r="DH707" s="1493"/>
      <c r="DI707" s="1493"/>
    </row>
    <row r="708" spans="1:113" ht="15.75" x14ac:dyDescent="0.25">
      <c r="A708" s="1420" t="s">
        <v>425</v>
      </c>
      <c r="B708" s="1423" t="e">
        <f>IF(B709&lt;101,164,IF(B709&lt;201,182,IF(B709&lt;351,209,IF(B709&lt;501,240,276))))</f>
        <v>#VALUE!</v>
      </c>
      <c r="C708" s="1567"/>
      <c r="D708" s="1523"/>
      <c r="E708" s="1523"/>
      <c r="F708" s="1523"/>
      <c r="G708" s="1523"/>
      <c r="H708" s="1531"/>
      <c r="I708" s="1531"/>
      <c r="J708" s="1136"/>
      <c r="K708" s="1531"/>
      <c r="L708" s="1531"/>
      <c r="M708" s="1136"/>
      <c r="N708" s="1136"/>
      <c r="O708" s="1136"/>
      <c r="P708" s="1136"/>
      <c r="Q708" s="1136"/>
      <c r="R708" s="1136"/>
      <c r="S708" s="1136"/>
      <c r="T708" s="1136"/>
      <c r="U708" s="1136"/>
      <c r="V708" s="1136"/>
      <c r="W708" s="1136"/>
      <c r="X708" s="1136"/>
      <c r="Y708" s="1136"/>
      <c r="Z708" s="1136"/>
      <c r="AA708" s="1136"/>
      <c r="AB708" s="1136"/>
      <c r="AC708" s="1136"/>
      <c r="AD708" s="1136"/>
      <c r="AE708" s="1136"/>
      <c r="AF708" s="1136"/>
      <c r="AG708" s="1136"/>
      <c r="AH708" s="1136"/>
      <c r="AI708" s="1136"/>
      <c r="AJ708" s="1136"/>
      <c r="AK708" s="1136"/>
      <c r="AL708" s="1136"/>
      <c r="AM708" s="1136"/>
      <c r="AN708" s="1531"/>
      <c r="AO708" s="1531"/>
      <c r="AP708" s="1531"/>
      <c r="AQ708" s="1531"/>
      <c r="AR708" s="1531"/>
      <c r="AS708" s="1531"/>
      <c r="AT708" s="1531"/>
      <c r="AU708" s="1531"/>
      <c r="AV708" s="1531"/>
      <c r="AW708" s="1531"/>
      <c r="AX708" s="1531"/>
      <c r="AY708" s="1531"/>
      <c r="AZ708" s="1531"/>
      <c r="BA708" s="1531"/>
      <c r="BB708" s="1531"/>
      <c r="BC708" s="1531"/>
      <c r="BD708" s="1531"/>
      <c r="BE708" s="1531"/>
      <c r="BF708" s="1531"/>
      <c r="BG708" s="1531"/>
      <c r="BH708" s="1531"/>
      <c r="BI708" s="1531"/>
      <c r="BJ708" s="1531"/>
      <c r="BK708" s="1531"/>
      <c r="BL708" s="1531"/>
      <c r="BM708" s="1493"/>
      <c r="BN708" s="1493"/>
      <c r="BO708" s="1493"/>
      <c r="BP708" s="1493"/>
      <c r="BQ708" s="1493"/>
      <c r="BR708" s="1493"/>
      <c r="BS708" s="1493"/>
      <c r="BT708" s="1493"/>
      <c r="BU708" s="1493"/>
      <c r="BV708" s="1493"/>
      <c r="BW708" s="1493"/>
      <c r="BX708" s="1493"/>
      <c r="BY708" s="1493"/>
      <c r="BZ708" s="1493"/>
      <c r="CA708" s="1493"/>
      <c r="CB708" s="1493"/>
      <c r="CC708" s="1493"/>
      <c r="CD708" s="1493"/>
      <c r="CE708" s="1493"/>
      <c r="CF708" s="1493"/>
      <c r="CG708" s="1493"/>
      <c r="CH708" s="1493"/>
      <c r="CI708" s="1493"/>
      <c r="CJ708" s="1493"/>
      <c r="CK708" s="1493"/>
      <c r="CL708" s="1493"/>
      <c r="CM708" s="1493"/>
      <c r="CN708" s="1493"/>
      <c r="CO708" s="1493"/>
      <c r="CP708" s="1493"/>
      <c r="CQ708" s="1493"/>
      <c r="CR708" s="1493"/>
      <c r="CS708" s="1493"/>
      <c r="CT708" s="1493"/>
      <c r="CU708" s="1493"/>
      <c r="CV708" s="1493"/>
      <c r="CW708" s="1493"/>
      <c r="CX708" s="1493"/>
      <c r="CY708" s="1493"/>
      <c r="CZ708" s="1493"/>
      <c r="DA708" s="1493"/>
      <c r="DB708" s="1493"/>
      <c r="DC708" s="1493"/>
      <c r="DD708" s="1493"/>
      <c r="DE708" s="1493"/>
      <c r="DF708" s="1493"/>
      <c r="DG708" s="1493"/>
      <c r="DH708" s="1493"/>
      <c r="DI708" s="1493"/>
    </row>
    <row r="709" spans="1:113" ht="47.25" x14ac:dyDescent="0.25">
      <c r="A709" s="1420" t="s">
        <v>4412</v>
      </c>
      <c r="B709" s="1428" t="e">
        <f>B287/3</f>
        <v>#VALUE!</v>
      </c>
      <c r="C709" s="1566"/>
      <c r="D709" s="1561"/>
      <c r="E709" s="1561"/>
      <c r="F709" s="1561"/>
      <c r="G709" s="1561"/>
      <c r="H709" s="1531"/>
      <c r="I709" s="1531"/>
      <c r="J709" s="1136"/>
      <c r="K709" s="1531"/>
      <c r="L709" s="1531"/>
      <c r="M709" s="1136"/>
      <c r="N709" s="1136"/>
      <c r="O709" s="1136"/>
      <c r="P709" s="1136"/>
      <c r="Q709" s="1136"/>
      <c r="R709" s="1136"/>
      <c r="S709" s="1136"/>
      <c r="T709" s="1136"/>
      <c r="U709" s="1136"/>
      <c r="V709" s="1136"/>
      <c r="W709" s="1136"/>
      <c r="X709" s="1136"/>
      <c r="Y709" s="1136"/>
      <c r="Z709" s="1136"/>
      <c r="AA709" s="1136"/>
      <c r="AB709" s="1136"/>
      <c r="AC709" s="1136"/>
      <c r="AD709" s="1136"/>
      <c r="AE709" s="1136"/>
      <c r="AF709" s="1136"/>
      <c r="AG709" s="1136"/>
      <c r="AH709" s="1136"/>
      <c r="AI709" s="1136"/>
      <c r="AJ709" s="1136"/>
      <c r="AK709" s="1136"/>
      <c r="AL709" s="1136"/>
      <c r="AM709" s="1136"/>
      <c r="AN709" s="1531"/>
      <c r="AO709" s="1531"/>
      <c r="AP709" s="1531"/>
      <c r="AQ709" s="1531"/>
      <c r="AR709" s="1531"/>
      <c r="AS709" s="1531"/>
      <c r="AT709" s="1531"/>
      <c r="AU709" s="1531"/>
      <c r="AV709" s="1531"/>
      <c r="AW709" s="1531"/>
      <c r="AX709" s="1531"/>
      <c r="AY709" s="1531"/>
      <c r="AZ709" s="1531"/>
      <c r="BA709" s="1531"/>
      <c r="BB709" s="1531"/>
      <c r="BC709" s="1531"/>
      <c r="BD709" s="1531"/>
      <c r="BE709" s="1531"/>
      <c r="BF709" s="1531"/>
      <c r="BG709" s="1531"/>
      <c r="BH709" s="1531"/>
      <c r="BI709" s="1531"/>
      <c r="BJ709" s="1531"/>
      <c r="BK709" s="1531"/>
      <c r="BL709" s="1531"/>
      <c r="BM709" s="1493"/>
      <c r="BN709" s="1493"/>
      <c r="BO709" s="1493"/>
      <c r="BP709" s="1493"/>
      <c r="BQ709" s="1493"/>
      <c r="BR709" s="1493"/>
      <c r="BS709" s="1493"/>
      <c r="BT709" s="1493"/>
      <c r="BU709" s="1493"/>
      <c r="BV709" s="1493"/>
      <c r="BW709" s="1493"/>
      <c r="BX709" s="1493"/>
      <c r="BY709" s="1493"/>
      <c r="BZ709" s="1493"/>
      <c r="CA709" s="1493"/>
      <c r="CB709" s="1493"/>
      <c r="CC709" s="1493"/>
      <c r="CD709" s="1493"/>
      <c r="CE709" s="1493"/>
      <c r="CF709" s="1493"/>
      <c r="CG709" s="1493"/>
      <c r="CH709" s="1493"/>
      <c r="CI709" s="1493"/>
      <c r="CJ709" s="1493"/>
      <c r="CK709" s="1493"/>
      <c r="CL709" s="1493"/>
      <c r="CM709" s="1493"/>
      <c r="CN709" s="1493"/>
      <c r="CO709" s="1493"/>
      <c r="CP709" s="1493"/>
      <c r="CQ709" s="1493"/>
      <c r="CR709" s="1493"/>
      <c r="CS709" s="1493"/>
      <c r="CT709" s="1493"/>
      <c r="CU709" s="1493"/>
      <c r="CV709" s="1493"/>
      <c r="CW709" s="1493"/>
      <c r="CX709" s="1493"/>
      <c r="CY709" s="1493"/>
      <c r="CZ709" s="1493"/>
      <c r="DA709" s="1493"/>
      <c r="DB709" s="1493"/>
      <c r="DC709" s="1493"/>
      <c r="DD709" s="1493"/>
      <c r="DE709" s="1493"/>
      <c r="DF709" s="1493"/>
      <c r="DG709" s="1493"/>
      <c r="DH709" s="1493"/>
      <c r="DI709" s="1493"/>
    </row>
    <row r="710" spans="1:113" ht="15.75" x14ac:dyDescent="0.25">
      <c r="A710" s="1420" t="s">
        <v>1322</v>
      </c>
      <c r="B710" s="1479"/>
      <c r="C710" s="1565"/>
      <c r="D710" s="1562"/>
      <c r="E710" s="1562"/>
      <c r="F710" s="1562"/>
      <c r="G710" s="1562"/>
      <c r="H710" s="1531"/>
      <c r="I710" s="1531"/>
      <c r="J710" s="1531"/>
      <c r="K710" s="1531"/>
      <c r="L710" s="1531"/>
      <c r="M710" s="1531"/>
      <c r="N710" s="1531"/>
      <c r="O710" s="1531"/>
      <c r="P710" s="1531"/>
      <c r="Q710" s="1531"/>
      <c r="R710" s="1531"/>
      <c r="S710" s="1531"/>
      <c r="T710" s="1531"/>
      <c r="U710" s="1531"/>
      <c r="V710" s="1531"/>
      <c r="W710" s="1531"/>
      <c r="X710" s="1531"/>
      <c r="Y710" s="1531"/>
      <c r="Z710" s="1531"/>
      <c r="AA710" s="1531"/>
      <c r="AB710" s="1531"/>
      <c r="AC710" s="1531"/>
      <c r="AD710" s="1531"/>
      <c r="AE710" s="1531"/>
      <c r="AF710" s="1531"/>
      <c r="AG710" s="1531"/>
      <c r="AH710" s="1531"/>
      <c r="AI710" s="1531"/>
      <c r="AJ710" s="1531"/>
      <c r="AK710" s="1531"/>
      <c r="AL710" s="1531"/>
      <c r="AM710" s="1531"/>
      <c r="AN710" s="1531"/>
      <c r="AO710" s="1531"/>
      <c r="AP710" s="1531"/>
      <c r="AQ710" s="1531"/>
      <c r="AR710" s="1531"/>
      <c r="AS710" s="1531"/>
      <c r="AT710" s="1531"/>
      <c r="AU710" s="1531"/>
      <c r="AV710" s="1531"/>
      <c r="AW710" s="1531"/>
      <c r="AX710" s="1531"/>
      <c r="AY710" s="1531"/>
      <c r="AZ710" s="1531"/>
      <c r="BA710" s="1136"/>
      <c r="BB710" s="1136"/>
      <c r="BC710" s="1136"/>
      <c r="BD710" s="1136"/>
      <c r="BE710" s="1136"/>
      <c r="BF710" s="1136"/>
      <c r="BG710" s="1136"/>
      <c r="BH710" s="1136"/>
      <c r="BI710" s="1136"/>
      <c r="BJ710" s="1136"/>
      <c r="BK710" s="1136"/>
      <c r="BL710" s="1136"/>
      <c r="BM710" s="1568"/>
      <c r="BN710" s="1391"/>
      <c r="BO710" s="1391"/>
      <c r="BP710" s="1391"/>
      <c r="BQ710" s="1391"/>
      <c r="BR710" s="1391"/>
      <c r="BS710" s="1391"/>
      <c r="BT710" s="1391"/>
      <c r="BU710" s="1391"/>
      <c r="BV710" s="1391"/>
      <c r="BW710" s="1391"/>
      <c r="BX710" s="1391"/>
      <c r="BY710" s="1391"/>
      <c r="BZ710" s="1391"/>
      <c r="CA710" s="1391"/>
      <c r="CB710" s="1391"/>
      <c r="CC710" s="1391"/>
      <c r="CD710" s="1391"/>
      <c r="CE710" s="1391"/>
      <c r="CF710" s="1391"/>
      <c r="CG710" s="1391"/>
      <c r="CH710" s="1391"/>
      <c r="CI710" s="1391"/>
      <c r="CJ710" s="1391"/>
      <c r="CK710" s="1391"/>
      <c r="CL710" s="1391"/>
      <c r="CM710" s="1391"/>
      <c r="CN710" s="1391"/>
      <c r="CO710" s="1391"/>
      <c r="CP710" s="1391"/>
      <c r="CQ710" s="1391"/>
      <c r="CR710" s="1391"/>
      <c r="CS710" s="1391"/>
      <c r="CT710" s="1391"/>
      <c r="CU710" s="1391"/>
      <c r="CV710" s="1391"/>
      <c r="CW710" s="1391"/>
      <c r="CX710" s="1391"/>
      <c r="CY710" s="1391"/>
      <c r="CZ710" s="1391"/>
      <c r="DA710" s="1391"/>
      <c r="DB710" s="1391"/>
      <c r="DC710" s="1391"/>
      <c r="DD710" s="1391"/>
      <c r="DE710" s="1391"/>
      <c r="DF710" s="1391"/>
      <c r="DG710" s="1391"/>
      <c r="DH710" s="1391"/>
      <c r="DI710" s="1391"/>
    </row>
    <row r="711" spans="1:113" ht="15.75" x14ac:dyDescent="0.25">
      <c r="A711" s="1420" t="s">
        <v>4413</v>
      </c>
      <c r="B711" s="1479">
        <v>1.5</v>
      </c>
      <c r="C711" s="1565"/>
      <c r="D711" s="1563"/>
      <c r="E711" s="1563"/>
      <c r="F711" s="1563"/>
      <c r="G711" s="1563"/>
      <c r="H711" s="1531"/>
      <c r="I711" s="1531"/>
      <c r="J711" s="1531"/>
      <c r="K711" s="1531"/>
      <c r="L711" s="1531"/>
      <c r="M711" s="1531"/>
      <c r="N711" s="1531"/>
      <c r="O711" s="1531"/>
      <c r="P711" s="1531"/>
      <c r="Q711" s="1531"/>
      <c r="R711" s="1531"/>
      <c r="S711" s="1531"/>
      <c r="T711" s="1531"/>
      <c r="U711" s="1531"/>
      <c r="V711" s="1531"/>
      <c r="W711" s="1531"/>
      <c r="X711" s="1531"/>
      <c r="Y711" s="1531"/>
      <c r="Z711" s="1531"/>
      <c r="AA711" s="1531"/>
      <c r="AB711" s="1531"/>
      <c r="AC711" s="1531"/>
      <c r="AD711" s="1531"/>
      <c r="AE711" s="1531"/>
      <c r="AF711" s="1531"/>
      <c r="AG711" s="1531"/>
      <c r="AH711" s="1531"/>
      <c r="AI711" s="1531"/>
      <c r="AJ711" s="1531"/>
      <c r="AK711" s="1531"/>
      <c r="AL711" s="1531"/>
      <c r="AM711" s="1531"/>
      <c r="AN711" s="1531"/>
      <c r="AO711" s="1531"/>
      <c r="AP711" s="1531"/>
      <c r="AQ711" s="1531"/>
      <c r="AR711" s="1531"/>
      <c r="AS711" s="1531"/>
      <c r="AT711" s="1531"/>
      <c r="AU711" s="1531"/>
      <c r="AV711" s="1531"/>
      <c r="AW711" s="1531"/>
      <c r="AX711" s="1531"/>
      <c r="AY711" s="1531"/>
      <c r="AZ711" s="1531"/>
      <c r="BA711" s="1136"/>
      <c r="BB711" s="1136"/>
      <c r="BC711" s="1136"/>
      <c r="BD711" s="1136"/>
      <c r="BE711" s="1136"/>
      <c r="BF711" s="1136"/>
      <c r="BG711" s="1136"/>
      <c r="BH711" s="1136"/>
      <c r="BI711" s="1136"/>
      <c r="BJ711" s="1136"/>
      <c r="BK711" s="1136"/>
      <c r="BL711" s="1136"/>
      <c r="BM711" s="1568"/>
      <c r="BN711" s="1391"/>
      <c r="BO711" s="1391"/>
      <c r="BP711" s="1391"/>
      <c r="BQ711" s="1391"/>
      <c r="BR711" s="1391"/>
      <c r="BS711" s="1391"/>
      <c r="BT711" s="1391"/>
      <c r="BU711" s="1391"/>
      <c r="BV711" s="1391"/>
      <c r="BW711" s="1391"/>
      <c r="BX711" s="1391"/>
      <c r="BY711" s="1391"/>
      <c r="BZ711" s="1391"/>
      <c r="CA711" s="1391"/>
      <c r="CB711" s="1391"/>
      <c r="CC711" s="1391"/>
      <c r="CD711" s="1391"/>
      <c r="CE711" s="1391"/>
      <c r="CF711" s="1391"/>
      <c r="CG711" s="1391"/>
      <c r="CH711" s="1391"/>
      <c r="CI711" s="1391"/>
      <c r="CJ711" s="1391"/>
      <c r="CK711" s="1391"/>
      <c r="CL711" s="1391"/>
      <c r="CM711" s="1391"/>
      <c r="CN711" s="1391"/>
      <c r="CO711" s="1391"/>
      <c r="CP711" s="1391"/>
      <c r="CQ711" s="1391"/>
      <c r="CR711" s="1391"/>
      <c r="CS711" s="1391"/>
      <c r="CT711" s="1391"/>
      <c r="CU711" s="1391"/>
      <c r="CV711" s="1391"/>
      <c r="CW711" s="1391"/>
      <c r="CX711" s="1391"/>
      <c r="CY711" s="1391"/>
      <c r="CZ711" s="1391"/>
      <c r="DA711" s="1391"/>
      <c r="DB711" s="1391"/>
      <c r="DC711" s="1391"/>
      <c r="DD711" s="1391"/>
      <c r="DE711" s="1391"/>
      <c r="DF711" s="1391"/>
      <c r="DG711" s="1391"/>
      <c r="DH711" s="1391"/>
      <c r="DI711" s="1391"/>
    </row>
    <row r="712" spans="1:113" ht="15.75" x14ac:dyDescent="0.25">
      <c r="A712" s="1420" t="s">
        <v>4414</v>
      </c>
      <c r="B712" s="1433">
        <f>IF(B290&gt;1.51,1.15,1)</f>
        <v>1.1499999999999999</v>
      </c>
      <c r="C712" s="1569"/>
      <c r="D712" s="1531"/>
      <c r="E712" s="1531"/>
      <c r="F712" s="1531"/>
      <c r="G712" s="1531"/>
      <c r="H712" s="1531"/>
      <c r="I712" s="1531"/>
      <c r="J712" s="1531"/>
      <c r="K712" s="1531"/>
      <c r="L712" s="1531"/>
      <c r="M712" s="1531"/>
      <c r="N712" s="1531"/>
      <c r="O712" s="1531"/>
      <c r="P712" s="1531"/>
      <c r="Q712" s="1531"/>
      <c r="R712" s="1531"/>
      <c r="S712" s="1531"/>
      <c r="T712" s="1531"/>
      <c r="U712" s="1531"/>
      <c r="V712" s="1531"/>
      <c r="W712" s="1531"/>
      <c r="X712" s="1531"/>
      <c r="Y712" s="1531"/>
      <c r="Z712" s="1531"/>
      <c r="AA712" s="1531"/>
      <c r="AB712" s="1531"/>
      <c r="AC712" s="1531"/>
      <c r="AD712" s="1531"/>
      <c r="AE712" s="1531"/>
      <c r="AF712" s="1531"/>
      <c r="AG712" s="1531"/>
      <c r="AH712" s="1531"/>
      <c r="AI712" s="1531"/>
      <c r="AJ712" s="1531"/>
      <c r="AK712" s="1531"/>
      <c r="AL712" s="1531"/>
      <c r="AM712" s="1531"/>
      <c r="AN712" s="1531"/>
      <c r="AO712" s="1531"/>
      <c r="AP712" s="1531"/>
      <c r="AQ712" s="1531"/>
      <c r="AR712" s="1531"/>
      <c r="AS712" s="1531"/>
      <c r="AT712" s="1531"/>
      <c r="AU712" s="1531"/>
      <c r="AV712" s="1531"/>
      <c r="AW712" s="1531"/>
      <c r="AX712" s="1531"/>
      <c r="AY712" s="1531"/>
      <c r="AZ712" s="1531"/>
      <c r="BA712" s="1136"/>
      <c r="BB712" s="1136"/>
      <c r="BC712" s="1136"/>
      <c r="BD712" s="1136"/>
      <c r="BE712" s="1136"/>
      <c r="BF712" s="1136"/>
      <c r="BG712" s="1136"/>
      <c r="BH712" s="1136"/>
      <c r="BI712" s="1136"/>
      <c r="BJ712" s="1136"/>
      <c r="BK712" s="1136"/>
      <c r="BL712" s="1136"/>
      <c r="BM712" s="1568"/>
      <c r="BN712" s="1391"/>
      <c r="BO712" s="1391"/>
      <c r="BP712" s="1391"/>
      <c r="BQ712" s="1391"/>
      <c r="BR712" s="1391"/>
      <c r="BS712" s="1391"/>
      <c r="BT712" s="1391"/>
      <c r="BU712" s="1391"/>
      <c r="BV712" s="1391"/>
      <c r="BW712" s="1391"/>
      <c r="BX712" s="1391"/>
      <c r="BY712" s="1391"/>
      <c r="BZ712" s="1391"/>
      <c r="CA712" s="1391"/>
      <c r="CB712" s="1391"/>
      <c r="CC712" s="1391"/>
      <c r="CD712" s="1391"/>
      <c r="CE712" s="1391"/>
      <c r="CF712" s="1391"/>
      <c r="CG712" s="1391"/>
      <c r="CH712" s="1391"/>
      <c r="CI712" s="1391"/>
      <c r="CJ712" s="1391"/>
      <c r="CK712" s="1391"/>
      <c r="CL712" s="1391"/>
      <c r="CM712" s="1391"/>
      <c r="CN712" s="1391"/>
      <c r="CO712" s="1391"/>
      <c r="CP712" s="1391"/>
      <c r="CQ712" s="1391"/>
      <c r="CR712" s="1391"/>
      <c r="CS712" s="1391"/>
      <c r="CT712" s="1391"/>
      <c r="CU712" s="1391"/>
      <c r="CV712" s="1391"/>
      <c r="CW712" s="1391"/>
      <c r="CX712" s="1391"/>
      <c r="CY712" s="1391"/>
      <c r="CZ712" s="1391"/>
      <c r="DA712" s="1391"/>
      <c r="DB712" s="1391"/>
      <c r="DC712" s="1391"/>
      <c r="DD712" s="1391"/>
      <c r="DE712" s="1391"/>
      <c r="DF712" s="1391"/>
      <c r="DG712" s="1391"/>
      <c r="DH712" s="1391"/>
      <c r="DI712" s="1391"/>
    </row>
    <row r="713" spans="1:113" ht="15.75" x14ac:dyDescent="0.25">
      <c r="A713" s="1422" t="s">
        <v>3412</v>
      </c>
      <c r="B713" s="1433" t="e">
        <f>B708*B711*B712*B341</f>
        <v>#VALUE!</v>
      </c>
      <c r="C713" s="1569"/>
      <c r="D713" s="1531"/>
      <c r="E713" s="1531"/>
      <c r="F713" s="1531"/>
      <c r="G713" s="1531"/>
      <c r="H713" s="1531"/>
      <c r="I713" s="1531"/>
      <c r="J713" s="1531"/>
      <c r="K713" s="1531"/>
      <c r="L713" s="1531"/>
      <c r="M713" s="1531"/>
      <c r="N713" s="1531"/>
      <c r="O713" s="1531"/>
      <c r="P713" s="1531"/>
      <c r="Q713" s="1531"/>
      <c r="R713" s="1531"/>
      <c r="S713" s="1531"/>
      <c r="T713" s="1531"/>
      <c r="U713" s="1531"/>
      <c r="V713" s="1531"/>
      <c r="W713" s="1531"/>
      <c r="X713" s="1531"/>
      <c r="Y713" s="1531"/>
      <c r="Z713" s="1531"/>
      <c r="AA713" s="1531"/>
      <c r="AB713" s="1531"/>
      <c r="AC713" s="1531"/>
      <c r="AD713" s="1531"/>
      <c r="AE713" s="1531"/>
      <c r="AF713" s="1531"/>
      <c r="AG713" s="1531"/>
      <c r="AH713" s="1531"/>
      <c r="AI713" s="1531"/>
      <c r="AJ713" s="1531"/>
      <c r="AK713" s="1531"/>
      <c r="AL713" s="1531"/>
      <c r="AM713" s="1531"/>
      <c r="AN713" s="1531"/>
      <c r="AO713" s="1531"/>
      <c r="AP713" s="1531"/>
      <c r="AQ713" s="1531"/>
      <c r="AR713" s="1531"/>
      <c r="AS713" s="1531"/>
      <c r="AT713" s="1531"/>
      <c r="AU713" s="1531"/>
      <c r="AV713" s="1531"/>
      <c r="AW713" s="1531"/>
      <c r="AX713" s="1531"/>
      <c r="AY713" s="1531"/>
      <c r="AZ713" s="1531"/>
      <c r="BA713" s="1136"/>
      <c r="BB713" s="1136"/>
      <c r="BC713" s="1136"/>
      <c r="BD713" s="1136"/>
      <c r="BE713" s="1136"/>
      <c r="BF713" s="1136"/>
      <c r="BG713" s="1136"/>
      <c r="BH713" s="1136"/>
      <c r="BI713" s="1136"/>
      <c r="BJ713" s="1136"/>
      <c r="BK713" s="1136"/>
      <c r="BL713" s="1136"/>
      <c r="BM713" s="1568"/>
      <c r="BN713" s="1391"/>
      <c r="BO713" s="1391"/>
      <c r="BP713" s="1391"/>
      <c r="BQ713" s="1391"/>
      <c r="BR713" s="1391"/>
      <c r="BS713" s="1391"/>
      <c r="BT713" s="1391"/>
      <c r="BU713" s="1391"/>
      <c r="BV713" s="1391"/>
      <c r="BW713" s="1391"/>
      <c r="BX713" s="1391"/>
      <c r="BY713" s="1391"/>
      <c r="BZ713" s="1391"/>
      <c r="CA713" s="1391"/>
      <c r="CB713" s="1391"/>
      <c r="CC713" s="1391"/>
      <c r="CD713" s="1391"/>
      <c r="CE713" s="1391"/>
      <c r="CF713" s="1391"/>
      <c r="CG713" s="1391"/>
      <c r="CH713" s="1391"/>
      <c r="CI713" s="1391"/>
      <c r="CJ713" s="1391"/>
      <c r="CK713" s="1391"/>
      <c r="CL713" s="1391"/>
      <c r="CM713" s="1391"/>
      <c r="CN713" s="1391"/>
      <c r="CO713" s="1391"/>
      <c r="CP713" s="1391"/>
      <c r="CQ713" s="1391"/>
      <c r="CR713" s="1391"/>
      <c r="CS713" s="1391"/>
      <c r="CT713" s="1391"/>
      <c r="CU713" s="1391"/>
      <c r="CV713" s="1391"/>
      <c r="CW713" s="1391"/>
      <c r="CX713" s="1391"/>
      <c r="CY713" s="1391"/>
      <c r="CZ713" s="1391"/>
      <c r="DA713" s="1391"/>
      <c r="DB713" s="1391"/>
      <c r="DC713" s="1391"/>
      <c r="DD713" s="1391"/>
      <c r="DE713" s="1391"/>
      <c r="DF713" s="1391"/>
      <c r="DG713" s="1391"/>
      <c r="DH713" s="1391"/>
      <c r="DI713" s="1391"/>
    </row>
    <row r="714" spans="1:113" ht="15.75" x14ac:dyDescent="0.25">
      <c r="A714" s="1570" t="s">
        <v>4415</v>
      </c>
      <c r="B714" s="1571" t="e">
        <f>B707/B713</f>
        <v>#VALUE!</v>
      </c>
      <c r="C714" s="1572"/>
      <c r="D714" s="1566"/>
      <c r="E714" s="1566"/>
      <c r="F714" s="1566"/>
      <c r="G714" s="1566"/>
      <c r="H714" s="1531"/>
      <c r="I714" s="1531"/>
      <c r="J714" s="1531"/>
      <c r="K714" s="1531"/>
      <c r="L714" s="1531"/>
      <c r="M714" s="1531"/>
      <c r="N714" s="1531"/>
      <c r="O714" s="1531"/>
      <c r="P714" s="1531"/>
      <c r="Q714" s="1531"/>
      <c r="R714" s="1531"/>
      <c r="S714" s="1531"/>
      <c r="T714" s="1531"/>
      <c r="U714" s="1531"/>
      <c r="V714" s="1531"/>
      <c r="W714" s="1531"/>
      <c r="X714" s="1531"/>
      <c r="Y714" s="1531"/>
      <c r="Z714" s="1531"/>
      <c r="AA714" s="1531"/>
      <c r="AB714" s="1531"/>
      <c r="AC714" s="1531"/>
      <c r="AD714" s="1531"/>
      <c r="AE714" s="1531"/>
      <c r="AF714" s="1531"/>
      <c r="AG714" s="1531"/>
      <c r="AH714" s="1531"/>
      <c r="AI714" s="1531"/>
      <c r="AJ714" s="1531"/>
      <c r="AK714" s="1531"/>
      <c r="AL714" s="1531"/>
      <c r="AM714" s="1531"/>
      <c r="AN714" s="1531"/>
      <c r="AO714" s="1531"/>
      <c r="AP714" s="1531"/>
      <c r="AQ714" s="1531"/>
      <c r="AR714" s="1531"/>
      <c r="AS714" s="1531"/>
      <c r="AT714" s="1531"/>
      <c r="AU714" s="1531"/>
      <c r="AV714" s="1531"/>
      <c r="AW714" s="1531"/>
      <c r="AX714" s="1531"/>
      <c r="AY714" s="1531"/>
      <c r="AZ714" s="1531"/>
      <c r="BA714" s="1136"/>
      <c r="BB714" s="1136"/>
      <c r="BC714" s="1136"/>
      <c r="BD714" s="1136"/>
      <c r="BE714" s="1136"/>
      <c r="BF714" s="1136"/>
      <c r="BG714" s="1136"/>
      <c r="BH714" s="1136"/>
      <c r="BI714" s="1136"/>
      <c r="BJ714" s="1136"/>
      <c r="BK714" s="1136"/>
      <c r="BL714" s="1136"/>
      <c r="BM714" s="1568"/>
      <c r="BN714" s="1391"/>
      <c r="BO714" s="1391"/>
      <c r="BP714" s="1391"/>
      <c r="BQ714" s="1391"/>
      <c r="BR714" s="1391"/>
      <c r="BS714" s="1391"/>
      <c r="BT714" s="1391"/>
      <c r="BU714" s="1391"/>
      <c r="BV714" s="1391"/>
      <c r="BW714" s="1391"/>
      <c r="BX714" s="1391"/>
      <c r="BY714" s="1391"/>
      <c r="BZ714" s="1391"/>
      <c r="CA714" s="1391"/>
      <c r="CB714" s="1391"/>
      <c r="CC714" s="1391"/>
      <c r="CD714" s="1391"/>
      <c r="CE714" s="1391"/>
      <c r="CF714" s="1391"/>
      <c r="CG714" s="1391"/>
      <c r="CH714" s="1391"/>
      <c r="CI714" s="1391"/>
      <c r="CJ714" s="1391"/>
      <c r="CK714" s="1391"/>
      <c r="CL714" s="1391"/>
      <c r="CM714" s="1391"/>
      <c r="CN714" s="1391"/>
      <c r="CO714" s="1391"/>
      <c r="CP714" s="1391"/>
      <c r="CQ714" s="1391"/>
      <c r="CR714" s="1391"/>
      <c r="CS714" s="1391"/>
      <c r="CT714" s="1391"/>
      <c r="CU714" s="1391"/>
      <c r="CV714" s="1391"/>
      <c r="CW714" s="1391"/>
      <c r="CX714" s="1391"/>
      <c r="CY714" s="1391"/>
      <c r="CZ714" s="1391"/>
      <c r="DA714" s="1391"/>
      <c r="DB714" s="1391"/>
      <c r="DC714" s="1391"/>
      <c r="DD714" s="1391"/>
      <c r="DE714" s="1391"/>
      <c r="DF714" s="1391"/>
      <c r="DG714" s="1391"/>
      <c r="DH714" s="1391"/>
      <c r="DI714" s="1391"/>
    </row>
    <row r="715" spans="1:113" ht="15.75" x14ac:dyDescent="0.25">
      <c r="A715" s="1417"/>
      <c r="B715" s="1573"/>
      <c r="C715" s="1574"/>
      <c r="D715" s="1567"/>
      <c r="E715" s="1567"/>
      <c r="F715" s="1567"/>
      <c r="G715" s="1567"/>
      <c r="H715" s="1531"/>
      <c r="I715" s="1531"/>
      <c r="J715" s="1531"/>
      <c r="K715" s="1531"/>
      <c r="L715" s="1531"/>
      <c r="M715" s="1531"/>
      <c r="N715" s="1531"/>
      <c r="O715" s="1531"/>
      <c r="P715" s="1531"/>
      <c r="Q715" s="1531"/>
      <c r="R715" s="1531"/>
      <c r="S715" s="1531"/>
      <c r="T715" s="1531"/>
      <c r="U715" s="1531"/>
      <c r="V715" s="1531"/>
      <c r="W715" s="1531"/>
      <c r="X715" s="1531"/>
      <c r="Y715" s="1531"/>
      <c r="Z715" s="1531"/>
      <c r="AA715" s="1531"/>
      <c r="AB715" s="1531"/>
      <c r="AC715" s="1531"/>
      <c r="AD715" s="1531"/>
      <c r="AE715" s="1531"/>
      <c r="AF715" s="1531"/>
      <c r="AG715" s="1531"/>
      <c r="AH715" s="1531"/>
      <c r="AI715" s="1531"/>
      <c r="AJ715" s="1531"/>
      <c r="AK715" s="1531"/>
      <c r="AL715" s="1531"/>
      <c r="AM715" s="1531"/>
      <c r="AN715" s="1531"/>
      <c r="AO715" s="1531"/>
      <c r="AP715" s="1531"/>
      <c r="AQ715" s="1531"/>
      <c r="AR715" s="1531"/>
      <c r="AS715" s="1531"/>
      <c r="AT715" s="1531"/>
      <c r="AU715" s="1531"/>
      <c r="AV715" s="1531"/>
      <c r="AW715" s="1531"/>
      <c r="AX715" s="1531"/>
      <c r="AY715" s="1531"/>
      <c r="AZ715" s="1531"/>
      <c r="BA715" s="1136"/>
      <c r="BB715" s="1136"/>
      <c r="BC715" s="1136"/>
      <c r="BD715" s="1136"/>
      <c r="BE715" s="1136"/>
      <c r="BF715" s="1136"/>
      <c r="BG715" s="1136"/>
      <c r="BH715" s="1136"/>
      <c r="BI715" s="1136"/>
      <c r="BJ715" s="1136"/>
      <c r="BK715" s="1136"/>
      <c r="BL715" s="1136"/>
      <c r="BM715" s="1568"/>
      <c r="BN715" s="1391"/>
      <c r="BO715" s="1391"/>
      <c r="BP715" s="1391"/>
      <c r="BQ715" s="1391"/>
      <c r="BR715" s="1391"/>
      <c r="BS715" s="1391"/>
      <c r="BT715" s="1391"/>
      <c r="BU715" s="1391"/>
      <c r="BV715" s="1391"/>
      <c r="BW715" s="1391"/>
      <c r="BX715" s="1391"/>
      <c r="BY715" s="1391"/>
      <c r="BZ715" s="1391"/>
      <c r="CA715" s="1391"/>
      <c r="CB715" s="1391"/>
      <c r="CC715" s="1391"/>
      <c r="CD715" s="1391"/>
      <c r="CE715" s="1391"/>
      <c r="CF715" s="1391"/>
      <c r="CG715" s="1391"/>
      <c r="CH715" s="1391"/>
      <c r="CI715" s="1391"/>
      <c r="CJ715" s="1391"/>
      <c r="CK715" s="1391"/>
      <c r="CL715" s="1391"/>
      <c r="CM715" s="1391"/>
      <c r="CN715" s="1391"/>
      <c r="CO715" s="1391"/>
      <c r="CP715" s="1391"/>
      <c r="CQ715" s="1391"/>
      <c r="CR715" s="1391"/>
      <c r="CS715" s="1391"/>
      <c r="CT715" s="1391"/>
      <c r="CU715" s="1391"/>
      <c r="CV715" s="1391"/>
      <c r="CW715" s="1391"/>
      <c r="CX715" s="1391"/>
      <c r="CY715" s="1391"/>
      <c r="CZ715" s="1391"/>
      <c r="DA715" s="1391"/>
      <c r="DB715" s="1391"/>
      <c r="DC715" s="1391"/>
      <c r="DD715" s="1391"/>
      <c r="DE715" s="1391"/>
      <c r="DF715" s="1391"/>
      <c r="DG715" s="1391"/>
      <c r="DH715" s="1391"/>
      <c r="DI715" s="1391"/>
    </row>
    <row r="716" spans="1:113" ht="15.75" x14ac:dyDescent="0.25">
      <c r="A716" s="1575" t="s">
        <v>2513</v>
      </c>
      <c r="B716" s="1576" t="e">
        <f>B469+B476+B490+B515+B542+B550+B559+B704+B714+B525</f>
        <v>#VALUE!</v>
      </c>
      <c r="C716" s="1577"/>
      <c r="D716" s="1566"/>
      <c r="E716" s="1566"/>
      <c r="F716" s="1566"/>
      <c r="G716" s="1566"/>
      <c r="H716" s="1531"/>
      <c r="I716" s="1531"/>
      <c r="J716" s="1531"/>
      <c r="K716" s="1531"/>
      <c r="L716" s="1531"/>
      <c r="M716" s="1531"/>
      <c r="N716" s="1531"/>
      <c r="O716" s="1531"/>
      <c r="P716" s="1531"/>
      <c r="Q716" s="1531"/>
      <c r="R716" s="1531"/>
      <c r="S716" s="1531"/>
      <c r="T716" s="1531"/>
      <c r="U716" s="1531"/>
      <c r="V716" s="1531"/>
      <c r="W716" s="1531"/>
      <c r="X716" s="1531"/>
      <c r="Y716" s="1531"/>
      <c r="Z716" s="1531"/>
      <c r="AA716" s="1531"/>
      <c r="AB716" s="1531"/>
      <c r="AC716" s="1531"/>
      <c r="AD716" s="1531"/>
      <c r="AE716" s="1531"/>
      <c r="AF716" s="1531"/>
      <c r="AG716" s="1531"/>
      <c r="AH716" s="1531"/>
      <c r="AI716" s="1531"/>
      <c r="AJ716" s="1531"/>
      <c r="AK716" s="1531"/>
      <c r="AL716" s="1531"/>
      <c r="AM716" s="1531"/>
      <c r="AN716" s="1531"/>
      <c r="AO716" s="1531"/>
      <c r="AP716" s="1531"/>
      <c r="AQ716" s="1531"/>
      <c r="AR716" s="1531"/>
      <c r="AS716" s="1531"/>
      <c r="AT716" s="1531"/>
      <c r="AU716" s="1531"/>
      <c r="AV716" s="1531"/>
      <c r="AW716" s="1531"/>
      <c r="AX716" s="1531"/>
      <c r="AY716" s="1531"/>
      <c r="AZ716" s="1531"/>
      <c r="BA716" s="1136"/>
      <c r="BB716" s="1136"/>
      <c r="BC716" s="1136"/>
      <c r="BD716" s="1136"/>
      <c r="BE716" s="1136"/>
      <c r="BF716" s="1136"/>
      <c r="BG716" s="1136"/>
      <c r="BH716" s="1136"/>
      <c r="BI716" s="1136"/>
      <c r="BJ716" s="1136"/>
      <c r="BK716" s="1136"/>
      <c r="BL716" s="1136"/>
      <c r="BM716" s="1568"/>
      <c r="BN716" s="1391"/>
      <c r="BO716" s="1391"/>
      <c r="BP716" s="1391"/>
      <c r="BQ716" s="1391"/>
      <c r="BR716" s="1391"/>
      <c r="BS716" s="1391"/>
      <c r="BT716" s="1391"/>
      <c r="BU716" s="1391"/>
      <c r="BV716" s="1391"/>
      <c r="BW716" s="1391"/>
      <c r="BX716" s="1391"/>
      <c r="BY716" s="1391"/>
      <c r="BZ716" s="1391"/>
      <c r="CA716" s="1391"/>
      <c r="CB716" s="1391"/>
      <c r="CC716" s="1391"/>
      <c r="CD716" s="1391"/>
      <c r="CE716" s="1391"/>
      <c r="CF716" s="1391"/>
      <c r="CG716" s="1391"/>
      <c r="CH716" s="1391"/>
      <c r="CI716" s="1391"/>
      <c r="CJ716" s="1391"/>
      <c r="CK716" s="1391"/>
      <c r="CL716" s="1391"/>
      <c r="CM716" s="1391"/>
      <c r="CN716" s="1391"/>
      <c r="CO716" s="1391"/>
      <c r="CP716" s="1391"/>
      <c r="CQ716" s="1391"/>
      <c r="CR716" s="1391"/>
      <c r="CS716" s="1391"/>
      <c r="CT716" s="1391"/>
      <c r="CU716" s="1391"/>
      <c r="CV716" s="1391"/>
      <c r="CW716" s="1391"/>
      <c r="CX716" s="1391"/>
      <c r="CY716" s="1391"/>
      <c r="CZ716" s="1391"/>
      <c r="DA716" s="1391"/>
      <c r="DB716" s="1391"/>
      <c r="DC716" s="1391"/>
      <c r="DD716" s="1391"/>
      <c r="DE716" s="1391"/>
      <c r="DF716" s="1391"/>
      <c r="DG716" s="1391"/>
      <c r="DH716" s="1391"/>
      <c r="DI716" s="1391"/>
    </row>
    <row r="717" spans="1:113" ht="15.75" x14ac:dyDescent="0.25">
      <c r="A717" s="1471"/>
      <c r="B717" s="1506"/>
      <c r="C717" s="1578"/>
      <c r="D717" s="1531"/>
      <c r="E717" s="1531"/>
      <c r="F717" s="1531"/>
      <c r="G717" s="1531"/>
      <c r="H717" s="1531"/>
      <c r="I717" s="1531"/>
      <c r="J717" s="1531"/>
      <c r="K717" s="1531"/>
      <c r="L717" s="1531"/>
      <c r="M717" s="1531"/>
      <c r="N717" s="1531"/>
      <c r="O717" s="1531"/>
      <c r="P717" s="1531"/>
      <c r="Q717" s="1531"/>
      <c r="R717" s="1531"/>
      <c r="S717" s="1531"/>
      <c r="T717" s="1531"/>
      <c r="U717" s="1531"/>
      <c r="V717" s="1531"/>
      <c r="W717" s="1531"/>
      <c r="X717" s="1531"/>
      <c r="Y717" s="1531"/>
      <c r="Z717" s="1531"/>
      <c r="AA717" s="1531"/>
      <c r="AB717" s="1531"/>
      <c r="AC717" s="1531"/>
      <c r="AD717" s="1531"/>
      <c r="AE717" s="1531"/>
      <c r="AF717" s="1531"/>
      <c r="AG717" s="1531"/>
      <c r="AH717" s="1531"/>
      <c r="AI717" s="1531"/>
      <c r="AJ717" s="1531"/>
      <c r="AK717" s="1531"/>
      <c r="AL717" s="1531"/>
      <c r="AM717" s="1531"/>
      <c r="AN717" s="1531"/>
      <c r="AO717" s="1531"/>
      <c r="AP717" s="1531"/>
      <c r="AQ717" s="1531"/>
      <c r="AR717" s="1531"/>
      <c r="AS717" s="1531"/>
      <c r="AT717" s="1531"/>
      <c r="AU717" s="1531"/>
      <c r="AV717" s="1531"/>
      <c r="AW717" s="1531"/>
      <c r="AX717" s="1531"/>
      <c r="AY717" s="1531"/>
      <c r="AZ717" s="1531"/>
      <c r="BA717" s="1136"/>
      <c r="BB717" s="1136"/>
      <c r="BC717" s="1136"/>
      <c r="BD717" s="1136"/>
      <c r="BE717" s="1136"/>
      <c r="BF717" s="1136"/>
      <c r="BG717" s="1136"/>
      <c r="BH717" s="1136"/>
      <c r="BI717" s="1136"/>
      <c r="BJ717" s="1136"/>
      <c r="BK717" s="1136"/>
      <c r="BL717" s="1136"/>
      <c r="BM717" s="1568"/>
      <c r="BN717" s="1391"/>
      <c r="BO717" s="1391"/>
      <c r="BP717" s="1391"/>
      <c r="BQ717" s="1391"/>
      <c r="BR717" s="1391"/>
      <c r="BS717" s="1391"/>
      <c r="BT717" s="1391"/>
      <c r="BU717" s="1391"/>
      <c r="BV717" s="1391"/>
      <c r="BW717" s="1391"/>
      <c r="BX717" s="1391"/>
      <c r="BY717" s="1391"/>
      <c r="BZ717" s="1391"/>
      <c r="CA717" s="1391"/>
      <c r="CB717" s="1391"/>
      <c r="CC717" s="1391"/>
      <c r="CD717" s="1391"/>
      <c r="CE717" s="1391"/>
      <c r="CF717" s="1391"/>
      <c r="CG717" s="1391"/>
      <c r="CH717" s="1391"/>
      <c r="CI717" s="1391"/>
      <c r="CJ717" s="1391"/>
      <c r="CK717" s="1391"/>
      <c r="CL717" s="1391"/>
      <c r="CM717" s="1391"/>
      <c r="CN717" s="1391"/>
      <c r="CO717" s="1391"/>
      <c r="CP717" s="1391"/>
      <c r="CQ717" s="1391"/>
      <c r="CR717" s="1391"/>
      <c r="CS717" s="1391"/>
      <c r="CT717" s="1391"/>
      <c r="CU717" s="1391"/>
      <c r="CV717" s="1391"/>
      <c r="CW717" s="1391"/>
      <c r="CX717" s="1391"/>
      <c r="CY717" s="1391"/>
      <c r="CZ717" s="1391"/>
      <c r="DA717" s="1391"/>
      <c r="DB717" s="1391"/>
      <c r="DC717" s="1391"/>
      <c r="DD717" s="1391"/>
      <c r="DE717" s="1391"/>
      <c r="DF717" s="1391"/>
      <c r="DG717" s="1391"/>
      <c r="DH717" s="1391"/>
      <c r="DI717" s="1391"/>
    </row>
    <row r="718" spans="1:113" ht="15.75" x14ac:dyDescent="0.25">
      <c r="A718" s="1579" t="s">
        <v>2514</v>
      </c>
      <c r="B718" s="1443"/>
      <c r="C718" s="1521"/>
      <c r="D718" s="1565"/>
      <c r="E718" s="1565"/>
      <c r="F718" s="1565"/>
      <c r="G718" s="1565"/>
      <c r="H718" s="1531"/>
      <c r="I718" s="1531"/>
      <c r="J718" s="1531"/>
      <c r="K718" s="1531"/>
      <c r="L718" s="1531"/>
      <c r="M718" s="1531"/>
      <c r="N718" s="1531"/>
      <c r="O718" s="1531"/>
      <c r="P718" s="1531"/>
      <c r="Q718" s="1531"/>
      <c r="R718" s="1531"/>
      <c r="S718" s="1531"/>
      <c r="T718" s="1531"/>
      <c r="U718" s="1531"/>
      <c r="V718" s="1531"/>
      <c r="W718" s="1531"/>
      <c r="X718" s="1531"/>
      <c r="Y718" s="1531"/>
      <c r="Z718" s="1531"/>
      <c r="AA718" s="1531"/>
      <c r="AB718" s="1531"/>
      <c r="AC718" s="1531"/>
      <c r="AD718" s="1531"/>
      <c r="AE718" s="1531"/>
      <c r="AF718" s="1531"/>
      <c r="AG718" s="1531"/>
      <c r="AH718" s="1531"/>
      <c r="AI718" s="1531"/>
      <c r="AJ718" s="1531"/>
      <c r="AK718" s="1531"/>
      <c r="AL718" s="1531"/>
      <c r="AM718" s="1531"/>
      <c r="AN718" s="1531"/>
      <c r="AO718" s="1531"/>
      <c r="AP718" s="1531"/>
      <c r="AQ718" s="1531"/>
      <c r="AR718" s="1531"/>
      <c r="AS718" s="1531"/>
      <c r="AT718" s="1531"/>
      <c r="AU718" s="1531"/>
      <c r="AV718" s="1531"/>
      <c r="AW718" s="1531"/>
      <c r="AX718" s="1531"/>
      <c r="AY718" s="1531"/>
      <c r="AZ718" s="1531"/>
      <c r="BA718" s="1136"/>
      <c r="BB718" s="1136"/>
      <c r="BC718" s="1136"/>
      <c r="BD718" s="1136"/>
      <c r="BE718" s="1136"/>
      <c r="BF718" s="1136"/>
      <c r="BG718" s="1136"/>
      <c r="BH718" s="1136"/>
      <c r="BI718" s="1136"/>
      <c r="BJ718" s="1136"/>
      <c r="BK718" s="1136"/>
      <c r="BL718" s="1136"/>
      <c r="BM718" s="1568"/>
      <c r="BN718" s="1391"/>
      <c r="BO718" s="1391"/>
      <c r="BP718" s="1391"/>
      <c r="BQ718" s="1391"/>
      <c r="BR718" s="1391"/>
      <c r="BS718" s="1391"/>
      <c r="BT718" s="1391"/>
      <c r="BU718" s="1391"/>
      <c r="BV718" s="1391"/>
      <c r="BW718" s="1391"/>
      <c r="BX718" s="1391"/>
      <c r="BY718" s="1391"/>
      <c r="BZ718" s="1391"/>
      <c r="CA718" s="1391"/>
      <c r="CB718" s="1391"/>
      <c r="CC718" s="1391"/>
      <c r="CD718" s="1391"/>
      <c r="CE718" s="1391"/>
      <c r="CF718" s="1391"/>
      <c r="CG718" s="1391"/>
      <c r="CH718" s="1391"/>
      <c r="CI718" s="1391"/>
      <c r="CJ718" s="1391"/>
      <c r="CK718" s="1391"/>
      <c r="CL718" s="1391"/>
      <c r="CM718" s="1391"/>
      <c r="CN718" s="1391"/>
      <c r="CO718" s="1391"/>
      <c r="CP718" s="1391"/>
      <c r="CQ718" s="1391"/>
      <c r="CR718" s="1391"/>
      <c r="CS718" s="1391"/>
      <c r="CT718" s="1391"/>
      <c r="CU718" s="1391"/>
      <c r="CV718" s="1391"/>
      <c r="CW718" s="1391"/>
      <c r="CX718" s="1391"/>
      <c r="CY718" s="1391"/>
      <c r="CZ718" s="1391"/>
      <c r="DA718" s="1391"/>
      <c r="DB718" s="1391"/>
      <c r="DC718" s="1391"/>
      <c r="DD718" s="1391"/>
      <c r="DE718" s="1391"/>
      <c r="DF718" s="1391"/>
      <c r="DG718" s="1391"/>
      <c r="DH718" s="1391"/>
      <c r="DI718" s="1391"/>
    </row>
    <row r="719" spans="1:113" ht="15.75" x14ac:dyDescent="0.25">
      <c r="A719" s="1461" t="s">
        <v>2515</v>
      </c>
      <c r="B719" s="1443"/>
      <c r="C719" s="1521"/>
      <c r="D719" s="1569"/>
      <c r="E719" s="1569"/>
      <c r="F719" s="1569"/>
      <c r="G719" s="1569"/>
      <c r="H719" s="1531"/>
      <c r="I719" s="1531"/>
      <c r="J719" s="1531"/>
      <c r="K719" s="1531"/>
      <c r="L719" s="1531"/>
      <c r="M719" s="1531"/>
      <c r="N719" s="1531"/>
      <c r="O719" s="1531"/>
      <c r="P719" s="1531"/>
      <c r="Q719" s="1531"/>
      <c r="R719" s="1531"/>
      <c r="S719" s="1531"/>
      <c r="T719" s="1531"/>
      <c r="U719" s="1531"/>
      <c r="V719" s="1531"/>
      <c r="W719" s="1531"/>
      <c r="X719" s="1531"/>
      <c r="Y719" s="1531"/>
      <c r="Z719" s="1531"/>
      <c r="AA719" s="1531"/>
      <c r="AB719" s="1531"/>
      <c r="AC719" s="1531"/>
      <c r="AD719" s="1531"/>
      <c r="AE719" s="1531"/>
      <c r="AF719" s="1531"/>
      <c r="AG719" s="1531"/>
      <c r="AH719" s="1531"/>
      <c r="AI719" s="1531"/>
      <c r="AJ719" s="1531"/>
      <c r="AK719" s="1531"/>
      <c r="AL719" s="1531"/>
      <c r="AM719" s="1531"/>
      <c r="AN719" s="1531"/>
      <c r="AO719" s="1531"/>
      <c r="AP719" s="1531"/>
      <c r="AQ719" s="1531"/>
      <c r="AR719" s="1531"/>
      <c r="AS719" s="1531"/>
      <c r="AT719" s="1531"/>
      <c r="AU719" s="1531"/>
      <c r="AV719" s="1531"/>
      <c r="AW719" s="1531"/>
      <c r="AX719" s="1531"/>
      <c r="AY719" s="1531"/>
      <c r="AZ719" s="1531"/>
      <c r="BA719" s="1136"/>
      <c r="BB719" s="1136"/>
      <c r="BC719" s="1136"/>
      <c r="BD719" s="1136"/>
      <c r="BE719" s="1136"/>
      <c r="BF719" s="1136"/>
      <c r="BG719" s="1136"/>
      <c r="BH719" s="1136"/>
      <c r="BI719" s="1136"/>
      <c r="BJ719" s="1136"/>
      <c r="BK719" s="1136"/>
      <c r="BL719" s="1136"/>
      <c r="BM719" s="1568"/>
      <c r="BN719" s="1391"/>
      <c r="BO719" s="1391"/>
      <c r="BP719" s="1391"/>
      <c r="BQ719" s="1391"/>
      <c r="BR719" s="1391"/>
      <c r="BS719" s="1391"/>
      <c r="BT719" s="1391"/>
      <c r="BU719" s="1391"/>
      <c r="BV719" s="1391"/>
      <c r="BW719" s="1391"/>
      <c r="BX719" s="1391"/>
      <c r="BY719" s="1391"/>
      <c r="BZ719" s="1391"/>
      <c r="CA719" s="1391"/>
      <c r="CB719" s="1391"/>
      <c r="CC719" s="1391"/>
      <c r="CD719" s="1391"/>
      <c r="CE719" s="1391"/>
      <c r="CF719" s="1391"/>
      <c r="CG719" s="1391"/>
      <c r="CH719" s="1391"/>
      <c r="CI719" s="1391"/>
      <c r="CJ719" s="1391"/>
      <c r="CK719" s="1391"/>
      <c r="CL719" s="1391"/>
      <c r="CM719" s="1391"/>
      <c r="CN719" s="1391"/>
      <c r="CO719" s="1391"/>
      <c r="CP719" s="1391"/>
      <c r="CQ719" s="1391"/>
      <c r="CR719" s="1391"/>
      <c r="CS719" s="1391"/>
      <c r="CT719" s="1391"/>
      <c r="CU719" s="1391"/>
      <c r="CV719" s="1391"/>
      <c r="CW719" s="1391"/>
      <c r="CX719" s="1391"/>
      <c r="CY719" s="1391"/>
      <c r="CZ719" s="1391"/>
      <c r="DA719" s="1391"/>
      <c r="DB719" s="1391"/>
      <c r="DC719" s="1391"/>
      <c r="DD719" s="1391"/>
      <c r="DE719" s="1391"/>
      <c r="DF719" s="1391"/>
      <c r="DG719" s="1391"/>
      <c r="DH719" s="1391"/>
      <c r="DI719" s="1391"/>
    </row>
    <row r="720" spans="1:113" ht="31.5" x14ac:dyDescent="0.25">
      <c r="A720" s="1502" t="s">
        <v>4149</v>
      </c>
      <c r="B720" s="1443"/>
      <c r="C720" s="1521"/>
      <c r="D720" s="1569"/>
      <c r="E720" s="1569"/>
      <c r="F720" s="1569"/>
      <c r="G720" s="1569"/>
      <c r="H720" s="1531"/>
      <c r="I720" s="1531"/>
      <c r="J720" s="1531"/>
      <c r="K720" s="1531"/>
      <c r="L720" s="1531"/>
      <c r="M720" s="1531"/>
      <c r="N720" s="1531"/>
      <c r="O720" s="1531"/>
      <c r="P720" s="1531"/>
      <c r="Q720" s="1531"/>
      <c r="R720" s="1531"/>
      <c r="S720" s="1531"/>
      <c r="T720" s="1531"/>
      <c r="U720" s="1531"/>
      <c r="V720" s="1531"/>
      <c r="W720" s="1531"/>
      <c r="X720" s="1531"/>
      <c r="Y720" s="1531"/>
      <c r="Z720" s="1531"/>
      <c r="AA720" s="1531"/>
      <c r="AB720" s="1531"/>
      <c r="AC720" s="1531"/>
      <c r="AD720" s="1531"/>
      <c r="AE720" s="1531"/>
      <c r="AF720" s="1531"/>
      <c r="AG720" s="1531"/>
      <c r="AH720" s="1531"/>
      <c r="AI720" s="1531"/>
      <c r="AJ720" s="1531"/>
      <c r="AK720" s="1531"/>
      <c r="AL720" s="1531"/>
      <c r="AM720" s="1531"/>
      <c r="AN720" s="1531"/>
      <c r="AO720" s="1531"/>
      <c r="AP720" s="1531"/>
      <c r="AQ720" s="1531"/>
      <c r="AR720" s="1531"/>
      <c r="AS720" s="1531"/>
      <c r="AT720" s="1531"/>
      <c r="AU720" s="1531"/>
      <c r="AV720" s="1531"/>
      <c r="AW720" s="1531"/>
      <c r="AX720" s="1531"/>
      <c r="AY720" s="1531"/>
      <c r="AZ720" s="1531"/>
      <c r="BA720" s="1136"/>
      <c r="BB720" s="1136"/>
      <c r="BC720" s="1136"/>
      <c r="BD720" s="1136"/>
      <c r="BE720" s="1136"/>
      <c r="BF720" s="1136"/>
      <c r="BG720" s="1136"/>
      <c r="BH720" s="1136"/>
      <c r="BI720" s="1136"/>
      <c r="BJ720" s="1136"/>
      <c r="BK720" s="1136"/>
      <c r="BL720" s="1136"/>
      <c r="BM720" s="1568"/>
      <c r="BN720" s="1391"/>
      <c r="BO720" s="1391"/>
      <c r="BP720" s="1391"/>
      <c r="BQ720" s="1391"/>
      <c r="BR720" s="1391"/>
      <c r="BS720" s="1391"/>
      <c r="BT720" s="1391"/>
      <c r="BU720" s="1391"/>
      <c r="BV720" s="1391"/>
      <c r="BW720" s="1391"/>
      <c r="BX720" s="1391"/>
      <c r="BY720" s="1391"/>
      <c r="BZ720" s="1391"/>
      <c r="CA720" s="1391"/>
      <c r="CB720" s="1391"/>
      <c r="CC720" s="1391"/>
      <c r="CD720" s="1391"/>
      <c r="CE720" s="1391"/>
      <c r="CF720" s="1391"/>
      <c r="CG720" s="1391"/>
      <c r="CH720" s="1391"/>
      <c r="CI720" s="1391"/>
      <c r="CJ720" s="1391"/>
      <c r="CK720" s="1391"/>
      <c r="CL720" s="1391"/>
      <c r="CM720" s="1391"/>
      <c r="CN720" s="1391"/>
      <c r="CO720" s="1391"/>
      <c r="CP720" s="1391"/>
      <c r="CQ720" s="1391"/>
      <c r="CR720" s="1391"/>
      <c r="CS720" s="1391"/>
      <c r="CT720" s="1391"/>
      <c r="CU720" s="1391"/>
      <c r="CV720" s="1391"/>
      <c r="CW720" s="1391"/>
      <c r="CX720" s="1391"/>
      <c r="CY720" s="1391"/>
      <c r="CZ720" s="1391"/>
      <c r="DA720" s="1391"/>
      <c r="DB720" s="1391"/>
      <c r="DC720" s="1391"/>
      <c r="DD720" s="1391"/>
      <c r="DE720" s="1391"/>
      <c r="DF720" s="1391"/>
      <c r="DG720" s="1391"/>
      <c r="DH720" s="1391"/>
      <c r="DI720" s="1391"/>
    </row>
    <row r="721" spans="1:113" ht="15.75" x14ac:dyDescent="0.25">
      <c r="A721" s="1580" t="s">
        <v>2516</v>
      </c>
      <c r="B721" s="1439"/>
      <c r="C721" s="1432"/>
      <c r="D721" s="1572"/>
      <c r="E721" s="1572"/>
      <c r="F721" s="1572"/>
      <c r="G721" s="1572"/>
      <c r="H721" s="1531"/>
      <c r="I721" s="1531"/>
      <c r="J721" s="1531"/>
      <c r="K721" s="1531"/>
      <c r="L721" s="1531"/>
      <c r="M721" s="1531"/>
      <c r="N721" s="1531"/>
      <c r="O721" s="1531"/>
      <c r="P721" s="1531"/>
      <c r="Q721" s="1531"/>
      <c r="R721" s="1531"/>
      <c r="S721" s="1531"/>
      <c r="T721" s="1531"/>
      <c r="U721" s="1531"/>
      <c r="V721" s="1531"/>
      <c r="W721" s="1531"/>
      <c r="X721" s="1531"/>
      <c r="Y721" s="1531"/>
      <c r="Z721" s="1531"/>
      <c r="AA721" s="1531"/>
      <c r="AB721" s="1531"/>
      <c r="AC721" s="1531"/>
      <c r="AD721" s="1531"/>
      <c r="AE721" s="1531"/>
      <c r="AF721" s="1531"/>
      <c r="AG721" s="1531"/>
      <c r="AH721" s="1531"/>
      <c r="AI721" s="1531"/>
      <c r="AJ721" s="1531"/>
      <c r="AK721" s="1531"/>
      <c r="AL721" s="1531"/>
      <c r="AM721" s="1531"/>
      <c r="AN721" s="1531"/>
      <c r="AO721" s="1531"/>
      <c r="AP721" s="1531"/>
      <c r="AQ721" s="1531"/>
      <c r="AR721" s="1531"/>
      <c r="AS721" s="1531"/>
      <c r="AT721" s="1531"/>
      <c r="AU721" s="1531"/>
      <c r="AV721" s="1531"/>
      <c r="AW721" s="1531"/>
      <c r="AX721" s="1531"/>
      <c r="AY721" s="1531"/>
      <c r="AZ721" s="1531"/>
      <c r="BA721" s="1136"/>
      <c r="BB721" s="1136"/>
      <c r="BC721" s="1136"/>
      <c r="BD721" s="1136"/>
      <c r="BE721" s="1136"/>
      <c r="BF721" s="1136"/>
      <c r="BG721" s="1136"/>
      <c r="BH721" s="1136"/>
      <c r="BI721" s="1136"/>
      <c r="BJ721" s="1136"/>
      <c r="BK721" s="1136"/>
      <c r="BL721" s="1136"/>
      <c r="BM721" s="1568"/>
      <c r="BN721" s="1391"/>
      <c r="BO721" s="1391"/>
      <c r="BP721" s="1391"/>
      <c r="BQ721" s="1391"/>
      <c r="BR721" s="1391"/>
      <c r="BS721" s="1391"/>
      <c r="BT721" s="1391"/>
      <c r="BU721" s="1391"/>
      <c r="BV721" s="1391"/>
      <c r="BW721" s="1391"/>
      <c r="BX721" s="1391"/>
      <c r="BY721" s="1391"/>
      <c r="BZ721" s="1391"/>
      <c r="CA721" s="1391"/>
      <c r="CB721" s="1391"/>
      <c r="CC721" s="1391"/>
      <c r="CD721" s="1391"/>
      <c r="CE721" s="1391"/>
      <c r="CF721" s="1391"/>
      <c r="CG721" s="1391"/>
      <c r="CH721" s="1391"/>
      <c r="CI721" s="1391"/>
      <c r="CJ721" s="1391"/>
      <c r="CK721" s="1391"/>
      <c r="CL721" s="1391"/>
      <c r="CM721" s="1391"/>
      <c r="CN721" s="1391"/>
      <c r="CO721" s="1391"/>
      <c r="CP721" s="1391"/>
      <c r="CQ721" s="1391"/>
      <c r="CR721" s="1391"/>
      <c r="CS721" s="1391"/>
      <c r="CT721" s="1391"/>
      <c r="CU721" s="1391"/>
      <c r="CV721" s="1391"/>
      <c r="CW721" s="1391"/>
      <c r="CX721" s="1391"/>
      <c r="CY721" s="1391"/>
      <c r="CZ721" s="1391"/>
      <c r="DA721" s="1391"/>
      <c r="DB721" s="1391"/>
      <c r="DC721" s="1391"/>
      <c r="DD721" s="1391"/>
      <c r="DE721" s="1391"/>
      <c r="DF721" s="1391"/>
      <c r="DG721" s="1391"/>
      <c r="DH721" s="1391"/>
      <c r="DI721" s="1391"/>
    </row>
    <row r="722" spans="1:113" ht="15.75" x14ac:dyDescent="0.25">
      <c r="A722" s="1456" t="s">
        <v>2517</v>
      </c>
      <c r="B722" s="1439"/>
      <c r="C722" s="1432"/>
      <c r="D722" s="1531"/>
      <c r="E722" s="1531"/>
      <c r="F722" s="1531"/>
      <c r="G722" s="1531"/>
      <c r="H722" s="1531"/>
      <c r="I722" s="1531"/>
      <c r="J722" s="1531"/>
      <c r="K722" s="1531"/>
      <c r="L722" s="1531"/>
      <c r="M722" s="1531"/>
      <c r="N722" s="1531"/>
      <c r="O722" s="1531"/>
      <c r="P722" s="1531"/>
      <c r="Q722" s="1531"/>
      <c r="R722" s="1531"/>
      <c r="S722" s="1531"/>
      <c r="T722" s="1531"/>
      <c r="U722" s="1531"/>
      <c r="V722" s="1531"/>
      <c r="W722" s="1531"/>
      <c r="X722" s="1531"/>
      <c r="Y722" s="1531"/>
      <c r="Z722" s="1531"/>
      <c r="AA722" s="1531"/>
      <c r="AB722" s="1531"/>
      <c r="AC722" s="1531"/>
      <c r="AD722" s="1531"/>
      <c r="AE722" s="1531"/>
      <c r="AF722" s="1531"/>
      <c r="AG722" s="1531"/>
      <c r="AH722" s="1531"/>
      <c r="AI722" s="1531"/>
      <c r="AJ722" s="1531"/>
      <c r="AK722" s="1531"/>
      <c r="AL722" s="1531"/>
      <c r="AM722" s="1531"/>
      <c r="AN722" s="1531"/>
      <c r="AO722" s="1531"/>
      <c r="AP722" s="1531"/>
      <c r="AQ722" s="1531"/>
      <c r="AR722" s="1531"/>
      <c r="AS722" s="1531"/>
      <c r="AT722" s="1531"/>
      <c r="AU722" s="1531"/>
      <c r="AV722" s="1531"/>
      <c r="AW722" s="1531"/>
      <c r="AX722" s="1531"/>
      <c r="AY722" s="1531"/>
      <c r="AZ722" s="1531"/>
      <c r="BA722" s="1136"/>
      <c r="BB722" s="1136"/>
      <c r="BC722" s="1136"/>
      <c r="BD722" s="1136"/>
      <c r="BE722" s="1136"/>
      <c r="BF722" s="1136"/>
      <c r="BG722" s="1136"/>
      <c r="BH722" s="1136"/>
      <c r="BI722" s="1136"/>
      <c r="BJ722" s="1136"/>
      <c r="BK722" s="1136"/>
      <c r="BL722" s="1136"/>
      <c r="BM722" s="1568"/>
      <c r="BN722" s="1391"/>
      <c r="BO722" s="1391"/>
      <c r="BP722" s="1391"/>
      <c r="BQ722" s="1391"/>
      <c r="BR722" s="1391"/>
      <c r="BS722" s="1391"/>
      <c r="BT722" s="1391"/>
      <c r="BU722" s="1391"/>
      <c r="BV722" s="1391"/>
      <c r="BW722" s="1391"/>
      <c r="BX722" s="1391"/>
      <c r="BY722" s="1391"/>
      <c r="BZ722" s="1391"/>
      <c r="CA722" s="1391"/>
      <c r="CB722" s="1391"/>
      <c r="CC722" s="1391"/>
      <c r="CD722" s="1391"/>
      <c r="CE722" s="1391"/>
      <c r="CF722" s="1391"/>
      <c r="CG722" s="1391"/>
      <c r="CH722" s="1391"/>
      <c r="CI722" s="1391"/>
      <c r="CJ722" s="1391"/>
      <c r="CK722" s="1391"/>
      <c r="CL722" s="1391"/>
      <c r="CM722" s="1391"/>
      <c r="CN722" s="1391"/>
      <c r="CO722" s="1391"/>
      <c r="CP722" s="1391"/>
      <c r="CQ722" s="1391"/>
      <c r="CR722" s="1391"/>
      <c r="CS722" s="1391"/>
      <c r="CT722" s="1391"/>
      <c r="CU722" s="1391"/>
      <c r="CV722" s="1391"/>
      <c r="CW722" s="1391"/>
      <c r="CX722" s="1391"/>
      <c r="CY722" s="1391"/>
      <c r="CZ722" s="1391"/>
      <c r="DA722" s="1391"/>
      <c r="DB722" s="1391"/>
      <c r="DC722" s="1391"/>
      <c r="DD722" s="1391"/>
      <c r="DE722" s="1391"/>
      <c r="DF722" s="1391"/>
      <c r="DG722" s="1391"/>
      <c r="DH722" s="1391"/>
      <c r="DI722" s="1391"/>
    </row>
    <row r="723" spans="1:113" ht="15.75" x14ac:dyDescent="0.25">
      <c r="A723" s="1417" t="s">
        <v>2518</v>
      </c>
      <c r="B723" s="1418">
        <v>0.2</v>
      </c>
      <c r="C723" s="1350"/>
      <c r="D723" s="1577"/>
      <c r="E723" s="1577"/>
      <c r="F723" s="1577"/>
      <c r="G723" s="1577"/>
      <c r="H723" s="1531"/>
      <c r="I723" s="1531"/>
      <c r="J723" s="1531"/>
      <c r="K723" s="1531"/>
      <c r="L723" s="1531"/>
      <c r="M723" s="1531"/>
      <c r="N723" s="1531"/>
      <c r="O723" s="1531"/>
      <c r="P723" s="1531"/>
      <c r="Q723" s="1531"/>
      <c r="R723" s="1531"/>
      <c r="S723" s="1531"/>
      <c r="T723" s="1531"/>
      <c r="U723" s="1531"/>
      <c r="V723" s="1531"/>
      <c r="W723" s="1531"/>
      <c r="X723" s="1531"/>
      <c r="Y723" s="1531"/>
      <c r="Z723" s="1531"/>
      <c r="AA723" s="1531"/>
      <c r="AB723" s="1531"/>
      <c r="AC723" s="1531"/>
      <c r="AD723" s="1531"/>
      <c r="AE723" s="1531"/>
      <c r="AF723" s="1531"/>
      <c r="AG723" s="1531"/>
      <c r="AH723" s="1531"/>
      <c r="AI723" s="1531"/>
      <c r="AJ723" s="1531"/>
      <c r="AK723" s="1531"/>
      <c r="AL723" s="1531"/>
      <c r="AM723" s="1531"/>
      <c r="AN723" s="1531"/>
      <c r="AO723" s="1531"/>
      <c r="AP723" s="1531"/>
      <c r="AQ723" s="1531"/>
      <c r="AR723" s="1531"/>
      <c r="AS723" s="1531"/>
      <c r="AT723" s="1531"/>
      <c r="AU723" s="1531"/>
      <c r="AV723" s="1531"/>
      <c r="AW723" s="1531"/>
      <c r="AX723" s="1531"/>
      <c r="AY723" s="1531"/>
      <c r="AZ723" s="1531"/>
      <c r="BA723" s="1136"/>
      <c r="BB723" s="1136"/>
      <c r="BC723" s="1136"/>
      <c r="BD723" s="1136"/>
      <c r="BE723" s="1136"/>
      <c r="BF723" s="1136"/>
      <c r="BG723" s="1136"/>
      <c r="BH723" s="1136"/>
      <c r="BI723" s="1136"/>
      <c r="BJ723" s="1136"/>
      <c r="BK723" s="1136"/>
      <c r="BL723" s="1136"/>
      <c r="BM723" s="1568"/>
      <c r="BN723" s="1391"/>
      <c r="BO723" s="1391"/>
      <c r="BP723" s="1391"/>
      <c r="BQ723" s="1391"/>
      <c r="BR723" s="1391"/>
      <c r="BS723" s="1391"/>
      <c r="BT723" s="1391"/>
      <c r="BU723" s="1391"/>
      <c r="BV723" s="1391"/>
      <c r="BW723" s="1391"/>
      <c r="BX723" s="1391"/>
      <c r="BY723" s="1391"/>
      <c r="BZ723" s="1391"/>
      <c r="CA723" s="1391"/>
      <c r="CB723" s="1391"/>
      <c r="CC723" s="1391"/>
      <c r="CD723" s="1391"/>
      <c r="CE723" s="1391"/>
      <c r="CF723" s="1391"/>
      <c r="CG723" s="1391"/>
      <c r="CH723" s="1391"/>
      <c r="CI723" s="1391"/>
      <c r="CJ723" s="1391"/>
      <c r="CK723" s="1391"/>
      <c r="CL723" s="1391"/>
      <c r="CM723" s="1391"/>
      <c r="CN723" s="1391"/>
      <c r="CO723" s="1391"/>
      <c r="CP723" s="1391"/>
      <c r="CQ723" s="1391"/>
      <c r="CR723" s="1391"/>
      <c r="CS723" s="1391"/>
      <c r="CT723" s="1391"/>
      <c r="CU723" s="1391"/>
      <c r="CV723" s="1391"/>
      <c r="CW723" s="1391"/>
      <c r="CX723" s="1391"/>
      <c r="CY723" s="1391"/>
      <c r="CZ723" s="1391"/>
      <c r="DA723" s="1391"/>
      <c r="DB723" s="1391"/>
      <c r="DC723" s="1391"/>
      <c r="DD723" s="1391"/>
      <c r="DE723" s="1391"/>
      <c r="DF723" s="1391"/>
      <c r="DG723" s="1391"/>
      <c r="DH723" s="1391"/>
      <c r="DI723" s="1391"/>
    </row>
    <row r="724" spans="1:113" ht="15.75" x14ac:dyDescent="0.25">
      <c r="A724" s="1417" t="s">
        <v>2519</v>
      </c>
      <c r="B724" s="1581">
        <v>0.1</v>
      </c>
      <c r="C724" s="1465"/>
      <c r="D724" s="1531"/>
      <c r="E724" s="1531"/>
      <c r="F724" s="1531"/>
      <c r="G724" s="1531"/>
      <c r="H724" s="1531"/>
      <c r="I724" s="1531"/>
      <c r="J724" s="1531"/>
      <c r="K724" s="1531"/>
      <c r="L724" s="1531"/>
      <c r="M724" s="1531"/>
      <c r="N724" s="1531"/>
      <c r="O724" s="1531"/>
      <c r="P724" s="1531"/>
      <c r="Q724" s="1531"/>
      <c r="R724" s="1531"/>
      <c r="S724" s="1531"/>
      <c r="T724" s="1531"/>
      <c r="U724" s="1531"/>
      <c r="V724" s="1531"/>
      <c r="W724" s="1531"/>
      <c r="X724" s="1531"/>
      <c r="Y724" s="1531"/>
      <c r="Z724" s="1531"/>
      <c r="AA724" s="1531"/>
      <c r="AB724" s="1531"/>
      <c r="AC724" s="1531"/>
      <c r="AD724" s="1531"/>
      <c r="AE724" s="1531"/>
      <c r="AF724" s="1531"/>
      <c r="AG724" s="1531"/>
      <c r="AH724" s="1531"/>
      <c r="AI724" s="1531"/>
      <c r="AJ724" s="1531"/>
      <c r="AK724" s="1531"/>
      <c r="AL724" s="1531"/>
      <c r="AM724" s="1531"/>
      <c r="AN724" s="1531"/>
      <c r="AO724" s="1531"/>
      <c r="AP724" s="1531"/>
      <c r="AQ724" s="1531"/>
      <c r="AR724" s="1531"/>
      <c r="AS724" s="1531"/>
      <c r="AT724" s="1531"/>
      <c r="AU724" s="1531"/>
      <c r="AV724" s="1531"/>
      <c r="AW724" s="1531"/>
      <c r="AX724" s="1531"/>
      <c r="AY724" s="1531"/>
      <c r="AZ724" s="1531"/>
      <c r="BA724" s="1136"/>
      <c r="BB724" s="1136"/>
      <c r="BC724" s="1136"/>
      <c r="BD724" s="1136"/>
      <c r="BE724" s="1136"/>
      <c r="BF724" s="1136"/>
      <c r="BG724" s="1136"/>
      <c r="BH724" s="1136"/>
      <c r="BI724" s="1136"/>
      <c r="BJ724" s="1136"/>
      <c r="BK724" s="1136"/>
      <c r="BL724" s="1136"/>
      <c r="BM724" s="1568"/>
      <c r="BN724" s="1391"/>
      <c r="BO724" s="1391"/>
      <c r="BP724" s="1391"/>
      <c r="BQ724" s="1391"/>
      <c r="BR724" s="1391"/>
      <c r="BS724" s="1391"/>
      <c r="BT724" s="1391"/>
      <c r="BU724" s="1391"/>
      <c r="BV724" s="1391"/>
      <c r="BW724" s="1391"/>
      <c r="BX724" s="1391"/>
      <c r="BY724" s="1391"/>
      <c r="BZ724" s="1391"/>
      <c r="CA724" s="1391"/>
      <c r="CB724" s="1391"/>
      <c r="CC724" s="1391"/>
      <c r="CD724" s="1391"/>
      <c r="CE724" s="1391"/>
      <c r="CF724" s="1391"/>
      <c r="CG724" s="1391"/>
      <c r="CH724" s="1391"/>
      <c r="CI724" s="1391"/>
      <c r="CJ724" s="1391"/>
      <c r="CK724" s="1391"/>
      <c r="CL724" s="1391"/>
      <c r="CM724" s="1391"/>
      <c r="CN724" s="1391"/>
      <c r="CO724" s="1391"/>
      <c r="CP724" s="1391"/>
      <c r="CQ724" s="1391"/>
      <c r="CR724" s="1391"/>
      <c r="CS724" s="1391"/>
      <c r="CT724" s="1391"/>
      <c r="CU724" s="1391"/>
      <c r="CV724" s="1391"/>
      <c r="CW724" s="1391"/>
      <c r="CX724" s="1391"/>
      <c r="CY724" s="1391"/>
      <c r="CZ724" s="1391"/>
      <c r="DA724" s="1391"/>
      <c r="DB724" s="1391"/>
      <c r="DC724" s="1391"/>
      <c r="DD724" s="1391"/>
      <c r="DE724" s="1391"/>
      <c r="DF724" s="1391"/>
      <c r="DG724" s="1391"/>
      <c r="DH724" s="1391"/>
      <c r="DI724" s="1391"/>
    </row>
    <row r="725" spans="1:113" ht="15.75" x14ac:dyDescent="0.25">
      <c r="A725" s="1430" t="s">
        <v>2520</v>
      </c>
      <c r="B725" s="1582">
        <f>B723*B724</f>
        <v>2.0000000000000004E-2</v>
      </c>
      <c r="C725" s="1416"/>
      <c r="D725" s="1531"/>
      <c r="E725" s="1531"/>
      <c r="F725" s="1531"/>
      <c r="G725" s="1531"/>
      <c r="H725" s="1531"/>
      <c r="I725" s="1531"/>
      <c r="J725" s="1531"/>
      <c r="K725" s="1531"/>
      <c r="L725" s="1531"/>
      <c r="M725" s="1531"/>
      <c r="N725" s="1531"/>
      <c r="O725" s="1531"/>
      <c r="P725" s="1531"/>
      <c r="Q725" s="1531"/>
      <c r="R725" s="1531"/>
      <c r="S725" s="1531"/>
      <c r="T725" s="1531"/>
      <c r="U725" s="1531"/>
      <c r="V725" s="1531"/>
      <c r="W725" s="1531"/>
      <c r="X725" s="1531"/>
      <c r="Y725" s="1531"/>
      <c r="Z725" s="1531"/>
      <c r="AA725" s="1531"/>
      <c r="AB725" s="1531"/>
      <c r="AC725" s="1531"/>
      <c r="AD725" s="1531"/>
      <c r="AE725" s="1531"/>
      <c r="AF725" s="1531"/>
      <c r="AG725" s="1531"/>
      <c r="AH725" s="1531"/>
      <c r="AI725" s="1531"/>
      <c r="AJ725" s="1531"/>
      <c r="AK725" s="1531"/>
      <c r="AL725" s="1531"/>
      <c r="AM725" s="1531"/>
      <c r="AN725" s="1531"/>
      <c r="AO725" s="1531"/>
      <c r="AP725" s="1531"/>
      <c r="AQ725" s="1531"/>
      <c r="AR725" s="1531"/>
      <c r="AS725" s="1531"/>
      <c r="AT725" s="1531"/>
      <c r="AU725" s="1531"/>
      <c r="AV725" s="1531"/>
      <c r="AW725" s="1531"/>
      <c r="AX725" s="1531"/>
      <c r="AY725" s="1531"/>
      <c r="AZ725" s="1531"/>
      <c r="BA725" s="1136"/>
      <c r="BB725" s="1136"/>
      <c r="BC725" s="1136"/>
      <c r="BD725" s="1136"/>
      <c r="BE725" s="1136"/>
      <c r="BF725" s="1136"/>
      <c r="BG725" s="1136"/>
      <c r="BH725" s="1136"/>
      <c r="BI725" s="1136"/>
      <c r="BJ725" s="1136"/>
      <c r="BK725" s="1136"/>
      <c r="BL725" s="1136"/>
      <c r="BM725" s="1568"/>
      <c r="BN725" s="1391"/>
      <c r="BO725" s="1391"/>
      <c r="BP725" s="1391"/>
      <c r="BQ725" s="1391"/>
      <c r="BR725" s="1391"/>
      <c r="BS725" s="1391"/>
      <c r="BT725" s="1391"/>
      <c r="BU725" s="1391"/>
      <c r="BV725" s="1391"/>
      <c r="BW725" s="1391"/>
      <c r="BX725" s="1391"/>
      <c r="BY725" s="1391"/>
      <c r="BZ725" s="1391"/>
      <c r="CA725" s="1391"/>
      <c r="CB725" s="1391"/>
      <c r="CC725" s="1391"/>
      <c r="CD725" s="1391"/>
      <c r="CE725" s="1391"/>
      <c r="CF725" s="1391"/>
      <c r="CG725" s="1391"/>
      <c r="CH725" s="1391"/>
      <c r="CI725" s="1391"/>
      <c r="CJ725" s="1391"/>
      <c r="CK725" s="1391"/>
      <c r="CL725" s="1391"/>
      <c r="CM725" s="1391"/>
      <c r="CN725" s="1391"/>
      <c r="CO725" s="1391"/>
      <c r="CP725" s="1391"/>
      <c r="CQ725" s="1391"/>
      <c r="CR725" s="1391"/>
      <c r="CS725" s="1391"/>
      <c r="CT725" s="1391"/>
      <c r="CU725" s="1391"/>
      <c r="CV725" s="1391"/>
      <c r="CW725" s="1391"/>
      <c r="CX725" s="1391"/>
      <c r="CY725" s="1391"/>
      <c r="CZ725" s="1391"/>
      <c r="DA725" s="1391"/>
      <c r="DB725" s="1391"/>
      <c r="DC725" s="1391"/>
      <c r="DD725" s="1391"/>
      <c r="DE725" s="1391"/>
      <c r="DF725" s="1391"/>
      <c r="DG725" s="1391"/>
      <c r="DH725" s="1391"/>
      <c r="DI725" s="1391"/>
    </row>
    <row r="726" spans="1:113" ht="15.75" x14ac:dyDescent="0.25">
      <c r="A726" s="1417" t="s">
        <v>2521</v>
      </c>
      <c r="B726" s="1583"/>
      <c r="C726" s="1584"/>
      <c r="D726" s="1531"/>
      <c r="E726" s="1531"/>
      <c r="F726" s="1531"/>
      <c r="G726" s="1531"/>
      <c r="H726" s="1531"/>
      <c r="I726" s="1531"/>
      <c r="J726" s="1531"/>
      <c r="K726" s="1531"/>
      <c r="L726" s="1531"/>
      <c r="M726" s="1531"/>
      <c r="N726" s="1531"/>
      <c r="O726" s="1531"/>
      <c r="P726" s="1531"/>
      <c r="Q726" s="1531"/>
      <c r="R726" s="1531"/>
      <c r="S726" s="1531"/>
      <c r="T726" s="1531"/>
      <c r="U726" s="1531"/>
      <c r="V726" s="1531"/>
      <c r="W726" s="1531"/>
      <c r="X726" s="1531"/>
      <c r="Y726" s="1531"/>
      <c r="Z726" s="1531"/>
      <c r="AA726" s="1531"/>
      <c r="AB726" s="1531"/>
      <c r="AC726" s="1531"/>
      <c r="AD726" s="1531"/>
      <c r="AE726" s="1531"/>
      <c r="AF726" s="1531"/>
      <c r="AG726" s="1531"/>
      <c r="AH726" s="1531"/>
      <c r="AI726" s="1531"/>
      <c r="AJ726" s="1531"/>
      <c r="AK726" s="1531"/>
      <c r="AL726" s="1531"/>
      <c r="AM726" s="1531"/>
      <c r="AN726" s="1531"/>
      <c r="AO726" s="1531"/>
      <c r="AP726" s="1531"/>
      <c r="AQ726" s="1531"/>
      <c r="AR726" s="1531"/>
      <c r="AS726" s="1531"/>
      <c r="AT726" s="1531"/>
      <c r="AU726" s="1531"/>
      <c r="AV726" s="1531"/>
      <c r="AW726" s="1531"/>
      <c r="AX726" s="1531"/>
      <c r="AY726" s="1531"/>
      <c r="AZ726" s="1531"/>
      <c r="BA726" s="1136"/>
      <c r="BB726" s="1136"/>
      <c r="BC726" s="1136"/>
      <c r="BD726" s="1136"/>
      <c r="BE726" s="1136"/>
      <c r="BF726" s="1136"/>
      <c r="BG726" s="1136"/>
      <c r="BH726" s="1136"/>
      <c r="BI726" s="1136"/>
      <c r="BJ726" s="1136"/>
      <c r="BK726" s="1136"/>
      <c r="BL726" s="1136"/>
      <c r="BM726" s="1568"/>
      <c r="BN726" s="1391"/>
      <c r="BO726" s="1391"/>
      <c r="BP726" s="1391"/>
      <c r="BQ726" s="1391"/>
      <c r="BR726" s="1391"/>
      <c r="BS726" s="1391"/>
      <c r="BT726" s="1391"/>
      <c r="BU726" s="1391"/>
      <c r="BV726" s="1391"/>
      <c r="BW726" s="1391"/>
      <c r="BX726" s="1391"/>
      <c r="BY726" s="1391"/>
      <c r="BZ726" s="1391"/>
      <c r="CA726" s="1391"/>
      <c r="CB726" s="1391"/>
      <c r="CC726" s="1391"/>
      <c r="CD726" s="1391"/>
      <c r="CE726" s="1391"/>
      <c r="CF726" s="1391"/>
      <c r="CG726" s="1391"/>
      <c r="CH726" s="1391"/>
      <c r="CI726" s="1391"/>
      <c r="CJ726" s="1391"/>
      <c r="CK726" s="1391"/>
      <c r="CL726" s="1391"/>
      <c r="CM726" s="1391"/>
      <c r="CN726" s="1391"/>
      <c r="CO726" s="1391"/>
      <c r="CP726" s="1391"/>
      <c r="CQ726" s="1391"/>
      <c r="CR726" s="1391"/>
      <c r="CS726" s="1391"/>
      <c r="CT726" s="1391"/>
      <c r="CU726" s="1391"/>
      <c r="CV726" s="1391"/>
      <c r="CW726" s="1391"/>
      <c r="CX726" s="1391"/>
      <c r="CY726" s="1391"/>
      <c r="CZ726" s="1391"/>
      <c r="DA726" s="1391"/>
      <c r="DB726" s="1391"/>
      <c r="DC726" s="1391"/>
      <c r="DD726" s="1391"/>
      <c r="DE726" s="1391"/>
      <c r="DF726" s="1391"/>
      <c r="DG726" s="1391"/>
      <c r="DH726" s="1391"/>
      <c r="DI726" s="1391"/>
    </row>
    <row r="727" spans="1:113" ht="15.75" x14ac:dyDescent="0.25">
      <c r="A727" s="1417" t="s">
        <v>2522</v>
      </c>
      <c r="B727" s="1585" t="e">
        <f>ROUND((1.2*(B286*100)^0.5)/100,2)</f>
        <v>#VALUE!</v>
      </c>
      <c r="C727" s="1416"/>
      <c r="D727" s="1531"/>
      <c r="E727" s="1531"/>
      <c r="F727" s="1531"/>
      <c r="G727" s="1531"/>
      <c r="H727" s="1531"/>
      <c r="I727" s="1531"/>
      <c r="J727" s="1531"/>
      <c r="K727" s="1531"/>
      <c r="L727" s="1531"/>
      <c r="M727" s="1531"/>
      <c r="N727" s="1531"/>
      <c r="O727" s="1531"/>
      <c r="P727" s="1531"/>
      <c r="Q727" s="1531"/>
      <c r="R727" s="1531"/>
      <c r="S727" s="1531"/>
      <c r="T727" s="1531"/>
      <c r="U727" s="1531"/>
      <c r="V727" s="1531"/>
      <c r="W727" s="1531"/>
      <c r="X727" s="1531"/>
      <c r="Y727" s="1531"/>
      <c r="Z727" s="1531"/>
      <c r="AA727" s="1531"/>
      <c r="AB727" s="1531"/>
      <c r="AC727" s="1531"/>
      <c r="AD727" s="1531"/>
      <c r="AE727" s="1531"/>
      <c r="AF727" s="1531"/>
      <c r="AG727" s="1531"/>
      <c r="AH727" s="1531"/>
      <c r="AI727" s="1531"/>
      <c r="AJ727" s="1531"/>
      <c r="AK727" s="1531"/>
      <c r="AL727" s="1531"/>
      <c r="AM727" s="1531"/>
      <c r="AN727" s="1531"/>
      <c r="AO727" s="1531"/>
      <c r="AP727" s="1531"/>
      <c r="AQ727" s="1531"/>
      <c r="AR727" s="1531"/>
      <c r="AS727" s="1531"/>
      <c r="AT727" s="1531"/>
      <c r="AU727" s="1531"/>
      <c r="AV727" s="1531"/>
      <c r="AW727" s="1531"/>
      <c r="AX727" s="1531"/>
      <c r="AY727" s="1531"/>
      <c r="AZ727" s="1531"/>
      <c r="BA727" s="1136"/>
      <c r="BB727" s="1136"/>
      <c r="BC727" s="1136"/>
      <c r="BD727" s="1136"/>
      <c r="BE727" s="1136"/>
      <c r="BF727" s="1136"/>
      <c r="BG727" s="1136"/>
      <c r="BH727" s="1136"/>
      <c r="BI727" s="1136"/>
      <c r="BJ727" s="1136"/>
      <c r="BK727" s="1136"/>
      <c r="BL727" s="1136"/>
      <c r="BM727" s="1568"/>
      <c r="BN727" s="1391"/>
      <c r="BO727" s="1391"/>
      <c r="BP727" s="1391"/>
      <c r="BQ727" s="1391"/>
      <c r="BR727" s="1391"/>
      <c r="BS727" s="1391"/>
      <c r="BT727" s="1391"/>
      <c r="BU727" s="1391"/>
      <c r="BV727" s="1391"/>
      <c r="BW727" s="1391"/>
      <c r="BX727" s="1391"/>
      <c r="BY727" s="1391"/>
      <c r="BZ727" s="1391"/>
      <c r="CA727" s="1391"/>
      <c r="CB727" s="1391"/>
      <c r="CC727" s="1391"/>
      <c r="CD727" s="1391"/>
      <c r="CE727" s="1391"/>
      <c r="CF727" s="1391"/>
      <c r="CG727" s="1391"/>
      <c r="CH727" s="1391"/>
      <c r="CI727" s="1391"/>
      <c r="CJ727" s="1391"/>
      <c r="CK727" s="1391"/>
      <c r="CL727" s="1391"/>
      <c r="CM727" s="1391"/>
      <c r="CN727" s="1391"/>
      <c r="CO727" s="1391"/>
      <c r="CP727" s="1391"/>
      <c r="CQ727" s="1391"/>
      <c r="CR727" s="1391"/>
      <c r="CS727" s="1391"/>
      <c r="CT727" s="1391"/>
      <c r="CU727" s="1391"/>
      <c r="CV727" s="1391"/>
      <c r="CW727" s="1391"/>
      <c r="CX727" s="1391"/>
      <c r="CY727" s="1391"/>
      <c r="CZ727" s="1391"/>
      <c r="DA727" s="1391"/>
      <c r="DB727" s="1391"/>
      <c r="DC727" s="1391"/>
      <c r="DD727" s="1391"/>
      <c r="DE727" s="1391"/>
      <c r="DF727" s="1391"/>
      <c r="DG727" s="1391"/>
      <c r="DH727" s="1391"/>
      <c r="DI727" s="1391"/>
    </row>
    <row r="728" spans="1:113" ht="15.75" x14ac:dyDescent="0.25">
      <c r="A728" s="1430" t="s">
        <v>2523</v>
      </c>
      <c r="B728" s="1428" t="e">
        <f>3.14*B727^2/4</f>
        <v>#VALUE!</v>
      </c>
      <c r="C728" s="1566"/>
      <c r="D728" s="1350"/>
      <c r="E728" s="1350"/>
      <c r="F728" s="1350"/>
      <c r="G728" s="1350"/>
      <c r="H728" s="1350"/>
      <c r="I728" s="1350"/>
      <c r="J728" s="1350"/>
      <c r="K728" s="1350"/>
      <c r="L728" s="1350"/>
      <c r="M728" s="1350"/>
      <c r="N728" s="1350"/>
      <c r="O728" s="1350"/>
      <c r="P728" s="1350"/>
      <c r="Q728" s="1350"/>
      <c r="R728" s="1350"/>
      <c r="S728" s="1531"/>
      <c r="T728" s="1531"/>
      <c r="U728" s="1531"/>
      <c r="V728" s="1531"/>
      <c r="W728" s="1531"/>
      <c r="X728" s="1531"/>
      <c r="Y728" s="1531"/>
      <c r="Z728" s="1531"/>
      <c r="AA728" s="1531"/>
      <c r="AB728" s="1531"/>
      <c r="AC728" s="1531"/>
      <c r="AD728" s="1531"/>
      <c r="AE728" s="1531"/>
      <c r="AF728" s="1531"/>
      <c r="AG728" s="1531"/>
      <c r="AH728" s="1531"/>
      <c r="AI728" s="1531"/>
      <c r="AJ728" s="1531"/>
      <c r="AK728" s="1531"/>
      <c r="AL728" s="1531"/>
      <c r="AM728" s="1531"/>
      <c r="AN728" s="1531"/>
      <c r="AO728" s="1531"/>
      <c r="AP728" s="1531"/>
      <c r="AQ728" s="1531"/>
      <c r="AR728" s="1531"/>
      <c r="AS728" s="1531"/>
      <c r="AT728" s="1531"/>
      <c r="AU728" s="1531"/>
      <c r="AV728" s="1531"/>
      <c r="AW728" s="1531"/>
      <c r="AX728" s="1531"/>
      <c r="AY728" s="1531"/>
      <c r="AZ728" s="1531"/>
      <c r="BA728" s="1136"/>
      <c r="BB728" s="1136"/>
      <c r="BC728" s="1136"/>
      <c r="BD728" s="1136"/>
      <c r="BE728" s="1136"/>
      <c r="BF728" s="1136"/>
      <c r="BG728" s="1136"/>
      <c r="BH728" s="1136"/>
      <c r="BI728" s="1136"/>
      <c r="BJ728" s="1136"/>
      <c r="BK728" s="1136"/>
      <c r="BL728" s="1136"/>
      <c r="BM728" s="1568"/>
      <c r="BN728" s="1391"/>
      <c r="BO728" s="1391"/>
      <c r="BP728" s="1391"/>
      <c r="BQ728" s="1391"/>
      <c r="BR728" s="1391"/>
      <c r="BS728" s="1391"/>
      <c r="BT728" s="1391"/>
      <c r="BU728" s="1391"/>
      <c r="BV728" s="1391"/>
      <c r="BW728" s="1391"/>
      <c r="BX728" s="1391"/>
      <c r="BY728" s="1391"/>
      <c r="BZ728" s="1391"/>
      <c r="CA728" s="1391"/>
      <c r="CB728" s="1391"/>
      <c r="CC728" s="1391"/>
      <c r="CD728" s="1391"/>
      <c r="CE728" s="1391"/>
      <c r="CF728" s="1391"/>
      <c r="CG728" s="1391"/>
      <c r="CH728" s="1391"/>
      <c r="CI728" s="1391"/>
      <c r="CJ728" s="1391"/>
      <c r="CK728" s="1391"/>
      <c r="CL728" s="1391"/>
      <c r="CM728" s="1391"/>
      <c r="CN728" s="1391"/>
      <c r="CO728" s="1391"/>
      <c r="CP728" s="1391"/>
      <c r="CQ728" s="1391"/>
      <c r="CR728" s="1391"/>
      <c r="CS728" s="1391"/>
      <c r="CT728" s="1391"/>
      <c r="CU728" s="1391"/>
      <c r="CV728" s="1391"/>
      <c r="CW728" s="1391"/>
      <c r="CX728" s="1391"/>
      <c r="CY728" s="1391"/>
      <c r="CZ728" s="1391"/>
      <c r="DA728" s="1391"/>
      <c r="DB728" s="1391"/>
      <c r="DC728" s="1391"/>
      <c r="DD728" s="1391"/>
      <c r="DE728" s="1391"/>
      <c r="DF728" s="1391"/>
      <c r="DG728" s="1391"/>
      <c r="DH728" s="1391"/>
      <c r="DI728" s="1391"/>
    </row>
    <row r="729" spans="1:113" ht="15.75" x14ac:dyDescent="0.25">
      <c r="A729" s="1430" t="s">
        <v>2524</v>
      </c>
      <c r="B729" s="1586" t="e">
        <f>B354*B344*B725</f>
        <v>#DIV/0!</v>
      </c>
      <c r="C729" s="1587"/>
      <c r="D729" s="1350"/>
      <c r="E729" s="1350"/>
      <c r="F729" s="1350"/>
      <c r="G729" s="1350"/>
      <c r="H729" s="1350"/>
      <c r="I729" s="1350"/>
      <c r="J729" s="1350"/>
      <c r="K729" s="1350"/>
      <c r="L729" s="1350"/>
      <c r="M729" s="1350"/>
      <c r="N729" s="1350"/>
      <c r="O729" s="1350"/>
      <c r="P729" s="1350"/>
      <c r="Q729" s="1350"/>
      <c r="R729" s="1350"/>
      <c r="S729" s="1531"/>
      <c r="T729" s="1531"/>
      <c r="U729" s="1531"/>
      <c r="V729" s="1531"/>
      <c r="W729" s="1531"/>
      <c r="X729" s="1531"/>
      <c r="Y729" s="1531"/>
      <c r="Z729" s="1531"/>
      <c r="AA729" s="1531"/>
      <c r="AB729" s="1531"/>
      <c r="AC729" s="1531"/>
      <c r="AD729" s="1531"/>
      <c r="AE729" s="1531"/>
      <c r="AF729" s="1531"/>
      <c r="AG729" s="1531"/>
      <c r="AH729" s="1531"/>
      <c r="AI729" s="1531"/>
      <c r="AJ729" s="1531"/>
      <c r="AK729" s="1531"/>
      <c r="AL729" s="1531"/>
      <c r="AM729" s="1531"/>
      <c r="AN729" s="1531"/>
      <c r="AO729" s="1531"/>
      <c r="AP729" s="1531"/>
      <c r="AQ729" s="1531"/>
      <c r="AR729" s="1531"/>
      <c r="AS729" s="1531"/>
      <c r="AT729" s="1531"/>
      <c r="AU729" s="1531"/>
      <c r="AV729" s="1531"/>
      <c r="AW729" s="1531"/>
      <c r="AX729" s="1531"/>
      <c r="AY729" s="1531"/>
      <c r="AZ729" s="1531"/>
      <c r="BA729" s="1136"/>
      <c r="BB729" s="1136"/>
      <c r="BC729" s="1136"/>
      <c r="BD729" s="1136"/>
      <c r="BE729" s="1136"/>
      <c r="BF729" s="1136"/>
      <c r="BG729" s="1136"/>
      <c r="BH729" s="1136"/>
      <c r="BI729" s="1136"/>
      <c r="BJ729" s="1136"/>
      <c r="BK729" s="1136"/>
      <c r="BL729" s="1136"/>
      <c r="BM729" s="1568"/>
      <c r="BN729" s="1391"/>
      <c r="BO729" s="1391"/>
      <c r="BP729" s="1391"/>
      <c r="BQ729" s="1391"/>
      <c r="BR729" s="1391"/>
      <c r="BS729" s="1391"/>
      <c r="BT729" s="1391"/>
      <c r="BU729" s="1391"/>
      <c r="BV729" s="1391"/>
      <c r="BW729" s="1391"/>
      <c r="BX729" s="1391"/>
      <c r="BY729" s="1391"/>
      <c r="BZ729" s="1391"/>
      <c r="CA729" s="1391"/>
      <c r="CB729" s="1391"/>
      <c r="CC729" s="1391"/>
      <c r="CD729" s="1391"/>
      <c r="CE729" s="1391"/>
      <c r="CF729" s="1391"/>
      <c r="CG729" s="1391"/>
      <c r="CH729" s="1391"/>
      <c r="CI729" s="1391"/>
      <c r="CJ729" s="1391"/>
      <c r="CK729" s="1391"/>
      <c r="CL729" s="1391"/>
      <c r="CM729" s="1391"/>
      <c r="CN729" s="1391"/>
      <c r="CO729" s="1391"/>
      <c r="CP729" s="1391"/>
      <c r="CQ729" s="1391"/>
      <c r="CR729" s="1391"/>
      <c r="CS729" s="1391"/>
      <c r="CT729" s="1391"/>
      <c r="CU729" s="1391"/>
      <c r="CV729" s="1391"/>
      <c r="CW729" s="1391"/>
      <c r="CX729" s="1391"/>
      <c r="CY729" s="1391"/>
      <c r="CZ729" s="1391"/>
      <c r="DA729" s="1391"/>
      <c r="DB729" s="1391"/>
      <c r="DC729" s="1391"/>
      <c r="DD729" s="1391"/>
      <c r="DE729" s="1391"/>
      <c r="DF729" s="1391"/>
      <c r="DG729" s="1391"/>
      <c r="DH729" s="1391"/>
      <c r="DI729" s="1391"/>
    </row>
    <row r="730" spans="1:113" ht="15.75" x14ac:dyDescent="0.25">
      <c r="A730" s="1430" t="s">
        <v>2525</v>
      </c>
      <c r="B730" s="1588" t="e">
        <f>B411*B417*B725</f>
        <v>#REF!</v>
      </c>
      <c r="C730" s="1589"/>
      <c r="D730" s="1350"/>
      <c r="E730" s="1350"/>
      <c r="F730" s="1350"/>
      <c r="G730" s="1350"/>
      <c r="H730" s="1350"/>
      <c r="I730" s="1350"/>
      <c r="J730" s="1350"/>
      <c r="K730" s="1350"/>
      <c r="L730" s="1350"/>
      <c r="M730" s="1350"/>
      <c r="N730" s="1350"/>
      <c r="O730" s="1350"/>
      <c r="P730" s="1350"/>
      <c r="Q730" s="1350"/>
      <c r="R730" s="1350"/>
      <c r="S730" s="1531"/>
      <c r="T730" s="1531"/>
      <c r="U730" s="1531"/>
      <c r="V730" s="1531"/>
      <c r="W730" s="1531"/>
      <c r="X730" s="1531"/>
      <c r="Y730" s="1531"/>
      <c r="Z730" s="1531"/>
      <c r="AA730" s="1531"/>
      <c r="AB730" s="1531"/>
      <c r="AC730" s="1531"/>
      <c r="AD730" s="1531"/>
      <c r="AE730" s="1531"/>
      <c r="AF730" s="1531"/>
      <c r="AG730" s="1531"/>
      <c r="AH730" s="1531"/>
      <c r="AI730" s="1531"/>
      <c r="AJ730" s="1531"/>
      <c r="AK730" s="1531"/>
      <c r="AL730" s="1531"/>
      <c r="AM730" s="1531"/>
      <c r="AN730" s="1531"/>
      <c r="AO730" s="1531"/>
      <c r="AP730" s="1531"/>
      <c r="AQ730" s="1531"/>
      <c r="AR730" s="1531"/>
      <c r="AS730" s="1531"/>
      <c r="AT730" s="1531"/>
      <c r="AU730" s="1531"/>
      <c r="AV730" s="1531"/>
      <c r="AW730" s="1531"/>
      <c r="AX730" s="1531"/>
      <c r="AY730" s="1531"/>
      <c r="AZ730" s="1531"/>
      <c r="BA730" s="1136"/>
      <c r="BB730" s="1136"/>
      <c r="BC730" s="1136"/>
      <c r="BD730" s="1136"/>
      <c r="BE730" s="1136"/>
      <c r="BF730" s="1136"/>
      <c r="BG730" s="1136"/>
      <c r="BH730" s="1136"/>
      <c r="BI730" s="1136"/>
      <c r="BJ730" s="1136"/>
      <c r="BK730" s="1136"/>
      <c r="BL730" s="1136"/>
      <c r="BM730" s="1568"/>
      <c r="BN730" s="1391"/>
      <c r="BO730" s="1391"/>
      <c r="BP730" s="1391"/>
      <c r="BQ730" s="1391"/>
      <c r="BR730" s="1391"/>
      <c r="BS730" s="1391"/>
      <c r="BT730" s="1391"/>
      <c r="BU730" s="1391"/>
      <c r="BV730" s="1391"/>
      <c r="BW730" s="1391"/>
      <c r="BX730" s="1391"/>
      <c r="BY730" s="1391"/>
      <c r="BZ730" s="1391"/>
      <c r="CA730" s="1391"/>
      <c r="CB730" s="1391"/>
      <c r="CC730" s="1391"/>
      <c r="CD730" s="1391"/>
      <c r="CE730" s="1391"/>
      <c r="CF730" s="1391"/>
      <c r="CG730" s="1391"/>
      <c r="CH730" s="1391"/>
      <c r="CI730" s="1391"/>
      <c r="CJ730" s="1391"/>
      <c r="CK730" s="1391"/>
      <c r="CL730" s="1391"/>
      <c r="CM730" s="1391"/>
      <c r="CN730" s="1391"/>
      <c r="CO730" s="1391"/>
      <c r="CP730" s="1391"/>
      <c r="CQ730" s="1391"/>
      <c r="CR730" s="1391"/>
      <c r="CS730" s="1391"/>
      <c r="CT730" s="1391"/>
      <c r="CU730" s="1391"/>
      <c r="CV730" s="1391"/>
      <c r="CW730" s="1391"/>
      <c r="CX730" s="1391"/>
      <c r="CY730" s="1391"/>
      <c r="CZ730" s="1391"/>
      <c r="DA730" s="1391"/>
      <c r="DB730" s="1391"/>
      <c r="DC730" s="1391"/>
      <c r="DD730" s="1391"/>
      <c r="DE730" s="1391"/>
      <c r="DF730" s="1391"/>
      <c r="DG730" s="1391"/>
      <c r="DH730" s="1391"/>
      <c r="DI730" s="1391"/>
    </row>
    <row r="731" spans="1:113" ht="31.5" x14ac:dyDescent="0.25">
      <c r="A731" s="1444" t="s">
        <v>2526</v>
      </c>
      <c r="B731" s="1439" t="e">
        <f>B394*B286*B728</f>
        <v>#DIV/0!</v>
      </c>
      <c r="C731" s="1562"/>
      <c r="D731" s="1465"/>
      <c r="E731" s="1465"/>
      <c r="F731" s="1465"/>
      <c r="G731" s="1465"/>
      <c r="H731" s="1350"/>
      <c r="I731" s="1350"/>
      <c r="J731" s="1350"/>
      <c r="K731" s="1350"/>
      <c r="L731" s="1350"/>
      <c r="M731" s="1350"/>
      <c r="N731" s="1350"/>
      <c r="O731" s="1350"/>
      <c r="P731" s="1350"/>
      <c r="Q731" s="1350"/>
      <c r="R731" s="1350"/>
      <c r="S731" s="1531"/>
      <c r="T731" s="1531"/>
      <c r="U731" s="1531"/>
      <c r="V731" s="1531"/>
      <c r="W731" s="1531"/>
      <c r="X731" s="1531"/>
      <c r="Y731" s="1531"/>
      <c r="Z731" s="1531"/>
      <c r="AA731" s="1531"/>
      <c r="AB731" s="1531"/>
      <c r="AC731" s="1531"/>
      <c r="AD731" s="1531"/>
      <c r="AE731" s="1531"/>
      <c r="AF731" s="1531"/>
      <c r="AG731" s="1531"/>
      <c r="AH731" s="1531"/>
      <c r="AI731" s="1531"/>
      <c r="AJ731" s="1531"/>
      <c r="AK731" s="1531"/>
      <c r="AL731" s="1531"/>
      <c r="AM731" s="1531"/>
      <c r="AN731" s="1531"/>
      <c r="AO731" s="1531"/>
      <c r="AP731" s="1531"/>
      <c r="AQ731" s="1531"/>
      <c r="AR731" s="1531"/>
      <c r="AS731" s="1531"/>
      <c r="AT731" s="1531"/>
      <c r="AU731" s="1531"/>
      <c r="AV731" s="1531"/>
      <c r="AW731" s="1531"/>
      <c r="AX731" s="1531"/>
      <c r="AY731" s="1531"/>
      <c r="AZ731" s="1531"/>
      <c r="BA731" s="1136"/>
      <c r="BB731" s="1136"/>
      <c r="BC731" s="1136"/>
      <c r="BD731" s="1136"/>
      <c r="BE731" s="1136"/>
      <c r="BF731" s="1136"/>
      <c r="BG731" s="1136"/>
      <c r="BH731" s="1136"/>
      <c r="BI731" s="1136"/>
      <c r="BJ731" s="1136"/>
      <c r="BK731" s="1136"/>
      <c r="BL731" s="1136"/>
      <c r="BM731" s="1568"/>
      <c r="BN731" s="1391"/>
      <c r="BO731" s="1391"/>
      <c r="BP731" s="1391"/>
      <c r="BQ731" s="1391"/>
      <c r="BR731" s="1391"/>
      <c r="BS731" s="1391"/>
      <c r="BT731" s="1391"/>
      <c r="BU731" s="1391"/>
      <c r="BV731" s="1391"/>
      <c r="BW731" s="1391"/>
      <c r="BX731" s="1391"/>
      <c r="BY731" s="1391"/>
      <c r="BZ731" s="1391"/>
      <c r="CA731" s="1391"/>
      <c r="CB731" s="1391"/>
      <c r="CC731" s="1391"/>
      <c r="CD731" s="1391"/>
      <c r="CE731" s="1391"/>
      <c r="CF731" s="1391"/>
      <c r="CG731" s="1391"/>
      <c r="CH731" s="1391"/>
      <c r="CI731" s="1391"/>
      <c r="CJ731" s="1391"/>
      <c r="CK731" s="1391"/>
      <c r="CL731" s="1391"/>
      <c r="CM731" s="1391"/>
      <c r="CN731" s="1391"/>
      <c r="CO731" s="1391"/>
      <c r="CP731" s="1391"/>
      <c r="CQ731" s="1391"/>
      <c r="CR731" s="1391"/>
      <c r="CS731" s="1391"/>
      <c r="CT731" s="1391"/>
      <c r="CU731" s="1391"/>
      <c r="CV731" s="1391"/>
      <c r="CW731" s="1391"/>
      <c r="CX731" s="1391"/>
      <c r="CY731" s="1391"/>
      <c r="CZ731" s="1391"/>
      <c r="DA731" s="1391"/>
      <c r="DB731" s="1391"/>
      <c r="DC731" s="1391"/>
      <c r="DD731" s="1391"/>
      <c r="DE731" s="1391"/>
      <c r="DF731" s="1391"/>
      <c r="DG731" s="1391"/>
      <c r="DH731" s="1391"/>
      <c r="DI731" s="1391"/>
    </row>
    <row r="732" spans="1:113" ht="31.5" x14ac:dyDescent="0.25">
      <c r="A732" s="1420" t="s">
        <v>3328</v>
      </c>
      <c r="B732" s="1439" t="e">
        <f>B454*B286*B728</f>
        <v>#REF!</v>
      </c>
      <c r="C732" s="1562"/>
      <c r="D732" s="1416"/>
      <c r="E732" s="1416"/>
      <c r="F732" s="1416"/>
      <c r="G732" s="1416"/>
      <c r="H732" s="1350"/>
      <c r="I732" s="1350"/>
      <c r="J732" s="1350"/>
      <c r="K732" s="1350"/>
      <c r="L732" s="1350"/>
      <c r="M732" s="1350"/>
      <c r="N732" s="1350"/>
      <c r="O732" s="1350"/>
      <c r="P732" s="1350"/>
      <c r="Q732" s="1350"/>
      <c r="R732" s="1350"/>
      <c r="S732" s="1531"/>
      <c r="T732" s="1531"/>
      <c r="U732" s="1531"/>
      <c r="V732" s="1531"/>
      <c r="W732" s="1531"/>
      <c r="X732" s="1531"/>
      <c r="Y732" s="1531"/>
      <c r="Z732" s="1531"/>
      <c r="AA732" s="1531"/>
      <c r="AB732" s="1531"/>
      <c r="AC732" s="1531"/>
      <c r="AD732" s="1531"/>
      <c r="AE732" s="1531"/>
      <c r="AF732" s="1531"/>
      <c r="AG732" s="1531"/>
      <c r="AH732" s="1531"/>
      <c r="AI732" s="1531"/>
      <c r="AJ732" s="1531"/>
      <c r="AK732" s="1531"/>
      <c r="AL732" s="1531"/>
      <c r="AM732" s="1531"/>
      <c r="AN732" s="1531"/>
      <c r="AO732" s="1531"/>
      <c r="AP732" s="1531"/>
      <c r="AQ732" s="1531"/>
      <c r="AR732" s="1531"/>
      <c r="AS732" s="1531"/>
      <c r="AT732" s="1531"/>
      <c r="AU732" s="1531"/>
      <c r="AV732" s="1531"/>
      <c r="AW732" s="1531"/>
      <c r="AX732" s="1531"/>
      <c r="AY732" s="1531"/>
      <c r="AZ732" s="1531"/>
      <c r="BA732" s="1136"/>
      <c r="BB732" s="1136"/>
      <c r="BC732" s="1136"/>
      <c r="BD732" s="1136"/>
      <c r="BE732" s="1136"/>
      <c r="BF732" s="1136"/>
      <c r="BG732" s="1136"/>
      <c r="BH732" s="1136"/>
      <c r="BI732" s="1136"/>
      <c r="BJ732" s="1136"/>
      <c r="BK732" s="1136"/>
      <c r="BL732" s="1136"/>
      <c r="BM732" s="1568"/>
      <c r="BN732" s="1391"/>
      <c r="BO732" s="1391"/>
      <c r="BP732" s="1391"/>
      <c r="BQ732" s="1391"/>
      <c r="BR732" s="1391"/>
      <c r="BS732" s="1391"/>
      <c r="BT732" s="1391"/>
      <c r="BU732" s="1391"/>
      <c r="BV732" s="1391"/>
      <c r="BW732" s="1391"/>
      <c r="BX732" s="1391"/>
      <c r="BY732" s="1391"/>
      <c r="BZ732" s="1391"/>
      <c r="CA732" s="1391"/>
      <c r="CB732" s="1391"/>
      <c r="CC732" s="1391"/>
      <c r="CD732" s="1391"/>
      <c r="CE732" s="1391"/>
      <c r="CF732" s="1391"/>
      <c r="CG732" s="1391"/>
      <c r="CH732" s="1391"/>
      <c r="CI732" s="1391"/>
      <c r="CJ732" s="1391"/>
      <c r="CK732" s="1391"/>
      <c r="CL732" s="1391"/>
      <c r="CM732" s="1391"/>
      <c r="CN732" s="1391"/>
      <c r="CO732" s="1391"/>
      <c r="CP732" s="1391"/>
      <c r="CQ732" s="1391"/>
      <c r="CR732" s="1391"/>
      <c r="CS732" s="1391"/>
      <c r="CT732" s="1391"/>
      <c r="CU732" s="1391"/>
      <c r="CV732" s="1391"/>
      <c r="CW732" s="1391"/>
      <c r="CX732" s="1391"/>
      <c r="CY732" s="1391"/>
      <c r="CZ732" s="1391"/>
      <c r="DA732" s="1391"/>
      <c r="DB732" s="1391"/>
      <c r="DC732" s="1391"/>
      <c r="DD732" s="1391"/>
      <c r="DE732" s="1391"/>
      <c r="DF732" s="1391"/>
      <c r="DG732" s="1391"/>
      <c r="DH732" s="1391"/>
      <c r="DI732" s="1391"/>
    </row>
    <row r="733" spans="1:113" ht="15.75" x14ac:dyDescent="0.25">
      <c r="A733" s="1430" t="s">
        <v>3329</v>
      </c>
      <c r="B733" s="1588" t="e">
        <f>B472*B474*B727</f>
        <v>#VALUE!</v>
      </c>
      <c r="C733" s="1589"/>
      <c r="D733" s="1531"/>
      <c r="E733" s="1531"/>
      <c r="F733" s="1531"/>
      <c r="G733" s="1531"/>
      <c r="H733" s="1531"/>
      <c r="I733" s="1531"/>
      <c r="J733" s="1531"/>
      <c r="K733" s="1531"/>
      <c r="L733" s="1531"/>
      <c r="M733" s="1531"/>
      <c r="N733" s="1531"/>
      <c r="O733" s="1531"/>
      <c r="P733" s="1531"/>
      <c r="Q733" s="1531"/>
      <c r="R733" s="1531"/>
      <c r="S733" s="1531"/>
      <c r="T733" s="1531"/>
      <c r="U733" s="1531"/>
      <c r="V733" s="1531"/>
      <c r="W733" s="1531"/>
      <c r="X733" s="1531"/>
      <c r="Y733" s="1531"/>
      <c r="Z733" s="1531"/>
      <c r="AA733" s="1531"/>
      <c r="AB733" s="1531"/>
      <c r="AC733" s="1531"/>
      <c r="AD733" s="1531"/>
      <c r="AE733" s="1531"/>
      <c r="AF733" s="1531"/>
      <c r="AG733" s="1531"/>
      <c r="AH733" s="1531"/>
      <c r="AI733" s="1531"/>
      <c r="AJ733" s="1531"/>
      <c r="AK733" s="1531"/>
      <c r="AL733" s="1531"/>
      <c r="AM733" s="1531"/>
      <c r="AN733" s="1531"/>
      <c r="AO733" s="1531"/>
      <c r="AP733" s="1531"/>
      <c r="AQ733" s="1531"/>
      <c r="AR733" s="1531"/>
      <c r="AS733" s="1531"/>
      <c r="AT733" s="1531"/>
      <c r="AU733" s="1531"/>
      <c r="AV733" s="1531"/>
      <c r="AW733" s="1531"/>
      <c r="AX733" s="1531"/>
      <c r="AY733" s="1531"/>
      <c r="AZ733" s="1531"/>
      <c r="BA733" s="1136"/>
      <c r="BB733" s="1136"/>
      <c r="BC733" s="1136"/>
      <c r="BD733" s="1136"/>
      <c r="BE733" s="1136"/>
      <c r="BF733" s="1136"/>
      <c r="BG733" s="1136"/>
      <c r="BH733" s="1136"/>
      <c r="BI733" s="1136"/>
      <c r="BJ733" s="1136"/>
      <c r="BK733" s="1136"/>
      <c r="BL733" s="1136"/>
      <c r="BM733" s="1568"/>
      <c r="BN733" s="1391"/>
      <c r="BO733" s="1391"/>
      <c r="BP733" s="1391"/>
      <c r="BQ733" s="1391"/>
      <c r="BR733" s="1391"/>
      <c r="BS733" s="1391"/>
      <c r="BT733" s="1391"/>
      <c r="BU733" s="1391"/>
      <c r="BV733" s="1391"/>
      <c r="BW733" s="1391"/>
      <c r="BX733" s="1391"/>
      <c r="BY733" s="1391"/>
      <c r="BZ733" s="1391"/>
      <c r="CA733" s="1391"/>
      <c r="CB733" s="1391"/>
      <c r="CC733" s="1391"/>
      <c r="CD733" s="1391"/>
      <c r="CE733" s="1391"/>
      <c r="CF733" s="1391"/>
      <c r="CG733" s="1391"/>
      <c r="CH733" s="1391"/>
      <c r="CI733" s="1391"/>
      <c r="CJ733" s="1391"/>
      <c r="CK733" s="1391"/>
      <c r="CL733" s="1391"/>
      <c r="CM733" s="1391"/>
      <c r="CN733" s="1391"/>
      <c r="CO733" s="1391"/>
      <c r="CP733" s="1391"/>
      <c r="CQ733" s="1391"/>
      <c r="CR733" s="1391"/>
      <c r="CS733" s="1391"/>
      <c r="CT733" s="1391"/>
      <c r="CU733" s="1391"/>
      <c r="CV733" s="1391"/>
      <c r="CW733" s="1391"/>
      <c r="CX733" s="1391"/>
      <c r="CY733" s="1391"/>
      <c r="CZ733" s="1391"/>
      <c r="DA733" s="1391"/>
      <c r="DB733" s="1391"/>
      <c r="DC733" s="1391"/>
      <c r="DD733" s="1391"/>
      <c r="DE733" s="1391"/>
      <c r="DF733" s="1391"/>
      <c r="DG733" s="1391"/>
      <c r="DH733" s="1391"/>
      <c r="DI733" s="1391"/>
    </row>
    <row r="734" spans="1:113" ht="15.75" x14ac:dyDescent="0.25">
      <c r="A734" s="1420" t="s">
        <v>3330</v>
      </c>
      <c r="B734" s="1439" t="e">
        <f>B729+B730+B731+B733+B732</f>
        <v>#DIV/0!</v>
      </c>
      <c r="C734" s="1562"/>
      <c r="D734" s="1416"/>
      <c r="E734" s="1416"/>
      <c r="F734" s="1416"/>
      <c r="G734" s="1416"/>
      <c r="H734" s="1531"/>
      <c r="I734" s="1531"/>
      <c r="J734" s="1531"/>
      <c r="K734" s="1531"/>
      <c r="L734" s="1531"/>
      <c r="M734" s="1531"/>
      <c r="N734" s="1531"/>
      <c r="O734" s="1531"/>
      <c r="P734" s="1531"/>
      <c r="Q734" s="1531"/>
      <c r="R734" s="1531"/>
      <c r="S734" s="1531"/>
      <c r="T734" s="1531"/>
      <c r="U734" s="1531"/>
      <c r="V734" s="1531"/>
      <c r="W734" s="1531"/>
      <c r="X734" s="1531"/>
      <c r="Y734" s="1531"/>
      <c r="Z734" s="1531"/>
      <c r="AA734" s="1531"/>
      <c r="AB734" s="1531"/>
      <c r="AC734" s="1531"/>
      <c r="AD734" s="1531"/>
      <c r="AE734" s="1531"/>
      <c r="AF734" s="1531"/>
      <c r="AG734" s="1531"/>
      <c r="AH734" s="1531"/>
      <c r="AI734" s="1531"/>
      <c r="AJ734" s="1531"/>
      <c r="AK734" s="1531"/>
      <c r="AL734" s="1531"/>
      <c r="AM734" s="1531"/>
      <c r="AN734" s="1531"/>
      <c r="AO734" s="1531"/>
      <c r="AP734" s="1531"/>
      <c r="AQ734" s="1531"/>
      <c r="AR734" s="1531"/>
      <c r="AS734" s="1531"/>
      <c r="AT734" s="1531"/>
      <c r="AU734" s="1531"/>
      <c r="AV734" s="1531"/>
      <c r="AW734" s="1531"/>
      <c r="AX734" s="1531"/>
      <c r="AY734" s="1531"/>
      <c r="AZ734" s="1531"/>
      <c r="BA734" s="1136"/>
      <c r="BB734" s="1136"/>
      <c r="BC734" s="1136"/>
      <c r="BD734" s="1136"/>
      <c r="BE734" s="1136"/>
      <c r="BF734" s="1136"/>
      <c r="BG734" s="1136"/>
      <c r="BH734" s="1136"/>
      <c r="BI734" s="1136"/>
      <c r="BJ734" s="1136"/>
      <c r="BK734" s="1136"/>
      <c r="BL734" s="1136"/>
      <c r="BM734" s="1568"/>
      <c r="BN734" s="1391"/>
      <c r="BO734" s="1391"/>
      <c r="BP734" s="1391"/>
      <c r="BQ734" s="1391"/>
      <c r="BR734" s="1391"/>
      <c r="BS734" s="1391"/>
      <c r="BT734" s="1391"/>
      <c r="BU734" s="1391"/>
      <c r="BV734" s="1391"/>
      <c r="BW734" s="1391"/>
      <c r="BX734" s="1391"/>
      <c r="BY734" s="1391"/>
      <c r="BZ734" s="1391"/>
      <c r="CA734" s="1391"/>
      <c r="CB734" s="1391"/>
      <c r="CC734" s="1391"/>
      <c r="CD734" s="1391"/>
      <c r="CE734" s="1391"/>
      <c r="CF734" s="1391"/>
      <c r="CG734" s="1391"/>
      <c r="CH734" s="1391"/>
      <c r="CI734" s="1391"/>
      <c r="CJ734" s="1391"/>
      <c r="CK734" s="1391"/>
      <c r="CL734" s="1391"/>
      <c r="CM734" s="1391"/>
      <c r="CN734" s="1391"/>
      <c r="CO734" s="1391"/>
      <c r="CP734" s="1391"/>
      <c r="CQ734" s="1391"/>
      <c r="CR734" s="1391"/>
      <c r="CS734" s="1391"/>
      <c r="CT734" s="1391"/>
      <c r="CU734" s="1391"/>
      <c r="CV734" s="1391"/>
      <c r="CW734" s="1391"/>
      <c r="CX734" s="1391"/>
      <c r="CY734" s="1391"/>
      <c r="CZ734" s="1391"/>
      <c r="DA734" s="1391"/>
      <c r="DB734" s="1391"/>
      <c r="DC734" s="1391"/>
      <c r="DD734" s="1391"/>
      <c r="DE734" s="1391"/>
      <c r="DF734" s="1391"/>
      <c r="DG734" s="1391"/>
      <c r="DH734" s="1391"/>
      <c r="DI734" s="1391"/>
    </row>
    <row r="735" spans="1:113" ht="15.75" x14ac:dyDescent="0.25">
      <c r="A735" s="1471" t="s">
        <v>3331</v>
      </c>
      <c r="B735" s="1469">
        <v>300</v>
      </c>
      <c r="C735" s="1470"/>
      <c r="D735" s="1566"/>
      <c r="E735" s="1566"/>
      <c r="F735" s="1566"/>
      <c r="G735" s="1566"/>
      <c r="H735" s="1531"/>
      <c r="I735" s="1531"/>
      <c r="J735" s="1531"/>
      <c r="K735" s="1531"/>
      <c r="L735" s="1531"/>
      <c r="M735" s="1531"/>
      <c r="N735" s="1531"/>
      <c r="O735" s="1531"/>
      <c r="P735" s="1531"/>
      <c r="Q735" s="1531"/>
      <c r="R735" s="1531"/>
      <c r="S735" s="1531"/>
      <c r="T735" s="1531"/>
      <c r="U735" s="1531"/>
      <c r="V735" s="1531"/>
      <c r="W735" s="1531"/>
      <c r="X735" s="1531"/>
      <c r="Y735" s="1531"/>
      <c r="Z735" s="1531"/>
      <c r="AA735" s="1531"/>
      <c r="AB735" s="1531"/>
      <c r="AC735" s="1531"/>
      <c r="AD735" s="1531"/>
      <c r="AE735" s="1531"/>
      <c r="AF735" s="1531"/>
      <c r="AG735" s="1531"/>
      <c r="AH735" s="1531"/>
      <c r="AI735" s="1531"/>
      <c r="AJ735" s="1531"/>
      <c r="AK735" s="1531"/>
      <c r="AL735" s="1531"/>
      <c r="AM735" s="1531"/>
      <c r="AN735" s="1531"/>
      <c r="AO735" s="1531"/>
      <c r="AP735" s="1531"/>
      <c r="AQ735" s="1531"/>
      <c r="AR735" s="1531"/>
      <c r="AS735" s="1531"/>
      <c r="AT735" s="1531"/>
      <c r="AU735" s="1531"/>
      <c r="AV735" s="1531"/>
      <c r="AW735" s="1531"/>
      <c r="AX735" s="1531"/>
      <c r="AY735" s="1531"/>
      <c r="AZ735" s="1531"/>
      <c r="BA735" s="1136"/>
      <c r="BB735" s="1136"/>
      <c r="BC735" s="1136"/>
      <c r="BD735" s="1136"/>
      <c r="BE735" s="1136"/>
      <c r="BF735" s="1136"/>
      <c r="BG735" s="1136"/>
      <c r="BH735" s="1136"/>
      <c r="BI735" s="1136"/>
      <c r="BJ735" s="1136"/>
      <c r="BK735" s="1136"/>
      <c r="BL735" s="1136"/>
      <c r="BM735" s="1568"/>
      <c r="BN735" s="1391"/>
      <c r="BO735" s="1391"/>
      <c r="BP735" s="1391"/>
      <c r="BQ735" s="1391"/>
      <c r="BR735" s="1391"/>
      <c r="BS735" s="1391"/>
      <c r="BT735" s="1391"/>
      <c r="BU735" s="1391"/>
      <c r="BV735" s="1391"/>
      <c r="BW735" s="1391"/>
      <c r="BX735" s="1391"/>
      <c r="BY735" s="1391"/>
      <c r="BZ735" s="1391"/>
      <c r="CA735" s="1391"/>
      <c r="CB735" s="1391"/>
      <c r="CC735" s="1391"/>
      <c r="CD735" s="1391"/>
      <c r="CE735" s="1391"/>
      <c r="CF735" s="1391"/>
      <c r="CG735" s="1391"/>
      <c r="CH735" s="1391"/>
      <c r="CI735" s="1391"/>
      <c r="CJ735" s="1391"/>
      <c r="CK735" s="1391"/>
      <c r="CL735" s="1391"/>
      <c r="CM735" s="1391"/>
      <c r="CN735" s="1391"/>
      <c r="CO735" s="1391"/>
      <c r="CP735" s="1391"/>
      <c r="CQ735" s="1391"/>
      <c r="CR735" s="1391"/>
      <c r="CS735" s="1391"/>
      <c r="CT735" s="1391"/>
      <c r="CU735" s="1391"/>
      <c r="CV735" s="1391"/>
      <c r="CW735" s="1391"/>
      <c r="CX735" s="1391"/>
      <c r="CY735" s="1391"/>
      <c r="CZ735" s="1391"/>
      <c r="DA735" s="1391"/>
      <c r="DB735" s="1391"/>
      <c r="DC735" s="1391"/>
      <c r="DD735" s="1391"/>
      <c r="DE735" s="1391"/>
      <c r="DF735" s="1391"/>
      <c r="DG735" s="1391"/>
      <c r="DH735" s="1391"/>
      <c r="DI735" s="1391"/>
    </row>
    <row r="736" spans="1:113" ht="15.75" x14ac:dyDescent="0.25">
      <c r="A736" s="1420" t="s">
        <v>3332</v>
      </c>
      <c r="B736" s="1433" t="e">
        <f>B734*B735</f>
        <v>#DIV/0!</v>
      </c>
      <c r="C736" s="1437"/>
      <c r="D736" s="1587"/>
      <c r="E736" s="1587"/>
      <c r="F736" s="1587"/>
      <c r="G736" s="1587"/>
      <c r="H736" s="1531"/>
      <c r="I736" s="1531"/>
      <c r="J736" s="1531"/>
      <c r="K736" s="1531"/>
      <c r="L736" s="1531"/>
      <c r="M736" s="1531"/>
      <c r="N736" s="1531"/>
      <c r="O736" s="1531"/>
      <c r="P736" s="1531"/>
      <c r="Q736" s="1531"/>
      <c r="R736" s="1531"/>
      <c r="S736" s="1531"/>
      <c r="T736" s="1531"/>
      <c r="U736" s="1531"/>
      <c r="V736" s="1531"/>
      <c r="W736" s="1531"/>
      <c r="X736" s="1531"/>
      <c r="Y736" s="1531"/>
      <c r="Z736" s="1531"/>
      <c r="AA736" s="1531"/>
      <c r="AB736" s="1531"/>
      <c r="AC736" s="1531"/>
      <c r="AD736" s="1531"/>
      <c r="AE736" s="1531"/>
      <c r="AF736" s="1531"/>
      <c r="AG736" s="1531"/>
      <c r="AH736" s="1531"/>
      <c r="AI736" s="1531"/>
      <c r="AJ736" s="1531"/>
      <c r="AK736" s="1531"/>
      <c r="AL736" s="1531"/>
      <c r="AM736" s="1531"/>
      <c r="AN736" s="1531"/>
      <c r="AO736" s="1531"/>
      <c r="AP736" s="1531"/>
      <c r="AQ736" s="1531"/>
      <c r="AR736" s="1531"/>
      <c r="AS736" s="1531"/>
      <c r="AT736" s="1531"/>
      <c r="AU736" s="1531"/>
      <c r="AV736" s="1531"/>
      <c r="AW736" s="1531"/>
      <c r="AX736" s="1531"/>
      <c r="AY736" s="1531"/>
      <c r="AZ736" s="1531"/>
      <c r="BA736" s="1136"/>
      <c r="BB736" s="1136"/>
      <c r="BC736" s="1136"/>
      <c r="BD736" s="1136"/>
      <c r="BE736" s="1136"/>
      <c r="BF736" s="1136"/>
      <c r="BG736" s="1136"/>
      <c r="BH736" s="1136"/>
      <c r="BI736" s="1136"/>
      <c r="BJ736" s="1136"/>
      <c r="BK736" s="1136"/>
      <c r="BL736" s="1136"/>
      <c r="BM736" s="1568"/>
      <c r="BN736" s="1391"/>
      <c r="BO736" s="1391"/>
      <c r="BP736" s="1391"/>
      <c r="BQ736" s="1391"/>
      <c r="BR736" s="1391"/>
      <c r="BS736" s="1391"/>
      <c r="BT736" s="1391"/>
      <c r="BU736" s="1391"/>
      <c r="BV736" s="1391"/>
      <c r="BW736" s="1391"/>
      <c r="BX736" s="1391"/>
      <c r="BY736" s="1391"/>
      <c r="BZ736" s="1391"/>
      <c r="CA736" s="1391"/>
      <c r="CB736" s="1391"/>
      <c r="CC736" s="1391"/>
      <c r="CD736" s="1391"/>
      <c r="CE736" s="1391"/>
      <c r="CF736" s="1391"/>
      <c r="CG736" s="1391"/>
      <c r="CH736" s="1391"/>
      <c r="CI736" s="1391"/>
      <c r="CJ736" s="1391"/>
      <c r="CK736" s="1391"/>
      <c r="CL736" s="1391"/>
      <c r="CM736" s="1391"/>
      <c r="CN736" s="1391"/>
      <c r="CO736" s="1391"/>
      <c r="CP736" s="1391"/>
      <c r="CQ736" s="1391"/>
      <c r="CR736" s="1391"/>
      <c r="CS736" s="1391"/>
      <c r="CT736" s="1391"/>
      <c r="CU736" s="1391"/>
      <c r="CV736" s="1391"/>
      <c r="CW736" s="1391"/>
      <c r="CX736" s="1391"/>
      <c r="CY736" s="1391"/>
      <c r="CZ736" s="1391"/>
      <c r="DA736" s="1391"/>
      <c r="DB736" s="1391"/>
      <c r="DC736" s="1391"/>
      <c r="DD736" s="1391"/>
      <c r="DE736" s="1391"/>
      <c r="DF736" s="1391"/>
      <c r="DG736" s="1391"/>
      <c r="DH736" s="1391"/>
      <c r="DI736" s="1391"/>
    </row>
    <row r="737" spans="1:113" ht="15.75" x14ac:dyDescent="0.25">
      <c r="A737" s="1452" t="s">
        <v>3333</v>
      </c>
      <c r="B737" s="1571">
        <f>IF(B323=0,B736,0)</f>
        <v>0</v>
      </c>
      <c r="C737" s="1572"/>
      <c r="D737" s="1589"/>
      <c r="E737" s="1589"/>
      <c r="F737" s="1589"/>
      <c r="G737" s="1589"/>
      <c r="H737" s="1531"/>
      <c r="I737" s="1531"/>
      <c r="J737" s="1531"/>
      <c r="K737" s="1531"/>
      <c r="L737" s="1531"/>
      <c r="M737" s="1531"/>
      <c r="N737" s="1531"/>
      <c r="O737" s="1531"/>
      <c r="P737" s="1531"/>
      <c r="Q737" s="1531"/>
      <c r="R737" s="1531"/>
      <c r="S737" s="1531"/>
      <c r="T737" s="1531"/>
      <c r="U737" s="1531"/>
      <c r="V737" s="1531"/>
      <c r="W737" s="1531"/>
      <c r="X737" s="1531"/>
      <c r="Y737" s="1531"/>
      <c r="Z737" s="1531"/>
      <c r="AA737" s="1531"/>
      <c r="AB737" s="1531"/>
      <c r="AC737" s="1531"/>
      <c r="AD737" s="1531"/>
      <c r="AE737" s="1531"/>
      <c r="AF737" s="1531"/>
      <c r="AG737" s="1531"/>
      <c r="AH737" s="1531"/>
      <c r="AI737" s="1531"/>
      <c r="AJ737" s="1531"/>
      <c r="AK737" s="1531"/>
      <c r="AL737" s="1531"/>
      <c r="AM737" s="1531"/>
      <c r="AN737" s="1531"/>
      <c r="AO737" s="1531"/>
      <c r="AP737" s="1531"/>
      <c r="AQ737" s="1531"/>
      <c r="AR737" s="1531"/>
      <c r="AS737" s="1531"/>
      <c r="AT737" s="1531"/>
      <c r="AU737" s="1531"/>
      <c r="AV737" s="1531"/>
      <c r="AW737" s="1531"/>
      <c r="AX737" s="1531"/>
      <c r="AY737" s="1531"/>
      <c r="AZ737" s="1531"/>
      <c r="BA737" s="1136"/>
      <c r="BB737" s="1136"/>
      <c r="BC737" s="1136"/>
      <c r="BD737" s="1136"/>
      <c r="BE737" s="1136"/>
      <c r="BF737" s="1136"/>
      <c r="BG737" s="1136"/>
      <c r="BH737" s="1136"/>
      <c r="BI737" s="1136"/>
      <c r="BJ737" s="1136"/>
      <c r="BK737" s="1136"/>
      <c r="BL737" s="1136"/>
      <c r="BM737" s="1568"/>
      <c r="BN737" s="1391"/>
      <c r="BO737" s="1391"/>
      <c r="BP737" s="1391"/>
      <c r="BQ737" s="1391"/>
      <c r="BR737" s="1391"/>
      <c r="BS737" s="1391"/>
      <c r="BT737" s="1391"/>
      <c r="BU737" s="1391"/>
      <c r="BV737" s="1391"/>
      <c r="BW737" s="1391"/>
      <c r="BX737" s="1391"/>
      <c r="BY737" s="1391"/>
      <c r="BZ737" s="1391"/>
      <c r="CA737" s="1391"/>
      <c r="CB737" s="1391"/>
      <c r="CC737" s="1391"/>
      <c r="CD737" s="1391"/>
      <c r="CE737" s="1391"/>
      <c r="CF737" s="1391"/>
      <c r="CG737" s="1391"/>
      <c r="CH737" s="1391"/>
      <c r="CI737" s="1391"/>
      <c r="CJ737" s="1391"/>
      <c r="CK737" s="1391"/>
      <c r="CL737" s="1391"/>
      <c r="CM737" s="1391"/>
      <c r="CN737" s="1391"/>
      <c r="CO737" s="1391"/>
      <c r="CP737" s="1391"/>
      <c r="CQ737" s="1391"/>
      <c r="CR737" s="1391"/>
      <c r="CS737" s="1391"/>
      <c r="CT737" s="1391"/>
      <c r="CU737" s="1391"/>
      <c r="CV737" s="1391"/>
      <c r="CW737" s="1391"/>
      <c r="CX737" s="1391"/>
      <c r="CY737" s="1391"/>
      <c r="CZ737" s="1391"/>
      <c r="DA737" s="1391"/>
      <c r="DB737" s="1391"/>
      <c r="DC737" s="1391"/>
      <c r="DD737" s="1391"/>
      <c r="DE737" s="1391"/>
      <c r="DF737" s="1391"/>
      <c r="DG737" s="1391"/>
      <c r="DH737" s="1391"/>
      <c r="DI737" s="1391"/>
    </row>
    <row r="738" spans="1:113" ht="15.75" x14ac:dyDescent="0.25">
      <c r="A738" s="1471"/>
      <c r="B738" s="1573"/>
      <c r="C738" s="1574"/>
      <c r="D738" s="1562"/>
      <c r="E738" s="1562"/>
      <c r="F738" s="1562"/>
      <c r="G738" s="1562"/>
      <c r="H738" s="1531"/>
      <c r="I738" s="1531"/>
      <c r="J738" s="1531"/>
      <c r="K738" s="1531"/>
      <c r="L738" s="1531"/>
      <c r="M738" s="1531"/>
      <c r="N738" s="1531"/>
      <c r="O738" s="1531"/>
      <c r="P738" s="1531"/>
      <c r="Q738" s="1531"/>
      <c r="R738" s="1531"/>
      <c r="S738" s="1531"/>
      <c r="T738" s="1531"/>
      <c r="U738" s="1531"/>
      <c r="V738" s="1531"/>
      <c r="W738" s="1531"/>
      <c r="X738" s="1531"/>
      <c r="Y738" s="1531"/>
      <c r="Z738" s="1531"/>
      <c r="AA738" s="1531"/>
      <c r="AB738" s="1531"/>
      <c r="AC738" s="1531"/>
      <c r="AD738" s="1531"/>
      <c r="AE738" s="1531"/>
      <c r="AF738" s="1531"/>
      <c r="AG738" s="1531"/>
      <c r="AH738" s="1531"/>
      <c r="AI738" s="1531"/>
      <c r="AJ738" s="1531"/>
      <c r="AK738" s="1531"/>
      <c r="AL738" s="1531"/>
      <c r="AM738" s="1531"/>
      <c r="AN738" s="1531"/>
      <c r="AO738" s="1531"/>
      <c r="AP738" s="1531"/>
      <c r="AQ738" s="1531"/>
      <c r="AR738" s="1531"/>
      <c r="AS738" s="1531"/>
      <c r="AT738" s="1531"/>
      <c r="AU738" s="1531"/>
      <c r="AV738" s="1531"/>
      <c r="AW738" s="1531"/>
      <c r="AX738" s="1531"/>
      <c r="AY738" s="1531"/>
      <c r="AZ738" s="1531"/>
      <c r="BA738" s="1136"/>
      <c r="BB738" s="1136"/>
      <c r="BC738" s="1136"/>
      <c r="BD738" s="1136"/>
      <c r="BE738" s="1136"/>
      <c r="BF738" s="1136"/>
      <c r="BG738" s="1136"/>
      <c r="BH738" s="1136"/>
      <c r="BI738" s="1136"/>
      <c r="BJ738" s="1136"/>
      <c r="BK738" s="1136"/>
      <c r="BL738" s="1136"/>
      <c r="BM738" s="1568"/>
      <c r="BN738" s="1391"/>
      <c r="BO738" s="1391"/>
      <c r="BP738" s="1391"/>
      <c r="BQ738" s="1391"/>
      <c r="BR738" s="1391"/>
      <c r="BS738" s="1391"/>
      <c r="BT738" s="1391"/>
      <c r="BU738" s="1391"/>
      <c r="BV738" s="1391"/>
      <c r="BW738" s="1391"/>
      <c r="BX738" s="1391"/>
      <c r="BY738" s="1391"/>
      <c r="BZ738" s="1391"/>
      <c r="CA738" s="1391"/>
      <c r="CB738" s="1391"/>
      <c r="CC738" s="1391"/>
      <c r="CD738" s="1391"/>
      <c r="CE738" s="1391"/>
      <c r="CF738" s="1391"/>
      <c r="CG738" s="1391"/>
      <c r="CH738" s="1391"/>
      <c r="CI738" s="1391"/>
      <c r="CJ738" s="1391"/>
      <c r="CK738" s="1391"/>
      <c r="CL738" s="1391"/>
      <c r="CM738" s="1391"/>
      <c r="CN738" s="1391"/>
      <c r="CO738" s="1391"/>
      <c r="CP738" s="1391"/>
      <c r="CQ738" s="1391"/>
      <c r="CR738" s="1391"/>
      <c r="CS738" s="1391"/>
      <c r="CT738" s="1391"/>
      <c r="CU738" s="1391"/>
      <c r="CV738" s="1391"/>
      <c r="CW738" s="1391"/>
      <c r="CX738" s="1391"/>
      <c r="CY738" s="1391"/>
      <c r="CZ738" s="1391"/>
      <c r="DA738" s="1391"/>
      <c r="DB738" s="1391"/>
      <c r="DC738" s="1391"/>
      <c r="DD738" s="1391"/>
      <c r="DE738" s="1391"/>
      <c r="DF738" s="1391"/>
      <c r="DG738" s="1391"/>
      <c r="DH738" s="1391"/>
      <c r="DI738" s="1391"/>
    </row>
    <row r="739" spans="1:113" ht="31.5" x14ac:dyDescent="0.25">
      <c r="A739" s="1502" t="s">
        <v>3334</v>
      </c>
      <c r="B739" s="1415"/>
      <c r="C739" s="1531"/>
      <c r="D739" s="1562"/>
      <c r="E739" s="1562"/>
      <c r="F739" s="1562"/>
      <c r="G739" s="1562"/>
      <c r="H739" s="1531"/>
      <c r="I739" s="1531"/>
      <c r="J739" s="1531"/>
      <c r="K739" s="1531"/>
      <c r="L739" s="1531"/>
      <c r="M739" s="1531"/>
      <c r="N739" s="1531"/>
      <c r="O739" s="1531"/>
      <c r="P739" s="1531"/>
      <c r="Q739" s="1531"/>
      <c r="R739" s="1531"/>
      <c r="S739" s="1531"/>
      <c r="T739" s="1531"/>
      <c r="U739" s="1531"/>
      <c r="V739" s="1531"/>
      <c r="W739" s="1531"/>
      <c r="X739" s="1531"/>
      <c r="Y739" s="1531"/>
      <c r="Z739" s="1531"/>
      <c r="AA739" s="1531"/>
      <c r="AB739" s="1531"/>
      <c r="AC739" s="1531"/>
      <c r="AD739" s="1531"/>
      <c r="AE739" s="1531"/>
      <c r="AF739" s="1531"/>
      <c r="AG739" s="1531"/>
      <c r="AH739" s="1531"/>
      <c r="AI739" s="1531"/>
      <c r="AJ739" s="1531"/>
      <c r="AK739" s="1531"/>
      <c r="AL739" s="1531"/>
      <c r="AM739" s="1531"/>
      <c r="AN739" s="1531"/>
      <c r="AO739" s="1531"/>
      <c r="AP739" s="1531"/>
      <c r="AQ739" s="1531"/>
      <c r="AR739" s="1531"/>
      <c r="AS739" s="1531"/>
      <c r="AT739" s="1531"/>
      <c r="AU739" s="1531"/>
      <c r="AV739" s="1531"/>
      <c r="AW739" s="1531"/>
      <c r="AX739" s="1531"/>
      <c r="AY739" s="1531"/>
      <c r="AZ739" s="1531"/>
      <c r="BA739" s="1136"/>
      <c r="BB739" s="1136"/>
      <c r="BC739" s="1136"/>
      <c r="BD739" s="1136"/>
      <c r="BE739" s="1136"/>
      <c r="BF739" s="1136"/>
      <c r="BG739" s="1136"/>
      <c r="BH739" s="1136"/>
      <c r="BI739" s="1136"/>
      <c r="BJ739" s="1136"/>
      <c r="BK739" s="1136"/>
      <c r="BL739" s="1136"/>
      <c r="BM739" s="1568"/>
      <c r="BN739" s="1391"/>
      <c r="BO739" s="1391"/>
      <c r="BP739" s="1391"/>
      <c r="BQ739" s="1391"/>
      <c r="BR739" s="1391"/>
      <c r="BS739" s="1391"/>
      <c r="BT739" s="1391"/>
      <c r="BU739" s="1391"/>
      <c r="BV739" s="1391"/>
      <c r="BW739" s="1391"/>
      <c r="BX739" s="1391"/>
      <c r="BY739" s="1391"/>
      <c r="BZ739" s="1391"/>
      <c r="CA739" s="1391"/>
      <c r="CB739" s="1391"/>
      <c r="CC739" s="1391"/>
      <c r="CD739" s="1391"/>
      <c r="CE739" s="1391"/>
      <c r="CF739" s="1391"/>
      <c r="CG739" s="1391"/>
      <c r="CH739" s="1391"/>
      <c r="CI739" s="1391"/>
      <c r="CJ739" s="1391"/>
      <c r="CK739" s="1391"/>
      <c r="CL739" s="1391"/>
      <c r="CM739" s="1391"/>
      <c r="CN739" s="1391"/>
      <c r="CO739" s="1391"/>
      <c r="CP739" s="1391"/>
      <c r="CQ739" s="1391"/>
      <c r="CR739" s="1391"/>
      <c r="CS739" s="1391"/>
      <c r="CT739" s="1391"/>
      <c r="CU739" s="1391"/>
      <c r="CV739" s="1391"/>
      <c r="CW739" s="1391"/>
      <c r="CX739" s="1391"/>
      <c r="CY739" s="1391"/>
      <c r="CZ739" s="1391"/>
      <c r="DA739" s="1391"/>
      <c r="DB739" s="1391"/>
      <c r="DC739" s="1391"/>
      <c r="DD739" s="1391"/>
      <c r="DE739" s="1391"/>
      <c r="DF739" s="1391"/>
      <c r="DG739" s="1391"/>
      <c r="DH739" s="1391"/>
      <c r="DI739" s="1391"/>
    </row>
    <row r="740" spans="1:113" ht="15.75" x14ac:dyDescent="0.25">
      <c r="A740" s="1456" t="s">
        <v>2516</v>
      </c>
      <c r="B740" s="1415"/>
      <c r="C740" s="1531"/>
      <c r="D740" s="1589"/>
      <c r="E740" s="1589"/>
      <c r="F740" s="1589"/>
      <c r="G740" s="1589"/>
      <c r="H740" s="1531"/>
      <c r="I740" s="1531"/>
      <c r="J740" s="1531"/>
      <c r="K740" s="1531"/>
      <c r="L740" s="1531"/>
      <c r="M740" s="1531"/>
      <c r="N740" s="1531"/>
      <c r="O740" s="1531"/>
      <c r="P740" s="1531"/>
      <c r="Q740" s="1531"/>
      <c r="R740" s="1531"/>
      <c r="S740" s="1531"/>
      <c r="T740" s="1531"/>
      <c r="U740" s="1531"/>
      <c r="V740" s="1531"/>
      <c r="W740" s="1531"/>
      <c r="X740" s="1531"/>
      <c r="Y740" s="1531"/>
      <c r="Z740" s="1531"/>
      <c r="AA740" s="1531"/>
      <c r="AB740" s="1531"/>
      <c r="AC740" s="1531"/>
      <c r="AD740" s="1531"/>
      <c r="AE740" s="1531"/>
      <c r="AF740" s="1531"/>
      <c r="AG740" s="1531"/>
      <c r="AH740" s="1531"/>
      <c r="AI740" s="1531"/>
      <c r="AJ740" s="1531"/>
      <c r="AK740" s="1531"/>
      <c r="AL740" s="1531"/>
      <c r="AM740" s="1531"/>
      <c r="AN740" s="1531"/>
      <c r="AO740" s="1531"/>
      <c r="AP740" s="1531"/>
      <c r="AQ740" s="1531"/>
      <c r="AR740" s="1531"/>
      <c r="AS740" s="1531"/>
      <c r="AT740" s="1531"/>
      <c r="AU740" s="1531"/>
      <c r="AV740" s="1531"/>
      <c r="AW740" s="1531"/>
      <c r="AX740" s="1531"/>
      <c r="AY740" s="1531"/>
      <c r="AZ740" s="1531"/>
      <c r="BA740" s="1136"/>
      <c r="BB740" s="1136"/>
      <c r="BC740" s="1136"/>
      <c r="BD740" s="1136"/>
      <c r="BE740" s="1136"/>
      <c r="BF740" s="1136"/>
      <c r="BG740" s="1136"/>
      <c r="BH740" s="1136"/>
      <c r="BI740" s="1136"/>
      <c r="BJ740" s="1136"/>
      <c r="BK740" s="1136"/>
      <c r="BL740" s="1136"/>
      <c r="BM740" s="1568"/>
      <c r="BN740" s="1391"/>
      <c r="BO740" s="1391"/>
      <c r="BP740" s="1391"/>
      <c r="BQ740" s="1391"/>
      <c r="BR740" s="1391"/>
      <c r="BS740" s="1391"/>
      <c r="BT740" s="1391"/>
      <c r="BU740" s="1391"/>
      <c r="BV740" s="1391"/>
      <c r="BW740" s="1391"/>
      <c r="BX740" s="1391"/>
      <c r="BY740" s="1391"/>
      <c r="BZ740" s="1391"/>
      <c r="CA740" s="1391"/>
      <c r="CB740" s="1391"/>
      <c r="CC740" s="1391"/>
      <c r="CD740" s="1391"/>
      <c r="CE740" s="1391"/>
      <c r="CF740" s="1391"/>
      <c r="CG740" s="1391"/>
      <c r="CH740" s="1391"/>
      <c r="CI740" s="1391"/>
      <c r="CJ740" s="1391"/>
      <c r="CK740" s="1391"/>
      <c r="CL740" s="1391"/>
      <c r="CM740" s="1391"/>
      <c r="CN740" s="1391"/>
      <c r="CO740" s="1391"/>
      <c r="CP740" s="1391"/>
      <c r="CQ740" s="1391"/>
      <c r="CR740" s="1391"/>
      <c r="CS740" s="1391"/>
      <c r="CT740" s="1391"/>
      <c r="CU740" s="1391"/>
      <c r="CV740" s="1391"/>
      <c r="CW740" s="1391"/>
      <c r="CX740" s="1391"/>
      <c r="CY740" s="1391"/>
      <c r="CZ740" s="1391"/>
      <c r="DA740" s="1391"/>
      <c r="DB740" s="1391"/>
      <c r="DC740" s="1391"/>
      <c r="DD740" s="1391"/>
      <c r="DE740" s="1391"/>
      <c r="DF740" s="1391"/>
      <c r="DG740" s="1391"/>
      <c r="DH740" s="1391"/>
      <c r="DI740" s="1391"/>
    </row>
    <row r="741" spans="1:113" ht="31.5" x14ac:dyDescent="0.25">
      <c r="A741" s="1420" t="s">
        <v>3335</v>
      </c>
      <c r="B741" s="1421" t="e">
        <f>B635*B634*B725</f>
        <v>#DIV/0!</v>
      </c>
      <c r="C741" s="1523"/>
      <c r="D741" s="1562"/>
      <c r="E741" s="1562"/>
      <c r="F741" s="1562"/>
      <c r="G741" s="1562"/>
      <c r="H741" s="1562"/>
      <c r="I741" s="1531"/>
      <c r="J741" s="1531"/>
      <c r="K741" s="1531"/>
      <c r="L741" s="1531"/>
      <c r="M741" s="1531"/>
      <c r="N741" s="1531"/>
      <c r="O741" s="1531"/>
      <c r="P741" s="1531"/>
      <c r="Q741" s="1531"/>
      <c r="R741" s="1531"/>
      <c r="S741" s="1531"/>
      <c r="T741" s="1531"/>
      <c r="U741" s="1531"/>
      <c r="V741" s="1531"/>
      <c r="W741" s="1531"/>
      <c r="X741" s="1531"/>
      <c r="Y741" s="1531"/>
      <c r="Z741" s="1531"/>
      <c r="AA741" s="1531"/>
      <c r="AB741" s="1531"/>
      <c r="AC741" s="1531"/>
      <c r="AD741" s="1531"/>
      <c r="AE741" s="1531"/>
      <c r="AF741" s="1531"/>
      <c r="AG741" s="1531"/>
      <c r="AH741" s="1531"/>
      <c r="AI741" s="1531"/>
      <c r="AJ741" s="1531"/>
      <c r="AK741" s="1531"/>
      <c r="AL741" s="1531"/>
      <c r="AM741" s="1531"/>
      <c r="AN741" s="1531"/>
      <c r="AO741" s="1531"/>
      <c r="AP741" s="1531"/>
      <c r="AQ741" s="1531"/>
      <c r="AR741" s="1531"/>
      <c r="AS741" s="1531"/>
      <c r="AT741" s="1531"/>
      <c r="AU741" s="1531"/>
      <c r="AV741" s="1531"/>
      <c r="AW741" s="1531"/>
      <c r="AX741" s="1531"/>
      <c r="AY741" s="1531"/>
      <c r="AZ741" s="1531"/>
      <c r="BA741" s="1136"/>
      <c r="BB741" s="1136"/>
      <c r="BC741" s="1136"/>
      <c r="BD741" s="1136"/>
      <c r="BE741" s="1136"/>
      <c r="BF741" s="1136"/>
      <c r="BG741" s="1136"/>
      <c r="BH741" s="1136"/>
      <c r="BI741" s="1136"/>
      <c r="BJ741" s="1136"/>
      <c r="BK741" s="1136"/>
      <c r="BL741" s="1136"/>
      <c r="BM741" s="1568"/>
      <c r="BN741" s="1391"/>
      <c r="BO741" s="1391"/>
      <c r="BP741" s="1391"/>
      <c r="BQ741" s="1391"/>
      <c r="BR741" s="1391"/>
      <c r="BS741" s="1391"/>
      <c r="BT741" s="1391"/>
      <c r="BU741" s="1391"/>
      <c r="BV741" s="1391"/>
      <c r="BW741" s="1391"/>
      <c r="BX741" s="1391"/>
      <c r="BY741" s="1391"/>
      <c r="BZ741" s="1391"/>
      <c r="CA741" s="1391"/>
      <c r="CB741" s="1391"/>
      <c r="CC741" s="1391"/>
      <c r="CD741" s="1391"/>
      <c r="CE741" s="1391"/>
      <c r="CF741" s="1391"/>
      <c r="CG741" s="1391"/>
      <c r="CH741" s="1391"/>
      <c r="CI741" s="1391"/>
      <c r="CJ741" s="1391"/>
      <c r="CK741" s="1391"/>
      <c r="CL741" s="1391"/>
      <c r="CM741" s="1391"/>
      <c r="CN741" s="1391"/>
      <c r="CO741" s="1391"/>
      <c r="CP741" s="1391"/>
      <c r="CQ741" s="1391"/>
      <c r="CR741" s="1391"/>
      <c r="CS741" s="1391"/>
      <c r="CT741" s="1391"/>
      <c r="CU741" s="1391"/>
      <c r="CV741" s="1391"/>
      <c r="CW741" s="1391"/>
      <c r="CX741" s="1391"/>
      <c r="CY741" s="1391"/>
      <c r="CZ741" s="1391"/>
      <c r="DA741" s="1391"/>
      <c r="DB741" s="1391"/>
      <c r="DC741" s="1391"/>
      <c r="DD741" s="1391"/>
      <c r="DE741" s="1391"/>
      <c r="DF741" s="1391"/>
      <c r="DG741" s="1391"/>
      <c r="DH741" s="1391"/>
      <c r="DI741" s="1391"/>
    </row>
    <row r="742" spans="1:113" ht="31.5" x14ac:dyDescent="0.25">
      <c r="A742" s="1420" t="s">
        <v>2800</v>
      </c>
      <c r="B742" s="1421"/>
      <c r="C742" s="1523"/>
      <c r="D742" s="1470"/>
      <c r="E742" s="1470"/>
      <c r="F742" s="1470"/>
      <c r="G742" s="1470"/>
      <c r="H742" s="1350"/>
      <c r="I742" s="1350"/>
      <c r="J742" s="1350"/>
      <c r="K742" s="1350"/>
      <c r="L742" s="1350"/>
      <c r="M742" s="1350"/>
      <c r="N742" s="1350"/>
      <c r="O742" s="1350"/>
      <c r="P742" s="1350"/>
      <c r="Q742" s="1350"/>
      <c r="R742" s="1350"/>
      <c r="S742" s="1531"/>
      <c r="T742" s="1531"/>
      <c r="U742" s="1531"/>
      <c r="V742" s="1531"/>
      <c r="W742" s="1531"/>
      <c r="X742" s="1531"/>
      <c r="Y742" s="1531"/>
      <c r="Z742" s="1531"/>
      <c r="AA742" s="1531"/>
      <c r="AB742" s="1531"/>
      <c r="AC742" s="1531"/>
      <c r="AD742" s="1531"/>
      <c r="AE742" s="1531"/>
      <c r="AF742" s="1531"/>
      <c r="AG742" s="1531"/>
      <c r="AH742" s="1531"/>
      <c r="AI742" s="1531"/>
      <c r="AJ742" s="1531"/>
      <c r="AK742" s="1531"/>
      <c r="AL742" s="1531"/>
      <c r="AM742" s="1531"/>
      <c r="AN742" s="1531"/>
      <c r="AO742" s="1531"/>
      <c r="AP742" s="1531"/>
      <c r="AQ742" s="1531"/>
      <c r="AR742" s="1531"/>
      <c r="AS742" s="1531"/>
      <c r="AT742" s="1531"/>
      <c r="AU742" s="1531"/>
      <c r="AV742" s="1531"/>
      <c r="AW742" s="1531"/>
      <c r="AX742" s="1531"/>
      <c r="AY742" s="1531"/>
      <c r="AZ742" s="1531"/>
      <c r="BA742" s="1136"/>
      <c r="BB742" s="1136"/>
      <c r="BC742" s="1136"/>
      <c r="BD742" s="1136"/>
      <c r="BE742" s="1136"/>
      <c r="BF742" s="1136"/>
      <c r="BG742" s="1136"/>
      <c r="BH742" s="1136"/>
      <c r="BI742" s="1136"/>
      <c r="BJ742" s="1136"/>
      <c r="BK742" s="1136"/>
      <c r="BL742" s="1136"/>
      <c r="BM742" s="1568"/>
      <c r="BN742" s="1391"/>
      <c r="BO742" s="1391"/>
      <c r="BP742" s="1391"/>
      <c r="BQ742" s="1391"/>
      <c r="BR742" s="1391"/>
      <c r="BS742" s="1391"/>
      <c r="BT742" s="1391"/>
      <c r="BU742" s="1391"/>
      <c r="BV742" s="1391"/>
      <c r="BW742" s="1391"/>
      <c r="BX742" s="1391"/>
      <c r="BY742" s="1391"/>
      <c r="BZ742" s="1391"/>
      <c r="CA742" s="1391"/>
      <c r="CB742" s="1391"/>
      <c r="CC742" s="1391"/>
      <c r="CD742" s="1391"/>
      <c r="CE742" s="1391"/>
      <c r="CF742" s="1391"/>
      <c r="CG742" s="1391"/>
      <c r="CH742" s="1391"/>
      <c r="CI742" s="1391"/>
      <c r="CJ742" s="1391"/>
      <c r="CK742" s="1391"/>
      <c r="CL742" s="1391"/>
      <c r="CM742" s="1391"/>
      <c r="CN742" s="1391"/>
      <c r="CO742" s="1391"/>
      <c r="CP742" s="1391"/>
      <c r="CQ742" s="1391"/>
      <c r="CR742" s="1391"/>
      <c r="CS742" s="1391"/>
      <c r="CT742" s="1391"/>
      <c r="CU742" s="1391"/>
      <c r="CV742" s="1391"/>
      <c r="CW742" s="1391"/>
      <c r="CX742" s="1391"/>
      <c r="CY742" s="1391"/>
      <c r="CZ742" s="1391"/>
      <c r="DA742" s="1391"/>
      <c r="DB742" s="1391"/>
      <c r="DC742" s="1391"/>
      <c r="DD742" s="1391"/>
      <c r="DE742" s="1391"/>
      <c r="DF742" s="1391"/>
      <c r="DG742" s="1391"/>
      <c r="DH742" s="1391"/>
      <c r="DI742" s="1391"/>
    </row>
    <row r="743" spans="1:113" ht="15.75" x14ac:dyDescent="0.25">
      <c r="A743" s="1430" t="s">
        <v>2813</v>
      </c>
      <c r="B743" s="1588" t="e">
        <f>B615*B286*B728</f>
        <v>#DIV/0!</v>
      </c>
      <c r="C743" s="1589"/>
      <c r="D743" s="1437"/>
      <c r="E743" s="1437"/>
      <c r="F743" s="1437"/>
      <c r="G743" s="1437"/>
      <c r="H743" s="1350"/>
      <c r="I743" s="1350"/>
      <c r="J743" s="1350"/>
      <c r="K743" s="1350"/>
      <c r="L743" s="1350"/>
      <c r="M743" s="1350"/>
      <c r="N743" s="1350"/>
      <c r="O743" s="1350"/>
      <c r="P743" s="1350"/>
      <c r="Q743" s="1350"/>
      <c r="R743" s="1350"/>
      <c r="S743" s="1531"/>
      <c r="T743" s="1531"/>
      <c r="U743" s="1531"/>
      <c r="V743" s="1531"/>
      <c r="W743" s="1531"/>
      <c r="X743" s="1531"/>
      <c r="Y743" s="1531"/>
      <c r="Z743" s="1531"/>
      <c r="AA743" s="1531"/>
      <c r="AB743" s="1531"/>
      <c r="AC743" s="1531"/>
      <c r="AD743" s="1531"/>
      <c r="AE743" s="1531"/>
      <c r="AF743" s="1531"/>
      <c r="AG743" s="1531"/>
      <c r="AH743" s="1531"/>
      <c r="AI743" s="1531"/>
      <c r="AJ743" s="1531"/>
      <c r="AK743" s="1531"/>
      <c r="AL743" s="1531"/>
      <c r="AM743" s="1531"/>
      <c r="AN743" s="1531"/>
      <c r="AO743" s="1531"/>
      <c r="AP743" s="1531"/>
      <c r="AQ743" s="1531"/>
      <c r="AR743" s="1531"/>
      <c r="AS743" s="1531"/>
      <c r="AT743" s="1531"/>
      <c r="AU743" s="1531"/>
      <c r="AV743" s="1531"/>
      <c r="AW743" s="1531"/>
      <c r="AX743" s="1531"/>
      <c r="AY743" s="1531"/>
      <c r="AZ743" s="1531"/>
      <c r="BA743" s="1136"/>
      <c r="BB743" s="1136"/>
      <c r="BC743" s="1136"/>
      <c r="BD743" s="1136"/>
      <c r="BE743" s="1136"/>
      <c r="BF743" s="1136"/>
      <c r="BG743" s="1136"/>
      <c r="BH743" s="1136"/>
      <c r="BI743" s="1136"/>
      <c r="BJ743" s="1136"/>
      <c r="BK743" s="1136"/>
      <c r="BL743" s="1136"/>
      <c r="BM743" s="1568"/>
      <c r="BN743" s="1391"/>
      <c r="BO743" s="1391"/>
      <c r="BP743" s="1391"/>
      <c r="BQ743" s="1391"/>
      <c r="BR743" s="1391"/>
      <c r="BS743" s="1391"/>
      <c r="BT743" s="1391"/>
      <c r="BU743" s="1391"/>
      <c r="BV743" s="1391"/>
      <c r="BW743" s="1391"/>
      <c r="BX743" s="1391"/>
      <c r="BY743" s="1391"/>
      <c r="BZ743" s="1391"/>
      <c r="CA743" s="1391"/>
      <c r="CB743" s="1391"/>
      <c r="CC743" s="1391"/>
      <c r="CD743" s="1391"/>
      <c r="CE743" s="1391"/>
      <c r="CF743" s="1391"/>
      <c r="CG743" s="1391"/>
      <c r="CH743" s="1391"/>
      <c r="CI743" s="1391"/>
      <c r="CJ743" s="1391"/>
      <c r="CK743" s="1391"/>
      <c r="CL743" s="1391"/>
      <c r="CM743" s="1391"/>
      <c r="CN743" s="1391"/>
      <c r="CO743" s="1391"/>
      <c r="CP743" s="1391"/>
      <c r="CQ743" s="1391"/>
      <c r="CR743" s="1391"/>
      <c r="CS743" s="1391"/>
      <c r="CT743" s="1391"/>
      <c r="CU743" s="1391"/>
      <c r="CV743" s="1391"/>
      <c r="CW743" s="1391"/>
      <c r="CX743" s="1391"/>
      <c r="CY743" s="1391"/>
      <c r="CZ743" s="1391"/>
      <c r="DA743" s="1391"/>
      <c r="DB743" s="1391"/>
      <c r="DC743" s="1391"/>
      <c r="DD743" s="1391"/>
      <c r="DE743" s="1391"/>
      <c r="DF743" s="1391"/>
      <c r="DG743" s="1391"/>
      <c r="DH743" s="1391"/>
      <c r="DI743" s="1391"/>
    </row>
    <row r="744" spans="1:113" ht="15.75" x14ac:dyDescent="0.25">
      <c r="A744" s="1430" t="s">
        <v>2814</v>
      </c>
      <c r="B744" s="1588"/>
      <c r="C744" s="1589"/>
      <c r="D744" s="1572"/>
      <c r="E744" s="1572"/>
      <c r="F744" s="1572"/>
      <c r="G744" s="1572"/>
      <c r="H744" s="1531"/>
      <c r="I744" s="1531"/>
      <c r="J744" s="1531"/>
      <c r="K744" s="1531"/>
      <c r="L744" s="1531"/>
      <c r="M744" s="1531"/>
      <c r="N744" s="1531"/>
      <c r="O744" s="1531"/>
      <c r="P744" s="1531"/>
      <c r="Q744" s="1531"/>
      <c r="R744" s="1531"/>
      <c r="S744" s="1531"/>
      <c r="T744" s="1531"/>
      <c r="U744" s="1531"/>
      <c r="V744" s="1531"/>
      <c r="W744" s="1531"/>
      <c r="X744" s="1531"/>
      <c r="Y744" s="1531"/>
      <c r="Z744" s="1531"/>
      <c r="AA744" s="1531"/>
      <c r="AB744" s="1531"/>
      <c r="AC744" s="1531"/>
      <c r="AD744" s="1531"/>
      <c r="AE744" s="1531"/>
      <c r="AF744" s="1531"/>
      <c r="AG744" s="1531"/>
      <c r="AH744" s="1531"/>
      <c r="AI744" s="1531"/>
      <c r="AJ744" s="1531"/>
      <c r="AK744" s="1531"/>
      <c r="AL744" s="1531"/>
      <c r="AM744" s="1531"/>
      <c r="AN744" s="1531"/>
      <c r="AO744" s="1531"/>
      <c r="AP744" s="1531"/>
      <c r="AQ744" s="1531"/>
      <c r="AR744" s="1531"/>
      <c r="AS744" s="1531"/>
      <c r="AT744" s="1531"/>
      <c r="AU744" s="1531"/>
      <c r="AV744" s="1531"/>
      <c r="AW744" s="1531"/>
      <c r="AX744" s="1531"/>
      <c r="AY744" s="1531"/>
      <c r="AZ744" s="1531"/>
      <c r="BA744" s="1136"/>
      <c r="BB744" s="1136"/>
      <c r="BC744" s="1136"/>
      <c r="BD744" s="1136"/>
      <c r="BE744" s="1136"/>
      <c r="BF744" s="1136"/>
      <c r="BG744" s="1136"/>
      <c r="BH744" s="1136"/>
      <c r="BI744" s="1136"/>
      <c r="BJ744" s="1136"/>
      <c r="BK744" s="1136"/>
      <c r="BL744" s="1136"/>
      <c r="BM744" s="1568"/>
      <c r="BN744" s="1391"/>
      <c r="BO744" s="1391"/>
      <c r="BP744" s="1391"/>
      <c r="BQ744" s="1391"/>
      <c r="BR744" s="1391"/>
      <c r="BS744" s="1391"/>
      <c r="BT744" s="1391"/>
      <c r="BU744" s="1391"/>
      <c r="BV744" s="1391"/>
      <c r="BW744" s="1391"/>
      <c r="BX744" s="1391"/>
      <c r="BY744" s="1391"/>
      <c r="BZ744" s="1391"/>
      <c r="CA744" s="1391"/>
      <c r="CB744" s="1391"/>
      <c r="CC744" s="1391"/>
      <c r="CD744" s="1391"/>
      <c r="CE744" s="1391"/>
      <c r="CF744" s="1391"/>
      <c r="CG744" s="1391"/>
      <c r="CH744" s="1391"/>
      <c r="CI744" s="1391"/>
      <c r="CJ744" s="1391"/>
      <c r="CK744" s="1391"/>
      <c r="CL744" s="1391"/>
      <c r="CM744" s="1391"/>
      <c r="CN744" s="1391"/>
      <c r="CO744" s="1391"/>
      <c r="CP744" s="1391"/>
      <c r="CQ744" s="1391"/>
      <c r="CR744" s="1391"/>
      <c r="CS744" s="1391"/>
      <c r="CT744" s="1391"/>
      <c r="CU744" s="1391"/>
      <c r="CV744" s="1391"/>
      <c r="CW744" s="1391"/>
      <c r="CX744" s="1391"/>
      <c r="CY744" s="1391"/>
      <c r="CZ744" s="1391"/>
      <c r="DA744" s="1391"/>
      <c r="DB744" s="1391"/>
      <c r="DC744" s="1391"/>
      <c r="DD744" s="1391"/>
      <c r="DE744" s="1391"/>
      <c r="DF744" s="1391"/>
      <c r="DG744" s="1391"/>
      <c r="DH744" s="1391"/>
      <c r="DI744" s="1391"/>
    </row>
    <row r="745" spans="1:113" ht="31.5" x14ac:dyDescent="0.25">
      <c r="A745" s="1420" t="s">
        <v>2815</v>
      </c>
      <c r="B745" s="1588" t="e">
        <f>B635*3*B286*B728</f>
        <v>#DIV/0!</v>
      </c>
      <c r="C745" s="1589"/>
      <c r="D745" s="1531"/>
      <c r="E745" s="1531"/>
      <c r="F745" s="1531"/>
      <c r="G745" s="1531"/>
      <c r="H745" s="1531"/>
      <c r="I745" s="1531"/>
      <c r="J745" s="1531"/>
      <c r="K745" s="1531"/>
      <c r="L745" s="1531"/>
      <c r="M745" s="1531"/>
      <c r="N745" s="1531"/>
      <c r="O745" s="1531"/>
      <c r="P745" s="1531"/>
      <c r="Q745" s="1531"/>
      <c r="R745" s="1531"/>
      <c r="S745" s="1531"/>
      <c r="T745" s="1531"/>
      <c r="U745" s="1531"/>
      <c r="V745" s="1531"/>
      <c r="W745" s="1531"/>
      <c r="X745" s="1531"/>
      <c r="Y745" s="1531"/>
      <c r="Z745" s="1531"/>
      <c r="AA745" s="1531"/>
      <c r="AB745" s="1531"/>
      <c r="AC745" s="1531"/>
      <c r="AD745" s="1531"/>
      <c r="AE745" s="1531"/>
      <c r="AF745" s="1531"/>
      <c r="AG745" s="1531"/>
      <c r="AH745" s="1531"/>
      <c r="AI745" s="1531"/>
      <c r="AJ745" s="1531"/>
      <c r="AK745" s="1531"/>
      <c r="AL745" s="1531"/>
      <c r="AM745" s="1531"/>
      <c r="AN745" s="1531"/>
      <c r="AO745" s="1531"/>
      <c r="AP745" s="1531"/>
      <c r="AQ745" s="1531"/>
      <c r="AR745" s="1531"/>
      <c r="AS745" s="1531"/>
      <c r="AT745" s="1531"/>
      <c r="AU745" s="1531"/>
      <c r="AV745" s="1531"/>
      <c r="AW745" s="1531"/>
      <c r="AX745" s="1531"/>
      <c r="AY745" s="1531"/>
      <c r="AZ745" s="1531"/>
      <c r="BA745" s="1136"/>
      <c r="BB745" s="1136"/>
      <c r="BC745" s="1136"/>
      <c r="BD745" s="1136"/>
      <c r="BE745" s="1136"/>
      <c r="BF745" s="1136"/>
      <c r="BG745" s="1136"/>
      <c r="BH745" s="1136"/>
      <c r="BI745" s="1136"/>
      <c r="BJ745" s="1136"/>
      <c r="BK745" s="1136"/>
      <c r="BL745" s="1136"/>
      <c r="BM745" s="1568"/>
      <c r="BN745" s="1391"/>
      <c r="BO745" s="1391"/>
      <c r="BP745" s="1391"/>
      <c r="BQ745" s="1391"/>
      <c r="BR745" s="1391"/>
      <c r="BS745" s="1391"/>
      <c r="BT745" s="1391"/>
      <c r="BU745" s="1391"/>
      <c r="BV745" s="1391"/>
      <c r="BW745" s="1391"/>
      <c r="BX745" s="1391"/>
      <c r="BY745" s="1391"/>
      <c r="BZ745" s="1391"/>
      <c r="CA745" s="1391"/>
      <c r="CB745" s="1391"/>
      <c r="CC745" s="1391"/>
      <c r="CD745" s="1391"/>
      <c r="CE745" s="1391"/>
      <c r="CF745" s="1391"/>
      <c r="CG745" s="1391"/>
      <c r="CH745" s="1391"/>
      <c r="CI745" s="1391"/>
      <c r="CJ745" s="1391"/>
      <c r="CK745" s="1391"/>
      <c r="CL745" s="1391"/>
      <c r="CM745" s="1391"/>
      <c r="CN745" s="1391"/>
      <c r="CO745" s="1391"/>
      <c r="CP745" s="1391"/>
      <c r="CQ745" s="1391"/>
      <c r="CR745" s="1391"/>
      <c r="CS745" s="1391"/>
      <c r="CT745" s="1391"/>
      <c r="CU745" s="1391"/>
      <c r="CV745" s="1391"/>
      <c r="CW745" s="1391"/>
      <c r="CX745" s="1391"/>
      <c r="CY745" s="1391"/>
      <c r="CZ745" s="1391"/>
      <c r="DA745" s="1391"/>
      <c r="DB745" s="1391"/>
      <c r="DC745" s="1391"/>
      <c r="DD745" s="1391"/>
      <c r="DE745" s="1391"/>
      <c r="DF745" s="1391"/>
      <c r="DG745" s="1391"/>
      <c r="DH745" s="1391"/>
      <c r="DI745" s="1391"/>
    </row>
    <row r="746" spans="1:113" ht="15.75" x14ac:dyDescent="0.25">
      <c r="A746" s="1430" t="s">
        <v>3329</v>
      </c>
      <c r="B746" s="1588" t="e">
        <f>B733</f>
        <v>#VALUE!</v>
      </c>
      <c r="C746" s="1589"/>
      <c r="D746" s="1531"/>
      <c r="E746" s="1531"/>
      <c r="F746" s="1531"/>
      <c r="G746" s="1531"/>
      <c r="H746" s="1531"/>
      <c r="I746" s="1531"/>
      <c r="J746" s="1531"/>
      <c r="K746" s="1531"/>
      <c r="L746" s="1531"/>
      <c r="M746" s="1531"/>
      <c r="N746" s="1531"/>
      <c r="O746" s="1531"/>
      <c r="P746" s="1531"/>
      <c r="Q746" s="1531"/>
      <c r="R746" s="1531"/>
      <c r="S746" s="1531"/>
      <c r="T746" s="1531"/>
      <c r="U746" s="1531"/>
      <c r="V746" s="1531"/>
      <c r="W746" s="1531"/>
      <c r="X746" s="1531"/>
      <c r="Y746" s="1531"/>
      <c r="Z746" s="1531"/>
      <c r="AA746" s="1531"/>
      <c r="AB746" s="1531"/>
      <c r="AC746" s="1531"/>
      <c r="AD746" s="1531"/>
      <c r="AE746" s="1531"/>
      <c r="AF746" s="1531"/>
      <c r="AG746" s="1531"/>
      <c r="AH746" s="1531"/>
      <c r="AI746" s="1531"/>
      <c r="AJ746" s="1531"/>
      <c r="AK746" s="1531"/>
      <c r="AL746" s="1531"/>
      <c r="AM746" s="1531"/>
      <c r="AN746" s="1531"/>
      <c r="AO746" s="1531"/>
      <c r="AP746" s="1531"/>
      <c r="AQ746" s="1531"/>
      <c r="AR746" s="1531"/>
      <c r="AS746" s="1531"/>
      <c r="AT746" s="1531"/>
      <c r="AU746" s="1531"/>
      <c r="AV746" s="1531"/>
      <c r="AW746" s="1531"/>
      <c r="AX746" s="1531"/>
      <c r="AY746" s="1531"/>
      <c r="AZ746" s="1531"/>
      <c r="BA746" s="1136"/>
      <c r="BB746" s="1136"/>
      <c r="BC746" s="1136"/>
      <c r="BD746" s="1136"/>
      <c r="BE746" s="1136"/>
      <c r="BF746" s="1136"/>
      <c r="BG746" s="1136"/>
      <c r="BH746" s="1136"/>
      <c r="BI746" s="1136"/>
      <c r="BJ746" s="1136"/>
      <c r="BK746" s="1136"/>
      <c r="BL746" s="1136"/>
      <c r="BM746" s="1568"/>
      <c r="BN746" s="1391"/>
      <c r="BO746" s="1391"/>
      <c r="BP746" s="1391"/>
      <c r="BQ746" s="1391"/>
      <c r="BR746" s="1391"/>
      <c r="BS746" s="1391"/>
      <c r="BT746" s="1391"/>
      <c r="BU746" s="1391"/>
      <c r="BV746" s="1391"/>
      <c r="BW746" s="1391"/>
      <c r="BX746" s="1391"/>
      <c r="BY746" s="1391"/>
      <c r="BZ746" s="1391"/>
      <c r="CA746" s="1391"/>
      <c r="CB746" s="1391"/>
      <c r="CC746" s="1391"/>
      <c r="CD746" s="1391"/>
      <c r="CE746" s="1391"/>
      <c r="CF746" s="1391"/>
      <c r="CG746" s="1391"/>
      <c r="CH746" s="1391"/>
      <c r="CI746" s="1391"/>
      <c r="CJ746" s="1391"/>
      <c r="CK746" s="1391"/>
      <c r="CL746" s="1391"/>
      <c r="CM746" s="1391"/>
      <c r="CN746" s="1391"/>
      <c r="CO746" s="1391"/>
      <c r="CP746" s="1391"/>
      <c r="CQ746" s="1391"/>
      <c r="CR746" s="1391"/>
      <c r="CS746" s="1391"/>
      <c r="CT746" s="1391"/>
      <c r="CU746" s="1391"/>
      <c r="CV746" s="1391"/>
      <c r="CW746" s="1391"/>
      <c r="CX746" s="1391"/>
      <c r="CY746" s="1391"/>
      <c r="CZ746" s="1391"/>
      <c r="DA746" s="1391"/>
      <c r="DB746" s="1391"/>
      <c r="DC746" s="1391"/>
      <c r="DD746" s="1391"/>
      <c r="DE746" s="1391"/>
      <c r="DF746" s="1391"/>
      <c r="DG746" s="1391"/>
      <c r="DH746" s="1391"/>
      <c r="DI746" s="1391"/>
    </row>
    <row r="747" spans="1:113" ht="15.75" x14ac:dyDescent="0.25">
      <c r="A747" s="1420" t="s">
        <v>3330</v>
      </c>
      <c r="B747" s="1439" t="e">
        <f>B741+B742+B743+B744+B745+B746</f>
        <v>#DIV/0!</v>
      </c>
      <c r="C747" s="1562"/>
      <c r="D747" s="1531"/>
      <c r="E747" s="1531"/>
      <c r="F747" s="1531"/>
      <c r="G747" s="1531"/>
      <c r="H747" s="1531"/>
      <c r="I747" s="1531"/>
      <c r="J747" s="1531"/>
      <c r="K747" s="1531"/>
      <c r="L747" s="1531"/>
      <c r="M747" s="1531"/>
      <c r="N747" s="1531"/>
      <c r="O747" s="1531"/>
      <c r="P747" s="1531"/>
      <c r="Q747" s="1531"/>
      <c r="R747" s="1531"/>
      <c r="S747" s="1531"/>
      <c r="T747" s="1531"/>
      <c r="U747" s="1531"/>
      <c r="V747" s="1531"/>
      <c r="W747" s="1531"/>
      <c r="X747" s="1531"/>
      <c r="Y747" s="1531"/>
      <c r="Z747" s="1531"/>
      <c r="AA747" s="1531"/>
      <c r="AB747" s="1531"/>
      <c r="AC747" s="1531"/>
      <c r="AD747" s="1531"/>
      <c r="AE747" s="1531"/>
      <c r="AF747" s="1531"/>
      <c r="AG747" s="1531"/>
      <c r="AH747" s="1531"/>
      <c r="AI747" s="1531"/>
      <c r="AJ747" s="1531"/>
      <c r="AK747" s="1531"/>
      <c r="AL747" s="1531"/>
      <c r="AM747" s="1531"/>
      <c r="AN747" s="1531"/>
      <c r="AO747" s="1531"/>
      <c r="AP747" s="1531"/>
      <c r="AQ747" s="1531"/>
      <c r="AR747" s="1531"/>
      <c r="AS747" s="1531"/>
      <c r="AT747" s="1531"/>
      <c r="AU747" s="1531"/>
      <c r="AV747" s="1531"/>
      <c r="AW747" s="1531"/>
      <c r="AX747" s="1531"/>
      <c r="AY747" s="1531"/>
      <c r="AZ747" s="1531"/>
      <c r="BA747" s="1136"/>
      <c r="BB747" s="1136"/>
      <c r="BC747" s="1136"/>
      <c r="BD747" s="1136"/>
      <c r="BE747" s="1136"/>
      <c r="BF747" s="1136"/>
      <c r="BG747" s="1136"/>
      <c r="BH747" s="1136"/>
      <c r="BI747" s="1136"/>
      <c r="BJ747" s="1136"/>
      <c r="BK747" s="1136"/>
      <c r="BL747" s="1136"/>
      <c r="BM747" s="1568"/>
      <c r="BN747" s="1391"/>
      <c r="BO747" s="1391"/>
      <c r="BP747" s="1391"/>
      <c r="BQ747" s="1391"/>
      <c r="BR747" s="1391"/>
      <c r="BS747" s="1391"/>
      <c r="BT747" s="1391"/>
      <c r="BU747" s="1391"/>
      <c r="BV747" s="1391"/>
      <c r="BW747" s="1391"/>
      <c r="BX747" s="1391"/>
      <c r="BY747" s="1391"/>
      <c r="BZ747" s="1391"/>
      <c r="CA747" s="1391"/>
      <c r="CB747" s="1391"/>
      <c r="CC747" s="1391"/>
      <c r="CD747" s="1391"/>
      <c r="CE747" s="1391"/>
      <c r="CF747" s="1391"/>
      <c r="CG747" s="1391"/>
      <c r="CH747" s="1391"/>
      <c r="CI747" s="1391"/>
      <c r="CJ747" s="1391"/>
      <c r="CK747" s="1391"/>
      <c r="CL747" s="1391"/>
      <c r="CM747" s="1391"/>
      <c r="CN747" s="1391"/>
      <c r="CO747" s="1391"/>
      <c r="CP747" s="1391"/>
      <c r="CQ747" s="1391"/>
      <c r="CR747" s="1391"/>
      <c r="CS747" s="1391"/>
      <c r="CT747" s="1391"/>
      <c r="CU747" s="1391"/>
      <c r="CV747" s="1391"/>
      <c r="CW747" s="1391"/>
      <c r="CX747" s="1391"/>
      <c r="CY747" s="1391"/>
      <c r="CZ747" s="1391"/>
      <c r="DA747" s="1391"/>
      <c r="DB747" s="1391"/>
      <c r="DC747" s="1391"/>
      <c r="DD747" s="1391"/>
      <c r="DE747" s="1391"/>
      <c r="DF747" s="1391"/>
      <c r="DG747" s="1391"/>
      <c r="DH747" s="1391"/>
      <c r="DI747" s="1391"/>
    </row>
    <row r="748" spans="1:113" ht="15.75" x14ac:dyDescent="0.25">
      <c r="A748" s="1420" t="s">
        <v>3332</v>
      </c>
      <c r="B748" s="1443" t="e">
        <f>B747*B735</f>
        <v>#DIV/0!</v>
      </c>
      <c r="C748" s="1521"/>
      <c r="D748" s="1523"/>
      <c r="E748" s="1523"/>
      <c r="F748" s="1523"/>
      <c r="G748" s="1523"/>
      <c r="H748" s="1531"/>
      <c r="I748" s="1531"/>
      <c r="J748" s="1531"/>
      <c r="K748" s="1531"/>
      <c r="L748" s="1531"/>
      <c r="M748" s="1531"/>
      <c r="N748" s="1531"/>
      <c r="O748" s="1531"/>
      <c r="P748" s="1531"/>
      <c r="Q748" s="1531"/>
      <c r="R748" s="1531"/>
      <c r="S748" s="1531"/>
      <c r="T748" s="1531"/>
      <c r="U748" s="1531"/>
      <c r="V748" s="1531"/>
      <c r="W748" s="1531"/>
      <c r="X748" s="1531"/>
      <c r="Y748" s="1531"/>
      <c r="Z748" s="1531"/>
      <c r="AA748" s="1531"/>
      <c r="AB748" s="1531"/>
      <c r="AC748" s="1531"/>
      <c r="AD748" s="1531"/>
      <c r="AE748" s="1531"/>
      <c r="AF748" s="1531"/>
      <c r="AG748" s="1531"/>
      <c r="AH748" s="1531"/>
      <c r="AI748" s="1531"/>
      <c r="AJ748" s="1531"/>
      <c r="AK748" s="1531"/>
      <c r="AL748" s="1531"/>
      <c r="AM748" s="1531"/>
      <c r="AN748" s="1531"/>
      <c r="AO748" s="1531"/>
      <c r="AP748" s="1531"/>
      <c r="AQ748" s="1531"/>
      <c r="AR748" s="1531"/>
      <c r="AS748" s="1531"/>
      <c r="AT748" s="1531"/>
      <c r="AU748" s="1531"/>
      <c r="AV748" s="1531"/>
      <c r="AW748" s="1531"/>
      <c r="AX748" s="1531"/>
      <c r="AY748" s="1531"/>
      <c r="AZ748" s="1531"/>
      <c r="BA748" s="1136"/>
      <c r="BB748" s="1136"/>
      <c r="BC748" s="1136"/>
      <c r="BD748" s="1136"/>
      <c r="BE748" s="1136"/>
      <c r="BF748" s="1136"/>
      <c r="BG748" s="1136"/>
      <c r="BH748" s="1136"/>
      <c r="BI748" s="1136"/>
      <c r="BJ748" s="1136"/>
      <c r="BK748" s="1136"/>
      <c r="BL748" s="1136"/>
      <c r="BM748" s="1568"/>
      <c r="BN748" s="1391"/>
      <c r="BO748" s="1391"/>
      <c r="BP748" s="1391"/>
      <c r="BQ748" s="1391"/>
      <c r="BR748" s="1391"/>
      <c r="BS748" s="1391"/>
      <c r="BT748" s="1391"/>
      <c r="BU748" s="1391"/>
      <c r="BV748" s="1391"/>
      <c r="BW748" s="1391"/>
      <c r="BX748" s="1391"/>
      <c r="BY748" s="1391"/>
      <c r="BZ748" s="1391"/>
      <c r="CA748" s="1391"/>
      <c r="CB748" s="1391"/>
      <c r="CC748" s="1391"/>
      <c r="CD748" s="1391"/>
      <c r="CE748" s="1391"/>
      <c r="CF748" s="1391"/>
      <c r="CG748" s="1391"/>
      <c r="CH748" s="1391"/>
      <c r="CI748" s="1391"/>
      <c r="CJ748" s="1391"/>
      <c r="CK748" s="1391"/>
      <c r="CL748" s="1391"/>
      <c r="CM748" s="1391"/>
      <c r="CN748" s="1391"/>
      <c r="CO748" s="1391"/>
      <c r="CP748" s="1391"/>
      <c r="CQ748" s="1391"/>
      <c r="CR748" s="1391"/>
      <c r="CS748" s="1391"/>
      <c r="CT748" s="1391"/>
      <c r="CU748" s="1391"/>
      <c r="CV748" s="1391"/>
      <c r="CW748" s="1391"/>
      <c r="CX748" s="1391"/>
      <c r="CY748" s="1391"/>
      <c r="CZ748" s="1391"/>
      <c r="DA748" s="1391"/>
      <c r="DB748" s="1391"/>
      <c r="DC748" s="1391"/>
      <c r="DD748" s="1391"/>
      <c r="DE748" s="1391"/>
      <c r="DF748" s="1391"/>
      <c r="DG748" s="1391"/>
      <c r="DH748" s="1391"/>
      <c r="DI748" s="1391"/>
    </row>
    <row r="749" spans="1:113" ht="15.75" x14ac:dyDescent="0.25">
      <c r="A749" s="1452" t="s">
        <v>3333</v>
      </c>
      <c r="B749" s="1467" t="e">
        <f>IF(B323=1,B748,0)</f>
        <v>#DIV/0!</v>
      </c>
      <c r="C749" s="1590"/>
      <c r="D749" s="1523"/>
      <c r="E749" s="1523"/>
      <c r="F749" s="1523"/>
      <c r="G749" s="1523"/>
      <c r="H749" s="1531"/>
      <c r="I749" s="1531"/>
      <c r="J749" s="1531"/>
      <c r="K749" s="1531"/>
      <c r="L749" s="1531"/>
      <c r="M749" s="1531"/>
      <c r="N749" s="1531"/>
      <c r="O749" s="1531"/>
      <c r="P749" s="1531"/>
      <c r="Q749" s="1531"/>
      <c r="R749" s="1531"/>
      <c r="S749" s="1531"/>
      <c r="T749" s="1531"/>
      <c r="U749" s="1531"/>
      <c r="V749" s="1531"/>
      <c r="W749" s="1531"/>
      <c r="X749" s="1531"/>
      <c r="Y749" s="1531"/>
      <c r="Z749" s="1531"/>
      <c r="AA749" s="1531"/>
      <c r="AB749" s="1531"/>
      <c r="AC749" s="1531"/>
      <c r="AD749" s="1531"/>
      <c r="AE749" s="1531"/>
      <c r="AF749" s="1531"/>
      <c r="AG749" s="1531"/>
      <c r="AH749" s="1531"/>
      <c r="AI749" s="1531"/>
      <c r="AJ749" s="1531"/>
      <c r="AK749" s="1531"/>
      <c r="AL749" s="1531"/>
      <c r="AM749" s="1531"/>
      <c r="AN749" s="1531"/>
      <c r="AO749" s="1531"/>
      <c r="AP749" s="1531"/>
      <c r="AQ749" s="1531"/>
      <c r="AR749" s="1531"/>
      <c r="AS749" s="1531"/>
      <c r="AT749" s="1531"/>
      <c r="AU749" s="1531"/>
      <c r="AV749" s="1531"/>
      <c r="AW749" s="1531"/>
      <c r="AX749" s="1531"/>
      <c r="AY749" s="1531"/>
      <c r="AZ749" s="1531"/>
      <c r="BA749" s="1136"/>
      <c r="BB749" s="1136"/>
      <c r="BC749" s="1136"/>
      <c r="BD749" s="1136"/>
      <c r="BE749" s="1136"/>
      <c r="BF749" s="1136"/>
      <c r="BG749" s="1136"/>
      <c r="BH749" s="1136"/>
      <c r="BI749" s="1136"/>
      <c r="BJ749" s="1136"/>
      <c r="BK749" s="1136"/>
      <c r="BL749" s="1136"/>
      <c r="BM749" s="1568"/>
      <c r="BN749" s="1391"/>
      <c r="BO749" s="1391"/>
      <c r="BP749" s="1391"/>
      <c r="BQ749" s="1391"/>
      <c r="BR749" s="1391"/>
      <c r="BS749" s="1391"/>
      <c r="BT749" s="1391"/>
      <c r="BU749" s="1391"/>
      <c r="BV749" s="1391"/>
      <c r="BW749" s="1391"/>
      <c r="BX749" s="1391"/>
      <c r="BY749" s="1391"/>
      <c r="BZ749" s="1391"/>
      <c r="CA749" s="1391"/>
      <c r="CB749" s="1391"/>
      <c r="CC749" s="1391"/>
      <c r="CD749" s="1391"/>
      <c r="CE749" s="1391"/>
      <c r="CF749" s="1391"/>
      <c r="CG749" s="1391"/>
      <c r="CH749" s="1391"/>
      <c r="CI749" s="1391"/>
      <c r="CJ749" s="1391"/>
      <c r="CK749" s="1391"/>
      <c r="CL749" s="1391"/>
      <c r="CM749" s="1391"/>
      <c r="CN749" s="1391"/>
      <c r="CO749" s="1391"/>
      <c r="CP749" s="1391"/>
      <c r="CQ749" s="1391"/>
      <c r="CR749" s="1391"/>
      <c r="CS749" s="1391"/>
      <c r="CT749" s="1391"/>
      <c r="CU749" s="1391"/>
      <c r="CV749" s="1391"/>
      <c r="CW749" s="1391"/>
      <c r="CX749" s="1391"/>
      <c r="CY749" s="1391"/>
      <c r="CZ749" s="1391"/>
      <c r="DA749" s="1391"/>
      <c r="DB749" s="1391"/>
      <c r="DC749" s="1391"/>
      <c r="DD749" s="1391"/>
      <c r="DE749" s="1391"/>
      <c r="DF749" s="1391"/>
      <c r="DG749" s="1391"/>
      <c r="DH749" s="1391"/>
      <c r="DI749" s="1391"/>
    </row>
    <row r="750" spans="1:113" ht="15.75" x14ac:dyDescent="0.25">
      <c r="A750" s="1471"/>
      <c r="B750" s="1573"/>
      <c r="C750" s="1591"/>
      <c r="D750" s="1589"/>
      <c r="E750" s="1589"/>
      <c r="F750" s="1589"/>
      <c r="G750" s="1589"/>
      <c r="H750" s="1531"/>
      <c r="I750" s="1531"/>
      <c r="J750" s="1531"/>
      <c r="K750" s="1531"/>
      <c r="L750" s="1531"/>
      <c r="M750" s="1531"/>
      <c r="N750" s="1531"/>
      <c r="O750" s="1531"/>
      <c r="P750" s="1531"/>
      <c r="Q750" s="1531"/>
      <c r="R750" s="1531"/>
      <c r="S750" s="1531"/>
      <c r="T750" s="1531"/>
      <c r="U750" s="1531"/>
      <c r="V750" s="1531"/>
      <c r="W750" s="1531"/>
      <c r="X750" s="1531"/>
      <c r="Y750" s="1531"/>
      <c r="Z750" s="1531"/>
      <c r="AA750" s="1531"/>
      <c r="AB750" s="1531"/>
      <c r="AC750" s="1531"/>
      <c r="AD750" s="1531"/>
      <c r="AE750" s="1531"/>
      <c r="AF750" s="1531"/>
      <c r="AG750" s="1531"/>
      <c r="AH750" s="1531"/>
      <c r="AI750" s="1531"/>
      <c r="AJ750" s="1531"/>
      <c r="AK750" s="1531"/>
      <c r="AL750" s="1531"/>
      <c r="AM750" s="1531"/>
      <c r="AN750" s="1531"/>
      <c r="AO750" s="1531"/>
      <c r="AP750" s="1531"/>
      <c r="AQ750" s="1531"/>
      <c r="AR750" s="1531"/>
      <c r="AS750" s="1531"/>
      <c r="AT750" s="1531"/>
      <c r="AU750" s="1531"/>
      <c r="AV750" s="1531"/>
      <c r="AW750" s="1531"/>
      <c r="AX750" s="1531"/>
      <c r="AY750" s="1531"/>
      <c r="AZ750" s="1531"/>
      <c r="BA750" s="1136"/>
      <c r="BB750" s="1136"/>
      <c r="BC750" s="1136"/>
      <c r="BD750" s="1136"/>
      <c r="BE750" s="1136"/>
      <c r="BF750" s="1136"/>
      <c r="BG750" s="1136"/>
      <c r="BH750" s="1136"/>
      <c r="BI750" s="1136"/>
      <c r="BJ750" s="1136"/>
      <c r="BK750" s="1136"/>
      <c r="BL750" s="1136"/>
      <c r="BM750" s="1568"/>
      <c r="BN750" s="1391"/>
      <c r="BO750" s="1391"/>
      <c r="BP750" s="1391"/>
      <c r="BQ750" s="1391"/>
      <c r="BR750" s="1391"/>
      <c r="BS750" s="1391"/>
      <c r="BT750" s="1391"/>
      <c r="BU750" s="1391"/>
      <c r="BV750" s="1391"/>
      <c r="BW750" s="1391"/>
      <c r="BX750" s="1391"/>
      <c r="BY750" s="1391"/>
      <c r="BZ750" s="1391"/>
      <c r="CA750" s="1391"/>
      <c r="CB750" s="1391"/>
      <c r="CC750" s="1391"/>
      <c r="CD750" s="1391"/>
      <c r="CE750" s="1391"/>
      <c r="CF750" s="1391"/>
      <c r="CG750" s="1391"/>
      <c r="CH750" s="1391"/>
      <c r="CI750" s="1391"/>
      <c r="CJ750" s="1391"/>
      <c r="CK750" s="1391"/>
      <c r="CL750" s="1391"/>
      <c r="CM750" s="1391"/>
      <c r="CN750" s="1391"/>
      <c r="CO750" s="1391"/>
      <c r="CP750" s="1391"/>
      <c r="CQ750" s="1391"/>
      <c r="CR750" s="1391"/>
      <c r="CS750" s="1391"/>
      <c r="CT750" s="1391"/>
      <c r="CU750" s="1391"/>
      <c r="CV750" s="1391"/>
      <c r="CW750" s="1391"/>
      <c r="CX750" s="1391"/>
      <c r="CY750" s="1391"/>
      <c r="CZ750" s="1391"/>
      <c r="DA750" s="1391"/>
      <c r="DB750" s="1391"/>
      <c r="DC750" s="1391"/>
      <c r="DD750" s="1391"/>
      <c r="DE750" s="1391"/>
      <c r="DF750" s="1391"/>
      <c r="DG750" s="1391"/>
      <c r="DH750" s="1391"/>
      <c r="DI750" s="1391"/>
    </row>
    <row r="751" spans="1:113" ht="15.75" x14ac:dyDescent="0.25">
      <c r="A751" s="1417" t="s">
        <v>2816</v>
      </c>
      <c r="B751" s="1469">
        <v>3</v>
      </c>
      <c r="C751" s="1470"/>
      <c r="D751" s="1589"/>
      <c r="E751" s="1589"/>
      <c r="F751" s="1589"/>
      <c r="G751" s="1589"/>
      <c r="H751" s="1531"/>
      <c r="I751" s="1531"/>
      <c r="J751" s="1531"/>
      <c r="K751" s="1531"/>
      <c r="L751" s="1531"/>
      <c r="M751" s="1531"/>
      <c r="N751" s="1531"/>
      <c r="O751" s="1531"/>
      <c r="P751" s="1531"/>
      <c r="Q751" s="1531"/>
      <c r="R751" s="1531"/>
      <c r="S751" s="1531"/>
      <c r="T751" s="1531"/>
      <c r="U751" s="1531"/>
      <c r="V751" s="1531"/>
      <c r="W751" s="1531"/>
      <c r="X751" s="1531"/>
      <c r="Y751" s="1531"/>
      <c r="Z751" s="1531"/>
      <c r="AA751" s="1531"/>
      <c r="AB751" s="1531"/>
      <c r="AC751" s="1531"/>
      <c r="AD751" s="1531"/>
      <c r="AE751" s="1531"/>
      <c r="AF751" s="1531"/>
      <c r="AG751" s="1531"/>
      <c r="AH751" s="1531"/>
      <c r="AI751" s="1531"/>
      <c r="AJ751" s="1531"/>
      <c r="AK751" s="1531"/>
      <c r="AL751" s="1531"/>
      <c r="AM751" s="1531"/>
      <c r="AN751" s="1531"/>
      <c r="AO751" s="1531"/>
      <c r="AP751" s="1531"/>
      <c r="AQ751" s="1531"/>
      <c r="AR751" s="1531"/>
      <c r="AS751" s="1531"/>
      <c r="AT751" s="1531"/>
      <c r="AU751" s="1531"/>
      <c r="AV751" s="1531"/>
      <c r="AW751" s="1531"/>
      <c r="AX751" s="1531"/>
      <c r="AY751" s="1531"/>
      <c r="AZ751" s="1531"/>
      <c r="BA751" s="1136"/>
      <c r="BB751" s="1136"/>
      <c r="BC751" s="1136"/>
      <c r="BD751" s="1136"/>
      <c r="BE751" s="1136"/>
      <c r="BF751" s="1136"/>
      <c r="BG751" s="1136"/>
      <c r="BH751" s="1136"/>
      <c r="BI751" s="1136"/>
      <c r="BJ751" s="1136"/>
      <c r="BK751" s="1136"/>
      <c r="BL751" s="1136"/>
      <c r="BM751" s="1568"/>
      <c r="BN751" s="1391"/>
      <c r="BO751" s="1391"/>
      <c r="BP751" s="1391"/>
      <c r="BQ751" s="1391"/>
      <c r="BR751" s="1391"/>
      <c r="BS751" s="1391"/>
      <c r="BT751" s="1391"/>
      <c r="BU751" s="1391"/>
      <c r="BV751" s="1391"/>
      <c r="BW751" s="1391"/>
      <c r="BX751" s="1391"/>
      <c r="BY751" s="1391"/>
      <c r="BZ751" s="1391"/>
      <c r="CA751" s="1391"/>
      <c r="CB751" s="1391"/>
      <c r="CC751" s="1391"/>
      <c r="CD751" s="1391"/>
      <c r="CE751" s="1391"/>
      <c r="CF751" s="1391"/>
      <c r="CG751" s="1391"/>
      <c r="CH751" s="1391"/>
      <c r="CI751" s="1391"/>
      <c r="CJ751" s="1391"/>
      <c r="CK751" s="1391"/>
      <c r="CL751" s="1391"/>
      <c r="CM751" s="1391"/>
      <c r="CN751" s="1391"/>
      <c r="CO751" s="1391"/>
      <c r="CP751" s="1391"/>
      <c r="CQ751" s="1391"/>
      <c r="CR751" s="1391"/>
      <c r="CS751" s="1391"/>
      <c r="CT751" s="1391"/>
      <c r="CU751" s="1391"/>
      <c r="CV751" s="1391"/>
      <c r="CW751" s="1391"/>
      <c r="CX751" s="1391"/>
      <c r="CY751" s="1391"/>
      <c r="CZ751" s="1391"/>
      <c r="DA751" s="1391"/>
      <c r="DB751" s="1391"/>
      <c r="DC751" s="1391"/>
      <c r="DD751" s="1391"/>
      <c r="DE751" s="1391"/>
      <c r="DF751" s="1391"/>
      <c r="DG751" s="1391"/>
      <c r="DH751" s="1391"/>
      <c r="DI751" s="1391"/>
    </row>
    <row r="752" spans="1:113" ht="15.75" x14ac:dyDescent="0.25">
      <c r="A752" s="1592" t="s">
        <v>2817</v>
      </c>
      <c r="B752" s="1586" t="e">
        <f>B286*B291*B290*B293*B285*B751/(B287*B329)</f>
        <v>#VALUE!</v>
      </c>
      <c r="C752" s="1593"/>
      <c r="D752" s="1589"/>
      <c r="E752" s="1589"/>
      <c r="F752" s="1589"/>
      <c r="G752" s="1589"/>
      <c r="H752" s="1531"/>
      <c r="I752" s="1531"/>
      <c r="J752" s="1531"/>
      <c r="K752" s="1531"/>
      <c r="L752" s="1531"/>
      <c r="M752" s="1531"/>
      <c r="N752" s="1531"/>
      <c r="O752" s="1531"/>
      <c r="P752" s="1531"/>
      <c r="Q752" s="1531"/>
      <c r="R752" s="1531"/>
      <c r="S752" s="1531"/>
      <c r="T752" s="1531"/>
      <c r="U752" s="1531"/>
      <c r="V752" s="1531"/>
      <c r="W752" s="1531"/>
      <c r="X752" s="1531"/>
      <c r="Y752" s="1531"/>
      <c r="Z752" s="1531"/>
      <c r="AA752" s="1531"/>
      <c r="AB752" s="1531"/>
      <c r="AC752" s="1531"/>
      <c r="AD752" s="1531"/>
      <c r="AE752" s="1531"/>
      <c r="AF752" s="1531"/>
      <c r="AG752" s="1531"/>
      <c r="AH752" s="1531"/>
      <c r="AI752" s="1531"/>
      <c r="AJ752" s="1531"/>
      <c r="AK752" s="1531"/>
      <c r="AL752" s="1531"/>
      <c r="AM752" s="1531"/>
      <c r="AN752" s="1531"/>
      <c r="AO752" s="1531"/>
      <c r="AP752" s="1531"/>
      <c r="AQ752" s="1531"/>
      <c r="AR752" s="1531"/>
      <c r="AS752" s="1531"/>
      <c r="AT752" s="1531"/>
      <c r="AU752" s="1531"/>
      <c r="AV752" s="1531"/>
      <c r="AW752" s="1531"/>
      <c r="AX752" s="1531"/>
      <c r="AY752" s="1531"/>
      <c r="AZ752" s="1531"/>
      <c r="BA752" s="1136"/>
      <c r="BB752" s="1136"/>
      <c r="BC752" s="1136"/>
      <c r="BD752" s="1136"/>
      <c r="BE752" s="1136"/>
      <c r="BF752" s="1136"/>
      <c r="BG752" s="1136"/>
      <c r="BH752" s="1136"/>
      <c r="BI752" s="1136"/>
      <c r="BJ752" s="1136"/>
      <c r="BK752" s="1136"/>
      <c r="BL752" s="1136"/>
      <c r="BM752" s="1568"/>
      <c r="BN752" s="1391"/>
      <c r="BO752" s="1391"/>
      <c r="BP752" s="1391"/>
      <c r="BQ752" s="1391"/>
      <c r="BR752" s="1391"/>
      <c r="BS752" s="1391"/>
      <c r="BT752" s="1391"/>
      <c r="BU752" s="1391"/>
      <c r="BV752" s="1391"/>
      <c r="BW752" s="1391"/>
      <c r="BX752" s="1391"/>
      <c r="BY752" s="1391"/>
      <c r="BZ752" s="1391"/>
      <c r="CA752" s="1391"/>
      <c r="CB752" s="1391"/>
      <c r="CC752" s="1391"/>
      <c r="CD752" s="1391"/>
      <c r="CE752" s="1391"/>
      <c r="CF752" s="1391"/>
      <c r="CG752" s="1391"/>
      <c r="CH752" s="1391"/>
      <c r="CI752" s="1391"/>
      <c r="CJ752" s="1391"/>
      <c r="CK752" s="1391"/>
      <c r="CL752" s="1391"/>
      <c r="CM752" s="1391"/>
      <c r="CN752" s="1391"/>
      <c r="CO752" s="1391"/>
      <c r="CP752" s="1391"/>
      <c r="CQ752" s="1391"/>
      <c r="CR752" s="1391"/>
      <c r="CS752" s="1391"/>
      <c r="CT752" s="1391"/>
      <c r="CU752" s="1391"/>
      <c r="CV752" s="1391"/>
      <c r="CW752" s="1391"/>
      <c r="CX752" s="1391"/>
      <c r="CY752" s="1391"/>
      <c r="CZ752" s="1391"/>
      <c r="DA752" s="1391"/>
      <c r="DB752" s="1391"/>
      <c r="DC752" s="1391"/>
      <c r="DD752" s="1391"/>
      <c r="DE752" s="1391"/>
      <c r="DF752" s="1391"/>
      <c r="DG752" s="1391"/>
      <c r="DH752" s="1391"/>
      <c r="DI752" s="1391"/>
    </row>
    <row r="753" spans="1:113" ht="15.75" x14ac:dyDescent="0.25">
      <c r="A753" s="1580" t="s">
        <v>1896</v>
      </c>
      <c r="B753" s="1588"/>
      <c r="C753" s="1593"/>
      <c r="D753" s="1589"/>
      <c r="E753" s="1589"/>
      <c r="F753" s="1589"/>
      <c r="G753" s="1589"/>
      <c r="H753" s="1531"/>
      <c r="I753" s="1531"/>
      <c r="J753" s="1531"/>
      <c r="K753" s="1531"/>
      <c r="L753" s="1531"/>
      <c r="M753" s="1531"/>
      <c r="N753" s="1531"/>
      <c r="O753" s="1531"/>
      <c r="P753" s="1531"/>
      <c r="Q753" s="1531"/>
      <c r="R753" s="1531"/>
      <c r="S753" s="1531"/>
      <c r="T753" s="1531"/>
      <c r="U753" s="1531"/>
      <c r="V753" s="1531"/>
      <c r="W753" s="1531"/>
      <c r="X753" s="1531"/>
      <c r="Y753" s="1531"/>
      <c r="Z753" s="1531"/>
      <c r="AA753" s="1531"/>
      <c r="AB753" s="1531"/>
      <c r="AC753" s="1531"/>
      <c r="AD753" s="1531"/>
      <c r="AE753" s="1531"/>
      <c r="AF753" s="1531"/>
      <c r="AG753" s="1531"/>
      <c r="AH753" s="1531"/>
      <c r="AI753" s="1531"/>
      <c r="AJ753" s="1531"/>
      <c r="AK753" s="1531"/>
      <c r="AL753" s="1531"/>
      <c r="AM753" s="1531"/>
      <c r="AN753" s="1531"/>
      <c r="AO753" s="1531"/>
      <c r="AP753" s="1531"/>
      <c r="AQ753" s="1531"/>
      <c r="AR753" s="1531"/>
      <c r="AS753" s="1531"/>
      <c r="AT753" s="1531"/>
      <c r="AU753" s="1531"/>
      <c r="AV753" s="1531"/>
      <c r="AW753" s="1531"/>
      <c r="AX753" s="1531"/>
      <c r="AY753" s="1531"/>
      <c r="AZ753" s="1531"/>
      <c r="BA753" s="1136"/>
      <c r="BB753" s="1136"/>
      <c r="BC753" s="1136"/>
      <c r="BD753" s="1136"/>
      <c r="BE753" s="1136"/>
      <c r="BF753" s="1136"/>
      <c r="BG753" s="1136"/>
      <c r="BH753" s="1136"/>
      <c r="BI753" s="1136"/>
      <c r="BJ753" s="1136"/>
      <c r="BK753" s="1136"/>
      <c r="BL753" s="1136"/>
      <c r="BM753" s="1568"/>
      <c r="BN753" s="1391"/>
      <c r="BO753" s="1391"/>
      <c r="BP753" s="1391"/>
      <c r="BQ753" s="1391"/>
      <c r="BR753" s="1391"/>
      <c r="BS753" s="1391"/>
      <c r="BT753" s="1391"/>
      <c r="BU753" s="1391"/>
      <c r="BV753" s="1391"/>
      <c r="BW753" s="1391"/>
      <c r="BX753" s="1391"/>
      <c r="BY753" s="1391"/>
      <c r="BZ753" s="1391"/>
      <c r="CA753" s="1391"/>
      <c r="CB753" s="1391"/>
      <c r="CC753" s="1391"/>
      <c r="CD753" s="1391"/>
      <c r="CE753" s="1391"/>
      <c r="CF753" s="1391"/>
      <c r="CG753" s="1391"/>
      <c r="CH753" s="1391"/>
      <c r="CI753" s="1391"/>
      <c r="CJ753" s="1391"/>
      <c r="CK753" s="1391"/>
      <c r="CL753" s="1391"/>
      <c r="CM753" s="1391"/>
      <c r="CN753" s="1391"/>
      <c r="CO753" s="1391"/>
      <c r="CP753" s="1391"/>
      <c r="CQ753" s="1391"/>
      <c r="CR753" s="1391"/>
      <c r="CS753" s="1391"/>
      <c r="CT753" s="1391"/>
      <c r="CU753" s="1391"/>
      <c r="CV753" s="1391"/>
      <c r="CW753" s="1391"/>
      <c r="CX753" s="1391"/>
      <c r="CY753" s="1391"/>
      <c r="CZ753" s="1391"/>
      <c r="DA753" s="1391"/>
      <c r="DB753" s="1391"/>
      <c r="DC753" s="1391"/>
      <c r="DD753" s="1391"/>
      <c r="DE753" s="1391"/>
      <c r="DF753" s="1391"/>
      <c r="DG753" s="1391"/>
      <c r="DH753" s="1391"/>
      <c r="DI753" s="1391"/>
    </row>
    <row r="754" spans="1:113" ht="15.75" x14ac:dyDescent="0.25">
      <c r="A754" s="1594" t="s">
        <v>1897</v>
      </c>
      <c r="B754" s="1588"/>
      <c r="C754" s="1593"/>
      <c r="D754" s="1562"/>
      <c r="E754" s="1562"/>
      <c r="F754" s="1562"/>
      <c r="G754" s="1562"/>
      <c r="H754" s="1531"/>
      <c r="I754" s="1531"/>
      <c r="J754" s="1531"/>
      <c r="K754" s="1531"/>
      <c r="L754" s="1531"/>
      <c r="M754" s="1531"/>
      <c r="N754" s="1531"/>
      <c r="O754" s="1531"/>
      <c r="P754" s="1531"/>
      <c r="Q754" s="1531"/>
      <c r="R754" s="1531"/>
      <c r="S754" s="1531"/>
      <c r="T754" s="1531"/>
      <c r="U754" s="1531"/>
      <c r="V754" s="1531"/>
      <c r="W754" s="1531"/>
      <c r="X754" s="1531"/>
      <c r="Y754" s="1531"/>
      <c r="Z754" s="1531"/>
      <c r="AA754" s="1531"/>
      <c r="AB754" s="1531"/>
      <c r="AC754" s="1531"/>
      <c r="AD754" s="1531"/>
      <c r="AE754" s="1531"/>
      <c r="AF754" s="1531"/>
      <c r="AG754" s="1531"/>
      <c r="AH754" s="1531"/>
      <c r="AI754" s="1531"/>
      <c r="AJ754" s="1531"/>
      <c r="AK754" s="1531"/>
      <c r="AL754" s="1531"/>
      <c r="AM754" s="1531"/>
      <c r="AN754" s="1531"/>
      <c r="AO754" s="1531"/>
      <c r="AP754" s="1531"/>
      <c r="AQ754" s="1531"/>
      <c r="AR754" s="1531"/>
      <c r="AS754" s="1531"/>
      <c r="AT754" s="1531"/>
      <c r="AU754" s="1531"/>
      <c r="AV754" s="1531"/>
      <c r="AW754" s="1531"/>
      <c r="AX754" s="1531"/>
      <c r="AY754" s="1531"/>
      <c r="AZ754" s="1531"/>
      <c r="BA754" s="1136"/>
      <c r="BB754" s="1136"/>
      <c r="BC754" s="1136"/>
      <c r="BD754" s="1136"/>
      <c r="BE754" s="1136"/>
      <c r="BF754" s="1136"/>
      <c r="BG754" s="1136"/>
      <c r="BH754" s="1136"/>
      <c r="BI754" s="1136"/>
      <c r="BJ754" s="1136"/>
      <c r="BK754" s="1136"/>
      <c r="BL754" s="1136"/>
      <c r="BM754" s="1568"/>
      <c r="BN754" s="1391"/>
      <c r="BO754" s="1391"/>
      <c r="BP754" s="1391"/>
      <c r="BQ754" s="1391"/>
      <c r="BR754" s="1391"/>
      <c r="BS754" s="1391"/>
      <c r="BT754" s="1391"/>
      <c r="BU754" s="1391"/>
      <c r="BV754" s="1391"/>
      <c r="BW754" s="1391"/>
      <c r="BX754" s="1391"/>
      <c r="BY754" s="1391"/>
      <c r="BZ754" s="1391"/>
      <c r="CA754" s="1391"/>
      <c r="CB754" s="1391"/>
      <c r="CC754" s="1391"/>
      <c r="CD754" s="1391"/>
      <c r="CE754" s="1391"/>
      <c r="CF754" s="1391"/>
      <c r="CG754" s="1391"/>
      <c r="CH754" s="1391"/>
      <c r="CI754" s="1391"/>
      <c r="CJ754" s="1391"/>
      <c r="CK754" s="1391"/>
      <c r="CL754" s="1391"/>
      <c r="CM754" s="1391"/>
      <c r="CN754" s="1391"/>
      <c r="CO754" s="1391"/>
      <c r="CP754" s="1391"/>
      <c r="CQ754" s="1391"/>
      <c r="CR754" s="1391"/>
      <c r="CS754" s="1391"/>
      <c r="CT754" s="1391"/>
      <c r="CU754" s="1391"/>
      <c r="CV754" s="1391"/>
      <c r="CW754" s="1391"/>
      <c r="CX754" s="1391"/>
      <c r="CY754" s="1391"/>
      <c r="CZ754" s="1391"/>
      <c r="DA754" s="1391"/>
      <c r="DB754" s="1391"/>
      <c r="DC754" s="1391"/>
      <c r="DD754" s="1391"/>
      <c r="DE754" s="1391"/>
      <c r="DF754" s="1391"/>
      <c r="DG754" s="1391"/>
      <c r="DH754" s="1391"/>
      <c r="DI754" s="1391"/>
    </row>
    <row r="755" spans="1:113" ht="15.75" x14ac:dyDescent="0.25">
      <c r="A755" s="1456" t="s">
        <v>1898</v>
      </c>
      <c r="B755" s="1441" t="e">
        <f>(CEILING((B326+B327/(B577-B348)),1))*B346*4</f>
        <v>#DIV/0!</v>
      </c>
      <c r="C755" s="1434"/>
      <c r="D755" s="1521"/>
      <c r="E755" s="1521"/>
      <c r="F755" s="1521"/>
      <c r="G755" s="1521"/>
      <c r="H755" s="1531"/>
      <c r="I755" s="1531"/>
      <c r="J755" s="1531"/>
      <c r="K755" s="1531"/>
      <c r="L755" s="1531"/>
      <c r="M755" s="1531"/>
      <c r="N755" s="1531"/>
      <c r="O755" s="1531"/>
      <c r="P755" s="1531"/>
      <c r="Q755" s="1531"/>
      <c r="R755" s="1531"/>
      <c r="S755" s="1531"/>
      <c r="T755" s="1531"/>
      <c r="U755" s="1531"/>
      <c r="V755" s="1531"/>
      <c r="W755" s="1531"/>
      <c r="X755" s="1531"/>
      <c r="Y755" s="1531"/>
      <c r="Z755" s="1531"/>
      <c r="AA755" s="1531"/>
      <c r="AB755" s="1531"/>
      <c r="AC755" s="1531"/>
      <c r="AD755" s="1531"/>
      <c r="AE755" s="1531"/>
      <c r="AF755" s="1531"/>
      <c r="AG755" s="1531"/>
      <c r="AH755" s="1531"/>
      <c r="AI755" s="1531"/>
      <c r="AJ755" s="1531"/>
      <c r="AK755" s="1531"/>
      <c r="AL755" s="1531"/>
      <c r="AM755" s="1531"/>
      <c r="AN755" s="1531"/>
      <c r="AO755" s="1531"/>
      <c r="AP755" s="1531"/>
      <c r="AQ755" s="1531"/>
      <c r="AR755" s="1531"/>
      <c r="AS755" s="1531"/>
      <c r="AT755" s="1531"/>
      <c r="AU755" s="1531"/>
      <c r="AV755" s="1531"/>
      <c r="AW755" s="1531"/>
      <c r="AX755" s="1531"/>
      <c r="AY755" s="1531"/>
      <c r="AZ755" s="1531"/>
      <c r="BA755" s="1136"/>
      <c r="BB755" s="1136"/>
      <c r="BC755" s="1136"/>
      <c r="BD755" s="1136"/>
      <c r="BE755" s="1136"/>
      <c r="BF755" s="1136"/>
      <c r="BG755" s="1136"/>
      <c r="BH755" s="1136"/>
      <c r="BI755" s="1136"/>
      <c r="BJ755" s="1136"/>
      <c r="BK755" s="1136"/>
      <c r="BL755" s="1136"/>
      <c r="BM755" s="1568"/>
      <c r="BN755" s="1391"/>
      <c r="BO755" s="1391"/>
      <c r="BP755" s="1391"/>
      <c r="BQ755" s="1391"/>
      <c r="BR755" s="1391"/>
      <c r="BS755" s="1391"/>
      <c r="BT755" s="1391"/>
      <c r="BU755" s="1391"/>
      <c r="BV755" s="1391"/>
      <c r="BW755" s="1391"/>
      <c r="BX755" s="1391"/>
      <c r="BY755" s="1391"/>
      <c r="BZ755" s="1391"/>
      <c r="CA755" s="1391"/>
      <c r="CB755" s="1391"/>
      <c r="CC755" s="1391"/>
      <c r="CD755" s="1391"/>
      <c r="CE755" s="1391"/>
      <c r="CF755" s="1391"/>
      <c r="CG755" s="1391"/>
      <c r="CH755" s="1391"/>
      <c r="CI755" s="1391"/>
      <c r="CJ755" s="1391"/>
      <c r="CK755" s="1391"/>
      <c r="CL755" s="1391"/>
      <c r="CM755" s="1391"/>
      <c r="CN755" s="1391"/>
      <c r="CO755" s="1391"/>
      <c r="CP755" s="1391"/>
      <c r="CQ755" s="1391"/>
      <c r="CR755" s="1391"/>
      <c r="CS755" s="1391"/>
      <c r="CT755" s="1391"/>
      <c r="CU755" s="1391"/>
      <c r="CV755" s="1391"/>
      <c r="CW755" s="1391"/>
      <c r="CX755" s="1391"/>
      <c r="CY755" s="1391"/>
      <c r="CZ755" s="1391"/>
      <c r="DA755" s="1391"/>
      <c r="DB755" s="1391"/>
      <c r="DC755" s="1391"/>
      <c r="DD755" s="1391"/>
      <c r="DE755" s="1391"/>
      <c r="DF755" s="1391"/>
      <c r="DG755" s="1391"/>
      <c r="DH755" s="1391"/>
      <c r="DI755" s="1391"/>
    </row>
    <row r="756" spans="1:113" ht="15.75" x14ac:dyDescent="0.25">
      <c r="A756" s="1417" t="s">
        <v>1899</v>
      </c>
      <c r="B756" s="1421" t="e">
        <f>ROUNDUP(((B326+B327)/B659),0)*B347</f>
        <v>#REF!</v>
      </c>
      <c r="C756" s="1416"/>
      <c r="D756" s="1590"/>
      <c r="E756" s="1590"/>
      <c r="F756" s="1590"/>
      <c r="G756" s="1590"/>
      <c r="H756" s="1531"/>
      <c r="I756" s="1531"/>
      <c r="J756" s="1531"/>
      <c r="K756" s="1531"/>
      <c r="L756" s="1531"/>
      <c r="M756" s="1531"/>
      <c r="N756" s="1531"/>
      <c r="O756" s="1531"/>
      <c r="P756" s="1531"/>
      <c r="Q756" s="1531"/>
      <c r="R756" s="1531"/>
      <c r="S756" s="1531"/>
      <c r="T756" s="1531"/>
      <c r="U756" s="1531"/>
      <c r="V756" s="1531"/>
      <c r="W756" s="1531"/>
      <c r="X756" s="1531"/>
      <c r="Y756" s="1531"/>
      <c r="Z756" s="1531"/>
      <c r="AA756" s="1531"/>
      <c r="AB756" s="1531"/>
      <c r="AC756" s="1531"/>
      <c r="AD756" s="1531"/>
      <c r="AE756" s="1531"/>
      <c r="AF756" s="1531"/>
      <c r="AG756" s="1531"/>
      <c r="AH756" s="1531"/>
      <c r="AI756" s="1531"/>
      <c r="AJ756" s="1531"/>
      <c r="AK756" s="1531"/>
      <c r="AL756" s="1531"/>
      <c r="AM756" s="1531"/>
      <c r="AN756" s="1531"/>
      <c r="AO756" s="1531"/>
      <c r="AP756" s="1531"/>
      <c r="AQ756" s="1531"/>
      <c r="AR756" s="1531"/>
      <c r="AS756" s="1531"/>
      <c r="AT756" s="1531"/>
      <c r="AU756" s="1531"/>
      <c r="AV756" s="1531"/>
      <c r="AW756" s="1531"/>
      <c r="AX756" s="1531"/>
      <c r="AY756" s="1531"/>
      <c r="AZ756" s="1531"/>
      <c r="BA756" s="1136"/>
      <c r="BB756" s="1136"/>
      <c r="BC756" s="1136"/>
      <c r="BD756" s="1136"/>
      <c r="BE756" s="1136"/>
      <c r="BF756" s="1136"/>
      <c r="BG756" s="1136"/>
      <c r="BH756" s="1136"/>
      <c r="BI756" s="1136"/>
      <c r="BJ756" s="1136"/>
      <c r="BK756" s="1136"/>
      <c r="BL756" s="1136"/>
      <c r="BM756" s="1568"/>
      <c r="BN756" s="1391"/>
      <c r="BO756" s="1391"/>
      <c r="BP756" s="1391"/>
      <c r="BQ756" s="1391"/>
      <c r="BR756" s="1391"/>
      <c r="BS756" s="1391"/>
      <c r="BT756" s="1391"/>
      <c r="BU756" s="1391"/>
      <c r="BV756" s="1391"/>
      <c r="BW756" s="1391"/>
      <c r="BX756" s="1391"/>
      <c r="BY756" s="1391"/>
      <c r="BZ756" s="1391"/>
      <c r="CA756" s="1391"/>
      <c r="CB756" s="1391"/>
      <c r="CC756" s="1391"/>
      <c r="CD756" s="1391"/>
      <c r="CE756" s="1391"/>
      <c r="CF756" s="1391"/>
      <c r="CG756" s="1391"/>
      <c r="CH756" s="1391"/>
      <c r="CI756" s="1391"/>
      <c r="CJ756" s="1391"/>
      <c r="CK756" s="1391"/>
      <c r="CL756" s="1391"/>
      <c r="CM756" s="1391"/>
      <c r="CN756" s="1391"/>
      <c r="CO756" s="1391"/>
      <c r="CP756" s="1391"/>
      <c r="CQ756" s="1391"/>
      <c r="CR756" s="1391"/>
      <c r="CS756" s="1391"/>
      <c r="CT756" s="1391"/>
      <c r="CU756" s="1391"/>
      <c r="CV756" s="1391"/>
      <c r="CW756" s="1391"/>
      <c r="CX756" s="1391"/>
      <c r="CY756" s="1391"/>
      <c r="CZ756" s="1391"/>
      <c r="DA756" s="1391"/>
      <c r="DB756" s="1391"/>
      <c r="DC756" s="1391"/>
      <c r="DD756" s="1391"/>
      <c r="DE756" s="1391"/>
      <c r="DF756" s="1391"/>
      <c r="DG756" s="1391"/>
      <c r="DH756" s="1391"/>
      <c r="DI756" s="1391"/>
    </row>
    <row r="757" spans="1:113" ht="15.75" x14ac:dyDescent="0.25">
      <c r="A757" s="1430" t="s">
        <v>1900</v>
      </c>
      <c r="B757" s="1588" t="e">
        <f>(B755+B756)*B752/100</f>
        <v>#DIV/0!</v>
      </c>
      <c r="C757" s="1593"/>
      <c r="D757" s="1350"/>
      <c r="E757" s="1350"/>
      <c r="F757" s="1350"/>
      <c r="G757" s="1350"/>
      <c r="H757" s="1350"/>
      <c r="I757" s="1350"/>
      <c r="J757" s="1350"/>
      <c r="K757" s="1350"/>
      <c r="L757" s="1350"/>
      <c r="M757" s="1350"/>
      <c r="N757" s="1350"/>
      <c r="O757" s="1350"/>
      <c r="P757" s="1531"/>
      <c r="Q757" s="1531"/>
      <c r="R757" s="1531"/>
      <c r="S757" s="1531"/>
      <c r="T757" s="1531"/>
      <c r="U757" s="1531"/>
      <c r="V757" s="1531"/>
      <c r="W757" s="1531"/>
      <c r="X757" s="1531"/>
      <c r="Y757" s="1531"/>
      <c r="Z757" s="1531"/>
      <c r="AA757" s="1531"/>
      <c r="AB757" s="1531"/>
      <c r="AC757" s="1531"/>
      <c r="AD757" s="1531"/>
      <c r="AE757" s="1531"/>
      <c r="AF757" s="1531"/>
      <c r="AG757" s="1531"/>
      <c r="AH757" s="1531"/>
      <c r="AI757" s="1531"/>
      <c r="AJ757" s="1531"/>
      <c r="AK757" s="1531"/>
      <c r="AL757" s="1531"/>
      <c r="AM757" s="1531"/>
      <c r="AN757" s="1531"/>
      <c r="AO757" s="1531"/>
      <c r="AP757" s="1531"/>
      <c r="AQ757" s="1531"/>
      <c r="AR757" s="1531"/>
      <c r="AS757" s="1531"/>
      <c r="AT757" s="1531"/>
      <c r="AU757" s="1531"/>
      <c r="AV757" s="1531"/>
      <c r="AW757" s="1531"/>
      <c r="AX757" s="1531"/>
      <c r="AY757" s="1531"/>
      <c r="AZ757" s="1531"/>
      <c r="BA757" s="1136"/>
      <c r="BB757" s="1136"/>
      <c r="BC757" s="1136"/>
      <c r="BD757" s="1136"/>
      <c r="BE757" s="1136"/>
      <c r="BF757" s="1136"/>
      <c r="BG757" s="1136"/>
      <c r="BH757" s="1136"/>
      <c r="BI757" s="1136"/>
      <c r="BJ757" s="1136"/>
      <c r="BK757" s="1136"/>
      <c r="BL757" s="1136"/>
      <c r="BM757" s="1568"/>
      <c r="BN757" s="1391"/>
      <c r="BO757" s="1391"/>
      <c r="BP757" s="1391"/>
      <c r="BQ757" s="1391"/>
      <c r="BR757" s="1391"/>
      <c r="BS757" s="1391"/>
      <c r="BT757" s="1391"/>
      <c r="BU757" s="1391"/>
      <c r="BV757" s="1391"/>
      <c r="BW757" s="1391"/>
      <c r="BX757" s="1391"/>
      <c r="BY757" s="1391"/>
      <c r="BZ757" s="1391"/>
      <c r="CA757" s="1391"/>
      <c r="CB757" s="1391"/>
      <c r="CC757" s="1391"/>
      <c r="CD757" s="1391"/>
      <c r="CE757" s="1391"/>
      <c r="CF757" s="1391"/>
      <c r="CG757" s="1391"/>
      <c r="CH757" s="1391"/>
      <c r="CI757" s="1391"/>
      <c r="CJ757" s="1391"/>
      <c r="CK757" s="1391"/>
      <c r="CL757" s="1391"/>
      <c r="CM757" s="1391"/>
      <c r="CN757" s="1391"/>
      <c r="CO757" s="1391"/>
      <c r="CP757" s="1391"/>
      <c r="CQ757" s="1391"/>
      <c r="CR757" s="1391"/>
      <c r="CS757" s="1391"/>
      <c r="CT757" s="1391"/>
      <c r="CU757" s="1391"/>
      <c r="CV757" s="1391"/>
      <c r="CW757" s="1391"/>
      <c r="CX757" s="1391"/>
      <c r="CY757" s="1391"/>
      <c r="CZ757" s="1391"/>
      <c r="DA757" s="1391"/>
      <c r="DB757" s="1391"/>
      <c r="DC757" s="1391"/>
      <c r="DD757" s="1391"/>
      <c r="DE757" s="1391"/>
      <c r="DF757" s="1391"/>
      <c r="DG757" s="1391"/>
      <c r="DH757" s="1391"/>
      <c r="DI757" s="1391"/>
    </row>
    <row r="758" spans="1:113" ht="15.75" x14ac:dyDescent="0.25">
      <c r="A758" s="1456" t="s">
        <v>1901</v>
      </c>
      <c r="B758" s="1469">
        <v>800</v>
      </c>
      <c r="C758" s="1470"/>
      <c r="D758" s="1470"/>
      <c r="E758" s="1470"/>
      <c r="F758" s="1470"/>
      <c r="G758" s="1470"/>
      <c r="H758" s="1350"/>
      <c r="I758" s="1350"/>
      <c r="J758" s="1350"/>
      <c r="K758" s="1350"/>
      <c r="L758" s="1350"/>
      <c r="M758" s="1350"/>
      <c r="N758" s="1350"/>
      <c r="O758" s="1350"/>
      <c r="P758" s="1531"/>
      <c r="Q758" s="1531"/>
      <c r="R758" s="1531"/>
      <c r="S758" s="1531"/>
      <c r="T758" s="1531"/>
      <c r="U758" s="1531"/>
      <c r="V758" s="1531"/>
      <c r="W758" s="1531"/>
      <c r="X758" s="1531"/>
      <c r="Y758" s="1531"/>
      <c r="Z758" s="1531"/>
      <c r="AA758" s="1531"/>
      <c r="AB758" s="1531"/>
      <c r="AC758" s="1531"/>
      <c r="AD758" s="1531"/>
      <c r="AE758" s="1531"/>
      <c r="AF758" s="1531"/>
      <c r="AG758" s="1531"/>
      <c r="AH758" s="1531"/>
      <c r="AI758" s="1531"/>
      <c r="AJ758" s="1531"/>
      <c r="AK758" s="1531"/>
      <c r="AL758" s="1531"/>
      <c r="AM758" s="1531"/>
      <c r="AN758" s="1531"/>
      <c r="AO758" s="1531"/>
      <c r="AP758" s="1531"/>
      <c r="AQ758" s="1531"/>
      <c r="AR758" s="1531"/>
      <c r="AS758" s="1531"/>
      <c r="AT758" s="1531"/>
      <c r="AU758" s="1531"/>
      <c r="AV758" s="1531"/>
      <c r="AW758" s="1531"/>
      <c r="AX758" s="1531"/>
      <c r="AY758" s="1531"/>
      <c r="AZ758" s="1531"/>
      <c r="BA758" s="1136"/>
      <c r="BB758" s="1136"/>
      <c r="BC758" s="1136"/>
      <c r="BD758" s="1136"/>
      <c r="BE758" s="1136"/>
      <c r="BF758" s="1136"/>
      <c r="BG758" s="1136"/>
      <c r="BH758" s="1136"/>
      <c r="BI758" s="1136"/>
      <c r="BJ758" s="1136"/>
      <c r="BK758" s="1136"/>
      <c r="BL758" s="1136"/>
      <c r="BM758" s="1568"/>
      <c r="BN758" s="1391"/>
      <c r="BO758" s="1391"/>
      <c r="BP758" s="1391"/>
      <c r="BQ758" s="1391"/>
      <c r="BR758" s="1391"/>
      <c r="BS758" s="1391"/>
      <c r="BT758" s="1391"/>
      <c r="BU758" s="1391"/>
      <c r="BV758" s="1391"/>
      <c r="BW758" s="1391"/>
      <c r="BX758" s="1391"/>
      <c r="BY758" s="1391"/>
      <c r="BZ758" s="1391"/>
      <c r="CA758" s="1391"/>
      <c r="CB758" s="1391"/>
      <c r="CC758" s="1391"/>
      <c r="CD758" s="1391"/>
      <c r="CE758" s="1391"/>
      <c r="CF758" s="1391"/>
      <c r="CG758" s="1391"/>
      <c r="CH758" s="1391"/>
      <c r="CI758" s="1391"/>
      <c r="CJ758" s="1391"/>
      <c r="CK758" s="1391"/>
      <c r="CL758" s="1391"/>
      <c r="CM758" s="1391"/>
      <c r="CN758" s="1391"/>
      <c r="CO758" s="1391"/>
      <c r="CP758" s="1391"/>
      <c r="CQ758" s="1391"/>
      <c r="CR758" s="1391"/>
      <c r="CS758" s="1391"/>
      <c r="CT758" s="1391"/>
      <c r="CU758" s="1391"/>
      <c r="CV758" s="1391"/>
      <c r="CW758" s="1391"/>
      <c r="CX758" s="1391"/>
      <c r="CY758" s="1391"/>
      <c r="CZ758" s="1391"/>
      <c r="DA758" s="1391"/>
      <c r="DB758" s="1391"/>
      <c r="DC758" s="1391"/>
      <c r="DD758" s="1391"/>
      <c r="DE758" s="1391"/>
      <c r="DF758" s="1391"/>
      <c r="DG758" s="1391"/>
      <c r="DH758" s="1391"/>
      <c r="DI758" s="1391"/>
    </row>
    <row r="759" spans="1:113" ht="15.75" x14ac:dyDescent="0.25">
      <c r="A759" s="1430" t="s">
        <v>1902</v>
      </c>
      <c r="B759" s="1433" t="e">
        <f>B757*B758</f>
        <v>#DIV/0!</v>
      </c>
      <c r="C759" s="1437"/>
      <c r="D759" s="1593"/>
      <c r="E759" s="1593"/>
      <c r="F759" s="1593"/>
      <c r="G759" s="1593"/>
      <c r="H759" s="1350"/>
      <c r="I759" s="1350"/>
      <c r="J759" s="1350"/>
      <c r="K759" s="1350"/>
      <c r="L759" s="1350"/>
      <c r="M759" s="1350"/>
      <c r="N759" s="1350"/>
      <c r="O759" s="1350"/>
      <c r="P759" s="1531"/>
      <c r="Q759" s="1531"/>
      <c r="R759" s="1531"/>
      <c r="S759" s="1531"/>
      <c r="T759" s="1531"/>
      <c r="U759" s="1531"/>
      <c r="V759" s="1531"/>
      <c r="W759" s="1531"/>
      <c r="X759" s="1531"/>
      <c r="Y759" s="1531"/>
      <c r="Z759" s="1531"/>
      <c r="AA759" s="1531"/>
      <c r="AB759" s="1531"/>
      <c r="AC759" s="1531"/>
      <c r="AD759" s="1531"/>
      <c r="AE759" s="1531"/>
      <c r="AF759" s="1531"/>
      <c r="AG759" s="1531"/>
      <c r="AH759" s="1531"/>
      <c r="AI759" s="1531"/>
      <c r="AJ759" s="1531"/>
      <c r="AK759" s="1531"/>
      <c r="AL759" s="1531"/>
      <c r="AM759" s="1531"/>
      <c r="AN759" s="1531"/>
      <c r="AO759" s="1531"/>
      <c r="AP759" s="1531"/>
      <c r="AQ759" s="1531"/>
      <c r="AR759" s="1531"/>
      <c r="AS759" s="1531"/>
      <c r="AT759" s="1531"/>
      <c r="AU759" s="1531"/>
      <c r="AV759" s="1531"/>
      <c r="AW759" s="1531"/>
      <c r="AX759" s="1531"/>
      <c r="AY759" s="1531"/>
      <c r="AZ759" s="1531"/>
      <c r="BA759" s="1136"/>
      <c r="BB759" s="1136"/>
      <c r="BC759" s="1136"/>
      <c r="BD759" s="1136"/>
      <c r="BE759" s="1136"/>
      <c r="BF759" s="1136"/>
      <c r="BG759" s="1136"/>
      <c r="BH759" s="1136"/>
      <c r="BI759" s="1136"/>
      <c r="BJ759" s="1136"/>
      <c r="BK759" s="1136"/>
      <c r="BL759" s="1136"/>
      <c r="BM759" s="1568"/>
      <c r="BN759" s="1391"/>
      <c r="BO759" s="1391"/>
      <c r="BP759" s="1391"/>
      <c r="BQ759" s="1391"/>
      <c r="BR759" s="1391"/>
      <c r="BS759" s="1391"/>
      <c r="BT759" s="1391"/>
      <c r="BU759" s="1391"/>
      <c r="BV759" s="1391"/>
      <c r="BW759" s="1391"/>
      <c r="BX759" s="1391"/>
      <c r="BY759" s="1391"/>
      <c r="BZ759" s="1391"/>
      <c r="CA759" s="1391"/>
      <c r="CB759" s="1391"/>
      <c r="CC759" s="1391"/>
      <c r="CD759" s="1391"/>
      <c r="CE759" s="1391"/>
      <c r="CF759" s="1391"/>
      <c r="CG759" s="1391"/>
      <c r="CH759" s="1391"/>
      <c r="CI759" s="1391"/>
      <c r="CJ759" s="1391"/>
      <c r="CK759" s="1391"/>
      <c r="CL759" s="1391"/>
      <c r="CM759" s="1391"/>
      <c r="CN759" s="1391"/>
      <c r="CO759" s="1391"/>
      <c r="CP759" s="1391"/>
      <c r="CQ759" s="1391"/>
      <c r="CR759" s="1391"/>
      <c r="CS759" s="1391"/>
      <c r="CT759" s="1391"/>
      <c r="CU759" s="1391"/>
      <c r="CV759" s="1391"/>
      <c r="CW759" s="1391"/>
      <c r="CX759" s="1391"/>
      <c r="CY759" s="1391"/>
      <c r="CZ759" s="1391"/>
      <c r="DA759" s="1391"/>
      <c r="DB759" s="1391"/>
      <c r="DC759" s="1391"/>
      <c r="DD759" s="1391"/>
      <c r="DE759" s="1391"/>
      <c r="DF759" s="1391"/>
      <c r="DG759" s="1391"/>
      <c r="DH759" s="1391"/>
      <c r="DI759" s="1391"/>
    </row>
    <row r="760" spans="1:113" ht="15.75" x14ac:dyDescent="0.25">
      <c r="A760" s="1595" t="s">
        <v>1903</v>
      </c>
      <c r="B760" s="1415"/>
      <c r="C760" s="1531"/>
      <c r="D760" s="1350"/>
      <c r="E760" s="1350"/>
      <c r="F760" s="1350"/>
      <c r="G760" s="1350"/>
      <c r="H760" s="1350"/>
      <c r="I760" s="1350"/>
      <c r="J760" s="1350"/>
      <c r="K760" s="1350"/>
      <c r="L760" s="1350"/>
      <c r="M760" s="1350"/>
      <c r="N760" s="1350"/>
      <c r="O760" s="1350"/>
      <c r="P760" s="1531"/>
      <c r="Q760" s="1531"/>
      <c r="R760" s="1531"/>
      <c r="S760" s="1531"/>
      <c r="T760" s="1531"/>
      <c r="U760" s="1531"/>
      <c r="V760" s="1531"/>
      <c r="W760" s="1531"/>
      <c r="X760" s="1531"/>
      <c r="Y760" s="1531"/>
      <c r="Z760" s="1531"/>
      <c r="AA760" s="1531"/>
      <c r="AB760" s="1531"/>
      <c r="AC760" s="1531"/>
      <c r="AD760" s="1531"/>
      <c r="AE760" s="1531"/>
      <c r="AF760" s="1531"/>
      <c r="AG760" s="1531"/>
      <c r="AH760" s="1531"/>
      <c r="AI760" s="1531"/>
      <c r="AJ760" s="1531"/>
      <c r="AK760" s="1531"/>
      <c r="AL760" s="1531"/>
      <c r="AM760" s="1531"/>
      <c r="AN760" s="1531"/>
      <c r="AO760" s="1531"/>
      <c r="AP760" s="1531"/>
      <c r="AQ760" s="1531"/>
      <c r="AR760" s="1531"/>
      <c r="AS760" s="1531"/>
      <c r="AT760" s="1531"/>
      <c r="AU760" s="1531"/>
      <c r="AV760" s="1531"/>
      <c r="AW760" s="1531"/>
      <c r="AX760" s="1531"/>
      <c r="AY760" s="1531"/>
      <c r="AZ760" s="1531"/>
      <c r="BA760" s="1136"/>
      <c r="BB760" s="1136"/>
      <c r="BC760" s="1136"/>
      <c r="BD760" s="1136"/>
      <c r="BE760" s="1136"/>
      <c r="BF760" s="1136"/>
      <c r="BG760" s="1136"/>
      <c r="BH760" s="1136"/>
      <c r="BI760" s="1136"/>
      <c r="BJ760" s="1136"/>
      <c r="BK760" s="1136"/>
      <c r="BL760" s="1136"/>
      <c r="BM760" s="1568"/>
      <c r="BN760" s="1391"/>
      <c r="BO760" s="1391"/>
      <c r="BP760" s="1391"/>
      <c r="BQ760" s="1391"/>
      <c r="BR760" s="1391"/>
      <c r="BS760" s="1391"/>
      <c r="BT760" s="1391"/>
      <c r="BU760" s="1391"/>
      <c r="BV760" s="1391"/>
      <c r="BW760" s="1391"/>
      <c r="BX760" s="1391"/>
      <c r="BY760" s="1391"/>
      <c r="BZ760" s="1391"/>
      <c r="CA760" s="1391"/>
      <c r="CB760" s="1391"/>
      <c r="CC760" s="1391"/>
      <c r="CD760" s="1391"/>
      <c r="CE760" s="1391"/>
      <c r="CF760" s="1391"/>
      <c r="CG760" s="1391"/>
      <c r="CH760" s="1391"/>
      <c r="CI760" s="1391"/>
      <c r="CJ760" s="1391"/>
      <c r="CK760" s="1391"/>
      <c r="CL760" s="1391"/>
      <c r="CM760" s="1391"/>
      <c r="CN760" s="1391"/>
      <c r="CO760" s="1391"/>
      <c r="CP760" s="1391"/>
      <c r="CQ760" s="1391"/>
      <c r="CR760" s="1391"/>
      <c r="CS760" s="1391"/>
      <c r="CT760" s="1391"/>
      <c r="CU760" s="1391"/>
      <c r="CV760" s="1391"/>
      <c r="CW760" s="1391"/>
      <c r="CX760" s="1391"/>
      <c r="CY760" s="1391"/>
      <c r="CZ760" s="1391"/>
      <c r="DA760" s="1391"/>
      <c r="DB760" s="1391"/>
      <c r="DC760" s="1391"/>
      <c r="DD760" s="1391"/>
      <c r="DE760" s="1391"/>
      <c r="DF760" s="1391"/>
      <c r="DG760" s="1391"/>
      <c r="DH760" s="1391"/>
      <c r="DI760" s="1391"/>
    </row>
    <row r="761" spans="1:113" ht="15.75" x14ac:dyDescent="0.25">
      <c r="A761" s="1456" t="s">
        <v>1904</v>
      </c>
      <c r="B761" s="1441" t="e">
        <f>B755</f>
        <v>#DIV/0!</v>
      </c>
      <c r="C761" s="1596"/>
      <c r="D761" s="1350"/>
      <c r="E761" s="1350"/>
      <c r="F761" s="1350"/>
      <c r="G761" s="1350"/>
      <c r="H761" s="1350"/>
      <c r="I761" s="1350"/>
      <c r="J761" s="1350"/>
      <c r="K761" s="1350"/>
      <c r="L761" s="1350"/>
      <c r="M761" s="1350"/>
      <c r="N761" s="1350"/>
      <c r="O761" s="1350"/>
      <c r="P761" s="1531"/>
      <c r="Q761" s="1531"/>
      <c r="R761" s="1531"/>
      <c r="S761" s="1531"/>
      <c r="T761" s="1531"/>
      <c r="U761" s="1531"/>
      <c r="V761" s="1531"/>
      <c r="W761" s="1531"/>
      <c r="X761" s="1531"/>
      <c r="Y761" s="1531"/>
      <c r="Z761" s="1531"/>
      <c r="AA761" s="1531"/>
      <c r="AB761" s="1531"/>
      <c r="AC761" s="1531"/>
      <c r="AD761" s="1531"/>
      <c r="AE761" s="1531"/>
      <c r="AF761" s="1531"/>
      <c r="AG761" s="1531"/>
      <c r="AH761" s="1531"/>
      <c r="AI761" s="1531"/>
      <c r="AJ761" s="1531"/>
      <c r="AK761" s="1531"/>
      <c r="AL761" s="1531"/>
      <c r="AM761" s="1531"/>
      <c r="AN761" s="1531"/>
      <c r="AO761" s="1531"/>
      <c r="AP761" s="1531"/>
      <c r="AQ761" s="1531"/>
      <c r="AR761" s="1531"/>
      <c r="AS761" s="1531"/>
      <c r="AT761" s="1531"/>
      <c r="AU761" s="1531"/>
      <c r="AV761" s="1531"/>
      <c r="AW761" s="1531"/>
      <c r="AX761" s="1531"/>
      <c r="AY761" s="1531"/>
      <c r="AZ761" s="1531"/>
      <c r="BA761" s="1136"/>
      <c r="BB761" s="1136"/>
      <c r="BC761" s="1136"/>
      <c r="BD761" s="1136"/>
      <c r="BE761" s="1136"/>
      <c r="BF761" s="1136"/>
      <c r="BG761" s="1136"/>
      <c r="BH761" s="1136"/>
      <c r="BI761" s="1136"/>
      <c r="BJ761" s="1136"/>
      <c r="BK761" s="1136"/>
      <c r="BL761" s="1136"/>
      <c r="BM761" s="1568"/>
      <c r="BN761" s="1391"/>
      <c r="BO761" s="1391"/>
      <c r="BP761" s="1391"/>
      <c r="BQ761" s="1391"/>
      <c r="BR761" s="1391"/>
      <c r="BS761" s="1391"/>
      <c r="BT761" s="1391"/>
      <c r="BU761" s="1391"/>
      <c r="BV761" s="1391"/>
      <c r="BW761" s="1391"/>
      <c r="BX761" s="1391"/>
      <c r="BY761" s="1391"/>
      <c r="BZ761" s="1391"/>
      <c r="CA761" s="1391"/>
      <c r="CB761" s="1391"/>
      <c r="CC761" s="1391"/>
      <c r="CD761" s="1391"/>
      <c r="CE761" s="1391"/>
      <c r="CF761" s="1391"/>
      <c r="CG761" s="1391"/>
      <c r="CH761" s="1391"/>
      <c r="CI761" s="1391"/>
      <c r="CJ761" s="1391"/>
      <c r="CK761" s="1391"/>
      <c r="CL761" s="1391"/>
      <c r="CM761" s="1391"/>
      <c r="CN761" s="1391"/>
      <c r="CO761" s="1391"/>
      <c r="CP761" s="1391"/>
      <c r="CQ761" s="1391"/>
      <c r="CR761" s="1391"/>
      <c r="CS761" s="1391"/>
      <c r="CT761" s="1391"/>
      <c r="CU761" s="1391"/>
      <c r="CV761" s="1391"/>
      <c r="CW761" s="1391"/>
      <c r="CX761" s="1391"/>
      <c r="CY761" s="1391"/>
      <c r="CZ761" s="1391"/>
      <c r="DA761" s="1391"/>
      <c r="DB761" s="1391"/>
      <c r="DC761" s="1391"/>
      <c r="DD761" s="1391"/>
      <c r="DE761" s="1391"/>
      <c r="DF761" s="1391"/>
      <c r="DG761" s="1391"/>
      <c r="DH761" s="1391"/>
      <c r="DI761" s="1391"/>
    </row>
    <row r="762" spans="1:113" ht="15.75" x14ac:dyDescent="0.25">
      <c r="A762" s="1417" t="s">
        <v>1899</v>
      </c>
      <c r="B762" s="1441" t="e">
        <f>CEILING(((((B326+B327)/B308)+1)*B347),1)</f>
        <v>#REF!</v>
      </c>
      <c r="C762" s="1596"/>
      <c r="D762" s="1434"/>
      <c r="E762" s="1434"/>
      <c r="F762" s="1434"/>
      <c r="G762" s="1434"/>
      <c r="H762" s="1350"/>
      <c r="I762" s="1350"/>
      <c r="J762" s="1350"/>
      <c r="K762" s="1350"/>
      <c r="L762" s="1350"/>
      <c r="M762" s="1350"/>
      <c r="N762" s="1350"/>
      <c r="O762" s="1350"/>
      <c r="P762" s="1531"/>
      <c r="Q762" s="1531"/>
      <c r="R762" s="1531"/>
      <c r="S762" s="1531"/>
      <c r="T762" s="1531"/>
      <c r="U762" s="1531"/>
      <c r="V762" s="1531"/>
      <c r="W762" s="1531"/>
      <c r="X762" s="1531"/>
      <c r="Y762" s="1531"/>
      <c r="Z762" s="1531"/>
      <c r="AA762" s="1531"/>
      <c r="AB762" s="1531"/>
      <c r="AC762" s="1531"/>
      <c r="AD762" s="1531"/>
      <c r="AE762" s="1531"/>
      <c r="AF762" s="1531"/>
      <c r="AG762" s="1531"/>
      <c r="AH762" s="1531"/>
      <c r="AI762" s="1531"/>
      <c r="AJ762" s="1531"/>
      <c r="AK762" s="1531"/>
      <c r="AL762" s="1531"/>
      <c r="AM762" s="1531"/>
      <c r="AN762" s="1531"/>
      <c r="AO762" s="1531"/>
      <c r="AP762" s="1531"/>
      <c r="AQ762" s="1531"/>
      <c r="AR762" s="1531"/>
      <c r="AS762" s="1531"/>
      <c r="AT762" s="1531"/>
      <c r="AU762" s="1531"/>
      <c r="AV762" s="1531"/>
      <c r="AW762" s="1531"/>
      <c r="AX762" s="1531"/>
      <c r="AY762" s="1531"/>
      <c r="AZ762" s="1531"/>
      <c r="BA762" s="1136"/>
      <c r="BB762" s="1136"/>
      <c r="BC762" s="1136"/>
      <c r="BD762" s="1136"/>
      <c r="BE762" s="1136"/>
      <c r="BF762" s="1136"/>
      <c r="BG762" s="1136"/>
      <c r="BH762" s="1136"/>
      <c r="BI762" s="1136"/>
      <c r="BJ762" s="1136"/>
      <c r="BK762" s="1136"/>
      <c r="BL762" s="1136"/>
      <c r="BM762" s="1568"/>
      <c r="BN762" s="1391"/>
      <c r="BO762" s="1391"/>
      <c r="BP762" s="1391"/>
      <c r="BQ762" s="1391"/>
      <c r="BR762" s="1391"/>
      <c r="BS762" s="1391"/>
      <c r="BT762" s="1391"/>
      <c r="BU762" s="1391"/>
      <c r="BV762" s="1391"/>
      <c r="BW762" s="1391"/>
      <c r="BX762" s="1391"/>
      <c r="BY762" s="1391"/>
      <c r="BZ762" s="1391"/>
      <c r="CA762" s="1391"/>
      <c r="CB762" s="1391"/>
      <c r="CC762" s="1391"/>
      <c r="CD762" s="1391"/>
      <c r="CE762" s="1391"/>
      <c r="CF762" s="1391"/>
      <c r="CG762" s="1391"/>
      <c r="CH762" s="1391"/>
      <c r="CI762" s="1391"/>
      <c r="CJ762" s="1391"/>
      <c r="CK762" s="1391"/>
      <c r="CL762" s="1391"/>
      <c r="CM762" s="1391"/>
      <c r="CN762" s="1391"/>
      <c r="CO762" s="1391"/>
      <c r="CP762" s="1391"/>
      <c r="CQ762" s="1391"/>
      <c r="CR762" s="1391"/>
      <c r="CS762" s="1391"/>
      <c r="CT762" s="1391"/>
      <c r="CU762" s="1391"/>
      <c r="CV762" s="1391"/>
      <c r="CW762" s="1391"/>
      <c r="CX762" s="1391"/>
      <c r="CY762" s="1391"/>
      <c r="CZ762" s="1391"/>
      <c r="DA762" s="1391"/>
      <c r="DB762" s="1391"/>
      <c r="DC762" s="1391"/>
      <c r="DD762" s="1391"/>
      <c r="DE762" s="1391"/>
      <c r="DF762" s="1391"/>
      <c r="DG762" s="1391"/>
      <c r="DH762" s="1391"/>
      <c r="DI762" s="1391"/>
    </row>
    <row r="763" spans="1:113" ht="15.75" x14ac:dyDescent="0.25">
      <c r="A763" s="1430" t="s">
        <v>1900</v>
      </c>
      <c r="B763" s="1588" t="e">
        <f>(B761+B762)*B752/100</f>
        <v>#DIV/0!</v>
      </c>
      <c r="C763" s="1589"/>
      <c r="D763" s="1416"/>
      <c r="E763" s="1416"/>
      <c r="F763" s="1416"/>
      <c r="G763" s="1416"/>
      <c r="H763" s="1350"/>
      <c r="I763" s="1350"/>
      <c r="J763" s="1350"/>
      <c r="K763" s="1350"/>
      <c r="L763" s="1350"/>
      <c r="M763" s="1350"/>
      <c r="N763" s="1350"/>
      <c r="O763" s="1350"/>
      <c r="P763" s="1531"/>
      <c r="Q763" s="1531"/>
      <c r="R763" s="1531"/>
      <c r="S763" s="1531"/>
      <c r="T763" s="1531"/>
      <c r="U763" s="1531"/>
      <c r="V763" s="1531"/>
      <c r="W763" s="1531"/>
      <c r="X763" s="1531"/>
      <c r="Y763" s="1531"/>
      <c r="Z763" s="1531"/>
      <c r="AA763" s="1531"/>
      <c r="AB763" s="1531"/>
      <c r="AC763" s="1531"/>
      <c r="AD763" s="1531"/>
      <c r="AE763" s="1531"/>
      <c r="AF763" s="1531"/>
      <c r="AG763" s="1531"/>
      <c r="AH763" s="1531"/>
      <c r="AI763" s="1531"/>
      <c r="AJ763" s="1531"/>
      <c r="AK763" s="1531"/>
      <c r="AL763" s="1531"/>
      <c r="AM763" s="1531"/>
      <c r="AN763" s="1531"/>
      <c r="AO763" s="1531"/>
      <c r="AP763" s="1531"/>
      <c r="AQ763" s="1531"/>
      <c r="AR763" s="1531"/>
      <c r="AS763" s="1531"/>
      <c r="AT763" s="1531"/>
      <c r="AU763" s="1531"/>
      <c r="AV763" s="1531"/>
      <c r="AW763" s="1531"/>
      <c r="AX763" s="1531"/>
      <c r="AY763" s="1531"/>
      <c r="AZ763" s="1531"/>
      <c r="BA763" s="1136"/>
      <c r="BB763" s="1136"/>
      <c r="BC763" s="1136"/>
      <c r="BD763" s="1136"/>
      <c r="BE763" s="1136"/>
      <c r="BF763" s="1136"/>
      <c r="BG763" s="1136"/>
      <c r="BH763" s="1136"/>
      <c r="BI763" s="1136"/>
      <c r="BJ763" s="1136"/>
      <c r="BK763" s="1136"/>
      <c r="BL763" s="1136"/>
      <c r="BM763" s="1568"/>
      <c r="BN763" s="1391"/>
      <c r="BO763" s="1391"/>
      <c r="BP763" s="1391"/>
      <c r="BQ763" s="1391"/>
      <c r="BR763" s="1391"/>
      <c r="BS763" s="1391"/>
      <c r="BT763" s="1391"/>
      <c r="BU763" s="1391"/>
      <c r="BV763" s="1391"/>
      <c r="BW763" s="1391"/>
      <c r="BX763" s="1391"/>
      <c r="BY763" s="1391"/>
      <c r="BZ763" s="1391"/>
      <c r="CA763" s="1391"/>
      <c r="CB763" s="1391"/>
      <c r="CC763" s="1391"/>
      <c r="CD763" s="1391"/>
      <c r="CE763" s="1391"/>
      <c r="CF763" s="1391"/>
      <c r="CG763" s="1391"/>
      <c r="CH763" s="1391"/>
      <c r="CI763" s="1391"/>
      <c r="CJ763" s="1391"/>
      <c r="CK763" s="1391"/>
      <c r="CL763" s="1391"/>
      <c r="CM763" s="1391"/>
      <c r="CN763" s="1391"/>
      <c r="CO763" s="1391"/>
      <c r="CP763" s="1391"/>
      <c r="CQ763" s="1391"/>
      <c r="CR763" s="1391"/>
      <c r="CS763" s="1391"/>
      <c r="CT763" s="1391"/>
      <c r="CU763" s="1391"/>
      <c r="CV763" s="1391"/>
      <c r="CW763" s="1391"/>
      <c r="CX763" s="1391"/>
      <c r="CY763" s="1391"/>
      <c r="CZ763" s="1391"/>
      <c r="DA763" s="1391"/>
      <c r="DB763" s="1391"/>
      <c r="DC763" s="1391"/>
      <c r="DD763" s="1391"/>
      <c r="DE763" s="1391"/>
      <c r="DF763" s="1391"/>
      <c r="DG763" s="1391"/>
      <c r="DH763" s="1391"/>
      <c r="DI763" s="1391"/>
    </row>
    <row r="764" spans="1:113" ht="15.75" x14ac:dyDescent="0.25">
      <c r="A764" s="1430" t="s">
        <v>4306</v>
      </c>
      <c r="B764" s="1588" t="e">
        <f>B763*B758</f>
        <v>#DIV/0!</v>
      </c>
      <c r="C764" s="1593"/>
      <c r="D764" s="1593"/>
      <c r="E764" s="1593"/>
      <c r="F764" s="1593"/>
      <c r="G764" s="1593"/>
      <c r="H764" s="1350"/>
      <c r="I764" s="1350"/>
      <c r="J764" s="1350"/>
      <c r="K764" s="1350"/>
      <c r="L764" s="1350"/>
      <c r="M764" s="1350"/>
      <c r="N764" s="1350"/>
      <c r="O764" s="1350"/>
      <c r="P764" s="1531"/>
      <c r="Q764" s="1531"/>
      <c r="R764" s="1531"/>
      <c r="S764" s="1531"/>
      <c r="T764" s="1531"/>
      <c r="U764" s="1531"/>
      <c r="V764" s="1531"/>
      <c r="W764" s="1531"/>
      <c r="X764" s="1531"/>
      <c r="Y764" s="1531"/>
      <c r="Z764" s="1531"/>
      <c r="AA764" s="1531"/>
      <c r="AB764" s="1531"/>
      <c r="AC764" s="1531"/>
      <c r="AD764" s="1531"/>
      <c r="AE764" s="1531"/>
      <c r="AF764" s="1531"/>
      <c r="AG764" s="1531"/>
      <c r="AH764" s="1531"/>
      <c r="AI764" s="1531"/>
      <c r="AJ764" s="1531"/>
      <c r="AK764" s="1531"/>
      <c r="AL764" s="1531"/>
      <c r="AM764" s="1531"/>
      <c r="AN764" s="1531"/>
      <c r="AO764" s="1531"/>
      <c r="AP764" s="1531"/>
      <c r="AQ764" s="1531"/>
      <c r="AR764" s="1531"/>
      <c r="AS764" s="1531"/>
      <c r="AT764" s="1531"/>
      <c r="AU764" s="1531"/>
      <c r="AV764" s="1531"/>
      <c r="AW764" s="1531"/>
      <c r="AX764" s="1531"/>
      <c r="AY764" s="1531"/>
      <c r="AZ764" s="1531"/>
      <c r="BA764" s="1136"/>
      <c r="BB764" s="1136"/>
      <c r="BC764" s="1136"/>
      <c r="BD764" s="1136"/>
      <c r="BE764" s="1136"/>
      <c r="BF764" s="1136"/>
      <c r="BG764" s="1136"/>
      <c r="BH764" s="1136"/>
      <c r="BI764" s="1136"/>
      <c r="BJ764" s="1136"/>
      <c r="BK764" s="1136"/>
      <c r="BL764" s="1136"/>
      <c r="BM764" s="1568"/>
      <c r="BN764" s="1391"/>
      <c r="BO764" s="1391"/>
      <c r="BP764" s="1391"/>
      <c r="BQ764" s="1391"/>
      <c r="BR764" s="1391"/>
      <c r="BS764" s="1391"/>
      <c r="BT764" s="1391"/>
      <c r="BU764" s="1391"/>
      <c r="BV764" s="1391"/>
      <c r="BW764" s="1391"/>
      <c r="BX764" s="1391"/>
      <c r="BY764" s="1391"/>
      <c r="BZ764" s="1391"/>
      <c r="CA764" s="1391"/>
      <c r="CB764" s="1391"/>
      <c r="CC764" s="1391"/>
      <c r="CD764" s="1391"/>
      <c r="CE764" s="1391"/>
      <c r="CF764" s="1391"/>
      <c r="CG764" s="1391"/>
      <c r="CH764" s="1391"/>
      <c r="CI764" s="1391"/>
      <c r="CJ764" s="1391"/>
      <c r="CK764" s="1391"/>
      <c r="CL764" s="1391"/>
      <c r="CM764" s="1391"/>
      <c r="CN764" s="1391"/>
      <c r="CO764" s="1391"/>
      <c r="CP764" s="1391"/>
      <c r="CQ764" s="1391"/>
      <c r="CR764" s="1391"/>
      <c r="CS764" s="1391"/>
      <c r="CT764" s="1391"/>
      <c r="CU764" s="1391"/>
      <c r="CV764" s="1391"/>
      <c r="CW764" s="1391"/>
      <c r="CX764" s="1391"/>
      <c r="CY764" s="1391"/>
      <c r="CZ764" s="1391"/>
      <c r="DA764" s="1391"/>
      <c r="DB764" s="1391"/>
      <c r="DC764" s="1391"/>
      <c r="DD764" s="1391"/>
      <c r="DE764" s="1391"/>
      <c r="DF764" s="1391"/>
      <c r="DG764" s="1391"/>
      <c r="DH764" s="1391"/>
      <c r="DI764" s="1391"/>
    </row>
    <row r="765" spans="1:113" ht="15.75" x14ac:dyDescent="0.25">
      <c r="A765" s="1466" t="s">
        <v>4307</v>
      </c>
      <c r="B765" s="1467" t="e">
        <f>IF(B323=0,B759,B764)</f>
        <v>#DIV/0!</v>
      </c>
      <c r="C765" s="1468"/>
      <c r="D765" s="1470"/>
      <c r="E765" s="1470"/>
      <c r="F765" s="1470"/>
      <c r="G765" s="1470"/>
      <c r="H765" s="1349"/>
      <c r="I765" s="1350"/>
      <c r="J765" s="1350"/>
      <c r="K765" s="1350"/>
      <c r="L765" s="1350"/>
      <c r="M765" s="1350"/>
      <c r="N765" s="1350"/>
      <c r="O765" s="1350"/>
      <c r="P765" s="1531"/>
      <c r="Q765" s="1531"/>
      <c r="R765" s="1531"/>
      <c r="S765" s="1531"/>
      <c r="T765" s="1531"/>
      <c r="U765" s="1531"/>
      <c r="V765" s="1531"/>
      <c r="W765" s="1531"/>
      <c r="X765" s="1531"/>
      <c r="Y765" s="1531"/>
      <c r="Z765" s="1531"/>
      <c r="AA765" s="1531"/>
      <c r="AB765" s="1531"/>
      <c r="AC765" s="1531"/>
      <c r="AD765" s="1531"/>
      <c r="AE765" s="1531"/>
      <c r="AF765" s="1531"/>
      <c r="AG765" s="1531"/>
      <c r="AH765" s="1531"/>
      <c r="AI765" s="1531"/>
      <c r="AJ765" s="1531"/>
      <c r="AK765" s="1531"/>
      <c r="AL765" s="1531"/>
      <c r="AM765" s="1531"/>
      <c r="AN765" s="1531"/>
      <c r="AO765" s="1531"/>
      <c r="AP765" s="1531"/>
      <c r="AQ765" s="1531"/>
      <c r="AR765" s="1531"/>
      <c r="AS765" s="1531"/>
      <c r="AT765" s="1531"/>
      <c r="AU765" s="1531"/>
      <c r="AV765" s="1531"/>
      <c r="AW765" s="1531"/>
      <c r="AX765" s="1531"/>
      <c r="AY765" s="1531"/>
      <c r="AZ765" s="1531"/>
      <c r="BA765" s="1136"/>
      <c r="BB765" s="1136"/>
      <c r="BC765" s="1136"/>
      <c r="BD765" s="1136"/>
      <c r="BE765" s="1136"/>
      <c r="BF765" s="1136"/>
      <c r="BG765" s="1136"/>
      <c r="BH765" s="1136"/>
      <c r="BI765" s="1136"/>
      <c r="BJ765" s="1136"/>
      <c r="BK765" s="1136"/>
      <c r="BL765" s="1136"/>
      <c r="BM765" s="1568"/>
      <c r="BN765" s="1391"/>
      <c r="BO765" s="1391"/>
      <c r="BP765" s="1391"/>
      <c r="BQ765" s="1391"/>
      <c r="BR765" s="1391"/>
      <c r="BS765" s="1391"/>
      <c r="BT765" s="1391"/>
      <c r="BU765" s="1391"/>
      <c r="BV765" s="1391"/>
      <c r="BW765" s="1391"/>
      <c r="BX765" s="1391"/>
      <c r="BY765" s="1391"/>
      <c r="BZ765" s="1391"/>
      <c r="CA765" s="1391"/>
      <c r="CB765" s="1391"/>
      <c r="CC765" s="1391"/>
      <c r="CD765" s="1391"/>
      <c r="CE765" s="1391"/>
      <c r="CF765" s="1391"/>
      <c r="CG765" s="1391"/>
      <c r="CH765" s="1391"/>
      <c r="CI765" s="1391"/>
      <c r="CJ765" s="1391"/>
      <c r="CK765" s="1391"/>
      <c r="CL765" s="1391"/>
      <c r="CM765" s="1391"/>
      <c r="CN765" s="1391"/>
      <c r="CO765" s="1391"/>
      <c r="CP765" s="1391"/>
      <c r="CQ765" s="1391"/>
      <c r="CR765" s="1391"/>
      <c r="CS765" s="1391"/>
      <c r="CT765" s="1391"/>
      <c r="CU765" s="1391"/>
      <c r="CV765" s="1391"/>
      <c r="CW765" s="1391"/>
      <c r="CX765" s="1391"/>
      <c r="CY765" s="1391"/>
      <c r="CZ765" s="1391"/>
      <c r="DA765" s="1391"/>
      <c r="DB765" s="1391"/>
      <c r="DC765" s="1391"/>
      <c r="DD765" s="1391"/>
      <c r="DE765" s="1391"/>
      <c r="DF765" s="1391"/>
      <c r="DG765" s="1391"/>
      <c r="DH765" s="1391"/>
      <c r="DI765" s="1391"/>
    </row>
    <row r="766" spans="1:113" ht="15.75" x14ac:dyDescent="0.25">
      <c r="A766" s="1417"/>
      <c r="B766" s="1421"/>
      <c r="C766" s="1416"/>
      <c r="D766" s="1437"/>
      <c r="E766" s="1437"/>
      <c r="F766" s="1437"/>
      <c r="G766" s="1437"/>
      <c r="H766" s="1350"/>
      <c r="I766" s="1350"/>
      <c r="J766" s="1350"/>
      <c r="K766" s="1350"/>
      <c r="L766" s="1350"/>
      <c r="M766" s="1350"/>
      <c r="N766" s="1350"/>
      <c r="O766" s="1350"/>
      <c r="P766" s="1531"/>
      <c r="Q766" s="1531"/>
      <c r="R766" s="1531"/>
      <c r="S766" s="1531"/>
      <c r="T766" s="1531"/>
      <c r="U766" s="1531"/>
      <c r="V766" s="1531"/>
      <c r="W766" s="1531"/>
      <c r="X766" s="1531"/>
      <c r="Y766" s="1531"/>
      <c r="Z766" s="1531"/>
      <c r="AA766" s="1531"/>
      <c r="AB766" s="1531"/>
      <c r="AC766" s="1531"/>
      <c r="AD766" s="1531"/>
      <c r="AE766" s="1531"/>
      <c r="AF766" s="1531"/>
      <c r="AG766" s="1531"/>
      <c r="AH766" s="1531"/>
      <c r="AI766" s="1531"/>
      <c r="AJ766" s="1531"/>
      <c r="AK766" s="1531"/>
      <c r="AL766" s="1531"/>
      <c r="AM766" s="1531"/>
      <c r="AN766" s="1531"/>
      <c r="AO766" s="1531"/>
      <c r="AP766" s="1531"/>
      <c r="AQ766" s="1531"/>
      <c r="AR766" s="1531"/>
      <c r="AS766" s="1531"/>
      <c r="AT766" s="1531"/>
      <c r="AU766" s="1531"/>
      <c r="AV766" s="1531"/>
      <c r="AW766" s="1531"/>
      <c r="AX766" s="1531"/>
      <c r="AY766" s="1531"/>
      <c r="AZ766" s="1531"/>
      <c r="BA766" s="1136"/>
      <c r="BB766" s="1136"/>
      <c r="BC766" s="1136"/>
      <c r="BD766" s="1136"/>
      <c r="BE766" s="1136"/>
      <c r="BF766" s="1136"/>
      <c r="BG766" s="1136"/>
      <c r="BH766" s="1136"/>
      <c r="BI766" s="1136"/>
      <c r="BJ766" s="1136"/>
      <c r="BK766" s="1136"/>
      <c r="BL766" s="1136"/>
      <c r="BM766" s="1568"/>
      <c r="BN766" s="1391"/>
      <c r="BO766" s="1391"/>
      <c r="BP766" s="1391"/>
      <c r="BQ766" s="1391"/>
      <c r="BR766" s="1391"/>
      <c r="BS766" s="1391"/>
      <c r="BT766" s="1391"/>
      <c r="BU766" s="1391"/>
      <c r="BV766" s="1391"/>
      <c r="BW766" s="1391"/>
      <c r="BX766" s="1391"/>
      <c r="BY766" s="1391"/>
      <c r="BZ766" s="1391"/>
      <c r="CA766" s="1391"/>
      <c r="CB766" s="1391"/>
      <c r="CC766" s="1391"/>
      <c r="CD766" s="1391"/>
      <c r="CE766" s="1391"/>
      <c r="CF766" s="1391"/>
      <c r="CG766" s="1391"/>
      <c r="CH766" s="1391"/>
      <c r="CI766" s="1391"/>
      <c r="CJ766" s="1391"/>
      <c r="CK766" s="1391"/>
      <c r="CL766" s="1391"/>
      <c r="CM766" s="1391"/>
      <c r="CN766" s="1391"/>
      <c r="CO766" s="1391"/>
      <c r="CP766" s="1391"/>
      <c r="CQ766" s="1391"/>
      <c r="CR766" s="1391"/>
      <c r="CS766" s="1391"/>
      <c r="CT766" s="1391"/>
      <c r="CU766" s="1391"/>
      <c r="CV766" s="1391"/>
      <c r="CW766" s="1391"/>
      <c r="CX766" s="1391"/>
      <c r="CY766" s="1391"/>
      <c r="CZ766" s="1391"/>
      <c r="DA766" s="1391"/>
      <c r="DB766" s="1391"/>
      <c r="DC766" s="1391"/>
      <c r="DD766" s="1391"/>
      <c r="DE766" s="1391"/>
      <c r="DF766" s="1391"/>
      <c r="DG766" s="1391"/>
      <c r="DH766" s="1391"/>
      <c r="DI766" s="1391"/>
    </row>
    <row r="767" spans="1:113" ht="15.75" x14ac:dyDescent="0.25">
      <c r="A767" s="1580" t="s">
        <v>4308</v>
      </c>
      <c r="B767" s="1597"/>
      <c r="C767" s="1598"/>
      <c r="D767" s="1531"/>
      <c r="E767" s="1531"/>
      <c r="F767" s="1531"/>
      <c r="G767" s="1531"/>
      <c r="H767" s="1531"/>
      <c r="I767" s="1531"/>
      <c r="J767" s="1531"/>
      <c r="K767" s="1531"/>
      <c r="L767" s="1531"/>
      <c r="M767" s="1531"/>
      <c r="N767" s="1531"/>
      <c r="O767" s="1531"/>
      <c r="P767" s="1531"/>
      <c r="Q767" s="1531"/>
      <c r="R767" s="1531"/>
      <c r="S767" s="1531"/>
      <c r="T767" s="1531"/>
      <c r="U767" s="1531"/>
      <c r="V767" s="1531"/>
      <c r="W767" s="1531"/>
      <c r="X767" s="1531"/>
      <c r="Y767" s="1531"/>
      <c r="Z767" s="1531"/>
      <c r="AA767" s="1531"/>
      <c r="AB767" s="1531"/>
      <c r="AC767" s="1531"/>
      <c r="AD767" s="1531"/>
      <c r="AE767" s="1531"/>
      <c r="AF767" s="1531"/>
      <c r="AG767" s="1531"/>
      <c r="AH767" s="1531"/>
      <c r="AI767" s="1531"/>
      <c r="AJ767" s="1531"/>
      <c r="AK767" s="1531"/>
      <c r="AL767" s="1531"/>
      <c r="AM767" s="1531"/>
      <c r="AN767" s="1531"/>
      <c r="AO767" s="1531"/>
      <c r="AP767" s="1531"/>
      <c r="AQ767" s="1531"/>
      <c r="AR767" s="1531"/>
      <c r="AS767" s="1531"/>
      <c r="AT767" s="1531"/>
      <c r="AU767" s="1531"/>
      <c r="AV767" s="1531"/>
      <c r="AW767" s="1531"/>
      <c r="AX767" s="1531"/>
      <c r="AY767" s="1531"/>
      <c r="AZ767" s="1531"/>
      <c r="BA767" s="1136"/>
      <c r="BB767" s="1136"/>
      <c r="BC767" s="1136"/>
      <c r="BD767" s="1136"/>
      <c r="BE767" s="1136"/>
      <c r="BF767" s="1136"/>
      <c r="BG767" s="1136"/>
      <c r="BH767" s="1136"/>
      <c r="BI767" s="1136"/>
      <c r="BJ767" s="1136"/>
      <c r="BK767" s="1136"/>
      <c r="BL767" s="1136"/>
      <c r="BM767" s="1568"/>
      <c r="BN767" s="1391"/>
      <c r="BO767" s="1391"/>
      <c r="BP767" s="1391"/>
      <c r="BQ767" s="1391"/>
      <c r="BR767" s="1391"/>
      <c r="BS767" s="1391"/>
      <c r="BT767" s="1391"/>
      <c r="BU767" s="1391"/>
      <c r="BV767" s="1391"/>
      <c r="BW767" s="1391"/>
      <c r="BX767" s="1391"/>
      <c r="BY767" s="1391"/>
      <c r="BZ767" s="1391"/>
      <c r="CA767" s="1391"/>
      <c r="CB767" s="1391"/>
      <c r="CC767" s="1391"/>
      <c r="CD767" s="1391"/>
      <c r="CE767" s="1391"/>
      <c r="CF767" s="1391"/>
      <c r="CG767" s="1391"/>
      <c r="CH767" s="1391"/>
      <c r="CI767" s="1391"/>
      <c r="CJ767" s="1391"/>
      <c r="CK767" s="1391"/>
      <c r="CL767" s="1391"/>
      <c r="CM767" s="1391"/>
      <c r="CN767" s="1391"/>
      <c r="CO767" s="1391"/>
      <c r="CP767" s="1391"/>
      <c r="CQ767" s="1391"/>
      <c r="CR767" s="1391"/>
      <c r="CS767" s="1391"/>
      <c r="CT767" s="1391"/>
      <c r="CU767" s="1391"/>
      <c r="CV767" s="1391"/>
      <c r="CW767" s="1391"/>
      <c r="CX767" s="1391"/>
      <c r="CY767" s="1391"/>
      <c r="CZ767" s="1391"/>
      <c r="DA767" s="1391"/>
      <c r="DB767" s="1391"/>
      <c r="DC767" s="1391"/>
      <c r="DD767" s="1391"/>
      <c r="DE767" s="1391"/>
      <c r="DF767" s="1391"/>
      <c r="DG767" s="1391"/>
      <c r="DH767" s="1391"/>
      <c r="DI767" s="1391"/>
    </row>
    <row r="768" spans="1:113" ht="15.75" x14ac:dyDescent="0.25">
      <c r="A768" s="1417" t="s">
        <v>4309</v>
      </c>
      <c r="B768" s="1469">
        <v>5</v>
      </c>
      <c r="C768" s="1470"/>
      <c r="D768" s="1596"/>
      <c r="E768" s="1596"/>
      <c r="F768" s="1596"/>
      <c r="G768" s="1596"/>
      <c r="H768" s="1531"/>
      <c r="I768" s="1531"/>
      <c r="J768" s="1531"/>
      <c r="K768" s="1531"/>
      <c r="L768" s="1531"/>
      <c r="M768" s="1531"/>
      <c r="N768" s="1531"/>
      <c r="O768" s="1531"/>
      <c r="P768" s="1531"/>
      <c r="Q768" s="1531"/>
      <c r="R768" s="1531"/>
      <c r="S768" s="1531"/>
      <c r="T768" s="1531"/>
      <c r="U768" s="1531"/>
      <c r="V768" s="1531"/>
      <c r="W768" s="1531"/>
      <c r="X768" s="1531"/>
      <c r="Y768" s="1531"/>
      <c r="Z768" s="1531"/>
      <c r="AA768" s="1531"/>
      <c r="AB768" s="1531"/>
      <c r="AC768" s="1531"/>
      <c r="AD768" s="1531"/>
      <c r="AE768" s="1531"/>
      <c r="AF768" s="1531"/>
      <c r="AG768" s="1531"/>
      <c r="AH768" s="1531"/>
      <c r="AI768" s="1531"/>
      <c r="AJ768" s="1531"/>
      <c r="AK768" s="1531"/>
      <c r="AL768" s="1531"/>
      <c r="AM768" s="1531"/>
      <c r="AN768" s="1531"/>
      <c r="AO768" s="1531"/>
      <c r="AP768" s="1531"/>
      <c r="AQ768" s="1531"/>
      <c r="AR768" s="1531"/>
      <c r="AS768" s="1531"/>
      <c r="AT768" s="1531"/>
      <c r="AU768" s="1531"/>
      <c r="AV768" s="1531"/>
      <c r="AW768" s="1531"/>
      <c r="AX768" s="1531"/>
      <c r="AY768" s="1531"/>
      <c r="AZ768" s="1531"/>
      <c r="BA768" s="1136"/>
      <c r="BB768" s="1136"/>
      <c r="BC768" s="1136"/>
      <c r="BD768" s="1136"/>
      <c r="BE768" s="1136"/>
      <c r="BF768" s="1136"/>
      <c r="BG768" s="1136"/>
      <c r="BH768" s="1136"/>
      <c r="BI768" s="1136"/>
      <c r="BJ768" s="1136"/>
      <c r="BK768" s="1136"/>
      <c r="BL768" s="1136"/>
      <c r="BM768" s="1568"/>
      <c r="BN768" s="1391"/>
      <c r="BO768" s="1391"/>
      <c r="BP768" s="1391"/>
      <c r="BQ768" s="1391"/>
      <c r="BR768" s="1391"/>
      <c r="BS768" s="1391"/>
      <c r="BT768" s="1391"/>
      <c r="BU768" s="1391"/>
      <c r="BV768" s="1391"/>
      <c r="BW768" s="1391"/>
      <c r="BX768" s="1391"/>
      <c r="BY768" s="1391"/>
      <c r="BZ768" s="1391"/>
      <c r="CA768" s="1391"/>
      <c r="CB768" s="1391"/>
      <c r="CC768" s="1391"/>
      <c r="CD768" s="1391"/>
      <c r="CE768" s="1391"/>
      <c r="CF768" s="1391"/>
      <c r="CG768" s="1391"/>
      <c r="CH768" s="1391"/>
      <c r="CI768" s="1391"/>
      <c r="CJ768" s="1391"/>
      <c r="CK768" s="1391"/>
      <c r="CL768" s="1391"/>
      <c r="CM768" s="1391"/>
      <c r="CN768" s="1391"/>
      <c r="CO768" s="1391"/>
      <c r="CP768" s="1391"/>
      <c r="CQ768" s="1391"/>
      <c r="CR768" s="1391"/>
      <c r="CS768" s="1391"/>
      <c r="CT768" s="1391"/>
      <c r="CU768" s="1391"/>
      <c r="CV768" s="1391"/>
      <c r="CW768" s="1391"/>
      <c r="CX768" s="1391"/>
      <c r="CY768" s="1391"/>
      <c r="CZ768" s="1391"/>
      <c r="DA768" s="1391"/>
      <c r="DB768" s="1391"/>
      <c r="DC768" s="1391"/>
      <c r="DD768" s="1391"/>
      <c r="DE768" s="1391"/>
      <c r="DF768" s="1391"/>
      <c r="DG768" s="1391"/>
      <c r="DH768" s="1391"/>
      <c r="DI768" s="1391"/>
    </row>
    <row r="769" spans="1:113" ht="15.75" x14ac:dyDescent="0.25">
      <c r="A769" s="1592" t="s">
        <v>4310</v>
      </c>
      <c r="B769" s="1588" t="e">
        <f>B286*B291*B290*B293*B285*B768/(B287*B329)</f>
        <v>#VALUE!</v>
      </c>
      <c r="C769" s="1593"/>
      <c r="D769" s="1596"/>
      <c r="E769" s="1596"/>
      <c r="F769" s="1596"/>
      <c r="G769" s="1596"/>
      <c r="H769" s="1596"/>
      <c r="I769" s="1531"/>
      <c r="J769" s="1531"/>
      <c r="K769" s="1531"/>
      <c r="L769" s="1531"/>
      <c r="M769" s="1531"/>
      <c r="N769" s="1531"/>
      <c r="O769" s="1531"/>
      <c r="P769" s="1531"/>
      <c r="Q769" s="1531"/>
      <c r="R769" s="1531"/>
      <c r="S769" s="1531"/>
      <c r="T769" s="1531"/>
      <c r="U769" s="1531"/>
      <c r="V769" s="1531"/>
      <c r="W769" s="1531"/>
      <c r="X769" s="1531"/>
      <c r="Y769" s="1531"/>
      <c r="Z769" s="1531"/>
      <c r="AA769" s="1531"/>
      <c r="AB769" s="1531"/>
      <c r="AC769" s="1531"/>
      <c r="AD769" s="1531"/>
      <c r="AE769" s="1531"/>
      <c r="AF769" s="1531"/>
      <c r="AG769" s="1531"/>
      <c r="AH769" s="1531"/>
      <c r="AI769" s="1531"/>
      <c r="AJ769" s="1531"/>
      <c r="AK769" s="1531"/>
      <c r="AL769" s="1531"/>
      <c r="AM769" s="1531"/>
      <c r="AN769" s="1531"/>
      <c r="AO769" s="1531"/>
      <c r="AP769" s="1531"/>
      <c r="AQ769" s="1531"/>
      <c r="AR769" s="1531"/>
      <c r="AS769" s="1531"/>
      <c r="AT769" s="1531"/>
      <c r="AU769" s="1531"/>
      <c r="AV769" s="1531"/>
      <c r="AW769" s="1531"/>
      <c r="AX769" s="1531"/>
      <c r="AY769" s="1531"/>
      <c r="AZ769" s="1531"/>
      <c r="BA769" s="1136"/>
      <c r="BB769" s="1136"/>
      <c r="BC769" s="1136"/>
      <c r="BD769" s="1136"/>
      <c r="BE769" s="1136"/>
      <c r="BF769" s="1136"/>
      <c r="BG769" s="1136"/>
      <c r="BH769" s="1136"/>
      <c r="BI769" s="1136"/>
      <c r="BJ769" s="1136"/>
      <c r="BK769" s="1136"/>
      <c r="BL769" s="1136"/>
      <c r="BM769" s="1568"/>
      <c r="BN769" s="1391"/>
      <c r="BO769" s="1391"/>
      <c r="BP769" s="1391"/>
      <c r="BQ769" s="1391"/>
      <c r="BR769" s="1391"/>
      <c r="BS769" s="1391"/>
      <c r="BT769" s="1391"/>
      <c r="BU769" s="1391"/>
      <c r="BV769" s="1391"/>
      <c r="BW769" s="1391"/>
      <c r="BX769" s="1391"/>
      <c r="BY769" s="1391"/>
      <c r="BZ769" s="1391"/>
      <c r="CA769" s="1391"/>
      <c r="CB769" s="1391"/>
      <c r="CC769" s="1391"/>
      <c r="CD769" s="1391"/>
      <c r="CE769" s="1391"/>
      <c r="CF769" s="1391"/>
      <c r="CG769" s="1391"/>
      <c r="CH769" s="1391"/>
      <c r="CI769" s="1391"/>
      <c r="CJ769" s="1391"/>
      <c r="CK769" s="1391"/>
      <c r="CL769" s="1391"/>
      <c r="CM769" s="1391"/>
      <c r="CN769" s="1391"/>
      <c r="CO769" s="1391"/>
      <c r="CP769" s="1391"/>
      <c r="CQ769" s="1391"/>
      <c r="CR769" s="1391"/>
      <c r="CS769" s="1391"/>
      <c r="CT769" s="1391"/>
      <c r="CU769" s="1391"/>
      <c r="CV769" s="1391"/>
      <c r="CW769" s="1391"/>
      <c r="CX769" s="1391"/>
      <c r="CY769" s="1391"/>
      <c r="CZ769" s="1391"/>
      <c r="DA769" s="1391"/>
      <c r="DB769" s="1391"/>
      <c r="DC769" s="1391"/>
      <c r="DD769" s="1391"/>
      <c r="DE769" s="1391"/>
      <c r="DF769" s="1391"/>
      <c r="DG769" s="1391"/>
      <c r="DH769" s="1391"/>
      <c r="DI769" s="1391"/>
    </row>
    <row r="770" spans="1:113" ht="15.75" x14ac:dyDescent="0.25">
      <c r="A770" s="1417" t="s">
        <v>4311</v>
      </c>
      <c r="B770" s="1415"/>
      <c r="C770" s="1350"/>
      <c r="D770" s="1589"/>
      <c r="E770" s="1589"/>
      <c r="F770" s="1589"/>
      <c r="G770" s="1589"/>
      <c r="H770" s="1531"/>
      <c r="I770" s="1531"/>
      <c r="J770" s="1531"/>
      <c r="K770" s="1531"/>
      <c r="L770" s="1531"/>
      <c r="M770" s="1531"/>
      <c r="N770" s="1531"/>
      <c r="O770" s="1531"/>
      <c r="P770" s="1531"/>
      <c r="Q770" s="1531"/>
      <c r="R770" s="1531"/>
      <c r="S770" s="1531"/>
      <c r="T770" s="1531"/>
      <c r="U770" s="1531"/>
      <c r="V770" s="1531"/>
      <c r="W770" s="1531"/>
      <c r="X770" s="1531"/>
      <c r="Y770" s="1531"/>
      <c r="Z770" s="1531"/>
      <c r="AA770" s="1531"/>
      <c r="AB770" s="1531"/>
      <c r="AC770" s="1531"/>
      <c r="AD770" s="1531"/>
      <c r="AE770" s="1531"/>
      <c r="AF770" s="1531"/>
      <c r="AG770" s="1531"/>
      <c r="AH770" s="1531"/>
      <c r="AI770" s="1531"/>
      <c r="AJ770" s="1531"/>
      <c r="AK770" s="1531"/>
      <c r="AL770" s="1531"/>
      <c r="AM770" s="1531"/>
      <c r="AN770" s="1531"/>
      <c r="AO770" s="1531"/>
      <c r="AP770" s="1531"/>
      <c r="AQ770" s="1531"/>
      <c r="AR770" s="1531"/>
      <c r="AS770" s="1531"/>
      <c r="AT770" s="1531"/>
      <c r="AU770" s="1531"/>
      <c r="AV770" s="1531"/>
      <c r="AW770" s="1531"/>
      <c r="AX770" s="1531"/>
      <c r="AY770" s="1531"/>
      <c r="AZ770" s="1531"/>
      <c r="BA770" s="1136"/>
      <c r="BB770" s="1136"/>
      <c r="BC770" s="1136"/>
      <c r="BD770" s="1136"/>
      <c r="BE770" s="1136"/>
      <c r="BF770" s="1136"/>
      <c r="BG770" s="1136"/>
      <c r="BH770" s="1136"/>
      <c r="BI770" s="1136"/>
      <c r="BJ770" s="1136"/>
      <c r="BK770" s="1136"/>
      <c r="BL770" s="1136"/>
      <c r="BM770" s="1568"/>
      <c r="BN770" s="1391"/>
      <c r="BO770" s="1391"/>
      <c r="BP770" s="1391"/>
      <c r="BQ770" s="1391"/>
      <c r="BR770" s="1391"/>
      <c r="BS770" s="1391"/>
      <c r="BT770" s="1391"/>
      <c r="BU770" s="1391"/>
      <c r="BV770" s="1391"/>
      <c r="BW770" s="1391"/>
      <c r="BX770" s="1391"/>
      <c r="BY770" s="1391"/>
      <c r="BZ770" s="1391"/>
      <c r="CA770" s="1391"/>
      <c r="CB770" s="1391"/>
      <c r="CC770" s="1391"/>
      <c r="CD770" s="1391"/>
      <c r="CE770" s="1391"/>
      <c r="CF770" s="1391"/>
      <c r="CG770" s="1391"/>
      <c r="CH770" s="1391"/>
      <c r="CI770" s="1391"/>
      <c r="CJ770" s="1391"/>
      <c r="CK770" s="1391"/>
      <c r="CL770" s="1391"/>
      <c r="CM770" s="1391"/>
      <c r="CN770" s="1391"/>
      <c r="CO770" s="1391"/>
      <c r="CP770" s="1391"/>
      <c r="CQ770" s="1391"/>
      <c r="CR770" s="1391"/>
      <c r="CS770" s="1391"/>
      <c r="CT770" s="1391"/>
      <c r="CU770" s="1391"/>
      <c r="CV770" s="1391"/>
      <c r="CW770" s="1391"/>
      <c r="CX770" s="1391"/>
      <c r="CY770" s="1391"/>
      <c r="CZ770" s="1391"/>
      <c r="DA770" s="1391"/>
      <c r="DB770" s="1391"/>
      <c r="DC770" s="1391"/>
      <c r="DD770" s="1391"/>
      <c r="DE770" s="1391"/>
      <c r="DF770" s="1391"/>
      <c r="DG770" s="1391"/>
      <c r="DH770" s="1391"/>
      <c r="DI770" s="1391"/>
    </row>
    <row r="771" spans="1:113" ht="15.75" x14ac:dyDescent="0.25">
      <c r="A771" s="1430" t="s">
        <v>470</v>
      </c>
      <c r="B771" s="1421" t="e">
        <f>12.3*(CEILING((B326+B327/(B577-B348)),1))*B346*B577</f>
        <v>#DIV/0!</v>
      </c>
      <c r="C771" s="1416"/>
      <c r="D771" s="1593"/>
      <c r="E771" s="1593"/>
      <c r="F771" s="1593"/>
      <c r="G771" s="1593"/>
      <c r="H771" s="1531"/>
      <c r="I771" s="1531"/>
      <c r="J771" s="1531"/>
      <c r="K771" s="1531"/>
      <c r="L771" s="1531"/>
      <c r="M771" s="1531"/>
      <c r="N771" s="1531"/>
      <c r="O771" s="1531"/>
      <c r="P771" s="1531"/>
      <c r="Q771" s="1531"/>
      <c r="R771" s="1531"/>
      <c r="S771" s="1531"/>
      <c r="T771" s="1531"/>
      <c r="U771" s="1531"/>
      <c r="V771" s="1531"/>
      <c r="W771" s="1531"/>
      <c r="X771" s="1531"/>
      <c r="Y771" s="1531"/>
      <c r="Z771" s="1531"/>
      <c r="AA771" s="1531"/>
      <c r="AB771" s="1531"/>
      <c r="AC771" s="1531"/>
      <c r="AD771" s="1531"/>
      <c r="AE771" s="1531"/>
      <c r="AF771" s="1531"/>
      <c r="AG771" s="1531"/>
      <c r="AH771" s="1531"/>
      <c r="AI771" s="1531"/>
      <c r="AJ771" s="1531"/>
      <c r="AK771" s="1531"/>
      <c r="AL771" s="1531"/>
      <c r="AM771" s="1531"/>
      <c r="AN771" s="1531"/>
      <c r="AO771" s="1531"/>
      <c r="AP771" s="1531"/>
      <c r="AQ771" s="1531"/>
      <c r="AR771" s="1531"/>
      <c r="AS771" s="1531"/>
      <c r="AT771" s="1531"/>
      <c r="AU771" s="1531"/>
      <c r="AV771" s="1531"/>
      <c r="AW771" s="1531"/>
      <c r="AX771" s="1531"/>
      <c r="AY771" s="1531"/>
      <c r="AZ771" s="1531"/>
      <c r="BA771" s="1136"/>
      <c r="BB771" s="1136"/>
      <c r="BC771" s="1136"/>
      <c r="BD771" s="1136"/>
      <c r="BE771" s="1136"/>
      <c r="BF771" s="1136"/>
      <c r="BG771" s="1136"/>
      <c r="BH771" s="1136"/>
      <c r="BI771" s="1136"/>
      <c r="BJ771" s="1136"/>
      <c r="BK771" s="1136"/>
      <c r="BL771" s="1136"/>
      <c r="BM771" s="1568"/>
      <c r="BN771" s="1391"/>
      <c r="BO771" s="1391"/>
      <c r="BP771" s="1391"/>
      <c r="BQ771" s="1391"/>
      <c r="BR771" s="1391"/>
      <c r="BS771" s="1391"/>
      <c r="BT771" s="1391"/>
      <c r="BU771" s="1391"/>
      <c r="BV771" s="1391"/>
      <c r="BW771" s="1391"/>
      <c r="BX771" s="1391"/>
      <c r="BY771" s="1391"/>
      <c r="BZ771" s="1391"/>
      <c r="CA771" s="1391"/>
      <c r="CB771" s="1391"/>
      <c r="CC771" s="1391"/>
      <c r="CD771" s="1391"/>
      <c r="CE771" s="1391"/>
      <c r="CF771" s="1391"/>
      <c r="CG771" s="1391"/>
      <c r="CH771" s="1391"/>
      <c r="CI771" s="1391"/>
      <c r="CJ771" s="1391"/>
      <c r="CK771" s="1391"/>
      <c r="CL771" s="1391"/>
      <c r="CM771" s="1391"/>
      <c r="CN771" s="1391"/>
      <c r="CO771" s="1391"/>
      <c r="CP771" s="1391"/>
      <c r="CQ771" s="1391"/>
      <c r="CR771" s="1391"/>
      <c r="CS771" s="1391"/>
      <c r="CT771" s="1391"/>
      <c r="CU771" s="1391"/>
      <c r="CV771" s="1391"/>
      <c r="CW771" s="1391"/>
      <c r="CX771" s="1391"/>
      <c r="CY771" s="1391"/>
      <c r="CZ771" s="1391"/>
      <c r="DA771" s="1391"/>
      <c r="DB771" s="1391"/>
      <c r="DC771" s="1391"/>
      <c r="DD771" s="1391"/>
      <c r="DE771" s="1391"/>
      <c r="DF771" s="1391"/>
      <c r="DG771" s="1391"/>
      <c r="DH771" s="1391"/>
      <c r="DI771" s="1391"/>
    </row>
    <row r="772" spans="1:113" ht="15.75" x14ac:dyDescent="0.25">
      <c r="A772" s="1430" t="s">
        <v>471</v>
      </c>
      <c r="B772" s="1421" t="e">
        <f>B756</f>
        <v>#REF!</v>
      </c>
      <c r="C772" s="1416"/>
      <c r="D772" s="1468"/>
      <c r="E772" s="1468"/>
      <c r="F772" s="1468"/>
      <c r="G772" s="1468"/>
      <c r="H772" s="1531"/>
      <c r="I772" s="1531"/>
      <c r="J772" s="1531"/>
      <c r="K772" s="1531"/>
      <c r="L772" s="1531"/>
      <c r="M772" s="1531"/>
      <c r="N772" s="1531"/>
      <c r="O772" s="1531"/>
      <c r="P772" s="1531"/>
      <c r="Q772" s="1531"/>
      <c r="R772" s="1531"/>
      <c r="S772" s="1531"/>
      <c r="T772" s="1531"/>
      <c r="U772" s="1531"/>
      <c r="V772" s="1531"/>
      <c r="W772" s="1531"/>
      <c r="X772" s="1531"/>
      <c r="Y772" s="1531"/>
      <c r="Z772" s="1531"/>
      <c r="AA772" s="1531"/>
      <c r="AB772" s="1531"/>
      <c r="AC772" s="1531"/>
      <c r="AD772" s="1531"/>
      <c r="AE772" s="1531"/>
      <c r="AF772" s="1531"/>
      <c r="AG772" s="1531"/>
      <c r="AH772" s="1531"/>
      <c r="AI772" s="1531"/>
      <c r="AJ772" s="1531"/>
      <c r="AK772" s="1531"/>
      <c r="AL772" s="1531"/>
      <c r="AM772" s="1531"/>
      <c r="AN772" s="1531"/>
      <c r="AO772" s="1531"/>
      <c r="AP772" s="1531"/>
      <c r="AQ772" s="1531"/>
      <c r="AR772" s="1531"/>
      <c r="AS772" s="1531"/>
      <c r="AT772" s="1531"/>
      <c r="AU772" s="1531"/>
      <c r="AV772" s="1531"/>
      <c r="AW772" s="1531"/>
      <c r="AX772" s="1531"/>
      <c r="AY772" s="1531"/>
      <c r="AZ772" s="1531"/>
      <c r="BA772" s="1136"/>
      <c r="BB772" s="1136"/>
      <c r="BC772" s="1136"/>
      <c r="BD772" s="1136"/>
      <c r="BE772" s="1136"/>
      <c r="BF772" s="1136"/>
      <c r="BG772" s="1136"/>
      <c r="BH772" s="1136"/>
      <c r="BI772" s="1136"/>
      <c r="BJ772" s="1136"/>
      <c r="BK772" s="1136"/>
      <c r="BL772" s="1136"/>
      <c r="BM772" s="1568"/>
      <c r="BN772" s="1391"/>
      <c r="BO772" s="1391"/>
      <c r="BP772" s="1391"/>
      <c r="BQ772" s="1391"/>
      <c r="BR772" s="1391"/>
      <c r="BS772" s="1391"/>
      <c r="BT772" s="1391"/>
      <c r="BU772" s="1391"/>
      <c r="BV772" s="1391"/>
      <c r="BW772" s="1391"/>
      <c r="BX772" s="1391"/>
      <c r="BY772" s="1391"/>
      <c r="BZ772" s="1391"/>
      <c r="CA772" s="1391"/>
      <c r="CB772" s="1391"/>
      <c r="CC772" s="1391"/>
      <c r="CD772" s="1391"/>
      <c r="CE772" s="1391"/>
      <c r="CF772" s="1391"/>
      <c r="CG772" s="1391"/>
      <c r="CH772" s="1391"/>
      <c r="CI772" s="1391"/>
      <c r="CJ772" s="1391"/>
      <c r="CK772" s="1391"/>
      <c r="CL772" s="1391"/>
      <c r="CM772" s="1391"/>
      <c r="CN772" s="1391"/>
      <c r="CO772" s="1391"/>
      <c r="CP772" s="1391"/>
      <c r="CQ772" s="1391"/>
      <c r="CR772" s="1391"/>
      <c r="CS772" s="1391"/>
      <c r="CT772" s="1391"/>
      <c r="CU772" s="1391"/>
      <c r="CV772" s="1391"/>
      <c r="CW772" s="1391"/>
      <c r="CX772" s="1391"/>
      <c r="CY772" s="1391"/>
      <c r="CZ772" s="1391"/>
      <c r="DA772" s="1391"/>
      <c r="DB772" s="1391"/>
      <c r="DC772" s="1391"/>
      <c r="DD772" s="1391"/>
      <c r="DE772" s="1391"/>
      <c r="DF772" s="1391"/>
      <c r="DG772" s="1391"/>
      <c r="DH772" s="1391"/>
      <c r="DI772" s="1391"/>
    </row>
    <row r="773" spans="1:113" ht="15.75" x14ac:dyDescent="0.25">
      <c r="A773" s="1417" t="s">
        <v>472</v>
      </c>
      <c r="B773" s="1418">
        <v>3.5</v>
      </c>
      <c r="C773" s="1350"/>
      <c r="D773" s="1350"/>
      <c r="E773" s="1350"/>
      <c r="F773" s="1350"/>
      <c r="G773" s="1350"/>
      <c r="H773" s="1531"/>
      <c r="I773" s="1531"/>
      <c r="J773" s="1350"/>
      <c r="K773" s="1350"/>
      <c r="L773" s="1350"/>
      <c r="M773" s="1350"/>
      <c r="N773" s="1350"/>
      <c r="O773" s="1350"/>
      <c r="P773" s="1350"/>
      <c r="Q773" s="1350"/>
      <c r="R773" s="1531"/>
      <c r="S773" s="1531"/>
      <c r="T773" s="1531"/>
      <c r="U773" s="1531"/>
      <c r="V773" s="1531"/>
      <c r="W773" s="1531"/>
      <c r="X773" s="1531"/>
      <c r="Y773" s="1531"/>
      <c r="Z773" s="1531"/>
      <c r="AA773" s="1531"/>
      <c r="AB773" s="1531"/>
      <c r="AC773" s="1531"/>
      <c r="AD773" s="1531"/>
      <c r="AE773" s="1531"/>
      <c r="AF773" s="1531"/>
      <c r="AG773" s="1531"/>
      <c r="AH773" s="1531"/>
      <c r="AI773" s="1531"/>
      <c r="AJ773" s="1531"/>
      <c r="AK773" s="1531"/>
      <c r="AL773" s="1531"/>
      <c r="AM773" s="1531"/>
      <c r="AN773" s="1531"/>
      <c r="AO773" s="1531"/>
      <c r="AP773" s="1531"/>
      <c r="AQ773" s="1531"/>
      <c r="AR773" s="1531"/>
      <c r="AS773" s="1531"/>
      <c r="AT773" s="1531"/>
      <c r="AU773" s="1531"/>
      <c r="AV773" s="1531"/>
      <c r="AW773" s="1531"/>
      <c r="AX773" s="1531"/>
      <c r="AY773" s="1531"/>
      <c r="AZ773" s="1531"/>
      <c r="BA773" s="1136"/>
      <c r="BB773" s="1136"/>
      <c r="BC773" s="1136"/>
      <c r="BD773" s="1136"/>
      <c r="BE773" s="1136"/>
      <c r="BF773" s="1136"/>
      <c r="BG773" s="1136"/>
      <c r="BH773" s="1136"/>
      <c r="BI773" s="1136"/>
      <c r="BJ773" s="1136"/>
      <c r="BK773" s="1136"/>
      <c r="BL773" s="1136"/>
      <c r="BM773" s="1568"/>
      <c r="BN773" s="1391"/>
      <c r="BO773" s="1391"/>
      <c r="BP773" s="1391"/>
      <c r="BQ773" s="1391"/>
      <c r="BR773" s="1391"/>
      <c r="BS773" s="1391"/>
      <c r="BT773" s="1391"/>
      <c r="BU773" s="1391"/>
      <c r="BV773" s="1391"/>
      <c r="BW773" s="1391"/>
      <c r="BX773" s="1391"/>
      <c r="BY773" s="1391"/>
      <c r="BZ773" s="1391"/>
      <c r="CA773" s="1391"/>
      <c r="CB773" s="1391"/>
      <c r="CC773" s="1391"/>
      <c r="CD773" s="1391"/>
      <c r="CE773" s="1391"/>
      <c r="CF773" s="1391"/>
      <c r="CG773" s="1391"/>
      <c r="CH773" s="1391"/>
      <c r="CI773" s="1391"/>
      <c r="CJ773" s="1391"/>
      <c r="CK773" s="1391"/>
      <c r="CL773" s="1391"/>
      <c r="CM773" s="1391"/>
      <c r="CN773" s="1391"/>
      <c r="CO773" s="1391"/>
      <c r="CP773" s="1391"/>
      <c r="CQ773" s="1391"/>
      <c r="CR773" s="1391"/>
      <c r="CS773" s="1391"/>
      <c r="CT773" s="1391"/>
      <c r="CU773" s="1391"/>
      <c r="CV773" s="1391"/>
      <c r="CW773" s="1391"/>
      <c r="CX773" s="1391"/>
      <c r="CY773" s="1391"/>
      <c r="CZ773" s="1391"/>
      <c r="DA773" s="1391"/>
      <c r="DB773" s="1391"/>
      <c r="DC773" s="1391"/>
      <c r="DD773" s="1391"/>
      <c r="DE773" s="1391"/>
      <c r="DF773" s="1391"/>
      <c r="DG773" s="1391"/>
      <c r="DH773" s="1391"/>
      <c r="DI773" s="1391"/>
    </row>
    <row r="774" spans="1:113" ht="15.75" x14ac:dyDescent="0.25">
      <c r="A774" s="1417" t="s">
        <v>473</v>
      </c>
      <c r="B774" s="1418">
        <v>200</v>
      </c>
      <c r="C774" s="1350"/>
      <c r="D774" s="1350"/>
      <c r="E774" s="1350"/>
      <c r="F774" s="1350"/>
      <c r="G774" s="1350"/>
      <c r="H774" s="1531"/>
      <c r="I774" s="1531"/>
      <c r="J774" s="1350"/>
      <c r="K774" s="1350"/>
      <c r="L774" s="1350"/>
      <c r="M774" s="1350"/>
      <c r="N774" s="1350"/>
      <c r="O774" s="1350"/>
      <c r="P774" s="1350"/>
      <c r="Q774" s="1350"/>
      <c r="R774" s="1531"/>
      <c r="S774" s="1531"/>
      <c r="T774" s="1531"/>
      <c r="U774" s="1531"/>
      <c r="V774" s="1531"/>
      <c r="W774" s="1531"/>
      <c r="X774" s="1531"/>
      <c r="Y774" s="1531"/>
      <c r="Z774" s="1531"/>
      <c r="AA774" s="1531"/>
      <c r="AB774" s="1531"/>
      <c r="AC774" s="1531"/>
      <c r="AD774" s="1531"/>
      <c r="AE774" s="1531"/>
      <c r="AF774" s="1531"/>
      <c r="AG774" s="1531"/>
      <c r="AH774" s="1531"/>
      <c r="AI774" s="1531"/>
      <c r="AJ774" s="1531"/>
      <c r="AK774" s="1531"/>
      <c r="AL774" s="1531"/>
      <c r="AM774" s="1531"/>
      <c r="AN774" s="1531"/>
      <c r="AO774" s="1531"/>
      <c r="AP774" s="1531"/>
      <c r="AQ774" s="1531"/>
      <c r="AR774" s="1531"/>
      <c r="AS774" s="1531"/>
      <c r="AT774" s="1531"/>
      <c r="AU774" s="1531"/>
      <c r="AV774" s="1531"/>
      <c r="AW774" s="1531"/>
      <c r="AX774" s="1531"/>
      <c r="AY774" s="1531"/>
      <c r="AZ774" s="1531"/>
      <c r="BA774" s="1136"/>
      <c r="BB774" s="1136"/>
      <c r="BC774" s="1136"/>
      <c r="BD774" s="1136"/>
      <c r="BE774" s="1136"/>
      <c r="BF774" s="1136"/>
      <c r="BG774" s="1136"/>
      <c r="BH774" s="1136"/>
      <c r="BI774" s="1136"/>
      <c r="BJ774" s="1136"/>
      <c r="BK774" s="1136"/>
      <c r="BL774" s="1136"/>
      <c r="BM774" s="1568"/>
      <c r="BN774" s="1391"/>
      <c r="BO774" s="1391"/>
      <c r="BP774" s="1391"/>
      <c r="BQ774" s="1391"/>
      <c r="BR774" s="1391"/>
      <c r="BS774" s="1391"/>
      <c r="BT774" s="1391"/>
      <c r="BU774" s="1391"/>
      <c r="BV774" s="1391"/>
      <c r="BW774" s="1391"/>
      <c r="BX774" s="1391"/>
      <c r="BY774" s="1391"/>
      <c r="BZ774" s="1391"/>
      <c r="CA774" s="1391"/>
      <c r="CB774" s="1391"/>
      <c r="CC774" s="1391"/>
      <c r="CD774" s="1391"/>
      <c r="CE774" s="1391"/>
      <c r="CF774" s="1391"/>
      <c r="CG774" s="1391"/>
      <c r="CH774" s="1391"/>
      <c r="CI774" s="1391"/>
      <c r="CJ774" s="1391"/>
      <c r="CK774" s="1391"/>
      <c r="CL774" s="1391"/>
      <c r="CM774" s="1391"/>
      <c r="CN774" s="1391"/>
      <c r="CO774" s="1391"/>
      <c r="CP774" s="1391"/>
      <c r="CQ774" s="1391"/>
      <c r="CR774" s="1391"/>
      <c r="CS774" s="1391"/>
      <c r="CT774" s="1391"/>
      <c r="CU774" s="1391"/>
      <c r="CV774" s="1391"/>
      <c r="CW774" s="1391"/>
      <c r="CX774" s="1391"/>
      <c r="CY774" s="1391"/>
      <c r="CZ774" s="1391"/>
      <c r="DA774" s="1391"/>
      <c r="DB774" s="1391"/>
      <c r="DC774" s="1391"/>
      <c r="DD774" s="1391"/>
      <c r="DE774" s="1391"/>
      <c r="DF774" s="1391"/>
      <c r="DG774" s="1391"/>
      <c r="DH774" s="1391"/>
      <c r="DI774" s="1391"/>
    </row>
    <row r="775" spans="1:113" ht="15.75" x14ac:dyDescent="0.25">
      <c r="A775" s="1417" t="s">
        <v>474</v>
      </c>
      <c r="B775" s="1585" t="e">
        <f>B772*B769*B774/100</f>
        <v>#REF!</v>
      </c>
      <c r="C775" s="1416"/>
      <c r="D775" s="1470"/>
      <c r="E775" s="1470"/>
      <c r="F775" s="1470"/>
      <c r="G775" s="1470"/>
      <c r="H775" s="1531"/>
      <c r="I775" s="1531"/>
      <c r="J775" s="1350"/>
      <c r="K775" s="1350"/>
      <c r="L775" s="1350"/>
      <c r="M775" s="1350"/>
      <c r="N775" s="1350"/>
      <c r="O775" s="1350"/>
      <c r="P775" s="1350"/>
      <c r="Q775" s="1350"/>
      <c r="R775" s="1531"/>
      <c r="S775" s="1531"/>
      <c r="T775" s="1531"/>
      <c r="U775" s="1531"/>
      <c r="V775" s="1531"/>
      <c r="W775" s="1531"/>
      <c r="X775" s="1531"/>
      <c r="Y775" s="1531"/>
      <c r="Z775" s="1531"/>
      <c r="AA775" s="1531"/>
      <c r="AB775" s="1531"/>
      <c r="AC775" s="1531"/>
      <c r="AD775" s="1531"/>
      <c r="AE775" s="1531"/>
      <c r="AF775" s="1531"/>
      <c r="AG775" s="1531"/>
      <c r="AH775" s="1531"/>
      <c r="AI775" s="1531"/>
      <c r="AJ775" s="1531"/>
      <c r="AK775" s="1531"/>
      <c r="AL775" s="1531"/>
      <c r="AM775" s="1531"/>
      <c r="AN775" s="1531"/>
      <c r="AO775" s="1531"/>
      <c r="AP775" s="1531"/>
      <c r="AQ775" s="1531"/>
      <c r="AR775" s="1531"/>
      <c r="AS775" s="1531"/>
      <c r="AT775" s="1531"/>
      <c r="AU775" s="1531"/>
      <c r="AV775" s="1531"/>
      <c r="AW775" s="1531"/>
      <c r="AX775" s="1531"/>
      <c r="AY775" s="1531"/>
      <c r="AZ775" s="1531"/>
      <c r="BA775" s="1136"/>
      <c r="BB775" s="1136"/>
      <c r="BC775" s="1136"/>
      <c r="BD775" s="1136"/>
      <c r="BE775" s="1136"/>
      <c r="BF775" s="1136"/>
      <c r="BG775" s="1136"/>
      <c r="BH775" s="1136"/>
      <c r="BI775" s="1136"/>
      <c r="BJ775" s="1136"/>
      <c r="BK775" s="1136"/>
      <c r="BL775" s="1136"/>
      <c r="BM775" s="1568"/>
      <c r="BN775" s="1391"/>
      <c r="BO775" s="1391"/>
      <c r="BP775" s="1391"/>
      <c r="BQ775" s="1391"/>
      <c r="BR775" s="1391"/>
      <c r="BS775" s="1391"/>
      <c r="BT775" s="1391"/>
      <c r="BU775" s="1391"/>
      <c r="BV775" s="1391"/>
      <c r="BW775" s="1391"/>
      <c r="BX775" s="1391"/>
      <c r="BY775" s="1391"/>
      <c r="BZ775" s="1391"/>
      <c r="CA775" s="1391"/>
      <c r="CB775" s="1391"/>
      <c r="CC775" s="1391"/>
      <c r="CD775" s="1391"/>
      <c r="CE775" s="1391"/>
      <c r="CF775" s="1391"/>
      <c r="CG775" s="1391"/>
      <c r="CH775" s="1391"/>
      <c r="CI775" s="1391"/>
      <c r="CJ775" s="1391"/>
      <c r="CK775" s="1391"/>
      <c r="CL775" s="1391"/>
      <c r="CM775" s="1391"/>
      <c r="CN775" s="1391"/>
      <c r="CO775" s="1391"/>
      <c r="CP775" s="1391"/>
      <c r="CQ775" s="1391"/>
      <c r="CR775" s="1391"/>
      <c r="CS775" s="1391"/>
      <c r="CT775" s="1391"/>
      <c r="CU775" s="1391"/>
      <c r="CV775" s="1391"/>
      <c r="CW775" s="1391"/>
      <c r="CX775" s="1391"/>
      <c r="CY775" s="1391"/>
      <c r="CZ775" s="1391"/>
      <c r="DA775" s="1391"/>
      <c r="DB775" s="1391"/>
      <c r="DC775" s="1391"/>
      <c r="DD775" s="1391"/>
      <c r="DE775" s="1391"/>
      <c r="DF775" s="1391"/>
      <c r="DG775" s="1391"/>
      <c r="DH775" s="1391"/>
      <c r="DI775" s="1391"/>
    </row>
    <row r="776" spans="1:113" ht="15.75" x14ac:dyDescent="0.25">
      <c r="A776" s="1430" t="s">
        <v>475</v>
      </c>
      <c r="B776" s="1439" t="e">
        <f>(B771)*B773*B769/100</f>
        <v>#DIV/0!</v>
      </c>
      <c r="C776" s="1432"/>
      <c r="D776" s="1593"/>
      <c r="E776" s="1593"/>
      <c r="F776" s="1593"/>
      <c r="G776" s="1593"/>
      <c r="H776" s="1531"/>
      <c r="I776" s="1531"/>
      <c r="J776" s="1350"/>
      <c r="K776" s="1350"/>
      <c r="L776" s="1350"/>
      <c r="M776" s="1350"/>
      <c r="N776" s="1350"/>
      <c r="O776" s="1350"/>
      <c r="P776" s="1350"/>
      <c r="Q776" s="1350"/>
      <c r="R776" s="1531"/>
      <c r="S776" s="1531"/>
      <c r="T776" s="1531"/>
      <c r="U776" s="1531"/>
      <c r="V776" s="1531"/>
      <c r="W776" s="1531"/>
      <c r="X776" s="1531"/>
      <c r="Y776" s="1531"/>
      <c r="Z776" s="1531"/>
      <c r="AA776" s="1531"/>
      <c r="AB776" s="1531"/>
      <c r="AC776" s="1531"/>
      <c r="AD776" s="1531"/>
      <c r="AE776" s="1531"/>
      <c r="AF776" s="1531"/>
      <c r="AG776" s="1531"/>
      <c r="AH776" s="1531"/>
      <c r="AI776" s="1531"/>
      <c r="AJ776" s="1531"/>
      <c r="AK776" s="1531"/>
      <c r="AL776" s="1531"/>
      <c r="AM776" s="1531"/>
      <c r="AN776" s="1531"/>
      <c r="AO776" s="1531"/>
      <c r="AP776" s="1531"/>
      <c r="AQ776" s="1531"/>
      <c r="AR776" s="1531"/>
      <c r="AS776" s="1531"/>
      <c r="AT776" s="1531"/>
      <c r="AU776" s="1531"/>
      <c r="AV776" s="1531"/>
      <c r="AW776" s="1531"/>
      <c r="AX776" s="1531"/>
      <c r="AY776" s="1531"/>
      <c r="AZ776" s="1531"/>
      <c r="BA776" s="1136"/>
      <c r="BB776" s="1136"/>
      <c r="BC776" s="1136"/>
      <c r="BD776" s="1136"/>
      <c r="BE776" s="1136"/>
      <c r="BF776" s="1136"/>
      <c r="BG776" s="1136"/>
      <c r="BH776" s="1136"/>
      <c r="BI776" s="1136"/>
      <c r="BJ776" s="1136"/>
      <c r="BK776" s="1136"/>
      <c r="BL776" s="1136"/>
      <c r="BM776" s="1568"/>
      <c r="BN776" s="1391"/>
      <c r="BO776" s="1391"/>
      <c r="BP776" s="1391"/>
      <c r="BQ776" s="1391"/>
      <c r="BR776" s="1391"/>
      <c r="BS776" s="1391"/>
      <c r="BT776" s="1391"/>
      <c r="BU776" s="1391"/>
      <c r="BV776" s="1391"/>
      <c r="BW776" s="1391"/>
      <c r="BX776" s="1391"/>
      <c r="BY776" s="1391"/>
      <c r="BZ776" s="1391"/>
      <c r="CA776" s="1391"/>
      <c r="CB776" s="1391"/>
      <c r="CC776" s="1391"/>
      <c r="CD776" s="1391"/>
      <c r="CE776" s="1391"/>
      <c r="CF776" s="1391"/>
      <c r="CG776" s="1391"/>
      <c r="CH776" s="1391"/>
      <c r="CI776" s="1391"/>
      <c r="CJ776" s="1391"/>
      <c r="CK776" s="1391"/>
      <c r="CL776" s="1391"/>
      <c r="CM776" s="1391"/>
      <c r="CN776" s="1391"/>
      <c r="CO776" s="1391"/>
      <c r="CP776" s="1391"/>
      <c r="CQ776" s="1391"/>
      <c r="CR776" s="1391"/>
      <c r="CS776" s="1391"/>
      <c r="CT776" s="1391"/>
      <c r="CU776" s="1391"/>
      <c r="CV776" s="1391"/>
      <c r="CW776" s="1391"/>
      <c r="CX776" s="1391"/>
      <c r="CY776" s="1391"/>
      <c r="CZ776" s="1391"/>
      <c r="DA776" s="1391"/>
      <c r="DB776" s="1391"/>
      <c r="DC776" s="1391"/>
      <c r="DD776" s="1391"/>
      <c r="DE776" s="1391"/>
      <c r="DF776" s="1391"/>
      <c r="DG776" s="1391"/>
      <c r="DH776" s="1391"/>
      <c r="DI776" s="1391"/>
    </row>
    <row r="777" spans="1:113" ht="15.75" x14ac:dyDescent="0.25">
      <c r="A777" s="1466" t="s">
        <v>477</v>
      </c>
      <c r="B777" s="1453" t="e">
        <f>IF(B323=1,B776,0)</f>
        <v>#DIV/0!</v>
      </c>
      <c r="C777" s="1454"/>
      <c r="D777" s="1350"/>
      <c r="E777" s="1350"/>
      <c r="F777" s="1350"/>
      <c r="G777" s="1350"/>
      <c r="H777" s="1531"/>
      <c r="I777" s="1531"/>
      <c r="J777" s="1350"/>
      <c r="K777" s="1350"/>
      <c r="L777" s="1350"/>
      <c r="M777" s="1350"/>
      <c r="N777" s="1350"/>
      <c r="O777" s="1350"/>
      <c r="P777" s="1350"/>
      <c r="Q777" s="1350"/>
      <c r="R777" s="1531"/>
      <c r="S777" s="1531"/>
      <c r="T777" s="1531"/>
      <c r="U777" s="1531"/>
      <c r="V777" s="1531"/>
      <c r="W777" s="1531"/>
      <c r="X777" s="1531"/>
      <c r="Y777" s="1531"/>
      <c r="Z777" s="1531"/>
      <c r="AA777" s="1531"/>
      <c r="AB777" s="1531"/>
      <c r="AC777" s="1531"/>
      <c r="AD777" s="1531"/>
      <c r="AE777" s="1531"/>
      <c r="AF777" s="1531"/>
      <c r="AG777" s="1531"/>
      <c r="AH777" s="1531"/>
      <c r="AI777" s="1531"/>
      <c r="AJ777" s="1531"/>
      <c r="AK777" s="1531"/>
      <c r="AL777" s="1531"/>
      <c r="AM777" s="1531"/>
      <c r="AN777" s="1531"/>
      <c r="AO777" s="1531"/>
      <c r="AP777" s="1531"/>
      <c r="AQ777" s="1531"/>
      <c r="AR777" s="1531"/>
      <c r="AS777" s="1531"/>
      <c r="AT777" s="1531"/>
      <c r="AU777" s="1531"/>
      <c r="AV777" s="1531"/>
      <c r="AW777" s="1531"/>
      <c r="AX777" s="1531"/>
      <c r="AY777" s="1531"/>
      <c r="AZ777" s="1531"/>
      <c r="BA777" s="1136"/>
      <c r="BB777" s="1136"/>
      <c r="BC777" s="1136"/>
      <c r="BD777" s="1136"/>
      <c r="BE777" s="1136"/>
      <c r="BF777" s="1136"/>
      <c r="BG777" s="1136"/>
      <c r="BH777" s="1136"/>
      <c r="BI777" s="1136"/>
      <c r="BJ777" s="1136"/>
      <c r="BK777" s="1136"/>
      <c r="BL777" s="1136"/>
      <c r="BM777" s="1568"/>
      <c r="BN777" s="1391"/>
      <c r="BO777" s="1391"/>
      <c r="BP777" s="1391"/>
      <c r="BQ777" s="1391"/>
      <c r="BR777" s="1391"/>
      <c r="BS777" s="1391"/>
      <c r="BT777" s="1391"/>
      <c r="BU777" s="1391"/>
      <c r="BV777" s="1391"/>
      <c r="BW777" s="1391"/>
      <c r="BX777" s="1391"/>
      <c r="BY777" s="1391"/>
      <c r="BZ777" s="1391"/>
      <c r="CA777" s="1391"/>
      <c r="CB777" s="1391"/>
      <c r="CC777" s="1391"/>
      <c r="CD777" s="1391"/>
      <c r="CE777" s="1391"/>
      <c r="CF777" s="1391"/>
      <c r="CG777" s="1391"/>
      <c r="CH777" s="1391"/>
      <c r="CI777" s="1391"/>
      <c r="CJ777" s="1391"/>
      <c r="CK777" s="1391"/>
      <c r="CL777" s="1391"/>
      <c r="CM777" s="1391"/>
      <c r="CN777" s="1391"/>
      <c r="CO777" s="1391"/>
      <c r="CP777" s="1391"/>
      <c r="CQ777" s="1391"/>
      <c r="CR777" s="1391"/>
      <c r="CS777" s="1391"/>
      <c r="CT777" s="1391"/>
      <c r="CU777" s="1391"/>
      <c r="CV777" s="1391"/>
      <c r="CW777" s="1391"/>
      <c r="CX777" s="1391"/>
      <c r="CY777" s="1391"/>
      <c r="CZ777" s="1391"/>
      <c r="DA777" s="1391"/>
      <c r="DB777" s="1391"/>
      <c r="DC777" s="1391"/>
      <c r="DD777" s="1391"/>
      <c r="DE777" s="1391"/>
      <c r="DF777" s="1391"/>
      <c r="DG777" s="1391"/>
      <c r="DH777" s="1391"/>
      <c r="DI777" s="1391"/>
    </row>
    <row r="778" spans="1:113" ht="15.75" x14ac:dyDescent="0.25">
      <c r="A778" s="1430"/>
      <c r="B778" s="1443"/>
      <c r="C778" s="1437"/>
      <c r="D778" s="1416"/>
      <c r="E778" s="1416"/>
      <c r="F778" s="1416"/>
      <c r="G778" s="1416"/>
      <c r="H778" s="1531"/>
      <c r="I778" s="1531"/>
      <c r="J778" s="1350"/>
      <c r="K778" s="1350"/>
      <c r="L778" s="1350"/>
      <c r="M778" s="1350"/>
      <c r="N778" s="1350"/>
      <c r="O778" s="1350"/>
      <c r="P778" s="1350"/>
      <c r="Q778" s="1350"/>
      <c r="R778" s="1531"/>
      <c r="S778" s="1531"/>
      <c r="T778" s="1531"/>
      <c r="U778" s="1531"/>
      <c r="V778" s="1531"/>
      <c r="W778" s="1531"/>
      <c r="X778" s="1531"/>
      <c r="Y778" s="1531"/>
      <c r="Z778" s="1531"/>
      <c r="AA778" s="1531"/>
      <c r="AB778" s="1531"/>
      <c r="AC778" s="1531"/>
      <c r="AD778" s="1531"/>
      <c r="AE778" s="1531"/>
      <c r="AF778" s="1531"/>
      <c r="AG778" s="1531"/>
      <c r="AH778" s="1531"/>
      <c r="AI778" s="1531"/>
      <c r="AJ778" s="1531"/>
      <c r="AK778" s="1531"/>
      <c r="AL778" s="1531"/>
      <c r="AM778" s="1531"/>
      <c r="AN778" s="1531"/>
      <c r="AO778" s="1531"/>
      <c r="AP778" s="1531"/>
      <c r="AQ778" s="1531"/>
      <c r="AR778" s="1531"/>
      <c r="AS778" s="1531"/>
      <c r="AT778" s="1531"/>
      <c r="AU778" s="1531"/>
      <c r="AV778" s="1531"/>
      <c r="AW778" s="1531"/>
      <c r="AX778" s="1531"/>
      <c r="AY778" s="1531"/>
      <c r="AZ778" s="1531"/>
      <c r="BA778" s="1136"/>
      <c r="BB778" s="1136"/>
      <c r="BC778" s="1136"/>
      <c r="BD778" s="1136"/>
      <c r="BE778" s="1136"/>
      <c r="BF778" s="1136"/>
      <c r="BG778" s="1136"/>
      <c r="BH778" s="1136"/>
      <c r="BI778" s="1136"/>
      <c r="BJ778" s="1136"/>
      <c r="BK778" s="1136"/>
      <c r="BL778" s="1136"/>
      <c r="BM778" s="1568"/>
      <c r="BN778" s="1391"/>
      <c r="BO778" s="1391"/>
      <c r="BP778" s="1391"/>
      <c r="BQ778" s="1391"/>
      <c r="BR778" s="1391"/>
      <c r="BS778" s="1391"/>
      <c r="BT778" s="1391"/>
      <c r="BU778" s="1391"/>
      <c r="BV778" s="1391"/>
      <c r="BW778" s="1391"/>
      <c r="BX778" s="1391"/>
      <c r="BY778" s="1391"/>
      <c r="BZ778" s="1391"/>
      <c r="CA778" s="1391"/>
      <c r="CB778" s="1391"/>
      <c r="CC778" s="1391"/>
      <c r="CD778" s="1391"/>
      <c r="CE778" s="1391"/>
      <c r="CF778" s="1391"/>
      <c r="CG778" s="1391"/>
      <c r="CH778" s="1391"/>
      <c r="CI778" s="1391"/>
      <c r="CJ778" s="1391"/>
      <c r="CK778" s="1391"/>
      <c r="CL778" s="1391"/>
      <c r="CM778" s="1391"/>
      <c r="CN778" s="1391"/>
      <c r="CO778" s="1391"/>
      <c r="CP778" s="1391"/>
      <c r="CQ778" s="1391"/>
      <c r="CR778" s="1391"/>
      <c r="CS778" s="1391"/>
      <c r="CT778" s="1391"/>
      <c r="CU778" s="1391"/>
      <c r="CV778" s="1391"/>
      <c r="CW778" s="1391"/>
      <c r="CX778" s="1391"/>
      <c r="CY778" s="1391"/>
      <c r="CZ778" s="1391"/>
      <c r="DA778" s="1391"/>
      <c r="DB778" s="1391"/>
      <c r="DC778" s="1391"/>
      <c r="DD778" s="1391"/>
      <c r="DE778" s="1391"/>
      <c r="DF778" s="1391"/>
      <c r="DG778" s="1391"/>
      <c r="DH778" s="1391"/>
      <c r="DI778" s="1391"/>
    </row>
    <row r="779" spans="1:113" ht="15.75" x14ac:dyDescent="0.25">
      <c r="A779" s="1580" t="s">
        <v>478</v>
      </c>
      <c r="B779" s="1443"/>
      <c r="C779" s="1437"/>
      <c r="D779" s="1416"/>
      <c r="E779" s="1416"/>
      <c r="F779" s="1416"/>
      <c r="G779" s="1416"/>
      <c r="H779" s="1531"/>
      <c r="I779" s="1531"/>
      <c r="J779" s="1350"/>
      <c r="K779" s="1350"/>
      <c r="L779" s="1350"/>
      <c r="M779" s="1350"/>
      <c r="N779" s="1350"/>
      <c r="O779" s="1350"/>
      <c r="P779" s="1350"/>
      <c r="Q779" s="1350"/>
      <c r="R779" s="1531"/>
      <c r="S779" s="1531"/>
      <c r="T779" s="1531"/>
      <c r="U779" s="1531"/>
      <c r="V779" s="1531"/>
      <c r="W779" s="1531"/>
      <c r="X779" s="1531"/>
      <c r="Y779" s="1531"/>
      <c r="Z779" s="1531"/>
      <c r="AA779" s="1531"/>
      <c r="AB779" s="1531"/>
      <c r="AC779" s="1531"/>
      <c r="AD779" s="1531"/>
      <c r="AE779" s="1531"/>
      <c r="AF779" s="1531"/>
      <c r="AG779" s="1531"/>
      <c r="AH779" s="1531"/>
      <c r="AI779" s="1531"/>
      <c r="AJ779" s="1531"/>
      <c r="AK779" s="1531"/>
      <c r="AL779" s="1531"/>
      <c r="AM779" s="1531"/>
      <c r="AN779" s="1531"/>
      <c r="AO779" s="1531"/>
      <c r="AP779" s="1531"/>
      <c r="AQ779" s="1531"/>
      <c r="AR779" s="1531"/>
      <c r="AS779" s="1531"/>
      <c r="AT779" s="1531"/>
      <c r="AU779" s="1531"/>
      <c r="AV779" s="1531"/>
      <c r="AW779" s="1531"/>
      <c r="AX779" s="1531"/>
      <c r="AY779" s="1531"/>
      <c r="AZ779" s="1531"/>
      <c r="BA779" s="1136"/>
      <c r="BB779" s="1136"/>
      <c r="BC779" s="1136"/>
      <c r="BD779" s="1136"/>
      <c r="BE779" s="1136"/>
      <c r="BF779" s="1136"/>
      <c r="BG779" s="1136"/>
      <c r="BH779" s="1136"/>
      <c r="BI779" s="1136"/>
      <c r="BJ779" s="1136"/>
      <c r="BK779" s="1136"/>
      <c r="BL779" s="1136"/>
      <c r="BM779" s="1568"/>
      <c r="BN779" s="1391"/>
      <c r="BO779" s="1391"/>
      <c r="BP779" s="1391"/>
      <c r="BQ779" s="1391"/>
      <c r="BR779" s="1391"/>
      <c r="BS779" s="1391"/>
      <c r="BT779" s="1391"/>
      <c r="BU779" s="1391"/>
      <c r="BV779" s="1391"/>
      <c r="BW779" s="1391"/>
      <c r="BX779" s="1391"/>
      <c r="BY779" s="1391"/>
      <c r="BZ779" s="1391"/>
      <c r="CA779" s="1391"/>
      <c r="CB779" s="1391"/>
      <c r="CC779" s="1391"/>
      <c r="CD779" s="1391"/>
      <c r="CE779" s="1391"/>
      <c r="CF779" s="1391"/>
      <c r="CG779" s="1391"/>
      <c r="CH779" s="1391"/>
      <c r="CI779" s="1391"/>
      <c r="CJ779" s="1391"/>
      <c r="CK779" s="1391"/>
      <c r="CL779" s="1391"/>
      <c r="CM779" s="1391"/>
      <c r="CN779" s="1391"/>
      <c r="CO779" s="1391"/>
      <c r="CP779" s="1391"/>
      <c r="CQ779" s="1391"/>
      <c r="CR779" s="1391"/>
      <c r="CS779" s="1391"/>
      <c r="CT779" s="1391"/>
      <c r="CU779" s="1391"/>
      <c r="CV779" s="1391"/>
      <c r="CW779" s="1391"/>
      <c r="CX779" s="1391"/>
      <c r="CY779" s="1391"/>
      <c r="CZ779" s="1391"/>
      <c r="DA779" s="1391"/>
      <c r="DB779" s="1391"/>
      <c r="DC779" s="1391"/>
      <c r="DD779" s="1391"/>
      <c r="DE779" s="1391"/>
      <c r="DF779" s="1391"/>
      <c r="DG779" s="1391"/>
      <c r="DH779" s="1391"/>
      <c r="DI779" s="1391"/>
    </row>
    <row r="780" spans="1:113" ht="15.75" x14ac:dyDescent="0.25">
      <c r="A780" s="1417" t="s">
        <v>479</v>
      </c>
      <c r="B780" s="1599">
        <v>3</v>
      </c>
      <c r="C780" s="1440"/>
      <c r="D780" s="1350"/>
      <c r="E780" s="1350"/>
      <c r="F780" s="1350"/>
      <c r="G780" s="1350"/>
      <c r="H780" s="1531"/>
      <c r="I780" s="1531"/>
      <c r="J780" s="1350"/>
      <c r="K780" s="1350"/>
      <c r="L780" s="1350"/>
      <c r="M780" s="1350"/>
      <c r="N780" s="1350"/>
      <c r="O780" s="1350"/>
      <c r="P780" s="1350"/>
      <c r="Q780" s="1350"/>
      <c r="R780" s="1531"/>
      <c r="S780" s="1531"/>
      <c r="T780" s="1531"/>
      <c r="U780" s="1531"/>
      <c r="V780" s="1531"/>
      <c r="W780" s="1531"/>
      <c r="X780" s="1531"/>
      <c r="Y780" s="1531"/>
      <c r="Z780" s="1531"/>
      <c r="AA780" s="1531"/>
      <c r="AB780" s="1531"/>
      <c r="AC780" s="1531"/>
      <c r="AD780" s="1531"/>
      <c r="AE780" s="1531"/>
      <c r="AF780" s="1531"/>
      <c r="AG780" s="1531"/>
      <c r="AH780" s="1531"/>
      <c r="AI780" s="1531"/>
      <c r="AJ780" s="1531"/>
      <c r="AK780" s="1531"/>
      <c r="AL780" s="1531"/>
      <c r="AM780" s="1531"/>
      <c r="AN780" s="1531"/>
      <c r="AO780" s="1531"/>
      <c r="AP780" s="1531"/>
      <c r="AQ780" s="1531"/>
      <c r="AR780" s="1531"/>
      <c r="AS780" s="1531"/>
      <c r="AT780" s="1531"/>
      <c r="AU780" s="1531"/>
      <c r="AV780" s="1531"/>
      <c r="AW780" s="1531"/>
      <c r="AX780" s="1531"/>
      <c r="AY780" s="1531"/>
      <c r="AZ780" s="1531"/>
      <c r="BA780" s="1136"/>
      <c r="BB780" s="1136"/>
      <c r="BC780" s="1136"/>
      <c r="BD780" s="1136"/>
      <c r="BE780" s="1136"/>
      <c r="BF780" s="1136"/>
      <c r="BG780" s="1136"/>
      <c r="BH780" s="1136"/>
      <c r="BI780" s="1136"/>
      <c r="BJ780" s="1136"/>
      <c r="BK780" s="1136"/>
      <c r="BL780" s="1136"/>
      <c r="BM780" s="1568"/>
      <c r="BN780" s="1391"/>
      <c r="BO780" s="1391"/>
      <c r="BP780" s="1391"/>
      <c r="BQ780" s="1391"/>
      <c r="BR780" s="1391"/>
      <c r="BS780" s="1391"/>
      <c r="BT780" s="1391"/>
      <c r="BU780" s="1391"/>
      <c r="BV780" s="1391"/>
      <c r="BW780" s="1391"/>
      <c r="BX780" s="1391"/>
      <c r="BY780" s="1391"/>
      <c r="BZ780" s="1391"/>
      <c r="CA780" s="1391"/>
      <c r="CB780" s="1391"/>
      <c r="CC780" s="1391"/>
      <c r="CD780" s="1391"/>
      <c r="CE780" s="1391"/>
      <c r="CF780" s="1391"/>
      <c r="CG780" s="1391"/>
      <c r="CH780" s="1391"/>
      <c r="CI780" s="1391"/>
      <c r="CJ780" s="1391"/>
      <c r="CK780" s="1391"/>
      <c r="CL780" s="1391"/>
      <c r="CM780" s="1391"/>
      <c r="CN780" s="1391"/>
      <c r="CO780" s="1391"/>
      <c r="CP780" s="1391"/>
      <c r="CQ780" s="1391"/>
      <c r="CR780" s="1391"/>
      <c r="CS780" s="1391"/>
      <c r="CT780" s="1391"/>
      <c r="CU780" s="1391"/>
      <c r="CV780" s="1391"/>
      <c r="CW780" s="1391"/>
      <c r="CX780" s="1391"/>
      <c r="CY780" s="1391"/>
      <c r="CZ780" s="1391"/>
      <c r="DA780" s="1391"/>
      <c r="DB780" s="1391"/>
      <c r="DC780" s="1391"/>
      <c r="DD780" s="1391"/>
      <c r="DE780" s="1391"/>
      <c r="DF780" s="1391"/>
      <c r="DG780" s="1391"/>
      <c r="DH780" s="1391"/>
      <c r="DI780" s="1391"/>
    </row>
    <row r="781" spans="1:113" ht="15.75" x14ac:dyDescent="0.25">
      <c r="A781" s="1417" t="s">
        <v>3394</v>
      </c>
      <c r="B781" s="1599">
        <v>1</v>
      </c>
      <c r="C781" s="1440"/>
      <c r="D781" s="1350"/>
      <c r="E781" s="1350"/>
      <c r="F781" s="1350"/>
      <c r="G781" s="1350"/>
      <c r="H781" s="1531"/>
      <c r="I781" s="1531"/>
      <c r="J781" s="1350"/>
      <c r="K781" s="1350"/>
      <c r="L781" s="1350"/>
      <c r="M781" s="1350"/>
      <c r="N781" s="1350"/>
      <c r="O781" s="1350"/>
      <c r="P781" s="1350"/>
      <c r="Q781" s="1350"/>
      <c r="R781" s="1531"/>
      <c r="S781" s="1531"/>
      <c r="T781" s="1531"/>
      <c r="U781" s="1531"/>
      <c r="V781" s="1531"/>
      <c r="W781" s="1531"/>
      <c r="X781" s="1531"/>
      <c r="Y781" s="1531"/>
      <c r="Z781" s="1531"/>
      <c r="AA781" s="1531"/>
      <c r="AB781" s="1531"/>
      <c r="AC781" s="1531"/>
      <c r="AD781" s="1531"/>
      <c r="AE781" s="1531"/>
      <c r="AF781" s="1531"/>
      <c r="AG781" s="1531"/>
      <c r="AH781" s="1531"/>
      <c r="AI781" s="1531"/>
      <c r="AJ781" s="1531"/>
      <c r="AK781" s="1531"/>
      <c r="AL781" s="1531"/>
      <c r="AM781" s="1531"/>
      <c r="AN781" s="1531"/>
      <c r="AO781" s="1531"/>
      <c r="AP781" s="1531"/>
      <c r="AQ781" s="1531"/>
      <c r="AR781" s="1531"/>
      <c r="AS781" s="1531"/>
      <c r="AT781" s="1531"/>
      <c r="AU781" s="1531"/>
      <c r="AV781" s="1531"/>
      <c r="AW781" s="1531"/>
      <c r="AX781" s="1531"/>
      <c r="AY781" s="1531"/>
      <c r="AZ781" s="1531"/>
      <c r="BA781" s="1136"/>
      <c r="BB781" s="1136"/>
      <c r="BC781" s="1136"/>
      <c r="BD781" s="1136"/>
      <c r="BE781" s="1136"/>
      <c r="BF781" s="1136"/>
      <c r="BG781" s="1136"/>
      <c r="BH781" s="1136"/>
      <c r="BI781" s="1136"/>
      <c r="BJ781" s="1136"/>
      <c r="BK781" s="1136"/>
      <c r="BL781" s="1136"/>
      <c r="BM781" s="1568"/>
      <c r="BN781" s="1391"/>
      <c r="BO781" s="1391"/>
      <c r="BP781" s="1391"/>
      <c r="BQ781" s="1391"/>
      <c r="BR781" s="1391"/>
      <c r="BS781" s="1391"/>
      <c r="BT781" s="1391"/>
      <c r="BU781" s="1391"/>
      <c r="BV781" s="1391"/>
      <c r="BW781" s="1391"/>
      <c r="BX781" s="1391"/>
      <c r="BY781" s="1391"/>
      <c r="BZ781" s="1391"/>
      <c r="CA781" s="1391"/>
      <c r="CB781" s="1391"/>
      <c r="CC781" s="1391"/>
      <c r="CD781" s="1391"/>
      <c r="CE781" s="1391"/>
      <c r="CF781" s="1391"/>
      <c r="CG781" s="1391"/>
      <c r="CH781" s="1391"/>
      <c r="CI781" s="1391"/>
      <c r="CJ781" s="1391"/>
      <c r="CK781" s="1391"/>
      <c r="CL781" s="1391"/>
      <c r="CM781" s="1391"/>
      <c r="CN781" s="1391"/>
      <c r="CO781" s="1391"/>
      <c r="CP781" s="1391"/>
      <c r="CQ781" s="1391"/>
      <c r="CR781" s="1391"/>
      <c r="CS781" s="1391"/>
      <c r="CT781" s="1391"/>
      <c r="CU781" s="1391"/>
      <c r="CV781" s="1391"/>
      <c r="CW781" s="1391"/>
      <c r="CX781" s="1391"/>
      <c r="CY781" s="1391"/>
      <c r="CZ781" s="1391"/>
      <c r="DA781" s="1391"/>
      <c r="DB781" s="1391"/>
      <c r="DC781" s="1391"/>
      <c r="DD781" s="1391"/>
      <c r="DE781" s="1391"/>
      <c r="DF781" s="1391"/>
      <c r="DG781" s="1391"/>
      <c r="DH781" s="1391"/>
      <c r="DI781" s="1391"/>
    </row>
    <row r="782" spans="1:113" ht="15.75" x14ac:dyDescent="0.25">
      <c r="A782" s="1430" t="s">
        <v>3395</v>
      </c>
      <c r="B782" s="1443" t="e">
        <f>B286*B291*B306*B493*B781/B780</f>
        <v>#VALUE!</v>
      </c>
      <c r="C782" s="1437"/>
      <c r="D782" s="1416"/>
      <c r="E782" s="1416"/>
      <c r="F782" s="1416"/>
      <c r="G782" s="1416"/>
      <c r="H782" s="1531"/>
      <c r="I782" s="1531"/>
      <c r="J782" s="1350"/>
      <c r="K782" s="1350"/>
      <c r="L782" s="1350"/>
      <c r="M782" s="1350"/>
      <c r="N782" s="1350"/>
      <c r="O782" s="1350"/>
      <c r="P782" s="1350"/>
      <c r="Q782" s="1350"/>
      <c r="R782" s="1531"/>
      <c r="S782" s="1531"/>
      <c r="T782" s="1531"/>
      <c r="U782" s="1531"/>
      <c r="V782" s="1531"/>
      <c r="W782" s="1531"/>
      <c r="X782" s="1531"/>
      <c r="Y782" s="1531"/>
      <c r="Z782" s="1531"/>
      <c r="AA782" s="1531"/>
      <c r="AB782" s="1531"/>
      <c r="AC782" s="1531"/>
      <c r="AD782" s="1531"/>
      <c r="AE782" s="1531"/>
      <c r="AF782" s="1531"/>
      <c r="AG782" s="1531"/>
      <c r="AH782" s="1531"/>
      <c r="AI782" s="1531"/>
      <c r="AJ782" s="1531"/>
      <c r="AK782" s="1531"/>
      <c r="AL782" s="1531"/>
      <c r="AM782" s="1531"/>
      <c r="AN782" s="1531"/>
      <c r="AO782" s="1531"/>
      <c r="AP782" s="1531"/>
      <c r="AQ782" s="1531"/>
      <c r="AR782" s="1531"/>
      <c r="AS782" s="1531"/>
      <c r="AT782" s="1531"/>
      <c r="AU782" s="1531"/>
      <c r="AV782" s="1531"/>
      <c r="AW782" s="1531"/>
      <c r="AX782" s="1531"/>
      <c r="AY782" s="1531"/>
      <c r="AZ782" s="1531"/>
      <c r="BA782" s="1136"/>
      <c r="BB782" s="1136"/>
      <c r="BC782" s="1136"/>
      <c r="BD782" s="1136"/>
      <c r="BE782" s="1136"/>
      <c r="BF782" s="1136"/>
      <c r="BG782" s="1136"/>
      <c r="BH782" s="1136"/>
      <c r="BI782" s="1136"/>
      <c r="BJ782" s="1136"/>
      <c r="BK782" s="1136"/>
      <c r="BL782" s="1136"/>
      <c r="BM782" s="1568"/>
      <c r="BN782" s="1391"/>
      <c r="BO782" s="1391"/>
      <c r="BP782" s="1391"/>
      <c r="BQ782" s="1391"/>
      <c r="BR782" s="1391"/>
      <c r="BS782" s="1391"/>
      <c r="BT782" s="1391"/>
      <c r="BU782" s="1391"/>
      <c r="BV782" s="1391"/>
      <c r="BW782" s="1391"/>
      <c r="BX782" s="1391"/>
      <c r="BY782" s="1391"/>
      <c r="BZ782" s="1391"/>
      <c r="CA782" s="1391"/>
      <c r="CB782" s="1391"/>
      <c r="CC782" s="1391"/>
      <c r="CD782" s="1391"/>
      <c r="CE782" s="1391"/>
      <c r="CF782" s="1391"/>
      <c r="CG782" s="1391"/>
      <c r="CH782" s="1391"/>
      <c r="CI782" s="1391"/>
      <c r="CJ782" s="1391"/>
      <c r="CK782" s="1391"/>
      <c r="CL782" s="1391"/>
      <c r="CM782" s="1391"/>
      <c r="CN782" s="1391"/>
      <c r="CO782" s="1391"/>
      <c r="CP782" s="1391"/>
      <c r="CQ782" s="1391"/>
      <c r="CR782" s="1391"/>
      <c r="CS782" s="1391"/>
      <c r="CT782" s="1391"/>
      <c r="CU782" s="1391"/>
      <c r="CV782" s="1391"/>
      <c r="CW782" s="1391"/>
      <c r="CX782" s="1391"/>
      <c r="CY782" s="1391"/>
      <c r="CZ782" s="1391"/>
      <c r="DA782" s="1391"/>
      <c r="DB782" s="1391"/>
      <c r="DC782" s="1391"/>
      <c r="DD782" s="1391"/>
      <c r="DE782" s="1391"/>
      <c r="DF782" s="1391"/>
      <c r="DG782" s="1391"/>
      <c r="DH782" s="1391"/>
      <c r="DI782" s="1391"/>
    </row>
    <row r="783" spans="1:113" ht="15.75" x14ac:dyDescent="0.25">
      <c r="A783" s="1456" t="s">
        <v>3396</v>
      </c>
      <c r="B783" s="1599">
        <v>9</v>
      </c>
      <c r="C783" s="1440"/>
      <c r="D783" s="1432"/>
      <c r="E783" s="1432"/>
      <c r="F783" s="1432"/>
      <c r="G783" s="1432"/>
      <c r="H783" s="1531"/>
      <c r="I783" s="1531"/>
      <c r="J783" s="1350"/>
      <c r="K783" s="1350"/>
      <c r="L783" s="1350"/>
      <c r="M783" s="1350"/>
      <c r="N783" s="1350"/>
      <c r="O783" s="1350"/>
      <c r="P783" s="1350"/>
      <c r="Q783" s="1350"/>
      <c r="R783" s="1531"/>
      <c r="S783" s="1531"/>
      <c r="T783" s="1531"/>
      <c r="U783" s="1531"/>
      <c r="V783" s="1531"/>
      <c r="W783" s="1531"/>
      <c r="X783" s="1531"/>
      <c r="Y783" s="1531"/>
      <c r="Z783" s="1531"/>
      <c r="AA783" s="1531"/>
      <c r="AB783" s="1531"/>
      <c r="AC783" s="1531"/>
      <c r="AD783" s="1531"/>
      <c r="AE783" s="1531"/>
      <c r="AF783" s="1531"/>
      <c r="AG783" s="1531"/>
      <c r="AH783" s="1531"/>
      <c r="AI783" s="1531"/>
      <c r="AJ783" s="1531"/>
      <c r="AK783" s="1531"/>
      <c r="AL783" s="1531"/>
      <c r="AM783" s="1531"/>
      <c r="AN783" s="1531"/>
      <c r="AO783" s="1531"/>
      <c r="AP783" s="1531"/>
      <c r="AQ783" s="1531"/>
      <c r="AR783" s="1531"/>
      <c r="AS783" s="1531"/>
      <c r="AT783" s="1531"/>
      <c r="AU783" s="1531"/>
      <c r="AV783" s="1531"/>
      <c r="AW783" s="1531"/>
      <c r="AX783" s="1531"/>
      <c r="AY783" s="1531"/>
      <c r="AZ783" s="1531"/>
      <c r="BA783" s="1136"/>
      <c r="BB783" s="1136"/>
      <c r="BC783" s="1136"/>
      <c r="BD783" s="1136"/>
      <c r="BE783" s="1136"/>
      <c r="BF783" s="1136"/>
      <c r="BG783" s="1136"/>
      <c r="BH783" s="1136"/>
      <c r="BI783" s="1136"/>
      <c r="BJ783" s="1136"/>
      <c r="BK783" s="1136"/>
      <c r="BL783" s="1136"/>
      <c r="BM783" s="1600"/>
      <c r="BN783" s="1601"/>
      <c r="BO783" s="1601"/>
      <c r="BP783" s="1601"/>
      <c r="BQ783" s="1601"/>
      <c r="BR783" s="1601"/>
      <c r="BS783" s="1601"/>
      <c r="BT783" s="1601"/>
      <c r="BU783" s="1601"/>
      <c r="BV783" s="1601"/>
      <c r="BW783" s="1601"/>
      <c r="BX783" s="1601"/>
      <c r="BY783" s="1601"/>
      <c r="BZ783" s="1601"/>
      <c r="CA783" s="1601"/>
      <c r="CB783" s="1601"/>
      <c r="CC783" s="1601"/>
      <c r="CD783" s="1601"/>
      <c r="CE783" s="1601"/>
      <c r="CF783" s="1601"/>
      <c r="CG783" s="1601"/>
      <c r="CH783" s="1601"/>
      <c r="CI783" s="1601"/>
      <c r="CJ783" s="1601"/>
      <c r="CK783" s="1601"/>
      <c r="CL783" s="1601"/>
      <c r="CM783" s="1601"/>
      <c r="CN783" s="1601"/>
      <c r="CO783" s="1601"/>
      <c r="CP783" s="1601"/>
      <c r="CQ783" s="1601"/>
      <c r="CR783" s="1601"/>
      <c r="CS783" s="1601"/>
      <c r="CT783" s="1601"/>
      <c r="CU783" s="1601"/>
      <c r="CV783" s="1601"/>
      <c r="CW783" s="1601"/>
      <c r="CX783" s="1601"/>
      <c r="CY783" s="1601"/>
      <c r="CZ783" s="1601"/>
      <c r="DA783" s="1601"/>
      <c r="DB783" s="1601"/>
      <c r="DC783" s="1601"/>
      <c r="DD783" s="1601"/>
      <c r="DE783" s="1601"/>
      <c r="DF783" s="1601"/>
      <c r="DG783" s="1601"/>
      <c r="DH783" s="1601"/>
      <c r="DI783" s="1601"/>
    </row>
    <row r="784" spans="1:113" ht="15.75" x14ac:dyDescent="0.25">
      <c r="A784" s="1430" t="s">
        <v>3397</v>
      </c>
      <c r="B784" s="1433" t="e">
        <f>B782*B783</f>
        <v>#VALUE!</v>
      </c>
      <c r="C784" s="1437"/>
      <c r="D784" s="1454"/>
      <c r="E784" s="1454"/>
      <c r="F784" s="1454"/>
      <c r="G784" s="1454"/>
      <c r="H784" s="1531"/>
      <c r="I784" s="1531"/>
      <c r="J784" s="1350"/>
      <c r="K784" s="1350"/>
      <c r="L784" s="1350"/>
      <c r="M784" s="1350"/>
      <c r="N784" s="1350"/>
      <c r="O784" s="1350"/>
      <c r="P784" s="1350"/>
      <c r="Q784" s="1350"/>
      <c r="R784" s="1531"/>
      <c r="S784" s="1531"/>
      <c r="T784" s="1531"/>
      <c r="U784" s="1531"/>
      <c r="V784" s="1531"/>
      <c r="W784" s="1531"/>
      <c r="X784" s="1531"/>
      <c r="Y784" s="1531"/>
      <c r="Z784" s="1531"/>
      <c r="AA784" s="1531"/>
      <c r="AB784" s="1531"/>
      <c r="AC784" s="1531"/>
      <c r="AD784" s="1531"/>
      <c r="AE784" s="1531"/>
      <c r="AF784" s="1531"/>
      <c r="AG784" s="1531"/>
      <c r="AH784" s="1531"/>
      <c r="AI784" s="1531"/>
      <c r="AJ784" s="1531"/>
      <c r="AK784" s="1531"/>
      <c r="AL784" s="1531"/>
      <c r="AM784" s="1531"/>
      <c r="AN784" s="1531"/>
      <c r="AO784" s="1531"/>
      <c r="AP784" s="1531"/>
      <c r="AQ784" s="1531"/>
      <c r="AR784" s="1531"/>
      <c r="AS784" s="1531"/>
      <c r="AT784" s="1531"/>
      <c r="AU784" s="1531"/>
      <c r="AV784" s="1531"/>
      <c r="AW784" s="1531"/>
      <c r="AX784" s="1531"/>
      <c r="AY784" s="1531"/>
      <c r="AZ784" s="1531"/>
      <c r="BA784" s="1136"/>
      <c r="BB784" s="1136"/>
      <c r="BC784" s="1136"/>
      <c r="BD784" s="1136"/>
      <c r="BE784" s="1136"/>
      <c r="BF784" s="1136"/>
      <c r="BG784" s="1136"/>
      <c r="BH784" s="1136"/>
      <c r="BI784" s="1136"/>
      <c r="BJ784" s="1136"/>
      <c r="BK784" s="1136"/>
      <c r="BL784" s="1136"/>
      <c r="BM784" s="1136"/>
      <c r="BN784" s="1136"/>
      <c r="BO784" s="1136"/>
      <c r="BP784" s="1136"/>
      <c r="BQ784" s="1136"/>
      <c r="BR784" s="1136"/>
      <c r="BS784" s="1136"/>
      <c r="BT784" s="1136"/>
      <c r="BU784" s="1136"/>
      <c r="BV784" s="1136"/>
      <c r="BW784" s="1136"/>
      <c r="BX784" s="1136"/>
      <c r="BY784" s="1136"/>
      <c r="BZ784" s="1136"/>
      <c r="CA784" s="1136"/>
      <c r="CB784" s="1136"/>
      <c r="CC784" s="1136"/>
      <c r="CD784" s="1136"/>
      <c r="CE784" s="1136"/>
      <c r="CF784" s="1136"/>
      <c r="CG784" s="1136"/>
      <c r="CH784" s="1136"/>
      <c r="CI784" s="1136"/>
      <c r="CJ784" s="1136"/>
      <c r="CK784" s="1136"/>
      <c r="CL784" s="1136"/>
      <c r="CM784" s="1136"/>
      <c r="CN784" s="1136"/>
      <c r="CO784" s="1136"/>
      <c r="CP784" s="1136"/>
      <c r="CQ784" s="1136"/>
      <c r="CR784" s="1136"/>
      <c r="CS784" s="1136"/>
      <c r="CT784" s="1136"/>
      <c r="CU784" s="1136"/>
      <c r="CV784" s="1136"/>
      <c r="CW784" s="1136"/>
      <c r="CX784" s="1136"/>
      <c r="CY784" s="1136"/>
      <c r="CZ784" s="1136"/>
      <c r="DA784" s="1136"/>
      <c r="DB784" s="1136"/>
      <c r="DC784" s="1136"/>
      <c r="DD784" s="1136"/>
      <c r="DE784" s="1136"/>
      <c r="DF784" s="1136"/>
      <c r="DG784" s="1136"/>
      <c r="DH784" s="1136"/>
      <c r="DI784" s="1136"/>
    </row>
    <row r="785" spans="1:113" ht="15.75" x14ac:dyDescent="0.25">
      <c r="A785" s="1466" t="s">
        <v>3398</v>
      </c>
      <c r="B785" s="1571">
        <f>IF(B298=2,B784,0)</f>
        <v>0</v>
      </c>
      <c r="C785" s="1468"/>
      <c r="D785" s="1350"/>
      <c r="E785" s="1350"/>
      <c r="F785" s="1350"/>
      <c r="G785" s="1350"/>
      <c r="H785" s="1531"/>
      <c r="I785" s="1531"/>
      <c r="J785" s="1350"/>
      <c r="K785" s="1350"/>
      <c r="L785" s="1350"/>
      <c r="M785" s="1350"/>
      <c r="N785" s="1350"/>
      <c r="O785" s="1350"/>
      <c r="P785" s="1350"/>
      <c r="Q785" s="1350"/>
      <c r="R785" s="1531"/>
      <c r="S785" s="1531"/>
      <c r="T785" s="1531"/>
      <c r="U785" s="1531"/>
      <c r="V785" s="1531"/>
      <c r="W785" s="1531"/>
      <c r="X785" s="1531"/>
      <c r="Y785" s="1531"/>
      <c r="Z785" s="1531"/>
      <c r="AA785" s="1531"/>
      <c r="AB785" s="1531"/>
      <c r="AC785" s="1531"/>
      <c r="AD785" s="1531"/>
      <c r="AE785" s="1531"/>
      <c r="AF785" s="1531"/>
      <c r="AG785" s="1531"/>
      <c r="AH785" s="1531"/>
      <c r="AI785" s="1531"/>
      <c r="AJ785" s="1531"/>
      <c r="AK785" s="1531"/>
      <c r="AL785" s="1531"/>
      <c r="AM785" s="1531"/>
      <c r="AN785" s="1531"/>
      <c r="AO785" s="1531"/>
      <c r="AP785" s="1531"/>
      <c r="AQ785" s="1531"/>
      <c r="AR785" s="1531"/>
      <c r="AS785" s="1531"/>
      <c r="AT785" s="1531"/>
      <c r="AU785" s="1531"/>
      <c r="AV785" s="1531"/>
      <c r="AW785" s="1531"/>
      <c r="AX785" s="1531"/>
      <c r="AY785" s="1531"/>
      <c r="AZ785" s="1531"/>
      <c r="BA785" s="1136"/>
      <c r="BB785" s="1136"/>
      <c r="BC785" s="1136"/>
      <c r="BD785" s="1136"/>
      <c r="BE785" s="1136"/>
      <c r="BF785" s="1136"/>
      <c r="BG785" s="1136"/>
      <c r="BH785" s="1136"/>
      <c r="BI785" s="1136"/>
      <c r="BJ785" s="1136"/>
      <c r="BK785" s="1136"/>
      <c r="BL785" s="1136"/>
      <c r="BM785" s="1136"/>
      <c r="BN785" s="1136"/>
      <c r="BO785" s="1136"/>
      <c r="BP785" s="1136"/>
      <c r="BQ785" s="1136"/>
      <c r="BR785" s="1136"/>
      <c r="BS785" s="1136"/>
      <c r="BT785" s="1136"/>
      <c r="BU785" s="1136"/>
      <c r="BV785" s="1136"/>
      <c r="BW785" s="1136"/>
      <c r="BX785" s="1136"/>
      <c r="BY785" s="1136"/>
      <c r="BZ785" s="1136"/>
      <c r="CA785" s="1136"/>
      <c r="CB785" s="1136"/>
      <c r="CC785" s="1136"/>
      <c r="CD785" s="1136"/>
      <c r="CE785" s="1136"/>
      <c r="CF785" s="1136"/>
      <c r="CG785" s="1136"/>
      <c r="CH785" s="1136"/>
      <c r="CI785" s="1136"/>
      <c r="CJ785" s="1136"/>
      <c r="CK785" s="1136"/>
      <c r="CL785" s="1136"/>
      <c r="CM785" s="1136"/>
      <c r="CN785" s="1136"/>
      <c r="CO785" s="1136"/>
      <c r="CP785" s="1136"/>
      <c r="CQ785" s="1136"/>
      <c r="CR785" s="1136"/>
      <c r="CS785" s="1136"/>
      <c r="CT785" s="1136"/>
      <c r="CU785" s="1136"/>
      <c r="CV785" s="1136"/>
      <c r="CW785" s="1136"/>
      <c r="CX785" s="1136"/>
      <c r="CY785" s="1136"/>
      <c r="CZ785" s="1136"/>
      <c r="DA785" s="1136"/>
      <c r="DB785" s="1136"/>
      <c r="DC785" s="1136"/>
      <c r="DD785" s="1136"/>
      <c r="DE785" s="1136"/>
      <c r="DF785" s="1136"/>
      <c r="DG785" s="1136"/>
      <c r="DH785" s="1136"/>
      <c r="DI785" s="1136"/>
    </row>
    <row r="786" spans="1:113" ht="15.75" x14ac:dyDescent="0.25">
      <c r="A786" s="1430"/>
      <c r="B786" s="1433"/>
      <c r="C786" s="1437"/>
      <c r="D786" s="1350"/>
      <c r="E786" s="1350"/>
      <c r="F786" s="1350"/>
      <c r="G786" s="1350"/>
      <c r="H786" s="1531"/>
      <c r="I786" s="1531"/>
      <c r="J786" s="1350"/>
      <c r="K786" s="1350"/>
      <c r="L786" s="1350"/>
      <c r="M786" s="1350"/>
      <c r="N786" s="1350"/>
      <c r="O786" s="1350"/>
      <c r="P786" s="1350"/>
      <c r="Q786" s="1350"/>
      <c r="R786" s="1531"/>
      <c r="S786" s="1531"/>
      <c r="T786" s="1531"/>
      <c r="U786" s="1531"/>
      <c r="V786" s="1531"/>
      <c r="W786" s="1531"/>
      <c r="X786" s="1531"/>
      <c r="Y786" s="1531"/>
      <c r="Z786" s="1531"/>
      <c r="AA786" s="1531"/>
      <c r="AB786" s="1531"/>
      <c r="AC786" s="1531"/>
      <c r="AD786" s="1531"/>
      <c r="AE786" s="1531"/>
      <c r="AF786" s="1531"/>
      <c r="AG786" s="1531"/>
      <c r="AH786" s="1531"/>
      <c r="AI786" s="1531"/>
      <c r="AJ786" s="1531"/>
      <c r="AK786" s="1531"/>
      <c r="AL786" s="1531"/>
      <c r="AM786" s="1531"/>
      <c r="AN786" s="1531"/>
      <c r="AO786" s="1531"/>
      <c r="AP786" s="1531"/>
      <c r="AQ786" s="1531"/>
      <c r="AR786" s="1531"/>
      <c r="AS786" s="1531"/>
      <c r="AT786" s="1531"/>
      <c r="AU786" s="1531"/>
      <c r="AV786" s="1531"/>
      <c r="AW786" s="1531"/>
      <c r="AX786" s="1531"/>
      <c r="AY786" s="1531"/>
      <c r="AZ786" s="1531"/>
      <c r="BA786" s="1136"/>
      <c r="BB786" s="1136"/>
      <c r="BC786" s="1136"/>
      <c r="BD786" s="1136"/>
      <c r="BE786" s="1136"/>
      <c r="BF786" s="1136"/>
      <c r="BG786" s="1136"/>
      <c r="BH786" s="1136"/>
      <c r="BI786" s="1136"/>
      <c r="BJ786" s="1136"/>
      <c r="BK786" s="1136"/>
      <c r="BL786" s="1136"/>
      <c r="BM786" s="1136"/>
      <c r="BN786" s="1136"/>
      <c r="BO786" s="1136"/>
      <c r="BP786" s="1136"/>
      <c r="BQ786" s="1136"/>
      <c r="BR786" s="1136"/>
      <c r="BS786" s="1136"/>
      <c r="BT786" s="1136"/>
      <c r="BU786" s="1136"/>
      <c r="BV786" s="1136"/>
      <c r="BW786" s="1136"/>
      <c r="BX786" s="1136"/>
      <c r="BY786" s="1136"/>
      <c r="BZ786" s="1136"/>
      <c r="CA786" s="1136"/>
      <c r="CB786" s="1136"/>
      <c r="CC786" s="1136"/>
      <c r="CD786" s="1136"/>
      <c r="CE786" s="1136"/>
      <c r="CF786" s="1136"/>
      <c r="CG786" s="1136"/>
      <c r="CH786" s="1136"/>
      <c r="CI786" s="1136"/>
      <c r="CJ786" s="1136"/>
      <c r="CK786" s="1136"/>
      <c r="CL786" s="1136"/>
      <c r="CM786" s="1136"/>
      <c r="CN786" s="1136"/>
      <c r="CO786" s="1136"/>
      <c r="CP786" s="1136"/>
      <c r="CQ786" s="1136"/>
      <c r="CR786" s="1136"/>
      <c r="CS786" s="1136"/>
      <c r="CT786" s="1136"/>
      <c r="CU786" s="1136"/>
      <c r="CV786" s="1136"/>
      <c r="CW786" s="1136"/>
      <c r="CX786" s="1136"/>
      <c r="CY786" s="1136"/>
      <c r="CZ786" s="1136"/>
      <c r="DA786" s="1136"/>
      <c r="DB786" s="1136"/>
      <c r="DC786" s="1136"/>
      <c r="DD786" s="1136"/>
      <c r="DE786" s="1136"/>
      <c r="DF786" s="1136"/>
      <c r="DG786" s="1136"/>
      <c r="DH786" s="1136"/>
      <c r="DI786" s="1136"/>
    </row>
    <row r="787" spans="1:113" ht="15.75" x14ac:dyDescent="0.25">
      <c r="A787" s="1580" t="s">
        <v>3399</v>
      </c>
      <c r="B787" s="1433"/>
      <c r="C787" s="1437"/>
      <c r="D787" s="1440"/>
      <c r="E787" s="1440"/>
      <c r="F787" s="1440"/>
      <c r="G787" s="1440"/>
      <c r="H787" s="1531"/>
      <c r="I787" s="1531"/>
      <c r="J787" s="1350"/>
      <c r="K787" s="1350"/>
      <c r="L787" s="1350"/>
      <c r="M787" s="1350"/>
      <c r="N787" s="1350"/>
      <c r="O787" s="1350"/>
      <c r="P787" s="1350"/>
      <c r="Q787" s="1350"/>
      <c r="R787" s="1531"/>
      <c r="S787" s="1531"/>
      <c r="T787" s="1531"/>
      <c r="U787" s="1531"/>
      <c r="V787" s="1531"/>
      <c r="W787" s="1531"/>
      <c r="X787" s="1531"/>
      <c r="Y787" s="1531"/>
      <c r="Z787" s="1531"/>
      <c r="AA787" s="1531"/>
      <c r="AB787" s="1531"/>
      <c r="AC787" s="1531"/>
      <c r="AD787" s="1531"/>
      <c r="AE787" s="1531"/>
      <c r="AF787" s="1531"/>
      <c r="AG787" s="1531"/>
      <c r="AH787" s="1531"/>
      <c r="AI787" s="1531"/>
      <c r="AJ787" s="1531"/>
      <c r="AK787" s="1531"/>
      <c r="AL787" s="1531"/>
      <c r="AM787" s="1531"/>
      <c r="AN787" s="1531"/>
      <c r="AO787" s="1531"/>
      <c r="AP787" s="1531"/>
      <c r="AQ787" s="1531"/>
      <c r="AR787" s="1531"/>
      <c r="AS787" s="1531"/>
      <c r="AT787" s="1531"/>
      <c r="AU787" s="1531"/>
      <c r="AV787" s="1531"/>
      <c r="AW787" s="1531"/>
      <c r="AX787" s="1531"/>
      <c r="AY787" s="1531"/>
      <c r="AZ787" s="1531"/>
      <c r="BA787" s="1136"/>
      <c r="BB787" s="1136"/>
      <c r="BC787" s="1136"/>
      <c r="BD787" s="1136"/>
      <c r="BE787" s="1136"/>
      <c r="BF787" s="1136"/>
      <c r="BG787" s="1136"/>
      <c r="BH787" s="1136"/>
      <c r="BI787" s="1136"/>
      <c r="BJ787" s="1136"/>
      <c r="BK787" s="1136"/>
      <c r="BL787" s="1136"/>
      <c r="BM787" s="1136"/>
      <c r="BN787" s="1136"/>
      <c r="BO787" s="1136"/>
      <c r="BP787" s="1136"/>
      <c r="BQ787" s="1136"/>
      <c r="BR787" s="1136"/>
      <c r="BS787" s="1136"/>
      <c r="BT787" s="1136"/>
      <c r="BU787" s="1136"/>
      <c r="BV787" s="1136"/>
      <c r="BW787" s="1136"/>
      <c r="BX787" s="1136"/>
      <c r="BY787" s="1136"/>
      <c r="BZ787" s="1136"/>
      <c r="CA787" s="1136"/>
      <c r="CB787" s="1136"/>
      <c r="CC787" s="1136"/>
      <c r="CD787" s="1136"/>
      <c r="CE787" s="1136"/>
      <c r="CF787" s="1136"/>
      <c r="CG787" s="1136"/>
      <c r="CH787" s="1136"/>
      <c r="CI787" s="1136"/>
      <c r="CJ787" s="1136"/>
      <c r="CK787" s="1136"/>
      <c r="CL787" s="1136"/>
      <c r="CM787" s="1136"/>
      <c r="CN787" s="1136"/>
      <c r="CO787" s="1136"/>
      <c r="CP787" s="1136"/>
      <c r="CQ787" s="1136"/>
      <c r="CR787" s="1136"/>
      <c r="CS787" s="1136"/>
      <c r="CT787" s="1136"/>
      <c r="CU787" s="1136"/>
      <c r="CV787" s="1136"/>
      <c r="CW787" s="1136"/>
      <c r="CX787" s="1136"/>
      <c r="CY787" s="1136"/>
      <c r="CZ787" s="1136"/>
      <c r="DA787" s="1136"/>
      <c r="DB787" s="1136"/>
      <c r="DC787" s="1136"/>
      <c r="DD787" s="1136"/>
      <c r="DE787" s="1136"/>
      <c r="DF787" s="1136"/>
      <c r="DG787" s="1136"/>
      <c r="DH787" s="1136"/>
      <c r="DI787" s="1136"/>
    </row>
    <row r="788" spans="1:113" ht="15.75" x14ac:dyDescent="0.25">
      <c r="A788" s="1430" t="s">
        <v>3400</v>
      </c>
      <c r="B788" s="1433" t="e">
        <f>B291*CEILING(B286*B306*B493,1)/B780</f>
        <v>#VALUE!</v>
      </c>
      <c r="C788" s="1437"/>
      <c r="D788" s="1440"/>
      <c r="E788" s="1440"/>
      <c r="F788" s="1440"/>
      <c r="G788" s="1440"/>
      <c r="H788" s="1531"/>
      <c r="I788" s="1531"/>
      <c r="J788" s="1350"/>
      <c r="K788" s="1350"/>
      <c r="L788" s="1350"/>
      <c r="M788" s="1350"/>
      <c r="N788" s="1350"/>
      <c r="O788" s="1350"/>
      <c r="P788" s="1350"/>
      <c r="Q788" s="1350"/>
      <c r="R788" s="1531"/>
      <c r="S788" s="1531"/>
      <c r="T788" s="1531"/>
      <c r="U788" s="1531"/>
      <c r="V788" s="1531"/>
      <c r="W788" s="1531"/>
      <c r="X788" s="1531"/>
      <c r="Y788" s="1531"/>
      <c r="Z788" s="1531"/>
      <c r="AA788" s="1531"/>
      <c r="AB788" s="1531"/>
      <c r="AC788" s="1531"/>
      <c r="AD788" s="1531"/>
      <c r="AE788" s="1531"/>
      <c r="AF788" s="1531"/>
      <c r="AG788" s="1531"/>
      <c r="AH788" s="1531"/>
      <c r="AI788" s="1531"/>
      <c r="AJ788" s="1531"/>
      <c r="AK788" s="1531"/>
      <c r="AL788" s="1531"/>
      <c r="AM788" s="1531"/>
      <c r="AN788" s="1531"/>
      <c r="AO788" s="1531"/>
      <c r="AP788" s="1531"/>
      <c r="AQ788" s="1531"/>
      <c r="AR788" s="1531"/>
      <c r="AS788" s="1531"/>
      <c r="AT788" s="1531"/>
      <c r="AU788" s="1531"/>
      <c r="AV788" s="1531"/>
      <c r="AW788" s="1531"/>
      <c r="AX788" s="1531"/>
      <c r="AY788" s="1531"/>
      <c r="AZ788" s="1531"/>
      <c r="BA788" s="1136"/>
      <c r="BB788" s="1136"/>
      <c r="BC788" s="1136"/>
      <c r="BD788" s="1136"/>
      <c r="BE788" s="1136"/>
      <c r="BF788" s="1136"/>
      <c r="BG788" s="1136"/>
      <c r="BH788" s="1136"/>
      <c r="BI788" s="1136"/>
      <c r="BJ788" s="1136"/>
      <c r="BK788" s="1136"/>
      <c r="BL788" s="1136"/>
      <c r="BM788" s="1136"/>
      <c r="BN788" s="1136"/>
      <c r="BO788" s="1136"/>
      <c r="BP788" s="1136"/>
      <c r="BQ788" s="1136"/>
      <c r="BR788" s="1136"/>
      <c r="BS788" s="1136"/>
      <c r="BT788" s="1136"/>
      <c r="BU788" s="1136"/>
      <c r="BV788" s="1136"/>
      <c r="BW788" s="1136"/>
      <c r="BX788" s="1136"/>
      <c r="BY788" s="1136"/>
      <c r="BZ788" s="1136"/>
      <c r="CA788" s="1136"/>
      <c r="CB788" s="1136"/>
      <c r="CC788" s="1136"/>
      <c r="CD788" s="1136"/>
      <c r="CE788" s="1136"/>
      <c r="CF788" s="1136"/>
      <c r="CG788" s="1136"/>
      <c r="CH788" s="1136"/>
      <c r="CI788" s="1136"/>
      <c r="CJ788" s="1136"/>
      <c r="CK788" s="1136"/>
      <c r="CL788" s="1136"/>
      <c r="CM788" s="1136"/>
      <c r="CN788" s="1136"/>
      <c r="CO788" s="1136"/>
      <c r="CP788" s="1136"/>
      <c r="CQ788" s="1136"/>
      <c r="CR788" s="1136"/>
      <c r="CS788" s="1136"/>
      <c r="CT788" s="1136"/>
      <c r="CU788" s="1136"/>
      <c r="CV788" s="1136"/>
      <c r="CW788" s="1136"/>
      <c r="CX788" s="1136"/>
      <c r="CY788" s="1136"/>
      <c r="CZ788" s="1136"/>
      <c r="DA788" s="1136"/>
      <c r="DB788" s="1136"/>
      <c r="DC788" s="1136"/>
      <c r="DD788" s="1136"/>
      <c r="DE788" s="1136"/>
      <c r="DF788" s="1136"/>
      <c r="DG788" s="1136"/>
      <c r="DH788" s="1136"/>
      <c r="DI788" s="1136"/>
    </row>
    <row r="789" spans="1:113" ht="15.75" x14ac:dyDescent="0.25">
      <c r="A789" s="1456" t="s">
        <v>3401</v>
      </c>
      <c r="B789" s="1599">
        <v>5</v>
      </c>
      <c r="C789" s="1440"/>
      <c r="D789" s="1437"/>
      <c r="E789" s="1437"/>
      <c r="F789" s="1437"/>
      <c r="G789" s="1437"/>
      <c r="H789" s="1531"/>
      <c r="I789" s="1531"/>
      <c r="J789" s="1350"/>
      <c r="K789" s="1350"/>
      <c r="L789" s="1350"/>
      <c r="M789" s="1350"/>
      <c r="N789" s="1350"/>
      <c r="O789" s="1350"/>
      <c r="P789" s="1350"/>
      <c r="Q789" s="1350"/>
      <c r="R789" s="1531"/>
      <c r="S789" s="1531"/>
      <c r="T789" s="1531"/>
      <c r="U789" s="1531"/>
      <c r="V789" s="1531"/>
      <c r="W789" s="1531"/>
      <c r="X789" s="1531"/>
      <c r="Y789" s="1531"/>
      <c r="Z789" s="1531"/>
      <c r="AA789" s="1531"/>
      <c r="AB789" s="1531"/>
      <c r="AC789" s="1531"/>
      <c r="AD789" s="1531"/>
      <c r="AE789" s="1531"/>
      <c r="AF789" s="1531"/>
      <c r="AG789" s="1531"/>
      <c r="AH789" s="1531"/>
      <c r="AI789" s="1531"/>
      <c r="AJ789" s="1531"/>
      <c r="AK789" s="1531"/>
      <c r="AL789" s="1531"/>
      <c r="AM789" s="1531"/>
      <c r="AN789" s="1531"/>
      <c r="AO789" s="1531"/>
      <c r="AP789" s="1531"/>
      <c r="AQ789" s="1531"/>
      <c r="AR789" s="1531"/>
      <c r="AS789" s="1531"/>
      <c r="AT789" s="1531"/>
      <c r="AU789" s="1531"/>
      <c r="AV789" s="1531"/>
      <c r="AW789" s="1531"/>
      <c r="AX789" s="1531"/>
      <c r="AY789" s="1531"/>
      <c r="AZ789" s="1531"/>
      <c r="BA789" s="1136"/>
      <c r="BB789" s="1136"/>
      <c r="BC789" s="1136"/>
      <c r="BD789" s="1136"/>
      <c r="BE789" s="1136"/>
      <c r="BF789" s="1136"/>
      <c r="BG789" s="1136"/>
      <c r="BH789" s="1136"/>
      <c r="BI789" s="1136"/>
      <c r="BJ789" s="1136"/>
      <c r="BK789" s="1136"/>
      <c r="BL789" s="1136"/>
      <c r="BM789" s="1136"/>
      <c r="BN789" s="1136"/>
      <c r="BO789" s="1136"/>
      <c r="BP789" s="1136"/>
      <c r="BQ789" s="1136"/>
      <c r="BR789" s="1136"/>
      <c r="BS789" s="1136"/>
      <c r="BT789" s="1136"/>
      <c r="BU789" s="1136"/>
      <c r="BV789" s="1136"/>
      <c r="BW789" s="1136"/>
      <c r="BX789" s="1136"/>
      <c r="BY789" s="1136"/>
      <c r="BZ789" s="1136"/>
      <c r="CA789" s="1136"/>
      <c r="CB789" s="1136"/>
      <c r="CC789" s="1136"/>
      <c r="CD789" s="1136"/>
      <c r="CE789" s="1136"/>
      <c r="CF789" s="1136"/>
      <c r="CG789" s="1136"/>
      <c r="CH789" s="1136"/>
      <c r="CI789" s="1136"/>
      <c r="CJ789" s="1136"/>
      <c r="CK789" s="1136"/>
      <c r="CL789" s="1136"/>
      <c r="CM789" s="1136"/>
      <c r="CN789" s="1136"/>
      <c r="CO789" s="1136"/>
      <c r="CP789" s="1136"/>
      <c r="CQ789" s="1136"/>
      <c r="CR789" s="1136"/>
      <c r="CS789" s="1136"/>
      <c r="CT789" s="1136"/>
      <c r="CU789" s="1136"/>
      <c r="CV789" s="1136"/>
      <c r="CW789" s="1136"/>
      <c r="CX789" s="1136"/>
      <c r="CY789" s="1136"/>
      <c r="CZ789" s="1136"/>
      <c r="DA789" s="1136"/>
      <c r="DB789" s="1136"/>
      <c r="DC789" s="1136"/>
      <c r="DD789" s="1136"/>
      <c r="DE789" s="1136"/>
      <c r="DF789" s="1136"/>
      <c r="DG789" s="1136"/>
      <c r="DH789" s="1136"/>
      <c r="DI789" s="1136"/>
    </row>
    <row r="790" spans="1:113" ht="15.75" x14ac:dyDescent="0.25">
      <c r="A790" s="1430" t="s">
        <v>3402</v>
      </c>
      <c r="B790" s="1433" t="e">
        <f>B788*B789</f>
        <v>#VALUE!</v>
      </c>
      <c r="C790" s="1437"/>
      <c r="D790" s="1440"/>
      <c r="E790" s="1440"/>
      <c r="F790" s="1440"/>
      <c r="G790" s="1440"/>
      <c r="H790" s="1531"/>
      <c r="I790" s="1531"/>
      <c r="J790" s="1350"/>
      <c r="K790" s="1350"/>
      <c r="L790" s="1350"/>
      <c r="M790" s="1350"/>
      <c r="N790" s="1350"/>
      <c r="O790" s="1350"/>
      <c r="P790" s="1350"/>
      <c r="Q790" s="1350"/>
      <c r="R790" s="1531"/>
      <c r="S790" s="1531"/>
      <c r="T790" s="1531"/>
      <c r="U790" s="1531"/>
      <c r="V790" s="1531"/>
      <c r="W790" s="1531"/>
      <c r="X790" s="1531"/>
      <c r="Y790" s="1531"/>
      <c r="Z790" s="1531"/>
      <c r="AA790" s="1531"/>
      <c r="AB790" s="1531"/>
      <c r="AC790" s="1531"/>
      <c r="AD790" s="1531"/>
      <c r="AE790" s="1531"/>
      <c r="AF790" s="1531"/>
      <c r="AG790" s="1531"/>
      <c r="AH790" s="1531"/>
      <c r="AI790" s="1531"/>
      <c r="AJ790" s="1531"/>
      <c r="AK790" s="1531"/>
      <c r="AL790" s="1531"/>
      <c r="AM790" s="1531"/>
      <c r="AN790" s="1531"/>
      <c r="AO790" s="1531"/>
      <c r="AP790" s="1531"/>
      <c r="AQ790" s="1531"/>
      <c r="AR790" s="1531"/>
      <c r="AS790" s="1531"/>
      <c r="AT790" s="1531"/>
      <c r="AU790" s="1531"/>
      <c r="AV790" s="1531"/>
      <c r="AW790" s="1531"/>
      <c r="AX790" s="1531"/>
      <c r="AY790" s="1531"/>
      <c r="AZ790" s="1531"/>
      <c r="BA790" s="1136"/>
      <c r="BB790" s="1136"/>
      <c r="BC790" s="1136"/>
      <c r="BD790" s="1136"/>
      <c r="BE790" s="1136"/>
      <c r="BF790" s="1136"/>
      <c r="BG790" s="1136"/>
      <c r="BH790" s="1136"/>
      <c r="BI790" s="1136"/>
      <c r="BJ790" s="1136"/>
      <c r="BK790" s="1136"/>
      <c r="BL790" s="1136"/>
      <c r="BM790" s="1136"/>
      <c r="BN790" s="1136"/>
      <c r="BO790" s="1136"/>
      <c r="BP790" s="1136"/>
      <c r="BQ790" s="1136"/>
      <c r="BR790" s="1136"/>
      <c r="BS790" s="1136"/>
      <c r="BT790" s="1136"/>
      <c r="BU790" s="1136"/>
      <c r="BV790" s="1136"/>
      <c r="BW790" s="1136"/>
      <c r="BX790" s="1136"/>
      <c r="BY790" s="1136"/>
      <c r="BZ790" s="1136"/>
      <c r="CA790" s="1136"/>
      <c r="CB790" s="1136"/>
      <c r="CC790" s="1136"/>
      <c r="CD790" s="1136"/>
      <c r="CE790" s="1136"/>
      <c r="CF790" s="1136"/>
      <c r="CG790" s="1136"/>
      <c r="CH790" s="1136"/>
      <c r="CI790" s="1136"/>
      <c r="CJ790" s="1136"/>
      <c r="CK790" s="1136"/>
      <c r="CL790" s="1136"/>
      <c r="CM790" s="1136"/>
      <c r="CN790" s="1136"/>
      <c r="CO790" s="1136"/>
      <c r="CP790" s="1136"/>
      <c r="CQ790" s="1136"/>
      <c r="CR790" s="1136"/>
      <c r="CS790" s="1136"/>
      <c r="CT790" s="1136"/>
      <c r="CU790" s="1136"/>
      <c r="CV790" s="1136"/>
      <c r="CW790" s="1136"/>
      <c r="CX790" s="1136"/>
      <c r="CY790" s="1136"/>
      <c r="CZ790" s="1136"/>
      <c r="DA790" s="1136"/>
      <c r="DB790" s="1136"/>
      <c r="DC790" s="1136"/>
      <c r="DD790" s="1136"/>
      <c r="DE790" s="1136"/>
      <c r="DF790" s="1136"/>
      <c r="DG790" s="1136"/>
      <c r="DH790" s="1136"/>
      <c r="DI790" s="1136"/>
    </row>
    <row r="791" spans="1:113" ht="15.75" x14ac:dyDescent="0.25">
      <c r="A791" s="1466" t="s">
        <v>3403</v>
      </c>
      <c r="B791" s="1571">
        <f>IF(B298=2,B790,0)</f>
        <v>0</v>
      </c>
      <c r="C791" s="1468"/>
      <c r="D791" s="1437"/>
      <c r="E791" s="1437"/>
      <c r="F791" s="1437"/>
      <c r="G791" s="1437"/>
      <c r="H791" s="1531"/>
      <c r="I791" s="1531"/>
      <c r="J791" s="1350"/>
      <c r="K791" s="1350"/>
      <c r="L791" s="1350"/>
      <c r="M791" s="1350"/>
      <c r="N791" s="1350"/>
      <c r="O791" s="1350"/>
      <c r="P791" s="1350"/>
      <c r="Q791" s="1350"/>
      <c r="R791" s="1531"/>
      <c r="S791" s="1531"/>
      <c r="T791" s="1531"/>
      <c r="U791" s="1531"/>
      <c r="V791" s="1531"/>
      <c r="W791" s="1531"/>
      <c r="X791" s="1531"/>
      <c r="Y791" s="1531"/>
      <c r="Z791" s="1531"/>
      <c r="AA791" s="1531"/>
      <c r="AB791" s="1531"/>
      <c r="AC791" s="1531"/>
      <c r="AD791" s="1531"/>
      <c r="AE791" s="1531"/>
      <c r="AF791" s="1531"/>
      <c r="AG791" s="1531"/>
      <c r="AH791" s="1531"/>
      <c r="AI791" s="1531"/>
      <c r="AJ791" s="1531"/>
      <c r="AK791" s="1531"/>
      <c r="AL791" s="1531"/>
      <c r="AM791" s="1531"/>
      <c r="AN791" s="1531"/>
      <c r="AO791" s="1531"/>
      <c r="AP791" s="1531"/>
      <c r="AQ791" s="1531"/>
      <c r="AR791" s="1531"/>
      <c r="AS791" s="1531"/>
      <c r="AT791" s="1531"/>
      <c r="AU791" s="1531"/>
      <c r="AV791" s="1531"/>
      <c r="AW791" s="1531"/>
      <c r="AX791" s="1531"/>
      <c r="AY791" s="1531"/>
      <c r="AZ791" s="1531"/>
      <c r="BA791" s="1136"/>
      <c r="BB791" s="1136"/>
      <c r="BC791" s="1136"/>
      <c r="BD791" s="1136"/>
      <c r="BE791" s="1136"/>
      <c r="BF791" s="1136"/>
      <c r="BG791" s="1136"/>
      <c r="BH791" s="1136"/>
      <c r="BI791" s="1136"/>
      <c r="BJ791" s="1136"/>
      <c r="BK791" s="1136"/>
      <c r="BL791" s="1136"/>
      <c r="BM791" s="1136"/>
      <c r="BN791" s="1136"/>
      <c r="BO791" s="1136"/>
      <c r="BP791" s="1136"/>
      <c r="BQ791" s="1136"/>
      <c r="BR791" s="1136"/>
      <c r="BS791" s="1136"/>
      <c r="BT791" s="1136"/>
      <c r="BU791" s="1136"/>
      <c r="BV791" s="1136"/>
      <c r="BW791" s="1136"/>
      <c r="BX791" s="1136"/>
      <c r="BY791" s="1136"/>
      <c r="BZ791" s="1136"/>
      <c r="CA791" s="1136"/>
      <c r="CB791" s="1136"/>
      <c r="CC791" s="1136"/>
      <c r="CD791" s="1136"/>
      <c r="CE791" s="1136"/>
      <c r="CF791" s="1136"/>
      <c r="CG791" s="1136"/>
      <c r="CH791" s="1136"/>
      <c r="CI791" s="1136"/>
      <c r="CJ791" s="1136"/>
      <c r="CK791" s="1136"/>
      <c r="CL791" s="1136"/>
      <c r="CM791" s="1136"/>
      <c r="CN791" s="1136"/>
      <c r="CO791" s="1136"/>
      <c r="CP791" s="1136"/>
      <c r="CQ791" s="1136"/>
      <c r="CR791" s="1136"/>
      <c r="CS791" s="1136"/>
      <c r="CT791" s="1136"/>
      <c r="CU791" s="1136"/>
      <c r="CV791" s="1136"/>
      <c r="CW791" s="1136"/>
      <c r="CX791" s="1136"/>
      <c r="CY791" s="1136"/>
      <c r="CZ791" s="1136"/>
      <c r="DA791" s="1136"/>
      <c r="DB791" s="1136"/>
      <c r="DC791" s="1136"/>
      <c r="DD791" s="1136"/>
      <c r="DE791" s="1136"/>
      <c r="DF791" s="1136"/>
      <c r="DG791" s="1136"/>
      <c r="DH791" s="1136"/>
      <c r="DI791" s="1136"/>
    </row>
    <row r="792" spans="1:113" ht="15.75" x14ac:dyDescent="0.25">
      <c r="A792" s="1430"/>
      <c r="B792" s="1433"/>
      <c r="C792" s="1437"/>
      <c r="D792" s="1468"/>
      <c r="E792" s="1468"/>
      <c r="F792" s="1468"/>
      <c r="G792" s="1468"/>
      <c r="H792" s="1531"/>
      <c r="I792" s="1531"/>
      <c r="J792" s="1350"/>
      <c r="K792" s="1350"/>
      <c r="L792" s="1350"/>
      <c r="M792" s="1350"/>
      <c r="N792" s="1350"/>
      <c r="O792" s="1350"/>
      <c r="P792" s="1350"/>
      <c r="Q792" s="1350"/>
      <c r="R792" s="1531"/>
      <c r="S792" s="1531"/>
      <c r="T792" s="1531"/>
      <c r="U792" s="1531"/>
      <c r="V792" s="1531"/>
      <c r="W792" s="1531"/>
      <c r="X792" s="1531"/>
      <c r="Y792" s="1531"/>
      <c r="Z792" s="1531"/>
      <c r="AA792" s="1531"/>
      <c r="AB792" s="1531"/>
      <c r="AC792" s="1531"/>
      <c r="AD792" s="1531"/>
      <c r="AE792" s="1531"/>
      <c r="AF792" s="1531"/>
      <c r="AG792" s="1531"/>
      <c r="AH792" s="1531"/>
      <c r="AI792" s="1531"/>
      <c r="AJ792" s="1531"/>
      <c r="AK792" s="1531"/>
      <c r="AL792" s="1531"/>
      <c r="AM792" s="1531"/>
      <c r="AN792" s="1531"/>
      <c r="AO792" s="1531"/>
      <c r="AP792" s="1531"/>
      <c r="AQ792" s="1531"/>
      <c r="AR792" s="1531"/>
      <c r="AS792" s="1531"/>
      <c r="AT792" s="1531"/>
      <c r="AU792" s="1531"/>
      <c r="AV792" s="1531"/>
      <c r="AW792" s="1531"/>
      <c r="AX792" s="1531"/>
      <c r="AY792" s="1531"/>
      <c r="AZ792" s="1531"/>
      <c r="BA792" s="1136"/>
      <c r="BB792" s="1136"/>
      <c r="BC792" s="1136"/>
      <c r="BD792" s="1136"/>
      <c r="BE792" s="1136"/>
      <c r="BF792" s="1136"/>
      <c r="BG792" s="1136"/>
      <c r="BH792" s="1136"/>
      <c r="BI792" s="1136"/>
      <c r="BJ792" s="1136"/>
      <c r="BK792" s="1136"/>
      <c r="BL792" s="1136"/>
      <c r="BM792" s="1136"/>
      <c r="BN792" s="1136"/>
      <c r="BO792" s="1136"/>
      <c r="BP792" s="1136"/>
      <c r="BQ792" s="1136"/>
      <c r="BR792" s="1136"/>
      <c r="BS792" s="1136"/>
      <c r="BT792" s="1136"/>
      <c r="BU792" s="1136"/>
      <c r="BV792" s="1136"/>
      <c r="BW792" s="1136"/>
      <c r="BX792" s="1136"/>
      <c r="BY792" s="1136"/>
      <c r="BZ792" s="1136"/>
      <c r="CA792" s="1136"/>
      <c r="CB792" s="1136"/>
      <c r="CC792" s="1136"/>
      <c r="CD792" s="1136"/>
      <c r="CE792" s="1136"/>
      <c r="CF792" s="1136"/>
      <c r="CG792" s="1136"/>
      <c r="CH792" s="1136"/>
      <c r="CI792" s="1136"/>
      <c r="CJ792" s="1136"/>
      <c r="CK792" s="1136"/>
      <c r="CL792" s="1136"/>
      <c r="CM792" s="1136"/>
      <c r="CN792" s="1136"/>
      <c r="CO792" s="1136"/>
      <c r="CP792" s="1136"/>
      <c r="CQ792" s="1136"/>
      <c r="CR792" s="1136"/>
      <c r="CS792" s="1136"/>
      <c r="CT792" s="1136"/>
      <c r="CU792" s="1136"/>
      <c r="CV792" s="1136"/>
      <c r="CW792" s="1136"/>
      <c r="CX792" s="1136"/>
      <c r="CY792" s="1136"/>
      <c r="CZ792" s="1136"/>
      <c r="DA792" s="1136"/>
      <c r="DB792" s="1136"/>
      <c r="DC792" s="1136"/>
      <c r="DD792" s="1136"/>
      <c r="DE792" s="1136"/>
      <c r="DF792" s="1136"/>
      <c r="DG792" s="1136"/>
      <c r="DH792" s="1136"/>
      <c r="DI792" s="1136"/>
    </row>
    <row r="793" spans="1:113" ht="15.75" x14ac:dyDescent="0.25">
      <c r="A793" s="1580" t="s">
        <v>3404</v>
      </c>
      <c r="B793" s="1433"/>
      <c r="C793" s="1437"/>
      <c r="D793" s="1437"/>
      <c r="E793" s="1437"/>
      <c r="F793" s="1437"/>
      <c r="G793" s="1437"/>
      <c r="H793" s="1531"/>
      <c r="I793" s="1531"/>
      <c r="J793" s="1350"/>
      <c r="K793" s="1350"/>
      <c r="L793" s="1350"/>
      <c r="M793" s="1350"/>
      <c r="N793" s="1350"/>
      <c r="O793" s="1350"/>
      <c r="P793" s="1350"/>
      <c r="Q793" s="1350"/>
      <c r="R793" s="1531"/>
      <c r="S793" s="1531"/>
      <c r="T793" s="1531"/>
      <c r="U793" s="1531"/>
      <c r="V793" s="1531"/>
      <c r="W793" s="1531"/>
      <c r="X793" s="1531"/>
      <c r="Y793" s="1531"/>
      <c r="Z793" s="1531"/>
      <c r="AA793" s="1531"/>
      <c r="AB793" s="1531"/>
      <c r="AC793" s="1531"/>
      <c r="AD793" s="1531"/>
      <c r="AE793" s="1531"/>
      <c r="AF793" s="1531"/>
      <c r="AG793" s="1531"/>
      <c r="AH793" s="1531"/>
      <c r="AI793" s="1531"/>
      <c r="AJ793" s="1531"/>
      <c r="AK793" s="1531"/>
      <c r="AL793" s="1531"/>
      <c r="AM793" s="1531"/>
      <c r="AN793" s="1531"/>
      <c r="AO793" s="1531"/>
      <c r="AP793" s="1531"/>
      <c r="AQ793" s="1531"/>
      <c r="AR793" s="1531"/>
      <c r="AS793" s="1531"/>
      <c r="AT793" s="1531"/>
      <c r="AU793" s="1531"/>
      <c r="AV793" s="1531"/>
      <c r="AW793" s="1531"/>
      <c r="AX793" s="1531"/>
      <c r="AY793" s="1531"/>
      <c r="AZ793" s="1531"/>
      <c r="BA793" s="1136"/>
      <c r="BB793" s="1136"/>
      <c r="BC793" s="1136"/>
      <c r="BD793" s="1136"/>
      <c r="BE793" s="1136"/>
      <c r="BF793" s="1136"/>
      <c r="BG793" s="1136"/>
      <c r="BH793" s="1136"/>
      <c r="BI793" s="1136"/>
      <c r="BJ793" s="1136"/>
      <c r="BK793" s="1136"/>
      <c r="BL793" s="1136"/>
      <c r="BM793" s="1136"/>
      <c r="BN793" s="1136"/>
      <c r="BO793" s="1136"/>
      <c r="BP793" s="1136"/>
      <c r="BQ793" s="1136"/>
      <c r="BR793" s="1136"/>
      <c r="BS793" s="1136"/>
      <c r="BT793" s="1136"/>
      <c r="BU793" s="1136"/>
      <c r="BV793" s="1136"/>
      <c r="BW793" s="1136"/>
      <c r="BX793" s="1136"/>
      <c r="BY793" s="1136"/>
      <c r="BZ793" s="1136"/>
      <c r="CA793" s="1136"/>
      <c r="CB793" s="1136"/>
      <c r="CC793" s="1136"/>
      <c r="CD793" s="1136"/>
      <c r="CE793" s="1136"/>
      <c r="CF793" s="1136"/>
      <c r="CG793" s="1136"/>
      <c r="CH793" s="1136"/>
      <c r="CI793" s="1136"/>
      <c r="CJ793" s="1136"/>
      <c r="CK793" s="1136"/>
      <c r="CL793" s="1136"/>
      <c r="CM793" s="1136"/>
      <c r="CN793" s="1136"/>
      <c r="CO793" s="1136"/>
      <c r="CP793" s="1136"/>
      <c r="CQ793" s="1136"/>
      <c r="CR793" s="1136"/>
      <c r="CS793" s="1136"/>
      <c r="CT793" s="1136"/>
      <c r="CU793" s="1136"/>
      <c r="CV793" s="1136"/>
      <c r="CW793" s="1136"/>
      <c r="CX793" s="1136"/>
      <c r="CY793" s="1136"/>
      <c r="CZ793" s="1136"/>
      <c r="DA793" s="1136"/>
      <c r="DB793" s="1136"/>
      <c r="DC793" s="1136"/>
      <c r="DD793" s="1136"/>
      <c r="DE793" s="1136"/>
      <c r="DF793" s="1136"/>
      <c r="DG793" s="1136"/>
      <c r="DH793" s="1136"/>
      <c r="DI793" s="1136"/>
    </row>
    <row r="794" spans="1:113" ht="15.75" x14ac:dyDescent="0.25">
      <c r="A794" s="1417" t="s">
        <v>3405</v>
      </c>
      <c r="B794" s="1442">
        <v>40</v>
      </c>
      <c r="C794" s="1349"/>
      <c r="D794" s="1437"/>
      <c r="E794" s="1437"/>
      <c r="F794" s="1437"/>
      <c r="G794" s="1437"/>
      <c r="H794" s="1531"/>
      <c r="I794" s="1531"/>
      <c r="J794" s="1350"/>
      <c r="K794" s="1350"/>
      <c r="L794" s="1350"/>
      <c r="M794" s="1350"/>
      <c r="N794" s="1350"/>
      <c r="O794" s="1350"/>
      <c r="P794" s="1350"/>
      <c r="Q794" s="1350"/>
      <c r="R794" s="1531"/>
      <c r="S794" s="1531"/>
      <c r="T794" s="1531"/>
      <c r="U794" s="1531"/>
      <c r="V794" s="1531"/>
      <c r="W794" s="1531"/>
      <c r="X794" s="1531"/>
      <c r="Y794" s="1531"/>
      <c r="Z794" s="1531"/>
      <c r="AA794" s="1531"/>
      <c r="AB794" s="1531"/>
      <c r="AC794" s="1531"/>
      <c r="AD794" s="1531"/>
      <c r="AE794" s="1531"/>
      <c r="AF794" s="1531"/>
      <c r="AG794" s="1531"/>
      <c r="AH794" s="1531"/>
      <c r="AI794" s="1531"/>
      <c r="AJ794" s="1531"/>
      <c r="AK794" s="1531"/>
      <c r="AL794" s="1531"/>
      <c r="AM794" s="1531"/>
      <c r="AN794" s="1531"/>
      <c r="AO794" s="1531"/>
      <c r="AP794" s="1531"/>
      <c r="AQ794" s="1531"/>
      <c r="AR794" s="1531"/>
      <c r="AS794" s="1531"/>
      <c r="AT794" s="1531"/>
      <c r="AU794" s="1531"/>
      <c r="AV794" s="1531"/>
      <c r="AW794" s="1531"/>
      <c r="AX794" s="1531"/>
      <c r="AY794" s="1531"/>
      <c r="AZ794" s="1531"/>
      <c r="BA794" s="1136"/>
      <c r="BB794" s="1136"/>
      <c r="BC794" s="1136"/>
      <c r="BD794" s="1136"/>
      <c r="BE794" s="1136"/>
      <c r="BF794" s="1136"/>
      <c r="BG794" s="1136"/>
      <c r="BH794" s="1136"/>
      <c r="BI794" s="1136"/>
      <c r="BJ794" s="1136"/>
      <c r="BK794" s="1136"/>
      <c r="BL794" s="1136"/>
      <c r="BM794" s="1136"/>
      <c r="BN794" s="1136"/>
      <c r="BO794" s="1136"/>
      <c r="BP794" s="1136"/>
      <c r="BQ794" s="1136"/>
      <c r="BR794" s="1136"/>
      <c r="BS794" s="1136"/>
      <c r="BT794" s="1136"/>
      <c r="BU794" s="1136"/>
      <c r="BV794" s="1136"/>
      <c r="BW794" s="1136"/>
      <c r="BX794" s="1136"/>
      <c r="BY794" s="1136"/>
      <c r="BZ794" s="1136"/>
      <c r="CA794" s="1136"/>
      <c r="CB794" s="1136"/>
      <c r="CC794" s="1136"/>
      <c r="CD794" s="1136"/>
      <c r="CE794" s="1136"/>
      <c r="CF794" s="1136"/>
      <c r="CG794" s="1136"/>
      <c r="CH794" s="1136"/>
      <c r="CI794" s="1136"/>
      <c r="CJ794" s="1136"/>
      <c r="CK794" s="1136"/>
      <c r="CL794" s="1136"/>
      <c r="CM794" s="1136"/>
      <c r="CN794" s="1136"/>
      <c r="CO794" s="1136"/>
      <c r="CP794" s="1136"/>
      <c r="CQ794" s="1136"/>
      <c r="CR794" s="1136"/>
      <c r="CS794" s="1136"/>
      <c r="CT794" s="1136"/>
      <c r="CU794" s="1136"/>
      <c r="CV794" s="1136"/>
      <c r="CW794" s="1136"/>
      <c r="CX794" s="1136"/>
      <c r="CY794" s="1136"/>
      <c r="CZ794" s="1136"/>
      <c r="DA794" s="1136"/>
      <c r="DB794" s="1136"/>
      <c r="DC794" s="1136"/>
      <c r="DD794" s="1136"/>
      <c r="DE794" s="1136"/>
      <c r="DF794" s="1136"/>
      <c r="DG794" s="1136"/>
      <c r="DH794" s="1136"/>
      <c r="DI794" s="1136"/>
    </row>
    <row r="795" spans="1:113" ht="15.75" x14ac:dyDescent="0.25">
      <c r="A795" s="1417" t="s">
        <v>3406</v>
      </c>
      <c r="B795" s="1442">
        <v>10</v>
      </c>
      <c r="C795" s="1349"/>
      <c r="D795" s="1437"/>
      <c r="E795" s="1437"/>
      <c r="F795" s="1437"/>
      <c r="G795" s="1437"/>
      <c r="H795" s="1531"/>
      <c r="I795" s="1531"/>
      <c r="J795" s="1350"/>
      <c r="K795" s="1350"/>
      <c r="L795" s="1350"/>
      <c r="M795" s="1350"/>
      <c r="N795" s="1350"/>
      <c r="O795" s="1350"/>
      <c r="P795" s="1350"/>
      <c r="Q795" s="1350"/>
      <c r="R795" s="1531"/>
      <c r="S795" s="1531"/>
      <c r="T795" s="1531"/>
      <c r="U795" s="1531"/>
      <c r="V795" s="1531"/>
      <c r="W795" s="1531"/>
      <c r="X795" s="1531"/>
      <c r="Y795" s="1531"/>
      <c r="Z795" s="1531"/>
      <c r="AA795" s="1531"/>
      <c r="AB795" s="1531"/>
      <c r="AC795" s="1531"/>
      <c r="AD795" s="1531"/>
      <c r="AE795" s="1531"/>
      <c r="AF795" s="1531"/>
      <c r="AG795" s="1531"/>
      <c r="AH795" s="1531"/>
      <c r="AI795" s="1531"/>
      <c r="AJ795" s="1531"/>
      <c r="AK795" s="1531"/>
      <c r="AL795" s="1531"/>
      <c r="AM795" s="1531"/>
      <c r="AN795" s="1531"/>
      <c r="AO795" s="1531"/>
      <c r="AP795" s="1531"/>
      <c r="AQ795" s="1531"/>
      <c r="AR795" s="1531"/>
      <c r="AS795" s="1531"/>
      <c r="AT795" s="1531"/>
      <c r="AU795" s="1531"/>
      <c r="AV795" s="1531"/>
      <c r="AW795" s="1531"/>
      <c r="AX795" s="1531"/>
      <c r="AY795" s="1531"/>
      <c r="AZ795" s="1531"/>
      <c r="BA795" s="1136"/>
      <c r="BB795" s="1136"/>
      <c r="BC795" s="1136"/>
      <c r="BD795" s="1136"/>
      <c r="BE795" s="1136"/>
      <c r="BF795" s="1136"/>
      <c r="BG795" s="1136"/>
      <c r="BH795" s="1136"/>
      <c r="BI795" s="1136"/>
      <c r="BJ795" s="1136"/>
      <c r="BK795" s="1136"/>
      <c r="BL795" s="1136"/>
      <c r="BM795" s="1136"/>
      <c r="BN795" s="1136"/>
      <c r="BO795" s="1136"/>
      <c r="BP795" s="1136"/>
      <c r="BQ795" s="1136"/>
      <c r="BR795" s="1136"/>
      <c r="BS795" s="1136"/>
      <c r="BT795" s="1136"/>
      <c r="BU795" s="1136"/>
      <c r="BV795" s="1136"/>
      <c r="BW795" s="1136"/>
      <c r="BX795" s="1136"/>
      <c r="BY795" s="1136"/>
      <c r="BZ795" s="1136"/>
      <c r="CA795" s="1136"/>
      <c r="CB795" s="1136"/>
      <c r="CC795" s="1136"/>
      <c r="CD795" s="1136"/>
      <c r="CE795" s="1136"/>
      <c r="CF795" s="1136"/>
      <c r="CG795" s="1136"/>
      <c r="CH795" s="1136"/>
      <c r="CI795" s="1136"/>
      <c r="CJ795" s="1136"/>
      <c r="CK795" s="1136"/>
      <c r="CL795" s="1136"/>
      <c r="CM795" s="1136"/>
      <c r="CN795" s="1136"/>
      <c r="CO795" s="1136"/>
      <c r="CP795" s="1136"/>
      <c r="CQ795" s="1136"/>
      <c r="CR795" s="1136"/>
      <c r="CS795" s="1136"/>
      <c r="CT795" s="1136"/>
      <c r="CU795" s="1136"/>
      <c r="CV795" s="1136"/>
      <c r="CW795" s="1136"/>
      <c r="CX795" s="1136"/>
      <c r="CY795" s="1136"/>
      <c r="CZ795" s="1136"/>
      <c r="DA795" s="1136"/>
      <c r="DB795" s="1136"/>
      <c r="DC795" s="1136"/>
      <c r="DD795" s="1136"/>
      <c r="DE795" s="1136"/>
      <c r="DF795" s="1136"/>
      <c r="DG795" s="1136"/>
      <c r="DH795" s="1136"/>
      <c r="DI795" s="1136"/>
    </row>
    <row r="796" spans="1:113" ht="15.75" x14ac:dyDescent="0.25">
      <c r="A796" s="1430" t="s">
        <v>3407</v>
      </c>
      <c r="B796" s="1443" t="e">
        <f>((B286*B291*B290*B293*B285)/(B287*B329))*B794*B795</f>
        <v>#VALUE!</v>
      </c>
      <c r="C796" s="1437"/>
      <c r="D796" s="1440"/>
      <c r="E796" s="1440"/>
      <c r="F796" s="1440"/>
      <c r="G796" s="1440"/>
      <c r="H796" s="1531"/>
      <c r="I796" s="1531"/>
      <c r="J796" s="1350"/>
      <c r="K796" s="1350"/>
      <c r="L796" s="1350"/>
      <c r="M796" s="1350"/>
      <c r="N796" s="1350"/>
      <c r="O796" s="1350"/>
      <c r="P796" s="1350"/>
      <c r="Q796" s="1350"/>
      <c r="R796" s="1531"/>
      <c r="S796" s="1531"/>
      <c r="T796" s="1531"/>
      <c r="U796" s="1531"/>
      <c r="V796" s="1531"/>
      <c r="W796" s="1531"/>
      <c r="X796" s="1531"/>
      <c r="Y796" s="1531"/>
      <c r="Z796" s="1531"/>
      <c r="AA796" s="1531"/>
      <c r="AB796" s="1531"/>
      <c r="AC796" s="1531"/>
      <c r="AD796" s="1531"/>
      <c r="AE796" s="1531"/>
      <c r="AF796" s="1531"/>
      <c r="AG796" s="1531"/>
      <c r="AH796" s="1531"/>
      <c r="AI796" s="1531"/>
      <c r="AJ796" s="1531"/>
      <c r="AK796" s="1531"/>
      <c r="AL796" s="1531"/>
      <c r="AM796" s="1531"/>
      <c r="AN796" s="1531"/>
      <c r="AO796" s="1531"/>
      <c r="AP796" s="1531"/>
      <c r="AQ796" s="1531"/>
      <c r="AR796" s="1531"/>
      <c r="AS796" s="1531"/>
      <c r="AT796" s="1531"/>
      <c r="AU796" s="1531"/>
      <c r="AV796" s="1531"/>
      <c r="AW796" s="1531"/>
      <c r="AX796" s="1531"/>
      <c r="AY796" s="1531"/>
      <c r="AZ796" s="1531"/>
      <c r="BA796" s="1136"/>
      <c r="BB796" s="1136"/>
      <c r="BC796" s="1136"/>
      <c r="BD796" s="1136"/>
      <c r="BE796" s="1136"/>
      <c r="BF796" s="1136"/>
      <c r="BG796" s="1136"/>
      <c r="BH796" s="1136"/>
      <c r="BI796" s="1136"/>
      <c r="BJ796" s="1136"/>
      <c r="BK796" s="1136"/>
      <c r="BL796" s="1136"/>
      <c r="BM796" s="1136"/>
      <c r="BN796" s="1136"/>
      <c r="BO796" s="1136"/>
      <c r="BP796" s="1136"/>
      <c r="BQ796" s="1136"/>
      <c r="BR796" s="1136"/>
      <c r="BS796" s="1136"/>
      <c r="BT796" s="1136"/>
      <c r="BU796" s="1136"/>
      <c r="BV796" s="1136"/>
      <c r="BW796" s="1136"/>
      <c r="BX796" s="1136"/>
      <c r="BY796" s="1136"/>
      <c r="BZ796" s="1136"/>
      <c r="CA796" s="1136"/>
      <c r="CB796" s="1136"/>
      <c r="CC796" s="1136"/>
      <c r="CD796" s="1136"/>
      <c r="CE796" s="1136"/>
      <c r="CF796" s="1136"/>
      <c r="CG796" s="1136"/>
      <c r="CH796" s="1136"/>
      <c r="CI796" s="1136"/>
      <c r="CJ796" s="1136"/>
      <c r="CK796" s="1136"/>
      <c r="CL796" s="1136"/>
      <c r="CM796" s="1136"/>
      <c r="CN796" s="1136"/>
      <c r="CO796" s="1136"/>
      <c r="CP796" s="1136"/>
      <c r="CQ796" s="1136"/>
      <c r="CR796" s="1136"/>
      <c r="CS796" s="1136"/>
      <c r="CT796" s="1136"/>
      <c r="CU796" s="1136"/>
      <c r="CV796" s="1136"/>
      <c r="CW796" s="1136"/>
      <c r="CX796" s="1136"/>
      <c r="CY796" s="1136"/>
      <c r="CZ796" s="1136"/>
      <c r="DA796" s="1136"/>
      <c r="DB796" s="1136"/>
      <c r="DC796" s="1136"/>
      <c r="DD796" s="1136"/>
      <c r="DE796" s="1136"/>
      <c r="DF796" s="1136"/>
      <c r="DG796" s="1136"/>
      <c r="DH796" s="1136"/>
      <c r="DI796" s="1136"/>
    </row>
    <row r="797" spans="1:113" ht="15.75" x14ac:dyDescent="0.25">
      <c r="A797" s="1466" t="s">
        <v>3408</v>
      </c>
      <c r="B797" s="1467">
        <f>IF(B298=2,B796,0)</f>
        <v>0</v>
      </c>
      <c r="C797" s="1468"/>
      <c r="D797" s="1437"/>
      <c r="E797" s="1437"/>
      <c r="F797" s="1437"/>
      <c r="G797" s="1437"/>
      <c r="H797" s="1350"/>
      <c r="I797" s="1350"/>
      <c r="J797" s="1350"/>
      <c r="K797" s="1350"/>
      <c r="L797" s="1350"/>
      <c r="M797" s="1350"/>
      <c r="N797" s="1350"/>
      <c r="O797" s="1350"/>
      <c r="P797" s="1350"/>
      <c r="Q797" s="1350"/>
      <c r="R797" s="1531"/>
      <c r="S797" s="1531"/>
      <c r="T797" s="1531"/>
      <c r="U797" s="1531"/>
      <c r="V797" s="1531"/>
      <c r="W797" s="1531"/>
      <c r="X797" s="1531"/>
      <c r="Y797" s="1531"/>
      <c r="Z797" s="1531"/>
      <c r="AA797" s="1531"/>
      <c r="AB797" s="1531"/>
      <c r="AC797" s="1531"/>
      <c r="AD797" s="1531"/>
      <c r="AE797" s="1531"/>
      <c r="AF797" s="1531"/>
      <c r="AG797" s="1531"/>
      <c r="AH797" s="1531"/>
      <c r="AI797" s="1531"/>
      <c r="AJ797" s="1531"/>
      <c r="AK797" s="1531"/>
      <c r="AL797" s="1531"/>
      <c r="AM797" s="1531"/>
      <c r="AN797" s="1531"/>
      <c r="AO797" s="1531"/>
      <c r="AP797" s="1531"/>
      <c r="AQ797" s="1531"/>
      <c r="AR797" s="1531"/>
      <c r="AS797" s="1531"/>
      <c r="AT797" s="1531"/>
      <c r="AU797" s="1531"/>
      <c r="AV797" s="1531"/>
      <c r="AW797" s="1531"/>
      <c r="AX797" s="1531"/>
      <c r="AY797" s="1531"/>
      <c r="AZ797" s="1531"/>
      <c r="BA797" s="1136"/>
      <c r="BB797" s="1136"/>
      <c r="BC797" s="1136"/>
      <c r="BD797" s="1136"/>
      <c r="BE797" s="1136"/>
      <c r="BF797" s="1136"/>
      <c r="BG797" s="1136"/>
      <c r="BH797" s="1136"/>
      <c r="BI797" s="1136"/>
      <c r="BJ797" s="1136"/>
      <c r="BK797" s="1136"/>
      <c r="BL797" s="1136"/>
      <c r="BM797" s="1136"/>
      <c r="BN797" s="1136"/>
      <c r="BO797" s="1136"/>
      <c r="BP797" s="1136"/>
      <c r="BQ797" s="1136"/>
      <c r="BR797" s="1136"/>
      <c r="BS797" s="1136"/>
      <c r="BT797" s="1136"/>
      <c r="BU797" s="1136"/>
      <c r="BV797" s="1136"/>
      <c r="BW797" s="1136"/>
      <c r="BX797" s="1136"/>
      <c r="BY797" s="1136"/>
      <c r="BZ797" s="1136"/>
      <c r="CA797" s="1136"/>
      <c r="CB797" s="1136"/>
      <c r="CC797" s="1136"/>
      <c r="CD797" s="1136"/>
      <c r="CE797" s="1136"/>
      <c r="CF797" s="1136"/>
      <c r="CG797" s="1136"/>
      <c r="CH797" s="1136"/>
      <c r="CI797" s="1136"/>
      <c r="CJ797" s="1136"/>
      <c r="CK797" s="1136"/>
      <c r="CL797" s="1136"/>
      <c r="CM797" s="1136"/>
      <c r="CN797" s="1136"/>
      <c r="CO797" s="1136"/>
      <c r="CP797" s="1136"/>
      <c r="CQ797" s="1136"/>
      <c r="CR797" s="1136"/>
      <c r="CS797" s="1136"/>
      <c r="CT797" s="1136"/>
      <c r="CU797" s="1136"/>
      <c r="CV797" s="1136"/>
      <c r="CW797" s="1136"/>
      <c r="CX797" s="1136"/>
      <c r="CY797" s="1136"/>
      <c r="CZ797" s="1136"/>
      <c r="DA797" s="1136"/>
      <c r="DB797" s="1136"/>
      <c r="DC797" s="1136"/>
      <c r="DD797" s="1136"/>
      <c r="DE797" s="1136"/>
      <c r="DF797" s="1136"/>
      <c r="DG797" s="1136"/>
      <c r="DH797" s="1136"/>
      <c r="DI797" s="1136"/>
    </row>
    <row r="798" spans="1:113" ht="15.75" x14ac:dyDescent="0.25">
      <c r="A798" s="1580" t="s">
        <v>3409</v>
      </c>
      <c r="B798" s="1467"/>
      <c r="C798" s="1468"/>
      <c r="D798" s="1468"/>
      <c r="E798" s="1468"/>
      <c r="F798" s="1468"/>
      <c r="G798" s="1468"/>
      <c r="H798" s="1350"/>
      <c r="I798" s="1350"/>
      <c r="J798" s="1350"/>
      <c r="K798" s="1350"/>
      <c r="L798" s="1350"/>
      <c r="M798" s="1350"/>
      <c r="N798" s="1350"/>
      <c r="O798" s="1350"/>
      <c r="P798" s="1350"/>
      <c r="Q798" s="1350"/>
      <c r="R798" s="1531"/>
      <c r="S798" s="1531"/>
      <c r="T798" s="1531"/>
      <c r="U798" s="1531"/>
      <c r="V798" s="1531"/>
      <c r="W798" s="1531"/>
      <c r="X798" s="1531"/>
      <c r="Y798" s="1531"/>
      <c r="Z798" s="1531"/>
      <c r="AA798" s="1531"/>
      <c r="AB798" s="1531"/>
      <c r="AC798" s="1531"/>
      <c r="AD798" s="1531"/>
      <c r="AE798" s="1531"/>
      <c r="AF798" s="1531"/>
      <c r="AG798" s="1531"/>
      <c r="AH798" s="1531"/>
      <c r="AI798" s="1531"/>
      <c r="AJ798" s="1531"/>
      <c r="AK798" s="1531"/>
      <c r="AL798" s="1531"/>
      <c r="AM798" s="1531"/>
      <c r="AN798" s="1531"/>
      <c r="AO798" s="1531"/>
      <c r="AP798" s="1531"/>
      <c r="AQ798" s="1531"/>
      <c r="AR798" s="1531"/>
      <c r="AS798" s="1531"/>
      <c r="AT798" s="1531"/>
      <c r="AU798" s="1531"/>
      <c r="AV798" s="1531"/>
      <c r="AW798" s="1531"/>
      <c r="AX798" s="1531"/>
      <c r="AY798" s="1531"/>
      <c r="AZ798" s="1531"/>
      <c r="BA798" s="1136"/>
      <c r="BB798" s="1136"/>
      <c r="BC798" s="1136"/>
      <c r="BD798" s="1136"/>
      <c r="BE798" s="1136"/>
      <c r="BF798" s="1136"/>
      <c r="BG798" s="1136"/>
      <c r="BH798" s="1136"/>
      <c r="BI798" s="1136"/>
      <c r="BJ798" s="1136"/>
      <c r="BK798" s="1136"/>
      <c r="BL798" s="1136"/>
      <c r="BM798" s="1136"/>
      <c r="BN798" s="1136"/>
      <c r="BO798" s="1136"/>
      <c r="BP798" s="1136"/>
      <c r="BQ798" s="1136"/>
      <c r="BR798" s="1136"/>
      <c r="BS798" s="1136"/>
      <c r="BT798" s="1136"/>
      <c r="BU798" s="1136"/>
      <c r="BV798" s="1136"/>
      <c r="BW798" s="1136"/>
      <c r="BX798" s="1136"/>
      <c r="BY798" s="1136"/>
      <c r="BZ798" s="1136"/>
      <c r="CA798" s="1136"/>
      <c r="CB798" s="1136"/>
      <c r="CC798" s="1136"/>
      <c r="CD798" s="1136"/>
      <c r="CE798" s="1136"/>
      <c r="CF798" s="1136"/>
      <c r="CG798" s="1136"/>
      <c r="CH798" s="1136"/>
      <c r="CI798" s="1136"/>
      <c r="CJ798" s="1136"/>
      <c r="CK798" s="1136"/>
      <c r="CL798" s="1136"/>
      <c r="CM798" s="1136"/>
      <c r="CN798" s="1136"/>
      <c r="CO798" s="1136"/>
      <c r="CP798" s="1136"/>
      <c r="CQ798" s="1136"/>
      <c r="CR798" s="1136"/>
      <c r="CS798" s="1136"/>
      <c r="CT798" s="1136"/>
      <c r="CU798" s="1136"/>
      <c r="CV798" s="1136"/>
      <c r="CW798" s="1136"/>
      <c r="CX798" s="1136"/>
      <c r="CY798" s="1136"/>
      <c r="CZ798" s="1136"/>
      <c r="DA798" s="1136"/>
      <c r="DB798" s="1136"/>
      <c r="DC798" s="1136"/>
      <c r="DD798" s="1136"/>
      <c r="DE798" s="1136"/>
      <c r="DF798" s="1136"/>
      <c r="DG798" s="1136"/>
      <c r="DH798" s="1136"/>
      <c r="DI798" s="1136"/>
    </row>
    <row r="799" spans="1:113" ht="15.75" x14ac:dyDescent="0.25">
      <c r="A799" s="1417" t="s">
        <v>3405</v>
      </c>
      <c r="B799" s="1442">
        <v>4</v>
      </c>
      <c r="C799" s="1349"/>
      <c r="D799" s="1437"/>
      <c r="E799" s="1437"/>
      <c r="F799" s="1437"/>
      <c r="G799" s="1437"/>
      <c r="H799" s="1350"/>
      <c r="I799" s="1350"/>
      <c r="J799" s="1350"/>
      <c r="K799" s="1350"/>
      <c r="L799" s="1350"/>
      <c r="M799" s="1350"/>
      <c r="N799" s="1350"/>
      <c r="O799" s="1350"/>
      <c r="P799" s="1350"/>
      <c r="Q799" s="1350"/>
      <c r="R799" s="1531"/>
      <c r="S799" s="1531"/>
      <c r="T799" s="1531"/>
      <c r="U799" s="1531"/>
      <c r="V799" s="1531"/>
      <c r="W799" s="1531"/>
      <c r="X799" s="1531"/>
      <c r="Y799" s="1531"/>
      <c r="Z799" s="1531"/>
      <c r="AA799" s="1531"/>
      <c r="AB799" s="1531"/>
      <c r="AC799" s="1531"/>
      <c r="AD799" s="1531"/>
      <c r="AE799" s="1531"/>
      <c r="AF799" s="1531"/>
      <c r="AG799" s="1531"/>
      <c r="AH799" s="1531"/>
      <c r="AI799" s="1531"/>
      <c r="AJ799" s="1531"/>
      <c r="AK799" s="1531"/>
      <c r="AL799" s="1531"/>
      <c r="AM799" s="1531"/>
      <c r="AN799" s="1531"/>
      <c r="AO799" s="1531"/>
      <c r="AP799" s="1531"/>
      <c r="AQ799" s="1531"/>
      <c r="AR799" s="1531"/>
      <c r="AS799" s="1531"/>
      <c r="AT799" s="1531"/>
      <c r="AU799" s="1531"/>
      <c r="AV799" s="1531"/>
      <c r="AW799" s="1531"/>
      <c r="AX799" s="1531"/>
      <c r="AY799" s="1531"/>
      <c r="AZ799" s="1531"/>
      <c r="BA799" s="1136"/>
      <c r="BB799" s="1136"/>
      <c r="BC799" s="1136"/>
      <c r="BD799" s="1136"/>
      <c r="BE799" s="1136"/>
      <c r="BF799" s="1136"/>
      <c r="BG799" s="1136"/>
      <c r="BH799" s="1136"/>
      <c r="BI799" s="1136"/>
      <c r="BJ799" s="1136"/>
      <c r="BK799" s="1136"/>
      <c r="BL799" s="1136"/>
      <c r="BM799" s="1136"/>
      <c r="BN799" s="1136"/>
      <c r="BO799" s="1136"/>
      <c r="BP799" s="1136"/>
      <c r="BQ799" s="1136"/>
      <c r="BR799" s="1136"/>
      <c r="BS799" s="1136"/>
      <c r="BT799" s="1136"/>
      <c r="BU799" s="1136"/>
      <c r="BV799" s="1136"/>
      <c r="BW799" s="1136"/>
      <c r="BX799" s="1136"/>
      <c r="BY799" s="1136"/>
      <c r="BZ799" s="1136"/>
      <c r="CA799" s="1136"/>
      <c r="CB799" s="1136"/>
      <c r="CC799" s="1136"/>
      <c r="CD799" s="1136"/>
      <c r="CE799" s="1136"/>
      <c r="CF799" s="1136"/>
      <c r="CG799" s="1136"/>
      <c r="CH799" s="1136"/>
      <c r="CI799" s="1136"/>
      <c r="CJ799" s="1136"/>
      <c r="CK799" s="1136"/>
      <c r="CL799" s="1136"/>
      <c r="CM799" s="1136"/>
      <c r="CN799" s="1136"/>
      <c r="CO799" s="1136"/>
      <c r="CP799" s="1136"/>
      <c r="CQ799" s="1136"/>
      <c r="CR799" s="1136"/>
      <c r="CS799" s="1136"/>
      <c r="CT799" s="1136"/>
      <c r="CU799" s="1136"/>
      <c r="CV799" s="1136"/>
      <c r="CW799" s="1136"/>
      <c r="CX799" s="1136"/>
      <c r="CY799" s="1136"/>
      <c r="CZ799" s="1136"/>
      <c r="DA799" s="1136"/>
      <c r="DB799" s="1136"/>
      <c r="DC799" s="1136"/>
      <c r="DD799" s="1136"/>
      <c r="DE799" s="1136"/>
      <c r="DF799" s="1136"/>
      <c r="DG799" s="1136"/>
      <c r="DH799" s="1136"/>
      <c r="DI799" s="1136"/>
    </row>
    <row r="800" spans="1:113" ht="15.75" x14ac:dyDescent="0.25">
      <c r="A800" s="1417" t="s">
        <v>3406</v>
      </c>
      <c r="B800" s="1442">
        <v>10</v>
      </c>
      <c r="C800" s="1349"/>
      <c r="D800" s="1437"/>
      <c r="E800" s="1437"/>
      <c r="F800" s="1437"/>
      <c r="G800" s="1437"/>
      <c r="H800" s="1350"/>
      <c r="I800" s="1350"/>
      <c r="J800" s="1350"/>
      <c r="K800" s="1350"/>
      <c r="L800" s="1350"/>
      <c r="M800" s="1350"/>
      <c r="N800" s="1350"/>
      <c r="O800" s="1350"/>
      <c r="P800" s="1350"/>
      <c r="Q800" s="1350"/>
      <c r="R800" s="1531"/>
      <c r="S800" s="1531"/>
      <c r="T800" s="1531"/>
      <c r="U800" s="1531"/>
      <c r="V800" s="1531"/>
      <c r="W800" s="1531"/>
      <c r="X800" s="1531"/>
      <c r="Y800" s="1531"/>
      <c r="Z800" s="1531"/>
      <c r="AA800" s="1531"/>
      <c r="AB800" s="1531"/>
      <c r="AC800" s="1531"/>
      <c r="AD800" s="1531"/>
      <c r="AE800" s="1531"/>
      <c r="AF800" s="1531"/>
      <c r="AG800" s="1531"/>
      <c r="AH800" s="1531"/>
      <c r="AI800" s="1531"/>
      <c r="AJ800" s="1531"/>
      <c r="AK800" s="1531"/>
      <c r="AL800" s="1531"/>
      <c r="AM800" s="1531"/>
      <c r="AN800" s="1531"/>
      <c r="AO800" s="1531"/>
      <c r="AP800" s="1531"/>
      <c r="AQ800" s="1531"/>
      <c r="AR800" s="1531"/>
      <c r="AS800" s="1531"/>
      <c r="AT800" s="1531"/>
      <c r="AU800" s="1531"/>
      <c r="AV800" s="1531"/>
      <c r="AW800" s="1531"/>
      <c r="AX800" s="1531"/>
      <c r="AY800" s="1531"/>
      <c r="AZ800" s="1531"/>
      <c r="BA800" s="1136"/>
      <c r="BB800" s="1136"/>
      <c r="BC800" s="1136"/>
      <c r="BD800" s="1136"/>
      <c r="BE800" s="1136"/>
      <c r="BF800" s="1136"/>
      <c r="BG800" s="1136"/>
      <c r="BH800" s="1136"/>
      <c r="BI800" s="1136"/>
      <c r="BJ800" s="1136"/>
      <c r="BK800" s="1136"/>
      <c r="BL800" s="1136"/>
      <c r="BM800" s="1136"/>
      <c r="BN800" s="1136"/>
      <c r="BO800" s="1136"/>
      <c r="BP800" s="1136"/>
      <c r="BQ800" s="1136"/>
      <c r="BR800" s="1136"/>
      <c r="BS800" s="1136"/>
      <c r="BT800" s="1136"/>
      <c r="BU800" s="1136"/>
      <c r="BV800" s="1136"/>
      <c r="BW800" s="1136"/>
      <c r="BX800" s="1136"/>
      <c r="BY800" s="1136"/>
      <c r="BZ800" s="1136"/>
      <c r="CA800" s="1136"/>
      <c r="CB800" s="1136"/>
      <c r="CC800" s="1136"/>
      <c r="CD800" s="1136"/>
      <c r="CE800" s="1136"/>
      <c r="CF800" s="1136"/>
      <c r="CG800" s="1136"/>
      <c r="CH800" s="1136"/>
      <c r="CI800" s="1136"/>
      <c r="CJ800" s="1136"/>
      <c r="CK800" s="1136"/>
      <c r="CL800" s="1136"/>
      <c r="CM800" s="1136"/>
      <c r="CN800" s="1136"/>
      <c r="CO800" s="1136"/>
      <c r="CP800" s="1136"/>
      <c r="CQ800" s="1136"/>
      <c r="CR800" s="1136"/>
      <c r="CS800" s="1136"/>
      <c r="CT800" s="1136"/>
      <c r="CU800" s="1136"/>
      <c r="CV800" s="1136"/>
      <c r="CW800" s="1136"/>
      <c r="CX800" s="1136"/>
      <c r="CY800" s="1136"/>
      <c r="CZ800" s="1136"/>
      <c r="DA800" s="1136"/>
      <c r="DB800" s="1136"/>
      <c r="DC800" s="1136"/>
      <c r="DD800" s="1136"/>
      <c r="DE800" s="1136"/>
      <c r="DF800" s="1136"/>
      <c r="DG800" s="1136"/>
      <c r="DH800" s="1136"/>
      <c r="DI800" s="1136"/>
    </row>
    <row r="801" spans="1:113" ht="15.75" x14ac:dyDescent="0.25">
      <c r="A801" s="1430" t="s">
        <v>3407</v>
      </c>
      <c r="B801" s="1443" t="e">
        <f>((B286*B291*B290*B293*B285)/(B287*B329))*B799*B800</f>
        <v>#VALUE!</v>
      </c>
      <c r="C801" s="1437"/>
      <c r="D801" s="1349"/>
      <c r="E801" s="1349"/>
      <c r="F801" s="1349"/>
      <c r="G801" s="1349"/>
      <c r="H801" s="1350"/>
      <c r="I801" s="1350"/>
      <c r="J801" s="1350"/>
      <c r="K801" s="1350"/>
      <c r="L801" s="1350"/>
      <c r="M801" s="1350"/>
      <c r="N801" s="1350"/>
      <c r="O801" s="1350"/>
      <c r="P801" s="1531"/>
      <c r="Q801" s="1531"/>
      <c r="R801" s="1531"/>
      <c r="S801" s="1531"/>
      <c r="T801" s="1531"/>
      <c r="U801" s="1531"/>
      <c r="V801" s="1531"/>
      <c r="W801" s="1531"/>
      <c r="X801" s="1531"/>
      <c r="Y801" s="1531"/>
      <c r="Z801" s="1531"/>
      <c r="AA801" s="1531"/>
      <c r="AB801" s="1531"/>
      <c r="AC801" s="1531"/>
      <c r="AD801" s="1531"/>
      <c r="AE801" s="1531"/>
      <c r="AF801" s="1531"/>
      <c r="AG801" s="1531"/>
      <c r="AH801" s="1531"/>
      <c r="AI801" s="1531"/>
      <c r="AJ801" s="1531"/>
      <c r="AK801" s="1531"/>
      <c r="AL801" s="1531"/>
      <c r="AM801" s="1531"/>
      <c r="AN801" s="1531"/>
      <c r="AO801" s="1531"/>
      <c r="AP801" s="1531"/>
      <c r="AQ801" s="1531"/>
      <c r="AR801" s="1531"/>
      <c r="AS801" s="1531"/>
      <c r="AT801" s="1531"/>
      <c r="AU801" s="1531"/>
      <c r="AV801" s="1531"/>
      <c r="AW801" s="1531"/>
      <c r="AX801" s="1531"/>
      <c r="AY801" s="1531"/>
      <c r="AZ801" s="1531"/>
      <c r="BA801" s="1136"/>
      <c r="BB801" s="1136"/>
      <c r="BC801" s="1136"/>
      <c r="BD801" s="1136"/>
      <c r="BE801" s="1136"/>
      <c r="BF801" s="1136"/>
      <c r="BG801" s="1136"/>
      <c r="BH801" s="1136"/>
      <c r="BI801" s="1136"/>
      <c r="BJ801" s="1136"/>
      <c r="BK801" s="1136"/>
      <c r="BL801" s="1136"/>
      <c r="BM801" s="1136"/>
      <c r="BN801" s="1136"/>
      <c r="BO801" s="1136"/>
      <c r="BP801" s="1136"/>
      <c r="BQ801" s="1136"/>
      <c r="BR801" s="1136"/>
      <c r="BS801" s="1136"/>
      <c r="BT801" s="1136"/>
      <c r="BU801" s="1136"/>
      <c r="BV801" s="1136"/>
      <c r="BW801" s="1136"/>
      <c r="BX801" s="1136"/>
      <c r="BY801" s="1136"/>
      <c r="BZ801" s="1136"/>
      <c r="CA801" s="1136"/>
      <c r="CB801" s="1136"/>
      <c r="CC801" s="1136"/>
      <c r="CD801" s="1136"/>
      <c r="CE801" s="1136"/>
      <c r="CF801" s="1136"/>
      <c r="CG801" s="1136"/>
      <c r="CH801" s="1136"/>
      <c r="CI801" s="1136"/>
      <c r="CJ801" s="1136"/>
      <c r="CK801" s="1136"/>
      <c r="CL801" s="1136"/>
      <c r="CM801" s="1136"/>
      <c r="CN801" s="1136"/>
      <c r="CO801" s="1136"/>
      <c r="CP801" s="1136"/>
      <c r="CQ801" s="1136"/>
      <c r="CR801" s="1136"/>
      <c r="CS801" s="1136"/>
      <c r="CT801" s="1136"/>
      <c r="CU801" s="1136"/>
      <c r="CV801" s="1136"/>
      <c r="CW801" s="1136"/>
      <c r="CX801" s="1136"/>
      <c r="CY801" s="1136"/>
      <c r="CZ801" s="1136"/>
      <c r="DA801" s="1136"/>
      <c r="DB801" s="1136"/>
      <c r="DC801" s="1136"/>
      <c r="DD801" s="1136"/>
      <c r="DE801" s="1136"/>
      <c r="DF801" s="1136"/>
      <c r="DG801" s="1136"/>
      <c r="DH801" s="1136"/>
      <c r="DI801" s="1136"/>
    </row>
    <row r="802" spans="1:113" ht="15.75" x14ac:dyDescent="0.25">
      <c r="A802" s="1466" t="s">
        <v>3408</v>
      </c>
      <c r="B802" s="1467" t="e">
        <f>IF(B298=1,B801,0)</f>
        <v>#VALUE!</v>
      </c>
      <c r="C802" s="1468"/>
      <c r="D802" s="1349"/>
      <c r="E802" s="1349"/>
      <c r="F802" s="1349"/>
      <c r="G802" s="1349"/>
      <c r="H802" s="1350"/>
      <c r="I802" s="1350"/>
      <c r="J802" s="1350"/>
      <c r="K802" s="1350"/>
      <c r="L802" s="1350"/>
      <c r="M802" s="1350"/>
      <c r="N802" s="1350"/>
      <c r="O802" s="1350"/>
      <c r="P802" s="1531"/>
      <c r="Q802" s="1531"/>
      <c r="R802" s="1531"/>
      <c r="S802" s="1531"/>
      <c r="T802" s="1531"/>
      <c r="U802" s="1531"/>
      <c r="V802" s="1531"/>
      <c r="W802" s="1531"/>
      <c r="X802" s="1531"/>
      <c r="Y802" s="1531"/>
      <c r="Z802" s="1531"/>
      <c r="AA802" s="1531"/>
      <c r="AB802" s="1531"/>
      <c r="AC802" s="1531"/>
      <c r="AD802" s="1531"/>
      <c r="AE802" s="1531"/>
      <c r="AF802" s="1531"/>
      <c r="AG802" s="1531"/>
      <c r="AH802" s="1531"/>
      <c r="AI802" s="1531"/>
      <c r="AJ802" s="1531"/>
      <c r="AK802" s="1531"/>
      <c r="AL802" s="1531"/>
      <c r="AM802" s="1531"/>
      <c r="AN802" s="1531"/>
      <c r="AO802" s="1531"/>
      <c r="AP802" s="1531"/>
      <c r="AQ802" s="1531"/>
      <c r="AR802" s="1531"/>
      <c r="AS802" s="1531"/>
      <c r="AT802" s="1531"/>
      <c r="AU802" s="1531"/>
      <c r="AV802" s="1531"/>
      <c r="AW802" s="1531"/>
      <c r="AX802" s="1531"/>
      <c r="AY802" s="1531"/>
      <c r="AZ802" s="1531"/>
      <c r="BA802" s="1136"/>
      <c r="BB802" s="1136"/>
      <c r="BC802" s="1136"/>
      <c r="BD802" s="1136"/>
      <c r="BE802" s="1136"/>
      <c r="BF802" s="1136"/>
      <c r="BG802" s="1136"/>
      <c r="BH802" s="1136"/>
      <c r="BI802" s="1136"/>
      <c r="BJ802" s="1136"/>
      <c r="BK802" s="1136"/>
      <c r="BL802" s="1136"/>
      <c r="BM802" s="1136"/>
      <c r="BN802" s="1136"/>
      <c r="BO802" s="1136"/>
      <c r="BP802" s="1136"/>
      <c r="BQ802" s="1136"/>
      <c r="BR802" s="1136"/>
      <c r="BS802" s="1136"/>
      <c r="BT802" s="1136"/>
      <c r="BU802" s="1136"/>
      <c r="BV802" s="1136"/>
      <c r="BW802" s="1136"/>
      <c r="BX802" s="1136"/>
      <c r="BY802" s="1136"/>
      <c r="BZ802" s="1136"/>
      <c r="CA802" s="1136"/>
      <c r="CB802" s="1136"/>
      <c r="CC802" s="1136"/>
      <c r="CD802" s="1136"/>
      <c r="CE802" s="1136"/>
      <c r="CF802" s="1136"/>
      <c r="CG802" s="1136"/>
      <c r="CH802" s="1136"/>
      <c r="CI802" s="1136"/>
      <c r="CJ802" s="1136"/>
      <c r="CK802" s="1136"/>
      <c r="CL802" s="1136"/>
      <c r="CM802" s="1136"/>
      <c r="CN802" s="1136"/>
      <c r="CO802" s="1136"/>
      <c r="CP802" s="1136"/>
      <c r="CQ802" s="1136"/>
      <c r="CR802" s="1136"/>
      <c r="CS802" s="1136"/>
      <c r="CT802" s="1136"/>
      <c r="CU802" s="1136"/>
      <c r="CV802" s="1136"/>
      <c r="CW802" s="1136"/>
      <c r="CX802" s="1136"/>
      <c r="CY802" s="1136"/>
      <c r="CZ802" s="1136"/>
      <c r="DA802" s="1136"/>
      <c r="DB802" s="1136"/>
      <c r="DC802" s="1136"/>
      <c r="DD802" s="1136"/>
      <c r="DE802" s="1136"/>
      <c r="DF802" s="1136"/>
      <c r="DG802" s="1136"/>
      <c r="DH802" s="1136"/>
      <c r="DI802" s="1136"/>
    </row>
    <row r="803" spans="1:113" ht="15.75" x14ac:dyDescent="0.25">
      <c r="A803" s="1417"/>
      <c r="B803" s="1415"/>
      <c r="C803" s="1350"/>
      <c r="D803" s="1437"/>
      <c r="E803" s="1437"/>
      <c r="F803" s="1437"/>
      <c r="G803" s="1437"/>
      <c r="H803" s="1350"/>
      <c r="I803" s="1350"/>
      <c r="J803" s="1350"/>
      <c r="K803" s="1350"/>
      <c r="L803" s="1350"/>
      <c r="M803" s="1350"/>
      <c r="N803" s="1350"/>
      <c r="O803" s="1350"/>
      <c r="P803" s="1531"/>
      <c r="Q803" s="1531"/>
      <c r="R803" s="1531"/>
      <c r="S803" s="1531"/>
      <c r="T803" s="1531"/>
      <c r="U803" s="1531"/>
      <c r="V803" s="1531"/>
      <c r="W803" s="1531"/>
      <c r="X803" s="1531"/>
      <c r="Y803" s="1531"/>
      <c r="Z803" s="1531"/>
      <c r="AA803" s="1531"/>
      <c r="AB803" s="1531"/>
      <c r="AC803" s="1531"/>
      <c r="AD803" s="1531"/>
      <c r="AE803" s="1531"/>
      <c r="AF803" s="1531"/>
      <c r="AG803" s="1531"/>
      <c r="AH803" s="1531"/>
      <c r="AI803" s="1531"/>
      <c r="AJ803" s="1531"/>
      <c r="AK803" s="1531"/>
      <c r="AL803" s="1531"/>
      <c r="AM803" s="1531"/>
      <c r="AN803" s="1531"/>
      <c r="AO803" s="1531"/>
      <c r="AP803" s="1531"/>
      <c r="AQ803" s="1531"/>
      <c r="AR803" s="1531"/>
      <c r="AS803" s="1531"/>
      <c r="AT803" s="1531"/>
      <c r="AU803" s="1531"/>
      <c r="AV803" s="1531"/>
      <c r="AW803" s="1531"/>
      <c r="AX803" s="1531"/>
      <c r="AY803" s="1531"/>
      <c r="AZ803" s="1531"/>
      <c r="BA803" s="1136"/>
      <c r="BB803" s="1136"/>
      <c r="BC803" s="1136"/>
      <c r="BD803" s="1136"/>
      <c r="BE803" s="1136"/>
      <c r="BF803" s="1136"/>
      <c r="BG803" s="1136"/>
      <c r="BH803" s="1136"/>
      <c r="BI803" s="1136"/>
      <c r="BJ803" s="1136"/>
      <c r="BK803" s="1136"/>
      <c r="BL803" s="1136"/>
      <c r="BM803" s="1136"/>
      <c r="BN803" s="1136"/>
      <c r="BO803" s="1136"/>
      <c r="BP803" s="1136"/>
      <c r="BQ803" s="1136"/>
      <c r="BR803" s="1136"/>
      <c r="BS803" s="1136"/>
      <c r="BT803" s="1136"/>
      <c r="BU803" s="1136"/>
      <c r="BV803" s="1136"/>
      <c r="BW803" s="1136"/>
      <c r="BX803" s="1136"/>
      <c r="BY803" s="1136"/>
      <c r="BZ803" s="1136"/>
      <c r="CA803" s="1136"/>
      <c r="CB803" s="1136"/>
      <c r="CC803" s="1136"/>
      <c r="CD803" s="1136"/>
      <c r="CE803" s="1136"/>
      <c r="CF803" s="1136"/>
      <c r="CG803" s="1136"/>
      <c r="CH803" s="1136"/>
      <c r="CI803" s="1136"/>
      <c r="CJ803" s="1136"/>
      <c r="CK803" s="1136"/>
      <c r="CL803" s="1136"/>
      <c r="CM803" s="1136"/>
      <c r="CN803" s="1136"/>
      <c r="CO803" s="1136"/>
      <c r="CP803" s="1136"/>
      <c r="CQ803" s="1136"/>
      <c r="CR803" s="1136"/>
      <c r="CS803" s="1136"/>
      <c r="CT803" s="1136"/>
      <c r="CU803" s="1136"/>
      <c r="CV803" s="1136"/>
      <c r="CW803" s="1136"/>
      <c r="CX803" s="1136"/>
      <c r="CY803" s="1136"/>
      <c r="CZ803" s="1136"/>
      <c r="DA803" s="1136"/>
      <c r="DB803" s="1136"/>
      <c r="DC803" s="1136"/>
      <c r="DD803" s="1136"/>
      <c r="DE803" s="1136"/>
      <c r="DF803" s="1136"/>
      <c r="DG803" s="1136"/>
      <c r="DH803" s="1136"/>
      <c r="DI803" s="1136"/>
    </row>
    <row r="804" spans="1:113" ht="15.75" x14ac:dyDescent="0.25">
      <c r="A804" s="1391"/>
      <c r="B804" s="1602"/>
      <c r="C804" s="1136"/>
      <c r="D804" s="1468"/>
      <c r="E804" s="1468"/>
      <c r="F804" s="1468"/>
      <c r="G804" s="1468"/>
      <c r="H804" s="1350"/>
      <c r="I804" s="1350"/>
      <c r="J804" s="1350"/>
      <c r="K804" s="1350"/>
      <c r="L804" s="1350"/>
      <c r="M804" s="1350"/>
      <c r="N804" s="1350"/>
      <c r="O804" s="1350"/>
      <c r="P804" s="1531"/>
      <c r="Q804" s="1531"/>
      <c r="R804" s="1531"/>
      <c r="S804" s="1531"/>
      <c r="T804" s="1531"/>
      <c r="U804" s="1531"/>
      <c r="V804" s="1531"/>
      <c r="W804" s="1531"/>
      <c r="X804" s="1531"/>
      <c r="Y804" s="1531"/>
      <c r="Z804" s="1531"/>
      <c r="AA804" s="1531"/>
      <c r="AB804" s="1531"/>
      <c r="AC804" s="1531"/>
      <c r="AD804" s="1531"/>
      <c r="AE804" s="1531"/>
      <c r="AF804" s="1531"/>
      <c r="AG804" s="1531"/>
      <c r="AH804" s="1531"/>
      <c r="AI804" s="1531"/>
      <c r="AJ804" s="1531"/>
      <c r="AK804" s="1531"/>
      <c r="AL804" s="1531"/>
      <c r="AM804" s="1531"/>
      <c r="AN804" s="1531"/>
      <c r="AO804" s="1531"/>
      <c r="AP804" s="1531"/>
      <c r="AQ804" s="1531"/>
      <c r="AR804" s="1531"/>
      <c r="AS804" s="1531"/>
      <c r="AT804" s="1531"/>
      <c r="AU804" s="1531"/>
      <c r="AV804" s="1531"/>
      <c r="AW804" s="1531"/>
      <c r="AX804" s="1531"/>
      <c r="AY804" s="1531"/>
      <c r="AZ804" s="1531"/>
      <c r="BA804" s="1136"/>
      <c r="BB804" s="1136"/>
      <c r="BC804" s="1136"/>
      <c r="BD804" s="1136"/>
      <c r="BE804" s="1136"/>
      <c r="BF804" s="1136"/>
      <c r="BG804" s="1136"/>
      <c r="BH804" s="1136"/>
      <c r="BI804" s="1136"/>
      <c r="BJ804" s="1136"/>
      <c r="BK804" s="1136"/>
      <c r="BL804" s="1136"/>
      <c r="BM804" s="1136"/>
      <c r="BN804" s="1136"/>
      <c r="BO804" s="1136"/>
      <c r="BP804" s="1136"/>
      <c r="BQ804" s="1136"/>
      <c r="BR804" s="1136"/>
      <c r="BS804" s="1136"/>
      <c r="BT804" s="1136"/>
      <c r="BU804" s="1136"/>
      <c r="BV804" s="1136"/>
      <c r="BW804" s="1136"/>
      <c r="BX804" s="1136"/>
      <c r="BY804" s="1136"/>
      <c r="BZ804" s="1136"/>
      <c r="CA804" s="1136"/>
      <c r="CB804" s="1136"/>
      <c r="CC804" s="1136"/>
      <c r="CD804" s="1136"/>
      <c r="CE804" s="1136"/>
      <c r="CF804" s="1136"/>
      <c r="CG804" s="1136"/>
      <c r="CH804" s="1136"/>
      <c r="CI804" s="1136"/>
      <c r="CJ804" s="1136"/>
      <c r="CK804" s="1136"/>
      <c r="CL804" s="1136"/>
      <c r="CM804" s="1136"/>
      <c r="CN804" s="1136"/>
      <c r="CO804" s="1136"/>
      <c r="CP804" s="1136"/>
      <c r="CQ804" s="1136"/>
      <c r="CR804" s="1136"/>
      <c r="CS804" s="1136"/>
      <c r="CT804" s="1136"/>
      <c r="CU804" s="1136"/>
      <c r="CV804" s="1136"/>
      <c r="CW804" s="1136"/>
      <c r="CX804" s="1136"/>
      <c r="CY804" s="1136"/>
      <c r="CZ804" s="1136"/>
      <c r="DA804" s="1136"/>
      <c r="DB804" s="1136"/>
      <c r="DC804" s="1136"/>
      <c r="DD804" s="1136"/>
      <c r="DE804" s="1136"/>
      <c r="DF804" s="1136"/>
      <c r="DG804" s="1136"/>
      <c r="DH804" s="1136"/>
      <c r="DI804" s="1136"/>
    </row>
    <row r="805" spans="1:113" ht="15.75" x14ac:dyDescent="0.25">
      <c r="A805" s="1603" t="s">
        <v>3410</v>
      </c>
      <c r="B805" s="1604"/>
      <c r="C805" s="1605"/>
      <c r="D805" s="1468"/>
      <c r="E805" s="1468"/>
      <c r="F805" s="1468"/>
      <c r="G805" s="1468"/>
      <c r="H805" s="1350"/>
      <c r="I805" s="1350"/>
      <c r="J805" s="1350"/>
      <c r="K805" s="1350"/>
      <c r="L805" s="1350"/>
      <c r="M805" s="1350"/>
      <c r="N805" s="1350"/>
      <c r="O805" s="1350"/>
      <c r="P805" s="1531"/>
      <c r="Q805" s="1531"/>
      <c r="R805" s="1531"/>
      <c r="S805" s="1531"/>
      <c r="T805" s="1531"/>
      <c r="U805" s="1531"/>
      <c r="V805" s="1531"/>
      <c r="W805" s="1531"/>
      <c r="X805" s="1531"/>
      <c r="Y805" s="1531"/>
      <c r="Z805" s="1531"/>
      <c r="AA805" s="1531"/>
      <c r="AB805" s="1531"/>
      <c r="AC805" s="1531"/>
      <c r="AD805" s="1531"/>
      <c r="AE805" s="1531"/>
      <c r="AF805" s="1531"/>
      <c r="AG805" s="1531"/>
      <c r="AH805" s="1531"/>
      <c r="AI805" s="1531"/>
      <c r="AJ805" s="1531"/>
      <c r="AK805" s="1531"/>
      <c r="AL805" s="1531"/>
      <c r="AM805" s="1531"/>
      <c r="AN805" s="1531"/>
      <c r="AO805" s="1531"/>
      <c r="AP805" s="1531"/>
      <c r="AQ805" s="1531"/>
      <c r="AR805" s="1531"/>
      <c r="AS805" s="1531"/>
      <c r="AT805" s="1531"/>
      <c r="AU805" s="1531"/>
      <c r="AV805" s="1531"/>
      <c r="AW805" s="1531"/>
      <c r="AX805" s="1531"/>
      <c r="AY805" s="1531"/>
      <c r="AZ805" s="1531"/>
      <c r="BA805" s="1136"/>
      <c r="BB805" s="1136"/>
      <c r="BC805" s="1136"/>
      <c r="BD805" s="1136"/>
      <c r="BE805" s="1136"/>
      <c r="BF805" s="1136"/>
      <c r="BG805" s="1136"/>
      <c r="BH805" s="1136"/>
      <c r="BI805" s="1136"/>
      <c r="BJ805" s="1136"/>
      <c r="BK805" s="1136"/>
      <c r="BL805" s="1136"/>
      <c r="BM805" s="1136"/>
      <c r="BN805" s="1136"/>
      <c r="BO805" s="1136"/>
      <c r="BP805" s="1136"/>
      <c r="BQ805" s="1136"/>
      <c r="BR805" s="1136"/>
      <c r="BS805" s="1136"/>
      <c r="BT805" s="1136"/>
      <c r="BU805" s="1136"/>
      <c r="BV805" s="1136"/>
      <c r="BW805" s="1136"/>
      <c r="BX805" s="1136"/>
      <c r="BY805" s="1136"/>
      <c r="BZ805" s="1136"/>
      <c r="CA805" s="1136"/>
      <c r="CB805" s="1136"/>
      <c r="CC805" s="1136"/>
      <c r="CD805" s="1136"/>
      <c r="CE805" s="1136"/>
      <c r="CF805" s="1136"/>
      <c r="CG805" s="1136"/>
      <c r="CH805" s="1136"/>
      <c r="CI805" s="1136"/>
      <c r="CJ805" s="1136"/>
      <c r="CK805" s="1136"/>
      <c r="CL805" s="1136"/>
      <c r="CM805" s="1136"/>
      <c r="CN805" s="1136"/>
      <c r="CO805" s="1136"/>
      <c r="CP805" s="1136"/>
      <c r="CQ805" s="1136"/>
      <c r="CR805" s="1136"/>
      <c r="CS805" s="1136"/>
      <c r="CT805" s="1136"/>
      <c r="CU805" s="1136"/>
      <c r="CV805" s="1136"/>
      <c r="CW805" s="1136"/>
      <c r="CX805" s="1136"/>
      <c r="CY805" s="1136"/>
      <c r="CZ805" s="1136"/>
      <c r="DA805" s="1136"/>
      <c r="DB805" s="1136"/>
      <c r="DC805" s="1136"/>
      <c r="DD805" s="1136"/>
      <c r="DE805" s="1136"/>
      <c r="DF805" s="1136"/>
      <c r="DG805" s="1136"/>
      <c r="DH805" s="1136"/>
      <c r="DI805" s="1136"/>
    </row>
    <row r="806" spans="1:113" ht="15.75" x14ac:dyDescent="0.25">
      <c r="A806" s="1391"/>
      <c r="B806" s="1046"/>
      <c r="C806" s="1136"/>
      <c r="D806" s="1349"/>
      <c r="E806" s="1349"/>
      <c r="F806" s="1349"/>
      <c r="G806" s="1349"/>
      <c r="H806" s="1350"/>
      <c r="I806" s="1350"/>
      <c r="J806" s="1350"/>
      <c r="K806" s="1350"/>
      <c r="L806" s="1350"/>
      <c r="M806" s="1350"/>
      <c r="N806" s="1350"/>
      <c r="O806" s="1350"/>
      <c r="P806" s="1531"/>
      <c r="Q806" s="1531"/>
      <c r="R806" s="1531"/>
      <c r="S806" s="1531"/>
      <c r="T806" s="1531"/>
      <c r="U806" s="1531"/>
      <c r="V806" s="1531"/>
      <c r="W806" s="1531"/>
      <c r="X806" s="1531"/>
      <c r="Y806" s="1531"/>
      <c r="Z806" s="1531"/>
      <c r="AA806" s="1531"/>
      <c r="AB806" s="1531"/>
      <c r="AC806" s="1531"/>
      <c r="AD806" s="1531"/>
      <c r="AE806" s="1531"/>
      <c r="AF806" s="1531"/>
      <c r="AG806" s="1531"/>
      <c r="AH806" s="1531"/>
      <c r="AI806" s="1531"/>
      <c r="AJ806" s="1531"/>
      <c r="AK806" s="1531"/>
      <c r="AL806" s="1531"/>
      <c r="AM806" s="1531"/>
      <c r="AN806" s="1531"/>
      <c r="AO806" s="1531"/>
      <c r="AP806" s="1531"/>
      <c r="AQ806" s="1531"/>
      <c r="AR806" s="1531"/>
      <c r="AS806" s="1531"/>
      <c r="AT806" s="1531"/>
      <c r="AU806" s="1531"/>
      <c r="AV806" s="1531"/>
      <c r="AW806" s="1531"/>
      <c r="AX806" s="1531"/>
      <c r="AY806" s="1531"/>
      <c r="AZ806" s="1531"/>
      <c r="BA806" s="1136"/>
      <c r="BB806" s="1136"/>
      <c r="BC806" s="1136"/>
      <c r="BD806" s="1136"/>
      <c r="BE806" s="1136"/>
      <c r="BF806" s="1136"/>
      <c r="BG806" s="1136"/>
      <c r="BH806" s="1136"/>
      <c r="BI806" s="1136"/>
      <c r="BJ806" s="1136"/>
      <c r="BK806" s="1136"/>
      <c r="BL806" s="1136"/>
      <c r="BM806" s="1136"/>
      <c r="BN806" s="1136"/>
      <c r="BO806" s="1136"/>
      <c r="BP806" s="1136"/>
      <c r="BQ806" s="1136"/>
      <c r="BR806" s="1136"/>
      <c r="BS806" s="1136"/>
      <c r="BT806" s="1136"/>
      <c r="BU806" s="1136"/>
      <c r="BV806" s="1136"/>
      <c r="BW806" s="1136"/>
      <c r="BX806" s="1136"/>
      <c r="BY806" s="1136"/>
      <c r="BZ806" s="1136"/>
      <c r="CA806" s="1136"/>
      <c r="CB806" s="1136"/>
      <c r="CC806" s="1136"/>
      <c r="CD806" s="1136"/>
      <c r="CE806" s="1136"/>
      <c r="CF806" s="1136"/>
      <c r="CG806" s="1136"/>
      <c r="CH806" s="1136"/>
      <c r="CI806" s="1136"/>
      <c r="CJ806" s="1136"/>
      <c r="CK806" s="1136"/>
      <c r="CL806" s="1136"/>
      <c r="CM806" s="1136"/>
      <c r="CN806" s="1136"/>
      <c r="CO806" s="1136"/>
      <c r="CP806" s="1136"/>
      <c r="CQ806" s="1136"/>
      <c r="CR806" s="1136"/>
      <c r="CS806" s="1136"/>
      <c r="CT806" s="1136"/>
      <c r="CU806" s="1136"/>
      <c r="CV806" s="1136"/>
      <c r="CW806" s="1136"/>
      <c r="CX806" s="1136"/>
      <c r="CY806" s="1136"/>
      <c r="CZ806" s="1136"/>
      <c r="DA806" s="1136"/>
      <c r="DB806" s="1136"/>
      <c r="DC806" s="1136"/>
      <c r="DD806" s="1136"/>
      <c r="DE806" s="1136"/>
      <c r="DF806" s="1136"/>
      <c r="DG806" s="1136"/>
      <c r="DH806" s="1136"/>
      <c r="DI806" s="1136"/>
    </row>
    <row r="807" spans="1:113" ht="15.75" x14ac:dyDescent="0.25">
      <c r="A807" s="1414" t="s">
        <v>4142</v>
      </c>
      <c r="B807" s="1415"/>
      <c r="C807" s="1531"/>
      <c r="D807" s="1349"/>
      <c r="E807" s="1349"/>
      <c r="F807" s="1349"/>
      <c r="G807" s="1349"/>
      <c r="H807" s="1350"/>
      <c r="I807" s="1350"/>
      <c r="J807" s="1350"/>
      <c r="K807" s="1350"/>
      <c r="L807" s="1350"/>
      <c r="M807" s="1350"/>
      <c r="N807" s="1350"/>
      <c r="O807" s="1350"/>
      <c r="P807" s="1531"/>
      <c r="Q807" s="1531"/>
      <c r="R807" s="1531"/>
      <c r="S807" s="1531"/>
      <c r="T807" s="1531"/>
      <c r="U807" s="1531"/>
      <c r="V807" s="1531"/>
      <c r="W807" s="1531"/>
      <c r="X807" s="1531"/>
      <c r="Y807" s="1531"/>
      <c r="Z807" s="1531"/>
      <c r="AA807" s="1531"/>
      <c r="AB807" s="1531"/>
      <c r="AC807" s="1531"/>
      <c r="AD807" s="1531"/>
      <c r="AE807" s="1531"/>
      <c r="AF807" s="1531"/>
      <c r="AG807" s="1531"/>
      <c r="AH807" s="1531"/>
      <c r="AI807" s="1531"/>
      <c r="AJ807" s="1531"/>
      <c r="AK807" s="1531"/>
      <c r="AL807" s="1531"/>
      <c r="AM807" s="1531"/>
      <c r="AN807" s="1531"/>
      <c r="AO807" s="1531"/>
      <c r="AP807" s="1531"/>
      <c r="AQ807" s="1531"/>
      <c r="AR807" s="1531"/>
      <c r="AS807" s="1531"/>
      <c r="AT807" s="1531"/>
      <c r="AU807" s="1531"/>
      <c r="AV807" s="1531"/>
      <c r="AW807" s="1531"/>
      <c r="AX807" s="1531"/>
      <c r="AY807" s="1531"/>
      <c r="AZ807" s="1531"/>
      <c r="BA807" s="1136"/>
      <c r="BB807" s="1136"/>
      <c r="BC807" s="1136"/>
      <c r="BD807" s="1136"/>
      <c r="BE807" s="1136"/>
      <c r="BF807" s="1136"/>
      <c r="BG807" s="1136"/>
      <c r="BH807" s="1136"/>
      <c r="BI807" s="1136"/>
      <c r="BJ807" s="1136"/>
      <c r="BK807" s="1136"/>
      <c r="BL807" s="1136"/>
      <c r="BM807" s="1136"/>
      <c r="BN807" s="1136"/>
      <c r="BO807" s="1136"/>
      <c r="BP807" s="1136"/>
      <c r="BQ807" s="1136"/>
      <c r="BR807" s="1136"/>
      <c r="BS807" s="1136"/>
      <c r="BT807" s="1136"/>
      <c r="BU807" s="1136"/>
      <c r="BV807" s="1136"/>
      <c r="BW807" s="1136"/>
      <c r="BX807" s="1136"/>
      <c r="BY807" s="1136"/>
      <c r="BZ807" s="1136"/>
      <c r="CA807" s="1136"/>
      <c r="CB807" s="1136"/>
      <c r="CC807" s="1136"/>
      <c r="CD807" s="1136"/>
      <c r="CE807" s="1136"/>
      <c r="CF807" s="1136"/>
      <c r="CG807" s="1136"/>
      <c r="CH807" s="1136"/>
      <c r="CI807" s="1136"/>
      <c r="CJ807" s="1136"/>
      <c r="CK807" s="1136"/>
      <c r="CL807" s="1136"/>
      <c r="CM807" s="1136"/>
      <c r="CN807" s="1136"/>
      <c r="CO807" s="1136"/>
      <c r="CP807" s="1136"/>
      <c r="CQ807" s="1136"/>
      <c r="CR807" s="1136"/>
      <c r="CS807" s="1136"/>
      <c r="CT807" s="1136"/>
      <c r="CU807" s="1136"/>
      <c r="CV807" s="1136"/>
      <c r="CW807" s="1136"/>
      <c r="CX807" s="1136"/>
      <c r="CY807" s="1136"/>
      <c r="CZ807" s="1136"/>
      <c r="DA807" s="1136"/>
      <c r="DB807" s="1136"/>
      <c r="DC807" s="1136"/>
      <c r="DD807" s="1136"/>
      <c r="DE807" s="1136"/>
      <c r="DF807" s="1136"/>
      <c r="DG807" s="1136"/>
      <c r="DH807" s="1136"/>
      <c r="DI807" s="1136"/>
    </row>
    <row r="808" spans="1:113" ht="15.75" x14ac:dyDescent="0.25">
      <c r="A808" s="1419" t="s">
        <v>4144</v>
      </c>
      <c r="B808" s="1415"/>
      <c r="C808" s="1531"/>
      <c r="D808" s="1437"/>
      <c r="E808" s="1437"/>
      <c r="F808" s="1437"/>
      <c r="G808" s="1437"/>
      <c r="H808" s="1350"/>
      <c r="I808" s="1350"/>
      <c r="J808" s="1350"/>
      <c r="K808" s="1350"/>
      <c r="L808" s="1350"/>
      <c r="M808" s="1350"/>
      <c r="N808" s="1350"/>
      <c r="O808" s="1350"/>
      <c r="P808" s="1531"/>
      <c r="Q808" s="1531"/>
      <c r="R808" s="1531"/>
      <c r="S808" s="1531"/>
      <c r="T808" s="1531"/>
      <c r="U808" s="1531"/>
      <c r="V808" s="1531"/>
      <c r="W808" s="1531"/>
      <c r="X808" s="1531"/>
      <c r="Y808" s="1531"/>
      <c r="Z808" s="1531"/>
      <c r="AA808" s="1531"/>
      <c r="AB808" s="1531"/>
      <c r="AC808" s="1531"/>
      <c r="AD808" s="1531"/>
      <c r="AE808" s="1531"/>
      <c r="AF808" s="1531"/>
      <c r="AG808" s="1531"/>
      <c r="AH808" s="1531"/>
      <c r="AI808" s="1531"/>
      <c r="AJ808" s="1531"/>
      <c r="AK808" s="1531"/>
      <c r="AL808" s="1531"/>
      <c r="AM808" s="1531"/>
      <c r="AN808" s="1531"/>
      <c r="AO808" s="1531"/>
      <c r="AP808" s="1531"/>
      <c r="AQ808" s="1531"/>
      <c r="AR808" s="1531"/>
      <c r="AS808" s="1531"/>
      <c r="AT808" s="1531"/>
      <c r="AU808" s="1531"/>
      <c r="AV808" s="1531"/>
      <c r="AW808" s="1531"/>
      <c r="AX808" s="1531"/>
      <c r="AY808" s="1531"/>
      <c r="AZ808" s="1531"/>
      <c r="BA808" s="1136"/>
      <c r="BB808" s="1136"/>
      <c r="BC808" s="1136"/>
      <c r="BD808" s="1136"/>
      <c r="BE808" s="1136"/>
      <c r="BF808" s="1136"/>
      <c r="BG808" s="1136"/>
      <c r="BH808" s="1136"/>
      <c r="BI808" s="1136"/>
      <c r="BJ808" s="1136"/>
      <c r="BK808" s="1136"/>
      <c r="BL808" s="1136"/>
      <c r="BM808" s="1136"/>
      <c r="BN808" s="1136"/>
      <c r="BO808" s="1136"/>
      <c r="BP808" s="1136"/>
      <c r="BQ808" s="1136"/>
      <c r="BR808" s="1136"/>
      <c r="BS808" s="1136"/>
      <c r="BT808" s="1136"/>
      <c r="BU808" s="1136"/>
      <c r="BV808" s="1136"/>
      <c r="BW808" s="1136"/>
      <c r="BX808" s="1136"/>
      <c r="BY808" s="1136"/>
      <c r="BZ808" s="1136"/>
      <c r="CA808" s="1136"/>
      <c r="CB808" s="1136"/>
      <c r="CC808" s="1136"/>
      <c r="CD808" s="1136"/>
      <c r="CE808" s="1136"/>
      <c r="CF808" s="1136"/>
      <c r="CG808" s="1136"/>
      <c r="CH808" s="1136"/>
      <c r="CI808" s="1136"/>
      <c r="CJ808" s="1136"/>
      <c r="CK808" s="1136"/>
      <c r="CL808" s="1136"/>
      <c r="CM808" s="1136"/>
      <c r="CN808" s="1136"/>
      <c r="CO808" s="1136"/>
      <c r="CP808" s="1136"/>
      <c r="CQ808" s="1136"/>
      <c r="CR808" s="1136"/>
      <c r="CS808" s="1136"/>
      <c r="CT808" s="1136"/>
      <c r="CU808" s="1136"/>
      <c r="CV808" s="1136"/>
      <c r="CW808" s="1136"/>
      <c r="CX808" s="1136"/>
      <c r="CY808" s="1136"/>
      <c r="CZ808" s="1136"/>
      <c r="DA808" s="1136"/>
      <c r="DB808" s="1136"/>
      <c r="DC808" s="1136"/>
      <c r="DD808" s="1136"/>
      <c r="DE808" s="1136"/>
      <c r="DF808" s="1136"/>
      <c r="DG808" s="1136"/>
      <c r="DH808" s="1136"/>
      <c r="DI808" s="1136"/>
    </row>
    <row r="809" spans="1:113" ht="31.5" x14ac:dyDescent="0.25">
      <c r="A809" s="1420" t="s">
        <v>4145</v>
      </c>
      <c r="B809" s="1421" t="e">
        <f>CEILING((B303-B307)/B309+1,1)</f>
        <v>#DIV/0!</v>
      </c>
      <c r="C809" s="1523"/>
      <c r="D809" s="1468"/>
      <c r="E809" s="1468"/>
      <c r="F809" s="1468"/>
      <c r="G809" s="1468"/>
      <c r="H809" s="1350"/>
      <c r="I809" s="1350"/>
      <c r="J809" s="1350"/>
      <c r="K809" s="1350"/>
      <c r="L809" s="1350"/>
      <c r="M809" s="1350"/>
      <c r="N809" s="1350"/>
      <c r="O809" s="1350"/>
      <c r="P809" s="1531"/>
      <c r="Q809" s="1531"/>
      <c r="R809" s="1531"/>
      <c r="S809" s="1531"/>
      <c r="T809" s="1531"/>
      <c r="U809" s="1531"/>
      <c r="V809" s="1531"/>
      <c r="W809" s="1531"/>
      <c r="X809" s="1531"/>
      <c r="Y809" s="1531"/>
      <c r="Z809" s="1531"/>
      <c r="AA809" s="1531"/>
      <c r="AB809" s="1531"/>
      <c r="AC809" s="1531"/>
      <c r="AD809" s="1531"/>
      <c r="AE809" s="1531"/>
      <c r="AF809" s="1531"/>
      <c r="AG809" s="1531"/>
      <c r="AH809" s="1531"/>
      <c r="AI809" s="1531"/>
      <c r="AJ809" s="1531"/>
      <c r="AK809" s="1531"/>
      <c r="AL809" s="1531"/>
      <c r="AM809" s="1531"/>
      <c r="AN809" s="1531"/>
      <c r="AO809" s="1531"/>
      <c r="AP809" s="1531"/>
      <c r="AQ809" s="1531"/>
      <c r="AR809" s="1531"/>
      <c r="AS809" s="1531"/>
      <c r="AT809" s="1531"/>
      <c r="AU809" s="1531"/>
      <c r="AV809" s="1531"/>
      <c r="AW809" s="1531"/>
      <c r="AX809" s="1531"/>
      <c r="AY809" s="1531"/>
      <c r="AZ809" s="1531"/>
      <c r="BA809" s="1136"/>
      <c r="BB809" s="1136"/>
      <c r="BC809" s="1136"/>
      <c r="BD809" s="1136"/>
      <c r="BE809" s="1136"/>
      <c r="BF809" s="1136"/>
      <c r="BG809" s="1136"/>
      <c r="BH809" s="1136"/>
      <c r="BI809" s="1136"/>
      <c r="BJ809" s="1136"/>
      <c r="BK809" s="1136"/>
      <c r="BL809" s="1136"/>
      <c r="BM809" s="1136"/>
      <c r="BN809" s="1136"/>
      <c r="BO809" s="1136"/>
      <c r="BP809" s="1136"/>
      <c r="BQ809" s="1136"/>
      <c r="BR809" s="1136"/>
      <c r="BS809" s="1136"/>
      <c r="BT809" s="1136"/>
      <c r="BU809" s="1136"/>
      <c r="BV809" s="1136"/>
      <c r="BW809" s="1136"/>
      <c r="BX809" s="1136"/>
      <c r="BY809" s="1136"/>
      <c r="BZ809" s="1136"/>
      <c r="CA809" s="1136"/>
      <c r="CB809" s="1136"/>
      <c r="CC809" s="1136"/>
      <c r="CD809" s="1136"/>
      <c r="CE809" s="1136"/>
      <c r="CF809" s="1136"/>
      <c r="CG809" s="1136"/>
      <c r="CH809" s="1136"/>
      <c r="CI809" s="1136"/>
      <c r="CJ809" s="1136"/>
      <c r="CK809" s="1136"/>
      <c r="CL809" s="1136"/>
      <c r="CM809" s="1136"/>
      <c r="CN809" s="1136"/>
      <c r="CO809" s="1136"/>
      <c r="CP809" s="1136"/>
      <c r="CQ809" s="1136"/>
      <c r="CR809" s="1136"/>
      <c r="CS809" s="1136"/>
      <c r="CT809" s="1136"/>
      <c r="CU809" s="1136"/>
      <c r="CV809" s="1136"/>
      <c r="CW809" s="1136"/>
      <c r="CX809" s="1136"/>
      <c r="CY809" s="1136"/>
      <c r="CZ809" s="1136"/>
      <c r="DA809" s="1136"/>
      <c r="DB809" s="1136"/>
      <c r="DC809" s="1136"/>
      <c r="DD809" s="1136"/>
      <c r="DE809" s="1136"/>
      <c r="DF809" s="1136"/>
      <c r="DG809" s="1136"/>
      <c r="DH809" s="1136"/>
      <c r="DI809" s="1136"/>
    </row>
    <row r="810" spans="1:113" ht="31.5" x14ac:dyDescent="0.25">
      <c r="A810" s="1420" t="s">
        <v>4146</v>
      </c>
      <c r="B810" s="1421" t="e">
        <f>CEILING((B289-B303+B307)/B309,1)</f>
        <v>#REF!</v>
      </c>
      <c r="C810" s="1523"/>
      <c r="D810" s="1350"/>
      <c r="E810" s="1350"/>
      <c r="F810" s="1350"/>
      <c r="G810" s="1350"/>
      <c r="H810" s="1350"/>
      <c r="I810" s="1350"/>
      <c r="J810" s="1350"/>
      <c r="K810" s="1350"/>
      <c r="L810" s="1350"/>
      <c r="M810" s="1350"/>
      <c r="N810" s="1350"/>
      <c r="O810" s="1350"/>
      <c r="P810" s="1350"/>
      <c r="Q810" s="1531"/>
      <c r="R810" s="1531"/>
      <c r="S810" s="1531"/>
      <c r="T810" s="1531"/>
      <c r="U810" s="1531"/>
      <c r="V810" s="1531"/>
      <c r="W810" s="1531"/>
      <c r="X810" s="1531"/>
      <c r="Y810" s="1531"/>
      <c r="Z810" s="1531"/>
      <c r="AA810" s="1531"/>
      <c r="AB810" s="1531"/>
      <c r="AC810" s="1531"/>
      <c r="AD810" s="1531"/>
      <c r="AE810" s="1531"/>
      <c r="AF810" s="1531"/>
      <c r="AG810" s="1531"/>
      <c r="AH810" s="1531"/>
      <c r="AI810" s="1531"/>
      <c r="AJ810" s="1531"/>
      <c r="AK810" s="1531"/>
      <c r="AL810" s="1531"/>
      <c r="AM810" s="1531"/>
      <c r="AN810" s="1531"/>
      <c r="AO810" s="1531"/>
      <c r="AP810" s="1531"/>
      <c r="AQ810" s="1531"/>
      <c r="AR810" s="1531"/>
      <c r="AS810" s="1531"/>
      <c r="AT810" s="1531"/>
      <c r="AU810" s="1531"/>
      <c r="AV810" s="1531"/>
      <c r="AW810" s="1531"/>
      <c r="AX810" s="1531"/>
      <c r="AY810" s="1531"/>
      <c r="AZ810" s="1531"/>
      <c r="BA810" s="1136"/>
      <c r="BB810" s="1136"/>
      <c r="BC810" s="1136"/>
      <c r="BD810" s="1136"/>
      <c r="BE810" s="1136"/>
      <c r="BF810" s="1136"/>
      <c r="BG810" s="1136"/>
      <c r="BH810" s="1136"/>
      <c r="BI810" s="1136"/>
      <c r="BJ810" s="1136"/>
      <c r="BK810" s="1136"/>
      <c r="BL810" s="1136"/>
      <c r="BM810" s="1136"/>
      <c r="BN810" s="1136"/>
      <c r="BO810" s="1136"/>
      <c r="BP810" s="1136"/>
      <c r="BQ810" s="1136"/>
      <c r="BR810" s="1136"/>
      <c r="BS810" s="1136"/>
      <c r="BT810" s="1136"/>
      <c r="BU810" s="1136"/>
      <c r="BV810" s="1136"/>
      <c r="BW810" s="1136"/>
      <c r="BX810" s="1136"/>
      <c r="BY810" s="1136"/>
      <c r="BZ810" s="1136"/>
      <c r="CA810" s="1136"/>
      <c r="CB810" s="1136"/>
      <c r="CC810" s="1136"/>
      <c r="CD810" s="1136"/>
      <c r="CE810" s="1136"/>
      <c r="CF810" s="1136"/>
      <c r="CG810" s="1136"/>
      <c r="CH810" s="1136"/>
      <c r="CI810" s="1136"/>
      <c r="CJ810" s="1136"/>
      <c r="CK810" s="1136"/>
      <c r="CL810" s="1136"/>
      <c r="CM810" s="1136"/>
      <c r="CN810" s="1136"/>
      <c r="CO810" s="1136"/>
      <c r="CP810" s="1136"/>
      <c r="CQ810" s="1136"/>
      <c r="CR810" s="1136"/>
      <c r="CS810" s="1136"/>
      <c r="CT810" s="1136"/>
      <c r="CU810" s="1136"/>
      <c r="CV810" s="1136"/>
      <c r="CW810" s="1136"/>
      <c r="CX810" s="1136"/>
      <c r="CY810" s="1136"/>
      <c r="CZ810" s="1136"/>
      <c r="DA810" s="1136"/>
      <c r="DB810" s="1136"/>
      <c r="DC810" s="1136"/>
      <c r="DD810" s="1136"/>
      <c r="DE810" s="1136"/>
      <c r="DF810" s="1136"/>
      <c r="DG810" s="1136"/>
      <c r="DH810" s="1136"/>
      <c r="DI810" s="1136"/>
    </row>
    <row r="811" spans="1:113" ht="31.5" x14ac:dyDescent="0.25">
      <c r="A811" s="1422" t="s">
        <v>4147</v>
      </c>
      <c r="B811" s="1423">
        <f>B317+0.1</f>
        <v>2.3000000000000003</v>
      </c>
      <c r="C811" s="1567"/>
      <c r="D811" s="1136"/>
      <c r="E811" s="1136"/>
      <c r="F811" s="1136"/>
      <c r="G811" s="1136"/>
      <c r="H811" s="1136"/>
      <c r="I811" s="1136"/>
      <c r="J811" s="1136"/>
      <c r="K811" s="1136"/>
      <c r="L811" s="1136"/>
      <c r="M811" s="1136"/>
      <c r="N811" s="1136"/>
      <c r="O811" s="1136"/>
      <c r="P811" s="1136"/>
      <c r="Q811" s="1136"/>
      <c r="R811" s="1136"/>
      <c r="S811" s="1136"/>
      <c r="T811" s="1136"/>
      <c r="U811" s="1136"/>
      <c r="V811" s="1136"/>
      <c r="W811" s="1136"/>
      <c r="X811" s="1136"/>
      <c r="Y811" s="1136"/>
      <c r="Z811" s="1136"/>
      <c r="AA811" s="1136"/>
      <c r="AB811" s="1136"/>
      <c r="AC811" s="1136"/>
      <c r="AD811" s="1136"/>
      <c r="AE811" s="1136"/>
      <c r="AF811" s="1136"/>
      <c r="AG811" s="1136"/>
      <c r="AH811" s="1136"/>
      <c r="AI811" s="1136"/>
      <c r="AJ811" s="1136"/>
      <c r="AK811" s="1136"/>
      <c r="AL811" s="1136"/>
      <c r="AM811" s="1136"/>
      <c r="AN811" s="1136"/>
      <c r="AO811" s="1136"/>
      <c r="AP811" s="1136"/>
      <c r="AQ811" s="1136"/>
      <c r="AR811" s="1136"/>
      <c r="AS811" s="1136"/>
      <c r="AT811" s="1136"/>
      <c r="AU811" s="1136"/>
      <c r="AV811" s="1136"/>
      <c r="AW811" s="1136"/>
      <c r="AX811" s="1136"/>
      <c r="AY811" s="1136"/>
      <c r="AZ811" s="1136"/>
      <c r="BA811" s="1136"/>
      <c r="BB811" s="1136"/>
      <c r="BC811" s="1136"/>
      <c r="BD811" s="1136"/>
      <c r="BE811" s="1136"/>
      <c r="BF811" s="1136"/>
      <c r="BG811" s="1136"/>
      <c r="BH811" s="1136"/>
      <c r="BI811" s="1136"/>
      <c r="BJ811" s="1136"/>
      <c r="BK811" s="1136"/>
      <c r="BL811" s="1136"/>
      <c r="BM811" s="1136"/>
      <c r="BN811" s="1136"/>
      <c r="BO811" s="1136"/>
      <c r="BP811" s="1136"/>
      <c r="BQ811" s="1136"/>
      <c r="BR811" s="1136"/>
      <c r="BS811" s="1136"/>
      <c r="BT811" s="1136"/>
      <c r="BU811" s="1136"/>
      <c r="BV811" s="1136"/>
      <c r="BW811" s="1136"/>
      <c r="BX811" s="1136"/>
      <c r="BY811" s="1136"/>
      <c r="BZ811" s="1136"/>
      <c r="CA811" s="1136"/>
      <c r="CB811" s="1136"/>
      <c r="CC811" s="1136"/>
      <c r="CD811" s="1136"/>
      <c r="CE811" s="1136"/>
      <c r="CF811" s="1136"/>
      <c r="CG811" s="1136"/>
      <c r="CH811" s="1136"/>
      <c r="CI811" s="1136"/>
      <c r="CJ811" s="1136"/>
      <c r="CK811" s="1136"/>
      <c r="CL811" s="1136"/>
      <c r="CM811" s="1136"/>
      <c r="CN811" s="1136"/>
      <c r="CO811" s="1136"/>
      <c r="CP811" s="1136"/>
      <c r="CQ811" s="1136"/>
      <c r="CR811" s="1136"/>
      <c r="CS811" s="1136"/>
      <c r="CT811" s="1136"/>
      <c r="CU811" s="1136"/>
      <c r="CV811" s="1136"/>
      <c r="CW811" s="1136"/>
      <c r="CX811" s="1136"/>
      <c r="CY811" s="1136"/>
      <c r="CZ811" s="1136"/>
      <c r="DA811" s="1136"/>
      <c r="DB811" s="1136"/>
      <c r="DC811" s="1136"/>
      <c r="DD811" s="1136"/>
      <c r="DE811" s="1136"/>
      <c r="DF811" s="1136"/>
      <c r="DG811" s="1136"/>
      <c r="DH811" s="1136"/>
      <c r="DI811" s="1136"/>
    </row>
    <row r="812" spans="1:113" ht="31.5" x14ac:dyDescent="0.25">
      <c r="A812" s="1420" t="s">
        <v>4148</v>
      </c>
      <c r="B812" s="1424">
        <f>B318+0.1</f>
        <v>0.9</v>
      </c>
      <c r="C812" s="1606"/>
      <c r="D812" s="1605"/>
      <c r="E812" s="1605"/>
      <c r="F812" s="1605"/>
      <c r="G812" s="1605"/>
      <c r="H812" s="1605"/>
      <c r="I812" s="1136"/>
      <c r="J812" s="1136"/>
      <c r="K812" s="1136"/>
      <c r="L812" s="1136"/>
      <c r="M812" s="1136"/>
      <c r="N812" s="1136"/>
      <c r="O812" s="1136"/>
      <c r="P812" s="1136"/>
      <c r="Q812" s="1136"/>
      <c r="R812" s="1136"/>
      <c r="S812" s="1136"/>
      <c r="T812" s="1136"/>
      <c r="U812" s="1136"/>
      <c r="V812" s="1136"/>
      <c r="W812" s="1136"/>
      <c r="X812" s="1136"/>
      <c r="Y812" s="1136"/>
      <c r="Z812" s="1136"/>
      <c r="AA812" s="1136"/>
      <c r="AB812" s="1136"/>
      <c r="AC812" s="1136"/>
      <c r="AD812" s="1136"/>
      <c r="AE812" s="1136"/>
      <c r="AF812" s="1136"/>
      <c r="AG812" s="1136"/>
      <c r="AH812" s="1136"/>
      <c r="AI812" s="1136"/>
      <c r="AJ812" s="1136"/>
      <c r="AK812" s="1136"/>
      <c r="AL812" s="1136"/>
      <c r="AM812" s="1136"/>
      <c r="AN812" s="1136"/>
      <c r="AO812" s="1136"/>
      <c r="AP812" s="1136"/>
      <c r="AQ812" s="1136"/>
      <c r="AR812" s="1136"/>
      <c r="AS812" s="1136"/>
      <c r="AT812" s="1136"/>
      <c r="AU812" s="1136"/>
      <c r="AV812" s="1136"/>
      <c r="AW812" s="1136"/>
      <c r="AX812" s="1136"/>
      <c r="AY812" s="1136"/>
      <c r="AZ812" s="1136"/>
      <c r="BA812" s="1136"/>
      <c r="BB812" s="1136"/>
      <c r="BC812" s="1136"/>
      <c r="BD812" s="1136"/>
      <c r="BE812" s="1136"/>
      <c r="BF812" s="1136"/>
      <c r="BG812" s="1136"/>
      <c r="BH812" s="1136"/>
      <c r="BI812" s="1136"/>
      <c r="BJ812" s="1136"/>
      <c r="BK812" s="1136"/>
      <c r="BL812" s="1136"/>
      <c r="BM812" s="1136"/>
      <c r="BN812" s="1136"/>
      <c r="BO812" s="1136"/>
      <c r="BP812" s="1136"/>
      <c r="BQ812" s="1136"/>
      <c r="BR812" s="1136"/>
      <c r="BS812" s="1136"/>
      <c r="BT812" s="1136"/>
      <c r="BU812" s="1136"/>
      <c r="BV812" s="1136"/>
      <c r="BW812" s="1136"/>
      <c r="BX812" s="1136"/>
      <c r="BY812" s="1136"/>
      <c r="BZ812" s="1136"/>
      <c r="CA812" s="1136"/>
      <c r="CB812" s="1136"/>
      <c r="CC812" s="1136"/>
      <c r="CD812" s="1136"/>
      <c r="CE812" s="1136"/>
      <c r="CF812" s="1136"/>
      <c r="CG812" s="1136"/>
      <c r="CH812" s="1136"/>
      <c r="CI812" s="1136"/>
      <c r="CJ812" s="1136"/>
      <c r="CK812" s="1136"/>
      <c r="CL812" s="1136"/>
      <c r="CM812" s="1136"/>
      <c r="CN812" s="1136"/>
      <c r="CO812" s="1136"/>
      <c r="CP812" s="1136"/>
      <c r="CQ812" s="1136"/>
      <c r="CR812" s="1136"/>
      <c r="CS812" s="1136"/>
      <c r="CT812" s="1136"/>
      <c r="CU812" s="1136"/>
      <c r="CV812" s="1136"/>
      <c r="CW812" s="1136"/>
      <c r="CX812" s="1136"/>
      <c r="CY812" s="1136"/>
      <c r="CZ812" s="1136"/>
      <c r="DA812" s="1136"/>
      <c r="DB812" s="1136"/>
      <c r="DC812" s="1136"/>
      <c r="DD812" s="1136"/>
      <c r="DE812" s="1136"/>
      <c r="DF812" s="1136"/>
      <c r="DG812" s="1136"/>
      <c r="DH812" s="1136"/>
      <c r="DI812" s="1136"/>
    </row>
    <row r="813" spans="1:113" ht="15.75" x14ac:dyDescent="0.25">
      <c r="A813" s="1420"/>
      <c r="B813" s="1421"/>
      <c r="C813" s="1523"/>
      <c r="D813" s="1136"/>
      <c r="E813" s="1136"/>
      <c r="F813" s="1136"/>
      <c r="G813" s="1136"/>
      <c r="H813" s="1136"/>
      <c r="I813" s="1136"/>
      <c r="J813" s="1136"/>
      <c r="K813" s="1136"/>
      <c r="L813" s="1136"/>
      <c r="M813" s="1136"/>
      <c r="N813" s="1136"/>
      <c r="O813" s="1136"/>
      <c r="P813" s="1136"/>
      <c r="Q813" s="1136"/>
      <c r="R813" s="1136"/>
      <c r="S813" s="1136"/>
      <c r="T813" s="1136"/>
      <c r="U813" s="1136"/>
      <c r="V813" s="1136"/>
      <c r="W813" s="1136"/>
      <c r="X813" s="1136"/>
      <c r="Y813" s="1136"/>
      <c r="Z813" s="1136"/>
      <c r="AA813" s="1136"/>
      <c r="AB813" s="1136"/>
      <c r="AC813" s="1136"/>
      <c r="AD813" s="1136"/>
      <c r="AE813" s="1136"/>
      <c r="AF813" s="1136"/>
      <c r="AG813" s="1136"/>
      <c r="AH813" s="1136"/>
      <c r="AI813" s="1136"/>
      <c r="AJ813" s="1136"/>
      <c r="AK813" s="1136"/>
      <c r="AL813" s="1136"/>
      <c r="AM813" s="1136"/>
      <c r="AN813" s="1136"/>
      <c r="AO813" s="1136"/>
      <c r="AP813" s="1136"/>
      <c r="AQ813" s="1136"/>
      <c r="AR813" s="1136"/>
      <c r="AS813" s="1136"/>
      <c r="AT813" s="1136"/>
      <c r="AU813" s="1136"/>
      <c r="AV813" s="1136"/>
      <c r="AW813" s="1136"/>
      <c r="AX813" s="1136"/>
      <c r="AY813" s="1136"/>
      <c r="AZ813" s="1136"/>
      <c r="BA813" s="1136"/>
      <c r="BB813" s="1136"/>
      <c r="BC813" s="1136"/>
      <c r="BD813" s="1136"/>
      <c r="BE813" s="1136"/>
      <c r="BF813" s="1136"/>
      <c r="BG813" s="1136"/>
      <c r="BH813" s="1136"/>
      <c r="BI813" s="1136"/>
      <c r="BJ813" s="1136"/>
      <c r="BK813" s="1136"/>
      <c r="BL813" s="1136"/>
      <c r="BM813" s="1136"/>
      <c r="BN813" s="1136"/>
      <c r="BO813" s="1136"/>
      <c r="BP813" s="1136"/>
      <c r="BQ813" s="1136"/>
      <c r="BR813" s="1136"/>
      <c r="BS813" s="1136"/>
      <c r="BT813" s="1136"/>
      <c r="BU813" s="1136"/>
      <c r="BV813" s="1136"/>
      <c r="BW813" s="1136"/>
      <c r="BX813" s="1136"/>
      <c r="BY813" s="1136"/>
      <c r="BZ813" s="1136"/>
      <c r="CA813" s="1136"/>
      <c r="CB813" s="1136"/>
      <c r="CC813" s="1136"/>
      <c r="CD813" s="1136"/>
      <c r="CE813" s="1136"/>
      <c r="CF813" s="1136"/>
      <c r="CG813" s="1136"/>
      <c r="CH813" s="1136"/>
      <c r="CI813" s="1136"/>
      <c r="CJ813" s="1136"/>
      <c r="CK813" s="1136"/>
      <c r="CL813" s="1136"/>
      <c r="CM813" s="1136"/>
      <c r="CN813" s="1136"/>
      <c r="CO813" s="1136"/>
      <c r="CP813" s="1136"/>
      <c r="CQ813" s="1136"/>
      <c r="CR813" s="1136"/>
      <c r="CS813" s="1136"/>
      <c r="CT813" s="1136"/>
      <c r="CU813" s="1136"/>
      <c r="CV813" s="1136"/>
      <c r="CW813" s="1136"/>
      <c r="CX813" s="1136"/>
      <c r="CY813" s="1136"/>
      <c r="CZ813" s="1136"/>
      <c r="DA813" s="1136"/>
      <c r="DB813" s="1136"/>
      <c r="DC813" s="1136"/>
      <c r="DD813" s="1136"/>
      <c r="DE813" s="1136"/>
      <c r="DF813" s="1136"/>
      <c r="DG813" s="1136"/>
      <c r="DH813" s="1136"/>
      <c r="DI813" s="1136"/>
    </row>
    <row r="814" spans="1:113" ht="31.5" x14ac:dyDescent="0.25">
      <c r="A814" s="1607" t="s">
        <v>4149</v>
      </c>
      <c r="B814" s="1608"/>
      <c r="C814" s="1416"/>
      <c r="D814" s="1523"/>
      <c r="E814" s="1531"/>
      <c r="F814" s="1531"/>
      <c r="G814" s="1531"/>
      <c r="H814" s="1531"/>
      <c r="I814" s="1531"/>
      <c r="J814" s="1531"/>
      <c r="K814" s="1531"/>
      <c r="L814" s="1531"/>
      <c r="M814" s="1531"/>
      <c r="N814" s="1531"/>
      <c r="O814" s="1531"/>
      <c r="P814" s="1531"/>
      <c r="Q814" s="1531"/>
      <c r="R814" s="1531"/>
      <c r="S814" s="1531"/>
      <c r="T814" s="1531"/>
      <c r="U814" s="1531"/>
      <c r="V814" s="1531"/>
      <c r="W814" s="1531"/>
      <c r="X814" s="1136"/>
      <c r="Y814" s="1136"/>
      <c r="Z814" s="1136"/>
      <c r="AA814" s="1136"/>
      <c r="AB814" s="1136"/>
      <c r="AC814" s="1136"/>
      <c r="AD814" s="1136"/>
      <c r="AE814" s="1136"/>
      <c r="AF814" s="1136"/>
      <c r="AG814" s="1136"/>
      <c r="AH814" s="1136"/>
      <c r="AI814" s="1136"/>
      <c r="AJ814" s="1136"/>
      <c r="AK814" s="1136"/>
      <c r="AL814" s="1136"/>
      <c r="AM814" s="1136"/>
      <c r="AN814" s="1136"/>
      <c r="AO814" s="1136"/>
      <c r="AP814" s="1136"/>
      <c r="AQ814" s="1136"/>
      <c r="AR814" s="1136"/>
      <c r="AS814" s="1136"/>
      <c r="AT814" s="1136"/>
      <c r="AU814" s="1136"/>
      <c r="AV814" s="1136"/>
      <c r="AW814" s="1136"/>
      <c r="AX814" s="1136"/>
      <c r="AY814" s="1136"/>
      <c r="AZ814" s="1136"/>
      <c r="BA814" s="1136"/>
      <c r="BB814" s="1136"/>
      <c r="BC814" s="1136"/>
      <c r="BD814" s="1136"/>
      <c r="BE814" s="1136"/>
      <c r="BF814" s="1136"/>
      <c r="BG814" s="1136"/>
      <c r="BH814" s="1136"/>
      <c r="BI814" s="1136"/>
      <c r="BJ814" s="1136"/>
      <c r="BK814" s="1136"/>
      <c r="BL814" s="1136"/>
      <c r="BM814" s="1136"/>
      <c r="BN814" s="1136"/>
      <c r="BO814" s="1136"/>
      <c r="BP814" s="1136"/>
      <c r="BQ814" s="1136"/>
      <c r="BR814" s="1136"/>
      <c r="BS814" s="1136"/>
      <c r="BT814" s="1136"/>
      <c r="BU814" s="1136"/>
      <c r="BV814" s="1136"/>
      <c r="BW814" s="1136"/>
      <c r="BX814" s="1136"/>
      <c r="BY814" s="1136"/>
      <c r="BZ814" s="1136"/>
      <c r="CA814" s="1136"/>
      <c r="CB814" s="1136"/>
      <c r="CC814" s="1136"/>
      <c r="CD814" s="1136"/>
      <c r="CE814" s="1136"/>
      <c r="CF814" s="1136"/>
      <c r="CG814" s="1136"/>
      <c r="CH814" s="1136"/>
      <c r="CI814" s="1136"/>
      <c r="CJ814" s="1136"/>
      <c r="CK814" s="1136"/>
      <c r="CL814" s="1136"/>
      <c r="CM814" s="1136"/>
      <c r="CN814" s="1136"/>
      <c r="CO814" s="1136"/>
      <c r="CP814" s="1136"/>
      <c r="CQ814" s="1136"/>
      <c r="CR814" s="1136"/>
      <c r="CS814" s="1136"/>
      <c r="CT814" s="1136"/>
      <c r="CU814" s="1136"/>
      <c r="CV814" s="1136"/>
      <c r="CW814" s="1136"/>
      <c r="CX814" s="1136"/>
      <c r="CY814" s="1136"/>
      <c r="CZ814" s="1136"/>
      <c r="DA814" s="1136"/>
      <c r="DB814" s="1136"/>
      <c r="DC814" s="1136"/>
      <c r="DD814" s="1136"/>
      <c r="DE814" s="1136"/>
      <c r="DF814" s="1136"/>
      <c r="DG814" s="1136"/>
      <c r="DH814" s="1136"/>
      <c r="DI814" s="1136"/>
    </row>
    <row r="815" spans="1:113" ht="15.75" x14ac:dyDescent="0.25">
      <c r="A815" s="1417" t="s">
        <v>211</v>
      </c>
      <c r="B815" s="1582">
        <f>B344</f>
        <v>4</v>
      </c>
      <c r="C815" s="1609"/>
      <c r="D815" s="1531"/>
      <c r="E815" s="1531"/>
      <c r="F815" s="1531"/>
      <c r="G815" s="1531"/>
      <c r="H815" s="1531"/>
      <c r="I815" s="1531"/>
      <c r="J815" s="1531"/>
      <c r="K815" s="1531"/>
      <c r="L815" s="1531"/>
      <c r="M815" s="1531"/>
      <c r="N815" s="1531"/>
      <c r="O815" s="1531"/>
      <c r="P815" s="1531"/>
      <c r="Q815" s="1531"/>
      <c r="R815" s="1531"/>
      <c r="S815" s="1531"/>
      <c r="T815" s="1531"/>
      <c r="U815" s="1531"/>
      <c r="V815" s="1531"/>
      <c r="W815" s="1531"/>
      <c r="X815" s="1136"/>
      <c r="Y815" s="1136"/>
      <c r="Z815" s="1136"/>
      <c r="AA815" s="1136"/>
      <c r="AB815" s="1136"/>
      <c r="AC815" s="1136"/>
      <c r="AD815" s="1136"/>
      <c r="AE815" s="1136"/>
      <c r="AF815" s="1136"/>
      <c r="AG815" s="1136"/>
      <c r="AH815" s="1136"/>
      <c r="AI815" s="1136"/>
      <c r="AJ815" s="1136"/>
      <c r="AK815" s="1136"/>
      <c r="AL815" s="1136"/>
      <c r="AM815" s="1136"/>
      <c r="AN815" s="1136"/>
      <c r="AO815" s="1136"/>
      <c r="AP815" s="1136"/>
      <c r="AQ815" s="1136"/>
      <c r="AR815" s="1136"/>
      <c r="AS815" s="1136"/>
      <c r="AT815" s="1136"/>
      <c r="AU815" s="1136"/>
      <c r="AV815" s="1136"/>
      <c r="AW815" s="1136"/>
      <c r="AX815" s="1136"/>
      <c r="AY815" s="1136"/>
      <c r="AZ815" s="1136"/>
      <c r="BA815" s="1136"/>
      <c r="BB815" s="1136"/>
      <c r="BC815" s="1136"/>
      <c r="BD815" s="1136"/>
      <c r="BE815" s="1136"/>
      <c r="BF815" s="1136"/>
      <c r="BG815" s="1136"/>
      <c r="BH815" s="1136"/>
      <c r="BI815" s="1136"/>
      <c r="BJ815" s="1136"/>
      <c r="BK815" s="1136"/>
      <c r="BL815" s="1136"/>
      <c r="BM815" s="1136"/>
      <c r="BN815" s="1136"/>
      <c r="BO815" s="1136"/>
      <c r="BP815" s="1136"/>
      <c r="BQ815" s="1136"/>
      <c r="BR815" s="1136"/>
      <c r="BS815" s="1136"/>
      <c r="BT815" s="1136"/>
      <c r="BU815" s="1136"/>
      <c r="BV815" s="1136"/>
      <c r="BW815" s="1136"/>
      <c r="BX815" s="1136"/>
      <c r="BY815" s="1136"/>
      <c r="BZ815" s="1136"/>
      <c r="CA815" s="1136"/>
      <c r="CB815" s="1136"/>
      <c r="CC815" s="1136"/>
      <c r="CD815" s="1136"/>
      <c r="CE815" s="1136"/>
      <c r="CF815" s="1136"/>
      <c r="CG815" s="1136"/>
      <c r="CH815" s="1136"/>
      <c r="CI815" s="1136"/>
      <c r="CJ815" s="1136"/>
      <c r="CK815" s="1136"/>
      <c r="CL815" s="1136"/>
      <c r="CM815" s="1136"/>
      <c r="CN815" s="1136"/>
      <c r="CO815" s="1136"/>
      <c r="CP815" s="1136"/>
      <c r="CQ815" s="1136"/>
      <c r="CR815" s="1136"/>
      <c r="CS815" s="1136"/>
      <c r="CT815" s="1136"/>
      <c r="CU815" s="1136"/>
      <c r="CV815" s="1136"/>
      <c r="CW815" s="1136"/>
      <c r="CX815" s="1136"/>
      <c r="CY815" s="1136"/>
      <c r="CZ815" s="1136"/>
      <c r="DA815" s="1136"/>
      <c r="DB815" s="1136"/>
      <c r="DC815" s="1136"/>
      <c r="DD815" s="1136"/>
      <c r="DE815" s="1136"/>
      <c r="DF815" s="1136"/>
      <c r="DG815" s="1136"/>
      <c r="DH815" s="1136"/>
      <c r="DI815" s="1136"/>
    </row>
    <row r="816" spans="1:113" ht="47.25" x14ac:dyDescent="0.25">
      <c r="A816" s="1427" t="s">
        <v>4151</v>
      </c>
      <c r="B816" s="1415"/>
      <c r="C816" s="1531"/>
      <c r="D816" s="1523"/>
      <c r="E816" s="1523"/>
      <c r="F816" s="1523"/>
      <c r="G816" s="1523"/>
      <c r="H816" s="1531"/>
      <c r="I816" s="1531"/>
      <c r="J816" s="1531"/>
      <c r="K816" s="1531"/>
      <c r="L816" s="1531"/>
      <c r="M816" s="1531"/>
      <c r="N816" s="1531"/>
      <c r="O816" s="1531"/>
      <c r="P816" s="1531"/>
      <c r="Q816" s="1531"/>
      <c r="R816" s="1531"/>
      <c r="S816" s="1531"/>
      <c r="T816" s="1531"/>
      <c r="U816" s="1531"/>
      <c r="V816" s="1531"/>
      <c r="W816" s="1531"/>
      <c r="X816" s="1136"/>
      <c r="Y816" s="1136"/>
      <c r="Z816" s="1136"/>
      <c r="AA816" s="1136"/>
      <c r="AB816" s="1136"/>
      <c r="AC816" s="1136"/>
      <c r="AD816" s="1136"/>
      <c r="AE816" s="1136"/>
      <c r="AF816" s="1136"/>
      <c r="AG816" s="1136"/>
      <c r="AH816" s="1136"/>
      <c r="AI816" s="1136"/>
      <c r="AJ816" s="1136"/>
      <c r="AK816" s="1136"/>
      <c r="AL816" s="1136"/>
      <c r="AM816" s="1136"/>
      <c r="AN816" s="1136"/>
      <c r="AO816" s="1136"/>
      <c r="AP816" s="1136"/>
      <c r="AQ816" s="1136"/>
      <c r="AR816" s="1136"/>
      <c r="AS816" s="1136"/>
      <c r="AT816" s="1136"/>
      <c r="AU816" s="1136"/>
      <c r="AV816" s="1136"/>
      <c r="AW816" s="1136"/>
      <c r="AX816" s="1136"/>
      <c r="AY816" s="1136"/>
      <c r="AZ816" s="1136"/>
      <c r="BA816" s="1136"/>
      <c r="BB816" s="1136"/>
      <c r="BC816" s="1136"/>
      <c r="BD816" s="1136"/>
      <c r="BE816" s="1136"/>
      <c r="BF816" s="1136"/>
      <c r="BG816" s="1136"/>
      <c r="BH816" s="1136"/>
      <c r="BI816" s="1136"/>
      <c r="BJ816" s="1136"/>
      <c r="BK816" s="1136"/>
      <c r="BL816" s="1136"/>
      <c r="BM816" s="1136"/>
      <c r="BN816" s="1136"/>
      <c r="BO816" s="1136"/>
      <c r="BP816" s="1136"/>
      <c r="BQ816" s="1136"/>
      <c r="BR816" s="1136"/>
      <c r="BS816" s="1136"/>
      <c r="BT816" s="1136"/>
      <c r="BU816" s="1136"/>
      <c r="BV816" s="1136"/>
      <c r="BW816" s="1136"/>
      <c r="BX816" s="1136"/>
      <c r="BY816" s="1136"/>
      <c r="BZ816" s="1136"/>
      <c r="CA816" s="1136"/>
      <c r="CB816" s="1136"/>
      <c r="CC816" s="1136"/>
      <c r="CD816" s="1136"/>
      <c r="CE816" s="1136"/>
      <c r="CF816" s="1136"/>
      <c r="CG816" s="1136"/>
      <c r="CH816" s="1136"/>
      <c r="CI816" s="1136"/>
      <c r="CJ816" s="1136"/>
      <c r="CK816" s="1136"/>
      <c r="CL816" s="1136"/>
      <c r="CM816" s="1136"/>
      <c r="CN816" s="1136"/>
      <c r="CO816" s="1136"/>
      <c r="CP816" s="1136"/>
      <c r="CQ816" s="1136"/>
      <c r="CR816" s="1136"/>
      <c r="CS816" s="1136"/>
      <c r="CT816" s="1136"/>
      <c r="CU816" s="1136"/>
      <c r="CV816" s="1136"/>
      <c r="CW816" s="1136"/>
      <c r="CX816" s="1136"/>
      <c r="CY816" s="1136"/>
      <c r="CZ816" s="1136"/>
      <c r="DA816" s="1136"/>
      <c r="DB816" s="1136"/>
      <c r="DC816" s="1136"/>
      <c r="DD816" s="1136"/>
      <c r="DE816" s="1136"/>
      <c r="DF816" s="1136"/>
      <c r="DG816" s="1136"/>
      <c r="DH816" s="1136"/>
      <c r="DI816" s="1136"/>
    </row>
    <row r="817" spans="1:113" ht="15.75" x14ac:dyDescent="0.25">
      <c r="A817" s="1422" t="s">
        <v>4152</v>
      </c>
      <c r="B817" s="1428" t="e">
        <f>(B291/(B815-B811))*B809</f>
        <v>#DIV/0!</v>
      </c>
      <c r="C817" s="1566"/>
      <c r="D817" s="1523"/>
      <c r="E817" s="1523"/>
      <c r="F817" s="1523"/>
      <c r="G817" s="1523"/>
      <c r="H817" s="1531"/>
      <c r="I817" s="1531"/>
      <c r="J817" s="1531"/>
      <c r="K817" s="1531"/>
      <c r="L817" s="1531"/>
      <c r="M817" s="1531"/>
      <c r="N817" s="1531"/>
      <c r="O817" s="1531"/>
      <c r="P817" s="1531"/>
      <c r="Q817" s="1531"/>
      <c r="R817" s="1531"/>
      <c r="S817" s="1531"/>
      <c r="T817" s="1531"/>
      <c r="U817" s="1531"/>
      <c r="V817" s="1531"/>
      <c r="W817" s="1531"/>
      <c r="X817" s="1136"/>
      <c r="Y817" s="1136"/>
      <c r="Z817" s="1136"/>
      <c r="AA817" s="1136"/>
      <c r="AB817" s="1136"/>
      <c r="AC817" s="1136"/>
      <c r="AD817" s="1136"/>
      <c r="AE817" s="1136"/>
      <c r="AF817" s="1136"/>
      <c r="AG817" s="1136"/>
      <c r="AH817" s="1136"/>
      <c r="AI817" s="1136"/>
      <c r="AJ817" s="1136"/>
      <c r="AK817" s="1136"/>
      <c r="AL817" s="1136"/>
      <c r="AM817" s="1136"/>
      <c r="AN817" s="1136"/>
      <c r="AO817" s="1136"/>
      <c r="AP817" s="1136"/>
      <c r="AQ817" s="1136"/>
      <c r="AR817" s="1136"/>
      <c r="AS817" s="1136"/>
      <c r="AT817" s="1136"/>
      <c r="AU817" s="1136"/>
      <c r="AV817" s="1136"/>
      <c r="AW817" s="1136"/>
      <c r="AX817" s="1136"/>
      <c r="AY817" s="1136"/>
      <c r="AZ817" s="1136"/>
      <c r="BA817" s="1136"/>
      <c r="BB817" s="1136"/>
      <c r="BC817" s="1136"/>
      <c r="BD817" s="1136"/>
      <c r="BE817" s="1136"/>
      <c r="BF817" s="1136"/>
      <c r="BG817" s="1136"/>
      <c r="BH817" s="1136"/>
      <c r="BI817" s="1136"/>
      <c r="BJ817" s="1136"/>
      <c r="BK817" s="1136"/>
      <c r="BL817" s="1136"/>
      <c r="BM817" s="1136"/>
      <c r="BN817" s="1136"/>
      <c r="BO817" s="1136"/>
      <c r="BP817" s="1136"/>
      <c r="BQ817" s="1136"/>
      <c r="BR817" s="1136"/>
      <c r="BS817" s="1136"/>
      <c r="BT817" s="1136"/>
      <c r="BU817" s="1136"/>
      <c r="BV817" s="1136"/>
      <c r="BW817" s="1136"/>
      <c r="BX817" s="1136"/>
      <c r="BY817" s="1136"/>
      <c r="BZ817" s="1136"/>
      <c r="CA817" s="1136"/>
      <c r="CB817" s="1136"/>
      <c r="CC817" s="1136"/>
      <c r="CD817" s="1136"/>
      <c r="CE817" s="1136"/>
      <c r="CF817" s="1136"/>
      <c r="CG817" s="1136"/>
      <c r="CH817" s="1136"/>
      <c r="CI817" s="1136"/>
      <c r="CJ817" s="1136"/>
      <c r="CK817" s="1136"/>
      <c r="CL817" s="1136"/>
      <c r="CM817" s="1136"/>
      <c r="CN817" s="1136"/>
      <c r="CO817" s="1136"/>
      <c r="CP817" s="1136"/>
      <c r="CQ817" s="1136"/>
      <c r="CR817" s="1136"/>
      <c r="CS817" s="1136"/>
      <c r="CT817" s="1136"/>
      <c r="CU817" s="1136"/>
      <c r="CV817" s="1136"/>
      <c r="CW817" s="1136"/>
      <c r="CX817" s="1136"/>
      <c r="CY817" s="1136"/>
      <c r="CZ817" s="1136"/>
      <c r="DA817" s="1136"/>
      <c r="DB817" s="1136"/>
      <c r="DC817" s="1136"/>
      <c r="DD817" s="1136"/>
      <c r="DE817" s="1136"/>
      <c r="DF817" s="1136"/>
      <c r="DG817" s="1136"/>
      <c r="DH817" s="1136"/>
      <c r="DI817" s="1136"/>
    </row>
    <row r="818" spans="1:113" ht="31.5" x14ac:dyDescent="0.25">
      <c r="A818" s="1422" t="s">
        <v>2048</v>
      </c>
      <c r="B818" s="1423" t="e">
        <f>INDEX($U$1475:$X$1484,B821,B823)</f>
        <v>#VALUE!</v>
      </c>
      <c r="C818" s="1567"/>
      <c r="D818" s="1567"/>
      <c r="E818" s="1567"/>
      <c r="F818" s="1567"/>
      <c r="G818" s="1567"/>
      <c r="H818" s="1531"/>
      <c r="I818" s="1531"/>
      <c r="J818" s="1531"/>
      <c r="K818" s="1531"/>
      <c r="L818" s="1531"/>
      <c r="M818" s="1531"/>
      <c r="N818" s="1531"/>
      <c r="O818" s="1531"/>
      <c r="P818" s="1531"/>
      <c r="Q818" s="1531"/>
      <c r="R818" s="1531"/>
      <c r="S818" s="1531"/>
      <c r="T818" s="1531"/>
      <c r="U818" s="1531"/>
      <c r="V818" s="1531"/>
      <c r="W818" s="1531"/>
      <c r="X818" s="1136"/>
      <c r="Y818" s="1136"/>
      <c r="Z818" s="1136"/>
      <c r="AA818" s="1136"/>
      <c r="AB818" s="1136"/>
      <c r="AC818" s="1136"/>
      <c r="AD818" s="1136"/>
      <c r="AE818" s="1136"/>
      <c r="AF818" s="1136"/>
      <c r="AG818" s="1136"/>
      <c r="AH818" s="1136"/>
      <c r="AI818" s="1136"/>
      <c r="AJ818" s="1136"/>
      <c r="AK818" s="1136"/>
      <c r="AL818" s="1136"/>
      <c r="AM818" s="1136"/>
      <c r="AN818" s="1136"/>
      <c r="AO818" s="1136"/>
      <c r="AP818" s="1136"/>
      <c r="AQ818" s="1136"/>
      <c r="AR818" s="1136"/>
      <c r="AS818" s="1136"/>
      <c r="AT818" s="1136"/>
      <c r="AU818" s="1136"/>
      <c r="AV818" s="1136"/>
      <c r="AW818" s="1136"/>
      <c r="AX818" s="1136"/>
      <c r="AY818" s="1136"/>
      <c r="AZ818" s="1136"/>
      <c r="BA818" s="1136"/>
      <c r="BB818" s="1136"/>
      <c r="BC818" s="1136"/>
      <c r="BD818" s="1136"/>
      <c r="BE818" s="1136"/>
      <c r="BF818" s="1136"/>
      <c r="BG818" s="1136"/>
      <c r="BH818" s="1136"/>
      <c r="BI818" s="1136"/>
      <c r="BJ818" s="1136"/>
      <c r="BK818" s="1136"/>
      <c r="BL818" s="1136"/>
      <c r="BM818" s="1136"/>
      <c r="BN818" s="1136"/>
      <c r="BO818" s="1136"/>
      <c r="BP818" s="1136"/>
      <c r="BQ818" s="1136"/>
      <c r="BR818" s="1136"/>
      <c r="BS818" s="1136"/>
      <c r="BT818" s="1136"/>
      <c r="BU818" s="1136"/>
      <c r="BV818" s="1136"/>
      <c r="BW818" s="1136"/>
      <c r="BX818" s="1136"/>
      <c r="BY818" s="1136"/>
      <c r="BZ818" s="1136"/>
      <c r="CA818" s="1136"/>
      <c r="CB818" s="1136"/>
      <c r="CC818" s="1136"/>
      <c r="CD818" s="1136"/>
      <c r="CE818" s="1136"/>
      <c r="CF818" s="1136"/>
      <c r="CG818" s="1136"/>
      <c r="CH818" s="1136"/>
      <c r="CI818" s="1136"/>
      <c r="CJ818" s="1136"/>
      <c r="CK818" s="1136"/>
      <c r="CL818" s="1136"/>
      <c r="CM818" s="1136"/>
      <c r="CN818" s="1136"/>
      <c r="CO818" s="1136"/>
      <c r="CP818" s="1136"/>
      <c r="CQ818" s="1136"/>
      <c r="CR818" s="1136"/>
      <c r="CS818" s="1136"/>
      <c r="CT818" s="1136"/>
      <c r="CU818" s="1136"/>
      <c r="CV818" s="1136"/>
      <c r="CW818" s="1136"/>
      <c r="CX818" s="1136"/>
      <c r="CY818" s="1136"/>
      <c r="CZ818" s="1136"/>
      <c r="DA818" s="1136"/>
      <c r="DB818" s="1136"/>
      <c r="DC818" s="1136"/>
      <c r="DD818" s="1136"/>
      <c r="DE818" s="1136"/>
      <c r="DF818" s="1136"/>
      <c r="DG818" s="1136"/>
      <c r="DH818" s="1136"/>
      <c r="DI818" s="1136"/>
    </row>
    <row r="819" spans="1:113" ht="15.75" x14ac:dyDescent="0.25">
      <c r="A819" s="1417" t="s">
        <v>2049</v>
      </c>
      <c r="B819" s="1428"/>
      <c r="C819" s="1566"/>
      <c r="D819" s="1606"/>
      <c r="E819" s="1606"/>
      <c r="F819" s="1606"/>
      <c r="G819" s="1606"/>
      <c r="H819" s="1531"/>
      <c r="I819" s="1531"/>
      <c r="J819" s="1531"/>
      <c r="K819" s="1531"/>
      <c r="L819" s="1531"/>
      <c r="M819" s="1531"/>
      <c r="N819" s="1531"/>
      <c r="O819" s="1531"/>
      <c r="P819" s="1531"/>
      <c r="Q819" s="1531"/>
      <c r="R819" s="1531"/>
      <c r="S819" s="1531"/>
      <c r="T819" s="1531"/>
      <c r="U819" s="1531"/>
      <c r="V819" s="1531"/>
      <c r="W819" s="1531"/>
      <c r="X819" s="1136"/>
      <c r="Y819" s="1136"/>
      <c r="Z819" s="1136"/>
      <c r="AA819" s="1136"/>
      <c r="AB819" s="1136"/>
      <c r="AC819" s="1136"/>
      <c r="AD819" s="1136"/>
      <c r="AE819" s="1136"/>
      <c r="AF819" s="1136"/>
      <c r="AG819" s="1136"/>
      <c r="AH819" s="1136"/>
      <c r="AI819" s="1136"/>
      <c r="AJ819" s="1136"/>
      <c r="AK819" s="1136"/>
      <c r="AL819" s="1136"/>
      <c r="AM819" s="1136"/>
      <c r="AN819" s="1136"/>
      <c r="AO819" s="1136"/>
      <c r="AP819" s="1136"/>
      <c r="AQ819" s="1136"/>
      <c r="AR819" s="1136"/>
      <c r="AS819" s="1136"/>
      <c r="AT819" s="1136"/>
      <c r="AU819" s="1136"/>
      <c r="AV819" s="1136"/>
      <c r="AW819" s="1136"/>
      <c r="AX819" s="1136"/>
      <c r="AY819" s="1136"/>
      <c r="AZ819" s="1136"/>
      <c r="BA819" s="1136"/>
      <c r="BB819" s="1136"/>
      <c r="BC819" s="1136"/>
      <c r="BD819" s="1136"/>
      <c r="BE819" s="1136"/>
      <c r="BF819" s="1136"/>
      <c r="BG819" s="1136"/>
      <c r="BH819" s="1136"/>
      <c r="BI819" s="1136"/>
      <c r="BJ819" s="1136"/>
      <c r="BK819" s="1136"/>
      <c r="BL819" s="1136"/>
      <c r="BM819" s="1136"/>
      <c r="BN819" s="1136"/>
      <c r="BO819" s="1136"/>
      <c r="BP819" s="1136"/>
      <c r="BQ819" s="1136"/>
      <c r="BR819" s="1136"/>
      <c r="BS819" s="1136"/>
      <c r="BT819" s="1136"/>
      <c r="BU819" s="1136"/>
      <c r="BV819" s="1136"/>
      <c r="BW819" s="1136"/>
      <c r="BX819" s="1136"/>
      <c r="BY819" s="1136"/>
      <c r="BZ819" s="1136"/>
      <c r="CA819" s="1136"/>
      <c r="CB819" s="1136"/>
      <c r="CC819" s="1136"/>
      <c r="CD819" s="1136"/>
      <c r="CE819" s="1136"/>
      <c r="CF819" s="1136"/>
      <c r="CG819" s="1136"/>
      <c r="CH819" s="1136"/>
      <c r="CI819" s="1136"/>
      <c r="CJ819" s="1136"/>
      <c r="CK819" s="1136"/>
      <c r="CL819" s="1136"/>
      <c r="CM819" s="1136"/>
      <c r="CN819" s="1136"/>
      <c r="CO819" s="1136"/>
      <c r="CP819" s="1136"/>
      <c r="CQ819" s="1136"/>
      <c r="CR819" s="1136"/>
      <c r="CS819" s="1136"/>
      <c r="CT819" s="1136"/>
      <c r="CU819" s="1136"/>
      <c r="CV819" s="1136"/>
      <c r="CW819" s="1136"/>
      <c r="CX819" s="1136"/>
      <c r="CY819" s="1136"/>
      <c r="CZ819" s="1136"/>
      <c r="DA819" s="1136"/>
      <c r="DB819" s="1136"/>
      <c r="DC819" s="1136"/>
      <c r="DD819" s="1136"/>
      <c r="DE819" s="1136"/>
      <c r="DF819" s="1136"/>
      <c r="DG819" s="1136"/>
      <c r="DH819" s="1136"/>
      <c r="DI819" s="1136"/>
    </row>
    <row r="820" spans="1:113" ht="15.75" x14ac:dyDescent="0.25">
      <c r="A820" s="1430" t="s">
        <v>1318</v>
      </c>
      <c r="B820" s="1423" t="e">
        <f>30.872*LN(B286)+31.551</f>
        <v>#VALUE!</v>
      </c>
      <c r="C820" s="1567"/>
      <c r="D820" s="1531"/>
      <c r="E820" s="1531"/>
      <c r="F820" s="1531"/>
      <c r="G820" s="1531"/>
      <c r="H820" s="1531"/>
      <c r="I820" s="1531"/>
      <c r="J820" s="1531"/>
      <c r="K820" s="1531"/>
      <c r="L820" s="1531"/>
      <c r="M820" s="1531"/>
      <c r="N820" s="1531"/>
      <c r="O820" s="1531"/>
      <c r="P820" s="1531"/>
      <c r="Q820" s="1531"/>
      <c r="R820" s="1531"/>
      <c r="S820" s="1531"/>
      <c r="T820" s="1531"/>
      <c r="U820" s="1531"/>
      <c r="V820" s="1531"/>
      <c r="W820" s="1531"/>
      <c r="X820" s="1136"/>
      <c r="Y820" s="1136"/>
      <c r="Z820" s="1136"/>
      <c r="AA820" s="1136"/>
      <c r="AB820" s="1136"/>
      <c r="AC820" s="1136"/>
      <c r="AD820" s="1136"/>
      <c r="AE820" s="1136"/>
      <c r="AF820" s="1136"/>
      <c r="AG820" s="1136"/>
      <c r="AH820" s="1136"/>
      <c r="AI820" s="1136"/>
      <c r="AJ820" s="1136"/>
      <c r="AK820" s="1136"/>
      <c r="AL820" s="1136"/>
      <c r="AM820" s="1136"/>
      <c r="AN820" s="1136"/>
      <c r="AO820" s="1136"/>
      <c r="AP820" s="1136"/>
      <c r="AQ820" s="1136"/>
      <c r="AR820" s="1136"/>
      <c r="AS820" s="1136"/>
      <c r="AT820" s="1136"/>
      <c r="AU820" s="1136"/>
      <c r="AV820" s="1136"/>
      <c r="AW820" s="1136"/>
      <c r="AX820" s="1136"/>
      <c r="AY820" s="1136"/>
      <c r="AZ820" s="1136"/>
      <c r="BA820" s="1136"/>
      <c r="BB820" s="1136"/>
      <c r="BC820" s="1136"/>
      <c r="BD820" s="1136"/>
      <c r="BE820" s="1136"/>
      <c r="BF820" s="1136"/>
      <c r="BG820" s="1136"/>
      <c r="BH820" s="1136"/>
      <c r="BI820" s="1136"/>
      <c r="BJ820" s="1136"/>
      <c r="BK820" s="1136"/>
      <c r="BL820" s="1136"/>
      <c r="BM820" s="1136"/>
      <c r="BN820" s="1136"/>
      <c r="BO820" s="1136"/>
      <c r="BP820" s="1136"/>
      <c r="BQ820" s="1136"/>
      <c r="BR820" s="1136"/>
      <c r="BS820" s="1136"/>
      <c r="BT820" s="1136"/>
      <c r="BU820" s="1136"/>
      <c r="BV820" s="1136"/>
      <c r="BW820" s="1136"/>
      <c r="BX820" s="1136"/>
      <c r="BY820" s="1136"/>
      <c r="BZ820" s="1136"/>
      <c r="CA820" s="1136"/>
      <c r="CB820" s="1136"/>
      <c r="CC820" s="1136"/>
      <c r="CD820" s="1136"/>
      <c r="CE820" s="1136"/>
      <c r="CF820" s="1136"/>
      <c r="CG820" s="1136"/>
      <c r="CH820" s="1136"/>
      <c r="CI820" s="1136"/>
      <c r="CJ820" s="1136"/>
      <c r="CK820" s="1136"/>
      <c r="CL820" s="1136"/>
      <c r="CM820" s="1136"/>
      <c r="CN820" s="1136"/>
      <c r="CO820" s="1136"/>
      <c r="CP820" s="1136"/>
      <c r="CQ820" s="1136"/>
      <c r="CR820" s="1136"/>
      <c r="CS820" s="1136"/>
      <c r="CT820" s="1136"/>
      <c r="CU820" s="1136"/>
      <c r="CV820" s="1136"/>
      <c r="CW820" s="1136"/>
      <c r="CX820" s="1136"/>
      <c r="CY820" s="1136"/>
      <c r="CZ820" s="1136"/>
      <c r="DA820" s="1136"/>
      <c r="DB820" s="1136"/>
      <c r="DC820" s="1136"/>
      <c r="DD820" s="1136"/>
      <c r="DE820" s="1136"/>
      <c r="DF820" s="1136"/>
      <c r="DG820" s="1136"/>
      <c r="DH820" s="1136"/>
      <c r="DI820" s="1136"/>
    </row>
    <row r="821" spans="1:113" ht="15.75" x14ac:dyDescent="0.25">
      <c r="A821" s="1422" t="s">
        <v>1319</v>
      </c>
      <c r="B821" s="1431" t="e">
        <f>IF(B820&lt;24.3,1,IF(B820&lt;28.1,2,IF(B820&lt;32.1,3,IF(B820&lt;36.3,4,IF(B820&lt;41.4,5,IF(B820&lt;46.1,6,IF(B820&lt;51.3,7,B822)))))))</f>
        <v>#VALUE!</v>
      </c>
      <c r="C821" s="1610"/>
      <c r="D821" s="1350"/>
      <c r="E821" s="1350"/>
      <c r="F821" s="1350"/>
      <c r="G821" s="1350"/>
      <c r="H821" s="1531"/>
      <c r="I821" s="1531"/>
      <c r="J821" s="1531"/>
      <c r="K821" s="1531"/>
      <c r="L821" s="1531"/>
      <c r="M821" s="1531"/>
      <c r="N821" s="1531"/>
      <c r="O821" s="1531"/>
      <c r="P821" s="1531"/>
      <c r="Q821" s="1531"/>
      <c r="R821" s="1531"/>
      <c r="S821" s="1531"/>
      <c r="T821" s="1531"/>
      <c r="U821" s="1531"/>
      <c r="V821" s="1531"/>
      <c r="W821" s="1531"/>
      <c r="X821" s="1136"/>
      <c r="Y821" s="1136"/>
      <c r="Z821" s="1136"/>
      <c r="AA821" s="1136"/>
      <c r="AB821" s="1136"/>
      <c r="AC821" s="1136"/>
      <c r="AD821" s="1136"/>
      <c r="AE821" s="1136"/>
      <c r="AF821" s="1136"/>
      <c r="AG821" s="1136"/>
      <c r="AH821" s="1136"/>
      <c r="AI821" s="1136"/>
      <c r="AJ821" s="1136"/>
      <c r="AK821" s="1136"/>
      <c r="AL821" s="1136"/>
      <c r="AM821" s="1136"/>
      <c r="AN821" s="1136"/>
      <c r="AO821" s="1136"/>
      <c r="AP821" s="1136"/>
      <c r="AQ821" s="1136"/>
      <c r="AR821" s="1136"/>
      <c r="AS821" s="1136"/>
      <c r="AT821" s="1136"/>
      <c r="AU821" s="1136"/>
      <c r="AV821" s="1136"/>
      <c r="AW821" s="1136"/>
      <c r="AX821" s="1136"/>
      <c r="AY821" s="1136"/>
      <c r="AZ821" s="1136"/>
      <c r="BA821" s="1136"/>
      <c r="BB821" s="1136"/>
      <c r="BC821" s="1136"/>
      <c r="BD821" s="1136"/>
      <c r="BE821" s="1136"/>
      <c r="BF821" s="1136"/>
      <c r="BG821" s="1136"/>
      <c r="BH821" s="1136"/>
      <c r="BI821" s="1136"/>
      <c r="BJ821" s="1136"/>
      <c r="BK821" s="1136"/>
      <c r="BL821" s="1136"/>
      <c r="BM821" s="1136"/>
      <c r="BN821" s="1136"/>
      <c r="BO821" s="1136"/>
      <c r="BP821" s="1136"/>
      <c r="BQ821" s="1136"/>
      <c r="BR821" s="1136"/>
      <c r="BS821" s="1136"/>
      <c r="BT821" s="1136"/>
      <c r="BU821" s="1136"/>
      <c r="BV821" s="1136"/>
      <c r="BW821" s="1136"/>
      <c r="BX821" s="1136"/>
      <c r="BY821" s="1136"/>
      <c r="BZ821" s="1136"/>
      <c r="CA821" s="1136"/>
      <c r="CB821" s="1136"/>
      <c r="CC821" s="1136"/>
      <c r="CD821" s="1136"/>
      <c r="CE821" s="1136"/>
      <c r="CF821" s="1136"/>
      <c r="CG821" s="1136"/>
      <c r="CH821" s="1136"/>
      <c r="CI821" s="1136"/>
      <c r="CJ821" s="1136"/>
      <c r="CK821" s="1136"/>
      <c r="CL821" s="1136"/>
      <c r="CM821" s="1136"/>
      <c r="CN821" s="1136"/>
      <c r="CO821" s="1136"/>
      <c r="CP821" s="1136"/>
      <c r="CQ821" s="1136"/>
      <c r="CR821" s="1136"/>
      <c r="CS821" s="1136"/>
      <c r="CT821" s="1136"/>
      <c r="CU821" s="1136"/>
      <c r="CV821" s="1136"/>
      <c r="CW821" s="1136"/>
      <c r="CX821" s="1136"/>
      <c r="CY821" s="1136"/>
      <c r="CZ821" s="1136"/>
      <c r="DA821" s="1136"/>
      <c r="DB821" s="1136"/>
      <c r="DC821" s="1136"/>
      <c r="DD821" s="1136"/>
      <c r="DE821" s="1136"/>
      <c r="DF821" s="1136"/>
      <c r="DG821" s="1136"/>
      <c r="DH821" s="1136"/>
      <c r="DI821" s="1136"/>
    </row>
    <row r="822" spans="1:113" ht="15.75" x14ac:dyDescent="0.25">
      <c r="A822" s="1417" t="s">
        <v>1320</v>
      </c>
      <c r="B822" s="1431" t="e">
        <f>IF(B820&lt;57.1,8,IF(B820&lt;63.1,9,IF(B820&lt;69.7,10,11)))</f>
        <v>#VALUE!</v>
      </c>
      <c r="C822" s="1610"/>
      <c r="D822" s="1609"/>
      <c r="E822" s="1609"/>
      <c r="F822" s="1609"/>
      <c r="G822" s="1609"/>
      <c r="H822" s="1531"/>
      <c r="I822" s="1531"/>
      <c r="J822" s="1531"/>
      <c r="K822" s="1531"/>
      <c r="L822" s="1531"/>
      <c r="M822" s="1531"/>
      <c r="N822" s="1531"/>
      <c r="O822" s="1531"/>
      <c r="P822" s="1531"/>
      <c r="Q822" s="1531"/>
      <c r="R822" s="1531"/>
      <c r="S822" s="1531"/>
      <c r="T822" s="1531"/>
      <c r="U822" s="1531"/>
      <c r="V822" s="1531"/>
      <c r="W822" s="1531"/>
      <c r="X822" s="1136"/>
      <c r="Y822" s="1136"/>
      <c r="Z822" s="1136"/>
      <c r="AA822" s="1136"/>
      <c r="AB822" s="1136"/>
      <c r="AC822" s="1136"/>
      <c r="AD822" s="1136"/>
      <c r="AE822" s="1136"/>
      <c r="AF822" s="1136"/>
      <c r="AG822" s="1136"/>
      <c r="AH822" s="1136"/>
      <c r="AI822" s="1136"/>
      <c r="AJ822" s="1136"/>
      <c r="AK822" s="1136"/>
      <c r="AL822" s="1136"/>
      <c r="AM822" s="1136"/>
      <c r="AN822" s="1136"/>
      <c r="AO822" s="1136"/>
      <c r="AP822" s="1136"/>
      <c r="AQ822" s="1136"/>
      <c r="AR822" s="1136"/>
      <c r="AS822" s="1136"/>
      <c r="AT822" s="1136"/>
      <c r="AU822" s="1136"/>
      <c r="AV822" s="1136"/>
      <c r="AW822" s="1136"/>
      <c r="AX822" s="1136"/>
      <c r="AY822" s="1136"/>
      <c r="AZ822" s="1136"/>
      <c r="BA822" s="1136"/>
      <c r="BB822" s="1136"/>
      <c r="BC822" s="1136"/>
      <c r="BD822" s="1136"/>
      <c r="BE822" s="1136"/>
      <c r="BF822" s="1136"/>
      <c r="BG822" s="1136"/>
      <c r="BH822" s="1136"/>
      <c r="BI822" s="1136"/>
      <c r="BJ822" s="1136"/>
      <c r="BK822" s="1136"/>
      <c r="BL822" s="1136"/>
      <c r="BM822" s="1136"/>
      <c r="BN822" s="1136"/>
      <c r="BO822" s="1136"/>
      <c r="BP822" s="1136"/>
      <c r="BQ822" s="1136"/>
      <c r="BR822" s="1136"/>
      <c r="BS822" s="1136"/>
      <c r="BT822" s="1136"/>
      <c r="BU822" s="1136"/>
      <c r="BV822" s="1136"/>
      <c r="BW822" s="1136"/>
      <c r="BX822" s="1136"/>
      <c r="BY822" s="1136"/>
      <c r="BZ822" s="1136"/>
      <c r="CA822" s="1136"/>
      <c r="CB822" s="1136"/>
      <c r="CC822" s="1136"/>
      <c r="CD822" s="1136"/>
      <c r="CE822" s="1136"/>
      <c r="CF822" s="1136"/>
      <c r="CG822" s="1136"/>
      <c r="CH822" s="1136"/>
      <c r="CI822" s="1136"/>
      <c r="CJ822" s="1136"/>
      <c r="CK822" s="1136"/>
      <c r="CL822" s="1136"/>
      <c r="CM822" s="1136"/>
      <c r="CN822" s="1136"/>
      <c r="CO822" s="1136"/>
      <c r="CP822" s="1136"/>
      <c r="CQ822" s="1136"/>
      <c r="CR822" s="1136"/>
      <c r="CS822" s="1136"/>
      <c r="CT822" s="1136"/>
      <c r="CU822" s="1136"/>
      <c r="CV822" s="1136"/>
      <c r="CW822" s="1136"/>
      <c r="CX822" s="1136"/>
      <c r="CY822" s="1136"/>
      <c r="CZ822" s="1136"/>
      <c r="DA822" s="1136"/>
      <c r="DB822" s="1136"/>
      <c r="DC822" s="1136"/>
      <c r="DD822" s="1136"/>
      <c r="DE822" s="1136"/>
      <c r="DF822" s="1136"/>
      <c r="DG822" s="1136"/>
      <c r="DH822" s="1136"/>
      <c r="DI822" s="1136"/>
    </row>
    <row r="823" spans="1:113" ht="15.75" x14ac:dyDescent="0.25">
      <c r="A823" s="1422" t="s">
        <v>1321</v>
      </c>
      <c r="B823" s="1611">
        <v>4</v>
      </c>
      <c r="C823" s="1612"/>
      <c r="D823" s="1531"/>
      <c r="E823" s="1531"/>
      <c r="F823" s="1531"/>
      <c r="G823" s="1531"/>
      <c r="H823" s="1531"/>
      <c r="I823" s="1531"/>
      <c r="J823" s="1531"/>
      <c r="K823" s="1531"/>
      <c r="L823" s="1531"/>
      <c r="M823" s="1531"/>
      <c r="N823" s="1531"/>
      <c r="O823" s="1531"/>
      <c r="P823" s="1531"/>
      <c r="Q823" s="1531"/>
      <c r="R823" s="1531"/>
      <c r="S823" s="1531"/>
      <c r="T823" s="1531"/>
      <c r="U823" s="1531"/>
      <c r="V823" s="1531"/>
      <c r="W823" s="1531"/>
      <c r="X823" s="1136"/>
      <c r="Y823" s="1136"/>
      <c r="Z823" s="1136"/>
      <c r="AA823" s="1136"/>
      <c r="AB823" s="1136"/>
      <c r="AC823" s="1136"/>
      <c r="AD823" s="1136"/>
      <c r="AE823" s="1136"/>
      <c r="AF823" s="1136"/>
      <c r="AG823" s="1136"/>
      <c r="AH823" s="1136"/>
      <c r="AI823" s="1136"/>
      <c r="AJ823" s="1136"/>
      <c r="AK823" s="1136"/>
      <c r="AL823" s="1136"/>
      <c r="AM823" s="1136"/>
      <c r="AN823" s="1136"/>
      <c r="AO823" s="1136"/>
      <c r="AP823" s="1136"/>
      <c r="AQ823" s="1136"/>
      <c r="AR823" s="1136"/>
      <c r="AS823" s="1136"/>
      <c r="AT823" s="1136"/>
      <c r="AU823" s="1136"/>
      <c r="AV823" s="1136"/>
      <c r="AW823" s="1136"/>
      <c r="AX823" s="1136"/>
      <c r="AY823" s="1136"/>
      <c r="AZ823" s="1136"/>
      <c r="BA823" s="1136"/>
      <c r="BB823" s="1136"/>
      <c r="BC823" s="1136"/>
      <c r="BD823" s="1136"/>
      <c r="BE823" s="1136"/>
      <c r="BF823" s="1136"/>
      <c r="BG823" s="1136"/>
      <c r="BH823" s="1136"/>
      <c r="BI823" s="1136"/>
      <c r="BJ823" s="1136"/>
      <c r="BK823" s="1136"/>
      <c r="BL823" s="1136"/>
      <c r="BM823" s="1136"/>
      <c r="BN823" s="1136"/>
      <c r="BO823" s="1136"/>
      <c r="BP823" s="1136"/>
      <c r="BQ823" s="1136"/>
      <c r="BR823" s="1136"/>
      <c r="BS823" s="1136"/>
      <c r="BT823" s="1136"/>
      <c r="BU823" s="1136"/>
      <c r="BV823" s="1136"/>
      <c r="BW823" s="1136"/>
      <c r="BX823" s="1136"/>
      <c r="BY823" s="1136"/>
      <c r="BZ823" s="1136"/>
      <c r="CA823" s="1136"/>
      <c r="CB823" s="1136"/>
      <c r="CC823" s="1136"/>
      <c r="CD823" s="1136"/>
      <c r="CE823" s="1136"/>
      <c r="CF823" s="1136"/>
      <c r="CG823" s="1136"/>
      <c r="CH823" s="1136"/>
      <c r="CI823" s="1136"/>
      <c r="CJ823" s="1136"/>
      <c r="CK823" s="1136"/>
      <c r="CL823" s="1136"/>
      <c r="CM823" s="1136"/>
      <c r="CN823" s="1136"/>
      <c r="CO823" s="1136"/>
      <c r="CP823" s="1136"/>
      <c r="CQ823" s="1136"/>
      <c r="CR823" s="1136"/>
      <c r="CS823" s="1136"/>
      <c r="CT823" s="1136"/>
      <c r="CU823" s="1136"/>
      <c r="CV823" s="1136"/>
      <c r="CW823" s="1136"/>
      <c r="CX823" s="1136"/>
      <c r="CY823" s="1136"/>
      <c r="CZ823" s="1136"/>
      <c r="DA823" s="1136"/>
      <c r="DB823" s="1136"/>
      <c r="DC823" s="1136"/>
      <c r="DD823" s="1136"/>
      <c r="DE823" s="1136"/>
      <c r="DF823" s="1136"/>
      <c r="DG823" s="1136"/>
      <c r="DH823" s="1136"/>
      <c r="DI823" s="1136"/>
    </row>
    <row r="824" spans="1:113" ht="15.75" x14ac:dyDescent="0.25">
      <c r="A824" s="1422" t="s">
        <v>1322</v>
      </c>
      <c r="B824" s="1428"/>
      <c r="C824" s="1566"/>
      <c r="D824" s="1566"/>
      <c r="E824" s="1566"/>
      <c r="F824" s="1566"/>
      <c r="G824" s="1566"/>
      <c r="H824" s="1531"/>
      <c r="I824" s="1531"/>
      <c r="J824" s="1531"/>
      <c r="K824" s="1531"/>
      <c r="L824" s="1531"/>
      <c r="M824" s="1531"/>
      <c r="N824" s="1531"/>
      <c r="O824" s="1531"/>
      <c r="P824" s="1531"/>
      <c r="Q824" s="1531"/>
      <c r="R824" s="1531"/>
      <c r="S824" s="1531"/>
      <c r="T824" s="1531"/>
      <c r="U824" s="1531"/>
      <c r="V824" s="1531"/>
      <c r="W824" s="1531"/>
      <c r="X824" s="1136"/>
      <c r="Y824" s="1136"/>
      <c r="Z824" s="1136"/>
      <c r="AA824" s="1136"/>
      <c r="AB824" s="1136"/>
      <c r="AC824" s="1136"/>
      <c r="AD824" s="1136"/>
      <c r="AE824" s="1136"/>
      <c r="AF824" s="1136"/>
      <c r="AG824" s="1136"/>
      <c r="AH824" s="1136"/>
      <c r="AI824" s="1136"/>
      <c r="AJ824" s="1136"/>
      <c r="AK824" s="1136"/>
      <c r="AL824" s="1136"/>
      <c r="AM824" s="1136"/>
      <c r="AN824" s="1136"/>
      <c r="AO824" s="1136"/>
      <c r="AP824" s="1136"/>
      <c r="AQ824" s="1136"/>
      <c r="AR824" s="1136"/>
      <c r="AS824" s="1136"/>
      <c r="AT824" s="1136"/>
      <c r="AU824" s="1136"/>
      <c r="AV824" s="1136"/>
      <c r="AW824" s="1136"/>
      <c r="AX824" s="1136"/>
      <c r="AY824" s="1136"/>
      <c r="AZ824" s="1136"/>
      <c r="BA824" s="1136"/>
      <c r="BB824" s="1136"/>
      <c r="BC824" s="1136"/>
      <c r="BD824" s="1136"/>
      <c r="BE824" s="1136"/>
      <c r="BF824" s="1136"/>
      <c r="BG824" s="1136"/>
      <c r="BH824" s="1136"/>
      <c r="BI824" s="1136"/>
      <c r="BJ824" s="1136"/>
      <c r="BK824" s="1136"/>
      <c r="BL824" s="1136"/>
      <c r="BM824" s="1136"/>
      <c r="BN824" s="1136"/>
      <c r="BO824" s="1136"/>
      <c r="BP824" s="1136"/>
      <c r="BQ824" s="1136"/>
      <c r="BR824" s="1136"/>
      <c r="BS824" s="1136"/>
      <c r="BT824" s="1136"/>
      <c r="BU824" s="1136"/>
      <c r="BV824" s="1136"/>
      <c r="BW824" s="1136"/>
      <c r="BX824" s="1136"/>
      <c r="BY824" s="1136"/>
      <c r="BZ824" s="1136"/>
      <c r="CA824" s="1136"/>
      <c r="CB824" s="1136"/>
      <c r="CC824" s="1136"/>
      <c r="CD824" s="1136"/>
      <c r="CE824" s="1136"/>
      <c r="CF824" s="1136"/>
      <c r="CG824" s="1136"/>
      <c r="CH824" s="1136"/>
      <c r="CI824" s="1136"/>
      <c r="CJ824" s="1136"/>
      <c r="CK824" s="1136"/>
      <c r="CL824" s="1136"/>
      <c r="CM824" s="1136"/>
      <c r="CN824" s="1136"/>
      <c r="CO824" s="1136"/>
      <c r="CP824" s="1136"/>
      <c r="CQ824" s="1136"/>
      <c r="CR824" s="1136"/>
      <c r="CS824" s="1136"/>
      <c r="CT824" s="1136"/>
      <c r="CU824" s="1136"/>
      <c r="CV824" s="1136"/>
      <c r="CW824" s="1136"/>
      <c r="CX824" s="1136"/>
      <c r="CY824" s="1136"/>
      <c r="CZ824" s="1136"/>
      <c r="DA824" s="1136"/>
      <c r="DB824" s="1136"/>
      <c r="DC824" s="1136"/>
      <c r="DD824" s="1136"/>
      <c r="DE824" s="1136"/>
      <c r="DF824" s="1136"/>
      <c r="DG824" s="1136"/>
      <c r="DH824" s="1136"/>
      <c r="DI824" s="1136"/>
    </row>
    <row r="825" spans="1:113" ht="15.75" x14ac:dyDescent="0.25">
      <c r="A825" s="1422" t="s">
        <v>1323</v>
      </c>
      <c r="B825" s="1433">
        <f>IF(B815&lt;1.26,1,IF(B815&lt;1.27,0.9,0.85))</f>
        <v>0.85</v>
      </c>
      <c r="C825" s="1569"/>
      <c r="D825" s="1567"/>
      <c r="E825" s="1567"/>
      <c r="F825" s="1567"/>
      <c r="G825" s="1567"/>
      <c r="H825" s="1531"/>
      <c r="I825" s="1531"/>
      <c r="J825" s="1531"/>
      <c r="K825" s="1531"/>
      <c r="L825" s="1531"/>
      <c r="M825" s="1531"/>
      <c r="N825" s="1531"/>
      <c r="O825" s="1531"/>
      <c r="P825" s="1531"/>
      <c r="Q825" s="1531"/>
      <c r="R825" s="1531"/>
      <c r="S825" s="1531"/>
      <c r="T825" s="1531"/>
      <c r="U825" s="1531"/>
      <c r="V825" s="1531"/>
      <c r="W825" s="1531"/>
      <c r="X825" s="1136"/>
      <c r="Y825" s="1136"/>
      <c r="Z825" s="1136"/>
      <c r="AA825" s="1136"/>
      <c r="AB825" s="1136"/>
      <c r="AC825" s="1136"/>
      <c r="AD825" s="1136"/>
      <c r="AE825" s="1136"/>
      <c r="AF825" s="1136"/>
      <c r="AG825" s="1136"/>
      <c r="AH825" s="1136"/>
      <c r="AI825" s="1136"/>
      <c r="AJ825" s="1136"/>
      <c r="AK825" s="1136"/>
      <c r="AL825" s="1136"/>
      <c r="AM825" s="1136"/>
      <c r="AN825" s="1136"/>
      <c r="AO825" s="1136"/>
      <c r="AP825" s="1136"/>
      <c r="AQ825" s="1136"/>
      <c r="AR825" s="1136"/>
      <c r="AS825" s="1136"/>
      <c r="AT825" s="1136"/>
      <c r="AU825" s="1136"/>
      <c r="AV825" s="1136"/>
      <c r="AW825" s="1136"/>
      <c r="AX825" s="1136"/>
      <c r="AY825" s="1136"/>
      <c r="AZ825" s="1136"/>
      <c r="BA825" s="1136"/>
      <c r="BB825" s="1136"/>
      <c r="BC825" s="1136"/>
      <c r="BD825" s="1136"/>
      <c r="BE825" s="1136"/>
      <c r="BF825" s="1136"/>
      <c r="BG825" s="1136"/>
      <c r="BH825" s="1136"/>
      <c r="BI825" s="1136"/>
      <c r="BJ825" s="1136"/>
      <c r="BK825" s="1136"/>
      <c r="BL825" s="1136"/>
      <c r="BM825" s="1136"/>
      <c r="BN825" s="1136"/>
      <c r="BO825" s="1136"/>
      <c r="BP825" s="1136"/>
      <c r="BQ825" s="1136"/>
      <c r="BR825" s="1136"/>
      <c r="BS825" s="1136"/>
      <c r="BT825" s="1136"/>
      <c r="BU825" s="1136"/>
      <c r="BV825" s="1136"/>
      <c r="BW825" s="1136"/>
      <c r="BX825" s="1136"/>
      <c r="BY825" s="1136"/>
      <c r="BZ825" s="1136"/>
      <c r="CA825" s="1136"/>
      <c r="CB825" s="1136"/>
      <c r="CC825" s="1136"/>
      <c r="CD825" s="1136"/>
      <c r="CE825" s="1136"/>
      <c r="CF825" s="1136"/>
      <c r="CG825" s="1136"/>
      <c r="CH825" s="1136"/>
      <c r="CI825" s="1136"/>
      <c r="CJ825" s="1136"/>
      <c r="CK825" s="1136"/>
      <c r="CL825" s="1136"/>
      <c r="CM825" s="1136"/>
      <c r="CN825" s="1136"/>
      <c r="CO825" s="1136"/>
      <c r="CP825" s="1136"/>
      <c r="CQ825" s="1136"/>
      <c r="CR825" s="1136"/>
      <c r="CS825" s="1136"/>
      <c r="CT825" s="1136"/>
      <c r="CU825" s="1136"/>
      <c r="CV825" s="1136"/>
      <c r="CW825" s="1136"/>
      <c r="CX825" s="1136"/>
      <c r="CY825" s="1136"/>
      <c r="CZ825" s="1136"/>
      <c r="DA825" s="1136"/>
      <c r="DB825" s="1136"/>
      <c r="DC825" s="1136"/>
      <c r="DD825" s="1136"/>
      <c r="DE825" s="1136"/>
      <c r="DF825" s="1136"/>
      <c r="DG825" s="1136"/>
      <c r="DH825" s="1136"/>
      <c r="DI825" s="1136"/>
    </row>
    <row r="826" spans="1:113" ht="15.75" x14ac:dyDescent="0.25">
      <c r="A826" s="1422" t="s">
        <v>391</v>
      </c>
      <c r="B826" s="1433">
        <f>IF(B302=2,1,1.15)</f>
        <v>1.1499999999999999</v>
      </c>
      <c r="C826" s="1569"/>
      <c r="D826" s="1531"/>
      <c r="E826" s="1531"/>
      <c r="F826" s="1531"/>
      <c r="G826" s="1531"/>
      <c r="H826" s="1531"/>
      <c r="I826" s="1531"/>
      <c r="J826" s="1531"/>
      <c r="K826" s="1531"/>
      <c r="L826" s="1531"/>
      <c r="M826" s="1531"/>
      <c r="N826" s="1531"/>
      <c r="O826" s="1531"/>
      <c r="P826" s="1531"/>
      <c r="Q826" s="1531"/>
      <c r="R826" s="1531"/>
      <c r="S826" s="1531"/>
      <c r="T826" s="1531"/>
      <c r="U826" s="1531"/>
      <c r="V826" s="1531"/>
      <c r="W826" s="1531"/>
      <c r="X826" s="1136"/>
      <c r="Y826" s="1136"/>
      <c r="Z826" s="1136"/>
      <c r="AA826" s="1136"/>
      <c r="AB826" s="1136"/>
      <c r="AC826" s="1136"/>
      <c r="AD826" s="1136"/>
      <c r="AE826" s="1136"/>
      <c r="AF826" s="1136"/>
      <c r="AG826" s="1136"/>
      <c r="AH826" s="1136"/>
      <c r="AI826" s="1136"/>
      <c r="AJ826" s="1136"/>
      <c r="AK826" s="1136"/>
      <c r="AL826" s="1136"/>
      <c r="AM826" s="1136"/>
      <c r="AN826" s="1136"/>
      <c r="AO826" s="1136"/>
      <c r="AP826" s="1136"/>
      <c r="AQ826" s="1136"/>
      <c r="AR826" s="1136"/>
      <c r="AS826" s="1136"/>
      <c r="AT826" s="1136"/>
      <c r="AU826" s="1136"/>
      <c r="AV826" s="1136"/>
      <c r="AW826" s="1136"/>
      <c r="AX826" s="1136"/>
      <c r="AY826" s="1136"/>
      <c r="AZ826" s="1136"/>
      <c r="BA826" s="1136"/>
      <c r="BB826" s="1136"/>
      <c r="BC826" s="1136"/>
      <c r="BD826" s="1136"/>
      <c r="BE826" s="1136"/>
      <c r="BF826" s="1136"/>
      <c r="BG826" s="1136"/>
      <c r="BH826" s="1136"/>
      <c r="BI826" s="1136"/>
      <c r="BJ826" s="1136"/>
      <c r="BK826" s="1136"/>
      <c r="BL826" s="1136"/>
      <c r="BM826" s="1136"/>
      <c r="BN826" s="1136"/>
      <c r="BO826" s="1136"/>
      <c r="BP826" s="1136"/>
      <c r="BQ826" s="1136"/>
      <c r="BR826" s="1136"/>
      <c r="BS826" s="1136"/>
      <c r="BT826" s="1136"/>
      <c r="BU826" s="1136"/>
      <c r="BV826" s="1136"/>
      <c r="BW826" s="1136"/>
      <c r="BX826" s="1136"/>
      <c r="BY826" s="1136"/>
      <c r="BZ826" s="1136"/>
      <c r="CA826" s="1136"/>
      <c r="CB826" s="1136"/>
      <c r="CC826" s="1136"/>
      <c r="CD826" s="1136"/>
      <c r="CE826" s="1136"/>
      <c r="CF826" s="1136"/>
      <c r="CG826" s="1136"/>
      <c r="CH826" s="1136"/>
      <c r="CI826" s="1136"/>
      <c r="CJ826" s="1136"/>
      <c r="CK826" s="1136"/>
      <c r="CL826" s="1136"/>
      <c r="CM826" s="1136"/>
      <c r="CN826" s="1136"/>
      <c r="CO826" s="1136"/>
      <c r="CP826" s="1136"/>
      <c r="CQ826" s="1136"/>
      <c r="CR826" s="1136"/>
      <c r="CS826" s="1136"/>
      <c r="CT826" s="1136"/>
      <c r="CU826" s="1136"/>
      <c r="CV826" s="1136"/>
      <c r="CW826" s="1136"/>
      <c r="CX826" s="1136"/>
      <c r="CY826" s="1136"/>
      <c r="CZ826" s="1136"/>
      <c r="DA826" s="1136"/>
      <c r="DB826" s="1136"/>
      <c r="DC826" s="1136"/>
      <c r="DD826" s="1136"/>
      <c r="DE826" s="1136"/>
      <c r="DF826" s="1136"/>
      <c r="DG826" s="1136"/>
      <c r="DH826" s="1136"/>
      <c r="DI826" s="1136"/>
    </row>
    <row r="827" spans="1:113" ht="15.75" x14ac:dyDescent="0.25">
      <c r="A827" s="1422" t="s">
        <v>392</v>
      </c>
      <c r="B827" s="1433">
        <f>IF(B297&lt;21,1,IF(B297&lt;31,0.9,0.8))</f>
        <v>0.8</v>
      </c>
      <c r="C827" s="1569"/>
      <c r="D827" s="1567"/>
      <c r="E827" s="1567"/>
      <c r="F827" s="1567"/>
      <c r="G827" s="1567"/>
      <c r="H827" s="1531"/>
      <c r="I827" s="1531"/>
      <c r="J827" s="1531"/>
      <c r="K827" s="1531"/>
      <c r="L827" s="1531"/>
      <c r="M827" s="1531"/>
      <c r="N827" s="1531"/>
      <c r="O827" s="1531"/>
      <c r="P827" s="1531"/>
      <c r="Q827" s="1531"/>
      <c r="R827" s="1531"/>
      <c r="S827" s="1531"/>
      <c r="T827" s="1531"/>
      <c r="U827" s="1531"/>
      <c r="V827" s="1531"/>
      <c r="W827" s="1531"/>
      <c r="X827" s="1136"/>
      <c r="Y827" s="1136"/>
      <c r="Z827" s="1136"/>
      <c r="AA827" s="1136"/>
      <c r="AB827" s="1136"/>
      <c r="AC827" s="1136"/>
      <c r="AD827" s="1136"/>
      <c r="AE827" s="1136"/>
      <c r="AF827" s="1136"/>
      <c r="AG827" s="1136"/>
      <c r="AH827" s="1136"/>
      <c r="AI827" s="1136"/>
      <c r="AJ827" s="1136"/>
      <c r="AK827" s="1136"/>
      <c r="AL827" s="1136"/>
      <c r="AM827" s="1136"/>
      <c r="AN827" s="1136"/>
      <c r="AO827" s="1136"/>
      <c r="AP827" s="1136"/>
      <c r="AQ827" s="1136"/>
      <c r="AR827" s="1136"/>
      <c r="AS827" s="1136"/>
      <c r="AT827" s="1136"/>
      <c r="AU827" s="1136"/>
      <c r="AV827" s="1136"/>
      <c r="AW827" s="1136"/>
      <c r="AX827" s="1136"/>
      <c r="AY827" s="1136"/>
      <c r="AZ827" s="1136"/>
      <c r="BA827" s="1136"/>
      <c r="BB827" s="1136"/>
      <c r="BC827" s="1136"/>
      <c r="BD827" s="1136"/>
      <c r="BE827" s="1136"/>
      <c r="BF827" s="1136"/>
      <c r="BG827" s="1136"/>
      <c r="BH827" s="1136"/>
      <c r="BI827" s="1136"/>
      <c r="BJ827" s="1136"/>
      <c r="BK827" s="1136"/>
      <c r="BL827" s="1136"/>
      <c r="BM827" s="1136"/>
      <c r="BN827" s="1136"/>
      <c r="BO827" s="1136"/>
      <c r="BP827" s="1136"/>
      <c r="BQ827" s="1136"/>
      <c r="BR827" s="1136"/>
      <c r="BS827" s="1136"/>
      <c r="BT827" s="1136"/>
      <c r="BU827" s="1136"/>
      <c r="BV827" s="1136"/>
      <c r="BW827" s="1136"/>
      <c r="BX827" s="1136"/>
      <c r="BY827" s="1136"/>
      <c r="BZ827" s="1136"/>
      <c r="CA827" s="1136"/>
      <c r="CB827" s="1136"/>
      <c r="CC827" s="1136"/>
      <c r="CD827" s="1136"/>
      <c r="CE827" s="1136"/>
      <c r="CF827" s="1136"/>
      <c r="CG827" s="1136"/>
      <c r="CH827" s="1136"/>
      <c r="CI827" s="1136"/>
      <c r="CJ827" s="1136"/>
      <c r="CK827" s="1136"/>
      <c r="CL827" s="1136"/>
      <c r="CM827" s="1136"/>
      <c r="CN827" s="1136"/>
      <c r="CO827" s="1136"/>
      <c r="CP827" s="1136"/>
      <c r="CQ827" s="1136"/>
      <c r="CR827" s="1136"/>
      <c r="CS827" s="1136"/>
      <c r="CT827" s="1136"/>
      <c r="CU827" s="1136"/>
      <c r="CV827" s="1136"/>
      <c r="CW827" s="1136"/>
      <c r="CX827" s="1136"/>
      <c r="CY827" s="1136"/>
      <c r="CZ827" s="1136"/>
      <c r="DA827" s="1136"/>
      <c r="DB827" s="1136"/>
      <c r="DC827" s="1136"/>
      <c r="DD827" s="1136"/>
      <c r="DE827" s="1136"/>
      <c r="DF827" s="1136"/>
      <c r="DG827" s="1136"/>
      <c r="DH827" s="1136"/>
      <c r="DI827" s="1136"/>
    </row>
    <row r="828" spans="1:113" ht="31.5" x14ac:dyDescent="0.25">
      <c r="A828" s="1422" t="s">
        <v>393</v>
      </c>
      <c r="B828" s="1433">
        <f>IF(B322&lt;2,0.85,1)</f>
        <v>1</v>
      </c>
      <c r="C828" s="1569"/>
      <c r="D828" s="1610"/>
      <c r="E828" s="1610"/>
      <c r="F828" s="1610"/>
      <c r="G828" s="1610"/>
      <c r="H828" s="1531"/>
      <c r="I828" s="1531"/>
      <c r="J828" s="1531"/>
      <c r="K828" s="1531"/>
      <c r="L828" s="1531"/>
      <c r="M828" s="1531"/>
      <c r="N828" s="1531"/>
      <c r="O828" s="1531"/>
      <c r="P828" s="1531"/>
      <c r="Q828" s="1531"/>
      <c r="R828" s="1531"/>
      <c r="S828" s="1531"/>
      <c r="T828" s="1531"/>
      <c r="U828" s="1531"/>
      <c r="V828" s="1531"/>
      <c r="W828" s="1531"/>
      <c r="X828" s="1136"/>
      <c r="Y828" s="1136"/>
      <c r="Z828" s="1136"/>
      <c r="AA828" s="1136"/>
      <c r="AB828" s="1136"/>
      <c r="AC828" s="1136"/>
      <c r="AD828" s="1136"/>
      <c r="AE828" s="1136"/>
      <c r="AF828" s="1136"/>
      <c r="AG828" s="1136"/>
      <c r="AH828" s="1136"/>
      <c r="AI828" s="1136"/>
      <c r="AJ828" s="1136"/>
      <c r="AK828" s="1136"/>
      <c r="AL828" s="1136"/>
      <c r="AM828" s="1136"/>
      <c r="AN828" s="1136"/>
      <c r="AO828" s="1136"/>
      <c r="AP828" s="1136"/>
      <c r="AQ828" s="1136"/>
      <c r="AR828" s="1136"/>
      <c r="AS828" s="1136"/>
      <c r="AT828" s="1136"/>
      <c r="AU828" s="1136"/>
      <c r="AV828" s="1136"/>
      <c r="AW828" s="1136"/>
      <c r="AX828" s="1136"/>
      <c r="AY828" s="1136"/>
      <c r="AZ828" s="1136"/>
      <c r="BA828" s="1136"/>
      <c r="BB828" s="1136"/>
      <c r="BC828" s="1136"/>
      <c r="BD828" s="1136"/>
      <c r="BE828" s="1136"/>
      <c r="BF828" s="1136"/>
      <c r="BG828" s="1136"/>
      <c r="BH828" s="1136"/>
      <c r="BI828" s="1136"/>
      <c r="BJ828" s="1136"/>
      <c r="BK828" s="1136"/>
      <c r="BL828" s="1136"/>
      <c r="BM828" s="1136"/>
      <c r="BN828" s="1136"/>
      <c r="BO828" s="1136"/>
      <c r="BP828" s="1136"/>
      <c r="BQ828" s="1136"/>
      <c r="BR828" s="1136"/>
      <c r="BS828" s="1136"/>
      <c r="BT828" s="1136"/>
      <c r="BU828" s="1136"/>
      <c r="BV828" s="1136"/>
      <c r="BW828" s="1136"/>
      <c r="BX828" s="1136"/>
      <c r="BY828" s="1136"/>
      <c r="BZ828" s="1136"/>
      <c r="CA828" s="1136"/>
      <c r="CB828" s="1136"/>
      <c r="CC828" s="1136"/>
      <c r="CD828" s="1136"/>
      <c r="CE828" s="1136"/>
      <c r="CF828" s="1136"/>
      <c r="CG828" s="1136"/>
      <c r="CH828" s="1136"/>
      <c r="CI828" s="1136"/>
      <c r="CJ828" s="1136"/>
      <c r="CK828" s="1136"/>
      <c r="CL828" s="1136"/>
      <c r="CM828" s="1136"/>
      <c r="CN828" s="1136"/>
      <c r="CO828" s="1136"/>
      <c r="CP828" s="1136"/>
      <c r="CQ828" s="1136"/>
      <c r="CR828" s="1136"/>
      <c r="CS828" s="1136"/>
      <c r="CT828" s="1136"/>
      <c r="CU828" s="1136"/>
      <c r="CV828" s="1136"/>
      <c r="CW828" s="1136"/>
      <c r="CX828" s="1136"/>
      <c r="CY828" s="1136"/>
      <c r="CZ828" s="1136"/>
      <c r="DA828" s="1136"/>
      <c r="DB828" s="1136"/>
      <c r="DC828" s="1136"/>
      <c r="DD828" s="1136"/>
      <c r="DE828" s="1136"/>
      <c r="DF828" s="1136"/>
      <c r="DG828" s="1136"/>
      <c r="DH828" s="1136"/>
      <c r="DI828" s="1136"/>
    </row>
    <row r="829" spans="1:113" ht="31.5" x14ac:dyDescent="0.25">
      <c r="A829" s="1435" t="s">
        <v>419</v>
      </c>
      <c r="B829" s="1433">
        <f>IF(B815&lt;2.1,0.9,IF(B815&lt;3.1,0.85,0.8))</f>
        <v>0.8</v>
      </c>
      <c r="C829" s="1569"/>
      <c r="D829" s="1610"/>
      <c r="E829" s="1610"/>
      <c r="F829" s="1610"/>
      <c r="G829" s="1610"/>
      <c r="H829" s="1531"/>
      <c r="I829" s="1531"/>
      <c r="J829" s="1531"/>
      <c r="K829" s="1531"/>
      <c r="L829" s="1531"/>
      <c r="M829" s="1531"/>
      <c r="N829" s="1531"/>
      <c r="O829" s="1531"/>
      <c r="P829" s="1531"/>
      <c r="Q829" s="1531"/>
      <c r="R829" s="1531"/>
      <c r="S829" s="1531"/>
      <c r="T829" s="1531"/>
      <c r="U829" s="1531"/>
      <c r="V829" s="1531"/>
      <c r="W829" s="1531"/>
      <c r="X829" s="1136"/>
      <c r="Y829" s="1136"/>
      <c r="Z829" s="1136"/>
      <c r="AA829" s="1136"/>
      <c r="AB829" s="1136"/>
      <c r="AC829" s="1136"/>
      <c r="AD829" s="1136"/>
      <c r="AE829" s="1136"/>
      <c r="AF829" s="1136"/>
      <c r="AG829" s="1136"/>
      <c r="AH829" s="1136"/>
      <c r="AI829" s="1136"/>
      <c r="AJ829" s="1136"/>
      <c r="AK829" s="1136"/>
      <c r="AL829" s="1136"/>
      <c r="AM829" s="1136"/>
      <c r="AN829" s="1136"/>
      <c r="AO829" s="1136"/>
      <c r="AP829" s="1136"/>
      <c r="AQ829" s="1136"/>
      <c r="AR829" s="1136"/>
      <c r="AS829" s="1136"/>
      <c r="AT829" s="1136"/>
      <c r="AU829" s="1136"/>
      <c r="AV829" s="1136"/>
      <c r="AW829" s="1136"/>
      <c r="AX829" s="1136"/>
      <c r="AY829" s="1136"/>
      <c r="AZ829" s="1136"/>
      <c r="BA829" s="1136"/>
      <c r="BB829" s="1136"/>
      <c r="BC829" s="1136"/>
      <c r="BD829" s="1136"/>
      <c r="BE829" s="1136"/>
      <c r="BF829" s="1136"/>
      <c r="BG829" s="1136"/>
      <c r="BH829" s="1136"/>
      <c r="BI829" s="1136"/>
      <c r="BJ829" s="1136"/>
      <c r="BK829" s="1136"/>
      <c r="BL829" s="1136"/>
      <c r="BM829" s="1136"/>
      <c r="BN829" s="1136"/>
      <c r="BO829" s="1136"/>
      <c r="BP829" s="1136"/>
      <c r="BQ829" s="1136"/>
      <c r="BR829" s="1136"/>
      <c r="BS829" s="1136"/>
      <c r="BT829" s="1136"/>
      <c r="BU829" s="1136"/>
      <c r="BV829" s="1136"/>
      <c r="BW829" s="1136"/>
      <c r="BX829" s="1136"/>
      <c r="BY829" s="1136"/>
      <c r="BZ829" s="1136"/>
      <c r="CA829" s="1136"/>
      <c r="CB829" s="1136"/>
      <c r="CC829" s="1136"/>
      <c r="CD829" s="1136"/>
      <c r="CE829" s="1136"/>
      <c r="CF829" s="1136"/>
      <c r="CG829" s="1136"/>
      <c r="CH829" s="1136"/>
      <c r="CI829" s="1136"/>
      <c r="CJ829" s="1136"/>
      <c r="CK829" s="1136"/>
      <c r="CL829" s="1136"/>
      <c r="CM829" s="1136"/>
      <c r="CN829" s="1136"/>
      <c r="CO829" s="1136"/>
      <c r="CP829" s="1136"/>
      <c r="CQ829" s="1136"/>
      <c r="CR829" s="1136"/>
      <c r="CS829" s="1136"/>
      <c r="CT829" s="1136"/>
      <c r="CU829" s="1136"/>
      <c r="CV829" s="1136"/>
      <c r="CW829" s="1136"/>
      <c r="CX829" s="1136"/>
      <c r="CY829" s="1136"/>
      <c r="CZ829" s="1136"/>
      <c r="DA829" s="1136"/>
      <c r="DB829" s="1136"/>
      <c r="DC829" s="1136"/>
      <c r="DD829" s="1136"/>
      <c r="DE829" s="1136"/>
      <c r="DF829" s="1136"/>
      <c r="DG829" s="1136"/>
      <c r="DH829" s="1136"/>
      <c r="DI829" s="1136"/>
    </row>
    <row r="830" spans="1:113" ht="31.5" x14ac:dyDescent="0.25">
      <c r="A830" s="1422" t="s">
        <v>420</v>
      </c>
      <c r="B830" s="1433">
        <v>0.8</v>
      </c>
      <c r="C830" s="1569"/>
      <c r="D830" s="1612"/>
      <c r="E830" s="1612"/>
      <c r="F830" s="1612"/>
      <c r="G830" s="1612"/>
      <c r="H830" s="1531"/>
      <c r="I830" s="1531"/>
      <c r="J830" s="1531"/>
      <c r="K830" s="1531"/>
      <c r="L830" s="1531"/>
      <c r="M830" s="1531"/>
      <c r="N830" s="1531"/>
      <c r="O830" s="1531"/>
      <c r="P830" s="1531"/>
      <c r="Q830" s="1531"/>
      <c r="R830" s="1531"/>
      <c r="S830" s="1531"/>
      <c r="T830" s="1531"/>
      <c r="U830" s="1531"/>
      <c r="V830" s="1531"/>
      <c r="W830" s="1531"/>
      <c r="X830" s="1136"/>
      <c r="Y830" s="1136"/>
      <c r="Z830" s="1136"/>
      <c r="AA830" s="1136"/>
      <c r="AB830" s="1136"/>
      <c r="AC830" s="1136"/>
      <c r="AD830" s="1136"/>
      <c r="AE830" s="1136"/>
      <c r="AF830" s="1136"/>
      <c r="AG830" s="1136"/>
      <c r="AH830" s="1136"/>
      <c r="AI830" s="1136"/>
      <c r="AJ830" s="1136"/>
      <c r="AK830" s="1136"/>
      <c r="AL830" s="1136"/>
      <c r="AM830" s="1136"/>
      <c r="AN830" s="1136"/>
      <c r="AO830" s="1136"/>
      <c r="AP830" s="1136"/>
      <c r="AQ830" s="1136"/>
      <c r="AR830" s="1136"/>
      <c r="AS830" s="1136"/>
      <c r="AT830" s="1136"/>
      <c r="AU830" s="1136"/>
      <c r="AV830" s="1136"/>
      <c r="AW830" s="1136"/>
      <c r="AX830" s="1136"/>
      <c r="AY830" s="1136"/>
      <c r="AZ830" s="1136"/>
      <c r="BA830" s="1136"/>
      <c r="BB830" s="1136"/>
      <c r="BC830" s="1136"/>
      <c r="BD830" s="1136"/>
      <c r="BE830" s="1136"/>
      <c r="BF830" s="1136"/>
      <c r="BG830" s="1136"/>
      <c r="BH830" s="1136"/>
      <c r="BI830" s="1136"/>
      <c r="BJ830" s="1136"/>
      <c r="BK830" s="1136"/>
      <c r="BL830" s="1136"/>
      <c r="BM830" s="1136"/>
      <c r="BN830" s="1136"/>
      <c r="BO830" s="1136"/>
      <c r="BP830" s="1136"/>
      <c r="BQ830" s="1136"/>
      <c r="BR830" s="1136"/>
      <c r="BS830" s="1136"/>
      <c r="BT830" s="1136"/>
      <c r="BU830" s="1136"/>
      <c r="BV830" s="1136"/>
      <c r="BW830" s="1136"/>
      <c r="BX830" s="1136"/>
      <c r="BY830" s="1136"/>
      <c r="BZ830" s="1136"/>
      <c r="CA830" s="1136"/>
      <c r="CB830" s="1136"/>
      <c r="CC830" s="1136"/>
      <c r="CD830" s="1136"/>
      <c r="CE830" s="1136"/>
      <c r="CF830" s="1136"/>
      <c r="CG830" s="1136"/>
      <c r="CH830" s="1136"/>
      <c r="CI830" s="1136"/>
      <c r="CJ830" s="1136"/>
      <c r="CK830" s="1136"/>
      <c r="CL830" s="1136"/>
      <c r="CM830" s="1136"/>
      <c r="CN830" s="1136"/>
      <c r="CO830" s="1136"/>
      <c r="CP830" s="1136"/>
      <c r="CQ830" s="1136"/>
      <c r="CR830" s="1136"/>
      <c r="CS830" s="1136"/>
      <c r="CT830" s="1136"/>
      <c r="CU830" s="1136"/>
      <c r="CV830" s="1136"/>
      <c r="CW830" s="1136"/>
      <c r="CX830" s="1136"/>
      <c r="CY830" s="1136"/>
      <c r="CZ830" s="1136"/>
      <c r="DA830" s="1136"/>
      <c r="DB830" s="1136"/>
      <c r="DC830" s="1136"/>
      <c r="DD830" s="1136"/>
      <c r="DE830" s="1136"/>
      <c r="DF830" s="1136"/>
      <c r="DG830" s="1136"/>
      <c r="DH830" s="1136"/>
      <c r="DI830" s="1136"/>
    </row>
    <row r="831" spans="1:113" ht="15.75" x14ac:dyDescent="0.25">
      <c r="A831" s="1422" t="s">
        <v>421</v>
      </c>
      <c r="B831" s="1436">
        <v>0.7</v>
      </c>
      <c r="C831" s="1613"/>
      <c r="D831" s="1531"/>
      <c r="E831" s="1531"/>
      <c r="F831" s="1531"/>
      <c r="G831" s="1531"/>
      <c r="H831" s="1531"/>
      <c r="I831" s="1531"/>
      <c r="J831" s="1531"/>
      <c r="K831" s="1531"/>
      <c r="L831" s="1531"/>
      <c r="M831" s="1531"/>
      <c r="N831" s="1531"/>
      <c r="O831" s="1531"/>
      <c r="P831" s="1531"/>
      <c r="Q831" s="1531"/>
      <c r="R831" s="1531"/>
      <c r="S831" s="1531"/>
      <c r="T831" s="1531"/>
      <c r="U831" s="1531"/>
      <c r="V831" s="1531"/>
      <c r="W831" s="1531"/>
      <c r="X831" s="1531"/>
      <c r="Y831" s="1531"/>
      <c r="Z831" s="1531"/>
      <c r="AA831" s="1531"/>
      <c r="AB831" s="1531"/>
      <c r="AC831" s="1531"/>
      <c r="AD831" s="1531"/>
      <c r="AE831" s="1531"/>
      <c r="AF831" s="1531"/>
      <c r="AG831" s="1531"/>
      <c r="AH831" s="1531"/>
      <c r="AI831" s="1531"/>
      <c r="AJ831" s="1531"/>
      <c r="AK831" s="1531"/>
      <c r="AL831" s="1531"/>
      <c r="AM831" s="1531"/>
      <c r="AN831" s="1531"/>
      <c r="AO831" s="1531"/>
      <c r="AP831" s="1531"/>
      <c r="AQ831" s="1531"/>
      <c r="AR831" s="1531"/>
      <c r="AS831" s="1531"/>
      <c r="AT831" s="1136"/>
      <c r="AU831" s="1136"/>
      <c r="AV831" s="1136"/>
      <c r="AW831" s="1136"/>
      <c r="AX831" s="1136"/>
      <c r="AY831" s="1136"/>
      <c r="AZ831" s="1136"/>
      <c r="BA831" s="1136"/>
      <c r="BB831" s="1136"/>
      <c r="BC831" s="1136"/>
      <c r="BD831" s="1136"/>
      <c r="BE831" s="1136"/>
      <c r="BF831" s="1136"/>
      <c r="BG831" s="1136"/>
      <c r="BH831" s="1136"/>
      <c r="BI831" s="1136"/>
      <c r="BJ831" s="1136"/>
      <c r="BK831" s="1136"/>
      <c r="BL831" s="1136"/>
      <c r="BM831" s="1136"/>
      <c r="BN831" s="1136"/>
      <c r="BO831" s="1136"/>
      <c r="BP831" s="1136"/>
      <c r="BQ831" s="1136"/>
      <c r="BR831" s="1136"/>
      <c r="BS831" s="1136"/>
      <c r="BT831" s="1136"/>
      <c r="BU831" s="1136"/>
      <c r="BV831" s="1136"/>
      <c r="BW831" s="1136"/>
      <c r="BX831" s="1136"/>
      <c r="BY831" s="1136"/>
      <c r="BZ831" s="1136"/>
      <c r="CA831" s="1136"/>
      <c r="CB831" s="1136"/>
      <c r="CC831" s="1136"/>
      <c r="CD831" s="1136"/>
      <c r="CE831" s="1136"/>
      <c r="CF831" s="1136"/>
      <c r="CG831" s="1136"/>
      <c r="CH831" s="1136"/>
      <c r="CI831" s="1136"/>
      <c r="CJ831" s="1136"/>
      <c r="CK831" s="1136"/>
      <c r="CL831" s="1136"/>
      <c r="CM831" s="1136"/>
      <c r="CN831" s="1136"/>
      <c r="CO831" s="1136"/>
      <c r="CP831" s="1136"/>
      <c r="CQ831" s="1136"/>
      <c r="CR831" s="1136"/>
      <c r="CS831" s="1136"/>
      <c r="CT831" s="1136"/>
      <c r="CU831" s="1136"/>
      <c r="CV831" s="1136"/>
      <c r="CW831" s="1136"/>
      <c r="CX831" s="1136"/>
      <c r="CY831" s="1136"/>
      <c r="CZ831" s="1136"/>
      <c r="DA831" s="1136"/>
      <c r="DB831" s="1136"/>
      <c r="DC831" s="1136"/>
      <c r="DD831" s="1136"/>
      <c r="DE831" s="1136"/>
      <c r="DF831" s="1136"/>
      <c r="DG831" s="1136"/>
      <c r="DH831" s="1136"/>
      <c r="DI831" s="1136"/>
    </row>
    <row r="832" spans="1:113" ht="15.75" x14ac:dyDescent="0.25">
      <c r="A832" s="1422" t="s">
        <v>3412</v>
      </c>
      <c r="B832" s="1433" t="e">
        <f>B818*B825*B826*B827*B828*B830*B831*B341</f>
        <v>#VALUE!</v>
      </c>
      <c r="C832" s="1569"/>
      <c r="D832" s="1569"/>
      <c r="E832" s="1569"/>
      <c r="F832" s="1569"/>
      <c r="G832" s="1569"/>
      <c r="H832" s="1531"/>
      <c r="I832" s="1531"/>
      <c r="J832" s="1531"/>
      <c r="K832" s="1531"/>
      <c r="L832" s="1531"/>
      <c r="M832" s="1531"/>
      <c r="N832" s="1531"/>
      <c r="O832" s="1531"/>
      <c r="P832" s="1531"/>
      <c r="Q832" s="1531"/>
      <c r="R832" s="1531"/>
      <c r="S832" s="1531"/>
      <c r="T832" s="1531"/>
      <c r="U832" s="1531"/>
      <c r="V832" s="1531"/>
      <c r="W832" s="1531"/>
      <c r="X832" s="1531"/>
      <c r="Y832" s="1531"/>
      <c r="Z832" s="1531"/>
      <c r="AA832" s="1531"/>
      <c r="AB832" s="1531"/>
      <c r="AC832" s="1531"/>
      <c r="AD832" s="1531"/>
      <c r="AE832" s="1531"/>
      <c r="AF832" s="1531"/>
      <c r="AG832" s="1531"/>
      <c r="AH832" s="1531"/>
      <c r="AI832" s="1531"/>
      <c r="AJ832" s="1531"/>
      <c r="AK832" s="1531"/>
      <c r="AL832" s="1531"/>
      <c r="AM832" s="1531"/>
      <c r="AN832" s="1531"/>
      <c r="AO832" s="1531"/>
      <c r="AP832" s="1531"/>
      <c r="AQ832" s="1531"/>
      <c r="AR832" s="1531"/>
      <c r="AS832" s="1531"/>
      <c r="AT832" s="1136"/>
      <c r="AU832" s="1136"/>
      <c r="AV832" s="1136"/>
      <c r="AW832" s="1136"/>
      <c r="AX832" s="1136"/>
      <c r="AY832" s="1136"/>
      <c r="AZ832" s="1136"/>
      <c r="BA832" s="1136"/>
      <c r="BB832" s="1136"/>
      <c r="BC832" s="1136"/>
      <c r="BD832" s="1136"/>
      <c r="BE832" s="1136"/>
      <c r="BF832" s="1136"/>
      <c r="BG832" s="1136"/>
      <c r="BH832" s="1136"/>
      <c r="BI832" s="1136"/>
      <c r="BJ832" s="1136"/>
      <c r="BK832" s="1136"/>
      <c r="BL832" s="1136"/>
      <c r="BM832" s="1136"/>
      <c r="BN832" s="1136"/>
      <c r="BO832" s="1136"/>
      <c r="BP832" s="1136"/>
      <c r="BQ832" s="1136"/>
      <c r="BR832" s="1136"/>
      <c r="BS832" s="1136"/>
      <c r="BT832" s="1136"/>
      <c r="BU832" s="1136"/>
      <c r="BV832" s="1136"/>
      <c r="BW832" s="1136"/>
      <c r="BX832" s="1136"/>
      <c r="BY832" s="1136"/>
      <c r="BZ832" s="1136"/>
      <c r="CA832" s="1136"/>
      <c r="CB832" s="1136"/>
      <c r="CC832" s="1136"/>
      <c r="CD832" s="1136"/>
      <c r="CE832" s="1136"/>
      <c r="CF832" s="1136"/>
      <c r="CG832" s="1136"/>
      <c r="CH832" s="1136"/>
      <c r="CI832" s="1136"/>
      <c r="CJ832" s="1136"/>
      <c r="CK832" s="1136"/>
      <c r="CL832" s="1136"/>
      <c r="CM832" s="1136"/>
      <c r="CN832" s="1136"/>
      <c r="CO832" s="1136"/>
      <c r="CP832" s="1136"/>
      <c r="CQ832" s="1136"/>
      <c r="CR832" s="1136"/>
      <c r="CS832" s="1136"/>
      <c r="CT832" s="1136"/>
      <c r="CU832" s="1136"/>
      <c r="CV832" s="1136"/>
      <c r="CW832" s="1136"/>
      <c r="CX832" s="1136"/>
      <c r="CY832" s="1136"/>
      <c r="CZ832" s="1136"/>
      <c r="DA832" s="1136"/>
      <c r="DB832" s="1136"/>
      <c r="DC832" s="1136"/>
      <c r="DD832" s="1136"/>
      <c r="DE832" s="1136"/>
      <c r="DF832" s="1136"/>
      <c r="DG832" s="1136"/>
      <c r="DH832" s="1136"/>
      <c r="DI832" s="1136"/>
    </row>
    <row r="833" spans="1:113" ht="15.75" x14ac:dyDescent="0.25">
      <c r="A833" s="1422" t="s">
        <v>429</v>
      </c>
      <c r="B833" s="1428" t="e">
        <f>B817/B832</f>
        <v>#DIV/0!</v>
      </c>
      <c r="C833" s="1566"/>
      <c r="D833" s="1569"/>
      <c r="E833" s="1569"/>
      <c r="F833" s="1569"/>
      <c r="G833" s="1569"/>
      <c r="H833" s="1531"/>
      <c r="I833" s="1531"/>
      <c r="J833" s="1531"/>
      <c r="K833" s="1531"/>
      <c r="L833" s="1531"/>
      <c r="M833" s="1531"/>
      <c r="N833" s="1531"/>
      <c r="O833" s="1531"/>
      <c r="P833" s="1531"/>
      <c r="Q833" s="1531"/>
      <c r="R833" s="1531"/>
      <c r="S833" s="1531"/>
      <c r="T833" s="1531"/>
      <c r="U833" s="1531"/>
      <c r="V833" s="1531"/>
      <c r="W833" s="1531"/>
      <c r="X833" s="1531"/>
      <c r="Y833" s="1531"/>
      <c r="Z833" s="1531"/>
      <c r="AA833" s="1531"/>
      <c r="AB833" s="1531"/>
      <c r="AC833" s="1531"/>
      <c r="AD833" s="1531"/>
      <c r="AE833" s="1531"/>
      <c r="AF833" s="1531"/>
      <c r="AG833" s="1531"/>
      <c r="AH833" s="1531"/>
      <c r="AI833" s="1531"/>
      <c r="AJ833" s="1531"/>
      <c r="AK833" s="1531"/>
      <c r="AL833" s="1531"/>
      <c r="AM833" s="1531"/>
      <c r="AN833" s="1531"/>
      <c r="AO833" s="1531"/>
      <c r="AP833" s="1531"/>
      <c r="AQ833" s="1531"/>
      <c r="AR833" s="1531"/>
      <c r="AS833" s="1531"/>
      <c r="AT833" s="1136"/>
      <c r="AU833" s="1136"/>
      <c r="AV833" s="1136"/>
      <c r="AW833" s="1136"/>
      <c r="AX833" s="1136"/>
      <c r="AY833" s="1136"/>
      <c r="AZ833" s="1136"/>
      <c r="BA833" s="1136"/>
      <c r="BB833" s="1136"/>
      <c r="BC833" s="1136"/>
      <c r="BD833" s="1136"/>
      <c r="BE833" s="1136"/>
      <c r="BF833" s="1136"/>
      <c r="BG833" s="1136"/>
      <c r="BH833" s="1136"/>
      <c r="BI833" s="1136"/>
      <c r="BJ833" s="1136"/>
      <c r="BK833" s="1136"/>
      <c r="BL833" s="1136"/>
      <c r="BM833" s="1136"/>
      <c r="BN833" s="1136"/>
      <c r="BO833" s="1136"/>
      <c r="BP833" s="1136"/>
      <c r="BQ833" s="1136"/>
      <c r="BR833" s="1136"/>
      <c r="BS833" s="1136"/>
      <c r="BT833" s="1136"/>
      <c r="BU833" s="1136"/>
      <c r="BV833" s="1136"/>
      <c r="BW833" s="1136"/>
      <c r="BX833" s="1136"/>
      <c r="BY833" s="1136"/>
      <c r="BZ833" s="1136"/>
      <c r="CA833" s="1136"/>
      <c r="CB833" s="1136"/>
      <c r="CC833" s="1136"/>
      <c r="CD833" s="1136"/>
      <c r="CE833" s="1136"/>
      <c r="CF833" s="1136"/>
      <c r="CG833" s="1136"/>
      <c r="CH833" s="1136"/>
      <c r="CI833" s="1136"/>
      <c r="CJ833" s="1136"/>
      <c r="CK833" s="1136"/>
      <c r="CL833" s="1136"/>
      <c r="CM833" s="1136"/>
      <c r="CN833" s="1136"/>
      <c r="CO833" s="1136"/>
      <c r="CP833" s="1136"/>
      <c r="CQ833" s="1136"/>
      <c r="CR833" s="1136"/>
      <c r="CS833" s="1136"/>
      <c r="CT833" s="1136"/>
      <c r="CU833" s="1136"/>
      <c r="CV833" s="1136"/>
      <c r="CW833" s="1136"/>
      <c r="CX833" s="1136"/>
      <c r="CY833" s="1136"/>
      <c r="CZ833" s="1136"/>
      <c r="DA833" s="1136"/>
      <c r="DB833" s="1136"/>
      <c r="DC833" s="1136"/>
      <c r="DD833" s="1136"/>
      <c r="DE833" s="1136"/>
      <c r="DF833" s="1136"/>
      <c r="DG833" s="1136"/>
      <c r="DH833" s="1136"/>
      <c r="DI833" s="1136"/>
    </row>
    <row r="834" spans="1:113" ht="15.75" x14ac:dyDescent="0.25">
      <c r="A834" s="1422"/>
      <c r="B834" s="1433"/>
      <c r="C834" s="1569"/>
      <c r="D834" s="1569"/>
      <c r="E834" s="1569"/>
      <c r="F834" s="1569"/>
      <c r="G834" s="1569"/>
      <c r="H834" s="1531"/>
      <c r="I834" s="1531"/>
      <c r="J834" s="1531"/>
      <c r="K834" s="1531"/>
      <c r="L834" s="1531"/>
      <c r="M834" s="1531"/>
      <c r="N834" s="1531"/>
      <c r="O834" s="1531"/>
      <c r="P834" s="1531"/>
      <c r="Q834" s="1531"/>
      <c r="R834" s="1531"/>
      <c r="S834" s="1531"/>
      <c r="T834" s="1531"/>
      <c r="U834" s="1531"/>
      <c r="V834" s="1531"/>
      <c r="W834" s="1531"/>
      <c r="X834" s="1531"/>
      <c r="Y834" s="1531"/>
      <c r="Z834" s="1531"/>
      <c r="AA834" s="1531"/>
      <c r="AB834" s="1531"/>
      <c r="AC834" s="1531"/>
      <c r="AD834" s="1531"/>
      <c r="AE834" s="1531"/>
      <c r="AF834" s="1531"/>
      <c r="AG834" s="1531"/>
      <c r="AH834" s="1531"/>
      <c r="AI834" s="1531"/>
      <c r="AJ834" s="1531"/>
      <c r="AK834" s="1531"/>
      <c r="AL834" s="1531"/>
      <c r="AM834" s="1531"/>
      <c r="AN834" s="1531"/>
      <c r="AO834" s="1531"/>
      <c r="AP834" s="1531"/>
      <c r="AQ834" s="1531"/>
      <c r="AR834" s="1531"/>
      <c r="AS834" s="1531"/>
      <c r="AT834" s="1136"/>
      <c r="AU834" s="1136"/>
      <c r="AV834" s="1136"/>
      <c r="AW834" s="1136"/>
      <c r="AX834" s="1136"/>
      <c r="AY834" s="1136"/>
      <c r="AZ834" s="1136"/>
      <c r="BA834" s="1136"/>
      <c r="BB834" s="1136"/>
      <c r="BC834" s="1136"/>
      <c r="BD834" s="1136"/>
      <c r="BE834" s="1136"/>
      <c r="BF834" s="1136"/>
      <c r="BG834" s="1136"/>
      <c r="BH834" s="1136"/>
      <c r="BI834" s="1136"/>
      <c r="BJ834" s="1136"/>
      <c r="BK834" s="1136"/>
      <c r="BL834" s="1136"/>
      <c r="BM834" s="1136"/>
      <c r="BN834" s="1136"/>
      <c r="BO834" s="1136"/>
      <c r="BP834" s="1136"/>
      <c r="BQ834" s="1136"/>
      <c r="BR834" s="1136"/>
      <c r="BS834" s="1136"/>
      <c r="BT834" s="1136"/>
      <c r="BU834" s="1136"/>
      <c r="BV834" s="1136"/>
      <c r="BW834" s="1136"/>
      <c r="BX834" s="1136"/>
      <c r="BY834" s="1136"/>
      <c r="BZ834" s="1136"/>
      <c r="CA834" s="1136"/>
      <c r="CB834" s="1136"/>
      <c r="CC834" s="1136"/>
      <c r="CD834" s="1136"/>
      <c r="CE834" s="1136"/>
      <c r="CF834" s="1136"/>
      <c r="CG834" s="1136"/>
      <c r="CH834" s="1136"/>
      <c r="CI834" s="1136"/>
      <c r="CJ834" s="1136"/>
      <c r="CK834" s="1136"/>
      <c r="CL834" s="1136"/>
      <c r="CM834" s="1136"/>
      <c r="CN834" s="1136"/>
      <c r="CO834" s="1136"/>
      <c r="CP834" s="1136"/>
      <c r="CQ834" s="1136"/>
      <c r="CR834" s="1136"/>
      <c r="CS834" s="1136"/>
      <c r="CT834" s="1136"/>
      <c r="CU834" s="1136"/>
      <c r="CV834" s="1136"/>
      <c r="CW834" s="1136"/>
      <c r="CX834" s="1136"/>
      <c r="CY834" s="1136"/>
      <c r="CZ834" s="1136"/>
      <c r="DA834" s="1136"/>
      <c r="DB834" s="1136"/>
      <c r="DC834" s="1136"/>
      <c r="DD834" s="1136"/>
      <c r="DE834" s="1136"/>
      <c r="DF834" s="1136"/>
      <c r="DG834" s="1136"/>
      <c r="DH834" s="1136"/>
      <c r="DI834" s="1136"/>
    </row>
    <row r="835" spans="1:113" ht="47.25" x14ac:dyDescent="0.25">
      <c r="A835" s="1438" t="s">
        <v>423</v>
      </c>
      <c r="B835" s="1433"/>
      <c r="C835" s="1569"/>
      <c r="D835" s="1569"/>
      <c r="E835" s="1569"/>
      <c r="F835" s="1569"/>
      <c r="G835" s="1569"/>
      <c r="H835" s="1531"/>
      <c r="I835" s="1531"/>
      <c r="J835" s="1531"/>
      <c r="K835" s="1531"/>
      <c r="L835" s="1531"/>
      <c r="M835" s="1531"/>
      <c r="N835" s="1531"/>
      <c r="O835" s="1531"/>
      <c r="P835" s="1531"/>
      <c r="Q835" s="1531"/>
      <c r="R835" s="1531"/>
      <c r="S835" s="1531"/>
      <c r="T835" s="1531"/>
      <c r="U835" s="1531"/>
      <c r="V835" s="1531"/>
      <c r="W835" s="1531"/>
      <c r="X835" s="1531"/>
      <c r="Y835" s="1531"/>
      <c r="Z835" s="1531"/>
      <c r="AA835" s="1531"/>
      <c r="AB835" s="1531"/>
      <c r="AC835" s="1531"/>
      <c r="AD835" s="1531"/>
      <c r="AE835" s="1531"/>
      <c r="AF835" s="1531"/>
      <c r="AG835" s="1531"/>
      <c r="AH835" s="1531"/>
      <c r="AI835" s="1531"/>
      <c r="AJ835" s="1531"/>
      <c r="AK835" s="1531"/>
      <c r="AL835" s="1531"/>
      <c r="AM835" s="1531"/>
      <c r="AN835" s="1531"/>
      <c r="AO835" s="1531"/>
      <c r="AP835" s="1531"/>
      <c r="AQ835" s="1531"/>
      <c r="AR835" s="1531"/>
      <c r="AS835" s="1531"/>
      <c r="AT835" s="1136"/>
      <c r="AU835" s="1136"/>
      <c r="AV835" s="1136"/>
      <c r="AW835" s="1136"/>
      <c r="AX835" s="1136"/>
      <c r="AY835" s="1136"/>
      <c r="AZ835" s="1136"/>
      <c r="BA835" s="1136"/>
      <c r="BB835" s="1136"/>
      <c r="BC835" s="1136"/>
      <c r="BD835" s="1136"/>
      <c r="BE835" s="1136"/>
      <c r="BF835" s="1136"/>
      <c r="BG835" s="1136"/>
      <c r="BH835" s="1136"/>
      <c r="BI835" s="1136"/>
      <c r="BJ835" s="1136"/>
      <c r="BK835" s="1136"/>
      <c r="BL835" s="1136"/>
      <c r="BM835" s="1136"/>
      <c r="BN835" s="1136"/>
      <c r="BO835" s="1136"/>
      <c r="BP835" s="1136"/>
      <c r="BQ835" s="1136"/>
      <c r="BR835" s="1136"/>
      <c r="BS835" s="1136"/>
      <c r="BT835" s="1136"/>
      <c r="BU835" s="1136"/>
      <c r="BV835" s="1136"/>
      <c r="BW835" s="1136"/>
      <c r="BX835" s="1136"/>
      <c r="BY835" s="1136"/>
      <c r="BZ835" s="1136"/>
      <c r="CA835" s="1136"/>
      <c r="CB835" s="1136"/>
      <c r="CC835" s="1136"/>
      <c r="CD835" s="1136"/>
      <c r="CE835" s="1136"/>
      <c r="CF835" s="1136"/>
      <c r="CG835" s="1136"/>
      <c r="CH835" s="1136"/>
      <c r="CI835" s="1136"/>
      <c r="CJ835" s="1136"/>
      <c r="CK835" s="1136"/>
      <c r="CL835" s="1136"/>
      <c r="CM835" s="1136"/>
      <c r="CN835" s="1136"/>
      <c r="CO835" s="1136"/>
      <c r="CP835" s="1136"/>
      <c r="CQ835" s="1136"/>
      <c r="CR835" s="1136"/>
      <c r="CS835" s="1136"/>
      <c r="CT835" s="1136"/>
      <c r="CU835" s="1136"/>
      <c r="CV835" s="1136"/>
      <c r="CW835" s="1136"/>
      <c r="CX835" s="1136"/>
      <c r="CY835" s="1136"/>
      <c r="CZ835" s="1136"/>
      <c r="DA835" s="1136"/>
      <c r="DB835" s="1136"/>
      <c r="DC835" s="1136"/>
      <c r="DD835" s="1136"/>
      <c r="DE835" s="1136"/>
      <c r="DF835" s="1136"/>
      <c r="DG835" s="1136"/>
      <c r="DH835" s="1136"/>
      <c r="DI835" s="1136"/>
    </row>
    <row r="836" spans="1:113" ht="15.75" x14ac:dyDescent="0.25">
      <c r="A836" s="1420" t="s">
        <v>424</v>
      </c>
      <c r="B836" s="1439" t="e">
        <f>((B815/B308+1)-3)*B809</f>
        <v>#DIV/0!</v>
      </c>
      <c r="C836" s="1562"/>
      <c r="D836" s="1569"/>
      <c r="E836" s="1569"/>
      <c r="F836" s="1569"/>
      <c r="G836" s="1569"/>
      <c r="H836" s="1531"/>
      <c r="I836" s="1531"/>
      <c r="J836" s="1531"/>
      <c r="K836" s="1531"/>
      <c r="L836" s="1531"/>
      <c r="M836" s="1531"/>
      <c r="N836" s="1531"/>
      <c r="O836" s="1531"/>
      <c r="P836" s="1531"/>
      <c r="Q836" s="1531"/>
      <c r="R836" s="1531"/>
      <c r="S836" s="1531"/>
      <c r="T836" s="1531"/>
      <c r="U836" s="1531"/>
      <c r="V836" s="1531"/>
      <c r="W836" s="1531"/>
      <c r="X836" s="1531"/>
      <c r="Y836" s="1531"/>
      <c r="Z836" s="1531"/>
      <c r="AA836" s="1531"/>
      <c r="AB836" s="1531"/>
      <c r="AC836" s="1531"/>
      <c r="AD836" s="1531"/>
      <c r="AE836" s="1531"/>
      <c r="AF836" s="1531"/>
      <c r="AG836" s="1531"/>
      <c r="AH836" s="1531"/>
      <c r="AI836" s="1531"/>
      <c r="AJ836" s="1531"/>
      <c r="AK836" s="1531"/>
      <c r="AL836" s="1531"/>
      <c r="AM836" s="1531"/>
      <c r="AN836" s="1531"/>
      <c r="AO836" s="1531"/>
      <c r="AP836" s="1531"/>
      <c r="AQ836" s="1531"/>
      <c r="AR836" s="1531"/>
      <c r="AS836" s="1531"/>
      <c r="AT836" s="1136"/>
      <c r="AU836" s="1136"/>
      <c r="AV836" s="1136"/>
      <c r="AW836" s="1136"/>
      <c r="AX836" s="1136"/>
      <c r="AY836" s="1136"/>
      <c r="AZ836" s="1136"/>
      <c r="BA836" s="1136"/>
      <c r="BB836" s="1136"/>
      <c r="BC836" s="1136"/>
      <c r="BD836" s="1136"/>
      <c r="BE836" s="1136"/>
      <c r="BF836" s="1136"/>
      <c r="BG836" s="1136"/>
      <c r="BH836" s="1136"/>
      <c r="BI836" s="1136"/>
      <c r="BJ836" s="1136"/>
      <c r="BK836" s="1136"/>
      <c r="BL836" s="1136"/>
      <c r="BM836" s="1136"/>
      <c r="BN836" s="1136"/>
      <c r="BO836" s="1136"/>
      <c r="BP836" s="1136"/>
      <c r="BQ836" s="1136"/>
      <c r="BR836" s="1136"/>
      <c r="BS836" s="1136"/>
      <c r="BT836" s="1136"/>
      <c r="BU836" s="1136"/>
      <c r="BV836" s="1136"/>
      <c r="BW836" s="1136"/>
      <c r="BX836" s="1136"/>
      <c r="BY836" s="1136"/>
      <c r="BZ836" s="1136"/>
      <c r="CA836" s="1136"/>
      <c r="CB836" s="1136"/>
      <c r="CC836" s="1136"/>
      <c r="CD836" s="1136"/>
      <c r="CE836" s="1136"/>
      <c r="CF836" s="1136"/>
      <c r="CG836" s="1136"/>
      <c r="CH836" s="1136"/>
      <c r="CI836" s="1136"/>
      <c r="CJ836" s="1136"/>
      <c r="CK836" s="1136"/>
      <c r="CL836" s="1136"/>
      <c r="CM836" s="1136"/>
      <c r="CN836" s="1136"/>
      <c r="CO836" s="1136"/>
      <c r="CP836" s="1136"/>
      <c r="CQ836" s="1136"/>
      <c r="CR836" s="1136"/>
      <c r="CS836" s="1136"/>
      <c r="CT836" s="1136"/>
      <c r="CU836" s="1136"/>
      <c r="CV836" s="1136"/>
      <c r="CW836" s="1136"/>
      <c r="CX836" s="1136"/>
      <c r="CY836" s="1136"/>
      <c r="CZ836" s="1136"/>
      <c r="DA836" s="1136"/>
      <c r="DB836" s="1136"/>
      <c r="DC836" s="1136"/>
      <c r="DD836" s="1136"/>
      <c r="DE836" s="1136"/>
      <c r="DF836" s="1136"/>
      <c r="DG836" s="1136"/>
      <c r="DH836" s="1136"/>
      <c r="DI836" s="1136"/>
    </row>
    <row r="837" spans="1:113" ht="15.75" x14ac:dyDescent="0.25">
      <c r="A837" s="1420" t="s">
        <v>425</v>
      </c>
      <c r="B837" s="1424" t="e">
        <f>INDEX($U$1475:$X$1484,B838,B839)</f>
        <v>#VALUE!</v>
      </c>
      <c r="C837" s="1606"/>
      <c r="D837" s="1569"/>
      <c r="E837" s="1569"/>
      <c r="F837" s="1569"/>
      <c r="G837" s="1569"/>
      <c r="H837" s="1531"/>
      <c r="I837" s="1531"/>
      <c r="J837" s="1531"/>
      <c r="K837" s="1531"/>
      <c r="L837" s="1531"/>
      <c r="M837" s="1531"/>
      <c r="N837" s="1531"/>
      <c r="O837" s="1531"/>
      <c r="P837" s="1531"/>
      <c r="Q837" s="1531"/>
      <c r="R837" s="1531"/>
      <c r="S837" s="1531"/>
      <c r="T837" s="1531"/>
      <c r="U837" s="1531"/>
      <c r="V837" s="1531"/>
      <c r="W837" s="1531"/>
      <c r="X837" s="1531"/>
      <c r="Y837" s="1531"/>
      <c r="Z837" s="1531"/>
      <c r="AA837" s="1531"/>
      <c r="AB837" s="1531"/>
      <c r="AC837" s="1531"/>
      <c r="AD837" s="1531"/>
      <c r="AE837" s="1531"/>
      <c r="AF837" s="1531"/>
      <c r="AG837" s="1531"/>
      <c r="AH837" s="1531"/>
      <c r="AI837" s="1531"/>
      <c r="AJ837" s="1531"/>
      <c r="AK837" s="1531"/>
      <c r="AL837" s="1531"/>
      <c r="AM837" s="1531"/>
      <c r="AN837" s="1531"/>
      <c r="AO837" s="1531"/>
      <c r="AP837" s="1531"/>
      <c r="AQ837" s="1531"/>
      <c r="AR837" s="1531"/>
      <c r="AS837" s="1531"/>
      <c r="AT837" s="1136"/>
      <c r="AU837" s="1136"/>
      <c r="AV837" s="1136"/>
      <c r="AW837" s="1136"/>
      <c r="AX837" s="1136"/>
      <c r="AY837" s="1136"/>
      <c r="AZ837" s="1136"/>
      <c r="BA837" s="1136"/>
      <c r="BB837" s="1136"/>
      <c r="BC837" s="1136"/>
      <c r="BD837" s="1136"/>
      <c r="BE837" s="1136"/>
      <c r="BF837" s="1136"/>
      <c r="BG837" s="1136"/>
      <c r="BH837" s="1136"/>
      <c r="BI837" s="1136"/>
      <c r="BJ837" s="1136"/>
      <c r="BK837" s="1136"/>
      <c r="BL837" s="1136"/>
      <c r="BM837" s="1136"/>
      <c r="BN837" s="1136"/>
      <c r="BO837" s="1136"/>
      <c r="BP837" s="1136"/>
      <c r="BQ837" s="1136"/>
      <c r="BR837" s="1136"/>
      <c r="BS837" s="1136"/>
      <c r="BT837" s="1136"/>
      <c r="BU837" s="1136"/>
      <c r="BV837" s="1136"/>
      <c r="BW837" s="1136"/>
      <c r="BX837" s="1136"/>
      <c r="BY837" s="1136"/>
      <c r="BZ837" s="1136"/>
      <c r="CA837" s="1136"/>
      <c r="CB837" s="1136"/>
      <c r="CC837" s="1136"/>
      <c r="CD837" s="1136"/>
      <c r="CE837" s="1136"/>
      <c r="CF837" s="1136"/>
      <c r="CG837" s="1136"/>
      <c r="CH837" s="1136"/>
      <c r="CI837" s="1136"/>
      <c r="CJ837" s="1136"/>
      <c r="CK837" s="1136"/>
      <c r="CL837" s="1136"/>
      <c r="CM837" s="1136"/>
      <c r="CN837" s="1136"/>
      <c r="CO837" s="1136"/>
      <c r="CP837" s="1136"/>
      <c r="CQ837" s="1136"/>
      <c r="CR837" s="1136"/>
      <c r="CS837" s="1136"/>
      <c r="CT837" s="1136"/>
      <c r="CU837" s="1136"/>
      <c r="CV837" s="1136"/>
      <c r="CW837" s="1136"/>
      <c r="CX837" s="1136"/>
      <c r="CY837" s="1136"/>
      <c r="CZ837" s="1136"/>
      <c r="DA837" s="1136"/>
      <c r="DB837" s="1136"/>
      <c r="DC837" s="1136"/>
      <c r="DD837" s="1136"/>
      <c r="DE837" s="1136"/>
      <c r="DF837" s="1136"/>
      <c r="DG837" s="1136"/>
      <c r="DH837" s="1136"/>
      <c r="DI837" s="1136"/>
    </row>
    <row r="838" spans="1:113" ht="15.75" x14ac:dyDescent="0.25">
      <c r="A838" s="1420" t="s">
        <v>426</v>
      </c>
      <c r="B838" s="1441" t="e">
        <f>B821</f>
        <v>#VALUE!</v>
      </c>
      <c r="C838" s="1596"/>
      <c r="D838" s="1613"/>
      <c r="E838" s="1613"/>
      <c r="F838" s="1613"/>
      <c r="G838" s="1613"/>
      <c r="H838" s="1531"/>
      <c r="I838" s="1531"/>
      <c r="J838" s="1531"/>
      <c r="K838" s="1531"/>
      <c r="L838" s="1531"/>
      <c r="M838" s="1531"/>
      <c r="N838" s="1531"/>
      <c r="O838" s="1531"/>
      <c r="P838" s="1531"/>
      <c r="Q838" s="1531"/>
      <c r="R838" s="1531"/>
      <c r="S838" s="1531"/>
      <c r="T838" s="1531"/>
      <c r="U838" s="1531"/>
      <c r="V838" s="1531"/>
      <c r="W838" s="1531"/>
      <c r="X838" s="1531"/>
      <c r="Y838" s="1531"/>
      <c r="Z838" s="1531"/>
      <c r="AA838" s="1531"/>
      <c r="AB838" s="1531"/>
      <c r="AC838" s="1531"/>
      <c r="AD838" s="1531"/>
      <c r="AE838" s="1531"/>
      <c r="AF838" s="1531"/>
      <c r="AG838" s="1531"/>
      <c r="AH838" s="1531"/>
      <c r="AI838" s="1531"/>
      <c r="AJ838" s="1531"/>
      <c r="AK838" s="1531"/>
      <c r="AL838" s="1531"/>
      <c r="AM838" s="1531"/>
      <c r="AN838" s="1531"/>
      <c r="AO838" s="1531"/>
      <c r="AP838" s="1531"/>
      <c r="AQ838" s="1531"/>
      <c r="AR838" s="1531"/>
      <c r="AS838" s="1531"/>
      <c r="AT838" s="1136"/>
      <c r="AU838" s="1136"/>
      <c r="AV838" s="1136"/>
      <c r="AW838" s="1136"/>
      <c r="AX838" s="1136"/>
      <c r="AY838" s="1136"/>
      <c r="AZ838" s="1136"/>
      <c r="BA838" s="1136"/>
      <c r="BB838" s="1136"/>
      <c r="BC838" s="1136"/>
      <c r="BD838" s="1136"/>
      <c r="BE838" s="1136"/>
      <c r="BF838" s="1136"/>
      <c r="BG838" s="1136"/>
      <c r="BH838" s="1136"/>
      <c r="BI838" s="1136"/>
      <c r="BJ838" s="1136"/>
      <c r="BK838" s="1136"/>
      <c r="BL838" s="1136"/>
      <c r="BM838" s="1136"/>
      <c r="BN838" s="1136"/>
      <c r="BO838" s="1136"/>
      <c r="BP838" s="1136"/>
      <c r="BQ838" s="1136"/>
      <c r="BR838" s="1136"/>
      <c r="BS838" s="1136"/>
      <c r="BT838" s="1136"/>
      <c r="BU838" s="1136"/>
      <c r="BV838" s="1136"/>
      <c r="BW838" s="1136"/>
      <c r="BX838" s="1136"/>
      <c r="BY838" s="1136"/>
      <c r="BZ838" s="1136"/>
      <c r="CA838" s="1136"/>
      <c r="CB838" s="1136"/>
      <c r="CC838" s="1136"/>
      <c r="CD838" s="1136"/>
      <c r="CE838" s="1136"/>
      <c r="CF838" s="1136"/>
      <c r="CG838" s="1136"/>
      <c r="CH838" s="1136"/>
      <c r="CI838" s="1136"/>
      <c r="CJ838" s="1136"/>
      <c r="CK838" s="1136"/>
      <c r="CL838" s="1136"/>
      <c r="CM838" s="1136"/>
      <c r="CN838" s="1136"/>
      <c r="CO838" s="1136"/>
      <c r="CP838" s="1136"/>
      <c r="CQ838" s="1136"/>
      <c r="CR838" s="1136"/>
      <c r="CS838" s="1136"/>
      <c r="CT838" s="1136"/>
      <c r="CU838" s="1136"/>
      <c r="CV838" s="1136"/>
      <c r="CW838" s="1136"/>
      <c r="CX838" s="1136"/>
      <c r="CY838" s="1136"/>
      <c r="CZ838" s="1136"/>
      <c r="DA838" s="1136"/>
      <c r="DB838" s="1136"/>
      <c r="DC838" s="1136"/>
      <c r="DD838" s="1136"/>
      <c r="DE838" s="1136"/>
      <c r="DF838" s="1136"/>
      <c r="DG838" s="1136"/>
      <c r="DH838" s="1136"/>
      <c r="DI838" s="1136"/>
    </row>
    <row r="839" spans="1:113" ht="15.75" x14ac:dyDescent="0.25">
      <c r="A839" s="1420" t="s">
        <v>427</v>
      </c>
      <c r="B839" s="1614">
        <v>1</v>
      </c>
      <c r="C839" s="1615"/>
      <c r="D839" s="1569"/>
      <c r="E839" s="1569"/>
      <c r="F839" s="1569"/>
      <c r="G839" s="1569"/>
      <c r="H839" s="1531"/>
      <c r="I839" s="1531"/>
      <c r="J839" s="1531"/>
      <c r="K839" s="1531"/>
      <c r="L839" s="1531"/>
      <c r="M839" s="1531"/>
      <c r="N839" s="1531"/>
      <c r="O839" s="1531"/>
      <c r="P839" s="1531"/>
      <c r="Q839" s="1531"/>
      <c r="R839" s="1531"/>
      <c r="S839" s="1531"/>
      <c r="T839" s="1531"/>
      <c r="U839" s="1531"/>
      <c r="V839" s="1531"/>
      <c r="W839" s="1531"/>
      <c r="X839" s="1531"/>
      <c r="Y839" s="1531"/>
      <c r="Z839" s="1531"/>
      <c r="AA839" s="1531"/>
      <c r="AB839" s="1531"/>
      <c r="AC839" s="1531"/>
      <c r="AD839" s="1531"/>
      <c r="AE839" s="1531"/>
      <c r="AF839" s="1531"/>
      <c r="AG839" s="1531"/>
      <c r="AH839" s="1531"/>
      <c r="AI839" s="1531"/>
      <c r="AJ839" s="1531"/>
      <c r="AK839" s="1531"/>
      <c r="AL839" s="1531"/>
      <c r="AM839" s="1531"/>
      <c r="AN839" s="1531"/>
      <c r="AO839" s="1531"/>
      <c r="AP839" s="1531"/>
      <c r="AQ839" s="1531"/>
      <c r="AR839" s="1531"/>
      <c r="AS839" s="1531"/>
      <c r="AT839" s="1136"/>
      <c r="AU839" s="1136"/>
      <c r="AV839" s="1136"/>
      <c r="AW839" s="1136"/>
      <c r="AX839" s="1136"/>
      <c r="AY839" s="1136"/>
      <c r="AZ839" s="1136"/>
      <c r="BA839" s="1136"/>
      <c r="BB839" s="1136"/>
      <c r="BC839" s="1136"/>
      <c r="BD839" s="1136"/>
      <c r="BE839" s="1136"/>
      <c r="BF839" s="1136"/>
      <c r="BG839" s="1136"/>
      <c r="BH839" s="1136"/>
      <c r="BI839" s="1136"/>
      <c r="BJ839" s="1136"/>
      <c r="BK839" s="1136"/>
      <c r="BL839" s="1136"/>
      <c r="BM839" s="1136"/>
      <c r="BN839" s="1136"/>
      <c r="BO839" s="1136"/>
      <c r="BP839" s="1136"/>
      <c r="BQ839" s="1136"/>
      <c r="BR839" s="1136"/>
      <c r="BS839" s="1136"/>
      <c r="BT839" s="1136"/>
      <c r="BU839" s="1136"/>
      <c r="BV839" s="1136"/>
      <c r="BW839" s="1136"/>
      <c r="BX839" s="1136"/>
      <c r="BY839" s="1136"/>
      <c r="BZ839" s="1136"/>
      <c r="CA839" s="1136"/>
      <c r="CB839" s="1136"/>
      <c r="CC839" s="1136"/>
      <c r="CD839" s="1136"/>
      <c r="CE839" s="1136"/>
      <c r="CF839" s="1136"/>
      <c r="CG839" s="1136"/>
      <c r="CH839" s="1136"/>
      <c r="CI839" s="1136"/>
      <c r="CJ839" s="1136"/>
      <c r="CK839" s="1136"/>
      <c r="CL839" s="1136"/>
      <c r="CM839" s="1136"/>
      <c r="CN839" s="1136"/>
      <c r="CO839" s="1136"/>
      <c r="CP839" s="1136"/>
      <c r="CQ839" s="1136"/>
      <c r="CR839" s="1136"/>
      <c r="CS839" s="1136"/>
      <c r="CT839" s="1136"/>
      <c r="CU839" s="1136"/>
      <c r="CV839" s="1136"/>
      <c r="CW839" s="1136"/>
      <c r="CX839" s="1136"/>
      <c r="CY839" s="1136"/>
      <c r="CZ839" s="1136"/>
      <c r="DA839" s="1136"/>
      <c r="DB839" s="1136"/>
      <c r="DC839" s="1136"/>
      <c r="DD839" s="1136"/>
      <c r="DE839" s="1136"/>
      <c r="DF839" s="1136"/>
      <c r="DG839" s="1136"/>
      <c r="DH839" s="1136"/>
      <c r="DI839" s="1136"/>
    </row>
    <row r="840" spans="1:113" ht="15.75" x14ac:dyDescent="0.25">
      <c r="A840" s="1420" t="s">
        <v>428</v>
      </c>
      <c r="B840" s="1439" t="e">
        <f>B825*B826*B827*B828*B830*B831*B341</f>
        <v>#VALUE!</v>
      </c>
      <c r="C840" s="1562"/>
      <c r="D840" s="1566"/>
      <c r="E840" s="1566"/>
      <c r="F840" s="1566"/>
      <c r="G840" s="1566"/>
      <c r="H840" s="1531"/>
      <c r="I840" s="1531"/>
      <c r="J840" s="1531"/>
      <c r="K840" s="1531"/>
      <c r="L840" s="1531"/>
      <c r="M840" s="1531"/>
      <c r="N840" s="1531"/>
      <c r="O840" s="1531"/>
      <c r="P840" s="1531"/>
      <c r="Q840" s="1531"/>
      <c r="R840" s="1531"/>
      <c r="S840" s="1531"/>
      <c r="T840" s="1531"/>
      <c r="U840" s="1531"/>
      <c r="V840" s="1531"/>
      <c r="W840" s="1531"/>
      <c r="X840" s="1531"/>
      <c r="Y840" s="1531"/>
      <c r="Z840" s="1531"/>
      <c r="AA840" s="1531"/>
      <c r="AB840" s="1531"/>
      <c r="AC840" s="1531"/>
      <c r="AD840" s="1531"/>
      <c r="AE840" s="1531"/>
      <c r="AF840" s="1531"/>
      <c r="AG840" s="1531"/>
      <c r="AH840" s="1531"/>
      <c r="AI840" s="1531"/>
      <c r="AJ840" s="1531"/>
      <c r="AK840" s="1531"/>
      <c r="AL840" s="1531"/>
      <c r="AM840" s="1531"/>
      <c r="AN840" s="1531"/>
      <c r="AO840" s="1531"/>
      <c r="AP840" s="1531"/>
      <c r="AQ840" s="1531"/>
      <c r="AR840" s="1531"/>
      <c r="AS840" s="1531"/>
      <c r="AT840" s="1136"/>
      <c r="AU840" s="1136"/>
      <c r="AV840" s="1136"/>
      <c r="AW840" s="1136"/>
      <c r="AX840" s="1136"/>
      <c r="AY840" s="1136"/>
      <c r="AZ840" s="1136"/>
      <c r="BA840" s="1136"/>
      <c r="BB840" s="1136"/>
      <c r="BC840" s="1136"/>
      <c r="BD840" s="1136"/>
      <c r="BE840" s="1136"/>
      <c r="BF840" s="1136"/>
      <c r="BG840" s="1136"/>
      <c r="BH840" s="1136"/>
      <c r="BI840" s="1136"/>
      <c r="BJ840" s="1136"/>
      <c r="BK840" s="1136"/>
      <c r="BL840" s="1136"/>
      <c r="BM840" s="1136"/>
      <c r="BN840" s="1136"/>
      <c r="BO840" s="1136"/>
      <c r="BP840" s="1136"/>
      <c r="BQ840" s="1136"/>
      <c r="BR840" s="1136"/>
      <c r="BS840" s="1136"/>
      <c r="BT840" s="1136"/>
      <c r="BU840" s="1136"/>
      <c r="BV840" s="1136"/>
      <c r="BW840" s="1136"/>
      <c r="BX840" s="1136"/>
      <c r="BY840" s="1136"/>
      <c r="BZ840" s="1136"/>
      <c r="CA840" s="1136"/>
      <c r="CB840" s="1136"/>
      <c r="CC840" s="1136"/>
      <c r="CD840" s="1136"/>
      <c r="CE840" s="1136"/>
      <c r="CF840" s="1136"/>
      <c r="CG840" s="1136"/>
      <c r="CH840" s="1136"/>
      <c r="CI840" s="1136"/>
      <c r="CJ840" s="1136"/>
      <c r="CK840" s="1136"/>
      <c r="CL840" s="1136"/>
      <c r="CM840" s="1136"/>
      <c r="CN840" s="1136"/>
      <c r="CO840" s="1136"/>
      <c r="CP840" s="1136"/>
      <c r="CQ840" s="1136"/>
      <c r="CR840" s="1136"/>
      <c r="CS840" s="1136"/>
      <c r="CT840" s="1136"/>
      <c r="CU840" s="1136"/>
      <c r="CV840" s="1136"/>
      <c r="CW840" s="1136"/>
      <c r="CX840" s="1136"/>
      <c r="CY840" s="1136"/>
      <c r="CZ840" s="1136"/>
      <c r="DA840" s="1136"/>
      <c r="DB840" s="1136"/>
      <c r="DC840" s="1136"/>
      <c r="DD840" s="1136"/>
      <c r="DE840" s="1136"/>
      <c r="DF840" s="1136"/>
      <c r="DG840" s="1136"/>
      <c r="DH840" s="1136"/>
      <c r="DI840" s="1136"/>
    </row>
    <row r="841" spans="1:113" ht="15.75" x14ac:dyDescent="0.25">
      <c r="A841" s="1420" t="s">
        <v>3412</v>
      </c>
      <c r="B841" s="1439" t="e">
        <f>B837*B840</f>
        <v>#VALUE!</v>
      </c>
      <c r="C841" s="1562"/>
      <c r="D841" s="1531"/>
      <c r="E841" s="1531"/>
      <c r="F841" s="1531"/>
      <c r="G841" s="1531"/>
      <c r="H841" s="1531"/>
      <c r="I841" s="1531"/>
      <c r="J841" s="1531"/>
      <c r="K841" s="1531"/>
      <c r="L841" s="1531"/>
      <c r="M841" s="1531"/>
      <c r="N841" s="1531"/>
      <c r="O841" s="1531"/>
      <c r="P841" s="1531"/>
      <c r="Q841" s="1531"/>
      <c r="R841" s="1531"/>
      <c r="S841" s="1531"/>
      <c r="T841" s="1531"/>
      <c r="U841" s="1531"/>
      <c r="V841" s="1531"/>
      <c r="W841" s="1531"/>
      <c r="X841" s="1531"/>
      <c r="Y841" s="1531"/>
      <c r="Z841" s="1531"/>
      <c r="AA841" s="1531"/>
      <c r="AB841" s="1531"/>
      <c r="AC841" s="1531"/>
      <c r="AD841" s="1531"/>
      <c r="AE841" s="1531"/>
      <c r="AF841" s="1531"/>
      <c r="AG841" s="1531"/>
      <c r="AH841" s="1531"/>
      <c r="AI841" s="1531"/>
      <c r="AJ841" s="1531"/>
      <c r="AK841" s="1531"/>
      <c r="AL841" s="1531"/>
      <c r="AM841" s="1531"/>
      <c r="AN841" s="1531"/>
      <c r="AO841" s="1531"/>
      <c r="AP841" s="1531"/>
      <c r="AQ841" s="1531"/>
      <c r="AR841" s="1531"/>
      <c r="AS841" s="1531"/>
      <c r="AT841" s="1136"/>
      <c r="AU841" s="1136"/>
      <c r="AV841" s="1136"/>
      <c r="AW841" s="1136"/>
      <c r="AX841" s="1136"/>
      <c r="AY841" s="1136"/>
      <c r="AZ841" s="1136"/>
      <c r="BA841" s="1136"/>
      <c r="BB841" s="1136"/>
      <c r="BC841" s="1136"/>
      <c r="BD841" s="1136"/>
      <c r="BE841" s="1136"/>
      <c r="BF841" s="1136"/>
      <c r="BG841" s="1136"/>
      <c r="BH841" s="1136"/>
      <c r="BI841" s="1136"/>
      <c r="BJ841" s="1136"/>
      <c r="BK841" s="1136"/>
      <c r="BL841" s="1136"/>
      <c r="BM841" s="1136"/>
      <c r="BN841" s="1136"/>
      <c r="BO841" s="1136"/>
      <c r="BP841" s="1136"/>
      <c r="BQ841" s="1136"/>
      <c r="BR841" s="1136"/>
      <c r="BS841" s="1136"/>
      <c r="BT841" s="1136"/>
      <c r="BU841" s="1136"/>
      <c r="BV841" s="1136"/>
      <c r="BW841" s="1136"/>
      <c r="BX841" s="1136"/>
      <c r="BY841" s="1136"/>
      <c r="BZ841" s="1136"/>
      <c r="CA841" s="1136"/>
      <c r="CB841" s="1136"/>
      <c r="CC841" s="1136"/>
      <c r="CD841" s="1136"/>
      <c r="CE841" s="1136"/>
      <c r="CF841" s="1136"/>
      <c r="CG841" s="1136"/>
      <c r="CH841" s="1136"/>
      <c r="CI841" s="1136"/>
      <c r="CJ841" s="1136"/>
      <c r="CK841" s="1136"/>
      <c r="CL841" s="1136"/>
      <c r="CM841" s="1136"/>
      <c r="CN841" s="1136"/>
      <c r="CO841" s="1136"/>
      <c r="CP841" s="1136"/>
      <c r="CQ841" s="1136"/>
      <c r="CR841" s="1136"/>
      <c r="CS841" s="1136"/>
      <c r="CT841" s="1136"/>
      <c r="CU841" s="1136"/>
      <c r="CV841" s="1136"/>
      <c r="CW841" s="1136"/>
      <c r="CX841" s="1136"/>
      <c r="CY841" s="1136"/>
      <c r="CZ841" s="1136"/>
      <c r="DA841" s="1136"/>
      <c r="DB841" s="1136"/>
      <c r="DC841" s="1136"/>
      <c r="DD841" s="1136"/>
      <c r="DE841" s="1136"/>
      <c r="DF841" s="1136"/>
      <c r="DG841" s="1136"/>
      <c r="DH841" s="1136"/>
      <c r="DI841" s="1136"/>
    </row>
    <row r="842" spans="1:113" ht="15.75" x14ac:dyDescent="0.25">
      <c r="A842" s="1422" t="s">
        <v>429</v>
      </c>
      <c r="B842" s="1439" t="e">
        <f>B836/B841</f>
        <v>#DIV/0!</v>
      </c>
      <c r="C842" s="1562"/>
      <c r="D842" s="1531"/>
      <c r="E842" s="1531"/>
      <c r="F842" s="1531"/>
      <c r="G842" s="1531"/>
      <c r="H842" s="1531"/>
      <c r="I842" s="1531"/>
      <c r="J842" s="1531"/>
      <c r="K842" s="1531"/>
      <c r="L842" s="1531"/>
      <c r="M842" s="1531"/>
      <c r="N842" s="1531"/>
      <c r="O842" s="1531"/>
      <c r="P842" s="1531"/>
      <c r="Q842" s="1531"/>
      <c r="R842" s="1531"/>
      <c r="S842" s="1531"/>
      <c r="T842" s="1531"/>
      <c r="U842" s="1531"/>
      <c r="V842" s="1531"/>
      <c r="W842" s="1531"/>
      <c r="X842" s="1531"/>
      <c r="Y842" s="1531"/>
      <c r="Z842" s="1531"/>
      <c r="AA842" s="1531"/>
      <c r="AB842" s="1531"/>
      <c r="AC842" s="1531"/>
      <c r="AD842" s="1531"/>
      <c r="AE842" s="1531"/>
      <c r="AF842" s="1531"/>
      <c r="AG842" s="1531"/>
      <c r="AH842" s="1531"/>
      <c r="AI842" s="1531"/>
      <c r="AJ842" s="1531"/>
      <c r="AK842" s="1531"/>
      <c r="AL842" s="1531"/>
      <c r="AM842" s="1531"/>
      <c r="AN842" s="1531"/>
      <c r="AO842" s="1531"/>
      <c r="AP842" s="1531"/>
      <c r="AQ842" s="1531"/>
      <c r="AR842" s="1531"/>
      <c r="AS842" s="1531"/>
      <c r="AT842" s="1136"/>
      <c r="AU842" s="1136"/>
      <c r="AV842" s="1136"/>
      <c r="AW842" s="1136"/>
      <c r="AX842" s="1136"/>
      <c r="AY842" s="1136"/>
      <c r="AZ842" s="1136"/>
      <c r="BA842" s="1136"/>
      <c r="BB842" s="1136"/>
      <c r="BC842" s="1136"/>
      <c r="BD842" s="1136"/>
      <c r="BE842" s="1136"/>
      <c r="BF842" s="1136"/>
      <c r="BG842" s="1136"/>
      <c r="BH842" s="1136"/>
      <c r="BI842" s="1136"/>
      <c r="BJ842" s="1136"/>
      <c r="BK842" s="1136"/>
      <c r="BL842" s="1136"/>
      <c r="BM842" s="1136"/>
      <c r="BN842" s="1136"/>
      <c r="BO842" s="1136"/>
      <c r="BP842" s="1136"/>
      <c r="BQ842" s="1136"/>
      <c r="BR842" s="1136"/>
      <c r="BS842" s="1136"/>
      <c r="BT842" s="1136"/>
      <c r="BU842" s="1136"/>
      <c r="BV842" s="1136"/>
      <c r="BW842" s="1136"/>
      <c r="BX842" s="1136"/>
      <c r="BY842" s="1136"/>
      <c r="BZ842" s="1136"/>
      <c r="CA842" s="1136"/>
      <c r="CB842" s="1136"/>
      <c r="CC842" s="1136"/>
      <c r="CD842" s="1136"/>
      <c r="CE842" s="1136"/>
      <c r="CF842" s="1136"/>
      <c r="CG842" s="1136"/>
      <c r="CH842" s="1136"/>
      <c r="CI842" s="1136"/>
      <c r="CJ842" s="1136"/>
      <c r="CK842" s="1136"/>
      <c r="CL842" s="1136"/>
      <c r="CM842" s="1136"/>
      <c r="CN842" s="1136"/>
      <c r="CO842" s="1136"/>
      <c r="CP842" s="1136"/>
      <c r="CQ842" s="1136"/>
      <c r="CR842" s="1136"/>
      <c r="CS842" s="1136"/>
      <c r="CT842" s="1136"/>
      <c r="CU842" s="1136"/>
      <c r="CV842" s="1136"/>
      <c r="CW842" s="1136"/>
      <c r="CX842" s="1136"/>
      <c r="CY842" s="1136"/>
      <c r="CZ842" s="1136"/>
      <c r="DA842" s="1136"/>
      <c r="DB842" s="1136"/>
      <c r="DC842" s="1136"/>
      <c r="DD842" s="1136"/>
      <c r="DE842" s="1136"/>
      <c r="DF842" s="1136"/>
      <c r="DG842" s="1136"/>
      <c r="DH842" s="1136"/>
      <c r="DI842" s="1136"/>
    </row>
    <row r="843" spans="1:113" ht="15.75" x14ac:dyDescent="0.25">
      <c r="A843" s="1420"/>
      <c r="B843" s="1439"/>
      <c r="C843" s="1562"/>
      <c r="D843" s="1562"/>
      <c r="E843" s="1562"/>
      <c r="F843" s="1562"/>
      <c r="G843" s="1562"/>
      <c r="H843" s="1531"/>
      <c r="I843" s="1531"/>
      <c r="J843" s="1531"/>
      <c r="K843" s="1531"/>
      <c r="L843" s="1531"/>
      <c r="M843" s="1531"/>
      <c r="N843" s="1531"/>
      <c r="O843" s="1531"/>
      <c r="P843" s="1531"/>
      <c r="Q843" s="1531"/>
      <c r="R843" s="1531"/>
      <c r="S843" s="1531"/>
      <c r="T843" s="1531"/>
      <c r="U843" s="1531"/>
      <c r="V843" s="1531"/>
      <c r="W843" s="1531"/>
      <c r="X843" s="1531"/>
      <c r="Y843" s="1531"/>
      <c r="Z843" s="1531"/>
      <c r="AA843" s="1531"/>
      <c r="AB843" s="1531"/>
      <c r="AC843" s="1531"/>
      <c r="AD843" s="1531"/>
      <c r="AE843" s="1531"/>
      <c r="AF843" s="1531"/>
      <c r="AG843" s="1531"/>
      <c r="AH843" s="1531"/>
      <c r="AI843" s="1531"/>
      <c r="AJ843" s="1531"/>
      <c r="AK843" s="1531"/>
      <c r="AL843" s="1531"/>
      <c r="AM843" s="1531"/>
      <c r="AN843" s="1531"/>
      <c r="AO843" s="1531"/>
      <c r="AP843" s="1531"/>
      <c r="AQ843" s="1531"/>
      <c r="AR843" s="1531"/>
      <c r="AS843" s="1531"/>
      <c r="AT843" s="1136"/>
      <c r="AU843" s="1136"/>
      <c r="AV843" s="1136"/>
      <c r="AW843" s="1136"/>
      <c r="AX843" s="1136"/>
      <c r="AY843" s="1136"/>
      <c r="AZ843" s="1136"/>
      <c r="BA843" s="1136"/>
      <c r="BB843" s="1136"/>
      <c r="BC843" s="1136"/>
      <c r="BD843" s="1136"/>
      <c r="BE843" s="1136"/>
      <c r="BF843" s="1136"/>
      <c r="BG843" s="1136"/>
      <c r="BH843" s="1136"/>
      <c r="BI843" s="1136"/>
      <c r="BJ843" s="1136"/>
      <c r="BK843" s="1136"/>
      <c r="BL843" s="1136"/>
      <c r="BM843" s="1136"/>
      <c r="BN843" s="1136"/>
      <c r="BO843" s="1136"/>
      <c r="BP843" s="1136"/>
      <c r="BQ843" s="1136"/>
      <c r="BR843" s="1136"/>
      <c r="BS843" s="1136"/>
      <c r="BT843" s="1136"/>
      <c r="BU843" s="1136"/>
      <c r="BV843" s="1136"/>
      <c r="BW843" s="1136"/>
      <c r="BX843" s="1136"/>
      <c r="BY843" s="1136"/>
      <c r="BZ843" s="1136"/>
      <c r="CA843" s="1136"/>
      <c r="CB843" s="1136"/>
      <c r="CC843" s="1136"/>
      <c r="CD843" s="1136"/>
      <c r="CE843" s="1136"/>
      <c r="CF843" s="1136"/>
      <c r="CG843" s="1136"/>
      <c r="CH843" s="1136"/>
      <c r="CI843" s="1136"/>
      <c r="CJ843" s="1136"/>
      <c r="CK843" s="1136"/>
      <c r="CL843" s="1136"/>
      <c r="CM843" s="1136"/>
      <c r="CN843" s="1136"/>
      <c r="CO843" s="1136"/>
      <c r="CP843" s="1136"/>
      <c r="CQ843" s="1136"/>
      <c r="CR843" s="1136"/>
      <c r="CS843" s="1136"/>
      <c r="CT843" s="1136"/>
      <c r="CU843" s="1136"/>
      <c r="CV843" s="1136"/>
      <c r="CW843" s="1136"/>
      <c r="CX843" s="1136"/>
      <c r="CY843" s="1136"/>
      <c r="CZ843" s="1136"/>
      <c r="DA843" s="1136"/>
      <c r="DB843" s="1136"/>
      <c r="DC843" s="1136"/>
      <c r="DD843" s="1136"/>
      <c r="DE843" s="1136"/>
      <c r="DF843" s="1136"/>
      <c r="DG843" s="1136"/>
      <c r="DH843" s="1136"/>
      <c r="DI843" s="1136"/>
    </row>
    <row r="844" spans="1:113" ht="47.25" x14ac:dyDescent="0.25">
      <c r="A844" s="1438" t="s">
        <v>3389</v>
      </c>
      <c r="B844" s="1439"/>
      <c r="C844" s="1562"/>
      <c r="D844" s="1606"/>
      <c r="E844" s="1606"/>
      <c r="F844" s="1606"/>
      <c r="G844" s="1606"/>
      <c r="H844" s="1531"/>
      <c r="I844" s="1531"/>
      <c r="J844" s="1531"/>
      <c r="K844" s="1531"/>
      <c r="L844" s="1531"/>
      <c r="M844" s="1531"/>
      <c r="N844" s="1531"/>
      <c r="O844" s="1531"/>
      <c r="P844" s="1531"/>
      <c r="Q844" s="1531"/>
      <c r="R844" s="1531"/>
      <c r="S844" s="1531"/>
      <c r="T844" s="1531"/>
      <c r="U844" s="1531"/>
      <c r="V844" s="1531"/>
      <c r="W844" s="1531"/>
      <c r="X844" s="1531"/>
      <c r="Y844" s="1531"/>
      <c r="Z844" s="1531"/>
      <c r="AA844" s="1531"/>
      <c r="AB844" s="1531"/>
      <c r="AC844" s="1531"/>
      <c r="AD844" s="1531"/>
      <c r="AE844" s="1531"/>
      <c r="AF844" s="1531"/>
      <c r="AG844" s="1531"/>
      <c r="AH844" s="1531"/>
      <c r="AI844" s="1531"/>
      <c r="AJ844" s="1531"/>
      <c r="AK844" s="1531"/>
      <c r="AL844" s="1531"/>
      <c r="AM844" s="1531"/>
      <c r="AN844" s="1531"/>
      <c r="AO844" s="1531"/>
      <c r="AP844" s="1531"/>
      <c r="AQ844" s="1531"/>
      <c r="AR844" s="1531"/>
      <c r="AS844" s="1531"/>
      <c r="AT844" s="1136"/>
      <c r="AU844" s="1136"/>
      <c r="AV844" s="1136"/>
      <c r="AW844" s="1136"/>
      <c r="AX844" s="1136"/>
      <c r="AY844" s="1136"/>
      <c r="AZ844" s="1136"/>
      <c r="BA844" s="1136"/>
      <c r="BB844" s="1136"/>
      <c r="BC844" s="1136"/>
      <c r="BD844" s="1136"/>
      <c r="BE844" s="1136"/>
      <c r="BF844" s="1136"/>
      <c r="BG844" s="1136"/>
      <c r="BH844" s="1136"/>
      <c r="BI844" s="1136"/>
      <c r="BJ844" s="1136"/>
      <c r="BK844" s="1136"/>
      <c r="BL844" s="1136"/>
      <c r="BM844" s="1136"/>
      <c r="BN844" s="1136"/>
      <c r="BO844" s="1136"/>
      <c r="BP844" s="1136"/>
      <c r="BQ844" s="1136"/>
      <c r="BR844" s="1136"/>
      <c r="BS844" s="1136"/>
      <c r="BT844" s="1136"/>
      <c r="BU844" s="1136"/>
      <c r="BV844" s="1136"/>
      <c r="BW844" s="1136"/>
      <c r="BX844" s="1136"/>
      <c r="BY844" s="1136"/>
      <c r="BZ844" s="1136"/>
      <c r="CA844" s="1136"/>
      <c r="CB844" s="1136"/>
      <c r="CC844" s="1136"/>
      <c r="CD844" s="1136"/>
      <c r="CE844" s="1136"/>
      <c r="CF844" s="1136"/>
      <c r="CG844" s="1136"/>
      <c r="CH844" s="1136"/>
      <c r="CI844" s="1136"/>
      <c r="CJ844" s="1136"/>
      <c r="CK844" s="1136"/>
      <c r="CL844" s="1136"/>
      <c r="CM844" s="1136"/>
      <c r="CN844" s="1136"/>
      <c r="CO844" s="1136"/>
      <c r="CP844" s="1136"/>
      <c r="CQ844" s="1136"/>
      <c r="CR844" s="1136"/>
      <c r="CS844" s="1136"/>
      <c r="CT844" s="1136"/>
      <c r="CU844" s="1136"/>
      <c r="CV844" s="1136"/>
      <c r="CW844" s="1136"/>
      <c r="CX844" s="1136"/>
      <c r="CY844" s="1136"/>
      <c r="CZ844" s="1136"/>
      <c r="DA844" s="1136"/>
      <c r="DB844" s="1136"/>
      <c r="DC844" s="1136"/>
      <c r="DD844" s="1136"/>
      <c r="DE844" s="1136"/>
      <c r="DF844" s="1136"/>
      <c r="DG844" s="1136"/>
      <c r="DH844" s="1136"/>
      <c r="DI844" s="1136"/>
    </row>
    <row r="845" spans="1:113" ht="15.75" x14ac:dyDescent="0.25">
      <c r="A845" s="1420" t="s">
        <v>424</v>
      </c>
      <c r="B845" s="1439" t="e">
        <f>(B291^2*((B815-B811)/B308+1)/(B815-B811))*B809</f>
        <v>#DIV/0!</v>
      </c>
      <c r="C845" s="1562"/>
      <c r="D845" s="1596"/>
      <c r="E845" s="1596"/>
      <c r="F845" s="1596"/>
      <c r="G845" s="1596"/>
      <c r="H845" s="1531"/>
      <c r="I845" s="1531"/>
      <c r="J845" s="1531"/>
      <c r="K845" s="1531"/>
      <c r="L845" s="1531"/>
      <c r="M845" s="1531"/>
      <c r="N845" s="1531"/>
      <c r="O845" s="1531"/>
      <c r="P845" s="1531"/>
      <c r="Q845" s="1531"/>
      <c r="R845" s="1531"/>
      <c r="S845" s="1531"/>
      <c r="T845" s="1531"/>
      <c r="U845" s="1531"/>
      <c r="V845" s="1531"/>
      <c r="W845" s="1531"/>
      <c r="X845" s="1531"/>
      <c r="Y845" s="1531"/>
      <c r="Z845" s="1531"/>
      <c r="AA845" s="1531"/>
      <c r="AB845" s="1531"/>
      <c r="AC845" s="1531"/>
      <c r="AD845" s="1531"/>
      <c r="AE845" s="1531"/>
      <c r="AF845" s="1531"/>
      <c r="AG845" s="1531"/>
      <c r="AH845" s="1531"/>
      <c r="AI845" s="1531"/>
      <c r="AJ845" s="1531"/>
      <c r="AK845" s="1531"/>
      <c r="AL845" s="1531"/>
      <c r="AM845" s="1531"/>
      <c r="AN845" s="1531"/>
      <c r="AO845" s="1531"/>
      <c r="AP845" s="1531"/>
      <c r="AQ845" s="1531"/>
      <c r="AR845" s="1531"/>
      <c r="AS845" s="1531"/>
      <c r="AT845" s="1136"/>
      <c r="AU845" s="1136"/>
      <c r="AV845" s="1136"/>
      <c r="AW845" s="1136"/>
      <c r="AX845" s="1136"/>
      <c r="AY845" s="1136"/>
      <c r="AZ845" s="1136"/>
      <c r="BA845" s="1136"/>
      <c r="BB845" s="1136"/>
      <c r="BC845" s="1136"/>
      <c r="BD845" s="1136"/>
      <c r="BE845" s="1136"/>
      <c r="BF845" s="1136"/>
      <c r="BG845" s="1136"/>
      <c r="BH845" s="1136"/>
      <c r="BI845" s="1136"/>
      <c r="BJ845" s="1136"/>
      <c r="BK845" s="1136"/>
      <c r="BL845" s="1136"/>
      <c r="BM845" s="1136"/>
      <c r="BN845" s="1136"/>
      <c r="BO845" s="1136"/>
      <c r="BP845" s="1136"/>
      <c r="BQ845" s="1136"/>
      <c r="BR845" s="1136"/>
      <c r="BS845" s="1136"/>
      <c r="BT845" s="1136"/>
      <c r="BU845" s="1136"/>
      <c r="BV845" s="1136"/>
      <c r="BW845" s="1136"/>
      <c r="BX845" s="1136"/>
      <c r="BY845" s="1136"/>
      <c r="BZ845" s="1136"/>
      <c r="CA845" s="1136"/>
      <c r="CB845" s="1136"/>
      <c r="CC845" s="1136"/>
      <c r="CD845" s="1136"/>
      <c r="CE845" s="1136"/>
      <c r="CF845" s="1136"/>
      <c r="CG845" s="1136"/>
      <c r="CH845" s="1136"/>
      <c r="CI845" s="1136"/>
      <c r="CJ845" s="1136"/>
      <c r="CK845" s="1136"/>
      <c r="CL845" s="1136"/>
      <c r="CM845" s="1136"/>
      <c r="CN845" s="1136"/>
      <c r="CO845" s="1136"/>
      <c r="CP845" s="1136"/>
      <c r="CQ845" s="1136"/>
      <c r="CR845" s="1136"/>
      <c r="CS845" s="1136"/>
      <c r="CT845" s="1136"/>
      <c r="CU845" s="1136"/>
      <c r="CV845" s="1136"/>
      <c r="CW845" s="1136"/>
      <c r="CX845" s="1136"/>
      <c r="CY845" s="1136"/>
      <c r="CZ845" s="1136"/>
      <c r="DA845" s="1136"/>
      <c r="DB845" s="1136"/>
      <c r="DC845" s="1136"/>
      <c r="DD845" s="1136"/>
      <c r="DE845" s="1136"/>
      <c r="DF845" s="1136"/>
      <c r="DG845" s="1136"/>
      <c r="DH845" s="1136"/>
      <c r="DI845" s="1136"/>
    </row>
    <row r="846" spans="1:113" ht="15.75" x14ac:dyDescent="0.25">
      <c r="A846" s="1420" t="s">
        <v>3390</v>
      </c>
      <c r="B846" s="1441" t="e">
        <f>IF(B820&lt;23.1,281,IF(B820&lt;29.1,250,IF(B820&lt;36.1,224,IF(B820&lt;45.1,197,IF(B820&lt;55.1,172,IF(B820&lt;65.1,149,128))))))</f>
        <v>#VALUE!</v>
      </c>
      <c r="C846" s="1596"/>
      <c r="D846" s="1615"/>
      <c r="E846" s="1615"/>
      <c r="F846" s="1615"/>
      <c r="G846" s="1615"/>
      <c r="H846" s="1531"/>
      <c r="I846" s="1531"/>
      <c r="J846" s="1531"/>
      <c r="K846" s="1531"/>
      <c r="L846" s="1531"/>
      <c r="M846" s="1531"/>
      <c r="N846" s="1531"/>
      <c r="O846" s="1531"/>
      <c r="P846" s="1531"/>
      <c r="Q846" s="1531"/>
      <c r="R846" s="1531"/>
      <c r="S846" s="1531"/>
      <c r="T846" s="1531"/>
      <c r="U846" s="1531"/>
      <c r="V846" s="1531"/>
      <c r="W846" s="1531"/>
      <c r="X846" s="1531"/>
      <c r="Y846" s="1531"/>
      <c r="Z846" s="1531"/>
      <c r="AA846" s="1531"/>
      <c r="AB846" s="1531"/>
      <c r="AC846" s="1531"/>
      <c r="AD846" s="1531"/>
      <c r="AE846" s="1531"/>
      <c r="AF846" s="1531"/>
      <c r="AG846" s="1531"/>
      <c r="AH846" s="1531"/>
      <c r="AI846" s="1531"/>
      <c r="AJ846" s="1531"/>
      <c r="AK846" s="1531"/>
      <c r="AL846" s="1531"/>
      <c r="AM846" s="1531"/>
      <c r="AN846" s="1531"/>
      <c r="AO846" s="1531"/>
      <c r="AP846" s="1531"/>
      <c r="AQ846" s="1531"/>
      <c r="AR846" s="1531"/>
      <c r="AS846" s="1531"/>
      <c r="AT846" s="1136"/>
      <c r="AU846" s="1136"/>
      <c r="AV846" s="1136"/>
      <c r="AW846" s="1136"/>
      <c r="AX846" s="1136"/>
      <c r="AY846" s="1136"/>
      <c r="AZ846" s="1136"/>
      <c r="BA846" s="1136"/>
      <c r="BB846" s="1136"/>
      <c r="BC846" s="1136"/>
      <c r="BD846" s="1136"/>
      <c r="BE846" s="1136"/>
      <c r="BF846" s="1136"/>
      <c r="BG846" s="1136"/>
      <c r="BH846" s="1136"/>
      <c r="BI846" s="1136"/>
      <c r="BJ846" s="1136"/>
      <c r="BK846" s="1136"/>
      <c r="BL846" s="1136"/>
      <c r="BM846" s="1136"/>
      <c r="BN846" s="1136"/>
      <c r="BO846" s="1136"/>
      <c r="BP846" s="1136"/>
      <c r="BQ846" s="1136"/>
      <c r="BR846" s="1136"/>
      <c r="BS846" s="1136"/>
      <c r="BT846" s="1136"/>
      <c r="BU846" s="1136"/>
      <c r="BV846" s="1136"/>
      <c r="BW846" s="1136"/>
      <c r="BX846" s="1136"/>
      <c r="BY846" s="1136"/>
      <c r="BZ846" s="1136"/>
      <c r="CA846" s="1136"/>
      <c r="CB846" s="1136"/>
      <c r="CC846" s="1136"/>
      <c r="CD846" s="1136"/>
      <c r="CE846" s="1136"/>
      <c r="CF846" s="1136"/>
      <c r="CG846" s="1136"/>
      <c r="CH846" s="1136"/>
      <c r="CI846" s="1136"/>
      <c r="CJ846" s="1136"/>
      <c r="CK846" s="1136"/>
      <c r="CL846" s="1136"/>
      <c r="CM846" s="1136"/>
      <c r="CN846" s="1136"/>
      <c r="CO846" s="1136"/>
      <c r="CP846" s="1136"/>
      <c r="CQ846" s="1136"/>
      <c r="CR846" s="1136"/>
      <c r="CS846" s="1136"/>
      <c r="CT846" s="1136"/>
      <c r="CU846" s="1136"/>
      <c r="CV846" s="1136"/>
      <c r="CW846" s="1136"/>
      <c r="CX846" s="1136"/>
      <c r="CY846" s="1136"/>
      <c r="CZ846" s="1136"/>
      <c r="DA846" s="1136"/>
      <c r="DB846" s="1136"/>
      <c r="DC846" s="1136"/>
      <c r="DD846" s="1136"/>
      <c r="DE846" s="1136"/>
      <c r="DF846" s="1136"/>
      <c r="DG846" s="1136"/>
      <c r="DH846" s="1136"/>
      <c r="DI846" s="1136"/>
    </row>
    <row r="847" spans="1:113" ht="15.75" x14ac:dyDescent="0.25">
      <c r="A847" s="1420" t="s">
        <v>3391</v>
      </c>
      <c r="B847" s="1439"/>
      <c r="C847" s="1562"/>
      <c r="D847" s="1562"/>
      <c r="E847" s="1562"/>
      <c r="F847" s="1562"/>
      <c r="G847" s="1562"/>
      <c r="H847" s="1531"/>
      <c r="I847" s="1531"/>
      <c r="J847" s="1531"/>
      <c r="K847" s="1531"/>
      <c r="L847" s="1531"/>
      <c r="M847" s="1531"/>
      <c r="N847" s="1531"/>
      <c r="O847" s="1531"/>
      <c r="P847" s="1531"/>
      <c r="Q847" s="1531"/>
      <c r="R847" s="1531"/>
      <c r="S847" s="1531"/>
      <c r="T847" s="1531"/>
      <c r="U847" s="1531"/>
      <c r="V847" s="1531"/>
      <c r="W847" s="1531"/>
      <c r="X847" s="1531"/>
      <c r="Y847" s="1531"/>
      <c r="Z847" s="1531"/>
      <c r="AA847" s="1531"/>
      <c r="AB847" s="1531"/>
      <c r="AC847" s="1531"/>
      <c r="AD847" s="1531"/>
      <c r="AE847" s="1531"/>
      <c r="AF847" s="1531"/>
      <c r="AG847" s="1531"/>
      <c r="AH847" s="1531"/>
      <c r="AI847" s="1531"/>
      <c r="AJ847" s="1531"/>
      <c r="AK847" s="1531"/>
      <c r="AL847" s="1531"/>
      <c r="AM847" s="1531"/>
      <c r="AN847" s="1531"/>
      <c r="AO847" s="1531"/>
      <c r="AP847" s="1531"/>
      <c r="AQ847" s="1531"/>
      <c r="AR847" s="1531"/>
      <c r="AS847" s="1531"/>
      <c r="AT847" s="1136"/>
      <c r="AU847" s="1136"/>
      <c r="AV847" s="1136"/>
      <c r="AW847" s="1136"/>
      <c r="AX847" s="1136"/>
      <c r="AY847" s="1136"/>
      <c r="AZ847" s="1136"/>
      <c r="BA847" s="1136"/>
      <c r="BB847" s="1136"/>
      <c r="BC847" s="1136"/>
      <c r="BD847" s="1136"/>
      <c r="BE847" s="1136"/>
      <c r="BF847" s="1136"/>
      <c r="BG847" s="1136"/>
      <c r="BH847" s="1136"/>
      <c r="BI847" s="1136"/>
      <c r="BJ847" s="1136"/>
      <c r="BK847" s="1136"/>
      <c r="BL847" s="1136"/>
      <c r="BM847" s="1136"/>
      <c r="BN847" s="1136"/>
      <c r="BO847" s="1136"/>
      <c r="BP847" s="1136"/>
      <c r="BQ847" s="1136"/>
      <c r="BR847" s="1136"/>
      <c r="BS847" s="1136"/>
      <c r="BT847" s="1136"/>
      <c r="BU847" s="1136"/>
      <c r="BV847" s="1136"/>
      <c r="BW847" s="1136"/>
      <c r="BX847" s="1136"/>
      <c r="BY847" s="1136"/>
      <c r="BZ847" s="1136"/>
      <c r="CA847" s="1136"/>
      <c r="CB847" s="1136"/>
      <c r="CC847" s="1136"/>
      <c r="CD847" s="1136"/>
      <c r="CE847" s="1136"/>
      <c r="CF847" s="1136"/>
      <c r="CG847" s="1136"/>
      <c r="CH847" s="1136"/>
      <c r="CI847" s="1136"/>
      <c r="CJ847" s="1136"/>
      <c r="CK847" s="1136"/>
      <c r="CL847" s="1136"/>
      <c r="CM847" s="1136"/>
      <c r="CN847" s="1136"/>
      <c r="CO847" s="1136"/>
      <c r="CP847" s="1136"/>
      <c r="CQ847" s="1136"/>
      <c r="CR847" s="1136"/>
      <c r="CS847" s="1136"/>
      <c r="CT847" s="1136"/>
      <c r="CU847" s="1136"/>
      <c r="CV847" s="1136"/>
      <c r="CW847" s="1136"/>
      <c r="CX847" s="1136"/>
      <c r="CY847" s="1136"/>
      <c r="CZ847" s="1136"/>
      <c r="DA847" s="1136"/>
      <c r="DB847" s="1136"/>
      <c r="DC847" s="1136"/>
      <c r="DD847" s="1136"/>
      <c r="DE847" s="1136"/>
      <c r="DF847" s="1136"/>
      <c r="DG847" s="1136"/>
      <c r="DH847" s="1136"/>
      <c r="DI847" s="1136"/>
    </row>
    <row r="848" spans="1:113" ht="15.75" x14ac:dyDescent="0.25">
      <c r="A848" s="1420" t="s">
        <v>392</v>
      </c>
      <c r="B848" s="1424">
        <f>IF(B297&lt;21,1,IF(B297&lt;31,0.9,0.8))</f>
        <v>0.8</v>
      </c>
      <c r="C848" s="1606"/>
      <c r="D848" s="1562"/>
      <c r="E848" s="1562"/>
      <c r="F848" s="1562"/>
      <c r="G848" s="1562"/>
      <c r="H848" s="1531"/>
      <c r="I848" s="1531"/>
      <c r="J848" s="1531"/>
      <c r="K848" s="1531"/>
      <c r="L848" s="1531"/>
      <c r="M848" s="1531"/>
      <c r="N848" s="1531"/>
      <c r="O848" s="1531"/>
      <c r="P848" s="1531"/>
      <c r="Q848" s="1531"/>
      <c r="R848" s="1531"/>
      <c r="S848" s="1531"/>
      <c r="T848" s="1531"/>
      <c r="U848" s="1531"/>
      <c r="V848" s="1531"/>
      <c r="W848" s="1531"/>
      <c r="X848" s="1531"/>
      <c r="Y848" s="1531"/>
      <c r="Z848" s="1531"/>
      <c r="AA848" s="1531"/>
      <c r="AB848" s="1531"/>
      <c r="AC848" s="1531"/>
      <c r="AD848" s="1531"/>
      <c r="AE848" s="1531"/>
      <c r="AF848" s="1531"/>
      <c r="AG848" s="1531"/>
      <c r="AH848" s="1531"/>
      <c r="AI848" s="1531"/>
      <c r="AJ848" s="1531"/>
      <c r="AK848" s="1531"/>
      <c r="AL848" s="1531"/>
      <c r="AM848" s="1531"/>
      <c r="AN848" s="1531"/>
      <c r="AO848" s="1531"/>
      <c r="AP848" s="1531"/>
      <c r="AQ848" s="1531"/>
      <c r="AR848" s="1531"/>
      <c r="AS848" s="1531"/>
      <c r="AT848" s="1136"/>
      <c r="AU848" s="1136"/>
      <c r="AV848" s="1136"/>
      <c r="AW848" s="1136"/>
      <c r="AX848" s="1136"/>
      <c r="AY848" s="1136"/>
      <c r="AZ848" s="1136"/>
      <c r="BA848" s="1136"/>
      <c r="BB848" s="1136"/>
      <c r="BC848" s="1136"/>
      <c r="BD848" s="1136"/>
      <c r="BE848" s="1136"/>
      <c r="BF848" s="1136"/>
      <c r="BG848" s="1136"/>
      <c r="BH848" s="1136"/>
      <c r="BI848" s="1136"/>
      <c r="BJ848" s="1136"/>
      <c r="BK848" s="1136"/>
      <c r="BL848" s="1136"/>
      <c r="BM848" s="1136"/>
      <c r="BN848" s="1136"/>
      <c r="BO848" s="1136"/>
      <c r="BP848" s="1136"/>
      <c r="BQ848" s="1136"/>
      <c r="BR848" s="1136"/>
      <c r="BS848" s="1136"/>
      <c r="BT848" s="1136"/>
      <c r="BU848" s="1136"/>
      <c r="BV848" s="1136"/>
      <c r="BW848" s="1136"/>
      <c r="BX848" s="1136"/>
      <c r="BY848" s="1136"/>
      <c r="BZ848" s="1136"/>
      <c r="CA848" s="1136"/>
      <c r="CB848" s="1136"/>
      <c r="CC848" s="1136"/>
      <c r="CD848" s="1136"/>
      <c r="CE848" s="1136"/>
      <c r="CF848" s="1136"/>
      <c r="CG848" s="1136"/>
      <c r="CH848" s="1136"/>
      <c r="CI848" s="1136"/>
      <c r="CJ848" s="1136"/>
      <c r="CK848" s="1136"/>
      <c r="CL848" s="1136"/>
      <c r="CM848" s="1136"/>
      <c r="CN848" s="1136"/>
      <c r="CO848" s="1136"/>
      <c r="CP848" s="1136"/>
      <c r="CQ848" s="1136"/>
      <c r="CR848" s="1136"/>
      <c r="CS848" s="1136"/>
      <c r="CT848" s="1136"/>
      <c r="CU848" s="1136"/>
      <c r="CV848" s="1136"/>
      <c r="CW848" s="1136"/>
      <c r="CX848" s="1136"/>
      <c r="CY848" s="1136"/>
      <c r="CZ848" s="1136"/>
      <c r="DA848" s="1136"/>
      <c r="DB848" s="1136"/>
      <c r="DC848" s="1136"/>
      <c r="DD848" s="1136"/>
      <c r="DE848" s="1136"/>
      <c r="DF848" s="1136"/>
      <c r="DG848" s="1136"/>
      <c r="DH848" s="1136"/>
      <c r="DI848" s="1136"/>
    </row>
    <row r="849" spans="1:113" ht="15.75" x14ac:dyDescent="0.25">
      <c r="A849" s="1420" t="s">
        <v>391</v>
      </c>
      <c r="B849" s="1424">
        <f>IF(B321&gt;0.2,0.9,1)</f>
        <v>0.9</v>
      </c>
      <c r="C849" s="1606"/>
      <c r="D849" s="1562"/>
      <c r="E849" s="1562"/>
      <c r="F849" s="1562"/>
      <c r="G849" s="1562"/>
      <c r="H849" s="1531"/>
      <c r="I849" s="1531"/>
      <c r="J849" s="1531"/>
      <c r="K849" s="1531"/>
      <c r="L849" s="1531"/>
      <c r="M849" s="1531"/>
      <c r="N849" s="1531"/>
      <c r="O849" s="1531"/>
      <c r="P849" s="1531"/>
      <c r="Q849" s="1531"/>
      <c r="R849" s="1531"/>
      <c r="S849" s="1531"/>
      <c r="T849" s="1531"/>
      <c r="U849" s="1531"/>
      <c r="V849" s="1531"/>
      <c r="W849" s="1531"/>
      <c r="X849" s="1531"/>
      <c r="Y849" s="1531"/>
      <c r="Z849" s="1531"/>
      <c r="AA849" s="1531"/>
      <c r="AB849" s="1531"/>
      <c r="AC849" s="1531"/>
      <c r="AD849" s="1531"/>
      <c r="AE849" s="1531"/>
      <c r="AF849" s="1531"/>
      <c r="AG849" s="1531"/>
      <c r="AH849" s="1531"/>
      <c r="AI849" s="1531"/>
      <c r="AJ849" s="1531"/>
      <c r="AK849" s="1531"/>
      <c r="AL849" s="1531"/>
      <c r="AM849" s="1531"/>
      <c r="AN849" s="1531"/>
      <c r="AO849" s="1531"/>
      <c r="AP849" s="1531"/>
      <c r="AQ849" s="1531"/>
      <c r="AR849" s="1531"/>
      <c r="AS849" s="1531"/>
      <c r="AT849" s="1136"/>
      <c r="AU849" s="1136"/>
      <c r="AV849" s="1136"/>
      <c r="AW849" s="1136"/>
      <c r="AX849" s="1136"/>
      <c r="AY849" s="1136"/>
      <c r="AZ849" s="1136"/>
      <c r="BA849" s="1136"/>
      <c r="BB849" s="1136"/>
      <c r="BC849" s="1136"/>
      <c r="BD849" s="1136"/>
      <c r="BE849" s="1136"/>
      <c r="BF849" s="1136"/>
      <c r="BG849" s="1136"/>
      <c r="BH849" s="1136"/>
      <c r="BI849" s="1136"/>
      <c r="BJ849" s="1136"/>
      <c r="BK849" s="1136"/>
      <c r="BL849" s="1136"/>
      <c r="BM849" s="1136"/>
      <c r="BN849" s="1136"/>
      <c r="BO849" s="1136"/>
      <c r="BP849" s="1136"/>
      <c r="BQ849" s="1136"/>
      <c r="BR849" s="1136"/>
      <c r="BS849" s="1136"/>
      <c r="BT849" s="1136"/>
      <c r="BU849" s="1136"/>
      <c r="BV849" s="1136"/>
      <c r="BW849" s="1136"/>
      <c r="BX849" s="1136"/>
      <c r="BY849" s="1136"/>
      <c r="BZ849" s="1136"/>
      <c r="CA849" s="1136"/>
      <c r="CB849" s="1136"/>
      <c r="CC849" s="1136"/>
      <c r="CD849" s="1136"/>
      <c r="CE849" s="1136"/>
      <c r="CF849" s="1136"/>
      <c r="CG849" s="1136"/>
      <c r="CH849" s="1136"/>
      <c r="CI849" s="1136"/>
      <c r="CJ849" s="1136"/>
      <c r="CK849" s="1136"/>
      <c r="CL849" s="1136"/>
      <c r="CM849" s="1136"/>
      <c r="CN849" s="1136"/>
      <c r="CO849" s="1136"/>
      <c r="CP849" s="1136"/>
      <c r="CQ849" s="1136"/>
      <c r="CR849" s="1136"/>
      <c r="CS849" s="1136"/>
      <c r="CT849" s="1136"/>
      <c r="CU849" s="1136"/>
      <c r="CV849" s="1136"/>
      <c r="CW849" s="1136"/>
      <c r="CX849" s="1136"/>
      <c r="CY849" s="1136"/>
      <c r="CZ849" s="1136"/>
      <c r="DA849" s="1136"/>
      <c r="DB849" s="1136"/>
      <c r="DC849" s="1136"/>
      <c r="DD849" s="1136"/>
      <c r="DE849" s="1136"/>
      <c r="DF849" s="1136"/>
      <c r="DG849" s="1136"/>
      <c r="DH849" s="1136"/>
      <c r="DI849" s="1136"/>
    </row>
    <row r="850" spans="1:113" ht="31.5" x14ac:dyDescent="0.25">
      <c r="A850" s="1420" t="s">
        <v>3392</v>
      </c>
      <c r="B850" s="1431">
        <f>B386</f>
        <v>0</v>
      </c>
      <c r="C850" s="1610"/>
      <c r="D850" s="1531"/>
      <c r="E850" s="1531"/>
      <c r="F850" s="1531"/>
      <c r="G850" s="1531"/>
      <c r="H850" s="1531"/>
      <c r="I850" s="1531"/>
      <c r="J850" s="1531"/>
      <c r="K850" s="1531"/>
      <c r="L850" s="1531"/>
      <c r="M850" s="1531"/>
      <c r="N850" s="1531"/>
      <c r="O850" s="1531"/>
      <c r="P850" s="1531"/>
      <c r="Q850" s="1531"/>
      <c r="R850" s="1531"/>
      <c r="S850" s="1531"/>
      <c r="T850" s="1531"/>
      <c r="U850" s="1531"/>
      <c r="V850" s="1531"/>
      <c r="W850" s="1531"/>
      <c r="X850" s="1531"/>
      <c r="Y850" s="1531"/>
      <c r="Z850" s="1531"/>
      <c r="AA850" s="1531"/>
      <c r="AB850" s="1531"/>
      <c r="AC850" s="1531"/>
      <c r="AD850" s="1531"/>
      <c r="AE850" s="1531"/>
      <c r="AF850" s="1531"/>
      <c r="AG850" s="1531"/>
      <c r="AH850" s="1531"/>
      <c r="AI850" s="1531"/>
      <c r="AJ850" s="1531"/>
      <c r="AK850" s="1531"/>
      <c r="AL850" s="1531"/>
      <c r="AM850" s="1531"/>
      <c r="AN850" s="1531"/>
      <c r="AO850" s="1531"/>
      <c r="AP850" s="1531"/>
      <c r="AQ850" s="1531"/>
      <c r="AR850" s="1531"/>
      <c r="AS850" s="1531"/>
      <c r="AT850" s="1136"/>
      <c r="AU850" s="1136"/>
      <c r="AV850" s="1136"/>
      <c r="AW850" s="1136"/>
      <c r="AX850" s="1136"/>
      <c r="AY850" s="1136"/>
      <c r="AZ850" s="1136"/>
      <c r="BA850" s="1136"/>
      <c r="BB850" s="1136"/>
      <c r="BC850" s="1136"/>
      <c r="BD850" s="1136"/>
      <c r="BE850" s="1136"/>
      <c r="BF850" s="1136"/>
      <c r="BG850" s="1136"/>
      <c r="BH850" s="1136"/>
      <c r="BI850" s="1136"/>
      <c r="BJ850" s="1136"/>
      <c r="BK850" s="1136"/>
      <c r="BL850" s="1136"/>
      <c r="BM850" s="1136"/>
      <c r="BN850" s="1136"/>
      <c r="BO850" s="1136"/>
      <c r="BP850" s="1136"/>
      <c r="BQ850" s="1136"/>
      <c r="BR850" s="1136"/>
      <c r="BS850" s="1136"/>
      <c r="BT850" s="1136"/>
      <c r="BU850" s="1136"/>
      <c r="BV850" s="1136"/>
      <c r="BW850" s="1136"/>
      <c r="BX850" s="1136"/>
      <c r="BY850" s="1136"/>
      <c r="BZ850" s="1136"/>
      <c r="CA850" s="1136"/>
      <c r="CB850" s="1136"/>
      <c r="CC850" s="1136"/>
      <c r="CD850" s="1136"/>
      <c r="CE850" s="1136"/>
      <c r="CF850" s="1136"/>
      <c r="CG850" s="1136"/>
      <c r="CH850" s="1136"/>
      <c r="CI850" s="1136"/>
      <c r="CJ850" s="1136"/>
      <c r="CK850" s="1136"/>
      <c r="CL850" s="1136"/>
      <c r="CM850" s="1136"/>
      <c r="CN850" s="1136"/>
      <c r="CO850" s="1136"/>
      <c r="CP850" s="1136"/>
      <c r="CQ850" s="1136"/>
      <c r="CR850" s="1136"/>
      <c r="CS850" s="1136"/>
      <c r="CT850" s="1136"/>
      <c r="CU850" s="1136"/>
      <c r="CV850" s="1136"/>
      <c r="CW850" s="1136"/>
      <c r="CX850" s="1136"/>
      <c r="CY850" s="1136"/>
      <c r="CZ850" s="1136"/>
      <c r="DA850" s="1136"/>
      <c r="DB850" s="1136"/>
      <c r="DC850" s="1136"/>
      <c r="DD850" s="1136"/>
      <c r="DE850" s="1136"/>
      <c r="DF850" s="1136"/>
      <c r="DG850" s="1136"/>
      <c r="DH850" s="1136"/>
      <c r="DI850" s="1136"/>
    </row>
    <row r="851" spans="1:113" ht="15.75" x14ac:dyDescent="0.25">
      <c r="A851" s="1420" t="s">
        <v>3393</v>
      </c>
      <c r="B851" s="1424">
        <f>IF(B850=0,1,1.2)</f>
        <v>1</v>
      </c>
      <c r="C851" s="1606"/>
      <c r="D851" s="1531"/>
      <c r="E851" s="1531"/>
      <c r="F851" s="1531"/>
      <c r="G851" s="1531"/>
      <c r="H851" s="1531"/>
      <c r="I851" s="1531"/>
      <c r="J851" s="1531"/>
      <c r="K851" s="1531"/>
      <c r="L851" s="1531"/>
      <c r="M851" s="1531"/>
      <c r="N851" s="1531"/>
      <c r="O851" s="1531"/>
      <c r="P851" s="1531"/>
      <c r="Q851" s="1531"/>
      <c r="R851" s="1531"/>
      <c r="S851" s="1531"/>
      <c r="T851" s="1531"/>
      <c r="U851" s="1531"/>
      <c r="V851" s="1531"/>
      <c r="W851" s="1531"/>
      <c r="X851" s="1531"/>
      <c r="Y851" s="1531"/>
      <c r="Z851" s="1531"/>
      <c r="AA851" s="1531"/>
      <c r="AB851" s="1531"/>
      <c r="AC851" s="1531"/>
      <c r="AD851" s="1531"/>
      <c r="AE851" s="1531"/>
      <c r="AF851" s="1531"/>
      <c r="AG851" s="1531"/>
      <c r="AH851" s="1531"/>
      <c r="AI851" s="1531"/>
      <c r="AJ851" s="1531"/>
      <c r="AK851" s="1531"/>
      <c r="AL851" s="1531"/>
      <c r="AM851" s="1531"/>
      <c r="AN851" s="1531"/>
      <c r="AO851" s="1531"/>
      <c r="AP851" s="1531"/>
      <c r="AQ851" s="1531"/>
      <c r="AR851" s="1531"/>
      <c r="AS851" s="1531"/>
      <c r="AT851" s="1136"/>
      <c r="AU851" s="1136"/>
      <c r="AV851" s="1136"/>
      <c r="AW851" s="1136"/>
      <c r="AX851" s="1136"/>
      <c r="AY851" s="1136"/>
      <c r="AZ851" s="1136"/>
      <c r="BA851" s="1136"/>
      <c r="BB851" s="1136"/>
      <c r="BC851" s="1136"/>
      <c r="BD851" s="1136"/>
      <c r="BE851" s="1136"/>
      <c r="BF851" s="1136"/>
      <c r="BG851" s="1136"/>
      <c r="BH851" s="1136"/>
      <c r="BI851" s="1136"/>
      <c r="BJ851" s="1136"/>
      <c r="BK851" s="1136"/>
      <c r="BL851" s="1136"/>
      <c r="BM851" s="1136"/>
      <c r="BN851" s="1136"/>
      <c r="BO851" s="1136"/>
      <c r="BP851" s="1136"/>
      <c r="BQ851" s="1136"/>
      <c r="BR851" s="1136"/>
      <c r="BS851" s="1136"/>
      <c r="BT851" s="1136"/>
      <c r="BU851" s="1136"/>
      <c r="BV851" s="1136"/>
      <c r="BW851" s="1136"/>
      <c r="BX851" s="1136"/>
      <c r="BY851" s="1136"/>
      <c r="BZ851" s="1136"/>
      <c r="CA851" s="1136"/>
      <c r="CB851" s="1136"/>
      <c r="CC851" s="1136"/>
      <c r="CD851" s="1136"/>
      <c r="CE851" s="1136"/>
      <c r="CF851" s="1136"/>
      <c r="CG851" s="1136"/>
      <c r="CH851" s="1136"/>
      <c r="CI851" s="1136"/>
      <c r="CJ851" s="1136"/>
      <c r="CK851" s="1136"/>
      <c r="CL851" s="1136"/>
      <c r="CM851" s="1136"/>
      <c r="CN851" s="1136"/>
      <c r="CO851" s="1136"/>
      <c r="CP851" s="1136"/>
      <c r="CQ851" s="1136"/>
      <c r="CR851" s="1136"/>
      <c r="CS851" s="1136"/>
      <c r="CT851" s="1136"/>
      <c r="CU851" s="1136"/>
      <c r="CV851" s="1136"/>
      <c r="CW851" s="1136"/>
      <c r="CX851" s="1136"/>
      <c r="CY851" s="1136"/>
      <c r="CZ851" s="1136"/>
      <c r="DA851" s="1136"/>
      <c r="DB851" s="1136"/>
      <c r="DC851" s="1136"/>
      <c r="DD851" s="1136"/>
      <c r="DE851" s="1136"/>
      <c r="DF851" s="1136"/>
      <c r="DG851" s="1136"/>
      <c r="DH851" s="1136"/>
      <c r="DI851" s="1136"/>
    </row>
    <row r="852" spans="1:113" ht="12.75" customHeight="1" x14ac:dyDescent="0.25">
      <c r="A852" s="1420" t="s">
        <v>1892</v>
      </c>
      <c r="B852" s="1431">
        <f>B388</f>
        <v>1</v>
      </c>
      <c r="C852" s="1610"/>
      <c r="D852" s="1562"/>
      <c r="E852" s="1562"/>
      <c r="F852" s="1562"/>
      <c r="G852" s="1562"/>
      <c r="H852" s="1531"/>
      <c r="I852" s="1531"/>
      <c r="J852" s="1531"/>
      <c r="K852" s="1531"/>
      <c r="L852" s="1531"/>
      <c r="M852" s="1531"/>
      <c r="N852" s="1531"/>
      <c r="O852" s="1531"/>
      <c r="P852" s="1531"/>
      <c r="Q852" s="1531"/>
      <c r="R852" s="1531"/>
      <c r="S852" s="1531"/>
      <c r="T852" s="1531"/>
      <c r="U852" s="1531"/>
      <c r="V852" s="1531"/>
      <c r="W852" s="1531"/>
      <c r="X852" s="1531"/>
      <c r="Y852" s="1531"/>
      <c r="Z852" s="1531"/>
      <c r="AA852" s="1531"/>
      <c r="AB852" s="1531"/>
      <c r="AC852" s="1531"/>
      <c r="AD852" s="1531"/>
      <c r="AE852" s="1531"/>
      <c r="AF852" s="1531"/>
      <c r="AG852" s="1531"/>
      <c r="AH852" s="1531"/>
      <c r="AI852" s="1531"/>
      <c r="AJ852" s="1531"/>
      <c r="AK852" s="1531"/>
      <c r="AL852" s="1531"/>
      <c r="AM852" s="1531"/>
      <c r="AN852" s="1531"/>
      <c r="AO852" s="1531"/>
      <c r="AP852" s="1531"/>
      <c r="AQ852" s="1531"/>
      <c r="AR852" s="1531"/>
      <c r="AS852" s="1531"/>
      <c r="AT852" s="1136"/>
      <c r="AU852" s="1136"/>
      <c r="AV852" s="1136"/>
      <c r="AW852" s="1136"/>
      <c r="AX852" s="1136"/>
      <c r="AY852" s="1136"/>
      <c r="AZ852" s="1136"/>
      <c r="BA852" s="1136"/>
      <c r="BB852" s="1136"/>
      <c r="BC852" s="1136"/>
      <c r="BD852" s="1136"/>
      <c r="BE852" s="1136"/>
      <c r="BF852" s="1136"/>
      <c r="BG852" s="1136"/>
      <c r="BH852" s="1136"/>
      <c r="BI852" s="1136"/>
      <c r="BJ852" s="1136"/>
      <c r="BK852" s="1136"/>
      <c r="BL852" s="1136"/>
      <c r="BM852" s="1136"/>
      <c r="BN852" s="1136"/>
      <c r="BO852" s="1136"/>
      <c r="BP852" s="1136"/>
      <c r="BQ852" s="1136"/>
      <c r="BR852" s="1136"/>
      <c r="BS852" s="1136"/>
      <c r="BT852" s="1136"/>
      <c r="BU852" s="1136"/>
      <c r="BV852" s="1136"/>
      <c r="BW852" s="1136"/>
      <c r="BX852" s="1136"/>
      <c r="BY852" s="1136"/>
      <c r="BZ852" s="1136"/>
      <c r="CA852" s="1136"/>
      <c r="CB852" s="1136"/>
      <c r="CC852" s="1136"/>
      <c r="CD852" s="1136"/>
      <c r="CE852" s="1136"/>
      <c r="CF852" s="1136"/>
      <c r="CG852" s="1136"/>
      <c r="CH852" s="1136"/>
      <c r="CI852" s="1136"/>
      <c r="CJ852" s="1136"/>
      <c r="CK852" s="1136"/>
      <c r="CL852" s="1136"/>
      <c r="CM852" s="1136"/>
      <c r="CN852" s="1136"/>
      <c r="CO852" s="1136"/>
      <c r="CP852" s="1136"/>
      <c r="CQ852" s="1136"/>
      <c r="CR852" s="1136"/>
      <c r="CS852" s="1136"/>
      <c r="CT852" s="1136"/>
      <c r="CU852" s="1136"/>
      <c r="CV852" s="1136"/>
      <c r="CW852" s="1136"/>
      <c r="CX852" s="1136"/>
      <c r="CY852" s="1136"/>
      <c r="CZ852" s="1136"/>
      <c r="DA852" s="1136"/>
      <c r="DB852" s="1136"/>
      <c r="DC852" s="1136"/>
      <c r="DD852" s="1136"/>
      <c r="DE852" s="1136"/>
      <c r="DF852" s="1136"/>
      <c r="DG852" s="1136"/>
      <c r="DH852" s="1136"/>
      <c r="DI852" s="1136"/>
    </row>
    <row r="853" spans="1:113" ht="12.75" customHeight="1" x14ac:dyDescent="0.25">
      <c r="A853" s="1420" t="s">
        <v>1893</v>
      </c>
      <c r="B853" s="1443">
        <f>IF(B852=0,1.05,1)</f>
        <v>1</v>
      </c>
      <c r="C853" s="1521"/>
      <c r="D853" s="1596"/>
      <c r="E853" s="1596"/>
      <c r="F853" s="1596"/>
      <c r="G853" s="1596"/>
      <c r="H853" s="1531"/>
      <c r="I853" s="1531"/>
      <c r="J853" s="1531"/>
      <c r="K853" s="1531"/>
      <c r="L853" s="1531"/>
      <c r="M853" s="1531"/>
      <c r="N853" s="1531"/>
      <c r="O853" s="1531"/>
      <c r="P853" s="1531"/>
      <c r="Q853" s="1531"/>
      <c r="R853" s="1531"/>
      <c r="S853" s="1531"/>
      <c r="T853" s="1531"/>
      <c r="U853" s="1531"/>
      <c r="V853" s="1531"/>
      <c r="W853" s="1531"/>
      <c r="X853" s="1531"/>
      <c r="Y853" s="1531"/>
      <c r="Z853" s="1531"/>
      <c r="AA853" s="1531"/>
      <c r="AB853" s="1531"/>
      <c r="AC853" s="1531"/>
      <c r="AD853" s="1531"/>
      <c r="AE853" s="1531"/>
      <c r="AF853" s="1531"/>
      <c r="AG853" s="1531"/>
      <c r="AH853" s="1531"/>
      <c r="AI853" s="1531"/>
      <c r="AJ853" s="1531"/>
      <c r="AK853" s="1531"/>
      <c r="AL853" s="1531"/>
      <c r="AM853" s="1531"/>
      <c r="AN853" s="1531"/>
      <c r="AO853" s="1531"/>
      <c r="AP853" s="1531"/>
      <c r="AQ853" s="1531"/>
      <c r="AR853" s="1531"/>
      <c r="AS853" s="1531"/>
      <c r="AT853" s="1136"/>
      <c r="AU853" s="1136"/>
      <c r="AV853" s="1136"/>
      <c r="AW853" s="1136"/>
      <c r="AX853" s="1136"/>
      <c r="AY853" s="1136"/>
      <c r="AZ853" s="1136"/>
      <c r="BA853" s="1136"/>
      <c r="BB853" s="1136"/>
      <c r="BC853" s="1136"/>
      <c r="BD853" s="1136"/>
      <c r="BE853" s="1136"/>
      <c r="BF853" s="1136"/>
      <c r="BG853" s="1136"/>
      <c r="BH853" s="1136"/>
      <c r="BI853" s="1136"/>
      <c r="BJ853" s="1136"/>
      <c r="BK853" s="1136"/>
      <c r="BL853" s="1136"/>
      <c r="BM853" s="1136"/>
      <c r="BN853" s="1136"/>
      <c r="BO853" s="1136"/>
      <c r="BP853" s="1136"/>
      <c r="BQ853" s="1136"/>
      <c r="BR853" s="1136"/>
      <c r="BS853" s="1136"/>
      <c r="BT853" s="1136"/>
      <c r="BU853" s="1136"/>
      <c r="BV853" s="1136"/>
      <c r="BW853" s="1136"/>
      <c r="BX853" s="1136"/>
      <c r="BY853" s="1136"/>
      <c r="BZ853" s="1136"/>
      <c r="CA853" s="1136"/>
      <c r="CB853" s="1136"/>
      <c r="CC853" s="1136"/>
      <c r="CD853" s="1136"/>
      <c r="CE853" s="1136"/>
      <c r="CF853" s="1136"/>
      <c r="CG853" s="1136"/>
      <c r="CH853" s="1136"/>
      <c r="CI853" s="1136"/>
      <c r="CJ853" s="1136"/>
      <c r="CK853" s="1136"/>
      <c r="CL853" s="1136"/>
      <c r="CM853" s="1136"/>
      <c r="CN853" s="1136"/>
      <c r="CO853" s="1136"/>
      <c r="CP853" s="1136"/>
      <c r="CQ853" s="1136"/>
      <c r="CR853" s="1136"/>
      <c r="CS853" s="1136"/>
      <c r="CT853" s="1136"/>
      <c r="CU853" s="1136"/>
      <c r="CV853" s="1136"/>
      <c r="CW853" s="1136"/>
      <c r="CX853" s="1136"/>
      <c r="CY853" s="1136"/>
      <c r="CZ853" s="1136"/>
      <c r="DA853" s="1136"/>
      <c r="DB853" s="1136"/>
      <c r="DC853" s="1136"/>
      <c r="DD853" s="1136"/>
      <c r="DE853" s="1136"/>
      <c r="DF853" s="1136"/>
      <c r="DG853" s="1136"/>
      <c r="DH853" s="1136"/>
      <c r="DI853" s="1136"/>
    </row>
    <row r="854" spans="1:113" ht="15.75" x14ac:dyDescent="0.25">
      <c r="A854" s="1420" t="s">
        <v>1894</v>
      </c>
      <c r="B854" s="1424" t="e">
        <f>B846*B848*B849*B851*B853*B341</f>
        <v>#VALUE!</v>
      </c>
      <c r="C854" s="1606"/>
      <c r="D854" s="1531"/>
      <c r="E854" s="1531"/>
      <c r="F854" s="1531"/>
      <c r="G854" s="1531"/>
      <c r="H854" s="1531"/>
      <c r="I854" s="1531"/>
      <c r="J854" s="1531"/>
      <c r="K854" s="1531"/>
      <c r="L854" s="1531"/>
      <c r="M854" s="1531"/>
      <c r="N854" s="1531"/>
      <c r="O854" s="1531"/>
      <c r="P854" s="1531"/>
      <c r="Q854" s="1531"/>
      <c r="R854" s="1531"/>
      <c r="S854" s="1531"/>
      <c r="T854" s="1531"/>
      <c r="U854" s="1531"/>
      <c r="V854" s="1531"/>
      <c r="W854" s="1531"/>
      <c r="X854" s="1531"/>
      <c r="Y854" s="1531"/>
      <c r="Z854" s="1531"/>
      <c r="AA854" s="1531"/>
      <c r="AB854" s="1531"/>
      <c r="AC854" s="1531"/>
      <c r="AD854" s="1531"/>
      <c r="AE854" s="1531"/>
      <c r="AF854" s="1531"/>
      <c r="AG854" s="1531"/>
      <c r="AH854" s="1531"/>
      <c r="AI854" s="1531"/>
      <c r="AJ854" s="1531"/>
      <c r="AK854" s="1531"/>
      <c r="AL854" s="1531"/>
      <c r="AM854" s="1531"/>
      <c r="AN854" s="1531"/>
      <c r="AO854" s="1531"/>
      <c r="AP854" s="1531"/>
      <c r="AQ854" s="1531"/>
      <c r="AR854" s="1531"/>
      <c r="AS854" s="1531"/>
      <c r="AT854" s="1136"/>
      <c r="AU854" s="1136"/>
      <c r="AV854" s="1136"/>
      <c r="AW854" s="1136"/>
      <c r="AX854" s="1136"/>
      <c r="AY854" s="1136"/>
      <c r="AZ854" s="1136"/>
      <c r="BA854" s="1136"/>
      <c r="BB854" s="1136"/>
      <c r="BC854" s="1136"/>
      <c r="BD854" s="1136"/>
      <c r="BE854" s="1136"/>
      <c r="BF854" s="1136"/>
      <c r="BG854" s="1136"/>
      <c r="BH854" s="1136"/>
      <c r="BI854" s="1136"/>
      <c r="BJ854" s="1136"/>
      <c r="BK854" s="1136"/>
      <c r="BL854" s="1136"/>
      <c r="BM854" s="1136"/>
      <c r="BN854" s="1136"/>
      <c r="BO854" s="1136"/>
      <c r="BP854" s="1136"/>
      <c r="BQ854" s="1136"/>
      <c r="BR854" s="1136"/>
      <c r="BS854" s="1136"/>
      <c r="BT854" s="1136"/>
      <c r="BU854" s="1136"/>
      <c r="BV854" s="1136"/>
      <c r="BW854" s="1136"/>
      <c r="BX854" s="1136"/>
      <c r="BY854" s="1136"/>
      <c r="BZ854" s="1136"/>
      <c r="CA854" s="1136"/>
      <c r="CB854" s="1136"/>
      <c r="CC854" s="1136"/>
      <c r="CD854" s="1136"/>
      <c r="CE854" s="1136"/>
      <c r="CF854" s="1136"/>
      <c r="CG854" s="1136"/>
      <c r="CH854" s="1136"/>
      <c r="CI854" s="1136"/>
      <c r="CJ854" s="1136"/>
      <c r="CK854" s="1136"/>
      <c r="CL854" s="1136"/>
      <c r="CM854" s="1136"/>
      <c r="CN854" s="1136"/>
      <c r="CO854" s="1136"/>
      <c r="CP854" s="1136"/>
      <c r="CQ854" s="1136"/>
      <c r="CR854" s="1136"/>
      <c r="CS854" s="1136"/>
      <c r="CT854" s="1136"/>
      <c r="CU854" s="1136"/>
      <c r="CV854" s="1136"/>
      <c r="CW854" s="1136"/>
      <c r="CX854" s="1136"/>
      <c r="CY854" s="1136"/>
      <c r="CZ854" s="1136"/>
      <c r="DA854" s="1136"/>
      <c r="DB854" s="1136"/>
      <c r="DC854" s="1136"/>
      <c r="DD854" s="1136"/>
      <c r="DE854" s="1136"/>
      <c r="DF854" s="1136"/>
      <c r="DG854" s="1136"/>
      <c r="DH854" s="1136"/>
      <c r="DI854" s="1136"/>
    </row>
    <row r="855" spans="1:113" ht="12.75" customHeight="1" x14ac:dyDescent="0.25">
      <c r="A855" s="1420" t="s">
        <v>429</v>
      </c>
      <c r="B855" s="1439" t="e">
        <f>B845/B854</f>
        <v>#DIV/0!</v>
      </c>
      <c r="C855" s="1562"/>
      <c r="D855" s="1606"/>
      <c r="E855" s="1606"/>
      <c r="F855" s="1606"/>
      <c r="G855" s="1606"/>
      <c r="H855" s="1531"/>
      <c r="I855" s="1531"/>
      <c r="J855" s="1531"/>
      <c r="K855" s="1531"/>
      <c r="L855" s="1531"/>
      <c r="M855" s="1531"/>
      <c r="N855" s="1531"/>
      <c r="O855" s="1531"/>
      <c r="P855" s="1531"/>
      <c r="Q855" s="1531"/>
      <c r="R855" s="1531"/>
      <c r="S855" s="1531"/>
      <c r="T855" s="1531"/>
      <c r="U855" s="1531"/>
      <c r="V855" s="1531"/>
      <c r="W855" s="1531"/>
      <c r="X855" s="1531"/>
      <c r="Y855" s="1531"/>
      <c r="Z855" s="1531"/>
      <c r="AA855" s="1531"/>
      <c r="AB855" s="1531"/>
      <c r="AC855" s="1531"/>
      <c r="AD855" s="1531"/>
      <c r="AE855" s="1531"/>
      <c r="AF855" s="1531"/>
      <c r="AG855" s="1531"/>
      <c r="AH855" s="1531"/>
      <c r="AI855" s="1531"/>
      <c r="AJ855" s="1531"/>
      <c r="AK855" s="1531"/>
      <c r="AL855" s="1531"/>
      <c r="AM855" s="1531"/>
      <c r="AN855" s="1531"/>
      <c r="AO855" s="1531"/>
      <c r="AP855" s="1531"/>
      <c r="AQ855" s="1531"/>
      <c r="AR855" s="1531"/>
      <c r="AS855" s="1531"/>
      <c r="AT855" s="1136"/>
      <c r="AU855" s="1136"/>
      <c r="AV855" s="1136"/>
      <c r="AW855" s="1136"/>
      <c r="AX855" s="1136"/>
      <c r="AY855" s="1136"/>
      <c r="AZ855" s="1136"/>
      <c r="BA855" s="1136"/>
      <c r="BB855" s="1136"/>
      <c r="BC855" s="1136"/>
      <c r="BD855" s="1136"/>
      <c r="BE855" s="1136"/>
      <c r="BF855" s="1136"/>
      <c r="BG855" s="1136"/>
      <c r="BH855" s="1136"/>
      <c r="BI855" s="1136"/>
      <c r="BJ855" s="1136"/>
      <c r="BK855" s="1136"/>
      <c r="BL855" s="1136"/>
      <c r="BM855" s="1136"/>
      <c r="BN855" s="1136"/>
      <c r="BO855" s="1136"/>
      <c r="BP855" s="1136"/>
      <c r="BQ855" s="1136"/>
      <c r="BR855" s="1136"/>
      <c r="BS855" s="1136"/>
      <c r="BT855" s="1136"/>
      <c r="BU855" s="1136"/>
      <c r="BV855" s="1136"/>
      <c r="BW855" s="1136"/>
      <c r="BX855" s="1136"/>
      <c r="BY855" s="1136"/>
      <c r="BZ855" s="1136"/>
      <c r="CA855" s="1136"/>
      <c r="CB855" s="1136"/>
      <c r="CC855" s="1136"/>
      <c r="CD855" s="1136"/>
      <c r="CE855" s="1136"/>
      <c r="CF855" s="1136"/>
      <c r="CG855" s="1136"/>
      <c r="CH855" s="1136"/>
      <c r="CI855" s="1136"/>
      <c r="CJ855" s="1136"/>
      <c r="CK855" s="1136"/>
      <c r="CL855" s="1136"/>
      <c r="CM855" s="1136"/>
      <c r="CN855" s="1136"/>
      <c r="CO855" s="1136"/>
      <c r="CP855" s="1136"/>
      <c r="CQ855" s="1136"/>
      <c r="CR855" s="1136"/>
      <c r="CS855" s="1136"/>
      <c r="CT855" s="1136"/>
      <c r="CU855" s="1136"/>
      <c r="CV855" s="1136"/>
      <c r="CW855" s="1136"/>
      <c r="CX855" s="1136"/>
      <c r="CY855" s="1136"/>
      <c r="CZ855" s="1136"/>
      <c r="DA855" s="1136"/>
      <c r="DB855" s="1136"/>
      <c r="DC855" s="1136"/>
      <c r="DD855" s="1136"/>
      <c r="DE855" s="1136"/>
      <c r="DF855" s="1136"/>
      <c r="DG855" s="1136"/>
      <c r="DH855" s="1136"/>
      <c r="DI855" s="1136"/>
    </row>
    <row r="856" spans="1:113" ht="15.75" x14ac:dyDescent="0.25">
      <c r="A856" s="1420"/>
      <c r="B856" s="1424"/>
      <c r="C856" s="1606"/>
      <c r="D856" s="1606"/>
      <c r="E856" s="1606"/>
      <c r="F856" s="1606"/>
      <c r="G856" s="1606"/>
      <c r="H856" s="1531"/>
      <c r="I856" s="1531"/>
      <c r="J856" s="1531"/>
      <c r="K856" s="1531"/>
      <c r="L856" s="1531"/>
      <c r="M856" s="1531"/>
      <c r="N856" s="1531"/>
      <c r="O856" s="1531"/>
      <c r="P856" s="1531"/>
      <c r="Q856" s="1531"/>
      <c r="R856" s="1531"/>
      <c r="S856" s="1531"/>
      <c r="T856" s="1531"/>
      <c r="U856" s="1531"/>
      <c r="V856" s="1531"/>
      <c r="W856" s="1531"/>
      <c r="X856" s="1531"/>
      <c r="Y856" s="1531"/>
      <c r="Z856" s="1531"/>
      <c r="AA856" s="1531"/>
      <c r="AB856" s="1531"/>
      <c r="AC856" s="1531"/>
      <c r="AD856" s="1531"/>
      <c r="AE856" s="1531"/>
      <c r="AF856" s="1531"/>
      <c r="AG856" s="1531"/>
      <c r="AH856" s="1531"/>
      <c r="AI856" s="1531"/>
      <c r="AJ856" s="1531"/>
      <c r="AK856" s="1531"/>
      <c r="AL856" s="1531"/>
      <c r="AM856" s="1531"/>
      <c r="AN856" s="1531"/>
      <c r="AO856" s="1531"/>
      <c r="AP856" s="1531"/>
      <c r="AQ856" s="1531"/>
      <c r="AR856" s="1531"/>
      <c r="AS856" s="1531"/>
      <c r="AT856" s="1136"/>
      <c r="AU856" s="1136"/>
      <c r="AV856" s="1136"/>
      <c r="AW856" s="1136"/>
      <c r="AX856" s="1136"/>
      <c r="AY856" s="1136"/>
      <c r="AZ856" s="1136"/>
      <c r="BA856" s="1136"/>
      <c r="BB856" s="1136"/>
      <c r="BC856" s="1136"/>
      <c r="BD856" s="1136"/>
      <c r="BE856" s="1136"/>
      <c r="BF856" s="1136"/>
      <c r="BG856" s="1136"/>
      <c r="BH856" s="1136"/>
      <c r="BI856" s="1136"/>
      <c r="BJ856" s="1136"/>
      <c r="BK856" s="1136"/>
      <c r="BL856" s="1136"/>
      <c r="BM856" s="1136"/>
      <c r="BN856" s="1136"/>
      <c r="BO856" s="1136"/>
      <c r="BP856" s="1136"/>
      <c r="BQ856" s="1136"/>
      <c r="BR856" s="1136"/>
      <c r="BS856" s="1136"/>
      <c r="BT856" s="1136"/>
      <c r="BU856" s="1136"/>
      <c r="BV856" s="1136"/>
      <c r="BW856" s="1136"/>
      <c r="BX856" s="1136"/>
      <c r="BY856" s="1136"/>
      <c r="BZ856" s="1136"/>
      <c r="CA856" s="1136"/>
      <c r="CB856" s="1136"/>
      <c r="CC856" s="1136"/>
      <c r="CD856" s="1136"/>
      <c r="CE856" s="1136"/>
      <c r="CF856" s="1136"/>
      <c r="CG856" s="1136"/>
      <c r="CH856" s="1136"/>
      <c r="CI856" s="1136"/>
      <c r="CJ856" s="1136"/>
      <c r="CK856" s="1136"/>
      <c r="CL856" s="1136"/>
      <c r="CM856" s="1136"/>
      <c r="CN856" s="1136"/>
      <c r="CO856" s="1136"/>
      <c r="CP856" s="1136"/>
      <c r="CQ856" s="1136"/>
      <c r="CR856" s="1136"/>
      <c r="CS856" s="1136"/>
      <c r="CT856" s="1136"/>
      <c r="CU856" s="1136"/>
      <c r="CV856" s="1136"/>
      <c r="CW856" s="1136"/>
      <c r="CX856" s="1136"/>
      <c r="CY856" s="1136"/>
      <c r="CZ856" s="1136"/>
      <c r="DA856" s="1136"/>
      <c r="DB856" s="1136"/>
      <c r="DC856" s="1136"/>
      <c r="DD856" s="1136"/>
      <c r="DE856" s="1136"/>
      <c r="DF856" s="1136"/>
      <c r="DG856" s="1136"/>
      <c r="DH856" s="1136"/>
      <c r="DI856" s="1136"/>
    </row>
    <row r="857" spans="1:113" ht="47.25" x14ac:dyDescent="0.25">
      <c r="A857" s="1438" t="s">
        <v>1895</v>
      </c>
      <c r="B857" s="1439"/>
      <c r="C857" s="1562"/>
      <c r="D857" s="1610"/>
      <c r="E857" s="1610"/>
      <c r="F857" s="1610"/>
      <c r="G857" s="1610"/>
      <c r="H857" s="1531"/>
      <c r="I857" s="1531"/>
      <c r="J857" s="1531"/>
      <c r="K857" s="1531"/>
      <c r="L857" s="1531"/>
      <c r="M857" s="1531"/>
      <c r="N857" s="1531"/>
      <c r="O857" s="1531"/>
      <c r="P857" s="1531"/>
      <c r="Q857" s="1531"/>
      <c r="R857" s="1531"/>
      <c r="S857" s="1531"/>
      <c r="T857" s="1531"/>
      <c r="U857" s="1531"/>
      <c r="V857" s="1531"/>
      <c r="W857" s="1531"/>
      <c r="X857" s="1531"/>
      <c r="Y857" s="1531"/>
      <c r="Z857" s="1531"/>
      <c r="AA857" s="1531"/>
      <c r="AB857" s="1531"/>
      <c r="AC857" s="1531"/>
      <c r="AD857" s="1531"/>
      <c r="AE857" s="1531"/>
      <c r="AF857" s="1531"/>
      <c r="AG857" s="1531"/>
      <c r="AH857" s="1531"/>
      <c r="AI857" s="1531"/>
      <c r="AJ857" s="1531"/>
      <c r="AK857" s="1531"/>
      <c r="AL857" s="1531"/>
      <c r="AM857" s="1531"/>
      <c r="AN857" s="1531"/>
      <c r="AO857" s="1531"/>
      <c r="AP857" s="1531"/>
      <c r="AQ857" s="1531"/>
      <c r="AR857" s="1531"/>
      <c r="AS857" s="1531"/>
      <c r="AT857" s="1136"/>
      <c r="AU857" s="1136"/>
      <c r="AV857" s="1136"/>
      <c r="AW857" s="1136"/>
      <c r="AX857" s="1136"/>
      <c r="AY857" s="1136"/>
      <c r="AZ857" s="1136"/>
      <c r="BA857" s="1136"/>
      <c r="BB857" s="1136"/>
      <c r="BC857" s="1136"/>
      <c r="BD857" s="1136"/>
      <c r="BE857" s="1136"/>
      <c r="BF857" s="1136"/>
      <c r="BG857" s="1136"/>
      <c r="BH857" s="1136"/>
      <c r="BI857" s="1136"/>
      <c r="BJ857" s="1136"/>
      <c r="BK857" s="1136"/>
      <c r="BL857" s="1136"/>
      <c r="BM857" s="1136"/>
      <c r="BN857" s="1136"/>
      <c r="BO857" s="1136"/>
      <c r="BP857" s="1136"/>
      <c r="BQ857" s="1136"/>
      <c r="BR857" s="1136"/>
      <c r="BS857" s="1136"/>
      <c r="BT857" s="1136"/>
      <c r="BU857" s="1136"/>
      <c r="BV857" s="1136"/>
      <c r="BW857" s="1136"/>
      <c r="BX857" s="1136"/>
      <c r="BY857" s="1136"/>
      <c r="BZ857" s="1136"/>
      <c r="CA857" s="1136"/>
      <c r="CB857" s="1136"/>
      <c r="CC857" s="1136"/>
      <c r="CD857" s="1136"/>
      <c r="CE857" s="1136"/>
      <c r="CF857" s="1136"/>
      <c r="CG857" s="1136"/>
      <c r="CH857" s="1136"/>
      <c r="CI857" s="1136"/>
      <c r="CJ857" s="1136"/>
      <c r="CK857" s="1136"/>
      <c r="CL857" s="1136"/>
      <c r="CM857" s="1136"/>
      <c r="CN857" s="1136"/>
      <c r="CO857" s="1136"/>
      <c r="CP857" s="1136"/>
      <c r="CQ857" s="1136"/>
      <c r="CR857" s="1136"/>
      <c r="CS857" s="1136"/>
      <c r="CT857" s="1136"/>
      <c r="CU857" s="1136"/>
      <c r="CV857" s="1136"/>
      <c r="CW857" s="1136"/>
      <c r="CX857" s="1136"/>
      <c r="CY857" s="1136"/>
      <c r="CZ857" s="1136"/>
      <c r="DA857" s="1136"/>
      <c r="DB857" s="1136"/>
      <c r="DC857" s="1136"/>
      <c r="DD857" s="1136"/>
      <c r="DE857" s="1136"/>
      <c r="DF857" s="1136"/>
      <c r="DG857" s="1136"/>
      <c r="DH857" s="1136"/>
      <c r="DI857" s="1136"/>
    </row>
    <row r="858" spans="1:113" ht="15.75" x14ac:dyDescent="0.25">
      <c r="A858" s="1420" t="s">
        <v>424</v>
      </c>
      <c r="B858" s="1439" t="e">
        <f>(B291^2*((B815-B811)/B308+1)/(B815-B811))*B809</f>
        <v>#DIV/0!</v>
      </c>
      <c r="C858" s="1562"/>
      <c r="D858" s="1606"/>
      <c r="E858" s="1606"/>
      <c r="F858" s="1606"/>
      <c r="G858" s="1606"/>
      <c r="H858" s="1531"/>
      <c r="I858" s="1531"/>
      <c r="J858" s="1531"/>
      <c r="K858" s="1531"/>
      <c r="L858" s="1531"/>
      <c r="M858" s="1531"/>
      <c r="N858" s="1531"/>
      <c r="O858" s="1531"/>
      <c r="P858" s="1531"/>
      <c r="Q858" s="1531"/>
      <c r="R858" s="1531"/>
      <c r="S858" s="1531"/>
      <c r="T858" s="1531"/>
      <c r="U858" s="1531"/>
      <c r="V858" s="1531"/>
      <c r="W858" s="1531"/>
      <c r="X858" s="1531"/>
      <c r="Y858" s="1531"/>
      <c r="Z858" s="1531"/>
      <c r="AA858" s="1531"/>
      <c r="AB858" s="1531"/>
      <c r="AC858" s="1531"/>
      <c r="AD858" s="1531"/>
      <c r="AE858" s="1531"/>
      <c r="AF858" s="1531"/>
      <c r="AG858" s="1531"/>
      <c r="AH858" s="1531"/>
      <c r="AI858" s="1531"/>
      <c r="AJ858" s="1531"/>
      <c r="AK858" s="1531"/>
      <c r="AL858" s="1531"/>
      <c r="AM858" s="1531"/>
      <c r="AN858" s="1531"/>
      <c r="AO858" s="1531"/>
      <c r="AP858" s="1531"/>
      <c r="AQ858" s="1531"/>
      <c r="AR858" s="1531"/>
      <c r="AS858" s="1531"/>
      <c r="AT858" s="1136"/>
      <c r="AU858" s="1136"/>
      <c r="AV858" s="1136"/>
      <c r="AW858" s="1136"/>
      <c r="AX858" s="1136"/>
      <c r="AY858" s="1136"/>
      <c r="AZ858" s="1136"/>
      <c r="BA858" s="1136"/>
      <c r="BB858" s="1136"/>
      <c r="BC858" s="1136"/>
      <c r="BD858" s="1136"/>
      <c r="BE858" s="1136"/>
      <c r="BF858" s="1136"/>
      <c r="BG858" s="1136"/>
      <c r="BH858" s="1136"/>
      <c r="BI858" s="1136"/>
      <c r="BJ858" s="1136"/>
      <c r="BK858" s="1136"/>
      <c r="BL858" s="1136"/>
      <c r="BM858" s="1136"/>
      <c r="BN858" s="1136"/>
      <c r="BO858" s="1136"/>
      <c r="BP858" s="1136"/>
      <c r="BQ858" s="1136"/>
      <c r="BR858" s="1136"/>
      <c r="BS858" s="1136"/>
      <c r="BT858" s="1136"/>
      <c r="BU858" s="1136"/>
      <c r="BV858" s="1136"/>
      <c r="BW858" s="1136"/>
      <c r="BX858" s="1136"/>
      <c r="BY858" s="1136"/>
      <c r="BZ858" s="1136"/>
      <c r="CA858" s="1136"/>
      <c r="CB858" s="1136"/>
      <c r="CC858" s="1136"/>
      <c r="CD858" s="1136"/>
      <c r="CE858" s="1136"/>
      <c r="CF858" s="1136"/>
      <c r="CG858" s="1136"/>
      <c r="CH858" s="1136"/>
      <c r="CI858" s="1136"/>
      <c r="CJ858" s="1136"/>
      <c r="CK858" s="1136"/>
      <c r="CL858" s="1136"/>
      <c r="CM858" s="1136"/>
      <c r="CN858" s="1136"/>
      <c r="CO858" s="1136"/>
      <c r="CP858" s="1136"/>
      <c r="CQ858" s="1136"/>
      <c r="CR858" s="1136"/>
      <c r="CS858" s="1136"/>
      <c r="CT858" s="1136"/>
      <c r="CU858" s="1136"/>
      <c r="CV858" s="1136"/>
      <c r="CW858" s="1136"/>
      <c r="CX858" s="1136"/>
      <c r="CY858" s="1136"/>
      <c r="CZ858" s="1136"/>
      <c r="DA858" s="1136"/>
      <c r="DB858" s="1136"/>
      <c r="DC858" s="1136"/>
      <c r="DD858" s="1136"/>
      <c r="DE858" s="1136"/>
      <c r="DF858" s="1136"/>
      <c r="DG858" s="1136"/>
      <c r="DH858" s="1136"/>
      <c r="DI858" s="1136"/>
    </row>
    <row r="859" spans="1:113" ht="15.75" x14ac:dyDescent="0.25">
      <c r="A859" s="1420" t="s">
        <v>1718</v>
      </c>
      <c r="B859" s="1424">
        <f>INDEX($G$1619:$J$1631,B861,B863)</f>
        <v>29.7</v>
      </c>
      <c r="C859" s="1606"/>
      <c r="D859" s="1610"/>
      <c r="E859" s="1610"/>
      <c r="F859" s="1610"/>
      <c r="G859" s="1610"/>
      <c r="H859" s="1531"/>
      <c r="I859" s="1531"/>
      <c r="J859" s="1531"/>
      <c r="K859" s="1531"/>
      <c r="L859" s="1531"/>
      <c r="M859" s="1531"/>
      <c r="N859" s="1531"/>
      <c r="O859" s="1531"/>
      <c r="P859" s="1531"/>
      <c r="Q859" s="1531"/>
      <c r="R859" s="1531"/>
      <c r="S859" s="1531"/>
      <c r="T859" s="1531"/>
      <c r="U859" s="1531"/>
      <c r="V859" s="1531"/>
      <c r="W859" s="1531"/>
      <c r="X859" s="1531"/>
      <c r="Y859" s="1531"/>
      <c r="Z859" s="1531"/>
      <c r="AA859" s="1531"/>
      <c r="AB859" s="1531"/>
      <c r="AC859" s="1531"/>
      <c r="AD859" s="1531"/>
      <c r="AE859" s="1531"/>
      <c r="AF859" s="1531"/>
      <c r="AG859" s="1531"/>
      <c r="AH859" s="1531"/>
      <c r="AI859" s="1531"/>
      <c r="AJ859" s="1531"/>
      <c r="AK859" s="1531"/>
      <c r="AL859" s="1531"/>
      <c r="AM859" s="1531"/>
      <c r="AN859" s="1531"/>
      <c r="AO859" s="1531"/>
      <c r="AP859" s="1531"/>
      <c r="AQ859" s="1531"/>
      <c r="AR859" s="1531"/>
      <c r="AS859" s="1531"/>
      <c r="AT859" s="1136"/>
      <c r="AU859" s="1136"/>
      <c r="AV859" s="1136"/>
      <c r="AW859" s="1136"/>
      <c r="AX859" s="1136"/>
      <c r="AY859" s="1136"/>
      <c r="AZ859" s="1136"/>
      <c r="BA859" s="1136"/>
      <c r="BB859" s="1136"/>
      <c r="BC859" s="1136"/>
      <c r="BD859" s="1136"/>
      <c r="BE859" s="1136"/>
      <c r="BF859" s="1136"/>
      <c r="BG859" s="1136"/>
      <c r="BH859" s="1136"/>
      <c r="BI859" s="1136"/>
      <c r="BJ859" s="1136"/>
      <c r="BK859" s="1136"/>
      <c r="BL859" s="1136"/>
      <c r="BM859" s="1136"/>
      <c r="BN859" s="1136"/>
      <c r="BO859" s="1136"/>
      <c r="BP859" s="1136"/>
      <c r="BQ859" s="1136"/>
      <c r="BR859" s="1136"/>
      <c r="BS859" s="1136"/>
      <c r="BT859" s="1136"/>
      <c r="BU859" s="1136"/>
      <c r="BV859" s="1136"/>
      <c r="BW859" s="1136"/>
      <c r="BX859" s="1136"/>
      <c r="BY859" s="1136"/>
      <c r="BZ859" s="1136"/>
      <c r="CA859" s="1136"/>
      <c r="CB859" s="1136"/>
      <c r="CC859" s="1136"/>
      <c r="CD859" s="1136"/>
      <c r="CE859" s="1136"/>
      <c r="CF859" s="1136"/>
      <c r="CG859" s="1136"/>
      <c r="CH859" s="1136"/>
      <c r="CI859" s="1136"/>
      <c r="CJ859" s="1136"/>
      <c r="CK859" s="1136"/>
      <c r="CL859" s="1136"/>
      <c r="CM859" s="1136"/>
      <c r="CN859" s="1136"/>
      <c r="CO859" s="1136"/>
      <c r="CP859" s="1136"/>
      <c r="CQ859" s="1136"/>
      <c r="CR859" s="1136"/>
      <c r="CS859" s="1136"/>
      <c r="CT859" s="1136"/>
      <c r="CU859" s="1136"/>
      <c r="CV859" s="1136"/>
      <c r="CW859" s="1136"/>
      <c r="CX859" s="1136"/>
      <c r="CY859" s="1136"/>
      <c r="CZ859" s="1136"/>
      <c r="DA859" s="1136"/>
      <c r="DB859" s="1136"/>
      <c r="DC859" s="1136"/>
      <c r="DD859" s="1136"/>
      <c r="DE859" s="1136"/>
      <c r="DF859" s="1136"/>
      <c r="DG859" s="1136"/>
      <c r="DH859" s="1136"/>
      <c r="DI859" s="1136"/>
    </row>
    <row r="860" spans="1:113" ht="15.75" x14ac:dyDescent="0.25">
      <c r="A860" s="1435" t="s">
        <v>1719</v>
      </c>
      <c r="B860" s="1439"/>
      <c r="C860" s="1562"/>
      <c r="D860" s="1521"/>
      <c r="E860" s="1521"/>
      <c r="F860" s="1521"/>
      <c r="G860" s="1521"/>
      <c r="H860" s="1531"/>
      <c r="I860" s="1531"/>
      <c r="J860" s="1531"/>
      <c r="K860" s="1531"/>
      <c r="L860" s="1531"/>
      <c r="M860" s="1531"/>
      <c r="N860" s="1531"/>
      <c r="O860" s="1531"/>
      <c r="P860" s="1531"/>
      <c r="Q860" s="1531"/>
      <c r="R860" s="1531"/>
      <c r="S860" s="1531"/>
      <c r="T860" s="1531"/>
      <c r="U860" s="1531"/>
      <c r="V860" s="1531"/>
      <c r="W860" s="1531"/>
      <c r="X860" s="1531"/>
      <c r="Y860" s="1531"/>
      <c r="Z860" s="1531"/>
      <c r="AA860" s="1531"/>
      <c r="AB860" s="1531"/>
      <c r="AC860" s="1531"/>
      <c r="AD860" s="1531"/>
      <c r="AE860" s="1531"/>
      <c r="AF860" s="1531"/>
      <c r="AG860" s="1531"/>
      <c r="AH860" s="1531"/>
      <c r="AI860" s="1531"/>
      <c r="AJ860" s="1531"/>
      <c r="AK860" s="1531"/>
      <c r="AL860" s="1531"/>
      <c r="AM860" s="1531"/>
      <c r="AN860" s="1531"/>
      <c r="AO860" s="1531"/>
      <c r="AP860" s="1531"/>
      <c r="AQ860" s="1531"/>
      <c r="AR860" s="1531"/>
      <c r="AS860" s="1531"/>
      <c r="AT860" s="1136"/>
      <c r="AU860" s="1136"/>
      <c r="AV860" s="1136"/>
      <c r="AW860" s="1136"/>
      <c r="AX860" s="1136"/>
      <c r="AY860" s="1136"/>
      <c r="AZ860" s="1136"/>
      <c r="BA860" s="1136"/>
      <c r="BB860" s="1136"/>
      <c r="BC860" s="1136"/>
      <c r="BD860" s="1136"/>
      <c r="BE860" s="1136"/>
      <c r="BF860" s="1136"/>
      <c r="BG860" s="1136"/>
      <c r="BH860" s="1136"/>
      <c r="BI860" s="1136"/>
      <c r="BJ860" s="1136"/>
      <c r="BK860" s="1136"/>
      <c r="BL860" s="1136"/>
      <c r="BM860" s="1136"/>
      <c r="BN860" s="1136"/>
      <c r="BO860" s="1136"/>
      <c r="BP860" s="1136"/>
      <c r="BQ860" s="1136"/>
      <c r="BR860" s="1136"/>
      <c r="BS860" s="1136"/>
      <c r="BT860" s="1136"/>
      <c r="BU860" s="1136"/>
      <c r="BV860" s="1136"/>
      <c r="BW860" s="1136"/>
      <c r="BX860" s="1136"/>
      <c r="BY860" s="1136"/>
      <c r="BZ860" s="1136"/>
      <c r="CA860" s="1136"/>
      <c r="CB860" s="1136"/>
      <c r="CC860" s="1136"/>
      <c r="CD860" s="1136"/>
      <c r="CE860" s="1136"/>
      <c r="CF860" s="1136"/>
      <c r="CG860" s="1136"/>
      <c r="CH860" s="1136"/>
      <c r="CI860" s="1136"/>
      <c r="CJ860" s="1136"/>
      <c r="CK860" s="1136"/>
      <c r="CL860" s="1136"/>
      <c r="CM860" s="1136"/>
      <c r="CN860" s="1136"/>
      <c r="CO860" s="1136"/>
      <c r="CP860" s="1136"/>
      <c r="CQ860" s="1136"/>
      <c r="CR860" s="1136"/>
      <c r="CS860" s="1136"/>
      <c r="CT860" s="1136"/>
      <c r="CU860" s="1136"/>
      <c r="CV860" s="1136"/>
      <c r="CW860" s="1136"/>
      <c r="CX860" s="1136"/>
      <c r="CY860" s="1136"/>
      <c r="CZ860" s="1136"/>
      <c r="DA860" s="1136"/>
      <c r="DB860" s="1136"/>
      <c r="DC860" s="1136"/>
      <c r="DD860" s="1136"/>
      <c r="DE860" s="1136"/>
      <c r="DF860" s="1136"/>
      <c r="DG860" s="1136"/>
      <c r="DH860" s="1136"/>
      <c r="DI860" s="1136"/>
    </row>
    <row r="861" spans="1:113" ht="15.75" x14ac:dyDescent="0.25">
      <c r="A861" s="1420" t="s">
        <v>1720</v>
      </c>
      <c r="B861" s="1441">
        <f>IF(B286&lt;0.51,1,IF(B286&lt;0.61,2,IF(B286&lt;0.71,3,IF(B286&lt;0.81,4,IF(B286&lt;0.91,5,IF(B286&lt;1.01,6,IF(B286&lt;1.11,7,B862)))))))</f>
        <v>13</v>
      </c>
      <c r="C861" s="1596"/>
      <c r="D861" s="1606"/>
      <c r="E861" s="1606"/>
      <c r="F861" s="1606"/>
      <c r="G861" s="1606"/>
      <c r="H861" s="1531"/>
      <c r="I861" s="1531"/>
      <c r="J861" s="1531"/>
      <c r="K861" s="1531"/>
      <c r="L861" s="1531"/>
      <c r="M861" s="1531"/>
      <c r="N861" s="1531"/>
      <c r="O861" s="1531"/>
      <c r="P861" s="1531"/>
      <c r="Q861" s="1531"/>
      <c r="R861" s="1531"/>
      <c r="S861" s="1531"/>
      <c r="T861" s="1531"/>
      <c r="U861" s="1531"/>
      <c r="V861" s="1531"/>
      <c r="W861" s="1531"/>
      <c r="X861" s="1531"/>
      <c r="Y861" s="1531"/>
      <c r="Z861" s="1531"/>
      <c r="AA861" s="1531"/>
      <c r="AB861" s="1531"/>
      <c r="AC861" s="1531"/>
      <c r="AD861" s="1531"/>
      <c r="AE861" s="1531"/>
      <c r="AF861" s="1531"/>
      <c r="AG861" s="1531"/>
      <c r="AH861" s="1531"/>
      <c r="AI861" s="1531"/>
      <c r="AJ861" s="1531"/>
      <c r="AK861" s="1531"/>
      <c r="AL861" s="1531"/>
      <c r="AM861" s="1531"/>
      <c r="AN861" s="1531"/>
      <c r="AO861" s="1531"/>
      <c r="AP861" s="1531"/>
      <c r="AQ861" s="1531"/>
      <c r="AR861" s="1531"/>
      <c r="AS861" s="1531"/>
      <c r="AT861" s="1136"/>
      <c r="AU861" s="1136"/>
      <c r="AV861" s="1136"/>
      <c r="AW861" s="1136"/>
      <c r="AX861" s="1136"/>
      <c r="AY861" s="1136"/>
      <c r="AZ861" s="1136"/>
      <c r="BA861" s="1136"/>
      <c r="BB861" s="1136"/>
      <c r="BC861" s="1136"/>
      <c r="BD861" s="1136"/>
      <c r="BE861" s="1136"/>
      <c r="BF861" s="1136"/>
      <c r="BG861" s="1136"/>
      <c r="BH861" s="1136"/>
      <c r="BI861" s="1136"/>
      <c r="BJ861" s="1136"/>
      <c r="BK861" s="1136"/>
      <c r="BL861" s="1136"/>
      <c r="BM861" s="1136"/>
      <c r="BN861" s="1136"/>
      <c r="BO861" s="1136"/>
      <c r="BP861" s="1136"/>
      <c r="BQ861" s="1136"/>
      <c r="BR861" s="1136"/>
      <c r="BS861" s="1136"/>
      <c r="BT861" s="1136"/>
      <c r="BU861" s="1136"/>
      <c r="BV861" s="1136"/>
      <c r="BW861" s="1136"/>
      <c r="BX861" s="1136"/>
      <c r="BY861" s="1136"/>
      <c r="BZ861" s="1136"/>
      <c r="CA861" s="1136"/>
      <c r="CB861" s="1136"/>
      <c r="CC861" s="1136"/>
      <c r="CD861" s="1136"/>
      <c r="CE861" s="1136"/>
      <c r="CF861" s="1136"/>
      <c r="CG861" s="1136"/>
      <c r="CH861" s="1136"/>
      <c r="CI861" s="1136"/>
      <c r="CJ861" s="1136"/>
      <c r="CK861" s="1136"/>
      <c r="CL861" s="1136"/>
      <c r="CM861" s="1136"/>
      <c r="CN861" s="1136"/>
      <c r="CO861" s="1136"/>
      <c r="CP861" s="1136"/>
      <c r="CQ861" s="1136"/>
      <c r="CR861" s="1136"/>
      <c r="CS861" s="1136"/>
      <c r="CT861" s="1136"/>
      <c r="CU861" s="1136"/>
      <c r="CV861" s="1136"/>
      <c r="CW861" s="1136"/>
      <c r="CX861" s="1136"/>
      <c r="CY861" s="1136"/>
      <c r="CZ861" s="1136"/>
      <c r="DA861" s="1136"/>
      <c r="DB861" s="1136"/>
      <c r="DC861" s="1136"/>
      <c r="DD861" s="1136"/>
      <c r="DE861" s="1136"/>
      <c r="DF861" s="1136"/>
      <c r="DG861" s="1136"/>
      <c r="DH861" s="1136"/>
      <c r="DI861" s="1136"/>
    </row>
    <row r="862" spans="1:113" ht="31.5" x14ac:dyDescent="0.25">
      <c r="A862" s="1435" t="s">
        <v>1721</v>
      </c>
      <c r="B862" s="1441">
        <f>IF(B286&lt;1.26,8,IF(B286&lt;1.41,9,IF(B286&lt;1.61,10,IF(B286&lt;1.81,11,IF(B286&lt;2.01,12,13)))))</f>
        <v>13</v>
      </c>
      <c r="C862" s="1596"/>
      <c r="D862" s="1562"/>
      <c r="E862" s="1562"/>
      <c r="F862" s="1562"/>
      <c r="G862" s="1562"/>
      <c r="H862" s="1531"/>
      <c r="I862" s="1531"/>
      <c r="J862" s="1531"/>
      <c r="K862" s="1531"/>
      <c r="L862" s="1531"/>
      <c r="M862" s="1531"/>
      <c r="N862" s="1531"/>
      <c r="O862" s="1531"/>
      <c r="P862" s="1531"/>
      <c r="Q862" s="1531"/>
      <c r="R862" s="1531"/>
      <c r="S862" s="1531"/>
      <c r="T862" s="1531"/>
      <c r="U862" s="1531"/>
      <c r="V862" s="1531"/>
      <c r="W862" s="1531"/>
      <c r="X862" s="1531"/>
      <c r="Y862" s="1531"/>
      <c r="Z862" s="1531"/>
      <c r="AA862" s="1531"/>
      <c r="AB862" s="1531"/>
      <c r="AC862" s="1531"/>
      <c r="AD862" s="1531"/>
      <c r="AE862" s="1531"/>
      <c r="AF862" s="1531"/>
      <c r="AG862" s="1531"/>
      <c r="AH862" s="1531"/>
      <c r="AI862" s="1531"/>
      <c r="AJ862" s="1531"/>
      <c r="AK862" s="1531"/>
      <c r="AL862" s="1531"/>
      <c r="AM862" s="1531"/>
      <c r="AN862" s="1531"/>
      <c r="AO862" s="1531"/>
      <c r="AP862" s="1531"/>
      <c r="AQ862" s="1531"/>
      <c r="AR862" s="1531"/>
      <c r="AS862" s="1531"/>
      <c r="AT862" s="1136"/>
      <c r="AU862" s="1136"/>
      <c r="AV862" s="1136"/>
      <c r="AW862" s="1136"/>
      <c r="AX862" s="1136"/>
      <c r="AY862" s="1136"/>
      <c r="AZ862" s="1136"/>
      <c r="BA862" s="1136"/>
      <c r="BB862" s="1136"/>
      <c r="BC862" s="1136"/>
      <c r="BD862" s="1136"/>
      <c r="BE862" s="1136"/>
      <c r="BF862" s="1136"/>
      <c r="BG862" s="1136"/>
      <c r="BH862" s="1136"/>
      <c r="BI862" s="1136"/>
      <c r="BJ862" s="1136"/>
      <c r="BK862" s="1136"/>
      <c r="BL862" s="1136"/>
      <c r="BM862" s="1136"/>
      <c r="BN862" s="1136"/>
      <c r="BO862" s="1136"/>
      <c r="BP862" s="1136"/>
      <c r="BQ862" s="1136"/>
      <c r="BR862" s="1136"/>
      <c r="BS862" s="1136"/>
      <c r="BT862" s="1136"/>
      <c r="BU862" s="1136"/>
      <c r="BV862" s="1136"/>
      <c r="BW862" s="1136"/>
      <c r="BX862" s="1136"/>
      <c r="BY862" s="1136"/>
      <c r="BZ862" s="1136"/>
      <c r="CA862" s="1136"/>
      <c r="CB862" s="1136"/>
      <c r="CC862" s="1136"/>
      <c r="CD862" s="1136"/>
      <c r="CE862" s="1136"/>
      <c r="CF862" s="1136"/>
      <c r="CG862" s="1136"/>
      <c r="CH862" s="1136"/>
      <c r="CI862" s="1136"/>
      <c r="CJ862" s="1136"/>
      <c r="CK862" s="1136"/>
      <c r="CL862" s="1136"/>
      <c r="CM862" s="1136"/>
      <c r="CN862" s="1136"/>
      <c r="CO862" s="1136"/>
      <c r="CP862" s="1136"/>
      <c r="CQ862" s="1136"/>
      <c r="CR862" s="1136"/>
      <c r="CS862" s="1136"/>
      <c r="CT862" s="1136"/>
      <c r="CU862" s="1136"/>
      <c r="CV862" s="1136"/>
      <c r="CW862" s="1136"/>
      <c r="CX862" s="1136"/>
      <c r="CY862" s="1136"/>
      <c r="CZ862" s="1136"/>
      <c r="DA862" s="1136"/>
      <c r="DB862" s="1136"/>
      <c r="DC862" s="1136"/>
      <c r="DD862" s="1136"/>
      <c r="DE862" s="1136"/>
      <c r="DF862" s="1136"/>
      <c r="DG862" s="1136"/>
      <c r="DH862" s="1136"/>
      <c r="DI862" s="1136"/>
    </row>
    <row r="863" spans="1:113" ht="15.75" x14ac:dyDescent="0.25">
      <c r="A863" s="1420" t="s">
        <v>1722</v>
      </c>
      <c r="B863" s="1441">
        <f>IF(B297&lt;21,1,IF(B297&lt;36,2,IF(B297&lt;56,3,4)))</f>
        <v>4</v>
      </c>
      <c r="C863" s="1596"/>
      <c r="D863" s="1531"/>
      <c r="E863" s="1531"/>
      <c r="F863" s="1531"/>
      <c r="G863" s="1531"/>
      <c r="H863" s="1531"/>
      <c r="I863" s="1531"/>
      <c r="J863" s="1531"/>
      <c r="K863" s="1531"/>
      <c r="L863" s="1531"/>
      <c r="M863" s="1531"/>
      <c r="N863" s="1531"/>
      <c r="O863" s="1531"/>
      <c r="P863" s="1531"/>
      <c r="Q863" s="1531"/>
      <c r="R863" s="1531"/>
      <c r="S863" s="1531"/>
      <c r="T863" s="1531"/>
      <c r="U863" s="1531"/>
      <c r="V863" s="1531"/>
      <c r="W863" s="1531"/>
      <c r="X863" s="1531"/>
      <c r="Y863" s="1531"/>
      <c r="Z863" s="1531"/>
      <c r="AA863" s="1531"/>
      <c r="AB863" s="1531"/>
      <c r="AC863" s="1531"/>
      <c r="AD863" s="1531"/>
      <c r="AE863" s="1531"/>
      <c r="AF863" s="1531"/>
      <c r="AG863" s="1531"/>
      <c r="AH863" s="1531"/>
      <c r="AI863" s="1531"/>
      <c r="AJ863" s="1531"/>
      <c r="AK863" s="1531"/>
      <c r="AL863" s="1531"/>
      <c r="AM863" s="1531"/>
      <c r="AN863" s="1531"/>
      <c r="AO863" s="1531"/>
      <c r="AP863" s="1531"/>
      <c r="AQ863" s="1531"/>
      <c r="AR863" s="1531"/>
      <c r="AS863" s="1531"/>
      <c r="AT863" s="1136"/>
      <c r="AU863" s="1136"/>
      <c r="AV863" s="1136"/>
      <c r="AW863" s="1136"/>
      <c r="AX863" s="1136"/>
      <c r="AY863" s="1136"/>
      <c r="AZ863" s="1136"/>
      <c r="BA863" s="1136"/>
      <c r="BB863" s="1136"/>
      <c r="BC863" s="1136"/>
      <c r="BD863" s="1136"/>
      <c r="BE863" s="1136"/>
      <c r="BF863" s="1136"/>
      <c r="BG863" s="1136"/>
      <c r="BH863" s="1136"/>
      <c r="BI863" s="1136"/>
      <c r="BJ863" s="1136"/>
      <c r="BK863" s="1136"/>
      <c r="BL863" s="1136"/>
      <c r="BM863" s="1136"/>
      <c r="BN863" s="1136"/>
      <c r="BO863" s="1136"/>
      <c r="BP863" s="1136"/>
      <c r="BQ863" s="1136"/>
      <c r="BR863" s="1136"/>
      <c r="BS863" s="1136"/>
      <c r="BT863" s="1136"/>
      <c r="BU863" s="1136"/>
      <c r="BV863" s="1136"/>
      <c r="BW863" s="1136"/>
      <c r="BX863" s="1136"/>
      <c r="BY863" s="1136"/>
      <c r="BZ863" s="1136"/>
      <c r="CA863" s="1136"/>
      <c r="CB863" s="1136"/>
      <c r="CC863" s="1136"/>
      <c r="CD863" s="1136"/>
      <c r="CE863" s="1136"/>
      <c r="CF863" s="1136"/>
      <c r="CG863" s="1136"/>
      <c r="CH863" s="1136"/>
      <c r="CI863" s="1136"/>
      <c r="CJ863" s="1136"/>
      <c r="CK863" s="1136"/>
      <c r="CL863" s="1136"/>
      <c r="CM863" s="1136"/>
      <c r="CN863" s="1136"/>
      <c r="CO863" s="1136"/>
      <c r="CP863" s="1136"/>
      <c r="CQ863" s="1136"/>
      <c r="CR863" s="1136"/>
      <c r="CS863" s="1136"/>
      <c r="CT863" s="1136"/>
      <c r="CU863" s="1136"/>
      <c r="CV863" s="1136"/>
      <c r="CW863" s="1136"/>
      <c r="CX863" s="1136"/>
      <c r="CY863" s="1136"/>
      <c r="CZ863" s="1136"/>
      <c r="DA863" s="1136"/>
      <c r="DB863" s="1136"/>
      <c r="DC863" s="1136"/>
      <c r="DD863" s="1136"/>
      <c r="DE863" s="1136"/>
      <c r="DF863" s="1136"/>
      <c r="DG863" s="1136"/>
      <c r="DH863" s="1136"/>
      <c r="DI863" s="1136"/>
    </row>
    <row r="864" spans="1:113" ht="15.75" x14ac:dyDescent="0.25">
      <c r="A864" s="1420" t="s">
        <v>1723</v>
      </c>
      <c r="B864" s="1439"/>
      <c r="C864" s="1562"/>
      <c r="D864" s="1531"/>
      <c r="E864" s="1531"/>
      <c r="F864" s="1531"/>
      <c r="G864" s="1531"/>
      <c r="H864" s="1531"/>
      <c r="I864" s="1531"/>
      <c r="J864" s="1531"/>
      <c r="K864" s="1531"/>
      <c r="L864" s="1531"/>
      <c r="M864" s="1531"/>
      <c r="N864" s="1531"/>
      <c r="O864" s="1531"/>
      <c r="P864" s="1531"/>
      <c r="Q864" s="1531"/>
      <c r="R864" s="1531"/>
      <c r="S864" s="1531"/>
      <c r="T864" s="1531"/>
      <c r="U864" s="1531"/>
      <c r="V864" s="1531"/>
      <c r="W864" s="1531"/>
      <c r="X864" s="1531"/>
      <c r="Y864" s="1531"/>
      <c r="Z864" s="1531"/>
      <c r="AA864" s="1531"/>
      <c r="AB864" s="1531"/>
      <c r="AC864" s="1531"/>
      <c r="AD864" s="1531"/>
      <c r="AE864" s="1531"/>
      <c r="AF864" s="1531"/>
      <c r="AG864" s="1531"/>
      <c r="AH864" s="1531"/>
      <c r="AI864" s="1531"/>
      <c r="AJ864" s="1531"/>
      <c r="AK864" s="1531"/>
      <c r="AL864" s="1531"/>
      <c r="AM864" s="1531"/>
      <c r="AN864" s="1531"/>
      <c r="AO864" s="1531"/>
      <c r="AP864" s="1531"/>
      <c r="AQ864" s="1531"/>
      <c r="AR864" s="1531"/>
      <c r="AS864" s="1531"/>
      <c r="AT864" s="1136"/>
      <c r="AU864" s="1136"/>
      <c r="AV864" s="1136"/>
      <c r="AW864" s="1136"/>
      <c r="AX864" s="1136"/>
      <c r="AY864" s="1136"/>
      <c r="AZ864" s="1136"/>
      <c r="BA864" s="1136"/>
      <c r="BB864" s="1136"/>
      <c r="BC864" s="1136"/>
      <c r="BD864" s="1136"/>
      <c r="BE864" s="1136"/>
      <c r="BF864" s="1136"/>
      <c r="BG864" s="1136"/>
      <c r="BH864" s="1136"/>
      <c r="BI864" s="1136"/>
      <c r="BJ864" s="1136"/>
      <c r="BK864" s="1136"/>
      <c r="BL864" s="1136"/>
      <c r="BM864" s="1136"/>
      <c r="BN864" s="1136"/>
      <c r="BO864" s="1136"/>
      <c r="BP864" s="1136"/>
      <c r="BQ864" s="1136"/>
      <c r="BR864" s="1136"/>
      <c r="BS864" s="1136"/>
      <c r="BT864" s="1136"/>
      <c r="BU864" s="1136"/>
      <c r="BV864" s="1136"/>
      <c r="BW864" s="1136"/>
      <c r="BX864" s="1136"/>
      <c r="BY864" s="1136"/>
      <c r="BZ864" s="1136"/>
      <c r="CA864" s="1136"/>
      <c r="CB864" s="1136"/>
      <c r="CC864" s="1136"/>
      <c r="CD864" s="1136"/>
      <c r="CE864" s="1136"/>
      <c r="CF864" s="1136"/>
      <c r="CG864" s="1136"/>
      <c r="CH864" s="1136"/>
      <c r="CI864" s="1136"/>
      <c r="CJ864" s="1136"/>
      <c r="CK864" s="1136"/>
      <c r="CL864" s="1136"/>
      <c r="CM864" s="1136"/>
      <c r="CN864" s="1136"/>
      <c r="CO864" s="1136"/>
      <c r="CP864" s="1136"/>
      <c r="CQ864" s="1136"/>
      <c r="CR864" s="1136"/>
      <c r="CS864" s="1136"/>
      <c r="CT864" s="1136"/>
      <c r="CU864" s="1136"/>
      <c r="CV864" s="1136"/>
      <c r="CW864" s="1136"/>
      <c r="CX864" s="1136"/>
      <c r="CY864" s="1136"/>
      <c r="CZ864" s="1136"/>
      <c r="DA864" s="1136"/>
      <c r="DB864" s="1136"/>
      <c r="DC864" s="1136"/>
      <c r="DD864" s="1136"/>
      <c r="DE864" s="1136"/>
      <c r="DF864" s="1136"/>
      <c r="DG864" s="1136"/>
      <c r="DH864" s="1136"/>
      <c r="DI864" s="1136"/>
    </row>
    <row r="865" spans="1:113" ht="31.5" x14ac:dyDescent="0.25">
      <c r="A865" s="1420" t="s">
        <v>1724</v>
      </c>
      <c r="B865" s="1431">
        <f>B401</f>
        <v>0</v>
      </c>
      <c r="C865" s="1610"/>
      <c r="D865" s="1562"/>
      <c r="E865" s="1562"/>
      <c r="F865" s="1562"/>
      <c r="G865" s="1562"/>
      <c r="H865" s="1531"/>
      <c r="I865" s="1531"/>
      <c r="J865" s="1531"/>
      <c r="K865" s="1531"/>
      <c r="L865" s="1531"/>
      <c r="M865" s="1531"/>
      <c r="N865" s="1531"/>
      <c r="O865" s="1531"/>
      <c r="P865" s="1531"/>
      <c r="Q865" s="1531"/>
      <c r="R865" s="1531"/>
      <c r="S865" s="1531"/>
      <c r="T865" s="1531"/>
      <c r="U865" s="1531"/>
      <c r="V865" s="1531"/>
      <c r="W865" s="1531"/>
      <c r="X865" s="1531"/>
      <c r="Y865" s="1531"/>
      <c r="Z865" s="1531"/>
      <c r="AA865" s="1531"/>
      <c r="AB865" s="1531"/>
      <c r="AC865" s="1531"/>
      <c r="AD865" s="1531"/>
      <c r="AE865" s="1531"/>
      <c r="AF865" s="1531"/>
      <c r="AG865" s="1531"/>
      <c r="AH865" s="1531"/>
      <c r="AI865" s="1531"/>
      <c r="AJ865" s="1531"/>
      <c r="AK865" s="1531"/>
      <c r="AL865" s="1531"/>
      <c r="AM865" s="1531"/>
      <c r="AN865" s="1531"/>
      <c r="AO865" s="1531"/>
      <c r="AP865" s="1531"/>
      <c r="AQ865" s="1531"/>
      <c r="AR865" s="1531"/>
      <c r="AS865" s="1531"/>
      <c r="AT865" s="1136"/>
      <c r="AU865" s="1136"/>
      <c r="AV865" s="1136"/>
      <c r="AW865" s="1136"/>
      <c r="AX865" s="1136"/>
      <c r="AY865" s="1136"/>
      <c r="AZ865" s="1136"/>
      <c r="BA865" s="1136"/>
      <c r="BB865" s="1136"/>
      <c r="BC865" s="1136"/>
      <c r="BD865" s="1136"/>
      <c r="BE865" s="1136"/>
      <c r="BF865" s="1136"/>
      <c r="BG865" s="1136"/>
      <c r="BH865" s="1136"/>
      <c r="BI865" s="1136"/>
      <c r="BJ865" s="1136"/>
      <c r="BK865" s="1136"/>
      <c r="BL865" s="1136"/>
      <c r="BM865" s="1136"/>
      <c r="BN865" s="1136"/>
      <c r="BO865" s="1136"/>
      <c r="BP865" s="1136"/>
      <c r="BQ865" s="1136"/>
      <c r="BR865" s="1136"/>
      <c r="BS865" s="1136"/>
      <c r="BT865" s="1136"/>
      <c r="BU865" s="1136"/>
      <c r="BV865" s="1136"/>
      <c r="BW865" s="1136"/>
      <c r="BX865" s="1136"/>
      <c r="BY865" s="1136"/>
      <c r="BZ865" s="1136"/>
      <c r="CA865" s="1136"/>
      <c r="CB865" s="1136"/>
      <c r="CC865" s="1136"/>
      <c r="CD865" s="1136"/>
      <c r="CE865" s="1136"/>
      <c r="CF865" s="1136"/>
      <c r="CG865" s="1136"/>
      <c r="CH865" s="1136"/>
      <c r="CI865" s="1136"/>
      <c r="CJ865" s="1136"/>
      <c r="CK865" s="1136"/>
      <c r="CL865" s="1136"/>
      <c r="CM865" s="1136"/>
      <c r="CN865" s="1136"/>
      <c r="CO865" s="1136"/>
      <c r="CP865" s="1136"/>
      <c r="CQ865" s="1136"/>
      <c r="CR865" s="1136"/>
      <c r="CS865" s="1136"/>
      <c r="CT865" s="1136"/>
      <c r="CU865" s="1136"/>
      <c r="CV865" s="1136"/>
      <c r="CW865" s="1136"/>
      <c r="CX865" s="1136"/>
      <c r="CY865" s="1136"/>
      <c r="CZ865" s="1136"/>
      <c r="DA865" s="1136"/>
      <c r="DB865" s="1136"/>
      <c r="DC865" s="1136"/>
      <c r="DD865" s="1136"/>
      <c r="DE865" s="1136"/>
      <c r="DF865" s="1136"/>
      <c r="DG865" s="1136"/>
      <c r="DH865" s="1136"/>
      <c r="DI865" s="1136"/>
    </row>
    <row r="866" spans="1:113" ht="15.75" x14ac:dyDescent="0.25">
      <c r="A866" s="1420" t="s">
        <v>1725</v>
      </c>
      <c r="B866" s="1433">
        <f>IF(B865=1,1.15,1)</f>
        <v>1</v>
      </c>
      <c r="C866" s="1569"/>
      <c r="D866" s="1606"/>
      <c r="E866" s="1606"/>
      <c r="F866" s="1606"/>
      <c r="G866" s="1606"/>
      <c r="H866" s="1531"/>
      <c r="I866" s="1531"/>
      <c r="J866" s="1531"/>
      <c r="K866" s="1531"/>
      <c r="L866" s="1531"/>
      <c r="M866" s="1531"/>
      <c r="N866" s="1531"/>
      <c r="O866" s="1531"/>
      <c r="P866" s="1531"/>
      <c r="Q866" s="1531"/>
      <c r="R866" s="1531"/>
      <c r="S866" s="1531"/>
      <c r="T866" s="1531"/>
      <c r="U866" s="1531"/>
      <c r="V866" s="1531"/>
      <c r="W866" s="1531"/>
      <c r="X866" s="1531"/>
      <c r="Y866" s="1531"/>
      <c r="Z866" s="1531"/>
      <c r="AA866" s="1531"/>
      <c r="AB866" s="1531"/>
      <c r="AC866" s="1531"/>
      <c r="AD866" s="1531"/>
      <c r="AE866" s="1531"/>
      <c r="AF866" s="1531"/>
      <c r="AG866" s="1531"/>
      <c r="AH866" s="1531"/>
      <c r="AI866" s="1531"/>
      <c r="AJ866" s="1531"/>
      <c r="AK866" s="1531"/>
      <c r="AL866" s="1531"/>
      <c r="AM866" s="1531"/>
      <c r="AN866" s="1531"/>
      <c r="AO866" s="1531"/>
      <c r="AP866" s="1531"/>
      <c r="AQ866" s="1531"/>
      <c r="AR866" s="1531"/>
      <c r="AS866" s="1531"/>
      <c r="AT866" s="1136"/>
      <c r="AU866" s="1136"/>
      <c r="AV866" s="1136"/>
      <c r="AW866" s="1136"/>
      <c r="AX866" s="1136"/>
      <c r="AY866" s="1136"/>
      <c r="AZ866" s="1136"/>
      <c r="BA866" s="1136"/>
      <c r="BB866" s="1136"/>
      <c r="BC866" s="1136"/>
      <c r="BD866" s="1136"/>
      <c r="BE866" s="1136"/>
      <c r="BF866" s="1136"/>
      <c r="BG866" s="1136"/>
      <c r="BH866" s="1136"/>
      <c r="BI866" s="1136"/>
      <c r="BJ866" s="1136"/>
      <c r="BK866" s="1136"/>
      <c r="BL866" s="1136"/>
      <c r="BM866" s="1136"/>
      <c r="BN866" s="1136"/>
      <c r="BO866" s="1136"/>
      <c r="BP866" s="1136"/>
      <c r="BQ866" s="1136"/>
      <c r="BR866" s="1136"/>
      <c r="BS866" s="1136"/>
      <c r="BT866" s="1136"/>
      <c r="BU866" s="1136"/>
      <c r="BV866" s="1136"/>
      <c r="BW866" s="1136"/>
      <c r="BX866" s="1136"/>
      <c r="BY866" s="1136"/>
      <c r="BZ866" s="1136"/>
      <c r="CA866" s="1136"/>
      <c r="CB866" s="1136"/>
      <c r="CC866" s="1136"/>
      <c r="CD866" s="1136"/>
      <c r="CE866" s="1136"/>
      <c r="CF866" s="1136"/>
      <c r="CG866" s="1136"/>
      <c r="CH866" s="1136"/>
      <c r="CI866" s="1136"/>
      <c r="CJ866" s="1136"/>
      <c r="CK866" s="1136"/>
      <c r="CL866" s="1136"/>
      <c r="CM866" s="1136"/>
      <c r="CN866" s="1136"/>
      <c r="CO866" s="1136"/>
      <c r="CP866" s="1136"/>
      <c r="CQ866" s="1136"/>
      <c r="CR866" s="1136"/>
      <c r="CS866" s="1136"/>
      <c r="CT866" s="1136"/>
      <c r="CU866" s="1136"/>
      <c r="CV866" s="1136"/>
      <c r="CW866" s="1136"/>
      <c r="CX866" s="1136"/>
      <c r="CY866" s="1136"/>
      <c r="CZ866" s="1136"/>
      <c r="DA866" s="1136"/>
      <c r="DB866" s="1136"/>
      <c r="DC866" s="1136"/>
      <c r="DD866" s="1136"/>
      <c r="DE866" s="1136"/>
      <c r="DF866" s="1136"/>
      <c r="DG866" s="1136"/>
      <c r="DH866" s="1136"/>
      <c r="DI866" s="1136"/>
    </row>
    <row r="867" spans="1:113" ht="31.5" x14ac:dyDescent="0.25">
      <c r="A867" s="1420" t="s">
        <v>5573</v>
      </c>
      <c r="B867" s="1431">
        <f>B403</f>
        <v>0</v>
      </c>
      <c r="C867" s="1610"/>
      <c r="D867" s="1531"/>
      <c r="E867" s="1531"/>
      <c r="F867" s="1531"/>
      <c r="G867" s="1531"/>
      <c r="H867" s="1531"/>
      <c r="I867" s="1531"/>
      <c r="J867" s="1531"/>
      <c r="K867" s="1531"/>
      <c r="L867" s="1531"/>
      <c r="M867" s="1531"/>
      <c r="N867" s="1531"/>
      <c r="O867" s="1531"/>
      <c r="P867" s="1531"/>
      <c r="Q867" s="1531"/>
      <c r="R867" s="1531"/>
      <c r="S867" s="1531"/>
      <c r="T867" s="1531"/>
      <c r="U867" s="1531"/>
      <c r="V867" s="1531"/>
      <c r="W867" s="1531"/>
      <c r="X867" s="1531"/>
      <c r="Y867" s="1531"/>
      <c r="Z867" s="1531"/>
      <c r="AA867" s="1531"/>
      <c r="AB867" s="1531"/>
      <c r="AC867" s="1531"/>
      <c r="AD867" s="1531"/>
      <c r="AE867" s="1531"/>
      <c r="AF867" s="1531"/>
      <c r="AG867" s="1531"/>
      <c r="AH867" s="1531"/>
      <c r="AI867" s="1531"/>
      <c r="AJ867" s="1531"/>
      <c r="AK867" s="1531"/>
      <c r="AL867" s="1531"/>
      <c r="AM867" s="1531"/>
      <c r="AN867" s="1531"/>
      <c r="AO867" s="1531"/>
      <c r="AP867" s="1531"/>
      <c r="AQ867" s="1531"/>
      <c r="AR867" s="1531"/>
      <c r="AS867" s="1531"/>
      <c r="AT867" s="1136"/>
      <c r="AU867" s="1136"/>
      <c r="AV867" s="1136"/>
      <c r="AW867" s="1136"/>
      <c r="AX867" s="1136"/>
      <c r="AY867" s="1136"/>
      <c r="AZ867" s="1136"/>
      <c r="BA867" s="1136"/>
      <c r="BB867" s="1136"/>
      <c r="BC867" s="1136"/>
      <c r="BD867" s="1136"/>
      <c r="BE867" s="1136"/>
      <c r="BF867" s="1136"/>
      <c r="BG867" s="1136"/>
      <c r="BH867" s="1136"/>
      <c r="BI867" s="1136"/>
      <c r="BJ867" s="1136"/>
      <c r="BK867" s="1136"/>
      <c r="BL867" s="1136"/>
      <c r="BM867" s="1136"/>
      <c r="BN867" s="1136"/>
      <c r="BO867" s="1136"/>
      <c r="BP867" s="1136"/>
      <c r="BQ867" s="1136"/>
      <c r="BR867" s="1136"/>
      <c r="BS867" s="1136"/>
      <c r="BT867" s="1136"/>
      <c r="BU867" s="1136"/>
      <c r="BV867" s="1136"/>
      <c r="BW867" s="1136"/>
      <c r="BX867" s="1136"/>
      <c r="BY867" s="1136"/>
      <c r="BZ867" s="1136"/>
      <c r="CA867" s="1136"/>
      <c r="CB867" s="1136"/>
      <c r="CC867" s="1136"/>
      <c r="CD867" s="1136"/>
      <c r="CE867" s="1136"/>
      <c r="CF867" s="1136"/>
      <c r="CG867" s="1136"/>
      <c r="CH867" s="1136"/>
      <c r="CI867" s="1136"/>
      <c r="CJ867" s="1136"/>
      <c r="CK867" s="1136"/>
      <c r="CL867" s="1136"/>
      <c r="CM867" s="1136"/>
      <c r="CN867" s="1136"/>
      <c r="CO867" s="1136"/>
      <c r="CP867" s="1136"/>
      <c r="CQ867" s="1136"/>
      <c r="CR867" s="1136"/>
      <c r="CS867" s="1136"/>
      <c r="CT867" s="1136"/>
      <c r="CU867" s="1136"/>
      <c r="CV867" s="1136"/>
      <c r="CW867" s="1136"/>
      <c r="CX867" s="1136"/>
      <c r="CY867" s="1136"/>
      <c r="CZ867" s="1136"/>
      <c r="DA867" s="1136"/>
      <c r="DB867" s="1136"/>
      <c r="DC867" s="1136"/>
      <c r="DD867" s="1136"/>
      <c r="DE867" s="1136"/>
      <c r="DF867" s="1136"/>
      <c r="DG867" s="1136"/>
      <c r="DH867" s="1136"/>
      <c r="DI867" s="1136"/>
    </row>
    <row r="868" spans="1:113" ht="15.75" x14ac:dyDescent="0.25">
      <c r="A868" s="1420" t="s">
        <v>2636</v>
      </c>
      <c r="B868" s="1433">
        <f>IF(B867=1,1.15,1)</f>
        <v>1</v>
      </c>
      <c r="C868" s="1569"/>
      <c r="D868" s="1596"/>
      <c r="E868" s="1596"/>
      <c r="F868" s="1596"/>
      <c r="G868" s="1596"/>
      <c r="H868" s="1531"/>
      <c r="I868" s="1531"/>
      <c r="J868" s="1531"/>
      <c r="K868" s="1531"/>
      <c r="L868" s="1531"/>
      <c r="M868" s="1531"/>
      <c r="N868" s="1531"/>
      <c r="O868" s="1531"/>
      <c r="P868" s="1531"/>
      <c r="Q868" s="1531"/>
      <c r="R868" s="1531"/>
      <c r="S868" s="1531"/>
      <c r="T868" s="1531"/>
      <c r="U868" s="1531"/>
      <c r="V868" s="1531"/>
      <c r="W868" s="1531"/>
      <c r="X868" s="1531"/>
      <c r="Y868" s="1531"/>
      <c r="Z868" s="1531"/>
      <c r="AA868" s="1531"/>
      <c r="AB868" s="1531"/>
      <c r="AC868" s="1531"/>
      <c r="AD868" s="1531"/>
      <c r="AE868" s="1531"/>
      <c r="AF868" s="1531"/>
      <c r="AG868" s="1531"/>
      <c r="AH868" s="1531"/>
      <c r="AI868" s="1531"/>
      <c r="AJ868" s="1531"/>
      <c r="AK868" s="1531"/>
      <c r="AL868" s="1531"/>
      <c r="AM868" s="1531"/>
      <c r="AN868" s="1531"/>
      <c r="AO868" s="1531"/>
      <c r="AP868" s="1531"/>
      <c r="AQ868" s="1531"/>
      <c r="AR868" s="1531"/>
      <c r="AS868" s="1531"/>
      <c r="AT868" s="1136"/>
      <c r="AU868" s="1136"/>
      <c r="AV868" s="1136"/>
      <c r="AW868" s="1136"/>
      <c r="AX868" s="1136"/>
      <c r="AY868" s="1136"/>
      <c r="AZ868" s="1136"/>
      <c r="BA868" s="1136"/>
      <c r="BB868" s="1136"/>
      <c r="BC868" s="1136"/>
      <c r="BD868" s="1136"/>
      <c r="BE868" s="1136"/>
      <c r="BF868" s="1136"/>
      <c r="BG868" s="1136"/>
      <c r="BH868" s="1136"/>
      <c r="BI868" s="1136"/>
      <c r="BJ868" s="1136"/>
      <c r="BK868" s="1136"/>
      <c r="BL868" s="1136"/>
      <c r="BM868" s="1136"/>
      <c r="BN868" s="1136"/>
      <c r="BO868" s="1136"/>
      <c r="BP868" s="1136"/>
      <c r="BQ868" s="1136"/>
      <c r="BR868" s="1136"/>
      <c r="BS868" s="1136"/>
      <c r="BT868" s="1136"/>
      <c r="BU868" s="1136"/>
      <c r="BV868" s="1136"/>
      <c r="BW868" s="1136"/>
      <c r="BX868" s="1136"/>
      <c r="BY868" s="1136"/>
      <c r="BZ868" s="1136"/>
      <c r="CA868" s="1136"/>
      <c r="CB868" s="1136"/>
      <c r="CC868" s="1136"/>
      <c r="CD868" s="1136"/>
      <c r="CE868" s="1136"/>
      <c r="CF868" s="1136"/>
      <c r="CG868" s="1136"/>
      <c r="CH868" s="1136"/>
      <c r="CI868" s="1136"/>
      <c r="CJ868" s="1136"/>
      <c r="CK868" s="1136"/>
      <c r="CL868" s="1136"/>
      <c r="CM868" s="1136"/>
      <c r="CN868" s="1136"/>
      <c r="CO868" s="1136"/>
      <c r="CP868" s="1136"/>
      <c r="CQ868" s="1136"/>
      <c r="CR868" s="1136"/>
      <c r="CS868" s="1136"/>
      <c r="CT868" s="1136"/>
      <c r="CU868" s="1136"/>
      <c r="CV868" s="1136"/>
      <c r="CW868" s="1136"/>
      <c r="CX868" s="1136"/>
      <c r="CY868" s="1136"/>
      <c r="CZ868" s="1136"/>
      <c r="DA868" s="1136"/>
      <c r="DB868" s="1136"/>
      <c r="DC868" s="1136"/>
      <c r="DD868" s="1136"/>
      <c r="DE868" s="1136"/>
      <c r="DF868" s="1136"/>
      <c r="DG868" s="1136"/>
      <c r="DH868" s="1136"/>
      <c r="DI868" s="1136"/>
    </row>
    <row r="869" spans="1:113" ht="31.5" x14ac:dyDescent="0.25">
      <c r="A869" s="1420" t="s">
        <v>2637</v>
      </c>
      <c r="B869" s="1433">
        <f>IF(B322&lt;2,0.85,1)</f>
        <v>1</v>
      </c>
      <c r="C869" s="1569"/>
      <c r="D869" s="1596"/>
      <c r="E869" s="1596"/>
      <c r="F869" s="1596"/>
      <c r="G869" s="1596"/>
      <c r="H869" s="1531"/>
      <c r="I869" s="1531"/>
      <c r="J869" s="1531"/>
      <c r="K869" s="1531"/>
      <c r="L869" s="1531"/>
      <c r="M869" s="1531"/>
      <c r="N869" s="1531"/>
      <c r="O869" s="1531"/>
      <c r="P869" s="1531"/>
      <c r="Q869" s="1531"/>
      <c r="R869" s="1531"/>
      <c r="S869" s="1531"/>
      <c r="T869" s="1531"/>
      <c r="U869" s="1531"/>
      <c r="V869" s="1531"/>
      <c r="W869" s="1531"/>
      <c r="X869" s="1531"/>
      <c r="Y869" s="1531"/>
      <c r="Z869" s="1531"/>
      <c r="AA869" s="1531"/>
      <c r="AB869" s="1531"/>
      <c r="AC869" s="1531"/>
      <c r="AD869" s="1531"/>
      <c r="AE869" s="1531"/>
      <c r="AF869" s="1531"/>
      <c r="AG869" s="1531"/>
      <c r="AH869" s="1531"/>
      <c r="AI869" s="1531"/>
      <c r="AJ869" s="1531"/>
      <c r="AK869" s="1531"/>
      <c r="AL869" s="1531"/>
      <c r="AM869" s="1531"/>
      <c r="AN869" s="1531"/>
      <c r="AO869" s="1531"/>
      <c r="AP869" s="1531"/>
      <c r="AQ869" s="1531"/>
      <c r="AR869" s="1531"/>
      <c r="AS869" s="1531"/>
      <c r="AT869" s="1136"/>
      <c r="AU869" s="1136"/>
      <c r="AV869" s="1136"/>
      <c r="AW869" s="1136"/>
      <c r="AX869" s="1136"/>
      <c r="AY869" s="1136"/>
      <c r="AZ869" s="1136"/>
      <c r="BA869" s="1136"/>
      <c r="BB869" s="1136"/>
      <c r="BC869" s="1136"/>
      <c r="BD869" s="1136"/>
      <c r="BE869" s="1136"/>
      <c r="BF869" s="1136"/>
      <c r="BG869" s="1136"/>
      <c r="BH869" s="1136"/>
      <c r="BI869" s="1136"/>
      <c r="BJ869" s="1136"/>
      <c r="BK869" s="1136"/>
      <c r="BL869" s="1136"/>
      <c r="BM869" s="1136"/>
      <c r="BN869" s="1136"/>
      <c r="BO869" s="1136"/>
      <c r="BP869" s="1136"/>
      <c r="BQ869" s="1136"/>
      <c r="BR869" s="1136"/>
      <c r="BS869" s="1136"/>
      <c r="BT869" s="1136"/>
      <c r="BU869" s="1136"/>
      <c r="BV869" s="1136"/>
      <c r="BW869" s="1136"/>
      <c r="BX869" s="1136"/>
      <c r="BY869" s="1136"/>
      <c r="BZ869" s="1136"/>
      <c r="CA869" s="1136"/>
      <c r="CB869" s="1136"/>
      <c r="CC869" s="1136"/>
      <c r="CD869" s="1136"/>
      <c r="CE869" s="1136"/>
      <c r="CF869" s="1136"/>
      <c r="CG869" s="1136"/>
      <c r="CH869" s="1136"/>
      <c r="CI869" s="1136"/>
      <c r="CJ869" s="1136"/>
      <c r="CK869" s="1136"/>
      <c r="CL869" s="1136"/>
      <c r="CM869" s="1136"/>
      <c r="CN869" s="1136"/>
      <c r="CO869" s="1136"/>
      <c r="CP869" s="1136"/>
      <c r="CQ869" s="1136"/>
      <c r="CR869" s="1136"/>
      <c r="CS869" s="1136"/>
      <c r="CT869" s="1136"/>
      <c r="CU869" s="1136"/>
      <c r="CV869" s="1136"/>
      <c r="CW869" s="1136"/>
      <c r="CX869" s="1136"/>
      <c r="CY869" s="1136"/>
      <c r="CZ869" s="1136"/>
      <c r="DA869" s="1136"/>
      <c r="DB869" s="1136"/>
      <c r="DC869" s="1136"/>
      <c r="DD869" s="1136"/>
      <c r="DE869" s="1136"/>
      <c r="DF869" s="1136"/>
      <c r="DG869" s="1136"/>
      <c r="DH869" s="1136"/>
      <c r="DI869" s="1136"/>
    </row>
    <row r="870" spans="1:113" ht="15.75" x14ac:dyDescent="0.25">
      <c r="A870" s="1420" t="s">
        <v>1743</v>
      </c>
      <c r="B870" s="1445">
        <v>0.7</v>
      </c>
      <c r="C870" s="1616"/>
      <c r="D870" s="1596"/>
      <c r="E870" s="1596"/>
      <c r="F870" s="1596"/>
      <c r="G870" s="1596"/>
      <c r="H870" s="1531"/>
      <c r="I870" s="1531"/>
      <c r="J870" s="1531"/>
      <c r="K870" s="1531"/>
      <c r="L870" s="1531"/>
      <c r="M870" s="1531"/>
      <c r="N870" s="1531"/>
      <c r="O870" s="1531"/>
      <c r="P870" s="1531"/>
      <c r="Q870" s="1531"/>
      <c r="R870" s="1531"/>
      <c r="S870" s="1531"/>
      <c r="T870" s="1531"/>
      <c r="U870" s="1531"/>
      <c r="V870" s="1531"/>
      <c r="W870" s="1531"/>
      <c r="X870" s="1531"/>
      <c r="Y870" s="1531"/>
      <c r="Z870" s="1531"/>
      <c r="AA870" s="1531"/>
      <c r="AB870" s="1531"/>
      <c r="AC870" s="1531"/>
      <c r="AD870" s="1531"/>
      <c r="AE870" s="1531"/>
      <c r="AF870" s="1531"/>
      <c r="AG870" s="1531"/>
      <c r="AH870" s="1531"/>
      <c r="AI870" s="1531"/>
      <c r="AJ870" s="1531"/>
      <c r="AK870" s="1531"/>
      <c r="AL870" s="1531"/>
      <c r="AM870" s="1531"/>
      <c r="AN870" s="1531"/>
      <c r="AO870" s="1531"/>
      <c r="AP870" s="1531"/>
      <c r="AQ870" s="1531"/>
      <c r="AR870" s="1531"/>
      <c r="AS870" s="1531"/>
      <c r="AT870" s="1136"/>
      <c r="AU870" s="1136"/>
      <c r="AV870" s="1136"/>
      <c r="AW870" s="1136"/>
      <c r="AX870" s="1136"/>
      <c r="AY870" s="1136"/>
      <c r="AZ870" s="1136"/>
      <c r="BA870" s="1136"/>
      <c r="BB870" s="1136"/>
      <c r="BC870" s="1136"/>
      <c r="BD870" s="1136"/>
      <c r="BE870" s="1136"/>
      <c r="BF870" s="1136"/>
      <c r="BG870" s="1136"/>
      <c r="BH870" s="1136"/>
      <c r="BI870" s="1136"/>
      <c r="BJ870" s="1136"/>
      <c r="BK870" s="1136"/>
      <c r="BL870" s="1136"/>
      <c r="BM870" s="1136"/>
      <c r="BN870" s="1136"/>
      <c r="BO870" s="1136"/>
      <c r="BP870" s="1136"/>
      <c r="BQ870" s="1136"/>
      <c r="BR870" s="1136"/>
      <c r="BS870" s="1136"/>
      <c r="BT870" s="1136"/>
      <c r="BU870" s="1136"/>
      <c r="BV870" s="1136"/>
      <c r="BW870" s="1136"/>
      <c r="BX870" s="1136"/>
      <c r="BY870" s="1136"/>
      <c r="BZ870" s="1136"/>
      <c r="CA870" s="1136"/>
      <c r="CB870" s="1136"/>
      <c r="CC870" s="1136"/>
      <c r="CD870" s="1136"/>
      <c r="CE870" s="1136"/>
      <c r="CF870" s="1136"/>
      <c r="CG870" s="1136"/>
      <c r="CH870" s="1136"/>
      <c r="CI870" s="1136"/>
      <c r="CJ870" s="1136"/>
      <c r="CK870" s="1136"/>
      <c r="CL870" s="1136"/>
      <c r="CM870" s="1136"/>
      <c r="CN870" s="1136"/>
      <c r="CO870" s="1136"/>
      <c r="CP870" s="1136"/>
      <c r="CQ870" s="1136"/>
      <c r="CR870" s="1136"/>
      <c r="CS870" s="1136"/>
      <c r="CT870" s="1136"/>
      <c r="CU870" s="1136"/>
      <c r="CV870" s="1136"/>
      <c r="CW870" s="1136"/>
      <c r="CX870" s="1136"/>
      <c r="CY870" s="1136"/>
      <c r="CZ870" s="1136"/>
      <c r="DA870" s="1136"/>
      <c r="DB870" s="1136"/>
      <c r="DC870" s="1136"/>
      <c r="DD870" s="1136"/>
      <c r="DE870" s="1136"/>
      <c r="DF870" s="1136"/>
      <c r="DG870" s="1136"/>
      <c r="DH870" s="1136"/>
      <c r="DI870" s="1136"/>
    </row>
    <row r="871" spans="1:113" ht="15.75" x14ac:dyDescent="0.25">
      <c r="A871" s="1420" t="s">
        <v>3412</v>
      </c>
      <c r="B871" s="1433" t="e">
        <f>B859*B866*B868*B869*B870*B341</f>
        <v>#VALUE!</v>
      </c>
      <c r="C871" s="1569"/>
      <c r="D871" s="1531"/>
      <c r="E871" s="1531"/>
      <c r="F871" s="1531"/>
      <c r="G871" s="1531"/>
      <c r="H871" s="1531"/>
      <c r="I871" s="1531"/>
      <c r="J871" s="1531"/>
      <c r="K871" s="1531"/>
      <c r="L871" s="1531"/>
      <c r="M871" s="1531"/>
      <c r="N871" s="1531"/>
      <c r="O871" s="1531"/>
      <c r="P871" s="1531"/>
      <c r="Q871" s="1531"/>
      <c r="R871" s="1531"/>
      <c r="S871" s="1531"/>
      <c r="T871" s="1531"/>
      <c r="U871" s="1531"/>
      <c r="V871" s="1531"/>
      <c r="W871" s="1531"/>
      <c r="X871" s="1531"/>
      <c r="Y871" s="1531"/>
      <c r="Z871" s="1531"/>
      <c r="AA871" s="1531"/>
      <c r="AB871" s="1531"/>
      <c r="AC871" s="1531"/>
      <c r="AD871" s="1531"/>
      <c r="AE871" s="1531"/>
      <c r="AF871" s="1531"/>
      <c r="AG871" s="1531"/>
      <c r="AH871" s="1531"/>
      <c r="AI871" s="1531"/>
      <c r="AJ871" s="1531"/>
      <c r="AK871" s="1531"/>
      <c r="AL871" s="1531"/>
      <c r="AM871" s="1531"/>
      <c r="AN871" s="1531"/>
      <c r="AO871" s="1531"/>
      <c r="AP871" s="1531"/>
      <c r="AQ871" s="1531"/>
      <c r="AR871" s="1531"/>
      <c r="AS871" s="1531"/>
      <c r="AT871" s="1136"/>
      <c r="AU871" s="1136"/>
      <c r="AV871" s="1136"/>
      <c r="AW871" s="1136"/>
      <c r="AX871" s="1136"/>
      <c r="AY871" s="1136"/>
      <c r="AZ871" s="1136"/>
      <c r="BA871" s="1136"/>
      <c r="BB871" s="1136"/>
      <c r="BC871" s="1136"/>
      <c r="BD871" s="1136"/>
      <c r="BE871" s="1136"/>
      <c r="BF871" s="1136"/>
      <c r="BG871" s="1136"/>
      <c r="BH871" s="1136"/>
      <c r="BI871" s="1136"/>
      <c r="BJ871" s="1136"/>
      <c r="BK871" s="1136"/>
      <c r="BL871" s="1136"/>
      <c r="BM871" s="1136"/>
      <c r="BN871" s="1136"/>
      <c r="BO871" s="1136"/>
      <c r="BP871" s="1136"/>
      <c r="BQ871" s="1136"/>
      <c r="BR871" s="1136"/>
      <c r="BS871" s="1136"/>
      <c r="BT871" s="1136"/>
      <c r="BU871" s="1136"/>
      <c r="BV871" s="1136"/>
      <c r="BW871" s="1136"/>
      <c r="BX871" s="1136"/>
      <c r="BY871" s="1136"/>
      <c r="BZ871" s="1136"/>
      <c r="CA871" s="1136"/>
      <c r="CB871" s="1136"/>
      <c r="CC871" s="1136"/>
      <c r="CD871" s="1136"/>
      <c r="CE871" s="1136"/>
      <c r="CF871" s="1136"/>
      <c r="CG871" s="1136"/>
      <c r="CH871" s="1136"/>
      <c r="CI871" s="1136"/>
      <c r="CJ871" s="1136"/>
      <c r="CK871" s="1136"/>
      <c r="CL871" s="1136"/>
      <c r="CM871" s="1136"/>
      <c r="CN871" s="1136"/>
      <c r="CO871" s="1136"/>
      <c r="CP871" s="1136"/>
      <c r="CQ871" s="1136"/>
      <c r="CR871" s="1136"/>
      <c r="CS871" s="1136"/>
      <c r="CT871" s="1136"/>
      <c r="CU871" s="1136"/>
      <c r="CV871" s="1136"/>
      <c r="CW871" s="1136"/>
      <c r="CX871" s="1136"/>
      <c r="CY871" s="1136"/>
      <c r="CZ871" s="1136"/>
      <c r="DA871" s="1136"/>
      <c r="DB871" s="1136"/>
      <c r="DC871" s="1136"/>
      <c r="DD871" s="1136"/>
      <c r="DE871" s="1136"/>
      <c r="DF871" s="1136"/>
      <c r="DG871" s="1136"/>
      <c r="DH871" s="1136"/>
      <c r="DI871" s="1136"/>
    </row>
    <row r="872" spans="1:113" ht="15.75" x14ac:dyDescent="0.25">
      <c r="A872" s="1420" t="s">
        <v>429</v>
      </c>
      <c r="B872" s="1428" t="e">
        <f>B858/B871</f>
        <v>#DIV/0!</v>
      </c>
      <c r="C872" s="1566"/>
      <c r="D872" s="1610"/>
      <c r="E872" s="1610"/>
      <c r="F872" s="1610"/>
      <c r="G872" s="1610"/>
      <c r="H872" s="1531"/>
      <c r="I872" s="1531"/>
      <c r="J872" s="1531"/>
      <c r="K872" s="1531"/>
      <c r="L872" s="1531"/>
      <c r="M872" s="1531"/>
      <c r="N872" s="1531"/>
      <c r="O872" s="1531"/>
      <c r="P872" s="1531"/>
      <c r="Q872" s="1531"/>
      <c r="R872" s="1531"/>
      <c r="S872" s="1531"/>
      <c r="T872" s="1531"/>
      <c r="U872" s="1531"/>
      <c r="V872" s="1531"/>
      <c r="W872" s="1531"/>
      <c r="X872" s="1531"/>
      <c r="Y872" s="1531"/>
      <c r="Z872" s="1531"/>
      <c r="AA872" s="1531"/>
      <c r="AB872" s="1531"/>
      <c r="AC872" s="1531"/>
      <c r="AD872" s="1531"/>
      <c r="AE872" s="1531"/>
      <c r="AF872" s="1531"/>
      <c r="AG872" s="1531"/>
      <c r="AH872" s="1531"/>
      <c r="AI872" s="1531"/>
      <c r="AJ872" s="1531"/>
      <c r="AK872" s="1531"/>
      <c r="AL872" s="1531"/>
      <c r="AM872" s="1531"/>
      <c r="AN872" s="1531"/>
      <c r="AO872" s="1531"/>
      <c r="AP872" s="1531"/>
      <c r="AQ872" s="1531"/>
      <c r="AR872" s="1531"/>
      <c r="AS872" s="1531"/>
      <c r="AT872" s="1136"/>
      <c r="AU872" s="1136"/>
      <c r="AV872" s="1136"/>
      <c r="AW872" s="1136"/>
      <c r="AX872" s="1136"/>
      <c r="AY872" s="1136"/>
      <c r="AZ872" s="1136"/>
      <c r="BA872" s="1136"/>
      <c r="BB872" s="1136"/>
      <c r="BC872" s="1136"/>
      <c r="BD872" s="1136"/>
      <c r="BE872" s="1136"/>
      <c r="BF872" s="1136"/>
      <c r="BG872" s="1136"/>
      <c r="BH872" s="1136"/>
      <c r="BI872" s="1136"/>
      <c r="BJ872" s="1136"/>
      <c r="BK872" s="1136"/>
      <c r="BL872" s="1136"/>
      <c r="BM872" s="1136"/>
      <c r="BN872" s="1136"/>
      <c r="BO872" s="1136"/>
      <c r="BP872" s="1136"/>
      <c r="BQ872" s="1136"/>
      <c r="BR872" s="1136"/>
      <c r="BS872" s="1136"/>
      <c r="BT872" s="1136"/>
      <c r="BU872" s="1136"/>
      <c r="BV872" s="1136"/>
      <c r="BW872" s="1136"/>
      <c r="BX872" s="1136"/>
      <c r="BY872" s="1136"/>
      <c r="BZ872" s="1136"/>
      <c r="CA872" s="1136"/>
      <c r="CB872" s="1136"/>
      <c r="CC872" s="1136"/>
      <c r="CD872" s="1136"/>
      <c r="CE872" s="1136"/>
      <c r="CF872" s="1136"/>
      <c r="CG872" s="1136"/>
      <c r="CH872" s="1136"/>
      <c r="CI872" s="1136"/>
      <c r="CJ872" s="1136"/>
      <c r="CK872" s="1136"/>
      <c r="CL872" s="1136"/>
      <c r="CM872" s="1136"/>
      <c r="CN872" s="1136"/>
      <c r="CO872" s="1136"/>
      <c r="CP872" s="1136"/>
      <c r="CQ872" s="1136"/>
      <c r="CR872" s="1136"/>
      <c r="CS872" s="1136"/>
      <c r="CT872" s="1136"/>
      <c r="CU872" s="1136"/>
      <c r="CV872" s="1136"/>
      <c r="CW872" s="1136"/>
      <c r="CX872" s="1136"/>
      <c r="CY872" s="1136"/>
      <c r="CZ872" s="1136"/>
      <c r="DA872" s="1136"/>
      <c r="DB872" s="1136"/>
      <c r="DC872" s="1136"/>
      <c r="DD872" s="1136"/>
      <c r="DE872" s="1136"/>
      <c r="DF872" s="1136"/>
      <c r="DG872" s="1136"/>
      <c r="DH872" s="1136"/>
      <c r="DI872" s="1136"/>
    </row>
    <row r="873" spans="1:113" ht="15.75" x14ac:dyDescent="0.25">
      <c r="A873" s="1420"/>
      <c r="B873" s="1428"/>
      <c r="C873" s="1566"/>
      <c r="D873" s="1569"/>
      <c r="E873" s="1569"/>
      <c r="F873" s="1569"/>
      <c r="G873" s="1569"/>
      <c r="H873" s="1531"/>
      <c r="I873" s="1531"/>
      <c r="J873" s="1531"/>
      <c r="K873" s="1531"/>
      <c r="L873" s="1531"/>
      <c r="M873" s="1531"/>
      <c r="N873" s="1531"/>
      <c r="O873" s="1531"/>
      <c r="P873" s="1531"/>
      <c r="Q873" s="1531"/>
      <c r="R873" s="1531"/>
      <c r="S873" s="1531"/>
      <c r="T873" s="1531"/>
      <c r="U873" s="1531"/>
      <c r="V873" s="1531"/>
      <c r="W873" s="1531"/>
      <c r="X873" s="1531"/>
      <c r="Y873" s="1531"/>
      <c r="Z873" s="1531"/>
      <c r="AA873" s="1531"/>
      <c r="AB873" s="1531"/>
      <c r="AC873" s="1531"/>
      <c r="AD873" s="1531"/>
      <c r="AE873" s="1531"/>
      <c r="AF873" s="1531"/>
      <c r="AG873" s="1531"/>
      <c r="AH873" s="1531"/>
      <c r="AI873" s="1531"/>
      <c r="AJ873" s="1531"/>
      <c r="AK873" s="1531"/>
      <c r="AL873" s="1531"/>
      <c r="AM873" s="1531"/>
      <c r="AN873" s="1531"/>
      <c r="AO873" s="1531"/>
      <c r="AP873" s="1531"/>
      <c r="AQ873" s="1531"/>
      <c r="AR873" s="1531"/>
      <c r="AS873" s="1531"/>
      <c r="AT873" s="1136"/>
      <c r="AU873" s="1136"/>
      <c r="AV873" s="1136"/>
      <c r="AW873" s="1136"/>
      <c r="AX873" s="1136"/>
      <c r="AY873" s="1136"/>
      <c r="AZ873" s="1136"/>
      <c r="BA873" s="1136"/>
      <c r="BB873" s="1136"/>
      <c r="BC873" s="1136"/>
      <c r="BD873" s="1136"/>
      <c r="BE873" s="1136"/>
      <c r="BF873" s="1136"/>
      <c r="BG873" s="1136"/>
      <c r="BH873" s="1136"/>
      <c r="BI873" s="1136"/>
      <c r="BJ873" s="1136"/>
      <c r="BK873" s="1136"/>
      <c r="BL873" s="1136"/>
      <c r="BM873" s="1136"/>
      <c r="BN873" s="1136"/>
      <c r="BO873" s="1136"/>
      <c r="BP873" s="1136"/>
      <c r="BQ873" s="1136"/>
      <c r="BR873" s="1136"/>
      <c r="BS873" s="1136"/>
      <c r="BT873" s="1136"/>
      <c r="BU873" s="1136"/>
      <c r="BV873" s="1136"/>
      <c r="BW873" s="1136"/>
      <c r="BX873" s="1136"/>
      <c r="BY873" s="1136"/>
      <c r="BZ873" s="1136"/>
      <c r="CA873" s="1136"/>
      <c r="CB873" s="1136"/>
      <c r="CC873" s="1136"/>
      <c r="CD873" s="1136"/>
      <c r="CE873" s="1136"/>
      <c r="CF873" s="1136"/>
      <c r="CG873" s="1136"/>
      <c r="CH873" s="1136"/>
      <c r="CI873" s="1136"/>
      <c r="CJ873" s="1136"/>
      <c r="CK873" s="1136"/>
      <c r="CL873" s="1136"/>
      <c r="CM873" s="1136"/>
      <c r="CN873" s="1136"/>
      <c r="CO873" s="1136"/>
      <c r="CP873" s="1136"/>
      <c r="CQ873" s="1136"/>
      <c r="CR873" s="1136"/>
      <c r="CS873" s="1136"/>
      <c r="CT873" s="1136"/>
      <c r="CU873" s="1136"/>
      <c r="CV873" s="1136"/>
      <c r="CW873" s="1136"/>
      <c r="CX873" s="1136"/>
      <c r="CY873" s="1136"/>
      <c r="CZ873" s="1136"/>
      <c r="DA873" s="1136"/>
      <c r="DB873" s="1136"/>
      <c r="DC873" s="1136"/>
      <c r="DD873" s="1136"/>
      <c r="DE873" s="1136"/>
      <c r="DF873" s="1136"/>
      <c r="DG873" s="1136"/>
      <c r="DH873" s="1136"/>
      <c r="DI873" s="1136"/>
    </row>
    <row r="874" spans="1:113" ht="47.25" x14ac:dyDescent="0.25">
      <c r="A874" s="1427" t="s">
        <v>212</v>
      </c>
      <c r="B874" s="1439"/>
      <c r="C874" s="1562"/>
      <c r="D874" s="1610"/>
      <c r="E874" s="1610"/>
      <c r="F874" s="1610"/>
      <c r="G874" s="1610"/>
      <c r="H874" s="1531"/>
      <c r="I874" s="1531"/>
      <c r="J874" s="1531"/>
      <c r="K874" s="1531"/>
      <c r="L874" s="1531"/>
      <c r="M874" s="1531"/>
      <c r="N874" s="1531"/>
      <c r="O874" s="1531"/>
      <c r="P874" s="1531"/>
      <c r="Q874" s="1531"/>
      <c r="R874" s="1531"/>
      <c r="S874" s="1531"/>
      <c r="T874" s="1531"/>
      <c r="U874" s="1531"/>
      <c r="V874" s="1531"/>
      <c r="W874" s="1531"/>
      <c r="X874" s="1531"/>
      <c r="Y874" s="1531"/>
      <c r="Z874" s="1531"/>
      <c r="AA874" s="1531"/>
      <c r="AB874" s="1531"/>
      <c r="AC874" s="1531"/>
      <c r="AD874" s="1531"/>
      <c r="AE874" s="1531"/>
      <c r="AF874" s="1531"/>
      <c r="AG874" s="1531"/>
      <c r="AH874" s="1531"/>
      <c r="AI874" s="1531"/>
      <c r="AJ874" s="1531"/>
      <c r="AK874" s="1531"/>
      <c r="AL874" s="1531"/>
      <c r="AM874" s="1531"/>
      <c r="AN874" s="1531"/>
      <c r="AO874" s="1531"/>
      <c r="AP874" s="1531"/>
      <c r="AQ874" s="1531"/>
      <c r="AR874" s="1531"/>
      <c r="AS874" s="1531"/>
      <c r="AT874" s="1136"/>
      <c r="AU874" s="1136"/>
      <c r="AV874" s="1136"/>
      <c r="AW874" s="1136"/>
      <c r="AX874" s="1136"/>
      <c r="AY874" s="1136"/>
      <c r="AZ874" s="1136"/>
      <c r="BA874" s="1136"/>
      <c r="BB874" s="1136"/>
      <c r="BC874" s="1136"/>
      <c r="BD874" s="1136"/>
      <c r="BE874" s="1136"/>
      <c r="BF874" s="1136"/>
      <c r="BG874" s="1136"/>
      <c r="BH874" s="1136"/>
      <c r="BI874" s="1136"/>
      <c r="BJ874" s="1136"/>
      <c r="BK874" s="1136"/>
      <c r="BL874" s="1136"/>
      <c r="BM874" s="1136"/>
      <c r="BN874" s="1136"/>
      <c r="BO874" s="1136"/>
      <c r="BP874" s="1136"/>
      <c r="BQ874" s="1136"/>
      <c r="BR874" s="1136"/>
      <c r="BS874" s="1136"/>
      <c r="BT874" s="1136"/>
      <c r="BU874" s="1136"/>
      <c r="BV874" s="1136"/>
      <c r="BW874" s="1136"/>
      <c r="BX874" s="1136"/>
      <c r="BY874" s="1136"/>
      <c r="BZ874" s="1136"/>
      <c r="CA874" s="1136"/>
      <c r="CB874" s="1136"/>
      <c r="CC874" s="1136"/>
      <c r="CD874" s="1136"/>
      <c r="CE874" s="1136"/>
      <c r="CF874" s="1136"/>
      <c r="CG874" s="1136"/>
      <c r="CH874" s="1136"/>
      <c r="CI874" s="1136"/>
      <c r="CJ874" s="1136"/>
      <c r="CK874" s="1136"/>
      <c r="CL874" s="1136"/>
      <c r="CM874" s="1136"/>
      <c r="CN874" s="1136"/>
      <c r="CO874" s="1136"/>
      <c r="CP874" s="1136"/>
      <c r="CQ874" s="1136"/>
      <c r="CR874" s="1136"/>
      <c r="CS874" s="1136"/>
      <c r="CT874" s="1136"/>
      <c r="CU874" s="1136"/>
      <c r="CV874" s="1136"/>
      <c r="CW874" s="1136"/>
      <c r="CX874" s="1136"/>
      <c r="CY874" s="1136"/>
      <c r="CZ874" s="1136"/>
      <c r="DA874" s="1136"/>
      <c r="DB874" s="1136"/>
      <c r="DC874" s="1136"/>
      <c r="DD874" s="1136"/>
      <c r="DE874" s="1136"/>
      <c r="DF874" s="1136"/>
      <c r="DG874" s="1136"/>
      <c r="DH874" s="1136"/>
      <c r="DI874" s="1136"/>
    </row>
    <row r="875" spans="1:113" ht="15.75" x14ac:dyDescent="0.25">
      <c r="A875" s="1422" t="s">
        <v>4152</v>
      </c>
      <c r="B875" s="1439" t="e">
        <f>(B291/(B815-B812))*B810</f>
        <v>#REF!</v>
      </c>
      <c r="C875" s="1562"/>
      <c r="D875" s="1569"/>
      <c r="E875" s="1569"/>
      <c r="F875" s="1569"/>
      <c r="G875" s="1569"/>
      <c r="H875" s="1531"/>
      <c r="I875" s="1531"/>
      <c r="J875" s="1531"/>
      <c r="K875" s="1531"/>
      <c r="L875" s="1531"/>
      <c r="M875" s="1531"/>
      <c r="N875" s="1531"/>
      <c r="O875" s="1531"/>
      <c r="P875" s="1531"/>
      <c r="Q875" s="1531"/>
      <c r="R875" s="1531"/>
      <c r="S875" s="1531"/>
      <c r="T875" s="1531"/>
      <c r="U875" s="1531"/>
      <c r="V875" s="1531"/>
      <c r="W875" s="1531"/>
      <c r="X875" s="1531"/>
      <c r="Y875" s="1531"/>
      <c r="Z875" s="1531"/>
      <c r="AA875" s="1531"/>
      <c r="AB875" s="1531"/>
      <c r="AC875" s="1531"/>
      <c r="AD875" s="1531"/>
      <c r="AE875" s="1531"/>
      <c r="AF875" s="1531"/>
      <c r="AG875" s="1531"/>
      <c r="AH875" s="1531"/>
      <c r="AI875" s="1531"/>
      <c r="AJ875" s="1531"/>
      <c r="AK875" s="1531"/>
      <c r="AL875" s="1531"/>
      <c r="AM875" s="1531"/>
      <c r="AN875" s="1531"/>
      <c r="AO875" s="1531"/>
      <c r="AP875" s="1531"/>
      <c r="AQ875" s="1531"/>
      <c r="AR875" s="1531"/>
      <c r="AS875" s="1531"/>
      <c r="AT875" s="1136"/>
      <c r="AU875" s="1136"/>
      <c r="AV875" s="1136"/>
      <c r="AW875" s="1136"/>
      <c r="AX875" s="1136"/>
      <c r="AY875" s="1136"/>
      <c r="AZ875" s="1136"/>
      <c r="BA875" s="1136"/>
      <c r="BB875" s="1136"/>
      <c r="BC875" s="1136"/>
      <c r="BD875" s="1136"/>
      <c r="BE875" s="1136"/>
      <c r="BF875" s="1136"/>
      <c r="BG875" s="1136"/>
      <c r="BH875" s="1136"/>
      <c r="BI875" s="1136"/>
      <c r="BJ875" s="1136"/>
      <c r="BK875" s="1136"/>
      <c r="BL875" s="1136"/>
      <c r="BM875" s="1136"/>
      <c r="BN875" s="1136"/>
      <c r="BO875" s="1136"/>
      <c r="BP875" s="1136"/>
      <c r="BQ875" s="1136"/>
      <c r="BR875" s="1136"/>
      <c r="BS875" s="1136"/>
      <c r="BT875" s="1136"/>
      <c r="BU875" s="1136"/>
      <c r="BV875" s="1136"/>
      <c r="BW875" s="1136"/>
      <c r="BX875" s="1136"/>
      <c r="BY875" s="1136"/>
      <c r="BZ875" s="1136"/>
      <c r="CA875" s="1136"/>
      <c r="CB875" s="1136"/>
      <c r="CC875" s="1136"/>
      <c r="CD875" s="1136"/>
      <c r="CE875" s="1136"/>
      <c r="CF875" s="1136"/>
      <c r="CG875" s="1136"/>
      <c r="CH875" s="1136"/>
      <c r="CI875" s="1136"/>
      <c r="CJ875" s="1136"/>
      <c r="CK875" s="1136"/>
      <c r="CL875" s="1136"/>
      <c r="CM875" s="1136"/>
      <c r="CN875" s="1136"/>
      <c r="CO875" s="1136"/>
      <c r="CP875" s="1136"/>
      <c r="CQ875" s="1136"/>
      <c r="CR875" s="1136"/>
      <c r="CS875" s="1136"/>
      <c r="CT875" s="1136"/>
      <c r="CU875" s="1136"/>
      <c r="CV875" s="1136"/>
      <c r="CW875" s="1136"/>
      <c r="CX875" s="1136"/>
      <c r="CY875" s="1136"/>
      <c r="CZ875" s="1136"/>
      <c r="DA875" s="1136"/>
      <c r="DB875" s="1136"/>
      <c r="DC875" s="1136"/>
      <c r="DD875" s="1136"/>
      <c r="DE875" s="1136"/>
      <c r="DF875" s="1136"/>
      <c r="DG875" s="1136"/>
      <c r="DH875" s="1136"/>
      <c r="DI875" s="1136"/>
    </row>
    <row r="876" spans="1:113" ht="15.75" x14ac:dyDescent="0.25">
      <c r="A876" s="1422" t="s">
        <v>425</v>
      </c>
      <c r="B876" s="1424" t="e">
        <f>INDEX($U$1475:$X$1484,B878,B879)</f>
        <v>#VALUE!</v>
      </c>
      <c r="C876" s="1606"/>
      <c r="D876" s="1569"/>
      <c r="E876" s="1569"/>
      <c r="F876" s="1569"/>
      <c r="G876" s="1569"/>
      <c r="H876" s="1531"/>
      <c r="I876" s="1531"/>
      <c r="J876" s="1531"/>
      <c r="K876" s="1531"/>
      <c r="L876" s="1531"/>
      <c r="M876" s="1531"/>
      <c r="N876" s="1531"/>
      <c r="O876" s="1531"/>
      <c r="P876" s="1531"/>
      <c r="Q876" s="1531"/>
      <c r="R876" s="1531"/>
      <c r="S876" s="1531"/>
      <c r="T876" s="1531"/>
      <c r="U876" s="1531"/>
      <c r="V876" s="1531"/>
      <c r="W876" s="1531"/>
      <c r="X876" s="1531"/>
      <c r="Y876" s="1531"/>
      <c r="Z876" s="1531"/>
      <c r="AA876" s="1531"/>
      <c r="AB876" s="1531"/>
      <c r="AC876" s="1531"/>
      <c r="AD876" s="1531"/>
      <c r="AE876" s="1531"/>
      <c r="AF876" s="1531"/>
      <c r="AG876" s="1531"/>
      <c r="AH876" s="1531"/>
      <c r="AI876" s="1531"/>
      <c r="AJ876" s="1531"/>
      <c r="AK876" s="1531"/>
      <c r="AL876" s="1531"/>
      <c r="AM876" s="1531"/>
      <c r="AN876" s="1531"/>
      <c r="AO876" s="1531"/>
      <c r="AP876" s="1531"/>
      <c r="AQ876" s="1531"/>
      <c r="AR876" s="1531"/>
      <c r="AS876" s="1531"/>
      <c r="AT876" s="1136"/>
      <c r="AU876" s="1136"/>
      <c r="AV876" s="1136"/>
      <c r="AW876" s="1136"/>
      <c r="AX876" s="1136"/>
      <c r="AY876" s="1136"/>
      <c r="AZ876" s="1136"/>
      <c r="BA876" s="1136"/>
      <c r="BB876" s="1136"/>
      <c r="BC876" s="1136"/>
      <c r="BD876" s="1136"/>
      <c r="BE876" s="1136"/>
      <c r="BF876" s="1136"/>
      <c r="BG876" s="1136"/>
      <c r="BH876" s="1136"/>
      <c r="BI876" s="1136"/>
      <c r="BJ876" s="1136"/>
      <c r="BK876" s="1136"/>
      <c r="BL876" s="1136"/>
      <c r="BM876" s="1136"/>
      <c r="BN876" s="1136"/>
      <c r="BO876" s="1136"/>
      <c r="BP876" s="1136"/>
      <c r="BQ876" s="1136"/>
      <c r="BR876" s="1136"/>
      <c r="BS876" s="1136"/>
      <c r="BT876" s="1136"/>
      <c r="BU876" s="1136"/>
      <c r="BV876" s="1136"/>
      <c r="BW876" s="1136"/>
      <c r="BX876" s="1136"/>
      <c r="BY876" s="1136"/>
      <c r="BZ876" s="1136"/>
      <c r="CA876" s="1136"/>
      <c r="CB876" s="1136"/>
      <c r="CC876" s="1136"/>
      <c r="CD876" s="1136"/>
      <c r="CE876" s="1136"/>
      <c r="CF876" s="1136"/>
      <c r="CG876" s="1136"/>
      <c r="CH876" s="1136"/>
      <c r="CI876" s="1136"/>
      <c r="CJ876" s="1136"/>
      <c r="CK876" s="1136"/>
      <c r="CL876" s="1136"/>
      <c r="CM876" s="1136"/>
      <c r="CN876" s="1136"/>
      <c r="CO876" s="1136"/>
      <c r="CP876" s="1136"/>
      <c r="CQ876" s="1136"/>
      <c r="CR876" s="1136"/>
      <c r="CS876" s="1136"/>
      <c r="CT876" s="1136"/>
      <c r="CU876" s="1136"/>
      <c r="CV876" s="1136"/>
      <c r="CW876" s="1136"/>
      <c r="CX876" s="1136"/>
      <c r="CY876" s="1136"/>
      <c r="CZ876" s="1136"/>
      <c r="DA876" s="1136"/>
      <c r="DB876" s="1136"/>
      <c r="DC876" s="1136"/>
      <c r="DD876" s="1136"/>
      <c r="DE876" s="1136"/>
      <c r="DF876" s="1136"/>
      <c r="DG876" s="1136"/>
      <c r="DH876" s="1136"/>
      <c r="DI876" s="1136"/>
    </row>
    <row r="877" spans="1:113" ht="15.75" x14ac:dyDescent="0.25">
      <c r="A877" s="1448" t="s">
        <v>1719</v>
      </c>
      <c r="B877" s="1439"/>
      <c r="C877" s="1562"/>
      <c r="D877" s="1616"/>
      <c r="E877" s="1616"/>
      <c r="F877" s="1616"/>
      <c r="G877" s="1616"/>
      <c r="H877" s="1531"/>
      <c r="I877" s="1531"/>
      <c r="J877" s="1531"/>
      <c r="K877" s="1531"/>
      <c r="L877" s="1531"/>
      <c r="M877" s="1531"/>
      <c r="N877" s="1531"/>
      <c r="O877" s="1531"/>
      <c r="P877" s="1531"/>
      <c r="Q877" s="1531"/>
      <c r="R877" s="1531"/>
      <c r="S877" s="1531"/>
      <c r="T877" s="1531"/>
      <c r="U877" s="1531"/>
      <c r="V877" s="1531"/>
      <c r="W877" s="1531"/>
      <c r="X877" s="1531"/>
      <c r="Y877" s="1531"/>
      <c r="Z877" s="1531"/>
      <c r="AA877" s="1531"/>
      <c r="AB877" s="1531"/>
      <c r="AC877" s="1531"/>
      <c r="AD877" s="1531"/>
      <c r="AE877" s="1531"/>
      <c r="AF877" s="1531"/>
      <c r="AG877" s="1531"/>
      <c r="AH877" s="1531"/>
      <c r="AI877" s="1531"/>
      <c r="AJ877" s="1531"/>
      <c r="AK877" s="1531"/>
      <c r="AL877" s="1531"/>
      <c r="AM877" s="1531"/>
      <c r="AN877" s="1531"/>
      <c r="AO877" s="1531"/>
      <c r="AP877" s="1531"/>
      <c r="AQ877" s="1531"/>
      <c r="AR877" s="1531"/>
      <c r="AS877" s="1531"/>
      <c r="AT877" s="1136"/>
      <c r="AU877" s="1136"/>
      <c r="AV877" s="1136"/>
      <c r="AW877" s="1136"/>
      <c r="AX877" s="1136"/>
      <c r="AY877" s="1136"/>
      <c r="AZ877" s="1136"/>
      <c r="BA877" s="1136"/>
      <c r="BB877" s="1136"/>
      <c r="BC877" s="1136"/>
      <c r="BD877" s="1136"/>
      <c r="BE877" s="1136"/>
      <c r="BF877" s="1136"/>
      <c r="BG877" s="1136"/>
      <c r="BH877" s="1136"/>
      <c r="BI877" s="1136"/>
      <c r="BJ877" s="1136"/>
      <c r="BK877" s="1136"/>
      <c r="BL877" s="1136"/>
      <c r="BM877" s="1136"/>
      <c r="BN877" s="1136"/>
      <c r="BO877" s="1136"/>
      <c r="BP877" s="1136"/>
      <c r="BQ877" s="1136"/>
      <c r="BR877" s="1136"/>
      <c r="BS877" s="1136"/>
      <c r="BT877" s="1136"/>
      <c r="BU877" s="1136"/>
      <c r="BV877" s="1136"/>
      <c r="BW877" s="1136"/>
      <c r="BX877" s="1136"/>
      <c r="BY877" s="1136"/>
      <c r="BZ877" s="1136"/>
      <c r="CA877" s="1136"/>
      <c r="CB877" s="1136"/>
      <c r="CC877" s="1136"/>
      <c r="CD877" s="1136"/>
      <c r="CE877" s="1136"/>
      <c r="CF877" s="1136"/>
      <c r="CG877" s="1136"/>
      <c r="CH877" s="1136"/>
      <c r="CI877" s="1136"/>
      <c r="CJ877" s="1136"/>
      <c r="CK877" s="1136"/>
      <c r="CL877" s="1136"/>
      <c r="CM877" s="1136"/>
      <c r="CN877" s="1136"/>
      <c r="CO877" s="1136"/>
      <c r="CP877" s="1136"/>
      <c r="CQ877" s="1136"/>
      <c r="CR877" s="1136"/>
      <c r="CS877" s="1136"/>
      <c r="CT877" s="1136"/>
      <c r="CU877" s="1136"/>
      <c r="CV877" s="1136"/>
      <c r="CW877" s="1136"/>
      <c r="CX877" s="1136"/>
      <c r="CY877" s="1136"/>
      <c r="CZ877" s="1136"/>
      <c r="DA877" s="1136"/>
      <c r="DB877" s="1136"/>
      <c r="DC877" s="1136"/>
      <c r="DD877" s="1136"/>
      <c r="DE877" s="1136"/>
      <c r="DF877" s="1136"/>
      <c r="DG877" s="1136"/>
      <c r="DH877" s="1136"/>
      <c r="DI877" s="1136"/>
    </row>
    <row r="878" spans="1:113" ht="15.75" x14ac:dyDescent="0.25">
      <c r="A878" s="1422" t="s">
        <v>1319</v>
      </c>
      <c r="B878" s="1441" t="e">
        <f>B821</f>
        <v>#VALUE!</v>
      </c>
      <c r="C878" s="1596"/>
      <c r="D878" s="1569"/>
      <c r="E878" s="1569"/>
      <c r="F878" s="1569"/>
      <c r="G878" s="1569"/>
      <c r="H878" s="1531"/>
      <c r="I878" s="1531"/>
      <c r="J878" s="1531"/>
      <c r="K878" s="1531"/>
      <c r="L878" s="1531"/>
      <c r="M878" s="1531"/>
      <c r="N878" s="1531"/>
      <c r="O878" s="1531"/>
      <c r="P878" s="1531"/>
      <c r="Q878" s="1531"/>
      <c r="R878" s="1531"/>
      <c r="S878" s="1531"/>
      <c r="T878" s="1531"/>
      <c r="U878" s="1531"/>
      <c r="V878" s="1531"/>
      <c r="W878" s="1531"/>
      <c r="X878" s="1531"/>
      <c r="Y878" s="1531"/>
      <c r="Z878" s="1531"/>
      <c r="AA878" s="1531"/>
      <c r="AB878" s="1531"/>
      <c r="AC878" s="1531"/>
      <c r="AD878" s="1531"/>
      <c r="AE878" s="1531"/>
      <c r="AF878" s="1531"/>
      <c r="AG878" s="1531"/>
      <c r="AH878" s="1531"/>
      <c r="AI878" s="1531"/>
      <c r="AJ878" s="1531"/>
      <c r="AK878" s="1531"/>
      <c r="AL878" s="1531"/>
      <c r="AM878" s="1531"/>
      <c r="AN878" s="1531"/>
      <c r="AO878" s="1531"/>
      <c r="AP878" s="1531"/>
      <c r="AQ878" s="1531"/>
      <c r="AR878" s="1531"/>
      <c r="AS878" s="1531"/>
      <c r="AT878" s="1136"/>
      <c r="AU878" s="1136"/>
      <c r="AV878" s="1136"/>
      <c r="AW878" s="1136"/>
      <c r="AX878" s="1136"/>
      <c r="AY878" s="1136"/>
      <c r="AZ878" s="1136"/>
      <c r="BA878" s="1136"/>
      <c r="BB878" s="1136"/>
      <c r="BC878" s="1136"/>
      <c r="BD878" s="1136"/>
      <c r="BE878" s="1136"/>
      <c r="BF878" s="1136"/>
      <c r="BG878" s="1136"/>
      <c r="BH878" s="1136"/>
      <c r="BI878" s="1136"/>
      <c r="BJ878" s="1136"/>
      <c r="BK878" s="1136"/>
      <c r="BL878" s="1136"/>
      <c r="BM878" s="1136"/>
      <c r="BN878" s="1136"/>
      <c r="BO878" s="1136"/>
      <c r="BP878" s="1136"/>
      <c r="BQ878" s="1136"/>
      <c r="BR878" s="1136"/>
      <c r="BS878" s="1136"/>
      <c r="BT878" s="1136"/>
      <c r="BU878" s="1136"/>
      <c r="BV878" s="1136"/>
      <c r="BW878" s="1136"/>
      <c r="BX878" s="1136"/>
      <c r="BY878" s="1136"/>
      <c r="BZ878" s="1136"/>
      <c r="CA878" s="1136"/>
      <c r="CB878" s="1136"/>
      <c r="CC878" s="1136"/>
      <c r="CD878" s="1136"/>
      <c r="CE878" s="1136"/>
      <c r="CF878" s="1136"/>
      <c r="CG878" s="1136"/>
      <c r="CH878" s="1136"/>
      <c r="CI878" s="1136"/>
      <c r="CJ878" s="1136"/>
      <c r="CK878" s="1136"/>
      <c r="CL878" s="1136"/>
      <c r="CM878" s="1136"/>
      <c r="CN878" s="1136"/>
      <c r="CO878" s="1136"/>
      <c r="CP878" s="1136"/>
      <c r="CQ878" s="1136"/>
      <c r="CR878" s="1136"/>
      <c r="CS878" s="1136"/>
      <c r="CT878" s="1136"/>
      <c r="CU878" s="1136"/>
      <c r="CV878" s="1136"/>
      <c r="CW878" s="1136"/>
      <c r="CX878" s="1136"/>
      <c r="CY878" s="1136"/>
      <c r="CZ878" s="1136"/>
      <c r="DA878" s="1136"/>
      <c r="DB878" s="1136"/>
      <c r="DC878" s="1136"/>
      <c r="DD878" s="1136"/>
      <c r="DE878" s="1136"/>
      <c r="DF878" s="1136"/>
      <c r="DG878" s="1136"/>
      <c r="DH878" s="1136"/>
      <c r="DI878" s="1136"/>
    </row>
    <row r="879" spans="1:113" ht="15.75" x14ac:dyDescent="0.25">
      <c r="A879" s="1422" t="s">
        <v>427</v>
      </c>
      <c r="B879" s="1441">
        <f>B823</f>
        <v>4</v>
      </c>
      <c r="C879" s="1596"/>
      <c r="D879" s="1566"/>
      <c r="E879" s="1566"/>
      <c r="F879" s="1566"/>
      <c r="G879" s="1566"/>
      <c r="H879" s="1531"/>
      <c r="I879" s="1531"/>
      <c r="J879" s="1531"/>
      <c r="K879" s="1531"/>
      <c r="L879" s="1531"/>
      <c r="M879" s="1531"/>
      <c r="N879" s="1531"/>
      <c r="O879" s="1531"/>
      <c r="P879" s="1531"/>
      <c r="Q879" s="1531"/>
      <c r="R879" s="1531"/>
      <c r="S879" s="1531"/>
      <c r="T879" s="1531"/>
      <c r="U879" s="1531"/>
      <c r="V879" s="1531"/>
      <c r="W879" s="1531"/>
      <c r="X879" s="1531"/>
      <c r="Y879" s="1531"/>
      <c r="Z879" s="1531"/>
      <c r="AA879" s="1531"/>
      <c r="AB879" s="1531"/>
      <c r="AC879" s="1531"/>
      <c r="AD879" s="1531"/>
      <c r="AE879" s="1531"/>
      <c r="AF879" s="1531"/>
      <c r="AG879" s="1531"/>
      <c r="AH879" s="1531"/>
      <c r="AI879" s="1531"/>
      <c r="AJ879" s="1531"/>
      <c r="AK879" s="1531"/>
      <c r="AL879" s="1531"/>
      <c r="AM879" s="1531"/>
      <c r="AN879" s="1531"/>
      <c r="AO879" s="1531"/>
      <c r="AP879" s="1531"/>
      <c r="AQ879" s="1531"/>
      <c r="AR879" s="1531"/>
      <c r="AS879" s="1531"/>
      <c r="AT879" s="1136"/>
      <c r="AU879" s="1136"/>
      <c r="AV879" s="1136"/>
      <c r="AW879" s="1136"/>
      <c r="AX879" s="1136"/>
      <c r="AY879" s="1136"/>
      <c r="AZ879" s="1136"/>
      <c r="BA879" s="1136"/>
      <c r="BB879" s="1136"/>
      <c r="BC879" s="1136"/>
      <c r="BD879" s="1136"/>
      <c r="BE879" s="1136"/>
      <c r="BF879" s="1136"/>
      <c r="BG879" s="1136"/>
      <c r="BH879" s="1136"/>
      <c r="BI879" s="1136"/>
      <c r="BJ879" s="1136"/>
      <c r="BK879" s="1136"/>
      <c r="BL879" s="1136"/>
      <c r="BM879" s="1136"/>
      <c r="BN879" s="1136"/>
      <c r="BO879" s="1136"/>
      <c r="BP879" s="1136"/>
      <c r="BQ879" s="1136"/>
      <c r="BR879" s="1136"/>
      <c r="BS879" s="1136"/>
      <c r="BT879" s="1136"/>
      <c r="BU879" s="1136"/>
      <c r="BV879" s="1136"/>
      <c r="BW879" s="1136"/>
      <c r="BX879" s="1136"/>
      <c r="BY879" s="1136"/>
      <c r="BZ879" s="1136"/>
      <c r="CA879" s="1136"/>
      <c r="CB879" s="1136"/>
      <c r="CC879" s="1136"/>
      <c r="CD879" s="1136"/>
      <c r="CE879" s="1136"/>
      <c r="CF879" s="1136"/>
      <c r="CG879" s="1136"/>
      <c r="CH879" s="1136"/>
      <c r="CI879" s="1136"/>
      <c r="CJ879" s="1136"/>
      <c r="CK879" s="1136"/>
      <c r="CL879" s="1136"/>
      <c r="CM879" s="1136"/>
      <c r="CN879" s="1136"/>
      <c r="CO879" s="1136"/>
      <c r="CP879" s="1136"/>
      <c r="CQ879" s="1136"/>
      <c r="CR879" s="1136"/>
      <c r="CS879" s="1136"/>
      <c r="CT879" s="1136"/>
      <c r="CU879" s="1136"/>
      <c r="CV879" s="1136"/>
      <c r="CW879" s="1136"/>
      <c r="CX879" s="1136"/>
      <c r="CY879" s="1136"/>
      <c r="CZ879" s="1136"/>
      <c r="DA879" s="1136"/>
      <c r="DB879" s="1136"/>
      <c r="DC879" s="1136"/>
      <c r="DD879" s="1136"/>
      <c r="DE879" s="1136"/>
      <c r="DF879" s="1136"/>
      <c r="DG879" s="1136"/>
      <c r="DH879" s="1136"/>
      <c r="DI879" s="1136"/>
    </row>
    <row r="880" spans="1:113" ht="15.75" x14ac:dyDescent="0.25">
      <c r="A880" s="1422" t="s">
        <v>1322</v>
      </c>
      <c r="B880" s="1441"/>
      <c r="C880" s="1596"/>
      <c r="D880" s="1531"/>
      <c r="E880" s="1531"/>
      <c r="F880" s="1531"/>
      <c r="G880" s="1531"/>
      <c r="H880" s="1531"/>
      <c r="I880" s="1531"/>
      <c r="J880" s="1531"/>
      <c r="K880" s="1531"/>
      <c r="L880" s="1531"/>
      <c r="M880" s="1531"/>
      <c r="N880" s="1531"/>
      <c r="O880" s="1531"/>
      <c r="P880" s="1531"/>
      <c r="Q880" s="1531"/>
      <c r="R880" s="1531"/>
      <c r="S880" s="1531"/>
      <c r="T880" s="1531"/>
      <c r="U880" s="1531"/>
      <c r="V880" s="1531"/>
      <c r="W880" s="1531"/>
      <c r="X880" s="1531"/>
      <c r="Y880" s="1531"/>
      <c r="Z880" s="1531"/>
      <c r="AA880" s="1531"/>
      <c r="AB880" s="1531"/>
      <c r="AC880" s="1531"/>
      <c r="AD880" s="1531"/>
      <c r="AE880" s="1531"/>
      <c r="AF880" s="1531"/>
      <c r="AG880" s="1531"/>
      <c r="AH880" s="1531"/>
      <c r="AI880" s="1531"/>
      <c r="AJ880" s="1531"/>
      <c r="AK880" s="1531"/>
      <c r="AL880" s="1531"/>
      <c r="AM880" s="1531"/>
      <c r="AN880" s="1531"/>
      <c r="AO880" s="1531"/>
      <c r="AP880" s="1531"/>
      <c r="AQ880" s="1531"/>
      <c r="AR880" s="1531"/>
      <c r="AS880" s="1531"/>
      <c r="AT880" s="1136"/>
      <c r="AU880" s="1136"/>
      <c r="AV880" s="1136"/>
      <c r="AW880" s="1136"/>
      <c r="AX880" s="1136"/>
      <c r="AY880" s="1136"/>
      <c r="AZ880" s="1136"/>
      <c r="BA880" s="1136"/>
      <c r="BB880" s="1136"/>
      <c r="BC880" s="1136"/>
      <c r="BD880" s="1136"/>
      <c r="BE880" s="1136"/>
      <c r="BF880" s="1136"/>
      <c r="BG880" s="1136"/>
      <c r="BH880" s="1136"/>
      <c r="BI880" s="1136"/>
      <c r="BJ880" s="1136"/>
      <c r="BK880" s="1136"/>
      <c r="BL880" s="1136"/>
      <c r="BM880" s="1136"/>
      <c r="BN880" s="1136"/>
      <c r="BO880" s="1136"/>
      <c r="BP880" s="1136"/>
      <c r="BQ880" s="1136"/>
      <c r="BR880" s="1136"/>
      <c r="BS880" s="1136"/>
      <c r="BT880" s="1136"/>
      <c r="BU880" s="1136"/>
      <c r="BV880" s="1136"/>
      <c r="BW880" s="1136"/>
      <c r="BX880" s="1136"/>
      <c r="BY880" s="1136"/>
      <c r="BZ880" s="1136"/>
      <c r="CA880" s="1136"/>
      <c r="CB880" s="1136"/>
      <c r="CC880" s="1136"/>
      <c r="CD880" s="1136"/>
      <c r="CE880" s="1136"/>
      <c r="CF880" s="1136"/>
      <c r="CG880" s="1136"/>
      <c r="CH880" s="1136"/>
      <c r="CI880" s="1136"/>
      <c r="CJ880" s="1136"/>
      <c r="CK880" s="1136"/>
      <c r="CL880" s="1136"/>
      <c r="CM880" s="1136"/>
      <c r="CN880" s="1136"/>
      <c r="CO880" s="1136"/>
      <c r="CP880" s="1136"/>
      <c r="CQ880" s="1136"/>
      <c r="CR880" s="1136"/>
      <c r="CS880" s="1136"/>
      <c r="CT880" s="1136"/>
      <c r="CU880" s="1136"/>
      <c r="CV880" s="1136"/>
      <c r="CW880" s="1136"/>
      <c r="CX880" s="1136"/>
      <c r="CY880" s="1136"/>
      <c r="CZ880" s="1136"/>
      <c r="DA880" s="1136"/>
      <c r="DB880" s="1136"/>
      <c r="DC880" s="1136"/>
      <c r="DD880" s="1136"/>
      <c r="DE880" s="1136"/>
      <c r="DF880" s="1136"/>
      <c r="DG880" s="1136"/>
      <c r="DH880" s="1136"/>
      <c r="DI880" s="1136"/>
    </row>
    <row r="881" spans="1:113" ht="15.75" x14ac:dyDescent="0.25">
      <c r="A881" s="1448" t="s">
        <v>2973</v>
      </c>
      <c r="B881" s="1433">
        <f>B417</f>
        <v>4</v>
      </c>
      <c r="C881" s="1569"/>
      <c r="D881" s="1531"/>
      <c r="E881" s="1531"/>
      <c r="F881" s="1531"/>
      <c r="G881" s="1531"/>
      <c r="H881" s="1531"/>
      <c r="I881" s="1531"/>
      <c r="J881" s="1531"/>
      <c r="K881" s="1531"/>
      <c r="L881" s="1531"/>
      <c r="M881" s="1531"/>
      <c r="N881" s="1531"/>
      <c r="O881" s="1531"/>
      <c r="P881" s="1531"/>
      <c r="Q881" s="1531"/>
      <c r="R881" s="1531"/>
      <c r="S881" s="1531"/>
      <c r="T881" s="1531"/>
      <c r="U881" s="1531"/>
      <c r="V881" s="1531"/>
      <c r="W881" s="1531"/>
      <c r="X881" s="1531"/>
      <c r="Y881" s="1531"/>
      <c r="Z881" s="1531"/>
      <c r="AA881" s="1531"/>
      <c r="AB881" s="1531"/>
      <c r="AC881" s="1531"/>
      <c r="AD881" s="1531"/>
      <c r="AE881" s="1531"/>
      <c r="AF881" s="1531"/>
      <c r="AG881" s="1531"/>
      <c r="AH881" s="1531"/>
      <c r="AI881" s="1531"/>
      <c r="AJ881" s="1531"/>
      <c r="AK881" s="1531"/>
      <c r="AL881" s="1531"/>
      <c r="AM881" s="1531"/>
      <c r="AN881" s="1531"/>
      <c r="AO881" s="1531"/>
      <c r="AP881" s="1531"/>
      <c r="AQ881" s="1531"/>
      <c r="AR881" s="1531"/>
      <c r="AS881" s="1531"/>
      <c r="AT881" s="1136"/>
      <c r="AU881" s="1136"/>
      <c r="AV881" s="1136"/>
      <c r="AW881" s="1136"/>
      <c r="AX881" s="1136"/>
      <c r="AY881" s="1136"/>
      <c r="AZ881" s="1136"/>
      <c r="BA881" s="1136"/>
      <c r="BB881" s="1136"/>
      <c r="BC881" s="1136"/>
      <c r="BD881" s="1136"/>
      <c r="BE881" s="1136"/>
      <c r="BF881" s="1136"/>
      <c r="BG881" s="1136"/>
      <c r="BH881" s="1136"/>
      <c r="BI881" s="1136"/>
      <c r="BJ881" s="1136"/>
      <c r="BK881" s="1136"/>
      <c r="BL881" s="1136"/>
      <c r="BM881" s="1136"/>
      <c r="BN881" s="1136"/>
      <c r="BO881" s="1136"/>
      <c r="BP881" s="1136"/>
      <c r="BQ881" s="1136"/>
      <c r="BR881" s="1136"/>
      <c r="BS881" s="1136"/>
      <c r="BT881" s="1136"/>
      <c r="BU881" s="1136"/>
      <c r="BV881" s="1136"/>
      <c r="BW881" s="1136"/>
      <c r="BX881" s="1136"/>
      <c r="BY881" s="1136"/>
      <c r="BZ881" s="1136"/>
      <c r="CA881" s="1136"/>
      <c r="CB881" s="1136"/>
      <c r="CC881" s="1136"/>
      <c r="CD881" s="1136"/>
      <c r="CE881" s="1136"/>
      <c r="CF881" s="1136"/>
      <c r="CG881" s="1136"/>
      <c r="CH881" s="1136"/>
      <c r="CI881" s="1136"/>
      <c r="CJ881" s="1136"/>
      <c r="CK881" s="1136"/>
      <c r="CL881" s="1136"/>
      <c r="CM881" s="1136"/>
      <c r="CN881" s="1136"/>
      <c r="CO881" s="1136"/>
      <c r="CP881" s="1136"/>
      <c r="CQ881" s="1136"/>
      <c r="CR881" s="1136"/>
      <c r="CS881" s="1136"/>
      <c r="CT881" s="1136"/>
      <c r="CU881" s="1136"/>
      <c r="CV881" s="1136"/>
      <c r="CW881" s="1136"/>
      <c r="CX881" s="1136"/>
      <c r="CY881" s="1136"/>
      <c r="CZ881" s="1136"/>
      <c r="DA881" s="1136"/>
      <c r="DB881" s="1136"/>
      <c r="DC881" s="1136"/>
      <c r="DD881" s="1136"/>
      <c r="DE881" s="1136"/>
      <c r="DF881" s="1136"/>
      <c r="DG881" s="1136"/>
      <c r="DH881" s="1136"/>
      <c r="DI881" s="1136"/>
    </row>
    <row r="882" spans="1:113" ht="15.75" x14ac:dyDescent="0.25">
      <c r="A882" s="1448" t="s">
        <v>2974</v>
      </c>
      <c r="B882" s="1423">
        <f>B881*0.02*500</f>
        <v>40</v>
      </c>
      <c r="C882" s="1567"/>
      <c r="D882" s="1562"/>
      <c r="E882" s="1562"/>
      <c r="F882" s="1562"/>
      <c r="G882" s="1562"/>
      <c r="H882" s="1531"/>
      <c r="I882" s="1531"/>
      <c r="J882" s="1531"/>
      <c r="K882" s="1531"/>
      <c r="L882" s="1531"/>
      <c r="M882" s="1531"/>
      <c r="N882" s="1531"/>
      <c r="O882" s="1531"/>
      <c r="P882" s="1531"/>
      <c r="Q882" s="1531"/>
      <c r="R882" s="1531"/>
      <c r="S882" s="1531"/>
      <c r="T882" s="1531"/>
      <c r="U882" s="1531"/>
      <c r="V882" s="1531"/>
      <c r="W882" s="1531"/>
      <c r="X882" s="1531"/>
      <c r="Y882" s="1531"/>
      <c r="Z882" s="1531"/>
      <c r="AA882" s="1531"/>
      <c r="AB882" s="1531"/>
      <c r="AC882" s="1531"/>
      <c r="AD882" s="1531"/>
      <c r="AE882" s="1531"/>
      <c r="AF882" s="1531"/>
      <c r="AG882" s="1531"/>
      <c r="AH882" s="1531"/>
      <c r="AI882" s="1531"/>
      <c r="AJ882" s="1531"/>
      <c r="AK882" s="1531"/>
      <c r="AL882" s="1531"/>
      <c r="AM882" s="1531"/>
      <c r="AN882" s="1531"/>
      <c r="AO882" s="1531"/>
      <c r="AP882" s="1531"/>
      <c r="AQ882" s="1531"/>
      <c r="AR882" s="1531"/>
      <c r="AS882" s="1531"/>
      <c r="AT882" s="1136"/>
      <c r="AU882" s="1136"/>
      <c r="AV882" s="1136"/>
      <c r="AW882" s="1136"/>
      <c r="AX882" s="1136"/>
      <c r="AY882" s="1136"/>
      <c r="AZ882" s="1136"/>
      <c r="BA882" s="1136"/>
      <c r="BB882" s="1136"/>
      <c r="BC882" s="1136"/>
      <c r="BD882" s="1136"/>
      <c r="BE882" s="1136"/>
      <c r="BF882" s="1136"/>
      <c r="BG882" s="1136"/>
      <c r="BH882" s="1136"/>
      <c r="BI882" s="1136"/>
      <c r="BJ882" s="1136"/>
      <c r="BK882" s="1136"/>
      <c r="BL882" s="1136"/>
      <c r="BM882" s="1136"/>
      <c r="BN882" s="1136"/>
      <c r="BO882" s="1136"/>
      <c r="BP882" s="1136"/>
      <c r="BQ882" s="1136"/>
      <c r="BR882" s="1136"/>
      <c r="BS882" s="1136"/>
      <c r="BT882" s="1136"/>
      <c r="BU882" s="1136"/>
      <c r="BV882" s="1136"/>
      <c r="BW882" s="1136"/>
      <c r="BX882" s="1136"/>
      <c r="BY882" s="1136"/>
      <c r="BZ882" s="1136"/>
      <c r="CA882" s="1136"/>
      <c r="CB882" s="1136"/>
      <c r="CC882" s="1136"/>
      <c r="CD882" s="1136"/>
      <c r="CE882" s="1136"/>
      <c r="CF882" s="1136"/>
      <c r="CG882" s="1136"/>
      <c r="CH882" s="1136"/>
      <c r="CI882" s="1136"/>
      <c r="CJ882" s="1136"/>
      <c r="CK882" s="1136"/>
      <c r="CL882" s="1136"/>
      <c r="CM882" s="1136"/>
      <c r="CN882" s="1136"/>
      <c r="CO882" s="1136"/>
      <c r="CP882" s="1136"/>
      <c r="CQ882" s="1136"/>
      <c r="CR882" s="1136"/>
      <c r="CS882" s="1136"/>
      <c r="CT882" s="1136"/>
      <c r="CU882" s="1136"/>
      <c r="CV882" s="1136"/>
      <c r="CW882" s="1136"/>
      <c r="CX882" s="1136"/>
      <c r="CY882" s="1136"/>
      <c r="CZ882" s="1136"/>
      <c r="DA882" s="1136"/>
      <c r="DB882" s="1136"/>
      <c r="DC882" s="1136"/>
      <c r="DD882" s="1136"/>
      <c r="DE882" s="1136"/>
      <c r="DF882" s="1136"/>
      <c r="DG882" s="1136"/>
      <c r="DH882" s="1136"/>
      <c r="DI882" s="1136"/>
    </row>
    <row r="883" spans="1:113" ht="15.75" x14ac:dyDescent="0.25">
      <c r="A883" s="1422" t="s">
        <v>2975</v>
      </c>
      <c r="B883" s="1433">
        <f>IF(B882&lt;20.1,1,IF(B882&lt;30,0.9,0.85))</f>
        <v>0.85</v>
      </c>
      <c r="C883" s="1569"/>
      <c r="D883" s="1606"/>
      <c r="E883" s="1606"/>
      <c r="F883" s="1606"/>
      <c r="G883" s="1606"/>
      <c r="H883" s="1531"/>
      <c r="I883" s="1531"/>
      <c r="J883" s="1531"/>
      <c r="K883" s="1531"/>
      <c r="L883" s="1531"/>
      <c r="M883" s="1531"/>
      <c r="N883" s="1531"/>
      <c r="O883" s="1531"/>
      <c r="P883" s="1531"/>
      <c r="Q883" s="1531"/>
      <c r="R883" s="1531"/>
      <c r="S883" s="1531"/>
      <c r="T883" s="1531"/>
      <c r="U883" s="1531"/>
      <c r="V883" s="1531"/>
      <c r="W883" s="1531"/>
      <c r="X883" s="1531"/>
      <c r="Y883" s="1531"/>
      <c r="Z883" s="1531"/>
      <c r="AA883" s="1531"/>
      <c r="AB883" s="1531"/>
      <c r="AC883" s="1531"/>
      <c r="AD883" s="1531"/>
      <c r="AE883" s="1531"/>
      <c r="AF883" s="1531"/>
      <c r="AG883" s="1531"/>
      <c r="AH883" s="1531"/>
      <c r="AI883" s="1531"/>
      <c r="AJ883" s="1531"/>
      <c r="AK883" s="1531"/>
      <c r="AL883" s="1531"/>
      <c r="AM883" s="1531"/>
      <c r="AN883" s="1531"/>
      <c r="AO883" s="1531"/>
      <c r="AP883" s="1531"/>
      <c r="AQ883" s="1531"/>
      <c r="AR883" s="1531"/>
      <c r="AS883" s="1531"/>
      <c r="AT883" s="1136"/>
      <c r="AU883" s="1136"/>
      <c r="AV883" s="1136"/>
      <c r="AW883" s="1136"/>
      <c r="AX883" s="1136"/>
      <c r="AY883" s="1136"/>
      <c r="AZ883" s="1136"/>
      <c r="BA883" s="1136"/>
      <c r="BB883" s="1136"/>
      <c r="BC883" s="1136"/>
      <c r="BD883" s="1136"/>
      <c r="BE883" s="1136"/>
      <c r="BF883" s="1136"/>
      <c r="BG883" s="1136"/>
      <c r="BH883" s="1136"/>
      <c r="BI883" s="1136"/>
      <c r="BJ883" s="1136"/>
      <c r="BK883" s="1136"/>
      <c r="BL883" s="1136"/>
      <c r="BM883" s="1136"/>
      <c r="BN883" s="1136"/>
      <c r="BO883" s="1136"/>
      <c r="BP883" s="1136"/>
      <c r="BQ883" s="1136"/>
      <c r="BR883" s="1136"/>
      <c r="BS883" s="1136"/>
      <c r="BT883" s="1136"/>
      <c r="BU883" s="1136"/>
      <c r="BV883" s="1136"/>
      <c r="BW883" s="1136"/>
      <c r="BX883" s="1136"/>
      <c r="BY883" s="1136"/>
      <c r="BZ883" s="1136"/>
      <c r="CA883" s="1136"/>
      <c r="CB883" s="1136"/>
      <c r="CC883" s="1136"/>
      <c r="CD883" s="1136"/>
      <c r="CE883" s="1136"/>
      <c r="CF883" s="1136"/>
      <c r="CG883" s="1136"/>
      <c r="CH883" s="1136"/>
      <c r="CI883" s="1136"/>
      <c r="CJ883" s="1136"/>
      <c r="CK883" s="1136"/>
      <c r="CL883" s="1136"/>
      <c r="CM883" s="1136"/>
      <c r="CN883" s="1136"/>
      <c r="CO883" s="1136"/>
      <c r="CP883" s="1136"/>
      <c r="CQ883" s="1136"/>
      <c r="CR883" s="1136"/>
      <c r="CS883" s="1136"/>
      <c r="CT883" s="1136"/>
      <c r="CU883" s="1136"/>
      <c r="CV883" s="1136"/>
      <c r="CW883" s="1136"/>
      <c r="CX883" s="1136"/>
      <c r="CY883" s="1136"/>
      <c r="CZ883" s="1136"/>
      <c r="DA883" s="1136"/>
      <c r="DB883" s="1136"/>
      <c r="DC883" s="1136"/>
      <c r="DD883" s="1136"/>
      <c r="DE883" s="1136"/>
      <c r="DF883" s="1136"/>
      <c r="DG883" s="1136"/>
      <c r="DH883" s="1136"/>
      <c r="DI883" s="1136"/>
    </row>
    <row r="884" spans="1:113" ht="15.75" x14ac:dyDescent="0.25">
      <c r="A884" s="1422" t="s">
        <v>391</v>
      </c>
      <c r="B884" s="1443">
        <f>B826</f>
        <v>1.1499999999999999</v>
      </c>
      <c r="C884" s="1521"/>
      <c r="D884" s="1531"/>
      <c r="E884" s="1531"/>
      <c r="F884" s="1531"/>
      <c r="G884" s="1531"/>
      <c r="H884" s="1531"/>
      <c r="I884" s="1531"/>
      <c r="J884" s="1531"/>
      <c r="K884" s="1531"/>
      <c r="L884" s="1531"/>
      <c r="M884" s="1531"/>
      <c r="N884" s="1531"/>
      <c r="O884" s="1531"/>
      <c r="P884" s="1531"/>
      <c r="Q884" s="1531"/>
      <c r="R884" s="1531"/>
      <c r="S884" s="1531"/>
      <c r="T884" s="1531"/>
      <c r="U884" s="1531"/>
      <c r="V884" s="1531"/>
      <c r="W884" s="1531"/>
      <c r="X884" s="1531"/>
      <c r="Y884" s="1531"/>
      <c r="Z884" s="1531"/>
      <c r="AA884" s="1531"/>
      <c r="AB884" s="1531"/>
      <c r="AC884" s="1531"/>
      <c r="AD884" s="1531"/>
      <c r="AE884" s="1531"/>
      <c r="AF884" s="1531"/>
      <c r="AG884" s="1531"/>
      <c r="AH884" s="1531"/>
      <c r="AI884" s="1531"/>
      <c r="AJ884" s="1531"/>
      <c r="AK884" s="1531"/>
      <c r="AL884" s="1531"/>
      <c r="AM884" s="1531"/>
      <c r="AN884" s="1531"/>
      <c r="AO884" s="1531"/>
      <c r="AP884" s="1531"/>
      <c r="AQ884" s="1531"/>
      <c r="AR884" s="1531"/>
      <c r="AS884" s="1531"/>
      <c r="AT884" s="1136"/>
      <c r="AU884" s="1136"/>
      <c r="AV884" s="1136"/>
      <c r="AW884" s="1136"/>
      <c r="AX884" s="1136"/>
      <c r="AY884" s="1136"/>
      <c r="AZ884" s="1136"/>
      <c r="BA884" s="1136"/>
      <c r="BB884" s="1136"/>
      <c r="BC884" s="1136"/>
      <c r="BD884" s="1136"/>
      <c r="BE884" s="1136"/>
      <c r="BF884" s="1136"/>
      <c r="BG884" s="1136"/>
      <c r="BH884" s="1136"/>
      <c r="BI884" s="1136"/>
      <c r="BJ884" s="1136"/>
      <c r="BK884" s="1136"/>
      <c r="BL884" s="1136"/>
      <c r="BM884" s="1136"/>
      <c r="BN884" s="1136"/>
      <c r="BO884" s="1136"/>
      <c r="BP884" s="1136"/>
      <c r="BQ884" s="1136"/>
      <c r="BR884" s="1136"/>
      <c r="BS884" s="1136"/>
      <c r="BT884" s="1136"/>
      <c r="BU884" s="1136"/>
      <c r="BV884" s="1136"/>
      <c r="BW884" s="1136"/>
      <c r="BX884" s="1136"/>
      <c r="BY884" s="1136"/>
      <c r="BZ884" s="1136"/>
      <c r="CA884" s="1136"/>
      <c r="CB884" s="1136"/>
      <c r="CC884" s="1136"/>
      <c r="CD884" s="1136"/>
      <c r="CE884" s="1136"/>
      <c r="CF884" s="1136"/>
      <c r="CG884" s="1136"/>
      <c r="CH884" s="1136"/>
      <c r="CI884" s="1136"/>
      <c r="CJ884" s="1136"/>
      <c r="CK884" s="1136"/>
      <c r="CL884" s="1136"/>
      <c r="CM884" s="1136"/>
      <c r="CN884" s="1136"/>
      <c r="CO884" s="1136"/>
      <c r="CP884" s="1136"/>
      <c r="CQ884" s="1136"/>
      <c r="CR884" s="1136"/>
      <c r="CS884" s="1136"/>
      <c r="CT884" s="1136"/>
      <c r="CU884" s="1136"/>
      <c r="CV884" s="1136"/>
      <c r="CW884" s="1136"/>
      <c r="CX884" s="1136"/>
      <c r="CY884" s="1136"/>
      <c r="CZ884" s="1136"/>
      <c r="DA884" s="1136"/>
      <c r="DB884" s="1136"/>
      <c r="DC884" s="1136"/>
      <c r="DD884" s="1136"/>
      <c r="DE884" s="1136"/>
      <c r="DF884" s="1136"/>
      <c r="DG884" s="1136"/>
      <c r="DH884" s="1136"/>
      <c r="DI884" s="1136"/>
    </row>
    <row r="885" spans="1:113" ht="15.75" x14ac:dyDescent="0.25">
      <c r="A885" s="1422" t="s">
        <v>392</v>
      </c>
      <c r="B885" s="1443">
        <f>B827</f>
        <v>0.8</v>
      </c>
      <c r="C885" s="1521"/>
      <c r="D885" s="1596"/>
      <c r="E885" s="1596"/>
      <c r="F885" s="1596"/>
      <c r="G885" s="1596"/>
      <c r="H885" s="1531"/>
      <c r="I885" s="1531"/>
      <c r="J885" s="1531"/>
      <c r="K885" s="1531"/>
      <c r="L885" s="1531"/>
      <c r="M885" s="1531"/>
      <c r="N885" s="1531"/>
      <c r="O885" s="1531"/>
      <c r="P885" s="1531"/>
      <c r="Q885" s="1531"/>
      <c r="R885" s="1531"/>
      <c r="S885" s="1531"/>
      <c r="T885" s="1531"/>
      <c r="U885" s="1531"/>
      <c r="V885" s="1531"/>
      <c r="W885" s="1531"/>
      <c r="X885" s="1531"/>
      <c r="Y885" s="1531"/>
      <c r="Z885" s="1531"/>
      <c r="AA885" s="1531"/>
      <c r="AB885" s="1531"/>
      <c r="AC885" s="1531"/>
      <c r="AD885" s="1531"/>
      <c r="AE885" s="1531"/>
      <c r="AF885" s="1531"/>
      <c r="AG885" s="1531"/>
      <c r="AH885" s="1531"/>
      <c r="AI885" s="1531"/>
      <c r="AJ885" s="1531"/>
      <c r="AK885" s="1531"/>
      <c r="AL885" s="1531"/>
      <c r="AM885" s="1531"/>
      <c r="AN885" s="1531"/>
      <c r="AO885" s="1531"/>
      <c r="AP885" s="1531"/>
      <c r="AQ885" s="1531"/>
      <c r="AR885" s="1531"/>
      <c r="AS885" s="1531"/>
      <c r="AT885" s="1136"/>
      <c r="AU885" s="1136"/>
      <c r="AV885" s="1136"/>
      <c r="AW885" s="1136"/>
      <c r="AX885" s="1136"/>
      <c r="AY885" s="1136"/>
      <c r="AZ885" s="1136"/>
      <c r="BA885" s="1136"/>
      <c r="BB885" s="1136"/>
      <c r="BC885" s="1136"/>
      <c r="BD885" s="1136"/>
      <c r="BE885" s="1136"/>
      <c r="BF885" s="1136"/>
      <c r="BG885" s="1136"/>
      <c r="BH885" s="1136"/>
      <c r="BI885" s="1136"/>
      <c r="BJ885" s="1136"/>
      <c r="BK885" s="1136"/>
      <c r="BL885" s="1136"/>
      <c r="BM885" s="1136"/>
      <c r="BN885" s="1136"/>
      <c r="BO885" s="1136"/>
      <c r="BP885" s="1136"/>
      <c r="BQ885" s="1136"/>
      <c r="BR885" s="1136"/>
      <c r="BS885" s="1136"/>
      <c r="BT885" s="1136"/>
      <c r="BU885" s="1136"/>
      <c r="BV885" s="1136"/>
      <c r="BW885" s="1136"/>
      <c r="BX885" s="1136"/>
      <c r="BY885" s="1136"/>
      <c r="BZ885" s="1136"/>
      <c r="CA885" s="1136"/>
      <c r="CB885" s="1136"/>
      <c r="CC885" s="1136"/>
      <c r="CD885" s="1136"/>
      <c r="CE885" s="1136"/>
      <c r="CF885" s="1136"/>
      <c r="CG885" s="1136"/>
      <c r="CH885" s="1136"/>
      <c r="CI885" s="1136"/>
      <c r="CJ885" s="1136"/>
      <c r="CK885" s="1136"/>
      <c r="CL885" s="1136"/>
      <c r="CM885" s="1136"/>
      <c r="CN885" s="1136"/>
      <c r="CO885" s="1136"/>
      <c r="CP885" s="1136"/>
      <c r="CQ885" s="1136"/>
      <c r="CR885" s="1136"/>
      <c r="CS885" s="1136"/>
      <c r="CT885" s="1136"/>
      <c r="CU885" s="1136"/>
      <c r="CV885" s="1136"/>
      <c r="CW885" s="1136"/>
      <c r="CX885" s="1136"/>
      <c r="CY885" s="1136"/>
      <c r="CZ885" s="1136"/>
      <c r="DA885" s="1136"/>
      <c r="DB885" s="1136"/>
      <c r="DC885" s="1136"/>
      <c r="DD885" s="1136"/>
      <c r="DE885" s="1136"/>
      <c r="DF885" s="1136"/>
      <c r="DG885" s="1136"/>
      <c r="DH885" s="1136"/>
      <c r="DI885" s="1136"/>
    </row>
    <row r="886" spans="1:113" ht="31.5" x14ac:dyDescent="0.25">
      <c r="A886" s="1422" t="s">
        <v>393</v>
      </c>
      <c r="B886" s="1443">
        <f>B828</f>
        <v>1</v>
      </c>
      <c r="C886" s="1521"/>
      <c r="D886" s="1596"/>
      <c r="E886" s="1596"/>
      <c r="F886" s="1596"/>
      <c r="G886" s="1596"/>
      <c r="H886" s="1531"/>
      <c r="I886" s="1531"/>
      <c r="J886" s="1531"/>
      <c r="K886" s="1531"/>
      <c r="L886" s="1531"/>
      <c r="M886" s="1531"/>
      <c r="N886" s="1531"/>
      <c r="O886" s="1531"/>
      <c r="P886" s="1531"/>
      <c r="Q886" s="1531"/>
      <c r="R886" s="1531"/>
      <c r="S886" s="1531"/>
      <c r="T886" s="1531"/>
      <c r="U886" s="1531"/>
      <c r="V886" s="1531"/>
      <c r="W886" s="1531"/>
      <c r="X886" s="1531"/>
      <c r="Y886" s="1531"/>
      <c r="Z886" s="1531"/>
      <c r="AA886" s="1531"/>
      <c r="AB886" s="1531"/>
      <c r="AC886" s="1531"/>
      <c r="AD886" s="1531"/>
      <c r="AE886" s="1531"/>
      <c r="AF886" s="1531"/>
      <c r="AG886" s="1531"/>
      <c r="AH886" s="1531"/>
      <c r="AI886" s="1531"/>
      <c r="AJ886" s="1531"/>
      <c r="AK886" s="1531"/>
      <c r="AL886" s="1531"/>
      <c r="AM886" s="1531"/>
      <c r="AN886" s="1531"/>
      <c r="AO886" s="1531"/>
      <c r="AP886" s="1531"/>
      <c r="AQ886" s="1531"/>
      <c r="AR886" s="1531"/>
      <c r="AS886" s="1531"/>
      <c r="AT886" s="1136"/>
      <c r="AU886" s="1136"/>
      <c r="AV886" s="1136"/>
      <c r="AW886" s="1136"/>
      <c r="AX886" s="1136"/>
      <c r="AY886" s="1136"/>
      <c r="AZ886" s="1136"/>
      <c r="BA886" s="1136"/>
      <c r="BB886" s="1136"/>
      <c r="BC886" s="1136"/>
      <c r="BD886" s="1136"/>
      <c r="BE886" s="1136"/>
      <c r="BF886" s="1136"/>
      <c r="BG886" s="1136"/>
      <c r="BH886" s="1136"/>
      <c r="BI886" s="1136"/>
      <c r="BJ886" s="1136"/>
      <c r="BK886" s="1136"/>
      <c r="BL886" s="1136"/>
      <c r="BM886" s="1136"/>
      <c r="BN886" s="1136"/>
      <c r="BO886" s="1136"/>
      <c r="BP886" s="1136"/>
      <c r="BQ886" s="1136"/>
      <c r="BR886" s="1136"/>
      <c r="BS886" s="1136"/>
      <c r="BT886" s="1136"/>
      <c r="BU886" s="1136"/>
      <c r="BV886" s="1136"/>
      <c r="BW886" s="1136"/>
      <c r="BX886" s="1136"/>
      <c r="BY886" s="1136"/>
      <c r="BZ886" s="1136"/>
      <c r="CA886" s="1136"/>
      <c r="CB886" s="1136"/>
      <c r="CC886" s="1136"/>
      <c r="CD886" s="1136"/>
      <c r="CE886" s="1136"/>
      <c r="CF886" s="1136"/>
      <c r="CG886" s="1136"/>
      <c r="CH886" s="1136"/>
      <c r="CI886" s="1136"/>
      <c r="CJ886" s="1136"/>
      <c r="CK886" s="1136"/>
      <c r="CL886" s="1136"/>
      <c r="CM886" s="1136"/>
      <c r="CN886" s="1136"/>
      <c r="CO886" s="1136"/>
      <c r="CP886" s="1136"/>
      <c r="CQ886" s="1136"/>
      <c r="CR886" s="1136"/>
      <c r="CS886" s="1136"/>
      <c r="CT886" s="1136"/>
      <c r="CU886" s="1136"/>
      <c r="CV886" s="1136"/>
      <c r="CW886" s="1136"/>
      <c r="CX886" s="1136"/>
      <c r="CY886" s="1136"/>
      <c r="CZ886" s="1136"/>
      <c r="DA886" s="1136"/>
      <c r="DB886" s="1136"/>
      <c r="DC886" s="1136"/>
      <c r="DD886" s="1136"/>
      <c r="DE886" s="1136"/>
      <c r="DF886" s="1136"/>
      <c r="DG886" s="1136"/>
      <c r="DH886" s="1136"/>
      <c r="DI886" s="1136"/>
    </row>
    <row r="887" spans="1:113" ht="15.75" x14ac:dyDescent="0.25">
      <c r="A887" s="1422" t="s">
        <v>1323</v>
      </c>
      <c r="B887" s="1443">
        <f>IF(B881&lt;2.1,0.9,IF(B881&lt;3.1,0.85,0.8))</f>
        <v>0.8</v>
      </c>
      <c r="C887" s="1521"/>
      <c r="D887" s="1531"/>
      <c r="E887" s="1531"/>
      <c r="F887" s="1531"/>
      <c r="G887" s="1531"/>
      <c r="H887" s="1531"/>
      <c r="I887" s="1531"/>
      <c r="J887" s="1531"/>
      <c r="K887" s="1531"/>
      <c r="L887" s="1531"/>
      <c r="M887" s="1531"/>
      <c r="N887" s="1531"/>
      <c r="O887" s="1531"/>
      <c r="P887" s="1531"/>
      <c r="Q887" s="1531"/>
      <c r="R887" s="1531"/>
      <c r="S887" s="1531"/>
      <c r="T887" s="1531"/>
      <c r="U887" s="1531"/>
      <c r="V887" s="1531"/>
      <c r="W887" s="1531"/>
      <c r="X887" s="1531"/>
      <c r="Y887" s="1531"/>
      <c r="Z887" s="1531"/>
      <c r="AA887" s="1531"/>
      <c r="AB887" s="1531"/>
      <c r="AC887" s="1531"/>
      <c r="AD887" s="1531"/>
      <c r="AE887" s="1531"/>
      <c r="AF887" s="1531"/>
      <c r="AG887" s="1531"/>
      <c r="AH887" s="1531"/>
      <c r="AI887" s="1531"/>
      <c r="AJ887" s="1531"/>
      <c r="AK887" s="1531"/>
      <c r="AL887" s="1531"/>
      <c r="AM887" s="1531"/>
      <c r="AN887" s="1531"/>
      <c r="AO887" s="1531"/>
      <c r="AP887" s="1531"/>
      <c r="AQ887" s="1531"/>
      <c r="AR887" s="1531"/>
      <c r="AS887" s="1531"/>
      <c r="AT887" s="1136"/>
      <c r="AU887" s="1136"/>
      <c r="AV887" s="1136"/>
      <c r="AW887" s="1136"/>
      <c r="AX887" s="1136"/>
      <c r="AY887" s="1136"/>
      <c r="AZ887" s="1136"/>
      <c r="BA887" s="1136"/>
      <c r="BB887" s="1136"/>
      <c r="BC887" s="1136"/>
      <c r="BD887" s="1136"/>
      <c r="BE887" s="1136"/>
      <c r="BF887" s="1136"/>
      <c r="BG887" s="1136"/>
      <c r="BH887" s="1136"/>
      <c r="BI887" s="1136"/>
      <c r="BJ887" s="1136"/>
      <c r="BK887" s="1136"/>
      <c r="BL887" s="1136"/>
      <c r="BM887" s="1136"/>
      <c r="BN887" s="1136"/>
      <c r="BO887" s="1136"/>
      <c r="BP887" s="1136"/>
      <c r="BQ887" s="1136"/>
      <c r="BR887" s="1136"/>
      <c r="BS887" s="1136"/>
      <c r="BT887" s="1136"/>
      <c r="BU887" s="1136"/>
      <c r="BV887" s="1136"/>
      <c r="BW887" s="1136"/>
      <c r="BX887" s="1136"/>
      <c r="BY887" s="1136"/>
      <c r="BZ887" s="1136"/>
      <c r="CA887" s="1136"/>
      <c r="CB887" s="1136"/>
      <c r="CC887" s="1136"/>
      <c r="CD887" s="1136"/>
      <c r="CE887" s="1136"/>
      <c r="CF887" s="1136"/>
      <c r="CG887" s="1136"/>
      <c r="CH887" s="1136"/>
      <c r="CI887" s="1136"/>
      <c r="CJ887" s="1136"/>
      <c r="CK887" s="1136"/>
      <c r="CL887" s="1136"/>
      <c r="CM887" s="1136"/>
      <c r="CN887" s="1136"/>
      <c r="CO887" s="1136"/>
      <c r="CP887" s="1136"/>
      <c r="CQ887" s="1136"/>
      <c r="CR887" s="1136"/>
      <c r="CS887" s="1136"/>
      <c r="CT887" s="1136"/>
      <c r="CU887" s="1136"/>
      <c r="CV887" s="1136"/>
      <c r="CW887" s="1136"/>
      <c r="CX887" s="1136"/>
      <c r="CY887" s="1136"/>
      <c r="CZ887" s="1136"/>
      <c r="DA887" s="1136"/>
      <c r="DB887" s="1136"/>
      <c r="DC887" s="1136"/>
      <c r="DD887" s="1136"/>
      <c r="DE887" s="1136"/>
      <c r="DF887" s="1136"/>
      <c r="DG887" s="1136"/>
      <c r="DH887" s="1136"/>
      <c r="DI887" s="1136"/>
    </row>
    <row r="888" spans="1:113" ht="15.75" x14ac:dyDescent="0.25">
      <c r="A888" s="1422" t="s">
        <v>2976</v>
      </c>
      <c r="B888" s="1450">
        <v>0.7</v>
      </c>
      <c r="C888" s="1617"/>
      <c r="D888" s="1569"/>
      <c r="E888" s="1569"/>
      <c r="F888" s="1569"/>
      <c r="G888" s="1569"/>
      <c r="H888" s="1531"/>
      <c r="I888" s="1531"/>
      <c r="J888" s="1531"/>
      <c r="K888" s="1531"/>
      <c r="L888" s="1531"/>
      <c r="M888" s="1531"/>
      <c r="N888" s="1531"/>
      <c r="O888" s="1531"/>
      <c r="P888" s="1531"/>
      <c r="Q888" s="1531"/>
      <c r="R888" s="1531"/>
      <c r="S888" s="1531"/>
      <c r="T888" s="1531"/>
      <c r="U888" s="1531"/>
      <c r="V888" s="1531"/>
      <c r="W888" s="1531"/>
      <c r="X888" s="1531"/>
      <c r="Y888" s="1531"/>
      <c r="Z888" s="1531"/>
      <c r="AA888" s="1531"/>
      <c r="AB888" s="1531"/>
      <c r="AC888" s="1531"/>
      <c r="AD888" s="1531"/>
      <c r="AE888" s="1531"/>
      <c r="AF888" s="1531"/>
      <c r="AG888" s="1531"/>
      <c r="AH888" s="1531"/>
      <c r="AI888" s="1531"/>
      <c r="AJ888" s="1531"/>
      <c r="AK888" s="1531"/>
      <c r="AL888" s="1531"/>
      <c r="AM888" s="1531"/>
      <c r="AN888" s="1531"/>
      <c r="AO888" s="1531"/>
      <c r="AP888" s="1531"/>
      <c r="AQ888" s="1531"/>
      <c r="AR888" s="1531"/>
      <c r="AS888" s="1531"/>
      <c r="AT888" s="1136"/>
      <c r="AU888" s="1136"/>
      <c r="AV888" s="1136"/>
      <c r="AW888" s="1136"/>
      <c r="AX888" s="1136"/>
      <c r="AY888" s="1136"/>
      <c r="AZ888" s="1136"/>
      <c r="BA888" s="1136"/>
      <c r="BB888" s="1136"/>
      <c r="BC888" s="1136"/>
      <c r="BD888" s="1136"/>
      <c r="BE888" s="1136"/>
      <c r="BF888" s="1136"/>
      <c r="BG888" s="1136"/>
      <c r="BH888" s="1136"/>
      <c r="BI888" s="1136"/>
      <c r="BJ888" s="1136"/>
      <c r="BK888" s="1136"/>
      <c r="BL888" s="1136"/>
      <c r="BM888" s="1136"/>
      <c r="BN888" s="1136"/>
      <c r="BO888" s="1136"/>
      <c r="BP888" s="1136"/>
      <c r="BQ888" s="1136"/>
      <c r="BR888" s="1136"/>
      <c r="BS888" s="1136"/>
      <c r="BT888" s="1136"/>
      <c r="BU888" s="1136"/>
      <c r="BV888" s="1136"/>
      <c r="BW888" s="1136"/>
      <c r="BX888" s="1136"/>
      <c r="BY888" s="1136"/>
      <c r="BZ888" s="1136"/>
      <c r="CA888" s="1136"/>
      <c r="CB888" s="1136"/>
      <c r="CC888" s="1136"/>
      <c r="CD888" s="1136"/>
      <c r="CE888" s="1136"/>
      <c r="CF888" s="1136"/>
      <c r="CG888" s="1136"/>
      <c r="CH888" s="1136"/>
      <c r="CI888" s="1136"/>
      <c r="CJ888" s="1136"/>
      <c r="CK888" s="1136"/>
      <c r="CL888" s="1136"/>
      <c r="CM888" s="1136"/>
      <c r="CN888" s="1136"/>
      <c r="CO888" s="1136"/>
      <c r="CP888" s="1136"/>
      <c r="CQ888" s="1136"/>
      <c r="CR888" s="1136"/>
      <c r="CS888" s="1136"/>
      <c r="CT888" s="1136"/>
      <c r="CU888" s="1136"/>
      <c r="CV888" s="1136"/>
      <c r="CW888" s="1136"/>
      <c r="CX888" s="1136"/>
      <c r="CY888" s="1136"/>
      <c r="CZ888" s="1136"/>
      <c r="DA888" s="1136"/>
      <c r="DB888" s="1136"/>
      <c r="DC888" s="1136"/>
      <c r="DD888" s="1136"/>
      <c r="DE888" s="1136"/>
      <c r="DF888" s="1136"/>
      <c r="DG888" s="1136"/>
      <c r="DH888" s="1136"/>
      <c r="DI888" s="1136"/>
    </row>
    <row r="889" spans="1:113" ht="15.75" x14ac:dyDescent="0.25">
      <c r="A889" s="1422" t="s">
        <v>3412</v>
      </c>
      <c r="B889" s="1443" t="e">
        <f>B876*B883*B884*B885*B886*B887*B888*B341</f>
        <v>#VALUE!</v>
      </c>
      <c r="C889" s="1521"/>
      <c r="D889" s="1567"/>
      <c r="E889" s="1567"/>
      <c r="F889" s="1567"/>
      <c r="G889" s="1567"/>
      <c r="H889" s="1531"/>
      <c r="I889" s="1531"/>
      <c r="J889" s="1531"/>
      <c r="K889" s="1531"/>
      <c r="L889" s="1531"/>
      <c r="M889" s="1531"/>
      <c r="N889" s="1531"/>
      <c r="O889" s="1531"/>
      <c r="P889" s="1531"/>
      <c r="Q889" s="1531"/>
      <c r="R889" s="1531"/>
      <c r="S889" s="1531"/>
      <c r="T889" s="1531"/>
      <c r="U889" s="1531"/>
      <c r="V889" s="1531"/>
      <c r="W889" s="1531"/>
      <c r="X889" s="1531"/>
      <c r="Y889" s="1531"/>
      <c r="Z889" s="1531"/>
      <c r="AA889" s="1531"/>
      <c r="AB889" s="1531"/>
      <c r="AC889" s="1531"/>
      <c r="AD889" s="1531"/>
      <c r="AE889" s="1531"/>
      <c r="AF889" s="1531"/>
      <c r="AG889" s="1531"/>
      <c r="AH889" s="1531"/>
      <c r="AI889" s="1531"/>
      <c r="AJ889" s="1531"/>
      <c r="AK889" s="1531"/>
      <c r="AL889" s="1531"/>
      <c r="AM889" s="1531"/>
      <c r="AN889" s="1531"/>
      <c r="AO889" s="1531"/>
      <c r="AP889" s="1531"/>
      <c r="AQ889" s="1531"/>
      <c r="AR889" s="1531"/>
      <c r="AS889" s="1531"/>
      <c r="AT889" s="1136"/>
      <c r="AU889" s="1136"/>
      <c r="AV889" s="1136"/>
      <c r="AW889" s="1136"/>
      <c r="AX889" s="1136"/>
      <c r="AY889" s="1136"/>
      <c r="AZ889" s="1136"/>
      <c r="BA889" s="1136"/>
      <c r="BB889" s="1136"/>
      <c r="BC889" s="1136"/>
      <c r="BD889" s="1136"/>
      <c r="BE889" s="1136"/>
      <c r="BF889" s="1136"/>
      <c r="BG889" s="1136"/>
      <c r="BH889" s="1136"/>
      <c r="BI889" s="1136"/>
      <c r="BJ889" s="1136"/>
      <c r="BK889" s="1136"/>
      <c r="BL889" s="1136"/>
      <c r="BM889" s="1136"/>
      <c r="BN889" s="1136"/>
      <c r="BO889" s="1136"/>
      <c r="BP889" s="1136"/>
      <c r="BQ889" s="1136"/>
      <c r="BR889" s="1136"/>
      <c r="BS889" s="1136"/>
      <c r="BT889" s="1136"/>
      <c r="BU889" s="1136"/>
      <c r="BV889" s="1136"/>
      <c r="BW889" s="1136"/>
      <c r="BX889" s="1136"/>
      <c r="BY889" s="1136"/>
      <c r="BZ889" s="1136"/>
      <c r="CA889" s="1136"/>
      <c r="CB889" s="1136"/>
      <c r="CC889" s="1136"/>
      <c r="CD889" s="1136"/>
      <c r="CE889" s="1136"/>
      <c r="CF889" s="1136"/>
      <c r="CG889" s="1136"/>
      <c r="CH889" s="1136"/>
      <c r="CI889" s="1136"/>
      <c r="CJ889" s="1136"/>
      <c r="CK889" s="1136"/>
      <c r="CL889" s="1136"/>
      <c r="CM889" s="1136"/>
      <c r="CN889" s="1136"/>
      <c r="CO889" s="1136"/>
      <c r="CP889" s="1136"/>
      <c r="CQ889" s="1136"/>
      <c r="CR889" s="1136"/>
      <c r="CS889" s="1136"/>
      <c r="CT889" s="1136"/>
      <c r="CU889" s="1136"/>
      <c r="CV889" s="1136"/>
      <c r="CW889" s="1136"/>
      <c r="CX889" s="1136"/>
      <c r="CY889" s="1136"/>
      <c r="CZ889" s="1136"/>
      <c r="DA889" s="1136"/>
      <c r="DB889" s="1136"/>
      <c r="DC889" s="1136"/>
      <c r="DD889" s="1136"/>
      <c r="DE889" s="1136"/>
      <c r="DF889" s="1136"/>
      <c r="DG889" s="1136"/>
      <c r="DH889" s="1136"/>
      <c r="DI889" s="1136"/>
    </row>
    <row r="890" spans="1:113" ht="15.75" x14ac:dyDescent="0.25">
      <c r="A890" s="1422" t="s">
        <v>429</v>
      </c>
      <c r="B890" s="1439" t="e">
        <f>B875/B889</f>
        <v>#REF!</v>
      </c>
      <c r="C890" s="1562"/>
      <c r="D890" s="1569"/>
      <c r="E890" s="1569"/>
      <c r="F890" s="1569"/>
      <c r="G890" s="1569"/>
      <c r="H890" s="1531"/>
      <c r="I890" s="1531"/>
      <c r="J890" s="1531"/>
      <c r="K890" s="1531"/>
      <c r="L890" s="1531"/>
      <c r="M890" s="1531"/>
      <c r="N890" s="1531"/>
      <c r="O890" s="1531"/>
      <c r="P890" s="1531"/>
      <c r="Q890" s="1531"/>
      <c r="R890" s="1531"/>
      <c r="S890" s="1531"/>
      <c r="T890" s="1531"/>
      <c r="U890" s="1531"/>
      <c r="V890" s="1531"/>
      <c r="W890" s="1531"/>
      <c r="X890" s="1531"/>
      <c r="Y890" s="1531"/>
      <c r="Z890" s="1531"/>
      <c r="AA890" s="1531"/>
      <c r="AB890" s="1531"/>
      <c r="AC890" s="1531"/>
      <c r="AD890" s="1531"/>
      <c r="AE890" s="1531"/>
      <c r="AF890" s="1531"/>
      <c r="AG890" s="1531"/>
      <c r="AH890" s="1531"/>
      <c r="AI890" s="1531"/>
      <c r="AJ890" s="1531"/>
      <c r="AK890" s="1531"/>
      <c r="AL890" s="1531"/>
      <c r="AM890" s="1531"/>
      <c r="AN890" s="1531"/>
      <c r="AO890" s="1531"/>
      <c r="AP890" s="1531"/>
      <c r="AQ890" s="1531"/>
      <c r="AR890" s="1531"/>
      <c r="AS890" s="1531"/>
      <c r="AT890" s="1136"/>
      <c r="AU890" s="1136"/>
      <c r="AV890" s="1136"/>
      <c r="AW890" s="1136"/>
      <c r="AX890" s="1136"/>
      <c r="AY890" s="1136"/>
      <c r="AZ890" s="1136"/>
      <c r="BA890" s="1136"/>
      <c r="BB890" s="1136"/>
      <c r="BC890" s="1136"/>
      <c r="BD890" s="1136"/>
      <c r="BE890" s="1136"/>
      <c r="BF890" s="1136"/>
      <c r="BG890" s="1136"/>
      <c r="BH890" s="1136"/>
      <c r="BI890" s="1136"/>
      <c r="BJ890" s="1136"/>
      <c r="BK890" s="1136"/>
      <c r="BL890" s="1136"/>
      <c r="BM890" s="1136"/>
      <c r="BN890" s="1136"/>
      <c r="BO890" s="1136"/>
      <c r="BP890" s="1136"/>
      <c r="BQ890" s="1136"/>
      <c r="BR890" s="1136"/>
      <c r="BS890" s="1136"/>
      <c r="BT890" s="1136"/>
      <c r="BU890" s="1136"/>
      <c r="BV890" s="1136"/>
      <c r="BW890" s="1136"/>
      <c r="BX890" s="1136"/>
      <c r="BY890" s="1136"/>
      <c r="BZ890" s="1136"/>
      <c r="CA890" s="1136"/>
      <c r="CB890" s="1136"/>
      <c r="CC890" s="1136"/>
      <c r="CD890" s="1136"/>
      <c r="CE890" s="1136"/>
      <c r="CF890" s="1136"/>
      <c r="CG890" s="1136"/>
      <c r="CH890" s="1136"/>
      <c r="CI890" s="1136"/>
      <c r="CJ890" s="1136"/>
      <c r="CK890" s="1136"/>
      <c r="CL890" s="1136"/>
      <c r="CM890" s="1136"/>
      <c r="CN890" s="1136"/>
      <c r="CO890" s="1136"/>
      <c r="CP890" s="1136"/>
      <c r="CQ890" s="1136"/>
      <c r="CR890" s="1136"/>
      <c r="CS890" s="1136"/>
      <c r="CT890" s="1136"/>
      <c r="CU890" s="1136"/>
      <c r="CV890" s="1136"/>
      <c r="CW890" s="1136"/>
      <c r="CX890" s="1136"/>
      <c r="CY890" s="1136"/>
      <c r="CZ890" s="1136"/>
      <c r="DA890" s="1136"/>
      <c r="DB890" s="1136"/>
      <c r="DC890" s="1136"/>
      <c r="DD890" s="1136"/>
      <c r="DE890" s="1136"/>
      <c r="DF890" s="1136"/>
      <c r="DG890" s="1136"/>
      <c r="DH890" s="1136"/>
      <c r="DI890" s="1136"/>
    </row>
    <row r="891" spans="1:113" ht="15.75" x14ac:dyDescent="0.25">
      <c r="A891" s="1422"/>
      <c r="B891" s="1443"/>
      <c r="C891" s="1521"/>
      <c r="D891" s="1521"/>
      <c r="E891" s="1521"/>
      <c r="F891" s="1521"/>
      <c r="G891" s="1521"/>
      <c r="H891" s="1531"/>
      <c r="I891" s="1531"/>
      <c r="J891" s="1531"/>
      <c r="K891" s="1531"/>
      <c r="L891" s="1531"/>
      <c r="M891" s="1531"/>
      <c r="N891" s="1531"/>
      <c r="O891" s="1531"/>
      <c r="P891" s="1531"/>
      <c r="Q891" s="1531"/>
      <c r="R891" s="1531"/>
      <c r="S891" s="1531"/>
      <c r="T891" s="1531"/>
      <c r="U891" s="1531"/>
      <c r="V891" s="1531"/>
      <c r="W891" s="1531"/>
      <c r="X891" s="1531"/>
      <c r="Y891" s="1531"/>
      <c r="Z891" s="1531"/>
      <c r="AA891" s="1531"/>
      <c r="AB891" s="1531"/>
      <c r="AC891" s="1531"/>
      <c r="AD891" s="1531"/>
      <c r="AE891" s="1531"/>
      <c r="AF891" s="1531"/>
      <c r="AG891" s="1531"/>
      <c r="AH891" s="1531"/>
      <c r="AI891" s="1531"/>
      <c r="AJ891" s="1531"/>
      <c r="AK891" s="1531"/>
      <c r="AL891" s="1531"/>
      <c r="AM891" s="1531"/>
      <c r="AN891" s="1531"/>
      <c r="AO891" s="1531"/>
      <c r="AP891" s="1531"/>
      <c r="AQ891" s="1531"/>
      <c r="AR891" s="1531"/>
      <c r="AS891" s="1531"/>
      <c r="AT891" s="1136"/>
      <c r="AU891" s="1136"/>
      <c r="AV891" s="1136"/>
      <c r="AW891" s="1136"/>
      <c r="AX891" s="1136"/>
      <c r="AY891" s="1136"/>
      <c r="AZ891" s="1136"/>
      <c r="BA891" s="1136"/>
      <c r="BB891" s="1136"/>
      <c r="BC891" s="1136"/>
      <c r="BD891" s="1136"/>
      <c r="BE891" s="1136"/>
      <c r="BF891" s="1136"/>
      <c r="BG891" s="1136"/>
      <c r="BH891" s="1136"/>
      <c r="BI891" s="1136"/>
      <c r="BJ891" s="1136"/>
      <c r="BK891" s="1136"/>
      <c r="BL891" s="1136"/>
      <c r="BM891" s="1136"/>
      <c r="BN891" s="1136"/>
      <c r="BO891" s="1136"/>
      <c r="BP891" s="1136"/>
      <c r="BQ891" s="1136"/>
      <c r="BR891" s="1136"/>
      <c r="BS891" s="1136"/>
      <c r="BT891" s="1136"/>
      <c r="BU891" s="1136"/>
      <c r="BV891" s="1136"/>
      <c r="BW891" s="1136"/>
      <c r="BX891" s="1136"/>
      <c r="BY891" s="1136"/>
      <c r="BZ891" s="1136"/>
      <c r="CA891" s="1136"/>
      <c r="CB891" s="1136"/>
      <c r="CC891" s="1136"/>
      <c r="CD891" s="1136"/>
      <c r="CE891" s="1136"/>
      <c r="CF891" s="1136"/>
      <c r="CG891" s="1136"/>
      <c r="CH891" s="1136"/>
      <c r="CI891" s="1136"/>
      <c r="CJ891" s="1136"/>
      <c r="CK891" s="1136"/>
      <c r="CL891" s="1136"/>
      <c r="CM891" s="1136"/>
      <c r="CN891" s="1136"/>
      <c r="CO891" s="1136"/>
      <c r="CP891" s="1136"/>
      <c r="CQ891" s="1136"/>
      <c r="CR891" s="1136"/>
      <c r="CS891" s="1136"/>
      <c r="CT891" s="1136"/>
      <c r="CU891" s="1136"/>
      <c r="CV891" s="1136"/>
      <c r="CW891" s="1136"/>
      <c r="CX891" s="1136"/>
      <c r="CY891" s="1136"/>
      <c r="CZ891" s="1136"/>
      <c r="DA891" s="1136"/>
      <c r="DB891" s="1136"/>
      <c r="DC891" s="1136"/>
      <c r="DD891" s="1136"/>
      <c r="DE891" s="1136"/>
      <c r="DF891" s="1136"/>
      <c r="DG891" s="1136"/>
      <c r="DH891" s="1136"/>
      <c r="DI891" s="1136"/>
    </row>
    <row r="892" spans="1:113" ht="47.25" x14ac:dyDescent="0.25">
      <c r="A892" s="1438" t="s">
        <v>2977</v>
      </c>
      <c r="B892" s="1433"/>
      <c r="C892" s="1569"/>
      <c r="D892" s="1521"/>
      <c r="E892" s="1521"/>
      <c r="F892" s="1521"/>
      <c r="G892" s="1521"/>
      <c r="H892" s="1531"/>
      <c r="I892" s="1531"/>
      <c r="J892" s="1531"/>
      <c r="K892" s="1531"/>
      <c r="L892" s="1531"/>
      <c r="M892" s="1531"/>
      <c r="N892" s="1531"/>
      <c r="O892" s="1531"/>
      <c r="P892" s="1531"/>
      <c r="Q892" s="1531"/>
      <c r="R892" s="1531"/>
      <c r="S892" s="1531"/>
      <c r="T892" s="1531"/>
      <c r="U892" s="1531"/>
      <c r="V892" s="1531"/>
      <c r="W892" s="1531"/>
      <c r="X892" s="1531"/>
      <c r="Y892" s="1531"/>
      <c r="Z892" s="1531"/>
      <c r="AA892" s="1531"/>
      <c r="AB892" s="1531"/>
      <c r="AC892" s="1531"/>
      <c r="AD892" s="1531"/>
      <c r="AE892" s="1531"/>
      <c r="AF892" s="1531"/>
      <c r="AG892" s="1531"/>
      <c r="AH892" s="1531"/>
      <c r="AI892" s="1531"/>
      <c r="AJ892" s="1531"/>
      <c r="AK892" s="1531"/>
      <c r="AL892" s="1531"/>
      <c r="AM892" s="1531"/>
      <c r="AN892" s="1531"/>
      <c r="AO892" s="1531"/>
      <c r="AP892" s="1531"/>
      <c r="AQ892" s="1531"/>
      <c r="AR892" s="1531"/>
      <c r="AS892" s="1531"/>
      <c r="AT892" s="1136"/>
      <c r="AU892" s="1136"/>
      <c r="AV892" s="1136"/>
      <c r="AW892" s="1136"/>
      <c r="AX892" s="1136"/>
      <c r="AY892" s="1136"/>
      <c r="AZ892" s="1136"/>
      <c r="BA892" s="1136"/>
      <c r="BB892" s="1136"/>
      <c r="BC892" s="1136"/>
      <c r="BD892" s="1136"/>
      <c r="BE892" s="1136"/>
      <c r="BF892" s="1136"/>
      <c r="BG892" s="1136"/>
      <c r="BH892" s="1136"/>
      <c r="BI892" s="1136"/>
      <c r="BJ892" s="1136"/>
      <c r="BK892" s="1136"/>
      <c r="BL892" s="1136"/>
      <c r="BM892" s="1136"/>
      <c r="BN892" s="1136"/>
      <c r="BO892" s="1136"/>
      <c r="BP892" s="1136"/>
      <c r="BQ892" s="1136"/>
      <c r="BR892" s="1136"/>
      <c r="BS892" s="1136"/>
      <c r="BT892" s="1136"/>
      <c r="BU892" s="1136"/>
      <c r="BV892" s="1136"/>
      <c r="BW892" s="1136"/>
      <c r="BX892" s="1136"/>
      <c r="BY892" s="1136"/>
      <c r="BZ892" s="1136"/>
      <c r="CA892" s="1136"/>
      <c r="CB892" s="1136"/>
      <c r="CC892" s="1136"/>
      <c r="CD892" s="1136"/>
      <c r="CE892" s="1136"/>
      <c r="CF892" s="1136"/>
      <c r="CG892" s="1136"/>
      <c r="CH892" s="1136"/>
      <c r="CI892" s="1136"/>
      <c r="CJ892" s="1136"/>
      <c r="CK892" s="1136"/>
      <c r="CL892" s="1136"/>
      <c r="CM892" s="1136"/>
      <c r="CN892" s="1136"/>
      <c r="CO892" s="1136"/>
      <c r="CP892" s="1136"/>
      <c r="CQ892" s="1136"/>
      <c r="CR892" s="1136"/>
      <c r="CS892" s="1136"/>
      <c r="CT892" s="1136"/>
      <c r="CU892" s="1136"/>
      <c r="CV892" s="1136"/>
      <c r="CW892" s="1136"/>
      <c r="CX892" s="1136"/>
      <c r="CY892" s="1136"/>
      <c r="CZ892" s="1136"/>
      <c r="DA892" s="1136"/>
      <c r="DB892" s="1136"/>
      <c r="DC892" s="1136"/>
      <c r="DD892" s="1136"/>
      <c r="DE892" s="1136"/>
      <c r="DF892" s="1136"/>
      <c r="DG892" s="1136"/>
      <c r="DH892" s="1136"/>
      <c r="DI892" s="1136"/>
    </row>
    <row r="893" spans="1:113" ht="15.75" x14ac:dyDescent="0.25">
      <c r="A893" s="1420" t="s">
        <v>1753</v>
      </c>
      <c r="B893" s="1424" t="e">
        <f>((B815/B308+1)-3)*B810</f>
        <v>#REF!</v>
      </c>
      <c r="C893" s="1606"/>
      <c r="D893" s="1521"/>
      <c r="E893" s="1521"/>
      <c r="F893" s="1521"/>
      <c r="G893" s="1521"/>
      <c r="H893" s="1531"/>
      <c r="I893" s="1531"/>
      <c r="J893" s="1531"/>
      <c r="K893" s="1531"/>
      <c r="L893" s="1531"/>
      <c r="M893" s="1531"/>
      <c r="N893" s="1531"/>
      <c r="O893" s="1531"/>
      <c r="P893" s="1531"/>
      <c r="Q893" s="1531"/>
      <c r="R893" s="1531"/>
      <c r="S893" s="1531"/>
      <c r="T893" s="1531"/>
      <c r="U893" s="1531"/>
      <c r="V893" s="1531"/>
      <c r="W893" s="1531"/>
      <c r="X893" s="1531"/>
      <c r="Y893" s="1531"/>
      <c r="Z893" s="1531"/>
      <c r="AA893" s="1531"/>
      <c r="AB893" s="1531"/>
      <c r="AC893" s="1531"/>
      <c r="AD893" s="1531"/>
      <c r="AE893" s="1531"/>
      <c r="AF893" s="1531"/>
      <c r="AG893" s="1531"/>
      <c r="AH893" s="1531"/>
      <c r="AI893" s="1531"/>
      <c r="AJ893" s="1531"/>
      <c r="AK893" s="1531"/>
      <c r="AL893" s="1531"/>
      <c r="AM893" s="1531"/>
      <c r="AN893" s="1531"/>
      <c r="AO893" s="1531"/>
      <c r="AP893" s="1531"/>
      <c r="AQ893" s="1531"/>
      <c r="AR893" s="1531"/>
      <c r="AS893" s="1531"/>
      <c r="AT893" s="1136"/>
      <c r="AU893" s="1136"/>
      <c r="AV893" s="1136"/>
      <c r="AW893" s="1136"/>
      <c r="AX893" s="1136"/>
      <c r="AY893" s="1136"/>
      <c r="AZ893" s="1136"/>
      <c r="BA893" s="1136"/>
      <c r="BB893" s="1136"/>
      <c r="BC893" s="1136"/>
      <c r="BD893" s="1136"/>
      <c r="BE893" s="1136"/>
      <c r="BF893" s="1136"/>
      <c r="BG893" s="1136"/>
      <c r="BH893" s="1136"/>
      <c r="BI893" s="1136"/>
      <c r="BJ893" s="1136"/>
      <c r="BK893" s="1136"/>
      <c r="BL893" s="1136"/>
      <c r="BM893" s="1136"/>
      <c r="BN893" s="1136"/>
      <c r="BO893" s="1136"/>
      <c r="BP893" s="1136"/>
      <c r="BQ893" s="1136"/>
      <c r="BR893" s="1136"/>
      <c r="BS893" s="1136"/>
      <c r="BT893" s="1136"/>
      <c r="BU893" s="1136"/>
      <c r="BV893" s="1136"/>
      <c r="BW893" s="1136"/>
      <c r="BX893" s="1136"/>
      <c r="BY893" s="1136"/>
      <c r="BZ893" s="1136"/>
      <c r="CA893" s="1136"/>
      <c r="CB893" s="1136"/>
      <c r="CC893" s="1136"/>
      <c r="CD893" s="1136"/>
      <c r="CE893" s="1136"/>
      <c r="CF893" s="1136"/>
      <c r="CG893" s="1136"/>
      <c r="CH893" s="1136"/>
      <c r="CI893" s="1136"/>
      <c r="CJ893" s="1136"/>
      <c r="CK893" s="1136"/>
      <c r="CL893" s="1136"/>
      <c r="CM893" s="1136"/>
      <c r="CN893" s="1136"/>
      <c r="CO893" s="1136"/>
      <c r="CP893" s="1136"/>
      <c r="CQ893" s="1136"/>
      <c r="CR893" s="1136"/>
      <c r="CS893" s="1136"/>
      <c r="CT893" s="1136"/>
      <c r="CU893" s="1136"/>
      <c r="CV893" s="1136"/>
      <c r="CW893" s="1136"/>
      <c r="CX893" s="1136"/>
      <c r="CY893" s="1136"/>
      <c r="CZ893" s="1136"/>
      <c r="DA893" s="1136"/>
      <c r="DB893" s="1136"/>
      <c r="DC893" s="1136"/>
      <c r="DD893" s="1136"/>
      <c r="DE893" s="1136"/>
      <c r="DF893" s="1136"/>
      <c r="DG893" s="1136"/>
      <c r="DH893" s="1136"/>
      <c r="DI893" s="1136"/>
    </row>
    <row r="894" spans="1:113" ht="15.75" x14ac:dyDescent="0.25">
      <c r="A894" s="1420" t="s">
        <v>425</v>
      </c>
      <c r="B894" s="1424" t="e">
        <f>INDEX($U$1475:$X$1484,B895,B896)</f>
        <v>#VALUE!</v>
      </c>
      <c r="C894" s="1606"/>
      <c r="D894" s="1521"/>
      <c r="E894" s="1521"/>
      <c r="F894" s="1521"/>
      <c r="G894" s="1521"/>
      <c r="H894" s="1531"/>
      <c r="I894" s="1531"/>
      <c r="J894" s="1531"/>
      <c r="K894" s="1531"/>
      <c r="L894" s="1531"/>
      <c r="M894" s="1531"/>
      <c r="N894" s="1531"/>
      <c r="O894" s="1531"/>
      <c r="P894" s="1531"/>
      <c r="Q894" s="1531"/>
      <c r="R894" s="1531"/>
      <c r="S894" s="1531"/>
      <c r="T894" s="1531"/>
      <c r="U894" s="1531"/>
      <c r="V894" s="1531"/>
      <c r="W894" s="1531"/>
      <c r="X894" s="1531"/>
      <c r="Y894" s="1531"/>
      <c r="Z894" s="1531"/>
      <c r="AA894" s="1531"/>
      <c r="AB894" s="1531"/>
      <c r="AC894" s="1531"/>
      <c r="AD894" s="1531"/>
      <c r="AE894" s="1531"/>
      <c r="AF894" s="1531"/>
      <c r="AG894" s="1531"/>
      <c r="AH894" s="1531"/>
      <c r="AI894" s="1531"/>
      <c r="AJ894" s="1531"/>
      <c r="AK894" s="1531"/>
      <c r="AL894" s="1531"/>
      <c r="AM894" s="1531"/>
      <c r="AN894" s="1531"/>
      <c r="AO894" s="1531"/>
      <c r="AP894" s="1531"/>
      <c r="AQ894" s="1531"/>
      <c r="AR894" s="1531"/>
      <c r="AS894" s="1531"/>
      <c r="AT894" s="1136"/>
      <c r="AU894" s="1136"/>
      <c r="AV894" s="1136"/>
      <c r="AW894" s="1136"/>
      <c r="AX894" s="1136"/>
      <c r="AY894" s="1136"/>
      <c r="AZ894" s="1136"/>
      <c r="BA894" s="1136"/>
      <c r="BB894" s="1136"/>
      <c r="BC894" s="1136"/>
      <c r="BD894" s="1136"/>
      <c r="BE894" s="1136"/>
      <c r="BF894" s="1136"/>
      <c r="BG894" s="1136"/>
      <c r="BH894" s="1136"/>
      <c r="BI894" s="1136"/>
      <c r="BJ894" s="1136"/>
      <c r="BK894" s="1136"/>
      <c r="BL894" s="1136"/>
      <c r="BM894" s="1136"/>
      <c r="BN894" s="1136"/>
      <c r="BO894" s="1136"/>
      <c r="BP894" s="1136"/>
      <c r="BQ894" s="1136"/>
      <c r="BR894" s="1136"/>
      <c r="BS894" s="1136"/>
      <c r="BT894" s="1136"/>
      <c r="BU894" s="1136"/>
      <c r="BV894" s="1136"/>
      <c r="BW894" s="1136"/>
      <c r="BX894" s="1136"/>
      <c r="BY894" s="1136"/>
      <c r="BZ894" s="1136"/>
      <c r="CA894" s="1136"/>
      <c r="CB894" s="1136"/>
      <c r="CC894" s="1136"/>
      <c r="CD894" s="1136"/>
      <c r="CE894" s="1136"/>
      <c r="CF894" s="1136"/>
      <c r="CG894" s="1136"/>
      <c r="CH894" s="1136"/>
      <c r="CI894" s="1136"/>
      <c r="CJ894" s="1136"/>
      <c r="CK894" s="1136"/>
      <c r="CL894" s="1136"/>
      <c r="CM894" s="1136"/>
      <c r="CN894" s="1136"/>
      <c r="CO894" s="1136"/>
      <c r="CP894" s="1136"/>
      <c r="CQ894" s="1136"/>
      <c r="CR894" s="1136"/>
      <c r="CS894" s="1136"/>
      <c r="CT894" s="1136"/>
      <c r="CU894" s="1136"/>
      <c r="CV894" s="1136"/>
      <c r="CW894" s="1136"/>
      <c r="CX894" s="1136"/>
      <c r="CY894" s="1136"/>
      <c r="CZ894" s="1136"/>
      <c r="DA894" s="1136"/>
      <c r="DB894" s="1136"/>
      <c r="DC894" s="1136"/>
      <c r="DD894" s="1136"/>
      <c r="DE894" s="1136"/>
      <c r="DF894" s="1136"/>
      <c r="DG894" s="1136"/>
      <c r="DH894" s="1136"/>
      <c r="DI894" s="1136"/>
    </row>
    <row r="895" spans="1:113" ht="15.75" x14ac:dyDescent="0.25">
      <c r="A895" s="1420" t="s">
        <v>426</v>
      </c>
      <c r="B895" s="1441" t="e">
        <f>B878</f>
        <v>#VALUE!</v>
      </c>
      <c r="C895" s="1596"/>
      <c r="D895" s="1617"/>
      <c r="E895" s="1617"/>
      <c r="F895" s="1617"/>
      <c r="G895" s="1617"/>
      <c r="H895" s="1531"/>
      <c r="I895" s="1531"/>
      <c r="J895" s="1531"/>
      <c r="K895" s="1531"/>
      <c r="L895" s="1531"/>
      <c r="M895" s="1531"/>
      <c r="N895" s="1531"/>
      <c r="O895" s="1531"/>
      <c r="P895" s="1531"/>
      <c r="Q895" s="1531"/>
      <c r="R895" s="1531"/>
      <c r="S895" s="1531"/>
      <c r="T895" s="1531"/>
      <c r="U895" s="1531"/>
      <c r="V895" s="1531"/>
      <c r="W895" s="1531"/>
      <c r="X895" s="1531"/>
      <c r="Y895" s="1531"/>
      <c r="Z895" s="1531"/>
      <c r="AA895" s="1531"/>
      <c r="AB895" s="1531"/>
      <c r="AC895" s="1531"/>
      <c r="AD895" s="1531"/>
      <c r="AE895" s="1531"/>
      <c r="AF895" s="1531"/>
      <c r="AG895" s="1531"/>
      <c r="AH895" s="1531"/>
      <c r="AI895" s="1531"/>
      <c r="AJ895" s="1531"/>
      <c r="AK895" s="1531"/>
      <c r="AL895" s="1531"/>
      <c r="AM895" s="1531"/>
      <c r="AN895" s="1531"/>
      <c r="AO895" s="1531"/>
      <c r="AP895" s="1531"/>
      <c r="AQ895" s="1531"/>
      <c r="AR895" s="1531"/>
      <c r="AS895" s="1531"/>
      <c r="AT895" s="1136"/>
      <c r="AU895" s="1136"/>
      <c r="AV895" s="1136"/>
      <c r="AW895" s="1136"/>
      <c r="AX895" s="1136"/>
      <c r="AY895" s="1136"/>
      <c r="AZ895" s="1136"/>
      <c r="BA895" s="1136"/>
      <c r="BB895" s="1136"/>
      <c r="BC895" s="1136"/>
      <c r="BD895" s="1136"/>
      <c r="BE895" s="1136"/>
      <c r="BF895" s="1136"/>
      <c r="BG895" s="1136"/>
      <c r="BH895" s="1136"/>
      <c r="BI895" s="1136"/>
      <c r="BJ895" s="1136"/>
      <c r="BK895" s="1136"/>
      <c r="BL895" s="1136"/>
      <c r="BM895" s="1136"/>
      <c r="BN895" s="1136"/>
      <c r="BO895" s="1136"/>
      <c r="BP895" s="1136"/>
      <c r="BQ895" s="1136"/>
      <c r="BR895" s="1136"/>
      <c r="BS895" s="1136"/>
      <c r="BT895" s="1136"/>
      <c r="BU895" s="1136"/>
      <c r="BV895" s="1136"/>
      <c r="BW895" s="1136"/>
      <c r="BX895" s="1136"/>
      <c r="BY895" s="1136"/>
      <c r="BZ895" s="1136"/>
      <c r="CA895" s="1136"/>
      <c r="CB895" s="1136"/>
      <c r="CC895" s="1136"/>
      <c r="CD895" s="1136"/>
      <c r="CE895" s="1136"/>
      <c r="CF895" s="1136"/>
      <c r="CG895" s="1136"/>
      <c r="CH895" s="1136"/>
      <c r="CI895" s="1136"/>
      <c r="CJ895" s="1136"/>
      <c r="CK895" s="1136"/>
      <c r="CL895" s="1136"/>
      <c r="CM895" s="1136"/>
      <c r="CN895" s="1136"/>
      <c r="CO895" s="1136"/>
      <c r="CP895" s="1136"/>
      <c r="CQ895" s="1136"/>
      <c r="CR895" s="1136"/>
      <c r="CS895" s="1136"/>
      <c r="CT895" s="1136"/>
      <c r="CU895" s="1136"/>
      <c r="CV895" s="1136"/>
      <c r="CW895" s="1136"/>
      <c r="CX895" s="1136"/>
      <c r="CY895" s="1136"/>
      <c r="CZ895" s="1136"/>
      <c r="DA895" s="1136"/>
      <c r="DB895" s="1136"/>
      <c r="DC895" s="1136"/>
      <c r="DD895" s="1136"/>
      <c r="DE895" s="1136"/>
      <c r="DF895" s="1136"/>
      <c r="DG895" s="1136"/>
      <c r="DH895" s="1136"/>
      <c r="DI895" s="1136"/>
    </row>
    <row r="896" spans="1:113" ht="15.75" x14ac:dyDescent="0.25">
      <c r="A896" s="1420" t="s">
        <v>427</v>
      </c>
      <c r="B896" s="1415">
        <v>1</v>
      </c>
      <c r="C896" s="1531"/>
      <c r="D896" s="1521"/>
      <c r="E896" s="1521"/>
      <c r="F896" s="1521"/>
      <c r="G896" s="1521"/>
      <c r="H896" s="1531"/>
      <c r="I896" s="1531"/>
      <c r="J896" s="1531"/>
      <c r="K896" s="1531"/>
      <c r="L896" s="1531"/>
      <c r="M896" s="1531"/>
      <c r="N896" s="1531"/>
      <c r="O896" s="1531"/>
      <c r="P896" s="1531"/>
      <c r="Q896" s="1531"/>
      <c r="R896" s="1531"/>
      <c r="S896" s="1531"/>
      <c r="T896" s="1531"/>
      <c r="U896" s="1531"/>
      <c r="V896" s="1531"/>
      <c r="W896" s="1531"/>
      <c r="X896" s="1531"/>
      <c r="Y896" s="1531"/>
      <c r="Z896" s="1531"/>
      <c r="AA896" s="1531"/>
      <c r="AB896" s="1531"/>
      <c r="AC896" s="1531"/>
      <c r="AD896" s="1531"/>
      <c r="AE896" s="1531"/>
      <c r="AF896" s="1531"/>
      <c r="AG896" s="1531"/>
      <c r="AH896" s="1531"/>
      <c r="AI896" s="1531"/>
      <c r="AJ896" s="1531"/>
      <c r="AK896" s="1531"/>
      <c r="AL896" s="1531"/>
      <c r="AM896" s="1531"/>
      <c r="AN896" s="1531"/>
      <c r="AO896" s="1531"/>
      <c r="AP896" s="1531"/>
      <c r="AQ896" s="1531"/>
      <c r="AR896" s="1531"/>
      <c r="AS896" s="1531"/>
      <c r="AT896" s="1136"/>
      <c r="AU896" s="1136"/>
      <c r="AV896" s="1136"/>
      <c r="AW896" s="1136"/>
      <c r="AX896" s="1136"/>
      <c r="AY896" s="1136"/>
      <c r="AZ896" s="1136"/>
      <c r="BA896" s="1136"/>
      <c r="BB896" s="1136"/>
      <c r="BC896" s="1136"/>
      <c r="BD896" s="1136"/>
      <c r="BE896" s="1136"/>
      <c r="BF896" s="1136"/>
      <c r="BG896" s="1136"/>
      <c r="BH896" s="1136"/>
      <c r="BI896" s="1136"/>
      <c r="BJ896" s="1136"/>
      <c r="BK896" s="1136"/>
      <c r="BL896" s="1136"/>
      <c r="BM896" s="1136"/>
      <c r="BN896" s="1136"/>
      <c r="BO896" s="1136"/>
      <c r="BP896" s="1136"/>
      <c r="BQ896" s="1136"/>
      <c r="BR896" s="1136"/>
      <c r="BS896" s="1136"/>
      <c r="BT896" s="1136"/>
      <c r="BU896" s="1136"/>
      <c r="BV896" s="1136"/>
      <c r="BW896" s="1136"/>
      <c r="BX896" s="1136"/>
      <c r="BY896" s="1136"/>
      <c r="BZ896" s="1136"/>
      <c r="CA896" s="1136"/>
      <c r="CB896" s="1136"/>
      <c r="CC896" s="1136"/>
      <c r="CD896" s="1136"/>
      <c r="CE896" s="1136"/>
      <c r="CF896" s="1136"/>
      <c r="CG896" s="1136"/>
      <c r="CH896" s="1136"/>
      <c r="CI896" s="1136"/>
      <c r="CJ896" s="1136"/>
      <c r="CK896" s="1136"/>
      <c r="CL896" s="1136"/>
      <c r="CM896" s="1136"/>
      <c r="CN896" s="1136"/>
      <c r="CO896" s="1136"/>
      <c r="CP896" s="1136"/>
      <c r="CQ896" s="1136"/>
      <c r="CR896" s="1136"/>
      <c r="CS896" s="1136"/>
      <c r="CT896" s="1136"/>
      <c r="CU896" s="1136"/>
      <c r="CV896" s="1136"/>
      <c r="CW896" s="1136"/>
      <c r="CX896" s="1136"/>
      <c r="CY896" s="1136"/>
      <c r="CZ896" s="1136"/>
      <c r="DA896" s="1136"/>
      <c r="DB896" s="1136"/>
      <c r="DC896" s="1136"/>
      <c r="DD896" s="1136"/>
      <c r="DE896" s="1136"/>
      <c r="DF896" s="1136"/>
      <c r="DG896" s="1136"/>
      <c r="DH896" s="1136"/>
      <c r="DI896" s="1136"/>
    </row>
    <row r="897" spans="1:113" ht="15.75" x14ac:dyDescent="0.25">
      <c r="A897" s="1420" t="s">
        <v>1322</v>
      </c>
      <c r="B897" s="1439"/>
      <c r="C897" s="1562"/>
      <c r="D897" s="1562"/>
      <c r="E897" s="1562"/>
      <c r="F897" s="1562"/>
      <c r="G897" s="1562"/>
      <c r="H897" s="1531"/>
      <c r="I897" s="1531"/>
      <c r="J897" s="1531"/>
      <c r="K897" s="1531"/>
      <c r="L897" s="1531"/>
      <c r="M897" s="1531"/>
      <c r="N897" s="1531"/>
      <c r="O897" s="1531"/>
      <c r="P897" s="1531"/>
      <c r="Q897" s="1531"/>
      <c r="R897" s="1531"/>
      <c r="S897" s="1531"/>
      <c r="T897" s="1531"/>
      <c r="U897" s="1531"/>
      <c r="V897" s="1531"/>
      <c r="W897" s="1531"/>
      <c r="X897" s="1531"/>
      <c r="Y897" s="1531"/>
      <c r="Z897" s="1531"/>
      <c r="AA897" s="1531"/>
      <c r="AB897" s="1531"/>
      <c r="AC897" s="1531"/>
      <c r="AD897" s="1531"/>
      <c r="AE897" s="1531"/>
      <c r="AF897" s="1531"/>
      <c r="AG897" s="1531"/>
      <c r="AH897" s="1531"/>
      <c r="AI897" s="1531"/>
      <c r="AJ897" s="1531"/>
      <c r="AK897" s="1531"/>
      <c r="AL897" s="1531"/>
      <c r="AM897" s="1531"/>
      <c r="AN897" s="1531"/>
      <c r="AO897" s="1531"/>
      <c r="AP897" s="1531"/>
      <c r="AQ897" s="1531"/>
      <c r="AR897" s="1531"/>
      <c r="AS897" s="1531"/>
      <c r="AT897" s="1136"/>
      <c r="AU897" s="1136"/>
      <c r="AV897" s="1136"/>
      <c r="AW897" s="1136"/>
      <c r="AX897" s="1136"/>
      <c r="AY897" s="1136"/>
      <c r="AZ897" s="1136"/>
      <c r="BA897" s="1136"/>
      <c r="BB897" s="1136"/>
      <c r="BC897" s="1136"/>
      <c r="BD897" s="1136"/>
      <c r="BE897" s="1136"/>
      <c r="BF897" s="1136"/>
      <c r="BG897" s="1136"/>
      <c r="BH897" s="1136"/>
      <c r="BI897" s="1136"/>
      <c r="BJ897" s="1136"/>
      <c r="BK897" s="1136"/>
      <c r="BL897" s="1136"/>
      <c r="BM897" s="1136"/>
      <c r="BN897" s="1136"/>
      <c r="BO897" s="1136"/>
      <c r="BP897" s="1136"/>
      <c r="BQ897" s="1136"/>
      <c r="BR897" s="1136"/>
      <c r="BS897" s="1136"/>
      <c r="BT897" s="1136"/>
      <c r="BU897" s="1136"/>
      <c r="BV897" s="1136"/>
      <c r="BW897" s="1136"/>
      <c r="BX897" s="1136"/>
      <c r="BY897" s="1136"/>
      <c r="BZ897" s="1136"/>
      <c r="CA897" s="1136"/>
      <c r="CB897" s="1136"/>
      <c r="CC897" s="1136"/>
      <c r="CD897" s="1136"/>
      <c r="CE897" s="1136"/>
      <c r="CF897" s="1136"/>
      <c r="CG897" s="1136"/>
      <c r="CH897" s="1136"/>
      <c r="CI897" s="1136"/>
      <c r="CJ897" s="1136"/>
      <c r="CK897" s="1136"/>
      <c r="CL897" s="1136"/>
      <c r="CM897" s="1136"/>
      <c r="CN897" s="1136"/>
      <c r="CO897" s="1136"/>
      <c r="CP897" s="1136"/>
      <c r="CQ897" s="1136"/>
      <c r="CR897" s="1136"/>
      <c r="CS897" s="1136"/>
      <c r="CT897" s="1136"/>
      <c r="CU897" s="1136"/>
      <c r="CV897" s="1136"/>
      <c r="CW897" s="1136"/>
      <c r="CX897" s="1136"/>
      <c r="CY897" s="1136"/>
      <c r="CZ897" s="1136"/>
      <c r="DA897" s="1136"/>
      <c r="DB897" s="1136"/>
      <c r="DC897" s="1136"/>
      <c r="DD897" s="1136"/>
      <c r="DE897" s="1136"/>
      <c r="DF897" s="1136"/>
      <c r="DG897" s="1136"/>
      <c r="DH897" s="1136"/>
      <c r="DI897" s="1136"/>
    </row>
    <row r="898" spans="1:113" ht="15.75" x14ac:dyDescent="0.25">
      <c r="A898" s="1420" t="s">
        <v>391</v>
      </c>
      <c r="B898" s="1443">
        <f>B884</f>
        <v>1.1499999999999999</v>
      </c>
      <c r="C898" s="1521"/>
      <c r="D898" s="1531"/>
      <c r="E898" s="1531"/>
      <c r="F898" s="1531"/>
      <c r="G898" s="1531"/>
      <c r="H898" s="1531"/>
      <c r="I898" s="1531"/>
      <c r="J898" s="1531"/>
      <c r="K898" s="1531"/>
      <c r="L898" s="1531"/>
      <c r="M898" s="1531"/>
      <c r="N898" s="1531"/>
      <c r="O898" s="1531"/>
      <c r="P898" s="1531"/>
      <c r="Q898" s="1531"/>
      <c r="R898" s="1531"/>
      <c r="S898" s="1531"/>
      <c r="T898" s="1531"/>
      <c r="U898" s="1531"/>
      <c r="V898" s="1531"/>
      <c r="W898" s="1531"/>
      <c r="X898" s="1531"/>
      <c r="Y898" s="1531"/>
      <c r="Z898" s="1531"/>
      <c r="AA898" s="1531"/>
      <c r="AB898" s="1531"/>
      <c r="AC898" s="1531"/>
      <c r="AD898" s="1531"/>
      <c r="AE898" s="1531"/>
      <c r="AF898" s="1531"/>
      <c r="AG898" s="1531"/>
      <c r="AH898" s="1531"/>
      <c r="AI898" s="1531"/>
      <c r="AJ898" s="1531"/>
      <c r="AK898" s="1531"/>
      <c r="AL898" s="1531"/>
      <c r="AM898" s="1531"/>
      <c r="AN898" s="1531"/>
      <c r="AO898" s="1531"/>
      <c r="AP898" s="1531"/>
      <c r="AQ898" s="1531"/>
      <c r="AR898" s="1531"/>
      <c r="AS898" s="1531"/>
      <c r="AT898" s="1136"/>
      <c r="AU898" s="1136"/>
      <c r="AV898" s="1136"/>
      <c r="AW898" s="1136"/>
      <c r="AX898" s="1136"/>
      <c r="AY898" s="1136"/>
      <c r="AZ898" s="1136"/>
      <c r="BA898" s="1136"/>
      <c r="BB898" s="1136"/>
      <c r="BC898" s="1136"/>
      <c r="BD898" s="1136"/>
      <c r="BE898" s="1136"/>
      <c r="BF898" s="1136"/>
      <c r="BG898" s="1136"/>
      <c r="BH898" s="1136"/>
      <c r="BI898" s="1136"/>
      <c r="BJ898" s="1136"/>
      <c r="BK898" s="1136"/>
      <c r="BL898" s="1136"/>
      <c r="BM898" s="1136"/>
      <c r="BN898" s="1136"/>
      <c r="BO898" s="1136"/>
      <c r="BP898" s="1136"/>
      <c r="BQ898" s="1136"/>
      <c r="BR898" s="1136"/>
      <c r="BS898" s="1136"/>
      <c r="BT898" s="1136"/>
      <c r="BU898" s="1136"/>
      <c r="BV898" s="1136"/>
      <c r="BW898" s="1136"/>
      <c r="BX898" s="1136"/>
      <c r="BY898" s="1136"/>
      <c r="BZ898" s="1136"/>
      <c r="CA898" s="1136"/>
      <c r="CB898" s="1136"/>
      <c r="CC898" s="1136"/>
      <c r="CD898" s="1136"/>
      <c r="CE898" s="1136"/>
      <c r="CF898" s="1136"/>
      <c r="CG898" s="1136"/>
      <c r="CH898" s="1136"/>
      <c r="CI898" s="1136"/>
      <c r="CJ898" s="1136"/>
      <c r="CK898" s="1136"/>
      <c r="CL898" s="1136"/>
      <c r="CM898" s="1136"/>
      <c r="CN898" s="1136"/>
      <c r="CO898" s="1136"/>
      <c r="CP898" s="1136"/>
      <c r="CQ898" s="1136"/>
      <c r="CR898" s="1136"/>
      <c r="CS898" s="1136"/>
      <c r="CT898" s="1136"/>
      <c r="CU898" s="1136"/>
      <c r="CV898" s="1136"/>
      <c r="CW898" s="1136"/>
      <c r="CX898" s="1136"/>
      <c r="CY898" s="1136"/>
      <c r="CZ898" s="1136"/>
      <c r="DA898" s="1136"/>
      <c r="DB898" s="1136"/>
      <c r="DC898" s="1136"/>
      <c r="DD898" s="1136"/>
      <c r="DE898" s="1136"/>
      <c r="DF898" s="1136"/>
      <c r="DG898" s="1136"/>
      <c r="DH898" s="1136"/>
      <c r="DI898" s="1136"/>
    </row>
    <row r="899" spans="1:113" ht="15.75" x14ac:dyDescent="0.25">
      <c r="A899" s="1422" t="s">
        <v>392</v>
      </c>
      <c r="B899" s="1443">
        <f>B885</f>
        <v>0.8</v>
      </c>
      <c r="C899" s="1521"/>
      <c r="D899" s="1531"/>
      <c r="E899" s="1531"/>
      <c r="F899" s="1531"/>
      <c r="G899" s="1531"/>
      <c r="H899" s="1531"/>
      <c r="I899" s="1531"/>
      <c r="J899" s="1531"/>
      <c r="K899" s="1531"/>
      <c r="L899" s="1531"/>
      <c r="M899" s="1531"/>
      <c r="N899" s="1531"/>
      <c r="O899" s="1531"/>
      <c r="P899" s="1531"/>
      <c r="Q899" s="1531"/>
      <c r="R899" s="1531"/>
      <c r="S899" s="1531"/>
      <c r="T899" s="1531"/>
      <c r="U899" s="1531"/>
      <c r="V899" s="1531"/>
      <c r="W899" s="1531"/>
      <c r="X899" s="1531"/>
      <c r="Y899" s="1531"/>
      <c r="Z899" s="1531"/>
      <c r="AA899" s="1531"/>
      <c r="AB899" s="1531"/>
      <c r="AC899" s="1531"/>
      <c r="AD899" s="1531"/>
      <c r="AE899" s="1531"/>
      <c r="AF899" s="1531"/>
      <c r="AG899" s="1531"/>
      <c r="AH899" s="1531"/>
      <c r="AI899" s="1531"/>
      <c r="AJ899" s="1531"/>
      <c r="AK899" s="1531"/>
      <c r="AL899" s="1531"/>
      <c r="AM899" s="1531"/>
      <c r="AN899" s="1531"/>
      <c r="AO899" s="1531"/>
      <c r="AP899" s="1531"/>
      <c r="AQ899" s="1531"/>
      <c r="AR899" s="1531"/>
      <c r="AS899" s="1531"/>
      <c r="AT899" s="1136"/>
      <c r="AU899" s="1136"/>
      <c r="AV899" s="1136"/>
      <c r="AW899" s="1136"/>
      <c r="AX899" s="1136"/>
      <c r="AY899" s="1136"/>
      <c r="AZ899" s="1136"/>
      <c r="BA899" s="1136"/>
      <c r="BB899" s="1136"/>
      <c r="BC899" s="1136"/>
      <c r="BD899" s="1136"/>
      <c r="BE899" s="1136"/>
      <c r="BF899" s="1136"/>
      <c r="BG899" s="1136"/>
      <c r="BH899" s="1136"/>
      <c r="BI899" s="1136"/>
      <c r="BJ899" s="1136"/>
      <c r="BK899" s="1136"/>
      <c r="BL899" s="1136"/>
      <c r="BM899" s="1136"/>
      <c r="BN899" s="1136"/>
      <c r="BO899" s="1136"/>
      <c r="BP899" s="1136"/>
      <c r="BQ899" s="1136"/>
      <c r="BR899" s="1136"/>
      <c r="BS899" s="1136"/>
      <c r="BT899" s="1136"/>
      <c r="BU899" s="1136"/>
      <c r="BV899" s="1136"/>
      <c r="BW899" s="1136"/>
      <c r="BX899" s="1136"/>
      <c r="BY899" s="1136"/>
      <c r="BZ899" s="1136"/>
      <c r="CA899" s="1136"/>
      <c r="CB899" s="1136"/>
      <c r="CC899" s="1136"/>
      <c r="CD899" s="1136"/>
      <c r="CE899" s="1136"/>
      <c r="CF899" s="1136"/>
      <c r="CG899" s="1136"/>
      <c r="CH899" s="1136"/>
      <c r="CI899" s="1136"/>
      <c r="CJ899" s="1136"/>
      <c r="CK899" s="1136"/>
      <c r="CL899" s="1136"/>
      <c r="CM899" s="1136"/>
      <c r="CN899" s="1136"/>
      <c r="CO899" s="1136"/>
      <c r="CP899" s="1136"/>
      <c r="CQ899" s="1136"/>
      <c r="CR899" s="1136"/>
      <c r="CS899" s="1136"/>
      <c r="CT899" s="1136"/>
      <c r="CU899" s="1136"/>
      <c r="CV899" s="1136"/>
      <c r="CW899" s="1136"/>
      <c r="CX899" s="1136"/>
      <c r="CY899" s="1136"/>
      <c r="CZ899" s="1136"/>
      <c r="DA899" s="1136"/>
      <c r="DB899" s="1136"/>
      <c r="DC899" s="1136"/>
      <c r="DD899" s="1136"/>
      <c r="DE899" s="1136"/>
      <c r="DF899" s="1136"/>
      <c r="DG899" s="1136"/>
      <c r="DH899" s="1136"/>
      <c r="DI899" s="1136"/>
    </row>
    <row r="900" spans="1:113" ht="15.75" x14ac:dyDescent="0.25">
      <c r="A900" s="1422" t="s">
        <v>2976</v>
      </c>
      <c r="B900" s="1450">
        <v>0.7</v>
      </c>
      <c r="C900" s="1617"/>
      <c r="D900" s="1606"/>
      <c r="E900" s="1606"/>
      <c r="F900" s="1606"/>
      <c r="G900" s="1606"/>
      <c r="H900" s="1531"/>
      <c r="I900" s="1531"/>
      <c r="J900" s="1531"/>
      <c r="K900" s="1531"/>
      <c r="L900" s="1531"/>
      <c r="M900" s="1531"/>
      <c r="N900" s="1531"/>
      <c r="O900" s="1531"/>
      <c r="P900" s="1531"/>
      <c r="Q900" s="1531"/>
      <c r="R900" s="1531"/>
      <c r="S900" s="1531"/>
      <c r="T900" s="1531"/>
      <c r="U900" s="1531"/>
      <c r="V900" s="1531"/>
      <c r="W900" s="1531"/>
      <c r="X900" s="1531"/>
      <c r="Y900" s="1531"/>
      <c r="Z900" s="1531"/>
      <c r="AA900" s="1531"/>
      <c r="AB900" s="1531"/>
      <c r="AC900" s="1531"/>
      <c r="AD900" s="1531"/>
      <c r="AE900" s="1531"/>
      <c r="AF900" s="1531"/>
      <c r="AG900" s="1531"/>
      <c r="AH900" s="1531"/>
      <c r="AI900" s="1531"/>
      <c r="AJ900" s="1531"/>
      <c r="AK900" s="1531"/>
      <c r="AL900" s="1531"/>
      <c r="AM900" s="1531"/>
      <c r="AN900" s="1531"/>
      <c r="AO900" s="1531"/>
      <c r="AP900" s="1531"/>
      <c r="AQ900" s="1531"/>
      <c r="AR900" s="1531"/>
      <c r="AS900" s="1531"/>
      <c r="AT900" s="1136"/>
      <c r="AU900" s="1136"/>
      <c r="AV900" s="1136"/>
      <c r="AW900" s="1136"/>
      <c r="AX900" s="1136"/>
      <c r="AY900" s="1136"/>
      <c r="AZ900" s="1136"/>
      <c r="BA900" s="1136"/>
      <c r="BB900" s="1136"/>
      <c r="BC900" s="1136"/>
      <c r="BD900" s="1136"/>
      <c r="BE900" s="1136"/>
      <c r="BF900" s="1136"/>
      <c r="BG900" s="1136"/>
      <c r="BH900" s="1136"/>
      <c r="BI900" s="1136"/>
      <c r="BJ900" s="1136"/>
      <c r="BK900" s="1136"/>
      <c r="BL900" s="1136"/>
      <c r="BM900" s="1136"/>
      <c r="BN900" s="1136"/>
      <c r="BO900" s="1136"/>
      <c r="BP900" s="1136"/>
      <c r="BQ900" s="1136"/>
      <c r="BR900" s="1136"/>
      <c r="BS900" s="1136"/>
      <c r="BT900" s="1136"/>
      <c r="BU900" s="1136"/>
      <c r="BV900" s="1136"/>
      <c r="BW900" s="1136"/>
      <c r="BX900" s="1136"/>
      <c r="BY900" s="1136"/>
      <c r="BZ900" s="1136"/>
      <c r="CA900" s="1136"/>
      <c r="CB900" s="1136"/>
      <c r="CC900" s="1136"/>
      <c r="CD900" s="1136"/>
      <c r="CE900" s="1136"/>
      <c r="CF900" s="1136"/>
      <c r="CG900" s="1136"/>
      <c r="CH900" s="1136"/>
      <c r="CI900" s="1136"/>
      <c r="CJ900" s="1136"/>
      <c r="CK900" s="1136"/>
      <c r="CL900" s="1136"/>
      <c r="CM900" s="1136"/>
      <c r="CN900" s="1136"/>
      <c r="CO900" s="1136"/>
      <c r="CP900" s="1136"/>
      <c r="CQ900" s="1136"/>
      <c r="CR900" s="1136"/>
      <c r="CS900" s="1136"/>
      <c r="CT900" s="1136"/>
      <c r="CU900" s="1136"/>
      <c r="CV900" s="1136"/>
      <c r="CW900" s="1136"/>
      <c r="CX900" s="1136"/>
      <c r="CY900" s="1136"/>
      <c r="CZ900" s="1136"/>
      <c r="DA900" s="1136"/>
      <c r="DB900" s="1136"/>
      <c r="DC900" s="1136"/>
      <c r="DD900" s="1136"/>
      <c r="DE900" s="1136"/>
      <c r="DF900" s="1136"/>
      <c r="DG900" s="1136"/>
      <c r="DH900" s="1136"/>
      <c r="DI900" s="1136"/>
    </row>
    <row r="901" spans="1:113" ht="15.75" x14ac:dyDescent="0.25">
      <c r="A901" s="1420" t="s">
        <v>3412</v>
      </c>
      <c r="B901" s="1443" t="e">
        <f>B894*B898*B899*B900*B341</f>
        <v>#VALUE!</v>
      </c>
      <c r="C901" s="1521"/>
      <c r="D901" s="1606"/>
      <c r="E901" s="1606"/>
      <c r="F901" s="1606"/>
      <c r="G901" s="1606"/>
      <c r="H901" s="1531"/>
      <c r="I901" s="1531"/>
      <c r="J901" s="1531"/>
      <c r="K901" s="1531"/>
      <c r="L901" s="1531"/>
      <c r="M901" s="1531"/>
      <c r="N901" s="1531"/>
      <c r="O901" s="1531"/>
      <c r="P901" s="1531"/>
      <c r="Q901" s="1531"/>
      <c r="R901" s="1531"/>
      <c r="S901" s="1531"/>
      <c r="T901" s="1531"/>
      <c r="U901" s="1531"/>
      <c r="V901" s="1531"/>
      <c r="W901" s="1531"/>
      <c r="X901" s="1531"/>
      <c r="Y901" s="1531"/>
      <c r="Z901" s="1531"/>
      <c r="AA901" s="1531"/>
      <c r="AB901" s="1531"/>
      <c r="AC901" s="1531"/>
      <c r="AD901" s="1531"/>
      <c r="AE901" s="1531"/>
      <c r="AF901" s="1531"/>
      <c r="AG901" s="1531"/>
      <c r="AH901" s="1531"/>
      <c r="AI901" s="1531"/>
      <c r="AJ901" s="1531"/>
      <c r="AK901" s="1531"/>
      <c r="AL901" s="1531"/>
      <c r="AM901" s="1531"/>
      <c r="AN901" s="1531"/>
      <c r="AO901" s="1531"/>
      <c r="AP901" s="1531"/>
      <c r="AQ901" s="1531"/>
      <c r="AR901" s="1531"/>
      <c r="AS901" s="1531"/>
      <c r="AT901" s="1136"/>
      <c r="AU901" s="1136"/>
      <c r="AV901" s="1136"/>
      <c r="AW901" s="1136"/>
      <c r="AX901" s="1136"/>
      <c r="AY901" s="1136"/>
      <c r="AZ901" s="1136"/>
      <c r="BA901" s="1136"/>
      <c r="BB901" s="1136"/>
      <c r="BC901" s="1136"/>
      <c r="BD901" s="1136"/>
      <c r="BE901" s="1136"/>
      <c r="BF901" s="1136"/>
      <c r="BG901" s="1136"/>
      <c r="BH901" s="1136"/>
      <c r="BI901" s="1136"/>
      <c r="BJ901" s="1136"/>
      <c r="BK901" s="1136"/>
      <c r="BL901" s="1136"/>
      <c r="BM901" s="1136"/>
      <c r="BN901" s="1136"/>
      <c r="BO901" s="1136"/>
      <c r="BP901" s="1136"/>
      <c r="BQ901" s="1136"/>
      <c r="BR901" s="1136"/>
      <c r="BS901" s="1136"/>
      <c r="BT901" s="1136"/>
      <c r="BU901" s="1136"/>
      <c r="BV901" s="1136"/>
      <c r="BW901" s="1136"/>
      <c r="BX901" s="1136"/>
      <c r="BY901" s="1136"/>
      <c r="BZ901" s="1136"/>
      <c r="CA901" s="1136"/>
      <c r="CB901" s="1136"/>
      <c r="CC901" s="1136"/>
      <c r="CD901" s="1136"/>
      <c r="CE901" s="1136"/>
      <c r="CF901" s="1136"/>
      <c r="CG901" s="1136"/>
      <c r="CH901" s="1136"/>
      <c r="CI901" s="1136"/>
      <c r="CJ901" s="1136"/>
      <c r="CK901" s="1136"/>
      <c r="CL901" s="1136"/>
      <c r="CM901" s="1136"/>
      <c r="CN901" s="1136"/>
      <c r="CO901" s="1136"/>
      <c r="CP901" s="1136"/>
      <c r="CQ901" s="1136"/>
      <c r="CR901" s="1136"/>
      <c r="CS901" s="1136"/>
      <c r="CT901" s="1136"/>
      <c r="CU901" s="1136"/>
      <c r="CV901" s="1136"/>
      <c r="CW901" s="1136"/>
      <c r="CX901" s="1136"/>
      <c r="CY901" s="1136"/>
      <c r="CZ901" s="1136"/>
      <c r="DA901" s="1136"/>
      <c r="DB901" s="1136"/>
      <c r="DC901" s="1136"/>
      <c r="DD901" s="1136"/>
      <c r="DE901" s="1136"/>
      <c r="DF901" s="1136"/>
      <c r="DG901" s="1136"/>
      <c r="DH901" s="1136"/>
      <c r="DI901" s="1136"/>
    </row>
    <row r="902" spans="1:113" ht="15.75" x14ac:dyDescent="0.25">
      <c r="A902" s="1420" t="s">
        <v>429</v>
      </c>
      <c r="B902" s="1439" t="e">
        <f>B893/B901</f>
        <v>#REF!</v>
      </c>
      <c r="C902" s="1562"/>
      <c r="D902" s="1596"/>
      <c r="E902" s="1596"/>
      <c r="F902" s="1596"/>
      <c r="G902" s="1596"/>
      <c r="H902" s="1531"/>
      <c r="I902" s="1531"/>
      <c r="J902" s="1531"/>
      <c r="K902" s="1531"/>
      <c r="L902" s="1531"/>
      <c r="M902" s="1531"/>
      <c r="N902" s="1531"/>
      <c r="O902" s="1531"/>
      <c r="P902" s="1531"/>
      <c r="Q902" s="1531"/>
      <c r="R902" s="1531"/>
      <c r="S902" s="1531"/>
      <c r="T902" s="1531"/>
      <c r="U902" s="1531"/>
      <c r="V902" s="1531"/>
      <c r="W902" s="1531"/>
      <c r="X902" s="1531"/>
      <c r="Y902" s="1531"/>
      <c r="Z902" s="1531"/>
      <c r="AA902" s="1531"/>
      <c r="AB902" s="1531"/>
      <c r="AC902" s="1531"/>
      <c r="AD902" s="1531"/>
      <c r="AE902" s="1531"/>
      <c r="AF902" s="1531"/>
      <c r="AG902" s="1531"/>
      <c r="AH902" s="1531"/>
      <c r="AI902" s="1531"/>
      <c r="AJ902" s="1531"/>
      <c r="AK902" s="1531"/>
      <c r="AL902" s="1531"/>
      <c r="AM902" s="1531"/>
      <c r="AN902" s="1531"/>
      <c r="AO902" s="1531"/>
      <c r="AP902" s="1531"/>
      <c r="AQ902" s="1531"/>
      <c r="AR902" s="1531"/>
      <c r="AS902" s="1531"/>
      <c r="AT902" s="1136"/>
      <c r="AU902" s="1136"/>
      <c r="AV902" s="1136"/>
      <c r="AW902" s="1136"/>
      <c r="AX902" s="1136"/>
      <c r="AY902" s="1136"/>
      <c r="AZ902" s="1136"/>
      <c r="BA902" s="1136"/>
      <c r="BB902" s="1136"/>
      <c r="BC902" s="1136"/>
      <c r="BD902" s="1136"/>
      <c r="BE902" s="1136"/>
      <c r="BF902" s="1136"/>
      <c r="BG902" s="1136"/>
      <c r="BH902" s="1136"/>
      <c r="BI902" s="1136"/>
      <c r="BJ902" s="1136"/>
      <c r="BK902" s="1136"/>
      <c r="BL902" s="1136"/>
      <c r="BM902" s="1136"/>
      <c r="BN902" s="1136"/>
      <c r="BO902" s="1136"/>
      <c r="BP902" s="1136"/>
      <c r="BQ902" s="1136"/>
      <c r="BR902" s="1136"/>
      <c r="BS902" s="1136"/>
      <c r="BT902" s="1136"/>
      <c r="BU902" s="1136"/>
      <c r="BV902" s="1136"/>
      <c r="BW902" s="1136"/>
      <c r="BX902" s="1136"/>
      <c r="BY902" s="1136"/>
      <c r="BZ902" s="1136"/>
      <c r="CA902" s="1136"/>
      <c r="CB902" s="1136"/>
      <c r="CC902" s="1136"/>
      <c r="CD902" s="1136"/>
      <c r="CE902" s="1136"/>
      <c r="CF902" s="1136"/>
      <c r="CG902" s="1136"/>
      <c r="CH902" s="1136"/>
      <c r="CI902" s="1136"/>
      <c r="CJ902" s="1136"/>
      <c r="CK902" s="1136"/>
      <c r="CL902" s="1136"/>
      <c r="CM902" s="1136"/>
      <c r="CN902" s="1136"/>
      <c r="CO902" s="1136"/>
      <c r="CP902" s="1136"/>
      <c r="CQ902" s="1136"/>
      <c r="CR902" s="1136"/>
      <c r="CS902" s="1136"/>
      <c r="CT902" s="1136"/>
      <c r="CU902" s="1136"/>
      <c r="CV902" s="1136"/>
      <c r="CW902" s="1136"/>
      <c r="CX902" s="1136"/>
      <c r="CY902" s="1136"/>
      <c r="CZ902" s="1136"/>
      <c r="DA902" s="1136"/>
      <c r="DB902" s="1136"/>
      <c r="DC902" s="1136"/>
      <c r="DD902" s="1136"/>
      <c r="DE902" s="1136"/>
      <c r="DF902" s="1136"/>
      <c r="DG902" s="1136"/>
      <c r="DH902" s="1136"/>
      <c r="DI902" s="1136"/>
    </row>
    <row r="903" spans="1:113" ht="15.75" x14ac:dyDescent="0.25">
      <c r="A903" s="1420"/>
      <c r="B903" s="1443"/>
      <c r="C903" s="1521"/>
      <c r="D903" s="1531"/>
      <c r="E903" s="1531"/>
      <c r="F903" s="1531"/>
      <c r="G903" s="1531"/>
      <c r="H903" s="1531"/>
      <c r="I903" s="1531"/>
      <c r="J903" s="1531"/>
      <c r="K903" s="1531"/>
      <c r="L903" s="1531"/>
      <c r="M903" s="1531"/>
      <c r="N903" s="1531"/>
      <c r="O903" s="1531"/>
      <c r="P903" s="1531"/>
      <c r="Q903" s="1531"/>
      <c r="R903" s="1531"/>
      <c r="S903" s="1531"/>
      <c r="T903" s="1531"/>
      <c r="U903" s="1531"/>
      <c r="V903" s="1531"/>
      <c r="W903" s="1531"/>
      <c r="X903" s="1531"/>
      <c r="Y903" s="1531"/>
      <c r="Z903" s="1531"/>
      <c r="AA903" s="1531"/>
      <c r="AB903" s="1531"/>
      <c r="AC903" s="1531"/>
      <c r="AD903" s="1531"/>
      <c r="AE903" s="1531"/>
      <c r="AF903" s="1531"/>
      <c r="AG903" s="1531"/>
      <c r="AH903" s="1531"/>
      <c r="AI903" s="1531"/>
      <c r="AJ903" s="1531"/>
      <c r="AK903" s="1531"/>
      <c r="AL903" s="1531"/>
      <c r="AM903" s="1531"/>
      <c r="AN903" s="1531"/>
      <c r="AO903" s="1531"/>
      <c r="AP903" s="1531"/>
      <c r="AQ903" s="1531"/>
      <c r="AR903" s="1531"/>
      <c r="AS903" s="1531"/>
      <c r="AT903" s="1136"/>
      <c r="AU903" s="1136"/>
      <c r="AV903" s="1136"/>
      <c r="AW903" s="1136"/>
      <c r="AX903" s="1136"/>
      <c r="AY903" s="1136"/>
      <c r="AZ903" s="1136"/>
      <c r="BA903" s="1136"/>
      <c r="BB903" s="1136"/>
      <c r="BC903" s="1136"/>
      <c r="BD903" s="1136"/>
      <c r="BE903" s="1136"/>
      <c r="BF903" s="1136"/>
      <c r="BG903" s="1136"/>
      <c r="BH903" s="1136"/>
      <c r="BI903" s="1136"/>
      <c r="BJ903" s="1136"/>
      <c r="BK903" s="1136"/>
      <c r="BL903" s="1136"/>
      <c r="BM903" s="1136"/>
      <c r="BN903" s="1136"/>
      <c r="BO903" s="1136"/>
      <c r="BP903" s="1136"/>
      <c r="BQ903" s="1136"/>
      <c r="BR903" s="1136"/>
      <c r="BS903" s="1136"/>
      <c r="BT903" s="1136"/>
      <c r="BU903" s="1136"/>
      <c r="BV903" s="1136"/>
      <c r="BW903" s="1136"/>
      <c r="BX903" s="1136"/>
      <c r="BY903" s="1136"/>
      <c r="BZ903" s="1136"/>
      <c r="CA903" s="1136"/>
      <c r="CB903" s="1136"/>
      <c r="CC903" s="1136"/>
      <c r="CD903" s="1136"/>
      <c r="CE903" s="1136"/>
      <c r="CF903" s="1136"/>
      <c r="CG903" s="1136"/>
      <c r="CH903" s="1136"/>
      <c r="CI903" s="1136"/>
      <c r="CJ903" s="1136"/>
      <c r="CK903" s="1136"/>
      <c r="CL903" s="1136"/>
      <c r="CM903" s="1136"/>
      <c r="CN903" s="1136"/>
      <c r="CO903" s="1136"/>
      <c r="CP903" s="1136"/>
      <c r="CQ903" s="1136"/>
      <c r="CR903" s="1136"/>
      <c r="CS903" s="1136"/>
      <c r="CT903" s="1136"/>
      <c r="CU903" s="1136"/>
      <c r="CV903" s="1136"/>
      <c r="CW903" s="1136"/>
      <c r="CX903" s="1136"/>
      <c r="CY903" s="1136"/>
      <c r="CZ903" s="1136"/>
      <c r="DA903" s="1136"/>
      <c r="DB903" s="1136"/>
      <c r="DC903" s="1136"/>
      <c r="DD903" s="1136"/>
      <c r="DE903" s="1136"/>
      <c r="DF903" s="1136"/>
      <c r="DG903" s="1136"/>
      <c r="DH903" s="1136"/>
      <c r="DI903" s="1136"/>
    </row>
    <row r="904" spans="1:113" ht="12.75" customHeight="1" x14ac:dyDescent="0.25">
      <c r="A904" s="1438" t="s">
        <v>3212</v>
      </c>
      <c r="B904" s="1443"/>
      <c r="C904" s="1521"/>
      <c r="D904" s="1531"/>
      <c r="E904" s="1531"/>
      <c r="F904" s="1531"/>
      <c r="G904" s="1531"/>
      <c r="H904" s="1531"/>
      <c r="I904" s="1531"/>
      <c r="J904" s="1531"/>
      <c r="K904" s="1531"/>
      <c r="L904" s="1531"/>
      <c r="M904" s="1531"/>
      <c r="N904" s="1531"/>
      <c r="O904" s="1531"/>
      <c r="P904" s="1531"/>
      <c r="Q904" s="1531"/>
      <c r="R904" s="1531"/>
      <c r="S904" s="1531"/>
      <c r="T904" s="1531"/>
      <c r="U904" s="1531"/>
      <c r="V904" s="1531"/>
      <c r="W904" s="1531"/>
      <c r="X904" s="1531"/>
      <c r="Y904" s="1531"/>
      <c r="Z904" s="1531"/>
      <c r="AA904" s="1531"/>
      <c r="AB904" s="1531"/>
      <c r="AC904" s="1531"/>
      <c r="AD904" s="1531"/>
      <c r="AE904" s="1531"/>
      <c r="AF904" s="1531"/>
      <c r="AG904" s="1531"/>
      <c r="AH904" s="1531"/>
      <c r="AI904" s="1531"/>
      <c r="AJ904" s="1531"/>
      <c r="AK904" s="1531"/>
      <c r="AL904" s="1531"/>
      <c r="AM904" s="1531"/>
      <c r="AN904" s="1531"/>
      <c r="AO904" s="1531"/>
      <c r="AP904" s="1531"/>
      <c r="AQ904" s="1531"/>
      <c r="AR904" s="1531"/>
      <c r="AS904" s="1531"/>
      <c r="AT904" s="1136"/>
      <c r="AU904" s="1136"/>
      <c r="AV904" s="1136"/>
      <c r="AW904" s="1136"/>
      <c r="AX904" s="1136"/>
      <c r="AY904" s="1136"/>
      <c r="AZ904" s="1136"/>
      <c r="BA904" s="1136"/>
      <c r="BB904" s="1136"/>
      <c r="BC904" s="1136"/>
      <c r="BD904" s="1136"/>
      <c r="BE904" s="1136"/>
      <c r="BF904" s="1136"/>
      <c r="BG904" s="1136"/>
      <c r="BH904" s="1136"/>
      <c r="BI904" s="1136"/>
      <c r="BJ904" s="1136"/>
      <c r="BK904" s="1136"/>
      <c r="BL904" s="1136"/>
      <c r="BM904" s="1136"/>
      <c r="BN904" s="1136"/>
      <c r="BO904" s="1136"/>
      <c r="BP904" s="1136"/>
      <c r="BQ904" s="1136"/>
      <c r="BR904" s="1136"/>
      <c r="BS904" s="1136"/>
      <c r="BT904" s="1136"/>
      <c r="BU904" s="1136"/>
      <c r="BV904" s="1136"/>
      <c r="BW904" s="1136"/>
      <c r="BX904" s="1136"/>
      <c r="BY904" s="1136"/>
      <c r="BZ904" s="1136"/>
      <c r="CA904" s="1136"/>
      <c r="CB904" s="1136"/>
      <c r="CC904" s="1136"/>
      <c r="CD904" s="1136"/>
      <c r="CE904" s="1136"/>
      <c r="CF904" s="1136"/>
      <c r="CG904" s="1136"/>
      <c r="CH904" s="1136"/>
      <c r="CI904" s="1136"/>
      <c r="CJ904" s="1136"/>
      <c r="CK904" s="1136"/>
      <c r="CL904" s="1136"/>
      <c r="CM904" s="1136"/>
      <c r="CN904" s="1136"/>
      <c r="CO904" s="1136"/>
      <c r="CP904" s="1136"/>
      <c r="CQ904" s="1136"/>
      <c r="CR904" s="1136"/>
      <c r="CS904" s="1136"/>
      <c r="CT904" s="1136"/>
      <c r="CU904" s="1136"/>
      <c r="CV904" s="1136"/>
      <c r="CW904" s="1136"/>
      <c r="CX904" s="1136"/>
      <c r="CY904" s="1136"/>
      <c r="CZ904" s="1136"/>
      <c r="DA904" s="1136"/>
      <c r="DB904" s="1136"/>
      <c r="DC904" s="1136"/>
      <c r="DD904" s="1136"/>
      <c r="DE904" s="1136"/>
      <c r="DF904" s="1136"/>
      <c r="DG904" s="1136"/>
      <c r="DH904" s="1136"/>
      <c r="DI904" s="1136"/>
    </row>
    <row r="905" spans="1:113" ht="15.75" x14ac:dyDescent="0.25">
      <c r="A905" s="1420" t="s">
        <v>1753</v>
      </c>
      <c r="B905" s="1439" t="e">
        <f>(B291^2*((B815-B812)/B308+1)/(B815-B812))*B810</f>
        <v>#REF!</v>
      </c>
      <c r="C905" s="1562"/>
      <c r="D905" s="1521"/>
      <c r="E905" s="1521"/>
      <c r="F905" s="1521"/>
      <c r="G905" s="1521"/>
      <c r="H905" s="1531"/>
      <c r="I905" s="1531"/>
      <c r="J905" s="1531"/>
      <c r="K905" s="1531"/>
      <c r="L905" s="1531"/>
      <c r="M905" s="1531"/>
      <c r="N905" s="1531"/>
      <c r="O905" s="1531"/>
      <c r="P905" s="1531"/>
      <c r="Q905" s="1531"/>
      <c r="R905" s="1531"/>
      <c r="S905" s="1531"/>
      <c r="T905" s="1531"/>
      <c r="U905" s="1531"/>
      <c r="V905" s="1531"/>
      <c r="W905" s="1531"/>
      <c r="X905" s="1531"/>
      <c r="Y905" s="1531"/>
      <c r="Z905" s="1531"/>
      <c r="AA905" s="1531"/>
      <c r="AB905" s="1531"/>
      <c r="AC905" s="1531"/>
      <c r="AD905" s="1531"/>
      <c r="AE905" s="1531"/>
      <c r="AF905" s="1531"/>
      <c r="AG905" s="1531"/>
      <c r="AH905" s="1531"/>
      <c r="AI905" s="1531"/>
      <c r="AJ905" s="1531"/>
      <c r="AK905" s="1531"/>
      <c r="AL905" s="1531"/>
      <c r="AM905" s="1531"/>
      <c r="AN905" s="1531"/>
      <c r="AO905" s="1531"/>
      <c r="AP905" s="1531"/>
      <c r="AQ905" s="1531"/>
      <c r="AR905" s="1531"/>
      <c r="AS905" s="1531"/>
      <c r="AT905" s="1136"/>
      <c r="AU905" s="1136"/>
      <c r="AV905" s="1136"/>
      <c r="AW905" s="1136"/>
      <c r="AX905" s="1136"/>
      <c r="AY905" s="1136"/>
      <c r="AZ905" s="1136"/>
      <c r="BA905" s="1136"/>
      <c r="BB905" s="1136"/>
      <c r="BC905" s="1136"/>
      <c r="BD905" s="1136"/>
      <c r="BE905" s="1136"/>
      <c r="BF905" s="1136"/>
      <c r="BG905" s="1136"/>
      <c r="BH905" s="1136"/>
      <c r="BI905" s="1136"/>
      <c r="BJ905" s="1136"/>
      <c r="BK905" s="1136"/>
      <c r="BL905" s="1136"/>
      <c r="BM905" s="1136"/>
      <c r="BN905" s="1136"/>
      <c r="BO905" s="1136"/>
      <c r="BP905" s="1136"/>
      <c r="BQ905" s="1136"/>
      <c r="BR905" s="1136"/>
      <c r="BS905" s="1136"/>
      <c r="BT905" s="1136"/>
      <c r="BU905" s="1136"/>
      <c r="BV905" s="1136"/>
      <c r="BW905" s="1136"/>
      <c r="BX905" s="1136"/>
      <c r="BY905" s="1136"/>
      <c r="BZ905" s="1136"/>
      <c r="CA905" s="1136"/>
      <c r="CB905" s="1136"/>
      <c r="CC905" s="1136"/>
      <c r="CD905" s="1136"/>
      <c r="CE905" s="1136"/>
      <c r="CF905" s="1136"/>
      <c r="CG905" s="1136"/>
      <c r="CH905" s="1136"/>
      <c r="CI905" s="1136"/>
      <c r="CJ905" s="1136"/>
      <c r="CK905" s="1136"/>
      <c r="CL905" s="1136"/>
      <c r="CM905" s="1136"/>
      <c r="CN905" s="1136"/>
      <c r="CO905" s="1136"/>
      <c r="CP905" s="1136"/>
      <c r="CQ905" s="1136"/>
      <c r="CR905" s="1136"/>
      <c r="CS905" s="1136"/>
      <c r="CT905" s="1136"/>
      <c r="CU905" s="1136"/>
      <c r="CV905" s="1136"/>
      <c r="CW905" s="1136"/>
      <c r="CX905" s="1136"/>
      <c r="CY905" s="1136"/>
      <c r="CZ905" s="1136"/>
      <c r="DA905" s="1136"/>
      <c r="DB905" s="1136"/>
      <c r="DC905" s="1136"/>
      <c r="DD905" s="1136"/>
      <c r="DE905" s="1136"/>
      <c r="DF905" s="1136"/>
      <c r="DG905" s="1136"/>
      <c r="DH905" s="1136"/>
      <c r="DI905" s="1136"/>
    </row>
    <row r="906" spans="1:113" ht="15.75" x14ac:dyDescent="0.25">
      <c r="A906" s="1420" t="s">
        <v>3390</v>
      </c>
      <c r="B906" s="1424" t="e">
        <f>B846</f>
        <v>#VALUE!</v>
      </c>
      <c r="C906" s="1606"/>
      <c r="D906" s="1521"/>
      <c r="E906" s="1521"/>
      <c r="F906" s="1521"/>
      <c r="G906" s="1521"/>
      <c r="H906" s="1531"/>
      <c r="I906" s="1531"/>
      <c r="J906" s="1531"/>
      <c r="K906" s="1531"/>
      <c r="L906" s="1531"/>
      <c r="M906" s="1531"/>
      <c r="N906" s="1531"/>
      <c r="O906" s="1531"/>
      <c r="P906" s="1531"/>
      <c r="Q906" s="1531"/>
      <c r="R906" s="1531"/>
      <c r="S906" s="1531"/>
      <c r="T906" s="1531"/>
      <c r="U906" s="1531"/>
      <c r="V906" s="1531"/>
      <c r="W906" s="1531"/>
      <c r="X906" s="1531"/>
      <c r="Y906" s="1531"/>
      <c r="Z906" s="1531"/>
      <c r="AA906" s="1531"/>
      <c r="AB906" s="1531"/>
      <c r="AC906" s="1531"/>
      <c r="AD906" s="1531"/>
      <c r="AE906" s="1531"/>
      <c r="AF906" s="1531"/>
      <c r="AG906" s="1531"/>
      <c r="AH906" s="1531"/>
      <c r="AI906" s="1531"/>
      <c r="AJ906" s="1531"/>
      <c r="AK906" s="1531"/>
      <c r="AL906" s="1531"/>
      <c r="AM906" s="1531"/>
      <c r="AN906" s="1531"/>
      <c r="AO906" s="1531"/>
      <c r="AP906" s="1531"/>
      <c r="AQ906" s="1531"/>
      <c r="AR906" s="1531"/>
      <c r="AS906" s="1531"/>
      <c r="AT906" s="1136"/>
      <c r="AU906" s="1136"/>
      <c r="AV906" s="1136"/>
      <c r="AW906" s="1136"/>
      <c r="AX906" s="1136"/>
      <c r="AY906" s="1136"/>
      <c r="AZ906" s="1136"/>
      <c r="BA906" s="1136"/>
      <c r="BB906" s="1136"/>
      <c r="BC906" s="1136"/>
      <c r="BD906" s="1136"/>
      <c r="BE906" s="1136"/>
      <c r="BF906" s="1136"/>
      <c r="BG906" s="1136"/>
      <c r="BH906" s="1136"/>
      <c r="BI906" s="1136"/>
      <c r="BJ906" s="1136"/>
      <c r="BK906" s="1136"/>
      <c r="BL906" s="1136"/>
      <c r="BM906" s="1136"/>
      <c r="BN906" s="1136"/>
      <c r="BO906" s="1136"/>
      <c r="BP906" s="1136"/>
      <c r="BQ906" s="1136"/>
      <c r="BR906" s="1136"/>
      <c r="BS906" s="1136"/>
      <c r="BT906" s="1136"/>
      <c r="BU906" s="1136"/>
      <c r="BV906" s="1136"/>
      <c r="BW906" s="1136"/>
      <c r="BX906" s="1136"/>
      <c r="BY906" s="1136"/>
      <c r="BZ906" s="1136"/>
      <c r="CA906" s="1136"/>
      <c r="CB906" s="1136"/>
      <c r="CC906" s="1136"/>
      <c r="CD906" s="1136"/>
      <c r="CE906" s="1136"/>
      <c r="CF906" s="1136"/>
      <c r="CG906" s="1136"/>
      <c r="CH906" s="1136"/>
      <c r="CI906" s="1136"/>
      <c r="CJ906" s="1136"/>
      <c r="CK906" s="1136"/>
      <c r="CL906" s="1136"/>
      <c r="CM906" s="1136"/>
      <c r="CN906" s="1136"/>
      <c r="CO906" s="1136"/>
      <c r="CP906" s="1136"/>
      <c r="CQ906" s="1136"/>
      <c r="CR906" s="1136"/>
      <c r="CS906" s="1136"/>
      <c r="CT906" s="1136"/>
      <c r="CU906" s="1136"/>
      <c r="CV906" s="1136"/>
      <c r="CW906" s="1136"/>
      <c r="CX906" s="1136"/>
      <c r="CY906" s="1136"/>
      <c r="CZ906" s="1136"/>
      <c r="DA906" s="1136"/>
      <c r="DB906" s="1136"/>
      <c r="DC906" s="1136"/>
      <c r="DD906" s="1136"/>
      <c r="DE906" s="1136"/>
      <c r="DF906" s="1136"/>
      <c r="DG906" s="1136"/>
      <c r="DH906" s="1136"/>
      <c r="DI906" s="1136"/>
    </row>
    <row r="907" spans="1:113" ht="15.75" x14ac:dyDescent="0.25">
      <c r="A907" s="1420" t="s">
        <v>3391</v>
      </c>
      <c r="B907" s="1439"/>
      <c r="C907" s="1562"/>
      <c r="D907" s="1617"/>
      <c r="E907" s="1617"/>
      <c r="F907" s="1617"/>
      <c r="G907" s="1617"/>
      <c r="H907" s="1531"/>
      <c r="I907" s="1531"/>
      <c r="J907" s="1531"/>
      <c r="K907" s="1531"/>
      <c r="L907" s="1531"/>
      <c r="M907" s="1531"/>
      <c r="N907" s="1531"/>
      <c r="O907" s="1531"/>
      <c r="P907" s="1531"/>
      <c r="Q907" s="1531"/>
      <c r="R907" s="1531"/>
      <c r="S907" s="1531"/>
      <c r="T907" s="1531"/>
      <c r="U907" s="1531"/>
      <c r="V907" s="1531"/>
      <c r="W907" s="1531"/>
      <c r="X907" s="1531"/>
      <c r="Y907" s="1531"/>
      <c r="Z907" s="1531"/>
      <c r="AA907" s="1531"/>
      <c r="AB907" s="1531"/>
      <c r="AC907" s="1531"/>
      <c r="AD907" s="1531"/>
      <c r="AE907" s="1531"/>
      <c r="AF907" s="1531"/>
      <c r="AG907" s="1531"/>
      <c r="AH907" s="1531"/>
      <c r="AI907" s="1531"/>
      <c r="AJ907" s="1531"/>
      <c r="AK907" s="1531"/>
      <c r="AL907" s="1531"/>
      <c r="AM907" s="1531"/>
      <c r="AN907" s="1531"/>
      <c r="AO907" s="1531"/>
      <c r="AP907" s="1531"/>
      <c r="AQ907" s="1531"/>
      <c r="AR907" s="1531"/>
      <c r="AS907" s="1531"/>
      <c r="AT907" s="1136"/>
      <c r="AU907" s="1136"/>
      <c r="AV907" s="1136"/>
      <c r="AW907" s="1136"/>
      <c r="AX907" s="1136"/>
      <c r="AY907" s="1136"/>
      <c r="AZ907" s="1136"/>
      <c r="BA907" s="1136"/>
      <c r="BB907" s="1136"/>
      <c r="BC907" s="1136"/>
      <c r="BD907" s="1136"/>
      <c r="BE907" s="1136"/>
      <c r="BF907" s="1136"/>
      <c r="BG907" s="1136"/>
      <c r="BH907" s="1136"/>
      <c r="BI907" s="1136"/>
      <c r="BJ907" s="1136"/>
      <c r="BK907" s="1136"/>
      <c r="BL907" s="1136"/>
      <c r="BM907" s="1136"/>
      <c r="BN907" s="1136"/>
      <c r="BO907" s="1136"/>
      <c r="BP907" s="1136"/>
      <c r="BQ907" s="1136"/>
      <c r="BR907" s="1136"/>
      <c r="BS907" s="1136"/>
      <c r="BT907" s="1136"/>
      <c r="BU907" s="1136"/>
      <c r="BV907" s="1136"/>
      <c r="BW907" s="1136"/>
      <c r="BX907" s="1136"/>
      <c r="BY907" s="1136"/>
      <c r="BZ907" s="1136"/>
      <c r="CA907" s="1136"/>
      <c r="CB907" s="1136"/>
      <c r="CC907" s="1136"/>
      <c r="CD907" s="1136"/>
      <c r="CE907" s="1136"/>
      <c r="CF907" s="1136"/>
      <c r="CG907" s="1136"/>
      <c r="CH907" s="1136"/>
      <c r="CI907" s="1136"/>
      <c r="CJ907" s="1136"/>
      <c r="CK907" s="1136"/>
      <c r="CL907" s="1136"/>
      <c r="CM907" s="1136"/>
      <c r="CN907" s="1136"/>
      <c r="CO907" s="1136"/>
      <c r="CP907" s="1136"/>
      <c r="CQ907" s="1136"/>
      <c r="CR907" s="1136"/>
      <c r="CS907" s="1136"/>
      <c r="CT907" s="1136"/>
      <c r="CU907" s="1136"/>
      <c r="CV907" s="1136"/>
      <c r="CW907" s="1136"/>
      <c r="CX907" s="1136"/>
      <c r="CY907" s="1136"/>
      <c r="CZ907" s="1136"/>
      <c r="DA907" s="1136"/>
      <c r="DB907" s="1136"/>
      <c r="DC907" s="1136"/>
      <c r="DD907" s="1136"/>
      <c r="DE907" s="1136"/>
      <c r="DF907" s="1136"/>
      <c r="DG907" s="1136"/>
      <c r="DH907" s="1136"/>
      <c r="DI907" s="1136"/>
    </row>
    <row r="908" spans="1:113" ht="15.75" x14ac:dyDescent="0.25">
      <c r="A908" s="1420" t="s">
        <v>392</v>
      </c>
      <c r="B908" s="1443">
        <f>B848</f>
        <v>0.8</v>
      </c>
      <c r="C908" s="1521"/>
      <c r="D908" s="1521"/>
      <c r="E908" s="1521"/>
      <c r="F908" s="1521"/>
      <c r="G908" s="1521"/>
      <c r="H908" s="1531"/>
      <c r="I908" s="1531"/>
      <c r="J908" s="1531"/>
      <c r="K908" s="1531"/>
      <c r="L908" s="1531"/>
      <c r="M908" s="1531"/>
      <c r="N908" s="1531"/>
      <c r="O908" s="1531"/>
      <c r="P908" s="1531"/>
      <c r="Q908" s="1531"/>
      <c r="R908" s="1531"/>
      <c r="S908" s="1531"/>
      <c r="T908" s="1531"/>
      <c r="U908" s="1531"/>
      <c r="V908" s="1531"/>
      <c r="W908" s="1531"/>
      <c r="X908" s="1531"/>
      <c r="Y908" s="1531"/>
      <c r="Z908" s="1531"/>
      <c r="AA908" s="1531"/>
      <c r="AB908" s="1531"/>
      <c r="AC908" s="1531"/>
      <c r="AD908" s="1531"/>
      <c r="AE908" s="1531"/>
      <c r="AF908" s="1531"/>
      <c r="AG908" s="1531"/>
      <c r="AH908" s="1531"/>
      <c r="AI908" s="1531"/>
      <c r="AJ908" s="1531"/>
      <c r="AK908" s="1531"/>
      <c r="AL908" s="1531"/>
      <c r="AM908" s="1531"/>
      <c r="AN908" s="1531"/>
      <c r="AO908" s="1531"/>
      <c r="AP908" s="1531"/>
      <c r="AQ908" s="1531"/>
      <c r="AR908" s="1531"/>
      <c r="AS908" s="1531"/>
      <c r="AT908" s="1136"/>
      <c r="AU908" s="1136"/>
      <c r="AV908" s="1136"/>
      <c r="AW908" s="1136"/>
      <c r="AX908" s="1136"/>
      <c r="AY908" s="1136"/>
      <c r="AZ908" s="1136"/>
      <c r="BA908" s="1136"/>
      <c r="BB908" s="1136"/>
      <c r="BC908" s="1136"/>
      <c r="BD908" s="1136"/>
      <c r="BE908" s="1136"/>
      <c r="BF908" s="1136"/>
      <c r="BG908" s="1136"/>
      <c r="BH908" s="1136"/>
      <c r="BI908" s="1136"/>
      <c r="BJ908" s="1136"/>
      <c r="BK908" s="1136"/>
      <c r="BL908" s="1136"/>
      <c r="BM908" s="1136"/>
      <c r="BN908" s="1136"/>
      <c r="BO908" s="1136"/>
      <c r="BP908" s="1136"/>
      <c r="BQ908" s="1136"/>
      <c r="BR908" s="1136"/>
      <c r="BS908" s="1136"/>
      <c r="BT908" s="1136"/>
      <c r="BU908" s="1136"/>
      <c r="BV908" s="1136"/>
      <c r="BW908" s="1136"/>
      <c r="BX908" s="1136"/>
      <c r="BY908" s="1136"/>
      <c r="BZ908" s="1136"/>
      <c r="CA908" s="1136"/>
      <c r="CB908" s="1136"/>
      <c r="CC908" s="1136"/>
      <c r="CD908" s="1136"/>
      <c r="CE908" s="1136"/>
      <c r="CF908" s="1136"/>
      <c r="CG908" s="1136"/>
      <c r="CH908" s="1136"/>
      <c r="CI908" s="1136"/>
      <c r="CJ908" s="1136"/>
      <c r="CK908" s="1136"/>
      <c r="CL908" s="1136"/>
      <c r="CM908" s="1136"/>
      <c r="CN908" s="1136"/>
      <c r="CO908" s="1136"/>
      <c r="CP908" s="1136"/>
      <c r="CQ908" s="1136"/>
      <c r="CR908" s="1136"/>
      <c r="CS908" s="1136"/>
      <c r="CT908" s="1136"/>
      <c r="CU908" s="1136"/>
      <c r="CV908" s="1136"/>
      <c r="CW908" s="1136"/>
      <c r="CX908" s="1136"/>
      <c r="CY908" s="1136"/>
      <c r="CZ908" s="1136"/>
      <c r="DA908" s="1136"/>
      <c r="DB908" s="1136"/>
      <c r="DC908" s="1136"/>
      <c r="DD908" s="1136"/>
      <c r="DE908" s="1136"/>
      <c r="DF908" s="1136"/>
      <c r="DG908" s="1136"/>
      <c r="DH908" s="1136"/>
      <c r="DI908" s="1136"/>
    </row>
    <row r="909" spans="1:113" ht="15.75" x14ac:dyDescent="0.25">
      <c r="A909" s="1420" t="s">
        <v>391</v>
      </c>
      <c r="B909" s="1443">
        <f>B849</f>
        <v>0.9</v>
      </c>
      <c r="C909" s="1521"/>
      <c r="D909" s="1562"/>
      <c r="E909" s="1562"/>
      <c r="F909" s="1562"/>
      <c r="G909" s="1562"/>
      <c r="H909" s="1531"/>
      <c r="I909" s="1531"/>
      <c r="J909" s="1531"/>
      <c r="K909" s="1531"/>
      <c r="L909" s="1531"/>
      <c r="M909" s="1531"/>
      <c r="N909" s="1531"/>
      <c r="O909" s="1531"/>
      <c r="P909" s="1531"/>
      <c r="Q909" s="1531"/>
      <c r="R909" s="1531"/>
      <c r="S909" s="1531"/>
      <c r="T909" s="1531"/>
      <c r="U909" s="1531"/>
      <c r="V909" s="1531"/>
      <c r="W909" s="1531"/>
      <c r="X909" s="1531"/>
      <c r="Y909" s="1531"/>
      <c r="Z909" s="1531"/>
      <c r="AA909" s="1531"/>
      <c r="AB909" s="1531"/>
      <c r="AC909" s="1531"/>
      <c r="AD909" s="1531"/>
      <c r="AE909" s="1531"/>
      <c r="AF909" s="1531"/>
      <c r="AG909" s="1531"/>
      <c r="AH909" s="1531"/>
      <c r="AI909" s="1531"/>
      <c r="AJ909" s="1531"/>
      <c r="AK909" s="1531"/>
      <c r="AL909" s="1531"/>
      <c r="AM909" s="1531"/>
      <c r="AN909" s="1531"/>
      <c r="AO909" s="1531"/>
      <c r="AP909" s="1531"/>
      <c r="AQ909" s="1531"/>
      <c r="AR909" s="1531"/>
      <c r="AS909" s="1531"/>
      <c r="AT909" s="1136"/>
      <c r="AU909" s="1136"/>
      <c r="AV909" s="1136"/>
      <c r="AW909" s="1136"/>
      <c r="AX909" s="1136"/>
      <c r="AY909" s="1136"/>
      <c r="AZ909" s="1136"/>
      <c r="BA909" s="1136"/>
      <c r="BB909" s="1136"/>
      <c r="BC909" s="1136"/>
      <c r="BD909" s="1136"/>
      <c r="BE909" s="1136"/>
      <c r="BF909" s="1136"/>
      <c r="BG909" s="1136"/>
      <c r="BH909" s="1136"/>
      <c r="BI909" s="1136"/>
      <c r="BJ909" s="1136"/>
      <c r="BK909" s="1136"/>
      <c r="BL909" s="1136"/>
      <c r="BM909" s="1136"/>
      <c r="BN909" s="1136"/>
      <c r="BO909" s="1136"/>
      <c r="BP909" s="1136"/>
      <c r="BQ909" s="1136"/>
      <c r="BR909" s="1136"/>
      <c r="BS909" s="1136"/>
      <c r="BT909" s="1136"/>
      <c r="BU909" s="1136"/>
      <c r="BV909" s="1136"/>
      <c r="BW909" s="1136"/>
      <c r="BX909" s="1136"/>
      <c r="BY909" s="1136"/>
      <c r="BZ909" s="1136"/>
      <c r="CA909" s="1136"/>
      <c r="CB909" s="1136"/>
      <c r="CC909" s="1136"/>
      <c r="CD909" s="1136"/>
      <c r="CE909" s="1136"/>
      <c r="CF909" s="1136"/>
      <c r="CG909" s="1136"/>
      <c r="CH909" s="1136"/>
      <c r="CI909" s="1136"/>
      <c r="CJ909" s="1136"/>
      <c r="CK909" s="1136"/>
      <c r="CL909" s="1136"/>
      <c r="CM909" s="1136"/>
      <c r="CN909" s="1136"/>
      <c r="CO909" s="1136"/>
      <c r="CP909" s="1136"/>
      <c r="CQ909" s="1136"/>
      <c r="CR909" s="1136"/>
      <c r="CS909" s="1136"/>
      <c r="CT909" s="1136"/>
      <c r="CU909" s="1136"/>
      <c r="CV909" s="1136"/>
      <c r="CW909" s="1136"/>
      <c r="CX909" s="1136"/>
      <c r="CY909" s="1136"/>
      <c r="CZ909" s="1136"/>
      <c r="DA909" s="1136"/>
      <c r="DB909" s="1136"/>
      <c r="DC909" s="1136"/>
      <c r="DD909" s="1136"/>
      <c r="DE909" s="1136"/>
      <c r="DF909" s="1136"/>
      <c r="DG909" s="1136"/>
      <c r="DH909" s="1136"/>
      <c r="DI909" s="1136"/>
    </row>
    <row r="910" spans="1:113" ht="31.5" x14ac:dyDescent="0.25">
      <c r="A910" s="1435" t="s">
        <v>3213</v>
      </c>
      <c r="B910" s="1451">
        <f>B850</f>
        <v>0</v>
      </c>
      <c r="C910" s="1434"/>
      <c r="D910" s="1531"/>
      <c r="E910" s="1531"/>
      <c r="F910" s="1531"/>
      <c r="G910" s="1531"/>
      <c r="H910" s="1531"/>
      <c r="I910" s="1531"/>
      <c r="J910" s="1531"/>
      <c r="K910" s="1531"/>
      <c r="L910" s="1531"/>
      <c r="M910" s="1531"/>
      <c r="N910" s="1531"/>
      <c r="O910" s="1531"/>
      <c r="P910" s="1531"/>
      <c r="Q910" s="1531"/>
      <c r="R910" s="1531"/>
      <c r="S910" s="1531"/>
      <c r="T910" s="1531"/>
      <c r="U910" s="1531"/>
      <c r="V910" s="1531"/>
      <c r="W910" s="1531"/>
      <c r="X910" s="1531"/>
      <c r="Y910" s="1531"/>
      <c r="Z910" s="1531"/>
      <c r="AA910" s="1531"/>
      <c r="AB910" s="1531"/>
      <c r="AC910" s="1531"/>
      <c r="AD910" s="1531"/>
      <c r="AE910" s="1531"/>
      <c r="AF910" s="1531"/>
      <c r="AG910" s="1531"/>
      <c r="AH910" s="1531"/>
      <c r="AI910" s="1531"/>
      <c r="AJ910" s="1531"/>
      <c r="AK910" s="1531"/>
      <c r="AL910" s="1531"/>
      <c r="AM910" s="1531"/>
      <c r="AN910" s="1531"/>
      <c r="AO910" s="1531"/>
      <c r="AP910" s="1531"/>
      <c r="AQ910" s="1531"/>
      <c r="AR910" s="1531"/>
      <c r="AS910" s="1531"/>
      <c r="AT910" s="1136"/>
      <c r="AU910" s="1136"/>
      <c r="AV910" s="1136"/>
      <c r="AW910" s="1136"/>
      <c r="AX910" s="1136"/>
      <c r="AY910" s="1136"/>
      <c r="AZ910" s="1136"/>
      <c r="BA910" s="1136"/>
      <c r="BB910" s="1136"/>
      <c r="BC910" s="1136"/>
      <c r="BD910" s="1136"/>
      <c r="BE910" s="1136"/>
      <c r="BF910" s="1136"/>
      <c r="BG910" s="1136"/>
      <c r="BH910" s="1136"/>
      <c r="BI910" s="1136"/>
      <c r="BJ910" s="1136"/>
      <c r="BK910" s="1136"/>
      <c r="BL910" s="1136"/>
      <c r="BM910" s="1136"/>
      <c r="BN910" s="1136"/>
      <c r="BO910" s="1136"/>
      <c r="BP910" s="1136"/>
      <c r="BQ910" s="1136"/>
      <c r="BR910" s="1136"/>
      <c r="BS910" s="1136"/>
      <c r="BT910" s="1136"/>
      <c r="BU910" s="1136"/>
      <c r="BV910" s="1136"/>
      <c r="BW910" s="1136"/>
      <c r="BX910" s="1136"/>
      <c r="BY910" s="1136"/>
      <c r="BZ910" s="1136"/>
      <c r="CA910" s="1136"/>
      <c r="CB910" s="1136"/>
      <c r="CC910" s="1136"/>
      <c r="CD910" s="1136"/>
      <c r="CE910" s="1136"/>
      <c r="CF910" s="1136"/>
      <c r="CG910" s="1136"/>
      <c r="CH910" s="1136"/>
      <c r="CI910" s="1136"/>
      <c r="CJ910" s="1136"/>
      <c r="CK910" s="1136"/>
      <c r="CL910" s="1136"/>
      <c r="CM910" s="1136"/>
      <c r="CN910" s="1136"/>
      <c r="CO910" s="1136"/>
      <c r="CP910" s="1136"/>
      <c r="CQ910" s="1136"/>
      <c r="CR910" s="1136"/>
      <c r="CS910" s="1136"/>
      <c r="CT910" s="1136"/>
      <c r="CU910" s="1136"/>
      <c r="CV910" s="1136"/>
      <c r="CW910" s="1136"/>
      <c r="CX910" s="1136"/>
      <c r="CY910" s="1136"/>
      <c r="CZ910" s="1136"/>
      <c r="DA910" s="1136"/>
      <c r="DB910" s="1136"/>
      <c r="DC910" s="1136"/>
      <c r="DD910" s="1136"/>
      <c r="DE910" s="1136"/>
      <c r="DF910" s="1136"/>
      <c r="DG910" s="1136"/>
      <c r="DH910" s="1136"/>
      <c r="DI910" s="1136"/>
    </row>
    <row r="911" spans="1:113" ht="15.75" x14ac:dyDescent="0.25">
      <c r="A911" s="1420" t="s">
        <v>3393</v>
      </c>
      <c r="B911" s="1443">
        <f>IF(B910=0,1,1.2)</f>
        <v>1</v>
      </c>
      <c r="C911" s="1521"/>
      <c r="D911" s="1531"/>
      <c r="E911" s="1531"/>
      <c r="F911" s="1531"/>
      <c r="G911" s="1531"/>
      <c r="H911" s="1531"/>
      <c r="I911" s="1531"/>
      <c r="J911" s="1531"/>
      <c r="K911" s="1531"/>
      <c r="L911" s="1531"/>
      <c r="M911" s="1531"/>
      <c r="N911" s="1531"/>
      <c r="O911" s="1531"/>
      <c r="P911" s="1531"/>
      <c r="Q911" s="1531"/>
      <c r="R911" s="1531"/>
      <c r="S911" s="1531"/>
      <c r="T911" s="1531"/>
      <c r="U911" s="1531"/>
      <c r="V911" s="1531"/>
      <c r="W911" s="1531"/>
      <c r="X911" s="1531"/>
      <c r="Y911" s="1531"/>
      <c r="Z911" s="1531"/>
      <c r="AA911" s="1531"/>
      <c r="AB911" s="1531"/>
      <c r="AC911" s="1531"/>
      <c r="AD911" s="1531"/>
      <c r="AE911" s="1531"/>
      <c r="AF911" s="1531"/>
      <c r="AG911" s="1531"/>
      <c r="AH911" s="1531"/>
      <c r="AI911" s="1531"/>
      <c r="AJ911" s="1531"/>
      <c r="AK911" s="1531"/>
      <c r="AL911" s="1531"/>
      <c r="AM911" s="1531"/>
      <c r="AN911" s="1531"/>
      <c r="AO911" s="1531"/>
      <c r="AP911" s="1531"/>
      <c r="AQ911" s="1531"/>
      <c r="AR911" s="1531"/>
      <c r="AS911" s="1531"/>
      <c r="AT911" s="1136"/>
      <c r="AU911" s="1136"/>
      <c r="AV911" s="1136"/>
      <c r="AW911" s="1136"/>
      <c r="AX911" s="1136"/>
      <c r="AY911" s="1136"/>
      <c r="AZ911" s="1136"/>
      <c r="BA911" s="1136"/>
      <c r="BB911" s="1136"/>
      <c r="BC911" s="1136"/>
      <c r="BD911" s="1136"/>
      <c r="BE911" s="1136"/>
      <c r="BF911" s="1136"/>
      <c r="BG911" s="1136"/>
      <c r="BH911" s="1136"/>
      <c r="BI911" s="1136"/>
      <c r="BJ911" s="1136"/>
      <c r="BK911" s="1136"/>
      <c r="BL911" s="1136"/>
      <c r="BM911" s="1136"/>
      <c r="BN911" s="1136"/>
      <c r="BO911" s="1136"/>
      <c r="BP911" s="1136"/>
      <c r="BQ911" s="1136"/>
      <c r="BR911" s="1136"/>
      <c r="BS911" s="1136"/>
      <c r="BT911" s="1136"/>
      <c r="BU911" s="1136"/>
      <c r="BV911" s="1136"/>
      <c r="BW911" s="1136"/>
      <c r="BX911" s="1136"/>
      <c r="BY911" s="1136"/>
      <c r="BZ911" s="1136"/>
      <c r="CA911" s="1136"/>
      <c r="CB911" s="1136"/>
      <c r="CC911" s="1136"/>
      <c r="CD911" s="1136"/>
      <c r="CE911" s="1136"/>
      <c r="CF911" s="1136"/>
      <c r="CG911" s="1136"/>
      <c r="CH911" s="1136"/>
      <c r="CI911" s="1136"/>
      <c r="CJ911" s="1136"/>
      <c r="CK911" s="1136"/>
      <c r="CL911" s="1136"/>
      <c r="CM911" s="1136"/>
      <c r="CN911" s="1136"/>
      <c r="CO911" s="1136"/>
      <c r="CP911" s="1136"/>
      <c r="CQ911" s="1136"/>
      <c r="CR911" s="1136"/>
      <c r="CS911" s="1136"/>
      <c r="CT911" s="1136"/>
      <c r="CU911" s="1136"/>
      <c r="CV911" s="1136"/>
      <c r="CW911" s="1136"/>
      <c r="CX911" s="1136"/>
      <c r="CY911" s="1136"/>
      <c r="CZ911" s="1136"/>
      <c r="DA911" s="1136"/>
      <c r="DB911" s="1136"/>
      <c r="DC911" s="1136"/>
      <c r="DD911" s="1136"/>
      <c r="DE911" s="1136"/>
      <c r="DF911" s="1136"/>
      <c r="DG911" s="1136"/>
      <c r="DH911" s="1136"/>
      <c r="DI911" s="1136"/>
    </row>
    <row r="912" spans="1:113" ht="47.25" x14ac:dyDescent="0.25">
      <c r="A912" s="1435" t="s">
        <v>3214</v>
      </c>
      <c r="B912" s="1451">
        <f>B852</f>
        <v>1</v>
      </c>
      <c r="C912" s="1434"/>
      <c r="D912" s="1562"/>
      <c r="E912" s="1562"/>
      <c r="F912" s="1562"/>
      <c r="G912" s="1562"/>
      <c r="H912" s="1531"/>
      <c r="I912" s="1531"/>
      <c r="J912" s="1531"/>
      <c r="K912" s="1531"/>
      <c r="L912" s="1531"/>
      <c r="M912" s="1531"/>
      <c r="N912" s="1531"/>
      <c r="O912" s="1531"/>
      <c r="P912" s="1531"/>
      <c r="Q912" s="1531"/>
      <c r="R912" s="1531"/>
      <c r="S912" s="1531"/>
      <c r="T912" s="1531"/>
      <c r="U912" s="1531"/>
      <c r="V912" s="1531"/>
      <c r="W912" s="1531"/>
      <c r="X912" s="1531"/>
      <c r="Y912" s="1531"/>
      <c r="Z912" s="1531"/>
      <c r="AA912" s="1531"/>
      <c r="AB912" s="1531"/>
      <c r="AC912" s="1531"/>
      <c r="AD912" s="1531"/>
      <c r="AE912" s="1531"/>
      <c r="AF912" s="1531"/>
      <c r="AG912" s="1531"/>
      <c r="AH912" s="1531"/>
      <c r="AI912" s="1531"/>
      <c r="AJ912" s="1531"/>
      <c r="AK912" s="1531"/>
      <c r="AL912" s="1531"/>
      <c r="AM912" s="1531"/>
      <c r="AN912" s="1531"/>
      <c r="AO912" s="1531"/>
      <c r="AP912" s="1531"/>
      <c r="AQ912" s="1531"/>
      <c r="AR912" s="1531"/>
      <c r="AS912" s="1531"/>
      <c r="AT912" s="1136"/>
      <c r="AU912" s="1136"/>
      <c r="AV912" s="1136"/>
      <c r="AW912" s="1136"/>
      <c r="AX912" s="1136"/>
      <c r="AY912" s="1136"/>
      <c r="AZ912" s="1136"/>
      <c r="BA912" s="1136"/>
      <c r="BB912" s="1136"/>
      <c r="BC912" s="1136"/>
      <c r="BD912" s="1136"/>
      <c r="BE912" s="1136"/>
      <c r="BF912" s="1136"/>
      <c r="BG912" s="1136"/>
      <c r="BH912" s="1136"/>
      <c r="BI912" s="1136"/>
      <c r="BJ912" s="1136"/>
      <c r="BK912" s="1136"/>
      <c r="BL912" s="1136"/>
      <c r="BM912" s="1136"/>
      <c r="BN912" s="1136"/>
      <c r="BO912" s="1136"/>
      <c r="BP912" s="1136"/>
      <c r="BQ912" s="1136"/>
      <c r="BR912" s="1136"/>
      <c r="BS912" s="1136"/>
      <c r="BT912" s="1136"/>
      <c r="BU912" s="1136"/>
      <c r="BV912" s="1136"/>
      <c r="BW912" s="1136"/>
      <c r="BX912" s="1136"/>
      <c r="BY912" s="1136"/>
      <c r="BZ912" s="1136"/>
      <c r="CA912" s="1136"/>
      <c r="CB912" s="1136"/>
      <c r="CC912" s="1136"/>
      <c r="CD912" s="1136"/>
      <c r="CE912" s="1136"/>
      <c r="CF912" s="1136"/>
      <c r="CG912" s="1136"/>
      <c r="CH912" s="1136"/>
      <c r="CI912" s="1136"/>
      <c r="CJ912" s="1136"/>
      <c r="CK912" s="1136"/>
      <c r="CL912" s="1136"/>
      <c r="CM912" s="1136"/>
      <c r="CN912" s="1136"/>
      <c r="CO912" s="1136"/>
      <c r="CP912" s="1136"/>
      <c r="CQ912" s="1136"/>
      <c r="CR912" s="1136"/>
      <c r="CS912" s="1136"/>
      <c r="CT912" s="1136"/>
      <c r="CU912" s="1136"/>
      <c r="CV912" s="1136"/>
      <c r="CW912" s="1136"/>
      <c r="CX912" s="1136"/>
      <c r="CY912" s="1136"/>
      <c r="CZ912" s="1136"/>
      <c r="DA912" s="1136"/>
      <c r="DB912" s="1136"/>
      <c r="DC912" s="1136"/>
      <c r="DD912" s="1136"/>
      <c r="DE912" s="1136"/>
      <c r="DF912" s="1136"/>
      <c r="DG912" s="1136"/>
      <c r="DH912" s="1136"/>
      <c r="DI912" s="1136"/>
    </row>
    <row r="913" spans="1:113" ht="15.75" x14ac:dyDescent="0.25">
      <c r="A913" s="1420" t="s">
        <v>1893</v>
      </c>
      <c r="B913" s="1443">
        <f>IF(B912=0,1.05,1)</f>
        <v>1</v>
      </c>
      <c r="C913" s="1521"/>
      <c r="D913" s="1606"/>
      <c r="E913" s="1606"/>
      <c r="F913" s="1606"/>
      <c r="G913" s="1606"/>
      <c r="H913" s="1531"/>
      <c r="I913" s="1531"/>
      <c r="J913" s="1531"/>
      <c r="K913" s="1531"/>
      <c r="L913" s="1531"/>
      <c r="M913" s="1531"/>
      <c r="N913" s="1531"/>
      <c r="O913" s="1531"/>
      <c r="P913" s="1531"/>
      <c r="Q913" s="1531"/>
      <c r="R913" s="1531"/>
      <c r="S913" s="1531"/>
      <c r="T913" s="1531"/>
      <c r="U913" s="1531"/>
      <c r="V913" s="1531"/>
      <c r="W913" s="1531"/>
      <c r="X913" s="1531"/>
      <c r="Y913" s="1531"/>
      <c r="Z913" s="1531"/>
      <c r="AA913" s="1531"/>
      <c r="AB913" s="1531"/>
      <c r="AC913" s="1531"/>
      <c r="AD913" s="1531"/>
      <c r="AE913" s="1531"/>
      <c r="AF913" s="1531"/>
      <c r="AG913" s="1531"/>
      <c r="AH913" s="1531"/>
      <c r="AI913" s="1531"/>
      <c r="AJ913" s="1531"/>
      <c r="AK913" s="1531"/>
      <c r="AL913" s="1531"/>
      <c r="AM913" s="1531"/>
      <c r="AN913" s="1531"/>
      <c r="AO913" s="1531"/>
      <c r="AP913" s="1531"/>
      <c r="AQ913" s="1531"/>
      <c r="AR913" s="1531"/>
      <c r="AS913" s="1531"/>
      <c r="AT913" s="1136"/>
      <c r="AU913" s="1136"/>
      <c r="AV913" s="1136"/>
      <c r="AW913" s="1136"/>
      <c r="AX913" s="1136"/>
      <c r="AY913" s="1136"/>
      <c r="AZ913" s="1136"/>
      <c r="BA913" s="1136"/>
      <c r="BB913" s="1136"/>
      <c r="BC913" s="1136"/>
      <c r="BD913" s="1136"/>
      <c r="BE913" s="1136"/>
      <c r="BF913" s="1136"/>
      <c r="BG913" s="1136"/>
      <c r="BH913" s="1136"/>
      <c r="BI913" s="1136"/>
      <c r="BJ913" s="1136"/>
      <c r="BK913" s="1136"/>
      <c r="BL913" s="1136"/>
      <c r="BM913" s="1136"/>
      <c r="BN913" s="1136"/>
      <c r="BO913" s="1136"/>
      <c r="BP913" s="1136"/>
      <c r="BQ913" s="1136"/>
      <c r="BR913" s="1136"/>
      <c r="BS913" s="1136"/>
      <c r="BT913" s="1136"/>
      <c r="BU913" s="1136"/>
      <c r="BV913" s="1136"/>
      <c r="BW913" s="1136"/>
      <c r="BX913" s="1136"/>
      <c r="BY913" s="1136"/>
      <c r="BZ913" s="1136"/>
      <c r="CA913" s="1136"/>
      <c r="CB913" s="1136"/>
      <c r="CC913" s="1136"/>
      <c r="CD913" s="1136"/>
      <c r="CE913" s="1136"/>
      <c r="CF913" s="1136"/>
      <c r="CG913" s="1136"/>
      <c r="CH913" s="1136"/>
      <c r="CI913" s="1136"/>
      <c r="CJ913" s="1136"/>
      <c r="CK913" s="1136"/>
      <c r="CL913" s="1136"/>
      <c r="CM913" s="1136"/>
      <c r="CN913" s="1136"/>
      <c r="CO913" s="1136"/>
      <c r="CP913" s="1136"/>
      <c r="CQ913" s="1136"/>
      <c r="CR913" s="1136"/>
      <c r="CS913" s="1136"/>
      <c r="CT913" s="1136"/>
      <c r="CU913" s="1136"/>
      <c r="CV913" s="1136"/>
      <c r="CW913" s="1136"/>
      <c r="CX913" s="1136"/>
      <c r="CY913" s="1136"/>
      <c r="CZ913" s="1136"/>
      <c r="DA913" s="1136"/>
      <c r="DB913" s="1136"/>
      <c r="DC913" s="1136"/>
      <c r="DD913" s="1136"/>
      <c r="DE913" s="1136"/>
      <c r="DF913" s="1136"/>
      <c r="DG913" s="1136"/>
      <c r="DH913" s="1136"/>
      <c r="DI913" s="1136"/>
    </row>
    <row r="914" spans="1:113" ht="15.75" x14ac:dyDescent="0.25">
      <c r="A914" s="1420" t="s">
        <v>1894</v>
      </c>
      <c r="B914" s="1443" t="e">
        <f>B906*B908*B909*B911*B913*B341</f>
        <v>#VALUE!</v>
      </c>
      <c r="C914" s="1521"/>
      <c r="D914" s="1531"/>
      <c r="E914" s="1531"/>
      <c r="F914" s="1531"/>
      <c r="G914" s="1531"/>
      <c r="H914" s="1531"/>
      <c r="I914" s="1531"/>
      <c r="J914" s="1531"/>
      <c r="K914" s="1531"/>
      <c r="L914" s="1531"/>
      <c r="M914" s="1531"/>
      <c r="N914" s="1531"/>
      <c r="O914" s="1531"/>
      <c r="P914" s="1531"/>
      <c r="Q914" s="1531"/>
      <c r="R914" s="1531"/>
      <c r="S914" s="1531"/>
      <c r="T914" s="1531"/>
      <c r="U914" s="1531"/>
      <c r="V914" s="1531"/>
      <c r="W914" s="1531"/>
      <c r="X914" s="1531"/>
      <c r="Y914" s="1531"/>
      <c r="Z914" s="1531"/>
      <c r="AA914" s="1531"/>
      <c r="AB914" s="1531"/>
      <c r="AC914" s="1531"/>
      <c r="AD914" s="1531"/>
      <c r="AE914" s="1531"/>
      <c r="AF914" s="1531"/>
      <c r="AG914" s="1531"/>
      <c r="AH914" s="1531"/>
      <c r="AI914" s="1531"/>
      <c r="AJ914" s="1531"/>
      <c r="AK914" s="1531"/>
      <c r="AL914" s="1531"/>
      <c r="AM914" s="1531"/>
      <c r="AN914" s="1531"/>
      <c r="AO914" s="1531"/>
      <c r="AP914" s="1531"/>
      <c r="AQ914" s="1531"/>
      <c r="AR914" s="1531"/>
      <c r="AS914" s="1531"/>
      <c r="AT914" s="1136"/>
      <c r="AU914" s="1136"/>
      <c r="AV914" s="1136"/>
      <c r="AW914" s="1136"/>
      <c r="AX914" s="1136"/>
      <c r="AY914" s="1136"/>
      <c r="AZ914" s="1136"/>
      <c r="BA914" s="1136"/>
      <c r="BB914" s="1136"/>
      <c r="BC914" s="1136"/>
      <c r="BD914" s="1136"/>
      <c r="BE914" s="1136"/>
      <c r="BF914" s="1136"/>
      <c r="BG914" s="1136"/>
      <c r="BH914" s="1136"/>
      <c r="BI914" s="1136"/>
      <c r="BJ914" s="1136"/>
      <c r="BK914" s="1136"/>
      <c r="BL914" s="1136"/>
      <c r="BM914" s="1136"/>
      <c r="BN914" s="1136"/>
      <c r="BO914" s="1136"/>
      <c r="BP914" s="1136"/>
      <c r="BQ914" s="1136"/>
      <c r="BR914" s="1136"/>
      <c r="BS914" s="1136"/>
      <c r="BT914" s="1136"/>
      <c r="BU914" s="1136"/>
      <c r="BV914" s="1136"/>
      <c r="BW914" s="1136"/>
      <c r="BX914" s="1136"/>
      <c r="BY914" s="1136"/>
      <c r="BZ914" s="1136"/>
      <c r="CA914" s="1136"/>
      <c r="CB914" s="1136"/>
      <c r="CC914" s="1136"/>
      <c r="CD914" s="1136"/>
      <c r="CE914" s="1136"/>
      <c r="CF914" s="1136"/>
      <c r="CG914" s="1136"/>
      <c r="CH914" s="1136"/>
      <c r="CI914" s="1136"/>
      <c r="CJ914" s="1136"/>
      <c r="CK914" s="1136"/>
      <c r="CL914" s="1136"/>
      <c r="CM914" s="1136"/>
      <c r="CN914" s="1136"/>
      <c r="CO914" s="1136"/>
      <c r="CP914" s="1136"/>
      <c r="CQ914" s="1136"/>
      <c r="CR914" s="1136"/>
      <c r="CS914" s="1136"/>
      <c r="CT914" s="1136"/>
      <c r="CU914" s="1136"/>
      <c r="CV914" s="1136"/>
      <c r="CW914" s="1136"/>
      <c r="CX914" s="1136"/>
      <c r="CY914" s="1136"/>
      <c r="CZ914" s="1136"/>
      <c r="DA914" s="1136"/>
      <c r="DB914" s="1136"/>
      <c r="DC914" s="1136"/>
      <c r="DD914" s="1136"/>
      <c r="DE914" s="1136"/>
      <c r="DF914" s="1136"/>
      <c r="DG914" s="1136"/>
      <c r="DH914" s="1136"/>
      <c r="DI914" s="1136"/>
    </row>
    <row r="915" spans="1:113" ht="15.75" x14ac:dyDescent="0.25">
      <c r="A915" s="1420" t="s">
        <v>429</v>
      </c>
      <c r="B915" s="1439" t="e">
        <f>B905/B914</f>
        <v>#REF!</v>
      </c>
      <c r="C915" s="1562"/>
      <c r="D915" s="1521"/>
      <c r="E915" s="1521"/>
      <c r="F915" s="1521"/>
      <c r="G915" s="1521"/>
      <c r="H915" s="1531"/>
      <c r="I915" s="1531"/>
      <c r="J915" s="1531"/>
      <c r="K915" s="1531"/>
      <c r="L915" s="1531"/>
      <c r="M915" s="1531"/>
      <c r="N915" s="1531"/>
      <c r="O915" s="1531"/>
      <c r="P915" s="1531"/>
      <c r="Q915" s="1531"/>
      <c r="R915" s="1531"/>
      <c r="S915" s="1531"/>
      <c r="T915" s="1531"/>
      <c r="U915" s="1531"/>
      <c r="V915" s="1531"/>
      <c r="W915" s="1531"/>
      <c r="X915" s="1531"/>
      <c r="Y915" s="1531"/>
      <c r="Z915" s="1531"/>
      <c r="AA915" s="1531"/>
      <c r="AB915" s="1531"/>
      <c r="AC915" s="1531"/>
      <c r="AD915" s="1531"/>
      <c r="AE915" s="1531"/>
      <c r="AF915" s="1531"/>
      <c r="AG915" s="1531"/>
      <c r="AH915" s="1531"/>
      <c r="AI915" s="1531"/>
      <c r="AJ915" s="1531"/>
      <c r="AK915" s="1531"/>
      <c r="AL915" s="1531"/>
      <c r="AM915" s="1531"/>
      <c r="AN915" s="1531"/>
      <c r="AO915" s="1531"/>
      <c r="AP915" s="1531"/>
      <c r="AQ915" s="1531"/>
      <c r="AR915" s="1531"/>
      <c r="AS915" s="1531"/>
      <c r="AT915" s="1136"/>
      <c r="AU915" s="1136"/>
      <c r="AV915" s="1136"/>
      <c r="AW915" s="1136"/>
      <c r="AX915" s="1136"/>
      <c r="AY915" s="1136"/>
      <c r="AZ915" s="1136"/>
      <c r="BA915" s="1136"/>
      <c r="BB915" s="1136"/>
      <c r="BC915" s="1136"/>
      <c r="BD915" s="1136"/>
      <c r="BE915" s="1136"/>
      <c r="BF915" s="1136"/>
      <c r="BG915" s="1136"/>
      <c r="BH915" s="1136"/>
      <c r="BI915" s="1136"/>
      <c r="BJ915" s="1136"/>
      <c r="BK915" s="1136"/>
      <c r="BL915" s="1136"/>
      <c r="BM915" s="1136"/>
      <c r="BN915" s="1136"/>
      <c r="BO915" s="1136"/>
      <c r="BP915" s="1136"/>
      <c r="BQ915" s="1136"/>
      <c r="BR915" s="1136"/>
      <c r="BS915" s="1136"/>
      <c r="BT915" s="1136"/>
      <c r="BU915" s="1136"/>
      <c r="BV915" s="1136"/>
      <c r="BW915" s="1136"/>
      <c r="BX915" s="1136"/>
      <c r="BY915" s="1136"/>
      <c r="BZ915" s="1136"/>
      <c r="CA915" s="1136"/>
      <c r="CB915" s="1136"/>
      <c r="CC915" s="1136"/>
      <c r="CD915" s="1136"/>
      <c r="CE915" s="1136"/>
      <c r="CF915" s="1136"/>
      <c r="CG915" s="1136"/>
      <c r="CH915" s="1136"/>
      <c r="CI915" s="1136"/>
      <c r="CJ915" s="1136"/>
      <c r="CK915" s="1136"/>
      <c r="CL915" s="1136"/>
      <c r="CM915" s="1136"/>
      <c r="CN915" s="1136"/>
      <c r="CO915" s="1136"/>
      <c r="CP915" s="1136"/>
      <c r="CQ915" s="1136"/>
      <c r="CR915" s="1136"/>
      <c r="CS915" s="1136"/>
      <c r="CT915" s="1136"/>
      <c r="CU915" s="1136"/>
      <c r="CV915" s="1136"/>
      <c r="CW915" s="1136"/>
      <c r="CX915" s="1136"/>
      <c r="CY915" s="1136"/>
      <c r="CZ915" s="1136"/>
      <c r="DA915" s="1136"/>
      <c r="DB915" s="1136"/>
      <c r="DC915" s="1136"/>
      <c r="DD915" s="1136"/>
      <c r="DE915" s="1136"/>
      <c r="DF915" s="1136"/>
      <c r="DG915" s="1136"/>
      <c r="DH915" s="1136"/>
      <c r="DI915" s="1136"/>
    </row>
    <row r="916" spans="1:113" ht="15.75" x14ac:dyDescent="0.25">
      <c r="A916" s="1420"/>
      <c r="B916" s="1439"/>
      <c r="C916" s="1562"/>
      <c r="D916" s="1521"/>
      <c r="E916" s="1521"/>
      <c r="F916" s="1521"/>
      <c r="G916" s="1521"/>
      <c r="H916" s="1531"/>
      <c r="I916" s="1531"/>
      <c r="J916" s="1531"/>
      <c r="K916" s="1531"/>
      <c r="L916" s="1531"/>
      <c r="M916" s="1531"/>
      <c r="N916" s="1531"/>
      <c r="O916" s="1531"/>
      <c r="P916" s="1531"/>
      <c r="Q916" s="1531"/>
      <c r="R916" s="1531"/>
      <c r="S916" s="1531"/>
      <c r="T916" s="1531"/>
      <c r="U916" s="1531"/>
      <c r="V916" s="1531"/>
      <c r="W916" s="1531"/>
      <c r="X916" s="1531"/>
      <c r="Y916" s="1531"/>
      <c r="Z916" s="1531"/>
      <c r="AA916" s="1531"/>
      <c r="AB916" s="1531"/>
      <c r="AC916" s="1531"/>
      <c r="AD916" s="1531"/>
      <c r="AE916" s="1531"/>
      <c r="AF916" s="1531"/>
      <c r="AG916" s="1531"/>
      <c r="AH916" s="1531"/>
      <c r="AI916" s="1531"/>
      <c r="AJ916" s="1531"/>
      <c r="AK916" s="1531"/>
      <c r="AL916" s="1531"/>
      <c r="AM916" s="1531"/>
      <c r="AN916" s="1531"/>
      <c r="AO916" s="1531"/>
      <c r="AP916" s="1531"/>
      <c r="AQ916" s="1531"/>
      <c r="AR916" s="1531"/>
      <c r="AS916" s="1531"/>
      <c r="AT916" s="1136"/>
      <c r="AU916" s="1136"/>
      <c r="AV916" s="1136"/>
      <c r="AW916" s="1136"/>
      <c r="AX916" s="1136"/>
      <c r="AY916" s="1136"/>
      <c r="AZ916" s="1136"/>
      <c r="BA916" s="1136"/>
      <c r="BB916" s="1136"/>
      <c r="BC916" s="1136"/>
      <c r="BD916" s="1136"/>
      <c r="BE916" s="1136"/>
      <c r="BF916" s="1136"/>
      <c r="BG916" s="1136"/>
      <c r="BH916" s="1136"/>
      <c r="BI916" s="1136"/>
      <c r="BJ916" s="1136"/>
      <c r="BK916" s="1136"/>
      <c r="BL916" s="1136"/>
      <c r="BM916" s="1136"/>
      <c r="BN916" s="1136"/>
      <c r="BO916" s="1136"/>
      <c r="BP916" s="1136"/>
      <c r="BQ916" s="1136"/>
      <c r="BR916" s="1136"/>
      <c r="BS916" s="1136"/>
      <c r="BT916" s="1136"/>
      <c r="BU916" s="1136"/>
      <c r="BV916" s="1136"/>
      <c r="BW916" s="1136"/>
      <c r="BX916" s="1136"/>
      <c r="BY916" s="1136"/>
      <c r="BZ916" s="1136"/>
      <c r="CA916" s="1136"/>
      <c r="CB916" s="1136"/>
      <c r="CC916" s="1136"/>
      <c r="CD916" s="1136"/>
      <c r="CE916" s="1136"/>
      <c r="CF916" s="1136"/>
      <c r="CG916" s="1136"/>
      <c r="CH916" s="1136"/>
      <c r="CI916" s="1136"/>
      <c r="CJ916" s="1136"/>
      <c r="CK916" s="1136"/>
      <c r="CL916" s="1136"/>
      <c r="CM916" s="1136"/>
      <c r="CN916" s="1136"/>
      <c r="CO916" s="1136"/>
      <c r="CP916" s="1136"/>
      <c r="CQ916" s="1136"/>
      <c r="CR916" s="1136"/>
      <c r="CS916" s="1136"/>
      <c r="CT916" s="1136"/>
      <c r="CU916" s="1136"/>
      <c r="CV916" s="1136"/>
      <c r="CW916" s="1136"/>
      <c r="CX916" s="1136"/>
      <c r="CY916" s="1136"/>
      <c r="CZ916" s="1136"/>
      <c r="DA916" s="1136"/>
      <c r="DB916" s="1136"/>
      <c r="DC916" s="1136"/>
      <c r="DD916" s="1136"/>
      <c r="DE916" s="1136"/>
      <c r="DF916" s="1136"/>
      <c r="DG916" s="1136"/>
      <c r="DH916" s="1136"/>
      <c r="DI916" s="1136"/>
    </row>
    <row r="917" spans="1:113" ht="47.25" x14ac:dyDescent="0.25">
      <c r="A917" s="1438" t="s">
        <v>531</v>
      </c>
      <c r="B917" s="1450"/>
      <c r="C917" s="1617"/>
      <c r="D917" s="1434"/>
      <c r="E917" s="1434"/>
      <c r="F917" s="1434"/>
      <c r="G917" s="1434"/>
      <c r="H917" s="1531"/>
      <c r="I917" s="1531"/>
      <c r="J917" s="1531"/>
      <c r="K917" s="1531"/>
      <c r="L917" s="1531"/>
      <c r="M917" s="1531"/>
      <c r="N917" s="1531"/>
      <c r="O917" s="1531"/>
      <c r="P917" s="1531"/>
      <c r="Q917" s="1531"/>
      <c r="R917" s="1531"/>
      <c r="S917" s="1531"/>
      <c r="T917" s="1531"/>
      <c r="U917" s="1531"/>
      <c r="V917" s="1531"/>
      <c r="W917" s="1531"/>
      <c r="X917" s="1531"/>
      <c r="Y917" s="1531"/>
      <c r="Z917" s="1531"/>
      <c r="AA917" s="1531"/>
      <c r="AB917" s="1531"/>
      <c r="AC917" s="1531"/>
      <c r="AD917" s="1531"/>
      <c r="AE917" s="1531"/>
      <c r="AF917" s="1531"/>
      <c r="AG917" s="1531"/>
      <c r="AH917" s="1531"/>
      <c r="AI917" s="1531"/>
      <c r="AJ917" s="1531"/>
      <c r="AK917" s="1531"/>
      <c r="AL917" s="1531"/>
      <c r="AM917" s="1531"/>
      <c r="AN917" s="1531"/>
      <c r="AO917" s="1531"/>
      <c r="AP917" s="1531"/>
      <c r="AQ917" s="1531"/>
      <c r="AR917" s="1531"/>
      <c r="AS917" s="1531"/>
      <c r="AT917" s="1136"/>
      <c r="AU917" s="1136"/>
      <c r="AV917" s="1136"/>
      <c r="AW917" s="1136"/>
      <c r="AX917" s="1136"/>
      <c r="AY917" s="1136"/>
      <c r="AZ917" s="1136"/>
      <c r="BA917" s="1136"/>
      <c r="BB917" s="1136"/>
      <c r="BC917" s="1136"/>
      <c r="BD917" s="1136"/>
      <c r="BE917" s="1136"/>
      <c r="BF917" s="1136"/>
      <c r="BG917" s="1136"/>
      <c r="BH917" s="1136"/>
      <c r="BI917" s="1136"/>
      <c r="BJ917" s="1136"/>
      <c r="BK917" s="1136"/>
      <c r="BL917" s="1136"/>
      <c r="BM917" s="1136"/>
      <c r="BN917" s="1136"/>
      <c r="BO917" s="1136"/>
      <c r="BP917" s="1136"/>
      <c r="BQ917" s="1136"/>
      <c r="BR917" s="1136"/>
      <c r="BS917" s="1136"/>
      <c r="BT917" s="1136"/>
      <c r="BU917" s="1136"/>
      <c r="BV917" s="1136"/>
      <c r="BW917" s="1136"/>
      <c r="BX917" s="1136"/>
      <c r="BY917" s="1136"/>
      <c r="BZ917" s="1136"/>
      <c r="CA917" s="1136"/>
      <c r="CB917" s="1136"/>
      <c r="CC917" s="1136"/>
      <c r="CD917" s="1136"/>
      <c r="CE917" s="1136"/>
      <c r="CF917" s="1136"/>
      <c r="CG917" s="1136"/>
      <c r="CH917" s="1136"/>
      <c r="CI917" s="1136"/>
      <c r="CJ917" s="1136"/>
      <c r="CK917" s="1136"/>
      <c r="CL917" s="1136"/>
      <c r="CM917" s="1136"/>
      <c r="CN917" s="1136"/>
      <c r="CO917" s="1136"/>
      <c r="CP917" s="1136"/>
      <c r="CQ917" s="1136"/>
      <c r="CR917" s="1136"/>
      <c r="CS917" s="1136"/>
      <c r="CT917" s="1136"/>
      <c r="CU917" s="1136"/>
      <c r="CV917" s="1136"/>
      <c r="CW917" s="1136"/>
      <c r="CX917" s="1136"/>
      <c r="CY917" s="1136"/>
      <c r="CZ917" s="1136"/>
      <c r="DA917" s="1136"/>
      <c r="DB917" s="1136"/>
      <c r="DC917" s="1136"/>
      <c r="DD917" s="1136"/>
      <c r="DE917" s="1136"/>
      <c r="DF917" s="1136"/>
      <c r="DG917" s="1136"/>
      <c r="DH917" s="1136"/>
      <c r="DI917" s="1136"/>
    </row>
    <row r="918" spans="1:113" ht="15.75" x14ac:dyDescent="0.25">
      <c r="A918" s="1420" t="s">
        <v>424</v>
      </c>
      <c r="B918" s="1439" t="e">
        <f>(B291^2*((B815-B812)/B308+1)/(B815-B812))*B810</f>
        <v>#REF!</v>
      </c>
      <c r="C918" s="1562"/>
      <c r="D918" s="1521"/>
      <c r="E918" s="1521"/>
      <c r="F918" s="1521"/>
      <c r="G918" s="1521"/>
      <c r="H918" s="1531"/>
      <c r="I918" s="1531"/>
      <c r="J918" s="1531"/>
      <c r="K918" s="1531"/>
      <c r="L918" s="1531"/>
      <c r="M918" s="1531"/>
      <c r="N918" s="1531"/>
      <c r="O918" s="1531"/>
      <c r="P918" s="1531"/>
      <c r="Q918" s="1531"/>
      <c r="R918" s="1531"/>
      <c r="S918" s="1531"/>
      <c r="T918" s="1531"/>
      <c r="U918" s="1531"/>
      <c r="V918" s="1531"/>
      <c r="W918" s="1531"/>
      <c r="X918" s="1531"/>
      <c r="Y918" s="1531"/>
      <c r="Z918" s="1531"/>
      <c r="AA918" s="1531"/>
      <c r="AB918" s="1531"/>
      <c r="AC918" s="1531"/>
      <c r="AD918" s="1531"/>
      <c r="AE918" s="1531"/>
      <c r="AF918" s="1531"/>
      <c r="AG918" s="1531"/>
      <c r="AH918" s="1531"/>
      <c r="AI918" s="1531"/>
      <c r="AJ918" s="1531"/>
      <c r="AK918" s="1531"/>
      <c r="AL918" s="1531"/>
      <c r="AM918" s="1531"/>
      <c r="AN918" s="1531"/>
      <c r="AO918" s="1531"/>
      <c r="AP918" s="1531"/>
      <c r="AQ918" s="1531"/>
      <c r="AR918" s="1531"/>
      <c r="AS918" s="1531"/>
      <c r="AT918" s="1136"/>
      <c r="AU918" s="1136"/>
      <c r="AV918" s="1136"/>
      <c r="AW918" s="1136"/>
      <c r="AX918" s="1136"/>
      <c r="AY918" s="1136"/>
      <c r="AZ918" s="1136"/>
      <c r="BA918" s="1136"/>
      <c r="BB918" s="1136"/>
      <c r="BC918" s="1136"/>
      <c r="BD918" s="1136"/>
      <c r="BE918" s="1136"/>
      <c r="BF918" s="1136"/>
      <c r="BG918" s="1136"/>
      <c r="BH918" s="1136"/>
      <c r="BI918" s="1136"/>
      <c r="BJ918" s="1136"/>
      <c r="BK918" s="1136"/>
      <c r="BL918" s="1136"/>
      <c r="BM918" s="1136"/>
      <c r="BN918" s="1136"/>
      <c r="BO918" s="1136"/>
      <c r="BP918" s="1136"/>
      <c r="BQ918" s="1136"/>
      <c r="BR918" s="1136"/>
      <c r="BS918" s="1136"/>
      <c r="BT918" s="1136"/>
      <c r="BU918" s="1136"/>
      <c r="BV918" s="1136"/>
      <c r="BW918" s="1136"/>
      <c r="BX918" s="1136"/>
      <c r="BY918" s="1136"/>
      <c r="BZ918" s="1136"/>
      <c r="CA918" s="1136"/>
      <c r="CB918" s="1136"/>
      <c r="CC918" s="1136"/>
      <c r="CD918" s="1136"/>
      <c r="CE918" s="1136"/>
      <c r="CF918" s="1136"/>
      <c r="CG918" s="1136"/>
      <c r="CH918" s="1136"/>
      <c r="CI918" s="1136"/>
      <c r="CJ918" s="1136"/>
      <c r="CK918" s="1136"/>
      <c r="CL918" s="1136"/>
      <c r="CM918" s="1136"/>
      <c r="CN918" s="1136"/>
      <c r="CO918" s="1136"/>
      <c r="CP918" s="1136"/>
      <c r="CQ918" s="1136"/>
      <c r="CR918" s="1136"/>
      <c r="CS918" s="1136"/>
      <c r="CT918" s="1136"/>
      <c r="CU918" s="1136"/>
      <c r="CV918" s="1136"/>
      <c r="CW918" s="1136"/>
      <c r="CX918" s="1136"/>
      <c r="CY918" s="1136"/>
      <c r="CZ918" s="1136"/>
      <c r="DA918" s="1136"/>
      <c r="DB918" s="1136"/>
      <c r="DC918" s="1136"/>
      <c r="DD918" s="1136"/>
      <c r="DE918" s="1136"/>
      <c r="DF918" s="1136"/>
      <c r="DG918" s="1136"/>
      <c r="DH918" s="1136"/>
      <c r="DI918" s="1136"/>
    </row>
    <row r="919" spans="1:113" ht="15.75" x14ac:dyDescent="0.25">
      <c r="A919" s="1420" t="s">
        <v>1718</v>
      </c>
      <c r="B919" s="1424">
        <f>INDEX($G$1619:$J$1631,B921,B922)</f>
        <v>29.7</v>
      </c>
      <c r="C919" s="1606"/>
      <c r="D919" s="1434"/>
      <c r="E919" s="1434"/>
      <c r="F919" s="1434"/>
      <c r="G919" s="1434"/>
      <c r="H919" s="1531"/>
      <c r="I919" s="1531"/>
      <c r="J919" s="1531"/>
      <c r="K919" s="1531"/>
      <c r="L919" s="1531"/>
      <c r="M919" s="1531"/>
      <c r="N919" s="1531"/>
      <c r="O919" s="1531"/>
      <c r="P919" s="1531"/>
      <c r="Q919" s="1531"/>
      <c r="R919" s="1531"/>
      <c r="S919" s="1531"/>
      <c r="T919" s="1531"/>
      <c r="U919" s="1531"/>
      <c r="V919" s="1531"/>
      <c r="W919" s="1531"/>
      <c r="X919" s="1531"/>
      <c r="Y919" s="1531"/>
      <c r="Z919" s="1531"/>
      <c r="AA919" s="1531"/>
      <c r="AB919" s="1531"/>
      <c r="AC919" s="1531"/>
      <c r="AD919" s="1531"/>
      <c r="AE919" s="1531"/>
      <c r="AF919" s="1531"/>
      <c r="AG919" s="1531"/>
      <c r="AH919" s="1531"/>
      <c r="AI919" s="1531"/>
      <c r="AJ919" s="1531"/>
      <c r="AK919" s="1531"/>
      <c r="AL919" s="1531"/>
      <c r="AM919" s="1531"/>
      <c r="AN919" s="1531"/>
      <c r="AO919" s="1531"/>
      <c r="AP919" s="1531"/>
      <c r="AQ919" s="1531"/>
      <c r="AR919" s="1531"/>
      <c r="AS919" s="1531"/>
      <c r="AT919" s="1136"/>
      <c r="AU919" s="1136"/>
      <c r="AV919" s="1136"/>
      <c r="AW919" s="1136"/>
      <c r="AX919" s="1136"/>
      <c r="AY919" s="1136"/>
      <c r="AZ919" s="1136"/>
      <c r="BA919" s="1136"/>
      <c r="BB919" s="1136"/>
      <c r="BC919" s="1136"/>
      <c r="BD919" s="1136"/>
      <c r="BE919" s="1136"/>
      <c r="BF919" s="1136"/>
      <c r="BG919" s="1136"/>
      <c r="BH919" s="1136"/>
      <c r="BI919" s="1136"/>
      <c r="BJ919" s="1136"/>
      <c r="BK919" s="1136"/>
      <c r="BL919" s="1136"/>
      <c r="BM919" s="1136"/>
      <c r="BN919" s="1136"/>
      <c r="BO919" s="1136"/>
      <c r="BP919" s="1136"/>
      <c r="BQ919" s="1136"/>
      <c r="BR919" s="1136"/>
      <c r="BS919" s="1136"/>
      <c r="BT919" s="1136"/>
      <c r="BU919" s="1136"/>
      <c r="BV919" s="1136"/>
      <c r="BW919" s="1136"/>
      <c r="BX919" s="1136"/>
      <c r="BY919" s="1136"/>
      <c r="BZ919" s="1136"/>
      <c r="CA919" s="1136"/>
      <c r="CB919" s="1136"/>
      <c r="CC919" s="1136"/>
      <c r="CD919" s="1136"/>
      <c r="CE919" s="1136"/>
      <c r="CF919" s="1136"/>
      <c r="CG919" s="1136"/>
      <c r="CH919" s="1136"/>
      <c r="CI919" s="1136"/>
      <c r="CJ919" s="1136"/>
      <c r="CK919" s="1136"/>
      <c r="CL919" s="1136"/>
      <c r="CM919" s="1136"/>
      <c r="CN919" s="1136"/>
      <c r="CO919" s="1136"/>
      <c r="CP919" s="1136"/>
      <c r="CQ919" s="1136"/>
      <c r="CR919" s="1136"/>
      <c r="CS919" s="1136"/>
      <c r="CT919" s="1136"/>
      <c r="CU919" s="1136"/>
      <c r="CV919" s="1136"/>
      <c r="CW919" s="1136"/>
      <c r="CX919" s="1136"/>
      <c r="CY919" s="1136"/>
      <c r="CZ919" s="1136"/>
      <c r="DA919" s="1136"/>
      <c r="DB919" s="1136"/>
      <c r="DC919" s="1136"/>
      <c r="DD919" s="1136"/>
      <c r="DE919" s="1136"/>
      <c r="DF919" s="1136"/>
      <c r="DG919" s="1136"/>
      <c r="DH919" s="1136"/>
      <c r="DI919" s="1136"/>
    </row>
    <row r="920" spans="1:113" ht="15.75" x14ac:dyDescent="0.25">
      <c r="A920" s="1435" t="s">
        <v>1719</v>
      </c>
      <c r="B920" s="1439"/>
      <c r="C920" s="1562"/>
      <c r="D920" s="1521"/>
      <c r="E920" s="1521"/>
      <c r="F920" s="1521"/>
      <c r="G920" s="1521"/>
      <c r="H920" s="1531"/>
      <c r="I920" s="1531"/>
      <c r="J920" s="1531"/>
      <c r="K920" s="1531"/>
      <c r="L920" s="1531"/>
      <c r="M920" s="1531"/>
      <c r="N920" s="1531"/>
      <c r="O920" s="1531"/>
      <c r="P920" s="1531"/>
      <c r="Q920" s="1531"/>
      <c r="R920" s="1531"/>
      <c r="S920" s="1531"/>
      <c r="T920" s="1531"/>
      <c r="U920" s="1531"/>
      <c r="V920" s="1531"/>
      <c r="W920" s="1531"/>
      <c r="X920" s="1531"/>
      <c r="Y920" s="1531"/>
      <c r="Z920" s="1531"/>
      <c r="AA920" s="1531"/>
      <c r="AB920" s="1531"/>
      <c r="AC920" s="1531"/>
      <c r="AD920" s="1531"/>
      <c r="AE920" s="1531"/>
      <c r="AF920" s="1531"/>
      <c r="AG920" s="1531"/>
      <c r="AH920" s="1531"/>
      <c r="AI920" s="1531"/>
      <c r="AJ920" s="1531"/>
      <c r="AK920" s="1531"/>
      <c r="AL920" s="1531"/>
      <c r="AM920" s="1531"/>
      <c r="AN920" s="1531"/>
      <c r="AO920" s="1531"/>
      <c r="AP920" s="1531"/>
      <c r="AQ920" s="1531"/>
      <c r="AR920" s="1531"/>
      <c r="AS920" s="1531"/>
      <c r="AT920" s="1136"/>
      <c r="AU920" s="1136"/>
      <c r="AV920" s="1136"/>
      <c r="AW920" s="1136"/>
      <c r="AX920" s="1136"/>
      <c r="AY920" s="1136"/>
      <c r="AZ920" s="1136"/>
      <c r="BA920" s="1136"/>
      <c r="BB920" s="1136"/>
      <c r="BC920" s="1136"/>
      <c r="BD920" s="1136"/>
      <c r="BE920" s="1136"/>
      <c r="BF920" s="1136"/>
      <c r="BG920" s="1136"/>
      <c r="BH920" s="1136"/>
      <c r="BI920" s="1136"/>
      <c r="BJ920" s="1136"/>
      <c r="BK920" s="1136"/>
      <c r="BL920" s="1136"/>
      <c r="BM920" s="1136"/>
      <c r="BN920" s="1136"/>
      <c r="BO920" s="1136"/>
      <c r="BP920" s="1136"/>
      <c r="BQ920" s="1136"/>
      <c r="BR920" s="1136"/>
      <c r="BS920" s="1136"/>
      <c r="BT920" s="1136"/>
      <c r="BU920" s="1136"/>
      <c r="BV920" s="1136"/>
      <c r="BW920" s="1136"/>
      <c r="BX920" s="1136"/>
      <c r="BY920" s="1136"/>
      <c r="BZ920" s="1136"/>
      <c r="CA920" s="1136"/>
      <c r="CB920" s="1136"/>
      <c r="CC920" s="1136"/>
      <c r="CD920" s="1136"/>
      <c r="CE920" s="1136"/>
      <c r="CF920" s="1136"/>
      <c r="CG920" s="1136"/>
      <c r="CH920" s="1136"/>
      <c r="CI920" s="1136"/>
      <c r="CJ920" s="1136"/>
      <c r="CK920" s="1136"/>
      <c r="CL920" s="1136"/>
      <c r="CM920" s="1136"/>
      <c r="CN920" s="1136"/>
      <c r="CO920" s="1136"/>
      <c r="CP920" s="1136"/>
      <c r="CQ920" s="1136"/>
      <c r="CR920" s="1136"/>
      <c r="CS920" s="1136"/>
      <c r="CT920" s="1136"/>
      <c r="CU920" s="1136"/>
      <c r="CV920" s="1136"/>
      <c r="CW920" s="1136"/>
      <c r="CX920" s="1136"/>
      <c r="CY920" s="1136"/>
      <c r="CZ920" s="1136"/>
      <c r="DA920" s="1136"/>
      <c r="DB920" s="1136"/>
      <c r="DC920" s="1136"/>
      <c r="DD920" s="1136"/>
      <c r="DE920" s="1136"/>
      <c r="DF920" s="1136"/>
      <c r="DG920" s="1136"/>
      <c r="DH920" s="1136"/>
      <c r="DI920" s="1136"/>
    </row>
    <row r="921" spans="1:113" ht="15.75" x14ac:dyDescent="0.25">
      <c r="A921" s="1420" t="s">
        <v>1720</v>
      </c>
      <c r="B921" s="1441">
        <f>B861</f>
        <v>13</v>
      </c>
      <c r="C921" s="1596"/>
      <c r="D921" s="1521"/>
      <c r="E921" s="1521"/>
      <c r="F921" s="1521"/>
      <c r="G921" s="1521"/>
      <c r="H921" s="1531"/>
      <c r="I921" s="1531"/>
      <c r="J921" s="1531"/>
      <c r="K921" s="1531"/>
      <c r="L921" s="1531"/>
      <c r="M921" s="1531"/>
      <c r="N921" s="1531"/>
      <c r="O921" s="1531"/>
      <c r="P921" s="1531"/>
      <c r="Q921" s="1531"/>
      <c r="R921" s="1531"/>
      <c r="S921" s="1531"/>
      <c r="T921" s="1531"/>
      <c r="U921" s="1531"/>
      <c r="V921" s="1531"/>
      <c r="W921" s="1531"/>
      <c r="X921" s="1531"/>
      <c r="Y921" s="1531"/>
      <c r="Z921" s="1531"/>
      <c r="AA921" s="1531"/>
      <c r="AB921" s="1531"/>
      <c r="AC921" s="1531"/>
      <c r="AD921" s="1531"/>
      <c r="AE921" s="1531"/>
      <c r="AF921" s="1531"/>
      <c r="AG921" s="1531"/>
      <c r="AH921" s="1531"/>
      <c r="AI921" s="1531"/>
      <c r="AJ921" s="1531"/>
      <c r="AK921" s="1531"/>
      <c r="AL921" s="1531"/>
      <c r="AM921" s="1531"/>
      <c r="AN921" s="1531"/>
      <c r="AO921" s="1531"/>
      <c r="AP921" s="1531"/>
      <c r="AQ921" s="1531"/>
      <c r="AR921" s="1531"/>
      <c r="AS921" s="1531"/>
      <c r="AT921" s="1136"/>
      <c r="AU921" s="1136"/>
      <c r="AV921" s="1136"/>
      <c r="AW921" s="1136"/>
      <c r="AX921" s="1136"/>
      <c r="AY921" s="1136"/>
      <c r="AZ921" s="1136"/>
      <c r="BA921" s="1136"/>
      <c r="BB921" s="1136"/>
      <c r="BC921" s="1136"/>
      <c r="BD921" s="1136"/>
      <c r="BE921" s="1136"/>
      <c r="BF921" s="1136"/>
      <c r="BG921" s="1136"/>
      <c r="BH921" s="1136"/>
      <c r="BI921" s="1136"/>
      <c r="BJ921" s="1136"/>
      <c r="BK921" s="1136"/>
      <c r="BL921" s="1136"/>
      <c r="BM921" s="1136"/>
      <c r="BN921" s="1136"/>
      <c r="BO921" s="1136"/>
      <c r="BP921" s="1136"/>
      <c r="BQ921" s="1136"/>
      <c r="BR921" s="1136"/>
      <c r="BS921" s="1136"/>
      <c r="BT921" s="1136"/>
      <c r="BU921" s="1136"/>
      <c r="BV921" s="1136"/>
      <c r="BW921" s="1136"/>
      <c r="BX921" s="1136"/>
      <c r="BY921" s="1136"/>
      <c r="BZ921" s="1136"/>
      <c r="CA921" s="1136"/>
      <c r="CB921" s="1136"/>
      <c r="CC921" s="1136"/>
      <c r="CD921" s="1136"/>
      <c r="CE921" s="1136"/>
      <c r="CF921" s="1136"/>
      <c r="CG921" s="1136"/>
      <c r="CH921" s="1136"/>
      <c r="CI921" s="1136"/>
      <c r="CJ921" s="1136"/>
      <c r="CK921" s="1136"/>
      <c r="CL921" s="1136"/>
      <c r="CM921" s="1136"/>
      <c r="CN921" s="1136"/>
      <c r="CO921" s="1136"/>
      <c r="CP921" s="1136"/>
      <c r="CQ921" s="1136"/>
      <c r="CR921" s="1136"/>
      <c r="CS921" s="1136"/>
      <c r="CT921" s="1136"/>
      <c r="CU921" s="1136"/>
      <c r="CV921" s="1136"/>
      <c r="CW921" s="1136"/>
      <c r="CX921" s="1136"/>
      <c r="CY921" s="1136"/>
      <c r="CZ921" s="1136"/>
      <c r="DA921" s="1136"/>
      <c r="DB921" s="1136"/>
      <c r="DC921" s="1136"/>
      <c r="DD921" s="1136"/>
      <c r="DE921" s="1136"/>
      <c r="DF921" s="1136"/>
      <c r="DG921" s="1136"/>
      <c r="DH921" s="1136"/>
      <c r="DI921" s="1136"/>
    </row>
    <row r="922" spans="1:113" ht="15.75" x14ac:dyDescent="0.25">
      <c r="A922" s="1420" t="s">
        <v>1722</v>
      </c>
      <c r="B922" s="1441">
        <f>B863</f>
        <v>4</v>
      </c>
      <c r="C922" s="1596"/>
      <c r="D922" s="1562"/>
      <c r="E922" s="1562"/>
      <c r="F922" s="1562"/>
      <c r="G922" s="1562"/>
      <c r="H922" s="1531"/>
      <c r="I922" s="1531"/>
      <c r="J922" s="1531"/>
      <c r="K922" s="1531"/>
      <c r="L922" s="1531"/>
      <c r="M922" s="1531"/>
      <c r="N922" s="1531"/>
      <c r="O922" s="1531"/>
      <c r="P922" s="1531"/>
      <c r="Q922" s="1531"/>
      <c r="R922" s="1531"/>
      <c r="S922" s="1531"/>
      <c r="T922" s="1531"/>
      <c r="U922" s="1531"/>
      <c r="V922" s="1531"/>
      <c r="W922" s="1531"/>
      <c r="X922" s="1531"/>
      <c r="Y922" s="1531"/>
      <c r="Z922" s="1531"/>
      <c r="AA922" s="1531"/>
      <c r="AB922" s="1531"/>
      <c r="AC922" s="1531"/>
      <c r="AD922" s="1531"/>
      <c r="AE922" s="1531"/>
      <c r="AF922" s="1531"/>
      <c r="AG922" s="1531"/>
      <c r="AH922" s="1531"/>
      <c r="AI922" s="1531"/>
      <c r="AJ922" s="1531"/>
      <c r="AK922" s="1531"/>
      <c r="AL922" s="1531"/>
      <c r="AM922" s="1531"/>
      <c r="AN922" s="1531"/>
      <c r="AO922" s="1531"/>
      <c r="AP922" s="1531"/>
      <c r="AQ922" s="1531"/>
      <c r="AR922" s="1531"/>
      <c r="AS922" s="1531"/>
      <c r="AT922" s="1136"/>
      <c r="AU922" s="1136"/>
      <c r="AV922" s="1136"/>
      <c r="AW922" s="1136"/>
      <c r="AX922" s="1136"/>
      <c r="AY922" s="1136"/>
      <c r="AZ922" s="1136"/>
      <c r="BA922" s="1136"/>
      <c r="BB922" s="1136"/>
      <c r="BC922" s="1136"/>
      <c r="BD922" s="1136"/>
      <c r="BE922" s="1136"/>
      <c r="BF922" s="1136"/>
      <c r="BG922" s="1136"/>
      <c r="BH922" s="1136"/>
      <c r="BI922" s="1136"/>
      <c r="BJ922" s="1136"/>
      <c r="BK922" s="1136"/>
      <c r="BL922" s="1136"/>
      <c r="BM922" s="1136"/>
      <c r="BN922" s="1136"/>
      <c r="BO922" s="1136"/>
      <c r="BP922" s="1136"/>
      <c r="BQ922" s="1136"/>
      <c r="BR922" s="1136"/>
      <c r="BS922" s="1136"/>
      <c r="BT922" s="1136"/>
      <c r="BU922" s="1136"/>
      <c r="BV922" s="1136"/>
      <c r="BW922" s="1136"/>
      <c r="BX922" s="1136"/>
      <c r="BY922" s="1136"/>
      <c r="BZ922" s="1136"/>
      <c r="CA922" s="1136"/>
      <c r="CB922" s="1136"/>
      <c r="CC922" s="1136"/>
      <c r="CD922" s="1136"/>
      <c r="CE922" s="1136"/>
      <c r="CF922" s="1136"/>
      <c r="CG922" s="1136"/>
      <c r="CH922" s="1136"/>
      <c r="CI922" s="1136"/>
      <c r="CJ922" s="1136"/>
      <c r="CK922" s="1136"/>
      <c r="CL922" s="1136"/>
      <c r="CM922" s="1136"/>
      <c r="CN922" s="1136"/>
      <c r="CO922" s="1136"/>
      <c r="CP922" s="1136"/>
      <c r="CQ922" s="1136"/>
      <c r="CR922" s="1136"/>
      <c r="CS922" s="1136"/>
      <c r="CT922" s="1136"/>
      <c r="CU922" s="1136"/>
      <c r="CV922" s="1136"/>
      <c r="CW922" s="1136"/>
      <c r="CX922" s="1136"/>
      <c r="CY922" s="1136"/>
      <c r="CZ922" s="1136"/>
      <c r="DA922" s="1136"/>
      <c r="DB922" s="1136"/>
      <c r="DC922" s="1136"/>
      <c r="DD922" s="1136"/>
      <c r="DE922" s="1136"/>
      <c r="DF922" s="1136"/>
      <c r="DG922" s="1136"/>
      <c r="DH922" s="1136"/>
      <c r="DI922" s="1136"/>
    </row>
    <row r="923" spans="1:113" ht="15.75" x14ac:dyDescent="0.25">
      <c r="A923" s="1420" t="s">
        <v>1723</v>
      </c>
      <c r="B923" s="1439"/>
      <c r="C923" s="1562"/>
      <c r="D923" s="1531"/>
      <c r="E923" s="1531"/>
      <c r="F923" s="1531"/>
      <c r="G923" s="1531"/>
      <c r="H923" s="1531"/>
      <c r="I923" s="1531"/>
      <c r="J923" s="1531"/>
      <c r="K923" s="1531"/>
      <c r="L923" s="1531"/>
      <c r="M923" s="1531"/>
      <c r="N923" s="1531"/>
      <c r="O923" s="1531"/>
      <c r="P923" s="1531"/>
      <c r="Q923" s="1531"/>
      <c r="R923" s="1531"/>
      <c r="S923" s="1531"/>
      <c r="T923" s="1531"/>
      <c r="U923" s="1531"/>
      <c r="V923" s="1531"/>
      <c r="W923" s="1531"/>
      <c r="X923" s="1531"/>
      <c r="Y923" s="1531"/>
      <c r="Z923" s="1531"/>
      <c r="AA923" s="1531"/>
      <c r="AB923" s="1531"/>
      <c r="AC923" s="1531"/>
      <c r="AD923" s="1531"/>
      <c r="AE923" s="1531"/>
      <c r="AF923" s="1531"/>
      <c r="AG923" s="1531"/>
      <c r="AH923" s="1531"/>
      <c r="AI923" s="1531"/>
      <c r="AJ923" s="1531"/>
      <c r="AK923" s="1531"/>
      <c r="AL923" s="1531"/>
      <c r="AM923" s="1531"/>
      <c r="AN923" s="1531"/>
      <c r="AO923" s="1531"/>
      <c r="AP923" s="1531"/>
      <c r="AQ923" s="1531"/>
      <c r="AR923" s="1531"/>
      <c r="AS923" s="1531"/>
      <c r="AT923" s="1136"/>
      <c r="AU923" s="1136"/>
      <c r="AV923" s="1136"/>
      <c r="AW923" s="1136"/>
      <c r="AX923" s="1136"/>
      <c r="AY923" s="1136"/>
      <c r="AZ923" s="1136"/>
      <c r="BA923" s="1136"/>
      <c r="BB923" s="1136"/>
      <c r="BC923" s="1136"/>
      <c r="BD923" s="1136"/>
      <c r="BE923" s="1136"/>
      <c r="BF923" s="1136"/>
      <c r="BG923" s="1136"/>
      <c r="BH923" s="1136"/>
      <c r="BI923" s="1136"/>
      <c r="BJ923" s="1136"/>
      <c r="BK923" s="1136"/>
      <c r="BL923" s="1136"/>
      <c r="BM923" s="1136"/>
      <c r="BN923" s="1136"/>
      <c r="BO923" s="1136"/>
      <c r="BP923" s="1136"/>
      <c r="BQ923" s="1136"/>
      <c r="BR923" s="1136"/>
      <c r="BS923" s="1136"/>
      <c r="BT923" s="1136"/>
      <c r="BU923" s="1136"/>
      <c r="BV923" s="1136"/>
      <c r="BW923" s="1136"/>
      <c r="BX923" s="1136"/>
      <c r="BY923" s="1136"/>
      <c r="BZ923" s="1136"/>
      <c r="CA923" s="1136"/>
      <c r="CB923" s="1136"/>
      <c r="CC923" s="1136"/>
      <c r="CD923" s="1136"/>
      <c r="CE923" s="1136"/>
      <c r="CF923" s="1136"/>
      <c r="CG923" s="1136"/>
      <c r="CH923" s="1136"/>
      <c r="CI923" s="1136"/>
      <c r="CJ923" s="1136"/>
      <c r="CK923" s="1136"/>
      <c r="CL923" s="1136"/>
      <c r="CM923" s="1136"/>
      <c r="CN923" s="1136"/>
      <c r="CO923" s="1136"/>
      <c r="CP923" s="1136"/>
      <c r="CQ923" s="1136"/>
      <c r="CR923" s="1136"/>
      <c r="CS923" s="1136"/>
      <c r="CT923" s="1136"/>
      <c r="CU923" s="1136"/>
      <c r="CV923" s="1136"/>
      <c r="CW923" s="1136"/>
      <c r="CX923" s="1136"/>
      <c r="CY923" s="1136"/>
      <c r="CZ923" s="1136"/>
      <c r="DA923" s="1136"/>
      <c r="DB923" s="1136"/>
      <c r="DC923" s="1136"/>
      <c r="DD923" s="1136"/>
      <c r="DE923" s="1136"/>
      <c r="DF923" s="1136"/>
      <c r="DG923" s="1136"/>
      <c r="DH923" s="1136"/>
      <c r="DI923" s="1136"/>
    </row>
    <row r="924" spans="1:113" ht="31.5" x14ac:dyDescent="0.25">
      <c r="A924" s="1435" t="s">
        <v>1724</v>
      </c>
      <c r="B924" s="1451">
        <f>B865</f>
        <v>0</v>
      </c>
      <c r="C924" s="1434"/>
      <c r="D924" s="1531"/>
      <c r="E924" s="1531"/>
      <c r="F924" s="1531"/>
      <c r="G924" s="1531"/>
      <c r="H924" s="1531"/>
      <c r="I924" s="1531"/>
      <c r="J924" s="1531"/>
      <c r="K924" s="1531"/>
      <c r="L924" s="1531"/>
      <c r="M924" s="1531"/>
      <c r="N924" s="1531"/>
      <c r="O924" s="1531"/>
      <c r="P924" s="1531"/>
      <c r="Q924" s="1531"/>
      <c r="R924" s="1531"/>
      <c r="S924" s="1531"/>
      <c r="T924" s="1531"/>
      <c r="U924" s="1531"/>
      <c r="V924" s="1531"/>
      <c r="W924" s="1531"/>
      <c r="X924" s="1531"/>
      <c r="Y924" s="1531"/>
      <c r="Z924" s="1531"/>
      <c r="AA924" s="1531"/>
      <c r="AB924" s="1531"/>
      <c r="AC924" s="1531"/>
      <c r="AD924" s="1531"/>
      <c r="AE924" s="1531"/>
      <c r="AF924" s="1531"/>
      <c r="AG924" s="1531"/>
      <c r="AH924" s="1531"/>
      <c r="AI924" s="1531"/>
      <c r="AJ924" s="1531"/>
      <c r="AK924" s="1531"/>
      <c r="AL924" s="1531"/>
      <c r="AM924" s="1531"/>
      <c r="AN924" s="1531"/>
      <c r="AO924" s="1531"/>
      <c r="AP924" s="1531"/>
      <c r="AQ924" s="1531"/>
      <c r="AR924" s="1531"/>
      <c r="AS924" s="1531"/>
      <c r="AT924" s="1136"/>
      <c r="AU924" s="1136"/>
      <c r="AV924" s="1136"/>
      <c r="AW924" s="1136"/>
      <c r="AX924" s="1136"/>
      <c r="AY924" s="1136"/>
      <c r="AZ924" s="1136"/>
      <c r="BA924" s="1136"/>
      <c r="BB924" s="1136"/>
      <c r="BC924" s="1136"/>
      <c r="BD924" s="1136"/>
      <c r="BE924" s="1136"/>
      <c r="BF924" s="1136"/>
      <c r="BG924" s="1136"/>
      <c r="BH924" s="1136"/>
      <c r="BI924" s="1136"/>
      <c r="BJ924" s="1136"/>
      <c r="BK924" s="1136"/>
      <c r="BL924" s="1136"/>
      <c r="BM924" s="1136"/>
      <c r="BN924" s="1136"/>
      <c r="BO924" s="1136"/>
      <c r="BP924" s="1136"/>
      <c r="BQ924" s="1136"/>
      <c r="BR924" s="1136"/>
      <c r="BS924" s="1136"/>
      <c r="BT924" s="1136"/>
      <c r="BU924" s="1136"/>
      <c r="BV924" s="1136"/>
      <c r="BW924" s="1136"/>
      <c r="BX924" s="1136"/>
      <c r="BY924" s="1136"/>
      <c r="BZ924" s="1136"/>
      <c r="CA924" s="1136"/>
      <c r="CB924" s="1136"/>
      <c r="CC924" s="1136"/>
      <c r="CD924" s="1136"/>
      <c r="CE924" s="1136"/>
      <c r="CF924" s="1136"/>
      <c r="CG924" s="1136"/>
      <c r="CH924" s="1136"/>
      <c r="CI924" s="1136"/>
      <c r="CJ924" s="1136"/>
      <c r="CK924" s="1136"/>
      <c r="CL924" s="1136"/>
      <c r="CM924" s="1136"/>
      <c r="CN924" s="1136"/>
      <c r="CO924" s="1136"/>
      <c r="CP924" s="1136"/>
      <c r="CQ924" s="1136"/>
      <c r="CR924" s="1136"/>
      <c r="CS924" s="1136"/>
      <c r="CT924" s="1136"/>
      <c r="CU924" s="1136"/>
      <c r="CV924" s="1136"/>
      <c r="CW924" s="1136"/>
      <c r="CX924" s="1136"/>
      <c r="CY924" s="1136"/>
      <c r="CZ924" s="1136"/>
      <c r="DA924" s="1136"/>
      <c r="DB924" s="1136"/>
      <c r="DC924" s="1136"/>
      <c r="DD924" s="1136"/>
      <c r="DE924" s="1136"/>
      <c r="DF924" s="1136"/>
      <c r="DG924" s="1136"/>
      <c r="DH924" s="1136"/>
      <c r="DI924" s="1136"/>
    </row>
    <row r="925" spans="1:113" ht="15.75" x14ac:dyDescent="0.25">
      <c r="A925" s="1420" t="s">
        <v>1725</v>
      </c>
      <c r="B925" s="1443">
        <f>IF(B924=1,1.15,1)</f>
        <v>1</v>
      </c>
      <c r="C925" s="1521"/>
      <c r="D925" s="1562"/>
      <c r="E925" s="1562"/>
      <c r="F925" s="1562"/>
      <c r="G925" s="1562"/>
      <c r="H925" s="1531"/>
      <c r="I925" s="1531"/>
      <c r="J925" s="1531"/>
      <c r="K925" s="1531"/>
      <c r="L925" s="1531"/>
      <c r="M925" s="1531"/>
      <c r="N925" s="1531"/>
      <c r="O925" s="1531"/>
      <c r="P925" s="1531"/>
      <c r="Q925" s="1531"/>
      <c r="R925" s="1531"/>
      <c r="S925" s="1531"/>
      <c r="T925" s="1531"/>
      <c r="U925" s="1531"/>
      <c r="V925" s="1531"/>
      <c r="W925" s="1531"/>
      <c r="X925" s="1531"/>
      <c r="Y925" s="1531"/>
      <c r="Z925" s="1531"/>
      <c r="AA925" s="1531"/>
      <c r="AB925" s="1531"/>
      <c r="AC925" s="1531"/>
      <c r="AD925" s="1531"/>
      <c r="AE925" s="1531"/>
      <c r="AF925" s="1531"/>
      <c r="AG925" s="1531"/>
      <c r="AH925" s="1531"/>
      <c r="AI925" s="1531"/>
      <c r="AJ925" s="1531"/>
      <c r="AK925" s="1531"/>
      <c r="AL925" s="1531"/>
      <c r="AM925" s="1531"/>
      <c r="AN925" s="1531"/>
      <c r="AO925" s="1531"/>
      <c r="AP925" s="1531"/>
      <c r="AQ925" s="1531"/>
      <c r="AR925" s="1531"/>
      <c r="AS925" s="1531"/>
      <c r="AT925" s="1136"/>
      <c r="AU925" s="1136"/>
      <c r="AV925" s="1136"/>
      <c r="AW925" s="1136"/>
      <c r="AX925" s="1136"/>
      <c r="AY925" s="1136"/>
      <c r="AZ925" s="1136"/>
      <c r="BA925" s="1136"/>
      <c r="BB925" s="1136"/>
      <c r="BC925" s="1136"/>
      <c r="BD925" s="1136"/>
      <c r="BE925" s="1136"/>
      <c r="BF925" s="1136"/>
      <c r="BG925" s="1136"/>
      <c r="BH925" s="1136"/>
      <c r="BI925" s="1136"/>
      <c r="BJ925" s="1136"/>
      <c r="BK925" s="1136"/>
      <c r="BL925" s="1136"/>
      <c r="BM925" s="1136"/>
      <c r="BN925" s="1136"/>
      <c r="BO925" s="1136"/>
      <c r="BP925" s="1136"/>
      <c r="BQ925" s="1136"/>
      <c r="BR925" s="1136"/>
      <c r="BS925" s="1136"/>
      <c r="BT925" s="1136"/>
      <c r="BU925" s="1136"/>
      <c r="BV925" s="1136"/>
      <c r="BW925" s="1136"/>
      <c r="BX925" s="1136"/>
      <c r="BY925" s="1136"/>
      <c r="BZ925" s="1136"/>
      <c r="CA925" s="1136"/>
      <c r="CB925" s="1136"/>
      <c r="CC925" s="1136"/>
      <c r="CD925" s="1136"/>
      <c r="CE925" s="1136"/>
      <c r="CF925" s="1136"/>
      <c r="CG925" s="1136"/>
      <c r="CH925" s="1136"/>
      <c r="CI925" s="1136"/>
      <c r="CJ925" s="1136"/>
      <c r="CK925" s="1136"/>
      <c r="CL925" s="1136"/>
      <c r="CM925" s="1136"/>
      <c r="CN925" s="1136"/>
      <c r="CO925" s="1136"/>
      <c r="CP925" s="1136"/>
      <c r="CQ925" s="1136"/>
      <c r="CR925" s="1136"/>
      <c r="CS925" s="1136"/>
      <c r="CT925" s="1136"/>
      <c r="CU925" s="1136"/>
      <c r="CV925" s="1136"/>
      <c r="CW925" s="1136"/>
      <c r="CX925" s="1136"/>
      <c r="CY925" s="1136"/>
      <c r="CZ925" s="1136"/>
      <c r="DA925" s="1136"/>
      <c r="DB925" s="1136"/>
      <c r="DC925" s="1136"/>
      <c r="DD925" s="1136"/>
      <c r="DE925" s="1136"/>
      <c r="DF925" s="1136"/>
      <c r="DG925" s="1136"/>
      <c r="DH925" s="1136"/>
      <c r="DI925" s="1136"/>
    </row>
    <row r="926" spans="1:113" ht="31.5" x14ac:dyDescent="0.25">
      <c r="A926" s="1435" t="s">
        <v>5573</v>
      </c>
      <c r="B926" s="1451">
        <f>B867</f>
        <v>0</v>
      </c>
      <c r="C926" s="1434"/>
      <c r="D926" s="1606"/>
      <c r="E926" s="1606"/>
      <c r="F926" s="1606"/>
      <c r="G926" s="1606"/>
      <c r="H926" s="1531"/>
      <c r="I926" s="1531"/>
      <c r="J926" s="1531"/>
      <c r="K926" s="1531"/>
      <c r="L926" s="1531"/>
      <c r="M926" s="1531"/>
      <c r="N926" s="1531"/>
      <c r="O926" s="1531"/>
      <c r="P926" s="1531"/>
      <c r="Q926" s="1531"/>
      <c r="R926" s="1531"/>
      <c r="S926" s="1531"/>
      <c r="T926" s="1531"/>
      <c r="U926" s="1531"/>
      <c r="V926" s="1531"/>
      <c r="W926" s="1531"/>
      <c r="X926" s="1531"/>
      <c r="Y926" s="1531"/>
      <c r="Z926" s="1531"/>
      <c r="AA926" s="1531"/>
      <c r="AB926" s="1531"/>
      <c r="AC926" s="1531"/>
      <c r="AD926" s="1531"/>
      <c r="AE926" s="1531"/>
      <c r="AF926" s="1531"/>
      <c r="AG926" s="1531"/>
      <c r="AH926" s="1531"/>
      <c r="AI926" s="1531"/>
      <c r="AJ926" s="1531"/>
      <c r="AK926" s="1531"/>
      <c r="AL926" s="1531"/>
      <c r="AM926" s="1531"/>
      <c r="AN926" s="1531"/>
      <c r="AO926" s="1531"/>
      <c r="AP926" s="1531"/>
      <c r="AQ926" s="1531"/>
      <c r="AR926" s="1531"/>
      <c r="AS926" s="1531"/>
      <c r="AT926" s="1136"/>
      <c r="AU926" s="1136"/>
      <c r="AV926" s="1136"/>
      <c r="AW926" s="1136"/>
      <c r="AX926" s="1136"/>
      <c r="AY926" s="1136"/>
      <c r="AZ926" s="1136"/>
      <c r="BA926" s="1136"/>
      <c r="BB926" s="1136"/>
      <c r="BC926" s="1136"/>
      <c r="BD926" s="1136"/>
      <c r="BE926" s="1136"/>
      <c r="BF926" s="1136"/>
      <c r="BG926" s="1136"/>
      <c r="BH926" s="1136"/>
      <c r="BI926" s="1136"/>
      <c r="BJ926" s="1136"/>
      <c r="BK926" s="1136"/>
      <c r="BL926" s="1136"/>
      <c r="BM926" s="1136"/>
      <c r="BN926" s="1136"/>
      <c r="BO926" s="1136"/>
      <c r="BP926" s="1136"/>
      <c r="BQ926" s="1136"/>
      <c r="BR926" s="1136"/>
      <c r="BS926" s="1136"/>
      <c r="BT926" s="1136"/>
      <c r="BU926" s="1136"/>
      <c r="BV926" s="1136"/>
      <c r="BW926" s="1136"/>
      <c r="BX926" s="1136"/>
      <c r="BY926" s="1136"/>
      <c r="BZ926" s="1136"/>
      <c r="CA926" s="1136"/>
      <c r="CB926" s="1136"/>
      <c r="CC926" s="1136"/>
      <c r="CD926" s="1136"/>
      <c r="CE926" s="1136"/>
      <c r="CF926" s="1136"/>
      <c r="CG926" s="1136"/>
      <c r="CH926" s="1136"/>
      <c r="CI926" s="1136"/>
      <c r="CJ926" s="1136"/>
      <c r="CK926" s="1136"/>
      <c r="CL926" s="1136"/>
      <c r="CM926" s="1136"/>
      <c r="CN926" s="1136"/>
      <c r="CO926" s="1136"/>
      <c r="CP926" s="1136"/>
      <c r="CQ926" s="1136"/>
      <c r="CR926" s="1136"/>
      <c r="CS926" s="1136"/>
      <c r="CT926" s="1136"/>
      <c r="CU926" s="1136"/>
      <c r="CV926" s="1136"/>
      <c r="CW926" s="1136"/>
      <c r="CX926" s="1136"/>
      <c r="CY926" s="1136"/>
      <c r="CZ926" s="1136"/>
      <c r="DA926" s="1136"/>
      <c r="DB926" s="1136"/>
      <c r="DC926" s="1136"/>
      <c r="DD926" s="1136"/>
      <c r="DE926" s="1136"/>
      <c r="DF926" s="1136"/>
      <c r="DG926" s="1136"/>
      <c r="DH926" s="1136"/>
      <c r="DI926" s="1136"/>
    </row>
    <row r="927" spans="1:113" ht="15.75" x14ac:dyDescent="0.25">
      <c r="A927" s="1420" t="s">
        <v>2636</v>
      </c>
      <c r="B927" s="1443">
        <f>IF(B926=1,1.15,1)</f>
        <v>1</v>
      </c>
      <c r="C927" s="1521"/>
      <c r="D927" s="1531"/>
      <c r="E927" s="1531"/>
      <c r="F927" s="1531"/>
      <c r="G927" s="1531"/>
      <c r="H927" s="1531"/>
      <c r="I927" s="1531"/>
      <c r="J927" s="1531"/>
      <c r="K927" s="1531"/>
      <c r="L927" s="1531"/>
      <c r="M927" s="1531"/>
      <c r="N927" s="1531"/>
      <c r="O927" s="1531"/>
      <c r="P927" s="1531"/>
      <c r="Q927" s="1531"/>
      <c r="R927" s="1531"/>
      <c r="S927" s="1531"/>
      <c r="T927" s="1531"/>
      <c r="U927" s="1531"/>
      <c r="V927" s="1531"/>
      <c r="W927" s="1531"/>
      <c r="X927" s="1531"/>
      <c r="Y927" s="1531"/>
      <c r="Z927" s="1531"/>
      <c r="AA927" s="1531"/>
      <c r="AB927" s="1531"/>
      <c r="AC927" s="1531"/>
      <c r="AD927" s="1531"/>
      <c r="AE927" s="1531"/>
      <c r="AF927" s="1531"/>
      <c r="AG927" s="1531"/>
      <c r="AH927" s="1531"/>
      <c r="AI927" s="1531"/>
      <c r="AJ927" s="1531"/>
      <c r="AK927" s="1531"/>
      <c r="AL927" s="1531"/>
      <c r="AM927" s="1531"/>
      <c r="AN927" s="1531"/>
      <c r="AO927" s="1531"/>
      <c r="AP927" s="1531"/>
      <c r="AQ927" s="1531"/>
      <c r="AR927" s="1531"/>
      <c r="AS927" s="1531"/>
      <c r="AT927" s="1136"/>
      <c r="AU927" s="1136"/>
      <c r="AV927" s="1136"/>
      <c r="AW927" s="1136"/>
      <c r="AX927" s="1136"/>
      <c r="AY927" s="1136"/>
      <c r="AZ927" s="1136"/>
      <c r="BA927" s="1136"/>
      <c r="BB927" s="1136"/>
      <c r="BC927" s="1136"/>
      <c r="BD927" s="1136"/>
      <c r="BE927" s="1136"/>
      <c r="BF927" s="1136"/>
      <c r="BG927" s="1136"/>
      <c r="BH927" s="1136"/>
      <c r="BI927" s="1136"/>
      <c r="BJ927" s="1136"/>
      <c r="BK927" s="1136"/>
      <c r="BL927" s="1136"/>
      <c r="BM927" s="1136"/>
      <c r="BN927" s="1136"/>
      <c r="BO927" s="1136"/>
      <c r="BP927" s="1136"/>
      <c r="BQ927" s="1136"/>
      <c r="BR927" s="1136"/>
      <c r="BS927" s="1136"/>
      <c r="BT927" s="1136"/>
      <c r="BU927" s="1136"/>
      <c r="BV927" s="1136"/>
      <c r="BW927" s="1136"/>
      <c r="BX927" s="1136"/>
      <c r="BY927" s="1136"/>
      <c r="BZ927" s="1136"/>
      <c r="CA927" s="1136"/>
      <c r="CB927" s="1136"/>
      <c r="CC927" s="1136"/>
      <c r="CD927" s="1136"/>
      <c r="CE927" s="1136"/>
      <c r="CF927" s="1136"/>
      <c r="CG927" s="1136"/>
      <c r="CH927" s="1136"/>
      <c r="CI927" s="1136"/>
      <c r="CJ927" s="1136"/>
      <c r="CK927" s="1136"/>
      <c r="CL927" s="1136"/>
      <c r="CM927" s="1136"/>
      <c r="CN927" s="1136"/>
      <c r="CO927" s="1136"/>
      <c r="CP927" s="1136"/>
      <c r="CQ927" s="1136"/>
      <c r="CR927" s="1136"/>
      <c r="CS927" s="1136"/>
      <c r="CT927" s="1136"/>
      <c r="CU927" s="1136"/>
      <c r="CV927" s="1136"/>
      <c r="CW927" s="1136"/>
      <c r="CX927" s="1136"/>
      <c r="CY927" s="1136"/>
      <c r="CZ927" s="1136"/>
      <c r="DA927" s="1136"/>
      <c r="DB927" s="1136"/>
      <c r="DC927" s="1136"/>
      <c r="DD927" s="1136"/>
      <c r="DE927" s="1136"/>
      <c r="DF927" s="1136"/>
      <c r="DG927" s="1136"/>
      <c r="DH927" s="1136"/>
      <c r="DI927" s="1136"/>
    </row>
    <row r="928" spans="1:113" ht="31.5" x14ac:dyDescent="0.25">
      <c r="A928" s="1420" t="s">
        <v>2637</v>
      </c>
      <c r="B928" s="1443">
        <f>IF(B322&lt;2,0.85,1)</f>
        <v>1</v>
      </c>
      <c r="C928" s="1521"/>
      <c r="D928" s="1596"/>
      <c r="E928" s="1596"/>
      <c r="F928" s="1596"/>
      <c r="G928" s="1596"/>
      <c r="H928" s="1531"/>
      <c r="I928" s="1531"/>
      <c r="J928" s="1531"/>
      <c r="K928" s="1531"/>
      <c r="L928" s="1531"/>
      <c r="M928" s="1531"/>
      <c r="N928" s="1531"/>
      <c r="O928" s="1531"/>
      <c r="P928" s="1531"/>
      <c r="Q928" s="1531"/>
      <c r="R928" s="1531"/>
      <c r="S928" s="1531"/>
      <c r="T928" s="1531"/>
      <c r="U928" s="1531"/>
      <c r="V928" s="1531"/>
      <c r="W928" s="1531"/>
      <c r="X928" s="1531"/>
      <c r="Y928" s="1531"/>
      <c r="Z928" s="1531"/>
      <c r="AA928" s="1531"/>
      <c r="AB928" s="1531"/>
      <c r="AC928" s="1531"/>
      <c r="AD928" s="1531"/>
      <c r="AE928" s="1531"/>
      <c r="AF928" s="1531"/>
      <c r="AG928" s="1531"/>
      <c r="AH928" s="1531"/>
      <c r="AI928" s="1531"/>
      <c r="AJ928" s="1531"/>
      <c r="AK928" s="1531"/>
      <c r="AL928" s="1531"/>
      <c r="AM928" s="1531"/>
      <c r="AN928" s="1531"/>
      <c r="AO928" s="1531"/>
      <c r="AP928" s="1531"/>
      <c r="AQ928" s="1531"/>
      <c r="AR928" s="1531"/>
      <c r="AS928" s="1531"/>
      <c r="AT928" s="1136"/>
      <c r="AU928" s="1136"/>
      <c r="AV928" s="1136"/>
      <c r="AW928" s="1136"/>
      <c r="AX928" s="1136"/>
      <c r="AY928" s="1136"/>
      <c r="AZ928" s="1136"/>
      <c r="BA928" s="1136"/>
      <c r="BB928" s="1136"/>
      <c r="BC928" s="1136"/>
      <c r="BD928" s="1136"/>
      <c r="BE928" s="1136"/>
      <c r="BF928" s="1136"/>
      <c r="BG928" s="1136"/>
      <c r="BH928" s="1136"/>
      <c r="BI928" s="1136"/>
      <c r="BJ928" s="1136"/>
      <c r="BK928" s="1136"/>
      <c r="BL928" s="1136"/>
      <c r="BM928" s="1136"/>
      <c r="BN928" s="1136"/>
      <c r="BO928" s="1136"/>
      <c r="BP928" s="1136"/>
      <c r="BQ928" s="1136"/>
      <c r="BR928" s="1136"/>
      <c r="BS928" s="1136"/>
      <c r="BT928" s="1136"/>
      <c r="BU928" s="1136"/>
      <c r="BV928" s="1136"/>
      <c r="BW928" s="1136"/>
      <c r="BX928" s="1136"/>
      <c r="BY928" s="1136"/>
      <c r="BZ928" s="1136"/>
      <c r="CA928" s="1136"/>
      <c r="CB928" s="1136"/>
      <c r="CC928" s="1136"/>
      <c r="CD928" s="1136"/>
      <c r="CE928" s="1136"/>
      <c r="CF928" s="1136"/>
      <c r="CG928" s="1136"/>
      <c r="CH928" s="1136"/>
      <c r="CI928" s="1136"/>
      <c r="CJ928" s="1136"/>
      <c r="CK928" s="1136"/>
      <c r="CL928" s="1136"/>
      <c r="CM928" s="1136"/>
      <c r="CN928" s="1136"/>
      <c r="CO928" s="1136"/>
      <c r="CP928" s="1136"/>
      <c r="CQ928" s="1136"/>
      <c r="CR928" s="1136"/>
      <c r="CS928" s="1136"/>
      <c r="CT928" s="1136"/>
      <c r="CU928" s="1136"/>
      <c r="CV928" s="1136"/>
      <c r="CW928" s="1136"/>
      <c r="CX928" s="1136"/>
      <c r="CY928" s="1136"/>
      <c r="CZ928" s="1136"/>
      <c r="DA928" s="1136"/>
      <c r="DB928" s="1136"/>
      <c r="DC928" s="1136"/>
      <c r="DD928" s="1136"/>
      <c r="DE928" s="1136"/>
      <c r="DF928" s="1136"/>
      <c r="DG928" s="1136"/>
      <c r="DH928" s="1136"/>
      <c r="DI928" s="1136"/>
    </row>
    <row r="929" spans="1:113" ht="15.75" x14ac:dyDescent="0.25">
      <c r="A929" s="1420" t="s">
        <v>532</v>
      </c>
      <c r="B929" s="1450">
        <v>0.7</v>
      </c>
      <c r="C929" s="1617"/>
      <c r="D929" s="1596"/>
      <c r="E929" s="1596"/>
      <c r="F929" s="1596"/>
      <c r="G929" s="1596"/>
      <c r="H929" s="1531"/>
      <c r="I929" s="1531"/>
      <c r="J929" s="1531"/>
      <c r="K929" s="1531"/>
      <c r="L929" s="1531"/>
      <c r="M929" s="1531"/>
      <c r="N929" s="1531"/>
      <c r="O929" s="1531"/>
      <c r="P929" s="1531"/>
      <c r="Q929" s="1531"/>
      <c r="R929" s="1531"/>
      <c r="S929" s="1531"/>
      <c r="T929" s="1531"/>
      <c r="U929" s="1531"/>
      <c r="V929" s="1531"/>
      <c r="W929" s="1531"/>
      <c r="X929" s="1531"/>
      <c r="Y929" s="1531"/>
      <c r="Z929" s="1531"/>
      <c r="AA929" s="1531"/>
      <c r="AB929" s="1531"/>
      <c r="AC929" s="1531"/>
      <c r="AD929" s="1531"/>
      <c r="AE929" s="1531"/>
      <c r="AF929" s="1531"/>
      <c r="AG929" s="1531"/>
      <c r="AH929" s="1531"/>
      <c r="AI929" s="1531"/>
      <c r="AJ929" s="1531"/>
      <c r="AK929" s="1531"/>
      <c r="AL929" s="1531"/>
      <c r="AM929" s="1531"/>
      <c r="AN929" s="1531"/>
      <c r="AO929" s="1531"/>
      <c r="AP929" s="1531"/>
      <c r="AQ929" s="1531"/>
      <c r="AR929" s="1531"/>
      <c r="AS929" s="1531"/>
      <c r="AT929" s="1136"/>
      <c r="AU929" s="1136"/>
      <c r="AV929" s="1136"/>
      <c r="AW929" s="1136"/>
      <c r="AX929" s="1136"/>
      <c r="AY929" s="1136"/>
      <c r="AZ929" s="1136"/>
      <c r="BA929" s="1136"/>
      <c r="BB929" s="1136"/>
      <c r="BC929" s="1136"/>
      <c r="BD929" s="1136"/>
      <c r="BE929" s="1136"/>
      <c r="BF929" s="1136"/>
      <c r="BG929" s="1136"/>
      <c r="BH929" s="1136"/>
      <c r="BI929" s="1136"/>
      <c r="BJ929" s="1136"/>
      <c r="BK929" s="1136"/>
      <c r="BL929" s="1136"/>
      <c r="BM929" s="1136"/>
      <c r="BN929" s="1136"/>
      <c r="BO929" s="1136"/>
      <c r="BP929" s="1136"/>
      <c r="BQ929" s="1136"/>
      <c r="BR929" s="1136"/>
      <c r="BS929" s="1136"/>
      <c r="BT929" s="1136"/>
      <c r="BU929" s="1136"/>
      <c r="BV929" s="1136"/>
      <c r="BW929" s="1136"/>
      <c r="BX929" s="1136"/>
      <c r="BY929" s="1136"/>
      <c r="BZ929" s="1136"/>
      <c r="CA929" s="1136"/>
      <c r="CB929" s="1136"/>
      <c r="CC929" s="1136"/>
      <c r="CD929" s="1136"/>
      <c r="CE929" s="1136"/>
      <c r="CF929" s="1136"/>
      <c r="CG929" s="1136"/>
      <c r="CH929" s="1136"/>
      <c r="CI929" s="1136"/>
      <c r="CJ929" s="1136"/>
      <c r="CK929" s="1136"/>
      <c r="CL929" s="1136"/>
      <c r="CM929" s="1136"/>
      <c r="CN929" s="1136"/>
      <c r="CO929" s="1136"/>
      <c r="CP929" s="1136"/>
      <c r="CQ929" s="1136"/>
      <c r="CR929" s="1136"/>
      <c r="CS929" s="1136"/>
      <c r="CT929" s="1136"/>
      <c r="CU929" s="1136"/>
      <c r="CV929" s="1136"/>
      <c r="CW929" s="1136"/>
      <c r="CX929" s="1136"/>
      <c r="CY929" s="1136"/>
      <c r="CZ929" s="1136"/>
      <c r="DA929" s="1136"/>
      <c r="DB929" s="1136"/>
      <c r="DC929" s="1136"/>
      <c r="DD929" s="1136"/>
      <c r="DE929" s="1136"/>
      <c r="DF929" s="1136"/>
      <c r="DG929" s="1136"/>
      <c r="DH929" s="1136"/>
      <c r="DI929" s="1136"/>
    </row>
    <row r="930" spans="1:113" ht="15.75" x14ac:dyDescent="0.25">
      <c r="A930" s="1420" t="s">
        <v>3412</v>
      </c>
      <c r="B930" s="1443" t="e">
        <f>B919*B925*B927*B928*B929*B341</f>
        <v>#VALUE!</v>
      </c>
      <c r="C930" s="1521"/>
      <c r="D930" s="1531"/>
      <c r="E930" s="1531"/>
      <c r="F930" s="1531"/>
      <c r="G930" s="1531"/>
      <c r="H930" s="1531"/>
      <c r="I930" s="1531"/>
      <c r="J930" s="1531"/>
      <c r="K930" s="1531"/>
      <c r="L930" s="1531"/>
      <c r="M930" s="1531"/>
      <c r="N930" s="1531"/>
      <c r="O930" s="1531"/>
      <c r="P930" s="1531"/>
      <c r="Q930" s="1531"/>
      <c r="R930" s="1531"/>
      <c r="S930" s="1531"/>
      <c r="T930" s="1531"/>
      <c r="U930" s="1531"/>
      <c r="V930" s="1531"/>
      <c r="W930" s="1531"/>
      <c r="X930" s="1531"/>
      <c r="Y930" s="1531"/>
      <c r="Z930" s="1531"/>
      <c r="AA930" s="1531"/>
      <c r="AB930" s="1531"/>
      <c r="AC930" s="1531"/>
      <c r="AD930" s="1531"/>
      <c r="AE930" s="1531"/>
      <c r="AF930" s="1531"/>
      <c r="AG930" s="1531"/>
      <c r="AH930" s="1531"/>
      <c r="AI930" s="1531"/>
      <c r="AJ930" s="1531"/>
      <c r="AK930" s="1531"/>
      <c r="AL930" s="1531"/>
      <c r="AM930" s="1531"/>
      <c r="AN930" s="1531"/>
      <c r="AO930" s="1531"/>
      <c r="AP930" s="1531"/>
      <c r="AQ930" s="1531"/>
      <c r="AR930" s="1531"/>
      <c r="AS930" s="1531"/>
      <c r="AT930" s="1136"/>
      <c r="AU930" s="1136"/>
      <c r="AV930" s="1136"/>
      <c r="AW930" s="1136"/>
      <c r="AX930" s="1136"/>
      <c r="AY930" s="1136"/>
      <c r="AZ930" s="1136"/>
      <c r="BA930" s="1136"/>
      <c r="BB930" s="1136"/>
      <c r="BC930" s="1136"/>
      <c r="BD930" s="1136"/>
      <c r="BE930" s="1136"/>
      <c r="BF930" s="1136"/>
      <c r="BG930" s="1136"/>
      <c r="BH930" s="1136"/>
      <c r="BI930" s="1136"/>
      <c r="BJ930" s="1136"/>
      <c r="BK930" s="1136"/>
      <c r="BL930" s="1136"/>
      <c r="BM930" s="1136"/>
      <c r="BN930" s="1136"/>
      <c r="BO930" s="1136"/>
      <c r="BP930" s="1136"/>
      <c r="BQ930" s="1136"/>
      <c r="BR930" s="1136"/>
      <c r="BS930" s="1136"/>
      <c r="BT930" s="1136"/>
      <c r="BU930" s="1136"/>
      <c r="BV930" s="1136"/>
      <c r="BW930" s="1136"/>
      <c r="BX930" s="1136"/>
      <c r="BY930" s="1136"/>
      <c r="BZ930" s="1136"/>
      <c r="CA930" s="1136"/>
      <c r="CB930" s="1136"/>
      <c r="CC930" s="1136"/>
      <c r="CD930" s="1136"/>
      <c r="CE930" s="1136"/>
      <c r="CF930" s="1136"/>
      <c r="CG930" s="1136"/>
      <c r="CH930" s="1136"/>
      <c r="CI930" s="1136"/>
      <c r="CJ930" s="1136"/>
      <c r="CK930" s="1136"/>
      <c r="CL930" s="1136"/>
      <c r="CM930" s="1136"/>
      <c r="CN930" s="1136"/>
      <c r="CO930" s="1136"/>
      <c r="CP930" s="1136"/>
      <c r="CQ930" s="1136"/>
      <c r="CR930" s="1136"/>
      <c r="CS930" s="1136"/>
      <c r="CT930" s="1136"/>
      <c r="CU930" s="1136"/>
      <c r="CV930" s="1136"/>
      <c r="CW930" s="1136"/>
      <c r="CX930" s="1136"/>
      <c r="CY930" s="1136"/>
      <c r="CZ930" s="1136"/>
      <c r="DA930" s="1136"/>
      <c r="DB930" s="1136"/>
      <c r="DC930" s="1136"/>
      <c r="DD930" s="1136"/>
      <c r="DE930" s="1136"/>
      <c r="DF930" s="1136"/>
      <c r="DG930" s="1136"/>
      <c r="DH930" s="1136"/>
      <c r="DI930" s="1136"/>
    </row>
    <row r="931" spans="1:113" ht="15.75" x14ac:dyDescent="0.25">
      <c r="A931" s="1420" t="s">
        <v>429</v>
      </c>
      <c r="B931" s="1439" t="e">
        <f>B918/B930</f>
        <v>#REF!</v>
      </c>
      <c r="C931" s="1562"/>
      <c r="D931" s="1434"/>
      <c r="E931" s="1434"/>
      <c r="F931" s="1434"/>
      <c r="G931" s="1434"/>
      <c r="H931" s="1531"/>
      <c r="I931" s="1531"/>
      <c r="J931" s="1531"/>
      <c r="K931" s="1531"/>
      <c r="L931" s="1531"/>
      <c r="M931" s="1531"/>
      <c r="N931" s="1531"/>
      <c r="O931" s="1531"/>
      <c r="P931" s="1531"/>
      <c r="Q931" s="1531"/>
      <c r="R931" s="1531"/>
      <c r="S931" s="1531"/>
      <c r="T931" s="1531"/>
      <c r="U931" s="1531"/>
      <c r="V931" s="1531"/>
      <c r="W931" s="1531"/>
      <c r="X931" s="1531"/>
      <c r="Y931" s="1531"/>
      <c r="Z931" s="1531"/>
      <c r="AA931" s="1531"/>
      <c r="AB931" s="1531"/>
      <c r="AC931" s="1531"/>
      <c r="AD931" s="1531"/>
      <c r="AE931" s="1531"/>
      <c r="AF931" s="1531"/>
      <c r="AG931" s="1531"/>
      <c r="AH931" s="1531"/>
      <c r="AI931" s="1531"/>
      <c r="AJ931" s="1531"/>
      <c r="AK931" s="1531"/>
      <c r="AL931" s="1531"/>
      <c r="AM931" s="1531"/>
      <c r="AN931" s="1531"/>
      <c r="AO931" s="1531"/>
      <c r="AP931" s="1531"/>
      <c r="AQ931" s="1531"/>
      <c r="AR931" s="1531"/>
      <c r="AS931" s="1531"/>
      <c r="AT931" s="1136"/>
      <c r="AU931" s="1136"/>
      <c r="AV931" s="1136"/>
      <c r="AW931" s="1136"/>
      <c r="AX931" s="1136"/>
      <c r="AY931" s="1136"/>
      <c r="AZ931" s="1136"/>
      <c r="BA931" s="1136"/>
      <c r="BB931" s="1136"/>
      <c r="BC931" s="1136"/>
      <c r="BD931" s="1136"/>
      <c r="BE931" s="1136"/>
      <c r="BF931" s="1136"/>
      <c r="BG931" s="1136"/>
      <c r="BH931" s="1136"/>
      <c r="BI931" s="1136"/>
      <c r="BJ931" s="1136"/>
      <c r="BK931" s="1136"/>
      <c r="BL931" s="1136"/>
      <c r="BM931" s="1136"/>
      <c r="BN931" s="1136"/>
      <c r="BO931" s="1136"/>
      <c r="BP931" s="1136"/>
      <c r="BQ931" s="1136"/>
      <c r="BR931" s="1136"/>
      <c r="BS931" s="1136"/>
      <c r="BT931" s="1136"/>
      <c r="BU931" s="1136"/>
      <c r="BV931" s="1136"/>
      <c r="BW931" s="1136"/>
      <c r="BX931" s="1136"/>
      <c r="BY931" s="1136"/>
      <c r="BZ931" s="1136"/>
      <c r="CA931" s="1136"/>
      <c r="CB931" s="1136"/>
      <c r="CC931" s="1136"/>
      <c r="CD931" s="1136"/>
      <c r="CE931" s="1136"/>
      <c r="CF931" s="1136"/>
      <c r="CG931" s="1136"/>
      <c r="CH931" s="1136"/>
      <c r="CI931" s="1136"/>
      <c r="CJ931" s="1136"/>
      <c r="CK931" s="1136"/>
      <c r="CL931" s="1136"/>
      <c r="CM931" s="1136"/>
      <c r="CN931" s="1136"/>
      <c r="CO931" s="1136"/>
      <c r="CP931" s="1136"/>
      <c r="CQ931" s="1136"/>
      <c r="CR931" s="1136"/>
      <c r="CS931" s="1136"/>
      <c r="CT931" s="1136"/>
      <c r="CU931" s="1136"/>
      <c r="CV931" s="1136"/>
      <c r="CW931" s="1136"/>
      <c r="CX931" s="1136"/>
      <c r="CY931" s="1136"/>
      <c r="CZ931" s="1136"/>
      <c r="DA931" s="1136"/>
      <c r="DB931" s="1136"/>
      <c r="DC931" s="1136"/>
      <c r="DD931" s="1136"/>
      <c r="DE931" s="1136"/>
      <c r="DF931" s="1136"/>
      <c r="DG931" s="1136"/>
      <c r="DH931" s="1136"/>
      <c r="DI931" s="1136"/>
    </row>
    <row r="932" spans="1:113" ht="31.5" x14ac:dyDescent="0.25">
      <c r="A932" s="1420" t="s">
        <v>533</v>
      </c>
      <c r="B932" s="1439" t="e">
        <f>B833+B842+B855+B872+B890+B902+B915+B931</f>
        <v>#DIV/0!</v>
      </c>
      <c r="C932" s="1562"/>
      <c r="D932" s="1521"/>
      <c r="E932" s="1521"/>
      <c r="F932" s="1521"/>
      <c r="G932" s="1521"/>
      <c r="H932" s="1531"/>
      <c r="I932" s="1531"/>
      <c r="J932" s="1531"/>
      <c r="K932" s="1531"/>
      <c r="L932" s="1531"/>
      <c r="M932" s="1531"/>
      <c r="N932" s="1531"/>
      <c r="O932" s="1531"/>
      <c r="P932" s="1531"/>
      <c r="Q932" s="1531"/>
      <c r="R932" s="1531"/>
      <c r="S932" s="1531"/>
      <c r="T932" s="1531"/>
      <c r="U932" s="1531"/>
      <c r="V932" s="1531"/>
      <c r="W932" s="1531"/>
      <c r="X932" s="1531"/>
      <c r="Y932" s="1531"/>
      <c r="Z932" s="1531"/>
      <c r="AA932" s="1531"/>
      <c r="AB932" s="1531"/>
      <c r="AC932" s="1531"/>
      <c r="AD932" s="1531"/>
      <c r="AE932" s="1531"/>
      <c r="AF932" s="1531"/>
      <c r="AG932" s="1531"/>
      <c r="AH932" s="1531"/>
      <c r="AI932" s="1531"/>
      <c r="AJ932" s="1531"/>
      <c r="AK932" s="1531"/>
      <c r="AL932" s="1531"/>
      <c r="AM932" s="1531"/>
      <c r="AN932" s="1531"/>
      <c r="AO932" s="1531"/>
      <c r="AP932" s="1531"/>
      <c r="AQ932" s="1531"/>
      <c r="AR932" s="1531"/>
      <c r="AS932" s="1531"/>
      <c r="AT932" s="1136"/>
      <c r="AU932" s="1136"/>
      <c r="AV932" s="1136"/>
      <c r="AW932" s="1136"/>
      <c r="AX932" s="1136"/>
      <c r="AY932" s="1136"/>
      <c r="AZ932" s="1136"/>
      <c r="BA932" s="1136"/>
      <c r="BB932" s="1136"/>
      <c r="BC932" s="1136"/>
      <c r="BD932" s="1136"/>
      <c r="BE932" s="1136"/>
      <c r="BF932" s="1136"/>
      <c r="BG932" s="1136"/>
      <c r="BH932" s="1136"/>
      <c r="BI932" s="1136"/>
      <c r="BJ932" s="1136"/>
      <c r="BK932" s="1136"/>
      <c r="BL932" s="1136"/>
      <c r="BM932" s="1136"/>
      <c r="BN932" s="1136"/>
      <c r="BO932" s="1136"/>
      <c r="BP932" s="1136"/>
      <c r="BQ932" s="1136"/>
      <c r="BR932" s="1136"/>
      <c r="BS932" s="1136"/>
      <c r="BT932" s="1136"/>
      <c r="BU932" s="1136"/>
      <c r="BV932" s="1136"/>
      <c r="BW932" s="1136"/>
      <c r="BX932" s="1136"/>
      <c r="BY932" s="1136"/>
      <c r="BZ932" s="1136"/>
      <c r="CA932" s="1136"/>
      <c r="CB932" s="1136"/>
      <c r="CC932" s="1136"/>
      <c r="CD932" s="1136"/>
      <c r="CE932" s="1136"/>
      <c r="CF932" s="1136"/>
      <c r="CG932" s="1136"/>
      <c r="CH932" s="1136"/>
      <c r="CI932" s="1136"/>
      <c r="CJ932" s="1136"/>
      <c r="CK932" s="1136"/>
      <c r="CL932" s="1136"/>
      <c r="CM932" s="1136"/>
      <c r="CN932" s="1136"/>
      <c r="CO932" s="1136"/>
      <c r="CP932" s="1136"/>
      <c r="CQ932" s="1136"/>
      <c r="CR932" s="1136"/>
      <c r="CS932" s="1136"/>
      <c r="CT932" s="1136"/>
      <c r="CU932" s="1136"/>
      <c r="CV932" s="1136"/>
      <c r="CW932" s="1136"/>
      <c r="CX932" s="1136"/>
      <c r="CY932" s="1136"/>
      <c r="CZ932" s="1136"/>
      <c r="DA932" s="1136"/>
      <c r="DB932" s="1136"/>
      <c r="DC932" s="1136"/>
      <c r="DD932" s="1136"/>
      <c r="DE932" s="1136"/>
      <c r="DF932" s="1136"/>
      <c r="DG932" s="1136"/>
      <c r="DH932" s="1136"/>
      <c r="DI932" s="1136"/>
    </row>
    <row r="933" spans="1:113" ht="47.25" x14ac:dyDescent="0.25">
      <c r="A933" s="1452" t="s">
        <v>534</v>
      </c>
      <c r="B933" s="1453">
        <f>IF(B323=0,B932,0)</f>
        <v>0</v>
      </c>
      <c r="C933" s="1563"/>
      <c r="D933" s="1434"/>
      <c r="E933" s="1434"/>
      <c r="F933" s="1434"/>
      <c r="G933" s="1434"/>
      <c r="H933" s="1531"/>
      <c r="I933" s="1531"/>
      <c r="J933" s="1531"/>
      <c r="K933" s="1531"/>
      <c r="L933" s="1531"/>
      <c r="M933" s="1531"/>
      <c r="N933" s="1531"/>
      <c r="O933" s="1531"/>
      <c r="P933" s="1531"/>
      <c r="Q933" s="1531"/>
      <c r="R933" s="1531"/>
      <c r="S933" s="1531"/>
      <c r="T933" s="1531"/>
      <c r="U933" s="1531"/>
      <c r="V933" s="1531"/>
      <c r="W933" s="1531"/>
      <c r="X933" s="1531"/>
      <c r="Y933" s="1531"/>
      <c r="Z933" s="1531"/>
      <c r="AA933" s="1531"/>
      <c r="AB933" s="1531"/>
      <c r="AC933" s="1531"/>
      <c r="AD933" s="1531"/>
      <c r="AE933" s="1531"/>
      <c r="AF933" s="1531"/>
      <c r="AG933" s="1531"/>
      <c r="AH933" s="1531"/>
      <c r="AI933" s="1531"/>
      <c r="AJ933" s="1531"/>
      <c r="AK933" s="1531"/>
      <c r="AL933" s="1531"/>
      <c r="AM933" s="1531"/>
      <c r="AN933" s="1531"/>
      <c r="AO933" s="1531"/>
      <c r="AP933" s="1531"/>
      <c r="AQ933" s="1531"/>
      <c r="AR933" s="1531"/>
      <c r="AS933" s="1531"/>
      <c r="AT933" s="1136"/>
      <c r="AU933" s="1136"/>
      <c r="AV933" s="1136"/>
      <c r="AW933" s="1136"/>
      <c r="AX933" s="1136"/>
      <c r="AY933" s="1136"/>
      <c r="AZ933" s="1136"/>
      <c r="BA933" s="1136"/>
      <c r="BB933" s="1136"/>
      <c r="BC933" s="1136"/>
      <c r="BD933" s="1136"/>
      <c r="BE933" s="1136"/>
      <c r="BF933" s="1136"/>
      <c r="BG933" s="1136"/>
      <c r="BH933" s="1136"/>
      <c r="BI933" s="1136"/>
      <c r="BJ933" s="1136"/>
      <c r="BK933" s="1136"/>
      <c r="BL933" s="1136"/>
      <c r="BM933" s="1136"/>
      <c r="BN933" s="1136"/>
      <c r="BO933" s="1136"/>
      <c r="BP933" s="1136"/>
      <c r="BQ933" s="1136"/>
      <c r="BR933" s="1136"/>
      <c r="BS933" s="1136"/>
      <c r="BT933" s="1136"/>
      <c r="BU933" s="1136"/>
      <c r="BV933" s="1136"/>
      <c r="BW933" s="1136"/>
      <c r="BX933" s="1136"/>
      <c r="BY933" s="1136"/>
      <c r="BZ933" s="1136"/>
      <c r="CA933" s="1136"/>
      <c r="CB933" s="1136"/>
      <c r="CC933" s="1136"/>
      <c r="CD933" s="1136"/>
      <c r="CE933" s="1136"/>
      <c r="CF933" s="1136"/>
      <c r="CG933" s="1136"/>
      <c r="CH933" s="1136"/>
      <c r="CI933" s="1136"/>
      <c r="CJ933" s="1136"/>
      <c r="CK933" s="1136"/>
      <c r="CL933" s="1136"/>
      <c r="CM933" s="1136"/>
      <c r="CN933" s="1136"/>
      <c r="CO933" s="1136"/>
      <c r="CP933" s="1136"/>
      <c r="CQ933" s="1136"/>
      <c r="CR933" s="1136"/>
      <c r="CS933" s="1136"/>
      <c r="CT933" s="1136"/>
      <c r="CU933" s="1136"/>
      <c r="CV933" s="1136"/>
      <c r="CW933" s="1136"/>
      <c r="CX933" s="1136"/>
      <c r="CY933" s="1136"/>
      <c r="CZ933" s="1136"/>
      <c r="DA933" s="1136"/>
      <c r="DB933" s="1136"/>
      <c r="DC933" s="1136"/>
      <c r="DD933" s="1136"/>
      <c r="DE933" s="1136"/>
      <c r="DF933" s="1136"/>
      <c r="DG933" s="1136"/>
      <c r="DH933" s="1136"/>
      <c r="DI933" s="1136"/>
    </row>
    <row r="934" spans="1:113" ht="15.75" x14ac:dyDescent="0.25">
      <c r="A934" s="1420"/>
      <c r="B934" s="1439"/>
      <c r="C934" s="1562"/>
      <c r="D934" s="1521"/>
      <c r="E934" s="1521"/>
      <c r="F934" s="1521"/>
      <c r="G934" s="1521"/>
      <c r="H934" s="1531"/>
      <c r="I934" s="1531"/>
      <c r="J934" s="1531"/>
      <c r="K934" s="1531"/>
      <c r="L934" s="1531"/>
      <c r="M934" s="1531"/>
      <c r="N934" s="1531"/>
      <c r="O934" s="1531"/>
      <c r="P934" s="1531"/>
      <c r="Q934" s="1531"/>
      <c r="R934" s="1531"/>
      <c r="S934" s="1531"/>
      <c r="T934" s="1531"/>
      <c r="U934" s="1531"/>
      <c r="V934" s="1531"/>
      <c r="W934" s="1531"/>
      <c r="X934" s="1531"/>
      <c r="Y934" s="1531"/>
      <c r="Z934" s="1531"/>
      <c r="AA934" s="1531"/>
      <c r="AB934" s="1531"/>
      <c r="AC934" s="1531"/>
      <c r="AD934" s="1531"/>
      <c r="AE934" s="1531"/>
      <c r="AF934" s="1531"/>
      <c r="AG934" s="1531"/>
      <c r="AH934" s="1531"/>
      <c r="AI934" s="1531"/>
      <c r="AJ934" s="1531"/>
      <c r="AK934" s="1531"/>
      <c r="AL934" s="1531"/>
      <c r="AM934" s="1531"/>
      <c r="AN934" s="1531"/>
      <c r="AO934" s="1531"/>
      <c r="AP934" s="1531"/>
      <c r="AQ934" s="1531"/>
      <c r="AR934" s="1531"/>
      <c r="AS934" s="1531"/>
      <c r="AT934" s="1136"/>
      <c r="AU934" s="1136"/>
      <c r="AV934" s="1136"/>
      <c r="AW934" s="1136"/>
      <c r="AX934" s="1136"/>
      <c r="AY934" s="1136"/>
      <c r="AZ934" s="1136"/>
      <c r="BA934" s="1136"/>
      <c r="BB934" s="1136"/>
      <c r="BC934" s="1136"/>
      <c r="BD934" s="1136"/>
      <c r="BE934" s="1136"/>
      <c r="BF934" s="1136"/>
      <c r="BG934" s="1136"/>
      <c r="BH934" s="1136"/>
      <c r="BI934" s="1136"/>
      <c r="BJ934" s="1136"/>
      <c r="BK934" s="1136"/>
      <c r="BL934" s="1136"/>
      <c r="BM934" s="1136"/>
      <c r="BN934" s="1136"/>
      <c r="BO934" s="1136"/>
      <c r="BP934" s="1136"/>
      <c r="BQ934" s="1136"/>
      <c r="BR934" s="1136"/>
      <c r="BS934" s="1136"/>
      <c r="BT934" s="1136"/>
      <c r="BU934" s="1136"/>
      <c r="BV934" s="1136"/>
      <c r="BW934" s="1136"/>
      <c r="BX934" s="1136"/>
      <c r="BY934" s="1136"/>
      <c r="BZ934" s="1136"/>
      <c r="CA934" s="1136"/>
      <c r="CB934" s="1136"/>
      <c r="CC934" s="1136"/>
      <c r="CD934" s="1136"/>
      <c r="CE934" s="1136"/>
      <c r="CF934" s="1136"/>
      <c r="CG934" s="1136"/>
      <c r="CH934" s="1136"/>
      <c r="CI934" s="1136"/>
      <c r="CJ934" s="1136"/>
      <c r="CK934" s="1136"/>
      <c r="CL934" s="1136"/>
      <c r="CM934" s="1136"/>
      <c r="CN934" s="1136"/>
      <c r="CO934" s="1136"/>
      <c r="CP934" s="1136"/>
      <c r="CQ934" s="1136"/>
      <c r="CR934" s="1136"/>
      <c r="CS934" s="1136"/>
      <c r="CT934" s="1136"/>
      <c r="CU934" s="1136"/>
      <c r="CV934" s="1136"/>
      <c r="CW934" s="1136"/>
      <c r="CX934" s="1136"/>
      <c r="CY934" s="1136"/>
      <c r="CZ934" s="1136"/>
      <c r="DA934" s="1136"/>
      <c r="DB934" s="1136"/>
      <c r="DC934" s="1136"/>
      <c r="DD934" s="1136"/>
      <c r="DE934" s="1136"/>
      <c r="DF934" s="1136"/>
      <c r="DG934" s="1136"/>
      <c r="DH934" s="1136"/>
      <c r="DI934" s="1136"/>
    </row>
    <row r="935" spans="1:113" ht="31.5" x14ac:dyDescent="0.25">
      <c r="A935" s="1438" t="s">
        <v>535</v>
      </c>
      <c r="B935" s="1443"/>
      <c r="C935" s="1521"/>
      <c r="D935" s="1521"/>
      <c r="E935" s="1521"/>
      <c r="F935" s="1521"/>
      <c r="G935" s="1521"/>
      <c r="H935" s="1531"/>
      <c r="I935" s="1531"/>
      <c r="J935" s="1531"/>
      <c r="K935" s="1531"/>
      <c r="L935" s="1531"/>
      <c r="M935" s="1531"/>
      <c r="N935" s="1531"/>
      <c r="O935" s="1531"/>
      <c r="P935" s="1531"/>
      <c r="Q935" s="1531"/>
      <c r="R935" s="1531"/>
      <c r="S935" s="1531"/>
      <c r="T935" s="1531"/>
      <c r="U935" s="1531"/>
      <c r="V935" s="1531"/>
      <c r="W935" s="1531"/>
      <c r="X935" s="1531"/>
      <c r="Y935" s="1531"/>
      <c r="Z935" s="1531"/>
      <c r="AA935" s="1531"/>
      <c r="AB935" s="1531"/>
      <c r="AC935" s="1531"/>
      <c r="AD935" s="1531"/>
      <c r="AE935" s="1531"/>
      <c r="AF935" s="1531"/>
      <c r="AG935" s="1531"/>
      <c r="AH935" s="1531"/>
      <c r="AI935" s="1531"/>
      <c r="AJ935" s="1531"/>
      <c r="AK935" s="1531"/>
      <c r="AL935" s="1531"/>
      <c r="AM935" s="1531"/>
      <c r="AN935" s="1531"/>
      <c r="AO935" s="1531"/>
      <c r="AP935" s="1531"/>
      <c r="AQ935" s="1531"/>
      <c r="AR935" s="1531"/>
      <c r="AS935" s="1531"/>
      <c r="AT935" s="1136"/>
      <c r="AU935" s="1136"/>
      <c r="AV935" s="1136"/>
      <c r="AW935" s="1136"/>
      <c r="AX935" s="1136"/>
      <c r="AY935" s="1136"/>
      <c r="AZ935" s="1136"/>
      <c r="BA935" s="1136"/>
      <c r="BB935" s="1136"/>
      <c r="BC935" s="1136"/>
      <c r="BD935" s="1136"/>
      <c r="BE935" s="1136"/>
      <c r="BF935" s="1136"/>
      <c r="BG935" s="1136"/>
      <c r="BH935" s="1136"/>
      <c r="BI935" s="1136"/>
      <c r="BJ935" s="1136"/>
      <c r="BK935" s="1136"/>
      <c r="BL935" s="1136"/>
      <c r="BM935" s="1136"/>
      <c r="BN935" s="1136"/>
      <c r="BO935" s="1136"/>
      <c r="BP935" s="1136"/>
      <c r="BQ935" s="1136"/>
      <c r="BR935" s="1136"/>
      <c r="BS935" s="1136"/>
      <c r="BT935" s="1136"/>
      <c r="BU935" s="1136"/>
      <c r="BV935" s="1136"/>
      <c r="BW935" s="1136"/>
      <c r="BX935" s="1136"/>
      <c r="BY935" s="1136"/>
      <c r="BZ935" s="1136"/>
      <c r="CA935" s="1136"/>
      <c r="CB935" s="1136"/>
      <c r="CC935" s="1136"/>
      <c r="CD935" s="1136"/>
      <c r="CE935" s="1136"/>
      <c r="CF935" s="1136"/>
      <c r="CG935" s="1136"/>
      <c r="CH935" s="1136"/>
      <c r="CI935" s="1136"/>
      <c r="CJ935" s="1136"/>
      <c r="CK935" s="1136"/>
      <c r="CL935" s="1136"/>
      <c r="CM935" s="1136"/>
      <c r="CN935" s="1136"/>
      <c r="CO935" s="1136"/>
      <c r="CP935" s="1136"/>
      <c r="CQ935" s="1136"/>
      <c r="CR935" s="1136"/>
      <c r="CS935" s="1136"/>
      <c r="CT935" s="1136"/>
      <c r="CU935" s="1136"/>
      <c r="CV935" s="1136"/>
      <c r="CW935" s="1136"/>
      <c r="CX935" s="1136"/>
      <c r="CY935" s="1136"/>
      <c r="CZ935" s="1136"/>
      <c r="DA935" s="1136"/>
      <c r="DB935" s="1136"/>
      <c r="DC935" s="1136"/>
      <c r="DD935" s="1136"/>
      <c r="DE935" s="1136"/>
      <c r="DF935" s="1136"/>
      <c r="DG935" s="1136"/>
      <c r="DH935" s="1136"/>
      <c r="DI935" s="1136"/>
    </row>
    <row r="936" spans="1:113" ht="15.75" x14ac:dyDescent="0.25">
      <c r="A936" s="1430" t="s">
        <v>424</v>
      </c>
      <c r="B936" s="1439">
        <f>B291/B310</f>
        <v>1.25</v>
      </c>
      <c r="C936" s="1562"/>
      <c r="D936" s="1617"/>
      <c r="E936" s="1617"/>
      <c r="F936" s="1617"/>
      <c r="G936" s="1617"/>
      <c r="H936" s="1531"/>
      <c r="I936" s="1531"/>
      <c r="J936" s="1531"/>
      <c r="K936" s="1531"/>
      <c r="L936" s="1531"/>
      <c r="M936" s="1531"/>
      <c r="N936" s="1531"/>
      <c r="O936" s="1531"/>
      <c r="P936" s="1531"/>
      <c r="Q936" s="1531"/>
      <c r="R936" s="1531"/>
      <c r="S936" s="1531"/>
      <c r="T936" s="1531"/>
      <c r="U936" s="1531"/>
      <c r="V936" s="1531"/>
      <c r="W936" s="1531"/>
      <c r="X936" s="1531"/>
      <c r="Y936" s="1531"/>
      <c r="Z936" s="1531"/>
      <c r="AA936" s="1531"/>
      <c r="AB936" s="1531"/>
      <c r="AC936" s="1531"/>
      <c r="AD936" s="1531"/>
      <c r="AE936" s="1531"/>
      <c r="AF936" s="1531"/>
      <c r="AG936" s="1531"/>
      <c r="AH936" s="1531"/>
      <c r="AI936" s="1531"/>
      <c r="AJ936" s="1531"/>
      <c r="AK936" s="1531"/>
      <c r="AL936" s="1531"/>
      <c r="AM936" s="1531"/>
      <c r="AN936" s="1531"/>
      <c r="AO936" s="1531"/>
      <c r="AP936" s="1531"/>
      <c r="AQ936" s="1531"/>
      <c r="AR936" s="1531"/>
      <c r="AS936" s="1531"/>
      <c r="AT936" s="1136"/>
      <c r="AU936" s="1136"/>
      <c r="AV936" s="1136"/>
      <c r="AW936" s="1136"/>
      <c r="AX936" s="1136"/>
      <c r="AY936" s="1136"/>
      <c r="AZ936" s="1136"/>
      <c r="BA936" s="1136"/>
      <c r="BB936" s="1136"/>
      <c r="BC936" s="1136"/>
      <c r="BD936" s="1136"/>
      <c r="BE936" s="1136"/>
      <c r="BF936" s="1136"/>
      <c r="BG936" s="1136"/>
      <c r="BH936" s="1136"/>
      <c r="BI936" s="1136"/>
      <c r="BJ936" s="1136"/>
      <c r="BK936" s="1136"/>
      <c r="BL936" s="1136"/>
      <c r="BM936" s="1136"/>
      <c r="BN936" s="1136"/>
      <c r="BO936" s="1136"/>
      <c r="BP936" s="1136"/>
      <c r="BQ936" s="1136"/>
      <c r="BR936" s="1136"/>
      <c r="BS936" s="1136"/>
      <c r="BT936" s="1136"/>
      <c r="BU936" s="1136"/>
      <c r="BV936" s="1136"/>
      <c r="BW936" s="1136"/>
      <c r="BX936" s="1136"/>
      <c r="BY936" s="1136"/>
      <c r="BZ936" s="1136"/>
      <c r="CA936" s="1136"/>
      <c r="CB936" s="1136"/>
      <c r="CC936" s="1136"/>
      <c r="CD936" s="1136"/>
      <c r="CE936" s="1136"/>
      <c r="CF936" s="1136"/>
      <c r="CG936" s="1136"/>
      <c r="CH936" s="1136"/>
      <c r="CI936" s="1136"/>
      <c r="CJ936" s="1136"/>
      <c r="CK936" s="1136"/>
      <c r="CL936" s="1136"/>
      <c r="CM936" s="1136"/>
      <c r="CN936" s="1136"/>
      <c r="CO936" s="1136"/>
      <c r="CP936" s="1136"/>
      <c r="CQ936" s="1136"/>
      <c r="CR936" s="1136"/>
      <c r="CS936" s="1136"/>
      <c r="CT936" s="1136"/>
      <c r="CU936" s="1136"/>
      <c r="CV936" s="1136"/>
      <c r="CW936" s="1136"/>
      <c r="CX936" s="1136"/>
      <c r="CY936" s="1136"/>
      <c r="CZ936" s="1136"/>
      <c r="DA936" s="1136"/>
      <c r="DB936" s="1136"/>
      <c r="DC936" s="1136"/>
      <c r="DD936" s="1136"/>
      <c r="DE936" s="1136"/>
      <c r="DF936" s="1136"/>
      <c r="DG936" s="1136"/>
      <c r="DH936" s="1136"/>
      <c r="DI936" s="1136"/>
    </row>
    <row r="937" spans="1:113" ht="15.75" x14ac:dyDescent="0.25">
      <c r="A937" s="1430" t="s">
        <v>425</v>
      </c>
      <c r="B937" s="1424">
        <f>IF(B938&lt;2.51,30.8,IF(B938&lt;3.01,26.1,IF(B938&lt;3.31,22.4,IF(B938&lt;3.61,18.9,IF(B938&lt;3.81,16.1,IF(B938&lt;4.4,14,12.1))))))</f>
        <v>22.4</v>
      </c>
      <c r="C937" s="1606"/>
      <c r="D937" s="1521"/>
      <c r="E937" s="1521"/>
      <c r="F937" s="1521"/>
      <c r="G937" s="1521"/>
      <c r="H937" s="1531"/>
      <c r="I937" s="1531"/>
      <c r="J937" s="1531"/>
      <c r="K937" s="1531"/>
      <c r="L937" s="1531"/>
      <c r="M937" s="1531"/>
      <c r="N937" s="1531"/>
      <c r="O937" s="1531"/>
      <c r="P937" s="1531"/>
      <c r="Q937" s="1531"/>
      <c r="R937" s="1531"/>
      <c r="S937" s="1531"/>
      <c r="T937" s="1531"/>
      <c r="U937" s="1531"/>
      <c r="V937" s="1531"/>
      <c r="W937" s="1531"/>
      <c r="X937" s="1531"/>
      <c r="Y937" s="1531"/>
      <c r="Z937" s="1531"/>
      <c r="AA937" s="1531"/>
      <c r="AB937" s="1531"/>
      <c r="AC937" s="1531"/>
      <c r="AD937" s="1531"/>
      <c r="AE937" s="1531"/>
      <c r="AF937" s="1531"/>
      <c r="AG937" s="1531"/>
      <c r="AH937" s="1531"/>
      <c r="AI937" s="1531"/>
      <c r="AJ937" s="1531"/>
      <c r="AK937" s="1531"/>
      <c r="AL937" s="1531"/>
      <c r="AM937" s="1531"/>
      <c r="AN937" s="1531"/>
      <c r="AO937" s="1531"/>
      <c r="AP937" s="1531"/>
      <c r="AQ937" s="1531"/>
      <c r="AR937" s="1531"/>
      <c r="AS937" s="1531"/>
      <c r="AT937" s="1136"/>
      <c r="AU937" s="1136"/>
      <c r="AV937" s="1136"/>
      <c r="AW937" s="1136"/>
      <c r="AX937" s="1136"/>
      <c r="AY937" s="1136"/>
      <c r="AZ937" s="1136"/>
      <c r="BA937" s="1136"/>
      <c r="BB937" s="1136"/>
      <c r="BC937" s="1136"/>
      <c r="BD937" s="1136"/>
      <c r="BE937" s="1136"/>
      <c r="BF937" s="1136"/>
      <c r="BG937" s="1136"/>
      <c r="BH937" s="1136"/>
      <c r="BI937" s="1136"/>
      <c r="BJ937" s="1136"/>
      <c r="BK937" s="1136"/>
      <c r="BL937" s="1136"/>
      <c r="BM937" s="1136"/>
      <c r="BN937" s="1136"/>
      <c r="BO937" s="1136"/>
      <c r="BP937" s="1136"/>
      <c r="BQ937" s="1136"/>
      <c r="BR937" s="1136"/>
      <c r="BS937" s="1136"/>
      <c r="BT937" s="1136"/>
      <c r="BU937" s="1136"/>
      <c r="BV937" s="1136"/>
      <c r="BW937" s="1136"/>
      <c r="BX937" s="1136"/>
      <c r="BY937" s="1136"/>
      <c r="BZ937" s="1136"/>
      <c r="CA937" s="1136"/>
      <c r="CB937" s="1136"/>
      <c r="CC937" s="1136"/>
      <c r="CD937" s="1136"/>
      <c r="CE937" s="1136"/>
      <c r="CF937" s="1136"/>
      <c r="CG937" s="1136"/>
      <c r="CH937" s="1136"/>
      <c r="CI937" s="1136"/>
      <c r="CJ937" s="1136"/>
      <c r="CK937" s="1136"/>
      <c r="CL937" s="1136"/>
      <c r="CM937" s="1136"/>
      <c r="CN937" s="1136"/>
      <c r="CO937" s="1136"/>
      <c r="CP937" s="1136"/>
      <c r="CQ937" s="1136"/>
      <c r="CR937" s="1136"/>
      <c r="CS937" s="1136"/>
      <c r="CT937" s="1136"/>
      <c r="CU937" s="1136"/>
      <c r="CV937" s="1136"/>
      <c r="CW937" s="1136"/>
      <c r="CX937" s="1136"/>
      <c r="CY937" s="1136"/>
      <c r="CZ937" s="1136"/>
      <c r="DA937" s="1136"/>
      <c r="DB937" s="1136"/>
      <c r="DC937" s="1136"/>
      <c r="DD937" s="1136"/>
      <c r="DE937" s="1136"/>
      <c r="DF937" s="1136"/>
      <c r="DG937" s="1136"/>
      <c r="DH937" s="1136"/>
      <c r="DI937" s="1136"/>
    </row>
    <row r="938" spans="1:113" ht="15.75" x14ac:dyDescent="0.25">
      <c r="A938" s="1430" t="s">
        <v>536</v>
      </c>
      <c r="B938" s="1449">
        <f>B474</f>
        <v>3.3</v>
      </c>
      <c r="C938" s="1437"/>
      <c r="D938" s="1562"/>
      <c r="E938" s="1562"/>
      <c r="F938" s="1562"/>
      <c r="G938" s="1562"/>
      <c r="H938" s="1531"/>
      <c r="I938" s="1531"/>
      <c r="J938" s="1531"/>
      <c r="K938" s="1531"/>
      <c r="L938" s="1531"/>
      <c r="M938" s="1531"/>
      <c r="N938" s="1531"/>
      <c r="O938" s="1531"/>
      <c r="P938" s="1531"/>
      <c r="Q938" s="1531"/>
      <c r="R938" s="1531"/>
      <c r="S938" s="1531"/>
      <c r="T938" s="1531"/>
      <c r="U938" s="1531"/>
      <c r="V938" s="1531"/>
      <c r="W938" s="1531"/>
      <c r="X938" s="1531"/>
      <c r="Y938" s="1531"/>
      <c r="Z938" s="1531"/>
      <c r="AA938" s="1531"/>
      <c r="AB938" s="1531"/>
      <c r="AC938" s="1531"/>
      <c r="AD938" s="1531"/>
      <c r="AE938" s="1531"/>
      <c r="AF938" s="1531"/>
      <c r="AG938" s="1531"/>
      <c r="AH938" s="1531"/>
      <c r="AI938" s="1531"/>
      <c r="AJ938" s="1531"/>
      <c r="AK938" s="1531"/>
      <c r="AL938" s="1531"/>
      <c r="AM938" s="1531"/>
      <c r="AN938" s="1531"/>
      <c r="AO938" s="1531"/>
      <c r="AP938" s="1531"/>
      <c r="AQ938" s="1531"/>
      <c r="AR938" s="1531"/>
      <c r="AS938" s="1531"/>
      <c r="AT938" s="1136"/>
      <c r="AU938" s="1136"/>
      <c r="AV938" s="1136"/>
      <c r="AW938" s="1136"/>
      <c r="AX938" s="1136"/>
      <c r="AY938" s="1136"/>
      <c r="AZ938" s="1136"/>
      <c r="BA938" s="1136"/>
      <c r="BB938" s="1136"/>
      <c r="BC938" s="1136"/>
      <c r="BD938" s="1136"/>
      <c r="BE938" s="1136"/>
      <c r="BF938" s="1136"/>
      <c r="BG938" s="1136"/>
      <c r="BH938" s="1136"/>
      <c r="BI938" s="1136"/>
      <c r="BJ938" s="1136"/>
      <c r="BK938" s="1136"/>
      <c r="BL938" s="1136"/>
      <c r="BM938" s="1136"/>
      <c r="BN938" s="1136"/>
      <c r="BO938" s="1136"/>
      <c r="BP938" s="1136"/>
      <c r="BQ938" s="1136"/>
      <c r="BR938" s="1136"/>
      <c r="BS938" s="1136"/>
      <c r="BT938" s="1136"/>
      <c r="BU938" s="1136"/>
      <c r="BV938" s="1136"/>
      <c r="BW938" s="1136"/>
      <c r="BX938" s="1136"/>
      <c r="BY938" s="1136"/>
      <c r="BZ938" s="1136"/>
      <c r="CA938" s="1136"/>
      <c r="CB938" s="1136"/>
      <c r="CC938" s="1136"/>
      <c r="CD938" s="1136"/>
      <c r="CE938" s="1136"/>
      <c r="CF938" s="1136"/>
      <c r="CG938" s="1136"/>
      <c r="CH938" s="1136"/>
      <c r="CI938" s="1136"/>
      <c r="CJ938" s="1136"/>
      <c r="CK938" s="1136"/>
      <c r="CL938" s="1136"/>
      <c r="CM938" s="1136"/>
      <c r="CN938" s="1136"/>
      <c r="CO938" s="1136"/>
      <c r="CP938" s="1136"/>
      <c r="CQ938" s="1136"/>
      <c r="CR938" s="1136"/>
      <c r="CS938" s="1136"/>
      <c r="CT938" s="1136"/>
      <c r="CU938" s="1136"/>
      <c r="CV938" s="1136"/>
      <c r="CW938" s="1136"/>
      <c r="CX938" s="1136"/>
      <c r="CY938" s="1136"/>
      <c r="CZ938" s="1136"/>
      <c r="DA938" s="1136"/>
      <c r="DB938" s="1136"/>
      <c r="DC938" s="1136"/>
      <c r="DD938" s="1136"/>
      <c r="DE938" s="1136"/>
      <c r="DF938" s="1136"/>
      <c r="DG938" s="1136"/>
      <c r="DH938" s="1136"/>
      <c r="DI938" s="1136"/>
    </row>
    <row r="939" spans="1:113" ht="15.75" x14ac:dyDescent="0.25">
      <c r="A939" s="1420" t="s">
        <v>3412</v>
      </c>
      <c r="B939" s="1433" t="e">
        <f>B937*B341</f>
        <v>#VALUE!</v>
      </c>
      <c r="C939" s="1569"/>
      <c r="D939" s="1562"/>
      <c r="E939" s="1562"/>
      <c r="F939" s="1562"/>
      <c r="G939" s="1562"/>
      <c r="H939" s="1531"/>
      <c r="I939" s="1531"/>
      <c r="J939" s="1531"/>
      <c r="K939" s="1531"/>
      <c r="L939" s="1531"/>
      <c r="M939" s="1531"/>
      <c r="N939" s="1531"/>
      <c r="O939" s="1531"/>
      <c r="P939" s="1531"/>
      <c r="Q939" s="1531"/>
      <c r="R939" s="1531"/>
      <c r="S939" s="1531"/>
      <c r="T939" s="1531"/>
      <c r="U939" s="1531"/>
      <c r="V939" s="1531"/>
      <c r="W939" s="1531"/>
      <c r="X939" s="1531"/>
      <c r="Y939" s="1531"/>
      <c r="Z939" s="1531"/>
      <c r="AA939" s="1531"/>
      <c r="AB939" s="1531"/>
      <c r="AC939" s="1531"/>
      <c r="AD939" s="1531"/>
      <c r="AE939" s="1531"/>
      <c r="AF939" s="1531"/>
      <c r="AG939" s="1531"/>
      <c r="AH939" s="1531"/>
      <c r="AI939" s="1531"/>
      <c r="AJ939" s="1531"/>
      <c r="AK939" s="1531"/>
      <c r="AL939" s="1531"/>
      <c r="AM939" s="1531"/>
      <c r="AN939" s="1531"/>
      <c r="AO939" s="1531"/>
      <c r="AP939" s="1531"/>
      <c r="AQ939" s="1531"/>
      <c r="AR939" s="1531"/>
      <c r="AS939" s="1531"/>
      <c r="AT939" s="1136"/>
      <c r="AU939" s="1136"/>
      <c r="AV939" s="1136"/>
      <c r="AW939" s="1136"/>
      <c r="AX939" s="1136"/>
      <c r="AY939" s="1136"/>
      <c r="AZ939" s="1136"/>
      <c r="BA939" s="1136"/>
      <c r="BB939" s="1136"/>
      <c r="BC939" s="1136"/>
      <c r="BD939" s="1136"/>
      <c r="BE939" s="1136"/>
      <c r="BF939" s="1136"/>
      <c r="BG939" s="1136"/>
      <c r="BH939" s="1136"/>
      <c r="BI939" s="1136"/>
      <c r="BJ939" s="1136"/>
      <c r="BK939" s="1136"/>
      <c r="BL939" s="1136"/>
      <c r="BM939" s="1136"/>
      <c r="BN939" s="1136"/>
      <c r="BO939" s="1136"/>
      <c r="BP939" s="1136"/>
      <c r="BQ939" s="1136"/>
      <c r="BR939" s="1136"/>
      <c r="BS939" s="1136"/>
      <c r="BT939" s="1136"/>
      <c r="BU939" s="1136"/>
      <c r="BV939" s="1136"/>
      <c r="BW939" s="1136"/>
      <c r="BX939" s="1136"/>
      <c r="BY939" s="1136"/>
      <c r="BZ939" s="1136"/>
      <c r="CA939" s="1136"/>
      <c r="CB939" s="1136"/>
      <c r="CC939" s="1136"/>
      <c r="CD939" s="1136"/>
      <c r="CE939" s="1136"/>
      <c r="CF939" s="1136"/>
      <c r="CG939" s="1136"/>
      <c r="CH939" s="1136"/>
      <c r="CI939" s="1136"/>
      <c r="CJ939" s="1136"/>
      <c r="CK939" s="1136"/>
      <c r="CL939" s="1136"/>
      <c r="CM939" s="1136"/>
      <c r="CN939" s="1136"/>
      <c r="CO939" s="1136"/>
      <c r="CP939" s="1136"/>
      <c r="CQ939" s="1136"/>
      <c r="CR939" s="1136"/>
      <c r="CS939" s="1136"/>
      <c r="CT939" s="1136"/>
      <c r="CU939" s="1136"/>
      <c r="CV939" s="1136"/>
      <c r="CW939" s="1136"/>
      <c r="CX939" s="1136"/>
      <c r="CY939" s="1136"/>
      <c r="CZ939" s="1136"/>
      <c r="DA939" s="1136"/>
      <c r="DB939" s="1136"/>
      <c r="DC939" s="1136"/>
      <c r="DD939" s="1136"/>
      <c r="DE939" s="1136"/>
      <c r="DF939" s="1136"/>
      <c r="DG939" s="1136"/>
      <c r="DH939" s="1136"/>
      <c r="DI939" s="1136"/>
    </row>
    <row r="940" spans="1:113" ht="15.75" x14ac:dyDescent="0.25">
      <c r="A940" s="1452" t="s">
        <v>429</v>
      </c>
      <c r="B940" s="1459" t="e">
        <f>B936/B939</f>
        <v>#VALUE!</v>
      </c>
      <c r="C940" s="1618"/>
      <c r="D940" s="1563"/>
      <c r="E940" s="1563"/>
      <c r="F940" s="1563"/>
      <c r="G940" s="1563"/>
      <c r="H940" s="1531"/>
      <c r="I940" s="1531"/>
      <c r="J940" s="1531"/>
      <c r="K940" s="1531"/>
      <c r="L940" s="1531"/>
      <c r="M940" s="1531"/>
      <c r="N940" s="1531"/>
      <c r="O940" s="1531"/>
      <c r="P940" s="1531"/>
      <c r="Q940" s="1531"/>
      <c r="R940" s="1531"/>
      <c r="S940" s="1531"/>
      <c r="T940" s="1531"/>
      <c r="U940" s="1531"/>
      <c r="V940" s="1531"/>
      <c r="W940" s="1531"/>
      <c r="X940" s="1531"/>
      <c r="Y940" s="1531"/>
      <c r="Z940" s="1531"/>
      <c r="AA940" s="1531"/>
      <c r="AB940" s="1531"/>
      <c r="AC940" s="1531"/>
      <c r="AD940" s="1531"/>
      <c r="AE940" s="1531"/>
      <c r="AF940" s="1531"/>
      <c r="AG940" s="1531"/>
      <c r="AH940" s="1531"/>
      <c r="AI940" s="1531"/>
      <c r="AJ940" s="1531"/>
      <c r="AK940" s="1531"/>
      <c r="AL940" s="1531"/>
      <c r="AM940" s="1531"/>
      <c r="AN940" s="1531"/>
      <c r="AO940" s="1531"/>
      <c r="AP940" s="1531"/>
      <c r="AQ940" s="1531"/>
      <c r="AR940" s="1531"/>
      <c r="AS940" s="1531"/>
      <c r="AT940" s="1136"/>
      <c r="AU940" s="1136"/>
      <c r="AV940" s="1136"/>
      <c r="AW940" s="1136"/>
      <c r="AX940" s="1136"/>
      <c r="AY940" s="1136"/>
      <c r="AZ940" s="1136"/>
      <c r="BA940" s="1136"/>
      <c r="BB940" s="1136"/>
      <c r="BC940" s="1136"/>
      <c r="BD940" s="1136"/>
      <c r="BE940" s="1136"/>
      <c r="BF940" s="1136"/>
      <c r="BG940" s="1136"/>
      <c r="BH940" s="1136"/>
      <c r="BI940" s="1136"/>
      <c r="BJ940" s="1136"/>
      <c r="BK940" s="1136"/>
      <c r="BL940" s="1136"/>
      <c r="BM940" s="1136"/>
      <c r="BN940" s="1136"/>
      <c r="BO940" s="1136"/>
      <c r="BP940" s="1136"/>
      <c r="BQ940" s="1136"/>
      <c r="BR940" s="1136"/>
      <c r="BS940" s="1136"/>
      <c r="BT940" s="1136"/>
      <c r="BU940" s="1136"/>
      <c r="BV940" s="1136"/>
      <c r="BW940" s="1136"/>
      <c r="BX940" s="1136"/>
      <c r="BY940" s="1136"/>
      <c r="BZ940" s="1136"/>
      <c r="CA940" s="1136"/>
      <c r="CB940" s="1136"/>
      <c r="CC940" s="1136"/>
      <c r="CD940" s="1136"/>
      <c r="CE940" s="1136"/>
      <c r="CF940" s="1136"/>
      <c r="CG940" s="1136"/>
      <c r="CH940" s="1136"/>
      <c r="CI940" s="1136"/>
      <c r="CJ940" s="1136"/>
      <c r="CK940" s="1136"/>
      <c r="CL940" s="1136"/>
      <c r="CM940" s="1136"/>
      <c r="CN940" s="1136"/>
      <c r="CO940" s="1136"/>
      <c r="CP940" s="1136"/>
      <c r="CQ940" s="1136"/>
      <c r="CR940" s="1136"/>
      <c r="CS940" s="1136"/>
      <c r="CT940" s="1136"/>
      <c r="CU940" s="1136"/>
      <c r="CV940" s="1136"/>
      <c r="CW940" s="1136"/>
      <c r="CX940" s="1136"/>
      <c r="CY940" s="1136"/>
      <c r="CZ940" s="1136"/>
      <c r="DA940" s="1136"/>
      <c r="DB940" s="1136"/>
      <c r="DC940" s="1136"/>
      <c r="DD940" s="1136"/>
      <c r="DE940" s="1136"/>
      <c r="DF940" s="1136"/>
      <c r="DG940" s="1136"/>
      <c r="DH940" s="1136"/>
      <c r="DI940" s="1136"/>
    </row>
    <row r="941" spans="1:113" ht="15.75" x14ac:dyDescent="0.25">
      <c r="A941" s="1430"/>
      <c r="B941" s="1439"/>
      <c r="C941" s="1562"/>
      <c r="D941" s="1531"/>
      <c r="E941" s="1531"/>
      <c r="F941" s="1531"/>
      <c r="G941" s="1531"/>
      <c r="H941" s="1531"/>
      <c r="I941" s="1531"/>
      <c r="J941" s="1531"/>
      <c r="K941" s="1531"/>
      <c r="L941" s="1531"/>
      <c r="M941" s="1531"/>
      <c r="N941" s="1531"/>
      <c r="O941" s="1531"/>
      <c r="P941" s="1531"/>
      <c r="Q941" s="1531"/>
      <c r="R941" s="1531"/>
      <c r="S941" s="1531"/>
      <c r="T941" s="1531"/>
      <c r="U941" s="1531"/>
      <c r="V941" s="1531"/>
      <c r="W941" s="1531"/>
      <c r="X941" s="1531"/>
      <c r="Y941" s="1531"/>
      <c r="Z941" s="1531"/>
      <c r="AA941" s="1531"/>
      <c r="AB941" s="1531"/>
      <c r="AC941" s="1531"/>
      <c r="AD941" s="1531"/>
      <c r="AE941" s="1531"/>
      <c r="AF941" s="1531"/>
      <c r="AG941" s="1531"/>
      <c r="AH941" s="1531"/>
      <c r="AI941" s="1531"/>
      <c r="AJ941" s="1531"/>
      <c r="AK941" s="1531"/>
      <c r="AL941" s="1531"/>
      <c r="AM941" s="1531"/>
      <c r="AN941" s="1531"/>
      <c r="AO941" s="1531"/>
      <c r="AP941" s="1531"/>
      <c r="AQ941" s="1531"/>
      <c r="AR941" s="1531"/>
      <c r="AS941" s="1531"/>
      <c r="AT941" s="1136"/>
      <c r="AU941" s="1136"/>
      <c r="AV941" s="1136"/>
      <c r="AW941" s="1136"/>
      <c r="AX941" s="1136"/>
      <c r="AY941" s="1136"/>
      <c r="AZ941" s="1136"/>
      <c r="BA941" s="1136"/>
      <c r="BB941" s="1136"/>
      <c r="BC941" s="1136"/>
      <c r="BD941" s="1136"/>
      <c r="BE941" s="1136"/>
      <c r="BF941" s="1136"/>
      <c r="BG941" s="1136"/>
      <c r="BH941" s="1136"/>
      <c r="BI941" s="1136"/>
      <c r="BJ941" s="1136"/>
      <c r="BK941" s="1136"/>
      <c r="BL941" s="1136"/>
      <c r="BM941" s="1136"/>
      <c r="BN941" s="1136"/>
      <c r="BO941" s="1136"/>
      <c r="BP941" s="1136"/>
      <c r="BQ941" s="1136"/>
      <c r="BR941" s="1136"/>
      <c r="BS941" s="1136"/>
      <c r="BT941" s="1136"/>
      <c r="BU941" s="1136"/>
      <c r="BV941" s="1136"/>
      <c r="BW941" s="1136"/>
      <c r="BX941" s="1136"/>
      <c r="BY941" s="1136"/>
      <c r="BZ941" s="1136"/>
      <c r="CA941" s="1136"/>
      <c r="CB941" s="1136"/>
      <c r="CC941" s="1136"/>
      <c r="CD941" s="1136"/>
      <c r="CE941" s="1136"/>
      <c r="CF941" s="1136"/>
      <c r="CG941" s="1136"/>
      <c r="CH941" s="1136"/>
      <c r="CI941" s="1136"/>
      <c r="CJ941" s="1136"/>
      <c r="CK941" s="1136"/>
      <c r="CL941" s="1136"/>
      <c r="CM941" s="1136"/>
      <c r="CN941" s="1136"/>
      <c r="CO941" s="1136"/>
      <c r="CP941" s="1136"/>
      <c r="CQ941" s="1136"/>
      <c r="CR941" s="1136"/>
      <c r="CS941" s="1136"/>
      <c r="CT941" s="1136"/>
      <c r="CU941" s="1136"/>
      <c r="CV941" s="1136"/>
      <c r="CW941" s="1136"/>
      <c r="CX941" s="1136"/>
      <c r="CY941" s="1136"/>
      <c r="CZ941" s="1136"/>
      <c r="DA941" s="1136"/>
      <c r="DB941" s="1136"/>
      <c r="DC941" s="1136"/>
      <c r="DD941" s="1136"/>
      <c r="DE941" s="1136"/>
      <c r="DF941" s="1136"/>
      <c r="DG941" s="1136"/>
      <c r="DH941" s="1136"/>
      <c r="DI941" s="1136"/>
    </row>
    <row r="942" spans="1:113" ht="15.75" x14ac:dyDescent="0.25">
      <c r="A942" s="1619" t="s">
        <v>2994</v>
      </c>
      <c r="B942" s="1439"/>
      <c r="C942" s="1562"/>
      <c r="D942" s="1531"/>
      <c r="E942" s="1531"/>
      <c r="F942" s="1531"/>
      <c r="G942" s="1531"/>
      <c r="H942" s="1531"/>
      <c r="I942" s="1531"/>
      <c r="J942" s="1531"/>
      <c r="K942" s="1531"/>
      <c r="L942" s="1531"/>
      <c r="M942" s="1531"/>
      <c r="N942" s="1531"/>
      <c r="O942" s="1531"/>
      <c r="P942" s="1531"/>
      <c r="Q942" s="1531"/>
      <c r="R942" s="1531"/>
      <c r="S942" s="1531"/>
      <c r="T942" s="1531"/>
      <c r="U942" s="1531"/>
      <c r="V942" s="1531"/>
      <c r="W942" s="1531"/>
      <c r="X942" s="1531"/>
      <c r="Y942" s="1531"/>
      <c r="Z942" s="1531"/>
      <c r="AA942" s="1531"/>
      <c r="AB942" s="1531"/>
      <c r="AC942" s="1531"/>
      <c r="AD942" s="1531"/>
      <c r="AE942" s="1531"/>
      <c r="AF942" s="1531"/>
      <c r="AG942" s="1531"/>
      <c r="AH942" s="1531"/>
      <c r="AI942" s="1531"/>
      <c r="AJ942" s="1531"/>
      <c r="AK942" s="1531"/>
      <c r="AL942" s="1531"/>
      <c r="AM942" s="1531"/>
      <c r="AN942" s="1531"/>
      <c r="AO942" s="1531"/>
      <c r="AP942" s="1531"/>
      <c r="AQ942" s="1531"/>
      <c r="AR942" s="1531"/>
      <c r="AS942" s="1531"/>
      <c r="AT942" s="1136"/>
      <c r="AU942" s="1136"/>
      <c r="AV942" s="1136"/>
      <c r="AW942" s="1136"/>
      <c r="AX942" s="1136"/>
      <c r="AY942" s="1136"/>
      <c r="AZ942" s="1136"/>
      <c r="BA942" s="1136"/>
      <c r="BB942" s="1136"/>
      <c r="BC942" s="1136"/>
      <c r="BD942" s="1136"/>
      <c r="BE942" s="1136"/>
      <c r="BF942" s="1136"/>
      <c r="BG942" s="1136"/>
      <c r="BH942" s="1136"/>
      <c r="BI942" s="1136"/>
      <c r="BJ942" s="1136"/>
      <c r="BK942" s="1136"/>
      <c r="BL942" s="1136"/>
      <c r="BM942" s="1136"/>
      <c r="BN942" s="1136"/>
      <c r="BO942" s="1136"/>
      <c r="BP942" s="1136"/>
      <c r="BQ942" s="1136"/>
      <c r="BR942" s="1136"/>
      <c r="BS942" s="1136"/>
      <c r="BT942" s="1136"/>
      <c r="BU942" s="1136"/>
      <c r="BV942" s="1136"/>
      <c r="BW942" s="1136"/>
      <c r="BX942" s="1136"/>
      <c r="BY942" s="1136"/>
      <c r="BZ942" s="1136"/>
      <c r="CA942" s="1136"/>
      <c r="CB942" s="1136"/>
      <c r="CC942" s="1136"/>
      <c r="CD942" s="1136"/>
      <c r="CE942" s="1136"/>
      <c r="CF942" s="1136"/>
      <c r="CG942" s="1136"/>
      <c r="CH942" s="1136"/>
      <c r="CI942" s="1136"/>
      <c r="CJ942" s="1136"/>
      <c r="CK942" s="1136"/>
      <c r="CL942" s="1136"/>
      <c r="CM942" s="1136"/>
      <c r="CN942" s="1136"/>
      <c r="CO942" s="1136"/>
      <c r="CP942" s="1136"/>
      <c r="CQ942" s="1136"/>
      <c r="CR942" s="1136"/>
      <c r="CS942" s="1136"/>
      <c r="CT942" s="1136"/>
      <c r="CU942" s="1136"/>
      <c r="CV942" s="1136"/>
      <c r="CW942" s="1136"/>
      <c r="CX942" s="1136"/>
      <c r="CY942" s="1136"/>
      <c r="CZ942" s="1136"/>
      <c r="DA942" s="1136"/>
      <c r="DB942" s="1136"/>
      <c r="DC942" s="1136"/>
      <c r="DD942" s="1136"/>
      <c r="DE942" s="1136"/>
      <c r="DF942" s="1136"/>
      <c r="DG942" s="1136"/>
      <c r="DH942" s="1136"/>
      <c r="DI942" s="1136"/>
    </row>
    <row r="943" spans="1:113" ht="15.75" x14ac:dyDescent="0.25">
      <c r="A943" s="1430" t="s">
        <v>2995</v>
      </c>
      <c r="B943" s="1439" t="e">
        <f>B286*B289*B291*B293*B221</f>
        <v>#VALUE!</v>
      </c>
      <c r="C943" s="1562"/>
      <c r="D943" s="1562"/>
      <c r="E943" s="1562"/>
      <c r="F943" s="1562"/>
      <c r="G943" s="1562"/>
      <c r="H943" s="1531"/>
      <c r="I943" s="1531"/>
      <c r="J943" s="1531"/>
      <c r="K943" s="1531"/>
      <c r="L943" s="1531"/>
      <c r="M943" s="1531"/>
      <c r="N943" s="1531"/>
      <c r="O943" s="1531"/>
      <c r="P943" s="1531"/>
      <c r="Q943" s="1531"/>
      <c r="R943" s="1531"/>
      <c r="S943" s="1531"/>
      <c r="T943" s="1531"/>
      <c r="U943" s="1531"/>
      <c r="V943" s="1531"/>
      <c r="W943" s="1531"/>
      <c r="X943" s="1531"/>
      <c r="Y943" s="1531"/>
      <c r="Z943" s="1531"/>
      <c r="AA943" s="1531"/>
      <c r="AB943" s="1531"/>
      <c r="AC943" s="1531"/>
      <c r="AD943" s="1531"/>
      <c r="AE943" s="1531"/>
      <c r="AF943" s="1531"/>
      <c r="AG943" s="1531"/>
      <c r="AH943" s="1531"/>
      <c r="AI943" s="1531"/>
      <c r="AJ943" s="1531"/>
      <c r="AK943" s="1531"/>
      <c r="AL943" s="1531"/>
      <c r="AM943" s="1531"/>
      <c r="AN943" s="1531"/>
      <c r="AO943" s="1531"/>
      <c r="AP943" s="1531"/>
      <c r="AQ943" s="1531"/>
      <c r="AR943" s="1531"/>
      <c r="AS943" s="1531"/>
      <c r="AT943" s="1136"/>
      <c r="AU943" s="1136"/>
      <c r="AV943" s="1136"/>
      <c r="AW943" s="1136"/>
      <c r="AX943" s="1136"/>
      <c r="AY943" s="1136"/>
      <c r="AZ943" s="1136"/>
      <c r="BA943" s="1136"/>
      <c r="BB943" s="1136"/>
      <c r="BC943" s="1136"/>
      <c r="BD943" s="1136"/>
      <c r="BE943" s="1136"/>
      <c r="BF943" s="1136"/>
      <c r="BG943" s="1136"/>
      <c r="BH943" s="1136"/>
      <c r="BI943" s="1136"/>
      <c r="BJ943" s="1136"/>
      <c r="BK943" s="1136"/>
      <c r="BL943" s="1136"/>
      <c r="BM943" s="1136"/>
      <c r="BN943" s="1136"/>
      <c r="BO943" s="1136"/>
      <c r="BP943" s="1136"/>
      <c r="BQ943" s="1136"/>
      <c r="BR943" s="1136"/>
      <c r="BS943" s="1136"/>
      <c r="BT943" s="1136"/>
      <c r="BU943" s="1136"/>
      <c r="BV943" s="1136"/>
      <c r="BW943" s="1136"/>
      <c r="BX943" s="1136"/>
      <c r="BY943" s="1136"/>
      <c r="BZ943" s="1136"/>
      <c r="CA943" s="1136"/>
      <c r="CB943" s="1136"/>
      <c r="CC943" s="1136"/>
      <c r="CD943" s="1136"/>
      <c r="CE943" s="1136"/>
      <c r="CF943" s="1136"/>
      <c r="CG943" s="1136"/>
      <c r="CH943" s="1136"/>
      <c r="CI943" s="1136"/>
      <c r="CJ943" s="1136"/>
      <c r="CK943" s="1136"/>
      <c r="CL943" s="1136"/>
      <c r="CM943" s="1136"/>
      <c r="CN943" s="1136"/>
      <c r="CO943" s="1136"/>
      <c r="CP943" s="1136"/>
      <c r="CQ943" s="1136"/>
      <c r="CR943" s="1136"/>
      <c r="CS943" s="1136"/>
      <c r="CT943" s="1136"/>
      <c r="CU943" s="1136"/>
      <c r="CV943" s="1136"/>
      <c r="CW943" s="1136"/>
      <c r="CX943" s="1136"/>
      <c r="CY943" s="1136"/>
      <c r="CZ943" s="1136"/>
      <c r="DA943" s="1136"/>
      <c r="DB943" s="1136"/>
      <c r="DC943" s="1136"/>
      <c r="DD943" s="1136"/>
      <c r="DE943" s="1136"/>
      <c r="DF943" s="1136"/>
      <c r="DG943" s="1136"/>
      <c r="DH943" s="1136"/>
      <c r="DI943" s="1136"/>
    </row>
    <row r="944" spans="1:113" ht="15.75" x14ac:dyDescent="0.25">
      <c r="A944" s="1430" t="s">
        <v>425</v>
      </c>
      <c r="B944" s="1439">
        <f>INDEX($I$1475:$Q$1478,B945,B946)</f>
        <v>12.91</v>
      </c>
      <c r="C944" s="1562"/>
      <c r="D944" s="1606"/>
      <c r="E944" s="1606"/>
      <c r="F944" s="1606"/>
      <c r="G944" s="1606"/>
      <c r="H944" s="1531"/>
      <c r="I944" s="1531"/>
      <c r="J944" s="1531"/>
      <c r="K944" s="1531"/>
      <c r="L944" s="1531"/>
      <c r="M944" s="1531"/>
      <c r="N944" s="1531"/>
      <c r="O944" s="1531"/>
      <c r="P944" s="1531"/>
      <c r="Q944" s="1531"/>
      <c r="R944" s="1531"/>
      <c r="S944" s="1531"/>
      <c r="T944" s="1531"/>
      <c r="U944" s="1531"/>
      <c r="V944" s="1531"/>
      <c r="W944" s="1531"/>
      <c r="X944" s="1531"/>
      <c r="Y944" s="1531"/>
      <c r="Z944" s="1531"/>
      <c r="AA944" s="1531"/>
      <c r="AB944" s="1531"/>
      <c r="AC944" s="1531"/>
      <c r="AD944" s="1531"/>
      <c r="AE944" s="1531"/>
      <c r="AF944" s="1531"/>
      <c r="AG944" s="1531"/>
      <c r="AH944" s="1531"/>
      <c r="AI944" s="1531"/>
      <c r="AJ944" s="1531"/>
      <c r="AK944" s="1531"/>
      <c r="AL944" s="1531"/>
      <c r="AM944" s="1531"/>
      <c r="AN944" s="1531"/>
      <c r="AO944" s="1531"/>
      <c r="AP944" s="1531"/>
      <c r="AQ944" s="1531"/>
      <c r="AR944" s="1531"/>
      <c r="AS944" s="1531"/>
      <c r="AT944" s="1136"/>
      <c r="AU944" s="1136"/>
      <c r="AV944" s="1136"/>
      <c r="AW944" s="1136"/>
      <c r="AX944" s="1136"/>
      <c r="AY944" s="1136"/>
      <c r="AZ944" s="1136"/>
      <c r="BA944" s="1136"/>
      <c r="BB944" s="1136"/>
      <c r="BC944" s="1136"/>
      <c r="BD944" s="1136"/>
      <c r="BE944" s="1136"/>
      <c r="BF944" s="1136"/>
      <c r="BG944" s="1136"/>
      <c r="BH944" s="1136"/>
      <c r="BI944" s="1136"/>
      <c r="BJ944" s="1136"/>
      <c r="BK944" s="1136"/>
      <c r="BL944" s="1136"/>
      <c r="BM944" s="1136"/>
      <c r="BN944" s="1136"/>
      <c r="BO944" s="1136"/>
      <c r="BP944" s="1136"/>
      <c r="BQ944" s="1136"/>
      <c r="BR944" s="1136"/>
      <c r="BS944" s="1136"/>
      <c r="BT944" s="1136"/>
      <c r="BU944" s="1136"/>
      <c r="BV944" s="1136"/>
      <c r="BW944" s="1136"/>
      <c r="BX944" s="1136"/>
      <c r="BY944" s="1136"/>
      <c r="BZ944" s="1136"/>
      <c r="CA944" s="1136"/>
      <c r="CB944" s="1136"/>
      <c r="CC944" s="1136"/>
      <c r="CD944" s="1136"/>
      <c r="CE944" s="1136"/>
      <c r="CF944" s="1136"/>
      <c r="CG944" s="1136"/>
      <c r="CH944" s="1136"/>
      <c r="CI944" s="1136"/>
      <c r="CJ944" s="1136"/>
      <c r="CK944" s="1136"/>
      <c r="CL944" s="1136"/>
      <c r="CM944" s="1136"/>
      <c r="CN944" s="1136"/>
      <c r="CO944" s="1136"/>
      <c r="CP944" s="1136"/>
      <c r="CQ944" s="1136"/>
      <c r="CR944" s="1136"/>
      <c r="CS944" s="1136"/>
      <c r="CT944" s="1136"/>
      <c r="CU944" s="1136"/>
      <c r="CV944" s="1136"/>
      <c r="CW944" s="1136"/>
      <c r="CX944" s="1136"/>
      <c r="CY944" s="1136"/>
      <c r="CZ944" s="1136"/>
      <c r="DA944" s="1136"/>
      <c r="DB944" s="1136"/>
      <c r="DC944" s="1136"/>
      <c r="DD944" s="1136"/>
      <c r="DE944" s="1136"/>
      <c r="DF944" s="1136"/>
      <c r="DG944" s="1136"/>
      <c r="DH944" s="1136"/>
      <c r="DI944" s="1136"/>
    </row>
    <row r="945" spans="1:113" ht="15.75" x14ac:dyDescent="0.25">
      <c r="A945" s="1430" t="s">
        <v>2997</v>
      </c>
      <c r="B945" s="1441">
        <f>IF(B286&lt;0.91,1,IF(B286&lt;1.26,2,IF(B286&lt;1.6,3,4)))</f>
        <v>4</v>
      </c>
      <c r="C945" s="1596"/>
      <c r="D945" s="1437"/>
      <c r="E945" s="1437"/>
      <c r="F945" s="1437"/>
      <c r="G945" s="1437"/>
      <c r="H945" s="1531"/>
      <c r="I945" s="1531"/>
      <c r="J945" s="1531"/>
      <c r="K945" s="1531"/>
      <c r="L945" s="1531"/>
      <c r="M945" s="1531"/>
      <c r="N945" s="1531"/>
      <c r="O945" s="1531"/>
      <c r="P945" s="1531"/>
      <c r="Q945" s="1531"/>
      <c r="R945" s="1531"/>
      <c r="S945" s="1531"/>
      <c r="T945" s="1531"/>
      <c r="U945" s="1531"/>
      <c r="V945" s="1531"/>
      <c r="W945" s="1531"/>
      <c r="X945" s="1531"/>
      <c r="Y945" s="1531"/>
      <c r="Z945" s="1531"/>
      <c r="AA945" s="1531"/>
      <c r="AB945" s="1531"/>
      <c r="AC945" s="1531"/>
      <c r="AD945" s="1531"/>
      <c r="AE945" s="1531"/>
      <c r="AF945" s="1531"/>
      <c r="AG945" s="1531"/>
      <c r="AH945" s="1531"/>
      <c r="AI945" s="1531"/>
      <c r="AJ945" s="1531"/>
      <c r="AK945" s="1531"/>
      <c r="AL945" s="1531"/>
      <c r="AM945" s="1531"/>
      <c r="AN945" s="1531"/>
      <c r="AO945" s="1531"/>
      <c r="AP945" s="1531"/>
      <c r="AQ945" s="1531"/>
      <c r="AR945" s="1531"/>
      <c r="AS945" s="1531"/>
      <c r="AT945" s="1136"/>
      <c r="AU945" s="1136"/>
      <c r="AV945" s="1136"/>
      <c r="AW945" s="1136"/>
      <c r="AX945" s="1136"/>
      <c r="AY945" s="1136"/>
      <c r="AZ945" s="1136"/>
      <c r="BA945" s="1136"/>
      <c r="BB945" s="1136"/>
      <c r="BC945" s="1136"/>
      <c r="BD945" s="1136"/>
      <c r="BE945" s="1136"/>
      <c r="BF945" s="1136"/>
      <c r="BG945" s="1136"/>
      <c r="BH945" s="1136"/>
      <c r="BI945" s="1136"/>
      <c r="BJ945" s="1136"/>
      <c r="BK945" s="1136"/>
      <c r="BL945" s="1136"/>
      <c r="BM945" s="1136"/>
      <c r="BN945" s="1136"/>
      <c r="BO945" s="1136"/>
      <c r="BP945" s="1136"/>
      <c r="BQ945" s="1136"/>
      <c r="BR945" s="1136"/>
      <c r="BS945" s="1136"/>
      <c r="BT945" s="1136"/>
      <c r="BU945" s="1136"/>
      <c r="BV945" s="1136"/>
      <c r="BW945" s="1136"/>
      <c r="BX945" s="1136"/>
      <c r="BY945" s="1136"/>
      <c r="BZ945" s="1136"/>
      <c r="CA945" s="1136"/>
      <c r="CB945" s="1136"/>
      <c r="CC945" s="1136"/>
      <c r="CD945" s="1136"/>
      <c r="CE945" s="1136"/>
      <c r="CF945" s="1136"/>
      <c r="CG945" s="1136"/>
      <c r="CH945" s="1136"/>
      <c r="CI945" s="1136"/>
      <c r="CJ945" s="1136"/>
      <c r="CK945" s="1136"/>
      <c r="CL945" s="1136"/>
      <c r="CM945" s="1136"/>
      <c r="CN945" s="1136"/>
      <c r="CO945" s="1136"/>
      <c r="CP945" s="1136"/>
      <c r="CQ945" s="1136"/>
      <c r="CR945" s="1136"/>
      <c r="CS945" s="1136"/>
      <c r="CT945" s="1136"/>
      <c r="CU945" s="1136"/>
      <c r="CV945" s="1136"/>
      <c r="CW945" s="1136"/>
      <c r="CX945" s="1136"/>
      <c r="CY945" s="1136"/>
      <c r="CZ945" s="1136"/>
      <c r="DA945" s="1136"/>
      <c r="DB945" s="1136"/>
      <c r="DC945" s="1136"/>
      <c r="DD945" s="1136"/>
      <c r="DE945" s="1136"/>
      <c r="DF945" s="1136"/>
      <c r="DG945" s="1136"/>
      <c r="DH945" s="1136"/>
      <c r="DI945" s="1136"/>
    </row>
    <row r="946" spans="1:113" ht="15.75" x14ac:dyDescent="0.25">
      <c r="A946" s="1430" t="s">
        <v>2998</v>
      </c>
      <c r="B946" s="1441">
        <f>B319</f>
        <v>4</v>
      </c>
      <c r="C946" s="1596"/>
      <c r="D946" s="1569"/>
      <c r="E946" s="1569"/>
      <c r="F946" s="1569"/>
      <c r="G946" s="1569"/>
      <c r="H946" s="1531"/>
      <c r="I946" s="1531"/>
      <c r="J946" s="1531"/>
      <c r="K946" s="1531"/>
      <c r="L946" s="1531"/>
      <c r="M946" s="1531"/>
      <c r="N946" s="1531"/>
      <c r="O946" s="1531"/>
      <c r="P946" s="1531"/>
      <c r="Q946" s="1531"/>
      <c r="R946" s="1531"/>
      <c r="S946" s="1531"/>
      <c r="T946" s="1531"/>
      <c r="U946" s="1531"/>
      <c r="V946" s="1531"/>
      <c r="W946" s="1531"/>
      <c r="X946" s="1531"/>
      <c r="Y946" s="1531"/>
      <c r="Z946" s="1531"/>
      <c r="AA946" s="1531"/>
      <c r="AB946" s="1531"/>
      <c r="AC946" s="1531"/>
      <c r="AD946" s="1531"/>
      <c r="AE946" s="1531"/>
      <c r="AF946" s="1531"/>
      <c r="AG946" s="1531"/>
      <c r="AH946" s="1531"/>
      <c r="AI946" s="1531"/>
      <c r="AJ946" s="1531"/>
      <c r="AK946" s="1531"/>
      <c r="AL946" s="1531"/>
      <c r="AM946" s="1531"/>
      <c r="AN946" s="1531"/>
      <c r="AO946" s="1531"/>
      <c r="AP946" s="1531"/>
      <c r="AQ946" s="1531"/>
      <c r="AR946" s="1531"/>
      <c r="AS946" s="1531"/>
      <c r="AT946" s="1136"/>
      <c r="AU946" s="1136"/>
      <c r="AV946" s="1136"/>
      <c r="AW946" s="1136"/>
      <c r="AX946" s="1136"/>
      <c r="AY946" s="1136"/>
      <c r="AZ946" s="1136"/>
      <c r="BA946" s="1136"/>
      <c r="BB946" s="1136"/>
      <c r="BC946" s="1136"/>
      <c r="BD946" s="1136"/>
      <c r="BE946" s="1136"/>
      <c r="BF946" s="1136"/>
      <c r="BG946" s="1136"/>
      <c r="BH946" s="1136"/>
      <c r="BI946" s="1136"/>
      <c r="BJ946" s="1136"/>
      <c r="BK946" s="1136"/>
      <c r="BL946" s="1136"/>
      <c r="BM946" s="1136"/>
      <c r="BN946" s="1136"/>
      <c r="BO946" s="1136"/>
      <c r="BP946" s="1136"/>
      <c r="BQ946" s="1136"/>
      <c r="BR946" s="1136"/>
      <c r="BS946" s="1136"/>
      <c r="BT946" s="1136"/>
      <c r="BU946" s="1136"/>
      <c r="BV946" s="1136"/>
      <c r="BW946" s="1136"/>
      <c r="BX946" s="1136"/>
      <c r="BY946" s="1136"/>
      <c r="BZ946" s="1136"/>
      <c r="CA946" s="1136"/>
      <c r="CB946" s="1136"/>
      <c r="CC946" s="1136"/>
      <c r="CD946" s="1136"/>
      <c r="CE946" s="1136"/>
      <c r="CF946" s="1136"/>
      <c r="CG946" s="1136"/>
      <c r="CH946" s="1136"/>
      <c r="CI946" s="1136"/>
      <c r="CJ946" s="1136"/>
      <c r="CK946" s="1136"/>
      <c r="CL946" s="1136"/>
      <c r="CM946" s="1136"/>
      <c r="CN946" s="1136"/>
      <c r="CO946" s="1136"/>
      <c r="CP946" s="1136"/>
      <c r="CQ946" s="1136"/>
      <c r="CR946" s="1136"/>
      <c r="CS946" s="1136"/>
      <c r="CT946" s="1136"/>
      <c r="CU946" s="1136"/>
      <c r="CV946" s="1136"/>
      <c r="CW946" s="1136"/>
      <c r="CX946" s="1136"/>
      <c r="CY946" s="1136"/>
      <c r="CZ946" s="1136"/>
      <c r="DA946" s="1136"/>
      <c r="DB946" s="1136"/>
      <c r="DC946" s="1136"/>
      <c r="DD946" s="1136"/>
      <c r="DE946" s="1136"/>
      <c r="DF946" s="1136"/>
      <c r="DG946" s="1136"/>
      <c r="DH946" s="1136"/>
      <c r="DI946" s="1136"/>
    </row>
    <row r="947" spans="1:113" ht="15.75" x14ac:dyDescent="0.25">
      <c r="A947" s="1430" t="s">
        <v>428</v>
      </c>
      <c r="B947" s="1439" t="e">
        <f>B948*B949*B951*B341</f>
        <v>#VALUE!</v>
      </c>
      <c r="C947" s="1432"/>
      <c r="D947" s="1618"/>
      <c r="E947" s="1618"/>
      <c r="F947" s="1618"/>
      <c r="G947" s="1618"/>
      <c r="H947" s="1531"/>
      <c r="I947" s="1531"/>
      <c r="J947" s="1531"/>
      <c r="K947" s="1531"/>
      <c r="L947" s="1531"/>
      <c r="M947" s="1531"/>
      <c r="N947" s="1531"/>
      <c r="O947" s="1531"/>
      <c r="P947" s="1531"/>
      <c r="Q947" s="1531"/>
      <c r="R947" s="1531"/>
      <c r="S947" s="1531"/>
      <c r="T947" s="1531"/>
      <c r="U947" s="1531"/>
      <c r="V947" s="1531"/>
      <c r="W947" s="1531"/>
      <c r="X947" s="1531"/>
      <c r="Y947" s="1531"/>
      <c r="Z947" s="1531"/>
      <c r="AA947" s="1531"/>
      <c r="AB947" s="1531"/>
      <c r="AC947" s="1531"/>
      <c r="AD947" s="1531"/>
      <c r="AE947" s="1531"/>
      <c r="AF947" s="1531"/>
      <c r="AG947" s="1531"/>
      <c r="AH947" s="1531"/>
      <c r="AI947" s="1531"/>
      <c r="AJ947" s="1531"/>
      <c r="AK947" s="1531"/>
      <c r="AL947" s="1531"/>
      <c r="AM947" s="1531"/>
      <c r="AN947" s="1531"/>
      <c r="AO947" s="1531"/>
      <c r="AP947" s="1531"/>
      <c r="AQ947" s="1531"/>
      <c r="AR947" s="1531"/>
      <c r="AS947" s="1531"/>
      <c r="AT947" s="1136"/>
      <c r="AU947" s="1136"/>
      <c r="AV947" s="1136"/>
      <c r="AW947" s="1136"/>
      <c r="AX947" s="1136"/>
      <c r="AY947" s="1136"/>
      <c r="AZ947" s="1136"/>
      <c r="BA947" s="1136"/>
      <c r="BB947" s="1136"/>
      <c r="BC947" s="1136"/>
      <c r="BD947" s="1136"/>
      <c r="BE947" s="1136"/>
      <c r="BF947" s="1136"/>
      <c r="BG947" s="1136"/>
      <c r="BH947" s="1136"/>
      <c r="BI947" s="1136"/>
      <c r="BJ947" s="1136"/>
      <c r="BK947" s="1136"/>
      <c r="BL947" s="1136"/>
      <c r="BM947" s="1136"/>
      <c r="BN947" s="1136"/>
      <c r="BO947" s="1136"/>
      <c r="BP947" s="1136"/>
      <c r="BQ947" s="1136"/>
      <c r="BR947" s="1136"/>
      <c r="BS947" s="1136"/>
      <c r="BT947" s="1136"/>
      <c r="BU947" s="1136"/>
      <c r="BV947" s="1136"/>
      <c r="BW947" s="1136"/>
      <c r="BX947" s="1136"/>
      <c r="BY947" s="1136"/>
      <c r="BZ947" s="1136"/>
      <c r="CA947" s="1136"/>
      <c r="CB947" s="1136"/>
      <c r="CC947" s="1136"/>
      <c r="CD947" s="1136"/>
      <c r="CE947" s="1136"/>
      <c r="CF947" s="1136"/>
      <c r="CG947" s="1136"/>
      <c r="CH947" s="1136"/>
      <c r="CI947" s="1136"/>
      <c r="CJ947" s="1136"/>
      <c r="CK947" s="1136"/>
      <c r="CL947" s="1136"/>
      <c r="CM947" s="1136"/>
      <c r="CN947" s="1136"/>
      <c r="CO947" s="1136"/>
      <c r="CP947" s="1136"/>
      <c r="CQ947" s="1136"/>
      <c r="CR947" s="1136"/>
      <c r="CS947" s="1136"/>
      <c r="CT947" s="1136"/>
      <c r="CU947" s="1136"/>
      <c r="CV947" s="1136"/>
      <c r="CW947" s="1136"/>
      <c r="CX947" s="1136"/>
      <c r="CY947" s="1136"/>
      <c r="CZ947" s="1136"/>
      <c r="DA947" s="1136"/>
      <c r="DB947" s="1136"/>
      <c r="DC947" s="1136"/>
      <c r="DD947" s="1136"/>
      <c r="DE947" s="1136"/>
      <c r="DF947" s="1136"/>
      <c r="DG947" s="1136"/>
      <c r="DH947" s="1136"/>
      <c r="DI947" s="1136"/>
    </row>
    <row r="948" spans="1:113" ht="15.75" x14ac:dyDescent="0.25">
      <c r="A948" s="1430" t="s">
        <v>2999</v>
      </c>
      <c r="B948" s="1421">
        <f>IF(B320=1,1.05,1)</f>
        <v>1.05</v>
      </c>
      <c r="C948" s="1416"/>
      <c r="D948" s="1531"/>
      <c r="E948" s="1531"/>
      <c r="F948" s="1531"/>
      <c r="G948" s="1531"/>
      <c r="H948" s="1531"/>
      <c r="I948" s="1531"/>
      <c r="J948" s="1531"/>
      <c r="K948" s="1531"/>
      <c r="L948" s="1531"/>
      <c r="M948" s="1531"/>
      <c r="N948" s="1531"/>
      <c r="O948" s="1531"/>
      <c r="P948" s="1531"/>
      <c r="Q948" s="1531"/>
      <c r="R948" s="1531"/>
      <c r="S948" s="1531"/>
      <c r="T948" s="1531"/>
      <c r="U948" s="1531"/>
      <c r="V948" s="1531"/>
      <c r="W948" s="1531"/>
      <c r="X948" s="1531"/>
      <c r="Y948" s="1531"/>
      <c r="Z948" s="1531"/>
      <c r="AA948" s="1531"/>
      <c r="AB948" s="1531"/>
      <c r="AC948" s="1531"/>
      <c r="AD948" s="1531"/>
      <c r="AE948" s="1531"/>
      <c r="AF948" s="1531"/>
      <c r="AG948" s="1531"/>
      <c r="AH948" s="1531"/>
      <c r="AI948" s="1531"/>
      <c r="AJ948" s="1531"/>
      <c r="AK948" s="1531"/>
      <c r="AL948" s="1531"/>
      <c r="AM948" s="1531"/>
      <c r="AN948" s="1531"/>
      <c r="AO948" s="1531"/>
      <c r="AP948" s="1531"/>
      <c r="AQ948" s="1531"/>
      <c r="AR948" s="1531"/>
      <c r="AS948" s="1531"/>
      <c r="AT948" s="1136"/>
      <c r="AU948" s="1136"/>
      <c r="AV948" s="1136"/>
      <c r="AW948" s="1136"/>
      <c r="AX948" s="1136"/>
      <c r="AY948" s="1136"/>
      <c r="AZ948" s="1136"/>
      <c r="BA948" s="1136"/>
      <c r="BB948" s="1136"/>
      <c r="BC948" s="1136"/>
      <c r="BD948" s="1136"/>
      <c r="BE948" s="1136"/>
      <c r="BF948" s="1136"/>
      <c r="BG948" s="1136"/>
      <c r="BH948" s="1136"/>
      <c r="BI948" s="1136"/>
      <c r="BJ948" s="1136"/>
      <c r="BK948" s="1136"/>
      <c r="BL948" s="1136"/>
      <c r="BM948" s="1136"/>
      <c r="BN948" s="1136"/>
      <c r="BO948" s="1136"/>
      <c r="BP948" s="1136"/>
      <c r="BQ948" s="1136"/>
      <c r="BR948" s="1136"/>
      <c r="BS948" s="1136"/>
      <c r="BT948" s="1136"/>
      <c r="BU948" s="1136"/>
      <c r="BV948" s="1136"/>
      <c r="BW948" s="1136"/>
      <c r="BX948" s="1136"/>
      <c r="BY948" s="1136"/>
      <c r="BZ948" s="1136"/>
      <c r="CA948" s="1136"/>
      <c r="CB948" s="1136"/>
      <c r="CC948" s="1136"/>
      <c r="CD948" s="1136"/>
      <c r="CE948" s="1136"/>
      <c r="CF948" s="1136"/>
      <c r="CG948" s="1136"/>
      <c r="CH948" s="1136"/>
      <c r="CI948" s="1136"/>
      <c r="CJ948" s="1136"/>
      <c r="CK948" s="1136"/>
      <c r="CL948" s="1136"/>
      <c r="CM948" s="1136"/>
      <c r="CN948" s="1136"/>
      <c r="CO948" s="1136"/>
      <c r="CP948" s="1136"/>
      <c r="CQ948" s="1136"/>
      <c r="CR948" s="1136"/>
      <c r="CS948" s="1136"/>
      <c r="CT948" s="1136"/>
      <c r="CU948" s="1136"/>
      <c r="CV948" s="1136"/>
      <c r="CW948" s="1136"/>
      <c r="CX948" s="1136"/>
      <c r="CY948" s="1136"/>
      <c r="CZ948" s="1136"/>
      <c r="DA948" s="1136"/>
      <c r="DB948" s="1136"/>
      <c r="DC948" s="1136"/>
      <c r="DD948" s="1136"/>
      <c r="DE948" s="1136"/>
      <c r="DF948" s="1136"/>
      <c r="DG948" s="1136"/>
      <c r="DH948" s="1136"/>
      <c r="DI948" s="1136"/>
    </row>
    <row r="949" spans="1:113" ht="15.75" x14ac:dyDescent="0.25">
      <c r="A949" s="1430" t="s">
        <v>3000</v>
      </c>
      <c r="B949" s="1421" t="e">
        <f>IF(B950&lt;5.1,1,IF(B950&lt;10.1,0.9,IF(B950&lt;20.1,0.8,0.7)))</f>
        <v>#VALUE!</v>
      </c>
      <c r="C949" s="1416"/>
      <c r="D949" s="1531"/>
      <c r="E949" s="1531"/>
      <c r="F949" s="1531"/>
      <c r="G949" s="1531"/>
      <c r="H949" s="1531"/>
      <c r="I949" s="1531"/>
      <c r="J949" s="1531"/>
      <c r="K949" s="1531"/>
      <c r="L949" s="1531"/>
      <c r="M949" s="1531"/>
      <c r="N949" s="1531"/>
      <c r="O949" s="1531"/>
      <c r="P949" s="1531"/>
      <c r="Q949" s="1531"/>
      <c r="R949" s="1531"/>
      <c r="S949" s="1531"/>
      <c r="T949" s="1531"/>
      <c r="U949" s="1531"/>
      <c r="V949" s="1531"/>
      <c r="W949" s="1531"/>
      <c r="X949" s="1531"/>
      <c r="Y949" s="1531"/>
      <c r="Z949" s="1531"/>
      <c r="AA949" s="1531"/>
      <c r="AB949" s="1531"/>
      <c r="AC949" s="1531"/>
      <c r="AD949" s="1531"/>
      <c r="AE949" s="1531"/>
      <c r="AF949" s="1531"/>
      <c r="AG949" s="1531"/>
      <c r="AH949" s="1531"/>
      <c r="AI949" s="1531"/>
      <c r="AJ949" s="1531"/>
      <c r="AK949" s="1531"/>
      <c r="AL949" s="1531"/>
      <c r="AM949" s="1531"/>
      <c r="AN949" s="1531"/>
      <c r="AO949" s="1531"/>
      <c r="AP949" s="1531"/>
      <c r="AQ949" s="1531"/>
      <c r="AR949" s="1531"/>
      <c r="AS949" s="1531"/>
      <c r="AT949" s="1136"/>
      <c r="AU949" s="1136"/>
      <c r="AV949" s="1136"/>
      <c r="AW949" s="1136"/>
      <c r="AX949" s="1136"/>
      <c r="AY949" s="1136"/>
      <c r="AZ949" s="1136"/>
      <c r="BA949" s="1136"/>
      <c r="BB949" s="1136"/>
      <c r="BC949" s="1136"/>
      <c r="BD949" s="1136"/>
      <c r="BE949" s="1136"/>
      <c r="BF949" s="1136"/>
      <c r="BG949" s="1136"/>
      <c r="BH949" s="1136"/>
      <c r="BI949" s="1136"/>
      <c r="BJ949" s="1136"/>
      <c r="BK949" s="1136"/>
      <c r="BL949" s="1136"/>
      <c r="BM949" s="1136"/>
      <c r="BN949" s="1136"/>
      <c r="BO949" s="1136"/>
      <c r="BP949" s="1136"/>
      <c r="BQ949" s="1136"/>
      <c r="BR949" s="1136"/>
      <c r="BS949" s="1136"/>
      <c r="BT949" s="1136"/>
      <c r="BU949" s="1136"/>
      <c r="BV949" s="1136"/>
      <c r="BW949" s="1136"/>
      <c r="BX949" s="1136"/>
      <c r="BY949" s="1136"/>
      <c r="BZ949" s="1136"/>
      <c r="CA949" s="1136"/>
      <c r="CB949" s="1136"/>
      <c r="CC949" s="1136"/>
      <c r="CD949" s="1136"/>
      <c r="CE949" s="1136"/>
      <c r="CF949" s="1136"/>
      <c r="CG949" s="1136"/>
      <c r="CH949" s="1136"/>
      <c r="CI949" s="1136"/>
      <c r="CJ949" s="1136"/>
      <c r="CK949" s="1136"/>
      <c r="CL949" s="1136"/>
      <c r="CM949" s="1136"/>
      <c r="CN949" s="1136"/>
      <c r="CO949" s="1136"/>
      <c r="CP949" s="1136"/>
      <c r="CQ949" s="1136"/>
      <c r="CR949" s="1136"/>
      <c r="CS949" s="1136"/>
      <c r="CT949" s="1136"/>
      <c r="CU949" s="1136"/>
      <c r="CV949" s="1136"/>
      <c r="CW949" s="1136"/>
      <c r="CX949" s="1136"/>
      <c r="CY949" s="1136"/>
      <c r="CZ949" s="1136"/>
      <c r="DA949" s="1136"/>
      <c r="DB949" s="1136"/>
      <c r="DC949" s="1136"/>
      <c r="DD949" s="1136"/>
      <c r="DE949" s="1136"/>
      <c r="DF949" s="1136"/>
      <c r="DG949" s="1136"/>
      <c r="DH949" s="1136"/>
      <c r="DI949" s="1136"/>
    </row>
    <row r="950" spans="1:113" ht="15.75" x14ac:dyDescent="0.25">
      <c r="A950" s="1417" t="s">
        <v>3001</v>
      </c>
      <c r="B950" s="1421" t="e">
        <f>(B321/B286)*100</f>
        <v>#VALUE!</v>
      </c>
      <c r="C950" s="1416"/>
      <c r="D950" s="1562"/>
      <c r="E950" s="1562"/>
      <c r="F950" s="1562"/>
      <c r="G950" s="1562"/>
      <c r="H950" s="1531"/>
      <c r="I950" s="1531"/>
      <c r="J950" s="1531"/>
      <c r="K950" s="1531"/>
      <c r="L950" s="1531"/>
      <c r="M950" s="1531"/>
      <c r="N950" s="1531"/>
      <c r="O950" s="1531"/>
      <c r="P950" s="1531"/>
      <c r="Q950" s="1531"/>
      <c r="R950" s="1531"/>
      <c r="S950" s="1531"/>
      <c r="T950" s="1531"/>
      <c r="U950" s="1531"/>
      <c r="V950" s="1531"/>
      <c r="W950" s="1531"/>
      <c r="X950" s="1531"/>
      <c r="Y950" s="1531"/>
      <c r="Z950" s="1531"/>
      <c r="AA950" s="1531"/>
      <c r="AB950" s="1531"/>
      <c r="AC950" s="1531"/>
      <c r="AD950" s="1531"/>
      <c r="AE950" s="1531"/>
      <c r="AF950" s="1531"/>
      <c r="AG950" s="1531"/>
      <c r="AH950" s="1531"/>
      <c r="AI950" s="1531"/>
      <c r="AJ950" s="1531"/>
      <c r="AK950" s="1531"/>
      <c r="AL950" s="1531"/>
      <c r="AM950" s="1531"/>
      <c r="AN950" s="1531"/>
      <c r="AO950" s="1531"/>
      <c r="AP950" s="1531"/>
      <c r="AQ950" s="1531"/>
      <c r="AR950" s="1531"/>
      <c r="AS950" s="1531"/>
      <c r="AT950" s="1136"/>
      <c r="AU950" s="1136"/>
      <c r="AV950" s="1136"/>
      <c r="AW950" s="1136"/>
      <c r="AX950" s="1136"/>
      <c r="AY950" s="1136"/>
      <c r="AZ950" s="1136"/>
      <c r="BA950" s="1136"/>
      <c r="BB950" s="1136"/>
      <c r="BC950" s="1136"/>
      <c r="BD950" s="1136"/>
      <c r="BE950" s="1136"/>
      <c r="BF950" s="1136"/>
      <c r="BG950" s="1136"/>
      <c r="BH950" s="1136"/>
      <c r="BI950" s="1136"/>
      <c r="BJ950" s="1136"/>
      <c r="BK950" s="1136"/>
      <c r="BL950" s="1136"/>
      <c r="BM950" s="1136"/>
      <c r="BN950" s="1136"/>
      <c r="BO950" s="1136"/>
      <c r="BP950" s="1136"/>
      <c r="BQ950" s="1136"/>
      <c r="BR950" s="1136"/>
      <c r="BS950" s="1136"/>
      <c r="BT950" s="1136"/>
      <c r="BU950" s="1136"/>
      <c r="BV950" s="1136"/>
      <c r="BW950" s="1136"/>
      <c r="BX950" s="1136"/>
      <c r="BY950" s="1136"/>
      <c r="BZ950" s="1136"/>
      <c r="CA950" s="1136"/>
      <c r="CB950" s="1136"/>
      <c r="CC950" s="1136"/>
      <c r="CD950" s="1136"/>
      <c r="CE950" s="1136"/>
      <c r="CF950" s="1136"/>
      <c r="CG950" s="1136"/>
      <c r="CH950" s="1136"/>
      <c r="CI950" s="1136"/>
      <c r="CJ950" s="1136"/>
      <c r="CK950" s="1136"/>
      <c r="CL950" s="1136"/>
      <c r="CM950" s="1136"/>
      <c r="CN950" s="1136"/>
      <c r="CO950" s="1136"/>
      <c r="CP950" s="1136"/>
      <c r="CQ950" s="1136"/>
      <c r="CR950" s="1136"/>
      <c r="CS950" s="1136"/>
      <c r="CT950" s="1136"/>
      <c r="CU950" s="1136"/>
      <c r="CV950" s="1136"/>
      <c r="CW950" s="1136"/>
      <c r="CX950" s="1136"/>
      <c r="CY950" s="1136"/>
      <c r="CZ950" s="1136"/>
      <c r="DA950" s="1136"/>
      <c r="DB950" s="1136"/>
      <c r="DC950" s="1136"/>
      <c r="DD950" s="1136"/>
      <c r="DE950" s="1136"/>
      <c r="DF950" s="1136"/>
      <c r="DG950" s="1136"/>
      <c r="DH950" s="1136"/>
      <c r="DI950" s="1136"/>
    </row>
    <row r="951" spans="1:113" ht="15.75" x14ac:dyDescent="0.25">
      <c r="A951" s="1430" t="s">
        <v>3002</v>
      </c>
      <c r="B951" s="1464">
        <v>0.7</v>
      </c>
      <c r="C951" s="1465"/>
      <c r="D951" s="1562"/>
      <c r="E951" s="1562"/>
      <c r="F951" s="1562"/>
      <c r="G951" s="1562"/>
      <c r="H951" s="1531"/>
      <c r="I951" s="1531"/>
      <c r="J951" s="1531"/>
      <c r="K951" s="1531"/>
      <c r="L951" s="1531"/>
      <c r="M951" s="1531"/>
      <c r="N951" s="1531"/>
      <c r="O951" s="1531"/>
      <c r="P951" s="1531"/>
      <c r="Q951" s="1531"/>
      <c r="R951" s="1531"/>
      <c r="S951" s="1531"/>
      <c r="T951" s="1531"/>
      <c r="U951" s="1531"/>
      <c r="V951" s="1531"/>
      <c r="W951" s="1531"/>
      <c r="X951" s="1531"/>
      <c r="Y951" s="1531"/>
      <c r="Z951" s="1531"/>
      <c r="AA951" s="1531"/>
      <c r="AB951" s="1531"/>
      <c r="AC951" s="1531"/>
      <c r="AD951" s="1531"/>
      <c r="AE951" s="1531"/>
      <c r="AF951" s="1531"/>
      <c r="AG951" s="1531"/>
      <c r="AH951" s="1531"/>
      <c r="AI951" s="1531"/>
      <c r="AJ951" s="1531"/>
      <c r="AK951" s="1531"/>
      <c r="AL951" s="1531"/>
      <c r="AM951" s="1531"/>
      <c r="AN951" s="1531"/>
      <c r="AO951" s="1531"/>
      <c r="AP951" s="1531"/>
      <c r="AQ951" s="1531"/>
      <c r="AR951" s="1531"/>
      <c r="AS951" s="1531"/>
      <c r="AT951" s="1136"/>
      <c r="AU951" s="1136"/>
      <c r="AV951" s="1136"/>
      <c r="AW951" s="1136"/>
      <c r="AX951" s="1136"/>
      <c r="AY951" s="1136"/>
      <c r="AZ951" s="1136"/>
      <c r="BA951" s="1136"/>
      <c r="BB951" s="1136"/>
      <c r="BC951" s="1136"/>
      <c r="BD951" s="1136"/>
      <c r="BE951" s="1136"/>
      <c r="BF951" s="1136"/>
      <c r="BG951" s="1136"/>
      <c r="BH951" s="1136"/>
      <c r="BI951" s="1136"/>
      <c r="BJ951" s="1136"/>
      <c r="BK951" s="1136"/>
      <c r="BL951" s="1136"/>
      <c r="BM951" s="1136"/>
      <c r="BN951" s="1136"/>
      <c r="BO951" s="1136"/>
      <c r="BP951" s="1136"/>
      <c r="BQ951" s="1136"/>
      <c r="BR951" s="1136"/>
      <c r="BS951" s="1136"/>
      <c r="BT951" s="1136"/>
      <c r="BU951" s="1136"/>
      <c r="BV951" s="1136"/>
      <c r="BW951" s="1136"/>
      <c r="BX951" s="1136"/>
      <c r="BY951" s="1136"/>
      <c r="BZ951" s="1136"/>
      <c r="CA951" s="1136"/>
      <c r="CB951" s="1136"/>
      <c r="CC951" s="1136"/>
      <c r="CD951" s="1136"/>
      <c r="CE951" s="1136"/>
      <c r="CF951" s="1136"/>
      <c r="CG951" s="1136"/>
      <c r="CH951" s="1136"/>
      <c r="CI951" s="1136"/>
      <c r="CJ951" s="1136"/>
      <c r="CK951" s="1136"/>
      <c r="CL951" s="1136"/>
      <c r="CM951" s="1136"/>
      <c r="CN951" s="1136"/>
      <c r="CO951" s="1136"/>
      <c r="CP951" s="1136"/>
      <c r="CQ951" s="1136"/>
      <c r="CR951" s="1136"/>
      <c r="CS951" s="1136"/>
      <c r="CT951" s="1136"/>
      <c r="CU951" s="1136"/>
      <c r="CV951" s="1136"/>
      <c r="CW951" s="1136"/>
      <c r="CX951" s="1136"/>
      <c r="CY951" s="1136"/>
      <c r="CZ951" s="1136"/>
      <c r="DA951" s="1136"/>
      <c r="DB951" s="1136"/>
      <c r="DC951" s="1136"/>
      <c r="DD951" s="1136"/>
      <c r="DE951" s="1136"/>
      <c r="DF951" s="1136"/>
      <c r="DG951" s="1136"/>
      <c r="DH951" s="1136"/>
      <c r="DI951" s="1136"/>
    </row>
    <row r="952" spans="1:113" ht="15.75" x14ac:dyDescent="0.25">
      <c r="A952" s="1430" t="s">
        <v>213</v>
      </c>
      <c r="B952" s="1443" t="e">
        <f>B944*B947</f>
        <v>#VALUE!</v>
      </c>
      <c r="C952" s="1437"/>
      <c r="D952" s="1596"/>
      <c r="E952" s="1596"/>
      <c r="F952" s="1596"/>
      <c r="G952" s="1596"/>
      <c r="H952" s="1531"/>
      <c r="I952" s="1531"/>
      <c r="J952" s="1531"/>
      <c r="K952" s="1531"/>
      <c r="L952" s="1531"/>
      <c r="M952" s="1531"/>
      <c r="N952" s="1531"/>
      <c r="O952" s="1531"/>
      <c r="P952" s="1531"/>
      <c r="Q952" s="1531"/>
      <c r="R952" s="1531"/>
      <c r="S952" s="1531"/>
      <c r="T952" s="1531"/>
      <c r="U952" s="1531"/>
      <c r="V952" s="1531"/>
      <c r="W952" s="1531"/>
      <c r="X952" s="1531"/>
      <c r="Y952" s="1531"/>
      <c r="Z952" s="1531"/>
      <c r="AA952" s="1531"/>
      <c r="AB952" s="1531"/>
      <c r="AC952" s="1531"/>
      <c r="AD952" s="1531"/>
      <c r="AE952" s="1531"/>
      <c r="AF952" s="1531"/>
      <c r="AG952" s="1531"/>
      <c r="AH952" s="1531"/>
      <c r="AI952" s="1531"/>
      <c r="AJ952" s="1531"/>
      <c r="AK952" s="1531"/>
      <c r="AL952" s="1531"/>
      <c r="AM952" s="1531"/>
      <c r="AN952" s="1531"/>
      <c r="AO952" s="1531"/>
      <c r="AP952" s="1531"/>
      <c r="AQ952" s="1531"/>
      <c r="AR952" s="1531"/>
      <c r="AS952" s="1531"/>
      <c r="AT952" s="1136"/>
      <c r="AU952" s="1136"/>
      <c r="AV952" s="1136"/>
      <c r="AW952" s="1136"/>
      <c r="AX952" s="1136"/>
      <c r="AY952" s="1136"/>
      <c r="AZ952" s="1136"/>
      <c r="BA952" s="1136"/>
      <c r="BB952" s="1136"/>
      <c r="BC952" s="1136"/>
      <c r="BD952" s="1136"/>
      <c r="BE952" s="1136"/>
      <c r="BF952" s="1136"/>
      <c r="BG952" s="1136"/>
      <c r="BH952" s="1136"/>
      <c r="BI952" s="1136"/>
      <c r="BJ952" s="1136"/>
      <c r="BK952" s="1136"/>
      <c r="BL952" s="1136"/>
      <c r="BM952" s="1136"/>
      <c r="BN952" s="1136"/>
      <c r="BO952" s="1136"/>
      <c r="BP952" s="1136"/>
      <c r="BQ952" s="1136"/>
      <c r="BR952" s="1136"/>
      <c r="BS952" s="1136"/>
      <c r="BT952" s="1136"/>
      <c r="BU952" s="1136"/>
      <c r="BV952" s="1136"/>
      <c r="BW952" s="1136"/>
      <c r="BX952" s="1136"/>
      <c r="BY952" s="1136"/>
      <c r="BZ952" s="1136"/>
      <c r="CA952" s="1136"/>
      <c r="CB952" s="1136"/>
      <c r="CC952" s="1136"/>
      <c r="CD952" s="1136"/>
      <c r="CE952" s="1136"/>
      <c r="CF952" s="1136"/>
      <c r="CG952" s="1136"/>
      <c r="CH952" s="1136"/>
      <c r="CI952" s="1136"/>
      <c r="CJ952" s="1136"/>
      <c r="CK952" s="1136"/>
      <c r="CL952" s="1136"/>
      <c r="CM952" s="1136"/>
      <c r="CN952" s="1136"/>
      <c r="CO952" s="1136"/>
      <c r="CP952" s="1136"/>
      <c r="CQ952" s="1136"/>
      <c r="CR952" s="1136"/>
      <c r="CS952" s="1136"/>
      <c r="CT952" s="1136"/>
      <c r="CU952" s="1136"/>
      <c r="CV952" s="1136"/>
      <c r="CW952" s="1136"/>
      <c r="CX952" s="1136"/>
      <c r="CY952" s="1136"/>
      <c r="CZ952" s="1136"/>
      <c r="DA952" s="1136"/>
      <c r="DB952" s="1136"/>
      <c r="DC952" s="1136"/>
      <c r="DD952" s="1136"/>
      <c r="DE952" s="1136"/>
      <c r="DF952" s="1136"/>
      <c r="DG952" s="1136"/>
      <c r="DH952" s="1136"/>
      <c r="DI952" s="1136"/>
    </row>
    <row r="953" spans="1:113" ht="15.75" x14ac:dyDescent="0.25">
      <c r="A953" s="1430" t="s">
        <v>429</v>
      </c>
      <c r="B953" s="1443" t="e">
        <f>B943/B952</f>
        <v>#VALUE!</v>
      </c>
      <c r="C953" s="1437"/>
      <c r="D953" s="1596"/>
      <c r="E953" s="1596"/>
      <c r="F953" s="1596"/>
      <c r="G953" s="1596"/>
      <c r="H953" s="1531"/>
      <c r="I953" s="1531"/>
      <c r="J953" s="1531"/>
      <c r="K953" s="1531"/>
      <c r="L953" s="1531"/>
      <c r="M953" s="1531"/>
      <c r="N953" s="1531"/>
      <c r="O953" s="1531"/>
      <c r="P953" s="1531"/>
      <c r="Q953" s="1531"/>
      <c r="R953" s="1531"/>
      <c r="S953" s="1531"/>
      <c r="T953" s="1531"/>
      <c r="U953" s="1531"/>
      <c r="V953" s="1531"/>
      <c r="W953" s="1531"/>
      <c r="X953" s="1531"/>
      <c r="Y953" s="1531"/>
      <c r="Z953" s="1531"/>
      <c r="AA953" s="1531"/>
      <c r="AB953" s="1531"/>
      <c r="AC953" s="1531"/>
      <c r="AD953" s="1531"/>
      <c r="AE953" s="1531"/>
      <c r="AF953" s="1531"/>
      <c r="AG953" s="1531"/>
      <c r="AH953" s="1531"/>
      <c r="AI953" s="1531"/>
      <c r="AJ953" s="1531"/>
      <c r="AK953" s="1531"/>
      <c r="AL953" s="1531"/>
      <c r="AM953" s="1531"/>
      <c r="AN953" s="1531"/>
      <c r="AO953" s="1531"/>
      <c r="AP953" s="1531"/>
      <c r="AQ953" s="1531"/>
      <c r="AR953" s="1531"/>
      <c r="AS953" s="1531"/>
      <c r="AT953" s="1136"/>
      <c r="AU953" s="1136"/>
      <c r="AV953" s="1136"/>
      <c r="AW953" s="1136"/>
      <c r="AX953" s="1136"/>
      <c r="AY953" s="1136"/>
      <c r="AZ953" s="1136"/>
      <c r="BA953" s="1136"/>
      <c r="BB953" s="1136"/>
      <c r="BC953" s="1136"/>
      <c r="BD953" s="1136"/>
      <c r="BE953" s="1136"/>
      <c r="BF953" s="1136"/>
      <c r="BG953" s="1136"/>
      <c r="BH953" s="1136"/>
      <c r="BI953" s="1136"/>
      <c r="BJ953" s="1136"/>
      <c r="BK953" s="1136"/>
      <c r="BL953" s="1136"/>
      <c r="BM953" s="1136"/>
      <c r="BN953" s="1136"/>
      <c r="BO953" s="1136"/>
      <c r="BP953" s="1136"/>
      <c r="BQ953" s="1136"/>
      <c r="BR953" s="1136"/>
      <c r="BS953" s="1136"/>
      <c r="BT953" s="1136"/>
      <c r="BU953" s="1136"/>
      <c r="BV953" s="1136"/>
      <c r="BW953" s="1136"/>
      <c r="BX953" s="1136"/>
      <c r="BY953" s="1136"/>
      <c r="BZ953" s="1136"/>
      <c r="CA953" s="1136"/>
      <c r="CB953" s="1136"/>
      <c r="CC953" s="1136"/>
      <c r="CD953" s="1136"/>
      <c r="CE953" s="1136"/>
      <c r="CF953" s="1136"/>
      <c r="CG953" s="1136"/>
      <c r="CH953" s="1136"/>
      <c r="CI953" s="1136"/>
      <c r="CJ953" s="1136"/>
      <c r="CK953" s="1136"/>
      <c r="CL953" s="1136"/>
      <c r="CM953" s="1136"/>
      <c r="CN953" s="1136"/>
      <c r="CO953" s="1136"/>
      <c r="CP953" s="1136"/>
      <c r="CQ953" s="1136"/>
      <c r="CR953" s="1136"/>
      <c r="CS953" s="1136"/>
      <c r="CT953" s="1136"/>
      <c r="CU953" s="1136"/>
      <c r="CV953" s="1136"/>
      <c r="CW953" s="1136"/>
      <c r="CX953" s="1136"/>
      <c r="CY953" s="1136"/>
      <c r="CZ953" s="1136"/>
      <c r="DA953" s="1136"/>
      <c r="DB953" s="1136"/>
      <c r="DC953" s="1136"/>
      <c r="DD953" s="1136"/>
      <c r="DE953" s="1136"/>
      <c r="DF953" s="1136"/>
      <c r="DG953" s="1136"/>
      <c r="DH953" s="1136"/>
      <c r="DI953" s="1136"/>
    </row>
    <row r="954" spans="1:113" ht="15.75" x14ac:dyDescent="0.25">
      <c r="A954" s="1466" t="s">
        <v>831</v>
      </c>
      <c r="B954" s="1467" t="e">
        <f>IF(B298=1,B953,0)</f>
        <v>#VALUE!</v>
      </c>
      <c r="C954" s="1468"/>
      <c r="D954" s="1432"/>
      <c r="E954" s="1432"/>
      <c r="F954" s="1432"/>
      <c r="G954" s="1432"/>
      <c r="H954" s="1531"/>
      <c r="I954" s="1531"/>
      <c r="J954" s="1531"/>
      <c r="K954" s="1531"/>
      <c r="L954" s="1531"/>
      <c r="M954" s="1531"/>
      <c r="N954" s="1531"/>
      <c r="O954" s="1531"/>
      <c r="P954" s="1531"/>
      <c r="Q954" s="1531"/>
      <c r="R954" s="1531"/>
      <c r="S954" s="1531"/>
      <c r="T954" s="1531"/>
      <c r="U954" s="1531"/>
      <c r="V954" s="1531"/>
      <c r="W954" s="1531"/>
      <c r="X954" s="1531"/>
      <c r="Y954" s="1531"/>
      <c r="Z954" s="1531"/>
      <c r="AA954" s="1531"/>
      <c r="AB954" s="1531"/>
      <c r="AC954" s="1531"/>
      <c r="AD954" s="1531"/>
      <c r="AE954" s="1531"/>
      <c r="AF954" s="1531"/>
      <c r="AG954" s="1531"/>
      <c r="AH954" s="1531"/>
      <c r="AI954" s="1531"/>
      <c r="AJ954" s="1531"/>
      <c r="AK954" s="1531"/>
      <c r="AL954" s="1531"/>
      <c r="AM954" s="1531"/>
      <c r="AN954" s="1531"/>
      <c r="AO954" s="1531"/>
      <c r="AP954" s="1531"/>
      <c r="AQ954" s="1531"/>
      <c r="AR954" s="1531"/>
      <c r="AS954" s="1531"/>
      <c r="AT954" s="1136"/>
      <c r="AU954" s="1136"/>
      <c r="AV954" s="1136"/>
      <c r="AW954" s="1136"/>
      <c r="AX954" s="1136"/>
      <c r="AY954" s="1136"/>
      <c r="AZ954" s="1136"/>
      <c r="BA954" s="1136"/>
      <c r="BB954" s="1136"/>
      <c r="BC954" s="1136"/>
      <c r="BD954" s="1136"/>
      <c r="BE954" s="1136"/>
      <c r="BF954" s="1136"/>
      <c r="BG954" s="1136"/>
      <c r="BH954" s="1136"/>
      <c r="BI954" s="1136"/>
      <c r="BJ954" s="1136"/>
      <c r="BK954" s="1136"/>
      <c r="BL954" s="1136"/>
      <c r="BM954" s="1136"/>
      <c r="BN954" s="1136"/>
      <c r="BO954" s="1136"/>
      <c r="BP954" s="1136"/>
      <c r="BQ954" s="1136"/>
      <c r="BR954" s="1136"/>
      <c r="BS954" s="1136"/>
      <c r="BT954" s="1136"/>
      <c r="BU954" s="1136"/>
      <c r="BV954" s="1136"/>
      <c r="BW954" s="1136"/>
      <c r="BX954" s="1136"/>
      <c r="BY954" s="1136"/>
      <c r="BZ954" s="1136"/>
      <c r="CA954" s="1136"/>
      <c r="CB954" s="1136"/>
      <c r="CC954" s="1136"/>
      <c r="CD954" s="1136"/>
      <c r="CE954" s="1136"/>
      <c r="CF954" s="1136"/>
      <c r="CG954" s="1136"/>
      <c r="CH954" s="1136"/>
      <c r="CI954" s="1136"/>
      <c r="CJ954" s="1136"/>
      <c r="CK954" s="1136"/>
      <c r="CL954" s="1136"/>
      <c r="CM954" s="1136"/>
      <c r="CN954" s="1136"/>
      <c r="CO954" s="1136"/>
      <c r="CP954" s="1136"/>
      <c r="CQ954" s="1136"/>
      <c r="CR954" s="1136"/>
      <c r="CS954" s="1136"/>
      <c r="CT954" s="1136"/>
      <c r="CU954" s="1136"/>
      <c r="CV954" s="1136"/>
      <c r="CW954" s="1136"/>
      <c r="CX954" s="1136"/>
      <c r="CY954" s="1136"/>
      <c r="CZ954" s="1136"/>
      <c r="DA954" s="1136"/>
      <c r="DB954" s="1136"/>
      <c r="DC954" s="1136"/>
      <c r="DD954" s="1136"/>
      <c r="DE954" s="1136"/>
      <c r="DF954" s="1136"/>
      <c r="DG954" s="1136"/>
      <c r="DH954" s="1136"/>
      <c r="DI954" s="1136"/>
    </row>
    <row r="955" spans="1:113" ht="12.75" customHeight="1" x14ac:dyDescent="0.25">
      <c r="A955" s="1430"/>
      <c r="B955" s="1443"/>
      <c r="C955" s="1437"/>
      <c r="D955" s="1416"/>
      <c r="E955" s="1416"/>
      <c r="F955" s="1416"/>
      <c r="G955" s="1416"/>
      <c r="H955" s="1531"/>
      <c r="I955" s="1531"/>
      <c r="J955" s="1531"/>
      <c r="K955" s="1531"/>
      <c r="L955" s="1531"/>
      <c r="M955" s="1531"/>
      <c r="N955" s="1531"/>
      <c r="O955" s="1531"/>
      <c r="P955" s="1531"/>
      <c r="Q955" s="1531"/>
      <c r="R955" s="1531"/>
      <c r="S955" s="1531"/>
      <c r="T955" s="1531"/>
      <c r="U955" s="1531"/>
      <c r="V955" s="1531"/>
      <c r="W955" s="1531"/>
      <c r="X955" s="1531"/>
      <c r="Y955" s="1531"/>
      <c r="Z955" s="1531"/>
      <c r="AA955" s="1531"/>
      <c r="AB955" s="1531"/>
      <c r="AC955" s="1531"/>
      <c r="AD955" s="1531"/>
      <c r="AE955" s="1531"/>
      <c r="AF955" s="1531"/>
      <c r="AG955" s="1531"/>
      <c r="AH955" s="1531"/>
      <c r="AI955" s="1531"/>
      <c r="AJ955" s="1531"/>
      <c r="AK955" s="1531"/>
      <c r="AL955" s="1531"/>
      <c r="AM955" s="1531"/>
      <c r="AN955" s="1531"/>
      <c r="AO955" s="1531"/>
      <c r="AP955" s="1531"/>
      <c r="AQ955" s="1531"/>
      <c r="AR955" s="1531"/>
      <c r="AS955" s="1531"/>
      <c r="AT955" s="1136"/>
      <c r="AU955" s="1136"/>
      <c r="AV955" s="1136"/>
      <c r="AW955" s="1136"/>
      <c r="AX955" s="1136"/>
      <c r="AY955" s="1136"/>
      <c r="AZ955" s="1136"/>
      <c r="BA955" s="1136"/>
      <c r="BB955" s="1136"/>
      <c r="BC955" s="1136"/>
      <c r="BD955" s="1136"/>
      <c r="BE955" s="1136"/>
      <c r="BF955" s="1136"/>
      <c r="BG955" s="1136"/>
      <c r="BH955" s="1136"/>
      <c r="BI955" s="1136"/>
      <c r="BJ955" s="1136"/>
      <c r="BK955" s="1136"/>
      <c r="BL955" s="1136"/>
      <c r="BM955" s="1136"/>
      <c r="BN955" s="1136"/>
      <c r="BO955" s="1136"/>
      <c r="BP955" s="1136"/>
      <c r="BQ955" s="1136"/>
      <c r="BR955" s="1136"/>
      <c r="BS955" s="1136"/>
      <c r="BT955" s="1136"/>
      <c r="BU955" s="1136"/>
      <c r="BV955" s="1136"/>
      <c r="BW955" s="1136"/>
      <c r="BX955" s="1136"/>
      <c r="BY955" s="1136"/>
      <c r="BZ955" s="1136"/>
      <c r="CA955" s="1136"/>
      <c r="CB955" s="1136"/>
      <c r="CC955" s="1136"/>
      <c r="CD955" s="1136"/>
      <c r="CE955" s="1136"/>
      <c r="CF955" s="1136"/>
      <c r="CG955" s="1136"/>
      <c r="CH955" s="1136"/>
      <c r="CI955" s="1136"/>
      <c r="CJ955" s="1136"/>
      <c r="CK955" s="1136"/>
      <c r="CL955" s="1136"/>
      <c r="CM955" s="1136"/>
      <c r="CN955" s="1136"/>
      <c r="CO955" s="1136"/>
      <c r="CP955" s="1136"/>
      <c r="CQ955" s="1136"/>
      <c r="CR955" s="1136"/>
      <c r="CS955" s="1136"/>
      <c r="CT955" s="1136"/>
      <c r="CU955" s="1136"/>
      <c r="CV955" s="1136"/>
      <c r="CW955" s="1136"/>
      <c r="CX955" s="1136"/>
      <c r="CY955" s="1136"/>
      <c r="CZ955" s="1136"/>
      <c r="DA955" s="1136"/>
      <c r="DB955" s="1136"/>
      <c r="DC955" s="1136"/>
      <c r="DD955" s="1136"/>
      <c r="DE955" s="1136"/>
      <c r="DF955" s="1136"/>
      <c r="DG955" s="1136"/>
      <c r="DH955" s="1136"/>
      <c r="DI955" s="1136"/>
    </row>
    <row r="956" spans="1:113" ht="15.75" x14ac:dyDescent="0.25">
      <c r="A956" s="1619" t="s">
        <v>832</v>
      </c>
      <c r="B956" s="1443"/>
      <c r="C956" s="1437"/>
      <c r="D956" s="1416"/>
      <c r="E956" s="1416"/>
      <c r="F956" s="1416"/>
      <c r="G956" s="1416"/>
      <c r="H956" s="1531"/>
      <c r="I956" s="1531"/>
      <c r="J956" s="1531"/>
      <c r="K956" s="1531"/>
      <c r="L956" s="1531"/>
      <c r="M956" s="1531"/>
      <c r="N956" s="1531"/>
      <c r="O956" s="1531"/>
      <c r="P956" s="1531"/>
      <c r="Q956" s="1531"/>
      <c r="R956" s="1531"/>
      <c r="S956" s="1531"/>
      <c r="T956" s="1531"/>
      <c r="U956" s="1531"/>
      <c r="V956" s="1531"/>
      <c r="W956" s="1531"/>
      <c r="X956" s="1531"/>
      <c r="Y956" s="1531"/>
      <c r="Z956" s="1531"/>
      <c r="AA956" s="1531"/>
      <c r="AB956" s="1531"/>
      <c r="AC956" s="1531"/>
      <c r="AD956" s="1531"/>
      <c r="AE956" s="1531"/>
      <c r="AF956" s="1531"/>
      <c r="AG956" s="1531"/>
      <c r="AH956" s="1531"/>
      <c r="AI956" s="1531"/>
      <c r="AJ956" s="1531"/>
      <c r="AK956" s="1531"/>
      <c r="AL956" s="1531"/>
      <c r="AM956" s="1531"/>
      <c r="AN956" s="1531"/>
      <c r="AO956" s="1531"/>
      <c r="AP956" s="1531"/>
      <c r="AQ956" s="1531"/>
      <c r="AR956" s="1531"/>
      <c r="AS956" s="1531"/>
      <c r="AT956" s="1136"/>
      <c r="AU956" s="1136"/>
      <c r="AV956" s="1136"/>
      <c r="AW956" s="1136"/>
      <c r="AX956" s="1136"/>
      <c r="AY956" s="1136"/>
      <c r="AZ956" s="1136"/>
      <c r="BA956" s="1136"/>
      <c r="BB956" s="1136"/>
      <c r="BC956" s="1136"/>
      <c r="BD956" s="1136"/>
      <c r="BE956" s="1136"/>
      <c r="BF956" s="1136"/>
      <c r="BG956" s="1136"/>
      <c r="BH956" s="1136"/>
      <c r="BI956" s="1136"/>
      <c r="BJ956" s="1136"/>
      <c r="BK956" s="1136"/>
      <c r="BL956" s="1136"/>
      <c r="BM956" s="1136"/>
      <c r="BN956" s="1136"/>
      <c r="BO956" s="1136"/>
      <c r="BP956" s="1136"/>
      <c r="BQ956" s="1136"/>
      <c r="BR956" s="1136"/>
      <c r="BS956" s="1136"/>
      <c r="BT956" s="1136"/>
      <c r="BU956" s="1136"/>
      <c r="BV956" s="1136"/>
      <c r="BW956" s="1136"/>
      <c r="BX956" s="1136"/>
      <c r="BY956" s="1136"/>
      <c r="BZ956" s="1136"/>
      <c r="CA956" s="1136"/>
      <c r="CB956" s="1136"/>
      <c r="CC956" s="1136"/>
      <c r="CD956" s="1136"/>
      <c r="CE956" s="1136"/>
      <c r="CF956" s="1136"/>
      <c r="CG956" s="1136"/>
      <c r="CH956" s="1136"/>
      <c r="CI956" s="1136"/>
      <c r="CJ956" s="1136"/>
      <c r="CK956" s="1136"/>
      <c r="CL956" s="1136"/>
      <c r="CM956" s="1136"/>
      <c r="CN956" s="1136"/>
      <c r="CO956" s="1136"/>
      <c r="CP956" s="1136"/>
      <c r="CQ956" s="1136"/>
      <c r="CR956" s="1136"/>
      <c r="CS956" s="1136"/>
      <c r="CT956" s="1136"/>
      <c r="CU956" s="1136"/>
      <c r="CV956" s="1136"/>
      <c r="CW956" s="1136"/>
      <c r="CX956" s="1136"/>
      <c r="CY956" s="1136"/>
      <c r="CZ956" s="1136"/>
      <c r="DA956" s="1136"/>
      <c r="DB956" s="1136"/>
      <c r="DC956" s="1136"/>
      <c r="DD956" s="1136"/>
      <c r="DE956" s="1136"/>
      <c r="DF956" s="1136"/>
      <c r="DG956" s="1136"/>
      <c r="DH956" s="1136"/>
      <c r="DI956" s="1136"/>
    </row>
    <row r="957" spans="1:113" ht="15.75" x14ac:dyDescent="0.25">
      <c r="A957" s="1456" t="s">
        <v>833</v>
      </c>
      <c r="B957" s="1433">
        <f>B493</f>
        <v>2.1</v>
      </c>
      <c r="C957" s="1437"/>
      <c r="D957" s="1416"/>
      <c r="E957" s="1416"/>
      <c r="F957" s="1416"/>
      <c r="G957" s="1416"/>
      <c r="H957" s="1531"/>
      <c r="I957" s="1531"/>
      <c r="J957" s="1531"/>
      <c r="K957" s="1531"/>
      <c r="L957" s="1531"/>
      <c r="M957" s="1531"/>
      <c r="N957" s="1531"/>
      <c r="O957" s="1531"/>
      <c r="P957" s="1531"/>
      <c r="Q957" s="1531"/>
      <c r="R957" s="1531"/>
      <c r="S957" s="1531"/>
      <c r="T957" s="1531"/>
      <c r="U957" s="1531"/>
      <c r="V957" s="1531"/>
      <c r="W957" s="1531"/>
      <c r="X957" s="1531"/>
      <c r="Y957" s="1531"/>
      <c r="Z957" s="1531"/>
      <c r="AA957" s="1531"/>
      <c r="AB957" s="1531"/>
      <c r="AC957" s="1531"/>
      <c r="AD957" s="1531"/>
      <c r="AE957" s="1531"/>
      <c r="AF957" s="1531"/>
      <c r="AG957" s="1531"/>
      <c r="AH957" s="1531"/>
      <c r="AI957" s="1531"/>
      <c r="AJ957" s="1531"/>
      <c r="AK957" s="1531"/>
      <c r="AL957" s="1531"/>
      <c r="AM957" s="1531"/>
      <c r="AN957" s="1531"/>
      <c r="AO957" s="1531"/>
      <c r="AP957" s="1531"/>
      <c r="AQ957" s="1531"/>
      <c r="AR957" s="1531"/>
      <c r="AS957" s="1531"/>
      <c r="AT957" s="1136"/>
      <c r="AU957" s="1136"/>
      <c r="AV957" s="1136"/>
      <c r="AW957" s="1136"/>
      <c r="AX957" s="1136"/>
      <c r="AY957" s="1136"/>
      <c r="AZ957" s="1136"/>
      <c r="BA957" s="1136"/>
      <c r="BB957" s="1136"/>
      <c r="BC957" s="1136"/>
      <c r="BD957" s="1136"/>
      <c r="BE957" s="1136"/>
      <c r="BF957" s="1136"/>
      <c r="BG957" s="1136"/>
      <c r="BH957" s="1136"/>
      <c r="BI957" s="1136"/>
      <c r="BJ957" s="1136"/>
      <c r="BK957" s="1136"/>
      <c r="BL957" s="1136"/>
      <c r="BM957" s="1136"/>
      <c r="BN957" s="1136"/>
      <c r="BO957" s="1136"/>
      <c r="BP957" s="1136"/>
      <c r="BQ957" s="1136"/>
      <c r="BR957" s="1136"/>
      <c r="BS957" s="1136"/>
      <c r="BT957" s="1136"/>
      <c r="BU957" s="1136"/>
      <c r="BV957" s="1136"/>
      <c r="BW957" s="1136"/>
      <c r="BX957" s="1136"/>
      <c r="BY957" s="1136"/>
      <c r="BZ957" s="1136"/>
      <c r="CA957" s="1136"/>
      <c r="CB957" s="1136"/>
      <c r="CC957" s="1136"/>
      <c r="CD957" s="1136"/>
      <c r="CE957" s="1136"/>
      <c r="CF957" s="1136"/>
      <c r="CG957" s="1136"/>
      <c r="CH957" s="1136"/>
      <c r="CI957" s="1136"/>
      <c r="CJ957" s="1136"/>
      <c r="CK957" s="1136"/>
      <c r="CL957" s="1136"/>
      <c r="CM957" s="1136"/>
      <c r="CN957" s="1136"/>
      <c r="CO957" s="1136"/>
      <c r="CP957" s="1136"/>
      <c r="CQ957" s="1136"/>
      <c r="CR957" s="1136"/>
      <c r="CS957" s="1136"/>
      <c r="CT957" s="1136"/>
      <c r="CU957" s="1136"/>
      <c r="CV957" s="1136"/>
      <c r="CW957" s="1136"/>
      <c r="CX957" s="1136"/>
      <c r="CY957" s="1136"/>
      <c r="CZ957" s="1136"/>
      <c r="DA957" s="1136"/>
      <c r="DB957" s="1136"/>
      <c r="DC957" s="1136"/>
      <c r="DD957" s="1136"/>
      <c r="DE957" s="1136"/>
      <c r="DF957" s="1136"/>
      <c r="DG957" s="1136"/>
      <c r="DH957" s="1136"/>
      <c r="DI957" s="1136"/>
    </row>
    <row r="958" spans="1:113" ht="12.75" customHeight="1" x14ac:dyDescent="0.25">
      <c r="A958" s="1430" t="s">
        <v>834</v>
      </c>
      <c r="B958" s="1424" t="e">
        <f>B289*B286*B291*B957</f>
        <v>#REF!</v>
      </c>
      <c r="C958" s="1429"/>
      <c r="D958" s="1465"/>
      <c r="E958" s="1465"/>
      <c r="F958" s="1465"/>
      <c r="G958" s="1465"/>
      <c r="H958" s="1531"/>
      <c r="I958" s="1531"/>
      <c r="J958" s="1531"/>
      <c r="K958" s="1531"/>
      <c r="L958" s="1531"/>
      <c r="M958" s="1531"/>
      <c r="N958" s="1531"/>
      <c r="O958" s="1531"/>
      <c r="P958" s="1531"/>
      <c r="Q958" s="1531"/>
      <c r="R958" s="1531"/>
      <c r="S958" s="1531"/>
      <c r="T958" s="1531"/>
      <c r="U958" s="1531"/>
      <c r="V958" s="1531"/>
      <c r="W958" s="1531"/>
      <c r="X958" s="1531"/>
      <c r="Y958" s="1531"/>
      <c r="Z958" s="1531"/>
      <c r="AA958" s="1531"/>
      <c r="AB958" s="1531"/>
      <c r="AC958" s="1531"/>
      <c r="AD958" s="1531"/>
      <c r="AE958" s="1531"/>
      <c r="AF958" s="1531"/>
      <c r="AG958" s="1531"/>
      <c r="AH958" s="1531"/>
      <c r="AI958" s="1531"/>
      <c r="AJ958" s="1531"/>
      <c r="AK958" s="1531"/>
      <c r="AL958" s="1531"/>
      <c r="AM958" s="1531"/>
      <c r="AN958" s="1531"/>
      <c r="AO958" s="1531"/>
      <c r="AP958" s="1531"/>
      <c r="AQ958" s="1531"/>
      <c r="AR958" s="1531"/>
      <c r="AS958" s="1531"/>
      <c r="AT958" s="1136"/>
      <c r="AU958" s="1136"/>
      <c r="AV958" s="1136"/>
      <c r="AW958" s="1136"/>
      <c r="AX958" s="1136"/>
      <c r="AY958" s="1136"/>
      <c r="AZ958" s="1136"/>
      <c r="BA958" s="1136"/>
      <c r="BB958" s="1136"/>
      <c r="BC958" s="1136"/>
      <c r="BD958" s="1136"/>
      <c r="BE958" s="1136"/>
      <c r="BF958" s="1136"/>
      <c r="BG958" s="1136"/>
      <c r="BH958" s="1136"/>
      <c r="BI958" s="1136"/>
      <c r="BJ958" s="1136"/>
      <c r="BK958" s="1136"/>
      <c r="BL958" s="1136"/>
      <c r="BM958" s="1136"/>
      <c r="BN958" s="1136"/>
      <c r="BO958" s="1136"/>
      <c r="BP958" s="1136"/>
      <c r="BQ958" s="1136"/>
      <c r="BR958" s="1136"/>
      <c r="BS958" s="1136"/>
      <c r="BT958" s="1136"/>
      <c r="BU958" s="1136"/>
      <c r="BV958" s="1136"/>
      <c r="BW958" s="1136"/>
      <c r="BX958" s="1136"/>
      <c r="BY958" s="1136"/>
      <c r="BZ958" s="1136"/>
      <c r="CA958" s="1136"/>
      <c r="CB958" s="1136"/>
      <c r="CC958" s="1136"/>
      <c r="CD958" s="1136"/>
      <c r="CE958" s="1136"/>
      <c r="CF958" s="1136"/>
      <c r="CG958" s="1136"/>
      <c r="CH958" s="1136"/>
      <c r="CI958" s="1136"/>
      <c r="CJ958" s="1136"/>
      <c r="CK958" s="1136"/>
      <c r="CL958" s="1136"/>
      <c r="CM958" s="1136"/>
      <c r="CN958" s="1136"/>
      <c r="CO958" s="1136"/>
      <c r="CP958" s="1136"/>
      <c r="CQ958" s="1136"/>
      <c r="CR958" s="1136"/>
      <c r="CS958" s="1136"/>
      <c r="CT958" s="1136"/>
      <c r="CU958" s="1136"/>
      <c r="CV958" s="1136"/>
      <c r="CW958" s="1136"/>
      <c r="CX958" s="1136"/>
      <c r="CY958" s="1136"/>
      <c r="CZ958" s="1136"/>
      <c r="DA958" s="1136"/>
      <c r="DB958" s="1136"/>
      <c r="DC958" s="1136"/>
      <c r="DD958" s="1136"/>
      <c r="DE958" s="1136"/>
      <c r="DF958" s="1136"/>
      <c r="DG958" s="1136"/>
      <c r="DH958" s="1136"/>
      <c r="DI958" s="1136"/>
    </row>
    <row r="959" spans="1:113" ht="15.75" x14ac:dyDescent="0.25">
      <c r="A959" s="1430" t="s">
        <v>5572</v>
      </c>
      <c r="B959" s="1431">
        <f>B495</f>
        <v>3</v>
      </c>
      <c r="C959" s="1434"/>
      <c r="D959" s="1437"/>
      <c r="E959" s="1437"/>
      <c r="F959" s="1437"/>
      <c r="G959" s="1437"/>
      <c r="H959" s="1531"/>
      <c r="I959" s="1531"/>
      <c r="J959" s="1531"/>
      <c r="K959" s="1531"/>
      <c r="L959" s="1531"/>
      <c r="M959" s="1531"/>
      <c r="N959" s="1531"/>
      <c r="O959" s="1531"/>
      <c r="P959" s="1531"/>
      <c r="Q959" s="1531"/>
      <c r="R959" s="1531"/>
      <c r="S959" s="1531"/>
      <c r="T959" s="1531"/>
      <c r="U959" s="1531"/>
      <c r="V959" s="1531"/>
      <c r="W959" s="1531"/>
      <c r="X959" s="1531"/>
      <c r="Y959" s="1531"/>
      <c r="Z959" s="1531"/>
      <c r="AA959" s="1531"/>
      <c r="AB959" s="1531"/>
      <c r="AC959" s="1531"/>
      <c r="AD959" s="1531"/>
      <c r="AE959" s="1531"/>
      <c r="AF959" s="1531"/>
      <c r="AG959" s="1531"/>
      <c r="AH959" s="1531"/>
      <c r="AI959" s="1531"/>
      <c r="AJ959" s="1531"/>
      <c r="AK959" s="1531"/>
      <c r="AL959" s="1531"/>
      <c r="AM959" s="1531"/>
      <c r="AN959" s="1531"/>
      <c r="AO959" s="1531"/>
      <c r="AP959" s="1531"/>
      <c r="AQ959" s="1531"/>
      <c r="AR959" s="1531"/>
      <c r="AS959" s="1531"/>
      <c r="AT959" s="1136"/>
      <c r="AU959" s="1136"/>
      <c r="AV959" s="1136"/>
      <c r="AW959" s="1136"/>
      <c r="AX959" s="1136"/>
      <c r="AY959" s="1136"/>
      <c r="AZ959" s="1136"/>
      <c r="BA959" s="1136"/>
      <c r="BB959" s="1136"/>
      <c r="BC959" s="1136"/>
      <c r="BD959" s="1136"/>
      <c r="BE959" s="1136"/>
      <c r="BF959" s="1136"/>
      <c r="BG959" s="1136"/>
      <c r="BH959" s="1136"/>
      <c r="BI959" s="1136"/>
      <c r="BJ959" s="1136"/>
      <c r="BK959" s="1136"/>
      <c r="BL959" s="1136"/>
      <c r="BM959" s="1136"/>
      <c r="BN959" s="1136"/>
      <c r="BO959" s="1136"/>
      <c r="BP959" s="1136"/>
      <c r="BQ959" s="1136"/>
      <c r="BR959" s="1136"/>
      <c r="BS959" s="1136"/>
      <c r="BT959" s="1136"/>
      <c r="BU959" s="1136"/>
      <c r="BV959" s="1136"/>
      <c r="BW959" s="1136"/>
      <c r="BX959" s="1136"/>
      <c r="BY959" s="1136"/>
      <c r="BZ959" s="1136"/>
      <c r="CA959" s="1136"/>
      <c r="CB959" s="1136"/>
      <c r="CC959" s="1136"/>
      <c r="CD959" s="1136"/>
      <c r="CE959" s="1136"/>
      <c r="CF959" s="1136"/>
      <c r="CG959" s="1136"/>
      <c r="CH959" s="1136"/>
      <c r="CI959" s="1136"/>
      <c r="CJ959" s="1136"/>
      <c r="CK959" s="1136"/>
      <c r="CL959" s="1136"/>
      <c r="CM959" s="1136"/>
      <c r="CN959" s="1136"/>
      <c r="CO959" s="1136"/>
      <c r="CP959" s="1136"/>
      <c r="CQ959" s="1136"/>
      <c r="CR959" s="1136"/>
      <c r="CS959" s="1136"/>
      <c r="CT959" s="1136"/>
      <c r="CU959" s="1136"/>
      <c r="CV959" s="1136"/>
      <c r="CW959" s="1136"/>
      <c r="CX959" s="1136"/>
      <c r="CY959" s="1136"/>
      <c r="CZ959" s="1136"/>
      <c r="DA959" s="1136"/>
      <c r="DB959" s="1136"/>
      <c r="DC959" s="1136"/>
      <c r="DD959" s="1136"/>
      <c r="DE959" s="1136"/>
      <c r="DF959" s="1136"/>
      <c r="DG959" s="1136"/>
      <c r="DH959" s="1136"/>
      <c r="DI959" s="1136"/>
    </row>
    <row r="960" spans="1:113" ht="15.75" x14ac:dyDescent="0.25">
      <c r="A960" s="1430" t="s">
        <v>425</v>
      </c>
      <c r="B960" s="1441">
        <f>IF(B959&lt;2,B964,IF(B959&lt;3,B965,IF(B959&lt;4,B966,IF(B959&lt;5,B967,B968))))</f>
        <v>134</v>
      </c>
      <c r="C960" s="1434"/>
      <c r="D960" s="1437"/>
      <c r="E960" s="1437"/>
      <c r="F960" s="1437"/>
      <c r="G960" s="1437"/>
      <c r="H960" s="1531"/>
      <c r="I960" s="1531"/>
      <c r="J960" s="1531"/>
      <c r="K960" s="1531"/>
      <c r="L960" s="1531"/>
      <c r="M960" s="1531"/>
      <c r="N960" s="1531"/>
      <c r="O960" s="1531"/>
      <c r="P960" s="1531"/>
      <c r="Q960" s="1531"/>
      <c r="R960" s="1531"/>
      <c r="S960" s="1531"/>
      <c r="T960" s="1531"/>
      <c r="U960" s="1531"/>
      <c r="V960" s="1531"/>
      <c r="W960" s="1531"/>
      <c r="X960" s="1531"/>
      <c r="Y960" s="1531"/>
      <c r="Z960" s="1531"/>
      <c r="AA960" s="1531"/>
      <c r="AB960" s="1531"/>
      <c r="AC960" s="1531"/>
      <c r="AD960" s="1531"/>
      <c r="AE960" s="1531"/>
      <c r="AF960" s="1531"/>
      <c r="AG960" s="1531"/>
      <c r="AH960" s="1531"/>
      <c r="AI960" s="1531"/>
      <c r="AJ960" s="1531"/>
      <c r="AK960" s="1531"/>
      <c r="AL960" s="1531"/>
      <c r="AM960" s="1531"/>
      <c r="AN960" s="1531"/>
      <c r="AO960" s="1531"/>
      <c r="AP960" s="1531"/>
      <c r="AQ960" s="1531"/>
      <c r="AR960" s="1531"/>
      <c r="AS960" s="1531"/>
      <c r="AT960" s="1136"/>
      <c r="AU960" s="1136"/>
      <c r="AV960" s="1136"/>
      <c r="AW960" s="1136"/>
      <c r="AX960" s="1136"/>
      <c r="AY960" s="1136"/>
      <c r="AZ960" s="1136"/>
      <c r="BA960" s="1136"/>
      <c r="BB960" s="1136"/>
      <c r="BC960" s="1136"/>
      <c r="BD960" s="1136"/>
      <c r="BE960" s="1136"/>
      <c r="BF960" s="1136"/>
      <c r="BG960" s="1136"/>
      <c r="BH960" s="1136"/>
      <c r="BI960" s="1136"/>
      <c r="BJ960" s="1136"/>
      <c r="BK960" s="1136"/>
      <c r="BL960" s="1136"/>
      <c r="BM960" s="1136"/>
      <c r="BN960" s="1136"/>
      <c r="BO960" s="1136"/>
      <c r="BP960" s="1136"/>
      <c r="BQ960" s="1136"/>
      <c r="BR960" s="1136"/>
      <c r="BS960" s="1136"/>
      <c r="BT960" s="1136"/>
      <c r="BU960" s="1136"/>
      <c r="BV960" s="1136"/>
      <c r="BW960" s="1136"/>
      <c r="BX960" s="1136"/>
      <c r="BY960" s="1136"/>
      <c r="BZ960" s="1136"/>
      <c r="CA960" s="1136"/>
      <c r="CB960" s="1136"/>
      <c r="CC960" s="1136"/>
      <c r="CD960" s="1136"/>
      <c r="CE960" s="1136"/>
      <c r="CF960" s="1136"/>
      <c r="CG960" s="1136"/>
      <c r="CH960" s="1136"/>
      <c r="CI960" s="1136"/>
      <c r="CJ960" s="1136"/>
      <c r="CK960" s="1136"/>
      <c r="CL960" s="1136"/>
      <c r="CM960" s="1136"/>
      <c r="CN960" s="1136"/>
      <c r="CO960" s="1136"/>
      <c r="CP960" s="1136"/>
      <c r="CQ960" s="1136"/>
      <c r="CR960" s="1136"/>
      <c r="CS960" s="1136"/>
      <c r="CT960" s="1136"/>
      <c r="CU960" s="1136"/>
      <c r="CV960" s="1136"/>
      <c r="CW960" s="1136"/>
      <c r="CX960" s="1136"/>
      <c r="CY960" s="1136"/>
      <c r="CZ960" s="1136"/>
      <c r="DA960" s="1136"/>
      <c r="DB960" s="1136"/>
      <c r="DC960" s="1136"/>
      <c r="DD960" s="1136"/>
      <c r="DE960" s="1136"/>
      <c r="DF960" s="1136"/>
      <c r="DG960" s="1136"/>
      <c r="DH960" s="1136"/>
      <c r="DI960" s="1136"/>
    </row>
    <row r="961" spans="1:113" ht="15.75" x14ac:dyDescent="0.25">
      <c r="A961" s="1430" t="s">
        <v>835</v>
      </c>
      <c r="B961" s="1441">
        <f>IF(B286&lt;0.61,1,IF(B286&lt;0.81,2,IF(B286&lt;1.41,3,IF(B286&lt;1.81,4,5))))</f>
        <v>5</v>
      </c>
      <c r="C961" s="1434"/>
      <c r="D961" s="1468"/>
      <c r="E961" s="1468"/>
      <c r="F961" s="1468"/>
      <c r="G961" s="1468"/>
      <c r="H961" s="1531"/>
      <c r="I961" s="1531"/>
      <c r="J961" s="1531"/>
      <c r="K961" s="1531"/>
      <c r="L961" s="1531"/>
      <c r="M961" s="1531"/>
      <c r="N961" s="1531"/>
      <c r="O961" s="1531"/>
      <c r="P961" s="1531"/>
      <c r="Q961" s="1531"/>
      <c r="R961" s="1531"/>
      <c r="S961" s="1531"/>
      <c r="T961" s="1531"/>
      <c r="U961" s="1531"/>
      <c r="V961" s="1531"/>
      <c r="W961" s="1531"/>
      <c r="X961" s="1531"/>
      <c r="Y961" s="1531"/>
      <c r="Z961" s="1531"/>
      <c r="AA961" s="1531"/>
      <c r="AB961" s="1531"/>
      <c r="AC961" s="1531"/>
      <c r="AD961" s="1531"/>
      <c r="AE961" s="1531"/>
      <c r="AF961" s="1531"/>
      <c r="AG961" s="1531"/>
      <c r="AH961" s="1531"/>
      <c r="AI961" s="1531"/>
      <c r="AJ961" s="1531"/>
      <c r="AK961" s="1531"/>
      <c r="AL961" s="1531"/>
      <c r="AM961" s="1531"/>
      <c r="AN961" s="1531"/>
      <c r="AO961" s="1531"/>
      <c r="AP961" s="1531"/>
      <c r="AQ961" s="1531"/>
      <c r="AR961" s="1531"/>
      <c r="AS961" s="1531"/>
      <c r="AT961" s="1136"/>
      <c r="AU961" s="1136"/>
      <c r="AV961" s="1136"/>
      <c r="AW961" s="1136"/>
      <c r="AX961" s="1136"/>
      <c r="AY961" s="1136"/>
      <c r="AZ961" s="1136"/>
      <c r="BA961" s="1136"/>
      <c r="BB961" s="1136"/>
      <c r="BC961" s="1136"/>
      <c r="BD961" s="1136"/>
      <c r="BE961" s="1136"/>
      <c r="BF961" s="1136"/>
      <c r="BG961" s="1136"/>
      <c r="BH961" s="1136"/>
      <c r="BI961" s="1136"/>
      <c r="BJ961" s="1136"/>
      <c r="BK961" s="1136"/>
      <c r="BL961" s="1136"/>
      <c r="BM961" s="1136"/>
      <c r="BN961" s="1136"/>
      <c r="BO961" s="1136"/>
      <c r="BP961" s="1136"/>
      <c r="BQ961" s="1136"/>
      <c r="BR961" s="1136"/>
      <c r="BS961" s="1136"/>
      <c r="BT961" s="1136"/>
      <c r="BU961" s="1136"/>
      <c r="BV961" s="1136"/>
      <c r="BW961" s="1136"/>
      <c r="BX961" s="1136"/>
      <c r="BY961" s="1136"/>
      <c r="BZ961" s="1136"/>
      <c r="CA961" s="1136"/>
      <c r="CB961" s="1136"/>
      <c r="CC961" s="1136"/>
      <c r="CD961" s="1136"/>
      <c r="CE961" s="1136"/>
      <c r="CF961" s="1136"/>
      <c r="CG961" s="1136"/>
      <c r="CH961" s="1136"/>
      <c r="CI961" s="1136"/>
      <c r="CJ961" s="1136"/>
      <c r="CK961" s="1136"/>
      <c r="CL961" s="1136"/>
      <c r="CM961" s="1136"/>
      <c r="CN961" s="1136"/>
      <c r="CO961" s="1136"/>
      <c r="CP961" s="1136"/>
      <c r="CQ961" s="1136"/>
      <c r="CR961" s="1136"/>
      <c r="CS961" s="1136"/>
      <c r="CT961" s="1136"/>
      <c r="CU961" s="1136"/>
      <c r="CV961" s="1136"/>
      <c r="CW961" s="1136"/>
      <c r="CX961" s="1136"/>
      <c r="CY961" s="1136"/>
      <c r="CZ961" s="1136"/>
      <c r="DA961" s="1136"/>
      <c r="DB961" s="1136"/>
      <c r="DC961" s="1136"/>
      <c r="DD961" s="1136"/>
      <c r="DE961" s="1136"/>
      <c r="DF961" s="1136"/>
      <c r="DG961" s="1136"/>
      <c r="DH961" s="1136"/>
      <c r="DI961" s="1136"/>
    </row>
    <row r="962" spans="1:113" ht="15.75" x14ac:dyDescent="0.25">
      <c r="A962" s="1430" t="s">
        <v>836</v>
      </c>
      <c r="B962" s="1441">
        <f>IF(B297&lt;25,1,IF(B297&lt;46,2,3))</f>
        <v>3</v>
      </c>
      <c r="C962" s="1434"/>
      <c r="D962" s="1350"/>
      <c r="E962" s="1350"/>
      <c r="F962" s="1350"/>
      <c r="G962" s="1350"/>
      <c r="H962" s="1531"/>
      <c r="I962" s="1531"/>
      <c r="J962" s="1531"/>
      <c r="K962" s="1531"/>
      <c r="L962" s="1531"/>
      <c r="M962" s="1531"/>
      <c r="N962" s="1531"/>
      <c r="O962" s="1531"/>
      <c r="P962" s="1531"/>
      <c r="Q962" s="1531"/>
      <c r="R962" s="1531"/>
      <c r="S962" s="1531"/>
      <c r="T962" s="1531"/>
      <c r="U962" s="1531"/>
      <c r="V962" s="1531"/>
      <c r="W962" s="1531"/>
      <c r="X962" s="1531"/>
      <c r="Y962" s="1531"/>
      <c r="Z962" s="1531"/>
      <c r="AA962" s="1531"/>
      <c r="AB962" s="1531"/>
      <c r="AC962" s="1531"/>
      <c r="AD962" s="1531"/>
      <c r="AE962" s="1531"/>
      <c r="AF962" s="1531"/>
      <c r="AG962" s="1531"/>
      <c r="AH962" s="1531"/>
      <c r="AI962" s="1531"/>
      <c r="AJ962" s="1531"/>
      <c r="AK962" s="1531"/>
      <c r="AL962" s="1531"/>
      <c r="AM962" s="1531"/>
      <c r="AN962" s="1531"/>
      <c r="AO962" s="1531"/>
      <c r="AP962" s="1531"/>
      <c r="AQ962" s="1531"/>
      <c r="AR962" s="1531"/>
      <c r="AS962" s="1531"/>
      <c r="AT962" s="1136"/>
      <c r="AU962" s="1136"/>
      <c r="AV962" s="1136"/>
      <c r="AW962" s="1136"/>
      <c r="AX962" s="1136"/>
      <c r="AY962" s="1136"/>
      <c r="AZ962" s="1136"/>
      <c r="BA962" s="1136"/>
      <c r="BB962" s="1136"/>
      <c r="BC962" s="1136"/>
      <c r="BD962" s="1136"/>
      <c r="BE962" s="1136"/>
      <c r="BF962" s="1136"/>
      <c r="BG962" s="1136"/>
      <c r="BH962" s="1136"/>
      <c r="BI962" s="1136"/>
      <c r="BJ962" s="1136"/>
      <c r="BK962" s="1136"/>
      <c r="BL962" s="1136"/>
      <c r="BM962" s="1136"/>
      <c r="BN962" s="1136"/>
      <c r="BO962" s="1136"/>
      <c r="BP962" s="1136"/>
      <c r="BQ962" s="1136"/>
      <c r="BR962" s="1136"/>
      <c r="BS962" s="1136"/>
      <c r="BT962" s="1136"/>
      <c r="BU962" s="1136"/>
      <c r="BV962" s="1136"/>
      <c r="BW962" s="1136"/>
      <c r="BX962" s="1136"/>
      <c r="BY962" s="1136"/>
      <c r="BZ962" s="1136"/>
      <c r="CA962" s="1136"/>
      <c r="CB962" s="1136"/>
      <c r="CC962" s="1136"/>
      <c r="CD962" s="1136"/>
      <c r="CE962" s="1136"/>
      <c r="CF962" s="1136"/>
      <c r="CG962" s="1136"/>
      <c r="CH962" s="1136"/>
      <c r="CI962" s="1136"/>
      <c r="CJ962" s="1136"/>
      <c r="CK962" s="1136"/>
      <c r="CL962" s="1136"/>
      <c r="CM962" s="1136"/>
      <c r="CN962" s="1136"/>
      <c r="CO962" s="1136"/>
      <c r="CP962" s="1136"/>
      <c r="CQ962" s="1136"/>
      <c r="CR962" s="1136"/>
      <c r="CS962" s="1136"/>
      <c r="CT962" s="1136"/>
      <c r="CU962" s="1136"/>
      <c r="CV962" s="1136"/>
      <c r="CW962" s="1136"/>
      <c r="CX962" s="1136"/>
      <c r="CY962" s="1136"/>
      <c r="CZ962" s="1136"/>
      <c r="DA962" s="1136"/>
      <c r="DB962" s="1136"/>
      <c r="DC962" s="1136"/>
      <c r="DD962" s="1136"/>
      <c r="DE962" s="1136"/>
      <c r="DF962" s="1136"/>
      <c r="DG962" s="1136"/>
      <c r="DH962" s="1136"/>
      <c r="DI962" s="1136"/>
    </row>
    <row r="963" spans="1:113" ht="15.75" x14ac:dyDescent="0.25">
      <c r="A963" s="1456" t="s">
        <v>1719</v>
      </c>
      <c r="B963" s="1443"/>
      <c r="C963" s="1437"/>
      <c r="D963" s="1350"/>
      <c r="E963" s="1350"/>
      <c r="F963" s="1350"/>
      <c r="G963" s="1350"/>
      <c r="H963" s="1531"/>
      <c r="I963" s="1531"/>
      <c r="J963" s="1531"/>
      <c r="K963" s="1531"/>
      <c r="L963" s="1136"/>
      <c r="M963" s="1136"/>
      <c r="N963" s="1136"/>
      <c r="O963" s="1136"/>
      <c r="P963" s="1136"/>
      <c r="Q963" s="1136"/>
      <c r="R963" s="1136"/>
      <c r="S963" s="1136"/>
      <c r="T963" s="1531"/>
      <c r="U963" s="1531"/>
      <c r="V963" s="1531"/>
      <c r="W963" s="1531"/>
      <c r="X963" s="1531"/>
      <c r="Y963" s="1531"/>
      <c r="Z963" s="1136"/>
      <c r="AA963" s="1136"/>
      <c r="AB963" s="1136"/>
      <c r="AC963" s="1136"/>
      <c r="AD963" s="1136"/>
      <c r="AE963" s="1136"/>
      <c r="AF963" s="1136"/>
      <c r="AG963" s="1531"/>
      <c r="AH963" s="1531"/>
      <c r="AI963" s="1531"/>
      <c r="AJ963" s="1531"/>
      <c r="AK963" s="1531"/>
      <c r="AL963" s="1531"/>
      <c r="AM963" s="1531"/>
      <c r="AN963" s="1531"/>
      <c r="AO963" s="1531"/>
      <c r="AP963" s="1531"/>
      <c r="AQ963" s="1531"/>
      <c r="AR963" s="1531"/>
      <c r="AS963" s="1531"/>
      <c r="AT963" s="1136"/>
      <c r="AU963" s="1136"/>
      <c r="AV963" s="1136"/>
      <c r="AW963" s="1136"/>
      <c r="AX963" s="1136"/>
      <c r="AY963" s="1136"/>
      <c r="AZ963" s="1136"/>
      <c r="BA963" s="1136"/>
      <c r="BB963" s="1136"/>
      <c r="BC963" s="1136"/>
      <c r="BD963" s="1136"/>
      <c r="BE963" s="1136"/>
      <c r="BF963" s="1136"/>
      <c r="BG963" s="1136"/>
      <c r="BH963" s="1136"/>
      <c r="BI963" s="1136"/>
      <c r="BJ963" s="1136"/>
      <c r="BK963" s="1136"/>
      <c r="BL963" s="1136"/>
      <c r="BM963" s="1136"/>
      <c r="BN963" s="1136"/>
      <c r="BO963" s="1136"/>
      <c r="BP963" s="1136"/>
      <c r="BQ963" s="1136"/>
      <c r="BR963" s="1136"/>
      <c r="BS963" s="1136"/>
      <c r="BT963" s="1136"/>
      <c r="BU963" s="1136"/>
      <c r="BV963" s="1136"/>
      <c r="BW963" s="1136"/>
      <c r="BX963" s="1136"/>
      <c r="BY963" s="1136"/>
      <c r="BZ963" s="1136"/>
      <c r="CA963" s="1136"/>
      <c r="CB963" s="1136"/>
      <c r="CC963" s="1136"/>
      <c r="CD963" s="1136"/>
      <c r="CE963" s="1136"/>
      <c r="CF963" s="1136"/>
      <c r="CG963" s="1136"/>
      <c r="CH963" s="1136"/>
      <c r="CI963" s="1136"/>
      <c r="CJ963" s="1136"/>
      <c r="CK963" s="1136"/>
      <c r="CL963" s="1136"/>
      <c r="CM963" s="1136"/>
      <c r="CN963" s="1136"/>
      <c r="CO963" s="1136"/>
      <c r="CP963" s="1136"/>
      <c r="CQ963" s="1136"/>
      <c r="CR963" s="1136"/>
      <c r="CS963" s="1136"/>
      <c r="CT963" s="1136"/>
      <c r="CU963" s="1136"/>
      <c r="CV963" s="1136"/>
      <c r="CW963" s="1136"/>
      <c r="CX963" s="1136"/>
      <c r="CY963" s="1136"/>
      <c r="CZ963" s="1136"/>
      <c r="DA963" s="1136"/>
      <c r="DB963" s="1136"/>
      <c r="DC963" s="1136"/>
      <c r="DD963" s="1136"/>
      <c r="DE963" s="1136"/>
      <c r="DF963" s="1136"/>
      <c r="DG963" s="1136"/>
      <c r="DH963" s="1136"/>
      <c r="DI963" s="1136"/>
    </row>
    <row r="964" spans="1:113" ht="15.75" x14ac:dyDescent="0.25">
      <c r="A964" s="1456" t="s">
        <v>837</v>
      </c>
      <c r="B964" s="1441">
        <f>INDEX($AB$1480:$AD$1484,B961,B962)</f>
        <v>230</v>
      </c>
      <c r="C964" s="1434"/>
      <c r="D964" s="1437"/>
      <c r="E964" s="1437"/>
      <c r="F964" s="1437"/>
      <c r="G964" s="1437"/>
      <c r="H964" s="1531"/>
      <c r="I964" s="1531"/>
      <c r="J964" s="1531"/>
      <c r="K964" s="1531"/>
      <c r="L964" s="1136"/>
      <c r="M964" s="1136"/>
      <c r="N964" s="1136"/>
      <c r="O964" s="1136"/>
      <c r="P964" s="1136"/>
      <c r="Q964" s="1136"/>
      <c r="R964" s="1136"/>
      <c r="S964" s="1136"/>
      <c r="T964" s="1531"/>
      <c r="U964" s="1531"/>
      <c r="V964" s="1531"/>
      <c r="W964" s="1531"/>
      <c r="X964" s="1531"/>
      <c r="Y964" s="1531"/>
      <c r="Z964" s="1136"/>
      <c r="AA964" s="1136"/>
      <c r="AB964" s="1136"/>
      <c r="AC964" s="1136"/>
      <c r="AD964" s="1136"/>
      <c r="AE964" s="1136"/>
      <c r="AF964" s="1136"/>
      <c r="AG964" s="1531"/>
      <c r="AH964" s="1531"/>
      <c r="AI964" s="1531"/>
      <c r="AJ964" s="1531"/>
      <c r="AK964" s="1531"/>
      <c r="AL964" s="1531"/>
      <c r="AM964" s="1531"/>
      <c r="AN964" s="1531"/>
      <c r="AO964" s="1531"/>
      <c r="AP964" s="1531"/>
      <c r="AQ964" s="1531"/>
      <c r="AR964" s="1531"/>
      <c r="AS964" s="1531"/>
      <c r="AT964" s="1136"/>
      <c r="AU964" s="1136"/>
      <c r="AV964" s="1136"/>
      <c r="AW964" s="1136"/>
      <c r="AX964" s="1136"/>
      <c r="AY964" s="1136"/>
      <c r="AZ964" s="1136"/>
      <c r="BA964" s="1136"/>
      <c r="BB964" s="1136"/>
      <c r="BC964" s="1136"/>
      <c r="BD964" s="1136"/>
      <c r="BE964" s="1136"/>
      <c r="BF964" s="1136"/>
      <c r="BG964" s="1136"/>
      <c r="BH964" s="1136"/>
      <c r="BI964" s="1136"/>
      <c r="BJ964" s="1136"/>
      <c r="BK964" s="1136"/>
      <c r="BL964" s="1136"/>
      <c r="BM964" s="1136"/>
      <c r="BN964" s="1136"/>
      <c r="BO964" s="1136"/>
      <c r="BP964" s="1136"/>
      <c r="BQ964" s="1136"/>
      <c r="BR964" s="1136"/>
      <c r="BS964" s="1136"/>
      <c r="BT964" s="1136"/>
      <c r="BU964" s="1136"/>
      <c r="BV964" s="1136"/>
      <c r="BW964" s="1136"/>
      <c r="BX964" s="1136"/>
      <c r="BY964" s="1136"/>
      <c r="BZ964" s="1136"/>
      <c r="CA964" s="1136"/>
      <c r="CB964" s="1136"/>
      <c r="CC964" s="1136"/>
      <c r="CD964" s="1136"/>
      <c r="CE964" s="1136"/>
      <c r="CF964" s="1136"/>
      <c r="CG964" s="1136"/>
      <c r="CH964" s="1136"/>
      <c r="CI964" s="1136"/>
      <c r="CJ964" s="1136"/>
      <c r="CK964" s="1136"/>
      <c r="CL964" s="1136"/>
      <c r="CM964" s="1136"/>
      <c r="CN964" s="1136"/>
      <c r="CO964" s="1136"/>
      <c r="CP964" s="1136"/>
      <c r="CQ964" s="1136"/>
      <c r="CR964" s="1136"/>
      <c r="CS964" s="1136"/>
      <c r="CT964" s="1136"/>
      <c r="CU964" s="1136"/>
      <c r="CV964" s="1136"/>
      <c r="CW964" s="1136"/>
      <c r="CX964" s="1136"/>
      <c r="CY964" s="1136"/>
      <c r="CZ964" s="1136"/>
      <c r="DA964" s="1136"/>
      <c r="DB964" s="1136"/>
      <c r="DC964" s="1136"/>
      <c r="DD964" s="1136"/>
      <c r="DE964" s="1136"/>
      <c r="DF964" s="1136"/>
      <c r="DG964" s="1136"/>
      <c r="DH964" s="1136"/>
      <c r="DI964" s="1136"/>
    </row>
    <row r="965" spans="1:113" ht="15.75" x14ac:dyDescent="0.25">
      <c r="A965" s="1417" t="s">
        <v>491</v>
      </c>
      <c r="B965" s="1441">
        <f>INDEX($AE$1480:$AG$1484,B961,B962)</f>
        <v>175</v>
      </c>
      <c r="C965" s="1434"/>
      <c r="D965" s="1429"/>
      <c r="E965" s="1429"/>
      <c r="F965" s="1429"/>
      <c r="G965" s="1429"/>
      <c r="H965" s="1531"/>
      <c r="I965" s="1531"/>
      <c r="J965" s="1531"/>
      <c r="K965" s="1531"/>
      <c r="L965" s="1136"/>
      <c r="M965" s="1136"/>
      <c r="N965" s="1136"/>
      <c r="O965" s="1136"/>
      <c r="P965" s="1136"/>
      <c r="Q965" s="1136"/>
      <c r="R965" s="1136"/>
      <c r="S965" s="1136"/>
      <c r="T965" s="1531"/>
      <c r="U965" s="1531"/>
      <c r="V965" s="1531"/>
      <c r="W965" s="1531"/>
      <c r="X965" s="1531"/>
      <c r="Y965" s="1531"/>
      <c r="Z965" s="1136"/>
      <c r="AA965" s="1136"/>
      <c r="AB965" s="1136"/>
      <c r="AC965" s="1136"/>
      <c r="AD965" s="1136"/>
      <c r="AE965" s="1136"/>
      <c r="AF965" s="1136"/>
      <c r="AG965" s="1531"/>
      <c r="AH965" s="1531"/>
      <c r="AI965" s="1531"/>
      <c r="AJ965" s="1531"/>
      <c r="AK965" s="1531"/>
      <c r="AL965" s="1531"/>
      <c r="AM965" s="1531"/>
      <c r="AN965" s="1531"/>
      <c r="AO965" s="1531"/>
      <c r="AP965" s="1531"/>
      <c r="AQ965" s="1531"/>
      <c r="AR965" s="1531"/>
      <c r="AS965" s="1531"/>
      <c r="AT965" s="1136"/>
      <c r="AU965" s="1136"/>
      <c r="AV965" s="1136"/>
      <c r="AW965" s="1136"/>
      <c r="AX965" s="1136"/>
      <c r="AY965" s="1136"/>
      <c r="AZ965" s="1136"/>
      <c r="BA965" s="1136"/>
      <c r="BB965" s="1136"/>
      <c r="BC965" s="1136"/>
      <c r="BD965" s="1136"/>
      <c r="BE965" s="1136"/>
      <c r="BF965" s="1136"/>
      <c r="BG965" s="1136"/>
      <c r="BH965" s="1136"/>
      <c r="BI965" s="1136"/>
      <c r="BJ965" s="1136"/>
      <c r="BK965" s="1136"/>
      <c r="BL965" s="1136"/>
      <c r="BM965" s="1136"/>
      <c r="BN965" s="1136"/>
      <c r="BO965" s="1136"/>
      <c r="BP965" s="1136"/>
      <c r="BQ965" s="1136"/>
      <c r="BR965" s="1136"/>
      <c r="BS965" s="1136"/>
      <c r="BT965" s="1136"/>
      <c r="BU965" s="1136"/>
      <c r="BV965" s="1136"/>
      <c r="BW965" s="1136"/>
      <c r="BX965" s="1136"/>
      <c r="BY965" s="1136"/>
      <c r="BZ965" s="1136"/>
      <c r="CA965" s="1136"/>
      <c r="CB965" s="1136"/>
      <c r="CC965" s="1136"/>
      <c r="CD965" s="1136"/>
      <c r="CE965" s="1136"/>
      <c r="CF965" s="1136"/>
      <c r="CG965" s="1136"/>
      <c r="CH965" s="1136"/>
      <c r="CI965" s="1136"/>
      <c r="CJ965" s="1136"/>
      <c r="CK965" s="1136"/>
      <c r="CL965" s="1136"/>
      <c r="CM965" s="1136"/>
      <c r="CN965" s="1136"/>
      <c r="CO965" s="1136"/>
      <c r="CP965" s="1136"/>
      <c r="CQ965" s="1136"/>
      <c r="CR965" s="1136"/>
      <c r="CS965" s="1136"/>
      <c r="CT965" s="1136"/>
      <c r="CU965" s="1136"/>
      <c r="CV965" s="1136"/>
      <c r="CW965" s="1136"/>
      <c r="CX965" s="1136"/>
      <c r="CY965" s="1136"/>
      <c r="CZ965" s="1136"/>
      <c r="DA965" s="1136"/>
      <c r="DB965" s="1136"/>
      <c r="DC965" s="1136"/>
      <c r="DD965" s="1136"/>
      <c r="DE965" s="1136"/>
      <c r="DF965" s="1136"/>
      <c r="DG965" s="1136"/>
      <c r="DH965" s="1136"/>
      <c r="DI965" s="1136"/>
    </row>
    <row r="966" spans="1:113" ht="15.75" x14ac:dyDescent="0.25">
      <c r="A966" s="1417" t="s">
        <v>492</v>
      </c>
      <c r="B966" s="1441">
        <f>INDEX($AH$1480:$AJ$1484,B961,B962)</f>
        <v>134</v>
      </c>
      <c r="C966" s="1434"/>
      <c r="D966" s="1434"/>
      <c r="E966" s="1434"/>
      <c r="F966" s="1434"/>
      <c r="G966" s="1434"/>
      <c r="H966" s="1531"/>
      <c r="I966" s="1531"/>
      <c r="J966" s="1531"/>
      <c r="K966" s="1531"/>
      <c r="L966" s="1136"/>
      <c r="M966" s="1136"/>
      <c r="N966" s="1136"/>
      <c r="O966" s="1136"/>
      <c r="P966" s="1136"/>
      <c r="Q966" s="1136"/>
      <c r="R966" s="1136"/>
      <c r="S966" s="1136"/>
      <c r="T966" s="1531"/>
      <c r="U966" s="1531"/>
      <c r="V966" s="1531"/>
      <c r="W966" s="1531"/>
      <c r="X966" s="1531"/>
      <c r="Y966" s="1531"/>
      <c r="Z966" s="1136"/>
      <c r="AA966" s="1136"/>
      <c r="AB966" s="1136"/>
      <c r="AC966" s="1136"/>
      <c r="AD966" s="1136"/>
      <c r="AE966" s="1136"/>
      <c r="AF966" s="1136"/>
      <c r="AG966" s="1531"/>
      <c r="AH966" s="1531"/>
      <c r="AI966" s="1531"/>
      <c r="AJ966" s="1531"/>
      <c r="AK966" s="1531"/>
      <c r="AL966" s="1531"/>
      <c r="AM966" s="1531"/>
      <c r="AN966" s="1531"/>
      <c r="AO966" s="1531"/>
      <c r="AP966" s="1531"/>
      <c r="AQ966" s="1531"/>
      <c r="AR966" s="1531"/>
      <c r="AS966" s="1531"/>
      <c r="AT966" s="1136"/>
      <c r="AU966" s="1136"/>
      <c r="AV966" s="1136"/>
      <c r="AW966" s="1136"/>
      <c r="AX966" s="1136"/>
      <c r="AY966" s="1136"/>
      <c r="AZ966" s="1136"/>
      <c r="BA966" s="1136"/>
      <c r="BB966" s="1136"/>
      <c r="BC966" s="1136"/>
      <c r="BD966" s="1136"/>
      <c r="BE966" s="1136"/>
      <c r="BF966" s="1136"/>
      <c r="BG966" s="1136"/>
      <c r="BH966" s="1136"/>
      <c r="BI966" s="1136"/>
      <c r="BJ966" s="1136"/>
      <c r="BK966" s="1136"/>
      <c r="BL966" s="1136"/>
      <c r="BM966" s="1136"/>
      <c r="BN966" s="1136"/>
      <c r="BO966" s="1136"/>
      <c r="BP966" s="1136"/>
      <c r="BQ966" s="1136"/>
      <c r="BR966" s="1136"/>
      <c r="BS966" s="1136"/>
      <c r="BT966" s="1136"/>
      <c r="BU966" s="1136"/>
      <c r="BV966" s="1136"/>
      <c r="BW966" s="1136"/>
      <c r="BX966" s="1136"/>
      <c r="BY966" s="1136"/>
      <c r="BZ966" s="1136"/>
      <c r="CA966" s="1136"/>
      <c r="CB966" s="1136"/>
      <c r="CC966" s="1136"/>
      <c r="CD966" s="1136"/>
      <c r="CE966" s="1136"/>
      <c r="CF966" s="1136"/>
      <c r="CG966" s="1136"/>
      <c r="CH966" s="1136"/>
      <c r="CI966" s="1136"/>
      <c r="CJ966" s="1136"/>
      <c r="CK966" s="1136"/>
      <c r="CL966" s="1136"/>
      <c r="CM966" s="1136"/>
      <c r="CN966" s="1136"/>
      <c r="CO966" s="1136"/>
      <c r="CP966" s="1136"/>
      <c r="CQ966" s="1136"/>
      <c r="CR966" s="1136"/>
      <c r="CS966" s="1136"/>
      <c r="CT966" s="1136"/>
      <c r="CU966" s="1136"/>
      <c r="CV966" s="1136"/>
      <c r="CW966" s="1136"/>
      <c r="CX966" s="1136"/>
      <c r="CY966" s="1136"/>
      <c r="CZ966" s="1136"/>
      <c r="DA966" s="1136"/>
      <c r="DB966" s="1136"/>
      <c r="DC966" s="1136"/>
      <c r="DD966" s="1136"/>
      <c r="DE966" s="1136"/>
      <c r="DF966" s="1136"/>
      <c r="DG966" s="1136"/>
      <c r="DH966" s="1136"/>
      <c r="DI966" s="1136"/>
    </row>
    <row r="967" spans="1:113" ht="15.75" x14ac:dyDescent="0.25">
      <c r="A967" s="1417" t="s">
        <v>493</v>
      </c>
      <c r="B967" s="1441">
        <f>INDEX($AK$1480:$AM$1484,B961,B962)</f>
        <v>106</v>
      </c>
      <c r="C967" s="1434"/>
      <c r="D967" s="1434"/>
      <c r="E967" s="1434"/>
      <c r="F967" s="1434"/>
      <c r="G967" s="1434"/>
      <c r="H967" s="1531"/>
      <c r="I967" s="1531"/>
      <c r="J967" s="1531"/>
      <c r="K967" s="1531"/>
      <c r="L967" s="1136"/>
      <c r="M967" s="1136"/>
      <c r="N967" s="1136"/>
      <c r="O967" s="1136"/>
      <c r="P967" s="1136"/>
      <c r="Q967" s="1136"/>
      <c r="R967" s="1136"/>
      <c r="S967" s="1136"/>
      <c r="T967" s="1531"/>
      <c r="U967" s="1531"/>
      <c r="V967" s="1531"/>
      <c r="W967" s="1531"/>
      <c r="X967" s="1531"/>
      <c r="Y967" s="1531"/>
      <c r="Z967" s="1136"/>
      <c r="AA967" s="1136"/>
      <c r="AB967" s="1136"/>
      <c r="AC967" s="1136"/>
      <c r="AD967" s="1136"/>
      <c r="AE967" s="1136"/>
      <c r="AF967" s="1136"/>
      <c r="AG967" s="1531"/>
      <c r="AH967" s="1531"/>
      <c r="AI967" s="1531"/>
      <c r="AJ967" s="1531"/>
      <c r="AK967" s="1531"/>
      <c r="AL967" s="1531"/>
      <c r="AM967" s="1531"/>
      <c r="AN967" s="1531"/>
      <c r="AO967" s="1531"/>
      <c r="AP967" s="1531"/>
      <c r="AQ967" s="1531"/>
      <c r="AR967" s="1531"/>
      <c r="AS967" s="1531"/>
      <c r="AT967" s="1136"/>
      <c r="AU967" s="1136"/>
      <c r="AV967" s="1136"/>
      <c r="AW967" s="1136"/>
      <c r="AX967" s="1136"/>
      <c r="AY967" s="1136"/>
      <c r="AZ967" s="1136"/>
      <c r="BA967" s="1136"/>
      <c r="BB967" s="1136"/>
      <c r="BC967" s="1136"/>
      <c r="BD967" s="1136"/>
      <c r="BE967" s="1136"/>
      <c r="BF967" s="1136"/>
      <c r="BG967" s="1136"/>
      <c r="BH967" s="1136"/>
      <c r="BI967" s="1136"/>
      <c r="BJ967" s="1136"/>
      <c r="BK967" s="1136"/>
      <c r="BL967" s="1136"/>
      <c r="BM967" s="1136"/>
      <c r="BN967" s="1136"/>
      <c r="BO967" s="1136"/>
      <c r="BP967" s="1136"/>
      <c r="BQ967" s="1136"/>
      <c r="BR967" s="1136"/>
      <c r="BS967" s="1136"/>
      <c r="BT967" s="1136"/>
      <c r="BU967" s="1136"/>
      <c r="BV967" s="1136"/>
      <c r="BW967" s="1136"/>
      <c r="BX967" s="1136"/>
      <c r="BY967" s="1136"/>
      <c r="BZ967" s="1136"/>
      <c r="CA967" s="1136"/>
      <c r="CB967" s="1136"/>
      <c r="CC967" s="1136"/>
      <c r="CD967" s="1136"/>
      <c r="CE967" s="1136"/>
      <c r="CF967" s="1136"/>
      <c r="CG967" s="1136"/>
      <c r="CH967" s="1136"/>
      <c r="CI967" s="1136"/>
      <c r="CJ967" s="1136"/>
      <c r="CK967" s="1136"/>
      <c r="CL967" s="1136"/>
      <c r="CM967" s="1136"/>
      <c r="CN967" s="1136"/>
      <c r="CO967" s="1136"/>
      <c r="CP967" s="1136"/>
      <c r="CQ967" s="1136"/>
      <c r="CR967" s="1136"/>
      <c r="CS967" s="1136"/>
      <c r="CT967" s="1136"/>
      <c r="CU967" s="1136"/>
      <c r="CV967" s="1136"/>
      <c r="CW967" s="1136"/>
      <c r="CX967" s="1136"/>
      <c r="CY967" s="1136"/>
      <c r="CZ967" s="1136"/>
      <c r="DA967" s="1136"/>
      <c r="DB967" s="1136"/>
      <c r="DC967" s="1136"/>
      <c r="DD967" s="1136"/>
      <c r="DE967" s="1136"/>
      <c r="DF967" s="1136"/>
      <c r="DG967" s="1136"/>
      <c r="DH967" s="1136"/>
      <c r="DI967" s="1136"/>
    </row>
    <row r="968" spans="1:113" ht="15.75" x14ac:dyDescent="0.25">
      <c r="A968" s="1417" t="s">
        <v>494</v>
      </c>
      <c r="B968" s="1441">
        <f>INDEX($AN$1480:$AP$1484,B961,B962)</f>
        <v>84</v>
      </c>
      <c r="C968" s="1434"/>
      <c r="D968" s="1434"/>
      <c r="E968" s="1434"/>
      <c r="F968" s="1434"/>
      <c r="G968" s="1434"/>
      <c r="H968" s="1531"/>
      <c r="I968" s="1531"/>
      <c r="J968" s="1531"/>
      <c r="K968" s="1531"/>
      <c r="L968" s="1136"/>
      <c r="M968" s="1136"/>
      <c r="N968" s="1136"/>
      <c r="O968" s="1136"/>
      <c r="P968" s="1136"/>
      <c r="Q968" s="1136"/>
      <c r="R968" s="1136"/>
      <c r="S968" s="1136"/>
      <c r="T968" s="1531"/>
      <c r="U968" s="1531"/>
      <c r="V968" s="1531"/>
      <c r="W968" s="1531"/>
      <c r="X968" s="1531"/>
      <c r="Y968" s="1531"/>
      <c r="Z968" s="1136"/>
      <c r="AA968" s="1136"/>
      <c r="AB968" s="1136"/>
      <c r="AC968" s="1136"/>
      <c r="AD968" s="1136"/>
      <c r="AE968" s="1136"/>
      <c r="AF968" s="1136"/>
      <c r="AG968" s="1531"/>
      <c r="AH968" s="1531"/>
      <c r="AI968" s="1531"/>
      <c r="AJ968" s="1531"/>
      <c r="AK968" s="1531"/>
      <c r="AL968" s="1531"/>
      <c r="AM968" s="1531"/>
      <c r="AN968" s="1531"/>
      <c r="AO968" s="1531"/>
      <c r="AP968" s="1531"/>
      <c r="AQ968" s="1531"/>
      <c r="AR968" s="1531"/>
      <c r="AS968" s="1531"/>
      <c r="AT968" s="1136"/>
      <c r="AU968" s="1136"/>
      <c r="AV968" s="1136"/>
      <c r="AW968" s="1136"/>
      <c r="AX968" s="1136"/>
      <c r="AY968" s="1136"/>
      <c r="AZ968" s="1136"/>
      <c r="BA968" s="1136"/>
      <c r="BB968" s="1136"/>
      <c r="BC968" s="1136"/>
      <c r="BD968" s="1136"/>
      <c r="BE968" s="1136"/>
      <c r="BF968" s="1136"/>
      <c r="BG968" s="1136"/>
      <c r="BH968" s="1136"/>
      <c r="BI968" s="1136"/>
      <c r="BJ968" s="1136"/>
      <c r="BK968" s="1136"/>
      <c r="BL968" s="1136"/>
      <c r="BM968" s="1136"/>
      <c r="BN968" s="1136"/>
      <c r="BO968" s="1136"/>
      <c r="BP968" s="1136"/>
      <c r="BQ968" s="1136"/>
      <c r="BR968" s="1136"/>
      <c r="BS968" s="1136"/>
      <c r="BT968" s="1136"/>
      <c r="BU968" s="1136"/>
      <c r="BV968" s="1136"/>
      <c r="BW968" s="1136"/>
      <c r="BX968" s="1136"/>
      <c r="BY968" s="1136"/>
      <c r="BZ968" s="1136"/>
      <c r="CA968" s="1136"/>
      <c r="CB968" s="1136"/>
      <c r="CC968" s="1136"/>
      <c r="CD968" s="1136"/>
      <c r="CE968" s="1136"/>
      <c r="CF968" s="1136"/>
      <c r="CG968" s="1136"/>
      <c r="CH968" s="1136"/>
      <c r="CI968" s="1136"/>
      <c r="CJ968" s="1136"/>
      <c r="CK968" s="1136"/>
      <c r="CL968" s="1136"/>
      <c r="CM968" s="1136"/>
      <c r="CN968" s="1136"/>
      <c r="CO968" s="1136"/>
      <c r="CP968" s="1136"/>
      <c r="CQ968" s="1136"/>
      <c r="CR968" s="1136"/>
      <c r="CS968" s="1136"/>
      <c r="CT968" s="1136"/>
      <c r="CU968" s="1136"/>
      <c r="CV968" s="1136"/>
      <c r="CW968" s="1136"/>
      <c r="CX968" s="1136"/>
      <c r="CY968" s="1136"/>
      <c r="CZ968" s="1136"/>
      <c r="DA968" s="1136"/>
      <c r="DB968" s="1136"/>
      <c r="DC968" s="1136"/>
      <c r="DD968" s="1136"/>
      <c r="DE968" s="1136"/>
      <c r="DF968" s="1136"/>
      <c r="DG968" s="1136"/>
      <c r="DH968" s="1136"/>
      <c r="DI968" s="1136"/>
    </row>
    <row r="969" spans="1:113" ht="15.75" x14ac:dyDescent="0.25">
      <c r="A969" s="1430" t="s">
        <v>1322</v>
      </c>
      <c r="B969" s="1443"/>
      <c r="C969" s="1437"/>
      <c r="D969" s="1434"/>
      <c r="E969" s="1434"/>
      <c r="F969" s="1434"/>
      <c r="G969" s="1434"/>
      <c r="H969" s="1596"/>
      <c r="I969" s="1531"/>
      <c r="J969" s="1531"/>
      <c r="K969" s="1531"/>
      <c r="L969" s="1136"/>
      <c r="M969" s="1136"/>
      <c r="N969" s="1136"/>
      <c r="O969" s="1136"/>
      <c r="P969" s="1136"/>
      <c r="Q969" s="1136"/>
      <c r="R969" s="1136"/>
      <c r="S969" s="1136"/>
      <c r="T969" s="1531"/>
      <c r="U969" s="1531"/>
      <c r="V969" s="1531"/>
      <c r="W969" s="1531"/>
      <c r="X969" s="1531"/>
      <c r="Y969" s="1531"/>
      <c r="Z969" s="1136"/>
      <c r="AA969" s="1136"/>
      <c r="AB969" s="1136"/>
      <c r="AC969" s="1136"/>
      <c r="AD969" s="1136"/>
      <c r="AE969" s="1136"/>
      <c r="AF969" s="1136"/>
      <c r="AG969" s="1531"/>
      <c r="AH969" s="1531"/>
      <c r="AI969" s="1531"/>
      <c r="AJ969" s="1531"/>
      <c r="AK969" s="1531"/>
      <c r="AL969" s="1531"/>
      <c r="AM969" s="1531"/>
      <c r="AN969" s="1531"/>
      <c r="AO969" s="1531"/>
      <c r="AP969" s="1531"/>
      <c r="AQ969" s="1531"/>
      <c r="AR969" s="1531"/>
      <c r="AS969" s="1531"/>
      <c r="AT969" s="1136"/>
      <c r="AU969" s="1136"/>
      <c r="AV969" s="1136"/>
      <c r="AW969" s="1136"/>
      <c r="AX969" s="1136"/>
      <c r="AY969" s="1136"/>
      <c r="AZ969" s="1136"/>
      <c r="BA969" s="1136"/>
      <c r="BB969" s="1136"/>
      <c r="BC969" s="1136"/>
      <c r="BD969" s="1136"/>
      <c r="BE969" s="1136"/>
      <c r="BF969" s="1136"/>
      <c r="BG969" s="1136"/>
      <c r="BH969" s="1136"/>
      <c r="BI969" s="1136"/>
      <c r="BJ969" s="1136"/>
      <c r="BK969" s="1136"/>
      <c r="BL969" s="1136"/>
      <c r="BM969" s="1136"/>
      <c r="BN969" s="1136"/>
      <c r="BO969" s="1136"/>
      <c r="BP969" s="1136"/>
      <c r="BQ969" s="1136"/>
      <c r="BR969" s="1136"/>
      <c r="BS969" s="1136"/>
      <c r="BT969" s="1136"/>
      <c r="BU969" s="1136"/>
      <c r="BV969" s="1136"/>
      <c r="BW969" s="1136"/>
      <c r="BX969" s="1136"/>
      <c r="BY969" s="1136"/>
      <c r="BZ969" s="1136"/>
      <c r="CA969" s="1136"/>
      <c r="CB969" s="1136"/>
      <c r="CC969" s="1136"/>
      <c r="CD969" s="1136"/>
      <c r="CE969" s="1136"/>
      <c r="CF969" s="1136"/>
      <c r="CG969" s="1136"/>
      <c r="CH969" s="1136"/>
      <c r="CI969" s="1136"/>
      <c r="CJ969" s="1136"/>
      <c r="CK969" s="1136"/>
      <c r="CL969" s="1136"/>
      <c r="CM969" s="1136"/>
      <c r="CN969" s="1136"/>
      <c r="CO969" s="1136"/>
      <c r="CP969" s="1136"/>
      <c r="CQ969" s="1136"/>
      <c r="CR969" s="1136"/>
      <c r="CS969" s="1136"/>
      <c r="CT969" s="1136"/>
      <c r="CU969" s="1136"/>
      <c r="CV969" s="1136"/>
      <c r="CW969" s="1136"/>
      <c r="CX969" s="1136"/>
      <c r="CY969" s="1136"/>
      <c r="CZ969" s="1136"/>
      <c r="DA969" s="1136"/>
      <c r="DB969" s="1136"/>
      <c r="DC969" s="1136"/>
      <c r="DD969" s="1136"/>
      <c r="DE969" s="1136"/>
      <c r="DF969" s="1136"/>
      <c r="DG969" s="1136"/>
      <c r="DH969" s="1136"/>
      <c r="DI969" s="1136"/>
    </row>
    <row r="970" spans="1:113" ht="15.75" x14ac:dyDescent="0.25">
      <c r="A970" s="1430" t="s">
        <v>495</v>
      </c>
      <c r="B970" s="1450">
        <v>0.7</v>
      </c>
      <c r="C970" s="1440"/>
      <c r="D970" s="1350"/>
      <c r="E970" s="1350"/>
      <c r="F970" s="1350"/>
      <c r="G970" s="1350"/>
      <c r="H970" s="1531"/>
      <c r="I970" s="1531"/>
      <c r="J970" s="1531"/>
      <c r="K970" s="1531"/>
      <c r="L970" s="1136"/>
      <c r="M970" s="1136"/>
      <c r="N970" s="1136"/>
      <c r="O970" s="1136"/>
      <c r="P970" s="1136"/>
      <c r="Q970" s="1136"/>
      <c r="R970" s="1136"/>
      <c r="S970" s="1136"/>
      <c r="T970" s="1531"/>
      <c r="U970" s="1531"/>
      <c r="V970" s="1531"/>
      <c r="W970" s="1531"/>
      <c r="X970" s="1531"/>
      <c r="Y970" s="1531"/>
      <c r="Z970" s="1136"/>
      <c r="AA970" s="1136"/>
      <c r="AB970" s="1136"/>
      <c r="AC970" s="1136"/>
      <c r="AD970" s="1136"/>
      <c r="AE970" s="1136"/>
      <c r="AF970" s="1136"/>
      <c r="AG970" s="1531"/>
      <c r="AH970" s="1531"/>
      <c r="AI970" s="1531"/>
      <c r="AJ970" s="1531"/>
      <c r="AK970" s="1531"/>
      <c r="AL970" s="1531"/>
      <c r="AM970" s="1531"/>
      <c r="AN970" s="1531"/>
      <c r="AO970" s="1531"/>
      <c r="AP970" s="1531"/>
      <c r="AQ970" s="1531"/>
      <c r="AR970" s="1531"/>
      <c r="AS970" s="1531"/>
      <c r="AT970" s="1136"/>
      <c r="AU970" s="1136"/>
      <c r="AV970" s="1136"/>
      <c r="AW970" s="1136"/>
      <c r="AX970" s="1136"/>
      <c r="AY970" s="1136"/>
      <c r="AZ970" s="1136"/>
      <c r="BA970" s="1136"/>
      <c r="BB970" s="1136"/>
      <c r="BC970" s="1136"/>
      <c r="BD970" s="1136"/>
      <c r="BE970" s="1136"/>
      <c r="BF970" s="1136"/>
      <c r="BG970" s="1136"/>
      <c r="BH970" s="1136"/>
      <c r="BI970" s="1136"/>
      <c r="BJ970" s="1136"/>
      <c r="BK970" s="1136"/>
      <c r="BL970" s="1136"/>
      <c r="BM970" s="1136"/>
      <c r="BN970" s="1136"/>
      <c r="BO970" s="1136"/>
      <c r="BP970" s="1136"/>
      <c r="BQ970" s="1136"/>
      <c r="BR970" s="1136"/>
      <c r="BS970" s="1136"/>
      <c r="BT970" s="1136"/>
      <c r="BU970" s="1136"/>
      <c r="BV970" s="1136"/>
      <c r="BW970" s="1136"/>
      <c r="BX970" s="1136"/>
      <c r="BY970" s="1136"/>
      <c r="BZ970" s="1136"/>
      <c r="CA970" s="1136"/>
      <c r="CB970" s="1136"/>
      <c r="CC970" s="1136"/>
      <c r="CD970" s="1136"/>
      <c r="CE970" s="1136"/>
      <c r="CF970" s="1136"/>
      <c r="CG970" s="1136"/>
      <c r="CH970" s="1136"/>
      <c r="CI970" s="1136"/>
      <c r="CJ970" s="1136"/>
      <c r="CK970" s="1136"/>
      <c r="CL970" s="1136"/>
      <c r="CM970" s="1136"/>
      <c r="CN970" s="1136"/>
      <c r="CO970" s="1136"/>
      <c r="CP970" s="1136"/>
      <c r="CQ970" s="1136"/>
      <c r="CR970" s="1136"/>
      <c r="CS970" s="1136"/>
      <c r="CT970" s="1136"/>
      <c r="CU970" s="1136"/>
      <c r="CV970" s="1136"/>
      <c r="CW970" s="1136"/>
      <c r="CX970" s="1136"/>
      <c r="CY970" s="1136"/>
      <c r="CZ970" s="1136"/>
      <c r="DA970" s="1136"/>
      <c r="DB970" s="1136"/>
      <c r="DC970" s="1136"/>
      <c r="DD970" s="1136"/>
      <c r="DE970" s="1136"/>
      <c r="DF970" s="1136"/>
      <c r="DG970" s="1136"/>
      <c r="DH970" s="1136"/>
      <c r="DI970" s="1136"/>
    </row>
    <row r="971" spans="1:113" ht="31.5" x14ac:dyDescent="0.25">
      <c r="A971" s="1420" t="s">
        <v>496</v>
      </c>
      <c r="B971" s="1431">
        <f>B507</f>
        <v>0</v>
      </c>
      <c r="C971" s="1434"/>
      <c r="D971" s="1434"/>
      <c r="E971" s="1434"/>
      <c r="F971" s="1434"/>
      <c r="G971" s="1434"/>
      <c r="H971" s="1531"/>
      <c r="I971" s="1531"/>
      <c r="J971" s="1531"/>
      <c r="K971" s="1531"/>
      <c r="L971" s="1136"/>
      <c r="M971" s="1136"/>
      <c r="N971" s="1136"/>
      <c r="O971" s="1136"/>
      <c r="P971" s="1136"/>
      <c r="Q971" s="1136"/>
      <c r="R971" s="1136"/>
      <c r="S971" s="1136"/>
      <c r="T971" s="1531"/>
      <c r="U971" s="1531"/>
      <c r="V971" s="1531"/>
      <c r="W971" s="1531"/>
      <c r="X971" s="1531"/>
      <c r="Y971" s="1531"/>
      <c r="Z971" s="1136"/>
      <c r="AA971" s="1136"/>
      <c r="AB971" s="1136"/>
      <c r="AC971" s="1136"/>
      <c r="AD971" s="1136"/>
      <c r="AE971" s="1136"/>
      <c r="AF971" s="1136"/>
      <c r="AG971" s="1531"/>
      <c r="AH971" s="1531"/>
      <c r="AI971" s="1531"/>
      <c r="AJ971" s="1531"/>
      <c r="AK971" s="1531"/>
      <c r="AL971" s="1531"/>
      <c r="AM971" s="1531"/>
      <c r="AN971" s="1531"/>
      <c r="AO971" s="1531"/>
      <c r="AP971" s="1531"/>
      <c r="AQ971" s="1531"/>
      <c r="AR971" s="1531"/>
      <c r="AS971" s="1531"/>
      <c r="AT971" s="1136"/>
      <c r="AU971" s="1136"/>
      <c r="AV971" s="1136"/>
      <c r="AW971" s="1136"/>
      <c r="AX971" s="1136"/>
      <c r="AY971" s="1136"/>
      <c r="AZ971" s="1136"/>
      <c r="BA971" s="1136"/>
      <c r="BB971" s="1136"/>
      <c r="BC971" s="1136"/>
      <c r="BD971" s="1136"/>
      <c r="BE971" s="1136"/>
      <c r="BF971" s="1136"/>
      <c r="BG971" s="1136"/>
      <c r="BH971" s="1136"/>
      <c r="BI971" s="1136"/>
      <c r="BJ971" s="1136"/>
      <c r="BK971" s="1136"/>
      <c r="BL971" s="1136"/>
      <c r="BM971" s="1136"/>
      <c r="BN971" s="1136"/>
      <c r="BO971" s="1136"/>
      <c r="BP971" s="1136"/>
      <c r="BQ971" s="1136"/>
      <c r="BR971" s="1136"/>
      <c r="BS971" s="1136"/>
      <c r="BT971" s="1136"/>
      <c r="BU971" s="1136"/>
      <c r="BV971" s="1136"/>
      <c r="BW971" s="1136"/>
      <c r="BX971" s="1136"/>
      <c r="BY971" s="1136"/>
      <c r="BZ971" s="1136"/>
      <c r="CA971" s="1136"/>
      <c r="CB971" s="1136"/>
      <c r="CC971" s="1136"/>
      <c r="CD971" s="1136"/>
      <c r="CE971" s="1136"/>
      <c r="CF971" s="1136"/>
      <c r="CG971" s="1136"/>
      <c r="CH971" s="1136"/>
      <c r="CI971" s="1136"/>
      <c r="CJ971" s="1136"/>
      <c r="CK971" s="1136"/>
      <c r="CL971" s="1136"/>
      <c r="CM971" s="1136"/>
      <c r="CN971" s="1136"/>
      <c r="CO971" s="1136"/>
      <c r="CP971" s="1136"/>
      <c r="CQ971" s="1136"/>
      <c r="CR971" s="1136"/>
      <c r="CS971" s="1136"/>
      <c r="CT971" s="1136"/>
      <c r="CU971" s="1136"/>
      <c r="CV971" s="1136"/>
      <c r="CW971" s="1136"/>
      <c r="CX971" s="1136"/>
      <c r="CY971" s="1136"/>
      <c r="CZ971" s="1136"/>
      <c r="DA971" s="1136"/>
      <c r="DB971" s="1136"/>
      <c r="DC971" s="1136"/>
      <c r="DD971" s="1136"/>
      <c r="DE971" s="1136"/>
      <c r="DF971" s="1136"/>
      <c r="DG971" s="1136"/>
      <c r="DH971" s="1136"/>
      <c r="DI971" s="1136"/>
    </row>
    <row r="972" spans="1:113" ht="15.75" x14ac:dyDescent="0.25">
      <c r="A972" s="1420" t="s">
        <v>2978</v>
      </c>
      <c r="B972" s="1423">
        <f>IF(B971=1,0.8,1)</f>
        <v>1</v>
      </c>
      <c r="C972" s="1429"/>
      <c r="D972" s="1434"/>
      <c r="E972" s="1434"/>
      <c r="F972" s="1434"/>
      <c r="G972" s="1434"/>
      <c r="H972" s="1531"/>
      <c r="I972" s="1531"/>
      <c r="J972" s="1531"/>
      <c r="K972" s="1531"/>
      <c r="L972" s="1136"/>
      <c r="M972" s="1136"/>
      <c r="N972" s="1136"/>
      <c r="O972" s="1136"/>
      <c r="P972" s="1136"/>
      <c r="Q972" s="1136"/>
      <c r="R972" s="1136"/>
      <c r="S972" s="1136"/>
      <c r="T972" s="1531"/>
      <c r="U972" s="1531"/>
      <c r="V972" s="1531"/>
      <c r="W972" s="1531"/>
      <c r="X972" s="1531"/>
      <c r="Y972" s="1531"/>
      <c r="Z972" s="1136"/>
      <c r="AA972" s="1136"/>
      <c r="AB972" s="1136"/>
      <c r="AC972" s="1136"/>
      <c r="AD972" s="1136"/>
      <c r="AE972" s="1136"/>
      <c r="AF972" s="1136"/>
      <c r="AG972" s="1531"/>
      <c r="AH972" s="1531"/>
      <c r="AI972" s="1531"/>
      <c r="AJ972" s="1531"/>
      <c r="AK972" s="1531"/>
      <c r="AL972" s="1531"/>
      <c r="AM972" s="1531"/>
      <c r="AN972" s="1531"/>
      <c r="AO972" s="1531"/>
      <c r="AP972" s="1531"/>
      <c r="AQ972" s="1531"/>
      <c r="AR972" s="1531"/>
      <c r="AS972" s="1531"/>
      <c r="AT972" s="1136"/>
      <c r="AU972" s="1136"/>
      <c r="AV972" s="1136"/>
      <c r="AW972" s="1136"/>
      <c r="AX972" s="1136"/>
      <c r="AY972" s="1136"/>
      <c r="AZ972" s="1136"/>
      <c r="BA972" s="1136"/>
      <c r="BB972" s="1136"/>
      <c r="BC972" s="1136"/>
      <c r="BD972" s="1136"/>
      <c r="BE972" s="1136"/>
      <c r="BF972" s="1136"/>
      <c r="BG972" s="1136"/>
      <c r="BH972" s="1136"/>
      <c r="BI972" s="1136"/>
      <c r="BJ972" s="1136"/>
      <c r="BK972" s="1136"/>
      <c r="BL972" s="1136"/>
      <c r="BM972" s="1136"/>
      <c r="BN972" s="1136"/>
      <c r="BO972" s="1136"/>
      <c r="BP972" s="1136"/>
      <c r="BQ972" s="1136"/>
      <c r="BR972" s="1136"/>
      <c r="BS972" s="1136"/>
      <c r="BT972" s="1136"/>
      <c r="BU972" s="1136"/>
      <c r="BV972" s="1136"/>
      <c r="BW972" s="1136"/>
      <c r="BX972" s="1136"/>
      <c r="BY972" s="1136"/>
      <c r="BZ972" s="1136"/>
      <c r="CA972" s="1136"/>
      <c r="CB972" s="1136"/>
      <c r="CC972" s="1136"/>
      <c r="CD972" s="1136"/>
      <c r="CE972" s="1136"/>
      <c r="CF972" s="1136"/>
      <c r="CG972" s="1136"/>
      <c r="CH972" s="1136"/>
      <c r="CI972" s="1136"/>
      <c r="CJ972" s="1136"/>
      <c r="CK972" s="1136"/>
      <c r="CL972" s="1136"/>
      <c r="CM972" s="1136"/>
      <c r="CN972" s="1136"/>
      <c r="CO972" s="1136"/>
      <c r="CP972" s="1136"/>
      <c r="CQ972" s="1136"/>
      <c r="CR972" s="1136"/>
      <c r="CS972" s="1136"/>
      <c r="CT972" s="1136"/>
      <c r="CU972" s="1136"/>
      <c r="CV972" s="1136"/>
      <c r="CW972" s="1136"/>
      <c r="CX972" s="1136"/>
      <c r="CY972" s="1136"/>
      <c r="CZ972" s="1136"/>
      <c r="DA972" s="1136"/>
      <c r="DB972" s="1136"/>
      <c r="DC972" s="1136"/>
      <c r="DD972" s="1136"/>
      <c r="DE972" s="1136"/>
      <c r="DF972" s="1136"/>
      <c r="DG972" s="1136"/>
      <c r="DH972" s="1136"/>
      <c r="DI972" s="1136"/>
    </row>
    <row r="973" spans="1:113" ht="78.75" x14ac:dyDescent="0.25">
      <c r="A973" s="1420" t="s">
        <v>3968</v>
      </c>
      <c r="B973" s="1431">
        <f>B509</f>
        <v>0</v>
      </c>
      <c r="C973" s="1434"/>
      <c r="D973" s="1434"/>
      <c r="E973" s="1434"/>
      <c r="F973" s="1434"/>
      <c r="G973" s="1434"/>
      <c r="H973" s="1531"/>
      <c r="I973" s="1531"/>
      <c r="J973" s="1531"/>
      <c r="K973" s="1531"/>
      <c r="L973" s="1136"/>
      <c r="M973" s="1136"/>
      <c r="N973" s="1136"/>
      <c r="O973" s="1136"/>
      <c r="P973" s="1136"/>
      <c r="Q973" s="1136"/>
      <c r="R973" s="1136"/>
      <c r="S973" s="1136"/>
      <c r="T973" s="1531"/>
      <c r="U973" s="1531"/>
      <c r="V973" s="1531"/>
      <c r="W973" s="1531"/>
      <c r="X973" s="1531"/>
      <c r="Y973" s="1531"/>
      <c r="Z973" s="1136"/>
      <c r="AA973" s="1136"/>
      <c r="AB973" s="1136"/>
      <c r="AC973" s="1136"/>
      <c r="AD973" s="1136"/>
      <c r="AE973" s="1136"/>
      <c r="AF973" s="1136"/>
      <c r="AG973" s="1531"/>
      <c r="AH973" s="1531"/>
      <c r="AI973" s="1531"/>
      <c r="AJ973" s="1531"/>
      <c r="AK973" s="1531"/>
      <c r="AL973" s="1531"/>
      <c r="AM973" s="1531"/>
      <c r="AN973" s="1531"/>
      <c r="AO973" s="1531"/>
      <c r="AP973" s="1531"/>
      <c r="AQ973" s="1531"/>
      <c r="AR973" s="1531"/>
      <c r="AS973" s="1531"/>
      <c r="AT973" s="1136"/>
      <c r="AU973" s="1136"/>
      <c r="AV973" s="1136"/>
      <c r="AW973" s="1136"/>
      <c r="AX973" s="1136"/>
      <c r="AY973" s="1136"/>
      <c r="AZ973" s="1136"/>
      <c r="BA973" s="1136"/>
      <c r="BB973" s="1136"/>
      <c r="BC973" s="1136"/>
      <c r="BD973" s="1136"/>
      <c r="BE973" s="1136"/>
      <c r="BF973" s="1136"/>
      <c r="BG973" s="1136"/>
      <c r="BH973" s="1136"/>
      <c r="BI973" s="1136"/>
      <c r="BJ973" s="1136"/>
      <c r="BK973" s="1136"/>
      <c r="BL973" s="1136"/>
      <c r="BM973" s="1136"/>
      <c r="BN973" s="1136"/>
      <c r="BO973" s="1136"/>
      <c r="BP973" s="1136"/>
      <c r="BQ973" s="1136"/>
      <c r="BR973" s="1136"/>
      <c r="BS973" s="1136"/>
      <c r="BT973" s="1136"/>
      <c r="BU973" s="1136"/>
      <c r="BV973" s="1136"/>
      <c r="BW973" s="1136"/>
      <c r="BX973" s="1136"/>
      <c r="BY973" s="1136"/>
      <c r="BZ973" s="1136"/>
      <c r="CA973" s="1136"/>
      <c r="CB973" s="1136"/>
      <c r="CC973" s="1136"/>
      <c r="CD973" s="1136"/>
      <c r="CE973" s="1136"/>
      <c r="CF973" s="1136"/>
      <c r="CG973" s="1136"/>
      <c r="CH973" s="1136"/>
      <c r="CI973" s="1136"/>
      <c r="CJ973" s="1136"/>
      <c r="CK973" s="1136"/>
      <c r="CL973" s="1136"/>
      <c r="CM973" s="1136"/>
      <c r="CN973" s="1136"/>
      <c r="CO973" s="1136"/>
      <c r="CP973" s="1136"/>
      <c r="CQ973" s="1136"/>
      <c r="CR973" s="1136"/>
      <c r="CS973" s="1136"/>
      <c r="CT973" s="1136"/>
      <c r="CU973" s="1136"/>
      <c r="CV973" s="1136"/>
      <c r="CW973" s="1136"/>
      <c r="CX973" s="1136"/>
      <c r="CY973" s="1136"/>
      <c r="CZ973" s="1136"/>
      <c r="DA973" s="1136"/>
      <c r="DB973" s="1136"/>
      <c r="DC973" s="1136"/>
      <c r="DD973" s="1136"/>
      <c r="DE973" s="1136"/>
      <c r="DF973" s="1136"/>
      <c r="DG973" s="1136"/>
      <c r="DH973" s="1136"/>
      <c r="DI973" s="1136"/>
    </row>
    <row r="974" spans="1:113" ht="31.5" x14ac:dyDescent="0.25">
      <c r="A974" s="1420" t="s">
        <v>3969</v>
      </c>
      <c r="B974" s="1423">
        <f>IF(B973=1,0.9,1)</f>
        <v>1</v>
      </c>
      <c r="C974" s="1429"/>
      <c r="D974" s="1434"/>
      <c r="E974" s="1434"/>
      <c r="F974" s="1434"/>
      <c r="G974" s="1434"/>
      <c r="H974" s="1531"/>
      <c r="I974" s="1531"/>
      <c r="J974" s="1531"/>
      <c r="K974" s="1531"/>
      <c r="L974" s="1136"/>
      <c r="M974" s="1136"/>
      <c r="N974" s="1136"/>
      <c r="O974" s="1136"/>
      <c r="P974" s="1136"/>
      <c r="Q974" s="1136"/>
      <c r="R974" s="1136"/>
      <c r="S974" s="1136"/>
      <c r="T974" s="1531"/>
      <c r="U974" s="1531"/>
      <c r="V974" s="1531"/>
      <c r="W974" s="1531"/>
      <c r="X974" s="1531"/>
      <c r="Y974" s="1531"/>
      <c r="Z974" s="1136"/>
      <c r="AA974" s="1136"/>
      <c r="AB974" s="1136"/>
      <c r="AC974" s="1136"/>
      <c r="AD974" s="1136"/>
      <c r="AE974" s="1136"/>
      <c r="AF974" s="1136"/>
      <c r="AG974" s="1531"/>
      <c r="AH974" s="1531"/>
      <c r="AI974" s="1531"/>
      <c r="AJ974" s="1531"/>
      <c r="AK974" s="1531"/>
      <c r="AL974" s="1531"/>
      <c r="AM974" s="1531"/>
      <c r="AN974" s="1531"/>
      <c r="AO974" s="1531"/>
      <c r="AP974" s="1531"/>
      <c r="AQ974" s="1531"/>
      <c r="AR974" s="1531"/>
      <c r="AS974" s="1531"/>
      <c r="AT974" s="1136"/>
      <c r="AU974" s="1136"/>
      <c r="AV974" s="1136"/>
      <c r="AW974" s="1136"/>
      <c r="AX974" s="1136"/>
      <c r="AY974" s="1136"/>
      <c r="AZ974" s="1136"/>
      <c r="BA974" s="1136"/>
      <c r="BB974" s="1136"/>
      <c r="BC974" s="1136"/>
      <c r="BD974" s="1136"/>
      <c r="BE974" s="1136"/>
      <c r="BF974" s="1136"/>
      <c r="BG974" s="1136"/>
      <c r="BH974" s="1136"/>
      <c r="BI974" s="1136"/>
      <c r="BJ974" s="1136"/>
      <c r="BK974" s="1136"/>
      <c r="BL974" s="1136"/>
      <c r="BM974" s="1136"/>
      <c r="BN974" s="1136"/>
      <c r="BO974" s="1136"/>
      <c r="BP974" s="1136"/>
      <c r="BQ974" s="1136"/>
      <c r="BR974" s="1136"/>
      <c r="BS974" s="1136"/>
      <c r="BT974" s="1136"/>
      <c r="BU974" s="1136"/>
      <c r="BV974" s="1136"/>
      <c r="BW974" s="1136"/>
      <c r="BX974" s="1136"/>
      <c r="BY974" s="1136"/>
      <c r="BZ974" s="1136"/>
      <c r="CA974" s="1136"/>
      <c r="CB974" s="1136"/>
      <c r="CC974" s="1136"/>
      <c r="CD974" s="1136"/>
      <c r="CE974" s="1136"/>
      <c r="CF974" s="1136"/>
      <c r="CG974" s="1136"/>
      <c r="CH974" s="1136"/>
      <c r="CI974" s="1136"/>
      <c r="CJ974" s="1136"/>
      <c r="CK974" s="1136"/>
      <c r="CL974" s="1136"/>
      <c r="CM974" s="1136"/>
      <c r="CN974" s="1136"/>
      <c r="CO974" s="1136"/>
      <c r="CP974" s="1136"/>
      <c r="CQ974" s="1136"/>
      <c r="CR974" s="1136"/>
      <c r="CS974" s="1136"/>
      <c r="CT974" s="1136"/>
      <c r="CU974" s="1136"/>
      <c r="CV974" s="1136"/>
      <c r="CW974" s="1136"/>
      <c r="CX974" s="1136"/>
      <c r="CY974" s="1136"/>
      <c r="CZ974" s="1136"/>
      <c r="DA974" s="1136"/>
      <c r="DB974" s="1136"/>
      <c r="DC974" s="1136"/>
      <c r="DD974" s="1136"/>
      <c r="DE974" s="1136"/>
      <c r="DF974" s="1136"/>
      <c r="DG974" s="1136"/>
      <c r="DH974" s="1136"/>
      <c r="DI974" s="1136"/>
    </row>
    <row r="975" spans="1:113" ht="63" x14ac:dyDescent="0.25">
      <c r="A975" s="1420" t="s">
        <v>1335</v>
      </c>
      <c r="B975" s="1431">
        <f>B511</f>
        <v>0</v>
      </c>
      <c r="C975" s="1434"/>
      <c r="D975" s="1434"/>
      <c r="E975" s="1434"/>
      <c r="F975" s="1434"/>
      <c r="G975" s="1434"/>
      <c r="H975" s="1531"/>
      <c r="I975" s="1531"/>
      <c r="J975" s="1531"/>
      <c r="K975" s="1531"/>
      <c r="L975" s="1136"/>
      <c r="M975" s="1136"/>
      <c r="N975" s="1136"/>
      <c r="O975" s="1136"/>
      <c r="P975" s="1136"/>
      <c r="Q975" s="1136"/>
      <c r="R975" s="1136"/>
      <c r="S975" s="1136"/>
      <c r="T975" s="1531"/>
      <c r="U975" s="1531"/>
      <c r="V975" s="1531"/>
      <c r="W975" s="1531"/>
      <c r="X975" s="1531"/>
      <c r="Y975" s="1531"/>
      <c r="Z975" s="1531"/>
      <c r="AA975" s="1531"/>
      <c r="AB975" s="1531"/>
      <c r="AC975" s="1531"/>
      <c r="AD975" s="1531"/>
      <c r="AE975" s="1531"/>
      <c r="AF975" s="1531"/>
      <c r="AG975" s="1531"/>
      <c r="AH975" s="1531"/>
      <c r="AI975" s="1531"/>
      <c r="AJ975" s="1531"/>
      <c r="AK975" s="1531"/>
      <c r="AL975" s="1531"/>
      <c r="AM975" s="1531"/>
      <c r="AN975" s="1531"/>
      <c r="AO975" s="1531"/>
      <c r="AP975" s="1531"/>
      <c r="AQ975" s="1531"/>
      <c r="AR975" s="1531"/>
      <c r="AS975" s="1531"/>
      <c r="AT975" s="1136"/>
      <c r="AU975" s="1136"/>
      <c r="AV975" s="1136"/>
      <c r="AW975" s="1136"/>
      <c r="AX975" s="1136"/>
      <c r="AY975" s="1136"/>
      <c r="AZ975" s="1136"/>
      <c r="BA975" s="1136"/>
      <c r="BB975" s="1136"/>
      <c r="BC975" s="1136"/>
      <c r="BD975" s="1136"/>
      <c r="BE975" s="1136"/>
      <c r="BF975" s="1136"/>
      <c r="BG975" s="1136"/>
      <c r="BH975" s="1136"/>
      <c r="BI975" s="1136"/>
      <c r="BJ975" s="1136"/>
      <c r="BK975" s="1136"/>
      <c r="BL975" s="1136"/>
      <c r="BM975" s="1136"/>
      <c r="BN975" s="1136"/>
      <c r="BO975" s="1136"/>
      <c r="BP975" s="1136"/>
      <c r="BQ975" s="1136"/>
      <c r="BR975" s="1136"/>
      <c r="BS975" s="1136"/>
      <c r="BT975" s="1136"/>
      <c r="BU975" s="1136"/>
      <c r="BV975" s="1136"/>
      <c r="BW975" s="1136"/>
      <c r="BX975" s="1136"/>
      <c r="BY975" s="1136"/>
      <c r="BZ975" s="1136"/>
      <c r="CA975" s="1136"/>
      <c r="CB975" s="1136"/>
      <c r="CC975" s="1136"/>
      <c r="CD975" s="1136"/>
      <c r="CE975" s="1136"/>
      <c r="CF975" s="1136"/>
      <c r="CG975" s="1136"/>
      <c r="CH975" s="1136"/>
      <c r="CI975" s="1136"/>
      <c r="CJ975" s="1136"/>
      <c r="CK975" s="1136"/>
      <c r="CL975" s="1136"/>
      <c r="CM975" s="1136"/>
      <c r="CN975" s="1136"/>
      <c r="CO975" s="1136"/>
      <c r="CP975" s="1136"/>
      <c r="CQ975" s="1136"/>
      <c r="CR975" s="1136"/>
      <c r="CS975" s="1136"/>
      <c r="CT975" s="1136"/>
      <c r="CU975" s="1136"/>
      <c r="CV975" s="1136"/>
      <c r="CW975" s="1136"/>
      <c r="CX975" s="1136"/>
      <c r="CY975" s="1136"/>
      <c r="CZ975" s="1136"/>
      <c r="DA975" s="1136"/>
      <c r="DB975" s="1136"/>
      <c r="DC975" s="1136"/>
      <c r="DD975" s="1136"/>
      <c r="DE975" s="1136"/>
      <c r="DF975" s="1136"/>
      <c r="DG975" s="1136"/>
      <c r="DH975" s="1136"/>
      <c r="DI975" s="1136"/>
    </row>
    <row r="976" spans="1:113" ht="15.75" x14ac:dyDescent="0.25">
      <c r="A976" s="1420" t="s">
        <v>1336</v>
      </c>
      <c r="B976" s="1433">
        <f>IF(B975=1,0.95,1)</f>
        <v>1</v>
      </c>
      <c r="C976" s="1437"/>
      <c r="D976" s="1350"/>
      <c r="E976" s="1350"/>
      <c r="F976" s="1350"/>
      <c r="G976" s="1350"/>
      <c r="H976" s="1531"/>
      <c r="I976" s="1531"/>
      <c r="J976" s="1531"/>
      <c r="K976" s="1531"/>
      <c r="L976" s="1136"/>
      <c r="M976" s="1136"/>
      <c r="N976" s="1136"/>
      <c r="O976" s="1136"/>
      <c r="P976" s="1136"/>
      <c r="Q976" s="1136"/>
      <c r="R976" s="1136"/>
      <c r="S976" s="1136"/>
      <c r="T976" s="1531"/>
      <c r="U976" s="1531"/>
      <c r="V976" s="1531"/>
      <c r="W976" s="1531"/>
      <c r="X976" s="1531"/>
      <c r="Y976" s="1531"/>
      <c r="Z976" s="1531"/>
      <c r="AA976" s="1531"/>
      <c r="AB976" s="1531"/>
      <c r="AC976" s="1531"/>
      <c r="AD976" s="1531"/>
      <c r="AE976" s="1531"/>
      <c r="AF976" s="1531"/>
      <c r="AG976" s="1531"/>
      <c r="AH976" s="1531"/>
      <c r="AI976" s="1531"/>
      <c r="AJ976" s="1531"/>
      <c r="AK976" s="1531"/>
      <c r="AL976" s="1531"/>
      <c r="AM976" s="1531"/>
      <c r="AN976" s="1531"/>
      <c r="AO976" s="1531"/>
      <c r="AP976" s="1531"/>
      <c r="AQ976" s="1531"/>
      <c r="AR976" s="1531"/>
      <c r="AS976" s="1531"/>
      <c r="AT976" s="1136"/>
      <c r="AU976" s="1136"/>
      <c r="AV976" s="1136"/>
      <c r="AW976" s="1136"/>
      <c r="AX976" s="1136"/>
      <c r="AY976" s="1136"/>
      <c r="AZ976" s="1136"/>
      <c r="BA976" s="1136"/>
      <c r="BB976" s="1136"/>
      <c r="BC976" s="1136"/>
      <c r="BD976" s="1136"/>
      <c r="BE976" s="1136"/>
      <c r="BF976" s="1136"/>
      <c r="BG976" s="1136"/>
      <c r="BH976" s="1136"/>
      <c r="BI976" s="1136"/>
      <c r="BJ976" s="1136"/>
      <c r="BK976" s="1136"/>
      <c r="BL976" s="1136"/>
      <c r="BM976" s="1136"/>
      <c r="BN976" s="1136"/>
      <c r="BO976" s="1136"/>
      <c r="BP976" s="1136"/>
      <c r="BQ976" s="1136"/>
      <c r="BR976" s="1136"/>
      <c r="BS976" s="1136"/>
      <c r="BT976" s="1136"/>
      <c r="BU976" s="1136"/>
      <c r="BV976" s="1136"/>
      <c r="BW976" s="1136"/>
      <c r="BX976" s="1136"/>
      <c r="BY976" s="1136"/>
      <c r="BZ976" s="1136"/>
      <c r="CA976" s="1136"/>
      <c r="CB976" s="1136"/>
      <c r="CC976" s="1136"/>
      <c r="CD976" s="1136"/>
      <c r="CE976" s="1136"/>
      <c r="CF976" s="1136"/>
      <c r="CG976" s="1136"/>
      <c r="CH976" s="1136"/>
      <c r="CI976" s="1136"/>
      <c r="CJ976" s="1136"/>
      <c r="CK976" s="1136"/>
      <c r="CL976" s="1136"/>
      <c r="CM976" s="1136"/>
      <c r="CN976" s="1136"/>
      <c r="CO976" s="1136"/>
      <c r="CP976" s="1136"/>
      <c r="CQ976" s="1136"/>
      <c r="CR976" s="1136"/>
      <c r="CS976" s="1136"/>
      <c r="CT976" s="1136"/>
      <c r="CU976" s="1136"/>
      <c r="CV976" s="1136"/>
      <c r="CW976" s="1136"/>
      <c r="CX976" s="1136"/>
      <c r="CY976" s="1136"/>
      <c r="CZ976" s="1136"/>
      <c r="DA976" s="1136"/>
      <c r="DB976" s="1136"/>
      <c r="DC976" s="1136"/>
      <c r="DD976" s="1136"/>
      <c r="DE976" s="1136"/>
      <c r="DF976" s="1136"/>
      <c r="DG976" s="1136"/>
      <c r="DH976" s="1136"/>
      <c r="DI976" s="1136"/>
    </row>
    <row r="977" spans="1:113" ht="15.75" x14ac:dyDescent="0.25">
      <c r="A977" s="1430" t="s">
        <v>1</v>
      </c>
      <c r="B977" s="1433" t="e">
        <f>B960*B970*B972*B974*B976*B341</f>
        <v>#VALUE!</v>
      </c>
      <c r="C977" s="1437"/>
      <c r="D977" s="1440"/>
      <c r="E977" s="1440"/>
      <c r="F977" s="1440"/>
      <c r="G977" s="1440"/>
      <c r="H977" s="1531"/>
      <c r="I977" s="1531"/>
      <c r="J977" s="1531"/>
      <c r="K977" s="1531"/>
      <c r="L977" s="1136"/>
      <c r="M977" s="1136"/>
      <c r="N977" s="1136"/>
      <c r="O977" s="1136"/>
      <c r="P977" s="1136"/>
      <c r="Q977" s="1136"/>
      <c r="R977" s="1136"/>
      <c r="S977" s="1136"/>
      <c r="T977" s="1531"/>
      <c r="U977" s="1531"/>
      <c r="V977" s="1531"/>
      <c r="W977" s="1531"/>
      <c r="X977" s="1531"/>
      <c r="Y977" s="1531"/>
      <c r="Z977" s="1531"/>
      <c r="AA977" s="1531"/>
      <c r="AB977" s="1531"/>
      <c r="AC977" s="1531"/>
      <c r="AD977" s="1531"/>
      <c r="AE977" s="1531"/>
      <c r="AF977" s="1531"/>
      <c r="AG977" s="1531"/>
      <c r="AH977" s="1531"/>
      <c r="AI977" s="1531"/>
      <c r="AJ977" s="1531"/>
      <c r="AK977" s="1531"/>
      <c r="AL977" s="1531"/>
      <c r="AM977" s="1531"/>
      <c r="AN977" s="1531"/>
      <c r="AO977" s="1531"/>
      <c r="AP977" s="1531"/>
      <c r="AQ977" s="1531"/>
      <c r="AR977" s="1531"/>
      <c r="AS977" s="1531"/>
      <c r="AT977" s="1136"/>
      <c r="AU977" s="1136"/>
      <c r="AV977" s="1136"/>
      <c r="AW977" s="1136"/>
      <c r="AX977" s="1136"/>
      <c r="AY977" s="1136"/>
      <c r="AZ977" s="1136"/>
      <c r="BA977" s="1136"/>
      <c r="BB977" s="1136"/>
      <c r="BC977" s="1136"/>
      <c r="BD977" s="1136"/>
      <c r="BE977" s="1136"/>
      <c r="BF977" s="1136"/>
      <c r="BG977" s="1136"/>
      <c r="BH977" s="1136"/>
      <c r="BI977" s="1136"/>
      <c r="BJ977" s="1136"/>
      <c r="BK977" s="1136"/>
      <c r="BL977" s="1136"/>
      <c r="BM977" s="1136"/>
      <c r="BN977" s="1136"/>
      <c r="BO977" s="1136"/>
      <c r="BP977" s="1136"/>
      <c r="BQ977" s="1136"/>
      <c r="BR977" s="1136"/>
      <c r="BS977" s="1136"/>
      <c r="BT977" s="1136"/>
      <c r="BU977" s="1136"/>
      <c r="BV977" s="1136"/>
      <c r="BW977" s="1136"/>
      <c r="BX977" s="1136"/>
      <c r="BY977" s="1136"/>
      <c r="BZ977" s="1136"/>
      <c r="CA977" s="1136"/>
      <c r="CB977" s="1136"/>
      <c r="CC977" s="1136"/>
      <c r="CD977" s="1136"/>
      <c r="CE977" s="1136"/>
      <c r="CF977" s="1136"/>
      <c r="CG977" s="1136"/>
      <c r="CH977" s="1136"/>
      <c r="CI977" s="1136"/>
      <c r="CJ977" s="1136"/>
      <c r="CK977" s="1136"/>
      <c r="CL977" s="1136"/>
      <c r="CM977" s="1136"/>
      <c r="CN977" s="1136"/>
      <c r="CO977" s="1136"/>
      <c r="CP977" s="1136"/>
      <c r="CQ977" s="1136"/>
      <c r="CR977" s="1136"/>
      <c r="CS977" s="1136"/>
      <c r="CT977" s="1136"/>
      <c r="CU977" s="1136"/>
      <c r="CV977" s="1136"/>
      <c r="CW977" s="1136"/>
      <c r="CX977" s="1136"/>
      <c r="CY977" s="1136"/>
      <c r="CZ977" s="1136"/>
      <c r="DA977" s="1136"/>
      <c r="DB977" s="1136"/>
      <c r="DC977" s="1136"/>
      <c r="DD977" s="1136"/>
      <c r="DE977" s="1136"/>
      <c r="DF977" s="1136"/>
      <c r="DG977" s="1136"/>
      <c r="DH977" s="1136"/>
      <c r="DI977" s="1136"/>
    </row>
    <row r="978" spans="1:113" ht="15.75" x14ac:dyDescent="0.25">
      <c r="A978" s="1430" t="s">
        <v>429</v>
      </c>
      <c r="B978" s="1428" t="e">
        <f>B958/B977</f>
        <v>#REF!</v>
      </c>
      <c r="C978" s="1432"/>
      <c r="D978" s="1434"/>
      <c r="E978" s="1434"/>
      <c r="F978" s="1434"/>
      <c r="G978" s="1434"/>
      <c r="H978" s="1531"/>
      <c r="I978" s="1531"/>
      <c r="J978" s="1531"/>
      <c r="K978" s="1531"/>
      <c r="L978" s="1136"/>
      <c r="M978" s="1136"/>
      <c r="N978" s="1136"/>
      <c r="O978" s="1136"/>
      <c r="P978" s="1136"/>
      <c r="Q978" s="1136"/>
      <c r="R978" s="1136"/>
      <c r="S978" s="1136"/>
      <c r="T978" s="1531"/>
      <c r="U978" s="1531"/>
      <c r="V978" s="1531"/>
      <c r="W978" s="1531"/>
      <c r="X978" s="1531"/>
      <c r="Y978" s="1531"/>
      <c r="Z978" s="1531"/>
      <c r="AA978" s="1531"/>
      <c r="AB978" s="1531"/>
      <c r="AC978" s="1531"/>
      <c r="AD978" s="1531"/>
      <c r="AE978" s="1531"/>
      <c r="AF978" s="1531"/>
      <c r="AG978" s="1531"/>
      <c r="AH978" s="1531"/>
      <c r="AI978" s="1531"/>
      <c r="AJ978" s="1531"/>
      <c r="AK978" s="1531"/>
      <c r="AL978" s="1531"/>
      <c r="AM978" s="1531"/>
      <c r="AN978" s="1531"/>
      <c r="AO978" s="1531"/>
      <c r="AP978" s="1531"/>
      <c r="AQ978" s="1531"/>
      <c r="AR978" s="1531"/>
      <c r="AS978" s="1531"/>
      <c r="AT978" s="1136"/>
      <c r="AU978" s="1136"/>
      <c r="AV978" s="1136"/>
      <c r="AW978" s="1136"/>
      <c r="AX978" s="1136"/>
      <c r="AY978" s="1136"/>
      <c r="AZ978" s="1136"/>
      <c r="BA978" s="1136"/>
      <c r="BB978" s="1136"/>
      <c r="BC978" s="1136"/>
      <c r="BD978" s="1136"/>
      <c r="BE978" s="1136"/>
      <c r="BF978" s="1136"/>
      <c r="BG978" s="1136"/>
      <c r="BH978" s="1136"/>
      <c r="BI978" s="1136"/>
      <c r="BJ978" s="1136"/>
      <c r="BK978" s="1136"/>
      <c r="BL978" s="1136"/>
      <c r="BM978" s="1136"/>
      <c r="BN978" s="1136"/>
      <c r="BO978" s="1136"/>
      <c r="BP978" s="1136"/>
      <c r="BQ978" s="1136"/>
      <c r="BR978" s="1136"/>
      <c r="BS978" s="1136"/>
      <c r="BT978" s="1136"/>
      <c r="BU978" s="1136"/>
      <c r="BV978" s="1136"/>
      <c r="BW978" s="1136"/>
      <c r="BX978" s="1136"/>
      <c r="BY978" s="1136"/>
      <c r="BZ978" s="1136"/>
      <c r="CA978" s="1136"/>
      <c r="CB978" s="1136"/>
      <c r="CC978" s="1136"/>
      <c r="CD978" s="1136"/>
      <c r="CE978" s="1136"/>
      <c r="CF978" s="1136"/>
      <c r="CG978" s="1136"/>
      <c r="CH978" s="1136"/>
      <c r="CI978" s="1136"/>
      <c r="CJ978" s="1136"/>
      <c r="CK978" s="1136"/>
      <c r="CL978" s="1136"/>
      <c r="CM978" s="1136"/>
      <c r="CN978" s="1136"/>
      <c r="CO978" s="1136"/>
      <c r="CP978" s="1136"/>
      <c r="CQ978" s="1136"/>
      <c r="CR978" s="1136"/>
      <c r="CS978" s="1136"/>
      <c r="CT978" s="1136"/>
      <c r="CU978" s="1136"/>
      <c r="CV978" s="1136"/>
      <c r="CW978" s="1136"/>
      <c r="CX978" s="1136"/>
      <c r="CY978" s="1136"/>
      <c r="CZ978" s="1136"/>
      <c r="DA978" s="1136"/>
      <c r="DB978" s="1136"/>
      <c r="DC978" s="1136"/>
      <c r="DD978" s="1136"/>
      <c r="DE978" s="1136"/>
      <c r="DF978" s="1136"/>
      <c r="DG978" s="1136"/>
      <c r="DH978" s="1136"/>
      <c r="DI978" s="1136"/>
    </row>
    <row r="979" spans="1:113" ht="15.75" x14ac:dyDescent="0.25">
      <c r="A979" s="1466" t="s">
        <v>831</v>
      </c>
      <c r="B979" s="1459">
        <f>IF(B298=2,B978,0)</f>
        <v>0</v>
      </c>
      <c r="C979" s="1454"/>
      <c r="D979" s="1429"/>
      <c r="E979" s="1429"/>
      <c r="F979" s="1429"/>
      <c r="G979" s="1429"/>
      <c r="H979" s="1531"/>
      <c r="I979" s="1531"/>
      <c r="J979" s="1531"/>
      <c r="K979" s="1531"/>
      <c r="L979" s="1136"/>
      <c r="M979" s="1136"/>
      <c r="N979" s="1136"/>
      <c r="O979" s="1136"/>
      <c r="P979" s="1136"/>
      <c r="Q979" s="1136"/>
      <c r="R979" s="1136"/>
      <c r="S979" s="1136"/>
      <c r="T979" s="1531"/>
      <c r="U979" s="1531"/>
      <c r="V979" s="1531"/>
      <c r="W979" s="1531"/>
      <c r="X979" s="1531"/>
      <c r="Y979" s="1531"/>
      <c r="Z979" s="1531"/>
      <c r="AA979" s="1531"/>
      <c r="AB979" s="1531"/>
      <c r="AC979" s="1531"/>
      <c r="AD979" s="1531"/>
      <c r="AE979" s="1531"/>
      <c r="AF979" s="1531"/>
      <c r="AG979" s="1531"/>
      <c r="AH979" s="1531"/>
      <c r="AI979" s="1531"/>
      <c r="AJ979" s="1531"/>
      <c r="AK979" s="1531"/>
      <c r="AL979" s="1531"/>
      <c r="AM979" s="1531"/>
      <c r="AN979" s="1531"/>
      <c r="AO979" s="1531"/>
      <c r="AP979" s="1531"/>
      <c r="AQ979" s="1531"/>
      <c r="AR979" s="1531"/>
      <c r="AS979" s="1531"/>
      <c r="AT979" s="1136"/>
      <c r="AU979" s="1136"/>
      <c r="AV979" s="1136"/>
      <c r="AW979" s="1136"/>
      <c r="AX979" s="1136"/>
      <c r="AY979" s="1136"/>
      <c r="AZ979" s="1136"/>
      <c r="BA979" s="1136"/>
      <c r="BB979" s="1136"/>
      <c r="BC979" s="1136"/>
      <c r="BD979" s="1136"/>
      <c r="BE979" s="1136"/>
      <c r="BF979" s="1136"/>
      <c r="BG979" s="1136"/>
      <c r="BH979" s="1136"/>
      <c r="BI979" s="1136"/>
      <c r="BJ979" s="1136"/>
      <c r="BK979" s="1136"/>
      <c r="BL979" s="1136"/>
      <c r="BM979" s="1136"/>
      <c r="BN979" s="1136"/>
      <c r="BO979" s="1136"/>
      <c r="BP979" s="1136"/>
      <c r="BQ979" s="1136"/>
      <c r="BR979" s="1136"/>
      <c r="BS979" s="1136"/>
      <c r="BT979" s="1136"/>
      <c r="BU979" s="1136"/>
      <c r="BV979" s="1136"/>
      <c r="BW979" s="1136"/>
      <c r="BX979" s="1136"/>
      <c r="BY979" s="1136"/>
      <c r="BZ979" s="1136"/>
      <c r="CA979" s="1136"/>
      <c r="CB979" s="1136"/>
      <c r="CC979" s="1136"/>
      <c r="CD979" s="1136"/>
      <c r="CE979" s="1136"/>
      <c r="CF979" s="1136"/>
      <c r="CG979" s="1136"/>
      <c r="CH979" s="1136"/>
      <c r="CI979" s="1136"/>
      <c r="CJ979" s="1136"/>
      <c r="CK979" s="1136"/>
      <c r="CL979" s="1136"/>
      <c r="CM979" s="1136"/>
      <c r="CN979" s="1136"/>
      <c r="CO979" s="1136"/>
      <c r="CP979" s="1136"/>
      <c r="CQ979" s="1136"/>
      <c r="CR979" s="1136"/>
      <c r="CS979" s="1136"/>
      <c r="CT979" s="1136"/>
      <c r="CU979" s="1136"/>
      <c r="CV979" s="1136"/>
      <c r="CW979" s="1136"/>
      <c r="CX979" s="1136"/>
      <c r="CY979" s="1136"/>
      <c r="CZ979" s="1136"/>
      <c r="DA979" s="1136"/>
      <c r="DB979" s="1136"/>
      <c r="DC979" s="1136"/>
      <c r="DD979" s="1136"/>
      <c r="DE979" s="1136"/>
      <c r="DF979" s="1136"/>
      <c r="DG979" s="1136"/>
      <c r="DH979" s="1136"/>
      <c r="DI979" s="1136"/>
    </row>
    <row r="980" spans="1:113" ht="15.75" x14ac:dyDescent="0.25">
      <c r="A980" s="1430"/>
      <c r="B980" s="1428"/>
      <c r="C980" s="1432"/>
      <c r="D980" s="1434"/>
      <c r="E980" s="1434"/>
      <c r="F980" s="1434"/>
      <c r="G980" s="1434"/>
      <c r="H980" s="1531"/>
      <c r="I980" s="1531"/>
      <c r="J980" s="1551"/>
      <c r="K980" s="1531"/>
      <c r="L980" s="1531"/>
      <c r="M980" s="1531"/>
      <c r="N980" s="1531"/>
      <c r="O980" s="1531"/>
      <c r="P980" s="1531"/>
      <c r="Q980" s="1531"/>
      <c r="R980" s="1531"/>
      <c r="S980" s="1531"/>
      <c r="T980" s="1531"/>
      <c r="U980" s="1531"/>
      <c r="V980" s="1531"/>
      <c r="W980" s="1531"/>
      <c r="X980" s="1531"/>
      <c r="Y980" s="1531"/>
      <c r="Z980" s="1531"/>
      <c r="AA980" s="1531"/>
      <c r="AB980" s="1531"/>
      <c r="AC980" s="1531"/>
      <c r="AD980" s="1531"/>
      <c r="AE980" s="1531"/>
      <c r="AF980" s="1531"/>
      <c r="AG980" s="1531"/>
      <c r="AH980" s="1531"/>
      <c r="AI980" s="1531"/>
      <c r="AJ980" s="1531"/>
      <c r="AK980" s="1531"/>
      <c r="AL980" s="1531"/>
      <c r="AM980" s="1531"/>
      <c r="AN980" s="1531"/>
      <c r="AO980" s="1531"/>
      <c r="AP980" s="1531"/>
      <c r="AQ980" s="1531"/>
      <c r="AR980" s="1531"/>
      <c r="AS980" s="1531"/>
      <c r="AT980" s="1136"/>
      <c r="AU980" s="1136"/>
      <c r="AV980" s="1136"/>
      <c r="AW980" s="1136"/>
      <c r="AX980" s="1136"/>
      <c r="AY980" s="1136"/>
      <c r="AZ980" s="1136"/>
      <c r="BA980" s="1136"/>
      <c r="BB980" s="1136"/>
      <c r="BC980" s="1136"/>
      <c r="BD980" s="1136"/>
      <c r="BE980" s="1136"/>
      <c r="BF980" s="1136"/>
      <c r="BG980" s="1136"/>
      <c r="BH980" s="1136"/>
      <c r="BI980" s="1136"/>
      <c r="BJ980" s="1136"/>
      <c r="BK980" s="1136"/>
      <c r="BL980" s="1136"/>
      <c r="BM980" s="1136"/>
      <c r="BN980" s="1136"/>
      <c r="BO980" s="1136"/>
      <c r="BP980" s="1136"/>
      <c r="BQ980" s="1136"/>
      <c r="BR980" s="1136"/>
      <c r="BS980" s="1136"/>
      <c r="BT980" s="1136"/>
      <c r="BU980" s="1136"/>
      <c r="BV980" s="1136"/>
      <c r="BW980" s="1136"/>
      <c r="BX980" s="1136"/>
      <c r="BY980" s="1136"/>
      <c r="BZ980" s="1136"/>
      <c r="CA980" s="1136"/>
      <c r="CB980" s="1136"/>
      <c r="CC980" s="1136"/>
      <c r="CD980" s="1136"/>
      <c r="CE980" s="1136"/>
      <c r="CF980" s="1136"/>
      <c r="CG980" s="1136"/>
      <c r="CH980" s="1136"/>
      <c r="CI980" s="1136"/>
      <c r="CJ980" s="1136"/>
      <c r="CK980" s="1136"/>
      <c r="CL980" s="1136"/>
      <c r="CM980" s="1136"/>
      <c r="CN980" s="1136"/>
      <c r="CO980" s="1136"/>
      <c r="CP980" s="1136"/>
      <c r="CQ980" s="1136"/>
      <c r="CR980" s="1136"/>
      <c r="CS980" s="1136"/>
      <c r="CT980" s="1136"/>
      <c r="CU980" s="1136"/>
      <c r="CV980" s="1136"/>
      <c r="CW980" s="1136"/>
      <c r="CX980" s="1136"/>
      <c r="CY980" s="1136"/>
      <c r="CZ980" s="1136"/>
      <c r="DA980" s="1136"/>
      <c r="DB980" s="1136"/>
      <c r="DC980" s="1136"/>
      <c r="DD980" s="1136"/>
      <c r="DE980" s="1136"/>
      <c r="DF980" s="1136"/>
      <c r="DG980" s="1136"/>
      <c r="DH980" s="1136"/>
      <c r="DI980" s="1136"/>
    </row>
    <row r="981" spans="1:113" ht="15.75" x14ac:dyDescent="0.25">
      <c r="A981" s="1461" t="s">
        <v>4352</v>
      </c>
      <c r="B981" s="1428"/>
      <c r="C981" s="1432"/>
      <c r="D981" s="1429"/>
      <c r="E981" s="1429"/>
      <c r="F981" s="1429"/>
      <c r="G981" s="1429"/>
      <c r="H981" s="1531"/>
      <c r="I981" s="1531"/>
      <c r="J981" s="1531"/>
      <c r="K981" s="1531"/>
      <c r="L981" s="1531"/>
      <c r="M981" s="1531"/>
      <c r="N981" s="1531"/>
      <c r="O981" s="1531"/>
      <c r="P981" s="1531"/>
      <c r="Q981" s="1531"/>
      <c r="R981" s="1531"/>
      <c r="S981" s="1531"/>
      <c r="T981" s="1531"/>
      <c r="U981" s="1531"/>
      <c r="V981" s="1531"/>
      <c r="W981" s="1531"/>
      <c r="X981" s="1531"/>
      <c r="Y981" s="1531"/>
      <c r="Z981" s="1531"/>
      <c r="AA981" s="1531"/>
      <c r="AB981" s="1531"/>
      <c r="AC981" s="1531"/>
      <c r="AD981" s="1531"/>
      <c r="AE981" s="1531"/>
      <c r="AF981" s="1531"/>
      <c r="AG981" s="1531"/>
      <c r="AH981" s="1531"/>
      <c r="AI981" s="1531"/>
      <c r="AJ981" s="1531"/>
      <c r="AK981" s="1531"/>
      <c r="AL981" s="1531"/>
      <c r="AM981" s="1531"/>
      <c r="AN981" s="1531"/>
      <c r="AO981" s="1531"/>
      <c r="AP981" s="1531"/>
      <c r="AQ981" s="1531"/>
      <c r="AR981" s="1531"/>
      <c r="AS981" s="1531"/>
      <c r="AT981" s="1136"/>
      <c r="AU981" s="1136"/>
      <c r="AV981" s="1136"/>
      <c r="AW981" s="1136"/>
      <c r="AX981" s="1136"/>
      <c r="AY981" s="1136"/>
      <c r="AZ981" s="1136"/>
      <c r="BA981" s="1136"/>
      <c r="BB981" s="1136"/>
      <c r="BC981" s="1136"/>
      <c r="BD981" s="1136"/>
      <c r="BE981" s="1136"/>
      <c r="BF981" s="1136"/>
      <c r="BG981" s="1136"/>
      <c r="BH981" s="1136"/>
      <c r="BI981" s="1136"/>
      <c r="BJ981" s="1136"/>
      <c r="BK981" s="1136"/>
      <c r="BL981" s="1136"/>
      <c r="BM981" s="1136"/>
      <c r="BN981" s="1136"/>
      <c r="BO981" s="1136"/>
      <c r="BP981" s="1136"/>
      <c r="BQ981" s="1136"/>
      <c r="BR981" s="1136"/>
      <c r="BS981" s="1136"/>
      <c r="BT981" s="1136"/>
      <c r="BU981" s="1136"/>
      <c r="BV981" s="1136"/>
      <c r="BW981" s="1136"/>
      <c r="BX981" s="1136"/>
      <c r="BY981" s="1136"/>
      <c r="BZ981" s="1136"/>
      <c r="CA981" s="1136"/>
      <c r="CB981" s="1136"/>
      <c r="CC981" s="1136"/>
      <c r="CD981" s="1136"/>
      <c r="CE981" s="1136"/>
      <c r="CF981" s="1136"/>
      <c r="CG981" s="1136"/>
      <c r="CH981" s="1136"/>
      <c r="CI981" s="1136"/>
      <c r="CJ981" s="1136"/>
      <c r="CK981" s="1136"/>
      <c r="CL981" s="1136"/>
      <c r="CM981" s="1136"/>
      <c r="CN981" s="1136"/>
      <c r="CO981" s="1136"/>
      <c r="CP981" s="1136"/>
      <c r="CQ981" s="1136"/>
      <c r="CR981" s="1136"/>
      <c r="CS981" s="1136"/>
      <c r="CT981" s="1136"/>
      <c r="CU981" s="1136"/>
      <c r="CV981" s="1136"/>
      <c r="CW981" s="1136"/>
      <c r="CX981" s="1136"/>
      <c r="CY981" s="1136"/>
      <c r="CZ981" s="1136"/>
      <c r="DA981" s="1136"/>
      <c r="DB981" s="1136"/>
      <c r="DC981" s="1136"/>
      <c r="DD981" s="1136"/>
      <c r="DE981" s="1136"/>
      <c r="DF981" s="1136"/>
      <c r="DG981" s="1136"/>
      <c r="DH981" s="1136"/>
      <c r="DI981" s="1136"/>
    </row>
    <row r="982" spans="1:113" ht="15.75" x14ac:dyDescent="0.25">
      <c r="A982" s="1430" t="s">
        <v>2995</v>
      </c>
      <c r="B982" s="1428" t="e">
        <f>B286*B291*B289*B290*B293</f>
        <v>#VALUE!</v>
      </c>
      <c r="C982" s="1432"/>
      <c r="D982" s="1434"/>
      <c r="E982" s="1434"/>
      <c r="F982" s="1434"/>
      <c r="G982" s="1434"/>
      <c r="H982" s="1531"/>
      <c r="I982" s="1531"/>
      <c r="J982" s="1531"/>
      <c r="K982" s="1531"/>
      <c r="L982" s="1531"/>
      <c r="M982" s="1531"/>
      <c r="N982" s="1531"/>
      <c r="O982" s="1531"/>
      <c r="P982" s="1531"/>
      <c r="Q982" s="1531"/>
      <c r="R982" s="1531"/>
      <c r="S982" s="1531"/>
      <c r="T982" s="1531"/>
      <c r="U982" s="1531"/>
      <c r="V982" s="1531"/>
      <c r="W982" s="1531"/>
      <c r="X982" s="1531"/>
      <c r="Y982" s="1531"/>
      <c r="Z982" s="1531"/>
      <c r="AA982" s="1531"/>
      <c r="AB982" s="1531"/>
      <c r="AC982" s="1531"/>
      <c r="AD982" s="1531"/>
      <c r="AE982" s="1531"/>
      <c r="AF982" s="1531"/>
      <c r="AG982" s="1531"/>
      <c r="AH982" s="1531"/>
      <c r="AI982" s="1531"/>
      <c r="AJ982" s="1531"/>
      <c r="AK982" s="1531"/>
      <c r="AL982" s="1531"/>
      <c r="AM982" s="1531"/>
      <c r="AN982" s="1531"/>
      <c r="AO982" s="1531"/>
      <c r="AP982" s="1531"/>
      <c r="AQ982" s="1531"/>
      <c r="AR982" s="1531"/>
      <c r="AS982" s="1531"/>
      <c r="AT982" s="1136"/>
      <c r="AU982" s="1136"/>
      <c r="AV982" s="1136"/>
      <c r="AW982" s="1136"/>
      <c r="AX982" s="1136"/>
      <c r="AY982" s="1136"/>
      <c r="AZ982" s="1136"/>
      <c r="BA982" s="1136"/>
      <c r="BB982" s="1136"/>
      <c r="BC982" s="1136"/>
      <c r="BD982" s="1136"/>
      <c r="BE982" s="1136"/>
      <c r="BF982" s="1136"/>
      <c r="BG982" s="1136"/>
      <c r="BH982" s="1136"/>
      <c r="BI982" s="1136"/>
      <c r="BJ982" s="1136"/>
      <c r="BK982" s="1136"/>
      <c r="BL982" s="1136"/>
      <c r="BM982" s="1136"/>
      <c r="BN982" s="1136"/>
      <c r="BO982" s="1136"/>
      <c r="BP982" s="1136"/>
      <c r="BQ982" s="1136"/>
      <c r="BR982" s="1136"/>
      <c r="BS982" s="1136"/>
      <c r="BT982" s="1136"/>
      <c r="BU982" s="1136"/>
      <c r="BV982" s="1136"/>
      <c r="BW982" s="1136"/>
      <c r="BX982" s="1136"/>
      <c r="BY982" s="1136"/>
      <c r="BZ982" s="1136"/>
      <c r="CA982" s="1136"/>
      <c r="CB982" s="1136"/>
      <c r="CC982" s="1136"/>
      <c r="CD982" s="1136"/>
      <c r="CE982" s="1136"/>
      <c r="CF982" s="1136"/>
      <c r="CG982" s="1136"/>
      <c r="CH982" s="1136"/>
      <c r="CI982" s="1136"/>
      <c r="CJ982" s="1136"/>
      <c r="CK982" s="1136"/>
      <c r="CL982" s="1136"/>
      <c r="CM982" s="1136"/>
      <c r="CN982" s="1136"/>
      <c r="CO982" s="1136"/>
      <c r="CP982" s="1136"/>
      <c r="CQ982" s="1136"/>
      <c r="CR982" s="1136"/>
      <c r="CS982" s="1136"/>
      <c r="CT982" s="1136"/>
      <c r="CU982" s="1136"/>
      <c r="CV982" s="1136"/>
      <c r="CW982" s="1136"/>
      <c r="CX982" s="1136"/>
      <c r="CY982" s="1136"/>
      <c r="CZ982" s="1136"/>
      <c r="DA982" s="1136"/>
      <c r="DB982" s="1136"/>
      <c r="DC982" s="1136"/>
      <c r="DD982" s="1136"/>
      <c r="DE982" s="1136"/>
      <c r="DF982" s="1136"/>
      <c r="DG982" s="1136"/>
      <c r="DH982" s="1136"/>
      <c r="DI982" s="1136"/>
    </row>
    <row r="983" spans="1:113" ht="15.75" x14ac:dyDescent="0.25">
      <c r="A983" s="1430" t="s">
        <v>4353</v>
      </c>
      <c r="B983" s="1423">
        <f>IF(B286&lt;0.61,9.05,IF(B286&lt;0.71,9.93,IF(B286&lt;0.81,10.8,IF(B286&lt;0.91,11.4,IF(B286&lt;1.01,12,IF(B286&lt;1.11,12.5,IF(B286&lt;1.26,13.2,B984)))))))</f>
        <v>16.5</v>
      </c>
      <c r="C983" s="1429"/>
      <c r="D983" s="1437"/>
      <c r="E983" s="1437"/>
      <c r="F983" s="1437"/>
      <c r="G983" s="1437"/>
      <c r="H983" s="1531"/>
      <c r="I983" s="1531"/>
      <c r="J983" s="1531"/>
      <c r="K983" s="1531"/>
      <c r="L983" s="1531"/>
      <c r="M983" s="1531"/>
      <c r="N983" s="1531"/>
      <c r="O983" s="1531"/>
      <c r="P983" s="1531"/>
      <c r="Q983" s="1531"/>
      <c r="R983" s="1531"/>
      <c r="S983" s="1531"/>
      <c r="T983" s="1531"/>
      <c r="U983" s="1531"/>
      <c r="V983" s="1531"/>
      <c r="W983" s="1531"/>
      <c r="X983" s="1531"/>
      <c r="Y983" s="1531"/>
      <c r="Z983" s="1531"/>
      <c r="AA983" s="1531"/>
      <c r="AB983" s="1531"/>
      <c r="AC983" s="1531"/>
      <c r="AD983" s="1531"/>
      <c r="AE983" s="1531"/>
      <c r="AF983" s="1531"/>
      <c r="AG983" s="1531"/>
      <c r="AH983" s="1531"/>
      <c r="AI983" s="1531"/>
      <c r="AJ983" s="1531"/>
      <c r="AK983" s="1531"/>
      <c r="AL983" s="1531"/>
      <c r="AM983" s="1531"/>
      <c r="AN983" s="1531"/>
      <c r="AO983" s="1531"/>
      <c r="AP983" s="1531"/>
      <c r="AQ983" s="1531"/>
      <c r="AR983" s="1531"/>
      <c r="AS983" s="1531"/>
      <c r="AT983" s="1136"/>
      <c r="AU983" s="1136"/>
      <c r="AV983" s="1136"/>
      <c r="AW983" s="1136"/>
      <c r="AX983" s="1136"/>
      <c r="AY983" s="1136"/>
      <c r="AZ983" s="1136"/>
      <c r="BA983" s="1136"/>
      <c r="BB983" s="1136"/>
      <c r="BC983" s="1136"/>
      <c r="BD983" s="1136"/>
      <c r="BE983" s="1136"/>
      <c r="BF983" s="1136"/>
      <c r="BG983" s="1136"/>
      <c r="BH983" s="1136"/>
      <c r="BI983" s="1136"/>
      <c r="BJ983" s="1136"/>
      <c r="BK983" s="1136"/>
      <c r="BL983" s="1136"/>
      <c r="BM983" s="1136"/>
      <c r="BN983" s="1136"/>
      <c r="BO983" s="1136"/>
      <c r="BP983" s="1136"/>
      <c r="BQ983" s="1136"/>
      <c r="BR983" s="1136"/>
      <c r="BS983" s="1136"/>
      <c r="BT983" s="1136"/>
      <c r="BU983" s="1136"/>
      <c r="BV983" s="1136"/>
      <c r="BW983" s="1136"/>
      <c r="BX983" s="1136"/>
      <c r="BY983" s="1136"/>
      <c r="BZ983" s="1136"/>
      <c r="CA983" s="1136"/>
      <c r="CB983" s="1136"/>
      <c r="CC983" s="1136"/>
      <c r="CD983" s="1136"/>
      <c r="CE983" s="1136"/>
      <c r="CF983" s="1136"/>
      <c r="CG983" s="1136"/>
      <c r="CH983" s="1136"/>
      <c r="CI983" s="1136"/>
      <c r="CJ983" s="1136"/>
      <c r="CK983" s="1136"/>
      <c r="CL983" s="1136"/>
      <c r="CM983" s="1136"/>
      <c r="CN983" s="1136"/>
      <c r="CO983" s="1136"/>
      <c r="CP983" s="1136"/>
      <c r="CQ983" s="1136"/>
      <c r="CR983" s="1136"/>
      <c r="CS983" s="1136"/>
      <c r="CT983" s="1136"/>
      <c r="CU983" s="1136"/>
      <c r="CV983" s="1136"/>
      <c r="CW983" s="1136"/>
      <c r="CX983" s="1136"/>
      <c r="CY983" s="1136"/>
      <c r="CZ983" s="1136"/>
      <c r="DA983" s="1136"/>
      <c r="DB983" s="1136"/>
      <c r="DC983" s="1136"/>
      <c r="DD983" s="1136"/>
      <c r="DE983" s="1136"/>
      <c r="DF983" s="1136"/>
      <c r="DG983" s="1136"/>
      <c r="DH983" s="1136"/>
      <c r="DI983" s="1136"/>
    </row>
    <row r="984" spans="1:113" ht="15.75" x14ac:dyDescent="0.25">
      <c r="A984" s="1430" t="s">
        <v>4354</v>
      </c>
      <c r="B984" s="1423">
        <f>IF(B286&lt;1.41,13.8,IF(B286&lt;1.81,14.7,16.5))</f>
        <v>16.5</v>
      </c>
      <c r="C984" s="1429"/>
      <c r="D984" s="1437"/>
      <c r="E984" s="1437"/>
      <c r="F984" s="1437"/>
      <c r="G984" s="1437"/>
      <c r="H984" s="1531"/>
      <c r="I984" s="1531"/>
      <c r="J984" s="1531"/>
      <c r="K984" s="1531"/>
      <c r="L984" s="1531"/>
      <c r="M984" s="1531"/>
      <c r="N984" s="1531"/>
      <c r="O984" s="1531"/>
      <c r="P984" s="1531"/>
      <c r="Q984" s="1531"/>
      <c r="R984" s="1531"/>
      <c r="S984" s="1531"/>
      <c r="T984" s="1531"/>
      <c r="U984" s="1531"/>
      <c r="V984" s="1531"/>
      <c r="W984" s="1531"/>
      <c r="X984" s="1531"/>
      <c r="Y984" s="1531"/>
      <c r="Z984" s="1531"/>
      <c r="AA984" s="1531"/>
      <c r="AB984" s="1531"/>
      <c r="AC984" s="1531"/>
      <c r="AD984" s="1531"/>
      <c r="AE984" s="1531"/>
      <c r="AF984" s="1531"/>
      <c r="AG984" s="1531"/>
      <c r="AH984" s="1531"/>
      <c r="AI984" s="1531"/>
      <c r="AJ984" s="1531"/>
      <c r="AK984" s="1531"/>
      <c r="AL984" s="1531"/>
      <c r="AM984" s="1531"/>
      <c r="AN984" s="1531"/>
      <c r="AO984" s="1531"/>
      <c r="AP984" s="1531"/>
      <c r="AQ984" s="1531"/>
      <c r="AR984" s="1531"/>
      <c r="AS984" s="1531"/>
      <c r="AT984" s="1136"/>
      <c r="AU984" s="1136"/>
      <c r="AV984" s="1136"/>
      <c r="AW984" s="1136"/>
      <c r="AX984" s="1136"/>
      <c r="AY984" s="1136"/>
      <c r="AZ984" s="1136"/>
      <c r="BA984" s="1136"/>
      <c r="BB984" s="1136"/>
      <c r="BC984" s="1136"/>
      <c r="BD984" s="1136"/>
      <c r="BE984" s="1136"/>
      <c r="BF984" s="1136"/>
      <c r="BG984" s="1136"/>
      <c r="BH984" s="1136"/>
      <c r="BI984" s="1136"/>
      <c r="BJ984" s="1136"/>
      <c r="BK984" s="1136"/>
      <c r="BL984" s="1136"/>
      <c r="BM984" s="1136"/>
      <c r="BN984" s="1136"/>
      <c r="BO984" s="1136"/>
      <c r="BP984" s="1136"/>
      <c r="BQ984" s="1136"/>
      <c r="BR984" s="1136"/>
      <c r="BS984" s="1136"/>
      <c r="BT984" s="1136"/>
      <c r="BU984" s="1136"/>
      <c r="BV984" s="1136"/>
      <c r="BW984" s="1136"/>
      <c r="BX984" s="1136"/>
      <c r="BY984" s="1136"/>
      <c r="BZ984" s="1136"/>
      <c r="CA984" s="1136"/>
      <c r="CB984" s="1136"/>
      <c r="CC984" s="1136"/>
      <c r="CD984" s="1136"/>
      <c r="CE984" s="1136"/>
      <c r="CF984" s="1136"/>
      <c r="CG984" s="1136"/>
      <c r="CH984" s="1136"/>
      <c r="CI984" s="1136"/>
      <c r="CJ984" s="1136"/>
      <c r="CK984" s="1136"/>
      <c r="CL984" s="1136"/>
      <c r="CM984" s="1136"/>
      <c r="CN984" s="1136"/>
      <c r="CO984" s="1136"/>
      <c r="CP984" s="1136"/>
      <c r="CQ984" s="1136"/>
      <c r="CR984" s="1136"/>
      <c r="CS984" s="1136"/>
      <c r="CT984" s="1136"/>
      <c r="CU984" s="1136"/>
      <c r="CV984" s="1136"/>
      <c r="CW984" s="1136"/>
      <c r="CX984" s="1136"/>
      <c r="CY984" s="1136"/>
      <c r="CZ984" s="1136"/>
      <c r="DA984" s="1136"/>
      <c r="DB984" s="1136"/>
      <c r="DC984" s="1136"/>
      <c r="DD984" s="1136"/>
      <c r="DE984" s="1136"/>
      <c r="DF984" s="1136"/>
      <c r="DG984" s="1136"/>
      <c r="DH984" s="1136"/>
      <c r="DI984" s="1136"/>
    </row>
    <row r="985" spans="1:113" ht="15.75" x14ac:dyDescent="0.25">
      <c r="A985" s="1430" t="s">
        <v>1322</v>
      </c>
      <c r="B985" s="1423"/>
      <c r="C985" s="1429"/>
      <c r="D985" s="1432"/>
      <c r="E985" s="1432"/>
      <c r="F985" s="1432"/>
      <c r="G985" s="1432"/>
      <c r="H985" s="1531"/>
      <c r="I985" s="1531"/>
      <c r="J985" s="1531"/>
      <c r="K985" s="1531"/>
      <c r="L985" s="1531"/>
      <c r="M985" s="1531"/>
      <c r="N985" s="1531"/>
      <c r="O985" s="1531"/>
      <c r="P985" s="1531"/>
      <c r="Q985" s="1531"/>
      <c r="R985" s="1531"/>
      <c r="S985" s="1531"/>
      <c r="T985" s="1531"/>
      <c r="U985" s="1531"/>
      <c r="V985" s="1531"/>
      <c r="W985" s="1531"/>
      <c r="X985" s="1531"/>
      <c r="Y985" s="1531"/>
      <c r="Z985" s="1531"/>
      <c r="AA985" s="1531"/>
      <c r="AB985" s="1531"/>
      <c r="AC985" s="1531"/>
      <c r="AD985" s="1531"/>
      <c r="AE985" s="1531"/>
      <c r="AF985" s="1531"/>
      <c r="AG985" s="1531"/>
      <c r="AH985" s="1531"/>
      <c r="AI985" s="1531"/>
      <c r="AJ985" s="1531"/>
      <c r="AK985" s="1531"/>
      <c r="AL985" s="1531"/>
      <c r="AM985" s="1531"/>
      <c r="AN985" s="1531"/>
      <c r="AO985" s="1531"/>
      <c r="AP985" s="1531"/>
      <c r="AQ985" s="1531"/>
      <c r="AR985" s="1531"/>
      <c r="AS985" s="1531"/>
      <c r="AT985" s="1136"/>
      <c r="AU985" s="1136"/>
      <c r="AV985" s="1136"/>
      <c r="AW985" s="1136"/>
      <c r="AX985" s="1136"/>
      <c r="AY985" s="1136"/>
      <c r="AZ985" s="1136"/>
      <c r="BA985" s="1136"/>
      <c r="BB985" s="1136"/>
      <c r="BC985" s="1136"/>
      <c r="BD985" s="1136"/>
      <c r="BE985" s="1136"/>
      <c r="BF985" s="1136"/>
      <c r="BG985" s="1136"/>
      <c r="BH985" s="1136"/>
      <c r="BI985" s="1136"/>
      <c r="BJ985" s="1136"/>
      <c r="BK985" s="1136"/>
      <c r="BL985" s="1136"/>
      <c r="BM985" s="1136"/>
      <c r="BN985" s="1136"/>
      <c r="BO985" s="1136"/>
      <c r="BP985" s="1136"/>
      <c r="BQ985" s="1136"/>
      <c r="BR985" s="1136"/>
      <c r="BS985" s="1136"/>
      <c r="BT985" s="1136"/>
      <c r="BU985" s="1136"/>
      <c r="BV985" s="1136"/>
      <c r="BW985" s="1136"/>
      <c r="BX985" s="1136"/>
      <c r="BY985" s="1136"/>
      <c r="BZ985" s="1136"/>
      <c r="CA985" s="1136"/>
      <c r="CB985" s="1136"/>
      <c r="CC985" s="1136"/>
      <c r="CD985" s="1136"/>
      <c r="CE985" s="1136"/>
      <c r="CF985" s="1136"/>
      <c r="CG985" s="1136"/>
      <c r="CH985" s="1136"/>
      <c r="CI985" s="1136"/>
      <c r="CJ985" s="1136"/>
      <c r="CK985" s="1136"/>
      <c r="CL985" s="1136"/>
      <c r="CM985" s="1136"/>
      <c r="CN985" s="1136"/>
      <c r="CO985" s="1136"/>
      <c r="CP985" s="1136"/>
      <c r="CQ985" s="1136"/>
      <c r="CR985" s="1136"/>
      <c r="CS985" s="1136"/>
      <c r="CT985" s="1136"/>
      <c r="CU985" s="1136"/>
      <c r="CV985" s="1136"/>
      <c r="CW985" s="1136"/>
      <c r="CX985" s="1136"/>
      <c r="CY985" s="1136"/>
      <c r="CZ985" s="1136"/>
      <c r="DA985" s="1136"/>
      <c r="DB985" s="1136"/>
      <c r="DC985" s="1136"/>
      <c r="DD985" s="1136"/>
      <c r="DE985" s="1136"/>
      <c r="DF985" s="1136"/>
      <c r="DG985" s="1136"/>
      <c r="DH985" s="1136"/>
      <c r="DI985" s="1136"/>
    </row>
    <row r="986" spans="1:113" ht="15.75" x14ac:dyDescent="0.25">
      <c r="A986" s="1456" t="s">
        <v>4355</v>
      </c>
      <c r="B986" s="1423" t="e">
        <f>1.5*B289</f>
        <v>#REF!</v>
      </c>
      <c r="C986" s="1429"/>
      <c r="D986" s="1454"/>
      <c r="E986" s="1454"/>
      <c r="F986" s="1454"/>
      <c r="G986" s="1454"/>
      <c r="H986" s="1531"/>
      <c r="I986" s="1531"/>
      <c r="J986" s="1531"/>
      <c r="K986" s="1531"/>
      <c r="L986" s="1531"/>
      <c r="M986" s="1531"/>
      <c r="N986" s="1531"/>
      <c r="O986" s="1531"/>
      <c r="P986" s="1531"/>
      <c r="Q986" s="1531"/>
      <c r="R986" s="1531"/>
      <c r="S986" s="1531"/>
      <c r="T986" s="1531"/>
      <c r="U986" s="1531"/>
      <c r="V986" s="1531"/>
      <c r="W986" s="1531"/>
      <c r="X986" s="1531"/>
      <c r="Y986" s="1531"/>
      <c r="Z986" s="1531"/>
      <c r="AA986" s="1531"/>
      <c r="AB986" s="1531"/>
      <c r="AC986" s="1531"/>
      <c r="AD986" s="1531"/>
      <c r="AE986" s="1531"/>
      <c r="AF986" s="1531"/>
      <c r="AG986" s="1531"/>
      <c r="AH986" s="1531"/>
      <c r="AI986" s="1531"/>
      <c r="AJ986" s="1531"/>
      <c r="AK986" s="1531"/>
      <c r="AL986" s="1531"/>
      <c r="AM986" s="1531"/>
      <c r="AN986" s="1531"/>
      <c r="AO986" s="1531"/>
      <c r="AP986" s="1531"/>
      <c r="AQ986" s="1531"/>
      <c r="AR986" s="1531"/>
      <c r="AS986" s="1531"/>
      <c r="AT986" s="1136"/>
      <c r="AU986" s="1136"/>
      <c r="AV986" s="1136"/>
      <c r="AW986" s="1136"/>
      <c r="AX986" s="1136"/>
      <c r="AY986" s="1136"/>
      <c r="AZ986" s="1136"/>
      <c r="BA986" s="1136"/>
      <c r="BB986" s="1136"/>
      <c r="BC986" s="1136"/>
      <c r="BD986" s="1136"/>
      <c r="BE986" s="1136"/>
      <c r="BF986" s="1136"/>
      <c r="BG986" s="1136"/>
      <c r="BH986" s="1136"/>
      <c r="BI986" s="1136"/>
      <c r="BJ986" s="1136"/>
      <c r="BK986" s="1136"/>
      <c r="BL986" s="1136"/>
      <c r="BM986" s="1136"/>
      <c r="BN986" s="1136"/>
      <c r="BO986" s="1136"/>
      <c r="BP986" s="1136"/>
      <c r="BQ986" s="1136"/>
      <c r="BR986" s="1136"/>
      <c r="BS986" s="1136"/>
      <c r="BT986" s="1136"/>
      <c r="BU986" s="1136"/>
      <c r="BV986" s="1136"/>
      <c r="BW986" s="1136"/>
      <c r="BX986" s="1136"/>
      <c r="BY986" s="1136"/>
      <c r="BZ986" s="1136"/>
      <c r="CA986" s="1136"/>
      <c r="CB986" s="1136"/>
      <c r="CC986" s="1136"/>
      <c r="CD986" s="1136"/>
      <c r="CE986" s="1136"/>
      <c r="CF986" s="1136"/>
      <c r="CG986" s="1136"/>
      <c r="CH986" s="1136"/>
      <c r="CI986" s="1136"/>
      <c r="CJ986" s="1136"/>
      <c r="CK986" s="1136"/>
      <c r="CL986" s="1136"/>
      <c r="CM986" s="1136"/>
      <c r="CN986" s="1136"/>
      <c r="CO986" s="1136"/>
      <c r="CP986" s="1136"/>
      <c r="CQ986" s="1136"/>
      <c r="CR986" s="1136"/>
      <c r="CS986" s="1136"/>
      <c r="CT986" s="1136"/>
      <c r="CU986" s="1136"/>
      <c r="CV986" s="1136"/>
      <c r="CW986" s="1136"/>
      <c r="CX986" s="1136"/>
      <c r="CY986" s="1136"/>
      <c r="CZ986" s="1136"/>
      <c r="DA986" s="1136"/>
      <c r="DB986" s="1136"/>
      <c r="DC986" s="1136"/>
      <c r="DD986" s="1136"/>
      <c r="DE986" s="1136"/>
      <c r="DF986" s="1136"/>
      <c r="DG986" s="1136"/>
      <c r="DH986" s="1136"/>
      <c r="DI986" s="1136"/>
    </row>
    <row r="987" spans="1:113" ht="15.75" x14ac:dyDescent="0.25">
      <c r="A987" s="1430" t="s">
        <v>4356</v>
      </c>
      <c r="B987" s="1433" t="e">
        <f>IF(B986&lt;6.1,0.85,0.9)</f>
        <v>#REF!</v>
      </c>
      <c r="C987" s="1437"/>
      <c r="D987" s="1350"/>
      <c r="E987" s="1350"/>
      <c r="F987" s="1350"/>
      <c r="G987" s="1350"/>
      <c r="H987" s="1531"/>
      <c r="I987" s="1531"/>
      <c r="J987" s="1531"/>
      <c r="K987" s="1531"/>
      <c r="L987" s="1531"/>
      <c r="M987" s="1531"/>
      <c r="N987" s="1531"/>
      <c r="O987" s="1531"/>
      <c r="P987" s="1531"/>
      <c r="Q987" s="1531"/>
      <c r="R987" s="1531"/>
      <c r="S987" s="1531"/>
      <c r="T987" s="1531"/>
      <c r="U987" s="1531"/>
      <c r="V987" s="1531"/>
      <c r="W987" s="1531"/>
      <c r="X987" s="1531"/>
      <c r="Y987" s="1531"/>
      <c r="Z987" s="1531"/>
      <c r="AA987" s="1531"/>
      <c r="AB987" s="1531"/>
      <c r="AC987" s="1531"/>
      <c r="AD987" s="1531"/>
      <c r="AE987" s="1531"/>
      <c r="AF987" s="1531"/>
      <c r="AG987" s="1531"/>
      <c r="AH987" s="1531"/>
      <c r="AI987" s="1531"/>
      <c r="AJ987" s="1531"/>
      <c r="AK987" s="1531"/>
      <c r="AL987" s="1531"/>
      <c r="AM987" s="1531"/>
      <c r="AN987" s="1531"/>
      <c r="AO987" s="1531"/>
      <c r="AP987" s="1531"/>
      <c r="AQ987" s="1531"/>
      <c r="AR987" s="1531"/>
      <c r="AS987" s="1531"/>
      <c r="AT987" s="1136"/>
      <c r="AU987" s="1136"/>
      <c r="AV987" s="1136"/>
      <c r="AW987" s="1136"/>
      <c r="AX987" s="1136"/>
      <c r="AY987" s="1136"/>
      <c r="AZ987" s="1136"/>
      <c r="BA987" s="1136"/>
      <c r="BB987" s="1136"/>
      <c r="BC987" s="1136"/>
      <c r="BD987" s="1136"/>
      <c r="BE987" s="1136"/>
      <c r="BF987" s="1136"/>
      <c r="BG987" s="1136"/>
      <c r="BH987" s="1136"/>
      <c r="BI987" s="1136"/>
      <c r="BJ987" s="1136"/>
      <c r="BK987" s="1136"/>
      <c r="BL987" s="1136"/>
      <c r="BM987" s="1136"/>
      <c r="BN987" s="1136"/>
      <c r="BO987" s="1136"/>
      <c r="BP987" s="1136"/>
      <c r="BQ987" s="1136"/>
      <c r="BR987" s="1136"/>
      <c r="BS987" s="1136"/>
      <c r="BT987" s="1136"/>
      <c r="BU987" s="1136"/>
      <c r="BV987" s="1136"/>
      <c r="BW987" s="1136"/>
      <c r="BX987" s="1136"/>
      <c r="BY987" s="1136"/>
      <c r="BZ987" s="1136"/>
      <c r="CA987" s="1136"/>
      <c r="CB987" s="1136"/>
      <c r="CC987" s="1136"/>
      <c r="CD987" s="1136"/>
      <c r="CE987" s="1136"/>
      <c r="CF987" s="1136"/>
      <c r="CG987" s="1136"/>
      <c r="CH987" s="1136"/>
      <c r="CI987" s="1136"/>
      <c r="CJ987" s="1136"/>
      <c r="CK987" s="1136"/>
      <c r="CL987" s="1136"/>
      <c r="CM987" s="1136"/>
      <c r="CN987" s="1136"/>
      <c r="CO987" s="1136"/>
      <c r="CP987" s="1136"/>
      <c r="CQ987" s="1136"/>
      <c r="CR987" s="1136"/>
      <c r="CS987" s="1136"/>
      <c r="CT987" s="1136"/>
      <c r="CU987" s="1136"/>
      <c r="CV987" s="1136"/>
      <c r="CW987" s="1136"/>
      <c r="CX987" s="1136"/>
      <c r="CY987" s="1136"/>
      <c r="CZ987" s="1136"/>
      <c r="DA987" s="1136"/>
      <c r="DB987" s="1136"/>
      <c r="DC987" s="1136"/>
      <c r="DD987" s="1136"/>
      <c r="DE987" s="1136"/>
      <c r="DF987" s="1136"/>
      <c r="DG987" s="1136"/>
      <c r="DH987" s="1136"/>
      <c r="DI987" s="1136"/>
    </row>
    <row r="988" spans="1:113" ht="15.75" x14ac:dyDescent="0.25">
      <c r="A988" s="1430" t="s">
        <v>4357</v>
      </c>
      <c r="B988" s="1433" t="e">
        <f>B340</f>
        <v>#VALUE!</v>
      </c>
      <c r="C988" s="1437"/>
      <c r="D988" s="1350"/>
      <c r="E988" s="1350"/>
      <c r="F988" s="1350"/>
      <c r="G988" s="1350"/>
      <c r="H988" s="1531"/>
      <c r="I988" s="1531"/>
      <c r="J988" s="1531"/>
      <c r="K988" s="1531"/>
      <c r="L988" s="1531"/>
      <c r="M988" s="1531"/>
      <c r="N988" s="1531"/>
      <c r="O988" s="1531"/>
      <c r="P988" s="1531"/>
      <c r="Q988" s="1531"/>
      <c r="R988" s="1531"/>
      <c r="S988" s="1531"/>
      <c r="T988" s="1531"/>
      <c r="U988" s="1531"/>
      <c r="V988" s="1531"/>
      <c r="W988" s="1531"/>
      <c r="X988" s="1531"/>
      <c r="Y988" s="1531"/>
      <c r="Z988" s="1531"/>
      <c r="AA988" s="1531"/>
      <c r="AB988" s="1531"/>
      <c r="AC988" s="1531"/>
      <c r="AD988" s="1531"/>
      <c r="AE988" s="1531"/>
      <c r="AF988" s="1531"/>
      <c r="AG988" s="1531"/>
      <c r="AH988" s="1531"/>
      <c r="AI988" s="1531"/>
      <c r="AJ988" s="1531"/>
      <c r="AK988" s="1531"/>
      <c r="AL988" s="1531"/>
      <c r="AM988" s="1531"/>
      <c r="AN988" s="1531"/>
      <c r="AO988" s="1531"/>
      <c r="AP988" s="1531"/>
      <c r="AQ988" s="1531"/>
      <c r="AR988" s="1531"/>
      <c r="AS988" s="1531"/>
      <c r="AT988" s="1136"/>
      <c r="AU988" s="1136"/>
      <c r="AV988" s="1136"/>
      <c r="AW988" s="1136"/>
      <c r="AX988" s="1136"/>
      <c r="AY988" s="1136"/>
      <c r="AZ988" s="1136"/>
      <c r="BA988" s="1136"/>
      <c r="BB988" s="1136"/>
      <c r="BC988" s="1136"/>
      <c r="BD988" s="1136"/>
      <c r="BE988" s="1136"/>
      <c r="BF988" s="1136"/>
      <c r="BG988" s="1136"/>
      <c r="BH988" s="1136"/>
      <c r="BI988" s="1136"/>
      <c r="BJ988" s="1136"/>
      <c r="BK988" s="1136"/>
      <c r="BL988" s="1136"/>
      <c r="BM988" s="1136"/>
      <c r="BN988" s="1136"/>
      <c r="BO988" s="1136"/>
      <c r="BP988" s="1136"/>
      <c r="BQ988" s="1136"/>
      <c r="BR988" s="1136"/>
      <c r="BS988" s="1136"/>
      <c r="BT988" s="1136"/>
      <c r="BU988" s="1136"/>
      <c r="BV988" s="1136"/>
      <c r="BW988" s="1136"/>
      <c r="BX988" s="1136"/>
      <c r="BY988" s="1136"/>
      <c r="BZ988" s="1136"/>
      <c r="CA988" s="1136"/>
      <c r="CB988" s="1136"/>
      <c r="CC988" s="1136"/>
      <c r="CD988" s="1136"/>
      <c r="CE988" s="1136"/>
      <c r="CF988" s="1136"/>
      <c r="CG988" s="1136"/>
      <c r="CH988" s="1136"/>
      <c r="CI988" s="1136"/>
      <c r="CJ988" s="1136"/>
      <c r="CK988" s="1136"/>
      <c r="CL988" s="1136"/>
      <c r="CM988" s="1136"/>
      <c r="CN988" s="1136"/>
      <c r="CO988" s="1136"/>
      <c r="CP988" s="1136"/>
      <c r="CQ988" s="1136"/>
      <c r="CR988" s="1136"/>
      <c r="CS988" s="1136"/>
      <c r="CT988" s="1136"/>
      <c r="CU988" s="1136"/>
      <c r="CV988" s="1136"/>
      <c r="CW988" s="1136"/>
      <c r="CX988" s="1136"/>
      <c r="CY988" s="1136"/>
      <c r="CZ988" s="1136"/>
      <c r="DA988" s="1136"/>
      <c r="DB988" s="1136"/>
      <c r="DC988" s="1136"/>
      <c r="DD988" s="1136"/>
      <c r="DE988" s="1136"/>
      <c r="DF988" s="1136"/>
      <c r="DG988" s="1136"/>
      <c r="DH988" s="1136"/>
      <c r="DI988" s="1136"/>
    </row>
    <row r="989" spans="1:113" ht="15.75" x14ac:dyDescent="0.25">
      <c r="A989" s="1430" t="s">
        <v>4358</v>
      </c>
      <c r="B989" s="1479">
        <v>0.7</v>
      </c>
      <c r="C989" s="1458"/>
      <c r="D989" s="1432"/>
      <c r="E989" s="1432"/>
      <c r="F989" s="1432"/>
      <c r="G989" s="1432"/>
      <c r="H989" s="1531"/>
      <c r="I989" s="1531"/>
      <c r="J989" s="1531"/>
      <c r="K989" s="1531"/>
      <c r="L989" s="1531"/>
      <c r="M989" s="1531"/>
      <c r="N989" s="1531"/>
      <c r="O989" s="1531"/>
      <c r="P989" s="1531"/>
      <c r="Q989" s="1531"/>
      <c r="R989" s="1531"/>
      <c r="S989" s="1531"/>
      <c r="T989" s="1531"/>
      <c r="U989" s="1531"/>
      <c r="V989" s="1531"/>
      <c r="W989" s="1531"/>
      <c r="X989" s="1531"/>
      <c r="Y989" s="1531"/>
      <c r="Z989" s="1531"/>
      <c r="AA989" s="1531"/>
      <c r="AB989" s="1531"/>
      <c r="AC989" s="1531"/>
      <c r="AD989" s="1531"/>
      <c r="AE989" s="1531"/>
      <c r="AF989" s="1531"/>
      <c r="AG989" s="1531"/>
      <c r="AH989" s="1531"/>
      <c r="AI989" s="1531"/>
      <c r="AJ989" s="1531"/>
      <c r="AK989" s="1531"/>
      <c r="AL989" s="1531"/>
      <c r="AM989" s="1531"/>
      <c r="AN989" s="1531"/>
      <c r="AO989" s="1531"/>
      <c r="AP989" s="1531"/>
      <c r="AQ989" s="1531"/>
      <c r="AR989" s="1531"/>
      <c r="AS989" s="1531"/>
      <c r="AT989" s="1136"/>
      <c r="AU989" s="1136"/>
      <c r="AV989" s="1136"/>
      <c r="AW989" s="1136"/>
      <c r="AX989" s="1136"/>
      <c r="AY989" s="1136"/>
      <c r="AZ989" s="1136"/>
      <c r="BA989" s="1136"/>
      <c r="BB989" s="1136"/>
      <c r="BC989" s="1136"/>
      <c r="BD989" s="1136"/>
      <c r="BE989" s="1136"/>
      <c r="BF989" s="1136"/>
      <c r="BG989" s="1136"/>
      <c r="BH989" s="1136"/>
      <c r="BI989" s="1136"/>
      <c r="BJ989" s="1136"/>
      <c r="BK989" s="1136"/>
      <c r="BL989" s="1136"/>
      <c r="BM989" s="1136"/>
      <c r="BN989" s="1136"/>
      <c r="BO989" s="1136"/>
      <c r="BP989" s="1136"/>
      <c r="BQ989" s="1136"/>
      <c r="BR989" s="1136"/>
      <c r="BS989" s="1136"/>
      <c r="BT989" s="1136"/>
      <c r="BU989" s="1136"/>
      <c r="BV989" s="1136"/>
      <c r="BW989" s="1136"/>
      <c r="BX989" s="1136"/>
      <c r="BY989" s="1136"/>
      <c r="BZ989" s="1136"/>
      <c r="CA989" s="1136"/>
      <c r="CB989" s="1136"/>
      <c r="CC989" s="1136"/>
      <c r="CD989" s="1136"/>
      <c r="CE989" s="1136"/>
      <c r="CF989" s="1136"/>
      <c r="CG989" s="1136"/>
      <c r="CH989" s="1136"/>
      <c r="CI989" s="1136"/>
      <c r="CJ989" s="1136"/>
      <c r="CK989" s="1136"/>
      <c r="CL989" s="1136"/>
      <c r="CM989" s="1136"/>
      <c r="CN989" s="1136"/>
      <c r="CO989" s="1136"/>
      <c r="CP989" s="1136"/>
      <c r="CQ989" s="1136"/>
      <c r="CR989" s="1136"/>
      <c r="CS989" s="1136"/>
      <c r="CT989" s="1136"/>
      <c r="CU989" s="1136"/>
      <c r="CV989" s="1136"/>
      <c r="CW989" s="1136"/>
      <c r="CX989" s="1136"/>
      <c r="CY989" s="1136"/>
      <c r="CZ989" s="1136"/>
      <c r="DA989" s="1136"/>
      <c r="DB989" s="1136"/>
      <c r="DC989" s="1136"/>
      <c r="DD989" s="1136"/>
      <c r="DE989" s="1136"/>
      <c r="DF989" s="1136"/>
      <c r="DG989" s="1136"/>
      <c r="DH989" s="1136"/>
      <c r="DI989" s="1136"/>
    </row>
    <row r="990" spans="1:113" ht="31.5" x14ac:dyDescent="0.25">
      <c r="A990" s="1420" t="s">
        <v>4359</v>
      </c>
      <c r="B990" s="1431">
        <f>B536</f>
        <v>0</v>
      </c>
      <c r="C990" s="1434"/>
      <c r="D990" s="1429"/>
      <c r="E990" s="1429"/>
      <c r="F990" s="1429"/>
      <c r="G990" s="1429"/>
      <c r="H990" s="1531"/>
      <c r="I990" s="1531"/>
      <c r="J990" s="1531"/>
      <c r="K990" s="1531"/>
      <c r="L990" s="1531"/>
      <c r="M990" s="1531"/>
      <c r="N990" s="1531"/>
      <c r="O990" s="1531"/>
      <c r="P990" s="1531"/>
      <c r="Q990" s="1531"/>
      <c r="R990" s="1531"/>
      <c r="S990" s="1531"/>
      <c r="T990" s="1531"/>
      <c r="U990" s="1531"/>
      <c r="V990" s="1531"/>
      <c r="W990" s="1531"/>
      <c r="X990" s="1531"/>
      <c r="Y990" s="1531"/>
      <c r="Z990" s="1531"/>
      <c r="AA990" s="1531"/>
      <c r="AB990" s="1531"/>
      <c r="AC990" s="1531"/>
      <c r="AD990" s="1531"/>
      <c r="AE990" s="1531"/>
      <c r="AF990" s="1531"/>
      <c r="AG990" s="1531"/>
      <c r="AH990" s="1531"/>
      <c r="AI990" s="1531"/>
      <c r="AJ990" s="1531"/>
      <c r="AK990" s="1531"/>
      <c r="AL990" s="1531"/>
      <c r="AM990" s="1531"/>
      <c r="AN990" s="1531"/>
      <c r="AO990" s="1531"/>
      <c r="AP990" s="1531"/>
      <c r="AQ990" s="1531"/>
      <c r="AR990" s="1531"/>
      <c r="AS990" s="1531"/>
      <c r="AT990" s="1136"/>
      <c r="AU990" s="1136"/>
      <c r="AV990" s="1136"/>
      <c r="AW990" s="1136"/>
      <c r="AX990" s="1136"/>
      <c r="AY990" s="1136"/>
      <c r="AZ990" s="1136"/>
      <c r="BA990" s="1136"/>
      <c r="BB990" s="1136"/>
      <c r="BC990" s="1136"/>
      <c r="BD990" s="1136"/>
      <c r="BE990" s="1136"/>
      <c r="BF990" s="1136"/>
      <c r="BG990" s="1136"/>
      <c r="BH990" s="1136"/>
      <c r="BI990" s="1136"/>
      <c r="BJ990" s="1136"/>
      <c r="BK990" s="1136"/>
      <c r="BL990" s="1136"/>
      <c r="BM990" s="1136"/>
      <c r="BN990" s="1136"/>
      <c r="BO990" s="1136"/>
      <c r="BP990" s="1136"/>
      <c r="BQ990" s="1136"/>
      <c r="BR990" s="1136"/>
      <c r="BS990" s="1136"/>
      <c r="BT990" s="1136"/>
      <c r="BU990" s="1136"/>
      <c r="BV990" s="1136"/>
      <c r="BW990" s="1136"/>
      <c r="BX990" s="1136"/>
      <c r="BY990" s="1136"/>
      <c r="BZ990" s="1136"/>
      <c r="CA990" s="1136"/>
      <c r="CB990" s="1136"/>
      <c r="CC990" s="1136"/>
      <c r="CD990" s="1136"/>
      <c r="CE990" s="1136"/>
      <c r="CF990" s="1136"/>
      <c r="CG990" s="1136"/>
      <c r="CH990" s="1136"/>
      <c r="CI990" s="1136"/>
      <c r="CJ990" s="1136"/>
      <c r="CK990" s="1136"/>
      <c r="CL990" s="1136"/>
      <c r="CM990" s="1136"/>
      <c r="CN990" s="1136"/>
      <c r="CO990" s="1136"/>
      <c r="CP990" s="1136"/>
      <c r="CQ990" s="1136"/>
      <c r="CR990" s="1136"/>
      <c r="CS990" s="1136"/>
      <c r="CT990" s="1136"/>
      <c r="CU990" s="1136"/>
      <c r="CV990" s="1136"/>
      <c r="CW990" s="1136"/>
      <c r="CX990" s="1136"/>
      <c r="CY990" s="1136"/>
      <c r="CZ990" s="1136"/>
      <c r="DA990" s="1136"/>
      <c r="DB990" s="1136"/>
      <c r="DC990" s="1136"/>
      <c r="DD990" s="1136"/>
      <c r="DE990" s="1136"/>
      <c r="DF990" s="1136"/>
      <c r="DG990" s="1136"/>
      <c r="DH990" s="1136"/>
      <c r="DI990" s="1136"/>
    </row>
    <row r="991" spans="1:113" ht="15.75" x14ac:dyDescent="0.25">
      <c r="A991" s="1430" t="s">
        <v>4360</v>
      </c>
      <c r="B991" s="1433">
        <f>IF(B990=0,1.15,1.1)</f>
        <v>1.1499999999999999</v>
      </c>
      <c r="C991" s="1437"/>
      <c r="D991" s="1429"/>
      <c r="E991" s="1429"/>
      <c r="F991" s="1429"/>
      <c r="G991" s="1429"/>
      <c r="H991" s="1531"/>
      <c r="I991" s="1531"/>
      <c r="J991" s="1531"/>
      <c r="K991" s="1531"/>
      <c r="L991" s="1531"/>
      <c r="M991" s="1531"/>
      <c r="N991" s="1531"/>
      <c r="O991" s="1531"/>
      <c r="P991" s="1531"/>
      <c r="Q991" s="1531"/>
      <c r="R991" s="1531"/>
      <c r="S991" s="1531"/>
      <c r="T991" s="1531"/>
      <c r="U991" s="1531"/>
      <c r="V991" s="1531"/>
      <c r="W991" s="1531"/>
      <c r="X991" s="1531"/>
      <c r="Y991" s="1531"/>
      <c r="Z991" s="1531"/>
      <c r="AA991" s="1531"/>
      <c r="AB991" s="1531"/>
      <c r="AC991" s="1531"/>
      <c r="AD991" s="1531"/>
      <c r="AE991" s="1531"/>
      <c r="AF991" s="1531"/>
      <c r="AG991" s="1531"/>
      <c r="AH991" s="1531"/>
      <c r="AI991" s="1531"/>
      <c r="AJ991" s="1531"/>
      <c r="AK991" s="1531"/>
      <c r="AL991" s="1531"/>
      <c r="AM991" s="1531"/>
      <c r="AN991" s="1531"/>
      <c r="AO991" s="1531"/>
      <c r="AP991" s="1531"/>
      <c r="AQ991" s="1531"/>
      <c r="AR991" s="1531"/>
      <c r="AS991" s="1531"/>
      <c r="AT991" s="1136"/>
      <c r="AU991" s="1136"/>
      <c r="AV991" s="1136"/>
      <c r="AW991" s="1136"/>
      <c r="AX991" s="1136"/>
      <c r="AY991" s="1136"/>
      <c r="AZ991" s="1136"/>
      <c r="BA991" s="1136"/>
      <c r="BB991" s="1136"/>
      <c r="BC991" s="1136"/>
      <c r="BD991" s="1136"/>
      <c r="BE991" s="1136"/>
      <c r="BF991" s="1136"/>
      <c r="BG991" s="1136"/>
      <c r="BH991" s="1136"/>
      <c r="BI991" s="1136"/>
      <c r="BJ991" s="1136"/>
      <c r="BK991" s="1136"/>
      <c r="BL991" s="1136"/>
      <c r="BM991" s="1136"/>
      <c r="BN991" s="1136"/>
      <c r="BO991" s="1136"/>
      <c r="BP991" s="1136"/>
      <c r="BQ991" s="1136"/>
      <c r="BR991" s="1136"/>
      <c r="BS991" s="1136"/>
      <c r="BT991" s="1136"/>
      <c r="BU991" s="1136"/>
      <c r="BV991" s="1136"/>
      <c r="BW991" s="1136"/>
      <c r="BX991" s="1136"/>
      <c r="BY991" s="1136"/>
      <c r="BZ991" s="1136"/>
      <c r="CA991" s="1136"/>
      <c r="CB991" s="1136"/>
      <c r="CC991" s="1136"/>
      <c r="CD991" s="1136"/>
      <c r="CE991" s="1136"/>
      <c r="CF991" s="1136"/>
      <c r="CG991" s="1136"/>
      <c r="CH991" s="1136"/>
      <c r="CI991" s="1136"/>
      <c r="CJ991" s="1136"/>
      <c r="CK991" s="1136"/>
      <c r="CL991" s="1136"/>
      <c r="CM991" s="1136"/>
      <c r="CN991" s="1136"/>
      <c r="CO991" s="1136"/>
      <c r="CP991" s="1136"/>
      <c r="CQ991" s="1136"/>
      <c r="CR991" s="1136"/>
      <c r="CS991" s="1136"/>
      <c r="CT991" s="1136"/>
      <c r="CU991" s="1136"/>
      <c r="CV991" s="1136"/>
      <c r="CW991" s="1136"/>
      <c r="CX991" s="1136"/>
      <c r="CY991" s="1136"/>
      <c r="CZ991" s="1136"/>
      <c r="DA991" s="1136"/>
      <c r="DB991" s="1136"/>
      <c r="DC991" s="1136"/>
      <c r="DD991" s="1136"/>
      <c r="DE991" s="1136"/>
      <c r="DF991" s="1136"/>
      <c r="DG991" s="1136"/>
      <c r="DH991" s="1136"/>
      <c r="DI991" s="1136"/>
    </row>
    <row r="992" spans="1:113" ht="47.25" x14ac:dyDescent="0.25">
      <c r="A992" s="1471" t="s">
        <v>4361</v>
      </c>
      <c r="B992" s="1423" t="e">
        <f>(B321/B286)*100</f>
        <v>#VALUE!</v>
      </c>
      <c r="C992" s="1429"/>
      <c r="D992" s="1350"/>
      <c r="E992" s="1350"/>
      <c r="F992" s="1350"/>
      <c r="G992" s="1350"/>
      <c r="H992" s="1531"/>
      <c r="I992" s="1531"/>
      <c r="J992" s="1531"/>
      <c r="K992" s="1531"/>
      <c r="L992" s="1531"/>
      <c r="M992" s="1531"/>
      <c r="N992" s="1531"/>
      <c r="O992" s="1531"/>
      <c r="P992" s="1531"/>
      <c r="Q992" s="1531"/>
      <c r="R992" s="1531"/>
      <c r="S992" s="1531"/>
      <c r="T992" s="1531"/>
      <c r="U992" s="1531"/>
      <c r="V992" s="1531"/>
      <c r="W992" s="1531"/>
      <c r="X992" s="1531"/>
      <c r="Y992" s="1531"/>
      <c r="Z992" s="1531"/>
      <c r="AA992" s="1531"/>
      <c r="AB992" s="1531"/>
      <c r="AC992" s="1531"/>
      <c r="AD992" s="1531"/>
      <c r="AE992" s="1531"/>
      <c r="AF992" s="1531"/>
      <c r="AG992" s="1531"/>
      <c r="AH992" s="1531"/>
      <c r="AI992" s="1531"/>
      <c r="AJ992" s="1531"/>
      <c r="AK992" s="1531"/>
      <c r="AL992" s="1531"/>
      <c r="AM992" s="1531"/>
      <c r="AN992" s="1531"/>
      <c r="AO992" s="1531"/>
      <c r="AP992" s="1531"/>
      <c r="AQ992" s="1531"/>
      <c r="AR992" s="1531"/>
      <c r="AS992" s="1531"/>
      <c r="AT992" s="1136"/>
      <c r="AU992" s="1136"/>
      <c r="AV992" s="1136"/>
      <c r="AW992" s="1136"/>
      <c r="AX992" s="1136"/>
      <c r="AY992" s="1136"/>
      <c r="AZ992" s="1136"/>
      <c r="BA992" s="1136"/>
      <c r="BB992" s="1136"/>
      <c r="BC992" s="1136"/>
      <c r="BD992" s="1136"/>
      <c r="BE992" s="1136"/>
      <c r="BF992" s="1136"/>
      <c r="BG992" s="1136"/>
      <c r="BH992" s="1136"/>
      <c r="BI992" s="1136"/>
      <c r="BJ992" s="1136"/>
      <c r="BK992" s="1136"/>
      <c r="BL992" s="1136"/>
      <c r="BM992" s="1136"/>
      <c r="BN992" s="1136"/>
      <c r="BO992" s="1136"/>
      <c r="BP992" s="1136"/>
      <c r="BQ992" s="1136"/>
      <c r="BR992" s="1136"/>
      <c r="BS992" s="1136"/>
      <c r="BT992" s="1136"/>
      <c r="BU992" s="1136"/>
      <c r="BV992" s="1136"/>
      <c r="BW992" s="1136"/>
      <c r="BX992" s="1136"/>
      <c r="BY992" s="1136"/>
      <c r="BZ992" s="1136"/>
      <c r="CA992" s="1136"/>
      <c r="CB992" s="1136"/>
      <c r="CC992" s="1136"/>
      <c r="CD992" s="1136"/>
      <c r="CE992" s="1136"/>
      <c r="CF992" s="1136"/>
      <c r="CG992" s="1136"/>
      <c r="CH992" s="1136"/>
      <c r="CI992" s="1136"/>
      <c r="CJ992" s="1136"/>
      <c r="CK992" s="1136"/>
      <c r="CL992" s="1136"/>
      <c r="CM992" s="1136"/>
      <c r="CN992" s="1136"/>
      <c r="CO992" s="1136"/>
      <c r="CP992" s="1136"/>
      <c r="CQ992" s="1136"/>
      <c r="CR992" s="1136"/>
      <c r="CS992" s="1136"/>
      <c r="CT992" s="1136"/>
      <c r="CU992" s="1136"/>
      <c r="CV992" s="1136"/>
      <c r="CW992" s="1136"/>
      <c r="CX992" s="1136"/>
      <c r="CY992" s="1136"/>
      <c r="CZ992" s="1136"/>
      <c r="DA992" s="1136"/>
      <c r="DB992" s="1136"/>
      <c r="DC992" s="1136"/>
      <c r="DD992" s="1136"/>
      <c r="DE992" s="1136"/>
      <c r="DF992" s="1136"/>
      <c r="DG992" s="1136"/>
      <c r="DH992" s="1136"/>
      <c r="DI992" s="1136"/>
    </row>
    <row r="993" spans="1:113" ht="63" x14ac:dyDescent="0.25">
      <c r="A993" s="1420" t="s">
        <v>4362</v>
      </c>
      <c r="B993" s="1433" t="e">
        <f>IF(B992&lt;10.1,0.9,IF(B992&lt;20.1,0.8,IF(B992&lt;30.1,0.7,0.6)))</f>
        <v>#VALUE!</v>
      </c>
      <c r="C993" s="1437"/>
      <c r="D993" s="1429"/>
      <c r="E993" s="1429"/>
      <c r="F993" s="1429"/>
      <c r="G993" s="1429"/>
      <c r="H993" s="1531"/>
      <c r="I993" s="1531"/>
      <c r="J993" s="1531"/>
      <c r="K993" s="1531"/>
      <c r="L993" s="1531"/>
      <c r="M993" s="1531"/>
      <c r="N993" s="1531"/>
      <c r="O993" s="1531"/>
      <c r="P993" s="1531"/>
      <c r="Q993" s="1531"/>
      <c r="R993" s="1531"/>
      <c r="S993" s="1531"/>
      <c r="T993" s="1531"/>
      <c r="U993" s="1531"/>
      <c r="V993" s="1531"/>
      <c r="W993" s="1531"/>
      <c r="X993" s="1531"/>
      <c r="Y993" s="1531"/>
      <c r="Z993" s="1531"/>
      <c r="AA993" s="1531"/>
      <c r="AB993" s="1531"/>
      <c r="AC993" s="1531"/>
      <c r="AD993" s="1531"/>
      <c r="AE993" s="1531"/>
      <c r="AF993" s="1531"/>
      <c r="AG993" s="1531"/>
      <c r="AH993" s="1531"/>
      <c r="AI993" s="1531"/>
      <c r="AJ993" s="1531"/>
      <c r="AK993" s="1531"/>
      <c r="AL993" s="1531"/>
      <c r="AM993" s="1531"/>
      <c r="AN993" s="1531"/>
      <c r="AO993" s="1531"/>
      <c r="AP993" s="1531"/>
      <c r="AQ993" s="1531"/>
      <c r="AR993" s="1531"/>
      <c r="AS993" s="1531"/>
      <c r="AT993" s="1136"/>
      <c r="AU993" s="1136"/>
      <c r="AV993" s="1136"/>
      <c r="AW993" s="1136"/>
      <c r="AX993" s="1136"/>
      <c r="AY993" s="1136"/>
      <c r="AZ993" s="1136"/>
      <c r="BA993" s="1136"/>
      <c r="BB993" s="1136"/>
      <c r="BC993" s="1136"/>
      <c r="BD993" s="1136"/>
      <c r="BE993" s="1136"/>
      <c r="BF993" s="1136"/>
      <c r="BG993" s="1136"/>
      <c r="BH993" s="1136"/>
      <c r="BI993" s="1136"/>
      <c r="BJ993" s="1136"/>
      <c r="BK993" s="1136"/>
      <c r="BL993" s="1136"/>
      <c r="BM993" s="1136"/>
      <c r="BN993" s="1136"/>
      <c r="BO993" s="1136"/>
      <c r="BP993" s="1136"/>
      <c r="BQ993" s="1136"/>
      <c r="BR993" s="1136"/>
      <c r="BS993" s="1136"/>
      <c r="BT993" s="1136"/>
      <c r="BU993" s="1136"/>
      <c r="BV993" s="1136"/>
      <c r="BW993" s="1136"/>
      <c r="BX993" s="1136"/>
      <c r="BY993" s="1136"/>
      <c r="BZ993" s="1136"/>
      <c r="CA993" s="1136"/>
      <c r="CB993" s="1136"/>
      <c r="CC993" s="1136"/>
      <c r="CD993" s="1136"/>
      <c r="CE993" s="1136"/>
      <c r="CF993" s="1136"/>
      <c r="CG993" s="1136"/>
      <c r="CH993" s="1136"/>
      <c r="CI993" s="1136"/>
      <c r="CJ993" s="1136"/>
      <c r="CK993" s="1136"/>
      <c r="CL993" s="1136"/>
      <c r="CM993" s="1136"/>
      <c r="CN993" s="1136"/>
      <c r="CO993" s="1136"/>
      <c r="CP993" s="1136"/>
      <c r="CQ993" s="1136"/>
      <c r="CR993" s="1136"/>
      <c r="CS993" s="1136"/>
      <c r="CT993" s="1136"/>
      <c r="CU993" s="1136"/>
      <c r="CV993" s="1136"/>
      <c r="CW993" s="1136"/>
      <c r="CX993" s="1136"/>
      <c r="CY993" s="1136"/>
      <c r="CZ993" s="1136"/>
      <c r="DA993" s="1136"/>
      <c r="DB993" s="1136"/>
      <c r="DC993" s="1136"/>
      <c r="DD993" s="1136"/>
      <c r="DE993" s="1136"/>
      <c r="DF993" s="1136"/>
      <c r="DG993" s="1136"/>
      <c r="DH993" s="1136"/>
      <c r="DI993" s="1136"/>
    </row>
    <row r="994" spans="1:113" ht="15.75" x14ac:dyDescent="0.25">
      <c r="A994" s="1430" t="s">
        <v>830</v>
      </c>
      <c r="B994" s="1433" t="e">
        <f>B983*B987*B988*B989*B991*B993*B341</f>
        <v>#REF!</v>
      </c>
      <c r="C994" s="1437"/>
      <c r="D994" s="1437"/>
      <c r="E994" s="1437"/>
      <c r="F994" s="1437"/>
      <c r="G994" s="1437"/>
      <c r="H994" s="1531"/>
      <c r="I994" s="1531"/>
      <c r="J994" s="1531"/>
      <c r="K994" s="1531"/>
      <c r="L994" s="1531"/>
      <c r="M994" s="1531"/>
      <c r="N994" s="1531"/>
      <c r="O994" s="1531"/>
      <c r="P994" s="1531"/>
      <c r="Q994" s="1531"/>
      <c r="R994" s="1531"/>
      <c r="S994" s="1531"/>
      <c r="T994" s="1531"/>
      <c r="U994" s="1531"/>
      <c r="V994" s="1531"/>
      <c r="W994" s="1531"/>
      <c r="X994" s="1531"/>
      <c r="Y994" s="1531"/>
      <c r="Z994" s="1531"/>
      <c r="AA994" s="1531"/>
      <c r="AB994" s="1531"/>
      <c r="AC994" s="1531"/>
      <c r="AD994" s="1531"/>
      <c r="AE994" s="1531"/>
      <c r="AF994" s="1531"/>
      <c r="AG994" s="1531"/>
      <c r="AH994" s="1531"/>
      <c r="AI994" s="1531"/>
      <c r="AJ994" s="1531"/>
      <c r="AK994" s="1531"/>
      <c r="AL994" s="1531"/>
      <c r="AM994" s="1531"/>
      <c r="AN994" s="1531"/>
      <c r="AO994" s="1531"/>
      <c r="AP994" s="1531"/>
      <c r="AQ994" s="1531"/>
      <c r="AR994" s="1531"/>
      <c r="AS994" s="1531"/>
      <c r="AT994" s="1136"/>
      <c r="AU994" s="1136"/>
      <c r="AV994" s="1136"/>
      <c r="AW994" s="1136"/>
      <c r="AX994" s="1136"/>
      <c r="AY994" s="1136"/>
      <c r="AZ994" s="1136"/>
      <c r="BA994" s="1136"/>
      <c r="BB994" s="1136"/>
      <c r="BC994" s="1136"/>
      <c r="BD994" s="1136"/>
      <c r="BE994" s="1136"/>
      <c r="BF994" s="1136"/>
      <c r="BG994" s="1136"/>
      <c r="BH994" s="1136"/>
      <c r="BI994" s="1136"/>
      <c r="BJ994" s="1136"/>
      <c r="BK994" s="1136"/>
      <c r="BL994" s="1136"/>
      <c r="BM994" s="1136"/>
      <c r="BN994" s="1136"/>
      <c r="BO994" s="1136"/>
      <c r="BP994" s="1136"/>
      <c r="BQ994" s="1136"/>
      <c r="BR994" s="1136"/>
      <c r="BS994" s="1136"/>
      <c r="BT994" s="1136"/>
      <c r="BU994" s="1136"/>
      <c r="BV994" s="1136"/>
      <c r="BW994" s="1136"/>
      <c r="BX994" s="1136"/>
      <c r="BY994" s="1136"/>
      <c r="BZ994" s="1136"/>
      <c r="CA994" s="1136"/>
      <c r="CB994" s="1136"/>
      <c r="CC994" s="1136"/>
      <c r="CD994" s="1136"/>
      <c r="CE994" s="1136"/>
      <c r="CF994" s="1136"/>
      <c r="CG994" s="1136"/>
      <c r="CH994" s="1136"/>
      <c r="CI994" s="1136"/>
      <c r="CJ994" s="1136"/>
      <c r="CK994" s="1136"/>
      <c r="CL994" s="1136"/>
      <c r="CM994" s="1136"/>
      <c r="CN994" s="1136"/>
      <c r="CO994" s="1136"/>
      <c r="CP994" s="1136"/>
      <c r="CQ994" s="1136"/>
      <c r="CR994" s="1136"/>
      <c r="CS994" s="1136"/>
      <c r="CT994" s="1136"/>
      <c r="CU994" s="1136"/>
      <c r="CV994" s="1136"/>
      <c r="CW994" s="1136"/>
      <c r="CX994" s="1136"/>
      <c r="CY994" s="1136"/>
      <c r="CZ994" s="1136"/>
      <c r="DA994" s="1136"/>
      <c r="DB994" s="1136"/>
      <c r="DC994" s="1136"/>
      <c r="DD994" s="1136"/>
      <c r="DE994" s="1136"/>
      <c r="DF994" s="1136"/>
      <c r="DG994" s="1136"/>
      <c r="DH994" s="1136"/>
      <c r="DI994" s="1136"/>
    </row>
    <row r="995" spans="1:113" ht="15.75" x14ac:dyDescent="0.25">
      <c r="A995" s="1430" t="s">
        <v>429</v>
      </c>
      <c r="B995" s="1428" t="e">
        <f>B982/B994</f>
        <v>#VALUE!</v>
      </c>
      <c r="C995" s="1432"/>
      <c r="D995" s="1437"/>
      <c r="E995" s="1437"/>
      <c r="F995" s="1437"/>
      <c r="G995" s="1437"/>
      <c r="H995" s="1531"/>
      <c r="I995" s="1531"/>
      <c r="J995" s="1531"/>
      <c r="K995" s="1531"/>
      <c r="L995" s="1531"/>
      <c r="M995" s="1531"/>
      <c r="N995" s="1531"/>
      <c r="O995" s="1531"/>
      <c r="P995" s="1531"/>
      <c r="Q995" s="1531"/>
      <c r="R995" s="1531"/>
      <c r="S995" s="1531"/>
      <c r="T995" s="1531"/>
      <c r="U995" s="1531"/>
      <c r="V995" s="1531"/>
      <c r="W995" s="1531"/>
      <c r="X995" s="1531"/>
      <c r="Y995" s="1531"/>
      <c r="Z995" s="1531"/>
      <c r="AA995" s="1531"/>
      <c r="AB995" s="1531"/>
      <c r="AC995" s="1531"/>
      <c r="AD995" s="1531"/>
      <c r="AE995" s="1531"/>
      <c r="AF995" s="1531"/>
      <c r="AG995" s="1531"/>
      <c r="AH995" s="1531"/>
      <c r="AI995" s="1531"/>
      <c r="AJ995" s="1531"/>
      <c r="AK995" s="1531"/>
      <c r="AL995" s="1531"/>
      <c r="AM995" s="1531"/>
      <c r="AN995" s="1531"/>
      <c r="AO995" s="1531"/>
      <c r="AP995" s="1531"/>
      <c r="AQ995" s="1531"/>
      <c r="AR995" s="1531"/>
      <c r="AS995" s="1531"/>
      <c r="AT995" s="1136"/>
      <c r="AU995" s="1136"/>
      <c r="AV995" s="1136"/>
      <c r="AW995" s="1136"/>
      <c r="AX995" s="1136"/>
      <c r="AY995" s="1136"/>
      <c r="AZ995" s="1136"/>
      <c r="BA995" s="1136"/>
      <c r="BB995" s="1136"/>
      <c r="BC995" s="1136"/>
      <c r="BD995" s="1136"/>
      <c r="BE995" s="1136"/>
      <c r="BF995" s="1136"/>
      <c r="BG995" s="1136"/>
      <c r="BH995" s="1136"/>
      <c r="BI995" s="1136"/>
      <c r="BJ995" s="1136"/>
      <c r="BK995" s="1136"/>
      <c r="BL995" s="1136"/>
      <c r="BM995" s="1136"/>
      <c r="BN995" s="1136"/>
      <c r="BO995" s="1136"/>
      <c r="BP995" s="1136"/>
      <c r="BQ995" s="1136"/>
      <c r="BR995" s="1136"/>
      <c r="BS995" s="1136"/>
      <c r="BT995" s="1136"/>
      <c r="BU995" s="1136"/>
      <c r="BV995" s="1136"/>
      <c r="BW995" s="1136"/>
      <c r="BX995" s="1136"/>
      <c r="BY995" s="1136"/>
      <c r="BZ995" s="1136"/>
      <c r="CA995" s="1136"/>
      <c r="CB995" s="1136"/>
      <c r="CC995" s="1136"/>
      <c r="CD995" s="1136"/>
      <c r="CE995" s="1136"/>
      <c r="CF995" s="1136"/>
      <c r="CG995" s="1136"/>
      <c r="CH995" s="1136"/>
      <c r="CI995" s="1136"/>
      <c r="CJ995" s="1136"/>
      <c r="CK995" s="1136"/>
      <c r="CL995" s="1136"/>
      <c r="CM995" s="1136"/>
      <c r="CN995" s="1136"/>
      <c r="CO995" s="1136"/>
      <c r="CP995" s="1136"/>
      <c r="CQ995" s="1136"/>
      <c r="CR995" s="1136"/>
      <c r="CS995" s="1136"/>
      <c r="CT995" s="1136"/>
      <c r="CU995" s="1136"/>
      <c r="CV995" s="1136"/>
      <c r="CW995" s="1136"/>
      <c r="CX995" s="1136"/>
      <c r="CY995" s="1136"/>
      <c r="CZ995" s="1136"/>
      <c r="DA995" s="1136"/>
      <c r="DB995" s="1136"/>
      <c r="DC995" s="1136"/>
      <c r="DD995" s="1136"/>
      <c r="DE995" s="1136"/>
      <c r="DF995" s="1136"/>
      <c r="DG995" s="1136"/>
      <c r="DH995" s="1136"/>
      <c r="DI995" s="1136"/>
    </row>
    <row r="996" spans="1:113" ht="15.75" x14ac:dyDescent="0.25">
      <c r="A996" s="1466" t="s">
        <v>831</v>
      </c>
      <c r="B996" s="1459">
        <f>IF(B298=1,0,B995)</f>
        <v>0</v>
      </c>
      <c r="C996" s="1454"/>
      <c r="D996" s="1458"/>
      <c r="E996" s="1458"/>
      <c r="F996" s="1458"/>
      <c r="G996" s="1458"/>
      <c r="H996" s="1531"/>
      <c r="I996" s="1531"/>
      <c r="J996" s="1531"/>
      <c r="K996" s="1531"/>
      <c r="L996" s="1531"/>
      <c r="M996" s="1531"/>
      <c r="N996" s="1531"/>
      <c r="O996" s="1531"/>
      <c r="P996" s="1531"/>
      <c r="Q996" s="1531"/>
      <c r="R996" s="1531"/>
      <c r="S996" s="1531"/>
      <c r="T996" s="1531"/>
      <c r="U996" s="1531"/>
      <c r="V996" s="1531"/>
      <c r="W996" s="1531"/>
      <c r="X996" s="1531"/>
      <c r="Y996" s="1531"/>
      <c r="Z996" s="1531"/>
      <c r="AA996" s="1531"/>
      <c r="AB996" s="1531"/>
      <c r="AC996" s="1531"/>
      <c r="AD996" s="1531"/>
      <c r="AE996" s="1531"/>
      <c r="AF996" s="1531"/>
      <c r="AG996" s="1531"/>
      <c r="AH996" s="1531"/>
      <c r="AI996" s="1531"/>
      <c r="AJ996" s="1531"/>
      <c r="AK996" s="1531"/>
      <c r="AL996" s="1531"/>
      <c r="AM996" s="1531"/>
      <c r="AN996" s="1531"/>
      <c r="AO996" s="1531"/>
      <c r="AP996" s="1531"/>
      <c r="AQ996" s="1531"/>
      <c r="AR996" s="1531"/>
      <c r="AS996" s="1531"/>
      <c r="AT996" s="1136"/>
      <c r="AU996" s="1136"/>
      <c r="AV996" s="1136"/>
      <c r="AW996" s="1136"/>
      <c r="AX996" s="1136"/>
      <c r="AY996" s="1136"/>
      <c r="AZ996" s="1136"/>
      <c r="BA996" s="1136"/>
      <c r="BB996" s="1136"/>
      <c r="BC996" s="1136"/>
      <c r="BD996" s="1136"/>
      <c r="BE996" s="1136"/>
      <c r="BF996" s="1136"/>
      <c r="BG996" s="1136"/>
      <c r="BH996" s="1136"/>
      <c r="BI996" s="1136"/>
      <c r="BJ996" s="1136"/>
      <c r="BK996" s="1136"/>
      <c r="BL996" s="1136"/>
      <c r="BM996" s="1136"/>
      <c r="BN996" s="1136"/>
      <c r="BO996" s="1136"/>
      <c r="BP996" s="1136"/>
      <c r="BQ996" s="1136"/>
      <c r="BR996" s="1136"/>
      <c r="BS996" s="1136"/>
      <c r="BT996" s="1136"/>
      <c r="BU996" s="1136"/>
      <c r="BV996" s="1136"/>
      <c r="BW996" s="1136"/>
      <c r="BX996" s="1136"/>
      <c r="BY996" s="1136"/>
      <c r="BZ996" s="1136"/>
      <c r="CA996" s="1136"/>
      <c r="CB996" s="1136"/>
      <c r="CC996" s="1136"/>
      <c r="CD996" s="1136"/>
      <c r="CE996" s="1136"/>
      <c r="CF996" s="1136"/>
      <c r="CG996" s="1136"/>
      <c r="CH996" s="1136"/>
      <c r="CI996" s="1136"/>
      <c r="CJ996" s="1136"/>
      <c r="CK996" s="1136"/>
      <c r="CL996" s="1136"/>
      <c r="CM996" s="1136"/>
      <c r="CN996" s="1136"/>
      <c r="CO996" s="1136"/>
      <c r="CP996" s="1136"/>
      <c r="CQ996" s="1136"/>
      <c r="CR996" s="1136"/>
      <c r="CS996" s="1136"/>
      <c r="CT996" s="1136"/>
      <c r="CU996" s="1136"/>
      <c r="CV996" s="1136"/>
      <c r="CW996" s="1136"/>
      <c r="CX996" s="1136"/>
      <c r="CY996" s="1136"/>
      <c r="CZ996" s="1136"/>
      <c r="DA996" s="1136"/>
      <c r="DB996" s="1136"/>
      <c r="DC996" s="1136"/>
      <c r="DD996" s="1136"/>
      <c r="DE996" s="1136"/>
      <c r="DF996" s="1136"/>
      <c r="DG996" s="1136"/>
      <c r="DH996" s="1136"/>
      <c r="DI996" s="1136"/>
    </row>
    <row r="997" spans="1:113" ht="15.75" x14ac:dyDescent="0.25">
      <c r="A997" s="1620"/>
      <c r="B997" s="1415"/>
      <c r="C997" s="1350"/>
      <c r="D997" s="1434"/>
      <c r="E997" s="1434"/>
      <c r="F997" s="1434"/>
      <c r="G997" s="1434"/>
      <c r="H997" s="1531"/>
      <c r="I997" s="1531"/>
      <c r="J997" s="1531"/>
      <c r="K997" s="1531"/>
      <c r="L997" s="1531"/>
      <c r="M997" s="1531"/>
      <c r="N997" s="1531"/>
      <c r="O997" s="1531"/>
      <c r="P997" s="1531"/>
      <c r="Q997" s="1531"/>
      <c r="R997" s="1531"/>
      <c r="S997" s="1531"/>
      <c r="T997" s="1531"/>
      <c r="U997" s="1531"/>
      <c r="V997" s="1531"/>
      <c r="W997" s="1531"/>
      <c r="X997" s="1531"/>
      <c r="Y997" s="1531"/>
      <c r="Z997" s="1531"/>
      <c r="AA997" s="1531"/>
      <c r="AB997" s="1531"/>
      <c r="AC997" s="1531"/>
      <c r="AD997" s="1531"/>
      <c r="AE997" s="1531"/>
      <c r="AF997" s="1531"/>
      <c r="AG997" s="1531"/>
      <c r="AH997" s="1531"/>
      <c r="AI997" s="1531"/>
      <c r="AJ997" s="1531"/>
      <c r="AK997" s="1531"/>
      <c r="AL997" s="1531"/>
      <c r="AM997" s="1531"/>
      <c r="AN997" s="1531"/>
      <c r="AO997" s="1531"/>
      <c r="AP997" s="1531"/>
      <c r="AQ997" s="1531"/>
      <c r="AR997" s="1531"/>
      <c r="AS997" s="1531"/>
      <c r="AT997" s="1136"/>
      <c r="AU997" s="1136"/>
      <c r="AV997" s="1136"/>
      <c r="AW997" s="1136"/>
      <c r="AX997" s="1136"/>
      <c r="AY997" s="1136"/>
      <c r="AZ997" s="1136"/>
      <c r="BA997" s="1136"/>
      <c r="BB997" s="1136"/>
      <c r="BC997" s="1136"/>
      <c r="BD997" s="1136"/>
      <c r="BE997" s="1136"/>
      <c r="BF997" s="1136"/>
      <c r="BG997" s="1136"/>
      <c r="BH997" s="1136"/>
      <c r="BI997" s="1136"/>
      <c r="BJ997" s="1136"/>
      <c r="BK997" s="1136"/>
      <c r="BL997" s="1136"/>
      <c r="BM997" s="1136"/>
      <c r="BN997" s="1136"/>
      <c r="BO997" s="1136"/>
      <c r="BP997" s="1136"/>
      <c r="BQ997" s="1136"/>
      <c r="BR997" s="1136"/>
      <c r="BS997" s="1136"/>
      <c r="BT997" s="1136"/>
      <c r="BU997" s="1136"/>
      <c r="BV997" s="1136"/>
      <c r="BW997" s="1136"/>
      <c r="BX997" s="1136"/>
      <c r="BY997" s="1136"/>
      <c r="BZ997" s="1136"/>
      <c r="CA997" s="1136"/>
      <c r="CB997" s="1136"/>
      <c r="CC997" s="1136"/>
      <c r="CD997" s="1136"/>
      <c r="CE997" s="1136"/>
      <c r="CF997" s="1136"/>
      <c r="CG997" s="1136"/>
      <c r="CH997" s="1136"/>
      <c r="CI997" s="1136"/>
      <c r="CJ997" s="1136"/>
      <c r="CK997" s="1136"/>
      <c r="CL997" s="1136"/>
      <c r="CM997" s="1136"/>
      <c r="CN997" s="1136"/>
      <c r="CO997" s="1136"/>
      <c r="CP997" s="1136"/>
      <c r="CQ997" s="1136"/>
      <c r="CR997" s="1136"/>
      <c r="CS997" s="1136"/>
      <c r="CT997" s="1136"/>
      <c r="CU997" s="1136"/>
      <c r="CV997" s="1136"/>
      <c r="CW997" s="1136"/>
      <c r="CX997" s="1136"/>
      <c r="CY997" s="1136"/>
      <c r="CZ997" s="1136"/>
      <c r="DA997" s="1136"/>
      <c r="DB997" s="1136"/>
      <c r="DC997" s="1136"/>
      <c r="DD997" s="1136"/>
      <c r="DE997" s="1136"/>
      <c r="DF997" s="1136"/>
      <c r="DG997" s="1136"/>
      <c r="DH997" s="1136"/>
      <c r="DI997" s="1136"/>
    </row>
    <row r="998" spans="1:113" ht="15.75" x14ac:dyDescent="0.25">
      <c r="A998" s="1461" t="s">
        <v>2391</v>
      </c>
      <c r="B998" s="1443"/>
      <c r="C998" s="1437"/>
      <c r="D998" s="1437"/>
      <c r="E998" s="1437"/>
      <c r="F998" s="1437"/>
      <c r="G998" s="1437"/>
      <c r="H998" s="1531"/>
      <c r="I998" s="1531"/>
      <c r="J998" s="1531"/>
      <c r="K998" s="1531"/>
      <c r="L998" s="1531"/>
      <c r="M998" s="1531"/>
      <c r="N998" s="1531"/>
      <c r="O998" s="1531"/>
      <c r="P998" s="1531"/>
      <c r="Q998" s="1531"/>
      <c r="R998" s="1531"/>
      <c r="S998" s="1531"/>
      <c r="T998" s="1531"/>
      <c r="U998" s="1531"/>
      <c r="V998" s="1531"/>
      <c r="W998" s="1531"/>
      <c r="X998" s="1531"/>
      <c r="Y998" s="1531"/>
      <c r="Z998" s="1531"/>
      <c r="AA998" s="1531"/>
      <c r="AB998" s="1531"/>
      <c r="AC998" s="1531"/>
      <c r="AD998" s="1531"/>
      <c r="AE998" s="1531"/>
      <c r="AF998" s="1531"/>
      <c r="AG998" s="1531"/>
      <c r="AH998" s="1531"/>
      <c r="AI998" s="1531"/>
      <c r="AJ998" s="1531"/>
      <c r="AK998" s="1531"/>
      <c r="AL998" s="1531"/>
      <c r="AM998" s="1531"/>
      <c r="AN998" s="1531"/>
      <c r="AO998" s="1531"/>
      <c r="AP998" s="1531"/>
      <c r="AQ998" s="1531"/>
      <c r="AR998" s="1531"/>
      <c r="AS998" s="1531"/>
      <c r="AT998" s="1136"/>
      <c r="AU998" s="1136"/>
      <c r="AV998" s="1136"/>
      <c r="AW998" s="1136"/>
      <c r="AX998" s="1136"/>
      <c r="AY998" s="1136"/>
      <c r="AZ998" s="1136"/>
      <c r="BA998" s="1136"/>
      <c r="BB998" s="1136"/>
      <c r="BC998" s="1136"/>
      <c r="BD998" s="1136"/>
      <c r="BE998" s="1136"/>
      <c r="BF998" s="1136"/>
      <c r="BG998" s="1136"/>
      <c r="BH998" s="1136"/>
      <c r="BI998" s="1136"/>
      <c r="BJ998" s="1136"/>
      <c r="BK998" s="1136"/>
      <c r="BL998" s="1136"/>
      <c r="BM998" s="1136"/>
      <c r="BN998" s="1136"/>
      <c r="BO998" s="1136"/>
      <c r="BP998" s="1136"/>
      <c r="BQ998" s="1136"/>
      <c r="BR998" s="1136"/>
      <c r="BS998" s="1136"/>
      <c r="BT998" s="1136"/>
      <c r="BU998" s="1136"/>
      <c r="BV998" s="1136"/>
      <c r="BW998" s="1136"/>
      <c r="BX998" s="1136"/>
      <c r="BY998" s="1136"/>
      <c r="BZ998" s="1136"/>
      <c r="CA998" s="1136"/>
      <c r="CB998" s="1136"/>
      <c r="CC998" s="1136"/>
      <c r="CD998" s="1136"/>
      <c r="CE998" s="1136"/>
      <c r="CF998" s="1136"/>
      <c r="CG998" s="1136"/>
      <c r="CH998" s="1136"/>
      <c r="CI998" s="1136"/>
      <c r="CJ998" s="1136"/>
      <c r="CK998" s="1136"/>
      <c r="CL998" s="1136"/>
      <c r="CM998" s="1136"/>
      <c r="CN998" s="1136"/>
      <c r="CO998" s="1136"/>
      <c r="CP998" s="1136"/>
      <c r="CQ998" s="1136"/>
      <c r="CR998" s="1136"/>
      <c r="CS998" s="1136"/>
      <c r="CT998" s="1136"/>
      <c r="CU998" s="1136"/>
      <c r="CV998" s="1136"/>
      <c r="CW998" s="1136"/>
      <c r="CX998" s="1136"/>
      <c r="CY998" s="1136"/>
      <c r="CZ998" s="1136"/>
      <c r="DA998" s="1136"/>
      <c r="DB998" s="1136"/>
      <c r="DC998" s="1136"/>
      <c r="DD998" s="1136"/>
      <c r="DE998" s="1136"/>
      <c r="DF998" s="1136"/>
      <c r="DG998" s="1136"/>
      <c r="DH998" s="1136"/>
      <c r="DI998" s="1136"/>
    </row>
    <row r="999" spans="1:113" ht="15.75" x14ac:dyDescent="0.25">
      <c r="A999" s="1430" t="s">
        <v>4144</v>
      </c>
      <c r="B999" s="1439">
        <f>B291/B311</f>
        <v>1.25</v>
      </c>
      <c r="C999" s="1432"/>
      <c r="D999" s="1429"/>
      <c r="E999" s="1429"/>
      <c r="F999" s="1429"/>
      <c r="G999" s="1429"/>
      <c r="H999" s="1531"/>
      <c r="I999" s="1531"/>
      <c r="J999" s="1531"/>
      <c r="K999" s="1531"/>
      <c r="L999" s="1531"/>
      <c r="M999" s="1531"/>
      <c r="N999" s="1531"/>
      <c r="O999" s="1531"/>
      <c r="P999" s="1531"/>
      <c r="Q999" s="1531"/>
      <c r="R999" s="1531"/>
      <c r="S999" s="1531"/>
      <c r="T999" s="1531"/>
      <c r="U999" s="1531"/>
      <c r="V999" s="1531"/>
      <c r="W999" s="1531"/>
      <c r="X999" s="1531"/>
      <c r="Y999" s="1531"/>
      <c r="Z999" s="1531"/>
      <c r="AA999" s="1531"/>
      <c r="AB999" s="1531"/>
      <c r="AC999" s="1531"/>
      <c r="AD999" s="1531"/>
      <c r="AE999" s="1531"/>
      <c r="AF999" s="1531"/>
      <c r="AG999" s="1531"/>
      <c r="AH999" s="1531"/>
      <c r="AI999" s="1531"/>
      <c r="AJ999" s="1531"/>
      <c r="AK999" s="1531"/>
      <c r="AL999" s="1531"/>
      <c r="AM999" s="1531"/>
      <c r="AN999" s="1531"/>
      <c r="AO999" s="1531"/>
      <c r="AP999" s="1531"/>
      <c r="AQ999" s="1531"/>
      <c r="AR999" s="1531"/>
      <c r="AS999" s="1531"/>
      <c r="AT999" s="1136"/>
      <c r="AU999" s="1136"/>
      <c r="AV999" s="1136"/>
      <c r="AW999" s="1136"/>
      <c r="AX999" s="1136"/>
      <c r="AY999" s="1136"/>
      <c r="AZ999" s="1136"/>
      <c r="BA999" s="1136"/>
      <c r="BB999" s="1136"/>
      <c r="BC999" s="1136"/>
      <c r="BD999" s="1136"/>
      <c r="BE999" s="1136"/>
      <c r="BF999" s="1136"/>
      <c r="BG999" s="1136"/>
      <c r="BH999" s="1136"/>
      <c r="BI999" s="1136"/>
      <c r="BJ999" s="1136"/>
      <c r="BK999" s="1136"/>
      <c r="BL999" s="1136"/>
      <c r="BM999" s="1136"/>
      <c r="BN999" s="1136"/>
      <c r="BO999" s="1136"/>
      <c r="BP999" s="1136"/>
      <c r="BQ999" s="1136"/>
      <c r="BR999" s="1136"/>
      <c r="BS999" s="1136"/>
      <c r="BT999" s="1136"/>
      <c r="BU999" s="1136"/>
      <c r="BV999" s="1136"/>
      <c r="BW999" s="1136"/>
      <c r="BX999" s="1136"/>
      <c r="BY999" s="1136"/>
      <c r="BZ999" s="1136"/>
      <c r="CA999" s="1136"/>
      <c r="CB999" s="1136"/>
      <c r="CC999" s="1136"/>
      <c r="CD999" s="1136"/>
      <c r="CE999" s="1136"/>
      <c r="CF999" s="1136"/>
      <c r="CG999" s="1136"/>
      <c r="CH999" s="1136"/>
      <c r="CI999" s="1136"/>
      <c r="CJ999" s="1136"/>
      <c r="CK999" s="1136"/>
      <c r="CL999" s="1136"/>
      <c r="CM999" s="1136"/>
      <c r="CN999" s="1136"/>
      <c r="CO999" s="1136"/>
      <c r="CP999" s="1136"/>
      <c r="CQ999" s="1136"/>
      <c r="CR999" s="1136"/>
      <c r="CS999" s="1136"/>
      <c r="CT999" s="1136"/>
      <c r="CU999" s="1136"/>
      <c r="CV999" s="1136"/>
      <c r="CW999" s="1136"/>
      <c r="CX999" s="1136"/>
      <c r="CY999" s="1136"/>
      <c r="CZ999" s="1136"/>
      <c r="DA999" s="1136"/>
      <c r="DB999" s="1136"/>
      <c r="DC999" s="1136"/>
      <c r="DD999" s="1136"/>
      <c r="DE999" s="1136"/>
      <c r="DF999" s="1136"/>
      <c r="DG999" s="1136"/>
      <c r="DH999" s="1136"/>
      <c r="DI999" s="1136"/>
    </row>
    <row r="1000" spans="1:113" ht="15.75" x14ac:dyDescent="0.25">
      <c r="A1000" s="1430" t="s">
        <v>425</v>
      </c>
      <c r="B1000" s="1505">
        <v>12.8</v>
      </c>
      <c r="C1000" s="1446"/>
      <c r="D1000" s="1437"/>
      <c r="E1000" s="1437"/>
      <c r="F1000" s="1437"/>
      <c r="G1000" s="1437"/>
      <c r="H1000" s="1531"/>
      <c r="I1000" s="1531"/>
      <c r="J1000" s="1531"/>
      <c r="K1000" s="1531"/>
      <c r="L1000" s="1531"/>
      <c r="M1000" s="1531"/>
      <c r="N1000" s="1531"/>
      <c r="O1000" s="1531"/>
      <c r="P1000" s="1531"/>
      <c r="Q1000" s="1531"/>
      <c r="R1000" s="1531"/>
      <c r="S1000" s="1531"/>
      <c r="T1000" s="1531"/>
      <c r="U1000" s="1531"/>
      <c r="V1000" s="1531"/>
      <c r="W1000" s="1531"/>
      <c r="X1000" s="1531"/>
      <c r="Y1000" s="1531"/>
      <c r="Z1000" s="1531"/>
      <c r="AA1000" s="1531"/>
      <c r="AB1000" s="1531"/>
      <c r="AC1000" s="1531"/>
      <c r="AD1000" s="1531"/>
      <c r="AE1000" s="1531"/>
      <c r="AF1000" s="1531"/>
      <c r="AG1000" s="1531"/>
      <c r="AH1000" s="1531"/>
      <c r="AI1000" s="1531"/>
      <c r="AJ1000" s="1531"/>
      <c r="AK1000" s="1531"/>
      <c r="AL1000" s="1531"/>
      <c r="AM1000" s="1531"/>
      <c r="AN1000" s="1531"/>
      <c r="AO1000" s="1531"/>
      <c r="AP1000" s="1531"/>
      <c r="AQ1000" s="1531"/>
      <c r="AR1000" s="1531"/>
      <c r="AS1000" s="1531"/>
      <c r="AT1000" s="1136"/>
      <c r="AU1000" s="1136"/>
      <c r="AV1000" s="1136"/>
      <c r="AW1000" s="1136"/>
      <c r="AX1000" s="1136"/>
      <c r="AY1000" s="1136"/>
      <c r="AZ1000" s="1136"/>
      <c r="BA1000" s="1136"/>
      <c r="BB1000" s="1136"/>
      <c r="BC1000" s="1136"/>
      <c r="BD1000" s="1136"/>
      <c r="BE1000" s="1136"/>
      <c r="BF1000" s="1136"/>
      <c r="BG1000" s="1136"/>
      <c r="BH1000" s="1136"/>
      <c r="BI1000" s="1136"/>
      <c r="BJ1000" s="1136"/>
      <c r="BK1000" s="1136"/>
      <c r="BL1000" s="1136"/>
      <c r="BM1000" s="1136"/>
      <c r="BN1000" s="1136"/>
      <c r="BO1000" s="1136"/>
      <c r="BP1000" s="1136"/>
      <c r="BQ1000" s="1136"/>
      <c r="BR1000" s="1136"/>
      <c r="BS1000" s="1136"/>
      <c r="BT1000" s="1136"/>
      <c r="BU1000" s="1136"/>
      <c r="BV1000" s="1136"/>
      <c r="BW1000" s="1136"/>
      <c r="BX1000" s="1136"/>
      <c r="BY1000" s="1136"/>
      <c r="BZ1000" s="1136"/>
      <c r="CA1000" s="1136"/>
      <c r="CB1000" s="1136"/>
      <c r="CC1000" s="1136"/>
      <c r="CD1000" s="1136"/>
      <c r="CE1000" s="1136"/>
      <c r="CF1000" s="1136"/>
      <c r="CG1000" s="1136"/>
      <c r="CH1000" s="1136"/>
      <c r="CI1000" s="1136"/>
      <c r="CJ1000" s="1136"/>
      <c r="CK1000" s="1136"/>
      <c r="CL1000" s="1136"/>
      <c r="CM1000" s="1136"/>
      <c r="CN1000" s="1136"/>
      <c r="CO1000" s="1136"/>
      <c r="CP1000" s="1136"/>
      <c r="CQ1000" s="1136"/>
      <c r="CR1000" s="1136"/>
      <c r="CS1000" s="1136"/>
      <c r="CT1000" s="1136"/>
      <c r="CU1000" s="1136"/>
      <c r="CV1000" s="1136"/>
      <c r="CW1000" s="1136"/>
      <c r="CX1000" s="1136"/>
      <c r="CY1000" s="1136"/>
      <c r="CZ1000" s="1136"/>
      <c r="DA1000" s="1136"/>
      <c r="DB1000" s="1136"/>
      <c r="DC1000" s="1136"/>
      <c r="DD1000" s="1136"/>
      <c r="DE1000" s="1136"/>
      <c r="DF1000" s="1136"/>
      <c r="DG1000" s="1136"/>
      <c r="DH1000" s="1136"/>
      <c r="DI1000" s="1136"/>
    </row>
    <row r="1001" spans="1:113" ht="15.75" x14ac:dyDescent="0.25">
      <c r="A1001" s="1430" t="s">
        <v>830</v>
      </c>
      <c r="B1001" s="1424" t="e">
        <f>B1000*B341</f>
        <v>#VALUE!</v>
      </c>
      <c r="C1001" s="1429"/>
      <c r="D1001" s="1437"/>
      <c r="E1001" s="1437"/>
      <c r="F1001" s="1437"/>
      <c r="G1001" s="1437"/>
      <c r="H1001" s="1531"/>
      <c r="I1001" s="1531"/>
      <c r="J1001" s="1531"/>
      <c r="K1001" s="1531"/>
      <c r="L1001" s="1531"/>
      <c r="M1001" s="1531"/>
      <c r="N1001" s="1531"/>
      <c r="O1001" s="1531"/>
      <c r="P1001" s="1531"/>
      <c r="Q1001" s="1531"/>
      <c r="R1001" s="1531"/>
      <c r="S1001" s="1531"/>
      <c r="T1001" s="1531"/>
      <c r="U1001" s="1531"/>
      <c r="V1001" s="1531"/>
      <c r="W1001" s="1531"/>
      <c r="X1001" s="1531"/>
      <c r="Y1001" s="1531"/>
      <c r="Z1001" s="1531"/>
      <c r="AA1001" s="1531"/>
      <c r="AB1001" s="1531"/>
      <c r="AC1001" s="1531"/>
      <c r="AD1001" s="1531"/>
      <c r="AE1001" s="1531"/>
      <c r="AF1001" s="1531"/>
      <c r="AG1001" s="1531"/>
      <c r="AH1001" s="1531"/>
      <c r="AI1001" s="1531"/>
      <c r="AJ1001" s="1531"/>
      <c r="AK1001" s="1531"/>
      <c r="AL1001" s="1531"/>
      <c r="AM1001" s="1531"/>
      <c r="AN1001" s="1531"/>
      <c r="AO1001" s="1531"/>
      <c r="AP1001" s="1531"/>
      <c r="AQ1001" s="1531"/>
      <c r="AR1001" s="1531"/>
      <c r="AS1001" s="1531"/>
      <c r="AT1001" s="1136"/>
      <c r="AU1001" s="1136"/>
      <c r="AV1001" s="1136"/>
      <c r="AW1001" s="1136"/>
      <c r="AX1001" s="1136"/>
      <c r="AY1001" s="1136"/>
      <c r="AZ1001" s="1136"/>
      <c r="BA1001" s="1136"/>
      <c r="BB1001" s="1136"/>
      <c r="BC1001" s="1136"/>
      <c r="BD1001" s="1136"/>
      <c r="BE1001" s="1136"/>
      <c r="BF1001" s="1136"/>
      <c r="BG1001" s="1136"/>
      <c r="BH1001" s="1136"/>
      <c r="BI1001" s="1136"/>
      <c r="BJ1001" s="1136"/>
      <c r="BK1001" s="1136"/>
      <c r="BL1001" s="1136"/>
      <c r="BM1001" s="1136"/>
      <c r="BN1001" s="1136"/>
      <c r="BO1001" s="1136"/>
      <c r="BP1001" s="1136"/>
      <c r="BQ1001" s="1136"/>
      <c r="BR1001" s="1136"/>
      <c r="BS1001" s="1136"/>
      <c r="BT1001" s="1136"/>
      <c r="BU1001" s="1136"/>
      <c r="BV1001" s="1136"/>
      <c r="BW1001" s="1136"/>
      <c r="BX1001" s="1136"/>
      <c r="BY1001" s="1136"/>
      <c r="BZ1001" s="1136"/>
      <c r="CA1001" s="1136"/>
      <c r="CB1001" s="1136"/>
      <c r="CC1001" s="1136"/>
      <c r="CD1001" s="1136"/>
      <c r="CE1001" s="1136"/>
      <c r="CF1001" s="1136"/>
      <c r="CG1001" s="1136"/>
      <c r="CH1001" s="1136"/>
      <c r="CI1001" s="1136"/>
      <c r="CJ1001" s="1136"/>
      <c r="CK1001" s="1136"/>
      <c r="CL1001" s="1136"/>
      <c r="CM1001" s="1136"/>
      <c r="CN1001" s="1136"/>
      <c r="CO1001" s="1136"/>
      <c r="CP1001" s="1136"/>
      <c r="CQ1001" s="1136"/>
      <c r="CR1001" s="1136"/>
      <c r="CS1001" s="1136"/>
      <c r="CT1001" s="1136"/>
      <c r="CU1001" s="1136"/>
      <c r="CV1001" s="1136"/>
      <c r="CW1001" s="1136"/>
      <c r="CX1001" s="1136"/>
      <c r="CY1001" s="1136"/>
      <c r="CZ1001" s="1136"/>
      <c r="DA1001" s="1136"/>
      <c r="DB1001" s="1136"/>
      <c r="DC1001" s="1136"/>
      <c r="DD1001" s="1136"/>
      <c r="DE1001" s="1136"/>
      <c r="DF1001" s="1136"/>
      <c r="DG1001" s="1136"/>
      <c r="DH1001" s="1136"/>
      <c r="DI1001" s="1136"/>
    </row>
    <row r="1002" spans="1:113" ht="15.75" x14ac:dyDescent="0.25">
      <c r="A1002" s="1466" t="s">
        <v>429</v>
      </c>
      <c r="B1002" s="1453" t="e">
        <f>B999/B1001</f>
        <v>#VALUE!</v>
      </c>
      <c r="C1002" s="1454"/>
      <c r="D1002" s="1432"/>
      <c r="E1002" s="1432"/>
      <c r="F1002" s="1432"/>
      <c r="G1002" s="1432"/>
      <c r="H1002" s="1531"/>
      <c r="I1002" s="1531"/>
      <c r="J1002" s="1531"/>
      <c r="K1002" s="1531"/>
      <c r="L1002" s="1531"/>
      <c r="M1002" s="1531"/>
      <c r="N1002" s="1531"/>
      <c r="O1002" s="1531"/>
      <c r="P1002" s="1531"/>
      <c r="Q1002" s="1531"/>
      <c r="R1002" s="1531"/>
      <c r="S1002" s="1531"/>
      <c r="T1002" s="1531"/>
      <c r="U1002" s="1531"/>
      <c r="V1002" s="1531"/>
      <c r="W1002" s="1531"/>
      <c r="X1002" s="1531"/>
      <c r="Y1002" s="1531"/>
      <c r="Z1002" s="1531"/>
      <c r="AA1002" s="1531"/>
      <c r="AB1002" s="1531"/>
      <c r="AC1002" s="1531"/>
      <c r="AD1002" s="1531"/>
      <c r="AE1002" s="1531"/>
      <c r="AF1002" s="1531"/>
      <c r="AG1002" s="1531"/>
      <c r="AH1002" s="1531"/>
      <c r="AI1002" s="1531"/>
      <c r="AJ1002" s="1531"/>
      <c r="AK1002" s="1531"/>
      <c r="AL1002" s="1531"/>
      <c r="AM1002" s="1531"/>
      <c r="AN1002" s="1531"/>
      <c r="AO1002" s="1531"/>
      <c r="AP1002" s="1531"/>
      <c r="AQ1002" s="1531"/>
      <c r="AR1002" s="1531"/>
      <c r="AS1002" s="1531"/>
      <c r="AT1002" s="1136"/>
      <c r="AU1002" s="1136"/>
      <c r="AV1002" s="1136"/>
      <c r="AW1002" s="1136"/>
      <c r="AX1002" s="1136"/>
      <c r="AY1002" s="1136"/>
      <c r="AZ1002" s="1136"/>
      <c r="BA1002" s="1136"/>
      <c r="BB1002" s="1136"/>
      <c r="BC1002" s="1136"/>
      <c r="BD1002" s="1136"/>
      <c r="BE1002" s="1136"/>
      <c r="BF1002" s="1136"/>
      <c r="BG1002" s="1136"/>
      <c r="BH1002" s="1136"/>
      <c r="BI1002" s="1136"/>
      <c r="BJ1002" s="1136"/>
      <c r="BK1002" s="1136"/>
      <c r="BL1002" s="1136"/>
      <c r="BM1002" s="1136"/>
      <c r="BN1002" s="1136"/>
      <c r="BO1002" s="1136"/>
      <c r="BP1002" s="1136"/>
      <c r="BQ1002" s="1136"/>
      <c r="BR1002" s="1136"/>
      <c r="BS1002" s="1136"/>
      <c r="BT1002" s="1136"/>
      <c r="BU1002" s="1136"/>
      <c r="BV1002" s="1136"/>
      <c r="BW1002" s="1136"/>
      <c r="BX1002" s="1136"/>
      <c r="BY1002" s="1136"/>
      <c r="BZ1002" s="1136"/>
      <c r="CA1002" s="1136"/>
      <c r="CB1002" s="1136"/>
      <c r="CC1002" s="1136"/>
      <c r="CD1002" s="1136"/>
      <c r="CE1002" s="1136"/>
      <c r="CF1002" s="1136"/>
      <c r="CG1002" s="1136"/>
      <c r="CH1002" s="1136"/>
      <c r="CI1002" s="1136"/>
      <c r="CJ1002" s="1136"/>
      <c r="CK1002" s="1136"/>
      <c r="CL1002" s="1136"/>
      <c r="CM1002" s="1136"/>
      <c r="CN1002" s="1136"/>
      <c r="CO1002" s="1136"/>
      <c r="CP1002" s="1136"/>
      <c r="CQ1002" s="1136"/>
      <c r="CR1002" s="1136"/>
      <c r="CS1002" s="1136"/>
      <c r="CT1002" s="1136"/>
      <c r="CU1002" s="1136"/>
      <c r="CV1002" s="1136"/>
      <c r="CW1002" s="1136"/>
      <c r="CX1002" s="1136"/>
      <c r="CY1002" s="1136"/>
      <c r="CZ1002" s="1136"/>
      <c r="DA1002" s="1136"/>
      <c r="DB1002" s="1136"/>
      <c r="DC1002" s="1136"/>
      <c r="DD1002" s="1136"/>
      <c r="DE1002" s="1136"/>
      <c r="DF1002" s="1136"/>
      <c r="DG1002" s="1136"/>
      <c r="DH1002" s="1136"/>
      <c r="DI1002" s="1136"/>
    </row>
    <row r="1003" spans="1:113" ht="15.75" x14ac:dyDescent="0.25">
      <c r="A1003" s="1466"/>
      <c r="B1003" s="1453"/>
      <c r="C1003" s="1454"/>
      <c r="D1003" s="1454"/>
      <c r="E1003" s="1454"/>
      <c r="F1003" s="1454"/>
      <c r="G1003" s="1454"/>
      <c r="H1003" s="1531"/>
      <c r="I1003" s="1531"/>
      <c r="J1003" s="1531"/>
      <c r="K1003" s="1531"/>
      <c r="L1003" s="1531"/>
      <c r="M1003" s="1531"/>
      <c r="N1003" s="1531"/>
      <c r="O1003" s="1531"/>
      <c r="P1003" s="1531"/>
      <c r="Q1003" s="1531"/>
      <c r="R1003" s="1531"/>
      <c r="S1003" s="1531"/>
      <c r="T1003" s="1531"/>
      <c r="U1003" s="1531"/>
      <c r="V1003" s="1531"/>
      <c r="W1003" s="1531"/>
      <c r="X1003" s="1531"/>
      <c r="Y1003" s="1531"/>
      <c r="Z1003" s="1531"/>
      <c r="AA1003" s="1531"/>
      <c r="AB1003" s="1531"/>
      <c r="AC1003" s="1531"/>
      <c r="AD1003" s="1531"/>
      <c r="AE1003" s="1531"/>
      <c r="AF1003" s="1531"/>
      <c r="AG1003" s="1531"/>
      <c r="AH1003" s="1531"/>
      <c r="AI1003" s="1531"/>
      <c r="AJ1003" s="1531"/>
      <c r="AK1003" s="1531"/>
      <c r="AL1003" s="1531"/>
      <c r="AM1003" s="1531"/>
      <c r="AN1003" s="1531"/>
      <c r="AO1003" s="1531"/>
      <c r="AP1003" s="1531"/>
      <c r="AQ1003" s="1531"/>
      <c r="AR1003" s="1531"/>
      <c r="AS1003" s="1531"/>
      <c r="AT1003" s="1136"/>
      <c r="AU1003" s="1136"/>
      <c r="AV1003" s="1136"/>
      <c r="AW1003" s="1136"/>
      <c r="AX1003" s="1136"/>
      <c r="AY1003" s="1136"/>
      <c r="AZ1003" s="1136"/>
      <c r="BA1003" s="1136"/>
      <c r="BB1003" s="1136"/>
      <c r="BC1003" s="1136"/>
      <c r="BD1003" s="1136"/>
      <c r="BE1003" s="1136"/>
      <c r="BF1003" s="1136"/>
      <c r="BG1003" s="1136"/>
      <c r="BH1003" s="1136"/>
      <c r="BI1003" s="1136"/>
      <c r="BJ1003" s="1136"/>
      <c r="BK1003" s="1136"/>
      <c r="BL1003" s="1136"/>
      <c r="BM1003" s="1136"/>
      <c r="BN1003" s="1136"/>
      <c r="BO1003" s="1136"/>
      <c r="BP1003" s="1136"/>
      <c r="BQ1003" s="1136"/>
      <c r="BR1003" s="1136"/>
      <c r="BS1003" s="1136"/>
      <c r="BT1003" s="1136"/>
      <c r="BU1003" s="1136"/>
      <c r="BV1003" s="1136"/>
      <c r="BW1003" s="1136"/>
      <c r="BX1003" s="1136"/>
      <c r="BY1003" s="1136"/>
      <c r="BZ1003" s="1136"/>
      <c r="CA1003" s="1136"/>
      <c r="CB1003" s="1136"/>
      <c r="CC1003" s="1136"/>
      <c r="CD1003" s="1136"/>
      <c r="CE1003" s="1136"/>
      <c r="CF1003" s="1136"/>
      <c r="CG1003" s="1136"/>
      <c r="CH1003" s="1136"/>
      <c r="CI1003" s="1136"/>
      <c r="CJ1003" s="1136"/>
      <c r="CK1003" s="1136"/>
      <c r="CL1003" s="1136"/>
      <c r="CM1003" s="1136"/>
      <c r="CN1003" s="1136"/>
      <c r="CO1003" s="1136"/>
      <c r="CP1003" s="1136"/>
      <c r="CQ1003" s="1136"/>
      <c r="CR1003" s="1136"/>
      <c r="CS1003" s="1136"/>
      <c r="CT1003" s="1136"/>
      <c r="CU1003" s="1136"/>
      <c r="CV1003" s="1136"/>
      <c r="CW1003" s="1136"/>
      <c r="CX1003" s="1136"/>
      <c r="CY1003" s="1136"/>
      <c r="CZ1003" s="1136"/>
      <c r="DA1003" s="1136"/>
      <c r="DB1003" s="1136"/>
      <c r="DC1003" s="1136"/>
      <c r="DD1003" s="1136"/>
      <c r="DE1003" s="1136"/>
      <c r="DF1003" s="1136"/>
      <c r="DG1003" s="1136"/>
      <c r="DH1003" s="1136"/>
      <c r="DI1003" s="1136"/>
    </row>
    <row r="1004" spans="1:113" ht="15.75" x14ac:dyDescent="0.25">
      <c r="A1004" s="1487" t="s">
        <v>5170</v>
      </c>
      <c r="B1004" s="1488"/>
      <c r="C1004" s="1454"/>
      <c r="D1004" s="1350"/>
      <c r="E1004" s="1350"/>
      <c r="F1004" s="1350"/>
      <c r="G1004" s="1350"/>
      <c r="H1004" s="1531"/>
      <c r="I1004" s="1531"/>
      <c r="J1004" s="1531"/>
      <c r="K1004" s="1531"/>
      <c r="L1004" s="1531"/>
      <c r="M1004" s="1531"/>
      <c r="N1004" s="1531"/>
      <c r="O1004" s="1531"/>
      <c r="P1004" s="1531"/>
      <c r="Q1004" s="1531"/>
      <c r="R1004" s="1531"/>
      <c r="S1004" s="1531"/>
      <c r="T1004" s="1531"/>
      <c r="U1004" s="1531"/>
      <c r="V1004" s="1531"/>
      <c r="W1004" s="1531"/>
      <c r="X1004" s="1531"/>
      <c r="Y1004" s="1531"/>
      <c r="Z1004" s="1531"/>
      <c r="AA1004" s="1531"/>
      <c r="AB1004" s="1531"/>
      <c r="AC1004" s="1531"/>
      <c r="AD1004" s="1531"/>
      <c r="AE1004" s="1531"/>
      <c r="AF1004" s="1531"/>
      <c r="AG1004" s="1531"/>
      <c r="AH1004" s="1531"/>
      <c r="AI1004" s="1531"/>
      <c r="AJ1004" s="1531"/>
      <c r="AK1004" s="1531"/>
      <c r="AL1004" s="1531"/>
      <c r="AM1004" s="1531"/>
      <c r="AN1004" s="1531"/>
      <c r="AO1004" s="1531"/>
      <c r="AP1004" s="1531"/>
      <c r="AQ1004" s="1531"/>
      <c r="AR1004" s="1531"/>
      <c r="AS1004" s="1531"/>
      <c r="AT1004" s="1136"/>
      <c r="AU1004" s="1136"/>
      <c r="AV1004" s="1136"/>
      <c r="AW1004" s="1136"/>
      <c r="AX1004" s="1136"/>
      <c r="AY1004" s="1136"/>
      <c r="AZ1004" s="1136"/>
      <c r="BA1004" s="1136"/>
      <c r="BB1004" s="1136"/>
      <c r="BC1004" s="1136"/>
      <c r="BD1004" s="1136"/>
      <c r="BE1004" s="1136"/>
      <c r="BF1004" s="1136"/>
      <c r="BG1004" s="1136"/>
      <c r="BH1004" s="1136"/>
      <c r="BI1004" s="1136"/>
      <c r="BJ1004" s="1136"/>
      <c r="BK1004" s="1136"/>
      <c r="BL1004" s="1136"/>
      <c r="BM1004" s="1136"/>
      <c r="BN1004" s="1136"/>
      <c r="BO1004" s="1136"/>
      <c r="BP1004" s="1136"/>
      <c r="BQ1004" s="1136"/>
      <c r="BR1004" s="1136"/>
      <c r="BS1004" s="1136"/>
      <c r="BT1004" s="1136"/>
      <c r="BU1004" s="1136"/>
      <c r="BV1004" s="1136"/>
      <c r="BW1004" s="1136"/>
      <c r="BX1004" s="1136"/>
      <c r="BY1004" s="1136"/>
      <c r="BZ1004" s="1136"/>
      <c r="CA1004" s="1136"/>
      <c r="CB1004" s="1136"/>
      <c r="CC1004" s="1136"/>
      <c r="CD1004" s="1136"/>
      <c r="CE1004" s="1136"/>
      <c r="CF1004" s="1136"/>
      <c r="CG1004" s="1136"/>
      <c r="CH1004" s="1136"/>
      <c r="CI1004" s="1136"/>
      <c r="CJ1004" s="1136"/>
      <c r="CK1004" s="1136"/>
      <c r="CL1004" s="1136"/>
      <c r="CM1004" s="1136"/>
      <c r="CN1004" s="1136"/>
      <c r="CO1004" s="1136"/>
      <c r="CP1004" s="1136"/>
      <c r="CQ1004" s="1136"/>
      <c r="CR1004" s="1136"/>
      <c r="CS1004" s="1136"/>
      <c r="CT1004" s="1136"/>
      <c r="CU1004" s="1136"/>
      <c r="CV1004" s="1136"/>
      <c r="CW1004" s="1136"/>
      <c r="CX1004" s="1136"/>
      <c r="CY1004" s="1136"/>
      <c r="CZ1004" s="1136"/>
      <c r="DA1004" s="1136"/>
      <c r="DB1004" s="1136"/>
      <c r="DC1004" s="1136"/>
      <c r="DD1004" s="1136"/>
      <c r="DE1004" s="1136"/>
      <c r="DF1004" s="1136"/>
      <c r="DG1004" s="1136"/>
      <c r="DH1004" s="1136"/>
      <c r="DI1004" s="1136"/>
    </row>
    <row r="1005" spans="1:113" ht="15.75" x14ac:dyDescent="0.25">
      <c r="A1005" s="1489" t="s">
        <v>5171</v>
      </c>
      <c r="B1005" s="1490">
        <f>B291/B311</f>
        <v>1.25</v>
      </c>
      <c r="C1005" s="1432"/>
      <c r="D1005" s="1350"/>
      <c r="E1005" s="1350"/>
      <c r="F1005" s="1350"/>
      <c r="G1005" s="1350"/>
      <c r="H1005" s="1531"/>
      <c r="I1005" s="1531"/>
      <c r="J1005" s="1531"/>
      <c r="K1005" s="1531"/>
      <c r="L1005" s="1531"/>
      <c r="M1005" s="1531"/>
      <c r="N1005" s="1531"/>
      <c r="O1005" s="1531"/>
      <c r="P1005" s="1531"/>
      <c r="Q1005" s="1531"/>
      <c r="R1005" s="1531"/>
      <c r="S1005" s="1531"/>
      <c r="T1005" s="1531"/>
      <c r="U1005" s="1531"/>
      <c r="V1005" s="1531"/>
      <c r="W1005" s="1531"/>
      <c r="X1005" s="1531"/>
      <c r="Y1005" s="1531"/>
      <c r="Z1005" s="1531"/>
      <c r="AA1005" s="1531"/>
      <c r="AB1005" s="1531"/>
      <c r="AC1005" s="1531"/>
      <c r="AD1005" s="1531"/>
      <c r="AE1005" s="1531"/>
      <c r="AF1005" s="1531"/>
      <c r="AG1005" s="1531"/>
      <c r="AH1005" s="1531"/>
      <c r="AI1005" s="1531"/>
      <c r="AJ1005" s="1531"/>
      <c r="AK1005" s="1531"/>
      <c r="AL1005" s="1531"/>
      <c r="AM1005" s="1531"/>
      <c r="AN1005" s="1531"/>
      <c r="AO1005" s="1531"/>
      <c r="AP1005" s="1531"/>
      <c r="AQ1005" s="1531"/>
      <c r="AR1005" s="1531"/>
      <c r="AS1005" s="1531"/>
      <c r="AT1005" s="1136"/>
      <c r="AU1005" s="1136"/>
      <c r="AV1005" s="1136"/>
      <c r="AW1005" s="1136"/>
      <c r="AX1005" s="1136"/>
      <c r="AY1005" s="1136"/>
      <c r="AZ1005" s="1136"/>
      <c r="BA1005" s="1136"/>
      <c r="BB1005" s="1136"/>
      <c r="BC1005" s="1136"/>
      <c r="BD1005" s="1136"/>
      <c r="BE1005" s="1136"/>
      <c r="BF1005" s="1136"/>
      <c r="BG1005" s="1136"/>
      <c r="BH1005" s="1136"/>
      <c r="BI1005" s="1136"/>
      <c r="BJ1005" s="1136"/>
      <c r="BK1005" s="1136"/>
      <c r="BL1005" s="1136"/>
      <c r="BM1005" s="1136"/>
      <c r="BN1005" s="1136"/>
      <c r="BO1005" s="1136"/>
      <c r="BP1005" s="1136"/>
      <c r="BQ1005" s="1136"/>
      <c r="BR1005" s="1136"/>
      <c r="BS1005" s="1136"/>
      <c r="BT1005" s="1136"/>
      <c r="BU1005" s="1136"/>
      <c r="BV1005" s="1136"/>
      <c r="BW1005" s="1136"/>
      <c r="BX1005" s="1136"/>
      <c r="BY1005" s="1136"/>
      <c r="BZ1005" s="1136"/>
      <c r="CA1005" s="1136"/>
      <c r="CB1005" s="1136"/>
      <c r="CC1005" s="1136"/>
      <c r="CD1005" s="1136"/>
      <c r="CE1005" s="1136"/>
      <c r="CF1005" s="1136"/>
      <c r="CG1005" s="1136"/>
      <c r="CH1005" s="1136"/>
      <c r="CI1005" s="1136"/>
      <c r="CJ1005" s="1136"/>
      <c r="CK1005" s="1136"/>
      <c r="CL1005" s="1136"/>
      <c r="CM1005" s="1136"/>
      <c r="CN1005" s="1136"/>
      <c r="CO1005" s="1136"/>
      <c r="CP1005" s="1136"/>
      <c r="CQ1005" s="1136"/>
      <c r="CR1005" s="1136"/>
      <c r="CS1005" s="1136"/>
      <c r="CT1005" s="1136"/>
      <c r="CU1005" s="1136"/>
      <c r="CV1005" s="1136"/>
      <c r="CW1005" s="1136"/>
      <c r="CX1005" s="1136"/>
      <c r="CY1005" s="1136"/>
      <c r="CZ1005" s="1136"/>
      <c r="DA1005" s="1136"/>
      <c r="DB1005" s="1136"/>
      <c r="DC1005" s="1136"/>
      <c r="DD1005" s="1136"/>
      <c r="DE1005" s="1136"/>
      <c r="DF1005" s="1136"/>
      <c r="DG1005" s="1136"/>
      <c r="DH1005" s="1136"/>
      <c r="DI1005" s="1136"/>
    </row>
    <row r="1006" spans="1:113" ht="47.25" x14ac:dyDescent="0.25">
      <c r="A1006" s="1491" t="s">
        <v>3196</v>
      </c>
      <c r="B1006" s="1492">
        <f>B265</f>
        <v>1</v>
      </c>
      <c r="C1006" s="1470"/>
      <c r="D1006" s="1432"/>
      <c r="E1006" s="1432"/>
      <c r="F1006" s="1432"/>
      <c r="G1006" s="1432"/>
      <c r="H1006" s="1531"/>
      <c r="I1006" s="1531"/>
      <c r="J1006" s="1531"/>
      <c r="K1006" s="1531"/>
      <c r="L1006" s="1531"/>
      <c r="M1006" s="1531"/>
      <c r="N1006" s="1531"/>
      <c r="O1006" s="1531"/>
      <c r="P1006" s="1531"/>
      <c r="Q1006" s="1531"/>
      <c r="R1006" s="1531"/>
      <c r="S1006" s="1531"/>
      <c r="T1006" s="1531"/>
      <c r="U1006" s="1531"/>
      <c r="V1006" s="1531"/>
      <c r="W1006" s="1531"/>
      <c r="X1006" s="1531"/>
      <c r="Y1006" s="1531"/>
      <c r="Z1006" s="1531"/>
      <c r="AA1006" s="1531"/>
      <c r="AB1006" s="1531"/>
      <c r="AC1006" s="1531"/>
      <c r="AD1006" s="1531"/>
      <c r="AE1006" s="1531"/>
      <c r="AF1006" s="1531"/>
      <c r="AG1006" s="1531"/>
      <c r="AH1006" s="1531"/>
      <c r="AI1006" s="1531"/>
      <c r="AJ1006" s="1531"/>
      <c r="AK1006" s="1531"/>
      <c r="AL1006" s="1531"/>
      <c r="AM1006" s="1531"/>
      <c r="AN1006" s="1531"/>
      <c r="AO1006" s="1531"/>
      <c r="AP1006" s="1531"/>
      <c r="AQ1006" s="1531"/>
      <c r="AR1006" s="1531"/>
      <c r="AS1006" s="1531"/>
      <c r="AT1006" s="1136"/>
      <c r="AU1006" s="1136"/>
      <c r="AV1006" s="1136"/>
      <c r="AW1006" s="1136"/>
      <c r="AX1006" s="1136"/>
      <c r="AY1006" s="1136"/>
      <c r="AZ1006" s="1136"/>
      <c r="BA1006" s="1136"/>
      <c r="BB1006" s="1136"/>
      <c r="BC1006" s="1136"/>
      <c r="BD1006" s="1136"/>
      <c r="BE1006" s="1136"/>
      <c r="BF1006" s="1136"/>
      <c r="BG1006" s="1136"/>
      <c r="BH1006" s="1136"/>
      <c r="BI1006" s="1136"/>
      <c r="BJ1006" s="1136"/>
      <c r="BK1006" s="1136"/>
      <c r="BL1006" s="1136"/>
      <c r="BM1006" s="1136"/>
      <c r="BN1006" s="1136"/>
      <c r="BO1006" s="1136"/>
      <c r="BP1006" s="1136"/>
      <c r="BQ1006" s="1136"/>
      <c r="BR1006" s="1136"/>
      <c r="BS1006" s="1136"/>
      <c r="BT1006" s="1136"/>
      <c r="BU1006" s="1136"/>
      <c r="BV1006" s="1136"/>
      <c r="BW1006" s="1136"/>
      <c r="BX1006" s="1136"/>
      <c r="BY1006" s="1136"/>
      <c r="BZ1006" s="1136"/>
      <c r="CA1006" s="1136"/>
      <c r="CB1006" s="1136"/>
      <c r="CC1006" s="1136"/>
      <c r="CD1006" s="1136"/>
      <c r="CE1006" s="1136"/>
      <c r="CF1006" s="1136"/>
      <c r="CG1006" s="1136"/>
      <c r="CH1006" s="1136"/>
      <c r="CI1006" s="1136"/>
      <c r="CJ1006" s="1136"/>
      <c r="CK1006" s="1136"/>
      <c r="CL1006" s="1136"/>
      <c r="CM1006" s="1136"/>
      <c r="CN1006" s="1136"/>
      <c r="CO1006" s="1136"/>
      <c r="CP1006" s="1136"/>
      <c r="CQ1006" s="1136"/>
      <c r="CR1006" s="1136"/>
      <c r="CS1006" s="1136"/>
      <c r="CT1006" s="1136"/>
      <c r="CU1006" s="1136"/>
      <c r="CV1006" s="1136"/>
      <c r="CW1006" s="1136"/>
      <c r="CX1006" s="1136"/>
      <c r="CY1006" s="1136"/>
      <c r="CZ1006" s="1136"/>
      <c r="DA1006" s="1136"/>
      <c r="DB1006" s="1136"/>
      <c r="DC1006" s="1136"/>
      <c r="DD1006" s="1136"/>
      <c r="DE1006" s="1136"/>
      <c r="DF1006" s="1136"/>
      <c r="DG1006" s="1136"/>
      <c r="DH1006" s="1136"/>
      <c r="DI1006" s="1136"/>
    </row>
    <row r="1007" spans="1:113" ht="12.75" customHeight="1" x14ac:dyDescent="0.25">
      <c r="A1007" s="1489" t="s">
        <v>425</v>
      </c>
      <c r="B1007" s="1490">
        <f>IF(B1006&lt;2,B1010,IF(B1006&lt;3,B1009,B1011))</f>
        <v>8.68</v>
      </c>
      <c r="C1007" s="1432"/>
      <c r="D1007" s="1446"/>
      <c r="E1007" s="1446"/>
      <c r="F1007" s="1446"/>
      <c r="G1007" s="1446"/>
      <c r="H1007" s="1531"/>
      <c r="I1007" s="1531"/>
      <c r="J1007" s="1531"/>
      <c r="K1007" s="1531"/>
      <c r="L1007" s="1531"/>
      <c r="M1007" s="1531"/>
      <c r="N1007" s="1531"/>
      <c r="O1007" s="1531"/>
      <c r="P1007" s="1531"/>
      <c r="Q1007" s="1531"/>
      <c r="R1007" s="1531"/>
      <c r="S1007" s="1531"/>
      <c r="T1007" s="1531"/>
      <c r="U1007" s="1531"/>
      <c r="V1007" s="1531"/>
      <c r="W1007" s="1531"/>
      <c r="X1007" s="1531"/>
      <c r="Y1007" s="1531"/>
      <c r="Z1007" s="1531"/>
      <c r="AA1007" s="1531"/>
      <c r="AB1007" s="1531"/>
      <c r="AC1007" s="1531"/>
      <c r="AD1007" s="1531"/>
      <c r="AE1007" s="1531"/>
      <c r="AF1007" s="1531"/>
      <c r="AG1007" s="1531"/>
      <c r="AH1007" s="1531"/>
      <c r="AI1007" s="1531"/>
      <c r="AJ1007" s="1531"/>
      <c r="AK1007" s="1531"/>
      <c r="AL1007" s="1531"/>
      <c r="AM1007" s="1531"/>
      <c r="AN1007" s="1531"/>
      <c r="AO1007" s="1531"/>
      <c r="AP1007" s="1531"/>
      <c r="AQ1007" s="1531"/>
      <c r="AR1007" s="1531"/>
      <c r="AS1007" s="1531"/>
      <c r="AT1007" s="1136"/>
      <c r="AU1007" s="1136"/>
      <c r="AV1007" s="1136"/>
      <c r="AW1007" s="1136"/>
      <c r="AX1007" s="1136"/>
      <c r="AY1007" s="1136"/>
      <c r="AZ1007" s="1136"/>
      <c r="BA1007" s="1136"/>
      <c r="BB1007" s="1136"/>
      <c r="BC1007" s="1136"/>
      <c r="BD1007" s="1136"/>
      <c r="BE1007" s="1136"/>
      <c r="BF1007" s="1136"/>
      <c r="BG1007" s="1136"/>
      <c r="BH1007" s="1136"/>
      <c r="BI1007" s="1136"/>
      <c r="BJ1007" s="1136"/>
      <c r="BK1007" s="1136"/>
      <c r="BL1007" s="1136"/>
      <c r="BM1007" s="1136"/>
      <c r="BN1007" s="1136"/>
      <c r="BO1007" s="1136"/>
      <c r="BP1007" s="1136"/>
      <c r="BQ1007" s="1136"/>
      <c r="BR1007" s="1136"/>
      <c r="BS1007" s="1136"/>
      <c r="BT1007" s="1136"/>
      <c r="BU1007" s="1136"/>
      <c r="BV1007" s="1136"/>
      <c r="BW1007" s="1136"/>
      <c r="BX1007" s="1136"/>
      <c r="BY1007" s="1136"/>
      <c r="BZ1007" s="1136"/>
      <c r="CA1007" s="1136"/>
      <c r="CB1007" s="1136"/>
      <c r="CC1007" s="1136"/>
      <c r="CD1007" s="1136"/>
      <c r="CE1007" s="1136"/>
      <c r="CF1007" s="1136"/>
      <c r="CG1007" s="1136"/>
      <c r="CH1007" s="1136"/>
      <c r="CI1007" s="1136"/>
      <c r="CJ1007" s="1136"/>
      <c r="CK1007" s="1136"/>
      <c r="CL1007" s="1136"/>
      <c r="CM1007" s="1136"/>
      <c r="CN1007" s="1136"/>
      <c r="CO1007" s="1136"/>
      <c r="CP1007" s="1136"/>
      <c r="CQ1007" s="1136"/>
      <c r="CR1007" s="1136"/>
      <c r="CS1007" s="1136"/>
      <c r="CT1007" s="1136"/>
      <c r="CU1007" s="1136"/>
      <c r="CV1007" s="1136"/>
      <c r="CW1007" s="1136"/>
      <c r="CX1007" s="1136"/>
      <c r="CY1007" s="1136"/>
      <c r="CZ1007" s="1136"/>
      <c r="DA1007" s="1136"/>
      <c r="DB1007" s="1136"/>
      <c r="DC1007" s="1136"/>
      <c r="DD1007" s="1136"/>
      <c r="DE1007" s="1136"/>
      <c r="DF1007" s="1136"/>
      <c r="DG1007" s="1136"/>
      <c r="DH1007" s="1136"/>
      <c r="DI1007" s="1136"/>
    </row>
    <row r="1008" spans="1:113" ht="15.75" x14ac:dyDescent="0.25">
      <c r="A1008" s="1493" t="s">
        <v>3001</v>
      </c>
      <c r="B1008" s="1494"/>
      <c r="C1008" s="1454"/>
      <c r="D1008" s="1429"/>
      <c r="E1008" s="1429"/>
      <c r="F1008" s="1429"/>
      <c r="G1008" s="1429"/>
      <c r="H1008" s="1531"/>
      <c r="I1008" s="1531"/>
      <c r="J1008" s="1531"/>
      <c r="K1008" s="1531"/>
      <c r="L1008" s="1531"/>
      <c r="M1008" s="1531"/>
      <c r="N1008" s="1531"/>
      <c r="O1008" s="1531"/>
      <c r="P1008" s="1531"/>
      <c r="Q1008" s="1531"/>
      <c r="R1008" s="1531"/>
      <c r="S1008" s="1531"/>
      <c r="T1008" s="1531"/>
      <c r="U1008" s="1531"/>
      <c r="V1008" s="1531"/>
      <c r="W1008" s="1531"/>
      <c r="X1008" s="1531"/>
      <c r="Y1008" s="1531"/>
      <c r="Z1008" s="1531"/>
      <c r="AA1008" s="1531"/>
      <c r="AB1008" s="1531"/>
      <c r="AC1008" s="1531"/>
      <c r="AD1008" s="1531"/>
      <c r="AE1008" s="1531"/>
      <c r="AF1008" s="1531"/>
      <c r="AG1008" s="1531"/>
      <c r="AH1008" s="1531"/>
      <c r="AI1008" s="1531"/>
      <c r="AJ1008" s="1531"/>
      <c r="AK1008" s="1531"/>
      <c r="AL1008" s="1531"/>
      <c r="AM1008" s="1531"/>
      <c r="AN1008" s="1531"/>
      <c r="AO1008" s="1531"/>
      <c r="AP1008" s="1531"/>
      <c r="AQ1008" s="1531"/>
      <c r="AR1008" s="1531"/>
      <c r="AS1008" s="1531"/>
      <c r="AT1008" s="1136"/>
      <c r="AU1008" s="1136"/>
      <c r="AV1008" s="1136"/>
      <c r="AW1008" s="1136"/>
      <c r="AX1008" s="1136"/>
      <c r="AY1008" s="1136"/>
      <c r="AZ1008" s="1136"/>
      <c r="BA1008" s="1136"/>
      <c r="BB1008" s="1136"/>
      <c r="BC1008" s="1136"/>
      <c r="BD1008" s="1136"/>
      <c r="BE1008" s="1136"/>
      <c r="BF1008" s="1136"/>
      <c r="BG1008" s="1136"/>
      <c r="BH1008" s="1136"/>
      <c r="BI1008" s="1136"/>
      <c r="BJ1008" s="1136"/>
      <c r="BK1008" s="1136"/>
      <c r="BL1008" s="1136"/>
      <c r="BM1008" s="1136"/>
      <c r="BN1008" s="1136"/>
      <c r="BO1008" s="1136"/>
      <c r="BP1008" s="1136"/>
      <c r="BQ1008" s="1136"/>
      <c r="BR1008" s="1136"/>
      <c r="BS1008" s="1136"/>
      <c r="BT1008" s="1136"/>
      <c r="BU1008" s="1136"/>
      <c r="BV1008" s="1136"/>
      <c r="BW1008" s="1136"/>
      <c r="BX1008" s="1136"/>
      <c r="BY1008" s="1136"/>
      <c r="BZ1008" s="1136"/>
      <c r="CA1008" s="1136"/>
      <c r="CB1008" s="1136"/>
      <c r="CC1008" s="1136"/>
      <c r="CD1008" s="1136"/>
      <c r="CE1008" s="1136"/>
      <c r="CF1008" s="1136"/>
      <c r="CG1008" s="1136"/>
      <c r="CH1008" s="1136"/>
      <c r="CI1008" s="1136"/>
      <c r="CJ1008" s="1136"/>
      <c r="CK1008" s="1136"/>
      <c r="CL1008" s="1136"/>
      <c r="CM1008" s="1136"/>
      <c r="CN1008" s="1136"/>
      <c r="CO1008" s="1136"/>
      <c r="CP1008" s="1136"/>
      <c r="CQ1008" s="1136"/>
      <c r="CR1008" s="1136"/>
      <c r="CS1008" s="1136"/>
      <c r="CT1008" s="1136"/>
      <c r="CU1008" s="1136"/>
      <c r="CV1008" s="1136"/>
      <c r="CW1008" s="1136"/>
      <c r="CX1008" s="1136"/>
      <c r="CY1008" s="1136"/>
      <c r="CZ1008" s="1136"/>
      <c r="DA1008" s="1136"/>
      <c r="DB1008" s="1136"/>
      <c r="DC1008" s="1136"/>
      <c r="DD1008" s="1136"/>
      <c r="DE1008" s="1136"/>
      <c r="DF1008" s="1136"/>
      <c r="DG1008" s="1136"/>
      <c r="DH1008" s="1136"/>
      <c r="DI1008" s="1136"/>
    </row>
    <row r="1009" spans="1:113" ht="15.75" x14ac:dyDescent="0.25">
      <c r="A1009" s="1489" t="s">
        <v>5112</v>
      </c>
      <c r="B1009" s="1490">
        <f>IF(B315&lt;6.01,11.5,IF(B315&lt;8.01,9.41,IF(B315&lt;10.01,7.87,IF(B315&lt;12.01,6.5,IF(B315&lt;14.01,5.66,IF(B315&lt;16.01,4.84,IF(B315&lt;18.01,4.08,3.5)))))))</f>
        <v>11.5</v>
      </c>
      <c r="C1009" s="1432"/>
      <c r="D1009" s="1454"/>
      <c r="E1009" s="1454"/>
      <c r="F1009" s="1454"/>
      <c r="G1009" s="1454"/>
      <c r="H1009" s="1531"/>
      <c r="I1009" s="1531"/>
      <c r="J1009" s="1531"/>
      <c r="K1009" s="1531"/>
      <c r="L1009" s="1531"/>
      <c r="M1009" s="1531"/>
      <c r="N1009" s="1531"/>
      <c r="O1009" s="1531"/>
      <c r="P1009" s="1531"/>
      <c r="Q1009" s="1531"/>
      <c r="R1009" s="1531"/>
      <c r="S1009" s="1531"/>
      <c r="T1009" s="1531"/>
      <c r="U1009" s="1531"/>
      <c r="V1009" s="1531"/>
      <c r="W1009" s="1531"/>
      <c r="X1009" s="1531"/>
      <c r="Y1009" s="1531"/>
      <c r="Z1009" s="1531"/>
      <c r="AA1009" s="1531"/>
      <c r="AB1009" s="1531"/>
      <c r="AC1009" s="1531"/>
      <c r="AD1009" s="1531"/>
      <c r="AE1009" s="1531"/>
      <c r="AF1009" s="1531"/>
      <c r="AG1009" s="1531"/>
      <c r="AH1009" s="1531"/>
      <c r="AI1009" s="1531"/>
      <c r="AJ1009" s="1531"/>
      <c r="AK1009" s="1531"/>
      <c r="AL1009" s="1531"/>
      <c r="AM1009" s="1531"/>
      <c r="AN1009" s="1531"/>
      <c r="AO1009" s="1531"/>
      <c r="AP1009" s="1531"/>
      <c r="AQ1009" s="1531"/>
      <c r="AR1009" s="1531"/>
      <c r="AS1009" s="1531"/>
      <c r="AT1009" s="1136"/>
      <c r="AU1009" s="1136"/>
      <c r="AV1009" s="1136"/>
      <c r="AW1009" s="1136"/>
      <c r="AX1009" s="1136"/>
      <c r="AY1009" s="1136"/>
      <c r="AZ1009" s="1136"/>
      <c r="BA1009" s="1136"/>
      <c r="BB1009" s="1136"/>
      <c r="BC1009" s="1136"/>
      <c r="BD1009" s="1136"/>
      <c r="BE1009" s="1136"/>
      <c r="BF1009" s="1136"/>
      <c r="BG1009" s="1136"/>
      <c r="BH1009" s="1136"/>
      <c r="BI1009" s="1136"/>
      <c r="BJ1009" s="1136"/>
      <c r="BK1009" s="1136"/>
      <c r="BL1009" s="1136"/>
      <c r="BM1009" s="1136"/>
      <c r="BN1009" s="1136"/>
      <c r="BO1009" s="1136"/>
      <c r="BP1009" s="1136"/>
      <c r="BQ1009" s="1136"/>
      <c r="BR1009" s="1136"/>
      <c r="BS1009" s="1136"/>
      <c r="BT1009" s="1136"/>
      <c r="BU1009" s="1136"/>
      <c r="BV1009" s="1136"/>
      <c r="BW1009" s="1136"/>
      <c r="BX1009" s="1136"/>
      <c r="BY1009" s="1136"/>
      <c r="BZ1009" s="1136"/>
      <c r="CA1009" s="1136"/>
      <c r="CB1009" s="1136"/>
      <c r="CC1009" s="1136"/>
      <c r="CD1009" s="1136"/>
      <c r="CE1009" s="1136"/>
      <c r="CF1009" s="1136"/>
      <c r="CG1009" s="1136"/>
      <c r="CH1009" s="1136"/>
      <c r="CI1009" s="1136"/>
      <c r="CJ1009" s="1136"/>
      <c r="CK1009" s="1136"/>
      <c r="CL1009" s="1136"/>
      <c r="CM1009" s="1136"/>
      <c r="CN1009" s="1136"/>
      <c r="CO1009" s="1136"/>
      <c r="CP1009" s="1136"/>
      <c r="CQ1009" s="1136"/>
      <c r="CR1009" s="1136"/>
      <c r="CS1009" s="1136"/>
      <c r="CT1009" s="1136"/>
      <c r="CU1009" s="1136"/>
      <c r="CV1009" s="1136"/>
      <c r="CW1009" s="1136"/>
      <c r="CX1009" s="1136"/>
      <c r="CY1009" s="1136"/>
      <c r="CZ1009" s="1136"/>
      <c r="DA1009" s="1136"/>
      <c r="DB1009" s="1136"/>
      <c r="DC1009" s="1136"/>
      <c r="DD1009" s="1136"/>
      <c r="DE1009" s="1136"/>
      <c r="DF1009" s="1136"/>
      <c r="DG1009" s="1136"/>
      <c r="DH1009" s="1136"/>
      <c r="DI1009" s="1136"/>
    </row>
    <row r="1010" spans="1:113" ht="15.75" x14ac:dyDescent="0.25">
      <c r="A1010" s="1489" t="s">
        <v>5113</v>
      </c>
      <c r="B1010" s="1490">
        <f>IF(B315&lt;6.01,8.68,IF(B315&lt;8.01,7.4,IF(B315&lt;10.01,6.28,IF(B315&lt;12.01,5.38,IF(B315&lt;14.01,4.7,IF(B315&lt;16.01,4.24,IF(B315&lt;18.01,3.71,3.37)))))))</f>
        <v>8.68</v>
      </c>
      <c r="C1010" s="1432"/>
      <c r="D1010" s="1454"/>
      <c r="E1010" s="1454"/>
      <c r="F1010" s="1454"/>
      <c r="G1010" s="1454"/>
      <c r="H1010" s="1531"/>
      <c r="I1010" s="1531"/>
      <c r="J1010" s="1531"/>
      <c r="K1010" s="1531"/>
      <c r="L1010" s="1531"/>
      <c r="M1010" s="1531"/>
      <c r="N1010" s="1531"/>
      <c r="O1010" s="1531"/>
      <c r="P1010" s="1531"/>
      <c r="Q1010" s="1531"/>
      <c r="R1010" s="1531"/>
      <c r="S1010" s="1531"/>
      <c r="T1010" s="1531"/>
      <c r="U1010" s="1531"/>
      <c r="V1010" s="1531"/>
      <c r="W1010" s="1531"/>
      <c r="X1010" s="1531"/>
      <c r="Y1010" s="1531"/>
      <c r="Z1010" s="1531"/>
      <c r="AA1010" s="1531"/>
      <c r="AB1010" s="1531"/>
      <c r="AC1010" s="1531"/>
      <c r="AD1010" s="1531"/>
      <c r="AE1010" s="1531"/>
      <c r="AF1010" s="1531"/>
      <c r="AG1010" s="1531"/>
      <c r="AH1010" s="1531"/>
      <c r="AI1010" s="1531"/>
      <c r="AJ1010" s="1531"/>
      <c r="AK1010" s="1531"/>
      <c r="AL1010" s="1531"/>
      <c r="AM1010" s="1531"/>
      <c r="AN1010" s="1531"/>
      <c r="AO1010" s="1531"/>
      <c r="AP1010" s="1531"/>
      <c r="AQ1010" s="1531"/>
      <c r="AR1010" s="1531"/>
      <c r="AS1010" s="1531"/>
      <c r="AT1010" s="1136"/>
      <c r="AU1010" s="1136"/>
      <c r="AV1010" s="1136"/>
      <c r="AW1010" s="1136"/>
      <c r="AX1010" s="1136"/>
      <c r="AY1010" s="1136"/>
      <c r="AZ1010" s="1136"/>
      <c r="BA1010" s="1136"/>
      <c r="BB1010" s="1136"/>
      <c r="BC1010" s="1136"/>
      <c r="BD1010" s="1136"/>
      <c r="BE1010" s="1136"/>
      <c r="BF1010" s="1136"/>
      <c r="BG1010" s="1136"/>
      <c r="BH1010" s="1136"/>
      <c r="BI1010" s="1136"/>
      <c r="BJ1010" s="1136"/>
      <c r="BK1010" s="1136"/>
      <c r="BL1010" s="1136"/>
      <c r="BM1010" s="1136"/>
      <c r="BN1010" s="1136"/>
      <c r="BO1010" s="1136"/>
      <c r="BP1010" s="1136"/>
      <c r="BQ1010" s="1136"/>
      <c r="BR1010" s="1136"/>
      <c r="BS1010" s="1136"/>
      <c r="BT1010" s="1136"/>
      <c r="BU1010" s="1136"/>
      <c r="BV1010" s="1136"/>
      <c r="BW1010" s="1136"/>
      <c r="BX1010" s="1136"/>
      <c r="BY1010" s="1136"/>
      <c r="BZ1010" s="1136"/>
      <c r="CA1010" s="1136"/>
      <c r="CB1010" s="1136"/>
      <c r="CC1010" s="1136"/>
      <c r="CD1010" s="1136"/>
      <c r="CE1010" s="1136"/>
      <c r="CF1010" s="1136"/>
      <c r="CG1010" s="1136"/>
      <c r="CH1010" s="1136"/>
      <c r="CI1010" s="1136"/>
      <c r="CJ1010" s="1136"/>
      <c r="CK1010" s="1136"/>
      <c r="CL1010" s="1136"/>
      <c r="CM1010" s="1136"/>
      <c r="CN1010" s="1136"/>
      <c r="CO1010" s="1136"/>
      <c r="CP1010" s="1136"/>
      <c r="CQ1010" s="1136"/>
      <c r="CR1010" s="1136"/>
      <c r="CS1010" s="1136"/>
      <c r="CT1010" s="1136"/>
      <c r="CU1010" s="1136"/>
      <c r="CV1010" s="1136"/>
      <c r="CW1010" s="1136"/>
      <c r="CX1010" s="1136"/>
      <c r="CY1010" s="1136"/>
      <c r="CZ1010" s="1136"/>
      <c r="DA1010" s="1136"/>
      <c r="DB1010" s="1136"/>
      <c r="DC1010" s="1136"/>
      <c r="DD1010" s="1136"/>
      <c r="DE1010" s="1136"/>
      <c r="DF1010" s="1136"/>
      <c r="DG1010" s="1136"/>
      <c r="DH1010" s="1136"/>
      <c r="DI1010" s="1136"/>
    </row>
    <row r="1011" spans="1:113" ht="15.75" x14ac:dyDescent="0.25">
      <c r="A1011" s="1489" t="s">
        <v>5114</v>
      </c>
      <c r="B1011" s="1490">
        <f>IF(B315&lt;6.01,6.32,IF(B315&lt;8.01,5.69,IF(B315&lt;10.01,4.97,IF(B315&lt;12.01,4.34,IF(B315&lt;14.01,3.97,IF(B315&lt;16.01,3.62,IF(B315&lt;18.01,3.29,2.98)))))))</f>
        <v>6.32</v>
      </c>
      <c r="C1011" s="1432"/>
      <c r="D1011" s="1454"/>
      <c r="E1011" s="1454"/>
      <c r="F1011" s="1454"/>
      <c r="G1011" s="1454"/>
      <c r="H1011" s="1531"/>
      <c r="I1011" s="1531"/>
      <c r="J1011" s="1531"/>
      <c r="K1011" s="1531"/>
      <c r="L1011" s="1531"/>
      <c r="M1011" s="1531"/>
      <c r="N1011" s="1531"/>
      <c r="O1011" s="1531"/>
      <c r="P1011" s="1531"/>
      <c r="Q1011" s="1531"/>
      <c r="R1011" s="1531"/>
      <c r="S1011" s="1531"/>
      <c r="T1011" s="1531"/>
      <c r="U1011" s="1531"/>
      <c r="V1011" s="1531"/>
      <c r="W1011" s="1531"/>
      <c r="X1011" s="1531"/>
      <c r="Y1011" s="1531"/>
      <c r="Z1011" s="1531"/>
      <c r="AA1011" s="1531"/>
      <c r="AB1011" s="1531"/>
      <c r="AC1011" s="1531"/>
      <c r="AD1011" s="1531"/>
      <c r="AE1011" s="1531"/>
      <c r="AF1011" s="1531"/>
      <c r="AG1011" s="1531"/>
      <c r="AH1011" s="1531"/>
      <c r="AI1011" s="1531"/>
      <c r="AJ1011" s="1531"/>
      <c r="AK1011" s="1531"/>
      <c r="AL1011" s="1531"/>
      <c r="AM1011" s="1531"/>
      <c r="AN1011" s="1531"/>
      <c r="AO1011" s="1531"/>
      <c r="AP1011" s="1531"/>
      <c r="AQ1011" s="1531"/>
      <c r="AR1011" s="1531"/>
      <c r="AS1011" s="1531"/>
      <c r="AT1011" s="1136"/>
      <c r="AU1011" s="1136"/>
      <c r="AV1011" s="1136"/>
      <c r="AW1011" s="1136"/>
      <c r="AX1011" s="1136"/>
      <c r="AY1011" s="1136"/>
      <c r="AZ1011" s="1136"/>
      <c r="BA1011" s="1136"/>
      <c r="BB1011" s="1136"/>
      <c r="BC1011" s="1136"/>
      <c r="BD1011" s="1136"/>
      <c r="BE1011" s="1136"/>
      <c r="BF1011" s="1136"/>
      <c r="BG1011" s="1136"/>
      <c r="BH1011" s="1136"/>
      <c r="BI1011" s="1136"/>
      <c r="BJ1011" s="1136"/>
      <c r="BK1011" s="1136"/>
      <c r="BL1011" s="1136"/>
      <c r="BM1011" s="1136"/>
      <c r="BN1011" s="1136"/>
      <c r="BO1011" s="1136"/>
      <c r="BP1011" s="1136"/>
      <c r="BQ1011" s="1136"/>
      <c r="BR1011" s="1136"/>
      <c r="BS1011" s="1136"/>
      <c r="BT1011" s="1136"/>
      <c r="BU1011" s="1136"/>
      <c r="BV1011" s="1136"/>
      <c r="BW1011" s="1136"/>
      <c r="BX1011" s="1136"/>
      <c r="BY1011" s="1136"/>
      <c r="BZ1011" s="1136"/>
      <c r="CA1011" s="1136"/>
      <c r="CB1011" s="1136"/>
      <c r="CC1011" s="1136"/>
      <c r="CD1011" s="1136"/>
      <c r="CE1011" s="1136"/>
      <c r="CF1011" s="1136"/>
      <c r="CG1011" s="1136"/>
      <c r="CH1011" s="1136"/>
      <c r="CI1011" s="1136"/>
      <c r="CJ1011" s="1136"/>
      <c r="CK1011" s="1136"/>
      <c r="CL1011" s="1136"/>
      <c r="CM1011" s="1136"/>
      <c r="CN1011" s="1136"/>
      <c r="CO1011" s="1136"/>
      <c r="CP1011" s="1136"/>
      <c r="CQ1011" s="1136"/>
      <c r="CR1011" s="1136"/>
      <c r="CS1011" s="1136"/>
      <c r="CT1011" s="1136"/>
      <c r="CU1011" s="1136"/>
      <c r="CV1011" s="1136"/>
      <c r="CW1011" s="1136"/>
      <c r="CX1011" s="1136"/>
      <c r="CY1011" s="1136"/>
      <c r="CZ1011" s="1136"/>
      <c r="DA1011" s="1136"/>
      <c r="DB1011" s="1136"/>
      <c r="DC1011" s="1136"/>
      <c r="DD1011" s="1136"/>
      <c r="DE1011" s="1136"/>
      <c r="DF1011" s="1136"/>
      <c r="DG1011" s="1136"/>
      <c r="DH1011" s="1136"/>
      <c r="DI1011" s="1136"/>
    </row>
    <row r="1012" spans="1:113" ht="31.5" x14ac:dyDescent="0.25">
      <c r="A1012" s="1495" t="s">
        <v>3427</v>
      </c>
      <c r="B1012" s="1496"/>
      <c r="C1012" s="1454"/>
      <c r="D1012" s="1432"/>
      <c r="E1012" s="1432"/>
      <c r="F1012" s="1432"/>
      <c r="G1012" s="1432"/>
      <c r="H1012" s="1531"/>
      <c r="I1012" s="1531"/>
      <c r="J1012" s="1531"/>
      <c r="K1012" s="1531"/>
      <c r="L1012" s="1531"/>
      <c r="M1012" s="1531"/>
      <c r="N1012" s="1531"/>
      <c r="O1012" s="1531"/>
      <c r="P1012" s="1531"/>
      <c r="Q1012" s="1531"/>
      <c r="R1012" s="1531"/>
      <c r="S1012" s="1531"/>
      <c r="T1012" s="1531"/>
      <c r="U1012" s="1531"/>
      <c r="V1012" s="1531"/>
      <c r="W1012" s="1531"/>
      <c r="X1012" s="1531"/>
      <c r="Y1012" s="1531"/>
      <c r="Z1012" s="1531"/>
      <c r="AA1012" s="1531"/>
      <c r="AB1012" s="1531"/>
      <c r="AC1012" s="1531"/>
      <c r="AD1012" s="1531"/>
      <c r="AE1012" s="1531"/>
      <c r="AF1012" s="1531"/>
      <c r="AG1012" s="1531"/>
      <c r="AH1012" s="1531"/>
      <c r="AI1012" s="1531"/>
      <c r="AJ1012" s="1531"/>
      <c r="AK1012" s="1531"/>
      <c r="AL1012" s="1531"/>
      <c r="AM1012" s="1531"/>
      <c r="AN1012" s="1531"/>
      <c r="AO1012" s="1531"/>
      <c r="AP1012" s="1531"/>
      <c r="AQ1012" s="1531"/>
      <c r="AR1012" s="1531"/>
      <c r="AS1012" s="1531"/>
      <c r="AT1012" s="1136"/>
      <c r="AU1012" s="1136"/>
      <c r="AV1012" s="1136"/>
      <c r="AW1012" s="1136"/>
      <c r="AX1012" s="1136"/>
      <c r="AY1012" s="1136"/>
      <c r="AZ1012" s="1136"/>
      <c r="BA1012" s="1136"/>
      <c r="BB1012" s="1136"/>
      <c r="BC1012" s="1136"/>
      <c r="BD1012" s="1136"/>
      <c r="BE1012" s="1136"/>
      <c r="BF1012" s="1136"/>
      <c r="BG1012" s="1136"/>
      <c r="BH1012" s="1136"/>
      <c r="BI1012" s="1136"/>
      <c r="BJ1012" s="1136"/>
      <c r="BK1012" s="1136"/>
      <c r="BL1012" s="1136"/>
      <c r="BM1012" s="1136"/>
      <c r="BN1012" s="1136"/>
      <c r="BO1012" s="1136"/>
      <c r="BP1012" s="1136"/>
      <c r="BQ1012" s="1136"/>
      <c r="BR1012" s="1136"/>
      <c r="BS1012" s="1136"/>
      <c r="BT1012" s="1136"/>
      <c r="BU1012" s="1136"/>
      <c r="BV1012" s="1136"/>
      <c r="BW1012" s="1136"/>
      <c r="BX1012" s="1136"/>
      <c r="BY1012" s="1136"/>
      <c r="BZ1012" s="1136"/>
      <c r="CA1012" s="1136"/>
      <c r="CB1012" s="1136"/>
      <c r="CC1012" s="1136"/>
      <c r="CD1012" s="1136"/>
      <c r="CE1012" s="1136"/>
      <c r="CF1012" s="1136"/>
      <c r="CG1012" s="1136"/>
      <c r="CH1012" s="1136"/>
      <c r="CI1012" s="1136"/>
      <c r="CJ1012" s="1136"/>
      <c r="CK1012" s="1136"/>
      <c r="CL1012" s="1136"/>
      <c r="CM1012" s="1136"/>
      <c r="CN1012" s="1136"/>
      <c r="CO1012" s="1136"/>
      <c r="CP1012" s="1136"/>
      <c r="CQ1012" s="1136"/>
      <c r="CR1012" s="1136"/>
      <c r="CS1012" s="1136"/>
      <c r="CT1012" s="1136"/>
      <c r="CU1012" s="1136"/>
      <c r="CV1012" s="1136"/>
      <c r="CW1012" s="1136"/>
      <c r="CX1012" s="1136"/>
      <c r="CY1012" s="1136"/>
      <c r="CZ1012" s="1136"/>
      <c r="DA1012" s="1136"/>
      <c r="DB1012" s="1136"/>
      <c r="DC1012" s="1136"/>
      <c r="DD1012" s="1136"/>
      <c r="DE1012" s="1136"/>
      <c r="DF1012" s="1136"/>
      <c r="DG1012" s="1136"/>
      <c r="DH1012" s="1136"/>
      <c r="DI1012" s="1136"/>
    </row>
    <row r="1013" spans="1:113" ht="15.75" x14ac:dyDescent="0.25">
      <c r="A1013" s="1621" t="s">
        <v>3195</v>
      </c>
      <c r="B1013" s="1434">
        <f>B570</f>
        <v>0</v>
      </c>
      <c r="C1013" s="1434"/>
      <c r="D1013" s="1470"/>
      <c r="E1013" s="1470"/>
      <c r="F1013" s="1470"/>
      <c r="G1013" s="1470"/>
      <c r="H1013" s="1531"/>
      <c r="I1013" s="1531"/>
      <c r="J1013" s="1531"/>
      <c r="K1013" s="1531"/>
      <c r="L1013" s="1531"/>
      <c r="M1013" s="1531"/>
      <c r="N1013" s="1531"/>
      <c r="O1013" s="1531"/>
      <c r="P1013" s="1531"/>
      <c r="Q1013" s="1531"/>
      <c r="R1013" s="1531"/>
      <c r="S1013" s="1531"/>
      <c r="T1013" s="1531"/>
      <c r="U1013" s="1531"/>
      <c r="V1013" s="1531"/>
      <c r="W1013" s="1531"/>
      <c r="X1013" s="1531"/>
      <c r="Y1013" s="1531"/>
      <c r="Z1013" s="1531"/>
      <c r="AA1013" s="1531"/>
      <c r="AB1013" s="1531"/>
      <c r="AC1013" s="1531"/>
      <c r="AD1013" s="1531"/>
      <c r="AE1013" s="1531"/>
      <c r="AF1013" s="1531"/>
      <c r="AG1013" s="1531"/>
      <c r="AH1013" s="1531"/>
      <c r="AI1013" s="1531"/>
      <c r="AJ1013" s="1531"/>
      <c r="AK1013" s="1531"/>
      <c r="AL1013" s="1531"/>
      <c r="AM1013" s="1531"/>
      <c r="AN1013" s="1531"/>
      <c r="AO1013" s="1531"/>
      <c r="AP1013" s="1531"/>
      <c r="AQ1013" s="1531"/>
      <c r="AR1013" s="1531"/>
      <c r="AS1013" s="1531"/>
      <c r="AT1013" s="1136"/>
      <c r="AU1013" s="1136"/>
      <c r="AV1013" s="1136"/>
      <c r="AW1013" s="1136"/>
      <c r="AX1013" s="1136"/>
      <c r="AY1013" s="1136"/>
      <c r="AZ1013" s="1136"/>
      <c r="BA1013" s="1136"/>
      <c r="BB1013" s="1136"/>
      <c r="BC1013" s="1136"/>
      <c r="BD1013" s="1136"/>
      <c r="BE1013" s="1136"/>
      <c r="BF1013" s="1136"/>
      <c r="BG1013" s="1136"/>
      <c r="BH1013" s="1136"/>
      <c r="BI1013" s="1136"/>
      <c r="BJ1013" s="1136"/>
      <c r="BK1013" s="1136"/>
      <c r="BL1013" s="1136"/>
      <c r="BM1013" s="1136"/>
      <c r="BN1013" s="1136"/>
      <c r="BO1013" s="1136"/>
      <c r="BP1013" s="1136"/>
      <c r="BQ1013" s="1136"/>
      <c r="BR1013" s="1136"/>
      <c r="BS1013" s="1136"/>
      <c r="BT1013" s="1136"/>
      <c r="BU1013" s="1136"/>
      <c r="BV1013" s="1136"/>
      <c r="BW1013" s="1136"/>
      <c r="BX1013" s="1136"/>
      <c r="BY1013" s="1136"/>
      <c r="BZ1013" s="1136"/>
      <c r="CA1013" s="1136"/>
      <c r="CB1013" s="1136"/>
      <c r="CC1013" s="1136"/>
      <c r="CD1013" s="1136"/>
      <c r="CE1013" s="1136"/>
      <c r="CF1013" s="1136"/>
      <c r="CG1013" s="1136"/>
      <c r="CH1013" s="1136"/>
      <c r="CI1013" s="1136"/>
      <c r="CJ1013" s="1136"/>
      <c r="CK1013" s="1136"/>
      <c r="CL1013" s="1136"/>
      <c r="CM1013" s="1136"/>
      <c r="CN1013" s="1136"/>
      <c r="CO1013" s="1136"/>
      <c r="CP1013" s="1136"/>
      <c r="CQ1013" s="1136"/>
      <c r="CR1013" s="1136"/>
      <c r="CS1013" s="1136"/>
      <c r="CT1013" s="1136"/>
      <c r="CU1013" s="1136"/>
      <c r="CV1013" s="1136"/>
      <c r="CW1013" s="1136"/>
      <c r="CX1013" s="1136"/>
      <c r="CY1013" s="1136"/>
      <c r="CZ1013" s="1136"/>
      <c r="DA1013" s="1136"/>
      <c r="DB1013" s="1136"/>
      <c r="DC1013" s="1136"/>
      <c r="DD1013" s="1136"/>
      <c r="DE1013" s="1136"/>
      <c r="DF1013" s="1136"/>
      <c r="DG1013" s="1136"/>
      <c r="DH1013" s="1136"/>
      <c r="DI1013" s="1136"/>
    </row>
    <row r="1014" spans="1:113" ht="15.75" x14ac:dyDescent="0.25">
      <c r="A1014" s="1498" t="s">
        <v>3428</v>
      </c>
      <c r="B1014" s="1499">
        <f>IF(B1013=1,1,0.85)</f>
        <v>0.85</v>
      </c>
      <c r="C1014" s="1437"/>
      <c r="D1014" s="1432"/>
      <c r="E1014" s="1432"/>
      <c r="F1014" s="1432"/>
      <c r="G1014" s="1432"/>
      <c r="H1014" s="1531"/>
      <c r="I1014" s="1531"/>
      <c r="J1014" s="1531"/>
      <c r="K1014" s="1531"/>
      <c r="L1014" s="1531"/>
      <c r="M1014" s="1531"/>
      <c r="N1014" s="1531"/>
      <c r="O1014" s="1531"/>
      <c r="P1014" s="1531"/>
      <c r="Q1014" s="1531"/>
      <c r="R1014" s="1531"/>
      <c r="S1014" s="1531"/>
      <c r="T1014" s="1531"/>
      <c r="U1014" s="1531"/>
      <c r="V1014" s="1531"/>
      <c r="W1014" s="1531"/>
      <c r="X1014" s="1531"/>
      <c r="Y1014" s="1531"/>
      <c r="Z1014" s="1531"/>
      <c r="AA1014" s="1531"/>
      <c r="AB1014" s="1531"/>
      <c r="AC1014" s="1531"/>
      <c r="AD1014" s="1531"/>
      <c r="AE1014" s="1531"/>
      <c r="AF1014" s="1531"/>
      <c r="AG1014" s="1531"/>
      <c r="AH1014" s="1531"/>
      <c r="AI1014" s="1531"/>
      <c r="AJ1014" s="1531"/>
      <c r="AK1014" s="1531"/>
      <c r="AL1014" s="1531"/>
      <c r="AM1014" s="1531"/>
      <c r="AN1014" s="1531"/>
      <c r="AO1014" s="1531"/>
      <c r="AP1014" s="1531"/>
      <c r="AQ1014" s="1531"/>
      <c r="AR1014" s="1531"/>
      <c r="AS1014" s="1531"/>
      <c r="AT1014" s="1136"/>
      <c r="AU1014" s="1136"/>
      <c r="AV1014" s="1136"/>
      <c r="AW1014" s="1136"/>
      <c r="AX1014" s="1136"/>
      <c r="AY1014" s="1136"/>
      <c r="AZ1014" s="1136"/>
      <c r="BA1014" s="1136"/>
      <c r="BB1014" s="1136"/>
      <c r="BC1014" s="1136"/>
      <c r="BD1014" s="1136"/>
      <c r="BE1014" s="1136"/>
      <c r="BF1014" s="1136"/>
      <c r="BG1014" s="1136"/>
      <c r="BH1014" s="1136"/>
      <c r="BI1014" s="1136"/>
      <c r="BJ1014" s="1136"/>
      <c r="BK1014" s="1136"/>
      <c r="BL1014" s="1136"/>
      <c r="BM1014" s="1136"/>
      <c r="BN1014" s="1136"/>
      <c r="BO1014" s="1136"/>
      <c r="BP1014" s="1136"/>
      <c r="BQ1014" s="1136"/>
      <c r="BR1014" s="1136"/>
      <c r="BS1014" s="1136"/>
      <c r="BT1014" s="1136"/>
      <c r="BU1014" s="1136"/>
      <c r="BV1014" s="1136"/>
      <c r="BW1014" s="1136"/>
      <c r="BX1014" s="1136"/>
      <c r="BY1014" s="1136"/>
      <c r="BZ1014" s="1136"/>
      <c r="CA1014" s="1136"/>
      <c r="CB1014" s="1136"/>
      <c r="CC1014" s="1136"/>
      <c r="CD1014" s="1136"/>
      <c r="CE1014" s="1136"/>
      <c r="CF1014" s="1136"/>
      <c r="CG1014" s="1136"/>
      <c r="CH1014" s="1136"/>
      <c r="CI1014" s="1136"/>
      <c r="CJ1014" s="1136"/>
      <c r="CK1014" s="1136"/>
      <c r="CL1014" s="1136"/>
      <c r="CM1014" s="1136"/>
      <c r="CN1014" s="1136"/>
      <c r="CO1014" s="1136"/>
      <c r="CP1014" s="1136"/>
      <c r="CQ1014" s="1136"/>
      <c r="CR1014" s="1136"/>
      <c r="CS1014" s="1136"/>
      <c r="CT1014" s="1136"/>
      <c r="CU1014" s="1136"/>
      <c r="CV1014" s="1136"/>
      <c r="CW1014" s="1136"/>
      <c r="CX1014" s="1136"/>
      <c r="CY1014" s="1136"/>
      <c r="CZ1014" s="1136"/>
      <c r="DA1014" s="1136"/>
      <c r="DB1014" s="1136"/>
      <c r="DC1014" s="1136"/>
      <c r="DD1014" s="1136"/>
      <c r="DE1014" s="1136"/>
      <c r="DF1014" s="1136"/>
      <c r="DG1014" s="1136"/>
      <c r="DH1014" s="1136"/>
      <c r="DI1014" s="1136"/>
    </row>
    <row r="1015" spans="1:113" ht="15.75" x14ac:dyDescent="0.25">
      <c r="A1015" s="1500" t="s">
        <v>3412</v>
      </c>
      <c r="B1015" s="1501">
        <f>IF(B1006&lt;2,B1007,IF(B1006&lt;3,B1007,B1007*B1014))</f>
        <v>8.68</v>
      </c>
      <c r="C1015" s="1437"/>
      <c r="D1015" s="1454"/>
      <c r="E1015" s="1454"/>
      <c r="F1015" s="1454"/>
      <c r="G1015" s="1454"/>
      <c r="H1015" s="1531"/>
      <c r="I1015" s="1531"/>
      <c r="J1015" s="1531"/>
      <c r="K1015" s="1531"/>
      <c r="L1015" s="1531"/>
      <c r="M1015" s="1531"/>
      <c r="N1015" s="1531"/>
      <c r="O1015" s="1531"/>
      <c r="P1015" s="1531"/>
      <c r="Q1015" s="1531"/>
      <c r="R1015" s="1531"/>
      <c r="S1015" s="1531"/>
      <c r="T1015" s="1531"/>
      <c r="U1015" s="1531"/>
      <c r="V1015" s="1531"/>
      <c r="W1015" s="1531"/>
      <c r="X1015" s="1531"/>
      <c r="Y1015" s="1531"/>
      <c r="Z1015" s="1531"/>
      <c r="AA1015" s="1531"/>
      <c r="AB1015" s="1531"/>
      <c r="AC1015" s="1531"/>
      <c r="AD1015" s="1531"/>
      <c r="AE1015" s="1531"/>
      <c r="AF1015" s="1531"/>
      <c r="AG1015" s="1531"/>
      <c r="AH1015" s="1531"/>
      <c r="AI1015" s="1531"/>
      <c r="AJ1015" s="1531"/>
      <c r="AK1015" s="1531"/>
      <c r="AL1015" s="1531"/>
      <c r="AM1015" s="1531"/>
      <c r="AN1015" s="1531"/>
      <c r="AO1015" s="1531"/>
      <c r="AP1015" s="1531"/>
      <c r="AQ1015" s="1531"/>
      <c r="AR1015" s="1531"/>
      <c r="AS1015" s="1531"/>
      <c r="AT1015" s="1136"/>
      <c r="AU1015" s="1136"/>
      <c r="AV1015" s="1136"/>
      <c r="AW1015" s="1136"/>
      <c r="AX1015" s="1136"/>
      <c r="AY1015" s="1136"/>
      <c r="AZ1015" s="1136"/>
      <c r="BA1015" s="1136"/>
      <c r="BB1015" s="1136"/>
      <c r="BC1015" s="1136"/>
      <c r="BD1015" s="1136"/>
      <c r="BE1015" s="1136"/>
      <c r="BF1015" s="1136"/>
      <c r="BG1015" s="1136"/>
      <c r="BH1015" s="1136"/>
      <c r="BI1015" s="1136"/>
      <c r="BJ1015" s="1136"/>
      <c r="BK1015" s="1136"/>
      <c r="BL1015" s="1136"/>
      <c r="BM1015" s="1136"/>
      <c r="BN1015" s="1136"/>
      <c r="BO1015" s="1136"/>
      <c r="BP1015" s="1136"/>
      <c r="BQ1015" s="1136"/>
      <c r="BR1015" s="1136"/>
      <c r="BS1015" s="1136"/>
      <c r="BT1015" s="1136"/>
      <c r="BU1015" s="1136"/>
      <c r="BV1015" s="1136"/>
      <c r="BW1015" s="1136"/>
      <c r="BX1015" s="1136"/>
      <c r="BY1015" s="1136"/>
      <c r="BZ1015" s="1136"/>
      <c r="CA1015" s="1136"/>
      <c r="CB1015" s="1136"/>
      <c r="CC1015" s="1136"/>
      <c r="CD1015" s="1136"/>
      <c r="CE1015" s="1136"/>
      <c r="CF1015" s="1136"/>
      <c r="CG1015" s="1136"/>
      <c r="CH1015" s="1136"/>
      <c r="CI1015" s="1136"/>
      <c r="CJ1015" s="1136"/>
      <c r="CK1015" s="1136"/>
      <c r="CL1015" s="1136"/>
      <c r="CM1015" s="1136"/>
      <c r="CN1015" s="1136"/>
      <c r="CO1015" s="1136"/>
      <c r="CP1015" s="1136"/>
      <c r="CQ1015" s="1136"/>
      <c r="CR1015" s="1136"/>
      <c r="CS1015" s="1136"/>
      <c r="CT1015" s="1136"/>
      <c r="CU1015" s="1136"/>
      <c r="CV1015" s="1136"/>
      <c r="CW1015" s="1136"/>
      <c r="CX1015" s="1136"/>
      <c r="CY1015" s="1136"/>
      <c r="CZ1015" s="1136"/>
      <c r="DA1015" s="1136"/>
      <c r="DB1015" s="1136"/>
      <c r="DC1015" s="1136"/>
      <c r="DD1015" s="1136"/>
      <c r="DE1015" s="1136"/>
      <c r="DF1015" s="1136"/>
      <c r="DG1015" s="1136"/>
      <c r="DH1015" s="1136"/>
      <c r="DI1015" s="1136"/>
    </row>
    <row r="1016" spans="1:113" ht="15.75" x14ac:dyDescent="0.25">
      <c r="A1016" s="1500" t="s">
        <v>429</v>
      </c>
      <c r="B1016" s="1490">
        <f>B1005/B1015</f>
        <v>0.14400921658986177</v>
      </c>
      <c r="C1016" s="1432"/>
      <c r="D1016" s="1432"/>
      <c r="E1016" s="1432"/>
      <c r="F1016" s="1432"/>
      <c r="G1016" s="1432"/>
      <c r="H1016" s="1531"/>
      <c r="I1016" s="1531"/>
      <c r="J1016" s="1531"/>
      <c r="K1016" s="1531"/>
      <c r="L1016" s="1531"/>
      <c r="M1016" s="1531"/>
      <c r="N1016" s="1531"/>
      <c r="O1016" s="1531"/>
      <c r="P1016" s="1531"/>
      <c r="Q1016" s="1531"/>
      <c r="R1016" s="1531"/>
      <c r="S1016" s="1531"/>
      <c r="T1016" s="1531"/>
      <c r="U1016" s="1531"/>
      <c r="V1016" s="1531"/>
      <c r="W1016" s="1531"/>
      <c r="X1016" s="1531"/>
      <c r="Y1016" s="1531"/>
      <c r="Z1016" s="1531"/>
      <c r="AA1016" s="1531"/>
      <c r="AB1016" s="1531"/>
      <c r="AC1016" s="1531"/>
      <c r="AD1016" s="1531"/>
      <c r="AE1016" s="1531"/>
      <c r="AF1016" s="1531"/>
      <c r="AG1016" s="1531"/>
      <c r="AH1016" s="1531"/>
      <c r="AI1016" s="1531"/>
      <c r="AJ1016" s="1531"/>
      <c r="AK1016" s="1531"/>
      <c r="AL1016" s="1531"/>
      <c r="AM1016" s="1531"/>
      <c r="AN1016" s="1531"/>
      <c r="AO1016" s="1531"/>
      <c r="AP1016" s="1531"/>
      <c r="AQ1016" s="1531"/>
      <c r="AR1016" s="1531"/>
      <c r="AS1016" s="1531"/>
      <c r="AT1016" s="1136"/>
      <c r="AU1016" s="1136"/>
      <c r="AV1016" s="1136"/>
      <c r="AW1016" s="1136"/>
      <c r="AX1016" s="1136"/>
      <c r="AY1016" s="1136"/>
      <c r="AZ1016" s="1136"/>
      <c r="BA1016" s="1136"/>
      <c r="BB1016" s="1136"/>
      <c r="BC1016" s="1136"/>
      <c r="BD1016" s="1136"/>
      <c r="BE1016" s="1136"/>
      <c r="BF1016" s="1136"/>
      <c r="BG1016" s="1136"/>
      <c r="BH1016" s="1136"/>
      <c r="BI1016" s="1136"/>
      <c r="BJ1016" s="1136"/>
      <c r="BK1016" s="1136"/>
      <c r="BL1016" s="1136"/>
      <c r="BM1016" s="1136"/>
      <c r="BN1016" s="1136"/>
      <c r="BO1016" s="1136"/>
      <c r="BP1016" s="1136"/>
      <c r="BQ1016" s="1136"/>
      <c r="BR1016" s="1136"/>
      <c r="BS1016" s="1136"/>
      <c r="BT1016" s="1136"/>
      <c r="BU1016" s="1136"/>
      <c r="BV1016" s="1136"/>
      <c r="BW1016" s="1136"/>
      <c r="BX1016" s="1136"/>
      <c r="BY1016" s="1136"/>
      <c r="BZ1016" s="1136"/>
      <c r="CA1016" s="1136"/>
      <c r="CB1016" s="1136"/>
      <c r="CC1016" s="1136"/>
      <c r="CD1016" s="1136"/>
      <c r="CE1016" s="1136"/>
      <c r="CF1016" s="1136"/>
      <c r="CG1016" s="1136"/>
      <c r="CH1016" s="1136"/>
      <c r="CI1016" s="1136"/>
      <c r="CJ1016" s="1136"/>
      <c r="CK1016" s="1136"/>
      <c r="CL1016" s="1136"/>
      <c r="CM1016" s="1136"/>
      <c r="CN1016" s="1136"/>
      <c r="CO1016" s="1136"/>
      <c r="CP1016" s="1136"/>
      <c r="CQ1016" s="1136"/>
      <c r="CR1016" s="1136"/>
      <c r="CS1016" s="1136"/>
      <c r="CT1016" s="1136"/>
      <c r="CU1016" s="1136"/>
      <c r="CV1016" s="1136"/>
      <c r="CW1016" s="1136"/>
      <c r="CX1016" s="1136"/>
      <c r="CY1016" s="1136"/>
      <c r="CZ1016" s="1136"/>
      <c r="DA1016" s="1136"/>
      <c r="DB1016" s="1136"/>
      <c r="DC1016" s="1136"/>
      <c r="DD1016" s="1136"/>
      <c r="DE1016" s="1136"/>
      <c r="DF1016" s="1136"/>
      <c r="DG1016" s="1136"/>
      <c r="DH1016" s="1136"/>
      <c r="DI1016" s="1136"/>
    </row>
    <row r="1017" spans="1:113" ht="15.75" x14ac:dyDescent="0.25">
      <c r="A1017" s="1488" t="s">
        <v>831</v>
      </c>
      <c r="B1017" s="1494" t="e">
        <f>IF(B313=1,B1016,0)</f>
        <v>#VALUE!</v>
      </c>
      <c r="C1017" s="1454"/>
      <c r="D1017" s="1432"/>
      <c r="E1017" s="1432"/>
      <c r="F1017" s="1432"/>
      <c r="G1017" s="1432"/>
      <c r="H1017" s="1531"/>
      <c r="I1017" s="1531"/>
      <c r="J1017" s="1531"/>
      <c r="K1017" s="1531"/>
      <c r="L1017" s="1531"/>
      <c r="M1017" s="1531"/>
      <c r="N1017" s="1531"/>
      <c r="O1017" s="1531"/>
      <c r="P1017" s="1531"/>
      <c r="Q1017" s="1531"/>
      <c r="R1017" s="1531"/>
      <c r="S1017" s="1531"/>
      <c r="T1017" s="1531"/>
      <c r="U1017" s="1531"/>
      <c r="V1017" s="1531"/>
      <c r="W1017" s="1531"/>
      <c r="X1017" s="1531"/>
      <c r="Y1017" s="1531"/>
      <c r="Z1017" s="1531"/>
      <c r="AA1017" s="1531"/>
      <c r="AB1017" s="1531"/>
      <c r="AC1017" s="1531"/>
      <c r="AD1017" s="1531"/>
      <c r="AE1017" s="1531"/>
      <c r="AF1017" s="1531"/>
      <c r="AG1017" s="1531"/>
      <c r="AH1017" s="1531"/>
      <c r="AI1017" s="1531"/>
      <c r="AJ1017" s="1531"/>
      <c r="AK1017" s="1531"/>
      <c r="AL1017" s="1531"/>
      <c r="AM1017" s="1531"/>
      <c r="AN1017" s="1531"/>
      <c r="AO1017" s="1531"/>
      <c r="AP1017" s="1531"/>
      <c r="AQ1017" s="1531"/>
      <c r="AR1017" s="1531"/>
      <c r="AS1017" s="1531"/>
      <c r="AT1017" s="1136"/>
      <c r="AU1017" s="1136"/>
      <c r="AV1017" s="1136"/>
      <c r="AW1017" s="1136"/>
      <c r="AX1017" s="1136"/>
      <c r="AY1017" s="1136"/>
      <c r="AZ1017" s="1136"/>
      <c r="BA1017" s="1136"/>
      <c r="BB1017" s="1136"/>
      <c r="BC1017" s="1136"/>
      <c r="BD1017" s="1136"/>
      <c r="BE1017" s="1136"/>
      <c r="BF1017" s="1136"/>
      <c r="BG1017" s="1136"/>
      <c r="BH1017" s="1136"/>
      <c r="BI1017" s="1136"/>
      <c r="BJ1017" s="1136"/>
      <c r="BK1017" s="1136"/>
      <c r="BL1017" s="1136"/>
      <c r="BM1017" s="1136"/>
      <c r="BN1017" s="1136"/>
      <c r="BO1017" s="1136"/>
      <c r="BP1017" s="1136"/>
      <c r="BQ1017" s="1136"/>
      <c r="BR1017" s="1136"/>
      <c r="BS1017" s="1136"/>
      <c r="BT1017" s="1136"/>
      <c r="BU1017" s="1136"/>
      <c r="BV1017" s="1136"/>
      <c r="BW1017" s="1136"/>
      <c r="BX1017" s="1136"/>
      <c r="BY1017" s="1136"/>
      <c r="BZ1017" s="1136"/>
      <c r="CA1017" s="1136"/>
      <c r="CB1017" s="1136"/>
      <c r="CC1017" s="1136"/>
      <c r="CD1017" s="1136"/>
      <c r="CE1017" s="1136"/>
      <c r="CF1017" s="1136"/>
      <c r="CG1017" s="1136"/>
      <c r="CH1017" s="1136"/>
      <c r="CI1017" s="1136"/>
      <c r="CJ1017" s="1136"/>
      <c r="CK1017" s="1136"/>
      <c r="CL1017" s="1136"/>
      <c r="CM1017" s="1136"/>
      <c r="CN1017" s="1136"/>
      <c r="CO1017" s="1136"/>
      <c r="CP1017" s="1136"/>
      <c r="CQ1017" s="1136"/>
      <c r="CR1017" s="1136"/>
      <c r="CS1017" s="1136"/>
      <c r="CT1017" s="1136"/>
      <c r="CU1017" s="1136"/>
      <c r="CV1017" s="1136"/>
      <c r="CW1017" s="1136"/>
      <c r="CX1017" s="1136"/>
      <c r="CY1017" s="1136"/>
      <c r="CZ1017" s="1136"/>
      <c r="DA1017" s="1136"/>
      <c r="DB1017" s="1136"/>
      <c r="DC1017" s="1136"/>
      <c r="DD1017" s="1136"/>
      <c r="DE1017" s="1136"/>
      <c r="DF1017" s="1136"/>
      <c r="DG1017" s="1136"/>
      <c r="DH1017" s="1136"/>
      <c r="DI1017" s="1136"/>
    </row>
    <row r="1018" spans="1:113" ht="15.75" x14ac:dyDescent="0.25">
      <c r="A1018" s="1622"/>
      <c r="B1018" s="1453"/>
      <c r="C1018" s="1454"/>
      <c r="D1018" s="1432"/>
      <c r="E1018" s="1432"/>
      <c r="F1018" s="1432"/>
      <c r="G1018" s="1432"/>
      <c r="H1018" s="1531"/>
      <c r="I1018" s="1531"/>
      <c r="J1018" s="1531"/>
      <c r="K1018" s="1531"/>
      <c r="L1018" s="1531"/>
      <c r="M1018" s="1531"/>
      <c r="N1018" s="1531"/>
      <c r="O1018" s="1531"/>
      <c r="P1018" s="1531"/>
      <c r="Q1018" s="1531"/>
      <c r="R1018" s="1531"/>
      <c r="S1018" s="1531"/>
      <c r="T1018" s="1531"/>
      <c r="U1018" s="1531"/>
      <c r="V1018" s="1531"/>
      <c r="W1018" s="1531"/>
      <c r="X1018" s="1531"/>
      <c r="Y1018" s="1531"/>
      <c r="Z1018" s="1531"/>
      <c r="AA1018" s="1531"/>
      <c r="AB1018" s="1531"/>
      <c r="AC1018" s="1531"/>
      <c r="AD1018" s="1531"/>
      <c r="AE1018" s="1531"/>
      <c r="AF1018" s="1531"/>
      <c r="AG1018" s="1531"/>
      <c r="AH1018" s="1531"/>
      <c r="AI1018" s="1531"/>
      <c r="AJ1018" s="1531"/>
      <c r="AK1018" s="1531"/>
      <c r="AL1018" s="1531"/>
      <c r="AM1018" s="1531"/>
      <c r="AN1018" s="1531"/>
      <c r="AO1018" s="1531"/>
      <c r="AP1018" s="1531"/>
      <c r="AQ1018" s="1531"/>
      <c r="AR1018" s="1531"/>
      <c r="AS1018" s="1531"/>
      <c r="AT1018" s="1136"/>
      <c r="AU1018" s="1136"/>
      <c r="AV1018" s="1136"/>
      <c r="AW1018" s="1136"/>
      <c r="AX1018" s="1136"/>
      <c r="AY1018" s="1136"/>
      <c r="AZ1018" s="1136"/>
      <c r="BA1018" s="1136"/>
      <c r="BB1018" s="1136"/>
      <c r="BC1018" s="1136"/>
      <c r="BD1018" s="1136"/>
      <c r="BE1018" s="1136"/>
      <c r="BF1018" s="1136"/>
      <c r="BG1018" s="1136"/>
      <c r="BH1018" s="1136"/>
      <c r="BI1018" s="1136"/>
      <c r="BJ1018" s="1136"/>
      <c r="BK1018" s="1136"/>
      <c r="BL1018" s="1136"/>
      <c r="BM1018" s="1136"/>
      <c r="BN1018" s="1136"/>
      <c r="BO1018" s="1136"/>
      <c r="BP1018" s="1136"/>
      <c r="BQ1018" s="1136"/>
      <c r="BR1018" s="1136"/>
      <c r="BS1018" s="1136"/>
      <c r="BT1018" s="1136"/>
      <c r="BU1018" s="1136"/>
      <c r="BV1018" s="1136"/>
      <c r="BW1018" s="1136"/>
      <c r="BX1018" s="1136"/>
      <c r="BY1018" s="1136"/>
      <c r="BZ1018" s="1136"/>
      <c r="CA1018" s="1136"/>
      <c r="CB1018" s="1136"/>
      <c r="CC1018" s="1136"/>
      <c r="CD1018" s="1136"/>
      <c r="CE1018" s="1136"/>
      <c r="CF1018" s="1136"/>
      <c r="CG1018" s="1136"/>
      <c r="CH1018" s="1136"/>
      <c r="CI1018" s="1136"/>
      <c r="CJ1018" s="1136"/>
      <c r="CK1018" s="1136"/>
      <c r="CL1018" s="1136"/>
      <c r="CM1018" s="1136"/>
      <c r="CN1018" s="1136"/>
      <c r="CO1018" s="1136"/>
      <c r="CP1018" s="1136"/>
      <c r="CQ1018" s="1136"/>
      <c r="CR1018" s="1136"/>
      <c r="CS1018" s="1136"/>
      <c r="CT1018" s="1136"/>
      <c r="CU1018" s="1136"/>
      <c r="CV1018" s="1136"/>
      <c r="CW1018" s="1136"/>
      <c r="CX1018" s="1136"/>
      <c r="CY1018" s="1136"/>
      <c r="CZ1018" s="1136"/>
      <c r="DA1018" s="1136"/>
      <c r="DB1018" s="1136"/>
      <c r="DC1018" s="1136"/>
      <c r="DD1018" s="1136"/>
      <c r="DE1018" s="1136"/>
      <c r="DF1018" s="1136"/>
      <c r="DG1018" s="1136"/>
      <c r="DH1018" s="1136"/>
      <c r="DI1018" s="1136"/>
    </row>
    <row r="1019" spans="1:113" ht="31.5" x14ac:dyDescent="0.25">
      <c r="A1019" s="1502" t="s">
        <v>3429</v>
      </c>
      <c r="B1019" s="1494"/>
      <c r="C1019" s="1563"/>
      <c r="D1019" s="1454"/>
      <c r="E1019" s="1454"/>
      <c r="F1019" s="1454"/>
      <c r="G1019" s="1454"/>
      <c r="H1019" s="1531"/>
      <c r="I1019" s="1531"/>
      <c r="J1019" s="1531"/>
      <c r="K1019" s="1531"/>
      <c r="L1019" s="1531"/>
      <c r="M1019" s="1531"/>
      <c r="N1019" s="1531"/>
      <c r="O1019" s="1531"/>
      <c r="P1019" s="1531"/>
      <c r="Q1019" s="1531"/>
      <c r="R1019" s="1531"/>
      <c r="S1019" s="1531"/>
      <c r="T1019" s="1531"/>
      <c r="U1019" s="1531"/>
      <c r="V1019" s="1531"/>
      <c r="W1019" s="1531"/>
      <c r="X1019" s="1531"/>
      <c r="Y1019" s="1531"/>
      <c r="Z1019" s="1531"/>
      <c r="AA1019" s="1531"/>
      <c r="AB1019" s="1531"/>
      <c r="AC1019" s="1531"/>
      <c r="AD1019" s="1531"/>
      <c r="AE1019" s="1531"/>
      <c r="AF1019" s="1531"/>
      <c r="AG1019" s="1531"/>
      <c r="AH1019" s="1531"/>
      <c r="AI1019" s="1531"/>
      <c r="AJ1019" s="1531"/>
      <c r="AK1019" s="1531"/>
      <c r="AL1019" s="1531"/>
      <c r="AM1019" s="1531"/>
      <c r="AN1019" s="1531"/>
      <c r="AO1019" s="1531"/>
      <c r="AP1019" s="1531"/>
      <c r="AQ1019" s="1531"/>
      <c r="AR1019" s="1531"/>
      <c r="AS1019" s="1531"/>
      <c r="AT1019" s="1136"/>
      <c r="AU1019" s="1136"/>
      <c r="AV1019" s="1136"/>
      <c r="AW1019" s="1136"/>
      <c r="AX1019" s="1136"/>
      <c r="AY1019" s="1136"/>
      <c r="AZ1019" s="1136"/>
      <c r="BA1019" s="1136"/>
      <c r="BB1019" s="1136"/>
      <c r="BC1019" s="1136"/>
      <c r="BD1019" s="1136"/>
      <c r="BE1019" s="1136"/>
      <c r="BF1019" s="1136"/>
      <c r="BG1019" s="1136"/>
      <c r="BH1019" s="1136"/>
      <c r="BI1019" s="1136"/>
      <c r="BJ1019" s="1136"/>
      <c r="BK1019" s="1136"/>
      <c r="BL1019" s="1136"/>
      <c r="BM1019" s="1136"/>
      <c r="BN1019" s="1136"/>
      <c r="BO1019" s="1136"/>
      <c r="BP1019" s="1136"/>
      <c r="BQ1019" s="1136"/>
      <c r="BR1019" s="1136"/>
      <c r="BS1019" s="1136"/>
      <c r="BT1019" s="1136"/>
      <c r="BU1019" s="1136"/>
      <c r="BV1019" s="1136"/>
      <c r="BW1019" s="1136"/>
      <c r="BX1019" s="1136"/>
      <c r="BY1019" s="1136"/>
      <c r="BZ1019" s="1136"/>
      <c r="CA1019" s="1136"/>
      <c r="CB1019" s="1136"/>
      <c r="CC1019" s="1136"/>
      <c r="CD1019" s="1136"/>
      <c r="CE1019" s="1136"/>
      <c r="CF1019" s="1136"/>
      <c r="CG1019" s="1136"/>
      <c r="CH1019" s="1136"/>
      <c r="CI1019" s="1136"/>
      <c r="CJ1019" s="1136"/>
      <c r="CK1019" s="1136"/>
      <c r="CL1019" s="1136"/>
      <c r="CM1019" s="1136"/>
      <c r="CN1019" s="1136"/>
      <c r="CO1019" s="1136"/>
      <c r="CP1019" s="1136"/>
      <c r="CQ1019" s="1136"/>
      <c r="CR1019" s="1136"/>
      <c r="CS1019" s="1136"/>
      <c r="CT1019" s="1136"/>
      <c r="CU1019" s="1136"/>
      <c r="CV1019" s="1136"/>
      <c r="CW1019" s="1136"/>
      <c r="CX1019" s="1136"/>
      <c r="CY1019" s="1136"/>
      <c r="CZ1019" s="1136"/>
      <c r="DA1019" s="1136"/>
      <c r="DB1019" s="1136"/>
      <c r="DC1019" s="1136"/>
      <c r="DD1019" s="1136"/>
      <c r="DE1019" s="1136"/>
      <c r="DF1019" s="1136"/>
      <c r="DG1019" s="1136"/>
      <c r="DH1019" s="1136"/>
      <c r="DI1019" s="1136"/>
    </row>
    <row r="1020" spans="1:113" ht="15.75" x14ac:dyDescent="0.25">
      <c r="A1020" s="1430" t="s">
        <v>211</v>
      </c>
      <c r="B1020" s="1423">
        <f>B577</f>
        <v>4</v>
      </c>
      <c r="C1020" s="1567"/>
      <c r="D1020" s="1434"/>
      <c r="E1020" s="1434"/>
      <c r="F1020" s="1434"/>
      <c r="G1020" s="1434"/>
      <c r="H1020" s="1531"/>
      <c r="I1020" s="1531"/>
      <c r="J1020" s="1531"/>
      <c r="K1020" s="1531"/>
      <c r="L1020" s="1531"/>
      <c r="M1020" s="1531"/>
      <c r="N1020" s="1531"/>
      <c r="O1020" s="1531"/>
      <c r="P1020" s="1531"/>
      <c r="Q1020" s="1531"/>
      <c r="R1020" s="1531"/>
      <c r="S1020" s="1531"/>
      <c r="T1020" s="1531"/>
      <c r="U1020" s="1531"/>
      <c r="V1020" s="1531"/>
      <c r="W1020" s="1531"/>
      <c r="X1020" s="1531"/>
      <c r="Y1020" s="1531"/>
      <c r="Z1020" s="1531"/>
      <c r="AA1020" s="1531"/>
      <c r="AB1020" s="1531"/>
      <c r="AC1020" s="1531"/>
      <c r="AD1020" s="1531"/>
      <c r="AE1020" s="1531"/>
      <c r="AF1020" s="1531"/>
      <c r="AG1020" s="1531"/>
      <c r="AH1020" s="1531"/>
      <c r="AI1020" s="1531"/>
      <c r="AJ1020" s="1531"/>
      <c r="AK1020" s="1531"/>
      <c r="AL1020" s="1531"/>
      <c r="AM1020" s="1531"/>
      <c r="AN1020" s="1531"/>
      <c r="AO1020" s="1531"/>
      <c r="AP1020" s="1531"/>
      <c r="AQ1020" s="1531"/>
      <c r="AR1020" s="1531"/>
      <c r="AS1020" s="1531"/>
      <c r="AT1020" s="1136"/>
      <c r="AU1020" s="1136"/>
      <c r="AV1020" s="1136"/>
      <c r="AW1020" s="1136"/>
      <c r="AX1020" s="1136"/>
      <c r="AY1020" s="1136"/>
      <c r="AZ1020" s="1136"/>
      <c r="BA1020" s="1136"/>
      <c r="BB1020" s="1136"/>
      <c r="BC1020" s="1136"/>
      <c r="BD1020" s="1136"/>
      <c r="BE1020" s="1136"/>
      <c r="BF1020" s="1136"/>
      <c r="BG1020" s="1136"/>
      <c r="BH1020" s="1136"/>
      <c r="BI1020" s="1136"/>
      <c r="BJ1020" s="1136"/>
      <c r="BK1020" s="1136"/>
      <c r="BL1020" s="1136"/>
      <c r="BM1020" s="1136"/>
      <c r="BN1020" s="1136"/>
      <c r="BO1020" s="1136"/>
      <c r="BP1020" s="1136"/>
      <c r="BQ1020" s="1136"/>
      <c r="BR1020" s="1136"/>
      <c r="BS1020" s="1136"/>
      <c r="BT1020" s="1136"/>
      <c r="BU1020" s="1136"/>
      <c r="BV1020" s="1136"/>
      <c r="BW1020" s="1136"/>
      <c r="BX1020" s="1136"/>
      <c r="BY1020" s="1136"/>
      <c r="BZ1020" s="1136"/>
      <c r="CA1020" s="1136"/>
      <c r="CB1020" s="1136"/>
      <c r="CC1020" s="1136"/>
      <c r="CD1020" s="1136"/>
      <c r="CE1020" s="1136"/>
      <c r="CF1020" s="1136"/>
      <c r="CG1020" s="1136"/>
      <c r="CH1020" s="1136"/>
      <c r="CI1020" s="1136"/>
      <c r="CJ1020" s="1136"/>
      <c r="CK1020" s="1136"/>
      <c r="CL1020" s="1136"/>
      <c r="CM1020" s="1136"/>
      <c r="CN1020" s="1136"/>
      <c r="CO1020" s="1136"/>
      <c r="CP1020" s="1136"/>
      <c r="CQ1020" s="1136"/>
      <c r="CR1020" s="1136"/>
      <c r="CS1020" s="1136"/>
      <c r="CT1020" s="1136"/>
      <c r="CU1020" s="1136"/>
      <c r="CV1020" s="1136"/>
      <c r="CW1020" s="1136"/>
      <c r="CX1020" s="1136"/>
      <c r="CY1020" s="1136"/>
      <c r="CZ1020" s="1136"/>
      <c r="DA1020" s="1136"/>
      <c r="DB1020" s="1136"/>
      <c r="DC1020" s="1136"/>
      <c r="DD1020" s="1136"/>
      <c r="DE1020" s="1136"/>
      <c r="DF1020" s="1136"/>
      <c r="DG1020" s="1136"/>
      <c r="DH1020" s="1136"/>
      <c r="DI1020" s="1136"/>
    </row>
    <row r="1021" spans="1:113" ht="47.25" x14ac:dyDescent="0.25">
      <c r="A1021" s="1427" t="s">
        <v>4151</v>
      </c>
      <c r="B1021" s="1439"/>
      <c r="C1021" s="1562"/>
      <c r="D1021" s="1437"/>
      <c r="E1021" s="1437"/>
      <c r="F1021" s="1437"/>
      <c r="G1021" s="1437"/>
      <c r="H1021" s="1531"/>
      <c r="I1021" s="1531"/>
      <c r="J1021" s="1531"/>
      <c r="K1021" s="1531"/>
      <c r="L1021" s="1531"/>
      <c r="M1021" s="1531"/>
      <c r="N1021" s="1531"/>
      <c r="O1021" s="1531"/>
      <c r="P1021" s="1531"/>
      <c r="Q1021" s="1531"/>
      <c r="R1021" s="1531"/>
      <c r="S1021" s="1531"/>
      <c r="T1021" s="1531"/>
      <c r="U1021" s="1531"/>
      <c r="V1021" s="1531"/>
      <c r="W1021" s="1531"/>
      <c r="X1021" s="1531"/>
      <c r="Y1021" s="1531"/>
      <c r="Z1021" s="1531"/>
      <c r="AA1021" s="1531"/>
      <c r="AB1021" s="1531"/>
      <c r="AC1021" s="1531"/>
      <c r="AD1021" s="1531"/>
      <c r="AE1021" s="1531"/>
      <c r="AF1021" s="1531"/>
      <c r="AG1021" s="1531"/>
      <c r="AH1021" s="1531"/>
      <c r="AI1021" s="1531"/>
      <c r="AJ1021" s="1531"/>
      <c r="AK1021" s="1531"/>
      <c r="AL1021" s="1531"/>
      <c r="AM1021" s="1531"/>
      <c r="AN1021" s="1531"/>
      <c r="AO1021" s="1531"/>
      <c r="AP1021" s="1531"/>
      <c r="AQ1021" s="1531"/>
      <c r="AR1021" s="1531"/>
      <c r="AS1021" s="1531"/>
      <c r="AT1021" s="1136"/>
      <c r="AU1021" s="1136"/>
      <c r="AV1021" s="1136"/>
      <c r="AW1021" s="1136"/>
      <c r="AX1021" s="1136"/>
      <c r="AY1021" s="1136"/>
      <c r="AZ1021" s="1136"/>
      <c r="BA1021" s="1136"/>
      <c r="BB1021" s="1136"/>
      <c r="BC1021" s="1136"/>
      <c r="BD1021" s="1136"/>
      <c r="BE1021" s="1136"/>
      <c r="BF1021" s="1136"/>
      <c r="BG1021" s="1136"/>
      <c r="BH1021" s="1136"/>
      <c r="BI1021" s="1136"/>
      <c r="BJ1021" s="1136"/>
      <c r="BK1021" s="1136"/>
      <c r="BL1021" s="1136"/>
      <c r="BM1021" s="1136"/>
      <c r="BN1021" s="1136"/>
      <c r="BO1021" s="1136"/>
      <c r="BP1021" s="1136"/>
      <c r="BQ1021" s="1136"/>
      <c r="BR1021" s="1136"/>
      <c r="BS1021" s="1136"/>
      <c r="BT1021" s="1136"/>
      <c r="BU1021" s="1136"/>
      <c r="BV1021" s="1136"/>
      <c r="BW1021" s="1136"/>
      <c r="BX1021" s="1136"/>
      <c r="BY1021" s="1136"/>
      <c r="BZ1021" s="1136"/>
      <c r="CA1021" s="1136"/>
      <c r="CB1021" s="1136"/>
      <c r="CC1021" s="1136"/>
      <c r="CD1021" s="1136"/>
      <c r="CE1021" s="1136"/>
      <c r="CF1021" s="1136"/>
      <c r="CG1021" s="1136"/>
      <c r="CH1021" s="1136"/>
      <c r="CI1021" s="1136"/>
      <c r="CJ1021" s="1136"/>
      <c r="CK1021" s="1136"/>
      <c r="CL1021" s="1136"/>
      <c r="CM1021" s="1136"/>
      <c r="CN1021" s="1136"/>
      <c r="CO1021" s="1136"/>
      <c r="CP1021" s="1136"/>
      <c r="CQ1021" s="1136"/>
      <c r="CR1021" s="1136"/>
      <c r="CS1021" s="1136"/>
      <c r="CT1021" s="1136"/>
      <c r="CU1021" s="1136"/>
      <c r="CV1021" s="1136"/>
      <c r="CW1021" s="1136"/>
      <c r="CX1021" s="1136"/>
      <c r="CY1021" s="1136"/>
      <c r="CZ1021" s="1136"/>
      <c r="DA1021" s="1136"/>
      <c r="DB1021" s="1136"/>
      <c r="DC1021" s="1136"/>
      <c r="DD1021" s="1136"/>
      <c r="DE1021" s="1136"/>
      <c r="DF1021" s="1136"/>
      <c r="DG1021" s="1136"/>
      <c r="DH1021" s="1136"/>
      <c r="DI1021" s="1136"/>
    </row>
    <row r="1022" spans="1:113" ht="15.75" x14ac:dyDescent="0.25">
      <c r="A1022" s="1422" t="s">
        <v>4152</v>
      </c>
      <c r="B1022" s="1439" t="e">
        <f>(B291/(B1020-B811))*B809</f>
        <v>#DIV/0!</v>
      </c>
      <c r="C1022" s="1562"/>
      <c r="D1022" s="1437"/>
      <c r="E1022" s="1437"/>
      <c r="F1022" s="1437"/>
      <c r="G1022" s="1437"/>
      <c r="H1022" s="1531"/>
      <c r="I1022" s="1531"/>
      <c r="J1022" s="1531"/>
      <c r="K1022" s="1531"/>
      <c r="L1022" s="1531"/>
      <c r="M1022" s="1531"/>
      <c r="N1022" s="1531"/>
      <c r="O1022" s="1531"/>
      <c r="P1022" s="1531"/>
      <c r="Q1022" s="1531"/>
      <c r="R1022" s="1531"/>
      <c r="S1022" s="1531"/>
      <c r="T1022" s="1531"/>
      <c r="U1022" s="1531"/>
      <c r="V1022" s="1531"/>
      <c r="W1022" s="1531"/>
      <c r="X1022" s="1531"/>
      <c r="Y1022" s="1531"/>
      <c r="Z1022" s="1531"/>
      <c r="AA1022" s="1531"/>
      <c r="AB1022" s="1531"/>
      <c r="AC1022" s="1531"/>
      <c r="AD1022" s="1531"/>
      <c r="AE1022" s="1531"/>
      <c r="AF1022" s="1531"/>
      <c r="AG1022" s="1531"/>
      <c r="AH1022" s="1531"/>
      <c r="AI1022" s="1531"/>
      <c r="AJ1022" s="1531"/>
      <c r="AK1022" s="1531"/>
      <c r="AL1022" s="1531"/>
      <c r="AM1022" s="1531"/>
      <c r="AN1022" s="1531"/>
      <c r="AO1022" s="1531"/>
      <c r="AP1022" s="1531"/>
      <c r="AQ1022" s="1531"/>
      <c r="AR1022" s="1531"/>
      <c r="AS1022" s="1531"/>
      <c r="AT1022" s="1136"/>
      <c r="AU1022" s="1136"/>
      <c r="AV1022" s="1136"/>
      <c r="AW1022" s="1136"/>
      <c r="AX1022" s="1136"/>
      <c r="AY1022" s="1136"/>
      <c r="AZ1022" s="1136"/>
      <c r="BA1022" s="1136"/>
      <c r="BB1022" s="1136"/>
      <c r="BC1022" s="1136"/>
      <c r="BD1022" s="1136"/>
      <c r="BE1022" s="1136"/>
      <c r="BF1022" s="1136"/>
      <c r="BG1022" s="1136"/>
      <c r="BH1022" s="1136"/>
      <c r="BI1022" s="1136"/>
      <c r="BJ1022" s="1136"/>
      <c r="BK1022" s="1136"/>
      <c r="BL1022" s="1136"/>
      <c r="BM1022" s="1136"/>
      <c r="BN1022" s="1136"/>
      <c r="BO1022" s="1136"/>
      <c r="BP1022" s="1136"/>
      <c r="BQ1022" s="1136"/>
      <c r="BR1022" s="1136"/>
      <c r="BS1022" s="1136"/>
      <c r="BT1022" s="1136"/>
      <c r="BU1022" s="1136"/>
      <c r="BV1022" s="1136"/>
      <c r="BW1022" s="1136"/>
      <c r="BX1022" s="1136"/>
      <c r="BY1022" s="1136"/>
      <c r="BZ1022" s="1136"/>
      <c r="CA1022" s="1136"/>
      <c r="CB1022" s="1136"/>
      <c r="CC1022" s="1136"/>
      <c r="CD1022" s="1136"/>
      <c r="CE1022" s="1136"/>
      <c r="CF1022" s="1136"/>
      <c r="CG1022" s="1136"/>
      <c r="CH1022" s="1136"/>
      <c r="CI1022" s="1136"/>
      <c r="CJ1022" s="1136"/>
      <c r="CK1022" s="1136"/>
      <c r="CL1022" s="1136"/>
      <c r="CM1022" s="1136"/>
      <c r="CN1022" s="1136"/>
      <c r="CO1022" s="1136"/>
      <c r="CP1022" s="1136"/>
      <c r="CQ1022" s="1136"/>
      <c r="CR1022" s="1136"/>
      <c r="CS1022" s="1136"/>
      <c r="CT1022" s="1136"/>
      <c r="CU1022" s="1136"/>
      <c r="CV1022" s="1136"/>
      <c r="CW1022" s="1136"/>
      <c r="CX1022" s="1136"/>
      <c r="CY1022" s="1136"/>
      <c r="CZ1022" s="1136"/>
      <c r="DA1022" s="1136"/>
      <c r="DB1022" s="1136"/>
      <c r="DC1022" s="1136"/>
      <c r="DD1022" s="1136"/>
      <c r="DE1022" s="1136"/>
      <c r="DF1022" s="1136"/>
      <c r="DG1022" s="1136"/>
      <c r="DH1022" s="1136"/>
      <c r="DI1022" s="1136"/>
    </row>
    <row r="1023" spans="1:113" ht="31.5" x14ac:dyDescent="0.25">
      <c r="A1023" s="1422" t="s">
        <v>2048</v>
      </c>
      <c r="B1023" s="1424" t="e">
        <f>INDEX($U$1475:$X$1484,B1026,B1027)</f>
        <v>#VALUE!</v>
      </c>
      <c r="C1023" s="1606"/>
      <c r="D1023" s="1432"/>
      <c r="E1023" s="1432"/>
      <c r="F1023" s="1432"/>
      <c r="G1023" s="1432"/>
      <c r="H1023" s="1531"/>
      <c r="I1023" s="1531"/>
      <c r="J1023" s="1531"/>
      <c r="K1023" s="1531"/>
      <c r="L1023" s="1531"/>
      <c r="M1023" s="1531"/>
      <c r="N1023" s="1531"/>
      <c r="O1023" s="1531"/>
      <c r="P1023" s="1531"/>
      <c r="Q1023" s="1531"/>
      <c r="R1023" s="1531"/>
      <c r="S1023" s="1531"/>
      <c r="T1023" s="1531"/>
      <c r="U1023" s="1531"/>
      <c r="V1023" s="1531"/>
      <c r="W1023" s="1531"/>
      <c r="X1023" s="1531"/>
      <c r="Y1023" s="1531"/>
      <c r="Z1023" s="1531"/>
      <c r="AA1023" s="1531"/>
      <c r="AB1023" s="1531"/>
      <c r="AC1023" s="1531"/>
      <c r="AD1023" s="1531"/>
      <c r="AE1023" s="1531"/>
      <c r="AF1023" s="1531"/>
      <c r="AG1023" s="1531"/>
      <c r="AH1023" s="1531"/>
      <c r="AI1023" s="1531"/>
      <c r="AJ1023" s="1531"/>
      <c r="AK1023" s="1531"/>
      <c r="AL1023" s="1531"/>
      <c r="AM1023" s="1531"/>
      <c r="AN1023" s="1531"/>
      <c r="AO1023" s="1531"/>
      <c r="AP1023" s="1531"/>
      <c r="AQ1023" s="1531"/>
      <c r="AR1023" s="1531"/>
      <c r="AS1023" s="1531"/>
      <c r="AT1023" s="1136"/>
      <c r="AU1023" s="1136"/>
      <c r="AV1023" s="1136"/>
      <c r="AW1023" s="1136"/>
      <c r="AX1023" s="1136"/>
      <c r="AY1023" s="1136"/>
      <c r="AZ1023" s="1136"/>
      <c r="BA1023" s="1136"/>
      <c r="BB1023" s="1136"/>
      <c r="BC1023" s="1136"/>
      <c r="BD1023" s="1136"/>
      <c r="BE1023" s="1136"/>
      <c r="BF1023" s="1136"/>
      <c r="BG1023" s="1136"/>
      <c r="BH1023" s="1136"/>
      <c r="BI1023" s="1136"/>
      <c r="BJ1023" s="1136"/>
      <c r="BK1023" s="1136"/>
      <c r="BL1023" s="1136"/>
      <c r="BM1023" s="1136"/>
      <c r="BN1023" s="1136"/>
      <c r="BO1023" s="1136"/>
      <c r="BP1023" s="1136"/>
      <c r="BQ1023" s="1136"/>
      <c r="BR1023" s="1136"/>
      <c r="BS1023" s="1136"/>
      <c r="BT1023" s="1136"/>
      <c r="BU1023" s="1136"/>
      <c r="BV1023" s="1136"/>
      <c r="BW1023" s="1136"/>
      <c r="BX1023" s="1136"/>
      <c r="BY1023" s="1136"/>
      <c r="BZ1023" s="1136"/>
      <c r="CA1023" s="1136"/>
      <c r="CB1023" s="1136"/>
      <c r="CC1023" s="1136"/>
      <c r="CD1023" s="1136"/>
      <c r="CE1023" s="1136"/>
      <c r="CF1023" s="1136"/>
      <c r="CG1023" s="1136"/>
      <c r="CH1023" s="1136"/>
      <c r="CI1023" s="1136"/>
      <c r="CJ1023" s="1136"/>
      <c r="CK1023" s="1136"/>
      <c r="CL1023" s="1136"/>
      <c r="CM1023" s="1136"/>
      <c r="CN1023" s="1136"/>
      <c r="CO1023" s="1136"/>
      <c r="CP1023" s="1136"/>
      <c r="CQ1023" s="1136"/>
      <c r="CR1023" s="1136"/>
      <c r="CS1023" s="1136"/>
      <c r="CT1023" s="1136"/>
      <c r="CU1023" s="1136"/>
      <c r="CV1023" s="1136"/>
      <c r="CW1023" s="1136"/>
      <c r="CX1023" s="1136"/>
      <c r="CY1023" s="1136"/>
      <c r="CZ1023" s="1136"/>
      <c r="DA1023" s="1136"/>
      <c r="DB1023" s="1136"/>
      <c r="DC1023" s="1136"/>
      <c r="DD1023" s="1136"/>
      <c r="DE1023" s="1136"/>
      <c r="DF1023" s="1136"/>
      <c r="DG1023" s="1136"/>
      <c r="DH1023" s="1136"/>
      <c r="DI1023" s="1136"/>
    </row>
    <row r="1024" spans="1:113" ht="15.75" x14ac:dyDescent="0.25">
      <c r="A1024" s="1456" t="s">
        <v>1719</v>
      </c>
      <c r="B1024" s="1439"/>
      <c r="C1024" s="1562"/>
      <c r="D1024" s="1454"/>
      <c r="E1024" s="1454"/>
      <c r="F1024" s="1454"/>
      <c r="G1024" s="1454"/>
      <c r="H1024" s="1531"/>
      <c r="I1024" s="1531"/>
      <c r="J1024" s="1531"/>
      <c r="K1024" s="1531"/>
      <c r="L1024" s="1531"/>
      <c r="M1024" s="1531"/>
      <c r="N1024" s="1531"/>
      <c r="O1024" s="1531"/>
      <c r="P1024" s="1531"/>
      <c r="Q1024" s="1531"/>
      <c r="R1024" s="1531"/>
      <c r="S1024" s="1531"/>
      <c r="T1024" s="1531"/>
      <c r="U1024" s="1531"/>
      <c r="V1024" s="1531"/>
      <c r="W1024" s="1531"/>
      <c r="X1024" s="1531"/>
      <c r="Y1024" s="1531"/>
      <c r="Z1024" s="1531"/>
      <c r="AA1024" s="1531"/>
      <c r="AB1024" s="1531"/>
      <c r="AC1024" s="1531"/>
      <c r="AD1024" s="1531"/>
      <c r="AE1024" s="1531"/>
      <c r="AF1024" s="1531"/>
      <c r="AG1024" s="1531"/>
      <c r="AH1024" s="1531"/>
      <c r="AI1024" s="1531"/>
      <c r="AJ1024" s="1531"/>
      <c r="AK1024" s="1531"/>
      <c r="AL1024" s="1531"/>
      <c r="AM1024" s="1531"/>
      <c r="AN1024" s="1531"/>
      <c r="AO1024" s="1531"/>
      <c r="AP1024" s="1531"/>
      <c r="AQ1024" s="1531"/>
      <c r="AR1024" s="1531"/>
      <c r="AS1024" s="1531"/>
      <c r="AT1024" s="1136"/>
      <c r="AU1024" s="1136"/>
      <c r="AV1024" s="1136"/>
      <c r="AW1024" s="1136"/>
      <c r="AX1024" s="1136"/>
      <c r="AY1024" s="1136"/>
      <c r="AZ1024" s="1136"/>
      <c r="BA1024" s="1136"/>
      <c r="BB1024" s="1136"/>
      <c r="BC1024" s="1136"/>
      <c r="BD1024" s="1136"/>
      <c r="BE1024" s="1136"/>
      <c r="BF1024" s="1136"/>
      <c r="BG1024" s="1136"/>
      <c r="BH1024" s="1136"/>
      <c r="BI1024" s="1136"/>
      <c r="BJ1024" s="1136"/>
      <c r="BK1024" s="1136"/>
      <c r="BL1024" s="1136"/>
      <c r="BM1024" s="1136"/>
      <c r="BN1024" s="1136"/>
      <c r="BO1024" s="1136"/>
      <c r="BP1024" s="1136"/>
      <c r="BQ1024" s="1136"/>
      <c r="BR1024" s="1136"/>
      <c r="BS1024" s="1136"/>
      <c r="BT1024" s="1136"/>
      <c r="BU1024" s="1136"/>
      <c r="BV1024" s="1136"/>
      <c r="BW1024" s="1136"/>
      <c r="BX1024" s="1136"/>
      <c r="BY1024" s="1136"/>
      <c r="BZ1024" s="1136"/>
      <c r="CA1024" s="1136"/>
      <c r="CB1024" s="1136"/>
      <c r="CC1024" s="1136"/>
      <c r="CD1024" s="1136"/>
      <c r="CE1024" s="1136"/>
      <c r="CF1024" s="1136"/>
      <c r="CG1024" s="1136"/>
      <c r="CH1024" s="1136"/>
      <c r="CI1024" s="1136"/>
      <c r="CJ1024" s="1136"/>
      <c r="CK1024" s="1136"/>
      <c r="CL1024" s="1136"/>
      <c r="CM1024" s="1136"/>
      <c r="CN1024" s="1136"/>
      <c r="CO1024" s="1136"/>
      <c r="CP1024" s="1136"/>
      <c r="CQ1024" s="1136"/>
      <c r="CR1024" s="1136"/>
      <c r="CS1024" s="1136"/>
      <c r="CT1024" s="1136"/>
      <c r="CU1024" s="1136"/>
      <c r="CV1024" s="1136"/>
      <c r="CW1024" s="1136"/>
      <c r="CX1024" s="1136"/>
      <c r="CY1024" s="1136"/>
      <c r="CZ1024" s="1136"/>
      <c r="DA1024" s="1136"/>
      <c r="DB1024" s="1136"/>
      <c r="DC1024" s="1136"/>
      <c r="DD1024" s="1136"/>
      <c r="DE1024" s="1136"/>
      <c r="DF1024" s="1136"/>
      <c r="DG1024" s="1136"/>
      <c r="DH1024" s="1136"/>
      <c r="DI1024" s="1136"/>
    </row>
    <row r="1025" spans="1:113" ht="15.75" x14ac:dyDescent="0.25">
      <c r="A1025" s="1430" t="s">
        <v>1613</v>
      </c>
      <c r="B1025" s="1424" t="e">
        <f>B820</f>
        <v>#VALUE!</v>
      </c>
      <c r="C1025" s="1606"/>
      <c r="D1025" s="1454"/>
      <c r="E1025" s="1454"/>
      <c r="F1025" s="1454"/>
      <c r="G1025" s="1454"/>
      <c r="H1025" s="1531"/>
      <c r="I1025" s="1531"/>
      <c r="J1025" s="1531"/>
      <c r="K1025" s="1531"/>
      <c r="L1025" s="1531"/>
      <c r="M1025" s="1531"/>
      <c r="N1025" s="1531"/>
      <c r="O1025" s="1531"/>
      <c r="P1025" s="1531"/>
      <c r="Q1025" s="1531"/>
      <c r="R1025" s="1531"/>
      <c r="S1025" s="1531"/>
      <c r="T1025" s="1531"/>
      <c r="U1025" s="1531"/>
      <c r="V1025" s="1531"/>
      <c r="W1025" s="1531"/>
      <c r="X1025" s="1531"/>
      <c r="Y1025" s="1531"/>
      <c r="Z1025" s="1531"/>
      <c r="AA1025" s="1531"/>
      <c r="AB1025" s="1531"/>
      <c r="AC1025" s="1531"/>
      <c r="AD1025" s="1531"/>
      <c r="AE1025" s="1531"/>
      <c r="AF1025" s="1531"/>
      <c r="AG1025" s="1531"/>
      <c r="AH1025" s="1531"/>
      <c r="AI1025" s="1531"/>
      <c r="AJ1025" s="1531"/>
      <c r="AK1025" s="1531"/>
      <c r="AL1025" s="1531"/>
      <c r="AM1025" s="1531"/>
      <c r="AN1025" s="1531"/>
      <c r="AO1025" s="1531"/>
      <c r="AP1025" s="1531"/>
      <c r="AQ1025" s="1531"/>
      <c r="AR1025" s="1531"/>
      <c r="AS1025" s="1531"/>
      <c r="AT1025" s="1136"/>
      <c r="AU1025" s="1136"/>
      <c r="AV1025" s="1136"/>
      <c r="AW1025" s="1136"/>
      <c r="AX1025" s="1136"/>
      <c r="AY1025" s="1136"/>
      <c r="AZ1025" s="1136"/>
      <c r="BA1025" s="1136"/>
      <c r="BB1025" s="1136"/>
      <c r="BC1025" s="1136"/>
      <c r="BD1025" s="1136"/>
      <c r="BE1025" s="1136"/>
      <c r="BF1025" s="1136"/>
      <c r="BG1025" s="1136"/>
      <c r="BH1025" s="1136"/>
      <c r="BI1025" s="1136"/>
      <c r="BJ1025" s="1136"/>
      <c r="BK1025" s="1136"/>
      <c r="BL1025" s="1136"/>
      <c r="BM1025" s="1136"/>
      <c r="BN1025" s="1136"/>
      <c r="BO1025" s="1136"/>
      <c r="BP1025" s="1136"/>
      <c r="BQ1025" s="1136"/>
      <c r="BR1025" s="1136"/>
      <c r="BS1025" s="1136"/>
      <c r="BT1025" s="1136"/>
      <c r="BU1025" s="1136"/>
      <c r="BV1025" s="1136"/>
      <c r="BW1025" s="1136"/>
      <c r="BX1025" s="1136"/>
      <c r="BY1025" s="1136"/>
      <c r="BZ1025" s="1136"/>
      <c r="CA1025" s="1136"/>
      <c r="CB1025" s="1136"/>
      <c r="CC1025" s="1136"/>
      <c r="CD1025" s="1136"/>
      <c r="CE1025" s="1136"/>
      <c r="CF1025" s="1136"/>
      <c r="CG1025" s="1136"/>
      <c r="CH1025" s="1136"/>
      <c r="CI1025" s="1136"/>
      <c r="CJ1025" s="1136"/>
      <c r="CK1025" s="1136"/>
      <c r="CL1025" s="1136"/>
      <c r="CM1025" s="1136"/>
      <c r="CN1025" s="1136"/>
      <c r="CO1025" s="1136"/>
      <c r="CP1025" s="1136"/>
      <c r="CQ1025" s="1136"/>
      <c r="CR1025" s="1136"/>
      <c r="CS1025" s="1136"/>
      <c r="CT1025" s="1136"/>
      <c r="CU1025" s="1136"/>
      <c r="CV1025" s="1136"/>
      <c r="CW1025" s="1136"/>
      <c r="CX1025" s="1136"/>
      <c r="CY1025" s="1136"/>
      <c r="CZ1025" s="1136"/>
      <c r="DA1025" s="1136"/>
      <c r="DB1025" s="1136"/>
      <c r="DC1025" s="1136"/>
      <c r="DD1025" s="1136"/>
      <c r="DE1025" s="1136"/>
      <c r="DF1025" s="1136"/>
      <c r="DG1025" s="1136"/>
      <c r="DH1025" s="1136"/>
      <c r="DI1025" s="1136"/>
    </row>
    <row r="1026" spans="1:113" ht="15.75" x14ac:dyDescent="0.25">
      <c r="A1026" s="1422" t="s">
        <v>1319</v>
      </c>
      <c r="B1026" s="1441" t="e">
        <f>B821</f>
        <v>#VALUE!</v>
      </c>
      <c r="C1026" s="1596"/>
      <c r="D1026" s="1563"/>
      <c r="E1026" s="1563"/>
      <c r="F1026" s="1563"/>
      <c r="G1026" s="1563"/>
      <c r="H1026" s="1531"/>
      <c r="I1026" s="1531"/>
      <c r="J1026" s="1531"/>
      <c r="K1026" s="1531"/>
      <c r="L1026" s="1531"/>
      <c r="M1026" s="1531"/>
      <c r="N1026" s="1531"/>
      <c r="O1026" s="1531"/>
      <c r="P1026" s="1531"/>
      <c r="Q1026" s="1531"/>
      <c r="R1026" s="1531"/>
      <c r="S1026" s="1531"/>
      <c r="T1026" s="1531"/>
      <c r="U1026" s="1531"/>
      <c r="V1026" s="1531"/>
      <c r="W1026" s="1531"/>
      <c r="X1026" s="1531"/>
      <c r="Y1026" s="1531"/>
      <c r="Z1026" s="1531"/>
      <c r="AA1026" s="1531"/>
      <c r="AB1026" s="1531"/>
      <c r="AC1026" s="1531"/>
      <c r="AD1026" s="1531"/>
      <c r="AE1026" s="1531"/>
      <c r="AF1026" s="1531"/>
      <c r="AG1026" s="1531"/>
      <c r="AH1026" s="1531"/>
      <c r="AI1026" s="1531"/>
      <c r="AJ1026" s="1531"/>
      <c r="AK1026" s="1531"/>
      <c r="AL1026" s="1531"/>
      <c r="AM1026" s="1531"/>
      <c r="AN1026" s="1531"/>
      <c r="AO1026" s="1531"/>
      <c r="AP1026" s="1531"/>
      <c r="AQ1026" s="1531"/>
      <c r="AR1026" s="1531"/>
      <c r="AS1026" s="1531"/>
      <c r="AT1026" s="1136"/>
      <c r="AU1026" s="1136"/>
      <c r="AV1026" s="1136"/>
      <c r="AW1026" s="1136"/>
      <c r="AX1026" s="1136"/>
      <c r="AY1026" s="1136"/>
      <c r="AZ1026" s="1136"/>
      <c r="BA1026" s="1136"/>
      <c r="BB1026" s="1136"/>
      <c r="BC1026" s="1136"/>
      <c r="BD1026" s="1136"/>
      <c r="BE1026" s="1136"/>
      <c r="BF1026" s="1136"/>
      <c r="BG1026" s="1136"/>
      <c r="BH1026" s="1136"/>
      <c r="BI1026" s="1136"/>
      <c r="BJ1026" s="1136"/>
      <c r="BK1026" s="1136"/>
      <c r="BL1026" s="1136"/>
      <c r="BM1026" s="1136"/>
      <c r="BN1026" s="1136"/>
      <c r="BO1026" s="1136"/>
      <c r="BP1026" s="1136"/>
      <c r="BQ1026" s="1136"/>
      <c r="BR1026" s="1136"/>
      <c r="BS1026" s="1136"/>
      <c r="BT1026" s="1136"/>
      <c r="BU1026" s="1136"/>
      <c r="BV1026" s="1136"/>
      <c r="BW1026" s="1136"/>
      <c r="BX1026" s="1136"/>
      <c r="BY1026" s="1136"/>
      <c r="BZ1026" s="1136"/>
      <c r="CA1026" s="1136"/>
      <c r="CB1026" s="1136"/>
      <c r="CC1026" s="1136"/>
      <c r="CD1026" s="1136"/>
      <c r="CE1026" s="1136"/>
      <c r="CF1026" s="1136"/>
      <c r="CG1026" s="1136"/>
      <c r="CH1026" s="1136"/>
      <c r="CI1026" s="1136"/>
      <c r="CJ1026" s="1136"/>
      <c r="CK1026" s="1136"/>
      <c r="CL1026" s="1136"/>
      <c r="CM1026" s="1136"/>
      <c r="CN1026" s="1136"/>
      <c r="CO1026" s="1136"/>
      <c r="CP1026" s="1136"/>
      <c r="CQ1026" s="1136"/>
      <c r="CR1026" s="1136"/>
      <c r="CS1026" s="1136"/>
      <c r="CT1026" s="1136"/>
      <c r="CU1026" s="1136"/>
      <c r="CV1026" s="1136"/>
      <c r="CW1026" s="1136"/>
      <c r="CX1026" s="1136"/>
      <c r="CY1026" s="1136"/>
      <c r="CZ1026" s="1136"/>
      <c r="DA1026" s="1136"/>
      <c r="DB1026" s="1136"/>
      <c r="DC1026" s="1136"/>
      <c r="DD1026" s="1136"/>
      <c r="DE1026" s="1136"/>
      <c r="DF1026" s="1136"/>
      <c r="DG1026" s="1136"/>
      <c r="DH1026" s="1136"/>
      <c r="DI1026" s="1136"/>
    </row>
    <row r="1027" spans="1:113" ht="15.75" x14ac:dyDescent="0.25">
      <c r="A1027" s="1422" t="s">
        <v>1321</v>
      </c>
      <c r="B1027" s="1614">
        <v>4</v>
      </c>
      <c r="C1027" s="1615"/>
      <c r="D1027" s="1567"/>
      <c r="E1027" s="1567"/>
      <c r="F1027" s="1567"/>
      <c r="G1027" s="1567"/>
      <c r="H1027" s="1531"/>
      <c r="I1027" s="1531"/>
      <c r="J1027" s="1531"/>
      <c r="K1027" s="1531"/>
      <c r="L1027" s="1531"/>
      <c r="M1027" s="1531"/>
      <c r="N1027" s="1531"/>
      <c r="O1027" s="1531"/>
      <c r="P1027" s="1531"/>
      <c r="Q1027" s="1531"/>
      <c r="R1027" s="1531"/>
      <c r="S1027" s="1531"/>
      <c r="T1027" s="1531"/>
      <c r="U1027" s="1531"/>
      <c r="V1027" s="1531"/>
      <c r="W1027" s="1531"/>
      <c r="X1027" s="1531"/>
      <c r="Y1027" s="1531"/>
      <c r="Z1027" s="1531"/>
      <c r="AA1027" s="1531"/>
      <c r="AB1027" s="1531"/>
      <c r="AC1027" s="1531"/>
      <c r="AD1027" s="1531"/>
      <c r="AE1027" s="1531"/>
      <c r="AF1027" s="1531"/>
      <c r="AG1027" s="1531"/>
      <c r="AH1027" s="1531"/>
      <c r="AI1027" s="1531"/>
      <c r="AJ1027" s="1531"/>
      <c r="AK1027" s="1531"/>
      <c r="AL1027" s="1531"/>
      <c r="AM1027" s="1531"/>
      <c r="AN1027" s="1531"/>
      <c r="AO1027" s="1531"/>
      <c r="AP1027" s="1531"/>
      <c r="AQ1027" s="1531"/>
      <c r="AR1027" s="1531"/>
      <c r="AS1027" s="1531"/>
      <c r="AT1027" s="1136"/>
      <c r="AU1027" s="1136"/>
      <c r="AV1027" s="1136"/>
      <c r="AW1027" s="1136"/>
      <c r="AX1027" s="1136"/>
      <c r="AY1027" s="1136"/>
      <c r="AZ1027" s="1136"/>
      <c r="BA1027" s="1136"/>
      <c r="BB1027" s="1136"/>
      <c r="BC1027" s="1136"/>
      <c r="BD1027" s="1136"/>
      <c r="BE1027" s="1136"/>
      <c r="BF1027" s="1136"/>
      <c r="BG1027" s="1136"/>
      <c r="BH1027" s="1136"/>
      <c r="BI1027" s="1136"/>
      <c r="BJ1027" s="1136"/>
      <c r="BK1027" s="1136"/>
      <c r="BL1027" s="1136"/>
      <c r="BM1027" s="1136"/>
      <c r="BN1027" s="1136"/>
      <c r="BO1027" s="1136"/>
      <c r="BP1027" s="1136"/>
      <c r="BQ1027" s="1136"/>
      <c r="BR1027" s="1136"/>
      <c r="BS1027" s="1136"/>
      <c r="BT1027" s="1136"/>
      <c r="BU1027" s="1136"/>
      <c r="BV1027" s="1136"/>
      <c r="BW1027" s="1136"/>
      <c r="BX1027" s="1136"/>
      <c r="BY1027" s="1136"/>
      <c r="BZ1027" s="1136"/>
      <c r="CA1027" s="1136"/>
      <c r="CB1027" s="1136"/>
      <c r="CC1027" s="1136"/>
      <c r="CD1027" s="1136"/>
      <c r="CE1027" s="1136"/>
      <c r="CF1027" s="1136"/>
      <c r="CG1027" s="1136"/>
      <c r="CH1027" s="1136"/>
      <c r="CI1027" s="1136"/>
      <c r="CJ1027" s="1136"/>
      <c r="CK1027" s="1136"/>
      <c r="CL1027" s="1136"/>
      <c r="CM1027" s="1136"/>
      <c r="CN1027" s="1136"/>
      <c r="CO1027" s="1136"/>
      <c r="CP1027" s="1136"/>
      <c r="CQ1027" s="1136"/>
      <c r="CR1027" s="1136"/>
      <c r="CS1027" s="1136"/>
      <c r="CT1027" s="1136"/>
      <c r="CU1027" s="1136"/>
      <c r="CV1027" s="1136"/>
      <c r="CW1027" s="1136"/>
      <c r="CX1027" s="1136"/>
      <c r="CY1027" s="1136"/>
      <c r="CZ1027" s="1136"/>
      <c r="DA1027" s="1136"/>
      <c r="DB1027" s="1136"/>
      <c r="DC1027" s="1136"/>
      <c r="DD1027" s="1136"/>
      <c r="DE1027" s="1136"/>
      <c r="DF1027" s="1136"/>
      <c r="DG1027" s="1136"/>
      <c r="DH1027" s="1136"/>
      <c r="DI1027" s="1136"/>
    </row>
    <row r="1028" spans="1:113" ht="15.75" x14ac:dyDescent="0.25">
      <c r="A1028" s="1422" t="s">
        <v>1322</v>
      </c>
      <c r="B1028" s="1439"/>
      <c r="C1028" s="1562"/>
      <c r="D1028" s="1531"/>
      <c r="E1028" s="1531"/>
      <c r="F1028" s="1531"/>
      <c r="G1028" s="1531"/>
      <c r="H1028" s="1531"/>
      <c r="I1028" s="1531"/>
      <c r="J1028" s="1531"/>
      <c r="K1028" s="1531"/>
      <c r="L1028" s="1531"/>
      <c r="M1028" s="1531"/>
      <c r="N1028" s="1531"/>
      <c r="O1028" s="1531"/>
      <c r="P1028" s="1531"/>
      <c r="Q1028" s="1531"/>
      <c r="R1028" s="1531"/>
      <c r="S1028" s="1531"/>
      <c r="T1028" s="1531"/>
      <c r="U1028" s="1531"/>
      <c r="V1028" s="1531"/>
      <c r="W1028" s="1531"/>
      <c r="X1028" s="1531"/>
      <c r="Y1028" s="1531"/>
      <c r="Z1028" s="1531"/>
      <c r="AA1028" s="1531"/>
      <c r="AB1028" s="1531"/>
      <c r="AC1028" s="1531"/>
      <c r="AD1028" s="1531"/>
      <c r="AE1028" s="1531"/>
      <c r="AF1028" s="1531"/>
      <c r="AG1028" s="1531"/>
      <c r="AH1028" s="1531"/>
      <c r="AI1028" s="1531"/>
      <c r="AJ1028" s="1531"/>
      <c r="AK1028" s="1531"/>
      <c r="AL1028" s="1531"/>
      <c r="AM1028" s="1531"/>
      <c r="AN1028" s="1531"/>
      <c r="AO1028" s="1531"/>
      <c r="AP1028" s="1531"/>
      <c r="AQ1028" s="1531"/>
      <c r="AR1028" s="1531"/>
      <c r="AS1028" s="1531"/>
      <c r="AT1028" s="1136"/>
      <c r="AU1028" s="1136"/>
      <c r="AV1028" s="1136"/>
      <c r="AW1028" s="1136"/>
      <c r="AX1028" s="1136"/>
      <c r="AY1028" s="1136"/>
      <c r="AZ1028" s="1136"/>
      <c r="BA1028" s="1136"/>
      <c r="BB1028" s="1136"/>
      <c r="BC1028" s="1136"/>
      <c r="BD1028" s="1136"/>
      <c r="BE1028" s="1136"/>
      <c r="BF1028" s="1136"/>
      <c r="BG1028" s="1136"/>
      <c r="BH1028" s="1136"/>
      <c r="BI1028" s="1136"/>
      <c r="BJ1028" s="1136"/>
      <c r="BK1028" s="1136"/>
      <c r="BL1028" s="1136"/>
      <c r="BM1028" s="1136"/>
      <c r="BN1028" s="1136"/>
      <c r="BO1028" s="1136"/>
      <c r="BP1028" s="1136"/>
      <c r="BQ1028" s="1136"/>
      <c r="BR1028" s="1136"/>
      <c r="BS1028" s="1136"/>
      <c r="BT1028" s="1136"/>
      <c r="BU1028" s="1136"/>
      <c r="BV1028" s="1136"/>
      <c r="BW1028" s="1136"/>
      <c r="BX1028" s="1136"/>
      <c r="BY1028" s="1136"/>
      <c r="BZ1028" s="1136"/>
      <c r="CA1028" s="1136"/>
      <c r="CB1028" s="1136"/>
      <c r="CC1028" s="1136"/>
      <c r="CD1028" s="1136"/>
      <c r="CE1028" s="1136"/>
      <c r="CF1028" s="1136"/>
      <c r="CG1028" s="1136"/>
      <c r="CH1028" s="1136"/>
      <c r="CI1028" s="1136"/>
      <c r="CJ1028" s="1136"/>
      <c r="CK1028" s="1136"/>
      <c r="CL1028" s="1136"/>
      <c r="CM1028" s="1136"/>
      <c r="CN1028" s="1136"/>
      <c r="CO1028" s="1136"/>
      <c r="CP1028" s="1136"/>
      <c r="CQ1028" s="1136"/>
      <c r="CR1028" s="1136"/>
      <c r="CS1028" s="1136"/>
      <c r="CT1028" s="1136"/>
      <c r="CU1028" s="1136"/>
      <c r="CV1028" s="1136"/>
      <c r="CW1028" s="1136"/>
      <c r="CX1028" s="1136"/>
      <c r="CY1028" s="1136"/>
      <c r="CZ1028" s="1136"/>
      <c r="DA1028" s="1136"/>
      <c r="DB1028" s="1136"/>
      <c r="DC1028" s="1136"/>
      <c r="DD1028" s="1136"/>
      <c r="DE1028" s="1136"/>
      <c r="DF1028" s="1136"/>
      <c r="DG1028" s="1136"/>
      <c r="DH1028" s="1136"/>
      <c r="DI1028" s="1136"/>
    </row>
    <row r="1029" spans="1:113" ht="15.75" x14ac:dyDescent="0.25">
      <c r="A1029" s="1422" t="s">
        <v>1323</v>
      </c>
      <c r="B1029" s="1443">
        <f>IF(B1020&lt;1.63,1,IF(B1020&lt;2.45,0.9,0.85))</f>
        <v>0.85</v>
      </c>
      <c r="C1029" s="1521"/>
      <c r="D1029" s="1562"/>
      <c r="E1029" s="1562"/>
      <c r="F1029" s="1562"/>
      <c r="G1029" s="1562"/>
      <c r="H1029" s="1531"/>
      <c r="I1029" s="1531"/>
      <c r="J1029" s="1531"/>
      <c r="K1029" s="1531"/>
      <c r="L1029" s="1531"/>
      <c r="M1029" s="1531"/>
      <c r="N1029" s="1531"/>
      <c r="O1029" s="1531"/>
      <c r="P1029" s="1531"/>
      <c r="Q1029" s="1531"/>
      <c r="R1029" s="1531"/>
      <c r="S1029" s="1531"/>
      <c r="T1029" s="1531"/>
      <c r="U1029" s="1531"/>
      <c r="V1029" s="1531"/>
      <c r="W1029" s="1531"/>
      <c r="X1029" s="1531"/>
      <c r="Y1029" s="1531"/>
      <c r="Z1029" s="1531"/>
      <c r="AA1029" s="1531"/>
      <c r="AB1029" s="1531"/>
      <c r="AC1029" s="1531"/>
      <c r="AD1029" s="1531"/>
      <c r="AE1029" s="1531"/>
      <c r="AF1029" s="1531"/>
      <c r="AG1029" s="1531"/>
      <c r="AH1029" s="1531"/>
      <c r="AI1029" s="1531"/>
      <c r="AJ1029" s="1531"/>
      <c r="AK1029" s="1531"/>
      <c r="AL1029" s="1531"/>
      <c r="AM1029" s="1531"/>
      <c r="AN1029" s="1531"/>
      <c r="AO1029" s="1531"/>
      <c r="AP1029" s="1531"/>
      <c r="AQ1029" s="1531"/>
      <c r="AR1029" s="1531"/>
      <c r="AS1029" s="1531"/>
      <c r="AT1029" s="1136"/>
      <c r="AU1029" s="1136"/>
      <c r="AV1029" s="1136"/>
      <c r="AW1029" s="1136"/>
      <c r="AX1029" s="1136"/>
      <c r="AY1029" s="1136"/>
      <c r="AZ1029" s="1136"/>
      <c r="BA1029" s="1136"/>
      <c r="BB1029" s="1136"/>
      <c r="BC1029" s="1136"/>
      <c r="BD1029" s="1136"/>
      <c r="BE1029" s="1136"/>
      <c r="BF1029" s="1136"/>
      <c r="BG1029" s="1136"/>
      <c r="BH1029" s="1136"/>
      <c r="BI1029" s="1136"/>
      <c r="BJ1029" s="1136"/>
      <c r="BK1029" s="1136"/>
      <c r="BL1029" s="1136"/>
      <c r="BM1029" s="1136"/>
      <c r="BN1029" s="1136"/>
      <c r="BO1029" s="1136"/>
      <c r="BP1029" s="1136"/>
      <c r="BQ1029" s="1136"/>
      <c r="BR1029" s="1136"/>
      <c r="BS1029" s="1136"/>
      <c r="BT1029" s="1136"/>
      <c r="BU1029" s="1136"/>
      <c r="BV1029" s="1136"/>
      <c r="BW1029" s="1136"/>
      <c r="BX1029" s="1136"/>
      <c r="BY1029" s="1136"/>
      <c r="BZ1029" s="1136"/>
      <c r="CA1029" s="1136"/>
      <c r="CB1029" s="1136"/>
      <c r="CC1029" s="1136"/>
      <c r="CD1029" s="1136"/>
      <c r="CE1029" s="1136"/>
      <c r="CF1029" s="1136"/>
      <c r="CG1029" s="1136"/>
      <c r="CH1029" s="1136"/>
      <c r="CI1029" s="1136"/>
      <c r="CJ1029" s="1136"/>
      <c r="CK1029" s="1136"/>
      <c r="CL1029" s="1136"/>
      <c r="CM1029" s="1136"/>
      <c r="CN1029" s="1136"/>
      <c r="CO1029" s="1136"/>
      <c r="CP1029" s="1136"/>
      <c r="CQ1029" s="1136"/>
      <c r="CR1029" s="1136"/>
      <c r="CS1029" s="1136"/>
      <c r="CT1029" s="1136"/>
      <c r="CU1029" s="1136"/>
      <c r="CV1029" s="1136"/>
      <c r="CW1029" s="1136"/>
      <c r="CX1029" s="1136"/>
      <c r="CY1029" s="1136"/>
      <c r="CZ1029" s="1136"/>
      <c r="DA1029" s="1136"/>
      <c r="DB1029" s="1136"/>
      <c r="DC1029" s="1136"/>
      <c r="DD1029" s="1136"/>
      <c r="DE1029" s="1136"/>
      <c r="DF1029" s="1136"/>
      <c r="DG1029" s="1136"/>
      <c r="DH1029" s="1136"/>
      <c r="DI1029" s="1136"/>
    </row>
    <row r="1030" spans="1:113" ht="15.75" x14ac:dyDescent="0.25">
      <c r="A1030" s="1422" t="s">
        <v>391</v>
      </c>
      <c r="B1030" s="1443">
        <f>B826</f>
        <v>1.1499999999999999</v>
      </c>
      <c r="C1030" s="1521"/>
      <c r="D1030" s="1606"/>
      <c r="E1030" s="1606"/>
      <c r="F1030" s="1606"/>
      <c r="G1030" s="1606"/>
      <c r="H1030" s="1531"/>
      <c r="I1030" s="1531"/>
      <c r="J1030" s="1531"/>
      <c r="K1030" s="1531"/>
      <c r="L1030" s="1531"/>
      <c r="M1030" s="1531"/>
      <c r="N1030" s="1531"/>
      <c r="O1030" s="1531"/>
      <c r="P1030" s="1531"/>
      <c r="Q1030" s="1531"/>
      <c r="R1030" s="1531"/>
      <c r="S1030" s="1531"/>
      <c r="T1030" s="1531"/>
      <c r="U1030" s="1531"/>
      <c r="V1030" s="1531"/>
      <c r="W1030" s="1531"/>
      <c r="X1030" s="1531"/>
      <c r="Y1030" s="1531"/>
      <c r="Z1030" s="1531"/>
      <c r="AA1030" s="1531"/>
      <c r="AB1030" s="1531"/>
      <c r="AC1030" s="1531"/>
      <c r="AD1030" s="1531"/>
      <c r="AE1030" s="1531"/>
      <c r="AF1030" s="1531"/>
      <c r="AG1030" s="1531"/>
      <c r="AH1030" s="1531"/>
      <c r="AI1030" s="1531"/>
      <c r="AJ1030" s="1531"/>
      <c r="AK1030" s="1531"/>
      <c r="AL1030" s="1531"/>
      <c r="AM1030" s="1531"/>
      <c r="AN1030" s="1531"/>
      <c r="AO1030" s="1531"/>
      <c r="AP1030" s="1531"/>
      <c r="AQ1030" s="1531"/>
      <c r="AR1030" s="1531"/>
      <c r="AS1030" s="1531"/>
      <c r="AT1030" s="1136"/>
      <c r="AU1030" s="1136"/>
      <c r="AV1030" s="1136"/>
      <c r="AW1030" s="1136"/>
      <c r="AX1030" s="1136"/>
      <c r="AY1030" s="1136"/>
      <c r="AZ1030" s="1136"/>
      <c r="BA1030" s="1136"/>
      <c r="BB1030" s="1136"/>
      <c r="BC1030" s="1136"/>
      <c r="BD1030" s="1136"/>
      <c r="BE1030" s="1136"/>
      <c r="BF1030" s="1136"/>
      <c r="BG1030" s="1136"/>
      <c r="BH1030" s="1136"/>
      <c r="BI1030" s="1136"/>
      <c r="BJ1030" s="1136"/>
      <c r="BK1030" s="1136"/>
      <c r="BL1030" s="1136"/>
      <c r="BM1030" s="1136"/>
      <c r="BN1030" s="1136"/>
      <c r="BO1030" s="1136"/>
      <c r="BP1030" s="1136"/>
      <c r="BQ1030" s="1136"/>
      <c r="BR1030" s="1136"/>
      <c r="BS1030" s="1136"/>
      <c r="BT1030" s="1136"/>
      <c r="BU1030" s="1136"/>
      <c r="BV1030" s="1136"/>
      <c r="BW1030" s="1136"/>
      <c r="BX1030" s="1136"/>
      <c r="BY1030" s="1136"/>
      <c r="BZ1030" s="1136"/>
      <c r="CA1030" s="1136"/>
      <c r="CB1030" s="1136"/>
      <c r="CC1030" s="1136"/>
      <c r="CD1030" s="1136"/>
      <c r="CE1030" s="1136"/>
      <c r="CF1030" s="1136"/>
      <c r="CG1030" s="1136"/>
      <c r="CH1030" s="1136"/>
      <c r="CI1030" s="1136"/>
      <c r="CJ1030" s="1136"/>
      <c r="CK1030" s="1136"/>
      <c r="CL1030" s="1136"/>
      <c r="CM1030" s="1136"/>
      <c r="CN1030" s="1136"/>
      <c r="CO1030" s="1136"/>
      <c r="CP1030" s="1136"/>
      <c r="CQ1030" s="1136"/>
      <c r="CR1030" s="1136"/>
      <c r="CS1030" s="1136"/>
      <c r="CT1030" s="1136"/>
      <c r="CU1030" s="1136"/>
      <c r="CV1030" s="1136"/>
      <c r="CW1030" s="1136"/>
      <c r="CX1030" s="1136"/>
      <c r="CY1030" s="1136"/>
      <c r="CZ1030" s="1136"/>
      <c r="DA1030" s="1136"/>
      <c r="DB1030" s="1136"/>
      <c r="DC1030" s="1136"/>
      <c r="DD1030" s="1136"/>
      <c r="DE1030" s="1136"/>
      <c r="DF1030" s="1136"/>
      <c r="DG1030" s="1136"/>
      <c r="DH1030" s="1136"/>
      <c r="DI1030" s="1136"/>
    </row>
    <row r="1031" spans="1:113" ht="15.75" x14ac:dyDescent="0.25">
      <c r="A1031" s="1422" t="s">
        <v>392</v>
      </c>
      <c r="B1031" s="1443">
        <f>B827</f>
        <v>0.8</v>
      </c>
      <c r="C1031" s="1521"/>
      <c r="D1031" s="1531"/>
      <c r="E1031" s="1531"/>
      <c r="F1031" s="1531"/>
      <c r="G1031" s="1531"/>
      <c r="H1031" s="1531"/>
      <c r="I1031" s="1531"/>
      <c r="J1031" s="1531"/>
      <c r="K1031" s="1531"/>
      <c r="L1031" s="1531"/>
      <c r="M1031" s="1531"/>
      <c r="N1031" s="1531"/>
      <c r="O1031" s="1531"/>
      <c r="P1031" s="1531"/>
      <c r="Q1031" s="1531"/>
      <c r="R1031" s="1531"/>
      <c r="S1031" s="1531"/>
      <c r="T1031" s="1531"/>
      <c r="U1031" s="1531"/>
      <c r="V1031" s="1531"/>
      <c r="W1031" s="1531"/>
      <c r="X1031" s="1531"/>
      <c r="Y1031" s="1531"/>
      <c r="Z1031" s="1531"/>
      <c r="AA1031" s="1531"/>
      <c r="AB1031" s="1531"/>
      <c r="AC1031" s="1531"/>
      <c r="AD1031" s="1531"/>
      <c r="AE1031" s="1531"/>
      <c r="AF1031" s="1531"/>
      <c r="AG1031" s="1531"/>
      <c r="AH1031" s="1531"/>
      <c r="AI1031" s="1531"/>
      <c r="AJ1031" s="1531"/>
      <c r="AK1031" s="1531"/>
      <c r="AL1031" s="1531"/>
      <c r="AM1031" s="1531"/>
      <c r="AN1031" s="1531"/>
      <c r="AO1031" s="1531"/>
      <c r="AP1031" s="1531"/>
      <c r="AQ1031" s="1531"/>
      <c r="AR1031" s="1531"/>
      <c r="AS1031" s="1531"/>
      <c r="AT1031" s="1136"/>
      <c r="AU1031" s="1136"/>
      <c r="AV1031" s="1136"/>
      <c r="AW1031" s="1136"/>
      <c r="AX1031" s="1136"/>
      <c r="AY1031" s="1136"/>
      <c r="AZ1031" s="1136"/>
      <c r="BA1031" s="1136"/>
      <c r="BB1031" s="1136"/>
      <c r="BC1031" s="1136"/>
      <c r="BD1031" s="1136"/>
      <c r="BE1031" s="1136"/>
      <c r="BF1031" s="1136"/>
      <c r="BG1031" s="1136"/>
      <c r="BH1031" s="1136"/>
      <c r="BI1031" s="1136"/>
      <c r="BJ1031" s="1136"/>
      <c r="BK1031" s="1136"/>
      <c r="BL1031" s="1136"/>
      <c r="BM1031" s="1136"/>
      <c r="BN1031" s="1136"/>
      <c r="BO1031" s="1136"/>
      <c r="BP1031" s="1136"/>
      <c r="BQ1031" s="1136"/>
      <c r="BR1031" s="1136"/>
      <c r="BS1031" s="1136"/>
      <c r="BT1031" s="1136"/>
      <c r="BU1031" s="1136"/>
      <c r="BV1031" s="1136"/>
      <c r="BW1031" s="1136"/>
      <c r="BX1031" s="1136"/>
      <c r="BY1031" s="1136"/>
      <c r="BZ1031" s="1136"/>
      <c r="CA1031" s="1136"/>
      <c r="CB1031" s="1136"/>
      <c r="CC1031" s="1136"/>
      <c r="CD1031" s="1136"/>
      <c r="CE1031" s="1136"/>
      <c r="CF1031" s="1136"/>
      <c r="CG1031" s="1136"/>
      <c r="CH1031" s="1136"/>
      <c r="CI1031" s="1136"/>
      <c r="CJ1031" s="1136"/>
      <c r="CK1031" s="1136"/>
      <c r="CL1031" s="1136"/>
      <c r="CM1031" s="1136"/>
      <c r="CN1031" s="1136"/>
      <c r="CO1031" s="1136"/>
      <c r="CP1031" s="1136"/>
      <c r="CQ1031" s="1136"/>
      <c r="CR1031" s="1136"/>
      <c r="CS1031" s="1136"/>
      <c r="CT1031" s="1136"/>
      <c r="CU1031" s="1136"/>
      <c r="CV1031" s="1136"/>
      <c r="CW1031" s="1136"/>
      <c r="CX1031" s="1136"/>
      <c r="CY1031" s="1136"/>
      <c r="CZ1031" s="1136"/>
      <c r="DA1031" s="1136"/>
      <c r="DB1031" s="1136"/>
      <c r="DC1031" s="1136"/>
      <c r="DD1031" s="1136"/>
      <c r="DE1031" s="1136"/>
      <c r="DF1031" s="1136"/>
      <c r="DG1031" s="1136"/>
      <c r="DH1031" s="1136"/>
      <c r="DI1031" s="1136"/>
    </row>
    <row r="1032" spans="1:113" ht="31.5" x14ac:dyDescent="0.25">
      <c r="A1032" s="1422" t="s">
        <v>393</v>
      </c>
      <c r="B1032" s="1443">
        <f>B828</f>
        <v>1</v>
      </c>
      <c r="C1032" s="1521"/>
      <c r="D1032" s="1606"/>
      <c r="E1032" s="1606"/>
      <c r="F1032" s="1606"/>
      <c r="G1032" s="1606"/>
      <c r="H1032" s="1531"/>
      <c r="I1032" s="1531"/>
      <c r="J1032" s="1531"/>
      <c r="K1032" s="1531"/>
      <c r="L1032" s="1531"/>
      <c r="M1032" s="1531"/>
      <c r="N1032" s="1531"/>
      <c r="O1032" s="1531"/>
      <c r="P1032" s="1531"/>
      <c r="Q1032" s="1531"/>
      <c r="R1032" s="1531"/>
      <c r="S1032" s="1531"/>
      <c r="T1032" s="1531"/>
      <c r="U1032" s="1531"/>
      <c r="V1032" s="1531"/>
      <c r="W1032" s="1531"/>
      <c r="X1032" s="1531"/>
      <c r="Y1032" s="1531"/>
      <c r="Z1032" s="1531"/>
      <c r="AA1032" s="1531"/>
      <c r="AB1032" s="1531"/>
      <c r="AC1032" s="1531"/>
      <c r="AD1032" s="1531"/>
      <c r="AE1032" s="1531"/>
      <c r="AF1032" s="1531"/>
      <c r="AG1032" s="1531"/>
      <c r="AH1032" s="1531"/>
      <c r="AI1032" s="1531"/>
      <c r="AJ1032" s="1531"/>
      <c r="AK1032" s="1531"/>
      <c r="AL1032" s="1531"/>
      <c r="AM1032" s="1531"/>
      <c r="AN1032" s="1531"/>
      <c r="AO1032" s="1531"/>
      <c r="AP1032" s="1531"/>
      <c r="AQ1032" s="1531"/>
      <c r="AR1032" s="1531"/>
      <c r="AS1032" s="1531"/>
      <c r="AT1032" s="1136"/>
      <c r="AU1032" s="1136"/>
      <c r="AV1032" s="1136"/>
      <c r="AW1032" s="1136"/>
      <c r="AX1032" s="1136"/>
      <c r="AY1032" s="1136"/>
      <c r="AZ1032" s="1136"/>
      <c r="BA1032" s="1136"/>
      <c r="BB1032" s="1136"/>
      <c r="BC1032" s="1136"/>
      <c r="BD1032" s="1136"/>
      <c r="BE1032" s="1136"/>
      <c r="BF1032" s="1136"/>
      <c r="BG1032" s="1136"/>
      <c r="BH1032" s="1136"/>
      <c r="BI1032" s="1136"/>
      <c r="BJ1032" s="1136"/>
      <c r="BK1032" s="1136"/>
      <c r="BL1032" s="1136"/>
      <c r="BM1032" s="1136"/>
      <c r="BN1032" s="1136"/>
      <c r="BO1032" s="1136"/>
      <c r="BP1032" s="1136"/>
      <c r="BQ1032" s="1136"/>
      <c r="BR1032" s="1136"/>
      <c r="BS1032" s="1136"/>
      <c r="BT1032" s="1136"/>
      <c r="BU1032" s="1136"/>
      <c r="BV1032" s="1136"/>
      <c r="BW1032" s="1136"/>
      <c r="BX1032" s="1136"/>
      <c r="BY1032" s="1136"/>
      <c r="BZ1032" s="1136"/>
      <c r="CA1032" s="1136"/>
      <c r="CB1032" s="1136"/>
      <c r="CC1032" s="1136"/>
      <c r="CD1032" s="1136"/>
      <c r="CE1032" s="1136"/>
      <c r="CF1032" s="1136"/>
      <c r="CG1032" s="1136"/>
      <c r="CH1032" s="1136"/>
      <c r="CI1032" s="1136"/>
      <c r="CJ1032" s="1136"/>
      <c r="CK1032" s="1136"/>
      <c r="CL1032" s="1136"/>
      <c r="CM1032" s="1136"/>
      <c r="CN1032" s="1136"/>
      <c r="CO1032" s="1136"/>
      <c r="CP1032" s="1136"/>
      <c r="CQ1032" s="1136"/>
      <c r="CR1032" s="1136"/>
      <c r="CS1032" s="1136"/>
      <c r="CT1032" s="1136"/>
      <c r="CU1032" s="1136"/>
      <c r="CV1032" s="1136"/>
      <c r="CW1032" s="1136"/>
      <c r="CX1032" s="1136"/>
      <c r="CY1032" s="1136"/>
      <c r="CZ1032" s="1136"/>
      <c r="DA1032" s="1136"/>
      <c r="DB1032" s="1136"/>
      <c r="DC1032" s="1136"/>
      <c r="DD1032" s="1136"/>
      <c r="DE1032" s="1136"/>
      <c r="DF1032" s="1136"/>
      <c r="DG1032" s="1136"/>
      <c r="DH1032" s="1136"/>
      <c r="DI1032" s="1136"/>
    </row>
    <row r="1033" spans="1:113" ht="15.75" x14ac:dyDescent="0.25">
      <c r="A1033" s="1422" t="s">
        <v>1614</v>
      </c>
      <c r="B1033" s="1450">
        <v>0.7</v>
      </c>
      <c r="C1033" s="1617"/>
      <c r="D1033" s="1596"/>
      <c r="E1033" s="1596"/>
      <c r="F1033" s="1596"/>
      <c r="G1033" s="1596"/>
      <c r="H1033" s="1531"/>
      <c r="I1033" s="1531"/>
      <c r="J1033" s="1531"/>
      <c r="K1033" s="1531"/>
      <c r="L1033" s="1531"/>
      <c r="M1033" s="1531"/>
      <c r="N1033" s="1531"/>
      <c r="O1033" s="1531"/>
      <c r="P1033" s="1531"/>
      <c r="Q1033" s="1531"/>
      <c r="R1033" s="1531"/>
      <c r="S1033" s="1531"/>
      <c r="T1033" s="1531"/>
      <c r="U1033" s="1531"/>
      <c r="V1033" s="1531"/>
      <c r="W1033" s="1531"/>
      <c r="X1033" s="1531"/>
      <c r="Y1033" s="1531"/>
      <c r="Z1033" s="1531"/>
      <c r="AA1033" s="1531"/>
      <c r="AB1033" s="1531"/>
      <c r="AC1033" s="1531"/>
      <c r="AD1033" s="1531"/>
      <c r="AE1033" s="1531"/>
      <c r="AF1033" s="1531"/>
      <c r="AG1033" s="1531"/>
      <c r="AH1033" s="1531"/>
      <c r="AI1033" s="1531"/>
      <c r="AJ1033" s="1531"/>
      <c r="AK1033" s="1531"/>
      <c r="AL1033" s="1531"/>
      <c r="AM1033" s="1531"/>
      <c r="AN1033" s="1531"/>
      <c r="AO1033" s="1531"/>
      <c r="AP1033" s="1531"/>
      <c r="AQ1033" s="1531"/>
      <c r="AR1033" s="1531"/>
      <c r="AS1033" s="1531"/>
      <c r="AT1033" s="1136"/>
      <c r="AU1033" s="1136"/>
      <c r="AV1033" s="1136"/>
      <c r="AW1033" s="1136"/>
      <c r="AX1033" s="1136"/>
      <c r="AY1033" s="1136"/>
      <c r="AZ1033" s="1136"/>
      <c r="BA1033" s="1136"/>
      <c r="BB1033" s="1136"/>
      <c r="BC1033" s="1136"/>
      <c r="BD1033" s="1136"/>
      <c r="BE1033" s="1136"/>
      <c r="BF1033" s="1136"/>
      <c r="BG1033" s="1136"/>
      <c r="BH1033" s="1136"/>
      <c r="BI1033" s="1136"/>
      <c r="BJ1033" s="1136"/>
      <c r="BK1033" s="1136"/>
      <c r="BL1033" s="1136"/>
      <c r="BM1033" s="1136"/>
      <c r="BN1033" s="1136"/>
      <c r="BO1033" s="1136"/>
      <c r="BP1033" s="1136"/>
      <c r="BQ1033" s="1136"/>
      <c r="BR1033" s="1136"/>
      <c r="BS1033" s="1136"/>
      <c r="BT1033" s="1136"/>
      <c r="BU1033" s="1136"/>
      <c r="BV1033" s="1136"/>
      <c r="BW1033" s="1136"/>
      <c r="BX1033" s="1136"/>
      <c r="BY1033" s="1136"/>
      <c r="BZ1033" s="1136"/>
      <c r="CA1033" s="1136"/>
      <c r="CB1033" s="1136"/>
      <c r="CC1033" s="1136"/>
      <c r="CD1033" s="1136"/>
      <c r="CE1033" s="1136"/>
      <c r="CF1033" s="1136"/>
      <c r="CG1033" s="1136"/>
      <c r="CH1033" s="1136"/>
      <c r="CI1033" s="1136"/>
      <c r="CJ1033" s="1136"/>
      <c r="CK1033" s="1136"/>
      <c r="CL1033" s="1136"/>
      <c r="CM1033" s="1136"/>
      <c r="CN1033" s="1136"/>
      <c r="CO1033" s="1136"/>
      <c r="CP1033" s="1136"/>
      <c r="CQ1033" s="1136"/>
      <c r="CR1033" s="1136"/>
      <c r="CS1033" s="1136"/>
      <c r="CT1033" s="1136"/>
      <c r="CU1033" s="1136"/>
      <c r="CV1033" s="1136"/>
      <c r="CW1033" s="1136"/>
      <c r="CX1033" s="1136"/>
      <c r="CY1033" s="1136"/>
      <c r="CZ1033" s="1136"/>
      <c r="DA1033" s="1136"/>
      <c r="DB1033" s="1136"/>
      <c r="DC1033" s="1136"/>
      <c r="DD1033" s="1136"/>
      <c r="DE1033" s="1136"/>
      <c r="DF1033" s="1136"/>
      <c r="DG1033" s="1136"/>
      <c r="DH1033" s="1136"/>
      <c r="DI1033" s="1136"/>
    </row>
    <row r="1034" spans="1:113" ht="15.75" x14ac:dyDescent="0.25">
      <c r="A1034" s="1422" t="s">
        <v>3412</v>
      </c>
      <c r="B1034" s="1443" t="e">
        <f>B1023*B1029*B1030*B1031*B1032*B1033*B341</f>
        <v>#VALUE!</v>
      </c>
      <c r="C1034" s="1521"/>
      <c r="D1034" s="1615"/>
      <c r="E1034" s="1615"/>
      <c r="F1034" s="1615"/>
      <c r="G1034" s="1615"/>
      <c r="H1034" s="1531"/>
      <c r="I1034" s="1531"/>
      <c r="J1034" s="1531"/>
      <c r="K1034" s="1531"/>
      <c r="L1034" s="1531"/>
      <c r="M1034" s="1531"/>
      <c r="N1034" s="1531"/>
      <c r="O1034" s="1531"/>
      <c r="P1034" s="1531"/>
      <c r="Q1034" s="1531"/>
      <c r="R1034" s="1531"/>
      <c r="S1034" s="1531"/>
      <c r="T1034" s="1531"/>
      <c r="U1034" s="1531"/>
      <c r="V1034" s="1531"/>
      <c r="W1034" s="1531"/>
      <c r="X1034" s="1531"/>
      <c r="Y1034" s="1531"/>
      <c r="Z1034" s="1531"/>
      <c r="AA1034" s="1531"/>
      <c r="AB1034" s="1531"/>
      <c r="AC1034" s="1531"/>
      <c r="AD1034" s="1531"/>
      <c r="AE1034" s="1531"/>
      <c r="AF1034" s="1531"/>
      <c r="AG1034" s="1531"/>
      <c r="AH1034" s="1531"/>
      <c r="AI1034" s="1531"/>
      <c r="AJ1034" s="1531"/>
      <c r="AK1034" s="1531"/>
      <c r="AL1034" s="1531"/>
      <c r="AM1034" s="1531"/>
      <c r="AN1034" s="1531"/>
      <c r="AO1034" s="1531"/>
      <c r="AP1034" s="1531"/>
      <c r="AQ1034" s="1531"/>
      <c r="AR1034" s="1531"/>
      <c r="AS1034" s="1531"/>
      <c r="AT1034" s="1136"/>
      <c r="AU1034" s="1136"/>
      <c r="AV1034" s="1136"/>
      <c r="AW1034" s="1136"/>
      <c r="AX1034" s="1136"/>
      <c r="AY1034" s="1136"/>
      <c r="AZ1034" s="1136"/>
      <c r="BA1034" s="1136"/>
      <c r="BB1034" s="1136"/>
      <c r="BC1034" s="1136"/>
      <c r="BD1034" s="1136"/>
      <c r="BE1034" s="1136"/>
      <c r="BF1034" s="1136"/>
      <c r="BG1034" s="1136"/>
      <c r="BH1034" s="1136"/>
      <c r="BI1034" s="1136"/>
      <c r="BJ1034" s="1136"/>
      <c r="BK1034" s="1136"/>
      <c r="BL1034" s="1136"/>
      <c r="BM1034" s="1136"/>
      <c r="BN1034" s="1136"/>
      <c r="BO1034" s="1136"/>
      <c r="BP1034" s="1136"/>
      <c r="BQ1034" s="1136"/>
      <c r="BR1034" s="1136"/>
      <c r="BS1034" s="1136"/>
      <c r="BT1034" s="1136"/>
      <c r="BU1034" s="1136"/>
      <c r="BV1034" s="1136"/>
      <c r="BW1034" s="1136"/>
      <c r="BX1034" s="1136"/>
      <c r="BY1034" s="1136"/>
      <c r="BZ1034" s="1136"/>
      <c r="CA1034" s="1136"/>
      <c r="CB1034" s="1136"/>
      <c r="CC1034" s="1136"/>
      <c r="CD1034" s="1136"/>
      <c r="CE1034" s="1136"/>
      <c r="CF1034" s="1136"/>
      <c r="CG1034" s="1136"/>
      <c r="CH1034" s="1136"/>
      <c r="CI1034" s="1136"/>
      <c r="CJ1034" s="1136"/>
      <c r="CK1034" s="1136"/>
      <c r="CL1034" s="1136"/>
      <c r="CM1034" s="1136"/>
      <c r="CN1034" s="1136"/>
      <c r="CO1034" s="1136"/>
      <c r="CP1034" s="1136"/>
      <c r="CQ1034" s="1136"/>
      <c r="CR1034" s="1136"/>
      <c r="CS1034" s="1136"/>
      <c r="CT1034" s="1136"/>
      <c r="CU1034" s="1136"/>
      <c r="CV1034" s="1136"/>
      <c r="CW1034" s="1136"/>
      <c r="CX1034" s="1136"/>
      <c r="CY1034" s="1136"/>
      <c r="CZ1034" s="1136"/>
      <c r="DA1034" s="1136"/>
      <c r="DB1034" s="1136"/>
      <c r="DC1034" s="1136"/>
      <c r="DD1034" s="1136"/>
      <c r="DE1034" s="1136"/>
      <c r="DF1034" s="1136"/>
      <c r="DG1034" s="1136"/>
      <c r="DH1034" s="1136"/>
      <c r="DI1034" s="1136"/>
    </row>
    <row r="1035" spans="1:113" ht="15.75" x14ac:dyDescent="0.25">
      <c r="A1035" s="1422" t="s">
        <v>429</v>
      </c>
      <c r="B1035" s="1439" t="e">
        <f>B1022/B1034</f>
        <v>#DIV/0!</v>
      </c>
      <c r="C1035" s="1562"/>
      <c r="D1035" s="1531"/>
      <c r="E1035" s="1531"/>
      <c r="F1035" s="1531"/>
      <c r="G1035" s="1531"/>
      <c r="H1035" s="1531"/>
      <c r="I1035" s="1531"/>
      <c r="J1035" s="1531"/>
      <c r="K1035" s="1531"/>
      <c r="L1035" s="1531"/>
      <c r="M1035" s="1531"/>
      <c r="N1035" s="1531"/>
      <c r="O1035" s="1531"/>
      <c r="P1035" s="1531"/>
      <c r="Q1035" s="1531"/>
      <c r="R1035" s="1531"/>
      <c r="S1035" s="1531"/>
      <c r="T1035" s="1531"/>
      <c r="U1035" s="1531"/>
      <c r="V1035" s="1531"/>
      <c r="W1035" s="1531"/>
      <c r="X1035" s="1531"/>
      <c r="Y1035" s="1531"/>
      <c r="Z1035" s="1531"/>
      <c r="AA1035" s="1531"/>
      <c r="AB1035" s="1531"/>
      <c r="AC1035" s="1531"/>
      <c r="AD1035" s="1531"/>
      <c r="AE1035" s="1531"/>
      <c r="AF1035" s="1531"/>
      <c r="AG1035" s="1531"/>
      <c r="AH1035" s="1531"/>
      <c r="AI1035" s="1531"/>
      <c r="AJ1035" s="1531"/>
      <c r="AK1035" s="1531"/>
      <c r="AL1035" s="1531"/>
      <c r="AM1035" s="1531"/>
      <c r="AN1035" s="1531"/>
      <c r="AO1035" s="1531"/>
      <c r="AP1035" s="1531"/>
      <c r="AQ1035" s="1531"/>
      <c r="AR1035" s="1531"/>
      <c r="AS1035" s="1531"/>
      <c r="AT1035" s="1136"/>
      <c r="AU1035" s="1136"/>
      <c r="AV1035" s="1136"/>
      <c r="AW1035" s="1136"/>
      <c r="AX1035" s="1136"/>
      <c r="AY1035" s="1136"/>
      <c r="AZ1035" s="1136"/>
      <c r="BA1035" s="1136"/>
      <c r="BB1035" s="1136"/>
      <c r="BC1035" s="1136"/>
      <c r="BD1035" s="1136"/>
      <c r="BE1035" s="1136"/>
      <c r="BF1035" s="1136"/>
      <c r="BG1035" s="1136"/>
      <c r="BH1035" s="1136"/>
      <c r="BI1035" s="1136"/>
      <c r="BJ1035" s="1136"/>
      <c r="BK1035" s="1136"/>
      <c r="BL1035" s="1136"/>
      <c r="BM1035" s="1136"/>
      <c r="BN1035" s="1136"/>
      <c r="BO1035" s="1136"/>
      <c r="BP1035" s="1136"/>
      <c r="BQ1035" s="1136"/>
      <c r="BR1035" s="1136"/>
      <c r="BS1035" s="1136"/>
      <c r="BT1035" s="1136"/>
      <c r="BU1035" s="1136"/>
      <c r="BV1035" s="1136"/>
      <c r="BW1035" s="1136"/>
      <c r="BX1035" s="1136"/>
      <c r="BY1035" s="1136"/>
      <c r="BZ1035" s="1136"/>
      <c r="CA1035" s="1136"/>
      <c r="CB1035" s="1136"/>
      <c r="CC1035" s="1136"/>
      <c r="CD1035" s="1136"/>
      <c r="CE1035" s="1136"/>
      <c r="CF1035" s="1136"/>
      <c r="CG1035" s="1136"/>
      <c r="CH1035" s="1136"/>
      <c r="CI1035" s="1136"/>
      <c r="CJ1035" s="1136"/>
      <c r="CK1035" s="1136"/>
      <c r="CL1035" s="1136"/>
      <c r="CM1035" s="1136"/>
      <c r="CN1035" s="1136"/>
      <c r="CO1035" s="1136"/>
      <c r="CP1035" s="1136"/>
      <c r="CQ1035" s="1136"/>
      <c r="CR1035" s="1136"/>
      <c r="CS1035" s="1136"/>
      <c r="CT1035" s="1136"/>
      <c r="CU1035" s="1136"/>
      <c r="CV1035" s="1136"/>
      <c r="CW1035" s="1136"/>
      <c r="CX1035" s="1136"/>
      <c r="CY1035" s="1136"/>
      <c r="CZ1035" s="1136"/>
      <c r="DA1035" s="1136"/>
      <c r="DB1035" s="1136"/>
      <c r="DC1035" s="1136"/>
      <c r="DD1035" s="1136"/>
      <c r="DE1035" s="1136"/>
      <c r="DF1035" s="1136"/>
      <c r="DG1035" s="1136"/>
      <c r="DH1035" s="1136"/>
      <c r="DI1035" s="1136"/>
    </row>
    <row r="1036" spans="1:113" ht="15.75" x14ac:dyDescent="0.25">
      <c r="A1036" s="1422"/>
      <c r="B1036" s="1443"/>
      <c r="C1036" s="1521"/>
      <c r="D1036" s="1521"/>
      <c r="E1036" s="1521"/>
      <c r="F1036" s="1521"/>
      <c r="G1036" s="1521"/>
      <c r="H1036" s="1531"/>
      <c r="I1036" s="1531"/>
      <c r="J1036" s="1531"/>
      <c r="K1036" s="1531"/>
      <c r="L1036" s="1531"/>
      <c r="M1036" s="1531"/>
      <c r="N1036" s="1531"/>
      <c r="O1036" s="1531"/>
      <c r="P1036" s="1531"/>
      <c r="Q1036" s="1531"/>
      <c r="R1036" s="1531"/>
      <c r="S1036" s="1531"/>
      <c r="T1036" s="1531"/>
      <c r="U1036" s="1531"/>
      <c r="V1036" s="1531"/>
      <c r="W1036" s="1531"/>
      <c r="X1036" s="1531"/>
      <c r="Y1036" s="1531"/>
      <c r="Z1036" s="1531"/>
      <c r="AA1036" s="1531"/>
      <c r="AB1036" s="1531"/>
      <c r="AC1036" s="1531"/>
      <c r="AD1036" s="1531"/>
      <c r="AE1036" s="1531"/>
      <c r="AF1036" s="1531"/>
      <c r="AG1036" s="1531"/>
      <c r="AH1036" s="1531"/>
      <c r="AI1036" s="1531"/>
      <c r="AJ1036" s="1531"/>
      <c r="AK1036" s="1531"/>
      <c r="AL1036" s="1531"/>
      <c r="AM1036" s="1531"/>
      <c r="AN1036" s="1531"/>
      <c r="AO1036" s="1531"/>
      <c r="AP1036" s="1531"/>
      <c r="AQ1036" s="1531"/>
      <c r="AR1036" s="1531"/>
      <c r="AS1036" s="1531"/>
      <c r="AT1036" s="1136"/>
      <c r="AU1036" s="1136"/>
      <c r="AV1036" s="1136"/>
      <c r="AW1036" s="1136"/>
      <c r="AX1036" s="1136"/>
      <c r="AY1036" s="1136"/>
      <c r="AZ1036" s="1136"/>
      <c r="BA1036" s="1136"/>
      <c r="BB1036" s="1136"/>
      <c r="BC1036" s="1136"/>
      <c r="BD1036" s="1136"/>
      <c r="BE1036" s="1136"/>
      <c r="BF1036" s="1136"/>
      <c r="BG1036" s="1136"/>
      <c r="BH1036" s="1136"/>
      <c r="BI1036" s="1136"/>
      <c r="BJ1036" s="1136"/>
      <c r="BK1036" s="1136"/>
      <c r="BL1036" s="1136"/>
      <c r="BM1036" s="1136"/>
      <c r="BN1036" s="1136"/>
      <c r="BO1036" s="1136"/>
      <c r="BP1036" s="1136"/>
      <c r="BQ1036" s="1136"/>
      <c r="BR1036" s="1136"/>
      <c r="BS1036" s="1136"/>
      <c r="BT1036" s="1136"/>
      <c r="BU1036" s="1136"/>
      <c r="BV1036" s="1136"/>
      <c r="BW1036" s="1136"/>
      <c r="BX1036" s="1136"/>
      <c r="BY1036" s="1136"/>
      <c r="BZ1036" s="1136"/>
      <c r="CA1036" s="1136"/>
      <c r="CB1036" s="1136"/>
      <c r="CC1036" s="1136"/>
      <c r="CD1036" s="1136"/>
      <c r="CE1036" s="1136"/>
      <c r="CF1036" s="1136"/>
      <c r="CG1036" s="1136"/>
      <c r="CH1036" s="1136"/>
      <c r="CI1036" s="1136"/>
      <c r="CJ1036" s="1136"/>
      <c r="CK1036" s="1136"/>
      <c r="CL1036" s="1136"/>
      <c r="CM1036" s="1136"/>
      <c r="CN1036" s="1136"/>
      <c r="CO1036" s="1136"/>
      <c r="CP1036" s="1136"/>
      <c r="CQ1036" s="1136"/>
      <c r="CR1036" s="1136"/>
      <c r="CS1036" s="1136"/>
      <c r="CT1036" s="1136"/>
      <c r="CU1036" s="1136"/>
      <c r="CV1036" s="1136"/>
      <c r="CW1036" s="1136"/>
      <c r="CX1036" s="1136"/>
      <c r="CY1036" s="1136"/>
      <c r="CZ1036" s="1136"/>
      <c r="DA1036" s="1136"/>
      <c r="DB1036" s="1136"/>
      <c r="DC1036" s="1136"/>
      <c r="DD1036" s="1136"/>
      <c r="DE1036" s="1136"/>
      <c r="DF1036" s="1136"/>
      <c r="DG1036" s="1136"/>
      <c r="DH1036" s="1136"/>
      <c r="DI1036" s="1136"/>
    </row>
    <row r="1037" spans="1:113" ht="47.25" x14ac:dyDescent="0.25">
      <c r="A1037" s="1438" t="s">
        <v>423</v>
      </c>
      <c r="B1037" s="1443"/>
      <c r="C1037" s="1521"/>
      <c r="D1037" s="1521"/>
      <c r="E1037" s="1521"/>
      <c r="F1037" s="1521"/>
      <c r="G1037" s="1521"/>
      <c r="H1037" s="1531"/>
      <c r="I1037" s="1531"/>
      <c r="J1037" s="1531"/>
      <c r="K1037" s="1531"/>
      <c r="L1037" s="1531"/>
      <c r="M1037" s="1531"/>
      <c r="N1037" s="1531"/>
      <c r="O1037" s="1531"/>
      <c r="P1037" s="1531"/>
      <c r="Q1037" s="1531"/>
      <c r="R1037" s="1531"/>
      <c r="S1037" s="1531"/>
      <c r="T1037" s="1531"/>
      <c r="U1037" s="1531"/>
      <c r="V1037" s="1531"/>
      <c r="W1037" s="1531"/>
      <c r="X1037" s="1531"/>
      <c r="Y1037" s="1531"/>
      <c r="Z1037" s="1531"/>
      <c r="AA1037" s="1531"/>
      <c r="AB1037" s="1531"/>
      <c r="AC1037" s="1531"/>
      <c r="AD1037" s="1531"/>
      <c r="AE1037" s="1531"/>
      <c r="AF1037" s="1531"/>
      <c r="AG1037" s="1531"/>
      <c r="AH1037" s="1531"/>
      <c r="AI1037" s="1531"/>
      <c r="AJ1037" s="1531"/>
      <c r="AK1037" s="1531"/>
      <c r="AL1037" s="1531"/>
      <c r="AM1037" s="1531"/>
      <c r="AN1037" s="1531"/>
      <c r="AO1037" s="1531"/>
      <c r="AP1037" s="1531"/>
      <c r="AQ1037" s="1531"/>
      <c r="AR1037" s="1531"/>
      <c r="AS1037" s="1531"/>
      <c r="AT1037" s="1136"/>
      <c r="AU1037" s="1136"/>
      <c r="AV1037" s="1136"/>
      <c r="AW1037" s="1136"/>
      <c r="AX1037" s="1136"/>
      <c r="AY1037" s="1136"/>
      <c r="AZ1037" s="1136"/>
      <c r="BA1037" s="1136"/>
      <c r="BB1037" s="1136"/>
      <c r="BC1037" s="1136"/>
      <c r="BD1037" s="1136"/>
      <c r="BE1037" s="1136"/>
      <c r="BF1037" s="1136"/>
      <c r="BG1037" s="1136"/>
      <c r="BH1037" s="1136"/>
      <c r="BI1037" s="1136"/>
      <c r="BJ1037" s="1136"/>
      <c r="BK1037" s="1136"/>
      <c r="BL1037" s="1136"/>
      <c r="BM1037" s="1136"/>
      <c r="BN1037" s="1136"/>
      <c r="BO1037" s="1136"/>
      <c r="BP1037" s="1136"/>
      <c r="BQ1037" s="1136"/>
      <c r="BR1037" s="1136"/>
      <c r="BS1037" s="1136"/>
      <c r="BT1037" s="1136"/>
      <c r="BU1037" s="1136"/>
      <c r="BV1037" s="1136"/>
      <c r="BW1037" s="1136"/>
      <c r="BX1037" s="1136"/>
      <c r="BY1037" s="1136"/>
      <c r="BZ1037" s="1136"/>
      <c r="CA1037" s="1136"/>
      <c r="CB1037" s="1136"/>
      <c r="CC1037" s="1136"/>
      <c r="CD1037" s="1136"/>
      <c r="CE1037" s="1136"/>
      <c r="CF1037" s="1136"/>
      <c r="CG1037" s="1136"/>
      <c r="CH1037" s="1136"/>
      <c r="CI1037" s="1136"/>
      <c r="CJ1037" s="1136"/>
      <c r="CK1037" s="1136"/>
      <c r="CL1037" s="1136"/>
      <c r="CM1037" s="1136"/>
      <c r="CN1037" s="1136"/>
      <c r="CO1037" s="1136"/>
      <c r="CP1037" s="1136"/>
      <c r="CQ1037" s="1136"/>
      <c r="CR1037" s="1136"/>
      <c r="CS1037" s="1136"/>
      <c r="CT1037" s="1136"/>
      <c r="CU1037" s="1136"/>
      <c r="CV1037" s="1136"/>
      <c r="CW1037" s="1136"/>
      <c r="CX1037" s="1136"/>
      <c r="CY1037" s="1136"/>
      <c r="CZ1037" s="1136"/>
      <c r="DA1037" s="1136"/>
      <c r="DB1037" s="1136"/>
      <c r="DC1037" s="1136"/>
      <c r="DD1037" s="1136"/>
      <c r="DE1037" s="1136"/>
      <c r="DF1037" s="1136"/>
      <c r="DG1037" s="1136"/>
      <c r="DH1037" s="1136"/>
      <c r="DI1037" s="1136"/>
    </row>
    <row r="1038" spans="1:113" ht="15.75" x14ac:dyDescent="0.25">
      <c r="A1038" s="1420" t="s">
        <v>424</v>
      </c>
      <c r="B1038" s="1443" t="e">
        <f>(((B1020/B308)+1)-3)*B809</f>
        <v>#DIV/0!</v>
      </c>
      <c r="C1038" s="1521"/>
      <c r="D1038" s="1521"/>
      <c r="E1038" s="1521"/>
      <c r="F1038" s="1521"/>
      <c r="G1038" s="1521"/>
      <c r="H1038" s="1531"/>
      <c r="I1038" s="1531"/>
      <c r="J1038" s="1531"/>
      <c r="K1038" s="1531"/>
      <c r="L1038" s="1531"/>
      <c r="M1038" s="1531"/>
      <c r="N1038" s="1531"/>
      <c r="O1038" s="1531"/>
      <c r="P1038" s="1531"/>
      <c r="Q1038" s="1531"/>
      <c r="R1038" s="1531"/>
      <c r="S1038" s="1531"/>
      <c r="T1038" s="1531"/>
      <c r="U1038" s="1531"/>
      <c r="V1038" s="1531"/>
      <c r="W1038" s="1531"/>
      <c r="X1038" s="1531"/>
      <c r="Y1038" s="1531"/>
      <c r="Z1038" s="1531"/>
      <c r="AA1038" s="1531"/>
      <c r="AB1038" s="1531"/>
      <c r="AC1038" s="1531"/>
      <c r="AD1038" s="1531"/>
      <c r="AE1038" s="1531"/>
      <c r="AF1038" s="1531"/>
      <c r="AG1038" s="1531"/>
      <c r="AH1038" s="1531"/>
      <c r="AI1038" s="1531"/>
      <c r="AJ1038" s="1531"/>
      <c r="AK1038" s="1531"/>
      <c r="AL1038" s="1531"/>
      <c r="AM1038" s="1531"/>
      <c r="AN1038" s="1531"/>
      <c r="AO1038" s="1531"/>
      <c r="AP1038" s="1531"/>
      <c r="AQ1038" s="1531"/>
      <c r="AR1038" s="1531"/>
      <c r="AS1038" s="1531"/>
      <c r="AT1038" s="1136"/>
      <c r="AU1038" s="1136"/>
      <c r="AV1038" s="1136"/>
      <c r="AW1038" s="1136"/>
      <c r="AX1038" s="1136"/>
      <c r="AY1038" s="1136"/>
      <c r="AZ1038" s="1136"/>
      <c r="BA1038" s="1136"/>
      <c r="BB1038" s="1136"/>
      <c r="BC1038" s="1136"/>
      <c r="BD1038" s="1136"/>
      <c r="BE1038" s="1136"/>
      <c r="BF1038" s="1136"/>
      <c r="BG1038" s="1136"/>
      <c r="BH1038" s="1136"/>
      <c r="BI1038" s="1136"/>
      <c r="BJ1038" s="1136"/>
      <c r="BK1038" s="1136"/>
      <c r="BL1038" s="1136"/>
      <c r="BM1038" s="1136"/>
      <c r="BN1038" s="1136"/>
      <c r="BO1038" s="1136"/>
      <c r="BP1038" s="1136"/>
      <c r="BQ1038" s="1136"/>
      <c r="BR1038" s="1136"/>
      <c r="BS1038" s="1136"/>
      <c r="BT1038" s="1136"/>
      <c r="BU1038" s="1136"/>
      <c r="BV1038" s="1136"/>
      <c r="BW1038" s="1136"/>
      <c r="BX1038" s="1136"/>
      <c r="BY1038" s="1136"/>
      <c r="BZ1038" s="1136"/>
      <c r="CA1038" s="1136"/>
      <c r="CB1038" s="1136"/>
      <c r="CC1038" s="1136"/>
      <c r="CD1038" s="1136"/>
      <c r="CE1038" s="1136"/>
      <c r="CF1038" s="1136"/>
      <c r="CG1038" s="1136"/>
      <c r="CH1038" s="1136"/>
      <c r="CI1038" s="1136"/>
      <c r="CJ1038" s="1136"/>
      <c r="CK1038" s="1136"/>
      <c r="CL1038" s="1136"/>
      <c r="CM1038" s="1136"/>
      <c r="CN1038" s="1136"/>
      <c r="CO1038" s="1136"/>
      <c r="CP1038" s="1136"/>
      <c r="CQ1038" s="1136"/>
      <c r="CR1038" s="1136"/>
      <c r="CS1038" s="1136"/>
      <c r="CT1038" s="1136"/>
      <c r="CU1038" s="1136"/>
      <c r="CV1038" s="1136"/>
      <c r="CW1038" s="1136"/>
      <c r="CX1038" s="1136"/>
      <c r="CY1038" s="1136"/>
      <c r="CZ1038" s="1136"/>
      <c r="DA1038" s="1136"/>
      <c r="DB1038" s="1136"/>
      <c r="DC1038" s="1136"/>
      <c r="DD1038" s="1136"/>
      <c r="DE1038" s="1136"/>
      <c r="DF1038" s="1136"/>
      <c r="DG1038" s="1136"/>
      <c r="DH1038" s="1136"/>
      <c r="DI1038" s="1136"/>
    </row>
    <row r="1039" spans="1:113" ht="15.75" x14ac:dyDescent="0.25">
      <c r="A1039" s="1420" t="s">
        <v>425</v>
      </c>
      <c r="B1039" s="1443" t="e">
        <f>B837</f>
        <v>#VALUE!</v>
      </c>
      <c r="C1039" s="1521"/>
      <c r="D1039" s="1521"/>
      <c r="E1039" s="1521"/>
      <c r="F1039" s="1521"/>
      <c r="G1039" s="1521"/>
      <c r="H1039" s="1531"/>
      <c r="I1039" s="1531"/>
      <c r="J1039" s="1531"/>
      <c r="K1039" s="1531"/>
      <c r="L1039" s="1531"/>
      <c r="M1039" s="1531"/>
      <c r="N1039" s="1531"/>
      <c r="O1039" s="1531"/>
      <c r="P1039" s="1531"/>
      <c r="Q1039" s="1531"/>
      <c r="R1039" s="1531"/>
      <c r="S1039" s="1531"/>
      <c r="T1039" s="1531"/>
      <c r="U1039" s="1531"/>
      <c r="V1039" s="1531"/>
      <c r="W1039" s="1531"/>
      <c r="X1039" s="1531"/>
      <c r="Y1039" s="1531"/>
      <c r="Z1039" s="1531"/>
      <c r="AA1039" s="1531"/>
      <c r="AB1039" s="1531"/>
      <c r="AC1039" s="1531"/>
      <c r="AD1039" s="1531"/>
      <c r="AE1039" s="1531"/>
      <c r="AF1039" s="1531"/>
      <c r="AG1039" s="1531"/>
      <c r="AH1039" s="1531"/>
      <c r="AI1039" s="1531"/>
      <c r="AJ1039" s="1531"/>
      <c r="AK1039" s="1531"/>
      <c r="AL1039" s="1531"/>
      <c r="AM1039" s="1531"/>
      <c r="AN1039" s="1531"/>
      <c r="AO1039" s="1531"/>
      <c r="AP1039" s="1531"/>
      <c r="AQ1039" s="1531"/>
      <c r="AR1039" s="1531"/>
      <c r="AS1039" s="1531"/>
      <c r="AT1039" s="1136"/>
      <c r="AU1039" s="1136"/>
      <c r="AV1039" s="1136"/>
      <c r="AW1039" s="1136"/>
      <c r="AX1039" s="1136"/>
      <c r="AY1039" s="1136"/>
      <c r="AZ1039" s="1136"/>
      <c r="BA1039" s="1136"/>
      <c r="BB1039" s="1136"/>
      <c r="BC1039" s="1136"/>
      <c r="BD1039" s="1136"/>
      <c r="BE1039" s="1136"/>
      <c r="BF1039" s="1136"/>
      <c r="BG1039" s="1136"/>
      <c r="BH1039" s="1136"/>
      <c r="BI1039" s="1136"/>
      <c r="BJ1039" s="1136"/>
      <c r="BK1039" s="1136"/>
      <c r="BL1039" s="1136"/>
      <c r="BM1039" s="1136"/>
      <c r="BN1039" s="1136"/>
      <c r="BO1039" s="1136"/>
      <c r="BP1039" s="1136"/>
      <c r="BQ1039" s="1136"/>
      <c r="BR1039" s="1136"/>
      <c r="BS1039" s="1136"/>
      <c r="BT1039" s="1136"/>
      <c r="BU1039" s="1136"/>
      <c r="BV1039" s="1136"/>
      <c r="BW1039" s="1136"/>
      <c r="BX1039" s="1136"/>
      <c r="BY1039" s="1136"/>
      <c r="BZ1039" s="1136"/>
      <c r="CA1039" s="1136"/>
      <c r="CB1039" s="1136"/>
      <c r="CC1039" s="1136"/>
      <c r="CD1039" s="1136"/>
      <c r="CE1039" s="1136"/>
      <c r="CF1039" s="1136"/>
      <c r="CG1039" s="1136"/>
      <c r="CH1039" s="1136"/>
      <c r="CI1039" s="1136"/>
      <c r="CJ1039" s="1136"/>
      <c r="CK1039" s="1136"/>
      <c r="CL1039" s="1136"/>
      <c r="CM1039" s="1136"/>
      <c r="CN1039" s="1136"/>
      <c r="CO1039" s="1136"/>
      <c r="CP1039" s="1136"/>
      <c r="CQ1039" s="1136"/>
      <c r="CR1039" s="1136"/>
      <c r="CS1039" s="1136"/>
      <c r="CT1039" s="1136"/>
      <c r="CU1039" s="1136"/>
      <c r="CV1039" s="1136"/>
      <c r="CW1039" s="1136"/>
      <c r="CX1039" s="1136"/>
      <c r="CY1039" s="1136"/>
      <c r="CZ1039" s="1136"/>
      <c r="DA1039" s="1136"/>
      <c r="DB1039" s="1136"/>
      <c r="DC1039" s="1136"/>
      <c r="DD1039" s="1136"/>
      <c r="DE1039" s="1136"/>
      <c r="DF1039" s="1136"/>
      <c r="DG1039" s="1136"/>
      <c r="DH1039" s="1136"/>
      <c r="DI1039" s="1136"/>
    </row>
    <row r="1040" spans="1:113" ht="15.75" x14ac:dyDescent="0.25">
      <c r="A1040" s="1420" t="s">
        <v>428</v>
      </c>
      <c r="B1040" s="1443" t="e">
        <f>B1029*B1030*B1031*B1032*B1033*B341</f>
        <v>#VALUE!</v>
      </c>
      <c r="C1040" s="1521"/>
      <c r="D1040" s="1617"/>
      <c r="E1040" s="1617"/>
      <c r="F1040" s="1617"/>
      <c r="G1040" s="1617"/>
      <c r="H1040" s="1531"/>
      <c r="I1040" s="1531"/>
      <c r="J1040" s="1531"/>
      <c r="K1040" s="1531"/>
      <c r="L1040" s="1531"/>
      <c r="M1040" s="1531"/>
      <c r="N1040" s="1531"/>
      <c r="O1040" s="1531"/>
      <c r="P1040" s="1531"/>
      <c r="Q1040" s="1531"/>
      <c r="R1040" s="1531"/>
      <c r="S1040" s="1531"/>
      <c r="T1040" s="1531"/>
      <c r="U1040" s="1531"/>
      <c r="V1040" s="1531"/>
      <c r="W1040" s="1531"/>
      <c r="X1040" s="1531"/>
      <c r="Y1040" s="1531"/>
      <c r="Z1040" s="1531"/>
      <c r="AA1040" s="1531"/>
      <c r="AB1040" s="1531"/>
      <c r="AC1040" s="1531"/>
      <c r="AD1040" s="1531"/>
      <c r="AE1040" s="1531"/>
      <c r="AF1040" s="1531"/>
      <c r="AG1040" s="1531"/>
      <c r="AH1040" s="1531"/>
      <c r="AI1040" s="1531"/>
      <c r="AJ1040" s="1531"/>
      <c r="AK1040" s="1531"/>
      <c r="AL1040" s="1531"/>
      <c r="AM1040" s="1531"/>
      <c r="AN1040" s="1531"/>
      <c r="AO1040" s="1531"/>
      <c r="AP1040" s="1531"/>
      <c r="AQ1040" s="1531"/>
      <c r="AR1040" s="1531"/>
      <c r="AS1040" s="1531"/>
      <c r="AT1040" s="1136"/>
      <c r="AU1040" s="1136"/>
      <c r="AV1040" s="1136"/>
      <c r="AW1040" s="1136"/>
      <c r="AX1040" s="1136"/>
      <c r="AY1040" s="1136"/>
      <c r="AZ1040" s="1136"/>
      <c r="BA1040" s="1136"/>
      <c r="BB1040" s="1136"/>
      <c r="BC1040" s="1136"/>
      <c r="BD1040" s="1136"/>
      <c r="BE1040" s="1136"/>
      <c r="BF1040" s="1136"/>
      <c r="BG1040" s="1136"/>
      <c r="BH1040" s="1136"/>
      <c r="BI1040" s="1136"/>
      <c r="BJ1040" s="1136"/>
      <c r="BK1040" s="1136"/>
      <c r="BL1040" s="1136"/>
      <c r="BM1040" s="1136"/>
      <c r="BN1040" s="1136"/>
      <c r="BO1040" s="1136"/>
      <c r="BP1040" s="1136"/>
      <c r="BQ1040" s="1136"/>
      <c r="BR1040" s="1136"/>
      <c r="BS1040" s="1136"/>
      <c r="BT1040" s="1136"/>
      <c r="BU1040" s="1136"/>
      <c r="BV1040" s="1136"/>
      <c r="BW1040" s="1136"/>
      <c r="BX1040" s="1136"/>
      <c r="BY1040" s="1136"/>
      <c r="BZ1040" s="1136"/>
      <c r="CA1040" s="1136"/>
      <c r="CB1040" s="1136"/>
      <c r="CC1040" s="1136"/>
      <c r="CD1040" s="1136"/>
      <c r="CE1040" s="1136"/>
      <c r="CF1040" s="1136"/>
      <c r="CG1040" s="1136"/>
      <c r="CH1040" s="1136"/>
      <c r="CI1040" s="1136"/>
      <c r="CJ1040" s="1136"/>
      <c r="CK1040" s="1136"/>
      <c r="CL1040" s="1136"/>
      <c r="CM1040" s="1136"/>
      <c r="CN1040" s="1136"/>
      <c r="CO1040" s="1136"/>
      <c r="CP1040" s="1136"/>
      <c r="CQ1040" s="1136"/>
      <c r="CR1040" s="1136"/>
      <c r="CS1040" s="1136"/>
      <c r="CT1040" s="1136"/>
      <c r="CU1040" s="1136"/>
      <c r="CV1040" s="1136"/>
      <c r="CW1040" s="1136"/>
      <c r="CX1040" s="1136"/>
      <c r="CY1040" s="1136"/>
      <c r="CZ1040" s="1136"/>
      <c r="DA1040" s="1136"/>
      <c r="DB1040" s="1136"/>
      <c r="DC1040" s="1136"/>
      <c r="DD1040" s="1136"/>
      <c r="DE1040" s="1136"/>
      <c r="DF1040" s="1136"/>
      <c r="DG1040" s="1136"/>
      <c r="DH1040" s="1136"/>
      <c r="DI1040" s="1136"/>
    </row>
    <row r="1041" spans="1:113" ht="15.75" x14ac:dyDescent="0.25">
      <c r="A1041" s="1420" t="s">
        <v>3412</v>
      </c>
      <c r="B1041" s="1443" t="e">
        <f>B1039*B1040</f>
        <v>#VALUE!</v>
      </c>
      <c r="C1041" s="1521"/>
      <c r="D1041" s="1521"/>
      <c r="E1041" s="1521"/>
      <c r="F1041" s="1521"/>
      <c r="G1041" s="1521"/>
      <c r="H1041" s="1531"/>
      <c r="I1041" s="1531"/>
      <c r="J1041" s="1531"/>
      <c r="K1041" s="1531"/>
      <c r="L1041" s="1531"/>
      <c r="M1041" s="1531"/>
      <c r="N1041" s="1531"/>
      <c r="O1041" s="1531"/>
      <c r="P1041" s="1531"/>
      <c r="Q1041" s="1531"/>
      <c r="R1041" s="1531"/>
      <c r="S1041" s="1531"/>
      <c r="T1041" s="1531"/>
      <c r="U1041" s="1531"/>
      <c r="V1041" s="1531"/>
      <c r="W1041" s="1531"/>
      <c r="X1041" s="1531"/>
      <c r="Y1041" s="1531"/>
      <c r="Z1041" s="1531"/>
      <c r="AA1041" s="1531"/>
      <c r="AB1041" s="1531"/>
      <c r="AC1041" s="1531"/>
      <c r="AD1041" s="1531"/>
      <c r="AE1041" s="1531"/>
      <c r="AF1041" s="1531"/>
      <c r="AG1041" s="1531"/>
      <c r="AH1041" s="1531"/>
      <c r="AI1041" s="1531"/>
      <c r="AJ1041" s="1531"/>
      <c r="AK1041" s="1531"/>
      <c r="AL1041" s="1531"/>
      <c r="AM1041" s="1531"/>
      <c r="AN1041" s="1531"/>
      <c r="AO1041" s="1531"/>
      <c r="AP1041" s="1531"/>
      <c r="AQ1041" s="1531"/>
      <c r="AR1041" s="1531"/>
      <c r="AS1041" s="1531"/>
      <c r="AT1041" s="1136"/>
      <c r="AU1041" s="1136"/>
      <c r="AV1041" s="1136"/>
      <c r="AW1041" s="1136"/>
      <c r="AX1041" s="1136"/>
      <c r="AY1041" s="1136"/>
      <c r="AZ1041" s="1136"/>
      <c r="BA1041" s="1136"/>
      <c r="BB1041" s="1136"/>
      <c r="BC1041" s="1136"/>
      <c r="BD1041" s="1136"/>
      <c r="BE1041" s="1136"/>
      <c r="BF1041" s="1136"/>
      <c r="BG1041" s="1136"/>
      <c r="BH1041" s="1136"/>
      <c r="BI1041" s="1136"/>
      <c r="BJ1041" s="1136"/>
      <c r="BK1041" s="1136"/>
      <c r="BL1041" s="1136"/>
      <c r="BM1041" s="1136"/>
      <c r="BN1041" s="1136"/>
      <c r="BO1041" s="1136"/>
      <c r="BP1041" s="1136"/>
      <c r="BQ1041" s="1136"/>
      <c r="BR1041" s="1136"/>
      <c r="BS1041" s="1136"/>
      <c r="BT1041" s="1136"/>
      <c r="BU1041" s="1136"/>
      <c r="BV1041" s="1136"/>
      <c r="BW1041" s="1136"/>
      <c r="BX1041" s="1136"/>
      <c r="BY1041" s="1136"/>
      <c r="BZ1041" s="1136"/>
      <c r="CA1041" s="1136"/>
      <c r="CB1041" s="1136"/>
      <c r="CC1041" s="1136"/>
      <c r="CD1041" s="1136"/>
      <c r="CE1041" s="1136"/>
      <c r="CF1041" s="1136"/>
      <c r="CG1041" s="1136"/>
      <c r="CH1041" s="1136"/>
      <c r="CI1041" s="1136"/>
      <c r="CJ1041" s="1136"/>
      <c r="CK1041" s="1136"/>
      <c r="CL1041" s="1136"/>
      <c r="CM1041" s="1136"/>
      <c r="CN1041" s="1136"/>
      <c r="CO1041" s="1136"/>
      <c r="CP1041" s="1136"/>
      <c r="CQ1041" s="1136"/>
      <c r="CR1041" s="1136"/>
      <c r="CS1041" s="1136"/>
      <c r="CT1041" s="1136"/>
      <c r="CU1041" s="1136"/>
      <c r="CV1041" s="1136"/>
      <c r="CW1041" s="1136"/>
      <c r="CX1041" s="1136"/>
      <c r="CY1041" s="1136"/>
      <c r="CZ1041" s="1136"/>
      <c r="DA1041" s="1136"/>
      <c r="DB1041" s="1136"/>
      <c r="DC1041" s="1136"/>
      <c r="DD1041" s="1136"/>
      <c r="DE1041" s="1136"/>
      <c r="DF1041" s="1136"/>
      <c r="DG1041" s="1136"/>
      <c r="DH1041" s="1136"/>
      <c r="DI1041" s="1136"/>
    </row>
    <row r="1042" spans="1:113" ht="15.75" x14ac:dyDescent="0.25">
      <c r="A1042" s="1422" t="s">
        <v>429</v>
      </c>
      <c r="B1042" s="1439" t="e">
        <f>B1038/B1041</f>
        <v>#DIV/0!</v>
      </c>
      <c r="C1042" s="1562"/>
      <c r="D1042" s="1562"/>
      <c r="E1042" s="1562"/>
      <c r="F1042" s="1562"/>
      <c r="G1042" s="1562"/>
      <c r="H1042" s="1531"/>
      <c r="I1042" s="1531"/>
      <c r="J1042" s="1531"/>
      <c r="K1042" s="1531"/>
      <c r="L1042" s="1531"/>
      <c r="M1042" s="1531"/>
      <c r="N1042" s="1531"/>
      <c r="O1042" s="1531"/>
      <c r="P1042" s="1531"/>
      <c r="Q1042" s="1531"/>
      <c r="R1042" s="1531"/>
      <c r="S1042" s="1531"/>
      <c r="T1042" s="1531"/>
      <c r="U1042" s="1531"/>
      <c r="V1042" s="1531"/>
      <c r="W1042" s="1531"/>
      <c r="X1042" s="1531"/>
      <c r="Y1042" s="1531"/>
      <c r="Z1042" s="1531"/>
      <c r="AA1042" s="1531"/>
      <c r="AB1042" s="1531"/>
      <c r="AC1042" s="1531"/>
      <c r="AD1042" s="1531"/>
      <c r="AE1042" s="1531"/>
      <c r="AF1042" s="1531"/>
      <c r="AG1042" s="1531"/>
      <c r="AH1042" s="1531"/>
      <c r="AI1042" s="1531"/>
      <c r="AJ1042" s="1531"/>
      <c r="AK1042" s="1531"/>
      <c r="AL1042" s="1531"/>
      <c r="AM1042" s="1531"/>
      <c r="AN1042" s="1531"/>
      <c r="AO1042" s="1531"/>
      <c r="AP1042" s="1531"/>
      <c r="AQ1042" s="1531"/>
      <c r="AR1042" s="1531"/>
      <c r="AS1042" s="1531"/>
      <c r="AT1042" s="1136"/>
      <c r="AU1042" s="1136"/>
      <c r="AV1042" s="1136"/>
      <c r="AW1042" s="1136"/>
      <c r="AX1042" s="1136"/>
      <c r="AY1042" s="1136"/>
      <c r="AZ1042" s="1136"/>
      <c r="BA1042" s="1136"/>
      <c r="BB1042" s="1136"/>
      <c r="BC1042" s="1136"/>
      <c r="BD1042" s="1136"/>
      <c r="BE1042" s="1136"/>
      <c r="BF1042" s="1136"/>
      <c r="BG1042" s="1136"/>
      <c r="BH1042" s="1136"/>
      <c r="BI1042" s="1136"/>
      <c r="BJ1042" s="1136"/>
      <c r="BK1042" s="1136"/>
      <c r="BL1042" s="1136"/>
      <c r="BM1042" s="1136"/>
      <c r="BN1042" s="1136"/>
      <c r="BO1042" s="1136"/>
      <c r="BP1042" s="1136"/>
      <c r="BQ1042" s="1136"/>
      <c r="BR1042" s="1136"/>
      <c r="BS1042" s="1136"/>
      <c r="BT1042" s="1136"/>
      <c r="BU1042" s="1136"/>
      <c r="BV1042" s="1136"/>
      <c r="BW1042" s="1136"/>
      <c r="BX1042" s="1136"/>
      <c r="BY1042" s="1136"/>
      <c r="BZ1042" s="1136"/>
      <c r="CA1042" s="1136"/>
      <c r="CB1042" s="1136"/>
      <c r="CC1042" s="1136"/>
      <c r="CD1042" s="1136"/>
      <c r="CE1042" s="1136"/>
      <c r="CF1042" s="1136"/>
      <c r="CG1042" s="1136"/>
      <c r="CH1042" s="1136"/>
      <c r="CI1042" s="1136"/>
      <c r="CJ1042" s="1136"/>
      <c r="CK1042" s="1136"/>
      <c r="CL1042" s="1136"/>
      <c r="CM1042" s="1136"/>
      <c r="CN1042" s="1136"/>
      <c r="CO1042" s="1136"/>
      <c r="CP1042" s="1136"/>
      <c r="CQ1042" s="1136"/>
      <c r="CR1042" s="1136"/>
      <c r="CS1042" s="1136"/>
      <c r="CT1042" s="1136"/>
      <c r="CU1042" s="1136"/>
      <c r="CV1042" s="1136"/>
      <c r="CW1042" s="1136"/>
      <c r="CX1042" s="1136"/>
      <c r="CY1042" s="1136"/>
      <c r="CZ1042" s="1136"/>
      <c r="DA1042" s="1136"/>
      <c r="DB1042" s="1136"/>
      <c r="DC1042" s="1136"/>
      <c r="DD1042" s="1136"/>
      <c r="DE1042" s="1136"/>
      <c r="DF1042" s="1136"/>
      <c r="DG1042" s="1136"/>
      <c r="DH1042" s="1136"/>
      <c r="DI1042" s="1136"/>
    </row>
    <row r="1043" spans="1:113" ht="15.75" x14ac:dyDescent="0.25">
      <c r="A1043" s="1430"/>
      <c r="B1043" s="1443"/>
      <c r="C1043" s="1521"/>
      <c r="D1043" s="1531"/>
      <c r="E1043" s="1531"/>
      <c r="F1043" s="1531"/>
      <c r="G1043" s="1531"/>
      <c r="H1043" s="1531"/>
      <c r="I1043" s="1531"/>
      <c r="J1043" s="1531"/>
      <c r="K1043" s="1531"/>
      <c r="L1043" s="1531"/>
      <c r="M1043" s="1531"/>
      <c r="N1043" s="1531"/>
      <c r="O1043" s="1531"/>
      <c r="P1043" s="1531"/>
      <c r="Q1043" s="1531"/>
      <c r="R1043" s="1531"/>
      <c r="S1043" s="1531"/>
      <c r="T1043" s="1531"/>
      <c r="U1043" s="1531"/>
      <c r="V1043" s="1531"/>
      <c r="W1043" s="1531"/>
      <c r="X1043" s="1531"/>
      <c r="Y1043" s="1531"/>
      <c r="Z1043" s="1531"/>
      <c r="AA1043" s="1531"/>
      <c r="AB1043" s="1531"/>
      <c r="AC1043" s="1531"/>
      <c r="AD1043" s="1531"/>
      <c r="AE1043" s="1531"/>
      <c r="AF1043" s="1531"/>
      <c r="AG1043" s="1531"/>
      <c r="AH1043" s="1531"/>
      <c r="AI1043" s="1531"/>
      <c r="AJ1043" s="1531"/>
      <c r="AK1043" s="1531"/>
      <c r="AL1043" s="1531"/>
      <c r="AM1043" s="1531"/>
      <c r="AN1043" s="1531"/>
      <c r="AO1043" s="1531"/>
      <c r="AP1043" s="1531"/>
      <c r="AQ1043" s="1531"/>
      <c r="AR1043" s="1531"/>
      <c r="AS1043" s="1531"/>
      <c r="AT1043" s="1136"/>
      <c r="AU1043" s="1136"/>
      <c r="AV1043" s="1136"/>
      <c r="AW1043" s="1136"/>
      <c r="AX1043" s="1136"/>
      <c r="AY1043" s="1136"/>
      <c r="AZ1043" s="1136"/>
      <c r="BA1043" s="1136"/>
      <c r="BB1043" s="1136"/>
      <c r="BC1043" s="1136"/>
      <c r="BD1043" s="1136"/>
      <c r="BE1043" s="1136"/>
      <c r="BF1043" s="1136"/>
      <c r="BG1043" s="1136"/>
      <c r="BH1043" s="1136"/>
      <c r="BI1043" s="1136"/>
      <c r="BJ1043" s="1136"/>
      <c r="BK1043" s="1136"/>
      <c r="BL1043" s="1136"/>
      <c r="BM1043" s="1136"/>
      <c r="BN1043" s="1136"/>
      <c r="BO1043" s="1136"/>
      <c r="BP1043" s="1136"/>
      <c r="BQ1043" s="1136"/>
      <c r="BR1043" s="1136"/>
      <c r="BS1043" s="1136"/>
      <c r="BT1043" s="1136"/>
      <c r="BU1043" s="1136"/>
      <c r="BV1043" s="1136"/>
      <c r="BW1043" s="1136"/>
      <c r="BX1043" s="1136"/>
      <c r="BY1043" s="1136"/>
      <c r="BZ1043" s="1136"/>
      <c r="CA1043" s="1136"/>
      <c r="CB1043" s="1136"/>
      <c r="CC1043" s="1136"/>
      <c r="CD1043" s="1136"/>
      <c r="CE1043" s="1136"/>
      <c r="CF1043" s="1136"/>
      <c r="CG1043" s="1136"/>
      <c r="CH1043" s="1136"/>
      <c r="CI1043" s="1136"/>
      <c r="CJ1043" s="1136"/>
      <c r="CK1043" s="1136"/>
      <c r="CL1043" s="1136"/>
      <c r="CM1043" s="1136"/>
      <c r="CN1043" s="1136"/>
      <c r="CO1043" s="1136"/>
      <c r="CP1043" s="1136"/>
      <c r="CQ1043" s="1136"/>
      <c r="CR1043" s="1136"/>
      <c r="CS1043" s="1136"/>
      <c r="CT1043" s="1136"/>
      <c r="CU1043" s="1136"/>
      <c r="CV1043" s="1136"/>
      <c r="CW1043" s="1136"/>
      <c r="CX1043" s="1136"/>
      <c r="CY1043" s="1136"/>
      <c r="CZ1043" s="1136"/>
      <c r="DA1043" s="1136"/>
      <c r="DB1043" s="1136"/>
      <c r="DC1043" s="1136"/>
      <c r="DD1043" s="1136"/>
      <c r="DE1043" s="1136"/>
      <c r="DF1043" s="1136"/>
      <c r="DG1043" s="1136"/>
      <c r="DH1043" s="1136"/>
      <c r="DI1043" s="1136"/>
    </row>
    <row r="1044" spans="1:113" ht="47.25" x14ac:dyDescent="0.25">
      <c r="A1044" s="1438" t="s">
        <v>3389</v>
      </c>
      <c r="B1044" s="1443"/>
      <c r="C1044" s="1521"/>
      <c r="D1044" s="1531"/>
      <c r="E1044" s="1531"/>
      <c r="F1044" s="1531"/>
      <c r="G1044" s="1531"/>
      <c r="H1044" s="1531"/>
      <c r="I1044" s="1531"/>
      <c r="J1044" s="1531"/>
      <c r="K1044" s="1531"/>
      <c r="L1044" s="1531"/>
      <c r="M1044" s="1531"/>
      <c r="N1044" s="1531"/>
      <c r="O1044" s="1531"/>
      <c r="P1044" s="1531"/>
      <c r="Q1044" s="1531"/>
      <c r="R1044" s="1531"/>
      <c r="S1044" s="1531"/>
      <c r="T1044" s="1531"/>
      <c r="U1044" s="1531"/>
      <c r="V1044" s="1531"/>
      <c r="W1044" s="1531"/>
      <c r="X1044" s="1531"/>
      <c r="Y1044" s="1531"/>
      <c r="Z1044" s="1531"/>
      <c r="AA1044" s="1531"/>
      <c r="AB1044" s="1531"/>
      <c r="AC1044" s="1531"/>
      <c r="AD1044" s="1531"/>
      <c r="AE1044" s="1531"/>
      <c r="AF1044" s="1531"/>
      <c r="AG1044" s="1531"/>
      <c r="AH1044" s="1531"/>
      <c r="AI1044" s="1531"/>
      <c r="AJ1044" s="1531"/>
      <c r="AK1044" s="1531"/>
      <c r="AL1044" s="1531"/>
      <c r="AM1044" s="1531"/>
      <c r="AN1044" s="1531"/>
      <c r="AO1044" s="1531"/>
      <c r="AP1044" s="1531"/>
      <c r="AQ1044" s="1531"/>
      <c r="AR1044" s="1531"/>
      <c r="AS1044" s="1531"/>
      <c r="AT1044" s="1136"/>
      <c r="AU1044" s="1136"/>
      <c r="AV1044" s="1136"/>
      <c r="AW1044" s="1136"/>
      <c r="AX1044" s="1136"/>
      <c r="AY1044" s="1136"/>
      <c r="AZ1044" s="1136"/>
      <c r="BA1044" s="1136"/>
      <c r="BB1044" s="1136"/>
      <c r="BC1044" s="1136"/>
      <c r="BD1044" s="1136"/>
      <c r="BE1044" s="1136"/>
      <c r="BF1044" s="1136"/>
      <c r="BG1044" s="1136"/>
      <c r="BH1044" s="1136"/>
      <c r="BI1044" s="1136"/>
      <c r="BJ1044" s="1136"/>
      <c r="BK1044" s="1136"/>
      <c r="BL1044" s="1136"/>
      <c r="BM1044" s="1136"/>
      <c r="BN1044" s="1136"/>
      <c r="BO1044" s="1136"/>
      <c r="BP1044" s="1136"/>
      <c r="BQ1044" s="1136"/>
      <c r="BR1044" s="1136"/>
      <c r="BS1044" s="1136"/>
      <c r="BT1044" s="1136"/>
      <c r="BU1044" s="1136"/>
      <c r="BV1044" s="1136"/>
      <c r="BW1044" s="1136"/>
      <c r="BX1044" s="1136"/>
      <c r="BY1044" s="1136"/>
      <c r="BZ1044" s="1136"/>
      <c r="CA1044" s="1136"/>
      <c r="CB1044" s="1136"/>
      <c r="CC1044" s="1136"/>
      <c r="CD1044" s="1136"/>
      <c r="CE1044" s="1136"/>
      <c r="CF1044" s="1136"/>
      <c r="CG1044" s="1136"/>
      <c r="CH1044" s="1136"/>
      <c r="CI1044" s="1136"/>
      <c r="CJ1044" s="1136"/>
      <c r="CK1044" s="1136"/>
      <c r="CL1044" s="1136"/>
      <c r="CM1044" s="1136"/>
      <c r="CN1044" s="1136"/>
      <c r="CO1044" s="1136"/>
      <c r="CP1044" s="1136"/>
      <c r="CQ1044" s="1136"/>
      <c r="CR1044" s="1136"/>
      <c r="CS1044" s="1136"/>
      <c r="CT1044" s="1136"/>
      <c r="CU1044" s="1136"/>
      <c r="CV1044" s="1136"/>
      <c r="CW1044" s="1136"/>
      <c r="CX1044" s="1136"/>
      <c r="CY1044" s="1136"/>
      <c r="CZ1044" s="1136"/>
      <c r="DA1044" s="1136"/>
      <c r="DB1044" s="1136"/>
      <c r="DC1044" s="1136"/>
      <c r="DD1044" s="1136"/>
      <c r="DE1044" s="1136"/>
      <c r="DF1044" s="1136"/>
      <c r="DG1044" s="1136"/>
      <c r="DH1044" s="1136"/>
      <c r="DI1044" s="1136"/>
    </row>
    <row r="1045" spans="1:113" ht="15.75" x14ac:dyDescent="0.25">
      <c r="A1045" s="1420" t="s">
        <v>424</v>
      </c>
      <c r="B1045" s="1439" t="e">
        <f>(B291*(((B1020-B811)/B308+1)-1)/(B1020-B811))*B809</f>
        <v>#DIV/0!</v>
      </c>
      <c r="C1045" s="1562"/>
      <c r="D1045" s="1521"/>
      <c r="E1045" s="1521"/>
      <c r="F1045" s="1521"/>
      <c r="G1045" s="1521"/>
      <c r="H1045" s="1531"/>
      <c r="I1045" s="1531"/>
      <c r="J1045" s="1531"/>
      <c r="K1045" s="1531"/>
      <c r="L1045" s="1531"/>
      <c r="M1045" s="1531"/>
      <c r="N1045" s="1531"/>
      <c r="O1045" s="1531"/>
      <c r="P1045" s="1531"/>
      <c r="Q1045" s="1531"/>
      <c r="R1045" s="1531"/>
      <c r="S1045" s="1531"/>
      <c r="T1045" s="1531"/>
      <c r="U1045" s="1531"/>
      <c r="V1045" s="1531"/>
      <c r="W1045" s="1531"/>
      <c r="X1045" s="1531"/>
      <c r="Y1045" s="1531"/>
      <c r="Z1045" s="1531"/>
      <c r="AA1045" s="1531"/>
      <c r="AB1045" s="1531"/>
      <c r="AC1045" s="1531"/>
      <c r="AD1045" s="1531"/>
      <c r="AE1045" s="1531"/>
      <c r="AF1045" s="1531"/>
      <c r="AG1045" s="1531"/>
      <c r="AH1045" s="1531"/>
      <c r="AI1045" s="1531"/>
      <c r="AJ1045" s="1531"/>
      <c r="AK1045" s="1531"/>
      <c r="AL1045" s="1531"/>
      <c r="AM1045" s="1531"/>
      <c r="AN1045" s="1531"/>
      <c r="AO1045" s="1531"/>
      <c r="AP1045" s="1531"/>
      <c r="AQ1045" s="1531"/>
      <c r="AR1045" s="1531"/>
      <c r="AS1045" s="1531"/>
      <c r="AT1045" s="1136"/>
      <c r="AU1045" s="1136"/>
      <c r="AV1045" s="1136"/>
      <c r="AW1045" s="1136"/>
      <c r="AX1045" s="1136"/>
      <c r="AY1045" s="1136"/>
      <c r="AZ1045" s="1136"/>
      <c r="BA1045" s="1136"/>
      <c r="BB1045" s="1136"/>
      <c r="BC1045" s="1136"/>
      <c r="BD1045" s="1136"/>
      <c r="BE1045" s="1136"/>
      <c r="BF1045" s="1136"/>
      <c r="BG1045" s="1136"/>
      <c r="BH1045" s="1136"/>
      <c r="BI1045" s="1136"/>
      <c r="BJ1045" s="1136"/>
      <c r="BK1045" s="1136"/>
      <c r="BL1045" s="1136"/>
      <c r="BM1045" s="1136"/>
      <c r="BN1045" s="1136"/>
      <c r="BO1045" s="1136"/>
      <c r="BP1045" s="1136"/>
      <c r="BQ1045" s="1136"/>
      <c r="BR1045" s="1136"/>
      <c r="BS1045" s="1136"/>
      <c r="BT1045" s="1136"/>
      <c r="BU1045" s="1136"/>
      <c r="BV1045" s="1136"/>
      <c r="BW1045" s="1136"/>
      <c r="BX1045" s="1136"/>
      <c r="BY1045" s="1136"/>
      <c r="BZ1045" s="1136"/>
      <c r="CA1045" s="1136"/>
      <c r="CB1045" s="1136"/>
      <c r="CC1045" s="1136"/>
      <c r="CD1045" s="1136"/>
      <c r="CE1045" s="1136"/>
      <c r="CF1045" s="1136"/>
      <c r="CG1045" s="1136"/>
      <c r="CH1045" s="1136"/>
      <c r="CI1045" s="1136"/>
      <c r="CJ1045" s="1136"/>
      <c r="CK1045" s="1136"/>
      <c r="CL1045" s="1136"/>
      <c r="CM1045" s="1136"/>
      <c r="CN1045" s="1136"/>
      <c r="CO1045" s="1136"/>
      <c r="CP1045" s="1136"/>
      <c r="CQ1045" s="1136"/>
      <c r="CR1045" s="1136"/>
      <c r="CS1045" s="1136"/>
      <c r="CT1045" s="1136"/>
      <c r="CU1045" s="1136"/>
      <c r="CV1045" s="1136"/>
      <c r="CW1045" s="1136"/>
      <c r="CX1045" s="1136"/>
      <c r="CY1045" s="1136"/>
      <c r="CZ1045" s="1136"/>
      <c r="DA1045" s="1136"/>
      <c r="DB1045" s="1136"/>
      <c r="DC1045" s="1136"/>
      <c r="DD1045" s="1136"/>
      <c r="DE1045" s="1136"/>
      <c r="DF1045" s="1136"/>
      <c r="DG1045" s="1136"/>
      <c r="DH1045" s="1136"/>
      <c r="DI1045" s="1136"/>
    </row>
    <row r="1046" spans="1:113" ht="15.75" x14ac:dyDescent="0.25">
      <c r="A1046" s="1420" t="s">
        <v>3390</v>
      </c>
      <c r="B1046" s="1441" t="e">
        <f>B846</f>
        <v>#VALUE!</v>
      </c>
      <c r="C1046" s="1596"/>
      <c r="D1046" s="1521"/>
      <c r="E1046" s="1521"/>
      <c r="F1046" s="1521"/>
      <c r="G1046" s="1521"/>
      <c r="H1046" s="1531"/>
      <c r="I1046" s="1531"/>
      <c r="J1046" s="1531"/>
      <c r="K1046" s="1531"/>
      <c r="L1046" s="1531"/>
      <c r="M1046" s="1531"/>
      <c r="N1046" s="1531"/>
      <c r="O1046" s="1531"/>
      <c r="P1046" s="1531"/>
      <c r="Q1046" s="1531"/>
      <c r="R1046" s="1531"/>
      <c r="S1046" s="1531"/>
      <c r="T1046" s="1531"/>
      <c r="U1046" s="1531"/>
      <c r="V1046" s="1531"/>
      <c r="W1046" s="1531"/>
      <c r="X1046" s="1531"/>
      <c r="Y1046" s="1531"/>
      <c r="Z1046" s="1531"/>
      <c r="AA1046" s="1531"/>
      <c r="AB1046" s="1531"/>
      <c r="AC1046" s="1531"/>
      <c r="AD1046" s="1531"/>
      <c r="AE1046" s="1531"/>
      <c r="AF1046" s="1531"/>
      <c r="AG1046" s="1531"/>
      <c r="AH1046" s="1531"/>
      <c r="AI1046" s="1531"/>
      <c r="AJ1046" s="1531"/>
      <c r="AK1046" s="1531"/>
      <c r="AL1046" s="1531"/>
      <c r="AM1046" s="1531"/>
      <c r="AN1046" s="1531"/>
      <c r="AO1046" s="1531"/>
      <c r="AP1046" s="1531"/>
      <c r="AQ1046" s="1531"/>
      <c r="AR1046" s="1531"/>
      <c r="AS1046" s="1531"/>
      <c r="AT1046" s="1136"/>
      <c r="AU1046" s="1136"/>
      <c r="AV1046" s="1136"/>
      <c r="AW1046" s="1136"/>
      <c r="AX1046" s="1136"/>
      <c r="AY1046" s="1136"/>
      <c r="AZ1046" s="1136"/>
      <c r="BA1046" s="1136"/>
      <c r="BB1046" s="1136"/>
      <c r="BC1046" s="1136"/>
      <c r="BD1046" s="1136"/>
      <c r="BE1046" s="1136"/>
      <c r="BF1046" s="1136"/>
      <c r="BG1046" s="1136"/>
      <c r="BH1046" s="1136"/>
      <c r="BI1046" s="1136"/>
      <c r="BJ1046" s="1136"/>
      <c r="BK1046" s="1136"/>
      <c r="BL1046" s="1136"/>
      <c r="BM1046" s="1136"/>
      <c r="BN1046" s="1136"/>
      <c r="BO1046" s="1136"/>
      <c r="BP1046" s="1136"/>
      <c r="BQ1046" s="1136"/>
      <c r="BR1046" s="1136"/>
      <c r="BS1046" s="1136"/>
      <c r="BT1046" s="1136"/>
      <c r="BU1046" s="1136"/>
      <c r="BV1046" s="1136"/>
      <c r="BW1046" s="1136"/>
      <c r="BX1046" s="1136"/>
      <c r="BY1046" s="1136"/>
      <c r="BZ1046" s="1136"/>
      <c r="CA1046" s="1136"/>
      <c r="CB1046" s="1136"/>
      <c r="CC1046" s="1136"/>
      <c r="CD1046" s="1136"/>
      <c r="CE1046" s="1136"/>
      <c r="CF1046" s="1136"/>
      <c r="CG1046" s="1136"/>
      <c r="CH1046" s="1136"/>
      <c r="CI1046" s="1136"/>
      <c r="CJ1046" s="1136"/>
      <c r="CK1046" s="1136"/>
      <c r="CL1046" s="1136"/>
      <c r="CM1046" s="1136"/>
      <c r="CN1046" s="1136"/>
      <c r="CO1046" s="1136"/>
      <c r="CP1046" s="1136"/>
      <c r="CQ1046" s="1136"/>
      <c r="CR1046" s="1136"/>
      <c r="CS1046" s="1136"/>
      <c r="CT1046" s="1136"/>
      <c r="CU1046" s="1136"/>
      <c r="CV1046" s="1136"/>
      <c r="CW1046" s="1136"/>
      <c r="CX1046" s="1136"/>
      <c r="CY1046" s="1136"/>
      <c r="CZ1046" s="1136"/>
      <c r="DA1046" s="1136"/>
      <c r="DB1046" s="1136"/>
      <c r="DC1046" s="1136"/>
      <c r="DD1046" s="1136"/>
      <c r="DE1046" s="1136"/>
      <c r="DF1046" s="1136"/>
      <c r="DG1046" s="1136"/>
      <c r="DH1046" s="1136"/>
      <c r="DI1046" s="1136"/>
    </row>
    <row r="1047" spans="1:113" ht="15.75" x14ac:dyDescent="0.25">
      <c r="A1047" s="1420" t="s">
        <v>3391</v>
      </c>
      <c r="B1047" s="1443"/>
      <c r="C1047" s="1521"/>
      <c r="D1047" s="1521"/>
      <c r="E1047" s="1521"/>
      <c r="F1047" s="1521"/>
      <c r="G1047" s="1521"/>
      <c r="H1047" s="1531"/>
      <c r="I1047" s="1531"/>
      <c r="J1047" s="1531"/>
      <c r="K1047" s="1531"/>
      <c r="L1047" s="1531"/>
      <c r="M1047" s="1531"/>
      <c r="N1047" s="1531"/>
      <c r="O1047" s="1531"/>
      <c r="P1047" s="1531"/>
      <c r="Q1047" s="1531"/>
      <c r="R1047" s="1531"/>
      <c r="S1047" s="1531"/>
      <c r="T1047" s="1531"/>
      <c r="U1047" s="1531"/>
      <c r="V1047" s="1531"/>
      <c r="W1047" s="1531"/>
      <c r="X1047" s="1531"/>
      <c r="Y1047" s="1531"/>
      <c r="Z1047" s="1531"/>
      <c r="AA1047" s="1531"/>
      <c r="AB1047" s="1531"/>
      <c r="AC1047" s="1531"/>
      <c r="AD1047" s="1531"/>
      <c r="AE1047" s="1531"/>
      <c r="AF1047" s="1531"/>
      <c r="AG1047" s="1531"/>
      <c r="AH1047" s="1531"/>
      <c r="AI1047" s="1531"/>
      <c r="AJ1047" s="1531"/>
      <c r="AK1047" s="1531"/>
      <c r="AL1047" s="1531"/>
      <c r="AM1047" s="1531"/>
      <c r="AN1047" s="1531"/>
      <c r="AO1047" s="1531"/>
      <c r="AP1047" s="1531"/>
      <c r="AQ1047" s="1531"/>
      <c r="AR1047" s="1531"/>
      <c r="AS1047" s="1531"/>
      <c r="AT1047" s="1136"/>
      <c r="AU1047" s="1136"/>
      <c r="AV1047" s="1136"/>
      <c r="AW1047" s="1136"/>
      <c r="AX1047" s="1136"/>
      <c r="AY1047" s="1136"/>
      <c r="AZ1047" s="1136"/>
      <c r="BA1047" s="1136"/>
      <c r="BB1047" s="1136"/>
      <c r="BC1047" s="1136"/>
      <c r="BD1047" s="1136"/>
      <c r="BE1047" s="1136"/>
      <c r="BF1047" s="1136"/>
      <c r="BG1047" s="1136"/>
      <c r="BH1047" s="1136"/>
      <c r="BI1047" s="1136"/>
      <c r="BJ1047" s="1136"/>
      <c r="BK1047" s="1136"/>
      <c r="BL1047" s="1136"/>
      <c r="BM1047" s="1136"/>
      <c r="BN1047" s="1136"/>
      <c r="BO1047" s="1136"/>
      <c r="BP1047" s="1136"/>
      <c r="BQ1047" s="1136"/>
      <c r="BR1047" s="1136"/>
      <c r="BS1047" s="1136"/>
      <c r="BT1047" s="1136"/>
      <c r="BU1047" s="1136"/>
      <c r="BV1047" s="1136"/>
      <c r="BW1047" s="1136"/>
      <c r="BX1047" s="1136"/>
      <c r="BY1047" s="1136"/>
      <c r="BZ1047" s="1136"/>
      <c r="CA1047" s="1136"/>
      <c r="CB1047" s="1136"/>
      <c r="CC1047" s="1136"/>
      <c r="CD1047" s="1136"/>
      <c r="CE1047" s="1136"/>
      <c r="CF1047" s="1136"/>
      <c r="CG1047" s="1136"/>
      <c r="CH1047" s="1136"/>
      <c r="CI1047" s="1136"/>
      <c r="CJ1047" s="1136"/>
      <c r="CK1047" s="1136"/>
      <c r="CL1047" s="1136"/>
      <c r="CM1047" s="1136"/>
      <c r="CN1047" s="1136"/>
      <c r="CO1047" s="1136"/>
      <c r="CP1047" s="1136"/>
      <c r="CQ1047" s="1136"/>
      <c r="CR1047" s="1136"/>
      <c r="CS1047" s="1136"/>
      <c r="CT1047" s="1136"/>
      <c r="CU1047" s="1136"/>
      <c r="CV1047" s="1136"/>
      <c r="CW1047" s="1136"/>
      <c r="CX1047" s="1136"/>
      <c r="CY1047" s="1136"/>
      <c r="CZ1047" s="1136"/>
      <c r="DA1047" s="1136"/>
      <c r="DB1047" s="1136"/>
      <c r="DC1047" s="1136"/>
      <c r="DD1047" s="1136"/>
      <c r="DE1047" s="1136"/>
      <c r="DF1047" s="1136"/>
      <c r="DG1047" s="1136"/>
      <c r="DH1047" s="1136"/>
      <c r="DI1047" s="1136"/>
    </row>
    <row r="1048" spans="1:113" ht="15.75" x14ac:dyDescent="0.25">
      <c r="A1048" s="1420" t="s">
        <v>392</v>
      </c>
      <c r="B1048" s="1443">
        <f>B848</f>
        <v>0.8</v>
      </c>
      <c r="C1048" s="1521"/>
      <c r="D1048" s="1521"/>
      <c r="E1048" s="1521"/>
      <c r="F1048" s="1521"/>
      <c r="G1048" s="1521"/>
      <c r="H1048" s="1531"/>
      <c r="I1048" s="1531"/>
      <c r="J1048" s="1531"/>
      <c r="K1048" s="1531"/>
      <c r="L1048" s="1531"/>
      <c r="M1048" s="1531"/>
      <c r="N1048" s="1531"/>
      <c r="O1048" s="1531"/>
      <c r="P1048" s="1531"/>
      <c r="Q1048" s="1531"/>
      <c r="R1048" s="1531"/>
      <c r="S1048" s="1531"/>
      <c r="T1048" s="1531"/>
      <c r="U1048" s="1531"/>
      <c r="V1048" s="1531"/>
      <c r="W1048" s="1531"/>
      <c r="X1048" s="1531"/>
      <c r="Y1048" s="1531"/>
      <c r="Z1048" s="1531"/>
      <c r="AA1048" s="1531"/>
      <c r="AB1048" s="1531"/>
      <c r="AC1048" s="1531"/>
      <c r="AD1048" s="1531"/>
      <c r="AE1048" s="1531"/>
      <c r="AF1048" s="1531"/>
      <c r="AG1048" s="1531"/>
      <c r="AH1048" s="1531"/>
      <c r="AI1048" s="1531"/>
      <c r="AJ1048" s="1531"/>
      <c r="AK1048" s="1531"/>
      <c r="AL1048" s="1531"/>
      <c r="AM1048" s="1531"/>
      <c r="AN1048" s="1531"/>
      <c r="AO1048" s="1531"/>
      <c r="AP1048" s="1531"/>
      <c r="AQ1048" s="1531"/>
      <c r="AR1048" s="1531"/>
      <c r="AS1048" s="1531"/>
      <c r="AT1048" s="1136"/>
      <c r="AU1048" s="1136"/>
      <c r="AV1048" s="1136"/>
      <c r="AW1048" s="1136"/>
      <c r="AX1048" s="1136"/>
      <c r="AY1048" s="1136"/>
      <c r="AZ1048" s="1136"/>
      <c r="BA1048" s="1136"/>
      <c r="BB1048" s="1136"/>
      <c r="BC1048" s="1136"/>
      <c r="BD1048" s="1136"/>
      <c r="BE1048" s="1136"/>
      <c r="BF1048" s="1136"/>
      <c r="BG1048" s="1136"/>
      <c r="BH1048" s="1136"/>
      <c r="BI1048" s="1136"/>
      <c r="BJ1048" s="1136"/>
      <c r="BK1048" s="1136"/>
      <c r="BL1048" s="1136"/>
      <c r="BM1048" s="1136"/>
      <c r="BN1048" s="1136"/>
      <c r="BO1048" s="1136"/>
      <c r="BP1048" s="1136"/>
      <c r="BQ1048" s="1136"/>
      <c r="BR1048" s="1136"/>
      <c r="BS1048" s="1136"/>
      <c r="BT1048" s="1136"/>
      <c r="BU1048" s="1136"/>
      <c r="BV1048" s="1136"/>
      <c r="BW1048" s="1136"/>
      <c r="BX1048" s="1136"/>
      <c r="BY1048" s="1136"/>
      <c r="BZ1048" s="1136"/>
      <c r="CA1048" s="1136"/>
      <c r="CB1048" s="1136"/>
      <c r="CC1048" s="1136"/>
      <c r="CD1048" s="1136"/>
      <c r="CE1048" s="1136"/>
      <c r="CF1048" s="1136"/>
      <c r="CG1048" s="1136"/>
      <c r="CH1048" s="1136"/>
      <c r="CI1048" s="1136"/>
      <c r="CJ1048" s="1136"/>
      <c r="CK1048" s="1136"/>
      <c r="CL1048" s="1136"/>
      <c r="CM1048" s="1136"/>
      <c r="CN1048" s="1136"/>
      <c r="CO1048" s="1136"/>
      <c r="CP1048" s="1136"/>
      <c r="CQ1048" s="1136"/>
      <c r="CR1048" s="1136"/>
      <c r="CS1048" s="1136"/>
      <c r="CT1048" s="1136"/>
      <c r="CU1048" s="1136"/>
      <c r="CV1048" s="1136"/>
      <c r="CW1048" s="1136"/>
      <c r="CX1048" s="1136"/>
      <c r="CY1048" s="1136"/>
      <c r="CZ1048" s="1136"/>
      <c r="DA1048" s="1136"/>
      <c r="DB1048" s="1136"/>
      <c r="DC1048" s="1136"/>
      <c r="DD1048" s="1136"/>
      <c r="DE1048" s="1136"/>
      <c r="DF1048" s="1136"/>
      <c r="DG1048" s="1136"/>
      <c r="DH1048" s="1136"/>
      <c r="DI1048" s="1136"/>
    </row>
    <row r="1049" spans="1:113" ht="15.75" x14ac:dyDescent="0.25">
      <c r="A1049" s="1420" t="s">
        <v>391</v>
      </c>
      <c r="B1049" s="1443">
        <f>B849</f>
        <v>0.9</v>
      </c>
      <c r="C1049" s="1521"/>
      <c r="D1049" s="1562"/>
      <c r="E1049" s="1562"/>
      <c r="F1049" s="1562"/>
      <c r="G1049" s="1562"/>
      <c r="H1049" s="1531"/>
      <c r="I1049" s="1531"/>
      <c r="J1049" s="1531"/>
      <c r="K1049" s="1531"/>
      <c r="L1049" s="1531"/>
      <c r="M1049" s="1531"/>
      <c r="N1049" s="1531"/>
      <c r="O1049" s="1531"/>
      <c r="P1049" s="1531"/>
      <c r="Q1049" s="1531"/>
      <c r="R1049" s="1531"/>
      <c r="S1049" s="1531"/>
      <c r="T1049" s="1531"/>
      <c r="U1049" s="1531"/>
      <c r="V1049" s="1531"/>
      <c r="W1049" s="1531"/>
      <c r="X1049" s="1531"/>
      <c r="Y1049" s="1531"/>
      <c r="Z1049" s="1531"/>
      <c r="AA1049" s="1531"/>
      <c r="AB1049" s="1531"/>
      <c r="AC1049" s="1531"/>
      <c r="AD1049" s="1531"/>
      <c r="AE1049" s="1531"/>
      <c r="AF1049" s="1531"/>
      <c r="AG1049" s="1531"/>
      <c r="AH1049" s="1531"/>
      <c r="AI1049" s="1531"/>
      <c r="AJ1049" s="1531"/>
      <c r="AK1049" s="1531"/>
      <c r="AL1049" s="1531"/>
      <c r="AM1049" s="1531"/>
      <c r="AN1049" s="1531"/>
      <c r="AO1049" s="1531"/>
      <c r="AP1049" s="1531"/>
      <c r="AQ1049" s="1531"/>
      <c r="AR1049" s="1531"/>
      <c r="AS1049" s="1531"/>
      <c r="AT1049" s="1136"/>
      <c r="AU1049" s="1136"/>
      <c r="AV1049" s="1136"/>
      <c r="AW1049" s="1136"/>
      <c r="AX1049" s="1136"/>
      <c r="AY1049" s="1136"/>
      <c r="AZ1049" s="1136"/>
      <c r="BA1049" s="1136"/>
      <c r="BB1049" s="1136"/>
      <c r="BC1049" s="1136"/>
      <c r="BD1049" s="1136"/>
      <c r="BE1049" s="1136"/>
      <c r="BF1049" s="1136"/>
      <c r="BG1049" s="1136"/>
      <c r="BH1049" s="1136"/>
      <c r="BI1049" s="1136"/>
      <c r="BJ1049" s="1136"/>
      <c r="BK1049" s="1136"/>
      <c r="BL1049" s="1136"/>
      <c r="BM1049" s="1136"/>
      <c r="BN1049" s="1136"/>
      <c r="BO1049" s="1136"/>
      <c r="BP1049" s="1136"/>
      <c r="BQ1049" s="1136"/>
      <c r="BR1049" s="1136"/>
      <c r="BS1049" s="1136"/>
      <c r="BT1049" s="1136"/>
      <c r="BU1049" s="1136"/>
      <c r="BV1049" s="1136"/>
      <c r="BW1049" s="1136"/>
      <c r="BX1049" s="1136"/>
      <c r="BY1049" s="1136"/>
      <c r="BZ1049" s="1136"/>
      <c r="CA1049" s="1136"/>
      <c r="CB1049" s="1136"/>
      <c r="CC1049" s="1136"/>
      <c r="CD1049" s="1136"/>
      <c r="CE1049" s="1136"/>
      <c r="CF1049" s="1136"/>
      <c r="CG1049" s="1136"/>
      <c r="CH1049" s="1136"/>
      <c r="CI1049" s="1136"/>
      <c r="CJ1049" s="1136"/>
      <c r="CK1049" s="1136"/>
      <c r="CL1049" s="1136"/>
      <c r="CM1049" s="1136"/>
      <c r="CN1049" s="1136"/>
      <c r="CO1049" s="1136"/>
      <c r="CP1049" s="1136"/>
      <c r="CQ1049" s="1136"/>
      <c r="CR1049" s="1136"/>
      <c r="CS1049" s="1136"/>
      <c r="CT1049" s="1136"/>
      <c r="CU1049" s="1136"/>
      <c r="CV1049" s="1136"/>
      <c r="CW1049" s="1136"/>
      <c r="CX1049" s="1136"/>
      <c r="CY1049" s="1136"/>
      <c r="CZ1049" s="1136"/>
      <c r="DA1049" s="1136"/>
      <c r="DB1049" s="1136"/>
      <c r="DC1049" s="1136"/>
      <c r="DD1049" s="1136"/>
      <c r="DE1049" s="1136"/>
      <c r="DF1049" s="1136"/>
      <c r="DG1049" s="1136"/>
      <c r="DH1049" s="1136"/>
      <c r="DI1049" s="1136"/>
    </row>
    <row r="1050" spans="1:113" ht="31.5" x14ac:dyDescent="0.25">
      <c r="A1050" s="1435" t="s">
        <v>3392</v>
      </c>
      <c r="B1050" s="1451">
        <f>B850</f>
        <v>0</v>
      </c>
      <c r="C1050" s="1434"/>
      <c r="D1050" s="1531"/>
      <c r="E1050" s="1531"/>
      <c r="F1050" s="1531"/>
      <c r="G1050" s="1531"/>
      <c r="H1050" s="1531"/>
      <c r="I1050" s="1531"/>
      <c r="J1050" s="1531"/>
      <c r="K1050" s="1531"/>
      <c r="L1050" s="1531"/>
      <c r="M1050" s="1531"/>
      <c r="N1050" s="1136"/>
      <c r="O1050" s="1136"/>
      <c r="P1050" s="1136"/>
      <c r="Q1050" s="1136"/>
      <c r="R1050" s="1136"/>
      <c r="S1050" s="1136"/>
      <c r="T1050" s="1136"/>
      <c r="U1050" s="1136"/>
      <c r="V1050" s="1136"/>
      <c r="W1050" s="1136"/>
      <c r="X1050" s="1136"/>
      <c r="Y1050" s="1136"/>
      <c r="Z1050" s="1136"/>
      <c r="AA1050" s="1136"/>
      <c r="AB1050" s="1136"/>
      <c r="AC1050" s="1136"/>
      <c r="AD1050" s="1136"/>
      <c r="AE1050" s="1136"/>
      <c r="AF1050" s="1136"/>
      <c r="AG1050" s="1136"/>
      <c r="AH1050" s="1136"/>
      <c r="AI1050" s="1136"/>
      <c r="AJ1050" s="1136"/>
      <c r="AK1050" s="1136"/>
      <c r="AL1050" s="1136"/>
      <c r="AM1050" s="1136"/>
      <c r="AN1050" s="1136"/>
      <c r="AO1050" s="1136"/>
      <c r="AP1050" s="1136"/>
      <c r="AQ1050" s="1136"/>
      <c r="AR1050" s="1136"/>
      <c r="AS1050" s="1136"/>
      <c r="AT1050" s="1136"/>
      <c r="AU1050" s="1136"/>
      <c r="AV1050" s="1136"/>
      <c r="AW1050" s="1136"/>
      <c r="AX1050" s="1136"/>
      <c r="AY1050" s="1136"/>
      <c r="AZ1050" s="1136"/>
      <c r="BA1050" s="1136"/>
      <c r="BB1050" s="1136"/>
      <c r="BC1050" s="1136"/>
      <c r="BD1050" s="1136"/>
      <c r="BE1050" s="1136"/>
      <c r="BF1050" s="1136"/>
      <c r="BG1050" s="1136"/>
      <c r="BH1050" s="1136"/>
      <c r="BI1050" s="1136"/>
      <c r="BJ1050" s="1136"/>
      <c r="BK1050" s="1136"/>
      <c r="BL1050" s="1136"/>
      <c r="BM1050" s="1136"/>
      <c r="BN1050" s="1136"/>
      <c r="BO1050" s="1136"/>
      <c r="BP1050" s="1136"/>
      <c r="BQ1050" s="1136"/>
      <c r="BR1050" s="1136"/>
      <c r="BS1050" s="1136"/>
      <c r="BT1050" s="1136"/>
      <c r="BU1050" s="1136"/>
      <c r="BV1050" s="1136"/>
      <c r="BW1050" s="1136"/>
      <c r="BX1050" s="1136"/>
      <c r="BY1050" s="1136"/>
      <c r="BZ1050" s="1136"/>
      <c r="CA1050" s="1136"/>
      <c r="CB1050" s="1136"/>
      <c r="CC1050" s="1136"/>
      <c r="CD1050" s="1136"/>
      <c r="CE1050" s="1136"/>
      <c r="CF1050" s="1136"/>
      <c r="CG1050" s="1136"/>
      <c r="CH1050" s="1136"/>
      <c r="CI1050" s="1136"/>
      <c r="CJ1050" s="1136"/>
      <c r="CK1050" s="1136"/>
      <c r="CL1050" s="1136"/>
      <c r="CM1050" s="1136"/>
      <c r="CN1050" s="1136"/>
      <c r="CO1050" s="1136"/>
      <c r="CP1050" s="1136"/>
      <c r="CQ1050" s="1136"/>
      <c r="CR1050" s="1136"/>
      <c r="CS1050" s="1136"/>
      <c r="CT1050" s="1136"/>
      <c r="CU1050" s="1136"/>
      <c r="CV1050" s="1136"/>
      <c r="CW1050" s="1136"/>
      <c r="CX1050" s="1136"/>
      <c r="CY1050" s="1136"/>
      <c r="CZ1050" s="1136"/>
      <c r="DA1050" s="1136"/>
      <c r="DB1050" s="1136"/>
      <c r="DC1050" s="1136"/>
      <c r="DD1050" s="1136"/>
      <c r="DE1050" s="1136"/>
      <c r="DF1050" s="1136"/>
      <c r="DG1050" s="1136"/>
      <c r="DH1050" s="1136"/>
      <c r="DI1050" s="1136"/>
    </row>
    <row r="1051" spans="1:113" ht="15.75" x14ac:dyDescent="0.25">
      <c r="A1051" s="1420" t="s">
        <v>3393</v>
      </c>
      <c r="B1051" s="1443">
        <f>IF(B1050=0,1,1.2)</f>
        <v>1</v>
      </c>
      <c r="C1051" s="1521"/>
      <c r="D1051" s="1531"/>
      <c r="E1051" s="1531"/>
      <c r="F1051" s="1531"/>
      <c r="G1051" s="1531"/>
      <c r="H1051" s="1531"/>
      <c r="I1051" s="1531"/>
      <c r="J1051" s="1531"/>
      <c r="K1051" s="1531"/>
      <c r="L1051" s="1531"/>
      <c r="M1051" s="1531"/>
      <c r="N1051" s="1136"/>
      <c r="O1051" s="1136"/>
      <c r="P1051" s="1136"/>
      <c r="Q1051" s="1136"/>
      <c r="R1051" s="1136"/>
      <c r="S1051" s="1136"/>
      <c r="T1051" s="1136"/>
      <c r="U1051" s="1136"/>
      <c r="V1051" s="1136"/>
      <c r="W1051" s="1136"/>
      <c r="X1051" s="1136"/>
      <c r="Y1051" s="1136"/>
      <c r="Z1051" s="1136"/>
      <c r="AA1051" s="1136"/>
      <c r="AB1051" s="1136"/>
      <c r="AC1051" s="1136"/>
      <c r="AD1051" s="1136"/>
      <c r="AE1051" s="1136"/>
      <c r="AF1051" s="1136"/>
      <c r="AG1051" s="1136"/>
      <c r="AH1051" s="1136"/>
      <c r="AI1051" s="1136"/>
      <c r="AJ1051" s="1136"/>
      <c r="AK1051" s="1136"/>
      <c r="AL1051" s="1136"/>
      <c r="AM1051" s="1136"/>
      <c r="AN1051" s="1136"/>
      <c r="AO1051" s="1136"/>
      <c r="AP1051" s="1136"/>
      <c r="AQ1051" s="1136"/>
      <c r="AR1051" s="1136"/>
      <c r="AS1051" s="1136"/>
      <c r="AT1051" s="1136"/>
      <c r="AU1051" s="1136"/>
      <c r="AV1051" s="1136"/>
      <c r="AW1051" s="1136"/>
      <c r="AX1051" s="1136"/>
      <c r="AY1051" s="1136"/>
      <c r="AZ1051" s="1136"/>
      <c r="BA1051" s="1136"/>
      <c r="BB1051" s="1136"/>
      <c r="BC1051" s="1136"/>
      <c r="BD1051" s="1136"/>
      <c r="BE1051" s="1136"/>
      <c r="BF1051" s="1136"/>
      <c r="BG1051" s="1136"/>
      <c r="BH1051" s="1136"/>
      <c r="BI1051" s="1136"/>
      <c r="BJ1051" s="1136"/>
      <c r="BK1051" s="1136"/>
      <c r="BL1051" s="1136"/>
      <c r="BM1051" s="1136"/>
      <c r="BN1051" s="1136"/>
      <c r="BO1051" s="1136"/>
      <c r="BP1051" s="1136"/>
      <c r="BQ1051" s="1136"/>
      <c r="BR1051" s="1136"/>
      <c r="BS1051" s="1136"/>
      <c r="BT1051" s="1136"/>
      <c r="BU1051" s="1136"/>
      <c r="BV1051" s="1136"/>
      <c r="BW1051" s="1136"/>
      <c r="BX1051" s="1136"/>
      <c r="BY1051" s="1136"/>
      <c r="BZ1051" s="1136"/>
      <c r="CA1051" s="1136"/>
      <c r="CB1051" s="1136"/>
      <c r="CC1051" s="1136"/>
      <c r="CD1051" s="1136"/>
      <c r="CE1051" s="1136"/>
      <c r="CF1051" s="1136"/>
      <c r="CG1051" s="1136"/>
      <c r="CH1051" s="1136"/>
      <c r="CI1051" s="1136"/>
      <c r="CJ1051" s="1136"/>
      <c r="CK1051" s="1136"/>
      <c r="CL1051" s="1136"/>
      <c r="CM1051" s="1136"/>
      <c r="CN1051" s="1136"/>
      <c r="CO1051" s="1136"/>
      <c r="CP1051" s="1136"/>
      <c r="CQ1051" s="1136"/>
      <c r="CR1051" s="1136"/>
      <c r="CS1051" s="1136"/>
      <c r="CT1051" s="1136"/>
      <c r="CU1051" s="1136"/>
      <c r="CV1051" s="1136"/>
      <c r="CW1051" s="1136"/>
      <c r="CX1051" s="1136"/>
      <c r="CY1051" s="1136"/>
      <c r="CZ1051" s="1136"/>
      <c r="DA1051" s="1136"/>
      <c r="DB1051" s="1136"/>
      <c r="DC1051" s="1136"/>
      <c r="DD1051" s="1136"/>
      <c r="DE1051" s="1136"/>
      <c r="DF1051" s="1136"/>
      <c r="DG1051" s="1136"/>
      <c r="DH1051" s="1136"/>
      <c r="DI1051" s="1136"/>
    </row>
    <row r="1052" spans="1:113" ht="47.25" x14ac:dyDescent="0.25">
      <c r="A1052" s="1435" t="s">
        <v>1892</v>
      </c>
      <c r="B1052" s="1451">
        <f>B852</f>
        <v>1</v>
      </c>
      <c r="C1052" s="1434"/>
      <c r="D1052" s="1562"/>
      <c r="E1052" s="1562"/>
      <c r="F1052" s="1562"/>
      <c r="G1052" s="1562"/>
      <c r="H1052" s="1531"/>
      <c r="I1052" s="1531"/>
      <c r="J1052" s="1531"/>
      <c r="K1052" s="1531"/>
      <c r="L1052" s="1531"/>
      <c r="M1052" s="1531"/>
      <c r="N1052" s="1136"/>
      <c r="O1052" s="1136"/>
      <c r="P1052" s="1136"/>
      <c r="Q1052" s="1136"/>
      <c r="R1052" s="1136"/>
      <c r="S1052" s="1136"/>
      <c r="T1052" s="1136"/>
      <c r="U1052" s="1136"/>
      <c r="V1052" s="1136"/>
      <c r="W1052" s="1136"/>
      <c r="X1052" s="1136"/>
      <c r="Y1052" s="1136"/>
      <c r="Z1052" s="1136"/>
      <c r="AA1052" s="1136"/>
      <c r="AB1052" s="1136"/>
      <c r="AC1052" s="1136"/>
      <c r="AD1052" s="1136"/>
      <c r="AE1052" s="1136"/>
      <c r="AF1052" s="1136"/>
      <c r="AG1052" s="1136"/>
      <c r="AH1052" s="1136"/>
      <c r="AI1052" s="1136"/>
      <c r="AJ1052" s="1136"/>
      <c r="AK1052" s="1136"/>
      <c r="AL1052" s="1136"/>
      <c r="AM1052" s="1136"/>
      <c r="AN1052" s="1136"/>
      <c r="AO1052" s="1136"/>
      <c r="AP1052" s="1136"/>
      <c r="AQ1052" s="1136"/>
      <c r="AR1052" s="1136"/>
      <c r="AS1052" s="1136"/>
      <c r="AT1052" s="1136"/>
      <c r="AU1052" s="1136"/>
      <c r="AV1052" s="1136"/>
      <c r="AW1052" s="1136"/>
      <c r="AX1052" s="1136"/>
      <c r="AY1052" s="1136"/>
      <c r="AZ1052" s="1136"/>
      <c r="BA1052" s="1136"/>
      <c r="BB1052" s="1136"/>
      <c r="BC1052" s="1136"/>
      <c r="BD1052" s="1136"/>
      <c r="BE1052" s="1136"/>
      <c r="BF1052" s="1136"/>
      <c r="BG1052" s="1136"/>
      <c r="BH1052" s="1136"/>
      <c r="BI1052" s="1136"/>
      <c r="BJ1052" s="1136"/>
      <c r="BK1052" s="1136"/>
      <c r="BL1052" s="1136"/>
      <c r="BM1052" s="1136"/>
      <c r="BN1052" s="1136"/>
      <c r="BO1052" s="1136"/>
      <c r="BP1052" s="1136"/>
      <c r="BQ1052" s="1136"/>
      <c r="BR1052" s="1136"/>
      <c r="BS1052" s="1136"/>
      <c r="BT1052" s="1136"/>
      <c r="BU1052" s="1136"/>
      <c r="BV1052" s="1136"/>
      <c r="BW1052" s="1136"/>
      <c r="BX1052" s="1136"/>
      <c r="BY1052" s="1136"/>
      <c r="BZ1052" s="1136"/>
      <c r="CA1052" s="1136"/>
      <c r="CB1052" s="1136"/>
      <c r="CC1052" s="1136"/>
      <c r="CD1052" s="1136"/>
      <c r="CE1052" s="1136"/>
      <c r="CF1052" s="1136"/>
      <c r="CG1052" s="1136"/>
      <c r="CH1052" s="1136"/>
      <c r="CI1052" s="1136"/>
      <c r="CJ1052" s="1136"/>
      <c r="CK1052" s="1136"/>
      <c r="CL1052" s="1136"/>
      <c r="CM1052" s="1136"/>
      <c r="CN1052" s="1136"/>
      <c r="CO1052" s="1136"/>
      <c r="CP1052" s="1136"/>
      <c r="CQ1052" s="1136"/>
      <c r="CR1052" s="1136"/>
      <c r="CS1052" s="1136"/>
      <c r="CT1052" s="1136"/>
      <c r="CU1052" s="1136"/>
      <c r="CV1052" s="1136"/>
      <c r="CW1052" s="1136"/>
      <c r="CX1052" s="1136"/>
      <c r="CY1052" s="1136"/>
      <c r="CZ1052" s="1136"/>
      <c r="DA1052" s="1136"/>
      <c r="DB1052" s="1136"/>
      <c r="DC1052" s="1136"/>
      <c r="DD1052" s="1136"/>
      <c r="DE1052" s="1136"/>
      <c r="DF1052" s="1136"/>
      <c r="DG1052" s="1136"/>
      <c r="DH1052" s="1136"/>
      <c r="DI1052" s="1136"/>
    </row>
    <row r="1053" spans="1:113" ht="15.75" x14ac:dyDescent="0.25">
      <c r="A1053" s="1420" t="s">
        <v>1893</v>
      </c>
      <c r="B1053" s="1443">
        <f>IF(B1052=0,1.05,1)</f>
        <v>1</v>
      </c>
      <c r="C1053" s="1521"/>
      <c r="D1053" s="1596"/>
      <c r="E1053" s="1596"/>
      <c r="F1053" s="1596"/>
      <c r="G1053" s="1596"/>
      <c r="H1053" s="1531"/>
      <c r="I1053" s="1531"/>
      <c r="J1053" s="1531"/>
      <c r="K1053" s="1531"/>
      <c r="L1053" s="1531"/>
      <c r="M1053" s="1531"/>
      <c r="N1053" s="1136"/>
      <c r="O1053" s="1136"/>
      <c r="P1053" s="1136"/>
      <c r="Q1053" s="1136"/>
      <c r="R1053" s="1136"/>
      <c r="S1053" s="1136"/>
      <c r="T1053" s="1136"/>
      <c r="U1053" s="1136"/>
      <c r="V1053" s="1136"/>
      <c r="W1053" s="1136"/>
      <c r="X1053" s="1136"/>
      <c r="Y1053" s="1136"/>
      <c r="Z1053" s="1136"/>
      <c r="AA1053" s="1136"/>
      <c r="AB1053" s="1136"/>
      <c r="AC1053" s="1136"/>
      <c r="AD1053" s="1136"/>
      <c r="AE1053" s="1136"/>
      <c r="AF1053" s="1136"/>
      <c r="AG1053" s="1136"/>
      <c r="AH1053" s="1136"/>
      <c r="AI1053" s="1136"/>
      <c r="AJ1053" s="1136"/>
      <c r="AK1053" s="1136"/>
      <c r="AL1053" s="1136"/>
      <c r="AM1053" s="1136"/>
      <c r="AN1053" s="1136"/>
      <c r="AO1053" s="1136"/>
      <c r="AP1053" s="1136"/>
      <c r="AQ1053" s="1136"/>
      <c r="AR1053" s="1136"/>
      <c r="AS1053" s="1136"/>
      <c r="AT1053" s="1136"/>
      <c r="AU1053" s="1136"/>
      <c r="AV1053" s="1136"/>
      <c r="AW1053" s="1136"/>
      <c r="AX1053" s="1136"/>
      <c r="AY1053" s="1136"/>
      <c r="AZ1053" s="1136"/>
      <c r="BA1053" s="1136"/>
      <c r="BB1053" s="1136"/>
      <c r="BC1053" s="1136"/>
      <c r="BD1053" s="1136"/>
      <c r="BE1053" s="1136"/>
      <c r="BF1053" s="1136"/>
      <c r="BG1053" s="1136"/>
      <c r="BH1053" s="1136"/>
      <c r="BI1053" s="1136"/>
      <c r="BJ1053" s="1136"/>
      <c r="BK1053" s="1136"/>
      <c r="BL1053" s="1136"/>
      <c r="BM1053" s="1136"/>
      <c r="BN1053" s="1136"/>
      <c r="BO1053" s="1136"/>
      <c r="BP1053" s="1136"/>
      <c r="BQ1053" s="1136"/>
      <c r="BR1053" s="1136"/>
      <c r="BS1053" s="1136"/>
      <c r="BT1053" s="1136"/>
      <c r="BU1053" s="1136"/>
      <c r="BV1053" s="1136"/>
      <c r="BW1053" s="1136"/>
      <c r="BX1053" s="1136"/>
      <c r="BY1053" s="1136"/>
      <c r="BZ1053" s="1136"/>
      <c r="CA1053" s="1136"/>
      <c r="CB1053" s="1136"/>
      <c r="CC1053" s="1136"/>
      <c r="CD1053" s="1136"/>
      <c r="CE1053" s="1136"/>
      <c r="CF1053" s="1136"/>
      <c r="CG1053" s="1136"/>
      <c r="CH1053" s="1136"/>
      <c r="CI1053" s="1136"/>
      <c r="CJ1053" s="1136"/>
      <c r="CK1053" s="1136"/>
      <c r="CL1053" s="1136"/>
      <c r="CM1053" s="1136"/>
      <c r="CN1053" s="1136"/>
      <c r="CO1053" s="1136"/>
      <c r="CP1053" s="1136"/>
      <c r="CQ1053" s="1136"/>
      <c r="CR1053" s="1136"/>
      <c r="CS1053" s="1136"/>
      <c r="CT1053" s="1136"/>
      <c r="CU1053" s="1136"/>
      <c r="CV1053" s="1136"/>
      <c r="CW1053" s="1136"/>
      <c r="CX1053" s="1136"/>
      <c r="CY1053" s="1136"/>
      <c r="CZ1053" s="1136"/>
      <c r="DA1053" s="1136"/>
      <c r="DB1053" s="1136"/>
      <c r="DC1053" s="1136"/>
      <c r="DD1053" s="1136"/>
      <c r="DE1053" s="1136"/>
      <c r="DF1053" s="1136"/>
      <c r="DG1053" s="1136"/>
      <c r="DH1053" s="1136"/>
      <c r="DI1053" s="1136"/>
    </row>
    <row r="1054" spans="1:113" ht="15.75" x14ac:dyDescent="0.25">
      <c r="A1054" s="1420" t="s">
        <v>1894</v>
      </c>
      <c r="B1054" s="1443" t="e">
        <f>B1046*B1048*B1049*B1051*B1053*B341</f>
        <v>#VALUE!</v>
      </c>
      <c r="C1054" s="1521"/>
      <c r="D1054" s="1531"/>
      <c r="E1054" s="1531"/>
      <c r="F1054" s="1531"/>
      <c r="G1054" s="1531"/>
      <c r="H1054" s="1531"/>
      <c r="I1054" s="1531"/>
      <c r="J1054" s="1531"/>
      <c r="K1054" s="1531"/>
      <c r="L1054" s="1531"/>
      <c r="M1054" s="1531"/>
      <c r="N1054" s="1136"/>
      <c r="O1054" s="1136"/>
      <c r="P1054" s="1136"/>
      <c r="Q1054" s="1136"/>
      <c r="R1054" s="1136"/>
      <c r="S1054" s="1136"/>
      <c r="T1054" s="1136"/>
      <c r="U1054" s="1136"/>
      <c r="V1054" s="1136"/>
      <c r="W1054" s="1136"/>
      <c r="X1054" s="1136"/>
      <c r="Y1054" s="1136"/>
      <c r="Z1054" s="1136"/>
      <c r="AA1054" s="1136"/>
      <c r="AB1054" s="1136"/>
      <c r="AC1054" s="1136"/>
      <c r="AD1054" s="1136"/>
      <c r="AE1054" s="1136"/>
      <c r="AF1054" s="1136"/>
      <c r="AG1054" s="1136"/>
      <c r="AH1054" s="1136"/>
      <c r="AI1054" s="1136"/>
      <c r="AJ1054" s="1136"/>
      <c r="AK1054" s="1136"/>
      <c r="AL1054" s="1136"/>
      <c r="AM1054" s="1136"/>
      <c r="AN1054" s="1136"/>
      <c r="AO1054" s="1136"/>
      <c r="AP1054" s="1136"/>
      <c r="AQ1054" s="1136"/>
      <c r="AR1054" s="1136"/>
      <c r="AS1054" s="1136"/>
      <c r="AT1054" s="1136"/>
      <c r="AU1054" s="1136"/>
      <c r="AV1054" s="1136"/>
      <c r="AW1054" s="1136"/>
      <c r="AX1054" s="1136"/>
      <c r="AY1054" s="1136"/>
      <c r="AZ1054" s="1136"/>
      <c r="BA1054" s="1136"/>
      <c r="BB1054" s="1136"/>
      <c r="BC1054" s="1136"/>
      <c r="BD1054" s="1136"/>
      <c r="BE1054" s="1136"/>
      <c r="BF1054" s="1136"/>
      <c r="BG1054" s="1136"/>
      <c r="BH1054" s="1136"/>
      <c r="BI1054" s="1136"/>
      <c r="BJ1054" s="1136"/>
      <c r="BK1054" s="1136"/>
      <c r="BL1054" s="1136"/>
      <c r="BM1054" s="1136"/>
      <c r="BN1054" s="1136"/>
      <c r="BO1054" s="1136"/>
      <c r="BP1054" s="1136"/>
      <c r="BQ1054" s="1136"/>
      <c r="BR1054" s="1136"/>
      <c r="BS1054" s="1136"/>
      <c r="BT1054" s="1136"/>
      <c r="BU1054" s="1136"/>
      <c r="BV1054" s="1136"/>
      <c r="BW1054" s="1136"/>
      <c r="BX1054" s="1136"/>
      <c r="BY1054" s="1136"/>
      <c r="BZ1054" s="1136"/>
      <c r="CA1054" s="1136"/>
      <c r="CB1054" s="1136"/>
      <c r="CC1054" s="1136"/>
      <c r="CD1054" s="1136"/>
      <c r="CE1054" s="1136"/>
      <c r="CF1054" s="1136"/>
      <c r="CG1054" s="1136"/>
      <c r="CH1054" s="1136"/>
      <c r="CI1054" s="1136"/>
      <c r="CJ1054" s="1136"/>
      <c r="CK1054" s="1136"/>
      <c r="CL1054" s="1136"/>
      <c r="CM1054" s="1136"/>
      <c r="CN1054" s="1136"/>
      <c r="CO1054" s="1136"/>
      <c r="CP1054" s="1136"/>
      <c r="CQ1054" s="1136"/>
      <c r="CR1054" s="1136"/>
      <c r="CS1054" s="1136"/>
      <c r="CT1054" s="1136"/>
      <c r="CU1054" s="1136"/>
      <c r="CV1054" s="1136"/>
      <c r="CW1054" s="1136"/>
      <c r="CX1054" s="1136"/>
      <c r="CY1054" s="1136"/>
      <c r="CZ1054" s="1136"/>
      <c r="DA1054" s="1136"/>
      <c r="DB1054" s="1136"/>
      <c r="DC1054" s="1136"/>
      <c r="DD1054" s="1136"/>
      <c r="DE1054" s="1136"/>
      <c r="DF1054" s="1136"/>
      <c r="DG1054" s="1136"/>
      <c r="DH1054" s="1136"/>
      <c r="DI1054" s="1136"/>
    </row>
    <row r="1055" spans="1:113" ht="15.75" x14ac:dyDescent="0.25">
      <c r="A1055" s="1420" t="s">
        <v>429</v>
      </c>
      <c r="B1055" s="1439" t="e">
        <f>B1045/B1054</f>
        <v>#DIV/0!</v>
      </c>
      <c r="C1055" s="1562"/>
      <c r="D1055" s="1521"/>
      <c r="E1055" s="1521"/>
      <c r="F1055" s="1521"/>
      <c r="G1055" s="1521"/>
      <c r="H1055" s="1531"/>
      <c r="I1055" s="1531"/>
      <c r="J1055" s="1531"/>
      <c r="K1055" s="1531"/>
      <c r="L1055" s="1531"/>
      <c r="M1055" s="1531"/>
      <c r="N1055" s="1136"/>
      <c r="O1055" s="1136"/>
      <c r="P1055" s="1136"/>
      <c r="Q1055" s="1136"/>
      <c r="R1055" s="1136"/>
      <c r="S1055" s="1136"/>
      <c r="T1055" s="1136"/>
      <c r="U1055" s="1136"/>
      <c r="V1055" s="1136"/>
      <c r="W1055" s="1136"/>
      <c r="X1055" s="1136"/>
      <c r="Y1055" s="1136"/>
      <c r="Z1055" s="1136"/>
      <c r="AA1055" s="1136"/>
      <c r="AB1055" s="1136"/>
      <c r="AC1055" s="1136"/>
      <c r="AD1055" s="1136"/>
      <c r="AE1055" s="1136"/>
      <c r="AF1055" s="1136"/>
      <c r="AG1055" s="1136"/>
      <c r="AH1055" s="1136"/>
      <c r="AI1055" s="1136"/>
      <c r="AJ1055" s="1136"/>
      <c r="AK1055" s="1136"/>
      <c r="AL1055" s="1136"/>
      <c r="AM1055" s="1136"/>
      <c r="AN1055" s="1136"/>
      <c r="AO1055" s="1136"/>
      <c r="AP1055" s="1136"/>
      <c r="AQ1055" s="1136"/>
      <c r="AR1055" s="1136"/>
      <c r="AS1055" s="1136"/>
      <c r="AT1055" s="1136"/>
      <c r="AU1055" s="1136"/>
      <c r="AV1055" s="1136"/>
      <c r="AW1055" s="1136"/>
      <c r="AX1055" s="1136"/>
      <c r="AY1055" s="1136"/>
      <c r="AZ1055" s="1136"/>
      <c r="BA1055" s="1136"/>
      <c r="BB1055" s="1136"/>
      <c r="BC1055" s="1136"/>
      <c r="BD1055" s="1136"/>
      <c r="BE1055" s="1136"/>
      <c r="BF1055" s="1136"/>
      <c r="BG1055" s="1136"/>
      <c r="BH1055" s="1136"/>
      <c r="BI1055" s="1136"/>
      <c r="BJ1055" s="1136"/>
      <c r="BK1055" s="1136"/>
      <c r="BL1055" s="1136"/>
      <c r="BM1055" s="1136"/>
      <c r="BN1055" s="1136"/>
      <c r="BO1055" s="1136"/>
      <c r="BP1055" s="1136"/>
      <c r="BQ1055" s="1136"/>
      <c r="BR1055" s="1136"/>
      <c r="BS1055" s="1136"/>
      <c r="BT1055" s="1136"/>
      <c r="BU1055" s="1136"/>
      <c r="BV1055" s="1136"/>
      <c r="BW1055" s="1136"/>
      <c r="BX1055" s="1136"/>
      <c r="BY1055" s="1136"/>
      <c r="BZ1055" s="1136"/>
      <c r="CA1055" s="1136"/>
      <c r="CB1055" s="1136"/>
      <c r="CC1055" s="1136"/>
      <c r="CD1055" s="1136"/>
      <c r="CE1055" s="1136"/>
      <c r="CF1055" s="1136"/>
      <c r="CG1055" s="1136"/>
      <c r="CH1055" s="1136"/>
      <c r="CI1055" s="1136"/>
      <c r="CJ1055" s="1136"/>
      <c r="CK1055" s="1136"/>
      <c r="CL1055" s="1136"/>
      <c r="CM1055" s="1136"/>
      <c r="CN1055" s="1136"/>
      <c r="CO1055" s="1136"/>
      <c r="CP1055" s="1136"/>
      <c r="CQ1055" s="1136"/>
      <c r="CR1055" s="1136"/>
      <c r="CS1055" s="1136"/>
      <c r="CT1055" s="1136"/>
      <c r="CU1055" s="1136"/>
      <c r="CV1055" s="1136"/>
      <c r="CW1055" s="1136"/>
      <c r="CX1055" s="1136"/>
      <c r="CY1055" s="1136"/>
      <c r="CZ1055" s="1136"/>
      <c r="DA1055" s="1136"/>
      <c r="DB1055" s="1136"/>
      <c r="DC1055" s="1136"/>
      <c r="DD1055" s="1136"/>
      <c r="DE1055" s="1136"/>
      <c r="DF1055" s="1136"/>
      <c r="DG1055" s="1136"/>
      <c r="DH1055" s="1136"/>
      <c r="DI1055" s="1136"/>
    </row>
    <row r="1056" spans="1:113" ht="15.75" x14ac:dyDescent="0.25">
      <c r="A1056" s="1430"/>
      <c r="B1056" s="1443"/>
      <c r="C1056" s="1521"/>
      <c r="D1056" s="1521"/>
      <c r="E1056" s="1521"/>
      <c r="F1056" s="1521"/>
      <c r="G1056" s="1521"/>
      <c r="H1056" s="1531"/>
      <c r="I1056" s="1531"/>
      <c r="J1056" s="1531"/>
      <c r="K1056" s="1531"/>
      <c r="L1056" s="1531"/>
      <c r="M1056" s="1531"/>
      <c r="N1056" s="1136"/>
      <c r="O1056" s="1136"/>
      <c r="P1056" s="1136"/>
      <c r="Q1056" s="1136"/>
      <c r="R1056" s="1136"/>
      <c r="S1056" s="1136"/>
      <c r="T1056" s="1136"/>
      <c r="U1056" s="1136"/>
      <c r="V1056" s="1136"/>
      <c r="W1056" s="1136"/>
      <c r="X1056" s="1136"/>
      <c r="Y1056" s="1136"/>
      <c r="Z1056" s="1136"/>
      <c r="AA1056" s="1136"/>
      <c r="AB1056" s="1136"/>
      <c r="AC1056" s="1136"/>
      <c r="AD1056" s="1136"/>
      <c r="AE1056" s="1136"/>
      <c r="AF1056" s="1136"/>
      <c r="AG1056" s="1136"/>
      <c r="AH1056" s="1136"/>
      <c r="AI1056" s="1136"/>
      <c r="AJ1056" s="1136"/>
      <c r="AK1056" s="1136"/>
      <c r="AL1056" s="1136"/>
      <c r="AM1056" s="1136"/>
      <c r="AN1056" s="1136"/>
      <c r="AO1056" s="1136"/>
      <c r="AP1056" s="1136"/>
      <c r="AQ1056" s="1136"/>
      <c r="AR1056" s="1136"/>
      <c r="AS1056" s="1136"/>
      <c r="AT1056" s="1136"/>
      <c r="AU1056" s="1136"/>
      <c r="AV1056" s="1136"/>
      <c r="AW1056" s="1136"/>
      <c r="AX1056" s="1136"/>
      <c r="AY1056" s="1136"/>
      <c r="AZ1056" s="1136"/>
      <c r="BA1056" s="1136"/>
      <c r="BB1056" s="1136"/>
      <c r="BC1056" s="1136"/>
      <c r="BD1056" s="1136"/>
      <c r="BE1056" s="1136"/>
      <c r="BF1056" s="1136"/>
      <c r="BG1056" s="1136"/>
      <c r="BH1056" s="1136"/>
      <c r="BI1056" s="1136"/>
      <c r="BJ1056" s="1136"/>
      <c r="BK1056" s="1136"/>
      <c r="BL1056" s="1136"/>
      <c r="BM1056" s="1136"/>
      <c r="BN1056" s="1136"/>
      <c r="BO1056" s="1136"/>
      <c r="BP1056" s="1136"/>
      <c r="BQ1056" s="1136"/>
      <c r="BR1056" s="1136"/>
      <c r="BS1056" s="1136"/>
      <c r="BT1056" s="1136"/>
      <c r="BU1056" s="1136"/>
      <c r="BV1056" s="1136"/>
      <c r="BW1056" s="1136"/>
      <c r="BX1056" s="1136"/>
      <c r="BY1056" s="1136"/>
      <c r="BZ1056" s="1136"/>
      <c r="CA1056" s="1136"/>
      <c r="CB1056" s="1136"/>
      <c r="CC1056" s="1136"/>
      <c r="CD1056" s="1136"/>
      <c r="CE1056" s="1136"/>
      <c r="CF1056" s="1136"/>
      <c r="CG1056" s="1136"/>
      <c r="CH1056" s="1136"/>
      <c r="CI1056" s="1136"/>
      <c r="CJ1056" s="1136"/>
      <c r="CK1056" s="1136"/>
      <c r="CL1056" s="1136"/>
      <c r="CM1056" s="1136"/>
      <c r="CN1056" s="1136"/>
      <c r="CO1056" s="1136"/>
      <c r="CP1056" s="1136"/>
      <c r="CQ1056" s="1136"/>
      <c r="CR1056" s="1136"/>
      <c r="CS1056" s="1136"/>
      <c r="CT1056" s="1136"/>
      <c r="CU1056" s="1136"/>
      <c r="CV1056" s="1136"/>
      <c r="CW1056" s="1136"/>
      <c r="CX1056" s="1136"/>
      <c r="CY1056" s="1136"/>
      <c r="CZ1056" s="1136"/>
      <c r="DA1056" s="1136"/>
      <c r="DB1056" s="1136"/>
      <c r="DC1056" s="1136"/>
      <c r="DD1056" s="1136"/>
      <c r="DE1056" s="1136"/>
      <c r="DF1056" s="1136"/>
      <c r="DG1056" s="1136"/>
      <c r="DH1056" s="1136"/>
      <c r="DI1056" s="1136"/>
    </row>
    <row r="1057" spans="1:113" ht="47.25" x14ac:dyDescent="0.25">
      <c r="A1057" s="1438" t="s">
        <v>1895</v>
      </c>
      <c r="B1057" s="1443"/>
      <c r="C1057" s="1521"/>
      <c r="D1057" s="1434"/>
      <c r="E1057" s="1434"/>
      <c r="F1057" s="1434"/>
      <c r="G1057" s="1434"/>
      <c r="H1057" s="1531"/>
      <c r="I1057" s="1531"/>
      <c r="J1057" s="1531"/>
      <c r="K1057" s="1531"/>
      <c r="L1057" s="1531"/>
      <c r="M1057" s="1531"/>
      <c r="N1057" s="1136"/>
      <c r="O1057" s="1136"/>
      <c r="P1057" s="1136"/>
      <c r="Q1057" s="1136"/>
      <c r="R1057" s="1136"/>
      <c r="S1057" s="1136"/>
      <c r="T1057" s="1136"/>
      <c r="U1057" s="1136"/>
      <c r="V1057" s="1136"/>
      <c r="W1057" s="1136"/>
      <c r="X1057" s="1136"/>
      <c r="Y1057" s="1136"/>
      <c r="Z1057" s="1136"/>
      <c r="AA1057" s="1136"/>
      <c r="AB1057" s="1136"/>
      <c r="AC1057" s="1136"/>
      <c r="AD1057" s="1136"/>
      <c r="AE1057" s="1136"/>
      <c r="AF1057" s="1136"/>
      <c r="AG1057" s="1136"/>
      <c r="AH1057" s="1136"/>
      <c r="AI1057" s="1136"/>
      <c r="AJ1057" s="1136"/>
      <c r="AK1057" s="1136"/>
      <c r="AL1057" s="1136"/>
      <c r="AM1057" s="1136"/>
      <c r="AN1057" s="1136"/>
      <c r="AO1057" s="1136"/>
      <c r="AP1057" s="1136"/>
      <c r="AQ1057" s="1136"/>
      <c r="AR1057" s="1136"/>
      <c r="AS1057" s="1136"/>
      <c r="AT1057" s="1136"/>
      <c r="AU1057" s="1136"/>
      <c r="AV1057" s="1136"/>
      <c r="AW1057" s="1136"/>
      <c r="AX1057" s="1136"/>
      <c r="AY1057" s="1136"/>
      <c r="AZ1057" s="1136"/>
      <c r="BA1057" s="1136"/>
      <c r="BB1057" s="1136"/>
      <c r="BC1057" s="1136"/>
      <c r="BD1057" s="1136"/>
      <c r="BE1057" s="1136"/>
      <c r="BF1057" s="1136"/>
      <c r="BG1057" s="1136"/>
      <c r="BH1057" s="1136"/>
      <c r="BI1057" s="1136"/>
      <c r="BJ1057" s="1136"/>
      <c r="BK1057" s="1136"/>
      <c r="BL1057" s="1136"/>
      <c r="BM1057" s="1136"/>
      <c r="BN1057" s="1136"/>
      <c r="BO1057" s="1136"/>
      <c r="BP1057" s="1136"/>
      <c r="BQ1057" s="1136"/>
      <c r="BR1057" s="1136"/>
      <c r="BS1057" s="1136"/>
      <c r="BT1057" s="1136"/>
      <c r="BU1057" s="1136"/>
      <c r="BV1057" s="1136"/>
      <c r="BW1057" s="1136"/>
      <c r="BX1057" s="1136"/>
      <c r="BY1057" s="1136"/>
      <c r="BZ1057" s="1136"/>
      <c r="CA1057" s="1136"/>
      <c r="CB1057" s="1136"/>
      <c r="CC1057" s="1136"/>
      <c r="CD1057" s="1136"/>
      <c r="CE1057" s="1136"/>
      <c r="CF1057" s="1136"/>
      <c r="CG1057" s="1136"/>
      <c r="CH1057" s="1136"/>
      <c r="CI1057" s="1136"/>
      <c r="CJ1057" s="1136"/>
      <c r="CK1057" s="1136"/>
      <c r="CL1057" s="1136"/>
      <c r="CM1057" s="1136"/>
      <c r="CN1057" s="1136"/>
      <c r="CO1057" s="1136"/>
      <c r="CP1057" s="1136"/>
      <c r="CQ1057" s="1136"/>
      <c r="CR1057" s="1136"/>
      <c r="CS1057" s="1136"/>
      <c r="CT1057" s="1136"/>
      <c r="CU1057" s="1136"/>
      <c r="CV1057" s="1136"/>
      <c r="CW1057" s="1136"/>
      <c r="CX1057" s="1136"/>
      <c r="CY1057" s="1136"/>
      <c r="CZ1057" s="1136"/>
      <c r="DA1057" s="1136"/>
      <c r="DB1057" s="1136"/>
      <c r="DC1057" s="1136"/>
      <c r="DD1057" s="1136"/>
      <c r="DE1057" s="1136"/>
      <c r="DF1057" s="1136"/>
      <c r="DG1057" s="1136"/>
      <c r="DH1057" s="1136"/>
      <c r="DI1057" s="1136"/>
    </row>
    <row r="1058" spans="1:113" ht="15.75" x14ac:dyDescent="0.25">
      <c r="A1058" s="1420" t="s">
        <v>424</v>
      </c>
      <c r="B1058" s="1443" t="e">
        <f>B1045</f>
        <v>#DIV/0!</v>
      </c>
      <c r="C1058" s="1521"/>
      <c r="D1058" s="1521"/>
      <c r="E1058" s="1521"/>
      <c r="F1058" s="1521"/>
      <c r="G1058" s="1521"/>
      <c r="H1058" s="1531"/>
      <c r="I1058" s="1531"/>
      <c r="J1058" s="1531"/>
      <c r="K1058" s="1531"/>
      <c r="L1058" s="1531"/>
      <c r="M1058" s="1531"/>
      <c r="N1058" s="1136"/>
      <c r="O1058" s="1136"/>
      <c r="P1058" s="1136"/>
      <c r="Q1058" s="1136"/>
      <c r="R1058" s="1136"/>
      <c r="S1058" s="1136"/>
      <c r="T1058" s="1136"/>
      <c r="U1058" s="1136"/>
      <c r="V1058" s="1136"/>
      <c r="W1058" s="1136"/>
      <c r="X1058" s="1136"/>
      <c r="Y1058" s="1136"/>
      <c r="Z1058" s="1136"/>
      <c r="AA1058" s="1136"/>
      <c r="AB1058" s="1136"/>
      <c r="AC1058" s="1136"/>
      <c r="AD1058" s="1136"/>
      <c r="AE1058" s="1136"/>
      <c r="AF1058" s="1136"/>
      <c r="AG1058" s="1136"/>
      <c r="AH1058" s="1136"/>
      <c r="AI1058" s="1136"/>
      <c r="AJ1058" s="1136"/>
      <c r="AK1058" s="1136"/>
      <c r="AL1058" s="1136"/>
      <c r="AM1058" s="1136"/>
      <c r="AN1058" s="1136"/>
      <c r="AO1058" s="1136"/>
      <c r="AP1058" s="1136"/>
      <c r="AQ1058" s="1136"/>
      <c r="AR1058" s="1136"/>
      <c r="AS1058" s="1136"/>
      <c r="AT1058" s="1136"/>
      <c r="AU1058" s="1136"/>
      <c r="AV1058" s="1136"/>
      <c r="AW1058" s="1136"/>
      <c r="AX1058" s="1136"/>
      <c r="AY1058" s="1136"/>
      <c r="AZ1058" s="1136"/>
      <c r="BA1058" s="1136"/>
      <c r="BB1058" s="1136"/>
      <c r="BC1058" s="1136"/>
      <c r="BD1058" s="1136"/>
      <c r="BE1058" s="1136"/>
      <c r="BF1058" s="1136"/>
      <c r="BG1058" s="1136"/>
      <c r="BH1058" s="1136"/>
      <c r="BI1058" s="1136"/>
      <c r="BJ1058" s="1136"/>
      <c r="BK1058" s="1136"/>
      <c r="BL1058" s="1136"/>
      <c r="BM1058" s="1136"/>
      <c r="BN1058" s="1136"/>
      <c r="BO1058" s="1136"/>
      <c r="BP1058" s="1136"/>
      <c r="BQ1058" s="1136"/>
      <c r="BR1058" s="1136"/>
      <c r="BS1058" s="1136"/>
      <c r="BT1058" s="1136"/>
      <c r="BU1058" s="1136"/>
      <c r="BV1058" s="1136"/>
      <c r="BW1058" s="1136"/>
      <c r="BX1058" s="1136"/>
      <c r="BY1058" s="1136"/>
      <c r="BZ1058" s="1136"/>
      <c r="CA1058" s="1136"/>
      <c r="CB1058" s="1136"/>
      <c r="CC1058" s="1136"/>
      <c r="CD1058" s="1136"/>
      <c r="CE1058" s="1136"/>
      <c r="CF1058" s="1136"/>
      <c r="CG1058" s="1136"/>
      <c r="CH1058" s="1136"/>
      <c r="CI1058" s="1136"/>
      <c r="CJ1058" s="1136"/>
      <c r="CK1058" s="1136"/>
      <c r="CL1058" s="1136"/>
      <c r="CM1058" s="1136"/>
      <c r="CN1058" s="1136"/>
      <c r="CO1058" s="1136"/>
      <c r="CP1058" s="1136"/>
      <c r="CQ1058" s="1136"/>
      <c r="CR1058" s="1136"/>
      <c r="CS1058" s="1136"/>
      <c r="CT1058" s="1136"/>
      <c r="CU1058" s="1136"/>
      <c r="CV1058" s="1136"/>
      <c r="CW1058" s="1136"/>
      <c r="CX1058" s="1136"/>
      <c r="CY1058" s="1136"/>
      <c r="CZ1058" s="1136"/>
      <c r="DA1058" s="1136"/>
      <c r="DB1058" s="1136"/>
      <c r="DC1058" s="1136"/>
      <c r="DD1058" s="1136"/>
      <c r="DE1058" s="1136"/>
      <c r="DF1058" s="1136"/>
      <c r="DG1058" s="1136"/>
      <c r="DH1058" s="1136"/>
      <c r="DI1058" s="1136"/>
    </row>
    <row r="1059" spans="1:113" ht="15.75" x14ac:dyDescent="0.25">
      <c r="A1059" s="1420" t="s">
        <v>1718</v>
      </c>
      <c r="B1059" s="1443">
        <f>B859</f>
        <v>29.7</v>
      </c>
      <c r="C1059" s="1521"/>
      <c r="D1059" s="1434"/>
      <c r="E1059" s="1434"/>
      <c r="F1059" s="1434"/>
      <c r="G1059" s="1434"/>
      <c r="H1059" s="1531"/>
      <c r="I1059" s="1531"/>
      <c r="J1059" s="1531"/>
      <c r="K1059" s="1531"/>
      <c r="L1059" s="1531"/>
      <c r="M1059" s="1531"/>
      <c r="N1059" s="1136"/>
      <c r="O1059" s="1136"/>
      <c r="P1059" s="1136"/>
      <c r="Q1059" s="1136"/>
      <c r="R1059" s="1136"/>
      <c r="S1059" s="1136"/>
      <c r="T1059" s="1136"/>
      <c r="U1059" s="1136"/>
      <c r="V1059" s="1136"/>
      <c r="W1059" s="1136"/>
      <c r="X1059" s="1136"/>
      <c r="Y1059" s="1136"/>
      <c r="Z1059" s="1136"/>
      <c r="AA1059" s="1136"/>
      <c r="AB1059" s="1136"/>
      <c r="AC1059" s="1136"/>
      <c r="AD1059" s="1136"/>
      <c r="AE1059" s="1136"/>
      <c r="AF1059" s="1136"/>
      <c r="AG1059" s="1136"/>
      <c r="AH1059" s="1136"/>
      <c r="AI1059" s="1136"/>
      <c r="AJ1059" s="1136"/>
      <c r="AK1059" s="1136"/>
      <c r="AL1059" s="1136"/>
      <c r="AM1059" s="1136"/>
      <c r="AN1059" s="1136"/>
      <c r="AO1059" s="1136"/>
      <c r="AP1059" s="1136"/>
      <c r="AQ1059" s="1136"/>
      <c r="AR1059" s="1136"/>
      <c r="AS1059" s="1136"/>
      <c r="AT1059" s="1136"/>
      <c r="AU1059" s="1136"/>
      <c r="AV1059" s="1136"/>
      <c r="AW1059" s="1136"/>
      <c r="AX1059" s="1136"/>
      <c r="AY1059" s="1136"/>
      <c r="AZ1059" s="1136"/>
      <c r="BA1059" s="1136"/>
      <c r="BB1059" s="1136"/>
      <c r="BC1059" s="1136"/>
      <c r="BD1059" s="1136"/>
      <c r="BE1059" s="1136"/>
      <c r="BF1059" s="1136"/>
      <c r="BG1059" s="1136"/>
      <c r="BH1059" s="1136"/>
      <c r="BI1059" s="1136"/>
      <c r="BJ1059" s="1136"/>
      <c r="BK1059" s="1136"/>
      <c r="BL1059" s="1136"/>
      <c r="BM1059" s="1136"/>
      <c r="BN1059" s="1136"/>
      <c r="BO1059" s="1136"/>
      <c r="BP1059" s="1136"/>
      <c r="BQ1059" s="1136"/>
      <c r="BR1059" s="1136"/>
      <c r="BS1059" s="1136"/>
      <c r="BT1059" s="1136"/>
      <c r="BU1059" s="1136"/>
      <c r="BV1059" s="1136"/>
      <c r="BW1059" s="1136"/>
      <c r="BX1059" s="1136"/>
      <c r="BY1059" s="1136"/>
      <c r="BZ1059" s="1136"/>
      <c r="CA1059" s="1136"/>
      <c r="CB1059" s="1136"/>
      <c r="CC1059" s="1136"/>
      <c r="CD1059" s="1136"/>
      <c r="CE1059" s="1136"/>
      <c r="CF1059" s="1136"/>
      <c r="CG1059" s="1136"/>
      <c r="CH1059" s="1136"/>
      <c r="CI1059" s="1136"/>
      <c r="CJ1059" s="1136"/>
      <c r="CK1059" s="1136"/>
      <c r="CL1059" s="1136"/>
      <c r="CM1059" s="1136"/>
      <c r="CN1059" s="1136"/>
      <c r="CO1059" s="1136"/>
      <c r="CP1059" s="1136"/>
      <c r="CQ1059" s="1136"/>
      <c r="CR1059" s="1136"/>
      <c r="CS1059" s="1136"/>
      <c r="CT1059" s="1136"/>
      <c r="CU1059" s="1136"/>
      <c r="CV1059" s="1136"/>
      <c r="CW1059" s="1136"/>
      <c r="CX1059" s="1136"/>
      <c r="CY1059" s="1136"/>
      <c r="CZ1059" s="1136"/>
      <c r="DA1059" s="1136"/>
      <c r="DB1059" s="1136"/>
      <c r="DC1059" s="1136"/>
      <c r="DD1059" s="1136"/>
      <c r="DE1059" s="1136"/>
      <c r="DF1059" s="1136"/>
      <c r="DG1059" s="1136"/>
      <c r="DH1059" s="1136"/>
      <c r="DI1059" s="1136"/>
    </row>
    <row r="1060" spans="1:113" ht="15.75" x14ac:dyDescent="0.25">
      <c r="A1060" s="1420" t="s">
        <v>1723</v>
      </c>
      <c r="B1060" s="1443"/>
      <c r="C1060" s="1521"/>
      <c r="D1060" s="1521"/>
      <c r="E1060" s="1521"/>
      <c r="F1060" s="1521"/>
      <c r="G1060" s="1521"/>
      <c r="H1060" s="1531"/>
      <c r="I1060" s="1531"/>
      <c r="J1060" s="1531"/>
      <c r="K1060" s="1531"/>
      <c r="L1060" s="1531"/>
      <c r="M1060" s="1531"/>
      <c r="N1060" s="1136"/>
      <c r="O1060" s="1136"/>
      <c r="P1060" s="1136"/>
      <c r="Q1060" s="1136"/>
      <c r="R1060" s="1136"/>
      <c r="S1060" s="1136"/>
      <c r="T1060" s="1136"/>
      <c r="U1060" s="1136"/>
      <c r="V1060" s="1136"/>
      <c r="W1060" s="1136"/>
      <c r="X1060" s="1136"/>
      <c r="Y1060" s="1136"/>
      <c r="Z1060" s="1136"/>
      <c r="AA1060" s="1136"/>
      <c r="AB1060" s="1136"/>
      <c r="AC1060" s="1136"/>
      <c r="AD1060" s="1136"/>
      <c r="AE1060" s="1136"/>
      <c r="AF1060" s="1136"/>
      <c r="AG1060" s="1136"/>
      <c r="AH1060" s="1136"/>
      <c r="AI1060" s="1136"/>
      <c r="AJ1060" s="1136"/>
      <c r="AK1060" s="1136"/>
      <c r="AL1060" s="1136"/>
      <c r="AM1060" s="1136"/>
      <c r="AN1060" s="1136"/>
      <c r="AO1060" s="1136"/>
      <c r="AP1060" s="1136"/>
      <c r="AQ1060" s="1136"/>
      <c r="AR1060" s="1136"/>
      <c r="AS1060" s="1136"/>
      <c r="AT1060" s="1136"/>
      <c r="AU1060" s="1136"/>
      <c r="AV1060" s="1136"/>
      <c r="AW1060" s="1136"/>
      <c r="AX1060" s="1136"/>
      <c r="AY1060" s="1136"/>
      <c r="AZ1060" s="1136"/>
      <c r="BA1060" s="1136"/>
      <c r="BB1060" s="1136"/>
      <c r="BC1060" s="1136"/>
      <c r="BD1060" s="1136"/>
      <c r="BE1060" s="1136"/>
      <c r="BF1060" s="1136"/>
      <c r="BG1060" s="1136"/>
      <c r="BH1060" s="1136"/>
      <c r="BI1060" s="1136"/>
      <c r="BJ1060" s="1136"/>
      <c r="BK1060" s="1136"/>
      <c r="BL1060" s="1136"/>
      <c r="BM1060" s="1136"/>
      <c r="BN1060" s="1136"/>
      <c r="BO1060" s="1136"/>
      <c r="BP1060" s="1136"/>
      <c r="BQ1060" s="1136"/>
      <c r="BR1060" s="1136"/>
      <c r="BS1060" s="1136"/>
      <c r="BT1060" s="1136"/>
      <c r="BU1060" s="1136"/>
      <c r="BV1060" s="1136"/>
      <c r="BW1060" s="1136"/>
      <c r="BX1060" s="1136"/>
      <c r="BY1060" s="1136"/>
      <c r="BZ1060" s="1136"/>
      <c r="CA1060" s="1136"/>
      <c r="CB1060" s="1136"/>
      <c r="CC1060" s="1136"/>
      <c r="CD1060" s="1136"/>
      <c r="CE1060" s="1136"/>
      <c r="CF1060" s="1136"/>
      <c r="CG1060" s="1136"/>
      <c r="CH1060" s="1136"/>
      <c r="CI1060" s="1136"/>
      <c r="CJ1060" s="1136"/>
      <c r="CK1060" s="1136"/>
      <c r="CL1060" s="1136"/>
      <c r="CM1060" s="1136"/>
      <c r="CN1060" s="1136"/>
      <c r="CO1060" s="1136"/>
      <c r="CP1060" s="1136"/>
      <c r="CQ1060" s="1136"/>
      <c r="CR1060" s="1136"/>
      <c r="CS1060" s="1136"/>
      <c r="CT1060" s="1136"/>
      <c r="CU1060" s="1136"/>
      <c r="CV1060" s="1136"/>
      <c r="CW1060" s="1136"/>
      <c r="CX1060" s="1136"/>
      <c r="CY1060" s="1136"/>
      <c r="CZ1060" s="1136"/>
      <c r="DA1060" s="1136"/>
      <c r="DB1060" s="1136"/>
      <c r="DC1060" s="1136"/>
      <c r="DD1060" s="1136"/>
      <c r="DE1060" s="1136"/>
      <c r="DF1060" s="1136"/>
      <c r="DG1060" s="1136"/>
      <c r="DH1060" s="1136"/>
      <c r="DI1060" s="1136"/>
    </row>
    <row r="1061" spans="1:113" ht="31.5" x14ac:dyDescent="0.25">
      <c r="A1061" s="1435" t="s">
        <v>1724</v>
      </c>
      <c r="B1061" s="1451">
        <f>B865</f>
        <v>0</v>
      </c>
      <c r="C1061" s="1434"/>
      <c r="D1061" s="1521"/>
      <c r="E1061" s="1521"/>
      <c r="F1061" s="1521"/>
      <c r="G1061" s="1521"/>
      <c r="H1061" s="1531"/>
      <c r="I1061" s="1531"/>
      <c r="J1061" s="1531"/>
      <c r="K1061" s="1531"/>
      <c r="L1061" s="1531"/>
      <c r="M1061" s="1531"/>
      <c r="N1061" s="1136"/>
      <c r="O1061" s="1136"/>
      <c r="P1061" s="1136"/>
      <c r="Q1061" s="1136"/>
      <c r="R1061" s="1136"/>
      <c r="S1061" s="1136"/>
      <c r="T1061" s="1136"/>
      <c r="U1061" s="1136"/>
      <c r="V1061" s="1136"/>
      <c r="W1061" s="1136"/>
      <c r="X1061" s="1136"/>
      <c r="Y1061" s="1136"/>
      <c r="Z1061" s="1136"/>
      <c r="AA1061" s="1136"/>
      <c r="AB1061" s="1136"/>
      <c r="AC1061" s="1136"/>
      <c r="AD1061" s="1136"/>
      <c r="AE1061" s="1136"/>
      <c r="AF1061" s="1136"/>
      <c r="AG1061" s="1136"/>
      <c r="AH1061" s="1136"/>
      <c r="AI1061" s="1136"/>
      <c r="AJ1061" s="1136"/>
      <c r="AK1061" s="1136"/>
      <c r="AL1061" s="1136"/>
      <c r="AM1061" s="1136"/>
      <c r="AN1061" s="1136"/>
      <c r="AO1061" s="1136"/>
      <c r="AP1061" s="1136"/>
      <c r="AQ1061" s="1136"/>
      <c r="AR1061" s="1136"/>
      <c r="AS1061" s="1136"/>
      <c r="AT1061" s="1136"/>
      <c r="AU1061" s="1136"/>
      <c r="AV1061" s="1136"/>
      <c r="AW1061" s="1136"/>
      <c r="AX1061" s="1136"/>
      <c r="AY1061" s="1136"/>
      <c r="AZ1061" s="1136"/>
      <c r="BA1061" s="1136"/>
      <c r="BB1061" s="1136"/>
      <c r="BC1061" s="1136"/>
      <c r="BD1061" s="1136"/>
      <c r="BE1061" s="1136"/>
      <c r="BF1061" s="1136"/>
      <c r="BG1061" s="1136"/>
      <c r="BH1061" s="1136"/>
      <c r="BI1061" s="1136"/>
      <c r="BJ1061" s="1136"/>
      <c r="BK1061" s="1136"/>
      <c r="BL1061" s="1136"/>
      <c r="BM1061" s="1136"/>
      <c r="BN1061" s="1136"/>
      <c r="BO1061" s="1136"/>
      <c r="BP1061" s="1136"/>
      <c r="BQ1061" s="1136"/>
      <c r="BR1061" s="1136"/>
      <c r="BS1061" s="1136"/>
      <c r="BT1061" s="1136"/>
      <c r="BU1061" s="1136"/>
      <c r="BV1061" s="1136"/>
      <c r="BW1061" s="1136"/>
      <c r="BX1061" s="1136"/>
      <c r="BY1061" s="1136"/>
      <c r="BZ1061" s="1136"/>
      <c r="CA1061" s="1136"/>
      <c r="CB1061" s="1136"/>
      <c r="CC1061" s="1136"/>
      <c r="CD1061" s="1136"/>
      <c r="CE1061" s="1136"/>
      <c r="CF1061" s="1136"/>
      <c r="CG1061" s="1136"/>
      <c r="CH1061" s="1136"/>
      <c r="CI1061" s="1136"/>
      <c r="CJ1061" s="1136"/>
      <c r="CK1061" s="1136"/>
      <c r="CL1061" s="1136"/>
      <c r="CM1061" s="1136"/>
      <c r="CN1061" s="1136"/>
      <c r="CO1061" s="1136"/>
      <c r="CP1061" s="1136"/>
      <c r="CQ1061" s="1136"/>
      <c r="CR1061" s="1136"/>
      <c r="CS1061" s="1136"/>
      <c r="CT1061" s="1136"/>
      <c r="CU1061" s="1136"/>
      <c r="CV1061" s="1136"/>
      <c r="CW1061" s="1136"/>
      <c r="CX1061" s="1136"/>
      <c r="CY1061" s="1136"/>
      <c r="CZ1061" s="1136"/>
      <c r="DA1061" s="1136"/>
      <c r="DB1061" s="1136"/>
      <c r="DC1061" s="1136"/>
      <c r="DD1061" s="1136"/>
      <c r="DE1061" s="1136"/>
      <c r="DF1061" s="1136"/>
      <c r="DG1061" s="1136"/>
      <c r="DH1061" s="1136"/>
      <c r="DI1061" s="1136"/>
    </row>
    <row r="1062" spans="1:113" ht="15.75" x14ac:dyDescent="0.25">
      <c r="A1062" s="1420" t="s">
        <v>1725</v>
      </c>
      <c r="B1062" s="1443">
        <f>IF(B1061=1,1.15,1)</f>
        <v>1</v>
      </c>
      <c r="C1062" s="1521"/>
      <c r="D1062" s="1562"/>
      <c r="E1062" s="1562"/>
      <c r="F1062" s="1562"/>
      <c r="G1062" s="1562"/>
      <c r="H1062" s="1531"/>
      <c r="I1062" s="1531"/>
      <c r="J1062" s="1531"/>
      <c r="K1062" s="1531"/>
      <c r="L1062" s="1531"/>
      <c r="M1062" s="1531"/>
      <c r="N1062" s="1136"/>
      <c r="O1062" s="1136"/>
      <c r="P1062" s="1136"/>
      <c r="Q1062" s="1136"/>
      <c r="R1062" s="1136"/>
      <c r="S1062" s="1136"/>
      <c r="T1062" s="1136"/>
      <c r="U1062" s="1136"/>
      <c r="V1062" s="1136"/>
      <c r="W1062" s="1136"/>
      <c r="X1062" s="1136"/>
      <c r="Y1062" s="1136"/>
      <c r="Z1062" s="1136"/>
      <c r="AA1062" s="1136"/>
      <c r="AB1062" s="1136"/>
      <c r="AC1062" s="1136"/>
      <c r="AD1062" s="1136"/>
      <c r="AE1062" s="1136"/>
      <c r="AF1062" s="1136"/>
      <c r="AG1062" s="1136"/>
      <c r="AH1062" s="1136"/>
      <c r="AI1062" s="1136"/>
      <c r="AJ1062" s="1136"/>
      <c r="AK1062" s="1136"/>
      <c r="AL1062" s="1136"/>
      <c r="AM1062" s="1136"/>
      <c r="AN1062" s="1136"/>
      <c r="AO1062" s="1136"/>
      <c r="AP1062" s="1136"/>
      <c r="AQ1062" s="1136"/>
      <c r="AR1062" s="1136"/>
      <c r="AS1062" s="1136"/>
      <c r="AT1062" s="1136"/>
      <c r="AU1062" s="1136"/>
      <c r="AV1062" s="1136"/>
      <c r="AW1062" s="1136"/>
      <c r="AX1062" s="1136"/>
      <c r="AY1062" s="1136"/>
      <c r="AZ1062" s="1136"/>
      <c r="BA1062" s="1136"/>
      <c r="BB1062" s="1136"/>
      <c r="BC1062" s="1136"/>
      <c r="BD1062" s="1136"/>
      <c r="BE1062" s="1136"/>
      <c r="BF1062" s="1136"/>
      <c r="BG1062" s="1136"/>
      <c r="BH1062" s="1136"/>
      <c r="BI1062" s="1136"/>
      <c r="BJ1062" s="1136"/>
      <c r="BK1062" s="1136"/>
      <c r="BL1062" s="1136"/>
      <c r="BM1062" s="1136"/>
      <c r="BN1062" s="1136"/>
      <c r="BO1062" s="1136"/>
      <c r="BP1062" s="1136"/>
      <c r="BQ1062" s="1136"/>
      <c r="BR1062" s="1136"/>
      <c r="BS1062" s="1136"/>
      <c r="BT1062" s="1136"/>
      <c r="BU1062" s="1136"/>
      <c r="BV1062" s="1136"/>
      <c r="BW1062" s="1136"/>
      <c r="BX1062" s="1136"/>
      <c r="BY1062" s="1136"/>
      <c r="BZ1062" s="1136"/>
      <c r="CA1062" s="1136"/>
      <c r="CB1062" s="1136"/>
      <c r="CC1062" s="1136"/>
      <c r="CD1062" s="1136"/>
      <c r="CE1062" s="1136"/>
      <c r="CF1062" s="1136"/>
      <c r="CG1062" s="1136"/>
      <c r="CH1062" s="1136"/>
      <c r="CI1062" s="1136"/>
      <c r="CJ1062" s="1136"/>
      <c r="CK1062" s="1136"/>
      <c r="CL1062" s="1136"/>
      <c r="CM1062" s="1136"/>
      <c r="CN1062" s="1136"/>
      <c r="CO1062" s="1136"/>
      <c r="CP1062" s="1136"/>
      <c r="CQ1062" s="1136"/>
      <c r="CR1062" s="1136"/>
      <c r="CS1062" s="1136"/>
      <c r="CT1062" s="1136"/>
      <c r="CU1062" s="1136"/>
      <c r="CV1062" s="1136"/>
      <c r="CW1062" s="1136"/>
      <c r="CX1062" s="1136"/>
      <c r="CY1062" s="1136"/>
      <c r="CZ1062" s="1136"/>
      <c r="DA1062" s="1136"/>
      <c r="DB1062" s="1136"/>
      <c r="DC1062" s="1136"/>
      <c r="DD1062" s="1136"/>
      <c r="DE1062" s="1136"/>
      <c r="DF1062" s="1136"/>
      <c r="DG1062" s="1136"/>
      <c r="DH1062" s="1136"/>
      <c r="DI1062" s="1136"/>
    </row>
    <row r="1063" spans="1:113" ht="31.5" x14ac:dyDescent="0.25">
      <c r="A1063" s="1435" t="s">
        <v>5573</v>
      </c>
      <c r="B1063" s="1451">
        <f>B867</f>
        <v>0</v>
      </c>
      <c r="C1063" s="1434"/>
      <c r="D1063" s="1531"/>
      <c r="E1063" s="1531"/>
      <c r="F1063" s="1531"/>
      <c r="G1063" s="1531"/>
      <c r="H1063" s="1531"/>
      <c r="I1063" s="1531"/>
      <c r="J1063" s="1531"/>
      <c r="K1063" s="1531"/>
      <c r="L1063" s="1531"/>
      <c r="M1063" s="1531"/>
      <c r="N1063" s="1136"/>
      <c r="O1063" s="1136"/>
      <c r="P1063" s="1136"/>
      <c r="Q1063" s="1136"/>
      <c r="R1063" s="1136"/>
      <c r="S1063" s="1136"/>
      <c r="T1063" s="1136"/>
      <c r="U1063" s="1136"/>
      <c r="V1063" s="1136"/>
      <c r="W1063" s="1136"/>
      <c r="X1063" s="1136"/>
      <c r="Y1063" s="1136"/>
      <c r="Z1063" s="1136"/>
      <c r="AA1063" s="1136"/>
      <c r="AB1063" s="1136"/>
      <c r="AC1063" s="1136"/>
      <c r="AD1063" s="1136"/>
      <c r="AE1063" s="1136"/>
      <c r="AF1063" s="1136"/>
      <c r="AG1063" s="1136"/>
      <c r="AH1063" s="1136"/>
      <c r="AI1063" s="1136"/>
      <c r="AJ1063" s="1136"/>
      <c r="AK1063" s="1136"/>
      <c r="AL1063" s="1136"/>
      <c r="AM1063" s="1136"/>
      <c r="AN1063" s="1136"/>
      <c r="AO1063" s="1136"/>
      <c r="AP1063" s="1136"/>
      <c r="AQ1063" s="1136"/>
      <c r="AR1063" s="1136"/>
      <c r="AS1063" s="1136"/>
      <c r="AT1063" s="1136"/>
      <c r="AU1063" s="1136"/>
      <c r="AV1063" s="1136"/>
      <c r="AW1063" s="1136"/>
      <c r="AX1063" s="1136"/>
      <c r="AY1063" s="1136"/>
      <c r="AZ1063" s="1136"/>
      <c r="BA1063" s="1136"/>
      <c r="BB1063" s="1136"/>
      <c r="BC1063" s="1136"/>
      <c r="BD1063" s="1136"/>
      <c r="BE1063" s="1136"/>
      <c r="BF1063" s="1136"/>
      <c r="BG1063" s="1136"/>
      <c r="BH1063" s="1136"/>
      <c r="BI1063" s="1136"/>
      <c r="BJ1063" s="1136"/>
      <c r="BK1063" s="1136"/>
      <c r="BL1063" s="1136"/>
      <c r="BM1063" s="1136"/>
      <c r="BN1063" s="1136"/>
      <c r="BO1063" s="1136"/>
      <c r="BP1063" s="1136"/>
      <c r="BQ1063" s="1136"/>
      <c r="BR1063" s="1136"/>
      <c r="BS1063" s="1136"/>
      <c r="BT1063" s="1136"/>
      <c r="BU1063" s="1136"/>
      <c r="BV1063" s="1136"/>
      <c r="BW1063" s="1136"/>
      <c r="BX1063" s="1136"/>
      <c r="BY1063" s="1136"/>
      <c r="BZ1063" s="1136"/>
      <c r="CA1063" s="1136"/>
      <c r="CB1063" s="1136"/>
      <c r="CC1063" s="1136"/>
      <c r="CD1063" s="1136"/>
      <c r="CE1063" s="1136"/>
      <c r="CF1063" s="1136"/>
      <c r="CG1063" s="1136"/>
      <c r="CH1063" s="1136"/>
      <c r="CI1063" s="1136"/>
      <c r="CJ1063" s="1136"/>
      <c r="CK1063" s="1136"/>
      <c r="CL1063" s="1136"/>
      <c r="CM1063" s="1136"/>
      <c r="CN1063" s="1136"/>
      <c r="CO1063" s="1136"/>
      <c r="CP1063" s="1136"/>
      <c r="CQ1063" s="1136"/>
      <c r="CR1063" s="1136"/>
      <c r="CS1063" s="1136"/>
      <c r="CT1063" s="1136"/>
      <c r="CU1063" s="1136"/>
      <c r="CV1063" s="1136"/>
      <c r="CW1063" s="1136"/>
      <c r="CX1063" s="1136"/>
      <c r="CY1063" s="1136"/>
      <c r="CZ1063" s="1136"/>
      <c r="DA1063" s="1136"/>
      <c r="DB1063" s="1136"/>
      <c r="DC1063" s="1136"/>
      <c r="DD1063" s="1136"/>
      <c r="DE1063" s="1136"/>
      <c r="DF1063" s="1136"/>
      <c r="DG1063" s="1136"/>
      <c r="DH1063" s="1136"/>
      <c r="DI1063" s="1136"/>
    </row>
    <row r="1064" spans="1:113" ht="15.75" x14ac:dyDescent="0.25">
      <c r="A1064" s="1420" t="s">
        <v>2636</v>
      </c>
      <c r="B1064" s="1443">
        <f>IF(B1063=1,1.15,1)</f>
        <v>1</v>
      </c>
      <c r="C1064" s="1521"/>
      <c r="D1064" s="1531"/>
      <c r="E1064" s="1531"/>
      <c r="F1064" s="1531"/>
      <c r="G1064" s="1531"/>
      <c r="H1064" s="1531"/>
      <c r="I1064" s="1531"/>
      <c r="J1064" s="1531"/>
      <c r="K1064" s="1531"/>
      <c r="L1064" s="1531"/>
      <c r="M1064" s="1531"/>
      <c r="N1064" s="1136"/>
      <c r="O1064" s="1136"/>
      <c r="P1064" s="1136"/>
      <c r="Q1064" s="1136"/>
      <c r="R1064" s="1136"/>
      <c r="S1064" s="1136"/>
      <c r="T1064" s="1136"/>
      <c r="U1064" s="1136"/>
      <c r="V1064" s="1136"/>
      <c r="W1064" s="1136"/>
      <c r="X1064" s="1136"/>
      <c r="Y1064" s="1136"/>
      <c r="Z1064" s="1136"/>
      <c r="AA1064" s="1136"/>
      <c r="AB1064" s="1136"/>
      <c r="AC1064" s="1136"/>
      <c r="AD1064" s="1136"/>
      <c r="AE1064" s="1136"/>
      <c r="AF1064" s="1136"/>
      <c r="AG1064" s="1136"/>
      <c r="AH1064" s="1136"/>
      <c r="AI1064" s="1136"/>
      <c r="AJ1064" s="1136"/>
      <c r="AK1064" s="1136"/>
      <c r="AL1064" s="1136"/>
      <c r="AM1064" s="1136"/>
      <c r="AN1064" s="1136"/>
      <c r="AO1064" s="1136"/>
      <c r="AP1064" s="1136"/>
      <c r="AQ1064" s="1136"/>
      <c r="AR1064" s="1136"/>
      <c r="AS1064" s="1136"/>
      <c r="AT1064" s="1136"/>
      <c r="AU1064" s="1136"/>
      <c r="AV1064" s="1136"/>
      <c r="AW1064" s="1136"/>
      <c r="AX1064" s="1136"/>
      <c r="AY1064" s="1136"/>
      <c r="AZ1064" s="1136"/>
      <c r="BA1064" s="1136"/>
      <c r="BB1064" s="1136"/>
      <c r="BC1064" s="1136"/>
      <c r="BD1064" s="1136"/>
      <c r="BE1064" s="1136"/>
      <c r="BF1064" s="1136"/>
      <c r="BG1064" s="1136"/>
      <c r="BH1064" s="1136"/>
      <c r="BI1064" s="1136"/>
      <c r="BJ1064" s="1136"/>
      <c r="BK1064" s="1136"/>
      <c r="BL1064" s="1136"/>
      <c r="BM1064" s="1136"/>
      <c r="BN1064" s="1136"/>
      <c r="BO1064" s="1136"/>
      <c r="BP1064" s="1136"/>
      <c r="BQ1064" s="1136"/>
      <c r="BR1064" s="1136"/>
      <c r="BS1064" s="1136"/>
      <c r="BT1064" s="1136"/>
      <c r="BU1064" s="1136"/>
      <c r="BV1064" s="1136"/>
      <c r="BW1064" s="1136"/>
      <c r="BX1064" s="1136"/>
      <c r="BY1064" s="1136"/>
      <c r="BZ1064" s="1136"/>
      <c r="CA1064" s="1136"/>
      <c r="CB1064" s="1136"/>
      <c r="CC1064" s="1136"/>
      <c r="CD1064" s="1136"/>
      <c r="CE1064" s="1136"/>
      <c r="CF1064" s="1136"/>
      <c r="CG1064" s="1136"/>
      <c r="CH1064" s="1136"/>
      <c r="CI1064" s="1136"/>
      <c r="CJ1064" s="1136"/>
      <c r="CK1064" s="1136"/>
      <c r="CL1064" s="1136"/>
      <c r="CM1064" s="1136"/>
      <c r="CN1064" s="1136"/>
      <c r="CO1064" s="1136"/>
      <c r="CP1064" s="1136"/>
      <c r="CQ1064" s="1136"/>
      <c r="CR1064" s="1136"/>
      <c r="CS1064" s="1136"/>
      <c r="CT1064" s="1136"/>
      <c r="CU1064" s="1136"/>
      <c r="CV1064" s="1136"/>
      <c r="CW1064" s="1136"/>
      <c r="CX1064" s="1136"/>
      <c r="CY1064" s="1136"/>
      <c r="CZ1064" s="1136"/>
      <c r="DA1064" s="1136"/>
      <c r="DB1064" s="1136"/>
      <c r="DC1064" s="1136"/>
      <c r="DD1064" s="1136"/>
      <c r="DE1064" s="1136"/>
      <c r="DF1064" s="1136"/>
      <c r="DG1064" s="1136"/>
      <c r="DH1064" s="1136"/>
      <c r="DI1064" s="1136"/>
    </row>
    <row r="1065" spans="1:113" ht="31.5" x14ac:dyDescent="0.25">
      <c r="A1065" s="1420" t="s">
        <v>2637</v>
      </c>
      <c r="B1065" s="1443">
        <f>IF(B322&lt;2,0.85,1)</f>
        <v>1</v>
      </c>
      <c r="C1065" s="1521"/>
      <c r="D1065" s="1521"/>
      <c r="E1065" s="1521"/>
      <c r="F1065" s="1521"/>
      <c r="G1065" s="1521"/>
      <c r="H1065" s="1531"/>
      <c r="I1065" s="1531"/>
      <c r="J1065" s="1531"/>
      <c r="K1065" s="1531"/>
      <c r="L1065" s="1531"/>
      <c r="M1065" s="1531"/>
      <c r="N1065" s="1136"/>
      <c r="O1065" s="1136"/>
      <c r="P1065" s="1136"/>
      <c r="Q1065" s="1136"/>
      <c r="R1065" s="1136"/>
      <c r="S1065" s="1136"/>
      <c r="T1065" s="1136"/>
      <c r="U1065" s="1136"/>
      <c r="V1065" s="1136"/>
      <c r="W1065" s="1136"/>
      <c r="X1065" s="1136"/>
      <c r="Y1065" s="1136"/>
      <c r="Z1065" s="1136"/>
      <c r="AA1065" s="1136"/>
      <c r="AB1065" s="1136"/>
      <c r="AC1065" s="1136"/>
      <c r="AD1065" s="1136"/>
      <c r="AE1065" s="1136"/>
      <c r="AF1065" s="1136"/>
      <c r="AG1065" s="1136"/>
      <c r="AH1065" s="1136"/>
      <c r="AI1065" s="1136"/>
      <c r="AJ1065" s="1136"/>
      <c r="AK1065" s="1136"/>
      <c r="AL1065" s="1136"/>
      <c r="AM1065" s="1136"/>
      <c r="AN1065" s="1136"/>
      <c r="AO1065" s="1136"/>
      <c r="AP1065" s="1136"/>
      <c r="AQ1065" s="1136"/>
      <c r="AR1065" s="1136"/>
      <c r="AS1065" s="1136"/>
      <c r="AT1065" s="1136"/>
      <c r="AU1065" s="1136"/>
      <c r="AV1065" s="1136"/>
      <c r="AW1065" s="1136"/>
      <c r="AX1065" s="1136"/>
      <c r="AY1065" s="1136"/>
      <c r="AZ1065" s="1136"/>
      <c r="BA1065" s="1136"/>
      <c r="BB1065" s="1136"/>
      <c r="BC1065" s="1136"/>
      <c r="BD1065" s="1136"/>
      <c r="BE1065" s="1136"/>
      <c r="BF1065" s="1136"/>
      <c r="BG1065" s="1136"/>
      <c r="BH1065" s="1136"/>
      <c r="BI1065" s="1136"/>
      <c r="BJ1065" s="1136"/>
      <c r="BK1065" s="1136"/>
      <c r="BL1065" s="1136"/>
      <c r="BM1065" s="1136"/>
      <c r="BN1065" s="1136"/>
      <c r="BO1065" s="1136"/>
      <c r="BP1065" s="1136"/>
      <c r="BQ1065" s="1136"/>
      <c r="BR1065" s="1136"/>
      <c r="BS1065" s="1136"/>
      <c r="BT1065" s="1136"/>
      <c r="BU1065" s="1136"/>
      <c r="BV1065" s="1136"/>
      <c r="BW1065" s="1136"/>
      <c r="BX1065" s="1136"/>
      <c r="BY1065" s="1136"/>
      <c r="BZ1065" s="1136"/>
      <c r="CA1065" s="1136"/>
      <c r="CB1065" s="1136"/>
      <c r="CC1065" s="1136"/>
      <c r="CD1065" s="1136"/>
      <c r="CE1065" s="1136"/>
      <c r="CF1065" s="1136"/>
      <c r="CG1065" s="1136"/>
      <c r="CH1065" s="1136"/>
      <c r="CI1065" s="1136"/>
      <c r="CJ1065" s="1136"/>
      <c r="CK1065" s="1136"/>
      <c r="CL1065" s="1136"/>
      <c r="CM1065" s="1136"/>
      <c r="CN1065" s="1136"/>
      <c r="CO1065" s="1136"/>
      <c r="CP1065" s="1136"/>
      <c r="CQ1065" s="1136"/>
      <c r="CR1065" s="1136"/>
      <c r="CS1065" s="1136"/>
      <c r="CT1065" s="1136"/>
      <c r="CU1065" s="1136"/>
      <c r="CV1065" s="1136"/>
      <c r="CW1065" s="1136"/>
      <c r="CX1065" s="1136"/>
      <c r="CY1065" s="1136"/>
      <c r="CZ1065" s="1136"/>
      <c r="DA1065" s="1136"/>
      <c r="DB1065" s="1136"/>
      <c r="DC1065" s="1136"/>
      <c r="DD1065" s="1136"/>
      <c r="DE1065" s="1136"/>
      <c r="DF1065" s="1136"/>
      <c r="DG1065" s="1136"/>
      <c r="DH1065" s="1136"/>
      <c r="DI1065" s="1136"/>
    </row>
    <row r="1066" spans="1:113" ht="15.75" x14ac:dyDescent="0.25">
      <c r="A1066" s="1420" t="s">
        <v>1615</v>
      </c>
      <c r="B1066" s="1505">
        <v>0.7</v>
      </c>
      <c r="C1066" s="1623"/>
      <c r="D1066" s="1521"/>
      <c r="E1066" s="1521"/>
      <c r="F1066" s="1521"/>
      <c r="G1066" s="1521"/>
      <c r="H1066" s="1531"/>
      <c r="I1066" s="1531"/>
      <c r="J1066" s="1531"/>
      <c r="K1066" s="1531"/>
      <c r="L1066" s="1531"/>
      <c r="M1066" s="1531"/>
      <c r="N1066" s="1136"/>
      <c r="O1066" s="1136"/>
      <c r="P1066" s="1136"/>
      <c r="Q1066" s="1136"/>
      <c r="R1066" s="1136"/>
      <c r="S1066" s="1136"/>
      <c r="T1066" s="1136"/>
      <c r="U1066" s="1136"/>
      <c r="V1066" s="1136"/>
      <c r="W1066" s="1136"/>
      <c r="X1066" s="1136"/>
      <c r="Y1066" s="1136"/>
      <c r="Z1066" s="1136"/>
      <c r="AA1066" s="1136"/>
      <c r="AB1066" s="1136"/>
      <c r="AC1066" s="1136"/>
      <c r="AD1066" s="1136"/>
      <c r="AE1066" s="1136"/>
      <c r="AF1066" s="1136"/>
      <c r="AG1066" s="1136"/>
      <c r="AH1066" s="1136"/>
      <c r="AI1066" s="1136"/>
      <c r="AJ1066" s="1136"/>
      <c r="AK1066" s="1136"/>
      <c r="AL1066" s="1136"/>
      <c r="AM1066" s="1136"/>
      <c r="AN1066" s="1136"/>
      <c r="AO1066" s="1136"/>
      <c r="AP1066" s="1136"/>
      <c r="AQ1066" s="1136"/>
      <c r="AR1066" s="1136"/>
      <c r="AS1066" s="1136"/>
      <c r="AT1066" s="1136"/>
      <c r="AU1066" s="1136"/>
      <c r="AV1066" s="1136"/>
      <c r="AW1066" s="1136"/>
      <c r="AX1066" s="1136"/>
      <c r="AY1066" s="1136"/>
      <c r="AZ1066" s="1136"/>
      <c r="BA1066" s="1136"/>
      <c r="BB1066" s="1136"/>
      <c r="BC1066" s="1136"/>
      <c r="BD1066" s="1136"/>
      <c r="BE1066" s="1136"/>
      <c r="BF1066" s="1136"/>
      <c r="BG1066" s="1136"/>
      <c r="BH1066" s="1136"/>
      <c r="BI1066" s="1136"/>
      <c r="BJ1066" s="1136"/>
      <c r="BK1066" s="1136"/>
      <c r="BL1066" s="1136"/>
      <c r="BM1066" s="1136"/>
      <c r="BN1066" s="1136"/>
      <c r="BO1066" s="1136"/>
      <c r="BP1066" s="1136"/>
      <c r="BQ1066" s="1136"/>
      <c r="BR1066" s="1136"/>
      <c r="BS1066" s="1136"/>
      <c r="BT1066" s="1136"/>
      <c r="BU1066" s="1136"/>
      <c r="BV1066" s="1136"/>
      <c r="BW1066" s="1136"/>
      <c r="BX1066" s="1136"/>
      <c r="BY1066" s="1136"/>
      <c r="BZ1066" s="1136"/>
      <c r="CA1066" s="1136"/>
      <c r="CB1066" s="1136"/>
      <c r="CC1066" s="1136"/>
      <c r="CD1066" s="1136"/>
      <c r="CE1066" s="1136"/>
      <c r="CF1066" s="1136"/>
      <c r="CG1066" s="1136"/>
      <c r="CH1066" s="1136"/>
      <c r="CI1066" s="1136"/>
      <c r="CJ1066" s="1136"/>
      <c r="CK1066" s="1136"/>
      <c r="CL1066" s="1136"/>
      <c r="CM1066" s="1136"/>
      <c r="CN1066" s="1136"/>
      <c r="CO1066" s="1136"/>
      <c r="CP1066" s="1136"/>
      <c r="CQ1066" s="1136"/>
      <c r="CR1066" s="1136"/>
      <c r="CS1066" s="1136"/>
      <c r="CT1066" s="1136"/>
      <c r="CU1066" s="1136"/>
      <c r="CV1066" s="1136"/>
      <c r="CW1066" s="1136"/>
      <c r="CX1066" s="1136"/>
      <c r="CY1066" s="1136"/>
      <c r="CZ1066" s="1136"/>
      <c r="DA1066" s="1136"/>
      <c r="DB1066" s="1136"/>
      <c r="DC1066" s="1136"/>
      <c r="DD1066" s="1136"/>
      <c r="DE1066" s="1136"/>
      <c r="DF1066" s="1136"/>
      <c r="DG1066" s="1136"/>
      <c r="DH1066" s="1136"/>
      <c r="DI1066" s="1136"/>
    </row>
    <row r="1067" spans="1:113" ht="15.75" x14ac:dyDescent="0.25">
      <c r="A1067" s="1420" t="s">
        <v>3412</v>
      </c>
      <c r="B1067" s="1439" t="e">
        <f>B1059*B1062*B1064*B1065*B1066*B341</f>
        <v>#VALUE!</v>
      </c>
      <c r="C1067" s="1562"/>
      <c r="D1067" s="1531"/>
      <c r="E1067" s="1531"/>
      <c r="F1067" s="1531"/>
      <c r="G1067" s="1531"/>
      <c r="H1067" s="1531"/>
      <c r="I1067" s="1531"/>
      <c r="J1067" s="1531"/>
      <c r="K1067" s="1531"/>
      <c r="L1067" s="1531"/>
      <c r="M1067" s="1531"/>
      <c r="N1067" s="1136"/>
      <c r="O1067" s="1136"/>
      <c r="P1067" s="1136"/>
      <c r="Q1067" s="1136"/>
      <c r="R1067" s="1136"/>
      <c r="S1067" s="1136"/>
      <c r="T1067" s="1136"/>
      <c r="U1067" s="1136"/>
      <c r="V1067" s="1136"/>
      <c r="W1067" s="1136"/>
      <c r="X1067" s="1136"/>
      <c r="Y1067" s="1136"/>
      <c r="Z1067" s="1136"/>
      <c r="AA1067" s="1136"/>
      <c r="AB1067" s="1136"/>
      <c r="AC1067" s="1136"/>
      <c r="AD1067" s="1136"/>
      <c r="AE1067" s="1136"/>
      <c r="AF1067" s="1136"/>
      <c r="AG1067" s="1136"/>
      <c r="AH1067" s="1136"/>
      <c r="AI1067" s="1136"/>
      <c r="AJ1067" s="1136"/>
      <c r="AK1067" s="1136"/>
      <c r="AL1067" s="1136"/>
      <c r="AM1067" s="1136"/>
      <c r="AN1067" s="1136"/>
      <c r="AO1067" s="1136"/>
      <c r="AP1067" s="1136"/>
      <c r="AQ1067" s="1136"/>
      <c r="AR1067" s="1136"/>
      <c r="AS1067" s="1136"/>
      <c r="AT1067" s="1136"/>
      <c r="AU1067" s="1136"/>
      <c r="AV1067" s="1136"/>
      <c r="AW1067" s="1136"/>
      <c r="AX1067" s="1136"/>
      <c r="AY1067" s="1136"/>
      <c r="AZ1067" s="1136"/>
      <c r="BA1067" s="1136"/>
      <c r="BB1067" s="1136"/>
      <c r="BC1067" s="1136"/>
      <c r="BD1067" s="1136"/>
      <c r="BE1067" s="1136"/>
      <c r="BF1067" s="1136"/>
      <c r="BG1067" s="1136"/>
      <c r="BH1067" s="1136"/>
      <c r="BI1067" s="1136"/>
      <c r="BJ1067" s="1136"/>
      <c r="BK1067" s="1136"/>
      <c r="BL1067" s="1136"/>
      <c r="BM1067" s="1136"/>
      <c r="BN1067" s="1136"/>
      <c r="BO1067" s="1136"/>
      <c r="BP1067" s="1136"/>
      <c r="BQ1067" s="1136"/>
      <c r="BR1067" s="1136"/>
      <c r="BS1067" s="1136"/>
      <c r="BT1067" s="1136"/>
      <c r="BU1067" s="1136"/>
      <c r="BV1067" s="1136"/>
      <c r="BW1067" s="1136"/>
      <c r="BX1067" s="1136"/>
      <c r="BY1067" s="1136"/>
      <c r="BZ1067" s="1136"/>
      <c r="CA1067" s="1136"/>
      <c r="CB1067" s="1136"/>
      <c r="CC1067" s="1136"/>
      <c r="CD1067" s="1136"/>
      <c r="CE1067" s="1136"/>
      <c r="CF1067" s="1136"/>
      <c r="CG1067" s="1136"/>
      <c r="CH1067" s="1136"/>
      <c r="CI1067" s="1136"/>
      <c r="CJ1067" s="1136"/>
      <c r="CK1067" s="1136"/>
      <c r="CL1067" s="1136"/>
      <c r="CM1067" s="1136"/>
      <c r="CN1067" s="1136"/>
      <c r="CO1067" s="1136"/>
      <c r="CP1067" s="1136"/>
      <c r="CQ1067" s="1136"/>
      <c r="CR1067" s="1136"/>
      <c r="CS1067" s="1136"/>
      <c r="CT1067" s="1136"/>
      <c r="CU1067" s="1136"/>
      <c r="CV1067" s="1136"/>
      <c r="CW1067" s="1136"/>
      <c r="CX1067" s="1136"/>
      <c r="CY1067" s="1136"/>
      <c r="CZ1067" s="1136"/>
      <c r="DA1067" s="1136"/>
      <c r="DB1067" s="1136"/>
      <c r="DC1067" s="1136"/>
      <c r="DD1067" s="1136"/>
      <c r="DE1067" s="1136"/>
      <c r="DF1067" s="1136"/>
      <c r="DG1067" s="1136"/>
      <c r="DH1067" s="1136"/>
      <c r="DI1067" s="1136"/>
    </row>
    <row r="1068" spans="1:113" ht="15.75" x14ac:dyDescent="0.25">
      <c r="A1068" s="1420" t="s">
        <v>429</v>
      </c>
      <c r="B1068" s="1439" t="e">
        <f>B1058/B1067</f>
        <v>#DIV/0!</v>
      </c>
      <c r="C1068" s="1562"/>
      <c r="D1068" s="1434"/>
      <c r="E1068" s="1434"/>
      <c r="F1068" s="1434"/>
      <c r="G1068" s="1434"/>
      <c r="H1068" s="1531"/>
      <c r="I1068" s="1531"/>
      <c r="J1068" s="1531"/>
      <c r="K1068" s="1531"/>
      <c r="L1068" s="1531"/>
      <c r="M1068" s="1531"/>
      <c r="N1068" s="1136"/>
      <c r="O1068" s="1136"/>
      <c r="P1068" s="1136"/>
      <c r="Q1068" s="1136"/>
      <c r="R1068" s="1136"/>
      <c r="S1068" s="1136"/>
      <c r="T1068" s="1136"/>
      <c r="U1068" s="1136"/>
      <c r="V1068" s="1136"/>
      <c r="W1068" s="1136"/>
      <c r="X1068" s="1136"/>
      <c r="Y1068" s="1136"/>
      <c r="Z1068" s="1136"/>
      <c r="AA1068" s="1136"/>
      <c r="AB1068" s="1136"/>
      <c r="AC1068" s="1136"/>
      <c r="AD1068" s="1136"/>
      <c r="AE1068" s="1136"/>
      <c r="AF1068" s="1136"/>
      <c r="AG1068" s="1136"/>
      <c r="AH1068" s="1136"/>
      <c r="AI1068" s="1136"/>
      <c r="AJ1068" s="1136"/>
      <c r="AK1068" s="1136"/>
      <c r="AL1068" s="1136"/>
      <c r="AM1068" s="1136"/>
      <c r="AN1068" s="1136"/>
      <c r="AO1068" s="1136"/>
      <c r="AP1068" s="1136"/>
      <c r="AQ1068" s="1136"/>
      <c r="AR1068" s="1136"/>
      <c r="AS1068" s="1136"/>
      <c r="AT1068" s="1136"/>
      <c r="AU1068" s="1136"/>
      <c r="AV1068" s="1136"/>
      <c r="AW1068" s="1136"/>
      <c r="AX1068" s="1136"/>
      <c r="AY1068" s="1136"/>
      <c r="AZ1068" s="1136"/>
      <c r="BA1068" s="1136"/>
      <c r="BB1068" s="1136"/>
      <c r="BC1068" s="1136"/>
      <c r="BD1068" s="1136"/>
      <c r="BE1068" s="1136"/>
      <c r="BF1068" s="1136"/>
      <c r="BG1068" s="1136"/>
      <c r="BH1068" s="1136"/>
      <c r="BI1068" s="1136"/>
      <c r="BJ1068" s="1136"/>
      <c r="BK1068" s="1136"/>
      <c r="BL1068" s="1136"/>
      <c r="BM1068" s="1136"/>
      <c r="BN1068" s="1136"/>
      <c r="BO1068" s="1136"/>
      <c r="BP1068" s="1136"/>
      <c r="BQ1068" s="1136"/>
      <c r="BR1068" s="1136"/>
      <c r="BS1068" s="1136"/>
      <c r="BT1068" s="1136"/>
      <c r="BU1068" s="1136"/>
      <c r="BV1068" s="1136"/>
      <c r="BW1068" s="1136"/>
      <c r="BX1068" s="1136"/>
      <c r="BY1068" s="1136"/>
      <c r="BZ1068" s="1136"/>
      <c r="CA1068" s="1136"/>
      <c r="CB1068" s="1136"/>
      <c r="CC1068" s="1136"/>
      <c r="CD1068" s="1136"/>
      <c r="CE1068" s="1136"/>
      <c r="CF1068" s="1136"/>
      <c r="CG1068" s="1136"/>
      <c r="CH1068" s="1136"/>
      <c r="CI1068" s="1136"/>
      <c r="CJ1068" s="1136"/>
      <c r="CK1068" s="1136"/>
      <c r="CL1068" s="1136"/>
      <c r="CM1068" s="1136"/>
      <c r="CN1068" s="1136"/>
      <c r="CO1068" s="1136"/>
      <c r="CP1068" s="1136"/>
      <c r="CQ1068" s="1136"/>
      <c r="CR1068" s="1136"/>
      <c r="CS1068" s="1136"/>
      <c r="CT1068" s="1136"/>
      <c r="CU1068" s="1136"/>
      <c r="CV1068" s="1136"/>
      <c r="CW1068" s="1136"/>
      <c r="CX1068" s="1136"/>
      <c r="CY1068" s="1136"/>
      <c r="CZ1068" s="1136"/>
      <c r="DA1068" s="1136"/>
      <c r="DB1068" s="1136"/>
      <c r="DC1068" s="1136"/>
      <c r="DD1068" s="1136"/>
      <c r="DE1068" s="1136"/>
      <c r="DF1068" s="1136"/>
      <c r="DG1068" s="1136"/>
      <c r="DH1068" s="1136"/>
      <c r="DI1068" s="1136"/>
    </row>
    <row r="1069" spans="1:113" ht="15.75" x14ac:dyDescent="0.25">
      <c r="A1069" s="1430"/>
      <c r="B1069" s="1443"/>
      <c r="C1069" s="1521"/>
      <c r="D1069" s="1521"/>
      <c r="E1069" s="1521"/>
      <c r="F1069" s="1521"/>
      <c r="G1069" s="1521"/>
      <c r="H1069" s="1531"/>
      <c r="I1069" s="1531"/>
      <c r="J1069" s="1531"/>
      <c r="K1069" s="1531"/>
      <c r="L1069" s="1531"/>
      <c r="M1069" s="1531"/>
      <c r="N1069" s="1136"/>
      <c r="O1069" s="1136"/>
      <c r="P1069" s="1136"/>
      <c r="Q1069" s="1136"/>
      <c r="R1069" s="1136"/>
      <c r="S1069" s="1136"/>
      <c r="T1069" s="1136"/>
      <c r="U1069" s="1136"/>
      <c r="V1069" s="1136"/>
      <c r="W1069" s="1136"/>
      <c r="X1069" s="1136"/>
      <c r="Y1069" s="1136"/>
      <c r="Z1069" s="1136"/>
      <c r="AA1069" s="1136"/>
      <c r="AB1069" s="1136"/>
      <c r="AC1069" s="1136"/>
      <c r="AD1069" s="1136"/>
      <c r="AE1069" s="1136"/>
      <c r="AF1069" s="1136"/>
      <c r="AG1069" s="1136"/>
      <c r="AH1069" s="1136"/>
      <c r="AI1069" s="1136"/>
      <c r="AJ1069" s="1136"/>
      <c r="AK1069" s="1136"/>
      <c r="AL1069" s="1136"/>
      <c r="AM1069" s="1136"/>
      <c r="AN1069" s="1136"/>
      <c r="AO1069" s="1136"/>
      <c r="AP1069" s="1136"/>
      <c r="AQ1069" s="1136"/>
      <c r="AR1069" s="1136"/>
      <c r="AS1069" s="1136"/>
      <c r="AT1069" s="1136"/>
      <c r="AU1069" s="1136"/>
      <c r="AV1069" s="1136"/>
      <c r="AW1069" s="1136"/>
      <c r="AX1069" s="1136"/>
      <c r="AY1069" s="1136"/>
      <c r="AZ1069" s="1136"/>
      <c r="BA1069" s="1136"/>
      <c r="BB1069" s="1136"/>
      <c r="BC1069" s="1136"/>
      <c r="BD1069" s="1136"/>
      <c r="BE1069" s="1136"/>
      <c r="BF1069" s="1136"/>
      <c r="BG1069" s="1136"/>
      <c r="BH1069" s="1136"/>
      <c r="BI1069" s="1136"/>
      <c r="BJ1069" s="1136"/>
      <c r="BK1069" s="1136"/>
      <c r="BL1069" s="1136"/>
      <c r="BM1069" s="1136"/>
      <c r="BN1069" s="1136"/>
      <c r="BO1069" s="1136"/>
      <c r="BP1069" s="1136"/>
      <c r="BQ1069" s="1136"/>
      <c r="BR1069" s="1136"/>
      <c r="BS1069" s="1136"/>
      <c r="BT1069" s="1136"/>
      <c r="BU1069" s="1136"/>
      <c r="BV1069" s="1136"/>
      <c r="BW1069" s="1136"/>
      <c r="BX1069" s="1136"/>
      <c r="BY1069" s="1136"/>
      <c r="BZ1069" s="1136"/>
      <c r="CA1069" s="1136"/>
      <c r="CB1069" s="1136"/>
      <c r="CC1069" s="1136"/>
      <c r="CD1069" s="1136"/>
      <c r="CE1069" s="1136"/>
      <c r="CF1069" s="1136"/>
      <c r="CG1069" s="1136"/>
      <c r="CH1069" s="1136"/>
      <c r="CI1069" s="1136"/>
      <c r="CJ1069" s="1136"/>
      <c r="CK1069" s="1136"/>
      <c r="CL1069" s="1136"/>
      <c r="CM1069" s="1136"/>
      <c r="CN1069" s="1136"/>
      <c r="CO1069" s="1136"/>
      <c r="CP1069" s="1136"/>
      <c r="CQ1069" s="1136"/>
      <c r="CR1069" s="1136"/>
      <c r="CS1069" s="1136"/>
      <c r="CT1069" s="1136"/>
      <c r="CU1069" s="1136"/>
      <c r="CV1069" s="1136"/>
      <c r="CW1069" s="1136"/>
      <c r="CX1069" s="1136"/>
      <c r="CY1069" s="1136"/>
      <c r="CZ1069" s="1136"/>
      <c r="DA1069" s="1136"/>
      <c r="DB1069" s="1136"/>
      <c r="DC1069" s="1136"/>
      <c r="DD1069" s="1136"/>
      <c r="DE1069" s="1136"/>
      <c r="DF1069" s="1136"/>
      <c r="DG1069" s="1136"/>
      <c r="DH1069" s="1136"/>
      <c r="DI1069" s="1136"/>
    </row>
    <row r="1070" spans="1:113" ht="63" x14ac:dyDescent="0.25">
      <c r="A1070" s="1438" t="s">
        <v>1616</v>
      </c>
      <c r="B1070" s="1443"/>
      <c r="C1070" s="1521"/>
      <c r="D1070" s="1434"/>
      <c r="E1070" s="1434"/>
      <c r="F1070" s="1434"/>
      <c r="G1070" s="1434"/>
      <c r="H1070" s="1531"/>
      <c r="I1070" s="1531"/>
      <c r="J1070" s="1531"/>
      <c r="K1070" s="1531"/>
      <c r="L1070" s="1531"/>
      <c r="M1070" s="1531"/>
      <c r="N1070" s="1136"/>
      <c r="O1070" s="1136"/>
      <c r="P1070" s="1136"/>
      <c r="Q1070" s="1136"/>
      <c r="R1070" s="1136"/>
      <c r="S1070" s="1136"/>
      <c r="T1070" s="1136"/>
      <c r="U1070" s="1136"/>
      <c r="V1070" s="1136"/>
      <c r="W1070" s="1136"/>
      <c r="X1070" s="1136"/>
      <c r="Y1070" s="1136"/>
      <c r="Z1070" s="1136"/>
      <c r="AA1070" s="1136"/>
      <c r="AB1070" s="1136"/>
      <c r="AC1070" s="1136"/>
      <c r="AD1070" s="1136"/>
      <c r="AE1070" s="1136"/>
      <c r="AF1070" s="1136"/>
      <c r="AG1070" s="1136"/>
      <c r="AH1070" s="1136"/>
      <c r="AI1070" s="1136"/>
      <c r="AJ1070" s="1136"/>
      <c r="AK1070" s="1136"/>
      <c r="AL1070" s="1136"/>
      <c r="AM1070" s="1136"/>
      <c r="AN1070" s="1136"/>
      <c r="AO1070" s="1136"/>
      <c r="AP1070" s="1136"/>
      <c r="AQ1070" s="1136"/>
      <c r="AR1070" s="1136"/>
      <c r="AS1070" s="1136"/>
      <c r="AT1070" s="1136"/>
      <c r="AU1070" s="1136"/>
      <c r="AV1070" s="1136"/>
      <c r="AW1070" s="1136"/>
      <c r="AX1070" s="1136"/>
      <c r="AY1070" s="1136"/>
      <c r="AZ1070" s="1136"/>
      <c r="BA1070" s="1136"/>
      <c r="BB1070" s="1136"/>
      <c r="BC1070" s="1136"/>
      <c r="BD1070" s="1136"/>
      <c r="BE1070" s="1136"/>
      <c r="BF1070" s="1136"/>
      <c r="BG1070" s="1136"/>
      <c r="BH1070" s="1136"/>
      <c r="BI1070" s="1136"/>
      <c r="BJ1070" s="1136"/>
      <c r="BK1070" s="1136"/>
      <c r="BL1070" s="1136"/>
      <c r="BM1070" s="1136"/>
      <c r="BN1070" s="1136"/>
      <c r="BO1070" s="1136"/>
      <c r="BP1070" s="1136"/>
      <c r="BQ1070" s="1136"/>
      <c r="BR1070" s="1136"/>
      <c r="BS1070" s="1136"/>
      <c r="BT1070" s="1136"/>
      <c r="BU1070" s="1136"/>
      <c r="BV1070" s="1136"/>
      <c r="BW1070" s="1136"/>
      <c r="BX1070" s="1136"/>
      <c r="BY1070" s="1136"/>
      <c r="BZ1070" s="1136"/>
      <c r="CA1070" s="1136"/>
      <c r="CB1070" s="1136"/>
      <c r="CC1070" s="1136"/>
      <c r="CD1070" s="1136"/>
      <c r="CE1070" s="1136"/>
      <c r="CF1070" s="1136"/>
      <c r="CG1070" s="1136"/>
      <c r="CH1070" s="1136"/>
      <c r="CI1070" s="1136"/>
      <c r="CJ1070" s="1136"/>
      <c r="CK1070" s="1136"/>
      <c r="CL1070" s="1136"/>
      <c r="CM1070" s="1136"/>
      <c r="CN1070" s="1136"/>
      <c r="CO1070" s="1136"/>
      <c r="CP1070" s="1136"/>
      <c r="CQ1070" s="1136"/>
      <c r="CR1070" s="1136"/>
      <c r="CS1070" s="1136"/>
      <c r="CT1070" s="1136"/>
      <c r="CU1070" s="1136"/>
      <c r="CV1070" s="1136"/>
      <c r="CW1070" s="1136"/>
      <c r="CX1070" s="1136"/>
      <c r="CY1070" s="1136"/>
      <c r="CZ1070" s="1136"/>
      <c r="DA1070" s="1136"/>
      <c r="DB1070" s="1136"/>
      <c r="DC1070" s="1136"/>
      <c r="DD1070" s="1136"/>
      <c r="DE1070" s="1136"/>
      <c r="DF1070" s="1136"/>
      <c r="DG1070" s="1136"/>
      <c r="DH1070" s="1136"/>
      <c r="DI1070" s="1136"/>
    </row>
    <row r="1071" spans="1:113" ht="15.75" x14ac:dyDescent="0.25">
      <c r="A1071" s="1422" t="s">
        <v>424</v>
      </c>
      <c r="B1071" s="1443" t="e">
        <f>((B1020/B308+1)*B809*B291)/(B1020-B811)</f>
        <v>#DIV/0!</v>
      </c>
      <c r="C1071" s="1521"/>
      <c r="D1071" s="1521"/>
      <c r="E1071" s="1521"/>
      <c r="F1071" s="1521"/>
      <c r="G1071" s="1521"/>
      <c r="H1071" s="1531"/>
      <c r="I1071" s="1531"/>
      <c r="J1071" s="1531"/>
      <c r="K1071" s="1531"/>
      <c r="L1071" s="1531"/>
      <c r="M1071" s="1531"/>
      <c r="N1071" s="1136"/>
      <c r="O1071" s="1136"/>
      <c r="P1071" s="1136"/>
      <c r="Q1071" s="1136"/>
      <c r="R1071" s="1136"/>
      <c r="S1071" s="1136"/>
      <c r="T1071" s="1136"/>
      <c r="U1071" s="1136"/>
      <c r="V1071" s="1136"/>
      <c r="W1071" s="1136"/>
      <c r="X1071" s="1136"/>
      <c r="Y1071" s="1136"/>
      <c r="Z1071" s="1136"/>
      <c r="AA1071" s="1136"/>
      <c r="AB1071" s="1136"/>
      <c r="AC1071" s="1136"/>
      <c r="AD1071" s="1136"/>
      <c r="AE1071" s="1136"/>
      <c r="AF1071" s="1136"/>
      <c r="AG1071" s="1136"/>
      <c r="AH1071" s="1136"/>
      <c r="AI1071" s="1136"/>
      <c r="AJ1071" s="1136"/>
      <c r="AK1071" s="1136"/>
      <c r="AL1071" s="1136"/>
      <c r="AM1071" s="1136"/>
      <c r="AN1071" s="1136"/>
      <c r="AO1071" s="1136"/>
      <c r="AP1071" s="1136"/>
      <c r="AQ1071" s="1136"/>
      <c r="AR1071" s="1136"/>
      <c r="AS1071" s="1136"/>
      <c r="AT1071" s="1136"/>
      <c r="AU1071" s="1136"/>
      <c r="AV1071" s="1136"/>
      <c r="AW1071" s="1136"/>
      <c r="AX1071" s="1136"/>
      <c r="AY1071" s="1136"/>
      <c r="AZ1071" s="1136"/>
      <c r="BA1071" s="1136"/>
      <c r="BB1071" s="1136"/>
      <c r="BC1071" s="1136"/>
      <c r="BD1071" s="1136"/>
      <c r="BE1071" s="1136"/>
      <c r="BF1071" s="1136"/>
      <c r="BG1071" s="1136"/>
      <c r="BH1071" s="1136"/>
      <c r="BI1071" s="1136"/>
      <c r="BJ1071" s="1136"/>
      <c r="BK1071" s="1136"/>
      <c r="BL1071" s="1136"/>
      <c r="BM1071" s="1136"/>
      <c r="BN1071" s="1136"/>
      <c r="BO1071" s="1136"/>
      <c r="BP1071" s="1136"/>
      <c r="BQ1071" s="1136"/>
      <c r="BR1071" s="1136"/>
      <c r="BS1071" s="1136"/>
      <c r="BT1071" s="1136"/>
      <c r="BU1071" s="1136"/>
      <c r="BV1071" s="1136"/>
      <c r="BW1071" s="1136"/>
      <c r="BX1071" s="1136"/>
      <c r="BY1071" s="1136"/>
      <c r="BZ1071" s="1136"/>
      <c r="CA1071" s="1136"/>
      <c r="CB1071" s="1136"/>
      <c r="CC1071" s="1136"/>
      <c r="CD1071" s="1136"/>
      <c r="CE1071" s="1136"/>
      <c r="CF1071" s="1136"/>
      <c r="CG1071" s="1136"/>
      <c r="CH1071" s="1136"/>
      <c r="CI1071" s="1136"/>
      <c r="CJ1071" s="1136"/>
      <c r="CK1071" s="1136"/>
      <c r="CL1071" s="1136"/>
      <c r="CM1071" s="1136"/>
      <c r="CN1071" s="1136"/>
      <c r="CO1071" s="1136"/>
      <c r="CP1071" s="1136"/>
      <c r="CQ1071" s="1136"/>
      <c r="CR1071" s="1136"/>
      <c r="CS1071" s="1136"/>
      <c r="CT1071" s="1136"/>
      <c r="CU1071" s="1136"/>
      <c r="CV1071" s="1136"/>
      <c r="CW1071" s="1136"/>
      <c r="CX1071" s="1136"/>
      <c r="CY1071" s="1136"/>
      <c r="CZ1071" s="1136"/>
      <c r="DA1071" s="1136"/>
      <c r="DB1071" s="1136"/>
      <c r="DC1071" s="1136"/>
      <c r="DD1071" s="1136"/>
      <c r="DE1071" s="1136"/>
      <c r="DF1071" s="1136"/>
      <c r="DG1071" s="1136"/>
      <c r="DH1071" s="1136"/>
      <c r="DI1071" s="1136"/>
    </row>
    <row r="1072" spans="1:113" ht="15.75" x14ac:dyDescent="0.25">
      <c r="A1072" s="1456" t="s">
        <v>1617</v>
      </c>
      <c r="B1072" s="1506">
        <v>400</v>
      </c>
      <c r="C1072" s="1578"/>
      <c r="D1072" s="1521"/>
      <c r="E1072" s="1521"/>
      <c r="F1072" s="1521"/>
      <c r="G1072" s="1521"/>
      <c r="H1072" s="1531"/>
      <c r="I1072" s="1531"/>
      <c r="J1072" s="1531"/>
      <c r="K1072" s="1531"/>
      <c r="L1072" s="1531"/>
      <c r="M1072" s="1531"/>
      <c r="N1072" s="1136"/>
      <c r="O1072" s="1136"/>
      <c r="P1072" s="1136"/>
      <c r="Q1072" s="1136"/>
      <c r="R1072" s="1136"/>
      <c r="S1072" s="1136"/>
      <c r="T1072" s="1136"/>
      <c r="U1072" s="1136"/>
      <c r="V1072" s="1136"/>
      <c r="W1072" s="1136"/>
      <c r="X1072" s="1136"/>
      <c r="Y1072" s="1136"/>
      <c r="Z1072" s="1136"/>
      <c r="AA1072" s="1136"/>
      <c r="AB1072" s="1136"/>
      <c r="AC1072" s="1136"/>
      <c r="AD1072" s="1136"/>
      <c r="AE1072" s="1136"/>
      <c r="AF1072" s="1136"/>
      <c r="AG1072" s="1136"/>
      <c r="AH1072" s="1136"/>
      <c r="AI1072" s="1136"/>
      <c r="AJ1072" s="1136"/>
      <c r="AK1072" s="1136"/>
      <c r="AL1072" s="1136"/>
      <c r="AM1072" s="1136"/>
      <c r="AN1072" s="1136"/>
      <c r="AO1072" s="1136"/>
      <c r="AP1072" s="1136"/>
      <c r="AQ1072" s="1136"/>
      <c r="AR1072" s="1136"/>
      <c r="AS1072" s="1136"/>
      <c r="AT1072" s="1136"/>
      <c r="AU1072" s="1136"/>
      <c r="AV1072" s="1136"/>
      <c r="AW1072" s="1136"/>
      <c r="AX1072" s="1136"/>
      <c r="AY1072" s="1136"/>
      <c r="AZ1072" s="1136"/>
      <c r="BA1072" s="1136"/>
      <c r="BB1072" s="1136"/>
      <c r="BC1072" s="1136"/>
      <c r="BD1072" s="1136"/>
      <c r="BE1072" s="1136"/>
      <c r="BF1072" s="1136"/>
      <c r="BG1072" s="1136"/>
      <c r="BH1072" s="1136"/>
      <c r="BI1072" s="1136"/>
      <c r="BJ1072" s="1136"/>
      <c r="BK1072" s="1136"/>
      <c r="BL1072" s="1136"/>
      <c r="BM1072" s="1136"/>
      <c r="BN1072" s="1136"/>
      <c r="BO1072" s="1136"/>
      <c r="BP1072" s="1136"/>
      <c r="BQ1072" s="1136"/>
      <c r="BR1072" s="1136"/>
      <c r="BS1072" s="1136"/>
      <c r="BT1072" s="1136"/>
      <c r="BU1072" s="1136"/>
      <c r="BV1072" s="1136"/>
      <c r="BW1072" s="1136"/>
      <c r="BX1072" s="1136"/>
      <c r="BY1072" s="1136"/>
      <c r="BZ1072" s="1136"/>
      <c r="CA1072" s="1136"/>
      <c r="CB1072" s="1136"/>
      <c r="CC1072" s="1136"/>
      <c r="CD1072" s="1136"/>
      <c r="CE1072" s="1136"/>
      <c r="CF1072" s="1136"/>
      <c r="CG1072" s="1136"/>
      <c r="CH1072" s="1136"/>
      <c r="CI1072" s="1136"/>
      <c r="CJ1072" s="1136"/>
      <c r="CK1072" s="1136"/>
      <c r="CL1072" s="1136"/>
      <c r="CM1072" s="1136"/>
      <c r="CN1072" s="1136"/>
      <c r="CO1072" s="1136"/>
      <c r="CP1072" s="1136"/>
      <c r="CQ1072" s="1136"/>
      <c r="CR1072" s="1136"/>
      <c r="CS1072" s="1136"/>
      <c r="CT1072" s="1136"/>
      <c r="CU1072" s="1136"/>
      <c r="CV1072" s="1136"/>
      <c r="CW1072" s="1136"/>
      <c r="CX1072" s="1136"/>
      <c r="CY1072" s="1136"/>
      <c r="CZ1072" s="1136"/>
      <c r="DA1072" s="1136"/>
      <c r="DB1072" s="1136"/>
      <c r="DC1072" s="1136"/>
      <c r="DD1072" s="1136"/>
      <c r="DE1072" s="1136"/>
      <c r="DF1072" s="1136"/>
      <c r="DG1072" s="1136"/>
      <c r="DH1072" s="1136"/>
      <c r="DI1072" s="1136"/>
    </row>
    <row r="1073" spans="1:113" ht="15.75" x14ac:dyDescent="0.25">
      <c r="A1073" s="1420" t="s">
        <v>3412</v>
      </c>
      <c r="B1073" s="1441" t="e">
        <f>B1072*B341</f>
        <v>#VALUE!</v>
      </c>
      <c r="C1073" s="1596"/>
      <c r="D1073" s="1623"/>
      <c r="E1073" s="1623"/>
      <c r="F1073" s="1623"/>
      <c r="G1073" s="1623"/>
      <c r="H1073" s="1531"/>
      <c r="I1073" s="1531"/>
      <c r="J1073" s="1531"/>
      <c r="K1073" s="1531"/>
      <c r="L1073" s="1531"/>
      <c r="M1073" s="1531"/>
      <c r="N1073" s="1136"/>
      <c r="O1073" s="1136"/>
      <c r="P1073" s="1136"/>
      <c r="Q1073" s="1136"/>
      <c r="R1073" s="1136"/>
      <c r="S1073" s="1136"/>
      <c r="T1073" s="1136"/>
      <c r="U1073" s="1136"/>
      <c r="V1073" s="1136"/>
      <c r="W1073" s="1136"/>
      <c r="X1073" s="1136"/>
      <c r="Y1073" s="1136"/>
      <c r="Z1073" s="1136"/>
      <c r="AA1073" s="1136"/>
      <c r="AB1073" s="1136"/>
      <c r="AC1073" s="1136"/>
      <c r="AD1073" s="1136"/>
      <c r="AE1073" s="1136"/>
      <c r="AF1073" s="1136"/>
      <c r="AG1073" s="1136"/>
      <c r="AH1073" s="1136"/>
      <c r="AI1073" s="1136"/>
      <c r="AJ1073" s="1136"/>
      <c r="AK1073" s="1136"/>
      <c r="AL1073" s="1136"/>
      <c r="AM1073" s="1136"/>
      <c r="AN1073" s="1136"/>
      <c r="AO1073" s="1136"/>
      <c r="AP1073" s="1136"/>
      <c r="AQ1073" s="1136"/>
      <c r="AR1073" s="1136"/>
      <c r="AS1073" s="1136"/>
      <c r="AT1073" s="1136"/>
      <c r="AU1073" s="1136"/>
      <c r="AV1073" s="1136"/>
      <c r="AW1073" s="1136"/>
      <c r="AX1073" s="1136"/>
      <c r="AY1073" s="1136"/>
      <c r="AZ1073" s="1136"/>
      <c r="BA1073" s="1136"/>
      <c r="BB1073" s="1136"/>
      <c r="BC1073" s="1136"/>
      <c r="BD1073" s="1136"/>
      <c r="BE1073" s="1136"/>
      <c r="BF1073" s="1136"/>
      <c r="BG1073" s="1136"/>
      <c r="BH1073" s="1136"/>
      <c r="BI1073" s="1136"/>
      <c r="BJ1073" s="1136"/>
      <c r="BK1073" s="1136"/>
      <c r="BL1073" s="1136"/>
      <c r="BM1073" s="1136"/>
      <c r="BN1073" s="1136"/>
      <c r="BO1073" s="1136"/>
      <c r="BP1073" s="1136"/>
      <c r="BQ1073" s="1136"/>
      <c r="BR1073" s="1136"/>
      <c r="BS1073" s="1136"/>
      <c r="BT1073" s="1136"/>
      <c r="BU1073" s="1136"/>
      <c r="BV1073" s="1136"/>
      <c r="BW1073" s="1136"/>
      <c r="BX1073" s="1136"/>
      <c r="BY1073" s="1136"/>
      <c r="BZ1073" s="1136"/>
      <c r="CA1073" s="1136"/>
      <c r="CB1073" s="1136"/>
      <c r="CC1073" s="1136"/>
      <c r="CD1073" s="1136"/>
      <c r="CE1073" s="1136"/>
      <c r="CF1073" s="1136"/>
      <c r="CG1073" s="1136"/>
      <c r="CH1073" s="1136"/>
      <c r="CI1073" s="1136"/>
      <c r="CJ1073" s="1136"/>
      <c r="CK1073" s="1136"/>
      <c r="CL1073" s="1136"/>
      <c r="CM1073" s="1136"/>
      <c r="CN1073" s="1136"/>
      <c r="CO1073" s="1136"/>
      <c r="CP1073" s="1136"/>
      <c r="CQ1073" s="1136"/>
      <c r="CR1073" s="1136"/>
      <c r="CS1073" s="1136"/>
      <c r="CT1073" s="1136"/>
      <c r="CU1073" s="1136"/>
      <c r="CV1073" s="1136"/>
      <c r="CW1073" s="1136"/>
      <c r="CX1073" s="1136"/>
      <c r="CY1073" s="1136"/>
      <c r="CZ1073" s="1136"/>
      <c r="DA1073" s="1136"/>
      <c r="DB1073" s="1136"/>
      <c r="DC1073" s="1136"/>
      <c r="DD1073" s="1136"/>
      <c r="DE1073" s="1136"/>
      <c r="DF1073" s="1136"/>
      <c r="DG1073" s="1136"/>
      <c r="DH1073" s="1136"/>
      <c r="DI1073" s="1136"/>
    </row>
    <row r="1074" spans="1:113" ht="15.75" x14ac:dyDescent="0.25">
      <c r="A1074" s="1430" t="s">
        <v>429</v>
      </c>
      <c r="B1074" s="1439" t="e">
        <f>B1071/B1073</f>
        <v>#DIV/0!</v>
      </c>
      <c r="C1074" s="1562"/>
      <c r="D1074" s="1562"/>
      <c r="E1074" s="1562"/>
      <c r="F1074" s="1562"/>
      <c r="G1074" s="1562"/>
      <c r="H1074" s="1531"/>
      <c r="I1074" s="1531"/>
      <c r="J1074" s="1531"/>
      <c r="K1074" s="1531"/>
      <c r="L1074" s="1531"/>
      <c r="M1074" s="1531"/>
      <c r="N1074" s="1136"/>
      <c r="O1074" s="1136"/>
      <c r="P1074" s="1136"/>
      <c r="Q1074" s="1136"/>
      <c r="R1074" s="1136"/>
      <c r="S1074" s="1136"/>
      <c r="T1074" s="1136"/>
      <c r="U1074" s="1136"/>
      <c r="V1074" s="1136"/>
      <c r="W1074" s="1136"/>
      <c r="X1074" s="1136"/>
      <c r="Y1074" s="1136"/>
      <c r="Z1074" s="1136"/>
      <c r="AA1074" s="1136"/>
      <c r="AB1074" s="1136"/>
      <c r="AC1074" s="1136"/>
      <c r="AD1074" s="1136"/>
      <c r="AE1074" s="1136"/>
      <c r="AF1074" s="1136"/>
      <c r="AG1074" s="1136"/>
      <c r="AH1074" s="1136"/>
      <c r="AI1074" s="1136"/>
      <c r="AJ1074" s="1136"/>
      <c r="AK1074" s="1136"/>
      <c r="AL1074" s="1136"/>
      <c r="AM1074" s="1136"/>
      <c r="AN1074" s="1136"/>
      <c r="AO1074" s="1136"/>
      <c r="AP1074" s="1136"/>
      <c r="AQ1074" s="1136"/>
      <c r="AR1074" s="1136"/>
      <c r="AS1074" s="1136"/>
      <c r="AT1074" s="1136"/>
      <c r="AU1074" s="1136"/>
      <c r="AV1074" s="1136"/>
      <c r="AW1074" s="1136"/>
      <c r="AX1074" s="1136"/>
      <c r="AY1074" s="1136"/>
      <c r="AZ1074" s="1136"/>
      <c r="BA1074" s="1136"/>
      <c r="BB1074" s="1136"/>
      <c r="BC1074" s="1136"/>
      <c r="BD1074" s="1136"/>
      <c r="BE1074" s="1136"/>
      <c r="BF1074" s="1136"/>
      <c r="BG1074" s="1136"/>
      <c r="BH1074" s="1136"/>
      <c r="BI1074" s="1136"/>
      <c r="BJ1074" s="1136"/>
      <c r="BK1074" s="1136"/>
      <c r="BL1074" s="1136"/>
      <c r="BM1074" s="1136"/>
      <c r="BN1074" s="1136"/>
      <c r="BO1074" s="1136"/>
      <c r="BP1074" s="1136"/>
      <c r="BQ1074" s="1136"/>
      <c r="BR1074" s="1136"/>
      <c r="BS1074" s="1136"/>
      <c r="BT1074" s="1136"/>
      <c r="BU1074" s="1136"/>
      <c r="BV1074" s="1136"/>
      <c r="BW1074" s="1136"/>
      <c r="BX1074" s="1136"/>
      <c r="BY1074" s="1136"/>
      <c r="BZ1074" s="1136"/>
      <c r="CA1074" s="1136"/>
      <c r="CB1074" s="1136"/>
      <c r="CC1074" s="1136"/>
      <c r="CD1074" s="1136"/>
      <c r="CE1074" s="1136"/>
      <c r="CF1074" s="1136"/>
      <c r="CG1074" s="1136"/>
      <c r="CH1074" s="1136"/>
      <c r="CI1074" s="1136"/>
      <c r="CJ1074" s="1136"/>
      <c r="CK1074" s="1136"/>
      <c r="CL1074" s="1136"/>
      <c r="CM1074" s="1136"/>
      <c r="CN1074" s="1136"/>
      <c r="CO1074" s="1136"/>
      <c r="CP1074" s="1136"/>
      <c r="CQ1074" s="1136"/>
      <c r="CR1074" s="1136"/>
      <c r="CS1074" s="1136"/>
      <c r="CT1074" s="1136"/>
      <c r="CU1074" s="1136"/>
      <c r="CV1074" s="1136"/>
      <c r="CW1074" s="1136"/>
      <c r="CX1074" s="1136"/>
      <c r="CY1074" s="1136"/>
      <c r="CZ1074" s="1136"/>
      <c r="DA1074" s="1136"/>
      <c r="DB1074" s="1136"/>
      <c r="DC1074" s="1136"/>
      <c r="DD1074" s="1136"/>
      <c r="DE1074" s="1136"/>
      <c r="DF1074" s="1136"/>
      <c r="DG1074" s="1136"/>
      <c r="DH1074" s="1136"/>
      <c r="DI1074" s="1136"/>
    </row>
    <row r="1075" spans="1:113" ht="15.75" x14ac:dyDescent="0.25">
      <c r="A1075" s="1430"/>
      <c r="B1075" s="1443"/>
      <c r="C1075" s="1521"/>
      <c r="D1075" s="1562"/>
      <c r="E1075" s="1562"/>
      <c r="F1075" s="1562"/>
      <c r="G1075" s="1562"/>
      <c r="H1075" s="1531"/>
      <c r="I1075" s="1531"/>
      <c r="J1075" s="1531"/>
      <c r="K1075" s="1531"/>
      <c r="L1075" s="1531"/>
      <c r="M1075" s="1531"/>
      <c r="N1075" s="1136"/>
      <c r="O1075" s="1136"/>
      <c r="P1075" s="1136"/>
      <c r="Q1075" s="1136"/>
      <c r="R1075" s="1136"/>
      <c r="S1075" s="1136"/>
      <c r="T1075" s="1136"/>
      <c r="U1075" s="1136"/>
      <c r="V1075" s="1136"/>
      <c r="W1075" s="1136"/>
      <c r="X1075" s="1136"/>
      <c r="Y1075" s="1136"/>
      <c r="Z1075" s="1136"/>
      <c r="AA1075" s="1136"/>
      <c r="AB1075" s="1136"/>
      <c r="AC1075" s="1136"/>
      <c r="AD1075" s="1136"/>
      <c r="AE1075" s="1136"/>
      <c r="AF1075" s="1136"/>
      <c r="AG1075" s="1136"/>
      <c r="AH1075" s="1136"/>
      <c r="AI1075" s="1136"/>
      <c r="AJ1075" s="1136"/>
      <c r="AK1075" s="1136"/>
      <c r="AL1075" s="1136"/>
      <c r="AM1075" s="1136"/>
      <c r="AN1075" s="1136"/>
      <c r="AO1075" s="1136"/>
      <c r="AP1075" s="1136"/>
      <c r="AQ1075" s="1136"/>
      <c r="AR1075" s="1136"/>
      <c r="AS1075" s="1136"/>
      <c r="AT1075" s="1136"/>
      <c r="AU1075" s="1136"/>
      <c r="AV1075" s="1136"/>
      <c r="AW1075" s="1136"/>
      <c r="AX1075" s="1136"/>
      <c r="AY1075" s="1136"/>
      <c r="AZ1075" s="1136"/>
      <c r="BA1075" s="1136"/>
      <c r="BB1075" s="1136"/>
      <c r="BC1075" s="1136"/>
      <c r="BD1075" s="1136"/>
      <c r="BE1075" s="1136"/>
      <c r="BF1075" s="1136"/>
      <c r="BG1075" s="1136"/>
      <c r="BH1075" s="1136"/>
      <c r="BI1075" s="1136"/>
      <c r="BJ1075" s="1136"/>
      <c r="BK1075" s="1136"/>
      <c r="BL1075" s="1136"/>
      <c r="BM1075" s="1136"/>
      <c r="BN1075" s="1136"/>
      <c r="BO1075" s="1136"/>
      <c r="BP1075" s="1136"/>
      <c r="BQ1075" s="1136"/>
      <c r="BR1075" s="1136"/>
      <c r="BS1075" s="1136"/>
      <c r="BT1075" s="1136"/>
      <c r="BU1075" s="1136"/>
      <c r="BV1075" s="1136"/>
      <c r="BW1075" s="1136"/>
      <c r="BX1075" s="1136"/>
      <c r="BY1075" s="1136"/>
      <c r="BZ1075" s="1136"/>
      <c r="CA1075" s="1136"/>
      <c r="CB1075" s="1136"/>
      <c r="CC1075" s="1136"/>
      <c r="CD1075" s="1136"/>
      <c r="CE1075" s="1136"/>
      <c r="CF1075" s="1136"/>
      <c r="CG1075" s="1136"/>
      <c r="CH1075" s="1136"/>
      <c r="CI1075" s="1136"/>
      <c r="CJ1075" s="1136"/>
      <c r="CK1075" s="1136"/>
      <c r="CL1075" s="1136"/>
      <c r="CM1075" s="1136"/>
      <c r="CN1075" s="1136"/>
      <c r="CO1075" s="1136"/>
      <c r="CP1075" s="1136"/>
      <c r="CQ1075" s="1136"/>
      <c r="CR1075" s="1136"/>
      <c r="CS1075" s="1136"/>
      <c r="CT1075" s="1136"/>
      <c r="CU1075" s="1136"/>
      <c r="CV1075" s="1136"/>
      <c r="CW1075" s="1136"/>
      <c r="CX1075" s="1136"/>
      <c r="CY1075" s="1136"/>
      <c r="CZ1075" s="1136"/>
      <c r="DA1075" s="1136"/>
      <c r="DB1075" s="1136"/>
      <c r="DC1075" s="1136"/>
      <c r="DD1075" s="1136"/>
      <c r="DE1075" s="1136"/>
      <c r="DF1075" s="1136"/>
      <c r="DG1075" s="1136"/>
      <c r="DH1075" s="1136"/>
      <c r="DI1075" s="1136"/>
    </row>
    <row r="1076" spans="1:113" ht="47.25" x14ac:dyDescent="0.25">
      <c r="A1076" s="1438" t="s">
        <v>214</v>
      </c>
      <c r="B1076" s="1443"/>
      <c r="C1076" s="1521"/>
      <c r="D1076" s="1531"/>
      <c r="E1076" s="1531"/>
      <c r="F1076" s="1531"/>
      <c r="G1076" s="1531"/>
      <c r="H1076" s="1531"/>
      <c r="I1076" s="1531"/>
      <c r="J1076" s="1531"/>
      <c r="K1076" s="1531"/>
      <c r="L1076" s="1531"/>
      <c r="M1076" s="1531"/>
      <c r="N1076" s="1136"/>
      <c r="O1076" s="1136"/>
      <c r="P1076" s="1136"/>
      <c r="Q1076" s="1136"/>
      <c r="R1076" s="1136"/>
      <c r="S1076" s="1136"/>
      <c r="T1076" s="1136"/>
      <c r="U1076" s="1136"/>
      <c r="V1076" s="1136"/>
      <c r="W1076" s="1136"/>
      <c r="X1076" s="1136"/>
      <c r="Y1076" s="1136"/>
      <c r="Z1076" s="1136"/>
      <c r="AA1076" s="1136"/>
      <c r="AB1076" s="1136"/>
      <c r="AC1076" s="1136"/>
      <c r="AD1076" s="1136"/>
      <c r="AE1076" s="1136"/>
      <c r="AF1076" s="1136"/>
      <c r="AG1076" s="1136"/>
      <c r="AH1076" s="1136"/>
      <c r="AI1076" s="1136"/>
      <c r="AJ1076" s="1136"/>
      <c r="AK1076" s="1136"/>
      <c r="AL1076" s="1136"/>
      <c r="AM1076" s="1136"/>
      <c r="AN1076" s="1136"/>
      <c r="AO1076" s="1136"/>
      <c r="AP1076" s="1136"/>
      <c r="AQ1076" s="1136"/>
      <c r="AR1076" s="1136"/>
      <c r="AS1076" s="1136"/>
      <c r="AT1076" s="1136"/>
      <c r="AU1076" s="1136"/>
      <c r="AV1076" s="1136"/>
      <c r="AW1076" s="1136"/>
      <c r="AX1076" s="1136"/>
      <c r="AY1076" s="1136"/>
      <c r="AZ1076" s="1136"/>
      <c r="BA1076" s="1136"/>
      <c r="BB1076" s="1136"/>
      <c r="BC1076" s="1136"/>
      <c r="BD1076" s="1136"/>
      <c r="BE1076" s="1136"/>
      <c r="BF1076" s="1136"/>
      <c r="BG1076" s="1136"/>
      <c r="BH1076" s="1136"/>
      <c r="BI1076" s="1136"/>
      <c r="BJ1076" s="1136"/>
      <c r="BK1076" s="1136"/>
      <c r="BL1076" s="1136"/>
      <c r="BM1076" s="1136"/>
      <c r="BN1076" s="1136"/>
      <c r="BO1076" s="1136"/>
      <c r="BP1076" s="1136"/>
      <c r="BQ1076" s="1136"/>
      <c r="BR1076" s="1136"/>
      <c r="BS1076" s="1136"/>
      <c r="BT1076" s="1136"/>
      <c r="BU1076" s="1136"/>
      <c r="BV1076" s="1136"/>
      <c r="BW1076" s="1136"/>
      <c r="BX1076" s="1136"/>
      <c r="BY1076" s="1136"/>
      <c r="BZ1076" s="1136"/>
      <c r="CA1076" s="1136"/>
      <c r="CB1076" s="1136"/>
      <c r="CC1076" s="1136"/>
      <c r="CD1076" s="1136"/>
      <c r="CE1076" s="1136"/>
      <c r="CF1076" s="1136"/>
      <c r="CG1076" s="1136"/>
      <c r="CH1076" s="1136"/>
      <c r="CI1076" s="1136"/>
      <c r="CJ1076" s="1136"/>
      <c r="CK1076" s="1136"/>
      <c r="CL1076" s="1136"/>
      <c r="CM1076" s="1136"/>
      <c r="CN1076" s="1136"/>
      <c r="CO1076" s="1136"/>
      <c r="CP1076" s="1136"/>
      <c r="CQ1076" s="1136"/>
      <c r="CR1076" s="1136"/>
      <c r="CS1076" s="1136"/>
      <c r="CT1076" s="1136"/>
      <c r="CU1076" s="1136"/>
      <c r="CV1076" s="1136"/>
      <c r="CW1076" s="1136"/>
      <c r="CX1076" s="1136"/>
      <c r="CY1076" s="1136"/>
      <c r="CZ1076" s="1136"/>
      <c r="DA1076" s="1136"/>
      <c r="DB1076" s="1136"/>
      <c r="DC1076" s="1136"/>
      <c r="DD1076" s="1136"/>
      <c r="DE1076" s="1136"/>
      <c r="DF1076" s="1136"/>
      <c r="DG1076" s="1136"/>
      <c r="DH1076" s="1136"/>
      <c r="DI1076" s="1136"/>
    </row>
    <row r="1077" spans="1:113" ht="15.75" x14ac:dyDescent="0.25">
      <c r="A1077" s="1430" t="s">
        <v>211</v>
      </c>
      <c r="B1077" s="1433">
        <f>B634</f>
        <v>2</v>
      </c>
      <c r="C1077" s="1569"/>
      <c r="D1077" s="1531"/>
      <c r="E1077" s="1531"/>
      <c r="F1077" s="1531"/>
      <c r="G1077" s="1531"/>
      <c r="H1077" s="1531"/>
      <c r="I1077" s="1531"/>
      <c r="J1077" s="1531"/>
      <c r="K1077" s="1531"/>
      <c r="L1077" s="1531"/>
      <c r="M1077" s="1531"/>
      <c r="N1077" s="1136"/>
      <c r="O1077" s="1136"/>
      <c r="P1077" s="1136"/>
      <c r="Q1077" s="1136"/>
      <c r="R1077" s="1136"/>
      <c r="S1077" s="1136"/>
      <c r="T1077" s="1136"/>
      <c r="U1077" s="1136"/>
      <c r="V1077" s="1136"/>
      <c r="W1077" s="1136"/>
      <c r="X1077" s="1136"/>
      <c r="Y1077" s="1136"/>
      <c r="Z1077" s="1136"/>
      <c r="AA1077" s="1136"/>
      <c r="AB1077" s="1136"/>
      <c r="AC1077" s="1136"/>
      <c r="AD1077" s="1136"/>
      <c r="AE1077" s="1136"/>
      <c r="AF1077" s="1136"/>
      <c r="AG1077" s="1136"/>
      <c r="AH1077" s="1136"/>
      <c r="AI1077" s="1136"/>
      <c r="AJ1077" s="1136"/>
      <c r="AK1077" s="1136"/>
      <c r="AL1077" s="1136"/>
      <c r="AM1077" s="1136"/>
      <c r="AN1077" s="1136"/>
      <c r="AO1077" s="1136"/>
      <c r="AP1077" s="1136"/>
      <c r="AQ1077" s="1136"/>
      <c r="AR1077" s="1136"/>
      <c r="AS1077" s="1136"/>
      <c r="AT1077" s="1136"/>
      <c r="AU1077" s="1136"/>
      <c r="AV1077" s="1136"/>
      <c r="AW1077" s="1136"/>
      <c r="AX1077" s="1136"/>
      <c r="AY1077" s="1136"/>
      <c r="AZ1077" s="1136"/>
      <c r="BA1077" s="1136"/>
      <c r="BB1077" s="1136"/>
      <c r="BC1077" s="1136"/>
      <c r="BD1077" s="1136"/>
      <c r="BE1077" s="1136"/>
      <c r="BF1077" s="1136"/>
      <c r="BG1077" s="1136"/>
      <c r="BH1077" s="1136"/>
      <c r="BI1077" s="1136"/>
      <c r="BJ1077" s="1136"/>
      <c r="BK1077" s="1136"/>
      <c r="BL1077" s="1136"/>
      <c r="BM1077" s="1136"/>
      <c r="BN1077" s="1136"/>
      <c r="BO1077" s="1136"/>
      <c r="BP1077" s="1136"/>
      <c r="BQ1077" s="1136"/>
      <c r="BR1077" s="1136"/>
      <c r="BS1077" s="1136"/>
      <c r="BT1077" s="1136"/>
      <c r="BU1077" s="1136"/>
      <c r="BV1077" s="1136"/>
      <c r="BW1077" s="1136"/>
      <c r="BX1077" s="1136"/>
      <c r="BY1077" s="1136"/>
      <c r="BZ1077" s="1136"/>
      <c r="CA1077" s="1136"/>
      <c r="CB1077" s="1136"/>
      <c r="CC1077" s="1136"/>
      <c r="CD1077" s="1136"/>
      <c r="CE1077" s="1136"/>
      <c r="CF1077" s="1136"/>
      <c r="CG1077" s="1136"/>
      <c r="CH1077" s="1136"/>
      <c r="CI1077" s="1136"/>
      <c r="CJ1077" s="1136"/>
      <c r="CK1077" s="1136"/>
      <c r="CL1077" s="1136"/>
      <c r="CM1077" s="1136"/>
      <c r="CN1077" s="1136"/>
      <c r="CO1077" s="1136"/>
      <c r="CP1077" s="1136"/>
      <c r="CQ1077" s="1136"/>
      <c r="CR1077" s="1136"/>
      <c r="CS1077" s="1136"/>
      <c r="CT1077" s="1136"/>
      <c r="CU1077" s="1136"/>
      <c r="CV1077" s="1136"/>
      <c r="CW1077" s="1136"/>
      <c r="CX1077" s="1136"/>
      <c r="CY1077" s="1136"/>
      <c r="CZ1077" s="1136"/>
      <c r="DA1077" s="1136"/>
      <c r="DB1077" s="1136"/>
      <c r="DC1077" s="1136"/>
      <c r="DD1077" s="1136"/>
      <c r="DE1077" s="1136"/>
      <c r="DF1077" s="1136"/>
      <c r="DG1077" s="1136"/>
      <c r="DH1077" s="1136"/>
      <c r="DI1077" s="1136"/>
    </row>
    <row r="1078" spans="1:113" ht="15.75" x14ac:dyDescent="0.25">
      <c r="A1078" s="1430" t="s">
        <v>4152</v>
      </c>
      <c r="B1078" s="1433" t="e">
        <f>(B291/B1077)*(B809+B810)</f>
        <v>#DIV/0!</v>
      </c>
      <c r="C1078" s="1569"/>
      <c r="D1078" s="1521"/>
      <c r="E1078" s="1521"/>
      <c r="F1078" s="1521"/>
      <c r="G1078" s="1521"/>
      <c r="H1078" s="1531"/>
      <c r="I1078" s="1531"/>
      <c r="J1078" s="1531"/>
      <c r="K1078" s="1531"/>
      <c r="L1078" s="1531"/>
      <c r="M1078" s="1531"/>
      <c r="N1078" s="1136"/>
      <c r="O1078" s="1136"/>
      <c r="P1078" s="1136"/>
      <c r="Q1078" s="1136"/>
      <c r="R1078" s="1136"/>
      <c r="S1078" s="1136"/>
      <c r="T1078" s="1136"/>
      <c r="U1078" s="1136"/>
      <c r="V1078" s="1136"/>
      <c r="W1078" s="1136"/>
      <c r="X1078" s="1136"/>
      <c r="Y1078" s="1136"/>
      <c r="Z1078" s="1136"/>
      <c r="AA1078" s="1136"/>
      <c r="AB1078" s="1136"/>
      <c r="AC1078" s="1136"/>
      <c r="AD1078" s="1136"/>
      <c r="AE1078" s="1136"/>
      <c r="AF1078" s="1136"/>
      <c r="AG1078" s="1136"/>
      <c r="AH1078" s="1136"/>
      <c r="AI1078" s="1136"/>
      <c r="AJ1078" s="1136"/>
      <c r="AK1078" s="1136"/>
      <c r="AL1078" s="1136"/>
      <c r="AM1078" s="1136"/>
      <c r="AN1078" s="1136"/>
      <c r="AO1078" s="1136"/>
      <c r="AP1078" s="1136"/>
      <c r="AQ1078" s="1136"/>
      <c r="AR1078" s="1136"/>
      <c r="AS1078" s="1136"/>
      <c r="AT1078" s="1136"/>
      <c r="AU1078" s="1136"/>
      <c r="AV1078" s="1136"/>
      <c r="AW1078" s="1136"/>
      <c r="AX1078" s="1136"/>
      <c r="AY1078" s="1136"/>
      <c r="AZ1078" s="1136"/>
      <c r="BA1078" s="1136"/>
      <c r="BB1078" s="1136"/>
      <c r="BC1078" s="1136"/>
      <c r="BD1078" s="1136"/>
      <c r="BE1078" s="1136"/>
      <c r="BF1078" s="1136"/>
      <c r="BG1078" s="1136"/>
      <c r="BH1078" s="1136"/>
      <c r="BI1078" s="1136"/>
      <c r="BJ1078" s="1136"/>
      <c r="BK1078" s="1136"/>
      <c r="BL1078" s="1136"/>
      <c r="BM1078" s="1136"/>
      <c r="BN1078" s="1136"/>
      <c r="BO1078" s="1136"/>
      <c r="BP1078" s="1136"/>
      <c r="BQ1078" s="1136"/>
      <c r="BR1078" s="1136"/>
      <c r="BS1078" s="1136"/>
      <c r="BT1078" s="1136"/>
      <c r="BU1078" s="1136"/>
      <c r="BV1078" s="1136"/>
      <c r="BW1078" s="1136"/>
      <c r="BX1078" s="1136"/>
      <c r="BY1078" s="1136"/>
      <c r="BZ1078" s="1136"/>
      <c r="CA1078" s="1136"/>
      <c r="CB1078" s="1136"/>
      <c r="CC1078" s="1136"/>
      <c r="CD1078" s="1136"/>
      <c r="CE1078" s="1136"/>
      <c r="CF1078" s="1136"/>
      <c r="CG1078" s="1136"/>
      <c r="CH1078" s="1136"/>
      <c r="CI1078" s="1136"/>
      <c r="CJ1078" s="1136"/>
      <c r="CK1078" s="1136"/>
      <c r="CL1078" s="1136"/>
      <c r="CM1078" s="1136"/>
      <c r="CN1078" s="1136"/>
      <c r="CO1078" s="1136"/>
      <c r="CP1078" s="1136"/>
      <c r="CQ1078" s="1136"/>
      <c r="CR1078" s="1136"/>
      <c r="CS1078" s="1136"/>
      <c r="CT1078" s="1136"/>
      <c r="CU1078" s="1136"/>
      <c r="CV1078" s="1136"/>
      <c r="CW1078" s="1136"/>
      <c r="CX1078" s="1136"/>
      <c r="CY1078" s="1136"/>
      <c r="CZ1078" s="1136"/>
      <c r="DA1078" s="1136"/>
      <c r="DB1078" s="1136"/>
      <c r="DC1078" s="1136"/>
      <c r="DD1078" s="1136"/>
      <c r="DE1078" s="1136"/>
      <c r="DF1078" s="1136"/>
      <c r="DG1078" s="1136"/>
      <c r="DH1078" s="1136"/>
      <c r="DI1078" s="1136"/>
    </row>
    <row r="1079" spans="1:113" ht="15.75" x14ac:dyDescent="0.25">
      <c r="A1079" s="1430" t="s">
        <v>425</v>
      </c>
      <c r="B1079" s="1423">
        <f>INDEX($Q$1619:$T$1631,B1081,B1083)</f>
        <v>9.1999999999999993</v>
      </c>
      <c r="C1079" s="1567"/>
      <c r="D1079" s="1578"/>
      <c r="E1079" s="1578"/>
      <c r="F1079" s="1578"/>
      <c r="G1079" s="1578"/>
      <c r="H1079" s="1531"/>
      <c r="I1079" s="1531"/>
      <c r="J1079" s="1531"/>
      <c r="K1079" s="1531"/>
      <c r="L1079" s="1531"/>
      <c r="M1079" s="1531"/>
      <c r="N1079" s="1136"/>
      <c r="O1079" s="1136"/>
      <c r="P1079" s="1136"/>
      <c r="Q1079" s="1136"/>
      <c r="R1079" s="1136"/>
      <c r="S1079" s="1136"/>
      <c r="T1079" s="1136"/>
      <c r="U1079" s="1136"/>
      <c r="V1079" s="1136"/>
      <c r="W1079" s="1136"/>
      <c r="X1079" s="1136"/>
      <c r="Y1079" s="1136"/>
      <c r="Z1079" s="1136"/>
      <c r="AA1079" s="1136"/>
      <c r="AB1079" s="1136"/>
      <c r="AC1079" s="1136"/>
      <c r="AD1079" s="1136"/>
      <c r="AE1079" s="1136"/>
      <c r="AF1079" s="1136"/>
      <c r="AG1079" s="1136"/>
      <c r="AH1079" s="1136"/>
      <c r="AI1079" s="1136"/>
      <c r="AJ1079" s="1136"/>
      <c r="AK1079" s="1136"/>
      <c r="AL1079" s="1136"/>
      <c r="AM1079" s="1136"/>
      <c r="AN1079" s="1136"/>
      <c r="AO1079" s="1136"/>
      <c r="AP1079" s="1136"/>
      <c r="AQ1079" s="1136"/>
      <c r="AR1079" s="1136"/>
      <c r="AS1079" s="1136"/>
      <c r="AT1079" s="1136"/>
      <c r="AU1079" s="1136"/>
      <c r="AV1079" s="1136"/>
      <c r="AW1079" s="1136"/>
      <c r="AX1079" s="1136"/>
      <c r="AY1079" s="1136"/>
      <c r="AZ1079" s="1136"/>
      <c r="BA1079" s="1136"/>
      <c r="BB1079" s="1136"/>
      <c r="BC1079" s="1136"/>
      <c r="BD1079" s="1136"/>
      <c r="BE1079" s="1136"/>
      <c r="BF1079" s="1136"/>
      <c r="BG1079" s="1136"/>
      <c r="BH1079" s="1136"/>
      <c r="BI1079" s="1136"/>
      <c r="BJ1079" s="1136"/>
      <c r="BK1079" s="1136"/>
      <c r="BL1079" s="1136"/>
      <c r="BM1079" s="1136"/>
      <c r="BN1079" s="1136"/>
      <c r="BO1079" s="1136"/>
      <c r="BP1079" s="1136"/>
      <c r="BQ1079" s="1136"/>
      <c r="BR1079" s="1136"/>
      <c r="BS1079" s="1136"/>
      <c r="BT1079" s="1136"/>
      <c r="BU1079" s="1136"/>
      <c r="BV1079" s="1136"/>
      <c r="BW1079" s="1136"/>
      <c r="BX1079" s="1136"/>
      <c r="BY1079" s="1136"/>
      <c r="BZ1079" s="1136"/>
      <c r="CA1079" s="1136"/>
      <c r="CB1079" s="1136"/>
      <c r="CC1079" s="1136"/>
      <c r="CD1079" s="1136"/>
      <c r="CE1079" s="1136"/>
      <c r="CF1079" s="1136"/>
      <c r="CG1079" s="1136"/>
      <c r="CH1079" s="1136"/>
      <c r="CI1079" s="1136"/>
      <c r="CJ1079" s="1136"/>
      <c r="CK1079" s="1136"/>
      <c r="CL1079" s="1136"/>
      <c r="CM1079" s="1136"/>
      <c r="CN1079" s="1136"/>
      <c r="CO1079" s="1136"/>
      <c r="CP1079" s="1136"/>
      <c r="CQ1079" s="1136"/>
      <c r="CR1079" s="1136"/>
      <c r="CS1079" s="1136"/>
      <c r="CT1079" s="1136"/>
      <c r="CU1079" s="1136"/>
      <c r="CV1079" s="1136"/>
      <c r="CW1079" s="1136"/>
      <c r="CX1079" s="1136"/>
      <c r="CY1079" s="1136"/>
      <c r="CZ1079" s="1136"/>
      <c r="DA1079" s="1136"/>
      <c r="DB1079" s="1136"/>
      <c r="DC1079" s="1136"/>
      <c r="DD1079" s="1136"/>
      <c r="DE1079" s="1136"/>
      <c r="DF1079" s="1136"/>
      <c r="DG1079" s="1136"/>
      <c r="DH1079" s="1136"/>
      <c r="DI1079" s="1136"/>
    </row>
    <row r="1080" spans="1:113" ht="15.75" x14ac:dyDescent="0.25">
      <c r="A1080" s="1456" t="s">
        <v>1719</v>
      </c>
      <c r="B1080" s="1479"/>
      <c r="C1080" s="1565"/>
      <c r="D1080" s="1596"/>
      <c r="E1080" s="1596"/>
      <c r="F1080" s="1596"/>
      <c r="G1080" s="1596"/>
      <c r="H1080" s="1531"/>
      <c r="I1080" s="1531"/>
      <c r="J1080" s="1531"/>
      <c r="K1080" s="1531"/>
      <c r="L1080" s="1531"/>
      <c r="M1080" s="1531"/>
      <c r="N1080" s="1136"/>
      <c r="O1080" s="1136"/>
      <c r="P1080" s="1136"/>
      <c r="Q1080" s="1136"/>
      <c r="R1080" s="1136"/>
      <c r="S1080" s="1136"/>
      <c r="T1080" s="1136"/>
      <c r="U1080" s="1136"/>
      <c r="V1080" s="1136"/>
      <c r="W1080" s="1136"/>
      <c r="X1080" s="1136"/>
      <c r="Y1080" s="1136"/>
      <c r="Z1080" s="1136"/>
      <c r="AA1080" s="1136"/>
      <c r="AB1080" s="1136"/>
      <c r="AC1080" s="1136"/>
      <c r="AD1080" s="1136"/>
      <c r="AE1080" s="1136"/>
      <c r="AF1080" s="1136"/>
      <c r="AG1080" s="1136"/>
      <c r="AH1080" s="1136"/>
      <c r="AI1080" s="1136"/>
      <c r="AJ1080" s="1136"/>
      <c r="AK1080" s="1136"/>
      <c r="AL1080" s="1136"/>
      <c r="AM1080" s="1136"/>
      <c r="AN1080" s="1136"/>
      <c r="AO1080" s="1136"/>
      <c r="AP1080" s="1136"/>
      <c r="AQ1080" s="1136"/>
      <c r="AR1080" s="1136"/>
      <c r="AS1080" s="1136"/>
      <c r="AT1080" s="1136"/>
      <c r="AU1080" s="1136"/>
      <c r="AV1080" s="1136"/>
      <c r="AW1080" s="1136"/>
      <c r="AX1080" s="1136"/>
      <c r="AY1080" s="1136"/>
      <c r="AZ1080" s="1136"/>
      <c r="BA1080" s="1136"/>
      <c r="BB1080" s="1136"/>
      <c r="BC1080" s="1136"/>
      <c r="BD1080" s="1136"/>
      <c r="BE1080" s="1136"/>
      <c r="BF1080" s="1136"/>
      <c r="BG1080" s="1136"/>
      <c r="BH1080" s="1136"/>
      <c r="BI1080" s="1136"/>
      <c r="BJ1080" s="1136"/>
      <c r="BK1080" s="1136"/>
      <c r="BL1080" s="1136"/>
      <c r="BM1080" s="1136"/>
      <c r="BN1080" s="1136"/>
      <c r="BO1080" s="1136"/>
      <c r="BP1080" s="1136"/>
      <c r="BQ1080" s="1136"/>
      <c r="BR1080" s="1136"/>
      <c r="BS1080" s="1136"/>
      <c r="BT1080" s="1136"/>
      <c r="BU1080" s="1136"/>
      <c r="BV1080" s="1136"/>
      <c r="BW1080" s="1136"/>
      <c r="BX1080" s="1136"/>
      <c r="BY1080" s="1136"/>
      <c r="BZ1080" s="1136"/>
      <c r="CA1080" s="1136"/>
      <c r="CB1080" s="1136"/>
      <c r="CC1080" s="1136"/>
      <c r="CD1080" s="1136"/>
      <c r="CE1080" s="1136"/>
      <c r="CF1080" s="1136"/>
      <c r="CG1080" s="1136"/>
      <c r="CH1080" s="1136"/>
      <c r="CI1080" s="1136"/>
      <c r="CJ1080" s="1136"/>
      <c r="CK1080" s="1136"/>
      <c r="CL1080" s="1136"/>
      <c r="CM1080" s="1136"/>
      <c r="CN1080" s="1136"/>
      <c r="CO1080" s="1136"/>
      <c r="CP1080" s="1136"/>
      <c r="CQ1080" s="1136"/>
      <c r="CR1080" s="1136"/>
      <c r="CS1080" s="1136"/>
      <c r="CT1080" s="1136"/>
      <c r="CU1080" s="1136"/>
      <c r="CV1080" s="1136"/>
      <c r="CW1080" s="1136"/>
      <c r="CX1080" s="1136"/>
      <c r="CY1080" s="1136"/>
      <c r="CZ1080" s="1136"/>
      <c r="DA1080" s="1136"/>
      <c r="DB1080" s="1136"/>
      <c r="DC1080" s="1136"/>
      <c r="DD1080" s="1136"/>
      <c r="DE1080" s="1136"/>
      <c r="DF1080" s="1136"/>
      <c r="DG1080" s="1136"/>
      <c r="DH1080" s="1136"/>
      <c r="DI1080" s="1136"/>
    </row>
    <row r="1081" spans="1:113" ht="15.75" x14ac:dyDescent="0.25">
      <c r="A1081" s="1430" t="s">
        <v>199</v>
      </c>
      <c r="B1081" s="1431">
        <f>IF(B286&lt;0.51,1,IF(B286&lt;0.61,2,IF(B286&lt;0.71,3,IF(B286&lt;0.81,4,IF(B286&lt;0.91,5,IF(B286&lt;1.01,6,IF(B286&lt;1.11,7,B1082)))))))</f>
        <v>13</v>
      </c>
      <c r="C1081" s="1610"/>
      <c r="D1081" s="1562"/>
      <c r="E1081" s="1562"/>
      <c r="F1081" s="1562"/>
      <c r="G1081" s="1562"/>
      <c r="H1081" s="1531"/>
      <c r="I1081" s="1531"/>
      <c r="J1081" s="1531"/>
      <c r="K1081" s="1531"/>
      <c r="L1081" s="1531"/>
      <c r="M1081" s="1531"/>
      <c r="N1081" s="1136"/>
      <c r="O1081" s="1136"/>
      <c r="P1081" s="1136"/>
      <c r="Q1081" s="1136"/>
      <c r="R1081" s="1136"/>
      <c r="S1081" s="1136"/>
      <c r="T1081" s="1136"/>
      <c r="U1081" s="1136"/>
      <c r="V1081" s="1136"/>
      <c r="W1081" s="1136"/>
      <c r="X1081" s="1136"/>
      <c r="Y1081" s="1136"/>
      <c r="Z1081" s="1136"/>
      <c r="AA1081" s="1136"/>
      <c r="AB1081" s="1136"/>
      <c r="AC1081" s="1136"/>
      <c r="AD1081" s="1136"/>
      <c r="AE1081" s="1136"/>
      <c r="AF1081" s="1136"/>
      <c r="AG1081" s="1136"/>
      <c r="AH1081" s="1136"/>
      <c r="AI1081" s="1136"/>
      <c r="AJ1081" s="1136"/>
      <c r="AK1081" s="1136"/>
      <c r="AL1081" s="1136"/>
      <c r="AM1081" s="1136"/>
      <c r="AN1081" s="1136"/>
      <c r="AO1081" s="1136"/>
      <c r="AP1081" s="1136"/>
      <c r="AQ1081" s="1136"/>
      <c r="AR1081" s="1136"/>
      <c r="AS1081" s="1136"/>
      <c r="AT1081" s="1136"/>
      <c r="AU1081" s="1136"/>
      <c r="AV1081" s="1136"/>
      <c r="AW1081" s="1136"/>
      <c r="AX1081" s="1136"/>
      <c r="AY1081" s="1136"/>
      <c r="AZ1081" s="1136"/>
      <c r="BA1081" s="1136"/>
      <c r="BB1081" s="1136"/>
      <c r="BC1081" s="1136"/>
      <c r="BD1081" s="1136"/>
      <c r="BE1081" s="1136"/>
      <c r="BF1081" s="1136"/>
      <c r="BG1081" s="1136"/>
      <c r="BH1081" s="1136"/>
      <c r="BI1081" s="1136"/>
      <c r="BJ1081" s="1136"/>
      <c r="BK1081" s="1136"/>
      <c r="BL1081" s="1136"/>
      <c r="BM1081" s="1136"/>
      <c r="BN1081" s="1136"/>
      <c r="BO1081" s="1136"/>
      <c r="BP1081" s="1136"/>
      <c r="BQ1081" s="1136"/>
      <c r="BR1081" s="1136"/>
      <c r="BS1081" s="1136"/>
      <c r="BT1081" s="1136"/>
      <c r="BU1081" s="1136"/>
      <c r="BV1081" s="1136"/>
      <c r="BW1081" s="1136"/>
      <c r="BX1081" s="1136"/>
      <c r="BY1081" s="1136"/>
      <c r="BZ1081" s="1136"/>
      <c r="CA1081" s="1136"/>
      <c r="CB1081" s="1136"/>
      <c r="CC1081" s="1136"/>
      <c r="CD1081" s="1136"/>
      <c r="CE1081" s="1136"/>
      <c r="CF1081" s="1136"/>
      <c r="CG1081" s="1136"/>
      <c r="CH1081" s="1136"/>
      <c r="CI1081" s="1136"/>
      <c r="CJ1081" s="1136"/>
      <c r="CK1081" s="1136"/>
      <c r="CL1081" s="1136"/>
      <c r="CM1081" s="1136"/>
      <c r="CN1081" s="1136"/>
      <c r="CO1081" s="1136"/>
      <c r="CP1081" s="1136"/>
      <c r="CQ1081" s="1136"/>
      <c r="CR1081" s="1136"/>
      <c r="CS1081" s="1136"/>
      <c r="CT1081" s="1136"/>
      <c r="CU1081" s="1136"/>
      <c r="CV1081" s="1136"/>
      <c r="CW1081" s="1136"/>
      <c r="CX1081" s="1136"/>
      <c r="CY1081" s="1136"/>
      <c r="CZ1081" s="1136"/>
      <c r="DA1081" s="1136"/>
      <c r="DB1081" s="1136"/>
      <c r="DC1081" s="1136"/>
      <c r="DD1081" s="1136"/>
      <c r="DE1081" s="1136"/>
      <c r="DF1081" s="1136"/>
      <c r="DG1081" s="1136"/>
      <c r="DH1081" s="1136"/>
      <c r="DI1081" s="1136"/>
    </row>
    <row r="1082" spans="1:113" ht="15.75" x14ac:dyDescent="0.25">
      <c r="A1082" s="1456" t="s">
        <v>200</v>
      </c>
      <c r="B1082" s="1431">
        <f>IF(B286&lt;1.26,8,IF(B286&lt;1.41,9,IF(B286&lt;1.61,10,IF(B286&lt;1.81,11,IF(B286&lt;2.01,12,13)))))</f>
        <v>13</v>
      </c>
      <c r="C1082" s="1610"/>
      <c r="D1082" s="1531"/>
      <c r="E1082" s="1531"/>
      <c r="F1082" s="1531"/>
      <c r="G1082" s="1531"/>
      <c r="H1082" s="1531"/>
      <c r="I1082" s="1531"/>
      <c r="J1082" s="1531"/>
      <c r="K1082" s="1531"/>
      <c r="L1082" s="1531"/>
      <c r="M1082" s="1531"/>
      <c r="N1082" s="1136"/>
      <c r="O1082" s="1136"/>
      <c r="P1082" s="1136"/>
      <c r="Q1082" s="1136"/>
      <c r="R1082" s="1136"/>
      <c r="S1082" s="1136"/>
      <c r="T1082" s="1136"/>
      <c r="U1082" s="1136"/>
      <c r="V1082" s="1136"/>
      <c r="W1082" s="1136"/>
      <c r="X1082" s="1136"/>
      <c r="Y1082" s="1136"/>
      <c r="Z1082" s="1136"/>
      <c r="AA1082" s="1136"/>
      <c r="AB1082" s="1136"/>
      <c r="AC1082" s="1136"/>
      <c r="AD1082" s="1136"/>
      <c r="AE1082" s="1136"/>
      <c r="AF1082" s="1136"/>
      <c r="AG1082" s="1136"/>
      <c r="AH1082" s="1136"/>
      <c r="AI1082" s="1136"/>
      <c r="AJ1082" s="1136"/>
      <c r="AK1082" s="1136"/>
      <c r="AL1082" s="1136"/>
      <c r="AM1082" s="1136"/>
      <c r="AN1082" s="1136"/>
      <c r="AO1082" s="1136"/>
      <c r="AP1082" s="1136"/>
      <c r="AQ1082" s="1136"/>
      <c r="AR1082" s="1136"/>
      <c r="AS1082" s="1136"/>
      <c r="AT1082" s="1136"/>
      <c r="AU1082" s="1136"/>
      <c r="AV1082" s="1136"/>
      <c r="AW1082" s="1136"/>
      <c r="AX1082" s="1136"/>
      <c r="AY1082" s="1136"/>
      <c r="AZ1082" s="1136"/>
      <c r="BA1082" s="1136"/>
      <c r="BB1082" s="1136"/>
      <c r="BC1082" s="1136"/>
      <c r="BD1082" s="1136"/>
      <c r="BE1082" s="1136"/>
      <c r="BF1082" s="1136"/>
      <c r="BG1082" s="1136"/>
      <c r="BH1082" s="1136"/>
      <c r="BI1082" s="1136"/>
      <c r="BJ1082" s="1136"/>
      <c r="BK1082" s="1136"/>
      <c r="BL1082" s="1136"/>
      <c r="BM1082" s="1136"/>
      <c r="BN1082" s="1136"/>
      <c r="BO1082" s="1136"/>
      <c r="BP1082" s="1136"/>
      <c r="BQ1082" s="1136"/>
      <c r="BR1082" s="1136"/>
      <c r="BS1082" s="1136"/>
      <c r="BT1082" s="1136"/>
      <c r="BU1082" s="1136"/>
      <c r="BV1082" s="1136"/>
      <c r="BW1082" s="1136"/>
      <c r="BX1082" s="1136"/>
      <c r="BY1082" s="1136"/>
      <c r="BZ1082" s="1136"/>
      <c r="CA1082" s="1136"/>
      <c r="CB1082" s="1136"/>
      <c r="CC1082" s="1136"/>
      <c r="CD1082" s="1136"/>
      <c r="CE1082" s="1136"/>
      <c r="CF1082" s="1136"/>
      <c r="CG1082" s="1136"/>
      <c r="CH1082" s="1136"/>
      <c r="CI1082" s="1136"/>
      <c r="CJ1082" s="1136"/>
      <c r="CK1082" s="1136"/>
      <c r="CL1082" s="1136"/>
      <c r="CM1082" s="1136"/>
      <c r="CN1082" s="1136"/>
      <c r="CO1082" s="1136"/>
      <c r="CP1082" s="1136"/>
      <c r="CQ1082" s="1136"/>
      <c r="CR1082" s="1136"/>
      <c r="CS1082" s="1136"/>
      <c r="CT1082" s="1136"/>
      <c r="CU1082" s="1136"/>
      <c r="CV1082" s="1136"/>
      <c r="CW1082" s="1136"/>
      <c r="CX1082" s="1136"/>
      <c r="CY1082" s="1136"/>
      <c r="CZ1082" s="1136"/>
      <c r="DA1082" s="1136"/>
      <c r="DB1082" s="1136"/>
      <c r="DC1082" s="1136"/>
      <c r="DD1082" s="1136"/>
      <c r="DE1082" s="1136"/>
      <c r="DF1082" s="1136"/>
      <c r="DG1082" s="1136"/>
      <c r="DH1082" s="1136"/>
      <c r="DI1082" s="1136"/>
    </row>
    <row r="1083" spans="1:113" ht="15.75" x14ac:dyDescent="0.25">
      <c r="A1083" s="1430" t="s">
        <v>201</v>
      </c>
      <c r="B1083" s="1431">
        <f>IF(B297&lt;21,1,IF(B297&lt;36,2,IF(B297&lt;56,3,4)))</f>
        <v>4</v>
      </c>
      <c r="C1083" s="1610"/>
      <c r="D1083" s="1531"/>
      <c r="E1083" s="1531"/>
      <c r="F1083" s="1531"/>
      <c r="G1083" s="1531"/>
      <c r="H1083" s="1531"/>
      <c r="I1083" s="1531"/>
      <c r="J1083" s="1531"/>
      <c r="K1083" s="1531"/>
      <c r="L1083" s="1531"/>
      <c r="M1083" s="1531"/>
      <c r="N1083" s="1136"/>
      <c r="O1083" s="1136"/>
      <c r="P1083" s="1136"/>
      <c r="Q1083" s="1136"/>
      <c r="R1083" s="1136"/>
      <c r="S1083" s="1136"/>
      <c r="T1083" s="1136"/>
      <c r="U1083" s="1136"/>
      <c r="V1083" s="1136"/>
      <c r="W1083" s="1136"/>
      <c r="X1083" s="1136"/>
      <c r="Y1083" s="1136"/>
      <c r="Z1083" s="1136"/>
      <c r="AA1083" s="1136"/>
      <c r="AB1083" s="1136"/>
      <c r="AC1083" s="1136"/>
      <c r="AD1083" s="1136"/>
      <c r="AE1083" s="1136"/>
      <c r="AF1083" s="1136"/>
      <c r="AG1083" s="1136"/>
      <c r="AH1083" s="1136"/>
      <c r="AI1083" s="1136"/>
      <c r="AJ1083" s="1136"/>
      <c r="AK1083" s="1136"/>
      <c r="AL1083" s="1136"/>
      <c r="AM1083" s="1136"/>
      <c r="AN1083" s="1136"/>
      <c r="AO1083" s="1136"/>
      <c r="AP1083" s="1136"/>
      <c r="AQ1083" s="1136"/>
      <c r="AR1083" s="1136"/>
      <c r="AS1083" s="1136"/>
      <c r="AT1083" s="1136"/>
      <c r="AU1083" s="1136"/>
      <c r="AV1083" s="1136"/>
      <c r="AW1083" s="1136"/>
      <c r="AX1083" s="1136"/>
      <c r="AY1083" s="1136"/>
      <c r="AZ1083" s="1136"/>
      <c r="BA1083" s="1136"/>
      <c r="BB1083" s="1136"/>
      <c r="BC1083" s="1136"/>
      <c r="BD1083" s="1136"/>
      <c r="BE1083" s="1136"/>
      <c r="BF1083" s="1136"/>
      <c r="BG1083" s="1136"/>
      <c r="BH1083" s="1136"/>
      <c r="BI1083" s="1136"/>
      <c r="BJ1083" s="1136"/>
      <c r="BK1083" s="1136"/>
      <c r="BL1083" s="1136"/>
      <c r="BM1083" s="1136"/>
      <c r="BN1083" s="1136"/>
      <c r="BO1083" s="1136"/>
      <c r="BP1083" s="1136"/>
      <c r="BQ1083" s="1136"/>
      <c r="BR1083" s="1136"/>
      <c r="BS1083" s="1136"/>
      <c r="BT1083" s="1136"/>
      <c r="BU1083" s="1136"/>
      <c r="BV1083" s="1136"/>
      <c r="BW1083" s="1136"/>
      <c r="BX1083" s="1136"/>
      <c r="BY1083" s="1136"/>
      <c r="BZ1083" s="1136"/>
      <c r="CA1083" s="1136"/>
      <c r="CB1083" s="1136"/>
      <c r="CC1083" s="1136"/>
      <c r="CD1083" s="1136"/>
      <c r="CE1083" s="1136"/>
      <c r="CF1083" s="1136"/>
      <c r="CG1083" s="1136"/>
      <c r="CH1083" s="1136"/>
      <c r="CI1083" s="1136"/>
      <c r="CJ1083" s="1136"/>
      <c r="CK1083" s="1136"/>
      <c r="CL1083" s="1136"/>
      <c r="CM1083" s="1136"/>
      <c r="CN1083" s="1136"/>
      <c r="CO1083" s="1136"/>
      <c r="CP1083" s="1136"/>
      <c r="CQ1083" s="1136"/>
      <c r="CR1083" s="1136"/>
      <c r="CS1083" s="1136"/>
      <c r="CT1083" s="1136"/>
      <c r="CU1083" s="1136"/>
      <c r="CV1083" s="1136"/>
      <c r="CW1083" s="1136"/>
      <c r="CX1083" s="1136"/>
      <c r="CY1083" s="1136"/>
      <c r="CZ1083" s="1136"/>
      <c r="DA1083" s="1136"/>
      <c r="DB1083" s="1136"/>
      <c r="DC1083" s="1136"/>
      <c r="DD1083" s="1136"/>
      <c r="DE1083" s="1136"/>
      <c r="DF1083" s="1136"/>
      <c r="DG1083" s="1136"/>
      <c r="DH1083" s="1136"/>
      <c r="DI1083" s="1136"/>
    </row>
    <row r="1084" spans="1:113" ht="15.75" x14ac:dyDescent="0.25">
      <c r="A1084" s="1430" t="s">
        <v>3391</v>
      </c>
      <c r="B1084" s="1479"/>
      <c r="C1084" s="1565"/>
      <c r="D1084" s="1569"/>
      <c r="E1084" s="1569"/>
      <c r="F1084" s="1569"/>
      <c r="G1084" s="1569"/>
      <c r="H1084" s="1531"/>
      <c r="I1084" s="1531"/>
      <c r="J1084" s="1531"/>
      <c r="K1084" s="1531"/>
      <c r="L1084" s="1531"/>
      <c r="M1084" s="1531"/>
      <c r="N1084" s="1136"/>
      <c r="O1084" s="1136"/>
      <c r="P1084" s="1136"/>
      <c r="Q1084" s="1136"/>
      <c r="R1084" s="1136"/>
      <c r="S1084" s="1136"/>
      <c r="T1084" s="1136"/>
      <c r="U1084" s="1136"/>
      <c r="V1084" s="1136"/>
      <c r="W1084" s="1136"/>
      <c r="X1084" s="1136"/>
      <c r="Y1084" s="1136"/>
      <c r="Z1084" s="1136"/>
      <c r="AA1084" s="1136"/>
      <c r="AB1084" s="1136"/>
      <c r="AC1084" s="1136"/>
      <c r="AD1084" s="1136"/>
      <c r="AE1084" s="1136"/>
      <c r="AF1084" s="1136"/>
      <c r="AG1084" s="1136"/>
      <c r="AH1084" s="1136"/>
      <c r="AI1084" s="1136"/>
      <c r="AJ1084" s="1136"/>
      <c r="AK1084" s="1136"/>
      <c r="AL1084" s="1136"/>
      <c r="AM1084" s="1136"/>
      <c r="AN1084" s="1136"/>
      <c r="AO1084" s="1136"/>
      <c r="AP1084" s="1136"/>
      <c r="AQ1084" s="1136"/>
      <c r="AR1084" s="1136"/>
      <c r="AS1084" s="1136"/>
      <c r="AT1084" s="1136"/>
      <c r="AU1084" s="1136"/>
      <c r="AV1084" s="1136"/>
      <c r="AW1084" s="1136"/>
      <c r="AX1084" s="1136"/>
      <c r="AY1084" s="1136"/>
      <c r="AZ1084" s="1136"/>
      <c r="BA1084" s="1136"/>
      <c r="BB1084" s="1136"/>
      <c r="BC1084" s="1136"/>
      <c r="BD1084" s="1136"/>
      <c r="BE1084" s="1136"/>
      <c r="BF1084" s="1136"/>
      <c r="BG1084" s="1136"/>
      <c r="BH1084" s="1136"/>
      <c r="BI1084" s="1136"/>
      <c r="BJ1084" s="1136"/>
      <c r="BK1084" s="1136"/>
      <c r="BL1084" s="1136"/>
      <c r="BM1084" s="1136"/>
      <c r="BN1084" s="1136"/>
      <c r="BO1084" s="1136"/>
      <c r="BP1084" s="1136"/>
      <c r="BQ1084" s="1136"/>
      <c r="BR1084" s="1136"/>
      <c r="BS1084" s="1136"/>
      <c r="BT1084" s="1136"/>
      <c r="BU1084" s="1136"/>
      <c r="BV1084" s="1136"/>
      <c r="BW1084" s="1136"/>
      <c r="BX1084" s="1136"/>
      <c r="BY1084" s="1136"/>
      <c r="BZ1084" s="1136"/>
      <c r="CA1084" s="1136"/>
      <c r="CB1084" s="1136"/>
      <c r="CC1084" s="1136"/>
      <c r="CD1084" s="1136"/>
      <c r="CE1084" s="1136"/>
      <c r="CF1084" s="1136"/>
      <c r="CG1084" s="1136"/>
      <c r="CH1084" s="1136"/>
      <c r="CI1084" s="1136"/>
      <c r="CJ1084" s="1136"/>
      <c r="CK1084" s="1136"/>
      <c r="CL1084" s="1136"/>
      <c r="CM1084" s="1136"/>
      <c r="CN1084" s="1136"/>
      <c r="CO1084" s="1136"/>
      <c r="CP1084" s="1136"/>
      <c r="CQ1084" s="1136"/>
      <c r="CR1084" s="1136"/>
      <c r="CS1084" s="1136"/>
      <c r="CT1084" s="1136"/>
      <c r="CU1084" s="1136"/>
      <c r="CV1084" s="1136"/>
      <c r="CW1084" s="1136"/>
      <c r="CX1084" s="1136"/>
      <c r="CY1084" s="1136"/>
      <c r="CZ1084" s="1136"/>
      <c r="DA1084" s="1136"/>
      <c r="DB1084" s="1136"/>
      <c r="DC1084" s="1136"/>
      <c r="DD1084" s="1136"/>
      <c r="DE1084" s="1136"/>
      <c r="DF1084" s="1136"/>
      <c r="DG1084" s="1136"/>
      <c r="DH1084" s="1136"/>
      <c r="DI1084" s="1136"/>
    </row>
    <row r="1085" spans="1:113" ht="31.5" x14ac:dyDescent="0.25">
      <c r="A1085" s="1435" t="s">
        <v>1724</v>
      </c>
      <c r="B1085" s="1451">
        <f>B865</f>
        <v>0</v>
      </c>
      <c r="C1085" s="1434"/>
      <c r="D1085" s="1569"/>
      <c r="E1085" s="1569"/>
      <c r="F1085" s="1569"/>
      <c r="G1085" s="1569"/>
      <c r="H1085" s="1531"/>
      <c r="I1085" s="1531"/>
      <c r="J1085" s="1531"/>
      <c r="K1085" s="1531"/>
      <c r="L1085" s="1531"/>
      <c r="M1085" s="1531"/>
      <c r="N1085" s="1136"/>
      <c r="O1085" s="1136"/>
      <c r="P1085" s="1136"/>
      <c r="Q1085" s="1136"/>
      <c r="R1085" s="1136"/>
      <c r="S1085" s="1136"/>
      <c r="T1085" s="1136"/>
      <c r="U1085" s="1136"/>
      <c r="V1085" s="1136"/>
      <c r="W1085" s="1136"/>
      <c r="X1085" s="1136"/>
      <c r="Y1085" s="1136"/>
      <c r="Z1085" s="1136"/>
      <c r="AA1085" s="1136"/>
      <c r="AB1085" s="1136"/>
      <c r="AC1085" s="1136"/>
      <c r="AD1085" s="1136"/>
      <c r="AE1085" s="1136"/>
      <c r="AF1085" s="1136"/>
      <c r="AG1085" s="1136"/>
      <c r="AH1085" s="1136"/>
      <c r="AI1085" s="1136"/>
      <c r="AJ1085" s="1136"/>
      <c r="AK1085" s="1136"/>
      <c r="AL1085" s="1136"/>
      <c r="AM1085" s="1136"/>
      <c r="AN1085" s="1136"/>
      <c r="AO1085" s="1136"/>
      <c r="AP1085" s="1136"/>
      <c r="AQ1085" s="1136"/>
      <c r="AR1085" s="1136"/>
      <c r="AS1085" s="1136"/>
      <c r="AT1085" s="1136"/>
      <c r="AU1085" s="1136"/>
      <c r="AV1085" s="1136"/>
      <c r="AW1085" s="1136"/>
      <c r="AX1085" s="1136"/>
      <c r="AY1085" s="1136"/>
      <c r="AZ1085" s="1136"/>
      <c r="BA1085" s="1136"/>
      <c r="BB1085" s="1136"/>
      <c r="BC1085" s="1136"/>
      <c r="BD1085" s="1136"/>
      <c r="BE1085" s="1136"/>
      <c r="BF1085" s="1136"/>
      <c r="BG1085" s="1136"/>
      <c r="BH1085" s="1136"/>
      <c r="BI1085" s="1136"/>
      <c r="BJ1085" s="1136"/>
      <c r="BK1085" s="1136"/>
      <c r="BL1085" s="1136"/>
      <c r="BM1085" s="1136"/>
      <c r="BN1085" s="1136"/>
      <c r="BO1085" s="1136"/>
      <c r="BP1085" s="1136"/>
      <c r="BQ1085" s="1136"/>
      <c r="BR1085" s="1136"/>
      <c r="BS1085" s="1136"/>
      <c r="BT1085" s="1136"/>
      <c r="BU1085" s="1136"/>
      <c r="BV1085" s="1136"/>
      <c r="BW1085" s="1136"/>
      <c r="BX1085" s="1136"/>
      <c r="BY1085" s="1136"/>
      <c r="BZ1085" s="1136"/>
      <c r="CA1085" s="1136"/>
      <c r="CB1085" s="1136"/>
      <c r="CC1085" s="1136"/>
      <c r="CD1085" s="1136"/>
      <c r="CE1085" s="1136"/>
      <c r="CF1085" s="1136"/>
      <c r="CG1085" s="1136"/>
      <c r="CH1085" s="1136"/>
      <c r="CI1085" s="1136"/>
      <c r="CJ1085" s="1136"/>
      <c r="CK1085" s="1136"/>
      <c r="CL1085" s="1136"/>
      <c r="CM1085" s="1136"/>
      <c r="CN1085" s="1136"/>
      <c r="CO1085" s="1136"/>
      <c r="CP1085" s="1136"/>
      <c r="CQ1085" s="1136"/>
      <c r="CR1085" s="1136"/>
      <c r="CS1085" s="1136"/>
      <c r="CT1085" s="1136"/>
      <c r="CU1085" s="1136"/>
      <c r="CV1085" s="1136"/>
      <c r="CW1085" s="1136"/>
      <c r="CX1085" s="1136"/>
      <c r="CY1085" s="1136"/>
      <c r="CZ1085" s="1136"/>
      <c r="DA1085" s="1136"/>
      <c r="DB1085" s="1136"/>
      <c r="DC1085" s="1136"/>
      <c r="DD1085" s="1136"/>
      <c r="DE1085" s="1136"/>
      <c r="DF1085" s="1136"/>
      <c r="DG1085" s="1136"/>
      <c r="DH1085" s="1136"/>
      <c r="DI1085" s="1136"/>
    </row>
    <row r="1086" spans="1:113" ht="15.75" x14ac:dyDescent="0.25">
      <c r="A1086" s="1420" t="s">
        <v>1725</v>
      </c>
      <c r="B1086" s="1443">
        <f>IF(B1085=1,1.15,1)</f>
        <v>1</v>
      </c>
      <c r="C1086" s="1521"/>
      <c r="D1086" s="1567"/>
      <c r="E1086" s="1567"/>
      <c r="F1086" s="1567"/>
      <c r="G1086" s="1567"/>
      <c r="H1086" s="1531"/>
      <c r="I1086" s="1531"/>
      <c r="J1086" s="1531"/>
      <c r="K1086" s="1531"/>
      <c r="L1086" s="1531"/>
      <c r="M1086" s="1531"/>
      <c r="N1086" s="1136"/>
      <c r="O1086" s="1136"/>
      <c r="P1086" s="1136"/>
      <c r="Q1086" s="1136"/>
      <c r="R1086" s="1136"/>
      <c r="S1086" s="1136"/>
      <c r="T1086" s="1136"/>
      <c r="U1086" s="1136"/>
      <c r="V1086" s="1136"/>
      <c r="W1086" s="1136"/>
      <c r="X1086" s="1136"/>
      <c r="Y1086" s="1136"/>
      <c r="Z1086" s="1136"/>
      <c r="AA1086" s="1136"/>
      <c r="AB1086" s="1136"/>
      <c r="AC1086" s="1136"/>
      <c r="AD1086" s="1136"/>
      <c r="AE1086" s="1136"/>
      <c r="AF1086" s="1136"/>
      <c r="AG1086" s="1136"/>
      <c r="AH1086" s="1136"/>
      <c r="AI1086" s="1136"/>
      <c r="AJ1086" s="1136"/>
      <c r="AK1086" s="1136"/>
      <c r="AL1086" s="1136"/>
      <c r="AM1086" s="1136"/>
      <c r="AN1086" s="1136"/>
      <c r="AO1086" s="1136"/>
      <c r="AP1086" s="1136"/>
      <c r="AQ1086" s="1136"/>
      <c r="AR1086" s="1136"/>
      <c r="AS1086" s="1136"/>
      <c r="AT1086" s="1136"/>
      <c r="AU1086" s="1136"/>
      <c r="AV1086" s="1136"/>
      <c r="AW1086" s="1136"/>
      <c r="AX1086" s="1136"/>
      <c r="AY1086" s="1136"/>
      <c r="AZ1086" s="1136"/>
      <c r="BA1086" s="1136"/>
      <c r="BB1086" s="1136"/>
      <c r="BC1086" s="1136"/>
      <c r="BD1086" s="1136"/>
      <c r="BE1086" s="1136"/>
      <c r="BF1086" s="1136"/>
      <c r="BG1086" s="1136"/>
      <c r="BH1086" s="1136"/>
      <c r="BI1086" s="1136"/>
      <c r="BJ1086" s="1136"/>
      <c r="BK1086" s="1136"/>
      <c r="BL1086" s="1136"/>
      <c r="BM1086" s="1136"/>
      <c r="BN1086" s="1136"/>
      <c r="BO1086" s="1136"/>
      <c r="BP1086" s="1136"/>
      <c r="BQ1086" s="1136"/>
      <c r="BR1086" s="1136"/>
      <c r="BS1086" s="1136"/>
      <c r="BT1086" s="1136"/>
      <c r="BU1086" s="1136"/>
      <c r="BV1086" s="1136"/>
      <c r="BW1086" s="1136"/>
      <c r="BX1086" s="1136"/>
      <c r="BY1086" s="1136"/>
      <c r="BZ1086" s="1136"/>
      <c r="CA1086" s="1136"/>
      <c r="CB1086" s="1136"/>
      <c r="CC1086" s="1136"/>
      <c r="CD1086" s="1136"/>
      <c r="CE1086" s="1136"/>
      <c r="CF1086" s="1136"/>
      <c r="CG1086" s="1136"/>
      <c r="CH1086" s="1136"/>
      <c r="CI1086" s="1136"/>
      <c r="CJ1086" s="1136"/>
      <c r="CK1086" s="1136"/>
      <c r="CL1086" s="1136"/>
      <c r="CM1086" s="1136"/>
      <c r="CN1086" s="1136"/>
      <c r="CO1086" s="1136"/>
      <c r="CP1086" s="1136"/>
      <c r="CQ1086" s="1136"/>
      <c r="CR1086" s="1136"/>
      <c r="CS1086" s="1136"/>
      <c r="CT1086" s="1136"/>
      <c r="CU1086" s="1136"/>
      <c r="CV1086" s="1136"/>
      <c r="CW1086" s="1136"/>
      <c r="CX1086" s="1136"/>
      <c r="CY1086" s="1136"/>
      <c r="CZ1086" s="1136"/>
      <c r="DA1086" s="1136"/>
      <c r="DB1086" s="1136"/>
      <c r="DC1086" s="1136"/>
      <c r="DD1086" s="1136"/>
      <c r="DE1086" s="1136"/>
      <c r="DF1086" s="1136"/>
      <c r="DG1086" s="1136"/>
      <c r="DH1086" s="1136"/>
      <c r="DI1086" s="1136"/>
    </row>
    <row r="1087" spans="1:113" ht="31.5" x14ac:dyDescent="0.25">
      <c r="A1087" s="1435" t="s">
        <v>5573</v>
      </c>
      <c r="B1087" s="1451">
        <f>B867</f>
        <v>0</v>
      </c>
      <c r="C1087" s="1434"/>
      <c r="D1087" s="1531"/>
      <c r="E1087" s="1531"/>
      <c r="F1087" s="1531"/>
      <c r="G1087" s="1531"/>
      <c r="H1087" s="1531"/>
      <c r="I1087" s="1531"/>
      <c r="J1087" s="1531"/>
      <c r="K1087" s="1531"/>
      <c r="L1087" s="1531"/>
      <c r="M1087" s="1531"/>
      <c r="N1087" s="1136"/>
      <c r="O1087" s="1136"/>
      <c r="P1087" s="1136"/>
      <c r="Q1087" s="1136"/>
      <c r="R1087" s="1136"/>
      <c r="S1087" s="1136"/>
      <c r="T1087" s="1136"/>
      <c r="U1087" s="1136"/>
      <c r="V1087" s="1136"/>
      <c r="W1087" s="1136"/>
      <c r="X1087" s="1136"/>
      <c r="Y1087" s="1136"/>
      <c r="Z1087" s="1136"/>
      <c r="AA1087" s="1136"/>
      <c r="AB1087" s="1136"/>
      <c r="AC1087" s="1136"/>
      <c r="AD1087" s="1136"/>
      <c r="AE1087" s="1136"/>
      <c r="AF1087" s="1136"/>
      <c r="AG1087" s="1136"/>
      <c r="AH1087" s="1136"/>
      <c r="AI1087" s="1136"/>
      <c r="AJ1087" s="1136"/>
      <c r="AK1087" s="1136"/>
      <c r="AL1087" s="1136"/>
      <c r="AM1087" s="1136"/>
      <c r="AN1087" s="1136"/>
      <c r="AO1087" s="1136"/>
      <c r="AP1087" s="1136"/>
      <c r="AQ1087" s="1136"/>
      <c r="AR1087" s="1136"/>
      <c r="AS1087" s="1136"/>
      <c r="AT1087" s="1136"/>
      <c r="AU1087" s="1136"/>
      <c r="AV1087" s="1136"/>
      <c r="AW1087" s="1136"/>
      <c r="AX1087" s="1136"/>
      <c r="AY1087" s="1136"/>
      <c r="AZ1087" s="1136"/>
      <c r="BA1087" s="1136"/>
      <c r="BB1087" s="1136"/>
      <c r="BC1087" s="1136"/>
      <c r="BD1087" s="1136"/>
      <c r="BE1087" s="1136"/>
      <c r="BF1087" s="1136"/>
      <c r="BG1087" s="1136"/>
      <c r="BH1087" s="1136"/>
      <c r="BI1087" s="1136"/>
      <c r="BJ1087" s="1136"/>
      <c r="BK1087" s="1136"/>
      <c r="BL1087" s="1136"/>
      <c r="BM1087" s="1136"/>
      <c r="BN1087" s="1136"/>
      <c r="BO1087" s="1136"/>
      <c r="BP1087" s="1136"/>
      <c r="BQ1087" s="1136"/>
      <c r="BR1087" s="1136"/>
      <c r="BS1087" s="1136"/>
      <c r="BT1087" s="1136"/>
      <c r="BU1087" s="1136"/>
      <c r="BV1087" s="1136"/>
      <c r="BW1087" s="1136"/>
      <c r="BX1087" s="1136"/>
      <c r="BY1087" s="1136"/>
      <c r="BZ1087" s="1136"/>
      <c r="CA1087" s="1136"/>
      <c r="CB1087" s="1136"/>
      <c r="CC1087" s="1136"/>
      <c r="CD1087" s="1136"/>
      <c r="CE1087" s="1136"/>
      <c r="CF1087" s="1136"/>
      <c r="CG1087" s="1136"/>
      <c r="CH1087" s="1136"/>
      <c r="CI1087" s="1136"/>
      <c r="CJ1087" s="1136"/>
      <c r="CK1087" s="1136"/>
      <c r="CL1087" s="1136"/>
      <c r="CM1087" s="1136"/>
      <c r="CN1087" s="1136"/>
      <c r="CO1087" s="1136"/>
      <c r="CP1087" s="1136"/>
      <c r="CQ1087" s="1136"/>
      <c r="CR1087" s="1136"/>
      <c r="CS1087" s="1136"/>
      <c r="CT1087" s="1136"/>
      <c r="CU1087" s="1136"/>
      <c r="CV1087" s="1136"/>
      <c r="CW1087" s="1136"/>
      <c r="CX1087" s="1136"/>
      <c r="CY1087" s="1136"/>
      <c r="CZ1087" s="1136"/>
      <c r="DA1087" s="1136"/>
      <c r="DB1087" s="1136"/>
      <c r="DC1087" s="1136"/>
      <c r="DD1087" s="1136"/>
      <c r="DE1087" s="1136"/>
      <c r="DF1087" s="1136"/>
      <c r="DG1087" s="1136"/>
      <c r="DH1087" s="1136"/>
      <c r="DI1087" s="1136"/>
    </row>
    <row r="1088" spans="1:113" ht="15.75" x14ac:dyDescent="0.25">
      <c r="A1088" s="1420" t="s">
        <v>2636</v>
      </c>
      <c r="B1088" s="1443">
        <f>IF(B1087=1,1.15,1)</f>
        <v>1</v>
      </c>
      <c r="C1088" s="1521"/>
      <c r="D1088" s="1610"/>
      <c r="E1088" s="1610"/>
      <c r="F1088" s="1610"/>
      <c r="G1088" s="1610"/>
      <c r="H1088" s="1531"/>
      <c r="I1088" s="1531"/>
      <c r="J1088" s="1531"/>
      <c r="K1088" s="1531"/>
      <c r="L1088" s="1531"/>
      <c r="M1088" s="1531"/>
      <c r="N1088" s="1136"/>
      <c r="O1088" s="1136"/>
      <c r="P1088" s="1136"/>
      <c r="Q1088" s="1136"/>
      <c r="R1088" s="1136"/>
      <c r="S1088" s="1136"/>
      <c r="T1088" s="1136"/>
      <c r="U1088" s="1136"/>
      <c r="V1088" s="1136"/>
      <c r="W1088" s="1136"/>
      <c r="X1088" s="1136"/>
      <c r="Y1088" s="1136"/>
      <c r="Z1088" s="1136"/>
      <c r="AA1088" s="1136"/>
      <c r="AB1088" s="1136"/>
      <c r="AC1088" s="1136"/>
      <c r="AD1088" s="1136"/>
      <c r="AE1088" s="1136"/>
      <c r="AF1088" s="1136"/>
      <c r="AG1088" s="1136"/>
      <c r="AH1088" s="1136"/>
      <c r="AI1088" s="1136"/>
      <c r="AJ1088" s="1136"/>
      <c r="AK1088" s="1136"/>
      <c r="AL1088" s="1136"/>
      <c r="AM1088" s="1136"/>
      <c r="AN1088" s="1136"/>
      <c r="AO1088" s="1136"/>
      <c r="AP1088" s="1136"/>
      <c r="AQ1088" s="1136"/>
      <c r="AR1088" s="1136"/>
      <c r="AS1088" s="1136"/>
      <c r="AT1088" s="1136"/>
      <c r="AU1088" s="1136"/>
      <c r="AV1088" s="1136"/>
      <c r="AW1088" s="1136"/>
      <c r="AX1088" s="1136"/>
      <c r="AY1088" s="1136"/>
      <c r="AZ1088" s="1136"/>
      <c r="BA1088" s="1136"/>
      <c r="BB1088" s="1136"/>
      <c r="BC1088" s="1136"/>
      <c r="BD1088" s="1136"/>
      <c r="BE1088" s="1136"/>
      <c r="BF1088" s="1136"/>
      <c r="BG1088" s="1136"/>
      <c r="BH1088" s="1136"/>
      <c r="BI1088" s="1136"/>
      <c r="BJ1088" s="1136"/>
      <c r="BK1088" s="1136"/>
      <c r="BL1088" s="1136"/>
      <c r="BM1088" s="1136"/>
      <c r="BN1088" s="1136"/>
      <c r="BO1088" s="1136"/>
      <c r="BP1088" s="1136"/>
      <c r="BQ1088" s="1136"/>
      <c r="BR1088" s="1136"/>
      <c r="BS1088" s="1136"/>
      <c r="BT1088" s="1136"/>
      <c r="BU1088" s="1136"/>
      <c r="BV1088" s="1136"/>
      <c r="BW1088" s="1136"/>
      <c r="BX1088" s="1136"/>
      <c r="BY1088" s="1136"/>
      <c r="BZ1088" s="1136"/>
      <c r="CA1088" s="1136"/>
      <c r="CB1088" s="1136"/>
      <c r="CC1088" s="1136"/>
      <c r="CD1088" s="1136"/>
      <c r="CE1088" s="1136"/>
      <c r="CF1088" s="1136"/>
      <c r="CG1088" s="1136"/>
      <c r="CH1088" s="1136"/>
      <c r="CI1088" s="1136"/>
      <c r="CJ1088" s="1136"/>
      <c r="CK1088" s="1136"/>
      <c r="CL1088" s="1136"/>
      <c r="CM1088" s="1136"/>
      <c r="CN1088" s="1136"/>
      <c r="CO1088" s="1136"/>
      <c r="CP1088" s="1136"/>
      <c r="CQ1088" s="1136"/>
      <c r="CR1088" s="1136"/>
      <c r="CS1088" s="1136"/>
      <c r="CT1088" s="1136"/>
      <c r="CU1088" s="1136"/>
      <c r="CV1088" s="1136"/>
      <c r="CW1088" s="1136"/>
      <c r="CX1088" s="1136"/>
      <c r="CY1088" s="1136"/>
      <c r="CZ1088" s="1136"/>
      <c r="DA1088" s="1136"/>
      <c r="DB1088" s="1136"/>
      <c r="DC1088" s="1136"/>
      <c r="DD1088" s="1136"/>
      <c r="DE1088" s="1136"/>
      <c r="DF1088" s="1136"/>
      <c r="DG1088" s="1136"/>
      <c r="DH1088" s="1136"/>
      <c r="DI1088" s="1136"/>
    </row>
    <row r="1089" spans="1:113" ht="31.5" x14ac:dyDescent="0.25">
      <c r="A1089" s="1420" t="s">
        <v>2637</v>
      </c>
      <c r="B1089" s="1443">
        <f>IF(B322&lt;2,0.85,1)</f>
        <v>1</v>
      </c>
      <c r="C1089" s="1521"/>
      <c r="D1089" s="1610"/>
      <c r="E1089" s="1610"/>
      <c r="F1089" s="1610"/>
      <c r="G1089" s="1610"/>
      <c r="H1089" s="1531"/>
      <c r="I1089" s="1531"/>
      <c r="J1089" s="1531"/>
      <c r="K1089" s="1531"/>
      <c r="L1089" s="1531"/>
      <c r="M1089" s="1531"/>
      <c r="N1089" s="1136"/>
      <c r="O1089" s="1136"/>
      <c r="P1089" s="1136"/>
      <c r="Q1089" s="1136"/>
      <c r="R1089" s="1136"/>
      <c r="S1089" s="1136"/>
      <c r="T1089" s="1136"/>
      <c r="U1089" s="1136"/>
      <c r="V1089" s="1136"/>
      <c r="W1089" s="1136"/>
      <c r="X1089" s="1136"/>
      <c r="Y1089" s="1136"/>
      <c r="Z1089" s="1136"/>
      <c r="AA1089" s="1136"/>
      <c r="AB1089" s="1136"/>
      <c r="AC1089" s="1136"/>
      <c r="AD1089" s="1136"/>
      <c r="AE1089" s="1136"/>
      <c r="AF1089" s="1136"/>
      <c r="AG1089" s="1136"/>
      <c r="AH1089" s="1136"/>
      <c r="AI1089" s="1136"/>
      <c r="AJ1089" s="1136"/>
      <c r="AK1089" s="1136"/>
      <c r="AL1089" s="1136"/>
      <c r="AM1089" s="1136"/>
      <c r="AN1089" s="1136"/>
      <c r="AO1089" s="1136"/>
      <c r="AP1089" s="1136"/>
      <c r="AQ1089" s="1136"/>
      <c r="AR1089" s="1136"/>
      <c r="AS1089" s="1136"/>
      <c r="AT1089" s="1136"/>
      <c r="AU1089" s="1136"/>
      <c r="AV1089" s="1136"/>
      <c r="AW1089" s="1136"/>
      <c r="AX1089" s="1136"/>
      <c r="AY1089" s="1136"/>
      <c r="AZ1089" s="1136"/>
      <c r="BA1089" s="1136"/>
      <c r="BB1089" s="1136"/>
      <c r="BC1089" s="1136"/>
      <c r="BD1089" s="1136"/>
      <c r="BE1089" s="1136"/>
      <c r="BF1089" s="1136"/>
      <c r="BG1089" s="1136"/>
      <c r="BH1089" s="1136"/>
      <c r="BI1089" s="1136"/>
      <c r="BJ1089" s="1136"/>
      <c r="BK1089" s="1136"/>
      <c r="BL1089" s="1136"/>
      <c r="BM1089" s="1136"/>
      <c r="BN1089" s="1136"/>
      <c r="BO1089" s="1136"/>
      <c r="BP1089" s="1136"/>
      <c r="BQ1089" s="1136"/>
      <c r="BR1089" s="1136"/>
      <c r="BS1089" s="1136"/>
      <c r="BT1089" s="1136"/>
      <c r="BU1089" s="1136"/>
      <c r="BV1089" s="1136"/>
      <c r="BW1089" s="1136"/>
      <c r="BX1089" s="1136"/>
      <c r="BY1089" s="1136"/>
      <c r="BZ1089" s="1136"/>
      <c r="CA1089" s="1136"/>
      <c r="CB1089" s="1136"/>
      <c r="CC1089" s="1136"/>
      <c r="CD1089" s="1136"/>
      <c r="CE1089" s="1136"/>
      <c r="CF1089" s="1136"/>
      <c r="CG1089" s="1136"/>
      <c r="CH1089" s="1136"/>
      <c r="CI1089" s="1136"/>
      <c r="CJ1089" s="1136"/>
      <c r="CK1089" s="1136"/>
      <c r="CL1089" s="1136"/>
      <c r="CM1089" s="1136"/>
      <c r="CN1089" s="1136"/>
      <c r="CO1089" s="1136"/>
      <c r="CP1089" s="1136"/>
      <c r="CQ1089" s="1136"/>
      <c r="CR1089" s="1136"/>
      <c r="CS1089" s="1136"/>
      <c r="CT1089" s="1136"/>
      <c r="CU1089" s="1136"/>
      <c r="CV1089" s="1136"/>
      <c r="CW1089" s="1136"/>
      <c r="CX1089" s="1136"/>
      <c r="CY1089" s="1136"/>
      <c r="CZ1089" s="1136"/>
      <c r="DA1089" s="1136"/>
      <c r="DB1089" s="1136"/>
      <c r="DC1089" s="1136"/>
      <c r="DD1089" s="1136"/>
      <c r="DE1089" s="1136"/>
      <c r="DF1089" s="1136"/>
      <c r="DG1089" s="1136"/>
      <c r="DH1089" s="1136"/>
      <c r="DI1089" s="1136"/>
    </row>
    <row r="1090" spans="1:113" ht="15.75" x14ac:dyDescent="0.25">
      <c r="A1090" s="1420" t="s">
        <v>1743</v>
      </c>
      <c r="B1090" s="1507">
        <v>0.7</v>
      </c>
      <c r="C1090" s="1624"/>
      <c r="D1090" s="1610"/>
      <c r="E1090" s="1610"/>
      <c r="F1090" s="1610"/>
      <c r="G1090" s="1610"/>
      <c r="H1090" s="1531"/>
      <c r="I1090" s="1531"/>
      <c r="J1090" s="1531"/>
      <c r="K1090" s="1531"/>
      <c r="L1090" s="1531"/>
      <c r="M1090" s="1531"/>
      <c r="N1090" s="1136"/>
      <c r="O1090" s="1136"/>
      <c r="P1090" s="1136"/>
      <c r="Q1090" s="1136"/>
      <c r="R1090" s="1136"/>
      <c r="S1090" s="1136"/>
      <c r="T1090" s="1136"/>
      <c r="U1090" s="1136"/>
      <c r="V1090" s="1136"/>
      <c r="W1090" s="1136"/>
      <c r="X1090" s="1136"/>
      <c r="Y1090" s="1136"/>
      <c r="Z1090" s="1136"/>
      <c r="AA1090" s="1136"/>
      <c r="AB1090" s="1136"/>
      <c r="AC1090" s="1136"/>
      <c r="AD1090" s="1136"/>
      <c r="AE1090" s="1136"/>
      <c r="AF1090" s="1136"/>
      <c r="AG1090" s="1136"/>
      <c r="AH1090" s="1136"/>
      <c r="AI1090" s="1136"/>
      <c r="AJ1090" s="1136"/>
      <c r="AK1090" s="1136"/>
      <c r="AL1090" s="1136"/>
      <c r="AM1090" s="1136"/>
      <c r="AN1090" s="1136"/>
      <c r="AO1090" s="1136"/>
      <c r="AP1090" s="1136"/>
      <c r="AQ1090" s="1136"/>
      <c r="AR1090" s="1136"/>
      <c r="AS1090" s="1136"/>
      <c r="AT1090" s="1136"/>
      <c r="AU1090" s="1136"/>
      <c r="AV1090" s="1136"/>
      <c r="AW1090" s="1136"/>
      <c r="AX1090" s="1136"/>
      <c r="AY1090" s="1136"/>
      <c r="AZ1090" s="1136"/>
      <c r="BA1090" s="1136"/>
      <c r="BB1090" s="1136"/>
      <c r="BC1090" s="1136"/>
      <c r="BD1090" s="1136"/>
      <c r="BE1090" s="1136"/>
      <c r="BF1090" s="1136"/>
      <c r="BG1090" s="1136"/>
      <c r="BH1090" s="1136"/>
      <c r="BI1090" s="1136"/>
      <c r="BJ1090" s="1136"/>
      <c r="BK1090" s="1136"/>
      <c r="BL1090" s="1136"/>
      <c r="BM1090" s="1136"/>
      <c r="BN1090" s="1136"/>
      <c r="BO1090" s="1136"/>
      <c r="BP1090" s="1136"/>
      <c r="BQ1090" s="1136"/>
      <c r="BR1090" s="1136"/>
      <c r="BS1090" s="1136"/>
      <c r="BT1090" s="1136"/>
      <c r="BU1090" s="1136"/>
      <c r="BV1090" s="1136"/>
      <c r="BW1090" s="1136"/>
      <c r="BX1090" s="1136"/>
      <c r="BY1090" s="1136"/>
      <c r="BZ1090" s="1136"/>
      <c r="CA1090" s="1136"/>
      <c r="CB1090" s="1136"/>
      <c r="CC1090" s="1136"/>
      <c r="CD1090" s="1136"/>
      <c r="CE1090" s="1136"/>
      <c r="CF1090" s="1136"/>
      <c r="CG1090" s="1136"/>
      <c r="CH1090" s="1136"/>
      <c r="CI1090" s="1136"/>
      <c r="CJ1090" s="1136"/>
      <c r="CK1090" s="1136"/>
      <c r="CL1090" s="1136"/>
      <c r="CM1090" s="1136"/>
      <c r="CN1090" s="1136"/>
      <c r="CO1090" s="1136"/>
      <c r="CP1090" s="1136"/>
      <c r="CQ1090" s="1136"/>
      <c r="CR1090" s="1136"/>
      <c r="CS1090" s="1136"/>
      <c r="CT1090" s="1136"/>
      <c r="CU1090" s="1136"/>
      <c r="CV1090" s="1136"/>
      <c r="CW1090" s="1136"/>
      <c r="CX1090" s="1136"/>
      <c r="CY1090" s="1136"/>
      <c r="CZ1090" s="1136"/>
      <c r="DA1090" s="1136"/>
      <c r="DB1090" s="1136"/>
      <c r="DC1090" s="1136"/>
      <c r="DD1090" s="1136"/>
      <c r="DE1090" s="1136"/>
      <c r="DF1090" s="1136"/>
      <c r="DG1090" s="1136"/>
      <c r="DH1090" s="1136"/>
      <c r="DI1090" s="1136"/>
    </row>
    <row r="1091" spans="1:113" ht="31.5" x14ac:dyDescent="0.25">
      <c r="A1091" s="1420" t="s">
        <v>202</v>
      </c>
      <c r="B1091" s="1443">
        <f>IF(B1077&lt;2,0.8,0.7)</f>
        <v>0.7</v>
      </c>
      <c r="C1091" s="1521"/>
      <c r="D1091" s="1531"/>
      <c r="E1091" s="1531"/>
      <c r="F1091" s="1531"/>
      <c r="G1091" s="1531"/>
      <c r="H1091" s="1531"/>
      <c r="I1091" s="1531"/>
      <c r="J1091" s="1531"/>
      <c r="K1091" s="1531"/>
      <c r="L1091" s="1531"/>
      <c r="M1091" s="1531"/>
      <c r="N1091" s="1136"/>
      <c r="O1091" s="1136"/>
      <c r="P1091" s="1136"/>
      <c r="Q1091" s="1136"/>
      <c r="R1091" s="1136"/>
      <c r="S1091" s="1136"/>
      <c r="T1091" s="1136"/>
      <c r="U1091" s="1136"/>
      <c r="V1091" s="1136"/>
      <c r="W1091" s="1136"/>
      <c r="X1091" s="1136"/>
      <c r="Y1091" s="1136"/>
      <c r="Z1091" s="1136"/>
      <c r="AA1091" s="1136"/>
      <c r="AB1091" s="1136"/>
      <c r="AC1091" s="1136"/>
      <c r="AD1091" s="1136"/>
      <c r="AE1091" s="1136"/>
      <c r="AF1091" s="1136"/>
      <c r="AG1091" s="1136"/>
      <c r="AH1091" s="1136"/>
      <c r="AI1091" s="1136"/>
      <c r="AJ1091" s="1136"/>
      <c r="AK1091" s="1136"/>
      <c r="AL1091" s="1136"/>
      <c r="AM1091" s="1136"/>
      <c r="AN1091" s="1136"/>
      <c r="AO1091" s="1136"/>
      <c r="AP1091" s="1136"/>
      <c r="AQ1091" s="1136"/>
      <c r="AR1091" s="1136"/>
      <c r="AS1091" s="1136"/>
      <c r="AT1091" s="1136"/>
      <c r="AU1091" s="1136"/>
      <c r="AV1091" s="1136"/>
      <c r="AW1091" s="1136"/>
      <c r="AX1091" s="1136"/>
      <c r="AY1091" s="1136"/>
      <c r="AZ1091" s="1136"/>
      <c r="BA1091" s="1136"/>
      <c r="BB1091" s="1136"/>
      <c r="BC1091" s="1136"/>
      <c r="BD1091" s="1136"/>
      <c r="BE1091" s="1136"/>
      <c r="BF1091" s="1136"/>
      <c r="BG1091" s="1136"/>
      <c r="BH1091" s="1136"/>
      <c r="BI1091" s="1136"/>
      <c r="BJ1091" s="1136"/>
      <c r="BK1091" s="1136"/>
      <c r="BL1091" s="1136"/>
      <c r="BM1091" s="1136"/>
      <c r="BN1091" s="1136"/>
      <c r="BO1091" s="1136"/>
      <c r="BP1091" s="1136"/>
      <c r="BQ1091" s="1136"/>
      <c r="BR1091" s="1136"/>
      <c r="BS1091" s="1136"/>
      <c r="BT1091" s="1136"/>
      <c r="BU1091" s="1136"/>
      <c r="BV1091" s="1136"/>
      <c r="BW1091" s="1136"/>
      <c r="BX1091" s="1136"/>
      <c r="BY1091" s="1136"/>
      <c r="BZ1091" s="1136"/>
      <c r="CA1091" s="1136"/>
      <c r="CB1091" s="1136"/>
      <c r="CC1091" s="1136"/>
      <c r="CD1091" s="1136"/>
      <c r="CE1091" s="1136"/>
      <c r="CF1091" s="1136"/>
      <c r="CG1091" s="1136"/>
      <c r="CH1091" s="1136"/>
      <c r="CI1091" s="1136"/>
      <c r="CJ1091" s="1136"/>
      <c r="CK1091" s="1136"/>
      <c r="CL1091" s="1136"/>
      <c r="CM1091" s="1136"/>
      <c r="CN1091" s="1136"/>
      <c r="CO1091" s="1136"/>
      <c r="CP1091" s="1136"/>
      <c r="CQ1091" s="1136"/>
      <c r="CR1091" s="1136"/>
      <c r="CS1091" s="1136"/>
      <c r="CT1091" s="1136"/>
      <c r="CU1091" s="1136"/>
      <c r="CV1091" s="1136"/>
      <c r="CW1091" s="1136"/>
      <c r="CX1091" s="1136"/>
      <c r="CY1091" s="1136"/>
      <c r="CZ1091" s="1136"/>
      <c r="DA1091" s="1136"/>
      <c r="DB1091" s="1136"/>
      <c r="DC1091" s="1136"/>
      <c r="DD1091" s="1136"/>
      <c r="DE1091" s="1136"/>
      <c r="DF1091" s="1136"/>
      <c r="DG1091" s="1136"/>
      <c r="DH1091" s="1136"/>
      <c r="DI1091" s="1136"/>
    </row>
    <row r="1092" spans="1:113" ht="15.75" x14ac:dyDescent="0.25">
      <c r="A1092" s="1420" t="s">
        <v>203</v>
      </c>
      <c r="B1092" s="1439" t="e">
        <f>B1079*B1086*B1088*B1089*B1090*B1091*B341</f>
        <v>#VALUE!</v>
      </c>
      <c r="C1092" s="1562"/>
      <c r="D1092" s="1434"/>
      <c r="E1092" s="1434"/>
      <c r="F1092" s="1434"/>
      <c r="G1092" s="1434"/>
      <c r="H1092" s="1531"/>
      <c r="I1092" s="1531"/>
      <c r="J1092" s="1531"/>
      <c r="K1092" s="1531"/>
      <c r="L1092" s="1531"/>
      <c r="M1092" s="1531"/>
      <c r="N1092" s="1136"/>
      <c r="O1092" s="1136"/>
      <c r="P1092" s="1136"/>
      <c r="Q1092" s="1136"/>
      <c r="R1092" s="1136"/>
      <c r="S1092" s="1136"/>
      <c r="T1092" s="1136"/>
      <c r="U1092" s="1136"/>
      <c r="V1092" s="1136"/>
      <c r="W1092" s="1136"/>
      <c r="X1092" s="1136"/>
      <c r="Y1092" s="1136"/>
      <c r="Z1092" s="1136"/>
      <c r="AA1092" s="1136"/>
      <c r="AB1092" s="1136"/>
      <c r="AC1092" s="1136"/>
      <c r="AD1092" s="1136"/>
      <c r="AE1092" s="1136"/>
      <c r="AF1092" s="1136"/>
      <c r="AG1092" s="1136"/>
      <c r="AH1092" s="1136"/>
      <c r="AI1092" s="1136"/>
      <c r="AJ1092" s="1136"/>
      <c r="AK1092" s="1136"/>
      <c r="AL1092" s="1136"/>
      <c r="AM1092" s="1136"/>
      <c r="AN1092" s="1136"/>
      <c r="AO1092" s="1136"/>
      <c r="AP1092" s="1136"/>
      <c r="AQ1092" s="1136"/>
      <c r="AR1092" s="1136"/>
      <c r="AS1092" s="1136"/>
      <c r="AT1092" s="1136"/>
      <c r="AU1092" s="1136"/>
      <c r="AV1092" s="1136"/>
      <c r="AW1092" s="1136"/>
      <c r="AX1092" s="1136"/>
      <c r="AY1092" s="1136"/>
      <c r="AZ1092" s="1136"/>
      <c r="BA1092" s="1136"/>
      <c r="BB1092" s="1136"/>
      <c r="BC1092" s="1136"/>
      <c r="BD1092" s="1136"/>
      <c r="BE1092" s="1136"/>
      <c r="BF1092" s="1136"/>
      <c r="BG1092" s="1136"/>
      <c r="BH1092" s="1136"/>
      <c r="BI1092" s="1136"/>
      <c r="BJ1092" s="1136"/>
      <c r="BK1092" s="1136"/>
      <c r="BL1092" s="1136"/>
      <c r="BM1092" s="1136"/>
      <c r="BN1092" s="1136"/>
      <c r="BO1092" s="1136"/>
      <c r="BP1092" s="1136"/>
      <c r="BQ1092" s="1136"/>
      <c r="BR1092" s="1136"/>
      <c r="BS1092" s="1136"/>
      <c r="BT1092" s="1136"/>
      <c r="BU1092" s="1136"/>
      <c r="BV1092" s="1136"/>
      <c r="BW1092" s="1136"/>
      <c r="BX1092" s="1136"/>
      <c r="BY1092" s="1136"/>
      <c r="BZ1092" s="1136"/>
      <c r="CA1092" s="1136"/>
      <c r="CB1092" s="1136"/>
      <c r="CC1092" s="1136"/>
      <c r="CD1092" s="1136"/>
      <c r="CE1092" s="1136"/>
      <c r="CF1092" s="1136"/>
      <c r="CG1092" s="1136"/>
      <c r="CH1092" s="1136"/>
      <c r="CI1092" s="1136"/>
      <c r="CJ1092" s="1136"/>
      <c r="CK1092" s="1136"/>
      <c r="CL1092" s="1136"/>
      <c r="CM1092" s="1136"/>
      <c r="CN1092" s="1136"/>
      <c r="CO1092" s="1136"/>
      <c r="CP1092" s="1136"/>
      <c r="CQ1092" s="1136"/>
      <c r="CR1092" s="1136"/>
      <c r="CS1092" s="1136"/>
      <c r="CT1092" s="1136"/>
      <c r="CU1092" s="1136"/>
      <c r="CV1092" s="1136"/>
      <c r="CW1092" s="1136"/>
      <c r="CX1092" s="1136"/>
      <c r="CY1092" s="1136"/>
      <c r="CZ1092" s="1136"/>
      <c r="DA1092" s="1136"/>
      <c r="DB1092" s="1136"/>
      <c r="DC1092" s="1136"/>
      <c r="DD1092" s="1136"/>
      <c r="DE1092" s="1136"/>
      <c r="DF1092" s="1136"/>
      <c r="DG1092" s="1136"/>
      <c r="DH1092" s="1136"/>
      <c r="DI1092" s="1136"/>
    </row>
    <row r="1093" spans="1:113" ht="15.75" x14ac:dyDescent="0.25">
      <c r="A1093" s="1430" t="s">
        <v>429</v>
      </c>
      <c r="B1093" s="1439" t="e">
        <f>B1078/B1092</f>
        <v>#DIV/0!</v>
      </c>
      <c r="C1093" s="1562"/>
      <c r="D1093" s="1521"/>
      <c r="E1093" s="1521"/>
      <c r="F1093" s="1521"/>
      <c r="G1093" s="1521"/>
      <c r="H1093" s="1531"/>
      <c r="I1093" s="1531"/>
      <c r="J1093" s="1531"/>
      <c r="K1093" s="1531"/>
      <c r="L1093" s="1531"/>
      <c r="M1093" s="1531"/>
      <c r="N1093" s="1531"/>
      <c r="O1093" s="1531"/>
      <c r="P1093" s="1531"/>
      <c r="Q1093" s="1531"/>
      <c r="R1093" s="1531"/>
      <c r="S1093" s="1531"/>
      <c r="T1093" s="1531"/>
      <c r="U1093" s="1531"/>
      <c r="V1093" s="1531"/>
      <c r="W1093" s="1531"/>
      <c r="X1093" s="1531"/>
      <c r="Y1093" s="1531"/>
      <c r="Z1093" s="1531"/>
      <c r="AA1093" s="1531"/>
      <c r="AB1093" s="1531"/>
      <c r="AC1093" s="1531"/>
      <c r="AD1093" s="1531"/>
      <c r="AE1093" s="1531"/>
      <c r="AF1093" s="1531"/>
      <c r="AG1093" s="1531"/>
      <c r="AH1093" s="1531"/>
      <c r="AI1093" s="1531"/>
      <c r="AJ1093" s="1531"/>
      <c r="AK1093" s="1531"/>
      <c r="AL1093" s="1531"/>
      <c r="AM1093" s="1531"/>
      <c r="AN1093" s="1531"/>
      <c r="AO1093" s="1531"/>
      <c r="AP1093" s="1531"/>
      <c r="AQ1093" s="1531"/>
      <c r="AR1093" s="1531"/>
      <c r="AS1093" s="1531"/>
      <c r="AT1093" s="1136"/>
      <c r="AU1093" s="1136"/>
      <c r="AV1093" s="1136"/>
      <c r="AW1093" s="1136"/>
      <c r="AX1093" s="1136"/>
      <c r="AY1093" s="1136"/>
      <c r="AZ1093" s="1136"/>
      <c r="BA1093" s="1136"/>
      <c r="BB1093" s="1136"/>
      <c r="BC1093" s="1136"/>
      <c r="BD1093" s="1136"/>
      <c r="BE1093" s="1136"/>
      <c r="BF1093" s="1136"/>
      <c r="BG1093" s="1136"/>
      <c r="BH1093" s="1136"/>
      <c r="BI1093" s="1136"/>
      <c r="BJ1093" s="1136"/>
      <c r="BK1093" s="1136"/>
      <c r="BL1093" s="1136"/>
      <c r="BM1093" s="1136"/>
      <c r="BN1093" s="1136"/>
      <c r="BO1093" s="1136"/>
      <c r="BP1093" s="1136"/>
      <c r="BQ1093" s="1136"/>
      <c r="BR1093" s="1136"/>
      <c r="BS1093" s="1136"/>
      <c r="BT1093" s="1136"/>
      <c r="BU1093" s="1136"/>
      <c r="BV1093" s="1136"/>
      <c r="BW1093" s="1136"/>
      <c r="BX1093" s="1136"/>
      <c r="BY1093" s="1136"/>
      <c r="BZ1093" s="1136"/>
      <c r="CA1093" s="1136"/>
      <c r="CB1093" s="1136"/>
      <c r="CC1093" s="1136"/>
      <c r="CD1093" s="1136"/>
      <c r="CE1093" s="1136"/>
      <c r="CF1093" s="1136"/>
      <c r="CG1093" s="1136"/>
      <c r="CH1093" s="1136"/>
      <c r="CI1093" s="1136"/>
      <c r="CJ1093" s="1136"/>
      <c r="CK1093" s="1136"/>
      <c r="CL1093" s="1136"/>
      <c r="CM1093" s="1136"/>
      <c r="CN1093" s="1136"/>
      <c r="CO1093" s="1136"/>
      <c r="CP1093" s="1136"/>
      <c r="CQ1093" s="1136"/>
      <c r="CR1093" s="1136"/>
      <c r="CS1093" s="1136"/>
      <c r="CT1093" s="1136"/>
      <c r="CU1093" s="1136"/>
      <c r="CV1093" s="1136"/>
      <c r="CW1093" s="1136"/>
      <c r="CX1093" s="1136"/>
      <c r="CY1093" s="1136"/>
      <c r="CZ1093" s="1136"/>
      <c r="DA1093" s="1136"/>
      <c r="DB1093" s="1136"/>
      <c r="DC1093" s="1136"/>
      <c r="DD1093" s="1136"/>
      <c r="DE1093" s="1136"/>
      <c r="DF1093" s="1136"/>
      <c r="DG1093" s="1136"/>
      <c r="DH1093" s="1136"/>
      <c r="DI1093" s="1136"/>
    </row>
    <row r="1094" spans="1:113" ht="15.75" x14ac:dyDescent="0.25">
      <c r="A1094" s="1430"/>
      <c r="B1094" s="1443"/>
      <c r="C1094" s="1521"/>
      <c r="D1094" s="1434"/>
      <c r="E1094" s="1434"/>
      <c r="F1094" s="1434"/>
      <c r="G1094" s="1434"/>
      <c r="H1094" s="1531"/>
      <c r="I1094" s="1531"/>
      <c r="J1094" s="1531"/>
      <c r="K1094" s="1531"/>
      <c r="L1094" s="1531"/>
      <c r="M1094" s="1531"/>
      <c r="N1094" s="1531"/>
      <c r="O1094" s="1531"/>
      <c r="P1094" s="1531"/>
      <c r="Q1094" s="1531"/>
      <c r="R1094" s="1531"/>
      <c r="S1094" s="1531"/>
      <c r="T1094" s="1531"/>
      <c r="U1094" s="1531"/>
      <c r="V1094" s="1531"/>
      <c r="W1094" s="1531"/>
      <c r="X1094" s="1531"/>
      <c r="Y1094" s="1531"/>
      <c r="Z1094" s="1531"/>
      <c r="AA1094" s="1531"/>
      <c r="AB1094" s="1531"/>
      <c r="AC1094" s="1531"/>
      <c r="AD1094" s="1531"/>
      <c r="AE1094" s="1531"/>
      <c r="AF1094" s="1531"/>
      <c r="AG1094" s="1531"/>
      <c r="AH1094" s="1531"/>
      <c r="AI1094" s="1531"/>
      <c r="AJ1094" s="1531"/>
      <c r="AK1094" s="1531"/>
      <c r="AL1094" s="1531"/>
      <c r="AM1094" s="1531"/>
      <c r="AN1094" s="1531"/>
      <c r="AO1094" s="1531"/>
      <c r="AP1094" s="1531"/>
      <c r="AQ1094" s="1531"/>
      <c r="AR1094" s="1531"/>
      <c r="AS1094" s="1531"/>
      <c r="AT1094" s="1136"/>
      <c r="AU1094" s="1136"/>
      <c r="AV1094" s="1136"/>
      <c r="AW1094" s="1136"/>
      <c r="AX1094" s="1136"/>
      <c r="AY1094" s="1136"/>
      <c r="AZ1094" s="1136"/>
      <c r="BA1094" s="1136"/>
      <c r="BB1094" s="1136"/>
      <c r="BC1094" s="1136"/>
      <c r="BD1094" s="1136"/>
      <c r="BE1094" s="1136"/>
      <c r="BF1094" s="1136"/>
      <c r="BG1094" s="1136"/>
      <c r="BH1094" s="1136"/>
      <c r="BI1094" s="1136"/>
      <c r="BJ1094" s="1136"/>
      <c r="BK1094" s="1136"/>
      <c r="BL1094" s="1136"/>
      <c r="BM1094" s="1136"/>
      <c r="BN1094" s="1136"/>
      <c r="BO1094" s="1136"/>
      <c r="BP1094" s="1136"/>
      <c r="BQ1094" s="1136"/>
      <c r="BR1094" s="1136"/>
      <c r="BS1094" s="1136"/>
      <c r="BT1094" s="1136"/>
      <c r="BU1094" s="1136"/>
      <c r="BV1094" s="1136"/>
      <c r="BW1094" s="1136"/>
      <c r="BX1094" s="1136"/>
      <c r="BY1094" s="1136"/>
      <c r="BZ1094" s="1136"/>
      <c r="CA1094" s="1136"/>
      <c r="CB1094" s="1136"/>
      <c r="CC1094" s="1136"/>
      <c r="CD1094" s="1136"/>
      <c r="CE1094" s="1136"/>
      <c r="CF1094" s="1136"/>
      <c r="CG1094" s="1136"/>
      <c r="CH1094" s="1136"/>
      <c r="CI1094" s="1136"/>
      <c r="CJ1094" s="1136"/>
      <c r="CK1094" s="1136"/>
      <c r="CL1094" s="1136"/>
      <c r="CM1094" s="1136"/>
      <c r="CN1094" s="1136"/>
      <c r="CO1094" s="1136"/>
      <c r="CP1094" s="1136"/>
      <c r="CQ1094" s="1136"/>
      <c r="CR1094" s="1136"/>
      <c r="CS1094" s="1136"/>
      <c r="CT1094" s="1136"/>
      <c r="CU1094" s="1136"/>
      <c r="CV1094" s="1136"/>
      <c r="CW1094" s="1136"/>
      <c r="CX1094" s="1136"/>
      <c r="CY1094" s="1136"/>
      <c r="CZ1094" s="1136"/>
      <c r="DA1094" s="1136"/>
      <c r="DB1094" s="1136"/>
      <c r="DC1094" s="1136"/>
      <c r="DD1094" s="1136"/>
      <c r="DE1094" s="1136"/>
      <c r="DF1094" s="1136"/>
      <c r="DG1094" s="1136"/>
      <c r="DH1094" s="1136"/>
      <c r="DI1094" s="1136"/>
    </row>
    <row r="1095" spans="1:113" ht="31.5" x14ac:dyDescent="0.25">
      <c r="A1095" s="1427" t="s">
        <v>204</v>
      </c>
      <c r="B1095" s="1443"/>
      <c r="C1095" s="1521"/>
      <c r="D1095" s="1521"/>
      <c r="E1095" s="1521"/>
      <c r="F1095" s="1521"/>
      <c r="G1095" s="1521"/>
      <c r="H1095" s="1531"/>
      <c r="I1095" s="1531"/>
      <c r="J1095" s="1531"/>
      <c r="K1095" s="1531"/>
      <c r="L1095" s="1531"/>
      <c r="M1095" s="1531"/>
      <c r="N1095" s="1531"/>
      <c r="O1095" s="1531"/>
      <c r="P1095" s="1531"/>
      <c r="Q1095" s="1531"/>
      <c r="R1095" s="1531"/>
      <c r="S1095" s="1531"/>
      <c r="T1095" s="1531"/>
      <c r="U1095" s="1531"/>
      <c r="V1095" s="1531"/>
      <c r="W1095" s="1531"/>
      <c r="X1095" s="1531"/>
      <c r="Y1095" s="1531"/>
      <c r="Z1095" s="1531"/>
      <c r="AA1095" s="1531"/>
      <c r="AB1095" s="1531"/>
      <c r="AC1095" s="1531"/>
      <c r="AD1095" s="1531"/>
      <c r="AE1095" s="1531"/>
      <c r="AF1095" s="1531"/>
      <c r="AG1095" s="1531"/>
      <c r="AH1095" s="1531"/>
      <c r="AI1095" s="1531"/>
      <c r="AJ1095" s="1531"/>
      <c r="AK1095" s="1531"/>
      <c r="AL1095" s="1531"/>
      <c r="AM1095" s="1531"/>
      <c r="AN1095" s="1531"/>
      <c r="AO1095" s="1531"/>
      <c r="AP1095" s="1531"/>
      <c r="AQ1095" s="1531"/>
      <c r="AR1095" s="1531"/>
      <c r="AS1095" s="1531"/>
      <c r="AT1095" s="1136"/>
      <c r="AU1095" s="1136"/>
      <c r="AV1095" s="1136"/>
      <c r="AW1095" s="1136"/>
      <c r="AX1095" s="1136"/>
      <c r="AY1095" s="1136"/>
      <c r="AZ1095" s="1136"/>
      <c r="BA1095" s="1136"/>
      <c r="BB1095" s="1136"/>
      <c r="BC1095" s="1136"/>
      <c r="BD1095" s="1136"/>
      <c r="BE1095" s="1136"/>
      <c r="BF1095" s="1136"/>
      <c r="BG1095" s="1136"/>
      <c r="BH1095" s="1136"/>
      <c r="BI1095" s="1136"/>
      <c r="BJ1095" s="1136"/>
      <c r="BK1095" s="1136"/>
      <c r="BL1095" s="1136"/>
      <c r="BM1095" s="1136"/>
      <c r="BN1095" s="1136"/>
      <c r="BO1095" s="1136"/>
      <c r="BP1095" s="1136"/>
      <c r="BQ1095" s="1136"/>
      <c r="BR1095" s="1136"/>
      <c r="BS1095" s="1136"/>
      <c r="BT1095" s="1136"/>
      <c r="BU1095" s="1136"/>
      <c r="BV1095" s="1136"/>
      <c r="BW1095" s="1136"/>
      <c r="BX1095" s="1136"/>
      <c r="BY1095" s="1136"/>
      <c r="BZ1095" s="1136"/>
      <c r="CA1095" s="1136"/>
      <c r="CB1095" s="1136"/>
      <c r="CC1095" s="1136"/>
      <c r="CD1095" s="1136"/>
      <c r="CE1095" s="1136"/>
      <c r="CF1095" s="1136"/>
      <c r="CG1095" s="1136"/>
      <c r="CH1095" s="1136"/>
      <c r="CI1095" s="1136"/>
      <c r="CJ1095" s="1136"/>
      <c r="CK1095" s="1136"/>
      <c r="CL1095" s="1136"/>
      <c r="CM1095" s="1136"/>
      <c r="CN1095" s="1136"/>
      <c r="CO1095" s="1136"/>
      <c r="CP1095" s="1136"/>
      <c r="CQ1095" s="1136"/>
      <c r="CR1095" s="1136"/>
      <c r="CS1095" s="1136"/>
      <c r="CT1095" s="1136"/>
      <c r="CU1095" s="1136"/>
      <c r="CV1095" s="1136"/>
      <c r="CW1095" s="1136"/>
      <c r="CX1095" s="1136"/>
      <c r="CY1095" s="1136"/>
      <c r="CZ1095" s="1136"/>
      <c r="DA1095" s="1136"/>
      <c r="DB1095" s="1136"/>
      <c r="DC1095" s="1136"/>
      <c r="DD1095" s="1136"/>
      <c r="DE1095" s="1136"/>
      <c r="DF1095" s="1136"/>
      <c r="DG1095" s="1136"/>
      <c r="DH1095" s="1136"/>
      <c r="DI1095" s="1136"/>
    </row>
    <row r="1096" spans="1:113" ht="15.75" x14ac:dyDescent="0.25">
      <c r="A1096" s="1508" t="s">
        <v>205</v>
      </c>
      <c r="B1096" s="1508" t="str">
        <f>B653</f>
        <v/>
      </c>
      <c r="C1096" s="1416"/>
      <c r="D1096" s="1521"/>
      <c r="E1096" s="1521"/>
      <c r="F1096" s="1521"/>
      <c r="G1096" s="1521"/>
      <c r="H1096" s="1531"/>
      <c r="I1096" s="1531"/>
      <c r="J1096" s="1531"/>
      <c r="K1096" s="1531"/>
      <c r="L1096" s="1531"/>
      <c r="M1096" s="1531"/>
      <c r="N1096" s="1531"/>
      <c r="O1096" s="1531"/>
      <c r="P1096" s="1531"/>
      <c r="Q1096" s="1531"/>
      <c r="R1096" s="1531"/>
      <c r="S1096" s="1531"/>
      <c r="T1096" s="1531"/>
      <c r="U1096" s="1531"/>
      <c r="V1096" s="1531"/>
      <c r="W1096" s="1531"/>
      <c r="X1096" s="1531"/>
      <c r="Y1096" s="1531"/>
      <c r="Z1096" s="1531"/>
      <c r="AA1096" s="1531"/>
      <c r="AB1096" s="1531"/>
      <c r="AC1096" s="1531"/>
      <c r="AD1096" s="1531"/>
      <c r="AE1096" s="1531"/>
      <c r="AF1096" s="1531"/>
      <c r="AG1096" s="1531"/>
      <c r="AH1096" s="1531"/>
      <c r="AI1096" s="1531"/>
      <c r="AJ1096" s="1531"/>
      <c r="AK1096" s="1531"/>
      <c r="AL1096" s="1531"/>
      <c r="AM1096" s="1531"/>
      <c r="AN1096" s="1531"/>
      <c r="AO1096" s="1531"/>
      <c r="AP1096" s="1531"/>
      <c r="AQ1096" s="1531"/>
      <c r="AR1096" s="1531"/>
      <c r="AS1096" s="1531"/>
      <c r="AT1096" s="1136"/>
      <c r="AU1096" s="1136"/>
      <c r="AV1096" s="1136"/>
      <c r="AW1096" s="1136"/>
      <c r="AX1096" s="1136"/>
      <c r="AY1096" s="1136"/>
      <c r="AZ1096" s="1136"/>
      <c r="BA1096" s="1136"/>
      <c r="BB1096" s="1136"/>
      <c r="BC1096" s="1136"/>
      <c r="BD1096" s="1136"/>
      <c r="BE1096" s="1136"/>
      <c r="BF1096" s="1136"/>
      <c r="BG1096" s="1136"/>
      <c r="BH1096" s="1136"/>
      <c r="BI1096" s="1136"/>
      <c r="BJ1096" s="1136"/>
      <c r="BK1096" s="1136"/>
      <c r="BL1096" s="1136"/>
      <c r="BM1096" s="1136"/>
      <c r="BN1096" s="1136"/>
      <c r="BO1096" s="1136"/>
      <c r="BP1096" s="1136"/>
      <c r="BQ1096" s="1136"/>
      <c r="BR1096" s="1136"/>
      <c r="BS1096" s="1136"/>
      <c r="BT1096" s="1136"/>
      <c r="BU1096" s="1136"/>
      <c r="BV1096" s="1136"/>
      <c r="BW1096" s="1136"/>
      <c r="BX1096" s="1136"/>
      <c r="BY1096" s="1136"/>
      <c r="BZ1096" s="1136"/>
      <c r="CA1096" s="1136"/>
      <c r="CB1096" s="1136"/>
      <c r="CC1096" s="1136"/>
      <c r="CD1096" s="1136"/>
      <c r="CE1096" s="1136"/>
      <c r="CF1096" s="1136"/>
      <c r="CG1096" s="1136"/>
      <c r="CH1096" s="1136"/>
      <c r="CI1096" s="1136"/>
      <c r="CJ1096" s="1136"/>
      <c r="CK1096" s="1136"/>
      <c r="CL1096" s="1136"/>
      <c r="CM1096" s="1136"/>
      <c r="CN1096" s="1136"/>
      <c r="CO1096" s="1136"/>
      <c r="CP1096" s="1136"/>
      <c r="CQ1096" s="1136"/>
      <c r="CR1096" s="1136"/>
      <c r="CS1096" s="1136"/>
      <c r="CT1096" s="1136"/>
      <c r="CU1096" s="1136"/>
      <c r="CV1096" s="1136"/>
      <c r="CW1096" s="1136"/>
      <c r="CX1096" s="1136"/>
      <c r="CY1096" s="1136"/>
      <c r="CZ1096" s="1136"/>
      <c r="DA1096" s="1136"/>
      <c r="DB1096" s="1136"/>
      <c r="DC1096" s="1136"/>
      <c r="DD1096" s="1136"/>
      <c r="DE1096" s="1136"/>
      <c r="DF1096" s="1136"/>
      <c r="DG1096" s="1136"/>
      <c r="DH1096" s="1136"/>
      <c r="DI1096" s="1136"/>
    </row>
    <row r="1097" spans="1:113" ht="15.75" x14ac:dyDescent="0.25">
      <c r="A1097" s="1508" t="s">
        <v>418</v>
      </c>
      <c r="B1097" s="1508">
        <f>B654</f>
        <v>1</v>
      </c>
      <c r="C1097" s="1416"/>
      <c r="D1097" s="1624"/>
      <c r="E1097" s="1624"/>
      <c r="F1097" s="1624"/>
      <c r="G1097" s="1624"/>
      <c r="H1097" s="1531"/>
      <c r="I1097" s="1531"/>
      <c r="J1097" s="1531"/>
      <c r="K1097" s="1531"/>
      <c r="L1097" s="1531"/>
      <c r="M1097" s="1531"/>
      <c r="N1097" s="1531"/>
      <c r="O1097" s="1531"/>
      <c r="P1097" s="1531"/>
      <c r="Q1097" s="1531"/>
      <c r="R1097" s="1531"/>
      <c r="S1097" s="1531"/>
      <c r="T1097" s="1531"/>
      <c r="U1097" s="1531"/>
      <c r="V1097" s="1531"/>
      <c r="W1097" s="1531"/>
      <c r="X1097" s="1531"/>
      <c r="Y1097" s="1531"/>
      <c r="Z1097" s="1531"/>
      <c r="AA1097" s="1531"/>
      <c r="AB1097" s="1531"/>
      <c r="AC1097" s="1531"/>
      <c r="AD1097" s="1531"/>
      <c r="AE1097" s="1531"/>
      <c r="AF1097" s="1531"/>
      <c r="AG1097" s="1531"/>
      <c r="AH1097" s="1531"/>
      <c r="AI1097" s="1531"/>
      <c r="AJ1097" s="1531"/>
      <c r="AK1097" s="1531"/>
      <c r="AL1097" s="1531"/>
      <c r="AM1097" s="1531"/>
      <c r="AN1097" s="1531"/>
      <c r="AO1097" s="1531"/>
      <c r="AP1097" s="1531"/>
      <c r="AQ1097" s="1531"/>
      <c r="AR1097" s="1531"/>
      <c r="AS1097" s="1531"/>
      <c r="AT1097" s="1136"/>
      <c r="AU1097" s="1136"/>
      <c r="AV1097" s="1136"/>
      <c r="AW1097" s="1136"/>
      <c r="AX1097" s="1136"/>
      <c r="AY1097" s="1136"/>
      <c r="AZ1097" s="1136"/>
      <c r="BA1097" s="1136"/>
      <c r="BB1097" s="1136"/>
      <c r="BC1097" s="1136"/>
      <c r="BD1097" s="1136"/>
      <c r="BE1097" s="1136"/>
      <c r="BF1097" s="1136"/>
      <c r="BG1097" s="1136"/>
      <c r="BH1097" s="1136"/>
      <c r="BI1097" s="1136"/>
      <c r="BJ1097" s="1136"/>
      <c r="BK1097" s="1136"/>
      <c r="BL1097" s="1136"/>
      <c r="BM1097" s="1136"/>
      <c r="BN1097" s="1136"/>
      <c r="BO1097" s="1136"/>
      <c r="BP1097" s="1136"/>
      <c r="BQ1097" s="1136"/>
      <c r="BR1097" s="1136"/>
      <c r="BS1097" s="1136"/>
      <c r="BT1097" s="1136"/>
      <c r="BU1097" s="1136"/>
      <c r="BV1097" s="1136"/>
      <c r="BW1097" s="1136"/>
      <c r="BX1097" s="1136"/>
      <c r="BY1097" s="1136"/>
      <c r="BZ1097" s="1136"/>
      <c r="CA1097" s="1136"/>
      <c r="CB1097" s="1136"/>
      <c r="CC1097" s="1136"/>
      <c r="CD1097" s="1136"/>
      <c r="CE1097" s="1136"/>
      <c r="CF1097" s="1136"/>
      <c r="CG1097" s="1136"/>
      <c r="CH1097" s="1136"/>
      <c r="CI1097" s="1136"/>
      <c r="CJ1097" s="1136"/>
      <c r="CK1097" s="1136"/>
      <c r="CL1097" s="1136"/>
      <c r="CM1097" s="1136"/>
      <c r="CN1097" s="1136"/>
      <c r="CO1097" s="1136"/>
      <c r="CP1097" s="1136"/>
      <c r="CQ1097" s="1136"/>
      <c r="CR1097" s="1136"/>
      <c r="CS1097" s="1136"/>
      <c r="CT1097" s="1136"/>
      <c r="CU1097" s="1136"/>
      <c r="CV1097" s="1136"/>
      <c r="CW1097" s="1136"/>
      <c r="CX1097" s="1136"/>
      <c r="CY1097" s="1136"/>
      <c r="CZ1097" s="1136"/>
      <c r="DA1097" s="1136"/>
      <c r="DB1097" s="1136"/>
      <c r="DC1097" s="1136"/>
      <c r="DD1097" s="1136"/>
      <c r="DE1097" s="1136"/>
      <c r="DF1097" s="1136"/>
      <c r="DG1097" s="1136"/>
      <c r="DH1097" s="1136"/>
      <c r="DI1097" s="1136"/>
    </row>
    <row r="1098" spans="1:113" ht="15.75" x14ac:dyDescent="0.25">
      <c r="A1098" s="1509" t="s">
        <v>3785</v>
      </c>
      <c r="B1098" s="1508" t="str">
        <f>B655</f>
        <v/>
      </c>
      <c r="C1098" s="1416"/>
      <c r="D1098" s="1521"/>
      <c r="E1098" s="1521"/>
      <c r="F1098" s="1521"/>
      <c r="G1098" s="1521"/>
      <c r="H1098" s="1531"/>
      <c r="I1098" s="1531"/>
      <c r="J1098" s="1531"/>
      <c r="K1098" s="1531"/>
      <c r="L1098" s="1531"/>
      <c r="M1098" s="1531"/>
      <c r="N1098" s="1531"/>
      <c r="O1098" s="1531"/>
      <c r="P1098" s="1531"/>
      <c r="Q1098" s="1531"/>
      <c r="R1098" s="1531"/>
      <c r="S1098" s="1531"/>
      <c r="T1098" s="1531"/>
      <c r="U1098" s="1531"/>
      <c r="V1098" s="1531"/>
      <c r="W1098" s="1531"/>
      <c r="X1098" s="1531"/>
      <c r="Y1098" s="1531"/>
      <c r="Z1098" s="1531"/>
      <c r="AA1098" s="1531"/>
      <c r="AB1098" s="1531"/>
      <c r="AC1098" s="1531"/>
      <c r="AD1098" s="1531"/>
      <c r="AE1098" s="1531"/>
      <c r="AF1098" s="1531"/>
      <c r="AG1098" s="1531"/>
      <c r="AH1098" s="1531"/>
      <c r="AI1098" s="1531"/>
      <c r="AJ1098" s="1531"/>
      <c r="AK1098" s="1531"/>
      <c r="AL1098" s="1531"/>
      <c r="AM1098" s="1531"/>
      <c r="AN1098" s="1531"/>
      <c r="AO1098" s="1531"/>
      <c r="AP1098" s="1531"/>
      <c r="AQ1098" s="1531"/>
      <c r="AR1098" s="1531"/>
      <c r="AS1098" s="1531"/>
      <c r="AT1098" s="1136"/>
      <c r="AU1098" s="1136"/>
      <c r="AV1098" s="1136"/>
      <c r="AW1098" s="1136"/>
      <c r="AX1098" s="1136"/>
      <c r="AY1098" s="1136"/>
      <c r="AZ1098" s="1136"/>
      <c r="BA1098" s="1136"/>
      <c r="BB1098" s="1136"/>
      <c r="BC1098" s="1136"/>
      <c r="BD1098" s="1136"/>
      <c r="BE1098" s="1136"/>
      <c r="BF1098" s="1136"/>
      <c r="BG1098" s="1136"/>
      <c r="BH1098" s="1136"/>
      <c r="BI1098" s="1136"/>
      <c r="BJ1098" s="1136"/>
      <c r="BK1098" s="1136"/>
      <c r="BL1098" s="1136"/>
      <c r="BM1098" s="1136"/>
      <c r="BN1098" s="1136"/>
      <c r="BO1098" s="1136"/>
      <c r="BP1098" s="1136"/>
      <c r="BQ1098" s="1136"/>
      <c r="BR1098" s="1136"/>
      <c r="BS1098" s="1136"/>
      <c r="BT1098" s="1136"/>
      <c r="BU1098" s="1136"/>
      <c r="BV1098" s="1136"/>
      <c r="BW1098" s="1136"/>
      <c r="BX1098" s="1136"/>
      <c r="BY1098" s="1136"/>
      <c r="BZ1098" s="1136"/>
      <c r="CA1098" s="1136"/>
      <c r="CB1098" s="1136"/>
      <c r="CC1098" s="1136"/>
      <c r="CD1098" s="1136"/>
      <c r="CE1098" s="1136"/>
      <c r="CF1098" s="1136"/>
      <c r="CG1098" s="1136"/>
      <c r="CH1098" s="1136"/>
      <c r="CI1098" s="1136"/>
      <c r="CJ1098" s="1136"/>
      <c r="CK1098" s="1136"/>
      <c r="CL1098" s="1136"/>
      <c r="CM1098" s="1136"/>
      <c r="CN1098" s="1136"/>
      <c r="CO1098" s="1136"/>
      <c r="CP1098" s="1136"/>
      <c r="CQ1098" s="1136"/>
      <c r="CR1098" s="1136"/>
      <c r="CS1098" s="1136"/>
      <c r="CT1098" s="1136"/>
      <c r="CU1098" s="1136"/>
      <c r="CV1098" s="1136"/>
      <c r="CW1098" s="1136"/>
      <c r="CX1098" s="1136"/>
      <c r="CY1098" s="1136"/>
      <c r="CZ1098" s="1136"/>
      <c r="DA1098" s="1136"/>
      <c r="DB1098" s="1136"/>
      <c r="DC1098" s="1136"/>
      <c r="DD1098" s="1136"/>
      <c r="DE1098" s="1136"/>
      <c r="DF1098" s="1136"/>
      <c r="DG1098" s="1136"/>
      <c r="DH1098" s="1136"/>
      <c r="DI1098" s="1136"/>
    </row>
    <row r="1099" spans="1:113" ht="47.25" x14ac:dyDescent="0.25">
      <c r="A1099" s="1509" t="s">
        <v>4334</v>
      </c>
      <c r="B1099" s="1508" t="str">
        <f>B656</f>
        <v/>
      </c>
      <c r="C1099" s="1416"/>
      <c r="D1099" s="1562"/>
      <c r="E1099" s="1562"/>
      <c r="F1099" s="1562"/>
      <c r="G1099" s="1562"/>
      <c r="H1099" s="1531"/>
      <c r="I1099" s="1531"/>
      <c r="J1099" s="1531"/>
      <c r="K1099" s="1531"/>
      <c r="L1099" s="1531"/>
      <c r="M1099" s="1531"/>
      <c r="N1099" s="1531"/>
      <c r="O1099" s="1531"/>
      <c r="P1099" s="1531"/>
      <c r="Q1099" s="1531"/>
      <c r="R1099" s="1531"/>
      <c r="S1099" s="1531"/>
      <c r="T1099" s="1531"/>
      <c r="U1099" s="1531"/>
      <c r="V1099" s="1531"/>
      <c r="W1099" s="1531"/>
      <c r="X1099" s="1531"/>
      <c r="Y1099" s="1531"/>
      <c r="Z1099" s="1531"/>
      <c r="AA1099" s="1531"/>
      <c r="AB1099" s="1531"/>
      <c r="AC1099" s="1531"/>
      <c r="AD1099" s="1531"/>
      <c r="AE1099" s="1531"/>
      <c r="AF1099" s="1531"/>
      <c r="AG1099" s="1531"/>
      <c r="AH1099" s="1531"/>
      <c r="AI1099" s="1531"/>
      <c r="AJ1099" s="1531"/>
      <c r="AK1099" s="1531"/>
      <c r="AL1099" s="1531"/>
      <c r="AM1099" s="1531"/>
      <c r="AN1099" s="1531"/>
      <c r="AO1099" s="1531"/>
      <c r="AP1099" s="1531"/>
      <c r="AQ1099" s="1531"/>
      <c r="AR1099" s="1531"/>
      <c r="AS1099" s="1531"/>
      <c r="AT1099" s="1136"/>
      <c r="AU1099" s="1136"/>
      <c r="AV1099" s="1136"/>
      <c r="AW1099" s="1136"/>
      <c r="AX1099" s="1136"/>
      <c r="AY1099" s="1136"/>
      <c r="AZ1099" s="1136"/>
      <c r="BA1099" s="1136"/>
      <c r="BB1099" s="1136"/>
      <c r="BC1099" s="1136"/>
      <c r="BD1099" s="1136"/>
      <c r="BE1099" s="1136"/>
      <c r="BF1099" s="1136"/>
      <c r="BG1099" s="1136"/>
      <c r="BH1099" s="1136"/>
      <c r="BI1099" s="1136"/>
      <c r="BJ1099" s="1136"/>
      <c r="BK1099" s="1136"/>
      <c r="BL1099" s="1136"/>
      <c r="BM1099" s="1136"/>
      <c r="BN1099" s="1136"/>
      <c r="BO1099" s="1136"/>
      <c r="BP1099" s="1136"/>
      <c r="BQ1099" s="1136"/>
      <c r="BR1099" s="1136"/>
      <c r="BS1099" s="1136"/>
      <c r="BT1099" s="1136"/>
      <c r="BU1099" s="1136"/>
      <c r="BV1099" s="1136"/>
      <c r="BW1099" s="1136"/>
      <c r="BX1099" s="1136"/>
      <c r="BY1099" s="1136"/>
      <c r="BZ1099" s="1136"/>
      <c r="CA1099" s="1136"/>
      <c r="CB1099" s="1136"/>
      <c r="CC1099" s="1136"/>
      <c r="CD1099" s="1136"/>
      <c r="CE1099" s="1136"/>
      <c r="CF1099" s="1136"/>
      <c r="CG1099" s="1136"/>
      <c r="CH1099" s="1136"/>
      <c r="CI1099" s="1136"/>
      <c r="CJ1099" s="1136"/>
      <c r="CK1099" s="1136"/>
      <c r="CL1099" s="1136"/>
      <c r="CM1099" s="1136"/>
      <c r="CN1099" s="1136"/>
      <c r="CO1099" s="1136"/>
      <c r="CP1099" s="1136"/>
      <c r="CQ1099" s="1136"/>
      <c r="CR1099" s="1136"/>
      <c r="CS1099" s="1136"/>
      <c r="CT1099" s="1136"/>
      <c r="CU1099" s="1136"/>
      <c r="CV1099" s="1136"/>
      <c r="CW1099" s="1136"/>
      <c r="CX1099" s="1136"/>
      <c r="CY1099" s="1136"/>
      <c r="CZ1099" s="1136"/>
      <c r="DA1099" s="1136"/>
      <c r="DB1099" s="1136"/>
      <c r="DC1099" s="1136"/>
      <c r="DD1099" s="1136"/>
      <c r="DE1099" s="1136"/>
      <c r="DF1099" s="1136"/>
      <c r="DG1099" s="1136"/>
      <c r="DH1099" s="1136"/>
      <c r="DI1099" s="1136"/>
    </row>
    <row r="1100" spans="1:113" ht="15.75" x14ac:dyDescent="0.25">
      <c r="A1100" s="1510" t="s">
        <v>5436</v>
      </c>
      <c r="B1100" s="1511" t="str">
        <f>B657</f>
        <v/>
      </c>
      <c r="C1100" s="1429"/>
      <c r="D1100" s="1562"/>
      <c r="E1100" s="1562"/>
      <c r="F1100" s="1562"/>
      <c r="G1100" s="1562"/>
      <c r="H1100" s="1531"/>
      <c r="I1100" s="1531"/>
      <c r="J1100" s="1531"/>
      <c r="K1100" s="1531"/>
      <c r="L1100" s="1531"/>
      <c r="M1100" s="1531"/>
      <c r="N1100" s="1531"/>
      <c r="O1100" s="1531"/>
      <c r="P1100" s="1531"/>
      <c r="Q1100" s="1531"/>
      <c r="R1100" s="1531"/>
      <c r="S1100" s="1531"/>
      <c r="T1100" s="1531"/>
      <c r="U1100" s="1531"/>
      <c r="V1100" s="1531"/>
      <c r="W1100" s="1531"/>
      <c r="X1100" s="1531"/>
      <c r="Y1100" s="1531"/>
      <c r="Z1100" s="1531"/>
      <c r="AA1100" s="1531"/>
      <c r="AB1100" s="1531"/>
      <c r="AC1100" s="1531"/>
      <c r="AD1100" s="1531"/>
      <c r="AE1100" s="1531"/>
      <c r="AF1100" s="1531"/>
      <c r="AG1100" s="1531"/>
      <c r="AH1100" s="1531"/>
      <c r="AI1100" s="1531"/>
      <c r="AJ1100" s="1531"/>
      <c r="AK1100" s="1531"/>
      <c r="AL1100" s="1531"/>
      <c r="AM1100" s="1531"/>
      <c r="AN1100" s="1531"/>
      <c r="AO1100" s="1531"/>
      <c r="AP1100" s="1531"/>
      <c r="AQ1100" s="1531"/>
      <c r="AR1100" s="1531"/>
      <c r="AS1100" s="1531"/>
      <c r="AT1100" s="1136"/>
      <c r="AU1100" s="1136"/>
      <c r="AV1100" s="1136"/>
      <c r="AW1100" s="1136"/>
      <c r="AX1100" s="1136"/>
      <c r="AY1100" s="1136"/>
      <c r="AZ1100" s="1136"/>
      <c r="BA1100" s="1136"/>
      <c r="BB1100" s="1136"/>
      <c r="BC1100" s="1136"/>
      <c r="BD1100" s="1136"/>
      <c r="BE1100" s="1136"/>
      <c r="BF1100" s="1136"/>
      <c r="BG1100" s="1136"/>
      <c r="BH1100" s="1136"/>
      <c r="BI1100" s="1136"/>
      <c r="BJ1100" s="1136"/>
      <c r="BK1100" s="1136"/>
      <c r="BL1100" s="1136"/>
      <c r="BM1100" s="1136"/>
      <c r="BN1100" s="1136"/>
      <c r="BO1100" s="1136"/>
      <c r="BP1100" s="1136"/>
      <c r="BQ1100" s="1136"/>
      <c r="BR1100" s="1136"/>
      <c r="BS1100" s="1136"/>
      <c r="BT1100" s="1136"/>
      <c r="BU1100" s="1136"/>
      <c r="BV1100" s="1136"/>
      <c r="BW1100" s="1136"/>
      <c r="BX1100" s="1136"/>
      <c r="BY1100" s="1136"/>
      <c r="BZ1100" s="1136"/>
      <c r="CA1100" s="1136"/>
      <c r="CB1100" s="1136"/>
      <c r="CC1100" s="1136"/>
      <c r="CD1100" s="1136"/>
      <c r="CE1100" s="1136"/>
      <c r="CF1100" s="1136"/>
      <c r="CG1100" s="1136"/>
      <c r="CH1100" s="1136"/>
      <c r="CI1100" s="1136"/>
      <c r="CJ1100" s="1136"/>
      <c r="CK1100" s="1136"/>
      <c r="CL1100" s="1136"/>
      <c r="CM1100" s="1136"/>
      <c r="CN1100" s="1136"/>
      <c r="CO1100" s="1136"/>
      <c r="CP1100" s="1136"/>
      <c r="CQ1100" s="1136"/>
      <c r="CR1100" s="1136"/>
      <c r="CS1100" s="1136"/>
      <c r="CT1100" s="1136"/>
      <c r="CU1100" s="1136"/>
      <c r="CV1100" s="1136"/>
      <c r="CW1100" s="1136"/>
      <c r="CX1100" s="1136"/>
      <c r="CY1100" s="1136"/>
      <c r="CZ1100" s="1136"/>
      <c r="DA1100" s="1136"/>
      <c r="DB1100" s="1136"/>
      <c r="DC1100" s="1136"/>
      <c r="DD1100" s="1136"/>
      <c r="DE1100" s="1136"/>
      <c r="DF1100" s="1136"/>
      <c r="DG1100" s="1136"/>
      <c r="DH1100" s="1136"/>
      <c r="DI1100" s="1136"/>
    </row>
    <row r="1101" spans="1:113" ht="16.5" thickBot="1" x14ac:dyDescent="0.3">
      <c r="A1101" s="1625" t="s">
        <v>4325</v>
      </c>
      <c r="B1101" s="1626"/>
      <c r="C1101" s="1627"/>
      <c r="D1101" s="1531"/>
      <c r="E1101" s="1531"/>
      <c r="F1101" s="1531"/>
      <c r="G1101" s="1531"/>
      <c r="H1101" s="1531"/>
      <c r="I1101" s="1531"/>
      <c r="J1101" s="1531"/>
      <c r="K1101" s="1531"/>
      <c r="L1101" s="1531"/>
      <c r="M1101" s="1531"/>
      <c r="N1101" s="1531"/>
      <c r="O1101" s="1531"/>
      <c r="P1101" s="1531"/>
      <c r="Q1101" s="1531"/>
      <c r="R1101" s="1531"/>
      <c r="S1101" s="1531"/>
      <c r="T1101" s="1531"/>
      <c r="U1101" s="1531"/>
      <c r="V1101" s="1531"/>
      <c r="W1101" s="1531"/>
      <c r="X1101" s="1531"/>
      <c r="Y1101" s="1531"/>
      <c r="Z1101" s="1531"/>
      <c r="AA1101" s="1531"/>
      <c r="AB1101" s="1531"/>
      <c r="AC1101" s="1531"/>
      <c r="AD1101" s="1531"/>
      <c r="AE1101" s="1531"/>
      <c r="AF1101" s="1531"/>
      <c r="AG1101" s="1531"/>
      <c r="AH1101" s="1531"/>
      <c r="AI1101" s="1531"/>
      <c r="AJ1101" s="1531"/>
      <c r="AK1101" s="1531"/>
      <c r="AL1101" s="1531"/>
      <c r="AM1101" s="1531"/>
      <c r="AN1101" s="1531"/>
      <c r="AO1101" s="1531"/>
      <c r="AP1101" s="1531"/>
      <c r="AQ1101" s="1531"/>
      <c r="AR1101" s="1531"/>
      <c r="AS1101" s="1531"/>
      <c r="AT1101" s="1136"/>
      <c r="AU1101" s="1136"/>
      <c r="AV1101" s="1136"/>
      <c r="AW1101" s="1136"/>
      <c r="AX1101" s="1136"/>
      <c r="AY1101" s="1136"/>
      <c r="AZ1101" s="1136"/>
      <c r="BA1101" s="1136"/>
      <c r="BB1101" s="1136"/>
      <c r="BC1101" s="1136"/>
      <c r="BD1101" s="1136"/>
      <c r="BE1101" s="1136"/>
      <c r="BF1101" s="1136"/>
      <c r="BG1101" s="1136"/>
      <c r="BH1101" s="1136"/>
      <c r="BI1101" s="1136"/>
      <c r="BJ1101" s="1136"/>
      <c r="BK1101" s="1136"/>
      <c r="BL1101" s="1136"/>
      <c r="BM1101" s="1136"/>
      <c r="BN1101" s="1136"/>
      <c r="BO1101" s="1136"/>
      <c r="BP1101" s="1136"/>
      <c r="BQ1101" s="1136"/>
      <c r="BR1101" s="1136"/>
      <c r="BS1101" s="1136"/>
      <c r="BT1101" s="1136"/>
      <c r="BU1101" s="1136"/>
      <c r="BV1101" s="1136"/>
      <c r="BW1101" s="1136"/>
      <c r="BX1101" s="1136"/>
      <c r="BY1101" s="1136"/>
      <c r="BZ1101" s="1136"/>
      <c r="CA1101" s="1136"/>
      <c r="CB1101" s="1136"/>
      <c r="CC1101" s="1136"/>
      <c r="CD1101" s="1136"/>
      <c r="CE1101" s="1136"/>
      <c r="CF1101" s="1136"/>
      <c r="CG1101" s="1136"/>
      <c r="CH1101" s="1136"/>
      <c r="CI1101" s="1136"/>
      <c r="CJ1101" s="1136"/>
      <c r="CK1101" s="1136"/>
      <c r="CL1101" s="1136"/>
      <c r="CM1101" s="1136"/>
      <c r="CN1101" s="1136"/>
      <c r="CO1101" s="1136"/>
      <c r="CP1101" s="1136"/>
      <c r="CQ1101" s="1136"/>
      <c r="CR1101" s="1136"/>
      <c r="CS1101" s="1136"/>
      <c r="CT1101" s="1136"/>
      <c r="CU1101" s="1136"/>
      <c r="CV1101" s="1136"/>
      <c r="CW1101" s="1136"/>
      <c r="CX1101" s="1136"/>
      <c r="CY1101" s="1136"/>
      <c r="CZ1101" s="1136"/>
      <c r="DA1101" s="1136"/>
      <c r="DB1101" s="1136"/>
      <c r="DC1101" s="1136"/>
      <c r="DD1101" s="1136"/>
      <c r="DE1101" s="1136"/>
      <c r="DF1101" s="1136"/>
      <c r="DG1101" s="1136"/>
      <c r="DH1101" s="1136"/>
      <c r="DI1101" s="1136"/>
    </row>
    <row r="1102" spans="1:113" ht="15.75" x14ac:dyDescent="0.25">
      <c r="A1102" s="1515" t="s">
        <v>5019</v>
      </c>
      <c r="B1102" s="1443">
        <f>B659</f>
        <v>1</v>
      </c>
      <c r="C1102" s="1437"/>
      <c r="D1102" s="1531"/>
      <c r="E1102" s="1531"/>
      <c r="F1102" s="1531"/>
      <c r="G1102" s="1531"/>
      <c r="H1102" s="1531"/>
      <c r="I1102" s="1531"/>
      <c r="J1102" s="1136"/>
      <c r="K1102" s="1136"/>
      <c r="L1102" s="1136"/>
      <c r="M1102" s="1136"/>
      <c r="N1102" s="1136"/>
      <c r="O1102" s="1136"/>
      <c r="P1102" s="1136"/>
      <c r="Q1102" s="1136"/>
      <c r="R1102" s="1531"/>
      <c r="S1102" s="1531"/>
      <c r="T1102" s="1531"/>
      <c r="U1102" s="1531"/>
      <c r="V1102" s="1531"/>
      <c r="W1102" s="1531"/>
      <c r="X1102" s="1531"/>
      <c r="Y1102" s="1531"/>
      <c r="Z1102" s="1531"/>
      <c r="AA1102" s="1531"/>
      <c r="AB1102" s="1531"/>
      <c r="AC1102" s="1531"/>
      <c r="AD1102" s="1531"/>
      <c r="AE1102" s="1531"/>
      <c r="AF1102" s="1531"/>
      <c r="AG1102" s="1531"/>
      <c r="AH1102" s="1531"/>
      <c r="AI1102" s="1531"/>
      <c r="AJ1102" s="1531"/>
      <c r="AK1102" s="1531"/>
      <c r="AL1102" s="1531"/>
      <c r="AM1102" s="1531"/>
      <c r="AN1102" s="1531"/>
      <c r="AO1102" s="1531"/>
      <c r="AP1102" s="1531"/>
      <c r="AQ1102" s="1531"/>
      <c r="AR1102" s="1531"/>
      <c r="AS1102" s="1531"/>
      <c r="AT1102" s="1136"/>
      <c r="AU1102" s="1136"/>
      <c r="AV1102" s="1136"/>
      <c r="AW1102" s="1136"/>
      <c r="AX1102" s="1136"/>
      <c r="AY1102" s="1136"/>
      <c r="AZ1102" s="1136"/>
      <c r="BA1102" s="1136"/>
      <c r="BB1102" s="1136"/>
      <c r="BC1102" s="1136"/>
      <c r="BD1102" s="1136"/>
      <c r="BE1102" s="1136"/>
      <c r="BF1102" s="1136"/>
      <c r="BG1102" s="1136"/>
      <c r="BH1102" s="1136"/>
      <c r="BI1102" s="1136"/>
      <c r="BJ1102" s="1136"/>
      <c r="BK1102" s="1136"/>
      <c r="BL1102" s="1136"/>
      <c r="BM1102" s="1136"/>
      <c r="BN1102" s="1136"/>
      <c r="BO1102" s="1136"/>
      <c r="BP1102" s="1136"/>
      <c r="BQ1102" s="1136"/>
      <c r="BR1102" s="1136"/>
      <c r="BS1102" s="1136"/>
      <c r="BT1102" s="1136"/>
      <c r="BU1102" s="1136"/>
      <c r="BV1102" s="1136"/>
      <c r="BW1102" s="1136"/>
      <c r="BX1102" s="1136"/>
      <c r="BY1102" s="1136"/>
      <c r="BZ1102" s="1136"/>
      <c r="CA1102" s="1136"/>
      <c r="CB1102" s="1136"/>
      <c r="CC1102" s="1136"/>
      <c r="CD1102" s="1136"/>
      <c r="CE1102" s="1136"/>
      <c r="CF1102" s="1136"/>
      <c r="CG1102" s="1136"/>
      <c r="CH1102" s="1136"/>
      <c r="CI1102" s="1136"/>
      <c r="CJ1102" s="1136"/>
      <c r="CK1102" s="1136"/>
      <c r="CL1102" s="1136"/>
      <c r="CM1102" s="1136"/>
      <c r="CN1102" s="1136"/>
      <c r="CO1102" s="1136"/>
      <c r="CP1102" s="1136"/>
      <c r="CQ1102" s="1136"/>
      <c r="CR1102" s="1136"/>
      <c r="CS1102" s="1136"/>
      <c r="CT1102" s="1136"/>
      <c r="CU1102" s="1136"/>
      <c r="CV1102" s="1136"/>
      <c r="CW1102" s="1136"/>
      <c r="CX1102" s="1136"/>
      <c r="CY1102" s="1136"/>
      <c r="CZ1102" s="1136"/>
      <c r="DA1102" s="1136"/>
      <c r="DB1102" s="1136"/>
      <c r="DC1102" s="1136"/>
      <c r="DD1102" s="1136"/>
      <c r="DE1102" s="1136"/>
      <c r="DF1102" s="1136"/>
      <c r="DG1102" s="1136"/>
      <c r="DH1102" s="1136"/>
      <c r="DI1102" s="1136"/>
    </row>
    <row r="1103" spans="1:113" ht="15.75" x14ac:dyDescent="0.25">
      <c r="A1103" s="1628" t="s">
        <v>5476</v>
      </c>
      <c r="B1103" s="1443">
        <f>B660</f>
        <v>1</v>
      </c>
      <c r="C1103" s="1437"/>
      <c r="D1103" s="1416"/>
      <c r="E1103" s="1416"/>
      <c r="F1103" s="1416"/>
      <c r="G1103" s="1416"/>
      <c r="H1103" s="1531"/>
      <c r="I1103" s="1531"/>
      <c r="J1103" s="1136"/>
      <c r="K1103" s="1136"/>
      <c r="L1103" s="1136"/>
      <c r="M1103" s="1136"/>
      <c r="N1103" s="1136"/>
      <c r="O1103" s="1136"/>
      <c r="P1103" s="1136"/>
      <c r="Q1103" s="1136"/>
      <c r="R1103" s="1531"/>
      <c r="S1103" s="1531"/>
      <c r="T1103" s="1531"/>
      <c r="U1103" s="1531"/>
      <c r="V1103" s="1531"/>
      <c r="W1103" s="1531"/>
      <c r="X1103" s="1531"/>
      <c r="Y1103" s="1531"/>
      <c r="Z1103" s="1531"/>
      <c r="AA1103" s="1531"/>
      <c r="AB1103" s="1531"/>
      <c r="AC1103" s="1531"/>
      <c r="AD1103" s="1531"/>
      <c r="AE1103" s="1531"/>
      <c r="AF1103" s="1531"/>
      <c r="AG1103" s="1531"/>
      <c r="AH1103" s="1531"/>
      <c r="AI1103" s="1531"/>
      <c r="AJ1103" s="1531"/>
      <c r="AK1103" s="1531"/>
      <c r="AL1103" s="1531"/>
      <c r="AM1103" s="1531"/>
      <c r="AN1103" s="1531"/>
      <c r="AO1103" s="1531"/>
      <c r="AP1103" s="1531"/>
      <c r="AQ1103" s="1531"/>
      <c r="AR1103" s="1531"/>
      <c r="AS1103" s="1531"/>
      <c r="AT1103" s="1136"/>
      <c r="AU1103" s="1136"/>
      <c r="AV1103" s="1136"/>
      <c r="AW1103" s="1136"/>
      <c r="AX1103" s="1136"/>
      <c r="AY1103" s="1136"/>
      <c r="AZ1103" s="1136"/>
      <c r="BA1103" s="1136"/>
      <c r="BB1103" s="1136"/>
      <c r="BC1103" s="1136"/>
      <c r="BD1103" s="1136"/>
      <c r="BE1103" s="1136"/>
      <c r="BF1103" s="1136"/>
      <c r="BG1103" s="1136"/>
      <c r="BH1103" s="1136"/>
      <c r="BI1103" s="1136"/>
      <c r="BJ1103" s="1136"/>
      <c r="BK1103" s="1136"/>
      <c r="BL1103" s="1136"/>
      <c r="BM1103" s="1136"/>
      <c r="BN1103" s="1136"/>
      <c r="BO1103" s="1136"/>
      <c r="BP1103" s="1136"/>
      <c r="BQ1103" s="1136"/>
      <c r="BR1103" s="1136"/>
      <c r="BS1103" s="1136"/>
      <c r="BT1103" s="1136"/>
      <c r="BU1103" s="1136"/>
      <c r="BV1103" s="1136"/>
      <c r="BW1103" s="1136"/>
      <c r="BX1103" s="1136"/>
      <c r="BY1103" s="1136"/>
      <c r="BZ1103" s="1136"/>
      <c r="CA1103" s="1136"/>
      <c r="CB1103" s="1136"/>
      <c r="CC1103" s="1136"/>
      <c r="CD1103" s="1136"/>
      <c r="CE1103" s="1136"/>
      <c r="CF1103" s="1136"/>
      <c r="CG1103" s="1136"/>
      <c r="CH1103" s="1136"/>
      <c r="CI1103" s="1136"/>
      <c r="CJ1103" s="1136"/>
      <c r="CK1103" s="1136"/>
      <c r="CL1103" s="1136"/>
      <c r="CM1103" s="1136"/>
      <c r="CN1103" s="1136"/>
      <c r="CO1103" s="1136"/>
      <c r="CP1103" s="1136"/>
      <c r="CQ1103" s="1136"/>
      <c r="CR1103" s="1136"/>
      <c r="CS1103" s="1136"/>
      <c r="CT1103" s="1136"/>
      <c r="CU1103" s="1136"/>
      <c r="CV1103" s="1136"/>
      <c r="CW1103" s="1136"/>
      <c r="CX1103" s="1136"/>
      <c r="CY1103" s="1136"/>
      <c r="CZ1103" s="1136"/>
      <c r="DA1103" s="1136"/>
      <c r="DB1103" s="1136"/>
      <c r="DC1103" s="1136"/>
      <c r="DD1103" s="1136"/>
      <c r="DE1103" s="1136"/>
      <c r="DF1103" s="1136"/>
      <c r="DG1103" s="1136"/>
      <c r="DH1103" s="1136"/>
      <c r="DI1103" s="1136"/>
    </row>
    <row r="1104" spans="1:113" ht="15.75" x14ac:dyDescent="0.25">
      <c r="A1104" s="1519" t="s">
        <v>5478</v>
      </c>
      <c r="B1104" s="1443" t="e">
        <f>(B1097/B1102)*B810</f>
        <v>#REF!</v>
      </c>
      <c r="C1104" s="1437"/>
      <c r="D1104" s="1416"/>
      <c r="E1104" s="1416"/>
      <c r="F1104" s="1416"/>
      <c r="G1104" s="1416"/>
      <c r="H1104" s="1531"/>
      <c r="I1104" s="1531"/>
      <c r="J1104" s="1136"/>
      <c r="K1104" s="1136"/>
      <c r="L1104" s="1136"/>
      <c r="M1104" s="1136"/>
      <c r="N1104" s="1136"/>
      <c r="O1104" s="1136"/>
      <c r="P1104" s="1136"/>
      <c r="Q1104" s="1136"/>
      <c r="R1104" s="1531"/>
      <c r="S1104" s="1531"/>
      <c r="T1104" s="1531"/>
      <c r="U1104" s="1531"/>
      <c r="V1104" s="1531"/>
      <c r="W1104" s="1531"/>
      <c r="X1104" s="1531"/>
      <c r="Y1104" s="1531"/>
      <c r="Z1104" s="1531"/>
      <c r="AA1104" s="1531"/>
      <c r="AB1104" s="1531"/>
      <c r="AC1104" s="1531"/>
      <c r="AD1104" s="1531"/>
      <c r="AE1104" s="1531"/>
      <c r="AF1104" s="1531"/>
      <c r="AG1104" s="1531"/>
      <c r="AH1104" s="1531"/>
      <c r="AI1104" s="1531"/>
      <c r="AJ1104" s="1531"/>
      <c r="AK1104" s="1531"/>
      <c r="AL1104" s="1531"/>
      <c r="AM1104" s="1531"/>
      <c r="AN1104" s="1531"/>
      <c r="AO1104" s="1531"/>
      <c r="AP1104" s="1531"/>
      <c r="AQ1104" s="1531"/>
      <c r="AR1104" s="1531"/>
      <c r="AS1104" s="1531"/>
      <c r="AT1104" s="1136"/>
      <c r="AU1104" s="1136"/>
      <c r="AV1104" s="1136"/>
      <c r="AW1104" s="1136"/>
      <c r="AX1104" s="1136"/>
      <c r="AY1104" s="1136"/>
      <c r="AZ1104" s="1136"/>
      <c r="BA1104" s="1136"/>
      <c r="BB1104" s="1136"/>
      <c r="BC1104" s="1136"/>
      <c r="BD1104" s="1136"/>
      <c r="BE1104" s="1136"/>
      <c r="BF1104" s="1136"/>
      <c r="BG1104" s="1136"/>
      <c r="BH1104" s="1136"/>
      <c r="BI1104" s="1136"/>
      <c r="BJ1104" s="1136"/>
      <c r="BK1104" s="1136"/>
      <c r="BL1104" s="1136"/>
      <c r="BM1104" s="1136"/>
      <c r="BN1104" s="1136"/>
      <c r="BO1104" s="1136"/>
      <c r="BP1104" s="1136"/>
      <c r="BQ1104" s="1136"/>
      <c r="BR1104" s="1136"/>
      <c r="BS1104" s="1136"/>
      <c r="BT1104" s="1136"/>
      <c r="BU1104" s="1136"/>
      <c r="BV1104" s="1136"/>
      <c r="BW1104" s="1136"/>
      <c r="BX1104" s="1136"/>
      <c r="BY1104" s="1136"/>
      <c r="BZ1104" s="1136"/>
      <c r="CA1104" s="1136"/>
      <c r="CB1104" s="1136"/>
      <c r="CC1104" s="1136"/>
      <c r="CD1104" s="1136"/>
      <c r="CE1104" s="1136"/>
      <c r="CF1104" s="1136"/>
      <c r="CG1104" s="1136"/>
      <c r="CH1104" s="1136"/>
      <c r="CI1104" s="1136"/>
      <c r="CJ1104" s="1136"/>
      <c r="CK1104" s="1136"/>
      <c r="CL1104" s="1136"/>
      <c r="CM1104" s="1136"/>
      <c r="CN1104" s="1136"/>
      <c r="CO1104" s="1136"/>
      <c r="CP1104" s="1136"/>
      <c r="CQ1104" s="1136"/>
      <c r="CR1104" s="1136"/>
      <c r="CS1104" s="1136"/>
      <c r="CT1104" s="1136"/>
      <c r="CU1104" s="1136"/>
      <c r="CV1104" s="1136"/>
      <c r="CW1104" s="1136"/>
      <c r="CX1104" s="1136"/>
      <c r="CY1104" s="1136"/>
      <c r="CZ1104" s="1136"/>
      <c r="DA1104" s="1136"/>
      <c r="DB1104" s="1136"/>
      <c r="DC1104" s="1136"/>
      <c r="DD1104" s="1136"/>
      <c r="DE1104" s="1136"/>
      <c r="DF1104" s="1136"/>
      <c r="DG1104" s="1136"/>
      <c r="DH1104" s="1136"/>
      <c r="DI1104" s="1136"/>
    </row>
    <row r="1105" spans="1:113" ht="15.75" x14ac:dyDescent="0.25">
      <c r="A1105" s="1519" t="s">
        <v>5479</v>
      </c>
      <c r="B1105" s="1441" t="e">
        <f>B664</f>
        <v>#VALUE!</v>
      </c>
      <c r="C1105" s="1434"/>
      <c r="D1105" s="1416"/>
      <c r="E1105" s="1416"/>
      <c r="F1105" s="1416"/>
      <c r="G1105" s="1416"/>
      <c r="H1105" s="1531"/>
      <c r="I1105" s="1531"/>
      <c r="J1105" s="1136"/>
      <c r="K1105" s="1136"/>
      <c r="L1105" s="1136"/>
      <c r="M1105" s="1136"/>
      <c r="N1105" s="1136"/>
      <c r="O1105" s="1136"/>
      <c r="P1105" s="1136"/>
      <c r="Q1105" s="1136"/>
      <c r="R1105" s="1531"/>
      <c r="S1105" s="1531"/>
      <c r="T1105" s="1531"/>
      <c r="U1105" s="1531"/>
      <c r="V1105" s="1531"/>
      <c r="W1105" s="1531"/>
      <c r="X1105" s="1531"/>
      <c r="Y1105" s="1531"/>
      <c r="Z1105" s="1531"/>
      <c r="AA1105" s="1531"/>
      <c r="AB1105" s="1531"/>
      <c r="AC1105" s="1531"/>
      <c r="AD1105" s="1531"/>
      <c r="AE1105" s="1531"/>
      <c r="AF1105" s="1531"/>
      <c r="AG1105" s="1531"/>
      <c r="AH1105" s="1531"/>
      <c r="AI1105" s="1531"/>
      <c r="AJ1105" s="1531"/>
      <c r="AK1105" s="1531"/>
      <c r="AL1105" s="1531"/>
      <c r="AM1105" s="1531"/>
      <c r="AN1105" s="1531"/>
      <c r="AO1105" s="1531"/>
      <c r="AP1105" s="1531"/>
      <c r="AQ1105" s="1531"/>
      <c r="AR1105" s="1531"/>
      <c r="AS1105" s="1531"/>
      <c r="AT1105" s="1136"/>
      <c r="AU1105" s="1136"/>
      <c r="AV1105" s="1136"/>
      <c r="AW1105" s="1136"/>
      <c r="AX1105" s="1136"/>
      <c r="AY1105" s="1136"/>
      <c r="AZ1105" s="1136"/>
      <c r="BA1105" s="1136"/>
      <c r="BB1105" s="1136"/>
      <c r="BC1105" s="1136"/>
      <c r="BD1105" s="1136"/>
      <c r="BE1105" s="1136"/>
      <c r="BF1105" s="1136"/>
      <c r="BG1105" s="1136"/>
      <c r="BH1105" s="1136"/>
      <c r="BI1105" s="1136"/>
      <c r="BJ1105" s="1136"/>
      <c r="BK1105" s="1136"/>
      <c r="BL1105" s="1136"/>
      <c r="BM1105" s="1136"/>
      <c r="BN1105" s="1136"/>
      <c r="BO1105" s="1136"/>
      <c r="BP1105" s="1136"/>
      <c r="BQ1105" s="1136"/>
      <c r="BR1105" s="1136"/>
      <c r="BS1105" s="1136"/>
      <c r="BT1105" s="1136"/>
      <c r="BU1105" s="1136"/>
      <c r="BV1105" s="1136"/>
      <c r="BW1105" s="1136"/>
      <c r="BX1105" s="1136"/>
      <c r="BY1105" s="1136"/>
      <c r="BZ1105" s="1136"/>
      <c r="CA1105" s="1136"/>
      <c r="CB1105" s="1136"/>
      <c r="CC1105" s="1136"/>
      <c r="CD1105" s="1136"/>
      <c r="CE1105" s="1136"/>
      <c r="CF1105" s="1136"/>
      <c r="CG1105" s="1136"/>
      <c r="CH1105" s="1136"/>
      <c r="CI1105" s="1136"/>
      <c r="CJ1105" s="1136"/>
      <c r="CK1105" s="1136"/>
      <c r="CL1105" s="1136"/>
      <c r="CM1105" s="1136"/>
      <c r="CN1105" s="1136"/>
      <c r="CO1105" s="1136"/>
      <c r="CP1105" s="1136"/>
      <c r="CQ1105" s="1136"/>
      <c r="CR1105" s="1136"/>
      <c r="CS1105" s="1136"/>
      <c r="CT1105" s="1136"/>
      <c r="CU1105" s="1136"/>
      <c r="CV1105" s="1136"/>
      <c r="CW1105" s="1136"/>
      <c r="CX1105" s="1136"/>
      <c r="CY1105" s="1136"/>
      <c r="CZ1105" s="1136"/>
      <c r="DA1105" s="1136"/>
      <c r="DB1105" s="1136"/>
      <c r="DC1105" s="1136"/>
      <c r="DD1105" s="1136"/>
      <c r="DE1105" s="1136"/>
      <c r="DF1105" s="1136"/>
      <c r="DG1105" s="1136"/>
      <c r="DH1105" s="1136"/>
      <c r="DI1105" s="1136"/>
    </row>
    <row r="1106" spans="1:113" ht="15.75" x14ac:dyDescent="0.25">
      <c r="A1106" s="1524" t="s">
        <v>3053</v>
      </c>
      <c r="B1106" s="1525" t="e">
        <f>B665</f>
        <v>#VALUE!</v>
      </c>
      <c r="C1106" s="1350"/>
      <c r="D1106" s="1416"/>
      <c r="E1106" s="1416"/>
      <c r="F1106" s="1416"/>
      <c r="G1106" s="1416"/>
      <c r="H1106" s="1531"/>
      <c r="I1106" s="1531"/>
      <c r="J1106" s="1136"/>
      <c r="K1106" s="1136"/>
      <c r="L1106" s="1136"/>
      <c r="M1106" s="1136"/>
      <c r="N1106" s="1136"/>
      <c r="O1106" s="1136"/>
      <c r="P1106" s="1136"/>
      <c r="Q1106" s="1136"/>
      <c r="R1106" s="1531"/>
      <c r="S1106" s="1531"/>
      <c r="T1106" s="1531"/>
      <c r="U1106" s="1531"/>
      <c r="V1106" s="1531"/>
      <c r="W1106" s="1531"/>
      <c r="X1106" s="1531"/>
      <c r="Y1106" s="1531"/>
      <c r="Z1106" s="1531"/>
      <c r="AA1106" s="1531"/>
      <c r="AB1106" s="1531"/>
      <c r="AC1106" s="1531"/>
      <c r="AD1106" s="1531"/>
      <c r="AE1106" s="1531"/>
      <c r="AF1106" s="1531"/>
      <c r="AG1106" s="1531"/>
      <c r="AH1106" s="1531"/>
      <c r="AI1106" s="1531"/>
      <c r="AJ1106" s="1531"/>
      <c r="AK1106" s="1531"/>
      <c r="AL1106" s="1531"/>
      <c r="AM1106" s="1531"/>
      <c r="AN1106" s="1531"/>
      <c r="AO1106" s="1531"/>
      <c r="AP1106" s="1531"/>
      <c r="AQ1106" s="1531"/>
      <c r="AR1106" s="1531"/>
      <c r="AS1106" s="1531"/>
      <c r="AT1106" s="1136"/>
      <c r="AU1106" s="1136"/>
      <c r="AV1106" s="1136"/>
      <c r="AW1106" s="1136"/>
      <c r="AX1106" s="1136"/>
      <c r="AY1106" s="1136"/>
      <c r="AZ1106" s="1136"/>
      <c r="BA1106" s="1136"/>
      <c r="BB1106" s="1136"/>
      <c r="BC1106" s="1136"/>
      <c r="BD1106" s="1136"/>
      <c r="BE1106" s="1136"/>
      <c r="BF1106" s="1136"/>
      <c r="BG1106" s="1136"/>
      <c r="BH1106" s="1136"/>
      <c r="BI1106" s="1136"/>
      <c r="BJ1106" s="1136"/>
      <c r="BK1106" s="1136"/>
      <c r="BL1106" s="1136"/>
      <c r="BM1106" s="1136"/>
      <c r="BN1106" s="1136"/>
      <c r="BO1106" s="1136"/>
      <c r="BP1106" s="1136"/>
      <c r="BQ1106" s="1136"/>
      <c r="BR1106" s="1136"/>
      <c r="BS1106" s="1136"/>
      <c r="BT1106" s="1136"/>
      <c r="BU1106" s="1136"/>
      <c r="BV1106" s="1136"/>
      <c r="BW1106" s="1136"/>
      <c r="BX1106" s="1136"/>
      <c r="BY1106" s="1136"/>
      <c r="BZ1106" s="1136"/>
      <c r="CA1106" s="1136"/>
      <c r="CB1106" s="1136"/>
      <c r="CC1106" s="1136"/>
      <c r="CD1106" s="1136"/>
      <c r="CE1106" s="1136"/>
      <c r="CF1106" s="1136"/>
      <c r="CG1106" s="1136"/>
      <c r="CH1106" s="1136"/>
      <c r="CI1106" s="1136"/>
      <c r="CJ1106" s="1136"/>
      <c r="CK1106" s="1136"/>
      <c r="CL1106" s="1136"/>
      <c r="CM1106" s="1136"/>
      <c r="CN1106" s="1136"/>
      <c r="CO1106" s="1136"/>
      <c r="CP1106" s="1136"/>
      <c r="CQ1106" s="1136"/>
      <c r="CR1106" s="1136"/>
      <c r="CS1106" s="1136"/>
      <c r="CT1106" s="1136"/>
      <c r="CU1106" s="1136"/>
      <c r="CV1106" s="1136"/>
      <c r="CW1106" s="1136"/>
      <c r="CX1106" s="1136"/>
      <c r="CY1106" s="1136"/>
      <c r="CZ1106" s="1136"/>
      <c r="DA1106" s="1136"/>
      <c r="DB1106" s="1136"/>
      <c r="DC1106" s="1136"/>
      <c r="DD1106" s="1136"/>
      <c r="DE1106" s="1136"/>
      <c r="DF1106" s="1136"/>
      <c r="DG1106" s="1136"/>
      <c r="DH1106" s="1136"/>
      <c r="DI1106" s="1136"/>
    </row>
    <row r="1107" spans="1:113" ht="15.75" x14ac:dyDescent="0.25">
      <c r="A1107" s="1527" t="s">
        <v>3054</v>
      </c>
      <c r="B1107" s="1443">
        <f>B666</f>
        <v>98.8</v>
      </c>
      <c r="C1107" s="1521"/>
      <c r="D1107" s="1429"/>
      <c r="E1107" s="1429"/>
      <c r="F1107" s="1429"/>
      <c r="G1107" s="1429"/>
      <c r="H1107" s="1531"/>
      <c r="I1107" s="1531"/>
      <c r="J1107" s="1136"/>
      <c r="K1107" s="1136"/>
      <c r="L1107" s="1136"/>
      <c r="M1107" s="1136"/>
      <c r="N1107" s="1136"/>
      <c r="O1107" s="1136"/>
      <c r="P1107" s="1136"/>
      <c r="Q1107" s="1136"/>
      <c r="R1107" s="1531"/>
      <c r="S1107" s="1531"/>
      <c r="T1107" s="1531"/>
      <c r="U1107" s="1531"/>
      <c r="V1107" s="1531"/>
      <c r="W1107" s="1531"/>
      <c r="X1107" s="1531"/>
      <c r="Y1107" s="1531"/>
      <c r="Z1107" s="1531"/>
      <c r="AA1107" s="1531"/>
      <c r="AB1107" s="1531"/>
      <c r="AC1107" s="1531"/>
      <c r="AD1107" s="1531"/>
      <c r="AE1107" s="1531"/>
      <c r="AF1107" s="1531"/>
      <c r="AG1107" s="1531"/>
      <c r="AH1107" s="1531"/>
      <c r="AI1107" s="1531"/>
      <c r="AJ1107" s="1531"/>
      <c r="AK1107" s="1531"/>
      <c r="AL1107" s="1531"/>
      <c r="AM1107" s="1531"/>
      <c r="AN1107" s="1531"/>
      <c r="AO1107" s="1531"/>
      <c r="AP1107" s="1531"/>
      <c r="AQ1107" s="1531"/>
      <c r="AR1107" s="1531"/>
      <c r="AS1107" s="1531"/>
      <c r="AT1107" s="1136"/>
      <c r="AU1107" s="1136"/>
      <c r="AV1107" s="1136"/>
      <c r="AW1107" s="1136"/>
      <c r="AX1107" s="1136"/>
      <c r="AY1107" s="1136"/>
      <c r="AZ1107" s="1136"/>
      <c r="BA1107" s="1136"/>
      <c r="BB1107" s="1136"/>
      <c r="BC1107" s="1136"/>
      <c r="BD1107" s="1136"/>
      <c r="BE1107" s="1136"/>
      <c r="BF1107" s="1136"/>
      <c r="BG1107" s="1136"/>
      <c r="BH1107" s="1136"/>
      <c r="BI1107" s="1136"/>
      <c r="BJ1107" s="1136"/>
      <c r="BK1107" s="1136"/>
      <c r="BL1107" s="1136"/>
      <c r="BM1107" s="1136"/>
      <c r="BN1107" s="1136"/>
      <c r="BO1107" s="1136"/>
      <c r="BP1107" s="1136"/>
      <c r="BQ1107" s="1136"/>
      <c r="BR1107" s="1136"/>
      <c r="BS1107" s="1136"/>
      <c r="BT1107" s="1136"/>
      <c r="BU1107" s="1136"/>
      <c r="BV1107" s="1136"/>
      <c r="BW1107" s="1136"/>
      <c r="BX1107" s="1136"/>
      <c r="BY1107" s="1136"/>
      <c r="BZ1107" s="1136"/>
      <c r="CA1107" s="1136"/>
      <c r="CB1107" s="1136"/>
      <c r="CC1107" s="1136"/>
      <c r="CD1107" s="1136"/>
      <c r="CE1107" s="1136"/>
      <c r="CF1107" s="1136"/>
      <c r="CG1107" s="1136"/>
      <c r="CH1107" s="1136"/>
      <c r="CI1107" s="1136"/>
      <c r="CJ1107" s="1136"/>
      <c r="CK1107" s="1136"/>
      <c r="CL1107" s="1136"/>
      <c r="CM1107" s="1136"/>
      <c r="CN1107" s="1136"/>
      <c r="CO1107" s="1136"/>
      <c r="CP1107" s="1136"/>
      <c r="CQ1107" s="1136"/>
      <c r="CR1107" s="1136"/>
      <c r="CS1107" s="1136"/>
      <c r="CT1107" s="1136"/>
      <c r="CU1107" s="1136"/>
      <c r="CV1107" s="1136"/>
      <c r="CW1107" s="1136"/>
      <c r="CX1107" s="1136"/>
      <c r="CY1107" s="1136"/>
      <c r="CZ1107" s="1136"/>
      <c r="DA1107" s="1136"/>
      <c r="DB1107" s="1136"/>
      <c r="DC1107" s="1136"/>
      <c r="DD1107" s="1136"/>
      <c r="DE1107" s="1136"/>
      <c r="DF1107" s="1136"/>
      <c r="DG1107" s="1136"/>
      <c r="DH1107" s="1136"/>
      <c r="DI1107" s="1136"/>
    </row>
    <row r="1108" spans="1:113" ht="15.75" x14ac:dyDescent="0.25">
      <c r="A1108" s="1519" t="s">
        <v>3055</v>
      </c>
      <c r="B1108" s="1443"/>
      <c r="C1108" s="1521"/>
      <c r="D1108" s="1627"/>
      <c r="E1108" s="1627"/>
      <c r="F1108" s="1627"/>
      <c r="G1108" s="1627"/>
      <c r="H1108" s="1531"/>
      <c r="I1108" s="1531"/>
      <c r="J1108" s="1136"/>
      <c r="K1108" s="1136"/>
      <c r="L1108" s="1136"/>
      <c r="M1108" s="1136"/>
      <c r="N1108" s="1136"/>
      <c r="O1108" s="1136"/>
      <c r="P1108" s="1136"/>
      <c r="Q1108" s="1136"/>
      <c r="R1108" s="1531"/>
      <c r="S1108" s="1531"/>
      <c r="T1108" s="1531"/>
      <c r="U1108" s="1531"/>
      <c r="V1108" s="1531"/>
      <c r="W1108" s="1531"/>
      <c r="X1108" s="1531"/>
      <c r="Y1108" s="1531"/>
      <c r="Z1108" s="1531"/>
      <c r="AA1108" s="1531"/>
      <c r="AB1108" s="1531"/>
      <c r="AC1108" s="1531"/>
      <c r="AD1108" s="1531"/>
      <c r="AE1108" s="1531"/>
      <c r="AF1108" s="1531"/>
      <c r="AG1108" s="1531"/>
      <c r="AH1108" s="1531"/>
      <c r="AI1108" s="1531"/>
      <c r="AJ1108" s="1531"/>
      <c r="AK1108" s="1531"/>
      <c r="AL1108" s="1531"/>
      <c r="AM1108" s="1531"/>
      <c r="AN1108" s="1531"/>
      <c r="AO1108" s="1531"/>
      <c r="AP1108" s="1531"/>
      <c r="AQ1108" s="1531"/>
      <c r="AR1108" s="1531"/>
      <c r="AS1108" s="1531"/>
      <c r="AT1108" s="1136"/>
      <c r="AU1108" s="1136"/>
      <c r="AV1108" s="1136"/>
      <c r="AW1108" s="1136"/>
      <c r="AX1108" s="1136"/>
      <c r="AY1108" s="1136"/>
      <c r="AZ1108" s="1136"/>
      <c r="BA1108" s="1136"/>
      <c r="BB1108" s="1136"/>
      <c r="BC1108" s="1136"/>
      <c r="BD1108" s="1136"/>
      <c r="BE1108" s="1136"/>
      <c r="BF1108" s="1136"/>
      <c r="BG1108" s="1136"/>
      <c r="BH1108" s="1136"/>
      <c r="BI1108" s="1136"/>
      <c r="BJ1108" s="1136"/>
      <c r="BK1108" s="1136"/>
      <c r="BL1108" s="1136"/>
      <c r="BM1108" s="1136"/>
      <c r="BN1108" s="1136"/>
      <c r="BO1108" s="1136"/>
      <c r="BP1108" s="1136"/>
      <c r="BQ1108" s="1136"/>
      <c r="BR1108" s="1136"/>
      <c r="BS1108" s="1136"/>
      <c r="BT1108" s="1136"/>
      <c r="BU1108" s="1136"/>
      <c r="BV1108" s="1136"/>
      <c r="BW1108" s="1136"/>
      <c r="BX1108" s="1136"/>
      <c r="BY1108" s="1136"/>
      <c r="BZ1108" s="1136"/>
      <c r="CA1108" s="1136"/>
      <c r="CB1108" s="1136"/>
      <c r="CC1108" s="1136"/>
      <c r="CD1108" s="1136"/>
      <c r="CE1108" s="1136"/>
      <c r="CF1108" s="1136"/>
      <c r="CG1108" s="1136"/>
      <c r="CH1108" s="1136"/>
      <c r="CI1108" s="1136"/>
      <c r="CJ1108" s="1136"/>
      <c r="CK1108" s="1136"/>
      <c r="CL1108" s="1136"/>
      <c r="CM1108" s="1136"/>
      <c r="CN1108" s="1136"/>
      <c r="CO1108" s="1136"/>
      <c r="CP1108" s="1136"/>
      <c r="CQ1108" s="1136"/>
      <c r="CR1108" s="1136"/>
      <c r="CS1108" s="1136"/>
      <c r="CT1108" s="1136"/>
      <c r="CU1108" s="1136"/>
      <c r="CV1108" s="1136"/>
      <c r="CW1108" s="1136"/>
      <c r="CX1108" s="1136"/>
      <c r="CY1108" s="1136"/>
      <c r="CZ1108" s="1136"/>
      <c r="DA1108" s="1136"/>
      <c r="DB1108" s="1136"/>
      <c r="DC1108" s="1136"/>
      <c r="DD1108" s="1136"/>
      <c r="DE1108" s="1136"/>
      <c r="DF1108" s="1136"/>
      <c r="DG1108" s="1136"/>
      <c r="DH1108" s="1136"/>
      <c r="DI1108" s="1136"/>
    </row>
    <row r="1109" spans="1:113" ht="15.75" x14ac:dyDescent="0.25">
      <c r="A1109" s="1530" t="s">
        <v>3056</v>
      </c>
      <c r="B1109" s="1443">
        <f>B668</f>
        <v>1</v>
      </c>
      <c r="C1109" s="1521"/>
      <c r="D1109" s="1437"/>
      <c r="E1109" s="1437"/>
      <c r="F1109" s="1437"/>
      <c r="G1109" s="1437"/>
      <c r="H1109" s="1531"/>
      <c r="I1109" s="1531"/>
      <c r="J1109" s="1136"/>
      <c r="K1109" s="1136"/>
      <c r="L1109" s="1136"/>
      <c r="M1109" s="1136"/>
      <c r="N1109" s="1136"/>
      <c r="O1109" s="1136"/>
      <c r="P1109" s="1136"/>
      <c r="Q1109" s="1136"/>
      <c r="R1109" s="1531"/>
      <c r="S1109" s="1531"/>
      <c r="T1109" s="1531"/>
      <c r="U1109" s="1531"/>
      <c r="V1109" s="1531"/>
      <c r="W1109" s="1531"/>
      <c r="X1109" s="1531"/>
      <c r="Y1109" s="1531"/>
      <c r="Z1109" s="1531"/>
      <c r="AA1109" s="1531"/>
      <c r="AB1109" s="1531"/>
      <c r="AC1109" s="1531"/>
      <c r="AD1109" s="1531"/>
      <c r="AE1109" s="1531"/>
      <c r="AF1109" s="1531"/>
      <c r="AG1109" s="1531"/>
      <c r="AH1109" s="1531"/>
      <c r="AI1109" s="1531"/>
      <c r="AJ1109" s="1531"/>
      <c r="AK1109" s="1531"/>
      <c r="AL1109" s="1531"/>
      <c r="AM1109" s="1531"/>
      <c r="AN1109" s="1531"/>
      <c r="AO1109" s="1531"/>
      <c r="AP1109" s="1531"/>
      <c r="AQ1109" s="1531"/>
      <c r="AR1109" s="1531"/>
      <c r="AS1109" s="1531"/>
      <c r="AT1109" s="1136"/>
      <c r="AU1109" s="1136"/>
      <c r="AV1109" s="1136"/>
      <c r="AW1109" s="1136"/>
      <c r="AX1109" s="1136"/>
      <c r="AY1109" s="1136"/>
      <c r="AZ1109" s="1136"/>
      <c r="BA1109" s="1136"/>
      <c r="BB1109" s="1136"/>
      <c r="BC1109" s="1136"/>
      <c r="BD1109" s="1136"/>
      <c r="BE1109" s="1136"/>
      <c r="BF1109" s="1136"/>
      <c r="BG1109" s="1136"/>
      <c r="BH1109" s="1136"/>
      <c r="BI1109" s="1136"/>
      <c r="BJ1109" s="1136"/>
      <c r="BK1109" s="1136"/>
      <c r="BL1109" s="1136"/>
      <c r="BM1109" s="1136"/>
      <c r="BN1109" s="1136"/>
      <c r="BO1109" s="1136"/>
      <c r="BP1109" s="1136"/>
      <c r="BQ1109" s="1136"/>
      <c r="BR1109" s="1136"/>
      <c r="BS1109" s="1136"/>
      <c r="BT1109" s="1136"/>
      <c r="BU1109" s="1136"/>
      <c r="BV1109" s="1136"/>
      <c r="BW1109" s="1136"/>
      <c r="BX1109" s="1136"/>
      <c r="BY1109" s="1136"/>
      <c r="BZ1109" s="1136"/>
      <c r="CA1109" s="1136"/>
      <c r="CB1109" s="1136"/>
      <c r="CC1109" s="1136"/>
      <c r="CD1109" s="1136"/>
      <c r="CE1109" s="1136"/>
      <c r="CF1109" s="1136"/>
      <c r="CG1109" s="1136"/>
      <c r="CH1109" s="1136"/>
      <c r="CI1109" s="1136"/>
      <c r="CJ1109" s="1136"/>
      <c r="CK1109" s="1136"/>
      <c r="CL1109" s="1136"/>
      <c r="CM1109" s="1136"/>
      <c r="CN1109" s="1136"/>
      <c r="CO1109" s="1136"/>
      <c r="CP1109" s="1136"/>
      <c r="CQ1109" s="1136"/>
      <c r="CR1109" s="1136"/>
      <c r="CS1109" s="1136"/>
      <c r="CT1109" s="1136"/>
      <c r="CU1109" s="1136"/>
      <c r="CV1109" s="1136"/>
      <c r="CW1109" s="1136"/>
      <c r="CX1109" s="1136"/>
      <c r="CY1109" s="1136"/>
      <c r="CZ1109" s="1136"/>
      <c r="DA1109" s="1136"/>
      <c r="DB1109" s="1136"/>
      <c r="DC1109" s="1136"/>
      <c r="DD1109" s="1136"/>
      <c r="DE1109" s="1136"/>
      <c r="DF1109" s="1136"/>
      <c r="DG1109" s="1136"/>
      <c r="DH1109" s="1136"/>
      <c r="DI1109" s="1136"/>
    </row>
    <row r="1110" spans="1:113" ht="15.75" x14ac:dyDescent="0.25">
      <c r="A1110" s="1519" t="s">
        <v>3057</v>
      </c>
      <c r="B1110" s="1443">
        <f>B669</f>
        <v>0.8</v>
      </c>
      <c r="C1110" s="1521"/>
      <c r="D1110" s="1437"/>
      <c r="E1110" s="1437"/>
      <c r="F1110" s="1437"/>
      <c r="G1110" s="1437"/>
      <c r="H1110" s="1521"/>
      <c r="I1110" s="1531"/>
      <c r="J1110" s="1136"/>
      <c r="K1110" s="1136"/>
      <c r="L1110" s="1136"/>
      <c r="M1110" s="1136"/>
      <c r="N1110" s="1136"/>
      <c r="O1110" s="1136"/>
      <c r="P1110" s="1136"/>
      <c r="Q1110" s="1136"/>
      <c r="R1110" s="1531"/>
      <c r="S1110" s="1531"/>
      <c r="T1110" s="1531"/>
      <c r="U1110" s="1531"/>
      <c r="V1110" s="1531"/>
      <c r="W1110" s="1531"/>
      <c r="X1110" s="1531"/>
      <c r="Y1110" s="1531"/>
      <c r="Z1110" s="1531"/>
      <c r="AA1110" s="1531"/>
      <c r="AB1110" s="1531"/>
      <c r="AC1110" s="1531"/>
      <c r="AD1110" s="1531"/>
      <c r="AE1110" s="1531"/>
      <c r="AF1110" s="1531"/>
      <c r="AG1110" s="1531"/>
      <c r="AH1110" s="1531"/>
      <c r="AI1110" s="1531"/>
      <c r="AJ1110" s="1531"/>
      <c r="AK1110" s="1531"/>
      <c r="AL1110" s="1531"/>
      <c r="AM1110" s="1531"/>
      <c r="AN1110" s="1531"/>
      <c r="AO1110" s="1531"/>
      <c r="AP1110" s="1531"/>
      <c r="AQ1110" s="1531"/>
      <c r="AR1110" s="1531"/>
      <c r="AS1110" s="1531"/>
      <c r="AT1110" s="1136"/>
      <c r="AU1110" s="1136"/>
      <c r="AV1110" s="1136"/>
      <c r="AW1110" s="1136"/>
      <c r="AX1110" s="1136"/>
      <c r="AY1110" s="1136"/>
      <c r="AZ1110" s="1136"/>
      <c r="BA1110" s="1136"/>
      <c r="BB1110" s="1136"/>
      <c r="BC1110" s="1136"/>
      <c r="BD1110" s="1136"/>
      <c r="BE1110" s="1136"/>
      <c r="BF1110" s="1136"/>
      <c r="BG1110" s="1136"/>
      <c r="BH1110" s="1136"/>
      <c r="BI1110" s="1136"/>
      <c r="BJ1110" s="1136"/>
      <c r="BK1110" s="1136"/>
      <c r="BL1110" s="1136"/>
      <c r="BM1110" s="1136"/>
      <c r="BN1110" s="1136"/>
      <c r="BO1110" s="1136"/>
      <c r="BP1110" s="1136"/>
      <c r="BQ1110" s="1136"/>
      <c r="BR1110" s="1136"/>
      <c r="BS1110" s="1136"/>
      <c r="BT1110" s="1136"/>
      <c r="BU1110" s="1136"/>
      <c r="BV1110" s="1136"/>
      <c r="BW1110" s="1136"/>
      <c r="BX1110" s="1136"/>
      <c r="BY1110" s="1136"/>
      <c r="BZ1110" s="1136"/>
      <c r="CA1110" s="1136"/>
      <c r="CB1110" s="1136"/>
      <c r="CC1110" s="1136"/>
      <c r="CD1110" s="1136"/>
      <c r="CE1110" s="1136"/>
      <c r="CF1110" s="1136"/>
      <c r="CG1110" s="1136"/>
      <c r="CH1110" s="1136"/>
      <c r="CI1110" s="1136"/>
      <c r="CJ1110" s="1136"/>
      <c r="CK1110" s="1136"/>
      <c r="CL1110" s="1136"/>
      <c r="CM1110" s="1136"/>
      <c r="CN1110" s="1136"/>
      <c r="CO1110" s="1136"/>
      <c r="CP1110" s="1136"/>
      <c r="CQ1110" s="1136"/>
      <c r="CR1110" s="1136"/>
      <c r="CS1110" s="1136"/>
      <c r="CT1110" s="1136"/>
      <c r="CU1110" s="1136"/>
      <c r="CV1110" s="1136"/>
      <c r="CW1110" s="1136"/>
      <c r="CX1110" s="1136"/>
      <c r="CY1110" s="1136"/>
      <c r="CZ1110" s="1136"/>
      <c r="DA1110" s="1136"/>
      <c r="DB1110" s="1136"/>
      <c r="DC1110" s="1136"/>
      <c r="DD1110" s="1136"/>
      <c r="DE1110" s="1136"/>
      <c r="DF1110" s="1136"/>
      <c r="DG1110" s="1136"/>
      <c r="DH1110" s="1136"/>
      <c r="DI1110" s="1136"/>
    </row>
    <row r="1111" spans="1:113" ht="15.75" x14ac:dyDescent="0.25">
      <c r="A1111" s="1519" t="s">
        <v>3058</v>
      </c>
      <c r="B1111" s="1443">
        <f>B670</f>
        <v>1</v>
      </c>
      <c r="C1111" s="1521"/>
      <c r="D1111" s="1437"/>
      <c r="E1111" s="1437"/>
      <c r="F1111" s="1437"/>
      <c r="G1111" s="1437"/>
      <c r="H1111" s="1531"/>
      <c r="I1111" s="1531"/>
      <c r="J1111" s="1136"/>
      <c r="K1111" s="1136"/>
      <c r="L1111" s="1136"/>
      <c r="M1111" s="1136"/>
      <c r="N1111" s="1136"/>
      <c r="O1111" s="1136"/>
      <c r="P1111" s="1136"/>
      <c r="Q1111" s="1136"/>
      <c r="R1111" s="1531"/>
      <c r="S1111" s="1531"/>
      <c r="T1111" s="1531"/>
      <c r="U1111" s="1531"/>
      <c r="V1111" s="1531"/>
      <c r="W1111" s="1531"/>
      <c r="X1111" s="1531"/>
      <c r="Y1111" s="1531"/>
      <c r="Z1111" s="1531"/>
      <c r="AA1111" s="1531"/>
      <c r="AB1111" s="1531"/>
      <c r="AC1111" s="1531"/>
      <c r="AD1111" s="1531"/>
      <c r="AE1111" s="1531"/>
      <c r="AF1111" s="1531"/>
      <c r="AG1111" s="1531"/>
      <c r="AH1111" s="1531"/>
      <c r="AI1111" s="1531"/>
      <c r="AJ1111" s="1531"/>
      <c r="AK1111" s="1531"/>
      <c r="AL1111" s="1531"/>
      <c r="AM1111" s="1531"/>
      <c r="AN1111" s="1531"/>
      <c r="AO1111" s="1531"/>
      <c r="AP1111" s="1531"/>
      <c r="AQ1111" s="1531"/>
      <c r="AR1111" s="1531"/>
      <c r="AS1111" s="1531"/>
      <c r="AT1111" s="1136"/>
      <c r="AU1111" s="1136"/>
      <c r="AV1111" s="1136"/>
      <c r="AW1111" s="1136"/>
      <c r="AX1111" s="1136"/>
      <c r="AY1111" s="1136"/>
      <c r="AZ1111" s="1136"/>
      <c r="BA1111" s="1136"/>
      <c r="BB1111" s="1136"/>
      <c r="BC1111" s="1136"/>
      <c r="BD1111" s="1136"/>
      <c r="BE1111" s="1136"/>
      <c r="BF1111" s="1136"/>
      <c r="BG1111" s="1136"/>
      <c r="BH1111" s="1136"/>
      <c r="BI1111" s="1136"/>
      <c r="BJ1111" s="1136"/>
      <c r="BK1111" s="1136"/>
      <c r="BL1111" s="1136"/>
      <c r="BM1111" s="1136"/>
      <c r="BN1111" s="1136"/>
      <c r="BO1111" s="1136"/>
      <c r="BP1111" s="1136"/>
      <c r="BQ1111" s="1136"/>
      <c r="BR1111" s="1136"/>
      <c r="BS1111" s="1136"/>
      <c r="BT1111" s="1136"/>
      <c r="BU1111" s="1136"/>
      <c r="BV1111" s="1136"/>
      <c r="BW1111" s="1136"/>
      <c r="BX1111" s="1136"/>
      <c r="BY1111" s="1136"/>
      <c r="BZ1111" s="1136"/>
      <c r="CA1111" s="1136"/>
      <c r="CB1111" s="1136"/>
      <c r="CC1111" s="1136"/>
      <c r="CD1111" s="1136"/>
      <c r="CE1111" s="1136"/>
      <c r="CF1111" s="1136"/>
      <c r="CG1111" s="1136"/>
      <c r="CH1111" s="1136"/>
      <c r="CI1111" s="1136"/>
      <c r="CJ1111" s="1136"/>
      <c r="CK1111" s="1136"/>
      <c r="CL1111" s="1136"/>
      <c r="CM1111" s="1136"/>
      <c r="CN1111" s="1136"/>
      <c r="CO1111" s="1136"/>
      <c r="CP1111" s="1136"/>
      <c r="CQ1111" s="1136"/>
      <c r="CR1111" s="1136"/>
      <c r="CS1111" s="1136"/>
      <c r="CT1111" s="1136"/>
      <c r="CU1111" s="1136"/>
      <c r="CV1111" s="1136"/>
      <c r="CW1111" s="1136"/>
      <c r="CX1111" s="1136"/>
      <c r="CY1111" s="1136"/>
      <c r="CZ1111" s="1136"/>
      <c r="DA1111" s="1136"/>
      <c r="DB1111" s="1136"/>
      <c r="DC1111" s="1136"/>
      <c r="DD1111" s="1136"/>
      <c r="DE1111" s="1136"/>
      <c r="DF1111" s="1136"/>
      <c r="DG1111" s="1136"/>
      <c r="DH1111" s="1136"/>
      <c r="DI1111" s="1136"/>
    </row>
    <row r="1112" spans="1:113" ht="15.75" x14ac:dyDescent="0.25">
      <c r="A1112" s="1519" t="s">
        <v>3059</v>
      </c>
      <c r="B1112" s="1439" t="e">
        <f>B671</f>
        <v>#VALUE!</v>
      </c>
      <c r="C1112" s="1562"/>
      <c r="D1112" s="1434"/>
      <c r="E1112" s="1434"/>
      <c r="F1112" s="1434"/>
      <c r="G1112" s="1434"/>
      <c r="H1112" s="1531"/>
      <c r="I1112" s="1531"/>
      <c r="J1112" s="1136"/>
      <c r="K1112" s="1136"/>
      <c r="L1112" s="1136"/>
      <c r="M1112" s="1136"/>
      <c r="N1112" s="1136"/>
      <c r="O1112" s="1136"/>
      <c r="P1112" s="1136"/>
      <c r="Q1112" s="1136"/>
      <c r="R1112" s="1531"/>
      <c r="S1112" s="1531"/>
      <c r="T1112" s="1531"/>
      <c r="U1112" s="1531"/>
      <c r="V1112" s="1531"/>
      <c r="W1112" s="1531"/>
      <c r="X1112" s="1531"/>
      <c r="Y1112" s="1531"/>
      <c r="Z1112" s="1531"/>
      <c r="AA1112" s="1531"/>
      <c r="AB1112" s="1531"/>
      <c r="AC1112" s="1531"/>
      <c r="AD1112" s="1531"/>
      <c r="AE1112" s="1531"/>
      <c r="AF1112" s="1531"/>
      <c r="AG1112" s="1531"/>
      <c r="AH1112" s="1531"/>
      <c r="AI1112" s="1531"/>
      <c r="AJ1112" s="1531"/>
      <c r="AK1112" s="1531"/>
      <c r="AL1112" s="1531"/>
      <c r="AM1112" s="1531"/>
      <c r="AN1112" s="1531"/>
      <c r="AO1112" s="1531"/>
      <c r="AP1112" s="1531"/>
      <c r="AQ1112" s="1531"/>
      <c r="AR1112" s="1531"/>
      <c r="AS1112" s="1531"/>
      <c r="AT1112" s="1136"/>
      <c r="AU1112" s="1136"/>
      <c r="AV1112" s="1136"/>
      <c r="AW1112" s="1136"/>
      <c r="AX1112" s="1136"/>
      <c r="AY1112" s="1136"/>
      <c r="AZ1112" s="1136"/>
      <c r="BA1112" s="1136"/>
      <c r="BB1112" s="1136"/>
      <c r="BC1112" s="1136"/>
      <c r="BD1112" s="1136"/>
      <c r="BE1112" s="1136"/>
      <c r="BF1112" s="1136"/>
      <c r="BG1112" s="1136"/>
      <c r="BH1112" s="1136"/>
      <c r="BI1112" s="1136"/>
      <c r="BJ1112" s="1136"/>
      <c r="BK1112" s="1136"/>
      <c r="BL1112" s="1136"/>
      <c r="BM1112" s="1136"/>
      <c r="BN1112" s="1136"/>
      <c r="BO1112" s="1136"/>
      <c r="BP1112" s="1136"/>
      <c r="BQ1112" s="1136"/>
      <c r="BR1112" s="1136"/>
      <c r="BS1112" s="1136"/>
      <c r="BT1112" s="1136"/>
      <c r="BU1112" s="1136"/>
      <c r="BV1112" s="1136"/>
      <c r="BW1112" s="1136"/>
      <c r="BX1112" s="1136"/>
      <c r="BY1112" s="1136"/>
      <c r="BZ1112" s="1136"/>
      <c r="CA1112" s="1136"/>
      <c r="CB1112" s="1136"/>
      <c r="CC1112" s="1136"/>
      <c r="CD1112" s="1136"/>
      <c r="CE1112" s="1136"/>
      <c r="CF1112" s="1136"/>
      <c r="CG1112" s="1136"/>
      <c r="CH1112" s="1136"/>
      <c r="CI1112" s="1136"/>
      <c r="CJ1112" s="1136"/>
      <c r="CK1112" s="1136"/>
      <c r="CL1112" s="1136"/>
      <c r="CM1112" s="1136"/>
      <c r="CN1112" s="1136"/>
      <c r="CO1112" s="1136"/>
      <c r="CP1112" s="1136"/>
      <c r="CQ1112" s="1136"/>
      <c r="CR1112" s="1136"/>
      <c r="CS1112" s="1136"/>
      <c r="CT1112" s="1136"/>
      <c r="CU1112" s="1136"/>
      <c r="CV1112" s="1136"/>
      <c r="CW1112" s="1136"/>
      <c r="CX1112" s="1136"/>
      <c r="CY1112" s="1136"/>
      <c r="CZ1112" s="1136"/>
      <c r="DA1112" s="1136"/>
      <c r="DB1112" s="1136"/>
      <c r="DC1112" s="1136"/>
      <c r="DD1112" s="1136"/>
      <c r="DE1112" s="1136"/>
      <c r="DF1112" s="1136"/>
      <c r="DG1112" s="1136"/>
      <c r="DH1112" s="1136"/>
      <c r="DI1112" s="1136"/>
    </row>
    <row r="1113" spans="1:113" ht="15.75" x14ac:dyDescent="0.25">
      <c r="A1113" s="1519" t="s">
        <v>3060</v>
      </c>
      <c r="B1113" s="1439" t="e">
        <f>B1107*B1112</f>
        <v>#VALUE!</v>
      </c>
      <c r="C1113" s="1562"/>
      <c r="D1113" s="1350"/>
      <c r="E1113" s="1350"/>
      <c r="F1113" s="1350"/>
      <c r="G1113" s="1350"/>
      <c r="H1113" s="1531"/>
      <c r="I1113" s="1531"/>
      <c r="J1113" s="1136"/>
      <c r="K1113" s="1136"/>
      <c r="L1113" s="1136"/>
      <c r="M1113" s="1136"/>
      <c r="N1113" s="1136"/>
      <c r="O1113" s="1136"/>
      <c r="P1113" s="1136"/>
      <c r="Q1113" s="1136"/>
      <c r="R1113" s="1531"/>
      <c r="S1113" s="1531"/>
      <c r="T1113" s="1531"/>
      <c r="U1113" s="1531"/>
      <c r="V1113" s="1531"/>
      <c r="W1113" s="1531"/>
      <c r="X1113" s="1531"/>
      <c r="Y1113" s="1531"/>
      <c r="Z1113" s="1531"/>
      <c r="AA1113" s="1531"/>
      <c r="AB1113" s="1531"/>
      <c r="AC1113" s="1531"/>
      <c r="AD1113" s="1531"/>
      <c r="AE1113" s="1531"/>
      <c r="AF1113" s="1531"/>
      <c r="AG1113" s="1531"/>
      <c r="AH1113" s="1531"/>
      <c r="AI1113" s="1531"/>
      <c r="AJ1113" s="1531"/>
      <c r="AK1113" s="1531"/>
      <c r="AL1113" s="1531"/>
      <c r="AM1113" s="1531"/>
      <c r="AN1113" s="1531"/>
      <c r="AO1113" s="1531"/>
      <c r="AP1113" s="1531"/>
      <c r="AQ1113" s="1531"/>
      <c r="AR1113" s="1531"/>
      <c r="AS1113" s="1531"/>
      <c r="AT1113" s="1136"/>
      <c r="AU1113" s="1136"/>
      <c r="AV1113" s="1136"/>
      <c r="AW1113" s="1136"/>
      <c r="AX1113" s="1136"/>
      <c r="AY1113" s="1136"/>
      <c r="AZ1113" s="1136"/>
      <c r="BA1113" s="1136"/>
      <c r="BB1113" s="1136"/>
      <c r="BC1113" s="1136"/>
      <c r="BD1113" s="1136"/>
      <c r="BE1113" s="1136"/>
      <c r="BF1113" s="1136"/>
      <c r="BG1113" s="1136"/>
      <c r="BH1113" s="1136"/>
      <c r="BI1113" s="1136"/>
      <c r="BJ1113" s="1136"/>
      <c r="BK1113" s="1136"/>
      <c r="BL1113" s="1136"/>
      <c r="BM1113" s="1136"/>
      <c r="BN1113" s="1136"/>
      <c r="BO1113" s="1136"/>
      <c r="BP1113" s="1136"/>
      <c r="BQ1113" s="1136"/>
      <c r="BR1113" s="1136"/>
      <c r="BS1113" s="1136"/>
      <c r="BT1113" s="1136"/>
      <c r="BU1113" s="1136"/>
      <c r="BV1113" s="1136"/>
      <c r="BW1113" s="1136"/>
      <c r="BX1113" s="1136"/>
      <c r="BY1113" s="1136"/>
      <c r="BZ1113" s="1136"/>
      <c r="CA1113" s="1136"/>
      <c r="CB1113" s="1136"/>
      <c r="CC1113" s="1136"/>
      <c r="CD1113" s="1136"/>
      <c r="CE1113" s="1136"/>
      <c r="CF1113" s="1136"/>
      <c r="CG1113" s="1136"/>
      <c r="CH1113" s="1136"/>
      <c r="CI1113" s="1136"/>
      <c r="CJ1113" s="1136"/>
      <c r="CK1113" s="1136"/>
      <c r="CL1113" s="1136"/>
      <c r="CM1113" s="1136"/>
      <c r="CN1113" s="1136"/>
      <c r="CO1113" s="1136"/>
      <c r="CP1113" s="1136"/>
      <c r="CQ1113" s="1136"/>
      <c r="CR1113" s="1136"/>
      <c r="CS1113" s="1136"/>
      <c r="CT1113" s="1136"/>
      <c r="CU1113" s="1136"/>
      <c r="CV1113" s="1136"/>
      <c r="CW1113" s="1136"/>
      <c r="CX1113" s="1136"/>
      <c r="CY1113" s="1136"/>
      <c r="CZ1113" s="1136"/>
      <c r="DA1113" s="1136"/>
      <c r="DB1113" s="1136"/>
      <c r="DC1113" s="1136"/>
      <c r="DD1113" s="1136"/>
      <c r="DE1113" s="1136"/>
      <c r="DF1113" s="1136"/>
      <c r="DG1113" s="1136"/>
      <c r="DH1113" s="1136"/>
      <c r="DI1113" s="1136"/>
    </row>
    <row r="1114" spans="1:113" ht="16.5" thickBot="1" x14ac:dyDescent="0.3">
      <c r="A1114" s="1532" t="s">
        <v>3061</v>
      </c>
      <c r="B1114" s="1588" t="e">
        <f>B1104/B1113</f>
        <v>#REF!</v>
      </c>
      <c r="C1114" s="1589"/>
      <c r="D1114" s="1521"/>
      <c r="E1114" s="1521"/>
      <c r="F1114" s="1521"/>
      <c r="G1114" s="1521"/>
      <c r="H1114" s="1531"/>
      <c r="I1114" s="1531"/>
      <c r="J1114" s="1136"/>
      <c r="K1114" s="1136"/>
      <c r="L1114" s="1136"/>
      <c r="M1114" s="1136"/>
      <c r="N1114" s="1136"/>
      <c r="O1114" s="1136"/>
      <c r="P1114" s="1136"/>
      <c r="Q1114" s="1136"/>
      <c r="R1114" s="1531"/>
      <c r="S1114" s="1531"/>
      <c r="T1114" s="1531"/>
      <c r="U1114" s="1531"/>
      <c r="V1114" s="1531"/>
      <c r="W1114" s="1531"/>
      <c r="X1114" s="1531"/>
      <c r="Y1114" s="1531"/>
      <c r="Z1114" s="1531"/>
      <c r="AA1114" s="1531"/>
      <c r="AB1114" s="1531"/>
      <c r="AC1114" s="1531"/>
      <c r="AD1114" s="1531"/>
      <c r="AE1114" s="1531"/>
      <c r="AF1114" s="1531"/>
      <c r="AG1114" s="1531"/>
      <c r="AH1114" s="1531"/>
      <c r="AI1114" s="1531"/>
      <c r="AJ1114" s="1531"/>
      <c r="AK1114" s="1531"/>
      <c r="AL1114" s="1531"/>
      <c r="AM1114" s="1531"/>
      <c r="AN1114" s="1531"/>
      <c r="AO1114" s="1531"/>
      <c r="AP1114" s="1531"/>
      <c r="AQ1114" s="1531"/>
      <c r="AR1114" s="1531"/>
      <c r="AS1114" s="1531"/>
      <c r="AT1114" s="1136"/>
      <c r="AU1114" s="1136"/>
      <c r="AV1114" s="1136"/>
      <c r="AW1114" s="1136"/>
      <c r="AX1114" s="1136"/>
      <c r="AY1114" s="1136"/>
      <c r="AZ1114" s="1136"/>
      <c r="BA1114" s="1136"/>
      <c r="BB1114" s="1136"/>
      <c r="BC1114" s="1136"/>
      <c r="BD1114" s="1136"/>
      <c r="BE1114" s="1136"/>
      <c r="BF1114" s="1136"/>
      <c r="BG1114" s="1136"/>
      <c r="BH1114" s="1136"/>
      <c r="BI1114" s="1136"/>
      <c r="BJ1114" s="1136"/>
      <c r="BK1114" s="1136"/>
      <c r="BL1114" s="1136"/>
      <c r="BM1114" s="1136"/>
      <c r="BN1114" s="1136"/>
      <c r="BO1114" s="1136"/>
      <c r="BP1114" s="1136"/>
      <c r="BQ1114" s="1136"/>
      <c r="BR1114" s="1136"/>
      <c r="BS1114" s="1136"/>
      <c r="BT1114" s="1136"/>
      <c r="BU1114" s="1136"/>
      <c r="BV1114" s="1136"/>
      <c r="BW1114" s="1136"/>
      <c r="BX1114" s="1136"/>
      <c r="BY1114" s="1136"/>
      <c r="BZ1114" s="1136"/>
      <c r="CA1114" s="1136"/>
      <c r="CB1114" s="1136"/>
      <c r="CC1114" s="1136"/>
      <c r="CD1114" s="1136"/>
      <c r="CE1114" s="1136"/>
      <c r="CF1114" s="1136"/>
      <c r="CG1114" s="1136"/>
      <c r="CH1114" s="1136"/>
      <c r="CI1114" s="1136"/>
      <c r="CJ1114" s="1136"/>
      <c r="CK1114" s="1136"/>
      <c r="CL1114" s="1136"/>
      <c r="CM1114" s="1136"/>
      <c r="CN1114" s="1136"/>
      <c r="CO1114" s="1136"/>
      <c r="CP1114" s="1136"/>
      <c r="CQ1114" s="1136"/>
      <c r="CR1114" s="1136"/>
      <c r="CS1114" s="1136"/>
      <c r="CT1114" s="1136"/>
      <c r="CU1114" s="1136"/>
      <c r="CV1114" s="1136"/>
      <c r="CW1114" s="1136"/>
      <c r="CX1114" s="1136"/>
      <c r="CY1114" s="1136"/>
      <c r="CZ1114" s="1136"/>
      <c r="DA1114" s="1136"/>
      <c r="DB1114" s="1136"/>
      <c r="DC1114" s="1136"/>
      <c r="DD1114" s="1136"/>
      <c r="DE1114" s="1136"/>
      <c r="DF1114" s="1136"/>
      <c r="DG1114" s="1136"/>
      <c r="DH1114" s="1136"/>
      <c r="DI1114" s="1136"/>
    </row>
    <row r="1115" spans="1:113" ht="15.75" x14ac:dyDescent="0.25">
      <c r="A1115" s="1493" t="s">
        <v>3062</v>
      </c>
      <c r="B1115" s="1629" t="e">
        <f>B674</f>
        <v>#VALUE!</v>
      </c>
      <c r="C1115" s="1630"/>
      <c r="D1115" s="1531"/>
      <c r="E1115" s="1531"/>
      <c r="F1115" s="1531"/>
      <c r="G1115" s="1531"/>
      <c r="H1115" s="1531"/>
      <c r="I1115" s="1531"/>
      <c r="J1115" s="1136"/>
      <c r="K1115" s="1136"/>
      <c r="L1115" s="1136"/>
      <c r="M1115" s="1136"/>
      <c r="N1115" s="1136"/>
      <c r="O1115" s="1136"/>
      <c r="P1115" s="1136"/>
      <c r="Q1115" s="1136"/>
      <c r="R1115" s="1531"/>
      <c r="S1115" s="1531"/>
      <c r="T1115" s="1531"/>
      <c r="U1115" s="1531"/>
      <c r="V1115" s="1531"/>
      <c r="W1115" s="1531"/>
      <c r="X1115" s="1531"/>
      <c r="Y1115" s="1531"/>
      <c r="Z1115" s="1531"/>
      <c r="AA1115" s="1531"/>
      <c r="AB1115" s="1531"/>
      <c r="AC1115" s="1531"/>
      <c r="AD1115" s="1531"/>
      <c r="AE1115" s="1531"/>
      <c r="AF1115" s="1531"/>
      <c r="AG1115" s="1531"/>
      <c r="AH1115" s="1531"/>
      <c r="AI1115" s="1531"/>
      <c r="AJ1115" s="1531"/>
      <c r="AK1115" s="1531"/>
      <c r="AL1115" s="1531"/>
      <c r="AM1115" s="1531"/>
      <c r="AN1115" s="1531"/>
      <c r="AO1115" s="1531"/>
      <c r="AP1115" s="1531"/>
      <c r="AQ1115" s="1531"/>
      <c r="AR1115" s="1531"/>
      <c r="AS1115" s="1531"/>
      <c r="AT1115" s="1136"/>
      <c r="AU1115" s="1136"/>
      <c r="AV1115" s="1136"/>
      <c r="AW1115" s="1136"/>
      <c r="AX1115" s="1136"/>
      <c r="AY1115" s="1136"/>
      <c r="AZ1115" s="1136"/>
      <c r="BA1115" s="1136"/>
      <c r="BB1115" s="1136"/>
      <c r="BC1115" s="1136"/>
      <c r="BD1115" s="1136"/>
      <c r="BE1115" s="1136"/>
      <c r="BF1115" s="1136"/>
      <c r="BG1115" s="1136"/>
      <c r="BH1115" s="1136"/>
      <c r="BI1115" s="1136"/>
      <c r="BJ1115" s="1136"/>
      <c r="BK1115" s="1136"/>
      <c r="BL1115" s="1136"/>
      <c r="BM1115" s="1136"/>
      <c r="BN1115" s="1136"/>
      <c r="BO1115" s="1136"/>
      <c r="BP1115" s="1136"/>
      <c r="BQ1115" s="1136"/>
      <c r="BR1115" s="1136"/>
      <c r="BS1115" s="1136"/>
      <c r="BT1115" s="1136"/>
      <c r="BU1115" s="1136"/>
      <c r="BV1115" s="1136"/>
      <c r="BW1115" s="1136"/>
      <c r="BX1115" s="1136"/>
      <c r="BY1115" s="1136"/>
      <c r="BZ1115" s="1136"/>
      <c r="CA1115" s="1136"/>
      <c r="CB1115" s="1136"/>
      <c r="CC1115" s="1136"/>
      <c r="CD1115" s="1136"/>
      <c r="CE1115" s="1136"/>
      <c r="CF1115" s="1136"/>
      <c r="CG1115" s="1136"/>
      <c r="CH1115" s="1136"/>
      <c r="CI1115" s="1136"/>
      <c r="CJ1115" s="1136"/>
      <c r="CK1115" s="1136"/>
      <c r="CL1115" s="1136"/>
      <c r="CM1115" s="1136"/>
      <c r="CN1115" s="1136"/>
      <c r="CO1115" s="1136"/>
      <c r="CP1115" s="1136"/>
      <c r="CQ1115" s="1136"/>
      <c r="CR1115" s="1136"/>
      <c r="CS1115" s="1136"/>
      <c r="CT1115" s="1136"/>
      <c r="CU1115" s="1136"/>
      <c r="CV1115" s="1136"/>
      <c r="CW1115" s="1136"/>
      <c r="CX1115" s="1136"/>
      <c r="CY1115" s="1136"/>
      <c r="CZ1115" s="1136"/>
      <c r="DA1115" s="1136"/>
      <c r="DB1115" s="1136"/>
      <c r="DC1115" s="1136"/>
      <c r="DD1115" s="1136"/>
      <c r="DE1115" s="1136"/>
      <c r="DF1115" s="1136"/>
      <c r="DG1115" s="1136"/>
      <c r="DH1115" s="1136"/>
      <c r="DI1115" s="1136"/>
    </row>
    <row r="1116" spans="1:113" ht="15.75" x14ac:dyDescent="0.25">
      <c r="A1116" s="1493" t="s">
        <v>4653</v>
      </c>
      <c r="B1116" s="1629" t="e">
        <f>B675</f>
        <v>#VALUE!</v>
      </c>
      <c r="C1116" s="1630"/>
      <c r="D1116" s="1521"/>
      <c r="E1116" s="1521"/>
      <c r="F1116" s="1521"/>
      <c r="G1116" s="1521"/>
      <c r="H1116" s="1531"/>
      <c r="I1116" s="1531"/>
      <c r="J1116" s="1136"/>
      <c r="K1116" s="1136"/>
      <c r="L1116" s="1136"/>
      <c r="M1116" s="1136"/>
      <c r="N1116" s="1136"/>
      <c r="O1116" s="1136"/>
      <c r="P1116" s="1136"/>
      <c r="Q1116" s="1136"/>
      <c r="R1116" s="1531"/>
      <c r="S1116" s="1531"/>
      <c r="T1116" s="1531"/>
      <c r="U1116" s="1531"/>
      <c r="V1116" s="1531"/>
      <c r="W1116" s="1531"/>
      <c r="X1116" s="1531"/>
      <c r="Y1116" s="1531"/>
      <c r="Z1116" s="1531"/>
      <c r="AA1116" s="1531"/>
      <c r="AB1116" s="1531"/>
      <c r="AC1116" s="1531"/>
      <c r="AD1116" s="1531"/>
      <c r="AE1116" s="1531"/>
      <c r="AF1116" s="1531"/>
      <c r="AG1116" s="1531"/>
      <c r="AH1116" s="1531"/>
      <c r="AI1116" s="1531"/>
      <c r="AJ1116" s="1531"/>
      <c r="AK1116" s="1531"/>
      <c r="AL1116" s="1531"/>
      <c r="AM1116" s="1531"/>
      <c r="AN1116" s="1531"/>
      <c r="AO1116" s="1531"/>
      <c r="AP1116" s="1531"/>
      <c r="AQ1116" s="1531"/>
      <c r="AR1116" s="1531"/>
      <c r="AS1116" s="1531"/>
      <c r="AT1116" s="1136"/>
      <c r="AU1116" s="1136"/>
      <c r="AV1116" s="1136"/>
      <c r="AW1116" s="1136"/>
      <c r="AX1116" s="1136"/>
      <c r="AY1116" s="1136"/>
      <c r="AZ1116" s="1136"/>
      <c r="BA1116" s="1136"/>
      <c r="BB1116" s="1136"/>
      <c r="BC1116" s="1136"/>
      <c r="BD1116" s="1136"/>
      <c r="BE1116" s="1136"/>
      <c r="BF1116" s="1136"/>
      <c r="BG1116" s="1136"/>
      <c r="BH1116" s="1136"/>
      <c r="BI1116" s="1136"/>
      <c r="BJ1116" s="1136"/>
      <c r="BK1116" s="1136"/>
      <c r="BL1116" s="1136"/>
      <c r="BM1116" s="1136"/>
      <c r="BN1116" s="1136"/>
      <c r="BO1116" s="1136"/>
      <c r="BP1116" s="1136"/>
      <c r="BQ1116" s="1136"/>
      <c r="BR1116" s="1136"/>
      <c r="BS1116" s="1136"/>
      <c r="BT1116" s="1136"/>
      <c r="BU1116" s="1136"/>
      <c r="BV1116" s="1136"/>
      <c r="BW1116" s="1136"/>
      <c r="BX1116" s="1136"/>
      <c r="BY1116" s="1136"/>
      <c r="BZ1116" s="1136"/>
      <c r="CA1116" s="1136"/>
      <c r="CB1116" s="1136"/>
      <c r="CC1116" s="1136"/>
      <c r="CD1116" s="1136"/>
      <c r="CE1116" s="1136"/>
      <c r="CF1116" s="1136"/>
      <c r="CG1116" s="1136"/>
      <c r="CH1116" s="1136"/>
      <c r="CI1116" s="1136"/>
      <c r="CJ1116" s="1136"/>
      <c r="CK1116" s="1136"/>
      <c r="CL1116" s="1136"/>
      <c r="CM1116" s="1136"/>
      <c r="CN1116" s="1136"/>
      <c r="CO1116" s="1136"/>
      <c r="CP1116" s="1136"/>
      <c r="CQ1116" s="1136"/>
      <c r="CR1116" s="1136"/>
      <c r="CS1116" s="1136"/>
      <c r="CT1116" s="1136"/>
      <c r="CU1116" s="1136"/>
      <c r="CV1116" s="1136"/>
      <c r="CW1116" s="1136"/>
      <c r="CX1116" s="1136"/>
      <c r="CY1116" s="1136"/>
      <c r="CZ1116" s="1136"/>
      <c r="DA1116" s="1136"/>
      <c r="DB1116" s="1136"/>
      <c r="DC1116" s="1136"/>
      <c r="DD1116" s="1136"/>
      <c r="DE1116" s="1136"/>
      <c r="DF1116" s="1136"/>
      <c r="DG1116" s="1136"/>
      <c r="DH1116" s="1136"/>
      <c r="DI1116" s="1136"/>
    </row>
    <row r="1117" spans="1:113" ht="15.75" x14ac:dyDescent="0.25">
      <c r="A1117" s="1493" t="s">
        <v>4654</v>
      </c>
      <c r="B1117" s="1629" t="e">
        <f>B676</f>
        <v>#VALUE!</v>
      </c>
      <c r="C1117" s="1630"/>
      <c r="D1117" s="1521"/>
      <c r="E1117" s="1521"/>
      <c r="F1117" s="1521"/>
      <c r="G1117" s="1521"/>
      <c r="H1117" s="1531"/>
      <c r="I1117" s="1531"/>
      <c r="J1117" s="1136"/>
      <c r="K1117" s="1136"/>
      <c r="L1117" s="1136"/>
      <c r="M1117" s="1136"/>
      <c r="N1117" s="1136"/>
      <c r="O1117" s="1136"/>
      <c r="P1117" s="1136"/>
      <c r="Q1117" s="1136"/>
      <c r="R1117" s="1531"/>
      <c r="S1117" s="1531"/>
      <c r="T1117" s="1531"/>
      <c r="U1117" s="1531"/>
      <c r="V1117" s="1531"/>
      <c r="W1117" s="1531"/>
      <c r="X1117" s="1531"/>
      <c r="Y1117" s="1531"/>
      <c r="Z1117" s="1531"/>
      <c r="AA1117" s="1531"/>
      <c r="AB1117" s="1531"/>
      <c r="AC1117" s="1531"/>
      <c r="AD1117" s="1531"/>
      <c r="AE1117" s="1531"/>
      <c r="AF1117" s="1531"/>
      <c r="AG1117" s="1531"/>
      <c r="AH1117" s="1531"/>
      <c r="AI1117" s="1531"/>
      <c r="AJ1117" s="1531"/>
      <c r="AK1117" s="1531"/>
      <c r="AL1117" s="1531"/>
      <c r="AM1117" s="1531"/>
      <c r="AN1117" s="1531"/>
      <c r="AO1117" s="1531"/>
      <c r="AP1117" s="1531"/>
      <c r="AQ1117" s="1531"/>
      <c r="AR1117" s="1531"/>
      <c r="AS1117" s="1531"/>
      <c r="AT1117" s="1136"/>
      <c r="AU1117" s="1136"/>
      <c r="AV1117" s="1136"/>
      <c r="AW1117" s="1136"/>
      <c r="AX1117" s="1136"/>
      <c r="AY1117" s="1136"/>
      <c r="AZ1117" s="1136"/>
      <c r="BA1117" s="1136"/>
      <c r="BB1117" s="1136"/>
      <c r="BC1117" s="1136"/>
      <c r="BD1117" s="1136"/>
      <c r="BE1117" s="1136"/>
      <c r="BF1117" s="1136"/>
      <c r="BG1117" s="1136"/>
      <c r="BH1117" s="1136"/>
      <c r="BI1117" s="1136"/>
      <c r="BJ1117" s="1136"/>
      <c r="BK1117" s="1136"/>
      <c r="BL1117" s="1136"/>
      <c r="BM1117" s="1136"/>
      <c r="BN1117" s="1136"/>
      <c r="BO1117" s="1136"/>
      <c r="BP1117" s="1136"/>
      <c r="BQ1117" s="1136"/>
      <c r="BR1117" s="1136"/>
      <c r="BS1117" s="1136"/>
      <c r="BT1117" s="1136"/>
      <c r="BU1117" s="1136"/>
      <c r="BV1117" s="1136"/>
      <c r="BW1117" s="1136"/>
      <c r="BX1117" s="1136"/>
      <c r="BY1117" s="1136"/>
      <c r="BZ1117" s="1136"/>
      <c r="CA1117" s="1136"/>
      <c r="CB1117" s="1136"/>
      <c r="CC1117" s="1136"/>
      <c r="CD1117" s="1136"/>
      <c r="CE1117" s="1136"/>
      <c r="CF1117" s="1136"/>
      <c r="CG1117" s="1136"/>
      <c r="CH1117" s="1136"/>
      <c r="CI1117" s="1136"/>
      <c r="CJ1117" s="1136"/>
      <c r="CK1117" s="1136"/>
      <c r="CL1117" s="1136"/>
      <c r="CM1117" s="1136"/>
      <c r="CN1117" s="1136"/>
      <c r="CO1117" s="1136"/>
      <c r="CP1117" s="1136"/>
      <c r="CQ1117" s="1136"/>
      <c r="CR1117" s="1136"/>
      <c r="CS1117" s="1136"/>
      <c r="CT1117" s="1136"/>
      <c r="CU1117" s="1136"/>
      <c r="CV1117" s="1136"/>
      <c r="CW1117" s="1136"/>
      <c r="CX1117" s="1136"/>
      <c r="CY1117" s="1136"/>
      <c r="CZ1117" s="1136"/>
      <c r="DA1117" s="1136"/>
      <c r="DB1117" s="1136"/>
      <c r="DC1117" s="1136"/>
      <c r="DD1117" s="1136"/>
      <c r="DE1117" s="1136"/>
      <c r="DF1117" s="1136"/>
      <c r="DG1117" s="1136"/>
      <c r="DH1117" s="1136"/>
      <c r="DI1117" s="1136"/>
    </row>
    <row r="1118" spans="1:113" ht="15.75" x14ac:dyDescent="0.25">
      <c r="A1118" s="1493" t="s">
        <v>18</v>
      </c>
      <c r="B1118" s="1629" t="e">
        <f>B1104/B1117</f>
        <v>#REF!</v>
      </c>
      <c r="C1118" s="1630"/>
      <c r="D1118" s="1521"/>
      <c r="E1118" s="1521"/>
      <c r="F1118" s="1521"/>
      <c r="G1118" s="1521"/>
      <c r="H1118" s="1531"/>
      <c r="I1118" s="1531"/>
      <c r="J1118" s="1136"/>
      <c r="K1118" s="1136"/>
      <c r="L1118" s="1136"/>
      <c r="M1118" s="1136"/>
      <c r="N1118" s="1136"/>
      <c r="O1118" s="1136"/>
      <c r="P1118" s="1136"/>
      <c r="Q1118" s="1136"/>
      <c r="R1118" s="1531"/>
      <c r="S1118" s="1531"/>
      <c r="T1118" s="1531"/>
      <c r="U1118" s="1531"/>
      <c r="V1118" s="1531"/>
      <c r="W1118" s="1531"/>
      <c r="X1118" s="1531"/>
      <c r="Y1118" s="1531"/>
      <c r="Z1118" s="1531"/>
      <c r="AA1118" s="1531"/>
      <c r="AB1118" s="1531"/>
      <c r="AC1118" s="1531"/>
      <c r="AD1118" s="1531"/>
      <c r="AE1118" s="1531"/>
      <c r="AF1118" s="1531"/>
      <c r="AG1118" s="1531"/>
      <c r="AH1118" s="1531"/>
      <c r="AI1118" s="1531"/>
      <c r="AJ1118" s="1531"/>
      <c r="AK1118" s="1531"/>
      <c r="AL1118" s="1531"/>
      <c r="AM1118" s="1531"/>
      <c r="AN1118" s="1531"/>
      <c r="AO1118" s="1531"/>
      <c r="AP1118" s="1531"/>
      <c r="AQ1118" s="1531"/>
      <c r="AR1118" s="1531"/>
      <c r="AS1118" s="1531"/>
      <c r="AT1118" s="1136"/>
      <c r="AU1118" s="1136"/>
      <c r="AV1118" s="1136"/>
      <c r="AW1118" s="1136"/>
      <c r="AX1118" s="1136"/>
      <c r="AY1118" s="1136"/>
      <c r="AZ1118" s="1136"/>
      <c r="BA1118" s="1136"/>
      <c r="BB1118" s="1136"/>
      <c r="BC1118" s="1136"/>
      <c r="BD1118" s="1136"/>
      <c r="BE1118" s="1136"/>
      <c r="BF1118" s="1136"/>
      <c r="BG1118" s="1136"/>
      <c r="BH1118" s="1136"/>
      <c r="BI1118" s="1136"/>
      <c r="BJ1118" s="1136"/>
      <c r="BK1118" s="1136"/>
      <c r="BL1118" s="1136"/>
      <c r="BM1118" s="1136"/>
      <c r="BN1118" s="1136"/>
      <c r="BO1118" s="1136"/>
      <c r="BP1118" s="1136"/>
      <c r="BQ1118" s="1136"/>
      <c r="BR1118" s="1136"/>
      <c r="BS1118" s="1136"/>
      <c r="BT1118" s="1136"/>
      <c r="BU1118" s="1136"/>
      <c r="BV1118" s="1136"/>
      <c r="BW1118" s="1136"/>
      <c r="BX1118" s="1136"/>
      <c r="BY1118" s="1136"/>
      <c r="BZ1118" s="1136"/>
      <c r="CA1118" s="1136"/>
      <c r="CB1118" s="1136"/>
      <c r="CC1118" s="1136"/>
      <c r="CD1118" s="1136"/>
      <c r="CE1118" s="1136"/>
      <c r="CF1118" s="1136"/>
      <c r="CG1118" s="1136"/>
      <c r="CH1118" s="1136"/>
      <c r="CI1118" s="1136"/>
      <c r="CJ1118" s="1136"/>
      <c r="CK1118" s="1136"/>
      <c r="CL1118" s="1136"/>
      <c r="CM1118" s="1136"/>
      <c r="CN1118" s="1136"/>
      <c r="CO1118" s="1136"/>
      <c r="CP1118" s="1136"/>
      <c r="CQ1118" s="1136"/>
      <c r="CR1118" s="1136"/>
      <c r="CS1118" s="1136"/>
      <c r="CT1118" s="1136"/>
      <c r="CU1118" s="1136"/>
      <c r="CV1118" s="1136"/>
      <c r="CW1118" s="1136"/>
      <c r="CX1118" s="1136"/>
      <c r="CY1118" s="1136"/>
      <c r="CZ1118" s="1136"/>
      <c r="DA1118" s="1136"/>
      <c r="DB1118" s="1136"/>
      <c r="DC1118" s="1136"/>
      <c r="DD1118" s="1136"/>
      <c r="DE1118" s="1136"/>
      <c r="DF1118" s="1136"/>
      <c r="DG1118" s="1136"/>
      <c r="DH1118" s="1136"/>
      <c r="DI1118" s="1136"/>
    </row>
    <row r="1119" spans="1:113" ht="15.75" x14ac:dyDescent="0.25">
      <c r="A1119" s="1493" t="s">
        <v>19</v>
      </c>
      <c r="B1119" s="1629" t="e">
        <f>B1114+B1118</f>
        <v>#REF!</v>
      </c>
      <c r="C1119" s="1630"/>
      <c r="D1119" s="1562"/>
      <c r="E1119" s="1562"/>
      <c r="F1119" s="1562"/>
      <c r="G1119" s="1562"/>
      <c r="H1119" s="1531"/>
      <c r="I1119" s="1531"/>
      <c r="J1119" s="1531"/>
      <c r="K1119" s="1531"/>
      <c r="L1119" s="1531"/>
      <c r="M1119" s="1531"/>
      <c r="N1119" s="1531"/>
      <c r="O1119" s="1531"/>
      <c r="P1119" s="1531"/>
      <c r="Q1119" s="1531"/>
      <c r="R1119" s="1531"/>
      <c r="S1119" s="1531"/>
      <c r="T1119" s="1531"/>
      <c r="U1119" s="1531"/>
      <c r="V1119" s="1531"/>
      <c r="W1119" s="1531"/>
      <c r="X1119" s="1531"/>
      <c r="Y1119" s="1531"/>
      <c r="Z1119" s="1531"/>
      <c r="AA1119" s="1531"/>
      <c r="AB1119" s="1531"/>
      <c r="AC1119" s="1531"/>
      <c r="AD1119" s="1531"/>
      <c r="AE1119" s="1531"/>
      <c r="AF1119" s="1531"/>
      <c r="AG1119" s="1531"/>
      <c r="AH1119" s="1531"/>
      <c r="AI1119" s="1531"/>
      <c r="AJ1119" s="1531"/>
      <c r="AK1119" s="1531"/>
      <c r="AL1119" s="1531"/>
      <c r="AM1119" s="1531"/>
      <c r="AN1119" s="1531"/>
      <c r="AO1119" s="1531"/>
      <c r="AP1119" s="1531"/>
      <c r="AQ1119" s="1531"/>
      <c r="AR1119" s="1531"/>
      <c r="AS1119" s="1531"/>
      <c r="AT1119" s="1136"/>
      <c r="AU1119" s="1136"/>
      <c r="AV1119" s="1136"/>
      <c r="AW1119" s="1136"/>
      <c r="AX1119" s="1136"/>
      <c r="AY1119" s="1136"/>
      <c r="AZ1119" s="1136"/>
      <c r="BA1119" s="1136"/>
      <c r="BB1119" s="1136"/>
      <c r="BC1119" s="1136"/>
      <c r="BD1119" s="1136"/>
      <c r="BE1119" s="1136"/>
      <c r="BF1119" s="1136"/>
      <c r="BG1119" s="1136"/>
      <c r="BH1119" s="1136"/>
      <c r="BI1119" s="1136"/>
      <c r="BJ1119" s="1136"/>
      <c r="BK1119" s="1136"/>
      <c r="BL1119" s="1136"/>
      <c r="BM1119" s="1136"/>
      <c r="BN1119" s="1136"/>
      <c r="BO1119" s="1136"/>
      <c r="BP1119" s="1136"/>
      <c r="BQ1119" s="1136"/>
      <c r="BR1119" s="1136"/>
      <c r="BS1119" s="1136"/>
      <c r="BT1119" s="1136"/>
      <c r="BU1119" s="1136"/>
      <c r="BV1119" s="1136"/>
      <c r="BW1119" s="1136"/>
      <c r="BX1119" s="1136"/>
      <c r="BY1119" s="1136"/>
      <c r="BZ1119" s="1136"/>
      <c r="CA1119" s="1136"/>
      <c r="CB1119" s="1136"/>
      <c r="CC1119" s="1136"/>
      <c r="CD1119" s="1136"/>
      <c r="CE1119" s="1136"/>
      <c r="CF1119" s="1136"/>
      <c r="CG1119" s="1136"/>
      <c r="CH1119" s="1136"/>
      <c r="CI1119" s="1136"/>
      <c r="CJ1119" s="1136"/>
      <c r="CK1119" s="1136"/>
      <c r="CL1119" s="1136"/>
      <c r="CM1119" s="1136"/>
      <c r="CN1119" s="1136"/>
      <c r="CO1119" s="1136"/>
      <c r="CP1119" s="1136"/>
      <c r="CQ1119" s="1136"/>
      <c r="CR1119" s="1136"/>
      <c r="CS1119" s="1136"/>
      <c r="CT1119" s="1136"/>
      <c r="CU1119" s="1136"/>
      <c r="CV1119" s="1136"/>
      <c r="CW1119" s="1136"/>
      <c r="CX1119" s="1136"/>
      <c r="CY1119" s="1136"/>
      <c r="CZ1119" s="1136"/>
      <c r="DA1119" s="1136"/>
      <c r="DB1119" s="1136"/>
      <c r="DC1119" s="1136"/>
      <c r="DD1119" s="1136"/>
      <c r="DE1119" s="1136"/>
      <c r="DF1119" s="1136"/>
      <c r="DG1119" s="1136"/>
      <c r="DH1119" s="1136"/>
      <c r="DI1119" s="1136"/>
    </row>
    <row r="1120" spans="1:113" ht="16.5" thickBot="1" x14ac:dyDescent="0.3">
      <c r="A1120" s="1420"/>
      <c r="B1120" s="1443"/>
      <c r="C1120" s="1521"/>
      <c r="D1120" s="1562"/>
      <c r="E1120" s="1562"/>
      <c r="F1120" s="1562"/>
      <c r="G1120" s="1562"/>
      <c r="H1120" s="1531"/>
      <c r="I1120" s="1531"/>
      <c r="J1120" s="1531"/>
      <c r="K1120" s="1531"/>
      <c r="L1120" s="1531"/>
      <c r="M1120" s="1531"/>
      <c r="N1120" s="1531"/>
      <c r="O1120" s="1531"/>
      <c r="P1120" s="1531"/>
      <c r="Q1120" s="1531"/>
      <c r="R1120" s="1531"/>
      <c r="S1120" s="1531"/>
      <c r="T1120" s="1531"/>
      <c r="U1120" s="1531"/>
      <c r="V1120" s="1531"/>
      <c r="W1120" s="1531"/>
      <c r="X1120" s="1531"/>
      <c r="Y1120" s="1531"/>
      <c r="Z1120" s="1531"/>
      <c r="AA1120" s="1531"/>
      <c r="AB1120" s="1531"/>
      <c r="AC1120" s="1531"/>
      <c r="AD1120" s="1531"/>
      <c r="AE1120" s="1531"/>
      <c r="AF1120" s="1531"/>
      <c r="AG1120" s="1531"/>
      <c r="AH1120" s="1531"/>
      <c r="AI1120" s="1531"/>
      <c r="AJ1120" s="1531"/>
      <c r="AK1120" s="1531"/>
      <c r="AL1120" s="1531"/>
      <c r="AM1120" s="1531"/>
      <c r="AN1120" s="1531"/>
      <c r="AO1120" s="1531"/>
      <c r="AP1120" s="1531"/>
      <c r="AQ1120" s="1531"/>
      <c r="AR1120" s="1531"/>
      <c r="AS1120" s="1531"/>
      <c r="AT1120" s="1136"/>
      <c r="AU1120" s="1136"/>
      <c r="AV1120" s="1136"/>
      <c r="AW1120" s="1136"/>
      <c r="AX1120" s="1136"/>
      <c r="AY1120" s="1136"/>
      <c r="AZ1120" s="1136"/>
      <c r="BA1120" s="1136"/>
      <c r="BB1120" s="1136"/>
      <c r="BC1120" s="1136"/>
      <c r="BD1120" s="1136"/>
      <c r="BE1120" s="1136"/>
      <c r="BF1120" s="1136"/>
      <c r="BG1120" s="1136"/>
      <c r="BH1120" s="1136"/>
      <c r="BI1120" s="1136"/>
      <c r="BJ1120" s="1136"/>
      <c r="BK1120" s="1136"/>
      <c r="BL1120" s="1136"/>
      <c r="BM1120" s="1136"/>
      <c r="BN1120" s="1136"/>
      <c r="BO1120" s="1136"/>
      <c r="BP1120" s="1136"/>
      <c r="BQ1120" s="1136"/>
      <c r="BR1120" s="1136"/>
      <c r="BS1120" s="1136"/>
      <c r="BT1120" s="1136"/>
      <c r="BU1120" s="1136"/>
      <c r="BV1120" s="1136"/>
      <c r="BW1120" s="1136"/>
      <c r="BX1120" s="1136"/>
      <c r="BY1120" s="1136"/>
      <c r="BZ1120" s="1136"/>
      <c r="CA1120" s="1136"/>
      <c r="CB1120" s="1136"/>
      <c r="CC1120" s="1136"/>
      <c r="CD1120" s="1136"/>
      <c r="CE1120" s="1136"/>
      <c r="CF1120" s="1136"/>
      <c r="CG1120" s="1136"/>
      <c r="CH1120" s="1136"/>
      <c r="CI1120" s="1136"/>
      <c r="CJ1120" s="1136"/>
      <c r="CK1120" s="1136"/>
      <c r="CL1120" s="1136"/>
      <c r="CM1120" s="1136"/>
      <c r="CN1120" s="1136"/>
      <c r="CO1120" s="1136"/>
      <c r="CP1120" s="1136"/>
      <c r="CQ1120" s="1136"/>
      <c r="CR1120" s="1136"/>
      <c r="CS1120" s="1136"/>
      <c r="CT1120" s="1136"/>
      <c r="CU1120" s="1136"/>
      <c r="CV1120" s="1136"/>
      <c r="CW1120" s="1136"/>
      <c r="CX1120" s="1136"/>
      <c r="CY1120" s="1136"/>
      <c r="CZ1120" s="1136"/>
      <c r="DA1120" s="1136"/>
      <c r="DB1120" s="1136"/>
      <c r="DC1120" s="1136"/>
      <c r="DD1120" s="1136"/>
      <c r="DE1120" s="1136"/>
      <c r="DF1120" s="1136"/>
      <c r="DG1120" s="1136"/>
      <c r="DH1120" s="1136"/>
      <c r="DI1120" s="1136"/>
    </row>
    <row r="1121" spans="1:113" ht="16.5" thickBot="1" x14ac:dyDescent="0.3">
      <c r="A1121" s="1537" t="s">
        <v>20</v>
      </c>
      <c r="B1121" s="1538"/>
      <c r="C1121" s="1514"/>
      <c r="D1121" s="1589"/>
      <c r="E1121" s="1589"/>
      <c r="F1121" s="1589"/>
      <c r="G1121" s="1589"/>
      <c r="H1121" s="1531"/>
      <c r="I1121" s="1531"/>
      <c r="J1121" s="1531"/>
      <c r="K1121" s="1531"/>
      <c r="L1121" s="1531"/>
      <c r="M1121" s="1531"/>
      <c r="N1121" s="1531"/>
      <c r="O1121" s="1531"/>
      <c r="P1121" s="1531"/>
      <c r="Q1121" s="1531"/>
      <c r="R1121" s="1531"/>
      <c r="S1121" s="1531"/>
      <c r="T1121" s="1531"/>
      <c r="U1121" s="1531"/>
      <c r="V1121" s="1531"/>
      <c r="W1121" s="1531"/>
      <c r="X1121" s="1531"/>
      <c r="Y1121" s="1531"/>
      <c r="Z1121" s="1531"/>
      <c r="AA1121" s="1531"/>
      <c r="AB1121" s="1531"/>
      <c r="AC1121" s="1531"/>
      <c r="AD1121" s="1531"/>
      <c r="AE1121" s="1531"/>
      <c r="AF1121" s="1531"/>
      <c r="AG1121" s="1531"/>
      <c r="AH1121" s="1531"/>
      <c r="AI1121" s="1531"/>
      <c r="AJ1121" s="1531"/>
      <c r="AK1121" s="1531"/>
      <c r="AL1121" s="1531"/>
      <c r="AM1121" s="1531"/>
      <c r="AN1121" s="1531"/>
      <c r="AO1121" s="1531"/>
      <c r="AP1121" s="1531"/>
      <c r="AQ1121" s="1531"/>
      <c r="AR1121" s="1531"/>
      <c r="AS1121" s="1531"/>
      <c r="AT1121" s="1136"/>
      <c r="AU1121" s="1136"/>
      <c r="AV1121" s="1136"/>
      <c r="AW1121" s="1136"/>
      <c r="AX1121" s="1136"/>
      <c r="AY1121" s="1136"/>
      <c r="AZ1121" s="1136"/>
      <c r="BA1121" s="1136"/>
      <c r="BB1121" s="1136"/>
      <c r="BC1121" s="1136"/>
      <c r="BD1121" s="1136"/>
      <c r="BE1121" s="1136"/>
      <c r="BF1121" s="1136"/>
      <c r="BG1121" s="1136"/>
      <c r="BH1121" s="1136"/>
      <c r="BI1121" s="1136"/>
      <c r="BJ1121" s="1136"/>
      <c r="BK1121" s="1136"/>
      <c r="BL1121" s="1136"/>
      <c r="BM1121" s="1136"/>
      <c r="BN1121" s="1136"/>
      <c r="BO1121" s="1136"/>
      <c r="BP1121" s="1136"/>
      <c r="BQ1121" s="1136"/>
      <c r="BR1121" s="1136"/>
      <c r="BS1121" s="1136"/>
      <c r="BT1121" s="1136"/>
      <c r="BU1121" s="1136"/>
      <c r="BV1121" s="1136"/>
      <c r="BW1121" s="1136"/>
      <c r="BX1121" s="1136"/>
      <c r="BY1121" s="1136"/>
      <c r="BZ1121" s="1136"/>
      <c r="CA1121" s="1136"/>
      <c r="CB1121" s="1136"/>
      <c r="CC1121" s="1136"/>
      <c r="CD1121" s="1136"/>
      <c r="CE1121" s="1136"/>
      <c r="CF1121" s="1136"/>
      <c r="CG1121" s="1136"/>
      <c r="CH1121" s="1136"/>
      <c r="CI1121" s="1136"/>
      <c r="CJ1121" s="1136"/>
      <c r="CK1121" s="1136"/>
      <c r="CL1121" s="1136"/>
      <c r="CM1121" s="1136"/>
      <c r="CN1121" s="1136"/>
      <c r="CO1121" s="1136"/>
      <c r="CP1121" s="1136"/>
      <c r="CQ1121" s="1136"/>
      <c r="CR1121" s="1136"/>
      <c r="CS1121" s="1136"/>
      <c r="CT1121" s="1136"/>
      <c r="CU1121" s="1136"/>
      <c r="CV1121" s="1136"/>
      <c r="CW1121" s="1136"/>
      <c r="CX1121" s="1136"/>
      <c r="CY1121" s="1136"/>
      <c r="CZ1121" s="1136"/>
      <c r="DA1121" s="1136"/>
      <c r="DB1121" s="1136"/>
      <c r="DC1121" s="1136"/>
      <c r="DD1121" s="1136"/>
      <c r="DE1121" s="1136"/>
      <c r="DF1121" s="1136"/>
      <c r="DG1121" s="1136"/>
      <c r="DH1121" s="1136"/>
      <c r="DI1121" s="1136"/>
    </row>
    <row r="1122" spans="1:113" ht="31.5" x14ac:dyDescent="0.25">
      <c r="A1122" s="1539" t="s">
        <v>21</v>
      </c>
      <c r="B1122" s="1424" t="e">
        <f>B1104</f>
        <v>#REF!</v>
      </c>
      <c r="C1122" s="1429"/>
      <c r="D1122" s="1630"/>
      <c r="E1122" s="1630"/>
      <c r="F1122" s="1630"/>
      <c r="G1122" s="1630"/>
      <c r="H1122" s="1531"/>
      <c r="I1122" s="1531"/>
      <c r="J1122" s="1531"/>
      <c r="K1122" s="1531"/>
      <c r="L1122" s="1531"/>
      <c r="M1122" s="1531"/>
      <c r="N1122" s="1531"/>
      <c r="O1122" s="1531"/>
      <c r="P1122" s="1531"/>
      <c r="Q1122" s="1531"/>
      <c r="R1122" s="1531"/>
      <c r="S1122" s="1531"/>
      <c r="T1122" s="1531"/>
      <c r="U1122" s="1531"/>
      <c r="V1122" s="1531"/>
      <c r="W1122" s="1531"/>
      <c r="X1122" s="1531"/>
      <c r="Y1122" s="1531"/>
      <c r="Z1122" s="1531"/>
      <c r="AA1122" s="1531"/>
      <c r="AB1122" s="1531"/>
      <c r="AC1122" s="1531"/>
      <c r="AD1122" s="1531"/>
      <c r="AE1122" s="1531"/>
      <c r="AF1122" s="1531"/>
      <c r="AG1122" s="1531"/>
      <c r="AH1122" s="1531"/>
      <c r="AI1122" s="1531"/>
      <c r="AJ1122" s="1531"/>
      <c r="AK1122" s="1531"/>
      <c r="AL1122" s="1531"/>
      <c r="AM1122" s="1531"/>
      <c r="AN1122" s="1531"/>
      <c r="AO1122" s="1531"/>
      <c r="AP1122" s="1531"/>
      <c r="AQ1122" s="1531"/>
      <c r="AR1122" s="1531"/>
      <c r="AS1122" s="1531"/>
      <c r="AT1122" s="1136"/>
      <c r="AU1122" s="1136"/>
      <c r="AV1122" s="1136"/>
      <c r="AW1122" s="1136"/>
      <c r="AX1122" s="1136"/>
      <c r="AY1122" s="1136"/>
      <c r="AZ1122" s="1136"/>
      <c r="BA1122" s="1136"/>
      <c r="BB1122" s="1136"/>
      <c r="BC1122" s="1136"/>
      <c r="BD1122" s="1136"/>
      <c r="BE1122" s="1136"/>
      <c r="BF1122" s="1136"/>
      <c r="BG1122" s="1136"/>
      <c r="BH1122" s="1136"/>
      <c r="BI1122" s="1136"/>
      <c r="BJ1122" s="1136"/>
      <c r="BK1122" s="1136"/>
      <c r="BL1122" s="1136"/>
      <c r="BM1122" s="1136"/>
      <c r="BN1122" s="1136"/>
      <c r="BO1122" s="1136"/>
      <c r="BP1122" s="1136"/>
      <c r="BQ1122" s="1136"/>
      <c r="BR1122" s="1136"/>
      <c r="BS1122" s="1136"/>
      <c r="BT1122" s="1136"/>
      <c r="BU1122" s="1136"/>
      <c r="BV1122" s="1136"/>
      <c r="BW1122" s="1136"/>
      <c r="BX1122" s="1136"/>
      <c r="BY1122" s="1136"/>
      <c r="BZ1122" s="1136"/>
      <c r="CA1122" s="1136"/>
      <c r="CB1122" s="1136"/>
      <c r="CC1122" s="1136"/>
      <c r="CD1122" s="1136"/>
      <c r="CE1122" s="1136"/>
      <c r="CF1122" s="1136"/>
      <c r="CG1122" s="1136"/>
      <c r="CH1122" s="1136"/>
      <c r="CI1122" s="1136"/>
      <c r="CJ1122" s="1136"/>
      <c r="CK1122" s="1136"/>
      <c r="CL1122" s="1136"/>
      <c r="CM1122" s="1136"/>
      <c r="CN1122" s="1136"/>
      <c r="CO1122" s="1136"/>
      <c r="CP1122" s="1136"/>
      <c r="CQ1122" s="1136"/>
      <c r="CR1122" s="1136"/>
      <c r="CS1122" s="1136"/>
      <c r="CT1122" s="1136"/>
      <c r="CU1122" s="1136"/>
      <c r="CV1122" s="1136"/>
      <c r="CW1122" s="1136"/>
      <c r="CX1122" s="1136"/>
      <c r="CY1122" s="1136"/>
      <c r="CZ1122" s="1136"/>
      <c r="DA1122" s="1136"/>
      <c r="DB1122" s="1136"/>
      <c r="DC1122" s="1136"/>
      <c r="DD1122" s="1136"/>
      <c r="DE1122" s="1136"/>
      <c r="DF1122" s="1136"/>
      <c r="DG1122" s="1136"/>
      <c r="DH1122" s="1136"/>
      <c r="DI1122" s="1136"/>
    </row>
    <row r="1123" spans="1:113" ht="15.75" x14ac:dyDescent="0.25">
      <c r="A1123" s="1519" t="s">
        <v>1536</v>
      </c>
      <c r="B1123" s="1451"/>
      <c r="C1123" s="1434"/>
      <c r="D1123" s="1630"/>
      <c r="E1123" s="1630"/>
      <c r="F1123" s="1630"/>
      <c r="G1123" s="1630"/>
      <c r="H1123" s="1531"/>
      <c r="I1123" s="1531"/>
      <c r="J1123" s="1531"/>
      <c r="K1123" s="1531"/>
      <c r="L1123" s="1531"/>
      <c r="M1123" s="1531"/>
      <c r="N1123" s="1531"/>
      <c r="O1123" s="1531"/>
      <c r="P1123" s="1531"/>
      <c r="Q1123" s="1531"/>
      <c r="R1123" s="1531"/>
      <c r="S1123" s="1531"/>
      <c r="T1123" s="1531"/>
      <c r="U1123" s="1531"/>
      <c r="V1123" s="1531"/>
      <c r="W1123" s="1531"/>
      <c r="X1123" s="1531"/>
      <c r="Y1123" s="1531"/>
      <c r="Z1123" s="1531"/>
      <c r="AA1123" s="1531"/>
      <c r="AB1123" s="1531"/>
      <c r="AC1123" s="1531"/>
      <c r="AD1123" s="1531"/>
      <c r="AE1123" s="1531"/>
      <c r="AF1123" s="1531"/>
      <c r="AG1123" s="1531"/>
      <c r="AH1123" s="1531"/>
      <c r="AI1123" s="1531"/>
      <c r="AJ1123" s="1531"/>
      <c r="AK1123" s="1531"/>
      <c r="AL1123" s="1531"/>
      <c r="AM1123" s="1531"/>
      <c r="AN1123" s="1531"/>
      <c r="AO1123" s="1531"/>
      <c r="AP1123" s="1531"/>
      <c r="AQ1123" s="1531"/>
      <c r="AR1123" s="1531"/>
      <c r="AS1123" s="1531"/>
      <c r="AT1123" s="1136"/>
      <c r="AU1123" s="1136"/>
      <c r="AV1123" s="1136"/>
      <c r="AW1123" s="1136"/>
      <c r="AX1123" s="1136"/>
      <c r="AY1123" s="1136"/>
      <c r="AZ1123" s="1136"/>
      <c r="BA1123" s="1136"/>
      <c r="BB1123" s="1136"/>
      <c r="BC1123" s="1136"/>
      <c r="BD1123" s="1136"/>
      <c r="BE1123" s="1136"/>
      <c r="BF1123" s="1136"/>
      <c r="BG1123" s="1136"/>
      <c r="BH1123" s="1136"/>
      <c r="BI1123" s="1136"/>
      <c r="BJ1123" s="1136"/>
      <c r="BK1123" s="1136"/>
      <c r="BL1123" s="1136"/>
      <c r="BM1123" s="1136"/>
      <c r="BN1123" s="1136"/>
      <c r="BO1123" s="1136"/>
      <c r="BP1123" s="1136"/>
      <c r="BQ1123" s="1136"/>
      <c r="BR1123" s="1136"/>
      <c r="BS1123" s="1136"/>
      <c r="BT1123" s="1136"/>
      <c r="BU1123" s="1136"/>
      <c r="BV1123" s="1136"/>
      <c r="BW1123" s="1136"/>
      <c r="BX1123" s="1136"/>
      <c r="BY1123" s="1136"/>
      <c r="BZ1123" s="1136"/>
      <c r="CA1123" s="1136"/>
      <c r="CB1123" s="1136"/>
      <c r="CC1123" s="1136"/>
      <c r="CD1123" s="1136"/>
      <c r="CE1123" s="1136"/>
      <c r="CF1123" s="1136"/>
      <c r="CG1123" s="1136"/>
      <c r="CH1123" s="1136"/>
      <c r="CI1123" s="1136"/>
      <c r="CJ1123" s="1136"/>
      <c r="CK1123" s="1136"/>
      <c r="CL1123" s="1136"/>
      <c r="CM1123" s="1136"/>
      <c r="CN1123" s="1136"/>
      <c r="CO1123" s="1136"/>
      <c r="CP1123" s="1136"/>
      <c r="CQ1123" s="1136"/>
      <c r="CR1123" s="1136"/>
      <c r="CS1123" s="1136"/>
      <c r="CT1123" s="1136"/>
      <c r="CU1123" s="1136"/>
      <c r="CV1123" s="1136"/>
      <c r="CW1123" s="1136"/>
      <c r="CX1123" s="1136"/>
      <c r="CY1123" s="1136"/>
      <c r="CZ1123" s="1136"/>
      <c r="DA1123" s="1136"/>
      <c r="DB1123" s="1136"/>
      <c r="DC1123" s="1136"/>
      <c r="DD1123" s="1136"/>
      <c r="DE1123" s="1136"/>
      <c r="DF1123" s="1136"/>
      <c r="DG1123" s="1136"/>
      <c r="DH1123" s="1136"/>
      <c r="DI1123" s="1136"/>
    </row>
    <row r="1124" spans="1:113" ht="15.75" x14ac:dyDescent="0.25">
      <c r="A1124" s="1519" t="s">
        <v>5479</v>
      </c>
      <c r="B1124" s="1443" t="e">
        <f>B683</f>
        <v>#VALUE!</v>
      </c>
      <c r="C1124" s="1437"/>
      <c r="D1124" s="1630"/>
      <c r="E1124" s="1630"/>
      <c r="F1124" s="1630"/>
      <c r="G1124" s="1630"/>
      <c r="H1124" s="1531"/>
      <c r="I1124" s="1531"/>
      <c r="J1124" s="1531"/>
      <c r="K1124" s="1531"/>
      <c r="L1124" s="1531"/>
      <c r="M1124" s="1531"/>
      <c r="N1124" s="1531"/>
      <c r="O1124" s="1531"/>
      <c r="P1124" s="1531"/>
      <c r="Q1124" s="1531"/>
      <c r="R1124" s="1531"/>
      <c r="S1124" s="1531"/>
      <c r="T1124" s="1531"/>
      <c r="U1124" s="1531"/>
      <c r="V1124" s="1531"/>
      <c r="W1124" s="1531"/>
      <c r="X1124" s="1531"/>
      <c r="Y1124" s="1531"/>
      <c r="Z1124" s="1531"/>
      <c r="AA1124" s="1531"/>
      <c r="AB1124" s="1531"/>
      <c r="AC1124" s="1531"/>
      <c r="AD1124" s="1531"/>
      <c r="AE1124" s="1531"/>
      <c r="AF1124" s="1531"/>
      <c r="AG1124" s="1531"/>
      <c r="AH1124" s="1531"/>
      <c r="AI1124" s="1531"/>
      <c r="AJ1124" s="1531"/>
      <c r="AK1124" s="1531"/>
      <c r="AL1124" s="1531"/>
      <c r="AM1124" s="1531"/>
      <c r="AN1124" s="1531"/>
      <c r="AO1124" s="1531"/>
      <c r="AP1124" s="1531"/>
      <c r="AQ1124" s="1531"/>
      <c r="AR1124" s="1531"/>
      <c r="AS1124" s="1531"/>
      <c r="AT1124" s="1136"/>
      <c r="AU1124" s="1136"/>
      <c r="AV1124" s="1136"/>
      <c r="AW1124" s="1136"/>
      <c r="AX1124" s="1136"/>
      <c r="AY1124" s="1136"/>
      <c r="AZ1124" s="1136"/>
      <c r="BA1124" s="1136"/>
      <c r="BB1124" s="1136"/>
      <c r="BC1124" s="1136"/>
      <c r="BD1124" s="1136"/>
      <c r="BE1124" s="1136"/>
      <c r="BF1124" s="1136"/>
      <c r="BG1124" s="1136"/>
      <c r="BH1124" s="1136"/>
      <c r="BI1124" s="1136"/>
      <c r="BJ1124" s="1136"/>
      <c r="BK1124" s="1136"/>
      <c r="BL1124" s="1136"/>
      <c r="BM1124" s="1136"/>
      <c r="BN1124" s="1136"/>
      <c r="BO1124" s="1136"/>
      <c r="BP1124" s="1136"/>
      <c r="BQ1124" s="1136"/>
      <c r="BR1124" s="1136"/>
      <c r="BS1124" s="1136"/>
      <c r="BT1124" s="1136"/>
      <c r="BU1124" s="1136"/>
      <c r="BV1124" s="1136"/>
      <c r="BW1124" s="1136"/>
      <c r="BX1124" s="1136"/>
      <c r="BY1124" s="1136"/>
      <c r="BZ1124" s="1136"/>
      <c r="CA1124" s="1136"/>
      <c r="CB1124" s="1136"/>
      <c r="CC1124" s="1136"/>
      <c r="CD1124" s="1136"/>
      <c r="CE1124" s="1136"/>
      <c r="CF1124" s="1136"/>
      <c r="CG1124" s="1136"/>
      <c r="CH1124" s="1136"/>
      <c r="CI1124" s="1136"/>
      <c r="CJ1124" s="1136"/>
      <c r="CK1124" s="1136"/>
      <c r="CL1124" s="1136"/>
      <c r="CM1124" s="1136"/>
      <c r="CN1124" s="1136"/>
      <c r="CO1124" s="1136"/>
      <c r="CP1124" s="1136"/>
      <c r="CQ1124" s="1136"/>
      <c r="CR1124" s="1136"/>
      <c r="CS1124" s="1136"/>
      <c r="CT1124" s="1136"/>
      <c r="CU1124" s="1136"/>
      <c r="CV1124" s="1136"/>
      <c r="CW1124" s="1136"/>
      <c r="CX1124" s="1136"/>
      <c r="CY1124" s="1136"/>
      <c r="CZ1124" s="1136"/>
      <c r="DA1124" s="1136"/>
      <c r="DB1124" s="1136"/>
      <c r="DC1124" s="1136"/>
      <c r="DD1124" s="1136"/>
      <c r="DE1124" s="1136"/>
      <c r="DF1124" s="1136"/>
      <c r="DG1124" s="1136"/>
      <c r="DH1124" s="1136"/>
      <c r="DI1124" s="1136"/>
    </row>
    <row r="1125" spans="1:113" ht="15.75" x14ac:dyDescent="0.25">
      <c r="A1125" s="1519" t="s">
        <v>1537</v>
      </c>
      <c r="B1125" s="1441" t="e">
        <f>B684</f>
        <v>#VALUE!</v>
      </c>
      <c r="C1125" s="1434"/>
      <c r="D1125" s="1630"/>
      <c r="E1125" s="1630"/>
      <c r="F1125" s="1630"/>
      <c r="G1125" s="1630"/>
      <c r="H1125" s="1531"/>
      <c r="I1125" s="1531"/>
      <c r="J1125" s="1531"/>
      <c r="K1125" s="1531"/>
      <c r="L1125" s="1531"/>
      <c r="M1125" s="1531"/>
      <c r="N1125" s="1531"/>
      <c r="O1125" s="1531"/>
      <c r="P1125" s="1531"/>
      <c r="Q1125" s="1531"/>
      <c r="R1125" s="1531"/>
      <c r="S1125" s="1531"/>
      <c r="T1125" s="1531"/>
      <c r="U1125" s="1531"/>
      <c r="V1125" s="1531"/>
      <c r="W1125" s="1531"/>
      <c r="X1125" s="1531"/>
      <c r="Y1125" s="1531"/>
      <c r="Z1125" s="1531"/>
      <c r="AA1125" s="1531"/>
      <c r="AB1125" s="1531"/>
      <c r="AC1125" s="1531"/>
      <c r="AD1125" s="1531"/>
      <c r="AE1125" s="1531"/>
      <c r="AF1125" s="1531"/>
      <c r="AG1125" s="1531"/>
      <c r="AH1125" s="1531"/>
      <c r="AI1125" s="1531"/>
      <c r="AJ1125" s="1531"/>
      <c r="AK1125" s="1531"/>
      <c r="AL1125" s="1531"/>
      <c r="AM1125" s="1531"/>
      <c r="AN1125" s="1531"/>
      <c r="AO1125" s="1531"/>
      <c r="AP1125" s="1531"/>
      <c r="AQ1125" s="1531"/>
      <c r="AR1125" s="1531"/>
      <c r="AS1125" s="1531"/>
      <c r="AT1125" s="1136"/>
      <c r="AU1125" s="1136"/>
      <c r="AV1125" s="1136"/>
      <c r="AW1125" s="1136"/>
      <c r="AX1125" s="1136"/>
      <c r="AY1125" s="1136"/>
      <c r="AZ1125" s="1136"/>
      <c r="BA1125" s="1136"/>
      <c r="BB1125" s="1136"/>
      <c r="BC1125" s="1136"/>
      <c r="BD1125" s="1136"/>
      <c r="BE1125" s="1136"/>
      <c r="BF1125" s="1136"/>
      <c r="BG1125" s="1136"/>
      <c r="BH1125" s="1136"/>
      <c r="BI1125" s="1136"/>
      <c r="BJ1125" s="1136"/>
      <c r="BK1125" s="1136"/>
      <c r="BL1125" s="1136"/>
      <c r="BM1125" s="1136"/>
      <c r="BN1125" s="1136"/>
      <c r="BO1125" s="1136"/>
      <c r="BP1125" s="1136"/>
      <c r="BQ1125" s="1136"/>
      <c r="BR1125" s="1136"/>
      <c r="BS1125" s="1136"/>
      <c r="BT1125" s="1136"/>
      <c r="BU1125" s="1136"/>
      <c r="BV1125" s="1136"/>
      <c r="BW1125" s="1136"/>
      <c r="BX1125" s="1136"/>
      <c r="BY1125" s="1136"/>
      <c r="BZ1125" s="1136"/>
      <c r="CA1125" s="1136"/>
      <c r="CB1125" s="1136"/>
      <c r="CC1125" s="1136"/>
      <c r="CD1125" s="1136"/>
      <c r="CE1125" s="1136"/>
      <c r="CF1125" s="1136"/>
      <c r="CG1125" s="1136"/>
      <c r="CH1125" s="1136"/>
      <c r="CI1125" s="1136"/>
      <c r="CJ1125" s="1136"/>
      <c r="CK1125" s="1136"/>
      <c r="CL1125" s="1136"/>
      <c r="CM1125" s="1136"/>
      <c r="CN1125" s="1136"/>
      <c r="CO1125" s="1136"/>
      <c r="CP1125" s="1136"/>
      <c r="CQ1125" s="1136"/>
      <c r="CR1125" s="1136"/>
      <c r="CS1125" s="1136"/>
      <c r="CT1125" s="1136"/>
      <c r="CU1125" s="1136"/>
      <c r="CV1125" s="1136"/>
      <c r="CW1125" s="1136"/>
      <c r="CX1125" s="1136"/>
      <c r="CY1125" s="1136"/>
      <c r="CZ1125" s="1136"/>
      <c r="DA1125" s="1136"/>
      <c r="DB1125" s="1136"/>
      <c r="DC1125" s="1136"/>
      <c r="DD1125" s="1136"/>
      <c r="DE1125" s="1136"/>
      <c r="DF1125" s="1136"/>
      <c r="DG1125" s="1136"/>
      <c r="DH1125" s="1136"/>
      <c r="DI1125" s="1136"/>
    </row>
    <row r="1126" spans="1:113" ht="15.75" x14ac:dyDescent="0.25">
      <c r="A1126" s="1519" t="s">
        <v>1538</v>
      </c>
      <c r="B1126" s="1439">
        <f>B685</f>
        <v>224</v>
      </c>
      <c r="C1126" s="1432"/>
      <c r="D1126" s="1630"/>
      <c r="E1126" s="1630"/>
      <c r="F1126" s="1630"/>
      <c r="G1126" s="1630"/>
      <c r="H1126" s="1531"/>
      <c r="I1126" s="1531"/>
      <c r="J1126" s="1531"/>
      <c r="K1126" s="1531"/>
      <c r="L1126" s="1531"/>
      <c r="M1126" s="1531"/>
      <c r="N1126" s="1531"/>
      <c r="O1126" s="1531"/>
      <c r="P1126" s="1531"/>
      <c r="Q1126" s="1531"/>
      <c r="R1126" s="1531"/>
      <c r="S1126" s="1531"/>
      <c r="T1126" s="1531"/>
      <c r="U1126" s="1531"/>
      <c r="V1126" s="1531"/>
      <c r="W1126" s="1531"/>
      <c r="X1126" s="1531"/>
      <c r="Y1126" s="1531"/>
      <c r="Z1126" s="1531"/>
      <c r="AA1126" s="1531"/>
      <c r="AB1126" s="1531"/>
      <c r="AC1126" s="1531"/>
      <c r="AD1126" s="1531"/>
      <c r="AE1126" s="1531"/>
      <c r="AF1126" s="1531"/>
      <c r="AG1126" s="1531"/>
      <c r="AH1126" s="1531"/>
      <c r="AI1126" s="1531"/>
      <c r="AJ1126" s="1531"/>
      <c r="AK1126" s="1531"/>
      <c r="AL1126" s="1531"/>
      <c r="AM1126" s="1531"/>
      <c r="AN1126" s="1531"/>
      <c r="AO1126" s="1531"/>
      <c r="AP1126" s="1531"/>
      <c r="AQ1126" s="1531"/>
      <c r="AR1126" s="1531"/>
      <c r="AS1126" s="1531"/>
      <c r="AT1126" s="1136"/>
      <c r="AU1126" s="1136"/>
      <c r="AV1126" s="1136"/>
      <c r="AW1126" s="1136"/>
      <c r="AX1126" s="1136"/>
      <c r="AY1126" s="1136"/>
      <c r="AZ1126" s="1136"/>
      <c r="BA1126" s="1136"/>
      <c r="BB1126" s="1136"/>
      <c r="BC1126" s="1136"/>
      <c r="BD1126" s="1136"/>
      <c r="BE1126" s="1136"/>
      <c r="BF1126" s="1136"/>
      <c r="BG1126" s="1136"/>
      <c r="BH1126" s="1136"/>
      <c r="BI1126" s="1136"/>
      <c r="BJ1126" s="1136"/>
      <c r="BK1126" s="1136"/>
      <c r="BL1126" s="1136"/>
      <c r="BM1126" s="1136"/>
      <c r="BN1126" s="1136"/>
      <c r="BO1126" s="1136"/>
      <c r="BP1126" s="1136"/>
      <c r="BQ1126" s="1136"/>
      <c r="BR1126" s="1136"/>
      <c r="BS1126" s="1136"/>
      <c r="BT1126" s="1136"/>
      <c r="BU1126" s="1136"/>
      <c r="BV1126" s="1136"/>
      <c r="BW1126" s="1136"/>
      <c r="BX1126" s="1136"/>
      <c r="BY1126" s="1136"/>
      <c r="BZ1126" s="1136"/>
      <c r="CA1126" s="1136"/>
      <c r="CB1126" s="1136"/>
      <c r="CC1126" s="1136"/>
      <c r="CD1126" s="1136"/>
      <c r="CE1126" s="1136"/>
      <c r="CF1126" s="1136"/>
      <c r="CG1126" s="1136"/>
      <c r="CH1126" s="1136"/>
      <c r="CI1126" s="1136"/>
      <c r="CJ1126" s="1136"/>
      <c r="CK1126" s="1136"/>
      <c r="CL1126" s="1136"/>
      <c r="CM1126" s="1136"/>
      <c r="CN1126" s="1136"/>
      <c r="CO1126" s="1136"/>
      <c r="CP1126" s="1136"/>
      <c r="CQ1126" s="1136"/>
      <c r="CR1126" s="1136"/>
      <c r="CS1126" s="1136"/>
      <c r="CT1126" s="1136"/>
      <c r="CU1126" s="1136"/>
      <c r="CV1126" s="1136"/>
      <c r="CW1126" s="1136"/>
      <c r="CX1126" s="1136"/>
      <c r="CY1126" s="1136"/>
      <c r="CZ1126" s="1136"/>
      <c r="DA1126" s="1136"/>
      <c r="DB1126" s="1136"/>
      <c r="DC1126" s="1136"/>
      <c r="DD1126" s="1136"/>
      <c r="DE1126" s="1136"/>
      <c r="DF1126" s="1136"/>
      <c r="DG1126" s="1136"/>
      <c r="DH1126" s="1136"/>
      <c r="DI1126" s="1136"/>
    </row>
    <row r="1127" spans="1:113" ht="31.5" x14ac:dyDescent="0.25">
      <c r="A1127" s="1542" t="s">
        <v>3055</v>
      </c>
      <c r="B1127" s="1443"/>
      <c r="C1127" s="1437"/>
      <c r="D1127" s="1521"/>
      <c r="E1127" s="1521"/>
      <c r="F1127" s="1521"/>
      <c r="G1127" s="1521"/>
      <c r="H1127" s="1531"/>
      <c r="I1127" s="1531"/>
      <c r="J1127" s="1531"/>
      <c r="K1127" s="1531"/>
      <c r="L1127" s="1531"/>
      <c r="M1127" s="1531"/>
      <c r="N1127" s="1531"/>
      <c r="O1127" s="1531"/>
      <c r="P1127" s="1531"/>
      <c r="Q1127" s="1531"/>
      <c r="R1127" s="1531"/>
      <c r="S1127" s="1531"/>
      <c r="T1127" s="1531"/>
      <c r="U1127" s="1531"/>
      <c r="V1127" s="1531"/>
      <c r="W1127" s="1531"/>
      <c r="X1127" s="1531"/>
      <c r="Y1127" s="1531"/>
      <c r="Z1127" s="1531"/>
      <c r="AA1127" s="1531"/>
      <c r="AB1127" s="1531"/>
      <c r="AC1127" s="1531"/>
      <c r="AD1127" s="1531"/>
      <c r="AE1127" s="1531"/>
      <c r="AF1127" s="1531"/>
      <c r="AG1127" s="1531"/>
      <c r="AH1127" s="1531"/>
      <c r="AI1127" s="1531"/>
      <c r="AJ1127" s="1531"/>
      <c r="AK1127" s="1531"/>
      <c r="AL1127" s="1531"/>
      <c r="AM1127" s="1531"/>
      <c r="AN1127" s="1531"/>
      <c r="AO1127" s="1531"/>
      <c r="AP1127" s="1531"/>
      <c r="AQ1127" s="1531"/>
      <c r="AR1127" s="1531"/>
      <c r="AS1127" s="1531"/>
      <c r="AT1127" s="1136"/>
      <c r="AU1127" s="1136"/>
      <c r="AV1127" s="1136"/>
      <c r="AW1127" s="1136"/>
      <c r="AX1127" s="1136"/>
      <c r="AY1127" s="1136"/>
      <c r="AZ1127" s="1136"/>
      <c r="BA1127" s="1136"/>
      <c r="BB1127" s="1136"/>
      <c r="BC1127" s="1136"/>
      <c r="BD1127" s="1136"/>
      <c r="BE1127" s="1136"/>
      <c r="BF1127" s="1136"/>
      <c r="BG1127" s="1136"/>
      <c r="BH1127" s="1136"/>
      <c r="BI1127" s="1136"/>
      <c r="BJ1127" s="1136"/>
      <c r="BK1127" s="1136"/>
      <c r="BL1127" s="1136"/>
      <c r="BM1127" s="1136"/>
      <c r="BN1127" s="1136"/>
      <c r="BO1127" s="1136"/>
      <c r="BP1127" s="1136"/>
      <c r="BQ1127" s="1136"/>
      <c r="BR1127" s="1136"/>
      <c r="BS1127" s="1136"/>
      <c r="BT1127" s="1136"/>
      <c r="BU1127" s="1136"/>
      <c r="BV1127" s="1136"/>
      <c r="BW1127" s="1136"/>
      <c r="BX1127" s="1136"/>
      <c r="BY1127" s="1136"/>
      <c r="BZ1127" s="1136"/>
      <c r="CA1127" s="1136"/>
      <c r="CB1127" s="1136"/>
      <c r="CC1127" s="1136"/>
      <c r="CD1127" s="1136"/>
      <c r="CE1127" s="1136"/>
      <c r="CF1127" s="1136"/>
      <c r="CG1127" s="1136"/>
      <c r="CH1127" s="1136"/>
      <c r="CI1127" s="1136"/>
      <c r="CJ1127" s="1136"/>
      <c r="CK1127" s="1136"/>
      <c r="CL1127" s="1136"/>
      <c r="CM1127" s="1136"/>
      <c r="CN1127" s="1136"/>
      <c r="CO1127" s="1136"/>
      <c r="CP1127" s="1136"/>
      <c r="CQ1127" s="1136"/>
      <c r="CR1127" s="1136"/>
      <c r="CS1127" s="1136"/>
      <c r="CT1127" s="1136"/>
      <c r="CU1127" s="1136"/>
      <c r="CV1127" s="1136"/>
      <c r="CW1127" s="1136"/>
      <c r="CX1127" s="1136"/>
      <c r="CY1127" s="1136"/>
      <c r="CZ1127" s="1136"/>
      <c r="DA1127" s="1136"/>
      <c r="DB1127" s="1136"/>
      <c r="DC1127" s="1136"/>
      <c r="DD1127" s="1136"/>
      <c r="DE1127" s="1136"/>
      <c r="DF1127" s="1136"/>
      <c r="DG1127" s="1136"/>
      <c r="DH1127" s="1136"/>
      <c r="DI1127" s="1136"/>
    </row>
    <row r="1128" spans="1:113" ht="15.75" x14ac:dyDescent="0.25">
      <c r="A1128" s="1519" t="s">
        <v>3057</v>
      </c>
      <c r="B1128" s="1443">
        <f>B687</f>
        <v>0.8</v>
      </c>
      <c r="C1128" s="1437"/>
      <c r="D1128" s="1514"/>
      <c r="E1128" s="1514"/>
      <c r="F1128" s="1514"/>
      <c r="G1128" s="1514"/>
      <c r="H1128" s="1531"/>
      <c r="I1128" s="1531"/>
      <c r="J1128" s="1531"/>
      <c r="K1128" s="1531"/>
      <c r="L1128" s="1531"/>
      <c r="M1128" s="1531"/>
      <c r="N1128" s="1531"/>
      <c r="O1128" s="1531"/>
      <c r="P1128" s="1531"/>
      <c r="Q1128" s="1531"/>
      <c r="R1128" s="1531"/>
      <c r="S1128" s="1531"/>
      <c r="T1128" s="1531"/>
      <c r="U1128" s="1531"/>
      <c r="V1128" s="1531"/>
      <c r="W1128" s="1531"/>
      <c r="X1128" s="1531"/>
      <c r="Y1128" s="1531"/>
      <c r="Z1128" s="1531"/>
      <c r="AA1128" s="1531"/>
      <c r="AB1128" s="1531"/>
      <c r="AC1128" s="1531"/>
      <c r="AD1128" s="1531"/>
      <c r="AE1128" s="1531"/>
      <c r="AF1128" s="1531"/>
      <c r="AG1128" s="1531"/>
      <c r="AH1128" s="1531"/>
      <c r="AI1128" s="1531"/>
      <c r="AJ1128" s="1531"/>
      <c r="AK1128" s="1531"/>
      <c r="AL1128" s="1531"/>
      <c r="AM1128" s="1531"/>
      <c r="AN1128" s="1531"/>
      <c r="AO1128" s="1531"/>
      <c r="AP1128" s="1531"/>
      <c r="AQ1128" s="1531"/>
      <c r="AR1128" s="1531"/>
      <c r="AS1128" s="1531"/>
      <c r="AT1128" s="1136"/>
      <c r="AU1128" s="1136"/>
      <c r="AV1128" s="1136"/>
      <c r="AW1128" s="1136"/>
      <c r="AX1128" s="1136"/>
      <c r="AY1128" s="1136"/>
      <c r="AZ1128" s="1136"/>
      <c r="BA1128" s="1136"/>
      <c r="BB1128" s="1136"/>
      <c r="BC1128" s="1136"/>
      <c r="BD1128" s="1136"/>
      <c r="BE1128" s="1136"/>
      <c r="BF1128" s="1136"/>
      <c r="BG1128" s="1136"/>
      <c r="BH1128" s="1136"/>
      <c r="BI1128" s="1136"/>
      <c r="BJ1128" s="1136"/>
      <c r="BK1128" s="1136"/>
      <c r="BL1128" s="1136"/>
      <c r="BM1128" s="1136"/>
      <c r="BN1128" s="1136"/>
      <c r="BO1128" s="1136"/>
      <c r="BP1128" s="1136"/>
      <c r="BQ1128" s="1136"/>
      <c r="BR1128" s="1136"/>
      <c r="BS1128" s="1136"/>
      <c r="BT1128" s="1136"/>
      <c r="BU1128" s="1136"/>
      <c r="BV1128" s="1136"/>
      <c r="BW1128" s="1136"/>
      <c r="BX1128" s="1136"/>
      <c r="BY1128" s="1136"/>
      <c r="BZ1128" s="1136"/>
      <c r="CA1128" s="1136"/>
      <c r="CB1128" s="1136"/>
      <c r="CC1128" s="1136"/>
      <c r="CD1128" s="1136"/>
      <c r="CE1128" s="1136"/>
      <c r="CF1128" s="1136"/>
      <c r="CG1128" s="1136"/>
      <c r="CH1128" s="1136"/>
      <c r="CI1128" s="1136"/>
      <c r="CJ1128" s="1136"/>
      <c r="CK1128" s="1136"/>
      <c r="CL1128" s="1136"/>
      <c r="CM1128" s="1136"/>
      <c r="CN1128" s="1136"/>
      <c r="CO1128" s="1136"/>
      <c r="CP1128" s="1136"/>
      <c r="CQ1128" s="1136"/>
      <c r="CR1128" s="1136"/>
      <c r="CS1128" s="1136"/>
      <c r="CT1128" s="1136"/>
      <c r="CU1128" s="1136"/>
      <c r="CV1128" s="1136"/>
      <c r="CW1128" s="1136"/>
      <c r="CX1128" s="1136"/>
      <c r="CY1128" s="1136"/>
      <c r="CZ1128" s="1136"/>
      <c r="DA1128" s="1136"/>
      <c r="DB1128" s="1136"/>
      <c r="DC1128" s="1136"/>
      <c r="DD1128" s="1136"/>
      <c r="DE1128" s="1136"/>
      <c r="DF1128" s="1136"/>
      <c r="DG1128" s="1136"/>
      <c r="DH1128" s="1136"/>
      <c r="DI1128" s="1136"/>
    </row>
    <row r="1129" spans="1:113" ht="31.5" x14ac:dyDescent="0.25">
      <c r="A1129" s="1530" t="s">
        <v>1539</v>
      </c>
      <c r="B1129" s="1443" t="e">
        <f>B688</f>
        <v>#VALUE!</v>
      </c>
      <c r="C1129" s="1437"/>
      <c r="D1129" s="1429"/>
      <c r="E1129" s="1429"/>
      <c r="F1129" s="1429"/>
      <c r="G1129" s="1429"/>
      <c r="H1129" s="1531"/>
      <c r="I1129" s="1531"/>
      <c r="J1129" s="1531"/>
      <c r="K1129" s="1531"/>
      <c r="L1129" s="1531"/>
      <c r="M1129" s="1531"/>
      <c r="N1129" s="1531"/>
      <c r="O1129" s="1531"/>
      <c r="P1129" s="1531"/>
      <c r="Q1129" s="1531"/>
      <c r="R1129" s="1531"/>
      <c r="S1129" s="1531"/>
      <c r="T1129" s="1531"/>
      <c r="U1129" s="1531"/>
      <c r="V1129" s="1531"/>
      <c r="W1129" s="1531"/>
      <c r="X1129" s="1531"/>
      <c r="Y1129" s="1531"/>
      <c r="Z1129" s="1531"/>
      <c r="AA1129" s="1531"/>
      <c r="AB1129" s="1531"/>
      <c r="AC1129" s="1531"/>
      <c r="AD1129" s="1531"/>
      <c r="AE1129" s="1531"/>
      <c r="AF1129" s="1531"/>
      <c r="AG1129" s="1531"/>
      <c r="AH1129" s="1531"/>
      <c r="AI1129" s="1531"/>
      <c r="AJ1129" s="1531"/>
      <c r="AK1129" s="1531"/>
      <c r="AL1129" s="1531"/>
      <c r="AM1129" s="1531"/>
      <c r="AN1129" s="1531"/>
      <c r="AO1129" s="1531"/>
      <c r="AP1129" s="1531"/>
      <c r="AQ1129" s="1531"/>
      <c r="AR1129" s="1531"/>
      <c r="AS1129" s="1531"/>
      <c r="AT1129" s="1136"/>
      <c r="AU1129" s="1136"/>
      <c r="AV1129" s="1136"/>
      <c r="AW1129" s="1136"/>
      <c r="AX1129" s="1136"/>
      <c r="AY1129" s="1136"/>
      <c r="AZ1129" s="1136"/>
      <c r="BA1129" s="1136"/>
      <c r="BB1129" s="1136"/>
      <c r="BC1129" s="1136"/>
      <c r="BD1129" s="1136"/>
      <c r="BE1129" s="1136"/>
      <c r="BF1129" s="1136"/>
      <c r="BG1129" s="1136"/>
      <c r="BH1129" s="1136"/>
      <c r="BI1129" s="1136"/>
      <c r="BJ1129" s="1136"/>
      <c r="BK1129" s="1136"/>
      <c r="BL1129" s="1136"/>
      <c r="BM1129" s="1136"/>
      <c r="BN1129" s="1136"/>
      <c r="BO1129" s="1136"/>
      <c r="BP1129" s="1136"/>
      <c r="BQ1129" s="1136"/>
      <c r="BR1129" s="1136"/>
      <c r="BS1129" s="1136"/>
      <c r="BT1129" s="1136"/>
      <c r="BU1129" s="1136"/>
      <c r="BV1129" s="1136"/>
      <c r="BW1129" s="1136"/>
      <c r="BX1129" s="1136"/>
      <c r="BY1129" s="1136"/>
      <c r="BZ1129" s="1136"/>
      <c r="CA1129" s="1136"/>
      <c r="CB1129" s="1136"/>
      <c r="CC1129" s="1136"/>
      <c r="CD1129" s="1136"/>
      <c r="CE1129" s="1136"/>
      <c r="CF1129" s="1136"/>
      <c r="CG1129" s="1136"/>
      <c r="CH1129" s="1136"/>
      <c r="CI1129" s="1136"/>
      <c r="CJ1129" s="1136"/>
      <c r="CK1129" s="1136"/>
      <c r="CL1129" s="1136"/>
      <c r="CM1129" s="1136"/>
      <c r="CN1129" s="1136"/>
      <c r="CO1129" s="1136"/>
      <c r="CP1129" s="1136"/>
      <c r="CQ1129" s="1136"/>
      <c r="CR1129" s="1136"/>
      <c r="CS1129" s="1136"/>
      <c r="CT1129" s="1136"/>
      <c r="CU1129" s="1136"/>
      <c r="CV1129" s="1136"/>
      <c r="CW1129" s="1136"/>
      <c r="CX1129" s="1136"/>
      <c r="CY1129" s="1136"/>
      <c r="CZ1129" s="1136"/>
      <c r="DA1129" s="1136"/>
      <c r="DB1129" s="1136"/>
      <c r="DC1129" s="1136"/>
      <c r="DD1129" s="1136"/>
      <c r="DE1129" s="1136"/>
      <c r="DF1129" s="1136"/>
      <c r="DG1129" s="1136"/>
      <c r="DH1129" s="1136"/>
      <c r="DI1129" s="1136"/>
    </row>
    <row r="1130" spans="1:113" ht="15.75" x14ac:dyDescent="0.25">
      <c r="A1130" s="1519" t="s">
        <v>3059</v>
      </c>
      <c r="B1130" s="1439" t="e">
        <f>B687*B688*B341</f>
        <v>#VALUE!</v>
      </c>
      <c r="C1130" s="1432"/>
      <c r="D1130" s="1434"/>
      <c r="E1130" s="1434"/>
      <c r="F1130" s="1434"/>
      <c r="G1130" s="1434"/>
      <c r="H1130" s="1531"/>
      <c r="I1130" s="1531"/>
      <c r="J1130" s="1531"/>
      <c r="K1130" s="1531"/>
      <c r="L1130" s="1531"/>
      <c r="M1130" s="1531"/>
      <c r="N1130" s="1531"/>
      <c r="O1130" s="1531"/>
      <c r="P1130" s="1531"/>
      <c r="Q1130" s="1531"/>
      <c r="R1130" s="1531"/>
      <c r="S1130" s="1531"/>
      <c r="T1130" s="1531"/>
      <c r="U1130" s="1531"/>
      <c r="V1130" s="1531"/>
      <c r="W1130" s="1531"/>
      <c r="X1130" s="1531"/>
      <c r="Y1130" s="1531"/>
      <c r="Z1130" s="1531"/>
      <c r="AA1130" s="1531"/>
      <c r="AB1130" s="1531"/>
      <c r="AC1130" s="1531"/>
      <c r="AD1130" s="1531"/>
      <c r="AE1130" s="1531"/>
      <c r="AF1130" s="1531"/>
      <c r="AG1130" s="1531"/>
      <c r="AH1130" s="1531"/>
      <c r="AI1130" s="1531"/>
      <c r="AJ1130" s="1531"/>
      <c r="AK1130" s="1531"/>
      <c r="AL1130" s="1531"/>
      <c r="AM1130" s="1531"/>
      <c r="AN1130" s="1531"/>
      <c r="AO1130" s="1531"/>
      <c r="AP1130" s="1531"/>
      <c r="AQ1130" s="1531"/>
      <c r="AR1130" s="1531"/>
      <c r="AS1130" s="1531"/>
      <c r="AT1130" s="1136"/>
      <c r="AU1130" s="1136"/>
      <c r="AV1130" s="1136"/>
      <c r="AW1130" s="1136"/>
      <c r="AX1130" s="1136"/>
      <c r="AY1130" s="1136"/>
      <c r="AZ1130" s="1136"/>
      <c r="BA1130" s="1136"/>
      <c r="BB1130" s="1136"/>
      <c r="BC1130" s="1136"/>
      <c r="BD1130" s="1136"/>
      <c r="BE1130" s="1136"/>
      <c r="BF1130" s="1136"/>
      <c r="BG1130" s="1136"/>
      <c r="BH1130" s="1136"/>
      <c r="BI1130" s="1136"/>
      <c r="BJ1130" s="1136"/>
      <c r="BK1130" s="1136"/>
      <c r="BL1130" s="1136"/>
      <c r="BM1130" s="1136"/>
      <c r="BN1130" s="1136"/>
      <c r="BO1130" s="1136"/>
      <c r="BP1130" s="1136"/>
      <c r="BQ1130" s="1136"/>
      <c r="BR1130" s="1136"/>
      <c r="BS1130" s="1136"/>
      <c r="BT1130" s="1136"/>
      <c r="BU1130" s="1136"/>
      <c r="BV1130" s="1136"/>
      <c r="BW1130" s="1136"/>
      <c r="BX1130" s="1136"/>
      <c r="BY1130" s="1136"/>
      <c r="BZ1130" s="1136"/>
      <c r="CA1130" s="1136"/>
      <c r="CB1130" s="1136"/>
      <c r="CC1130" s="1136"/>
      <c r="CD1130" s="1136"/>
      <c r="CE1130" s="1136"/>
      <c r="CF1130" s="1136"/>
      <c r="CG1130" s="1136"/>
      <c r="CH1130" s="1136"/>
      <c r="CI1130" s="1136"/>
      <c r="CJ1130" s="1136"/>
      <c r="CK1130" s="1136"/>
      <c r="CL1130" s="1136"/>
      <c r="CM1130" s="1136"/>
      <c r="CN1130" s="1136"/>
      <c r="CO1130" s="1136"/>
      <c r="CP1130" s="1136"/>
      <c r="CQ1130" s="1136"/>
      <c r="CR1130" s="1136"/>
      <c r="CS1130" s="1136"/>
      <c r="CT1130" s="1136"/>
      <c r="CU1130" s="1136"/>
      <c r="CV1130" s="1136"/>
      <c r="CW1130" s="1136"/>
      <c r="CX1130" s="1136"/>
      <c r="CY1130" s="1136"/>
      <c r="CZ1130" s="1136"/>
      <c r="DA1130" s="1136"/>
      <c r="DB1130" s="1136"/>
      <c r="DC1130" s="1136"/>
      <c r="DD1130" s="1136"/>
      <c r="DE1130" s="1136"/>
      <c r="DF1130" s="1136"/>
      <c r="DG1130" s="1136"/>
      <c r="DH1130" s="1136"/>
      <c r="DI1130" s="1136"/>
    </row>
    <row r="1131" spans="1:113" ht="15.75" x14ac:dyDescent="0.25">
      <c r="A1131" s="1519" t="s">
        <v>3412</v>
      </c>
      <c r="B1131" s="1443" t="e">
        <f>B1126*B1130</f>
        <v>#VALUE!</v>
      </c>
      <c r="C1131" s="1437"/>
      <c r="D1131" s="1437"/>
      <c r="E1131" s="1437"/>
      <c r="F1131" s="1437"/>
      <c r="G1131" s="1437"/>
      <c r="H1131" s="1531"/>
      <c r="I1131" s="1531"/>
      <c r="J1131" s="1531"/>
      <c r="K1131" s="1531"/>
      <c r="L1131" s="1531"/>
      <c r="M1131" s="1531"/>
      <c r="N1131" s="1531"/>
      <c r="O1131" s="1531"/>
      <c r="P1131" s="1531"/>
      <c r="Q1131" s="1531"/>
      <c r="R1131" s="1531"/>
      <c r="S1131" s="1531"/>
      <c r="T1131" s="1531"/>
      <c r="U1131" s="1531"/>
      <c r="V1131" s="1531"/>
      <c r="W1131" s="1531"/>
      <c r="X1131" s="1531"/>
      <c r="Y1131" s="1531"/>
      <c r="Z1131" s="1531"/>
      <c r="AA1131" s="1531"/>
      <c r="AB1131" s="1531"/>
      <c r="AC1131" s="1531"/>
      <c r="AD1131" s="1531"/>
      <c r="AE1131" s="1531"/>
      <c r="AF1131" s="1531"/>
      <c r="AG1131" s="1531"/>
      <c r="AH1131" s="1531"/>
      <c r="AI1131" s="1531"/>
      <c r="AJ1131" s="1531"/>
      <c r="AK1131" s="1531"/>
      <c r="AL1131" s="1531"/>
      <c r="AM1131" s="1531"/>
      <c r="AN1131" s="1531"/>
      <c r="AO1131" s="1531"/>
      <c r="AP1131" s="1531"/>
      <c r="AQ1131" s="1531"/>
      <c r="AR1131" s="1531"/>
      <c r="AS1131" s="1531"/>
      <c r="AT1131" s="1136"/>
      <c r="AU1131" s="1136"/>
      <c r="AV1131" s="1136"/>
      <c r="AW1131" s="1136"/>
      <c r="AX1131" s="1136"/>
      <c r="AY1131" s="1136"/>
      <c r="AZ1131" s="1136"/>
      <c r="BA1131" s="1136"/>
      <c r="BB1131" s="1136"/>
      <c r="BC1131" s="1136"/>
      <c r="BD1131" s="1136"/>
      <c r="BE1131" s="1136"/>
      <c r="BF1131" s="1136"/>
      <c r="BG1131" s="1136"/>
      <c r="BH1131" s="1136"/>
      <c r="BI1131" s="1136"/>
      <c r="BJ1131" s="1136"/>
      <c r="BK1131" s="1136"/>
      <c r="BL1131" s="1136"/>
      <c r="BM1131" s="1136"/>
      <c r="BN1131" s="1136"/>
      <c r="BO1131" s="1136"/>
      <c r="BP1131" s="1136"/>
      <c r="BQ1131" s="1136"/>
      <c r="BR1131" s="1136"/>
      <c r="BS1131" s="1136"/>
      <c r="BT1131" s="1136"/>
      <c r="BU1131" s="1136"/>
      <c r="BV1131" s="1136"/>
      <c r="BW1131" s="1136"/>
      <c r="BX1131" s="1136"/>
      <c r="BY1131" s="1136"/>
      <c r="BZ1131" s="1136"/>
      <c r="CA1131" s="1136"/>
      <c r="CB1131" s="1136"/>
      <c r="CC1131" s="1136"/>
      <c r="CD1131" s="1136"/>
      <c r="CE1131" s="1136"/>
      <c r="CF1131" s="1136"/>
      <c r="CG1131" s="1136"/>
      <c r="CH1131" s="1136"/>
      <c r="CI1131" s="1136"/>
      <c r="CJ1131" s="1136"/>
      <c r="CK1131" s="1136"/>
      <c r="CL1131" s="1136"/>
      <c r="CM1131" s="1136"/>
      <c r="CN1131" s="1136"/>
      <c r="CO1131" s="1136"/>
      <c r="CP1131" s="1136"/>
      <c r="CQ1131" s="1136"/>
      <c r="CR1131" s="1136"/>
      <c r="CS1131" s="1136"/>
      <c r="CT1131" s="1136"/>
      <c r="CU1131" s="1136"/>
      <c r="CV1131" s="1136"/>
      <c r="CW1131" s="1136"/>
      <c r="CX1131" s="1136"/>
      <c r="CY1131" s="1136"/>
      <c r="CZ1131" s="1136"/>
      <c r="DA1131" s="1136"/>
      <c r="DB1131" s="1136"/>
      <c r="DC1131" s="1136"/>
      <c r="DD1131" s="1136"/>
      <c r="DE1131" s="1136"/>
      <c r="DF1131" s="1136"/>
      <c r="DG1131" s="1136"/>
      <c r="DH1131" s="1136"/>
      <c r="DI1131" s="1136"/>
    </row>
    <row r="1132" spans="1:113" ht="32.25" thickBot="1" x14ac:dyDescent="0.3">
      <c r="A1132" s="1543" t="s">
        <v>1540</v>
      </c>
      <c r="B1132" s="1631" t="e">
        <f>B1122/B1131</f>
        <v>#REF!</v>
      </c>
      <c r="C1132" s="1632"/>
      <c r="D1132" s="1434"/>
      <c r="E1132" s="1434"/>
      <c r="F1132" s="1434"/>
      <c r="G1132" s="1434"/>
      <c r="H1132" s="1531"/>
      <c r="I1132" s="1531"/>
      <c r="J1132" s="1531"/>
      <c r="K1132" s="1531"/>
      <c r="L1132" s="1531"/>
      <c r="M1132" s="1531"/>
      <c r="N1132" s="1531"/>
      <c r="O1132" s="1531"/>
      <c r="P1132" s="1531"/>
      <c r="Q1132" s="1531"/>
      <c r="R1132" s="1531"/>
      <c r="S1132" s="1531"/>
      <c r="T1132" s="1531"/>
      <c r="U1132" s="1531"/>
      <c r="V1132" s="1531"/>
      <c r="W1132" s="1531"/>
      <c r="X1132" s="1531"/>
      <c r="Y1132" s="1531"/>
      <c r="Z1132" s="1531"/>
      <c r="AA1132" s="1531"/>
      <c r="AB1132" s="1531"/>
      <c r="AC1132" s="1531"/>
      <c r="AD1132" s="1531"/>
      <c r="AE1132" s="1531"/>
      <c r="AF1132" s="1531"/>
      <c r="AG1132" s="1531"/>
      <c r="AH1132" s="1531"/>
      <c r="AI1132" s="1531"/>
      <c r="AJ1132" s="1531"/>
      <c r="AK1132" s="1531"/>
      <c r="AL1132" s="1531"/>
      <c r="AM1132" s="1531"/>
      <c r="AN1132" s="1531"/>
      <c r="AO1132" s="1531"/>
      <c r="AP1132" s="1531"/>
      <c r="AQ1132" s="1531"/>
      <c r="AR1132" s="1531"/>
      <c r="AS1132" s="1531"/>
      <c r="AT1132" s="1136"/>
      <c r="AU1132" s="1136"/>
      <c r="AV1132" s="1136"/>
      <c r="AW1132" s="1136"/>
      <c r="AX1132" s="1136"/>
      <c r="AY1132" s="1136"/>
      <c r="AZ1132" s="1136"/>
      <c r="BA1132" s="1136"/>
      <c r="BB1132" s="1136"/>
      <c r="BC1132" s="1136"/>
      <c r="BD1132" s="1136"/>
      <c r="BE1132" s="1136"/>
      <c r="BF1132" s="1136"/>
      <c r="BG1132" s="1136"/>
      <c r="BH1132" s="1136"/>
      <c r="BI1132" s="1136"/>
      <c r="BJ1132" s="1136"/>
      <c r="BK1132" s="1136"/>
      <c r="BL1132" s="1136"/>
      <c r="BM1132" s="1136"/>
      <c r="BN1132" s="1136"/>
      <c r="BO1132" s="1136"/>
      <c r="BP1132" s="1136"/>
      <c r="BQ1132" s="1136"/>
      <c r="BR1132" s="1136"/>
      <c r="BS1132" s="1136"/>
      <c r="BT1132" s="1136"/>
      <c r="BU1132" s="1136"/>
      <c r="BV1132" s="1136"/>
      <c r="BW1132" s="1136"/>
      <c r="BX1132" s="1136"/>
      <c r="BY1132" s="1136"/>
      <c r="BZ1132" s="1136"/>
      <c r="CA1132" s="1136"/>
      <c r="CB1132" s="1136"/>
      <c r="CC1132" s="1136"/>
      <c r="CD1132" s="1136"/>
      <c r="CE1132" s="1136"/>
      <c r="CF1132" s="1136"/>
      <c r="CG1132" s="1136"/>
      <c r="CH1132" s="1136"/>
      <c r="CI1132" s="1136"/>
      <c r="CJ1132" s="1136"/>
      <c r="CK1132" s="1136"/>
      <c r="CL1132" s="1136"/>
      <c r="CM1132" s="1136"/>
      <c r="CN1132" s="1136"/>
      <c r="CO1132" s="1136"/>
      <c r="CP1132" s="1136"/>
      <c r="CQ1132" s="1136"/>
      <c r="CR1132" s="1136"/>
      <c r="CS1132" s="1136"/>
      <c r="CT1132" s="1136"/>
      <c r="CU1132" s="1136"/>
      <c r="CV1132" s="1136"/>
      <c r="CW1132" s="1136"/>
      <c r="CX1132" s="1136"/>
      <c r="CY1132" s="1136"/>
      <c r="CZ1132" s="1136"/>
      <c r="DA1132" s="1136"/>
      <c r="DB1132" s="1136"/>
      <c r="DC1132" s="1136"/>
      <c r="DD1132" s="1136"/>
      <c r="DE1132" s="1136"/>
      <c r="DF1132" s="1136"/>
      <c r="DG1132" s="1136"/>
      <c r="DH1132" s="1136"/>
      <c r="DI1132" s="1136"/>
    </row>
    <row r="1133" spans="1:113" ht="16.5" thickBot="1" x14ac:dyDescent="0.3">
      <c r="A1133" s="1544" t="s">
        <v>1541</v>
      </c>
      <c r="B1133" s="1545"/>
      <c r="C1133" s="1546"/>
      <c r="D1133" s="1432"/>
      <c r="E1133" s="1432"/>
      <c r="F1133" s="1432"/>
      <c r="G1133" s="1432"/>
      <c r="H1133" s="1531"/>
      <c r="I1133" s="1531"/>
      <c r="J1133" s="1531"/>
      <c r="K1133" s="1531"/>
      <c r="L1133" s="1531"/>
      <c r="M1133" s="1531"/>
      <c r="N1133" s="1531"/>
      <c r="O1133" s="1531"/>
      <c r="P1133" s="1531"/>
      <c r="Q1133" s="1531"/>
      <c r="R1133" s="1531"/>
      <c r="S1133" s="1531"/>
      <c r="T1133" s="1531"/>
      <c r="U1133" s="1531"/>
      <c r="V1133" s="1531"/>
      <c r="W1133" s="1531"/>
      <c r="X1133" s="1531"/>
      <c r="Y1133" s="1531"/>
      <c r="Z1133" s="1531"/>
      <c r="AA1133" s="1531"/>
      <c r="AB1133" s="1531"/>
      <c r="AC1133" s="1531"/>
      <c r="AD1133" s="1531"/>
      <c r="AE1133" s="1531"/>
      <c r="AF1133" s="1531"/>
      <c r="AG1133" s="1531"/>
      <c r="AH1133" s="1531"/>
      <c r="AI1133" s="1531"/>
      <c r="AJ1133" s="1531"/>
      <c r="AK1133" s="1531"/>
      <c r="AL1133" s="1531"/>
      <c r="AM1133" s="1531"/>
      <c r="AN1133" s="1531"/>
      <c r="AO1133" s="1531"/>
      <c r="AP1133" s="1531"/>
      <c r="AQ1133" s="1531"/>
      <c r="AR1133" s="1531"/>
      <c r="AS1133" s="1531"/>
      <c r="AT1133" s="1136"/>
      <c r="AU1133" s="1136"/>
      <c r="AV1133" s="1136"/>
      <c r="AW1133" s="1136"/>
      <c r="AX1133" s="1136"/>
      <c r="AY1133" s="1136"/>
      <c r="AZ1133" s="1136"/>
      <c r="BA1133" s="1136"/>
      <c r="BB1133" s="1136"/>
      <c r="BC1133" s="1136"/>
      <c r="BD1133" s="1136"/>
      <c r="BE1133" s="1136"/>
      <c r="BF1133" s="1136"/>
      <c r="BG1133" s="1136"/>
      <c r="BH1133" s="1136"/>
      <c r="BI1133" s="1136"/>
      <c r="BJ1133" s="1136"/>
      <c r="BK1133" s="1136"/>
      <c r="BL1133" s="1136"/>
      <c r="BM1133" s="1136"/>
      <c r="BN1133" s="1136"/>
      <c r="BO1133" s="1136"/>
      <c r="BP1133" s="1136"/>
      <c r="BQ1133" s="1136"/>
      <c r="BR1133" s="1136"/>
      <c r="BS1133" s="1136"/>
      <c r="BT1133" s="1136"/>
      <c r="BU1133" s="1136"/>
      <c r="BV1133" s="1136"/>
      <c r="BW1133" s="1136"/>
      <c r="BX1133" s="1136"/>
      <c r="BY1133" s="1136"/>
      <c r="BZ1133" s="1136"/>
      <c r="CA1133" s="1136"/>
      <c r="CB1133" s="1136"/>
      <c r="CC1133" s="1136"/>
      <c r="CD1133" s="1136"/>
      <c r="CE1133" s="1136"/>
      <c r="CF1133" s="1136"/>
      <c r="CG1133" s="1136"/>
      <c r="CH1133" s="1136"/>
      <c r="CI1133" s="1136"/>
      <c r="CJ1133" s="1136"/>
      <c r="CK1133" s="1136"/>
      <c r="CL1133" s="1136"/>
      <c r="CM1133" s="1136"/>
      <c r="CN1133" s="1136"/>
      <c r="CO1133" s="1136"/>
      <c r="CP1133" s="1136"/>
      <c r="CQ1133" s="1136"/>
      <c r="CR1133" s="1136"/>
      <c r="CS1133" s="1136"/>
      <c r="CT1133" s="1136"/>
      <c r="CU1133" s="1136"/>
      <c r="CV1133" s="1136"/>
      <c r="CW1133" s="1136"/>
      <c r="CX1133" s="1136"/>
      <c r="CY1133" s="1136"/>
      <c r="CZ1133" s="1136"/>
      <c r="DA1133" s="1136"/>
      <c r="DB1133" s="1136"/>
      <c r="DC1133" s="1136"/>
      <c r="DD1133" s="1136"/>
      <c r="DE1133" s="1136"/>
      <c r="DF1133" s="1136"/>
      <c r="DG1133" s="1136"/>
      <c r="DH1133" s="1136"/>
      <c r="DI1133" s="1136"/>
    </row>
    <row r="1134" spans="1:113" ht="15.75" x14ac:dyDescent="0.25">
      <c r="A1134" s="1549" t="s">
        <v>1542</v>
      </c>
      <c r="B1134" s="1451">
        <f>B694</f>
        <v>2</v>
      </c>
      <c r="C1134" s="1434"/>
      <c r="D1134" s="1350"/>
      <c r="E1134" s="1350"/>
      <c r="F1134" s="1350"/>
      <c r="G1134" s="1350"/>
      <c r="H1134" s="1531"/>
      <c r="I1134" s="1531"/>
      <c r="J1134" s="1531"/>
      <c r="K1134" s="1531"/>
      <c r="L1134" s="1531"/>
      <c r="M1134" s="1531"/>
      <c r="N1134" s="1531"/>
      <c r="O1134" s="1531"/>
      <c r="P1134" s="1531"/>
      <c r="Q1134" s="1531"/>
      <c r="R1134" s="1531"/>
      <c r="S1134" s="1531"/>
      <c r="T1134" s="1531"/>
      <c r="U1134" s="1531"/>
      <c r="V1134" s="1531"/>
      <c r="W1134" s="1531"/>
      <c r="X1134" s="1531"/>
      <c r="Y1134" s="1531"/>
      <c r="Z1134" s="1531"/>
      <c r="AA1134" s="1531"/>
      <c r="AB1134" s="1531"/>
      <c r="AC1134" s="1531"/>
      <c r="AD1134" s="1531"/>
      <c r="AE1134" s="1531"/>
      <c r="AF1134" s="1531"/>
      <c r="AG1134" s="1531"/>
      <c r="AH1134" s="1531"/>
      <c r="AI1134" s="1531"/>
      <c r="AJ1134" s="1531"/>
      <c r="AK1134" s="1531"/>
      <c r="AL1134" s="1531"/>
      <c r="AM1134" s="1531"/>
      <c r="AN1134" s="1531"/>
      <c r="AO1134" s="1531"/>
      <c r="AP1134" s="1531"/>
      <c r="AQ1134" s="1531"/>
      <c r="AR1134" s="1531"/>
      <c r="AS1134" s="1531"/>
      <c r="AT1134" s="1136"/>
      <c r="AU1134" s="1136"/>
      <c r="AV1134" s="1136"/>
      <c r="AW1134" s="1136"/>
      <c r="AX1134" s="1136"/>
      <c r="AY1134" s="1136"/>
      <c r="AZ1134" s="1136"/>
      <c r="BA1134" s="1136"/>
      <c r="BB1134" s="1136"/>
      <c r="BC1134" s="1136"/>
      <c r="BD1134" s="1136"/>
      <c r="BE1134" s="1136"/>
      <c r="BF1134" s="1136"/>
      <c r="BG1134" s="1136"/>
      <c r="BH1134" s="1136"/>
      <c r="BI1134" s="1136"/>
      <c r="BJ1134" s="1136"/>
      <c r="BK1134" s="1136"/>
      <c r="BL1134" s="1136"/>
      <c r="BM1134" s="1136"/>
      <c r="BN1134" s="1136"/>
      <c r="BO1134" s="1136"/>
      <c r="BP1134" s="1136"/>
      <c r="BQ1134" s="1136"/>
      <c r="BR1134" s="1136"/>
      <c r="BS1134" s="1136"/>
      <c r="BT1134" s="1136"/>
      <c r="BU1134" s="1136"/>
      <c r="BV1134" s="1136"/>
      <c r="BW1134" s="1136"/>
      <c r="BX1134" s="1136"/>
      <c r="BY1134" s="1136"/>
      <c r="BZ1134" s="1136"/>
      <c r="CA1134" s="1136"/>
      <c r="CB1134" s="1136"/>
      <c r="CC1134" s="1136"/>
      <c r="CD1134" s="1136"/>
      <c r="CE1134" s="1136"/>
      <c r="CF1134" s="1136"/>
      <c r="CG1134" s="1136"/>
      <c r="CH1134" s="1136"/>
      <c r="CI1134" s="1136"/>
      <c r="CJ1134" s="1136"/>
      <c r="CK1134" s="1136"/>
      <c r="CL1134" s="1136"/>
      <c r="CM1134" s="1136"/>
      <c r="CN1134" s="1136"/>
      <c r="CO1134" s="1136"/>
      <c r="CP1134" s="1136"/>
      <c r="CQ1134" s="1136"/>
      <c r="CR1134" s="1136"/>
      <c r="CS1134" s="1136"/>
      <c r="CT1134" s="1136"/>
      <c r="CU1134" s="1136"/>
      <c r="CV1134" s="1136"/>
      <c r="CW1134" s="1136"/>
      <c r="CX1134" s="1136"/>
      <c r="CY1134" s="1136"/>
      <c r="CZ1134" s="1136"/>
      <c r="DA1134" s="1136"/>
      <c r="DB1134" s="1136"/>
      <c r="DC1134" s="1136"/>
      <c r="DD1134" s="1136"/>
      <c r="DE1134" s="1136"/>
      <c r="DF1134" s="1136"/>
      <c r="DG1134" s="1136"/>
      <c r="DH1134" s="1136"/>
      <c r="DI1134" s="1136"/>
    </row>
    <row r="1135" spans="1:113" ht="15.75" x14ac:dyDescent="0.25">
      <c r="A1135" s="1549" t="s">
        <v>1543</v>
      </c>
      <c r="B1135" s="1441">
        <f>B695</f>
        <v>1</v>
      </c>
      <c r="C1135" s="1596"/>
      <c r="D1135" s="1437"/>
      <c r="E1135" s="1437"/>
      <c r="F1135" s="1437"/>
      <c r="G1135" s="1437"/>
      <c r="H1135" s="1531"/>
      <c r="I1135" s="1531"/>
      <c r="J1135" s="1531"/>
      <c r="K1135" s="1531"/>
      <c r="L1135" s="1531"/>
      <c r="M1135" s="1531"/>
      <c r="N1135" s="1531"/>
      <c r="O1135" s="1531"/>
      <c r="P1135" s="1531"/>
      <c r="Q1135" s="1531"/>
      <c r="R1135" s="1531"/>
      <c r="S1135" s="1531"/>
      <c r="T1135" s="1531"/>
      <c r="U1135" s="1531"/>
      <c r="V1135" s="1531"/>
      <c r="W1135" s="1531"/>
      <c r="X1135" s="1531"/>
      <c r="Y1135" s="1531"/>
      <c r="Z1135" s="1531"/>
      <c r="AA1135" s="1531"/>
      <c r="AB1135" s="1531"/>
      <c r="AC1135" s="1531"/>
      <c r="AD1135" s="1531"/>
      <c r="AE1135" s="1531"/>
      <c r="AF1135" s="1531"/>
      <c r="AG1135" s="1531"/>
      <c r="AH1135" s="1531"/>
      <c r="AI1135" s="1531"/>
      <c r="AJ1135" s="1531"/>
      <c r="AK1135" s="1531"/>
      <c r="AL1135" s="1531"/>
      <c r="AM1135" s="1531"/>
      <c r="AN1135" s="1531"/>
      <c r="AO1135" s="1531"/>
      <c r="AP1135" s="1531"/>
      <c r="AQ1135" s="1531"/>
      <c r="AR1135" s="1531"/>
      <c r="AS1135" s="1531"/>
      <c r="AT1135" s="1136"/>
      <c r="AU1135" s="1136"/>
      <c r="AV1135" s="1136"/>
      <c r="AW1135" s="1136"/>
      <c r="AX1135" s="1136"/>
      <c r="AY1135" s="1136"/>
      <c r="AZ1135" s="1136"/>
      <c r="BA1135" s="1136"/>
      <c r="BB1135" s="1136"/>
      <c r="BC1135" s="1136"/>
      <c r="BD1135" s="1136"/>
      <c r="BE1135" s="1136"/>
      <c r="BF1135" s="1136"/>
      <c r="BG1135" s="1136"/>
      <c r="BH1135" s="1136"/>
      <c r="BI1135" s="1136"/>
      <c r="BJ1135" s="1136"/>
      <c r="BK1135" s="1136"/>
      <c r="BL1135" s="1136"/>
      <c r="BM1135" s="1136"/>
      <c r="BN1135" s="1136"/>
      <c r="BO1135" s="1136"/>
      <c r="BP1135" s="1136"/>
      <c r="BQ1135" s="1136"/>
      <c r="BR1135" s="1136"/>
      <c r="BS1135" s="1136"/>
      <c r="BT1135" s="1136"/>
      <c r="BU1135" s="1136"/>
      <c r="BV1135" s="1136"/>
      <c r="BW1135" s="1136"/>
      <c r="BX1135" s="1136"/>
      <c r="BY1135" s="1136"/>
      <c r="BZ1135" s="1136"/>
      <c r="CA1135" s="1136"/>
      <c r="CB1135" s="1136"/>
      <c r="CC1135" s="1136"/>
      <c r="CD1135" s="1136"/>
      <c r="CE1135" s="1136"/>
      <c r="CF1135" s="1136"/>
      <c r="CG1135" s="1136"/>
      <c r="CH1135" s="1136"/>
      <c r="CI1135" s="1136"/>
      <c r="CJ1135" s="1136"/>
      <c r="CK1135" s="1136"/>
      <c r="CL1135" s="1136"/>
      <c r="CM1135" s="1136"/>
      <c r="CN1135" s="1136"/>
      <c r="CO1135" s="1136"/>
      <c r="CP1135" s="1136"/>
      <c r="CQ1135" s="1136"/>
      <c r="CR1135" s="1136"/>
      <c r="CS1135" s="1136"/>
      <c r="CT1135" s="1136"/>
      <c r="CU1135" s="1136"/>
      <c r="CV1135" s="1136"/>
      <c r="CW1135" s="1136"/>
      <c r="CX1135" s="1136"/>
      <c r="CY1135" s="1136"/>
      <c r="CZ1135" s="1136"/>
      <c r="DA1135" s="1136"/>
      <c r="DB1135" s="1136"/>
      <c r="DC1135" s="1136"/>
      <c r="DD1135" s="1136"/>
      <c r="DE1135" s="1136"/>
      <c r="DF1135" s="1136"/>
      <c r="DG1135" s="1136"/>
      <c r="DH1135" s="1136"/>
      <c r="DI1135" s="1136"/>
    </row>
    <row r="1136" spans="1:113" ht="16.5" thickBot="1" x14ac:dyDescent="0.3">
      <c r="A1136" s="1552" t="s">
        <v>1538</v>
      </c>
      <c r="B1136" s="1443">
        <f>B696</f>
        <v>444</v>
      </c>
      <c r="C1136" s="1521"/>
      <c r="D1136" s="1437"/>
      <c r="E1136" s="1437"/>
      <c r="F1136" s="1437"/>
      <c r="G1136" s="1437"/>
      <c r="H1136" s="1531"/>
      <c r="I1136" s="1531"/>
      <c r="J1136" s="1531"/>
      <c r="K1136" s="1531"/>
      <c r="L1136" s="1531"/>
      <c r="M1136" s="1531"/>
      <c r="N1136" s="1531"/>
      <c r="O1136" s="1531"/>
      <c r="P1136" s="1531"/>
      <c r="Q1136" s="1531"/>
      <c r="R1136" s="1531"/>
      <c r="S1136" s="1531"/>
      <c r="T1136" s="1531"/>
      <c r="U1136" s="1531"/>
      <c r="V1136" s="1531"/>
      <c r="W1136" s="1531"/>
      <c r="X1136" s="1531"/>
      <c r="Y1136" s="1531"/>
      <c r="Z1136" s="1531"/>
      <c r="AA1136" s="1531"/>
      <c r="AB1136" s="1531"/>
      <c r="AC1136" s="1531"/>
      <c r="AD1136" s="1531"/>
      <c r="AE1136" s="1531"/>
      <c r="AF1136" s="1531"/>
      <c r="AG1136" s="1531"/>
      <c r="AH1136" s="1531"/>
      <c r="AI1136" s="1531"/>
      <c r="AJ1136" s="1531"/>
      <c r="AK1136" s="1531"/>
      <c r="AL1136" s="1531"/>
      <c r="AM1136" s="1531"/>
      <c r="AN1136" s="1531"/>
      <c r="AO1136" s="1531"/>
      <c r="AP1136" s="1531"/>
      <c r="AQ1136" s="1531"/>
      <c r="AR1136" s="1531"/>
      <c r="AS1136" s="1531"/>
      <c r="AT1136" s="1136"/>
      <c r="AU1136" s="1136"/>
      <c r="AV1136" s="1136"/>
      <c r="AW1136" s="1136"/>
      <c r="AX1136" s="1136"/>
      <c r="AY1136" s="1136"/>
      <c r="AZ1136" s="1136"/>
      <c r="BA1136" s="1136"/>
      <c r="BB1136" s="1136"/>
      <c r="BC1136" s="1136"/>
      <c r="BD1136" s="1136"/>
      <c r="BE1136" s="1136"/>
      <c r="BF1136" s="1136"/>
      <c r="BG1136" s="1136"/>
      <c r="BH1136" s="1136"/>
      <c r="BI1136" s="1136"/>
      <c r="BJ1136" s="1136"/>
      <c r="BK1136" s="1136"/>
      <c r="BL1136" s="1136"/>
      <c r="BM1136" s="1136"/>
      <c r="BN1136" s="1136"/>
      <c r="BO1136" s="1136"/>
      <c r="BP1136" s="1136"/>
      <c r="BQ1136" s="1136"/>
      <c r="BR1136" s="1136"/>
      <c r="BS1136" s="1136"/>
      <c r="BT1136" s="1136"/>
      <c r="BU1136" s="1136"/>
      <c r="BV1136" s="1136"/>
      <c r="BW1136" s="1136"/>
      <c r="BX1136" s="1136"/>
      <c r="BY1136" s="1136"/>
      <c r="BZ1136" s="1136"/>
      <c r="CA1136" s="1136"/>
      <c r="CB1136" s="1136"/>
      <c r="CC1136" s="1136"/>
      <c r="CD1136" s="1136"/>
      <c r="CE1136" s="1136"/>
      <c r="CF1136" s="1136"/>
      <c r="CG1136" s="1136"/>
      <c r="CH1136" s="1136"/>
      <c r="CI1136" s="1136"/>
      <c r="CJ1136" s="1136"/>
      <c r="CK1136" s="1136"/>
      <c r="CL1136" s="1136"/>
      <c r="CM1136" s="1136"/>
      <c r="CN1136" s="1136"/>
      <c r="CO1136" s="1136"/>
      <c r="CP1136" s="1136"/>
      <c r="CQ1136" s="1136"/>
      <c r="CR1136" s="1136"/>
      <c r="CS1136" s="1136"/>
      <c r="CT1136" s="1136"/>
      <c r="CU1136" s="1136"/>
      <c r="CV1136" s="1136"/>
      <c r="CW1136" s="1136"/>
      <c r="CX1136" s="1136"/>
      <c r="CY1136" s="1136"/>
      <c r="CZ1136" s="1136"/>
      <c r="DA1136" s="1136"/>
      <c r="DB1136" s="1136"/>
      <c r="DC1136" s="1136"/>
      <c r="DD1136" s="1136"/>
      <c r="DE1136" s="1136"/>
      <c r="DF1136" s="1136"/>
      <c r="DG1136" s="1136"/>
      <c r="DH1136" s="1136"/>
      <c r="DI1136" s="1136"/>
    </row>
    <row r="1137" spans="1:113" ht="16.5" thickBot="1" x14ac:dyDescent="0.3">
      <c r="A1137" s="1555" t="s">
        <v>3055</v>
      </c>
      <c r="B1137" s="1450"/>
      <c r="C1137" s="1617"/>
      <c r="D1137" s="1432"/>
      <c r="E1137" s="1432"/>
      <c r="F1137" s="1432"/>
      <c r="G1137" s="1432"/>
      <c r="H1137" s="1531"/>
      <c r="I1137" s="1531"/>
      <c r="J1137" s="1531"/>
      <c r="K1137" s="1531"/>
      <c r="L1137" s="1531"/>
      <c r="M1137" s="1531"/>
      <c r="N1137" s="1531"/>
      <c r="O1137" s="1531"/>
      <c r="P1137" s="1531"/>
      <c r="Q1137" s="1531"/>
      <c r="R1137" s="1531"/>
      <c r="S1137" s="1531"/>
      <c r="T1137" s="1531"/>
      <c r="U1137" s="1531"/>
      <c r="V1137" s="1531"/>
      <c r="W1137" s="1531"/>
      <c r="X1137" s="1531"/>
      <c r="Y1137" s="1531"/>
      <c r="Z1137" s="1531"/>
      <c r="AA1137" s="1531"/>
      <c r="AB1137" s="1531"/>
      <c r="AC1137" s="1531"/>
      <c r="AD1137" s="1531"/>
      <c r="AE1137" s="1531"/>
      <c r="AF1137" s="1531"/>
      <c r="AG1137" s="1531"/>
      <c r="AH1137" s="1531"/>
      <c r="AI1137" s="1531"/>
      <c r="AJ1137" s="1531"/>
      <c r="AK1137" s="1531"/>
      <c r="AL1137" s="1531"/>
      <c r="AM1137" s="1531"/>
      <c r="AN1137" s="1531"/>
      <c r="AO1137" s="1531"/>
      <c r="AP1137" s="1531"/>
      <c r="AQ1137" s="1531"/>
      <c r="AR1137" s="1531"/>
      <c r="AS1137" s="1531"/>
      <c r="AT1137" s="1136"/>
      <c r="AU1137" s="1136"/>
      <c r="AV1137" s="1136"/>
      <c r="AW1137" s="1136"/>
      <c r="AX1137" s="1136"/>
      <c r="AY1137" s="1136"/>
      <c r="AZ1137" s="1136"/>
      <c r="BA1137" s="1136"/>
      <c r="BB1137" s="1136"/>
      <c r="BC1137" s="1136"/>
      <c r="BD1137" s="1136"/>
      <c r="BE1137" s="1136"/>
      <c r="BF1137" s="1136"/>
      <c r="BG1137" s="1136"/>
      <c r="BH1137" s="1136"/>
      <c r="BI1137" s="1136"/>
      <c r="BJ1137" s="1136"/>
      <c r="BK1137" s="1136"/>
      <c r="BL1137" s="1136"/>
      <c r="BM1137" s="1136"/>
      <c r="BN1137" s="1136"/>
      <c r="BO1137" s="1136"/>
      <c r="BP1137" s="1136"/>
      <c r="BQ1137" s="1136"/>
      <c r="BR1137" s="1136"/>
      <c r="BS1137" s="1136"/>
      <c r="BT1137" s="1136"/>
      <c r="BU1137" s="1136"/>
      <c r="BV1137" s="1136"/>
      <c r="BW1137" s="1136"/>
      <c r="BX1137" s="1136"/>
      <c r="BY1137" s="1136"/>
      <c r="BZ1137" s="1136"/>
      <c r="CA1137" s="1136"/>
      <c r="CB1137" s="1136"/>
      <c r="CC1137" s="1136"/>
      <c r="CD1137" s="1136"/>
      <c r="CE1137" s="1136"/>
      <c r="CF1137" s="1136"/>
      <c r="CG1137" s="1136"/>
      <c r="CH1137" s="1136"/>
      <c r="CI1137" s="1136"/>
      <c r="CJ1137" s="1136"/>
      <c r="CK1137" s="1136"/>
      <c r="CL1137" s="1136"/>
      <c r="CM1137" s="1136"/>
      <c r="CN1137" s="1136"/>
      <c r="CO1137" s="1136"/>
      <c r="CP1137" s="1136"/>
      <c r="CQ1137" s="1136"/>
      <c r="CR1137" s="1136"/>
      <c r="CS1137" s="1136"/>
      <c r="CT1137" s="1136"/>
      <c r="CU1137" s="1136"/>
      <c r="CV1137" s="1136"/>
      <c r="CW1137" s="1136"/>
      <c r="CX1137" s="1136"/>
      <c r="CY1137" s="1136"/>
      <c r="CZ1137" s="1136"/>
      <c r="DA1137" s="1136"/>
      <c r="DB1137" s="1136"/>
      <c r="DC1137" s="1136"/>
      <c r="DD1137" s="1136"/>
      <c r="DE1137" s="1136"/>
      <c r="DF1137" s="1136"/>
      <c r="DG1137" s="1136"/>
      <c r="DH1137" s="1136"/>
      <c r="DI1137" s="1136"/>
    </row>
    <row r="1138" spans="1:113" ht="15.75" x14ac:dyDescent="0.25">
      <c r="A1138" s="1558" t="s">
        <v>1544</v>
      </c>
      <c r="B1138" s="1439" t="e">
        <f>B698</f>
        <v>#VALUE!</v>
      </c>
      <c r="C1138" s="1562"/>
      <c r="D1138" s="1437"/>
      <c r="E1138" s="1437"/>
      <c r="F1138" s="1437"/>
      <c r="G1138" s="1437"/>
      <c r="H1138" s="1531"/>
      <c r="I1138" s="1531"/>
      <c r="J1138" s="1531"/>
      <c r="K1138" s="1531"/>
      <c r="L1138" s="1531"/>
      <c r="M1138" s="1531"/>
      <c r="N1138" s="1531"/>
      <c r="O1138" s="1531"/>
      <c r="P1138" s="1531"/>
      <c r="Q1138" s="1531"/>
      <c r="R1138" s="1531"/>
      <c r="S1138" s="1531"/>
      <c r="T1138" s="1531"/>
      <c r="U1138" s="1531"/>
      <c r="V1138" s="1531"/>
      <c r="W1138" s="1531"/>
      <c r="X1138" s="1531"/>
      <c r="Y1138" s="1531"/>
      <c r="Z1138" s="1531"/>
      <c r="AA1138" s="1531"/>
      <c r="AB1138" s="1531"/>
      <c r="AC1138" s="1531"/>
      <c r="AD1138" s="1531"/>
      <c r="AE1138" s="1531"/>
      <c r="AF1138" s="1531"/>
      <c r="AG1138" s="1531"/>
      <c r="AH1138" s="1531"/>
      <c r="AI1138" s="1531"/>
      <c r="AJ1138" s="1531"/>
      <c r="AK1138" s="1531"/>
      <c r="AL1138" s="1531"/>
      <c r="AM1138" s="1531"/>
      <c r="AN1138" s="1531"/>
      <c r="AO1138" s="1531"/>
      <c r="AP1138" s="1531"/>
      <c r="AQ1138" s="1531"/>
      <c r="AR1138" s="1531"/>
      <c r="AS1138" s="1531"/>
      <c r="AT1138" s="1136"/>
      <c r="AU1138" s="1136"/>
      <c r="AV1138" s="1136"/>
      <c r="AW1138" s="1136"/>
      <c r="AX1138" s="1136"/>
      <c r="AY1138" s="1136"/>
      <c r="AZ1138" s="1136"/>
      <c r="BA1138" s="1136"/>
      <c r="BB1138" s="1136"/>
      <c r="BC1138" s="1136"/>
      <c r="BD1138" s="1136"/>
      <c r="BE1138" s="1136"/>
      <c r="BF1138" s="1136"/>
      <c r="BG1138" s="1136"/>
      <c r="BH1138" s="1136"/>
      <c r="BI1138" s="1136"/>
      <c r="BJ1138" s="1136"/>
      <c r="BK1138" s="1136"/>
      <c r="BL1138" s="1136"/>
      <c r="BM1138" s="1136"/>
      <c r="BN1138" s="1136"/>
      <c r="BO1138" s="1136"/>
      <c r="BP1138" s="1136"/>
      <c r="BQ1138" s="1136"/>
      <c r="BR1138" s="1136"/>
      <c r="BS1138" s="1136"/>
      <c r="BT1138" s="1136"/>
      <c r="BU1138" s="1136"/>
      <c r="BV1138" s="1136"/>
      <c r="BW1138" s="1136"/>
      <c r="BX1138" s="1136"/>
      <c r="BY1138" s="1136"/>
      <c r="BZ1138" s="1136"/>
      <c r="CA1138" s="1136"/>
      <c r="CB1138" s="1136"/>
      <c r="CC1138" s="1136"/>
      <c r="CD1138" s="1136"/>
      <c r="CE1138" s="1136"/>
      <c r="CF1138" s="1136"/>
      <c r="CG1138" s="1136"/>
      <c r="CH1138" s="1136"/>
      <c r="CI1138" s="1136"/>
      <c r="CJ1138" s="1136"/>
      <c r="CK1138" s="1136"/>
      <c r="CL1138" s="1136"/>
      <c r="CM1138" s="1136"/>
      <c r="CN1138" s="1136"/>
      <c r="CO1138" s="1136"/>
      <c r="CP1138" s="1136"/>
      <c r="CQ1138" s="1136"/>
      <c r="CR1138" s="1136"/>
      <c r="CS1138" s="1136"/>
      <c r="CT1138" s="1136"/>
      <c r="CU1138" s="1136"/>
      <c r="CV1138" s="1136"/>
      <c r="CW1138" s="1136"/>
      <c r="CX1138" s="1136"/>
      <c r="CY1138" s="1136"/>
      <c r="CZ1138" s="1136"/>
      <c r="DA1138" s="1136"/>
      <c r="DB1138" s="1136"/>
      <c r="DC1138" s="1136"/>
      <c r="DD1138" s="1136"/>
      <c r="DE1138" s="1136"/>
      <c r="DF1138" s="1136"/>
      <c r="DG1138" s="1136"/>
      <c r="DH1138" s="1136"/>
      <c r="DI1138" s="1136"/>
    </row>
    <row r="1139" spans="1:113" ht="15.75" x14ac:dyDescent="0.25">
      <c r="A1139" s="1519" t="s">
        <v>3059</v>
      </c>
      <c r="B1139" s="1439" t="e">
        <f>B1138</f>
        <v>#VALUE!</v>
      </c>
      <c r="C1139" s="1562"/>
      <c r="D1139" s="1632"/>
      <c r="E1139" s="1632"/>
      <c r="F1139" s="1632"/>
      <c r="G1139" s="1632"/>
      <c r="H1139" s="1531"/>
      <c r="I1139" s="1531"/>
      <c r="J1139" s="1531"/>
      <c r="K1139" s="1531"/>
      <c r="L1139" s="1531"/>
      <c r="M1139" s="1531"/>
      <c r="N1139" s="1531"/>
      <c r="O1139" s="1531"/>
      <c r="P1139" s="1531"/>
      <c r="Q1139" s="1531"/>
      <c r="R1139" s="1531"/>
      <c r="S1139" s="1531"/>
      <c r="T1139" s="1531"/>
      <c r="U1139" s="1531"/>
      <c r="V1139" s="1531"/>
      <c r="W1139" s="1531"/>
      <c r="X1139" s="1531"/>
      <c r="Y1139" s="1531"/>
      <c r="Z1139" s="1531"/>
      <c r="AA1139" s="1531"/>
      <c r="AB1139" s="1531"/>
      <c r="AC1139" s="1531"/>
      <c r="AD1139" s="1531"/>
      <c r="AE1139" s="1531"/>
      <c r="AF1139" s="1531"/>
      <c r="AG1139" s="1531"/>
      <c r="AH1139" s="1531"/>
      <c r="AI1139" s="1531"/>
      <c r="AJ1139" s="1531"/>
      <c r="AK1139" s="1531"/>
      <c r="AL1139" s="1531"/>
      <c r="AM1139" s="1531"/>
      <c r="AN1139" s="1531"/>
      <c r="AO1139" s="1531"/>
      <c r="AP1139" s="1531"/>
      <c r="AQ1139" s="1531"/>
      <c r="AR1139" s="1531"/>
      <c r="AS1139" s="1531"/>
      <c r="AT1139" s="1136"/>
      <c r="AU1139" s="1136"/>
      <c r="AV1139" s="1136"/>
      <c r="AW1139" s="1136"/>
      <c r="AX1139" s="1136"/>
      <c r="AY1139" s="1136"/>
      <c r="AZ1139" s="1136"/>
      <c r="BA1139" s="1136"/>
      <c r="BB1139" s="1136"/>
      <c r="BC1139" s="1136"/>
      <c r="BD1139" s="1136"/>
      <c r="BE1139" s="1136"/>
      <c r="BF1139" s="1136"/>
      <c r="BG1139" s="1136"/>
      <c r="BH1139" s="1136"/>
      <c r="BI1139" s="1136"/>
      <c r="BJ1139" s="1136"/>
      <c r="BK1139" s="1136"/>
      <c r="BL1139" s="1136"/>
      <c r="BM1139" s="1136"/>
      <c r="BN1139" s="1136"/>
      <c r="BO1139" s="1136"/>
      <c r="BP1139" s="1136"/>
      <c r="BQ1139" s="1136"/>
      <c r="BR1139" s="1136"/>
      <c r="BS1139" s="1136"/>
      <c r="BT1139" s="1136"/>
      <c r="BU1139" s="1136"/>
      <c r="BV1139" s="1136"/>
      <c r="BW1139" s="1136"/>
      <c r="BX1139" s="1136"/>
      <c r="BY1139" s="1136"/>
      <c r="BZ1139" s="1136"/>
      <c r="CA1139" s="1136"/>
      <c r="CB1139" s="1136"/>
      <c r="CC1139" s="1136"/>
      <c r="CD1139" s="1136"/>
      <c r="CE1139" s="1136"/>
      <c r="CF1139" s="1136"/>
      <c r="CG1139" s="1136"/>
      <c r="CH1139" s="1136"/>
      <c r="CI1139" s="1136"/>
      <c r="CJ1139" s="1136"/>
      <c r="CK1139" s="1136"/>
      <c r="CL1139" s="1136"/>
      <c r="CM1139" s="1136"/>
      <c r="CN1139" s="1136"/>
      <c r="CO1139" s="1136"/>
      <c r="CP1139" s="1136"/>
      <c r="CQ1139" s="1136"/>
      <c r="CR1139" s="1136"/>
      <c r="CS1139" s="1136"/>
      <c r="CT1139" s="1136"/>
      <c r="CU1139" s="1136"/>
      <c r="CV1139" s="1136"/>
      <c r="CW1139" s="1136"/>
      <c r="CX1139" s="1136"/>
      <c r="CY1139" s="1136"/>
      <c r="CZ1139" s="1136"/>
      <c r="DA1139" s="1136"/>
      <c r="DB1139" s="1136"/>
      <c r="DC1139" s="1136"/>
      <c r="DD1139" s="1136"/>
      <c r="DE1139" s="1136"/>
      <c r="DF1139" s="1136"/>
      <c r="DG1139" s="1136"/>
      <c r="DH1139" s="1136"/>
      <c r="DI1139" s="1136"/>
    </row>
    <row r="1140" spans="1:113" ht="15.75" x14ac:dyDescent="0.25">
      <c r="A1140" s="1519" t="s">
        <v>3412</v>
      </c>
      <c r="B1140" s="1443" t="e">
        <f>B1136*B1139</f>
        <v>#VALUE!</v>
      </c>
      <c r="C1140" s="1521"/>
      <c r="D1140" s="1546"/>
      <c r="E1140" s="1546"/>
      <c r="F1140" s="1546"/>
      <c r="G1140" s="1546"/>
      <c r="H1140" s="1531"/>
      <c r="I1140" s="1531"/>
      <c r="J1140" s="1531"/>
      <c r="K1140" s="1531"/>
      <c r="L1140" s="1531"/>
      <c r="M1140" s="1531"/>
      <c r="N1140" s="1531"/>
      <c r="O1140" s="1531"/>
      <c r="P1140" s="1531"/>
      <c r="Q1140" s="1531"/>
      <c r="R1140" s="1531"/>
      <c r="S1140" s="1531"/>
      <c r="T1140" s="1531"/>
      <c r="U1140" s="1531"/>
      <c r="V1140" s="1531"/>
      <c r="W1140" s="1531"/>
      <c r="X1140" s="1531"/>
      <c r="Y1140" s="1531"/>
      <c r="Z1140" s="1531"/>
      <c r="AA1140" s="1531"/>
      <c r="AB1140" s="1531"/>
      <c r="AC1140" s="1531"/>
      <c r="AD1140" s="1531"/>
      <c r="AE1140" s="1531"/>
      <c r="AF1140" s="1531"/>
      <c r="AG1140" s="1531"/>
      <c r="AH1140" s="1531"/>
      <c r="AI1140" s="1531"/>
      <c r="AJ1140" s="1531"/>
      <c r="AK1140" s="1531"/>
      <c r="AL1140" s="1531"/>
      <c r="AM1140" s="1531"/>
      <c r="AN1140" s="1531"/>
      <c r="AO1140" s="1531"/>
      <c r="AP1140" s="1531"/>
      <c r="AQ1140" s="1531"/>
      <c r="AR1140" s="1531"/>
      <c r="AS1140" s="1531"/>
      <c r="AT1140" s="1136"/>
      <c r="AU1140" s="1136"/>
      <c r="AV1140" s="1136"/>
      <c r="AW1140" s="1136"/>
      <c r="AX1140" s="1136"/>
      <c r="AY1140" s="1136"/>
      <c r="AZ1140" s="1136"/>
      <c r="BA1140" s="1136"/>
      <c r="BB1140" s="1136"/>
      <c r="BC1140" s="1136"/>
      <c r="BD1140" s="1136"/>
      <c r="BE1140" s="1136"/>
      <c r="BF1140" s="1136"/>
      <c r="BG1140" s="1136"/>
      <c r="BH1140" s="1136"/>
      <c r="BI1140" s="1136"/>
      <c r="BJ1140" s="1136"/>
      <c r="BK1140" s="1136"/>
      <c r="BL1140" s="1136"/>
      <c r="BM1140" s="1136"/>
      <c r="BN1140" s="1136"/>
      <c r="BO1140" s="1136"/>
      <c r="BP1140" s="1136"/>
      <c r="BQ1140" s="1136"/>
      <c r="BR1140" s="1136"/>
      <c r="BS1140" s="1136"/>
      <c r="BT1140" s="1136"/>
      <c r="BU1140" s="1136"/>
      <c r="BV1140" s="1136"/>
      <c r="BW1140" s="1136"/>
      <c r="BX1140" s="1136"/>
      <c r="BY1140" s="1136"/>
      <c r="BZ1140" s="1136"/>
      <c r="CA1140" s="1136"/>
      <c r="CB1140" s="1136"/>
      <c r="CC1140" s="1136"/>
      <c r="CD1140" s="1136"/>
      <c r="CE1140" s="1136"/>
      <c r="CF1140" s="1136"/>
      <c r="CG1140" s="1136"/>
      <c r="CH1140" s="1136"/>
      <c r="CI1140" s="1136"/>
      <c r="CJ1140" s="1136"/>
      <c r="CK1140" s="1136"/>
      <c r="CL1140" s="1136"/>
      <c r="CM1140" s="1136"/>
      <c r="CN1140" s="1136"/>
      <c r="CO1140" s="1136"/>
      <c r="CP1140" s="1136"/>
      <c r="CQ1140" s="1136"/>
      <c r="CR1140" s="1136"/>
      <c r="CS1140" s="1136"/>
      <c r="CT1140" s="1136"/>
      <c r="CU1140" s="1136"/>
      <c r="CV1140" s="1136"/>
      <c r="CW1140" s="1136"/>
      <c r="CX1140" s="1136"/>
      <c r="CY1140" s="1136"/>
      <c r="CZ1140" s="1136"/>
      <c r="DA1140" s="1136"/>
      <c r="DB1140" s="1136"/>
      <c r="DC1140" s="1136"/>
      <c r="DD1140" s="1136"/>
      <c r="DE1140" s="1136"/>
      <c r="DF1140" s="1136"/>
      <c r="DG1140" s="1136"/>
      <c r="DH1140" s="1136"/>
      <c r="DI1140" s="1136"/>
    </row>
    <row r="1141" spans="1:113" ht="31.5" x14ac:dyDescent="0.25">
      <c r="A1141" s="1542" t="s">
        <v>3032</v>
      </c>
      <c r="B1141" s="1629" t="e">
        <f>B1104/B1140</f>
        <v>#REF!</v>
      </c>
      <c r="C1141" s="1630"/>
      <c r="D1141" s="1434"/>
      <c r="E1141" s="1434"/>
      <c r="F1141" s="1434"/>
      <c r="G1141" s="1434"/>
      <c r="H1141" s="1531"/>
      <c r="I1141" s="1531"/>
      <c r="J1141" s="1531"/>
      <c r="K1141" s="1531"/>
      <c r="L1141" s="1531"/>
      <c r="M1141" s="1531"/>
      <c r="N1141" s="1531"/>
      <c r="O1141" s="1531"/>
      <c r="P1141" s="1531"/>
      <c r="Q1141" s="1531"/>
      <c r="R1141" s="1531"/>
      <c r="S1141" s="1531"/>
      <c r="T1141" s="1531"/>
      <c r="U1141" s="1531"/>
      <c r="V1141" s="1531"/>
      <c r="W1141" s="1531"/>
      <c r="X1141" s="1531"/>
      <c r="Y1141" s="1531"/>
      <c r="Z1141" s="1531"/>
      <c r="AA1141" s="1531"/>
      <c r="AB1141" s="1531"/>
      <c r="AC1141" s="1531"/>
      <c r="AD1141" s="1531"/>
      <c r="AE1141" s="1531"/>
      <c r="AF1141" s="1531"/>
      <c r="AG1141" s="1531"/>
      <c r="AH1141" s="1531"/>
      <c r="AI1141" s="1531"/>
      <c r="AJ1141" s="1531"/>
      <c r="AK1141" s="1531"/>
      <c r="AL1141" s="1531"/>
      <c r="AM1141" s="1531"/>
      <c r="AN1141" s="1531"/>
      <c r="AO1141" s="1531"/>
      <c r="AP1141" s="1531"/>
      <c r="AQ1141" s="1531"/>
      <c r="AR1141" s="1531"/>
      <c r="AS1141" s="1531"/>
      <c r="AT1141" s="1136"/>
      <c r="AU1141" s="1136"/>
      <c r="AV1141" s="1136"/>
      <c r="AW1141" s="1136"/>
      <c r="AX1141" s="1136"/>
      <c r="AY1141" s="1136"/>
      <c r="AZ1141" s="1136"/>
      <c r="BA1141" s="1136"/>
      <c r="BB1141" s="1136"/>
      <c r="BC1141" s="1136"/>
      <c r="BD1141" s="1136"/>
      <c r="BE1141" s="1136"/>
      <c r="BF1141" s="1136"/>
      <c r="BG1141" s="1136"/>
      <c r="BH1141" s="1136"/>
      <c r="BI1141" s="1136"/>
      <c r="BJ1141" s="1136"/>
      <c r="BK1141" s="1136"/>
      <c r="BL1141" s="1136"/>
      <c r="BM1141" s="1136"/>
      <c r="BN1141" s="1136"/>
      <c r="BO1141" s="1136"/>
      <c r="BP1141" s="1136"/>
      <c r="BQ1141" s="1136"/>
      <c r="BR1141" s="1136"/>
      <c r="BS1141" s="1136"/>
      <c r="BT1141" s="1136"/>
      <c r="BU1141" s="1136"/>
      <c r="BV1141" s="1136"/>
      <c r="BW1141" s="1136"/>
      <c r="BX1141" s="1136"/>
      <c r="BY1141" s="1136"/>
      <c r="BZ1141" s="1136"/>
      <c r="CA1141" s="1136"/>
      <c r="CB1141" s="1136"/>
      <c r="CC1141" s="1136"/>
      <c r="CD1141" s="1136"/>
      <c r="CE1141" s="1136"/>
      <c r="CF1141" s="1136"/>
      <c r="CG1141" s="1136"/>
      <c r="CH1141" s="1136"/>
      <c r="CI1141" s="1136"/>
      <c r="CJ1141" s="1136"/>
      <c r="CK1141" s="1136"/>
      <c r="CL1141" s="1136"/>
      <c r="CM1141" s="1136"/>
      <c r="CN1141" s="1136"/>
      <c r="CO1141" s="1136"/>
      <c r="CP1141" s="1136"/>
      <c r="CQ1141" s="1136"/>
      <c r="CR1141" s="1136"/>
      <c r="CS1141" s="1136"/>
      <c r="CT1141" s="1136"/>
      <c r="CU1141" s="1136"/>
      <c r="CV1141" s="1136"/>
      <c r="CW1141" s="1136"/>
      <c r="CX1141" s="1136"/>
      <c r="CY1141" s="1136"/>
      <c r="CZ1141" s="1136"/>
      <c r="DA1141" s="1136"/>
      <c r="DB1141" s="1136"/>
      <c r="DC1141" s="1136"/>
      <c r="DD1141" s="1136"/>
      <c r="DE1141" s="1136"/>
      <c r="DF1141" s="1136"/>
      <c r="DG1141" s="1136"/>
      <c r="DH1141" s="1136"/>
      <c r="DI1141" s="1136"/>
    </row>
    <row r="1142" spans="1:113" ht="31.5" x14ac:dyDescent="0.25">
      <c r="A1142" s="1559" t="s">
        <v>4409</v>
      </c>
      <c r="B1142" s="1633" t="e">
        <f>B1119+B1132+B1141</f>
        <v>#REF!</v>
      </c>
      <c r="C1142" s="1634"/>
      <c r="D1142" s="1596"/>
      <c r="E1142" s="1596"/>
      <c r="F1142" s="1596"/>
      <c r="G1142" s="1596"/>
      <c r="H1142" s="1531"/>
      <c r="I1142" s="1531"/>
      <c r="J1142" s="1531"/>
      <c r="K1142" s="1531"/>
      <c r="L1142" s="1531"/>
      <c r="M1142" s="1531"/>
      <c r="N1142" s="1531"/>
      <c r="O1142" s="1531"/>
      <c r="P1142" s="1531"/>
      <c r="Q1142" s="1531"/>
      <c r="R1142" s="1531"/>
      <c r="S1142" s="1531"/>
      <c r="T1142" s="1531"/>
      <c r="U1142" s="1531"/>
      <c r="V1142" s="1531"/>
      <c r="W1142" s="1531"/>
      <c r="X1142" s="1531"/>
      <c r="Y1142" s="1531"/>
      <c r="Z1142" s="1531"/>
      <c r="AA1142" s="1531"/>
      <c r="AB1142" s="1531"/>
      <c r="AC1142" s="1531"/>
      <c r="AD1142" s="1531"/>
      <c r="AE1142" s="1531"/>
      <c r="AF1142" s="1531"/>
      <c r="AG1142" s="1531"/>
      <c r="AH1142" s="1531"/>
      <c r="AI1142" s="1531"/>
      <c r="AJ1142" s="1531"/>
      <c r="AK1142" s="1531"/>
      <c r="AL1142" s="1531"/>
      <c r="AM1142" s="1531"/>
      <c r="AN1142" s="1531"/>
      <c r="AO1142" s="1531"/>
      <c r="AP1142" s="1531"/>
      <c r="AQ1142" s="1531"/>
      <c r="AR1142" s="1531"/>
      <c r="AS1142" s="1531"/>
      <c r="AT1142" s="1136"/>
      <c r="AU1142" s="1136"/>
      <c r="AV1142" s="1136"/>
      <c r="AW1142" s="1136"/>
      <c r="AX1142" s="1136"/>
      <c r="AY1142" s="1136"/>
      <c r="AZ1142" s="1136"/>
      <c r="BA1142" s="1136"/>
      <c r="BB1142" s="1136"/>
      <c r="BC1142" s="1136"/>
      <c r="BD1142" s="1136"/>
      <c r="BE1142" s="1136"/>
      <c r="BF1142" s="1136"/>
      <c r="BG1142" s="1136"/>
      <c r="BH1142" s="1136"/>
      <c r="BI1142" s="1136"/>
      <c r="BJ1142" s="1136"/>
      <c r="BK1142" s="1136"/>
      <c r="BL1142" s="1136"/>
      <c r="BM1142" s="1136"/>
      <c r="BN1142" s="1136"/>
      <c r="BO1142" s="1136"/>
      <c r="BP1142" s="1136"/>
      <c r="BQ1142" s="1136"/>
      <c r="BR1142" s="1136"/>
      <c r="BS1142" s="1136"/>
      <c r="BT1142" s="1136"/>
      <c r="BU1142" s="1136"/>
      <c r="BV1142" s="1136"/>
      <c r="BW1142" s="1136"/>
      <c r="BX1142" s="1136"/>
      <c r="BY1142" s="1136"/>
      <c r="BZ1142" s="1136"/>
      <c r="CA1142" s="1136"/>
      <c r="CB1142" s="1136"/>
      <c r="CC1142" s="1136"/>
      <c r="CD1142" s="1136"/>
      <c r="CE1142" s="1136"/>
      <c r="CF1142" s="1136"/>
      <c r="CG1142" s="1136"/>
      <c r="CH1142" s="1136"/>
      <c r="CI1142" s="1136"/>
      <c r="CJ1142" s="1136"/>
      <c r="CK1142" s="1136"/>
      <c r="CL1142" s="1136"/>
      <c r="CM1142" s="1136"/>
      <c r="CN1142" s="1136"/>
      <c r="CO1142" s="1136"/>
      <c r="CP1142" s="1136"/>
      <c r="CQ1142" s="1136"/>
      <c r="CR1142" s="1136"/>
      <c r="CS1142" s="1136"/>
      <c r="CT1142" s="1136"/>
      <c r="CU1142" s="1136"/>
      <c r="CV1142" s="1136"/>
      <c r="CW1142" s="1136"/>
      <c r="CX1142" s="1136"/>
      <c r="CY1142" s="1136"/>
      <c r="CZ1142" s="1136"/>
      <c r="DA1142" s="1136"/>
      <c r="DB1142" s="1136"/>
      <c r="DC1142" s="1136"/>
      <c r="DD1142" s="1136"/>
      <c r="DE1142" s="1136"/>
      <c r="DF1142" s="1136"/>
      <c r="DG1142" s="1136"/>
      <c r="DH1142" s="1136"/>
      <c r="DI1142" s="1136"/>
    </row>
    <row r="1143" spans="1:113" ht="31.5" x14ac:dyDescent="0.25">
      <c r="A1143" s="1438" t="s">
        <v>4410</v>
      </c>
      <c r="B1143" s="1439" t="e">
        <f>B1035+B1042+B1055+B1068+B1074+B1093+B1142</f>
        <v>#DIV/0!</v>
      </c>
      <c r="C1143" s="1562"/>
      <c r="D1143" s="1521"/>
      <c r="E1143" s="1521"/>
      <c r="F1143" s="1521"/>
      <c r="G1143" s="1521"/>
      <c r="H1143" s="1531"/>
      <c r="I1143" s="1531"/>
      <c r="J1143" s="1531"/>
      <c r="K1143" s="1531"/>
      <c r="L1143" s="1531"/>
      <c r="M1143" s="1531"/>
      <c r="N1143" s="1531"/>
      <c r="O1143" s="1531"/>
      <c r="P1143" s="1531"/>
      <c r="Q1143" s="1531"/>
      <c r="R1143" s="1531"/>
      <c r="S1143" s="1531"/>
      <c r="T1143" s="1531"/>
      <c r="U1143" s="1531"/>
      <c r="V1143" s="1531"/>
      <c r="W1143" s="1531"/>
      <c r="X1143" s="1531"/>
      <c r="Y1143" s="1531"/>
      <c r="Z1143" s="1531"/>
      <c r="AA1143" s="1531"/>
      <c r="AB1143" s="1531"/>
      <c r="AC1143" s="1531"/>
      <c r="AD1143" s="1531"/>
      <c r="AE1143" s="1531"/>
      <c r="AF1143" s="1531"/>
      <c r="AG1143" s="1531"/>
      <c r="AH1143" s="1531"/>
      <c r="AI1143" s="1531"/>
      <c r="AJ1143" s="1531"/>
      <c r="AK1143" s="1531"/>
      <c r="AL1143" s="1531"/>
      <c r="AM1143" s="1531"/>
      <c r="AN1143" s="1531"/>
      <c r="AO1143" s="1531"/>
      <c r="AP1143" s="1531"/>
      <c r="AQ1143" s="1531"/>
      <c r="AR1143" s="1531"/>
      <c r="AS1143" s="1531"/>
      <c r="AT1143" s="1136"/>
      <c r="AU1143" s="1136"/>
      <c r="AV1143" s="1136"/>
      <c r="AW1143" s="1136"/>
      <c r="AX1143" s="1136"/>
      <c r="AY1143" s="1136"/>
      <c r="AZ1143" s="1136"/>
      <c r="BA1143" s="1136"/>
      <c r="BB1143" s="1136"/>
      <c r="BC1143" s="1136"/>
      <c r="BD1143" s="1136"/>
      <c r="BE1143" s="1136"/>
      <c r="BF1143" s="1136"/>
      <c r="BG1143" s="1136"/>
      <c r="BH1143" s="1136"/>
      <c r="BI1143" s="1136"/>
      <c r="BJ1143" s="1136"/>
      <c r="BK1143" s="1136"/>
      <c r="BL1143" s="1136"/>
      <c r="BM1143" s="1136"/>
      <c r="BN1143" s="1136"/>
      <c r="BO1143" s="1136"/>
      <c r="BP1143" s="1136"/>
      <c r="BQ1143" s="1136"/>
      <c r="BR1143" s="1136"/>
      <c r="BS1143" s="1136"/>
      <c r="BT1143" s="1136"/>
      <c r="BU1143" s="1136"/>
      <c r="BV1143" s="1136"/>
      <c r="BW1143" s="1136"/>
      <c r="BX1143" s="1136"/>
      <c r="BY1143" s="1136"/>
      <c r="BZ1143" s="1136"/>
      <c r="CA1143" s="1136"/>
      <c r="CB1143" s="1136"/>
      <c r="CC1143" s="1136"/>
      <c r="CD1143" s="1136"/>
      <c r="CE1143" s="1136"/>
      <c r="CF1143" s="1136"/>
      <c r="CG1143" s="1136"/>
      <c r="CH1143" s="1136"/>
      <c r="CI1143" s="1136"/>
      <c r="CJ1143" s="1136"/>
      <c r="CK1143" s="1136"/>
      <c r="CL1143" s="1136"/>
      <c r="CM1143" s="1136"/>
      <c r="CN1143" s="1136"/>
      <c r="CO1143" s="1136"/>
      <c r="CP1143" s="1136"/>
      <c r="CQ1143" s="1136"/>
      <c r="CR1143" s="1136"/>
      <c r="CS1143" s="1136"/>
      <c r="CT1143" s="1136"/>
      <c r="CU1143" s="1136"/>
      <c r="CV1143" s="1136"/>
      <c r="CW1143" s="1136"/>
      <c r="CX1143" s="1136"/>
      <c r="CY1143" s="1136"/>
      <c r="CZ1143" s="1136"/>
      <c r="DA1143" s="1136"/>
      <c r="DB1143" s="1136"/>
      <c r="DC1143" s="1136"/>
      <c r="DD1143" s="1136"/>
      <c r="DE1143" s="1136"/>
      <c r="DF1143" s="1136"/>
      <c r="DG1143" s="1136"/>
      <c r="DH1143" s="1136"/>
      <c r="DI1143" s="1136"/>
    </row>
    <row r="1144" spans="1:113" ht="15.75" x14ac:dyDescent="0.25">
      <c r="A1144" s="1466" t="s">
        <v>831</v>
      </c>
      <c r="B1144" s="1453" t="e">
        <f>IF(B323=1,B1143,0)</f>
        <v>#DIV/0!</v>
      </c>
      <c r="C1144" s="1563"/>
      <c r="D1144" s="1617"/>
      <c r="E1144" s="1617"/>
      <c r="F1144" s="1617"/>
      <c r="G1144" s="1617"/>
      <c r="H1144" s="1531"/>
      <c r="I1144" s="1531"/>
      <c r="J1144" s="1531"/>
      <c r="K1144" s="1531"/>
      <c r="L1144" s="1531"/>
      <c r="M1144" s="1531"/>
      <c r="N1144" s="1531"/>
      <c r="O1144" s="1531"/>
      <c r="P1144" s="1531"/>
      <c r="Q1144" s="1531"/>
      <c r="R1144" s="1531"/>
      <c r="S1144" s="1531"/>
      <c r="T1144" s="1531"/>
      <c r="U1144" s="1531"/>
      <c r="V1144" s="1531"/>
      <c r="W1144" s="1531"/>
      <c r="X1144" s="1531"/>
      <c r="Y1144" s="1531"/>
      <c r="Z1144" s="1531"/>
      <c r="AA1144" s="1531"/>
      <c r="AB1144" s="1531"/>
      <c r="AC1144" s="1531"/>
      <c r="AD1144" s="1531"/>
      <c r="AE1144" s="1531"/>
      <c r="AF1144" s="1531"/>
      <c r="AG1144" s="1531"/>
      <c r="AH1144" s="1531"/>
      <c r="AI1144" s="1531"/>
      <c r="AJ1144" s="1531"/>
      <c r="AK1144" s="1531"/>
      <c r="AL1144" s="1531"/>
      <c r="AM1144" s="1531"/>
      <c r="AN1144" s="1531"/>
      <c r="AO1144" s="1531"/>
      <c r="AP1144" s="1531"/>
      <c r="AQ1144" s="1531"/>
      <c r="AR1144" s="1531"/>
      <c r="AS1144" s="1531"/>
      <c r="AT1144" s="1136"/>
      <c r="AU1144" s="1136"/>
      <c r="AV1144" s="1136"/>
      <c r="AW1144" s="1136"/>
      <c r="AX1144" s="1136"/>
      <c r="AY1144" s="1136"/>
      <c r="AZ1144" s="1136"/>
      <c r="BA1144" s="1136"/>
      <c r="BB1144" s="1136"/>
      <c r="BC1144" s="1136"/>
      <c r="BD1144" s="1136"/>
      <c r="BE1144" s="1136"/>
      <c r="BF1144" s="1136"/>
      <c r="BG1144" s="1136"/>
      <c r="BH1144" s="1136"/>
      <c r="BI1144" s="1136"/>
      <c r="BJ1144" s="1136"/>
      <c r="BK1144" s="1136"/>
      <c r="BL1144" s="1136"/>
      <c r="BM1144" s="1136"/>
      <c r="BN1144" s="1136"/>
      <c r="BO1144" s="1136"/>
      <c r="BP1144" s="1136"/>
      <c r="BQ1144" s="1136"/>
      <c r="BR1144" s="1136"/>
      <c r="BS1144" s="1136"/>
      <c r="BT1144" s="1136"/>
      <c r="BU1144" s="1136"/>
      <c r="BV1144" s="1136"/>
      <c r="BW1144" s="1136"/>
      <c r="BX1144" s="1136"/>
      <c r="BY1144" s="1136"/>
      <c r="BZ1144" s="1136"/>
      <c r="CA1144" s="1136"/>
      <c r="CB1144" s="1136"/>
      <c r="CC1144" s="1136"/>
      <c r="CD1144" s="1136"/>
      <c r="CE1144" s="1136"/>
      <c r="CF1144" s="1136"/>
      <c r="CG1144" s="1136"/>
      <c r="CH1144" s="1136"/>
      <c r="CI1144" s="1136"/>
      <c r="CJ1144" s="1136"/>
      <c r="CK1144" s="1136"/>
      <c r="CL1144" s="1136"/>
      <c r="CM1144" s="1136"/>
      <c r="CN1144" s="1136"/>
      <c r="CO1144" s="1136"/>
      <c r="CP1144" s="1136"/>
      <c r="CQ1144" s="1136"/>
      <c r="CR1144" s="1136"/>
      <c r="CS1144" s="1136"/>
      <c r="CT1144" s="1136"/>
      <c r="CU1144" s="1136"/>
      <c r="CV1144" s="1136"/>
      <c r="CW1144" s="1136"/>
      <c r="CX1144" s="1136"/>
      <c r="CY1144" s="1136"/>
      <c r="CZ1144" s="1136"/>
      <c r="DA1144" s="1136"/>
      <c r="DB1144" s="1136"/>
      <c r="DC1144" s="1136"/>
      <c r="DD1144" s="1136"/>
      <c r="DE1144" s="1136"/>
      <c r="DF1144" s="1136"/>
      <c r="DG1144" s="1136"/>
      <c r="DH1144" s="1136"/>
      <c r="DI1144" s="1136"/>
    </row>
    <row r="1145" spans="1:113" ht="15.75" x14ac:dyDescent="0.25">
      <c r="A1145" s="1417"/>
      <c r="B1145" s="1573"/>
      <c r="C1145" s="1574"/>
      <c r="D1145" s="1562"/>
      <c r="E1145" s="1562"/>
      <c r="F1145" s="1562"/>
      <c r="G1145" s="1562"/>
      <c r="H1145" s="1531"/>
      <c r="I1145" s="1531"/>
      <c r="J1145" s="1531"/>
      <c r="K1145" s="1531"/>
      <c r="L1145" s="1531"/>
      <c r="M1145" s="1531"/>
      <c r="N1145" s="1531"/>
      <c r="O1145" s="1531"/>
      <c r="P1145" s="1531"/>
      <c r="Q1145" s="1531"/>
      <c r="R1145" s="1531"/>
      <c r="S1145" s="1531"/>
      <c r="T1145" s="1531"/>
      <c r="U1145" s="1531"/>
      <c r="V1145" s="1531"/>
      <c r="W1145" s="1531"/>
      <c r="X1145" s="1531"/>
      <c r="Y1145" s="1531"/>
      <c r="Z1145" s="1531"/>
      <c r="AA1145" s="1531"/>
      <c r="AB1145" s="1531"/>
      <c r="AC1145" s="1531"/>
      <c r="AD1145" s="1531"/>
      <c r="AE1145" s="1531"/>
      <c r="AF1145" s="1531"/>
      <c r="AG1145" s="1531"/>
      <c r="AH1145" s="1531"/>
      <c r="AI1145" s="1531"/>
      <c r="AJ1145" s="1531"/>
      <c r="AK1145" s="1531"/>
      <c r="AL1145" s="1531"/>
      <c r="AM1145" s="1531"/>
      <c r="AN1145" s="1531"/>
      <c r="AO1145" s="1531"/>
      <c r="AP1145" s="1531"/>
      <c r="AQ1145" s="1531"/>
      <c r="AR1145" s="1531"/>
      <c r="AS1145" s="1531"/>
      <c r="AT1145" s="1136"/>
      <c r="AU1145" s="1136"/>
      <c r="AV1145" s="1136"/>
      <c r="AW1145" s="1136"/>
      <c r="AX1145" s="1136"/>
      <c r="AY1145" s="1136"/>
      <c r="AZ1145" s="1136"/>
      <c r="BA1145" s="1136"/>
      <c r="BB1145" s="1136"/>
      <c r="BC1145" s="1136"/>
      <c r="BD1145" s="1136"/>
      <c r="BE1145" s="1136"/>
      <c r="BF1145" s="1136"/>
      <c r="BG1145" s="1136"/>
      <c r="BH1145" s="1136"/>
      <c r="BI1145" s="1136"/>
      <c r="BJ1145" s="1136"/>
      <c r="BK1145" s="1136"/>
      <c r="BL1145" s="1136"/>
      <c r="BM1145" s="1136"/>
      <c r="BN1145" s="1136"/>
      <c r="BO1145" s="1136"/>
      <c r="BP1145" s="1136"/>
      <c r="BQ1145" s="1136"/>
      <c r="BR1145" s="1136"/>
      <c r="BS1145" s="1136"/>
      <c r="BT1145" s="1136"/>
      <c r="BU1145" s="1136"/>
      <c r="BV1145" s="1136"/>
      <c r="BW1145" s="1136"/>
      <c r="BX1145" s="1136"/>
      <c r="BY1145" s="1136"/>
      <c r="BZ1145" s="1136"/>
      <c r="CA1145" s="1136"/>
      <c r="CB1145" s="1136"/>
      <c r="CC1145" s="1136"/>
      <c r="CD1145" s="1136"/>
      <c r="CE1145" s="1136"/>
      <c r="CF1145" s="1136"/>
      <c r="CG1145" s="1136"/>
      <c r="CH1145" s="1136"/>
      <c r="CI1145" s="1136"/>
      <c r="CJ1145" s="1136"/>
      <c r="CK1145" s="1136"/>
      <c r="CL1145" s="1136"/>
      <c r="CM1145" s="1136"/>
      <c r="CN1145" s="1136"/>
      <c r="CO1145" s="1136"/>
      <c r="CP1145" s="1136"/>
      <c r="CQ1145" s="1136"/>
      <c r="CR1145" s="1136"/>
      <c r="CS1145" s="1136"/>
      <c r="CT1145" s="1136"/>
      <c r="CU1145" s="1136"/>
      <c r="CV1145" s="1136"/>
      <c r="CW1145" s="1136"/>
      <c r="CX1145" s="1136"/>
      <c r="CY1145" s="1136"/>
      <c r="CZ1145" s="1136"/>
      <c r="DA1145" s="1136"/>
      <c r="DB1145" s="1136"/>
      <c r="DC1145" s="1136"/>
      <c r="DD1145" s="1136"/>
      <c r="DE1145" s="1136"/>
      <c r="DF1145" s="1136"/>
      <c r="DG1145" s="1136"/>
      <c r="DH1145" s="1136"/>
      <c r="DI1145" s="1136"/>
    </row>
    <row r="1146" spans="1:113" ht="15.75" x14ac:dyDescent="0.25">
      <c r="A1146" s="1575" t="s">
        <v>2513</v>
      </c>
      <c r="B1146" s="1576" t="e">
        <f>B933+B940+B954+B979+B996+B1002+B1144+B1017</f>
        <v>#VALUE!</v>
      </c>
      <c r="C1146" s="1577"/>
      <c r="D1146" s="1562"/>
      <c r="E1146" s="1562"/>
      <c r="F1146" s="1562"/>
      <c r="G1146" s="1562"/>
      <c r="H1146" s="1531"/>
      <c r="I1146" s="1531"/>
      <c r="J1146" s="1531"/>
      <c r="K1146" s="1531"/>
      <c r="L1146" s="1531"/>
      <c r="M1146" s="1531"/>
      <c r="N1146" s="1531"/>
      <c r="O1146" s="1531"/>
      <c r="P1146" s="1531"/>
      <c r="Q1146" s="1531"/>
      <c r="R1146" s="1531"/>
      <c r="S1146" s="1531"/>
      <c r="T1146" s="1531"/>
      <c r="U1146" s="1531"/>
      <c r="V1146" s="1531"/>
      <c r="W1146" s="1531"/>
      <c r="X1146" s="1531"/>
      <c r="Y1146" s="1531"/>
      <c r="Z1146" s="1531"/>
      <c r="AA1146" s="1531"/>
      <c r="AB1146" s="1531"/>
      <c r="AC1146" s="1531"/>
      <c r="AD1146" s="1531"/>
      <c r="AE1146" s="1531"/>
      <c r="AF1146" s="1531"/>
      <c r="AG1146" s="1531"/>
      <c r="AH1146" s="1531"/>
      <c r="AI1146" s="1531"/>
      <c r="AJ1146" s="1531"/>
      <c r="AK1146" s="1531"/>
      <c r="AL1146" s="1531"/>
      <c r="AM1146" s="1531"/>
      <c r="AN1146" s="1531"/>
      <c r="AO1146" s="1531"/>
      <c r="AP1146" s="1531"/>
      <c r="AQ1146" s="1531"/>
      <c r="AR1146" s="1531"/>
      <c r="AS1146" s="1531"/>
      <c r="AT1146" s="1136"/>
      <c r="AU1146" s="1136"/>
      <c r="AV1146" s="1136"/>
      <c r="AW1146" s="1136"/>
      <c r="AX1146" s="1136"/>
      <c r="AY1146" s="1136"/>
      <c r="AZ1146" s="1136"/>
      <c r="BA1146" s="1136"/>
      <c r="BB1146" s="1136"/>
      <c r="BC1146" s="1136"/>
      <c r="BD1146" s="1136"/>
      <c r="BE1146" s="1136"/>
      <c r="BF1146" s="1136"/>
      <c r="BG1146" s="1136"/>
      <c r="BH1146" s="1136"/>
      <c r="BI1146" s="1136"/>
      <c r="BJ1146" s="1136"/>
      <c r="BK1146" s="1136"/>
      <c r="BL1146" s="1136"/>
      <c r="BM1146" s="1136"/>
      <c r="BN1146" s="1136"/>
      <c r="BO1146" s="1136"/>
      <c r="BP1146" s="1136"/>
      <c r="BQ1146" s="1136"/>
      <c r="BR1146" s="1136"/>
      <c r="BS1146" s="1136"/>
      <c r="BT1146" s="1136"/>
      <c r="BU1146" s="1136"/>
      <c r="BV1146" s="1136"/>
      <c r="BW1146" s="1136"/>
      <c r="BX1146" s="1136"/>
      <c r="BY1146" s="1136"/>
      <c r="BZ1146" s="1136"/>
      <c r="CA1146" s="1136"/>
      <c r="CB1146" s="1136"/>
      <c r="CC1146" s="1136"/>
      <c r="CD1146" s="1136"/>
      <c r="CE1146" s="1136"/>
      <c r="CF1146" s="1136"/>
      <c r="CG1146" s="1136"/>
      <c r="CH1146" s="1136"/>
      <c r="CI1146" s="1136"/>
      <c r="CJ1146" s="1136"/>
      <c r="CK1146" s="1136"/>
      <c r="CL1146" s="1136"/>
      <c r="CM1146" s="1136"/>
      <c r="CN1146" s="1136"/>
      <c r="CO1146" s="1136"/>
      <c r="CP1146" s="1136"/>
      <c r="CQ1146" s="1136"/>
      <c r="CR1146" s="1136"/>
      <c r="CS1146" s="1136"/>
      <c r="CT1146" s="1136"/>
      <c r="CU1146" s="1136"/>
      <c r="CV1146" s="1136"/>
      <c r="CW1146" s="1136"/>
      <c r="CX1146" s="1136"/>
      <c r="CY1146" s="1136"/>
      <c r="CZ1146" s="1136"/>
      <c r="DA1146" s="1136"/>
      <c r="DB1146" s="1136"/>
      <c r="DC1146" s="1136"/>
      <c r="DD1146" s="1136"/>
      <c r="DE1146" s="1136"/>
      <c r="DF1146" s="1136"/>
      <c r="DG1146" s="1136"/>
      <c r="DH1146" s="1136"/>
      <c r="DI1146" s="1136"/>
    </row>
    <row r="1147" spans="1:113" ht="15.75" x14ac:dyDescent="0.25">
      <c r="A1147" s="1471"/>
      <c r="B1147" s="1506"/>
      <c r="C1147" s="1578"/>
      <c r="D1147" s="1521"/>
      <c r="E1147" s="1521"/>
      <c r="F1147" s="1521"/>
      <c r="G1147" s="1521"/>
      <c r="H1147" s="1521"/>
      <c r="I1147" s="1531"/>
      <c r="J1147" s="1531"/>
      <c r="K1147" s="1531"/>
      <c r="L1147" s="1531"/>
      <c r="M1147" s="1531"/>
      <c r="N1147" s="1531"/>
      <c r="O1147" s="1531"/>
      <c r="P1147" s="1531"/>
      <c r="Q1147" s="1531"/>
      <c r="R1147" s="1531"/>
      <c r="S1147" s="1531"/>
      <c r="T1147" s="1531"/>
      <c r="U1147" s="1531"/>
      <c r="V1147" s="1531"/>
      <c r="W1147" s="1531"/>
      <c r="X1147" s="1531"/>
      <c r="Y1147" s="1531"/>
      <c r="Z1147" s="1531"/>
      <c r="AA1147" s="1531"/>
      <c r="AB1147" s="1531"/>
      <c r="AC1147" s="1531"/>
      <c r="AD1147" s="1531"/>
      <c r="AE1147" s="1531"/>
      <c r="AF1147" s="1531"/>
      <c r="AG1147" s="1531"/>
      <c r="AH1147" s="1531"/>
      <c r="AI1147" s="1531"/>
      <c r="AJ1147" s="1531"/>
      <c r="AK1147" s="1531"/>
      <c r="AL1147" s="1531"/>
      <c r="AM1147" s="1531"/>
      <c r="AN1147" s="1531"/>
      <c r="AO1147" s="1531"/>
      <c r="AP1147" s="1531"/>
      <c r="AQ1147" s="1531"/>
      <c r="AR1147" s="1531"/>
      <c r="AS1147" s="1531"/>
      <c r="AT1147" s="1136"/>
      <c r="AU1147" s="1136"/>
      <c r="AV1147" s="1136"/>
      <c r="AW1147" s="1136"/>
      <c r="AX1147" s="1136"/>
      <c r="AY1147" s="1136"/>
      <c r="AZ1147" s="1136"/>
      <c r="BA1147" s="1136"/>
      <c r="BB1147" s="1136"/>
      <c r="BC1147" s="1136"/>
      <c r="BD1147" s="1136"/>
      <c r="BE1147" s="1136"/>
      <c r="BF1147" s="1136"/>
      <c r="BG1147" s="1136"/>
      <c r="BH1147" s="1136"/>
      <c r="BI1147" s="1136"/>
      <c r="BJ1147" s="1136"/>
      <c r="BK1147" s="1136"/>
      <c r="BL1147" s="1136"/>
      <c r="BM1147" s="1136"/>
      <c r="BN1147" s="1136"/>
      <c r="BO1147" s="1136"/>
      <c r="BP1147" s="1136"/>
      <c r="BQ1147" s="1136"/>
      <c r="BR1147" s="1136"/>
      <c r="BS1147" s="1136"/>
      <c r="BT1147" s="1136"/>
      <c r="BU1147" s="1136"/>
      <c r="BV1147" s="1136"/>
      <c r="BW1147" s="1136"/>
      <c r="BX1147" s="1136"/>
      <c r="BY1147" s="1136"/>
      <c r="BZ1147" s="1136"/>
      <c r="CA1147" s="1136"/>
      <c r="CB1147" s="1136"/>
      <c r="CC1147" s="1136"/>
      <c r="CD1147" s="1136"/>
      <c r="CE1147" s="1136"/>
      <c r="CF1147" s="1136"/>
      <c r="CG1147" s="1136"/>
      <c r="CH1147" s="1136"/>
      <c r="CI1147" s="1136"/>
      <c r="CJ1147" s="1136"/>
      <c r="CK1147" s="1136"/>
      <c r="CL1147" s="1136"/>
      <c r="CM1147" s="1136"/>
      <c r="CN1147" s="1136"/>
      <c r="CO1147" s="1136"/>
      <c r="CP1147" s="1136"/>
      <c r="CQ1147" s="1136"/>
      <c r="CR1147" s="1136"/>
      <c r="CS1147" s="1136"/>
      <c r="CT1147" s="1136"/>
      <c r="CU1147" s="1136"/>
      <c r="CV1147" s="1136"/>
      <c r="CW1147" s="1136"/>
      <c r="CX1147" s="1136"/>
      <c r="CY1147" s="1136"/>
      <c r="CZ1147" s="1136"/>
      <c r="DA1147" s="1136"/>
      <c r="DB1147" s="1136"/>
      <c r="DC1147" s="1136"/>
      <c r="DD1147" s="1136"/>
      <c r="DE1147" s="1136"/>
      <c r="DF1147" s="1136"/>
      <c r="DG1147" s="1136"/>
      <c r="DH1147" s="1136"/>
      <c r="DI1147" s="1136"/>
    </row>
    <row r="1148" spans="1:113" ht="15.75" x14ac:dyDescent="0.25">
      <c r="A1148" s="1471"/>
      <c r="B1148" s="1506"/>
      <c r="C1148" s="1578"/>
      <c r="D1148" s="1630"/>
      <c r="E1148" s="1630"/>
      <c r="F1148" s="1630"/>
      <c r="G1148" s="1630"/>
      <c r="H1148" s="1531"/>
      <c r="I1148" s="1531"/>
      <c r="J1148" s="1531"/>
      <c r="K1148" s="1531"/>
      <c r="L1148" s="1531"/>
      <c r="M1148" s="1531"/>
      <c r="N1148" s="1531"/>
      <c r="O1148" s="1531"/>
      <c r="P1148" s="1531"/>
      <c r="Q1148" s="1531"/>
      <c r="R1148" s="1531"/>
      <c r="S1148" s="1531"/>
      <c r="T1148" s="1531"/>
      <c r="U1148" s="1531"/>
      <c r="V1148" s="1531"/>
      <c r="W1148" s="1531"/>
      <c r="X1148" s="1531"/>
      <c r="Y1148" s="1531"/>
      <c r="Z1148" s="1531"/>
      <c r="AA1148" s="1531"/>
      <c r="AB1148" s="1531"/>
      <c r="AC1148" s="1531"/>
      <c r="AD1148" s="1531"/>
      <c r="AE1148" s="1531"/>
      <c r="AF1148" s="1531"/>
      <c r="AG1148" s="1531"/>
      <c r="AH1148" s="1531"/>
      <c r="AI1148" s="1531"/>
      <c r="AJ1148" s="1531"/>
      <c r="AK1148" s="1531"/>
      <c r="AL1148" s="1531"/>
      <c r="AM1148" s="1531"/>
      <c r="AN1148" s="1531"/>
      <c r="AO1148" s="1531"/>
      <c r="AP1148" s="1531"/>
      <c r="AQ1148" s="1531"/>
      <c r="AR1148" s="1531"/>
      <c r="AS1148" s="1531"/>
      <c r="AT1148" s="1136"/>
      <c r="AU1148" s="1136"/>
      <c r="AV1148" s="1136"/>
      <c r="AW1148" s="1136"/>
      <c r="AX1148" s="1136"/>
      <c r="AY1148" s="1136"/>
      <c r="AZ1148" s="1136"/>
      <c r="BA1148" s="1136"/>
      <c r="BB1148" s="1136"/>
      <c r="BC1148" s="1136"/>
      <c r="BD1148" s="1136"/>
      <c r="BE1148" s="1136"/>
      <c r="BF1148" s="1136"/>
      <c r="BG1148" s="1136"/>
      <c r="BH1148" s="1136"/>
      <c r="BI1148" s="1136"/>
      <c r="BJ1148" s="1136"/>
      <c r="BK1148" s="1136"/>
      <c r="BL1148" s="1136"/>
      <c r="BM1148" s="1136"/>
      <c r="BN1148" s="1136"/>
      <c r="BO1148" s="1136"/>
      <c r="BP1148" s="1136"/>
      <c r="BQ1148" s="1136"/>
      <c r="BR1148" s="1136"/>
      <c r="BS1148" s="1136"/>
      <c r="BT1148" s="1136"/>
      <c r="BU1148" s="1136"/>
      <c r="BV1148" s="1136"/>
      <c r="BW1148" s="1136"/>
      <c r="BX1148" s="1136"/>
      <c r="BY1148" s="1136"/>
      <c r="BZ1148" s="1136"/>
      <c r="CA1148" s="1136"/>
      <c r="CB1148" s="1136"/>
      <c r="CC1148" s="1136"/>
      <c r="CD1148" s="1136"/>
      <c r="CE1148" s="1136"/>
      <c r="CF1148" s="1136"/>
      <c r="CG1148" s="1136"/>
      <c r="CH1148" s="1136"/>
      <c r="CI1148" s="1136"/>
      <c r="CJ1148" s="1136"/>
      <c r="CK1148" s="1136"/>
      <c r="CL1148" s="1136"/>
      <c r="CM1148" s="1136"/>
      <c r="CN1148" s="1136"/>
      <c r="CO1148" s="1136"/>
      <c r="CP1148" s="1136"/>
      <c r="CQ1148" s="1136"/>
      <c r="CR1148" s="1136"/>
      <c r="CS1148" s="1136"/>
      <c r="CT1148" s="1136"/>
      <c r="CU1148" s="1136"/>
      <c r="CV1148" s="1136"/>
      <c r="CW1148" s="1136"/>
      <c r="CX1148" s="1136"/>
      <c r="CY1148" s="1136"/>
      <c r="CZ1148" s="1136"/>
      <c r="DA1148" s="1136"/>
      <c r="DB1148" s="1136"/>
      <c r="DC1148" s="1136"/>
      <c r="DD1148" s="1136"/>
      <c r="DE1148" s="1136"/>
      <c r="DF1148" s="1136"/>
      <c r="DG1148" s="1136"/>
      <c r="DH1148" s="1136"/>
      <c r="DI1148" s="1136"/>
    </row>
    <row r="1149" spans="1:113" ht="15.75" x14ac:dyDescent="0.25">
      <c r="A1149" s="1579" t="s">
        <v>2514</v>
      </c>
      <c r="B1149" s="1443"/>
      <c r="C1149" s="1521"/>
      <c r="D1149" s="1634"/>
      <c r="E1149" s="1634"/>
      <c r="F1149" s="1634"/>
      <c r="G1149" s="1634"/>
      <c r="H1149" s="1531"/>
      <c r="I1149" s="1531"/>
      <c r="J1149" s="1531"/>
      <c r="K1149" s="1531"/>
      <c r="L1149" s="1531"/>
      <c r="M1149" s="1531"/>
      <c r="N1149" s="1531"/>
      <c r="O1149" s="1531"/>
      <c r="P1149" s="1531"/>
      <c r="Q1149" s="1531"/>
      <c r="R1149" s="1531"/>
      <c r="S1149" s="1531"/>
      <c r="T1149" s="1531"/>
      <c r="U1149" s="1531"/>
      <c r="V1149" s="1531"/>
      <c r="W1149" s="1531"/>
      <c r="X1149" s="1531"/>
      <c r="Y1149" s="1531"/>
      <c r="Z1149" s="1531"/>
      <c r="AA1149" s="1531"/>
      <c r="AB1149" s="1531"/>
      <c r="AC1149" s="1531"/>
      <c r="AD1149" s="1531"/>
      <c r="AE1149" s="1531"/>
      <c r="AF1149" s="1531"/>
      <c r="AG1149" s="1531"/>
      <c r="AH1149" s="1531"/>
      <c r="AI1149" s="1531"/>
      <c r="AJ1149" s="1531"/>
      <c r="AK1149" s="1531"/>
      <c r="AL1149" s="1531"/>
      <c r="AM1149" s="1531"/>
      <c r="AN1149" s="1531"/>
      <c r="AO1149" s="1531"/>
      <c r="AP1149" s="1531"/>
      <c r="AQ1149" s="1531"/>
      <c r="AR1149" s="1531"/>
      <c r="AS1149" s="1531"/>
      <c r="AT1149" s="1136"/>
      <c r="AU1149" s="1136"/>
      <c r="AV1149" s="1136"/>
      <c r="AW1149" s="1136"/>
      <c r="AX1149" s="1136"/>
      <c r="AY1149" s="1136"/>
      <c r="AZ1149" s="1136"/>
      <c r="BA1149" s="1136"/>
      <c r="BB1149" s="1136"/>
      <c r="BC1149" s="1136"/>
      <c r="BD1149" s="1136"/>
      <c r="BE1149" s="1136"/>
      <c r="BF1149" s="1136"/>
      <c r="BG1149" s="1136"/>
      <c r="BH1149" s="1136"/>
      <c r="BI1149" s="1136"/>
      <c r="BJ1149" s="1136"/>
      <c r="BK1149" s="1136"/>
      <c r="BL1149" s="1136"/>
      <c r="BM1149" s="1136"/>
      <c r="BN1149" s="1136"/>
      <c r="BO1149" s="1136"/>
      <c r="BP1149" s="1136"/>
      <c r="BQ1149" s="1136"/>
      <c r="BR1149" s="1136"/>
      <c r="BS1149" s="1136"/>
      <c r="BT1149" s="1136"/>
      <c r="BU1149" s="1136"/>
      <c r="BV1149" s="1136"/>
      <c r="BW1149" s="1136"/>
      <c r="BX1149" s="1136"/>
      <c r="BY1149" s="1136"/>
      <c r="BZ1149" s="1136"/>
      <c r="CA1149" s="1136"/>
      <c r="CB1149" s="1136"/>
      <c r="CC1149" s="1136"/>
      <c r="CD1149" s="1136"/>
      <c r="CE1149" s="1136"/>
      <c r="CF1149" s="1136"/>
      <c r="CG1149" s="1136"/>
      <c r="CH1149" s="1136"/>
      <c r="CI1149" s="1136"/>
      <c r="CJ1149" s="1136"/>
      <c r="CK1149" s="1136"/>
      <c r="CL1149" s="1136"/>
      <c r="CM1149" s="1136"/>
      <c r="CN1149" s="1136"/>
      <c r="CO1149" s="1136"/>
      <c r="CP1149" s="1136"/>
      <c r="CQ1149" s="1136"/>
      <c r="CR1149" s="1136"/>
      <c r="CS1149" s="1136"/>
      <c r="CT1149" s="1136"/>
      <c r="CU1149" s="1136"/>
      <c r="CV1149" s="1136"/>
      <c r="CW1149" s="1136"/>
      <c r="CX1149" s="1136"/>
      <c r="CY1149" s="1136"/>
      <c r="CZ1149" s="1136"/>
      <c r="DA1149" s="1136"/>
      <c r="DB1149" s="1136"/>
      <c r="DC1149" s="1136"/>
      <c r="DD1149" s="1136"/>
      <c r="DE1149" s="1136"/>
      <c r="DF1149" s="1136"/>
      <c r="DG1149" s="1136"/>
      <c r="DH1149" s="1136"/>
      <c r="DI1149" s="1136"/>
    </row>
    <row r="1150" spans="1:113" ht="15.75" x14ac:dyDescent="0.25">
      <c r="A1150" s="1461" t="s">
        <v>2515</v>
      </c>
      <c r="B1150" s="1443"/>
      <c r="C1150" s="1521"/>
      <c r="D1150" s="1562"/>
      <c r="E1150" s="1562"/>
      <c r="F1150" s="1562"/>
      <c r="G1150" s="1562"/>
      <c r="H1150" s="1531"/>
      <c r="I1150" s="1531"/>
      <c r="J1150" s="1531"/>
      <c r="K1150" s="1531"/>
      <c r="L1150" s="1531"/>
      <c r="M1150" s="1531"/>
      <c r="N1150" s="1531"/>
      <c r="O1150" s="1531"/>
      <c r="P1150" s="1531"/>
      <c r="Q1150" s="1531"/>
      <c r="R1150" s="1531"/>
      <c r="S1150" s="1531"/>
      <c r="T1150" s="1531"/>
      <c r="U1150" s="1531"/>
      <c r="V1150" s="1531"/>
      <c r="W1150" s="1531"/>
      <c r="X1150" s="1531"/>
      <c r="Y1150" s="1531"/>
      <c r="Z1150" s="1531"/>
      <c r="AA1150" s="1531"/>
      <c r="AB1150" s="1531"/>
      <c r="AC1150" s="1531"/>
      <c r="AD1150" s="1531"/>
      <c r="AE1150" s="1531"/>
      <c r="AF1150" s="1531"/>
      <c r="AG1150" s="1531"/>
      <c r="AH1150" s="1531"/>
      <c r="AI1150" s="1531"/>
      <c r="AJ1150" s="1531"/>
      <c r="AK1150" s="1531"/>
      <c r="AL1150" s="1531"/>
      <c r="AM1150" s="1531"/>
      <c r="AN1150" s="1531"/>
      <c r="AO1150" s="1531"/>
      <c r="AP1150" s="1531"/>
      <c r="AQ1150" s="1531"/>
      <c r="AR1150" s="1531"/>
      <c r="AS1150" s="1531"/>
      <c r="AT1150" s="1136"/>
      <c r="AU1150" s="1136"/>
      <c r="AV1150" s="1136"/>
      <c r="AW1150" s="1136"/>
      <c r="AX1150" s="1136"/>
      <c r="AY1150" s="1136"/>
      <c r="AZ1150" s="1136"/>
      <c r="BA1150" s="1136"/>
      <c r="BB1150" s="1136"/>
      <c r="BC1150" s="1136"/>
      <c r="BD1150" s="1136"/>
      <c r="BE1150" s="1136"/>
      <c r="BF1150" s="1136"/>
      <c r="BG1150" s="1136"/>
      <c r="BH1150" s="1136"/>
      <c r="BI1150" s="1136"/>
      <c r="BJ1150" s="1136"/>
      <c r="BK1150" s="1136"/>
      <c r="BL1150" s="1136"/>
      <c r="BM1150" s="1136"/>
      <c r="BN1150" s="1136"/>
      <c r="BO1150" s="1136"/>
      <c r="BP1150" s="1136"/>
      <c r="BQ1150" s="1136"/>
      <c r="BR1150" s="1136"/>
      <c r="BS1150" s="1136"/>
      <c r="BT1150" s="1136"/>
      <c r="BU1150" s="1136"/>
      <c r="BV1150" s="1136"/>
      <c r="BW1150" s="1136"/>
      <c r="BX1150" s="1136"/>
      <c r="BY1150" s="1136"/>
      <c r="BZ1150" s="1136"/>
      <c r="CA1150" s="1136"/>
      <c r="CB1150" s="1136"/>
      <c r="CC1150" s="1136"/>
      <c r="CD1150" s="1136"/>
      <c r="CE1150" s="1136"/>
      <c r="CF1150" s="1136"/>
      <c r="CG1150" s="1136"/>
      <c r="CH1150" s="1136"/>
      <c r="CI1150" s="1136"/>
      <c r="CJ1150" s="1136"/>
      <c r="CK1150" s="1136"/>
      <c r="CL1150" s="1136"/>
      <c r="CM1150" s="1136"/>
      <c r="CN1150" s="1136"/>
      <c r="CO1150" s="1136"/>
      <c r="CP1150" s="1136"/>
      <c r="CQ1150" s="1136"/>
      <c r="CR1150" s="1136"/>
      <c r="CS1150" s="1136"/>
      <c r="CT1150" s="1136"/>
      <c r="CU1150" s="1136"/>
      <c r="CV1150" s="1136"/>
      <c r="CW1150" s="1136"/>
      <c r="CX1150" s="1136"/>
      <c r="CY1150" s="1136"/>
      <c r="CZ1150" s="1136"/>
      <c r="DA1150" s="1136"/>
      <c r="DB1150" s="1136"/>
      <c r="DC1150" s="1136"/>
      <c r="DD1150" s="1136"/>
      <c r="DE1150" s="1136"/>
      <c r="DF1150" s="1136"/>
      <c r="DG1150" s="1136"/>
      <c r="DH1150" s="1136"/>
      <c r="DI1150" s="1136"/>
    </row>
    <row r="1151" spans="1:113" ht="31.5" x14ac:dyDescent="0.25">
      <c r="A1151" s="1502" t="s">
        <v>4149</v>
      </c>
      <c r="B1151" s="1443"/>
      <c r="C1151" s="1521"/>
      <c r="D1151" s="1563"/>
      <c r="E1151" s="1563"/>
      <c r="F1151" s="1563"/>
      <c r="G1151" s="1563"/>
      <c r="H1151" s="1531"/>
      <c r="I1151" s="1531"/>
      <c r="J1151" s="1531"/>
      <c r="K1151" s="1531"/>
      <c r="L1151" s="1531"/>
      <c r="M1151" s="1531"/>
      <c r="N1151" s="1531"/>
      <c r="O1151" s="1531"/>
      <c r="P1151" s="1531"/>
      <c r="Q1151" s="1531"/>
      <c r="R1151" s="1531"/>
      <c r="S1151" s="1531"/>
      <c r="T1151" s="1531"/>
      <c r="U1151" s="1531"/>
      <c r="V1151" s="1531"/>
      <c r="W1151" s="1531"/>
      <c r="X1151" s="1531"/>
      <c r="Y1151" s="1531"/>
      <c r="Z1151" s="1531"/>
      <c r="AA1151" s="1531"/>
      <c r="AB1151" s="1531"/>
      <c r="AC1151" s="1531"/>
      <c r="AD1151" s="1531"/>
      <c r="AE1151" s="1531"/>
      <c r="AF1151" s="1531"/>
      <c r="AG1151" s="1531"/>
      <c r="AH1151" s="1531"/>
      <c r="AI1151" s="1531"/>
      <c r="AJ1151" s="1531"/>
      <c r="AK1151" s="1531"/>
      <c r="AL1151" s="1531"/>
      <c r="AM1151" s="1531"/>
      <c r="AN1151" s="1531"/>
      <c r="AO1151" s="1531"/>
      <c r="AP1151" s="1531"/>
      <c r="AQ1151" s="1531"/>
      <c r="AR1151" s="1531"/>
      <c r="AS1151" s="1531"/>
      <c r="AT1151" s="1136"/>
      <c r="AU1151" s="1136"/>
      <c r="AV1151" s="1136"/>
      <c r="AW1151" s="1136"/>
      <c r="AX1151" s="1136"/>
      <c r="AY1151" s="1136"/>
      <c r="AZ1151" s="1136"/>
      <c r="BA1151" s="1136"/>
      <c r="BB1151" s="1136"/>
      <c r="BC1151" s="1136"/>
      <c r="BD1151" s="1136"/>
      <c r="BE1151" s="1136"/>
      <c r="BF1151" s="1136"/>
      <c r="BG1151" s="1136"/>
      <c r="BH1151" s="1136"/>
      <c r="BI1151" s="1136"/>
      <c r="BJ1151" s="1136"/>
      <c r="BK1151" s="1136"/>
      <c r="BL1151" s="1136"/>
      <c r="BM1151" s="1136"/>
      <c r="BN1151" s="1136"/>
      <c r="BO1151" s="1136"/>
      <c r="BP1151" s="1136"/>
      <c r="BQ1151" s="1136"/>
      <c r="BR1151" s="1136"/>
      <c r="BS1151" s="1136"/>
      <c r="BT1151" s="1136"/>
      <c r="BU1151" s="1136"/>
      <c r="BV1151" s="1136"/>
      <c r="BW1151" s="1136"/>
      <c r="BX1151" s="1136"/>
      <c r="BY1151" s="1136"/>
      <c r="BZ1151" s="1136"/>
      <c r="CA1151" s="1136"/>
      <c r="CB1151" s="1136"/>
      <c r="CC1151" s="1136"/>
      <c r="CD1151" s="1136"/>
      <c r="CE1151" s="1136"/>
      <c r="CF1151" s="1136"/>
      <c r="CG1151" s="1136"/>
      <c r="CH1151" s="1136"/>
      <c r="CI1151" s="1136"/>
      <c r="CJ1151" s="1136"/>
      <c r="CK1151" s="1136"/>
      <c r="CL1151" s="1136"/>
      <c r="CM1151" s="1136"/>
      <c r="CN1151" s="1136"/>
      <c r="CO1151" s="1136"/>
      <c r="CP1151" s="1136"/>
      <c r="CQ1151" s="1136"/>
      <c r="CR1151" s="1136"/>
      <c r="CS1151" s="1136"/>
      <c r="CT1151" s="1136"/>
      <c r="CU1151" s="1136"/>
      <c r="CV1151" s="1136"/>
      <c r="CW1151" s="1136"/>
      <c r="CX1151" s="1136"/>
      <c r="CY1151" s="1136"/>
      <c r="CZ1151" s="1136"/>
      <c r="DA1151" s="1136"/>
      <c r="DB1151" s="1136"/>
      <c r="DC1151" s="1136"/>
      <c r="DD1151" s="1136"/>
      <c r="DE1151" s="1136"/>
      <c r="DF1151" s="1136"/>
      <c r="DG1151" s="1136"/>
      <c r="DH1151" s="1136"/>
      <c r="DI1151" s="1136"/>
    </row>
    <row r="1152" spans="1:113" ht="15.75" x14ac:dyDescent="0.25">
      <c r="A1152" s="1580" t="s">
        <v>2516</v>
      </c>
      <c r="B1152" s="1439"/>
      <c r="C1152" s="1562"/>
      <c r="D1152" s="1531"/>
      <c r="E1152" s="1531"/>
      <c r="F1152" s="1531"/>
      <c r="G1152" s="1531"/>
      <c r="H1152" s="1531"/>
      <c r="I1152" s="1531"/>
      <c r="J1152" s="1531"/>
      <c r="K1152" s="1531"/>
      <c r="L1152" s="1531"/>
      <c r="M1152" s="1531"/>
      <c r="N1152" s="1531"/>
      <c r="O1152" s="1531"/>
      <c r="P1152" s="1531"/>
      <c r="Q1152" s="1531"/>
      <c r="R1152" s="1531"/>
      <c r="S1152" s="1531"/>
      <c r="T1152" s="1531"/>
      <c r="U1152" s="1531"/>
      <c r="V1152" s="1531"/>
      <c r="W1152" s="1531"/>
      <c r="X1152" s="1531"/>
      <c r="Y1152" s="1531"/>
      <c r="Z1152" s="1531"/>
      <c r="AA1152" s="1531"/>
      <c r="AB1152" s="1531"/>
      <c r="AC1152" s="1531"/>
      <c r="AD1152" s="1531"/>
      <c r="AE1152" s="1531"/>
      <c r="AF1152" s="1531"/>
      <c r="AG1152" s="1531"/>
      <c r="AH1152" s="1531"/>
      <c r="AI1152" s="1531"/>
      <c r="AJ1152" s="1531"/>
      <c r="AK1152" s="1531"/>
      <c r="AL1152" s="1531"/>
      <c r="AM1152" s="1531"/>
      <c r="AN1152" s="1531"/>
      <c r="AO1152" s="1531"/>
      <c r="AP1152" s="1531"/>
      <c r="AQ1152" s="1531"/>
      <c r="AR1152" s="1531"/>
      <c r="AS1152" s="1531"/>
      <c r="AT1152" s="1136"/>
      <c r="AU1152" s="1136"/>
      <c r="AV1152" s="1136"/>
      <c r="AW1152" s="1136"/>
      <c r="AX1152" s="1136"/>
      <c r="AY1152" s="1136"/>
      <c r="AZ1152" s="1136"/>
      <c r="BA1152" s="1136"/>
      <c r="BB1152" s="1136"/>
      <c r="BC1152" s="1136"/>
      <c r="BD1152" s="1136"/>
      <c r="BE1152" s="1136"/>
      <c r="BF1152" s="1136"/>
      <c r="BG1152" s="1136"/>
      <c r="BH1152" s="1136"/>
      <c r="BI1152" s="1136"/>
      <c r="BJ1152" s="1136"/>
      <c r="BK1152" s="1136"/>
      <c r="BL1152" s="1136"/>
      <c r="BM1152" s="1136"/>
      <c r="BN1152" s="1136"/>
      <c r="BO1152" s="1136"/>
      <c r="BP1152" s="1136"/>
      <c r="BQ1152" s="1136"/>
      <c r="BR1152" s="1136"/>
      <c r="BS1152" s="1136"/>
      <c r="BT1152" s="1136"/>
      <c r="BU1152" s="1136"/>
      <c r="BV1152" s="1136"/>
      <c r="BW1152" s="1136"/>
      <c r="BX1152" s="1136"/>
      <c r="BY1152" s="1136"/>
      <c r="BZ1152" s="1136"/>
      <c r="CA1152" s="1136"/>
      <c r="CB1152" s="1136"/>
      <c r="CC1152" s="1136"/>
      <c r="CD1152" s="1136"/>
      <c r="CE1152" s="1136"/>
      <c r="CF1152" s="1136"/>
      <c r="CG1152" s="1136"/>
      <c r="CH1152" s="1136"/>
      <c r="CI1152" s="1136"/>
      <c r="CJ1152" s="1136"/>
      <c r="CK1152" s="1136"/>
      <c r="CL1152" s="1136"/>
      <c r="CM1152" s="1136"/>
      <c r="CN1152" s="1136"/>
      <c r="CO1152" s="1136"/>
      <c r="CP1152" s="1136"/>
      <c r="CQ1152" s="1136"/>
      <c r="CR1152" s="1136"/>
      <c r="CS1152" s="1136"/>
      <c r="CT1152" s="1136"/>
      <c r="CU1152" s="1136"/>
      <c r="CV1152" s="1136"/>
      <c r="CW1152" s="1136"/>
      <c r="CX1152" s="1136"/>
      <c r="CY1152" s="1136"/>
      <c r="CZ1152" s="1136"/>
      <c r="DA1152" s="1136"/>
      <c r="DB1152" s="1136"/>
      <c r="DC1152" s="1136"/>
      <c r="DD1152" s="1136"/>
      <c r="DE1152" s="1136"/>
      <c r="DF1152" s="1136"/>
      <c r="DG1152" s="1136"/>
      <c r="DH1152" s="1136"/>
      <c r="DI1152" s="1136"/>
    </row>
    <row r="1153" spans="1:113" ht="15.75" x14ac:dyDescent="0.25">
      <c r="A1153" s="1456" t="s">
        <v>2517</v>
      </c>
      <c r="B1153" s="1439"/>
      <c r="C1153" s="1562"/>
      <c r="D1153" s="1577"/>
      <c r="E1153" s="1577"/>
      <c r="F1153" s="1577"/>
      <c r="G1153" s="1577"/>
      <c r="H1153" s="1531"/>
      <c r="I1153" s="1531"/>
      <c r="J1153" s="1531"/>
      <c r="K1153" s="1531"/>
      <c r="L1153" s="1531"/>
      <c r="M1153" s="1531"/>
      <c r="N1153" s="1531"/>
      <c r="O1153" s="1531"/>
      <c r="P1153" s="1531"/>
      <c r="Q1153" s="1531"/>
      <c r="R1153" s="1531"/>
      <c r="S1153" s="1531"/>
      <c r="T1153" s="1531"/>
      <c r="U1153" s="1531"/>
      <c r="V1153" s="1531"/>
      <c r="W1153" s="1531"/>
      <c r="X1153" s="1531"/>
      <c r="Y1153" s="1531"/>
      <c r="Z1153" s="1531"/>
      <c r="AA1153" s="1531"/>
      <c r="AB1153" s="1531"/>
      <c r="AC1153" s="1531"/>
      <c r="AD1153" s="1531"/>
      <c r="AE1153" s="1531"/>
      <c r="AF1153" s="1531"/>
      <c r="AG1153" s="1531"/>
      <c r="AH1153" s="1531"/>
      <c r="AI1153" s="1531"/>
      <c r="AJ1153" s="1531"/>
      <c r="AK1153" s="1531"/>
      <c r="AL1153" s="1531"/>
      <c r="AM1153" s="1531"/>
      <c r="AN1153" s="1531"/>
      <c r="AO1153" s="1531"/>
      <c r="AP1153" s="1531"/>
      <c r="AQ1153" s="1531"/>
      <c r="AR1153" s="1531"/>
      <c r="AS1153" s="1531"/>
      <c r="AT1153" s="1136"/>
      <c r="AU1153" s="1136"/>
      <c r="AV1153" s="1136"/>
      <c r="AW1153" s="1136"/>
      <c r="AX1153" s="1136"/>
      <c r="AY1153" s="1136"/>
      <c r="AZ1153" s="1136"/>
      <c r="BA1153" s="1136"/>
      <c r="BB1153" s="1136"/>
      <c r="BC1153" s="1136"/>
      <c r="BD1153" s="1136"/>
      <c r="BE1153" s="1136"/>
      <c r="BF1153" s="1136"/>
      <c r="BG1153" s="1136"/>
      <c r="BH1153" s="1136"/>
      <c r="BI1153" s="1136"/>
      <c r="BJ1153" s="1136"/>
      <c r="BK1153" s="1136"/>
      <c r="BL1153" s="1136"/>
      <c r="BM1153" s="1136"/>
      <c r="BN1153" s="1136"/>
      <c r="BO1153" s="1136"/>
      <c r="BP1153" s="1136"/>
      <c r="BQ1153" s="1136"/>
      <c r="BR1153" s="1136"/>
      <c r="BS1153" s="1136"/>
      <c r="BT1153" s="1136"/>
      <c r="BU1153" s="1136"/>
      <c r="BV1153" s="1136"/>
      <c r="BW1153" s="1136"/>
      <c r="BX1153" s="1136"/>
      <c r="BY1153" s="1136"/>
      <c r="BZ1153" s="1136"/>
      <c r="CA1153" s="1136"/>
      <c r="CB1153" s="1136"/>
      <c r="CC1153" s="1136"/>
      <c r="CD1153" s="1136"/>
      <c r="CE1153" s="1136"/>
      <c r="CF1153" s="1136"/>
      <c r="CG1153" s="1136"/>
      <c r="CH1153" s="1136"/>
      <c r="CI1153" s="1136"/>
      <c r="CJ1153" s="1136"/>
      <c r="CK1153" s="1136"/>
      <c r="CL1153" s="1136"/>
      <c r="CM1153" s="1136"/>
      <c r="CN1153" s="1136"/>
      <c r="CO1153" s="1136"/>
      <c r="CP1153" s="1136"/>
      <c r="CQ1153" s="1136"/>
      <c r="CR1153" s="1136"/>
      <c r="CS1153" s="1136"/>
      <c r="CT1153" s="1136"/>
      <c r="CU1153" s="1136"/>
      <c r="CV1153" s="1136"/>
      <c r="CW1153" s="1136"/>
      <c r="CX1153" s="1136"/>
      <c r="CY1153" s="1136"/>
      <c r="CZ1153" s="1136"/>
      <c r="DA1153" s="1136"/>
      <c r="DB1153" s="1136"/>
      <c r="DC1153" s="1136"/>
      <c r="DD1153" s="1136"/>
      <c r="DE1153" s="1136"/>
      <c r="DF1153" s="1136"/>
      <c r="DG1153" s="1136"/>
      <c r="DH1153" s="1136"/>
      <c r="DI1153" s="1136"/>
    </row>
    <row r="1154" spans="1:113" ht="15.75" x14ac:dyDescent="0.25">
      <c r="A1154" s="1417" t="s">
        <v>2518</v>
      </c>
      <c r="B1154" s="1582">
        <f>B723</f>
        <v>0.2</v>
      </c>
      <c r="C1154" s="1609"/>
      <c r="D1154" s="1531"/>
      <c r="E1154" s="1531"/>
      <c r="F1154" s="1531"/>
      <c r="G1154" s="1531"/>
      <c r="H1154" s="1531"/>
      <c r="I1154" s="1531"/>
      <c r="J1154" s="1531"/>
      <c r="K1154" s="1531"/>
      <c r="L1154" s="1531"/>
      <c r="M1154" s="1531"/>
      <c r="N1154" s="1531"/>
      <c r="O1154" s="1531"/>
      <c r="P1154" s="1531"/>
      <c r="Q1154" s="1531"/>
      <c r="R1154" s="1531"/>
      <c r="S1154" s="1531"/>
      <c r="T1154" s="1531"/>
      <c r="U1154" s="1531"/>
      <c r="V1154" s="1531"/>
      <c r="W1154" s="1531"/>
      <c r="X1154" s="1531"/>
      <c r="Y1154" s="1531"/>
      <c r="Z1154" s="1531"/>
      <c r="AA1154" s="1531"/>
      <c r="AB1154" s="1531"/>
      <c r="AC1154" s="1531"/>
      <c r="AD1154" s="1531"/>
      <c r="AE1154" s="1531"/>
      <c r="AF1154" s="1531"/>
      <c r="AG1154" s="1531"/>
      <c r="AH1154" s="1531"/>
      <c r="AI1154" s="1531"/>
      <c r="AJ1154" s="1531"/>
      <c r="AK1154" s="1531"/>
      <c r="AL1154" s="1531"/>
      <c r="AM1154" s="1531"/>
      <c r="AN1154" s="1531"/>
      <c r="AO1154" s="1531"/>
      <c r="AP1154" s="1531"/>
      <c r="AQ1154" s="1531"/>
      <c r="AR1154" s="1531"/>
      <c r="AS1154" s="1531"/>
      <c r="AT1154" s="1136"/>
      <c r="AU1154" s="1136"/>
      <c r="AV1154" s="1136"/>
      <c r="AW1154" s="1136"/>
      <c r="AX1154" s="1136"/>
      <c r="AY1154" s="1136"/>
      <c r="AZ1154" s="1136"/>
      <c r="BA1154" s="1136"/>
      <c r="BB1154" s="1136"/>
      <c r="BC1154" s="1136"/>
      <c r="BD1154" s="1136"/>
      <c r="BE1154" s="1136"/>
      <c r="BF1154" s="1136"/>
      <c r="BG1154" s="1136"/>
      <c r="BH1154" s="1136"/>
      <c r="BI1154" s="1136"/>
      <c r="BJ1154" s="1136"/>
      <c r="BK1154" s="1136"/>
      <c r="BL1154" s="1136"/>
      <c r="BM1154" s="1136"/>
      <c r="BN1154" s="1136"/>
      <c r="BO1154" s="1136"/>
      <c r="BP1154" s="1136"/>
      <c r="BQ1154" s="1136"/>
      <c r="BR1154" s="1136"/>
      <c r="BS1154" s="1136"/>
      <c r="BT1154" s="1136"/>
      <c r="BU1154" s="1136"/>
      <c r="BV1154" s="1136"/>
      <c r="BW1154" s="1136"/>
      <c r="BX1154" s="1136"/>
      <c r="BY1154" s="1136"/>
      <c r="BZ1154" s="1136"/>
      <c r="CA1154" s="1136"/>
      <c r="CB1154" s="1136"/>
      <c r="CC1154" s="1136"/>
      <c r="CD1154" s="1136"/>
      <c r="CE1154" s="1136"/>
      <c r="CF1154" s="1136"/>
      <c r="CG1154" s="1136"/>
      <c r="CH1154" s="1136"/>
      <c r="CI1154" s="1136"/>
      <c r="CJ1154" s="1136"/>
      <c r="CK1154" s="1136"/>
      <c r="CL1154" s="1136"/>
      <c r="CM1154" s="1136"/>
      <c r="CN1154" s="1136"/>
      <c r="CO1154" s="1136"/>
      <c r="CP1154" s="1136"/>
      <c r="CQ1154" s="1136"/>
      <c r="CR1154" s="1136"/>
      <c r="CS1154" s="1136"/>
      <c r="CT1154" s="1136"/>
      <c r="CU1154" s="1136"/>
      <c r="CV1154" s="1136"/>
      <c r="CW1154" s="1136"/>
      <c r="CX1154" s="1136"/>
      <c r="CY1154" s="1136"/>
      <c r="CZ1154" s="1136"/>
      <c r="DA1154" s="1136"/>
      <c r="DB1154" s="1136"/>
      <c r="DC1154" s="1136"/>
      <c r="DD1154" s="1136"/>
      <c r="DE1154" s="1136"/>
      <c r="DF1154" s="1136"/>
      <c r="DG1154" s="1136"/>
      <c r="DH1154" s="1136"/>
      <c r="DI1154" s="1136"/>
    </row>
    <row r="1155" spans="1:113" ht="15.75" x14ac:dyDescent="0.25">
      <c r="A1155" s="1417" t="s">
        <v>2519</v>
      </c>
      <c r="B1155" s="1582">
        <f>B724</f>
        <v>0.1</v>
      </c>
      <c r="C1155" s="1609"/>
      <c r="D1155" s="1531"/>
      <c r="E1155" s="1531"/>
      <c r="F1155" s="1531"/>
      <c r="G1155" s="1531"/>
      <c r="H1155" s="1531"/>
      <c r="I1155" s="1531"/>
      <c r="J1155" s="1531"/>
      <c r="K1155" s="1531"/>
      <c r="L1155" s="1531"/>
      <c r="M1155" s="1531"/>
      <c r="N1155" s="1531"/>
      <c r="O1155" s="1531"/>
      <c r="P1155" s="1531"/>
      <c r="Q1155" s="1531"/>
      <c r="R1155" s="1531"/>
      <c r="S1155" s="1531"/>
      <c r="T1155" s="1531"/>
      <c r="U1155" s="1531"/>
      <c r="V1155" s="1531"/>
      <c r="W1155" s="1531"/>
      <c r="X1155" s="1531"/>
      <c r="Y1155" s="1531"/>
      <c r="Z1155" s="1531"/>
      <c r="AA1155" s="1531"/>
      <c r="AB1155" s="1531"/>
      <c r="AC1155" s="1531"/>
      <c r="AD1155" s="1531"/>
      <c r="AE1155" s="1531"/>
      <c r="AF1155" s="1531"/>
      <c r="AG1155" s="1531"/>
      <c r="AH1155" s="1531"/>
      <c r="AI1155" s="1531"/>
      <c r="AJ1155" s="1531"/>
      <c r="AK1155" s="1531"/>
      <c r="AL1155" s="1531"/>
      <c r="AM1155" s="1531"/>
      <c r="AN1155" s="1531"/>
      <c r="AO1155" s="1531"/>
      <c r="AP1155" s="1531"/>
      <c r="AQ1155" s="1531"/>
      <c r="AR1155" s="1531"/>
      <c r="AS1155" s="1531"/>
      <c r="AT1155" s="1136"/>
      <c r="AU1155" s="1136"/>
      <c r="AV1155" s="1136"/>
      <c r="AW1155" s="1136"/>
      <c r="AX1155" s="1136"/>
      <c r="AY1155" s="1136"/>
      <c r="AZ1155" s="1136"/>
      <c r="BA1155" s="1136"/>
      <c r="BB1155" s="1136"/>
      <c r="BC1155" s="1136"/>
      <c r="BD1155" s="1136"/>
      <c r="BE1155" s="1136"/>
      <c r="BF1155" s="1136"/>
      <c r="BG1155" s="1136"/>
      <c r="BH1155" s="1136"/>
      <c r="BI1155" s="1136"/>
      <c r="BJ1155" s="1136"/>
      <c r="BK1155" s="1136"/>
      <c r="BL1155" s="1136"/>
      <c r="BM1155" s="1136"/>
      <c r="BN1155" s="1136"/>
      <c r="BO1155" s="1136"/>
      <c r="BP1155" s="1136"/>
      <c r="BQ1155" s="1136"/>
      <c r="BR1155" s="1136"/>
      <c r="BS1155" s="1136"/>
      <c r="BT1155" s="1136"/>
      <c r="BU1155" s="1136"/>
      <c r="BV1155" s="1136"/>
      <c r="BW1155" s="1136"/>
      <c r="BX1155" s="1136"/>
      <c r="BY1155" s="1136"/>
      <c r="BZ1155" s="1136"/>
      <c r="CA1155" s="1136"/>
      <c r="CB1155" s="1136"/>
      <c r="CC1155" s="1136"/>
      <c r="CD1155" s="1136"/>
      <c r="CE1155" s="1136"/>
      <c r="CF1155" s="1136"/>
      <c r="CG1155" s="1136"/>
      <c r="CH1155" s="1136"/>
      <c r="CI1155" s="1136"/>
      <c r="CJ1155" s="1136"/>
      <c r="CK1155" s="1136"/>
      <c r="CL1155" s="1136"/>
      <c r="CM1155" s="1136"/>
      <c r="CN1155" s="1136"/>
      <c r="CO1155" s="1136"/>
      <c r="CP1155" s="1136"/>
      <c r="CQ1155" s="1136"/>
      <c r="CR1155" s="1136"/>
      <c r="CS1155" s="1136"/>
      <c r="CT1155" s="1136"/>
      <c r="CU1155" s="1136"/>
      <c r="CV1155" s="1136"/>
      <c r="CW1155" s="1136"/>
      <c r="CX1155" s="1136"/>
      <c r="CY1155" s="1136"/>
      <c r="CZ1155" s="1136"/>
      <c r="DA1155" s="1136"/>
      <c r="DB1155" s="1136"/>
      <c r="DC1155" s="1136"/>
      <c r="DD1155" s="1136"/>
      <c r="DE1155" s="1136"/>
      <c r="DF1155" s="1136"/>
      <c r="DG1155" s="1136"/>
      <c r="DH1155" s="1136"/>
      <c r="DI1155" s="1136"/>
    </row>
    <row r="1156" spans="1:113" ht="15.75" x14ac:dyDescent="0.25">
      <c r="A1156" s="1430" t="s">
        <v>2520</v>
      </c>
      <c r="B1156" s="1582">
        <f>B1154*B1155</f>
        <v>2.0000000000000004E-2</v>
      </c>
      <c r="C1156" s="1609"/>
      <c r="D1156" s="1531"/>
      <c r="E1156" s="1531"/>
      <c r="F1156" s="1531"/>
      <c r="G1156" s="1531"/>
      <c r="H1156" s="1531"/>
      <c r="I1156" s="1531"/>
      <c r="J1156" s="1531"/>
      <c r="K1156" s="1531"/>
      <c r="L1156" s="1531"/>
      <c r="M1156" s="1531"/>
      <c r="N1156" s="1531"/>
      <c r="O1156" s="1531"/>
      <c r="P1156" s="1531"/>
      <c r="Q1156" s="1531"/>
      <c r="R1156" s="1531"/>
      <c r="S1156" s="1531"/>
      <c r="T1156" s="1531"/>
      <c r="U1156" s="1531"/>
      <c r="V1156" s="1531"/>
      <c r="W1156" s="1531"/>
      <c r="X1156" s="1531"/>
      <c r="Y1156" s="1531"/>
      <c r="Z1156" s="1531"/>
      <c r="AA1156" s="1531"/>
      <c r="AB1156" s="1531"/>
      <c r="AC1156" s="1531"/>
      <c r="AD1156" s="1531"/>
      <c r="AE1156" s="1531"/>
      <c r="AF1156" s="1531"/>
      <c r="AG1156" s="1531"/>
      <c r="AH1156" s="1531"/>
      <c r="AI1156" s="1531"/>
      <c r="AJ1156" s="1531"/>
      <c r="AK1156" s="1531"/>
      <c r="AL1156" s="1531"/>
      <c r="AM1156" s="1531"/>
      <c r="AN1156" s="1531"/>
      <c r="AO1156" s="1531"/>
      <c r="AP1156" s="1531"/>
      <c r="AQ1156" s="1531"/>
      <c r="AR1156" s="1531"/>
      <c r="AS1156" s="1531"/>
      <c r="AT1156" s="1136"/>
      <c r="AU1156" s="1136"/>
      <c r="AV1156" s="1136"/>
      <c r="AW1156" s="1136"/>
      <c r="AX1156" s="1136"/>
      <c r="AY1156" s="1136"/>
      <c r="AZ1156" s="1136"/>
      <c r="BA1156" s="1136"/>
      <c r="BB1156" s="1136"/>
      <c r="BC1156" s="1136"/>
      <c r="BD1156" s="1136"/>
      <c r="BE1156" s="1136"/>
      <c r="BF1156" s="1136"/>
      <c r="BG1156" s="1136"/>
      <c r="BH1156" s="1136"/>
      <c r="BI1156" s="1136"/>
      <c r="BJ1156" s="1136"/>
      <c r="BK1156" s="1136"/>
      <c r="BL1156" s="1136"/>
      <c r="BM1156" s="1136"/>
      <c r="BN1156" s="1136"/>
      <c r="BO1156" s="1136"/>
      <c r="BP1156" s="1136"/>
      <c r="BQ1156" s="1136"/>
      <c r="BR1156" s="1136"/>
      <c r="BS1156" s="1136"/>
      <c r="BT1156" s="1136"/>
      <c r="BU1156" s="1136"/>
      <c r="BV1156" s="1136"/>
      <c r="BW1156" s="1136"/>
      <c r="BX1156" s="1136"/>
      <c r="BY1156" s="1136"/>
      <c r="BZ1156" s="1136"/>
      <c r="CA1156" s="1136"/>
      <c r="CB1156" s="1136"/>
      <c r="CC1156" s="1136"/>
      <c r="CD1156" s="1136"/>
      <c r="CE1156" s="1136"/>
      <c r="CF1156" s="1136"/>
      <c r="CG1156" s="1136"/>
      <c r="CH1156" s="1136"/>
      <c r="CI1156" s="1136"/>
      <c r="CJ1156" s="1136"/>
      <c r="CK1156" s="1136"/>
      <c r="CL1156" s="1136"/>
      <c r="CM1156" s="1136"/>
      <c r="CN1156" s="1136"/>
      <c r="CO1156" s="1136"/>
      <c r="CP1156" s="1136"/>
      <c r="CQ1156" s="1136"/>
      <c r="CR1156" s="1136"/>
      <c r="CS1156" s="1136"/>
      <c r="CT1156" s="1136"/>
      <c r="CU1156" s="1136"/>
      <c r="CV1156" s="1136"/>
      <c r="CW1156" s="1136"/>
      <c r="CX1156" s="1136"/>
      <c r="CY1156" s="1136"/>
      <c r="CZ1156" s="1136"/>
      <c r="DA1156" s="1136"/>
      <c r="DB1156" s="1136"/>
      <c r="DC1156" s="1136"/>
      <c r="DD1156" s="1136"/>
      <c r="DE1156" s="1136"/>
      <c r="DF1156" s="1136"/>
      <c r="DG1156" s="1136"/>
      <c r="DH1156" s="1136"/>
      <c r="DI1156" s="1136"/>
    </row>
    <row r="1157" spans="1:113" ht="15.75" x14ac:dyDescent="0.25">
      <c r="A1157" s="1417" t="s">
        <v>2521</v>
      </c>
      <c r="B1157" s="1583"/>
      <c r="C1157" s="1584"/>
      <c r="D1157" s="1531"/>
      <c r="E1157" s="1531"/>
      <c r="F1157" s="1531"/>
      <c r="G1157" s="1531"/>
      <c r="H1157" s="1531"/>
      <c r="I1157" s="1531"/>
      <c r="J1157" s="1531"/>
      <c r="K1157" s="1531"/>
      <c r="L1157" s="1531"/>
      <c r="M1157" s="1531"/>
      <c r="N1157" s="1531"/>
      <c r="O1157" s="1531"/>
      <c r="P1157" s="1531"/>
      <c r="Q1157" s="1531"/>
      <c r="R1157" s="1531"/>
      <c r="S1157" s="1531"/>
      <c r="T1157" s="1531"/>
      <c r="U1157" s="1531"/>
      <c r="V1157" s="1531"/>
      <c r="W1157" s="1531"/>
      <c r="X1157" s="1531"/>
      <c r="Y1157" s="1531"/>
      <c r="Z1157" s="1531"/>
      <c r="AA1157" s="1531"/>
      <c r="AB1157" s="1531"/>
      <c r="AC1157" s="1531"/>
      <c r="AD1157" s="1531"/>
      <c r="AE1157" s="1531"/>
      <c r="AF1157" s="1531"/>
      <c r="AG1157" s="1531"/>
      <c r="AH1157" s="1531"/>
      <c r="AI1157" s="1531"/>
      <c r="AJ1157" s="1531"/>
      <c r="AK1157" s="1531"/>
      <c r="AL1157" s="1531"/>
      <c r="AM1157" s="1531"/>
      <c r="AN1157" s="1531"/>
      <c r="AO1157" s="1531"/>
      <c r="AP1157" s="1531"/>
      <c r="AQ1157" s="1531"/>
      <c r="AR1157" s="1531"/>
      <c r="AS1157" s="1531"/>
      <c r="AT1157" s="1136"/>
      <c r="AU1157" s="1136"/>
      <c r="AV1157" s="1136"/>
      <c r="AW1157" s="1136"/>
      <c r="AX1157" s="1136"/>
      <c r="AY1157" s="1136"/>
      <c r="AZ1157" s="1136"/>
      <c r="BA1157" s="1136"/>
      <c r="BB1157" s="1136"/>
      <c r="BC1157" s="1136"/>
      <c r="BD1157" s="1136"/>
      <c r="BE1157" s="1136"/>
      <c r="BF1157" s="1136"/>
      <c r="BG1157" s="1136"/>
      <c r="BH1157" s="1136"/>
      <c r="BI1157" s="1136"/>
      <c r="BJ1157" s="1136"/>
      <c r="BK1157" s="1136"/>
      <c r="BL1157" s="1136"/>
      <c r="BM1157" s="1136"/>
      <c r="BN1157" s="1136"/>
      <c r="BO1157" s="1136"/>
      <c r="BP1157" s="1136"/>
      <c r="BQ1157" s="1136"/>
      <c r="BR1157" s="1136"/>
      <c r="BS1157" s="1136"/>
      <c r="BT1157" s="1136"/>
      <c r="BU1157" s="1136"/>
      <c r="BV1157" s="1136"/>
      <c r="BW1157" s="1136"/>
      <c r="BX1157" s="1136"/>
      <c r="BY1157" s="1136"/>
      <c r="BZ1157" s="1136"/>
      <c r="CA1157" s="1136"/>
      <c r="CB1157" s="1136"/>
      <c r="CC1157" s="1136"/>
      <c r="CD1157" s="1136"/>
      <c r="CE1157" s="1136"/>
      <c r="CF1157" s="1136"/>
      <c r="CG1157" s="1136"/>
      <c r="CH1157" s="1136"/>
      <c r="CI1157" s="1136"/>
      <c r="CJ1157" s="1136"/>
      <c r="CK1157" s="1136"/>
      <c r="CL1157" s="1136"/>
      <c r="CM1157" s="1136"/>
      <c r="CN1157" s="1136"/>
      <c r="CO1157" s="1136"/>
      <c r="CP1157" s="1136"/>
      <c r="CQ1157" s="1136"/>
      <c r="CR1157" s="1136"/>
      <c r="CS1157" s="1136"/>
      <c r="CT1157" s="1136"/>
      <c r="CU1157" s="1136"/>
      <c r="CV1157" s="1136"/>
      <c r="CW1157" s="1136"/>
      <c r="CX1157" s="1136"/>
      <c r="CY1157" s="1136"/>
      <c r="CZ1157" s="1136"/>
      <c r="DA1157" s="1136"/>
      <c r="DB1157" s="1136"/>
      <c r="DC1157" s="1136"/>
      <c r="DD1157" s="1136"/>
      <c r="DE1157" s="1136"/>
      <c r="DF1157" s="1136"/>
      <c r="DG1157" s="1136"/>
      <c r="DH1157" s="1136"/>
      <c r="DI1157" s="1136"/>
    </row>
    <row r="1158" spans="1:113" ht="15.75" x14ac:dyDescent="0.25">
      <c r="A1158" s="1417" t="s">
        <v>2522</v>
      </c>
      <c r="B1158" s="1585" t="e">
        <f>ROUND((1.2*(B286*100)^0.5)/100,2)</f>
        <v>#VALUE!</v>
      </c>
      <c r="C1158" s="1416"/>
      <c r="D1158" s="1531"/>
      <c r="E1158" s="1531"/>
      <c r="F1158" s="1531"/>
      <c r="G1158" s="1531"/>
      <c r="H1158" s="1531"/>
      <c r="I1158" s="1531"/>
      <c r="J1158" s="1531"/>
      <c r="K1158" s="1531"/>
      <c r="L1158" s="1531"/>
      <c r="M1158" s="1531"/>
      <c r="N1158" s="1531"/>
      <c r="O1158" s="1531"/>
      <c r="P1158" s="1531"/>
      <c r="Q1158" s="1531"/>
      <c r="R1158" s="1531"/>
      <c r="S1158" s="1531"/>
      <c r="T1158" s="1531"/>
      <c r="U1158" s="1531"/>
      <c r="V1158" s="1531"/>
      <c r="W1158" s="1531"/>
      <c r="X1158" s="1531"/>
      <c r="Y1158" s="1531"/>
      <c r="Z1158" s="1531"/>
      <c r="AA1158" s="1531"/>
      <c r="AB1158" s="1531"/>
      <c r="AC1158" s="1531"/>
      <c r="AD1158" s="1531"/>
      <c r="AE1158" s="1531"/>
      <c r="AF1158" s="1531"/>
      <c r="AG1158" s="1531"/>
      <c r="AH1158" s="1531"/>
      <c r="AI1158" s="1531"/>
      <c r="AJ1158" s="1531"/>
      <c r="AK1158" s="1531"/>
      <c r="AL1158" s="1531"/>
      <c r="AM1158" s="1531"/>
      <c r="AN1158" s="1531"/>
      <c r="AO1158" s="1531"/>
      <c r="AP1158" s="1531"/>
      <c r="AQ1158" s="1531"/>
      <c r="AR1158" s="1531"/>
      <c r="AS1158" s="1531"/>
      <c r="AT1158" s="1136"/>
      <c r="AU1158" s="1136"/>
      <c r="AV1158" s="1136"/>
      <c r="AW1158" s="1136"/>
      <c r="AX1158" s="1136"/>
      <c r="AY1158" s="1136"/>
      <c r="AZ1158" s="1136"/>
      <c r="BA1158" s="1136"/>
      <c r="BB1158" s="1136"/>
      <c r="BC1158" s="1136"/>
      <c r="BD1158" s="1136"/>
      <c r="BE1158" s="1136"/>
      <c r="BF1158" s="1136"/>
      <c r="BG1158" s="1136"/>
      <c r="BH1158" s="1136"/>
      <c r="BI1158" s="1136"/>
      <c r="BJ1158" s="1136"/>
      <c r="BK1158" s="1136"/>
      <c r="BL1158" s="1136"/>
      <c r="BM1158" s="1136"/>
      <c r="BN1158" s="1136"/>
      <c r="BO1158" s="1136"/>
      <c r="BP1158" s="1136"/>
      <c r="BQ1158" s="1136"/>
      <c r="BR1158" s="1136"/>
      <c r="BS1158" s="1136"/>
      <c r="BT1158" s="1136"/>
      <c r="BU1158" s="1136"/>
      <c r="BV1158" s="1136"/>
      <c r="BW1158" s="1136"/>
      <c r="BX1158" s="1136"/>
      <c r="BY1158" s="1136"/>
      <c r="BZ1158" s="1136"/>
      <c r="CA1158" s="1136"/>
      <c r="CB1158" s="1136"/>
      <c r="CC1158" s="1136"/>
      <c r="CD1158" s="1136"/>
      <c r="CE1158" s="1136"/>
      <c r="CF1158" s="1136"/>
      <c r="CG1158" s="1136"/>
      <c r="CH1158" s="1136"/>
      <c r="CI1158" s="1136"/>
      <c r="CJ1158" s="1136"/>
      <c r="CK1158" s="1136"/>
      <c r="CL1158" s="1136"/>
      <c r="CM1158" s="1136"/>
      <c r="CN1158" s="1136"/>
      <c r="CO1158" s="1136"/>
      <c r="CP1158" s="1136"/>
      <c r="CQ1158" s="1136"/>
      <c r="CR1158" s="1136"/>
      <c r="CS1158" s="1136"/>
      <c r="CT1158" s="1136"/>
      <c r="CU1158" s="1136"/>
      <c r="CV1158" s="1136"/>
      <c r="CW1158" s="1136"/>
      <c r="CX1158" s="1136"/>
      <c r="CY1158" s="1136"/>
      <c r="CZ1158" s="1136"/>
      <c r="DA1158" s="1136"/>
      <c r="DB1158" s="1136"/>
      <c r="DC1158" s="1136"/>
      <c r="DD1158" s="1136"/>
      <c r="DE1158" s="1136"/>
      <c r="DF1158" s="1136"/>
      <c r="DG1158" s="1136"/>
      <c r="DH1158" s="1136"/>
      <c r="DI1158" s="1136"/>
    </row>
    <row r="1159" spans="1:113" ht="15.75" x14ac:dyDescent="0.25">
      <c r="A1159" s="1430" t="s">
        <v>2523</v>
      </c>
      <c r="B1159" s="1428" t="e">
        <f>3.14*B1158^2/4</f>
        <v>#VALUE!</v>
      </c>
      <c r="C1159" s="1566"/>
      <c r="D1159" s="1531"/>
      <c r="E1159" s="1531"/>
      <c r="F1159" s="1531"/>
      <c r="G1159" s="1531"/>
      <c r="H1159" s="1531"/>
      <c r="I1159" s="1531"/>
      <c r="J1159" s="1531"/>
      <c r="K1159" s="1531"/>
      <c r="L1159" s="1531"/>
      <c r="M1159" s="1531"/>
      <c r="N1159" s="1531"/>
      <c r="O1159" s="1531"/>
      <c r="P1159" s="1531"/>
      <c r="Q1159" s="1531"/>
      <c r="R1159" s="1531"/>
      <c r="S1159" s="1531"/>
      <c r="T1159" s="1531"/>
      <c r="U1159" s="1531"/>
      <c r="V1159" s="1531"/>
      <c r="W1159" s="1531"/>
      <c r="X1159" s="1531"/>
      <c r="Y1159" s="1531"/>
      <c r="Z1159" s="1531"/>
      <c r="AA1159" s="1531"/>
      <c r="AB1159" s="1531"/>
      <c r="AC1159" s="1531"/>
      <c r="AD1159" s="1531"/>
      <c r="AE1159" s="1531"/>
      <c r="AF1159" s="1531"/>
      <c r="AG1159" s="1531"/>
      <c r="AH1159" s="1531"/>
      <c r="AI1159" s="1531"/>
      <c r="AJ1159" s="1531"/>
      <c r="AK1159" s="1531"/>
      <c r="AL1159" s="1531"/>
      <c r="AM1159" s="1531"/>
      <c r="AN1159" s="1531"/>
      <c r="AO1159" s="1531"/>
      <c r="AP1159" s="1531"/>
      <c r="AQ1159" s="1531"/>
      <c r="AR1159" s="1531"/>
      <c r="AS1159" s="1531"/>
      <c r="AT1159" s="1136"/>
      <c r="AU1159" s="1136"/>
      <c r="AV1159" s="1136"/>
      <c r="AW1159" s="1136"/>
      <c r="AX1159" s="1136"/>
      <c r="AY1159" s="1136"/>
      <c r="AZ1159" s="1136"/>
      <c r="BA1159" s="1136"/>
      <c r="BB1159" s="1136"/>
      <c r="BC1159" s="1136"/>
      <c r="BD1159" s="1136"/>
      <c r="BE1159" s="1136"/>
      <c r="BF1159" s="1136"/>
      <c r="BG1159" s="1136"/>
      <c r="BH1159" s="1136"/>
      <c r="BI1159" s="1136"/>
      <c r="BJ1159" s="1136"/>
      <c r="BK1159" s="1136"/>
      <c r="BL1159" s="1136"/>
      <c r="BM1159" s="1136"/>
      <c r="BN1159" s="1136"/>
      <c r="BO1159" s="1136"/>
      <c r="BP1159" s="1136"/>
      <c r="BQ1159" s="1136"/>
      <c r="BR1159" s="1136"/>
      <c r="BS1159" s="1136"/>
      <c r="BT1159" s="1136"/>
      <c r="BU1159" s="1136"/>
      <c r="BV1159" s="1136"/>
      <c r="BW1159" s="1136"/>
      <c r="BX1159" s="1136"/>
      <c r="BY1159" s="1136"/>
      <c r="BZ1159" s="1136"/>
      <c r="CA1159" s="1136"/>
      <c r="CB1159" s="1136"/>
      <c r="CC1159" s="1136"/>
      <c r="CD1159" s="1136"/>
      <c r="CE1159" s="1136"/>
      <c r="CF1159" s="1136"/>
      <c r="CG1159" s="1136"/>
      <c r="CH1159" s="1136"/>
      <c r="CI1159" s="1136"/>
      <c r="CJ1159" s="1136"/>
      <c r="CK1159" s="1136"/>
      <c r="CL1159" s="1136"/>
      <c r="CM1159" s="1136"/>
      <c r="CN1159" s="1136"/>
      <c r="CO1159" s="1136"/>
      <c r="CP1159" s="1136"/>
      <c r="CQ1159" s="1136"/>
      <c r="CR1159" s="1136"/>
      <c r="CS1159" s="1136"/>
      <c r="CT1159" s="1136"/>
      <c r="CU1159" s="1136"/>
      <c r="CV1159" s="1136"/>
      <c r="CW1159" s="1136"/>
      <c r="CX1159" s="1136"/>
      <c r="CY1159" s="1136"/>
      <c r="CZ1159" s="1136"/>
      <c r="DA1159" s="1136"/>
      <c r="DB1159" s="1136"/>
      <c r="DC1159" s="1136"/>
      <c r="DD1159" s="1136"/>
      <c r="DE1159" s="1136"/>
      <c r="DF1159" s="1136"/>
      <c r="DG1159" s="1136"/>
      <c r="DH1159" s="1136"/>
      <c r="DI1159" s="1136"/>
    </row>
    <row r="1160" spans="1:113" ht="15.75" x14ac:dyDescent="0.25">
      <c r="A1160" s="1430" t="s">
        <v>2524</v>
      </c>
      <c r="B1160" s="1586" t="e">
        <f>B817*B815*B1156</f>
        <v>#DIV/0!</v>
      </c>
      <c r="C1160" s="1587"/>
      <c r="D1160" s="1531"/>
      <c r="E1160" s="1531"/>
      <c r="F1160" s="1531"/>
      <c r="G1160" s="1531"/>
      <c r="H1160" s="1531"/>
      <c r="I1160" s="1531"/>
      <c r="J1160" s="1531"/>
      <c r="K1160" s="1531"/>
      <c r="L1160" s="1531"/>
      <c r="M1160" s="1531"/>
      <c r="N1160" s="1531"/>
      <c r="O1160" s="1531"/>
      <c r="P1160" s="1531"/>
      <c r="Q1160" s="1531"/>
      <c r="R1160" s="1531"/>
      <c r="S1160" s="1531"/>
      <c r="T1160" s="1531"/>
      <c r="U1160" s="1531"/>
      <c r="V1160" s="1531"/>
      <c r="W1160" s="1531"/>
      <c r="X1160" s="1531"/>
      <c r="Y1160" s="1531"/>
      <c r="Z1160" s="1531"/>
      <c r="AA1160" s="1531"/>
      <c r="AB1160" s="1531"/>
      <c r="AC1160" s="1531"/>
      <c r="AD1160" s="1531"/>
      <c r="AE1160" s="1531"/>
      <c r="AF1160" s="1531"/>
      <c r="AG1160" s="1531"/>
      <c r="AH1160" s="1531"/>
      <c r="AI1160" s="1531"/>
      <c r="AJ1160" s="1531"/>
      <c r="AK1160" s="1531"/>
      <c r="AL1160" s="1531"/>
      <c r="AM1160" s="1531"/>
      <c r="AN1160" s="1531"/>
      <c r="AO1160" s="1531"/>
      <c r="AP1160" s="1531"/>
      <c r="AQ1160" s="1531"/>
      <c r="AR1160" s="1531"/>
      <c r="AS1160" s="1531"/>
      <c r="AT1160" s="1136"/>
      <c r="AU1160" s="1136"/>
      <c r="AV1160" s="1136"/>
      <c r="AW1160" s="1136"/>
      <c r="AX1160" s="1136"/>
      <c r="AY1160" s="1136"/>
      <c r="AZ1160" s="1136"/>
      <c r="BA1160" s="1136"/>
      <c r="BB1160" s="1136"/>
      <c r="BC1160" s="1136"/>
      <c r="BD1160" s="1136"/>
      <c r="BE1160" s="1136"/>
      <c r="BF1160" s="1136"/>
      <c r="BG1160" s="1136"/>
      <c r="BH1160" s="1136"/>
      <c r="BI1160" s="1136"/>
      <c r="BJ1160" s="1136"/>
      <c r="BK1160" s="1136"/>
      <c r="BL1160" s="1136"/>
      <c r="BM1160" s="1136"/>
      <c r="BN1160" s="1136"/>
      <c r="BO1160" s="1136"/>
      <c r="BP1160" s="1136"/>
      <c r="BQ1160" s="1136"/>
      <c r="BR1160" s="1136"/>
      <c r="BS1160" s="1136"/>
      <c r="BT1160" s="1136"/>
      <c r="BU1160" s="1136"/>
      <c r="BV1160" s="1136"/>
      <c r="BW1160" s="1136"/>
      <c r="BX1160" s="1136"/>
      <c r="BY1160" s="1136"/>
      <c r="BZ1160" s="1136"/>
      <c r="CA1160" s="1136"/>
      <c r="CB1160" s="1136"/>
      <c r="CC1160" s="1136"/>
      <c r="CD1160" s="1136"/>
      <c r="CE1160" s="1136"/>
      <c r="CF1160" s="1136"/>
      <c r="CG1160" s="1136"/>
      <c r="CH1160" s="1136"/>
      <c r="CI1160" s="1136"/>
      <c r="CJ1160" s="1136"/>
      <c r="CK1160" s="1136"/>
      <c r="CL1160" s="1136"/>
      <c r="CM1160" s="1136"/>
      <c r="CN1160" s="1136"/>
      <c r="CO1160" s="1136"/>
      <c r="CP1160" s="1136"/>
      <c r="CQ1160" s="1136"/>
      <c r="CR1160" s="1136"/>
      <c r="CS1160" s="1136"/>
      <c r="CT1160" s="1136"/>
      <c r="CU1160" s="1136"/>
      <c r="CV1160" s="1136"/>
      <c r="CW1160" s="1136"/>
      <c r="CX1160" s="1136"/>
      <c r="CY1160" s="1136"/>
      <c r="CZ1160" s="1136"/>
      <c r="DA1160" s="1136"/>
      <c r="DB1160" s="1136"/>
      <c r="DC1160" s="1136"/>
      <c r="DD1160" s="1136"/>
      <c r="DE1160" s="1136"/>
      <c r="DF1160" s="1136"/>
      <c r="DG1160" s="1136"/>
      <c r="DH1160" s="1136"/>
      <c r="DI1160" s="1136"/>
    </row>
    <row r="1161" spans="1:113" ht="15.75" x14ac:dyDescent="0.25">
      <c r="A1161" s="1430" t="s">
        <v>2525</v>
      </c>
      <c r="B1161" s="1588" t="e">
        <f>B875*B881*B1156</f>
        <v>#REF!</v>
      </c>
      <c r="C1161" s="1589"/>
      <c r="D1161" s="1609"/>
      <c r="E1161" s="1609"/>
      <c r="F1161" s="1609"/>
      <c r="G1161" s="1609"/>
      <c r="H1161" s="1531"/>
      <c r="I1161" s="1531"/>
      <c r="J1161" s="1531"/>
      <c r="K1161" s="1531"/>
      <c r="L1161" s="1531"/>
      <c r="M1161" s="1531"/>
      <c r="N1161" s="1531"/>
      <c r="O1161" s="1531"/>
      <c r="P1161" s="1531"/>
      <c r="Q1161" s="1531"/>
      <c r="R1161" s="1531"/>
      <c r="S1161" s="1531"/>
      <c r="T1161" s="1531"/>
      <c r="U1161" s="1531"/>
      <c r="V1161" s="1531"/>
      <c r="W1161" s="1531"/>
      <c r="X1161" s="1531"/>
      <c r="Y1161" s="1531"/>
      <c r="Z1161" s="1531"/>
      <c r="AA1161" s="1531"/>
      <c r="AB1161" s="1531"/>
      <c r="AC1161" s="1531"/>
      <c r="AD1161" s="1531"/>
      <c r="AE1161" s="1531"/>
      <c r="AF1161" s="1531"/>
      <c r="AG1161" s="1531"/>
      <c r="AH1161" s="1531"/>
      <c r="AI1161" s="1531"/>
      <c r="AJ1161" s="1531"/>
      <c r="AK1161" s="1531"/>
      <c r="AL1161" s="1531"/>
      <c r="AM1161" s="1531"/>
      <c r="AN1161" s="1531"/>
      <c r="AO1161" s="1531"/>
      <c r="AP1161" s="1531"/>
      <c r="AQ1161" s="1531"/>
      <c r="AR1161" s="1531"/>
      <c r="AS1161" s="1531"/>
      <c r="AT1161" s="1136"/>
      <c r="AU1161" s="1136"/>
      <c r="AV1161" s="1136"/>
      <c r="AW1161" s="1136"/>
      <c r="AX1161" s="1136"/>
      <c r="AY1161" s="1136"/>
      <c r="AZ1161" s="1136"/>
      <c r="BA1161" s="1136"/>
      <c r="BB1161" s="1136"/>
      <c r="BC1161" s="1136"/>
      <c r="BD1161" s="1136"/>
      <c r="BE1161" s="1136"/>
      <c r="BF1161" s="1136"/>
      <c r="BG1161" s="1136"/>
      <c r="BH1161" s="1136"/>
      <c r="BI1161" s="1136"/>
      <c r="BJ1161" s="1136"/>
      <c r="BK1161" s="1136"/>
      <c r="BL1161" s="1136"/>
      <c r="BM1161" s="1136"/>
      <c r="BN1161" s="1136"/>
      <c r="BO1161" s="1136"/>
      <c r="BP1161" s="1136"/>
      <c r="BQ1161" s="1136"/>
      <c r="BR1161" s="1136"/>
      <c r="BS1161" s="1136"/>
      <c r="BT1161" s="1136"/>
      <c r="BU1161" s="1136"/>
      <c r="BV1161" s="1136"/>
      <c r="BW1161" s="1136"/>
      <c r="BX1161" s="1136"/>
      <c r="BY1161" s="1136"/>
      <c r="BZ1161" s="1136"/>
      <c r="CA1161" s="1136"/>
      <c r="CB1161" s="1136"/>
      <c r="CC1161" s="1136"/>
      <c r="CD1161" s="1136"/>
      <c r="CE1161" s="1136"/>
      <c r="CF1161" s="1136"/>
      <c r="CG1161" s="1136"/>
      <c r="CH1161" s="1136"/>
      <c r="CI1161" s="1136"/>
      <c r="CJ1161" s="1136"/>
      <c r="CK1161" s="1136"/>
      <c r="CL1161" s="1136"/>
      <c r="CM1161" s="1136"/>
      <c r="CN1161" s="1136"/>
      <c r="CO1161" s="1136"/>
      <c r="CP1161" s="1136"/>
      <c r="CQ1161" s="1136"/>
      <c r="CR1161" s="1136"/>
      <c r="CS1161" s="1136"/>
      <c r="CT1161" s="1136"/>
      <c r="CU1161" s="1136"/>
      <c r="CV1161" s="1136"/>
      <c r="CW1161" s="1136"/>
      <c r="CX1161" s="1136"/>
      <c r="CY1161" s="1136"/>
      <c r="CZ1161" s="1136"/>
      <c r="DA1161" s="1136"/>
      <c r="DB1161" s="1136"/>
      <c r="DC1161" s="1136"/>
      <c r="DD1161" s="1136"/>
      <c r="DE1161" s="1136"/>
      <c r="DF1161" s="1136"/>
      <c r="DG1161" s="1136"/>
      <c r="DH1161" s="1136"/>
      <c r="DI1161" s="1136"/>
    </row>
    <row r="1162" spans="1:113" ht="31.5" x14ac:dyDescent="0.25">
      <c r="A1162" s="1420" t="s">
        <v>2526</v>
      </c>
      <c r="B1162" s="1439" t="e">
        <f>B858*B286*B1159</f>
        <v>#DIV/0!</v>
      </c>
      <c r="C1162" s="1562"/>
      <c r="D1162" s="1609"/>
      <c r="E1162" s="1609"/>
      <c r="F1162" s="1609"/>
      <c r="G1162" s="1609"/>
      <c r="H1162" s="1531"/>
      <c r="I1162" s="1531"/>
      <c r="J1162" s="1531"/>
      <c r="K1162" s="1531"/>
      <c r="L1162" s="1531"/>
      <c r="M1162" s="1531"/>
      <c r="N1162" s="1531"/>
      <c r="O1162" s="1531"/>
      <c r="P1162" s="1531"/>
      <c r="Q1162" s="1531"/>
      <c r="R1162" s="1531"/>
      <c r="S1162" s="1531"/>
      <c r="T1162" s="1531"/>
      <c r="U1162" s="1531"/>
      <c r="V1162" s="1531"/>
      <c r="W1162" s="1531"/>
      <c r="X1162" s="1531"/>
      <c r="Y1162" s="1531"/>
      <c r="Z1162" s="1531"/>
      <c r="AA1162" s="1531"/>
      <c r="AB1162" s="1531"/>
      <c r="AC1162" s="1531"/>
      <c r="AD1162" s="1531"/>
      <c r="AE1162" s="1531"/>
      <c r="AF1162" s="1531"/>
      <c r="AG1162" s="1531"/>
      <c r="AH1162" s="1531"/>
      <c r="AI1162" s="1531"/>
      <c r="AJ1162" s="1531"/>
      <c r="AK1162" s="1531"/>
      <c r="AL1162" s="1531"/>
      <c r="AM1162" s="1531"/>
      <c r="AN1162" s="1531"/>
      <c r="AO1162" s="1531"/>
      <c r="AP1162" s="1531"/>
      <c r="AQ1162" s="1531"/>
      <c r="AR1162" s="1531"/>
      <c r="AS1162" s="1531"/>
      <c r="AT1162" s="1136"/>
      <c r="AU1162" s="1136"/>
      <c r="AV1162" s="1136"/>
      <c r="AW1162" s="1136"/>
      <c r="AX1162" s="1136"/>
      <c r="AY1162" s="1136"/>
      <c r="AZ1162" s="1136"/>
      <c r="BA1162" s="1136"/>
      <c r="BB1162" s="1136"/>
      <c r="BC1162" s="1136"/>
      <c r="BD1162" s="1136"/>
      <c r="BE1162" s="1136"/>
      <c r="BF1162" s="1136"/>
      <c r="BG1162" s="1136"/>
      <c r="BH1162" s="1136"/>
      <c r="BI1162" s="1136"/>
      <c r="BJ1162" s="1136"/>
      <c r="BK1162" s="1136"/>
      <c r="BL1162" s="1136"/>
      <c r="BM1162" s="1136"/>
      <c r="BN1162" s="1136"/>
      <c r="BO1162" s="1136"/>
      <c r="BP1162" s="1136"/>
      <c r="BQ1162" s="1136"/>
      <c r="BR1162" s="1136"/>
      <c r="BS1162" s="1136"/>
      <c r="BT1162" s="1136"/>
      <c r="BU1162" s="1136"/>
      <c r="BV1162" s="1136"/>
      <c r="BW1162" s="1136"/>
      <c r="BX1162" s="1136"/>
      <c r="BY1162" s="1136"/>
      <c r="BZ1162" s="1136"/>
      <c r="CA1162" s="1136"/>
      <c r="CB1162" s="1136"/>
      <c r="CC1162" s="1136"/>
      <c r="CD1162" s="1136"/>
      <c r="CE1162" s="1136"/>
      <c r="CF1162" s="1136"/>
      <c r="CG1162" s="1136"/>
      <c r="CH1162" s="1136"/>
      <c r="CI1162" s="1136"/>
      <c r="CJ1162" s="1136"/>
      <c r="CK1162" s="1136"/>
      <c r="CL1162" s="1136"/>
      <c r="CM1162" s="1136"/>
      <c r="CN1162" s="1136"/>
      <c r="CO1162" s="1136"/>
      <c r="CP1162" s="1136"/>
      <c r="CQ1162" s="1136"/>
      <c r="CR1162" s="1136"/>
      <c r="CS1162" s="1136"/>
      <c r="CT1162" s="1136"/>
      <c r="CU1162" s="1136"/>
      <c r="CV1162" s="1136"/>
      <c r="CW1162" s="1136"/>
      <c r="CX1162" s="1136"/>
      <c r="CY1162" s="1136"/>
      <c r="CZ1162" s="1136"/>
      <c r="DA1162" s="1136"/>
      <c r="DB1162" s="1136"/>
      <c r="DC1162" s="1136"/>
      <c r="DD1162" s="1136"/>
      <c r="DE1162" s="1136"/>
      <c r="DF1162" s="1136"/>
      <c r="DG1162" s="1136"/>
      <c r="DH1162" s="1136"/>
      <c r="DI1162" s="1136"/>
    </row>
    <row r="1163" spans="1:113" ht="31.5" x14ac:dyDescent="0.25">
      <c r="A1163" s="1420" t="s">
        <v>3328</v>
      </c>
      <c r="B1163" s="1439" t="e">
        <f>B918*B286*B1159</f>
        <v>#REF!</v>
      </c>
      <c r="C1163" s="1562"/>
      <c r="D1163" s="1609"/>
      <c r="E1163" s="1609"/>
      <c r="F1163" s="1609"/>
      <c r="G1163" s="1609"/>
      <c r="H1163" s="1531"/>
      <c r="I1163" s="1531"/>
      <c r="J1163" s="1531"/>
      <c r="K1163" s="1531"/>
      <c r="L1163" s="1531"/>
      <c r="M1163" s="1531"/>
      <c r="N1163" s="1531"/>
      <c r="O1163" s="1531"/>
      <c r="P1163" s="1531"/>
      <c r="Q1163" s="1531"/>
      <c r="R1163" s="1531"/>
      <c r="S1163" s="1531"/>
      <c r="T1163" s="1531"/>
      <c r="U1163" s="1531"/>
      <c r="V1163" s="1531"/>
      <c r="W1163" s="1531"/>
      <c r="X1163" s="1531"/>
      <c r="Y1163" s="1531"/>
      <c r="Z1163" s="1531"/>
      <c r="AA1163" s="1531"/>
      <c r="AB1163" s="1531"/>
      <c r="AC1163" s="1531"/>
      <c r="AD1163" s="1531"/>
      <c r="AE1163" s="1531"/>
      <c r="AF1163" s="1531"/>
      <c r="AG1163" s="1531"/>
      <c r="AH1163" s="1531"/>
      <c r="AI1163" s="1531"/>
      <c r="AJ1163" s="1531"/>
      <c r="AK1163" s="1531"/>
      <c r="AL1163" s="1531"/>
      <c r="AM1163" s="1531"/>
      <c r="AN1163" s="1531"/>
      <c r="AO1163" s="1531"/>
      <c r="AP1163" s="1531"/>
      <c r="AQ1163" s="1531"/>
      <c r="AR1163" s="1531"/>
      <c r="AS1163" s="1531"/>
      <c r="AT1163" s="1136"/>
      <c r="AU1163" s="1136"/>
      <c r="AV1163" s="1136"/>
      <c r="AW1163" s="1136"/>
      <c r="AX1163" s="1136"/>
      <c r="AY1163" s="1136"/>
      <c r="AZ1163" s="1136"/>
      <c r="BA1163" s="1136"/>
      <c r="BB1163" s="1136"/>
      <c r="BC1163" s="1136"/>
      <c r="BD1163" s="1136"/>
      <c r="BE1163" s="1136"/>
      <c r="BF1163" s="1136"/>
      <c r="BG1163" s="1136"/>
      <c r="BH1163" s="1136"/>
      <c r="BI1163" s="1136"/>
      <c r="BJ1163" s="1136"/>
      <c r="BK1163" s="1136"/>
      <c r="BL1163" s="1136"/>
      <c r="BM1163" s="1136"/>
      <c r="BN1163" s="1136"/>
      <c r="BO1163" s="1136"/>
      <c r="BP1163" s="1136"/>
      <c r="BQ1163" s="1136"/>
      <c r="BR1163" s="1136"/>
      <c r="BS1163" s="1136"/>
      <c r="BT1163" s="1136"/>
      <c r="BU1163" s="1136"/>
      <c r="BV1163" s="1136"/>
      <c r="BW1163" s="1136"/>
      <c r="BX1163" s="1136"/>
      <c r="BY1163" s="1136"/>
      <c r="BZ1163" s="1136"/>
      <c r="CA1163" s="1136"/>
      <c r="CB1163" s="1136"/>
      <c r="CC1163" s="1136"/>
      <c r="CD1163" s="1136"/>
      <c r="CE1163" s="1136"/>
      <c r="CF1163" s="1136"/>
      <c r="CG1163" s="1136"/>
      <c r="CH1163" s="1136"/>
      <c r="CI1163" s="1136"/>
      <c r="CJ1163" s="1136"/>
      <c r="CK1163" s="1136"/>
      <c r="CL1163" s="1136"/>
      <c r="CM1163" s="1136"/>
      <c r="CN1163" s="1136"/>
      <c r="CO1163" s="1136"/>
      <c r="CP1163" s="1136"/>
      <c r="CQ1163" s="1136"/>
      <c r="CR1163" s="1136"/>
      <c r="CS1163" s="1136"/>
      <c r="CT1163" s="1136"/>
      <c r="CU1163" s="1136"/>
      <c r="CV1163" s="1136"/>
      <c r="CW1163" s="1136"/>
      <c r="CX1163" s="1136"/>
      <c r="CY1163" s="1136"/>
      <c r="CZ1163" s="1136"/>
      <c r="DA1163" s="1136"/>
      <c r="DB1163" s="1136"/>
      <c r="DC1163" s="1136"/>
      <c r="DD1163" s="1136"/>
      <c r="DE1163" s="1136"/>
      <c r="DF1163" s="1136"/>
      <c r="DG1163" s="1136"/>
      <c r="DH1163" s="1136"/>
      <c r="DI1163" s="1136"/>
    </row>
    <row r="1164" spans="1:113" ht="15.75" x14ac:dyDescent="0.25">
      <c r="A1164" s="1430" t="s">
        <v>3329</v>
      </c>
      <c r="B1164" s="1588" t="e">
        <f>B936*B938*B1158</f>
        <v>#VALUE!</v>
      </c>
      <c r="C1164" s="1589"/>
      <c r="D1164" s="1531"/>
      <c r="E1164" s="1531"/>
      <c r="F1164" s="1531"/>
      <c r="G1164" s="1531"/>
      <c r="H1164" s="1531"/>
      <c r="I1164" s="1531"/>
      <c r="J1164" s="1531"/>
      <c r="K1164" s="1531"/>
      <c r="L1164" s="1531"/>
      <c r="M1164" s="1531"/>
      <c r="N1164" s="1531"/>
      <c r="O1164" s="1531"/>
      <c r="P1164" s="1531"/>
      <c r="Q1164" s="1531"/>
      <c r="R1164" s="1531"/>
      <c r="S1164" s="1531"/>
      <c r="T1164" s="1531"/>
      <c r="U1164" s="1531"/>
      <c r="V1164" s="1531"/>
      <c r="W1164" s="1531"/>
      <c r="X1164" s="1531"/>
      <c r="Y1164" s="1531"/>
      <c r="Z1164" s="1531"/>
      <c r="AA1164" s="1531"/>
      <c r="AB1164" s="1531"/>
      <c r="AC1164" s="1531"/>
      <c r="AD1164" s="1531"/>
      <c r="AE1164" s="1531"/>
      <c r="AF1164" s="1531"/>
      <c r="AG1164" s="1531"/>
      <c r="AH1164" s="1531"/>
      <c r="AI1164" s="1531"/>
      <c r="AJ1164" s="1531"/>
      <c r="AK1164" s="1531"/>
      <c r="AL1164" s="1531"/>
      <c r="AM1164" s="1531"/>
      <c r="AN1164" s="1531"/>
      <c r="AO1164" s="1531"/>
      <c r="AP1164" s="1531"/>
      <c r="AQ1164" s="1531"/>
      <c r="AR1164" s="1531"/>
      <c r="AS1164" s="1531"/>
      <c r="AT1164" s="1136"/>
      <c r="AU1164" s="1136"/>
      <c r="AV1164" s="1136"/>
      <c r="AW1164" s="1136"/>
      <c r="AX1164" s="1136"/>
      <c r="AY1164" s="1136"/>
      <c r="AZ1164" s="1136"/>
      <c r="BA1164" s="1136"/>
      <c r="BB1164" s="1136"/>
      <c r="BC1164" s="1136"/>
      <c r="BD1164" s="1136"/>
      <c r="BE1164" s="1136"/>
      <c r="BF1164" s="1136"/>
      <c r="BG1164" s="1136"/>
      <c r="BH1164" s="1136"/>
      <c r="BI1164" s="1136"/>
      <c r="BJ1164" s="1136"/>
      <c r="BK1164" s="1136"/>
      <c r="BL1164" s="1136"/>
      <c r="BM1164" s="1136"/>
      <c r="BN1164" s="1136"/>
      <c r="BO1164" s="1136"/>
      <c r="BP1164" s="1136"/>
      <c r="BQ1164" s="1136"/>
      <c r="BR1164" s="1136"/>
      <c r="BS1164" s="1136"/>
      <c r="BT1164" s="1136"/>
      <c r="BU1164" s="1136"/>
      <c r="BV1164" s="1136"/>
      <c r="BW1164" s="1136"/>
      <c r="BX1164" s="1136"/>
      <c r="BY1164" s="1136"/>
      <c r="BZ1164" s="1136"/>
      <c r="CA1164" s="1136"/>
      <c r="CB1164" s="1136"/>
      <c r="CC1164" s="1136"/>
      <c r="CD1164" s="1136"/>
      <c r="CE1164" s="1136"/>
      <c r="CF1164" s="1136"/>
      <c r="CG1164" s="1136"/>
      <c r="CH1164" s="1136"/>
      <c r="CI1164" s="1136"/>
      <c r="CJ1164" s="1136"/>
      <c r="CK1164" s="1136"/>
      <c r="CL1164" s="1136"/>
      <c r="CM1164" s="1136"/>
      <c r="CN1164" s="1136"/>
      <c r="CO1164" s="1136"/>
      <c r="CP1164" s="1136"/>
      <c r="CQ1164" s="1136"/>
      <c r="CR1164" s="1136"/>
      <c r="CS1164" s="1136"/>
      <c r="CT1164" s="1136"/>
      <c r="CU1164" s="1136"/>
      <c r="CV1164" s="1136"/>
      <c r="CW1164" s="1136"/>
      <c r="CX1164" s="1136"/>
      <c r="CY1164" s="1136"/>
      <c r="CZ1164" s="1136"/>
      <c r="DA1164" s="1136"/>
      <c r="DB1164" s="1136"/>
      <c r="DC1164" s="1136"/>
      <c r="DD1164" s="1136"/>
      <c r="DE1164" s="1136"/>
      <c r="DF1164" s="1136"/>
      <c r="DG1164" s="1136"/>
      <c r="DH1164" s="1136"/>
      <c r="DI1164" s="1136"/>
    </row>
    <row r="1165" spans="1:113" ht="15.75" x14ac:dyDescent="0.25">
      <c r="A1165" s="1420" t="s">
        <v>3330</v>
      </c>
      <c r="B1165" s="1439" t="e">
        <f>B1160+B1161+B1162+B1164+B1163</f>
        <v>#DIV/0!</v>
      </c>
      <c r="C1165" s="1562"/>
      <c r="D1165" s="1416"/>
      <c r="E1165" s="1416"/>
      <c r="F1165" s="1416"/>
      <c r="G1165" s="1416"/>
      <c r="H1165" s="1531"/>
      <c r="I1165" s="1531"/>
      <c r="J1165" s="1531"/>
      <c r="K1165" s="1531"/>
      <c r="L1165" s="1531"/>
      <c r="M1165" s="1531"/>
      <c r="N1165" s="1531"/>
      <c r="O1165" s="1531"/>
      <c r="P1165" s="1531"/>
      <c r="Q1165" s="1531"/>
      <c r="R1165" s="1531"/>
      <c r="S1165" s="1531"/>
      <c r="T1165" s="1531"/>
      <c r="U1165" s="1531"/>
      <c r="V1165" s="1531"/>
      <c r="W1165" s="1531"/>
      <c r="X1165" s="1531"/>
      <c r="Y1165" s="1531"/>
      <c r="Z1165" s="1531"/>
      <c r="AA1165" s="1531"/>
      <c r="AB1165" s="1531"/>
      <c r="AC1165" s="1531"/>
      <c r="AD1165" s="1531"/>
      <c r="AE1165" s="1531"/>
      <c r="AF1165" s="1531"/>
      <c r="AG1165" s="1531"/>
      <c r="AH1165" s="1531"/>
      <c r="AI1165" s="1531"/>
      <c r="AJ1165" s="1531"/>
      <c r="AK1165" s="1531"/>
      <c r="AL1165" s="1531"/>
      <c r="AM1165" s="1531"/>
      <c r="AN1165" s="1531"/>
      <c r="AO1165" s="1531"/>
      <c r="AP1165" s="1531"/>
      <c r="AQ1165" s="1531"/>
      <c r="AR1165" s="1531"/>
      <c r="AS1165" s="1531"/>
      <c r="AT1165" s="1136"/>
      <c r="AU1165" s="1136"/>
      <c r="AV1165" s="1136"/>
      <c r="AW1165" s="1136"/>
      <c r="AX1165" s="1136"/>
      <c r="AY1165" s="1136"/>
      <c r="AZ1165" s="1136"/>
      <c r="BA1165" s="1136"/>
      <c r="BB1165" s="1136"/>
      <c r="BC1165" s="1136"/>
      <c r="BD1165" s="1136"/>
      <c r="BE1165" s="1136"/>
      <c r="BF1165" s="1136"/>
      <c r="BG1165" s="1136"/>
      <c r="BH1165" s="1136"/>
      <c r="BI1165" s="1136"/>
      <c r="BJ1165" s="1136"/>
      <c r="BK1165" s="1136"/>
      <c r="BL1165" s="1136"/>
      <c r="BM1165" s="1136"/>
      <c r="BN1165" s="1136"/>
      <c r="BO1165" s="1136"/>
      <c r="BP1165" s="1136"/>
      <c r="BQ1165" s="1136"/>
      <c r="BR1165" s="1136"/>
      <c r="BS1165" s="1136"/>
      <c r="BT1165" s="1136"/>
      <c r="BU1165" s="1136"/>
      <c r="BV1165" s="1136"/>
      <c r="BW1165" s="1136"/>
      <c r="BX1165" s="1136"/>
      <c r="BY1165" s="1136"/>
      <c r="BZ1165" s="1136"/>
      <c r="CA1165" s="1136"/>
      <c r="CB1165" s="1136"/>
      <c r="CC1165" s="1136"/>
      <c r="CD1165" s="1136"/>
      <c r="CE1165" s="1136"/>
      <c r="CF1165" s="1136"/>
      <c r="CG1165" s="1136"/>
      <c r="CH1165" s="1136"/>
      <c r="CI1165" s="1136"/>
      <c r="CJ1165" s="1136"/>
      <c r="CK1165" s="1136"/>
      <c r="CL1165" s="1136"/>
      <c r="CM1165" s="1136"/>
      <c r="CN1165" s="1136"/>
      <c r="CO1165" s="1136"/>
      <c r="CP1165" s="1136"/>
      <c r="CQ1165" s="1136"/>
      <c r="CR1165" s="1136"/>
      <c r="CS1165" s="1136"/>
      <c r="CT1165" s="1136"/>
      <c r="CU1165" s="1136"/>
      <c r="CV1165" s="1136"/>
      <c r="CW1165" s="1136"/>
      <c r="CX1165" s="1136"/>
      <c r="CY1165" s="1136"/>
      <c r="CZ1165" s="1136"/>
      <c r="DA1165" s="1136"/>
      <c r="DB1165" s="1136"/>
      <c r="DC1165" s="1136"/>
      <c r="DD1165" s="1136"/>
      <c r="DE1165" s="1136"/>
      <c r="DF1165" s="1136"/>
      <c r="DG1165" s="1136"/>
      <c r="DH1165" s="1136"/>
      <c r="DI1165" s="1136"/>
    </row>
    <row r="1166" spans="1:113" ht="15.75" x14ac:dyDescent="0.25">
      <c r="A1166" s="1471" t="s">
        <v>3331</v>
      </c>
      <c r="B1166" s="1431">
        <f>B735</f>
        <v>300</v>
      </c>
      <c r="C1166" s="1610"/>
      <c r="D1166" s="1566"/>
      <c r="E1166" s="1566"/>
      <c r="F1166" s="1566"/>
      <c r="G1166" s="1566"/>
      <c r="H1166" s="1531"/>
      <c r="I1166" s="1531"/>
      <c r="J1166" s="1531"/>
      <c r="K1166" s="1531"/>
      <c r="L1166" s="1531"/>
      <c r="M1166" s="1531"/>
      <c r="N1166" s="1531"/>
      <c r="O1166" s="1531"/>
      <c r="P1166" s="1531"/>
      <c r="Q1166" s="1531"/>
      <c r="R1166" s="1531"/>
      <c r="S1166" s="1531"/>
      <c r="T1166" s="1531"/>
      <c r="U1166" s="1531"/>
      <c r="V1166" s="1531"/>
      <c r="W1166" s="1531"/>
      <c r="X1166" s="1531"/>
      <c r="Y1166" s="1531"/>
      <c r="Z1166" s="1531"/>
      <c r="AA1166" s="1531"/>
      <c r="AB1166" s="1531"/>
      <c r="AC1166" s="1531"/>
      <c r="AD1166" s="1531"/>
      <c r="AE1166" s="1531"/>
      <c r="AF1166" s="1531"/>
      <c r="AG1166" s="1531"/>
      <c r="AH1166" s="1531"/>
      <c r="AI1166" s="1531"/>
      <c r="AJ1166" s="1531"/>
      <c r="AK1166" s="1531"/>
      <c r="AL1166" s="1531"/>
      <c r="AM1166" s="1531"/>
      <c r="AN1166" s="1531"/>
      <c r="AO1166" s="1531"/>
      <c r="AP1166" s="1531"/>
      <c r="AQ1166" s="1531"/>
      <c r="AR1166" s="1531"/>
      <c r="AS1166" s="1531"/>
      <c r="AT1166" s="1136"/>
      <c r="AU1166" s="1136"/>
      <c r="AV1166" s="1136"/>
      <c r="AW1166" s="1136"/>
      <c r="AX1166" s="1136"/>
      <c r="AY1166" s="1136"/>
      <c r="AZ1166" s="1136"/>
      <c r="BA1166" s="1136"/>
      <c r="BB1166" s="1136"/>
      <c r="BC1166" s="1136"/>
      <c r="BD1166" s="1136"/>
      <c r="BE1166" s="1136"/>
      <c r="BF1166" s="1136"/>
      <c r="BG1166" s="1136"/>
      <c r="BH1166" s="1136"/>
      <c r="BI1166" s="1136"/>
      <c r="BJ1166" s="1136"/>
      <c r="BK1166" s="1136"/>
      <c r="BL1166" s="1136"/>
      <c r="BM1166" s="1136"/>
      <c r="BN1166" s="1136"/>
      <c r="BO1166" s="1136"/>
      <c r="BP1166" s="1136"/>
      <c r="BQ1166" s="1136"/>
      <c r="BR1166" s="1136"/>
      <c r="BS1166" s="1136"/>
      <c r="BT1166" s="1136"/>
      <c r="BU1166" s="1136"/>
      <c r="BV1166" s="1136"/>
      <c r="BW1166" s="1136"/>
      <c r="BX1166" s="1136"/>
      <c r="BY1166" s="1136"/>
      <c r="BZ1166" s="1136"/>
      <c r="CA1166" s="1136"/>
      <c r="CB1166" s="1136"/>
      <c r="CC1166" s="1136"/>
      <c r="CD1166" s="1136"/>
      <c r="CE1166" s="1136"/>
      <c r="CF1166" s="1136"/>
      <c r="CG1166" s="1136"/>
      <c r="CH1166" s="1136"/>
      <c r="CI1166" s="1136"/>
      <c r="CJ1166" s="1136"/>
      <c r="CK1166" s="1136"/>
      <c r="CL1166" s="1136"/>
      <c r="CM1166" s="1136"/>
      <c r="CN1166" s="1136"/>
      <c r="CO1166" s="1136"/>
      <c r="CP1166" s="1136"/>
      <c r="CQ1166" s="1136"/>
      <c r="CR1166" s="1136"/>
      <c r="CS1166" s="1136"/>
      <c r="CT1166" s="1136"/>
      <c r="CU1166" s="1136"/>
      <c r="CV1166" s="1136"/>
      <c r="CW1166" s="1136"/>
      <c r="CX1166" s="1136"/>
      <c r="CY1166" s="1136"/>
      <c r="CZ1166" s="1136"/>
      <c r="DA1166" s="1136"/>
      <c r="DB1166" s="1136"/>
      <c r="DC1166" s="1136"/>
      <c r="DD1166" s="1136"/>
      <c r="DE1166" s="1136"/>
      <c r="DF1166" s="1136"/>
      <c r="DG1166" s="1136"/>
      <c r="DH1166" s="1136"/>
      <c r="DI1166" s="1136"/>
    </row>
    <row r="1167" spans="1:113" ht="15.75" x14ac:dyDescent="0.25">
      <c r="A1167" s="1420" t="s">
        <v>3332</v>
      </c>
      <c r="B1167" s="1433" t="e">
        <f>B1165*B1166</f>
        <v>#DIV/0!</v>
      </c>
      <c r="C1167" s="1569"/>
      <c r="D1167" s="1587"/>
      <c r="E1167" s="1587"/>
      <c r="F1167" s="1587"/>
      <c r="G1167" s="1587"/>
      <c r="H1167" s="1531"/>
      <c r="I1167" s="1531"/>
      <c r="J1167" s="1531"/>
      <c r="K1167" s="1531"/>
      <c r="L1167" s="1531"/>
      <c r="M1167" s="1531"/>
      <c r="N1167" s="1531"/>
      <c r="O1167" s="1531"/>
      <c r="P1167" s="1531"/>
      <c r="Q1167" s="1531"/>
      <c r="R1167" s="1531"/>
      <c r="S1167" s="1531"/>
      <c r="T1167" s="1531"/>
      <c r="U1167" s="1531"/>
      <c r="V1167" s="1531"/>
      <c r="W1167" s="1531"/>
      <c r="X1167" s="1531"/>
      <c r="Y1167" s="1531"/>
      <c r="Z1167" s="1531"/>
      <c r="AA1167" s="1531"/>
      <c r="AB1167" s="1531"/>
      <c r="AC1167" s="1531"/>
      <c r="AD1167" s="1531"/>
      <c r="AE1167" s="1531"/>
      <c r="AF1167" s="1531"/>
      <c r="AG1167" s="1531"/>
      <c r="AH1167" s="1531"/>
      <c r="AI1167" s="1531"/>
      <c r="AJ1167" s="1531"/>
      <c r="AK1167" s="1531"/>
      <c r="AL1167" s="1531"/>
      <c r="AM1167" s="1531"/>
      <c r="AN1167" s="1531"/>
      <c r="AO1167" s="1531"/>
      <c r="AP1167" s="1531"/>
      <c r="AQ1167" s="1531"/>
      <c r="AR1167" s="1531"/>
      <c r="AS1167" s="1531"/>
      <c r="AT1167" s="1136"/>
      <c r="AU1167" s="1136"/>
      <c r="AV1167" s="1136"/>
      <c r="AW1167" s="1136"/>
      <c r="AX1167" s="1136"/>
      <c r="AY1167" s="1136"/>
      <c r="AZ1167" s="1136"/>
      <c r="BA1167" s="1136"/>
      <c r="BB1167" s="1136"/>
      <c r="BC1167" s="1136"/>
      <c r="BD1167" s="1136"/>
      <c r="BE1167" s="1136"/>
      <c r="BF1167" s="1136"/>
      <c r="BG1167" s="1136"/>
      <c r="BH1167" s="1136"/>
      <c r="BI1167" s="1136"/>
      <c r="BJ1167" s="1136"/>
      <c r="BK1167" s="1136"/>
      <c r="BL1167" s="1136"/>
      <c r="BM1167" s="1136"/>
      <c r="BN1167" s="1136"/>
      <c r="BO1167" s="1136"/>
      <c r="BP1167" s="1136"/>
      <c r="BQ1167" s="1136"/>
      <c r="BR1167" s="1136"/>
      <c r="BS1167" s="1136"/>
      <c r="BT1167" s="1136"/>
      <c r="BU1167" s="1136"/>
      <c r="BV1167" s="1136"/>
      <c r="BW1167" s="1136"/>
      <c r="BX1167" s="1136"/>
      <c r="BY1167" s="1136"/>
      <c r="BZ1167" s="1136"/>
      <c r="CA1167" s="1136"/>
      <c r="CB1167" s="1136"/>
      <c r="CC1167" s="1136"/>
      <c r="CD1167" s="1136"/>
      <c r="CE1167" s="1136"/>
      <c r="CF1167" s="1136"/>
      <c r="CG1167" s="1136"/>
      <c r="CH1167" s="1136"/>
      <c r="CI1167" s="1136"/>
      <c r="CJ1167" s="1136"/>
      <c r="CK1167" s="1136"/>
      <c r="CL1167" s="1136"/>
      <c r="CM1167" s="1136"/>
      <c r="CN1167" s="1136"/>
      <c r="CO1167" s="1136"/>
      <c r="CP1167" s="1136"/>
      <c r="CQ1167" s="1136"/>
      <c r="CR1167" s="1136"/>
      <c r="CS1167" s="1136"/>
      <c r="CT1167" s="1136"/>
      <c r="CU1167" s="1136"/>
      <c r="CV1167" s="1136"/>
      <c r="CW1167" s="1136"/>
      <c r="CX1167" s="1136"/>
      <c r="CY1167" s="1136"/>
      <c r="CZ1167" s="1136"/>
      <c r="DA1167" s="1136"/>
      <c r="DB1167" s="1136"/>
      <c r="DC1167" s="1136"/>
      <c r="DD1167" s="1136"/>
      <c r="DE1167" s="1136"/>
      <c r="DF1167" s="1136"/>
      <c r="DG1167" s="1136"/>
      <c r="DH1167" s="1136"/>
      <c r="DI1167" s="1136"/>
    </row>
    <row r="1168" spans="1:113" ht="15.75" x14ac:dyDescent="0.25">
      <c r="A1168" s="1452" t="s">
        <v>3333</v>
      </c>
      <c r="B1168" s="1571">
        <f>IF(B323=0,B1167,0)</f>
        <v>0</v>
      </c>
      <c r="C1168" s="1572"/>
      <c r="D1168" s="1589"/>
      <c r="E1168" s="1589"/>
      <c r="F1168" s="1589"/>
      <c r="G1168" s="1589"/>
      <c r="H1168" s="1531"/>
      <c r="I1168" s="1531"/>
      <c r="J1168" s="1531"/>
      <c r="K1168" s="1531"/>
      <c r="L1168" s="1531"/>
      <c r="M1168" s="1531"/>
      <c r="N1168" s="1531"/>
      <c r="O1168" s="1531"/>
      <c r="P1168" s="1531"/>
      <c r="Q1168" s="1531"/>
      <c r="R1168" s="1531"/>
      <c r="S1168" s="1531"/>
      <c r="T1168" s="1531"/>
      <c r="U1168" s="1531"/>
      <c r="V1168" s="1531"/>
      <c r="W1168" s="1531"/>
      <c r="X1168" s="1531"/>
      <c r="Y1168" s="1531"/>
      <c r="Z1168" s="1531"/>
      <c r="AA1168" s="1531"/>
      <c r="AB1168" s="1531"/>
      <c r="AC1168" s="1531"/>
      <c r="AD1168" s="1531"/>
      <c r="AE1168" s="1531"/>
      <c r="AF1168" s="1531"/>
      <c r="AG1168" s="1531"/>
      <c r="AH1168" s="1531"/>
      <c r="AI1168" s="1531"/>
      <c r="AJ1168" s="1531"/>
      <c r="AK1168" s="1531"/>
      <c r="AL1168" s="1531"/>
      <c r="AM1168" s="1531"/>
      <c r="AN1168" s="1531"/>
      <c r="AO1168" s="1531"/>
      <c r="AP1168" s="1531"/>
      <c r="AQ1168" s="1531"/>
      <c r="AR1168" s="1531"/>
      <c r="AS1168" s="1531"/>
      <c r="AT1168" s="1136"/>
      <c r="AU1168" s="1136"/>
      <c r="AV1168" s="1136"/>
      <c r="AW1168" s="1136"/>
      <c r="AX1168" s="1136"/>
      <c r="AY1168" s="1136"/>
      <c r="AZ1168" s="1136"/>
      <c r="BA1168" s="1136"/>
      <c r="BB1168" s="1136"/>
      <c r="BC1168" s="1136"/>
      <c r="BD1168" s="1136"/>
      <c r="BE1168" s="1136"/>
      <c r="BF1168" s="1136"/>
      <c r="BG1168" s="1136"/>
      <c r="BH1168" s="1136"/>
      <c r="BI1168" s="1136"/>
      <c r="BJ1168" s="1136"/>
      <c r="BK1168" s="1136"/>
      <c r="BL1168" s="1136"/>
      <c r="BM1168" s="1136"/>
      <c r="BN1168" s="1136"/>
      <c r="BO1168" s="1136"/>
      <c r="BP1168" s="1136"/>
      <c r="BQ1168" s="1136"/>
      <c r="BR1168" s="1136"/>
      <c r="BS1168" s="1136"/>
      <c r="BT1168" s="1136"/>
      <c r="BU1168" s="1136"/>
      <c r="BV1168" s="1136"/>
      <c r="BW1168" s="1136"/>
      <c r="BX1168" s="1136"/>
      <c r="BY1168" s="1136"/>
      <c r="BZ1168" s="1136"/>
      <c r="CA1168" s="1136"/>
      <c r="CB1168" s="1136"/>
      <c r="CC1168" s="1136"/>
      <c r="CD1168" s="1136"/>
      <c r="CE1168" s="1136"/>
      <c r="CF1168" s="1136"/>
      <c r="CG1168" s="1136"/>
      <c r="CH1168" s="1136"/>
      <c r="CI1168" s="1136"/>
      <c r="CJ1168" s="1136"/>
      <c r="CK1168" s="1136"/>
      <c r="CL1168" s="1136"/>
      <c r="CM1168" s="1136"/>
      <c r="CN1168" s="1136"/>
      <c r="CO1168" s="1136"/>
      <c r="CP1168" s="1136"/>
      <c r="CQ1168" s="1136"/>
      <c r="CR1168" s="1136"/>
      <c r="CS1168" s="1136"/>
      <c r="CT1168" s="1136"/>
      <c r="CU1168" s="1136"/>
      <c r="CV1168" s="1136"/>
      <c r="CW1168" s="1136"/>
      <c r="CX1168" s="1136"/>
      <c r="CY1168" s="1136"/>
      <c r="CZ1168" s="1136"/>
      <c r="DA1168" s="1136"/>
      <c r="DB1168" s="1136"/>
      <c r="DC1168" s="1136"/>
      <c r="DD1168" s="1136"/>
      <c r="DE1168" s="1136"/>
      <c r="DF1168" s="1136"/>
      <c r="DG1168" s="1136"/>
      <c r="DH1168" s="1136"/>
      <c r="DI1168" s="1136"/>
    </row>
    <row r="1169" spans="1:113" ht="15.75" x14ac:dyDescent="0.25">
      <c r="A1169" s="1471"/>
      <c r="B1169" s="1573"/>
      <c r="C1169" s="1574"/>
      <c r="D1169" s="1562"/>
      <c r="E1169" s="1562"/>
      <c r="F1169" s="1562"/>
      <c r="G1169" s="1562"/>
      <c r="H1169" s="1531"/>
      <c r="I1169" s="1531"/>
      <c r="J1169" s="1531"/>
      <c r="K1169" s="1531"/>
      <c r="L1169" s="1531"/>
      <c r="M1169" s="1531"/>
      <c r="N1169" s="1531"/>
      <c r="O1169" s="1531"/>
      <c r="P1169" s="1531"/>
      <c r="Q1169" s="1531"/>
      <c r="R1169" s="1531"/>
      <c r="S1169" s="1531"/>
      <c r="T1169" s="1531"/>
      <c r="U1169" s="1531"/>
      <c r="V1169" s="1531"/>
      <c r="W1169" s="1531"/>
      <c r="X1169" s="1531"/>
      <c r="Y1169" s="1531"/>
      <c r="Z1169" s="1531"/>
      <c r="AA1169" s="1531"/>
      <c r="AB1169" s="1531"/>
      <c r="AC1169" s="1531"/>
      <c r="AD1169" s="1531"/>
      <c r="AE1169" s="1531"/>
      <c r="AF1169" s="1531"/>
      <c r="AG1169" s="1531"/>
      <c r="AH1169" s="1531"/>
      <c r="AI1169" s="1531"/>
      <c r="AJ1169" s="1531"/>
      <c r="AK1169" s="1531"/>
      <c r="AL1169" s="1531"/>
      <c r="AM1169" s="1531"/>
      <c r="AN1169" s="1531"/>
      <c r="AO1169" s="1531"/>
      <c r="AP1169" s="1531"/>
      <c r="AQ1169" s="1531"/>
      <c r="AR1169" s="1531"/>
      <c r="AS1169" s="1531"/>
      <c r="AT1169" s="1136"/>
      <c r="AU1169" s="1136"/>
      <c r="AV1169" s="1136"/>
      <c r="AW1169" s="1136"/>
      <c r="AX1169" s="1136"/>
      <c r="AY1169" s="1136"/>
      <c r="AZ1169" s="1136"/>
      <c r="BA1169" s="1136"/>
      <c r="BB1169" s="1136"/>
      <c r="BC1169" s="1136"/>
      <c r="BD1169" s="1136"/>
      <c r="BE1169" s="1136"/>
      <c r="BF1169" s="1136"/>
      <c r="BG1169" s="1136"/>
      <c r="BH1169" s="1136"/>
      <c r="BI1169" s="1136"/>
      <c r="BJ1169" s="1136"/>
      <c r="BK1169" s="1136"/>
      <c r="BL1169" s="1136"/>
      <c r="BM1169" s="1136"/>
      <c r="BN1169" s="1136"/>
      <c r="BO1169" s="1136"/>
      <c r="BP1169" s="1136"/>
      <c r="BQ1169" s="1136"/>
      <c r="BR1169" s="1136"/>
      <c r="BS1169" s="1136"/>
      <c r="BT1169" s="1136"/>
      <c r="BU1169" s="1136"/>
      <c r="BV1169" s="1136"/>
      <c r="BW1169" s="1136"/>
      <c r="BX1169" s="1136"/>
      <c r="BY1169" s="1136"/>
      <c r="BZ1169" s="1136"/>
      <c r="CA1169" s="1136"/>
      <c r="CB1169" s="1136"/>
      <c r="CC1169" s="1136"/>
      <c r="CD1169" s="1136"/>
      <c r="CE1169" s="1136"/>
      <c r="CF1169" s="1136"/>
      <c r="CG1169" s="1136"/>
      <c r="CH1169" s="1136"/>
      <c r="CI1169" s="1136"/>
      <c r="CJ1169" s="1136"/>
      <c r="CK1169" s="1136"/>
      <c r="CL1169" s="1136"/>
      <c r="CM1169" s="1136"/>
      <c r="CN1169" s="1136"/>
      <c r="CO1169" s="1136"/>
      <c r="CP1169" s="1136"/>
      <c r="CQ1169" s="1136"/>
      <c r="CR1169" s="1136"/>
      <c r="CS1169" s="1136"/>
      <c r="CT1169" s="1136"/>
      <c r="CU1169" s="1136"/>
      <c r="CV1169" s="1136"/>
      <c r="CW1169" s="1136"/>
      <c r="CX1169" s="1136"/>
      <c r="CY1169" s="1136"/>
      <c r="CZ1169" s="1136"/>
      <c r="DA1169" s="1136"/>
      <c r="DB1169" s="1136"/>
      <c r="DC1169" s="1136"/>
      <c r="DD1169" s="1136"/>
      <c r="DE1169" s="1136"/>
      <c r="DF1169" s="1136"/>
      <c r="DG1169" s="1136"/>
      <c r="DH1169" s="1136"/>
      <c r="DI1169" s="1136"/>
    </row>
    <row r="1170" spans="1:113" ht="31.5" x14ac:dyDescent="0.25">
      <c r="A1170" s="1502" t="s">
        <v>3334</v>
      </c>
      <c r="B1170" s="1415"/>
      <c r="C1170" s="1531"/>
      <c r="D1170" s="1562"/>
      <c r="E1170" s="1562"/>
      <c r="F1170" s="1562"/>
      <c r="G1170" s="1562"/>
      <c r="H1170" s="1531"/>
      <c r="I1170" s="1531"/>
      <c r="J1170" s="1531"/>
      <c r="K1170" s="1531"/>
      <c r="L1170" s="1531"/>
      <c r="M1170" s="1531"/>
      <c r="N1170" s="1531"/>
      <c r="O1170" s="1531"/>
      <c r="P1170" s="1531"/>
      <c r="Q1170" s="1531"/>
      <c r="R1170" s="1531"/>
      <c r="S1170" s="1531"/>
      <c r="T1170" s="1531"/>
      <c r="U1170" s="1531"/>
      <c r="V1170" s="1531"/>
      <c r="W1170" s="1531"/>
      <c r="X1170" s="1531"/>
      <c r="Y1170" s="1531"/>
      <c r="Z1170" s="1531"/>
      <c r="AA1170" s="1531"/>
      <c r="AB1170" s="1531"/>
      <c r="AC1170" s="1531"/>
      <c r="AD1170" s="1531"/>
      <c r="AE1170" s="1531"/>
      <c r="AF1170" s="1531"/>
      <c r="AG1170" s="1531"/>
      <c r="AH1170" s="1531"/>
      <c r="AI1170" s="1531"/>
      <c r="AJ1170" s="1531"/>
      <c r="AK1170" s="1531"/>
      <c r="AL1170" s="1531"/>
      <c r="AM1170" s="1531"/>
      <c r="AN1170" s="1531"/>
      <c r="AO1170" s="1531"/>
      <c r="AP1170" s="1531"/>
      <c r="AQ1170" s="1531"/>
      <c r="AR1170" s="1531"/>
      <c r="AS1170" s="1531"/>
      <c r="AT1170" s="1136"/>
      <c r="AU1170" s="1136"/>
      <c r="AV1170" s="1136"/>
      <c r="AW1170" s="1136"/>
      <c r="AX1170" s="1136"/>
      <c r="AY1170" s="1136"/>
      <c r="AZ1170" s="1136"/>
      <c r="BA1170" s="1136"/>
      <c r="BB1170" s="1136"/>
      <c r="BC1170" s="1136"/>
      <c r="BD1170" s="1136"/>
      <c r="BE1170" s="1136"/>
      <c r="BF1170" s="1136"/>
      <c r="BG1170" s="1136"/>
      <c r="BH1170" s="1136"/>
      <c r="BI1170" s="1136"/>
      <c r="BJ1170" s="1136"/>
      <c r="BK1170" s="1136"/>
      <c r="BL1170" s="1136"/>
      <c r="BM1170" s="1136"/>
      <c r="BN1170" s="1136"/>
      <c r="BO1170" s="1136"/>
      <c r="BP1170" s="1136"/>
      <c r="BQ1170" s="1136"/>
      <c r="BR1170" s="1136"/>
      <c r="BS1170" s="1136"/>
      <c r="BT1170" s="1136"/>
      <c r="BU1170" s="1136"/>
      <c r="BV1170" s="1136"/>
      <c r="BW1170" s="1136"/>
      <c r="BX1170" s="1136"/>
      <c r="BY1170" s="1136"/>
      <c r="BZ1170" s="1136"/>
      <c r="CA1170" s="1136"/>
      <c r="CB1170" s="1136"/>
      <c r="CC1170" s="1136"/>
      <c r="CD1170" s="1136"/>
      <c r="CE1170" s="1136"/>
      <c r="CF1170" s="1136"/>
      <c r="CG1170" s="1136"/>
      <c r="CH1170" s="1136"/>
      <c r="CI1170" s="1136"/>
      <c r="CJ1170" s="1136"/>
      <c r="CK1170" s="1136"/>
      <c r="CL1170" s="1136"/>
      <c r="CM1170" s="1136"/>
      <c r="CN1170" s="1136"/>
      <c r="CO1170" s="1136"/>
      <c r="CP1170" s="1136"/>
      <c r="CQ1170" s="1136"/>
      <c r="CR1170" s="1136"/>
      <c r="CS1170" s="1136"/>
      <c r="CT1170" s="1136"/>
      <c r="CU1170" s="1136"/>
      <c r="CV1170" s="1136"/>
      <c r="CW1170" s="1136"/>
      <c r="CX1170" s="1136"/>
      <c r="CY1170" s="1136"/>
      <c r="CZ1170" s="1136"/>
      <c r="DA1170" s="1136"/>
      <c r="DB1170" s="1136"/>
      <c r="DC1170" s="1136"/>
      <c r="DD1170" s="1136"/>
      <c r="DE1170" s="1136"/>
      <c r="DF1170" s="1136"/>
      <c r="DG1170" s="1136"/>
      <c r="DH1170" s="1136"/>
      <c r="DI1170" s="1136"/>
    </row>
    <row r="1171" spans="1:113" ht="15.75" x14ac:dyDescent="0.25">
      <c r="A1171" s="1456" t="s">
        <v>2516</v>
      </c>
      <c r="B1171" s="1415"/>
      <c r="C1171" s="1531"/>
      <c r="D1171" s="1589"/>
      <c r="E1171" s="1589"/>
      <c r="F1171" s="1589"/>
      <c r="G1171" s="1589"/>
      <c r="H1171" s="1531"/>
      <c r="I1171" s="1531"/>
      <c r="J1171" s="1531"/>
      <c r="K1171" s="1531"/>
      <c r="L1171" s="1531"/>
      <c r="M1171" s="1531"/>
      <c r="N1171" s="1531"/>
      <c r="O1171" s="1531"/>
      <c r="P1171" s="1531"/>
      <c r="Q1171" s="1531"/>
      <c r="R1171" s="1531"/>
      <c r="S1171" s="1531"/>
      <c r="T1171" s="1531"/>
      <c r="U1171" s="1531"/>
      <c r="V1171" s="1531"/>
      <c r="W1171" s="1531"/>
      <c r="X1171" s="1531"/>
      <c r="Y1171" s="1531"/>
      <c r="Z1171" s="1531"/>
      <c r="AA1171" s="1531"/>
      <c r="AB1171" s="1531"/>
      <c r="AC1171" s="1531"/>
      <c r="AD1171" s="1531"/>
      <c r="AE1171" s="1531"/>
      <c r="AF1171" s="1531"/>
      <c r="AG1171" s="1531"/>
      <c r="AH1171" s="1531"/>
      <c r="AI1171" s="1531"/>
      <c r="AJ1171" s="1531"/>
      <c r="AK1171" s="1531"/>
      <c r="AL1171" s="1531"/>
      <c r="AM1171" s="1531"/>
      <c r="AN1171" s="1531"/>
      <c r="AO1171" s="1531"/>
      <c r="AP1171" s="1531"/>
      <c r="AQ1171" s="1531"/>
      <c r="AR1171" s="1531"/>
      <c r="AS1171" s="1531"/>
      <c r="AT1171" s="1136"/>
      <c r="AU1171" s="1136"/>
      <c r="AV1171" s="1136"/>
      <c r="AW1171" s="1136"/>
      <c r="AX1171" s="1136"/>
      <c r="AY1171" s="1136"/>
      <c r="AZ1171" s="1136"/>
      <c r="BA1171" s="1136"/>
      <c r="BB1171" s="1136"/>
      <c r="BC1171" s="1136"/>
      <c r="BD1171" s="1136"/>
      <c r="BE1171" s="1136"/>
      <c r="BF1171" s="1136"/>
      <c r="BG1171" s="1136"/>
      <c r="BH1171" s="1136"/>
      <c r="BI1171" s="1136"/>
      <c r="BJ1171" s="1136"/>
      <c r="BK1171" s="1136"/>
      <c r="BL1171" s="1136"/>
      <c r="BM1171" s="1136"/>
      <c r="BN1171" s="1136"/>
      <c r="BO1171" s="1136"/>
      <c r="BP1171" s="1136"/>
      <c r="BQ1171" s="1136"/>
      <c r="BR1171" s="1136"/>
      <c r="BS1171" s="1136"/>
      <c r="BT1171" s="1136"/>
      <c r="BU1171" s="1136"/>
      <c r="BV1171" s="1136"/>
      <c r="BW1171" s="1136"/>
      <c r="BX1171" s="1136"/>
      <c r="BY1171" s="1136"/>
      <c r="BZ1171" s="1136"/>
      <c r="CA1171" s="1136"/>
      <c r="CB1171" s="1136"/>
      <c r="CC1171" s="1136"/>
      <c r="CD1171" s="1136"/>
      <c r="CE1171" s="1136"/>
      <c r="CF1171" s="1136"/>
      <c r="CG1171" s="1136"/>
      <c r="CH1171" s="1136"/>
      <c r="CI1171" s="1136"/>
      <c r="CJ1171" s="1136"/>
      <c r="CK1171" s="1136"/>
      <c r="CL1171" s="1136"/>
      <c r="CM1171" s="1136"/>
      <c r="CN1171" s="1136"/>
      <c r="CO1171" s="1136"/>
      <c r="CP1171" s="1136"/>
      <c r="CQ1171" s="1136"/>
      <c r="CR1171" s="1136"/>
      <c r="CS1171" s="1136"/>
      <c r="CT1171" s="1136"/>
      <c r="CU1171" s="1136"/>
      <c r="CV1171" s="1136"/>
      <c r="CW1171" s="1136"/>
      <c r="CX1171" s="1136"/>
      <c r="CY1171" s="1136"/>
      <c r="CZ1171" s="1136"/>
      <c r="DA1171" s="1136"/>
      <c r="DB1171" s="1136"/>
      <c r="DC1171" s="1136"/>
      <c r="DD1171" s="1136"/>
      <c r="DE1171" s="1136"/>
      <c r="DF1171" s="1136"/>
      <c r="DG1171" s="1136"/>
      <c r="DH1171" s="1136"/>
      <c r="DI1171" s="1136"/>
    </row>
    <row r="1172" spans="1:113" ht="31.5" x14ac:dyDescent="0.25">
      <c r="A1172" s="1420" t="s">
        <v>3335</v>
      </c>
      <c r="B1172" s="1421" t="e">
        <f>B1078*B1077*B1156</f>
        <v>#DIV/0!</v>
      </c>
      <c r="C1172" s="1523"/>
      <c r="D1172" s="1562"/>
      <c r="E1172" s="1562"/>
      <c r="F1172" s="1562"/>
      <c r="G1172" s="1562"/>
      <c r="H1172" s="1531"/>
      <c r="I1172" s="1531"/>
      <c r="J1172" s="1531"/>
      <c r="K1172" s="1531"/>
      <c r="L1172" s="1531"/>
      <c r="M1172" s="1531"/>
      <c r="N1172" s="1531"/>
      <c r="O1172" s="1531"/>
      <c r="P1172" s="1531"/>
      <c r="Q1172" s="1531"/>
      <c r="R1172" s="1531"/>
      <c r="S1172" s="1531"/>
      <c r="T1172" s="1531"/>
      <c r="U1172" s="1531"/>
      <c r="V1172" s="1531"/>
      <c r="W1172" s="1531"/>
      <c r="X1172" s="1531"/>
      <c r="Y1172" s="1531"/>
      <c r="Z1172" s="1531"/>
      <c r="AA1172" s="1531"/>
      <c r="AB1172" s="1531"/>
      <c r="AC1172" s="1531"/>
      <c r="AD1172" s="1531"/>
      <c r="AE1172" s="1531"/>
      <c r="AF1172" s="1531"/>
      <c r="AG1172" s="1531"/>
      <c r="AH1172" s="1531"/>
      <c r="AI1172" s="1531"/>
      <c r="AJ1172" s="1531"/>
      <c r="AK1172" s="1531"/>
      <c r="AL1172" s="1531"/>
      <c r="AM1172" s="1531"/>
      <c r="AN1172" s="1531"/>
      <c r="AO1172" s="1531"/>
      <c r="AP1172" s="1531"/>
      <c r="AQ1172" s="1531"/>
      <c r="AR1172" s="1531"/>
      <c r="AS1172" s="1531"/>
      <c r="AT1172" s="1136"/>
      <c r="AU1172" s="1136"/>
      <c r="AV1172" s="1136"/>
      <c r="AW1172" s="1136"/>
      <c r="AX1172" s="1136"/>
      <c r="AY1172" s="1136"/>
      <c r="AZ1172" s="1136"/>
      <c r="BA1172" s="1136"/>
      <c r="BB1172" s="1136"/>
      <c r="BC1172" s="1136"/>
      <c r="BD1172" s="1136"/>
      <c r="BE1172" s="1136"/>
      <c r="BF1172" s="1136"/>
      <c r="BG1172" s="1136"/>
      <c r="BH1172" s="1136"/>
      <c r="BI1172" s="1136"/>
      <c r="BJ1172" s="1136"/>
      <c r="BK1172" s="1136"/>
      <c r="BL1172" s="1136"/>
      <c r="BM1172" s="1136"/>
      <c r="BN1172" s="1136"/>
      <c r="BO1172" s="1136"/>
      <c r="BP1172" s="1136"/>
      <c r="BQ1172" s="1136"/>
      <c r="BR1172" s="1136"/>
      <c r="BS1172" s="1136"/>
      <c r="BT1172" s="1136"/>
      <c r="BU1172" s="1136"/>
      <c r="BV1172" s="1136"/>
      <c r="BW1172" s="1136"/>
      <c r="BX1172" s="1136"/>
      <c r="BY1172" s="1136"/>
      <c r="BZ1172" s="1136"/>
      <c r="CA1172" s="1136"/>
      <c r="CB1172" s="1136"/>
      <c r="CC1172" s="1136"/>
      <c r="CD1172" s="1136"/>
      <c r="CE1172" s="1136"/>
      <c r="CF1172" s="1136"/>
      <c r="CG1172" s="1136"/>
      <c r="CH1172" s="1136"/>
      <c r="CI1172" s="1136"/>
      <c r="CJ1172" s="1136"/>
      <c r="CK1172" s="1136"/>
      <c r="CL1172" s="1136"/>
      <c r="CM1172" s="1136"/>
      <c r="CN1172" s="1136"/>
      <c r="CO1172" s="1136"/>
      <c r="CP1172" s="1136"/>
      <c r="CQ1172" s="1136"/>
      <c r="CR1172" s="1136"/>
      <c r="CS1172" s="1136"/>
      <c r="CT1172" s="1136"/>
      <c r="CU1172" s="1136"/>
      <c r="CV1172" s="1136"/>
      <c r="CW1172" s="1136"/>
      <c r="CX1172" s="1136"/>
      <c r="CY1172" s="1136"/>
      <c r="CZ1172" s="1136"/>
      <c r="DA1172" s="1136"/>
      <c r="DB1172" s="1136"/>
      <c r="DC1172" s="1136"/>
      <c r="DD1172" s="1136"/>
      <c r="DE1172" s="1136"/>
      <c r="DF1172" s="1136"/>
      <c r="DG1172" s="1136"/>
      <c r="DH1172" s="1136"/>
      <c r="DI1172" s="1136"/>
    </row>
    <row r="1173" spans="1:113" ht="31.5" x14ac:dyDescent="0.25">
      <c r="A1173" s="1420" t="s">
        <v>2800</v>
      </c>
      <c r="B1173" s="1421" t="e">
        <f>B1102*B1104*B1156</f>
        <v>#REF!</v>
      </c>
      <c r="C1173" s="1523"/>
      <c r="D1173" s="1610"/>
      <c r="E1173" s="1610"/>
      <c r="F1173" s="1610"/>
      <c r="G1173" s="1610"/>
      <c r="H1173" s="1531"/>
      <c r="I1173" s="1531"/>
      <c r="J1173" s="1531"/>
      <c r="K1173" s="1531"/>
      <c r="L1173" s="1531"/>
      <c r="M1173" s="1531"/>
      <c r="N1173" s="1531"/>
      <c r="O1173" s="1531"/>
      <c r="P1173" s="1531"/>
      <c r="Q1173" s="1531"/>
      <c r="R1173" s="1531"/>
      <c r="S1173" s="1531"/>
      <c r="T1173" s="1531"/>
      <c r="U1173" s="1531"/>
      <c r="V1173" s="1531"/>
      <c r="W1173" s="1531"/>
      <c r="X1173" s="1531"/>
      <c r="Y1173" s="1531"/>
      <c r="Z1173" s="1531"/>
      <c r="AA1173" s="1531"/>
      <c r="AB1173" s="1531"/>
      <c r="AC1173" s="1531"/>
      <c r="AD1173" s="1531"/>
      <c r="AE1173" s="1531"/>
      <c r="AF1173" s="1531"/>
      <c r="AG1173" s="1531"/>
      <c r="AH1173" s="1531"/>
      <c r="AI1173" s="1531"/>
      <c r="AJ1173" s="1531"/>
      <c r="AK1173" s="1531"/>
      <c r="AL1173" s="1531"/>
      <c r="AM1173" s="1531"/>
      <c r="AN1173" s="1531"/>
      <c r="AO1173" s="1531"/>
      <c r="AP1173" s="1531"/>
      <c r="AQ1173" s="1531"/>
      <c r="AR1173" s="1531"/>
      <c r="AS1173" s="1531"/>
      <c r="AT1173" s="1136"/>
      <c r="AU1173" s="1136"/>
      <c r="AV1173" s="1136"/>
      <c r="AW1173" s="1136"/>
      <c r="AX1173" s="1136"/>
      <c r="AY1173" s="1136"/>
      <c r="AZ1173" s="1136"/>
      <c r="BA1173" s="1136"/>
      <c r="BB1173" s="1136"/>
      <c r="BC1173" s="1136"/>
      <c r="BD1173" s="1136"/>
      <c r="BE1173" s="1136"/>
      <c r="BF1173" s="1136"/>
      <c r="BG1173" s="1136"/>
      <c r="BH1173" s="1136"/>
      <c r="BI1173" s="1136"/>
      <c r="BJ1173" s="1136"/>
      <c r="BK1173" s="1136"/>
      <c r="BL1173" s="1136"/>
      <c r="BM1173" s="1136"/>
      <c r="BN1173" s="1136"/>
      <c r="BO1173" s="1136"/>
      <c r="BP1173" s="1136"/>
      <c r="BQ1173" s="1136"/>
      <c r="BR1173" s="1136"/>
      <c r="BS1173" s="1136"/>
      <c r="BT1173" s="1136"/>
      <c r="BU1173" s="1136"/>
      <c r="BV1173" s="1136"/>
      <c r="BW1173" s="1136"/>
      <c r="BX1173" s="1136"/>
      <c r="BY1173" s="1136"/>
      <c r="BZ1173" s="1136"/>
      <c r="CA1173" s="1136"/>
      <c r="CB1173" s="1136"/>
      <c r="CC1173" s="1136"/>
      <c r="CD1173" s="1136"/>
      <c r="CE1173" s="1136"/>
      <c r="CF1173" s="1136"/>
      <c r="CG1173" s="1136"/>
      <c r="CH1173" s="1136"/>
      <c r="CI1173" s="1136"/>
      <c r="CJ1173" s="1136"/>
      <c r="CK1173" s="1136"/>
      <c r="CL1173" s="1136"/>
      <c r="CM1173" s="1136"/>
      <c r="CN1173" s="1136"/>
      <c r="CO1173" s="1136"/>
      <c r="CP1173" s="1136"/>
      <c r="CQ1173" s="1136"/>
      <c r="CR1173" s="1136"/>
      <c r="CS1173" s="1136"/>
      <c r="CT1173" s="1136"/>
      <c r="CU1173" s="1136"/>
      <c r="CV1173" s="1136"/>
      <c r="CW1173" s="1136"/>
      <c r="CX1173" s="1136"/>
      <c r="CY1173" s="1136"/>
      <c r="CZ1173" s="1136"/>
      <c r="DA1173" s="1136"/>
      <c r="DB1173" s="1136"/>
      <c r="DC1173" s="1136"/>
      <c r="DD1173" s="1136"/>
      <c r="DE1173" s="1136"/>
      <c r="DF1173" s="1136"/>
      <c r="DG1173" s="1136"/>
      <c r="DH1173" s="1136"/>
      <c r="DI1173" s="1136"/>
    </row>
    <row r="1174" spans="1:113" ht="15.75" x14ac:dyDescent="0.25">
      <c r="A1174" s="1430" t="s">
        <v>2813</v>
      </c>
      <c r="B1174" s="1588" t="e">
        <f>B1058*B286*B1159</f>
        <v>#DIV/0!</v>
      </c>
      <c r="C1174" s="1589"/>
      <c r="D1174" s="1569"/>
      <c r="E1174" s="1569"/>
      <c r="F1174" s="1569"/>
      <c r="G1174" s="1569"/>
      <c r="H1174" s="1531"/>
      <c r="I1174" s="1531"/>
      <c r="J1174" s="1531"/>
      <c r="K1174" s="1531"/>
      <c r="L1174" s="1531"/>
      <c r="M1174" s="1531"/>
      <c r="N1174" s="1531"/>
      <c r="O1174" s="1531"/>
      <c r="P1174" s="1531"/>
      <c r="Q1174" s="1531"/>
      <c r="R1174" s="1531"/>
      <c r="S1174" s="1531"/>
      <c r="T1174" s="1531"/>
      <c r="U1174" s="1531"/>
      <c r="V1174" s="1531"/>
      <c r="W1174" s="1531"/>
      <c r="X1174" s="1531"/>
      <c r="Y1174" s="1531"/>
      <c r="Z1174" s="1531"/>
      <c r="AA1174" s="1531"/>
      <c r="AB1174" s="1531"/>
      <c r="AC1174" s="1531"/>
      <c r="AD1174" s="1531"/>
      <c r="AE1174" s="1531"/>
      <c r="AF1174" s="1531"/>
      <c r="AG1174" s="1531"/>
      <c r="AH1174" s="1531"/>
      <c r="AI1174" s="1531"/>
      <c r="AJ1174" s="1531"/>
      <c r="AK1174" s="1531"/>
      <c r="AL1174" s="1531"/>
      <c r="AM1174" s="1531"/>
      <c r="AN1174" s="1531"/>
      <c r="AO1174" s="1531"/>
      <c r="AP1174" s="1531"/>
      <c r="AQ1174" s="1531"/>
      <c r="AR1174" s="1531"/>
      <c r="AS1174" s="1531"/>
      <c r="AT1174" s="1136"/>
      <c r="AU1174" s="1136"/>
      <c r="AV1174" s="1136"/>
      <c r="AW1174" s="1136"/>
      <c r="AX1174" s="1136"/>
      <c r="AY1174" s="1136"/>
      <c r="AZ1174" s="1136"/>
      <c r="BA1174" s="1136"/>
      <c r="BB1174" s="1136"/>
      <c r="BC1174" s="1136"/>
      <c r="BD1174" s="1136"/>
      <c r="BE1174" s="1136"/>
      <c r="BF1174" s="1136"/>
      <c r="BG1174" s="1136"/>
      <c r="BH1174" s="1136"/>
      <c r="BI1174" s="1136"/>
      <c r="BJ1174" s="1136"/>
      <c r="BK1174" s="1136"/>
      <c r="BL1174" s="1136"/>
      <c r="BM1174" s="1136"/>
      <c r="BN1174" s="1136"/>
      <c r="BO1174" s="1136"/>
      <c r="BP1174" s="1136"/>
      <c r="BQ1174" s="1136"/>
      <c r="BR1174" s="1136"/>
      <c r="BS1174" s="1136"/>
      <c r="BT1174" s="1136"/>
      <c r="BU1174" s="1136"/>
      <c r="BV1174" s="1136"/>
      <c r="BW1174" s="1136"/>
      <c r="BX1174" s="1136"/>
      <c r="BY1174" s="1136"/>
      <c r="BZ1174" s="1136"/>
      <c r="CA1174" s="1136"/>
      <c r="CB1174" s="1136"/>
      <c r="CC1174" s="1136"/>
      <c r="CD1174" s="1136"/>
      <c r="CE1174" s="1136"/>
      <c r="CF1174" s="1136"/>
      <c r="CG1174" s="1136"/>
      <c r="CH1174" s="1136"/>
      <c r="CI1174" s="1136"/>
      <c r="CJ1174" s="1136"/>
      <c r="CK1174" s="1136"/>
      <c r="CL1174" s="1136"/>
      <c r="CM1174" s="1136"/>
      <c r="CN1174" s="1136"/>
      <c r="CO1174" s="1136"/>
      <c r="CP1174" s="1136"/>
      <c r="CQ1174" s="1136"/>
      <c r="CR1174" s="1136"/>
      <c r="CS1174" s="1136"/>
      <c r="CT1174" s="1136"/>
      <c r="CU1174" s="1136"/>
      <c r="CV1174" s="1136"/>
      <c r="CW1174" s="1136"/>
      <c r="CX1174" s="1136"/>
      <c r="CY1174" s="1136"/>
      <c r="CZ1174" s="1136"/>
      <c r="DA1174" s="1136"/>
      <c r="DB1174" s="1136"/>
      <c r="DC1174" s="1136"/>
      <c r="DD1174" s="1136"/>
      <c r="DE1174" s="1136"/>
      <c r="DF1174" s="1136"/>
      <c r="DG1174" s="1136"/>
      <c r="DH1174" s="1136"/>
      <c r="DI1174" s="1136"/>
    </row>
    <row r="1175" spans="1:113" ht="15.75" x14ac:dyDescent="0.25">
      <c r="A1175" s="1430" t="s">
        <v>2814</v>
      </c>
      <c r="B1175" s="1588" t="e">
        <f>B1129*B286*B1159</f>
        <v>#VALUE!</v>
      </c>
      <c r="C1175" s="1589"/>
      <c r="D1175" s="1572"/>
      <c r="E1175" s="1572"/>
      <c r="F1175" s="1572"/>
      <c r="G1175" s="1572"/>
      <c r="H1175" s="1531"/>
      <c r="I1175" s="1531"/>
      <c r="J1175" s="1531"/>
      <c r="K1175" s="1531"/>
      <c r="L1175" s="1531"/>
      <c r="M1175" s="1531"/>
      <c r="N1175" s="1531"/>
      <c r="O1175" s="1531"/>
      <c r="P1175" s="1531"/>
      <c r="Q1175" s="1531"/>
      <c r="R1175" s="1531"/>
      <c r="S1175" s="1531"/>
      <c r="T1175" s="1531"/>
      <c r="U1175" s="1531"/>
      <c r="V1175" s="1531"/>
      <c r="W1175" s="1531"/>
      <c r="X1175" s="1531"/>
      <c r="Y1175" s="1531"/>
      <c r="Z1175" s="1531"/>
      <c r="AA1175" s="1531"/>
      <c r="AB1175" s="1531"/>
      <c r="AC1175" s="1531"/>
      <c r="AD1175" s="1531"/>
      <c r="AE1175" s="1531"/>
      <c r="AF1175" s="1531"/>
      <c r="AG1175" s="1531"/>
      <c r="AH1175" s="1531"/>
      <c r="AI1175" s="1531"/>
      <c r="AJ1175" s="1531"/>
      <c r="AK1175" s="1531"/>
      <c r="AL1175" s="1531"/>
      <c r="AM1175" s="1531"/>
      <c r="AN1175" s="1531"/>
      <c r="AO1175" s="1531"/>
      <c r="AP1175" s="1531"/>
      <c r="AQ1175" s="1531"/>
      <c r="AR1175" s="1531"/>
      <c r="AS1175" s="1531"/>
      <c r="AT1175" s="1136"/>
      <c r="AU1175" s="1136"/>
      <c r="AV1175" s="1136"/>
      <c r="AW1175" s="1136"/>
      <c r="AX1175" s="1136"/>
      <c r="AY1175" s="1136"/>
      <c r="AZ1175" s="1136"/>
      <c r="BA1175" s="1136"/>
      <c r="BB1175" s="1136"/>
      <c r="BC1175" s="1136"/>
      <c r="BD1175" s="1136"/>
      <c r="BE1175" s="1136"/>
      <c r="BF1175" s="1136"/>
      <c r="BG1175" s="1136"/>
      <c r="BH1175" s="1136"/>
      <c r="BI1175" s="1136"/>
      <c r="BJ1175" s="1136"/>
      <c r="BK1175" s="1136"/>
      <c r="BL1175" s="1136"/>
      <c r="BM1175" s="1136"/>
      <c r="BN1175" s="1136"/>
      <c r="BO1175" s="1136"/>
      <c r="BP1175" s="1136"/>
      <c r="BQ1175" s="1136"/>
      <c r="BR1175" s="1136"/>
      <c r="BS1175" s="1136"/>
      <c r="BT1175" s="1136"/>
      <c r="BU1175" s="1136"/>
      <c r="BV1175" s="1136"/>
      <c r="BW1175" s="1136"/>
      <c r="BX1175" s="1136"/>
      <c r="BY1175" s="1136"/>
      <c r="BZ1175" s="1136"/>
      <c r="CA1175" s="1136"/>
      <c r="CB1175" s="1136"/>
      <c r="CC1175" s="1136"/>
      <c r="CD1175" s="1136"/>
      <c r="CE1175" s="1136"/>
      <c r="CF1175" s="1136"/>
      <c r="CG1175" s="1136"/>
      <c r="CH1175" s="1136"/>
      <c r="CI1175" s="1136"/>
      <c r="CJ1175" s="1136"/>
      <c r="CK1175" s="1136"/>
      <c r="CL1175" s="1136"/>
      <c r="CM1175" s="1136"/>
      <c r="CN1175" s="1136"/>
      <c r="CO1175" s="1136"/>
      <c r="CP1175" s="1136"/>
      <c r="CQ1175" s="1136"/>
      <c r="CR1175" s="1136"/>
      <c r="CS1175" s="1136"/>
      <c r="CT1175" s="1136"/>
      <c r="CU1175" s="1136"/>
      <c r="CV1175" s="1136"/>
      <c r="CW1175" s="1136"/>
      <c r="CX1175" s="1136"/>
      <c r="CY1175" s="1136"/>
      <c r="CZ1175" s="1136"/>
      <c r="DA1175" s="1136"/>
      <c r="DB1175" s="1136"/>
      <c r="DC1175" s="1136"/>
      <c r="DD1175" s="1136"/>
      <c r="DE1175" s="1136"/>
      <c r="DF1175" s="1136"/>
      <c r="DG1175" s="1136"/>
      <c r="DH1175" s="1136"/>
      <c r="DI1175" s="1136"/>
    </row>
    <row r="1176" spans="1:113" ht="31.5" x14ac:dyDescent="0.25">
      <c r="A1176" s="1420" t="s">
        <v>2815</v>
      </c>
      <c r="B1176" s="1588" t="e">
        <f>B1078*3*B286*B1159</f>
        <v>#DIV/0!</v>
      </c>
      <c r="C1176" s="1589"/>
      <c r="D1176" s="1531"/>
      <c r="E1176" s="1531"/>
      <c r="F1176" s="1531"/>
      <c r="G1176" s="1531"/>
      <c r="H1176" s="1531"/>
      <c r="I1176" s="1531"/>
      <c r="J1176" s="1531"/>
      <c r="K1176" s="1531"/>
      <c r="L1176" s="1531"/>
      <c r="M1176" s="1531"/>
      <c r="N1176" s="1531"/>
      <c r="O1176" s="1531"/>
      <c r="P1176" s="1531"/>
      <c r="Q1176" s="1531"/>
      <c r="R1176" s="1531"/>
      <c r="S1176" s="1531"/>
      <c r="T1176" s="1531"/>
      <c r="U1176" s="1531"/>
      <c r="V1176" s="1531"/>
      <c r="W1176" s="1531"/>
      <c r="X1176" s="1531"/>
      <c r="Y1176" s="1531"/>
      <c r="Z1176" s="1531"/>
      <c r="AA1176" s="1531"/>
      <c r="AB1176" s="1531"/>
      <c r="AC1176" s="1531"/>
      <c r="AD1176" s="1531"/>
      <c r="AE1176" s="1531"/>
      <c r="AF1176" s="1531"/>
      <c r="AG1176" s="1531"/>
      <c r="AH1176" s="1531"/>
      <c r="AI1176" s="1531"/>
      <c r="AJ1176" s="1531"/>
      <c r="AK1176" s="1531"/>
      <c r="AL1176" s="1531"/>
      <c r="AM1176" s="1531"/>
      <c r="AN1176" s="1531"/>
      <c r="AO1176" s="1531"/>
      <c r="AP1176" s="1531"/>
      <c r="AQ1176" s="1531"/>
      <c r="AR1176" s="1531"/>
      <c r="AS1176" s="1531"/>
      <c r="AT1176" s="1136"/>
      <c r="AU1176" s="1136"/>
      <c r="AV1176" s="1136"/>
      <c r="AW1176" s="1136"/>
      <c r="AX1176" s="1136"/>
      <c r="AY1176" s="1136"/>
      <c r="AZ1176" s="1136"/>
      <c r="BA1176" s="1136"/>
      <c r="BB1176" s="1136"/>
      <c r="BC1176" s="1136"/>
      <c r="BD1176" s="1136"/>
      <c r="BE1176" s="1136"/>
      <c r="BF1176" s="1136"/>
      <c r="BG1176" s="1136"/>
      <c r="BH1176" s="1136"/>
      <c r="BI1176" s="1136"/>
      <c r="BJ1176" s="1136"/>
      <c r="BK1176" s="1136"/>
      <c r="BL1176" s="1136"/>
      <c r="BM1176" s="1136"/>
      <c r="BN1176" s="1136"/>
      <c r="BO1176" s="1136"/>
      <c r="BP1176" s="1136"/>
      <c r="BQ1176" s="1136"/>
      <c r="BR1176" s="1136"/>
      <c r="BS1176" s="1136"/>
      <c r="BT1176" s="1136"/>
      <c r="BU1176" s="1136"/>
      <c r="BV1176" s="1136"/>
      <c r="BW1176" s="1136"/>
      <c r="BX1176" s="1136"/>
      <c r="BY1176" s="1136"/>
      <c r="BZ1176" s="1136"/>
      <c r="CA1176" s="1136"/>
      <c r="CB1176" s="1136"/>
      <c r="CC1176" s="1136"/>
      <c r="CD1176" s="1136"/>
      <c r="CE1176" s="1136"/>
      <c r="CF1176" s="1136"/>
      <c r="CG1176" s="1136"/>
      <c r="CH1176" s="1136"/>
      <c r="CI1176" s="1136"/>
      <c r="CJ1176" s="1136"/>
      <c r="CK1176" s="1136"/>
      <c r="CL1176" s="1136"/>
      <c r="CM1176" s="1136"/>
      <c r="CN1176" s="1136"/>
      <c r="CO1176" s="1136"/>
      <c r="CP1176" s="1136"/>
      <c r="CQ1176" s="1136"/>
      <c r="CR1176" s="1136"/>
      <c r="CS1176" s="1136"/>
      <c r="CT1176" s="1136"/>
      <c r="CU1176" s="1136"/>
      <c r="CV1176" s="1136"/>
      <c r="CW1176" s="1136"/>
      <c r="CX1176" s="1136"/>
      <c r="CY1176" s="1136"/>
      <c r="CZ1176" s="1136"/>
      <c r="DA1176" s="1136"/>
      <c r="DB1176" s="1136"/>
      <c r="DC1176" s="1136"/>
      <c r="DD1176" s="1136"/>
      <c r="DE1176" s="1136"/>
      <c r="DF1176" s="1136"/>
      <c r="DG1176" s="1136"/>
      <c r="DH1176" s="1136"/>
      <c r="DI1176" s="1136"/>
    </row>
    <row r="1177" spans="1:113" ht="15.75" x14ac:dyDescent="0.25">
      <c r="A1177" s="1430" t="s">
        <v>3329</v>
      </c>
      <c r="B1177" s="1588" t="e">
        <f>B1164</f>
        <v>#VALUE!</v>
      </c>
      <c r="C1177" s="1589"/>
      <c r="D1177" s="1531"/>
      <c r="E1177" s="1531"/>
      <c r="F1177" s="1531"/>
      <c r="G1177" s="1531"/>
      <c r="H1177" s="1531"/>
      <c r="I1177" s="1531"/>
      <c r="J1177" s="1531"/>
      <c r="K1177" s="1531"/>
      <c r="L1177" s="1531"/>
      <c r="M1177" s="1531"/>
      <c r="N1177" s="1531"/>
      <c r="O1177" s="1531"/>
      <c r="P1177" s="1531"/>
      <c r="Q1177" s="1531"/>
      <c r="R1177" s="1531"/>
      <c r="S1177" s="1531"/>
      <c r="T1177" s="1531"/>
      <c r="U1177" s="1531"/>
      <c r="V1177" s="1531"/>
      <c r="W1177" s="1531"/>
      <c r="X1177" s="1531"/>
      <c r="Y1177" s="1531"/>
      <c r="Z1177" s="1531"/>
      <c r="AA1177" s="1531"/>
      <c r="AB1177" s="1531"/>
      <c r="AC1177" s="1531"/>
      <c r="AD1177" s="1531"/>
      <c r="AE1177" s="1531"/>
      <c r="AF1177" s="1531"/>
      <c r="AG1177" s="1531"/>
      <c r="AH1177" s="1531"/>
      <c r="AI1177" s="1531"/>
      <c r="AJ1177" s="1531"/>
      <c r="AK1177" s="1531"/>
      <c r="AL1177" s="1531"/>
      <c r="AM1177" s="1531"/>
      <c r="AN1177" s="1531"/>
      <c r="AO1177" s="1531"/>
      <c r="AP1177" s="1531"/>
      <c r="AQ1177" s="1531"/>
      <c r="AR1177" s="1531"/>
      <c r="AS1177" s="1531"/>
      <c r="AT1177" s="1136"/>
      <c r="AU1177" s="1136"/>
      <c r="AV1177" s="1136"/>
      <c r="AW1177" s="1136"/>
      <c r="AX1177" s="1136"/>
      <c r="AY1177" s="1136"/>
      <c r="AZ1177" s="1136"/>
      <c r="BA1177" s="1136"/>
      <c r="BB1177" s="1136"/>
      <c r="BC1177" s="1136"/>
      <c r="BD1177" s="1136"/>
      <c r="BE1177" s="1136"/>
      <c r="BF1177" s="1136"/>
      <c r="BG1177" s="1136"/>
      <c r="BH1177" s="1136"/>
      <c r="BI1177" s="1136"/>
      <c r="BJ1177" s="1136"/>
      <c r="BK1177" s="1136"/>
      <c r="BL1177" s="1136"/>
      <c r="BM1177" s="1136"/>
      <c r="BN1177" s="1136"/>
      <c r="BO1177" s="1136"/>
      <c r="BP1177" s="1136"/>
      <c r="BQ1177" s="1136"/>
      <c r="BR1177" s="1136"/>
      <c r="BS1177" s="1136"/>
      <c r="BT1177" s="1136"/>
      <c r="BU1177" s="1136"/>
      <c r="BV1177" s="1136"/>
      <c r="BW1177" s="1136"/>
      <c r="BX1177" s="1136"/>
      <c r="BY1177" s="1136"/>
      <c r="BZ1177" s="1136"/>
      <c r="CA1177" s="1136"/>
      <c r="CB1177" s="1136"/>
      <c r="CC1177" s="1136"/>
      <c r="CD1177" s="1136"/>
      <c r="CE1177" s="1136"/>
      <c r="CF1177" s="1136"/>
      <c r="CG1177" s="1136"/>
      <c r="CH1177" s="1136"/>
      <c r="CI1177" s="1136"/>
      <c r="CJ1177" s="1136"/>
      <c r="CK1177" s="1136"/>
      <c r="CL1177" s="1136"/>
      <c r="CM1177" s="1136"/>
      <c r="CN1177" s="1136"/>
      <c r="CO1177" s="1136"/>
      <c r="CP1177" s="1136"/>
      <c r="CQ1177" s="1136"/>
      <c r="CR1177" s="1136"/>
      <c r="CS1177" s="1136"/>
      <c r="CT1177" s="1136"/>
      <c r="CU1177" s="1136"/>
      <c r="CV1177" s="1136"/>
      <c r="CW1177" s="1136"/>
      <c r="CX1177" s="1136"/>
      <c r="CY1177" s="1136"/>
      <c r="CZ1177" s="1136"/>
      <c r="DA1177" s="1136"/>
      <c r="DB1177" s="1136"/>
      <c r="DC1177" s="1136"/>
      <c r="DD1177" s="1136"/>
      <c r="DE1177" s="1136"/>
      <c r="DF1177" s="1136"/>
      <c r="DG1177" s="1136"/>
      <c r="DH1177" s="1136"/>
      <c r="DI1177" s="1136"/>
    </row>
    <row r="1178" spans="1:113" ht="15.75" x14ac:dyDescent="0.25">
      <c r="A1178" s="1420" t="s">
        <v>3330</v>
      </c>
      <c r="B1178" s="1439" t="e">
        <f>B1172+B1173+B1174+B1175+B1176+B1177</f>
        <v>#DIV/0!</v>
      </c>
      <c r="C1178" s="1562"/>
      <c r="D1178" s="1531"/>
      <c r="E1178" s="1531"/>
      <c r="F1178" s="1531"/>
      <c r="G1178" s="1531"/>
      <c r="H1178" s="1531"/>
      <c r="I1178" s="1531"/>
      <c r="J1178" s="1531"/>
      <c r="K1178" s="1531"/>
      <c r="L1178" s="1531"/>
      <c r="M1178" s="1531"/>
      <c r="N1178" s="1531"/>
      <c r="O1178" s="1531"/>
      <c r="P1178" s="1531"/>
      <c r="Q1178" s="1531"/>
      <c r="R1178" s="1531"/>
      <c r="S1178" s="1531"/>
      <c r="T1178" s="1531"/>
      <c r="U1178" s="1531"/>
      <c r="V1178" s="1531"/>
      <c r="W1178" s="1531"/>
      <c r="X1178" s="1531"/>
      <c r="Y1178" s="1531"/>
      <c r="Z1178" s="1531"/>
      <c r="AA1178" s="1531"/>
      <c r="AB1178" s="1531"/>
      <c r="AC1178" s="1531"/>
      <c r="AD1178" s="1531"/>
      <c r="AE1178" s="1531"/>
      <c r="AF1178" s="1531"/>
      <c r="AG1178" s="1531"/>
      <c r="AH1178" s="1531"/>
      <c r="AI1178" s="1531"/>
      <c r="AJ1178" s="1531"/>
      <c r="AK1178" s="1531"/>
      <c r="AL1178" s="1531"/>
      <c r="AM1178" s="1531"/>
      <c r="AN1178" s="1531"/>
      <c r="AO1178" s="1531"/>
      <c r="AP1178" s="1531"/>
      <c r="AQ1178" s="1531"/>
      <c r="AR1178" s="1531"/>
      <c r="AS1178" s="1531"/>
      <c r="AT1178" s="1136"/>
      <c r="AU1178" s="1136"/>
      <c r="AV1178" s="1136"/>
      <c r="AW1178" s="1136"/>
      <c r="AX1178" s="1136"/>
      <c r="AY1178" s="1136"/>
      <c r="AZ1178" s="1136"/>
      <c r="BA1178" s="1136"/>
      <c r="BB1178" s="1136"/>
      <c r="BC1178" s="1136"/>
      <c r="BD1178" s="1136"/>
      <c r="BE1178" s="1136"/>
      <c r="BF1178" s="1136"/>
      <c r="BG1178" s="1136"/>
      <c r="BH1178" s="1136"/>
      <c r="BI1178" s="1136"/>
      <c r="BJ1178" s="1136"/>
      <c r="BK1178" s="1136"/>
      <c r="BL1178" s="1136"/>
      <c r="BM1178" s="1136"/>
      <c r="BN1178" s="1136"/>
      <c r="BO1178" s="1136"/>
      <c r="BP1178" s="1136"/>
      <c r="BQ1178" s="1136"/>
      <c r="BR1178" s="1136"/>
      <c r="BS1178" s="1136"/>
      <c r="BT1178" s="1136"/>
      <c r="BU1178" s="1136"/>
      <c r="BV1178" s="1136"/>
      <c r="BW1178" s="1136"/>
      <c r="BX1178" s="1136"/>
      <c r="BY1178" s="1136"/>
      <c r="BZ1178" s="1136"/>
      <c r="CA1178" s="1136"/>
      <c r="CB1178" s="1136"/>
      <c r="CC1178" s="1136"/>
      <c r="CD1178" s="1136"/>
      <c r="CE1178" s="1136"/>
      <c r="CF1178" s="1136"/>
      <c r="CG1178" s="1136"/>
      <c r="CH1178" s="1136"/>
      <c r="CI1178" s="1136"/>
      <c r="CJ1178" s="1136"/>
      <c r="CK1178" s="1136"/>
      <c r="CL1178" s="1136"/>
      <c r="CM1178" s="1136"/>
      <c r="CN1178" s="1136"/>
      <c r="CO1178" s="1136"/>
      <c r="CP1178" s="1136"/>
      <c r="CQ1178" s="1136"/>
      <c r="CR1178" s="1136"/>
      <c r="CS1178" s="1136"/>
      <c r="CT1178" s="1136"/>
      <c r="CU1178" s="1136"/>
      <c r="CV1178" s="1136"/>
      <c r="CW1178" s="1136"/>
      <c r="CX1178" s="1136"/>
      <c r="CY1178" s="1136"/>
      <c r="CZ1178" s="1136"/>
      <c r="DA1178" s="1136"/>
      <c r="DB1178" s="1136"/>
      <c r="DC1178" s="1136"/>
      <c r="DD1178" s="1136"/>
      <c r="DE1178" s="1136"/>
      <c r="DF1178" s="1136"/>
      <c r="DG1178" s="1136"/>
      <c r="DH1178" s="1136"/>
      <c r="DI1178" s="1136"/>
    </row>
    <row r="1179" spans="1:113" ht="15.75" x14ac:dyDescent="0.25">
      <c r="A1179" s="1420" t="s">
        <v>3332</v>
      </c>
      <c r="B1179" s="1443" t="e">
        <f>B1178*B1166</f>
        <v>#DIV/0!</v>
      </c>
      <c r="C1179" s="1521"/>
      <c r="D1179" s="1523"/>
      <c r="E1179" s="1523"/>
      <c r="F1179" s="1523"/>
      <c r="G1179" s="1523"/>
      <c r="H1179" s="1531"/>
      <c r="I1179" s="1531"/>
      <c r="J1179" s="1531"/>
      <c r="K1179" s="1531"/>
      <c r="L1179" s="1531"/>
      <c r="M1179" s="1531"/>
      <c r="N1179" s="1531"/>
      <c r="O1179" s="1531"/>
      <c r="P1179" s="1531"/>
      <c r="Q1179" s="1531"/>
      <c r="R1179" s="1531"/>
      <c r="S1179" s="1531"/>
      <c r="T1179" s="1531"/>
      <c r="U1179" s="1531"/>
      <c r="V1179" s="1531"/>
      <c r="W1179" s="1531"/>
      <c r="X1179" s="1531"/>
      <c r="Y1179" s="1531"/>
      <c r="Z1179" s="1531"/>
      <c r="AA1179" s="1531"/>
      <c r="AB1179" s="1531"/>
      <c r="AC1179" s="1531"/>
      <c r="AD1179" s="1531"/>
      <c r="AE1179" s="1531"/>
      <c r="AF1179" s="1531"/>
      <c r="AG1179" s="1531"/>
      <c r="AH1179" s="1531"/>
      <c r="AI1179" s="1531"/>
      <c r="AJ1179" s="1531"/>
      <c r="AK1179" s="1531"/>
      <c r="AL1179" s="1531"/>
      <c r="AM1179" s="1531"/>
      <c r="AN1179" s="1531"/>
      <c r="AO1179" s="1531"/>
      <c r="AP1179" s="1531"/>
      <c r="AQ1179" s="1531"/>
      <c r="AR1179" s="1531"/>
      <c r="AS1179" s="1531"/>
      <c r="AT1179" s="1136"/>
      <c r="AU1179" s="1136"/>
      <c r="AV1179" s="1136"/>
      <c r="AW1179" s="1136"/>
      <c r="AX1179" s="1136"/>
      <c r="AY1179" s="1136"/>
      <c r="AZ1179" s="1136"/>
      <c r="BA1179" s="1136"/>
      <c r="BB1179" s="1136"/>
      <c r="BC1179" s="1136"/>
      <c r="BD1179" s="1136"/>
      <c r="BE1179" s="1136"/>
      <c r="BF1179" s="1136"/>
      <c r="BG1179" s="1136"/>
      <c r="BH1179" s="1136"/>
      <c r="BI1179" s="1136"/>
      <c r="BJ1179" s="1136"/>
      <c r="BK1179" s="1136"/>
      <c r="BL1179" s="1136"/>
      <c r="BM1179" s="1136"/>
      <c r="BN1179" s="1136"/>
      <c r="BO1179" s="1136"/>
      <c r="BP1179" s="1136"/>
      <c r="BQ1179" s="1136"/>
      <c r="BR1179" s="1136"/>
      <c r="BS1179" s="1136"/>
      <c r="BT1179" s="1136"/>
      <c r="BU1179" s="1136"/>
      <c r="BV1179" s="1136"/>
      <c r="BW1179" s="1136"/>
      <c r="BX1179" s="1136"/>
      <c r="BY1179" s="1136"/>
      <c r="BZ1179" s="1136"/>
      <c r="CA1179" s="1136"/>
      <c r="CB1179" s="1136"/>
      <c r="CC1179" s="1136"/>
      <c r="CD1179" s="1136"/>
      <c r="CE1179" s="1136"/>
      <c r="CF1179" s="1136"/>
      <c r="CG1179" s="1136"/>
      <c r="CH1179" s="1136"/>
      <c r="CI1179" s="1136"/>
      <c r="CJ1179" s="1136"/>
      <c r="CK1179" s="1136"/>
      <c r="CL1179" s="1136"/>
      <c r="CM1179" s="1136"/>
      <c r="CN1179" s="1136"/>
      <c r="CO1179" s="1136"/>
      <c r="CP1179" s="1136"/>
      <c r="CQ1179" s="1136"/>
      <c r="CR1179" s="1136"/>
      <c r="CS1179" s="1136"/>
      <c r="CT1179" s="1136"/>
      <c r="CU1179" s="1136"/>
      <c r="CV1179" s="1136"/>
      <c r="CW1179" s="1136"/>
      <c r="CX1179" s="1136"/>
      <c r="CY1179" s="1136"/>
      <c r="CZ1179" s="1136"/>
      <c r="DA1179" s="1136"/>
      <c r="DB1179" s="1136"/>
      <c r="DC1179" s="1136"/>
      <c r="DD1179" s="1136"/>
      <c r="DE1179" s="1136"/>
      <c r="DF1179" s="1136"/>
      <c r="DG1179" s="1136"/>
      <c r="DH1179" s="1136"/>
      <c r="DI1179" s="1136"/>
    </row>
    <row r="1180" spans="1:113" ht="15.75" x14ac:dyDescent="0.25">
      <c r="A1180" s="1452" t="s">
        <v>3333</v>
      </c>
      <c r="B1180" s="1467" t="e">
        <f>IF(B323=1,B1179,0)</f>
        <v>#DIV/0!</v>
      </c>
      <c r="C1180" s="1590"/>
      <c r="D1180" s="1523"/>
      <c r="E1180" s="1523"/>
      <c r="F1180" s="1523"/>
      <c r="G1180" s="1523"/>
      <c r="H1180" s="1531"/>
      <c r="I1180" s="1531"/>
      <c r="J1180" s="1531"/>
      <c r="K1180" s="1531"/>
      <c r="L1180" s="1531"/>
      <c r="M1180" s="1531"/>
      <c r="N1180" s="1531"/>
      <c r="O1180" s="1531"/>
      <c r="P1180" s="1531"/>
      <c r="Q1180" s="1531"/>
      <c r="R1180" s="1531"/>
      <c r="S1180" s="1531"/>
      <c r="T1180" s="1531"/>
      <c r="U1180" s="1531"/>
      <c r="V1180" s="1531"/>
      <c r="W1180" s="1531"/>
      <c r="X1180" s="1531"/>
      <c r="Y1180" s="1531"/>
      <c r="Z1180" s="1531"/>
      <c r="AA1180" s="1531"/>
      <c r="AB1180" s="1531"/>
      <c r="AC1180" s="1531"/>
      <c r="AD1180" s="1531"/>
      <c r="AE1180" s="1531"/>
      <c r="AF1180" s="1531"/>
      <c r="AG1180" s="1531"/>
      <c r="AH1180" s="1531"/>
      <c r="AI1180" s="1531"/>
      <c r="AJ1180" s="1531"/>
      <c r="AK1180" s="1531"/>
      <c r="AL1180" s="1531"/>
      <c r="AM1180" s="1531"/>
      <c r="AN1180" s="1531"/>
      <c r="AO1180" s="1531"/>
      <c r="AP1180" s="1531"/>
      <c r="AQ1180" s="1531"/>
      <c r="AR1180" s="1531"/>
      <c r="AS1180" s="1531"/>
      <c r="AT1180" s="1136"/>
      <c r="AU1180" s="1136"/>
      <c r="AV1180" s="1136"/>
      <c r="AW1180" s="1136"/>
      <c r="AX1180" s="1136"/>
      <c r="AY1180" s="1136"/>
      <c r="AZ1180" s="1136"/>
      <c r="BA1180" s="1136"/>
      <c r="BB1180" s="1136"/>
      <c r="BC1180" s="1136"/>
      <c r="BD1180" s="1136"/>
      <c r="BE1180" s="1136"/>
      <c r="BF1180" s="1136"/>
      <c r="BG1180" s="1136"/>
      <c r="BH1180" s="1136"/>
      <c r="BI1180" s="1136"/>
      <c r="BJ1180" s="1136"/>
      <c r="BK1180" s="1136"/>
      <c r="BL1180" s="1136"/>
      <c r="BM1180" s="1136"/>
      <c r="BN1180" s="1136"/>
      <c r="BO1180" s="1136"/>
      <c r="BP1180" s="1136"/>
      <c r="BQ1180" s="1136"/>
      <c r="BR1180" s="1136"/>
      <c r="BS1180" s="1136"/>
      <c r="BT1180" s="1136"/>
      <c r="BU1180" s="1136"/>
      <c r="BV1180" s="1136"/>
      <c r="BW1180" s="1136"/>
      <c r="BX1180" s="1136"/>
      <c r="BY1180" s="1136"/>
      <c r="BZ1180" s="1136"/>
      <c r="CA1180" s="1136"/>
      <c r="CB1180" s="1136"/>
      <c r="CC1180" s="1136"/>
      <c r="CD1180" s="1136"/>
      <c r="CE1180" s="1136"/>
      <c r="CF1180" s="1136"/>
      <c r="CG1180" s="1136"/>
      <c r="CH1180" s="1136"/>
      <c r="CI1180" s="1136"/>
      <c r="CJ1180" s="1136"/>
      <c r="CK1180" s="1136"/>
      <c r="CL1180" s="1136"/>
      <c r="CM1180" s="1136"/>
      <c r="CN1180" s="1136"/>
      <c r="CO1180" s="1136"/>
      <c r="CP1180" s="1136"/>
      <c r="CQ1180" s="1136"/>
      <c r="CR1180" s="1136"/>
      <c r="CS1180" s="1136"/>
      <c r="CT1180" s="1136"/>
      <c r="CU1180" s="1136"/>
      <c r="CV1180" s="1136"/>
      <c r="CW1180" s="1136"/>
      <c r="CX1180" s="1136"/>
      <c r="CY1180" s="1136"/>
      <c r="CZ1180" s="1136"/>
      <c r="DA1180" s="1136"/>
      <c r="DB1180" s="1136"/>
      <c r="DC1180" s="1136"/>
      <c r="DD1180" s="1136"/>
      <c r="DE1180" s="1136"/>
      <c r="DF1180" s="1136"/>
      <c r="DG1180" s="1136"/>
      <c r="DH1180" s="1136"/>
      <c r="DI1180" s="1136"/>
    </row>
    <row r="1181" spans="1:113" ht="15.75" x14ac:dyDescent="0.25">
      <c r="A1181" s="1471"/>
      <c r="B1181" s="1573"/>
      <c r="C1181" s="1574"/>
      <c r="D1181" s="1589"/>
      <c r="E1181" s="1589"/>
      <c r="F1181" s="1589"/>
      <c r="G1181" s="1589"/>
      <c r="H1181" s="1531"/>
      <c r="I1181" s="1531"/>
      <c r="J1181" s="1531"/>
      <c r="K1181" s="1531"/>
      <c r="L1181" s="1531"/>
      <c r="M1181" s="1531"/>
      <c r="N1181" s="1531"/>
      <c r="O1181" s="1531"/>
      <c r="P1181" s="1531"/>
      <c r="Q1181" s="1531"/>
      <c r="R1181" s="1531"/>
      <c r="S1181" s="1531"/>
      <c r="T1181" s="1531"/>
      <c r="U1181" s="1531"/>
      <c r="V1181" s="1531"/>
      <c r="W1181" s="1531"/>
      <c r="X1181" s="1531"/>
      <c r="Y1181" s="1531"/>
      <c r="Z1181" s="1531"/>
      <c r="AA1181" s="1531"/>
      <c r="AB1181" s="1531"/>
      <c r="AC1181" s="1531"/>
      <c r="AD1181" s="1531"/>
      <c r="AE1181" s="1531"/>
      <c r="AF1181" s="1531"/>
      <c r="AG1181" s="1531"/>
      <c r="AH1181" s="1531"/>
      <c r="AI1181" s="1531"/>
      <c r="AJ1181" s="1531"/>
      <c r="AK1181" s="1531"/>
      <c r="AL1181" s="1531"/>
      <c r="AM1181" s="1531"/>
      <c r="AN1181" s="1531"/>
      <c r="AO1181" s="1531"/>
      <c r="AP1181" s="1531"/>
      <c r="AQ1181" s="1531"/>
      <c r="AR1181" s="1531"/>
      <c r="AS1181" s="1531"/>
      <c r="AT1181" s="1136"/>
      <c r="AU1181" s="1136"/>
      <c r="AV1181" s="1136"/>
      <c r="AW1181" s="1136"/>
      <c r="AX1181" s="1136"/>
      <c r="AY1181" s="1136"/>
      <c r="AZ1181" s="1136"/>
      <c r="BA1181" s="1136"/>
      <c r="BB1181" s="1136"/>
      <c r="BC1181" s="1136"/>
      <c r="BD1181" s="1136"/>
      <c r="BE1181" s="1136"/>
      <c r="BF1181" s="1136"/>
      <c r="BG1181" s="1136"/>
      <c r="BH1181" s="1136"/>
      <c r="BI1181" s="1136"/>
      <c r="BJ1181" s="1136"/>
      <c r="BK1181" s="1136"/>
      <c r="BL1181" s="1136"/>
      <c r="BM1181" s="1136"/>
      <c r="BN1181" s="1136"/>
      <c r="BO1181" s="1136"/>
      <c r="BP1181" s="1136"/>
      <c r="BQ1181" s="1136"/>
      <c r="BR1181" s="1136"/>
      <c r="BS1181" s="1136"/>
      <c r="BT1181" s="1136"/>
      <c r="BU1181" s="1136"/>
      <c r="BV1181" s="1136"/>
      <c r="BW1181" s="1136"/>
      <c r="BX1181" s="1136"/>
      <c r="BY1181" s="1136"/>
      <c r="BZ1181" s="1136"/>
      <c r="CA1181" s="1136"/>
      <c r="CB1181" s="1136"/>
      <c r="CC1181" s="1136"/>
      <c r="CD1181" s="1136"/>
      <c r="CE1181" s="1136"/>
      <c r="CF1181" s="1136"/>
      <c r="CG1181" s="1136"/>
      <c r="CH1181" s="1136"/>
      <c r="CI1181" s="1136"/>
      <c r="CJ1181" s="1136"/>
      <c r="CK1181" s="1136"/>
      <c r="CL1181" s="1136"/>
      <c r="CM1181" s="1136"/>
      <c r="CN1181" s="1136"/>
      <c r="CO1181" s="1136"/>
      <c r="CP1181" s="1136"/>
      <c r="CQ1181" s="1136"/>
      <c r="CR1181" s="1136"/>
      <c r="CS1181" s="1136"/>
      <c r="CT1181" s="1136"/>
      <c r="CU1181" s="1136"/>
      <c r="CV1181" s="1136"/>
      <c r="CW1181" s="1136"/>
      <c r="CX1181" s="1136"/>
      <c r="CY1181" s="1136"/>
      <c r="CZ1181" s="1136"/>
      <c r="DA1181" s="1136"/>
      <c r="DB1181" s="1136"/>
      <c r="DC1181" s="1136"/>
      <c r="DD1181" s="1136"/>
      <c r="DE1181" s="1136"/>
      <c r="DF1181" s="1136"/>
      <c r="DG1181" s="1136"/>
      <c r="DH1181" s="1136"/>
      <c r="DI1181" s="1136"/>
    </row>
    <row r="1182" spans="1:113" ht="15.75" x14ac:dyDescent="0.25">
      <c r="A1182" s="1430" t="s">
        <v>2816</v>
      </c>
      <c r="B1182" s="1431">
        <f>B751</f>
        <v>3</v>
      </c>
      <c r="C1182" s="1610"/>
      <c r="D1182" s="1589"/>
      <c r="E1182" s="1589"/>
      <c r="F1182" s="1589"/>
      <c r="G1182" s="1589"/>
      <c r="H1182" s="1531"/>
      <c r="I1182" s="1531"/>
      <c r="J1182" s="1531"/>
      <c r="K1182" s="1531"/>
      <c r="L1182" s="1531"/>
      <c r="M1182" s="1531"/>
      <c r="N1182" s="1531"/>
      <c r="O1182" s="1531"/>
      <c r="P1182" s="1531"/>
      <c r="Q1182" s="1531"/>
      <c r="R1182" s="1531"/>
      <c r="S1182" s="1531"/>
      <c r="T1182" s="1531"/>
      <c r="U1182" s="1531"/>
      <c r="V1182" s="1531"/>
      <c r="W1182" s="1531"/>
      <c r="X1182" s="1531"/>
      <c r="Y1182" s="1531"/>
      <c r="Z1182" s="1531"/>
      <c r="AA1182" s="1531"/>
      <c r="AB1182" s="1531"/>
      <c r="AC1182" s="1531"/>
      <c r="AD1182" s="1531"/>
      <c r="AE1182" s="1531"/>
      <c r="AF1182" s="1531"/>
      <c r="AG1182" s="1531"/>
      <c r="AH1182" s="1531"/>
      <c r="AI1182" s="1531"/>
      <c r="AJ1182" s="1531"/>
      <c r="AK1182" s="1531"/>
      <c r="AL1182" s="1531"/>
      <c r="AM1182" s="1531"/>
      <c r="AN1182" s="1531"/>
      <c r="AO1182" s="1531"/>
      <c r="AP1182" s="1531"/>
      <c r="AQ1182" s="1531"/>
      <c r="AR1182" s="1531"/>
      <c r="AS1182" s="1531"/>
      <c r="AT1182" s="1136"/>
      <c r="AU1182" s="1136"/>
      <c r="AV1182" s="1136"/>
      <c r="AW1182" s="1136"/>
      <c r="AX1182" s="1136"/>
      <c r="AY1182" s="1136"/>
      <c r="AZ1182" s="1136"/>
      <c r="BA1182" s="1136"/>
      <c r="BB1182" s="1136"/>
      <c r="BC1182" s="1136"/>
      <c r="BD1182" s="1136"/>
      <c r="BE1182" s="1136"/>
      <c r="BF1182" s="1136"/>
      <c r="BG1182" s="1136"/>
      <c r="BH1182" s="1136"/>
      <c r="BI1182" s="1136"/>
      <c r="BJ1182" s="1136"/>
      <c r="BK1182" s="1136"/>
      <c r="BL1182" s="1136"/>
      <c r="BM1182" s="1136"/>
      <c r="BN1182" s="1136"/>
      <c r="BO1182" s="1136"/>
      <c r="BP1182" s="1136"/>
      <c r="BQ1182" s="1136"/>
      <c r="BR1182" s="1136"/>
      <c r="BS1182" s="1136"/>
      <c r="BT1182" s="1136"/>
      <c r="BU1182" s="1136"/>
      <c r="BV1182" s="1136"/>
      <c r="BW1182" s="1136"/>
      <c r="BX1182" s="1136"/>
      <c r="BY1182" s="1136"/>
      <c r="BZ1182" s="1136"/>
      <c r="CA1182" s="1136"/>
      <c r="CB1182" s="1136"/>
      <c r="CC1182" s="1136"/>
      <c r="CD1182" s="1136"/>
      <c r="CE1182" s="1136"/>
      <c r="CF1182" s="1136"/>
      <c r="CG1182" s="1136"/>
      <c r="CH1182" s="1136"/>
      <c r="CI1182" s="1136"/>
      <c r="CJ1182" s="1136"/>
      <c r="CK1182" s="1136"/>
      <c r="CL1182" s="1136"/>
      <c r="CM1182" s="1136"/>
      <c r="CN1182" s="1136"/>
      <c r="CO1182" s="1136"/>
      <c r="CP1182" s="1136"/>
      <c r="CQ1182" s="1136"/>
      <c r="CR1182" s="1136"/>
      <c r="CS1182" s="1136"/>
      <c r="CT1182" s="1136"/>
      <c r="CU1182" s="1136"/>
      <c r="CV1182" s="1136"/>
      <c r="CW1182" s="1136"/>
      <c r="CX1182" s="1136"/>
      <c r="CY1182" s="1136"/>
      <c r="CZ1182" s="1136"/>
      <c r="DA1182" s="1136"/>
      <c r="DB1182" s="1136"/>
      <c r="DC1182" s="1136"/>
      <c r="DD1182" s="1136"/>
      <c r="DE1182" s="1136"/>
      <c r="DF1182" s="1136"/>
      <c r="DG1182" s="1136"/>
      <c r="DH1182" s="1136"/>
      <c r="DI1182" s="1136"/>
    </row>
    <row r="1183" spans="1:113" ht="15.75" x14ac:dyDescent="0.25">
      <c r="A1183" s="1592" t="s">
        <v>2817</v>
      </c>
      <c r="B1183" s="1586" t="e">
        <f>B286*B291*B290*B293*B285*B1182/(B287*B329)</f>
        <v>#VALUE!</v>
      </c>
      <c r="C1183" s="1587"/>
      <c r="D1183" s="1589"/>
      <c r="E1183" s="1589"/>
      <c r="F1183" s="1589"/>
      <c r="G1183" s="1589"/>
      <c r="H1183" s="1531"/>
      <c r="I1183" s="1531"/>
      <c r="J1183" s="1531"/>
      <c r="K1183" s="1531"/>
      <c r="L1183" s="1531"/>
      <c r="M1183" s="1531"/>
      <c r="N1183" s="1531"/>
      <c r="O1183" s="1531"/>
      <c r="P1183" s="1531"/>
      <c r="Q1183" s="1531"/>
      <c r="R1183" s="1531"/>
      <c r="S1183" s="1531"/>
      <c r="T1183" s="1531"/>
      <c r="U1183" s="1531"/>
      <c r="V1183" s="1531"/>
      <c r="W1183" s="1531"/>
      <c r="X1183" s="1531"/>
      <c r="Y1183" s="1531"/>
      <c r="Z1183" s="1531"/>
      <c r="AA1183" s="1531"/>
      <c r="AB1183" s="1531"/>
      <c r="AC1183" s="1531"/>
      <c r="AD1183" s="1531"/>
      <c r="AE1183" s="1531"/>
      <c r="AF1183" s="1531"/>
      <c r="AG1183" s="1531"/>
      <c r="AH1183" s="1531"/>
      <c r="AI1183" s="1531"/>
      <c r="AJ1183" s="1531"/>
      <c r="AK1183" s="1531"/>
      <c r="AL1183" s="1531"/>
      <c r="AM1183" s="1531"/>
      <c r="AN1183" s="1531"/>
      <c r="AO1183" s="1531"/>
      <c r="AP1183" s="1531"/>
      <c r="AQ1183" s="1531"/>
      <c r="AR1183" s="1531"/>
      <c r="AS1183" s="1531"/>
      <c r="AT1183" s="1136"/>
      <c r="AU1183" s="1136"/>
      <c r="AV1183" s="1136"/>
      <c r="AW1183" s="1136"/>
      <c r="AX1183" s="1136"/>
      <c r="AY1183" s="1136"/>
      <c r="AZ1183" s="1136"/>
      <c r="BA1183" s="1136"/>
      <c r="BB1183" s="1136"/>
      <c r="BC1183" s="1136"/>
      <c r="BD1183" s="1136"/>
      <c r="BE1183" s="1136"/>
      <c r="BF1183" s="1136"/>
      <c r="BG1183" s="1136"/>
      <c r="BH1183" s="1136"/>
      <c r="BI1183" s="1136"/>
      <c r="BJ1183" s="1136"/>
      <c r="BK1183" s="1136"/>
      <c r="BL1183" s="1136"/>
      <c r="BM1183" s="1136"/>
      <c r="BN1183" s="1136"/>
      <c r="BO1183" s="1136"/>
      <c r="BP1183" s="1136"/>
      <c r="BQ1183" s="1136"/>
      <c r="BR1183" s="1136"/>
      <c r="BS1183" s="1136"/>
      <c r="BT1183" s="1136"/>
      <c r="BU1183" s="1136"/>
      <c r="BV1183" s="1136"/>
      <c r="BW1183" s="1136"/>
      <c r="BX1183" s="1136"/>
      <c r="BY1183" s="1136"/>
      <c r="BZ1183" s="1136"/>
      <c r="CA1183" s="1136"/>
      <c r="CB1183" s="1136"/>
      <c r="CC1183" s="1136"/>
      <c r="CD1183" s="1136"/>
      <c r="CE1183" s="1136"/>
      <c r="CF1183" s="1136"/>
      <c r="CG1183" s="1136"/>
      <c r="CH1183" s="1136"/>
      <c r="CI1183" s="1136"/>
      <c r="CJ1183" s="1136"/>
      <c r="CK1183" s="1136"/>
      <c r="CL1183" s="1136"/>
      <c r="CM1183" s="1136"/>
      <c r="CN1183" s="1136"/>
      <c r="CO1183" s="1136"/>
      <c r="CP1183" s="1136"/>
      <c r="CQ1183" s="1136"/>
      <c r="CR1183" s="1136"/>
      <c r="CS1183" s="1136"/>
      <c r="CT1183" s="1136"/>
      <c r="CU1183" s="1136"/>
      <c r="CV1183" s="1136"/>
      <c r="CW1183" s="1136"/>
      <c r="CX1183" s="1136"/>
      <c r="CY1183" s="1136"/>
      <c r="CZ1183" s="1136"/>
      <c r="DA1183" s="1136"/>
      <c r="DB1183" s="1136"/>
      <c r="DC1183" s="1136"/>
      <c r="DD1183" s="1136"/>
      <c r="DE1183" s="1136"/>
      <c r="DF1183" s="1136"/>
      <c r="DG1183" s="1136"/>
      <c r="DH1183" s="1136"/>
      <c r="DI1183" s="1136"/>
    </row>
    <row r="1184" spans="1:113" ht="15.75" x14ac:dyDescent="0.25">
      <c r="A1184" s="1580" t="s">
        <v>1896</v>
      </c>
      <c r="B1184" s="1588"/>
      <c r="C1184" s="1589"/>
      <c r="D1184" s="1589"/>
      <c r="E1184" s="1589"/>
      <c r="F1184" s="1589"/>
      <c r="G1184" s="1589"/>
      <c r="H1184" s="1531"/>
      <c r="I1184" s="1531"/>
      <c r="J1184" s="1531"/>
      <c r="K1184" s="1531"/>
      <c r="L1184" s="1531"/>
      <c r="M1184" s="1531"/>
      <c r="N1184" s="1531"/>
      <c r="O1184" s="1531"/>
      <c r="P1184" s="1531"/>
      <c r="Q1184" s="1531"/>
      <c r="R1184" s="1531"/>
      <c r="S1184" s="1531"/>
      <c r="T1184" s="1531"/>
      <c r="U1184" s="1531"/>
      <c r="V1184" s="1531"/>
      <c r="W1184" s="1531"/>
      <c r="X1184" s="1531"/>
      <c r="Y1184" s="1531"/>
      <c r="Z1184" s="1531"/>
      <c r="AA1184" s="1531"/>
      <c r="AB1184" s="1531"/>
      <c r="AC1184" s="1531"/>
      <c r="AD1184" s="1531"/>
      <c r="AE1184" s="1531"/>
      <c r="AF1184" s="1531"/>
      <c r="AG1184" s="1531"/>
      <c r="AH1184" s="1531"/>
      <c r="AI1184" s="1531"/>
      <c r="AJ1184" s="1531"/>
      <c r="AK1184" s="1531"/>
      <c r="AL1184" s="1531"/>
      <c r="AM1184" s="1531"/>
      <c r="AN1184" s="1531"/>
      <c r="AO1184" s="1531"/>
      <c r="AP1184" s="1531"/>
      <c r="AQ1184" s="1531"/>
      <c r="AR1184" s="1531"/>
      <c r="AS1184" s="1531"/>
      <c r="AT1184" s="1136"/>
      <c r="AU1184" s="1136"/>
      <c r="AV1184" s="1136"/>
      <c r="AW1184" s="1136"/>
      <c r="AX1184" s="1136"/>
      <c r="AY1184" s="1136"/>
      <c r="AZ1184" s="1136"/>
      <c r="BA1184" s="1136"/>
      <c r="BB1184" s="1136"/>
      <c r="BC1184" s="1136"/>
      <c r="BD1184" s="1136"/>
      <c r="BE1184" s="1136"/>
      <c r="BF1184" s="1136"/>
      <c r="BG1184" s="1136"/>
      <c r="BH1184" s="1136"/>
      <c r="BI1184" s="1136"/>
      <c r="BJ1184" s="1136"/>
      <c r="BK1184" s="1136"/>
      <c r="BL1184" s="1136"/>
      <c r="BM1184" s="1136"/>
      <c r="BN1184" s="1136"/>
      <c r="BO1184" s="1136"/>
      <c r="BP1184" s="1136"/>
      <c r="BQ1184" s="1136"/>
      <c r="BR1184" s="1136"/>
      <c r="BS1184" s="1136"/>
      <c r="BT1184" s="1136"/>
      <c r="BU1184" s="1136"/>
      <c r="BV1184" s="1136"/>
      <c r="BW1184" s="1136"/>
      <c r="BX1184" s="1136"/>
      <c r="BY1184" s="1136"/>
      <c r="BZ1184" s="1136"/>
      <c r="CA1184" s="1136"/>
      <c r="CB1184" s="1136"/>
      <c r="CC1184" s="1136"/>
      <c r="CD1184" s="1136"/>
      <c r="CE1184" s="1136"/>
      <c r="CF1184" s="1136"/>
      <c r="CG1184" s="1136"/>
      <c r="CH1184" s="1136"/>
      <c r="CI1184" s="1136"/>
      <c r="CJ1184" s="1136"/>
      <c r="CK1184" s="1136"/>
      <c r="CL1184" s="1136"/>
      <c r="CM1184" s="1136"/>
      <c r="CN1184" s="1136"/>
      <c r="CO1184" s="1136"/>
      <c r="CP1184" s="1136"/>
      <c r="CQ1184" s="1136"/>
      <c r="CR1184" s="1136"/>
      <c r="CS1184" s="1136"/>
      <c r="CT1184" s="1136"/>
      <c r="CU1184" s="1136"/>
      <c r="CV1184" s="1136"/>
      <c r="CW1184" s="1136"/>
      <c r="CX1184" s="1136"/>
      <c r="CY1184" s="1136"/>
      <c r="CZ1184" s="1136"/>
      <c r="DA1184" s="1136"/>
      <c r="DB1184" s="1136"/>
      <c r="DC1184" s="1136"/>
      <c r="DD1184" s="1136"/>
      <c r="DE1184" s="1136"/>
      <c r="DF1184" s="1136"/>
      <c r="DG1184" s="1136"/>
      <c r="DH1184" s="1136"/>
      <c r="DI1184" s="1136"/>
    </row>
    <row r="1185" spans="1:113" ht="15.75" x14ac:dyDescent="0.25">
      <c r="A1185" s="1594" t="s">
        <v>1897</v>
      </c>
      <c r="B1185" s="1588"/>
      <c r="C1185" s="1589"/>
      <c r="D1185" s="1562"/>
      <c r="E1185" s="1562"/>
      <c r="F1185" s="1562"/>
      <c r="G1185" s="1562"/>
      <c r="H1185" s="1531"/>
      <c r="I1185" s="1531"/>
      <c r="J1185" s="1531"/>
      <c r="K1185" s="1531"/>
      <c r="L1185" s="1531"/>
      <c r="M1185" s="1531"/>
      <c r="N1185" s="1531"/>
      <c r="O1185" s="1531"/>
      <c r="P1185" s="1531"/>
      <c r="Q1185" s="1531"/>
      <c r="R1185" s="1531"/>
      <c r="S1185" s="1531"/>
      <c r="T1185" s="1531"/>
      <c r="U1185" s="1531"/>
      <c r="V1185" s="1531"/>
      <c r="W1185" s="1531"/>
      <c r="X1185" s="1531"/>
      <c r="Y1185" s="1531"/>
      <c r="Z1185" s="1531"/>
      <c r="AA1185" s="1531"/>
      <c r="AB1185" s="1531"/>
      <c r="AC1185" s="1531"/>
      <c r="AD1185" s="1531"/>
      <c r="AE1185" s="1531"/>
      <c r="AF1185" s="1531"/>
      <c r="AG1185" s="1531"/>
      <c r="AH1185" s="1531"/>
      <c r="AI1185" s="1531"/>
      <c r="AJ1185" s="1531"/>
      <c r="AK1185" s="1531"/>
      <c r="AL1185" s="1531"/>
      <c r="AM1185" s="1531"/>
      <c r="AN1185" s="1531"/>
      <c r="AO1185" s="1531"/>
      <c r="AP1185" s="1531"/>
      <c r="AQ1185" s="1531"/>
      <c r="AR1185" s="1531"/>
      <c r="AS1185" s="1531"/>
      <c r="AT1185" s="1136"/>
      <c r="AU1185" s="1136"/>
      <c r="AV1185" s="1136"/>
      <c r="AW1185" s="1136"/>
      <c r="AX1185" s="1136"/>
      <c r="AY1185" s="1136"/>
      <c r="AZ1185" s="1136"/>
      <c r="BA1185" s="1136"/>
      <c r="BB1185" s="1136"/>
      <c r="BC1185" s="1136"/>
      <c r="BD1185" s="1136"/>
      <c r="BE1185" s="1136"/>
      <c r="BF1185" s="1136"/>
      <c r="BG1185" s="1136"/>
      <c r="BH1185" s="1136"/>
      <c r="BI1185" s="1136"/>
      <c r="BJ1185" s="1136"/>
      <c r="BK1185" s="1136"/>
      <c r="BL1185" s="1136"/>
      <c r="BM1185" s="1136"/>
      <c r="BN1185" s="1136"/>
      <c r="BO1185" s="1136"/>
      <c r="BP1185" s="1136"/>
      <c r="BQ1185" s="1136"/>
      <c r="BR1185" s="1136"/>
      <c r="BS1185" s="1136"/>
      <c r="BT1185" s="1136"/>
      <c r="BU1185" s="1136"/>
      <c r="BV1185" s="1136"/>
      <c r="BW1185" s="1136"/>
      <c r="BX1185" s="1136"/>
      <c r="BY1185" s="1136"/>
      <c r="BZ1185" s="1136"/>
      <c r="CA1185" s="1136"/>
      <c r="CB1185" s="1136"/>
      <c r="CC1185" s="1136"/>
      <c r="CD1185" s="1136"/>
      <c r="CE1185" s="1136"/>
      <c r="CF1185" s="1136"/>
      <c r="CG1185" s="1136"/>
      <c r="CH1185" s="1136"/>
      <c r="CI1185" s="1136"/>
      <c r="CJ1185" s="1136"/>
      <c r="CK1185" s="1136"/>
      <c r="CL1185" s="1136"/>
      <c r="CM1185" s="1136"/>
      <c r="CN1185" s="1136"/>
      <c r="CO1185" s="1136"/>
      <c r="CP1185" s="1136"/>
      <c r="CQ1185" s="1136"/>
      <c r="CR1185" s="1136"/>
      <c r="CS1185" s="1136"/>
      <c r="CT1185" s="1136"/>
      <c r="CU1185" s="1136"/>
      <c r="CV1185" s="1136"/>
      <c r="CW1185" s="1136"/>
      <c r="CX1185" s="1136"/>
      <c r="CY1185" s="1136"/>
      <c r="CZ1185" s="1136"/>
      <c r="DA1185" s="1136"/>
      <c r="DB1185" s="1136"/>
      <c r="DC1185" s="1136"/>
      <c r="DD1185" s="1136"/>
      <c r="DE1185" s="1136"/>
      <c r="DF1185" s="1136"/>
      <c r="DG1185" s="1136"/>
      <c r="DH1185" s="1136"/>
      <c r="DI1185" s="1136"/>
    </row>
    <row r="1186" spans="1:113" ht="15.75" x14ac:dyDescent="0.25">
      <c r="A1186" s="1456" t="s">
        <v>1904</v>
      </c>
      <c r="B1186" s="1441" t="e">
        <f>(CEILING((B326+B327/(B1020-B811)),1))*B809*4</f>
        <v>#DIV/0!</v>
      </c>
      <c r="C1186" s="1596"/>
      <c r="D1186" s="1521"/>
      <c r="E1186" s="1521"/>
      <c r="F1186" s="1521"/>
      <c r="G1186" s="1521"/>
      <c r="H1186" s="1531"/>
      <c r="I1186" s="1531"/>
      <c r="J1186" s="1531"/>
      <c r="K1186" s="1531"/>
      <c r="L1186" s="1531"/>
      <c r="M1186" s="1531"/>
      <c r="N1186" s="1531"/>
      <c r="O1186" s="1531"/>
      <c r="P1186" s="1531"/>
      <c r="Q1186" s="1531"/>
      <c r="R1186" s="1531"/>
      <c r="S1186" s="1531"/>
      <c r="T1186" s="1531"/>
      <c r="U1186" s="1531"/>
      <c r="V1186" s="1531"/>
      <c r="W1186" s="1531"/>
      <c r="X1186" s="1531"/>
      <c r="Y1186" s="1531"/>
      <c r="Z1186" s="1531"/>
      <c r="AA1186" s="1531"/>
      <c r="AB1186" s="1531"/>
      <c r="AC1186" s="1531"/>
      <c r="AD1186" s="1531"/>
      <c r="AE1186" s="1531"/>
      <c r="AF1186" s="1531"/>
      <c r="AG1186" s="1531"/>
      <c r="AH1186" s="1531"/>
      <c r="AI1186" s="1531"/>
      <c r="AJ1186" s="1531"/>
      <c r="AK1186" s="1531"/>
      <c r="AL1186" s="1531"/>
      <c r="AM1186" s="1531"/>
      <c r="AN1186" s="1531"/>
      <c r="AO1186" s="1531"/>
      <c r="AP1186" s="1531"/>
      <c r="AQ1186" s="1531"/>
      <c r="AR1186" s="1531"/>
      <c r="AS1186" s="1531"/>
      <c r="AT1186" s="1136"/>
      <c r="AU1186" s="1136"/>
      <c r="AV1186" s="1136"/>
      <c r="AW1186" s="1136"/>
      <c r="AX1186" s="1136"/>
      <c r="AY1186" s="1136"/>
      <c r="AZ1186" s="1136"/>
      <c r="BA1186" s="1136"/>
      <c r="BB1186" s="1136"/>
      <c r="BC1186" s="1136"/>
      <c r="BD1186" s="1136"/>
      <c r="BE1186" s="1136"/>
      <c r="BF1186" s="1136"/>
      <c r="BG1186" s="1136"/>
      <c r="BH1186" s="1136"/>
      <c r="BI1186" s="1136"/>
      <c r="BJ1186" s="1136"/>
      <c r="BK1186" s="1136"/>
      <c r="BL1186" s="1136"/>
      <c r="BM1186" s="1136"/>
      <c r="BN1186" s="1136"/>
      <c r="BO1186" s="1136"/>
      <c r="BP1186" s="1136"/>
      <c r="BQ1186" s="1136"/>
      <c r="BR1186" s="1136"/>
      <c r="BS1186" s="1136"/>
      <c r="BT1186" s="1136"/>
      <c r="BU1186" s="1136"/>
      <c r="BV1186" s="1136"/>
      <c r="BW1186" s="1136"/>
      <c r="BX1186" s="1136"/>
      <c r="BY1186" s="1136"/>
      <c r="BZ1186" s="1136"/>
      <c r="CA1186" s="1136"/>
      <c r="CB1186" s="1136"/>
      <c r="CC1186" s="1136"/>
      <c r="CD1186" s="1136"/>
      <c r="CE1186" s="1136"/>
      <c r="CF1186" s="1136"/>
      <c r="CG1186" s="1136"/>
      <c r="CH1186" s="1136"/>
      <c r="CI1186" s="1136"/>
      <c r="CJ1186" s="1136"/>
      <c r="CK1186" s="1136"/>
      <c r="CL1186" s="1136"/>
      <c r="CM1186" s="1136"/>
      <c r="CN1186" s="1136"/>
      <c r="CO1186" s="1136"/>
      <c r="CP1186" s="1136"/>
      <c r="CQ1186" s="1136"/>
      <c r="CR1186" s="1136"/>
      <c r="CS1186" s="1136"/>
      <c r="CT1186" s="1136"/>
      <c r="CU1186" s="1136"/>
      <c r="CV1186" s="1136"/>
      <c r="CW1186" s="1136"/>
      <c r="CX1186" s="1136"/>
      <c r="CY1186" s="1136"/>
      <c r="CZ1186" s="1136"/>
      <c r="DA1186" s="1136"/>
      <c r="DB1186" s="1136"/>
      <c r="DC1186" s="1136"/>
      <c r="DD1186" s="1136"/>
      <c r="DE1186" s="1136"/>
      <c r="DF1186" s="1136"/>
      <c r="DG1186" s="1136"/>
      <c r="DH1186" s="1136"/>
      <c r="DI1186" s="1136"/>
    </row>
    <row r="1187" spans="1:113" ht="15.75" x14ac:dyDescent="0.25">
      <c r="A1187" s="1417" t="s">
        <v>1899</v>
      </c>
      <c r="B1187" s="1421" t="e">
        <f>ROUNDUP(((B326+B327)/B1102),0)*B810</f>
        <v>#REF!</v>
      </c>
      <c r="C1187" s="1523"/>
      <c r="D1187" s="1590"/>
      <c r="E1187" s="1590"/>
      <c r="F1187" s="1590"/>
      <c r="G1187" s="1590"/>
      <c r="H1187" s="1531"/>
      <c r="I1187" s="1531"/>
      <c r="J1187" s="1531"/>
      <c r="K1187" s="1531"/>
      <c r="L1187" s="1531"/>
      <c r="M1187" s="1531"/>
      <c r="N1187" s="1531"/>
      <c r="O1187" s="1531"/>
      <c r="P1187" s="1531"/>
      <c r="Q1187" s="1531"/>
      <c r="R1187" s="1531"/>
      <c r="S1187" s="1531"/>
      <c r="T1187" s="1531"/>
      <c r="U1187" s="1531"/>
      <c r="V1187" s="1531"/>
      <c r="W1187" s="1531"/>
      <c r="X1187" s="1531"/>
      <c r="Y1187" s="1531"/>
      <c r="Z1187" s="1531"/>
      <c r="AA1187" s="1531"/>
      <c r="AB1187" s="1531"/>
      <c r="AC1187" s="1531"/>
      <c r="AD1187" s="1531"/>
      <c r="AE1187" s="1531"/>
      <c r="AF1187" s="1531"/>
      <c r="AG1187" s="1531"/>
      <c r="AH1187" s="1531"/>
      <c r="AI1187" s="1531"/>
      <c r="AJ1187" s="1531"/>
      <c r="AK1187" s="1531"/>
      <c r="AL1187" s="1531"/>
      <c r="AM1187" s="1531"/>
      <c r="AN1187" s="1531"/>
      <c r="AO1187" s="1531"/>
      <c r="AP1187" s="1531"/>
      <c r="AQ1187" s="1531"/>
      <c r="AR1187" s="1531"/>
      <c r="AS1187" s="1531"/>
      <c r="AT1187" s="1136"/>
      <c r="AU1187" s="1136"/>
      <c r="AV1187" s="1136"/>
      <c r="AW1187" s="1136"/>
      <c r="AX1187" s="1136"/>
      <c r="AY1187" s="1136"/>
      <c r="AZ1187" s="1136"/>
      <c r="BA1187" s="1136"/>
      <c r="BB1187" s="1136"/>
      <c r="BC1187" s="1136"/>
      <c r="BD1187" s="1136"/>
      <c r="BE1187" s="1136"/>
      <c r="BF1187" s="1136"/>
      <c r="BG1187" s="1136"/>
      <c r="BH1187" s="1136"/>
      <c r="BI1187" s="1136"/>
      <c r="BJ1187" s="1136"/>
      <c r="BK1187" s="1136"/>
      <c r="BL1187" s="1136"/>
      <c r="BM1187" s="1136"/>
      <c r="BN1187" s="1136"/>
      <c r="BO1187" s="1136"/>
      <c r="BP1187" s="1136"/>
      <c r="BQ1187" s="1136"/>
      <c r="BR1187" s="1136"/>
      <c r="BS1187" s="1136"/>
      <c r="BT1187" s="1136"/>
      <c r="BU1187" s="1136"/>
      <c r="BV1187" s="1136"/>
      <c r="BW1187" s="1136"/>
      <c r="BX1187" s="1136"/>
      <c r="BY1187" s="1136"/>
      <c r="BZ1187" s="1136"/>
      <c r="CA1187" s="1136"/>
      <c r="CB1187" s="1136"/>
      <c r="CC1187" s="1136"/>
      <c r="CD1187" s="1136"/>
      <c r="CE1187" s="1136"/>
      <c r="CF1187" s="1136"/>
      <c r="CG1187" s="1136"/>
      <c r="CH1187" s="1136"/>
      <c r="CI1187" s="1136"/>
      <c r="CJ1187" s="1136"/>
      <c r="CK1187" s="1136"/>
      <c r="CL1187" s="1136"/>
      <c r="CM1187" s="1136"/>
      <c r="CN1187" s="1136"/>
      <c r="CO1187" s="1136"/>
      <c r="CP1187" s="1136"/>
      <c r="CQ1187" s="1136"/>
      <c r="CR1187" s="1136"/>
      <c r="CS1187" s="1136"/>
      <c r="CT1187" s="1136"/>
      <c r="CU1187" s="1136"/>
      <c r="CV1187" s="1136"/>
      <c r="CW1187" s="1136"/>
      <c r="CX1187" s="1136"/>
      <c r="CY1187" s="1136"/>
      <c r="CZ1187" s="1136"/>
      <c r="DA1187" s="1136"/>
      <c r="DB1187" s="1136"/>
      <c r="DC1187" s="1136"/>
      <c r="DD1187" s="1136"/>
      <c r="DE1187" s="1136"/>
      <c r="DF1187" s="1136"/>
      <c r="DG1187" s="1136"/>
      <c r="DH1187" s="1136"/>
      <c r="DI1187" s="1136"/>
    </row>
    <row r="1188" spans="1:113" ht="15.75" x14ac:dyDescent="0.25">
      <c r="A1188" s="1430" t="s">
        <v>1900</v>
      </c>
      <c r="B1188" s="1588" t="e">
        <f>(B1186+B1187)*B1183/100</f>
        <v>#DIV/0!</v>
      </c>
      <c r="C1188" s="1589"/>
      <c r="D1188" s="1531"/>
      <c r="E1188" s="1531"/>
      <c r="F1188" s="1531"/>
      <c r="G1188" s="1531"/>
      <c r="H1188" s="1531"/>
      <c r="I1188" s="1531"/>
      <c r="J1188" s="1531"/>
      <c r="K1188" s="1531"/>
      <c r="L1188" s="1531"/>
      <c r="M1188" s="1531"/>
      <c r="N1188" s="1531"/>
      <c r="O1188" s="1531"/>
      <c r="P1188" s="1531"/>
      <c r="Q1188" s="1531"/>
      <c r="R1188" s="1531"/>
      <c r="S1188" s="1531"/>
      <c r="T1188" s="1531"/>
      <c r="U1188" s="1531"/>
      <c r="V1188" s="1531"/>
      <c r="W1188" s="1531"/>
      <c r="X1188" s="1531"/>
      <c r="Y1188" s="1531"/>
      <c r="Z1188" s="1531"/>
      <c r="AA1188" s="1531"/>
      <c r="AB1188" s="1531"/>
      <c r="AC1188" s="1531"/>
      <c r="AD1188" s="1531"/>
      <c r="AE1188" s="1531"/>
      <c r="AF1188" s="1531"/>
      <c r="AG1188" s="1531"/>
      <c r="AH1188" s="1531"/>
      <c r="AI1188" s="1531"/>
      <c r="AJ1188" s="1531"/>
      <c r="AK1188" s="1531"/>
      <c r="AL1188" s="1531"/>
      <c r="AM1188" s="1531"/>
      <c r="AN1188" s="1531"/>
      <c r="AO1188" s="1531"/>
      <c r="AP1188" s="1531"/>
      <c r="AQ1188" s="1531"/>
      <c r="AR1188" s="1531"/>
      <c r="AS1188" s="1531"/>
      <c r="AT1188" s="1136"/>
      <c r="AU1188" s="1136"/>
      <c r="AV1188" s="1136"/>
      <c r="AW1188" s="1136"/>
      <c r="AX1188" s="1136"/>
      <c r="AY1188" s="1136"/>
      <c r="AZ1188" s="1136"/>
      <c r="BA1188" s="1136"/>
      <c r="BB1188" s="1136"/>
      <c r="BC1188" s="1136"/>
      <c r="BD1188" s="1136"/>
      <c r="BE1188" s="1136"/>
      <c r="BF1188" s="1136"/>
      <c r="BG1188" s="1136"/>
      <c r="BH1188" s="1136"/>
      <c r="BI1188" s="1136"/>
      <c r="BJ1188" s="1136"/>
      <c r="BK1188" s="1136"/>
      <c r="BL1188" s="1136"/>
      <c r="BM1188" s="1136"/>
      <c r="BN1188" s="1136"/>
      <c r="BO1188" s="1136"/>
      <c r="BP1188" s="1136"/>
      <c r="BQ1188" s="1136"/>
      <c r="BR1188" s="1136"/>
      <c r="BS1188" s="1136"/>
      <c r="BT1188" s="1136"/>
      <c r="BU1188" s="1136"/>
      <c r="BV1188" s="1136"/>
      <c r="BW1188" s="1136"/>
      <c r="BX1188" s="1136"/>
      <c r="BY1188" s="1136"/>
      <c r="BZ1188" s="1136"/>
      <c r="CA1188" s="1136"/>
      <c r="CB1188" s="1136"/>
      <c r="CC1188" s="1136"/>
      <c r="CD1188" s="1136"/>
      <c r="CE1188" s="1136"/>
      <c r="CF1188" s="1136"/>
      <c r="CG1188" s="1136"/>
      <c r="CH1188" s="1136"/>
      <c r="CI1188" s="1136"/>
      <c r="CJ1188" s="1136"/>
      <c r="CK1188" s="1136"/>
      <c r="CL1188" s="1136"/>
      <c r="CM1188" s="1136"/>
      <c r="CN1188" s="1136"/>
      <c r="CO1188" s="1136"/>
      <c r="CP1188" s="1136"/>
      <c r="CQ1188" s="1136"/>
      <c r="CR1188" s="1136"/>
      <c r="CS1188" s="1136"/>
      <c r="CT1188" s="1136"/>
      <c r="CU1188" s="1136"/>
      <c r="CV1188" s="1136"/>
      <c r="CW1188" s="1136"/>
      <c r="CX1188" s="1136"/>
      <c r="CY1188" s="1136"/>
      <c r="CZ1188" s="1136"/>
      <c r="DA1188" s="1136"/>
      <c r="DB1188" s="1136"/>
      <c r="DC1188" s="1136"/>
      <c r="DD1188" s="1136"/>
      <c r="DE1188" s="1136"/>
      <c r="DF1188" s="1136"/>
      <c r="DG1188" s="1136"/>
      <c r="DH1188" s="1136"/>
      <c r="DI1188" s="1136"/>
    </row>
    <row r="1189" spans="1:113" ht="15.75" x14ac:dyDescent="0.25">
      <c r="A1189" s="1430" t="s">
        <v>1901</v>
      </c>
      <c r="B1189" s="1431">
        <f>B758</f>
        <v>800</v>
      </c>
      <c r="C1189" s="1610"/>
      <c r="D1189" s="1610"/>
      <c r="E1189" s="1610"/>
      <c r="F1189" s="1610"/>
      <c r="G1189" s="1610"/>
      <c r="H1189" s="1531"/>
      <c r="I1189" s="1531"/>
      <c r="J1189" s="1531"/>
      <c r="K1189" s="1531"/>
      <c r="L1189" s="1531"/>
      <c r="M1189" s="1531"/>
      <c r="N1189" s="1531"/>
      <c r="O1189" s="1531"/>
      <c r="P1189" s="1531"/>
      <c r="Q1189" s="1531"/>
      <c r="R1189" s="1531"/>
      <c r="S1189" s="1531"/>
      <c r="T1189" s="1531"/>
      <c r="U1189" s="1531"/>
      <c r="V1189" s="1531"/>
      <c r="W1189" s="1531"/>
      <c r="X1189" s="1531"/>
      <c r="Y1189" s="1531"/>
      <c r="Z1189" s="1531"/>
      <c r="AA1189" s="1531"/>
      <c r="AB1189" s="1531"/>
      <c r="AC1189" s="1531"/>
      <c r="AD1189" s="1531"/>
      <c r="AE1189" s="1531"/>
      <c r="AF1189" s="1531"/>
      <c r="AG1189" s="1531"/>
      <c r="AH1189" s="1531"/>
      <c r="AI1189" s="1531"/>
      <c r="AJ1189" s="1531"/>
      <c r="AK1189" s="1531"/>
      <c r="AL1189" s="1531"/>
      <c r="AM1189" s="1531"/>
      <c r="AN1189" s="1531"/>
      <c r="AO1189" s="1531"/>
      <c r="AP1189" s="1531"/>
      <c r="AQ1189" s="1531"/>
      <c r="AR1189" s="1531"/>
      <c r="AS1189" s="1531"/>
      <c r="AT1189" s="1136"/>
      <c r="AU1189" s="1136"/>
      <c r="AV1189" s="1136"/>
      <c r="AW1189" s="1136"/>
      <c r="AX1189" s="1136"/>
      <c r="AY1189" s="1136"/>
      <c r="AZ1189" s="1136"/>
      <c r="BA1189" s="1136"/>
      <c r="BB1189" s="1136"/>
      <c r="BC1189" s="1136"/>
      <c r="BD1189" s="1136"/>
      <c r="BE1189" s="1136"/>
      <c r="BF1189" s="1136"/>
      <c r="BG1189" s="1136"/>
      <c r="BH1189" s="1136"/>
      <c r="BI1189" s="1136"/>
      <c r="BJ1189" s="1136"/>
      <c r="BK1189" s="1136"/>
      <c r="BL1189" s="1136"/>
      <c r="BM1189" s="1136"/>
      <c r="BN1189" s="1136"/>
      <c r="BO1189" s="1136"/>
      <c r="BP1189" s="1136"/>
      <c r="BQ1189" s="1136"/>
      <c r="BR1189" s="1136"/>
      <c r="BS1189" s="1136"/>
      <c r="BT1189" s="1136"/>
      <c r="BU1189" s="1136"/>
      <c r="BV1189" s="1136"/>
      <c r="BW1189" s="1136"/>
      <c r="BX1189" s="1136"/>
      <c r="BY1189" s="1136"/>
      <c r="BZ1189" s="1136"/>
      <c r="CA1189" s="1136"/>
      <c r="CB1189" s="1136"/>
      <c r="CC1189" s="1136"/>
      <c r="CD1189" s="1136"/>
      <c r="CE1189" s="1136"/>
      <c r="CF1189" s="1136"/>
      <c r="CG1189" s="1136"/>
      <c r="CH1189" s="1136"/>
      <c r="CI1189" s="1136"/>
      <c r="CJ1189" s="1136"/>
      <c r="CK1189" s="1136"/>
      <c r="CL1189" s="1136"/>
      <c r="CM1189" s="1136"/>
      <c r="CN1189" s="1136"/>
      <c r="CO1189" s="1136"/>
      <c r="CP1189" s="1136"/>
      <c r="CQ1189" s="1136"/>
      <c r="CR1189" s="1136"/>
      <c r="CS1189" s="1136"/>
      <c r="CT1189" s="1136"/>
      <c r="CU1189" s="1136"/>
      <c r="CV1189" s="1136"/>
      <c r="CW1189" s="1136"/>
      <c r="CX1189" s="1136"/>
      <c r="CY1189" s="1136"/>
      <c r="CZ1189" s="1136"/>
      <c r="DA1189" s="1136"/>
      <c r="DB1189" s="1136"/>
      <c r="DC1189" s="1136"/>
      <c r="DD1189" s="1136"/>
      <c r="DE1189" s="1136"/>
      <c r="DF1189" s="1136"/>
      <c r="DG1189" s="1136"/>
      <c r="DH1189" s="1136"/>
      <c r="DI1189" s="1136"/>
    </row>
    <row r="1190" spans="1:113" ht="15.75" x14ac:dyDescent="0.25">
      <c r="A1190" s="1430" t="s">
        <v>4307</v>
      </c>
      <c r="B1190" s="1433" t="e">
        <f>B1188*B1189</f>
        <v>#DIV/0!</v>
      </c>
      <c r="C1190" s="1569"/>
      <c r="D1190" s="1587"/>
      <c r="E1190" s="1587"/>
      <c r="F1190" s="1587"/>
      <c r="G1190" s="1587"/>
      <c r="H1190" s="1531"/>
      <c r="I1190" s="1531"/>
      <c r="J1190" s="1531"/>
      <c r="K1190" s="1531"/>
      <c r="L1190" s="1531"/>
      <c r="M1190" s="1531"/>
      <c r="N1190" s="1531"/>
      <c r="O1190" s="1531"/>
      <c r="P1190" s="1531"/>
      <c r="Q1190" s="1531"/>
      <c r="R1190" s="1531"/>
      <c r="S1190" s="1531"/>
      <c r="T1190" s="1531"/>
      <c r="U1190" s="1531"/>
      <c r="V1190" s="1531"/>
      <c r="W1190" s="1531"/>
      <c r="X1190" s="1531"/>
      <c r="Y1190" s="1531"/>
      <c r="Z1190" s="1531"/>
      <c r="AA1190" s="1531"/>
      <c r="AB1190" s="1531"/>
      <c r="AC1190" s="1531"/>
      <c r="AD1190" s="1531"/>
      <c r="AE1190" s="1531"/>
      <c r="AF1190" s="1531"/>
      <c r="AG1190" s="1531"/>
      <c r="AH1190" s="1531"/>
      <c r="AI1190" s="1531"/>
      <c r="AJ1190" s="1531"/>
      <c r="AK1190" s="1531"/>
      <c r="AL1190" s="1531"/>
      <c r="AM1190" s="1531"/>
      <c r="AN1190" s="1531"/>
      <c r="AO1190" s="1531"/>
      <c r="AP1190" s="1531"/>
      <c r="AQ1190" s="1531"/>
      <c r="AR1190" s="1531"/>
      <c r="AS1190" s="1531"/>
      <c r="AT1190" s="1136"/>
      <c r="AU1190" s="1136"/>
      <c r="AV1190" s="1136"/>
      <c r="AW1190" s="1136"/>
      <c r="AX1190" s="1136"/>
      <c r="AY1190" s="1136"/>
      <c r="AZ1190" s="1136"/>
      <c r="BA1190" s="1136"/>
      <c r="BB1190" s="1136"/>
      <c r="BC1190" s="1136"/>
      <c r="BD1190" s="1136"/>
      <c r="BE1190" s="1136"/>
      <c r="BF1190" s="1136"/>
      <c r="BG1190" s="1136"/>
      <c r="BH1190" s="1136"/>
      <c r="BI1190" s="1136"/>
      <c r="BJ1190" s="1136"/>
      <c r="BK1190" s="1136"/>
      <c r="BL1190" s="1136"/>
      <c r="BM1190" s="1136"/>
      <c r="BN1190" s="1136"/>
      <c r="BO1190" s="1136"/>
      <c r="BP1190" s="1136"/>
      <c r="BQ1190" s="1136"/>
      <c r="BR1190" s="1136"/>
      <c r="BS1190" s="1136"/>
      <c r="BT1190" s="1136"/>
      <c r="BU1190" s="1136"/>
      <c r="BV1190" s="1136"/>
      <c r="BW1190" s="1136"/>
      <c r="BX1190" s="1136"/>
      <c r="BY1190" s="1136"/>
      <c r="BZ1190" s="1136"/>
      <c r="CA1190" s="1136"/>
      <c r="CB1190" s="1136"/>
      <c r="CC1190" s="1136"/>
      <c r="CD1190" s="1136"/>
      <c r="CE1190" s="1136"/>
      <c r="CF1190" s="1136"/>
      <c r="CG1190" s="1136"/>
      <c r="CH1190" s="1136"/>
      <c r="CI1190" s="1136"/>
      <c r="CJ1190" s="1136"/>
      <c r="CK1190" s="1136"/>
      <c r="CL1190" s="1136"/>
      <c r="CM1190" s="1136"/>
      <c r="CN1190" s="1136"/>
      <c r="CO1190" s="1136"/>
      <c r="CP1190" s="1136"/>
      <c r="CQ1190" s="1136"/>
      <c r="CR1190" s="1136"/>
      <c r="CS1190" s="1136"/>
      <c r="CT1190" s="1136"/>
      <c r="CU1190" s="1136"/>
      <c r="CV1190" s="1136"/>
      <c r="CW1190" s="1136"/>
      <c r="CX1190" s="1136"/>
      <c r="CY1190" s="1136"/>
      <c r="CZ1190" s="1136"/>
      <c r="DA1190" s="1136"/>
      <c r="DB1190" s="1136"/>
      <c r="DC1190" s="1136"/>
      <c r="DD1190" s="1136"/>
      <c r="DE1190" s="1136"/>
      <c r="DF1190" s="1136"/>
      <c r="DG1190" s="1136"/>
      <c r="DH1190" s="1136"/>
      <c r="DI1190" s="1136"/>
    </row>
    <row r="1191" spans="1:113" ht="15.75" x14ac:dyDescent="0.25">
      <c r="A1191" s="1595" t="s">
        <v>1903</v>
      </c>
      <c r="B1191" s="1415"/>
      <c r="C1191" s="1531"/>
      <c r="D1191" s="1531"/>
      <c r="E1191" s="1531"/>
      <c r="F1191" s="1531"/>
      <c r="G1191" s="1531"/>
      <c r="H1191" s="1531"/>
      <c r="I1191" s="1531"/>
      <c r="J1191" s="1531"/>
      <c r="K1191" s="1531"/>
      <c r="L1191" s="1531"/>
      <c r="M1191" s="1531"/>
      <c r="N1191" s="1531"/>
      <c r="O1191" s="1531"/>
      <c r="P1191" s="1531"/>
      <c r="Q1191" s="1531"/>
      <c r="R1191" s="1531"/>
      <c r="S1191" s="1531"/>
      <c r="T1191" s="1531"/>
      <c r="U1191" s="1531"/>
      <c r="V1191" s="1531"/>
      <c r="W1191" s="1531"/>
      <c r="X1191" s="1531"/>
      <c r="Y1191" s="1531"/>
      <c r="Z1191" s="1531"/>
      <c r="AA1191" s="1531"/>
      <c r="AB1191" s="1531"/>
      <c r="AC1191" s="1531"/>
      <c r="AD1191" s="1531"/>
      <c r="AE1191" s="1531"/>
      <c r="AF1191" s="1531"/>
      <c r="AG1191" s="1531"/>
      <c r="AH1191" s="1531"/>
      <c r="AI1191" s="1531"/>
      <c r="AJ1191" s="1531"/>
      <c r="AK1191" s="1531"/>
      <c r="AL1191" s="1531"/>
      <c r="AM1191" s="1531"/>
      <c r="AN1191" s="1531"/>
      <c r="AO1191" s="1531"/>
      <c r="AP1191" s="1531"/>
      <c r="AQ1191" s="1531"/>
      <c r="AR1191" s="1531"/>
      <c r="AS1191" s="1531"/>
      <c r="AT1191" s="1136"/>
      <c r="AU1191" s="1136"/>
      <c r="AV1191" s="1136"/>
      <c r="AW1191" s="1136"/>
      <c r="AX1191" s="1136"/>
      <c r="AY1191" s="1136"/>
      <c r="AZ1191" s="1136"/>
      <c r="BA1191" s="1136"/>
      <c r="BB1191" s="1136"/>
      <c r="BC1191" s="1136"/>
      <c r="BD1191" s="1136"/>
      <c r="BE1191" s="1136"/>
      <c r="BF1191" s="1136"/>
      <c r="BG1191" s="1136"/>
      <c r="BH1191" s="1136"/>
      <c r="BI1191" s="1136"/>
      <c r="BJ1191" s="1136"/>
      <c r="BK1191" s="1136"/>
      <c r="BL1191" s="1136"/>
      <c r="BM1191" s="1136"/>
      <c r="BN1191" s="1136"/>
      <c r="BO1191" s="1136"/>
      <c r="BP1191" s="1136"/>
      <c r="BQ1191" s="1136"/>
      <c r="BR1191" s="1136"/>
      <c r="BS1191" s="1136"/>
      <c r="BT1191" s="1136"/>
      <c r="BU1191" s="1136"/>
      <c r="BV1191" s="1136"/>
      <c r="BW1191" s="1136"/>
      <c r="BX1191" s="1136"/>
      <c r="BY1191" s="1136"/>
      <c r="BZ1191" s="1136"/>
      <c r="CA1191" s="1136"/>
      <c r="CB1191" s="1136"/>
      <c r="CC1191" s="1136"/>
      <c r="CD1191" s="1136"/>
      <c r="CE1191" s="1136"/>
      <c r="CF1191" s="1136"/>
      <c r="CG1191" s="1136"/>
      <c r="CH1191" s="1136"/>
      <c r="CI1191" s="1136"/>
      <c r="CJ1191" s="1136"/>
      <c r="CK1191" s="1136"/>
      <c r="CL1191" s="1136"/>
      <c r="CM1191" s="1136"/>
      <c r="CN1191" s="1136"/>
      <c r="CO1191" s="1136"/>
      <c r="CP1191" s="1136"/>
      <c r="CQ1191" s="1136"/>
      <c r="CR1191" s="1136"/>
      <c r="CS1191" s="1136"/>
      <c r="CT1191" s="1136"/>
      <c r="CU1191" s="1136"/>
      <c r="CV1191" s="1136"/>
      <c r="CW1191" s="1136"/>
      <c r="CX1191" s="1136"/>
      <c r="CY1191" s="1136"/>
      <c r="CZ1191" s="1136"/>
      <c r="DA1191" s="1136"/>
      <c r="DB1191" s="1136"/>
      <c r="DC1191" s="1136"/>
      <c r="DD1191" s="1136"/>
      <c r="DE1191" s="1136"/>
      <c r="DF1191" s="1136"/>
      <c r="DG1191" s="1136"/>
      <c r="DH1191" s="1136"/>
      <c r="DI1191" s="1136"/>
    </row>
    <row r="1192" spans="1:113" ht="15.75" x14ac:dyDescent="0.25">
      <c r="A1192" s="1456" t="s">
        <v>1904</v>
      </c>
      <c r="B1192" s="1441" t="e">
        <f>B1186</f>
        <v>#DIV/0!</v>
      </c>
      <c r="C1192" s="1596"/>
      <c r="D1192" s="1531"/>
      <c r="E1192" s="1531"/>
      <c r="F1192" s="1531"/>
      <c r="G1192" s="1531"/>
      <c r="H1192" s="1531"/>
      <c r="I1192" s="1531"/>
      <c r="J1192" s="1531"/>
      <c r="K1192" s="1531"/>
      <c r="L1192" s="1531"/>
      <c r="M1192" s="1531"/>
      <c r="N1192" s="1531"/>
      <c r="O1192" s="1531"/>
      <c r="P1192" s="1531"/>
      <c r="Q1192" s="1531"/>
      <c r="R1192" s="1531"/>
      <c r="S1192" s="1531"/>
      <c r="T1192" s="1531"/>
      <c r="U1192" s="1531"/>
      <c r="V1192" s="1531"/>
      <c r="W1192" s="1531"/>
      <c r="X1192" s="1531"/>
      <c r="Y1192" s="1531"/>
      <c r="Z1192" s="1531"/>
      <c r="AA1192" s="1531"/>
      <c r="AB1192" s="1531"/>
      <c r="AC1192" s="1531"/>
      <c r="AD1192" s="1531"/>
      <c r="AE1192" s="1531"/>
      <c r="AF1192" s="1531"/>
      <c r="AG1192" s="1531"/>
      <c r="AH1192" s="1531"/>
      <c r="AI1192" s="1531"/>
      <c r="AJ1192" s="1531"/>
      <c r="AK1192" s="1531"/>
      <c r="AL1192" s="1531"/>
      <c r="AM1192" s="1531"/>
      <c r="AN1192" s="1531"/>
      <c r="AO1192" s="1531"/>
      <c r="AP1192" s="1531"/>
      <c r="AQ1192" s="1531"/>
      <c r="AR1192" s="1531"/>
      <c r="AS1192" s="1531"/>
      <c r="AT1192" s="1136"/>
      <c r="AU1192" s="1136"/>
      <c r="AV1192" s="1136"/>
      <c r="AW1192" s="1136"/>
      <c r="AX1192" s="1136"/>
      <c r="AY1192" s="1136"/>
      <c r="AZ1192" s="1136"/>
      <c r="BA1192" s="1136"/>
      <c r="BB1192" s="1136"/>
      <c r="BC1192" s="1136"/>
      <c r="BD1192" s="1136"/>
      <c r="BE1192" s="1136"/>
      <c r="BF1192" s="1136"/>
      <c r="BG1192" s="1136"/>
      <c r="BH1192" s="1136"/>
      <c r="BI1192" s="1136"/>
      <c r="BJ1192" s="1136"/>
      <c r="BK1192" s="1136"/>
      <c r="BL1192" s="1136"/>
      <c r="BM1192" s="1136"/>
      <c r="BN1192" s="1136"/>
      <c r="BO1192" s="1136"/>
      <c r="BP1192" s="1136"/>
      <c r="BQ1192" s="1136"/>
      <c r="BR1192" s="1136"/>
      <c r="BS1192" s="1136"/>
      <c r="BT1192" s="1136"/>
      <c r="BU1192" s="1136"/>
      <c r="BV1192" s="1136"/>
      <c r="BW1192" s="1136"/>
      <c r="BX1192" s="1136"/>
      <c r="BY1192" s="1136"/>
      <c r="BZ1192" s="1136"/>
      <c r="CA1192" s="1136"/>
      <c r="CB1192" s="1136"/>
      <c r="CC1192" s="1136"/>
      <c r="CD1192" s="1136"/>
      <c r="CE1192" s="1136"/>
      <c r="CF1192" s="1136"/>
      <c r="CG1192" s="1136"/>
      <c r="CH1192" s="1136"/>
      <c r="CI1192" s="1136"/>
      <c r="CJ1192" s="1136"/>
      <c r="CK1192" s="1136"/>
      <c r="CL1192" s="1136"/>
      <c r="CM1192" s="1136"/>
      <c r="CN1192" s="1136"/>
      <c r="CO1192" s="1136"/>
      <c r="CP1192" s="1136"/>
      <c r="CQ1192" s="1136"/>
      <c r="CR1192" s="1136"/>
      <c r="CS1192" s="1136"/>
      <c r="CT1192" s="1136"/>
      <c r="CU1192" s="1136"/>
      <c r="CV1192" s="1136"/>
      <c r="CW1192" s="1136"/>
      <c r="CX1192" s="1136"/>
      <c r="CY1192" s="1136"/>
      <c r="CZ1192" s="1136"/>
      <c r="DA1192" s="1136"/>
      <c r="DB1192" s="1136"/>
      <c r="DC1192" s="1136"/>
      <c r="DD1192" s="1136"/>
      <c r="DE1192" s="1136"/>
      <c r="DF1192" s="1136"/>
      <c r="DG1192" s="1136"/>
      <c r="DH1192" s="1136"/>
      <c r="DI1192" s="1136"/>
    </row>
    <row r="1193" spans="1:113" ht="15.75" x14ac:dyDescent="0.25">
      <c r="A1193" s="1417" t="s">
        <v>1899</v>
      </c>
      <c r="B1193" s="1441" t="e">
        <f>CEILING(((((B326+B327)/B308)+1)*B810),1)</f>
        <v>#REF!</v>
      </c>
      <c r="C1193" s="1596"/>
      <c r="D1193" s="1596"/>
      <c r="E1193" s="1596"/>
      <c r="F1193" s="1596"/>
      <c r="G1193" s="1596"/>
      <c r="H1193" s="1531"/>
      <c r="I1193" s="1531"/>
      <c r="J1193" s="1531"/>
      <c r="K1193" s="1531"/>
      <c r="L1193" s="1531"/>
      <c r="M1193" s="1531"/>
      <c r="N1193" s="1531"/>
      <c r="O1193" s="1531"/>
      <c r="P1193" s="1531"/>
      <c r="Q1193" s="1531"/>
      <c r="R1193" s="1531"/>
      <c r="S1193" s="1531"/>
      <c r="T1193" s="1531"/>
      <c r="U1193" s="1531"/>
      <c r="V1193" s="1531"/>
      <c r="W1193" s="1531"/>
      <c r="X1193" s="1531"/>
      <c r="Y1193" s="1531"/>
      <c r="Z1193" s="1531"/>
      <c r="AA1193" s="1531"/>
      <c r="AB1193" s="1531"/>
      <c r="AC1193" s="1531"/>
      <c r="AD1193" s="1531"/>
      <c r="AE1193" s="1531"/>
      <c r="AF1193" s="1531"/>
      <c r="AG1193" s="1531"/>
      <c r="AH1193" s="1531"/>
      <c r="AI1193" s="1531"/>
      <c r="AJ1193" s="1531"/>
      <c r="AK1193" s="1531"/>
      <c r="AL1193" s="1531"/>
      <c r="AM1193" s="1531"/>
      <c r="AN1193" s="1531"/>
      <c r="AO1193" s="1531"/>
      <c r="AP1193" s="1531"/>
      <c r="AQ1193" s="1531"/>
      <c r="AR1193" s="1531"/>
      <c r="AS1193" s="1531"/>
      <c r="AT1193" s="1136"/>
      <c r="AU1193" s="1136"/>
      <c r="AV1193" s="1136"/>
      <c r="AW1193" s="1136"/>
      <c r="AX1193" s="1136"/>
      <c r="AY1193" s="1136"/>
      <c r="AZ1193" s="1136"/>
      <c r="BA1193" s="1136"/>
      <c r="BB1193" s="1136"/>
      <c r="BC1193" s="1136"/>
      <c r="BD1193" s="1136"/>
      <c r="BE1193" s="1136"/>
      <c r="BF1193" s="1136"/>
      <c r="BG1193" s="1136"/>
      <c r="BH1193" s="1136"/>
      <c r="BI1193" s="1136"/>
      <c r="BJ1193" s="1136"/>
      <c r="BK1193" s="1136"/>
      <c r="BL1193" s="1136"/>
      <c r="BM1193" s="1136"/>
      <c r="BN1193" s="1136"/>
      <c r="BO1193" s="1136"/>
      <c r="BP1193" s="1136"/>
      <c r="BQ1193" s="1136"/>
      <c r="BR1193" s="1136"/>
      <c r="BS1193" s="1136"/>
      <c r="BT1193" s="1136"/>
      <c r="BU1193" s="1136"/>
      <c r="BV1193" s="1136"/>
      <c r="BW1193" s="1136"/>
      <c r="BX1193" s="1136"/>
      <c r="BY1193" s="1136"/>
      <c r="BZ1193" s="1136"/>
      <c r="CA1193" s="1136"/>
      <c r="CB1193" s="1136"/>
      <c r="CC1193" s="1136"/>
      <c r="CD1193" s="1136"/>
      <c r="CE1193" s="1136"/>
      <c r="CF1193" s="1136"/>
      <c r="CG1193" s="1136"/>
      <c r="CH1193" s="1136"/>
      <c r="CI1193" s="1136"/>
      <c r="CJ1193" s="1136"/>
      <c r="CK1193" s="1136"/>
      <c r="CL1193" s="1136"/>
      <c r="CM1193" s="1136"/>
      <c r="CN1193" s="1136"/>
      <c r="CO1193" s="1136"/>
      <c r="CP1193" s="1136"/>
      <c r="CQ1193" s="1136"/>
      <c r="CR1193" s="1136"/>
      <c r="CS1193" s="1136"/>
      <c r="CT1193" s="1136"/>
      <c r="CU1193" s="1136"/>
      <c r="CV1193" s="1136"/>
      <c r="CW1193" s="1136"/>
      <c r="CX1193" s="1136"/>
      <c r="CY1193" s="1136"/>
      <c r="CZ1193" s="1136"/>
      <c r="DA1193" s="1136"/>
      <c r="DB1193" s="1136"/>
      <c r="DC1193" s="1136"/>
      <c r="DD1193" s="1136"/>
      <c r="DE1193" s="1136"/>
      <c r="DF1193" s="1136"/>
      <c r="DG1193" s="1136"/>
      <c r="DH1193" s="1136"/>
      <c r="DI1193" s="1136"/>
    </row>
    <row r="1194" spans="1:113" ht="15.75" x14ac:dyDescent="0.25">
      <c r="A1194" s="1430" t="s">
        <v>1900</v>
      </c>
      <c r="B1194" s="1588" t="e">
        <f>(B1192+B1193)*B1183/100</f>
        <v>#DIV/0!</v>
      </c>
      <c r="C1194" s="1589"/>
      <c r="D1194" s="1523"/>
      <c r="E1194" s="1523"/>
      <c r="F1194" s="1523"/>
      <c r="G1194" s="1523"/>
      <c r="H1194" s="1531"/>
      <c r="I1194" s="1531"/>
      <c r="J1194" s="1531"/>
      <c r="K1194" s="1531"/>
      <c r="L1194" s="1531"/>
      <c r="M1194" s="1531"/>
      <c r="N1194" s="1531"/>
      <c r="O1194" s="1531"/>
      <c r="P1194" s="1531"/>
      <c r="Q1194" s="1531"/>
      <c r="R1194" s="1531"/>
      <c r="S1194" s="1531"/>
      <c r="T1194" s="1531"/>
      <c r="U1194" s="1531"/>
      <c r="V1194" s="1531"/>
      <c r="W1194" s="1531"/>
      <c r="X1194" s="1531"/>
      <c r="Y1194" s="1531"/>
      <c r="Z1194" s="1531"/>
      <c r="AA1194" s="1531"/>
      <c r="AB1194" s="1531"/>
      <c r="AC1194" s="1531"/>
      <c r="AD1194" s="1531"/>
      <c r="AE1194" s="1531"/>
      <c r="AF1194" s="1531"/>
      <c r="AG1194" s="1531"/>
      <c r="AH1194" s="1531"/>
      <c r="AI1194" s="1531"/>
      <c r="AJ1194" s="1531"/>
      <c r="AK1194" s="1531"/>
      <c r="AL1194" s="1531"/>
      <c r="AM1194" s="1531"/>
      <c r="AN1194" s="1531"/>
      <c r="AO1194" s="1531"/>
      <c r="AP1194" s="1531"/>
      <c r="AQ1194" s="1531"/>
      <c r="AR1194" s="1531"/>
      <c r="AS1194" s="1531"/>
      <c r="AT1194" s="1136"/>
      <c r="AU1194" s="1136"/>
      <c r="AV1194" s="1136"/>
      <c r="AW1194" s="1136"/>
      <c r="AX1194" s="1136"/>
      <c r="AY1194" s="1136"/>
      <c r="AZ1194" s="1136"/>
      <c r="BA1194" s="1136"/>
      <c r="BB1194" s="1136"/>
      <c r="BC1194" s="1136"/>
      <c r="BD1194" s="1136"/>
      <c r="BE1194" s="1136"/>
      <c r="BF1194" s="1136"/>
      <c r="BG1194" s="1136"/>
      <c r="BH1194" s="1136"/>
      <c r="BI1194" s="1136"/>
      <c r="BJ1194" s="1136"/>
      <c r="BK1194" s="1136"/>
      <c r="BL1194" s="1136"/>
      <c r="BM1194" s="1136"/>
      <c r="BN1194" s="1136"/>
      <c r="BO1194" s="1136"/>
      <c r="BP1194" s="1136"/>
      <c r="BQ1194" s="1136"/>
      <c r="BR1194" s="1136"/>
      <c r="BS1194" s="1136"/>
      <c r="BT1194" s="1136"/>
      <c r="BU1194" s="1136"/>
      <c r="BV1194" s="1136"/>
      <c r="BW1194" s="1136"/>
      <c r="BX1194" s="1136"/>
      <c r="BY1194" s="1136"/>
      <c r="BZ1194" s="1136"/>
      <c r="CA1194" s="1136"/>
      <c r="CB1194" s="1136"/>
      <c r="CC1194" s="1136"/>
      <c r="CD1194" s="1136"/>
      <c r="CE1194" s="1136"/>
      <c r="CF1194" s="1136"/>
      <c r="CG1194" s="1136"/>
      <c r="CH1194" s="1136"/>
      <c r="CI1194" s="1136"/>
      <c r="CJ1194" s="1136"/>
      <c r="CK1194" s="1136"/>
      <c r="CL1194" s="1136"/>
      <c r="CM1194" s="1136"/>
      <c r="CN1194" s="1136"/>
      <c r="CO1194" s="1136"/>
      <c r="CP1194" s="1136"/>
      <c r="CQ1194" s="1136"/>
      <c r="CR1194" s="1136"/>
      <c r="CS1194" s="1136"/>
      <c r="CT1194" s="1136"/>
      <c r="CU1194" s="1136"/>
      <c r="CV1194" s="1136"/>
      <c r="CW1194" s="1136"/>
      <c r="CX1194" s="1136"/>
      <c r="CY1194" s="1136"/>
      <c r="CZ1194" s="1136"/>
      <c r="DA1194" s="1136"/>
      <c r="DB1194" s="1136"/>
      <c r="DC1194" s="1136"/>
      <c r="DD1194" s="1136"/>
      <c r="DE1194" s="1136"/>
      <c r="DF1194" s="1136"/>
      <c r="DG1194" s="1136"/>
      <c r="DH1194" s="1136"/>
      <c r="DI1194" s="1136"/>
    </row>
    <row r="1195" spans="1:113" ht="15.75" x14ac:dyDescent="0.25">
      <c r="A1195" s="1430" t="s">
        <v>4307</v>
      </c>
      <c r="B1195" s="1588" t="e">
        <f>B1194*B1189</f>
        <v>#DIV/0!</v>
      </c>
      <c r="C1195" s="1589"/>
      <c r="D1195" s="1589"/>
      <c r="E1195" s="1589"/>
      <c r="F1195" s="1589"/>
      <c r="G1195" s="1589"/>
      <c r="H1195" s="1531"/>
      <c r="I1195" s="1531"/>
      <c r="J1195" s="1531"/>
      <c r="K1195" s="1531"/>
      <c r="L1195" s="1531"/>
      <c r="M1195" s="1531"/>
      <c r="N1195" s="1531"/>
      <c r="O1195" s="1531"/>
      <c r="P1195" s="1531"/>
      <c r="Q1195" s="1531"/>
      <c r="R1195" s="1531"/>
      <c r="S1195" s="1531"/>
      <c r="T1195" s="1531"/>
      <c r="U1195" s="1531"/>
      <c r="V1195" s="1531"/>
      <c r="W1195" s="1531"/>
      <c r="X1195" s="1531"/>
      <c r="Y1195" s="1531"/>
      <c r="Z1195" s="1531"/>
      <c r="AA1195" s="1531"/>
      <c r="AB1195" s="1531"/>
      <c r="AC1195" s="1531"/>
      <c r="AD1195" s="1531"/>
      <c r="AE1195" s="1531"/>
      <c r="AF1195" s="1531"/>
      <c r="AG1195" s="1531"/>
      <c r="AH1195" s="1531"/>
      <c r="AI1195" s="1531"/>
      <c r="AJ1195" s="1531"/>
      <c r="AK1195" s="1531"/>
      <c r="AL1195" s="1531"/>
      <c r="AM1195" s="1531"/>
      <c r="AN1195" s="1531"/>
      <c r="AO1195" s="1531"/>
      <c r="AP1195" s="1531"/>
      <c r="AQ1195" s="1531"/>
      <c r="AR1195" s="1531"/>
      <c r="AS1195" s="1531"/>
      <c r="AT1195" s="1136"/>
      <c r="AU1195" s="1136"/>
      <c r="AV1195" s="1136"/>
      <c r="AW1195" s="1136"/>
      <c r="AX1195" s="1136"/>
      <c r="AY1195" s="1136"/>
      <c r="AZ1195" s="1136"/>
      <c r="BA1195" s="1136"/>
      <c r="BB1195" s="1136"/>
      <c r="BC1195" s="1136"/>
      <c r="BD1195" s="1136"/>
      <c r="BE1195" s="1136"/>
      <c r="BF1195" s="1136"/>
      <c r="BG1195" s="1136"/>
      <c r="BH1195" s="1136"/>
      <c r="BI1195" s="1136"/>
      <c r="BJ1195" s="1136"/>
      <c r="BK1195" s="1136"/>
      <c r="BL1195" s="1136"/>
      <c r="BM1195" s="1136"/>
      <c r="BN1195" s="1136"/>
      <c r="BO1195" s="1136"/>
      <c r="BP1195" s="1136"/>
      <c r="BQ1195" s="1136"/>
      <c r="BR1195" s="1136"/>
      <c r="BS1195" s="1136"/>
      <c r="BT1195" s="1136"/>
      <c r="BU1195" s="1136"/>
      <c r="BV1195" s="1136"/>
      <c r="BW1195" s="1136"/>
      <c r="BX1195" s="1136"/>
      <c r="BY1195" s="1136"/>
      <c r="BZ1195" s="1136"/>
      <c r="CA1195" s="1136"/>
      <c r="CB1195" s="1136"/>
      <c r="CC1195" s="1136"/>
      <c r="CD1195" s="1136"/>
      <c r="CE1195" s="1136"/>
      <c r="CF1195" s="1136"/>
      <c r="CG1195" s="1136"/>
      <c r="CH1195" s="1136"/>
      <c r="CI1195" s="1136"/>
      <c r="CJ1195" s="1136"/>
      <c r="CK1195" s="1136"/>
      <c r="CL1195" s="1136"/>
      <c r="CM1195" s="1136"/>
      <c r="CN1195" s="1136"/>
      <c r="CO1195" s="1136"/>
      <c r="CP1195" s="1136"/>
      <c r="CQ1195" s="1136"/>
      <c r="CR1195" s="1136"/>
      <c r="CS1195" s="1136"/>
      <c r="CT1195" s="1136"/>
      <c r="CU1195" s="1136"/>
      <c r="CV1195" s="1136"/>
      <c r="CW1195" s="1136"/>
      <c r="CX1195" s="1136"/>
      <c r="CY1195" s="1136"/>
      <c r="CZ1195" s="1136"/>
      <c r="DA1195" s="1136"/>
      <c r="DB1195" s="1136"/>
      <c r="DC1195" s="1136"/>
      <c r="DD1195" s="1136"/>
      <c r="DE1195" s="1136"/>
      <c r="DF1195" s="1136"/>
      <c r="DG1195" s="1136"/>
      <c r="DH1195" s="1136"/>
      <c r="DI1195" s="1136"/>
    </row>
    <row r="1196" spans="1:113" ht="15.75" x14ac:dyDescent="0.25">
      <c r="A1196" s="1466" t="s">
        <v>4307</v>
      </c>
      <c r="B1196" s="1467" t="e">
        <f>IF(B323=0,B1190,B1195)</f>
        <v>#DIV/0!</v>
      </c>
      <c r="C1196" s="1590"/>
      <c r="D1196" s="1610"/>
      <c r="E1196" s="1610"/>
      <c r="F1196" s="1610"/>
      <c r="G1196" s="1610"/>
      <c r="H1196" s="1531"/>
      <c r="I1196" s="1531"/>
      <c r="J1196" s="1531"/>
      <c r="K1196" s="1531"/>
      <c r="L1196" s="1531"/>
      <c r="M1196" s="1531"/>
      <c r="N1196" s="1531"/>
      <c r="O1196" s="1531"/>
      <c r="P1196" s="1531"/>
      <c r="Q1196" s="1531"/>
      <c r="R1196" s="1531"/>
      <c r="S1196" s="1531"/>
      <c r="T1196" s="1531"/>
      <c r="U1196" s="1531"/>
      <c r="V1196" s="1531"/>
      <c r="W1196" s="1531"/>
      <c r="X1196" s="1531"/>
      <c r="Y1196" s="1531"/>
      <c r="Z1196" s="1531"/>
      <c r="AA1196" s="1531"/>
      <c r="AB1196" s="1531"/>
      <c r="AC1196" s="1531"/>
      <c r="AD1196" s="1531"/>
      <c r="AE1196" s="1531"/>
      <c r="AF1196" s="1531"/>
      <c r="AG1196" s="1531"/>
      <c r="AH1196" s="1531"/>
      <c r="AI1196" s="1531"/>
      <c r="AJ1196" s="1531"/>
      <c r="AK1196" s="1531"/>
      <c r="AL1196" s="1531"/>
      <c r="AM1196" s="1531"/>
      <c r="AN1196" s="1531"/>
      <c r="AO1196" s="1531"/>
      <c r="AP1196" s="1531"/>
      <c r="AQ1196" s="1531"/>
      <c r="AR1196" s="1531"/>
      <c r="AS1196" s="1531"/>
      <c r="AT1196" s="1136"/>
      <c r="AU1196" s="1136"/>
      <c r="AV1196" s="1136"/>
      <c r="AW1196" s="1136"/>
      <c r="AX1196" s="1136"/>
      <c r="AY1196" s="1136"/>
      <c r="AZ1196" s="1136"/>
      <c r="BA1196" s="1136"/>
      <c r="BB1196" s="1136"/>
      <c r="BC1196" s="1136"/>
      <c r="BD1196" s="1136"/>
      <c r="BE1196" s="1136"/>
      <c r="BF1196" s="1136"/>
      <c r="BG1196" s="1136"/>
      <c r="BH1196" s="1136"/>
      <c r="BI1196" s="1136"/>
      <c r="BJ1196" s="1136"/>
      <c r="BK1196" s="1136"/>
      <c r="BL1196" s="1136"/>
      <c r="BM1196" s="1136"/>
      <c r="BN1196" s="1136"/>
      <c r="BO1196" s="1136"/>
      <c r="BP1196" s="1136"/>
      <c r="BQ1196" s="1136"/>
      <c r="BR1196" s="1136"/>
      <c r="BS1196" s="1136"/>
      <c r="BT1196" s="1136"/>
      <c r="BU1196" s="1136"/>
      <c r="BV1196" s="1136"/>
      <c r="BW1196" s="1136"/>
      <c r="BX1196" s="1136"/>
      <c r="BY1196" s="1136"/>
      <c r="BZ1196" s="1136"/>
      <c r="CA1196" s="1136"/>
      <c r="CB1196" s="1136"/>
      <c r="CC1196" s="1136"/>
      <c r="CD1196" s="1136"/>
      <c r="CE1196" s="1136"/>
      <c r="CF1196" s="1136"/>
      <c r="CG1196" s="1136"/>
      <c r="CH1196" s="1136"/>
      <c r="CI1196" s="1136"/>
      <c r="CJ1196" s="1136"/>
      <c r="CK1196" s="1136"/>
      <c r="CL1196" s="1136"/>
      <c r="CM1196" s="1136"/>
      <c r="CN1196" s="1136"/>
      <c r="CO1196" s="1136"/>
      <c r="CP1196" s="1136"/>
      <c r="CQ1196" s="1136"/>
      <c r="CR1196" s="1136"/>
      <c r="CS1196" s="1136"/>
      <c r="CT1196" s="1136"/>
      <c r="CU1196" s="1136"/>
      <c r="CV1196" s="1136"/>
      <c r="CW1196" s="1136"/>
      <c r="CX1196" s="1136"/>
      <c r="CY1196" s="1136"/>
      <c r="CZ1196" s="1136"/>
      <c r="DA1196" s="1136"/>
      <c r="DB1196" s="1136"/>
      <c r="DC1196" s="1136"/>
      <c r="DD1196" s="1136"/>
      <c r="DE1196" s="1136"/>
      <c r="DF1196" s="1136"/>
      <c r="DG1196" s="1136"/>
      <c r="DH1196" s="1136"/>
      <c r="DI1196" s="1136"/>
    </row>
    <row r="1197" spans="1:113" ht="15.75" x14ac:dyDescent="0.25">
      <c r="A1197" s="1417"/>
      <c r="B1197" s="1421"/>
      <c r="C1197" s="1523"/>
      <c r="D1197" s="1569"/>
      <c r="E1197" s="1569"/>
      <c r="F1197" s="1569"/>
      <c r="G1197" s="1569"/>
      <c r="H1197" s="1531"/>
      <c r="I1197" s="1531"/>
      <c r="J1197" s="1531"/>
      <c r="K1197" s="1531"/>
      <c r="L1197" s="1531"/>
      <c r="M1197" s="1531"/>
      <c r="N1197" s="1531"/>
      <c r="O1197" s="1531"/>
      <c r="P1197" s="1531"/>
      <c r="Q1197" s="1531"/>
      <c r="R1197" s="1531"/>
      <c r="S1197" s="1531"/>
      <c r="T1197" s="1531"/>
      <c r="U1197" s="1531"/>
      <c r="V1197" s="1531"/>
      <c r="W1197" s="1531"/>
      <c r="X1197" s="1531"/>
      <c r="Y1197" s="1531"/>
      <c r="Z1197" s="1531"/>
      <c r="AA1197" s="1531"/>
      <c r="AB1197" s="1531"/>
      <c r="AC1197" s="1531"/>
      <c r="AD1197" s="1531"/>
      <c r="AE1197" s="1531"/>
      <c r="AF1197" s="1531"/>
      <c r="AG1197" s="1531"/>
      <c r="AH1197" s="1531"/>
      <c r="AI1197" s="1531"/>
      <c r="AJ1197" s="1531"/>
      <c r="AK1197" s="1531"/>
      <c r="AL1197" s="1531"/>
      <c r="AM1197" s="1531"/>
      <c r="AN1197" s="1531"/>
      <c r="AO1197" s="1531"/>
      <c r="AP1197" s="1531"/>
      <c r="AQ1197" s="1531"/>
      <c r="AR1197" s="1531"/>
      <c r="AS1197" s="1531"/>
      <c r="AT1197" s="1136"/>
      <c r="AU1197" s="1136"/>
      <c r="AV1197" s="1136"/>
      <c r="AW1197" s="1136"/>
      <c r="AX1197" s="1136"/>
      <c r="AY1197" s="1136"/>
      <c r="AZ1197" s="1136"/>
      <c r="BA1197" s="1136"/>
      <c r="BB1197" s="1136"/>
      <c r="BC1197" s="1136"/>
      <c r="BD1197" s="1136"/>
      <c r="BE1197" s="1136"/>
      <c r="BF1197" s="1136"/>
      <c r="BG1197" s="1136"/>
      <c r="BH1197" s="1136"/>
      <c r="BI1197" s="1136"/>
      <c r="BJ1197" s="1136"/>
      <c r="BK1197" s="1136"/>
      <c r="BL1197" s="1136"/>
      <c r="BM1197" s="1136"/>
      <c r="BN1197" s="1136"/>
      <c r="BO1197" s="1136"/>
      <c r="BP1197" s="1136"/>
      <c r="BQ1197" s="1136"/>
      <c r="BR1197" s="1136"/>
      <c r="BS1197" s="1136"/>
      <c r="BT1197" s="1136"/>
      <c r="BU1197" s="1136"/>
      <c r="BV1197" s="1136"/>
      <c r="BW1197" s="1136"/>
      <c r="BX1197" s="1136"/>
      <c r="BY1197" s="1136"/>
      <c r="BZ1197" s="1136"/>
      <c r="CA1197" s="1136"/>
      <c r="CB1197" s="1136"/>
      <c r="CC1197" s="1136"/>
      <c r="CD1197" s="1136"/>
      <c r="CE1197" s="1136"/>
      <c r="CF1197" s="1136"/>
      <c r="CG1197" s="1136"/>
      <c r="CH1197" s="1136"/>
      <c r="CI1197" s="1136"/>
      <c r="CJ1197" s="1136"/>
      <c r="CK1197" s="1136"/>
      <c r="CL1197" s="1136"/>
      <c r="CM1197" s="1136"/>
      <c r="CN1197" s="1136"/>
      <c r="CO1197" s="1136"/>
      <c r="CP1197" s="1136"/>
      <c r="CQ1197" s="1136"/>
      <c r="CR1197" s="1136"/>
      <c r="CS1197" s="1136"/>
      <c r="CT1197" s="1136"/>
      <c r="CU1197" s="1136"/>
      <c r="CV1197" s="1136"/>
      <c r="CW1197" s="1136"/>
      <c r="CX1197" s="1136"/>
      <c r="CY1197" s="1136"/>
      <c r="CZ1197" s="1136"/>
      <c r="DA1197" s="1136"/>
      <c r="DB1197" s="1136"/>
      <c r="DC1197" s="1136"/>
      <c r="DD1197" s="1136"/>
      <c r="DE1197" s="1136"/>
      <c r="DF1197" s="1136"/>
      <c r="DG1197" s="1136"/>
      <c r="DH1197" s="1136"/>
      <c r="DI1197" s="1136"/>
    </row>
    <row r="1198" spans="1:113" ht="15.75" x14ac:dyDescent="0.25">
      <c r="A1198" s="1580" t="s">
        <v>4308</v>
      </c>
      <c r="B1198" s="1597"/>
      <c r="C1198" s="1635"/>
      <c r="D1198" s="1531"/>
      <c r="E1198" s="1531"/>
      <c r="F1198" s="1531"/>
      <c r="G1198" s="1531"/>
      <c r="H1198" s="1531"/>
      <c r="I1198" s="1531"/>
      <c r="J1198" s="1531"/>
      <c r="K1198" s="1531"/>
      <c r="L1198" s="1531"/>
      <c r="M1198" s="1531"/>
      <c r="N1198" s="1531"/>
      <c r="O1198" s="1531"/>
      <c r="P1198" s="1531"/>
      <c r="Q1198" s="1531"/>
      <c r="R1198" s="1531"/>
      <c r="S1198" s="1531"/>
      <c r="T1198" s="1531"/>
      <c r="U1198" s="1531"/>
      <c r="V1198" s="1531"/>
      <c r="W1198" s="1531"/>
      <c r="X1198" s="1531"/>
      <c r="Y1198" s="1531"/>
      <c r="Z1198" s="1531"/>
      <c r="AA1198" s="1531"/>
      <c r="AB1198" s="1531"/>
      <c r="AC1198" s="1531"/>
      <c r="AD1198" s="1531"/>
      <c r="AE1198" s="1531"/>
      <c r="AF1198" s="1531"/>
      <c r="AG1198" s="1531"/>
      <c r="AH1198" s="1531"/>
      <c r="AI1198" s="1531"/>
      <c r="AJ1198" s="1531"/>
      <c r="AK1198" s="1531"/>
      <c r="AL1198" s="1531"/>
      <c r="AM1198" s="1531"/>
      <c r="AN1198" s="1531"/>
      <c r="AO1198" s="1531"/>
      <c r="AP1198" s="1531"/>
      <c r="AQ1198" s="1531"/>
      <c r="AR1198" s="1531"/>
      <c r="AS1198" s="1531"/>
      <c r="AT1198" s="1136"/>
      <c r="AU1198" s="1136"/>
      <c r="AV1198" s="1136"/>
      <c r="AW1198" s="1136"/>
      <c r="AX1198" s="1136"/>
      <c r="AY1198" s="1136"/>
      <c r="AZ1198" s="1136"/>
      <c r="BA1198" s="1136"/>
      <c r="BB1198" s="1136"/>
      <c r="BC1198" s="1136"/>
      <c r="BD1198" s="1136"/>
      <c r="BE1198" s="1136"/>
      <c r="BF1198" s="1136"/>
      <c r="BG1198" s="1136"/>
      <c r="BH1198" s="1136"/>
      <c r="BI1198" s="1136"/>
      <c r="BJ1198" s="1136"/>
      <c r="BK1198" s="1136"/>
      <c r="BL1198" s="1136"/>
      <c r="BM1198" s="1136"/>
      <c r="BN1198" s="1136"/>
      <c r="BO1198" s="1136"/>
      <c r="BP1198" s="1136"/>
      <c r="BQ1198" s="1136"/>
      <c r="BR1198" s="1136"/>
      <c r="BS1198" s="1136"/>
      <c r="BT1198" s="1136"/>
      <c r="BU1198" s="1136"/>
      <c r="BV1198" s="1136"/>
      <c r="BW1198" s="1136"/>
      <c r="BX1198" s="1136"/>
      <c r="BY1198" s="1136"/>
      <c r="BZ1198" s="1136"/>
      <c r="CA1198" s="1136"/>
      <c r="CB1198" s="1136"/>
      <c r="CC1198" s="1136"/>
      <c r="CD1198" s="1136"/>
      <c r="CE1198" s="1136"/>
      <c r="CF1198" s="1136"/>
      <c r="CG1198" s="1136"/>
      <c r="CH1198" s="1136"/>
      <c r="CI1198" s="1136"/>
      <c r="CJ1198" s="1136"/>
      <c r="CK1198" s="1136"/>
      <c r="CL1198" s="1136"/>
      <c r="CM1198" s="1136"/>
      <c r="CN1198" s="1136"/>
      <c r="CO1198" s="1136"/>
      <c r="CP1198" s="1136"/>
      <c r="CQ1198" s="1136"/>
      <c r="CR1198" s="1136"/>
      <c r="CS1198" s="1136"/>
      <c r="CT1198" s="1136"/>
      <c r="CU1198" s="1136"/>
      <c r="CV1198" s="1136"/>
      <c r="CW1198" s="1136"/>
      <c r="CX1198" s="1136"/>
      <c r="CY1198" s="1136"/>
      <c r="CZ1198" s="1136"/>
      <c r="DA1198" s="1136"/>
      <c r="DB1198" s="1136"/>
      <c r="DC1198" s="1136"/>
      <c r="DD1198" s="1136"/>
      <c r="DE1198" s="1136"/>
      <c r="DF1198" s="1136"/>
      <c r="DG1198" s="1136"/>
      <c r="DH1198" s="1136"/>
      <c r="DI1198" s="1136"/>
    </row>
    <row r="1199" spans="1:113" ht="15.75" x14ac:dyDescent="0.25">
      <c r="A1199" s="1430" t="s">
        <v>4309</v>
      </c>
      <c r="B1199" s="1431">
        <f>B768</f>
        <v>5</v>
      </c>
      <c r="C1199" s="1610"/>
      <c r="D1199" s="1596"/>
      <c r="E1199" s="1596"/>
      <c r="F1199" s="1596"/>
      <c r="G1199" s="1596"/>
      <c r="H1199" s="1531"/>
      <c r="I1199" s="1531"/>
      <c r="J1199" s="1531"/>
      <c r="K1199" s="1531"/>
      <c r="L1199" s="1531"/>
      <c r="M1199" s="1531"/>
      <c r="N1199" s="1531"/>
      <c r="O1199" s="1531"/>
      <c r="P1199" s="1531"/>
      <c r="Q1199" s="1531"/>
      <c r="R1199" s="1531"/>
      <c r="S1199" s="1531"/>
      <c r="T1199" s="1531"/>
      <c r="U1199" s="1531"/>
      <c r="V1199" s="1531"/>
      <c r="W1199" s="1531"/>
      <c r="X1199" s="1531"/>
      <c r="Y1199" s="1531"/>
      <c r="Z1199" s="1531"/>
      <c r="AA1199" s="1531"/>
      <c r="AB1199" s="1531"/>
      <c r="AC1199" s="1531"/>
      <c r="AD1199" s="1531"/>
      <c r="AE1199" s="1531"/>
      <c r="AF1199" s="1531"/>
      <c r="AG1199" s="1531"/>
      <c r="AH1199" s="1531"/>
      <c r="AI1199" s="1531"/>
      <c r="AJ1199" s="1531"/>
      <c r="AK1199" s="1531"/>
      <c r="AL1199" s="1531"/>
      <c r="AM1199" s="1531"/>
      <c r="AN1199" s="1531"/>
      <c r="AO1199" s="1531"/>
      <c r="AP1199" s="1531"/>
      <c r="AQ1199" s="1531"/>
      <c r="AR1199" s="1531"/>
      <c r="AS1199" s="1531"/>
      <c r="AT1199" s="1136"/>
      <c r="AU1199" s="1136"/>
      <c r="AV1199" s="1136"/>
      <c r="AW1199" s="1136"/>
      <c r="AX1199" s="1136"/>
      <c r="AY1199" s="1136"/>
      <c r="AZ1199" s="1136"/>
      <c r="BA1199" s="1136"/>
      <c r="BB1199" s="1136"/>
      <c r="BC1199" s="1136"/>
      <c r="BD1199" s="1136"/>
      <c r="BE1199" s="1136"/>
      <c r="BF1199" s="1136"/>
      <c r="BG1199" s="1136"/>
      <c r="BH1199" s="1136"/>
      <c r="BI1199" s="1136"/>
      <c r="BJ1199" s="1136"/>
      <c r="BK1199" s="1136"/>
      <c r="BL1199" s="1136"/>
      <c r="BM1199" s="1136"/>
      <c r="BN1199" s="1136"/>
      <c r="BO1199" s="1136"/>
      <c r="BP1199" s="1136"/>
      <c r="BQ1199" s="1136"/>
      <c r="BR1199" s="1136"/>
      <c r="BS1199" s="1136"/>
      <c r="BT1199" s="1136"/>
      <c r="BU1199" s="1136"/>
      <c r="BV1199" s="1136"/>
      <c r="BW1199" s="1136"/>
      <c r="BX1199" s="1136"/>
      <c r="BY1199" s="1136"/>
      <c r="BZ1199" s="1136"/>
      <c r="CA1199" s="1136"/>
      <c r="CB1199" s="1136"/>
      <c r="CC1199" s="1136"/>
      <c r="CD1199" s="1136"/>
      <c r="CE1199" s="1136"/>
      <c r="CF1199" s="1136"/>
      <c r="CG1199" s="1136"/>
      <c r="CH1199" s="1136"/>
      <c r="CI1199" s="1136"/>
      <c r="CJ1199" s="1136"/>
      <c r="CK1199" s="1136"/>
      <c r="CL1199" s="1136"/>
      <c r="CM1199" s="1136"/>
      <c r="CN1199" s="1136"/>
      <c r="CO1199" s="1136"/>
      <c r="CP1199" s="1136"/>
      <c r="CQ1199" s="1136"/>
      <c r="CR1199" s="1136"/>
      <c r="CS1199" s="1136"/>
      <c r="CT1199" s="1136"/>
      <c r="CU1199" s="1136"/>
      <c r="CV1199" s="1136"/>
      <c r="CW1199" s="1136"/>
      <c r="CX1199" s="1136"/>
      <c r="CY1199" s="1136"/>
      <c r="CZ1199" s="1136"/>
      <c r="DA1199" s="1136"/>
      <c r="DB1199" s="1136"/>
      <c r="DC1199" s="1136"/>
      <c r="DD1199" s="1136"/>
      <c r="DE1199" s="1136"/>
      <c r="DF1199" s="1136"/>
      <c r="DG1199" s="1136"/>
      <c r="DH1199" s="1136"/>
      <c r="DI1199" s="1136"/>
    </row>
    <row r="1200" spans="1:113" ht="15.75" x14ac:dyDescent="0.25">
      <c r="A1200" s="1592" t="s">
        <v>4310</v>
      </c>
      <c r="B1200" s="1588" t="e">
        <f>B286*B291*B290*B293*B285*B1199/(B287*B329)</f>
        <v>#VALUE!</v>
      </c>
      <c r="C1200" s="1589"/>
      <c r="D1200" s="1596"/>
      <c r="E1200" s="1596"/>
      <c r="F1200" s="1596"/>
      <c r="G1200" s="1596"/>
      <c r="H1200" s="1531"/>
      <c r="I1200" s="1531"/>
      <c r="J1200" s="1531"/>
      <c r="K1200" s="1531"/>
      <c r="L1200" s="1531"/>
      <c r="M1200" s="1531"/>
      <c r="N1200" s="1531"/>
      <c r="O1200" s="1531"/>
      <c r="P1200" s="1531"/>
      <c r="Q1200" s="1531"/>
      <c r="R1200" s="1531"/>
      <c r="S1200" s="1531"/>
      <c r="T1200" s="1531"/>
      <c r="U1200" s="1531"/>
      <c r="V1200" s="1531"/>
      <c r="W1200" s="1531"/>
      <c r="X1200" s="1531"/>
      <c r="Y1200" s="1531"/>
      <c r="Z1200" s="1531"/>
      <c r="AA1200" s="1531"/>
      <c r="AB1200" s="1531"/>
      <c r="AC1200" s="1531"/>
      <c r="AD1200" s="1531"/>
      <c r="AE1200" s="1531"/>
      <c r="AF1200" s="1531"/>
      <c r="AG1200" s="1531"/>
      <c r="AH1200" s="1531"/>
      <c r="AI1200" s="1531"/>
      <c r="AJ1200" s="1531"/>
      <c r="AK1200" s="1531"/>
      <c r="AL1200" s="1531"/>
      <c r="AM1200" s="1531"/>
      <c r="AN1200" s="1531"/>
      <c r="AO1200" s="1531"/>
      <c r="AP1200" s="1531"/>
      <c r="AQ1200" s="1531"/>
      <c r="AR1200" s="1531"/>
      <c r="AS1200" s="1531"/>
      <c r="AT1200" s="1136"/>
      <c r="AU1200" s="1136"/>
      <c r="AV1200" s="1136"/>
      <c r="AW1200" s="1136"/>
      <c r="AX1200" s="1136"/>
      <c r="AY1200" s="1136"/>
      <c r="AZ1200" s="1136"/>
      <c r="BA1200" s="1136"/>
      <c r="BB1200" s="1136"/>
      <c r="BC1200" s="1136"/>
      <c r="BD1200" s="1136"/>
      <c r="BE1200" s="1136"/>
      <c r="BF1200" s="1136"/>
      <c r="BG1200" s="1136"/>
      <c r="BH1200" s="1136"/>
      <c r="BI1200" s="1136"/>
      <c r="BJ1200" s="1136"/>
      <c r="BK1200" s="1136"/>
      <c r="BL1200" s="1136"/>
      <c r="BM1200" s="1136"/>
      <c r="BN1200" s="1136"/>
      <c r="BO1200" s="1136"/>
      <c r="BP1200" s="1136"/>
      <c r="BQ1200" s="1136"/>
      <c r="BR1200" s="1136"/>
      <c r="BS1200" s="1136"/>
      <c r="BT1200" s="1136"/>
      <c r="BU1200" s="1136"/>
      <c r="BV1200" s="1136"/>
      <c r="BW1200" s="1136"/>
      <c r="BX1200" s="1136"/>
      <c r="BY1200" s="1136"/>
      <c r="BZ1200" s="1136"/>
      <c r="CA1200" s="1136"/>
      <c r="CB1200" s="1136"/>
      <c r="CC1200" s="1136"/>
      <c r="CD1200" s="1136"/>
      <c r="CE1200" s="1136"/>
      <c r="CF1200" s="1136"/>
      <c r="CG1200" s="1136"/>
      <c r="CH1200" s="1136"/>
      <c r="CI1200" s="1136"/>
      <c r="CJ1200" s="1136"/>
      <c r="CK1200" s="1136"/>
      <c r="CL1200" s="1136"/>
      <c r="CM1200" s="1136"/>
      <c r="CN1200" s="1136"/>
      <c r="CO1200" s="1136"/>
      <c r="CP1200" s="1136"/>
      <c r="CQ1200" s="1136"/>
      <c r="CR1200" s="1136"/>
      <c r="CS1200" s="1136"/>
      <c r="CT1200" s="1136"/>
      <c r="CU1200" s="1136"/>
      <c r="CV1200" s="1136"/>
      <c r="CW1200" s="1136"/>
      <c r="CX1200" s="1136"/>
      <c r="CY1200" s="1136"/>
      <c r="CZ1200" s="1136"/>
      <c r="DA1200" s="1136"/>
      <c r="DB1200" s="1136"/>
      <c r="DC1200" s="1136"/>
      <c r="DD1200" s="1136"/>
      <c r="DE1200" s="1136"/>
      <c r="DF1200" s="1136"/>
      <c r="DG1200" s="1136"/>
      <c r="DH1200" s="1136"/>
      <c r="DI1200" s="1136"/>
    </row>
    <row r="1201" spans="1:113" ht="15.75" x14ac:dyDescent="0.25">
      <c r="A1201" s="1417" t="s">
        <v>4311</v>
      </c>
      <c r="B1201" s="1415"/>
      <c r="C1201" s="1531"/>
      <c r="D1201" s="1589"/>
      <c r="E1201" s="1589"/>
      <c r="F1201" s="1589"/>
      <c r="G1201" s="1589"/>
      <c r="H1201" s="1531"/>
      <c r="I1201" s="1531"/>
      <c r="J1201" s="1531"/>
      <c r="K1201" s="1531"/>
      <c r="L1201" s="1531"/>
      <c r="M1201" s="1531"/>
      <c r="N1201" s="1531"/>
      <c r="O1201" s="1531"/>
      <c r="P1201" s="1531"/>
      <c r="Q1201" s="1531"/>
      <c r="R1201" s="1531"/>
      <c r="S1201" s="1531"/>
      <c r="T1201" s="1531"/>
      <c r="U1201" s="1531"/>
      <c r="V1201" s="1531"/>
      <c r="W1201" s="1531"/>
      <c r="X1201" s="1531"/>
      <c r="Y1201" s="1531"/>
      <c r="Z1201" s="1531"/>
      <c r="AA1201" s="1531"/>
      <c r="AB1201" s="1531"/>
      <c r="AC1201" s="1531"/>
      <c r="AD1201" s="1531"/>
      <c r="AE1201" s="1531"/>
      <c r="AF1201" s="1531"/>
      <c r="AG1201" s="1531"/>
      <c r="AH1201" s="1531"/>
      <c r="AI1201" s="1531"/>
      <c r="AJ1201" s="1531"/>
      <c r="AK1201" s="1531"/>
      <c r="AL1201" s="1531"/>
      <c r="AM1201" s="1531"/>
      <c r="AN1201" s="1531"/>
      <c r="AO1201" s="1531"/>
      <c r="AP1201" s="1531"/>
      <c r="AQ1201" s="1531"/>
      <c r="AR1201" s="1531"/>
      <c r="AS1201" s="1531"/>
      <c r="AT1201" s="1136"/>
      <c r="AU1201" s="1136"/>
      <c r="AV1201" s="1136"/>
      <c r="AW1201" s="1136"/>
      <c r="AX1201" s="1136"/>
      <c r="AY1201" s="1136"/>
      <c r="AZ1201" s="1136"/>
      <c r="BA1201" s="1136"/>
      <c r="BB1201" s="1136"/>
      <c r="BC1201" s="1136"/>
      <c r="BD1201" s="1136"/>
      <c r="BE1201" s="1136"/>
      <c r="BF1201" s="1136"/>
      <c r="BG1201" s="1136"/>
      <c r="BH1201" s="1136"/>
      <c r="BI1201" s="1136"/>
      <c r="BJ1201" s="1136"/>
      <c r="BK1201" s="1136"/>
      <c r="BL1201" s="1136"/>
      <c r="BM1201" s="1136"/>
      <c r="BN1201" s="1136"/>
      <c r="BO1201" s="1136"/>
      <c r="BP1201" s="1136"/>
      <c r="BQ1201" s="1136"/>
      <c r="BR1201" s="1136"/>
      <c r="BS1201" s="1136"/>
      <c r="BT1201" s="1136"/>
      <c r="BU1201" s="1136"/>
      <c r="BV1201" s="1136"/>
      <c r="BW1201" s="1136"/>
      <c r="BX1201" s="1136"/>
      <c r="BY1201" s="1136"/>
      <c r="BZ1201" s="1136"/>
      <c r="CA1201" s="1136"/>
      <c r="CB1201" s="1136"/>
      <c r="CC1201" s="1136"/>
      <c r="CD1201" s="1136"/>
      <c r="CE1201" s="1136"/>
      <c r="CF1201" s="1136"/>
      <c r="CG1201" s="1136"/>
      <c r="CH1201" s="1136"/>
      <c r="CI1201" s="1136"/>
      <c r="CJ1201" s="1136"/>
      <c r="CK1201" s="1136"/>
      <c r="CL1201" s="1136"/>
      <c r="CM1201" s="1136"/>
      <c r="CN1201" s="1136"/>
      <c r="CO1201" s="1136"/>
      <c r="CP1201" s="1136"/>
      <c r="CQ1201" s="1136"/>
      <c r="CR1201" s="1136"/>
      <c r="CS1201" s="1136"/>
      <c r="CT1201" s="1136"/>
      <c r="CU1201" s="1136"/>
      <c r="CV1201" s="1136"/>
      <c r="CW1201" s="1136"/>
      <c r="CX1201" s="1136"/>
      <c r="CY1201" s="1136"/>
      <c r="CZ1201" s="1136"/>
      <c r="DA1201" s="1136"/>
      <c r="DB1201" s="1136"/>
      <c r="DC1201" s="1136"/>
      <c r="DD1201" s="1136"/>
      <c r="DE1201" s="1136"/>
      <c r="DF1201" s="1136"/>
      <c r="DG1201" s="1136"/>
      <c r="DH1201" s="1136"/>
      <c r="DI1201" s="1136"/>
    </row>
    <row r="1202" spans="1:113" ht="15.75" x14ac:dyDescent="0.25">
      <c r="A1202" s="1430" t="s">
        <v>470</v>
      </c>
      <c r="B1202" s="1421" t="e">
        <f>12.3*B809*(B327+B326+B811)</f>
        <v>#DIV/0!</v>
      </c>
      <c r="C1202" s="1523"/>
      <c r="D1202" s="1589"/>
      <c r="E1202" s="1589"/>
      <c r="F1202" s="1589"/>
      <c r="G1202" s="1589"/>
      <c r="H1202" s="1531"/>
      <c r="I1202" s="1531"/>
      <c r="J1202" s="1531"/>
      <c r="K1202" s="1531"/>
      <c r="L1202" s="1531"/>
      <c r="M1202" s="1531"/>
      <c r="N1202" s="1531"/>
      <c r="O1202" s="1531"/>
      <c r="P1202" s="1531"/>
      <c r="Q1202" s="1531"/>
      <c r="R1202" s="1531"/>
      <c r="S1202" s="1531"/>
      <c r="T1202" s="1531"/>
      <c r="U1202" s="1531"/>
      <c r="V1202" s="1531"/>
      <c r="W1202" s="1531"/>
      <c r="X1202" s="1531"/>
      <c r="Y1202" s="1531"/>
      <c r="Z1202" s="1531"/>
      <c r="AA1202" s="1531"/>
      <c r="AB1202" s="1531"/>
      <c r="AC1202" s="1531"/>
      <c r="AD1202" s="1531"/>
      <c r="AE1202" s="1531"/>
      <c r="AF1202" s="1531"/>
      <c r="AG1202" s="1531"/>
      <c r="AH1202" s="1531"/>
      <c r="AI1202" s="1531"/>
      <c r="AJ1202" s="1531"/>
      <c r="AK1202" s="1531"/>
      <c r="AL1202" s="1531"/>
      <c r="AM1202" s="1531"/>
      <c r="AN1202" s="1531"/>
      <c r="AO1202" s="1531"/>
      <c r="AP1202" s="1531"/>
      <c r="AQ1202" s="1531"/>
      <c r="AR1202" s="1531"/>
      <c r="AS1202" s="1531"/>
      <c r="AT1202" s="1136"/>
      <c r="AU1202" s="1136"/>
      <c r="AV1202" s="1136"/>
      <c r="AW1202" s="1136"/>
      <c r="AX1202" s="1136"/>
      <c r="AY1202" s="1136"/>
      <c r="AZ1202" s="1136"/>
      <c r="BA1202" s="1136"/>
      <c r="BB1202" s="1136"/>
      <c r="BC1202" s="1136"/>
      <c r="BD1202" s="1136"/>
      <c r="BE1202" s="1136"/>
      <c r="BF1202" s="1136"/>
      <c r="BG1202" s="1136"/>
      <c r="BH1202" s="1136"/>
      <c r="BI1202" s="1136"/>
      <c r="BJ1202" s="1136"/>
      <c r="BK1202" s="1136"/>
      <c r="BL1202" s="1136"/>
      <c r="BM1202" s="1136"/>
      <c r="BN1202" s="1136"/>
      <c r="BO1202" s="1136"/>
      <c r="BP1202" s="1136"/>
      <c r="BQ1202" s="1136"/>
      <c r="BR1202" s="1136"/>
      <c r="BS1202" s="1136"/>
      <c r="BT1202" s="1136"/>
      <c r="BU1202" s="1136"/>
      <c r="BV1202" s="1136"/>
      <c r="BW1202" s="1136"/>
      <c r="BX1202" s="1136"/>
      <c r="BY1202" s="1136"/>
      <c r="BZ1202" s="1136"/>
      <c r="CA1202" s="1136"/>
      <c r="CB1202" s="1136"/>
      <c r="CC1202" s="1136"/>
      <c r="CD1202" s="1136"/>
      <c r="CE1202" s="1136"/>
      <c r="CF1202" s="1136"/>
      <c r="CG1202" s="1136"/>
      <c r="CH1202" s="1136"/>
      <c r="CI1202" s="1136"/>
      <c r="CJ1202" s="1136"/>
      <c r="CK1202" s="1136"/>
      <c r="CL1202" s="1136"/>
      <c r="CM1202" s="1136"/>
      <c r="CN1202" s="1136"/>
      <c r="CO1202" s="1136"/>
      <c r="CP1202" s="1136"/>
      <c r="CQ1202" s="1136"/>
      <c r="CR1202" s="1136"/>
      <c r="CS1202" s="1136"/>
      <c r="CT1202" s="1136"/>
      <c r="CU1202" s="1136"/>
      <c r="CV1202" s="1136"/>
      <c r="CW1202" s="1136"/>
      <c r="CX1202" s="1136"/>
      <c r="CY1202" s="1136"/>
      <c r="CZ1202" s="1136"/>
      <c r="DA1202" s="1136"/>
      <c r="DB1202" s="1136"/>
      <c r="DC1202" s="1136"/>
      <c r="DD1202" s="1136"/>
      <c r="DE1202" s="1136"/>
      <c r="DF1202" s="1136"/>
      <c r="DG1202" s="1136"/>
      <c r="DH1202" s="1136"/>
      <c r="DI1202" s="1136"/>
    </row>
    <row r="1203" spans="1:113" ht="15.75" x14ac:dyDescent="0.25">
      <c r="A1203" s="1430" t="s">
        <v>3740</v>
      </c>
      <c r="B1203" s="1421" t="e">
        <f>12.3*B810*(B327+B326)</f>
        <v>#REF!</v>
      </c>
      <c r="C1203" s="1523"/>
      <c r="D1203" s="1590"/>
      <c r="E1203" s="1590"/>
      <c r="F1203" s="1590"/>
      <c r="G1203" s="1590"/>
      <c r="H1203" s="1531"/>
      <c r="I1203" s="1531"/>
      <c r="J1203" s="1531"/>
      <c r="K1203" s="1531"/>
      <c r="L1203" s="1531"/>
      <c r="M1203" s="1531"/>
      <c r="N1203" s="1531"/>
      <c r="O1203" s="1531"/>
      <c r="P1203" s="1531"/>
      <c r="Q1203" s="1531"/>
      <c r="R1203" s="1531"/>
      <c r="S1203" s="1531"/>
      <c r="T1203" s="1531"/>
      <c r="U1203" s="1531"/>
      <c r="V1203" s="1531"/>
      <c r="W1203" s="1531"/>
      <c r="X1203" s="1531"/>
      <c r="Y1203" s="1531"/>
      <c r="Z1203" s="1531"/>
      <c r="AA1203" s="1531"/>
      <c r="AB1203" s="1531"/>
      <c r="AC1203" s="1531"/>
      <c r="AD1203" s="1531"/>
      <c r="AE1203" s="1531"/>
      <c r="AF1203" s="1531"/>
      <c r="AG1203" s="1531"/>
      <c r="AH1203" s="1531"/>
      <c r="AI1203" s="1531"/>
      <c r="AJ1203" s="1531"/>
      <c r="AK1203" s="1531"/>
      <c r="AL1203" s="1531"/>
      <c r="AM1203" s="1531"/>
      <c r="AN1203" s="1531"/>
      <c r="AO1203" s="1531"/>
      <c r="AP1203" s="1531"/>
      <c r="AQ1203" s="1531"/>
      <c r="AR1203" s="1531"/>
      <c r="AS1203" s="1531"/>
      <c r="AT1203" s="1136"/>
      <c r="AU1203" s="1136"/>
      <c r="AV1203" s="1136"/>
      <c r="AW1203" s="1136"/>
      <c r="AX1203" s="1136"/>
      <c r="AY1203" s="1136"/>
      <c r="AZ1203" s="1136"/>
      <c r="BA1203" s="1136"/>
      <c r="BB1203" s="1136"/>
      <c r="BC1203" s="1136"/>
      <c r="BD1203" s="1136"/>
      <c r="BE1203" s="1136"/>
      <c r="BF1203" s="1136"/>
      <c r="BG1203" s="1136"/>
      <c r="BH1203" s="1136"/>
      <c r="BI1203" s="1136"/>
      <c r="BJ1203" s="1136"/>
      <c r="BK1203" s="1136"/>
      <c r="BL1203" s="1136"/>
      <c r="BM1203" s="1136"/>
      <c r="BN1203" s="1136"/>
      <c r="BO1203" s="1136"/>
      <c r="BP1203" s="1136"/>
      <c r="BQ1203" s="1136"/>
      <c r="BR1203" s="1136"/>
      <c r="BS1203" s="1136"/>
      <c r="BT1203" s="1136"/>
      <c r="BU1203" s="1136"/>
      <c r="BV1203" s="1136"/>
      <c r="BW1203" s="1136"/>
      <c r="BX1203" s="1136"/>
      <c r="BY1203" s="1136"/>
      <c r="BZ1203" s="1136"/>
      <c r="CA1203" s="1136"/>
      <c r="CB1203" s="1136"/>
      <c r="CC1203" s="1136"/>
      <c r="CD1203" s="1136"/>
      <c r="CE1203" s="1136"/>
      <c r="CF1203" s="1136"/>
      <c r="CG1203" s="1136"/>
      <c r="CH1203" s="1136"/>
      <c r="CI1203" s="1136"/>
      <c r="CJ1203" s="1136"/>
      <c r="CK1203" s="1136"/>
      <c r="CL1203" s="1136"/>
      <c r="CM1203" s="1136"/>
      <c r="CN1203" s="1136"/>
      <c r="CO1203" s="1136"/>
      <c r="CP1203" s="1136"/>
      <c r="CQ1203" s="1136"/>
      <c r="CR1203" s="1136"/>
      <c r="CS1203" s="1136"/>
      <c r="CT1203" s="1136"/>
      <c r="CU1203" s="1136"/>
      <c r="CV1203" s="1136"/>
      <c r="CW1203" s="1136"/>
      <c r="CX1203" s="1136"/>
      <c r="CY1203" s="1136"/>
      <c r="CZ1203" s="1136"/>
      <c r="DA1203" s="1136"/>
      <c r="DB1203" s="1136"/>
      <c r="DC1203" s="1136"/>
      <c r="DD1203" s="1136"/>
      <c r="DE1203" s="1136"/>
      <c r="DF1203" s="1136"/>
      <c r="DG1203" s="1136"/>
      <c r="DH1203" s="1136"/>
      <c r="DI1203" s="1136"/>
    </row>
    <row r="1204" spans="1:113" ht="15.75" x14ac:dyDescent="0.25">
      <c r="A1204" s="1430" t="s">
        <v>472</v>
      </c>
      <c r="B1204" s="1582">
        <f>B773</f>
        <v>3.5</v>
      </c>
      <c r="C1204" s="1609"/>
      <c r="D1204" s="1531"/>
      <c r="E1204" s="1531"/>
      <c r="F1204" s="1531"/>
      <c r="G1204" s="1531"/>
      <c r="H1204" s="1531"/>
      <c r="I1204" s="1531"/>
      <c r="J1204" s="1531"/>
      <c r="K1204" s="1531"/>
      <c r="L1204" s="1531"/>
      <c r="M1204" s="1531"/>
      <c r="N1204" s="1531"/>
      <c r="O1204" s="1531"/>
      <c r="P1204" s="1531"/>
      <c r="Q1204" s="1531"/>
      <c r="R1204" s="1531"/>
      <c r="S1204" s="1531"/>
      <c r="T1204" s="1531"/>
      <c r="U1204" s="1531"/>
      <c r="V1204" s="1531"/>
      <c r="W1204" s="1531"/>
      <c r="X1204" s="1531"/>
      <c r="Y1204" s="1531"/>
      <c r="Z1204" s="1531"/>
      <c r="AA1204" s="1531"/>
      <c r="AB1204" s="1531"/>
      <c r="AC1204" s="1531"/>
      <c r="AD1204" s="1531"/>
      <c r="AE1204" s="1531"/>
      <c r="AF1204" s="1531"/>
      <c r="AG1204" s="1531"/>
      <c r="AH1204" s="1531"/>
      <c r="AI1204" s="1531"/>
      <c r="AJ1204" s="1531"/>
      <c r="AK1204" s="1531"/>
      <c r="AL1204" s="1531"/>
      <c r="AM1204" s="1531"/>
      <c r="AN1204" s="1531"/>
      <c r="AO1204" s="1531"/>
      <c r="AP1204" s="1531"/>
      <c r="AQ1204" s="1531"/>
      <c r="AR1204" s="1531"/>
      <c r="AS1204" s="1531"/>
      <c r="AT1204" s="1136"/>
      <c r="AU1204" s="1136"/>
      <c r="AV1204" s="1136"/>
      <c r="AW1204" s="1136"/>
      <c r="AX1204" s="1136"/>
      <c r="AY1204" s="1136"/>
      <c r="AZ1204" s="1136"/>
      <c r="BA1204" s="1136"/>
      <c r="BB1204" s="1136"/>
      <c r="BC1204" s="1136"/>
      <c r="BD1204" s="1136"/>
      <c r="BE1204" s="1136"/>
      <c r="BF1204" s="1136"/>
      <c r="BG1204" s="1136"/>
      <c r="BH1204" s="1136"/>
      <c r="BI1204" s="1136"/>
      <c r="BJ1204" s="1136"/>
      <c r="BK1204" s="1136"/>
      <c r="BL1204" s="1136"/>
      <c r="BM1204" s="1136"/>
      <c r="BN1204" s="1136"/>
      <c r="BO1204" s="1136"/>
      <c r="BP1204" s="1136"/>
      <c r="BQ1204" s="1136"/>
      <c r="BR1204" s="1136"/>
      <c r="BS1204" s="1136"/>
      <c r="BT1204" s="1136"/>
      <c r="BU1204" s="1136"/>
      <c r="BV1204" s="1136"/>
      <c r="BW1204" s="1136"/>
      <c r="BX1204" s="1136"/>
      <c r="BY1204" s="1136"/>
      <c r="BZ1204" s="1136"/>
      <c r="CA1204" s="1136"/>
      <c r="CB1204" s="1136"/>
      <c r="CC1204" s="1136"/>
      <c r="CD1204" s="1136"/>
      <c r="CE1204" s="1136"/>
      <c r="CF1204" s="1136"/>
      <c r="CG1204" s="1136"/>
      <c r="CH1204" s="1136"/>
      <c r="CI1204" s="1136"/>
      <c r="CJ1204" s="1136"/>
      <c r="CK1204" s="1136"/>
      <c r="CL1204" s="1136"/>
      <c r="CM1204" s="1136"/>
      <c r="CN1204" s="1136"/>
      <c r="CO1204" s="1136"/>
      <c r="CP1204" s="1136"/>
      <c r="CQ1204" s="1136"/>
      <c r="CR1204" s="1136"/>
      <c r="CS1204" s="1136"/>
      <c r="CT1204" s="1136"/>
      <c r="CU1204" s="1136"/>
      <c r="CV1204" s="1136"/>
      <c r="CW1204" s="1136"/>
      <c r="CX1204" s="1136"/>
      <c r="CY1204" s="1136"/>
      <c r="CZ1204" s="1136"/>
      <c r="DA1204" s="1136"/>
      <c r="DB1204" s="1136"/>
      <c r="DC1204" s="1136"/>
      <c r="DD1204" s="1136"/>
      <c r="DE1204" s="1136"/>
      <c r="DF1204" s="1136"/>
      <c r="DG1204" s="1136"/>
      <c r="DH1204" s="1136"/>
      <c r="DI1204" s="1136"/>
    </row>
    <row r="1205" spans="1:113" ht="15.75" x14ac:dyDescent="0.25">
      <c r="A1205" s="1430" t="s">
        <v>475</v>
      </c>
      <c r="B1205" s="1439" t="e">
        <f>(B1202+B1203)*B1204*B1200/100</f>
        <v>#DIV/0!</v>
      </c>
      <c r="C1205" s="1562"/>
      <c r="D1205" s="1531"/>
      <c r="E1205" s="1531"/>
      <c r="F1205" s="1531"/>
      <c r="G1205" s="1531"/>
      <c r="H1205" s="1531"/>
      <c r="I1205" s="1531"/>
      <c r="J1205" s="1531"/>
      <c r="K1205" s="1531"/>
      <c r="L1205" s="1531"/>
      <c r="M1205" s="1531"/>
      <c r="N1205" s="1531"/>
      <c r="O1205" s="1531"/>
      <c r="P1205" s="1531"/>
      <c r="Q1205" s="1531"/>
      <c r="R1205" s="1531"/>
      <c r="S1205" s="1531"/>
      <c r="T1205" s="1531"/>
      <c r="U1205" s="1531"/>
      <c r="V1205" s="1531"/>
      <c r="W1205" s="1531"/>
      <c r="X1205" s="1531"/>
      <c r="Y1205" s="1531"/>
      <c r="Z1205" s="1531"/>
      <c r="AA1205" s="1531"/>
      <c r="AB1205" s="1531"/>
      <c r="AC1205" s="1531"/>
      <c r="AD1205" s="1531"/>
      <c r="AE1205" s="1531"/>
      <c r="AF1205" s="1531"/>
      <c r="AG1205" s="1531"/>
      <c r="AH1205" s="1531"/>
      <c r="AI1205" s="1531"/>
      <c r="AJ1205" s="1531"/>
      <c r="AK1205" s="1531"/>
      <c r="AL1205" s="1531"/>
      <c r="AM1205" s="1531"/>
      <c r="AN1205" s="1531"/>
      <c r="AO1205" s="1531"/>
      <c r="AP1205" s="1531"/>
      <c r="AQ1205" s="1531"/>
      <c r="AR1205" s="1531"/>
      <c r="AS1205" s="1531"/>
      <c r="AT1205" s="1136"/>
      <c r="AU1205" s="1136"/>
      <c r="AV1205" s="1136"/>
      <c r="AW1205" s="1136"/>
      <c r="AX1205" s="1136"/>
      <c r="AY1205" s="1136"/>
      <c r="AZ1205" s="1136"/>
      <c r="BA1205" s="1136"/>
      <c r="BB1205" s="1136"/>
      <c r="BC1205" s="1136"/>
      <c r="BD1205" s="1136"/>
      <c r="BE1205" s="1136"/>
      <c r="BF1205" s="1136"/>
      <c r="BG1205" s="1136"/>
      <c r="BH1205" s="1136"/>
      <c r="BI1205" s="1136"/>
      <c r="BJ1205" s="1136"/>
      <c r="BK1205" s="1136"/>
      <c r="BL1205" s="1136"/>
      <c r="BM1205" s="1136"/>
      <c r="BN1205" s="1136"/>
      <c r="BO1205" s="1136"/>
      <c r="BP1205" s="1136"/>
      <c r="BQ1205" s="1136"/>
      <c r="BR1205" s="1136"/>
      <c r="BS1205" s="1136"/>
      <c r="BT1205" s="1136"/>
      <c r="BU1205" s="1136"/>
      <c r="BV1205" s="1136"/>
      <c r="BW1205" s="1136"/>
      <c r="BX1205" s="1136"/>
      <c r="BY1205" s="1136"/>
      <c r="BZ1205" s="1136"/>
      <c r="CA1205" s="1136"/>
      <c r="CB1205" s="1136"/>
      <c r="CC1205" s="1136"/>
      <c r="CD1205" s="1136"/>
      <c r="CE1205" s="1136"/>
      <c r="CF1205" s="1136"/>
      <c r="CG1205" s="1136"/>
      <c r="CH1205" s="1136"/>
      <c r="CI1205" s="1136"/>
      <c r="CJ1205" s="1136"/>
      <c r="CK1205" s="1136"/>
      <c r="CL1205" s="1136"/>
      <c r="CM1205" s="1136"/>
      <c r="CN1205" s="1136"/>
      <c r="CO1205" s="1136"/>
      <c r="CP1205" s="1136"/>
      <c r="CQ1205" s="1136"/>
      <c r="CR1205" s="1136"/>
      <c r="CS1205" s="1136"/>
      <c r="CT1205" s="1136"/>
      <c r="CU1205" s="1136"/>
      <c r="CV1205" s="1136"/>
      <c r="CW1205" s="1136"/>
      <c r="CX1205" s="1136"/>
      <c r="CY1205" s="1136"/>
      <c r="CZ1205" s="1136"/>
      <c r="DA1205" s="1136"/>
      <c r="DB1205" s="1136"/>
      <c r="DC1205" s="1136"/>
      <c r="DD1205" s="1136"/>
      <c r="DE1205" s="1136"/>
      <c r="DF1205" s="1136"/>
      <c r="DG1205" s="1136"/>
      <c r="DH1205" s="1136"/>
      <c r="DI1205" s="1136"/>
    </row>
    <row r="1206" spans="1:113" ht="15.75" x14ac:dyDescent="0.25">
      <c r="A1206" s="1466" t="s">
        <v>477</v>
      </c>
      <c r="B1206" s="1453" t="e">
        <f>IF(B323=1,B1205,0)</f>
        <v>#DIV/0!</v>
      </c>
      <c r="C1206" s="1563"/>
      <c r="D1206" s="1610"/>
      <c r="E1206" s="1610"/>
      <c r="F1206" s="1610"/>
      <c r="G1206" s="1610"/>
      <c r="H1206" s="1531"/>
      <c r="I1206" s="1531"/>
      <c r="J1206" s="1531"/>
      <c r="K1206" s="1531"/>
      <c r="L1206" s="1531"/>
      <c r="M1206" s="1531"/>
      <c r="N1206" s="1531"/>
      <c r="O1206" s="1531"/>
      <c r="P1206" s="1531"/>
      <c r="Q1206" s="1531"/>
      <c r="R1206" s="1531"/>
      <c r="S1206" s="1531"/>
      <c r="T1206" s="1531"/>
      <c r="U1206" s="1531"/>
      <c r="V1206" s="1531"/>
      <c r="W1206" s="1531"/>
      <c r="X1206" s="1531"/>
      <c r="Y1206" s="1531"/>
      <c r="Z1206" s="1531"/>
      <c r="AA1206" s="1531"/>
      <c r="AB1206" s="1531"/>
      <c r="AC1206" s="1531"/>
      <c r="AD1206" s="1531"/>
      <c r="AE1206" s="1531"/>
      <c r="AF1206" s="1531"/>
      <c r="AG1206" s="1531"/>
      <c r="AH1206" s="1531"/>
      <c r="AI1206" s="1531"/>
      <c r="AJ1206" s="1531"/>
      <c r="AK1206" s="1531"/>
      <c r="AL1206" s="1531"/>
      <c r="AM1206" s="1531"/>
      <c r="AN1206" s="1531"/>
      <c r="AO1206" s="1531"/>
      <c r="AP1206" s="1531"/>
      <c r="AQ1206" s="1531"/>
      <c r="AR1206" s="1531"/>
      <c r="AS1206" s="1531"/>
      <c r="AT1206" s="1136"/>
      <c r="AU1206" s="1136"/>
      <c r="AV1206" s="1136"/>
      <c r="AW1206" s="1136"/>
      <c r="AX1206" s="1136"/>
      <c r="AY1206" s="1136"/>
      <c r="AZ1206" s="1136"/>
      <c r="BA1206" s="1136"/>
      <c r="BB1206" s="1136"/>
      <c r="BC1206" s="1136"/>
      <c r="BD1206" s="1136"/>
      <c r="BE1206" s="1136"/>
      <c r="BF1206" s="1136"/>
      <c r="BG1206" s="1136"/>
      <c r="BH1206" s="1136"/>
      <c r="BI1206" s="1136"/>
      <c r="BJ1206" s="1136"/>
      <c r="BK1206" s="1136"/>
      <c r="BL1206" s="1136"/>
      <c r="BM1206" s="1136"/>
      <c r="BN1206" s="1136"/>
      <c r="BO1206" s="1136"/>
      <c r="BP1206" s="1136"/>
      <c r="BQ1206" s="1136"/>
      <c r="BR1206" s="1136"/>
      <c r="BS1206" s="1136"/>
      <c r="BT1206" s="1136"/>
      <c r="BU1206" s="1136"/>
      <c r="BV1206" s="1136"/>
      <c r="BW1206" s="1136"/>
      <c r="BX1206" s="1136"/>
      <c r="BY1206" s="1136"/>
      <c r="BZ1206" s="1136"/>
      <c r="CA1206" s="1136"/>
      <c r="CB1206" s="1136"/>
      <c r="CC1206" s="1136"/>
      <c r="CD1206" s="1136"/>
      <c r="CE1206" s="1136"/>
      <c r="CF1206" s="1136"/>
      <c r="CG1206" s="1136"/>
      <c r="CH1206" s="1136"/>
      <c r="CI1206" s="1136"/>
      <c r="CJ1206" s="1136"/>
      <c r="CK1206" s="1136"/>
      <c r="CL1206" s="1136"/>
      <c r="CM1206" s="1136"/>
      <c r="CN1206" s="1136"/>
      <c r="CO1206" s="1136"/>
      <c r="CP1206" s="1136"/>
      <c r="CQ1206" s="1136"/>
      <c r="CR1206" s="1136"/>
      <c r="CS1206" s="1136"/>
      <c r="CT1206" s="1136"/>
      <c r="CU1206" s="1136"/>
      <c r="CV1206" s="1136"/>
      <c r="CW1206" s="1136"/>
      <c r="CX1206" s="1136"/>
      <c r="CY1206" s="1136"/>
      <c r="CZ1206" s="1136"/>
      <c r="DA1206" s="1136"/>
      <c r="DB1206" s="1136"/>
      <c r="DC1206" s="1136"/>
      <c r="DD1206" s="1136"/>
      <c r="DE1206" s="1136"/>
      <c r="DF1206" s="1136"/>
      <c r="DG1206" s="1136"/>
      <c r="DH1206" s="1136"/>
      <c r="DI1206" s="1136"/>
    </row>
    <row r="1207" spans="1:113" ht="15.75" x14ac:dyDescent="0.25">
      <c r="A1207" s="1430"/>
      <c r="B1207" s="1443"/>
      <c r="C1207" s="1521"/>
      <c r="D1207" s="1589"/>
      <c r="E1207" s="1589"/>
      <c r="F1207" s="1589"/>
      <c r="G1207" s="1589"/>
      <c r="H1207" s="1531"/>
      <c r="I1207" s="1531"/>
      <c r="J1207" s="1531"/>
      <c r="K1207" s="1531"/>
      <c r="L1207" s="1531"/>
      <c r="M1207" s="1531"/>
      <c r="N1207" s="1531"/>
      <c r="O1207" s="1531"/>
      <c r="P1207" s="1531"/>
      <c r="Q1207" s="1531"/>
      <c r="R1207" s="1531"/>
      <c r="S1207" s="1531"/>
      <c r="T1207" s="1531"/>
      <c r="U1207" s="1531"/>
      <c r="V1207" s="1531"/>
      <c r="W1207" s="1531"/>
      <c r="X1207" s="1531"/>
      <c r="Y1207" s="1531"/>
      <c r="Z1207" s="1531"/>
      <c r="AA1207" s="1531"/>
      <c r="AB1207" s="1531"/>
      <c r="AC1207" s="1531"/>
      <c r="AD1207" s="1531"/>
      <c r="AE1207" s="1531"/>
      <c r="AF1207" s="1531"/>
      <c r="AG1207" s="1531"/>
      <c r="AH1207" s="1531"/>
      <c r="AI1207" s="1531"/>
      <c r="AJ1207" s="1531"/>
      <c r="AK1207" s="1531"/>
      <c r="AL1207" s="1531"/>
      <c r="AM1207" s="1531"/>
      <c r="AN1207" s="1531"/>
      <c r="AO1207" s="1531"/>
      <c r="AP1207" s="1531"/>
      <c r="AQ1207" s="1531"/>
      <c r="AR1207" s="1531"/>
      <c r="AS1207" s="1531"/>
      <c r="AT1207" s="1136"/>
      <c r="AU1207" s="1136"/>
      <c r="AV1207" s="1136"/>
      <c r="AW1207" s="1136"/>
      <c r="AX1207" s="1136"/>
      <c r="AY1207" s="1136"/>
      <c r="AZ1207" s="1136"/>
      <c r="BA1207" s="1136"/>
      <c r="BB1207" s="1136"/>
      <c r="BC1207" s="1136"/>
      <c r="BD1207" s="1136"/>
      <c r="BE1207" s="1136"/>
      <c r="BF1207" s="1136"/>
      <c r="BG1207" s="1136"/>
      <c r="BH1207" s="1136"/>
      <c r="BI1207" s="1136"/>
      <c r="BJ1207" s="1136"/>
      <c r="BK1207" s="1136"/>
      <c r="BL1207" s="1136"/>
      <c r="BM1207" s="1136"/>
      <c r="BN1207" s="1136"/>
      <c r="BO1207" s="1136"/>
      <c r="BP1207" s="1136"/>
      <c r="BQ1207" s="1136"/>
      <c r="BR1207" s="1136"/>
      <c r="BS1207" s="1136"/>
      <c r="BT1207" s="1136"/>
      <c r="BU1207" s="1136"/>
      <c r="BV1207" s="1136"/>
      <c r="BW1207" s="1136"/>
      <c r="BX1207" s="1136"/>
      <c r="BY1207" s="1136"/>
      <c r="BZ1207" s="1136"/>
      <c r="CA1207" s="1136"/>
      <c r="CB1207" s="1136"/>
      <c r="CC1207" s="1136"/>
      <c r="CD1207" s="1136"/>
      <c r="CE1207" s="1136"/>
      <c r="CF1207" s="1136"/>
      <c r="CG1207" s="1136"/>
      <c r="CH1207" s="1136"/>
      <c r="CI1207" s="1136"/>
      <c r="CJ1207" s="1136"/>
      <c r="CK1207" s="1136"/>
      <c r="CL1207" s="1136"/>
      <c r="CM1207" s="1136"/>
      <c r="CN1207" s="1136"/>
      <c r="CO1207" s="1136"/>
      <c r="CP1207" s="1136"/>
      <c r="CQ1207" s="1136"/>
      <c r="CR1207" s="1136"/>
      <c r="CS1207" s="1136"/>
      <c r="CT1207" s="1136"/>
      <c r="CU1207" s="1136"/>
      <c r="CV1207" s="1136"/>
      <c r="CW1207" s="1136"/>
      <c r="CX1207" s="1136"/>
      <c r="CY1207" s="1136"/>
      <c r="CZ1207" s="1136"/>
      <c r="DA1207" s="1136"/>
      <c r="DB1207" s="1136"/>
      <c r="DC1207" s="1136"/>
      <c r="DD1207" s="1136"/>
      <c r="DE1207" s="1136"/>
      <c r="DF1207" s="1136"/>
      <c r="DG1207" s="1136"/>
      <c r="DH1207" s="1136"/>
      <c r="DI1207" s="1136"/>
    </row>
    <row r="1208" spans="1:113" ht="15.75" x14ac:dyDescent="0.25">
      <c r="A1208" s="1580" t="s">
        <v>478</v>
      </c>
      <c r="B1208" s="1443"/>
      <c r="C1208" s="1521"/>
      <c r="D1208" s="1531"/>
      <c r="E1208" s="1531"/>
      <c r="F1208" s="1531"/>
      <c r="G1208" s="1531"/>
      <c r="H1208" s="1531"/>
      <c r="I1208" s="1531"/>
      <c r="J1208" s="1531"/>
      <c r="K1208" s="1531"/>
      <c r="L1208" s="1531"/>
      <c r="M1208" s="1531"/>
      <c r="N1208" s="1531"/>
      <c r="O1208" s="1531"/>
      <c r="P1208" s="1531"/>
      <c r="Q1208" s="1531"/>
      <c r="R1208" s="1531"/>
      <c r="S1208" s="1531"/>
      <c r="T1208" s="1531"/>
      <c r="U1208" s="1531"/>
      <c r="V1208" s="1531"/>
      <c r="W1208" s="1531"/>
      <c r="X1208" s="1531"/>
      <c r="Y1208" s="1531"/>
      <c r="Z1208" s="1531"/>
      <c r="AA1208" s="1531"/>
      <c r="AB1208" s="1531"/>
      <c r="AC1208" s="1531"/>
      <c r="AD1208" s="1531"/>
      <c r="AE1208" s="1531"/>
      <c r="AF1208" s="1531"/>
      <c r="AG1208" s="1531"/>
      <c r="AH1208" s="1531"/>
      <c r="AI1208" s="1531"/>
      <c r="AJ1208" s="1531"/>
      <c r="AK1208" s="1531"/>
      <c r="AL1208" s="1531"/>
      <c r="AM1208" s="1531"/>
      <c r="AN1208" s="1531"/>
      <c r="AO1208" s="1531"/>
      <c r="AP1208" s="1531"/>
      <c r="AQ1208" s="1531"/>
      <c r="AR1208" s="1531"/>
      <c r="AS1208" s="1531"/>
      <c r="AT1208" s="1136"/>
      <c r="AU1208" s="1136"/>
      <c r="AV1208" s="1136"/>
      <c r="AW1208" s="1136"/>
      <c r="AX1208" s="1136"/>
      <c r="AY1208" s="1136"/>
      <c r="AZ1208" s="1136"/>
      <c r="BA1208" s="1136"/>
      <c r="BB1208" s="1136"/>
      <c r="BC1208" s="1136"/>
      <c r="BD1208" s="1136"/>
      <c r="BE1208" s="1136"/>
      <c r="BF1208" s="1136"/>
      <c r="BG1208" s="1136"/>
      <c r="BH1208" s="1136"/>
      <c r="BI1208" s="1136"/>
      <c r="BJ1208" s="1136"/>
      <c r="BK1208" s="1136"/>
      <c r="BL1208" s="1136"/>
      <c r="BM1208" s="1136"/>
      <c r="BN1208" s="1136"/>
      <c r="BO1208" s="1136"/>
      <c r="BP1208" s="1136"/>
      <c r="BQ1208" s="1136"/>
      <c r="BR1208" s="1136"/>
      <c r="BS1208" s="1136"/>
      <c r="BT1208" s="1136"/>
      <c r="BU1208" s="1136"/>
      <c r="BV1208" s="1136"/>
      <c r="BW1208" s="1136"/>
      <c r="BX1208" s="1136"/>
      <c r="BY1208" s="1136"/>
      <c r="BZ1208" s="1136"/>
      <c r="CA1208" s="1136"/>
      <c r="CB1208" s="1136"/>
      <c r="CC1208" s="1136"/>
      <c r="CD1208" s="1136"/>
      <c r="CE1208" s="1136"/>
      <c r="CF1208" s="1136"/>
      <c r="CG1208" s="1136"/>
      <c r="CH1208" s="1136"/>
      <c r="CI1208" s="1136"/>
      <c r="CJ1208" s="1136"/>
      <c r="CK1208" s="1136"/>
      <c r="CL1208" s="1136"/>
      <c r="CM1208" s="1136"/>
      <c r="CN1208" s="1136"/>
      <c r="CO1208" s="1136"/>
      <c r="CP1208" s="1136"/>
      <c r="CQ1208" s="1136"/>
      <c r="CR1208" s="1136"/>
      <c r="CS1208" s="1136"/>
      <c r="CT1208" s="1136"/>
      <c r="CU1208" s="1136"/>
      <c r="CV1208" s="1136"/>
      <c r="CW1208" s="1136"/>
      <c r="CX1208" s="1136"/>
      <c r="CY1208" s="1136"/>
      <c r="CZ1208" s="1136"/>
      <c r="DA1208" s="1136"/>
      <c r="DB1208" s="1136"/>
      <c r="DC1208" s="1136"/>
      <c r="DD1208" s="1136"/>
      <c r="DE1208" s="1136"/>
      <c r="DF1208" s="1136"/>
      <c r="DG1208" s="1136"/>
      <c r="DH1208" s="1136"/>
      <c r="DI1208" s="1136"/>
    </row>
    <row r="1209" spans="1:113" ht="15.75" x14ac:dyDescent="0.25">
      <c r="A1209" s="1430" t="s">
        <v>479</v>
      </c>
      <c r="B1209" s="1433">
        <f>B780</f>
        <v>3</v>
      </c>
      <c r="C1209" s="1569"/>
      <c r="D1209" s="1523"/>
      <c r="E1209" s="1523"/>
      <c r="F1209" s="1523"/>
      <c r="G1209" s="1523"/>
      <c r="H1209" s="1531"/>
      <c r="I1209" s="1531"/>
      <c r="J1209" s="1531"/>
      <c r="K1209" s="1531"/>
      <c r="L1209" s="1531"/>
      <c r="M1209" s="1531"/>
      <c r="N1209" s="1531"/>
      <c r="O1209" s="1531"/>
      <c r="P1209" s="1531"/>
      <c r="Q1209" s="1531"/>
      <c r="R1209" s="1531"/>
      <c r="S1209" s="1531"/>
      <c r="T1209" s="1531"/>
      <c r="U1209" s="1531"/>
      <c r="V1209" s="1531"/>
      <c r="W1209" s="1531"/>
      <c r="X1209" s="1531"/>
      <c r="Y1209" s="1531"/>
      <c r="Z1209" s="1531"/>
      <c r="AA1209" s="1531"/>
      <c r="AB1209" s="1531"/>
      <c r="AC1209" s="1531"/>
      <c r="AD1209" s="1531"/>
      <c r="AE1209" s="1531"/>
      <c r="AF1209" s="1531"/>
      <c r="AG1209" s="1531"/>
      <c r="AH1209" s="1531"/>
      <c r="AI1209" s="1531"/>
      <c r="AJ1209" s="1531"/>
      <c r="AK1209" s="1531"/>
      <c r="AL1209" s="1531"/>
      <c r="AM1209" s="1531"/>
      <c r="AN1209" s="1531"/>
      <c r="AO1209" s="1531"/>
      <c r="AP1209" s="1531"/>
      <c r="AQ1209" s="1531"/>
      <c r="AR1209" s="1531"/>
      <c r="AS1209" s="1531"/>
      <c r="AT1209" s="1136"/>
      <c r="AU1209" s="1136"/>
      <c r="AV1209" s="1136"/>
      <c r="AW1209" s="1136"/>
      <c r="AX1209" s="1136"/>
      <c r="AY1209" s="1136"/>
      <c r="AZ1209" s="1136"/>
      <c r="BA1209" s="1136"/>
      <c r="BB1209" s="1136"/>
      <c r="BC1209" s="1136"/>
      <c r="BD1209" s="1136"/>
      <c r="BE1209" s="1136"/>
      <c r="BF1209" s="1136"/>
      <c r="BG1209" s="1136"/>
      <c r="BH1209" s="1136"/>
      <c r="BI1209" s="1136"/>
      <c r="BJ1209" s="1136"/>
      <c r="BK1209" s="1136"/>
      <c r="BL1209" s="1136"/>
      <c r="BM1209" s="1136"/>
      <c r="BN1209" s="1136"/>
      <c r="BO1209" s="1136"/>
      <c r="BP1209" s="1136"/>
      <c r="BQ1209" s="1136"/>
      <c r="BR1209" s="1136"/>
      <c r="BS1209" s="1136"/>
      <c r="BT1209" s="1136"/>
      <c r="BU1209" s="1136"/>
      <c r="BV1209" s="1136"/>
      <c r="BW1209" s="1136"/>
      <c r="BX1209" s="1136"/>
      <c r="BY1209" s="1136"/>
      <c r="BZ1209" s="1136"/>
      <c r="CA1209" s="1136"/>
      <c r="CB1209" s="1136"/>
      <c r="CC1209" s="1136"/>
      <c r="CD1209" s="1136"/>
      <c r="CE1209" s="1136"/>
      <c r="CF1209" s="1136"/>
      <c r="CG1209" s="1136"/>
      <c r="CH1209" s="1136"/>
      <c r="CI1209" s="1136"/>
      <c r="CJ1209" s="1136"/>
      <c r="CK1209" s="1136"/>
      <c r="CL1209" s="1136"/>
      <c r="CM1209" s="1136"/>
      <c r="CN1209" s="1136"/>
      <c r="CO1209" s="1136"/>
      <c r="CP1209" s="1136"/>
      <c r="CQ1209" s="1136"/>
      <c r="CR1209" s="1136"/>
      <c r="CS1209" s="1136"/>
      <c r="CT1209" s="1136"/>
      <c r="CU1209" s="1136"/>
      <c r="CV1209" s="1136"/>
      <c r="CW1209" s="1136"/>
      <c r="CX1209" s="1136"/>
      <c r="CY1209" s="1136"/>
      <c r="CZ1209" s="1136"/>
      <c r="DA1209" s="1136"/>
      <c r="DB1209" s="1136"/>
      <c r="DC1209" s="1136"/>
      <c r="DD1209" s="1136"/>
      <c r="DE1209" s="1136"/>
      <c r="DF1209" s="1136"/>
      <c r="DG1209" s="1136"/>
      <c r="DH1209" s="1136"/>
      <c r="DI1209" s="1136"/>
    </row>
    <row r="1210" spans="1:113" ht="15.75" x14ac:dyDescent="0.25">
      <c r="A1210" s="1430" t="s">
        <v>3394</v>
      </c>
      <c r="B1210" s="1433">
        <f>B781</f>
        <v>1</v>
      </c>
      <c r="C1210" s="1569"/>
      <c r="D1210" s="1523"/>
      <c r="E1210" s="1523"/>
      <c r="F1210" s="1523"/>
      <c r="G1210" s="1523"/>
      <c r="H1210" s="1531"/>
      <c r="I1210" s="1531"/>
      <c r="J1210" s="1531"/>
      <c r="K1210" s="1531"/>
      <c r="L1210" s="1531"/>
      <c r="M1210" s="1531"/>
      <c r="N1210" s="1531"/>
      <c r="O1210" s="1531"/>
      <c r="P1210" s="1531"/>
      <c r="Q1210" s="1531"/>
      <c r="R1210" s="1531"/>
      <c r="S1210" s="1531"/>
      <c r="T1210" s="1531"/>
      <c r="U1210" s="1531"/>
      <c r="V1210" s="1531"/>
      <c r="W1210" s="1531"/>
      <c r="X1210" s="1531"/>
      <c r="Y1210" s="1531"/>
      <c r="Z1210" s="1531"/>
      <c r="AA1210" s="1531"/>
      <c r="AB1210" s="1531"/>
      <c r="AC1210" s="1531"/>
      <c r="AD1210" s="1531"/>
      <c r="AE1210" s="1531"/>
      <c r="AF1210" s="1531"/>
      <c r="AG1210" s="1531"/>
      <c r="AH1210" s="1531"/>
      <c r="AI1210" s="1531"/>
      <c r="AJ1210" s="1531"/>
      <c r="AK1210" s="1531"/>
      <c r="AL1210" s="1531"/>
      <c r="AM1210" s="1531"/>
      <c r="AN1210" s="1531"/>
      <c r="AO1210" s="1531"/>
      <c r="AP1210" s="1531"/>
      <c r="AQ1210" s="1531"/>
      <c r="AR1210" s="1531"/>
      <c r="AS1210" s="1531"/>
      <c r="AT1210" s="1136"/>
      <c r="AU1210" s="1136"/>
      <c r="AV1210" s="1136"/>
      <c r="AW1210" s="1136"/>
      <c r="AX1210" s="1136"/>
      <c r="AY1210" s="1136"/>
      <c r="AZ1210" s="1136"/>
      <c r="BA1210" s="1136"/>
      <c r="BB1210" s="1136"/>
      <c r="BC1210" s="1136"/>
      <c r="BD1210" s="1136"/>
      <c r="BE1210" s="1136"/>
      <c r="BF1210" s="1136"/>
      <c r="BG1210" s="1136"/>
      <c r="BH1210" s="1136"/>
      <c r="BI1210" s="1136"/>
      <c r="BJ1210" s="1136"/>
      <c r="BK1210" s="1136"/>
      <c r="BL1210" s="1136"/>
      <c r="BM1210" s="1136"/>
      <c r="BN1210" s="1136"/>
      <c r="BO1210" s="1136"/>
      <c r="BP1210" s="1136"/>
      <c r="BQ1210" s="1136"/>
      <c r="BR1210" s="1136"/>
      <c r="BS1210" s="1136"/>
      <c r="BT1210" s="1136"/>
      <c r="BU1210" s="1136"/>
      <c r="BV1210" s="1136"/>
      <c r="BW1210" s="1136"/>
      <c r="BX1210" s="1136"/>
      <c r="BY1210" s="1136"/>
      <c r="BZ1210" s="1136"/>
      <c r="CA1210" s="1136"/>
      <c r="CB1210" s="1136"/>
      <c r="CC1210" s="1136"/>
      <c r="CD1210" s="1136"/>
      <c r="CE1210" s="1136"/>
      <c r="CF1210" s="1136"/>
      <c r="CG1210" s="1136"/>
      <c r="CH1210" s="1136"/>
      <c r="CI1210" s="1136"/>
      <c r="CJ1210" s="1136"/>
      <c r="CK1210" s="1136"/>
      <c r="CL1210" s="1136"/>
      <c r="CM1210" s="1136"/>
      <c r="CN1210" s="1136"/>
      <c r="CO1210" s="1136"/>
      <c r="CP1210" s="1136"/>
      <c r="CQ1210" s="1136"/>
      <c r="CR1210" s="1136"/>
      <c r="CS1210" s="1136"/>
      <c r="CT1210" s="1136"/>
      <c r="CU1210" s="1136"/>
      <c r="CV1210" s="1136"/>
      <c r="CW1210" s="1136"/>
      <c r="CX1210" s="1136"/>
      <c r="CY1210" s="1136"/>
      <c r="CZ1210" s="1136"/>
      <c r="DA1210" s="1136"/>
      <c r="DB1210" s="1136"/>
      <c r="DC1210" s="1136"/>
      <c r="DD1210" s="1136"/>
      <c r="DE1210" s="1136"/>
      <c r="DF1210" s="1136"/>
      <c r="DG1210" s="1136"/>
      <c r="DH1210" s="1136"/>
      <c r="DI1210" s="1136"/>
    </row>
    <row r="1211" spans="1:113" ht="15.75" x14ac:dyDescent="0.25">
      <c r="A1211" s="1430" t="s">
        <v>3395</v>
      </c>
      <c r="B1211" s="1443" t="e">
        <f>B286*B291*B289*B957*B1210/B1209</f>
        <v>#VALUE!</v>
      </c>
      <c r="C1211" s="1521"/>
      <c r="D1211" s="1609"/>
      <c r="E1211" s="1609"/>
      <c r="F1211" s="1609"/>
      <c r="G1211" s="1609"/>
      <c r="H1211" s="1531"/>
      <c r="I1211" s="1531"/>
      <c r="J1211" s="1531"/>
      <c r="K1211" s="1531"/>
      <c r="L1211" s="1531"/>
      <c r="M1211" s="1531"/>
      <c r="N1211" s="1531"/>
      <c r="O1211" s="1531"/>
      <c r="P1211" s="1531"/>
      <c r="Q1211" s="1531"/>
      <c r="R1211" s="1531"/>
      <c r="S1211" s="1531"/>
      <c r="T1211" s="1531"/>
      <c r="U1211" s="1531"/>
      <c r="V1211" s="1531"/>
      <c r="W1211" s="1531"/>
      <c r="X1211" s="1531"/>
      <c r="Y1211" s="1531"/>
      <c r="Z1211" s="1531"/>
      <c r="AA1211" s="1531"/>
      <c r="AB1211" s="1531"/>
      <c r="AC1211" s="1531"/>
      <c r="AD1211" s="1531"/>
      <c r="AE1211" s="1531"/>
      <c r="AF1211" s="1531"/>
      <c r="AG1211" s="1531"/>
      <c r="AH1211" s="1531"/>
      <c r="AI1211" s="1531"/>
      <c r="AJ1211" s="1531"/>
      <c r="AK1211" s="1531"/>
      <c r="AL1211" s="1531"/>
      <c r="AM1211" s="1531"/>
      <c r="AN1211" s="1531"/>
      <c r="AO1211" s="1531"/>
      <c r="AP1211" s="1531"/>
      <c r="AQ1211" s="1531"/>
      <c r="AR1211" s="1531"/>
      <c r="AS1211" s="1531"/>
      <c r="AT1211" s="1136"/>
      <c r="AU1211" s="1136"/>
      <c r="AV1211" s="1136"/>
      <c r="AW1211" s="1136"/>
      <c r="AX1211" s="1136"/>
      <c r="AY1211" s="1136"/>
      <c r="AZ1211" s="1136"/>
      <c r="BA1211" s="1136"/>
      <c r="BB1211" s="1136"/>
      <c r="BC1211" s="1136"/>
      <c r="BD1211" s="1136"/>
      <c r="BE1211" s="1136"/>
      <c r="BF1211" s="1136"/>
      <c r="BG1211" s="1136"/>
      <c r="BH1211" s="1136"/>
      <c r="BI1211" s="1136"/>
      <c r="BJ1211" s="1136"/>
      <c r="BK1211" s="1136"/>
      <c r="BL1211" s="1136"/>
      <c r="BM1211" s="1136"/>
      <c r="BN1211" s="1136"/>
      <c r="BO1211" s="1136"/>
      <c r="BP1211" s="1136"/>
      <c r="BQ1211" s="1136"/>
      <c r="BR1211" s="1136"/>
      <c r="BS1211" s="1136"/>
      <c r="BT1211" s="1136"/>
      <c r="BU1211" s="1136"/>
      <c r="BV1211" s="1136"/>
      <c r="BW1211" s="1136"/>
      <c r="BX1211" s="1136"/>
      <c r="BY1211" s="1136"/>
      <c r="BZ1211" s="1136"/>
      <c r="CA1211" s="1136"/>
      <c r="CB1211" s="1136"/>
      <c r="CC1211" s="1136"/>
      <c r="CD1211" s="1136"/>
      <c r="CE1211" s="1136"/>
      <c r="CF1211" s="1136"/>
      <c r="CG1211" s="1136"/>
      <c r="CH1211" s="1136"/>
      <c r="CI1211" s="1136"/>
      <c r="CJ1211" s="1136"/>
      <c r="CK1211" s="1136"/>
      <c r="CL1211" s="1136"/>
      <c r="CM1211" s="1136"/>
      <c r="CN1211" s="1136"/>
      <c r="CO1211" s="1136"/>
      <c r="CP1211" s="1136"/>
      <c r="CQ1211" s="1136"/>
      <c r="CR1211" s="1136"/>
      <c r="CS1211" s="1136"/>
      <c r="CT1211" s="1136"/>
      <c r="CU1211" s="1136"/>
      <c r="CV1211" s="1136"/>
      <c r="CW1211" s="1136"/>
      <c r="CX1211" s="1136"/>
      <c r="CY1211" s="1136"/>
      <c r="CZ1211" s="1136"/>
      <c r="DA1211" s="1136"/>
      <c r="DB1211" s="1136"/>
      <c r="DC1211" s="1136"/>
      <c r="DD1211" s="1136"/>
      <c r="DE1211" s="1136"/>
      <c r="DF1211" s="1136"/>
      <c r="DG1211" s="1136"/>
      <c r="DH1211" s="1136"/>
      <c r="DI1211" s="1136"/>
    </row>
    <row r="1212" spans="1:113" ht="15.75" x14ac:dyDescent="0.25">
      <c r="A1212" s="1430" t="s">
        <v>3396</v>
      </c>
      <c r="B1212" s="1433">
        <f>B783</f>
        <v>9</v>
      </c>
      <c r="C1212" s="1569"/>
      <c r="D1212" s="1562"/>
      <c r="E1212" s="1562"/>
      <c r="F1212" s="1562"/>
      <c r="G1212" s="1562"/>
      <c r="H1212" s="1531"/>
      <c r="I1212" s="1531"/>
      <c r="J1212" s="1531"/>
      <c r="K1212" s="1531"/>
      <c r="L1212" s="1531"/>
      <c r="M1212" s="1531"/>
      <c r="N1212" s="1531"/>
      <c r="O1212" s="1531"/>
      <c r="P1212" s="1531"/>
      <c r="Q1212" s="1531"/>
      <c r="R1212" s="1531"/>
      <c r="S1212" s="1531"/>
      <c r="T1212" s="1531"/>
      <c r="U1212" s="1531"/>
      <c r="V1212" s="1531"/>
      <c r="W1212" s="1531"/>
      <c r="X1212" s="1531"/>
      <c r="Y1212" s="1531"/>
      <c r="Z1212" s="1531"/>
      <c r="AA1212" s="1531"/>
      <c r="AB1212" s="1531"/>
      <c r="AC1212" s="1531"/>
      <c r="AD1212" s="1531"/>
      <c r="AE1212" s="1531"/>
      <c r="AF1212" s="1531"/>
      <c r="AG1212" s="1531"/>
      <c r="AH1212" s="1531"/>
      <c r="AI1212" s="1531"/>
      <c r="AJ1212" s="1531"/>
      <c r="AK1212" s="1531"/>
      <c r="AL1212" s="1531"/>
      <c r="AM1212" s="1531"/>
      <c r="AN1212" s="1531"/>
      <c r="AO1212" s="1531"/>
      <c r="AP1212" s="1531"/>
      <c r="AQ1212" s="1531"/>
      <c r="AR1212" s="1531"/>
      <c r="AS1212" s="1531"/>
      <c r="AT1212" s="1136"/>
      <c r="AU1212" s="1136"/>
      <c r="AV1212" s="1136"/>
      <c r="AW1212" s="1136"/>
      <c r="AX1212" s="1136"/>
      <c r="AY1212" s="1136"/>
      <c r="AZ1212" s="1136"/>
      <c r="BA1212" s="1136"/>
      <c r="BB1212" s="1136"/>
      <c r="BC1212" s="1136"/>
      <c r="BD1212" s="1136"/>
      <c r="BE1212" s="1136"/>
      <c r="BF1212" s="1136"/>
      <c r="BG1212" s="1136"/>
      <c r="BH1212" s="1136"/>
      <c r="BI1212" s="1136"/>
      <c r="BJ1212" s="1136"/>
      <c r="BK1212" s="1136"/>
      <c r="BL1212" s="1136"/>
      <c r="BM1212" s="1136"/>
      <c r="BN1212" s="1136"/>
      <c r="BO1212" s="1136"/>
      <c r="BP1212" s="1136"/>
      <c r="BQ1212" s="1136"/>
      <c r="BR1212" s="1136"/>
      <c r="BS1212" s="1136"/>
      <c r="BT1212" s="1136"/>
      <c r="BU1212" s="1136"/>
      <c r="BV1212" s="1136"/>
      <c r="BW1212" s="1136"/>
      <c r="BX1212" s="1136"/>
      <c r="BY1212" s="1136"/>
      <c r="BZ1212" s="1136"/>
      <c r="CA1212" s="1136"/>
      <c r="CB1212" s="1136"/>
      <c r="CC1212" s="1136"/>
      <c r="CD1212" s="1136"/>
      <c r="CE1212" s="1136"/>
      <c r="CF1212" s="1136"/>
      <c r="CG1212" s="1136"/>
      <c r="CH1212" s="1136"/>
      <c r="CI1212" s="1136"/>
      <c r="CJ1212" s="1136"/>
      <c r="CK1212" s="1136"/>
      <c r="CL1212" s="1136"/>
      <c r="CM1212" s="1136"/>
      <c r="CN1212" s="1136"/>
      <c r="CO1212" s="1136"/>
      <c r="CP1212" s="1136"/>
      <c r="CQ1212" s="1136"/>
      <c r="CR1212" s="1136"/>
      <c r="CS1212" s="1136"/>
      <c r="CT1212" s="1136"/>
      <c r="CU1212" s="1136"/>
      <c r="CV1212" s="1136"/>
      <c r="CW1212" s="1136"/>
      <c r="CX1212" s="1136"/>
      <c r="CY1212" s="1136"/>
      <c r="CZ1212" s="1136"/>
      <c r="DA1212" s="1136"/>
      <c r="DB1212" s="1136"/>
      <c r="DC1212" s="1136"/>
      <c r="DD1212" s="1136"/>
      <c r="DE1212" s="1136"/>
      <c r="DF1212" s="1136"/>
      <c r="DG1212" s="1136"/>
      <c r="DH1212" s="1136"/>
      <c r="DI1212" s="1136"/>
    </row>
    <row r="1213" spans="1:113" ht="15.75" x14ac:dyDescent="0.25">
      <c r="A1213" s="1430" t="s">
        <v>3397</v>
      </c>
      <c r="B1213" s="1433" t="e">
        <f>B1211*B1212</f>
        <v>#VALUE!</v>
      </c>
      <c r="C1213" s="1569"/>
      <c r="D1213" s="1563"/>
      <c r="E1213" s="1563"/>
      <c r="F1213" s="1563"/>
      <c r="G1213" s="1563"/>
      <c r="H1213" s="1531"/>
      <c r="I1213" s="1531"/>
      <c r="J1213" s="1531"/>
      <c r="K1213" s="1531"/>
      <c r="L1213" s="1531"/>
      <c r="M1213" s="1531"/>
      <c r="N1213" s="1531"/>
      <c r="O1213" s="1531"/>
      <c r="P1213" s="1531"/>
      <c r="Q1213" s="1531"/>
      <c r="R1213" s="1531"/>
      <c r="S1213" s="1531"/>
      <c r="T1213" s="1531"/>
      <c r="U1213" s="1531"/>
      <c r="V1213" s="1531"/>
      <c r="W1213" s="1531"/>
      <c r="X1213" s="1531"/>
      <c r="Y1213" s="1531"/>
      <c r="Z1213" s="1531"/>
      <c r="AA1213" s="1531"/>
      <c r="AB1213" s="1531"/>
      <c r="AC1213" s="1531"/>
      <c r="AD1213" s="1531"/>
      <c r="AE1213" s="1531"/>
      <c r="AF1213" s="1531"/>
      <c r="AG1213" s="1531"/>
      <c r="AH1213" s="1531"/>
      <c r="AI1213" s="1531"/>
      <c r="AJ1213" s="1531"/>
      <c r="AK1213" s="1531"/>
      <c r="AL1213" s="1531"/>
      <c r="AM1213" s="1531"/>
      <c r="AN1213" s="1531"/>
      <c r="AO1213" s="1531"/>
      <c r="AP1213" s="1531"/>
      <c r="AQ1213" s="1531"/>
      <c r="AR1213" s="1531"/>
      <c r="AS1213" s="1531"/>
      <c r="AT1213" s="1136"/>
      <c r="AU1213" s="1136"/>
      <c r="AV1213" s="1136"/>
      <c r="AW1213" s="1136"/>
      <c r="AX1213" s="1136"/>
      <c r="AY1213" s="1136"/>
      <c r="AZ1213" s="1136"/>
      <c r="BA1213" s="1136"/>
      <c r="BB1213" s="1136"/>
      <c r="BC1213" s="1136"/>
      <c r="BD1213" s="1136"/>
      <c r="BE1213" s="1136"/>
      <c r="BF1213" s="1136"/>
      <c r="BG1213" s="1136"/>
      <c r="BH1213" s="1136"/>
      <c r="BI1213" s="1136"/>
      <c r="BJ1213" s="1136"/>
      <c r="BK1213" s="1136"/>
      <c r="BL1213" s="1136"/>
      <c r="BM1213" s="1136"/>
      <c r="BN1213" s="1136"/>
      <c r="BO1213" s="1136"/>
      <c r="BP1213" s="1136"/>
      <c r="BQ1213" s="1136"/>
      <c r="BR1213" s="1136"/>
      <c r="BS1213" s="1136"/>
      <c r="BT1213" s="1136"/>
      <c r="BU1213" s="1136"/>
      <c r="BV1213" s="1136"/>
      <c r="BW1213" s="1136"/>
      <c r="BX1213" s="1136"/>
      <c r="BY1213" s="1136"/>
      <c r="BZ1213" s="1136"/>
      <c r="CA1213" s="1136"/>
      <c r="CB1213" s="1136"/>
      <c r="CC1213" s="1136"/>
      <c r="CD1213" s="1136"/>
      <c r="CE1213" s="1136"/>
      <c r="CF1213" s="1136"/>
      <c r="CG1213" s="1136"/>
      <c r="CH1213" s="1136"/>
      <c r="CI1213" s="1136"/>
      <c r="CJ1213" s="1136"/>
      <c r="CK1213" s="1136"/>
      <c r="CL1213" s="1136"/>
      <c r="CM1213" s="1136"/>
      <c r="CN1213" s="1136"/>
      <c r="CO1213" s="1136"/>
      <c r="CP1213" s="1136"/>
      <c r="CQ1213" s="1136"/>
      <c r="CR1213" s="1136"/>
      <c r="CS1213" s="1136"/>
      <c r="CT1213" s="1136"/>
      <c r="CU1213" s="1136"/>
      <c r="CV1213" s="1136"/>
      <c r="CW1213" s="1136"/>
      <c r="CX1213" s="1136"/>
      <c r="CY1213" s="1136"/>
      <c r="CZ1213" s="1136"/>
      <c r="DA1213" s="1136"/>
      <c r="DB1213" s="1136"/>
      <c r="DC1213" s="1136"/>
      <c r="DD1213" s="1136"/>
      <c r="DE1213" s="1136"/>
      <c r="DF1213" s="1136"/>
      <c r="DG1213" s="1136"/>
      <c r="DH1213" s="1136"/>
      <c r="DI1213" s="1136"/>
    </row>
    <row r="1214" spans="1:113" ht="15.75" x14ac:dyDescent="0.25">
      <c r="A1214" s="1466" t="s">
        <v>3398</v>
      </c>
      <c r="B1214" s="1571">
        <f>IF(B298=2,B1213,0)</f>
        <v>0</v>
      </c>
      <c r="C1214" s="1572"/>
      <c r="D1214" s="1531"/>
      <c r="E1214" s="1531"/>
      <c r="F1214" s="1531"/>
      <c r="G1214" s="1531"/>
      <c r="H1214" s="1531"/>
      <c r="I1214" s="1531"/>
      <c r="J1214" s="1531"/>
      <c r="K1214" s="1531"/>
      <c r="L1214" s="1531"/>
      <c r="M1214" s="1531"/>
      <c r="N1214" s="1531"/>
      <c r="O1214" s="1531"/>
      <c r="P1214" s="1531"/>
      <c r="Q1214" s="1531"/>
      <c r="R1214" s="1531"/>
      <c r="S1214" s="1531"/>
      <c r="T1214" s="1531"/>
      <c r="U1214" s="1531"/>
      <c r="V1214" s="1531"/>
      <c r="W1214" s="1531"/>
      <c r="X1214" s="1531"/>
      <c r="Y1214" s="1531"/>
      <c r="Z1214" s="1531"/>
      <c r="AA1214" s="1531"/>
      <c r="AB1214" s="1531"/>
      <c r="AC1214" s="1531"/>
      <c r="AD1214" s="1531"/>
      <c r="AE1214" s="1531"/>
      <c r="AF1214" s="1531"/>
      <c r="AG1214" s="1531"/>
      <c r="AH1214" s="1531"/>
      <c r="AI1214" s="1531"/>
      <c r="AJ1214" s="1531"/>
      <c r="AK1214" s="1531"/>
      <c r="AL1214" s="1531"/>
      <c r="AM1214" s="1531"/>
      <c r="AN1214" s="1531"/>
      <c r="AO1214" s="1531"/>
      <c r="AP1214" s="1531"/>
      <c r="AQ1214" s="1531"/>
      <c r="AR1214" s="1531"/>
      <c r="AS1214" s="1531"/>
      <c r="AT1214" s="1136"/>
      <c r="AU1214" s="1136"/>
      <c r="AV1214" s="1136"/>
      <c r="AW1214" s="1136"/>
      <c r="AX1214" s="1136"/>
      <c r="AY1214" s="1136"/>
      <c r="AZ1214" s="1136"/>
      <c r="BA1214" s="1136"/>
      <c r="BB1214" s="1136"/>
      <c r="BC1214" s="1136"/>
      <c r="BD1214" s="1136"/>
      <c r="BE1214" s="1136"/>
      <c r="BF1214" s="1136"/>
      <c r="BG1214" s="1136"/>
      <c r="BH1214" s="1136"/>
      <c r="BI1214" s="1136"/>
      <c r="BJ1214" s="1136"/>
      <c r="BK1214" s="1136"/>
      <c r="BL1214" s="1136"/>
      <c r="BM1214" s="1136"/>
      <c r="BN1214" s="1136"/>
      <c r="BO1214" s="1136"/>
      <c r="BP1214" s="1136"/>
      <c r="BQ1214" s="1136"/>
      <c r="BR1214" s="1136"/>
      <c r="BS1214" s="1136"/>
      <c r="BT1214" s="1136"/>
      <c r="BU1214" s="1136"/>
      <c r="BV1214" s="1136"/>
      <c r="BW1214" s="1136"/>
      <c r="BX1214" s="1136"/>
      <c r="BY1214" s="1136"/>
      <c r="BZ1214" s="1136"/>
      <c r="CA1214" s="1136"/>
      <c r="CB1214" s="1136"/>
      <c r="CC1214" s="1136"/>
      <c r="CD1214" s="1136"/>
      <c r="CE1214" s="1136"/>
      <c r="CF1214" s="1136"/>
      <c r="CG1214" s="1136"/>
      <c r="CH1214" s="1136"/>
      <c r="CI1214" s="1136"/>
      <c r="CJ1214" s="1136"/>
      <c r="CK1214" s="1136"/>
      <c r="CL1214" s="1136"/>
      <c r="CM1214" s="1136"/>
      <c r="CN1214" s="1136"/>
      <c r="CO1214" s="1136"/>
      <c r="CP1214" s="1136"/>
      <c r="CQ1214" s="1136"/>
      <c r="CR1214" s="1136"/>
      <c r="CS1214" s="1136"/>
      <c r="CT1214" s="1136"/>
      <c r="CU1214" s="1136"/>
      <c r="CV1214" s="1136"/>
      <c r="CW1214" s="1136"/>
      <c r="CX1214" s="1136"/>
      <c r="CY1214" s="1136"/>
      <c r="CZ1214" s="1136"/>
      <c r="DA1214" s="1136"/>
      <c r="DB1214" s="1136"/>
      <c r="DC1214" s="1136"/>
      <c r="DD1214" s="1136"/>
      <c r="DE1214" s="1136"/>
      <c r="DF1214" s="1136"/>
      <c r="DG1214" s="1136"/>
      <c r="DH1214" s="1136"/>
      <c r="DI1214" s="1136"/>
    </row>
    <row r="1215" spans="1:113" ht="15.75" x14ac:dyDescent="0.25">
      <c r="A1215" s="1430"/>
      <c r="B1215" s="1433"/>
      <c r="C1215" s="1569"/>
      <c r="D1215" s="1531"/>
      <c r="E1215" s="1531"/>
      <c r="F1215" s="1531"/>
      <c r="G1215" s="1531"/>
      <c r="H1215" s="1531"/>
      <c r="I1215" s="1531"/>
      <c r="J1215" s="1531"/>
      <c r="K1215" s="1531"/>
      <c r="L1215" s="1531"/>
      <c r="M1215" s="1531"/>
      <c r="N1215" s="1531"/>
      <c r="O1215" s="1531"/>
      <c r="P1215" s="1531"/>
      <c r="Q1215" s="1531"/>
      <c r="R1215" s="1531"/>
      <c r="S1215" s="1531"/>
      <c r="T1215" s="1531"/>
      <c r="U1215" s="1531"/>
      <c r="V1215" s="1531"/>
      <c r="W1215" s="1531"/>
      <c r="X1215" s="1531"/>
      <c r="Y1215" s="1531"/>
      <c r="Z1215" s="1531"/>
      <c r="AA1215" s="1531"/>
      <c r="AB1215" s="1531"/>
      <c r="AC1215" s="1531"/>
      <c r="AD1215" s="1531"/>
      <c r="AE1215" s="1531"/>
      <c r="AF1215" s="1531"/>
      <c r="AG1215" s="1531"/>
      <c r="AH1215" s="1531"/>
      <c r="AI1215" s="1531"/>
      <c r="AJ1215" s="1531"/>
      <c r="AK1215" s="1531"/>
      <c r="AL1215" s="1531"/>
      <c r="AM1215" s="1531"/>
      <c r="AN1215" s="1531"/>
      <c r="AO1215" s="1531"/>
      <c r="AP1215" s="1531"/>
      <c r="AQ1215" s="1531"/>
      <c r="AR1215" s="1531"/>
      <c r="AS1215" s="1531"/>
      <c r="AT1215" s="1136"/>
      <c r="AU1215" s="1136"/>
      <c r="AV1215" s="1136"/>
      <c r="AW1215" s="1136"/>
      <c r="AX1215" s="1136"/>
      <c r="AY1215" s="1136"/>
      <c r="AZ1215" s="1136"/>
      <c r="BA1215" s="1136"/>
      <c r="BB1215" s="1136"/>
      <c r="BC1215" s="1136"/>
      <c r="BD1215" s="1136"/>
      <c r="BE1215" s="1136"/>
      <c r="BF1215" s="1136"/>
      <c r="BG1215" s="1136"/>
      <c r="BH1215" s="1136"/>
      <c r="BI1215" s="1136"/>
      <c r="BJ1215" s="1136"/>
      <c r="BK1215" s="1136"/>
      <c r="BL1215" s="1136"/>
      <c r="BM1215" s="1136"/>
      <c r="BN1215" s="1136"/>
      <c r="BO1215" s="1136"/>
      <c r="BP1215" s="1136"/>
      <c r="BQ1215" s="1136"/>
      <c r="BR1215" s="1136"/>
      <c r="BS1215" s="1136"/>
      <c r="BT1215" s="1136"/>
      <c r="BU1215" s="1136"/>
      <c r="BV1215" s="1136"/>
      <c r="BW1215" s="1136"/>
      <c r="BX1215" s="1136"/>
      <c r="BY1215" s="1136"/>
      <c r="BZ1215" s="1136"/>
      <c r="CA1215" s="1136"/>
      <c r="CB1215" s="1136"/>
      <c r="CC1215" s="1136"/>
      <c r="CD1215" s="1136"/>
      <c r="CE1215" s="1136"/>
      <c r="CF1215" s="1136"/>
      <c r="CG1215" s="1136"/>
      <c r="CH1215" s="1136"/>
      <c r="CI1215" s="1136"/>
      <c r="CJ1215" s="1136"/>
      <c r="CK1215" s="1136"/>
      <c r="CL1215" s="1136"/>
      <c r="CM1215" s="1136"/>
      <c r="CN1215" s="1136"/>
      <c r="CO1215" s="1136"/>
      <c r="CP1215" s="1136"/>
      <c r="CQ1215" s="1136"/>
      <c r="CR1215" s="1136"/>
      <c r="CS1215" s="1136"/>
      <c r="CT1215" s="1136"/>
      <c r="CU1215" s="1136"/>
      <c r="CV1215" s="1136"/>
      <c r="CW1215" s="1136"/>
      <c r="CX1215" s="1136"/>
      <c r="CY1215" s="1136"/>
      <c r="CZ1215" s="1136"/>
      <c r="DA1215" s="1136"/>
      <c r="DB1215" s="1136"/>
      <c r="DC1215" s="1136"/>
      <c r="DD1215" s="1136"/>
      <c r="DE1215" s="1136"/>
      <c r="DF1215" s="1136"/>
      <c r="DG1215" s="1136"/>
      <c r="DH1215" s="1136"/>
      <c r="DI1215" s="1136"/>
    </row>
    <row r="1216" spans="1:113" ht="15.75" x14ac:dyDescent="0.25">
      <c r="A1216" s="1580" t="s">
        <v>3399</v>
      </c>
      <c r="B1216" s="1433"/>
      <c r="C1216" s="1569"/>
      <c r="D1216" s="1569"/>
      <c r="E1216" s="1569"/>
      <c r="F1216" s="1569"/>
      <c r="G1216" s="1569"/>
      <c r="H1216" s="1531"/>
      <c r="I1216" s="1531"/>
      <c r="J1216" s="1531"/>
      <c r="K1216" s="1531"/>
      <c r="L1216" s="1531"/>
      <c r="M1216" s="1531"/>
      <c r="N1216" s="1531"/>
      <c r="O1216" s="1531"/>
      <c r="P1216" s="1531"/>
      <c r="Q1216" s="1531"/>
      <c r="R1216" s="1531"/>
      <c r="S1216" s="1531"/>
      <c r="T1216" s="1531"/>
      <c r="U1216" s="1531"/>
      <c r="V1216" s="1531"/>
      <c r="W1216" s="1531"/>
      <c r="X1216" s="1531"/>
      <c r="Y1216" s="1531"/>
      <c r="Z1216" s="1531"/>
      <c r="AA1216" s="1531"/>
      <c r="AB1216" s="1531"/>
      <c r="AC1216" s="1531"/>
      <c r="AD1216" s="1531"/>
      <c r="AE1216" s="1531"/>
      <c r="AF1216" s="1531"/>
      <c r="AG1216" s="1531"/>
      <c r="AH1216" s="1531"/>
      <c r="AI1216" s="1531"/>
      <c r="AJ1216" s="1531"/>
      <c r="AK1216" s="1531"/>
      <c r="AL1216" s="1531"/>
      <c r="AM1216" s="1531"/>
      <c r="AN1216" s="1531"/>
      <c r="AO1216" s="1531"/>
      <c r="AP1216" s="1531"/>
      <c r="AQ1216" s="1531"/>
      <c r="AR1216" s="1531"/>
      <c r="AS1216" s="1531"/>
      <c r="AT1216" s="1136"/>
      <c r="AU1216" s="1136"/>
      <c r="AV1216" s="1136"/>
      <c r="AW1216" s="1136"/>
      <c r="AX1216" s="1136"/>
      <c r="AY1216" s="1136"/>
      <c r="AZ1216" s="1136"/>
      <c r="BA1216" s="1136"/>
      <c r="BB1216" s="1136"/>
      <c r="BC1216" s="1136"/>
      <c r="BD1216" s="1136"/>
      <c r="BE1216" s="1136"/>
      <c r="BF1216" s="1136"/>
      <c r="BG1216" s="1136"/>
      <c r="BH1216" s="1136"/>
      <c r="BI1216" s="1136"/>
      <c r="BJ1216" s="1136"/>
      <c r="BK1216" s="1136"/>
      <c r="BL1216" s="1136"/>
      <c r="BM1216" s="1136"/>
      <c r="BN1216" s="1136"/>
      <c r="BO1216" s="1136"/>
      <c r="BP1216" s="1136"/>
      <c r="BQ1216" s="1136"/>
      <c r="BR1216" s="1136"/>
      <c r="BS1216" s="1136"/>
      <c r="BT1216" s="1136"/>
      <c r="BU1216" s="1136"/>
      <c r="BV1216" s="1136"/>
      <c r="BW1216" s="1136"/>
      <c r="BX1216" s="1136"/>
      <c r="BY1216" s="1136"/>
      <c r="BZ1216" s="1136"/>
      <c r="CA1216" s="1136"/>
      <c r="CB1216" s="1136"/>
      <c r="CC1216" s="1136"/>
      <c r="CD1216" s="1136"/>
      <c r="CE1216" s="1136"/>
      <c r="CF1216" s="1136"/>
      <c r="CG1216" s="1136"/>
      <c r="CH1216" s="1136"/>
      <c r="CI1216" s="1136"/>
      <c r="CJ1216" s="1136"/>
      <c r="CK1216" s="1136"/>
      <c r="CL1216" s="1136"/>
      <c r="CM1216" s="1136"/>
      <c r="CN1216" s="1136"/>
      <c r="CO1216" s="1136"/>
      <c r="CP1216" s="1136"/>
      <c r="CQ1216" s="1136"/>
      <c r="CR1216" s="1136"/>
      <c r="CS1216" s="1136"/>
      <c r="CT1216" s="1136"/>
      <c r="CU1216" s="1136"/>
      <c r="CV1216" s="1136"/>
      <c r="CW1216" s="1136"/>
      <c r="CX1216" s="1136"/>
      <c r="CY1216" s="1136"/>
      <c r="CZ1216" s="1136"/>
      <c r="DA1216" s="1136"/>
      <c r="DB1216" s="1136"/>
      <c r="DC1216" s="1136"/>
      <c r="DD1216" s="1136"/>
      <c r="DE1216" s="1136"/>
      <c r="DF1216" s="1136"/>
      <c r="DG1216" s="1136"/>
      <c r="DH1216" s="1136"/>
      <c r="DI1216" s="1136"/>
    </row>
    <row r="1217" spans="1:113" ht="15.75" x14ac:dyDescent="0.25">
      <c r="A1217" s="1430" t="s">
        <v>3400</v>
      </c>
      <c r="B1217" s="1433" t="e">
        <f>B291*CEILING(B286*B289*B957,1)/B1209</f>
        <v>#VALUE!</v>
      </c>
      <c r="C1217" s="1569"/>
      <c r="D1217" s="1569"/>
      <c r="E1217" s="1569"/>
      <c r="F1217" s="1569"/>
      <c r="G1217" s="1569"/>
      <c r="H1217" s="1531"/>
      <c r="I1217" s="1531"/>
      <c r="J1217" s="1531"/>
      <c r="K1217" s="1531"/>
      <c r="L1217" s="1531"/>
      <c r="M1217" s="1531"/>
      <c r="N1217" s="1531"/>
      <c r="O1217" s="1531"/>
      <c r="P1217" s="1531"/>
      <c r="Q1217" s="1531"/>
      <c r="R1217" s="1531"/>
      <c r="S1217" s="1531"/>
      <c r="T1217" s="1531"/>
      <c r="U1217" s="1531"/>
      <c r="V1217" s="1531"/>
      <c r="W1217" s="1531"/>
      <c r="X1217" s="1531"/>
      <c r="Y1217" s="1531"/>
      <c r="Z1217" s="1531"/>
      <c r="AA1217" s="1531"/>
      <c r="AB1217" s="1531"/>
      <c r="AC1217" s="1531"/>
      <c r="AD1217" s="1531"/>
      <c r="AE1217" s="1531"/>
      <c r="AF1217" s="1531"/>
      <c r="AG1217" s="1531"/>
      <c r="AH1217" s="1531"/>
      <c r="AI1217" s="1531"/>
      <c r="AJ1217" s="1531"/>
      <c r="AK1217" s="1531"/>
      <c r="AL1217" s="1531"/>
      <c r="AM1217" s="1531"/>
      <c r="AN1217" s="1531"/>
      <c r="AO1217" s="1531"/>
      <c r="AP1217" s="1531"/>
      <c r="AQ1217" s="1531"/>
      <c r="AR1217" s="1531"/>
      <c r="AS1217" s="1531"/>
      <c r="AT1217" s="1136"/>
      <c r="AU1217" s="1136"/>
      <c r="AV1217" s="1136"/>
      <c r="AW1217" s="1136"/>
      <c r="AX1217" s="1136"/>
      <c r="AY1217" s="1136"/>
      <c r="AZ1217" s="1136"/>
      <c r="BA1217" s="1136"/>
      <c r="BB1217" s="1136"/>
      <c r="BC1217" s="1136"/>
      <c r="BD1217" s="1136"/>
      <c r="BE1217" s="1136"/>
      <c r="BF1217" s="1136"/>
      <c r="BG1217" s="1136"/>
      <c r="BH1217" s="1136"/>
      <c r="BI1217" s="1136"/>
      <c r="BJ1217" s="1136"/>
      <c r="BK1217" s="1136"/>
      <c r="BL1217" s="1136"/>
      <c r="BM1217" s="1136"/>
      <c r="BN1217" s="1136"/>
      <c r="BO1217" s="1136"/>
      <c r="BP1217" s="1136"/>
      <c r="BQ1217" s="1136"/>
      <c r="BR1217" s="1136"/>
      <c r="BS1217" s="1136"/>
      <c r="BT1217" s="1136"/>
      <c r="BU1217" s="1136"/>
      <c r="BV1217" s="1136"/>
      <c r="BW1217" s="1136"/>
      <c r="BX1217" s="1136"/>
      <c r="BY1217" s="1136"/>
      <c r="BZ1217" s="1136"/>
      <c r="CA1217" s="1136"/>
      <c r="CB1217" s="1136"/>
      <c r="CC1217" s="1136"/>
      <c r="CD1217" s="1136"/>
      <c r="CE1217" s="1136"/>
      <c r="CF1217" s="1136"/>
      <c r="CG1217" s="1136"/>
      <c r="CH1217" s="1136"/>
      <c r="CI1217" s="1136"/>
      <c r="CJ1217" s="1136"/>
      <c r="CK1217" s="1136"/>
      <c r="CL1217" s="1136"/>
      <c r="CM1217" s="1136"/>
      <c r="CN1217" s="1136"/>
      <c r="CO1217" s="1136"/>
      <c r="CP1217" s="1136"/>
      <c r="CQ1217" s="1136"/>
      <c r="CR1217" s="1136"/>
      <c r="CS1217" s="1136"/>
      <c r="CT1217" s="1136"/>
      <c r="CU1217" s="1136"/>
      <c r="CV1217" s="1136"/>
      <c r="CW1217" s="1136"/>
      <c r="CX1217" s="1136"/>
      <c r="CY1217" s="1136"/>
      <c r="CZ1217" s="1136"/>
      <c r="DA1217" s="1136"/>
      <c r="DB1217" s="1136"/>
      <c r="DC1217" s="1136"/>
      <c r="DD1217" s="1136"/>
      <c r="DE1217" s="1136"/>
      <c r="DF1217" s="1136"/>
      <c r="DG1217" s="1136"/>
      <c r="DH1217" s="1136"/>
      <c r="DI1217" s="1136"/>
    </row>
    <row r="1218" spans="1:113" ht="15.75" x14ac:dyDescent="0.25">
      <c r="A1218" s="1430" t="s">
        <v>3401</v>
      </c>
      <c r="B1218" s="1433">
        <f>B789</f>
        <v>5</v>
      </c>
      <c r="C1218" s="1569"/>
      <c r="D1218" s="1521"/>
      <c r="E1218" s="1521"/>
      <c r="F1218" s="1521"/>
      <c r="G1218" s="1521"/>
      <c r="H1218" s="1531"/>
      <c r="I1218" s="1531"/>
      <c r="J1218" s="1531"/>
      <c r="K1218" s="1531"/>
      <c r="L1218" s="1531"/>
      <c r="M1218" s="1531"/>
      <c r="N1218" s="1531"/>
      <c r="O1218" s="1531"/>
      <c r="P1218" s="1531"/>
      <c r="Q1218" s="1531"/>
      <c r="R1218" s="1531"/>
      <c r="S1218" s="1531"/>
      <c r="T1218" s="1531"/>
      <c r="U1218" s="1531"/>
      <c r="V1218" s="1531"/>
      <c r="W1218" s="1531"/>
      <c r="X1218" s="1531"/>
      <c r="Y1218" s="1531"/>
      <c r="Z1218" s="1531"/>
      <c r="AA1218" s="1531"/>
      <c r="AB1218" s="1531"/>
      <c r="AC1218" s="1531"/>
      <c r="AD1218" s="1531"/>
      <c r="AE1218" s="1531"/>
      <c r="AF1218" s="1531"/>
      <c r="AG1218" s="1531"/>
      <c r="AH1218" s="1531"/>
      <c r="AI1218" s="1531"/>
      <c r="AJ1218" s="1531"/>
      <c r="AK1218" s="1531"/>
      <c r="AL1218" s="1531"/>
      <c r="AM1218" s="1531"/>
      <c r="AN1218" s="1531"/>
      <c r="AO1218" s="1531"/>
      <c r="AP1218" s="1531"/>
      <c r="AQ1218" s="1531"/>
      <c r="AR1218" s="1531"/>
      <c r="AS1218" s="1531"/>
      <c r="AT1218" s="1136"/>
      <c r="AU1218" s="1136"/>
      <c r="AV1218" s="1136"/>
      <c r="AW1218" s="1136"/>
      <c r="AX1218" s="1136"/>
      <c r="AY1218" s="1136"/>
      <c r="AZ1218" s="1136"/>
      <c r="BA1218" s="1136"/>
      <c r="BB1218" s="1136"/>
      <c r="BC1218" s="1136"/>
      <c r="BD1218" s="1136"/>
      <c r="BE1218" s="1136"/>
      <c r="BF1218" s="1136"/>
      <c r="BG1218" s="1136"/>
      <c r="BH1218" s="1136"/>
      <c r="BI1218" s="1136"/>
      <c r="BJ1218" s="1136"/>
      <c r="BK1218" s="1136"/>
      <c r="BL1218" s="1136"/>
      <c r="BM1218" s="1136"/>
      <c r="BN1218" s="1136"/>
      <c r="BO1218" s="1136"/>
      <c r="BP1218" s="1136"/>
      <c r="BQ1218" s="1136"/>
      <c r="BR1218" s="1136"/>
      <c r="BS1218" s="1136"/>
      <c r="BT1218" s="1136"/>
      <c r="BU1218" s="1136"/>
      <c r="BV1218" s="1136"/>
      <c r="BW1218" s="1136"/>
      <c r="BX1218" s="1136"/>
      <c r="BY1218" s="1136"/>
      <c r="BZ1218" s="1136"/>
      <c r="CA1218" s="1136"/>
      <c r="CB1218" s="1136"/>
      <c r="CC1218" s="1136"/>
      <c r="CD1218" s="1136"/>
      <c r="CE1218" s="1136"/>
      <c r="CF1218" s="1136"/>
      <c r="CG1218" s="1136"/>
      <c r="CH1218" s="1136"/>
      <c r="CI1218" s="1136"/>
      <c r="CJ1218" s="1136"/>
      <c r="CK1218" s="1136"/>
      <c r="CL1218" s="1136"/>
      <c r="CM1218" s="1136"/>
      <c r="CN1218" s="1136"/>
      <c r="CO1218" s="1136"/>
      <c r="CP1218" s="1136"/>
      <c r="CQ1218" s="1136"/>
      <c r="CR1218" s="1136"/>
      <c r="CS1218" s="1136"/>
      <c r="CT1218" s="1136"/>
      <c r="CU1218" s="1136"/>
      <c r="CV1218" s="1136"/>
      <c r="CW1218" s="1136"/>
      <c r="CX1218" s="1136"/>
      <c r="CY1218" s="1136"/>
      <c r="CZ1218" s="1136"/>
      <c r="DA1218" s="1136"/>
      <c r="DB1218" s="1136"/>
      <c r="DC1218" s="1136"/>
      <c r="DD1218" s="1136"/>
      <c r="DE1218" s="1136"/>
      <c r="DF1218" s="1136"/>
      <c r="DG1218" s="1136"/>
      <c r="DH1218" s="1136"/>
      <c r="DI1218" s="1136"/>
    </row>
    <row r="1219" spans="1:113" ht="15.75" x14ac:dyDescent="0.25">
      <c r="A1219" s="1430" t="s">
        <v>3402</v>
      </c>
      <c r="B1219" s="1433" t="e">
        <f>B1217*B1218</f>
        <v>#VALUE!</v>
      </c>
      <c r="C1219" s="1569"/>
      <c r="D1219" s="1569"/>
      <c r="E1219" s="1569"/>
      <c r="F1219" s="1569"/>
      <c r="G1219" s="1569"/>
      <c r="H1219" s="1531"/>
      <c r="I1219" s="1531"/>
      <c r="J1219" s="1531"/>
      <c r="K1219" s="1531"/>
      <c r="L1219" s="1531"/>
      <c r="M1219" s="1531"/>
      <c r="N1219" s="1531"/>
      <c r="O1219" s="1531"/>
      <c r="P1219" s="1531"/>
      <c r="Q1219" s="1531"/>
      <c r="R1219" s="1531"/>
      <c r="S1219" s="1531"/>
      <c r="T1219" s="1531"/>
      <c r="U1219" s="1531"/>
      <c r="V1219" s="1531"/>
      <c r="W1219" s="1531"/>
      <c r="X1219" s="1531"/>
      <c r="Y1219" s="1531"/>
      <c r="Z1219" s="1531"/>
      <c r="AA1219" s="1531"/>
      <c r="AB1219" s="1531"/>
      <c r="AC1219" s="1531"/>
      <c r="AD1219" s="1531"/>
      <c r="AE1219" s="1531"/>
      <c r="AF1219" s="1531"/>
      <c r="AG1219" s="1531"/>
      <c r="AH1219" s="1531"/>
      <c r="AI1219" s="1531"/>
      <c r="AJ1219" s="1531"/>
      <c r="AK1219" s="1531"/>
      <c r="AL1219" s="1531"/>
      <c r="AM1219" s="1531"/>
      <c r="AN1219" s="1531"/>
      <c r="AO1219" s="1531"/>
      <c r="AP1219" s="1531"/>
      <c r="AQ1219" s="1531"/>
      <c r="AR1219" s="1531"/>
      <c r="AS1219" s="1531"/>
      <c r="AT1219" s="1136"/>
      <c r="AU1219" s="1136"/>
      <c r="AV1219" s="1136"/>
      <c r="AW1219" s="1136"/>
      <c r="AX1219" s="1136"/>
      <c r="AY1219" s="1136"/>
      <c r="AZ1219" s="1136"/>
      <c r="BA1219" s="1136"/>
      <c r="BB1219" s="1136"/>
      <c r="BC1219" s="1136"/>
      <c r="BD1219" s="1136"/>
      <c r="BE1219" s="1136"/>
      <c r="BF1219" s="1136"/>
      <c r="BG1219" s="1136"/>
      <c r="BH1219" s="1136"/>
      <c r="BI1219" s="1136"/>
      <c r="BJ1219" s="1136"/>
      <c r="BK1219" s="1136"/>
      <c r="BL1219" s="1136"/>
      <c r="BM1219" s="1136"/>
      <c r="BN1219" s="1136"/>
      <c r="BO1219" s="1136"/>
      <c r="BP1219" s="1136"/>
      <c r="BQ1219" s="1136"/>
      <c r="BR1219" s="1136"/>
      <c r="BS1219" s="1136"/>
      <c r="BT1219" s="1136"/>
      <c r="BU1219" s="1136"/>
      <c r="BV1219" s="1136"/>
      <c r="BW1219" s="1136"/>
      <c r="BX1219" s="1136"/>
      <c r="BY1219" s="1136"/>
      <c r="BZ1219" s="1136"/>
      <c r="CA1219" s="1136"/>
      <c r="CB1219" s="1136"/>
      <c r="CC1219" s="1136"/>
      <c r="CD1219" s="1136"/>
      <c r="CE1219" s="1136"/>
      <c r="CF1219" s="1136"/>
      <c r="CG1219" s="1136"/>
      <c r="CH1219" s="1136"/>
      <c r="CI1219" s="1136"/>
      <c r="CJ1219" s="1136"/>
      <c r="CK1219" s="1136"/>
      <c r="CL1219" s="1136"/>
      <c r="CM1219" s="1136"/>
      <c r="CN1219" s="1136"/>
      <c r="CO1219" s="1136"/>
      <c r="CP1219" s="1136"/>
      <c r="CQ1219" s="1136"/>
      <c r="CR1219" s="1136"/>
      <c r="CS1219" s="1136"/>
      <c r="CT1219" s="1136"/>
      <c r="CU1219" s="1136"/>
      <c r="CV1219" s="1136"/>
      <c r="CW1219" s="1136"/>
      <c r="CX1219" s="1136"/>
      <c r="CY1219" s="1136"/>
      <c r="CZ1219" s="1136"/>
      <c r="DA1219" s="1136"/>
      <c r="DB1219" s="1136"/>
      <c r="DC1219" s="1136"/>
      <c r="DD1219" s="1136"/>
      <c r="DE1219" s="1136"/>
      <c r="DF1219" s="1136"/>
      <c r="DG1219" s="1136"/>
      <c r="DH1219" s="1136"/>
      <c r="DI1219" s="1136"/>
    </row>
    <row r="1220" spans="1:113" ht="15.75" x14ac:dyDescent="0.25">
      <c r="A1220" s="1466" t="s">
        <v>3403</v>
      </c>
      <c r="B1220" s="1571">
        <f>IF(B298=2,B1219,0)</f>
        <v>0</v>
      </c>
      <c r="C1220" s="1572"/>
      <c r="D1220" s="1569"/>
      <c r="E1220" s="1569"/>
      <c r="F1220" s="1569"/>
      <c r="G1220" s="1569"/>
      <c r="H1220" s="1531"/>
      <c r="I1220" s="1531"/>
      <c r="J1220" s="1531"/>
      <c r="K1220" s="1531"/>
      <c r="L1220" s="1531"/>
      <c r="M1220" s="1531"/>
      <c r="N1220" s="1531"/>
      <c r="O1220" s="1531"/>
      <c r="P1220" s="1531"/>
      <c r="Q1220" s="1531"/>
      <c r="R1220" s="1531"/>
      <c r="S1220" s="1531"/>
      <c r="T1220" s="1531"/>
      <c r="U1220" s="1531"/>
      <c r="V1220" s="1531"/>
      <c r="W1220" s="1531"/>
      <c r="X1220" s="1531"/>
      <c r="Y1220" s="1531"/>
      <c r="Z1220" s="1531"/>
      <c r="AA1220" s="1531"/>
      <c r="AB1220" s="1531"/>
      <c r="AC1220" s="1531"/>
      <c r="AD1220" s="1531"/>
      <c r="AE1220" s="1531"/>
      <c r="AF1220" s="1531"/>
      <c r="AG1220" s="1531"/>
      <c r="AH1220" s="1531"/>
      <c r="AI1220" s="1531"/>
      <c r="AJ1220" s="1531"/>
      <c r="AK1220" s="1531"/>
      <c r="AL1220" s="1531"/>
      <c r="AM1220" s="1531"/>
      <c r="AN1220" s="1531"/>
      <c r="AO1220" s="1531"/>
      <c r="AP1220" s="1531"/>
      <c r="AQ1220" s="1531"/>
      <c r="AR1220" s="1531"/>
      <c r="AS1220" s="1531"/>
      <c r="AT1220" s="1136"/>
      <c r="AU1220" s="1136"/>
      <c r="AV1220" s="1136"/>
      <c r="AW1220" s="1136"/>
      <c r="AX1220" s="1136"/>
      <c r="AY1220" s="1136"/>
      <c r="AZ1220" s="1136"/>
      <c r="BA1220" s="1136"/>
      <c r="BB1220" s="1136"/>
      <c r="BC1220" s="1136"/>
      <c r="BD1220" s="1136"/>
      <c r="BE1220" s="1136"/>
      <c r="BF1220" s="1136"/>
      <c r="BG1220" s="1136"/>
      <c r="BH1220" s="1136"/>
      <c r="BI1220" s="1136"/>
      <c r="BJ1220" s="1136"/>
      <c r="BK1220" s="1136"/>
      <c r="BL1220" s="1136"/>
      <c r="BM1220" s="1136"/>
      <c r="BN1220" s="1136"/>
      <c r="BO1220" s="1136"/>
      <c r="BP1220" s="1136"/>
      <c r="BQ1220" s="1136"/>
      <c r="BR1220" s="1136"/>
      <c r="BS1220" s="1136"/>
      <c r="BT1220" s="1136"/>
      <c r="BU1220" s="1136"/>
      <c r="BV1220" s="1136"/>
      <c r="BW1220" s="1136"/>
      <c r="BX1220" s="1136"/>
      <c r="BY1220" s="1136"/>
      <c r="BZ1220" s="1136"/>
      <c r="CA1220" s="1136"/>
      <c r="CB1220" s="1136"/>
      <c r="CC1220" s="1136"/>
      <c r="CD1220" s="1136"/>
      <c r="CE1220" s="1136"/>
      <c r="CF1220" s="1136"/>
      <c r="CG1220" s="1136"/>
      <c r="CH1220" s="1136"/>
      <c r="CI1220" s="1136"/>
      <c r="CJ1220" s="1136"/>
      <c r="CK1220" s="1136"/>
      <c r="CL1220" s="1136"/>
      <c r="CM1220" s="1136"/>
      <c r="CN1220" s="1136"/>
      <c r="CO1220" s="1136"/>
      <c r="CP1220" s="1136"/>
      <c r="CQ1220" s="1136"/>
      <c r="CR1220" s="1136"/>
      <c r="CS1220" s="1136"/>
      <c r="CT1220" s="1136"/>
      <c r="CU1220" s="1136"/>
      <c r="CV1220" s="1136"/>
      <c r="CW1220" s="1136"/>
      <c r="CX1220" s="1136"/>
      <c r="CY1220" s="1136"/>
      <c r="CZ1220" s="1136"/>
      <c r="DA1220" s="1136"/>
      <c r="DB1220" s="1136"/>
      <c r="DC1220" s="1136"/>
      <c r="DD1220" s="1136"/>
      <c r="DE1220" s="1136"/>
      <c r="DF1220" s="1136"/>
      <c r="DG1220" s="1136"/>
      <c r="DH1220" s="1136"/>
      <c r="DI1220" s="1136"/>
    </row>
    <row r="1221" spans="1:113" ht="15.75" x14ac:dyDescent="0.25">
      <c r="A1221" s="1430"/>
      <c r="B1221" s="1433"/>
      <c r="C1221" s="1569"/>
      <c r="D1221" s="1572"/>
      <c r="E1221" s="1572"/>
      <c r="F1221" s="1572"/>
      <c r="G1221" s="1572"/>
      <c r="H1221" s="1531"/>
      <c r="I1221" s="1531"/>
      <c r="J1221" s="1531"/>
      <c r="K1221" s="1531"/>
      <c r="L1221" s="1531"/>
      <c r="M1221" s="1531"/>
      <c r="N1221" s="1531"/>
      <c r="O1221" s="1531"/>
      <c r="P1221" s="1531"/>
      <c r="Q1221" s="1531"/>
      <c r="R1221" s="1531"/>
      <c r="S1221" s="1531"/>
      <c r="T1221" s="1531"/>
      <c r="U1221" s="1531"/>
      <c r="V1221" s="1531"/>
      <c r="W1221" s="1531"/>
      <c r="X1221" s="1531"/>
      <c r="Y1221" s="1531"/>
      <c r="Z1221" s="1531"/>
      <c r="AA1221" s="1531"/>
      <c r="AB1221" s="1531"/>
      <c r="AC1221" s="1531"/>
      <c r="AD1221" s="1531"/>
      <c r="AE1221" s="1531"/>
      <c r="AF1221" s="1531"/>
      <c r="AG1221" s="1531"/>
      <c r="AH1221" s="1531"/>
      <c r="AI1221" s="1531"/>
      <c r="AJ1221" s="1531"/>
      <c r="AK1221" s="1531"/>
      <c r="AL1221" s="1531"/>
      <c r="AM1221" s="1531"/>
      <c r="AN1221" s="1531"/>
      <c r="AO1221" s="1531"/>
      <c r="AP1221" s="1531"/>
      <c r="AQ1221" s="1531"/>
      <c r="AR1221" s="1531"/>
      <c r="AS1221" s="1531"/>
      <c r="AT1221" s="1136"/>
      <c r="AU1221" s="1136"/>
      <c r="AV1221" s="1136"/>
      <c r="AW1221" s="1136"/>
      <c r="AX1221" s="1136"/>
      <c r="AY1221" s="1136"/>
      <c r="AZ1221" s="1136"/>
      <c r="BA1221" s="1136"/>
      <c r="BB1221" s="1136"/>
      <c r="BC1221" s="1136"/>
      <c r="BD1221" s="1136"/>
      <c r="BE1221" s="1136"/>
      <c r="BF1221" s="1136"/>
      <c r="BG1221" s="1136"/>
      <c r="BH1221" s="1136"/>
      <c r="BI1221" s="1136"/>
      <c r="BJ1221" s="1136"/>
      <c r="BK1221" s="1136"/>
      <c r="BL1221" s="1136"/>
      <c r="BM1221" s="1136"/>
      <c r="BN1221" s="1136"/>
      <c r="BO1221" s="1136"/>
      <c r="BP1221" s="1136"/>
      <c r="BQ1221" s="1136"/>
      <c r="BR1221" s="1136"/>
      <c r="BS1221" s="1136"/>
      <c r="BT1221" s="1136"/>
      <c r="BU1221" s="1136"/>
      <c r="BV1221" s="1136"/>
      <c r="BW1221" s="1136"/>
      <c r="BX1221" s="1136"/>
      <c r="BY1221" s="1136"/>
      <c r="BZ1221" s="1136"/>
      <c r="CA1221" s="1136"/>
      <c r="CB1221" s="1136"/>
      <c r="CC1221" s="1136"/>
      <c r="CD1221" s="1136"/>
      <c r="CE1221" s="1136"/>
      <c r="CF1221" s="1136"/>
      <c r="CG1221" s="1136"/>
      <c r="CH1221" s="1136"/>
      <c r="CI1221" s="1136"/>
      <c r="CJ1221" s="1136"/>
      <c r="CK1221" s="1136"/>
      <c r="CL1221" s="1136"/>
      <c r="CM1221" s="1136"/>
      <c r="CN1221" s="1136"/>
      <c r="CO1221" s="1136"/>
      <c r="CP1221" s="1136"/>
      <c r="CQ1221" s="1136"/>
      <c r="CR1221" s="1136"/>
      <c r="CS1221" s="1136"/>
      <c r="CT1221" s="1136"/>
      <c r="CU1221" s="1136"/>
      <c r="CV1221" s="1136"/>
      <c r="CW1221" s="1136"/>
      <c r="CX1221" s="1136"/>
      <c r="CY1221" s="1136"/>
      <c r="CZ1221" s="1136"/>
      <c r="DA1221" s="1136"/>
      <c r="DB1221" s="1136"/>
      <c r="DC1221" s="1136"/>
      <c r="DD1221" s="1136"/>
      <c r="DE1221" s="1136"/>
      <c r="DF1221" s="1136"/>
      <c r="DG1221" s="1136"/>
      <c r="DH1221" s="1136"/>
      <c r="DI1221" s="1136"/>
    </row>
    <row r="1222" spans="1:113" ht="15.75" x14ac:dyDescent="0.25">
      <c r="A1222" s="1580" t="s">
        <v>3404</v>
      </c>
      <c r="B1222" s="1433"/>
      <c r="C1222" s="1569"/>
      <c r="D1222" s="1569"/>
      <c r="E1222" s="1569"/>
      <c r="F1222" s="1569"/>
      <c r="G1222" s="1569"/>
      <c r="H1222" s="1531"/>
      <c r="I1222" s="1531"/>
      <c r="J1222" s="1531"/>
      <c r="K1222" s="1531"/>
      <c r="L1222" s="1531"/>
      <c r="M1222" s="1531"/>
      <c r="N1222" s="1531"/>
      <c r="O1222" s="1531"/>
      <c r="P1222" s="1531"/>
      <c r="Q1222" s="1531"/>
      <c r="R1222" s="1531"/>
      <c r="S1222" s="1531"/>
      <c r="T1222" s="1531"/>
      <c r="U1222" s="1531"/>
      <c r="V1222" s="1531"/>
      <c r="W1222" s="1531"/>
      <c r="X1222" s="1531"/>
      <c r="Y1222" s="1531"/>
      <c r="Z1222" s="1531"/>
      <c r="AA1222" s="1531"/>
      <c r="AB1222" s="1531"/>
      <c r="AC1222" s="1531"/>
      <c r="AD1222" s="1531"/>
      <c r="AE1222" s="1531"/>
      <c r="AF1222" s="1531"/>
      <c r="AG1222" s="1531"/>
      <c r="AH1222" s="1531"/>
      <c r="AI1222" s="1531"/>
      <c r="AJ1222" s="1531"/>
      <c r="AK1222" s="1531"/>
      <c r="AL1222" s="1531"/>
      <c r="AM1222" s="1531"/>
      <c r="AN1222" s="1531"/>
      <c r="AO1222" s="1531"/>
      <c r="AP1222" s="1531"/>
      <c r="AQ1222" s="1531"/>
      <c r="AR1222" s="1531"/>
      <c r="AS1222" s="1531"/>
      <c r="AT1222" s="1136"/>
      <c r="AU1222" s="1136"/>
      <c r="AV1222" s="1136"/>
      <c r="AW1222" s="1136"/>
      <c r="AX1222" s="1136"/>
      <c r="AY1222" s="1136"/>
      <c r="AZ1222" s="1136"/>
      <c r="BA1222" s="1136"/>
      <c r="BB1222" s="1136"/>
      <c r="BC1222" s="1136"/>
      <c r="BD1222" s="1136"/>
      <c r="BE1222" s="1136"/>
      <c r="BF1222" s="1136"/>
      <c r="BG1222" s="1136"/>
      <c r="BH1222" s="1136"/>
      <c r="BI1222" s="1136"/>
      <c r="BJ1222" s="1136"/>
      <c r="BK1222" s="1136"/>
      <c r="BL1222" s="1136"/>
      <c r="BM1222" s="1136"/>
      <c r="BN1222" s="1136"/>
      <c r="BO1222" s="1136"/>
      <c r="BP1222" s="1136"/>
      <c r="BQ1222" s="1136"/>
      <c r="BR1222" s="1136"/>
      <c r="BS1222" s="1136"/>
      <c r="BT1222" s="1136"/>
      <c r="BU1222" s="1136"/>
      <c r="BV1222" s="1136"/>
      <c r="BW1222" s="1136"/>
      <c r="BX1222" s="1136"/>
      <c r="BY1222" s="1136"/>
      <c r="BZ1222" s="1136"/>
      <c r="CA1222" s="1136"/>
      <c r="CB1222" s="1136"/>
      <c r="CC1222" s="1136"/>
      <c r="CD1222" s="1136"/>
      <c r="CE1222" s="1136"/>
      <c r="CF1222" s="1136"/>
      <c r="CG1222" s="1136"/>
      <c r="CH1222" s="1136"/>
      <c r="CI1222" s="1136"/>
      <c r="CJ1222" s="1136"/>
      <c r="CK1222" s="1136"/>
      <c r="CL1222" s="1136"/>
      <c r="CM1222" s="1136"/>
      <c r="CN1222" s="1136"/>
      <c r="CO1222" s="1136"/>
      <c r="CP1222" s="1136"/>
      <c r="CQ1222" s="1136"/>
      <c r="CR1222" s="1136"/>
      <c r="CS1222" s="1136"/>
      <c r="CT1222" s="1136"/>
      <c r="CU1222" s="1136"/>
      <c r="CV1222" s="1136"/>
      <c r="CW1222" s="1136"/>
      <c r="CX1222" s="1136"/>
      <c r="CY1222" s="1136"/>
      <c r="CZ1222" s="1136"/>
      <c r="DA1222" s="1136"/>
      <c r="DB1222" s="1136"/>
      <c r="DC1222" s="1136"/>
      <c r="DD1222" s="1136"/>
      <c r="DE1222" s="1136"/>
      <c r="DF1222" s="1136"/>
      <c r="DG1222" s="1136"/>
      <c r="DH1222" s="1136"/>
      <c r="DI1222" s="1136"/>
    </row>
    <row r="1223" spans="1:113" ht="15.75" x14ac:dyDescent="0.25">
      <c r="A1223" s="1417" t="s">
        <v>3405</v>
      </c>
      <c r="B1223" s="1442">
        <f>B794</f>
        <v>40</v>
      </c>
      <c r="C1223" s="1349"/>
      <c r="D1223" s="1569"/>
      <c r="E1223" s="1569"/>
      <c r="F1223" s="1569"/>
      <c r="G1223" s="1569"/>
      <c r="H1223" s="1531"/>
      <c r="I1223" s="1531"/>
      <c r="J1223" s="1531"/>
      <c r="K1223" s="1531"/>
      <c r="L1223" s="1531"/>
      <c r="M1223" s="1531"/>
      <c r="N1223" s="1531"/>
      <c r="O1223" s="1531"/>
      <c r="P1223" s="1531"/>
      <c r="Q1223" s="1531"/>
      <c r="R1223" s="1531"/>
      <c r="S1223" s="1531"/>
      <c r="T1223" s="1531"/>
      <c r="U1223" s="1531"/>
      <c r="V1223" s="1531"/>
      <c r="W1223" s="1531"/>
      <c r="X1223" s="1531"/>
      <c r="Y1223" s="1531"/>
      <c r="Z1223" s="1531"/>
      <c r="AA1223" s="1531"/>
      <c r="AB1223" s="1531"/>
      <c r="AC1223" s="1531"/>
      <c r="AD1223" s="1531"/>
      <c r="AE1223" s="1531"/>
      <c r="AF1223" s="1531"/>
      <c r="AG1223" s="1531"/>
      <c r="AH1223" s="1531"/>
      <c r="AI1223" s="1531"/>
      <c r="AJ1223" s="1531"/>
      <c r="AK1223" s="1531"/>
      <c r="AL1223" s="1531"/>
      <c r="AM1223" s="1531"/>
      <c r="AN1223" s="1531"/>
      <c r="AO1223" s="1531"/>
      <c r="AP1223" s="1531"/>
      <c r="AQ1223" s="1531"/>
      <c r="AR1223" s="1531"/>
      <c r="AS1223" s="1531"/>
      <c r="AT1223" s="1136"/>
      <c r="AU1223" s="1136"/>
      <c r="AV1223" s="1136"/>
      <c r="AW1223" s="1136"/>
      <c r="AX1223" s="1136"/>
      <c r="AY1223" s="1136"/>
      <c r="AZ1223" s="1136"/>
      <c r="BA1223" s="1136"/>
      <c r="BB1223" s="1136"/>
      <c r="BC1223" s="1136"/>
      <c r="BD1223" s="1136"/>
      <c r="BE1223" s="1136"/>
      <c r="BF1223" s="1136"/>
      <c r="BG1223" s="1136"/>
      <c r="BH1223" s="1136"/>
      <c r="BI1223" s="1136"/>
      <c r="BJ1223" s="1136"/>
      <c r="BK1223" s="1136"/>
      <c r="BL1223" s="1136"/>
      <c r="BM1223" s="1136"/>
      <c r="BN1223" s="1136"/>
      <c r="BO1223" s="1136"/>
      <c r="BP1223" s="1136"/>
      <c r="BQ1223" s="1136"/>
      <c r="BR1223" s="1136"/>
      <c r="BS1223" s="1136"/>
      <c r="BT1223" s="1136"/>
      <c r="BU1223" s="1136"/>
      <c r="BV1223" s="1136"/>
      <c r="BW1223" s="1136"/>
      <c r="BX1223" s="1136"/>
      <c r="BY1223" s="1136"/>
      <c r="BZ1223" s="1136"/>
      <c r="CA1223" s="1136"/>
      <c r="CB1223" s="1136"/>
      <c r="CC1223" s="1136"/>
      <c r="CD1223" s="1136"/>
      <c r="CE1223" s="1136"/>
      <c r="CF1223" s="1136"/>
      <c r="CG1223" s="1136"/>
      <c r="CH1223" s="1136"/>
      <c r="CI1223" s="1136"/>
      <c r="CJ1223" s="1136"/>
      <c r="CK1223" s="1136"/>
      <c r="CL1223" s="1136"/>
      <c r="CM1223" s="1136"/>
      <c r="CN1223" s="1136"/>
      <c r="CO1223" s="1136"/>
      <c r="CP1223" s="1136"/>
      <c r="CQ1223" s="1136"/>
      <c r="CR1223" s="1136"/>
      <c r="CS1223" s="1136"/>
      <c r="CT1223" s="1136"/>
      <c r="CU1223" s="1136"/>
      <c r="CV1223" s="1136"/>
      <c r="CW1223" s="1136"/>
      <c r="CX1223" s="1136"/>
      <c r="CY1223" s="1136"/>
      <c r="CZ1223" s="1136"/>
      <c r="DA1223" s="1136"/>
      <c r="DB1223" s="1136"/>
      <c r="DC1223" s="1136"/>
      <c r="DD1223" s="1136"/>
      <c r="DE1223" s="1136"/>
      <c r="DF1223" s="1136"/>
      <c r="DG1223" s="1136"/>
      <c r="DH1223" s="1136"/>
      <c r="DI1223" s="1136"/>
    </row>
    <row r="1224" spans="1:113" ht="15.75" x14ac:dyDescent="0.25">
      <c r="A1224" s="1417" t="s">
        <v>3406</v>
      </c>
      <c r="B1224" s="1431">
        <f>B795</f>
        <v>10</v>
      </c>
      <c r="C1224" s="1434"/>
      <c r="D1224" s="1569"/>
      <c r="E1224" s="1569"/>
      <c r="F1224" s="1569"/>
      <c r="G1224" s="1569"/>
      <c r="H1224" s="1569"/>
      <c r="I1224" s="1531"/>
      <c r="J1224" s="1531"/>
      <c r="K1224" s="1531"/>
      <c r="L1224" s="1531"/>
      <c r="M1224" s="1531"/>
      <c r="N1224" s="1531"/>
      <c r="O1224" s="1531"/>
      <c r="P1224" s="1531"/>
      <c r="Q1224" s="1531"/>
      <c r="R1224" s="1531"/>
      <c r="S1224" s="1531"/>
      <c r="T1224" s="1531"/>
      <c r="U1224" s="1531"/>
      <c r="V1224" s="1531"/>
      <c r="W1224" s="1531"/>
      <c r="X1224" s="1531"/>
      <c r="Y1224" s="1531"/>
      <c r="Z1224" s="1531"/>
      <c r="AA1224" s="1531"/>
      <c r="AB1224" s="1531"/>
      <c r="AC1224" s="1531"/>
      <c r="AD1224" s="1531"/>
      <c r="AE1224" s="1531"/>
      <c r="AF1224" s="1531"/>
      <c r="AG1224" s="1531"/>
      <c r="AH1224" s="1531"/>
      <c r="AI1224" s="1531"/>
      <c r="AJ1224" s="1531"/>
      <c r="AK1224" s="1531"/>
      <c r="AL1224" s="1531"/>
      <c r="AM1224" s="1531"/>
      <c r="AN1224" s="1531"/>
      <c r="AO1224" s="1531"/>
      <c r="AP1224" s="1531"/>
      <c r="AQ1224" s="1531"/>
      <c r="AR1224" s="1531"/>
      <c r="AS1224" s="1531"/>
      <c r="AT1224" s="1136"/>
      <c r="AU1224" s="1136"/>
      <c r="AV1224" s="1136"/>
      <c r="AW1224" s="1136"/>
      <c r="AX1224" s="1136"/>
      <c r="AY1224" s="1136"/>
      <c r="AZ1224" s="1136"/>
      <c r="BA1224" s="1136"/>
      <c r="BB1224" s="1136"/>
      <c r="BC1224" s="1136"/>
      <c r="BD1224" s="1136"/>
      <c r="BE1224" s="1136"/>
      <c r="BF1224" s="1136"/>
      <c r="BG1224" s="1136"/>
      <c r="BH1224" s="1136"/>
      <c r="BI1224" s="1136"/>
      <c r="BJ1224" s="1136"/>
      <c r="BK1224" s="1136"/>
      <c r="BL1224" s="1136"/>
      <c r="BM1224" s="1136"/>
      <c r="BN1224" s="1136"/>
      <c r="BO1224" s="1136"/>
      <c r="BP1224" s="1136"/>
      <c r="BQ1224" s="1136"/>
      <c r="BR1224" s="1136"/>
      <c r="BS1224" s="1136"/>
      <c r="BT1224" s="1136"/>
      <c r="BU1224" s="1136"/>
      <c r="BV1224" s="1136"/>
      <c r="BW1224" s="1136"/>
      <c r="BX1224" s="1136"/>
      <c r="BY1224" s="1136"/>
      <c r="BZ1224" s="1136"/>
      <c r="CA1224" s="1136"/>
      <c r="CB1224" s="1136"/>
      <c r="CC1224" s="1136"/>
      <c r="CD1224" s="1136"/>
      <c r="CE1224" s="1136"/>
      <c r="CF1224" s="1136"/>
      <c r="CG1224" s="1136"/>
      <c r="CH1224" s="1136"/>
      <c r="CI1224" s="1136"/>
      <c r="CJ1224" s="1136"/>
      <c r="CK1224" s="1136"/>
      <c r="CL1224" s="1136"/>
      <c r="CM1224" s="1136"/>
      <c r="CN1224" s="1136"/>
      <c r="CO1224" s="1136"/>
      <c r="CP1224" s="1136"/>
      <c r="CQ1224" s="1136"/>
      <c r="CR1224" s="1136"/>
      <c r="CS1224" s="1136"/>
      <c r="CT1224" s="1136"/>
      <c r="CU1224" s="1136"/>
      <c r="CV1224" s="1136"/>
      <c r="CW1224" s="1136"/>
      <c r="CX1224" s="1136"/>
      <c r="CY1224" s="1136"/>
      <c r="CZ1224" s="1136"/>
      <c r="DA1224" s="1136"/>
      <c r="DB1224" s="1136"/>
      <c r="DC1224" s="1136"/>
      <c r="DD1224" s="1136"/>
      <c r="DE1224" s="1136"/>
      <c r="DF1224" s="1136"/>
      <c r="DG1224" s="1136"/>
      <c r="DH1224" s="1136"/>
      <c r="DI1224" s="1136"/>
    </row>
    <row r="1225" spans="1:113" ht="15.75" x14ac:dyDescent="0.25">
      <c r="A1225" s="1430" t="s">
        <v>3407</v>
      </c>
      <c r="B1225" s="1443" t="e">
        <f>((B286*B291*B290*B293*B285)/(B287*B329))*B1223*B1224</f>
        <v>#VALUE!</v>
      </c>
      <c r="C1225" s="1437"/>
      <c r="D1225" s="1569"/>
      <c r="E1225" s="1569"/>
      <c r="F1225" s="1569"/>
      <c r="G1225" s="1569"/>
      <c r="H1225" s="1531"/>
      <c r="I1225" s="1531"/>
      <c r="J1225" s="1531"/>
      <c r="K1225" s="1531"/>
      <c r="L1225" s="1531"/>
      <c r="M1225" s="1531"/>
      <c r="N1225" s="1531"/>
      <c r="O1225" s="1531"/>
      <c r="P1225" s="1531"/>
      <c r="Q1225" s="1531"/>
      <c r="R1225" s="1531"/>
      <c r="S1225" s="1531"/>
      <c r="T1225" s="1531"/>
      <c r="U1225" s="1531"/>
      <c r="V1225" s="1531"/>
      <c r="W1225" s="1531"/>
      <c r="X1225" s="1531"/>
      <c r="Y1225" s="1531"/>
      <c r="Z1225" s="1531"/>
      <c r="AA1225" s="1531"/>
      <c r="AB1225" s="1531"/>
      <c r="AC1225" s="1531"/>
      <c r="AD1225" s="1531"/>
      <c r="AE1225" s="1531"/>
      <c r="AF1225" s="1531"/>
      <c r="AG1225" s="1531"/>
      <c r="AH1225" s="1531"/>
      <c r="AI1225" s="1531"/>
      <c r="AJ1225" s="1531"/>
      <c r="AK1225" s="1531"/>
      <c r="AL1225" s="1531"/>
      <c r="AM1225" s="1531"/>
      <c r="AN1225" s="1531"/>
      <c r="AO1225" s="1531"/>
      <c r="AP1225" s="1531"/>
      <c r="AQ1225" s="1531"/>
      <c r="AR1225" s="1531"/>
      <c r="AS1225" s="1531"/>
      <c r="AT1225" s="1136"/>
      <c r="AU1225" s="1136"/>
      <c r="AV1225" s="1136"/>
      <c r="AW1225" s="1136"/>
      <c r="AX1225" s="1136"/>
      <c r="AY1225" s="1136"/>
      <c r="AZ1225" s="1136"/>
      <c r="BA1225" s="1136"/>
      <c r="BB1225" s="1136"/>
      <c r="BC1225" s="1136"/>
      <c r="BD1225" s="1136"/>
      <c r="BE1225" s="1136"/>
      <c r="BF1225" s="1136"/>
      <c r="BG1225" s="1136"/>
      <c r="BH1225" s="1136"/>
      <c r="BI1225" s="1136"/>
      <c r="BJ1225" s="1136"/>
      <c r="BK1225" s="1136"/>
      <c r="BL1225" s="1136"/>
      <c r="BM1225" s="1136"/>
      <c r="BN1225" s="1136"/>
      <c r="BO1225" s="1136"/>
      <c r="BP1225" s="1136"/>
      <c r="BQ1225" s="1136"/>
      <c r="BR1225" s="1136"/>
      <c r="BS1225" s="1136"/>
      <c r="BT1225" s="1136"/>
      <c r="BU1225" s="1136"/>
      <c r="BV1225" s="1136"/>
      <c r="BW1225" s="1136"/>
      <c r="BX1225" s="1136"/>
      <c r="BY1225" s="1136"/>
      <c r="BZ1225" s="1136"/>
      <c r="CA1225" s="1136"/>
      <c r="CB1225" s="1136"/>
      <c r="CC1225" s="1136"/>
      <c r="CD1225" s="1136"/>
      <c r="CE1225" s="1136"/>
      <c r="CF1225" s="1136"/>
      <c r="CG1225" s="1136"/>
      <c r="CH1225" s="1136"/>
      <c r="CI1225" s="1136"/>
      <c r="CJ1225" s="1136"/>
      <c r="CK1225" s="1136"/>
      <c r="CL1225" s="1136"/>
      <c r="CM1225" s="1136"/>
      <c r="CN1225" s="1136"/>
      <c r="CO1225" s="1136"/>
      <c r="CP1225" s="1136"/>
      <c r="CQ1225" s="1136"/>
      <c r="CR1225" s="1136"/>
      <c r="CS1225" s="1136"/>
      <c r="CT1225" s="1136"/>
      <c r="CU1225" s="1136"/>
      <c r="CV1225" s="1136"/>
      <c r="CW1225" s="1136"/>
      <c r="CX1225" s="1136"/>
      <c r="CY1225" s="1136"/>
      <c r="CZ1225" s="1136"/>
      <c r="DA1225" s="1136"/>
      <c r="DB1225" s="1136"/>
      <c r="DC1225" s="1136"/>
      <c r="DD1225" s="1136"/>
      <c r="DE1225" s="1136"/>
      <c r="DF1225" s="1136"/>
      <c r="DG1225" s="1136"/>
      <c r="DH1225" s="1136"/>
      <c r="DI1225" s="1136"/>
    </row>
    <row r="1226" spans="1:113" ht="15.75" x14ac:dyDescent="0.25">
      <c r="A1226" s="1466" t="s">
        <v>3408</v>
      </c>
      <c r="B1226" s="1467">
        <f>IF(B298=2,B1225,0)</f>
        <v>0</v>
      </c>
      <c r="C1226" s="1468"/>
      <c r="D1226" s="1569"/>
      <c r="E1226" s="1569"/>
      <c r="F1226" s="1569"/>
      <c r="G1226" s="1569"/>
      <c r="H1226" s="1531"/>
      <c r="I1226" s="1531"/>
      <c r="J1226" s="1531"/>
      <c r="K1226" s="1531"/>
      <c r="L1226" s="1531"/>
      <c r="M1226" s="1531"/>
      <c r="N1226" s="1531"/>
      <c r="O1226" s="1531"/>
      <c r="P1226" s="1531"/>
      <c r="Q1226" s="1531"/>
      <c r="R1226" s="1531"/>
      <c r="S1226" s="1531"/>
      <c r="T1226" s="1531"/>
      <c r="U1226" s="1531"/>
      <c r="V1226" s="1531"/>
      <c r="W1226" s="1531"/>
      <c r="X1226" s="1531"/>
      <c r="Y1226" s="1531"/>
      <c r="Z1226" s="1531"/>
      <c r="AA1226" s="1531"/>
      <c r="AB1226" s="1531"/>
      <c r="AC1226" s="1531"/>
      <c r="AD1226" s="1531"/>
      <c r="AE1226" s="1531"/>
      <c r="AF1226" s="1531"/>
      <c r="AG1226" s="1531"/>
      <c r="AH1226" s="1531"/>
      <c r="AI1226" s="1531"/>
      <c r="AJ1226" s="1531"/>
      <c r="AK1226" s="1531"/>
      <c r="AL1226" s="1531"/>
      <c r="AM1226" s="1531"/>
      <c r="AN1226" s="1531"/>
      <c r="AO1226" s="1531"/>
      <c r="AP1226" s="1531"/>
      <c r="AQ1226" s="1531"/>
      <c r="AR1226" s="1531"/>
      <c r="AS1226" s="1531"/>
      <c r="AT1226" s="1136"/>
      <c r="AU1226" s="1136"/>
      <c r="AV1226" s="1136"/>
      <c r="AW1226" s="1136"/>
      <c r="AX1226" s="1136"/>
      <c r="AY1226" s="1136"/>
      <c r="AZ1226" s="1136"/>
      <c r="BA1226" s="1136"/>
      <c r="BB1226" s="1136"/>
      <c r="BC1226" s="1136"/>
      <c r="BD1226" s="1136"/>
      <c r="BE1226" s="1136"/>
      <c r="BF1226" s="1136"/>
      <c r="BG1226" s="1136"/>
      <c r="BH1226" s="1136"/>
      <c r="BI1226" s="1136"/>
      <c r="BJ1226" s="1136"/>
      <c r="BK1226" s="1136"/>
      <c r="BL1226" s="1136"/>
      <c r="BM1226" s="1136"/>
      <c r="BN1226" s="1136"/>
      <c r="BO1226" s="1136"/>
      <c r="BP1226" s="1136"/>
      <c r="BQ1226" s="1136"/>
      <c r="BR1226" s="1136"/>
      <c r="BS1226" s="1136"/>
      <c r="BT1226" s="1136"/>
      <c r="BU1226" s="1136"/>
      <c r="BV1226" s="1136"/>
      <c r="BW1226" s="1136"/>
      <c r="BX1226" s="1136"/>
      <c r="BY1226" s="1136"/>
      <c r="BZ1226" s="1136"/>
      <c r="CA1226" s="1136"/>
      <c r="CB1226" s="1136"/>
      <c r="CC1226" s="1136"/>
      <c r="CD1226" s="1136"/>
      <c r="CE1226" s="1136"/>
      <c r="CF1226" s="1136"/>
      <c r="CG1226" s="1136"/>
      <c r="CH1226" s="1136"/>
      <c r="CI1226" s="1136"/>
      <c r="CJ1226" s="1136"/>
      <c r="CK1226" s="1136"/>
      <c r="CL1226" s="1136"/>
      <c r="CM1226" s="1136"/>
      <c r="CN1226" s="1136"/>
      <c r="CO1226" s="1136"/>
      <c r="CP1226" s="1136"/>
      <c r="CQ1226" s="1136"/>
      <c r="CR1226" s="1136"/>
      <c r="CS1226" s="1136"/>
      <c r="CT1226" s="1136"/>
      <c r="CU1226" s="1136"/>
      <c r="CV1226" s="1136"/>
      <c r="CW1226" s="1136"/>
      <c r="CX1226" s="1136"/>
      <c r="CY1226" s="1136"/>
      <c r="CZ1226" s="1136"/>
      <c r="DA1226" s="1136"/>
      <c r="DB1226" s="1136"/>
      <c r="DC1226" s="1136"/>
      <c r="DD1226" s="1136"/>
      <c r="DE1226" s="1136"/>
      <c r="DF1226" s="1136"/>
      <c r="DG1226" s="1136"/>
      <c r="DH1226" s="1136"/>
      <c r="DI1226" s="1136"/>
    </row>
    <row r="1227" spans="1:113" ht="15.75" x14ac:dyDescent="0.25">
      <c r="A1227" s="1580" t="s">
        <v>3409</v>
      </c>
      <c r="B1227" s="1467"/>
      <c r="C1227" s="1468"/>
      <c r="D1227" s="1572"/>
      <c r="E1227" s="1572"/>
      <c r="F1227" s="1572"/>
      <c r="G1227" s="1572"/>
      <c r="H1227" s="1531"/>
      <c r="I1227" s="1531"/>
      <c r="J1227" s="1531"/>
      <c r="K1227" s="1531"/>
      <c r="L1227" s="1531"/>
      <c r="M1227" s="1531"/>
      <c r="N1227" s="1531"/>
      <c r="O1227" s="1531"/>
      <c r="P1227" s="1531"/>
      <c r="Q1227" s="1531"/>
      <c r="R1227" s="1531"/>
      <c r="S1227" s="1531"/>
      <c r="T1227" s="1531"/>
      <c r="U1227" s="1531"/>
      <c r="V1227" s="1531"/>
      <c r="W1227" s="1531"/>
      <c r="X1227" s="1531"/>
      <c r="Y1227" s="1531"/>
      <c r="Z1227" s="1531"/>
      <c r="AA1227" s="1531"/>
      <c r="AB1227" s="1531"/>
      <c r="AC1227" s="1531"/>
      <c r="AD1227" s="1531"/>
      <c r="AE1227" s="1531"/>
      <c r="AF1227" s="1531"/>
      <c r="AG1227" s="1531"/>
      <c r="AH1227" s="1531"/>
      <c r="AI1227" s="1531"/>
      <c r="AJ1227" s="1531"/>
      <c r="AK1227" s="1531"/>
      <c r="AL1227" s="1531"/>
      <c r="AM1227" s="1531"/>
      <c r="AN1227" s="1531"/>
      <c r="AO1227" s="1531"/>
      <c r="AP1227" s="1531"/>
      <c r="AQ1227" s="1531"/>
      <c r="AR1227" s="1531"/>
      <c r="AS1227" s="1531"/>
      <c r="AT1227" s="1136"/>
      <c r="AU1227" s="1136"/>
      <c r="AV1227" s="1136"/>
      <c r="AW1227" s="1136"/>
      <c r="AX1227" s="1136"/>
      <c r="AY1227" s="1136"/>
      <c r="AZ1227" s="1136"/>
      <c r="BA1227" s="1136"/>
      <c r="BB1227" s="1136"/>
      <c r="BC1227" s="1136"/>
      <c r="BD1227" s="1136"/>
      <c r="BE1227" s="1136"/>
      <c r="BF1227" s="1136"/>
      <c r="BG1227" s="1136"/>
      <c r="BH1227" s="1136"/>
      <c r="BI1227" s="1136"/>
      <c r="BJ1227" s="1136"/>
      <c r="BK1227" s="1136"/>
      <c r="BL1227" s="1136"/>
      <c r="BM1227" s="1136"/>
      <c r="BN1227" s="1136"/>
      <c r="BO1227" s="1136"/>
      <c r="BP1227" s="1136"/>
      <c r="BQ1227" s="1136"/>
      <c r="BR1227" s="1136"/>
      <c r="BS1227" s="1136"/>
      <c r="BT1227" s="1136"/>
      <c r="BU1227" s="1136"/>
      <c r="BV1227" s="1136"/>
      <c r="BW1227" s="1136"/>
      <c r="BX1227" s="1136"/>
      <c r="BY1227" s="1136"/>
      <c r="BZ1227" s="1136"/>
      <c r="CA1227" s="1136"/>
      <c r="CB1227" s="1136"/>
      <c r="CC1227" s="1136"/>
      <c r="CD1227" s="1136"/>
      <c r="CE1227" s="1136"/>
      <c r="CF1227" s="1136"/>
      <c r="CG1227" s="1136"/>
      <c r="CH1227" s="1136"/>
      <c r="CI1227" s="1136"/>
      <c r="CJ1227" s="1136"/>
      <c r="CK1227" s="1136"/>
      <c r="CL1227" s="1136"/>
      <c r="CM1227" s="1136"/>
      <c r="CN1227" s="1136"/>
      <c r="CO1227" s="1136"/>
      <c r="CP1227" s="1136"/>
      <c r="CQ1227" s="1136"/>
      <c r="CR1227" s="1136"/>
      <c r="CS1227" s="1136"/>
      <c r="CT1227" s="1136"/>
      <c r="CU1227" s="1136"/>
      <c r="CV1227" s="1136"/>
      <c r="CW1227" s="1136"/>
      <c r="CX1227" s="1136"/>
      <c r="CY1227" s="1136"/>
      <c r="CZ1227" s="1136"/>
      <c r="DA1227" s="1136"/>
      <c r="DB1227" s="1136"/>
      <c r="DC1227" s="1136"/>
      <c r="DD1227" s="1136"/>
      <c r="DE1227" s="1136"/>
      <c r="DF1227" s="1136"/>
      <c r="DG1227" s="1136"/>
      <c r="DH1227" s="1136"/>
      <c r="DI1227" s="1136"/>
    </row>
    <row r="1228" spans="1:113" ht="15.75" x14ac:dyDescent="0.25">
      <c r="A1228" s="1417" t="s">
        <v>3405</v>
      </c>
      <c r="B1228" s="1442">
        <v>4</v>
      </c>
      <c r="C1228" s="1349"/>
      <c r="D1228" s="1569"/>
      <c r="E1228" s="1569"/>
      <c r="F1228" s="1569"/>
      <c r="G1228" s="1569"/>
      <c r="H1228" s="1531"/>
      <c r="I1228" s="1531"/>
      <c r="J1228" s="1531"/>
      <c r="K1228" s="1531"/>
      <c r="L1228" s="1531"/>
      <c r="M1228" s="1531"/>
      <c r="N1228" s="1531"/>
      <c r="O1228" s="1531"/>
      <c r="P1228" s="1531"/>
      <c r="Q1228" s="1531"/>
      <c r="R1228" s="1531"/>
      <c r="S1228" s="1531"/>
      <c r="T1228" s="1531"/>
      <c r="U1228" s="1531"/>
      <c r="V1228" s="1531"/>
      <c r="W1228" s="1531"/>
      <c r="X1228" s="1531"/>
      <c r="Y1228" s="1531"/>
      <c r="Z1228" s="1531"/>
      <c r="AA1228" s="1531"/>
      <c r="AB1228" s="1531"/>
      <c r="AC1228" s="1531"/>
      <c r="AD1228" s="1531"/>
      <c r="AE1228" s="1531"/>
      <c r="AF1228" s="1531"/>
      <c r="AG1228" s="1531"/>
      <c r="AH1228" s="1531"/>
      <c r="AI1228" s="1531"/>
      <c r="AJ1228" s="1531"/>
      <c r="AK1228" s="1531"/>
      <c r="AL1228" s="1531"/>
      <c r="AM1228" s="1531"/>
      <c r="AN1228" s="1531"/>
      <c r="AO1228" s="1531"/>
      <c r="AP1228" s="1531"/>
      <c r="AQ1228" s="1531"/>
      <c r="AR1228" s="1531"/>
      <c r="AS1228" s="1531"/>
      <c r="AT1228" s="1136"/>
      <c r="AU1228" s="1136"/>
      <c r="AV1228" s="1136"/>
      <c r="AW1228" s="1136"/>
      <c r="AX1228" s="1136"/>
      <c r="AY1228" s="1136"/>
      <c r="AZ1228" s="1136"/>
      <c r="BA1228" s="1136"/>
      <c r="BB1228" s="1136"/>
      <c r="BC1228" s="1136"/>
      <c r="BD1228" s="1136"/>
      <c r="BE1228" s="1136"/>
      <c r="BF1228" s="1136"/>
      <c r="BG1228" s="1136"/>
      <c r="BH1228" s="1136"/>
      <c r="BI1228" s="1136"/>
      <c r="BJ1228" s="1136"/>
      <c r="BK1228" s="1136"/>
      <c r="BL1228" s="1136"/>
      <c r="BM1228" s="1136"/>
      <c r="BN1228" s="1136"/>
      <c r="BO1228" s="1136"/>
      <c r="BP1228" s="1136"/>
      <c r="BQ1228" s="1136"/>
      <c r="BR1228" s="1136"/>
      <c r="BS1228" s="1136"/>
      <c r="BT1228" s="1136"/>
      <c r="BU1228" s="1136"/>
      <c r="BV1228" s="1136"/>
      <c r="BW1228" s="1136"/>
      <c r="BX1228" s="1136"/>
      <c r="BY1228" s="1136"/>
      <c r="BZ1228" s="1136"/>
      <c r="CA1228" s="1136"/>
      <c r="CB1228" s="1136"/>
      <c r="CC1228" s="1136"/>
      <c r="CD1228" s="1136"/>
      <c r="CE1228" s="1136"/>
      <c r="CF1228" s="1136"/>
      <c r="CG1228" s="1136"/>
      <c r="CH1228" s="1136"/>
      <c r="CI1228" s="1136"/>
      <c r="CJ1228" s="1136"/>
      <c r="CK1228" s="1136"/>
      <c r="CL1228" s="1136"/>
      <c r="CM1228" s="1136"/>
      <c r="CN1228" s="1136"/>
      <c r="CO1228" s="1136"/>
      <c r="CP1228" s="1136"/>
      <c r="CQ1228" s="1136"/>
      <c r="CR1228" s="1136"/>
      <c r="CS1228" s="1136"/>
      <c r="CT1228" s="1136"/>
      <c r="CU1228" s="1136"/>
      <c r="CV1228" s="1136"/>
      <c r="CW1228" s="1136"/>
      <c r="CX1228" s="1136"/>
      <c r="CY1228" s="1136"/>
      <c r="CZ1228" s="1136"/>
      <c r="DA1228" s="1136"/>
      <c r="DB1228" s="1136"/>
      <c r="DC1228" s="1136"/>
      <c r="DD1228" s="1136"/>
      <c r="DE1228" s="1136"/>
      <c r="DF1228" s="1136"/>
      <c r="DG1228" s="1136"/>
      <c r="DH1228" s="1136"/>
      <c r="DI1228" s="1136"/>
    </row>
    <row r="1229" spans="1:113" ht="15.75" x14ac:dyDescent="0.25">
      <c r="A1229" s="1417" t="s">
        <v>3406</v>
      </c>
      <c r="B1229" s="1431">
        <f>B800</f>
        <v>10</v>
      </c>
      <c r="C1229" s="1610"/>
      <c r="D1229" s="1569"/>
      <c r="E1229" s="1569"/>
      <c r="F1229" s="1569"/>
      <c r="G1229" s="1569"/>
      <c r="H1229" s="1531"/>
      <c r="I1229" s="1531"/>
      <c r="J1229" s="1531"/>
      <c r="K1229" s="1531"/>
      <c r="L1229" s="1531"/>
      <c r="M1229" s="1531"/>
      <c r="N1229" s="1531"/>
      <c r="O1229" s="1531"/>
      <c r="P1229" s="1531"/>
      <c r="Q1229" s="1531"/>
      <c r="R1229" s="1531"/>
      <c r="S1229" s="1531"/>
      <c r="T1229" s="1531"/>
      <c r="U1229" s="1531"/>
      <c r="V1229" s="1531"/>
      <c r="W1229" s="1531"/>
      <c r="X1229" s="1531"/>
      <c r="Y1229" s="1531"/>
      <c r="Z1229" s="1531"/>
      <c r="AA1229" s="1531"/>
      <c r="AB1229" s="1531"/>
      <c r="AC1229" s="1531"/>
      <c r="AD1229" s="1531"/>
      <c r="AE1229" s="1531"/>
      <c r="AF1229" s="1531"/>
      <c r="AG1229" s="1531"/>
      <c r="AH1229" s="1531"/>
      <c r="AI1229" s="1531"/>
      <c r="AJ1229" s="1531"/>
      <c r="AK1229" s="1531"/>
      <c r="AL1229" s="1531"/>
      <c r="AM1229" s="1531"/>
      <c r="AN1229" s="1531"/>
      <c r="AO1229" s="1531"/>
      <c r="AP1229" s="1531"/>
      <c r="AQ1229" s="1531"/>
      <c r="AR1229" s="1531"/>
      <c r="AS1229" s="1531"/>
      <c r="AT1229" s="1136"/>
      <c r="AU1229" s="1136"/>
      <c r="AV1229" s="1136"/>
      <c r="AW1229" s="1136"/>
      <c r="AX1229" s="1136"/>
      <c r="AY1229" s="1136"/>
      <c r="AZ1229" s="1136"/>
      <c r="BA1229" s="1136"/>
      <c r="BB1229" s="1136"/>
      <c r="BC1229" s="1136"/>
      <c r="BD1229" s="1136"/>
      <c r="BE1229" s="1136"/>
      <c r="BF1229" s="1136"/>
      <c r="BG1229" s="1136"/>
      <c r="BH1229" s="1136"/>
      <c r="BI1229" s="1136"/>
      <c r="BJ1229" s="1136"/>
      <c r="BK1229" s="1136"/>
      <c r="BL1229" s="1136"/>
      <c r="BM1229" s="1136"/>
      <c r="BN1229" s="1136"/>
      <c r="BO1229" s="1136"/>
      <c r="BP1229" s="1136"/>
      <c r="BQ1229" s="1136"/>
      <c r="BR1229" s="1136"/>
      <c r="BS1229" s="1136"/>
      <c r="BT1229" s="1136"/>
      <c r="BU1229" s="1136"/>
      <c r="BV1229" s="1136"/>
      <c r="BW1229" s="1136"/>
      <c r="BX1229" s="1136"/>
      <c r="BY1229" s="1136"/>
      <c r="BZ1229" s="1136"/>
      <c r="CA1229" s="1136"/>
      <c r="CB1229" s="1136"/>
      <c r="CC1229" s="1136"/>
      <c r="CD1229" s="1136"/>
      <c r="CE1229" s="1136"/>
      <c r="CF1229" s="1136"/>
      <c r="CG1229" s="1136"/>
      <c r="CH1229" s="1136"/>
      <c r="CI1229" s="1136"/>
      <c r="CJ1229" s="1136"/>
      <c r="CK1229" s="1136"/>
      <c r="CL1229" s="1136"/>
      <c r="CM1229" s="1136"/>
      <c r="CN1229" s="1136"/>
      <c r="CO1229" s="1136"/>
      <c r="CP1229" s="1136"/>
      <c r="CQ1229" s="1136"/>
      <c r="CR1229" s="1136"/>
      <c r="CS1229" s="1136"/>
      <c r="CT1229" s="1136"/>
      <c r="CU1229" s="1136"/>
      <c r="CV1229" s="1136"/>
      <c r="CW1229" s="1136"/>
      <c r="CX1229" s="1136"/>
      <c r="CY1229" s="1136"/>
      <c r="CZ1229" s="1136"/>
      <c r="DA1229" s="1136"/>
      <c r="DB1229" s="1136"/>
      <c r="DC1229" s="1136"/>
      <c r="DD1229" s="1136"/>
      <c r="DE1229" s="1136"/>
      <c r="DF1229" s="1136"/>
      <c r="DG1229" s="1136"/>
      <c r="DH1229" s="1136"/>
      <c r="DI1229" s="1136"/>
    </row>
    <row r="1230" spans="1:113" ht="15.75" x14ac:dyDescent="0.25">
      <c r="A1230" s="1430" t="s">
        <v>3407</v>
      </c>
      <c r="B1230" s="1443" t="e">
        <f>((B286*B291*B290*B293*B285)/(B287*B329))*B1228*B1229</f>
        <v>#VALUE!</v>
      </c>
      <c r="C1230" s="1521"/>
      <c r="D1230" s="1349"/>
      <c r="E1230" s="1349"/>
      <c r="F1230" s="1349"/>
      <c r="G1230" s="1349"/>
      <c r="H1230" s="1531"/>
      <c r="I1230" s="1531"/>
      <c r="J1230" s="1531"/>
      <c r="K1230" s="1531"/>
      <c r="L1230" s="1531"/>
      <c r="M1230" s="1531"/>
      <c r="N1230" s="1531"/>
      <c r="O1230" s="1531"/>
      <c r="P1230" s="1531"/>
      <c r="Q1230" s="1531"/>
      <c r="R1230" s="1531"/>
      <c r="S1230" s="1531"/>
      <c r="T1230" s="1531"/>
      <c r="U1230" s="1531"/>
      <c r="V1230" s="1531"/>
      <c r="W1230" s="1531"/>
      <c r="X1230" s="1531"/>
      <c r="Y1230" s="1531"/>
      <c r="Z1230" s="1531"/>
      <c r="AA1230" s="1531"/>
      <c r="AB1230" s="1531"/>
      <c r="AC1230" s="1531"/>
      <c r="AD1230" s="1531"/>
      <c r="AE1230" s="1531"/>
      <c r="AF1230" s="1531"/>
      <c r="AG1230" s="1531"/>
      <c r="AH1230" s="1531"/>
      <c r="AI1230" s="1531"/>
      <c r="AJ1230" s="1531"/>
      <c r="AK1230" s="1531"/>
      <c r="AL1230" s="1531"/>
      <c r="AM1230" s="1531"/>
      <c r="AN1230" s="1531"/>
      <c r="AO1230" s="1531"/>
      <c r="AP1230" s="1531"/>
      <c r="AQ1230" s="1531"/>
      <c r="AR1230" s="1531"/>
      <c r="AS1230" s="1531"/>
      <c r="AT1230" s="1136"/>
      <c r="AU1230" s="1136"/>
      <c r="AV1230" s="1136"/>
      <c r="AW1230" s="1136"/>
      <c r="AX1230" s="1136"/>
      <c r="AY1230" s="1136"/>
      <c r="AZ1230" s="1136"/>
      <c r="BA1230" s="1136"/>
      <c r="BB1230" s="1136"/>
      <c r="BC1230" s="1136"/>
      <c r="BD1230" s="1136"/>
      <c r="BE1230" s="1136"/>
      <c r="BF1230" s="1136"/>
      <c r="BG1230" s="1136"/>
      <c r="BH1230" s="1136"/>
      <c r="BI1230" s="1136"/>
      <c r="BJ1230" s="1136"/>
      <c r="BK1230" s="1136"/>
      <c r="BL1230" s="1136"/>
      <c r="BM1230" s="1136"/>
      <c r="BN1230" s="1136"/>
      <c r="BO1230" s="1136"/>
      <c r="BP1230" s="1136"/>
      <c r="BQ1230" s="1136"/>
      <c r="BR1230" s="1136"/>
      <c r="BS1230" s="1136"/>
      <c r="BT1230" s="1136"/>
      <c r="BU1230" s="1136"/>
      <c r="BV1230" s="1136"/>
      <c r="BW1230" s="1136"/>
      <c r="BX1230" s="1136"/>
      <c r="BY1230" s="1136"/>
      <c r="BZ1230" s="1136"/>
      <c r="CA1230" s="1136"/>
      <c r="CB1230" s="1136"/>
      <c r="CC1230" s="1136"/>
      <c r="CD1230" s="1136"/>
      <c r="CE1230" s="1136"/>
      <c r="CF1230" s="1136"/>
      <c r="CG1230" s="1136"/>
      <c r="CH1230" s="1136"/>
      <c r="CI1230" s="1136"/>
      <c r="CJ1230" s="1136"/>
      <c r="CK1230" s="1136"/>
      <c r="CL1230" s="1136"/>
      <c r="CM1230" s="1136"/>
      <c r="CN1230" s="1136"/>
      <c r="CO1230" s="1136"/>
      <c r="CP1230" s="1136"/>
      <c r="CQ1230" s="1136"/>
      <c r="CR1230" s="1136"/>
      <c r="CS1230" s="1136"/>
      <c r="CT1230" s="1136"/>
      <c r="CU1230" s="1136"/>
      <c r="CV1230" s="1136"/>
      <c r="CW1230" s="1136"/>
      <c r="CX1230" s="1136"/>
      <c r="CY1230" s="1136"/>
      <c r="CZ1230" s="1136"/>
      <c r="DA1230" s="1136"/>
      <c r="DB1230" s="1136"/>
      <c r="DC1230" s="1136"/>
      <c r="DD1230" s="1136"/>
      <c r="DE1230" s="1136"/>
      <c r="DF1230" s="1136"/>
      <c r="DG1230" s="1136"/>
      <c r="DH1230" s="1136"/>
      <c r="DI1230" s="1136"/>
    </row>
    <row r="1231" spans="1:113" ht="15.75" x14ac:dyDescent="0.25">
      <c r="A1231" s="1466" t="s">
        <v>3408</v>
      </c>
      <c r="B1231" s="1467" t="e">
        <f>IF(B298=1,B1230,0)</f>
        <v>#VALUE!</v>
      </c>
      <c r="C1231" s="1590"/>
      <c r="D1231" s="1434"/>
      <c r="E1231" s="1434"/>
      <c r="F1231" s="1434"/>
      <c r="G1231" s="1434"/>
      <c r="H1231" s="1531"/>
      <c r="I1231" s="1531"/>
      <c r="J1231" s="1531"/>
      <c r="K1231" s="1531"/>
      <c r="L1231" s="1531"/>
      <c r="M1231" s="1531"/>
      <c r="N1231" s="1531"/>
      <c r="O1231" s="1531"/>
      <c r="P1231" s="1531"/>
      <c r="Q1231" s="1531"/>
      <c r="R1231" s="1531"/>
      <c r="S1231" s="1531"/>
      <c r="T1231" s="1531"/>
      <c r="U1231" s="1531"/>
      <c r="V1231" s="1531"/>
      <c r="W1231" s="1531"/>
      <c r="X1231" s="1531"/>
      <c r="Y1231" s="1531"/>
      <c r="Z1231" s="1531"/>
      <c r="AA1231" s="1531"/>
      <c r="AB1231" s="1531"/>
      <c r="AC1231" s="1531"/>
      <c r="AD1231" s="1531"/>
      <c r="AE1231" s="1531"/>
      <c r="AF1231" s="1531"/>
      <c r="AG1231" s="1531"/>
      <c r="AH1231" s="1531"/>
      <c r="AI1231" s="1531"/>
      <c r="AJ1231" s="1531"/>
      <c r="AK1231" s="1531"/>
      <c r="AL1231" s="1531"/>
      <c r="AM1231" s="1531"/>
      <c r="AN1231" s="1531"/>
      <c r="AO1231" s="1531"/>
      <c r="AP1231" s="1531"/>
      <c r="AQ1231" s="1531"/>
      <c r="AR1231" s="1531"/>
      <c r="AS1231" s="1531"/>
      <c r="AT1231" s="1136"/>
      <c r="AU1231" s="1136"/>
      <c r="AV1231" s="1136"/>
      <c r="AW1231" s="1136"/>
      <c r="AX1231" s="1136"/>
      <c r="AY1231" s="1136"/>
      <c r="AZ1231" s="1136"/>
      <c r="BA1231" s="1136"/>
      <c r="BB1231" s="1136"/>
      <c r="BC1231" s="1136"/>
      <c r="BD1231" s="1136"/>
      <c r="BE1231" s="1136"/>
      <c r="BF1231" s="1136"/>
      <c r="BG1231" s="1136"/>
      <c r="BH1231" s="1136"/>
      <c r="BI1231" s="1136"/>
      <c r="BJ1231" s="1136"/>
      <c r="BK1231" s="1136"/>
      <c r="BL1231" s="1136"/>
      <c r="BM1231" s="1136"/>
      <c r="BN1231" s="1136"/>
      <c r="BO1231" s="1136"/>
      <c r="BP1231" s="1136"/>
      <c r="BQ1231" s="1136"/>
      <c r="BR1231" s="1136"/>
      <c r="BS1231" s="1136"/>
      <c r="BT1231" s="1136"/>
      <c r="BU1231" s="1136"/>
      <c r="BV1231" s="1136"/>
      <c r="BW1231" s="1136"/>
      <c r="BX1231" s="1136"/>
      <c r="BY1231" s="1136"/>
      <c r="BZ1231" s="1136"/>
      <c r="CA1231" s="1136"/>
      <c r="CB1231" s="1136"/>
      <c r="CC1231" s="1136"/>
      <c r="CD1231" s="1136"/>
      <c r="CE1231" s="1136"/>
      <c r="CF1231" s="1136"/>
      <c r="CG1231" s="1136"/>
      <c r="CH1231" s="1136"/>
      <c r="CI1231" s="1136"/>
      <c r="CJ1231" s="1136"/>
      <c r="CK1231" s="1136"/>
      <c r="CL1231" s="1136"/>
      <c r="CM1231" s="1136"/>
      <c r="CN1231" s="1136"/>
      <c r="CO1231" s="1136"/>
      <c r="CP1231" s="1136"/>
      <c r="CQ1231" s="1136"/>
      <c r="CR1231" s="1136"/>
      <c r="CS1231" s="1136"/>
      <c r="CT1231" s="1136"/>
      <c r="CU1231" s="1136"/>
      <c r="CV1231" s="1136"/>
      <c r="CW1231" s="1136"/>
      <c r="CX1231" s="1136"/>
      <c r="CY1231" s="1136"/>
      <c r="CZ1231" s="1136"/>
      <c r="DA1231" s="1136"/>
      <c r="DB1231" s="1136"/>
      <c r="DC1231" s="1136"/>
      <c r="DD1231" s="1136"/>
      <c r="DE1231" s="1136"/>
      <c r="DF1231" s="1136"/>
      <c r="DG1231" s="1136"/>
      <c r="DH1231" s="1136"/>
      <c r="DI1231" s="1136"/>
    </row>
    <row r="1232" spans="1:113" ht="15.75" x14ac:dyDescent="0.25">
      <c r="A1232" s="1417"/>
      <c r="B1232" s="1415"/>
      <c r="C1232" s="1531"/>
      <c r="D1232" s="1437"/>
      <c r="E1232" s="1437"/>
      <c r="F1232" s="1437"/>
      <c r="G1232" s="1437"/>
      <c r="H1232" s="1521"/>
      <c r="I1232" s="1531"/>
      <c r="J1232" s="1531"/>
      <c r="K1232" s="1531"/>
      <c r="L1232" s="1531"/>
      <c r="M1232" s="1531"/>
      <c r="N1232" s="1531"/>
      <c r="O1232" s="1531"/>
      <c r="P1232" s="1531"/>
      <c r="Q1232" s="1531"/>
      <c r="R1232" s="1531"/>
      <c r="S1232" s="1531"/>
      <c r="T1232" s="1531"/>
      <c r="U1232" s="1531"/>
      <c r="V1232" s="1531"/>
      <c r="W1232" s="1531"/>
      <c r="X1232" s="1531"/>
      <c r="Y1232" s="1531"/>
      <c r="Z1232" s="1531"/>
      <c r="AA1232" s="1531"/>
      <c r="AB1232" s="1531"/>
      <c r="AC1232" s="1531"/>
      <c r="AD1232" s="1531"/>
      <c r="AE1232" s="1531"/>
      <c r="AF1232" s="1531"/>
      <c r="AG1232" s="1531"/>
      <c r="AH1232" s="1531"/>
      <c r="AI1232" s="1531"/>
      <c r="AJ1232" s="1531"/>
      <c r="AK1232" s="1531"/>
      <c r="AL1232" s="1531"/>
      <c r="AM1232" s="1531"/>
      <c r="AN1232" s="1531"/>
      <c r="AO1232" s="1531"/>
      <c r="AP1232" s="1531"/>
      <c r="AQ1232" s="1531"/>
      <c r="AR1232" s="1531"/>
      <c r="AS1232" s="1531"/>
      <c r="AT1232" s="1136"/>
      <c r="AU1232" s="1136"/>
      <c r="AV1232" s="1136"/>
      <c r="AW1232" s="1136"/>
      <c r="AX1232" s="1136"/>
      <c r="AY1232" s="1136"/>
      <c r="AZ1232" s="1136"/>
      <c r="BA1232" s="1136"/>
      <c r="BB1232" s="1136"/>
      <c r="BC1232" s="1136"/>
      <c r="BD1232" s="1136"/>
      <c r="BE1232" s="1136"/>
      <c r="BF1232" s="1136"/>
      <c r="BG1232" s="1136"/>
      <c r="BH1232" s="1136"/>
      <c r="BI1232" s="1136"/>
      <c r="BJ1232" s="1136"/>
      <c r="BK1232" s="1136"/>
      <c r="BL1232" s="1136"/>
      <c r="BM1232" s="1136"/>
      <c r="BN1232" s="1136"/>
      <c r="BO1232" s="1136"/>
      <c r="BP1232" s="1136"/>
      <c r="BQ1232" s="1136"/>
      <c r="BR1232" s="1136"/>
      <c r="BS1232" s="1136"/>
      <c r="BT1232" s="1136"/>
      <c r="BU1232" s="1136"/>
      <c r="BV1232" s="1136"/>
      <c r="BW1232" s="1136"/>
      <c r="BX1232" s="1136"/>
      <c r="BY1232" s="1136"/>
      <c r="BZ1232" s="1136"/>
      <c r="CA1232" s="1136"/>
      <c r="CB1232" s="1136"/>
      <c r="CC1232" s="1136"/>
      <c r="CD1232" s="1136"/>
      <c r="CE1232" s="1136"/>
      <c r="CF1232" s="1136"/>
      <c r="CG1232" s="1136"/>
      <c r="CH1232" s="1136"/>
      <c r="CI1232" s="1136"/>
      <c r="CJ1232" s="1136"/>
      <c r="CK1232" s="1136"/>
      <c r="CL1232" s="1136"/>
      <c r="CM1232" s="1136"/>
      <c r="CN1232" s="1136"/>
      <c r="CO1232" s="1136"/>
      <c r="CP1232" s="1136"/>
      <c r="CQ1232" s="1136"/>
      <c r="CR1232" s="1136"/>
      <c r="CS1232" s="1136"/>
      <c r="CT1232" s="1136"/>
      <c r="CU1232" s="1136"/>
      <c r="CV1232" s="1136"/>
      <c r="CW1232" s="1136"/>
      <c r="CX1232" s="1136"/>
      <c r="CY1232" s="1136"/>
      <c r="CZ1232" s="1136"/>
      <c r="DA1232" s="1136"/>
      <c r="DB1232" s="1136"/>
      <c r="DC1232" s="1136"/>
      <c r="DD1232" s="1136"/>
      <c r="DE1232" s="1136"/>
      <c r="DF1232" s="1136"/>
      <c r="DG1232" s="1136"/>
      <c r="DH1232" s="1136"/>
      <c r="DI1232" s="1136"/>
    </row>
    <row r="1233" spans="1:113" ht="15.75" x14ac:dyDescent="0.25">
      <c r="A1233" s="1636" t="s">
        <v>3741</v>
      </c>
      <c r="B1233" s="1637"/>
      <c r="C1233" s="1070"/>
      <c r="D1233" s="1468"/>
      <c r="E1233" s="1468"/>
      <c r="F1233" s="1468"/>
      <c r="G1233" s="1468"/>
      <c r="H1233" s="1531"/>
      <c r="I1233" s="1531"/>
      <c r="J1233" s="1531"/>
      <c r="K1233" s="1531"/>
      <c r="L1233" s="1531"/>
      <c r="M1233" s="1531"/>
      <c r="N1233" s="1531"/>
      <c r="O1233" s="1531"/>
      <c r="P1233" s="1531"/>
      <c r="Q1233" s="1531"/>
      <c r="R1233" s="1531"/>
      <c r="S1233" s="1531"/>
      <c r="T1233" s="1531"/>
      <c r="U1233" s="1531"/>
      <c r="V1233" s="1531"/>
      <c r="W1233" s="1531"/>
      <c r="X1233" s="1531"/>
      <c r="Y1233" s="1531"/>
      <c r="Z1233" s="1531"/>
      <c r="AA1233" s="1531"/>
      <c r="AB1233" s="1531"/>
      <c r="AC1233" s="1531"/>
      <c r="AD1233" s="1531"/>
      <c r="AE1233" s="1531"/>
      <c r="AF1233" s="1531"/>
      <c r="AG1233" s="1531"/>
      <c r="AH1233" s="1531"/>
      <c r="AI1233" s="1531"/>
      <c r="AJ1233" s="1531"/>
      <c r="AK1233" s="1531"/>
      <c r="AL1233" s="1531"/>
      <c r="AM1233" s="1531"/>
      <c r="AN1233" s="1531"/>
      <c r="AO1233" s="1531"/>
      <c r="AP1233" s="1531"/>
      <c r="AQ1233" s="1531"/>
      <c r="AR1233" s="1531"/>
      <c r="AS1233" s="1531"/>
      <c r="AT1233" s="1136"/>
      <c r="AU1233" s="1136"/>
      <c r="AV1233" s="1136"/>
      <c r="AW1233" s="1136"/>
      <c r="AX1233" s="1136"/>
      <c r="AY1233" s="1136"/>
      <c r="AZ1233" s="1136"/>
      <c r="BA1233" s="1136"/>
      <c r="BB1233" s="1136"/>
      <c r="BC1233" s="1136"/>
      <c r="BD1233" s="1136"/>
      <c r="BE1233" s="1136"/>
      <c r="BF1233" s="1136"/>
      <c r="BG1233" s="1136"/>
      <c r="BH1233" s="1136"/>
      <c r="BI1233" s="1136"/>
      <c r="BJ1233" s="1136"/>
      <c r="BK1233" s="1136"/>
      <c r="BL1233" s="1136"/>
      <c r="BM1233" s="1136"/>
      <c r="BN1233" s="1136"/>
      <c r="BO1233" s="1136"/>
      <c r="BP1233" s="1136"/>
      <c r="BQ1233" s="1136"/>
      <c r="BR1233" s="1136"/>
      <c r="BS1233" s="1136"/>
      <c r="BT1233" s="1136"/>
      <c r="BU1233" s="1136"/>
      <c r="BV1233" s="1136"/>
      <c r="BW1233" s="1136"/>
      <c r="BX1233" s="1136"/>
      <c r="BY1233" s="1136"/>
      <c r="BZ1233" s="1136"/>
      <c r="CA1233" s="1136"/>
      <c r="CB1233" s="1136"/>
      <c r="CC1233" s="1136"/>
      <c r="CD1233" s="1136"/>
      <c r="CE1233" s="1136"/>
      <c r="CF1233" s="1136"/>
      <c r="CG1233" s="1136"/>
      <c r="CH1233" s="1136"/>
      <c r="CI1233" s="1136"/>
      <c r="CJ1233" s="1136"/>
      <c r="CK1233" s="1136"/>
      <c r="CL1233" s="1136"/>
      <c r="CM1233" s="1136"/>
      <c r="CN1233" s="1136"/>
      <c r="CO1233" s="1136"/>
      <c r="CP1233" s="1136"/>
      <c r="CQ1233" s="1136"/>
      <c r="CR1233" s="1136"/>
      <c r="CS1233" s="1136"/>
      <c r="CT1233" s="1136"/>
      <c r="CU1233" s="1136"/>
      <c r="CV1233" s="1136"/>
      <c r="CW1233" s="1136"/>
      <c r="CX1233" s="1136"/>
      <c r="CY1233" s="1136"/>
      <c r="CZ1233" s="1136"/>
      <c r="DA1233" s="1136"/>
      <c r="DB1233" s="1136"/>
      <c r="DC1233" s="1136"/>
      <c r="DD1233" s="1136"/>
      <c r="DE1233" s="1136"/>
      <c r="DF1233" s="1136"/>
      <c r="DG1233" s="1136"/>
      <c r="DH1233" s="1136"/>
      <c r="DI1233" s="1136"/>
    </row>
    <row r="1234" spans="1:113" ht="15.75" x14ac:dyDescent="0.25">
      <c r="A1234" s="1595" t="s">
        <v>3742</v>
      </c>
      <c r="B1234" s="1046"/>
      <c r="C1234" s="1136"/>
      <c r="D1234" s="1468"/>
      <c r="E1234" s="1468"/>
      <c r="F1234" s="1468"/>
      <c r="G1234" s="1468"/>
      <c r="H1234" s="1531"/>
      <c r="I1234" s="1531"/>
      <c r="J1234" s="1531"/>
      <c r="K1234" s="1531"/>
      <c r="L1234" s="1531"/>
      <c r="M1234" s="1531"/>
      <c r="N1234" s="1531"/>
      <c r="O1234" s="1531"/>
      <c r="P1234" s="1531"/>
      <c r="Q1234" s="1531"/>
      <c r="R1234" s="1531"/>
      <c r="S1234" s="1531"/>
      <c r="T1234" s="1531"/>
      <c r="U1234" s="1531"/>
      <c r="V1234" s="1531"/>
      <c r="W1234" s="1531"/>
      <c r="X1234" s="1531"/>
      <c r="Y1234" s="1531"/>
      <c r="Z1234" s="1531"/>
      <c r="AA1234" s="1531"/>
      <c r="AB1234" s="1531"/>
      <c r="AC1234" s="1531"/>
      <c r="AD1234" s="1531"/>
      <c r="AE1234" s="1531"/>
      <c r="AF1234" s="1531"/>
      <c r="AG1234" s="1531"/>
      <c r="AH1234" s="1531"/>
      <c r="AI1234" s="1531"/>
      <c r="AJ1234" s="1531"/>
      <c r="AK1234" s="1531"/>
      <c r="AL1234" s="1531"/>
      <c r="AM1234" s="1531"/>
      <c r="AN1234" s="1531"/>
      <c r="AO1234" s="1531"/>
      <c r="AP1234" s="1531"/>
      <c r="AQ1234" s="1531"/>
      <c r="AR1234" s="1531"/>
      <c r="AS1234" s="1531"/>
      <c r="AT1234" s="1136"/>
      <c r="AU1234" s="1136"/>
      <c r="AV1234" s="1136"/>
      <c r="AW1234" s="1136"/>
      <c r="AX1234" s="1136"/>
      <c r="AY1234" s="1136"/>
      <c r="AZ1234" s="1136"/>
      <c r="BA1234" s="1136"/>
      <c r="BB1234" s="1136"/>
      <c r="BC1234" s="1136"/>
      <c r="BD1234" s="1136"/>
      <c r="BE1234" s="1136"/>
      <c r="BF1234" s="1136"/>
      <c r="BG1234" s="1136"/>
      <c r="BH1234" s="1136"/>
      <c r="BI1234" s="1136"/>
      <c r="BJ1234" s="1136"/>
      <c r="BK1234" s="1136"/>
      <c r="BL1234" s="1136"/>
      <c r="BM1234" s="1136"/>
      <c r="BN1234" s="1136"/>
      <c r="BO1234" s="1136"/>
      <c r="BP1234" s="1136"/>
      <c r="BQ1234" s="1136"/>
      <c r="BR1234" s="1136"/>
      <c r="BS1234" s="1136"/>
      <c r="BT1234" s="1136"/>
      <c r="BU1234" s="1136"/>
      <c r="BV1234" s="1136"/>
      <c r="BW1234" s="1136"/>
      <c r="BX1234" s="1136"/>
      <c r="BY1234" s="1136"/>
      <c r="BZ1234" s="1136"/>
      <c r="CA1234" s="1136"/>
      <c r="CB1234" s="1136"/>
      <c r="CC1234" s="1136"/>
      <c r="CD1234" s="1136"/>
      <c r="CE1234" s="1136"/>
      <c r="CF1234" s="1136"/>
      <c r="CG1234" s="1136"/>
      <c r="CH1234" s="1136"/>
      <c r="CI1234" s="1136"/>
      <c r="CJ1234" s="1136"/>
      <c r="CK1234" s="1136"/>
      <c r="CL1234" s="1136"/>
      <c r="CM1234" s="1136"/>
      <c r="CN1234" s="1136"/>
      <c r="CO1234" s="1136"/>
      <c r="CP1234" s="1136"/>
      <c r="CQ1234" s="1136"/>
      <c r="CR1234" s="1136"/>
      <c r="CS1234" s="1136"/>
      <c r="CT1234" s="1136"/>
      <c r="CU1234" s="1136"/>
      <c r="CV1234" s="1136"/>
      <c r="CW1234" s="1136"/>
      <c r="CX1234" s="1136"/>
      <c r="CY1234" s="1136"/>
      <c r="CZ1234" s="1136"/>
      <c r="DA1234" s="1136"/>
      <c r="DB1234" s="1136"/>
      <c r="DC1234" s="1136"/>
      <c r="DD1234" s="1136"/>
      <c r="DE1234" s="1136"/>
      <c r="DF1234" s="1136"/>
      <c r="DG1234" s="1136"/>
      <c r="DH1234" s="1136"/>
      <c r="DI1234" s="1136"/>
    </row>
    <row r="1235" spans="1:113" ht="15.75" x14ac:dyDescent="0.25">
      <c r="A1235" s="1638" t="s">
        <v>3743</v>
      </c>
      <c r="B1235" s="1046"/>
      <c r="C1235" s="1136"/>
      <c r="D1235" s="1349"/>
      <c r="E1235" s="1349"/>
      <c r="F1235" s="1349"/>
      <c r="G1235" s="1349"/>
      <c r="H1235" s="1531"/>
      <c r="I1235" s="1531"/>
      <c r="J1235" s="1531"/>
      <c r="K1235" s="1531"/>
      <c r="L1235" s="1531"/>
      <c r="M1235" s="1531"/>
      <c r="N1235" s="1531"/>
      <c r="O1235" s="1531"/>
      <c r="P1235" s="1531"/>
      <c r="Q1235" s="1531"/>
      <c r="R1235" s="1531"/>
      <c r="S1235" s="1531"/>
      <c r="T1235" s="1531"/>
      <c r="U1235" s="1531"/>
      <c r="V1235" s="1531"/>
      <c r="W1235" s="1531"/>
      <c r="X1235" s="1531"/>
      <c r="Y1235" s="1531"/>
      <c r="Z1235" s="1531"/>
      <c r="AA1235" s="1531"/>
      <c r="AB1235" s="1531"/>
      <c r="AC1235" s="1531"/>
      <c r="AD1235" s="1531"/>
      <c r="AE1235" s="1531"/>
      <c r="AF1235" s="1531"/>
      <c r="AG1235" s="1531"/>
      <c r="AH1235" s="1531"/>
      <c r="AI1235" s="1531"/>
      <c r="AJ1235" s="1531"/>
      <c r="AK1235" s="1531"/>
      <c r="AL1235" s="1531"/>
      <c r="AM1235" s="1531"/>
      <c r="AN1235" s="1531"/>
      <c r="AO1235" s="1531"/>
      <c r="AP1235" s="1531"/>
      <c r="AQ1235" s="1531"/>
      <c r="AR1235" s="1531"/>
      <c r="AS1235" s="1531"/>
      <c r="AT1235" s="1136"/>
      <c r="AU1235" s="1136"/>
      <c r="AV1235" s="1136"/>
      <c r="AW1235" s="1136"/>
      <c r="AX1235" s="1136"/>
      <c r="AY1235" s="1136"/>
      <c r="AZ1235" s="1136"/>
      <c r="BA1235" s="1136"/>
      <c r="BB1235" s="1136"/>
      <c r="BC1235" s="1136"/>
      <c r="BD1235" s="1136"/>
      <c r="BE1235" s="1136"/>
      <c r="BF1235" s="1136"/>
      <c r="BG1235" s="1136"/>
      <c r="BH1235" s="1136"/>
      <c r="BI1235" s="1136"/>
      <c r="BJ1235" s="1136"/>
      <c r="BK1235" s="1136"/>
      <c r="BL1235" s="1136"/>
      <c r="BM1235" s="1136"/>
      <c r="BN1235" s="1136"/>
      <c r="BO1235" s="1136"/>
      <c r="BP1235" s="1136"/>
      <c r="BQ1235" s="1136"/>
      <c r="BR1235" s="1136"/>
      <c r="BS1235" s="1136"/>
      <c r="BT1235" s="1136"/>
      <c r="BU1235" s="1136"/>
      <c r="BV1235" s="1136"/>
      <c r="BW1235" s="1136"/>
      <c r="BX1235" s="1136"/>
      <c r="BY1235" s="1136"/>
      <c r="BZ1235" s="1136"/>
      <c r="CA1235" s="1136"/>
      <c r="CB1235" s="1136"/>
      <c r="CC1235" s="1136"/>
      <c r="CD1235" s="1136"/>
      <c r="CE1235" s="1136"/>
      <c r="CF1235" s="1136"/>
      <c r="CG1235" s="1136"/>
      <c r="CH1235" s="1136"/>
      <c r="CI1235" s="1136"/>
      <c r="CJ1235" s="1136"/>
      <c r="CK1235" s="1136"/>
      <c r="CL1235" s="1136"/>
      <c r="CM1235" s="1136"/>
      <c r="CN1235" s="1136"/>
      <c r="CO1235" s="1136"/>
      <c r="CP1235" s="1136"/>
      <c r="CQ1235" s="1136"/>
      <c r="CR1235" s="1136"/>
      <c r="CS1235" s="1136"/>
      <c r="CT1235" s="1136"/>
      <c r="CU1235" s="1136"/>
      <c r="CV1235" s="1136"/>
      <c r="CW1235" s="1136"/>
      <c r="CX1235" s="1136"/>
      <c r="CY1235" s="1136"/>
      <c r="CZ1235" s="1136"/>
      <c r="DA1235" s="1136"/>
      <c r="DB1235" s="1136"/>
      <c r="DC1235" s="1136"/>
      <c r="DD1235" s="1136"/>
      <c r="DE1235" s="1136"/>
      <c r="DF1235" s="1136"/>
      <c r="DG1235" s="1136"/>
      <c r="DH1235" s="1136"/>
      <c r="DI1235" s="1136"/>
    </row>
    <row r="1236" spans="1:113" ht="15.75" x14ac:dyDescent="0.25">
      <c r="A1236" s="1417" t="s">
        <v>3744</v>
      </c>
      <c r="B1236" s="1046"/>
      <c r="C1236" s="1136"/>
      <c r="D1236" s="1610"/>
      <c r="E1236" s="1610"/>
      <c r="F1236" s="1610"/>
      <c r="G1236" s="1610"/>
      <c r="H1236" s="1531"/>
      <c r="I1236" s="1531"/>
      <c r="J1236" s="1531"/>
      <c r="K1236" s="1531"/>
      <c r="L1236" s="1531"/>
      <c r="M1236" s="1531"/>
      <c r="N1236" s="1531"/>
      <c r="O1236" s="1531"/>
      <c r="P1236" s="1531"/>
      <c r="Q1236" s="1531"/>
      <c r="R1236" s="1531"/>
      <c r="S1236" s="1531"/>
      <c r="T1236" s="1531"/>
      <c r="U1236" s="1531"/>
      <c r="V1236" s="1531"/>
      <c r="W1236" s="1531"/>
      <c r="X1236" s="1531"/>
      <c r="Y1236" s="1531"/>
      <c r="Z1236" s="1531"/>
      <c r="AA1236" s="1531"/>
      <c r="AB1236" s="1531"/>
      <c r="AC1236" s="1531"/>
      <c r="AD1236" s="1531"/>
      <c r="AE1236" s="1531"/>
      <c r="AF1236" s="1531"/>
      <c r="AG1236" s="1531"/>
      <c r="AH1236" s="1531"/>
      <c r="AI1236" s="1531"/>
      <c r="AJ1236" s="1531"/>
      <c r="AK1236" s="1531"/>
      <c r="AL1236" s="1531"/>
      <c r="AM1236" s="1531"/>
      <c r="AN1236" s="1531"/>
      <c r="AO1236" s="1531"/>
      <c r="AP1236" s="1531"/>
      <c r="AQ1236" s="1531"/>
      <c r="AR1236" s="1531"/>
      <c r="AS1236" s="1531"/>
      <c r="AT1236" s="1136"/>
      <c r="AU1236" s="1136"/>
      <c r="AV1236" s="1136"/>
      <c r="AW1236" s="1136"/>
      <c r="AX1236" s="1136"/>
      <c r="AY1236" s="1136"/>
      <c r="AZ1236" s="1136"/>
      <c r="BA1236" s="1136"/>
      <c r="BB1236" s="1136"/>
      <c r="BC1236" s="1136"/>
      <c r="BD1236" s="1136"/>
      <c r="BE1236" s="1136"/>
      <c r="BF1236" s="1136"/>
      <c r="BG1236" s="1136"/>
      <c r="BH1236" s="1136"/>
      <c r="BI1236" s="1136"/>
      <c r="BJ1236" s="1136"/>
      <c r="BK1236" s="1136"/>
      <c r="BL1236" s="1136"/>
      <c r="BM1236" s="1136"/>
      <c r="BN1236" s="1136"/>
      <c r="BO1236" s="1136"/>
      <c r="BP1236" s="1136"/>
      <c r="BQ1236" s="1136"/>
      <c r="BR1236" s="1136"/>
      <c r="BS1236" s="1136"/>
      <c r="BT1236" s="1136"/>
      <c r="BU1236" s="1136"/>
      <c r="BV1236" s="1136"/>
      <c r="BW1236" s="1136"/>
      <c r="BX1236" s="1136"/>
      <c r="BY1236" s="1136"/>
      <c r="BZ1236" s="1136"/>
      <c r="CA1236" s="1136"/>
      <c r="CB1236" s="1136"/>
      <c r="CC1236" s="1136"/>
      <c r="CD1236" s="1136"/>
      <c r="CE1236" s="1136"/>
      <c r="CF1236" s="1136"/>
      <c r="CG1236" s="1136"/>
      <c r="CH1236" s="1136"/>
      <c r="CI1236" s="1136"/>
      <c r="CJ1236" s="1136"/>
      <c r="CK1236" s="1136"/>
      <c r="CL1236" s="1136"/>
      <c r="CM1236" s="1136"/>
      <c r="CN1236" s="1136"/>
      <c r="CO1236" s="1136"/>
      <c r="CP1236" s="1136"/>
      <c r="CQ1236" s="1136"/>
      <c r="CR1236" s="1136"/>
      <c r="CS1236" s="1136"/>
      <c r="CT1236" s="1136"/>
      <c r="CU1236" s="1136"/>
      <c r="CV1236" s="1136"/>
      <c r="CW1236" s="1136"/>
      <c r="CX1236" s="1136"/>
      <c r="CY1236" s="1136"/>
      <c r="CZ1236" s="1136"/>
      <c r="DA1236" s="1136"/>
      <c r="DB1236" s="1136"/>
      <c r="DC1236" s="1136"/>
      <c r="DD1236" s="1136"/>
      <c r="DE1236" s="1136"/>
      <c r="DF1236" s="1136"/>
      <c r="DG1236" s="1136"/>
      <c r="DH1236" s="1136"/>
      <c r="DI1236" s="1136"/>
    </row>
    <row r="1237" spans="1:113" ht="15.75" x14ac:dyDescent="0.25">
      <c r="A1237" s="1430" t="s">
        <v>2735</v>
      </c>
      <c r="B1237" s="1484" t="e">
        <f>((B287*B329)/(B285*B286*B290*B291*B293))*(B729+B730)</f>
        <v>#VALUE!</v>
      </c>
      <c r="C1237" s="1639"/>
      <c r="D1237" s="1521"/>
      <c r="E1237" s="1521"/>
      <c r="F1237" s="1521"/>
      <c r="G1237" s="1521"/>
      <c r="H1237" s="1531"/>
      <c r="I1237" s="1531"/>
      <c r="J1237" s="1531"/>
      <c r="K1237" s="1531"/>
      <c r="L1237" s="1531"/>
      <c r="M1237" s="1531"/>
      <c r="N1237" s="1531"/>
      <c r="O1237" s="1531"/>
      <c r="P1237" s="1531"/>
      <c r="Q1237" s="1531"/>
      <c r="R1237" s="1531"/>
      <c r="S1237" s="1531"/>
      <c r="T1237" s="1531"/>
      <c r="U1237" s="1531"/>
      <c r="V1237" s="1531"/>
      <c r="W1237" s="1531"/>
      <c r="X1237" s="1531"/>
      <c r="Y1237" s="1531"/>
      <c r="Z1237" s="1531"/>
      <c r="AA1237" s="1531"/>
      <c r="AB1237" s="1531"/>
      <c r="AC1237" s="1531"/>
      <c r="AD1237" s="1531"/>
      <c r="AE1237" s="1531"/>
      <c r="AF1237" s="1531"/>
      <c r="AG1237" s="1531"/>
      <c r="AH1237" s="1531"/>
      <c r="AI1237" s="1531"/>
      <c r="AJ1237" s="1531"/>
      <c r="AK1237" s="1531"/>
      <c r="AL1237" s="1531"/>
      <c r="AM1237" s="1531"/>
      <c r="AN1237" s="1531"/>
      <c r="AO1237" s="1531"/>
      <c r="AP1237" s="1531"/>
      <c r="AQ1237" s="1531"/>
      <c r="AR1237" s="1531"/>
      <c r="AS1237" s="1531"/>
      <c r="AT1237" s="1136"/>
      <c r="AU1237" s="1136"/>
      <c r="AV1237" s="1136"/>
      <c r="AW1237" s="1136"/>
      <c r="AX1237" s="1136"/>
      <c r="AY1237" s="1136"/>
      <c r="AZ1237" s="1136"/>
      <c r="BA1237" s="1136"/>
      <c r="BB1237" s="1136"/>
      <c r="BC1237" s="1136"/>
      <c r="BD1237" s="1136"/>
      <c r="BE1237" s="1136"/>
      <c r="BF1237" s="1136"/>
      <c r="BG1237" s="1136"/>
      <c r="BH1237" s="1136"/>
      <c r="BI1237" s="1136"/>
      <c r="BJ1237" s="1136"/>
      <c r="BK1237" s="1136"/>
      <c r="BL1237" s="1136"/>
      <c r="BM1237" s="1136"/>
      <c r="BN1237" s="1136"/>
      <c r="BO1237" s="1136"/>
      <c r="BP1237" s="1136"/>
      <c r="BQ1237" s="1136"/>
      <c r="BR1237" s="1136"/>
      <c r="BS1237" s="1136"/>
      <c r="BT1237" s="1136"/>
      <c r="BU1237" s="1136"/>
      <c r="BV1237" s="1136"/>
      <c r="BW1237" s="1136"/>
      <c r="BX1237" s="1136"/>
      <c r="BY1237" s="1136"/>
      <c r="BZ1237" s="1136"/>
      <c r="CA1237" s="1136"/>
      <c r="CB1237" s="1136"/>
      <c r="CC1237" s="1136"/>
      <c r="CD1237" s="1136"/>
      <c r="CE1237" s="1136"/>
      <c r="CF1237" s="1136"/>
      <c r="CG1237" s="1136"/>
      <c r="CH1237" s="1136"/>
      <c r="CI1237" s="1136"/>
      <c r="CJ1237" s="1136"/>
      <c r="CK1237" s="1136"/>
      <c r="CL1237" s="1136"/>
      <c r="CM1237" s="1136"/>
      <c r="CN1237" s="1136"/>
      <c r="CO1237" s="1136"/>
      <c r="CP1237" s="1136"/>
      <c r="CQ1237" s="1136"/>
      <c r="CR1237" s="1136"/>
      <c r="CS1237" s="1136"/>
      <c r="CT1237" s="1136"/>
      <c r="CU1237" s="1136"/>
      <c r="CV1237" s="1136"/>
      <c r="CW1237" s="1136"/>
      <c r="CX1237" s="1136"/>
      <c r="CY1237" s="1136"/>
      <c r="CZ1237" s="1136"/>
      <c r="DA1237" s="1136"/>
      <c r="DB1237" s="1136"/>
      <c r="DC1237" s="1136"/>
      <c r="DD1237" s="1136"/>
      <c r="DE1237" s="1136"/>
      <c r="DF1237" s="1136"/>
      <c r="DG1237" s="1136"/>
      <c r="DH1237" s="1136"/>
      <c r="DI1237" s="1136"/>
    </row>
    <row r="1238" spans="1:113" ht="15.75" x14ac:dyDescent="0.25">
      <c r="A1238" s="1430" t="s">
        <v>2736</v>
      </c>
      <c r="B1238" s="1484" t="e">
        <f>((B287*B329)/(B285*B286*B290*B291*B293))*(B731+B732)</f>
        <v>#VALUE!</v>
      </c>
      <c r="C1238" s="1639"/>
      <c r="D1238" s="1590"/>
      <c r="E1238" s="1590"/>
      <c r="F1238" s="1590"/>
      <c r="G1238" s="1590"/>
      <c r="H1238" s="1531"/>
      <c r="I1238" s="1531"/>
      <c r="J1238" s="1531"/>
      <c r="K1238" s="1531"/>
      <c r="L1238" s="1531"/>
      <c r="M1238" s="1531"/>
      <c r="N1238" s="1531"/>
      <c r="O1238" s="1531"/>
      <c r="P1238" s="1531"/>
      <c r="Q1238" s="1531"/>
      <c r="R1238" s="1531"/>
      <c r="S1238" s="1531"/>
      <c r="T1238" s="1531"/>
      <c r="U1238" s="1531"/>
      <c r="V1238" s="1531"/>
      <c r="W1238" s="1531"/>
      <c r="X1238" s="1531"/>
      <c r="Y1238" s="1531"/>
      <c r="Z1238" s="1531"/>
      <c r="AA1238" s="1531"/>
      <c r="AB1238" s="1531"/>
      <c r="AC1238" s="1531"/>
      <c r="AD1238" s="1531"/>
      <c r="AE1238" s="1531"/>
      <c r="AF1238" s="1531"/>
      <c r="AG1238" s="1531"/>
      <c r="AH1238" s="1531"/>
      <c r="AI1238" s="1531"/>
      <c r="AJ1238" s="1531"/>
      <c r="AK1238" s="1531"/>
      <c r="AL1238" s="1531"/>
      <c r="AM1238" s="1531"/>
      <c r="AN1238" s="1531"/>
      <c r="AO1238" s="1531"/>
      <c r="AP1238" s="1531"/>
      <c r="AQ1238" s="1531"/>
      <c r="AR1238" s="1531"/>
      <c r="AS1238" s="1531"/>
      <c r="AT1238" s="1136"/>
      <c r="AU1238" s="1136"/>
      <c r="AV1238" s="1136"/>
      <c r="AW1238" s="1136"/>
      <c r="AX1238" s="1136"/>
      <c r="AY1238" s="1136"/>
      <c r="AZ1238" s="1136"/>
      <c r="BA1238" s="1136"/>
      <c r="BB1238" s="1136"/>
      <c r="BC1238" s="1136"/>
      <c r="BD1238" s="1136"/>
      <c r="BE1238" s="1136"/>
      <c r="BF1238" s="1136"/>
      <c r="BG1238" s="1136"/>
      <c r="BH1238" s="1136"/>
      <c r="BI1238" s="1136"/>
      <c r="BJ1238" s="1136"/>
      <c r="BK1238" s="1136"/>
      <c r="BL1238" s="1136"/>
      <c r="BM1238" s="1136"/>
      <c r="BN1238" s="1136"/>
      <c r="BO1238" s="1136"/>
      <c r="BP1238" s="1136"/>
      <c r="BQ1238" s="1136"/>
      <c r="BR1238" s="1136"/>
      <c r="BS1238" s="1136"/>
      <c r="BT1238" s="1136"/>
      <c r="BU1238" s="1136"/>
      <c r="BV1238" s="1136"/>
      <c r="BW1238" s="1136"/>
      <c r="BX1238" s="1136"/>
      <c r="BY1238" s="1136"/>
      <c r="BZ1238" s="1136"/>
      <c r="CA1238" s="1136"/>
      <c r="CB1238" s="1136"/>
      <c r="CC1238" s="1136"/>
      <c r="CD1238" s="1136"/>
      <c r="CE1238" s="1136"/>
      <c r="CF1238" s="1136"/>
      <c r="CG1238" s="1136"/>
      <c r="CH1238" s="1136"/>
      <c r="CI1238" s="1136"/>
      <c r="CJ1238" s="1136"/>
      <c r="CK1238" s="1136"/>
      <c r="CL1238" s="1136"/>
      <c r="CM1238" s="1136"/>
      <c r="CN1238" s="1136"/>
      <c r="CO1238" s="1136"/>
      <c r="CP1238" s="1136"/>
      <c r="CQ1238" s="1136"/>
      <c r="CR1238" s="1136"/>
      <c r="CS1238" s="1136"/>
      <c r="CT1238" s="1136"/>
      <c r="CU1238" s="1136"/>
      <c r="CV1238" s="1136"/>
      <c r="CW1238" s="1136"/>
      <c r="CX1238" s="1136"/>
      <c r="CY1238" s="1136"/>
      <c r="CZ1238" s="1136"/>
      <c r="DA1238" s="1136"/>
      <c r="DB1238" s="1136"/>
      <c r="DC1238" s="1136"/>
      <c r="DD1238" s="1136"/>
      <c r="DE1238" s="1136"/>
      <c r="DF1238" s="1136"/>
      <c r="DG1238" s="1136"/>
      <c r="DH1238" s="1136"/>
      <c r="DI1238" s="1136"/>
    </row>
    <row r="1239" spans="1:113" ht="15.75" x14ac:dyDescent="0.25">
      <c r="A1239" s="1430" t="s">
        <v>2737</v>
      </c>
      <c r="B1239" s="1484" t="e">
        <f>((B287*B329)/(B285*B286*B290*B291*B293))*B733</f>
        <v>#VALUE!</v>
      </c>
      <c r="C1239" s="1639"/>
      <c r="D1239" s="1531"/>
      <c r="E1239" s="1531"/>
      <c r="F1239" s="1531"/>
      <c r="G1239" s="1531"/>
      <c r="H1239" s="1531"/>
      <c r="I1239" s="1531"/>
      <c r="J1239" s="1531"/>
      <c r="K1239" s="1531"/>
      <c r="L1239" s="1531"/>
      <c r="M1239" s="1531"/>
      <c r="N1239" s="1531"/>
      <c r="O1239" s="1531"/>
      <c r="P1239" s="1531"/>
      <c r="Q1239" s="1531"/>
      <c r="R1239" s="1531"/>
      <c r="S1239" s="1531"/>
      <c r="T1239" s="1531"/>
      <c r="U1239" s="1531"/>
      <c r="V1239" s="1531"/>
      <c r="W1239" s="1531"/>
      <c r="X1239" s="1531"/>
      <c r="Y1239" s="1531"/>
      <c r="Z1239" s="1531"/>
      <c r="AA1239" s="1531"/>
      <c r="AB1239" s="1531"/>
      <c r="AC1239" s="1531"/>
      <c r="AD1239" s="1531"/>
      <c r="AE1239" s="1531"/>
      <c r="AF1239" s="1531"/>
      <c r="AG1239" s="1531"/>
      <c r="AH1239" s="1531"/>
      <c r="AI1239" s="1531"/>
      <c r="AJ1239" s="1531"/>
      <c r="AK1239" s="1531"/>
      <c r="AL1239" s="1531"/>
      <c r="AM1239" s="1531"/>
      <c r="AN1239" s="1531"/>
      <c r="AO1239" s="1531"/>
      <c r="AP1239" s="1531"/>
      <c r="AQ1239" s="1531"/>
      <c r="AR1239" s="1531"/>
      <c r="AS1239" s="1531"/>
      <c r="AT1239" s="1136"/>
      <c r="AU1239" s="1136"/>
      <c r="AV1239" s="1136"/>
      <c r="AW1239" s="1136"/>
      <c r="AX1239" s="1136"/>
      <c r="AY1239" s="1136"/>
      <c r="AZ1239" s="1136"/>
      <c r="BA1239" s="1136"/>
      <c r="BB1239" s="1136"/>
      <c r="BC1239" s="1136"/>
      <c r="BD1239" s="1136"/>
      <c r="BE1239" s="1136"/>
      <c r="BF1239" s="1136"/>
      <c r="BG1239" s="1136"/>
      <c r="BH1239" s="1136"/>
      <c r="BI1239" s="1136"/>
      <c r="BJ1239" s="1136"/>
      <c r="BK1239" s="1136"/>
      <c r="BL1239" s="1136"/>
      <c r="BM1239" s="1136"/>
      <c r="BN1239" s="1136"/>
      <c r="BO1239" s="1136"/>
      <c r="BP1239" s="1136"/>
      <c r="BQ1239" s="1136"/>
      <c r="BR1239" s="1136"/>
      <c r="BS1239" s="1136"/>
      <c r="BT1239" s="1136"/>
      <c r="BU1239" s="1136"/>
      <c r="BV1239" s="1136"/>
      <c r="BW1239" s="1136"/>
      <c r="BX1239" s="1136"/>
      <c r="BY1239" s="1136"/>
      <c r="BZ1239" s="1136"/>
      <c r="CA1239" s="1136"/>
      <c r="CB1239" s="1136"/>
      <c r="CC1239" s="1136"/>
      <c r="CD1239" s="1136"/>
      <c r="CE1239" s="1136"/>
      <c r="CF1239" s="1136"/>
      <c r="CG1239" s="1136"/>
      <c r="CH1239" s="1136"/>
      <c r="CI1239" s="1136"/>
      <c r="CJ1239" s="1136"/>
      <c r="CK1239" s="1136"/>
      <c r="CL1239" s="1136"/>
      <c r="CM1239" s="1136"/>
      <c r="CN1239" s="1136"/>
      <c r="CO1239" s="1136"/>
      <c r="CP1239" s="1136"/>
      <c r="CQ1239" s="1136"/>
      <c r="CR1239" s="1136"/>
      <c r="CS1239" s="1136"/>
      <c r="CT1239" s="1136"/>
      <c r="CU1239" s="1136"/>
      <c r="CV1239" s="1136"/>
      <c r="CW1239" s="1136"/>
      <c r="CX1239" s="1136"/>
      <c r="CY1239" s="1136"/>
      <c r="CZ1239" s="1136"/>
      <c r="DA1239" s="1136"/>
      <c r="DB1239" s="1136"/>
      <c r="DC1239" s="1136"/>
      <c r="DD1239" s="1136"/>
      <c r="DE1239" s="1136"/>
      <c r="DF1239" s="1136"/>
      <c r="DG1239" s="1136"/>
      <c r="DH1239" s="1136"/>
      <c r="DI1239" s="1136"/>
    </row>
    <row r="1240" spans="1:113" ht="15.75" x14ac:dyDescent="0.25">
      <c r="A1240" s="1417" t="s">
        <v>2738</v>
      </c>
      <c r="B1240" s="1484"/>
      <c r="C1240" s="1639"/>
      <c r="D1240" s="1070"/>
      <c r="E1240" s="1070"/>
      <c r="F1240" s="1070"/>
      <c r="G1240" s="1070"/>
      <c r="H1240" s="1136"/>
      <c r="I1240" s="1136"/>
      <c r="J1240" s="1136"/>
      <c r="K1240" s="1136"/>
      <c r="L1240" s="1136"/>
      <c r="M1240" s="1136"/>
      <c r="N1240" s="1136"/>
      <c r="O1240" s="1136"/>
      <c r="P1240" s="1136"/>
      <c r="Q1240" s="1136"/>
      <c r="R1240" s="1136"/>
      <c r="S1240" s="1136"/>
      <c r="T1240" s="1136"/>
      <c r="U1240" s="1136"/>
      <c r="V1240" s="1136"/>
      <c r="W1240" s="1136"/>
      <c r="X1240" s="1136"/>
      <c r="Y1240" s="1136"/>
      <c r="Z1240" s="1136"/>
      <c r="AA1240" s="1136"/>
      <c r="AB1240" s="1136"/>
      <c r="AC1240" s="1136"/>
      <c r="AD1240" s="1136"/>
      <c r="AE1240" s="1136"/>
      <c r="AF1240" s="1136"/>
      <c r="AG1240" s="1136"/>
      <c r="AH1240" s="1136"/>
      <c r="AI1240" s="1136"/>
      <c r="AJ1240" s="1136"/>
      <c r="AK1240" s="1136"/>
      <c r="AL1240" s="1136"/>
      <c r="AM1240" s="1136"/>
      <c r="AN1240" s="1136"/>
      <c r="AO1240" s="1136"/>
      <c r="AP1240" s="1136"/>
      <c r="AQ1240" s="1136"/>
      <c r="AR1240" s="1136"/>
      <c r="AS1240" s="1136"/>
      <c r="AT1240" s="1136"/>
      <c r="AU1240" s="1136"/>
      <c r="AV1240" s="1136"/>
      <c r="AW1240" s="1136"/>
      <c r="AX1240" s="1136"/>
      <c r="AY1240" s="1136"/>
      <c r="AZ1240" s="1136"/>
      <c r="BA1240" s="1136"/>
      <c r="BB1240" s="1136"/>
      <c r="BC1240" s="1136"/>
      <c r="BD1240" s="1136"/>
      <c r="BE1240" s="1136"/>
      <c r="BF1240" s="1136"/>
      <c r="BG1240" s="1136"/>
      <c r="BH1240" s="1136"/>
      <c r="BI1240" s="1136"/>
      <c r="BJ1240" s="1136"/>
      <c r="BK1240" s="1136"/>
      <c r="BL1240" s="1136"/>
      <c r="BM1240" s="1136"/>
      <c r="BN1240" s="1136"/>
      <c r="BO1240" s="1136"/>
      <c r="BP1240" s="1136"/>
      <c r="BQ1240" s="1136"/>
      <c r="BR1240" s="1136"/>
      <c r="BS1240" s="1136"/>
      <c r="BT1240" s="1136"/>
      <c r="BU1240" s="1136"/>
      <c r="BV1240" s="1136"/>
      <c r="BW1240" s="1136"/>
      <c r="BX1240" s="1136"/>
      <c r="BY1240" s="1136"/>
      <c r="BZ1240" s="1136"/>
      <c r="CA1240" s="1136"/>
      <c r="CB1240" s="1136"/>
      <c r="CC1240" s="1136"/>
      <c r="CD1240" s="1136"/>
      <c r="CE1240" s="1136"/>
      <c r="CF1240" s="1136"/>
      <c r="CG1240" s="1136"/>
      <c r="CH1240" s="1136"/>
      <c r="CI1240" s="1136"/>
      <c r="CJ1240" s="1136"/>
      <c r="CK1240" s="1136"/>
      <c r="CL1240" s="1136"/>
      <c r="CM1240" s="1136"/>
      <c r="CN1240" s="1136"/>
      <c r="CO1240" s="1136"/>
      <c r="CP1240" s="1136"/>
      <c r="CQ1240" s="1136"/>
      <c r="CR1240" s="1136"/>
      <c r="CS1240" s="1136"/>
      <c r="CT1240" s="1136"/>
      <c r="CU1240" s="1136"/>
      <c r="CV1240" s="1136"/>
      <c r="CW1240" s="1136"/>
      <c r="CX1240" s="1136"/>
      <c r="CY1240" s="1136"/>
      <c r="CZ1240" s="1136"/>
      <c r="DA1240" s="1136"/>
      <c r="DB1240" s="1136"/>
      <c r="DC1240" s="1136"/>
      <c r="DD1240" s="1136"/>
      <c r="DE1240" s="1136"/>
      <c r="DF1240" s="1136"/>
      <c r="DG1240" s="1136"/>
      <c r="DH1240" s="1136"/>
      <c r="DI1240" s="1136"/>
    </row>
    <row r="1241" spans="1:113" ht="15.75" x14ac:dyDescent="0.25">
      <c r="A1241" s="1430" t="s">
        <v>2735</v>
      </c>
      <c r="B1241" s="1484" t="e">
        <f>((B287*B329)/(B285*B286*B290*B291*B293))*(B741+B742)</f>
        <v>#VALUE!</v>
      </c>
      <c r="C1241" s="1639"/>
      <c r="D1241" s="1136"/>
      <c r="E1241" s="1136"/>
      <c r="F1241" s="1136"/>
      <c r="G1241" s="1136"/>
      <c r="H1241" s="1136"/>
      <c r="I1241" s="1136"/>
      <c r="J1241" s="1136"/>
      <c r="K1241" s="1136"/>
      <c r="L1241" s="1136"/>
      <c r="M1241" s="1136"/>
      <c r="N1241" s="1136"/>
      <c r="O1241" s="1136"/>
      <c r="P1241" s="1136"/>
      <c r="Q1241" s="1136"/>
      <c r="R1241" s="1136"/>
      <c r="S1241" s="1136"/>
      <c r="T1241" s="1136"/>
      <c r="U1241" s="1136"/>
      <c r="V1241" s="1136"/>
      <c r="W1241" s="1136"/>
      <c r="X1241" s="1136"/>
      <c r="Y1241" s="1136"/>
      <c r="Z1241" s="1136"/>
      <c r="AA1241" s="1136"/>
      <c r="AB1241" s="1136"/>
      <c r="AC1241" s="1136"/>
      <c r="AD1241" s="1136"/>
      <c r="AE1241" s="1136"/>
      <c r="AF1241" s="1136"/>
      <c r="AG1241" s="1136"/>
      <c r="AH1241" s="1136"/>
      <c r="AI1241" s="1136"/>
      <c r="AJ1241" s="1136"/>
      <c r="AK1241" s="1136"/>
      <c r="AL1241" s="1136"/>
      <c r="AM1241" s="1136"/>
      <c r="AN1241" s="1136"/>
      <c r="AO1241" s="1136"/>
      <c r="AP1241" s="1136"/>
      <c r="AQ1241" s="1136"/>
      <c r="AR1241" s="1136"/>
      <c r="AS1241" s="1136"/>
      <c r="AT1241" s="1136"/>
      <c r="AU1241" s="1136"/>
      <c r="AV1241" s="1136"/>
      <c r="AW1241" s="1136"/>
      <c r="AX1241" s="1136"/>
      <c r="AY1241" s="1136"/>
      <c r="AZ1241" s="1136"/>
      <c r="BA1241" s="1136"/>
      <c r="BB1241" s="1136"/>
      <c r="BC1241" s="1136"/>
      <c r="BD1241" s="1136"/>
      <c r="BE1241" s="1136"/>
      <c r="BF1241" s="1136"/>
      <c r="BG1241" s="1136"/>
      <c r="BH1241" s="1136"/>
      <c r="BI1241" s="1136"/>
      <c r="BJ1241" s="1136"/>
      <c r="BK1241" s="1136"/>
      <c r="BL1241" s="1136"/>
      <c r="BM1241" s="1136"/>
      <c r="BN1241" s="1136"/>
      <c r="BO1241" s="1136"/>
      <c r="BP1241" s="1136"/>
      <c r="BQ1241" s="1136"/>
      <c r="BR1241" s="1136"/>
      <c r="BS1241" s="1136"/>
      <c r="BT1241" s="1136"/>
      <c r="BU1241" s="1136"/>
      <c r="BV1241" s="1136"/>
      <c r="BW1241" s="1136"/>
      <c r="BX1241" s="1136"/>
      <c r="BY1241" s="1136"/>
      <c r="BZ1241" s="1136"/>
      <c r="CA1241" s="1136"/>
      <c r="CB1241" s="1136"/>
      <c r="CC1241" s="1136"/>
      <c r="CD1241" s="1136"/>
      <c r="CE1241" s="1136"/>
      <c r="CF1241" s="1136"/>
      <c r="CG1241" s="1136"/>
      <c r="CH1241" s="1136"/>
      <c r="CI1241" s="1136"/>
      <c r="CJ1241" s="1136"/>
      <c r="CK1241" s="1136"/>
      <c r="CL1241" s="1136"/>
      <c r="CM1241" s="1136"/>
      <c r="CN1241" s="1136"/>
      <c r="CO1241" s="1136"/>
      <c r="CP1241" s="1136"/>
      <c r="CQ1241" s="1136"/>
      <c r="CR1241" s="1136"/>
      <c r="CS1241" s="1136"/>
      <c r="CT1241" s="1136"/>
      <c r="CU1241" s="1136"/>
      <c r="CV1241" s="1136"/>
      <c r="CW1241" s="1136"/>
      <c r="CX1241" s="1136"/>
      <c r="CY1241" s="1136"/>
      <c r="CZ1241" s="1136"/>
      <c r="DA1241" s="1136"/>
      <c r="DB1241" s="1136"/>
      <c r="DC1241" s="1136"/>
      <c r="DD1241" s="1136"/>
      <c r="DE1241" s="1136"/>
      <c r="DF1241" s="1136"/>
      <c r="DG1241" s="1136"/>
      <c r="DH1241" s="1136"/>
      <c r="DI1241" s="1136"/>
    </row>
    <row r="1242" spans="1:113" ht="15.75" x14ac:dyDescent="0.25">
      <c r="A1242" s="1430" t="s">
        <v>2736</v>
      </c>
      <c r="B1242" s="1484" t="e">
        <f>((B287*B329)/(B285*B286*B290*B291*B293))*(B743+B744+B745)</f>
        <v>#VALUE!</v>
      </c>
      <c r="C1242" s="1639"/>
      <c r="D1242" s="1136"/>
      <c r="E1242" s="1136"/>
      <c r="F1242" s="1136"/>
      <c r="G1242" s="1136"/>
      <c r="H1242" s="1136"/>
      <c r="I1242" s="1136"/>
      <c r="J1242" s="1136"/>
      <c r="K1242" s="1136"/>
      <c r="L1242" s="1136"/>
      <c r="M1242" s="1136"/>
      <c r="N1242" s="1136"/>
      <c r="O1242" s="1136"/>
      <c r="P1242" s="1136"/>
      <c r="Q1242" s="1136"/>
      <c r="R1242" s="1136"/>
      <c r="S1242" s="1136"/>
      <c r="T1242" s="1136"/>
      <c r="U1242" s="1136"/>
      <c r="V1242" s="1136"/>
      <c r="W1242" s="1136"/>
      <c r="X1242" s="1136"/>
      <c r="Y1242" s="1136"/>
      <c r="Z1242" s="1136"/>
      <c r="AA1242" s="1136"/>
      <c r="AB1242" s="1136"/>
      <c r="AC1242" s="1136"/>
      <c r="AD1242" s="1136"/>
      <c r="AE1242" s="1136"/>
      <c r="AF1242" s="1136"/>
      <c r="AG1242" s="1136"/>
      <c r="AH1242" s="1136"/>
      <c r="AI1242" s="1136"/>
      <c r="AJ1242" s="1136"/>
      <c r="AK1242" s="1136"/>
      <c r="AL1242" s="1136"/>
      <c r="AM1242" s="1136"/>
      <c r="AN1242" s="1136"/>
      <c r="AO1242" s="1136"/>
      <c r="AP1242" s="1136"/>
      <c r="AQ1242" s="1136"/>
      <c r="AR1242" s="1136"/>
      <c r="AS1242" s="1136"/>
      <c r="AT1242" s="1136"/>
      <c r="AU1242" s="1136"/>
      <c r="AV1242" s="1136"/>
      <c r="AW1242" s="1136"/>
      <c r="AX1242" s="1136"/>
      <c r="AY1242" s="1136"/>
      <c r="AZ1242" s="1136"/>
      <c r="BA1242" s="1136"/>
      <c r="BB1242" s="1136"/>
      <c r="BC1242" s="1136"/>
      <c r="BD1242" s="1136"/>
      <c r="BE1242" s="1136"/>
      <c r="BF1242" s="1136"/>
      <c r="BG1242" s="1136"/>
      <c r="BH1242" s="1136"/>
      <c r="BI1242" s="1136"/>
      <c r="BJ1242" s="1136"/>
      <c r="BK1242" s="1136"/>
      <c r="BL1242" s="1136"/>
      <c r="BM1242" s="1136"/>
      <c r="BN1242" s="1136"/>
      <c r="BO1242" s="1136"/>
      <c r="BP1242" s="1136"/>
      <c r="BQ1242" s="1136"/>
      <c r="BR1242" s="1136"/>
      <c r="BS1242" s="1136"/>
      <c r="BT1242" s="1136"/>
      <c r="BU1242" s="1136"/>
      <c r="BV1242" s="1136"/>
      <c r="BW1242" s="1136"/>
      <c r="BX1242" s="1136"/>
      <c r="BY1242" s="1136"/>
      <c r="BZ1242" s="1136"/>
      <c r="CA1242" s="1136"/>
      <c r="CB1242" s="1136"/>
      <c r="CC1242" s="1136"/>
      <c r="CD1242" s="1136"/>
      <c r="CE1242" s="1136"/>
      <c r="CF1242" s="1136"/>
      <c r="CG1242" s="1136"/>
      <c r="CH1242" s="1136"/>
      <c r="CI1242" s="1136"/>
      <c r="CJ1242" s="1136"/>
      <c r="CK1242" s="1136"/>
      <c r="CL1242" s="1136"/>
      <c r="CM1242" s="1136"/>
      <c r="CN1242" s="1136"/>
      <c r="CO1242" s="1136"/>
      <c r="CP1242" s="1136"/>
      <c r="CQ1242" s="1136"/>
      <c r="CR1242" s="1136"/>
      <c r="CS1242" s="1136"/>
      <c r="CT1242" s="1136"/>
      <c r="CU1242" s="1136"/>
      <c r="CV1242" s="1136"/>
      <c r="CW1242" s="1136"/>
      <c r="CX1242" s="1136"/>
      <c r="CY1242" s="1136"/>
      <c r="CZ1242" s="1136"/>
      <c r="DA1242" s="1136"/>
      <c r="DB1242" s="1136"/>
      <c r="DC1242" s="1136"/>
      <c r="DD1242" s="1136"/>
      <c r="DE1242" s="1136"/>
      <c r="DF1242" s="1136"/>
      <c r="DG1242" s="1136"/>
      <c r="DH1242" s="1136"/>
      <c r="DI1242" s="1136"/>
    </row>
    <row r="1243" spans="1:113" ht="15.75" x14ac:dyDescent="0.25">
      <c r="A1243" s="1430" t="s">
        <v>2737</v>
      </c>
      <c r="B1243" s="1484" t="e">
        <f>((B287*B329)/(B285*B286*B290*B291*B293))*B746</f>
        <v>#VALUE!</v>
      </c>
      <c r="C1243" s="1639"/>
      <c r="D1243" s="1136"/>
      <c r="E1243" s="1136"/>
      <c r="F1243" s="1136"/>
      <c r="G1243" s="1136"/>
      <c r="H1243" s="1136"/>
      <c r="I1243" s="1136"/>
      <c r="J1243" s="1136"/>
      <c r="K1243" s="1136"/>
      <c r="L1243" s="1136"/>
      <c r="M1243" s="1136"/>
      <c r="N1243" s="1136"/>
      <c r="O1243" s="1136"/>
      <c r="P1243" s="1136"/>
      <c r="Q1243" s="1136"/>
      <c r="R1243" s="1136"/>
      <c r="S1243" s="1136"/>
      <c r="T1243" s="1136"/>
      <c r="U1243" s="1136"/>
      <c r="V1243" s="1136"/>
      <c r="W1243" s="1136"/>
      <c r="X1243" s="1136"/>
      <c r="Y1243" s="1136"/>
      <c r="Z1243" s="1136"/>
      <c r="AA1243" s="1136"/>
      <c r="AB1243" s="1136"/>
      <c r="AC1243" s="1136"/>
      <c r="AD1243" s="1136"/>
      <c r="AE1243" s="1136"/>
      <c r="AF1243" s="1136"/>
      <c r="AG1243" s="1136"/>
      <c r="AH1243" s="1136"/>
      <c r="AI1243" s="1136"/>
      <c r="AJ1243" s="1136"/>
      <c r="AK1243" s="1136"/>
      <c r="AL1243" s="1136"/>
      <c r="AM1243" s="1136"/>
      <c r="AN1243" s="1136"/>
      <c r="AO1243" s="1136"/>
      <c r="AP1243" s="1136"/>
      <c r="AQ1243" s="1136"/>
      <c r="AR1243" s="1136"/>
      <c r="AS1243" s="1136"/>
      <c r="AT1243" s="1136"/>
      <c r="AU1243" s="1136"/>
      <c r="AV1243" s="1136"/>
      <c r="AW1243" s="1136"/>
      <c r="AX1243" s="1136"/>
      <c r="AY1243" s="1136"/>
      <c r="AZ1243" s="1136"/>
      <c r="BA1243" s="1136"/>
      <c r="BB1243" s="1136"/>
      <c r="BC1243" s="1136"/>
      <c r="BD1243" s="1136"/>
      <c r="BE1243" s="1136"/>
      <c r="BF1243" s="1136"/>
      <c r="BG1243" s="1136"/>
      <c r="BH1243" s="1136"/>
      <c r="BI1243" s="1136"/>
      <c r="BJ1243" s="1136"/>
      <c r="BK1243" s="1136"/>
      <c r="BL1243" s="1136"/>
      <c r="BM1243" s="1136"/>
      <c r="BN1243" s="1136"/>
      <c r="BO1243" s="1136"/>
      <c r="BP1243" s="1136"/>
      <c r="BQ1243" s="1136"/>
      <c r="BR1243" s="1136"/>
      <c r="BS1243" s="1136"/>
      <c r="BT1243" s="1136"/>
      <c r="BU1243" s="1136"/>
      <c r="BV1243" s="1136"/>
      <c r="BW1243" s="1136"/>
      <c r="BX1243" s="1136"/>
      <c r="BY1243" s="1136"/>
      <c r="BZ1243" s="1136"/>
      <c r="CA1243" s="1136"/>
      <c r="CB1243" s="1136"/>
      <c r="CC1243" s="1136"/>
      <c r="CD1243" s="1136"/>
      <c r="CE1243" s="1136"/>
      <c r="CF1243" s="1136"/>
      <c r="CG1243" s="1136"/>
      <c r="CH1243" s="1136"/>
      <c r="CI1243" s="1136"/>
      <c r="CJ1243" s="1136"/>
      <c r="CK1243" s="1136"/>
      <c r="CL1243" s="1136"/>
      <c r="CM1243" s="1136"/>
      <c r="CN1243" s="1136"/>
      <c r="CO1243" s="1136"/>
      <c r="CP1243" s="1136"/>
      <c r="CQ1243" s="1136"/>
      <c r="CR1243" s="1136"/>
      <c r="CS1243" s="1136"/>
      <c r="CT1243" s="1136"/>
      <c r="CU1243" s="1136"/>
      <c r="CV1243" s="1136"/>
      <c r="CW1243" s="1136"/>
      <c r="CX1243" s="1136"/>
      <c r="CY1243" s="1136"/>
      <c r="CZ1243" s="1136"/>
      <c r="DA1243" s="1136"/>
      <c r="DB1243" s="1136"/>
      <c r="DC1243" s="1136"/>
      <c r="DD1243" s="1136"/>
      <c r="DE1243" s="1136"/>
      <c r="DF1243" s="1136"/>
      <c r="DG1243" s="1136"/>
      <c r="DH1243" s="1136"/>
      <c r="DI1243" s="1136"/>
    </row>
    <row r="1244" spans="1:113" ht="15.75" x14ac:dyDescent="0.25">
      <c r="A1244" s="1638" t="s">
        <v>2739</v>
      </c>
      <c r="B1244" s="1484"/>
      <c r="C1244" s="1639"/>
      <c r="D1244" s="1639"/>
      <c r="E1244" s="1639"/>
      <c r="F1244" s="1639"/>
      <c r="G1244" s="1639"/>
      <c r="H1244" s="1136"/>
      <c r="I1244" s="1136"/>
      <c r="J1244" s="1136"/>
      <c r="K1244" s="1136"/>
      <c r="L1244" s="1136"/>
      <c r="M1244" s="1136"/>
      <c r="N1244" s="1136"/>
      <c r="O1244" s="1136"/>
      <c r="P1244" s="1136"/>
      <c r="Q1244" s="1136"/>
      <c r="R1244" s="1136"/>
      <c r="S1244" s="1136"/>
      <c r="T1244" s="1136"/>
      <c r="U1244" s="1136"/>
      <c r="V1244" s="1136"/>
      <c r="W1244" s="1136"/>
      <c r="X1244" s="1136"/>
      <c r="Y1244" s="1136"/>
      <c r="Z1244" s="1136"/>
      <c r="AA1244" s="1136"/>
      <c r="AB1244" s="1136"/>
      <c r="AC1244" s="1136"/>
      <c r="AD1244" s="1136"/>
      <c r="AE1244" s="1136"/>
      <c r="AF1244" s="1136"/>
      <c r="AG1244" s="1136"/>
      <c r="AH1244" s="1136"/>
      <c r="AI1244" s="1136"/>
      <c r="AJ1244" s="1136"/>
      <c r="AK1244" s="1136"/>
      <c r="AL1244" s="1136"/>
      <c r="AM1244" s="1136"/>
      <c r="AN1244" s="1136"/>
      <c r="AO1244" s="1136"/>
      <c r="AP1244" s="1136"/>
      <c r="AQ1244" s="1136"/>
      <c r="AR1244" s="1136"/>
      <c r="AS1244" s="1136"/>
      <c r="AT1244" s="1136"/>
      <c r="AU1244" s="1136"/>
      <c r="AV1244" s="1136"/>
      <c r="AW1244" s="1136"/>
      <c r="AX1244" s="1136"/>
      <c r="AY1244" s="1136"/>
      <c r="AZ1244" s="1136"/>
      <c r="BA1244" s="1136"/>
      <c r="BB1244" s="1136"/>
      <c r="BC1244" s="1136"/>
      <c r="BD1244" s="1136"/>
      <c r="BE1244" s="1136"/>
      <c r="BF1244" s="1136"/>
      <c r="BG1244" s="1136"/>
      <c r="BH1244" s="1136"/>
      <c r="BI1244" s="1136"/>
      <c r="BJ1244" s="1136"/>
      <c r="BK1244" s="1136"/>
      <c r="BL1244" s="1136"/>
      <c r="BM1244" s="1136"/>
      <c r="BN1244" s="1136"/>
      <c r="BO1244" s="1136"/>
      <c r="BP1244" s="1136"/>
      <c r="BQ1244" s="1136"/>
      <c r="BR1244" s="1136"/>
      <c r="BS1244" s="1136"/>
      <c r="BT1244" s="1136"/>
      <c r="BU1244" s="1136"/>
      <c r="BV1244" s="1136"/>
      <c r="BW1244" s="1136"/>
      <c r="BX1244" s="1136"/>
      <c r="BY1244" s="1136"/>
      <c r="BZ1244" s="1136"/>
      <c r="CA1244" s="1136"/>
      <c r="CB1244" s="1136"/>
      <c r="CC1244" s="1136"/>
      <c r="CD1244" s="1136"/>
      <c r="CE1244" s="1136"/>
      <c r="CF1244" s="1136"/>
      <c r="CG1244" s="1136"/>
      <c r="CH1244" s="1136"/>
      <c r="CI1244" s="1136"/>
      <c r="CJ1244" s="1136"/>
      <c r="CK1244" s="1136"/>
      <c r="CL1244" s="1136"/>
      <c r="CM1244" s="1136"/>
      <c r="CN1244" s="1136"/>
      <c r="CO1244" s="1136"/>
      <c r="CP1244" s="1136"/>
      <c r="CQ1244" s="1136"/>
      <c r="CR1244" s="1136"/>
      <c r="CS1244" s="1136"/>
      <c r="CT1244" s="1136"/>
      <c r="CU1244" s="1136"/>
      <c r="CV1244" s="1136"/>
      <c r="CW1244" s="1136"/>
      <c r="CX1244" s="1136"/>
      <c r="CY1244" s="1136"/>
      <c r="CZ1244" s="1136"/>
      <c r="DA1244" s="1136"/>
      <c r="DB1244" s="1136"/>
      <c r="DC1244" s="1136"/>
      <c r="DD1244" s="1136"/>
      <c r="DE1244" s="1136"/>
      <c r="DF1244" s="1136"/>
      <c r="DG1244" s="1136"/>
      <c r="DH1244" s="1136"/>
      <c r="DI1244" s="1136"/>
    </row>
    <row r="1245" spans="1:113" ht="15.75" x14ac:dyDescent="0.25">
      <c r="A1245" s="1417" t="s">
        <v>3744</v>
      </c>
      <c r="B1245" s="1484"/>
      <c r="C1245" s="1639"/>
      <c r="D1245" s="1639"/>
      <c r="E1245" s="1639"/>
      <c r="F1245" s="1639"/>
      <c r="G1245" s="1639"/>
      <c r="H1245" s="1136"/>
      <c r="I1245" s="1136"/>
      <c r="J1245" s="1136"/>
      <c r="K1245" s="1136"/>
      <c r="L1245" s="1136"/>
      <c r="M1245" s="1136"/>
      <c r="N1245" s="1136"/>
      <c r="O1245" s="1136"/>
      <c r="P1245" s="1136"/>
      <c r="Q1245" s="1136"/>
      <c r="R1245" s="1136"/>
      <c r="S1245" s="1136"/>
      <c r="T1245" s="1136"/>
      <c r="U1245" s="1136"/>
      <c r="V1245" s="1136"/>
      <c r="W1245" s="1136"/>
      <c r="X1245" s="1136"/>
      <c r="Y1245" s="1136"/>
      <c r="Z1245" s="1136"/>
      <c r="AA1245" s="1136"/>
      <c r="AB1245" s="1136"/>
      <c r="AC1245" s="1136"/>
      <c r="AD1245" s="1136"/>
      <c r="AE1245" s="1136"/>
      <c r="AF1245" s="1136"/>
      <c r="AG1245" s="1136"/>
      <c r="AH1245" s="1136"/>
      <c r="AI1245" s="1136"/>
      <c r="AJ1245" s="1136"/>
      <c r="AK1245" s="1136"/>
      <c r="AL1245" s="1136"/>
      <c r="AM1245" s="1136"/>
      <c r="AN1245" s="1136"/>
      <c r="AO1245" s="1136"/>
      <c r="AP1245" s="1136"/>
      <c r="AQ1245" s="1136"/>
      <c r="AR1245" s="1136"/>
      <c r="AS1245" s="1136"/>
      <c r="AT1245" s="1136"/>
      <c r="AU1245" s="1136"/>
      <c r="AV1245" s="1136"/>
      <c r="AW1245" s="1136"/>
      <c r="AX1245" s="1136"/>
      <c r="AY1245" s="1136"/>
      <c r="AZ1245" s="1136"/>
      <c r="BA1245" s="1136"/>
      <c r="BB1245" s="1136"/>
      <c r="BC1245" s="1136"/>
      <c r="BD1245" s="1136"/>
      <c r="BE1245" s="1136"/>
      <c r="BF1245" s="1136"/>
      <c r="BG1245" s="1136"/>
      <c r="BH1245" s="1136"/>
      <c r="BI1245" s="1136"/>
      <c r="BJ1245" s="1136"/>
      <c r="BK1245" s="1136"/>
      <c r="BL1245" s="1136"/>
      <c r="BM1245" s="1136"/>
      <c r="BN1245" s="1136"/>
      <c r="BO1245" s="1136"/>
      <c r="BP1245" s="1136"/>
      <c r="BQ1245" s="1136"/>
      <c r="BR1245" s="1136"/>
      <c r="BS1245" s="1136"/>
      <c r="BT1245" s="1136"/>
      <c r="BU1245" s="1136"/>
      <c r="BV1245" s="1136"/>
      <c r="BW1245" s="1136"/>
      <c r="BX1245" s="1136"/>
      <c r="BY1245" s="1136"/>
      <c r="BZ1245" s="1136"/>
      <c r="CA1245" s="1136"/>
      <c r="CB1245" s="1136"/>
      <c r="CC1245" s="1136"/>
      <c r="CD1245" s="1136"/>
      <c r="CE1245" s="1136"/>
      <c r="CF1245" s="1136"/>
      <c r="CG1245" s="1136"/>
      <c r="CH1245" s="1136"/>
      <c r="CI1245" s="1136"/>
      <c r="CJ1245" s="1136"/>
      <c r="CK1245" s="1136"/>
      <c r="CL1245" s="1136"/>
      <c r="CM1245" s="1136"/>
      <c r="CN1245" s="1136"/>
      <c r="CO1245" s="1136"/>
      <c r="CP1245" s="1136"/>
      <c r="CQ1245" s="1136"/>
      <c r="CR1245" s="1136"/>
      <c r="CS1245" s="1136"/>
      <c r="CT1245" s="1136"/>
      <c r="CU1245" s="1136"/>
      <c r="CV1245" s="1136"/>
      <c r="CW1245" s="1136"/>
      <c r="CX1245" s="1136"/>
      <c r="CY1245" s="1136"/>
      <c r="CZ1245" s="1136"/>
      <c r="DA1245" s="1136"/>
      <c r="DB1245" s="1136"/>
      <c r="DC1245" s="1136"/>
      <c r="DD1245" s="1136"/>
      <c r="DE1245" s="1136"/>
      <c r="DF1245" s="1136"/>
      <c r="DG1245" s="1136"/>
      <c r="DH1245" s="1136"/>
      <c r="DI1245" s="1136"/>
    </row>
    <row r="1246" spans="1:113" ht="15.75" x14ac:dyDescent="0.25">
      <c r="A1246" s="1430" t="s">
        <v>2740</v>
      </c>
      <c r="B1246" s="1484" t="e">
        <f>((B287*B329)/(B285*B286*B290*B291*B293))*B757</f>
        <v>#VALUE!</v>
      </c>
      <c r="C1246" s="1639"/>
      <c r="D1246" s="1639"/>
      <c r="E1246" s="1639"/>
      <c r="F1246" s="1639"/>
      <c r="G1246" s="1639"/>
      <c r="H1246" s="1136"/>
      <c r="I1246" s="1136"/>
      <c r="J1246" s="1136"/>
      <c r="K1246" s="1136"/>
      <c r="L1246" s="1136"/>
      <c r="M1246" s="1136"/>
      <c r="N1246" s="1136"/>
      <c r="O1246" s="1136"/>
      <c r="P1246" s="1136"/>
      <c r="Q1246" s="1136"/>
      <c r="R1246" s="1136"/>
      <c r="S1246" s="1136"/>
      <c r="T1246" s="1136"/>
      <c r="U1246" s="1136"/>
      <c r="V1246" s="1136"/>
      <c r="W1246" s="1136"/>
      <c r="X1246" s="1136"/>
      <c r="Y1246" s="1136"/>
      <c r="Z1246" s="1136"/>
      <c r="AA1246" s="1136"/>
      <c r="AB1246" s="1136"/>
      <c r="AC1246" s="1136"/>
      <c r="AD1246" s="1136"/>
      <c r="AE1246" s="1136"/>
      <c r="AF1246" s="1136"/>
      <c r="AG1246" s="1136"/>
      <c r="AH1246" s="1136"/>
      <c r="AI1246" s="1136"/>
      <c r="AJ1246" s="1136"/>
      <c r="AK1246" s="1136"/>
      <c r="AL1246" s="1136"/>
      <c r="AM1246" s="1136"/>
      <c r="AN1246" s="1136"/>
      <c r="AO1246" s="1136"/>
      <c r="AP1246" s="1136"/>
      <c r="AQ1246" s="1136"/>
      <c r="AR1246" s="1136"/>
      <c r="AS1246" s="1136"/>
      <c r="AT1246" s="1136"/>
      <c r="AU1246" s="1136"/>
      <c r="AV1246" s="1136"/>
      <c r="AW1246" s="1136"/>
      <c r="AX1246" s="1136"/>
      <c r="AY1246" s="1136"/>
      <c r="AZ1246" s="1136"/>
      <c r="BA1246" s="1136"/>
      <c r="BB1246" s="1136"/>
      <c r="BC1246" s="1136"/>
      <c r="BD1246" s="1136"/>
      <c r="BE1246" s="1136"/>
      <c r="BF1246" s="1136"/>
      <c r="BG1246" s="1136"/>
      <c r="BH1246" s="1136"/>
      <c r="BI1246" s="1136"/>
      <c r="BJ1246" s="1136"/>
      <c r="BK1246" s="1136"/>
      <c r="BL1246" s="1136"/>
      <c r="BM1246" s="1136"/>
      <c r="BN1246" s="1136"/>
      <c r="BO1246" s="1136"/>
      <c r="BP1246" s="1136"/>
      <c r="BQ1246" s="1136"/>
      <c r="BR1246" s="1136"/>
      <c r="BS1246" s="1136"/>
      <c r="BT1246" s="1136"/>
      <c r="BU1246" s="1136"/>
      <c r="BV1246" s="1136"/>
      <c r="BW1246" s="1136"/>
      <c r="BX1246" s="1136"/>
      <c r="BY1246" s="1136"/>
      <c r="BZ1246" s="1136"/>
      <c r="CA1246" s="1136"/>
      <c r="CB1246" s="1136"/>
      <c r="CC1246" s="1136"/>
      <c r="CD1246" s="1136"/>
      <c r="CE1246" s="1136"/>
      <c r="CF1246" s="1136"/>
      <c r="CG1246" s="1136"/>
      <c r="CH1246" s="1136"/>
      <c r="CI1246" s="1136"/>
      <c r="CJ1246" s="1136"/>
      <c r="CK1246" s="1136"/>
      <c r="CL1246" s="1136"/>
      <c r="CM1246" s="1136"/>
      <c r="CN1246" s="1136"/>
      <c r="CO1246" s="1136"/>
      <c r="CP1246" s="1136"/>
      <c r="CQ1246" s="1136"/>
      <c r="CR1246" s="1136"/>
      <c r="CS1246" s="1136"/>
      <c r="CT1246" s="1136"/>
      <c r="CU1246" s="1136"/>
      <c r="CV1246" s="1136"/>
      <c r="CW1246" s="1136"/>
      <c r="CX1246" s="1136"/>
      <c r="CY1246" s="1136"/>
      <c r="CZ1246" s="1136"/>
      <c r="DA1246" s="1136"/>
      <c r="DB1246" s="1136"/>
      <c r="DC1246" s="1136"/>
      <c r="DD1246" s="1136"/>
      <c r="DE1246" s="1136"/>
      <c r="DF1246" s="1136"/>
      <c r="DG1246" s="1136"/>
      <c r="DH1246" s="1136"/>
      <c r="DI1246" s="1136"/>
    </row>
    <row r="1247" spans="1:113" ht="15.75" x14ac:dyDescent="0.25">
      <c r="A1247" s="1430" t="s">
        <v>2741</v>
      </c>
      <c r="B1247" s="1484" t="e">
        <f>(B357*B1246)/1000</f>
        <v>#VALUE!</v>
      </c>
      <c r="C1247" s="1639"/>
      <c r="D1247" s="1639"/>
      <c r="E1247" s="1639"/>
      <c r="F1247" s="1639"/>
      <c r="G1247" s="1639"/>
      <c r="H1247" s="1136"/>
      <c r="I1247" s="1136"/>
      <c r="J1247" s="1136"/>
      <c r="K1247" s="1136"/>
      <c r="L1247" s="1136"/>
      <c r="M1247" s="1136"/>
      <c r="N1247" s="1136"/>
      <c r="O1247" s="1136"/>
      <c r="P1247" s="1136"/>
      <c r="Q1247" s="1136"/>
      <c r="R1247" s="1136"/>
      <c r="S1247" s="1136"/>
      <c r="T1247" s="1136"/>
      <c r="U1247" s="1136"/>
      <c r="V1247" s="1136"/>
      <c r="W1247" s="1136"/>
      <c r="X1247" s="1136"/>
      <c r="Y1247" s="1136"/>
      <c r="Z1247" s="1136"/>
      <c r="AA1247" s="1136"/>
      <c r="AB1247" s="1136"/>
      <c r="AC1247" s="1136"/>
      <c r="AD1247" s="1136"/>
      <c r="AE1247" s="1136"/>
      <c r="AF1247" s="1136"/>
      <c r="AG1247" s="1136"/>
      <c r="AH1247" s="1136"/>
      <c r="AI1247" s="1136"/>
      <c r="AJ1247" s="1136"/>
      <c r="AK1247" s="1136"/>
      <c r="AL1247" s="1136"/>
      <c r="AM1247" s="1136"/>
      <c r="AN1247" s="1136"/>
      <c r="AO1247" s="1136"/>
      <c r="AP1247" s="1136"/>
      <c r="AQ1247" s="1136"/>
      <c r="AR1247" s="1136"/>
      <c r="AS1247" s="1136"/>
      <c r="AT1247" s="1136"/>
      <c r="AU1247" s="1136"/>
      <c r="AV1247" s="1136"/>
      <c r="AW1247" s="1136"/>
      <c r="AX1247" s="1136"/>
      <c r="AY1247" s="1136"/>
      <c r="AZ1247" s="1136"/>
      <c r="BA1247" s="1136"/>
      <c r="BB1247" s="1136"/>
      <c r="BC1247" s="1136"/>
      <c r="BD1247" s="1136"/>
      <c r="BE1247" s="1136"/>
      <c r="BF1247" s="1136"/>
      <c r="BG1247" s="1136"/>
      <c r="BH1247" s="1136"/>
      <c r="BI1247" s="1136"/>
      <c r="BJ1247" s="1136"/>
      <c r="BK1247" s="1136"/>
      <c r="BL1247" s="1136"/>
      <c r="BM1247" s="1136"/>
      <c r="BN1247" s="1136"/>
      <c r="BO1247" s="1136"/>
      <c r="BP1247" s="1136"/>
      <c r="BQ1247" s="1136"/>
      <c r="BR1247" s="1136"/>
      <c r="BS1247" s="1136"/>
      <c r="BT1247" s="1136"/>
      <c r="BU1247" s="1136"/>
      <c r="BV1247" s="1136"/>
      <c r="BW1247" s="1136"/>
      <c r="BX1247" s="1136"/>
      <c r="BY1247" s="1136"/>
      <c r="BZ1247" s="1136"/>
      <c r="CA1247" s="1136"/>
      <c r="CB1247" s="1136"/>
      <c r="CC1247" s="1136"/>
      <c r="CD1247" s="1136"/>
      <c r="CE1247" s="1136"/>
      <c r="CF1247" s="1136"/>
      <c r="CG1247" s="1136"/>
      <c r="CH1247" s="1136"/>
      <c r="CI1247" s="1136"/>
      <c r="CJ1247" s="1136"/>
      <c r="CK1247" s="1136"/>
      <c r="CL1247" s="1136"/>
      <c r="CM1247" s="1136"/>
      <c r="CN1247" s="1136"/>
      <c r="CO1247" s="1136"/>
      <c r="CP1247" s="1136"/>
      <c r="CQ1247" s="1136"/>
      <c r="CR1247" s="1136"/>
      <c r="CS1247" s="1136"/>
      <c r="CT1247" s="1136"/>
      <c r="CU1247" s="1136"/>
      <c r="CV1247" s="1136"/>
      <c r="CW1247" s="1136"/>
      <c r="CX1247" s="1136"/>
      <c r="CY1247" s="1136"/>
      <c r="CZ1247" s="1136"/>
      <c r="DA1247" s="1136"/>
      <c r="DB1247" s="1136"/>
      <c r="DC1247" s="1136"/>
      <c r="DD1247" s="1136"/>
      <c r="DE1247" s="1136"/>
      <c r="DF1247" s="1136"/>
      <c r="DG1247" s="1136"/>
      <c r="DH1247" s="1136"/>
      <c r="DI1247" s="1136"/>
    </row>
    <row r="1248" spans="1:113" ht="15.75" x14ac:dyDescent="0.25">
      <c r="A1248" s="1417" t="s">
        <v>2738</v>
      </c>
      <c r="B1248" s="1484"/>
      <c r="C1248" s="1639"/>
      <c r="D1248" s="1639"/>
      <c r="E1248" s="1639"/>
      <c r="F1248" s="1639"/>
      <c r="G1248" s="1639"/>
      <c r="H1248" s="1136"/>
      <c r="I1248" s="1136"/>
      <c r="J1248" s="1136"/>
      <c r="K1248" s="1136"/>
      <c r="L1248" s="1136"/>
      <c r="M1248" s="1136"/>
      <c r="N1248" s="1136"/>
      <c r="O1248" s="1136"/>
      <c r="P1248" s="1136"/>
      <c r="Q1248" s="1136"/>
      <c r="R1248" s="1136"/>
      <c r="S1248" s="1136"/>
      <c r="T1248" s="1136"/>
      <c r="U1248" s="1136"/>
      <c r="V1248" s="1136"/>
      <c r="W1248" s="1136"/>
      <c r="X1248" s="1136"/>
      <c r="Y1248" s="1136"/>
      <c r="Z1248" s="1136"/>
      <c r="AA1248" s="1136"/>
      <c r="AB1248" s="1136"/>
      <c r="AC1248" s="1136"/>
      <c r="AD1248" s="1136"/>
      <c r="AE1248" s="1136"/>
      <c r="AF1248" s="1136"/>
      <c r="AG1248" s="1136"/>
      <c r="AH1248" s="1136"/>
      <c r="AI1248" s="1136"/>
      <c r="AJ1248" s="1136"/>
      <c r="AK1248" s="1136"/>
      <c r="AL1248" s="1136"/>
      <c r="AM1248" s="1136"/>
      <c r="AN1248" s="1136"/>
      <c r="AO1248" s="1136"/>
      <c r="AP1248" s="1136"/>
      <c r="AQ1248" s="1136"/>
      <c r="AR1248" s="1136"/>
      <c r="AS1248" s="1136"/>
      <c r="AT1248" s="1136"/>
      <c r="AU1248" s="1136"/>
      <c r="AV1248" s="1136"/>
      <c r="AW1248" s="1136"/>
      <c r="AX1248" s="1136"/>
      <c r="AY1248" s="1136"/>
      <c r="AZ1248" s="1136"/>
      <c r="BA1248" s="1136"/>
      <c r="BB1248" s="1136"/>
      <c r="BC1248" s="1136"/>
      <c r="BD1248" s="1136"/>
      <c r="BE1248" s="1136"/>
      <c r="BF1248" s="1136"/>
      <c r="BG1248" s="1136"/>
      <c r="BH1248" s="1136"/>
      <c r="BI1248" s="1136"/>
      <c r="BJ1248" s="1136"/>
      <c r="BK1248" s="1136"/>
      <c r="BL1248" s="1136"/>
      <c r="BM1248" s="1136"/>
      <c r="BN1248" s="1136"/>
      <c r="BO1248" s="1136"/>
      <c r="BP1248" s="1136"/>
      <c r="BQ1248" s="1136"/>
      <c r="BR1248" s="1136"/>
      <c r="BS1248" s="1136"/>
      <c r="BT1248" s="1136"/>
      <c r="BU1248" s="1136"/>
      <c r="BV1248" s="1136"/>
      <c r="BW1248" s="1136"/>
      <c r="BX1248" s="1136"/>
      <c r="BY1248" s="1136"/>
      <c r="BZ1248" s="1136"/>
      <c r="CA1248" s="1136"/>
      <c r="CB1248" s="1136"/>
      <c r="CC1248" s="1136"/>
      <c r="CD1248" s="1136"/>
      <c r="CE1248" s="1136"/>
      <c r="CF1248" s="1136"/>
      <c r="CG1248" s="1136"/>
      <c r="CH1248" s="1136"/>
      <c r="CI1248" s="1136"/>
      <c r="CJ1248" s="1136"/>
      <c r="CK1248" s="1136"/>
      <c r="CL1248" s="1136"/>
      <c r="CM1248" s="1136"/>
      <c r="CN1248" s="1136"/>
      <c r="CO1248" s="1136"/>
      <c r="CP1248" s="1136"/>
      <c r="CQ1248" s="1136"/>
      <c r="CR1248" s="1136"/>
      <c r="CS1248" s="1136"/>
      <c r="CT1248" s="1136"/>
      <c r="CU1248" s="1136"/>
      <c r="CV1248" s="1136"/>
      <c r="CW1248" s="1136"/>
      <c r="CX1248" s="1136"/>
      <c r="CY1248" s="1136"/>
      <c r="CZ1248" s="1136"/>
      <c r="DA1248" s="1136"/>
      <c r="DB1248" s="1136"/>
      <c r="DC1248" s="1136"/>
      <c r="DD1248" s="1136"/>
      <c r="DE1248" s="1136"/>
      <c r="DF1248" s="1136"/>
      <c r="DG1248" s="1136"/>
      <c r="DH1248" s="1136"/>
      <c r="DI1248" s="1136"/>
    </row>
    <row r="1249" spans="1:113" ht="15.75" x14ac:dyDescent="0.25">
      <c r="A1249" s="1430" t="s">
        <v>2740</v>
      </c>
      <c r="B1249" s="1484" t="e">
        <f>((B287*B329)/(B285*B286*B290*B291*B293))*B763</f>
        <v>#VALUE!</v>
      </c>
      <c r="C1249" s="1639"/>
      <c r="D1249" s="1639"/>
      <c r="E1249" s="1639"/>
      <c r="F1249" s="1639"/>
      <c r="G1249" s="1639"/>
      <c r="H1249" s="1136"/>
      <c r="I1249" s="1136"/>
      <c r="J1249" s="1136"/>
      <c r="K1249" s="1136"/>
      <c r="L1249" s="1136"/>
      <c r="M1249" s="1136"/>
      <c r="N1249" s="1136"/>
      <c r="O1249" s="1136"/>
      <c r="P1249" s="1136"/>
      <c r="Q1249" s="1136"/>
      <c r="R1249" s="1136"/>
      <c r="S1249" s="1136"/>
      <c r="T1249" s="1136"/>
      <c r="U1249" s="1136"/>
      <c r="V1249" s="1136"/>
      <c r="W1249" s="1136"/>
      <c r="X1249" s="1136"/>
      <c r="Y1249" s="1136"/>
      <c r="Z1249" s="1136"/>
      <c r="AA1249" s="1136"/>
      <c r="AB1249" s="1136"/>
      <c r="AC1249" s="1136"/>
      <c r="AD1249" s="1136"/>
      <c r="AE1249" s="1136"/>
      <c r="AF1249" s="1136"/>
      <c r="AG1249" s="1136"/>
      <c r="AH1249" s="1136"/>
      <c r="AI1249" s="1136"/>
      <c r="AJ1249" s="1136"/>
      <c r="AK1249" s="1136"/>
      <c r="AL1249" s="1136"/>
      <c r="AM1249" s="1136"/>
      <c r="AN1249" s="1136"/>
      <c r="AO1249" s="1136"/>
      <c r="AP1249" s="1136"/>
      <c r="AQ1249" s="1136"/>
      <c r="AR1249" s="1136"/>
      <c r="AS1249" s="1136"/>
      <c r="AT1249" s="1136"/>
      <c r="AU1249" s="1136"/>
      <c r="AV1249" s="1136"/>
      <c r="AW1249" s="1136"/>
      <c r="AX1249" s="1136"/>
      <c r="AY1249" s="1136"/>
      <c r="AZ1249" s="1136"/>
      <c r="BA1249" s="1136"/>
      <c r="BB1249" s="1136"/>
      <c r="BC1249" s="1136"/>
      <c r="BD1249" s="1136"/>
      <c r="BE1249" s="1136"/>
      <c r="BF1249" s="1136"/>
      <c r="BG1249" s="1136"/>
      <c r="BH1249" s="1136"/>
      <c r="BI1249" s="1136"/>
      <c r="BJ1249" s="1136"/>
      <c r="BK1249" s="1136"/>
      <c r="BL1249" s="1136"/>
      <c r="BM1249" s="1136"/>
      <c r="BN1249" s="1136"/>
      <c r="BO1249" s="1136"/>
      <c r="BP1249" s="1136"/>
      <c r="BQ1249" s="1136"/>
      <c r="BR1249" s="1136"/>
      <c r="BS1249" s="1136"/>
      <c r="BT1249" s="1136"/>
      <c r="BU1249" s="1136"/>
      <c r="BV1249" s="1136"/>
      <c r="BW1249" s="1136"/>
      <c r="BX1249" s="1136"/>
      <c r="BY1249" s="1136"/>
      <c r="BZ1249" s="1136"/>
      <c r="CA1249" s="1136"/>
      <c r="CB1249" s="1136"/>
      <c r="CC1249" s="1136"/>
      <c r="CD1249" s="1136"/>
      <c r="CE1249" s="1136"/>
      <c r="CF1249" s="1136"/>
      <c r="CG1249" s="1136"/>
      <c r="CH1249" s="1136"/>
      <c r="CI1249" s="1136"/>
      <c r="CJ1249" s="1136"/>
      <c r="CK1249" s="1136"/>
      <c r="CL1249" s="1136"/>
      <c r="CM1249" s="1136"/>
      <c r="CN1249" s="1136"/>
      <c r="CO1249" s="1136"/>
      <c r="CP1249" s="1136"/>
      <c r="CQ1249" s="1136"/>
      <c r="CR1249" s="1136"/>
      <c r="CS1249" s="1136"/>
      <c r="CT1249" s="1136"/>
      <c r="CU1249" s="1136"/>
      <c r="CV1249" s="1136"/>
      <c r="CW1249" s="1136"/>
      <c r="CX1249" s="1136"/>
      <c r="CY1249" s="1136"/>
      <c r="CZ1249" s="1136"/>
      <c r="DA1249" s="1136"/>
      <c r="DB1249" s="1136"/>
      <c r="DC1249" s="1136"/>
      <c r="DD1249" s="1136"/>
      <c r="DE1249" s="1136"/>
      <c r="DF1249" s="1136"/>
      <c r="DG1249" s="1136"/>
      <c r="DH1249" s="1136"/>
      <c r="DI1249" s="1136"/>
    </row>
    <row r="1250" spans="1:113" ht="15.75" x14ac:dyDescent="0.25">
      <c r="A1250" s="1430" t="s">
        <v>2741</v>
      </c>
      <c r="B1250" s="1484" t="e">
        <f>(B357*B1249)/1000</f>
        <v>#VALUE!</v>
      </c>
      <c r="C1250" s="1639"/>
      <c r="D1250" s="1639"/>
      <c r="E1250" s="1639"/>
      <c r="F1250" s="1639"/>
      <c r="G1250" s="1639"/>
      <c r="H1250" s="1136"/>
      <c r="I1250" s="1136"/>
      <c r="J1250" s="1136"/>
      <c r="K1250" s="1136"/>
      <c r="L1250" s="1136"/>
      <c r="M1250" s="1136"/>
      <c r="N1250" s="1136"/>
      <c r="O1250" s="1136"/>
      <c r="P1250" s="1136"/>
      <c r="Q1250" s="1136"/>
      <c r="R1250" s="1136"/>
      <c r="S1250" s="1136"/>
      <c r="T1250" s="1136"/>
      <c r="U1250" s="1136"/>
      <c r="V1250" s="1136"/>
      <c r="W1250" s="1136"/>
      <c r="X1250" s="1136"/>
      <c r="Y1250" s="1136"/>
      <c r="Z1250" s="1136"/>
      <c r="AA1250" s="1136"/>
      <c r="AB1250" s="1136"/>
      <c r="AC1250" s="1136"/>
      <c r="AD1250" s="1136"/>
      <c r="AE1250" s="1136"/>
      <c r="AF1250" s="1136"/>
      <c r="AG1250" s="1136"/>
      <c r="AH1250" s="1136"/>
      <c r="AI1250" s="1136"/>
      <c r="AJ1250" s="1136"/>
      <c r="AK1250" s="1136"/>
      <c r="AL1250" s="1136"/>
      <c r="AM1250" s="1136"/>
      <c r="AN1250" s="1136"/>
      <c r="AO1250" s="1136"/>
      <c r="AP1250" s="1136"/>
      <c r="AQ1250" s="1136"/>
      <c r="AR1250" s="1136"/>
      <c r="AS1250" s="1136"/>
      <c r="AT1250" s="1136"/>
      <c r="AU1250" s="1136"/>
      <c r="AV1250" s="1136"/>
      <c r="AW1250" s="1136"/>
      <c r="AX1250" s="1136"/>
      <c r="AY1250" s="1136"/>
      <c r="AZ1250" s="1136"/>
      <c r="BA1250" s="1136"/>
      <c r="BB1250" s="1136"/>
      <c r="BC1250" s="1136"/>
      <c r="BD1250" s="1136"/>
      <c r="BE1250" s="1136"/>
      <c r="BF1250" s="1136"/>
      <c r="BG1250" s="1136"/>
      <c r="BH1250" s="1136"/>
      <c r="BI1250" s="1136"/>
      <c r="BJ1250" s="1136"/>
      <c r="BK1250" s="1136"/>
      <c r="BL1250" s="1136"/>
      <c r="BM1250" s="1136"/>
      <c r="BN1250" s="1136"/>
      <c r="BO1250" s="1136"/>
      <c r="BP1250" s="1136"/>
      <c r="BQ1250" s="1136"/>
      <c r="BR1250" s="1136"/>
      <c r="BS1250" s="1136"/>
      <c r="BT1250" s="1136"/>
      <c r="BU1250" s="1136"/>
      <c r="BV1250" s="1136"/>
      <c r="BW1250" s="1136"/>
      <c r="BX1250" s="1136"/>
      <c r="BY1250" s="1136"/>
      <c r="BZ1250" s="1136"/>
      <c r="CA1250" s="1136"/>
      <c r="CB1250" s="1136"/>
      <c r="CC1250" s="1136"/>
      <c r="CD1250" s="1136"/>
      <c r="CE1250" s="1136"/>
      <c r="CF1250" s="1136"/>
      <c r="CG1250" s="1136"/>
      <c r="CH1250" s="1136"/>
      <c r="CI1250" s="1136"/>
      <c r="CJ1250" s="1136"/>
      <c r="CK1250" s="1136"/>
      <c r="CL1250" s="1136"/>
      <c r="CM1250" s="1136"/>
      <c r="CN1250" s="1136"/>
      <c r="CO1250" s="1136"/>
      <c r="CP1250" s="1136"/>
      <c r="CQ1250" s="1136"/>
      <c r="CR1250" s="1136"/>
      <c r="CS1250" s="1136"/>
      <c r="CT1250" s="1136"/>
      <c r="CU1250" s="1136"/>
      <c r="CV1250" s="1136"/>
      <c r="CW1250" s="1136"/>
      <c r="CX1250" s="1136"/>
      <c r="CY1250" s="1136"/>
      <c r="CZ1250" s="1136"/>
      <c r="DA1250" s="1136"/>
      <c r="DB1250" s="1136"/>
      <c r="DC1250" s="1136"/>
      <c r="DD1250" s="1136"/>
      <c r="DE1250" s="1136"/>
      <c r="DF1250" s="1136"/>
      <c r="DG1250" s="1136"/>
      <c r="DH1250" s="1136"/>
      <c r="DI1250" s="1136"/>
    </row>
    <row r="1251" spans="1:113" ht="15.75" x14ac:dyDescent="0.25">
      <c r="A1251" s="1638" t="s">
        <v>4308</v>
      </c>
      <c r="B1251" s="1484"/>
      <c r="C1251" s="1639"/>
      <c r="D1251" s="1639"/>
      <c r="E1251" s="1639"/>
      <c r="F1251" s="1639"/>
      <c r="G1251" s="1639"/>
      <c r="H1251" s="1136"/>
      <c r="I1251" s="1136"/>
      <c r="J1251" s="1136"/>
      <c r="K1251" s="1136"/>
      <c r="L1251" s="1136"/>
      <c r="M1251" s="1136"/>
      <c r="N1251" s="1136"/>
      <c r="O1251" s="1136"/>
      <c r="P1251" s="1136"/>
      <c r="Q1251" s="1136"/>
      <c r="R1251" s="1136"/>
      <c r="S1251" s="1136"/>
      <c r="T1251" s="1136"/>
      <c r="U1251" s="1136"/>
      <c r="V1251" s="1136"/>
      <c r="W1251" s="1136"/>
      <c r="X1251" s="1136"/>
      <c r="Y1251" s="1136"/>
      <c r="Z1251" s="1136"/>
      <c r="AA1251" s="1136"/>
      <c r="AB1251" s="1136"/>
      <c r="AC1251" s="1136"/>
      <c r="AD1251" s="1136"/>
      <c r="AE1251" s="1136"/>
      <c r="AF1251" s="1136"/>
      <c r="AG1251" s="1136"/>
      <c r="AH1251" s="1136"/>
      <c r="AI1251" s="1136"/>
      <c r="AJ1251" s="1136"/>
      <c r="AK1251" s="1136"/>
      <c r="AL1251" s="1136"/>
      <c r="AM1251" s="1136"/>
      <c r="AN1251" s="1136"/>
      <c r="AO1251" s="1136"/>
      <c r="AP1251" s="1136"/>
      <c r="AQ1251" s="1136"/>
      <c r="AR1251" s="1136"/>
      <c r="AS1251" s="1136"/>
      <c r="AT1251" s="1136"/>
      <c r="AU1251" s="1136"/>
      <c r="AV1251" s="1136"/>
      <c r="AW1251" s="1136"/>
      <c r="AX1251" s="1136"/>
      <c r="AY1251" s="1136"/>
      <c r="AZ1251" s="1136"/>
      <c r="BA1251" s="1136"/>
      <c r="BB1251" s="1136"/>
      <c r="BC1251" s="1136"/>
      <c r="BD1251" s="1136"/>
      <c r="BE1251" s="1136"/>
      <c r="BF1251" s="1136"/>
      <c r="BG1251" s="1136"/>
      <c r="BH1251" s="1136"/>
      <c r="BI1251" s="1136"/>
      <c r="BJ1251" s="1136"/>
      <c r="BK1251" s="1136"/>
      <c r="BL1251" s="1136"/>
      <c r="BM1251" s="1136"/>
      <c r="BN1251" s="1136"/>
      <c r="BO1251" s="1136"/>
      <c r="BP1251" s="1136"/>
      <c r="BQ1251" s="1136"/>
      <c r="BR1251" s="1136"/>
      <c r="BS1251" s="1136"/>
      <c r="BT1251" s="1136"/>
      <c r="BU1251" s="1136"/>
      <c r="BV1251" s="1136"/>
      <c r="BW1251" s="1136"/>
      <c r="BX1251" s="1136"/>
      <c r="BY1251" s="1136"/>
      <c r="BZ1251" s="1136"/>
      <c r="CA1251" s="1136"/>
      <c r="CB1251" s="1136"/>
      <c r="CC1251" s="1136"/>
      <c r="CD1251" s="1136"/>
      <c r="CE1251" s="1136"/>
      <c r="CF1251" s="1136"/>
      <c r="CG1251" s="1136"/>
      <c r="CH1251" s="1136"/>
      <c r="CI1251" s="1136"/>
      <c r="CJ1251" s="1136"/>
      <c r="CK1251" s="1136"/>
      <c r="CL1251" s="1136"/>
      <c r="CM1251" s="1136"/>
      <c r="CN1251" s="1136"/>
      <c r="CO1251" s="1136"/>
      <c r="CP1251" s="1136"/>
      <c r="CQ1251" s="1136"/>
      <c r="CR1251" s="1136"/>
      <c r="CS1251" s="1136"/>
      <c r="CT1251" s="1136"/>
      <c r="CU1251" s="1136"/>
      <c r="CV1251" s="1136"/>
      <c r="CW1251" s="1136"/>
      <c r="CX1251" s="1136"/>
      <c r="CY1251" s="1136"/>
      <c r="CZ1251" s="1136"/>
      <c r="DA1251" s="1136"/>
      <c r="DB1251" s="1136"/>
      <c r="DC1251" s="1136"/>
      <c r="DD1251" s="1136"/>
      <c r="DE1251" s="1136"/>
      <c r="DF1251" s="1136"/>
      <c r="DG1251" s="1136"/>
      <c r="DH1251" s="1136"/>
      <c r="DI1251" s="1136"/>
    </row>
    <row r="1252" spans="1:113" ht="15.75" x14ac:dyDescent="0.25">
      <c r="A1252" s="1430" t="s">
        <v>2742</v>
      </c>
      <c r="B1252" s="1484" t="e">
        <f>(((B287*B329)/(B285*B286*B290*B291*B293))*((B771+B772)*B769))/1000</f>
        <v>#VALUE!</v>
      </c>
      <c r="C1252" s="1639"/>
      <c r="D1252" s="1639"/>
      <c r="E1252" s="1639"/>
      <c r="F1252" s="1639"/>
      <c r="G1252" s="1639"/>
      <c r="H1252" s="1136"/>
      <c r="I1252" s="1136"/>
      <c r="J1252" s="1136"/>
      <c r="K1252" s="1136"/>
      <c r="L1252" s="1136"/>
      <c r="M1252" s="1136"/>
      <c r="N1252" s="1136"/>
      <c r="O1252" s="1136"/>
      <c r="P1252" s="1136"/>
      <c r="Q1252" s="1136"/>
      <c r="R1252" s="1136"/>
      <c r="S1252" s="1136"/>
      <c r="T1252" s="1136"/>
      <c r="U1252" s="1136"/>
      <c r="V1252" s="1136"/>
      <c r="W1252" s="1136"/>
      <c r="X1252" s="1136"/>
      <c r="Y1252" s="1136"/>
      <c r="Z1252" s="1136"/>
      <c r="AA1252" s="1136"/>
      <c r="AB1252" s="1136"/>
      <c r="AC1252" s="1136"/>
      <c r="AD1252" s="1136"/>
      <c r="AE1252" s="1136"/>
      <c r="AF1252" s="1136"/>
      <c r="AG1252" s="1136"/>
      <c r="AH1252" s="1136"/>
      <c r="AI1252" s="1136"/>
      <c r="AJ1252" s="1136"/>
      <c r="AK1252" s="1136"/>
      <c r="AL1252" s="1136"/>
      <c r="AM1252" s="1136"/>
      <c r="AN1252" s="1136"/>
      <c r="AO1252" s="1136"/>
      <c r="AP1252" s="1136"/>
      <c r="AQ1252" s="1136"/>
      <c r="AR1252" s="1136"/>
      <c r="AS1252" s="1136"/>
      <c r="AT1252" s="1136"/>
      <c r="AU1252" s="1136"/>
      <c r="AV1252" s="1136"/>
      <c r="AW1252" s="1136"/>
      <c r="AX1252" s="1136"/>
      <c r="AY1252" s="1136"/>
      <c r="AZ1252" s="1136"/>
      <c r="BA1252" s="1136"/>
      <c r="BB1252" s="1136"/>
      <c r="BC1252" s="1136"/>
      <c r="BD1252" s="1136"/>
      <c r="BE1252" s="1136"/>
      <c r="BF1252" s="1136"/>
      <c r="BG1252" s="1136"/>
      <c r="BH1252" s="1136"/>
      <c r="BI1252" s="1136"/>
      <c r="BJ1252" s="1136"/>
      <c r="BK1252" s="1136"/>
      <c r="BL1252" s="1136"/>
      <c r="BM1252" s="1136"/>
      <c r="BN1252" s="1136"/>
      <c r="BO1252" s="1136"/>
      <c r="BP1252" s="1136"/>
      <c r="BQ1252" s="1136"/>
      <c r="BR1252" s="1136"/>
      <c r="BS1252" s="1136"/>
      <c r="BT1252" s="1136"/>
      <c r="BU1252" s="1136"/>
      <c r="BV1252" s="1136"/>
      <c r="BW1252" s="1136"/>
      <c r="BX1252" s="1136"/>
      <c r="BY1252" s="1136"/>
      <c r="BZ1252" s="1136"/>
      <c r="CA1252" s="1136"/>
      <c r="CB1252" s="1136"/>
      <c r="CC1252" s="1136"/>
      <c r="CD1252" s="1136"/>
      <c r="CE1252" s="1136"/>
      <c r="CF1252" s="1136"/>
      <c r="CG1252" s="1136"/>
      <c r="CH1252" s="1136"/>
      <c r="CI1252" s="1136"/>
      <c r="CJ1252" s="1136"/>
      <c r="CK1252" s="1136"/>
      <c r="CL1252" s="1136"/>
      <c r="CM1252" s="1136"/>
      <c r="CN1252" s="1136"/>
      <c r="CO1252" s="1136"/>
      <c r="CP1252" s="1136"/>
      <c r="CQ1252" s="1136"/>
      <c r="CR1252" s="1136"/>
      <c r="CS1252" s="1136"/>
      <c r="CT1252" s="1136"/>
      <c r="CU1252" s="1136"/>
      <c r="CV1252" s="1136"/>
      <c r="CW1252" s="1136"/>
      <c r="CX1252" s="1136"/>
      <c r="CY1252" s="1136"/>
      <c r="CZ1252" s="1136"/>
      <c r="DA1252" s="1136"/>
      <c r="DB1252" s="1136"/>
      <c r="DC1252" s="1136"/>
      <c r="DD1252" s="1136"/>
      <c r="DE1252" s="1136"/>
      <c r="DF1252" s="1136"/>
      <c r="DG1252" s="1136"/>
      <c r="DH1252" s="1136"/>
      <c r="DI1252" s="1136"/>
    </row>
    <row r="1253" spans="1:113" ht="15.75" x14ac:dyDescent="0.25">
      <c r="A1253" s="1430" t="s">
        <v>2743</v>
      </c>
      <c r="B1253" s="1484" t="e">
        <f>((B287*B329)/(B285*B286*B290*B291*B293))*B782</f>
        <v>#VALUE!</v>
      </c>
      <c r="C1253" s="1639"/>
      <c r="D1253" s="1639"/>
      <c r="E1253" s="1639"/>
      <c r="F1253" s="1639"/>
      <c r="G1253" s="1639"/>
      <c r="H1253" s="1136"/>
      <c r="I1253" s="1136"/>
      <c r="J1253" s="1136"/>
      <c r="K1253" s="1136"/>
      <c r="L1253" s="1136"/>
      <c r="M1253" s="1136"/>
      <c r="N1253" s="1136"/>
      <c r="O1253" s="1136"/>
      <c r="P1253" s="1136"/>
      <c r="Q1253" s="1136"/>
      <c r="R1253" s="1136"/>
      <c r="S1253" s="1136"/>
      <c r="T1253" s="1136"/>
      <c r="U1253" s="1136"/>
      <c r="V1253" s="1136"/>
      <c r="W1253" s="1136"/>
      <c r="X1253" s="1136"/>
      <c r="Y1253" s="1136"/>
      <c r="Z1253" s="1136"/>
      <c r="AA1253" s="1136"/>
      <c r="AB1253" s="1136"/>
      <c r="AC1253" s="1136"/>
      <c r="AD1253" s="1136"/>
      <c r="AE1253" s="1136"/>
      <c r="AF1253" s="1136"/>
      <c r="AG1253" s="1136"/>
      <c r="AH1253" s="1136"/>
      <c r="AI1253" s="1136"/>
      <c r="AJ1253" s="1136"/>
      <c r="AK1253" s="1136"/>
      <c r="AL1253" s="1136"/>
      <c r="AM1253" s="1136"/>
      <c r="AN1253" s="1136"/>
      <c r="AO1253" s="1136"/>
      <c r="AP1253" s="1136"/>
      <c r="AQ1253" s="1136"/>
      <c r="AR1253" s="1136"/>
      <c r="AS1253" s="1136"/>
      <c r="AT1253" s="1136"/>
      <c r="AU1253" s="1136"/>
      <c r="AV1253" s="1136"/>
      <c r="AW1253" s="1136"/>
      <c r="AX1253" s="1136"/>
      <c r="AY1253" s="1136"/>
      <c r="AZ1253" s="1136"/>
      <c r="BA1253" s="1136"/>
      <c r="BB1253" s="1136"/>
      <c r="BC1253" s="1136"/>
      <c r="BD1253" s="1136"/>
      <c r="BE1253" s="1136"/>
      <c r="BF1253" s="1136"/>
      <c r="BG1253" s="1136"/>
      <c r="BH1253" s="1136"/>
      <c r="BI1253" s="1136"/>
      <c r="BJ1253" s="1136"/>
      <c r="BK1253" s="1136"/>
      <c r="BL1253" s="1136"/>
      <c r="BM1253" s="1136"/>
      <c r="BN1253" s="1136"/>
      <c r="BO1253" s="1136"/>
      <c r="BP1253" s="1136"/>
      <c r="BQ1253" s="1136"/>
      <c r="BR1253" s="1136"/>
      <c r="BS1253" s="1136"/>
      <c r="BT1253" s="1136"/>
      <c r="BU1253" s="1136"/>
      <c r="BV1253" s="1136"/>
      <c r="BW1253" s="1136"/>
      <c r="BX1253" s="1136"/>
      <c r="BY1253" s="1136"/>
      <c r="BZ1253" s="1136"/>
      <c r="CA1253" s="1136"/>
      <c r="CB1253" s="1136"/>
      <c r="CC1253" s="1136"/>
      <c r="CD1253" s="1136"/>
      <c r="CE1253" s="1136"/>
      <c r="CF1253" s="1136"/>
      <c r="CG1253" s="1136"/>
      <c r="CH1253" s="1136"/>
      <c r="CI1253" s="1136"/>
      <c r="CJ1253" s="1136"/>
      <c r="CK1253" s="1136"/>
      <c r="CL1253" s="1136"/>
      <c r="CM1253" s="1136"/>
      <c r="CN1253" s="1136"/>
      <c r="CO1253" s="1136"/>
      <c r="CP1253" s="1136"/>
      <c r="CQ1253" s="1136"/>
      <c r="CR1253" s="1136"/>
      <c r="CS1253" s="1136"/>
      <c r="CT1253" s="1136"/>
      <c r="CU1253" s="1136"/>
      <c r="CV1253" s="1136"/>
      <c r="CW1253" s="1136"/>
      <c r="CX1253" s="1136"/>
      <c r="CY1253" s="1136"/>
      <c r="CZ1253" s="1136"/>
      <c r="DA1253" s="1136"/>
      <c r="DB1253" s="1136"/>
      <c r="DC1253" s="1136"/>
      <c r="DD1253" s="1136"/>
      <c r="DE1253" s="1136"/>
      <c r="DF1253" s="1136"/>
      <c r="DG1253" s="1136"/>
      <c r="DH1253" s="1136"/>
      <c r="DI1253" s="1136"/>
    </row>
    <row r="1254" spans="1:113" ht="15.75" x14ac:dyDescent="0.25">
      <c r="A1254" s="1640" t="s">
        <v>2744</v>
      </c>
      <c r="B1254" s="1484"/>
      <c r="C1254" s="1639"/>
      <c r="D1254" s="1639"/>
      <c r="E1254" s="1639"/>
      <c r="F1254" s="1639"/>
      <c r="G1254" s="1639"/>
      <c r="H1254" s="1136"/>
      <c r="I1254" s="1136"/>
      <c r="J1254" s="1136"/>
      <c r="K1254" s="1136"/>
      <c r="L1254" s="1136"/>
      <c r="M1254" s="1136"/>
      <c r="N1254" s="1136"/>
      <c r="O1254" s="1136"/>
      <c r="P1254" s="1136"/>
      <c r="Q1254" s="1136"/>
      <c r="R1254" s="1136"/>
      <c r="S1254" s="1136"/>
      <c r="T1254" s="1136"/>
      <c r="U1254" s="1136"/>
      <c r="V1254" s="1136"/>
      <c r="W1254" s="1136"/>
      <c r="X1254" s="1136"/>
      <c r="Y1254" s="1136"/>
      <c r="Z1254" s="1136"/>
      <c r="AA1254" s="1136"/>
      <c r="AB1254" s="1136"/>
      <c r="AC1254" s="1136"/>
      <c r="AD1254" s="1136"/>
      <c r="AE1254" s="1136"/>
      <c r="AF1254" s="1136"/>
      <c r="AG1254" s="1136"/>
      <c r="AH1254" s="1136"/>
      <c r="AI1254" s="1136"/>
      <c r="AJ1254" s="1136"/>
      <c r="AK1254" s="1136"/>
      <c r="AL1254" s="1136"/>
      <c r="AM1254" s="1136"/>
      <c r="AN1254" s="1136"/>
      <c r="AO1254" s="1136"/>
      <c r="AP1254" s="1136"/>
      <c r="AQ1254" s="1136"/>
      <c r="AR1254" s="1136"/>
      <c r="AS1254" s="1136"/>
      <c r="AT1254" s="1136"/>
      <c r="AU1254" s="1136"/>
      <c r="AV1254" s="1136"/>
      <c r="AW1254" s="1136"/>
      <c r="AX1254" s="1136"/>
      <c r="AY1254" s="1136"/>
      <c r="AZ1254" s="1136"/>
      <c r="BA1254" s="1136"/>
      <c r="BB1254" s="1136"/>
      <c r="BC1254" s="1136"/>
      <c r="BD1254" s="1136"/>
      <c r="BE1254" s="1136"/>
      <c r="BF1254" s="1136"/>
      <c r="BG1254" s="1136"/>
      <c r="BH1254" s="1136"/>
      <c r="BI1254" s="1136"/>
      <c r="BJ1254" s="1136"/>
      <c r="BK1254" s="1136"/>
      <c r="BL1254" s="1136"/>
      <c r="BM1254" s="1136"/>
      <c r="BN1254" s="1136"/>
      <c r="BO1254" s="1136"/>
      <c r="BP1254" s="1136"/>
      <c r="BQ1254" s="1136"/>
      <c r="BR1254" s="1136"/>
      <c r="BS1254" s="1136"/>
      <c r="BT1254" s="1136"/>
      <c r="BU1254" s="1136"/>
      <c r="BV1254" s="1136"/>
      <c r="BW1254" s="1136"/>
      <c r="BX1254" s="1136"/>
      <c r="BY1254" s="1136"/>
      <c r="BZ1254" s="1136"/>
      <c r="CA1254" s="1136"/>
      <c r="CB1254" s="1136"/>
      <c r="CC1254" s="1136"/>
      <c r="CD1254" s="1136"/>
      <c r="CE1254" s="1136"/>
      <c r="CF1254" s="1136"/>
      <c r="CG1254" s="1136"/>
      <c r="CH1254" s="1136"/>
      <c r="CI1254" s="1136"/>
      <c r="CJ1254" s="1136"/>
      <c r="CK1254" s="1136"/>
      <c r="CL1254" s="1136"/>
      <c r="CM1254" s="1136"/>
      <c r="CN1254" s="1136"/>
      <c r="CO1254" s="1136"/>
      <c r="CP1254" s="1136"/>
      <c r="CQ1254" s="1136"/>
      <c r="CR1254" s="1136"/>
      <c r="CS1254" s="1136"/>
      <c r="CT1254" s="1136"/>
      <c r="CU1254" s="1136"/>
      <c r="CV1254" s="1136"/>
      <c r="CW1254" s="1136"/>
      <c r="CX1254" s="1136"/>
      <c r="CY1254" s="1136"/>
      <c r="CZ1254" s="1136"/>
      <c r="DA1254" s="1136"/>
      <c r="DB1254" s="1136"/>
      <c r="DC1254" s="1136"/>
      <c r="DD1254" s="1136"/>
      <c r="DE1254" s="1136"/>
      <c r="DF1254" s="1136"/>
      <c r="DG1254" s="1136"/>
      <c r="DH1254" s="1136"/>
      <c r="DI1254" s="1136"/>
    </row>
    <row r="1255" spans="1:113" ht="15.75" x14ac:dyDescent="0.25">
      <c r="A1255" s="1489" t="s">
        <v>2745</v>
      </c>
      <c r="B1255" s="1484" t="e">
        <f>((B287*B329)/(B285*B286*B290*B291*B293))*B562</f>
        <v>#VALUE!</v>
      </c>
      <c r="C1255" s="1639"/>
      <c r="D1255" s="1639"/>
      <c r="E1255" s="1639"/>
      <c r="F1255" s="1639"/>
      <c r="G1255" s="1639"/>
      <c r="H1255" s="1136"/>
      <c r="I1255" s="1136"/>
      <c r="J1255" s="1136"/>
      <c r="K1255" s="1136"/>
      <c r="L1255" s="1136"/>
      <c r="M1255" s="1136"/>
      <c r="N1255" s="1136"/>
      <c r="O1255" s="1136"/>
      <c r="P1255" s="1136"/>
      <c r="Q1255" s="1136"/>
      <c r="R1255" s="1136"/>
      <c r="S1255" s="1136"/>
      <c r="T1255" s="1136"/>
      <c r="U1255" s="1136"/>
      <c r="V1255" s="1136"/>
      <c r="W1255" s="1136"/>
      <c r="X1255" s="1136"/>
      <c r="Y1255" s="1136"/>
      <c r="Z1255" s="1136"/>
      <c r="AA1255" s="1136"/>
      <c r="AB1255" s="1136"/>
      <c r="AC1255" s="1136"/>
      <c r="AD1255" s="1136"/>
      <c r="AE1255" s="1136"/>
      <c r="AF1255" s="1136"/>
      <c r="AG1255" s="1136"/>
      <c r="AH1255" s="1136"/>
      <c r="AI1255" s="1136"/>
      <c r="AJ1255" s="1136"/>
      <c r="AK1255" s="1136"/>
      <c r="AL1255" s="1136"/>
      <c r="AM1255" s="1136"/>
      <c r="AN1255" s="1136"/>
      <c r="AO1255" s="1136"/>
      <c r="AP1255" s="1136"/>
      <c r="AQ1255" s="1136"/>
      <c r="AR1255" s="1136"/>
      <c r="AS1255" s="1136"/>
      <c r="AT1255" s="1136"/>
      <c r="AU1255" s="1136"/>
      <c r="AV1255" s="1136"/>
      <c r="AW1255" s="1136"/>
      <c r="AX1255" s="1136"/>
      <c r="AY1255" s="1136"/>
      <c r="AZ1255" s="1136"/>
      <c r="BA1255" s="1136"/>
      <c r="BB1255" s="1136"/>
      <c r="BC1255" s="1136"/>
      <c r="BD1255" s="1136"/>
      <c r="BE1255" s="1136"/>
      <c r="BF1255" s="1136"/>
      <c r="BG1255" s="1136"/>
      <c r="BH1255" s="1136"/>
      <c r="BI1255" s="1136"/>
      <c r="BJ1255" s="1136"/>
      <c r="BK1255" s="1136"/>
      <c r="BL1255" s="1136"/>
      <c r="BM1255" s="1136"/>
      <c r="BN1255" s="1136"/>
      <c r="BO1255" s="1136"/>
      <c r="BP1255" s="1136"/>
      <c r="BQ1255" s="1136"/>
      <c r="BR1255" s="1136"/>
      <c r="BS1255" s="1136"/>
      <c r="BT1255" s="1136"/>
      <c r="BU1255" s="1136"/>
      <c r="BV1255" s="1136"/>
      <c r="BW1255" s="1136"/>
      <c r="BX1255" s="1136"/>
      <c r="BY1255" s="1136"/>
      <c r="BZ1255" s="1136"/>
      <c r="CA1255" s="1136"/>
      <c r="CB1255" s="1136"/>
      <c r="CC1255" s="1136"/>
      <c r="CD1255" s="1136"/>
      <c r="CE1255" s="1136"/>
      <c r="CF1255" s="1136"/>
      <c r="CG1255" s="1136"/>
      <c r="CH1255" s="1136"/>
      <c r="CI1255" s="1136"/>
      <c r="CJ1255" s="1136"/>
      <c r="CK1255" s="1136"/>
      <c r="CL1255" s="1136"/>
      <c r="CM1255" s="1136"/>
      <c r="CN1255" s="1136"/>
      <c r="CO1255" s="1136"/>
      <c r="CP1255" s="1136"/>
      <c r="CQ1255" s="1136"/>
      <c r="CR1255" s="1136"/>
      <c r="CS1255" s="1136"/>
      <c r="CT1255" s="1136"/>
      <c r="CU1255" s="1136"/>
      <c r="CV1255" s="1136"/>
      <c r="CW1255" s="1136"/>
      <c r="CX1255" s="1136"/>
      <c r="CY1255" s="1136"/>
      <c r="CZ1255" s="1136"/>
      <c r="DA1255" s="1136"/>
      <c r="DB1255" s="1136"/>
      <c r="DC1255" s="1136"/>
      <c r="DD1255" s="1136"/>
      <c r="DE1255" s="1136"/>
      <c r="DF1255" s="1136"/>
      <c r="DG1255" s="1136"/>
      <c r="DH1255" s="1136"/>
      <c r="DI1255" s="1136"/>
    </row>
    <row r="1256" spans="1:113" ht="15.75" x14ac:dyDescent="0.25">
      <c r="A1256" s="1489" t="s">
        <v>2746</v>
      </c>
      <c r="B1256" s="1484" t="e">
        <f>(27.458*B314-48.908)*B1255</f>
        <v>#VALUE!</v>
      </c>
      <c r="C1256" s="1639"/>
      <c r="D1256" s="1639"/>
      <c r="E1256" s="1639"/>
      <c r="F1256" s="1639"/>
      <c r="G1256" s="1639"/>
      <c r="H1256" s="1136"/>
      <c r="I1256" s="1136"/>
      <c r="J1256" s="1136"/>
      <c r="K1256" s="1136"/>
      <c r="L1256" s="1136"/>
      <c r="M1256" s="1136"/>
      <c r="N1256" s="1136"/>
      <c r="O1256" s="1136"/>
      <c r="P1256" s="1136"/>
      <c r="Q1256" s="1136"/>
      <c r="R1256" s="1136"/>
      <c r="S1256" s="1136"/>
      <c r="T1256" s="1136"/>
      <c r="U1256" s="1136"/>
      <c r="V1256" s="1136"/>
      <c r="W1256" s="1136"/>
      <c r="X1256" s="1136"/>
      <c r="Y1256" s="1136"/>
      <c r="Z1256" s="1136"/>
      <c r="AA1256" s="1136"/>
      <c r="AB1256" s="1136"/>
      <c r="AC1256" s="1136"/>
      <c r="AD1256" s="1136"/>
      <c r="AE1256" s="1136"/>
      <c r="AF1256" s="1136"/>
      <c r="AG1256" s="1136"/>
      <c r="AH1256" s="1136"/>
      <c r="AI1256" s="1136"/>
      <c r="AJ1256" s="1136"/>
      <c r="AK1256" s="1136"/>
      <c r="AL1256" s="1136"/>
      <c r="AM1256" s="1136"/>
      <c r="AN1256" s="1136"/>
      <c r="AO1256" s="1136"/>
      <c r="AP1256" s="1136"/>
      <c r="AQ1256" s="1136"/>
      <c r="AR1256" s="1136"/>
      <c r="AS1256" s="1136"/>
      <c r="AT1256" s="1136"/>
      <c r="AU1256" s="1136"/>
      <c r="AV1256" s="1136"/>
      <c r="AW1256" s="1136"/>
      <c r="AX1256" s="1136"/>
      <c r="AY1256" s="1136"/>
      <c r="AZ1256" s="1136"/>
      <c r="BA1256" s="1136"/>
      <c r="BB1256" s="1136"/>
      <c r="BC1256" s="1136"/>
      <c r="BD1256" s="1136"/>
      <c r="BE1256" s="1136"/>
      <c r="BF1256" s="1136"/>
      <c r="BG1256" s="1136"/>
      <c r="BH1256" s="1136"/>
      <c r="BI1256" s="1136"/>
      <c r="BJ1256" s="1136"/>
      <c r="BK1256" s="1136"/>
      <c r="BL1256" s="1136"/>
      <c r="BM1256" s="1136"/>
      <c r="BN1256" s="1136"/>
      <c r="BO1256" s="1136"/>
      <c r="BP1256" s="1136"/>
      <c r="BQ1256" s="1136"/>
      <c r="BR1256" s="1136"/>
      <c r="BS1256" s="1136"/>
      <c r="BT1256" s="1136"/>
      <c r="BU1256" s="1136"/>
      <c r="BV1256" s="1136"/>
      <c r="BW1256" s="1136"/>
      <c r="BX1256" s="1136"/>
      <c r="BY1256" s="1136"/>
      <c r="BZ1256" s="1136"/>
      <c r="CA1256" s="1136"/>
      <c r="CB1256" s="1136"/>
      <c r="CC1256" s="1136"/>
      <c r="CD1256" s="1136"/>
      <c r="CE1256" s="1136"/>
      <c r="CF1256" s="1136"/>
      <c r="CG1256" s="1136"/>
      <c r="CH1256" s="1136"/>
      <c r="CI1256" s="1136"/>
      <c r="CJ1256" s="1136"/>
      <c r="CK1256" s="1136"/>
      <c r="CL1256" s="1136"/>
      <c r="CM1256" s="1136"/>
      <c r="CN1256" s="1136"/>
      <c r="CO1256" s="1136"/>
      <c r="CP1256" s="1136"/>
      <c r="CQ1256" s="1136"/>
      <c r="CR1256" s="1136"/>
      <c r="CS1256" s="1136"/>
      <c r="CT1256" s="1136"/>
      <c r="CU1256" s="1136"/>
      <c r="CV1256" s="1136"/>
      <c r="CW1256" s="1136"/>
      <c r="CX1256" s="1136"/>
      <c r="CY1256" s="1136"/>
      <c r="CZ1256" s="1136"/>
      <c r="DA1256" s="1136"/>
      <c r="DB1256" s="1136"/>
      <c r="DC1256" s="1136"/>
      <c r="DD1256" s="1136"/>
      <c r="DE1256" s="1136"/>
      <c r="DF1256" s="1136"/>
      <c r="DG1256" s="1136"/>
      <c r="DH1256" s="1136"/>
      <c r="DI1256" s="1136"/>
    </row>
    <row r="1257" spans="1:113" ht="15" x14ac:dyDescent="0.2">
      <c r="A1257" s="1391"/>
      <c r="B1257" s="1046"/>
      <c r="C1257" s="1136"/>
      <c r="D1257" s="1639"/>
      <c r="E1257" s="1639"/>
      <c r="F1257" s="1639"/>
      <c r="G1257" s="1639"/>
      <c r="H1257" s="1136"/>
      <c r="I1257" s="1136"/>
      <c r="J1257" s="1136"/>
      <c r="K1257" s="1136"/>
      <c r="L1257" s="1136"/>
      <c r="M1257" s="1136"/>
      <c r="N1257" s="1136"/>
      <c r="O1257" s="1136"/>
      <c r="P1257" s="1136"/>
      <c r="Q1257" s="1136"/>
      <c r="R1257" s="1136"/>
      <c r="S1257" s="1136"/>
      <c r="T1257" s="1136"/>
      <c r="U1257" s="1136"/>
      <c r="V1257" s="1136"/>
      <c r="W1257" s="1136"/>
      <c r="X1257" s="1136"/>
      <c r="Y1257" s="1136"/>
      <c r="Z1257" s="1136"/>
      <c r="AA1257" s="1136"/>
      <c r="AB1257" s="1136"/>
      <c r="AC1257" s="1136"/>
      <c r="AD1257" s="1136"/>
      <c r="AE1257" s="1136"/>
      <c r="AF1257" s="1136"/>
      <c r="AG1257" s="1136"/>
      <c r="AH1257" s="1136"/>
      <c r="AI1257" s="1136"/>
      <c r="AJ1257" s="1136"/>
      <c r="AK1257" s="1136"/>
      <c r="AL1257" s="1136"/>
      <c r="AM1257" s="1136"/>
      <c r="AN1257" s="1136"/>
      <c r="AO1257" s="1136"/>
      <c r="AP1257" s="1136"/>
      <c r="AQ1257" s="1136"/>
      <c r="AR1257" s="1136"/>
      <c r="AS1257" s="1136"/>
      <c r="AT1257" s="1136"/>
      <c r="AU1257" s="1136"/>
      <c r="AV1257" s="1136"/>
      <c r="AW1257" s="1136"/>
      <c r="AX1257" s="1136"/>
      <c r="AY1257" s="1136"/>
      <c r="AZ1257" s="1136"/>
      <c r="BA1257" s="1136"/>
      <c r="BB1257" s="1136"/>
      <c r="BC1257" s="1136"/>
      <c r="BD1257" s="1136"/>
      <c r="BE1257" s="1136"/>
      <c r="BF1257" s="1136"/>
      <c r="BG1257" s="1136"/>
      <c r="BH1257" s="1136"/>
      <c r="BI1257" s="1136"/>
      <c r="BJ1257" s="1136"/>
      <c r="BK1257" s="1136"/>
      <c r="BL1257" s="1136"/>
      <c r="BM1257" s="1136"/>
      <c r="BN1257" s="1136"/>
      <c r="BO1257" s="1136"/>
      <c r="BP1257" s="1136"/>
      <c r="BQ1257" s="1136"/>
      <c r="BR1257" s="1136"/>
      <c r="BS1257" s="1136"/>
      <c r="BT1257" s="1136"/>
      <c r="BU1257" s="1136"/>
      <c r="BV1257" s="1136"/>
      <c r="BW1257" s="1136"/>
      <c r="BX1257" s="1136"/>
      <c r="BY1257" s="1136"/>
      <c r="BZ1257" s="1136"/>
      <c r="CA1257" s="1136"/>
      <c r="CB1257" s="1136"/>
      <c r="CC1257" s="1136"/>
      <c r="CD1257" s="1136"/>
      <c r="CE1257" s="1136"/>
      <c r="CF1257" s="1136"/>
      <c r="CG1257" s="1136"/>
      <c r="CH1257" s="1136"/>
      <c r="CI1257" s="1136"/>
      <c r="CJ1257" s="1136"/>
      <c r="CK1257" s="1136"/>
      <c r="CL1257" s="1136"/>
      <c r="CM1257" s="1136"/>
      <c r="CN1257" s="1136"/>
      <c r="CO1257" s="1136"/>
      <c r="CP1257" s="1136"/>
      <c r="CQ1257" s="1136"/>
      <c r="CR1257" s="1136"/>
      <c r="CS1257" s="1136"/>
      <c r="CT1257" s="1136"/>
      <c r="CU1257" s="1136"/>
      <c r="CV1257" s="1136"/>
      <c r="CW1257" s="1136"/>
      <c r="CX1257" s="1136"/>
      <c r="CY1257" s="1136"/>
      <c r="CZ1257" s="1136"/>
      <c r="DA1257" s="1136"/>
      <c r="DB1257" s="1136"/>
      <c r="DC1257" s="1136"/>
      <c r="DD1257" s="1136"/>
      <c r="DE1257" s="1136"/>
      <c r="DF1257" s="1136"/>
      <c r="DG1257" s="1136"/>
      <c r="DH1257" s="1136"/>
      <c r="DI1257" s="1136"/>
    </row>
    <row r="1258" spans="1:113" ht="15.75" x14ac:dyDescent="0.25">
      <c r="A1258" s="1595" t="s">
        <v>2747</v>
      </c>
      <c r="B1258" s="1641"/>
      <c r="C1258" s="1642"/>
      <c r="D1258" s="1639"/>
      <c r="E1258" s="1639"/>
      <c r="F1258" s="1639"/>
      <c r="G1258" s="1639"/>
      <c r="H1258" s="1643"/>
      <c r="I1258" s="1136"/>
      <c r="J1258" s="1136"/>
      <c r="K1258" s="1136"/>
      <c r="L1258" s="1136"/>
      <c r="M1258" s="1136"/>
      <c r="N1258" s="1136"/>
      <c r="O1258" s="1136"/>
      <c r="P1258" s="1136"/>
      <c r="Q1258" s="1136"/>
      <c r="R1258" s="1136"/>
      <c r="S1258" s="1136"/>
      <c r="T1258" s="1136"/>
      <c r="U1258" s="1136"/>
      <c r="V1258" s="1136"/>
      <c r="W1258" s="1136"/>
      <c r="X1258" s="1136"/>
      <c r="Y1258" s="1136"/>
      <c r="Z1258" s="1136"/>
      <c r="AA1258" s="1136"/>
      <c r="AB1258" s="1136"/>
      <c r="AC1258" s="1136"/>
      <c r="AD1258" s="1136"/>
      <c r="AE1258" s="1136"/>
      <c r="AF1258" s="1136"/>
      <c r="AG1258" s="1136"/>
      <c r="AH1258" s="1136"/>
      <c r="AI1258" s="1136"/>
      <c r="AJ1258" s="1136"/>
      <c r="AK1258" s="1136"/>
      <c r="AL1258" s="1136"/>
      <c r="AM1258" s="1136"/>
      <c r="AN1258" s="1136"/>
      <c r="AO1258" s="1136"/>
      <c r="AP1258" s="1136"/>
      <c r="AQ1258" s="1136"/>
      <c r="AR1258" s="1136"/>
      <c r="AS1258" s="1136"/>
      <c r="AT1258" s="1136"/>
      <c r="AU1258" s="1136"/>
      <c r="AV1258" s="1136"/>
      <c r="AW1258" s="1136"/>
      <c r="AX1258" s="1136"/>
      <c r="AY1258" s="1136"/>
      <c r="AZ1258" s="1136"/>
      <c r="BA1258" s="1136"/>
      <c r="BB1258" s="1136"/>
      <c r="BC1258" s="1136"/>
      <c r="BD1258" s="1136"/>
      <c r="BE1258" s="1136"/>
      <c r="BF1258" s="1136"/>
      <c r="BG1258" s="1136"/>
      <c r="BH1258" s="1136"/>
      <c r="BI1258" s="1136"/>
      <c r="BJ1258" s="1136"/>
      <c r="BK1258" s="1136"/>
      <c r="BL1258" s="1136"/>
      <c r="BM1258" s="1136"/>
      <c r="BN1258" s="1136"/>
      <c r="BO1258" s="1136"/>
      <c r="BP1258" s="1136"/>
      <c r="BQ1258" s="1136"/>
      <c r="BR1258" s="1136"/>
      <c r="BS1258" s="1136"/>
      <c r="BT1258" s="1136"/>
      <c r="BU1258" s="1136"/>
      <c r="BV1258" s="1136"/>
      <c r="BW1258" s="1136"/>
      <c r="BX1258" s="1136"/>
      <c r="BY1258" s="1136"/>
      <c r="BZ1258" s="1136"/>
      <c r="CA1258" s="1136"/>
      <c r="CB1258" s="1136"/>
      <c r="CC1258" s="1136"/>
      <c r="CD1258" s="1136"/>
      <c r="CE1258" s="1136"/>
      <c r="CF1258" s="1136"/>
      <c r="CG1258" s="1136"/>
      <c r="CH1258" s="1136"/>
      <c r="CI1258" s="1136"/>
      <c r="CJ1258" s="1136"/>
      <c r="CK1258" s="1136"/>
      <c r="CL1258" s="1136"/>
      <c r="CM1258" s="1136"/>
      <c r="CN1258" s="1136"/>
      <c r="CO1258" s="1136"/>
      <c r="CP1258" s="1136"/>
      <c r="CQ1258" s="1136"/>
      <c r="CR1258" s="1136"/>
      <c r="CS1258" s="1136"/>
      <c r="CT1258" s="1136"/>
      <c r="CU1258" s="1136"/>
      <c r="CV1258" s="1136"/>
      <c r="CW1258" s="1136"/>
      <c r="CX1258" s="1136"/>
      <c r="CY1258" s="1136"/>
      <c r="CZ1258" s="1136"/>
      <c r="DA1258" s="1136"/>
      <c r="DB1258" s="1136"/>
      <c r="DC1258" s="1136"/>
      <c r="DD1258" s="1136"/>
      <c r="DE1258" s="1136"/>
      <c r="DF1258" s="1136"/>
      <c r="DG1258" s="1136"/>
      <c r="DH1258" s="1136"/>
      <c r="DI1258" s="1136"/>
    </row>
    <row r="1259" spans="1:113" ht="15.75" x14ac:dyDescent="0.25">
      <c r="A1259" s="1638" t="s">
        <v>3743</v>
      </c>
      <c r="B1259" s="1641"/>
      <c r="C1259" s="1642"/>
      <c r="D1259" s="1639"/>
      <c r="E1259" s="1639"/>
      <c r="F1259" s="1639"/>
      <c r="G1259" s="1639"/>
      <c r="H1259" s="1643"/>
      <c r="I1259" s="1136"/>
      <c r="J1259" s="1136"/>
      <c r="K1259" s="1136"/>
      <c r="L1259" s="1136"/>
      <c r="M1259" s="1136"/>
      <c r="N1259" s="1136"/>
      <c r="O1259" s="1136"/>
      <c r="P1259" s="1136"/>
      <c r="Q1259" s="1136"/>
      <c r="R1259" s="1136"/>
      <c r="S1259" s="1136"/>
      <c r="T1259" s="1136"/>
      <c r="U1259" s="1136"/>
      <c r="V1259" s="1136"/>
      <c r="W1259" s="1136"/>
      <c r="X1259" s="1136"/>
      <c r="Y1259" s="1136"/>
      <c r="Z1259" s="1136"/>
      <c r="AA1259" s="1136"/>
      <c r="AB1259" s="1136"/>
      <c r="AC1259" s="1136"/>
      <c r="AD1259" s="1136"/>
      <c r="AE1259" s="1136"/>
      <c r="AF1259" s="1136"/>
      <c r="AG1259" s="1136"/>
      <c r="AH1259" s="1136"/>
      <c r="AI1259" s="1136"/>
      <c r="AJ1259" s="1136"/>
      <c r="AK1259" s="1136"/>
      <c r="AL1259" s="1136"/>
      <c r="AM1259" s="1136"/>
      <c r="AN1259" s="1136"/>
      <c r="AO1259" s="1136"/>
      <c r="AP1259" s="1136"/>
      <c r="AQ1259" s="1136"/>
      <c r="AR1259" s="1136"/>
      <c r="AS1259" s="1136"/>
      <c r="AT1259" s="1136"/>
      <c r="AU1259" s="1136"/>
      <c r="AV1259" s="1136"/>
      <c r="AW1259" s="1136"/>
      <c r="AX1259" s="1136"/>
      <c r="AY1259" s="1136"/>
      <c r="AZ1259" s="1136"/>
      <c r="BA1259" s="1136"/>
      <c r="BB1259" s="1136"/>
      <c r="BC1259" s="1136"/>
      <c r="BD1259" s="1136"/>
      <c r="BE1259" s="1136"/>
      <c r="BF1259" s="1136"/>
      <c r="BG1259" s="1136"/>
      <c r="BH1259" s="1136"/>
      <c r="BI1259" s="1136"/>
      <c r="BJ1259" s="1136"/>
      <c r="BK1259" s="1136"/>
      <c r="BL1259" s="1136"/>
      <c r="BM1259" s="1136"/>
      <c r="BN1259" s="1136"/>
      <c r="BO1259" s="1136"/>
      <c r="BP1259" s="1136"/>
      <c r="BQ1259" s="1136"/>
      <c r="BR1259" s="1136"/>
      <c r="BS1259" s="1136"/>
      <c r="BT1259" s="1136"/>
      <c r="BU1259" s="1136"/>
      <c r="BV1259" s="1136"/>
      <c r="BW1259" s="1136"/>
      <c r="BX1259" s="1136"/>
      <c r="BY1259" s="1136"/>
      <c r="BZ1259" s="1136"/>
      <c r="CA1259" s="1136"/>
      <c r="CB1259" s="1136"/>
      <c r="CC1259" s="1136"/>
      <c r="CD1259" s="1136"/>
      <c r="CE1259" s="1136"/>
      <c r="CF1259" s="1136"/>
      <c r="CG1259" s="1136"/>
      <c r="CH1259" s="1136"/>
      <c r="CI1259" s="1136"/>
      <c r="CJ1259" s="1136"/>
      <c r="CK1259" s="1136"/>
      <c r="CL1259" s="1136"/>
      <c r="CM1259" s="1136"/>
      <c r="CN1259" s="1136"/>
      <c r="CO1259" s="1136"/>
      <c r="CP1259" s="1136"/>
      <c r="CQ1259" s="1136"/>
      <c r="CR1259" s="1136"/>
      <c r="CS1259" s="1136"/>
      <c r="CT1259" s="1136"/>
      <c r="CU1259" s="1136"/>
      <c r="CV1259" s="1136"/>
      <c r="CW1259" s="1136"/>
      <c r="CX1259" s="1136"/>
      <c r="CY1259" s="1136"/>
      <c r="CZ1259" s="1136"/>
      <c r="DA1259" s="1136"/>
      <c r="DB1259" s="1136"/>
      <c r="DC1259" s="1136"/>
      <c r="DD1259" s="1136"/>
      <c r="DE1259" s="1136"/>
      <c r="DF1259" s="1136"/>
      <c r="DG1259" s="1136"/>
      <c r="DH1259" s="1136"/>
      <c r="DI1259" s="1136"/>
    </row>
    <row r="1260" spans="1:113" ht="15.75" x14ac:dyDescent="0.25">
      <c r="A1260" s="1417" t="s">
        <v>3744</v>
      </c>
      <c r="B1260" s="1641"/>
      <c r="C1260" s="1642"/>
      <c r="D1260" s="1639"/>
      <c r="E1260" s="1639"/>
      <c r="F1260" s="1639"/>
      <c r="G1260" s="1639"/>
      <c r="H1260" s="1643"/>
      <c r="I1260" s="1136"/>
      <c r="J1260" s="1136"/>
      <c r="K1260" s="1136"/>
      <c r="L1260" s="1136"/>
      <c r="M1260" s="1136"/>
      <c r="N1260" s="1136"/>
      <c r="O1260" s="1136"/>
      <c r="P1260" s="1136"/>
      <c r="Q1260" s="1136"/>
      <c r="R1260" s="1136"/>
      <c r="S1260" s="1136"/>
      <c r="T1260" s="1136"/>
      <c r="U1260" s="1136"/>
      <c r="V1260" s="1136"/>
      <c r="W1260" s="1136"/>
      <c r="X1260" s="1136"/>
      <c r="Y1260" s="1136"/>
      <c r="Z1260" s="1136"/>
      <c r="AA1260" s="1136"/>
      <c r="AB1260" s="1136"/>
      <c r="AC1260" s="1136"/>
      <c r="AD1260" s="1136"/>
      <c r="AE1260" s="1136"/>
      <c r="AF1260" s="1136"/>
      <c r="AG1260" s="1136"/>
      <c r="AH1260" s="1136"/>
      <c r="AI1260" s="1136"/>
      <c r="AJ1260" s="1136"/>
      <c r="AK1260" s="1136"/>
      <c r="AL1260" s="1136"/>
      <c r="AM1260" s="1136"/>
      <c r="AN1260" s="1136"/>
      <c r="AO1260" s="1136"/>
      <c r="AP1260" s="1136"/>
      <c r="AQ1260" s="1136"/>
      <c r="AR1260" s="1136"/>
      <c r="AS1260" s="1136"/>
      <c r="AT1260" s="1136"/>
      <c r="AU1260" s="1136"/>
      <c r="AV1260" s="1136"/>
      <c r="AW1260" s="1136"/>
      <c r="AX1260" s="1136"/>
      <c r="AY1260" s="1136"/>
      <c r="AZ1260" s="1136"/>
      <c r="BA1260" s="1136"/>
      <c r="BB1260" s="1136"/>
      <c r="BC1260" s="1136"/>
      <c r="BD1260" s="1136"/>
      <c r="BE1260" s="1136"/>
      <c r="BF1260" s="1136"/>
      <c r="BG1260" s="1136"/>
      <c r="BH1260" s="1136"/>
      <c r="BI1260" s="1136"/>
      <c r="BJ1260" s="1136"/>
      <c r="BK1260" s="1136"/>
      <c r="BL1260" s="1136"/>
      <c r="BM1260" s="1136"/>
      <c r="BN1260" s="1136"/>
      <c r="BO1260" s="1136"/>
      <c r="BP1260" s="1136"/>
      <c r="BQ1260" s="1136"/>
      <c r="BR1260" s="1136"/>
      <c r="BS1260" s="1136"/>
      <c r="BT1260" s="1136"/>
      <c r="BU1260" s="1136"/>
      <c r="BV1260" s="1136"/>
      <c r="BW1260" s="1136"/>
      <c r="BX1260" s="1136"/>
      <c r="BY1260" s="1136"/>
      <c r="BZ1260" s="1136"/>
      <c r="CA1260" s="1136"/>
      <c r="CB1260" s="1136"/>
      <c r="CC1260" s="1136"/>
      <c r="CD1260" s="1136"/>
      <c r="CE1260" s="1136"/>
      <c r="CF1260" s="1136"/>
      <c r="CG1260" s="1136"/>
      <c r="CH1260" s="1136"/>
      <c r="CI1260" s="1136"/>
      <c r="CJ1260" s="1136"/>
      <c r="CK1260" s="1136"/>
      <c r="CL1260" s="1136"/>
      <c r="CM1260" s="1136"/>
      <c r="CN1260" s="1136"/>
      <c r="CO1260" s="1136"/>
      <c r="CP1260" s="1136"/>
      <c r="CQ1260" s="1136"/>
      <c r="CR1260" s="1136"/>
      <c r="CS1260" s="1136"/>
      <c r="CT1260" s="1136"/>
      <c r="CU1260" s="1136"/>
      <c r="CV1260" s="1136"/>
      <c r="CW1260" s="1136"/>
      <c r="CX1260" s="1136"/>
      <c r="CY1260" s="1136"/>
      <c r="CZ1260" s="1136"/>
      <c r="DA1260" s="1136"/>
      <c r="DB1260" s="1136"/>
      <c r="DC1260" s="1136"/>
      <c r="DD1260" s="1136"/>
      <c r="DE1260" s="1136"/>
      <c r="DF1260" s="1136"/>
      <c r="DG1260" s="1136"/>
      <c r="DH1260" s="1136"/>
      <c r="DI1260" s="1136"/>
    </row>
    <row r="1261" spans="1:113" ht="15.75" x14ac:dyDescent="0.25">
      <c r="A1261" s="1430" t="s">
        <v>2735</v>
      </c>
      <c r="B1261" s="1484" t="e">
        <f>((B287*B329)/(B285*B286*B290*B291*B293))*(B1160+B1161)</f>
        <v>#VALUE!</v>
      </c>
      <c r="C1261" s="1639"/>
      <c r="D1261" s="1639"/>
      <c r="E1261" s="1639"/>
      <c r="F1261" s="1639"/>
      <c r="G1261" s="1639"/>
      <c r="H1261" s="1643"/>
      <c r="I1261" s="1136"/>
      <c r="J1261" s="1136"/>
      <c r="K1261" s="1136"/>
      <c r="L1261" s="1136"/>
      <c r="M1261" s="1136"/>
      <c r="N1261" s="1136"/>
      <c r="O1261" s="1136"/>
      <c r="P1261" s="1136"/>
      <c r="Q1261" s="1136"/>
      <c r="R1261" s="1136"/>
      <c r="S1261" s="1136"/>
      <c r="T1261" s="1136"/>
      <c r="U1261" s="1136"/>
      <c r="V1261" s="1136"/>
      <c r="W1261" s="1136"/>
      <c r="X1261" s="1136"/>
      <c r="Y1261" s="1136"/>
      <c r="Z1261" s="1136"/>
      <c r="AA1261" s="1136"/>
      <c r="AB1261" s="1136"/>
      <c r="AC1261" s="1136"/>
      <c r="AD1261" s="1136"/>
      <c r="AE1261" s="1136"/>
      <c r="AF1261" s="1136"/>
      <c r="AG1261" s="1136"/>
      <c r="AH1261" s="1136"/>
      <c r="AI1261" s="1136"/>
      <c r="AJ1261" s="1136"/>
      <c r="AK1261" s="1136"/>
      <c r="AL1261" s="1136"/>
      <c r="AM1261" s="1136"/>
      <c r="AN1261" s="1136"/>
      <c r="AO1261" s="1136"/>
      <c r="AP1261" s="1136"/>
      <c r="AQ1261" s="1136"/>
      <c r="AR1261" s="1136"/>
      <c r="AS1261" s="1136"/>
      <c r="AT1261" s="1136"/>
      <c r="AU1261" s="1136"/>
      <c r="AV1261" s="1136"/>
      <c r="AW1261" s="1136"/>
      <c r="AX1261" s="1136"/>
      <c r="AY1261" s="1136"/>
      <c r="AZ1261" s="1136"/>
      <c r="BA1261" s="1136"/>
      <c r="BB1261" s="1136"/>
      <c r="BC1261" s="1136"/>
      <c r="BD1261" s="1136"/>
      <c r="BE1261" s="1136"/>
      <c r="BF1261" s="1136"/>
      <c r="BG1261" s="1136"/>
      <c r="BH1261" s="1136"/>
      <c r="BI1261" s="1136"/>
      <c r="BJ1261" s="1136"/>
      <c r="BK1261" s="1136"/>
      <c r="BL1261" s="1136"/>
      <c r="BM1261" s="1136"/>
      <c r="BN1261" s="1136"/>
      <c r="BO1261" s="1136"/>
      <c r="BP1261" s="1136"/>
      <c r="BQ1261" s="1136"/>
      <c r="BR1261" s="1136"/>
      <c r="BS1261" s="1136"/>
      <c r="BT1261" s="1136"/>
      <c r="BU1261" s="1136"/>
      <c r="BV1261" s="1136"/>
      <c r="BW1261" s="1136"/>
      <c r="BX1261" s="1136"/>
      <c r="BY1261" s="1136"/>
      <c r="BZ1261" s="1136"/>
      <c r="CA1261" s="1136"/>
      <c r="CB1261" s="1136"/>
      <c r="CC1261" s="1136"/>
      <c r="CD1261" s="1136"/>
      <c r="CE1261" s="1136"/>
      <c r="CF1261" s="1136"/>
      <c r="CG1261" s="1136"/>
      <c r="CH1261" s="1136"/>
      <c r="CI1261" s="1136"/>
      <c r="CJ1261" s="1136"/>
      <c r="CK1261" s="1136"/>
      <c r="CL1261" s="1136"/>
      <c r="CM1261" s="1136"/>
      <c r="CN1261" s="1136"/>
      <c r="CO1261" s="1136"/>
      <c r="CP1261" s="1136"/>
      <c r="CQ1261" s="1136"/>
      <c r="CR1261" s="1136"/>
      <c r="CS1261" s="1136"/>
      <c r="CT1261" s="1136"/>
      <c r="CU1261" s="1136"/>
      <c r="CV1261" s="1136"/>
      <c r="CW1261" s="1136"/>
      <c r="CX1261" s="1136"/>
      <c r="CY1261" s="1136"/>
      <c r="CZ1261" s="1136"/>
      <c r="DA1261" s="1136"/>
      <c r="DB1261" s="1136"/>
      <c r="DC1261" s="1136"/>
      <c r="DD1261" s="1136"/>
      <c r="DE1261" s="1136"/>
      <c r="DF1261" s="1136"/>
      <c r="DG1261" s="1136"/>
      <c r="DH1261" s="1136"/>
      <c r="DI1261" s="1136"/>
    </row>
    <row r="1262" spans="1:113" ht="15.75" x14ac:dyDescent="0.25">
      <c r="A1262" s="1430" t="s">
        <v>2736</v>
      </c>
      <c r="B1262" s="1484" t="e">
        <f>((B287*B329)/(B285*B286*B290*B291*B293))*(B1162+B1163)</f>
        <v>#VALUE!</v>
      </c>
      <c r="C1262" s="1639"/>
      <c r="D1262" s="1639"/>
      <c r="E1262" s="1639"/>
      <c r="F1262" s="1639"/>
      <c r="G1262" s="1639"/>
      <c r="H1262" s="1643"/>
      <c r="I1262" s="1136"/>
      <c r="J1262" s="1136"/>
      <c r="K1262" s="1136"/>
      <c r="L1262" s="1136"/>
      <c r="M1262" s="1136"/>
      <c r="N1262" s="1136"/>
      <c r="O1262" s="1136"/>
      <c r="P1262" s="1136"/>
      <c r="Q1262" s="1136"/>
      <c r="R1262" s="1136"/>
      <c r="S1262" s="1136"/>
      <c r="T1262" s="1136"/>
      <c r="U1262" s="1136"/>
      <c r="V1262" s="1136"/>
      <c r="W1262" s="1136"/>
      <c r="X1262" s="1136"/>
      <c r="Y1262" s="1136"/>
      <c r="Z1262" s="1136"/>
      <c r="AA1262" s="1136"/>
      <c r="AB1262" s="1136"/>
      <c r="AC1262" s="1136"/>
      <c r="AD1262" s="1136"/>
      <c r="AE1262" s="1136"/>
      <c r="AF1262" s="1136"/>
      <c r="AG1262" s="1136"/>
      <c r="AH1262" s="1136"/>
      <c r="AI1262" s="1136"/>
      <c r="AJ1262" s="1136"/>
      <c r="AK1262" s="1136"/>
      <c r="AL1262" s="1136"/>
      <c r="AM1262" s="1136"/>
      <c r="AN1262" s="1136"/>
      <c r="AO1262" s="1136"/>
      <c r="AP1262" s="1136"/>
      <c r="AQ1262" s="1136"/>
      <c r="AR1262" s="1136"/>
      <c r="AS1262" s="1136"/>
      <c r="AT1262" s="1136"/>
      <c r="AU1262" s="1136"/>
      <c r="AV1262" s="1136"/>
      <c r="AW1262" s="1136"/>
      <c r="AX1262" s="1136"/>
      <c r="AY1262" s="1136"/>
      <c r="AZ1262" s="1136"/>
      <c r="BA1262" s="1136"/>
      <c r="BB1262" s="1136"/>
      <c r="BC1262" s="1136"/>
      <c r="BD1262" s="1136"/>
      <c r="BE1262" s="1136"/>
      <c r="BF1262" s="1136"/>
      <c r="BG1262" s="1136"/>
      <c r="BH1262" s="1136"/>
      <c r="BI1262" s="1136"/>
      <c r="BJ1262" s="1136"/>
      <c r="BK1262" s="1136"/>
      <c r="BL1262" s="1136"/>
      <c r="BM1262" s="1136"/>
      <c r="BN1262" s="1136"/>
      <c r="BO1262" s="1136"/>
      <c r="BP1262" s="1136"/>
      <c r="BQ1262" s="1136"/>
      <c r="BR1262" s="1136"/>
      <c r="BS1262" s="1136"/>
      <c r="BT1262" s="1136"/>
      <c r="BU1262" s="1136"/>
      <c r="BV1262" s="1136"/>
      <c r="BW1262" s="1136"/>
      <c r="BX1262" s="1136"/>
      <c r="BY1262" s="1136"/>
      <c r="BZ1262" s="1136"/>
      <c r="CA1262" s="1136"/>
      <c r="CB1262" s="1136"/>
      <c r="CC1262" s="1136"/>
      <c r="CD1262" s="1136"/>
      <c r="CE1262" s="1136"/>
      <c r="CF1262" s="1136"/>
      <c r="CG1262" s="1136"/>
      <c r="CH1262" s="1136"/>
      <c r="CI1262" s="1136"/>
      <c r="CJ1262" s="1136"/>
      <c r="CK1262" s="1136"/>
      <c r="CL1262" s="1136"/>
      <c r="CM1262" s="1136"/>
      <c r="CN1262" s="1136"/>
      <c r="CO1262" s="1136"/>
      <c r="CP1262" s="1136"/>
      <c r="CQ1262" s="1136"/>
      <c r="CR1262" s="1136"/>
      <c r="CS1262" s="1136"/>
      <c r="CT1262" s="1136"/>
      <c r="CU1262" s="1136"/>
      <c r="CV1262" s="1136"/>
      <c r="CW1262" s="1136"/>
      <c r="CX1262" s="1136"/>
      <c r="CY1262" s="1136"/>
      <c r="CZ1262" s="1136"/>
      <c r="DA1262" s="1136"/>
      <c r="DB1262" s="1136"/>
      <c r="DC1262" s="1136"/>
      <c r="DD1262" s="1136"/>
      <c r="DE1262" s="1136"/>
      <c r="DF1262" s="1136"/>
      <c r="DG1262" s="1136"/>
      <c r="DH1262" s="1136"/>
      <c r="DI1262" s="1136"/>
    </row>
    <row r="1263" spans="1:113" ht="15.75" x14ac:dyDescent="0.25">
      <c r="A1263" s="1430" t="s">
        <v>2737</v>
      </c>
      <c r="B1263" s="1484" t="e">
        <f>((B287*B329)/(B285*B286*B290*B291*B293))*B1164</f>
        <v>#VALUE!</v>
      </c>
      <c r="C1263" s="1639"/>
      <c r="D1263" s="1639"/>
      <c r="E1263" s="1639"/>
      <c r="F1263" s="1639"/>
      <c r="G1263" s="1639"/>
      <c r="H1263" s="1643"/>
      <c r="I1263" s="1136"/>
      <c r="J1263" s="1136"/>
      <c r="K1263" s="1136"/>
      <c r="L1263" s="1136"/>
      <c r="M1263" s="1136"/>
      <c r="N1263" s="1136"/>
      <c r="O1263" s="1136"/>
      <c r="P1263" s="1136"/>
      <c r="Q1263" s="1136"/>
      <c r="R1263" s="1136"/>
      <c r="S1263" s="1136"/>
      <c r="T1263" s="1136"/>
      <c r="U1263" s="1136"/>
      <c r="V1263" s="1136"/>
      <c r="W1263" s="1136"/>
      <c r="X1263" s="1136"/>
      <c r="Y1263" s="1136"/>
      <c r="Z1263" s="1136"/>
      <c r="AA1263" s="1136"/>
      <c r="AB1263" s="1136"/>
      <c r="AC1263" s="1136"/>
      <c r="AD1263" s="1136"/>
      <c r="AE1263" s="1136"/>
      <c r="AF1263" s="1136"/>
      <c r="AG1263" s="1136"/>
      <c r="AH1263" s="1136"/>
      <c r="AI1263" s="1136"/>
      <c r="AJ1263" s="1136"/>
      <c r="AK1263" s="1136"/>
      <c r="AL1263" s="1136"/>
      <c r="AM1263" s="1136"/>
      <c r="AN1263" s="1136"/>
      <c r="AO1263" s="1136"/>
      <c r="AP1263" s="1136"/>
      <c r="AQ1263" s="1136"/>
      <c r="AR1263" s="1136"/>
      <c r="AS1263" s="1136"/>
      <c r="AT1263" s="1136"/>
      <c r="AU1263" s="1136"/>
      <c r="AV1263" s="1136"/>
      <c r="AW1263" s="1136"/>
      <c r="AX1263" s="1136"/>
      <c r="AY1263" s="1136"/>
      <c r="AZ1263" s="1136"/>
      <c r="BA1263" s="1136"/>
      <c r="BB1263" s="1136"/>
      <c r="BC1263" s="1136"/>
      <c r="BD1263" s="1136"/>
      <c r="BE1263" s="1136"/>
      <c r="BF1263" s="1136"/>
      <c r="BG1263" s="1136"/>
      <c r="BH1263" s="1136"/>
      <c r="BI1263" s="1136"/>
      <c r="BJ1263" s="1136"/>
      <c r="BK1263" s="1136"/>
      <c r="BL1263" s="1136"/>
      <c r="BM1263" s="1136"/>
      <c r="BN1263" s="1136"/>
      <c r="BO1263" s="1136"/>
      <c r="BP1263" s="1136"/>
      <c r="BQ1263" s="1136"/>
      <c r="BR1263" s="1136"/>
      <c r="BS1263" s="1136"/>
      <c r="BT1263" s="1136"/>
      <c r="BU1263" s="1136"/>
      <c r="BV1263" s="1136"/>
      <c r="BW1263" s="1136"/>
      <c r="BX1263" s="1136"/>
      <c r="BY1263" s="1136"/>
      <c r="BZ1263" s="1136"/>
      <c r="CA1263" s="1136"/>
      <c r="CB1263" s="1136"/>
      <c r="CC1263" s="1136"/>
      <c r="CD1263" s="1136"/>
      <c r="CE1263" s="1136"/>
      <c r="CF1263" s="1136"/>
      <c r="CG1263" s="1136"/>
      <c r="CH1263" s="1136"/>
      <c r="CI1263" s="1136"/>
      <c r="CJ1263" s="1136"/>
      <c r="CK1263" s="1136"/>
      <c r="CL1263" s="1136"/>
      <c r="CM1263" s="1136"/>
      <c r="CN1263" s="1136"/>
      <c r="CO1263" s="1136"/>
      <c r="CP1263" s="1136"/>
      <c r="CQ1263" s="1136"/>
      <c r="CR1263" s="1136"/>
      <c r="CS1263" s="1136"/>
      <c r="CT1263" s="1136"/>
      <c r="CU1263" s="1136"/>
      <c r="CV1263" s="1136"/>
      <c r="CW1263" s="1136"/>
      <c r="CX1263" s="1136"/>
      <c r="CY1263" s="1136"/>
      <c r="CZ1263" s="1136"/>
      <c r="DA1263" s="1136"/>
      <c r="DB1263" s="1136"/>
      <c r="DC1263" s="1136"/>
      <c r="DD1263" s="1136"/>
      <c r="DE1263" s="1136"/>
      <c r="DF1263" s="1136"/>
      <c r="DG1263" s="1136"/>
      <c r="DH1263" s="1136"/>
      <c r="DI1263" s="1136"/>
    </row>
    <row r="1264" spans="1:113" ht="15.75" x14ac:dyDescent="0.25">
      <c r="A1264" s="1417" t="s">
        <v>2738</v>
      </c>
      <c r="B1264" s="1484"/>
      <c r="C1264" s="1639"/>
      <c r="D1264" s="1136"/>
      <c r="E1264" s="1136"/>
      <c r="F1264" s="1136"/>
      <c r="G1264" s="1136"/>
      <c r="H1264" s="1136"/>
      <c r="I1264" s="1136"/>
      <c r="J1264" s="1136"/>
      <c r="K1264" s="1136"/>
      <c r="L1264" s="1136"/>
      <c r="M1264" s="1136"/>
      <c r="N1264" s="1136"/>
      <c r="O1264" s="1136"/>
      <c r="P1264" s="1136"/>
      <c r="Q1264" s="1136"/>
      <c r="R1264" s="1136"/>
      <c r="S1264" s="1136"/>
      <c r="T1264" s="1136"/>
      <c r="U1264" s="1136"/>
      <c r="V1264" s="1136"/>
      <c r="W1264" s="1136"/>
      <c r="X1264" s="1136"/>
      <c r="Y1264" s="1136"/>
      <c r="Z1264" s="1136"/>
      <c r="AA1264" s="1136"/>
      <c r="AB1264" s="1136"/>
      <c r="AC1264" s="1136"/>
      <c r="AD1264" s="1136"/>
      <c r="AE1264" s="1136"/>
      <c r="AF1264" s="1136"/>
      <c r="AG1264" s="1136"/>
      <c r="AH1264" s="1136"/>
      <c r="AI1264" s="1136"/>
      <c r="AJ1264" s="1136"/>
      <c r="AK1264" s="1136"/>
      <c r="AL1264" s="1136"/>
      <c r="AM1264" s="1136"/>
      <c r="AN1264" s="1136"/>
      <c r="AO1264" s="1136"/>
      <c r="AP1264" s="1136"/>
      <c r="AQ1264" s="1136"/>
      <c r="AR1264" s="1136"/>
      <c r="AS1264" s="1136"/>
      <c r="AT1264" s="1136"/>
      <c r="AU1264" s="1136"/>
      <c r="AV1264" s="1136"/>
      <c r="AW1264" s="1136"/>
      <c r="AX1264" s="1136"/>
      <c r="AY1264" s="1136"/>
      <c r="AZ1264" s="1136"/>
      <c r="BA1264" s="1136"/>
      <c r="BB1264" s="1136"/>
      <c r="BC1264" s="1136"/>
      <c r="BD1264" s="1136"/>
      <c r="BE1264" s="1136"/>
      <c r="BF1264" s="1136"/>
      <c r="BG1264" s="1136"/>
      <c r="BH1264" s="1136"/>
      <c r="BI1264" s="1136"/>
      <c r="BJ1264" s="1136"/>
      <c r="BK1264" s="1136"/>
      <c r="BL1264" s="1136"/>
      <c r="BM1264" s="1136"/>
      <c r="BN1264" s="1136"/>
      <c r="BO1264" s="1136"/>
      <c r="BP1264" s="1136"/>
      <c r="BQ1264" s="1136"/>
      <c r="BR1264" s="1136"/>
      <c r="BS1264" s="1136"/>
      <c r="BT1264" s="1136"/>
      <c r="BU1264" s="1136"/>
      <c r="BV1264" s="1136"/>
      <c r="BW1264" s="1136"/>
      <c r="BX1264" s="1136"/>
      <c r="BY1264" s="1136"/>
      <c r="BZ1264" s="1136"/>
      <c r="CA1264" s="1136"/>
      <c r="CB1264" s="1136"/>
      <c r="CC1264" s="1136"/>
      <c r="CD1264" s="1136"/>
      <c r="CE1264" s="1136"/>
      <c r="CF1264" s="1136"/>
      <c r="CG1264" s="1136"/>
      <c r="CH1264" s="1136"/>
      <c r="CI1264" s="1136"/>
      <c r="CJ1264" s="1136"/>
      <c r="CK1264" s="1136"/>
      <c r="CL1264" s="1136"/>
      <c r="CM1264" s="1136"/>
      <c r="CN1264" s="1136"/>
      <c r="CO1264" s="1136"/>
      <c r="CP1264" s="1136"/>
      <c r="CQ1264" s="1136"/>
      <c r="CR1264" s="1136"/>
      <c r="CS1264" s="1136"/>
      <c r="CT1264" s="1136"/>
      <c r="CU1264" s="1136"/>
      <c r="CV1264" s="1136"/>
      <c r="CW1264" s="1136"/>
      <c r="CX1264" s="1136"/>
      <c r="CY1264" s="1136"/>
      <c r="CZ1264" s="1136"/>
      <c r="DA1264" s="1136"/>
      <c r="DB1264" s="1136"/>
      <c r="DC1264" s="1136"/>
      <c r="DD1264" s="1136"/>
      <c r="DE1264" s="1136"/>
      <c r="DF1264" s="1136"/>
      <c r="DG1264" s="1136"/>
      <c r="DH1264" s="1136"/>
      <c r="DI1264" s="1136"/>
    </row>
    <row r="1265" spans="1:113" ht="15.75" x14ac:dyDescent="0.25">
      <c r="A1265" s="1430" t="s">
        <v>2735</v>
      </c>
      <c r="B1265" s="1484" t="e">
        <f>((B287*B329)/(B285*B286*B290*B291*B293))*(B1172+B1173)</f>
        <v>#VALUE!</v>
      </c>
      <c r="C1265" s="1639"/>
      <c r="D1265" s="1642"/>
      <c r="E1265" s="1642"/>
      <c r="F1265" s="1642"/>
      <c r="G1265" s="1642"/>
      <c r="H1265" s="1136"/>
      <c r="I1265" s="1136"/>
      <c r="J1265" s="1136"/>
      <c r="K1265" s="1136"/>
      <c r="L1265" s="1136"/>
      <c r="M1265" s="1136"/>
      <c r="N1265" s="1136"/>
      <c r="O1265" s="1136"/>
      <c r="P1265" s="1136"/>
      <c r="Q1265" s="1136"/>
      <c r="R1265" s="1136"/>
      <c r="S1265" s="1136"/>
      <c r="T1265" s="1136"/>
      <c r="U1265" s="1136"/>
      <c r="V1265" s="1136"/>
      <c r="W1265" s="1136"/>
      <c r="X1265" s="1136"/>
      <c r="Y1265" s="1136"/>
      <c r="Z1265" s="1136"/>
      <c r="AA1265" s="1136"/>
      <c r="AB1265" s="1136"/>
      <c r="AC1265" s="1136"/>
      <c r="AD1265" s="1136"/>
      <c r="AE1265" s="1136"/>
      <c r="AF1265" s="1136"/>
      <c r="AG1265" s="1136"/>
      <c r="AH1265" s="1136"/>
      <c r="AI1265" s="1136"/>
      <c r="AJ1265" s="1136"/>
      <c r="AK1265" s="1136"/>
      <c r="AL1265" s="1136"/>
      <c r="AM1265" s="1136"/>
      <c r="AN1265" s="1136"/>
      <c r="AO1265" s="1136"/>
      <c r="AP1265" s="1136"/>
      <c r="AQ1265" s="1136"/>
      <c r="AR1265" s="1136"/>
      <c r="AS1265" s="1136"/>
      <c r="AT1265" s="1136"/>
      <c r="AU1265" s="1136"/>
      <c r="AV1265" s="1136"/>
      <c r="AW1265" s="1136"/>
      <c r="AX1265" s="1136"/>
      <c r="AY1265" s="1136"/>
      <c r="AZ1265" s="1136"/>
      <c r="BA1265" s="1136"/>
      <c r="BB1265" s="1136"/>
      <c r="BC1265" s="1136"/>
      <c r="BD1265" s="1136"/>
      <c r="BE1265" s="1136"/>
      <c r="BF1265" s="1136"/>
      <c r="BG1265" s="1136"/>
      <c r="BH1265" s="1136"/>
      <c r="BI1265" s="1136"/>
      <c r="BJ1265" s="1136"/>
      <c r="BK1265" s="1136"/>
      <c r="BL1265" s="1136"/>
      <c r="BM1265" s="1136"/>
      <c r="BN1265" s="1136"/>
      <c r="BO1265" s="1136"/>
      <c r="BP1265" s="1136"/>
      <c r="BQ1265" s="1136"/>
      <c r="BR1265" s="1136"/>
      <c r="BS1265" s="1136"/>
      <c r="BT1265" s="1136"/>
      <c r="BU1265" s="1136"/>
      <c r="BV1265" s="1136"/>
      <c r="BW1265" s="1136"/>
      <c r="BX1265" s="1136"/>
      <c r="BY1265" s="1136"/>
      <c r="BZ1265" s="1136"/>
      <c r="CA1265" s="1136"/>
      <c r="CB1265" s="1136"/>
      <c r="CC1265" s="1136"/>
      <c r="CD1265" s="1136"/>
      <c r="CE1265" s="1136"/>
      <c r="CF1265" s="1136"/>
      <c r="CG1265" s="1136"/>
      <c r="CH1265" s="1136"/>
      <c r="CI1265" s="1136"/>
      <c r="CJ1265" s="1136"/>
      <c r="CK1265" s="1136"/>
      <c r="CL1265" s="1136"/>
      <c r="CM1265" s="1136"/>
      <c r="CN1265" s="1136"/>
      <c r="CO1265" s="1136"/>
      <c r="CP1265" s="1136"/>
      <c r="CQ1265" s="1136"/>
      <c r="CR1265" s="1136"/>
      <c r="CS1265" s="1136"/>
      <c r="CT1265" s="1136"/>
      <c r="CU1265" s="1136"/>
      <c r="CV1265" s="1136"/>
      <c r="CW1265" s="1136"/>
      <c r="CX1265" s="1136"/>
      <c r="CY1265" s="1136"/>
      <c r="CZ1265" s="1136"/>
      <c r="DA1265" s="1136"/>
      <c r="DB1265" s="1136"/>
      <c r="DC1265" s="1136"/>
      <c r="DD1265" s="1136"/>
      <c r="DE1265" s="1136"/>
      <c r="DF1265" s="1136"/>
      <c r="DG1265" s="1136"/>
      <c r="DH1265" s="1136"/>
      <c r="DI1265" s="1136"/>
    </row>
    <row r="1266" spans="1:113" ht="15.75" x14ac:dyDescent="0.25">
      <c r="A1266" s="1430" t="s">
        <v>2736</v>
      </c>
      <c r="B1266" s="1484" t="e">
        <f>((B287*B329)/(B285*B286*B290*B291*B293))*(B1174+B1175+B1176)</f>
        <v>#VALUE!</v>
      </c>
      <c r="C1266" s="1639"/>
      <c r="D1266" s="1642"/>
      <c r="E1266" s="1642"/>
      <c r="F1266" s="1642"/>
      <c r="G1266" s="1642"/>
      <c r="H1266" s="1136"/>
      <c r="I1266" s="1136"/>
      <c r="J1266" s="1136"/>
      <c r="K1266" s="1136"/>
      <c r="L1266" s="1136"/>
      <c r="M1266" s="1136"/>
      <c r="N1266" s="1136"/>
      <c r="O1266" s="1136"/>
      <c r="P1266" s="1136"/>
      <c r="Q1266" s="1136"/>
      <c r="R1266" s="1136"/>
      <c r="S1266" s="1136"/>
      <c r="T1266" s="1136"/>
      <c r="U1266" s="1136"/>
      <c r="V1266" s="1136"/>
      <c r="W1266" s="1136"/>
      <c r="X1266" s="1136"/>
      <c r="Y1266" s="1136"/>
      <c r="Z1266" s="1136"/>
      <c r="AA1266" s="1136"/>
      <c r="AB1266" s="1136"/>
      <c r="AC1266" s="1136"/>
      <c r="AD1266" s="1136"/>
      <c r="AE1266" s="1136"/>
      <c r="AF1266" s="1136"/>
      <c r="AG1266" s="1136"/>
      <c r="AH1266" s="1136"/>
      <c r="AI1266" s="1136"/>
      <c r="AJ1266" s="1136"/>
      <c r="AK1266" s="1136"/>
      <c r="AL1266" s="1136"/>
      <c r="AM1266" s="1136"/>
      <c r="AN1266" s="1136"/>
      <c r="AO1266" s="1136"/>
      <c r="AP1266" s="1136"/>
      <c r="AQ1266" s="1136"/>
      <c r="AR1266" s="1136"/>
      <c r="AS1266" s="1136"/>
      <c r="AT1266" s="1136"/>
      <c r="AU1266" s="1136"/>
      <c r="AV1266" s="1136"/>
      <c r="AW1266" s="1136"/>
      <c r="AX1266" s="1136"/>
      <c r="AY1266" s="1136"/>
      <c r="AZ1266" s="1136"/>
      <c r="BA1266" s="1136"/>
      <c r="BB1266" s="1136"/>
      <c r="BC1266" s="1136"/>
      <c r="BD1266" s="1136"/>
      <c r="BE1266" s="1136"/>
      <c r="BF1266" s="1136"/>
      <c r="BG1266" s="1136"/>
      <c r="BH1266" s="1136"/>
      <c r="BI1266" s="1136"/>
      <c r="BJ1266" s="1136"/>
      <c r="BK1266" s="1136"/>
      <c r="BL1266" s="1136"/>
      <c r="BM1266" s="1136"/>
      <c r="BN1266" s="1136"/>
      <c r="BO1266" s="1136"/>
      <c r="BP1266" s="1136"/>
      <c r="BQ1266" s="1136"/>
      <c r="BR1266" s="1136"/>
      <c r="BS1266" s="1136"/>
      <c r="BT1266" s="1136"/>
      <c r="BU1266" s="1136"/>
      <c r="BV1266" s="1136"/>
      <c r="BW1266" s="1136"/>
      <c r="BX1266" s="1136"/>
      <c r="BY1266" s="1136"/>
      <c r="BZ1266" s="1136"/>
      <c r="CA1266" s="1136"/>
      <c r="CB1266" s="1136"/>
      <c r="CC1266" s="1136"/>
      <c r="CD1266" s="1136"/>
      <c r="CE1266" s="1136"/>
      <c r="CF1266" s="1136"/>
      <c r="CG1266" s="1136"/>
      <c r="CH1266" s="1136"/>
      <c r="CI1266" s="1136"/>
      <c r="CJ1266" s="1136"/>
      <c r="CK1266" s="1136"/>
      <c r="CL1266" s="1136"/>
      <c r="CM1266" s="1136"/>
      <c r="CN1266" s="1136"/>
      <c r="CO1266" s="1136"/>
      <c r="CP1266" s="1136"/>
      <c r="CQ1266" s="1136"/>
      <c r="CR1266" s="1136"/>
      <c r="CS1266" s="1136"/>
      <c r="CT1266" s="1136"/>
      <c r="CU1266" s="1136"/>
      <c r="CV1266" s="1136"/>
      <c r="CW1266" s="1136"/>
      <c r="CX1266" s="1136"/>
      <c r="CY1266" s="1136"/>
      <c r="CZ1266" s="1136"/>
      <c r="DA1266" s="1136"/>
      <c r="DB1266" s="1136"/>
      <c r="DC1266" s="1136"/>
      <c r="DD1266" s="1136"/>
      <c r="DE1266" s="1136"/>
      <c r="DF1266" s="1136"/>
      <c r="DG1266" s="1136"/>
      <c r="DH1266" s="1136"/>
      <c r="DI1266" s="1136"/>
    </row>
    <row r="1267" spans="1:113" ht="15.75" x14ac:dyDescent="0.25">
      <c r="A1267" s="1430" t="s">
        <v>2737</v>
      </c>
      <c r="B1267" s="1484" t="e">
        <f>((B287*B329)/(B285*B286*B290*B291*B293))*B1177</f>
        <v>#VALUE!</v>
      </c>
      <c r="C1267" s="1639"/>
      <c r="D1267" s="1642"/>
      <c r="E1267" s="1642"/>
      <c r="F1267" s="1642"/>
      <c r="G1267" s="1642"/>
      <c r="H1267" s="1136"/>
      <c r="I1267" s="1136"/>
      <c r="J1267" s="1136"/>
      <c r="K1267" s="1136"/>
      <c r="L1267" s="1136"/>
      <c r="M1267" s="1136"/>
      <c r="N1267" s="1136"/>
      <c r="O1267" s="1136"/>
      <c r="P1267" s="1136"/>
      <c r="Q1267" s="1136"/>
      <c r="R1267" s="1136"/>
      <c r="S1267" s="1136"/>
      <c r="T1267" s="1136"/>
      <c r="U1267" s="1136"/>
      <c r="V1267" s="1136"/>
      <c r="W1267" s="1136"/>
      <c r="X1267" s="1136"/>
      <c r="Y1267" s="1136"/>
      <c r="Z1267" s="1136"/>
      <c r="AA1267" s="1136"/>
      <c r="AB1267" s="1136"/>
      <c r="AC1267" s="1136"/>
      <c r="AD1267" s="1136"/>
      <c r="AE1267" s="1136"/>
      <c r="AF1267" s="1136"/>
      <c r="AG1267" s="1136"/>
      <c r="AH1267" s="1136"/>
      <c r="AI1267" s="1136"/>
      <c r="AJ1267" s="1136"/>
      <c r="AK1267" s="1136"/>
      <c r="AL1267" s="1136"/>
      <c r="AM1267" s="1136"/>
      <c r="AN1267" s="1136"/>
      <c r="AO1267" s="1136"/>
      <c r="AP1267" s="1136"/>
      <c r="AQ1267" s="1136"/>
      <c r="AR1267" s="1136"/>
      <c r="AS1267" s="1136"/>
      <c r="AT1267" s="1136"/>
      <c r="AU1267" s="1136"/>
      <c r="AV1267" s="1136"/>
      <c r="AW1267" s="1136"/>
      <c r="AX1267" s="1136"/>
      <c r="AY1267" s="1136"/>
      <c r="AZ1267" s="1136"/>
      <c r="BA1267" s="1136"/>
      <c r="BB1267" s="1136"/>
      <c r="BC1267" s="1136"/>
      <c r="BD1267" s="1136"/>
      <c r="BE1267" s="1136"/>
      <c r="BF1267" s="1136"/>
      <c r="BG1267" s="1136"/>
      <c r="BH1267" s="1136"/>
      <c r="BI1267" s="1136"/>
      <c r="BJ1267" s="1136"/>
      <c r="BK1267" s="1136"/>
      <c r="BL1267" s="1136"/>
      <c r="BM1267" s="1136"/>
      <c r="BN1267" s="1136"/>
      <c r="BO1267" s="1136"/>
      <c r="BP1267" s="1136"/>
      <c r="BQ1267" s="1136"/>
      <c r="BR1267" s="1136"/>
      <c r="BS1267" s="1136"/>
      <c r="BT1267" s="1136"/>
      <c r="BU1267" s="1136"/>
      <c r="BV1267" s="1136"/>
      <c r="BW1267" s="1136"/>
      <c r="BX1267" s="1136"/>
      <c r="BY1267" s="1136"/>
      <c r="BZ1267" s="1136"/>
      <c r="CA1267" s="1136"/>
      <c r="CB1267" s="1136"/>
      <c r="CC1267" s="1136"/>
      <c r="CD1267" s="1136"/>
      <c r="CE1267" s="1136"/>
      <c r="CF1267" s="1136"/>
      <c r="CG1267" s="1136"/>
      <c r="CH1267" s="1136"/>
      <c r="CI1267" s="1136"/>
      <c r="CJ1267" s="1136"/>
      <c r="CK1267" s="1136"/>
      <c r="CL1267" s="1136"/>
      <c r="CM1267" s="1136"/>
      <c r="CN1267" s="1136"/>
      <c r="CO1267" s="1136"/>
      <c r="CP1267" s="1136"/>
      <c r="CQ1267" s="1136"/>
      <c r="CR1267" s="1136"/>
      <c r="CS1267" s="1136"/>
      <c r="CT1267" s="1136"/>
      <c r="CU1267" s="1136"/>
      <c r="CV1267" s="1136"/>
      <c r="CW1267" s="1136"/>
      <c r="CX1267" s="1136"/>
      <c r="CY1267" s="1136"/>
      <c r="CZ1267" s="1136"/>
      <c r="DA1267" s="1136"/>
      <c r="DB1267" s="1136"/>
      <c r="DC1267" s="1136"/>
      <c r="DD1267" s="1136"/>
      <c r="DE1267" s="1136"/>
      <c r="DF1267" s="1136"/>
      <c r="DG1267" s="1136"/>
      <c r="DH1267" s="1136"/>
      <c r="DI1267" s="1136"/>
    </row>
    <row r="1268" spans="1:113" ht="15.75" x14ac:dyDescent="0.25">
      <c r="A1268" s="1638" t="s">
        <v>2739</v>
      </c>
      <c r="B1268" s="1484"/>
      <c r="C1268" s="1639"/>
      <c r="D1268" s="1639"/>
      <c r="E1268" s="1639"/>
      <c r="F1268" s="1639"/>
      <c r="G1268" s="1639"/>
      <c r="H1268" s="1136"/>
      <c r="I1268" s="1136"/>
      <c r="J1268" s="1136"/>
      <c r="K1268" s="1136"/>
      <c r="L1268" s="1136"/>
      <c r="M1268" s="1136"/>
      <c r="N1268" s="1136"/>
      <c r="O1268" s="1136"/>
      <c r="P1268" s="1136"/>
      <c r="Q1268" s="1136"/>
      <c r="R1268" s="1136"/>
      <c r="S1268" s="1136"/>
      <c r="T1268" s="1136"/>
      <c r="U1268" s="1136"/>
      <c r="V1268" s="1136"/>
      <c r="W1268" s="1136"/>
      <c r="X1268" s="1136"/>
      <c r="Y1268" s="1136"/>
      <c r="Z1268" s="1136"/>
      <c r="AA1268" s="1136"/>
      <c r="AB1268" s="1136"/>
      <c r="AC1268" s="1136"/>
      <c r="AD1268" s="1136"/>
      <c r="AE1268" s="1136"/>
      <c r="AF1268" s="1136"/>
      <c r="AG1268" s="1136"/>
      <c r="AH1268" s="1136"/>
      <c r="AI1268" s="1136"/>
      <c r="AJ1268" s="1136"/>
      <c r="AK1268" s="1136"/>
      <c r="AL1268" s="1136"/>
      <c r="AM1268" s="1136"/>
      <c r="AN1268" s="1136"/>
      <c r="AO1268" s="1136"/>
      <c r="AP1268" s="1136"/>
      <c r="AQ1268" s="1136"/>
      <c r="AR1268" s="1136"/>
      <c r="AS1268" s="1136"/>
      <c r="AT1268" s="1136"/>
      <c r="AU1268" s="1136"/>
      <c r="AV1268" s="1136"/>
      <c r="AW1268" s="1136"/>
      <c r="AX1268" s="1136"/>
      <c r="AY1268" s="1136"/>
      <c r="AZ1268" s="1136"/>
      <c r="BA1268" s="1136"/>
      <c r="BB1268" s="1136"/>
      <c r="BC1268" s="1136"/>
      <c r="BD1268" s="1136"/>
      <c r="BE1268" s="1136"/>
      <c r="BF1268" s="1136"/>
      <c r="BG1268" s="1136"/>
      <c r="BH1268" s="1136"/>
      <c r="BI1268" s="1136"/>
      <c r="BJ1268" s="1136"/>
      <c r="BK1268" s="1136"/>
      <c r="BL1268" s="1136"/>
      <c r="BM1268" s="1136"/>
      <c r="BN1268" s="1136"/>
      <c r="BO1268" s="1136"/>
      <c r="BP1268" s="1136"/>
      <c r="BQ1268" s="1136"/>
      <c r="BR1268" s="1136"/>
      <c r="BS1268" s="1136"/>
      <c r="BT1268" s="1136"/>
      <c r="BU1268" s="1136"/>
      <c r="BV1268" s="1136"/>
      <c r="BW1268" s="1136"/>
      <c r="BX1268" s="1136"/>
      <c r="BY1268" s="1136"/>
      <c r="BZ1268" s="1136"/>
      <c r="CA1268" s="1136"/>
      <c r="CB1268" s="1136"/>
      <c r="CC1268" s="1136"/>
      <c r="CD1268" s="1136"/>
      <c r="CE1268" s="1136"/>
      <c r="CF1268" s="1136"/>
      <c r="CG1268" s="1136"/>
      <c r="CH1268" s="1136"/>
      <c r="CI1268" s="1136"/>
      <c r="CJ1268" s="1136"/>
      <c r="CK1268" s="1136"/>
      <c r="CL1268" s="1136"/>
      <c r="CM1268" s="1136"/>
      <c r="CN1268" s="1136"/>
      <c r="CO1268" s="1136"/>
      <c r="CP1268" s="1136"/>
      <c r="CQ1268" s="1136"/>
      <c r="CR1268" s="1136"/>
      <c r="CS1268" s="1136"/>
      <c r="CT1268" s="1136"/>
      <c r="CU1268" s="1136"/>
      <c r="CV1268" s="1136"/>
      <c r="CW1268" s="1136"/>
      <c r="CX1268" s="1136"/>
      <c r="CY1268" s="1136"/>
      <c r="CZ1268" s="1136"/>
      <c r="DA1268" s="1136"/>
      <c r="DB1268" s="1136"/>
      <c r="DC1268" s="1136"/>
      <c r="DD1268" s="1136"/>
      <c r="DE1268" s="1136"/>
      <c r="DF1268" s="1136"/>
      <c r="DG1268" s="1136"/>
      <c r="DH1268" s="1136"/>
      <c r="DI1268" s="1136"/>
    </row>
    <row r="1269" spans="1:113" ht="15.75" x14ac:dyDescent="0.25">
      <c r="A1269" s="1417" t="s">
        <v>3744</v>
      </c>
      <c r="B1269" s="1484"/>
      <c r="C1269" s="1639"/>
      <c r="D1269" s="1639"/>
      <c r="E1269" s="1639"/>
      <c r="F1269" s="1639"/>
      <c r="G1269" s="1639"/>
      <c r="H1269" s="1136"/>
      <c r="I1269" s="1136"/>
      <c r="J1269" s="1136"/>
      <c r="K1269" s="1136"/>
      <c r="L1269" s="1136"/>
      <c r="M1269" s="1136"/>
      <c r="N1269" s="1136"/>
      <c r="O1269" s="1136"/>
      <c r="P1269" s="1136"/>
      <c r="Q1269" s="1136"/>
      <c r="R1269" s="1136"/>
      <c r="S1269" s="1136"/>
      <c r="T1269" s="1136"/>
      <c r="U1269" s="1136"/>
      <c r="V1269" s="1136"/>
      <c r="W1269" s="1136"/>
      <c r="X1269" s="1136"/>
      <c r="Y1269" s="1136"/>
      <c r="Z1269" s="1136"/>
      <c r="AA1269" s="1136"/>
      <c r="AB1269" s="1136"/>
      <c r="AC1269" s="1136"/>
      <c r="AD1269" s="1136"/>
      <c r="AE1269" s="1136"/>
      <c r="AF1269" s="1136"/>
      <c r="AG1269" s="1136"/>
      <c r="AH1269" s="1136"/>
      <c r="AI1269" s="1136"/>
      <c r="AJ1269" s="1136"/>
      <c r="AK1269" s="1136"/>
      <c r="AL1269" s="1136"/>
      <c r="AM1269" s="1136"/>
      <c r="AN1269" s="1136"/>
      <c r="AO1269" s="1136"/>
      <c r="AP1269" s="1136"/>
      <c r="AQ1269" s="1136"/>
      <c r="AR1269" s="1136"/>
      <c r="AS1269" s="1136"/>
      <c r="AT1269" s="1136"/>
      <c r="AU1269" s="1136"/>
      <c r="AV1269" s="1136"/>
      <c r="AW1269" s="1136"/>
      <c r="AX1269" s="1136"/>
      <c r="AY1269" s="1136"/>
      <c r="AZ1269" s="1136"/>
      <c r="BA1269" s="1136"/>
      <c r="BB1269" s="1136"/>
      <c r="BC1269" s="1136"/>
      <c r="BD1269" s="1136"/>
      <c r="BE1269" s="1136"/>
      <c r="BF1269" s="1136"/>
      <c r="BG1269" s="1136"/>
      <c r="BH1269" s="1136"/>
      <c r="BI1269" s="1136"/>
      <c r="BJ1269" s="1136"/>
      <c r="BK1269" s="1136"/>
      <c r="BL1269" s="1136"/>
      <c r="BM1269" s="1136"/>
      <c r="BN1269" s="1136"/>
      <c r="BO1269" s="1136"/>
      <c r="BP1269" s="1136"/>
      <c r="BQ1269" s="1136"/>
      <c r="BR1269" s="1136"/>
      <c r="BS1269" s="1136"/>
      <c r="BT1269" s="1136"/>
      <c r="BU1269" s="1136"/>
      <c r="BV1269" s="1136"/>
      <c r="BW1269" s="1136"/>
      <c r="BX1269" s="1136"/>
      <c r="BY1269" s="1136"/>
      <c r="BZ1269" s="1136"/>
      <c r="CA1269" s="1136"/>
      <c r="CB1269" s="1136"/>
      <c r="CC1269" s="1136"/>
      <c r="CD1269" s="1136"/>
      <c r="CE1269" s="1136"/>
      <c r="CF1269" s="1136"/>
      <c r="CG1269" s="1136"/>
      <c r="CH1269" s="1136"/>
      <c r="CI1269" s="1136"/>
      <c r="CJ1269" s="1136"/>
      <c r="CK1269" s="1136"/>
      <c r="CL1269" s="1136"/>
      <c r="CM1269" s="1136"/>
      <c r="CN1269" s="1136"/>
      <c r="CO1269" s="1136"/>
      <c r="CP1269" s="1136"/>
      <c r="CQ1269" s="1136"/>
      <c r="CR1269" s="1136"/>
      <c r="CS1269" s="1136"/>
      <c r="CT1269" s="1136"/>
      <c r="CU1269" s="1136"/>
      <c r="CV1269" s="1136"/>
      <c r="CW1269" s="1136"/>
      <c r="CX1269" s="1136"/>
      <c r="CY1269" s="1136"/>
      <c r="CZ1269" s="1136"/>
      <c r="DA1269" s="1136"/>
      <c r="DB1269" s="1136"/>
      <c r="DC1269" s="1136"/>
      <c r="DD1269" s="1136"/>
      <c r="DE1269" s="1136"/>
      <c r="DF1269" s="1136"/>
      <c r="DG1269" s="1136"/>
      <c r="DH1269" s="1136"/>
      <c r="DI1269" s="1136"/>
    </row>
    <row r="1270" spans="1:113" ht="15.75" x14ac:dyDescent="0.25">
      <c r="A1270" s="1430" t="s">
        <v>2740</v>
      </c>
      <c r="B1270" s="1484" t="e">
        <f>((B287*B329)/(B285*B286*B290*B291*B293))*B1188</f>
        <v>#VALUE!</v>
      </c>
      <c r="C1270" s="1639"/>
      <c r="D1270" s="1639"/>
      <c r="E1270" s="1639"/>
      <c r="F1270" s="1639"/>
      <c r="G1270" s="1639"/>
      <c r="H1270" s="1136"/>
      <c r="I1270" s="1136"/>
      <c r="J1270" s="1136"/>
      <c r="K1270" s="1136"/>
      <c r="L1270" s="1136"/>
      <c r="M1270" s="1136"/>
      <c r="N1270" s="1136"/>
      <c r="O1270" s="1136"/>
      <c r="P1270" s="1136"/>
      <c r="Q1270" s="1136"/>
      <c r="R1270" s="1136"/>
      <c r="S1270" s="1136"/>
      <c r="T1270" s="1136"/>
      <c r="U1270" s="1136"/>
      <c r="V1270" s="1136"/>
      <c r="W1270" s="1136"/>
      <c r="X1270" s="1136"/>
      <c r="Y1270" s="1136"/>
      <c r="Z1270" s="1136"/>
      <c r="AA1270" s="1136"/>
      <c r="AB1270" s="1136"/>
      <c r="AC1270" s="1136"/>
      <c r="AD1270" s="1136"/>
      <c r="AE1270" s="1136"/>
      <c r="AF1270" s="1136"/>
      <c r="AG1270" s="1136"/>
      <c r="AH1270" s="1136"/>
      <c r="AI1270" s="1136"/>
      <c r="AJ1270" s="1136"/>
      <c r="AK1270" s="1136"/>
      <c r="AL1270" s="1136"/>
      <c r="AM1270" s="1136"/>
      <c r="AN1270" s="1136"/>
      <c r="AO1270" s="1136"/>
      <c r="AP1270" s="1136"/>
      <c r="AQ1270" s="1136"/>
      <c r="AR1270" s="1136"/>
      <c r="AS1270" s="1136"/>
      <c r="AT1270" s="1136"/>
      <c r="AU1270" s="1136"/>
      <c r="AV1270" s="1136"/>
      <c r="AW1270" s="1136"/>
      <c r="AX1270" s="1136"/>
      <c r="AY1270" s="1136"/>
      <c r="AZ1270" s="1136"/>
      <c r="BA1270" s="1136"/>
      <c r="BB1270" s="1136"/>
      <c r="BC1270" s="1136"/>
      <c r="BD1270" s="1136"/>
      <c r="BE1270" s="1136"/>
      <c r="BF1270" s="1136"/>
      <c r="BG1270" s="1136"/>
      <c r="BH1270" s="1136"/>
      <c r="BI1270" s="1136"/>
      <c r="BJ1270" s="1136"/>
      <c r="BK1270" s="1136"/>
      <c r="BL1270" s="1136"/>
      <c r="BM1270" s="1136"/>
      <c r="BN1270" s="1136"/>
      <c r="BO1270" s="1136"/>
      <c r="BP1270" s="1136"/>
      <c r="BQ1270" s="1136"/>
      <c r="BR1270" s="1136"/>
      <c r="BS1270" s="1136"/>
      <c r="BT1270" s="1136"/>
      <c r="BU1270" s="1136"/>
      <c r="BV1270" s="1136"/>
      <c r="BW1270" s="1136"/>
      <c r="BX1270" s="1136"/>
      <c r="BY1270" s="1136"/>
      <c r="BZ1270" s="1136"/>
      <c r="CA1270" s="1136"/>
      <c r="CB1270" s="1136"/>
      <c r="CC1270" s="1136"/>
      <c r="CD1270" s="1136"/>
      <c r="CE1270" s="1136"/>
      <c r="CF1270" s="1136"/>
      <c r="CG1270" s="1136"/>
      <c r="CH1270" s="1136"/>
      <c r="CI1270" s="1136"/>
      <c r="CJ1270" s="1136"/>
      <c r="CK1270" s="1136"/>
      <c r="CL1270" s="1136"/>
      <c r="CM1270" s="1136"/>
      <c r="CN1270" s="1136"/>
      <c r="CO1270" s="1136"/>
      <c r="CP1270" s="1136"/>
      <c r="CQ1270" s="1136"/>
      <c r="CR1270" s="1136"/>
      <c r="CS1270" s="1136"/>
      <c r="CT1270" s="1136"/>
      <c r="CU1270" s="1136"/>
      <c r="CV1270" s="1136"/>
      <c r="CW1270" s="1136"/>
      <c r="CX1270" s="1136"/>
      <c r="CY1270" s="1136"/>
      <c r="CZ1270" s="1136"/>
      <c r="DA1270" s="1136"/>
      <c r="DB1270" s="1136"/>
      <c r="DC1270" s="1136"/>
      <c r="DD1270" s="1136"/>
      <c r="DE1270" s="1136"/>
      <c r="DF1270" s="1136"/>
      <c r="DG1270" s="1136"/>
      <c r="DH1270" s="1136"/>
      <c r="DI1270" s="1136"/>
    </row>
    <row r="1271" spans="1:113" ht="15.75" x14ac:dyDescent="0.25">
      <c r="A1271" s="1430" t="s">
        <v>2741</v>
      </c>
      <c r="B1271" s="1484" t="e">
        <f>(B357*B1270)/1000</f>
        <v>#VALUE!</v>
      </c>
      <c r="C1271" s="1639"/>
      <c r="D1271" s="1639"/>
      <c r="E1271" s="1639"/>
      <c r="F1271" s="1639"/>
      <c r="G1271" s="1639"/>
      <c r="H1271" s="1136"/>
      <c r="I1271" s="1136"/>
      <c r="J1271" s="1136"/>
      <c r="K1271" s="1136"/>
      <c r="L1271" s="1136"/>
      <c r="M1271" s="1136"/>
      <c r="N1271" s="1136"/>
      <c r="O1271" s="1136"/>
      <c r="P1271" s="1136"/>
      <c r="Q1271" s="1136"/>
      <c r="R1271" s="1136"/>
      <c r="S1271" s="1136"/>
      <c r="T1271" s="1136"/>
      <c r="U1271" s="1136"/>
      <c r="V1271" s="1136"/>
      <c r="W1271" s="1136"/>
      <c r="X1271" s="1136"/>
      <c r="Y1271" s="1136"/>
      <c r="Z1271" s="1136"/>
      <c r="AA1271" s="1136"/>
      <c r="AB1271" s="1136"/>
      <c r="AC1271" s="1136"/>
      <c r="AD1271" s="1136"/>
      <c r="AE1271" s="1136"/>
      <c r="AF1271" s="1136"/>
      <c r="AG1271" s="1136"/>
      <c r="AH1271" s="1136"/>
      <c r="AI1271" s="1136"/>
      <c r="AJ1271" s="1136"/>
      <c r="AK1271" s="1136"/>
      <c r="AL1271" s="1136"/>
      <c r="AM1271" s="1136"/>
      <c r="AN1271" s="1136"/>
      <c r="AO1271" s="1136"/>
      <c r="AP1271" s="1136"/>
      <c r="AQ1271" s="1136"/>
      <c r="AR1271" s="1136"/>
      <c r="AS1271" s="1136"/>
      <c r="AT1271" s="1136"/>
      <c r="AU1271" s="1136"/>
      <c r="AV1271" s="1136"/>
      <c r="AW1271" s="1136"/>
      <c r="AX1271" s="1136"/>
      <c r="AY1271" s="1136"/>
      <c r="AZ1271" s="1136"/>
      <c r="BA1271" s="1136"/>
      <c r="BB1271" s="1136"/>
      <c r="BC1271" s="1136"/>
      <c r="BD1271" s="1136"/>
      <c r="BE1271" s="1136"/>
      <c r="BF1271" s="1136"/>
      <c r="BG1271" s="1136"/>
      <c r="BH1271" s="1136"/>
      <c r="BI1271" s="1136"/>
      <c r="BJ1271" s="1136"/>
      <c r="BK1271" s="1136"/>
      <c r="BL1271" s="1136"/>
      <c r="BM1271" s="1136"/>
      <c r="BN1271" s="1136"/>
      <c r="BO1271" s="1136"/>
      <c r="BP1271" s="1136"/>
      <c r="BQ1271" s="1136"/>
      <c r="BR1271" s="1136"/>
      <c r="BS1271" s="1136"/>
      <c r="BT1271" s="1136"/>
      <c r="BU1271" s="1136"/>
      <c r="BV1271" s="1136"/>
      <c r="BW1271" s="1136"/>
      <c r="BX1271" s="1136"/>
      <c r="BY1271" s="1136"/>
      <c r="BZ1271" s="1136"/>
      <c r="CA1271" s="1136"/>
      <c r="CB1271" s="1136"/>
      <c r="CC1271" s="1136"/>
      <c r="CD1271" s="1136"/>
      <c r="CE1271" s="1136"/>
      <c r="CF1271" s="1136"/>
      <c r="CG1271" s="1136"/>
      <c r="CH1271" s="1136"/>
      <c r="CI1271" s="1136"/>
      <c r="CJ1271" s="1136"/>
      <c r="CK1271" s="1136"/>
      <c r="CL1271" s="1136"/>
      <c r="CM1271" s="1136"/>
      <c r="CN1271" s="1136"/>
      <c r="CO1271" s="1136"/>
      <c r="CP1271" s="1136"/>
      <c r="CQ1271" s="1136"/>
      <c r="CR1271" s="1136"/>
      <c r="CS1271" s="1136"/>
      <c r="CT1271" s="1136"/>
      <c r="CU1271" s="1136"/>
      <c r="CV1271" s="1136"/>
      <c r="CW1271" s="1136"/>
      <c r="CX1271" s="1136"/>
      <c r="CY1271" s="1136"/>
      <c r="CZ1271" s="1136"/>
      <c r="DA1271" s="1136"/>
      <c r="DB1271" s="1136"/>
      <c r="DC1271" s="1136"/>
      <c r="DD1271" s="1136"/>
      <c r="DE1271" s="1136"/>
      <c r="DF1271" s="1136"/>
      <c r="DG1271" s="1136"/>
      <c r="DH1271" s="1136"/>
      <c r="DI1271" s="1136"/>
    </row>
    <row r="1272" spans="1:113" ht="15.75" x14ac:dyDescent="0.25">
      <c r="A1272" s="1417" t="s">
        <v>2738</v>
      </c>
      <c r="B1272" s="1484"/>
      <c r="C1272" s="1639"/>
      <c r="D1272" s="1639"/>
      <c r="E1272" s="1639"/>
      <c r="F1272" s="1639"/>
      <c r="G1272" s="1639"/>
      <c r="H1272" s="1136"/>
      <c r="I1272" s="1136"/>
      <c r="J1272" s="1136"/>
      <c r="K1272" s="1136"/>
      <c r="L1272" s="1136"/>
      <c r="M1272" s="1136"/>
      <c r="N1272" s="1136"/>
      <c r="O1272" s="1136"/>
      <c r="P1272" s="1136"/>
      <c r="Q1272" s="1136"/>
      <c r="R1272" s="1136"/>
      <c r="S1272" s="1136"/>
      <c r="T1272" s="1136"/>
      <c r="U1272" s="1136"/>
      <c r="V1272" s="1136"/>
      <c r="W1272" s="1136"/>
      <c r="X1272" s="1136"/>
      <c r="Y1272" s="1136"/>
      <c r="Z1272" s="1136"/>
      <c r="AA1272" s="1136"/>
      <c r="AB1272" s="1136"/>
      <c r="AC1272" s="1136"/>
      <c r="AD1272" s="1136"/>
      <c r="AE1272" s="1136"/>
      <c r="AF1272" s="1136"/>
      <c r="AG1272" s="1136"/>
      <c r="AH1272" s="1136"/>
      <c r="AI1272" s="1136"/>
      <c r="AJ1272" s="1136"/>
      <c r="AK1272" s="1136"/>
      <c r="AL1272" s="1136"/>
      <c r="AM1272" s="1136"/>
      <c r="AN1272" s="1136"/>
      <c r="AO1272" s="1136"/>
      <c r="AP1272" s="1136"/>
      <c r="AQ1272" s="1136"/>
      <c r="AR1272" s="1136"/>
      <c r="AS1272" s="1136"/>
      <c r="AT1272" s="1136"/>
      <c r="AU1272" s="1136"/>
      <c r="AV1272" s="1136"/>
      <c r="AW1272" s="1136"/>
      <c r="AX1272" s="1136"/>
      <c r="AY1272" s="1136"/>
      <c r="AZ1272" s="1136"/>
      <c r="BA1272" s="1136"/>
      <c r="BB1272" s="1136"/>
      <c r="BC1272" s="1136"/>
      <c r="BD1272" s="1136"/>
      <c r="BE1272" s="1136"/>
      <c r="BF1272" s="1136"/>
      <c r="BG1272" s="1136"/>
      <c r="BH1272" s="1136"/>
      <c r="BI1272" s="1136"/>
      <c r="BJ1272" s="1136"/>
      <c r="BK1272" s="1136"/>
      <c r="BL1272" s="1136"/>
      <c r="BM1272" s="1136"/>
      <c r="BN1272" s="1136"/>
      <c r="BO1272" s="1136"/>
      <c r="BP1272" s="1136"/>
      <c r="BQ1272" s="1136"/>
      <c r="BR1272" s="1136"/>
      <c r="BS1272" s="1136"/>
      <c r="BT1272" s="1136"/>
      <c r="BU1272" s="1136"/>
      <c r="BV1272" s="1136"/>
      <c r="BW1272" s="1136"/>
      <c r="BX1272" s="1136"/>
      <c r="BY1272" s="1136"/>
      <c r="BZ1272" s="1136"/>
      <c r="CA1272" s="1136"/>
      <c r="CB1272" s="1136"/>
      <c r="CC1272" s="1136"/>
      <c r="CD1272" s="1136"/>
      <c r="CE1272" s="1136"/>
      <c r="CF1272" s="1136"/>
      <c r="CG1272" s="1136"/>
      <c r="CH1272" s="1136"/>
      <c r="CI1272" s="1136"/>
      <c r="CJ1272" s="1136"/>
      <c r="CK1272" s="1136"/>
      <c r="CL1272" s="1136"/>
      <c r="CM1272" s="1136"/>
      <c r="CN1272" s="1136"/>
      <c r="CO1272" s="1136"/>
      <c r="CP1272" s="1136"/>
      <c r="CQ1272" s="1136"/>
      <c r="CR1272" s="1136"/>
      <c r="CS1272" s="1136"/>
      <c r="CT1272" s="1136"/>
      <c r="CU1272" s="1136"/>
      <c r="CV1272" s="1136"/>
      <c r="CW1272" s="1136"/>
      <c r="CX1272" s="1136"/>
      <c r="CY1272" s="1136"/>
      <c r="CZ1272" s="1136"/>
      <c r="DA1272" s="1136"/>
      <c r="DB1272" s="1136"/>
      <c r="DC1272" s="1136"/>
      <c r="DD1272" s="1136"/>
      <c r="DE1272" s="1136"/>
      <c r="DF1272" s="1136"/>
      <c r="DG1272" s="1136"/>
      <c r="DH1272" s="1136"/>
      <c r="DI1272" s="1136"/>
    </row>
    <row r="1273" spans="1:113" ht="15.75" x14ac:dyDescent="0.25">
      <c r="A1273" s="1430" t="s">
        <v>2740</v>
      </c>
      <c r="B1273" s="1484" t="e">
        <f>((B287*B329)/(B285*B286*B290*B291*B293))*B1194</f>
        <v>#VALUE!</v>
      </c>
      <c r="C1273" s="1639"/>
      <c r="D1273" s="1639"/>
      <c r="E1273" s="1639"/>
      <c r="F1273" s="1639"/>
      <c r="G1273" s="1639"/>
      <c r="H1273" s="1136"/>
      <c r="I1273" s="1136"/>
      <c r="J1273" s="1136"/>
      <c r="K1273" s="1136"/>
      <c r="L1273" s="1136"/>
      <c r="M1273" s="1136"/>
      <c r="N1273" s="1136"/>
      <c r="O1273" s="1136"/>
      <c r="P1273" s="1136"/>
      <c r="Q1273" s="1136"/>
      <c r="R1273" s="1136"/>
      <c r="S1273" s="1136"/>
      <c r="T1273" s="1136"/>
      <c r="U1273" s="1136"/>
      <c r="V1273" s="1136"/>
      <c r="W1273" s="1136"/>
      <c r="X1273" s="1136"/>
      <c r="Y1273" s="1136"/>
      <c r="Z1273" s="1136"/>
      <c r="AA1273" s="1136"/>
      <c r="AB1273" s="1136"/>
      <c r="AC1273" s="1136"/>
      <c r="AD1273" s="1136"/>
      <c r="AE1273" s="1136"/>
      <c r="AF1273" s="1136"/>
      <c r="AG1273" s="1136"/>
      <c r="AH1273" s="1136"/>
      <c r="AI1273" s="1136"/>
      <c r="AJ1273" s="1136"/>
      <c r="AK1273" s="1136"/>
      <c r="AL1273" s="1136"/>
      <c r="AM1273" s="1136"/>
      <c r="AN1273" s="1136"/>
      <c r="AO1273" s="1136"/>
      <c r="AP1273" s="1136"/>
      <c r="AQ1273" s="1136"/>
      <c r="AR1273" s="1136"/>
      <c r="AS1273" s="1136"/>
      <c r="AT1273" s="1136"/>
      <c r="AU1273" s="1136"/>
      <c r="AV1273" s="1136"/>
      <c r="AW1273" s="1136"/>
      <c r="AX1273" s="1136"/>
      <c r="AY1273" s="1136"/>
      <c r="AZ1273" s="1136"/>
      <c r="BA1273" s="1136"/>
      <c r="BB1273" s="1136"/>
      <c r="BC1273" s="1136"/>
      <c r="BD1273" s="1136"/>
      <c r="BE1273" s="1136"/>
      <c r="BF1273" s="1136"/>
      <c r="BG1273" s="1136"/>
      <c r="BH1273" s="1136"/>
      <c r="BI1273" s="1136"/>
      <c r="BJ1273" s="1136"/>
      <c r="BK1273" s="1136"/>
      <c r="BL1273" s="1136"/>
      <c r="BM1273" s="1136"/>
      <c r="BN1273" s="1136"/>
      <c r="BO1273" s="1136"/>
      <c r="BP1273" s="1136"/>
      <c r="BQ1273" s="1136"/>
      <c r="BR1273" s="1136"/>
      <c r="BS1273" s="1136"/>
      <c r="BT1273" s="1136"/>
      <c r="BU1273" s="1136"/>
      <c r="BV1273" s="1136"/>
      <c r="BW1273" s="1136"/>
      <c r="BX1273" s="1136"/>
      <c r="BY1273" s="1136"/>
      <c r="BZ1273" s="1136"/>
      <c r="CA1273" s="1136"/>
      <c r="CB1273" s="1136"/>
      <c r="CC1273" s="1136"/>
      <c r="CD1273" s="1136"/>
      <c r="CE1273" s="1136"/>
      <c r="CF1273" s="1136"/>
      <c r="CG1273" s="1136"/>
      <c r="CH1273" s="1136"/>
      <c r="CI1273" s="1136"/>
      <c r="CJ1273" s="1136"/>
      <c r="CK1273" s="1136"/>
      <c r="CL1273" s="1136"/>
      <c r="CM1273" s="1136"/>
      <c r="CN1273" s="1136"/>
      <c r="CO1273" s="1136"/>
      <c r="CP1273" s="1136"/>
      <c r="CQ1273" s="1136"/>
      <c r="CR1273" s="1136"/>
      <c r="CS1273" s="1136"/>
      <c r="CT1273" s="1136"/>
      <c r="CU1273" s="1136"/>
      <c r="CV1273" s="1136"/>
      <c r="CW1273" s="1136"/>
      <c r="CX1273" s="1136"/>
      <c r="CY1273" s="1136"/>
      <c r="CZ1273" s="1136"/>
      <c r="DA1273" s="1136"/>
      <c r="DB1273" s="1136"/>
      <c r="DC1273" s="1136"/>
      <c r="DD1273" s="1136"/>
      <c r="DE1273" s="1136"/>
      <c r="DF1273" s="1136"/>
      <c r="DG1273" s="1136"/>
      <c r="DH1273" s="1136"/>
      <c r="DI1273" s="1136"/>
    </row>
    <row r="1274" spans="1:113" ht="15.75" x14ac:dyDescent="0.25">
      <c r="A1274" s="1430" t="s">
        <v>2741</v>
      </c>
      <c r="B1274" s="1484" t="e">
        <f>(B357*B1273)/1000</f>
        <v>#VALUE!</v>
      </c>
      <c r="C1274" s="1639"/>
      <c r="D1274" s="1639"/>
      <c r="E1274" s="1639"/>
      <c r="F1274" s="1639"/>
      <c r="G1274" s="1639"/>
      <c r="H1274" s="1136"/>
      <c r="I1274" s="1136"/>
      <c r="J1274" s="1136"/>
      <c r="K1274" s="1136"/>
      <c r="L1274" s="1136"/>
      <c r="M1274" s="1136"/>
      <c r="N1274" s="1136"/>
      <c r="O1274" s="1136"/>
      <c r="P1274" s="1136"/>
      <c r="Q1274" s="1136"/>
      <c r="R1274" s="1136"/>
      <c r="S1274" s="1136"/>
      <c r="T1274" s="1136"/>
      <c r="U1274" s="1136"/>
      <c r="V1274" s="1136"/>
      <c r="W1274" s="1136"/>
      <c r="X1274" s="1136"/>
      <c r="Y1274" s="1136"/>
      <c r="Z1274" s="1136"/>
      <c r="AA1274" s="1136"/>
      <c r="AB1274" s="1136"/>
      <c r="AC1274" s="1136"/>
      <c r="AD1274" s="1136"/>
      <c r="AE1274" s="1136"/>
      <c r="AF1274" s="1136"/>
      <c r="AG1274" s="1136"/>
      <c r="AH1274" s="1136"/>
      <c r="AI1274" s="1136"/>
      <c r="AJ1274" s="1136"/>
      <c r="AK1274" s="1136"/>
      <c r="AL1274" s="1136"/>
      <c r="AM1274" s="1136"/>
      <c r="AN1274" s="1136"/>
      <c r="AO1274" s="1136"/>
      <c r="AP1274" s="1136"/>
      <c r="AQ1274" s="1136"/>
      <c r="AR1274" s="1136"/>
      <c r="AS1274" s="1136"/>
      <c r="AT1274" s="1136"/>
      <c r="AU1274" s="1136"/>
      <c r="AV1274" s="1136"/>
      <c r="AW1274" s="1136"/>
      <c r="AX1274" s="1136"/>
      <c r="AY1274" s="1136"/>
      <c r="AZ1274" s="1136"/>
      <c r="BA1274" s="1136"/>
      <c r="BB1274" s="1136"/>
      <c r="BC1274" s="1136"/>
      <c r="BD1274" s="1136"/>
      <c r="BE1274" s="1136"/>
      <c r="BF1274" s="1136"/>
      <c r="BG1274" s="1136"/>
      <c r="BH1274" s="1136"/>
      <c r="BI1274" s="1136"/>
      <c r="BJ1274" s="1136"/>
      <c r="BK1274" s="1136"/>
      <c r="BL1274" s="1136"/>
      <c r="BM1274" s="1136"/>
      <c r="BN1274" s="1136"/>
      <c r="BO1274" s="1136"/>
      <c r="BP1274" s="1136"/>
      <c r="BQ1274" s="1136"/>
      <c r="BR1274" s="1136"/>
      <c r="BS1274" s="1136"/>
      <c r="BT1274" s="1136"/>
      <c r="BU1274" s="1136"/>
      <c r="BV1274" s="1136"/>
      <c r="BW1274" s="1136"/>
      <c r="BX1274" s="1136"/>
      <c r="BY1274" s="1136"/>
      <c r="BZ1274" s="1136"/>
      <c r="CA1274" s="1136"/>
      <c r="CB1274" s="1136"/>
      <c r="CC1274" s="1136"/>
      <c r="CD1274" s="1136"/>
      <c r="CE1274" s="1136"/>
      <c r="CF1274" s="1136"/>
      <c r="CG1274" s="1136"/>
      <c r="CH1274" s="1136"/>
      <c r="CI1274" s="1136"/>
      <c r="CJ1274" s="1136"/>
      <c r="CK1274" s="1136"/>
      <c r="CL1274" s="1136"/>
      <c r="CM1274" s="1136"/>
      <c r="CN1274" s="1136"/>
      <c r="CO1274" s="1136"/>
      <c r="CP1274" s="1136"/>
      <c r="CQ1274" s="1136"/>
      <c r="CR1274" s="1136"/>
      <c r="CS1274" s="1136"/>
      <c r="CT1274" s="1136"/>
      <c r="CU1274" s="1136"/>
      <c r="CV1274" s="1136"/>
      <c r="CW1274" s="1136"/>
      <c r="CX1274" s="1136"/>
      <c r="CY1274" s="1136"/>
      <c r="CZ1274" s="1136"/>
      <c r="DA1274" s="1136"/>
      <c r="DB1274" s="1136"/>
      <c r="DC1274" s="1136"/>
      <c r="DD1274" s="1136"/>
      <c r="DE1274" s="1136"/>
      <c r="DF1274" s="1136"/>
      <c r="DG1274" s="1136"/>
      <c r="DH1274" s="1136"/>
      <c r="DI1274" s="1136"/>
    </row>
    <row r="1275" spans="1:113" ht="15.75" x14ac:dyDescent="0.25">
      <c r="A1275" s="1638" t="s">
        <v>4308</v>
      </c>
      <c r="B1275" s="1484"/>
      <c r="C1275" s="1639"/>
      <c r="D1275" s="1639"/>
      <c r="E1275" s="1639"/>
      <c r="F1275" s="1639"/>
      <c r="G1275" s="1639"/>
      <c r="H1275" s="1136"/>
      <c r="I1275" s="1136"/>
      <c r="J1275" s="1136"/>
      <c r="K1275" s="1136"/>
      <c r="L1275" s="1136"/>
      <c r="M1275" s="1136"/>
      <c r="N1275" s="1136"/>
      <c r="O1275" s="1136"/>
      <c r="P1275" s="1136"/>
      <c r="Q1275" s="1136"/>
      <c r="R1275" s="1136"/>
      <c r="S1275" s="1136"/>
      <c r="T1275" s="1136"/>
      <c r="U1275" s="1136"/>
      <c r="V1275" s="1136"/>
      <c r="W1275" s="1136"/>
      <c r="X1275" s="1136"/>
      <c r="Y1275" s="1136"/>
      <c r="Z1275" s="1136"/>
      <c r="AA1275" s="1136"/>
      <c r="AB1275" s="1136"/>
      <c r="AC1275" s="1136"/>
      <c r="AD1275" s="1136"/>
      <c r="AE1275" s="1136"/>
      <c r="AF1275" s="1136"/>
      <c r="AG1275" s="1136"/>
      <c r="AH1275" s="1136"/>
      <c r="AI1275" s="1136"/>
      <c r="AJ1275" s="1136"/>
      <c r="AK1275" s="1136"/>
      <c r="AL1275" s="1136"/>
      <c r="AM1275" s="1136"/>
      <c r="AN1275" s="1136"/>
      <c r="AO1275" s="1136"/>
      <c r="AP1275" s="1136"/>
      <c r="AQ1275" s="1136"/>
      <c r="AR1275" s="1136"/>
      <c r="AS1275" s="1136"/>
      <c r="AT1275" s="1136"/>
      <c r="AU1275" s="1136"/>
      <c r="AV1275" s="1136"/>
      <c r="AW1275" s="1136"/>
      <c r="AX1275" s="1136"/>
      <c r="AY1275" s="1136"/>
      <c r="AZ1275" s="1136"/>
      <c r="BA1275" s="1136"/>
      <c r="BB1275" s="1136"/>
      <c r="BC1275" s="1136"/>
      <c r="BD1275" s="1136"/>
      <c r="BE1275" s="1136"/>
      <c r="BF1275" s="1136"/>
      <c r="BG1275" s="1136"/>
      <c r="BH1275" s="1136"/>
      <c r="BI1275" s="1136"/>
      <c r="BJ1275" s="1136"/>
      <c r="BK1275" s="1136"/>
      <c r="BL1275" s="1136"/>
      <c r="BM1275" s="1136"/>
      <c r="BN1275" s="1136"/>
      <c r="BO1275" s="1136"/>
      <c r="BP1275" s="1136"/>
      <c r="BQ1275" s="1136"/>
      <c r="BR1275" s="1136"/>
      <c r="BS1275" s="1136"/>
      <c r="BT1275" s="1136"/>
      <c r="BU1275" s="1136"/>
      <c r="BV1275" s="1136"/>
      <c r="BW1275" s="1136"/>
      <c r="BX1275" s="1136"/>
      <c r="BY1275" s="1136"/>
      <c r="BZ1275" s="1136"/>
      <c r="CA1275" s="1136"/>
      <c r="CB1275" s="1136"/>
      <c r="CC1275" s="1136"/>
      <c r="CD1275" s="1136"/>
      <c r="CE1275" s="1136"/>
      <c r="CF1275" s="1136"/>
      <c r="CG1275" s="1136"/>
      <c r="CH1275" s="1136"/>
      <c r="CI1275" s="1136"/>
      <c r="CJ1275" s="1136"/>
      <c r="CK1275" s="1136"/>
      <c r="CL1275" s="1136"/>
      <c r="CM1275" s="1136"/>
      <c r="CN1275" s="1136"/>
      <c r="CO1275" s="1136"/>
      <c r="CP1275" s="1136"/>
      <c r="CQ1275" s="1136"/>
      <c r="CR1275" s="1136"/>
      <c r="CS1275" s="1136"/>
      <c r="CT1275" s="1136"/>
      <c r="CU1275" s="1136"/>
      <c r="CV1275" s="1136"/>
      <c r="CW1275" s="1136"/>
      <c r="CX1275" s="1136"/>
      <c r="CY1275" s="1136"/>
      <c r="CZ1275" s="1136"/>
      <c r="DA1275" s="1136"/>
      <c r="DB1275" s="1136"/>
      <c r="DC1275" s="1136"/>
      <c r="DD1275" s="1136"/>
      <c r="DE1275" s="1136"/>
      <c r="DF1275" s="1136"/>
      <c r="DG1275" s="1136"/>
      <c r="DH1275" s="1136"/>
      <c r="DI1275" s="1136"/>
    </row>
    <row r="1276" spans="1:113" ht="15.75" x14ac:dyDescent="0.25">
      <c r="A1276" s="1430" t="s">
        <v>2742</v>
      </c>
      <c r="B1276" s="1484" t="e">
        <f>(((B287*B329)/(B285*B286*B290*B291*B293))*((B1202+B1203)*B1200))/1000</f>
        <v>#VALUE!</v>
      </c>
      <c r="C1276" s="1639"/>
      <c r="D1276" s="1639"/>
      <c r="E1276" s="1639"/>
      <c r="F1276" s="1639"/>
      <c r="G1276" s="1639"/>
      <c r="H1276" s="1136"/>
      <c r="I1276" s="1136"/>
      <c r="J1276" s="1136"/>
      <c r="K1276" s="1136"/>
      <c r="L1276" s="1136"/>
      <c r="M1276" s="1136"/>
      <c r="N1276" s="1136"/>
      <c r="O1276" s="1136"/>
      <c r="P1276" s="1136"/>
      <c r="Q1276" s="1136"/>
      <c r="R1276" s="1136"/>
      <c r="S1276" s="1136"/>
      <c r="T1276" s="1136"/>
      <c r="U1276" s="1136"/>
      <c r="V1276" s="1136"/>
      <c r="W1276" s="1136"/>
      <c r="X1276" s="1136"/>
      <c r="Y1276" s="1136"/>
      <c r="Z1276" s="1136"/>
      <c r="AA1276" s="1136"/>
      <c r="AB1276" s="1136"/>
      <c r="AC1276" s="1136"/>
      <c r="AD1276" s="1136"/>
      <c r="AE1276" s="1136"/>
      <c r="AF1276" s="1136"/>
      <c r="AG1276" s="1136"/>
      <c r="AH1276" s="1136"/>
      <c r="AI1276" s="1136"/>
      <c r="AJ1276" s="1136"/>
      <c r="AK1276" s="1136"/>
      <c r="AL1276" s="1136"/>
      <c r="AM1276" s="1136"/>
      <c r="AN1276" s="1136"/>
      <c r="AO1276" s="1136"/>
      <c r="AP1276" s="1136"/>
      <c r="AQ1276" s="1136"/>
      <c r="AR1276" s="1136"/>
      <c r="AS1276" s="1136"/>
      <c r="AT1276" s="1136"/>
      <c r="AU1276" s="1136"/>
      <c r="AV1276" s="1136"/>
      <c r="AW1276" s="1136"/>
      <c r="AX1276" s="1136"/>
      <c r="AY1276" s="1136"/>
      <c r="AZ1276" s="1136"/>
      <c r="BA1276" s="1136"/>
      <c r="BB1276" s="1136"/>
      <c r="BC1276" s="1136"/>
      <c r="BD1276" s="1136"/>
      <c r="BE1276" s="1136"/>
      <c r="BF1276" s="1136"/>
      <c r="BG1276" s="1136"/>
      <c r="BH1276" s="1136"/>
      <c r="BI1276" s="1136"/>
      <c r="BJ1276" s="1136"/>
      <c r="BK1276" s="1136"/>
      <c r="BL1276" s="1136"/>
      <c r="BM1276" s="1136"/>
      <c r="BN1276" s="1136"/>
      <c r="BO1276" s="1136"/>
      <c r="BP1276" s="1136"/>
      <c r="BQ1276" s="1136"/>
      <c r="BR1276" s="1136"/>
      <c r="BS1276" s="1136"/>
      <c r="BT1276" s="1136"/>
      <c r="BU1276" s="1136"/>
      <c r="BV1276" s="1136"/>
      <c r="BW1276" s="1136"/>
      <c r="BX1276" s="1136"/>
      <c r="BY1276" s="1136"/>
      <c r="BZ1276" s="1136"/>
      <c r="CA1276" s="1136"/>
      <c r="CB1276" s="1136"/>
      <c r="CC1276" s="1136"/>
      <c r="CD1276" s="1136"/>
      <c r="CE1276" s="1136"/>
      <c r="CF1276" s="1136"/>
      <c r="CG1276" s="1136"/>
      <c r="CH1276" s="1136"/>
      <c r="CI1276" s="1136"/>
      <c r="CJ1276" s="1136"/>
      <c r="CK1276" s="1136"/>
      <c r="CL1276" s="1136"/>
      <c r="CM1276" s="1136"/>
      <c r="CN1276" s="1136"/>
      <c r="CO1276" s="1136"/>
      <c r="CP1276" s="1136"/>
      <c r="CQ1276" s="1136"/>
      <c r="CR1276" s="1136"/>
      <c r="CS1276" s="1136"/>
      <c r="CT1276" s="1136"/>
      <c r="CU1276" s="1136"/>
      <c r="CV1276" s="1136"/>
      <c r="CW1276" s="1136"/>
      <c r="CX1276" s="1136"/>
      <c r="CY1276" s="1136"/>
      <c r="CZ1276" s="1136"/>
      <c r="DA1276" s="1136"/>
      <c r="DB1276" s="1136"/>
      <c r="DC1276" s="1136"/>
      <c r="DD1276" s="1136"/>
      <c r="DE1276" s="1136"/>
      <c r="DF1276" s="1136"/>
      <c r="DG1276" s="1136"/>
      <c r="DH1276" s="1136"/>
      <c r="DI1276" s="1136"/>
    </row>
    <row r="1277" spans="1:113" ht="15.75" x14ac:dyDescent="0.25">
      <c r="A1277" s="1430" t="s">
        <v>2743</v>
      </c>
      <c r="B1277" s="1484" t="e">
        <f>((B287*B329)/(B285*B286*B290*B291*B293))*B1211</f>
        <v>#VALUE!</v>
      </c>
      <c r="C1277" s="1639"/>
      <c r="D1277" s="1639"/>
      <c r="E1277" s="1639"/>
      <c r="F1277" s="1639"/>
      <c r="G1277" s="1639"/>
      <c r="H1277" s="1136"/>
      <c r="I1277" s="1136"/>
      <c r="J1277" s="1136"/>
      <c r="K1277" s="1136"/>
      <c r="L1277" s="1136"/>
      <c r="M1277" s="1136"/>
      <c r="N1277" s="1136"/>
      <c r="O1277" s="1136"/>
      <c r="P1277" s="1136"/>
      <c r="Q1277" s="1136"/>
      <c r="R1277" s="1136"/>
      <c r="S1277" s="1136"/>
      <c r="T1277" s="1136"/>
      <c r="U1277" s="1136"/>
      <c r="V1277" s="1136"/>
      <c r="W1277" s="1136"/>
      <c r="X1277" s="1136"/>
      <c r="Y1277" s="1136"/>
      <c r="Z1277" s="1136"/>
      <c r="AA1277" s="1136"/>
      <c r="AB1277" s="1136"/>
      <c r="AC1277" s="1136"/>
      <c r="AD1277" s="1136"/>
      <c r="AE1277" s="1136"/>
      <c r="AF1277" s="1136"/>
      <c r="AG1277" s="1136"/>
      <c r="AH1277" s="1136"/>
      <c r="AI1277" s="1136"/>
      <c r="AJ1277" s="1136"/>
      <c r="AK1277" s="1136"/>
      <c r="AL1277" s="1136"/>
      <c r="AM1277" s="1136"/>
      <c r="AN1277" s="1136"/>
      <c r="AO1277" s="1136"/>
      <c r="AP1277" s="1136"/>
      <c r="AQ1277" s="1136"/>
      <c r="AR1277" s="1136"/>
      <c r="AS1277" s="1136"/>
      <c r="AT1277" s="1136"/>
      <c r="AU1277" s="1136"/>
      <c r="AV1277" s="1136"/>
      <c r="AW1277" s="1136"/>
      <c r="AX1277" s="1136"/>
      <c r="AY1277" s="1136"/>
      <c r="AZ1277" s="1136"/>
      <c r="BA1277" s="1136"/>
      <c r="BB1277" s="1136"/>
      <c r="BC1277" s="1136"/>
      <c r="BD1277" s="1136"/>
      <c r="BE1277" s="1136"/>
      <c r="BF1277" s="1136"/>
      <c r="BG1277" s="1136"/>
      <c r="BH1277" s="1136"/>
      <c r="BI1277" s="1136"/>
      <c r="BJ1277" s="1136"/>
      <c r="BK1277" s="1136"/>
      <c r="BL1277" s="1136"/>
      <c r="BM1277" s="1136"/>
      <c r="BN1277" s="1136"/>
      <c r="BO1277" s="1136"/>
      <c r="BP1277" s="1136"/>
      <c r="BQ1277" s="1136"/>
      <c r="BR1277" s="1136"/>
      <c r="BS1277" s="1136"/>
      <c r="BT1277" s="1136"/>
      <c r="BU1277" s="1136"/>
      <c r="BV1277" s="1136"/>
      <c r="BW1277" s="1136"/>
      <c r="BX1277" s="1136"/>
      <c r="BY1277" s="1136"/>
      <c r="BZ1277" s="1136"/>
      <c r="CA1277" s="1136"/>
      <c r="CB1277" s="1136"/>
      <c r="CC1277" s="1136"/>
      <c r="CD1277" s="1136"/>
      <c r="CE1277" s="1136"/>
      <c r="CF1277" s="1136"/>
      <c r="CG1277" s="1136"/>
      <c r="CH1277" s="1136"/>
      <c r="CI1277" s="1136"/>
      <c r="CJ1277" s="1136"/>
      <c r="CK1277" s="1136"/>
      <c r="CL1277" s="1136"/>
      <c r="CM1277" s="1136"/>
      <c r="CN1277" s="1136"/>
      <c r="CO1277" s="1136"/>
      <c r="CP1277" s="1136"/>
      <c r="CQ1277" s="1136"/>
      <c r="CR1277" s="1136"/>
      <c r="CS1277" s="1136"/>
      <c r="CT1277" s="1136"/>
      <c r="CU1277" s="1136"/>
      <c r="CV1277" s="1136"/>
      <c r="CW1277" s="1136"/>
      <c r="CX1277" s="1136"/>
      <c r="CY1277" s="1136"/>
      <c r="CZ1277" s="1136"/>
      <c r="DA1277" s="1136"/>
      <c r="DB1277" s="1136"/>
      <c r="DC1277" s="1136"/>
      <c r="DD1277" s="1136"/>
      <c r="DE1277" s="1136"/>
      <c r="DF1277" s="1136"/>
      <c r="DG1277" s="1136"/>
      <c r="DH1277" s="1136"/>
      <c r="DI1277" s="1136"/>
    </row>
    <row r="1278" spans="1:113" ht="15.75" x14ac:dyDescent="0.25">
      <c r="A1278" s="1640" t="s">
        <v>2744</v>
      </c>
      <c r="B1278" s="1484"/>
      <c r="C1278" s="1639"/>
      <c r="D1278" s="1639"/>
      <c r="E1278" s="1639"/>
      <c r="F1278" s="1639"/>
      <c r="G1278" s="1639"/>
      <c r="H1278" s="1136"/>
      <c r="I1278" s="1136"/>
      <c r="J1278" s="1136"/>
      <c r="K1278" s="1136"/>
      <c r="L1278" s="1136"/>
      <c r="M1278" s="1136"/>
      <c r="N1278" s="1136"/>
      <c r="O1278" s="1136"/>
      <c r="P1278" s="1136"/>
      <c r="Q1278" s="1136"/>
      <c r="R1278" s="1136"/>
      <c r="S1278" s="1136"/>
      <c r="T1278" s="1136"/>
      <c r="U1278" s="1136"/>
      <c r="V1278" s="1136"/>
      <c r="W1278" s="1136"/>
      <c r="X1278" s="1136"/>
      <c r="Y1278" s="1136"/>
      <c r="Z1278" s="1136"/>
      <c r="AA1278" s="1136"/>
      <c r="AB1278" s="1136"/>
      <c r="AC1278" s="1136"/>
      <c r="AD1278" s="1136"/>
      <c r="AE1278" s="1136"/>
      <c r="AF1278" s="1136"/>
      <c r="AG1278" s="1136"/>
      <c r="AH1278" s="1136"/>
      <c r="AI1278" s="1136"/>
      <c r="AJ1278" s="1136"/>
      <c r="AK1278" s="1136"/>
      <c r="AL1278" s="1136"/>
      <c r="AM1278" s="1136"/>
      <c r="AN1278" s="1136"/>
      <c r="AO1278" s="1136"/>
      <c r="AP1278" s="1136"/>
      <c r="AQ1278" s="1136"/>
      <c r="AR1278" s="1136"/>
      <c r="AS1278" s="1136"/>
      <c r="AT1278" s="1136"/>
      <c r="AU1278" s="1136"/>
      <c r="AV1278" s="1136"/>
      <c r="AW1278" s="1136"/>
      <c r="AX1278" s="1136"/>
      <c r="AY1278" s="1136"/>
      <c r="AZ1278" s="1136"/>
      <c r="BA1278" s="1136"/>
      <c r="BB1278" s="1136"/>
      <c r="BC1278" s="1136"/>
      <c r="BD1278" s="1136"/>
      <c r="BE1278" s="1136"/>
      <c r="BF1278" s="1136"/>
      <c r="BG1278" s="1136"/>
      <c r="BH1278" s="1136"/>
      <c r="BI1278" s="1136"/>
      <c r="BJ1278" s="1136"/>
      <c r="BK1278" s="1136"/>
      <c r="BL1278" s="1136"/>
      <c r="BM1278" s="1136"/>
      <c r="BN1278" s="1136"/>
      <c r="BO1278" s="1136"/>
      <c r="BP1278" s="1136"/>
      <c r="BQ1278" s="1136"/>
      <c r="BR1278" s="1136"/>
      <c r="BS1278" s="1136"/>
      <c r="BT1278" s="1136"/>
      <c r="BU1278" s="1136"/>
      <c r="BV1278" s="1136"/>
      <c r="BW1278" s="1136"/>
      <c r="BX1278" s="1136"/>
      <c r="BY1278" s="1136"/>
      <c r="BZ1278" s="1136"/>
      <c r="CA1278" s="1136"/>
      <c r="CB1278" s="1136"/>
      <c r="CC1278" s="1136"/>
      <c r="CD1278" s="1136"/>
      <c r="CE1278" s="1136"/>
      <c r="CF1278" s="1136"/>
      <c r="CG1278" s="1136"/>
      <c r="CH1278" s="1136"/>
      <c r="CI1278" s="1136"/>
      <c r="CJ1278" s="1136"/>
      <c r="CK1278" s="1136"/>
      <c r="CL1278" s="1136"/>
      <c r="CM1278" s="1136"/>
      <c r="CN1278" s="1136"/>
      <c r="CO1278" s="1136"/>
      <c r="CP1278" s="1136"/>
      <c r="CQ1278" s="1136"/>
      <c r="CR1278" s="1136"/>
      <c r="CS1278" s="1136"/>
      <c r="CT1278" s="1136"/>
      <c r="CU1278" s="1136"/>
      <c r="CV1278" s="1136"/>
      <c r="CW1278" s="1136"/>
      <c r="CX1278" s="1136"/>
      <c r="CY1278" s="1136"/>
      <c r="CZ1278" s="1136"/>
      <c r="DA1278" s="1136"/>
      <c r="DB1278" s="1136"/>
      <c r="DC1278" s="1136"/>
      <c r="DD1278" s="1136"/>
      <c r="DE1278" s="1136"/>
      <c r="DF1278" s="1136"/>
      <c r="DG1278" s="1136"/>
      <c r="DH1278" s="1136"/>
      <c r="DI1278" s="1136"/>
    </row>
    <row r="1279" spans="1:113" ht="15.75" x14ac:dyDescent="0.25">
      <c r="A1279" s="1489" t="s">
        <v>2745</v>
      </c>
      <c r="B1279" s="1484" t="e">
        <f>((B287*B329)/(B285*B286*B290*B291*B293))*B1005</f>
        <v>#VALUE!</v>
      </c>
      <c r="C1279" s="1639"/>
      <c r="D1279" s="1639"/>
      <c r="E1279" s="1639"/>
      <c r="F1279" s="1639"/>
      <c r="G1279" s="1639"/>
      <c r="H1279" s="1136"/>
      <c r="I1279" s="1136"/>
      <c r="J1279" s="1136"/>
      <c r="K1279" s="1136"/>
      <c r="L1279" s="1136"/>
      <c r="M1279" s="1136"/>
      <c r="N1279" s="1136"/>
      <c r="O1279" s="1136"/>
      <c r="P1279" s="1136"/>
      <c r="Q1279" s="1136"/>
      <c r="R1279" s="1136"/>
      <c r="S1279" s="1136"/>
      <c r="T1279" s="1136"/>
      <c r="U1279" s="1136"/>
      <c r="V1279" s="1136"/>
      <c r="W1279" s="1136"/>
      <c r="X1279" s="1136"/>
      <c r="Y1279" s="1136"/>
      <c r="Z1279" s="1136"/>
      <c r="AA1279" s="1136"/>
      <c r="AB1279" s="1136"/>
      <c r="AC1279" s="1136"/>
      <c r="AD1279" s="1136"/>
      <c r="AE1279" s="1136"/>
      <c r="AF1279" s="1136"/>
      <c r="AG1279" s="1136"/>
      <c r="AH1279" s="1136"/>
      <c r="AI1279" s="1136"/>
      <c r="AJ1279" s="1136"/>
      <c r="AK1279" s="1136"/>
      <c r="AL1279" s="1136"/>
      <c r="AM1279" s="1136"/>
      <c r="AN1279" s="1136"/>
      <c r="AO1279" s="1136"/>
      <c r="AP1279" s="1136"/>
      <c r="AQ1279" s="1136"/>
      <c r="AR1279" s="1136"/>
      <c r="AS1279" s="1136"/>
      <c r="AT1279" s="1136"/>
      <c r="AU1279" s="1136"/>
      <c r="AV1279" s="1136"/>
      <c r="AW1279" s="1136"/>
      <c r="AX1279" s="1136"/>
      <c r="AY1279" s="1136"/>
      <c r="AZ1279" s="1136"/>
      <c r="BA1279" s="1136"/>
      <c r="BB1279" s="1136"/>
      <c r="BC1279" s="1136"/>
      <c r="BD1279" s="1136"/>
      <c r="BE1279" s="1136"/>
      <c r="BF1279" s="1136"/>
      <c r="BG1279" s="1136"/>
      <c r="BH1279" s="1136"/>
      <c r="BI1279" s="1136"/>
      <c r="BJ1279" s="1136"/>
      <c r="BK1279" s="1136"/>
      <c r="BL1279" s="1136"/>
      <c r="BM1279" s="1136"/>
      <c r="BN1279" s="1136"/>
      <c r="BO1279" s="1136"/>
      <c r="BP1279" s="1136"/>
      <c r="BQ1279" s="1136"/>
      <c r="BR1279" s="1136"/>
      <c r="BS1279" s="1136"/>
      <c r="BT1279" s="1136"/>
      <c r="BU1279" s="1136"/>
      <c r="BV1279" s="1136"/>
      <c r="BW1279" s="1136"/>
      <c r="BX1279" s="1136"/>
      <c r="BY1279" s="1136"/>
      <c r="BZ1279" s="1136"/>
      <c r="CA1279" s="1136"/>
      <c r="CB1279" s="1136"/>
      <c r="CC1279" s="1136"/>
      <c r="CD1279" s="1136"/>
      <c r="CE1279" s="1136"/>
      <c r="CF1279" s="1136"/>
      <c r="CG1279" s="1136"/>
      <c r="CH1279" s="1136"/>
      <c r="CI1279" s="1136"/>
      <c r="CJ1279" s="1136"/>
      <c r="CK1279" s="1136"/>
      <c r="CL1279" s="1136"/>
      <c r="CM1279" s="1136"/>
      <c r="CN1279" s="1136"/>
      <c r="CO1279" s="1136"/>
      <c r="CP1279" s="1136"/>
      <c r="CQ1279" s="1136"/>
      <c r="CR1279" s="1136"/>
      <c r="CS1279" s="1136"/>
      <c r="CT1279" s="1136"/>
      <c r="CU1279" s="1136"/>
      <c r="CV1279" s="1136"/>
      <c r="CW1279" s="1136"/>
      <c r="CX1279" s="1136"/>
      <c r="CY1279" s="1136"/>
      <c r="CZ1279" s="1136"/>
      <c r="DA1279" s="1136"/>
      <c r="DB1279" s="1136"/>
      <c r="DC1279" s="1136"/>
      <c r="DD1279" s="1136"/>
      <c r="DE1279" s="1136"/>
      <c r="DF1279" s="1136"/>
      <c r="DG1279" s="1136"/>
      <c r="DH1279" s="1136"/>
      <c r="DI1279" s="1136"/>
    </row>
    <row r="1280" spans="1:113" ht="15.75" x14ac:dyDescent="0.25">
      <c r="A1280" s="1489" t="s">
        <v>2746</v>
      </c>
      <c r="B1280" s="1484" t="e">
        <f>(27.458*B315-48.908)*B1279</f>
        <v>#VALUE!</v>
      </c>
      <c r="C1280" s="1639"/>
      <c r="D1280" s="1639"/>
      <c r="E1280" s="1639"/>
      <c r="F1280" s="1639"/>
      <c r="G1280" s="1639"/>
      <c r="H1280" s="1136"/>
      <c r="I1280" s="1136"/>
      <c r="J1280" s="1136"/>
      <c r="K1280" s="1136"/>
      <c r="L1280" s="1136"/>
      <c r="M1280" s="1136"/>
      <c r="N1280" s="1136"/>
      <c r="O1280" s="1136"/>
      <c r="P1280" s="1136"/>
      <c r="Q1280" s="1136"/>
      <c r="R1280" s="1136"/>
      <c r="S1280" s="1136"/>
      <c r="T1280" s="1136"/>
      <c r="U1280" s="1136"/>
      <c r="V1280" s="1136"/>
      <c r="W1280" s="1136"/>
      <c r="X1280" s="1136"/>
      <c r="Y1280" s="1136"/>
      <c r="Z1280" s="1136"/>
      <c r="AA1280" s="1136"/>
      <c r="AB1280" s="1136"/>
      <c r="AC1280" s="1136"/>
      <c r="AD1280" s="1136"/>
      <c r="AE1280" s="1136"/>
      <c r="AF1280" s="1136"/>
      <c r="AG1280" s="1136"/>
      <c r="AH1280" s="1136"/>
      <c r="AI1280" s="1136"/>
      <c r="AJ1280" s="1136"/>
      <c r="AK1280" s="1136"/>
      <c r="AL1280" s="1136"/>
      <c r="AM1280" s="1136"/>
      <c r="AN1280" s="1136"/>
      <c r="AO1280" s="1136"/>
      <c r="AP1280" s="1136"/>
      <c r="AQ1280" s="1136"/>
      <c r="AR1280" s="1136"/>
      <c r="AS1280" s="1136"/>
      <c r="AT1280" s="1136"/>
      <c r="AU1280" s="1136"/>
      <c r="AV1280" s="1136"/>
      <c r="AW1280" s="1136"/>
      <c r="AX1280" s="1136"/>
      <c r="AY1280" s="1136"/>
      <c r="AZ1280" s="1136"/>
      <c r="BA1280" s="1136"/>
      <c r="BB1280" s="1136"/>
      <c r="BC1280" s="1136"/>
      <c r="BD1280" s="1136"/>
      <c r="BE1280" s="1136"/>
      <c r="BF1280" s="1136"/>
      <c r="BG1280" s="1136"/>
      <c r="BH1280" s="1136"/>
      <c r="BI1280" s="1136"/>
      <c r="BJ1280" s="1136"/>
      <c r="BK1280" s="1136"/>
      <c r="BL1280" s="1136"/>
      <c r="BM1280" s="1136"/>
      <c r="BN1280" s="1136"/>
      <c r="BO1280" s="1136"/>
      <c r="BP1280" s="1136"/>
      <c r="BQ1280" s="1136"/>
      <c r="BR1280" s="1136"/>
      <c r="BS1280" s="1136"/>
      <c r="BT1280" s="1136"/>
      <c r="BU1280" s="1136"/>
      <c r="BV1280" s="1136"/>
      <c r="BW1280" s="1136"/>
      <c r="BX1280" s="1136"/>
      <c r="BY1280" s="1136"/>
      <c r="BZ1280" s="1136"/>
      <c r="CA1280" s="1136"/>
      <c r="CB1280" s="1136"/>
      <c r="CC1280" s="1136"/>
      <c r="CD1280" s="1136"/>
      <c r="CE1280" s="1136"/>
      <c r="CF1280" s="1136"/>
      <c r="CG1280" s="1136"/>
      <c r="CH1280" s="1136"/>
      <c r="CI1280" s="1136"/>
      <c r="CJ1280" s="1136"/>
      <c r="CK1280" s="1136"/>
      <c r="CL1280" s="1136"/>
      <c r="CM1280" s="1136"/>
      <c r="CN1280" s="1136"/>
      <c r="CO1280" s="1136"/>
      <c r="CP1280" s="1136"/>
      <c r="CQ1280" s="1136"/>
      <c r="CR1280" s="1136"/>
      <c r="CS1280" s="1136"/>
      <c r="CT1280" s="1136"/>
      <c r="CU1280" s="1136"/>
      <c r="CV1280" s="1136"/>
      <c r="CW1280" s="1136"/>
      <c r="CX1280" s="1136"/>
      <c r="CY1280" s="1136"/>
      <c r="CZ1280" s="1136"/>
      <c r="DA1280" s="1136"/>
      <c r="DB1280" s="1136"/>
      <c r="DC1280" s="1136"/>
      <c r="DD1280" s="1136"/>
      <c r="DE1280" s="1136"/>
      <c r="DF1280" s="1136"/>
      <c r="DG1280" s="1136"/>
      <c r="DH1280" s="1136"/>
      <c r="DI1280" s="1136"/>
    </row>
    <row r="1281" spans="1:113" ht="15.75" x14ac:dyDescent="0.25">
      <c r="A1281" s="1595" t="s">
        <v>2748</v>
      </c>
      <c r="B1281" s="1046"/>
      <c r="C1281" s="1136"/>
      <c r="D1281" s="1639"/>
      <c r="E1281" s="1639"/>
      <c r="F1281" s="1639"/>
      <c r="G1281" s="1639"/>
      <c r="H1281" s="1136"/>
      <c r="I1281" s="1136"/>
      <c r="J1281" s="1136"/>
      <c r="K1281" s="1136"/>
      <c r="L1281" s="1136"/>
      <c r="M1281" s="1136"/>
      <c r="N1281" s="1136"/>
      <c r="O1281" s="1136"/>
      <c r="P1281" s="1136"/>
      <c r="Q1281" s="1136"/>
      <c r="R1281" s="1136"/>
      <c r="S1281" s="1136"/>
      <c r="T1281" s="1136"/>
      <c r="U1281" s="1136"/>
      <c r="V1281" s="1136"/>
      <c r="W1281" s="1136"/>
      <c r="X1281" s="1136"/>
      <c r="Y1281" s="1136"/>
      <c r="Z1281" s="1136"/>
      <c r="AA1281" s="1136"/>
      <c r="AB1281" s="1136"/>
      <c r="AC1281" s="1136"/>
      <c r="AD1281" s="1136"/>
      <c r="AE1281" s="1136"/>
      <c r="AF1281" s="1136"/>
      <c r="AG1281" s="1136"/>
      <c r="AH1281" s="1136"/>
      <c r="AI1281" s="1136"/>
      <c r="AJ1281" s="1136"/>
      <c r="AK1281" s="1136"/>
      <c r="AL1281" s="1136"/>
      <c r="AM1281" s="1136"/>
      <c r="AN1281" s="1136"/>
      <c r="AO1281" s="1136"/>
      <c r="AP1281" s="1136"/>
      <c r="AQ1281" s="1136"/>
      <c r="AR1281" s="1136"/>
      <c r="AS1281" s="1136"/>
      <c r="AT1281" s="1136"/>
      <c r="AU1281" s="1136"/>
      <c r="AV1281" s="1136"/>
      <c r="AW1281" s="1136"/>
      <c r="AX1281" s="1136"/>
      <c r="AY1281" s="1136"/>
      <c r="AZ1281" s="1136"/>
      <c r="BA1281" s="1136"/>
      <c r="BB1281" s="1136"/>
      <c r="BC1281" s="1136"/>
      <c r="BD1281" s="1136"/>
      <c r="BE1281" s="1136"/>
      <c r="BF1281" s="1136"/>
      <c r="BG1281" s="1136"/>
      <c r="BH1281" s="1136"/>
      <c r="BI1281" s="1136"/>
      <c r="BJ1281" s="1136"/>
      <c r="BK1281" s="1136"/>
      <c r="BL1281" s="1136"/>
      <c r="BM1281" s="1136"/>
      <c r="BN1281" s="1136"/>
      <c r="BO1281" s="1136"/>
      <c r="BP1281" s="1136"/>
      <c r="BQ1281" s="1136"/>
      <c r="BR1281" s="1136"/>
      <c r="BS1281" s="1136"/>
      <c r="BT1281" s="1136"/>
      <c r="BU1281" s="1136"/>
      <c r="BV1281" s="1136"/>
      <c r="BW1281" s="1136"/>
      <c r="BX1281" s="1136"/>
      <c r="BY1281" s="1136"/>
      <c r="BZ1281" s="1136"/>
      <c r="CA1281" s="1136"/>
      <c r="CB1281" s="1136"/>
      <c r="CC1281" s="1136"/>
      <c r="CD1281" s="1136"/>
      <c r="CE1281" s="1136"/>
      <c r="CF1281" s="1136"/>
      <c r="CG1281" s="1136"/>
      <c r="CH1281" s="1136"/>
      <c r="CI1281" s="1136"/>
      <c r="CJ1281" s="1136"/>
      <c r="CK1281" s="1136"/>
      <c r="CL1281" s="1136"/>
      <c r="CM1281" s="1136"/>
      <c r="CN1281" s="1136"/>
      <c r="CO1281" s="1136"/>
      <c r="CP1281" s="1136"/>
      <c r="CQ1281" s="1136"/>
      <c r="CR1281" s="1136"/>
      <c r="CS1281" s="1136"/>
      <c r="CT1281" s="1136"/>
      <c r="CU1281" s="1136"/>
      <c r="CV1281" s="1136"/>
      <c r="CW1281" s="1136"/>
      <c r="CX1281" s="1136"/>
      <c r="CY1281" s="1136"/>
      <c r="CZ1281" s="1136"/>
      <c r="DA1281" s="1136"/>
      <c r="DB1281" s="1136"/>
      <c r="DC1281" s="1136"/>
      <c r="DD1281" s="1136"/>
      <c r="DE1281" s="1136"/>
      <c r="DF1281" s="1136"/>
      <c r="DG1281" s="1136"/>
      <c r="DH1281" s="1136"/>
      <c r="DI1281" s="1136"/>
    </row>
    <row r="1282" spans="1:113" ht="15.75" x14ac:dyDescent="0.25">
      <c r="A1282" s="1417" t="s">
        <v>2749</v>
      </c>
      <c r="B1282" s="1484"/>
      <c r="C1282" s="1639"/>
      <c r="D1282" s="1639"/>
      <c r="E1282" s="1639"/>
      <c r="F1282" s="1639"/>
      <c r="G1282" s="1639"/>
      <c r="H1282" s="1136"/>
      <c r="I1282" s="1136"/>
      <c r="J1282" s="1136"/>
      <c r="K1282" s="1136"/>
      <c r="L1282" s="1136"/>
      <c r="M1282" s="1136"/>
      <c r="N1282" s="1136"/>
      <c r="O1282" s="1136"/>
      <c r="P1282" s="1136"/>
      <c r="Q1282" s="1136"/>
      <c r="R1282" s="1136"/>
      <c r="S1282" s="1136"/>
      <c r="T1282" s="1136"/>
      <c r="U1282" s="1136"/>
      <c r="V1282" s="1136"/>
      <c r="W1282" s="1136"/>
      <c r="X1282" s="1136"/>
      <c r="Y1282" s="1136"/>
      <c r="Z1282" s="1136"/>
      <c r="AA1282" s="1136"/>
      <c r="AB1282" s="1136"/>
      <c r="AC1282" s="1136"/>
      <c r="AD1282" s="1136"/>
      <c r="AE1282" s="1136"/>
      <c r="AF1282" s="1136"/>
      <c r="AG1282" s="1136"/>
      <c r="AH1282" s="1136"/>
      <c r="AI1282" s="1136"/>
      <c r="AJ1282" s="1136"/>
      <c r="AK1282" s="1136"/>
      <c r="AL1282" s="1136"/>
      <c r="AM1282" s="1136"/>
      <c r="AN1282" s="1136"/>
      <c r="AO1282" s="1136"/>
      <c r="AP1282" s="1136"/>
      <c r="AQ1282" s="1136"/>
      <c r="AR1282" s="1136"/>
      <c r="AS1282" s="1136"/>
      <c r="AT1282" s="1136"/>
      <c r="AU1282" s="1136"/>
      <c r="AV1282" s="1136"/>
      <c r="AW1282" s="1136"/>
      <c r="AX1282" s="1136"/>
      <c r="AY1282" s="1136"/>
      <c r="AZ1282" s="1136"/>
      <c r="BA1282" s="1136"/>
      <c r="BB1282" s="1136"/>
      <c r="BC1282" s="1136"/>
      <c r="BD1282" s="1136"/>
      <c r="BE1282" s="1136"/>
      <c r="BF1282" s="1136"/>
      <c r="BG1282" s="1136"/>
      <c r="BH1282" s="1136"/>
      <c r="BI1282" s="1136"/>
      <c r="BJ1282" s="1136"/>
      <c r="BK1282" s="1136"/>
      <c r="BL1282" s="1136"/>
      <c r="BM1282" s="1136"/>
      <c r="BN1282" s="1136"/>
      <c r="BO1282" s="1136"/>
      <c r="BP1282" s="1136"/>
      <c r="BQ1282" s="1136"/>
      <c r="BR1282" s="1136"/>
      <c r="BS1282" s="1136"/>
      <c r="BT1282" s="1136"/>
      <c r="BU1282" s="1136"/>
      <c r="BV1282" s="1136"/>
      <c r="BW1282" s="1136"/>
      <c r="BX1282" s="1136"/>
      <c r="BY1282" s="1136"/>
      <c r="BZ1282" s="1136"/>
      <c r="CA1282" s="1136"/>
      <c r="CB1282" s="1136"/>
      <c r="CC1282" s="1136"/>
      <c r="CD1282" s="1136"/>
      <c r="CE1282" s="1136"/>
      <c r="CF1282" s="1136"/>
      <c r="CG1282" s="1136"/>
      <c r="CH1282" s="1136"/>
      <c r="CI1282" s="1136"/>
      <c r="CJ1282" s="1136"/>
      <c r="CK1282" s="1136"/>
      <c r="CL1282" s="1136"/>
      <c r="CM1282" s="1136"/>
      <c r="CN1282" s="1136"/>
      <c r="CO1282" s="1136"/>
      <c r="CP1282" s="1136"/>
      <c r="CQ1282" s="1136"/>
      <c r="CR1282" s="1136"/>
      <c r="CS1282" s="1136"/>
      <c r="CT1282" s="1136"/>
      <c r="CU1282" s="1136"/>
      <c r="CV1282" s="1136"/>
      <c r="CW1282" s="1136"/>
      <c r="CX1282" s="1136"/>
      <c r="CY1282" s="1136"/>
      <c r="CZ1282" s="1136"/>
      <c r="DA1282" s="1136"/>
      <c r="DB1282" s="1136"/>
      <c r="DC1282" s="1136"/>
      <c r="DD1282" s="1136"/>
      <c r="DE1282" s="1136"/>
      <c r="DF1282" s="1136"/>
      <c r="DG1282" s="1136"/>
      <c r="DH1282" s="1136"/>
      <c r="DI1282" s="1136"/>
    </row>
    <row r="1283" spans="1:113" ht="15.75" x14ac:dyDescent="0.25">
      <c r="A1283" s="1430" t="s">
        <v>2750</v>
      </c>
      <c r="B1283" s="1484" t="e">
        <f>B1237+B1261</f>
        <v>#VALUE!</v>
      </c>
      <c r="C1283" s="1639"/>
      <c r="D1283" s="1639"/>
      <c r="E1283" s="1639"/>
      <c r="F1283" s="1639"/>
      <c r="G1283" s="1639"/>
      <c r="H1283" s="1136"/>
      <c r="I1283" s="1136"/>
      <c r="J1283" s="1136"/>
      <c r="K1283" s="1136"/>
      <c r="L1283" s="1136"/>
      <c r="M1283" s="1136"/>
      <c r="N1283" s="1136"/>
      <c r="O1283" s="1136"/>
      <c r="P1283" s="1136"/>
      <c r="Q1283" s="1136"/>
      <c r="R1283" s="1136"/>
      <c r="S1283" s="1136"/>
      <c r="T1283" s="1136"/>
      <c r="U1283" s="1136"/>
      <c r="V1283" s="1136"/>
      <c r="W1283" s="1136"/>
      <c r="X1283" s="1136"/>
      <c r="Y1283" s="1136"/>
      <c r="Z1283" s="1136"/>
      <c r="AA1283" s="1136"/>
      <c r="AB1283" s="1136"/>
      <c r="AC1283" s="1136"/>
      <c r="AD1283" s="1136"/>
      <c r="AE1283" s="1136"/>
      <c r="AF1283" s="1136"/>
      <c r="AG1283" s="1136"/>
      <c r="AH1283" s="1136"/>
      <c r="AI1283" s="1136"/>
      <c r="AJ1283" s="1136"/>
      <c r="AK1283" s="1136"/>
      <c r="AL1283" s="1136"/>
      <c r="AM1283" s="1136"/>
      <c r="AN1283" s="1136"/>
      <c r="AO1283" s="1136"/>
      <c r="AP1283" s="1136"/>
      <c r="AQ1283" s="1136"/>
      <c r="AR1283" s="1136"/>
      <c r="AS1283" s="1136"/>
      <c r="AT1283" s="1136"/>
      <c r="AU1283" s="1136"/>
      <c r="AV1283" s="1136"/>
      <c r="AW1283" s="1136"/>
      <c r="AX1283" s="1136"/>
      <c r="AY1283" s="1136"/>
      <c r="AZ1283" s="1136"/>
      <c r="BA1283" s="1136"/>
      <c r="BB1283" s="1136"/>
      <c r="BC1283" s="1136"/>
      <c r="BD1283" s="1136"/>
      <c r="BE1283" s="1136"/>
      <c r="BF1283" s="1136"/>
      <c r="BG1283" s="1136"/>
      <c r="BH1283" s="1136"/>
      <c r="BI1283" s="1136"/>
      <c r="BJ1283" s="1136"/>
      <c r="BK1283" s="1136"/>
      <c r="BL1283" s="1136"/>
      <c r="BM1283" s="1136"/>
      <c r="BN1283" s="1136"/>
      <c r="BO1283" s="1136"/>
      <c r="BP1283" s="1136"/>
      <c r="BQ1283" s="1136"/>
      <c r="BR1283" s="1136"/>
      <c r="BS1283" s="1136"/>
      <c r="BT1283" s="1136"/>
      <c r="BU1283" s="1136"/>
      <c r="BV1283" s="1136"/>
      <c r="BW1283" s="1136"/>
      <c r="BX1283" s="1136"/>
      <c r="BY1283" s="1136"/>
      <c r="BZ1283" s="1136"/>
      <c r="CA1283" s="1136"/>
      <c r="CB1283" s="1136"/>
      <c r="CC1283" s="1136"/>
      <c r="CD1283" s="1136"/>
      <c r="CE1283" s="1136"/>
      <c r="CF1283" s="1136"/>
      <c r="CG1283" s="1136"/>
      <c r="CH1283" s="1136"/>
      <c r="CI1283" s="1136"/>
      <c r="CJ1283" s="1136"/>
      <c r="CK1283" s="1136"/>
      <c r="CL1283" s="1136"/>
      <c r="CM1283" s="1136"/>
      <c r="CN1283" s="1136"/>
      <c r="CO1283" s="1136"/>
      <c r="CP1283" s="1136"/>
      <c r="CQ1283" s="1136"/>
      <c r="CR1283" s="1136"/>
      <c r="CS1283" s="1136"/>
      <c r="CT1283" s="1136"/>
      <c r="CU1283" s="1136"/>
      <c r="CV1283" s="1136"/>
      <c r="CW1283" s="1136"/>
      <c r="CX1283" s="1136"/>
      <c r="CY1283" s="1136"/>
      <c r="CZ1283" s="1136"/>
      <c r="DA1283" s="1136"/>
      <c r="DB1283" s="1136"/>
      <c r="DC1283" s="1136"/>
      <c r="DD1283" s="1136"/>
      <c r="DE1283" s="1136"/>
      <c r="DF1283" s="1136"/>
      <c r="DG1283" s="1136"/>
      <c r="DH1283" s="1136"/>
      <c r="DI1283" s="1136"/>
    </row>
    <row r="1284" spans="1:113" ht="15.75" x14ac:dyDescent="0.25">
      <c r="A1284" s="1430" t="s">
        <v>1840</v>
      </c>
      <c r="B1284" s="1484" t="e">
        <f>B1238+B1262</f>
        <v>#VALUE!</v>
      </c>
      <c r="C1284" s="1639"/>
      <c r="D1284" s="1639"/>
      <c r="E1284" s="1639"/>
      <c r="F1284" s="1639"/>
      <c r="G1284" s="1639"/>
      <c r="H1284" s="1136"/>
      <c r="I1284" s="1136"/>
      <c r="J1284" s="1136"/>
      <c r="K1284" s="1136"/>
      <c r="L1284" s="1136"/>
      <c r="M1284" s="1136"/>
      <c r="N1284" s="1136"/>
      <c r="O1284" s="1136"/>
      <c r="P1284" s="1136"/>
      <c r="Q1284" s="1136"/>
      <c r="R1284" s="1136"/>
      <c r="S1284" s="1136"/>
      <c r="T1284" s="1136"/>
      <c r="U1284" s="1136"/>
      <c r="V1284" s="1136"/>
      <c r="W1284" s="1136"/>
      <c r="X1284" s="1136"/>
      <c r="Y1284" s="1136"/>
      <c r="Z1284" s="1136"/>
      <c r="AA1284" s="1136"/>
      <c r="AB1284" s="1136"/>
      <c r="AC1284" s="1136"/>
      <c r="AD1284" s="1136"/>
      <c r="AE1284" s="1136"/>
      <c r="AF1284" s="1136"/>
      <c r="AG1284" s="1136"/>
      <c r="AH1284" s="1136"/>
      <c r="AI1284" s="1136"/>
      <c r="AJ1284" s="1136"/>
      <c r="AK1284" s="1136"/>
      <c r="AL1284" s="1136"/>
      <c r="AM1284" s="1136"/>
      <c r="AN1284" s="1136"/>
      <c r="AO1284" s="1136"/>
      <c r="AP1284" s="1136"/>
      <c r="AQ1284" s="1136"/>
      <c r="AR1284" s="1136"/>
      <c r="AS1284" s="1136"/>
      <c r="AT1284" s="1136"/>
      <c r="AU1284" s="1136"/>
      <c r="AV1284" s="1136"/>
      <c r="AW1284" s="1136"/>
      <c r="AX1284" s="1136"/>
      <c r="AY1284" s="1136"/>
      <c r="AZ1284" s="1136"/>
      <c r="BA1284" s="1136"/>
      <c r="BB1284" s="1136"/>
      <c r="BC1284" s="1136"/>
      <c r="BD1284" s="1136"/>
      <c r="BE1284" s="1136"/>
      <c r="BF1284" s="1136"/>
      <c r="BG1284" s="1136"/>
      <c r="BH1284" s="1136"/>
      <c r="BI1284" s="1136"/>
      <c r="BJ1284" s="1136"/>
      <c r="BK1284" s="1136"/>
      <c r="BL1284" s="1136"/>
      <c r="BM1284" s="1136"/>
      <c r="BN1284" s="1136"/>
      <c r="BO1284" s="1136"/>
      <c r="BP1284" s="1136"/>
      <c r="BQ1284" s="1136"/>
      <c r="BR1284" s="1136"/>
      <c r="BS1284" s="1136"/>
      <c r="BT1284" s="1136"/>
      <c r="BU1284" s="1136"/>
      <c r="BV1284" s="1136"/>
      <c r="BW1284" s="1136"/>
      <c r="BX1284" s="1136"/>
      <c r="BY1284" s="1136"/>
      <c r="BZ1284" s="1136"/>
      <c r="CA1284" s="1136"/>
      <c r="CB1284" s="1136"/>
      <c r="CC1284" s="1136"/>
      <c r="CD1284" s="1136"/>
      <c r="CE1284" s="1136"/>
      <c r="CF1284" s="1136"/>
      <c r="CG1284" s="1136"/>
      <c r="CH1284" s="1136"/>
      <c r="CI1284" s="1136"/>
      <c r="CJ1284" s="1136"/>
      <c r="CK1284" s="1136"/>
      <c r="CL1284" s="1136"/>
      <c r="CM1284" s="1136"/>
      <c r="CN1284" s="1136"/>
      <c r="CO1284" s="1136"/>
      <c r="CP1284" s="1136"/>
      <c r="CQ1284" s="1136"/>
      <c r="CR1284" s="1136"/>
      <c r="CS1284" s="1136"/>
      <c r="CT1284" s="1136"/>
      <c r="CU1284" s="1136"/>
      <c r="CV1284" s="1136"/>
      <c r="CW1284" s="1136"/>
      <c r="CX1284" s="1136"/>
      <c r="CY1284" s="1136"/>
      <c r="CZ1284" s="1136"/>
      <c r="DA1284" s="1136"/>
      <c r="DB1284" s="1136"/>
      <c r="DC1284" s="1136"/>
      <c r="DD1284" s="1136"/>
      <c r="DE1284" s="1136"/>
      <c r="DF1284" s="1136"/>
      <c r="DG1284" s="1136"/>
      <c r="DH1284" s="1136"/>
      <c r="DI1284" s="1136"/>
    </row>
    <row r="1285" spans="1:113" ht="15.75" x14ac:dyDescent="0.25">
      <c r="A1285" s="1430" t="s">
        <v>1841</v>
      </c>
      <c r="B1285" s="1484" t="e">
        <f>B1239+B1263</f>
        <v>#VALUE!</v>
      </c>
      <c r="C1285" s="1639"/>
      <c r="D1285" s="1639"/>
      <c r="E1285" s="1639"/>
      <c r="F1285" s="1639"/>
      <c r="G1285" s="1639"/>
      <c r="H1285" s="1136"/>
      <c r="I1285" s="1136"/>
      <c r="J1285" s="1136"/>
      <c r="K1285" s="1136"/>
      <c r="L1285" s="1136"/>
      <c r="M1285" s="1136"/>
      <c r="N1285" s="1136"/>
      <c r="O1285" s="1136"/>
      <c r="P1285" s="1136"/>
      <c r="Q1285" s="1136"/>
      <c r="R1285" s="1136"/>
      <c r="S1285" s="1136"/>
      <c r="T1285" s="1136"/>
      <c r="U1285" s="1136"/>
      <c r="V1285" s="1136"/>
      <c r="W1285" s="1136"/>
      <c r="X1285" s="1136"/>
      <c r="Y1285" s="1136"/>
      <c r="Z1285" s="1136"/>
      <c r="AA1285" s="1136"/>
      <c r="AB1285" s="1136"/>
      <c r="AC1285" s="1136"/>
      <c r="AD1285" s="1136"/>
      <c r="AE1285" s="1136"/>
      <c r="AF1285" s="1136"/>
      <c r="AG1285" s="1136"/>
      <c r="AH1285" s="1136"/>
      <c r="AI1285" s="1136"/>
      <c r="AJ1285" s="1136"/>
      <c r="AK1285" s="1136"/>
      <c r="AL1285" s="1136"/>
      <c r="AM1285" s="1136"/>
      <c r="AN1285" s="1136"/>
      <c r="AO1285" s="1136"/>
      <c r="AP1285" s="1136"/>
      <c r="AQ1285" s="1136"/>
      <c r="AR1285" s="1136"/>
      <c r="AS1285" s="1136"/>
      <c r="AT1285" s="1136"/>
      <c r="AU1285" s="1136"/>
      <c r="AV1285" s="1136"/>
      <c r="AW1285" s="1136"/>
      <c r="AX1285" s="1136"/>
      <c r="AY1285" s="1136"/>
      <c r="AZ1285" s="1136"/>
      <c r="BA1285" s="1136"/>
      <c r="BB1285" s="1136"/>
      <c r="BC1285" s="1136"/>
      <c r="BD1285" s="1136"/>
      <c r="BE1285" s="1136"/>
      <c r="BF1285" s="1136"/>
      <c r="BG1285" s="1136"/>
      <c r="BH1285" s="1136"/>
      <c r="BI1285" s="1136"/>
      <c r="BJ1285" s="1136"/>
      <c r="BK1285" s="1136"/>
      <c r="BL1285" s="1136"/>
      <c r="BM1285" s="1136"/>
      <c r="BN1285" s="1136"/>
      <c r="BO1285" s="1136"/>
      <c r="BP1285" s="1136"/>
      <c r="BQ1285" s="1136"/>
      <c r="BR1285" s="1136"/>
      <c r="BS1285" s="1136"/>
      <c r="BT1285" s="1136"/>
      <c r="BU1285" s="1136"/>
      <c r="BV1285" s="1136"/>
      <c r="BW1285" s="1136"/>
      <c r="BX1285" s="1136"/>
      <c r="BY1285" s="1136"/>
      <c r="BZ1285" s="1136"/>
      <c r="CA1285" s="1136"/>
      <c r="CB1285" s="1136"/>
      <c r="CC1285" s="1136"/>
      <c r="CD1285" s="1136"/>
      <c r="CE1285" s="1136"/>
      <c r="CF1285" s="1136"/>
      <c r="CG1285" s="1136"/>
      <c r="CH1285" s="1136"/>
      <c r="CI1285" s="1136"/>
      <c r="CJ1285" s="1136"/>
      <c r="CK1285" s="1136"/>
      <c r="CL1285" s="1136"/>
      <c r="CM1285" s="1136"/>
      <c r="CN1285" s="1136"/>
      <c r="CO1285" s="1136"/>
      <c r="CP1285" s="1136"/>
      <c r="CQ1285" s="1136"/>
      <c r="CR1285" s="1136"/>
      <c r="CS1285" s="1136"/>
      <c r="CT1285" s="1136"/>
      <c r="CU1285" s="1136"/>
      <c r="CV1285" s="1136"/>
      <c r="CW1285" s="1136"/>
      <c r="CX1285" s="1136"/>
      <c r="CY1285" s="1136"/>
      <c r="CZ1285" s="1136"/>
      <c r="DA1285" s="1136"/>
      <c r="DB1285" s="1136"/>
      <c r="DC1285" s="1136"/>
      <c r="DD1285" s="1136"/>
      <c r="DE1285" s="1136"/>
      <c r="DF1285" s="1136"/>
      <c r="DG1285" s="1136"/>
      <c r="DH1285" s="1136"/>
      <c r="DI1285" s="1136"/>
    </row>
    <row r="1286" spans="1:113" ht="15.75" x14ac:dyDescent="0.25">
      <c r="A1286" s="1430" t="s">
        <v>1842</v>
      </c>
      <c r="B1286" s="1484" t="e">
        <f>B1247+B1271</f>
        <v>#VALUE!</v>
      </c>
      <c r="C1286" s="1639"/>
      <c r="D1286" s="1639"/>
      <c r="E1286" s="1639"/>
      <c r="F1286" s="1639"/>
      <c r="G1286" s="1639"/>
      <c r="H1286" s="1136"/>
      <c r="I1286" s="1136"/>
      <c r="J1286" s="1136"/>
      <c r="K1286" s="1136"/>
      <c r="L1286" s="1136"/>
      <c r="M1286" s="1136"/>
      <c r="N1286" s="1136"/>
      <c r="O1286" s="1136"/>
      <c r="P1286" s="1136"/>
      <c r="Q1286" s="1136"/>
      <c r="R1286" s="1136"/>
      <c r="S1286" s="1136"/>
      <c r="T1286" s="1136"/>
      <c r="U1286" s="1136"/>
      <c r="V1286" s="1136"/>
      <c r="W1286" s="1136"/>
      <c r="X1286" s="1136"/>
      <c r="Y1286" s="1136"/>
      <c r="Z1286" s="1136"/>
      <c r="AA1286" s="1136"/>
      <c r="AB1286" s="1136"/>
      <c r="AC1286" s="1136"/>
      <c r="AD1286" s="1136"/>
      <c r="AE1286" s="1136"/>
      <c r="AF1286" s="1136"/>
      <c r="AG1286" s="1136"/>
      <c r="AH1286" s="1136"/>
      <c r="AI1286" s="1136"/>
      <c r="AJ1286" s="1136"/>
      <c r="AK1286" s="1136"/>
      <c r="AL1286" s="1136"/>
      <c r="AM1286" s="1136"/>
      <c r="AN1286" s="1136"/>
      <c r="AO1286" s="1136"/>
      <c r="AP1286" s="1136"/>
      <c r="AQ1286" s="1136"/>
      <c r="AR1286" s="1136"/>
      <c r="AS1286" s="1136"/>
      <c r="AT1286" s="1136"/>
      <c r="AU1286" s="1136"/>
      <c r="AV1286" s="1136"/>
      <c r="AW1286" s="1136"/>
      <c r="AX1286" s="1136"/>
      <c r="AY1286" s="1136"/>
      <c r="AZ1286" s="1136"/>
      <c r="BA1286" s="1136"/>
      <c r="BB1286" s="1136"/>
      <c r="BC1286" s="1136"/>
      <c r="BD1286" s="1136"/>
      <c r="BE1286" s="1136"/>
      <c r="BF1286" s="1136"/>
      <c r="BG1286" s="1136"/>
      <c r="BH1286" s="1136"/>
      <c r="BI1286" s="1136"/>
      <c r="BJ1286" s="1136"/>
      <c r="BK1286" s="1136"/>
      <c r="BL1286" s="1136"/>
      <c r="BM1286" s="1136"/>
      <c r="BN1286" s="1136"/>
      <c r="BO1286" s="1136"/>
      <c r="BP1286" s="1136"/>
      <c r="BQ1286" s="1136"/>
      <c r="BR1286" s="1136"/>
      <c r="BS1286" s="1136"/>
      <c r="BT1286" s="1136"/>
      <c r="BU1286" s="1136"/>
      <c r="BV1286" s="1136"/>
      <c r="BW1286" s="1136"/>
      <c r="BX1286" s="1136"/>
      <c r="BY1286" s="1136"/>
      <c r="BZ1286" s="1136"/>
      <c r="CA1286" s="1136"/>
      <c r="CB1286" s="1136"/>
      <c r="CC1286" s="1136"/>
      <c r="CD1286" s="1136"/>
      <c r="CE1286" s="1136"/>
      <c r="CF1286" s="1136"/>
      <c r="CG1286" s="1136"/>
      <c r="CH1286" s="1136"/>
      <c r="CI1286" s="1136"/>
      <c r="CJ1286" s="1136"/>
      <c r="CK1286" s="1136"/>
      <c r="CL1286" s="1136"/>
      <c r="CM1286" s="1136"/>
      <c r="CN1286" s="1136"/>
      <c r="CO1286" s="1136"/>
      <c r="CP1286" s="1136"/>
      <c r="CQ1286" s="1136"/>
      <c r="CR1286" s="1136"/>
      <c r="CS1286" s="1136"/>
      <c r="CT1286" s="1136"/>
      <c r="CU1286" s="1136"/>
      <c r="CV1286" s="1136"/>
      <c r="CW1286" s="1136"/>
      <c r="CX1286" s="1136"/>
      <c r="CY1286" s="1136"/>
      <c r="CZ1286" s="1136"/>
      <c r="DA1286" s="1136"/>
      <c r="DB1286" s="1136"/>
      <c r="DC1286" s="1136"/>
      <c r="DD1286" s="1136"/>
      <c r="DE1286" s="1136"/>
      <c r="DF1286" s="1136"/>
      <c r="DG1286" s="1136"/>
      <c r="DH1286" s="1136"/>
      <c r="DI1286" s="1136"/>
    </row>
    <row r="1287" spans="1:113" ht="15.75" x14ac:dyDescent="0.25">
      <c r="A1287" s="1417" t="s">
        <v>1843</v>
      </c>
      <c r="B1287" s="1484"/>
      <c r="C1287" s="1639"/>
      <c r="D1287" s="1639"/>
      <c r="E1287" s="1639"/>
      <c r="F1287" s="1639"/>
      <c r="G1287" s="1639"/>
      <c r="H1287" s="1136"/>
      <c r="I1287" s="1136"/>
      <c r="J1287" s="1136"/>
      <c r="K1287" s="1136"/>
      <c r="L1287" s="1136"/>
      <c r="M1287" s="1136"/>
      <c r="N1287" s="1136"/>
      <c r="O1287" s="1136"/>
      <c r="P1287" s="1136"/>
      <c r="Q1287" s="1136"/>
      <c r="R1287" s="1136"/>
      <c r="S1287" s="1136"/>
      <c r="T1287" s="1136"/>
      <c r="U1287" s="1136"/>
      <c r="V1287" s="1136"/>
      <c r="W1287" s="1136"/>
      <c r="X1287" s="1136"/>
      <c r="Y1287" s="1136"/>
      <c r="Z1287" s="1136"/>
      <c r="AA1287" s="1136"/>
      <c r="AB1287" s="1136"/>
      <c r="AC1287" s="1136"/>
      <c r="AD1287" s="1136"/>
      <c r="AE1287" s="1136"/>
      <c r="AF1287" s="1136"/>
      <c r="AG1287" s="1136"/>
      <c r="AH1287" s="1136"/>
      <c r="AI1287" s="1136"/>
      <c r="AJ1287" s="1136"/>
      <c r="AK1287" s="1136"/>
      <c r="AL1287" s="1136"/>
      <c r="AM1287" s="1136"/>
      <c r="AN1287" s="1136"/>
      <c r="AO1287" s="1136"/>
      <c r="AP1287" s="1136"/>
      <c r="AQ1287" s="1136"/>
      <c r="AR1287" s="1136"/>
      <c r="AS1287" s="1136"/>
      <c r="AT1287" s="1136"/>
      <c r="AU1287" s="1136"/>
      <c r="AV1287" s="1136"/>
      <c r="AW1287" s="1136"/>
      <c r="AX1287" s="1136"/>
      <c r="AY1287" s="1136"/>
      <c r="AZ1287" s="1136"/>
      <c r="BA1287" s="1136"/>
      <c r="BB1287" s="1136"/>
      <c r="BC1287" s="1136"/>
      <c r="BD1287" s="1136"/>
      <c r="BE1287" s="1136"/>
      <c r="BF1287" s="1136"/>
      <c r="BG1287" s="1136"/>
      <c r="BH1287" s="1136"/>
      <c r="BI1287" s="1136"/>
      <c r="BJ1287" s="1136"/>
      <c r="BK1287" s="1136"/>
      <c r="BL1287" s="1136"/>
      <c r="BM1287" s="1136"/>
      <c r="BN1287" s="1136"/>
      <c r="BO1287" s="1136"/>
      <c r="BP1287" s="1136"/>
      <c r="BQ1287" s="1136"/>
      <c r="BR1287" s="1136"/>
      <c r="BS1287" s="1136"/>
      <c r="BT1287" s="1136"/>
      <c r="BU1287" s="1136"/>
      <c r="BV1287" s="1136"/>
      <c r="BW1287" s="1136"/>
      <c r="BX1287" s="1136"/>
      <c r="BY1287" s="1136"/>
      <c r="BZ1287" s="1136"/>
      <c r="CA1287" s="1136"/>
      <c r="CB1287" s="1136"/>
      <c r="CC1287" s="1136"/>
      <c r="CD1287" s="1136"/>
      <c r="CE1287" s="1136"/>
      <c r="CF1287" s="1136"/>
      <c r="CG1287" s="1136"/>
      <c r="CH1287" s="1136"/>
      <c r="CI1287" s="1136"/>
      <c r="CJ1287" s="1136"/>
      <c r="CK1287" s="1136"/>
      <c r="CL1287" s="1136"/>
      <c r="CM1287" s="1136"/>
      <c r="CN1287" s="1136"/>
      <c r="CO1287" s="1136"/>
      <c r="CP1287" s="1136"/>
      <c r="CQ1287" s="1136"/>
      <c r="CR1287" s="1136"/>
      <c r="CS1287" s="1136"/>
      <c r="CT1287" s="1136"/>
      <c r="CU1287" s="1136"/>
      <c r="CV1287" s="1136"/>
      <c r="CW1287" s="1136"/>
      <c r="CX1287" s="1136"/>
      <c r="CY1287" s="1136"/>
      <c r="CZ1287" s="1136"/>
      <c r="DA1287" s="1136"/>
      <c r="DB1287" s="1136"/>
      <c r="DC1287" s="1136"/>
      <c r="DD1287" s="1136"/>
      <c r="DE1287" s="1136"/>
      <c r="DF1287" s="1136"/>
      <c r="DG1287" s="1136"/>
      <c r="DH1287" s="1136"/>
      <c r="DI1287" s="1136"/>
    </row>
    <row r="1288" spans="1:113" ht="15.75" x14ac:dyDescent="0.25">
      <c r="A1288" s="1430" t="s">
        <v>2750</v>
      </c>
      <c r="B1288" s="1484" t="e">
        <f>B1241+B1265</f>
        <v>#VALUE!</v>
      </c>
      <c r="C1288" s="1639"/>
      <c r="D1288" s="1136"/>
      <c r="E1288" s="1136"/>
      <c r="F1288" s="1136"/>
      <c r="G1288" s="1136"/>
      <c r="H1288" s="1136"/>
      <c r="I1288" s="1136"/>
      <c r="J1288" s="1136"/>
      <c r="K1288" s="1136"/>
      <c r="L1288" s="1136"/>
      <c r="M1288" s="1136"/>
      <c r="N1288" s="1136"/>
      <c r="O1288" s="1136"/>
      <c r="P1288" s="1136"/>
      <c r="Q1288" s="1136"/>
      <c r="R1288" s="1136"/>
      <c r="S1288" s="1136"/>
      <c r="T1288" s="1136"/>
      <c r="U1288" s="1136"/>
      <c r="V1288" s="1136"/>
      <c r="W1288" s="1136"/>
      <c r="X1288" s="1136"/>
      <c r="Y1288" s="1136"/>
      <c r="Z1288" s="1136"/>
      <c r="AA1288" s="1136"/>
      <c r="AB1288" s="1136"/>
      <c r="AC1288" s="1136"/>
      <c r="AD1288" s="1136"/>
      <c r="AE1288" s="1136"/>
      <c r="AF1288" s="1136"/>
      <c r="AG1288" s="1136"/>
      <c r="AH1288" s="1136"/>
      <c r="AI1288" s="1136"/>
      <c r="AJ1288" s="1136"/>
      <c r="AK1288" s="1136"/>
      <c r="AL1288" s="1136"/>
      <c r="AM1288" s="1136"/>
      <c r="AN1288" s="1136"/>
      <c r="AO1288" s="1136"/>
      <c r="AP1288" s="1136"/>
      <c r="AQ1288" s="1136"/>
      <c r="AR1288" s="1136"/>
      <c r="AS1288" s="1136"/>
      <c r="AT1288" s="1136"/>
      <c r="AU1288" s="1136"/>
      <c r="AV1288" s="1136"/>
      <c r="AW1288" s="1136"/>
      <c r="AX1288" s="1136"/>
      <c r="AY1288" s="1136"/>
      <c r="AZ1288" s="1136"/>
      <c r="BA1288" s="1136"/>
      <c r="BB1288" s="1136"/>
      <c r="BC1288" s="1136"/>
      <c r="BD1288" s="1136"/>
      <c r="BE1288" s="1136"/>
      <c r="BF1288" s="1136"/>
      <c r="BG1288" s="1136"/>
      <c r="BH1288" s="1136"/>
      <c r="BI1288" s="1136"/>
      <c r="BJ1288" s="1136"/>
      <c r="BK1288" s="1136"/>
      <c r="BL1288" s="1136"/>
      <c r="BM1288" s="1136"/>
      <c r="BN1288" s="1136"/>
      <c r="BO1288" s="1136"/>
      <c r="BP1288" s="1136"/>
      <c r="BQ1288" s="1136"/>
      <c r="BR1288" s="1136"/>
      <c r="BS1288" s="1136"/>
      <c r="BT1288" s="1136"/>
      <c r="BU1288" s="1136"/>
      <c r="BV1288" s="1136"/>
      <c r="BW1288" s="1136"/>
      <c r="BX1288" s="1136"/>
      <c r="BY1288" s="1136"/>
      <c r="BZ1288" s="1136"/>
      <c r="CA1288" s="1136"/>
      <c r="CB1288" s="1136"/>
      <c r="CC1288" s="1136"/>
      <c r="CD1288" s="1136"/>
      <c r="CE1288" s="1136"/>
      <c r="CF1288" s="1136"/>
      <c r="CG1288" s="1136"/>
      <c r="CH1288" s="1136"/>
      <c r="CI1288" s="1136"/>
      <c r="CJ1288" s="1136"/>
      <c r="CK1288" s="1136"/>
      <c r="CL1288" s="1136"/>
      <c r="CM1288" s="1136"/>
      <c r="CN1288" s="1136"/>
      <c r="CO1288" s="1136"/>
      <c r="CP1288" s="1136"/>
      <c r="CQ1288" s="1136"/>
      <c r="CR1288" s="1136"/>
      <c r="CS1288" s="1136"/>
      <c r="CT1288" s="1136"/>
      <c r="CU1288" s="1136"/>
      <c r="CV1288" s="1136"/>
      <c r="CW1288" s="1136"/>
      <c r="CX1288" s="1136"/>
      <c r="CY1288" s="1136"/>
      <c r="CZ1288" s="1136"/>
      <c r="DA1288" s="1136"/>
      <c r="DB1288" s="1136"/>
      <c r="DC1288" s="1136"/>
      <c r="DD1288" s="1136"/>
      <c r="DE1288" s="1136"/>
      <c r="DF1288" s="1136"/>
      <c r="DG1288" s="1136"/>
      <c r="DH1288" s="1136"/>
      <c r="DI1288" s="1136"/>
    </row>
    <row r="1289" spans="1:113" ht="15.75" x14ac:dyDescent="0.25">
      <c r="A1289" s="1430" t="s">
        <v>1840</v>
      </c>
      <c r="B1289" s="1484" t="e">
        <f>B1242+B1266</f>
        <v>#VALUE!</v>
      </c>
      <c r="C1289" s="1639"/>
      <c r="D1289" s="1639"/>
      <c r="E1289" s="1639"/>
      <c r="F1289" s="1639"/>
      <c r="G1289" s="1639"/>
      <c r="H1289" s="1136"/>
      <c r="I1289" s="1136"/>
      <c r="J1289" s="1136"/>
      <c r="K1289" s="1136"/>
      <c r="L1289" s="1136"/>
      <c r="M1289" s="1136"/>
      <c r="N1289" s="1136"/>
      <c r="O1289" s="1136"/>
      <c r="P1289" s="1136"/>
      <c r="Q1289" s="1136"/>
      <c r="R1289" s="1136"/>
      <c r="S1289" s="1136"/>
      <c r="T1289" s="1136"/>
      <c r="U1289" s="1136"/>
      <c r="V1289" s="1136"/>
      <c r="W1289" s="1136"/>
      <c r="X1289" s="1136"/>
      <c r="Y1289" s="1136"/>
      <c r="Z1289" s="1136"/>
      <c r="AA1289" s="1136"/>
      <c r="AB1289" s="1136"/>
      <c r="AC1289" s="1136"/>
      <c r="AD1289" s="1136"/>
      <c r="AE1289" s="1136"/>
      <c r="AF1289" s="1136"/>
      <c r="AG1289" s="1136"/>
      <c r="AH1289" s="1136"/>
      <c r="AI1289" s="1136"/>
      <c r="AJ1289" s="1136"/>
      <c r="AK1289" s="1136"/>
      <c r="AL1289" s="1136"/>
      <c r="AM1289" s="1136"/>
      <c r="AN1289" s="1136"/>
      <c r="AO1289" s="1136"/>
      <c r="AP1289" s="1136"/>
      <c r="AQ1289" s="1136"/>
      <c r="AR1289" s="1136"/>
      <c r="AS1289" s="1136"/>
      <c r="AT1289" s="1136"/>
      <c r="AU1289" s="1136"/>
      <c r="AV1289" s="1136"/>
      <c r="AW1289" s="1136"/>
      <c r="AX1289" s="1136"/>
      <c r="AY1289" s="1136"/>
      <c r="AZ1289" s="1136"/>
      <c r="BA1289" s="1136"/>
      <c r="BB1289" s="1136"/>
      <c r="BC1289" s="1136"/>
      <c r="BD1289" s="1136"/>
      <c r="BE1289" s="1136"/>
      <c r="BF1289" s="1136"/>
      <c r="BG1289" s="1136"/>
      <c r="BH1289" s="1136"/>
      <c r="BI1289" s="1136"/>
      <c r="BJ1289" s="1136"/>
      <c r="BK1289" s="1136"/>
      <c r="BL1289" s="1136"/>
      <c r="BM1289" s="1136"/>
      <c r="BN1289" s="1136"/>
      <c r="BO1289" s="1136"/>
      <c r="BP1289" s="1136"/>
      <c r="BQ1289" s="1136"/>
      <c r="BR1289" s="1136"/>
      <c r="BS1289" s="1136"/>
      <c r="BT1289" s="1136"/>
      <c r="BU1289" s="1136"/>
      <c r="BV1289" s="1136"/>
      <c r="BW1289" s="1136"/>
      <c r="BX1289" s="1136"/>
      <c r="BY1289" s="1136"/>
      <c r="BZ1289" s="1136"/>
      <c r="CA1289" s="1136"/>
      <c r="CB1289" s="1136"/>
      <c r="CC1289" s="1136"/>
      <c r="CD1289" s="1136"/>
      <c r="CE1289" s="1136"/>
      <c r="CF1289" s="1136"/>
      <c r="CG1289" s="1136"/>
      <c r="CH1289" s="1136"/>
      <c r="CI1289" s="1136"/>
      <c r="CJ1289" s="1136"/>
      <c r="CK1289" s="1136"/>
      <c r="CL1289" s="1136"/>
      <c r="CM1289" s="1136"/>
      <c r="CN1289" s="1136"/>
      <c r="CO1289" s="1136"/>
      <c r="CP1289" s="1136"/>
      <c r="CQ1289" s="1136"/>
      <c r="CR1289" s="1136"/>
      <c r="CS1289" s="1136"/>
      <c r="CT1289" s="1136"/>
      <c r="CU1289" s="1136"/>
      <c r="CV1289" s="1136"/>
      <c r="CW1289" s="1136"/>
      <c r="CX1289" s="1136"/>
      <c r="CY1289" s="1136"/>
      <c r="CZ1289" s="1136"/>
      <c r="DA1289" s="1136"/>
      <c r="DB1289" s="1136"/>
      <c r="DC1289" s="1136"/>
      <c r="DD1289" s="1136"/>
      <c r="DE1289" s="1136"/>
      <c r="DF1289" s="1136"/>
      <c r="DG1289" s="1136"/>
      <c r="DH1289" s="1136"/>
      <c r="DI1289" s="1136"/>
    </row>
    <row r="1290" spans="1:113" ht="15.75" x14ac:dyDescent="0.25">
      <c r="A1290" s="1430" t="s">
        <v>1841</v>
      </c>
      <c r="B1290" s="1484" t="e">
        <f>B1243+B1267</f>
        <v>#VALUE!</v>
      </c>
      <c r="C1290" s="1639"/>
      <c r="D1290" s="1639"/>
      <c r="E1290" s="1639"/>
      <c r="F1290" s="1639"/>
      <c r="G1290" s="1639"/>
      <c r="H1290" s="1136"/>
      <c r="I1290" s="1136"/>
      <c r="J1290" s="1136"/>
      <c r="K1290" s="1136"/>
      <c r="L1290" s="1136"/>
      <c r="M1290" s="1136"/>
      <c r="N1290" s="1136"/>
      <c r="O1290" s="1136"/>
      <c r="P1290" s="1136"/>
      <c r="Q1290" s="1136"/>
      <c r="R1290" s="1136"/>
      <c r="S1290" s="1136"/>
      <c r="T1290" s="1136"/>
      <c r="U1290" s="1136"/>
      <c r="V1290" s="1136"/>
      <c r="W1290" s="1136"/>
      <c r="X1290" s="1136"/>
      <c r="Y1290" s="1136"/>
      <c r="Z1290" s="1136"/>
      <c r="AA1290" s="1136"/>
      <c r="AB1290" s="1136"/>
      <c r="AC1290" s="1136"/>
      <c r="AD1290" s="1136"/>
      <c r="AE1290" s="1136"/>
      <c r="AF1290" s="1136"/>
      <c r="AG1290" s="1136"/>
      <c r="AH1290" s="1136"/>
      <c r="AI1290" s="1136"/>
      <c r="AJ1290" s="1136"/>
      <c r="AK1290" s="1136"/>
      <c r="AL1290" s="1136"/>
      <c r="AM1290" s="1136"/>
      <c r="AN1290" s="1136"/>
      <c r="AO1290" s="1136"/>
      <c r="AP1290" s="1136"/>
      <c r="AQ1290" s="1136"/>
      <c r="AR1290" s="1136"/>
      <c r="AS1290" s="1136"/>
      <c r="AT1290" s="1136"/>
      <c r="AU1290" s="1136"/>
      <c r="AV1290" s="1136"/>
      <c r="AW1290" s="1136"/>
      <c r="AX1290" s="1136"/>
      <c r="AY1290" s="1136"/>
      <c r="AZ1290" s="1136"/>
      <c r="BA1290" s="1136"/>
      <c r="BB1290" s="1136"/>
      <c r="BC1290" s="1136"/>
      <c r="BD1290" s="1136"/>
      <c r="BE1290" s="1136"/>
      <c r="BF1290" s="1136"/>
      <c r="BG1290" s="1136"/>
      <c r="BH1290" s="1136"/>
      <c r="BI1290" s="1136"/>
      <c r="BJ1290" s="1136"/>
      <c r="BK1290" s="1136"/>
      <c r="BL1290" s="1136"/>
      <c r="BM1290" s="1136"/>
      <c r="BN1290" s="1136"/>
      <c r="BO1290" s="1136"/>
      <c r="BP1290" s="1136"/>
      <c r="BQ1290" s="1136"/>
      <c r="BR1290" s="1136"/>
      <c r="BS1290" s="1136"/>
      <c r="BT1290" s="1136"/>
      <c r="BU1290" s="1136"/>
      <c r="BV1290" s="1136"/>
      <c r="BW1290" s="1136"/>
      <c r="BX1290" s="1136"/>
      <c r="BY1290" s="1136"/>
      <c r="BZ1290" s="1136"/>
      <c r="CA1290" s="1136"/>
      <c r="CB1290" s="1136"/>
      <c r="CC1290" s="1136"/>
      <c r="CD1290" s="1136"/>
      <c r="CE1290" s="1136"/>
      <c r="CF1290" s="1136"/>
      <c r="CG1290" s="1136"/>
      <c r="CH1290" s="1136"/>
      <c r="CI1290" s="1136"/>
      <c r="CJ1290" s="1136"/>
      <c r="CK1290" s="1136"/>
      <c r="CL1290" s="1136"/>
      <c r="CM1290" s="1136"/>
      <c r="CN1290" s="1136"/>
      <c r="CO1290" s="1136"/>
      <c r="CP1290" s="1136"/>
      <c r="CQ1290" s="1136"/>
      <c r="CR1290" s="1136"/>
      <c r="CS1290" s="1136"/>
      <c r="CT1290" s="1136"/>
      <c r="CU1290" s="1136"/>
      <c r="CV1290" s="1136"/>
      <c r="CW1290" s="1136"/>
      <c r="CX1290" s="1136"/>
      <c r="CY1290" s="1136"/>
      <c r="CZ1290" s="1136"/>
      <c r="DA1290" s="1136"/>
      <c r="DB1290" s="1136"/>
      <c r="DC1290" s="1136"/>
      <c r="DD1290" s="1136"/>
      <c r="DE1290" s="1136"/>
      <c r="DF1290" s="1136"/>
      <c r="DG1290" s="1136"/>
      <c r="DH1290" s="1136"/>
      <c r="DI1290" s="1136"/>
    </row>
    <row r="1291" spans="1:113" ht="15.75" x14ac:dyDescent="0.25">
      <c r="A1291" s="1430" t="s">
        <v>1842</v>
      </c>
      <c r="B1291" s="1484" t="e">
        <f>B1250+B1274</f>
        <v>#VALUE!</v>
      </c>
      <c r="C1291" s="1639"/>
      <c r="D1291" s="1639"/>
      <c r="E1291" s="1639"/>
      <c r="F1291" s="1639"/>
      <c r="G1291" s="1639"/>
      <c r="H1291" s="1136"/>
      <c r="I1291" s="1136"/>
      <c r="J1291" s="1136"/>
      <c r="K1291" s="1136"/>
      <c r="L1291" s="1136"/>
      <c r="M1291" s="1136"/>
      <c r="N1291" s="1136"/>
      <c r="O1291" s="1136"/>
      <c r="P1291" s="1136"/>
      <c r="Q1291" s="1136"/>
      <c r="R1291" s="1136"/>
      <c r="S1291" s="1136"/>
      <c r="T1291" s="1136"/>
      <c r="U1291" s="1136"/>
      <c r="V1291" s="1136"/>
      <c r="W1291" s="1136"/>
      <c r="X1291" s="1136"/>
      <c r="Y1291" s="1136"/>
      <c r="Z1291" s="1136"/>
      <c r="AA1291" s="1136"/>
      <c r="AB1291" s="1136"/>
      <c r="AC1291" s="1136"/>
      <c r="AD1291" s="1136"/>
      <c r="AE1291" s="1136"/>
      <c r="AF1291" s="1136"/>
      <c r="AG1291" s="1136"/>
      <c r="AH1291" s="1136"/>
      <c r="AI1291" s="1136"/>
      <c r="AJ1291" s="1136"/>
      <c r="AK1291" s="1136"/>
      <c r="AL1291" s="1136"/>
      <c r="AM1291" s="1136"/>
      <c r="AN1291" s="1136"/>
      <c r="AO1291" s="1136"/>
      <c r="AP1291" s="1136"/>
      <c r="AQ1291" s="1136"/>
      <c r="AR1291" s="1136"/>
      <c r="AS1291" s="1136"/>
      <c r="AT1291" s="1136"/>
      <c r="AU1291" s="1136"/>
      <c r="AV1291" s="1136"/>
      <c r="AW1291" s="1136"/>
      <c r="AX1291" s="1136"/>
      <c r="AY1291" s="1136"/>
      <c r="AZ1291" s="1136"/>
      <c r="BA1291" s="1136"/>
      <c r="BB1291" s="1136"/>
      <c r="BC1291" s="1136"/>
      <c r="BD1291" s="1136"/>
      <c r="BE1291" s="1136"/>
      <c r="BF1291" s="1136"/>
      <c r="BG1291" s="1136"/>
      <c r="BH1291" s="1136"/>
      <c r="BI1291" s="1136"/>
      <c r="BJ1291" s="1136"/>
      <c r="BK1291" s="1136"/>
      <c r="BL1291" s="1136"/>
      <c r="BM1291" s="1136"/>
      <c r="BN1291" s="1136"/>
      <c r="BO1291" s="1136"/>
      <c r="BP1291" s="1136"/>
      <c r="BQ1291" s="1136"/>
      <c r="BR1291" s="1136"/>
      <c r="BS1291" s="1136"/>
      <c r="BT1291" s="1136"/>
      <c r="BU1291" s="1136"/>
      <c r="BV1291" s="1136"/>
      <c r="BW1291" s="1136"/>
      <c r="BX1291" s="1136"/>
      <c r="BY1291" s="1136"/>
      <c r="BZ1291" s="1136"/>
      <c r="CA1291" s="1136"/>
      <c r="CB1291" s="1136"/>
      <c r="CC1291" s="1136"/>
      <c r="CD1291" s="1136"/>
      <c r="CE1291" s="1136"/>
      <c r="CF1291" s="1136"/>
      <c r="CG1291" s="1136"/>
      <c r="CH1291" s="1136"/>
      <c r="CI1291" s="1136"/>
      <c r="CJ1291" s="1136"/>
      <c r="CK1291" s="1136"/>
      <c r="CL1291" s="1136"/>
      <c r="CM1291" s="1136"/>
      <c r="CN1291" s="1136"/>
      <c r="CO1291" s="1136"/>
      <c r="CP1291" s="1136"/>
      <c r="CQ1291" s="1136"/>
      <c r="CR1291" s="1136"/>
      <c r="CS1291" s="1136"/>
      <c r="CT1291" s="1136"/>
      <c r="CU1291" s="1136"/>
      <c r="CV1291" s="1136"/>
      <c r="CW1291" s="1136"/>
      <c r="CX1291" s="1136"/>
      <c r="CY1291" s="1136"/>
      <c r="CZ1291" s="1136"/>
      <c r="DA1291" s="1136"/>
      <c r="DB1291" s="1136"/>
      <c r="DC1291" s="1136"/>
      <c r="DD1291" s="1136"/>
      <c r="DE1291" s="1136"/>
      <c r="DF1291" s="1136"/>
      <c r="DG1291" s="1136"/>
      <c r="DH1291" s="1136"/>
      <c r="DI1291" s="1136"/>
    </row>
    <row r="1292" spans="1:113" ht="15.75" x14ac:dyDescent="0.25">
      <c r="A1292" s="1430" t="s">
        <v>1844</v>
      </c>
      <c r="B1292" s="1484" t="e">
        <f>B1252+B1276</f>
        <v>#VALUE!</v>
      </c>
      <c r="C1292" s="1639"/>
      <c r="D1292" s="1639"/>
      <c r="E1292" s="1639"/>
      <c r="F1292" s="1639"/>
      <c r="G1292" s="1639"/>
      <c r="H1292" s="1136"/>
      <c r="I1292" s="1136"/>
      <c r="J1292" s="1136"/>
      <c r="K1292" s="1136"/>
      <c r="L1292" s="1136"/>
      <c r="M1292" s="1136"/>
      <c r="N1292" s="1136"/>
      <c r="O1292" s="1136"/>
      <c r="P1292" s="1136"/>
      <c r="Q1292" s="1136"/>
      <c r="R1292" s="1136"/>
      <c r="S1292" s="1136"/>
      <c r="T1292" s="1136"/>
      <c r="U1292" s="1136"/>
      <c r="V1292" s="1136"/>
      <c r="W1292" s="1136"/>
      <c r="X1292" s="1136"/>
      <c r="Y1292" s="1136"/>
      <c r="Z1292" s="1136"/>
      <c r="AA1292" s="1136"/>
      <c r="AB1292" s="1136"/>
      <c r="AC1292" s="1136"/>
      <c r="AD1292" s="1136"/>
      <c r="AE1292" s="1136"/>
      <c r="AF1292" s="1136"/>
      <c r="AG1292" s="1136"/>
      <c r="AH1292" s="1136"/>
      <c r="AI1292" s="1136"/>
      <c r="AJ1292" s="1136"/>
      <c r="AK1292" s="1136"/>
      <c r="AL1292" s="1136"/>
      <c r="AM1292" s="1136"/>
      <c r="AN1292" s="1136"/>
      <c r="AO1292" s="1136"/>
      <c r="AP1292" s="1136"/>
      <c r="AQ1292" s="1136"/>
      <c r="AR1292" s="1136"/>
      <c r="AS1292" s="1136"/>
      <c r="AT1292" s="1136"/>
      <c r="AU1292" s="1136"/>
      <c r="AV1292" s="1136"/>
      <c r="AW1292" s="1136"/>
      <c r="AX1292" s="1136"/>
      <c r="AY1292" s="1136"/>
      <c r="AZ1292" s="1136"/>
      <c r="BA1292" s="1136"/>
      <c r="BB1292" s="1136"/>
      <c r="BC1292" s="1136"/>
      <c r="BD1292" s="1136"/>
      <c r="BE1292" s="1136"/>
      <c r="BF1292" s="1136"/>
      <c r="BG1292" s="1136"/>
      <c r="BH1292" s="1136"/>
      <c r="BI1292" s="1136"/>
      <c r="BJ1292" s="1136"/>
      <c r="BK1292" s="1136"/>
      <c r="BL1292" s="1136"/>
      <c r="BM1292" s="1136"/>
      <c r="BN1292" s="1136"/>
      <c r="BO1292" s="1136"/>
      <c r="BP1292" s="1136"/>
      <c r="BQ1292" s="1136"/>
      <c r="BR1292" s="1136"/>
      <c r="BS1292" s="1136"/>
      <c r="BT1292" s="1136"/>
      <c r="BU1292" s="1136"/>
      <c r="BV1292" s="1136"/>
      <c r="BW1292" s="1136"/>
      <c r="BX1292" s="1136"/>
      <c r="BY1292" s="1136"/>
      <c r="BZ1292" s="1136"/>
      <c r="CA1292" s="1136"/>
      <c r="CB1292" s="1136"/>
      <c r="CC1292" s="1136"/>
      <c r="CD1292" s="1136"/>
      <c r="CE1292" s="1136"/>
      <c r="CF1292" s="1136"/>
      <c r="CG1292" s="1136"/>
      <c r="CH1292" s="1136"/>
      <c r="CI1292" s="1136"/>
      <c r="CJ1292" s="1136"/>
      <c r="CK1292" s="1136"/>
      <c r="CL1292" s="1136"/>
      <c r="CM1292" s="1136"/>
      <c r="CN1292" s="1136"/>
      <c r="CO1292" s="1136"/>
      <c r="CP1292" s="1136"/>
      <c r="CQ1292" s="1136"/>
      <c r="CR1292" s="1136"/>
      <c r="CS1292" s="1136"/>
      <c r="CT1292" s="1136"/>
      <c r="CU1292" s="1136"/>
      <c r="CV1292" s="1136"/>
      <c r="CW1292" s="1136"/>
      <c r="CX1292" s="1136"/>
      <c r="CY1292" s="1136"/>
      <c r="CZ1292" s="1136"/>
      <c r="DA1292" s="1136"/>
      <c r="DB1292" s="1136"/>
      <c r="DC1292" s="1136"/>
      <c r="DD1292" s="1136"/>
      <c r="DE1292" s="1136"/>
      <c r="DF1292" s="1136"/>
      <c r="DG1292" s="1136"/>
      <c r="DH1292" s="1136"/>
      <c r="DI1292" s="1136"/>
    </row>
    <row r="1293" spans="1:113" ht="15.75" x14ac:dyDescent="0.25">
      <c r="A1293" s="1489" t="s">
        <v>1845</v>
      </c>
      <c r="B1293" s="1484" t="e">
        <f>IF(B312=1,B1256,0)</f>
        <v>#VALUE!</v>
      </c>
      <c r="C1293" s="1639"/>
      <c r="D1293" s="1639"/>
      <c r="E1293" s="1639"/>
      <c r="F1293" s="1639"/>
      <c r="G1293" s="1639"/>
      <c r="H1293" s="1136"/>
      <c r="I1293" s="1136"/>
      <c r="J1293" s="1136"/>
      <c r="K1293" s="1136"/>
      <c r="L1293" s="1136"/>
      <c r="M1293" s="1136"/>
      <c r="N1293" s="1136"/>
      <c r="O1293" s="1136"/>
      <c r="P1293" s="1136"/>
      <c r="Q1293" s="1136"/>
      <c r="R1293" s="1136"/>
      <c r="S1293" s="1136"/>
      <c r="T1293" s="1136"/>
      <c r="U1293" s="1136"/>
      <c r="V1293" s="1136"/>
      <c r="W1293" s="1136"/>
      <c r="X1293" s="1136"/>
      <c r="Y1293" s="1136"/>
      <c r="Z1293" s="1136"/>
      <c r="AA1293" s="1136"/>
      <c r="AB1293" s="1136"/>
      <c r="AC1293" s="1136"/>
      <c r="AD1293" s="1136"/>
      <c r="AE1293" s="1136"/>
      <c r="AF1293" s="1136"/>
      <c r="AG1293" s="1136"/>
      <c r="AH1293" s="1136"/>
      <c r="AI1293" s="1136"/>
      <c r="AJ1293" s="1136"/>
      <c r="AK1293" s="1136"/>
      <c r="AL1293" s="1136"/>
      <c r="AM1293" s="1136"/>
      <c r="AN1293" s="1136"/>
      <c r="AO1293" s="1136"/>
      <c r="AP1293" s="1136"/>
      <c r="AQ1293" s="1136"/>
      <c r="AR1293" s="1136"/>
      <c r="AS1293" s="1136"/>
      <c r="AT1293" s="1136"/>
      <c r="AU1293" s="1136"/>
      <c r="AV1293" s="1136"/>
      <c r="AW1293" s="1136"/>
      <c r="AX1293" s="1136"/>
      <c r="AY1293" s="1136"/>
      <c r="AZ1293" s="1136"/>
      <c r="BA1293" s="1136"/>
      <c r="BB1293" s="1136"/>
      <c r="BC1293" s="1136"/>
      <c r="BD1293" s="1136"/>
      <c r="BE1293" s="1136"/>
      <c r="BF1293" s="1136"/>
      <c r="BG1293" s="1136"/>
      <c r="BH1293" s="1136"/>
      <c r="BI1293" s="1136"/>
      <c r="BJ1293" s="1136"/>
      <c r="BK1293" s="1136"/>
      <c r="BL1293" s="1136"/>
      <c r="BM1293" s="1136"/>
      <c r="BN1293" s="1136"/>
      <c r="BO1293" s="1136"/>
      <c r="BP1293" s="1136"/>
      <c r="BQ1293" s="1136"/>
      <c r="BR1293" s="1136"/>
      <c r="BS1293" s="1136"/>
      <c r="BT1293" s="1136"/>
      <c r="BU1293" s="1136"/>
      <c r="BV1293" s="1136"/>
      <c r="BW1293" s="1136"/>
      <c r="BX1293" s="1136"/>
      <c r="BY1293" s="1136"/>
      <c r="BZ1293" s="1136"/>
      <c r="CA1293" s="1136"/>
      <c r="CB1293" s="1136"/>
      <c r="CC1293" s="1136"/>
      <c r="CD1293" s="1136"/>
      <c r="CE1293" s="1136"/>
      <c r="CF1293" s="1136"/>
      <c r="CG1293" s="1136"/>
      <c r="CH1293" s="1136"/>
      <c r="CI1293" s="1136"/>
      <c r="CJ1293" s="1136"/>
      <c r="CK1293" s="1136"/>
      <c r="CL1293" s="1136"/>
      <c r="CM1293" s="1136"/>
      <c r="CN1293" s="1136"/>
      <c r="CO1293" s="1136"/>
      <c r="CP1293" s="1136"/>
      <c r="CQ1293" s="1136"/>
      <c r="CR1293" s="1136"/>
      <c r="CS1293" s="1136"/>
      <c r="CT1293" s="1136"/>
      <c r="CU1293" s="1136"/>
      <c r="CV1293" s="1136"/>
      <c r="CW1293" s="1136"/>
      <c r="CX1293" s="1136"/>
      <c r="CY1293" s="1136"/>
      <c r="CZ1293" s="1136"/>
      <c r="DA1293" s="1136"/>
      <c r="DB1293" s="1136"/>
      <c r="DC1293" s="1136"/>
      <c r="DD1293" s="1136"/>
      <c r="DE1293" s="1136"/>
      <c r="DF1293" s="1136"/>
      <c r="DG1293" s="1136"/>
      <c r="DH1293" s="1136"/>
      <c r="DI1293" s="1136"/>
    </row>
    <row r="1294" spans="1:113" ht="15.75" x14ac:dyDescent="0.25">
      <c r="A1294" s="1489" t="s">
        <v>1846</v>
      </c>
      <c r="B1294" s="1484" t="e">
        <f>IF(B313=1,B1280,0)</f>
        <v>#VALUE!</v>
      </c>
      <c r="C1294" s="1639"/>
      <c r="D1294" s="1639"/>
      <c r="E1294" s="1639"/>
      <c r="F1294" s="1639"/>
      <c r="G1294" s="1639"/>
      <c r="H1294" s="1136"/>
      <c r="I1294" s="1136"/>
      <c r="J1294" s="1136"/>
      <c r="K1294" s="1136"/>
      <c r="L1294" s="1136"/>
      <c r="M1294" s="1136"/>
      <c r="N1294" s="1136"/>
      <c r="O1294" s="1136"/>
      <c r="P1294" s="1136"/>
      <c r="Q1294" s="1136"/>
      <c r="R1294" s="1136"/>
      <c r="S1294" s="1136"/>
      <c r="T1294" s="1136"/>
      <c r="U1294" s="1136"/>
      <c r="V1294" s="1136"/>
      <c r="W1294" s="1136"/>
      <c r="X1294" s="1136"/>
      <c r="Y1294" s="1136"/>
      <c r="Z1294" s="1136"/>
      <c r="AA1294" s="1136"/>
      <c r="AB1294" s="1136"/>
      <c r="AC1294" s="1136"/>
      <c r="AD1294" s="1136"/>
      <c r="AE1294" s="1136"/>
      <c r="AF1294" s="1136"/>
      <c r="AG1294" s="1136"/>
      <c r="AH1294" s="1136"/>
      <c r="AI1294" s="1136"/>
      <c r="AJ1294" s="1136"/>
      <c r="AK1294" s="1136"/>
      <c r="AL1294" s="1136"/>
      <c r="AM1294" s="1136"/>
      <c r="AN1294" s="1136"/>
      <c r="AO1294" s="1136"/>
      <c r="AP1294" s="1136"/>
      <c r="AQ1294" s="1136"/>
      <c r="AR1294" s="1136"/>
      <c r="AS1294" s="1136"/>
      <c r="AT1294" s="1136"/>
      <c r="AU1294" s="1136"/>
      <c r="AV1294" s="1136"/>
      <c r="AW1294" s="1136"/>
      <c r="AX1294" s="1136"/>
      <c r="AY1294" s="1136"/>
      <c r="AZ1294" s="1136"/>
      <c r="BA1294" s="1136"/>
      <c r="BB1294" s="1136"/>
      <c r="BC1294" s="1136"/>
      <c r="BD1294" s="1136"/>
      <c r="BE1294" s="1136"/>
      <c r="BF1294" s="1136"/>
      <c r="BG1294" s="1136"/>
      <c r="BH1294" s="1136"/>
      <c r="BI1294" s="1136"/>
      <c r="BJ1294" s="1136"/>
      <c r="BK1294" s="1136"/>
      <c r="BL1294" s="1136"/>
      <c r="BM1294" s="1136"/>
      <c r="BN1294" s="1136"/>
      <c r="BO1294" s="1136"/>
      <c r="BP1294" s="1136"/>
      <c r="BQ1294" s="1136"/>
      <c r="BR1294" s="1136"/>
      <c r="BS1294" s="1136"/>
      <c r="BT1294" s="1136"/>
      <c r="BU1294" s="1136"/>
      <c r="BV1294" s="1136"/>
      <c r="BW1294" s="1136"/>
      <c r="BX1294" s="1136"/>
      <c r="BY1294" s="1136"/>
      <c r="BZ1294" s="1136"/>
      <c r="CA1294" s="1136"/>
      <c r="CB1294" s="1136"/>
      <c r="CC1294" s="1136"/>
      <c r="CD1294" s="1136"/>
      <c r="CE1294" s="1136"/>
      <c r="CF1294" s="1136"/>
      <c r="CG1294" s="1136"/>
      <c r="CH1294" s="1136"/>
      <c r="CI1294" s="1136"/>
      <c r="CJ1294" s="1136"/>
      <c r="CK1294" s="1136"/>
      <c r="CL1294" s="1136"/>
      <c r="CM1294" s="1136"/>
      <c r="CN1294" s="1136"/>
      <c r="CO1294" s="1136"/>
      <c r="CP1294" s="1136"/>
      <c r="CQ1294" s="1136"/>
      <c r="CR1294" s="1136"/>
      <c r="CS1294" s="1136"/>
      <c r="CT1294" s="1136"/>
      <c r="CU1294" s="1136"/>
      <c r="CV1294" s="1136"/>
      <c r="CW1294" s="1136"/>
      <c r="CX1294" s="1136"/>
      <c r="CY1294" s="1136"/>
      <c r="CZ1294" s="1136"/>
      <c r="DA1294" s="1136"/>
      <c r="DB1294" s="1136"/>
      <c r="DC1294" s="1136"/>
      <c r="DD1294" s="1136"/>
      <c r="DE1294" s="1136"/>
      <c r="DF1294" s="1136"/>
      <c r="DG1294" s="1136"/>
      <c r="DH1294" s="1136"/>
      <c r="DI1294" s="1136"/>
    </row>
    <row r="1295" spans="1:113" ht="31.5" x14ac:dyDescent="0.25">
      <c r="A1295" s="1644" t="s">
        <v>1847</v>
      </c>
      <c r="B1295" s="1046"/>
      <c r="C1295" s="1136"/>
      <c r="D1295" s="1639"/>
      <c r="E1295" s="1639"/>
      <c r="F1295" s="1639"/>
      <c r="G1295" s="1639"/>
      <c r="H1295" s="1136"/>
      <c r="I1295" s="1136"/>
      <c r="J1295" s="1136"/>
      <c r="K1295" s="1136"/>
      <c r="L1295" s="1136"/>
      <c r="M1295" s="1136"/>
      <c r="N1295" s="1136"/>
      <c r="O1295" s="1136"/>
      <c r="P1295" s="1136"/>
      <c r="Q1295" s="1136"/>
      <c r="R1295" s="1136"/>
      <c r="S1295" s="1136"/>
      <c r="T1295" s="1136"/>
      <c r="U1295" s="1136"/>
      <c r="V1295" s="1136"/>
      <c r="W1295" s="1136"/>
      <c r="X1295" s="1136"/>
      <c r="Y1295" s="1136"/>
      <c r="Z1295" s="1136"/>
      <c r="AA1295" s="1136"/>
      <c r="AB1295" s="1136"/>
      <c r="AC1295" s="1136"/>
      <c r="AD1295" s="1136"/>
      <c r="AE1295" s="1136"/>
      <c r="AF1295" s="1136"/>
      <c r="AG1295" s="1136"/>
      <c r="AH1295" s="1136"/>
      <c r="AI1295" s="1136"/>
      <c r="AJ1295" s="1136"/>
      <c r="AK1295" s="1136"/>
      <c r="AL1295" s="1136"/>
      <c r="AM1295" s="1136"/>
      <c r="AN1295" s="1136"/>
      <c r="AO1295" s="1136"/>
      <c r="AP1295" s="1136"/>
      <c r="AQ1295" s="1136"/>
      <c r="AR1295" s="1136"/>
      <c r="AS1295" s="1136"/>
      <c r="AT1295" s="1136"/>
      <c r="AU1295" s="1136"/>
      <c r="AV1295" s="1136"/>
      <c r="AW1295" s="1136"/>
      <c r="AX1295" s="1136"/>
      <c r="AY1295" s="1136"/>
      <c r="AZ1295" s="1136"/>
      <c r="BA1295" s="1136"/>
      <c r="BB1295" s="1136"/>
      <c r="BC1295" s="1136"/>
      <c r="BD1295" s="1136"/>
      <c r="BE1295" s="1136"/>
      <c r="BF1295" s="1136"/>
      <c r="BG1295" s="1136"/>
      <c r="BH1295" s="1136"/>
      <c r="BI1295" s="1136"/>
      <c r="BJ1295" s="1136"/>
      <c r="BK1295" s="1136"/>
      <c r="BL1295" s="1136"/>
      <c r="BM1295" s="1136"/>
      <c r="BN1295" s="1136"/>
      <c r="BO1295" s="1136"/>
      <c r="BP1295" s="1136"/>
      <c r="BQ1295" s="1136"/>
      <c r="BR1295" s="1136"/>
      <c r="BS1295" s="1136"/>
      <c r="BT1295" s="1136"/>
      <c r="BU1295" s="1136"/>
      <c r="BV1295" s="1136"/>
      <c r="BW1295" s="1136"/>
      <c r="BX1295" s="1136"/>
      <c r="BY1295" s="1136"/>
      <c r="BZ1295" s="1136"/>
      <c r="CA1295" s="1136"/>
      <c r="CB1295" s="1136"/>
      <c r="CC1295" s="1136"/>
      <c r="CD1295" s="1136"/>
      <c r="CE1295" s="1136"/>
      <c r="CF1295" s="1136"/>
      <c r="CG1295" s="1136"/>
      <c r="CH1295" s="1136"/>
      <c r="CI1295" s="1136"/>
      <c r="CJ1295" s="1136"/>
      <c r="CK1295" s="1136"/>
      <c r="CL1295" s="1136"/>
      <c r="CM1295" s="1136"/>
      <c r="CN1295" s="1136"/>
      <c r="CO1295" s="1136"/>
      <c r="CP1295" s="1136"/>
      <c r="CQ1295" s="1136"/>
      <c r="CR1295" s="1136"/>
      <c r="CS1295" s="1136"/>
      <c r="CT1295" s="1136"/>
      <c r="CU1295" s="1136"/>
      <c r="CV1295" s="1136"/>
      <c r="CW1295" s="1136"/>
      <c r="CX1295" s="1136"/>
      <c r="CY1295" s="1136"/>
      <c r="CZ1295" s="1136"/>
      <c r="DA1295" s="1136"/>
      <c r="DB1295" s="1136"/>
      <c r="DC1295" s="1136"/>
      <c r="DD1295" s="1136"/>
      <c r="DE1295" s="1136"/>
      <c r="DF1295" s="1136"/>
      <c r="DG1295" s="1136"/>
      <c r="DH1295" s="1136"/>
      <c r="DI1295" s="1136"/>
    </row>
    <row r="1296" spans="1:113" ht="15.75" x14ac:dyDescent="0.25">
      <c r="A1296" s="1430" t="s">
        <v>2750</v>
      </c>
      <c r="B1296" s="1484" t="e">
        <f>IF(B323=0,B1283,B1288)</f>
        <v>#VALUE!</v>
      </c>
      <c r="C1296" s="1639"/>
      <c r="D1296" s="1639"/>
      <c r="E1296" s="1639"/>
      <c r="F1296" s="1639"/>
      <c r="G1296" s="1639"/>
      <c r="H1296" s="1639"/>
      <c r="I1296" s="1136"/>
      <c r="J1296" s="1136"/>
      <c r="K1296" s="1136"/>
      <c r="L1296" s="1136"/>
      <c r="M1296" s="1136"/>
      <c r="N1296" s="1136"/>
      <c r="O1296" s="1136"/>
      <c r="P1296" s="1136"/>
      <c r="Q1296" s="1136"/>
      <c r="R1296" s="1136"/>
      <c r="S1296" s="1136"/>
      <c r="T1296" s="1136"/>
      <c r="U1296" s="1136"/>
      <c r="V1296" s="1136"/>
      <c r="W1296" s="1136"/>
      <c r="X1296" s="1136"/>
      <c r="Y1296" s="1136"/>
      <c r="Z1296" s="1136"/>
      <c r="AA1296" s="1136"/>
      <c r="AB1296" s="1136"/>
      <c r="AC1296" s="1136"/>
      <c r="AD1296" s="1136"/>
      <c r="AE1296" s="1136"/>
      <c r="AF1296" s="1136"/>
      <c r="AG1296" s="1136"/>
      <c r="AH1296" s="1136"/>
      <c r="AI1296" s="1136"/>
      <c r="AJ1296" s="1136"/>
      <c r="AK1296" s="1136"/>
      <c r="AL1296" s="1136"/>
      <c r="AM1296" s="1136"/>
      <c r="AN1296" s="1136"/>
      <c r="AO1296" s="1136"/>
      <c r="AP1296" s="1136"/>
      <c r="AQ1296" s="1136"/>
      <c r="AR1296" s="1136"/>
      <c r="AS1296" s="1136"/>
      <c r="AT1296" s="1136"/>
      <c r="AU1296" s="1136"/>
      <c r="AV1296" s="1136"/>
      <c r="AW1296" s="1136"/>
      <c r="AX1296" s="1136"/>
      <c r="AY1296" s="1136"/>
      <c r="AZ1296" s="1136"/>
      <c r="BA1296" s="1136"/>
      <c r="BB1296" s="1136"/>
      <c r="BC1296" s="1136"/>
      <c r="BD1296" s="1136"/>
      <c r="BE1296" s="1136"/>
      <c r="BF1296" s="1136"/>
      <c r="BG1296" s="1136"/>
      <c r="BH1296" s="1136"/>
      <c r="BI1296" s="1136"/>
      <c r="BJ1296" s="1136"/>
      <c r="BK1296" s="1136"/>
      <c r="BL1296" s="1136"/>
      <c r="BM1296" s="1136"/>
      <c r="BN1296" s="1136"/>
      <c r="BO1296" s="1136"/>
      <c r="BP1296" s="1136"/>
      <c r="BQ1296" s="1136"/>
      <c r="BR1296" s="1136"/>
      <c r="BS1296" s="1136"/>
      <c r="BT1296" s="1136"/>
      <c r="BU1296" s="1136"/>
      <c r="BV1296" s="1136"/>
      <c r="BW1296" s="1136"/>
      <c r="BX1296" s="1136"/>
      <c r="BY1296" s="1136"/>
      <c r="BZ1296" s="1136"/>
      <c r="CA1296" s="1136"/>
      <c r="CB1296" s="1136"/>
      <c r="CC1296" s="1136"/>
      <c r="CD1296" s="1136"/>
      <c r="CE1296" s="1136"/>
      <c r="CF1296" s="1136"/>
      <c r="CG1296" s="1136"/>
      <c r="CH1296" s="1136"/>
      <c r="CI1296" s="1136"/>
      <c r="CJ1296" s="1136"/>
      <c r="CK1296" s="1136"/>
      <c r="CL1296" s="1136"/>
      <c r="CM1296" s="1136"/>
      <c r="CN1296" s="1136"/>
      <c r="CO1296" s="1136"/>
      <c r="CP1296" s="1136"/>
      <c r="CQ1296" s="1136"/>
      <c r="CR1296" s="1136"/>
      <c r="CS1296" s="1136"/>
      <c r="CT1296" s="1136"/>
      <c r="CU1296" s="1136"/>
      <c r="CV1296" s="1136"/>
      <c r="CW1296" s="1136"/>
      <c r="CX1296" s="1136"/>
      <c r="CY1296" s="1136"/>
      <c r="CZ1296" s="1136"/>
      <c r="DA1296" s="1136"/>
      <c r="DB1296" s="1136"/>
      <c r="DC1296" s="1136"/>
      <c r="DD1296" s="1136"/>
      <c r="DE1296" s="1136"/>
      <c r="DF1296" s="1136"/>
      <c r="DG1296" s="1136"/>
      <c r="DH1296" s="1136"/>
      <c r="DI1296" s="1136"/>
    </row>
    <row r="1297" spans="1:113" ht="15.75" x14ac:dyDescent="0.25">
      <c r="A1297" s="1430" t="s">
        <v>1840</v>
      </c>
      <c r="B1297" s="1484" t="e">
        <f>IF(B323=0,B1284,B1289)</f>
        <v>#VALUE!</v>
      </c>
      <c r="C1297" s="1639"/>
      <c r="D1297" s="1639"/>
      <c r="E1297" s="1639"/>
      <c r="F1297" s="1639"/>
      <c r="G1297" s="1639"/>
      <c r="H1297" s="1136"/>
      <c r="I1297" s="1136"/>
      <c r="J1297" s="1136"/>
      <c r="K1297" s="1136"/>
      <c r="L1297" s="1136"/>
      <c r="M1297" s="1136"/>
      <c r="N1297" s="1136"/>
      <c r="O1297" s="1136"/>
      <c r="P1297" s="1136"/>
      <c r="Q1297" s="1136"/>
      <c r="R1297" s="1136"/>
      <c r="S1297" s="1136"/>
      <c r="T1297" s="1136"/>
      <c r="U1297" s="1136"/>
      <c r="V1297" s="1136"/>
      <c r="W1297" s="1136"/>
      <c r="X1297" s="1136"/>
      <c r="Y1297" s="1136"/>
      <c r="Z1297" s="1136"/>
      <c r="AA1297" s="1136"/>
      <c r="AB1297" s="1136"/>
      <c r="AC1297" s="1136"/>
      <c r="AD1297" s="1136"/>
      <c r="AE1297" s="1136"/>
      <c r="AF1297" s="1136"/>
      <c r="AG1297" s="1136"/>
      <c r="AH1297" s="1136"/>
      <c r="AI1297" s="1136"/>
      <c r="AJ1297" s="1136"/>
      <c r="AK1297" s="1136"/>
      <c r="AL1297" s="1136"/>
      <c r="AM1297" s="1136"/>
      <c r="AN1297" s="1136"/>
      <c r="AO1297" s="1136"/>
      <c r="AP1297" s="1136"/>
      <c r="AQ1297" s="1136"/>
      <c r="AR1297" s="1136"/>
      <c r="AS1297" s="1136"/>
      <c r="AT1297" s="1136"/>
      <c r="AU1297" s="1136"/>
      <c r="AV1297" s="1136"/>
      <c r="AW1297" s="1136"/>
      <c r="AX1297" s="1136"/>
      <c r="AY1297" s="1136"/>
      <c r="AZ1297" s="1136"/>
      <c r="BA1297" s="1136"/>
      <c r="BB1297" s="1136"/>
      <c r="BC1297" s="1136"/>
      <c r="BD1297" s="1136"/>
      <c r="BE1297" s="1136"/>
      <c r="BF1297" s="1136"/>
      <c r="BG1297" s="1136"/>
      <c r="BH1297" s="1136"/>
      <c r="BI1297" s="1136"/>
      <c r="BJ1297" s="1136"/>
      <c r="BK1297" s="1136"/>
      <c r="BL1297" s="1136"/>
      <c r="BM1297" s="1136"/>
      <c r="BN1297" s="1136"/>
      <c r="BO1297" s="1136"/>
      <c r="BP1297" s="1136"/>
      <c r="BQ1297" s="1136"/>
      <c r="BR1297" s="1136"/>
      <c r="BS1297" s="1136"/>
      <c r="BT1297" s="1136"/>
      <c r="BU1297" s="1136"/>
      <c r="BV1297" s="1136"/>
      <c r="BW1297" s="1136"/>
      <c r="BX1297" s="1136"/>
      <c r="BY1297" s="1136"/>
      <c r="BZ1297" s="1136"/>
      <c r="CA1297" s="1136"/>
      <c r="CB1297" s="1136"/>
      <c r="CC1297" s="1136"/>
      <c r="CD1297" s="1136"/>
      <c r="CE1297" s="1136"/>
      <c r="CF1297" s="1136"/>
      <c r="CG1297" s="1136"/>
      <c r="CH1297" s="1136"/>
      <c r="CI1297" s="1136"/>
      <c r="CJ1297" s="1136"/>
      <c r="CK1297" s="1136"/>
      <c r="CL1297" s="1136"/>
      <c r="CM1297" s="1136"/>
      <c r="CN1297" s="1136"/>
      <c r="CO1297" s="1136"/>
      <c r="CP1297" s="1136"/>
      <c r="CQ1297" s="1136"/>
      <c r="CR1297" s="1136"/>
      <c r="CS1297" s="1136"/>
      <c r="CT1297" s="1136"/>
      <c r="CU1297" s="1136"/>
      <c r="CV1297" s="1136"/>
      <c r="CW1297" s="1136"/>
      <c r="CX1297" s="1136"/>
      <c r="CY1297" s="1136"/>
      <c r="CZ1297" s="1136"/>
      <c r="DA1297" s="1136"/>
      <c r="DB1297" s="1136"/>
      <c r="DC1297" s="1136"/>
      <c r="DD1297" s="1136"/>
      <c r="DE1297" s="1136"/>
      <c r="DF1297" s="1136"/>
      <c r="DG1297" s="1136"/>
      <c r="DH1297" s="1136"/>
      <c r="DI1297" s="1136"/>
    </row>
    <row r="1298" spans="1:113" ht="15.75" x14ac:dyDescent="0.25">
      <c r="A1298" s="1430" t="s">
        <v>1841</v>
      </c>
      <c r="B1298" s="1484" t="e">
        <f>IF(B323=0,B1285,B1290)</f>
        <v>#VALUE!</v>
      </c>
      <c r="C1298" s="1639"/>
      <c r="D1298" s="1639"/>
      <c r="E1298" s="1639"/>
      <c r="F1298" s="1639"/>
      <c r="G1298" s="1639"/>
      <c r="H1298" s="1136"/>
      <c r="I1298" s="1136"/>
      <c r="J1298" s="1136"/>
      <c r="K1298" s="1136"/>
      <c r="L1298" s="1136"/>
      <c r="M1298" s="1136"/>
      <c r="N1298" s="1136"/>
      <c r="O1298" s="1136"/>
      <c r="P1298" s="1136"/>
      <c r="Q1298" s="1136"/>
      <c r="R1298" s="1136"/>
      <c r="S1298" s="1136"/>
      <c r="T1298" s="1136"/>
      <c r="U1298" s="1136"/>
      <c r="V1298" s="1136"/>
      <c r="W1298" s="1136"/>
      <c r="X1298" s="1136"/>
      <c r="Y1298" s="1136"/>
      <c r="Z1298" s="1136"/>
      <c r="AA1298" s="1136"/>
      <c r="AB1298" s="1136"/>
      <c r="AC1298" s="1136"/>
      <c r="AD1298" s="1136"/>
      <c r="AE1298" s="1136"/>
      <c r="AF1298" s="1136"/>
      <c r="AG1298" s="1136"/>
      <c r="AH1298" s="1136"/>
      <c r="AI1298" s="1136"/>
      <c r="AJ1298" s="1136"/>
      <c r="AK1298" s="1136"/>
      <c r="AL1298" s="1136"/>
      <c r="AM1298" s="1136"/>
      <c r="AN1298" s="1136"/>
      <c r="AO1298" s="1136"/>
      <c r="AP1298" s="1136"/>
      <c r="AQ1298" s="1136"/>
      <c r="AR1298" s="1136"/>
      <c r="AS1298" s="1136"/>
      <c r="AT1298" s="1136"/>
      <c r="AU1298" s="1136"/>
      <c r="AV1298" s="1136"/>
      <c r="AW1298" s="1136"/>
      <c r="AX1298" s="1136"/>
      <c r="AY1298" s="1136"/>
      <c r="AZ1298" s="1136"/>
      <c r="BA1298" s="1136"/>
      <c r="BB1298" s="1136"/>
      <c r="BC1298" s="1136"/>
      <c r="BD1298" s="1136"/>
      <c r="BE1298" s="1136"/>
      <c r="BF1298" s="1136"/>
      <c r="BG1298" s="1136"/>
      <c r="BH1298" s="1136"/>
      <c r="BI1298" s="1136"/>
      <c r="BJ1298" s="1136"/>
      <c r="BK1298" s="1136"/>
      <c r="BL1298" s="1136"/>
      <c r="BM1298" s="1136"/>
      <c r="BN1298" s="1136"/>
      <c r="BO1298" s="1136"/>
      <c r="BP1298" s="1136"/>
      <c r="BQ1298" s="1136"/>
      <c r="BR1298" s="1136"/>
      <c r="BS1298" s="1136"/>
      <c r="BT1298" s="1136"/>
      <c r="BU1298" s="1136"/>
      <c r="BV1298" s="1136"/>
      <c r="BW1298" s="1136"/>
      <c r="BX1298" s="1136"/>
      <c r="BY1298" s="1136"/>
      <c r="BZ1298" s="1136"/>
      <c r="CA1298" s="1136"/>
      <c r="CB1298" s="1136"/>
      <c r="CC1298" s="1136"/>
      <c r="CD1298" s="1136"/>
      <c r="CE1298" s="1136"/>
      <c r="CF1298" s="1136"/>
      <c r="CG1298" s="1136"/>
      <c r="CH1298" s="1136"/>
      <c r="CI1298" s="1136"/>
      <c r="CJ1298" s="1136"/>
      <c r="CK1298" s="1136"/>
      <c r="CL1298" s="1136"/>
      <c r="CM1298" s="1136"/>
      <c r="CN1298" s="1136"/>
      <c r="CO1298" s="1136"/>
      <c r="CP1298" s="1136"/>
      <c r="CQ1298" s="1136"/>
      <c r="CR1298" s="1136"/>
      <c r="CS1298" s="1136"/>
      <c r="CT1298" s="1136"/>
      <c r="CU1298" s="1136"/>
      <c r="CV1298" s="1136"/>
      <c r="CW1298" s="1136"/>
      <c r="CX1298" s="1136"/>
      <c r="CY1298" s="1136"/>
      <c r="CZ1298" s="1136"/>
      <c r="DA1298" s="1136"/>
      <c r="DB1298" s="1136"/>
      <c r="DC1298" s="1136"/>
      <c r="DD1298" s="1136"/>
      <c r="DE1298" s="1136"/>
      <c r="DF1298" s="1136"/>
      <c r="DG1298" s="1136"/>
      <c r="DH1298" s="1136"/>
      <c r="DI1298" s="1136"/>
    </row>
    <row r="1299" spans="1:113" ht="15.75" x14ac:dyDescent="0.25">
      <c r="A1299" s="1430" t="s">
        <v>1842</v>
      </c>
      <c r="B1299" s="1484" t="e">
        <f>IF(B323=0,B1286,B1291)</f>
        <v>#VALUE!</v>
      </c>
      <c r="C1299" s="1639"/>
      <c r="D1299" s="1639"/>
      <c r="E1299" s="1639"/>
      <c r="F1299" s="1639"/>
      <c r="G1299" s="1639"/>
      <c r="H1299" s="1136"/>
      <c r="I1299" s="1136"/>
      <c r="J1299" s="1136"/>
      <c r="K1299" s="1136"/>
      <c r="L1299" s="1136"/>
      <c r="M1299" s="1136"/>
      <c r="N1299" s="1136"/>
      <c r="O1299" s="1136"/>
      <c r="P1299" s="1136"/>
      <c r="Q1299" s="1136"/>
      <c r="R1299" s="1136"/>
      <c r="S1299" s="1136"/>
      <c r="T1299" s="1136"/>
      <c r="U1299" s="1136"/>
      <c r="V1299" s="1136"/>
      <c r="W1299" s="1136"/>
      <c r="X1299" s="1136"/>
      <c r="Y1299" s="1136"/>
      <c r="Z1299" s="1136"/>
      <c r="AA1299" s="1136"/>
      <c r="AB1299" s="1136"/>
      <c r="AC1299" s="1136"/>
      <c r="AD1299" s="1136"/>
      <c r="AE1299" s="1136"/>
      <c r="AF1299" s="1136"/>
      <c r="AG1299" s="1136"/>
      <c r="AH1299" s="1136"/>
      <c r="AI1299" s="1136"/>
      <c r="AJ1299" s="1136"/>
      <c r="AK1299" s="1136"/>
      <c r="AL1299" s="1136"/>
      <c r="AM1299" s="1136"/>
      <c r="AN1299" s="1136"/>
      <c r="AO1299" s="1136"/>
      <c r="AP1299" s="1136"/>
      <c r="AQ1299" s="1136"/>
      <c r="AR1299" s="1136"/>
      <c r="AS1299" s="1136"/>
      <c r="AT1299" s="1136"/>
      <c r="AU1299" s="1136"/>
      <c r="AV1299" s="1136"/>
      <c r="AW1299" s="1136"/>
      <c r="AX1299" s="1136"/>
      <c r="AY1299" s="1136"/>
      <c r="AZ1299" s="1136"/>
      <c r="BA1299" s="1136"/>
      <c r="BB1299" s="1136"/>
      <c r="BC1299" s="1136"/>
      <c r="BD1299" s="1136"/>
      <c r="BE1299" s="1136"/>
      <c r="BF1299" s="1136"/>
      <c r="BG1299" s="1136"/>
      <c r="BH1299" s="1136"/>
      <c r="BI1299" s="1136"/>
      <c r="BJ1299" s="1136"/>
      <c r="BK1299" s="1136"/>
      <c r="BL1299" s="1136"/>
      <c r="BM1299" s="1136"/>
      <c r="BN1299" s="1136"/>
      <c r="BO1299" s="1136"/>
      <c r="BP1299" s="1136"/>
      <c r="BQ1299" s="1136"/>
      <c r="BR1299" s="1136"/>
      <c r="BS1299" s="1136"/>
      <c r="BT1299" s="1136"/>
      <c r="BU1299" s="1136"/>
      <c r="BV1299" s="1136"/>
      <c r="BW1299" s="1136"/>
      <c r="BX1299" s="1136"/>
      <c r="BY1299" s="1136"/>
      <c r="BZ1299" s="1136"/>
      <c r="CA1299" s="1136"/>
      <c r="CB1299" s="1136"/>
      <c r="CC1299" s="1136"/>
      <c r="CD1299" s="1136"/>
      <c r="CE1299" s="1136"/>
      <c r="CF1299" s="1136"/>
      <c r="CG1299" s="1136"/>
      <c r="CH1299" s="1136"/>
      <c r="CI1299" s="1136"/>
      <c r="CJ1299" s="1136"/>
      <c r="CK1299" s="1136"/>
      <c r="CL1299" s="1136"/>
      <c r="CM1299" s="1136"/>
      <c r="CN1299" s="1136"/>
      <c r="CO1299" s="1136"/>
      <c r="CP1299" s="1136"/>
      <c r="CQ1299" s="1136"/>
      <c r="CR1299" s="1136"/>
      <c r="CS1299" s="1136"/>
      <c r="CT1299" s="1136"/>
      <c r="CU1299" s="1136"/>
      <c r="CV1299" s="1136"/>
      <c r="CW1299" s="1136"/>
      <c r="CX1299" s="1136"/>
      <c r="CY1299" s="1136"/>
      <c r="CZ1299" s="1136"/>
      <c r="DA1299" s="1136"/>
      <c r="DB1299" s="1136"/>
      <c r="DC1299" s="1136"/>
      <c r="DD1299" s="1136"/>
      <c r="DE1299" s="1136"/>
      <c r="DF1299" s="1136"/>
      <c r="DG1299" s="1136"/>
      <c r="DH1299" s="1136"/>
      <c r="DI1299" s="1136"/>
    </row>
    <row r="1300" spans="1:113" ht="15.75" x14ac:dyDescent="0.25">
      <c r="A1300" s="1430" t="s">
        <v>1848</v>
      </c>
      <c r="B1300" s="1484" t="e">
        <f>IF(B323=0,0,B1292)</f>
        <v>#VALUE!</v>
      </c>
      <c r="C1300" s="1639"/>
      <c r="D1300" s="1639"/>
      <c r="E1300" s="1639"/>
      <c r="F1300" s="1639"/>
      <c r="G1300" s="1639"/>
      <c r="H1300" s="1136"/>
      <c r="I1300" s="1136"/>
      <c r="J1300" s="1136"/>
      <c r="K1300" s="1136"/>
      <c r="L1300" s="1136"/>
      <c r="M1300" s="1136"/>
      <c r="N1300" s="1136"/>
      <c r="O1300" s="1136"/>
      <c r="P1300" s="1136"/>
      <c r="Q1300" s="1136"/>
      <c r="R1300" s="1136"/>
      <c r="S1300" s="1136"/>
      <c r="T1300" s="1136"/>
      <c r="U1300" s="1136"/>
      <c r="V1300" s="1136"/>
      <c r="W1300" s="1136"/>
      <c r="X1300" s="1136"/>
      <c r="Y1300" s="1136"/>
      <c r="Z1300" s="1136"/>
      <c r="AA1300" s="1136"/>
      <c r="AB1300" s="1136"/>
      <c r="AC1300" s="1136"/>
      <c r="AD1300" s="1136"/>
      <c r="AE1300" s="1136"/>
      <c r="AF1300" s="1136"/>
      <c r="AG1300" s="1136"/>
      <c r="AH1300" s="1136"/>
      <c r="AI1300" s="1136"/>
      <c r="AJ1300" s="1136"/>
      <c r="AK1300" s="1136"/>
      <c r="AL1300" s="1136"/>
      <c r="AM1300" s="1136"/>
      <c r="AN1300" s="1136"/>
      <c r="AO1300" s="1136"/>
      <c r="AP1300" s="1136"/>
      <c r="AQ1300" s="1136"/>
      <c r="AR1300" s="1136"/>
      <c r="AS1300" s="1136"/>
      <c r="AT1300" s="1136"/>
      <c r="AU1300" s="1136"/>
      <c r="AV1300" s="1136"/>
      <c r="AW1300" s="1136"/>
      <c r="AX1300" s="1136"/>
      <c r="AY1300" s="1136"/>
      <c r="AZ1300" s="1136"/>
      <c r="BA1300" s="1136"/>
      <c r="BB1300" s="1136"/>
      <c r="BC1300" s="1136"/>
      <c r="BD1300" s="1136"/>
      <c r="BE1300" s="1136"/>
      <c r="BF1300" s="1136"/>
      <c r="BG1300" s="1136"/>
      <c r="BH1300" s="1136"/>
      <c r="BI1300" s="1136"/>
      <c r="BJ1300" s="1136"/>
      <c r="BK1300" s="1136"/>
      <c r="BL1300" s="1136"/>
      <c r="BM1300" s="1136"/>
      <c r="BN1300" s="1136"/>
      <c r="BO1300" s="1136"/>
      <c r="BP1300" s="1136"/>
      <c r="BQ1300" s="1136"/>
      <c r="BR1300" s="1136"/>
      <c r="BS1300" s="1136"/>
      <c r="BT1300" s="1136"/>
      <c r="BU1300" s="1136"/>
      <c r="BV1300" s="1136"/>
      <c r="BW1300" s="1136"/>
      <c r="BX1300" s="1136"/>
      <c r="BY1300" s="1136"/>
      <c r="BZ1300" s="1136"/>
      <c r="CA1300" s="1136"/>
      <c r="CB1300" s="1136"/>
      <c r="CC1300" s="1136"/>
      <c r="CD1300" s="1136"/>
      <c r="CE1300" s="1136"/>
      <c r="CF1300" s="1136"/>
      <c r="CG1300" s="1136"/>
      <c r="CH1300" s="1136"/>
      <c r="CI1300" s="1136"/>
      <c r="CJ1300" s="1136"/>
      <c r="CK1300" s="1136"/>
      <c r="CL1300" s="1136"/>
      <c r="CM1300" s="1136"/>
      <c r="CN1300" s="1136"/>
      <c r="CO1300" s="1136"/>
      <c r="CP1300" s="1136"/>
      <c r="CQ1300" s="1136"/>
      <c r="CR1300" s="1136"/>
      <c r="CS1300" s="1136"/>
      <c r="CT1300" s="1136"/>
      <c r="CU1300" s="1136"/>
      <c r="CV1300" s="1136"/>
      <c r="CW1300" s="1136"/>
      <c r="CX1300" s="1136"/>
      <c r="CY1300" s="1136"/>
      <c r="CZ1300" s="1136"/>
      <c r="DA1300" s="1136"/>
      <c r="DB1300" s="1136"/>
      <c r="DC1300" s="1136"/>
      <c r="DD1300" s="1136"/>
      <c r="DE1300" s="1136"/>
      <c r="DF1300" s="1136"/>
      <c r="DG1300" s="1136"/>
      <c r="DH1300" s="1136"/>
      <c r="DI1300" s="1136"/>
    </row>
    <row r="1301" spans="1:113" ht="15.75" x14ac:dyDescent="0.25">
      <c r="A1301" s="1430" t="s">
        <v>2743</v>
      </c>
      <c r="B1301" s="1484">
        <f>IF(B298=2,B1277,0)</f>
        <v>0</v>
      </c>
      <c r="C1301" s="1639"/>
      <c r="D1301" s="1639"/>
      <c r="E1301" s="1639"/>
      <c r="F1301" s="1639"/>
      <c r="G1301" s="1639"/>
      <c r="H1301" s="1136"/>
      <c r="I1301" s="1136"/>
      <c r="J1301" s="1136"/>
      <c r="K1301" s="1136"/>
      <c r="L1301" s="1136"/>
      <c r="M1301" s="1136"/>
      <c r="N1301" s="1136"/>
      <c r="O1301" s="1136"/>
      <c r="P1301" s="1136"/>
      <c r="Q1301" s="1136"/>
      <c r="R1301" s="1136"/>
      <c r="S1301" s="1136"/>
      <c r="T1301" s="1136"/>
      <c r="U1301" s="1136"/>
      <c r="V1301" s="1136"/>
      <c r="W1301" s="1136"/>
      <c r="X1301" s="1136"/>
      <c r="Y1301" s="1136"/>
      <c r="Z1301" s="1136"/>
      <c r="AA1301" s="1136"/>
      <c r="AB1301" s="1136"/>
      <c r="AC1301" s="1136"/>
      <c r="AD1301" s="1136"/>
      <c r="AE1301" s="1136"/>
      <c r="AF1301" s="1136"/>
      <c r="AG1301" s="1136"/>
      <c r="AH1301" s="1136"/>
      <c r="AI1301" s="1136"/>
      <c r="AJ1301" s="1136"/>
      <c r="AK1301" s="1136"/>
      <c r="AL1301" s="1136"/>
      <c r="AM1301" s="1136"/>
      <c r="AN1301" s="1136"/>
      <c r="AO1301" s="1136"/>
      <c r="AP1301" s="1136"/>
      <c r="AQ1301" s="1136"/>
      <c r="AR1301" s="1136"/>
      <c r="AS1301" s="1136"/>
      <c r="AT1301" s="1136"/>
      <c r="AU1301" s="1136"/>
      <c r="AV1301" s="1136"/>
      <c r="AW1301" s="1136"/>
      <c r="AX1301" s="1136"/>
      <c r="AY1301" s="1136"/>
      <c r="AZ1301" s="1136"/>
      <c r="BA1301" s="1136"/>
      <c r="BB1301" s="1136"/>
      <c r="BC1301" s="1136"/>
      <c r="BD1301" s="1136"/>
      <c r="BE1301" s="1136"/>
      <c r="BF1301" s="1136"/>
      <c r="BG1301" s="1136"/>
      <c r="BH1301" s="1136"/>
      <c r="BI1301" s="1136"/>
      <c r="BJ1301" s="1136"/>
      <c r="BK1301" s="1136"/>
      <c r="BL1301" s="1136"/>
      <c r="BM1301" s="1136"/>
      <c r="BN1301" s="1136"/>
      <c r="BO1301" s="1136"/>
      <c r="BP1301" s="1136"/>
      <c r="BQ1301" s="1136"/>
      <c r="BR1301" s="1136"/>
      <c r="BS1301" s="1136"/>
      <c r="BT1301" s="1136"/>
      <c r="BU1301" s="1136"/>
      <c r="BV1301" s="1136"/>
      <c r="BW1301" s="1136"/>
      <c r="BX1301" s="1136"/>
      <c r="BY1301" s="1136"/>
      <c r="BZ1301" s="1136"/>
      <c r="CA1301" s="1136"/>
      <c r="CB1301" s="1136"/>
      <c r="CC1301" s="1136"/>
      <c r="CD1301" s="1136"/>
      <c r="CE1301" s="1136"/>
      <c r="CF1301" s="1136"/>
      <c r="CG1301" s="1136"/>
      <c r="CH1301" s="1136"/>
      <c r="CI1301" s="1136"/>
      <c r="CJ1301" s="1136"/>
      <c r="CK1301" s="1136"/>
      <c r="CL1301" s="1136"/>
      <c r="CM1301" s="1136"/>
      <c r="CN1301" s="1136"/>
      <c r="CO1301" s="1136"/>
      <c r="CP1301" s="1136"/>
      <c r="CQ1301" s="1136"/>
      <c r="CR1301" s="1136"/>
      <c r="CS1301" s="1136"/>
      <c r="CT1301" s="1136"/>
      <c r="CU1301" s="1136"/>
      <c r="CV1301" s="1136"/>
      <c r="CW1301" s="1136"/>
      <c r="CX1301" s="1136"/>
      <c r="CY1301" s="1136"/>
      <c r="CZ1301" s="1136"/>
      <c r="DA1301" s="1136"/>
      <c r="DB1301" s="1136"/>
      <c r="DC1301" s="1136"/>
      <c r="DD1301" s="1136"/>
      <c r="DE1301" s="1136"/>
      <c r="DF1301" s="1136"/>
      <c r="DG1301" s="1136"/>
      <c r="DH1301" s="1136"/>
      <c r="DI1301" s="1136"/>
    </row>
    <row r="1302" spans="1:113" ht="15.75" x14ac:dyDescent="0.25">
      <c r="A1302" s="1489" t="s">
        <v>1849</v>
      </c>
      <c r="B1302" s="1484" t="e">
        <f>(B1293+B1294)/1000</f>
        <v>#VALUE!</v>
      </c>
      <c r="C1302" s="1639"/>
      <c r="D1302" s="1136"/>
      <c r="E1302" s="1136"/>
      <c r="F1302" s="1136"/>
      <c r="G1302" s="1136"/>
      <c r="H1302" s="1136"/>
      <c r="I1302" s="1136"/>
      <c r="J1302" s="1136"/>
      <c r="K1302" s="1136"/>
      <c r="L1302" s="1136"/>
      <c r="M1302" s="1136"/>
      <c r="N1302" s="1136"/>
      <c r="O1302" s="1136"/>
      <c r="P1302" s="1136"/>
      <c r="Q1302" s="1136"/>
      <c r="R1302" s="1136"/>
      <c r="S1302" s="1136"/>
      <c r="T1302" s="1136"/>
      <c r="U1302" s="1136"/>
      <c r="V1302" s="1136"/>
      <c r="W1302" s="1136"/>
      <c r="X1302" s="1136"/>
      <c r="Y1302" s="1136"/>
      <c r="Z1302" s="1136"/>
      <c r="AA1302" s="1136"/>
      <c r="AB1302" s="1136"/>
      <c r="AC1302" s="1136"/>
      <c r="AD1302" s="1136"/>
      <c r="AE1302" s="1136"/>
      <c r="AF1302" s="1136"/>
      <c r="AG1302" s="1136"/>
      <c r="AH1302" s="1136"/>
      <c r="AI1302" s="1136"/>
      <c r="AJ1302" s="1136"/>
      <c r="AK1302" s="1136"/>
      <c r="AL1302" s="1136"/>
      <c r="AM1302" s="1136"/>
      <c r="AN1302" s="1136"/>
      <c r="AO1302" s="1136"/>
      <c r="AP1302" s="1136"/>
      <c r="AQ1302" s="1136"/>
      <c r="AR1302" s="1136"/>
      <c r="AS1302" s="1136"/>
      <c r="AT1302" s="1136"/>
      <c r="AU1302" s="1136"/>
      <c r="AV1302" s="1136"/>
      <c r="AW1302" s="1136"/>
      <c r="AX1302" s="1136"/>
      <c r="AY1302" s="1136"/>
      <c r="AZ1302" s="1136"/>
      <c r="BA1302" s="1136"/>
      <c r="BB1302" s="1136"/>
      <c r="BC1302" s="1136"/>
      <c r="BD1302" s="1136"/>
      <c r="BE1302" s="1136"/>
      <c r="BF1302" s="1136"/>
      <c r="BG1302" s="1136"/>
      <c r="BH1302" s="1136"/>
      <c r="BI1302" s="1136"/>
      <c r="BJ1302" s="1136"/>
      <c r="BK1302" s="1136"/>
      <c r="BL1302" s="1136"/>
      <c r="BM1302" s="1136"/>
      <c r="BN1302" s="1136"/>
      <c r="BO1302" s="1136"/>
      <c r="BP1302" s="1136"/>
      <c r="BQ1302" s="1136"/>
      <c r="BR1302" s="1136"/>
      <c r="BS1302" s="1136"/>
      <c r="BT1302" s="1136"/>
      <c r="BU1302" s="1136"/>
      <c r="BV1302" s="1136"/>
      <c r="BW1302" s="1136"/>
      <c r="BX1302" s="1136"/>
      <c r="BY1302" s="1136"/>
      <c r="BZ1302" s="1136"/>
      <c r="CA1302" s="1136"/>
      <c r="CB1302" s="1136"/>
      <c r="CC1302" s="1136"/>
      <c r="CD1302" s="1136"/>
      <c r="CE1302" s="1136"/>
      <c r="CF1302" s="1136"/>
      <c r="CG1302" s="1136"/>
      <c r="CH1302" s="1136"/>
      <c r="CI1302" s="1136"/>
      <c r="CJ1302" s="1136"/>
      <c r="CK1302" s="1136"/>
      <c r="CL1302" s="1136"/>
      <c r="CM1302" s="1136"/>
      <c r="CN1302" s="1136"/>
      <c r="CO1302" s="1136"/>
      <c r="CP1302" s="1136"/>
      <c r="CQ1302" s="1136"/>
      <c r="CR1302" s="1136"/>
      <c r="CS1302" s="1136"/>
      <c r="CT1302" s="1136"/>
      <c r="CU1302" s="1136"/>
      <c r="CV1302" s="1136"/>
      <c r="CW1302" s="1136"/>
      <c r="CX1302" s="1136"/>
      <c r="CY1302" s="1136"/>
      <c r="CZ1302" s="1136"/>
      <c r="DA1302" s="1136"/>
      <c r="DB1302" s="1136"/>
      <c r="DC1302" s="1136"/>
      <c r="DD1302" s="1136"/>
      <c r="DE1302" s="1136"/>
      <c r="DF1302" s="1136"/>
      <c r="DG1302" s="1136"/>
      <c r="DH1302" s="1136"/>
      <c r="DI1302" s="1136"/>
    </row>
    <row r="1303" spans="1:113" ht="15" x14ac:dyDescent="0.2">
      <c r="A1303" s="1136"/>
      <c r="B1303" s="1136"/>
      <c r="C1303" s="1136"/>
      <c r="D1303" s="1639"/>
      <c r="E1303" s="1639"/>
      <c r="F1303" s="1639"/>
      <c r="G1303" s="1639"/>
      <c r="H1303" s="1136"/>
      <c r="I1303" s="1136"/>
      <c r="J1303" s="1136"/>
      <c r="K1303" s="1136"/>
      <c r="L1303" s="1136"/>
      <c r="M1303" s="1136"/>
      <c r="N1303" s="1136"/>
      <c r="O1303" s="1136"/>
      <c r="P1303" s="1136"/>
      <c r="Q1303" s="1136"/>
      <c r="R1303" s="1136"/>
      <c r="S1303" s="1136"/>
      <c r="T1303" s="1136"/>
      <c r="U1303" s="1136"/>
      <c r="V1303" s="1136"/>
      <c r="W1303" s="1136"/>
      <c r="X1303" s="1136"/>
      <c r="Y1303" s="1136"/>
      <c r="Z1303" s="1136"/>
      <c r="AA1303" s="1136"/>
      <c r="AB1303" s="1136"/>
      <c r="AC1303" s="1136"/>
      <c r="AD1303" s="1136"/>
      <c r="AE1303" s="1136"/>
      <c r="AF1303" s="1136"/>
      <c r="AG1303" s="1136"/>
      <c r="AH1303" s="1136"/>
      <c r="AI1303" s="1136"/>
      <c r="AJ1303" s="1136"/>
      <c r="AK1303" s="1136"/>
      <c r="AL1303" s="1136"/>
      <c r="AM1303" s="1136"/>
      <c r="AN1303" s="1136"/>
      <c r="AO1303" s="1136"/>
      <c r="AP1303" s="1136"/>
      <c r="AQ1303" s="1136"/>
      <c r="AR1303" s="1136"/>
      <c r="AS1303" s="1136"/>
      <c r="AT1303" s="1136"/>
      <c r="AU1303" s="1136"/>
      <c r="AV1303" s="1136"/>
      <c r="AW1303" s="1136"/>
      <c r="AX1303" s="1136"/>
      <c r="AY1303" s="1136"/>
      <c r="AZ1303" s="1136"/>
      <c r="BA1303" s="1136"/>
      <c r="BB1303" s="1136"/>
      <c r="BC1303" s="1136"/>
      <c r="BD1303" s="1136"/>
      <c r="BE1303" s="1136"/>
      <c r="BF1303" s="1136"/>
      <c r="BG1303" s="1136"/>
      <c r="BH1303" s="1136"/>
      <c r="BI1303" s="1136"/>
      <c r="BJ1303" s="1136"/>
      <c r="BK1303" s="1136"/>
      <c r="BL1303" s="1136"/>
      <c r="BM1303" s="1136"/>
      <c r="BN1303" s="1136"/>
      <c r="BO1303" s="1136"/>
      <c r="BP1303" s="1136"/>
      <c r="BQ1303" s="1136"/>
      <c r="BR1303" s="1136"/>
      <c r="BS1303" s="1136"/>
      <c r="BT1303" s="1136"/>
      <c r="BU1303" s="1136"/>
      <c r="BV1303" s="1136"/>
      <c r="BW1303" s="1136"/>
      <c r="BX1303" s="1136"/>
      <c r="BY1303" s="1136"/>
      <c r="BZ1303" s="1136"/>
      <c r="CA1303" s="1136"/>
      <c r="CB1303" s="1136"/>
      <c r="CC1303" s="1136"/>
      <c r="CD1303" s="1136"/>
      <c r="CE1303" s="1136"/>
      <c r="CF1303" s="1136"/>
      <c r="CG1303" s="1136"/>
      <c r="CH1303" s="1136"/>
      <c r="CI1303" s="1136"/>
      <c r="CJ1303" s="1136"/>
      <c r="CK1303" s="1136"/>
      <c r="CL1303" s="1136"/>
      <c r="CM1303" s="1136"/>
      <c r="CN1303" s="1136"/>
      <c r="CO1303" s="1136"/>
      <c r="CP1303" s="1136"/>
      <c r="CQ1303" s="1136"/>
      <c r="CR1303" s="1136"/>
      <c r="CS1303" s="1136"/>
      <c r="CT1303" s="1136"/>
      <c r="CU1303" s="1136"/>
      <c r="CV1303" s="1136"/>
      <c r="CW1303" s="1136"/>
      <c r="CX1303" s="1136"/>
      <c r="CY1303" s="1136"/>
      <c r="CZ1303" s="1136"/>
      <c r="DA1303" s="1136"/>
      <c r="DB1303" s="1136"/>
      <c r="DC1303" s="1136"/>
      <c r="DD1303" s="1136"/>
      <c r="DE1303" s="1136"/>
      <c r="DF1303" s="1136"/>
      <c r="DG1303" s="1136"/>
      <c r="DH1303" s="1136"/>
      <c r="DI1303" s="1136"/>
    </row>
    <row r="1304" spans="1:113" ht="15.75" x14ac:dyDescent="0.25">
      <c r="A1304" s="1426" t="s">
        <v>1850</v>
      </c>
      <c r="B1304" s="1046"/>
      <c r="C1304" s="1136"/>
      <c r="D1304" s="1136"/>
      <c r="E1304" s="1136"/>
      <c r="F1304" s="1136"/>
      <c r="G1304" s="1136"/>
      <c r="H1304" s="1136"/>
      <c r="I1304" s="1136"/>
      <c r="J1304" s="1136"/>
      <c r="K1304" s="1136"/>
      <c r="L1304" s="1136"/>
      <c r="M1304" s="1136"/>
      <c r="N1304" s="1136"/>
      <c r="O1304" s="1136"/>
      <c r="P1304" s="1136"/>
      <c r="Q1304" s="1551"/>
      <c r="R1304" s="1551"/>
      <c r="S1304" s="1551"/>
      <c r="T1304" s="1551"/>
      <c r="U1304" s="1551"/>
      <c r="V1304" s="1551"/>
      <c r="W1304" s="1551"/>
      <c r="X1304" s="1551"/>
      <c r="Y1304" s="1551"/>
      <c r="Z1304" s="1551"/>
      <c r="AA1304" s="1645"/>
      <c r="AB1304" s="1645"/>
      <c r="AC1304" s="1645"/>
      <c r="AD1304" s="1645"/>
      <c r="AE1304" s="1645"/>
      <c r="AF1304" s="1645"/>
      <c r="AG1304" s="1645"/>
      <c r="AH1304" s="1645"/>
      <c r="AI1304" s="1645"/>
      <c r="AJ1304" s="1645"/>
      <c r="AK1304" s="1645"/>
      <c r="AL1304" s="1645"/>
      <c r="AM1304" s="1645"/>
      <c r="AN1304" s="1645"/>
      <c r="AO1304" s="1645"/>
      <c r="AP1304" s="1645"/>
      <c r="AQ1304" s="1645"/>
      <c r="AR1304" s="1645"/>
      <c r="AS1304" s="1645"/>
      <c r="AT1304" s="1645"/>
      <c r="AU1304" s="1645"/>
      <c r="AV1304" s="1645"/>
      <c r="AW1304" s="1645"/>
      <c r="AX1304" s="1645"/>
      <c r="AY1304" s="1645"/>
      <c r="AZ1304" s="1645"/>
      <c r="BA1304" s="1645"/>
      <c r="BB1304" s="1645"/>
      <c r="BC1304" s="1645"/>
      <c r="BD1304" s="1645"/>
      <c r="BE1304" s="1645"/>
      <c r="BF1304" s="1645"/>
      <c r="BG1304" s="1645"/>
      <c r="BH1304" s="1645"/>
      <c r="BI1304" s="1645"/>
      <c r="BJ1304" s="1645"/>
      <c r="BK1304" s="1645"/>
      <c r="BL1304" s="1645"/>
      <c r="BM1304" s="1645"/>
      <c r="BN1304" s="1645"/>
      <c r="BO1304" s="1645"/>
      <c r="BP1304" s="1645"/>
      <c r="BQ1304" s="1645"/>
      <c r="BR1304" s="1645"/>
      <c r="BS1304" s="1645"/>
      <c r="BT1304" s="1645"/>
      <c r="BU1304" s="1645"/>
      <c r="BV1304" s="1645"/>
      <c r="BW1304" s="1645"/>
      <c r="BX1304" s="1645"/>
      <c r="BY1304" s="1645"/>
      <c r="BZ1304" s="1645"/>
      <c r="CA1304" s="1645"/>
      <c r="CB1304" s="1645"/>
      <c r="CC1304" s="1645"/>
      <c r="CD1304" s="1645"/>
      <c r="CE1304" s="1645"/>
      <c r="CF1304" s="1645"/>
      <c r="CG1304" s="1645"/>
      <c r="CH1304" s="1645"/>
      <c r="CI1304" s="1645"/>
      <c r="CJ1304" s="1645"/>
      <c r="CK1304" s="1645"/>
      <c r="CL1304" s="1645"/>
      <c r="CM1304" s="1645"/>
      <c r="CN1304" s="1645"/>
      <c r="CO1304" s="1645"/>
      <c r="CP1304" s="1136"/>
      <c r="CQ1304" s="1136"/>
      <c r="CR1304" s="1136"/>
      <c r="CS1304" s="1136"/>
      <c r="CT1304" s="1136"/>
      <c r="CU1304" s="1136"/>
      <c r="CV1304" s="1136"/>
      <c r="CW1304" s="1136"/>
      <c r="CX1304" s="1136"/>
      <c r="CY1304" s="1136"/>
      <c r="CZ1304" s="1136"/>
      <c r="DA1304" s="1136"/>
      <c r="DB1304" s="1136"/>
      <c r="DC1304" s="1136"/>
      <c r="DD1304" s="1136"/>
      <c r="DE1304" s="1136"/>
      <c r="DF1304" s="1136"/>
      <c r="DG1304" s="1136"/>
      <c r="DH1304" s="1136"/>
      <c r="DI1304" s="1136"/>
    </row>
    <row r="1305" spans="1:113" ht="15.75" x14ac:dyDescent="0.25">
      <c r="A1305" s="1646"/>
      <c r="B1305" s="1404"/>
      <c r="C1305" s="1070"/>
      <c r="D1305" s="1070"/>
      <c r="E1305" s="1070"/>
      <c r="F1305" s="1070"/>
      <c r="G1305" s="1136"/>
      <c r="H1305" s="1136"/>
      <c r="I1305" s="1136"/>
      <c r="J1305" s="1136"/>
      <c r="K1305" s="1136"/>
      <c r="L1305" s="1136"/>
      <c r="M1305" s="1136"/>
      <c r="N1305" s="1136"/>
      <c r="O1305" s="1136"/>
      <c r="P1305" s="1136"/>
      <c r="Q1305" s="1551"/>
      <c r="R1305" s="1551"/>
      <c r="S1305" s="1551"/>
      <c r="T1305" s="1551"/>
      <c r="U1305" s="1551"/>
      <c r="V1305" s="1551"/>
      <c r="W1305" s="1551"/>
      <c r="X1305" s="1551"/>
      <c r="Y1305" s="1551"/>
      <c r="Z1305" s="1551"/>
      <c r="AA1305" s="1645"/>
      <c r="AB1305" s="1645"/>
      <c r="AC1305" s="1645"/>
      <c r="AD1305" s="1645"/>
      <c r="AE1305" s="1645"/>
      <c r="AF1305" s="1645"/>
      <c r="AG1305" s="1645"/>
      <c r="AH1305" s="1645"/>
      <c r="AI1305" s="1645"/>
      <c r="AJ1305" s="1645"/>
      <c r="AK1305" s="1645"/>
      <c r="AL1305" s="1645"/>
      <c r="AM1305" s="1645"/>
      <c r="AN1305" s="1645"/>
      <c r="AO1305" s="1645"/>
      <c r="AP1305" s="1645"/>
      <c r="AQ1305" s="1645"/>
      <c r="AR1305" s="1645"/>
      <c r="AS1305" s="1645"/>
      <c r="AT1305" s="1645"/>
      <c r="AU1305" s="1645"/>
      <c r="AV1305" s="1645"/>
      <c r="AW1305" s="1645"/>
      <c r="AX1305" s="1645"/>
      <c r="AY1305" s="1645"/>
      <c r="AZ1305" s="1645"/>
      <c r="BA1305" s="1645"/>
      <c r="BB1305" s="1645"/>
      <c r="BC1305" s="1645"/>
      <c r="BD1305" s="1645"/>
      <c r="BE1305" s="1645"/>
      <c r="BF1305" s="1645"/>
      <c r="BG1305" s="1645"/>
      <c r="BH1305" s="1645"/>
      <c r="BI1305" s="1645"/>
      <c r="BJ1305" s="1645"/>
      <c r="BK1305" s="1645"/>
      <c r="BL1305" s="1645"/>
      <c r="BM1305" s="1645"/>
      <c r="BN1305" s="1645"/>
      <c r="BO1305" s="1645"/>
      <c r="BP1305" s="1645"/>
      <c r="BQ1305" s="1645"/>
      <c r="BR1305" s="1645"/>
      <c r="BS1305" s="1645"/>
      <c r="BT1305" s="1645"/>
      <c r="BU1305" s="1645"/>
      <c r="BV1305" s="1645"/>
      <c r="BW1305" s="1645"/>
      <c r="BX1305" s="1645"/>
      <c r="BY1305" s="1645"/>
      <c r="BZ1305" s="1645"/>
      <c r="CA1305" s="1645"/>
      <c r="CB1305" s="1645"/>
      <c r="CC1305" s="1645"/>
      <c r="CD1305" s="1645"/>
      <c r="CE1305" s="1645"/>
      <c r="CF1305" s="1645"/>
      <c r="CG1305" s="1645"/>
      <c r="CH1305" s="1645"/>
      <c r="CI1305" s="1645"/>
      <c r="CJ1305" s="1645"/>
      <c r="CK1305" s="1645"/>
      <c r="CL1305" s="1645"/>
      <c r="CM1305" s="1645"/>
      <c r="CN1305" s="1645"/>
      <c r="CO1305" s="1645"/>
      <c r="CP1305" s="1136"/>
      <c r="CQ1305" s="1136"/>
      <c r="CR1305" s="1136"/>
      <c r="CS1305" s="1136"/>
      <c r="CT1305" s="1136"/>
      <c r="CU1305" s="1136"/>
      <c r="CV1305" s="1136"/>
      <c r="CW1305" s="1136"/>
      <c r="CX1305" s="1136"/>
      <c r="CY1305" s="1136"/>
      <c r="CZ1305" s="1136"/>
      <c r="DA1305" s="1136"/>
      <c r="DB1305" s="1136"/>
      <c r="DC1305" s="1136"/>
      <c r="DD1305" s="1136"/>
      <c r="DE1305" s="1136"/>
      <c r="DF1305" s="1136"/>
      <c r="DG1305" s="1136"/>
      <c r="DH1305" s="1136"/>
      <c r="DI1305" s="1136"/>
    </row>
    <row r="1306" spans="1:113" ht="30.75" x14ac:dyDescent="0.25">
      <c r="A1306" s="1647" t="s">
        <v>1851</v>
      </c>
      <c r="B1306" s="1046"/>
      <c r="C1306" s="1136"/>
      <c r="D1306" s="1136"/>
      <c r="E1306" s="1136"/>
      <c r="F1306" s="1136"/>
      <c r="G1306" s="1136"/>
      <c r="H1306" s="1136"/>
      <c r="I1306" s="1136"/>
      <c r="J1306" s="1136"/>
      <c r="K1306" s="1136"/>
      <c r="L1306" s="1136"/>
      <c r="M1306" s="1136"/>
      <c r="N1306" s="1136"/>
      <c r="O1306" s="1136"/>
      <c r="P1306" s="1136"/>
      <c r="Q1306" s="1551"/>
      <c r="R1306" s="1551"/>
      <c r="S1306" s="1551"/>
      <c r="T1306" s="1551"/>
      <c r="U1306" s="1551"/>
      <c r="V1306" s="1551"/>
      <c r="W1306" s="1551"/>
      <c r="X1306" s="1551"/>
      <c r="Y1306" s="1551"/>
      <c r="Z1306" s="1551"/>
      <c r="AA1306" s="1645"/>
      <c r="AB1306" s="1645"/>
      <c r="AC1306" s="1645"/>
      <c r="AD1306" s="1645"/>
      <c r="AE1306" s="1645"/>
      <c r="AF1306" s="1645"/>
      <c r="AG1306" s="1645"/>
      <c r="AH1306" s="1645"/>
      <c r="AI1306" s="1645"/>
      <c r="AJ1306" s="1645"/>
      <c r="AK1306" s="1645"/>
      <c r="AL1306" s="1645"/>
      <c r="AM1306" s="1645"/>
      <c r="AN1306" s="1645"/>
      <c r="AO1306" s="1645"/>
      <c r="AP1306" s="1645"/>
      <c r="AQ1306" s="1645"/>
      <c r="AR1306" s="1645"/>
      <c r="AS1306" s="1645"/>
      <c r="AT1306" s="1645"/>
      <c r="AU1306" s="1645"/>
      <c r="AV1306" s="1645"/>
      <c r="AW1306" s="1645"/>
      <c r="AX1306" s="1645"/>
      <c r="AY1306" s="1645"/>
      <c r="AZ1306" s="1645"/>
      <c r="BA1306" s="1645"/>
      <c r="BB1306" s="1645"/>
      <c r="BC1306" s="1645"/>
      <c r="BD1306" s="1645"/>
      <c r="BE1306" s="1645"/>
      <c r="BF1306" s="1645"/>
      <c r="BG1306" s="1645"/>
      <c r="BH1306" s="1645"/>
      <c r="BI1306" s="1645"/>
      <c r="BJ1306" s="1645"/>
      <c r="BK1306" s="1645"/>
      <c r="BL1306" s="1645"/>
      <c r="BM1306" s="1645"/>
      <c r="BN1306" s="1645"/>
      <c r="BO1306" s="1645"/>
      <c r="BP1306" s="1645"/>
      <c r="BQ1306" s="1645"/>
      <c r="BR1306" s="1645"/>
      <c r="BS1306" s="1645"/>
      <c r="BT1306" s="1645"/>
      <c r="BU1306" s="1645"/>
      <c r="BV1306" s="1645"/>
      <c r="BW1306" s="1645"/>
      <c r="BX1306" s="1645"/>
      <c r="BY1306" s="1645"/>
      <c r="BZ1306" s="1645"/>
      <c r="CA1306" s="1645"/>
      <c r="CB1306" s="1645"/>
      <c r="CC1306" s="1645"/>
      <c r="CD1306" s="1645"/>
      <c r="CE1306" s="1645"/>
      <c r="CF1306" s="1645"/>
      <c r="CG1306" s="1645"/>
      <c r="CH1306" s="1645"/>
      <c r="CI1306" s="1645"/>
      <c r="CJ1306" s="1645"/>
      <c r="CK1306" s="1645"/>
      <c r="CL1306" s="1645"/>
      <c r="CM1306" s="1645"/>
      <c r="CN1306" s="1645"/>
      <c r="CO1306" s="1645"/>
      <c r="CP1306" s="1136"/>
      <c r="CQ1306" s="1136"/>
      <c r="CR1306" s="1136"/>
      <c r="CS1306" s="1136"/>
      <c r="CT1306" s="1136"/>
      <c r="CU1306" s="1136"/>
      <c r="CV1306" s="1136"/>
      <c r="CW1306" s="1136"/>
      <c r="CX1306" s="1136"/>
      <c r="CY1306" s="1136"/>
      <c r="CZ1306" s="1136"/>
      <c r="DA1306" s="1136"/>
      <c r="DB1306" s="1136"/>
      <c r="DC1306" s="1136"/>
      <c r="DD1306" s="1136"/>
      <c r="DE1306" s="1136"/>
      <c r="DF1306" s="1136"/>
      <c r="DG1306" s="1136"/>
      <c r="DH1306" s="1136"/>
      <c r="DI1306" s="1136"/>
    </row>
    <row r="1307" spans="1:113" ht="15.75" x14ac:dyDescent="0.25">
      <c r="A1307" s="1391" t="s">
        <v>1852</v>
      </c>
      <c r="B1307" s="1648" t="e">
        <f>B1297</f>
        <v>#VALUE!</v>
      </c>
      <c r="C1307" s="1485"/>
      <c r="D1307" s="1485"/>
      <c r="E1307" s="1485"/>
      <c r="F1307" s="1485"/>
      <c r="G1307" s="1485"/>
      <c r="H1307" s="1070"/>
      <c r="I1307" s="1136"/>
      <c r="J1307" s="1136"/>
      <c r="K1307" s="1136"/>
      <c r="L1307" s="1136"/>
      <c r="M1307" s="1136"/>
      <c r="N1307" s="1136"/>
      <c r="O1307" s="1136"/>
      <c r="P1307" s="1136"/>
      <c r="Q1307" s="1551"/>
      <c r="R1307" s="1551"/>
      <c r="S1307" s="1551"/>
      <c r="T1307" s="1551"/>
      <c r="U1307" s="1551"/>
      <c r="V1307" s="1551"/>
      <c r="W1307" s="1551"/>
      <c r="X1307" s="1551"/>
      <c r="Y1307" s="1551"/>
      <c r="Z1307" s="1551"/>
      <c r="AA1307" s="1645"/>
      <c r="AB1307" s="1645"/>
      <c r="AC1307" s="1645"/>
      <c r="AD1307" s="1645"/>
      <c r="AE1307" s="1645"/>
      <c r="AF1307" s="1645"/>
      <c r="AG1307" s="1645"/>
      <c r="AH1307" s="1645"/>
      <c r="AI1307" s="1645"/>
      <c r="AJ1307" s="1645"/>
      <c r="AK1307" s="1645"/>
      <c r="AL1307" s="1645"/>
      <c r="AM1307" s="1645"/>
      <c r="AN1307" s="1645"/>
      <c r="AO1307" s="1645"/>
      <c r="AP1307" s="1645"/>
      <c r="AQ1307" s="1645"/>
      <c r="AR1307" s="1645"/>
      <c r="AS1307" s="1645"/>
      <c r="AT1307" s="1645"/>
      <c r="AU1307" s="1645"/>
      <c r="AV1307" s="1645"/>
      <c r="AW1307" s="1645"/>
      <c r="AX1307" s="1645"/>
      <c r="AY1307" s="1645"/>
      <c r="AZ1307" s="1645"/>
      <c r="BA1307" s="1645"/>
      <c r="BB1307" s="1645"/>
      <c r="BC1307" s="1645"/>
      <c r="BD1307" s="1645"/>
      <c r="BE1307" s="1645"/>
      <c r="BF1307" s="1645"/>
      <c r="BG1307" s="1645"/>
      <c r="BH1307" s="1645"/>
      <c r="BI1307" s="1645"/>
      <c r="BJ1307" s="1645"/>
      <c r="BK1307" s="1645"/>
      <c r="BL1307" s="1645"/>
      <c r="BM1307" s="1645"/>
      <c r="BN1307" s="1645"/>
      <c r="BO1307" s="1645"/>
      <c r="BP1307" s="1645"/>
      <c r="BQ1307" s="1645"/>
      <c r="BR1307" s="1645"/>
      <c r="BS1307" s="1645"/>
      <c r="BT1307" s="1645"/>
      <c r="BU1307" s="1645"/>
      <c r="BV1307" s="1645"/>
      <c r="BW1307" s="1645"/>
      <c r="BX1307" s="1645"/>
      <c r="BY1307" s="1645"/>
      <c r="BZ1307" s="1645"/>
      <c r="CA1307" s="1645"/>
      <c r="CB1307" s="1645"/>
      <c r="CC1307" s="1645"/>
      <c r="CD1307" s="1645"/>
      <c r="CE1307" s="1645"/>
      <c r="CF1307" s="1645"/>
      <c r="CG1307" s="1645"/>
      <c r="CH1307" s="1645"/>
      <c r="CI1307" s="1645"/>
      <c r="CJ1307" s="1645"/>
      <c r="CK1307" s="1645"/>
      <c r="CL1307" s="1645"/>
      <c r="CM1307" s="1645"/>
      <c r="CN1307" s="1645"/>
      <c r="CO1307" s="1645"/>
      <c r="CP1307" s="1136"/>
      <c r="CQ1307" s="1136"/>
      <c r="CR1307" s="1136"/>
      <c r="CS1307" s="1136"/>
      <c r="CT1307" s="1136"/>
      <c r="CU1307" s="1136"/>
      <c r="CV1307" s="1136"/>
      <c r="CW1307" s="1136"/>
      <c r="CX1307" s="1136"/>
      <c r="CY1307" s="1136"/>
      <c r="CZ1307" s="1136"/>
      <c r="DA1307" s="1136"/>
      <c r="DB1307" s="1136"/>
      <c r="DC1307" s="1136"/>
      <c r="DD1307" s="1136"/>
      <c r="DE1307" s="1136"/>
      <c r="DF1307" s="1136"/>
      <c r="DG1307" s="1136"/>
      <c r="DH1307" s="1136"/>
      <c r="DI1307" s="1136"/>
    </row>
    <row r="1308" spans="1:113" ht="15.75" x14ac:dyDescent="0.25">
      <c r="A1308" s="1391" t="s">
        <v>1853</v>
      </c>
      <c r="B1308" s="1406" t="str">
        <f>B286</f>
        <v/>
      </c>
      <c r="C1308" s="1407"/>
      <c r="D1308" s="1407"/>
      <c r="E1308" s="1407"/>
      <c r="F1308" s="1407"/>
      <c r="G1308" s="1407"/>
      <c r="H1308" s="1070"/>
      <c r="I1308" s="1136"/>
      <c r="J1308" s="1136"/>
      <c r="K1308" s="1136"/>
      <c r="L1308" s="1136"/>
      <c r="M1308" s="1136"/>
      <c r="N1308" s="1136"/>
      <c r="O1308" s="1136"/>
      <c r="P1308" s="1136"/>
      <c r="Q1308" s="1551"/>
      <c r="R1308" s="1551"/>
      <c r="S1308" s="1551"/>
      <c r="T1308" s="1551"/>
      <c r="U1308" s="1551"/>
      <c r="V1308" s="1551"/>
      <c r="W1308" s="1551"/>
      <c r="X1308" s="1551"/>
      <c r="Y1308" s="1551"/>
      <c r="Z1308" s="1551"/>
      <c r="AA1308" s="1645"/>
      <c r="AB1308" s="1645"/>
      <c r="AC1308" s="1645"/>
      <c r="AD1308" s="1645"/>
      <c r="AE1308" s="1645"/>
      <c r="AF1308" s="1645"/>
      <c r="AG1308" s="1645"/>
      <c r="AH1308" s="1645"/>
      <c r="AI1308" s="1645"/>
      <c r="AJ1308" s="1645"/>
      <c r="AK1308" s="1645"/>
      <c r="AL1308" s="1645"/>
      <c r="AM1308" s="1645"/>
      <c r="AN1308" s="1645"/>
      <c r="AO1308" s="1645"/>
      <c r="AP1308" s="1645"/>
      <c r="AQ1308" s="1645"/>
      <c r="AR1308" s="1645"/>
      <c r="AS1308" s="1645"/>
      <c r="AT1308" s="1645"/>
      <c r="AU1308" s="1645"/>
      <c r="AV1308" s="1645"/>
      <c r="AW1308" s="1645"/>
      <c r="AX1308" s="1645"/>
      <c r="AY1308" s="1645"/>
      <c r="AZ1308" s="1645"/>
      <c r="BA1308" s="1645"/>
      <c r="BB1308" s="1645"/>
      <c r="BC1308" s="1645"/>
      <c r="BD1308" s="1645"/>
      <c r="BE1308" s="1645"/>
      <c r="BF1308" s="1645"/>
      <c r="BG1308" s="1645"/>
      <c r="BH1308" s="1645"/>
      <c r="BI1308" s="1645"/>
      <c r="BJ1308" s="1645"/>
      <c r="BK1308" s="1645"/>
      <c r="BL1308" s="1645"/>
      <c r="BM1308" s="1645"/>
      <c r="BN1308" s="1645"/>
      <c r="BO1308" s="1645"/>
      <c r="BP1308" s="1645"/>
      <c r="BQ1308" s="1645"/>
      <c r="BR1308" s="1645"/>
      <c r="BS1308" s="1645"/>
      <c r="BT1308" s="1645"/>
      <c r="BU1308" s="1645"/>
      <c r="BV1308" s="1645"/>
      <c r="BW1308" s="1645"/>
      <c r="BX1308" s="1645"/>
      <c r="BY1308" s="1645"/>
      <c r="BZ1308" s="1645"/>
      <c r="CA1308" s="1645"/>
      <c r="CB1308" s="1645"/>
      <c r="CC1308" s="1645"/>
      <c r="CD1308" s="1645"/>
      <c r="CE1308" s="1645"/>
      <c r="CF1308" s="1645"/>
      <c r="CG1308" s="1645"/>
      <c r="CH1308" s="1645"/>
      <c r="CI1308" s="1645"/>
      <c r="CJ1308" s="1645"/>
      <c r="CK1308" s="1645"/>
      <c r="CL1308" s="1645"/>
      <c r="CM1308" s="1645"/>
      <c r="CN1308" s="1645"/>
      <c r="CO1308" s="1645"/>
      <c r="CP1308" s="1136"/>
      <c r="CQ1308" s="1136"/>
      <c r="CR1308" s="1136"/>
      <c r="CS1308" s="1136"/>
      <c r="CT1308" s="1136"/>
      <c r="CU1308" s="1136"/>
      <c r="CV1308" s="1136"/>
      <c r="CW1308" s="1136"/>
      <c r="CX1308" s="1136"/>
      <c r="CY1308" s="1136"/>
      <c r="CZ1308" s="1136"/>
      <c r="DA1308" s="1136"/>
      <c r="DB1308" s="1136"/>
      <c r="DC1308" s="1136"/>
      <c r="DD1308" s="1136"/>
      <c r="DE1308" s="1136"/>
      <c r="DF1308" s="1136"/>
      <c r="DG1308" s="1136"/>
      <c r="DH1308" s="1136"/>
      <c r="DI1308" s="1136"/>
    </row>
    <row r="1309" spans="1:113" ht="15.75" x14ac:dyDescent="0.25">
      <c r="A1309" s="1483" t="s">
        <v>1854</v>
      </c>
      <c r="B1309" s="1641">
        <f>IF(B1308&lt;2.21,12.9*B1308+1.7,28.4)</f>
        <v>28.4</v>
      </c>
      <c r="C1309" s="1407"/>
      <c r="D1309" s="1407"/>
      <c r="E1309" s="1407"/>
      <c r="F1309" s="1407"/>
      <c r="G1309" s="1407"/>
      <c r="H1309" s="1070"/>
      <c r="I1309" s="1136"/>
      <c r="J1309" s="1136"/>
      <c r="K1309" s="1136"/>
      <c r="L1309" s="1136"/>
      <c r="M1309" s="1136"/>
      <c r="N1309" s="1136"/>
      <c r="O1309" s="1136"/>
      <c r="P1309" s="1136"/>
      <c r="Q1309" s="1551"/>
      <c r="R1309" s="1551"/>
      <c r="S1309" s="1551"/>
      <c r="T1309" s="1551"/>
      <c r="U1309" s="1551"/>
      <c r="V1309" s="1551"/>
      <c r="W1309" s="1551"/>
      <c r="X1309" s="1551"/>
      <c r="Y1309" s="1551"/>
      <c r="Z1309" s="1551"/>
      <c r="AA1309" s="1645"/>
      <c r="AB1309" s="1645"/>
      <c r="AC1309" s="1645"/>
      <c r="AD1309" s="1645"/>
      <c r="AE1309" s="1645"/>
      <c r="AF1309" s="1645"/>
      <c r="AG1309" s="1645"/>
      <c r="AH1309" s="1645"/>
      <c r="AI1309" s="1645"/>
      <c r="AJ1309" s="1645"/>
      <c r="AK1309" s="1645"/>
      <c r="AL1309" s="1645"/>
      <c r="AM1309" s="1645"/>
      <c r="AN1309" s="1645"/>
      <c r="AO1309" s="1645"/>
      <c r="AP1309" s="1645"/>
      <c r="AQ1309" s="1645"/>
      <c r="AR1309" s="1645"/>
      <c r="AS1309" s="1645"/>
      <c r="AT1309" s="1645"/>
      <c r="AU1309" s="1645"/>
      <c r="AV1309" s="1645"/>
      <c r="AW1309" s="1645"/>
      <c r="AX1309" s="1645"/>
      <c r="AY1309" s="1645"/>
      <c r="AZ1309" s="1645"/>
      <c r="BA1309" s="1645"/>
      <c r="BB1309" s="1645"/>
      <c r="BC1309" s="1645"/>
      <c r="BD1309" s="1645"/>
      <c r="BE1309" s="1645"/>
      <c r="BF1309" s="1645"/>
      <c r="BG1309" s="1645"/>
      <c r="BH1309" s="1645"/>
      <c r="BI1309" s="1645"/>
      <c r="BJ1309" s="1645"/>
      <c r="BK1309" s="1645"/>
      <c r="BL1309" s="1645"/>
      <c r="BM1309" s="1645"/>
      <c r="BN1309" s="1645"/>
      <c r="BO1309" s="1645"/>
      <c r="BP1309" s="1645"/>
      <c r="BQ1309" s="1645"/>
      <c r="BR1309" s="1645"/>
      <c r="BS1309" s="1645"/>
      <c r="BT1309" s="1645"/>
      <c r="BU1309" s="1645"/>
      <c r="BV1309" s="1645"/>
      <c r="BW1309" s="1645"/>
      <c r="BX1309" s="1645"/>
      <c r="BY1309" s="1645"/>
      <c r="BZ1309" s="1645"/>
      <c r="CA1309" s="1645"/>
      <c r="CB1309" s="1645"/>
      <c r="CC1309" s="1645"/>
      <c r="CD1309" s="1645"/>
      <c r="CE1309" s="1645"/>
      <c r="CF1309" s="1645"/>
      <c r="CG1309" s="1645"/>
      <c r="CH1309" s="1645"/>
      <c r="CI1309" s="1645"/>
      <c r="CJ1309" s="1645"/>
      <c r="CK1309" s="1645"/>
      <c r="CL1309" s="1645"/>
      <c r="CM1309" s="1645"/>
      <c r="CN1309" s="1645"/>
      <c r="CO1309" s="1645"/>
      <c r="CP1309" s="1136"/>
      <c r="CQ1309" s="1136"/>
      <c r="CR1309" s="1136"/>
      <c r="CS1309" s="1136"/>
      <c r="CT1309" s="1136"/>
      <c r="CU1309" s="1136"/>
      <c r="CV1309" s="1136"/>
      <c r="CW1309" s="1136"/>
      <c r="CX1309" s="1136"/>
      <c r="CY1309" s="1136"/>
      <c r="CZ1309" s="1136"/>
      <c r="DA1309" s="1136"/>
      <c r="DB1309" s="1136"/>
      <c r="DC1309" s="1136"/>
      <c r="DD1309" s="1136"/>
      <c r="DE1309" s="1136"/>
      <c r="DF1309" s="1136"/>
      <c r="DG1309" s="1136"/>
      <c r="DH1309" s="1136"/>
      <c r="DI1309" s="1136"/>
    </row>
    <row r="1310" spans="1:113" ht="15.75" x14ac:dyDescent="0.25">
      <c r="A1310" s="1483" t="s">
        <v>1855</v>
      </c>
      <c r="B1310" s="1641" t="e">
        <f>B1307/B1309</f>
        <v>#VALUE!</v>
      </c>
      <c r="C1310" s="1407"/>
      <c r="D1310" s="1407"/>
      <c r="E1310" s="1407"/>
      <c r="F1310" s="1407"/>
      <c r="G1310" s="1407"/>
      <c r="H1310" s="1070"/>
      <c r="I1310" s="1136"/>
      <c r="J1310" s="1136"/>
      <c r="K1310" s="1136"/>
      <c r="L1310" s="1136"/>
      <c r="M1310" s="1136"/>
      <c r="N1310" s="1136"/>
      <c r="O1310" s="1136"/>
      <c r="P1310" s="1136"/>
      <c r="Q1310" s="1551"/>
      <c r="R1310" s="1551"/>
      <c r="S1310" s="1551"/>
      <c r="T1310" s="1551"/>
      <c r="U1310" s="1551"/>
      <c r="V1310" s="1551"/>
      <c r="W1310" s="1551"/>
      <c r="X1310" s="1551"/>
      <c r="Y1310" s="1551"/>
      <c r="Z1310" s="1551"/>
      <c r="AA1310" s="1645"/>
      <c r="AB1310" s="1645"/>
      <c r="AC1310" s="1645"/>
      <c r="AD1310" s="1645"/>
      <c r="AE1310" s="1645"/>
      <c r="AF1310" s="1645"/>
      <c r="AG1310" s="1645"/>
      <c r="AH1310" s="1645"/>
      <c r="AI1310" s="1645"/>
      <c r="AJ1310" s="1645"/>
      <c r="AK1310" s="1645"/>
      <c r="AL1310" s="1645"/>
      <c r="AM1310" s="1645"/>
      <c r="AN1310" s="1645"/>
      <c r="AO1310" s="1645"/>
      <c r="AP1310" s="1645"/>
      <c r="AQ1310" s="1645"/>
      <c r="AR1310" s="1645"/>
      <c r="AS1310" s="1645"/>
      <c r="AT1310" s="1645"/>
      <c r="AU1310" s="1645"/>
      <c r="AV1310" s="1645"/>
      <c r="AW1310" s="1645"/>
      <c r="AX1310" s="1645"/>
      <c r="AY1310" s="1645"/>
      <c r="AZ1310" s="1645"/>
      <c r="BA1310" s="1645"/>
      <c r="BB1310" s="1645"/>
      <c r="BC1310" s="1645"/>
      <c r="BD1310" s="1645"/>
      <c r="BE1310" s="1645"/>
      <c r="BF1310" s="1645"/>
      <c r="BG1310" s="1645"/>
      <c r="BH1310" s="1645"/>
      <c r="BI1310" s="1645"/>
      <c r="BJ1310" s="1645"/>
      <c r="BK1310" s="1645"/>
      <c r="BL1310" s="1645"/>
      <c r="BM1310" s="1645"/>
      <c r="BN1310" s="1645"/>
      <c r="BO1310" s="1645"/>
      <c r="BP1310" s="1645"/>
      <c r="BQ1310" s="1645"/>
      <c r="BR1310" s="1645"/>
      <c r="BS1310" s="1645"/>
      <c r="BT1310" s="1645"/>
      <c r="BU1310" s="1645"/>
      <c r="BV1310" s="1645"/>
      <c r="BW1310" s="1645"/>
      <c r="BX1310" s="1645"/>
      <c r="BY1310" s="1645"/>
      <c r="BZ1310" s="1645"/>
      <c r="CA1310" s="1645"/>
      <c r="CB1310" s="1645"/>
      <c r="CC1310" s="1645"/>
      <c r="CD1310" s="1645"/>
      <c r="CE1310" s="1645"/>
      <c r="CF1310" s="1645"/>
      <c r="CG1310" s="1645"/>
      <c r="CH1310" s="1645"/>
      <c r="CI1310" s="1645"/>
      <c r="CJ1310" s="1645"/>
      <c r="CK1310" s="1645"/>
      <c r="CL1310" s="1645"/>
      <c r="CM1310" s="1645"/>
      <c r="CN1310" s="1645"/>
      <c r="CO1310" s="1645"/>
      <c r="CP1310" s="1136"/>
      <c r="CQ1310" s="1136"/>
      <c r="CR1310" s="1136"/>
      <c r="CS1310" s="1136"/>
      <c r="CT1310" s="1136"/>
      <c r="CU1310" s="1136"/>
      <c r="CV1310" s="1136"/>
      <c r="CW1310" s="1136"/>
      <c r="CX1310" s="1136"/>
      <c r="CY1310" s="1136"/>
      <c r="CZ1310" s="1136"/>
      <c r="DA1310" s="1136"/>
      <c r="DB1310" s="1136"/>
      <c r="DC1310" s="1136"/>
      <c r="DD1310" s="1136"/>
      <c r="DE1310" s="1136"/>
      <c r="DF1310" s="1136"/>
      <c r="DG1310" s="1136"/>
      <c r="DH1310" s="1136"/>
      <c r="DI1310" s="1136"/>
    </row>
    <row r="1311" spans="1:113" ht="15.75" x14ac:dyDescent="0.25">
      <c r="A1311" s="1391" t="s">
        <v>1856</v>
      </c>
      <c r="B1311" s="1404">
        <v>0</v>
      </c>
      <c r="C1311" s="1070"/>
      <c r="D1311" s="1070"/>
      <c r="E1311" s="1070"/>
      <c r="F1311" s="1070"/>
      <c r="G1311" s="1070"/>
      <c r="H1311" s="1070"/>
      <c r="I1311" s="1136"/>
      <c r="J1311" s="1136"/>
      <c r="K1311" s="1136"/>
      <c r="L1311" s="1136"/>
      <c r="M1311" s="1136"/>
      <c r="N1311" s="1136"/>
      <c r="O1311" s="1136"/>
      <c r="P1311" s="1136"/>
      <c r="Q1311" s="1551"/>
      <c r="R1311" s="1551"/>
      <c r="S1311" s="1551"/>
      <c r="T1311" s="1551"/>
      <c r="U1311" s="1551"/>
      <c r="V1311" s="1551"/>
      <c r="W1311" s="1551"/>
      <c r="X1311" s="1551"/>
      <c r="Y1311" s="1551"/>
      <c r="Z1311" s="1551"/>
      <c r="AA1311" s="1645"/>
      <c r="AB1311" s="1645"/>
      <c r="AC1311" s="1645"/>
      <c r="AD1311" s="1645"/>
      <c r="AE1311" s="1645"/>
      <c r="AF1311" s="1645"/>
      <c r="AG1311" s="1645"/>
      <c r="AH1311" s="1645"/>
      <c r="AI1311" s="1645"/>
      <c r="AJ1311" s="1645"/>
      <c r="AK1311" s="1645"/>
      <c r="AL1311" s="1645"/>
      <c r="AM1311" s="1645"/>
      <c r="AN1311" s="1645"/>
      <c r="AO1311" s="1645"/>
      <c r="AP1311" s="1645"/>
      <c r="AQ1311" s="1645"/>
      <c r="AR1311" s="1645"/>
      <c r="AS1311" s="1645"/>
      <c r="AT1311" s="1645"/>
      <c r="AU1311" s="1645"/>
      <c r="AV1311" s="1645"/>
      <c r="AW1311" s="1645"/>
      <c r="AX1311" s="1645"/>
      <c r="AY1311" s="1645"/>
      <c r="AZ1311" s="1645"/>
      <c r="BA1311" s="1645"/>
      <c r="BB1311" s="1645"/>
      <c r="BC1311" s="1645"/>
      <c r="BD1311" s="1645"/>
      <c r="BE1311" s="1645"/>
      <c r="BF1311" s="1645"/>
      <c r="BG1311" s="1645"/>
      <c r="BH1311" s="1645"/>
      <c r="BI1311" s="1645"/>
      <c r="BJ1311" s="1645"/>
      <c r="BK1311" s="1645"/>
      <c r="BL1311" s="1645"/>
      <c r="BM1311" s="1645"/>
      <c r="BN1311" s="1645"/>
      <c r="BO1311" s="1645"/>
      <c r="BP1311" s="1645"/>
      <c r="BQ1311" s="1645"/>
      <c r="BR1311" s="1645"/>
      <c r="BS1311" s="1645"/>
      <c r="BT1311" s="1645"/>
      <c r="BU1311" s="1645"/>
      <c r="BV1311" s="1645"/>
      <c r="BW1311" s="1645"/>
      <c r="BX1311" s="1645"/>
      <c r="BY1311" s="1645"/>
      <c r="BZ1311" s="1645"/>
      <c r="CA1311" s="1645"/>
      <c r="CB1311" s="1645"/>
      <c r="CC1311" s="1645"/>
      <c r="CD1311" s="1645"/>
      <c r="CE1311" s="1645"/>
      <c r="CF1311" s="1645"/>
      <c r="CG1311" s="1645"/>
      <c r="CH1311" s="1645"/>
      <c r="CI1311" s="1645"/>
      <c r="CJ1311" s="1645"/>
      <c r="CK1311" s="1645"/>
      <c r="CL1311" s="1645"/>
      <c r="CM1311" s="1645"/>
      <c r="CN1311" s="1645"/>
      <c r="CO1311" s="1645"/>
      <c r="CP1311" s="1136"/>
      <c r="CQ1311" s="1136"/>
      <c r="CR1311" s="1136"/>
      <c r="CS1311" s="1136"/>
      <c r="CT1311" s="1136"/>
      <c r="CU1311" s="1136"/>
      <c r="CV1311" s="1136"/>
      <c r="CW1311" s="1136"/>
      <c r="CX1311" s="1136"/>
      <c r="CY1311" s="1136"/>
      <c r="CZ1311" s="1136"/>
      <c r="DA1311" s="1136"/>
      <c r="DB1311" s="1136"/>
      <c r="DC1311" s="1136"/>
      <c r="DD1311" s="1136"/>
      <c r="DE1311" s="1136"/>
      <c r="DF1311" s="1136"/>
      <c r="DG1311" s="1136"/>
      <c r="DH1311" s="1136"/>
      <c r="DI1311" s="1136"/>
    </row>
    <row r="1312" spans="1:113" ht="15.75" x14ac:dyDescent="0.25">
      <c r="A1312" s="1391" t="s">
        <v>1857</v>
      </c>
      <c r="B1312" s="1648" t="e">
        <f>B1296+B1298</f>
        <v>#VALUE!</v>
      </c>
      <c r="C1312" s="1485"/>
      <c r="D1312" s="1485"/>
      <c r="E1312" s="1485"/>
      <c r="F1312" s="1485"/>
      <c r="G1312" s="1485"/>
      <c r="H1312" s="1070"/>
      <c r="I1312" s="1136"/>
      <c r="J1312" s="1136"/>
      <c r="K1312" s="1136"/>
      <c r="L1312" s="1136"/>
      <c r="M1312" s="1136"/>
      <c r="N1312" s="1136"/>
      <c r="O1312" s="1136"/>
      <c r="P1312" s="1136"/>
      <c r="Q1312" s="1551"/>
      <c r="R1312" s="1551"/>
      <c r="S1312" s="1551"/>
      <c r="T1312" s="1551"/>
      <c r="U1312" s="1551"/>
      <c r="V1312" s="1551"/>
      <c r="W1312" s="1551"/>
      <c r="X1312" s="1551"/>
      <c r="Y1312" s="1551"/>
      <c r="Z1312" s="1551"/>
      <c r="AA1312" s="1645"/>
      <c r="AB1312" s="1645"/>
      <c r="AC1312" s="1645"/>
      <c r="AD1312" s="1645"/>
      <c r="AE1312" s="1645"/>
      <c r="AF1312" s="1645"/>
      <c r="AG1312" s="1645"/>
      <c r="AH1312" s="1645"/>
      <c r="AI1312" s="1645"/>
      <c r="AJ1312" s="1645"/>
      <c r="AK1312" s="1645"/>
      <c r="AL1312" s="1645"/>
      <c r="AM1312" s="1645"/>
      <c r="AN1312" s="1645"/>
      <c r="AO1312" s="1645"/>
      <c r="AP1312" s="1645"/>
      <c r="AQ1312" s="1645"/>
      <c r="AR1312" s="1645"/>
      <c r="AS1312" s="1645"/>
      <c r="AT1312" s="1645"/>
      <c r="AU1312" s="1645"/>
      <c r="AV1312" s="1645"/>
      <c r="AW1312" s="1645"/>
      <c r="AX1312" s="1645"/>
      <c r="AY1312" s="1645"/>
      <c r="AZ1312" s="1645"/>
      <c r="BA1312" s="1645"/>
      <c r="BB1312" s="1645"/>
      <c r="BC1312" s="1645"/>
      <c r="BD1312" s="1645"/>
      <c r="BE1312" s="1645"/>
      <c r="BF1312" s="1645"/>
      <c r="BG1312" s="1645"/>
      <c r="BH1312" s="1645"/>
      <c r="BI1312" s="1645"/>
      <c r="BJ1312" s="1645"/>
      <c r="BK1312" s="1645"/>
      <c r="BL1312" s="1645"/>
      <c r="BM1312" s="1645"/>
      <c r="BN1312" s="1645"/>
      <c r="BO1312" s="1645"/>
      <c r="BP1312" s="1645"/>
      <c r="BQ1312" s="1645"/>
      <c r="BR1312" s="1645"/>
      <c r="BS1312" s="1645"/>
      <c r="BT1312" s="1645"/>
      <c r="BU1312" s="1645"/>
      <c r="BV1312" s="1645"/>
      <c r="BW1312" s="1645"/>
      <c r="BX1312" s="1645"/>
      <c r="BY1312" s="1645"/>
      <c r="BZ1312" s="1645"/>
      <c r="CA1312" s="1645"/>
      <c r="CB1312" s="1645"/>
      <c r="CC1312" s="1645"/>
      <c r="CD1312" s="1645"/>
      <c r="CE1312" s="1645"/>
      <c r="CF1312" s="1645"/>
      <c r="CG1312" s="1645"/>
      <c r="CH1312" s="1645"/>
      <c r="CI1312" s="1645"/>
      <c r="CJ1312" s="1645"/>
      <c r="CK1312" s="1645"/>
      <c r="CL1312" s="1645"/>
      <c r="CM1312" s="1645"/>
      <c r="CN1312" s="1645"/>
      <c r="CO1312" s="1645"/>
      <c r="CP1312" s="1136"/>
      <c r="CQ1312" s="1136"/>
      <c r="CR1312" s="1136"/>
      <c r="CS1312" s="1136"/>
      <c r="CT1312" s="1136"/>
      <c r="CU1312" s="1136"/>
      <c r="CV1312" s="1136"/>
      <c r="CW1312" s="1136"/>
      <c r="CX1312" s="1136"/>
      <c r="CY1312" s="1136"/>
      <c r="CZ1312" s="1136"/>
      <c r="DA1312" s="1136"/>
      <c r="DB1312" s="1136"/>
      <c r="DC1312" s="1136"/>
      <c r="DD1312" s="1136"/>
      <c r="DE1312" s="1136"/>
      <c r="DF1312" s="1136"/>
      <c r="DG1312" s="1136"/>
      <c r="DH1312" s="1136"/>
      <c r="DI1312" s="1136"/>
    </row>
    <row r="1313" spans="1:113" ht="15.75" x14ac:dyDescent="0.25">
      <c r="A1313" s="1391" t="s">
        <v>1858</v>
      </c>
      <c r="B1313" s="1404">
        <v>0</v>
      </c>
      <c r="C1313" s="1070"/>
      <c r="D1313" s="1070"/>
      <c r="E1313" s="1070"/>
      <c r="F1313" s="1070"/>
      <c r="G1313" s="1070"/>
      <c r="H1313" s="1070"/>
      <c r="I1313" s="1136"/>
      <c r="J1313" s="1136"/>
      <c r="K1313" s="1136"/>
      <c r="L1313" s="1136"/>
      <c r="M1313" s="1136"/>
      <c r="N1313" s="1136"/>
      <c r="O1313" s="1136"/>
      <c r="P1313" s="1136"/>
      <c r="Q1313" s="1551"/>
      <c r="R1313" s="1551"/>
      <c r="S1313" s="1551"/>
      <c r="T1313" s="1551"/>
      <c r="U1313" s="1551"/>
      <c r="V1313" s="1551"/>
      <c r="W1313" s="1551"/>
      <c r="X1313" s="1551"/>
      <c r="Y1313" s="1551"/>
      <c r="Z1313" s="1551"/>
      <c r="AA1313" s="1645"/>
      <c r="AB1313" s="1645"/>
      <c r="AC1313" s="1645"/>
      <c r="AD1313" s="1645"/>
      <c r="AE1313" s="1645"/>
      <c r="AF1313" s="1645"/>
      <c r="AG1313" s="1645"/>
      <c r="AH1313" s="1645"/>
      <c r="AI1313" s="1645"/>
      <c r="AJ1313" s="1645"/>
      <c r="AK1313" s="1645"/>
      <c r="AL1313" s="1645"/>
      <c r="AM1313" s="1645"/>
      <c r="AN1313" s="1645"/>
      <c r="AO1313" s="1645"/>
      <c r="AP1313" s="1645"/>
      <c r="AQ1313" s="1645"/>
      <c r="AR1313" s="1645"/>
      <c r="AS1313" s="1645"/>
      <c r="AT1313" s="1645"/>
      <c r="AU1313" s="1645"/>
      <c r="AV1313" s="1645"/>
      <c r="AW1313" s="1645"/>
      <c r="AX1313" s="1645"/>
      <c r="AY1313" s="1645"/>
      <c r="AZ1313" s="1645"/>
      <c r="BA1313" s="1645"/>
      <c r="BB1313" s="1645"/>
      <c r="BC1313" s="1645"/>
      <c r="BD1313" s="1645"/>
      <c r="BE1313" s="1645"/>
      <c r="BF1313" s="1645"/>
      <c r="BG1313" s="1645"/>
      <c r="BH1313" s="1645"/>
      <c r="BI1313" s="1645"/>
      <c r="BJ1313" s="1645"/>
      <c r="BK1313" s="1645"/>
      <c r="BL1313" s="1645"/>
      <c r="BM1313" s="1645"/>
      <c r="BN1313" s="1645"/>
      <c r="BO1313" s="1645"/>
      <c r="BP1313" s="1645"/>
      <c r="BQ1313" s="1645"/>
      <c r="BR1313" s="1645"/>
      <c r="BS1313" s="1645"/>
      <c r="BT1313" s="1645"/>
      <c r="BU1313" s="1645"/>
      <c r="BV1313" s="1645"/>
      <c r="BW1313" s="1645"/>
      <c r="BX1313" s="1645"/>
      <c r="BY1313" s="1645"/>
      <c r="BZ1313" s="1645"/>
      <c r="CA1313" s="1645"/>
      <c r="CB1313" s="1645"/>
      <c r="CC1313" s="1645"/>
      <c r="CD1313" s="1645"/>
      <c r="CE1313" s="1645"/>
      <c r="CF1313" s="1645"/>
      <c r="CG1313" s="1645"/>
      <c r="CH1313" s="1645"/>
      <c r="CI1313" s="1645"/>
      <c r="CJ1313" s="1645"/>
      <c r="CK1313" s="1645"/>
      <c r="CL1313" s="1645"/>
      <c r="CM1313" s="1645"/>
      <c r="CN1313" s="1645"/>
      <c r="CO1313" s="1645"/>
      <c r="CP1313" s="1136"/>
      <c r="CQ1313" s="1136"/>
      <c r="CR1313" s="1136"/>
      <c r="CS1313" s="1136"/>
      <c r="CT1313" s="1136"/>
      <c r="CU1313" s="1136"/>
      <c r="CV1313" s="1136"/>
      <c r="CW1313" s="1136"/>
      <c r="CX1313" s="1136"/>
      <c r="CY1313" s="1136"/>
      <c r="CZ1313" s="1136"/>
      <c r="DA1313" s="1136"/>
      <c r="DB1313" s="1136"/>
      <c r="DC1313" s="1136"/>
      <c r="DD1313" s="1136"/>
      <c r="DE1313" s="1136"/>
      <c r="DF1313" s="1136"/>
      <c r="DG1313" s="1136"/>
      <c r="DH1313" s="1136"/>
      <c r="DI1313" s="1136"/>
    </row>
    <row r="1314" spans="1:113" ht="15.75" x14ac:dyDescent="0.25">
      <c r="A1314" s="1483" t="s">
        <v>4591</v>
      </c>
      <c r="B1314" s="1641" t="e">
        <f>SUM(B1311:B1313)</f>
        <v>#VALUE!</v>
      </c>
      <c r="C1314" s="1407"/>
      <c r="D1314" s="1407"/>
      <c r="E1314" s="1407"/>
      <c r="F1314" s="1407"/>
      <c r="G1314" s="1407"/>
      <c r="H1314" s="1070"/>
      <c r="I1314" s="1136"/>
      <c r="J1314" s="1136"/>
      <c r="K1314" s="1136"/>
      <c r="L1314" s="1136"/>
      <c r="M1314" s="1136"/>
      <c r="N1314" s="1136"/>
      <c r="O1314" s="1136"/>
      <c r="P1314" s="1136"/>
      <c r="Q1314" s="1551"/>
      <c r="R1314" s="1551"/>
      <c r="S1314" s="1551"/>
      <c r="T1314" s="1551"/>
      <c r="U1314" s="1551"/>
      <c r="V1314" s="1551"/>
      <c r="W1314" s="1551"/>
      <c r="X1314" s="1551"/>
      <c r="Y1314" s="1551"/>
      <c r="Z1314" s="1551"/>
      <c r="AA1314" s="1645"/>
      <c r="AB1314" s="1645"/>
      <c r="AC1314" s="1645"/>
      <c r="AD1314" s="1645"/>
      <c r="AE1314" s="1645"/>
      <c r="AF1314" s="1645"/>
      <c r="AG1314" s="1645"/>
      <c r="AH1314" s="1645"/>
      <c r="AI1314" s="1645"/>
      <c r="AJ1314" s="1645"/>
      <c r="AK1314" s="1645"/>
      <c r="AL1314" s="1645"/>
      <c r="AM1314" s="1645"/>
      <c r="AN1314" s="1645"/>
      <c r="AO1314" s="1645"/>
      <c r="AP1314" s="1645"/>
      <c r="AQ1314" s="1645"/>
      <c r="AR1314" s="1645"/>
      <c r="AS1314" s="1645"/>
      <c r="AT1314" s="1645"/>
      <c r="AU1314" s="1645"/>
      <c r="AV1314" s="1645"/>
      <c r="AW1314" s="1645"/>
      <c r="AX1314" s="1645"/>
      <c r="AY1314" s="1645"/>
      <c r="AZ1314" s="1645"/>
      <c r="BA1314" s="1645"/>
      <c r="BB1314" s="1645"/>
      <c r="BC1314" s="1645"/>
      <c r="BD1314" s="1645"/>
      <c r="BE1314" s="1645"/>
      <c r="BF1314" s="1645"/>
      <c r="BG1314" s="1645"/>
      <c r="BH1314" s="1645"/>
      <c r="BI1314" s="1645"/>
      <c r="BJ1314" s="1645"/>
      <c r="BK1314" s="1645"/>
      <c r="BL1314" s="1645"/>
      <c r="BM1314" s="1645"/>
      <c r="BN1314" s="1645"/>
      <c r="BO1314" s="1645"/>
      <c r="BP1314" s="1645"/>
      <c r="BQ1314" s="1645"/>
      <c r="BR1314" s="1645"/>
      <c r="BS1314" s="1645"/>
      <c r="BT1314" s="1645"/>
      <c r="BU1314" s="1645"/>
      <c r="BV1314" s="1645"/>
      <c r="BW1314" s="1645"/>
      <c r="BX1314" s="1645"/>
      <c r="BY1314" s="1645"/>
      <c r="BZ1314" s="1645"/>
      <c r="CA1314" s="1645"/>
      <c r="CB1314" s="1645"/>
      <c r="CC1314" s="1645"/>
      <c r="CD1314" s="1645"/>
      <c r="CE1314" s="1645"/>
      <c r="CF1314" s="1645"/>
      <c r="CG1314" s="1645"/>
      <c r="CH1314" s="1645"/>
      <c r="CI1314" s="1645"/>
      <c r="CJ1314" s="1645"/>
      <c r="CK1314" s="1645"/>
      <c r="CL1314" s="1645"/>
      <c r="CM1314" s="1645"/>
      <c r="CN1314" s="1645"/>
      <c r="CO1314" s="1645"/>
      <c r="CP1314" s="1136"/>
      <c r="CQ1314" s="1136"/>
      <c r="CR1314" s="1136"/>
      <c r="CS1314" s="1136"/>
      <c r="CT1314" s="1136"/>
      <c r="CU1314" s="1136"/>
      <c r="CV1314" s="1136"/>
      <c r="CW1314" s="1136"/>
      <c r="CX1314" s="1136"/>
      <c r="CY1314" s="1136"/>
      <c r="CZ1314" s="1136"/>
      <c r="DA1314" s="1136"/>
      <c r="DB1314" s="1136"/>
      <c r="DC1314" s="1136"/>
      <c r="DD1314" s="1136"/>
      <c r="DE1314" s="1136"/>
      <c r="DF1314" s="1136"/>
      <c r="DG1314" s="1136"/>
      <c r="DH1314" s="1136"/>
      <c r="DI1314" s="1136"/>
    </row>
    <row r="1315" spans="1:113" ht="15.75" x14ac:dyDescent="0.25">
      <c r="A1315" s="1483" t="s">
        <v>1854</v>
      </c>
      <c r="B1315" s="1641">
        <v>24.2</v>
      </c>
      <c r="C1315" s="1407"/>
      <c r="D1315" s="1407"/>
      <c r="E1315" s="1407"/>
      <c r="F1315" s="1407"/>
      <c r="G1315" s="1407"/>
      <c r="H1315" s="1070"/>
      <c r="I1315" s="1136"/>
      <c r="J1315" s="1136"/>
      <c r="K1315" s="1136"/>
      <c r="L1315" s="1136"/>
      <c r="M1315" s="1136"/>
      <c r="N1315" s="1136"/>
      <c r="O1315" s="1136"/>
      <c r="P1315" s="1136"/>
      <c r="Q1315" s="1551"/>
      <c r="R1315" s="1551"/>
      <c r="S1315" s="1551"/>
      <c r="T1315" s="1551"/>
      <c r="U1315" s="1551"/>
      <c r="V1315" s="1551"/>
      <c r="W1315" s="1551"/>
      <c r="X1315" s="1551"/>
      <c r="Y1315" s="1551"/>
      <c r="Z1315" s="1551"/>
      <c r="AA1315" s="1645"/>
      <c r="AB1315" s="1645"/>
      <c r="AC1315" s="1645"/>
      <c r="AD1315" s="1645"/>
      <c r="AE1315" s="1645"/>
      <c r="AF1315" s="1645"/>
      <c r="AG1315" s="1645"/>
      <c r="AH1315" s="1645"/>
      <c r="AI1315" s="1645"/>
      <c r="AJ1315" s="1645"/>
      <c r="AK1315" s="1645"/>
      <c r="AL1315" s="1645"/>
      <c r="AM1315" s="1645"/>
      <c r="AN1315" s="1645"/>
      <c r="AO1315" s="1645"/>
      <c r="AP1315" s="1645"/>
      <c r="AQ1315" s="1645"/>
      <c r="AR1315" s="1645"/>
      <c r="AS1315" s="1645"/>
      <c r="AT1315" s="1645"/>
      <c r="AU1315" s="1645"/>
      <c r="AV1315" s="1645"/>
      <c r="AW1315" s="1645"/>
      <c r="AX1315" s="1645"/>
      <c r="AY1315" s="1645"/>
      <c r="AZ1315" s="1645"/>
      <c r="BA1315" s="1645"/>
      <c r="BB1315" s="1645"/>
      <c r="BC1315" s="1645"/>
      <c r="BD1315" s="1645"/>
      <c r="BE1315" s="1645"/>
      <c r="BF1315" s="1645"/>
      <c r="BG1315" s="1645"/>
      <c r="BH1315" s="1645"/>
      <c r="BI1315" s="1645"/>
      <c r="BJ1315" s="1645"/>
      <c r="BK1315" s="1645"/>
      <c r="BL1315" s="1645"/>
      <c r="BM1315" s="1645"/>
      <c r="BN1315" s="1645"/>
      <c r="BO1315" s="1645"/>
      <c r="BP1315" s="1645"/>
      <c r="BQ1315" s="1645"/>
      <c r="BR1315" s="1645"/>
      <c r="BS1315" s="1645"/>
      <c r="BT1315" s="1645"/>
      <c r="BU1315" s="1645"/>
      <c r="BV1315" s="1645"/>
      <c r="BW1315" s="1645"/>
      <c r="BX1315" s="1645"/>
      <c r="BY1315" s="1645"/>
      <c r="BZ1315" s="1645"/>
      <c r="CA1315" s="1645"/>
      <c r="CB1315" s="1645"/>
      <c r="CC1315" s="1645"/>
      <c r="CD1315" s="1645"/>
      <c r="CE1315" s="1645"/>
      <c r="CF1315" s="1645"/>
      <c r="CG1315" s="1645"/>
      <c r="CH1315" s="1645"/>
      <c r="CI1315" s="1645"/>
      <c r="CJ1315" s="1645"/>
      <c r="CK1315" s="1645"/>
      <c r="CL1315" s="1645"/>
      <c r="CM1315" s="1645"/>
      <c r="CN1315" s="1645"/>
      <c r="CO1315" s="1645"/>
      <c r="CP1315" s="1136"/>
      <c r="CQ1315" s="1136"/>
      <c r="CR1315" s="1136"/>
      <c r="CS1315" s="1136"/>
      <c r="CT1315" s="1136"/>
      <c r="CU1315" s="1136"/>
      <c r="CV1315" s="1136"/>
      <c r="CW1315" s="1136"/>
      <c r="CX1315" s="1136"/>
      <c r="CY1315" s="1136"/>
      <c r="CZ1315" s="1136"/>
      <c r="DA1315" s="1136"/>
      <c r="DB1315" s="1136"/>
      <c r="DC1315" s="1136"/>
      <c r="DD1315" s="1136"/>
      <c r="DE1315" s="1136"/>
      <c r="DF1315" s="1136"/>
      <c r="DG1315" s="1136"/>
      <c r="DH1315" s="1136"/>
      <c r="DI1315" s="1136"/>
    </row>
    <row r="1316" spans="1:113" ht="15.75" x14ac:dyDescent="0.25">
      <c r="A1316" s="1483" t="s">
        <v>1855</v>
      </c>
      <c r="B1316" s="1641" t="e">
        <f>B1314/B1315</f>
        <v>#VALUE!</v>
      </c>
      <c r="C1316" s="1407"/>
      <c r="D1316" s="1407"/>
      <c r="E1316" s="1407"/>
      <c r="F1316" s="1407"/>
      <c r="G1316" s="1407"/>
      <c r="H1316" s="1070"/>
      <c r="I1316" s="1136"/>
      <c r="J1316" s="1136"/>
      <c r="K1316" s="1136"/>
      <c r="L1316" s="1136"/>
      <c r="M1316" s="1136"/>
      <c r="N1316" s="1136"/>
      <c r="O1316" s="1136"/>
      <c r="P1316" s="1136"/>
      <c r="Q1316" s="1551"/>
      <c r="R1316" s="1551"/>
      <c r="S1316" s="1551"/>
      <c r="T1316" s="1551"/>
      <c r="U1316" s="1551"/>
      <c r="V1316" s="1551"/>
      <c r="W1316" s="1551"/>
      <c r="X1316" s="1551"/>
      <c r="Y1316" s="1551"/>
      <c r="Z1316" s="1551"/>
      <c r="AA1316" s="1645"/>
      <c r="AB1316" s="1645"/>
      <c r="AC1316" s="1645"/>
      <c r="AD1316" s="1645"/>
      <c r="AE1316" s="1645"/>
      <c r="AF1316" s="1645"/>
      <c r="AG1316" s="1645"/>
      <c r="AH1316" s="1645"/>
      <c r="AI1316" s="1645"/>
      <c r="AJ1316" s="1645"/>
      <c r="AK1316" s="1645"/>
      <c r="AL1316" s="1645"/>
      <c r="AM1316" s="1645"/>
      <c r="AN1316" s="1645"/>
      <c r="AO1316" s="1645"/>
      <c r="AP1316" s="1645"/>
      <c r="AQ1316" s="1645"/>
      <c r="AR1316" s="1645"/>
      <c r="AS1316" s="1645"/>
      <c r="AT1316" s="1645"/>
      <c r="AU1316" s="1645"/>
      <c r="AV1316" s="1645"/>
      <c r="AW1316" s="1645"/>
      <c r="AX1316" s="1645"/>
      <c r="AY1316" s="1645"/>
      <c r="AZ1316" s="1645"/>
      <c r="BA1316" s="1645"/>
      <c r="BB1316" s="1645"/>
      <c r="BC1316" s="1645"/>
      <c r="BD1316" s="1645"/>
      <c r="BE1316" s="1645"/>
      <c r="BF1316" s="1645"/>
      <c r="BG1316" s="1645"/>
      <c r="BH1316" s="1645"/>
      <c r="BI1316" s="1645"/>
      <c r="BJ1316" s="1645"/>
      <c r="BK1316" s="1645"/>
      <c r="BL1316" s="1645"/>
      <c r="BM1316" s="1645"/>
      <c r="BN1316" s="1645"/>
      <c r="BO1316" s="1645"/>
      <c r="BP1316" s="1645"/>
      <c r="BQ1316" s="1645"/>
      <c r="BR1316" s="1645"/>
      <c r="BS1316" s="1645"/>
      <c r="BT1316" s="1645"/>
      <c r="BU1316" s="1645"/>
      <c r="BV1316" s="1645"/>
      <c r="BW1316" s="1645"/>
      <c r="BX1316" s="1645"/>
      <c r="BY1316" s="1645"/>
      <c r="BZ1316" s="1645"/>
      <c r="CA1316" s="1645"/>
      <c r="CB1316" s="1645"/>
      <c r="CC1316" s="1645"/>
      <c r="CD1316" s="1645"/>
      <c r="CE1316" s="1645"/>
      <c r="CF1316" s="1645"/>
      <c r="CG1316" s="1645"/>
      <c r="CH1316" s="1645"/>
      <c r="CI1316" s="1645"/>
      <c r="CJ1316" s="1645"/>
      <c r="CK1316" s="1645"/>
      <c r="CL1316" s="1645"/>
      <c r="CM1316" s="1645"/>
      <c r="CN1316" s="1645"/>
      <c r="CO1316" s="1645"/>
      <c r="CP1316" s="1136"/>
      <c r="CQ1316" s="1136"/>
      <c r="CR1316" s="1136"/>
      <c r="CS1316" s="1136"/>
      <c r="CT1316" s="1136"/>
      <c r="CU1316" s="1136"/>
      <c r="CV1316" s="1136"/>
      <c r="CW1316" s="1136"/>
      <c r="CX1316" s="1136"/>
      <c r="CY1316" s="1136"/>
      <c r="CZ1316" s="1136"/>
      <c r="DA1316" s="1136"/>
      <c r="DB1316" s="1136"/>
      <c r="DC1316" s="1136"/>
      <c r="DD1316" s="1136"/>
      <c r="DE1316" s="1136"/>
      <c r="DF1316" s="1136"/>
      <c r="DG1316" s="1136"/>
      <c r="DH1316" s="1136"/>
      <c r="DI1316" s="1136"/>
    </row>
    <row r="1317" spans="1:113" ht="15.75" x14ac:dyDescent="0.25">
      <c r="A1317" s="1649" t="s">
        <v>4592</v>
      </c>
      <c r="B1317" s="1046"/>
      <c r="C1317" s="1070"/>
      <c r="D1317" s="1070"/>
      <c r="E1317" s="1070"/>
      <c r="F1317" s="1070"/>
      <c r="G1317" s="1070"/>
      <c r="H1317" s="1070"/>
      <c r="I1317" s="1136"/>
      <c r="J1317" s="1136"/>
      <c r="K1317" s="1136"/>
      <c r="L1317" s="1136"/>
      <c r="M1317" s="1136"/>
      <c r="N1317" s="1136"/>
      <c r="O1317" s="1136"/>
      <c r="P1317" s="1136"/>
      <c r="Q1317" s="1551"/>
      <c r="R1317" s="1551"/>
      <c r="S1317" s="1551"/>
      <c r="T1317" s="1551"/>
      <c r="U1317" s="1551"/>
      <c r="V1317" s="1551"/>
      <c r="W1317" s="1551"/>
      <c r="X1317" s="1551"/>
      <c r="Y1317" s="1551"/>
      <c r="Z1317" s="1551"/>
      <c r="AA1317" s="1645"/>
      <c r="AB1317" s="1645"/>
      <c r="AC1317" s="1645"/>
      <c r="AD1317" s="1645"/>
      <c r="AE1317" s="1645"/>
      <c r="AF1317" s="1645"/>
      <c r="AG1317" s="1645"/>
      <c r="AH1317" s="1645"/>
      <c r="AI1317" s="1645"/>
      <c r="AJ1317" s="1645"/>
      <c r="AK1317" s="1645"/>
      <c r="AL1317" s="1645"/>
      <c r="AM1317" s="1645"/>
      <c r="AN1317" s="1645"/>
      <c r="AO1317" s="1645"/>
      <c r="AP1317" s="1645"/>
      <c r="AQ1317" s="1645"/>
      <c r="AR1317" s="1645"/>
      <c r="AS1317" s="1645"/>
      <c r="AT1317" s="1645"/>
      <c r="AU1317" s="1645"/>
      <c r="AV1317" s="1645"/>
      <c r="AW1317" s="1645"/>
      <c r="AX1317" s="1645"/>
      <c r="AY1317" s="1645"/>
      <c r="AZ1317" s="1645"/>
      <c r="BA1317" s="1645"/>
      <c r="BB1317" s="1645"/>
      <c r="BC1317" s="1645"/>
      <c r="BD1317" s="1645"/>
      <c r="BE1317" s="1645"/>
      <c r="BF1317" s="1645"/>
      <c r="BG1317" s="1645"/>
      <c r="BH1317" s="1645"/>
      <c r="BI1317" s="1645"/>
      <c r="BJ1317" s="1645"/>
      <c r="BK1317" s="1645"/>
      <c r="BL1317" s="1645"/>
      <c r="BM1317" s="1645"/>
      <c r="BN1317" s="1645"/>
      <c r="BO1317" s="1645"/>
      <c r="BP1317" s="1645"/>
      <c r="BQ1317" s="1645"/>
      <c r="BR1317" s="1645"/>
      <c r="BS1317" s="1645"/>
      <c r="BT1317" s="1645"/>
      <c r="BU1317" s="1645"/>
      <c r="BV1317" s="1645"/>
      <c r="BW1317" s="1645"/>
      <c r="BX1317" s="1645"/>
      <c r="BY1317" s="1645"/>
      <c r="BZ1317" s="1645"/>
      <c r="CA1317" s="1645"/>
      <c r="CB1317" s="1645"/>
      <c r="CC1317" s="1645"/>
      <c r="CD1317" s="1645"/>
      <c r="CE1317" s="1645"/>
      <c r="CF1317" s="1645"/>
      <c r="CG1317" s="1645"/>
      <c r="CH1317" s="1645"/>
      <c r="CI1317" s="1645"/>
      <c r="CJ1317" s="1645"/>
      <c r="CK1317" s="1645"/>
      <c r="CL1317" s="1645"/>
      <c r="CM1317" s="1645"/>
      <c r="CN1317" s="1645"/>
      <c r="CO1317" s="1645"/>
      <c r="CP1317" s="1136"/>
      <c r="CQ1317" s="1136"/>
      <c r="CR1317" s="1136"/>
      <c r="CS1317" s="1136"/>
      <c r="CT1317" s="1136"/>
      <c r="CU1317" s="1136"/>
      <c r="CV1317" s="1136"/>
      <c r="CW1317" s="1136"/>
      <c r="CX1317" s="1136"/>
      <c r="CY1317" s="1136"/>
      <c r="CZ1317" s="1136"/>
      <c r="DA1317" s="1136"/>
      <c r="DB1317" s="1136"/>
      <c r="DC1317" s="1136"/>
      <c r="DD1317" s="1136"/>
      <c r="DE1317" s="1136"/>
      <c r="DF1317" s="1136"/>
      <c r="DG1317" s="1136"/>
      <c r="DH1317" s="1136"/>
      <c r="DI1317" s="1136"/>
    </row>
    <row r="1318" spans="1:113" ht="15.75" x14ac:dyDescent="0.25">
      <c r="A1318" s="1391" t="s">
        <v>4593</v>
      </c>
      <c r="B1318" s="1650">
        <v>0</v>
      </c>
      <c r="C1318" s="1070"/>
      <c r="D1318" s="1070"/>
      <c r="E1318" s="1070"/>
      <c r="F1318" s="1070"/>
      <c r="G1318" s="1070"/>
      <c r="H1318" s="1070"/>
      <c r="I1318" s="1136"/>
      <c r="J1318" s="1136"/>
      <c r="K1318" s="1136"/>
      <c r="L1318" s="1136"/>
      <c r="M1318" s="1136"/>
      <c r="N1318" s="1136"/>
      <c r="O1318" s="1136"/>
      <c r="P1318" s="1136"/>
      <c r="Q1318" s="1551"/>
      <c r="R1318" s="1551"/>
      <c r="S1318" s="1551"/>
      <c r="T1318" s="1551"/>
      <c r="U1318" s="1551"/>
      <c r="V1318" s="1551"/>
      <c r="W1318" s="1551"/>
      <c r="X1318" s="1551"/>
      <c r="Y1318" s="1551"/>
      <c r="Z1318" s="1551"/>
      <c r="AA1318" s="1645"/>
      <c r="AB1318" s="1645"/>
      <c r="AC1318" s="1645"/>
      <c r="AD1318" s="1645"/>
      <c r="AE1318" s="1645"/>
      <c r="AF1318" s="1645"/>
      <c r="AG1318" s="1645"/>
      <c r="AH1318" s="1645"/>
      <c r="AI1318" s="1645"/>
      <c r="AJ1318" s="1645"/>
      <c r="AK1318" s="1645"/>
      <c r="AL1318" s="1645"/>
      <c r="AM1318" s="1645"/>
      <c r="AN1318" s="1645"/>
      <c r="AO1318" s="1645"/>
      <c r="AP1318" s="1645"/>
      <c r="AQ1318" s="1645"/>
      <c r="AR1318" s="1645"/>
      <c r="AS1318" s="1645"/>
      <c r="AT1318" s="1645"/>
      <c r="AU1318" s="1645"/>
      <c r="AV1318" s="1645"/>
      <c r="AW1318" s="1645"/>
      <c r="AX1318" s="1645"/>
      <c r="AY1318" s="1645"/>
      <c r="AZ1318" s="1645"/>
      <c r="BA1318" s="1645"/>
      <c r="BB1318" s="1645"/>
      <c r="BC1318" s="1645"/>
      <c r="BD1318" s="1645"/>
      <c r="BE1318" s="1645"/>
      <c r="BF1318" s="1645"/>
      <c r="BG1318" s="1645"/>
      <c r="BH1318" s="1645"/>
      <c r="BI1318" s="1645"/>
      <c r="BJ1318" s="1645"/>
      <c r="BK1318" s="1645"/>
      <c r="BL1318" s="1645"/>
      <c r="BM1318" s="1645"/>
      <c r="BN1318" s="1645"/>
      <c r="BO1318" s="1645"/>
      <c r="BP1318" s="1645"/>
      <c r="BQ1318" s="1645"/>
      <c r="BR1318" s="1645"/>
      <c r="BS1318" s="1645"/>
      <c r="BT1318" s="1645"/>
      <c r="BU1318" s="1645"/>
      <c r="BV1318" s="1645"/>
      <c r="BW1318" s="1645"/>
      <c r="BX1318" s="1645"/>
      <c r="BY1318" s="1645"/>
      <c r="BZ1318" s="1645"/>
      <c r="CA1318" s="1645"/>
      <c r="CB1318" s="1645"/>
      <c r="CC1318" s="1645"/>
      <c r="CD1318" s="1645"/>
      <c r="CE1318" s="1645"/>
      <c r="CF1318" s="1645"/>
      <c r="CG1318" s="1645"/>
      <c r="CH1318" s="1645"/>
      <c r="CI1318" s="1645"/>
      <c r="CJ1318" s="1645"/>
      <c r="CK1318" s="1645"/>
      <c r="CL1318" s="1645"/>
      <c r="CM1318" s="1645"/>
      <c r="CN1318" s="1645"/>
      <c r="CO1318" s="1645"/>
      <c r="CP1318" s="1136"/>
      <c r="CQ1318" s="1136"/>
      <c r="CR1318" s="1136"/>
      <c r="CS1318" s="1136"/>
      <c r="CT1318" s="1136"/>
      <c r="CU1318" s="1136"/>
      <c r="CV1318" s="1136"/>
      <c r="CW1318" s="1136"/>
      <c r="CX1318" s="1136"/>
      <c r="CY1318" s="1136"/>
      <c r="CZ1318" s="1136"/>
      <c r="DA1318" s="1136"/>
      <c r="DB1318" s="1136"/>
      <c r="DC1318" s="1136"/>
      <c r="DD1318" s="1136"/>
      <c r="DE1318" s="1136"/>
      <c r="DF1318" s="1136"/>
      <c r="DG1318" s="1136"/>
      <c r="DH1318" s="1136"/>
      <c r="DI1318" s="1136"/>
    </row>
    <row r="1319" spans="1:113" ht="15.75" x14ac:dyDescent="0.25">
      <c r="A1319" s="1483" t="s">
        <v>1854</v>
      </c>
      <c r="B1319" s="1641">
        <f>17*1.15</f>
        <v>19.549999999999997</v>
      </c>
      <c r="C1319" s="1407"/>
      <c r="D1319" s="1407"/>
      <c r="E1319" s="1407"/>
      <c r="F1319" s="1407"/>
      <c r="G1319" s="1407"/>
      <c r="H1319" s="1070"/>
      <c r="I1319" s="1136"/>
      <c r="J1319" s="1136"/>
      <c r="K1319" s="1136"/>
      <c r="L1319" s="1136"/>
      <c r="M1319" s="1136"/>
      <c r="N1319" s="1136"/>
      <c r="O1319" s="1136"/>
      <c r="P1319" s="1136"/>
      <c r="Q1319" s="1551"/>
      <c r="R1319" s="1551"/>
      <c r="S1319" s="1551"/>
      <c r="T1319" s="1551"/>
      <c r="U1319" s="1551"/>
      <c r="V1319" s="1551"/>
      <c r="W1319" s="1551"/>
      <c r="X1319" s="1551"/>
      <c r="Y1319" s="1551"/>
      <c r="Z1319" s="1551"/>
      <c r="AA1319" s="1645"/>
      <c r="AB1319" s="1645"/>
      <c r="AC1319" s="1645"/>
      <c r="AD1319" s="1645"/>
      <c r="AE1319" s="1645"/>
      <c r="AF1319" s="1645"/>
      <c r="AG1319" s="1645"/>
      <c r="AH1319" s="1645"/>
      <c r="AI1319" s="1645"/>
      <c r="AJ1319" s="1645"/>
      <c r="AK1319" s="1645"/>
      <c r="AL1319" s="1645"/>
      <c r="AM1319" s="1645"/>
      <c r="AN1319" s="1645"/>
      <c r="AO1319" s="1645"/>
      <c r="AP1319" s="1645"/>
      <c r="AQ1319" s="1645"/>
      <c r="AR1319" s="1645"/>
      <c r="AS1319" s="1645"/>
      <c r="AT1319" s="1645"/>
      <c r="AU1319" s="1645"/>
      <c r="AV1319" s="1645"/>
      <c r="AW1319" s="1645"/>
      <c r="AX1319" s="1645"/>
      <c r="AY1319" s="1645"/>
      <c r="AZ1319" s="1645"/>
      <c r="BA1319" s="1645"/>
      <c r="BB1319" s="1645"/>
      <c r="BC1319" s="1645"/>
      <c r="BD1319" s="1645"/>
      <c r="BE1319" s="1645"/>
      <c r="BF1319" s="1645"/>
      <c r="BG1319" s="1645"/>
      <c r="BH1319" s="1645"/>
      <c r="BI1319" s="1645"/>
      <c r="BJ1319" s="1645"/>
      <c r="BK1319" s="1645"/>
      <c r="BL1319" s="1645"/>
      <c r="BM1319" s="1645"/>
      <c r="BN1319" s="1645"/>
      <c r="BO1319" s="1645"/>
      <c r="BP1319" s="1645"/>
      <c r="BQ1319" s="1645"/>
      <c r="BR1319" s="1645"/>
      <c r="BS1319" s="1645"/>
      <c r="BT1319" s="1645"/>
      <c r="BU1319" s="1645"/>
      <c r="BV1319" s="1645"/>
      <c r="BW1319" s="1645"/>
      <c r="BX1319" s="1645"/>
      <c r="BY1319" s="1645"/>
      <c r="BZ1319" s="1645"/>
      <c r="CA1319" s="1645"/>
      <c r="CB1319" s="1645"/>
      <c r="CC1319" s="1645"/>
      <c r="CD1319" s="1645"/>
      <c r="CE1319" s="1645"/>
      <c r="CF1319" s="1645"/>
      <c r="CG1319" s="1645"/>
      <c r="CH1319" s="1645"/>
      <c r="CI1319" s="1645"/>
      <c r="CJ1319" s="1645"/>
      <c r="CK1319" s="1645"/>
      <c r="CL1319" s="1645"/>
      <c r="CM1319" s="1645"/>
      <c r="CN1319" s="1645"/>
      <c r="CO1319" s="1645"/>
      <c r="CP1319" s="1136"/>
      <c r="CQ1319" s="1136"/>
      <c r="CR1319" s="1136"/>
      <c r="CS1319" s="1136"/>
      <c r="CT1319" s="1136"/>
      <c r="CU1319" s="1136"/>
      <c r="CV1319" s="1136"/>
      <c r="CW1319" s="1136"/>
      <c r="CX1319" s="1136"/>
      <c r="CY1319" s="1136"/>
      <c r="CZ1319" s="1136"/>
      <c r="DA1319" s="1136"/>
      <c r="DB1319" s="1136"/>
      <c r="DC1319" s="1136"/>
      <c r="DD1319" s="1136"/>
      <c r="DE1319" s="1136"/>
      <c r="DF1319" s="1136"/>
      <c r="DG1319" s="1136"/>
      <c r="DH1319" s="1136"/>
      <c r="DI1319" s="1136"/>
    </row>
    <row r="1320" spans="1:113" ht="15.75" x14ac:dyDescent="0.25">
      <c r="A1320" s="1651" t="s">
        <v>1855</v>
      </c>
      <c r="B1320" s="1641">
        <f>B1318/B1319</f>
        <v>0</v>
      </c>
      <c r="C1320" s="1407"/>
      <c r="D1320" s="1407"/>
      <c r="E1320" s="1407"/>
      <c r="F1320" s="1407"/>
      <c r="G1320" s="1407"/>
      <c r="H1320" s="1070"/>
      <c r="I1320" s="1136"/>
      <c r="J1320" s="1136"/>
      <c r="K1320" s="1136"/>
      <c r="L1320" s="1136"/>
      <c r="M1320" s="1136"/>
      <c r="N1320" s="1136"/>
      <c r="O1320" s="1136"/>
      <c r="P1320" s="1136"/>
      <c r="Q1320" s="1551"/>
      <c r="R1320" s="1551"/>
      <c r="S1320" s="1551"/>
      <c r="T1320" s="1551"/>
      <c r="U1320" s="1551"/>
      <c r="V1320" s="1551"/>
      <c r="W1320" s="1551"/>
      <c r="X1320" s="1551"/>
      <c r="Y1320" s="1551"/>
      <c r="Z1320" s="1551"/>
      <c r="AA1320" s="1645"/>
      <c r="AB1320" s="1645"/>
      <c r="AC1320" s="1645"/>
      <c r="AD1320" s="1645"/>
      <c r="AE1320" s="1645"/>
      <c r="AF1320" s="1645"/>
      <c r="AG1320" s="1645"/>
      <c r="AH1320" s="1645"/>
      <c r="AI1320" s="1645"/>
      <c r="AJ1320" s="1645"/>
      <c r="AK1320" s="1645"/>
      <c r="AL1320" s="1645"/>
      <c r="AM1320" s="1645"/>
      <c r="AN1320" s="1645"/>
      <c r="AO1320" s="1645"/>
      <c r="AP1320" s="1645"/>
      <c r="AQ1320" s="1645"/>
      <c r="AR1320" s="1645"/>
      <c r="AS1320" s="1645"/>
      <c r="AT1320" s="1645"/>
      <c r="AU1320" s="1645"/>
      <c r="AV1320" s="1645"/>
      <c r="AW1320" s="1645"/>
      <c r="AX1320" s="1645"/>
      <c r="AY1320" s="1645"/>
      <c r="AZ1320" s="1645"/>
      <c r="BA1320" s="1645"/>
      <c r="BB1320" s="1645"/>
      <c r="BC1320" s="1645"/>
      <c r="BD1320" s="1645"/>
      <c r="BE1320" s="1645"/>
      <c r="BF1320" s="1645"/>
      <c r="BG1320" s="1645"/>
      <c r="BH1320" s="1645"/>
      <c r="BI1320" s="1645"/>
      <c r="BJ1320" s="1645"/>
      <c r="BK1320" s="1645"/>
      <c r="BL1320" s="1645"/>
      <c r="BM1320" s="1645"/>
      <c r="BN1320" s="1645"/>
      <c r="BO1320" s="1645"/>
      <c r="BP1320" s="1645"/>
      <c r="BQ1320" s="1645"/>
      <c r="BR1320" s="1645"/>
      <c r="BS1320" s="1645"/>
      <c r="BT1320" s="1645"/>
      <c r="BU1320" s="1645"/>
      <c r="BV1320" s="1645"/>
      <c r="BW1320" s="1645"/>
      <c r="BX1320" s="1645"/>
      <c r="BY1320" s="1645"/>
      <c r="BZ1320" s="1645"/>
      <c r="CA1320" s="1645"/>
      <c r="CB1320" s="1645"/>
      <c r="CC1320" s="1645"/>
      <c r="CD1320" s="1645"/>
      <c r="CE1320" s="1645"/>
      <c r="CF1320" s="1645"/>
      <c r="CG1320" s="1645"/>
      <c r="CH1320" s="1645"/>
      <c r="CI1320" s="1645"/>
      <c r="CJ1320" s="1645"/>
      <c r="CK1320" s="1645"/>
      <c r="CL1320" s="1645"/>
      <c r="CM1320" s="1645"/>
      <c r="CN1320" s="1645"/>
      <c r="CO1320" s="1645"/>
      <c r="CP1320" s="1136"/>
      <c r="CQ1320" s="1136"/>
      <c r="CR1320" s="1136"/>
      <c r="CS1320" s="1136"/>
      <c r="CT1320" s="1136"/>
      <c r="CU1320" s="1136"/>
      <c r="CV1320" s="1136"/>
      <c r="CW1320" s="1136"/>
      <c r="CX1320" s="1136"/>
      <c r="CY1320" s="1136"/>
      <c r="CZ1320" s="1136"/>
      <c r="DA1320" s="1136"/>
      <c r="DB1320" s="1136"/>
      <c r="DC1320" s="1136"/>
      <c r="DD1320" s="1136"/>
      <c r="DE1320" s="1136"/>
      <c r="DF1320" s="1136"/>
      <c r="DG1320" s="1136"/>
      <c r="DH1320" s="1136"/>
      <c r="DI1320" s="1136"/>
    </row>
    <row r="1321" spans="1:113" ht="15.75" x14ac:dyDescent="0.25">
      <c r="A1321" s="1652" t="s">
        <v>3724</v>
      </c>
      <c r="B1321" s="1046"/>
      <c r="C1321" s="1070"/>
      <c r="D1321" s="1070"/>
      <c r="E1321" s="1070"/>
      <c r="F1321" s="1070"/>
      <c r="G1321" s="1070"/>
      <c r="H1321" s="1070"/>
      <c r="I1321" s="1136"/>
      <c r="J1321" s="1136"/>
      <c r="K1321" s="1136"/>
      <c r="L1321" s="1136"/>
      <c r="M1321" s="1136"/>
      <c r="N1321" s="1136"/>
      <c r="O1321" s="1136"/>
      <c r="P1321" s="1136"/>
      <c r="Q1321" s="1551"/>
      <c r="R1321" s="1551"/>
      <c r="S1321" s="1551"/>
      <c r="T1321" s="1551"/>
      <c r="U1321" s="1551"/>
      <c r="V1321" s="1551"/>
      <c r="W1321" s="1551"/>
      <c r="X1321" s="1551"/>
      <c r="Y1321" s="1551"/>
      <c r="Z1321" s="1551"/>
      <c r="AA1321" s="1645"/>
      <c r="AB1321" s="1645"/>
      <c r="AC1321" s="1645"/>
      <c r="AD1321" s="1645"/>
      <c r="AE1321" s="1645"/>
      <c r="AF1321" s="1645"/>
      <c r="AG1321" s="1645"/>
      <c r="AH1321" s="1645"/>
      <c r="AI1321" s="1645"/>
      <c r="AJ1321" s="1645"/>
      <c r="AK1321" s="1645"/>
      <c r="AL1321" s="1645"/>
      <c r="AM1321" s="1645"/>
      <c r="AN1321" s="1645"/>
      <c r="AO1321" s="1645"/>
      <c r="AP1321" s="1645"/>
      <c r="AQ1321" s="1645"/>
      <c r="AR1321" s="1645"/>
      <c r="AS1321" s="1645"/>
      <c r="AT1321" s="1645"/>
      <c r="AU1321" s="1645"/>
      <c r="AV1321" s="1645"/>
      <c r="AW1321" s="1645"/>
      <c r="AX1321" s="1645"/>
      <c r="AY1321" s="1645"/>
      <c r="AZ1321" s="1645"/>
      <c r="BA1321" s="1645"/>
      <c r="BB1321" s="1645"/>
      <c r="BC1321" s="1645"/>
      <c r="BD1321" s="1645"/>
      <c r="BE1321" s="1645"/>
      <c r="BF1321" s="1645"/>
      <c r="BG1321" s="1645"/>
      <c r="BH1321" s="1645"/>
      <c r="BI1321" s="1645"/>
      <c r="BJ1321" s="1645"/>
      <c r="BK1321" s="1645"/>
      <c r="BL1321" s="1645"/>
      <c r="BM1321" s="1645"/>
      <c r="BN1321" s="1645"/>
      <c r="BO1321" s="1645"/>
      <c r="BP1321" s="1645"/>
      <c r="BQ1321" s="1645"/>
      <c r="BR1321" s="1645"/>
      <c r="BS1321" s="1645"/>
      <c r="BT1321" s="1645"/>
      <c r="BU1321" s="1645"/>
      <c r="BV1321" s="1645"/>
      <c r="BW1321" s="1645"/>
      <c r="BX1321" s="1645"/>
      <c r="BY1321" s="1645"/>
      <c r="BZ1321" s="1645"/>
      <c r="CA1321" s="1645"/>
      <c r="CB1321" s="1645"/>
      <c r="CC1321" s="1645"/>
      <c r="CD1321" s="1645"/>
      <c r="CE1321" s="1645"/>
      <c r="CF1321" s="1645"/>
      <c r="CG1321" s="1645"/>
      <c r="CH1321" s="1645"/>
      <c r="CI1321" s="1645"/>
      <c r="CJ1321" s="1645"/>
      <c r="CK1321" s="1645"/>
      <c r="CL1321" s="1645"/>
      <c r="CM1321" s="1645"/>
      <c r="CN1321" s="1645"/>
      <c r="CO1321" s="1645"/>
      <c r="CP1321" s="1136"/>
      <c r="CQ1321" s="1136"/>
      <c r="CR1321" s="1136"/>
      <c r="CS1321" s="1136"/>
      <c r="CT1321" s="1136"/>
      <c r="CU1321" s="1136"/>
      <c r="CV1321" s="1136"/>
      <c r="CW1321" s="1136"/>
      <c r="CX1321" s="1136"/>
      <c r="CY1321" s="1136"/>
      <c r="CZ1321" s="1136"/>
      <c r="DA1321" s="1136"/>
      <c r="DB1321" s="1136"/>
      <c r="DC1321" s="1136"/>
      <c r="DD1321" s="1136"/>
      <c r="DE1321" s="1136"/>
      <c r="DF1321" s="1136"/>
      <c r="DG1321" s="1136"/>
      <c r="DH1321" s="1136"/>
      <c r="DI1321" s="1136"/>
    </row>
    <row r="1322" spans="1:113" ht="15.75" x14ac:dyDescent="0.25">
      <c r="A1322" s="1653" t="s">
        <v>3725</v>
      </c>
      <c r="B1322" s="1650">
        <v>50</v>
      </c>
      <c r="C1322" s="1070"/>
      <c r="D1322" s="1070"/>
      <c r="E1322" s="1070"/>
      <c r="F1322" s="1070"/>
      <c r="G1322" s="1070"/>
      <c r="H1322" s="1070"/>
      <c r="I1322" s="1136"/>
      <c r="J1322" s="1136"/>
      <c r="K1322" s="1136"/>
      <c r="L1322" s="1136"/>
      <c r="M1322" s="1136"/>
      <c r="N1322" s="1136"/>
      <c r="O1322" s="1136"/>
      <c r="P1322" s="1136"/>
      <c r="Q1322" s="1551"/>
      <c r="R1322" s="1551"/>
      <c r="S1322" s="1551"/>
      <c r="T1322" s="1551"/>
      <c r="U1322" s="1551"/>
      <c r="V1322" s="1551"/>
      <c r="W1322" s="1551"/>
      <c r="X1322" s="1551"/>
      <c r="Y1322" s="1551"/>
      <c r="Z1322" s="1551"/>
      <c r="AA1322" s="1645"/>
      <c r="AB1322" s="1645"/>
      <c r="AC1322" s="1645"/>
      <c r="AD1322" s="1645"/>
      <c r="AE1322" s="1645"/>
      <c r="AF1322" s="1645"/>
      <c r="AG1322" s="1645"/>
      <c r="AH1322" s="1645"/>
      <c r="AI1322" s="1645"/>
      <c r="AJ1322" s="1645"/>
      <c r="AK1322" s="1645"/>
      <c r="AL1322" s="1645"/>
      <c r="AM1322" s="1645"/>
      <c r="AN1322" s="1645"/>
      <c r="AO1322" s="1645"/>
      <c r="AP1322" s="1645"/>
      <c r="AQ1322" s="1645"/>
      <c r="AR1322" s="1645"/>
      <c r="AS1322" s="1645"/>
      <c r="AT1322" s="1645"/>
      <c r="AU1322" s="1645"/>
      <c r="AV1322" s="1645"/>
      <c r="AW1322" s="1645"/>
      <c r="AX1322" s="1645"/>
      <c r="AY1322" s="1645"/>
      <c r="AZ1322" s="1645"/>
      <c r="BA1322" s="1645"/>
      <c r="BB1322" s="1645"/>
      <c r="BC1322" s="1645"/>
      <c r="BD1322" s="1645"/>
      <c r="BE1322" s="1645"/>
      <c r="BF1322" s="1645"/>
      <c r="BG1322" s="1645"/>
      <c r="BH1322" s="1645"/>
      <c r="BI1322" s="1645"/>
      <c r="BJ1322" s="1645"/>
      <c r="BK1322" s="1645"/>
      <c r="BL1322" s="1645"/>
      <c r="BM1322" s="1645"/>
      <c r="BN1322" s="1645"/>
      <c r="BO1322" s="1645"/>
      <c r="BP1322" s="1645"/>
      <c r="BQ1322" s="1645"/>
      <c r="BR1322" s="1645"/>
      <c r="BS1322" s="1645"/>
      <c r="BT1322" s="1645"/>
      <c r="BU1322" s="1645"/>
      <c r="BV1322" s="1645"/>
      <c r="BW1322" s="1645"/>
      <c r="BX1322" s="1645"/>
      <c r="BY1322" s="1645"/>
      <c r="BZ1322" s="1645"/>
      <c r="CA1322" s="1645"/>
      <c r="CB1322" s="1645"/>
      <c r="CC1322" s="1645"/>
      <c r="CD1322" s="1645"/>
      <c r="CE1322" s="1645"/>
      <c r="CF1322" s="1645"/>
      <c r="CG1322" s="1645"/>
      <c r="CH1322" s="1645"/>
      <c r="CI1322" s="1645"/>
      <c r="CJ1322" s="1645"/>
      <c r="CK1322" s="1645"/>
      <c r="CL1322" s="1645"/>
      <c r="CM1322" s="1645"/>
      <c r="CN1322" s="1645"/>
      <c r="CO1322" s="1645"/>
      <c r="CP1322" s="1136"/>
      <c r="CQ1322" s="1136"/>
      <c r="CR1322" s="1136"/>
      <c r="CS1322" s="1136"/>
      <c r="CT1322" s="1136"/>
      <c r="CU1322" s="1136"/>
      <c r="CV1322" s="1136"/>
      <c r="CW1322" s="1136"/>
      <c r="CX1322" s="1136"/>
      <c r="CY1322" s="1136"/>
      <c r="CZ1322" s="1136"/>
      <c r="DA1322" s="1136"/>
      <c r="DB1322" s="1136"/>
      <c r="DC1322" s="1136"/>
      <c r="DD1322" s="1136"/>
      <c r="DE1322" s="1136"/>
      <c r="DF1322" s="1136"/>
      <c r="DG1322" s="1136"/>
      <c r="DH1322" s="1136"/>
      <c r="DI1322" s="1136"/>
    </row>
    <row r="1323" spans="1:113" ht="15.75" x14ac:dyDescent="0.25">
      <c r="A1323" s="1483" t="s">
        <v>1852</v>
      </c>
      <c r="B1323" s="1641" t="e">
        <f>B1307</f>
        <v>#VALUE!</v>
      </c>
      <c r="C1323" s="1407"/>
      <c r="D1323" s="1407"/>
      <c r="E1323" s="1407"/>
      <c r="F1323" s="1407"/>
      <c r="G1323" s="1407"/>
      <c r="H1323" s="1070"/>
      <c r="I1323" s="1136"/>
      <c r="J1323" s="1136"/>
      <c r="K1323" s="1136"/>
      <c r="L1323" s="1136"/>
      <c r="M1323" s="1136"/>
      <c r="N1323" s="1136"/>
      <c r="O1323" s="1136"/>
      <c r="P1323" s="1136"/>
      <c r="Q1323" s="1551"/>
      <c r="R1323" s="1551"/>
      <c r="S1323" s="1551"/>
      <c r="T1323" s="1551"/>
      <c r="U1323" s="1551"/>
      <c r="V1323" s="1551"/>
      <c r="W1323" s="1551"/>
      <c r="X1323" s="1551"/>
      <c r="Y1323" s="1551"/>
      <c r="Z1323" s="1551"/>
      <c r="AA1323" s="1645"/>
      <c r="AB1323" s="1645"/>
      <c r="AC1323" s="1645"/>
      <c r="AD1323" s="1645"/>
      <c r="AE1323" s="1645"/>
      <c r="AF1323" s="1645"/>
      <c r="AG1323" s="1645"/>
      <c r="AH1323" s="1645"/>
      <c r="AI1323" s="1645"/>
      <c r="AJ1323" s="1645"/>
      <c r="AK1323" s="1645"/>
      <c r="AL1323" s="1645"/>
      <c r="AM1323" s="1645"/>
      <c r="AN1323" s="1645"/>
      <c r="AO1323" s="1645"/>
      <c r="AP1323" s="1645"/>
      <c r="AQ1323" s="1645"/>
      <c r="AR1323" s="1645"/>
      <c r="AS1323" s="1645"/>
      <c r="AT1323" s="1645"/>
      <c r="AU1323" s="1645"/>
      <c r="AV1323" s="1645"/>
      <c r="AW1323" s="1645"/>
      <c r="AX1323" s="1645"/>
      <c r="AY1323" s="1645"/>
      <c r="AZ1323" s="1645"/>
      <c r="BA1323" s="1645"/>
      <c r="BB1323" s="1645"/>
      <c r="BC1323" s="1645"/>
      <c r="BD1323" s="1645"/>
      <c r="BE1323" s="1645"/>
      <c r="BF1323" s="1645"/>
      <c r="BG1323" s="1645"/>
      <c r="BH1323" s="1645"/>
      <c r="BI1323" s="1645"/>
      <c r="BJ1323" s="1645"/>
      <c r="BK1323" s="1645"/>
      <c r="BL1323" s="1645"/>
      <c r="BM1323" s="1645"/>
      <c r="BN1323" s="1645"/>
      <c r="BO1323" s="1645"/>
      <c r="BP1323" s="1645"/>
      <c r="BQ1323" s="1645"/>
      <c r="BR1323" s="1645"/>
      <c r="BS1323" s="1645"/>
      <c r="BT1323" s="1645"/>
      <c r="BU1323" s="1645"/>
      <c r="BV1323" s="1645"/>
      <c r="BW1323" s="1645"/>
      <c r="BX1323" s="1645"/>
      <c r="BY1323" s="1645"/>
      <c r="BZ1323" s="1645"/>
      <c r="CA1323" s="1645"/>
      <c r="CB1323" s="1645"/>
      <c r="CC1323" s="1645"/>
      <c r="CD1323" s="1645"/>
      <c r="CE1323" s="1645"/>
      <c r="CF1323" s="1645"/>
      <c r="CG1323" s="1645"/>
      <c r="CH1323" s="1645"/>
      <c r="CI1323" s="1645"/>
      <c r="CJ1323" s="1645"/>
      <c r="CK1323" s="1645"/>
      <c r="CL1323" s="1645"/>
      <c r="CM1323" s="1645"/>
      <c r="CN1323" s="1645"/>
      <c r="CO1323" s="1645"/>
      <c r="CP1323" s="1136"/>
      <c r="CQ1323" s="1136"/>
      <c r="CR1323" s="1136"/>
      <c r="CS1323" s="1136"/>
      <c r="CT1323" s="1136"/>
      <c r="CU1323" s="1136"/>
      <c r="CV1323" s="1136"/>
      <c r="CW1323" s="1136"/>
      <c r="CX1323" s="1136"/>
      <c r="CY1323" s="1136"/>
      <c r="CZ1323" s="1136"/>
      <c r="DA1323" s="1136"/>
      <c r="DB1323" s="1136"/>
      <c r="DC1323" s="1136"/>
      <c r="DD1323" s="1136"/>
      <c r="DE1323" s="1136"/>
      <c r="DF1323" s="1136"/>
      <c r="DG1323" s="1136"/>
      <c r="DH1323" s="1136"/>
      <c r="DI1323" s="1136"/>
    </row>
    <row r="1324" spans="1:113" ht="15.75" x14ac:dyDescent="0.25">
      <c r="A1324" s="1483" t="s">
        <v>3726</v>
      </c>
      <c r="B1324" s="1641" t="e">
        <f>79.5*B1308^-1.5</f>
        <v>#VALUE!</v>
      </c>
      <c r="C1324" s="1407"/>
      <c r="D1324" s="1407"/>
      <c r="E1324" s="1407"/>
      <c r="F1324" s="1407"/>
      <c r="G1324" s="1407"/>
      <c r="H1324" s="1070"/>
      <c r="I1324" s="1136"/>
      <c r="J1324" s="1136"/>
      <c r="K1324" s="1136"/>
      <c r="L1324" s="1136"/>
      <c r="M1324" s="1136"/>
      <c r="N1324" s="1136"/>
      <c r="O1324" s="1136"/>
      <c r="P1324" s="1136"/>
      <c r="Q1324" s="1551"/>
      <c r="R1324" s="1551"/>
      <c r="S1324" s="1551"/>
      <c r="T1324" s="1551"/>
      <c r="U1324" s="1551"/>
      <c r="V1324" s="1551"/>
      <c r="W1324" s="1551"/>
      <c r="X1324" s="1551"/>
      <c r="Y1324" s="1551"/>
      <c r="Z1324" s="1551"/>
      <c r="AA1324" s="1645"/>
      <c r="AB1324" s="1645"/>
      <c r="AC1324" s="1645"/>
      <c r="AD1324" s="1645"/>
      <c r="AE1324" s="1645"/>
      <c r="AF1324" s="1645"/>
      <c r="AG1324" s="1645"/>
      <c r="AH1324" s="1645"/>
      <c r="AI1324" s="1645"/>
      <c r="AJ1324" s="1645"/>
      <c r="AK1324" s="1645"/>
      <c r="AL1324" s="1645"/>
      <c r="AM1324" s="1645"/>
      <c r="AN1324" s="1645"/>
      <c r="AO1324" s="1645"/>
      <c r="AP1324" s="1645"/>
      <c r="AQ1324" s="1645"/>
      <c r="AR1324" s="1645"/>
      <c r="AS1324" s="1645"/>
      <c r="AT1324" s="1645"/>
      <c r="AU1324" s="1645"/>
      <c r="AV1324" s="1645"/>
      <c r="AW1324" s="1645"/>
      <c r="AX1324" s="1645"/>
      <c r="AY1324" s="1645"/>
      <c r="AZ1324" s="1645"/>
      <c r="BA1324" s="1645"/>
      <c r="BB1324" s="1645"/>
      <c r="BC1324" s="1645"/>
      <c r="BD1324" s="1645"/>
      <c r="BE1324" s="1645"/>
      <c r="BF1324" s="1645"/>
      <c r="BG1324" s="1645"/>
      <c r="BH1324" s="1645"/>
      <c r="BI1324" s="1645"/>
      <c r="BJ1324" s="1645"/>
      <c r="BK1324" s="1645"/>
      <c r="BL1324" s="1645"/>
      <c r="BM1324" s="1645"/>
      <c r="BN1324" s="1645"/>
      <c r="BO1324" s="1645"/>
      <c r="BP1324" s="1645"/>
      <c r="BQ1324" s="1645"/>
      <c r="BR1324" s="1645"/>
      <c r="BS1324" s="1645"/>
      <c r="BT1324" s="1645"/>
      <c r="BU1324" s="1645"/>
      <c r="BV1324" s="1645"/>
      <c r="BW1324" s="1645"/>
      <c r="BX1324" s="1645"/>
      <c r="BY1324" s="1645"/>
      <c r="BZ1324" s="1645"/>
      <c r="CA1324" s="1645"/>
      <c r="CB1324" s="1645"/>
      <c r="CC1324" s="1645"/>
      <c r="CD1324" s="1645"/>
      <c r="CE1324" s="1645"/>
      <c r="CF1324" s="1645"/>
      <c r="CG1324" s="1645"/>
      <c r="CH1324" s="1645"/>
      <c r="CI1324" s="1645"/>
      <c r="CJ1324" s="1645"/>
      <c r="CK1324" s="1645"/>
      <c r="CL1324" s="1645"/>
      <c r="CM1324" s="1645"/>
      <c r="CN1324" s="1645"/>
      <c r="CO1324" s="1645"/>
      <c r="CP1324" s="1136"/>
      <c r="CQ1324" s="1136"/>
      <c r="CR1324" s="1136"/>
      <c r="CS1324" s="1136"/>
      <c r="CT1324" s="1136"/>
      <c r="CU1324" s="1136"/>
      <c r="CV1324" s="1136"/>
      <c r="CW1324" s="1136"/>
      <c r="CX1324" s="1136"/>
      <c r="CY1324" s="1136"/>
      <c r="CZ1324" s="1136"/>
      <c r="DA1324" s="1136"/>
      <c r="DB1324" s="1136"/>
      <c r="DC1324" s="1136"/>
      <c r="DD1324" s="1136"/>
      <c r="DE1324" s="1136"/>
      <c r="DF1324" s="1136"/>
      <c r="DG1324" s="1136"/>
      <c r="DH1324" s="1136"/>
      <c r="DI1324" s="1136"/>
    </row>
    <row r="1325" spans="1:113" ht="15.75" x14ac:dyDescent="0.25">
      <c r="A1325" s="1483" t="s">
        <v>3727</v>
      </c>
      <c r="B1325" s="1641" t="e">
        <f>((3.14*((1.2*(B1308*100)^0.5)/100)^2)/4)*B1308</f>
        <v>#VALUE!</v>
      </c>
      <c r="C1325" s="1407"/>
      <c r="D1325" s="1407"/>
      <c r="E1325" s="1407"/>
      <c r="F1325" s="1407"/>
      <c r="G1325" s="1407"/>
      <c r="H1325" s="1070"/>
      <c r="I1325" s="1136"/>
      <c r="J1325" s="1136"/>
      <c r="K1325" s="1136"/>
      <c r="L1325" s="1136"/>
      <c r="M1325" s="1136"/>
      <c r="N1325" s="1136"/>
      <c r="O1325" s="1136"/>
      <c r="P1325" s="1136"/>
      <c r="Q1325" s="1551"/>
      <c r="R1325" s="1551"/>
      <c r="S1325" s="1551"/>
      <c r="T1325" s="1551"/>
      <c r="U1325" s="1551"/>
      <c r="V1325" s="1551"/>
      <c r="W1325" s="1551"/>
      <c r="X1325" s="1551"/>
      <c r="Y1325" s="1551"/>
      <c r="Z1325" s="1551"/>
      <c r="AA1325" s="1645"/>
      <c r="AB1325" s="1645"/>
      <c r="AC1325" s="1645"/>
      <c r="AD1325" s="1645"/>
      <c r="AE1325" s="1645"/>
      <c r="AF1325" s="1645"/>
      <c r="AG1325" s="1645"/>
      <c r="AH1325" s="1645"/>
      <c r="AI1325" s="1645"/>
      <c r="AJ1325" s="1645"/>
      <c r="AK1325" s="1645"/>
      <c r="AL1325" s="1645"/>
      <c r="AM1325" s="1645"/>
      <c r="AN1325" s="1645"/>
      <c r="AO1325" s="1645"/>
      <c r="AP1325" s="1645"/>
      <c r="AQ1325" s="1645"/>
      <c r="AR1325" s="1645"/>
      <c r="AS1325" s="1645"/>
      <c r="AT1325" s="1645"/>
      <c r="AU1325" s="1645"/>
      <c r="AV1325" s="1645"/>
      <c r="AW1325" s="1645"/>
      <c r="AX1325" s="1645"/>
      <c r="AY1325" s="1645"/>
      <c r="AZ1325" s="1645"/>
      <c r="BA1325" s="1645"/>
      <c r="BB1325" s="1645"/>
      <c r="BC1325" s="1645"/>
      <c r="BD1325" s="1645"/>
      <c r="BE1325" s="1645"/>
      <c r="BF1325" s="1645"/>
      <c r="BG1325" s="1645"/>
      <c r="BH1325" s="1645"/>
      <c r="BI1325" s="1645"/>
      <c r="BJ1325" s="1645"/>
      <c r="BK1325" s="1645"/>
      <c r="BL1325" s="1645"/>
      <c r="BM1325" s="1645"/>
      <c r="BN1325" s="1645"/>
      <c r="BO1325" s="1645"/>
      <c r="BP1325" s="1645"/>
      <c r="BQ1325" s="1645"/>
      <c r="BR1325" s="1645"/>
      <c r="BS1325" s="1645"/>
      <c r="BT1325" s="1645"/>
      <c r="BU1325" s="1645"/>
      <c r="BV1325" s="1645"/>
      <c r="BW1325" s="1645"/>
      <c r="BX1325" s="1645"/>
      <c r="BY1325" s="1645"/>
      <c r="BZ1325" s="1645"/>
      <c r="CA1325" s="1645"/>
      <c r="CB1325" s="1645"/>
      <c r="CC1325" s="1645"/>
      <c r="CD1325" s="1645"/>
      <c r="CE1325" s="1645"/>
      <c r="CF1325" s="1645"/>
      <c r="CG1325" s="1645"/>
      <c r="CH1325" s="1645"/>
      <c r="CI1325" s="1645"/>
      <c r="CJ1325" s="1645"/>
      <c r="CK1325" s="1645"/>
      <c r="CL1325" s="1645"/>
      <c r="CM1325" s="1645"/>
      <c r="CN1325" s="1645"/>
      <c r="CO1325" s="1645"/>
      <c r="CP1325" s="1136"/>
      <c r="CQ1325" s="1136"/>
      <c r="CR1325" s="1136"/>
      <c r="CS1325" s="1136"/>
      <c r="CT1325" s="1136"/>
      <c r="CU1325" s="1136"/>
      <c r="CV1325" s="1136"/>
      <c r="CW1325" s="1136"/>
      <c r="CX1325" s="1136"/>
      <c r="CY1325" s="1136"/>
      <c r="CZ1325" s="1136"/>
      <c r="DA1325" s="1136"/>
      <c r="DB1325" s="1136"/>
      <c r="DC1325" s="1136"/>
      <c r="DD1325" s="1136"/>
      <c r="DE1325" s="1136"/>
      <c r="DF1325" s="1136"/>
      <c r="DG1325" s="1136"/>
      <c r="DH1325" s="1136"/>
      <c r="DI1325" s="1136"/>
    </row>
    <row r="1326" spans="1:113" ht="15.75" x14ac:dyDescent="0.25">
      <c r="A1326" s="1483" t="s">
        <v>700</v>
      </c>
      <c r="B1326" s="1641" t="e">
        <f>B1307/B1325</f>
        <v>#VALUE!</v>
      </c>
      <c r="C1326" s="1407"/>
      <c r="D1326" s="1407"/>
      <c r="E1326" s="1407"/>
      <c r="F1326" s="1407"/>
      <c r="G1326" s="1407"/>
      <c r="H1326" s="1070"/>
      <c r="I1326" s="1136"/>
      <c r="J1326" s="1136"/>
      <c r="K1326" s="1136"/>
      <c r="L1326" s="1136"/>
      <c r="M1326" s="1136"/>
      <c r="N1326" s="1136"/>
      <c r="O1326" s="1136"/>
      <c r="P1326" s="1136"/>
      <c r="Q1326" s="1551"/>
      <c r="R1326" s="1551"/>
      <c r="S1326" s="1551"/>
      <c r="T1326" s="1551"/>
      <c r="U1326" s="1551"/>
      <c r="V1326" s="1551"/>
      <c r="W1326" s="1551"/>
      <c r="X1326" s="1551"/>
      <c r="Y1326" s="1551"/>
      <c r="Z1326" s="1551"/>
      <c r="AA1326" s="1645"/>
      <c r="AB1326" s="1645"/>
      <c r="AC1326" s="1645"/>
      <c r="AD1326" s="1645"/>
      <c r="AE1326" s="1645"/>
      <c r="AF1326" s="1645"/>
      <c r="AG1326" s="1645"/>
      <c r="AH1326" s="1645"/>
      <c r="AI1326" s="1645"/>
      <c r="AJ1326" s="1645"/>
      <c r="AK1326" s="1645"/>
      <c r="AL1326" s="1645"/>
      <c r="AM1326" s="1645"/>
      <c r="AN1326" s="1645"/>
      <c r="AO1326" s="1645"/>
      <c r="AP1326" s="1645"/>
      <c r="AQ1326" s="1645"/>
      <c r="AR1326" s="1645"/>
      <c r="AS1326" s="1645"/>
      <c r="AT1326" s="1645"/>
      <c r="AU1326" s="1645"/>
      <c r="AV1326" s="1645"/>
      <c r="AW1326" s="1645"/>
      <c r="AX1326" s="1645"/>
      <c r="AY1326" s="1645"/>
      <c r="AZ1326" s="1645"/>
      <c r="BA1326" s="1645"/>
      <c r="BB1326" s="1645"/>
      <c r="BC1326" s="1645"/>
      <c r="BD1326" s="1645"/>
      <c r="BE1326" s="1645"/>
      <c r="BF1326" s="1645"/>
      <c r="BG1326" s="1645"/>
      <c r="BH1326" s="1645"/>
      <c r="BI1326" s="1645"/>
      <c r="BJ1326" s="1645"/>
      <c r="BK1326" s="1645"/>
      <c r="BL1326" s="1645"/>
      <c r="BM1326" s="1645"/>
      <c r="BN1326" s="1645"/>
      <c r="BO1326" s="1645"/>
      <c r="BP1326" s="1645"/>
      <c r="BQ1326" s="1645"/>
      <c r="BR1326" s="1645"/>
      <c r="BS1326" s="1645"/>
      <c r="BT1326" s="1645"/>
      <c r="BU1326" s="1645"/>
      <c r="BV1326" s="1645"/>
      <c r="BW1326" s="1645"/>
      <c r="BX1326" s="1645"/>
      <c r="BY1326" s="1645"/>
      <c r="BZ1326" s="1645"/>
      <c r="CA1326" s="1645"/>
      <c r="CB1326" s="1645"/>
      <c r="CC1326" s="1645"/>
      <c r="CD1326" s="1645"/>
      <c r="CE1326" s="1645"/>
      <c r="CF1326" s="1645"/>
      <c r="CG1326" s="1645"/>
      <c r="CH1326" s="1645"/>
      <c r="CI1326" s="1645"/>
      <c r="CJ1326" s="1645"/>
      <c r="CK1326" s="1645"/>
      <c r="CL1326" s="1645"/>
      <c r="CM1326" s="1645"/>
      <c r="CN1326" s="1645"/>
      <c r="CO1326" s="1645"/>
      <c r="CP1326" s="1136"/>
      <c r="CQ1326" s="1136"/>
      <c r="CR1326" s="1136"/>
      <c r="CS1326" s="1136"/>
      <c r="CT1326" s="1136"/>
      <c r="CU1326" s="1136"/>
      <c r="CV1326" s="1136"/>
      <c r="CW1326" s="1136"/>
      <c r="CX1326" s="1136"/>
      <c r="CY1326" s="1136"/>
      <c r="CZ1326" s="1136"/>
      <c r="DA1326" s="1136"/>
      <c r="DB1326" s="1136"/>
      <c r="DC1326" s="1136"/>
      <c r="DD1326" s="1136"/>
      <c r="DE1326" s="1136"/>
      <c r="DF1326" s="1136"/>
      <c r="DG1326" s="1136"/>
      <c r="DH1326" s="1136"/>
      <c r="DI1326" s="1136"/>
    </row>
    <row r="1327" spans="1:113" ht="15.75" x14ac:dyDescent="0.25">
      <c r="A1327" s="1483" t="s">
        <v>701</v>
      </c>
      <c r="B1327" s="1641" t="e">
        <f>B1326/B1324</f>
        <v>#VALUE!</v>
      </c>
      <c r="C1327" s="1407"/>
      <c r="D1327" s="1407"/>
      <c r="E1327" s="1407"/>
      <c r="F1327" s="1407"/>
      <c r="G1327" s="1407"/>
      <c r="H1327" s="1070"/>
      <c r="I1327" s="1136"/>
      <c r="J1327" s="1136"/>
      <c r="K1327" s="1136"/>
      <c r="L1327" s="1136"/>
      <c r="M1327" s="1136"/>
      <c r="N1327" s="1136"/>
      <c r="O1327" s="1136"/>
      <c r="P1327" s="1136"/>
      <c r="Q1327" s="1551"/>
      <c r="R1327" s="1551"/>
      <c r="S1327" s="1551"/>
      <c r="T1327" s="1551"/>
      <c r="U1327" s="1551"/>
      <c r="V1327" s="1551"/>
      <c r="W1327" s="1551"/>
      <c r="X1327" s="1551"/>
      <c r="Y1327" s="1551"/>
      <c r="Z1327" s="1551"/>
      <c r="AA1327" s="1645"/>
      <c r="AB1327" s="1645"/>
      <c r="AC1327" s="1645"/>
      <c r="AD1327" s="1645"/>
      <c r="AE1327" s="1645"/>
      <c r="AF1327" s="1645"/>
      <c r="AG1327" s="1645"/>
      <c r="AH1327" s="1645"/>
      <c r="AI1327" s="1645"/>
      <c r="AJ1327" s="1645"/>
      <c r="AK1327" s="1645"/>
      <c r="AL1327" s="1645"/>
      <c r="AM1327" s="1645"/>
      <c r="AN1327" s="1645"/>
      <c r="AO1327" s="1645"/>
      <c r="AP1327" s="1645"/>
      <c r="AQ1327" s="1645"/>
      <c r="AR1327" s="1645"/>
      <c r="AS1327" s="1645"/>
      <c r="AT1327" s="1645"/>
      <c r="AU1327" s="1645"/>
      <c r="AV1327" s="1645"/>
      <c r="AW1327" s="1645"/>
      <c r="AX1327" s="1645"/>
      <c r="AY1327" s="1645"/>
      <c r="AZ1327" s="1645"/>
      <c r="BA1327" s="1645"/>
      <c r="BB1327" s="1645"/>
      <c r="BC1327" s="1645"/>
      <c r="BD1327" s="1645"/>
      <c r="BE1327" s="1645"/>
      <c r="BF1327" s="1645"/>
      <c r="BG1327" s="1645"/>
      <c r="BH1327" s="1645"/>
      <c r="BI1327" s="1645"/>
      <c r="BJ1327" s="1645"/>
      <c r="BK1327" s="1645"/>
      <c r="BL1327" s="1645"/>
      <c r="BM1327" s="1645"/>
      <c r="BN1327" s="1645"/>
      <c r="BO1327" s="1645"/>
      <c r="BP1327" s="1645"/>
      <c r="BQ1327" s="1645"/>
      <c r="BR1327" s="1645"/>
      <c r="BS1327" s="1645"/>
      <c r="BT1327" s="1645"/>
      <c r="BU1327" s="1645"/>
      <c r="BV1327" s="1645"/>
      <c r="BW1327" s="1645"/>
      <c r="BX1327" s="1645"/>
      <c r="BY1327" s="1645"/>
      <c r="BZ1327" s="1645"/>
      <c r="CA1327" s="1645"/>
      <c r="CB1327" s="1645"/>
      <c r="CC1327" s="1645"/>
      <c r="CD1327" s="1645"/>
      <c r="CE1327" s="1645"/>
      <c r="CF1327" s="1645"/>
      <c r="CG1327" s="1645"/>
      <c r="CH1327" s="1645"/>
      <c r="CI1327" s="1645"/>
      <c r="CJ1327" s="1645"/>
      <c r="CK1327" s="1645"/>
      <c r="CL1327" s="1645"/>
      <c r="CM1327" s="1645"/>
      <c r="CN1327" s="1645"/>
      <c r="CO1327" s="1645"/>
      <c r="CP1327" s="1136"/>
      <c r="CQ1327" s="1136"/>
      <c r="CR1327" s="1136"/>
      <c r="CS1327" s="1136"/>
      <c r="CT1327" s="1136"/>
      <c r="CU1327" s="1136"/>
      <c r="CV1327" s="1136"/>
      <c r="CW1327" s="1136"/>
      <c r="CX1327" s="1136"/>
      <c r="CY1327" s="1136"/>
      <c r="CZ1327" s="1136"/>
      <c r="DA1327" s="1136"/>
      <c r="DB1327" s="1136"/>
      <c r="DC1327" s="1136"/>
      <c r="DD1327" s="1136"/>
      <c r="DE1327" s="1136"/>
      <c r="DF1327" s="1136"/>
      <c r="DG1327" s="1136"/>
      <c r="DH1327" s="1136"/>
      <c r="DI1327" s="1136"/>
    </row>
    <row r="1328" spans="1:113" ht="15.75" x14ac:dyDescent="0.25">
      <c r="A1328" s="1483" t="s">
        <v>4429</v>
      </c>
      <c r="B1328" s="1641">
        <f>2.2*(IF(B1322&lt;51,32,IF(B1322&lt;71,25,21)))</f>
        <v>70.400000000000006</v>
      </c>
      <c r="C1328" s="1407"/>
      <c r="D1328" s="1407"/>
      <c r="E1328" s="1407"/>
      <c r="F1328" s="1407"/>
      <c r="G1328" s="1407"/>
      <c r="H1328" s="1070"/>
      <c r="I1328" s="1136"/>
      <c r="J1328" s="1136"/>
      <c r="K1328" s="1136"/>
      <c r="L1328" s="1136"/>
      <c r="M1328" s="1136"/>
      <c r="N1328" s="1136"/>
      <c r="O1328" s="1136"/>
      <c r="P1328" s="1136"/>
      <c r="Q1328" s="1551"/>
      <c r="R1328" s="1551"/>
      <c r="S1328" s="1551"/>
      <c r="T1328" s="1551"/>
      <c r="U1328" s="1551"/>
      <c r="V1328" s="1551"/>
      <c r="W1328" s="1551"/>
      <c r="X1328" s="1551"/>
      <c r="Y1328" s="1551"/>
      <c r="Z1328" s="1551"/>
      <c r="AA1328" s="1645"/>
      <c r="AB1328" s="1645"/>
      <c r="AC1328" s="1645"/>
      <c r="AD1328" s="1645"/>
      <c r="AE1328" s="1645"/>
      <c r="AF1328" s="1645"/>
      <c r="AG1328" s="1645"/>
      <c r="AH1328" s="1645"/>
      <c r="AI1328" s="1645"/>
      <c r="AJ1328" s="1645"/>
      <c r="AK1328" s="1645"/>
      <c r="AL1328" s="1645"/>
      <c r="AM1328" s="1645"/>
      <c r="AN1328" s="1645"/>
      <c r="AO1328" s="1645"/>
      <c r="AP1328" s="1645"/>
      <c r="AQ1328" s="1645"/>
      <c r="AR1328" s="1645"/>
      <c r="AS1328" s="1645"/>
      <c r="AT1328" s="1645"/>
      <c r="AU1328" s="1645"/>
      <c r="AV1328" s="1645"/>
      <c r="AW1328" s="1645"/>
      <c r="AX1328" s="1645"/>
      <c r="AY1328" s="1645"/>
      <c r="AZ1328" s="1645"/>
      <c r="BA1328" s="1645"/>
      <c r="BB1328" s="1645"/>
      <c r="BC1328" s="1645"/>
      <c r="BD1328" s="1645"/>
      <c r="BE1328" s="1645"/>
      <c r="BF1328" s="1645"/>
      <c r="BG1328" s="1645"/>
      <c r="BH1328" s="1645"/>
      <c r="BI1328" s="1645"/>
      <c r="BJ1328" s="1645"/>
      <c r="BK1328" s="1645"/>
      <c r="BL1328" s="1645"/>
      <c r="BM1328" s="1645"/>
      <c r="BN1328" s="1645"/>
      <c r="BO1328" s="1645"/>
      <c r="BP1328" s="1645"/>
      <c r="BQ1328" s="1645"/>
      <c r="BR1328" s="1645"/>
      <c r="BS1328" s="1645"/>
      <c r="BT1328" s="1645"/>
      <c r="BU1328" s="1645"/>
      <c r="BV1328" s="1645"/>
      <c r="BW1328" s="1645"/>
      <c r="BX1328" s="1645"/>
      <c r="BY1328" s="1645"/>
      <c r="BZ1328" s="1645"/>
      <c r="CA1328" s="1645"/>
      <c r="CB1328" s="1645"/>
      <c r="CC1328" s="1645"/>
      <c r="CD1328" s="1645"/>
      <c r="CE1328" s="1645"/>
      <c r="CF1328" s="1645"/>
      <c r="CG1328" s="1645"/>
      <c r="CH1328" s="1645"/>
      <c r="CI1328" s="1645"/>
      <c r="CJ1328" s="1645"/>
      <c r="CK1328" s="1645"/>
      <c r="CL1328" s="1645"/>
      <c r="CM1328" s="1645"/>
      <c r="CN1328" s="1645"/>
      <c r="CO1328" s="1645"/>
      <c r="CP1328" s="1136"/>
      <c r="CQ1328" s="1136"/>
      <c r="CR1328" s="1136"/>
      <c r="CS1328" s="1136"/>
      <c r="CT1328" s="1136"/>
      <c r="CU1328" s="1136"/>
      <c r="CV1328" s="1136"/>
      <c r="CW1328" s="1136"/>
      <c r="CX1328" s="1136"/>
      <c r="CY1328" s="1136"/>
      <c r="CZ1328" s="1136"/>
      <c r="DA1328" s="1136"/>
      <c r="DB1328" s="1136"/>
      <c r="DC1328" s="1136"/>
      <c r="DD1328" s="1136"/>
      <c r="DE1328" s="1136"/>
      <c r="DF1328" s="1136"/>
      <c r="DG1328" s="1136"/>
      <c r="DH1328" s="1136"/>
      <c r="DI1328" s="1136"/>
    </row>
    <row r="1329" spans="1:113" ht="15.75" x14ac:dyDescent="0.25">
      <c r="A1329" s="1483" t="s">
        <v>1855</v>
      </c>
      <c r="B1329" s="1641" t="e">
        <f>B1323/B1328</f>
        <v>#VALUE!</v>
      </c>
      <c r="C1329" s="1407"/>
      <c r="D1329" s="1407"/>
      <c r="E1329" s="1407"/>
      <c r="F1329" s="1407"/>
      <c r="G1329" s="1407"/>
      <c r="H1329" s="1070"/>
      <c r="I1329" s="1136"/>
      <c r="J1329" s="1136"/>
      <c r="K1329" s="1136"/>
      <c r="L1329" s="1136"/>
      <c r="M1329" s="1136"/>
      <c r="N1329" s="1136"/>
      <c r="O1329" s="1136"/>
      <c r="P1329" s="1136"/>
      <c r="Q1329" s="1551"/>
      <c r="R1329" s="1551"/>
      <c r="S1329" s="1551"/>
      <c r="T1329" s="1551"/>
      <c r="U1329" s="1551"/>
      <c r="V1329" s="1551"/>
      <c r="W1329" s="1551"/>
      <c r="X1329" s="1551"/>
      <c r="Y1329" s="1551"/>
      <c r="Z1329" s="1551"/>
      <c r="AA1329" s="1645"/>
      <c r="AB1329" s="1645"/>
      <c r="AC1329" s="1645"/>
      <c r="AD1329" s="1645"/>
      <c r="AE1329" s="1645"/>
      <c r="AF1329" s="1645"/>
      <c r="AG1329" s="1645"/>
      <c r="AH1329" s="1645"/>
      <c r="AI1329" s="1645"/>
      <c r="AJ1329" s="1645"/>
      <c r="AK1329" s="1645"/>
      <c r="AL1329" s="1645"/>
      <c r="AM1329" s="1645"/>
      <c r="AN1329" s="1645"/>
      <c r="AO1329" s="1645"/>
      <c r="AP1329" s="1645"/>
      <c r="AQ1329" s="1645"/>
      <c r="AR1329" s="1645"/>
      <c r="AS1329" s="1645"/>
      <c r="AT1329" s="1645"/>
      <c r="AU1329" s="1645"/>
      <c r="AV1329" s="1645"/>
      <c r="AW1329" s="1645"/>
      <c r="AX1329" s="1645"/>
      <c r="AY1329" s="1645"/>
      <c r="AZ1329" s="1645"/>
      <c r="BA1329" s="1645"/>
      <c r="BB1329" s="1645"/>
      <c r="BC1329" s="1645"/>
      <c r="BD1329" s="1645"/>
      <c r="BE1329" s="1645"/>
      <c r="BF1329" s="1645"/>
      <c r="BG1329" s="1645"/>
      <c r="BH1329" s="1645"/>
      <c r="BI1329" s="1645"/>
      <c r="BJ1329" s="1645"/>
      <c r="BK1329" s="1645"/>
      <c r="BL1329" s="1645"/>
      <c r="BM1329" s="1645"/>
      <c r="BN1329" s="1645"/>
      <c r="BO1329" s="1645"/>
      <c r="BP1329" s="1645"/>
      <c r="BQ1329" s="1645"/>
      <c r="BR1329" s="1645"/>
      <c r="BS1329" s="1645"/>
      <c r="BT1329" s="1645"/>
      <c r="BU1329" s="1645"/>
      <c r="BV1329" s="1645"/>
      <c r="BW1329" s="1645"/>
      <c r="BX1329" s="1645"/>
      <c r="BY1329" s="1645"/>
      <c r="BZ1329" s="1645"/>
      <c r="CA1329" s="1645"/>
      <c r="CB1329" s="1645"/>
      <c r="CC1329" s="1645"/>
      <c r="CD1329" s="1645"/>
      <c r="CE1329" s="1645"/>
      <c r="CF1329" s="1645"/>
      <c r="CG1329" s="1645"/>
      <c r="CH1329" s="1645"/>
      <c r="CI1329" s="1645"/>
      <c r="CJ1329" s="1645"/>
      <c r="CK1329" s="1645"/>
      <c r="CL1329" s="1645"/>
      <c r="CM1329" s="1645"/>
      <c r="CN1329" s="1645"/>
      <c r="CO1329" s="1645"/>
      <c r="CP1329" s="1136"/>
      <c r="CQ1329" s="1136"/>
      <c r="CR1329" s="1136"/>
      <c r="CS1329" s="1136"/>
      <c r="CT1329" s="1136"/>
      <c r="CU1329" s="1136"/>
      <c r="CV1329" s="1136"/>
      <c r="CW1329" s="1136"/>
      <c r="CX1329" s="1136"/>
      <c r="CY1329" s="1136"/>
      <c r="CZ1329" s="1136"/>
      <c r="DA1329" s="1136"/>
      <c r="DB1329" s="1136"/>
      <c r="DC1329" s="1136"/>
      <c r="DD1329" s="1136"/>
      <c r="DE1329" s="1136"/>
      <c r="DF1329" s="1136"/>
      <c r="DG1329" s="1136"/>
      <c r="DH1329" s="1136"/>
      <c r="DI1329" s="1136"/>
    </row>
    <row r="1330" spans="1:113" ht="15.75" x14ac:dyDescent="0.25">
      <c r="A1330" s="1391"/>
      <c r="B1330" s="1046"/>
      <c r="C1330" s="1070"/>
      <c r="D1330" s="1070"/>
      <c r="E1330" s="1070"/>
      <c r="F1330" s="1070"/>
      <c r="G1330" s="1070"/>
      <c r="H1330" s="1070"/>
      <c r="I1330" s="1136"/>
      <c r="J1330" s="1136"/>
      <c r="K1330" s="1136"/>
      <c r="L1330" s="1136"/>
      <c r="M1330" s="1136"/>
      <c r="N1330" s="1136"/>
      <c r="O1330" s="1136"/>
      <c r="P1330" s="1136"/>
      <c r="Q1330" s="1551"/>
      <c r="R1330" s="1551"/>
      <c r="S1330" s="1551"/>
      <c r="T1330" s="1551"/>
      <c r="U1330" s="1551"/>
      <c r="V1330" s="1551"/>
      <c r="W1330" s="1551"/>
      <c r="X1330" s="1551"/>
      <c r="Y1330" s="1551"/>
      <c r="Z1330" s="1551"/>
      <c r="AA1330" s="1645"/>
      <c r="AB1330" s="1645"/>
      <c r="AC1330" s="1645"/>
      <c r="AD1330" s="1645"/>
      <c r="AE1330" s="1645"/>
      <c r="AF1330" s="1645"/>
      <c r="AG1330" s="1645"/>
      <c r="AH1330" s="1645"/>
      <c r="AI1330" s="1645"/>
      <c r="AJ1330" s="1645"/>
      <c r="AK1330" s="1645"/>
      <c r="AL1330" s="1645"/>
      <c r="AM1330" s="1645"/>
      <c r="AN1330" s="1645"/>
      <c r="AO1330" s="1645"/>
      <c r="AP1330" s="1645"/>
      <c r="AQ1330" s="1645"/>
      <c r="AR1330" s="1645"/>
      <c r="AS1330" s="1645"/>
      <c r="AT1330" s="1645"/>
      <c r="AU1330" s="1645"/>
      <c r="AV1330" s="1645"/>
      <c r="AW1330" s="1645"/>
      <c r="AX1330" s="1645"/>
      <c r="AY1330" s="1645"/>
      <c r="AZ1330" s="1645"/>
      <c r="BA1330" s="1645"/>
      <c r="BB1330" s="1645"/>
      <c r="BC1330" s="1645"/>
      <c r="BD1330" s="1645"/>
      <c r="BE1330" s="1645"/>
      <c r="BF1330" s="1645"/>
      <c r="BG1330" s="1645"/>
      <c r="BH1330" s="1645"/>
      <c r="BI1330" s="1645"/>
      <c r="BJ1330" s="1645"/>
      <c r="BK1330" s="1645"/>
      <c r="BL1330" s="1645"/>
      <c r="BM1330" s="1645"/>
      <c r="BN1330" s="1645"/>
      <c r="BO1330" s="1645"/>
      <c r="BP1330" s="1645"/>
      <c r="BQ1330" s="1645"/>
      <c r="BR1330" s="1645"/>
      <c r="BS1330" s="1645"/>
      <c r="BT1330" s="1645"/>
      <c r="BU1330" s="1645"/>
      <c r="BV1330" s="1645"/>
      <c r="BW1330" s="1645"/>
      <c r="BX1330" s="1645"/>
      <c r="BY1330" s="1645"/>
      <c r="BZ1330" s="1645"/>
      <c r="CA1330" s="1645"/>
      <c r="CB1330" s="1645"/>
      <c r="CC1330" s="1645"/>
      <c r="CD1330" s="1645"/>
      <c r="CE1330" s="1645"/>
      <c r="CF1330" s="1645"/>
      <c r="CG1330" s="1645"/>
      <c r="CH1330" s="1645"/>
      <c r="CI1330" s="1645"/>
      <c r="CJ1330" s="1645"/>
      <c r="CK1330" s="1645"/>
      <c r="CL1330" s="1645"/>
      <c r="CM1330" s="1645"/>
      <c r="CN1330" s="1645"/>
      <c r="CO1330" s="1645"/>
      <c r="CP1330" s="1136"/>
      <c r="CQ1330" s="1136"/>
      <c r="CR1330" s="1136"/>
      <c r="CS1330" s="1136"/>
      <c r="CT1330" s="1136"/>
      <c r="CU1330" s="1136"/>
      <c r="CV1330" s="1136"/>
      <c r="CW1330" s="1136"/>
      <c r="CX1330" s="1136"/>
      <c r="CY1330" s="1136"/>
      <c r="CZ1330" s="1136"/>
      <c r="DA1330" s="1136"/>
      <c r="DB1330" s="1136"/>
      <c r="DC1330" s="1136"/>
      <c r="DD1330" s="1136"/>
      <c r="DE1330" s="1136"/>
      <c r="DF1330" s="1136"/>
      <c r="DG1330" s="1136"/>
      <c r="DH1330" s="1136"/>
      <c r="DI1330" s="1136"/>
    </row>
    <row r="1331" spans="1:113" ht="15.75" x14ac:dyDescent="0.25">
      <c r="A1331" s="1653" t="s">
        <v>4430</v>
      </c>
      <c r="B1331" s="1641" t="e">
        <f>B1314</f>
        <v>#VALUE!</v>
      </c>
      <c r="C1331" s="1407"/>
      <c r="D1331" s="1407"/>
      <c r="E1331" s="1407"/>
      <c r="F1331" s="1407"/>
      <c r="G1331" s="1407"/>
      <c r="H1331" s="1070"/>
      <c r="I1331" s="1136"/>
      <c r="J1331" s="1136"/>
      <c r="K1331" s="1136"/>
      <c r="L1331" s="1136"/>
      <c r="M1331" s="1136"/>
      <c r="N1331" s="1136"/>
      <c r="O1331" s="1136"/>
      <c r="P1331" s="1136"/>
      <c r="Q1331" s="1551"/>
      <c r="R1331" s="1551"/>
      <c r="S1331" s="1551"/>
      <c r="T1331" s="1551"/>
      <c r="U1331" s="1551"/>
      <c r="V1331" s="1551"/>
      <c r="W1331" s="1551"/>
      <c r="X1331" s="1551"/>
      <c r="Y1331" s="1551"/>
      <c r="Z1331" s="1551"/>
      <c r="AA1331" s="1645"/>
      <c r="AB1331" s="1645"/>
      <c r="AC1331" s="1645"/>
      <c r="AD1331" s="1645"/>
      <c r="AE1331" s="1645"/>
      <c r="AF1331" s="1645"/>
      <c r="AG1331" s="1645"/>
      <c r="AH1331" s="1645"/>
      <c r="AI1331" s="1645"/>
      <c r="AJ1331" s="1645"/>
      <c r="AK1331" s="1645"/>
      <c r="AL1331" s="1645"/>
      <c r="AM1331" s="1645"/>
      <c r="AN1331" s="1645"/>
      <c r="AO1331" s="1645"/>
      <c r="AP1331" s="1645"/>
      <c r="AQ1331" s="1645"/>
      <c r="AR1331" s="1645"/>
      <c r="AS1331" s="1645"/>
      <c r="AT1331" s="1645"/>
      <c r="AU1331" s="1645"/>
      <c r="AV1331" s="1645"/>
      <c r="AW1331" s="1645"/>
      <c r="AX1331" s="1645"/>
      <c r="AY1331" s="1645"/>
      <c r="AZ1331" s="1645"/>
      <c r="BA1331" s="1645"/>
      <c r="BB1331" s="1645"/>
      <c r="BC1331" s="1645"/>
      <c r="BD1331" s="1645"/>
      <c r="BE1331" s="1645"/>
      <c r="BF1331" s="1645"/>
      <c r="BG1331" s="1645"/>
      <c r="BH1331" s="1645"/>
      <c r="BI1331" s="1645"/>
      <c r="BJ1331" s="1645"/>
      <c r="BK1331" s="1645"/>
      <c r="BL1331" s="1645"/>
      <c r="BM1331" s="1645"/>
      <c r="BN1331" s="1645"/>
      <c r="BO1331" s="1645"/>
      <c r="BP1331" s="1645"/>
      <c r="BQ1331" s="1645"/>
      <c r="BR1331" s="1645"/>
      <c r="BS1331" s="1645"/>
      <c r="BT1331" s="1645"/>
      <c r="BU1331" s="1645"/>
      <c r="BV1331" s="1645"/>
      <c r="BW1331" s="1645"/>
      <c r="BX1331" s="1645"/>
      <c r="BY1331" s="1645"/>
      <c r="BZ1331" s="1645"/>
      <c r="CA1331" s="1645"/>
      <c r="CB1331" s="1645"/>
      <c r="CC1331" s="1645"/>
      <c r="CD1331" s="1645"/>
      <c r="CE1331" s="1645"/>
      <c r="CF1331" s="1645"/>
      <c r="CG1331" s="1645"/>
      <c r="CH1331" s="1645"/>
      <c r="CI1331" s="1645"/>
      <c r="CJ1331" s="1645"/>
      <c r="CK1331" s="1645"/>
      <c r="CL1331" s="1645"/>
      <c r="CM1331" s="1645"/>
      <c r="CN1331" s="1645"/>
      <c r="CO1331" s="1645"/>
      <c r="CP1331" s="1136"/>
      <c r="CQ1331" s="1136"/>
      <c r="CR1331" s="1136"/>
      <c r="CS1331" s="1136"/>
      <c r="CT1331" s="1136"/>
      <c r="CU1331" s="1136"/>
      <c r="CV1331" s="1136"/>
      <c r="CW1331" s="1136"/>
      <c r="CX1331" s="1136"/>
      <c r="CY1331" s="1136"/>
      <c r="CZ1331" s="1136"/>
      <c r="DA1331" s="1136"/>
      <c r="DB1331" s="1136"/>
      <c r="DC1331" s="1136"/>
      <c r="DD1331" s="1136"/>
      <c r="DE1331" s="1136"/>
      <c r="DF1331" s="1136"/>
      <c r="DG1331" s="1136"/>
      <c r="DH1331" s="1136"/>
      <c r="DI1331" s="1136"/>
    </row>
    <row r="1332" spans="1:113" ht="15.75" x14ac:dyDescent="0.25">
      <c r="A1332" s="1483" t="s">
        <v>4431</v>
      </c>
      <c r="B1332" s="1654">
        <v>0.8</v>
      </c>
      <c r="C1332" s="1655"/>
      <c r="D1332" s="1655"/>
      <c r="E1332" s="1655"/>
      <c r="F1332" s="1655"/>
      <c r="G1332" s="1655"/>
      <c r="H1332" s="1070"/>
      <c r="I1332" s="1136"/>
      <c r="J1332" s="1136"/>
      <c r="K1332" s="1136"/>
      <c r="L1332" s="1136"/>
      <c r="M1332" s="1136"/>
      <c r="N1332" s="1136"/>
      <c r="O1332" s="1136"/>
      <c r="P1332" s="1136"/>
      <c r="Q1332" s="1551"/>
      <c r="R1332" s="1551"/>
      <c r="S1332" s="1551"/>
      <c r="T1332" s="1551"/>
      <c r="U1332" s="1551"/>
      <c r="V1332" s="1551"/>
      <c r="W1332" s="1551"/>
      <c r="X1332" s="1551"/>
      <c r="Y1332" s="1551"/>
      <c r="Z1332" s="1551"/>
      <c r="AA1332" s="1645"/>
      <c r="AB1332" s="1645"/>
      <c r="AC1332" s="1645"/>
      <c r="AD1332" s="1645"/>
      <c r="AE1332" s="1645"/>
      <c r="AF1332" s="1645"/>
      <c r="AG1332" s="1645"/>
      <c r="AH1332" s="1645"/>
      <c r="AI1332" s="1645"/>
      <c r="AJ1332" s="1645"/>
      <c r="AK1332" s="1645"/>
      <c r="AL1332" s="1645"/>
      <c r="AM1332" s="1645"/>
      <c r="AN1332" s="1645"/>
      <c r="AO1332" s="1645"/>
      <c r="AP1332" s="1645"/>
      <c r="AQ1332" s="1645"/>
      <c r="AR1332" s="1645"/>
      <c r="AS1332" s="1645"/>
      <c r="AT1332" s="1645"/>
      <c r="AU1332" s="1645"/>
      <c r="AV1332" s="1645"/>
      <c r="AW1332" s="1645"/>
      <c r="AX1332" s="1645"/>
      <c r="AY1332" s="1645"/>
      <c r="AZ1332" s="1645"/>
      <c r="BA1332" s="1645"/>
      <c r="BB1332" s="1645"/>
      <c r="BC1332" s="1645"/>
      <c r="BD1332" s="1645"/>
      <c r="BE1332" s="1645"/>
      <c r="BF1332" s="1645"/>
      <c r="BG1332" s="1645"/>
      <c r="BH1332" s="1645"/>
      <c r="BI1332" s="1645"/>
      <c r="BJ1332" s="1645"/>
      <c r="BK1332" s="1645"/>
      <c r="BL1332" s="1645"/>
      <c r="BM1332" s="1645"/>
      <c r="BN1332" s="1645"/>
      <c r="BO1332" s="1645"/>
      <c r="BP1332" s="1645"/>
      <c r="BQ1332" s="1645"/>
      <c r="BR1332" s="1645"/>
      <c r="BS1332" s="1645"/>
      <c r="BT1332" s="1645"/>
      <c r="BU1332" s="1645"/>
      <c r="BV1332" s="1645"/>
      <c r="BW1332" s="1645"/>
      <c r="BX1332" s="1645"/>
      <c r="BY1332" s="1645"/>
      <c r="BZ1332" s="1645"/>
      <c r="CA1332" s="1645"/>
      <c r="CB1332" s="1645"/>
      <c r="CC1332" s="1645"/>
      <c r="CD1332" s="1645"/>
      <c r="CE1332" s="1645"/>
      <c r="CF1332" s="1645"/>
      <c r="CG1332" s="1645"/>
      <c r="CH1332" s="1645"/>
      <c r="CI1332" s="1645"/>
      <c r="CJ1332" s="1645"/>
      <c r="CK1332" s="1645"/>
      <c r="CL1332" s="1645"/>
      <c r="CM1332" s="1645"/>
      <c r="CN1332" s="1645"/>
      <c r="CO1332" s="1645"/>
      <c r="CP1332" s="1136"/>
      <c r="CQ1332" s="1136"/>
      <c r="CR1332" s="1136"/>
      <c r="CS1332" s="1136"/>
      <c r="CT1332" s="1136"/>
      <c r="CU1332" s="1136"/>
      <c r="CV1332" s="1136"/>
      <c r="CW1332" s="1136"/>
      <c r="CX1332" s="1136"/>
      <c r="CY1332" s="1136"/>
      <c r="CZ1332" s="1136"/>
      <c r="DA1332" s="1136"/>
      <c r="DB1332" s="1136"/>
      <c r="DC1332" s="1136"/>
      <c r="DD1332" s="1136"/>
      <c r="DE1332" s="1136"/>
      <c r="DF1332" s="1136"/>
      <c r="DG1332" s="1136"/>
      <c r="DH1332" s="1136"/>
      <c r="DI1332" s="1136"/>
    </row>
    <row r="1333" spans="1:113" ht="15.75" x14ac:dyDescent="0.25">
      <c r="A1333" s="1483" t="s">
        <v>4432</v>
      </c>
      <c r="B1333" s="1641" t="e">
        <f>B1331/(3*B1332)</f>
        <v>#VALUE!</v>
      </c>
      <c r="C1333" s="1407"/>
      <c r="D1333" s="1407"/>
      <c r="E1333" s="1407"/>
      <c r="F1333" s="1407"/>
      <c r="G1333" s="1407"/>
      <c r="H1333" s="1070"/>
      <c r="I1333" s="1136"/>
      <c r="J1333" s="1136"/>
      <c r="K1333" s="1136"/>
      <c r="L1333" s="1136"/>
      <c r="M1333" s="1136"/>
      <c r="N1333" s="1136"/>
      <c r="O1333" s="1136"/>
      <c r="P1333" s="1136"/>
      <c r="Q1333" s="1551"/>
      <c r="R1333" s="1551"/>
      <c r="S1333" s="1551"/>
      <c r="T1333" s="1551"/>
      <c r="U1333" s="1551"/>
      <c r="V1333" s="1551"/>
      <c r="W1333" s="1551"/>
      <c r="X1333" s="1551"/>
      <c r="Y1333" s="1551"/>
      <c r="Z1333" s="1551"/>
      <c r="AA1333" s="1645"/>
      <c r="AB1333" s="1645"/>
      <c r="AC1333" s="1645"/>
      <c r="AD1333" s="1645"/>
      <c r="AE1333" s="1645"/>
      <c r="AF1333" s="1645"/>
      <c r="AG1333" s="1645"/>
      <c r="AH1333" s="1645"/>
      <c r="AI1333" s="1645"/>
      <c r="AJ1333" s="1645"/>
      <c r="AK1333" s="1645"/>
      <c r="AL1333" s="1645"/>
      <c r="AM1333" s="1645"/>
      <c r="AN1333" s="1645"/>
      <c r="AO1333" s="1645"/>
      <c r="AP1333" s="1645"/>
      <c r="AQ1333" s="1645"/>
      <c r="AR1333" s="1645"/>
      <c r="AS1333" s="1645"/>
      <c r="AT1333" s="1645"/>
      <c r="AU1333" s="1645"/>
      <c r="AV1333" s="1645"/>
      <c r="AW1333" s="1645"/>
      <c r="AX1333" s="1645"/>
      <c r="AY1333" s="1645"/>
      <c r="AZ1333" s="1645"/>
      <c r="BA1333" s="1645"/>
      <c r="BB1333" s="1645"/>
      <c r="BC1333" s="1645"/>
      <c r="BD1333" s="1645"/>
      <c r="BE1333" s="1645"/>
      <c r="BF1333" s="1645"/>
      <c r="BG1333" s="1645"/>
      <c r="BH1333" s="1645"/>
      <c r="BI1333" s="1645"/>
      <c r="BJ1333" s="1645"/>
      <c r="BK1333" s="1645"/>
      <c r="BL1333" s="1645"/>
      <c r="BM1333" s="1645"/>
      <c r="BN1333" s="1645"/>
      <c r="BO1333" s="1645"/>
      <c r="BP1333" s="1645"/>
      <c r="BQ1333" s="1645"/>
      <c r="BR1333" s="1645"/>
      <c r="BS1333" s="1645"/>
      <c r="BT1333" s="1645"/>
      <c r="BU1333" s="1645"/>
      <c r="BV1333" s="1645"/>
      <c r="BW1333" s="1645"/>
      <c r="BX1333" s="1645"/>
      <c r="BY1333" s="1645"/>
      <c r="BZ1333" s="1645"/>
      <c r="CA1333" s="1645"/>
      <c r="CB1333" s="1645"/>
      <c r="CC1333" s="1645"/>
      <c r="CD1333" s="1645"/>
      <c r="CE1333" s="1645"/>
      <c r="CF1333" s="1645"/>
      <c r="CG1333" s="1645"/>
      <c r="CH1333" s="1645"/>
      <c r="CI1333" s="1645"/>
      <c r="CJ1333" s="1645"/>
      <c r="CK1333" s="1645"/>
      <c r="CL1333" s="1645"/>
      <c r="CM1333" s="1645"/>
      <c r="CN1333" s="1645"/>
      <c r="CO1333" s="1645"/>
      <c r="CP1333" s="1136"/>
      <c r="CQ1333" s="1136"/>
      <c r="CR1333" s="1136"/>
      <c r="CS1333" s="1136"/>
      <c r="CT1333" s="1136"/>
      <c r="CU1333" s="1136"/>
      <c r="CV1333" s="1136"/>
      <c r="CW1333" s="1136"/>
      <c r="CX1333" s="1136"/>
      <c r="CY1333" s="1136"/>
      <c r="CZ1333" s="1136"/>
      <c r="DA1333" s="1136"/>
      <c r="DB1333" s="1136"/>
      <c r="DC1333" s="1136"/>
      <c r="DD1333" s="1136"/>
      <c r="DE1333" s="1136"/>
      <c r="DF1333" s="1136"/>
      <c r="DG1333" s="1136"/>
      <c r="DH1333" s="1136"/>
      <c r="DI1333" s="1136"/>
    </row>
    <row r="1334" spans="1:113" ht="15.75" x14ac:dyDescent="0.25">
      <c r="A1334" s="1483" t="s">
        <v>4433</v>
      </c>
      <c r="B1334" s="1641">
        <f>2.2*(IF(B1322&lt;51,32,IF(B1322&lt;71,25,21)))</f>
        <v>70.400000000000006</v>
      </c>
      <c r="C1334" s="1407"/>
      <c r="D1334" s="1407"/>
      <c r="E1334" s="1407"/>
      <c r="F1334" s="1407"/>
      <c r="G1334" s="1407"/>
      <c r="H1334" s="1070"/>
      <c r="I1334" s="1136"/>
      <c r="J1334" s="1136"/>
      <c r="K1334" s="1136"/>
      <c r="L1334" s="1136"/>
      <c r="M1334" s="1136"/>
      <c r="N1334" s="1136"/>
      <c r="O1334" s="1136"/>
      <c r="P1334" s="1136"/>
      <c r="Q1334" s="1551"/>
      <c r="R1334" s="1551"/>
      <c r="S1334" s="1551"/>
      <c r="T1334" s="1551"/>
      <c r="U1334" s="1551"/>
      <c r="V1334" s="1551"/>
      <c r="W1334" s="1551"/>
      <c r="X1334" s="1551"/>
      <c r="Y1334" s="1551"/>
      <c r="Z1334" s="1551"/>
      <c r="AA1334" s="1645"/>
      <c r="AB1334" s="1645"/>
      <c r="AC1334" s="1645"/>
      <c r="AD1334" s="1645"/>
      <c r="AE1334" s="1645"/>
      <c r="AF1334" s="1645"/>
      <c r="AG1334" s="1645"/>
      <c r="AH1334" s="1645"/>
      <c r="AI1334" s="1645"/>
      <c r="AJ1334" s="1645"/>
      <c r="AK1334" s="1645"/>
      <c r="AL1334" s="1645"/>
      <c r="AM1334" s="1645"/>
      <c r="AN1334" s="1645"/>
      <c r="AO1334" s="1645"/>
      <c r="AP1334" s="1645"/>
      <c r="AQ1334" s="1645"/>
      <c r="AR1334" s="1645"/>
      <c r="AS1334" s="1645"/>
      <c r="AT1334" s="1645"/>
      <c r="AU1334" s="1645"/>
      <c r="AV1334" s="1645"/>
      <c r="AW1334" s="1645"/>
      <c r="AX1334" s="1645"/>
      <c r="AY1334" s="1645"/>
      <c r="AZ1334" s="1645"/>
      <c r="BA1334" s="1645"/>
      <c r="BB1334" s="1645"/>
      <c r="BC1334" s="1645"/>
      <c r="BD1334" s="1645"/>
      <c r="BE1334" s="1645"/>
      <c r="BF1334" s="1645"/>
      <c r="BG1334" s="1645"/>
      <c r="BH1334" s="1645"/>
      <c r="BI1334" s="1645"/>
      <c r="BJ1334" s="1645"/>
      <c r="BK1334" s="1645"/>
      <c r="BL1334" s="1645"/>
      <c r="BM1334" s="1645"/>
      <c r="BN1334" s="1645"/>
      <c r="BO1334" s="1645"/>
      <c r="BP1334" s="1645"/>
      <c r="BQ1334" s="1645"/>
      <c r="BR1334" s="1645"/>
      <c r="BS1334" s="1645"/>
      <c r="BT1334" s="1645"/>
      <c r="BU1334" s="1645"/>
      <c r="BV1334" s="1645"/>
      <c r="BW1334" s="1645"/>
      <c r="BX1334" s="1645"/>
      <c r="BY1334" s="1645"/>
      <c r="BZ1334" s="1645"/>
      <c r="CA1334" s="1645"/>
      <c r="CB1334" s="1645"/>
      <c r="CC1334" s="1645"/>
      <c r="CD1334" s="1645"/>
      <c r="CE1334" s="1645"/>
      <c r="CF1334" s="1645"/>
      <c r="CG1334" s="1645"/>
      <c r="CH1334" s="1645"/>
      <c r="CI1334" s="1645"/>
      <c r="CJ1334" s="1645"/>
      <c r="CK1334" s="1645"/>
      <c r="CL1334" s="1645"/>
      <c r="CM1334" s="1645"/>
      <c r="CN1334" s="1645"/>
      <c r="CO1334" s="1645"/>
      <c r="CP1334" s="1136"/>
      <c r="CQ1334" s="1136"/>
      <c r="CR1334" s="1136"/>
      <c r="CS1334" s="1136"/>
      <c r="CT1334" s="1136"/>
      <c r="CU1334" s="1136"/>
      <c r="CV1334" s="1136"/>
      <c r="CW1334" s="1136"/>
      <c r="CX1334" s="1136"/>
      <c r="CY1334" s="1136"/>
      <c r="CZ1334" s="1136"/>
      <c r="DA1334" s="1136"/>
      <c r="DB1334" s="1136"/>
      <c r="DC1334" s="1136"/>
      <c r="DD1334" s="1136"/>
      <c r="DE1334" s="1136"/>
      <c r="DF1334" s="1136"/>
      <c r="DG1334" s="1136"/>
      <c r="DH1334" s="1136"/>
      <c r="DI1334" s="1136"/>
    </row>
    <row r="1335" spans="1:113" ht="15.75" x14ac:dyDescent="0.25">
      <c r="A1335" s="1483" t="s">
        <v>1855</v>
      </c>
      <c r="B1335" s="1641" t="e">
        <f>B1333/B1334</f>
        <v>#VALUE!</v>
      </c>
      <c r="C1335" s="1407"/>
      <c r="D1335" s="1407"/>
      <c r="E1335" s="1407"/>
      <c r="F1335" s="1407"/>
      <c r="G1335" s="1407"/>
      <c r="H1335" s="1070"/>
      <c r="I1335" s="1136"/>
      <c r="J1335" s="1136"/>
      <c r="K1335" s="1136"/>
      <c r="L1335" s="1136"/>
      <c r="M1335" s="1136"/>
      <c r="N1335" s="1136"/>
      <c r="O1335" s="1136"/>
      <c r="P1335" s="1136"/>
      <c r="Q1335" s="1551"/>
      <c r="R1335" s="1551"/>
      <c r="S1335" s="1551"/>
      <c r="T1335" s="1551"/>
      <c r="U1335" s="1551"/>
      <c r="V1335" s="1551"/>
      <c r="W1335" s="1551"/>
      <c r="X1335" s="1551"/>
      <c r="Y1335" s="1551"/>
      <c r="Z1335" s="1551"/>
      <c r="AA1335" s="1645"/>
      <c r="AB1335" s="1645"/>
      <c r="AC1335" s="1645"/>
      <c r="AD1335" s="1645"/>
      <c r="AE1335" s="1645"/>
      <c r="AF1335" s="1645"/>
      <c r="AG1335" s="1645"/>
      <c r="AH1335" s="1645"/>
      <c r="AI1335" s="1645"/>
      <c r="AJ1335" s="1645"/>
      <c r="AK1335" s="1645"/>
      <c r="AL1335" s="1645"/>
      <c r="AM1335" s="1645"/>
      <c r="AN1335" s="1645"/>
      <c r="AO1335" s="1645"/>
      <c r="AP1335" s="1645"/>
      <c r="AQ1335" s="1645"/>
      <c r="AR1335" s="1645"/>
      <c r="AS1335" s="1645"/>
      <c r="AT1335" s="1645"/>
      <c r="AU1335" s="1645"/>
      <c r="AV1335" s="1645"/>
      <c r="AW1335" s="1645"/>
      <c r="AX1335" s="1645"/>
      <c r="AY1335" s="1645"/>
      <c r="AZ1335" s="1645"/>
      <c r="BA1335" s="1645"/>
      <c r="BB1335" s="1645"/>
      <c r="BC1335" s="1645"/>
      <c r="BD1335" s="1645"/>
      <c r="BE1335" s="1645"/>
      <c r="BF1335" s="1645"/>
      <c r="BG1335" s="1645"/>
      <c r="BH1335" s="1645"/>
      <c r="BI1335" s="1645"/>
      <c r="BJ1335" s="1645"/>
      <c r="BK1335" s="1645"/>
      <c r="BL1335" s="1645"/>
      <c r="BM1335" s="1645"/>
      <c r="BN1335" s="1645"/>
      <c r="BO1335" s="1645"/>
      <c r="BP1335" s="1645"/>
      <c r="BQ1335" s="1645"/>
      <c r="BR1335" s="1645"/>
      <c r="BS1335" s="1645"/>
      <c r="BT1335" s="1645"/>
      <c r="BU1335" s="1645"/>
      <c r="BV1335" s="1645"/>
      <c r="BW1335" s="1645"/>
      <c r="BX1335" s="1645"/>
      <c r="BY1335" s="1645"/>
      <c r="BZ1335" s="1645"/>
      <c r="CA1335" s="1645"/>
      <c r="CB1335" s="1645"/>
      <c r="CC1335" s="1645"/>
      <c r="CD1335" s="1645"/>
      <c r="CE1335" s="1645"/>
      <c r="CF1335" s="1645"/>
      <c r="CG1335" s="1645"/>
      <c r="CH1335" s="1645"/>
      <c r="CI1335" s="1645"/>
      <c r="CJ1335" s="1645"/>
      <c r="CK1335" s="1645"/>
      <c r="CL1335" s="1645"/>
      <c r="CM1335" s="1645"/>
      <c r="CN1335" s="1645"/>
      <c r="CO1335" s="1645"/>
      <c r="CP1335" s="1136"/>
      <c r="CQ1335" s="1136"/>
      <c r="CR1335" s="1136"/>
      <c r="CS1335" s="1136"/>
      <c r="CT1335" s="1136"/>
      <c r="CU1335" s="1136"/>
      <c r="CV1335" s="1136"/>
      <c r="CW1335" s="1136"/>
      <c r="CX1335" s="1136"/>
      <c r="CY1335" s="1136"/>
      <c r="CZ1335" s="1136"/>
      <c r="DA1335" s="1136"/>
      <c r="DB1335" s="1136"/>
      <c r="DC1335" s="1136"/>
      <c r="DD1335" s="1136"/>
      <c r="DE1335" s="1136"/>
      <c r="DF1335" s="1136"/>
      <c r="DG1335" s="1136"/>
      <c r="DH1335" s="1136"/>
      <c r="DI1335" s="1136"/>
    </row>
    <row r="1336" spans="1:113" ht="15.75" x14ac:dyDescent="0.25">
      <c r="A1336" s="1656" t="s">
        <v>3728</v>
      </c>
      <c r="B1336" s="1641"/>
      <c r="C1336" s="1407"/>
      <c r="D1336" s="1407"/>
      <c r="E1336" s="1407"/>
      <c r="F1336" s="1407"/>
      <c r="G1336" s="1407"/>
      <c r="H1336" s="1070"/>
      <c r="I1336" s="1136"/>
      <c r="J1336" s="1136"/>
      <c r="K1336" s="1136"/>
      <c r="L1336" s="1136"/>
      <c r="M1336" s="1136"/>
      <c r="N1336" s="1136"/>
      <c r="O1336" s="1136"/>
      <c r="P1336" s="1136"/>
      <c r="Q1336" s="1551"/>
      <c r="R1336" s="1551"/>
      <c r="S1336" s="1551"/>
      <c r="T1336" s="1551"/>
      <c r="U1336" s="1551"/>
      <c r="V1336" s="1551"/>
      <c r="W1336" s="1551"/>
      <c r="X1336" s="1551"/>
      <c r="Y1336" s="1551"/>
      <c r="Z1336" s="1551"/>
      <c r="AA1336" s="1645"/>
      <c r="AB1336" s="1645"/>
      <c r="AC1336" s="1645"/>
      <c r="AD1336" s="1645"/>
      <c r="AE1336" s="1645"/>
      <c r="AF1336" s="1645"/>
      <c r="AG1336" s="1645"/>
      <c r="AH1336" s="1645"/>
      <c r="AI1336" s="1645"/>
      <c r="AJ1336" s="1645"/>
      <c r="AK1336" s="1645"/>
      <c r="AL1336" s="1645"/>
      <c r="AM1336" s="1645"/>
      <c r="AN1336" s="1645"/>
      <c r="AO1336" s="1645"/>
      <c r="AP1336" s="1645"/>
      <c r="AQ1336" s="1645"/>
      <c r="AR1336" s="1645"/>
      <c r="AS1336" s="1645"/>
      <c r="AT1336" s="1645"/>
      <c r="AU1336" s="1645"/>
      <c r="AV1336" s="1645"/>
      <c r="AW1336" s="1645"/>
      <c r="AX1336" s="1645"/>
      <c r="AY1336" s="1645"/>
      <c r="AZ1336" s="1645"/>
      <c r="BA1336" s="1645"/>
      <c r="BB1336" s="1645"/>
      <c r="BC1336" s="1645"/>
      <c r="BD1336" s="1645"/>
      <c r="BE1336" s="1645"/>
      <c r="BF1336" s="1645"/>
      <c r="BG1336" s="1645"/>
      <c r="BH1336" s="1645"/>
      <c r="BI1336" s="1645"/>
      <c r="BJ1336" s="1645"/>
      <c r="BK1336" s="1645"/>
      <c r="BL1336" s="1645"/>
      <c r="BM1336" s="1645"/>
      <c r="BN1336" s="1645"/>
      <c r="BO1336" s="1645"/>
      <c r="BP1336" s="1645"/>
      <c r="BQ1336" s="1645"/>
      <c r="BR1336" s="1645"/>
      <c r="BS1336" s="1645"/>
      <c r="BT1336" s="1645"/>
      <c r="BU1336" s="1645"/>
      <c r="BV1336" s="1645"/>
      <c r="BW1336" s="1645"/>
      <c r="BX1336" s="1645"/>
      <c r="BY1336" s="1645"/>
      <c r="BZ1336" s="1645"/>
      <c r="CA1336" s="1645"/>
      <c r="CB1336" s="1645"/>
      <c r="CC1336" s="1645"/>
      <c r="CD1336" s="1645"/>
      <c r="CE1336" s="1645"/>
      <c r="CF1336" s="1645"/>
      <c r="CG1336" s="1645"/>
      <c r="CH1336" s="1645"/>
      <c r="CI1336" s="1645"/>
      <c r="CJ1336" s="1645"/>
      <c r="CK1336" s="1645"/>
      <c r="CL1336" s="1645"/>
      <c r="CM1336" s="1645"/>
      <c r="CN1336" s="1645"/>
      <c r="CO1336" s="1645"/>
      <c r="CP1336" s="1136"/>
      <c r="CQ1336" s="1136"/>
      <c r="CR1336" s="1136"/>
      <c r="CS1336" s="1136"/>
      <c r="CT1336" s="1136"/>
      <c r="CU1336" s="1136"/>
      <c r="CV1336" s="1136"/>
      <c r="CW1336" s="1136"/>
      <c r="CX1336" s="1136"/>
      <c r="CY1336" s="1136"/>
      <c r="CZ1336" s="1136"/>
      <c r="DA1336" s="1136"/>
      <c r="DB1336" s="1136"/>
      <c r="DC1336" s="1136"/>
      <c r="DD1336" s="1136"/>
      <c r="DE1336" s="1136"/>
      <c r="DF1336" s="1136"/>
      <c r="DG1336" s="1136"/>
      <c r="DH1336" s="1136"/>
      <c r="DI1336" s="1136"/>
    </row>
    <row r="1337" spans="1:113" ht="15.75" x14ac:dyDescent="0.25">
      <c r="A1337" s="1483" t="s">
        <v>4432</v>
      </c>
      <c r="B1337" s="1641">
        <f>B1318*2.2/3</f>
        <v>0</v>
      </c>
      <c r="C1337" s="1407"/>
      <c r="D1337" s="1407"/>
      <c r="E1337" s="1407"/>
      <c r="F1337" s="1407"/>
      <c r="G1337" s="1407"/>
      <c r="H1337" s="1070"/>
      <c r="I1337" s="1136"/>
      <c r="J1337" s="1136"/>
      <c r="K1337" s="1136"/>
      <c r="L1337" s="1136"/>
      <c r="M1337" s="1136"/>
      <c r="N1337" s="1136"/>
      <c r="O1337" s="1136"/>
      <c r="P1337" s="1136"/>
      <c r="Q1337" s="1551"/>
      <c r="R1337" s="1551"/>
      <c r="S1337" s="1551"/>
      <c r="T1337" s="1551"/>
      <c r="U1337" s="1551"/>
      <c r="V1337" s="1551"/>
      <c r="W1337" s="1551"/>
      <c r="X1337" s="1551"/>
      <c r="Y1337" s="1551"/>
      <c r="Z1337" s="1551"/>
      <c r="AA1337" s="1645"/>
      <c r="AB1337" s="1645"/>
      <c r="AC1337" s="1645"/>
      <c r="AD1337" s="1645"/>
      <c r="AE1337" s="1645"/>
      <c r="AF1337" s="1645"/>
      <c r="AG1337" s="1645"/>
      <c r="AH1337" s="1645"/>
      <c r="AI1337" s="1645"/>
      <c r="AJ1337" s="1645"/>
      <c r="AK1337" s="1645"/>
      <c r="AL1337" s="1645"/>
      <c r="AM1337" s="1645"/>
      <c r="AN1337" s="1645"/>
      <c r="AO1337" s="1645"/>
      <c r="AP1337" s="1645"/>
      <c r="AQ1337" s="1645"/>
      <c r="AR1337" s="1645"/>
      <c r="AS1337" s="1645"/>
      <c r="AT1337" s="1645"/>
      <c r="AU1337" s="1645"/>
      <c r="AV1337" s="1645"/>
      <c r="AW1337" s="1645"/>
      <c r="AX1337" s="1645"/>
      <c r="AY1337" s="1645"/>
      <c r="AZ1337" s="1645"/>
      <c r="BA1337" s="1645"/>
      <c r="BB1337" s="1645"/>
      <c r="BC1337" s="1645"/>
      <c r="BD1337" s="1645"/>
      <c r="BE1337" s="1645"/>
      <c r="BF1337" s="1645"/>
      <c r="BG1337" s="1645"/>
      <c r="BH1337" s="1645"/>
      <c r="BI1337" s="1645"/>
      <c r="BJ1337" s="1645"/>
      <c r="BK1337" s="1645"/>
      <c r="BL1337" s="1645"/>
      <c r="BM1337" s="1645"/>
      <c r="BN1337" s="1645"/>
      <c r="BO1337" s="1645"/>
      <c r="BP1337" s="1645"/>
      <c r="BQ1337" s="1645"/>
      <c r="BR1337" s="1645"/>
      <c r="BS1337" s="1645"/>
      <c r="BT1337" s="1645"/>
      <c r="BU1337" s="1645"/>
      <c r="BV1337" s="1645"/>
      <c r="BW1337" s="1645"/>
      <c r="BX1337" s="1645"/>
      <c r="BY1337" s="1645"/>
      <c r="BZ1337" s="1645"/>
      <c r="CA1337" s="1645"/>
      <c r="CB1337" s="1645"/>
      <c r="CC1337" s="1645"/>
      <c r="CD1337" s="1645"/>
      <c r="CE1337" s="1645"/>
      <c r="CF1337" s="1645"/>
      <c r="CG1337" s="1645"/>
      <c r="CH1337" s="1645"/>
      <c r="CI1337" s="1645"/>
      <c r="CJ1337" s="1645"/>
      <c r="CK1337" s="1645"/>
      <c r="CL1337" s="1645"/>
      <c r="CM1337" s="1645"/>
      <c r="CN1337" s="1645"/>
      <c r="CO1337" s="1645"/>
      <c r="CP1337" s="1136"/>
      <c r="CQ1337" s="1136"/>
      <c r="CR1337" s="1136"/>
      <c r="CS1337" s="1136"/>
      <c r="CT1337" s="1136"/>
      <c r="CU1337" s="1136"/>
      <c r="CV1337" s="1136"/>
      <c r="CW1337" s="1136"/>
      <c r="CX1337" s="1136"/>
      <c r="CY1337" s="1136"/>
      <c r="CZ1337" s="1136"/>
      <c r="DA1337" s="1136"/>
      <c r="DB1337" s="1136"/>
      <c r="DC1337" s="1136"/>
      <c r="DD1337" s="1136"/>
      <c r="DE1337" s="1136"/>
      <c r="DF1337" s="1136"/>
      <c r="DG1337" s="1136"/>
      <c r="DH1337" s="1136"/>
      <c r="DI1337" s="1136"/>
    </row>
    <row r="1338" spans="1:113" ht="15.75" x14ac:dyDescent="0.25">
      <c r="A1338" s="1483" t="s">
        <v>4433</v>
      </c>
      <c r="B1338" s="1641">
        <f>2.2*(IF(B1322&lt;51,32,IF(B1322&lt;71,25,21)))</f>
        <v>70.400000000000006</v>
      </c>
      <c r="C1338" s="1407"/>
      <c r="D1338" s="1407"/>
      <c r="E1338" s="1407"/>
      <c r="F1338" s="1407"/>
      <c r="G1338" s="1407"/>
      <c r="H1338" s="1070"/>
      <c r="I1338" s="1136"/>
      <c r="J1338" s="1136"/>
      <c r="K1338" s="1136"/>
      <c r="L1338" s="1136"/>
      <c r="M1338" s="1136"/>
      <c r="N1338" s="1136"/>
      <c r="O1338" s="1136"/>
      <c r="P1338" s="1136"/>
      <c r="Q1338" s="1551"/>
      <c r="R1338" s="1551"/>
      <c r="S1338" s="1551"/>
      <c r="T1338" s="1551"/>
      <c r="U1338" s="1551"/>
      <c r="V1338" s="1551"/>
      <c r="W1338" s="1551"/>
      <c r="X1338" s="1551"/>
      <c r="Y1338" s="1551"/>
      <c r="Z1338" s="1551"/>
      <c r="AA1338" s="1645"/>
      <c r="AB1338" s="1645"/>
      <c r="AC1338" s="1645"/>
      <c r="AD1338" s="1645"/>
      <c r="AE1338" s="1645"/>
      <c r="AF1338" s="1645"/>
      <c r="AG1338" s="1645"/>
      <c r="AH1338" s="1645"/>
      <c r="AI1338" s="1645"/>
      <c r="AJ1338" s="1645"/>
      <c r="AK1338" s="1645"/>
      <c r="AL1338" s="1645"/>
      <c r="AM1338" s="1645"/>
      <c r="AN1338" s="1645"/>
      <c r="AO1338" s="1645"/>
      <c r="AP1338" s="1645"/>
      <c r="AQ1338" s="1645"/>
      <c r="AR1338" s="1645"/>
      <c r="AS1338" s="1645"/>
      <c r="AT1338" s="1645"/>
      <c r="AU1338" s="1645"/>
      <c r="AV1338" s="1645"/>
      <c r="AW1338" s="1645"/>
      <c r="AX1338" s="1645"/>
      <c r="AY1338" s="1645"/>
      <c r="AZ1338" s="1645"/>
      <c r="BA1338" s="1645"/>
      <c r="BB1338" s="1645"/>
      <c r="BC1338" s="1645"/>
      <c r="BD1338" s="1645"/>
      <c r="BE1338" s="1645"/>
      <c r="BF1338" s="1645"/>
      <c r="BG1338" s="1645"/>
      <c r="BH1338" s="1645"/>
      <c r="BI1338" s="1645"/>
      <c r="BJ1338" s="1645"/>
      <c r="BK1338" s="1645"/>
      <c r="BL1338" s="1645"/>
      <c r="BM1338" s="1645"/>
      <c r="BN1338" s="1645"/>
      <c r="BO1338" s="1645"/>
      <c r="BP1338" s="1645"/>
      <c r="BQ1338" s="1645"/>
      <c r="BR1338" s="1645"/>
      <c r="BS1338" s="1645"/>
      <c r="BT1338" s="1645"/>
      <c r="BU1338" s="1645"/>
      <c r="BV1338" s="1645"/>
      <c r="BW1338" s="1645"/>
      <c r="BX1338" s="1645"/>
      <c r="BY1338" s="1645"/>
      <c r="BZ1338" s="1645"/>
      <c r="CA1338" s="1645"/>
      <c r="CB1338" s="1645"/>
      <c r="CC1338" s="1645"/>
      <c r="CD1338" s="1645"/>
      <c r="CE1338" s="1645"/>
      <c r="CF1338" s="1645"/>
      <c r="CG1338" s="1645"/>
      <c r="CH1338" s="1645"/>
      <c r="CI1338" s="1645"/>
      <c r="CJ1338" s="1645"/>
      <c r="CK1338" s="1645"/>
      <c r="CL1338" s="1645"/>
      <c r="CM1338" s="1645"/>
      <c r="CN1338" s="1645"/>
      <c r="CO1338" s="1645"/>
      <c r="CP1338" s="1136"/>
      <c r="CQ1338" s="1136"/>
      <c r="CR1338" s="1136"/>
      <c r="CS1338" s="1136"/>
      <c r="CT1338" s="1136"/>
      <c r="CU1338" s="1136"/>
      <c r="CV1338" s="1136"/>
      <c r="CW1338" s="1136"/>
      <c r="CX1338" s="1136"/>
      <c r="CY1338" s="1136"/>
      <c r="CZ1338" s="1136"/>
      <c r="DA1338" s="1136"/>
      <c r="DB1338" s="1136"/>
      <c r="DC1338" s="1136"/>
      <c r="DD1338" s="1136"/>
      <c r="DE1338" s="1136"/>
      <c r="DF1338" s="1136"/>
      <c r="DG1338" s="1136"/>
      <c r="DH1338" s="1136"/>
      <c r="DI1338" s="1136"/>
    </row>
    <row r="1339" spans="1:113" ht="15.75" x14ac:dyDescent="0.25">
      <c r="A1339" s="1483" t="s">
        <v>1855</v>
      </c>
      <c r="B1339" s="1641">
        <f>B1337/B1338</f>
        <v>0</v>
      </c>
      <c r="C1339" s="1407"/>
      <c r="D1339" s="1407"/>
      <c r="E1339" s="1407"/>
      <c r="F1339" s="1407"/>
      <c r="G1339" s="1407"/>
      <c r="H1339" s="1070"/>
      <c r="I1339" s="1136"/>
      <c r="J1339" s="1136"/>
      <c r="K1339" s="1136"/>
      <c r="L1339" s="1136"/>
      <c r="M1339" s="1136"/>
      <c r="N1339" s="1136"/>
      <c r="O1339" s="1136"/>
      <c r="P1339" s="1136"/>
      <c r="Q1339" s="1551"/>
      <c r="R1339" s="1551"/>
      <c r="S1339" s="1551"/>
      <c r="T1339" s="1551"/>
      <c r="U1339" s="1551"/>
      <c r="V1339" s="1551"/>
      <c r="W1339" s="1551"/>
      <c r="X1339" s="1551"/>
      <c r="Y1339" s="1551"/>
      <c r="Z1339" s="1551"/>
      <c r="AA1339" s="1645"/>
      <c r="AB1339" s="1645"/>
      <c r="AC1339" s="1645"/>
      <c r="AD1339" s="1645"/>
      <c r="AE1339" s="1645"/>
      <c r="AF1339" s="1645"/>
      <c r="AG1339" s="1645"/>
      <c r="AH1339" s="1645"/>
      <c r="AI1339" s="1645"/>
      <c r="AJ1339" s="1645"/>
      <c r="AK1339" s="1645"/>
      <c r="AL1339" s="1645"/>
      <c r="AM1339" s="1645"/>
      <c r="AN1339" s="1645"/>
      <c r="AO1339" s="1645"/>
      <c r="AP1339" s="1645"/>
      <c r="AQ1339" s="1645"/>
      <c r="AR1339" s="1645"/>
      <c r="AS1339" s="1645"/>
      <c r="AT1339" s="1645"/>
      <c r="AU1339" s="1645"/>
      <c r="AV1339" s="1645"/>
      <c r="AW1339" s="1645"/>
      <c r="AX1339" s="1645"/>
      <c r="AY1339" s="1645"/>
      <c r="AZ1339" s="1645"/>
      <c r="BA1339" s="1645"/>
      <c r="BB1339" s="1645"/>
      <c r="BC1339" s="1645"/>
      <c r="BD1339" s="1645"/>
      <c r="BE1339" s="1645"/>
      <c r="BF1339" s="1645"/>
      <c r="BG1339" s="1645"/>
      <c r="BH1339" s="1645"/>
      <c r="BI1339" s="1645"/>
      <c r="BJ1339" s="1645"/>
      <c r="BK1339" s="1645"/>
      <c r="BL1339" s="1645"/>
      <c r="BM1339" s="1645"/>
      <c r="BN1339" s="1645"/>
      <c r="BO1339" s="1645"/>
      <c r="BP1339" s="1645"/>
      <c r="BQ1339" s="1645"/>
      <c r="BR1339" s="1645"/>
      <c r="BS1339" s="1645"/>
      <c r="BT1339" s="1645"/>
      <c r="BU1339" s="1645"/>
      <c r="BV1339" s="1645"/>
      <c r="BW1339" s="1645"/>
      <c r="BX1339" s="1645"/>
      <c r="BY1339" s="1645"/>
      <c r="BZ1339" s="1645"/>
      <c r="CA1339" s="1645"/>
      <c r="CB1339" s="1645"/>
      <c r="CC1339" s="1645"/>
      <c r="CD1339" s="1645"/>
      <c r="CE1339" s="1645"/>
      <c r="CF1339" s="1645"/>
      <c r="CG1339" s="1645"/>
      <c r="CH1339" s="1645"/>
      <c r="CI1339" s="1645"/>
      <c r="CJ1339" s="1645"/>
      <c r="CK1339" s="1645"/>
      <c r="CL1339" s="1645"/>
      <c r="CM1339" s="1645"/>
      <c r="CN1339" s="1645"/>
      <c r="CO1339" s="1645"/>
      <c r="CP1339" s="1136"/>
      <c r="CQ1339" s="1136"/>
      <c r="CR1339" s="1136"/>
      <c r="CS1339" s="1136"/>
      <c r="CT1339" s="1136"/>
      <c r="CU1339" s="1136"/>
      <c r="CV1339" s="1136"/>
      <c r="CW1339" s="1136"/>
      <c r="CX1339" s="1136"/>
      <c r="CY1339" s="1136"/>
      <c r="CZ1339" s="1136"/>
      <c r="DA1339" s="1136"/>
      <c r="DB1339" s="1136"/>
      <c r="DC1339" s="1136"/>
      <c r="DD1339" s="1136"/>
      <c r="DE1339" s="1136"/>
      <c r="DF1339" s="1136"/>
      <c r="DG1339" s="1136"/>
      <c r="DH1339" s="1136"/>
      <c r="DI1339" s="1136"/>
    </row>
    <row r="1340" spans="1:113" ht="15.75" x14ac:dyDescent="0.25">
      <c r="A1340" s="1649" t="s">
        <v>3729</v>
      </c>
      <c r="B1340" s="1046"/>
      <c r="C1340" s="1070"/>
      <c r="D1340" s="1070"/>
      <c r="E1340" s="1070"/>
      <c r="F1340" s="1070"/>
      <c r="G1340" s="1070"/>
      <c r="H1340" s="1070"/>
      <c r="I1340" s="1136"/>
      <c r="J1340" s="1136"/>
      <c r="K1340" s="1136"/>
      <c r="L1340" s="1136"/>
      <c r="M1340" s="1136"/>
      <c r="N1340" s="1136"/>
      <c r="O1340" s="1136"/>
      <c r="P1340" s="1136"/>
      <c r="Q1340" s="1551"/>
      <c r="R1340" s="1551"/>
      <c r="S1340" s="1551"/>
      <c r="T1340" s="1551"/>
      <c r="U1340" s="1551"/>
      <c r="V1340" s="1551"/>
      <c r="W1340" s="1551"/>
      <c r="X1340" s="1551"/>
      <c r="Y1340" s="1551"/>
      <c r="Z1340" s="1551"/>
      <c r="AA1340" s="1645"/>
      <c r="AB1340" s="1645"/>
      <c r="AC1340" s="1645"/>
      <c r="AD1340" s="1645"/>
      <c r="AE1340" s="1645"/>
      <c r="AF1340" s="1645"/>
      <c r="AG1340" s="1645"/>
      <c r="AH1340" s="1645"/>
      <c r="AI1340" s="1645"/>
      <c r="AJ1340" s="1645"/>
      <c r="AK1340" s="1645"/>
      <c r="AL1340" s="1645"/>
      <c r="AM1340" s="1645"/>
      <c r="AN1340" s="1645"/>
      <c r="AO1340" s="1645"/>
      <c r="AP1340" s="1645"/>
      <c r="AQ1340" s="1645"/>
      <c r="AR1340" s="1645"/>
      <c r="AS1340" s="1645"/>
      <c r="AT1340" s="1645"/>
      <c r="AU1340" s="1645"/>
      <c r="AV1340" s="1645"/>
      <c r="AW1340" s="1645"/>
      <c r="AX1340" s="1645"/>
      <c r="AY1340" s="1645"/>
      <c r="AZ1340" s="1645"/>
      <c r="BA1340" s="1645"/>
      <c r="BB1340" s="1645"/>
      <c r="BC1340" s="1645"/>
      <c r="BD1340" s="1645"/>
      <c r="BE1340" s="1645"/>
      <c r="BF1340" s="1645"/>
      <c r="BG1340" s="1645"/>
      <c r="BH1340" s="1645"/>
      <c r="BI1340" s="1645"/>
      <c r="BJ1340" s="1645"/>
      <c r="BK1340" s="1645"/>
      <c r="BL1340" s="1645"/>
      <c r="BM1340" s="1645"/>
      <c r="BN1340" s="1645"/>
      <c r="BO1340" s="1645"/>
      <c r="BP1340" s="1645"/>
      <c r="BQ1340" s="1645"/>
      <c r="BR1340" s="1645"/>
      <c r="BS1340" s="1645"/>
      <c r="BT1340" s="1645"/>
      <c r="BU1340" s="1645"/>
      <c r="BV1340" s="1645"/>
      <c r="BW1340" s="1645"/>
      <c r="BX1340" s="1645"/>
      <c r="BY1340" s="1645"/>
      <c r="BZ1340" s="1645"/>
      <c r="CA1340" s="1645"/>
      <c r="CB1340" s="1645"/>
      <c r="CC1340" s="1645"/>
      <c r="CD1340" s="1645"/>
      <c r="CE1340" s="1645"/>
      <c r="CF1340" s="1645"/>
      <c r="CG1340" s="1645"/>
      <c r="CH1340" s="1645"/>
      <c r="CI1340" s="1645"/>
      <c r="CJ1340" s="1645"/>
      <c r="CK1340" s="1645"/>
      <c r="CL1340" s="1645"/>
      <c r="CM1340" s="1645"/>
      <c r="CN1340" s="1645"/>
      <c r="CO1340" s="1645"/>
      <c r="CP1340" s="1136"/>
      <c r="CQ1340" s="1136"/>
      <c r="CR1340" s="1136"/>
      <c r="CS1340" s="1136"/>
      <c r="CT1340" s="1136"/>
      <c r="CU1340" s="1136"/>
      <c r="CV1340" s="1136"/>
      <c r="CW1340" s="1136"/>
      <c r="CX1340" s="1136"/>
      <c r="CY1340" s="1136"/>
      <c r="CZ1340" s="1136"/>
      <c r="DA1340" s="1136"/>
      <c r="DB1340" s="1136"/>
      <c r="DC1340" s="1136"/>
      <c r="DD1340" s="1136"/>
      <c r="DE1340" s="1136"/>
      <c r="DF1340" s="1136"/>
      <c r="DG1340" s="1136"/>
      <c r="DH1340" s="1136"/>
      <c r="DI1340" s="1136"/>
    </row>
    <row r="1341" spans="1:113" ht="15.75" x14ac:dyDescent="0.25">
      <c r="A1341" s="1391" t="s">
        <v>3730</v>
      </c>
      <c r="B1341" s="1406">
        <v>0</v>
      </c>
      <c r="C1341" s="1407"/>
      <c r="D1341" s="1407"/>
      <c r="E1341" s="1407"/>
      <c r="F1341" s="1407"/>
      <c r="G1341" s="1407"/>
      <c r="H1341" s="1070"/>
      <c r="I1341" s="1136"/>
      <c r="J1341" s="1136"/>
      <c r="K1341" s="1136"/>
      <c r="L1341" s="1136"/>
      <c r="M1341" s="1136"/>
      <c r="N1341" s="1136"/>
      <c r="O1341" s="1136"/>
      <c r="P1341" s="1136"/>
      <c r="Q1341" s="1551"/>
      <c r="R1341" s="1551"/>
      <c r="S1341" s="1551"/>
      <c r="T1341" s="1551"/>
      <c r="U1341" s="1551"/>
      <c r="V1341" s="1551"/>
      <c r="W1341" s="1551"/>
      <c r="X1341" s="1551"/>
      <c r="Y1341" s="1551"/>
      <c r="Z1341" s="1551"/>
      <c r="AA1341" s="1645"/>
      <c r="AB1341" s="1645"/>
      <c r="AC1341" s="1645"/>
      <c r="AD1341" s="1645"/>
      <c r="AE1341" s="1645"/>
      <c r="AF1341" s="1645"/>
      <c r="AG1341" s="1645"/>
      <c r="AH1341" s="1645"/>
      <c r="AI1341" s="1645"/>
      <c r="AJ1341" s="1645"/>
      <c r="AK1341" s="1645"/>
      <c r="AL1341" s="1645"/>
      <c r="AM1341" s="1645"/>
      <c r="AN1341" s="1645"/>
      <c r="AO1341" s="1645"/>
      <c r="AP1341" s="1645"/>
      <c r="AQ1341" s="1645"/>
      <c r="AR1341" s="1645"/>
      <c r="AS1341" s="1645"/>
      <c r="AT1341" s="1645"/>
      <c r="AU1341" s="1645"/>
      <c r="AV1341" s="1645"/>
      <c r="AW1341" s="1645"/>
      <c r="AX1341" s="1645"/>
      <c r="AY1341" s="1645"/>
      <c r="AZ1341" s="1645"/>
      <c r="BA1341" s="1645"/>
      <c r="BB1341" s="1645"/>
      <c r="BC1341" s="1645"/>
      <c r="BD1341" s="1645"/>
      <c r="BE1341" s="1645"/>
      <c r="BF1341" s="1645"/>
      <c r="BG1341" s="1645"/>
      <c r="BH1341" s="1645"/>
      <c r="BI1341" s="1645"/>
      <c r="BJ1341" s="1645"/>
      <c r="BK1341" s="1645"/>
      <c r="BL1341" s="1645"/>
      <c r="BM1341" s="1645"/>
      <c r="BN1341" s="1645"/>
      <c r="BO1341" s="1645"/>
      <c r="BP1341" s="1645"/>
      <c r="BQ1341" s="1645"/>
      <c r="BR1341" s="1645"/>
      <c r="BS1341" s="1645"/>
      <c r="BT1341" s="1645"/>
      <c r="BU1341" s="1645"/>
      <c r="BV1341" s="1645"/>
      <c r="BW1341" s="1645"/>
      <c r="BX1341" s="1645"/>
      <c r="BY1341" s="1645"/>
      <c r="BZ1341" s="1645"/>
      <c r="CA1341" s="1645"/>
      <c r="CB1341" s="1645"/>
      <c r="CC1341" s="1645"/>
      <c r="CD1341" s="1645"/>
      <c r="CE1341" s="1645"/>
      <c r="CF1341" s="1645"/>
      <c r="CG1341" s="1645"/>
      <c r="CH1341" s="1645"/>
      <c r="CI1341" s="1645"/>
      <c r="CJ1341" s="1645"/>
      <c r="CK1341" s="1645"/>
      <c r="CL1341" s="1645"/>
      <c r="CM1341" s="1645"/>
      <c r="CN1341" s="1645"/>
      <c r="CO1341" s="1645"/>
      <c r="CP1341" s="1136"/>
      <c r="CQ1341" s="1136"/>
      <c r="CR1341" s="1136"/>
      <c r="CS1341" s="1136"/>
      <c r="CT1341" s="1136"/>
      <c r="CU1341" s="1136"/>
      <c r="CV1341" s="1136"/>
      <c r="CW1341" s="1136"/>
      <c r="CX1341" s="1136"/>
      <c r="CY1341" s="1136"/>
      <c r="CZ1341" s="1136"/>
      <c r="DA1341" s="1136"/>
      <c r="DB1341" s="1136"/>
      <c r="DC1341" s="1136"/>
      <c r="DD1341" s="1136"/>
      <c r="DE1341" s="1136"/>
      <c r="DF1341" s="1136"/>
      <c r="DG1341" s="1136"/>
      <c r="DH1341" s="1136"/>
      <c r="DI1341" s="1136"/>
    </row>
    <row r="1342" spans="1:113" ht="15.75" x14ac:dyDescent="0.25">
      <c r="A1342" s="1391" t="s">
        <v>3731</v>
      </c>
      <c r="B1342" s="1406">
        <v>0</v>
      </c>
      <c r="C1342" s="1407"/>
      <c r="D1342" s="1407"/>
      <c r="E1342" s="1407"/>
      <c r="F1342" s="1407"/>
      <c r="G1342" s="1407"/>
      <c r="H1342" s="1070"/>
      <c r="I1342" s="1136"/>
      <c r="J1342" s="1136"/>
      <c r="K1342" s="1136"/>
      <c r="L1342" s="1136"/>
      <c r="M1342" s="1136"/>
      <c r="N1342" s="1136"/>
      <c r="O1342" s="1136"/>
      <c r="P1342" s="1136"/>
      <c r="Q1342" s="1551"/>
      <c r="R1342" s="1551"/>
      <c r="S1342" s="1551"/>
      <c r="T1342" s="1551"/>
      <c r="U1342" s="1551"/>
      <c r="V1342" s="1551"/>
      <c r="W1342" s="1551"/>
      <c r="X1342" s="1551"/>
      <c r="Y1342" s="1551"/>
      <c r="Z1342" s="1551"/>
      <c r="AA1342" s="1645"/>
      <c r="AB1342" s="1645"/>
      <c r="AC1342" s="1645"/>
      <c r="AD1342" s="1645"/>
      <c r="AE1342" s="1645"/>
      <c r="AF1342" s="1645"/>
      <c r="AG1342" s="1645"/>
      <c r="AH1342" s="1645"/>
      <c r="AI1342" s="1645"/>
      <c r="AJ1342" s="1645"/>
      <c r="AK1342" s="1645"/>
      <c r="AL1342" s="1645"/>
      <c r="AM1342" s="1645"/>
      <c r="AN1342" s="1645"/>
      <c r="AO1342" s="1645"/>
      <c r="AP1342" s="1645"/>
      <c r="AQ1342" s="1645"/>
      <c r="AR1342" s="1645"/>
      <c r="AS1342" s="1645"/>
      <c r="AT1342" s="1645"/>
      <c r="AU1342" s="1645"/>
      <c r="AV1342" s="1645"/>
      <c r="AW1342" s="1645"/>
      <c r="AX1342" s="1645"/>
      <c r="AY1342" s="1645"/>
      <c r="AZ1342" s="1645"/>
      <c r="BA1342" s="1645"/>
      <c r="BB1342" s="1645"/>
      <c r="BC1342" s="1645"/>
      <c r="BD1342" s="1645"/>
      <c r="BE1342" s="1645"/>
      <c r="BF1342" s="1645"/>
      <c r="BG1342" s="1645"/>
      <c r="BH1342" s="1645"/>
      <c r="BI1342" s="1645"/>
      <c r="BJ1342" s="1645"/>
      <c r="BK1342" s="1645"/>
      <c r="BL1342" s="1645"/>
      <c r="BM1342" s="1645"/>
      <c r="BN1342" s="1645"/>
      <c r="BO1342" s="1645"/>
      <c r="BP1342" s="1645"/>
      <c r="BQ1342" s="1645"/>
      <c r="BR1342" s="1645"/>
      <c r="BS1342" s="1645"/>
      <c r="BT1342" s="1645"/>
      <c r="BU1342" s="1645"/>
      <c r="BV1342" s="1645"/>
      <c r="BW1342" s="1645"/>
      <c r="BX1342" s="1645"/>
      <c r="BY1342" s="1645"/>
      <c r="BZ1342" s="1645"/>
      <c r="CA1342" s="1645"/>
      <c r="CB1342" s="1645"/>
      <c r="CC1342" s="1645"/>
      <c r="CD1342" s="1645"/>
      <c r="CE1342" s="1645"/>
      <c r="CF1342" s="1645"/>
      <c r="CG1342" s="1645"/>
      <c r="CH1342" s="1645"/>
      <c r="CI1342" s="1645"/>
      <c r="CJ1342" s="1645"/>
      <c r="CK1342" s="1645"/>
      <c r="CL1342" s="1645"/>
      <c r="CM1342" s="1645"/>
      <c r="CN1342" s="1645"/>
      <c r="CO1342" s="1645"/>
      <c r="CP1342" s="1136"/>
      <c r="CQ1342" s="1136"/>
      <c r="CR1342" s="1136"/>
      <c r="CS1342" s="1136"/>
      <c r="CT1342" s="1136"/>
      <c r="CU1342" s="1136"/>
      <c r="CV1342" s="1136"/>
      <c r="CW1342" s="1136"/>
      <c r="CX1342" s="1136"/>
      <c r="CY1342" s="1136"/>
      <c r="CZ1342" s="1136"/>
      <c r="DA1342" s="1136"/>
      <c r="DB1342" s="1136"/>
      <c r="DC1342" s="1136"/>
      <c r="DD1342" s="1136"/>
      <c r="DE1342" s="1136"/>
      <c r="DF1342" s="1136"/>
      <c r="DG1342" s="1136"/>
      <c r="DH1342" s="1136"/>
      <c r="DI1342" s="1136"/>
    </row>
    <row r="1343" spans="1:113" ht="15.75" x14ac:dyDescent="0.25">
      <c r="A1343" s="1391" t="s">
        <v>3732</v>
      </c>
      <c r="B1343" s="1406">
        <v>0</v>
      </c>
      <c r="C1343" s="1407"/>
      <c r="D1343" s="1407"/>
      <c r="E1343" s="1407"/>
      <c r="F1343" s="1407"/>
      <c r="G1343" s="1407"/>
      <c r="H1343" s="1070"/>
      <c r="I1343" s="1136"/>
      <c r="J1343" s="1136"/>
      <c r="K1343" s="1136"/>
      <c r="L1343" s="1136"/>
      <c r="M1343" s="1136"/>
      <c r="N1343" s="1136"/>
      <c r="O1343" s="1136"/>
      <c r="P1343" s="1136"/>
      <c r="Q1343" s="1551"/>
      <c r="R1343" s="1551"/>
      <c r="S1343" s="1551"/>
      <c r="T1343" s="1551"/>
      <c r="U1343" s="1551"/>
      <c r="V1343" s="1551"/>
      <c r="W1343" s="1551"/>
      <c r="X1343" s="1551"/>
      <c r="Y1343" s="1551"/>
      <c r="Z1343" s="1551"/>
      <c r="AA1343" s="1645"/>
      <c r="AB1343" s="1645"/>
      <c r="AC1343" s="1645"/>
      <c r="AD1343" s="1645"/>
      <c r="AE1343" s="1645"/>
      <c r="AF1343" s="1645"/>
      <c r="AG1343" s="1645"/>
      <c r="AH1343" s="1645"/>
      <c r="AI1343" s="1645"/>
      <c r="AJ1343" s="1645"/>
      <c r="AK1343" s="1645"/>
      <c r="AL1343" s="1645"/>
      <c r="AM1343" s="1645"/>
      <c r="AN1343" s="1645"/>
      <c r="AO1343" s="1645"/>
      <c r="AP1343" s="1645"/>
      <c r="AQ1343" s="1645"/>
      <c r="AR1343" s="1645"/>
      <c r="AS1343" s="1645"/>
      <c r="AT1343" s="1645"/>
      <c r="AU1343" s="1645"/>
      <c r="AV1343" s="1645"/>
      <c r="AW1343" s="1645"/>
      <c r="AX1343" s="1645"/>
      <c r="AY1343" s="1645"/>
      <c r="AZ1343" s="1645"/>
      <c r="BA1343" s="1645"/>
      <c r="BB1343" s="1645"/>
      <c r="BC1343" s="1645"/>
      <c r="BD1343" s="1645"/>
      <c r="BE1343" s="1645"/>
      <c r="BF1343" s="1645"/>
      <c r="BG1343" s="1645"/>
      <c r="BH1343" s="1645"/>
      <c r="BI1343" s="1645"/>
      <c r="BJ1343" s="1645"/>
      <c r="BK1343" s="1645"/>
      <c r="BL1343" s="1645"/>
      <c r="BM1343" s="1645"/>
      <c r="BN1343" s="1645"/>
      <c r="BO1343" s="1645"/>
      <c r="BP1343" s="1645"/>
      <c r="BQ1343" s="1645"/>
      <c r="BR1343" s="1645"/>
      <c r="BS1343" s="1645"/>
      <c r="BT1343" s="1645"/>
      <c r="BU1343" s="1645"/>
      <c r="BV1343" s="1645"/>
      <c r="BW1343" s="1645"/>
      <c r="BX1343" s="1645"/>
      <c r="BY1343" s="1645"/>
      <c r="BZ1343" s="1645"/>
      <c r="CA1343" s="1645"/>
      <c r="CB1343" s="1645"/>
      <c r="CC1343" s="1645"/>
      <c r="CD1343" s="1645"/>
      <c r="CE1343" s="1645"/>
      <c r="CF1343" s="1645"/>
      <c r="CG1343" s="1645"/>
      <c r="CH1343" s="1645"/>
      <c r="CI1343" s="1645"/>
      <c r="CJ1343" s="1645"/>
      <c r="CK1343" s="1645"/>
      <c r="CL1343" s="1645"/>
      <c r="CM1343" s="1645"/>
      <c r="CN1343" s="1645"/>
      <c r="CO1343" s="1645"/>
      <c r="CP1343" s="1136"/>
      <c r="CQ1343" s="1136"/>
      <c r="CR1343" s="1136"/>
      <c r="CS1343" s="1136"/>
      <c r="CT1343" s="1136"/>
      <c r="CU1343" s="1136"/>
      <c r="CV1343" s="1136"/>
      <c r="CW1343" s="1136"/>
      <c r="CX1343" s="1136"/>
      <c r="CY1343" s="1136"/>
      <c r="CZ1343" s="1136"/>
      <c r="DA1343" s="1136"/>
      <c r="DB1343" s="1136"/>
      <c r="DC1343" s="1136"/>
      <c r="DD1343" s="1136"/>
      <c r="DE1343" s="1136"/>
      <c r="DF1343" s="1136"/>
      <c r="DG1343" s="1136"/>
      <c r="DH1343" s="1136"/>
      <c r="DI1343" s="1136"/>
    </row>
    <row r="1344" spans="1:113" ht="15.75" x14ac:dyDescent="0.25">
      <c r="A1344" s="1391" t="s">
        <v>2734</v>
      </c>
      <c r="B1344" s="1648" t="e">
        <f>B1302</f>
        <v>#VALUE!</v>
      </c>
      <c r="C1344" s="1485"/>
      <c r="D1344" s="1485"/>
      <c r="E1344" s="1485"/>
      <c r="F1344" s="1485"/>
      <c r="G1344" s="1485"/>
      <c r="H1344" s="1070"/>
      <c r="I1344" s="1136"/>
      <c r="J1344" s="1136"/>
      <c r="K1344" s="1136"/>
      <c r="L1344" s="1136"/>
      <c r="M1344" s="1136"/>
      <c r="N1344" s="1136"/>
      <c r="O1344" s="1136"/>
      <c r="P1344" s="1136"/>
      <c r="Q1344" s="1551"/>
      <c r="R1344" s="1551"/>
      <c r="S1344" s="1551"/>
      <c r="T1344" s="1551"/>
      <c r="U1344" s="1551"/>
      <c r="V1344" s="1551"/>
      <c r="W1344" s="1551"/>
      <c r="X1344" s="1551"/>
      <c r="Y1344" s="1551"/>
      <c r="Z1344" s="1551"/>
      <c r="AA1344" s="1645"/>
      <c r="AB1344" s="1645"/>
      <c r="AC1344" s="1645"/>
      <c r="AD1344" s="1645"/>
      <c r="AE1344" s="1645"/>
      <c r="AF1344" s="1645"/>
      <c r="AG1344" s="1645"/>
      <c r="AH1344" s="1645"/>
      <c r="AI1344" s="1645"/>
      <c r="AJ1344" s="1645"/>
      <c r="AK1344" s="1645"/>
      <c r="AL1344" s="1645"/>
      <c r="AM1344" s="1645"/>
      <c r="AN1344" s="1645"/>
      <c r="AO1344" s="1645"/>
      <c r="AP1344" s="1645"/>
      <c r="AQ1344" s="1645"/>
      <c r="AR1344" s="1645"/>
      <c r="AS1344" s="1645"/>
      <c r="AT1344" s="1645"/>
      <c r="AU1344" s="1645"/>
      <c r="AV1344" s="1645"/>
      <c r="AW1344" s="1645"/>
      <c r="AX1344" s="1645"/>
      <c r="AY1344" s="1645"/>
      <c r="AZ1344" s="1645"/>
      <c r="BA1344" s="1645"/>
      <c r="BB1344" s="1645"/>
      <c r="BC1344" s="1645"/>
      <c r="BD1344" s="1645"/>
      <c r="BE1344" s="1645"/>
      <c r="BF1344" s="1645"/>
      <c r="BG1344" s="1645"/>
      <c r="BH1344" s="1645"/>
      <c r="BI1344" s="1645"/>
      <c r="BJ1344" s="1645"/>
      <c r="BK1344" s="1645"/>
      <c r="BL1344" s="1645"/>
      <c r="BM1344" s="1645"/>
      <c r="BN1344" s="1645"/>
      <c r="BO1344" s="1645"/>
      <c r="BP1344" s="1645"/>
      <c r="BQ1344" s="1645"/>
      <c r="BR1344" s="1645"/>
      <c r="BS1344" s="1645"/>
      <c r="BT1344" s="1645"/>
      <c r="BU1344" s="1645"/>
      <c r="BV1344" s="1645"/>
      <c r="BW1344" s="1645"/>
      <c r="BX1344" s="1645"/>
      <c r="BY1344" s="1645"/>
      <c r="BZ1344" s="1645"/>
      <c r="CA1344" s="1645"/>
      <c r="CB1344" s="1645"/>
      <c r="CC1344" s="1645"/>
      <c r="CD1344" s="1645"/>
      <c r="CE1344" s="1645"/>
      <c r="CF1344" s="1645"/>
      <c r="CG1344" s="1645"/>
      <c r="CH1344" s="1645"/>
      <c r="CI1344" s="1645"/>
      <c r="CJ1344" s="1645"/>
      <c r="CK1344" s="1645"/>
      <c r="CL1344" s="1645"/>
      <c r="CM1344" s="1645"/>
      <c r="CN1344" s="1645"/>
      <c r="CO1344" s="1645"/>
      <c r="CP1344" s="1136"/>
      <c r="CQ1344" s="1136"/>
      <c r="CR1344" s="1136"/>
      <c r="CS1344" s="1136"/>
      <c r="CT1344" s="1136"/>
      <c r="CU1344" s="1136"/>
      <c r="CV1344" s="1136"/>
      <c r="CW1344" s="1136"/>
      <c r="CX1344" s="1136"/>
      <c r="CY1344" s="1136"/>
      <c r="CZ1344" s="1136"/>
      <c r="DA1344" s="1136"/>
      <c r="DB1344" s="1136"/>
      <c r="DC1344" s="1136"/>
      <c r="DD1344" s="1136"/>
      <c r="DE1344" s="1136"/>
      <c r="DF1344" s="1136"/>
      <c r="DG1344" s="1136"/>
      <c r="DH1344" s="1136"/>
      <c r="DI1344" s="1136"/>
    </row>
    <row r="1345" spans="1:113" ht="15.75" x14ac:dyDescent="0.25">
      <c r="A1345" s="1391" t="s">
        <v>1831</v>
      </c>
      <c r="B1345" s="1648" t="e">
        <f>2*B1299</f>
        <v>#VALUE!</v>
      </c>
      <c r="C1345" s="1485"/>
      <c r="D1345" s="1485"/>
      <c r="E1345" s="1485"/>
      <c r="F1345" s="1485"/>
      <c r="G1345" s="1485"/>
      <c r="H1345" s="1070"/>
      <c r="I1345" s="1136"/>
      <c r="J1345" s="1136"/>
      <c r="K1345" s="1136"/>
      <c r="L1345" s="1136"/>
      <c r="M1345" s="1136"/>
      <c r="N1345" s="1136"/>
      <c r="O1345" s="1136"/>
      <c r="P1345" s="1136"/>
      <c r="Q1345" s="1551"/>
      <c r="R1345" s="1551"/>
      <c r="S1345" s="1551"/>
      <c r="T1345" s="1551"/>
      <c r="U1345" s="1551"/>
      <c r="V1345" s="1551"/>
      <c r="W1345" s="1551"/>
      <c r="X1345" s="1551"/>
      <c r="Y1345" s="1551"/>
      <c r="Z1345" s="1551"/>
      <c r="AA1345" s="1645"/>
      <c r="AB1345" s="1645"/>
      <c r="AC1345" s="1645"/>
      <c r="AD1345" s="1645"/>
      <c r="AE1345" s="1645"/>
      <c r="AF1345" s="1645"/>
      <c r="AG1345" s="1645"/>
      <c r="AH1345" s="1645"/>
      <c r="AI1345" s="1645"/>
      <c r="AJ1345" s="1645"/>
      <c r="AK1345" s="1645"/>
      <c r="AL1345" s="1645"/>
      <c r="AM1345" s="1645"/>
      <c r="AN1345" s="1645"/>
      <c r="AO1345" s="1645"/>
      <c r="AP1345" s="1645"/>
      <c r="AQ1345" s="1645"/>
      <c r="AR1345" s="1645"/>
      <c r="AS1345" s="1645"/>
      <c r="AT1345" s="1645"/>
      <c r="AU1345" s="1645"/>
      <c r="AV1345" s="1645"/>
      <c r="AW1345" s="1645"/>
      <c r="AX1345" s="1645"/>
      <c r="AY1345" s="1645"/>
      <c r="AZ1345" s="1645"/>
      <c r="BA1345" s="1645"/>
      <c r="BB1345" s="1645"/>
      <c r="BC1345" s="1645"/>
      <c r="BD1345" s="1645"/>
      <c r="BE1345" s="1645"/>
      <c r="BF1345" s="1645"/>
      <c r="BG1345" s="1645"/>
      <c r="BH1345" s="1645"/>
      <c r="BI1345" s="1645"/>
      <c r="BJ1345" s="1645"/>
      <c r="BK1345" s="1645"/>
      <c r="BL1345" s="1645"/>
      <c r="BM1345" s="1645"/>
      <c r="BN1345" s="1645"/>
      <c r="BO1345" s="1645"/>
      <c r="BP1345" s="1645"/>
      <c r="BQ1345" s="1645"/>
      <c r="BR1345" s="1645"/>
      <c r="BS1345" s="1645"/>
      <c r="BT1345" s="1645"/>
      <c r="BU1345" s="1645"/>
      <c r="BV1345" s="1645"/>
      <c r="BW1345" s="1645"/>
      <c r="BX1345" s="1645"/>
      <c r="BY1345" s="1645"/>
      <c r="BZ1345" s="1645"/>
      <c r="CA1345" s="1645"/>
      <c r="CB1345" s="1645"/>
      <c r="CC1345" s="1645"/>
      <c r="CD1345" s="1645"/>
      <c r="CE1345" s="1645"/>
      <c r="CF1345" s="1645"/>
      <c r="CG1345" s="1645"/>
      <c r="CH1345" s="1645"/>
      <c r="CI1345" s="1645"/>
      <c r="CJ1345" s="1645"/>
      <c r="CK1345" s="1645"/>
      <c r="CL1345" s="1645"/>
      <c r="CM1345" s="1645"/>
      <c r="CN1345" s="1645"/>
      <c r="CO1345" s="1645"/>
      <c r="CP1345" s="1136"/>
      <c r="CQ1345" s="1136"/>
      <c r="CR1345" s="1136"/>
      <c r="CS1345" s="1136"/>
      <c r="CT1345" s="1136"/>
      <c r="CU1345" s="1136"/>
      <c r="CV1345" s="1136"/>
      <c r="CW1345" s="1136"/>
      <c r="CX1345" s="1136"/>
      <c r="CY1345" s="1136"/>
      <c r="CZ1345" s="1136"/>
      <c r="DA1345" s="1136"/>
      <c r="DB1345" s="1136"/>
      <c r="DC1345" s="1136"/>
      <c r="DD1345" s="1136"/>
      <c r="DE1345" s="1136"/>
      <c r="DF1345" s="1136"/>
      <c r="DG1345" s="1136"/>
      <c r="DH1345" s="1136"/>
      <c r="DI1345" s="1136"/>
    </row>
    <row r="1346" spans="1:113" ht="15.75" x14ac:dyDescent="0.25">
      <c r="A1346" s="1391" t="s">
        <v>1832</v>
      </c>
      <c r="B1346" s="1648" t="e">
        <f>2*B1300</f>
        <v>#VALUE!</v>
      </c>
      <c r="C1346" s="1485"/>
      <c r="D1346" s="1485"/>
      <c r="E1346" s="1485"/>
      <c r="F1346" s="1485"/>
      <c r="G1346" s="1485"/>
      <c r="H1346" s="1070"/>
      <c r="I1346" s="1136"/>
      <c r="J1346" s="1136"/>
      <c r="K1346" s="1136"/>
      <c r="L1346" s="1136"/>
      <c r="M1346" s="1136"/>
      <c r="N1346" s="1136"/>
      <c r="O1346" s="1136"/>
      <c r="P1346" s="1136"/>
      <c r="Q1346" s="1551"/>
      <c r="R1346" s="1551"/>
      <c r="S1346" s="1551"/>
      <c r="T1346" s="1551"/>
      <c r="U1346" s="1551"/>
      <c r="V1346" s="1551"/>
      <c r="W1346" s="1551"/>
      <c r="X1346" s="1551"/>
      <c r="Y1346" s="1551"/>
      <c r="Z1346" s="1551"/>
      <c r="AA1346" s="1645"/>
      <c r="AB1346" s="1645"/>
      <c r="AC1346" s="1645"/>
      <c r="AD1346" s="1645"/>
      <c r="AE1346" s="1645"/>
      <c r="AF1346" s="1645"/>
      <c r="AG1346" s="1645"/>
      <c r="AH1346" s="1645"/>
      <c r="AI1346" s="1645"/>
      <c r="AJ1346" s="1645"/>
      <c r="AK1346" s="1645"/>
      <c r="AL1346" s="1645"/>
      <c r="AM1346" s="1645"/>
      <c r="AN1346" s="1645"/>
      <c r="AO1346" s="1645"/>
      <c r="AP1346" s="1645"/>
      <c r="AQ1346" s="1645"/>
      <c r="AR1346" s="1645"/>
      <c r="AS1346" s="1645"/>
      <c r="AT1346" s="1645"/>
      <c r="AU1346" s="1645"/>
      <c r="AV1346" s="1645"/>
      <c r="AW1346" s="1645"/>
      <c r="AX1346" s="1645"/>
      <c r="AY1346" s="1645"/>
      <c r="AZ1346" s="1645"/>
      <c r="BA1346" s="1645"/>
      <c r="BB1346" s="1645"/>
      <c r="BC1346" s="1645"/>
      <c r="BD1346" s="1645"/>
      <c r="BE1346" s="1645"/>
      <c r="BF1346" s="1645"/>
      <c r="BG1346" s="1645"/>
      <c r="BH1346" s="1645"/>
      <c r="BI1346" s="1645"/>
      <c r="BJ1346" s="1645"/>
      <c r="BK1346" s="1645"/>
      <c r="BL1346" s="1645"/>
      <c r="BM1346" s="1645"/>
      <c r="BN1346" s="1645"/>
      <c r="BO1346" s="1645"/>
      <c r="BP1346" s="1645"/>
      <c r="BQ1346" s="1645"/>
      <c r="BR1346" s="1645"/>
      <c r="BS1346" s="1645"/>
      <c r="BT1346" s="1645"/>
      <c r="BU1346" s="1645"/>
      <c r="BV1346" s="1645"/>
      <c r="BW1346" s="1645"/>
      <c r="BX1346" s="1645"/>
      <c r="BY1346" s="1645"/>
      <c r="BZ1346" s="1645"/>
      <c r="CA1346" s="1645"/>
      <c r="CB1346" s="1645"/>
      <c r="CC1346" s="1645"/>
      <c r="CD1346" s="1645"/>
      <c r="CE1346" s="1645"/>
      <c r="CF1346" s="1645"/>
      <c r="CG1346" s="1645"/>
      <c r="CH1346" s="1645"/>
      <c r="CI1346" s="1645"/>
      <c r="CJ1346" s="1645"/>
      <c r="CK1346" s="1645"/>
      <c r="CL1346" s="1645"/>
      <c r="CM1346" s="1645"/>
      <c r="CN1346" s="1645"/>
      <c r="CO1346" s="1645"/>
      <c r="CP1346" s="1136"/>
      <c r="CQ1346" s="1136"/>
      <c r="CR1346" s="1136"/>
      <c r="CS1346" s="1136"/>
      <c r="CT1346" s="1136"/>
      <c r="CU1346" s="1136"/>
      <c r="CV1346" s="1136"/>
      <c r="CW1346" s="1136"/>
      <c r="CX1346" s="1136"/>
      <c r="CY1346" s="1136"/>
      <c r="CZ1346" s="1136"/>
      <c r="DA1346" s="1136"/>
      <c r="DB1346" s="1136"/>
      <c r="DC1346" s="1136"/>
      <c r="DD1346" s="1136"/>
      <c r="DE1346" s="1136"/>
      <c r="DF1346" s="1136"/>
      <c r="DG1346" s="1136"/>
      <c r="DH1346" s="1136"/>
      <c r="DI1346" s="1136"/>
    </row>
    <row r="1347" spans="1:113" ht="15.75" x14ac:dyDescent="0.25">
      <c r="A1347" s="1391" t="s">
        <v>1833</v>
      </c>
      <c r="B1347" s="1406">
        <v>0</v>
      </c>
      <c r="C1347" s="1407"/>
      <c r="D1347" s="1407"/>
      <c r="E1347" s="1407"/>
      <c r="F1347" s="1407"/>
      <c r="G1347" s="1407"/>
      <c r="H1347" s="1070"/>
      <c r="I1347" s="1136"/>
      <c r="J1347" s="1136"/>
      <c r="K1347" s="1136"/>
      <c r="L1347" s="1136"/>
      <c r="M1347" s="1136"/>
      <c r="N1347" s="1136"/>
      <c r="O1347" s="1136"/>
      <c r="P1347" s="1136"/>
      <c r="Q1347" s="1551"/>
      <c r="R1347" s="1551"/>
      <c r="S1347" s="1551"/>
      <c r="T1347" s="1551"/>
      <c r="U1347" s="1551"/>
      <c r="V1347" s="1551"/>
      <c r="W1347" s="1551"/>
      <c r="X1347" s="1551"/>
      <c r="Y1347" s="1551"/>
      <c r="Z1347" s="1551"/>
      <c r="AA1347" s="1645"/>
      <c r="AB1347" s="1645"/>
      <c r="AC1347" s="1645"/>
      <c r="AD1347" s="1645"/>
      <c r="AE1347" s="1645"/>
      <c r="AF1347" s="1645"/>
      <c r="AG1347" s="1645"/>
      <c r="AH1347" s="1645"/>
      <c r="AI1347" s="1645"/>
      <c r="AJ1347" s="1645"/>
      <c r="AK1347" s="1645"/>
      <c r="AL1347" s="1645"/>
      <c r="AM1347" s="1645"/>
      <c r="AN1347" s="1645"/>
      <c r="AO1347" s="1645"/>
      <c r="AP1347" s="1645"/>
      <c r="AQ1347" s="1645"/>
      <c r="AR1347" s="1645"/>
      <c r="AS1347" s="1645"/>
      <c r="AT1347" s="1645"/>
      <c r="AU1347" s="1645"/>
      <c r="AV1347" s="1645"/>
      <c r="AW1347" s="1645"/>
      <c r="AX1347" s="1645"/>
      <c r="AY1347" s="1645"/>
      <c r="AZ1347" s="1645"/>
      <c r="BA1347" s="1645"/>
      <c r="BB1347" s="1645"/>
      <c r="BC1347" s="1645"/>
      <c r="BD1347" s="1645"/>
      <c r="BE1347" s="1645"/>
      <c r="BF1347" s="1645"/>
      <c r="BG1347" s="1645"/>
      <c r="BH1347" s="1645"/>
      <c r="BI1347" s="1645"/>
      <c r="BJ1347" s="1645"/>
      <c r="BK1347" s="1645"/>
      <c r="BL1347" s="1645"/>
      <c r="BM1347" s="1645"/>
      <c r="BN1347" s="1645"/>
      <c r="BO1347" s="1645"/>
      <c r="BP1347" s="1645"/>
      <c r="BQ1347" s="1645"/>
      <c r="BR1347" s="1645"/>
      <c r="BS1347" s="1645"/>
      <c r="BT1347" s="1645"/>
      <c r="BU1347" s="1645"/>
      <c r="BV1347" s="1645"/>
      <c r="BW1347" s="1645"/>
      <c r="BX1347" s="1645"/>
      <c r="BY1347" s="1645"/>
      <c r="BZ1347" s="1645"/>
      <c r="CA1347" s="1645"/>
      <c r="CB1347" s="1645"/>
      <c r="CC1347" s="1645"/>
      <c r="CD1347" s="1645"/>
      <c r="CE1347" s="1645"/>
      <c r="CF1347" s="1645"/>
      <c r="CG1347" s="1645"/>
      <c r="CH1347" s="1645"/>
      <c r="CI1347" s="1645"/>
      <c r="CJ1347" s="1645"/>
      <c r="CK1347" s="1645"/>
      <c r="CL1347" s="1645"/>
      <c r="CM1347" s="1645"/>
      <c r="CN1347" s="1645"/>
      <c r="CO1347" s="1645"/>
      <c r="CP1347" s="1136"/>
      <c r="CQ1347" s="1136"/>
      <c r="CR1347" s="1136"/>
      <c r="CS1347" s="1136"/>
      <c r="CT1347" s="1136"/>
      <c r="CU1347" s="1136"/>
      <c r="CV1347" s="1136"/>
      <c r="CW1347" s="1136"/>
      <c r="CX1347" s="1136"/>
      <c r="CY1347" s="1136"/>
      <c r="CZ1347" s="1136"/>
      <c r="DA1347" s="1136"/>
      <c r="DB1347" s="1136"/>
      <c r="DC1347" s="1136"/>
      <c r="DD1347" s="1136"/>
      <c r="DE1347" s="1136"/>
      <c r="DF1347" s="1136"/>
      <c r="DG1347" s="1136"/>
      <c r="DH1347" s="1136"/>
      <c r="DI1347" s="1136"/>
    </row>
    <row r="1348" spans="1:113" ht="15.75" x14ac:dyDescent="0.25">
      <c r="A1348" s="1391" t="s">
        <v>1834</v>
      </c>
      <c r="B1348" s="1406">
        <v>0</v>
      </c>
      <c r="C1348" s="1407"/>
      <c r="D1348" s="1407"/>
      <c r="E1348" s="1407"/>
      <c r="F1348" s="1407"/>
      <c r="G1348" s="1407"/>
      <c r="H1348" s="1070"/>
      <c r="I1348" s="1136"/>
      <c r="J1348" s="1136"/>
      <c r="K1348" s="1136"/>
      <c r="L1348" s="1136"/>
      <c r="M1348" s="1136"/>
      <c r="N1348" s="1136"/>
      <c r="O1348" s="1136"/>
      <c r="P1348" s="1136"/>
      <c r="Q1348" s="1551"/>
      <c r="R1348" s="1551"/>
      <c r="S1348" s="1551"/>
      <c r="T1348" s="1551"/>
      <c r="U1348" s="1551"/>
      <c r="V1348" s="1551"/>
      <c r="W1348" s="1551"/>
      <c r="X1348" s="1551"/>
      <c r="Y1348" s="1551"/>
      <c r="Z1348" s="1551"/>
      <c r="AA1348" s="1645"/>
      <c r="AB1348" s="1645"/>
      <c r="AC1348" s="1645"/>
      <c r="AD1348" s="1645"/>
      <c r="AE1348" s="1645"/>
      <c r="AF1348" s="1645"/>
      <c r="AG1348" s="1645"/>
      <c r="AH1348" s="1645"/>
      <c r="AI1348" s="1645"/>
      <c r="AJ1348" s="1645"/>
      <c r="AK1348" s="1645"/>
      <c r="AL1348" s="1645"/>
      <c r="AM1348" s="1645"/>
      <c r="AN1348" s="1645"/>
      <c r="AO1348" s="1645"/>
      <c r="AP1348" s="1645"/>
      <c r="AQ1348" s="1645"/>
      <c r="AR1348" s="1645"/>
      <c r="AS1348" s="1645"/>
      <c r="AT1348" s="1645"/>
      <c r="AU1348" s="1645"/>
      <c r="AV1348" s="1645"/>
      <c r="AW1348" s="1645"/>
      <c r="AX1348" s="1645"/>
      <c r="AY1348" s="1645"/>
      <c r="AZ1348" s="1645"/>
      <c r="BA1348" s="1645"/>
      <c r="BB1348" s="1645"/>
      <c r="BC1348" s="1645"/>
      <c r="BD1348" s="1645"/>
      <c r="BE1348" s="1645"/>
      <c r="BF1348" s="1645"/>
      <c r="BG1348" s="1645"/>
      <c r="BH1348" s="1645"/>
      <c r="BI1348" s="1645"/>
      <c r="BJ1348" s="1645"/>
      <c r="BK1348" s="1645"/>
      <c r="BL1348" s="1645"/>
      <c r="BM1348" s="1645"/>
      <c r="BN1348" s="1645"/>
      <c r="BO1348" s="1645"/>
      <c r="BP1348" s="1645"/>
      <c r="BQ1348" s="1645"/>
      <c r="BR1348" s="1645"/>
      <c r="BS1348" s="1645"/>
      <c r="BT1348" s="1645"/>
      <c r="BU1348" s="1645"/>
      <c r="BV1348" s="1645"/>
      <c r="BW1348" s="1645"/>
      <c r="BX1348" s="1645"/>
      <c r="BY1348" s="1645"/>
      <c r="BZ1348" s="1645"/>
      <c r="CA1348" s="1645"/>
      <c r="CB1348" s="1645"/>
      <c r="CC1348" s="1645"/>
      <c r="CD1348" s="1645"/>
      <c r="CE1348" s="1645"/>
      <c r="CF1348" s="1645"/>
      <c r="CG1348" s="1645"/>
      <c r="CH1348" s="1645"/>
      <c r="CI1348" s="1645"/>
      <c r="CJ1348" s="1645"/>
      <c r="CK1348" s="1645"/>
      <c r="CL1348" s="1645"/>
      <c r="CM1348" s="1645"/>
      <c r="CN1348" s="1645"/>
      <c r="CO1348" s="1645"/>
      <c r="CP1348" s="1136"/>
      <c r="CQ1348" s="1136"/>
      <c r="CR1348" s="1136"/>
      <c r="CS1348" s="1136"/>
      <c r="CT1348" s="1136"/>
      <c r="CU1348" s="1136"/>
      <c r="CV1348" s="1136"/>
      <c r="CW1348" s="1136"/>
      <c r="CX1348" s="1136"/>
      <c r="CY1348" s="1136"/>
      <c r="CZ1348" s="1136"/>
      <c r="DA1348" s="1136"/>
      <c r="DB1348" s="1136"/>
      <c r="DC1348" s="1136"/>
      <c r="DD1348" s="1136"/>
      <c r="DE1348" s="1136"/>
      <c r="DF1348" s="1136"/>
      <c r="DG1348" s="1136"/>
      <c r="DH1348" s="1136"/>
      <c r="DI1348" s="1136"/>
    </row>
    <row r="1349" spans="1:113" ht="15.75" x14ac:dyDescent="0.25">
      <c r="A1349" s="1391" t="s">
        <v>1835</v>
      </c>
      <c r="B1349" s="1406" t="e">
        <f>SUM(B1341:B1348)</f>
        <v>#VALUE!</v>
      </c>
      <c r="C1349" s="1407"/>
      <c r="D1349" s="1407"/>
      <c r="E1349" s="1407"/>
      <c r="F1349" s="1407"/>
      <c r="G1349" s="1407"/>
      <c r="H1349" s="1070"/>
      <c r="I1349" s="1136"/>
      <c r="J1349" s="1136"/>
      <c r="K1349" s="1136"/>
      <c r="L1349" s="1136"/>
      <c r="M1349" s="1136"/>
      <c r="N1349" s="1136"/>
      <c r="O1349" s="1136"/>
      <c r="P1349" s="1136"/>
      <c r="Q1349" s="1551"/>
      <c r="R1349" s="1551"/>
      <c r="S1349" s="1551"/>
      <c r="T1349" s="1551"/>
      <c r="U1349" s="1551"/>
      <c r="V1349" s="1551"/>
      <c r="W1349" s="1551"/>
      <c r="X1349" s="1551"/>
      <c r="Y1349" s="1551"/>
      <c r="Z1349" s="1551"/>
      <c r="AA1349" s="1645"/>
      <c r="AB1349" s="1645"/>
      <c r="AC1349" s="1645"/>
      <c r="AD1349" s="1645"/>
      <c r="AE1349" s="1645"/>
      <c r="AF1349" s="1645"/>
      <c r="AG1349" s="1645"/>
      <c r="AH1349" s="1645"/>
      <c r="AI1349" s="1645"/>
      <c r="AJ1349" s="1645"/>
      <c r="AK1349" s="1645"/>
      <c r="AL1349" s="1645"/>
      <c r="AM1349" s="1645"/>
      <c r="AN1349" s="1645"/>
      <c r="AO1349" s="1645"/>
      <c r="AP1349" s="1645"/>
      <c r="AQ1349" s="1645"/>
      <c r="AR1349" s="1645"/>
      <c r="AS1349" s="1645"/>
      <c r="AT1349" s="1645"/>
      <c r="AU1349" s="1645"/>
      <c r="AV1349" s="1645"/>
      <c r="AW1349" s="1645"/>
      <c r="AX1349" s="1645"/>
      <c r="AY1349" s="1645"/>
      <c r="AZ1349" s="1645"/>
      <c r="BA1349" s="1645"/>
      <c r="BB1349" s="1645"/>
      <c r="BC1349" s="1645"/>
      <c r="BD1349" s="1645"/>
      <c r="BE1349" s="1645"/>
      <c r="BF1349" s="1645"/>
      <c r="BG1349" s="1645"/>
      <c r="BH1349" s="1645"/>
      <c r="BI1349" s="1645"/>
      <c r="BJ1349" s="1645"/>
      <c r="BK1349" s="1645"/>
      <c r="BL1349" s="1645"/>
      <c r="BM1349" s="1645"/>
      <c r="BN1349" s="1645"/>
      <c r="BO1349" s="1645"/>
      <c r="BP1349" s="1645"/>
      <c r="BQ1349" s="1645"/>
      <c r="BR1349" s="1645"/>
      <c r="BS1349" s="1645"/>
      <c r="BT1349" s="1645"/>
      <c r="BU1349" s="1645"/>
      <c r="BV1349" s="1645"/>
      <c r="BW1349" s="1645"/>
      <c r="BX1349" s="1645"/>
      <c r="BY1349" s="1645"/>
      <c r="BZ1349" s="1645"/>
      <c r="CA1349" s="1645"/>
      <c r="CB1349" s="1645"/>
      <c r="CC1349" s="1645"/>
      <c r="CD1349" s="1645"/>
      <c r="CE1349" s="1645"/>
      <c r="CF1349" s="1645"/>
      <c r="CG1349" s="1645"/>
      <c r="CH1349" s="1645"/>
      <c r="CI1349" s="1645"/>
      <c r="CJ1349" s="1645"/>
      <c r="CK1349" s="1645"/>
      <c r="CL1349" s="1645"/>
      <c r="CM1349" s="1645"/>
      <c r="CN1349" s="1645"/>
      <c r="CO1349" s="1645"/>
      <c r="CP1349" s="1136"/>
      <c r="CQ1349" s="1136"/>
      <c r="CR1349" s="1136"/>
      <c r="CS1349" s="1136"/>
      <c r="CT1349" s="1136"/>
      <c r="CU1349" s="1136"/>
      <c r="CV1349" s="1136"/>
      <c r="CW1349" s="1136"/>
      <c r="CX1349" s="1136"/>
      <c r="CY1349" s="1136"/>
      <c r="CZ1349" s="1136"/>
      <c r="DA1349" s="1136"/>
      <c r="DB1349" s="1136"/>
      <c r="DC1349" s="1136"/>
      <c r="DD1349" s="1136"/>
      <c r="DE1349" s="1136"/>
      <c r="DF1349" s="1136"/>
      <c r="DG1349" s="1136"/>
      <c r="DH1349" s="1136"/>
      <c r="DI1349" s="1136"/>
    </row>
    <row r="1350" spans="1:113" ht="15.75" x14ac:dyDescent="0.25">
      <c r="A1350" s="1483" t="s">
        <v>1836</v>
      </c>
      <c r="B1350" s="1641" t="e">
        <f>0.05*B1349</f>
        <v>#VALUE!</v>
      </c>
      <c r="C1350" s="1407"/>
      <c r="D1350" s="1407"/>
      <c r="E1350" s="1407"/>
      <c r="F1350" s="1407"/>
      <c r="G1350" s="1407"/>
      <c r="H1350" s="1070"/>
      <c r="I1350" s="1136"/>
      <c r="J1350" s="1136"/>
      <c r="K1350" s="1136"/>
      <c r="L1350" s="1136"/>
      <c r="M1350" s="1136"/>
      <c r="N1350" s="1136"/>
      <c r="O1350" s="1136"/>
      <c r="P1350" s="1136"/>
      <c r="Q1350" s="1551"/>
      <c r="R1350" s="1551"/>
      <c r="S1350" s="1551"/>
      <c r="T1350" s="1551"/>
      <c r="U1350" s="1551"/>
      <c r="V1350" s="1551"/>
      <c r="W1350" s="1551"/>
      <c r="X1350" s="1551"/>
      <c r="Y1350" s="1551"/>
      <c r="Z1350" s="1551"/>
      <c r="AA1350" s="1645"/>
      <c r="AB1350" s="1645"/>
      <c r="AC1350" s="1645"/>
      <c r="AD1350" s="1645"/>
      <c r="AE1350" s="1645"/>
      <c r="AF1350" s="1645"/>
      <c r="AG1350" s="1645"/>
      <c r="AH1350" s="1645"/>
      <c r="AI1350" s="1645"/>
      <c r="AJ1350" s="1645"/>
      <c r="AK1350" s="1645"/>
      <c r="AL1350" s="1645"/>
      <c r="AM1350" s="1645"/>
      <c r="AN1350" s="1645"/>
      <c r="AO1350" s="1645"/>
      <c r="AP1350" s="1645"/>
      <c r="AQ1350" s="1645"/>
      <c r="AR1350" s="1645"/>
      <c r="AS1350" s="1645"/>
      <c r="AT1350" s="1645"/>
      <c r="AU1350" s="1645"/>
      <c r="AV1350" s="1645"/>
      <c r="AW1350" s="1645"/>
      <c r="AX1350" s="1645"/>
      <c r="AY1350" s="1645"/>
      <c r="AZ1350" s="1645"/>
      <c r="BA1350" s="1645"/>
      <c r="BB1350" s="1645"/>
      <c r="BC1350" s="1645"/>
      <c r="BD1350" s="1645"/>
      <c r="BE1350" s="1645"/>
      <c r="BF1350" s="1645"/>
      <c r="BG1350" s="1645"/>
      <c r="BH1350" s="1645"/>
      <c r="BI1350" s="1645"/>
      <c r="BJ1350" s="1645"/>
      <c r="BK1350" s="1645"/>
      <c r="BL1350" s="1645"/>
      <c r="BM1350" s="1645"/>
      <c r="BN1350" s="1645"/>
      <c r="BO1350" s="1645"/>
      <c r="BP1350" s="1645"/>
      <c r="BQ1350" s="1645"/>
      <c r="BR1350" s="1645"/>
      <c r="BS1350" s="1645"/>
      <c r="BT1350" s="1645"/>
      <c r="BU1350" s="1645"/>
      <c r="BV1350" s="1645"/>
      <c r="BW1350" s="1645"/>
      <c r="BX1350" s="1645"/>
      <c r="BY1350" s="1645"/>
      <c r="BZ1350" s="1645"/>
      <c r="CA1350" s="1645"/>
      <c r="CB1350" s="1645"/>
      <c r="CC1350" s="1645"/>
      <c r="CD1350" s="1645"/>
      <c r="CE1350" s="1645"/>
      <c r="CF1350" s="1645"/>
      <c r="CG1350" s="1645"/>
      <c r="CH1350" s="1645"/>
      <c r="CI1350" s="1645"/>
      <c r="CJ1350" s="1645"/>
      <c r="CK1350" s="1645"/>
      <c r="CL1350" s="1645"/>
      <c r="CM1350" s="1645"/>
      <c r="CN1350" s="1645"/>
      <c r="CO1350" s="1645"/>
      <c r="CP1350" s="1136"/>
      <c r="CQ1350" s="1136"/>
      <c r="CR1350" s="1136"/>
      <c r="CS1350" s="1136"/>
      <c r="CT1350" s="1136"/>
      <c r="CU1350" s="1136"/>
      <c r="CV1350" s="1136"/>
      <c r="CW1350" s="1136"/>
      <c r="CX1350" s="1136"/>
      <c r="CY1350" s="1136"/>
      <c r="CZ1350" s="1136"/>
      <c r="DA1350" s="1136"/>
      <c r="DB1350" s="1136"/>
      <c r="DC1350" s="1136"/>
      <c r="DD1350" s="1136"/>
      <c r="DE1350" s="1136"/>
      <c r="DF1350" s="1136"/>
      <c r="DG1350" s="1136"/>
      <c r="DH1350" s="1136"/>
      <c r="DI1350" s="1136"/>
    </row>
    <row r="1351" spans="1:113" ht="15.75" x14ac:dyDescent="0.25">
      <c r="A1351" s="1483" t="s">
        <v>1780</v>
      </c>
      <c r="B1351" s="1641" t="e">
        <f>B1349+B1350</f>
        <v>#VALUE!</v>
      </c>
      <c r="C1351" s="1407"/>
      <c r="D1351" s="1407"/>
      <c r="E1351" s="1407"/>
      <c r="F1351" s="1407"/>
      <c r="G1351" s="1407"/>
      <c r="H1351" s="1070"/>
      <c r="I1351" s="1136"/>
      <c r="J1351" s="1136"/>
      <c r="K1351" s="1136"/>
      <c r="L1351" s="1136"/>
      <c r="M1351" s="1136"/>
      <c r="N1351" s="1136"/>
      <c r="O1351" s="1136"/>
      <c r="P1351" s="1136"/>
      <c r="Q1351" s="1551"/>
      <c r="R1351" s="1551"/>
      <c r="S1351" s="1551"/>
      <c r="T1351" s="1551"/>
      <c r="U1351" s="1551"/>
      <c r="V1351" s="1551"/>
      <c r="W1351" s="1551"/>
      <c r="X1351" s="1551"/>
      <c r="Y1351" s="1551"/>
      <c r="Z1351" s="1551"/>
      <c r="AA1351" s="1645"/>
      <c r="AB1351" s="1645"/>
      <c r="AC1351" s="1645"/>
      <c r="AD1351" s="1645"/>
      <c r="AE1351" s="1645"/>
      <c r="AF1351" s="1645"/>
      <c r="AG1351" s="1645"/>
      <c r="AH1351" s="1645"/>
      <c r="AI1351" s="1645"/>
      <c r="AJ1351" s="1645"/>
      <c r="AK1351" s="1645"/>
      <c r="AL1351" s="1645"/>
      <c r="AM1351" s="1645"/>
      <c r="AN1351" s="1645"/>
      <c r="AO1351" s="1645"/>
      <c r="AP1351" s="1645"/>
      <c r="AQ1351" s="1645"/>
      <c r="AR1351" s="1645"/>
      <c r="AS1351" s="1645"/>
      <c r="AT1351" s="1645"/>
      <c r="AU1351" s="1645"/>
      <c r="AV1351" s="1645"/>
      <c r="AW1351" s="1645"/>
      <c r="AX1351" s="1645"/>
      <c r="AY1351" s="1645"/>
      <c r="AZ1351" s="1645"/>
      <c r="BA1351" s="1645"/>
      <c r="BB1351" s="1645"/>
      <c r="BC1351" s="1645"/>
      <c r="BD1351" s="1645"/>
      <c r="BE1351" s="1645"/>
      <c r="BF1351" s="1645"/>
      <c r="BG1351" s="1645"/>
      <c r="BH1351" s="1645"/>
      <c r="BI1351" s="1645"/>
      <c r="BJ1351" s="1645"/>
      <c r="BK1351" s="1645"/>
      <c r="BL1351" s="1645"/>
      <c r="BM1351" s="1645"/>
      <c r="BN1351" s="1645"/>
      <c r="BO1351" s="1645"/>
      <c r="BP1351" s="1645"/>
      <c r="BQ1351" s="1645"/>
      <c r="BR1351" s="1645"/>
      <c r="BS1351" s="1645"/>
      <c r="BT1351" s="1645"/>
      <c r="BU1351" s="1645"/>
      <c r="BV1351" s="1645"/>
      <c r="BW1351" s="1645"/>
      <c r="BX1351" s="1645"/>
      <c r="BY1351" s="1645"/>
      <c r="BZ1351" s="1645"/>
      <c r="CA1351" s="1645"/>
      <c r="CB1351" s="1645"/>
      <c r="CC1351" s="1645"/>
      <c r="CD1351" s="1645"/>
      <c r="CE1351" s="1645"/>
      <c r="CF1351" s="1645"/>
      <c r="CG1351" s="1645"/>
      <c r="CH1351" s="1645"/>
      <c r="CI1351" s="1645"/>
      <c r="CJ1351" s="1645"/>
      <c r="CK1351" s="1645"/>
      <c r="CL1351" s="1645"/>
      <c r="CM1351" s="1645"/>
      <c r="CN1351" s="1645"/>
      <c r="CO1351" s="1645"/>
      <c r="CP1351" s="1136"/>
      <c r="CQ1351" s="1136"/>
      <c r="CR1351" s="1136"/>
      <c r="CS1351" s="1136"/>
      <c r="CT1351" s="1136"/>
      <c r="CU1351" s="1136"/>
      <c r="CV1351" s="1136"/>
      <c r="CW1351" s="1136"/>
      <c r="CX1351" s="1136"/>
      <c r="CY1351" s="1136"/>
      <c r="CZ1351" s="1136"/>
      <c r="DA1351" s="1136"/>
      <c r="DB1351" s="1136"/>
      <c r="DC1351" s="1136"/>
      <c r="DD1351" s="1136"/>
      <c r="DE1351" s="1136"/>
      <c r="DF1351" s="1136"/>
      <c r="DG1351" s="1136"/>
      <c r="DH1351" s="1136"/>
      <c r="DI1351" s="1136"/>
    </row>
    <row r="1352" spans="1:113" ht="15.75" x14ac:dyDescent="0.25">
      <c r="A1352" s="1483" t="s">
        <v>1781</v>
      </c>
      <c r="B1352" s="1641">
        <f>IF(B1322&lt;51,11,10.2)</f>
        <v>11</v>
      </c>
      <c r="C1352" s="1407"/>
      <c r="D1352" s="1407"/>
      <c r="E1352" s="1407"/>
      <c r="F1352" s="1407"/>
      <c r="G1352" s="1407"/>
      <c r="H1352" s="1070"/>
      <c r="I1352" s="1136"/>
      <c r="J1352" s="1136"/>
      <c r="K1352" s="1136"/>
      <c r="L1352" s="1136"/>
      <c r="M1352" s="1136"/>
      <c r="N1352" s="1136"/>
      <c r="O1352" s="1136"/>
      <c r="P1352" s="1136"/>
      <c r="Q1352" s="1551"/>
      <c r="R1352" s="1551"/>
      <c r="S1352" s="1551"/>
      <c r="T1352" s="1551"/>
      <c r="U1352" s="1551"/>
      <c r="V1352" s="1551"/>
      <c r="W1352" s="1551"/>
      <c r="X1352" s="1551"/>
      <c r="Y1352" s="1551"/>
      <c r="Z1352" s="1551"/>
      <c r="AA1352" s="1645"/>
      <c r="AB1352" s="1645"/>
      <c r="AC1352" s="1645"/>
      <c r="AD1352" s="1645"/>
      <c r="AE1352" s="1645"/>
      <c r="AF1352" s="1645"/>
      <c r="AG1352" s="1645"/>
      <c r="AH1352" s="1645"/>
      <c r="AI1352" s="1645"/>
      <c r="AJ1352" s="1645"/>
      <c r="AK1352" s="1645"/>
      <c r="AL1352" s="1645"/>
      <c r="AM1352" s="1645"/>
      <c r="AN1352" s="1645"/>
      <c r="AO1352" s="1645"/>
      <c r="AP1352" s="1645"/>
      <c r="AQ1352" s="1645"/>
      <c r="AR1352" s="1645"/>
      <c r="AS1352" s="1645"/>
      <c r="AT1352" s="1645"/>
      <c r="AU1352" s="1645"/>
      <c r="AV1352" s="1645"/>
      <c r="AW1352" s="1645"/>
      <c r="AX1352" s="1645"/>
      <c r="AY1352" s="1645"/>
      <c r="AZ1352" s="1645"/>
      <c r="BA1352" s="1645"/>
      <c r="BB1352" s="1645"/>
      <c r="BC1352" s="1645"/>
      <c r="BD1352" s="1645"/>
      <c r="BE1352" s="1645"/>
      <c r="BF1352" s="1645"/>
      <c r="BG1352" s="1645"/>
      <c r="BH1352" s="1645"/>
      <c r="BI1352" s="1645"/>
      <c r="BJ1352" s="1645"/>
      <c r="BK1352" s="1645"/>
      <c r="BL1352" s="1645"/>
      <c r="BM1352" s="1645"/>
      <c r="BN1352" s="1645"/>
      <c r="BO1352" s="1645"/>
      <c r="BP1352" s="1645"/>
      <c r="BQ1352" s="1645"/>
      <c r="BR1352" s="1645"/>
      <c r="BS1352" s="1645"/>
      <c r="BT1352" s="1645"/>
      <c r="BU1352" s="1645"/>
      <c r="BV1352" s="1645"/>
      <c r="BW1352" s="1645"/>
      <c r="BX1352" s="1645"/>
      <c r="BY1352" s="1645"/>
      <c r="BZ1352" s="1645"/>
      <c r="CA1352" s="1645"/>
      <c r="CB1352" s="1645"/>
      <c r="CC1352" s="1645"/>
      <c r="CD1352" s="1645"/>
      <c r="CE1352" s="1645"/>
      <c r="CF1352" s="1645"/>
      <c r="CG1352" s="1645"/>
      <c r="CH1352" s="1645"/>
      <c r="CI1352" s="1645"/>
      <c r="CJ1352" s="1645"/>
      <c r="CK1352" s="1645"/>
      <c r="CL1352" s="1645"/>
      <c r="CM1352" s="1645"/>
      <c r="CN1352" s="1645"/>
      <c r="CO1352" s="1645"/>
      <c r="CP1352" s="1136"/>
      <c r="CQ1352" s="1136"/>
      <c r="CR1352" s="1136"/>
      <c r="CS1352" s="1136"/>
      <c r="CT1352" s="1136"/>
      <c r="CU1352" s="1136"/>
      <c r="CV1352" s="1136"/>
      <c r="CW1352" s="1136"/>
      <c r="CX1352" s="1136"/>
      <c r="CY1352" s="1136"/>
      <c r="CZ1352" s="1136"/>
      <c r="DA1352" s="1136"/>
      <c r="DB1352" s="1136"/>
      <c r="DC1352" s="1136"/>
      <c r="DD1352" s="1136"/>
      <c r="DE1352" s="1136"/>
      <c r="DF1352" s="1136"/>
      <c r="DG1352" s="1136"/>
      <c r="DH1352" s="1136"/>
      <c r="DI1352" s="1136"/>
    </row>
    <row r="1353" spans="1:113" ht="15.75" x14ac:dyDescent="0.25">
      <c r="A1353" s="1651" t="s">
        <v>1855</v>
      </c>
      <c r="B1353" s="1641" t="e">
        <f>B1349/B1352</f>
        <v>#VALUE!</v>
      </c>
      <c r="C1353" s="1407"/>
      <c r="D1353" s="1407"/>
      <c r="E1353" s="1407"/>
      <c r="F1353" s="1407"/>
      <c r="G1353" s="1407"/>
      <c r="H1353" s="1070"/>
      <c r="I1353" s="1136"/>
      <c r="J1353" s="1136"/>
      <c r="K1353" s="1136"/>
      <c r="L1353" s="1136"/>
      <c r="M1353" s="1136"/>
      <c r="N1353" s="1136"/>
      <c r="O1353" s="1136"/>
      <c r="P1353" s="1136"/>
      <c r="Q1353" s="1551"/>
      <c r="R1353" s="1551"/>
      <c r="S1353" s="1551"/>
      <c r="T1353" s="1551"/>
      <c r="U1353" s="1551"/>
      <c r="V1353" s="1551"/>
      <c r="W1353" s="1551"/>
      <c r="X1353" s="1551"/>
      <c r="Y1353" s="1551"/>
      <c r="Z1353" s="1551"/>
      <c r="AA1353" s="1645"/>
      <c r="AB1353" s="1645"/>
      <c r="AC1353" s="1645"/>
      <c r="AD1353" s="1645"/>
      <c r="AE1353" s="1645"/>
      <c r="AF1353" s="1645"/>
      <c r="AG1353" s="1645"/>
      <c r="AH1353" s="1645"/>
      <c r="AI1353" s="1645"/>
      <c r="AJ1353" s="1645"/>
      <c r="AK1353" s="1645"/>
      <c r="AL1353" s="1645"/>
      <c r="AM1353" s="1645"/>
      <c r="AN1353" s="1645"/>
      <c r="AO1353" s="1645"/>
      <c r="AP1353" s="1645"/>
      <c r="AQ1353" s="1645"/>
      <c r="AR1353" s="1645"/>
      <c r="AS1353" s="1645"/>
      <c r="AT1353" s="1645"/>
      <c r="AU1353" s="1645"/>
      <c r="AV1353" s="1645"/>
      <c r="AW1353" s="1645"/>
      <c r="AX1353" s="1645"/>
      <c r="AY1353" s="1645"/>
      <c r="AZ1353" s="1645"/>
      <c r="BA1353" s="1645"/>
      <c r="BB1353" s="1645"/>
      <c r="BC1353" s="1645"/>
      <c r="BD1353" s="1645"/>
      <c r="BE1353" s="1645"/>
      <c r="BF1353" s="1645"/>
      <c r="BG1353" s="1645"/>
      <c r="BH1353" s="1645"/>
      <c r="BI1353" s="1645"/>
      <c r="BJ1353" s="1645"/>
      <c r="BK1353" s="1645"/>
      <c r="BL1353" s="1645"/>
      <c r="BM1353" s="1645"/>
      <c r="BN1353" s="1645"/>
      <c r="BO1353" s="1645"/>
      <c r="BP1353" s="1645"/>
      <c r="BQ1353" s="1645"/>
      <c r="BR1353" s="1645"/>
      <c r="BS1353" s="1645"/>
      <c r="BT1353" s="1645"/>
      <c r="BU1353" s="1645"/>
      <c r="BV1353" s="1645"/>
      <c r="BW1353" s="1645"/>
      <c r="BX1353" s="1645"/>
      <c r="BY1353" s="1645"/>
      <c r="BZ1353" s="1645"/>
      <c r="CA1353" s="1645"/>
      <c r="CB1353" s="1645"/>
      <c r="CC1353" s="1645"/>
      <c r="CD1353" s="1645"/>
      <c r="CE1353" s="1645"/>
      <c r="CF1353" s="1645"/>
      <c r="CG1353" s="1645"/>
      <c r="CH1353" s="1645"/>
      <c r="CI1353" s="1645"/>
      <c r="CJ1353" s="1645"/>
      <c r="CK1353" s="1645"/>
      <c r="CL1353" s="1645"/>
      <c r="CM1353" s="1645"/>
      <c r="CN1353" s="1645"/>
      <c r="CO1353" s="1645"/>
      <c r="CP1353" s="1136"/>
      <c r="CQ1353" s="1136"/>
      <c r="CR1353" s="1136"/>
      <c r="CS1353" s="1136"/>
      <c r="CT1353" s="1136"/>
      <c r="CU1353" s="1136"/>
      <c r="CV1353" s="1136"/>
      <c r="CW1353" s="1136"/>
      <c r="CX1353" s="1136"/>
      <c r="CY1353" s="1136"/>
      <c r="CZ1353" s="1136"/>
      <c r="DA1353" s="1136"/>
      <c r="DB1353" s="1136"/>
      <c r="DC1353" s="1136"/>
      <c r="DD1353" s="1136"/>
      <c r="DE1353" s="1136"/>
      <c r="DF1353" s="1136"/>
      <c r="DG1353" s="1136"/>
      <c r="DH1353" s="1136"/>
      <c r="DI1353" s="1136"/>
    </row>
    <row r="1354" spans="1:113" ht="15.75" x14ac:dyDescent="0.25">
      <c r="A1354" s="1391"/>
      <c r="B1354" s="1046"/>
      <c r="C1354" s="1070"/>
      <c r="D1354" s="1070"/>
      <c r="E1354" s="1070"/>
      <c r="F1354" s="1070"/>
      <c r="G1354" s="1070"/>
      <c r="H1354" s="1070"/>
      <c r="I1354" s="1136"/>
      <c r="J1354" s="1136"/>
      <c r="K1354" s="1136"/>
      <c r="L1354" s="1136"/>
      <c r="M1354" s="1136"/>
      <c r="N1354" s="1136"/>
      <c r="O1354" s="1136"/>
      <c r="P1354" s="1136"/>
      <c r="Q1354" s="1551"/>
      <c r="R1354" s="1551"/>
      <c r="S1354" s="1551"/>
      <c r="T1354" s="1551"/>
      <c r="U1354" s="1551"/>
      <c r="V1354" s="1551"/>
      <c r="W1354" s="1551"/>
      <c r="X1354" s="1551"/>
      <c r="Y1354" s="1551"/>
      <c r="Z1354" s="1551"/>
      <c r="AA1354" s="1645"/>
      <c r="AB1354" s="1645"/>
      <c r="AC1354" s="1645"/>
      <c r="AD1354" s="1645"/>
      <c r="AE1354" s="1645"/>
      <c r="AF1354" s="1645"/>
      <c r="AG1354" s="1645"/>
      <c r="AH1354" s="1645"/>
      <c r="AI1354" s="1645"/>
      <c r="AJ1354" s="1645"/>
      <c r="AK1354" s="1645"/>
      <c r="AL1354" s="1645"/>
      <c r="AM1354" s="1645"/>
      <c r="AN1354" s="1645"/>
      <c r="AO1354" s="1645"/>
      <c r="AP1354" s="1645"/>
      <c r="AQ1354" s="1645"/>
      <c r="AR1354" s="1645"/>
      <c r="AS1354" s="1645"/>
      <c r="AT1354" s="1645"/>
      <c r="AU1354" s="1645"/>
      <c r="AV1354" s="1645"/>
      <c r="AW1354" s="1645"/>
      <c r="AX1354" s="1645"/>
      <c r="AY1354" s="1645"/>
      <c r="AZ1354" s="1645"/>
      <c r="BA1354" s="1645"/>
      <c r="BB1354" s="1645"/>
      <c r="BC1354" s="1645"/>
      <c r="BD1354" s="1645"/>
      <c r="BE1354" s="1645"/>
      <c r="BF1354" s="1645"/>
      <c r="BG1354" s="1645"/>
      <c r="BH1354" s="1645"/>
      <c r="BI1354" s="1645"/>
      <c r="BJ1354" s="1645"/>
      <c r="BK1354" s="1645"/>
      <c r="BL1354" s="1645"/>
      <c r="BM1354" s="1645"/>
      <c r="BN1354" s="1645"/>
      <c r="BO1354" s="1645"/>
      <c r="BP1354" s="1645"/>
      <c r="BQ1354" s="1645"/>
      <c r="BR1354" s="1645"/>
      <c r="BS1354" s="1645"/>
      <c r="BT1354" s="1645"/>
      <c r="BU1354" s="1645"/>
      <c r="BV1354" s="1645"/>
      <c r="BW1354" s="1645"/>
      <c r="BX1354" s="1645"/>
      <c r="BY1354" s="1645"/>
      <c r="BZ1354" s="1645"/>
      <c r="CA1354" s="1645"/>
      <c r="CB1354" s="1645"/>
      <c r="CC1354" s="1645"/>
      <c r="CD1354" s="1645"/>
      <c r="CE1354" s="1645"/>
      <c r="CF1354" s="1645"/>
      <c r="CG1354" s="1645"/>
      <c r="CH1354" s="1645"/>
      <c r="CI1354" s="1645"/>
      <c r="CJ1354" s="1645"/>
      <c r="CK1354" s="1645"/>
      <c r="CL1354" s="1645"/>
      <c r="CM1354" s="1645"/>
      <c r="CN1354" s="1645"/>
      <c r="CO1354" s="1645"/>
      <c r="CP1354" s="1136"/>
      <c r="CQ1354" s="1136"/>
      <c r="CR1354" s="1136"/>
      <c r="CS1354" s="1136"/>
      <c r="CT1354" s="1136"/>
      <c r="CU1354" s="1136"/>
      <c r="CV1354" s="1136"/>
      <c r="CW1354" s="1136"/>
      <c r="CX1354" s="1136"/>
      <c r="CY1354" s="1136"/>
      <c r="CZ1354" s="1136"/>
      <c r="DA1354" s="1136"/>
      <c r="DB1354" s="1136"/>
      <c r="DC1354" s="1136"/>
      <c r="DD1354" s="1136"/>
      <c r="DE1354" s="1136"/>
      <c r="DF1354" s="1136"/>
      <c r="DG1354" s="1136"/>
      <c r="DH1354" s="1136"/>
      <c r="DI1354" s="1136"/>
    </row>
    <row r="1355" spans="1:113" ht="31.5" x14ac:dyDescent="0.25">
      <c r="A1355" s="1559" t="s">
        <v>1782</v>
      </c>
      <c r="B1355" s="1657" t="e">
        <f>B1353+B1339+B1335+B1329+B1320+B1316+B1310</f>
        <v>#VALUE!</v>
      </c>
      <c r="C1355" s="1410"/>
      <c r="D1355" s="1410"/>
      <c r="E1355" s="1410"/>
      <c r="F1355" s="1410"/>
      <c r="G1355" s="1410"/>
      <c r="H1355" s="1070"/>
      <c r="I1355" s="1136"/>
      <c r="J1355" s="1136"/>
      <c r="K1355" s="1136"/>
      <c r="L1355" s="1136"/>
      <c r="M1355" s="1136"/>
      <c r="N1355" s="1136"/>
      <c r="O1355" s="1136"/>
      <c r="P1355" s="1136"/>
      <c r="Q1355" s="1551"/>
      <c r="R1355" s="1551"/>
      <c r="S1355" s="1551"/>
      <c r="T1355" s="1551"/>
      <c r="U1355" s="1551"/>
      <c r="V1355" s="1551"/>
      <c r="W1355" s="1551"/>
      <c r="X1355" s="1551"/>
      <c r="Y1355" s="1551"/>
      <c r="Z1355" s="1551"/>
      <c r="AA1355" s="1645"/>
      <c r="AB1355" s="1645"/>
      <c r="AC1355" s="1645"/>
      <c r="AD1355" s="1645"/>
      <c r="AE1355" s="1645"/>
      <c r="AF1355" s="1645"/>
      <c r="AG1355" s="1645"/>
      <c r="AH1355" s="1645"/>
      <c r="AI1355" s="1645"/>
      <c r="AJ1355" s="1645"/>
      <c r="AK1355" s="1645"/>
      <c r="AL1355" s="1645"/>
      <c r="AM1355" s="1645"/>
      <c r="AN1355" s="1645"/>
      <c r="AO1355" s="1645"/>
      <c r="AP1355" s="1645"/>
      <c r="AQ1355" s="1645"/>
      <c r="AR1355" s="1645"/>
      <c r="AS1355" s="1645"/>
      <c r="AT1355" s="1645"/>
      <c r="AU1355" s="1645"/>
      <c r="AV1355" s="1645"/>
      <c r="AW1355" s="1645"/>
      <c r="AX1355" s="1645"/>
      <c r="AY1355" s="1645"/>
      <c r="AZ1355" s="1645"/>
      <c r="BA1355" s="1645"/>
      <c r="BB1355" s="1645"/>
      <c r="BC1355" s="1645"/>
      <c r="BD1355" s="1645"/>
      <c r="BE1355" s="1645"/>
      <c r="BF1355" s="1645"/>
      <c r="BG1355" s="1645"/>
      <c r="BH1355" s="1645"/>
      <c r="BI1355" s="1645"/>
      <c r="BJ1355" s="1645"/>
      <c r="BK1355" s="1645"/>
      <c r="BL1355" s="1645"/>
      <c r="BM1355" s="1645"/>
      <c r="BN1355" s="1645"/>
      <c r="BO1355" s="1645"/>
      <c r="BP1355" s="1645"/>
      <c r="BQ1355" s="1645"/>
      <c r="BR1355" s="1645"/>
      <c r="BS1355" s="1645"/>
      <c r="BT1355" s="1645"/>
      <c r="BU1355" s="1645"/>
      <c r="BV1355" s="1645"/>
      <c r="BW1355" s="1645"/>
      <c r="BX1355" s="1645"/>
      <c r="BY1355" s="1645"/>
      <c r="BZ1355" s="1645"/>
      <c r="CA1355" s="1645"/>
      <c r="CB1355" s="1645"/>
      <c r="CC1355" s="1645"/>
      <c r="CD1355" s="1645"/>
      <c r="CE1355" s="1645"/>
      <c r="CF1355" s="1645"/>
      <c r="CG1355" s="1645"/>
      <c r="CH1355" s="1645"/>
      <c r="CI1355" s="1645"/>
      <c r="CJ1355" s="1645"/>
      <c r="CK1355" s="1645"/>
      <c r="CL1355" s="1645"/>
      <c r="CM1355" s="1645"/>
      <c r="CN1355" s="1645"/>
      <c r="CO1355" s="1645"/>
      <c r="CP1355" s="1136"/>
      <c r="CQ1355" s="1136"/>
      <c r="CR1355" s="1136"/>
      <c r="CS1355" s="1136"/>
      <c r="CT1355" s="1136"/>
      <c r="CU1355" s="1136"/>
      <c r="CV1355" s="1136"/>
      <c r="CW1355" s="1136"/>
      <c r="CX1355" s="1136"/>
      <c r="CY1355" s="1136"/>
      <c r="CZ1355" s="1136"/>
      <c r="DA1355" s="1136"/>
      <c r="DB1355" s="1136"/>
      <c r="DC1355" s="1136"/>
      <c r="DD1355" s="1136"/>
      <c r="DE1355" s="1136"/>
      <c r="DF1355" s="1136"/>
      <c r="DG1355" s="1136"/>
      <c r="DH1355" s="1136"/>
      <c r="DI1355" s="1136"/>
    </row>
    <row r="1356" spans="1:113" ht="15.75" x14ac:dyDescent="0.25">
      <c r="A1356" s="1426" t="s">
        <v>4774</v>
      </c>
      <c r="B1356" s="1046"/>
      <c r="C1356" s="1070"/>
      <c r="D1356" s="1070"/>
      <c r="E1356" s="1070"/>
      <c r="F1356" s="1070"/>
      <c r="G1356" s="1070"/>
      <c r="H1356" s="1070"/>
      <c r="I1356" s="1136"/>
      <c r="J1356" s="1136"/>
      <c r="K1356" s="1136"/>
      <c r="L1356" s="1136"/>
      <c r="M1356" s="1136"/>
      <c r="N1356" s="1136"/>
      <c r="O1356" s="1136"/>
      <c r="P1356" s="1136"/>
      <c r="Q1356" s="1551"/>
      <c r="R1356" s="1551"/>
      <c r="S1356" s="1551"/>
      <c r="T1356" s="1551"/>
      <c r="U1356" s="1551"/>
      <c r="V1356" s="1551"/>
      <c r="W1356" s="1551"/>
      <c r="X1356" s="1551"/>
      <c r="Y1356" s="1551"/>
      <c r="Z1356" s="1551"/>
      <c r="AA1356" s="1645"/>
      <c r="AB1356" s="1645"/>
      <c r="AC1356" s="1645"/>
      <c r="AD1356" s="1645"/>
      <c r="AE1356" s="1645"/>
      <c r="AF1356" s="1645"/>
      <c r="AG1356" s="1645"/>
      <c r="AH1356" s="1645"/>
      <c r="AI1356" s="1645"/>
      <c r="AJ1356" s="1645"/>
      <c r="AK1356" s="1645"/>
      <c r="AL1356" s="1645"/>
      <c r="AM1356" s="1645"/>
      <c r="AN1356" s="1645"/>
      <c r="AO1356" s="1645"/>
      <c r="AP1356" s="1645"/>
      <c r="AQ1356" s="1645"/>
      <c r="AR1356" s="1645"/>
      <c r="AS1356" s="1645"/>
      <c r="AT1356" s="1645"/>
      <c r="AU1356" s="1645"/>
      <c r="AV1356" s="1645"/>
      <c r="AW1356" s="1645"/>
      <c r="AX1356" s="1645"/>
      <c r="AY1356" s="1645"/>
      <c r="AZ1356" s="1645"/>
      <c r="BA1356" s="1645"/>
      <c r="BB1356" s="1645"/>
      <c r="BC1356" s="1645"/>
      <c r="BD1356" s="1645"/>
      <c r="BE1356" s="1645"/>
      <c r="BF1356" s="1645"/>
      <c r="BG1356" s="1645"/>
      <c r="BH1356" s="1645"/>
      <c r="BI1356" s="1645"/>
      <c r="BJ1356" s="1645"/>
      <c r="BK1356" s="1645"/>
      <c r="BL1356" s="1645"/>
      <c r="BM1356" s="1645"/>
      <c r="BN1356" s="1645"/>
      <c r="BO1356" s="1645"/>
      <c r="BP1356" s="1645"/>
      <c r="BQ1356" s="1645"/>
      <c r="BR1356" s="1645"/>
      <c r="BS1356" s="1645"/>
      <c r="BT1356" s="1645"/>
      <c r="BU1356" s="1645"/>
      <c r="BV1356" s="1645"/>
      <c r="BW1356" s="1645"/>
      <c r="BX1356" s="1645"/>
      <c r="BY1356" s="1645"/>
      <c r="BZ1356" s="1645"/>
      <c r="CA1356" s="1645"/>
      <c r="CB1356" s="1645"/>
      <c r="CC1356" s="1645"/>
      <c r="CD1356" s="1645"/>
      <c r="CE1356" s="1645"/>
      <c r="CF1356" s="1645"/>
      <c r="CG1356" s="1645"/>
      <c r="CH1356" s="1645"/>
      <c r="CI1356" s="1645"/>
      <c r="CJ1356" s="1645"/>
      <c r="CK1356" s="1645"/>
      <c r="CL1356" s="1645"/>
      <c r="CM1356" s="1645"/>
      <c r="CN1356" s="1645"/>
      <c r="CO1356" s="1645"/>
      <c r="CP1356" s="1136"/>
      <c r="CQ1356" s="1136"/>
      <c r="CR1356" s="1136"/>
      <c r="CS1356" s="1136"/>
      <c r="CT1356" s="1136"/>
      <c r="CU1356" s="1136"/>
      <c r="CV1356" s="1136"/>
      <c r="CW1356" s="1136"/>
      <c r="CX1356" s="1136"/>
      <c r="CY1356" s="1136"/>
      <c r="CZ1356" s="1136"/>
      <c r="DA1356" s="1136"/>
      <c r="DB1356" s="1136"/>
      <c r="DC1356" s="1136"/>
      <c r="DD1356" s="1136"/>
      <c r="DE1356" s="1136"/>
      <c r="DF1356" s="1136"/>
      <c r="DG1356" s="1136"/>
      <c r="DH1356" s="1136"/>
      <c r="DI1356" s="1136"/>
    </row>
    <row r="1357" spans="1:113" ht="15.75" x14ac:dyDescent="0.25">
      <c r="A1357" s="1649" t="s">
        <v>4775</v>
      </c>
      <c r="B1357" s="1641"/>
      <c r="C1357" s="1407"/>
      <c r="D1357" s="1407"/>
      <c r="E1357" s="1407"/>
      <c r="F1357" s="1407"/>
      <c r="G1357" s="1407"/>
      <c r="H1357" s="1070"/>
      <c r="I1357" s="1136"/>
      <c r="J1357" s="1136"/>
      <c r="K1357" s="1136"/>
      <c r="L1357" s="1136"/>
      <c r="M1357" s="1136"/>
      <c r="N1357" s="1136"/>
      <c r="O1357" s="1136"/>
      <c r="P1357" s="1136"/>
      <c r="Q1357" s="1551"/>
      <c r="R1357" s="1551"/>
      <c r="S1357" s="1551"/>
      <c r="T1357" s="1551"/>
      <c r="U1357" s="1551"/>
      <c r="V1357" s="1551"/>
      <c r="W1357" s="1551"/>
      <c r="X1357" s="1551"/>
      <c r="Y1357" s="1551"/>
      <c r="Z1357" s="1551"/>
      <c r="AA1357" s="1645"/>
      <c r="AB1357" s="1645"/>
      <c r="AC1357" s="1645"/>
      <c r="AD1357" s="1645"/>
      <c r="AE1357" s="1645"/>
      <c r="AF1357" s="1645"/>
      <c r="AG1357" s="1645"/>
      <c r="AH1357" s="1645"/>
      <c r="AI1357" s="1645"/>
      <c r="AJ1357" s="1645"/>
      <c r="AK1357" s="1645"/>
      <c r="AL1357" s="1645"/>
      <c r="AM1357" s="1645"/>
      <c r="AN1357" s="1645"/>
      <c r="AO1357" s="1645"/>
      <c r="AP1357" s="1645"/>
      <c r="AQ1357" s="1645"/>
      <c r="AR1357" s="1645"/>
      <c r="AS1357" s="1645"/>
      <c r="AT1357" s="1645"/>
      <c r="AU1357" s="1645"/>
      <c r="AV1357" s="1645"/>
      <c r="AW1357" s="1645"/>
      <c r="AX1357" s="1645"/>
      <c r="AY1357" s="1645"/>
      <c r="AZ1357" s="1645"/>
      <c r="BA1357" s="1645"/>
      <c r="BB1357" s="1645"/>
      <c r="BC1357" s="1645"/>
      <c r="BD1357" s="1645"/>
      <c r="BE1357" s="1645"/>
      <c r="BF1357" s="1645"/>
      <c r="BG1357" s="1645"/>
      <c r="BH1357" s="1645"/>
      <c r="BI1357" s="1645"/>
      <c r="BJ1357" s="1645"/>
      <c r="BK1357" s="1645"/>
      <c r="BL1357" s="1645"/>
      <c r="BM1357" s="1645"/>
      <c r="BN1357" s="1645"/>
      <c r="BO1357" s="1645"/>
      <c r="BP1357" s="1645"/>
      <c r="BQ1357" s="1645"/>
      <c r="BR1357" s="1645"/>
      <c r="BS1357" s="1645"/>
      <c r="BT1357" s="1645"/>
      <c r="BU1357" s="1645"/>
      <c r="BV1357" s="1645"/>
      <c r="BW1357" s="1645"/>
      <c r="BX1357" s="1645"/>
      <c r="BY1357" s="1645"/>
      <c r="BZ1357" s="1645"/>
      <c r="CA1357" s="1645"/>
      <c r="CB1357" s="1645"/>
      <c r="CC1357" s="1645"/>
      <c r="CD1357" s="1645"/>
      <c r="CE1357" s="1645"/>
      <c r="CF1357" s="1645"/>
      <c r="CG1357" s="1645"/>
      <c r="CH1357" s="1645"/>
      <c r="CI1357" s="1645"/>
      <c r="CJ1357" s="1645"/>
      <c r="CK1357" s="1645"/>
      <c r="CL1357" s="1645"/>
      <c r="CM1357" s="1645"/>
      <c r="CN1357" s="1645"/>
      <c r="CO1357" s="1645"/>
      <c r="CP1357" s="1136"/>
      <c r="CQ1357" s="1136"/>
      <c r="CR1357" s="1136"/>
      <c r="CS1357" s="1136"/>
      <c r="CT1357" s="1136"/>
      <c r="CU1357" s="1136"/>
      <c r="CV1357" s="1136"/>
      <c r="CW1357" s="1136"/>
      <c r="CX1357" s="1136"/>
      <c r="CY1357" s="1136"/>
      <c r="CZ1357" s="1136"/>
      <c r="DA1357" s="1136"/>
      <c r="DB1357" s="1136"/>
      <c r="DC1357" s="1136"/>
      <c r="DD1357" s="1136"/>
      <c r="DE1357" s="1136"/>
      <c r="DF1357" s="1136"/>
      <c r="DG1357" s="1136"/>
      <c r="DH1357" s="1136"/>
      <c r="DI1357" s="1136"/>
    </row>
    <row r="1358" spans="1:113" ht="15.75" x14ac:dyDescent="0.25">
      <c r="A1358" s="1483" t="s">
        <v>1833</v>
      </c>
      <c r="B1358" s="1406">
        <f>B1347</f>
        <v>0</v>
      </c>
      <c r="C1358" s="1407"/>
      <c r="D1358" s="1407"/>
      <c r="E1358" s="1407"/>
      <c r="F1358" s="1407"/>
      <c r="G1358" s="1407"/>
      <c r="H1358" s="1070"/>
      <c r="I1358" s="1136"/>
      <c r="J1358" s="1136"/>
      <c r="K1358" s="1136"/>
      <c r="L1358" s="1136"/>
      <c r="M1358" s="1136"/>
      <c r="N1358" s="1136"/>
      <c r="O1358" s="1136"/>
      <c r="P1358" s="1136"/>
      <c r="Q1358" s="1551"/>
      <c r="R1358" s="1551"/>
      <c r="S1358" s="1551"/>
      <c r="T1358" s="1551"/>
      <c r="U1358" s="1551"/>
      <c r="V1358" s="1551"/>
      <c r="W1358" s="1551"/>
      <c r="X1358" s="1551"/>
      <c r="Y1358" s="1551"/>
      <c r="Z1358" s="1551"/>
      <c r="AA1358" s="1645"/>
      <c r="AB1358" s="1645"/>
      <c r="AC1358" s="1645"/>
      <c r="AD1358" s="1645"/>
      <c r="AE1358" s="1645"/>
      <c r="AF1358" s="1645"/>
      <c r="AG1358" s="1645"/>
      <c r="AH1358" s="1645"/>
      <c r="AI1358" s="1645"/>
      <c r="AJ1358" s="1645"/>
      <c r="AK1358" s="1645"/>
      <c r="AL1358" s="1645"/>
      <c r="AM1358" s="1645"/>
      <c r="AN1358" s="1645"/>
      <c r="AO1358" s="1645"/>
      <c r="AP1358" s="1645"/>
      <c r="AQ1358" s="1645"/>
      <c r="AR1358" s="1645"/>
      <c r="AS1358" s="1645"/>
      <c r="AT1358" s="1645"/>
      <c r="AU1358" s="1645"/>
      <c r="AV1358" s="1645"/>
      <c r="AW1358" s="1645"/>
      <c r="AX1358" s="1645"/>
      <c r="AY1358" s="1645"/>
      <c r="AZ1358" s="1645"/>
      <c r="BA1358" s="1645"/>
      <c r="BB1358" s="1645"/>
      <c r="BC1358" s="1645"/>
      <c r="BD1358" s="1645"/>
      <c r="BE1358" s="1645"/>
      <c r="BF1358" s="1645"/>
      <c r="BG1358" s="1645"/>
      <c r="BH1358" s="1645"/>
      <c r="BI1358" s="1645"/>
      <c r="BJ1358" s="1645"/>
      <c r="BK1358" s="1645"/>
      <c r="BL1358" s="1645"/>
      <c r="BM1358" s="1645"/>
      <c r="BN1358" s="1645"/>
      <c r="BO1358" s="1645"/>
      <c r="BP1358" s="1645"/>
      <c r="BQ1358" s="1645"/>
      <c r="BR1358" s="1645"/>
      <c r="BS1358" s="1645"/>
      <c r="BT1358" s="1645"/>
      <c r="BU1358" s="1645"/>
      <c r="BV1358" s="1645"/>
      <c r="BW1358" s="1645"/>
      <c r="BX1358" s="1645"/>
      <c r="BY1358" s="1645"/>
      <c r="BZ1358" s="1645"/>
      <c r="CA1358" s="1645"/>
      <c r="CB1358" s="1645"/>
      <c r="CC1358" s="1645"/>
      <c r="CD1358" s="1645"/>
      <c r="CE1358" s="1645"/>
      <c r="CF1358" s="1645"/>
      <c r="CG1358" s="1645"/>
      <c r="CH1358" s="1645"/>
      <c r="CI1358" s="1645"/>
      <c r="CJ1358" s="1645"/>
      <c r="CK1358" s="1645"/>
      <c r="CL1358" s="1645"/>
      <c r="CM1358" s="1645"/>
      <c r="CN1358" s="1645"/>
      <c r="CO1358" s="1645"/>
      <c r="CP1358" s="1136"/>
      <c r="CQ1358" s="1136"/>
      <c r="CR1358" s="1136"/>
      <c r="CS1358" s="1136"/>
      <c r="CT1358" s="1136"/>
      <c r="CU1358" s="1136"/>
      <c r="CV1358" s="1136"/>
      <c r="CW1358" s="1136"/>
      <c r="CX1358" s="1136"/>
      <c r="CY1358" s="1136"/>
      <c r="CZ1358" s="1136"/>
      <c r="DA1358" s="1136"/>
      <c r="DB1358" s="1136"/>
      <c r="DC1358" s="1136"/>
      <c r="DD1358" s="1136"/>
      <c r="DE1358" s="1136"/>
      <c r="DF1358" s="1136"/>
      <c r="DG1358" s="1136"/>
      <c r="DH1358" s="1136"/>
      <c r="DI1358" s="1136"/>
    </row>
    <row r="1359" spans="1:113" ht="15.75" x14ac:dyDescent="0.25">
      <c r="A1359" s="1483" t="s">
        <v>1834</v>
      </c>
      <c r="B1359" s="1406">
        <f>B1348</f>
        <v>0</v>
      </c>
      <c r="C1359" s="1407"/>
      <c r="D1359" s="1407"/>
      <c r="E1359" s="1407"/>
      <c r="F1359" s="1407"/>
      <c r="G1359" s="1407"/>
      <c r="H1359" s="1070"/>
      <c r="I1359" s="1136"/>
      <c r="J1359" s="1136"/>
      <c r="K1359" s="1136"/>
      <c r="L1359" s="1136"/>
      <c r="M1359" s="1136"/>
      <c r="N1359" s="1136"/>
      <c r="O1359" s="1136"/>
      <c r="P1359" s="1136"/>
      <c r="Q1359" s="1551"/>
      <c r="R1359" s="1551"/>
      <c r="S1359" s="1551"/>
      <c r="T1359" s="1551"/>
      <c r="U1359" s="1551"/>
      <c r="V1359" s="1551"/>
      <c r="W1359" s="1551"/>
      <c r="X1359" s="1551"/>
      <c r="Y1359" s="1551"/>
      <c r="Z1359" s="1551"/>
      <c r="AA1359" s="1645"/>
      <c r="AB1359" s="1645"/>
      <c r="AC1359" s="1645"/>
      <c r="AD1359" s="1645"/>
      <c r="AE1359" s="1645"/>
      <c r="AF1359" s="1645"/>
      <c r="AG1359" s="1645"/>
      <c r="AH1359" s="1645"/>
      <c r="AI1359" s="1645"/>
      <c r="AJ1359" s="1645"/>
      <c r="AK1359" s="1645"/>
      <c r="AL1359" s="1645"/>
      <c r="AM1359" s="1645"/>
      <c r="AN1359" s="1645"/>
      <c r="AO1359" s="1645"/>
      <c r="AP1359" s="1645"/>
      <c r="AQ1359" s="1645"/>
      <c r="AR1359" s="1645"/>
      <c r="AS1359" s="1645"/>
      <c r="AT1359" s="1645"/>
      <c r="AU1359" s="1645"/>
      <c r="AV1359" s="1645"/>
      <c r="AW1359" s="1645"/>
      <c r="AX1359" s="1645"/>
      <c r="AY1359" s="1645"/>
      <c r="AZ1359" s="1645"/>
      <c r="BA1359" s="1645"/>
      <c r="BB1359" s="1645"/>
      <c r="BC1359" s="1645"/>
      <c r="BD1359" s="1645"/>
      <c r="BE1359" s="1645"/>
      <c r="BF1359" s="1645"/>
      <c r="BG1359" s="1645"/>
      <c r="BH1359" s="1645"/>
      <c r="BI1359" s="1645"/>
      <c r="BJ1359" s="1645"/>
      <c r="BK1359" s="1645"/>
      <c r="BL1359" s="1645"/>
      <c r="BM1359" s="1645"/>
      <c r="BN1359" s="1645"/>
      <c r="BO1359" s="1645"/>
      <c r="BP1359" s="1645"/>
      <c r="BQ1359" s="1645"/>
      <c r="BR1359" s="1645"/>
      <c r="BS1359" s="1645"/>
      <c r="BT1359" s="1645"/>
      <c r="BU1359" s="1645"/>
      <c r="BV1359" s="1645"/>
      <c r="BW1359" s="1645"/>
      <c r="BX1359" s="1645"/>
      <c r="BY1359" s="1645"/>
      <c r="BZ1359" s="1645"/>
      <c r="CA1359" s="1645"/>
      <c r="CB1359" s="1645"/>
      <c r="CC1359" s="1645"/>
      <c r="CD1359" s="1645"/>
      <c r="CE1359" s="1645"/>
      <c r="CF1359" s="1645"/>
      <c r="CG1359" s="1645"/>
      <c r="CH1359" s="1645"/>
      <c r="CI1359" s="1645"/>
      <c r="CJ1359" s="1645"/>
      <c r="CK1359" s="1645"/>
      <c r="CL1359" s="1645"/>
      <c r="CM1359" s="1645"/>
      <c r="CN1359" s="1645"/>
      <c r="CO1359" s="1645"/>
      <c r="CP1359" s="1136"/>
      <c r="CQ1359" s="1136"/>
      <c r="CR1359" s="1136"/>
      <c r="CS1359" s="1136"/>
      <c r="CT1359" s="1136"/>
      <c r="CU1359" s="1136"/>
      <c r="CV1359" s="1136"/>
      <c r="CW1359" s="1136"/>
      <c r="CX1359" s="1136"/>
      <c r="CY1359" s="1136"/>
      <c r="CZ1359" s="1136"/>
      <c r="DA1359" s="1136"/>
      <c r="DB1359" s="1136"/>
      <c r="DC1359" s="1136"/>
      <c r="DD1359" s="1136"/>
      <c r="DE1359" s="1136"/>
      <c r="DF1359" s="1136"/>
      <c r="DG1359" s="1136"/>
      <c r="DH1359" s="1136"/>
      <c r="DI1359" s="1136"/>
    </row>
    <row r="1360" spans="1:113" ht="15.75" x14ac:dyDescent="0.25">
      <c r="A1360" s="1391" t="s">
        <v>1835</v>
      </c>
      <c r="B1360" s="1641">
        <f>SUM(B1358:B1359)</f>
        <v>0</v>
      </c>
      <c r="C1360" s="1407"/>
      <c r="D1360" s="1407"/>
      <c r="E1360" s="1407"/>
      <c r="F1360" s="1407"/>
      <c r="G1360" s="1407"/>
      <c r="H1360" s="1070"/>
      <c r="I1360" s="1136"/>
      <c r="J1360" s="1136"/>
      <c r="K1360" s="1136"/>
      <c r="L1360" s="1136"/>
      <c r="M1360" s="1136"/>
      <c r="N1360" s="1136"/>
      <c r="O1360" s="1136"/>
      <c r="P1360" s="1136"/>
      <c r="Q1360" s="1551"/>
      <c r="R1360" s="1551"/>
      <c r="S1360" s="1551"/>
      <c r="T1360" s="1551"/>
      <c r="U1360" s="1551"/>
      <c r="V1360" s="1551"/>
      <c r="W1360" s="1551"/>
      <c r="X1360" s="1551"/>
      <c r="Y1360" s="1551"/>
      <c r="Z1360" s="1551"/>
      <c r="AA1360" s="1645"/>
      <c r="AB1360" s="1645"/>
      <c r="AC1360" s="1645"/>
      <c r="AD1360" s="1645"/>
      <c r="AE1360" s="1645"/>
      <c r="AF1360" s="1645"/>
      <c r="AG1360" s="1645"/>
      <c r="AH1360" s="1645"/>
      <c r="AI1360" s="1645"/>
      <c r="AJ1360" s="1645"/>
      <c r="AK1360" s="1645"/>
      <c r="AL1360" s="1645"/>
      <c r="AM1360" s="1645"/>
      <c r="AN1360" s="1645"/>
      <c r="AO1360" s="1645"/>
      <c r="AP1360" s="1645"/>
      <c r="AQ1360" s="1645"/>
      <c r="AR1360" s="1645"/>
      <c r="AS1360" s="1645"/>
      <c r="AT1360" s="1645"/>
      <c r="AU1360" s="1645"/>
      <c r="AV1360" s="1645"/>
      <c r="AW1360" s="1645"/>
      <c r="AX1360" s="1645"/>
      <c r="AY1360" s="1645"/>
      <c r="AZ1360" s="1645"/>
      <c r="BA1360" s="1645"/>
      <c r="BB1360" s="1645"/>
      <c r="BC1360" s="1645"/>
      <c r="BD1360" s="1645"/>
      <c r="BE1360" s="1645"/>
      <c r="BF1360" s="1645"/>
      <c r="BG1360" s="1645"/>
      <c r="BH1360" s="1645"/>
      <c r="BI1360" s="1645"/>
      <c r="BJ1360" s="1645"/>
      <c r="BK1360" s="1645"/>
      <c r="BL1360" s="1645"/>
      <c r="BM1360" s="1645"/>
      <c r="BN1360" s="1645"/>
      <c r="BO1360" s="1645"/>
      <c r="BP1360" s="1645"/>
      <c r="BQ1360" s="1645"/>
      <c r="BR1360" s="1645"/>
      <c r="BS1360" s="1645"/>
      <c r="BT1360" s="1645"/>
      <c r="BU1360" s="1645"/>
      <c r="BV1360" s="1645"/>
      <c r="BW1360" s="1645"/>
      <c r="BX1360" s="1645"/>
      <c r="BY1360" s="1645"/>
      <c r="BZ1360" s="1645"/>
      <c r="CA1360" s="1645"/>
      <c r="CB1360" s="1645"/>
      <c r="CC1360" s="1645"/>
      <c r="CD1360" s="1645"/>
      <c r="CE1360" s="1645"/>
      <c r="CF1360" s="1645"/>
      <c r="CG1360" s="1645"/>
      <c r="CH1360" s="1645"/>
      <c r="CI1360" s="1645"/>
      <c r="CJ1360" s="1645"/>
      <c r="CK1360" s="1645"/>
      <c r="CL1360" s="1645"/>
      <c r="CM1360" s="1645"/>
      <c r="CN1360" s="1645"/>
      <c r="CO1360" s="1645"/>
      <c r="CP1360" s="1136"/>
      <c r="CQ1360" s="1136"/>
      <c r="CR1360" s="1136"/>
      <c r="CS1360" s="1136"/>
      <c r="CT1360" s="1136"/>
      <c r="CU1360" s="1136"/>
      <c r="CV1360" s="1136"/>
      <c r="CW1360" s="1136"/>
      <c r="CX1360" s="1136"/>
      <c r="CY1360" s="1136"/>
      <c r="CZ1360" s="1136"/>
      <c r="DA1360" s="1136"/>
      <c r="DB1360" s="1136"/>
      <c r="DC1360" s="1136"/>
      <c r="DD1360" s="1136"/>
      <c r="DE1360" s="1136"/>
      <c r="DF1360" s="1136"/>
      <c r="DG1360" s="1136"/>
      <c r="DH1360" s="1136"/>
      <c r="DI1360" s="1136"/>
    </row>
    <row r="1361" spans="1:113" ht="15.75" x14ac:dyDescent="0.25">
      <c r="A1361" s="1483" t="s">
        <v>4776</v>
      </c>
      <c r="B1361" s="1641">
        <v>10.8</v>
      </c>
      <c r="C1361" s="1407"/>
      <c r="D1361" s="1407"/>
      <c r="E1361" s="1407"/>
      <c r="F1361" s="1407"/>
      <c r="G1361" s="1407"/>
      <c r="H1361" s="1070"/>
      <c r="I1361" s="1136"/>
      <c r="J1361" s="1136"/>
      <c r="K1361" s="1136"/>
      <c r="L1361" s="1136"/>
      <c r="M1361" s="1136"/>
      <c r="N1361" s="1136"/>
      <c r="O1361" s="1136"/>
      <c r="P1361" s="1136"/>
      <c r="Q1361" s="1551"/>
      <c r="R1361" s="1551"/>
      <c r="S1361" s="1551"/>
      <c r="T1361" s="1551"/>
      <c r="U1361" s="1551"/>
      <c r="V1361" s="1551"/>
      <c r="W1361" s="1551"/>
      <c r="X1361" s="1551"/>
      <c r="Y1361" s="1551"/>
      <c r="Z1361" s="1551"/>
      <c r="AA1361" s="1645"/>
      <c r="AB1361" s="1645"/>
      <c r="AC1361" s="1645"/>
      <c r="AD1361" s="1645"/>
      <c r="AE1361" s="1645"/>
      <c r="AF1361" s="1645"/>
      <c r="AG1361" s="1645"/>
      <c r="AH1361" s="1645"/>
      <c r="AI1361" s="1645"/>
      <c r="AJ1361" s="1645"/>
      <c r="AK1361" s="1645"/>
      <c r="AL1361" s="1645"/>
      <c r="AM1361" s="1645"/>
      <c r="AN1361" s="1645"/>
      <c r="AO1361" s="1645"/>
      <c r="AP1361" s="1645"/>
      <c r="AQ1361" s="1645"/>
      <c r="AR1361" s="1645"/>
      <c r="AS1361" s="1645"/>
      <c r="AT1361" s="1645"/>
      <c r="AU1361" s="1645"/>
      <c r="AV1361" s="1645"/>
      <c r="AW1361" s="1645"/>
      <c r="AX1361" s="1645"/>
      <c r="AY1361" s="1645"/>
      <c r="AZ1361" s="1645"/>
      <c r="BA1361" s="1645"/>
      <c r="BB1361" s="1645"/>
      <c r="BC1361" s="1645"/>
      <c r="BD1361" s="1645"/>
      <c r="BE1361" s="1645"/>
      <c r="BF1361" s="1645"/>
      <c r="BG1361" s="1645"/>
      <c r="BH1361" s="1645"/>
      <c r="BI1361" s="1645"/>
      <c r="BJ1361" s="1645"/>
      <c r="BK1361" s="1645"/>
      <c r="BL1361" s="1645"/>
      <c r="BM1361" s="1645"/>
      <c r="BN1361" s="1645"/>
      <c r="BO1361" s="1645"/>
      <c r="BP1361" s="1645"/>
      <c r="BQ1361" s="1645"/>
      <c r="BR1361" s="1645"/>
      <c r="BS1361" s="1645"/>
      <c r="BT1361" s="1645"/>
      <c r="BU1361" s="1645"/>
      <c r="BV1361" s="1645"/>
      <c r="BW1361" s="1645"/>
      <c r="BX1361" s="1645"/>
      <c r="BY1361" s="1645"/>
      <c r="BZ1361" s="1645"/>
      <c r="CA1361" s="1645"/>
      <c r="CB1361" s="1645"/>
      <c r="CC1361" s="1645"/>
      <c r="CD1361" s="1645"/>
      <c r="CE1361" s="1645"/>
      <c r="CF1361" s="1645"/>
      <c r="CG1361" s="1645"/>
      <c r="CH1361" s="1645"/>
      <c r="CI1361" s="1645"/>
      <c r="CJ1361" s="1645"/>
      <c r="CK1361" s="1645"/>
      <c r="CL1361" s="1645"/>
      <c r="CM1361" s="1645"/>
      <c r="CN1361" s="1645"/>
      <c r="CO1361" s="1645"/>
      <c r="CP1361" s="1136"/>
      <c r="CQ1361" s="1136"/>
      <c r="CR1361" s="1136"/>
      <c r="CS1361" s="1136"/>
      <c r="CT1361" s="1136"/>
      <c r="CU1361" s="1136"/>
      <c r="CV1361" s="1136"/>
      <c r="CW1361" s="1136"/>
      <c r="CX1361" s="1136"/>
      <c r="CY1361" s="1136"/>
      <c r="CZ1361" s="1136"/>
      <c r="DA1361" s="1136"/>
      <c r="DB1361" s="1136"/>
      <c r="DC1361" s="1136"/>
      <c r="DD1361" s="1136"/>
      <c r="DE1361" s="1136"/>
      <c r="DF1361" s="1136"/>
      <c r="DG1361" s="1136"/>
      <c r="DH1361" s="1136"/>
      <c r="DI1361" s="1136"/>
    </row>
    <row r="1362" spans="1:113" ht="15.75" x14ac:dyDescent="0.25">
      <c r="A1362" s="1483" t="s">
        <v>4777</v>
      </c>
      <c r="B1362" s="1641">
        <v>12.4</v>
      </c>
      <c r="C1362" s="1407"/>
      <c r="D1362" s="1407"/>
      <c r="E1362" s="1407"/>
      <c r="F1362" s="1407"/>
      <c r="G1362" s="1407"/>
      <c r="H1362" s="1070"/>
      <c r="I1362" s="1136"/>
      <c r="J1362" s="1136"/>
      <c r="K1362" s="1136"/>
      <c r="L1362" s="1136"/>
      <c r="M1362" s="1136"/>
      <c r="N1362" s="1136"/>
      <c r="O1362" s="1136"/>
      <c r="P1362" s="1136"/>
      <c r="Q1362" s="1551"/>
      <c r="R1362" s="1551"/>
      <c r="S1362" s="1551"/>
      <c r="T1362" s="1551"/>
      <c r="U1362" s="1551"/>
      <c r="V1362" s="1551"/>
      <c r="W1362" s="1551"/>
      <c r="X1362" s="1551"/>
      <c r="Y1362" s="1551"/>
      <c r="Z1362" s="1551"/>
      <c r="AA1362" s="1645"/>
      <c r="AB1362" s="1645"/>
      <c r="AC1362" s="1645"/>
      <c r="AD1362" s="1645"/>
      <c r="AE1362" s="1645"/>
      <c r="AF1362" s="1645"/>
      <c r="AG1362" s="1645"/>
      <c r="AH1362" s="1645"/>
      <c r="AI1362" s="1645"/>
      <c r="AJ1362" s="1645"/>
      <c r="AK1362" s="1645"/>
      <c r="AL1362" s="1645"/>
      <c r="AM1362" s="1645"/>
      <c r="AN1362" s="1645"/>
      <c r="AO1362" s="1645"/>
      <c r="AP1362" s="1645"/>
      <c r="AQ1362" s="1645"/>
      <c r="AR1362" s="1645"/>
      <c r="AS1362" s="1645"/>
      <c r="AT1362" s="1645"/>
      <c r="AU1362" s="1645"/>
      <c r="AV1362" s="1645"/>
      <c r="AW1362" s="1645"/>
      <c r="AX1362" s="1645"/>
      <c r="AY1362" s="1645"/>
      <c r="AZ1362" s="1645"/>
      <c r="BA1362" s="1645"/>
      <c r="BB1362" s="1645"/>
      <c r="BC1362" s="1645"/>
      <c r="BD1362" s="1645"/>
      <c r="BE1362" s="1645"/>
      <c r="BF1362" s="1645"/>
      <c r="BG1362" s="1645"/>
      <c r="BH1362" s="1645"/>
      <c r="BI1362" s="1645"/>
      <c r="BJ1362" s="1645"/>
      <c r="BK1362" s="1645"/>
      <c r="BL1362" s="1645"/>
      <c r="BM1362" s="1645"/>
      <c r="BN1362" s="1645"/>
      <c r="BO1362" s="1645"/>
      <c r="BP1362" s="1645"/>
      <c r="BQ1362" s="1645"/>
      <c r="BR1362" s="1645"/>
      <c r="BS1362" s="1645"/>
      <c r="BT1362" s="1645"/>
      <c r="BU1362" s="1645"/>
      <c r="BV1362" s="1645"/>
      <c r="BW1362" s="1645"/>
      <c r="BX1362" s="1645"/>
      <c r="BY1362" s="1645"/>
      <c r="BZ1362" s="1645"/>
      <c r="CA1362" s="1645"/>
      <c r="CB1362" s="1645"/>
      <c r="CC1362" s="1645"/>
      <c r="CD1362" s="1645"/>
      <c r="CE1362" s="1645"/>
      <c r="CF1362" s="1645"/>
      <c r="CG1362" s="1645"/>
      <c r="CH1362" s="1645"/>
      <c r="CI1362" s="1645"/>
      <c r="CJ1362" s="1645"/>
      <c r="CK1362" s="1645"/>
      <c r="CL1362" s="1645"/>
      <c r="CM1362" s="1645"/>
      <c r="CN1362" s="1645"/>
      <c r="CO1362" s="1645"/>
      <c r="CP1362" s="1136"/>
      <c r="CQ1362" s="1136"/>
      <c r="CR1362" s="1136"/>
      <c r="CS1362" s="1136"/>
      <c r="CT1362" s="1136"/>
      <c r="CU1362" s="1136"/>
      <c r="CV1362" s="1136"/>
      <c r="CW1362" s="1136"/>
      <c r="CX1362" s="1136"/>
      <c r="CY1362" s="1136"/>
      <c r="CZ1362" s="1136"/>
      <c r="DA1362" s="1136"/>
      <c r="DB1362" s="1136"/>
      <c r="DC1362" s="1136"/>
      <c r="DD1362" s="1136"/>
      <c r="DE1362" s="1136"/>
      <c r="DF1362" s="1136"/>
      <c r="DG1362" s="1136"/>
      <c r="DH1362" s="1136"/>
      <c r="DI1362" s="1136"/>
    </row>
    <row r="1363" spans="1:113" ht="15.75" x14ac:dyDescent="0.25">
      <c r="A1363" s="1651" t="s">
        <v>1855</v>
      </c>
      <c r="B1363" s="1641">
        <f>B1360/B1361+B1360/B1362</f>
        <v>0</v>
      </c>
      <c r="C1363" s="1407"/>
      <c r="D1363" s="1407"/>
      <c r="E1363" s="1407"/>
      <c r="F1363" s="1407"/>
      <c r="G1363" s="1407"/>
      <c r="H1363" s="1070"/>
      <c r="I1363" s="1136"/>
      <c r="J1363" s="1136"/>
      <c r="K1363" s="1136"/>
      <c r="L1363" s="1136"/>
      <c r="M1363" s="1136"/>
      <c r="N1363" s="1136"/>
      <c r="O1363" s="1136"/>
      <c r="P1363" s="1136"/>
      <c r="Q1363" s="1551"/>
      <c r="R1363" s="1551"/>
      <c r="S1363" s="1551"/>
      <c r="T1363" s="1551"/>
      <c r="U1363" s="1551"/>
      <c r="V1363" s="1551"/>
      <c r="W1363" s="1551"/>
      <c r="X1363" s="1551"/>
      <c r="Y1363" s="1551"/>
      <c r="Z1363" s="1551"/>
      <c r="AA1363" s="1645"/>
      <c r="AB1363" s="1645"/>
      <c r="AC1363" s="1645"/>
      <c r="AD1363" s="1645"/>
      <c r="AE1363" s="1645"/>
      <c r="AF1363" s="1645"/>
      <c r="AG1363" s="1645"/>
      <c r="AH1363" s="1645"/>
      <c r="AI1363" s="1645"/>
      <c r="AJ1363" s="1645"/>
      <c r="AK1363" s="1645"/>
      <c r="AL1363" s="1645"/>
      <c r="AM1363" s="1645"/>
      <c r="AN1363" s="1645"/>
      <c r="AO1363" s="1645"/>
      <c r="AP1363" s="1645"/>
      <c r="AQ1363" s="1645"/>
      <c r="AR1363" s="1645"/>
      <c r="AS1363" s="1645"/>
      <c r="AT1363" s="1645"/>
      <c r="AU1363" s="1645"/>
      <c r="AV1363" s="1645"/>
      <c r="AW1363" s="1645"/>
      <c r="AX1363" s="1645"/>
      <c r="AY1363" s="1645"/>
      <c r="AZ1363" s="1645"/>
      <c r="BA1363" s="1645"/>
      <c r="BB1363" s="1645"/>
      <c r="BC1363" s="1645"/>
      <c r="BD1363" s="1645"/>
      <c r="BE1363" s="1645"/>
      <c r="BF1363" s="1645"/>
      <c r="BG1363" s="1645"/>
      <c r="BH1363" s="1645"/>
      <c r="BI1363" s="1645"/>
      <c r="BJ1363" s="1645"/>
      <c r="BK1363" s="1645"/>
      <c r="BL1363" s="1645"/>
      <c r="BM1363" s="1645"/>
      <c r="BN1363" s="1645"/>
      <c r="BO1363" s="1645"/>
      <c r="BP1363" s="1645"/>
      <c r="BQ1363" s="1645"/>
      <c r="BR1363" s="1645"/>
      <c r="BS1363" s="1645"/>
      <c r="BT1363" s="1645"/>
      <c r="BU1363" s="1645"/>
      <c r="BV1363" s="1645"/>
      <c r="BW1363" s="1645"/>
      <c r="BX1363" s="1645"/>
      <c r="BY1363" s="1645"/>
      <c r="BZ1363" s="1645"/>
      <c r="CA1363" s="1645"/>
      <c r="CB1363" s="1645"/>
      <c r="CC1363" s="1645"/>
      <c r="CD1363" s="1645"/>
      <c r="CE1363" s="1645"/>
      <c r="CF1363" s="1645"/>
      <c r="CG1363" s="1645"/>
      <c r="CH1363" s="1645"/>
      <c r="CI1363" s="1645"/>
      <c r="CJ1363" s="1645"/>
      <c r="CK1363" s="1645"/>
      <c r="CL1363" s="1645"/>
      <c r="CM1363" s="1645"/>
      <c r="CN1363" s="1645"/>
      <c r="CO1363" s="1645"/>
      <c r="CP1363" s="1136"/>
      <c r="CQ1363" s="1136"/>
      <c r="CR1363" s="1136"/>
      <c r="CS1363" s="1136"/>
      <c r="CT1363" s="1136"/>
      <c r="CU1363" s="1136"/>
      <c r="CV1363" s="1136"/>
      <c r="CW1363" s="1136"/>
      <c r="CX1363" s="1136"/>
      <c r="CY1363" s="1136"/>
      <c r="CZ1363" s="1136"/>
      <c r="DA1363" s="1136"/>
      <c r="DB1363" s="1136"/>
      <c r="DC1363" s="1136"/>
      <c r="DD1363" s="1136"/>
      <c r="DE1363" s="1136"/>
      <c r="DF1363" s="1136"/>
      <c r="DG1363" s="1136"/>
      <c r="DH1363" s="1136"/>
      <c r="DI1363" s="1136"/>
    </row>
    <row r="1364" spans="1:113" ht="15.75" x14ac:dyDescent="0.25">
      <c r="A1364" s="1658" t="s">
        <v>4778</v>
      </c>
      <c r="B1364" s="1046"/>
      <c r="C1364" s="1070"/>
      <c r="D1364" s="1070"/>
      <c r="E1364" s="1070"/>
      <c r="F1364" s="1070"/>
      <c r="G1364" s="1070"/>
      <c r="H1364" s="1070"/>
      <c r="I1364" s="1136"/>
      <c r="J1364" s="1136"/>
      <c r="K1364" s="1136"/>
      <c r="L1364" s="1136"/>
      <c r="M1364" s="1136"/>
      <c r="N1364" s="1136"/>
      <c r="O1364" s="1136"/>
      <c r="P1364" s="1136"/>
      <c r="Q1364" s="1551"/>
      <c r="R1364" s="1551"/>
      <c r="S1364" s="1551"/>
      <c r="T1364" s="1551"/>
      <c r="U1364" s="1551"/>
      <c r="V1364" s="1551"/>
      <c r="W1364" s="1551"/>
      <c r="X1364" s="1551"/>
      <c r="Y1364" s="1551"/>
      <c r="Z1364" s="1551"/>
      <c r="AA1364" s="1645"/>
      <c r="AB1364" s="1645"/>
      <c r="AC1364" s="1645"/>
      <c r="AD1364" s="1645"/>
      <c r="AE1364" s="1645"/>
      <c r="AF1364" s="1645"/>
      <c r="AG1364" s="1645"/>
      <c r="AH1364" s="1645"/>
      <c r="AI1364" s="1645"/>
      <c r="AJ1364" s="1645"/>
      <c r="AK1364" s="1645"/>
      <c r="AL1364" s="1645"/>
      <c r="AM1364" s="1645"/>
      <c r="AN1364" s="1645"/>
      <c r="AO1364" s="1645"/>
      <c r="AP1364" s="1645"/>
      <c r="AQ1364" s="1645"/>
      <c r="AR1364" s="1645"/>
      <c r="AS1364" s="1645"/>
      <c r="AT1364" s="1645"/>
      <c r="AU1364" s="1645"/>
      <c r="AV1364" s="1645"/>
      <c r="AW1364" s="1645"/>
      <c r="AX1364" s="1645"/>
      <c r="AY1364" s="1645"/>
      <c r="AZ1364" s="1645"/>
      <c r="BA1364" s="1645"/>
      <c r="BB1364" s="1645"/>
      <c r="BC1364" s="1645"/>
      <c r="BD1364" s="1645"/>
      <c r="BE1364" s="1645"/>
      <c r="BF1364" s="1645"/>
      <c r="BG1364" s="1645"/>
      <c r="BH1364" s="1645"/>
      <c r="BI1364" s="1645"/>
      <c r="BJ1364" s="1645"/>
      <c r="BK1364" s="1645"/>
      <c r="BL1364" s="1645"/>
      <c r="BM1364" s="1645"/>
      <c r="BN1364" s="1645"/>
      <c r="BO1364" s="1645"/>
      <c r="BP1364" s="1645"/>
      <c r="BQ1364" s="1645"/>
      <c r="BR1364" s="1645"/>
      <c r="BS1364" s="1645"/>
      <c r="BT1364" s="1645"/>
      <c r="BU1364" s="1645"/>
      <c r="BV1364" s="1645"/>
      <c r="BW1364" s="1645"/>
      <c r="BX1364" s="1645"/>
      <c r="BY1364" s="1645"/>
      <c r="BZ1364" s="1645"/>
      <c r="CA1364" s="1645"/>
      <c r="CB1364" s="1645"/>
      <c r="CC1364" s="1645"/>
      <c r="CD1364" s="1645"/>
      <c r="CE1364" s="1645"/>
      <c r="CF1364" s="1645"/>
      <c r="CG1364" s="1645"/>
      <c r="CH1364" s="1645"/>
      <c r="CI1364" s="1645"/>
      <c r="CJ1364" s="1645"/>
      <c r="CK1364" s="1645"/>
      <c r="CL1364" s="1645"/>
      <c r="CM1364" s="1645"/>
      <c r="CN1364" s="1645"/>
      <c r="CO1364" s="1645"/>
      <c r="CP1364" s="1136"/>
      <c r="CQ1364" s="1136"/>
      <c r="CR1364" s="1136"/>
      <c r="CS1364" s="1136"/>
      <c r="CT1364" s="1136"/>
      <c r="CU1364" s="1136"/>
      <c r="CV1364" s="1136"/>
      <c r="CW1364" s="1136"/>
      <c r="CX1364" s="1136"/>
      <c r="CY1364" s="1136"/>
      <c r="CZ1364" s="1136"/>
      <c r="DA1364" s="1136"/>
      <c r="DB1364" s="1136"/>
      <c r="DC1364" s="1136"/>
      <c r="DD1364" s="1136"/>
      <c r="DE1364" s="1136"/>
      <c r="DF1364" s="1136"/>
      <c r="DG1364" s="1136"/>
      <c r="DH1364" s="1136"/>
      <c r="DI1364" s="1136"/>
    </row>
    <row r="1365" spans="1:113" ht="15.75" x14ac:dyDescent="0.25">
      <c r="A1365" s="1391" t="s">
        <v>4779</v>
      </c>
      <c r="B1365" s="1650">
        <v>2000</v>
      </c>
      <c r="C1365" s="1070"/>
      <c r="D1365" s="1070"/>
      <c r="E1365" s="1070"/>
      <c r="F1365" s="1070"/>
      <c r="G1365" s="1070"/>
      <c r="H1365" s="1070"/>
      <c r="I1365" s="1136"/>
      <c r="J1365" s="1136"/>
      <c r="K1365" s="1136"/>
      <c r="L1365" s="1136"/>
      <c r="M1365" s="1136"/>
      <c r="N1365" s="1136"/>
      <c r="O1365" s="1136"/>
      <c r="P1365" s="1136"/>
      <c r="Q1365" s="1551"/>
      <c r="R1365" s="1551"/>
      <c r="S1365" s="1551"/>
      <c r="T1365" s="1551"/>
      <c r="U1365" s="1551"/>
      <c r="V1365" s="1551"/>
      <c r="W1365" s="1551"/>
      <c r="X1365" s="1551"/>
      <c r="Y1365" s="1551"/>
      <c r="Z1365" s="1551"/>
      <c r="AA1365" s="1645"/>
      <c r="AB1365" s="1645"/>
      <c r="AC1365" s="1645"/>
      <c r="AD1365" s="1645"/>
      <c r="AE1365" s="1645"/>
      <c r="AF1365" s="1645"/>
      <c r="AG1365" s="1645"/>
      <c r="AH1365" s="1645"/>
      <c r="AI1365" s="1645"/>
      <c r="AJ1365" s="1645"/>
      <c r="AK1365" s="1645"/>
      <c r="AL1365" s="1645"/>
      <c r="AM1365" s="1645"/>
      <c r="AN1365" s="1645"/>
      <c r="AO1365" s="1645"/>
      <c r="AP1365" s="1645"/>
      <c r="AQ1365" s="1645"/>
      <c r="AR1365" s="1645"/>
      <c r="AS1365" s="1645"/>
      <c r="AT1365" s="1645"/>
      <c r="AU1365" s="1645"/>
      <c r="AV1365" s="1645"/>
      <c r="AW1365" s="1645"/>
      <c r="AX1365" s="1645"/>
      <c r="AY1365" s="1645"/>
      <c r="AZ1365" s="1645"/>
      <c r="BA1365" s="1645"/>
      <c r="BB1365" s="1645"/>
      <c r="BC1365" s="1645"/>
      <c r="BD1365" s="1645"/>
      <c r="BE1365" s="1645"/>
      <c r="BF1365" s="1645"/>
      <c r="BG1365" s="1645"/>
      <c r="BH1365" s="1645"/>
      <c r="BI1365" s="1645"/>
      <c r="BJ1365" s="1645"/>
      <c r="BK1365" s="1645"/>
      <c r="BL1365" s="1645"/>
      <c r="BM1365" s="1645"/>
      <c r="BN1365" s="1645"/>
      <c r="BO1365" s="1645"/>
      <c r="BP1365" s="1645"/>
      <c r="BQ1365" s="1645"/>
      <c r="BR1365" s="1645"/>
      <c r="BS1365" s="1645"/>
      <c r="BT1365" s="1645"/>
      <c r="BU1365" s="1645"/>
      <c r="BV1365" s="1645"/>
      <c r="BW1365" s="1645"/>
      <c r="BX1365" s="1645"/>
      <c r="BY1365" s="1645"/>
      <c r="BZ1365" s="1645"/>
      <c r="CA1365" s="1645"/>
      <c r="CB1365" s="1645"/>
      <c r="CC1365" s="1645"/>
      <c r="CD1365" s="1645"/>
      <c r="CE1365" s="1645"/>
      <c r="CF1365" s="1645"/>
      <c r="CG1365" s="1645"/>
      <c r="CH1365" s="1645"/>
      <c r="CI1365" s="1645"/>
      <c r="CJ1365" s="1645"/>
      <c r="CK1365" s="1645"/>
      <c r="CL1365" s="1645"/>
      <c r="CM1365" s="1645"/>
      <c r="CN1365" s="1645"/>
      <c r="CO1365" s="1645"/>
      <c r="CP1365" s="1136"/>
      <c r="CQ1365" s="1136"/>
      <c r="CR1365" s="1136"/>
      <c r="CS1365" s="1136"/>
      <c r="CT1365" s="1136"/>
      <c r="CU1365" s="1136"/>
      <c r="CV1365" s="1136"/>
      <c r="CW1365" s="1136"/>
      <c r="CX1365" s="1136"/>
      <c r="CY1365" s="1136"/>
      <c r="CZ1365" s="1136"/>
      <c r="DA1365" s="1136"/>
      <c r="DB1365" s="1136"/>
      <c r="DC1365" s="1136"/>
      <c r="DD1365" s="1136"/>
      <c r="DE1365" s="1136"/>
      <c r="DF1365" s="1136"/>
      <c r="DG1365" s="1136"/>
      <c r="DH1365" s="1136"/>
      <c r="DI1365" s="1136"/>
    </row>
    <row r="1366" spans="1:113" ht="15.75" x14ac:dyDescent="0.25">
      <c r="A1366" s="1649" t="s">
        <v>4780</v>
      </c>
      <c r="B1366" s="1046"/>
      <c r="C1366" s="1070"/>
      <c r="D1366" s="1070"/>
      <c r="E1366" s="1070"/>
      <c r="F1366" s="1070"/>
      <c r="G1366" s="1070"/>
      <c r="H1366" s="1070"/>
      <c r="I1366" s="1136"/>
      <c r="J1366" s="1136"/>
      <c r="K1366" s="1136"/>
      <c r="L1366" s="1136"/>
      <c r="M1366" s="1136"/>
      <c r="N1366" s="1136"/>
      <c r="O1366" s="1136"/>
      <c r="P1366" s="1136"/>
      <c r="Q1366" s="1551"/>
      <c r="R1366" s="1551"/>
      <c r="S1366" s="1551"/>
      <c r="T1366" s="1551"/>
      <c r="U1366" s="1551"/>
      <c r="V1366" s="1551"/>
      <c r="W1366" s="1551"/>
      <c r="X1366" s="1551"/>
      <c r="Y1366" s="1551"/>
      <c r="Z1366" s="1551"/>
      <c r="AA1366" s="1645"/>
      <c r="AB1366" s="1645"/>
      <c r="AC1366" s="1645"/>
      <c r="AD1366" s="1645"/>
      <c r="AE1366" s="1645"/>
      <c r="AF1366" s="1645"/>
      <c r="AG1366" s="1645"/>
      <c r="AH1366" s="1645"/>
      <c r="AI1366" s="1645"/>
      <c r="AJ1366" s="1645"/>
      <c r="AK1366" s="1645"/>
      <c r="AL1366" s="1645"/>
      <c r="AM1366" s="1645"/>
      <c r="AN1366" s="1645"/>
      <c r="AO1366" s="1645"/>
      <c r="AP1366" s="1645"/>
      <c r="AQ1366" s="1645"/>
      <c r="AR1366" s="1645"/>
      <c r="AS1366" s="1645"/>
      <c r="AT1366" s="1645"/>
      <c r="AU1366" s="1645"/>
      <c r="AV1366" s="1645"/>
      <c r="AW1366" s="1645"/>
      <c r="AX1366" s="1645"/>
      <c r="AY1366" s="1645"/>
      <c r="AZ1366" s="1645"/>
      <c r="BA1366" s="1645"/>
      <c r="BB1366" s="1645"/>
      <c r="BC1366" s="1645"/>
      <c r="BD1366" s="1645"/>
      <c r="BE1366" s="1645"/>
      <c r="BF1366" s="1645"/>
      <c r="BG1366" s="1645"/>
      <c r="BH1366" s="1645"/>
      <c r="BI1366" s="1645"/>
      <c r="BJ1366" s="1645"/>
      <c r="BK1366" s="1645"/>
      <c r="BL1366" s="1645"/>
      <c r="BM1366" s="1645"/>
      <c r="BN1366" s="1645"/>
      <c r="BO1366" s="1645"/>
      <c r="BP1366" s="1645"/>
      <c r="BQ1366" s="1645"/>
      <c r="BR1366" s="1645"/>
      <c r="BS1366" s="1645"/>
      <c r="BT1366" s="1645"/>
      <c r="BU1366" s="1645"/>
      <c r="BV1366" s="1645"/>
      <c r="BW1366" s="1645"/>
      <c r="BX1366" s="1645"/>
      <c r="BY1366" s="1645"/>
      <c r="BZ1366" s="1645"/>
      <c r="CA1366" s="1645"/>
      <c r="CB1366" s="1645"/>
      <c r="CC1366" s="1645"/>
      <c r="CD1366" s="1645"/>
      <c r="CE1366" s="1645"/>
      <c r="CF1366" s="1645"/>
      <c r="CG1366" s="1645"/>
      <c r="CH1366" s="1645"/>
      <c r="CI1366" s="1645"/>
      <c r="CJ1366" s="1645"/>
      <c r="CK1366" s="1645"/>
      <c r="CL1366" s="1645"/>
      <c r="CM1366" s="1645"/>
      <c r="CN1366" s="1645"/>
      <c r="CO1366" s="1645"/>
      <c r="CP1366" s="1136"/>
      <c r="CQ1366" s="1136"/>
      <c r="CR1366" s="1136"/>
      <c r="CS1366" s="1136"/>
      <c r="CT1366" s="1136"/>
      <c r="CU1366" s="1136"/>
      <c r="CV1366" s="1136"/>
      <c r="CW1366" s="1136"/>
      <c r="CX1366" s="1136"/>
      <c r="CY1366" s="1136"/>
      <c r="CZ1366" s="1136"/>
      <c r="DA1366" s="1136"/>
      <c r="DB1366" s="1136"/>
      <c r="DC1366" s="1136"/>
      <c r="DD1366" s="1136"/>
      <c r="DE1366" s="1136"/>
      <c r="DF1366" s="1136"/>
      <c r="DG1366" s="1136"/>
      <c r="DH1366" s="1136"/>
      <c r="DI1366" s="1136"/>
    </row>
    <row r="1367" spans="1:113" ht="15.75" x14ac:dyDescent="0.25">
      <c r="A1367" s="1483" t="s">
        <v>4781</v>
      </c>
      <c r="B1367" s="1641" t="e">
        <f>B1307+B1311+B1312+B1313</f>
        <v>#VALUE!</v>
      </c>
      <c r="C1367" s="1407"/>
      <c r="D1367" s="1407"/>
      <c r="E1367" s="1407"/>
      <c r="F1367" s="1407"/>
      <c r="G1367" s="1407"/>
      <c r="H1367" s="1070"/>
      <c r="I1367" s="1136"/>
      <c r="J1367" s="1136"/>
      <c r="K1367" s="1136"/>
      <c r="L1367" s="1136"/>
      <c r="M1367" s="1136"/>
      <c r="N1367" s="1136"/>
      <c r="O1367" s="1136"/>
      <c r="P1367" s="1136"/>
      <c r="Q1367" s="1551"/>
      <c r="R1367" s="1551"/>
      <c r="S1367" s="1551"/>
      <c r="T1367" s="1551"/>
      <c r="U1367" s="1551"/>
      <c r="V1367" s="1551"/>
      <c r="W1367" s="1551"/>
      <c r="X1367" s="1551"/>
      <c r="Y1367" s="1551"/>
      <c r="Z1367" s="1551"/>
      <c r="AA1367" s="1645"/>
      <c r="AB1367" s="1645"/>
      <c r="AC1367" s="1645"/>
      <c r="AD1367" s="1645"/>
      <c r="AE1367" s="1645"/>
      <c r="AF1367" s="1645"/>
      <c r="AG1367" s="1645"/>
      <c r="AH1367" s="1645"/>
      <c r="AI1367" s="1645"/>
      <c r="AJ1367" s="1645"/>
      <c r="AK1367" s="1645"/>
      <c r="AL1367" s="1645"/>
      <c r="AM1367" s="1645"/>
      <c r="AN1367" s="1645"/>
      <c r="AO1367" s="1645"/>
      <c r="AP1367" s="1645"/>
      <c r="AQ1367" s="1645"/>
      <c r="AR1367" s="1645"/>
      <c r="AS1367" s="1645"/>
      <c r="AT1367" s="1645"/>
      <c r="AU1367" s="1645"/>
      <c r="AV1367" s="1645"/>
      <c r="AW1367" s="1645"/>
      <c r="AX1367" s="1645"/>
      <c r="AY1367" s="1645"/>
      <c r="AZ1367" s="1645"/>
      <c r="BA1367" s="1645"/>
      <c r="BB1367" s="1645"/>
      <c r="BC1367" s="1645"/>
      <c r="BD1367" s="1645"/>
      <c r="BE1367" s="1645"/>
      <c r="BF1367" s="1645"/>
      <c r="BG1367" s="1645"/>
      <c r="BH1367" s="1645"/>
      <c r="BI1367" s="1645"/>
      <c r="BJ1367" s="1645"/>
      <c r="BK1367" s="1645"/>
      <c r="BL1367" s="1645"/>
      <c r="BM1367" s="1645"/>
      <c r="BN1367" s="1645"/>
      <c r="BO1367" s="1645"/>
      <c r="BP1367" s="1645"/>
      <c r="BQ1367" s="1645"/>
      <c r="BR1367" s="1645"/>
      <c r="BS1367" s="1645"/>
      <c r="BT1367" s="1645"/>
      <c r="BU1367" s="1645"/>
      <c r="BV1367" s="1645"/>
      <c r="BW1367" s="1645"/>
      <c r="BX1367" s="1645"/>
      <c r="BY1367" s="1645"/>
      <c r="BZ1367" s="1645"/>
      <c r="CA1367" s="1645"/>
      <c r="CB1367" s="1645"/>
      <c r="CC1367" s="1645"/>
      <c r="CD1367" s="1645"/>
      <c r="CE1367" s="1645"/>
      <c r="CF1367" s="1645"/>
      <c r="CG1367" s="1645"/>
      <c r="CH1367" s="1645"/>
      <c r="CI1367" s="1645"/>
      <c r="CJ1367" s="1645"/>
      <c r="CK1367" s="1645"/>
      <c r="CL1367" s="1645"/>
      <c r="CM1367" s="1645"/>
      <c r="CN1367" s="1645"/>
      <c r="CO1367" s="1645"/>
      <c r="CP1367" s="1136"/>
      <c r="CQ1367" s="1136"/>
      <c r="CR1367" s="1136"/>
      <c r="CS1367" s="1136"/>
      <c r="CT1367" s="1136"/>
      <c r="CU1367" s="1136"/>
      <c r="CV1367" s="1136"/>
      <c r="CW1367" s="1136"/>
      <c r="CX1367" s="1136"/>
      <c r="CY1367" s="1136"/>
      <c r="CZ1367" s="1136"/>
      <c r="DA1367" s="1136"/>
      <c r="DB1367" s="1136"/>
      <c r="DC1367" s="1136"/>
      <c r="DD1367" s="1136"/>
      <c r="DE1367" s="1136"/>
      <c r="DF1367" s="1136"/>
      <c r="DG1367" s="1136"/>
      <c r="DH1367" s="1136"/>
      <c r="DI1367" s="1136"/>
    </row>
    <row r="1368" spans="1:113" ht="15.75" x14ac:dyDescent="0.25">
      <c r="A1368" s="1483" t="s">
        <v>5147</v>
      </c>
      <c r="B1368" s="1641">
        <f>16111*B1365^-0.653</f>
        <v>112.60298683393111</v>
      </c>
      <c r="C1368" s="1407"/>
      <c r="D1368" s="1407"/>
      <c r="E1368" s="1407"/>
      <c r="F1368" s="1407"/>
      <c r="G1368" s="1407"/>
      <c r="H1368" s="1070"/>
      <c r="I1368" s="1136"/>
      <c r="J1368" s="1136"/>
      <c r="K1368" s="1136"/>
      <c r="L1368" s="1136"/>
      <c r="M1368" s="1136"/>
      <c r="N1368" s="1136"/>
      <c r="O1368" s="1136"/>
      <c r="P1368" s="1136"/>
      <c r="Q1368" s="1551"/>
      <c r="R1368" s="1551"/>
      <c r="S1368" s="1551"/>
      <c r="T1368" s="1551"/>
      <c r="U1368" s="1551"/>
      <c r="V1368" s="1551"/>
      <c r="W1368" s="1551"/>
      <c r="X1368" s="1551"/>
      <c r="Y1368" s="1551"/>
      <c r="Z1368" s="1551"/>
      <c r="AA1368" s="1645"/>
      <c r="AB1368" s="1645"/>
      <c r="AC1368" s="1645"/>
      <c r="AD1368" s="1645"/>
      <c r="AE1368" s="1645"/>
      <c r="AF1368" s="1645"/>
      <c r="AG1368" s="1645"/>
      <c r="AH1368" s="1645"/>
      <c r="AI1368" s="1645"/>
      <c r="AJ1368" s="1645"/>
      <c r="AK1368" s="1645"/>
      <c r="AL1368" s="1645"/>
      <c r="AM1368" s="1645"/>
      <c r="AN1368" s="1645"/>
      <c r="AO1368" s="1645"/>
      <c r="AP1368" s="1645"/>
      <c r="AQ1368" s="1645"/>
      <c r="AR1368" s="1645"/>
      <c r="AS1368" s="1645"/>
      <c r="AT1368" s="1645"/>
      <c r="AU1368" s="1645"/>
      <c r="AV1368" s="1645"/>
      <c r="AW1368" s="1645"/>
      <c r="AX1368" s="1645"/>
      <c r="AY1368" s="1645"/>
      <c r="AZ1368" s="1645"/>
      <c r="BA1368" s="1645"/>
      <c r="BB1368" s="1645"/>
      <c r="BC1368" s="1645"/>
      <c r="BD1368" s="1645"/>
      <c r="BE1368" s="1645"/>
      <c r="BF1368" s="1645"/>
      <c r="BG1368" s="1645"/>
      <c r="BH1368" s="1645"/>
      <c r="BI1368" s="1645"/>
      <c r="BJ1368" s="1645"/>
      <c r="BK1368" s="1645"/>
      <c r="BL1368" s="1645"/>
      <c r="BM1368" s="1645"/>
      <c r="BN1368" s="1645"/>
      <c r="BO1368" s="1645"/>
      <c r="BP1368" s="1645"/>
      <c r="BQ1368" s="1645"/>
      <c r="BR1368" s="1645"/>
      <c r="BS1368" s="1645"/>
      <c r="BT1368" s="1645"/>
      <c r="BU1368" s="1645"/>
      <c r="BV1368" s="1645"/>
      <c r="BW1368" s="1645"/>
      <c r="BX1368" s="1645"/>
      <c r="BY1368" s="1645"/>
      <c r="BZ1368" s="1645"/>
      <c r="CA1368" s="1645"/>
      <c r="CB1368" s="1645"/>
      <c r="CC1368" s="1645"/>
      <c r="CD1368" s="1645"/>
      <c r="CE1368" s="1645"/>
      <c r="CF1368" s="1645"/>
      <c r="CG1368" s="1645"/>
      <c r="CH1368" s="1645"/>
      <c r="CI1368" s="1645"/>
      <c r="CJ1368" s="1645"/>
      <c r="CK1368" s="1645"/>
      <c r="CL1368" s="1645"/>
      <c r="CM1368" s="1645"/>
      <c r="CN1368" s="1645"/>
      <c r="CO1368" s="1645"/>
      <c r="CP1368" s="1136"/>
      <c r="CQ1368" s="1136"/>
      <c r="CR1368" s="1136"/>
      <c r="CS1368" s="1136"/>
      <c r="CT1368" s="1136"/>
      <c r="CU1368" s="1136"/>
      <c r="CV1368" s="1136"/>
      <c r="CW1368" s="1136"/>
      <c r="CX1368" s="1136"/>
      <c r="CY1368" s="1136"/>
      <c r="CZ1368" s="1136"/>
      <c r="DA1368" s="1136"/>
      <c r="DB1368" s="1136"/>
      <c r="DC1368" s="1136"/>
      <c r="DD1368" s="1136"/>
      <c r="DE1368" s="1136"/>
      <c r="DF1368" s="1136"/>
      <c r="DG1368" s="1136"/>
      <c r="DH1368" s="1136"/>
      <c r="DI1368" s="1136"/>
    </row>
    <row r="1369" spans="1:113" ht="15.75" x14ac:dyDescent="0.25">
      <c r="A1369" s="1483" t="s">
        <v>3088</v>
      </c>
      <c r="B1369" s="1641" t="e">
        <f>B1367/B1368</f>
        <v>#VALUE!</v>
      </c>
      <c r="C1369" s="1407"/>
      <c r="D1369" s="1407"/>
      <c r="E1369" s="1407"/>
      <c r="F1369" s="1407"/>
      <c r="G1369" s="1407"/>
      <c r="H1369" s="1070"/>
      <c r="I1369" s="1136"/>
      <c r="J1369" s="1136"/>
      <c r="K1369" s="1136"/>
      <c r="L1369" s="1136"/>
      <c r="M1369" s="1136"/>
      <c r="N1369" s="1136"/>
      <c r="O1369" s="1136"/>
      <c r="P1369" s="1136"/>
      <c r="Q1369" s="1551"/>
      <c r="R1369" s="1551"/>
      <c r="S1369" s="1551"/>
      <c r="T1369" s="1551"/>
      <c r="U1369" s="1551"/>
      <c r="V1369" s="1551"/>
      <c r="W1369" s="1551"/>
      <c r="X1369" s="1551"/>
      <c r="Y1369" s="1551"/>
      <c r="Z1369" s="1551"/>
      <c r="AA1369" s="1645"/>
      <c r="AB1369" s="1645"/>
      <c r="AC1369" s="1645"/>
      <c r="AD1369" s="1645"/>
      <c r="AE1369" s="1645"/>
      <c r="AF1369" s="1645"/>
      <c r="AG1369" s="1645"/>
      <c r="AH1369" s="1645"/>
      <c r="AI1369" s="1645"/>
      <c r="AJ1369" s="1645"/>
      <c r="AK1369" s="1645"/>
      <c r="AL1369" s="1645"/>
      <c r="AM1369" s="1645"/>
      <c r="AN1369" s="1645"/>
      <c r="AO1369" s="1645"/>
      <c r="AP1369" s="1645"/>
      <c r="AQ1369" s="1645"/>
      <c r="AR1369" s="1645"/>
      <c r="AS1369" s="1645"/>
      <c r="AT1369" s="1645"/>
      <c r="AU1369" s="1645"/>
      <c r="AV1369" s="1645"/>
      <c r="AW1369" s="1645"/>
      <c r="AX1369" s="1645"/>
      <c r="AY1369" s="1645"/>
      <c r="AZ1369" s="1645"/>
      <c r="BA1369" s="1645"/>
      <c r="BB1369" s="1645"/>
      <c r="BC1369" s="1645"/>
      <c r="BD1369" s="1645"/>
      <c r="BE1369" s="1645"/>
      <c r="BF1369" s="1645"/>
      <c r="BG1369" s="1645"/>
      <c r="BH1369" s="1645"/>
      <c r="BI1369" s="1645"/>
      <c r="BJ1369" s="1645"/>
      <c r="BK1369" s="1645"/>
      <c r="BL1369" s="1645"/>
      <c r="BM1369" s="1645"/>
      <c r="BN1369" s="1645"/>
      <c r="BO1369" s="1645"/>
      <c r="BP1369" s="1645"/>
      <c r="BQ1369" s="1645"/>
      <c r="BR1369" s="1645"/>
      <c r="BS1369" s="1645"/>
      <c r="BT1369" s="1645"/>
      <c r="BU1369" s="1645"/>
      <c r="BV1369" s="1645"/>
      <c r="BW1369" s="1645"/>
      <c r="BX1369" s="1645"/>
      <c r="BY1369" s="1645"/>
      <c r="BZ1369" s="1645"/>
      <c r="CA1369" s="1645"/>
      <c r="CB1369" s="1645"/>
      <c r="CC1369" s="1645"/>
      <c r="CD1369" s="1645"/>
      <c r="CE1369" s="1645"/>
      <c r="CF1369" s="1645"/>
      <c r="CG1369" s="1645"/>
      <c r="CH1369" s="1645"/>
      <c r="CI1369" s="1645"/>
      <c r="CJ1369" s="1645"/>
      <c r="CK1369" s="1645"/>
      <c r="CL1369" s="1645"/>
      <c r="CM1369" s="1645"/>
      <c r="CN1369" s="1645"/>
      <c r="CO1369" s="1645"/>
      <c r="CP1369" s="1136"/>
      <c r="CQ1369" s="1136"/>
      <c r="CR1369" s="1136"/>
      <c r="CS1369" s="1136"/>
      <c r="CT1369" s="1136"/>
      <c r="CU1369" s="1136"/>
      <c r="CV1369" s="1136"/>
      <c r="CW1369" s="1136"/>
      <c r="CX1369" s="1136"/>
      <c r="CY1369" s="1136"/>
      <c r="CZ1369" s="1136"/>
      <c r="DA1369" s="1136"/>
      <c r="DB1369" s="1136"/>
      <c r="DC1369" s="1136"/>
      <c r="DD1369" s="1136"/>
      <c r="DE1369" s="1136"/>
      <c r="DF1369" s="1136"/>
      <c r="DG1369" s="1136"/>
      <c r="DH1369" s="1136"/>
      <c r="DI1369" s="1136"/>
    </row>
    <row r="1370" spans="1:113" ht="15.75" x14ac:dyDescent="0.25">
      <c r="A1370" s="1649" t="s">
        <v>3089</v>
      </c>
      <c r="B1370" s="1046"/>
      <c r="C1370" s="1070"/>
      <c r="D1370" s="1070"/>
      <c r="E1370" s="1070"/>
      <c r="F1370" s="1070"/>
      <c r="G1370" s="1070"/>
      <c r="H1370" s="1070"/>
      <c r="I1370" s="1136"/>
      <c r="J1370" s="1136"/>
      <c r="K1370" s="1136"/>
      <c r="L1370" s="1136"/>
      <c r="M1370" s="1136"/>
      <c r="N1370" s="1136"/>
      <c r="O1370" s="1136"/>
      <c r="P1370" s="1136"/>
      <c r="Q1370" s="1551"/>
      <c r="R1370" s="1551"/>
      <c r="S1370" s="1551"/>
      <c r="T1370" s="1551"/>
      <c r="U1370" s="1551"/>
      <c r="V1370" s="1551"/>
      <c r="W1370" s="1551"/>
      <c r="X1370" s="1551"/>
      <c r="Y1370" s="1551"/>
      <c r="Z1370" s="1551"/>
      <c r="AA1370" s="1645"/>
      <c r="AB1370" s="1645"/>
      <c r="AC1370" s="1645"/>
      <c r="AD1370" s="1645"/>
      <c r="AE1370" s="1645"/>
      <c r="AF1370" s="1645"/>
      <c r="AG1370" s="1645"/>
      <c r="AH1370" s="1645"/>
      <c r="AI1370" s="1645"/>
      <c r="AJ1370" s="1645"/>
      <c r="AK1370" s="1645"/>
      <c r="AL1370" s="1645"/>
      <c r="AM1370" s="1645"/>
      <c r="AN1370" s="1645"/>
      <c r="AO1370" s="1645"/>
      <c r="AP1370" s="1645"/>
      <c r="AQ1370" s="1645"/>
      <c r="AR1370" s="1645"/>
      <c r="AS1370" s="1645"/>
      <c r="AT1370" s="1645"/>
      <c r="AU1370" s="1645"/>
      <c r="AV1370" s="1645"/>
      <c r="AW1370" s="1645"/>
      <c r="AX1370" s="1645"/>
      <c r="AY1370" s="1645"/>
      <c r="AZ1370" s="1645"/>
      <c r="BA1370" s="1645"/>
      <c r="BB1370" s="1645"/>
      <c r="BC1370" s="1645"/>
      <c r="BD1370" s="1645"/>
      <c r="BE1370" s="1645"/>
      <c r="BF1370" s="1645"/>
      <c r="BG1370" s="1645"/>
      <c r="BH1370" s="1645"/>
      <c r="BI1370" s="1645"/>
      <c r="BJ1370" s="1645"/>
      <c r="BK1370" s="1645"/>
      <c r="BL1370" s="1645"/>
      <c r="BM1370" s="1645"/>
      <c r="BN1370" s="1645"/>
      <c r="BO1370" s="1645"/>
      <c r="BP1370" s="1645"/>
      <c r="BQ1370" s="1645"/>
      <c r="BR1370" s="1645"/>
      <c r="BS1370" s="1645"/>
      <c r="BT1370" s="1645"/>
      <c r="BU1370" s="1645"/>
      <c r="BV1370" s="1645"/>
      <c r="BW1370" s="1645"/>
      <c r="BX1370" s="1645"/>
      <c r="BY1370" s="1645"/>
      <c r="BZ1370" s="1645"/>
      <c r="CA1370" s="1645"/>
      <c r="CB1370" s="1645"/>
      <c r="CC1370" s="1645"/>
      <c r="CD1370" s="1645"/>
      <c r="CE1370" s="1645"/>
      <c r="CF1370" s="1645"/>
      <c r="CG1370" s="1645"/>
      <c r="CH1370" s="1645"/>
      <c r="CI1370" s="1645"/>
      <c r="CJ1370" s="1645"/>
      <c r="CK1370" s="1645"/>
      <c r="CL1370" s="1645"/>
      <c r="CM1370" s="1645"/>
      <c r="CN1370" s="1645"/>
      <c r="CO1370" s="1645"/>
      <c r="CP1370" s="1136"/>
      <c r="CQ1370" s="1136"/>
      <c r="CR1370" s="1136"/>
      <c r="CS1370" s="1136"/>
      <c r="CT1370" s="1136"/>
      <c r="CU1370" s="1136"/>
      <c r="CV1370" s="1136"/>
      <c r="CW1370" s="1136"/>
      <c r="CX1370" s="1136"/>
      <c r="CY1370" s="1136"/>
      <c r="CZ1370" s="1136"/>
      <c r="DA1370" s="1136"/>
      <c r="DB1370" s="1136"/>
      <c r="DC1370" s="1136"/>
      <c r="DD1370" s="1136"/>
      <c r="DE1370" s="1136"/>
      <c r="DF1370" s="1136"/>
      <c r="DG1370" s="1136"/>
      <c r="DH1370" s="1136"/>
      <c r="DI1370" s="1136"/>
    </row>
    <row r="1371" spans="1:113" ht="15.75" x14ac:dyDescent="0.25">
      <c r="A1371" s="1483" t="s">
        <v>3090</v>
      </c>
      <c r="B1371" s="1641" t="e">
        <f>B1318*2+B1351</f>
        <v>#VALUE!</v>
      </c>
      <c r="C1371" s="1407"/>
      <c r="D1371" s="1407"/>
      <c r="E1371" s="1407"/>
      <c r="F1371" s="1407"/>
      <c r="G1371" s="1407"/>
      <c r="H1371" s="1070"/>
      <c r="I1371" s="1136"/>
      <c r="J1371" s="1136"/>
      <c r="K1371" s="1136"/>
      <c r="L1371" s="1136"/>
      <c r="M1371" s="1136"/>
      <c r="N1371" s="1136"/>
      <c r="O1371" s="1136"/>
      <c r="P1371" s="1136"/>
      <c r="Q1371" s="1551"/>
      <c r="R1371" s="1551"/>
      <c r="S1371" s="1551"/>
      <c r="T1371" s="1551"/>
      <c r="U1371" s="1551"/>
      <c r="V1371" s="1551"/>
      <c r="W1371" s="1551"/>
      <c r="X1371" s="1551"/>
      <c r="Y1371" s="1551"/>
      <c r="Z1371" s="1551"/>
      <c r="AA1371" s="1645"/>
      <c r="AB1371" s="1645"/>
      <c r="AC1371" s="1645"/>
      <c r="AD1371" s="1645"/>
      <c r="AE1371" s="1645"/>
      <c r="AF1371" s="1645"/>
      <c r="AG1371" s="1645"/>
      <c r="AH1371" s="1645"/>
      <c r="AI1371" s="1645"/>
      <c r="AJ1371" s="1645"/>
      <c r="AK1371" s="1645"/>
      <c r="AL1371" s="1645"/>
      <c r="AM1371" s="1645"/>
      <c r="AN1371" s="1645"/>
      <c r="AO1371" s="1645"/>
      <c r="AP1371" s="1645"/>
      <c r="AQ1371" s="1645"/>
      <c r="AR1371" s="1645"/>
      <c r="AS1371" s="1645"/>
      <c r="AT1371" s="1645"/>
      <c r="AU1371" s="1645"/>
      <c r="AV1371" s="1645"/>
      <c r="AW1371" s="1645"/>
      <c r="AX1371" s="1645"/>
      <c r="AY1371" s="1645"/>
      <c r="AZ1371" s="1645"/>
      <c r="BA1371" s="1645"/>
      <c r="BB1371" s="1645"/>
      <c r="BC1371" s="1645"/>
      <c r="BD1371" s="1645"/>
      <c r="BE1371" s="1645"/>
      <c r="BF1371" s="1645"/>
      <c r="BG1371" s="1645"/>
      <c r="BH1371" s="1645"/>
      <c r="BI1371" s="1645"/>
      <c r="BJ1371" s="1645"/>
      <c r="BK1371" s="1645"/>
      <c r="BL1371" s="1645"/>
      <c r="BM1371" s="1645"/>
      <c r="BN1371" s="1645"/>
      <c r="BO1371" s="1645"/>
      <c r="BP1371" s="1645"/>
      <c r="BQ1371" s="1645"/>
      <c r="BR1371" s="1645"/>
      <c r="BS1371" s="1645"/>
      <c r="BT1371" s="1645"/>
      <c r="BU1371" s="1645"/>
      <c r="BV1371" s="1645"/>
      <c r="BW1371" s="1645"/>
      <c r="BX1371" s="1645"/>
      <c r="BY1371" s="1645"/>
      <c r="BZ1371" s="1645"/>
      <c r="CA1371" s="1645"/>
      <c r="CB1371" s="1645"/>
      <c r="CC1371" s="1645"/>
      <c r="CD1371" s="1645"/>
      <c r="CE1371" s="1645"/>
      <c r="CF1371" s="1645"/>
      <c r="CG1371" s="1645"/>
      <c r="CH1371" s="1645"/>
      <c r="CI1371" s="1645"/>
      <c r="CJ1371" s="1645"/>
      <c r="CK1371" s="1645"/>
      <c r="CL1371" s="1645"/>
      <c r="CM1371" s="1645"/>
      <c r="CN1371" s="1645"/>
      <c r="CO1371" s="1645"/>
      <c r="CP1371" s="1136"/>
      <c r="CQ1371" s="1136"/>
      <c r="CR1371" s="1136"/>
      <c r="CS1371" s="1136"/>
      <c r="CT1371" s="1136"/>
      <c r="CU1371" s="1136"/>
      <c r="CV1371" s="1136"/>
      <c r="CW1371" s="1136"/>
      <c r="CX1371" s="1136"/>
      <c r="CY1371" s="1136"/>
      <c r="CZ1371" s="1136"/>
      <c r="DA1371" s="1136"/>
      <c r="DB1371" s="1136"/>
      <c r="DC1371" s="1136"/>
      <c r="DD1371" s="1136"/>
      <c r="DE1371" s="1136"/>
      <c r="DF1371" s="1136"/>
      <c r="DG1371" s="1136"/>
      <c r="DH1371" s="1136"/>
      <c r="DI1371" s="1136"/>
    </row>
    <row r="1372" spans="1:113" ht="15.75" x14ac:dyDescent="0.25">
      <c r="A1372" s="1483" t="s">
        <v>3091</v>
      </c>
      <c r="B1372" s="1641">
        <f>25667*B1365^-0.666</f>
        <v>162.51338393276461</v>
      </c>
      <c r="C1372" s="1407"/>
      <c r="D1372" s="1407"/>
      <c r="E1372" s="1407"/>
      <c r="F1372" s="1407"/>
      <c r="G1372" s="1407"/>
      <c r="H1372" s="1070"/>
      <c r="I1372" s="1136"/>
      <c r="J1372" s="1136"/>
      <c r="K1372" s="1136"/>
      <c r="L1372" s="1136"/>
      <c r="M1372" s="1136"/>
      <c r="N1372" s="1136"/>
      <c r="O1372" s="1136"/>
      <c r="P1372" s="1136"/>
      <c r="Q1372" s="1551"/>
      <c r="R1372" s="1551"/>
      <c r="S1372" s="1551"/>
      <c r="T1372" s="1551"/>
      <c r="U1372" s="1551"/>
      <c r="V1372" s="1551"/>
      <c r="W1372" s="1551"/>
      <c r="X1372" s="1551"/>
      <c r="Y1372" s="1551"/>
      <c r="Z1372" s="1551"/>
      <c r="AA1372" s="1645"/>
      <c r="AB1372" s="1645"/>
      <c r="AC1372" s="1645"/>
      <c r="AD1372" s="1645"/>
      <c r="AE1372" s="1645"/>
      <c r="AF1372" s="1645"/>
      <c r="AG1372" s="1645"/>
      <c r="AH1372" s="1645"/>
      <c r="AI1372" s="1645"/>
      <c r="AJ1372" s="1645"/>
      <c r="AK1372" s="1645"/>
      <c r="AL1372" s="1645"/>
      <c r="AM1372" s="1645"/>
      <c r="AN1372" s="1645"/>
      <c r="AO1372" s="1645"/>
      <c r="AP1372" s="1645"/>
      <c r="AQ1372" s="1645"/>
      <c r="AR1372" s="1645"/>
      <c r="AS1372" s="1645"/>
      <c r="AT1372" s="1645"/>
      <c r="AU1372" s="1645"/>
      <c r="AV1372" s="1645"/>
      <c r="AW1372" s="1645"/>
      <c r="AX1372" s="1645"/>
      <c r="AY1372" s="1645"/>
      <c r="AZ1372" s="1645"/>
      <c r="BA1372" s="1645"/>
      <c r="BB1372" s="1645"/>
      <c r="BC1372" s="1645"/>
      <c r="BD1372" s="1645"/>
      <c r="BE1372" s="1645"/>
      <c r="BF1372" s="1645"/>
      <c r="BG1372" s="1645"/>
      <c r="BH1372" s="1645"/>
      <c r="BI1372" s="1645"/>
      <c r="BJ1372" s="1645"/>
      <c r="BK1372" s="1645"/>
      <c r="BL1372" s="1645"/>
      <c r="BM1372" s="1645"/>
      <c r="BN1372" s="1645"/>
      <c r="BO1372" s="1645"/>
      <c r="BP1372" s="1645"/>
      <c r="BQ1372" s="1645"/>
      <c r="BR1372" s="1645"/>
      <c r="BS1372" s="1645"/>
      <c r="BT1372" s="1645"/>
      <c r="BU1372" s="1645"/>
      <c r="BV1372" s="1645"/>
      <c r="BW1372" s="1645"/>
      <c r="BX1372" s="1645"/>
      <c r="BY1372" s="1645"/>
      <c r="BZ1372" s="1645"/>
      <c r="CA1372" s="1645"/>
      <c r="CB1372" s="1645"/>
      <c r="CC1372" s="1645"/>
      <c r="CD1372" s="1645"/>
      <c r="CE1372" s="1645"/>
      <c r="CF1372" s="1645"/>
      <c r="CG1372" s="1645"/>
      <c r="CH1372" s="1645"/>
      <c r="CI1372" s="1645"/>
      <c r="CJ1372" s="1645"/>
      <c r="CK1372" s="1645"/>
      <c r="CL1372" s="1645"/>
      <c r="CM1372" s="1645"/>
      <c r="CN1372" s="1645"/>
      <c r="CO1372" s="1645"/>
      <c r="CP1372" s="1136"/>
      <c r="CQ1372" s="1136"/>
      <c r="CR1372" s="1136"/>
      <c r="CS1372" s="1136"/>
      <c r="CT1372" s="1136"/>
      <c r="CU1372" s="1136"/>
      <c r="CV1372" s="1136"/>
      <c r="CW1372" s="1136"/>
      <c r="CX1372" s="1136"/>
      <c r="CY1372" s="1136"/>
      <c r="CZ1372" s="1136"/>
      <c r="DA1372" s="1136"/>
      <c r="DB1372" s="1136"/>
      <c r="DC1372" s="1136"/>
      <c r="DD1372" s="1136"/>
      <c r="DE1372" s="1136"/>
      <c r="DF1372" s="1136"/>
      <c r="DG1372" s="1136"/>
      <c r="DH1372" s="1136"/>
      <c r="DI1372" s="1136"/>
    </row>
    <row r="1373" spans="1:113" ht="15.75" x14ac:dyDescent="0.25">
      <c r="A1373" s="1483" t="s">
        <v>3088</v>
      </c>
      <c r="B1373" s="1641" t="e">
        <f>B1371/B1372</f>
        <v>#VALUE!</v>
      </c>
      <c r="C1373" s="1407"/>
      <c r="D1373" s="1407"/>
      <c r="E1373" s="1407"/>
      <c r="F1373" s="1407"/>
      <c r="G1373" s="1407"/>
      <c r="H1373" s="1070"/>
      <c r="I1373" s="1136"/>
      <c r="J1373" s="1136"/>
      <c r="K1373" s="1136"/>
      <c r="L1373" s="1136"/>
      <c r="M1373" s="1136"/>
      <c r="N1373" s="1136"/>
      <c r="O1373" s="1136"/>
      <c r="P1373" s="1136"/>
      <c r="Q1373" s="1551"/>
      <c r="R1373" s="1551"/>
      <c r="S1373" s="1551"/>
      <c r="T1373" s="1551"/>
      <c r="U1373" s="1551"/>
      <c r="V1373" s="1551"/>
      <c r="W1373" s="1551"/>
      <c r="X1373" s="1551"/>
      <c r="Y1373" s="1551"/>
      <c r="Z1373" s="1551"/>
      <c r="AA1373" s="1645"/>
      <c r="AB1373" s="1645"/>
      <c r="AC1373" s="1645"/>
      <c r="AD1373" s="1645"/>
      <c r="AE1373" s="1645"/>
      <c r="AF1373" s="1645"/>
      <c r="AG1373" s="1645"/>
      <c r="AH1373" s="1645"/>
      <c r="AI1373" s="1645"/>
      <c r="AJ1373" s="1645"/>
      <c r="AK1373" s="1645"/>
      <c r="AL1373" s="1645"/>
      <c r="AM1373" s="1645"/>
      <c r="AN1373" s="1645"/>
      <c r="AO1373" s="1645"/>
      <c r="AP1373" s="1645"/>
      <c r="AQ1373" s="1645"/>
      <c r="AR1373" s="1645"/>
      <c r="AS1373" s="1645"/>
      <c r="AT1373" s="1645"/>
      <c r="AU1373" s="1645"/>
      <c r="AV1373" s="1645"/>
      <c r="AW1373" s="1645"/>
      <c r="AX1373" s="1645"/>
      <c r="AY1373" s="1645"/>
      <c r="AZ1373" s="1645"/>
      <c r="BA1373" s="1645"/>
      <c r="BB1373" s="1645"/>
      <c r="BC1373" s="1645"/>
      <c r="BD1373" s="1645"/>
      <c r="BE1373" s="1645"/>
      <c r="BF1373" s="1645"/>
      <c r="BG1373" s="1645"/>
      <c r="BH1373" s="1645"/>
      <c r="BI1373" s="1645"/>
      <c r="BJ1373" s="1645"/>
      <c r="BK1373" s="1645"/>
      <c r="BL1373" s="1645"/>
      <c r="BM1373" s="1645"/>
      <c r="BN1373" s="1645"/>
      <c r="BO1373" s="1645"/>
      <c r="BP1373" s="1645"/>
      <c r="BQ1373" s="1645"/>
      <c r="BR1373" s="1645"/>
      <c r="BS1373" s="1645"/>
      <c r="BT1373" s="1645"/>
      <c r="BU1373" s="1645"/>
      <c r="BV1373" s="1645"/>
      <c r="BW1373" s="1645"/>
      <c r="BX1373" s="1645"/>
      <c r="BY1373" s="1645"/>
      <c r="BZ1373" s="1645"/>
      <c r="CA1373" s="1645"/>
      <c r="CB1373" s="1645"/>
      <c r="CC1373" s="1645"/>
      <c r="CD1373" s="1645"/>
      <c r="CE1373" s="1645"/>
      <c r="CF1373" s="1645"/>
      <c r="CG1373" s="1645"/>
      <c r="CH1373" s="1645"/>
      <c r="CI1373" s="1645"/>
      <c r="CJ1373" s="1645"/>
      <c r="CK1373" s="1645"/>
      <c r="CL1373" s="1645"/>
      <c r="CM1373" s="1645"/>
      <c r="CN1373" s="1645"/>
      <c r="CO1373" s="1645"/>
      <c r="CP1373" s="1136"/>
      <c r="CQ1373" s="1136"/>
      <c r="CR1373" s="1136"/>
      <c r="CS1373" s="1136"/>
      <c r="CT1373" s="1136"/>
      <c r="CU1373" s="1136"/>
      <c r="CV1373" s="1136"/>
      <c r="CW1373" s="1136"/>
      <c r="CX1373" s="1136"/>
      <c r="CY1373" s="1136"/>
      <c r="CZ1373" s="1136"/>
      <c r="DA1373" s="1136"/>
      <c r="DB1373" s="1136"/>
      <c r="DC1373" s="1136"/>
      <c r="DD1373" s="1136"/>
      <c r="DE1373" s="1136"/>
      <c r="DF1373" s="1136"/>
      <c r="DG1373" s="1136"/>
      <c r="DH1373" s="1136"/>
      <c r="DI1373" s="1136"/>
    </row>
    <row r="1374" spans="1:113" ht="15.75" x14ac:dyDescent="0.25">
      <c r="A1374" s="1649" t="s">
        <v>3092</v>
      </c>
      <c r="B1374" s="1046"/>
      <c r="C1374" s="1070"/>
      <c r="D1374" s="1070"/>
      <c r="E1374" s="1070"/>
      <c r="F1374" s="1070"/>
      <c r="G1374" s="1070"/>
      <c r="H1374" s="1070"/>
      <c r="I1374" s="1136"/>
      <c r="J1374" s="1136"/>
      <c r="K1374" s="1136"/>
      <c r="L1374" s="1136"/>
      <c r="M1374" s="1136"/>
      <c r="N1374" s="1136"/>
      <c r="O1374" s="1136"/>
      <c r="P1374" s="1136"/>
      <c r="Q1374" s="1551"/>
      <c r="R1374" s="1551"/>
      <c r="S1374" s="1551"/>
      <c r="T1374" s="1551"/>
      <c r="U1374" s="1551"/>
      <c r="V1374" s="1551"/>
      <c r="W1374" s="1551"/>
      <c r="X1374" s="1551"/>
      <c r="Y1374" s="1551"/>
      <c r="Z1374" s="1551"/>
      <c r="AA1374" s="1645"/>
      <c r="AB1374" s="1645"/>
      <c r="AC1374" s="1645"/>
      <c r="AD1374" s="1645"/>
      <c r="AE1374" s="1645"/>
      <c r="AF1374" s="1645"/>
      <c r="AG1374" s="1645"/>
      <c r="AH1374" s="1645"/>
      <c r="AI1374" s="1645"/>
      <c r="AJ1374" s="1645"/>
      <c r="AK1374" s="1645"/>
      <c r="AL1374" s="1645"/>
      <c r="AM1374" s="1645"/>
      <c r="AN1374" s="1645"/>
      <c r="AO1374" s="1645"/>
      <c r="AP1374" s="1645"/>
      <c r="AQ1374" s="1645"/>
      <c r="AR1374" s="1645"/>
      <c r="AS1374" s="1645"/>
      <c r="AT1374" s="1645"/>
      <c r="AU1374" s="1645"/>
      <c r="AV1374" s="1645"/>
      <c r="AW1374" s="1645"/>
      <c r="AX1374" s="1645"/>
      <c r="AY1374" s="1645"/>
      <c r="AZ1374" s="1645"/>
      <c r="BA1374" s="1645"/>
      <c r="BB1374" s="1645"/>
      <c r="BC1374" s="1645"/>
      <c r="BD1374" s="1645"/>
      <c r="BE1374" s="1645"/>
      <c r="BF1374" s="1645"/>
      <c r="BG1374" s="1645"/>
      <c r="BH1374" s="1645"/>
      <c r="BI1374" s="1645"/>
      <c r="BJ1374" s="1645"/>
      <c r="BK1374" s="1645"/>
      <c r="BL1374" s="1645"/>
      <c r="BM1374" s="1645"/>
      <c r="BN1374" s="1645"/>
      <c r="BO1374" s="1645"/>
      <c r="BP1374" s="1645"/>
      <c r="BQ1374" s="1645"/>
      <c r="BR1374" s="1645"/>
      <c r="BS1374" s="1645"/>
      <c r="BT1374" s="1645"/>
      <c r="BU1374" s="1645"/>
      <c r="BV1374" s="1645"/>
      <c r="BW1374" s="1645"/>
      <c r="BX1374" s="1645"/>
      <c r="BY1374" s="1645"/>
      <c r="BZ1374" s="1645"/>
      <c r="CA1374" s="1645"/>
      <c r="CB1374" s="1645"/>
      <c r="CC1374" s="1645"/>
      <c r="CD1374" s="1645"/>
      <c r="CE1374" s="1645"/>
      <c r="CF1374" s="1645"/>
      <c r="CG1374" s="1645"/>
      <c r="CH1374" s="1645"/>
      <c r="CI1374" s="1645"/>
      <c r="CJ1374" s="1645"/>
      <c r="CK1374" s="1645"/>
      <c r="CL1374" s="1645"/>
      <c r="CM1374" s="1645"/>
      <c r="CN1374" s="1645"/>
      <c r="CO1374" s="1645"/>
      <c r="CP1374" s="1136"/>
      <c r="CQ1374" s="1136"/>
      <c r="CR1374" s="1136"/>
      <c r="CS1374" s="1136"/>
      <c r="CT1374" s="1136"/>
      <c r="CU1374" s="1136"/>
      <c r="CV1374" s="1136"/>
      <c r="CW1374" s="1136"/>
      <c r="CX1374" s="1136"/>
      <c r="CY1374" s="1136"/>
      <c r="CZ1374" s="1136"/>
      <c r="DA1374" s="1136"/>
      <c r="DB1374" s="1136"/>
      <c r="DC1374" s="1136"/>
      <c r="DD1374" s="1136"/>
      <c r="DE1374" s="1136"/>
      <c r="DF1374" s="1136"/>
      <c r="DG1374" s="1136"/>
      <c r="DH1374" s="1136"/>
      <c r="DI1374" s="1136"/>
    </row>
    <row r="1375" spans="1:113" ht="15.75" x14ac:dyDescent="0.25">
      <c r="A1375" s="1483" t="s">
        <v>3090</v>
      </c>
      <c r="B1375" s="1641">
        <f>B1360</f>
        <v>0</v>
      </c>
      <c r="C1375" s="1407"/>
      <c r="D1375" s="1407"/>
      <c r="E1375" s="1407"/>
      <c r="F1375" s="1407"/>
      <c r="G1375" s="1407"/>
      <c r="H1375" s="1070"/>
      <c r="I1375" s="1136"/>
      <c r="J1375" s="1136"/>
      <c r="K1375" s="1136"/>
      <c r="L1375" s="1136"/>
      <c r="M1375" s="1136"/>
      <c r="N1375" s="1136"/>
      <c r="O1375" s="1136"/>
      <c r="P1375" s="1136"/>
      <c r="Q1375" s="1551"/>
      <c r="R1375" s="1551"/>
      <c r="S1375" s="1551"/>
      <c r="T1375" s="1551"/>
      <c r="U1375" s="1551"/>
      <c r="V1375" s="1551"/>
      <c r="W1375" s="1551"/>
      <c r="X1375" s="1551"/>
      <c r="Y1375" s="1551"/>
      <c r="Z1375" s="1551"/>
      <c r="AA1375" s="1645"/>
      <c r="AB1375" s="1645"/>
      <c r="AC1375" s="1645"/>
      <c r="AD1375" s="1645"/>
      <c r="AE1375" s="1645"/>
      <c r="AF1375" s="1645"/>
      <c r="AG1375" s="1645"/>
      <c r="AH1375" s="1645"/>
      <c r="AI1375" s="1645"/>
      <c r="AJ1375" s="1645"/>
      <c r="AK1375" s="1645"/>
      <c r="AL1375" s="1645"/>
      <c r="AM1375" s="1645"/>
      <c r="AN1375" s="1645"/>
      <c r="AO1375" s="1645"/>
      <c r="AP1375" s="1645"/>
      <c r="AQ1375" s="1645"/>
      <c r="AR1375" s="1645"/>
      <c r="AS1375" s="1645"/>
      <c r="AT1375" s="1645"/>
      <c r="AU1375" s="1645"/>
      <c r="AV1375" s="1645"/>
      <c r="AW1375" s="1645"/>
      <c r="AX1375" s="1645"/>
      <c r="AY1375" s="1645"/>
      <c r="AZ1375" s="1645"/>
      <c r="BA1375" s="1645"/>
      <c r="BB1375" s="1645"/>
      <c r="BC1375" s="1645"/>
      <c r="BD1375" s="1645"/>
      <c r="BE1375" s="1645"/>
      <c r="BF1375" s="1645"/>
      <c r="BG1375" s="1645"/>
      <c r="BH1375" s="1645"/>
      <c r="BI1375" s="1645"/>
      <c r="BJ1375" s="1645"/>
      <c r="BK1375" s="1645"/>
      <c r="BL1375" s="1645"/>
      <c r="BM1375" s="1645"/>
      <c r="BN1375" s="1645"/>
      <c r="BO1375" s="1645"/>
      <c r="BP1375" s="1645"/>
      <c r="BQ1375" s="1645"/>
      <c r="BR1375" s="1645"/>
      <c r="BS1375" s="1645"/>
      <c r="BT1375" s="1645"/>
      <c r="BU1375" s="1645"/>
      <c r="BV1375" s="1645"/>
      <c r="BW1375" s="1645"/>
      <c r="BX1375" s="1645"/>
      <c r="BY1375" s="1645"/>
      <c r="BZ1375" s="1645"/>
      <c r="CA1375" s="1645"/>
      <c r="CB1375" s="1645"/>
      <c r="CC1375" s="1645"/>
      <c r="CD1375" s="1645"/>
      <c r="CE1375" s="1645"/>
      <c r="CF1375" s="1645"/>
      <c r="CG1375" s="1645"/>
      <c r="CH1375" s="1645"/>
      <c r="CI1375" s="1645"/>
      <c r="CJ1375" s="1645"/>
      <c r="CK1375" s="1645"/>
      <c r="CL1375" s="1645"/>
      <c r="CM1375" s="1645"/>
      <c r="CN1375" s="1645"/>
      <c r="CO1375" s="1645"/>
      <c r="CP1375" s="1136"/>
      <c r="CQ1375" s="1136"/>
      <c r="CR1375" s="1136"/>
      <c r="CS1375" s="1136"/>
      <c r="CT1375" s="1136"/>
      <c r="CU1375" s="1136"/>
      <c r="CV1375" s="1136"/>
      <c r="CW1375" s="1136"/>
      <c r="CX1375" s="1136"/>
      <c r="CY1375" s="1136"/>
      <c r="CZ1375" s="1136"/>
      <c r="DA1375" s="1136"/>
      <c r="DB1375" s="1136"/>
      <c r="DC1375" s="1136"/>
      <c r="DD1375" s="1136"/>
      <c r="DE1375" s="1136"/>
      <c r="DF1375" s="1136"/>
      <c r="DG1375" s="1136"/>
      <c r="DH1375" s="1136"/>
      <c r="DI1375" s="1136"/>
    </row>
    <row r="1376" spans="1:113" ht="15.75" x14ac:dyDescent="0.25">
      <c r="A1376" s="1483" t="s">
        <v>3091</v>
      </c>
      <c r="B1376" s="1641">
        <f>25667*B1365^-0.666</f>
        <v>162.51338393276461</v>
      </c>
      <c r="C1376" s="1407"/>
      <c r="D1376" s="1407"/>
      <c r="E1376" s="1407"/>
      <c r="F1376" s="1407"/>
      <c r="G1376" s="1407"/>
      <c r="H1376" s="1070"/>
      <c r="I1376" s="1136"/>
      <c r="J1376" s="1136"/>
      <c r="K1376" s="1136"/>
      <c r="L1376" s="1136"/>
      <c r="M1376" s="1136"/>
      <c r="N1376" s="1136"/>
      <c r="O1376" s="1136"/>
      <c r="P1376" s="1136"/>
      <c r="Q1376" s="1551"/>
      <c r="R1376" s="1551"/>
      <c r="S1376" s="1551"/>
      <c r="T1376" s="1551"/>
      <c r="U1376" s="1551"/>
      <c r="V1376" s="1551"/>
      <c r="W1376" s="1551"/>
      <c r="X1376" s="1551"/>
      <c r="Y1376" s="1551"/>
      <c r="Z1376" s="1551"/>
      <c r="AA1376" s="1645"/>
      <c r="AB1376" s="1645"/>
      <c r="AC1376" s="1645"/>
      <c r="AD1376" s="1645"/>
      <c r="AE1376" s="1645"/>
      <c r="AF1376" s="1645"/>
      <c r="AG1376" s="1645"/>
      <c r="AH1376" s="1645"/>
      <c r="AI1376" s="1645"/>
      <c r="AJ1376" s="1645"/>
      <c r="AK1376" s="1645"/>
      <c r="AL1376" s="1645"/>
      <c r="AM1376" s="1645"/>
      <c r="AN1376" s="1645"/>
      <c r="AO1376" s="1645"/>
      <c r="AP1376" s="1645"/>
      <c r="AQ1376" s="1645"/>
      <c r="AR1376" s="1645"/>
      <c r="AS1376" s="1645"/>
      <c r="AT1376" s="1645"/>
      <c r="AU1376" s="1645"/>
      <c r="AV1376" s="1645"/>
      <c r="AW1376" s="1645"/>
      <c r="AX1376" s="1645"/>
      <c r="AY1376" s="1645"/>
      <c r="AZ1376" s="1645"/>
      <c r="BA1376" s="1645"/>
      <c r="BB1376" s="1645"/>
      <c r="BC1376" s="1645"/>
      <c r="BD1376" s="1645"/>
      <c r="BE1376" s="1645"/>
      <c r="BF1376" s="1645"/>
      <c r="BG1376" s="1645"/>
      <c r="BH1376" s="1645"/>
      <c r="BI1376" s="1645"/>
      <c r="BJ1376" s="1645"/>
      <c r="BK1376" s="1645"/>
      <c r="BL1376" s="1645"/>
      <c r="BM1376" s="1645"/>
      <c r="BN1376" s="1645"/>
      <c r="BO1376" s="1645"/>
      <c r="BP1376" s="1645"/>
      <c r="BQ1376" s="1645"/>
      <c r="BR1376" s="1645"/>
      <c r="BS1376" s="1645"/>
      <c r="BT1376" s="1645"/>
      <c r="BU1376" s="1645"/>
      <c r="BV1376" s="1645"/>
      <c r="BW1376" s="1645"/>
      <c r="BX1376" s="1645"/>
      <c r="BY1376" s="1645"/>
      <c r="BZ1376" s="1645"/>
      <c r="CA1376" s="1645"/>
      <c r="CB1376" s="1645"/>
      <c r="CC1376" s="1645"/>
      <c r="CD1376" s="1645"/>
      <c r="CE1376" s="1645"/>
      <c r="CF1376" s="1645"/>
      <c r="CG1376" s="1645"/>
      <c r="CH1376" s="1645"/>
      <c r="CI1376" s="1645"/>
      <c r="CJ1376" s="1645"/>
      <c r="CK1376" s="1645"/>
      <c r="CL1376" s="1645"/>
      <c r="CM1376" s="1645"/>
      <c r="CN1376" s="1645"/>
      <c r="CO1376" s="1645"/>
      <c r="CP1376" s="1136"/>
      <c r="CQ1376" s="1136"/>
      <c r="CR1376" s="1136"/>
      <c r="CS1376" s="1136"/>
      <c r="CT1376" s="1136"/>
      <c r="CU1376" s="1136"/>
      <c r="CV1376" s="1136"/>
      <c r="CW1376" s="1136"/>
      <c r="CX1376" s="1136"/>
      <c r="CY1376" s="1136"/>
      <c r="CZ1376" s="1136"/>
      <c r="DA1376" s="1136"/>
      <c r="DB1376" s="1136"/>
      <c r="DC1376" s="1136"/>
      <c r="DD1376" s="1136"/>
      <c r="DE1376" s="1136"/>
      <c r="DF1376" s="1136"/>
      <c r="DG1376" s="1136"/>
      <c r="DH1376" s="1136"/>
      <c r="DI1376" s="1136"/>
    </row>
    <row r="1377" spans="1:113" ht="15.75" x14ac:dyDescent="0.25">
      <c r="A1377" s="1483" t="s">
        <v>3088</v>
      </c>
      <c r="B1377" s="1641">
        <f>B1375/B1376</f>
        <v>0</v>
      </c>
      <c r="C1377" s="1407"/>
      <c r="D1377" s="1407"/>
      <c r="E1377" s="1407"/>
      <c r="F1377" s="1407"/>
      <c r="G1377" s="1407"/>
      <c r="H1377" s="1070"/>
      <c r="I1377" s="1136"/>
      <c r="J1377" s="1136"/>
      <c r="K1377" s="1136"/>
      <c r="L1377" s="1136"/>
      <c r="M1377" s="1136"/>
      <c r="N1377" s="1136"/>
      <c r="O1377" s="1136"/>
      <c r="P1377" s="1136"/>
      <c r="Q1377" s="1551"/>
      <c r="R1377" s="1551"/>
      <c r="S1377" s="1551"/>
      <c r="T1377" s="1551"/>
      <c r="U1377" s="1551"/>
      <c r="V1377" s="1551"/>
      <c r="W1377" s="1551"/>
      <c r="X1377" s="1551"/>
      <c r="Y1377" s="1551"/>
      <c r="Z1377" s="1551"/>
      <c r="AA1377" s="1645"/>
      <c r="AB1377" s="1645"/>
      <c r="AC1377" s="1645"/>
      <c r="AD1377" s="1645"/>
      <c r="AE1377" s="1645"/>
      <c r="AF1377" s="1645"/>
      <c r="AG1377" s="1645"/>
      <c r="AH1377" s="1645"/>
      <c r="AI1377" s="1645"/>
      <c r="AJ1377" s="1645"/>
      <c r="AK1377" s="1645"/>
      <c r="AL1377" s="1645"/>
      <c r="AM1377" s="1645"/>
      <c r="AN1377" s="1645"/>
      <c r="AO1377" s="1645"/>
      <c r="AP1377" s="1645"/>
      <c r="AQ1377" s="1645"/>
      <c r="AR1377" s="1645"/>
      <c r="AS1377" s="1645"/>
      <c r="AT1377" s="1645"/>
      <c r="AU1377" s="1645"/>
      <c r="AV1377" s="1645"/>
      <c r="AW1377" s="1645"/>
      <c r="AX1377" s="1645"/>
      <c r="AY1377" s="1645"/>
      <c r="AZ1377" s="1645"/>
      <c r="BA1377" s="1645"/>
      <c r="BB1377" s="1645"/>
      <c r="BC1377" s="1645"/>
      <c r="BD1377" s="1645"/>
      <c r="BE1377" s="1645"/>
      <c r="BF1377" s="1645"/>
      <c r="BG1377" s="1645"/>
      <c r="BH1377" s="1645"/>
      <c r="BI1377" s="1645"/>
      <c r="BJ1377" s="1645"/>
      <c r="BK1377" s="1645"/>
      <c r="BL1377" s="1645"/>
      <c r="BM1377" s="1645"/>
      <c r="BN1377" s="1645"/>
      <c r="BO1377" s="1645"/>
      <c r="BP1377" s="1645"/>
      <c r="BQ1377" s="1645"/>
      <c r="BR1377" s="1645"/>
      <c r="BS1377" s="1645"/>
      <c r="BT1377" s="1645"/>
      <c r="BU1377" s="1645"/>
      <c r="BV1377" s="1645"/>
      <c r="BW1377" s="1645"/>
      <c r="BX1377" s="1645"/>
      <c r="BY1377" s="1645"/>
      <c r="BZ1377" s="1645"/>
      <c r="CA1377" s="1645"/>
      <c r="CB1377" s="1645"/>
      <c r="CC1377" s="1645"/>
      <c r="CD1377" s="1645"/>
      <c r="CE1377" s="1645"/>
      <c r="CF1377" s="1645"/>
      <c r="CG1377" s="1645"/>
      <c r="CH1377" s="1645"/>
      <c r="CI1377" s="1645"/>
      <c r="CJ1377" s="1645"/>
      <c r="CK1377" s="1645"/>
      <c r="CL1377" s="1645"/>
      <c r="CM1377" s="1645"/>
      <c r="CN1377" s="1645"/>
      <c r="CO1377" s="1645"/>
      <c r="CP1377" s="1136"/>
      <c r="CQ1377" s="1136"/>
      <c r="CR1377" s="1136"/>
      <c r="CS1377" s="1136"/>
      <c r="CT1377" s="1136"/>
      <c r="CU1377" s="1136"/>
      <c r="CV1377" s="1136"/>
      <c r="CW1377" s="1136"/>
      <c r="CX1377" s="1136"/>
      <c r="CY1377" s="1136"/>
      <c r="CZ1377" s="1136"/>
      <c r="DA1377" s="1136"/>
      <c r="DB1377" s="1136"/>
      <c r="DC1377" s="1136"/>
      <c r="DD1377" s="1136"/>
      <c r="DE1377" s="1136"/>
      <c r="DF1377" s="1136"/>
      <c r="DG1377" s="1136"/>
      <c r="DH1377" s="1136"/>
      <c r="DI1377" s="1136"/>
    </row>
    <row r="1378" spans="1:113" ht="15.75" x14ac:dyDescent="0.25">
      <c r="A1378" s="1658" t="s">
        <v>3093</v>
      </c>
      <c r="B1378" s="1046"/>
      <c r="C1378" s="1070"/>
      <c r="D1378" s="1070"/>
      <c r="E1378" s="1070"/>
      <c r="F1378" s="1070"/>
      <c r="G1378" s="1070"/>
      <c r="H1378" s="1070"/>
      <c r="I1378" s="1136"/>
      <c r="J1378" s="1136"/>
      <c r="K1378" s="1136"/>
      <c r="L1378" s="1136"/>
      <c r="M1378" s="1136"/>
      <c r="N1378" s="1136"/>
      <c r="O1378" s="1136"/>
      <c r="P1378" s="1136"/>
      <c r="Q1378" s="1551"/>
      <c r="R1378" s="1551"/>
      <c r="S1378" s="1551"/>
      <c r="T1378" s="1551"/>
      <c r="U1378" s="1551"/>
      <c r="V1378" s="1551"/>
      <c r="W1378" s="1551"/>
      <c r="X1378" s="1551"/>
      <c r="Y1378" s="1551"/>
      <c r="Z1378" s="1551"/>
      <c r="AA1378" s="1645"/>
      <c r="AB1378" s="1645"/>
      <c r="AC1378" s="1645"/>
      <c r="AD1378" s="1645"/>
      <c r="AE1378" s="1645"/>
      <c r="AF1378" s="1645"/>
      <c r="AG1378" s="1645"/>
      <c r="AH1378" s="1645"/>
      <c r="AI1378" s="1645"/>
      <c r="AJ1378" s="1645"/>
      <c r="AK1378" s="1645"/>
      <c r="AL1378" s="1645"/>
      <c r="AM1378" s="1645"/>
      <c r="AN1378" s="1645"/>
      <c r="AO1378" s="1645"/>
      <c r="AP1378" s="1645"/>
      <c r="AQ1378" s="1645"/>
      <c r="AR1378" s="1645"/>
      <c r="AS1378" s="1645"/>
      <c r="AT1378" s="1645"/>
      <c r="AU1378" s="1645"/>
      <c r="AV1378" s="1645"/>
      <c r="AW1378" s="1645"/>
      <c r="AX1378" s="1645"/>
      <c r="AY1378" s="1645"/>
      <c r="AZ1378" s="1645"/>
      <c r="BA1378" s="1645"/>
      <c r="BB1378" s="1645"/>
      <c r="BC1378" s="1645"/>
      <c r="BD1378" s="1645"/>
      <c r="BE1378" s="1645"/>
      <c r="BF1378" s="1645"/>
      <c r="BG1378" s="1645"/>
      <c r="BH1378" s="1645"/>
      <c r="BI1378" s="1645"/>
      <c r="BJ1378" s="1645"/>
      <c r="BK1378" s="1645"/>
      <c r="BL1378" s="1645"/>
      <c r="BM1378" s="1645"/>
      <c r="BN1378" s="1645"/>
      <c r="BO1378" s="1645"/>
      <c r="BP1378" s="1645"/>
      <c r="BQ1378" s="1645"/>
      <c r="BR1378" s="1645"/>
      <c r="BS1378" s="1645"/>
      <c r="BT1378" s="1645"/>
      <c r="BU1378" s="1645"/>
      <c r="BV1378" s="1645"/>
      <c r="BW1378" s="1645"/>
      <c r="BX1378" s="1645"/>
      <c r="BY1378" s="1645"/>
      <c r="BZ1378" s="1645"/>
      <c r="CA1378" s="1645"/>
      <c r="CB1378" s="1645"/>
      <c r="CC1378" s="1645"/>
      <c r="CD1378" s="1645"/>
      <c r="CE1378" s="1645"/>
      <c r="CF1378" s="1645"/>
      <c r="CG1378" s="1645"/>
      <c r="CH1378" s="1645"/>
      <c r="CI1378" s="1645"/>
      <c r="CJ1378" s="1645"/>
      <c r="CK1378" s="1645"/>
      <c r="CL1378" s="1645"/>
      <c r="CM1378" s="1645"/>
      <c r="CN1378" s="1645"/>
      <c r="CO1378" s="1645"/>
      <c r="CP1378" s="1136"/>
      <c r="CQ1378" s="1136"/>
      <c r="CR1378" s="1136"/>
      <c r="CS1378" s="1136"/>
      <c r="CT1378" s="1136"/>
      <c r="CU1378" s="1136"/>
      <c r="CV1378" s="1136"/>
      <c r="CW1378" s="1136"/>
      <c r="CX1378" s="1136"/>
      <c r="CY1378" s="1136"/>
      <c r="CZ1378" s="1136"/>
      <c r="DA1378" s="1136"/>
      <c r="DB1378" s="1136"/>
      <c r="DC1378" s="1136"/>
      <c r="DD1378" s="1136"/>
      <c r="DE1378" s="1136"/>
      <c r="DF1378" s="1136"/>
      <c r="DG1378" s="1136"/>
      <c r="DH1378" s="1136"/>
      <c r="DI1378" s="1136"/>
    </row>
    <row r="1379" spans="1:113" ht="15.75" x14ac:dyDescent="0.25">
      <c r="A1379" s="1659" t="s">
        <v>3743</v>
      </c>
      <c r="B1379" s="1046"/>
      <c r="C1379" s="1070"/>
      <c r="D1379" s="1070"/>
      <c r="E1379" s="1070"/>
      <c r="F1379" s="1070"/>
      <c r="G1379" s="1070"/>
      <c r="H1379" s="1070"/>
      <c r="I1379" s="1136"/>
      <c r="J1379" s="1136"/>
      <c r="K1379" s="1136"/>
      <c r="L1379" s="1136"/>
      <c r="M1379" s="1136"/>
      <c r="N1379" s="1136"/>
      <c r="O1379" s="1136"/>
      <c r="P1379" s="1136"/>
      <c r="Q1379" s="1551"/>
      <c r="R1379" s="1551"/>
      <c r="S1379" s="1551"/>
      <c r="T1379" s="1551"/>
      <c r="U1379" s="1551"/>
      <c r="V1379" s="1551"/>
      <c r="W1379" s="1551"/>
      <c r="X1379" s="1551"/>
      <c r="Y1379" s="1551"/>
      <c r="Z1379" s="1551"/>
      <c r="AA1379" s="1645"/>
      <c r="AB1379" s="1645"/>
      <c r="AC1379" s="1645"/>
      <c r="AD1379" s="1645"/>
      <c r="AE1379" s="1645"/>
      <c r="AF1379" s="1645"/>
      <c r="AG1379" s="1645"/>
      <c r="AH1379" s="1645"/>
      <c r="AI1379" s="1645"/>
      <c r="AJ1379" s="1645"/>
      <c r="AK1379" s="1645"/>
      <c r="AL1379" s="1645"/>
      <c r="AM1379" s="1645"/>
      <c r="AN1379" s="1645"/>
      <c r="AO1379" s="1645"/>
      <c r="AP1379" s="1645"/>
      <c r="AQ1379" s="1645"/>
      <c r="AR1379" s="1645"/>
      <c r="AS1379" s="1645"/>
      <c r="AT1379" s="1645"/>
      <c r="AU1379" s="1645"/>
      <c r="AV1379" s="1645"/>
      <c r="AW1379" s="1645"/>
      <c r="AX1379" s="1645"/>
      <c r="AY1379" s="1645"/>
      <c r="AZ1379" s="1645"/>
      <c r="BA1379" s="1645"/>
      <c r="BB1379" s="1645"/>
      <c r="BC1379" s="1645"/>
      <c r="BD1379" s="1645"/>
      <c r="BE1379" s="1645"/>
      <c r="BF1379" s="1645"/>
      <c r="BG1379" s="1645"/>
      <c r="BH1379" s="1645"/>
      <c r="BI1379" s="1645"/>
      <c r="BJ1379" s="1645"/>
      <c r="BK1379" s="1645"/>
      <c r="BL1379" s="1645"/>
      <c r="BM1379" s="1645"/>
      <c r="BN1379" s="1645"/>
      <c r="BO1379" s="1645"/>
      <c r="BP1379" s="1645"/>
      <c r="BQ1379" s="1645"/>
      <c r="BR1379" s="1645"/>
      <c r="BS1379" s="1645"/>
      <c r="BT1379" s="1645"/>
      <c r="BU1379" s="1645"/>
      <c r="BV1379" s="1645"/>
      <c r="BW1379" s="1645"/>
      <c r="BX1379" s="1645"/>
      <c r="BY1379" s="1645"/>
      <c r="BZ1379" s="1645"/>
      <c r="CA1379" s="1645"/>
      <c r="CB1379" s="1645"/>
      <c r="CC1379" s="1645"/>
      <c r="CD1379" s="1645"/>
      <c r="CE1379" s="1645"/>
      <c r="CF1379" s="1645"/>
      <c r="CG1379" s="1645"/>
      <c r="CH1379" s="1645"/>
      <c r="CI1379" s="1645"/>
      <c r="CJ1379" s="1645"/>
      <c r="CK1379" s="1645"/>
      <c r="CL1379" s="1645"/>
      <c r="CM1379" s="1645"/>
      <c r="CN1379" s="1645"/>
      <c r="CO1379" s="1645"/>
      <c r="CP1379" s="1136"/>
      <c r="CQ1379" s="1136"/>
      <c r="CR1379" s="1136"/>
      <c r="CS1379" s="1136"/>
      <c r="CT1379" s="1136"/>
      <c r="CU1379" s="1136"/>
      <c r="CV1379" s="1136"/>
      <c r="CW1379" s="1136"/>
      <c r="CX1379" s="1136"/>
      <c r="CY1379" s="1136"/>
      <c r="CZ1379" s="1136"/>
      <c r="DA1379" s="1136"/>
      <c r="DB1379" s="1136"/>
      <c r="DC1379" s="1136"/>
      <c r="DD1379" s="1136"/>
      <c r="DE1379" s="1136"/>
      <c r="DF1379" s="1136"/>
      <c r="DG1379" s="1136"/>
      <c r="DH1379" s="1136"/>
      <c r="DI1379" s="1136"/>
    </row>
    <row r="1380" spans="1:113" ht="15.75" x14ac:dyDescent="0.25">
      <c r="A1380" s="1483" t="s">
        <v>3094</v>
      </c>
      <c r="B1380" s="1641" t="e">
        <f>B1367</f>
        <v>#VALUE!</v>
      </c>
      <c r="C1380" s="1407"/>
      <c r="D1380" s="1407"/>
      <c r="E1380" s="1407"/>
      <c r="F1380" s="1407"/>
      <c r="G1380" s="1407"/>
      <c r="H1380" s="1070"/>
      <c r="I1380" s="1136"/>
      <c r="J1380" s="1136"/>
      <c r="K1380" s="1136"/>
      <c r="L1380" s="1136"/>
      <c r="M1380" s="1136"/>
      <c r="N1380" s="1136"/>
      <c r="O1380" s="1136"/>
      <c r="P1380" s="1136"/>
      <c r="Q1380" s="1551"/>
      <c r="R1380" s="1551"/>
      <c r="S1380" s="1551"/>
      <c r="T1380" s="1551"/>
      <c r="U1380" s="1551"/>
      <c r="V1380" s="1551"/>
      <c r="W1380" s="1551"/>
      <c r="X1380" s="1551"/>
      <c r="Y1380" s="1551"/>
      <c r="Z1380" s="1551"/>
      <c r="AA1380" s="1645"/>
      <c r="AB1380" s="1645"/>
      <c r="AC1380" s="1645"/>
      <c r="AD1380" s="1645"/>
      <c r="AE1380" s="1645"/>
      <c r="AF1380" s="1645"/>
      <c r="AG1380" s="1645"/>
      <c r="AH1380" s="1645"/>
      <c r="AI1380" s="1645"/>
      <c r="AJ1380" s="1645"/>
      <c r="AK1380" s="1645"/>
      <c r="AL1380" s="1645"/>
      <c r="AM1380" s="1645"/>
      <c r="AN1380" s="1645"/>
      <c r="AO1380" s="1645"/>
      <c r="AP1380" s="1645"/>
      <c r="AQ1380" s="1645"/>
      <c r="AR1380" s="1645"/>
      <c r="AS1380" s="1645"/>
      <c r="AT1380" s="1645"/>
      <c r="AU1380" s="1645"/>
      <c r="AV1380" s="1645"/>
      <c r="AW1380" s="1645"/>
      <c r="AX1380" s="1645"/>
      <c r="AY1380" s="1645"/>
      <c r="AZ1380" s="1645"/>
      <c r="BA1380" s="1645"/>
      <c r="BB1380" s="1645"/>
      <c r="BC1380" s="1645"/>
      <c r="BD1380" s="1645"/>
      <c r="BE1380" s="1645"/>
      <c r="BF1380" s="1645"/>
      <c r="BG1380" s="1645"/>
      <c r="BH1380" s="1645"/>
      <c r="BI1380" s="1645"/>
      <c r="BJ1380" s="1645"/>
      <c r="BK1380" s="1645"/>
      <c r="BL1380" s="1645"/>
      <c r="BM1380" s="1645"/>
      <c r="BN1380" s="1645"/>
      <c r="BO1380" s="1645"/>
      <c r="BP1380" s="1645"/>
      <c r="BQ1380" s="1645"/>
      <c r="BR1380" s="1645"/>
      <c r="BS1380" s="1645"/>
      <c r="BT1380" s="1645"/>
      <c r="BU1380" s="1645"/>
      <c r="BV1380" s="1645"/>
      <c r="BW1380" s="1645"/>
      <c r="BX1380" s="1645"/>
      <c r="BY1380" s="1645"/>
      <c r="BZ1380" s="1645"/>
      <c r="CA1380" s="1645"/>
      <c r="CB1380" s="1645"/>
      <c r="CC1380" s="1645"/>
      <c r="CD1380" s="1645"/>
      <c r="CE1380" s="1645"/>
      <c r="CF1380" s="1645"/>
      <c r="CG1380" s="1645"/>
      <c r="CH1380" s="1645"/>
      <c r="CI1380" s="1645"/>
      <c r="CJ1380" s="1645"/>
      <c r="CK1380" s="1645"/>
      <c r="CL1380" s="1645"/>
      <c r="CM1380" s="1645"/>
      <c r="CN1380" s="1645"/>
      <c r="CO1380" s="1645"/>
      <c r="CP1380" s="1136"/>
      <c r="CQ1380" s="1136"/>
      <c r="CR1380" s="1136"/>
      <c r="CS1380" s="1136"/>
      <c r="CT1380" s="1136"/>
      <c r="CU1380" s="1136"/>
      <c r="CV1380" s="1136"/>
      <c r="CW1380" s="1136"/>
      <c r="CX1380" s="1136"/>
      <c r="CY1380" s="1136"/>
      <c r="CZ1380" s="1136"/>
      <c r="DA1380" s="1136"/>
      <c r="DB1380" s="1136"/>
      <c r="DC1380" s="1136"/>
      <c r="DD1380" s="1136"/>
      <c r="DE1380" s="1136"/>
      <c r="DF1380" s="1136"/>
      <c r="DG1380" s="1136"/>
      <c r="DH1380" s="1136"/>
      <c r="DI1380" s="1136"/>
    </row>
    <row r="1381" spans="1:113" ht="15.75" x14ac:dyDescent="0.25">
      <c r="A1381" s="1483" t="s">
        <v>3091</v>
      </c>
      <c r="B1381" s="1641">
        <v>8.6999999999999993</v>
      </c>
      <c r="C1381" s="1407"/>
      <c r="D1381" s="1407"/>
      <c r="E1381" s="1407"/>
      <c r="F1381" s="1407"/>
      <c r="G1381" s="1407"/>
      <c r="H1381" s="1070"/>
      <c r="I1381" s="1136"/>
      <c r="J1381" s="1136"/>
      <c r="K1381" s="1136"/>
      <c r="L1381" s="1136"/>
      <c r="M1381" s="1136"/>
      <c r="N1381" s="1136"/>
      <c r="O1381" s="1136"/>
      <c r="P1381" s="1136"/>
      <c r="Q1381" s="1551"/>
      <c r="R1381" s="1551"/>
      <c r="S1381" s="1551"/>
      <c r="T1381" s="1551"/>
      <c r="U1381" s="1551"/>
      <c r="V1381" s="1551"/>
      <c r="W1381" s="1551"/>
      <c r="X1381" s="1551"/>
      <c r="Y1381" s="1551"/>
      <c r="Z1381" s="1551"/>
      <c r="AA1381" s="1645"/>
      <c r="AB1381" s="1645"/>
      <c r="AC1381" s="1645"/>
      <c r="AD1381" s="1645"/>
      <c r="AE1381" s="1645"/>
      <c r="AF1381" s="1645"/>
      <c r="AG1381" s="1645"/>
      <c r="AH1381" s="1645"/>
      <c r="AI1381" s="1645"/>
      <c r="AJ1381" s="1645"/>
      <c r="AK1381" s="1645"/>
      <c r="AL1381" s="1645"/>
      <c r="AM1381" s="1645"/>
      <c r="AN1381" s="1645"/>
      <c r="AO1381" s="1645"/>
      <c r="AP1381" s="1645"/>
      <c r="AQ1381" s="1645"/>
      <c r="AR1381" s="1645"/>
      <c r="AS1381" s="1645"/>
      <c r="AT1381" s="1645"/>
      <c r="AU1381" s="1645"/>
      <c r="AV1381" s="1645"/>
      <c r="AW1381" s="1645"/>
      <c r="AX1381" s="1645"/>
      <c r="AY1381" s="1645"/>
      <c r="AZ1381" s="1645"/>
      <c r="BA1381" s="1645"/>
      <c r="BB1381" s="1645"/>
      <c r="BC1381" s="1645"/>
      <c r="BD1381" s="1645"/>
      <c r="BE1381" s="1645"/>
      <c r="BF1381" s="1645"/>
      <c r="BG1381" s="1645"/>
      <c r="BH1381" s="1645"/>
      <c r="BI1381" s="1645"/>
      <c r="BJ1381" s="1645"/>
      <c r="BK1381" s="1645"/>
      <c r="BL1381" s="1645"/>
      <c r="BM1381" s="1645"/>
      <c r="BN1381" s="1645"/>
      <c r="BO1381" s="1645"/>
      <c r="BP1381" s="1645"/>
      <c r="BQ1381" s="1645"/>
      <c r="BR1381" s="1645"/>
      <c r="BS1381" s="1645"/>
      <c r="BT1381" s="1645"/>
      <c r="BU1381" s="1645"/>
      <c r="BV1381" s="1645"/>
      <c r="BW1381" s="1645"/>
      <c r="BX1381" s="1645"/>
      <c r="BY1381" s="1645"/>
      <c r="BZ1381" s="1645"/>
      <c r="CA1381" s="1645"/>
      <c r="CB1381" s="1645"/>
      <c r="CC1381" s="1645"/>
      <c r="CD1381" s="1645"/>
      <c r="CE1381" s="1645"/>
      <c r="CF1381" s="1645"/>
      <c r="CG1381" s="1645"/>
      <c r="CH1381" s="1645"/>
      <c r="CI1381" s="1645"/>
      <c r="CJ1381" s="1645"/>
      <c r="CK1381" s="1645"/>
      <c r="CL1381" s="1645"/>
      <c r="CM1381" s="1645"/>
      <c r="CN1381" s="1645"/>
      <c r="CO1381" s="1645"/>
      <c r="CP1381" s="1136"/>
      <c r="CQ1381" s="1136"/>
      <c r="CR1381" s="1136"/>
      <c r="CS1381" s="1136"/>
      <c r="CT1381" s="1136"/>
      <c r="CU1381" s="1136"/>
      <c r="CV1381" s="1136"/>
      <c r="CW1381" s="1136"/>
      <c r="CX1381" s="1136"/>
      <c r="CY1381" s="1136"/>
      <c r="CZ1381" s="1136"/>
      <c r="DA1381" s="1136"/>
      <c r="DB1381" s="1136"/>
      <c r="DC1381" s="1136"/>
      <c r="DD1381" s="1136"/>
      <c r="DE1381" s="1136"/>
      <c r="DF1381" s="1136"/>
      <c r="DG1381" s="1136"/>
      <c r="DH1381" s="1136"/>
      <c r="DI1381" s="1136"/>
    </row>
    <row r="1382" spans="1:113" ht="15.75" x14ac:dyDescent="0.25">
      <c r="A1382" s="1483" t="s">
        <v>3088</v>
      </c>
      <c r="B1382" s="1641" t="e">
        <f>B1380*0.9/B1381</f>
        <v>#VALUE!</v>
      </c>
      <c r="C1382" s="1407"/>
      <c r="D1382" s="1407"/>
      <c r="E1382" s="1407"/>
      <c r="F1382" s="1407"/>
      <c r="G1382" s="1407"/>
      <c r="H1382" s="1070"/>
      <c r="I1382" s="1136"/>
      <c r="J1382" s="1136"/>
      <c r="K1382" s="1136"/>
      <c r="L1382" s="1136"/>
      <c r="M1382" s="1136"/>
      <c r="N1382" s="1136"/>
      <c r="O1382" s="1136"/>
      <c r="P1382" s="1136"/>
      <c r="Q1382" s="1551"/>
      <c r="R1382" s="1551"/>
      <c r="S1382" s="1551"/>
      <c r="T1382" s="1551"/>
      <c r="U1382" s="1551"/>
      <c r="V1382" s="1551"/>
      <c r="W1382" s="1551"/>
      <c r="X1382" s="1551"/>
      <c r="Y1382" s="1551"/>
      <c r="Z1382" s="1551"/>
      <c r="AA1382" s="1645"/>
      <c r="AB1382" s="1645"/>
      <c r="AC1382" s="1645"/>
      <c r="AD1382" s="1645"/>
      <c r="AE1382" s="1645"/>
      <c r="AF1382" s="1645"/>
      <c r="AG1382" s="1645"/>
      <c r="AH1382" s="1645"/>
      <c r="AI1382" s="1645"/>
      <c r="AJ1382" s="1645"/>
      <c r="AK1382" s="1645"/>
      <c r="AL1382" s="1645"/>
      <c r="AM1382" s="1645"/>
      <c r="AN1382" s="1645"/>
      <c r="AO1382" s="1645"/>
      <c r="AP1382" s="1645"/>
      <c r="AQ1382" s="1645"/>
      <c r="AR1382" s="1645"/>
      <c r="AS1382" s="1645"/>
      <c r="AT1382" s="1645"/>
      <c r="AU1382" s="1645"/>
      <c r="AV1382" s="1645"/>
      <c r="AW1382" s="1645"/>
      <c r="AX1382" s="1645"/>
      <c r="AY1382" s="1645"/>
      <c r="AZ1382" s="1645"/>
      <c r="BA1382" s="1645"/>
      <c r="BB1382" s="1645"/>
      <c r="BC1382" s="1645"/>
      <c r="BD1382" s="1645"/>
      <c r="BE1382" s="1645"/>
      <c r="BF1382" s="1645"/>
      <c r="BG1382" s="1645"/>
      <c r="BH1382" s="1645"/>
      <c r="BI1382" s="1645"/>
      <c r="BJ1382" s="1645"/>
      <c r="BK1382" s="1645"/>
      <c r="BL1382" s="1645"/>
      <c r="BM1382" s="1645"/>
      <c r="BN1382" s="1645"/>
      <c r="BO1382" s="1645"/>
      <c r="BP1382" s="1645"/>
      <c r="BQ1382" s="1645"/>
      <c r="BR1382" s="1645"/>
      <c r="BS1382" s="1645"/>
      <c r="BT1382" s="1645"/>
      <c r="BU1382" s="1645"/>
      <c r="BV1382" s="1645"/>
      <c r="BW1382" s="1645"/>
      <c r="BX1382" s="1645"/>
      <c r="BY1382" s="1645"/>
      <c r="BZ1382" s="1645"/>
      <c r="CA1382" s="1645"/>
      <c r="CB1382" s="1645"/>
      <c r="CC1382" s="1645"/>
      <c r="CD1382" s="1645"/>
      <c r="CE1382" s="1645"/>
      <c r="CF1382" s="1645"/>
      <c r="CG1382" s="1645"/>
      <c r="CH1382" s="1645"/>
      <c r="CI1382" s="1645"/>
      <c r="CJ1382" s="1645"/>
      <c r="CK1382" s="1645"/>
      <c r="CL1382" s="1645"/>
      <c r="CM1382" s="1645"/>
      <c r="CN1382" s="1645"/>
      <c r="CO1382" s="1645"/>
      <c r="CP1382" s="1136"/>
      <c r="CQ1382" s="1136"/>
      <c r="CR1382" s="1136"/>
      <c r="CS1382" s="1136"/>
      <c r="CT1382" s="1136"/>
      <c r="CU1382" s="1136"/>
      <c r="CV1382" s="1136"/>
      <c r="CW1382" s="1136"/>
      <c r="CX1382" s="1136"/>
      <c r="CY1382" s="1136"/>
      <c r="CZ1382" s="1136"/>
      <c r="DA1382" s="1136"/>
      <c r="DB1382" s="1136"/>
      <c r="DC1382" s="1136"/>
      <c r="DD1382" s="1136"/>
      <c r="DE1382" s="1136"/>
      <c r="DF1382" s="1136"/>
      <c r="DG1382" s="1136"/>
      <c r="DH1382" s="1136"/>
      <c r="DI1382" s="1136"/>
    </row>
    <row r="1383" spans="1:113" ht="15.75" x14ac:dyDescent="0.25">
      <c r="A1383" s="1649" t="s">
        <v>3095</v>
      </c>
      <c r="B1383" s="1046"/>
      <c r="C1383" s="1070"/>
      <c r="D1383" s="1070"/>
      <c r="E1383" s="1070"/>
      <c r="F1383" s="1070"/>
      <c r="G1383" s="1070"/>
      <c r="H1383" s="1070"/>
      <c r="I1383" s="1136"/>
      <c r="J1383" s="1136"/>
      <c r="K1383" s="1136"/>
      <c r="L1383" s="1136"/>
      <c r="M1383" s="1136"/>
      <c r="N1383" s="1136"/>
      <c r="O1383" s="1136"/>
      <c r="P1383" s="1136"/>
      <c r="Q1383" s="1551"/>
      <c r="R1383" s="1551"/>
      <c r="S1383" s="1551"/>
      <c r="T1383" s="1551"/>
      <c r="U1383" s="1551"/>
      <c r="V1383" s="1551"/>
      <c r="W1383" s="1551"/>
      <c r="X1383" s="1551"/>
      <c r="Y1383" s="1551"/>
      <c r="Z1383" s="1551"/>
      <c r="AA1383" s="1645"/>
      <c r="AB1383" s="1645"/>
      <c r="AC1383" s="1645"/>
      <c r="AD1383" s="1645"/>
      <c r="AE1383" s="1645"/>
      <c r="AF1383" s="1645"/>
      <c r="AG1383" s="1645"/>
      <c r="AH1383" s="1645"/>
      <c r="AI1383" s="1645"/>
      <c r="AJ1383" s="1645"/>
      <c r="AK1383" s="1645"/>
      <c r="AL1383" s="1645"/>
      <c r="AM1383" s="1645"/>
      <c r="AN1383" s="1645"/>
      <c r="AO1383" s="1645"/>
      <c r="AP1383" s="1645"/>
      <c r="AQ1383" s="1645"/>
      <c r="AR1383" s="1645"/>
      <c r="AS1383" s="1645"/>
      <c r="AT1383" s="1645"/>
      <c r="AU1383" s="1645"/>
      <c r="AV1383" s="1645"/>
      <c r="AW1383" s="1645"/>
      <c r="AX1383" s="1645"/>
      <c r="AY1383" s="1645"/>
      <c r="AZ1383" s="1645"/>
      <c r="BA1383" s="1645"/>
      <c r="BB1383" s="1645"/>
      <c r="BC1383" s="1645"/>
      <c r="BD1383" s="1645"/>
      <c r="BE1383" s="1645"/>
      <c r="BF1383" s="1645"/>
      <c r="BG1383" s="1645"/>
      <c r="BH1383" s="1645"/>
      <c r="BI1383" s="1645"/>
      <c r="BJ1383" s="1645"/>
      <c r="BK1383" s="1645"/>
      <c r="BL1383" s="1645"/>
      <c r="BM1383" s="1645"/>
      <c r="BN1383" s="1645"/>
      <c r="BO1383" s="1645"/>
      <c r="BP1383" s="1645"/>
      <c r="BQ1383" s="1645"/>
      <c r="BR1383" s="1645"/>
      <c r="BS1383" s="1645"/>
      <c r="BT1383" s="1645"/>
      <c r="BU1383" s="1645"/>
      <c r="BV1383" s="1645"/>
      <c r="BW1383" s="1645"/>
      <c r="BX1383" s="1645"/>
      <c r="BY1383" s="1645"/>
      <c r="BZ1383" s="1645"/>
      <c r="CA1383" s="1645"/>
      <c r="CB1383" s="1645"/>
      <c r="CC1383" s="1645"/>
      <c r="CD1383" s="1645"/>
      <c r="CE1383" s="1645"/>
      <c r="CF1383" s="1645"/>
      <c r="CG1383" s="1645"/>
      <c r="CH1383" s="1645"/>
      <c r="CI1383" s="1645"/>
      <c r="CJ1383" s="1645"/>
      <c r="CK1383" s="1645"/>
      <c r="CL1383" s="1645"/>
      <c r="CM1383" s="1645"/>
      <c r="CN1383" s="1645"/>
      <c r="CO1383" s="1645"/>
      <c r="CP1383" s="1136"/>
      <c r="CQ1383" s="1136"/>
      <c r="CR1383" s="1136"/>
      <c r="CS1383" s="1136"/>
      <c r="CT1383" s="1136"/>
      <c r="CU1383" s="1136"/>
      <c r="CV1383" s="1136"/>
      <c r="CW1383" s="1136"/>
      <c r="CX1383" s="1136"/>
      <c r="CY1383" s="1136"/>
      <c r="CZ1383" s="1136"/>
      <c r="DA1383" s="1136"/>
      <c r="DB1383" s="1136"/>
      <c r="DC1383" s="1136"/>
      <c r="DD1383" s="1136"/>
      <c r="DE1383" s="1136"/>
      <c r="DF1383" s="1136"/>
      <c r="DG1383" s="1136"/>
      <c r="DH1383" s="1136"/>
      <c r="DI1383" s="1136"/>
    </row>
    <row r="1384" spans="1:113" ht="15.75" x14ac:dyDescent="0.25">
      <c r="A1384" s="1483" t="s">
        <v>3094</v>
      </c>
      <c r="B1384" s="1641">
        <f>B1318</f>
        <v>0</v>
      </c>
      <c r="C1384" s="1407"/>
      <c r="D1384" s="1407"/>
      <c r="E1384" s="1407"/>
      <c r="F1384" s="1407"/>
      <c r="G1384" s="1407"/>
      <c r="H1384" s="1070"/>
      <c r="I1384" s="1136"/>
      <c r="J1384" s="1136"/>
      <c r="K1384" s="1136"/>
      <c r="L1384" s="1136"/>
      <c r="M1384" s="1136"/>
      <c r="N1384" s="1136"/>
      <c r="O1384" s="1136"/>
      <c r="P1384" s="1136"/>
      <c r="Q1384" s="1551"/>
      <c r="R1384" s="1551"/>
      <c r="S1384" s="1551"/>
      <c r="T1384" s="1551"/>
      <c r="U1384" s="1551"/>
      <c r="V1384" s="1551"/>
      <c r="W1384" s="1551"/>
      <c r="X1384" s="1551"/>
      <c r="Y1384" s="1551"/>
      <c r="Z1384" s="1551"/>
      <c r="AA1384" s="1645"/>
      <c r="AB1384" s="1645"/>
      <c r="AC1384" s="1645"/>
      <c r="AD1384" s="1645"/>
      <c r="AE1384" s="1645"/>
      <c r="AF1384" s="1645"/>
      <c r="AG1384" s="1645"/>
      <c r="AH1384" s="1645"/>
      <c r="AI1384" s="1645"/>
      <c r="AJ1384" s="1645"/>
      <c r="AK1384" s="1645"/>
      <c r="AL1384" s="1645"/>
      <c r="AM1384" s="1645"/>
      <c r="AN1384" s="1645"/>
      <c r="AO1384" s="1645"/>
      <c r="AP1384" s="1645"/>
      <c r="AQ1384" s="1645"/>
      <c r="AR1384" s="1645"/>
      <c r="AS1384" s="1645"/>
      <c r="AT1384" s="1645"/>
      <c r="AU1384" s="1645"/>
      <c r="AV1384" s="1645"/>
      <c r="AW1384" s="1645"/>
      <c r="AX1384" s="1645"/>
      <c r="AY1384" s="1645"/>
      <c r="AZ1384" s="1645"/>
      <c r="BA1384" s="1645"/>
      <c r="BB1384" s="1645"/>
      <c r="BC1384" s="1645"/>
      <c r="BD1384" s="1645"/>
      <c r="BE1384" s="1645"/>
      <c r="BF1384" s="1645"/>
      <c r="BG1384" s="1645"/>
      <c r="BH1384" s="1645"/>
      <c r="BI1384" s="1645"/>
      <c r="BJ1384" s="1645"/>
      <c r="BK1384" s="1645"/>
      <c r="BL1384" s="1645"/>
      <c r="BM1384" s="1645"/>
      <c r="BN1384" s="1645"/>
      <c r="BO1384" s="1645"/>
      <c r="BP1384" s="1645"/>
      <c r="BQ1384" s="1645"/>
      <c r="BR1384" s="1645"/>
      <c r="BS1384" s="1645"/>
      <c r="BT1384" s="1645"/>
      <c r="BU1384" s="1645"/>
      <c r="BV1384" s="1645"/>
      <c r="BW1384" s="1645"/>
      <c r="BX1384" s="1645"/>
      <c r="BY1384" s="1645"/>
      <c r="BZ1384" s="1645"/>
      <c r="CA1384" s="1645"/>
      <c r="CB1384" s="1645"/>
      <c r="CC1384" s="1645"/>
      <c r="CD1384" s="1645"/>
      <c r="CE1384" s="1645"/>
      <c r="CF1384" s="1645"/>
      <c r="CG1384" s="1645"/>
      <c r="CH1384" s="1645"/>
      <c r="CI1384" s="1645"/>
      <c r="CJ1384" s="1645"/>
      <c r="CK1384" s="1645"/>
      <c r="CL1384" s="1645"/>
      <c r="CM1384" s="1645"/>
      <c r="CN1384" s="1645"/>
      <c r="CO1384" s="1645"/>
      <c r="CP1384" s="1136"/>
      <c r="CQ1384" s="1136"/>
      <c r="CR1384" s="1136"/>
      <c r="CS1384" s="1136"/>
      <c r="CT1384" s="1136"/>
      <c r="CU1384" s="1136"/>
      <c r="CV1384" s="1136"/>
      <c r="CW1384" s="1136"/>
      <c r="CX1384" s="1136"/>
      <c r="CY1384" s="1136"/>
      <c r="CZ1384" s="1136"/>
      <c r="DA1384" s="1136"/>
      <c r="DB1384" s="1136"/>
      <c r="DC1384" s="1136"/>
      <c r="DD1384" s="1136"/>
      <c r="DE1384" s="1136"/>
      <c r="DF1384" s="1136"/>
      <c r="DG1384" s="1136"/>
      <c r="DH1384" s="1136"/>
      <c r="DI1384" s="1136"/>
    </row>
    <row r="1385" spans="1:113" ht="15.75" x14ac:dyDescent="0.25">
      <c r="A1385" s="1483" t="s">
        <v>5147</v>
      </c>
      <c r="B1385" s="1641">
        <v>16.600000000000001</v>
      </c>
      <c r="C1385" s="1407"/>
      <c r="D1385" s="1407"/>
      <c r="E1385" s="1407"/>
      <c r="F1385" s="1407"/>
      <c r="G1385" s="1407"/>
      <c r="H1385" s="1070"/>
      <c r="I1385" s="1136"/>
      <c r="J1385" s="1136"/>
      <c r="K1385" s="1136"/>
      <c r="L1385" s="1136"/>
      <c r="M1385" s="1136"/>
      <c r="N1385" s="1136"/>
      <c r="O1385" s="1136"/>
      <c r="P1385" s="1136"/>
      <c r="Q1385" s="1551"/>
      <c r="R1385" s="1551"/>
      <c r="S1385" s="1551"/>
      <c r="T1385" s="1551"/>
      <c r="U1385" s="1551"/>
      <c r="V1385" s="1551"/>
      <c r="W1385" s="1551"/>
      <c r="X1385" s="1551"/>
      <c r="Y1385" s="1551"/>
      <c r="Z1385" s="1551"/>
      <c r="AA1385" s="1645"/>
      <c r="AB1385" s="1645"/>
      <c r="AC1385" s="1645"/>
      <c r="AD1385" s="1645"/>
      <c r="AE1385" s="1645"/>
      <c r="AF1385" s="1645"/>
      <c r="AG1385" s="1645"/>
      <c r="AH1385" s="1645"/>
      <c r="AI1385" s="1645"/>
      <c r="AJ1385" s="1645"/>
      <c r="AK1385" s="1645"/>
      <c r="AL1385" s="1645"/>
      <c r="AM1385" s="1645"/>
      <c r="AN1385" s="1645"/>
      <c r="AO1385" s="1645"/>
      <c r="AP1385" s="1645"/>
      <c r="AQ1385" s="1645"/>
      <c r="AR1385" s="1645"/>
      <c r="AS1385" s="1645"/>
      <c r="AT1385" s="1645"/>
      <c r="AU1385" s="1645"/>
      <c r="AV1385" s="1645"/>
      <c r="AW1385" s="1645"/>
      <c r="AX1385" s="1645"/>
      <c r="AY1385" s="1645"/>
      <c r="AZ1385" s="1645"/>
      <c r="BA1385" s="1645"/>
      <c r="BB1385" s="1645"/>
      <c r="BC1385" s="1645"/>
      <c r="BD1385" s="1645"/>
      <c r="BE1385" s="1645"/>
      <c r="BF1385" s="1645"/>
      <c r="BG1385" s="1645"/>
      <c r="BH1385" s="1645"/>
      <c r="BI1385" s="1645"/>
      <c r="BJ1385" s="1645"/>
      <c r="BK1385" s="1645"/>
      <c r="BL1385" s="1645"/>
      <c r="BM1385" s="1645"/>
      <c r="BN1385" s="1645"/>
      <c r="BO1385" s="1645"/>
      <c r="BP1385" s="1645"/>
      <c r="BQ1385" s="1645"/>
      <c r="BR1385" s="1645"/>
      <c r="BS1385" s="1645"/>
      <c r="BT1385" s="1645"/>
      <c r="BU1385" s="1645"/>
      <c r="BV1385" s="1645"/>
      <c r="BW1385" s="1645"/>
      <c r="BX1385" s="1645"/>
      <c r="BY1385" s="1645"/>
      <c r="BZ1385" s="1645"/>
      <c r="CA1385" s="1645"/>
      <c r="CB1385" s="1645"/>
      <c r="CC1385" s="1645"/>
      <c r="CD1385" s="1645"/>
      <c r="CE1385" s="1645"/>
      <c r="CF1385" s="1645"/>
      <c r="CG1385" s="1645"/>
      <c r="CH1385" s="1645"/>
      <c r="CI1385" s="1645"/>
      <c r="CJ1385" s="1645"/>
      <c r="CK1385" s="1645"/>
      <c r="CL1385" s="1645"/>
      <c r="CM1385" s="1645"/>
      <c r="CN1385" s="1645"/>
      <c r="CO1385" s="1645"/>
      <c r="CP1385" s="1136"/>
      <c r="CQ1385" s="1136"/>
      <c r="CR1385" s="1136"/>
      <c r="CS1385" s="1136"/>
      <c r="CT1385" s="1136"/>
      <c r="CU1385" s="1136"/>
      <c r="CV1385" s="1136"/>
      <c r="CW1385" s="1136"/>
      <c r="CX1385" s="1136"/>
      <c r="CY1385" s="1136"/>
      <c r="CZ1385" s="1136"/>
      <c r="DA1385" s="1136"/>
      <c r="DB1385" s="1136"/>
      <c r="DC1385" s="1136"/>
      <c r="DD1385" s="1136"/>
      <c r="DE1385" s="1136"/>
      <c r="DF1385" s="1136"/>
      <c r="DG1385" s="1136"/>
      <c r="DH1385" s="1136"/>
      <c r="DI1385" s="1136"/>
    </row>
    <row r="1386" spans="1:113" ht="15.75" x14ac:dyDescent="0.25">
      <c r="A1386" s="1483" t="s">
        <v>3088</v>
      </c>
      <c r="B1386" s="1641">
        <f>B1384*2/B1385</f>
        <v>0</v>
      </c>
      <c r="C1386" s="1407"/>
      <c r="D1386" s="1407"/>
      <c r="E1386" s="1407"/>
      <c r="F1386" s="1407"/>
      <c r="G1386" s="1407"/>
      <c r="H1386" s="1070"/>
      <c r="I1386" s="1136"/>
      <c r="J1386" s="1136"/>
      <c r="K1386" s="1136"/>
      <c r="L1386" s="1136"/>
      <c r="M1386" s="1136"/>
      <c r="N1386" s="1136"/>
      <c r="O1386" s="1136"/>
      <c r="P1386" s="1136"/>
      <c r="Q1386" s="1551"/>
      <c r="R1386" s="1551"/>
      <c r="S1386" s="1551"/>
      <c r="T1386" s="1551"/>
      <c r="U1386" s="1551"/>
      <c r="V1386" s="1551"/>
      <c r="W1386" s="1551"/>
      <c r="X1386" s="1551"/>
      <c r="Y1386" s="1551"/>
      <c r="Z1386" s="1551"/>
      <c r="AA1386" s="1645"/>
      <c r="AB1386" s="1645"/>
      <c r="AC1386" s="1645"/>
      <c r="AD1386" s="1645"/>
      <c r="AE1386" s="1645"/>
      <c r="AF1386" s="1645"/>
      <c r="AG1386" s="1645"/>
      <c r="AH1386" s="1645"/>
      <c r="AI1386" s="1645"/>
      <c r="AJ1386" s="1645"/>
      <c r="AK1386" s="1645"/>
      <c r="AL1386" s="1645"/>
      <c r="AM1386" s="1645"/>
      <c r="AN1386" s="1645"/>
      <c r="AO1386" s="1645"/>
      <c r="AP1386" s="1645"/>
      <c r="AQ1386" s="1645"/>
      <c r="AR1386" s="1645"/>
      <c r="AS1386" s="1645"/>
      <c r="AT1386" s="1645"/>
      <c r="AU1386" s="1645"/>
      <c r="AV1386" s="1645"/>
      <c r="AW1386" s="1645"/>
      <c r="AX1386" s="1645"/>
      <c r="AY1386" s="1645"/>
      <c r="AZ1386" s="1645"/>
      <c r="BA1386" s="1645"/>
      <c r="BB1386" s="1645"/>
      <c r="BC1386" s="1645"/>
      <c r="BD1386" s="1645"/>
      <c r="BE1386" s="1645"/>
      <c r="BF1386" s="1645"/>
      <c r="BG1386" s="1645"/>
      <c r="BH1386" s="1645"/>
      <c r="BI1386" s="1645"/>
      <c r="BJ1386" s="1645"/>
      <c r="BK1386" s="1645"/>
      <c r="BL1386" s="1645"/>
      <c r="BM1386" s="1645"/>
      <c r="BN1386" s="1645"/>
      <c r="BO1386" s="1645"/>
      <c r="BP1386" s="1645"/>
      <c r="BQ1386" s="1645"/>
      <c r="BR1386" s="1645"/>
      <c r="BS1386" s="1645"/>
      <c r="BT1386" s="1645"/>
      <c r="BU1386" s="1645"/>
      <c r="BV1386" s="1645"/>
      <c r="BW1386" s="1645"/>
      <c r="BX1386" s="1645"/>
      <c r="BY1386" s="1645"/>
      <c r="BZ1386" s="1645"/>
      <c r="CA1386" s="1645"/>
      <c r="CB1386" s="1645"/>
      <c r="CC1386" s="1645"/>
      <c r="CD1386" s="1645"/>
      <c r="CE1386" s="1645"/>
      <c r="CF1386" s="1645"/>
      <c r="CG1386" s="1645"/>
      <c r="CH1386" s="1645"/>
      <c r="CI1386" s="1645"/>
      <c r="CJ1386" s="1645"/>
      <c r="CK1386" s="1645"/>
      <c r="CL1386" s="1645"/>
      <c r="CM1386" s="1645"/>
      <c r="CN1386" s="1645"/>
      <c r="CO1386" s="1645"/>
      <c r="CP1386" s="1136"/>
      <c r="CQ1386" s="1136"/>
      <c r="CR1386" s="1136"/>
      <c r="CS1386" s="1136"/>
      <c r="CT1386" s="1136"/>
      <c r="CU1386" s="1136"/>
      <c r="CV1386" s="1136"/>
      <c r="CW1386" s="1136"/>
      <c r="CX1386" s="1136"/>
      <c r="CY1386" s="1136"/>
      <c r="CZ1386" s="1136"/>
      <c r="DA1386" s="1136"/>
      <c r="DB1386" s="1136"/>
      <c r="DC1386" s="1136"/>
      <c r="DD1386" s="1136"/>
      <c r="DE1386" s="1136"/>
      <c r="DF1386" s="1136"/>
      <c r="DG1386" s="1136"/>
      <c r="DH1386" s="1136"/>
      <c r="DI1386" s="1136"/>
    </row>
    <row r="1387" spans="1:113" ht="15.75" x14ac:dyDescent="0.25">
      <c r="A1387" s="1649" t="s">
        <v>3096</v>
      </c>
      <c r="B1387" s="1046"/>
      <c r="C1387" s="1070"/>
      <c r="D1387" s="1070"/>
      <c r="E1387" s="1070"/>
      <c r="F1387" s="1070"/>
      <c r="G1387" s="1070"/>
      <c r="H1387" s="1070"/>
      <c r="I1387" s="1136"/>
      <c r="J1387" s="1136"/>
      <c r="K1387" s="1136"/>
      <c r="L1387" s="1136"/>
      <c r="M1387" s="1136"/>
      <c r="N1387" s="1136"/>
      <c r="O1387" s="1136"/>
      <c r="P1387" s="1136"/>
      <c r="Q1387" s="1551"/>
      <c r="R1387" s="1551"/>
      <c r="S1387" s="1551"/>
      <c r="T1387" s="1551"/>
      <c r="U1387" s="1551"/>
      <c r="V1387" s="1551"/>
      <c r="W1387" s="1551"/>
      <c r="X1387" s="1551"/>
      <c r="Y1387" s="1551"/>
      <c r="Z1387" s="1551"/>
      <c r="AA1387" s="1645"/>
      <c r="AB1387" s="1645"/>
      <c r="AC1387" s="1645"/>
      <c r="AD1387" s="1645"/>
      <c r="AE1387" s="1645"/>
      <c r="AF1387" s="1645"/>
      <c r="AG1387" s="1645"/>
      <c r="AH1387" s="1645"/>
      <c r="AI1387" s="1645"/>
      <c r="AJ1387" s="1645"/>
      <c r="AK1387" s="1645"/>
      <c r="AL1387" s="1645"/>
      <c r="AM1387" s="1645"/>
      <c r="AN1387" s="1645"/>
      <c r="AO1387" s="1645"/>
      <c r="AP1387" s="1645"/>
      <c r="AQ1387" s="1645"/>
      <c r="AR1387" s="1645"/>
      <c r="AS1387" s="1645"/>
      <c r="AT1387" s="1645"/>
      <c r="AU1387" s="1645"/>
      <c r="AV1387" s="1645"/>
      <c r="AW1387" s="1645"/>
      <c r="AX1387" s="1645"/>
      <c r="AY1387" s="1645"/>
      <c r="AZ1387" s="1645"/>
      <c r="BA1387" s="1645"/>
      <c r="BB1387" s="1645"/>
      <c r="BC1387" s="1645"/>
      <c r="BD1387" s="1645"/>
      <c r="BE1387" s="1645"/>
      <c r="BF1387" s="1645"/>
      <c r="BG1387" s="1645"/>
      <c r="BH1387" s="1645"/>
      <c r="BI1387" s="1645"/>
      <c r="BJ1387" s="1645"/>
      <c r="BK1387" s="1645"/>
      <c r="BL1387" s="1645"/>
      <c r="BM1387" s="1645"/>
      <c r="BN1387" s="1645"/>
      <c r="BO1387" s="1645"/>
      <c r="BP1387" s="1645"/>
      <c r="BQ1387" s="1645"/>
      <c r="BR1387" s="1645"/>
      <c r="BS1387" s="1645"/>
      <c r="BT1387" s="1645"/>
      <c r="BU1387" s="1645"/>
      <c r="BV1387" s="1645"/>
      <c r="BW1387" s="1645"/>
      <c r="BX1387" s="1645"/>
      <c r="BY1387" s="1645"/>
      <c r="BZ1387" s="1645"/>
      <c r="CA1387" s="1645"/>
      <c r="CB1387" s="1645"/>
      <c r="CC1387" s="1645"/>
      <c r="CD1387" s="1645"/>
      <c r="CE1387" s="1645"/>
      <c r="CF1387" s="1645"/>
      <c r="CG1387" s="1645"/>
      <c r="CH1387" s="1645"/>
      <c r="CI1387" s="1645"/>
      <c r="CJ1387" s="1645"/>
      <c r="CK1387" s="1645"/>
      <c r="CL1387" s="1645"/>
      <c r="CM1387" s="1645"/>
      <c r="CN1387" s="1645"/>
      <c r="CO1387" s="1645"/>
      <c r="CP1387" s="1136"/>
      <c r="CQ1387" s="1136"/>
      <c r="CR1387" s="1136"/>
      <c r="CS1387" s="1136"/>
      <c r="CT1387" s="1136"/>
      <c r="CU1387" s="1136"/>
      <c r="CV1387" s="1136"/>
      <c r="CW1387" s="1136"/>
      <c r="CX1387" s="1136"/>
      <c r="CY1387" s="1136"/>
      <c r="CZ1387" s="1136"/>
      <c r="DA1387" s="1136"/>
      <c r="DB1387" s="1136"/>
      <c r="DC1387" s="1136"/>
      <c r="DD1387" s="1136"/>
      <c r="DE1387" s="1136"/>
      <c r="DF1387" s="1136"/>
      <c r="DG1387" s="1136"/>
      <c r="DH1387" s="1136"/>
      <c r="DI1387" s="1136"/>
    </row>
    <row r="1388" spans="1:113" ht="15.75" x14ac:dyDescent="0.25">
      <c r="A1388" s="1483" t="s">
        <v>3097</v>
      </c>
      <c r="B1388" s="1641" t="e">
        <f>B1351</f>
        <v>#VALUE!</v>
      </c>
      <c r="C1388" s="1407"/>
      <c r="D1388" s="1407"/>
      <c r="E1388" s="1407"/>
      <c r="F1388" s="1407"/>
      <c r="G1388" s="1407"/>
      <c r="H1388" s="1070"/>
      <c r="I1388" s="1136"/>
      <c r="J1388" s="1136"/>
      <c r="K1388" s="1136"/>
      <c r="L1388" s="1136"/>
      <c r="M1388" s="1136"/>
      <c r="N1388" s="1136"/>
      <c r="O1388" s="1136"/>
      <c r="P1388" s="1136"/>
      <c r="Q1388" s="1551"/>
      <c r="R1388" s="1551"/>
      <c r="S1388" s="1551"/>
      <c r="T1388" s="1551"/>
      <c r="U1388" s="1551"/>
      <c r="V1388" s="1551"/>
      <c r="W1388" s="1551"/>
      <c r="X1388" s="1551"/>
      <c r="Y1388" s="1551"/>
      <c r="Z1388" s="1551"/>
      <c r="AA1388" s="1645"/>
      <c r="AB1388" s="1645"/>
      <c r="AC1388" s="1645"/>
      <c r="AD1388" s="1645"/>
      <c r="AE1388" s="1645"/>
      <c r="AF1388" s="1645"/>
      <c r="AG1388" s="1645"/>
      <c r="AH1388" s="1645"/>
      <c r="AI1388" s="1645"/>
      <c r="AJ1388" s="1645"/>
      <c r="AK1388" s="1645"/>
      <c r="AL1388" s="1645"/>
      <c r="AM1388" s="1645"/>
      <c r="AN1388" s="1645"/>
      <c r="AO1388" s="1645"/>
      <c r="AP1388" s="1645"/>
      <c r="AQ1388" s="1645"/>
      <c r="AR1388" s="1645"/>
      <c r="AS1388" s="1645"/>
      <c r="AT1388" s="1645"/>
      <c r="AU1388" s="1645"/>
      <c r="AV1388" s="1645"/>
      <c r="AW1388" s="1645"/>
      <c r="AX1388" s="1645"/>
      <c r="AY1388" s="1645"/>
      <c r="AZ1388" s="1645"/>
      <c r="BA1388" s="1645"/>
      <c r="BB1388" s="1645"/>
      <c r="BC1388" s="1645"/>
      <c r="BD1388" s="1645"/>
      <c r="BE1388" s="1645"/>
      <c r="BF1388" s="1645"/>
      <c r="BG1388" s="1645"/>
      <c r="BH1388" s="1645"/>
      <c r="BI1388" s="1645"/>
      <c r="BJ1388" s="1645"/>
      <c r="BK1388" s="1645"/>
      <c r="BL1388" s="1645"/>
      <c r="BM1388" s="1645"/>
      <c r="BN1388" s="1645"/>
      <c r="BO1388" s="1645"/>
      <c r="BP1388" s="1645"/>
      <c r="BQ1388" s="1645"/>
      <c r="BR1388" s="1645"/>
      <c r="BS1388" s="1645"/>
      <c r="BT1388" s="1645"/>
      <c r="BU1388" s="1645"/>
      <c r="BV1388" s="1645"/>
      <c r="BW1388" s="1645"/>
      <c r="BX1388" s="1645"/>
      <c r="BY1388" s="1645"/>
      <c r="BZ1388" s="1645"/>
      <c r="CA1388" s="1645"/>
      <c r="CB1388" s="1645"/>
      <c r="CC1388" s="1645"/>
      <c r="CD1388" s="1645"/>
      <c r="CE1388" s="1645"/>
      <c r="CF1388" s="1645"/>
      <c r="CG1388" s="1645"/>
      <c r="CH1388" s="1645"/>
      <c r="CI1388" s="1645"/>
      <c r="CJ1388" s="1645"/>
      <c r="CK1388" s="1645"/>
      <c r="CL1388" s="1645"/>
      <c r="CM1388" s="1645"/>
      <c r="CN1388" s="1645"/>
      <c r="CO1388" s="1645"/>
      <c r="CP1388" s="1136"/>
      <c r="CQ1388" s="1136"/>
      <c r="CR1388" s="1136"/>
      <c r="CS1388" s="1136"/>
      <c r="CT1388" s="1136"/>
      <c r="CU1388" s="1136"/>
      <c r="CV1388" s="1136"/>
      <c r="CW1388" s="1136"/>
      <c r="CX1388" s="1136"/>
      <c r="CY1388" s="1136"/>
      <c r="CZ1388" s="1136"/>
      <c r="DA1388" s="1136"/>
      <c r="DB1388" s="1136"/>
      <c r="DC1388" s="1136"/>
      <c r="DD1388" s="1136"/>
      <c r="DE1388" s="1136"/>
      <c r="DF1388" s="1136"/>
      <c r="DG1388" s="1136"/>
      <c r="DH1388" s="1136"/>
      <c r="DI1388" s="1136"/>
    </row>
    <row r="1389" spans="1:113" ht="15.75" x14ac:dyDescent="0.25">
      <c r="A1389" s="1483" t="s">
        <v>3091</v>
      </c>
      <c r="B1389" s="1641">
        <v>10.3</v>
      </c>
      <c r="C1389" s="1407"/>
      <c r="D1389" s="1407"/>
      <c r="E1389" s="1407"/>
      <c r="F1389" s="1407"/>
      <c r="G1389" s="1407"/>
      <c r="H1389" s="1070"/>
      <c r="I1389" s="1136"/>
      <c r="J1389" s="1136"/>
      <c r="K1389" s="1136"/>
      <c r="L1389" s="1136"/>
      <c r="M1389" s="1136"/>
      <c r="N1389" s="1136"/>
      <c r="O1389" s="1136"/>
      <c r="P1389" s="1136"/>
      <c r="Q1389" s="1551"/>
      <c r="R1389" s="1551"/>
      <c r="S1389" s="1551"/>
      <c r="T1389" s="1551"/>
      <c r="U1389" s="1551"/>
      <c r="V1389" s="1551"/>
      <c r="W1389" s="1551"/>
      <c r="X1389" s="1551"/>
      <c r="Y1389" s="1551"/>
      <c r="Z1389" s="1551"/>
      <c r="AA1389" s="1645"/>
      <c r="AB1389" s="1645"/>
      <c r="AC1389" s="1645"/>
      <c r="AD1389" s="1645"/>
      <c r="AE1389" s="1645"/>
      <c r="AF1389" s="1645"/>
      <c r="AG1389" s="1645"/>
      <c r="AH1389" s="1645"/>
      <c r="AI1389" s="1645"/>
      <c r="AJ1389" s="1645"/>
      <c r="AK1389" s="1645"/>
      <c r="AL1389" s="1645"/>
      <c r="AM1389" s="1645"/>
      <c r="AN1389" s="1645"/>
      <c r="AO1389" s="1645"/>
      <c r="AP1389" s="1645"/>
      <c r="AQ1389" s="1645"/>
      <c r="AR1389" s="1645"/>
      <c r="AS1389" s="1645"/>
      <c r="AT1389" s="1645"/>
      <c r="AU1389" s="1645"/>
      <c r="AV1389" s="1645"/>
      <c r="AW1389" s="1645"/>
      <c r="AX1389" s="1645"/>
      <c r="AY1389" s="1645"/>
      <c r="AZ1389" s="1645"/>
      <c r="BA1389" s="1645"/>
      <c r="BB1389" s="1645"/>
      <c r="BC1389" s="1645"/>
      <c r="BD1389" s="1645"/>
      <c r="BE1389" s="1645"/>
      <c r="BF1389" s="1645"/>
      <c r="BG1389" s="1645"/>
      <c r="BH1389" s="1645"/>
      <c r="BI1389" s="1645"/>
      <c r="BJ1389" s="1645"/>
      <c r="BK1389" s="1645"/>
      <c r="BL1389" s="1645"/>
      <c r="BM1389" s="1645"/>
      <c r="BN1389" s="1645"/>
      <c r="BO1389" s="1645"/>
      <c r="BP1389" s="1645"/>
      <c r="BQ1389" s="1645"/>
      <c r="BR1389" s="1645"/>
      <c r="BS1389" s="1645"/>
      <c r="BT1389" s="1645"/>
      <c r="BU1389" s="1645"/>
      <c r="BV1389" s="1645"/>
      <c r="BW1389" s="1645"/>
      <c r="BX1389" s="1645"/>
      <c r="BY1389" s="1645"/>
      <c r="BZ1389" s="1645"/>
      <c r="CA1389" s="1645"/>
      <c r="CB1389" s="1645"/>
      <c r="CC1389" s="1645"/>
      <c r="CD1389" s="1645"/>
      <c r="CE1389" s="1645"/>
      <c r="CF1389" s="1645"/>
      <c r="CG1389" s="1645"/>
      <c r="CH1389" s="1645"/>
      <c r="CI1389" s="1645"/>
      <c r="CJ1389" s="1645"/>
      <c r="CK1389" s="1645"/>
      <c r="CL1389" s="1645"/>
      <c r="CM1389" s="1645"/>
      <c r="CN1389" s="1645"/>
      <c r="CO1389" s="1645"/>
      <c r="CP1389" s="1136"/>
      <c r="CQ1389" s="1136"/>
      <c r="CR1389" s="1136"/>
      <c r="CS1389" s="1136"/>
      <c r="CT1389" s="1136"/>
      <c r="CU1389" s="1136"/>
      <c r="CV1389" s="1136"/>
      <c r="CW1389" s="1136"/>
      <c r="CX1389" s="1136"/>
      <c r="CY1389" s="1136"/>
      <c r="CZ1389" s="1136"/>
      <c r="DA1389" s="1136"/>
      <c r="DB1389" s="1136"/>
      <c r="DC1389" s="1136"/>
      <c r="DD1389" s="1136"/>
      <c r="DE1389" s="1136"/>
      <c r="DF1389" s="1136"/>
      <c r="DG1389" s="1136"/>
      <c r="DH1389" s="1136"/>
      <c r="DI1389" s="1136"/>
    </row>
    <row r="1390" spans="1:113" ht="15.75" x14ac:dyDescent="0.25">
      <c r="A1390" s="1483" t="s">
        <v>3088</v>
      </c>
      <c r="B1390" s="1641" t="e">
        <f>B1388/B1389</f>
        <v>#VALUE!</v>
      </c>
      <c r="C1390" s="1407"/>
      <c r="D1390" s="1407"/>
      <c r="E1390" s="1407"/>
      <c r="F1390" s="1407"/>
      <c r="G1390" s="1407"/>
      <c r="H1390" s="1070"/>
      <c r="I1390" s="1136"/>
      <c r="J1390" s="1136"/>
      <c r="K1390" s="1136"/>
      <c r="L1390" s="1136"/>
      <c r="M1390" s="1136"/>
      <c r="N1390" s="1136"/>
      <c r="O1390" s="1136"/>
      <c r="P1390" s="1136"/>
      <c r="Q1390" s="1551"/>
      <c r="R1390" s="1551"/>
      <c r="S1390" s="1551"/>
      <c r="T1390" s="1551"/>
      <c r="U1390" s="1551"/>
      <c r="V1390" s="1551"/>
      <c r="W1390" s="1551"/>
      <c r="X1390" s="1551"/>
      <c r="Y1390" s="1551"/>
      <c r="Z1390" s="1551"/>
      <c r="AA1390" s="1645"/>
      <c r="AB1390" s="1645"/>
      <c r="AC1390" s="1645"/>
      <c r="AD1390" s="1645"/>
      <c r="AE1390" s="1645"/>
      <c r="AF1390" s="1645"/>
      <c r="AG1390" s="1645"/>
      <c r="AH1390" s="1645"/>
      <c r="AI1390" s="1645"/>
      <c r="AJ1390" s="1645"/>
      <c r="AK1390" s="1645"/>
      <c r="AL1390" s="1645"/>
      <c r="AM1390" s="1645"/>
      <c r="AN1390" s="1645"/>
      <c r="AO1390" s="1645"/>
      <c r="AP1390" s="1645"/>
      <c r="AQ1390" s="1645"/>
      <c r="AR1390" s="1645"/>
      <c r="AS1390" s="1645"/>
      <c r="AT1390" s="1645"/>
      <c r="AU1390" s="1645"/>
      <c r="AV1390" s="1645"/>
      <c r="AW1390" s="1645"/>
      <c r="AX1390" s="1645"/>
      <c r="AY1390" s="1645"/>
      <c r="AZ1390" s="1645"/>
      <c r="BA1390" s="1645"/>
      <c r="BB1390" s="1645"/>
      <c r="BC1390" s="1645"/>
      <c r="BD1390" s="1645"/>
      <c r="BE1390" s="1645"/>
      <c r="BF1390" s="1645"/>
      <c r="BG1390" s="1645"/>
      <c r="BH1390" s="1645"/>
      <c r="BI1390" s="1645"/>
      <c r="BJ1390" s="1645"/>
      <c r="BK1390" s="1645"/>
      <c r="BL1390" s="1645"/>
      <c r="BM1390" s="1645"/>
      <c r="BN1390" s="1645"/>
      <c r="BO1390" s="1645"/>
      <c r="BP1390" s="1645"/>
      <c r="BQ1390" s="1645"/>
      <c r="BR1390" s="1645"/>
      <c r="BS1390" s="1645"/>
      <c r="BT1390" s="1645"/>
      <c r="BU1390" s="1645"/>
      <c r="BV1390" s="1645"/>
      <c r="BW1390" s="1645"/>
      <c r="BX1390" s="1645"/>
      <c r="BY1390" s="1645"/>
      <c r="BZ1390" s="1645"/>
      <c r="CA1390" s="1645"/>
      <c r="CB1390" s="1645"/>
      <c r="CC1390" s="1645"/>
      <c r="CD1390" s="1645"/>
      <c r="CE1390" s="1645"/>
      <c r="CF1390" s="1645"/>
      <c r="CG1390" s="1645"/>
      <c r="CH1390" s="1645"/>
      <c r="CI1390" s="1645"/>
      <c r="CJ1390" s="1645"/>
      <c r="CK1390" s="1645"/>
      <c r="CL1390" s="1645"/>
      <c r="CM1390" s="1645"/>
      <c r="CN1390" s="1645"/>
      <c r="CO1390" s="1645"/>
      <c r="CP1390" s="1136"/>
      <c r="CQ1390" s="1136"/>
      <c r="CR1390" s="1136"/>
      <c r="CS1390" s="1136"/>
      <c r="CT1390" s="1136"/>
      <c r="CU1390" s="1136"/>
      <c r="CV1390" s="1136"/>
      <c r="CW1390" s="1136"/>
      <c r="CX1390" s="1136"/>
      <c r="CY1390" s="1136"/>
      <c r="CZ1390" s="1136"/>
      <c r="DA1390" s="1136"/>
      <c r="DB1390" s="1136"/>
      <c r="DC1390" s="1136"/>
      <c r="DD1390" s="1136"/>
      <c r="DE1390" s="1136"/>
      <c r="DF1390" s="1136"/>
      <c r="DG1390" s="1136"/>
      <c r="DH1390" s="1136"/>
      <c r="DI1390" s="1136"/>
    </row>
    <row r="1391" spans="1:113" ht="15.75" x14ac:dyDescent="0.25">
      <c r="A1391" s="1649" t="s">
        <v>3098</v>
      </c>
      <c r="B1391" s="1046"/>
      <c r="C1391" s="1070"/>
      <c r="D1391" s="1070"/>
      <c r="E1391" s="1070"/>
      <c r="F1391" s="1070"/>
      <c r="G1391" s="1070"/>
      <c r="H1391" s="1070"/>
      <c r="I1391" s="1136"/>
      <c r="J1391" s="1136"/>
      <c r="K1391" s="1136"/>
      <c r="L1391" s="1136"/>
      <c r="M1391" s="1136"/>
      <c r="N1391" s="1136"/>
      <c r="O1391" s="1136"/>
      <c r="P1391" s="1136"/>
      <c r="Q1391" s="1551"/>
      <c r="R1391" s="1551"/>
      <c r="S1391" s="1551"/>
      <c r="T1391" s="1551"/>
      <c r="U1391" s="1551"/>
      <c r="V1391" s="1551"/>
      <c r="W1391" s="1551"/>
      <c r="X1391" s="1551"/>
      <c r="Y1391" s="1551"/>
      <c r="Z1391" s="1551"/>
      <c r="AA1391" s="1645"/>
      <c r="AB1391" s="1645"/>
      <c r="AC1391" s="1645"/>
      <c r="AD1391" s="1645"/>
      <c r="AE1391" s="1645"/>
      <c r="AF1391" s="1645"/>
      <c r="AG1391" s="1645"/>
      <c r="AH1391" s="1645"/>
      <c r="AI1391" s="1645"/>
      <c r="AJ1391" s="1645"/>
      <c r="AK1391" s="1645"/>
      <c r="AL1391" s="1645"/>
      <c r="AM1391" s="1645"/>
      <c r="AN1391" s="1645"/>
      <c r="AO1391" s="1645"/>
      <c r="AP1391" s="1645"/>
      <c r="AQ1391" s="1645"/>
      <c r="AR1391" s="1645"/>
      <c r="AS1391" s="1645"/>
      <c r="AT1391" s="1645"/>
      <c r="AU1391" s="1645"/>
      <c r="AV1391" s="1645"/>
      <c r="AW1391" s="1645"/>
      <c r="AX1391" s="1645"/>
      <c r="AY1391" s="1645"/>
      <c r="AZ1391" s="1645"/>
      <c r="BA1391" s="1645"/>
      <c r="BB1391" s="1645"/>
      <c r="BC1391" s="1645"/>
      <c r="BD1391" s="1645"/>
      <c r="BE1391" s="1645"/>
      <c r="BF1391" s="1645"/>
      <c r="BG1391" s="1645"/>
      <c r="BH1391" s="1645"/>
      <c r="BI1391" s="1645"/>
      <c r="BJ1391" s="1645"/>
      <c r="BK1391" s="1645"/>
      <c r="BL1391" s="1645"/>
      <c r="BM1391" s="1645"/>
      <c r="BN1391" s="1645"/>
      <c r="BO1391" s="1645"/>
      <c r="BP1391" s="1645"/>
      <c r="BQ1391" s="1645"/>
      <c r="BR1391" s="1645"/>
      <c r="BS1391" s="1645"/>
      <c r="BT1391" s="1645"/>
      <c r="BU1391" s="1645"/>
      <c r="BV1391" s="1645"/>
      <c r="BW1391" s="1645"/>
      <c r="BX1391" s="1645"/>
      <c r="BY1391" s="1645"/>
      <c r="BZ1391" s="1645"/>
      <c r="CA1391" s="1645"/>
      <c r="CB1391" s="1645"/>
      <c r="CC1391" s="1645"/>
      <c r="CD1391" s="1645"/>
      <c r="CE1391" s="1645"/>
      <c r="CF1391" s="1645"/>
      <c r="CG1391" s="1645"/>
      <c r="CH1391" s="1645"/>
      <c r="CI1391" s="1645"/>
      <c r="CJ1391" s="1645"/>
      <c r="CK1391" s="1645"/>
      <c r="CL1391" s="1645"/>
      <c r="CM1391" s="1645"/>
      <c r="CN1391" s="1645"/>
      <c r="CO1391" s="1645"/>
      <c r="CP1391" s="1136"/>
      <c r="CQ1391" s="1136"/>
      <c r="CR1391" s="1136"/>
      <c r="CS1391" s="1136"/>
      <c r="CT1391" s="1136"/>
      <c r="CU1391" s="1136"/>
      <c r="CV1391" s="1136"/>
      <c r="CW1391" s="1136"/>
      <c r="CX1391" s="1136"/>
      <c r="CY1391" s="1136"/>
      <c r="CZ1391" s="1136"/>
      <c r="DA1391" s="1136"/>
      <c r="DB1391" s="1136"/>
      <c r="DC1391" s="1136"/>
      <c r="DD1391" s="1136"/>
      <c r="DE1391" s="1136"/>
      <c r="DF1391" s="1136"/>
      <c r="DG1391" s="1136"/>
      <c r="DH1391" s="1136"/>
      <c r="DI1391" s="1136"/>
    </row>
    <row r="1392" spans="1:113" ht="15.75" x14ac:dyDescent="0.25">
      <c r="A1392" s="1483" t="s">
        <v>3097</v>
      </c>
      <c r="B1392" s="1641">
        <f>B1375</f>
        <v>0</v>
      </c>
      <c r="C1392" s="1407"/>
      <c r="D1392" s="1407"/>
      <c r="E1392" s="1407"/>
      <c r="F1392" s="1407"/>
      <c r="G1392" s="1407"/>
      <c r="H1392" s="1070"/>
      <c r="I1392" s="1136"/>
      <c r="J1392" s="1136"/>
      <c r="K1392" s="1136"/>
      <c r="L1392" s="1136"/>
      <c r="M1392" s="1136"/>
      <c r="N1392" s="1136"/>
      <c r="O1392" s="1136"/>
      <c r="P1392" s="1136"/>
      <c r="Q1392" s="1551"/>
      <c r="R1392" s="1551"/>
      <c r="S1392" s="1551"/>
      <c r="T1392" s="1551"/>
      <c r="U1392" s="1551"/>
      <c r="V1392" s="1551"/>
      <c r="W1392" s="1551"/>
      <c r="X1392" s="1551"/>
      <c r="Y1392" s="1551"/>
      <c r="Z1392" s="1551"/>
      <c r="AA1392" s="1645"/>
      <c r="AB1392" s="1645"/>
      <c r="AC1392" s="1645"/>
      <c r="AD1392" s="1645"/>
      <c r="AE1392" s="1645"/>
      <c r="AF1392" s="1645"/>
      <c r="AG1392" s="1645"/>
      <c r="AH1392" s="1645"/>
      <c r="AI1392" s="1645"/>
      <c r="AJ1392" s="1645"/>
      <c r="AK1392" s="1645"/>
      <c r="AL1392" s="1645"/>
      <c r="AM1392" s="1645"/>
      <c r="AN1392" s="1645"/>
      <c r="AO1392" s="1645"/>
      <c r="AP1392" s="1645"/>
      <c r="AQ1392" s="1645"/>
      <c r="AR1392" s="1645"/>
      <c r="AS1392" s="1645"/>
      <c r="AT1392" s="1645"/>
      <c r="AU1392" s="1645"/>
      <c r="AV1392" s="1645"/>
      <c r="AW1392" s="1645"/>
      <c r="AX1392" s="1645"/>
      <c r="AY1392" s="1645"/>
      <c r="AZ1392" s="1645"/>
      <c r="BA1392" s="1645"/>
      <c r="BB1392" s="1645"/>
      <c r="BC1392" s="1645"/>
      <c r="BD1392" s="1645"/>
      <c r="BE1392" s="1645"/>
      <c r="BF1392" s="1645"/>
      <c r="BG1392" s="1645"/>
      <c r="BH1392" s="1645"/>
      <c r="BI1392" s="1645"/>
      <c r="BJ1392" s="1645"/>
      <c r="BK1392" s="1645"/>
      <c r="BL1392" s="1645"/>
      <c r="BM1392" s="1645"/>
      <c r="BN1392" s="1645"/>
      <c r="BO1392" s="1645"/>
      <c r="BP1392" s="1645"/>
      <c r="BQ1392" s="1645"/>
      <c r="BR1392" s="1645"/>
      <c r="BS1392" s="1645"/>
      <c r="BT1392" s="1645"/>
      <c r="BU1392" s="1645"/>
      <c r="BV1392" s="1645"/>
      <c r="BW1392" s="1645"/>
      <c r="BX1392" s="1645"/>
      <c r="BY1392" s="1645"/>
      <c r="BZ1392" s="1645"/>
      <c r="CA1392" s="1645"/>
      <c r="CB1392" s="1645"/>
      <c r="CC1392" s="1645"/>
      <c r="CD1392" s="1645"/>
      <c r="CE1392" s="1645"/>
      <c r="CF1392" s="1645"/>
      <c r="CG1392" s="1645"/>
      <c r="CH1392" s="1645"/>
      <c r="CI1392" s="1645"/>
      <c r="CJ1392" s="1645"/>
      <c r="CK1392" s="1645"/>
      <c r="CL1392" s="1645"/>
      <c r="CM1392" s="1645"/>
      <c r="CN1392" s="1645"/>
      <c r="CO1392" s="1645"/>
      <c r="CP1392" s="1136"/>
      <c r="CQ1392" s="1136"/>
      <c r="CR1392" s="1136"/>
      <c r="CS1392" s="1136"/>
      <c r="CT1392" s="1136"/>
      <c r="CU1392" s="1136"/>
      <c r="CV1392" s="1136"/>
      <c r="CW1392" s="1136"/>
      <c r="CX1392" s="1136"/>
      <c r="CY1392" s="1136"/>
      <c r="CZ1392" s="1136"/>
      <c r="DA1392" s="1136"/>
      <c r="DB1392" s="1136"/>
      <c r="DC1392" s="1136"/>
      <c r="DD1392" s="1136"/>
      <c r="DE1392" s="1136"/>
      <c r="DF1392" s="1136"/>
      <c r="DG1392" s="1136"/>
      <c r="DH1392" s="1136"/>
      <c r="DI1392" s="1136"/>
    </row>
    <row r="1393" spans="1:113" ht="15.75" x14ac:dyDescent="0.25">
      <c r="A1393" s="1483" t="s">
        <v>1781</v>
      </c>
      <c r="B1393" s="1641">
        <f>IF(B1392&lt;0.301,9.6,IF(B1392&lt;0.601,10.7,IF(B1392&lt;0.901,12.2,IF(B1392&lt;1.301,14,16))))</f>
        <v>9.6</v>
      </c>
      <c r="C1393" s="1407"/>
      <c r="D1393" s="1407"/>
      <c r="E1393" s="1407"/>
      <c r="F1393" s="1407"/>
      <c r="G1393" s="1407"/>
      <c r="H1393" s="1070"/>
      <c r="I1393" s="1136"/>
      <c r="J1393" s="1136"/>
      <c r="K1393" s="1136"/>
      <c r="L1393" s="1136"/>
      <c r="M1393" s="1136"/>
      <c r="N1393" s="1136"/>
      <c r="O1393" s="1136"/>
      <c r="P1393" s="1136"/>
      <c r="Q1393" s="1551"/>
      <c r="R1393" s="1551"/>
      <c r="S1393" s="1551"/>
      <c r="T1393" s="1551"/>
      <c r="U1393" s="1551"/>
      <c r="V1393" s="1551"/>
      <c r="W1393" s="1551"/>
      <c r="X1393" s="1551"/>
      <c r="Y1393" s="1551"/>
      <c r="Z1393" s="1551"/>
      <c r="AA1393" s="1645"/>
      <c r="AB1393" s="1645"/>
      <c r="AC1393" s="1645"/>
      <c r="AD1393" s="1645"/>
      <c r="AE1393" s="1645"/>
      <c r="AF1393" s="1645"/>
      <c r="AG1393" s="1645"/>
      <c r="AH1393" s="1645"/>
      <c r="AI1393" s="1645"/>
      <c r="AJ1393" s="1645"/>
      <c r="AK1393" s="1645"/>
      <c r="AL1393" s="1645"/>
      <c r="AM1393" s="1645"/>
      <c r="AN1393" s="1645"/>
      <c r="AO1393" s="1645"/>
      <c r="AP1393" s="1645"/>
      <c r="AQ1393" s="1645"/>
      <c r="AR1393" s="1645"/>
      <c r="AS1393" s="1645"/>
      <c r="AT1393" s="1645"/>
      <c r="AU1393" s="1645"/>
      <c r="AV1393" s="1645"/>
      <c r="AW1393" s="1645"/>
      <c r="AX1393" s="1645"/>
      <c r="AY1393" s="1645"/>
      <c r="AZ1393" s="1645"/>
      <c r="BA1393" s="1645"/>
      <c r="BB1393" s="1645"/>
      <c r="BC1393" s="1645"/>
      <c r="BD1393" s="1645"/>
      <c r="BE1393" s="1645"/>
      <c r="BF1393" s="1645"/>
      <c r="BG1393" s="1645"/>
      <c r="BH1393" s="1645"/>
      <c r="BI1393" s="1645"/>
      <c r="BJ1393" s="1645"/>
      <c r="BK1393" s="1645"/>
      <c r="BL1393" s="1645"/>
      <c r="BM1393" s="1645"/>
      <c r="BN1393" s="1645"/>
      <c r="BO1393" s="1645"/>
      <c r="BP1393" s="1645"/>
      <c r="BQ1393" s="1645"/>
      <c r="BR1393" s="1645"/>
      <c r="BS1393" s="1645"/>
      <c r="BT1393" s="1645"/>
      <c r="BU1393" s="1645"/>
      <c r="BV1393" s="1645"/>
      <c r="BW1393" s="1645"/>
      <c r="BX1393" s="1645"/>
      <c r="BY1393" s="1645"/>
      <c r="BZ1393" s="1645"/>
      <c r="CA1393" s="1645"/>
      <c r="CB1393" s="1645"/>
      <c r="CC1393" s="1645"/>
      <c r="CD1393" s="1645"/>
      <c r="CE1393" s="1645"/>
      <c r="CF1393" s="1645"/>
      <c r="CG1393" s="1645"/>
      <c r="CH1393" s="1645"/>
      <c r="CI1393" s="1645"/>
      <c r="CJ1393" s="1645"/>
      <c r="CK1393" s="1645"/>
      <c r="CL1393" s="1645"/>
      <c r="CM1393" s="1645"/>
      <c r="CN1393" s="1645"/>
      <c r="CO1393" s="1645"/>
      <c r="CP1393" s="1136"/>
      <c r="CQ1393" s="1136"/>
      <c r="CR1393" s="1136"/>
      <c r="CS1393" s="1136"/>
      <c r="CT1393" s="1136"/>
      <c r="CU1393" s="1136"/>
      <c r="CV1393" s="1136"/>
      <c r="CW1393" s="1136"/>
      <c r="CX1393" s="1136"/>
      <c r="CY1393" s="1136"/>
      <c r="CZ1393" s="1136"/>
      <c r="DA1393" s="1136"/>
      <c r="DB1393" s="1136"/>
      <c r="DC1393" s="1136"/>
      <c r="DD1393" s="1136"/>
      <c r="DE1393" s="1136"/>
      <c r="DF1393" s="1136"/>
      <c r="DG1393" s="1136"/>
      <c r="DH1393" s="1136"/>
      <c r="DI1393" s="1136"/>
    </row>
    <row r="1394" spans="1:113" ht="15.75" x14ac:dyDescent="0.25">
      <c r="A1394" s="1483" t="s">
        <v>3088</v>
      </c>
      <c r="B1394" s="1641">
        <f>B1392/B1393</f>
        <v>0</v>
      </c>
      <c r="C1394" s="1407"/>
      <c r="D1394" s="1407"/>
      <c r="E1394" s="1407"/>
      <c r="F1394" s="1407"/>
      <c r="G1394" s="1407"/>
      <c r="H1394" s="1070"/>
      <c r="I1394" s="1136"/>
      <c r="J1394" s="1136"/>
      <c r="K1394" s="1136"/>
      <c r="L1394" s="1136"/>
      <c r="M1394" s="1136"/>
      <c r="N1394" s="1136"/>
      <c r="O1394" s="1136"/>
      <c r="P1394" s="1136"/>
      <c r="Q1394" s="1551"/>
      <c r="R1394" s="1551"/>
      <c r="S1394" s="1551"/>
      <c r="T1394" s="1551"/>
      <c r="U1394" s="1551"/>
      <c r="V1394" s="1551"/>
      <c r="W1394" s="1551"/>
      <c r="X1394" s="1551"/>
      <c r="Y1394" s="1551"/>
      <c r="Z1394" s="1551"/>
      <c r="AA1394" s="1645"/>
      <c r="AB1394" s="1645"/>
      <c r="AC1394" s="1645"/>
      <c r="AD1394" s="1645"/>
      <c r="AE1394" s="1645"/>
      <c r="AF1394" s="1645"/>
      <c r="AG1394" s="1645"/>
      <c r="AH1394" s="1645"/>
      <c r="AI1394" s="1645"/>
      <c r="AJ1394" s="1645"/>
      <c r="AK1394" s="1645"/>
      <c r="AL1394" s="1645"/>
      <c r="AM1394" s="1645"/>
      <c r="AN1394" s="1645"/>
      <c r="AO1394" s="1645"/>
      <c r="AP1394" s="1645"/>
      <c r="AQ1394" s="1645"/>
      <c r="AR1394" s="1645"/>
      <c r="AS1394" s="1645"/>
      <c r="AT1394" s="1645"/>
      <c r="AU1394" s="1645"/>
      <c r="AV1394" s="1645"/>
      <c r="AW1394" s="1645"/>
      <c r="AX1394" s="1645"/>
      <c r="AY1394" s="1645"/>
      <c r="AZ1394" s="1645"/>
      <c r="BA1394" s="1645"/>
      <c r="BB1394" s="1645"/>
      <c r="BC1394" s="1645"/>
      <c r="BD1394" s="1645"/>
      <c r="BE1394" s="1645"/>
      <c r="BF1394" s="1645"/>
      <c r="BG1394" s="1645"/>
      <c r="BH1394" s="1645"/>
      <c r="BI1394" s="1645"/>
      <c r="BJ1394" s="1645"/>
      <c r="BK1394" s="1645"/>
      <c r="BL1394" s="1645"/>
      <c r="BM1394" s="1645"/>
      <c r="BN1394" s="1645"/>
      <c r="BO1394" s="1645"/>
      <c r="BP1394" s="1645"/>
      <c r="BQ1394" s="1645"/>
      <c r="BR1394" s="1645"/>
      <c r="BS1394" s="1645"/>
      <c r="BT1394" s="1645"/>
      <c r="BU1394" s="1645"/>
      <c r="BV1394" s="1645"/>
      <c r="BW1394" s="1645"/>
      <c r="BX1394" s="1645"/>
      <c r="BY1394" s="1645"/>
      <c r="BZ1394" s="1645"/>
      <c r="CA1394" s="1645"/>
      <c r="CB1394" s="1645"/>
      <c r="CC1394" s="1645"/>
      <c r="CD1394" s="1645"/>
      <c r="CE1394" s="1645"/>
      <c r="CF1394" s="1645"/>
      <c r="CG1394" s="1645"/>
      <c r="CH1394" s="1645"/>
      <c r="CI1394" s="1645"/>
      <c r="CJ1394" s="1645"/>
      <c r="CK1394" s="1645"/>
      <c r="CL1394" s="1645"/>
      <c r="CM1394" s="1645"/>
      <c r="CN1394" s="1645"/>
      <c r="CO1394" s="1645"/>
      <c r="CP1394" s="1136"/>
      <c r="CQ1394" s="1136"/>
      <c r="CR1394" s="1136"/>
      <c r="CS1394" s="1136"/>
      <c r="CT1394" s="1136"/>
      <c r="CU1394" s="1136"/>
      <c r="CV1394" s="1136"/>
      <c r="CW1394" s="1136"/>
      <c r="CX1394" s="1136"/>
      <c r="CY1394" s="1136"/>
      <c r="CZ1394" s="1136"/>
      <c r="DA1394" s="1136"/>
      <c r="DB1394" s="1136"/>
      <c r="DC1394" s="1136"/>
      <c r="DD1394" s="1136"/>
      <c r="DE1394" s="1136"/>
      <c r="DF1394" s="1136"/>
      <c r="DG1394" s="1136"/>
      <c r="DH1394" s="1136"/>
      <c r="DI1394" s="1136"/>
    </row>
    <row r="1395" spans="1:113" ht="15.75" x14ac:dyDescent="0.25">
      <c r="A1395" s="1649" t="s">
        <v>478</v>
      </c>
      <c r="B1395" s="1641"/>
      <c r="C1395" s="1407"/>
      <c r="D1395" s="1407"/>
      <c r="E1395" s="1407"/>
      <c r="F1395" s="1407"/>
      <c r="G1395" s="1407"/>
      <c r="H1395" s="1070"/>
      <c r="I1395" s="1136"/>
      <c r="J1395" s="1136"/>
      <c r="K1395" s="1136"/>
      <c r="L1395" s="1136"/>
      <c r="M1395" s="1136"/>
      <c r="N1395" s="1136"/>
      <c r="O1395" s="1136"/>
      <c r="P1395" s="1136"/>
      <c r="Q1395" s="1551"/>
      <c r="R1395" s="1551"/>
      <c r="S1395" s="1551"/>
      <c r="T1395" s="1551"/>
      <c r="U1395" s="1551"/>
      <c r="V1395" s="1551"/>
      <c r="W1395" s="1551"/>
      <c r="X1395" s="1551"/>
      <c r="Y1395" s="1551"/>
      <c r="Z1395" s="1551"/>
      <c r="AA1395" s="1645"/>
      <c r="AB1395" s="1645"/>
      <c r="AC1395" s="1645"/>
      <c r="AD1395" s="1645"/>
      <c r="AE1395" s="1645"/>
      <c r="AF1395" s="1645"/>
      <c r="AG1395" s="1645"/>
      <c r="AH1395" s="1645"/>
      <c r="AI1395" s="1645"/>
      <c r="AJ1395" s="1645"/>
      <c r="AK1395" s="1645"/>
      <c r="AL1395" s="1645"/>
      <c r="AM1395" s="1645"/>
      <c r="AN1395" s="1645"/>
      <c r="AO1395" s="1645"/>
      <c r="AP1395" s="1645"/>
      <c r="AQ1395" s="1645"/>
      <c r="AR1395" s="1645"/>
      <c r="AS1395" s="1645"/>
      <c r="AT1395" s="1645"/>
      <c r="AU1395" s="1645"/>
      <c r="AV1395" s="1645"/>
      <c r="AW1395" s="1645"/>
      <c r="AX1395" s="1645"/>
      <c r="AY1395" s="1645"/>
      <c r="AZ1395" s="1645"/>
      <c r="BA1395" s="1645"/>
      <c r="BB1395" s="1645"/>
      <c r="BC1395" s="1645"/>
      <c r="BD1395" s="1645"/>
      <c r="BE1395" s="1645"/>
      <c r="BF1395" s="1645"/>
      <c r="BG1395" s="1645"/>
      <c r="BH1395" s="1645"/>
      <c r="BI1395" s="1645"/>
      <c r="BJ1395" s="1645"/>
      <c r="BK1395" s="1645"/>
      <c r="BL1395" s="1645"/>
      <c r="BM1395" s="1645"/>
      <c r="BN1395" s="1645"/>
      <c r="BO1395" s="1645"/>
      <c r="BP1395" s="1645"/>
      <c r="BQ1395" s="1645"/>
      <c r="BR1395" s="1645"/>
      <c r="BS1395" s="1645"/>
      <c r="BT1395" s="1645"/>
      <c r="BU1395" s="1645"/>
      <c r="BV1395" s="1645"/>
      <c r="BW1395" s="1645"/>
      <c r="BX1395" s="1645"/>
      <c r="BY1395" s="1645"/>
      <c r="BZ1395" s="1645"/>
      <c r="CA1395" s="1645"/>
      <c r="CB1395" s="1645"/>
      <c r="CC1395" s="1645"/>
      <c r="CD1395" s="1645"/>
      <c r="CE1395" s="1645"/>
      <c r="CF1395" s="1645"/>
      <c r="CG1395" s="1645"/>
      <c r="CH1395" s="1645"/>
      <c r="CI1395" s="1645"/>
      <c r="CJ1395" s="1645"/>
      <c r="CK1395" s="1645"/>
      <c r="CL1395" s="1645"/>
      <c r="CM1395" s="1645"/>
      <c r="CN1395" s="1645"/>
      <c r="CO1395" s="1645"/>
      <c r="CP1395" s="1136"/>
      <c r="CQ1395" s="1136"/>
      <c r="CR1395" s="1136"/>
      <c r="CS1395" s="1136"/>
      <c r="CT1395" s="1136"/>
      <c r="CU1395" s="1136"/>
      <c r="CV1395" s="1136"/>
      <c r="CW1395" s="1136"/>
      <c r="CX1395" s="1136"/>
      <c r="CY1395" s="1136"/>
      <c r="CZ1395" s="1136"/>
      <c r="DA1395" s="1136"/>
      <c r="DB1395" s="1136"/>
      <c r="DC1395" s="1136"/>
      <c r="DD1395" s="1136"/>
      <c r="DE1395" s="1136"/>
      <c r="DF1395" s="1136"/>
      <c r="DG1395" s="1136"/>
      <c r="DH1395" s="1136"/>
      <c r="DI1395" s="1136"/>
    </row>
    <row r="1396" spans="1:113" ht="15.75" x14ac:dyDescent="0.25">
      <c r="A1396" s="1653" t="s">
        <v>3099</v>
      </c>
      <c r="B1396" s="1406">
        <f>IF(B298=2,1,0)</f>
        <v>0</v>
      </c>
      <c r="C1396" s="1407"/>
      <c r="D1396" s="1407"/>
      <c r="E1396" s="1407"/>
      <c r="F1396" s="1407"/>
      <c r="G1396" s="1407"/>
      <c r="H1396" s="1070"/>
      <c r="I1396" s="1136"/>
      <c r="J1396" s="1136"/>
      <c r="K1396" s="1136"/>
      <c r="L1396" s="1136"/>
      <c r="M1396" s="1136"/>
      <c r="N1396" s="1136"/>
      <c r="O1396" s="1136"/>
      <c r="P1396" s="1136"/>
      <c r="Q1396" s="1551"/>
      <c r="R1396" s="1551"/>
      <c r="S1396" s="1551"/>
      <c r="T1396" s="1551"/>
      <c r="U1396" s="1551"/>
      <c r="V1396" s="1551"/>
      <c r="W1396" s="1551"/>
      <c r="X1396" s="1551"/>
      <c r="Y1396" s="1551"/>
      <c r="Z1396" s="1551"/>
      <c r="AA1396" s="1645"/>
      <c r="AB1396" s="1645"/>
      <c r="AC1396" s="1645"/>
      <c r="AD1396" s="1645"/>
      <c r="AE1396" s="1645"/>
      <c r="AF1396" s="1645"/>
      <c r="AG1396" s="1645"/>
      <c r="AH1396" s="1645"/>
      <c r="AI1396" s="1645"/>
      <c r="AJ1396" s="1645"/>
      <c r="AK1396" s="1645"/>
      <c r="AL1396" s="1645"/>
      <c r="AM1396" s="1645"/>
      <c r="AN1396" s="1645"/>
      <c r="AO1396" s="1645"/>
      <c r="AP1396" s="1645"/>
      <c r="AQ1396" s="1645"/>
      <c r="AR1396" s="1645"/>
      <c r="AS1396" s="1645"/>
      <c r="AT1396" s="1645"/>
      <c r="AU1396" s="1645"/>
      <c r="AV1396" s="1645"/>
      <c r="AW1396" s="1645"/>
      <c r="AX1396" s="1645"/>
      <c r="AY1396" s="1645"/>
      <c r="AZ1396" s="1645"/>
      <c r="BA1396" s="1645"/>
      <c r="BB1396" s="1645"/>
      <c r="BC1396" s="1645"/>
      <c r="BD1396" s="1645"/>
      <c r="BE1396" s="1645"/>
      <c r="BF1396" s="1645"/>
      <c r="BG1396" s="1645"/>
      <c r="BH1396" s="1645"/>
      <c r="BI1396" s="1645"/>
      <c r="BJ1396" s="1645"/>
      <c r="BK1396" s="1645"/>
      <c r="BL1396" s="1645"/>
      <c r="BM1396" s="1645"/>
      <c r="BN1396" s="1645"/>
      <c r="BO1396" s="1645"/>
      <c r="BP1396" s="1645"/>
      <c r="BQ1396" s="1645"/>
      <c r="BR1396" s="1645"/>
      <c r="BS1396" s="1645"/>
      <c r="BT1396" s="1645"/>
      <c r="BU1396" s="1645"/>
      <c r="BV1396" s="1645"/>
      <c r="BW1396" s="1645"/>
      <c r="BX1396" s="1645"/>
      <c r="BY1396" s="1645"/>
      <c r="BZ1396" s="1645"/>
      <c r="CA1396" s="1645"/>
      <c r="CB1396" s="1645"/>
      <c r="CC1396" s="1645"/>
      <c r="CD1396" s="1645"/>
      <c r="CE1396" s="1645"/>
      <c r="CF1396" s="1645"/>
      <c r="CG1396" s="1645"/>
      <c r="CH1396" s="1645"/>
      <c r="CI1396" s="1645"/>
      <c r="CJ1396" s="1645"/>
      <c r="CK1396" s="1645"/>
      <c r="CL1396" s="1645"/>
      <c r="CM1396" s="1645"/>
      <c r="CN1396" s="1645"/>
      <c r="CO1396" s="1645"/>
      <c r="CP1396" s="1136"/>
      <c r="CQ1396" s="1136"/>
      <c r="CR1396" s="1136"/>
      <c r="CS1396" s="1136"/>
      <c r="CT1396" s="1136"/>
      <c r="CU1396" s="1136"/>
      <c r="CV1396" s="1136"/>
      <c r="CW1396" s="1136"/>
      <c r="CX1396" s="1136"/>
      <c r="CY1396" s="1136"/>
      <c r="CZ1396" s="1136"/>
      <c r="DA1396" s="1136"/>
      <c r="DB1396" s="1136"/>
      <c r="DC1396" s="1136"/>
      <c r="DD1396" s="1136"/>
      <c r="DE1396" s="1136"/>
      <c r="DF1396" s="1136"/>
      <c r="DG1396" s="1136"/>
      <c r="DH1396" s="1136"/>
      <c r="DI1396" s="1136"/>
    </row>
    <row r="1397" spans="1:113" ht="15.75" x14ac:dyDescent="0.25">
      <c r="A1397" s="1483" t="s">
        <v>3100</v>
      </c>
      <c r="B1397" s="1641">
        <f>0.17+0.3*(B1365+1000)/1000</f>
        <v>1.07</v>
      </c>
      <c r="C1397" s="1407"/>
      <c r="D1397" s="1407"/>
      <c r="E1397" s="1407"/>
      <c r="F1397" s="1407"/>
      <c r="G1397" s="1407"/>
      <c r="H1397" s="1070"/>
      <c r="I1397" s="1136"/>
      <c r="J1397" s="1136"/>
      <c r="K1397" s="1136"/>
      <c r="L1397" s="1136"/>
      <c r="M1397" s="1136"/>
      <c r="N1397" s="1136"/>
      <c r="O1397" s="1136"/>
      <c r="P1397" s="1136"/>
      <c r="Q1397" s="1551"/>
      <c r="R1397" s="1551"/>
      <c r="S1397" s="1551"/>
      <c r="T1397" s="1551"/>
      <c r="U1397" s="1551"/>
      <c r="V1397" s="1551"/>
      <c r="W1397" s="1551"/>
      <c r="X1397" s="1551"/>
      <c r="Y1397" s="1551"/>
      <c r="Z1397" s="1551"/>
      <c r="AA1397" s="1645"/>
      <c r="AB1397" s="1645"/>
      <c r="AC1397" s="1645"/>
      <c r="AD1397" s="1645"/>
      <c r="AE1397" s="1645"/>
      <c r="AF1397" s="1645"/>
      <c r="AG1397" s="1645"/>
      <c r="AH1397" s="1645"/>
      <c r="AI1397" s="1645"/>
      <c r="AJ1397" s="1645"/>
      <c r="AK1397" s="1645"/>
      <c r="AL1397" s="1645"/>
      <c r="AM1397" s="1645"/>
      <c r="AN1397" s="1645"/>
      <c r="AO1397" s="1645"/>
      <c r="AP1397" s="1645"/>
      <c r="AQ1397" s="1645"/>
      <c r="AR1397" s="1645"/>
      <c r="AS1397" s="1645"/>
      <c r="AT1397" s="1645"/>
      <c r="AU1397" s="1645"/>
      <c r="AV1397" s="1645"/>
      <c r="AW1397" s="1645"/>
      <c r="AX1397" s="1645"/>
      <c r="AY1397" s="1645"/>
      <c r="AZ1397" s="1645"/>
      <c r="BA1397" s="1645"/>
      <c r="BB1397" s="1645"/>
      <c r="BC1397" s="1645"/>
      <c r="BD1397" s="1645"/>
      <c r="BE1397" s="1645"/>
      <c r="BF1397" s="1645"/>
      <c r="BG1397" s="1645"/>
      <c r="BH1397" s="1645"/>
      <c r="BI1397" s="1645"/>
      <c r="BJ1397" s="1645"/>
      <c r="BK1397" s="1645"/>
      <c r="BL1397" s="1645"/>
      <c r="BM1397" s="1645"/>
      <c r="BN1397" s="1645"/>
      <c r="BO1397" s="1645"/>
      <c r="BP1397" s="1645"/>
      <c r="BQ1397" s="1645"/>
      <c r="BR1397" s="1645"/>
      <c r="BS1397" s="1645"/>
      <c r="BT1397" s="1645"/>
      <c r="BU1397" s="1645"/>
      <c r="BV1397" s="1645"/>
      <c r="BW1397" s="1645"/>
      <c r="BX1397" s="1645"/>
      <c r="BY1397" s="1645"/>
      <c r="BZ1397" s="1645"/>
      <c r="CA1397" s="1645"/>
      <c r="CB1397" s="1645"/>
      <c r="CC1397" s="1645"/>
      <c r="CD1397" s="1645"/>
      <c r="CE1397" s="1645"/>
      <c r="CF1397" s="1645"/>
      <c r="CG1397" s="1645"/>
      <c r="CH1397" s="1645"/>
      <c r="CI1397" s="1645"/>
      <c r="CJ1397" s="1645"/>
      <c r="CK1397" s="1645"/>
      <c r="CL1397" s="1645"/>
      <c r="CM1397" s="1645"/>
      <c r="CN1397" s="1645"/>
      <c r="CO1397" s="1645"/>
      <c r="CP1397" s="1136"/>
      <c r="CQ1397" s="1136"/>
      <c r="CR1397" s="1136"/>
      <c r="CS1397" s="1136"/>
      <c r="CT1397" s="1136"/>
      <c r="CU1397" s="1136"/>
      <c r="CV1397" s="1136"/>
      <c r="CW1397" s="1136"/>
      <c r="CX1397" s="1136"/>
      <c r="CY1397" s="1136"/>
      <c r="CZ1397" s="1136"/>
      <c r="DA1397" s="1136"/>
      <c r="DB1397" s="1136"/>
      <c r="DC1397" s="1136"/>
      <c r="DD1397" s="1136"/>
      <c r="DE1397" s="1136"/>
      <c r="DF1397" s="1136"/>
      <c r="DG1397" s="1136"/>
      <c r="DH1397" s="1136"/>
      <c r="DI1397" s="1136"/>
    </row>
    <row r="1398" spans="1:113" ht="15.75" x14ac:dyDescent="0.25">
      <c r="A1398" s="1483" t="s">
        <v>3101</v>
      </c>
      <c r="B1398" s="1641">
        <f>IF(B1396=1,B1397/6,0)</f>
        <v>0</v>
      </c>
      <c r="C1398" s="1407"/>
      <c r="D1398" s="1407"/>
      <c r="E1398" s="1407"/>
      <c r="F1398" s="1407"/>
      <c r="G1398" s="1407"/>
      <c r="H1398" s="1070"/>
      <c r="I1398" s="1136"/>
      <c r="J1398" s="1136"/>
      <c r="K1398" s="1136"/>
      <c r="L1398" s="1136"/>
      <c r="M1398" s="1136"/>
      <c r="N1398" s="1136"/>
      <c r="O1398" s="1136"/>
      <c r="P1398" s="1136"/>
      <c r="Q1398" s="1551"/>
      <c r="R1398" s="1551"/>
      <c r="S1398" s="1551"/>
      <c r="T1398" s="1551"/>
      <c r="U1398" s="1551"/>
      <c r="V1398" s="1551"/>
      <c r="W1398" s="1551"/>
      <c r="X1398" s="1551"/>
      <c r="Y1398" s="1551"/>
      <c r="Z1398" s="1551"/>
      <c r="AA1398" s="1645"/>
      <c r="AB1398" s="1645"/>
      <c r="AC1398" s="1645"/>
      <c r="AD1398" s="1645"/>
      <c r="AE1398" s="1645"/>
      <c r="AF1398" s="1645"/>
      <c r="AG1398" s="1645"/>
      <c r="AH1398" s="1645"/>
      <c r="AI1398" s="1645"/>
      <c r="AJ1398" s="1645"/>
      <c r="AK1398" s="1645"/>
      <c r="AL1398" s="1645"/>
      <c r="AM1398" s="1645"/>
      <c r="AN1398" s="1645"/>
      <c r="AO1398" s="1645"/>
      <c r="AP1398" s="1645"/>
      <c r="AQ1398" s="1645"/>
      <c r="AR1398" s="1645"/>
      <c r="AS1398" s="1645"/>
      <c r="AT1398" s="1645"/>
      <c r="AU1398" s="1645"/>
      <c r="AV1398" s="1645"/>
      <c r="AW1398" s="1645"/>
      <c r="AX1398" s="1645"/>
      <c r="AY1398" s="1645"/>
      <c r="AZ1398" s="1645"/>
      <c r="BA1398" s="1645"/>
      <c r="BB1398" s="1645"/>
      <c r="BC1398" s="1645"/>
      <c r="BD1398" s="1645"/>
      <c r="BE1398" s="1645"/>
      <c r="BF1398" s="1645"/>
      <c r="BG1398" s="1645"/>
      <c r="BH1398" s="1645"/>
      <c r="BI1398" s="1645"/>
      <c r="BJ1398" s="1645"/>
      <c r="BK1398" s="1645"/>
      <c r="BL1398" s="1645"/>
      <c r="BM1398" s="1645"/>
      <c r="BN1398" s="1645"/>
      <c r="BO1398" s="1645"/>
      <c r="BP1398" s="1645"/>
      <c r="BQ1398" s="1645"/>
      <c r="BR1398" s="1645"/>
      <c r="BS1398" s="1645"/>
      <c r="BT1398" s="1645"/>
      <c r="BU1398" s="1645"/>
      <c r="BV1398" s="1645"/>
      <c r="BW1398" s="1645"/>
      <c r="BX1398" s="1645"/>
      <c r="BY1398" s="1645"/>
      <c r="BZ1398" s="1645"/>
      <c r="CA1398" s="1645"/>
      <c r="CB1398" s="1645"/>
      <c r="CC1398" s="1645"/>
      <c r="CD1398" s="1645"/>
      <c r="CE1398" s="1645"/>
      <c r="CF1398" s="1645"/>
      <c r="CG1398" s="1645"/>
      <c r="CH1398" s="1645"/>
      <c r="CI1398" s="1645"/>
      <c r="CJ1398" s="1645"/>
      <c r="CK1398" s="1645"/>
      <c r="CL1398" s="1645"/>
      <c r="CM1398" s="1645"/>
      <c r="CN1398" s="1645"/>
      <c r="CO1398" s="1645"/>
      <c r="CP1398" s="1136"/>
      <c r="CQ1398" s="1136"/>
      <c r="CR1398" s="1136"/>
      <c r="CS1398" s="1136"/>
      <c r="CT1398" s="1136"/>
      <c r="CU1398" s="1136"/>
      <c r="CV1398" s="1136"/>
      <c r="CW1398" s="1136"/>
      <c r="CX1398" s="1136"/>
      <c r="CY1398" s="1136"/>
      <c r="CZ1398" s="1136"/>
      <c r="DA1398" s="1136"/>
      <c r="DB1398" s="1136"/>
      <c r="DC1398" s="1136"/>
      <c r="DD1398" s="1136"/>
      <c r="DE1398" s="1136"/>
      <c r="DF1398" s="1136"/>
      <c r="DG1398" s="1136"/>
      <c r="DH1398" s="1136"/>
      <c r="DI1398" s="1136"/>
    </row>
    <row r="1399" spans="1:113" ht="15.75" x14ac:dyDescent="0.25">
      <c r="A1399" s="1651" t="s">
        <v>3102</v>
      </c>
      <c r="B1399" s="1657" t="e">
        <f>B1398+B1394+B1390+B1386+B1382+B1377+B1373+B1369+B1363</f>
        <v>#VALUE!</v>
      </c>
      <c r="C1399" s="1410"/>
      <c r="D1399" s="1410"/>
      <c r="E1399" s="1410"/>
      <c r="F1399" s="1410"/>
      <c r="G1399" s="1410"/>
      <c r="H1399" s="1070"/>
      <c r="I1399" s="1136"/>
      <c r="J1399" s="1136"/>
      <c r="K1399" s="1136"/>
      <c r="L1399" s="1136"/>
      <c r="M1399" s="1136"/>
      <c r="N1399" s="1136"/>
      <c r="O1399" s="1136"/>
      <c r="P1399" s="1136"/>
      <c r="Q1399" s="1551"/>
      <c r="R1399" s="1551"/>
      <c r="S1399" s="1551"/>
      <c r="T1399" s="1551"/>
      <c r="U1399" s="1551"/>
      <c r="V1399" s="1551"/>
      <c r="W1399" s="1551"/>
      <c r="X1399" s="1551"/>
      <c r="Y1399" s="1551"/>
      <c r="Z1399" s="1551"/>
      <c r="AA1399" s="1645"/>
      <c r="AB1399" s="1645"/>
      <c r="AC1399" s="1645"/>
      <c r="AD1399" s="1645"/>
      <c r="AE1399" s="1645"/>
      <c r="AF1399" s="1645"/>
      <c r="AG1399" s="1645"/>
      <c r="AH1399" s="1645"/>
      <c r="AI1399" s="1645"/>
      <c r="AJ1399" s="1645"/>
      <c r="AK1399" s="1645"/>
      <c r="AL1399" s="1645"/>
      <c r="AM1399" s="1645"/>
      <c r="AN1399" s="1645"/>
      <c r="AO1399" s="1645"/>
      <c r="AP1399" s="1645"/>
      <c r="AQ1399" s="1645"/>
      <c r="AR1399" s="1645"/>
      <c r="AS1399" s="1645"/>
      <c r="AT1399" s="1645"/>
      <c r="AU1399" s="1645"/>
      <c r="AV1399" s="1645"/>
      <c r="AW1399" s="1645"/>
      <c r="AX1399" s="1645"/>
      <c r="AY1399" s="1645"/>
      <c r="AZ1399" s="1645"/>
      <c r="BA1399" s="1645"/>
      <c r="BB1399" s="1645"/>
      <c r="BC1399" s="1645"/>
      <c r="BD1399" s="1645"/>
      <c r="BE1399" s="1645"/>
      <c r="BF1399" s="1645"/>
      <c r="BG1399" s="1645"/>
      <c r="BH1399" s="1645"/>
      <c r="BI1399" s="1645"/>
      <c r="BJ1399" s="1645"/>
      <c r="BK1399" s="1645"/>
      <c r="BL1399" s="1645"/>
      <c r="BM1399" s="1645"/>
      <c r="BN1399" s="1645"/>
      <c r="BO1399" s="1645"/>
      <c r="BP1399" s="1645"/>
      <c r="BQ1399" s="1645"/>
      <c r="BR1399" s="1645"/>
      <c r="BS1399" s="1645"/>
      <c r="BT1399" s="1645"/>
      <c r="BU1399" s="1645"/>
      <c r="BV1399" s="1645"/>
      <c r="BW1399" s="1645"/>
      <c r="BX1399" s="1645"/>
      <c r="BY1399" s="1645"/>
      <c r="BZ1399" s="1645"/>
      <c r="CA1399" s="1645"/>
      <c r="CB1399" s="1645"/>
      <c r="CC1399" s="1645"/>
      <c r="CD1399" s="1645"/>
      <c r="CE1399" s="1645"/>
      <c r="CF1399" s="1645"/>
      <c r="CG1399" s="1645"/>
      <c r="CH1399" s="1645"/>
      <c r="CI1399" s="1645"/>
      <c r="CJ1399" s="1645"/>
      <c r="CK1399" s="1645"/>
      <c r="CL1399" s="1645"/>
      <c r="CM1399" s="1645"/>
      <c r="CN1399" s="1645"/>
      <c r="CO1399" s="1645"/>
      <c r="CP1399" s="1136"/>
      <c r="CQ1399" s="1136"/>
      <c r="CR1399" s="1136"/>
      <c r="CS1399" s="1136"/>
      <c r="CT1399" s="1136"/>
      <c r="CU1399" s="1136"/>
      <c r="CV1399" s="1136"/>
      <c r="CW1399" s="1136"/>
      <c r="CX1399" s="1136"/>
      <c r="CY1399" s="1136"/>
      <c r="CZ1399" s="1136"/>
      <c r="DA1399" s="1136"/>
      <c r="DB1399" s="1136"/>
      <c r="DC1399" s="1136"/>
      <c r="DD1399" s="1136"/>
      <c r="DE1399" s="1136"/>
      <c r="DF1399" s="1136"/>
      <c r="DG1399" s="1136"/>
      <c r="DH1399" s="1136"/>
      <c r="DI1399" s="1136"/>
    </row>
    <row r="1400" spans="1:113" ht="15.75" x14ac:dyDescent="0.25">
      <c r="A1400" s="1651" t="s">
        <v>3103</v>
      </c>
      <c r="B1400" s="1657" t="e">
        <f>B1399+B1355</f>
        <v>#VALUE!</v>
      </c>
      <c r="C1400" s="1410"/>
      <c r="D1400" s="1410"/>
      <c r="E1400" s="1410"/>
      <c r="F1400" s="1410"/>
      <c r="G1400" s="1410"/>
      <c r="H1400" s="1070"/>
      <c r="I1400" s="1136"/>
      <c r="J1400" s="1136"/>
      <c r="K1400" s="1136"/>
      <c r="L1400" s="1136"/>
      <c r="M1400" s="1136"/>
      <c r="N1400" s="1136"/>
      <c r="O1400" s="1136"/>
      <c r="P1400" s="1136"/>
      <c r="Q1400" s="1551"/>
      <c r="R1400" s="1551"/>
      <c r="S1400" s="1551"/>
      <c r="T1400" s="1551"/>
      <c r="U1400" s="1551"/>
      <c r="V1400" s="1551"/>
      <c r="W1400" s="1551"/>
      <c r="X1400" s="1551"/>
      <c r="Y1400" s="1551"/>
      <c r="Z1400" s="1551"/>
      <c r="AA1400" s="1645"/>
      <c r="AB1400" s="1645"/>
      <c r="AC1400" s="1645"/>
      <c r="AD1400" s="1645"/>
      <c r="AE1400" s="1645"/>
      <c r="AF1400" s="1645"/>
      <c r="AG1400" s="1645"/>
      <c r="AH1400" s="1645"/>
      <c r="AI1400" s="1645"/>
      <c r="AJ1400" s="1645"/>
      <c r="AK1400" s="1645"/>
      <c r="AL1400" s="1645"/>
      <c r="AM1400" s="1645"/>
      <c r="AN1400" s="1645"/>
      <c r="AO1400" s="1645"/>
      <c r="AP1400" s="1645"/>
      <c r="AQ1400" s="1645"/>
      <c r="AR1400" s="1645"/>
      <c r="AS1400" s="1645"/>
      <c r="AT1400" s="1645"/>
      <c r="AU1400" s="1645"/>
      <c r="AV1400" s="1645"/>
      <c r="AW1400" s="1645"/>
      <c r="AX1400" s="1645"/>
      <c r="AY1400" s="1645"/>
      <c r="AZ1400" s="1645"/>
      <c r="BA1400" s="1645"/>
      <c r="BB1400" s="1645"/>
      <c r="BC1400" s="1645"/>
      <c r="BD1400" s="1645"/>
      <c r="BE1400" s="1645"/>
      <c r="BF1400" s="1645"/>
      <c r="BG1400" s="1645"/>
      <c r="BH1400" s="1645"/>
      <c r="BI1400" s="1645"/>
      <c r="BJ1400" s="1645"/>
      <c r="BK1400" s="1645"/>
      <c r="BL1400" s="1645"/>
      <c r="BM1400" s="1645"/>
      <c r="BN1400" s="1645"/>
      <c r="BO1400" s="1645"/>
      <c r="BP1400" s="1645"/>
      <c r="BQ1400" s="1645"/>
      <c r="BR1400" s="1645"/>
      <c r="BS1400" s="1645"/>
      <c r="BT1400" s="1645"/>
      <c r="BU1400" s="1645"/>
      <c r="BV1400" s="1645"/>
      <c r="BW1400" s="1645"/>
      <c r="BX1400" s="1645"/>
      <c r="BY1400" s="1645"/>
      <c r="BZ1400" s="1645"/>
      <c r="CA1400" s="1645"/>
      <c r="CB1400" s="1645"/>
      <c r="CC1400" s="1645"/>
      <c r="CD1400" s="1645"/>
      <c r="CE1400" s="1645"/>
      <c r="CF1400" s="1645"/>
      <c r="CG1400" s="1645"/>
      <c r="CH1400" s="1645"/>
      <c r="CI1400" s="1645"/>
      <c r="CJ1400" s="1645"/>
      <c r="CK1400" s="1645"/>
      <c r="CL1400" s="1645"/>
      <c r="CM1400" s="1645"/>
      <c r="CN1400" s="1645"/>
      <c r="CO1400" s="1645"/>
      <c r="CP1400" s="1136"/>
      <c r="CQ1400" s="1136"/>
      <c r="CR1400" s="1136"/>
      <c r="CS1400" s="1136"/>
      <c r="CT1400" s="1136"/>
      <c r="CU1400" s="1136"/>
      <c r="CV1400" s="1136"/>
      <c r="CW1400" s="1136"/>
      <c r="CX1400" s="1136"/>
      <c r="CY1400" s="1136"/>
      <c r="CZ1400" s="1136"/>
      <c r="DA1400" s="1136"/>
      <c r="DB1400" s="1136"/>
      <c r="DC1400" s="1136"/>
      <c r="DD1400" s="1136"/>
      <c r="DE1400" s="1136"/>
      <c r="DF1400" s="1136"/>
      <c r="DG1400" s="1136"/>
      <c r="DH1400" s="1136"/>
      <c r="DI1400" s="1136"/>
    </row>
    <row r="1401" spans="1:113" ht="15.75" x14ac:dyDescent="0.25">
      <c r="A1401" s="1651" t="s">
        <v>3104</v>
      </c>
      <c r="B1401" s="1657" t="e">
        <f>B1400/B329</f>
        <v>#VALUE!</v>
      </c>
      <c r="C1401" s="1410"/>
      <c r="D1401" s="1410"/>
      <c r="E1401" s="1410"/>
      <c r="F1401" s="1410"/>
      <c r="G1401" s="1410"/>
      <c r="H1401" s="1070"/>
      <c r="I1401" s="1136"/>
      <c r="J1401" s="1136"/>
      <c r="K1401" s="1136"/>
      <c r="L1401" s="1136"/>
      <c r="M1401" s="1136"/>
      <c r="N1401" s="1136"/>
      <c r="O1401" s="1136"/>
      <c r="P1401" s="1136"/>
      <c r="Q1401" s="1551"/>
      <c r="R1401" s="1551"/>
      <c r="S1401" s="1551"/>
      <c r="T1401" s="1551"/>
      <c r="U1401" s="1551"/>
      <c r="V1401" s="1551"/>
      <c r="W1401" s="1551"/>
      <c r="X1401" s="1551"/>
      <c r="Y1401" s="1551"/>
      <c r="Z1401" s="1551"/>
      <c r="AA1401" s="1645"/>
      <c r="AB1401" s="1645"/>
      <c r="AC1401" s="1645"/>
      <c r="AD1401" s="1645"/>
      <c r="AE1401" s="1645"/>
      <c r="AF1401" s="1645"/>
      <c r="AG1401" s="1645"/>
      <c r="AH1401" s="1645"/>
      <c r="AI1401" s="1645"/>
      <c r="AJ1401" s="1645"/>
      <c r="AK1401" s="1645"/>
      <c r="AL1401" s="1645"/>
      <c r="AM1401" s="1645"/>
      <c r="AN1401" s="1645"/>
      <c r="AO1401" s="1645"/>
      <c r="AP1401" s="1645"/>
      <c r="AQ1401" s="1645"/>
      <c r="AR1401" s="1645"/>
      <c r="AS1401" s="1645"/>
      <c r="AT1401" s="1645"/>
      <c r="AU1401" s="1645"/>
      <c r="AV1401" s="1645"/>
      <c r="AW1401" s="1645"/>
      <c r="AX1401" s="1645"/>
      <c r="AY1401" s="1645"/>
      <c r="AZ1401" s="1645"/>
      <c r="BA1401" s="1645"/>
      <c r="BB1401" s="1645"/>
      <c r="BC1401" s="1645"/>
      <c r="BD1401" s="1645"/>
      <c r="BE1401" s="1645"/>
      <c r="BF1401" s="1645"/>
      <c r="BG1401" s="1645"/>
      <c r="BH1401" s="1645"/>
      <c r="BI1401" s="1645"/>
      <c r="BJ1401" s="1645"/>
      <c r="BK1401" s="1645"/>
      <c r="BL1401" s="1645"/>
      <c r="BM1401" s="1645"/>
      <c r="BN1401" s="1645"/>
      <c r="BO1401" s="1645"/>
      <c r="BP1401" s="1645"/>
      <c r="BQ1401" s="1645"/>
      <c r="BR1401" s="1645"/>
      <c r="BS1401" s="1645"/>
      <c r="BT1401" s="1645"/>
      <c r="BU1401" s="1645"/>
      <c r="BV1401" s="1645"/>
      <c r="BW1401" s="1645"/>
      <c r="BX1401" s="1645"/>
      <c r="BY1401" s="1645"/>
      <c r="BZ1401" s="1645"/>
      <c r="CA1401" s="1645"/>
      <c r="CB1401" s="1645"/>
      <c r="CC1401" s="1645"/>
      <c r="CD1401" s="1645"/>
      <c r="CE1401" s="1645"/>
      <c r="CF1401" s="1645"/>
      <c r="CG1401" s="1645"/>
      <c r="CH1401" s="1645"/>
      <c r="CI1401" s="1645"/>
      <c r="CJ1401" s="1645"/>
      <c r="CK1401" s="1645"/>
      <c r="CL1401" s="1645"/>
      <c r="CM1401" s="1645"/>
      <c r="CN1401" s="1645"/>
      <c r="CO1401" s="1645"/>
      <c r="CP1401" s="1136"/>
      <c r="CQ1401" s="1136"/>
      <c r="CR1401" s="1136"/>
      <c r="CS1401" s="1136"/>
      <c r="CT1401" s="1136"/>
      <c r="CU1401" s="1136"/>
      <c r="CV1401" s="1136"/>
      <c r="CW1401" s="1136"/>
      <c r="CX1401" s="1136"/>
      <c r="CY1401" s="1136"/>
      <c r="CZ1401" s="1136"/>
      <c r="DA1401" s="1136"/>
      <c r="DB1401" s="1136"/>
      <c r="DC1401" s="1136"/>
      <c r="DD1401" s="1136"/>
      <c r="DE1401" s="1136"/>
      <c r="DF1401" s="1136"/>
      <c r="DG1401" s="1136"/>
      <c r="DH1401" s="1136"/>
      <c r="DI1401" s="1136"/>
    </row>
    <row r="1402" spans="1:113" ht="15" x14ac:dyDescent="0.2">
      <c r="A1402" s="1660"/>
      <c r="B1402" s="1637"/>
      <c r="C1402" s="1070"/>
      <c r="D1402" s="1070"/>
      <c r="E1402" s="1070"/>
      <c r="F1402" s="1070"/>
      <c r="G1402" s="1070"/>
      <c r="H1402" s="1070"/>
      <c r="I1402" s="1645"/>
      <c r="J1402" s="1645"/>
      <c r="K1402" s="1645"/>
      <c r="L1402" s="1645"/>
      <c r="M1402" s="1645"/>
      <c r="N1402" s="1645"/>
      <c r="O1402" s="1645"/>
      <c r="P1402" s="1645"/>
      <c r="Q1402" s="1645"/>
      <c r="R1402" s="1645"/>
      <c r="S1402" s="1645"/>
      <c r="T1402" s="1645"/>
      <c r="U1402" s="1645"/>
      <c r="V1402" s="1645"/>
      <c r="W1402" s="1645"/>
      <c r="X1402" s="1645"/>
      <c r="Y1402" s="1645"/>
      <c r="Z1402" s="1645"/>
      <c r="AA1402" s="1645"/>
      <c r="AB1402" s="1645"/>
      <c r="AC1402" s="1645"/>
      <c r="AD1402" s="1645"/>
      <c r="AE1402" s="1645"/>
      <c r="AF1402" s="1645"/>
      <c r="AG1402" s="1645"/>
      <c r="AH1402" s="1645"/>
      <c r="AI1402" s="1645"/>
      <c r="AJ1402" s="1645"/>
      <c r="AK1402" s="1645"/>
      <c r="AL1402" s="1645"/>
      <c r="AM1402" s="1645"/>
      <c r="AN1402" s="1645"/>
      <c r="AO1402" s="1645"/>
      <c r="AP1402" s="1645"/>
      <c r="AQ1402" s="1645"/>
      <c r="AR1402" s="1645"/>
      <c r="AS1402" s="1645"/>
      <c r="AT1402" s="1645"/>
      <c r="AU1402" s="1645"/>
      <c r="AV1402" s="1645"/>
      <c r="AW1402" s="1645"/>
      <c r="AX1402" s="1645"/>
      <c r="AY1402" s="1645"/>
      <c r="AZ1402" s="1645"/>
      <c r="BA1402" s="1645"/>
      <c r="BB1402" s="1645"/>
      <c r="BC1402" s="1645"/>
      <c r="BD1402" s="1645"/>
      <c r="BE1402" s="1645"/>
      <c r="BF1402" s="1645"/>
      <c r="BG1402" s="1645"/>
      <c r="BH1402" s="1645"/>
      <c r="BI1402" s="1645"/>
      <c r="BJ1402" s="1645"/>
      <c r="BK1402" s="1645"/>
      <c r="BL1402" s="1645"/>
      <c r="BM1402" s="1645"/>
      <c r="BN1402" s="1645"/>
      <c r="BO1402" s="1645"/>
      <c r="BP1402" s="1645"/>
      <c r="BQ1402" s="1645"/>
      <c r="BR1402" s="1645"/>
      <c r="BS1402" s="1645"/>
      <c r="BT1402" s="1645"/>
      <c r="BU1402" s="1645"/>
      <c r="BV1402" s="1645"/>
      <c r="BW1402" s="1645"/>
      <c r="BX1402" s="1645"/>
      <c r="BY1402" s="1645"/>
      <c r="BZ1402" s="1645"/>
      <c r="CA1402" s="1645"/>
      <c r="CB1402" s="1645"/>
      <c r="CC1402" s="1645"/>
      <c r="CD1402" s="1645"/>
      <c r="CE1402" s="1645"/>
      <c r="CF1402" s="1645"/>
      <c r="CG1402" s="1645"/>
      <c r="CH1402" s="1645"/>
      <c r="CI1402" s="1645"/>
      <c r="CJ1402" s="1645"/>
      <c r="CK1402" s="1645"/>
      <c r="CL1402" s="1645"/>
      <c r="CM1402" s="1645"/>
      <c r="CN1402" s="1645"/>
      <c r="CO1402" s="1645"/>
      <c r="CP1402" s="1136"/>
      <c r="CQ1402" s="1136"/>
      <c r="CR1402" s="1136"/>
      <c r="CS1402" s="1136"/>
      <c r="CT1402" s="1136"/>
      <c r="CU1402" s="1136"/>
      <c r="CV1402" s="1136"/>
      <c r="CW1402" s="1136"/>
      <c r="CX1402" s="1136"/>
      <c r="CY1402" s="1136"/>
      <c r="CZ1402" s="1136"/>
      <c r="DA1402" s="1136"/>
      <c r="DB1402" s="1136"/>
      <c r="DC1402" s="1136"/>
      <c r="DD1402" s="1136"/>
      <c r="DE1402" s="1136"/>
      <c r="DF1402" s="1136"/>
      <c r="DG1402" s="1136"/>
      <c r="DH1402" s="1136"/>
      <c r="DI1402" s="1136"/>
    </row>
    <row r="1403" spans="1:113" ht="15" x14ac:dyDescent="0.2">
      <c r="A1403" s="1661"/>
      <c r="B1403" s="1662"/>
      <c r="C1403" s="1663"/>
      <c r="D1403" s="1663"/>
      <c r="E1403" s="1663"/>
      <c r="F1403" s="1663"/>
      <c r="G1403" s="1663"/>
      <c r="H1403" s="1070"/>
      <c r="I1403" s="1645"/>
      <c r="J1403" s="1645"/>
      <c r="K1403" s="1645"/>
      <c r="L1403" s="1645"/>
      <c r="M1403" s="1645"/>
      <c r="N1403" s="1645"/>
      <c r="O1403" s="1645"/>
      <c r="P1403" s="1645"/>
      <c r="Q1403" s="1645"/>
      <c r="R1403" s="1645"/>
      <c r="S1403" s="1645"/>
      <c r="T1403" s="1645"/>
      <c r="U1403" s="1645"/>
      <c r="V1403" s="1645"/>
      <c r="W1403" s="1645"/>
      <c r="X1403" s="1645"/>
      <c r="Y1403" s="1645"/>
      <c r="Z1403" s="1645"/>
      <c r="AA1403" s="1645"/>
      <c r="AB1403" s="1645"/>
      <c r="AC1403" s="1645"/>
      <c r="AD1403" s="1645"/>
      <c r="AE1403" s="1645"/>
      <c r="AF1403" s="1645"/>
      <c r="AG1403" s="1645"/>
      <c r="AH1403" s="1645"/>
      <c r="AI1403" s="1645"/>
      <c r="AJ1403" s="1645"/>
      <c r="AK1403" s="1645"/>
      <c r="AL1403" s="1645"/>
      <c r="AM1403" s="1645"/>
      <c r="AN1403" s="1645"/>
      <c r="AO1403" s="1645"/>
      <c r="AP1403" s="1645"/>
      <c r="AQ1403" s="1645"/>
      <c r="AR1403" s="1645"/>
      <c r="AS1403" s="1645"/>
      <c r="AT1403" s="1645"/>
      <c r="AU1403" s="1645"/>
      <c r="AV1403" s="1645"/>
      <c r="AW1403" s="1645"/>
      <c r="AX1403" s="1645"/>
      <c r="AY1403" s="1645"/>
      <c r="AZ1403" s="1645"/>
      <c r="BA1403" s="1645"/>
      <c r="BB1403" s="1645"/>
      <c r="BC1403" s="1645"/>
      <c r="BD1403" s="1645"/>
      <c r="BE1403" s="1645"/>
      <c r="BF1403" s="1645"/>
      <c r="BG1403" s="1645"/>
      <c r="BH1403" s="1645"/>
      <c r="BI1403" s="1645"/>
      <c r="BJ1403" s="1645"/>
      <c r="BK1403" s="1645"/>
      <c r="BL1403" s="1645"/>
      <c r="BM1403" s="1645"/>
      <c r="BN1403" s="1645"/>
      <c r="BO1403" s="1645"/>
      <c r="BP1403" s="1645"/>
      <c r="BQ1403" s="1645"/>
      <c r="BR1403" s="1645"/>
      <c r="BS1403" s="1645"/>
      <c r="BT1403" s="1645"/>
      <c r="BU1403" s="1645"/>
      <c r="BV1403" s="1645"/>
      <c r="BW1403" s="1645"/>
      <c r="BX1403" s="1645"/>
      <c r="BY1403" s="1645"/>
      <c r="BZ1403" s="1645"/>
      <c r="CA1403" s="1645"/>
      <c r="CB1403" s="1645"/>
      <c r="CC1403" s="1645"/>
      <c r="CD1403" s="1645"/>
      <c r="CE1403" s="1645"/>
      <c r="CF1403" s="1645"/>
      <c r="CG1403" s="1645"/>
      <c r="CH1403" s="1645"/>
      <c r="CI1403" s="1645"/>
      <c r="CJ1403" s="1645"/>
      <c r="CK1403" s="1645"/>
      <c r="CL1403" s="1645"/>
      <c r="CM1403" s="1645"/>
      <c r="CN1403" s="1645"/>
      <c r="CO1403" s="1645"/>
      <c r="CP1403" s="1136"/>
      <c r="CQ1403" s="1136"/>
      <c r="CR1403" s="1136"/>
      <c r="CS1403" s="1136"/>
      <c r="CT1403" s="1136"/>
      <c r="CU1403" s="1136"/>
      <c r="CV1403" s="1136"/>
      <c r="CW1403" s="1136"/>
      <c r="CX1403" s="1136"/>
      <c r="CY1403" s="1136"/>
      <c r="CZ1403" s="1136"/>
      <c r="DA1403" s="1136"/>
      <c r="DB1403" s="1136"/>
      <c r="DC1403" s="1136"/>
      <c r="DD1403" s="1136"/>
      <c r="DE1403" s="1136"/>
      <c r="DF1403" s="1136"/>
      <c r="DG1403" s="1136"/>
      <c r="DH1403" s="1136"/>
      <c r="DI1403" s="1136"/>
    </row>
    <row r="1404" spans="1:113" ht="15.75" x14ac:dyDescent="0.25">
      <c r="A1404" s="1664"/>
      <c r="B1404" s="1665"/>
      <c r="C1404" s="1070"/>
      <c r="D1404" s="1070"/>
      <c r="E1404" s="1070"/>
      <c r="F1404" s="1070"/>
      <c r="G1404" s="1070"/>
      <c r="H1404" s="1070"/>
      <c r="I1404" s="1645"/>
      <c r="J1404" s="1645"/>
      <c r="K1404" s="1645"/>
      <c r="L1404" s="1645"/>
      <c r="M1404" s="1645"/>
      <c r="N1404" s="1645"/>
      <c r="O1404" s="1645"/>
      <c r="P1404" s="1645"/>
      <c r="Q1404" s="1645"/>
      <c r="R1404" s="1645"/>
      <c r="S1404" s="1645"/>
      <c r="T1404" s="1645"/>
      <c r="U1404" s="1645"/>
      <c r="V1404" s="1645"/>
      <c r="W1404" s="1645"/>
      <c r="X1404" s="1645"/>
      <c r="Y1404" s="1645"/>
      <c r="Z1404" s="1645"/>
      <c r="AA1404" s="1645"/>
      <c r="AB1404" s="1645"/>
      <c r="AC1404" s="1645"/>
      <c r="AD1404" s="1645"/>
      <c r="AE1404" s="1645"/>
      <c r="AF1404" s="1645"/>
      <c r="AG1404" s="1645"/>
      <c r="AH1404" s="1645"/>
      <c r="AI1404" s="1645"/>
      <c r="AJ1404" s="1645"/>
      <c r="AK1404" s="1645"/>
      <c r="AL1404" s="1645"/>
      <c r="AM1404" s="1645"/>
      <c r="AN1404" s="1645"/>
      <c r="AO1404" s="1645"/>
      <c r="AP1404" s="1645"/>
      <c r="AQ1404" s="1645"/>
      <c r="AR1404" s="1645"/>
      <c r="AS1404" s="1645"/>
      <c r="AT1404" s="1645"/>
      <c r="AU1404" s="1645"/>
      <c r="AV1404" s="1645"/>
      <c r="AW1404" s="1645"/>
      <c r="AX1404" s="1645"/>
      <c r="AY1404" s="1645"/>
      <c r="AZ1404" s="1645"/>
      <c r="BA1404" s="1645"/>
      <c r="BB1404" s="1645"/>
      <c r="BC1404" s="1645"/>
      <c r="BD1404" s="1645"/>
      <c r="BE1404" s="1645"/>
      <c r="BF1404" s="1645"/>
      <c r="BG1404" s="1645"/>
      <c r="BH1404" s="1645"/>
      <c r="BI1404" s="1645"/>
      <c r="BJ1404" s="1645"/>
      <c r="BK1404" s="1645"/>
      <c r="BL1404" s="1645"/>
      <c r="BM1404" s="1645"/>
      <c r="BN1404" s="1645"/>
      <c r="BO1404" s="1645"/>
      <c r="BP1404" s="1645"/>
      <c r="BQ1404" s="1645"/>
      <c r="BR1404" s="1645"/>
      <c r="BS1404" s="1645"/>
      <c r="BT1404" s="1645"/>
      <c r="BU1404" s="1645"/>
      <c r="BV1404" s="1645"/>
      <c r="BW1404" s="1645"/>
      <c r="BX1404" s="1645"/>
      <c r="BY1404" s="1645"/>
      <c r="BZ1404" s="1645"/>
      <c r="CA1404" s="1645"/>
      <c r="CB1404" s="1645"/>
      <c r="CC1404" s="1645"/>
      <c r="CD1404" s="1645"/>
      <c r="CE1404" s="1645"/>
      <c r="CF1404" s="1645"/>
      <c r="CG1404" s="1645"/>
      <c r="CH1404" s="1645"/>
      <c r="CI1404" s="1645"/>
      <c r="CJ1404" s="1645"/>
      <c r="CK1404" s="1645"/>
      <c r="CL1404" s="1645"/>
      <c r="CM1404" s="1645"/>
      <c r="CN1404" s="1645"/>
      <c r="CO1404" s="1645"/>
      <c r="CP1404" s="1136"/>
      <c r="CQ1404" s="1136"/>
      <c r="CR1404" s="1136"/>
      <c r="CS1404" s="1136"/>
      <c r="CT1404" s="1136"/>
      <c r="CU1404" s="1136"/>
      <c r="CV1404" s="1136"/>
      <c r="CW1404" s="1136"/>
      <c r="CX1404" s="1136"/>
      <c r="CY1404" s="1136"/>
      <c r="CZ1404" s="1136"/>
      <c r="DA1404" s="1136"/>
      <c r="DB1404" s="1136"/>
      <c r="DC1404" s="1136"/>
      <c r="DD1404" s="1136"/>
      <c r="DE1404" s="1136"/>
      <c r="DF1404" s="1136"/>
      <c r="DG1404" s="1136"/>
      <c r="DH1404" s="1136"/>
      <c r="DI1404" s="1136"/>
    </row>
    <row r="1405" spans="1:113" ht="15" x14ac:dyDescent="0.2">
      <c r="A1405" s="1666" t="s">
        <v>3105</v>
      </c>
      <c r="B1405" s="1667" t="e">
        <f>B285*B286*B290*B291*0.96</f>
        <v>#VALUE!</v>
      </c>
      <c r="C1405" s="1668"/>
      <c r="D1405" s="1668"/>
      <c r="E1405" s="1668"/>
      <c r="F1405" s="1668"/>
      <c r="G1405" s="1669"/>
      <c r="H1405" s="1070"/>
      <c r="I1405" s="1645"/>
      <c r="J1405" s="1645"/>
      <c r="K1405" s="1645"/>
      <c r="L1405" s="1645"/>
      <c r="M1405" s="1645"/>
      <c r="N1405" s="1645"/>
      <c r="O1405" s="1645"/>
      <c r="P1405" s="1645"/>
      <c r="Q1405" s="1645"/>
      <c r="R1405" s="1645"/>
      <c r="S1405" s="1645"/>
      <c r="T1405" s="1645"/>
      <c r="U1405" s="1645"/>
      <c r="V1405" s="1645"/>
      <c r="W1405" s="1645"/>
      <c r="X1405" s="1645"/>
      <c r="Y1405" s="1645"/>
      <c r="Z1405" s="1645"/>
      <c r="AA1405" s="1645"/>
      <c r="AB1405" s="1645"/>
      <c r="AC1405" s="1645"/>
      <c r="AD1405" s="1645"/>
      <c r="AE1405" s="1645"/>
      <c r="AF1405" s="1645"/>
      <c r="AG1405" s="1645"/>
      <c r="AH1405" s="1645"/>
      <c r="AI1405" s="1645"/>
      <c r="AJ1405" s="1645"/>
      <c r="AK1405" s="1645"/>
      <c r="AL1405" s="1645"/>
      <c r="AM1405" s="1645"/>
      <c r="AN1405" s="1645"/>
      <c r="AO1405" s="1645"/>
      <c r="AP1405" s="1645"/>
      <c r="AQ1405" s="1645"/>
      <c r="AR1405" s="1645"/>
      <c r="AS1405" s="1645"/>
      <c r="AT1405" s="1645"/>
      <c r="AU1405" s="1645"/>
      <c r="AV1405" s="1645"/>
      <c r="AW1405" s="1645"/>
      <c r="AX1405" s="1645"/>
      <c r="AY1405" s="1645"/>
      <c r="AZ1405" s="1645"/>
      <c r="BA1405" s="1645"/>
      <c r="BB1405" s="1645"/>
      <c r="BC1405" s="1645"/>
      <c r="BD1405" s="1645"/>
      <c r="BE1405" s="1645"/>
      <c r="BF1405" s="1645"/>
      <c r="BG1405" s="1645"/>
      <c r="BH1405" s="1645"/>
      <c r="BI1405" s="1645"/>
      <c r="BJ1405" s="1645"/>
      <c r="BK1405" s="1645"/>
      <c r="BL1405" s="1645"/>
      <c r="BM1405" s="1645"/>
      <c r="BN1405" s="1645"/>
      <c r="BO1405" s="1645"/>
      <c r="BP1405" s="1645"/>
      <c r="BQ1405" s="1645"/>
      <c r="BR1405" s="1645"/>
      <c r="BS1405" s="1645"/>
      <c r="BT1405" s="1645"/>
      <c r="BU1405" s="1645"/>
      <c r="BV1405" s="1645"/>
      <c r="BW1405" s="1645"/>
      <c r="BX1405" s="1645"/>
      <c r="BY1405" s="1645"/>
      <c r="BZ1405" s="1645"/>
      <c r="CA1405" s="1645"/>
      <c r="CB1405" s="1645"/>
      <c r="CC1405" s="1645"/>
      <c r="CD1405" s="1645"/>
      <c r="CE1405" s="1645"/>
      <c r="CF1405" s="1645"/>
      <c r="CG1405" s="1645"/>
      <c r="CH1405" s="1645"/>
      <c r="CI1405" s="1645"/>
      <c r="CJ1405" s="1645"/>
      <c r="CK1405" s="1645"/>
      <c r="CL1405" s="1645"/>
      <c r="CM1405" s="1645"/>
      <c r="CN1405" s="1645"/>
      <c r="CO1405" s="1645"/>
      <c r="CP1405" s="1136"/>
      <c r="CQ1405" s="1136"/>
      <c r="CR1405" s="1136"/>
      <c r="CS1405" s="1136"/>
      <c r="CT1405" s="1136"/>
      <c r="CU1405" s="1136"/>
      <c r="CV1405" s="1136"/>
      <c r="CW1405" s="1136"/>
      <c r="CX1405" s="1136"/>
      <c r="CY1405" s="1136"/>
      <c r="CZ1405" s="1136"/>
      <c r="DA1405" s="1136"/>
      <c r="DB1405" s="1136"/>
      <c r="DC1405" s="1136"/>
      <c r="DD1405" s="1136"/>
      <c r="DE1405" s="1136"/>
      <c r="DF1405" s="1136"/>
      <c r="DG1405" s="1136"/>
      <c r="DH1405" s="1136"/>
      <c r="DI1405" s="1136"/>
    </row>
    <row r="1406" spans="1:113" ht="15" x14ac:dyDescent="0.2">
      <c r="A1406" s="1666" t="s">
        <v>3106</v>
      </c>
      <c r="B1406" s="1667" t="e">
        <f>B1407/B1405</f>
        <v>#VALUE!</v>
      </c>
      <c r="C1406" s="1668"/>
      <c r="D1406" s="1668"/>
      <c r="E1406" s="1668"/>
      <c r="F1406" s="1668"/>
      <c r="G1406" s="1668"/>
      <c r="H1406" s="1070"/>
      <c r="I1406" s="1645"/>
      <c r="J1406" s="1645"/>
      <c r="K1406" s="1645"/>
      <c r="L1406" s="1645"/>
      <c r="M1406" s="1645"/>
      <c r="N1406" s="1645"/>
      <c r="O1406" s="1645"/>
      <c r="P1406" s="1645"/>
      <c r="Q1406" s="1645"/>
      <c r="R1406" s="1645"/>
      <c r="S1406" s="1645"/>
      <c r="T1406" s="1645"/>
      <c r="U1406" s="1645"/>
      <c r="V1406" s="1645"/>
      <c r="W1406" s="1645"/>
      <c r="X1406" s="1645"/>
      <c r="Y1406" s="1645"/>
      <c r="Z1406" s="1645"/>
      <c r="AA1406" s="1645"/>
      <c r="AB1406" s="1645"/>
      <c r="AC1406" s="1645"/>
      <c r="AD1406" s="1645"/>
      <c r="AE1406" s="1645"/>
      <c r="AF1406" s="1645"/>
      <c r="AG1406" s="1645"/>
      <c r="AH1406" s="1645"/>
      <c r="AI1406" s="1645"/>
      <c r="AJ1406" s="1645"/>
      <c r="AK1406" s="1645"/>
      <c r="AL1406" s="1645"/>
      <c r="AM1406" s="1645"/>
      <c r="AN1406" s="1645"/>
      <c r="AO1406" s="1645"/>
      <c r="AP1406" s="1645"/>
      <c r="AQ1406" s="1645"/>
      <c r="AR1406" s="1645"/>
      <c r="AS1406" s="1645"/>
      <c r="AT1406" s="1645"/>
      <c r="AU1406" s="1645"/>
      <c r="AV1406" s="1645"/>
      <c r="AW1406" s="1645"/>
      <c r="AX1406" s="1645"/>
      <c r="AY1406" s="1645"/>
      <c r="AZ1406" s="1645"/>
      <c r="BA1406" s="1645"/>
      <c r="BB1406" s="1645"/>
      <c r="BC1406" s="1645"/>
      <c r="BD1406" s="1645"/>
      <c r="BE1406" s="1645"/>
      <c r="BF1406" s="1645"/>
      <c r="BG1406" s="1645"/>
      <c r="BH1406" s="1645"/>
      <c r="BI1406" s="1645"/>
      <c r="BJ1406" s="1645"/>
      <c r="BK1406" s="1645"/>
      <c r="BL1406" s="1645"/>
      <c r="BM1406" s="1645"/>
      <c r="BN1406" s="1645"/>
      <c r="BO1406" s="1645"/>
      <c r="BP1406" s="1645"/>
      <c r="BQ1406" s="1645"/>
      <c r="BR1406" s="1645"/>
      <c r="BS1406" s="1645"/>
      <c r="BT1406" s="1645"/>
      <c r="BU1406" s="1645"/>
      <c r="BV1406" s="1645"/>
      <c r="BW1406" s="1645"/>
      <c r="BX1406" s="1645"/>
      <c r="BY1406" s="1645"/>
      <c r="BZ1406" s="1645"/>
      <c r="CA1406" s="1645"/>
      <c r="CB1406" s="1645"/>
      <c r="CC1406" s="1645"/>
      <c r="CD1406" s="1645"/>
      <c r="CE1406" s="1645"/>
      <c r="CF1406" s="1645"/>
      <c r="CG1406" s="1645"/>
      <c r="CH1406" s="1645"/>
      <c r="CI1406" s="1645"/>
      <c r="CJ1406" s="1645"/>
      <c r="CK1406" s="1645"/>
      <c r="CL1406" s="1645"/>
      <c r="CM1406" s="1645"/>
      <c r="CN1406" s="1645"/>
      <c r="CO1406" s="1645"/>
      <c r="CP1406" s="1136"/>
      <c r="CQ1406" s="1136"/>
      <c r="CR1406" s="1136"/>
      <c r="CS1406" s="1136"/>
      <c r="CT1406" s="1136"/>
      <c r="CU1406" s="1136"/>
      <c r="CV1406" s="1136"/>
      <c r="CW1406" s="1136"/>
      <c r="CX1406" s="1136"/>
      <c r="CY1406" s="1136"/>
      <c r="CZ1406" s="1136"/>
      <c r="DA1406" s="1136"/>
      <c r="DB1406" s="1136"/>
      <c r="DC1406" s="1136"/>
      <c r="DD1406" s="1136"/>
      <c r="DE1406" s="1136"/>
      <c r="DF1406" s="1136"/>
      <c r="DG1406" s="1136"/>
      <c r="DH1406" s="1136"/>
      <c r="DI1406" s="1136"/>
    </row>
    <row r="1407" spans="1:113" ht="15" x14ac:dyDescent="0.2">
      <c r="A1407" s="1666" t="s">
        <v>3107</v>
      </c>
      <c r="B1407" s="1667" t="e">
        <f>B287/B292</f>
        <v>#VALUE!</v>
      </c>
      <c r="C1407" s="1668"/>
      <c r="D1407" s="1668"/>
      <c r="E1407" s="1668"/>
      <c r="F1407" s="1668"/>
      <c r="G1407" s="1668"/>
      <c r="H1407" s="1070"/>
      <c r="I1407" s="1645"/>
      <c r="J1407" s="1645"/>
      <c r="K1407" s="1645"/>
      <c r="L1407" s="1645"/>
      <c r="M1407" s="1645"/>
      <c r="N1407" s="1645"/>
      <c r="O1407" s="1645"/>
      <c r="P1407" s="1645"/>
      <c r="Q1407" s="1645"/>
      <c r="R1407" s="1645"/>
      <c r="S1407" s="1645"/>
      <c r="T1407" s="1645"/>
      <c r="U1407" s="1645"/>
      <c r="V1407" s="1645"/>
      <c r="W1407" s="1645"/>
      <c r="X1407" s="1645"/>
      <c r="Y1407" s="1645"/>
      <c r="Z1407" s="1645"/>
      <c r="AA1407" s="1645"/>
      <c r="AB1407" s="1645"/>
      <c r="AC1407" s="1645"/>
      <c r="AD1407" s="1645"/>
      <c r="AE1407" s="1645"/>
      <c r="AF1407" s="1645"/>
      <c r="AG1407" s="1645"/>
      <c r="AH1407" s="1645"/>
      <c r="AI1407" s="1645"/>
      <c r="AJ1407" s="1645"/>
      <c r="AK1407" s="1645"/>
      <c r="AL1407" s="1645"/>
      <c r="AM1407" s="1645"/>
      <c r="AN1407" s="1645"/>
      <c r="AO1407" s="1645"/>
      <c r="AP1407" s="1645"/>
      <c r="AQ1407" s="1645"/>
      <c r="AR1407" s="1645"/>
      <c r="AS1407" s="1645"/>
      <c r="AT1407" s="1645"/>
      <c r="AU1407" s="1645"/>
      <c r="AV1407" s="1645"/>
      <c r="AW1407" s="1645"/>
      <c r="AX1407" s="1645"/>
      <c r="AY1407" s="1645"/>
      <c r="AZ1407" s="1645"/>
      <c r="BA1407" s="1645"/>
      <c r="BB1407" s="1645"/>
      <c r="BC1407" s="1645"/>
      <c r="BD1407" s="1645"/>
      <c r="BE1407" s="1645"/>
      <c r="BF1407" s="1645"/>
      <c r="BG1407" s="1645"/>
      <c r="BH1407" s="1645"/>
      <c r="BI1407" s="1645"/>
      <c r="BJ1407" s="1645"/>
      <c r="BK1407" s="1645"/>
      <c r="BL1407" s="1645"/>
      <c r="BM1407" s="1645"/>
      <c r="BN1407" s="1645"/>
      <c r="BO1407" s="1645"/>
      <c r="BP1407" s="1645"/>
      <c r="BQ1407" s="1645"/>
      <c r="BR1407" s="1645"/>
      <c r="BS1407" s="1645"/>
      <c r="BT1407" s="1645"/>
      <c r="BU1407" s="1645"/>
      <c r="BV1407" s="1645"/>
      <c r="BW1407" s="1645"/>
      <c r="BX1407" s="1645"/>
      <c r="BY1407" s="1645"/>
      <c r="BZ1407" s="1645"/>
      <c r="CA1407" s="1645"/>
      <c r="CB1407" s="1645"/>
      <c r="CC1407" s="1645"/>
      <c r="CD1407" s="1645"/>
      <c r="CE1407" s="1645"/>
      <c r="CF1407" s="1645"/>
      <c r="CG1407" s="1645"/>
      <c r="CH1407" s="1645"/>
      <c r="CI1407" s="1645"/>
      <c r="CJ1407" s="1645"/>
      <c r="CK1407" s="1645"/>
      <c r="CL1407" s="1645"/>
      <c r="CM1407" s="1645"/>
      <c r="CN1407" s="1645"/>
      <c r="CO1407" s="1645"/>
      <c r="CP1407" s="1136"/>
      <c r="CQ1407" s="1136"/>
      <c r="CR1407" s="1136"/>
      <c r="CS1407" s="1136"/>
      <c r="CT1407" s="1136"/>
      <c r="CU1407" s="1136"/>
      <c r="CV1407" s="1136"/>
      <c r="CW1407" s="1136"/>
      <c r="CX1407" s="1136"/>
      <c r="CY1407" s="1136"/>
      <c r="CZ1407" s="1136"/>
      <c r="DA1407" s="1136"/>
      <c r="DB1407" s="1136"/>
      <c r="DC1407" s="1136"/>
      <c r="DD1407" s="1136"/>
      <c r="DE1407" s="1136"/>
      <c r="DF1407" s="1136"/>
      <c r="DG1407" s="1136"/>
      <c r="DH1407" s="1136"/>
      <c r="DI1407" s="1136"/>
    </row>
    <row r="1408" spans="1:113" ht="15" x14ac:dyDescent="0.2">
      <c r="A1408" s="1391" t="s">
        <v>3108</v>
      </c>
      <c r="B1408" s="1667">
        <f>IF(B295&gt;=3,2,3)</f>
        <v>3</v>
      </c>
      <c r="C1408" s="1668"/>
      <c r="D1408" s="1668"/>
      <c r="E1408" s="1668"/>
      <c r="F1408" s="1668"/>
      <c r="G1408" s="1668"/>
      <c r="H1408" s="1070"/>
      <c r="I1408" s="1645"/>
      <c r="J1408" s="1645"/>
      <c r="K1408" s="1645"/>
      <c r="L1408" s="1645"/>
      <c r="M1408" s="1645"/>
      <c r="N1408" s="1645"/>
      <c r="O1408" s="1645"/>
      <c r="P1408" s="1645"/>
      <c r="Q1408" s="1645"/>
      <c r="R1408" s="1645"/>
      <c r="S1408" s="1645"/>
      <c r="T1408" s="1645"/>
      <c r="U1408" s="1645"/>
      <c r="V1408" s="1645"/>
      <c r="W1408" s="1645"/>
      <c r="X1408" s="1645"/>
      <c r="Y1408" s="1645"/>
      <c r="Z1408" s="1645"/>
      <c r="AA1408" s="1645"/>
      <c r="AB1408" s="1645"/>
      <c r="AC1408" s="1645"/>
      <c r="AD1408" s="1645"/>
      <c r="AE1408" s="1645"/>
      <c r="AF1408" s="1645"/>
      <c r="AG1408" s="1645"/>
      <c r="AH1408" s="1645"/>
      <c r="AI1408" s="1645"/>
      <c r="AJ1408" s="1645"/>
      <c r="AK1408" s="1645"/>
      <c r="AL1408" s="1645"/>
      <c r="AM1408" s="1645"/>
      <c r="AN1408" s="1645"/>
      <c r="AO1408" s="1645"/>
      <c r="AP1408" s="1645"/>
      <c r="AQ1408" s="1645"/>
      <c r="AR1408" s="1645"/>
      <c r="AS1408" s="1645"/>
      <c r="AT1408" s="1645"/>
      <c r="AU1408" s="1645"/>
      <c r="AV1408" s="1645"/>
      <c r="AW1408" s="1645"/>
      <c r="AX1408" s="1645"/>
      <c r="AY1408" s="1645"/>
      <c r="AZ1408" s="1645"/>
      <c r="BA1408" s="1645"/>
      <c r="BB1408" s="1645"/>
      <c r="BC1408" s="1645"/>
      <c r="BD1408" s="1645"/>
      <c r="BE1408" s="1645"/>
      <c r="BF1408" s="1645"/>
      <c r="BG1408" s="1645"/>
      <c r="BH1408" s="1645"/>
      <c r="BI1408" s="1645"/>
      <c r="BJ1408" s="1645"/>
      <c r="BK1408" s="1645"/>
      <c r="BL1408" s="1645"/>
      <c r="BM1408" s="1645"/>
      <c r="BN1408" s="1645"/>
      <c r="BO1408" s="1645"/>
      <c r="BP1408" s="1645"/>
      <c r="BQ1408" s="1645"/>
      <c r="BR1408" s="1645"/>
      <c r="BS1408" s="1645"/>
      <c r="BT1408" s="1645"/>
      <c r="BU1408" s="1645"/>
      <c r="BV1408" s="1645"/>
      <c r="BW1408" s="1645"/>
      <c r="BX1408" s="1645"/>
      <c r="BY1408" s="1645"/>
      <c r="BZ1408" s="1645"/>
      <c r="CA1408" s="1645"/>
      <c r="CB1408" s="1645"/>
      <c r="CC1408" s="1645"/>
      <c r="CD1408" s="1645"/>
      <c r="CE1408" s="1645"/>
      <c r="CF1408" s="1645"/>
      <c r="CG1408" s="1645"/>
      <c r="CH1408" s="1645"/>
      <c r="CI1408" s="1645"/>
      <c r="CJ1408" s="1645"/>
      <c r="CK1408" s="1645"/>
      <c r="CL1408" s="1645"/>
      <c r="CM1408" s="1645"/>
      <c r="CN1408" s="1645"/>
      <c r="CO1408" s="1645"/>
      <c r="CP1408" s="1136"/>
      <c r="CQ1408" s="1136"/>
      <c r="CR1408" s="1136"/>
      <c r="CS1408" s="1136"/>
      <c r="CT1408" s="1136"/>
      <c r="CU1408" s="1136"/>
      <c r="CV1408" s="1136"/>
      <c r="CW1408" s="1136"/>
      <c r="CX1408" s="1136"/>
      <c r="CY1408" s="1136"/>
      <c r="CZ1408" s="1136"/>
      <c r="DA1408" s="1136"/>
      <c r="DB1408" s="1136"/>
      <c r="DC1408" s="1136"/>
      <c r="DD1408" s="1136"/>
      <c r="DE1408" s="1136"/>
      <c r="DF1408" s="1136"/>
      <c r="DG1408" s="1136"/>
      <c r="DH1408" s="1136"/>
      <c r="DI1408" s="1136"/>
    </row>
    <row r="1409" spans="1:113" ht="31.5" x14ac:dyDescent="0.25">
      <c r="A1409" s="1670" t="s">
        <v>3109</v>
      </c>
      <c r="B1409" s="1671" t="e">
        <f>SUM(B1411:B1420)</f>
        <v>#DIV/0!</v>
      </c>
      <c r="C1409" s="1668"/>
      <c r="D1409" s="1668"/>
      <c r="E1409" s="1668"/>
      <c r="F1409" s="1668"/>
      <c r="G1409" s="1668"/>
      <c r="H1409" s="1070"/>
      <c r="I1409" s="1645"/>
      <c r="J1409" s="1645"/>
      <c r="K1409" s="1645"/>
      <c r="L1409" s="1645"/>
      <c r="M1409" s="1645"/>
      <c r="N1409" s="1645"/>
      <c r="O1409" s="1645"/>
      <c r="P1409" s="1645"/>
      <c r="Q1409" s="1645"/>
      <c r="R1409" s="1645"/>
      <c r="S1409" s="1645"/>
      <c r="T1409" s="1645"/>
      <c r="U1409" s="1645"/>
      <c r="V1409" s="1645"/>
      <c r="W1409" s="1645"/>
      <c r="X1409" s="1645"/>
      <c r="Y1409" s="1645"/>
      <c r="Z1409" s="1645"/>
      <c r="AA1409" s="1645"/>
      <c r="AB1409" s="1645"/>
      <c r="AC1409" s="1645"/>
      <c r="AD1409" s="1645"/>
      <c r="AE1409" s="1645"/>
      <c r="AF1409" s="1645"/>
      <c r="AG1409" s="1645"/>
      <c r="AH1409" s="1645"/>
      <c r="AI1409" s="1645"/>
      <c r="AJ1409" s="1645"/>
      <c r="AK1409" s="1645"/>
      <c r="AL1409" s="1645"/>
      <c r="AM1409" s="1645"/>
      <c r="AN1409" s="1645"/>
      <c r="AO1409" s="1645"/>
      <c r="AP1409" s="1645"/>
      <c r="AQ1409" s="1645"/>
      <c r="AR1409" s="1645"/>
      <c r="AS1409" s="1645"/>
      <c r="AT1409" s="1645"/>
      <c r="AU1409" s="1645"/>
      <c r="AV1409" s="1645"/>
      <c r="AW1409" s="1645"/>
      <c r="AX1409" s="1645"/>
      <c r="AY1409" s="1645"/>
      <c r="AZ1409" s="1645"/>
      <c r="BA1409" s="1645"/>
      <c r="BB1409" s="1645"/>
      <c r="BC1409" s="1645"/>
      <c r="BD1409" s="1645"/>
      <c r="BE1409" s="1645"/>
      <c r="BF1409" s="1645"/>
      <c r="BG1409" s="1645"/>
      <c r="BH1409" s="1645"/>
      <c r="BI1409" s="1645"/>
      <c r="BJ1409" s="1645"/>
      <c r="BK1409" s="1645"/>
      <c r="BL1409" s="1645"/>
      <c r="BM1409" s="1645"/>
      <c r="BN1409" s="1645"/>
      <c r="BO1409" s="1645"/>
      <c r="BP1409" s="1645"/>
      <c r="BQ1409" s="1645"/>
      <c r="BR1409" s="1645"/>
      <c r="BS1409" s="1645"/>
      <c r="BT1409" s="1645"/>
      <c r="BU1409" s="1645"/>
      <c r="BV1409" s="1645"/>
      <c r="BW1409" s="1645"/>
      <c r="BX1409" s="1645"/>
      <c r="BY1409" s="1645"/>
      <c r="BZ1409" s="1645"/>
      <c r="CA1409" s="1645"/>
      <c r="CB1409" s="1645"/>
      <c r="CC1409" s="1645"/>
      <c r="CD1409" s="1645"/>
      <c r="CE1409" s="1645"/>
      <c r="CF1409" s="1645"/>
      <c r="CG1409" s="1645"/>
      <c r="CH1409" s="1645"/>
      <c r="CI1409" s="1645"/>
      <c r="CJ1409" s="1645"/>
      <c r="CK1409" s="1645"/>
      <c r="CL1409" s="1645"/>
      <c r="CM1409" s="1645"/>
      <c r="CN1409" s="1645"/>
      <c r="CO1409" s="1645"/>
      <c r="CP1409" s="1136"/>
      <c r="CQ1409" s="1136"/>
      <c r="CR1409" s="1136"/>
      <c r="CS1409" s="1136"/>
      <c r="CT1409" s="1136"/>
      <c r="CU1409" s="1136"/>
      <c r="CV1409" s="1136"/>
      <c r="CW1409" s="1136"/>
      <c r="CX1409" s="1136"/>
      <c r="CY1409" s="1136"/>
      <c r="CZ1409" s="1136"/>
      <c r="DA1409" s="1136"/>
      <c r="DB1409" s="1136"/>
      <c r="DC1409" s="1136"/>
      <c r="DD1409" s="1136"/>
      <c r="DE1409" s="1136"/>
      <c r="DF1409" s="1136"/>
      <c r="DG1409" s="1136"/>
      <c r="DH1409" s="1136"/>
      <c r="DI1409" s="1136"/>
    </row>
    <row r="1410" spans="1:113" ht="15" x14ac:dyDescent="0.2">
      <c r="A1410" s="1672" t="s">
        <v>3110</v>
      </c>
      <c r="B1410" s="1671"/>
      <c r="C1410" s="1668"/>
      <c r="D1410" s="1668"/>
      <c r="E1410" s="1668"/>
      <c r="F1410" s="1668"/>
      <c r="G1410" s="1668"/>
      <c r="H1410" s="1070"/>
      <c r="I1410" s="1645"/>
      <c r="J1410" s="1645"/>
      <c r="K1410" s="1645"/>
      <c r="L1410" s="1645"/>
      <c r="M1410" s="1645"/>
      <c r="N1410" s="1645"/>
      <c r="O1410" s="1645"/>
      <c r="P1410" s="1645"/>
      <c r="Q1410" s="1645"/>
      <c r="R1410" s="1645"/>
      <c r="S1410" s="1645"/>
      <c r="T1410" s="1645"/>
      <c r="U1410" s="1645"/>
      <c r="V1410" s="1645"/>
      <c r="W1410" s="1645"/>
      <c r="X1410" s="1645"/>
      <c r="Y1410" s="1645"/>
      <c r="Z1410" s="1645"/>
      <c r="AA1410" s="1645"/>
      <c r="AB1410" s="1645"/>
      <c r="AC1410" s="1645"/>
      <c r="AD1410" s="1645"/>
      <c r="AE1410" s="1645"/>
      <c r="AF1410" s="1645"/>
      <c r="AG1410" s="1645"/>
      <c r="AH1410" s="1645"/>
      <c r="AI1410" s="1645"/>
      <c r="AJ1410" s="1645"/>
      <c r="AK1410" s="1645"/>
      <c r="AL1410" s="1645"/>
      <c r="AM1410" s="1645"/>
      <c r="AN1410" s="1645"/>
      <c r="AO1410" s="1645"/>
      <c r="AP1410" s="1645"/>
      <c r="AQ1410" s="1645"/>
      <c r="AR1410" s="1645"/>
      <c r="AS1410" s="1645"/>
      <c r="AT1410" s="1645"/>
      <c r="AU1410" s="1645"/>
      <c r="AV1410" s="1645"/>
      <c r="AW1410" s="1645"/>
      <c r="AX1410" s="1645"/>
      <c r="AY1410" s="1645"/>
      <c r="AZ1410" s="1645"/>
      <c r="BA1410" s="1645"/>
      <c r="BB1410" s="1645"/>
      <c r="BC1410" s="1645"/>
      <c r="BD1410" s="1645"/>
      <c r="BE1410" s="1645"/>
      <c r="BF1410" s="1645"/>
      <c r="BG1410" s="1645"/>
      <c r="BH1410" s="1645"/>
      <c r="BI1410" s="1645"/>
      <c r="BJ1410" s="1645"/>
      <c r="BK1410" s="1645"/>
      <c r="BL1410" s="1645"/>
      <c r="BM1410" s="1645"/>
      <c r="BN1410" s="1645"/>
      <c r="BO1410" s="1645"/>
      <c r="BP1410" s="1645"/>
      <c r="BQ1410" s="1645"/>
      <c r="BR1410" s="1645"/>
      <c r="BS1410" s="1645"/>
      <c r="BT1410" s="1645"/>
      <c r="BU1410" s="1645"/>
      <c r="BV1410" s="1645"/>
      <c r="BW1410" s="1645"/>
      <c r="BX1410" s="1645"/>
      <c r="BY1410" s="1645"/>
      <c r="BZ1410" s="1645"/>
      <c r="CA1410" s="1645"/>
      <c r="CB1410" s="1645"/>
      <c r="CC1410" s="1645"/>
      <c r="CD1410" s="1645"/>
      <c r="CE1410" s="1645"/>
      <c r="CF1410" s="1645"/>
      <c r="CG1410" s="1645"/>
      <c r="CH1410" s="1645"/>
      <c r="CI1410" s="1645"/>
      <c r="CJ1410" s="1645"/>
      <c r="CK1410" s="1645"/>
      <c r="CL1410" s="1645"/>
      <c r="CM1410" s="1645"/>
      <c r="CN1410" s="1645"/>
      <c r="CO1410" s="1645"/>
      <c r="CP1410" s="1136"/>
      <c r="CQ1410" s="1136"/>
      <c r="CR1410" s="1136"/>
      <c r="CS1410" s="1136"/>
      <c r="CT1410" s="1136"/>
      <c r="CU1410" s="1136"/>
      <c r="CV1410" s="1136"/>
      <c r="CW1410" s="1136"/>
      <c r="CX1410" s="1136"/>
      <c r="CY1410" s="1136"/>
      <c r="CZ1410" s="1136"/>
      <c r="DA1410" s="1136"/>
      <c r="DB1410" s="1136"/>
      <c r="DC1410" s="1136"/>
      <c r="DD1410" s="1136"/>
      <c r="DE1410" s="1136"/>
      <c r="DF1410" s="1136"/>
      <c r="DG1410" s="1136"/>
      <c r="DH1410" s="1136"/>
      <c r="DI1410" s="1136"/>
    </row>
    <row r="1411" spans="1:113" ht="15" x14ac:dyDescent="0.2">
      <c r="A1411" s="1391" t="s">
        <v>3111</v>
      </c>
      <c r="B1411" s="1667" t="e">
        <f>B468</f>
        <v>#DIV/0!</v>
      </c>
      <c r="C1411" s="1668"/>
      <c r="D1411" s="1668"/>
      <c r="E1411" s="1668"/>
      <c r="F1411" s="1668"/>
      <c r="G1411" s="1668"/>
      <c r="H1411" s="1070"/>
      <c r="I1411" s="1645"/>
      <c r="J1411" s="1645"/>
      <c r="K1411" s="1645"/>
      <c r="L1411" s="1645"/>
      <c r="M1411" s="1645"/>
      <c r="N1411" s="1645"/>
      <c r="O1411" s="1645"/>
      <c r="P1411" s="1645"/>
      <c r="Q1411" s="1645"/>
      <c r="R1411" s="1645"/>
      <c r="S1411" s="1645"/>
      <c r="T1411" s="1645"/>
      <c r="U1411" s="1645"/>
      <c r="V1411" s="1645"/>
      <c r="W1411" s="1645"/>
      <c r="X1411" s="1645"/>
      <c r="Y1411" s="1645"/>
      <c r="Z1411" s="1645"/>
      <c r="AA1411" s="1645"/>
      <c r="AB1411" s="1645"/>
      <c r="AC1411" s="1645"/>
      <c r="AD1411" s="1645"/>
      <c r="AE1411" s="1645"/>
      <c r="AF1411" s="1645"/>
      <c r="AG1411" s="1645"/>
      <c r="AH1411" s="1645"/>
      <c r="AI1411" s="1645"/>
      <c r="AJ1411" s="1645"/>
      <c r="AK1411" s="1645"/>
      <c r="AL1411" s="1645"/>
      <c r="AM1411" s="1645"/>
      <c r="AN1411" s="1645"/>
      <c r="AO1411" s="1645"/>
      <c r="AP1411" s="1645"/>
      <c r="AQ1411" s="1645"/>
      <c r="AR1411" s="1645"/>
      <c r="AS1411" s="1645"/>
      <c r="AT1411" s="1645"/>
      <c r="AU1411" s="1645"/>
      <c r="AV1411" s="1645"/>
      <c r="AW1411" s="1645"/>
      <c r="AX1411" s="1645"/>
      <c r="AY1411" s="1645"/>
      <c r="AZ1411" s="1645"/>
      <c r="BA1411" s="1645"/>
      <c r="BB1411" s="1645"/>
      <c r="BC1411" s="1645"/>
      <c r="BD1411" s="1645"/>
      <c r="BE1411" s="1645"/>
      <c r="BF1411" s="1645"/>
      <c r="BG1411" s="1645"/>
      <c r="BH1411" s="1645"/>
      <c r="BI1411" s="1645"/>
      <c r="BJ1411" s="1645"/>
      <c r="BK1411" s="1645"/>
      <c r="BL1411" s="1645"/>
      <c r="BM1411" s="1645"/>
      <c r="BN1411" s="1645"/>
      <c r="BO1411" s="1645"/>
      <c r="BP1411" s="1645"/>
      <c r="BQ1411" s="1645"/>
      <c r="BR1411" s="1645"/>
      <c r="BS1411" s="1645"/>
      <c r="BT1411" s="1645"/>
      <c r="BU1411" s="1645"/>
      <c r="BV1411" s="1645"/>
      <c r="BW1411" s="1645"/>
      <c r="BX1411" s="1645"/>
      <c r="BY1411" s="1645"/>
      <c r="BZ1411" s="1645"/>
      <c r="CA1411" s="1645"/>
      <c r="CB1411" s="1645"/>
      <c r="CC1411" s="1645"/>
      <c r="CD1411" s="1645"/>
      <c r="CE1411" s="1645"/>
      <c r="CF1411" s="1645"/>
      <c r="CG1411" s="1645"/>
      <c r="CH1411" s="1645"/>
      <c r="CI1411" s="1645"/>
      <c r="CJ1411" s="1645"/>
      <c r="CK1411" s="1645"/>
      <c r="CL1411" s="1645"/>
      <c r="CM1411" s="1645"/>
      <c r="CN1411" s="1645"/>
      <c r="CO1411" s="1645"/>
      <c r="CP1411" s="1136"/>
      <c r="CQ1411" s="1136"/>
      <c r="CR1411" s="1136"/>
      <c r="CS1411" s="1136"/>
      <c r="CT1411" s="1136"/>
      <c r="CU1411" s="1136"/>
      <c r="CV1411" s="1136"/>
      <c r="CW1411" s="1136"/>
      <c r="CX1411" s="1136"/>
      <c r="CY1411" s="1136"/>
      <c r="CZ1411" s="1136"/>
      <c r="DA1411" s="1136"/>
      <c r="DB1411" s="1136"/>
      <c r="DC1411" s="1136"/>
      <c r="DD1411" s="1136"/>
      <c r="DE1411" s="1136"/>
      <c r="DF1411" s="1136"/>
      <c r="DG1411" s="1136"/>
      <c r="DH1411" s="1136"/>
      <c r="DI1411" s="1136"/>
    </row>
    <row r="1412" spans="1:113" ht="15" x14ac:dyDescent="0.2">
      <c r="A1412" s="1391" t="s">
        <v>3112</v>
      </c>
      <c r="B1412" s="1667" t="e">
        <f>B714</f>
        <v>#VALUE!</v>
      </c>
      <c r="C1412" s="1668"/>
      <c r="D1412" s="1668"/>
      <c r="E1412" s="1668"/>
      <c r="F1412" s="1668"/>
      <c r="G1412" s="1668"/>
      <c r="H1412" s="1070"/>
      <c r="I1412" s="1645"/>
      <c r="J1412" s="1645"/>
      <c r="K1412" s="1645"/>
      <c r="L1412" s="1645"/>
      <c r="M1412" s="1645"/>
      <c r="N1412" s="1645"/>
      <c r="O1412" s="1645"/>
      <c r="P1412" s="1645"/>
      <c r="Q1412" s="1645"/>
      <c r="R1412" s="1645"/>
      <c r="S1412" s="1645"/>
      <c r="T1412" s="1645"/>
      <c r="U1412" s="1645"/>
      <c r="V1412" s="1645"/>
      <c r="W1412" s="1645"/>
      <c r="X1412" s="1645"/>
      <c r="Y1412" s="1645"/>
      <c r="Z1412" s="1645"/>
      <c r="AA1412" s="1645"/>
      <c r="AB1412" s="1645"/>
      <c r="AC1412" s="1645"/>
      <c r="AD1412" s="1645"/>
      <c r="AE1412" s="1645"/>
      <c r="AF1412" s="1645"/>
      <c r="AG1412" s="1645"/>
      <c r="AH1412" s="1645"/>
      <c r="AI1412" s="1645"/>
      <c r="AJ1412" s="1645"/>
      <c r="AK1412" s="1645"/>
      <c r="AL1412" s="1645"/>
      <c r="AM1412" s="1645"/>
      <c r="AN1412" s="1645"/>
      <c r="AO1412" s="1645"/>
      <c r="AP1412" s="1645"/>
      <c r="AQ1412" s="1645"/>
      <c r="AR1412" s="1645"/>
      <c r="AS1412" s="1645"/>
      <c r="AT1412" s="1645"/>
      <c r="AU1412" s="1645"/>
      <c r="AV1412" s="1645"/>
      <c r="AW1412" s="1645"/>
      <c r="AX1412" s="1645"/>
      <c r="AY1412" s="1645"/>
      <c r="AZ1412" s="1645"/>
      <c r="BA1412" s="1645"/>
      <c r="BB1412" s="1645"/>
      <c r="BC1412" s="1645"/>
      <c r="BD1412" s="1645"/>
      <c r="BE1412" s="1645"/>
      <c r="BF1412" s="1645"/>
      <c r="BG1412" s="1645"/>
      <c r="BH1412" s="1645"/>
      <c r="BI1412" s="1645"/>
      <c r="BJ1412" s="1645"/>
      <c r="BK1412" s="1645"/>
      <c r="BL1412" s="1645"/>
      <c r="BM1412" s="1645"/>
      <c r="BN1412" s="1645"/>
      <c r="BO1412" s="1645"/>
      <c r="BP1412" s="1645"/>
      <c r="BQ1412" s="1645"/>
      <c r="BR1412" s="1645"/>
      <c r="BS1412" s="1645"/>
      <c r="BT1412" s="1645"/>
      <c r="BU1412" s="1645"/>
      <c r="BV1412" s="1645"/>
      <c r="BW1412" s="1645"/>
      <c r="BX1412" s="1645"/>
      <c r="BY1412" s="1645"/>
      <c r="BZ1412" s="1645"/>
      <c r="CA1412" s="1645"/>
      <c r="CB1412" s="1645"/>
      <c r="CC1412" s="1645"/>
      <c r="CD1412" s="1645"/>
      <c r="CE1412" s="1645"/>
      <c r="CF1412" s="1645"/>
      <c r="CG1412" s="1645"/>
      <c r="CH1412" s="1645"/>
      <c r="CI1412" s="1645"/>
      <c r="CJ1412" s="1645"/>
      <c r="CK1412" s="1645"/>
      <c r="CL1412" s="1645"/>
      <c r="CM1412" s="1645"/>
      <c r="CN1412" s="1645"/>
      <c r="CO1412" s="1645"/>
      <c r="CP1412" s="1136"/>
      <c r="CQ1412" s="1136"/>
      <c r="CR1412" s="1136"/>
      <c r="CS1412" s="1136"/>
      <c r="CT1412" s="1136"/>
      <c r="CU1412" s="1136"/>
      <c r="CV1412" s="1136"/>
      <c r="CW1412" s="1136"/>
      <c r="CX1412" s="1136"/>
      <c r="CY1412" s="1136"/>
      <c r="CZ1412" s="1136"/>
      <c r="DA1412" s="1136"/>
      <c r="DB1412" s="1136"/>
      <c r="DC1412" s="1136"/>
      <c r="DD1412" s="1136"/>
      <c r="DE1412" s="1136"/>
      <c r="DF1412" s="1136"/>
      <c r="DG1412" s="1136"/>
      <c r="DH1412" s="1136"/>
      <c r="DI1412" s="1136"/>
    </row>
    <row r="1413" spans="1:113" ht="15" x14ac:dyDescent="0.2">
      <c r="A1413" s="1391" t="s">
        <v>3119</v>
      </c>
      <c r="B1413" s="1667" t="e">
        <f>B574</f>
        <v>#VALUE!</v>
      </c>
      <c r="C1413" s="1668"/>
      <c r="D1413" s="1668"/>
      <c r="E1413" s="1668"/>
      <c r="F1413" s="1668"/>
      <c r="G1413" s="1668"/>
      <c r="H1413" s="1070"/>
      <c r="I1413" s="1645"/>
      <c r="J1413" s="1645"/>
      <c r="K1413" s="1645"/>
      <c r="L1413" s="1645"/>
      <c r="M1413" s="1645"/>
      <c r="N1413" s="1645"/>
      <c r="O1413" s="1645"/>
      <c r="P1413" s="1645"/>
      <c r="Q1413" s="1645"/>
      <c r="R1413" s="1645"/>
      <c r="S1413" s="1645"/>
      <c r="T1413" s="1645"/>
      <c r="U1413" s="1645"/>
      <c r="V1413" s="1645"/>
      <c r="W1413" s="1645"/>
      <c r="X1413" s="1645"/>
      <c r="Y1413" s="1645"/>
      <c r="Z1413" s="1645"/>
      <c r="AA1413" s="1645"/>
      <c r="AB1413" s="1645"/>
      <c r="AC1413" s="1645"/>
      <c r="AD1413" s="1645"/>
      <c r="AE1413" s="1645"/>
      <c r="AF1413" s="1645"/>
      <c r="AG1413" s="1645"/>
      <c r="AH1413" s="1645"/>
      <c r="AI1413" s="1645"/>
      <c r="AJ1413" s="1645"/>
      <c r="AK1413" s="1645"/>
      <c r="AL1413" s="1645"/>
      <c r="AM1413" s="1645"/>
      <c r="AN1413" s="1645"/>
      <c r="AO1413" s="1645"/>
      <c r="AP1413" s="1645"/>
      <c r="AQ1413" s="1645"/>
      <c r="AR1413" s="1645"/>
      <c r="AS1413" s="1645"/>
      <c r="AT1413" s="1645"/>
      <c r="AU1413" s="1645"/>
      <c r="AV1413" s="1645"/>
      <c r="AW1413" s="1645"/>
      <c r="AX1413" s="1645"/>
      <c r="AY1413" s="1645"/>
      <c r="AZ1413" s="1645"/>
      <c r="BA1413" s="1645"/>
      <c r="BB1413" s="1645"/>
      <c r="BC1413" s="1645"/>
      <c r="BD1413" s="1645"/>
      <c r="BE1413" s="1645"/>
      <c r="BF1413" s="1645"/>
      <c r="BG1413" s="1645"/>
      <c r="BH1413" s="1645"/>
      <c r="BI1413" s="1645"/>
      <c r="BJ1413" s="1645"/>
      <c r="BK1413" s="1645"/>
      <c r="BL1413" s="1645"/>
      <c r="BM1413" s="1645"/>
      <c r="BN1413" s="1645"/>
      <c r="BO1413" s="1645"/>
      <c r="BP1413" s="1645"/>
      <c r="BQ1413" s="1645"/>
      <c r="BR1413" s="1645"/>
      <c r="BS1413" s="1645"/>
      <c r="BT1413" s="1645"/>
      <c r="BU1413" s="1645"/>
      <c r="BV1413" s="1645"/>
      <c r="BW1413" s="1645"/>
      <c r="BX1413" s="1645"/>
      <c r="BY1413" s="1645"/>
      <c r="BZ1413" s="1645"/>
      <c r="CA1413" s="1645"/>
      <c r="CB1413" s="1645"/>
      <c r="CC1413" s="1645"/>
      <c r="CD1413" s="1645"/>
      <c r="CE1413" s="1645"/>
      <c r="CF1413" s="1645"/>
      <c r="CG1413" s="1645"/>
      <c r="CH1413" s="1645"/>
      <c r="CI1413" s="1645"/>
      <c r="CJ1413" s="1645"/>
      <c r="CK1413" s="1645"/>
      <c r="CL1413" s="1645"/>
      <c r="CM1413" s="1645"/>
      <c r="CN1413" s="1645"/>
      <c r="CO1413" s="1645"/>
      <c r="CP1413" s="1136"/>
      <c r="CQ1413" s="1136"/>
      <c r="CR1413" s="1136"/>
      <c r="CS1413" s="1136"/>
      <c r="CT1413" s="1136"/>
      <c r="CU1413" s="1136"/>
      <c r="CV1413" s="1136"/>
      <c r="CW1413" s="1136"/>
      <c r="CX1413" s="1136"/>
      <c r="CY1413" s="1136"/>
      <c r="CZ1413" s="1136"/>
      <c r="DA1413" s="1136"/>
      <c r="DB1413" s="1136"/>
      <c r="DC1413" s="1136"/>
      <c r="DD1413" s="1136"/>
      <c r="DE1413" s="1136"/>
      <c r="DF1413" s="1136"/>
      <c r="DG1413" s="1136"/>
      <c r="DH1413" s="1136"/>
      <c r="DI1413" s="1136"/>
    </row>
    <row r="1414" spans="1:113" ht="15" x14ac:dyDescent="0.2">
      <c r="A1414" s="1391" t="s">
        <v>3120</v>
      </c>
      <c r="B1414" s="1667" t="e">
        <f>B550</f>
        <v>#VALUE!</v>
      </c>
      <c r="C1414" s="1668"/>
      <c r="D1414" s="1668"/>
      <c r="E1414" s="1668"/>
      <c r="F1414" s="1668"/>
      <c r="G1414" s="1668"/>
      <c r="H1414" s="1070"/>
      <c r="I1414" s="1645"/>
      <c r="J1414" s="1645"/>
      <c r="K1414" s="1645"/>
      <c r="L1414" s="1645"/>
      <c r="M1414" s="1645"/>
      <c r="N1414" s="1645"/>
      <c r="O1414" s="1645"/>
      <c r="P1414" s="1645"/>
      <c r="Q1414" s="1645"/>
      <c r="R1414" s="1645"/>
      <c r="S1414" s="1645"/>
      <c r="T1414" s="1645"/>
      <c r="U1414" s="1645"/>
      <c r="V1414" s="1645"/>
      <c r="W1414" s="1645"/>
      <c r="X1414" s="1645"/>
      <c r="Y1414" s="1645"/>
      <c r="Z1414" s="1645"/>
      <c r="AA1414" s="1645"/>
      <c r="AB1414" s="1645"/>
      <c r="AC1414" s="1645"/>
      <c r="AD1414" s="1645"/>
      <c r="AE1414" s="1645"/>
      <c r="AF1414" s="1645"/>
      <c r="AG1414" s="1645"/>
      <c r="AH1414" s="1645"/>
      <c r="AI1414" s="1645"/>
      <c r="AJ1414" s="1645"/>
      <c r="AK1414" s="1645"/>
      <c r="AL1414" s="1645"/>
      <c r="AM1414" s="1645"/>
      <c r="AN1414" s="1645"/>
      <c r="AO1414" s="1645"/>
      <c r="AP1414" s="1645"/>
      <c r="AQ1414" s="1645"/>
      <c r="AR1414" s="1645"/>
      <c r="AS1414" s="1645"/>
      <c r="AT1414" s="1645"/>
      <c r="AU1414" s="1645"/>
      <c r="AV1414" s="1645"/>
      <c r="AW1414" s="1645"/>
      <c r="AX1414" s="1645"/>
      <c r="AY1414" s="1645"/>
      <c r="AZ1414" s="1645"/>
      <c r="BA1414" s="1645"/>
      <c r="BB1414" s="1645"/>
      <c r="BC1414" s="1645"/>
      <c r="BD1414" s="1645"/>
      <c r="BE1414" s="1645"/>
      <c r="BF1414" s="1645"/>
      <c r="BG1414" s="1645"/>
      <c r="BH1414" s="1645"/>
      <c r="BI1414" s="1645"/>
      <c r="BJ1414" s="1645"/>
      <c r="BK1414" s="1645"/>
      <c r="BL1414" s="1645"/>
      <c r="BM1414" s="1645"/>
      <c r="BN1414" s="1645"/>
      <c r="BO1414" s="1645"/>
      <c r="BP1414" s="1645"/>
      <c r="BQ1414" s="1645"/>
      <c r="BR1414" s="1645"/>
      <c r="BS1414" s="1645"/>
      <c r="BT1414" s="1645"/>
      <c r="BU1414" s="1645"/>
      <c r="BV1414" s="1645"/>
      <c r="BW1414" s="1645"/>
      <c r="BX1414" s="1645"/>
      <c r="BY1414" s="1645"/>
      <c r="BZ1414" s="1645"/>
      <c r="CA1414" s="1645"/>
      <c r="CB1414" s="1645"/>
      <c r="CC1414" s="1645"/>
      <c r="CD1414" s="1645"/>
      <c r="CE1414" s="1645"/>
      <c r="CF1414" s="1645"/>
      <c r="CG1414" s="1645"/>
      <c r="CH1414" s="1645"/>
      <c r="CI1414" s="1645"/>
      <c r="CJ1414" s="1645"/>
      <c r="CK1414" s="1645"/>
      <c r="CL1414" s="1645"/>
      <c r="CM1414" s="1645"/>
      <c r="CN1414" s="1645"/>
      <c r="CO1414" s="1645"/>
      <c r="CP1414" s="1136"/>
      <c r="CQ1414" s="1136"/>
      <c r="CR1414" s="1136"/>
      <c r="CS1414" s="1136"/>
      <c r="CT1414" s="1136"/>
      <c r="CU1414" s="1136"/>
      <c r="CV1414" s="1136"/>
      <c r="CW1414" s="1136"/>
      <c r="CX1414" s="1136"/>
      <c r="CY1414" s="1136"/>
      <c r="CZ1414" s="1136"/>
      <c r="DA1414" s="1136"/>
      <c r="DB1414" s="1136"/>
      <c r="DC1414" s="1136"/>
      <c r="DD1414" s="1136"/>
      <c r="DE1414" s="1136"/>
      <c r="DF1414" s="1136"/>
      <c r="DG1414" s="1136"/>
      <c r="DH1414" s="1136"/>
      <c r="DI1414" s="1136"/>
    </row>
    <row r="1415" spans="1:113" ht="15" x14ac:dyDescent="0.2">
      <c r="A1415" s="1391" t="s">
        <v>3121</v>
      </c>
      <c r="B1415" s="1667" t="e">
        <f>B559</f>
        <v>#VALUE!</v>
      </c>
      <c r="C1415" s="1668"/>
      <c r="D1415" s="1668"/>
      <c r="E1415" s="1668"/>
      <c r="F1415" s="1668"/>
      <c r="G1415" s="1668"/>
      <c r="H1415" s="1070"/>
      <c r="I1415" s="1645"/>
      <c r="J1415" s="1645"/>
      <c r="K1415" s="1645"/>
      <c r="L1415" s="1645"/>
      <c r="M1415" s="1645"/>
      <c r="N1415" s="1645"/>
      <c r="O1415" s="1645"/>
      <c r="P1415" s="1645"/>
      <c r="Q1415" s="1645"/>
      <c r="R1415" s="1645"/>
      <c r="S1415" s="1645"/>
      <c r="T1415" s="1645"/>
      <c r="U1415" s="1645"/>
      <c r="V1415" s="1645"/>
      <c r="W1415" s="1645"/>
      <c r="X1415" s="1645"/>
      <c r="Y1415" s="1645"/>
      <c r="Z1415" s="1645"/>
      <c r="AA1415" s="1645"/>
      <c r="AB1415" s="1645"/>
      <c r="AC1415" s="1645"/>
      <c r="AD1415" s="1645"/>
      <c r="AE1415" s="1645"/>
      <c r="AF1415" s="1645"/>
      <c r="AG1415" s="1645"/>
      <c r="AH1415" s="1645"/>
      <c r="AI1415" s="1645"/>
      <c r="AJ1415" s="1645"/>
      <c r="AK1415" s="1645"/>
      <c r="AL1415" s="1645"/>
      <c r="AM1415" s="1645"/>
      <c r="AN1415" s="1645"/>
      <c r="AO1415" s="1645"/>
      <c r="AP1415" s="1645"/>
      <c r="AQ1415" s="1645"/>
      <c r="AR1415" s="1645"/>
      <c r="AS1415" s="1645"/>
      <c r="AT1415" s="1645"/>
      <c r="AU1415" s="1645"/>
      <c r="AV1415" s="1645"/>
      <c r="AW1415" s="1645"/>
      <c r="AX1415" s="1645"/>
      <c r="AY1415" s="1645"/>
      <c r="AZ1415" s="1645"/>
      <c r="BA1415" s="1645"/>
      <c r="BB1415" s="1645"/>
      <c r="BC1415" s="1645"/>
      <c r="BD1415" s="1645"/>
      <c r="BE1415" s="1645"/>
      <c r="BF1415" s="1645"/>
      <c r="BG1415" s="1645"/>
      <c r="BH1415" s="1645"/>
      <c r="BI1415" s="1645"/>
      <c r="BJ1415" s="1645"/>
      <c r="BK1415" s="1645"/>
      <c r="BL1415" s="1645"/>
      <c r="BM1415" s="1645"/>
      <c r="BN1415" s="1645"/>
      <c r="BO1415" s="1645"/>
      <c r="BP1415" s="1645"/>
      <c r="BQ1415" s="1645"/>
      <c r="BR1415" s="1645"/>
      <c r="BS1415" s="1645"/>
      <c r="BT1415" s="1645"/>
      <c r="BU1415" s="1645"/>
      <c r="BV1415" s="1645"/>
      <c r="BW1415" s="1645"/>
      <c r="BX1415" s="1645"/>
      <c r="BY1415" s="1645"/>
      <c r="BZ1415" s="1645"/>
      <c r="CA1415" s="1645"/>
      <c r="CB1415" s="1645"/>
      <c r="CC1415" s="1645"/>
      <c r="CD1415" s="1645"/>
      <c r="CE1415" s="1645"/>
      <c r="CF1415" s="1645"/>
      <c r="CG1415" s="1645"/>
      <c r="CH1415" s="1645"/>
      <c r="CI1415" s="1645"/>
      <c r="CJ1415" s="1645"/>
      <c r="CK1415" s="1645"/>
      <c r="CL1415" s="1645"/>
      <c r="CM1415" s="1645"/>
      <c r="CN1415" s="1645"/>
      <c r="CO1415" s="1645"/>
      <c r="CP1415" s="1136"/>
      <c r="CQ1415" s="1136"/>
      <c r="CR1415" s="1136"/>
      <c r="CS1415" s="1136"/>
      <c r="CT1415" s="1136"/>
      <c r="CU1415" s="1136"/>
      <c r="CV1415" s="1136"/>
      <c r="CW1415" s="1136"/>
      <c r="CX1415" s="1136"/>
      <c r="CY1415" s="1136"/>
      <c r="CZ1415" s="1136"/>
      <c r="DA1415" s="1136"/>
      <c r="DB1415" s="1136"/>
      <c r="DC1415" s="1136"/>
      <c r="DD1415" s="1136"/>
      <c r="DE1415" s="1136"/>
      <c r="DF1415" s="1136"/>
      <c r="DG1415" s="1136"/>
      <c r="DH1415" s="1136"/>
      <c r="DI1415" s="1136"/>
    </row>
    <row r="1416" spans="1:113" ht="15" x14ac:dyDescent="0.2">
      <c r="A1416" s="1391" t="s">
        <v>3122</v>
      </c>
      <c r="B1416" s="1667">
        <f>B542</f>
        <v>0</v>
      </c>
      <c r="C1416" s="1668"/>
      <c r="D1416" s="1668"/>
      <c r="E1416" s="1668"/>
      <c r="F1416" s="1668"/>
      <c r="G1416" s="1668"/>
      <c r="H1416" s="1070"/>
      <c r="I1416" s="1645"/>
      <c r="J1416" s="1645"/>
      <c r="K1416" s="1645"/>
      <c r="L1416" s="1645"/>
      <c r="M1416" s="1645"/>
      <c r="N1416" s="1645"/>
      <c r="O1416" s="1645"/>
      <c r="P1416" s="1645"/>
      <c r="Q1416" s="1645"/>
      <c r="R1416" s="1645"/>
      <c r="S1416" s="1645"/>
      <c r="T1416" s="1645"/>
      <c r="U1416" s="1645"/>
      <c r="V1416" s="1645"/>
      <c r="W1416" s="1645"/>
      <c r="X1416" s="1645"/>
      <c r="Y1416" s="1645"/>
      <c r="Z1416" s="1645"/>
      <c r="AA1416" s="1645"/>
      <c r="AB1416" s="1645"/>
      <c r="AC1416" s="1645"/>
      <c r="AD1416" s="1645"/>
      <c r="AE1416" s="1645"/>
      <c r="AF1416" s="1645"/>
      <c r="AG1416" s="1645"/>
      <c r="AH1416" s="1645"/>
      <c r="AI1416" s="1645"/>
      <c r="AJ1416" s="1645"/>
      <c r="AK1416" s="1645"/>
      <c r="AL1416" s="1645"/>
      <c r="AM1416" s="1645"/>
      <c r="AN1416" s="1645"/>
      <c r="AO1416" s="1645"/>
      <c r="AP1416" s="1645"/>
      <c r="AQ1416" s="1645"/>
      <c r="AR1416" s="1645"/>
      <c r="AS1416" s="1645"/>
      <c r="AT1416" s="1645"/>
      <c r="AU1416" s="1645"/>
      <c r="AV1416" s="1645"/>
      <c r="AW1416" s="1645"/>
      <c r="AX1416" s="1645"/>
      <c r="AY1416" s="1645"/>
      <c r="AZ1416" s="1645"/>
      <c r="BA1416" s="1645"/>
      <c r="BB1416" s="1645"/>
      <c r="BC1416" s="1645"/>
      <c r="BD1416" s="1645"/>
      <c r="BE1416" s="1645"/>
      <c r="BF1416" s="1645"/>
      <c r="BG1416" s="1645"/>
      <c r="BH1416" s="1645"/>
      <c r="BI1416" s="1645"/>
      <c r="BJ1416" s="1645"/>
      <c r="BK1416" s="1645"/>
      <c r="BL1416" s="1645"/>
      <c r="BM1416" s="1645"/>
      <c r="BN1416" s="1645"/>
      <c r="BO1416" s="1645"/>
      <c r="BP1416" s="1645"/>
      <c r="BQ1416" s="1645"/>
      <c r="BR1416" s="1645"/>
      <c r="BS1416" s="1645"/>
      <c r="BT1416" s="1645"/>
      <c r="BU1416" s="1645"/>
      <c r="BV1416" s="1645"/>
      <c r="BW1416" s="1645"/>
      <c r="BX1416" s="1645"/>
      <c r="BY1416" s="1645"/>
      <c r="BZ1416" s="1645"/>
      <c r="CA1416" s="1645"/>
      <c r="CB1416" s="1645"/>
      <c r="CC1416" s="1645"/>
      <c r="CD1416" s="1645"/>
      <c r="CE1416" s="1645"/>
      <c r="CF1416" s="1645"/>
      <c r="CG1416" s="1645"/>
      <c r="CH1416" s="1645"/>
      <c r="CI1416" s="1645"/>
      <c r="CJ1416" s="1645"/>
      <c r="CK1416" s="1645"/>
      <c r="CL1416" s="1645"/>
      <c r="CM1416" s="1645"/>
      <c r="CN1416" s="1645"/>
      <c r="CO1416" s="1645"/>
      <c r="CP1416" s="1136"/>
      <c r="CQ1416" s="1136"/>
      <c r="CR1416" s="1136"/>
      <c r="CS1416" s="1136"/>
      <c r="CT1416" s="1136"/>
      <c r="CU1416" s="1136"/>
      <c r="CV1416" s="1136"/>
      <c r="CW1416" s="1136"/>
      <c r="CX1416" s="1136"/>
      <c r="CY1416" s="1136"/>
      <c r="CZ1416" s="1136"/>
      <c r="DA1416" s="1136"/>
      <c r="DB1416" s="1136"/>
      <c r="DC1416" s="1136"/>
      <c r="DD1416" s="1136"/>
      <c r="DE1416" s="1136"/>
      <c r="DF1416" s="1136"/>
      <c r="DG1416" s="1136"/>
      <c r="DH1416" s="1136"/>
      <c r="DI1416" s="1136"/>
    </row>
    <row r="1417" spans="1:113" ht="15" x14ac:dyDescent="0.2">
      <c r="A1417" s="1391" t="s">
        <v>3123</v>
      </c>
      <c r="B1417" s="1667" t="e">
        <f>B525</f>
        <v>#VALUE!</v>
      </c>
      <c r="C1417" s="1668"/>
      <c r="D1417" s="1668"/>
      <c r="E1417" s="1668"/>
      <c r="F1417" s="1668"/>
      <c r="G1417" s="1668"/>
      <c r="H1417" s="1070"/>
      <c r="I1417" s="1645"/>
      <c r="J1417" s="1645"/>
      <c r="K1417" s="1645"/>
      <c r="L1417" s="1645"/>
      <c r="M1417" s="1645"/>
      <c r="N1417" s="1645"/>
      <c r="O1417" s="1645"/>
      <c r="P1417" s="1645"/>
      <c r="Q1417" s="1645"/>
      <c r="R1417" s="1645"/>
      <c r="S1417" s="1645"/>
      <c r="T1417" s="1645"/>
      <c r="U1417" s="1645"/>
      <c r="V1417" s="1645"/>
      <c r="W1417" s="1645"/>
      <c r="X1417" s="1645"/>
      <c r="Y1417" s="1645"/>
      <c r="Z1417" s="1645"/>
      <c r="AA1417" s="1645"/>
      <c r="AB1417" s="1645"/>
      <c r="AC1417" s="1645"/>
      <c r="AD1417" s="1645"/>
      <c r="AE1417" s="1645"/>
      <c r="AF1417" s="1645"/>
      <c r="AG1417" s="1645"/>
      <c r="AH1417" s="1645"/>
      <c r="AI1417" s="1645"/>
      <c r="AJ1417" s="1645"/>
      <c r="AK1417" s="1645"/>
      <c r="AL1417" s="1645"/>
      <c r="AM1417" s="1645"/>
      <c r="AN1417" s="1645"/>
      <c r="AO1417" s="1645"/>
      <c r="AP1417" s="1645"/>
      <c r="AQ1417" s="1645"/>
      <c r="AR1417" s="1645"/>
      <c r="AS1417" s="1645"/>
      <c r="AT1417" s="1645"/>
      <c r="AU1417" s="1645"/>
      <c r="AV1417" s="1645"/>
      <c r="AW1417" s="1645"/>
      <c r="AX1417" s="1645"/>
      <c r="AY1417" s="1645"/>
      <c r="AZ1417" s="1645"/>
      <c r="BA1417" s="1645"/>
      <c r="BB1417" s="1645"/>
      <c r="BC1417" s="1645"/>
      <c r="BD1417" s="1645"/>
      <c r="BE1417" s="1645"/>
      <c r="BF1417" s="1645"/>
      <c r="BG1417" s="1645"/>
      <c r="BH1417" s="1645"/>
      <c r="BI1417" s="1645"/>
      <c r="BJ1417" s="1645"/>
      <c r="BK1417" s="1645"/>
      <c r="BL1417" s="1645"/>
      <c r="BM1417" s="1645"/>
      <c r="BN1417" s="1645"/>
      <c r="BO1417" s="1645"/>
      <c r="BP1417" s="1645"/>
      <c r="BQ1417" s="1645"/>
      <c r="BR1417" s="1645"/>
      <c r="BS1417" s="1645"/>
      <c r="BT1417" s="1645"/>
      <c r="BU1417" s="1645"/>
      <c r="BV1417" s="1645"/>
      <c r="BW1417" s="1645"/>
      <c r="BX1417" s="1645"/>
      <c r="BY1417" s="1645"/>
      <c r="BZ1417" s="1645"/>
      <c r="CA1417" s="1645"/>
      <c r="CB1417" s="1645"/>
      <c r="CC1417" s="1645"/>
      <c r="CD1417" s="1645"/>
      <c r="CE1417" s="1645"/>
      <c r="CF1417" s="1645"/>
      <c r="CG1417" s="1645"/>
      <c r="CH1417" s="1645"/>
      <c r="CI1417" s="1645"/>
      <c r="CJ1417" s="1645"/>
      <c r="CK1417" s="1645"/>
      <c r="CL1417" s="1645"/>
      <c r="CM1417" s="1645"/>
      <c r="CN1417" s="1645"/>
      <c r="CO1417" s="1645"/>
      <c r="CP1417" s="1136"/>
      <c r="CQ1417" s="1136"/>
      <c r="CR1417" s="1136"/>
      <c r="CS1417" s="1136"/>
      <c r="CT1417" s="1136"/>
      <c r="CU1417" s="1136"/>
      <c r="CV1417" s="1136"/>
      <c r="CW1417" s="1136"/>
      <c r="CX1417" s="1136"/>
      <c r="CY1417" s="1136"/>
      <c r="CZ1417" s="1136"/>
      <c r="DA1417" s="1136"/>
      <c r="DB1417" s="1136"/>
      <c r="DC1417" s="1136"/>
      <c r="DD1417" s="1136"/>
      <c r="DE1417" s="1136"/>
      <c r="DF1417" s="1136"/>
      <c r="DG1417" s="1136"/>
      <c r="DH1417" s="1136"/>
      <c r="DI1417" s="1136"/>
    </row>
    <row r="1418" spans="1:113" ht="15" x14ac:dyDescent="0.2">
      <c r="A1418" s="1391" t="s">
        <v>3124</v>
      </c>
      <c r="B1418" s="1667">
        <f>B515</f>
        <v>0</v>
      </c>
      <c r="C1418" s="1668"/>
      <c r="D1418" s="1668"/>
      <c r="E1418" s="1668"/>
      <c r="F1418" s="1668"/>
      <c r="G1418" s="1668"/>
      <c r="H1418" s="1070"/>
      <c r="I1418" s="1645"/>
      <c r="J1418" s="1645"/>
      <c r="K1418" s="1645"/>
      <c r="L1418" s="1645"/>
      <c r="M1418" s="1645"/>
      <c r="N1418" s="1645"/>
      <c r="O1418" s="1645"/>
      <c r="P1418" s="1645"/>
      <c r="Q1418" s="1645"/>
      <c r="R1418" s="1645"/>
      <c r="S1418" s="1645"/>
      <c r="T1418" s="1645"/>
      <c r="U1418" s="1645"/>
      <c r="V1418" s="1645"/>
      <c r="W1418" s="1645"/>
      <c r="X1418" s="1645"/>
      <c r="Y1418" s="1645"/>
      <c r="Z1418" s="1645"/>
      <c r="AA1418" s="1645"/>
      <c r="AB1418" s="1645"/>
      <c r="AC1418" s="1645"/>
      <c r="AD1418" s="1645"/>
      <c r="AE1418" s="1645"/>
      <c r="AF1418" s="1645"/>
      <c r="AG1418" s="1645"/>
      <c r="AH1418" s="1645"/>
      <c r="AI1418" s="1645"/>
      <c r="AJ1418" s="1645"/>
      <c r="AK1418" s="1645"/>
      <c r="AL1418" s="1645"/>
      <c r="AM1418" s="1645"/>
      <c r="AN1418" s="1645"/>
      <c r="AO1418" s="1645"/>
      <c r="AP1418" s="1645"/>
      <c r="AQ1418" s="1645"/>
      <c r="AR1418" s="1645"/>
      <c r="AS1418" s="1645"/>
      <c r="AT1418" s="1645"/>
      <c r="AU1418" s="1645"/>
      <c r="AV1418" s="1645"/>
      <c r="AW1418" s="1645"/>
      <c r="AX1418" s="1645"/>
      <c r="AY1418" s="1645"/>
      <c r="AZ1418" s="1645"/>
      <c r="BA1418" s="1645"/>
      <c r="BB1418" s="1645"/>
      <c r="BC1418" s="1645"/>
      <c r="BD1418" s="1645"/>
      <c r="BE1418" s="1645"/>
      <c r="BF1418" s="1645"/>
      <c r="BG1418" s="1645"/>
      <c r="BH1418" s="1645"/>
      <c r="BI1418" s="1645"/>
      <c r="BJ1418" s="1645"/>
      <c r="BK1418" s="1645"/>
      <c r="BL1418" s="1645"/>
      <c r="BM1418" s="1645"/>
      <c r="BN1418" s="1645"/>
      <c r="BO1418" s="1645"/>
      <c r="BP1418" s="1645"/>
      <c r="BQ1418" s="1645"/>
      <c r="BR1418" s="1645"/>
      <c r="BS1418" s="1645"/>
      <c r="BT1418" s="1645"/>
      <c r="BU1418" s="1645"/>
      <c r="BV1418" s="1645"/>
      <c r="BW1418" s="1645"/>
      <c r="BX1418" s="1645"/>
      <c r="BY1418" s="1645"/>
      <c r="BZ1418" s="1645"/>
      <c r="CA1418" s="1645"/>
      <c r="CB1418" s="1645"/>
      <c r="CC1418" s="1645"/>
      <c r="CD1418" s="1645"/>
      <c r="CE1418" s="1645"/>
      <c r="CF1418" s="1645"/>
      <c r="CG1418" s="1645"/>
      <c r="CH1418" s="1645"/>
      <c r="CI1418" s="1645"/>
      <c r="CJ1418" s="1645"/>
      <c r="CK1418" s="1645"/>
      <c r="CL1418" s="1645"/>
      <c r="CM1418" s="1645"/>
      <c r="CN1418" s="1645"/>
      <c r="CO1418" s="1645"/>
      <c r="CP1418" s="1136"/>
      <c r="CQ1418" s="1136"/>
      <c r="CR1418" s="1136"/>
      <c r="CS1418" s="1136"/>
      <c r="CT1418" s="1136"/>
      <c r="CU1418" s="1136"/>
      <c r="CV1418" s="1136"/>
      <c r="CW1418" s="1136"/>
      <c r="CX1418" s="1136"/>
      <c r="CY1418" s="1136"/>
      <c r="CZ1418" s="1136"/>
      <c r="DA1418" s="1136"/>
      <c r="DB1418" s="1136"/>
      <c r="DC1418" s="1136"/>
      <c r="DD1418" s="1136"/>
      <c r="DE1418" s="1136"/>
      <c r="DF1418" s="1136"/>
      <c r="DG1418" s="1136"/>
      <c r="DH1418" s="1136"/>
      <c r="DI1418" s="1136"/>
    </row>
    <row r="1419" spans="1:113" ht="15" x14ac:dyDescent="0.2">
      <c r="A1419" s="1391" t="s">
        <v>3125</v>
      </c>
      <c r="B1419" s="1667" t="e">
        <f>B490</f>
        <v>#VALUE!</v>
      </c>
      <c r="C1419" s="1668"/>
      <c r="D1419" s="1668"/>
      <c r="E1419" s="1668"/>
      <c r="F1419" s="1668"/>
      <c r="G1419" s="1668"/>
      <c r="H1419" s="1070"/>
      <c r="I1419" s="1645"/>
      <c r="J1419" s="1645"/>
      <c r="K1419" s="1645"/>
      <c r="L1419" s="1645"/>
      <c r="M1419" s="1645"/>
      <c r="N1419" s="1645"/>
      <c r="O1419" s="1645"/>
      <c r="P1419" s="1645"/>
      <c r="Q1419" s="1645"/>
      <c r="R1419" s="1645"/>
      <c r="S1419" s="1645"/>
      <c r="T1419" s="1645"/>
      <c r="U1419" s="1645"/>
      <c r="V1419" s="1645"/>
      <c r="W1419" s="1645"/>
      <c r="X1419" s="1645"/>
      <c r="Y1419" s="1645"/>
      <c r="Z1419" s="1645"/>
      <c r="AA1419" s="1645"/>
      <c r="AB1419" s="1645"/>
      <c r="AC1419" s="1645"/>
      <c r="AD1419" s="1645"/>
      <c r="AE1419" s="1645"/>
      <c r="AF1419" s="1645"/>
      <c r="AG1419" s="1645"/>
      <c r="AH1419" s="1645"/>
      <c r="AI1419" s="1645"/>
      <c r="AJ1419" s="1645"/>
      <c r="AK1419" s="1645"/>
      <c r="AL1419" s="1645"/>
      <c r="AM1419" s="1645"/>
      <c r="AN1419" s="1645"/>
      <c r="AO1419" s="1645"/>
      <c r="AP1419" s="1645"/>
      <c r="AQ1419" s="1645"/>
      <c r="AR1419" s="1645"/>
      <c r="AS1419" s="1645"/>
      <c r="AT1419" s="1645"/>
      <c r="AU1419" s="1645"/>
      <c r="AV1419" s="1645"/>
      <c r="AW1419" s="1645"/>
      <c r="AX1419" s="1645"/>
      <c r="AY1419" s="1645"/>
      <c r="AZ1419" s="1645"/>
      <c r="BA1419" s="1645"/>
      <c r="BB1419" s="1645"/>
      <c r="BC1419" s="1645"/>
      <c r="BD1419" s="1645"/>
      <c r="BE1419" s="1645"/>
      <c r="BF1419" s="1645"/>
      <c r="BG1419" s="1645"/>
      <c r="BH1419" s="1645"/>
      <c r="BI1419" s="1645"/>
      <c r="BJ1419" s="1645"/>
      <c r="BK1419" s="1645"/>
      <c r="BL1419" s="1645"/>
      <c r="BM1419" s="1645"/>
      <c r="BN1419" s="1645"/>
      <c r="BO1419" s="1645"/>
      <c r="BP1419" s="1645"/>
      <c r="BQ1419" s="1645"/>
      <c r="BR1419" s="1645"/>
      <c r="BS1419" s="1645"/>
      <c r="BT1419" s="1645"/>
      <c r="BU1419" s="1645"/>
      <c r="BV1419" s="1645"/>
      <c r="BW1419" s="1645"/>
      <c r="BX1419" s="1645"/>
      <c r="BY1419" s="1645"/>
      <c r="BZ1419" s="1645"/>
      <c r="CA1419" s="1645"/>
      <c r="CB1419" s="1645"/>
      <c r="CC1419" s="1645"/>
      <c r="CD1419" s="1645"/>
      <c r="CE1419" s="1645"/>
      <c r="CF1419" s="1645"/>
      <c r="CG1419" s="1645"/>
      <c r="CH1419" s="1645"/>
      <c r="CI1419" s="1645"/>
      <c r="CJ1419" s="1645"/>
      <c r="CK1419" s="1645"/>
      <c r="CL1419" s="1645"/>
      <c r="CM1419" s="1645"/>
      <c r="CN1419" s="1645"/>
      <c r="CO1419" s="1645"/>
      <c r="CP1419" s="1136"/>
      <c r="CQ1419" s="1136"/>
      <c r="CR1419" s="1136"/>
      <c r="CS1419" s="1136"/>
      <c r="CT1419" s="1136"/>
      <c r="CU1419" s="1136"/>
      <c r="CV1419" s="1136"/>
      <c r="CW1419" s="1136"/>
      <c r="CX1419" s="1136"/>
      <c r="CY1419" s="1136"/>
      <c r="CZ1419" s="1136"/>
      <c r="DA1419" s="1136"/>
      <c r="DB1419" s="1136"/>
      <c r="DC1419" s="1136"/>
      <c r="DD1419" s="1136"/>
      <c r="DE1419" s="1136"/>
      <c r="DF1419" s="1136"/>
      <c r="DG1419" s="1136"/>
      <c r="DH1419" s="1136"/>
      <c r="DI1419" s="1136"/>
    </row>
    <row r="1420" spans="1:113" ht="15" x14ac:dyDescent="0.2">
      <c r="A1420" s="1391" t="s">
        <v>3126</v>
      </c>
      <c r="B1420" s="1667" t="e">
        <f>B476</f>
        <v>#VALUE!</v>
      </c>
      <c r="C1420" s="1668"/>
      <c r="D1420" s="1668"/>
      <c r="E1420" s="1668"/>
      <c r="F1420" s="1668"/>
      <c r="G1420" s="1668"/>
      <c r="H1420" s="1070"/>
      <c r="I1420" s="1645"/>
      <c r="J1420" s="1645"/>
      <c r="K1420" s="1645"/>
      <c r="L1420" s="1645"/>
      <c r="M1420" s="1645"/>
      <c r="N1420" s="1645"/>
      <c r="O1420" s="1645"/>
      <c r="P1420" s="1645"/>
      <c r="Q1420" s="1645"/>
      <c r="R1420" s="1645"/>
      <c r="S1420" s="1645"/>
      <c r="T1420" s="1645"/>
      <c r="U1420" s="1645"/>
      <c r="V1420" s="1645"/>
      <c r="W1420" s="1645"/>
      <c r="X1420" s="1645"/>
      <c r="Y1420" s="1645"/>
      <c r="Z1420" s="1645"/>
      <c r="AA1420" s="1645"/>
      <c r="AB1420" s="1645"/>
      <c r="AC1420" s="1645"/>
      <c r="AD1420" s="1645"/>
      <c r="AE1420" s="1645"/>
      <c r="AF1420" s="1645"/>
      <c r="AG1420" s="1645"/>
      <c r="AH1420" s="1645"/>
      <c r="AI1420" s="1645"/>
      <c r="AJ1420" s="1645"/>
      <c r="AK1420" s="1645"/>
      <c r="AL1420" s="1645"/>
      <c r="AM1420" s="1645"/>
      <c r="AN1420" s="1645"/>
      <c r="AO1420" s="1645"/>
      <c r="AP1420" s="1645"/>
      <c r="AQ1420" s="1645"/>
      <c r="AR1420" s="1645"/>
      <c r="AS1420" s="1645"/>
      <c r="AT1420" s="1645"/>
      <c r="AU1420" s="1645"/>
      <c r="AV1420" s="1645"/>
      <c r="AW1420" s="1645"/>
      <c r="AX1420" s="1645"/>
      <c r="AY1420" s="1645"/>
      <c r="AZ1420" s="1645"/>
      <c r="BA1420" s="1645"/>
      <c r="BB1420" s="1645"/>
      <c r="BC1420" s="1645"/>
      <c r="BD1420" s="1645"/>
      <c r="BE1420" s="1645"/>
      <c r="BF1420" s="1645"/>
      <c r="BG1420" s="1645"/>
      <c r="BH1420" s="1645"/>
      <c r="BI1420" s="1645"/>
      <c r="BJ1420" s="1645"/>
      <c r="BK1420" s="1645"/>
      <c r="BL1420" s="1645"/>
      <c r="BM1420" s="1645"/>
      <c r="BN1420" s="1645"/>
      <c r="BO1420" s="1645"/>
      <c r="BP1420" s="1645"/>
      <c r="BQ1420" s="1645"/>
      <c r="BR1420" s="1645"/>
      <c r="BS1420" s="1645"/>
      <c r="BT1420" s="1645"/>
      <c r="BU1420" s="1645"/>
      <c r="BV1420" s="1645"/>
      <c r="BW1420" s="1645"/>
      <c r="BX1420" s="1645"/>
      <c r="BY1420" s="1645"/>
      <c r="BZ1420" s="1645"/>
      <c r="CA1420" s="1645"/>
      <c r="CB1420" s="1645"/>
      <c r="CC1420" s="1645"/>
      <c r="CD1420" s="1645"/>
      <c r="CE1420" s="1645"/>
      <c r="CF1420" s="1645"/>
      <c r="CG1420" s="1645"/>
      <c r="CH1420" s="1645"/>
      <c r="CI1420" s="1645"/>
      <c r="CJ1420" s="1645"/>
      <c r="CK1420" s="1645"/>
      <c r="CL1420" s="1645"/>
      <c r="CM1420" s="1645"/>
      <c r="CN1420" s="1645"/>
      <c r="CO1420" s="1645"/>
      <c r="CP1420" s="1136"/>
      <c r="CQ1420" s="1136"/>
      <c r="CR1420" s="1136"/>
      <c r="CS1420" s="1136"/>
      <c r="CT1420" s="1136"/>
      <c r="CU1420" s="1136"/>
      <c r="CV1420" s="1136"/>
      <c r="CW1420" s="1136"/>
      <c r="CX1420" s="1136"/>
      <c r="CY1420" s="1136"/>
      <c r="CZ1420" s="1136"/>
      <c r="DA1420" s="1136"/>
      <c r="DB1420" s="1136"/>
      <c r="DC1420" s="1136"/>
      <c r="DD1420" s="1136"/>
      <c r="DE1420" s="1136"/>
      <c r="DF1420" s="1136"/>
      <c r="DG1420" s="1136"/>
      <c r="DH1420" s="1136"/>
      <c r="DI1420" s="1136"/>
    </row>
    <row r="1421" spans="1:113" ht="31.5" x14ac:dyDescent="0.25">
      <c r="A1421" s="1670" t="s">
        <v>3063</v>
      </c>
      <c r="B1421" s="1667" t="e">
        <f>SUM(B1423:B1428)</f>
        <v>#REF!</v>
      </c>
      <c r="C1421" s="1668"/>
      <c r="D1421" s="1668"/>
      <c r="E1421" s="1668"/>
      <c r="F1421" s="1668"/>
      <c r="G1421" s="1668"/>
      <c r="H1421" s="1070"/>
      <c r="I1421" s="1645"/>
      <c r="J1421" s="1645"/>
      <c r="K1421" s="1645"/>
      <c r="L1421" s="1645"/>
      <c r="M1421" s="1645"/>
      <c r="N1421" s="1645"/>
      <c r="O1421" s="1645"/>
      <c r="P1421" s="1645"/>
      <c r="Q1421" s="1645"/>
      <c r="R1421" s="1645"/>
      <c r="S1421" s="1645"/>
      <c r="T1421" s="1645"/>
      <c r="U1421" s="1645"/>
      <c r="V1421" s="1645"/>
      <c r="W1421" s="1645"/>
      <c r="X1421" s="1645"/>
      <c r="Y1421" s="1645"/>
      <c r="Z1421" s="1645"/>
      <c r="AA1421" s="1645"/>
      <c r="AB1421" s="1645"/>
      <c r="AC1421" s="1645"/>
      <c r="AD1421" s="1645"/>
      <c r="AE1421" s="1645"/>
      <c r="AF1421" s="1645"/>
      <c r="AG1421" s="1645"/>
      <c r="AH1421" s="1645"/>
      <c r="AI1421" s="1645"/>
      <c r="AJ1421" s="1645"/>
      <c r="AK1421" s="1645"/>
      <c r="AL1421" s="1645"/>
      <c r="AM1421" s="1645"/>
      <c r="AN1421" s="1645"/>
      <c r="AO1421" s="1645"/>
      <c r="AP1421" s="1645"/>
      <c r="AQ1421" s="1645"/>
      <c r="AR1421" s="1645"/>
      <c r="AS1421" s="1645"/>
      <c r="AT1421" s="1645"/>
      <c r="AU1421" s="1645"/>
      <c r="AV1421" s="1645"/>
      <c r="AW1421" s="1645"/>
      <c r="AX1421" s="1645"/>
      <c r="AY1421" s="1645"/>
      <c r="AZ1421" s="1645"/>
      <c r="BA1421" s="1645"/>
      <c r="BB1421" s="1645"/>
      <c r="BC1421" s="1645"/>
      <c r="BD1421" s="1645"/>
      <c r="BE1421" s="1645"/>
      <c r="BF1421" s="1645"/>
      <c r="BG1421" s="1645"/>
      <c r="BH1421" s="1645"/>
      <c r="BI1421" s="1645"/>
      <c r="BJ1421" s="1645"/>
      <c r="BK1421" s="1645"/>
      <c r="BL1421" s="1645"/>
      <c r="BM1421" s="1645"/>
      <c r="BN1421" s="1645"/>
      <c r="BO1421" s="1645"/>
      <c r="BP1421" s="1645"/>
      <c r="BQ1421" s="1645"/>
      <c r="BR1421" s="1645"/>
      <c r="BS1421" s="1645"/>
      <c r="BT1421" s="1645"/>
      <c r="BU1421" s="1645"/>
      <c r="BV1421" s="1645"/>
      <c r="BW1421" s="1645"/>
      <c r="BX1421" s="1645"/>
      <c r="BY1421" s="1645"/>
      <c r="BZ1421" s="1645"/>
      <c r="CA1421" s="1645"/>
      <c r="CB1421" s="1645"/>
      <c r="CC1421" s="1645"/>
      <c r="CD1421" s="1645"/>
      <c r="CE1421" s="1645"/>
      <c r="CF1421" s="1645"/>
      <c r="CG1421" s="1645"/>
      <c r="CH1421" s="1645"/>
      <c r="CI1421" s="1645"/>
      <c r="CJ1421" s="1645"/>
      <c r="CK1421" s="1645"/>
      <c r="CL1421" s="1645"/>
      <c r="CM1421" s="1645"/>
      <c r="CN1421" s="1645"/>
      <c r="CO1421" s="1645"/>
      <c r="CP1421" s="1136"/>
      <c r="CQ1421" s="1136"/>
      <c r="CR1421" s="1136"/>
      <c r="CS1421" s="1136"/>
      <c r="CT1421" s="1136"/>
      <c r="CU1421" s="1136"/>
      <c r="CV1421" s="1136"/>
      <c r="CW1421" s="1136"/>
      <c r="CX1421" s="1136"/>
      <c r="CY1421" s="1136"/>
      <c r="CZ1421" s="1136"/>
      <c r="DA1421" s="1136"/>
      <c r="DB1421" s="1136"/>
      <c r="DC1421" s="1136"/>
      <c r="DD1421" s="1136"/>
      <c r="DE1421" s="1136"/>
      <c r="DF1421" s="1136"/>
      <c r="DG1421" s="1136"/>
      <c r="DH1421" s="1136"/>
      <c r="DI1421" s="1136"/>
    </row>
    <row r="1422" spans="1:113" ht="15" x14ac:dyDescent="0.2">
      <c r="A1422" s="1391" t="s">
        <v>3110</v>
      </c>
      <c r="B1422" s="1667"/>
      <c r="C1422" s="1668"/>
      <c r="D1422" s="1668"/>
      <c r="E1422" s="1668"/>
      <c r="F1422" s="1668"/>
      <c r="G1422" s="1668"/>
      <c r="H1422" s="1070"/>
      <c r="I1422" s="1645"/>
      <c r="J1422" s="1645"/>
      <c r="K1422" s="1645"/>
      <c r="L1422" s="1645"/>
      <c r="M1422" s="1645"/>
      <c r="N1422" s="1645"/>
      <c r="O1422" s="1645"/>
      <c r="P1422" s="1645"/>
      <c r="Q1422" s="1645"/>
      <c r="R1422" s="1645"/>
      <c r="S1422" s="1645"/>
      <c r="T1422" s="1645"/>
      <c r="U1422" s="1645"/>
      <c r="V1422" s="1645"/>
      <c r="W1422" s="1645"/>
      <c r="X1422" s="1645"/>
      <c r="Y1422" s="1645"/>
      <c r="Z1422" s="1645"/>
      <c r="AA1422" s="1645"/>
      <c r="AB1422" s="1645"/>
      <c r="AC1422" s="1645"/>
      <c r="AD1422" s="1645"/>
      <c r="AE1422" s="1645"/>
      <c r="AF1422" s="1645"/>
      <c r="AG1422" s="1645"/>
      <c r="AH1422" s="1645"/>
      <c r="AI1422" s="1645"/>
      <c r="AJ1422" s="1645"/>
      <c r="AK1422" s="1645"/>
      <c r="AL1422" s="1645"/>
      <c r="AM1422" s="1645"/>
      <c r="AN1422" s="1645"/>
      <c r="AO1422" s="1645"/>
      <c r="AP1422" s="1645"/>
      <c r="AQ1422" s="1645"/>
      <c r="AR1422" s="1645"/>
      <c r="AS1422" s="1645"/>
      <c r="AT1422" s="1645"/>
      <c r="AU1422" s="1645"/>
      <c r="AV1422" s="1645"/>
      <c r="AW1422" s="1645"/>
      <c r="AX1422" s="1645"/>
      <c r="AY1422" s="1645"/>
      <c r="AZ1422" s="1645"/>
      <c r="BA1422" s="1645"/>
      <c r="BB1422" s="1645"/>
      <c r="BC1422" s="1645"/>
      <c r="BD1422" s="1645"/>
      <c r="BE1422" s="1645"/>
      <c r="BF1422" s="1645"/>
      <c r="BG1422" s="1645"/>
      <c r="BH1422" s="1645"/>
      <c r="BI1422" s="1645"/>
      <c r="BJ1422" s="1645"/>
      <c r="BK1422" s="1645"/>
      <c r="BL1422" s="1645"/>
      <c r="BM1422" s="1645"/>
      <c r="BN1422" s="1645"/>
      <c r="BO1422" s="1645"/>
      <c r="BP1422" s="1645"/>
      <c r="BQ1422" s="1645"/>
      <c r="BR1422" s="1645"/>
      <c r="BS1422" s="1645"/>
      <c r="BT1422" s="1645"/>
      <c r="BU1422" s="1645"/>
      <c r="BV1422" s="1645"/>
      <c r="BW1422" s="1645"/>
      <c r="BX1422" s="1645"/>
      <c r="BY1422" s="1645"/>
      <c r="BZ1422" s="1645"/>
      <c r="CA1422" s="1645"/>
      <c r="CB1422" s="1645"/>
      <c r="CC1422" s="1645"/>
      <c r="CD1422" s="1645"/>
      <c r="CE1422" s="1645"/>
      <c r="CF1422" s="1645"/>
      <c r="CG1422" s="1645"/>
      <c r="CH1422" s="1645"/>
      <c r="CI1422" s="1645"/>
      <c r="CJ1422" s="1645"/>
      <c r="CK1422" s="1645"/>
      <c r="CL1422" s="1645"/>
      <c r="CM1422" s="1645"/>
      <c r="CN1422" s="1645"/>
      <c r="CO1422" s="1645"/>
      <c r="CP1422" s="1136"/>
      <c r="CQ1422" s="1136"/>
      <c r="CR1422" s="1136"/>
      <c r="CS1422" s="1136"/>
      <c r="CT1422" s="1136"/>
      <c r="CU1422" s="1136"/>
      <c r="CV1422" s="1136"/>
      <c r="CW1422" s="1136"/>
      <c r="CX1422" s="1136"/>
      <c r="CY1422" s="1136"/>
      <c r="CZ1422" s="1136"/>
      <c r="DA1422" s="1136"/>
      <c r="DB1422" s="1136"/>
      <c r="DC1422" s="1136"/>
      <c r="DD1422" s="1136"/>
      <c r="DE1422" s="1136"/>
      <c r="DF1422" s="1136"/>
      <c r="DG1422" s="1136"/>
      <c r="DH1422" s="1136"/>
      <c r="DI1422" s="1136"/>
    </row>
    <row r="1423" spans="1:113" ht="15" x14ac:dyDescent="0.2">
      <c r="A1423" s="1391" t="s">
        <v>3064</v>
      </c>
      <c r="B1423" s="1667" t="e">
        <f>B1114+B1118+B1078/B1092+B933+B915+B902+B890+B872+B855+B842+B833</f>
        <v>#REF!</v>
      </c>
      <c r="C1423" s="1668"/>
      <c r="D1423" s="1668"/>
      <c r="E1423" s="1668"/>
      <c r="F1423" s="1668"/>
      <c r="G1423" s="1668"/>
      <c r="H1423" s="1070"/>
      <c r="I1423" s="1645"/>
      <c r="J1423" s="1645"/>
      <c r="K1423" s="1645"/>
      <c r="L1423" s="1645"/>
      <c r="M1423" s="1645"/>
      <c r="N1423" s="1645"/>
      <c r="O1423" s="1645"/>
      <c r="P1423" s="1645"/>
      <c r="Q1423" s="1645"/>
      <c r="R1423" s="1645"/>
      <c r="S1423" s="1645"/>
      <c r="T1423" s="1645"/>
      <c r="U1423" s="1645"/>
      <c r="V1423" s="1645"/>
      <c r="W1423" s="1645"/>
      <c r="X1423" s="1645"/>
      <c r="Y1423" s="1645"/>
      <c r="Z1423" s="1645"/>
      <c r="AA1423" s="1645"/>
      <c r="AB1423" s="1645"/>
      <c r="AC1423" s="1645"/>
      <c r="AD1423" s="1645"/>
      <c r="AE1423" s="1645"/>
      <c r="AF1423" s="1645"/>
      <c r="AG1423" s="1645"/>
      <c r="AH1423" s="1645"/>
      <c r="AI1423" s="1645"/>
      <c r="AJ1423" s="1645"/>
      <c r="AK1423" s="1645"/>
      <c r="AL1423" s="1645"/>
      <c r="AM1423" s="1645"/>
      <c r="AN1423" s="1645"/>
      <c r="AO1423" s="1645"/>
      <c r="AP1423" s="1645"/>
      <c r="AQ1423" s="1645"/>
      <c r="AR1423" s="1645"/>
      <c r="AS1423" s="1645"/>
      <c r="AT1423" s="1645"/>
      <c r="AU1423" s="1645"/>
      <c r="AV1423" s="1645"/>
      <c r="AW1423" s="1645"/>
      <c r="AX1423" s="1645"/>
      <c r="AY1423" s="1645"/>
      <c r="AZ1423" s="1645"/>
      <c r="BA1423" s="1645"/>
      <c r="BB1423" s="1645"/>
      <c r="BC1423" s="1645"/>
      <c r="BD1423" s="1645"/>
      <c r="BE1423" s="1645"/>
      <c r="BF1423" s="1645"/>
      <c r="BG1423" s="1645"/>
      <c r="BH1423" s="1645"/>
      <c r="BI1423" s="1645"/>
      <c r="BJ1423" s="1645"/>
      <c r="BK1423" s="1645"/>
      <c r="BL1423" s="1645"/>
      <c r="BM1423" s="1645"/>
      <c r="BN1423" s="1645"/>
      <c r="BO1423" s="1645"/>
      <c r="BP1423" s="1645"/>
      <c r="BQ1423" s="1645"/>
      <c r="BR1423" s="1645"/>
      <c r="BS1423" s="1645"/>
      <c r="BT1423" s="1645"/>
      <c r="BU1423" s="1645"/>
      <c r="BV1423" s="1645"/>
      <c r="BW1423" s="1645"/>
      <c r="BX1423" s="1645"/>
      <c r="BY1423" s="1645"/>
      <c r="BZ1423" s="1645"/>
      <c r="CA1423" s="1645"/>
      <c r="CB1423" s="1645"/>
      <c r="CC1423" s="1645"/>
      <c r="CD1423" s="1645"/>
      <c r="CE1423" s="1645"/>
      <c r="CF1423" s="1645"/>
      <c r="CG1423" s="1645"/>
      <c r="CH1423" s="1645"/>
      <c r="CI1423" s="1645"/>
      <c r="CJ1423" s="1645"/>
      <c r="CK1423" s="1645"/>
      <c r="CL1423" s="1645"/>
      <c r="CM1423" s="1645"/>
      <c r="CN1423" s="1645"/>
      <c r="CO1423" s="1645"/>
      <c r="CP1423" s="1136"/>
      <c r="CQ1423" s="1136"/>
      <c r="CR1423" s="1136"/>
      <c r="CS1423" s="1136"/>
      <c r="CT1423" s="1136"/>
      <c r="CU1423" s="1136"/>
      <c r="CV1423" s="1136"/>
      <c r="CW1423" s="1136"/>
      <c r="CX1423" s="1136"/>
      <c r="CY1423" s="1136"/>
      <c r="CZ1423" s="1136"/>
      <c r="DA1423" s="1136"/>
      <c r="DB1423" s="1136"/>
      <c r="DC1423" s="1136"/>
      <c r="DD1423" s="1136"/>
      <c r="DE1423" s="1136"/>
      <c r="DF1423" s="1136"/>
      <c r="DG1423" s="1136"/>
      <c r="DH1423" s="1136"/>
      <c r="DI1423" s="1136"/>
    </row>
    <row r="1424" spans="1:113" ht="15" x14ac:dyDescent="0.2">
      <c r="A1424" s="1391" t="s">
        <v>3119</v>
      </c>
      <c r="B1424" s="1673" t="e">
        <f>B1017</f>
        <v>#VALUE!</v>
      </c>
      <c r="C1424" s="1674"/>
      <c r="D1424" s="1674"/>
      <c r="E1424" s="1674"/>
      <c r="F1424" s="1674"/>
      <c r="G1424" s="1674"/>
      <c r="H1424" s="1070"/>
      <c r="I1424" s="1645"/>
      <c r="J1424" s="1645"/>
      <c r="K1424" s="1645"/>
      <c r="L1424" s="1645"/>
      <c r="M1424" s="1645"/>
      <c r="N1424" s="1645"/>
      <c r="O1424" s="1645"/>
      <c r="P1424" s="1645"/>
      <c r="Q1424" s="1645"/>
      <c r="R1424" s="1645"/>
      <c r="S1424" s="1645"/>
      <c r="T1424" s="1645"/>
      <c r="U1424" s="1645"/>
      <c r="V1424" s="1645"/>
      <c r="W1424" s="1645"/>
      <c r="X1424" s="1645"/>
      <c r="Y1424" s="1645"/>
      <c r="Z1424" s="1645"/>
      <c r="AA1424" s="1645"/>
      <c r="AB1424" s="1645"/>
      <c r="AC1424" s="1645"/>
      <c r="AD1424" s="1645"/>
      <c r="AE1424" s="1645"/>
      <c r="AF1424" s="1645"/>
      <c r="AG1424" s="1645"/>
      <c r="AH1424" s="1645"/>
      <c r="AI1424" s="1645"/>
      <c r="AJ1424" s="1645"/>
      <c r="AK1424" s="1645"/>
      <c r="AL1424" s="1645"/>
      <c r="AM1424" s="1645"/>
      <c r="AN1424" s="1645"/>
      <c r="AO1424" s="1645"/>
      <c r="AP1424" s="1645"/>
      <c r="AQ1424" s="1645"/>
      <c r="AR1424" s="1645"/>
      <c r="AS1424" s="1645"/>
      <c r="AT1424" s="1645"/>
      <c r="AU1424" s="1645"/>
      <c r="AV1424" s="1645"/>
      <c r="AW1424" s="1645"/>
      <c r="AX1424" s="1645"/>
      <c r="AY1424" s="1645"/>
      <c r="AZ1424" s="1645"/>
      <c r="BA1424" s="1645"/>
      <c r="BB1424" s="1645"/>
      <c r="BC1424" s="1645"/>
      <c r="BD1424" s="1645"/>
      <c r="BE1424" s="1645"/>
      <c r="BF1424" s="1645"/>
      <c r="BG1424" s="1645"/>
      <c r="BH1424" s="1645"/>
      <c r="BI1424" s="1645"/>
      <c r="BJ1424" s="1645"/>
      <c r="BK1424" s="1645"/>
      <c r="BL1424" s="1645"/>
      <c r="BM1424" s="1645"/>
      <c r="BN1424" s="1645"/>
      <c r="BO1424" s="1645"/>
      <c r="BP1424" s="1645"/>
      <c r="BQ1424" s="1645"/>
      <c r="BR1424" s="1645"/>
      <c r="BS1424" s="1645"/>
      <c r="BT1424" s="1645"/>
      <c r="BU1424" s="1645"/>
      <c r="BV1424" s="1645"/>
      <c r="BW1424" s="1645"/>
      <c r="BX1424" s="1645"/>
      <c r="BY1424" s="1645"/>
      <c r="BZ1424" s="1645"/>
      <c r="CA1424" s="1645"/>
      <c r="CB1424" s="1645"/>
      <c r="CC1424" s="1645"/>
      <c r="CD1424" s="1645"/>
      <c r="CE1424" s="1645"/>
      <c r="CF1424" s="1645"/>
      <c r="CG1424" s="1645"/>
      <c r="CH1424" s="1645"/>
      <c r="CI1424" s="1645"/>
      <c r="CJ1424" s="1645"/>
      <c r="CK1424" s="1645"/>
      <c r="CL1424" s="1645"/>
      <c r="CM1424" s="1645"/>
      <c r="CN1424" s="1645"/>
      <c r="CO1424" s="1645"/>
      <c r="CP1424" s="1136"/>
      <c r="CQ1424" s="1136"/>
      <c r="CR1424" s="1136"/>
      <c r="CS1424" s="1136"/>
      <c r="CT1424" s="1136"/>
      <c r="CU1424" s="1136"/>
      <c r="CV1424" s="1136"/>
      <c r="CW1424" s="1136"/>
      <c r="CX1424" s="1136"/>
      <c r="CY1424" s="1136"/>
      <c r="CZ1424" s="1136"/>
      <c r="DA1424" s="1136"/>
      <c r="DB1424" s="1136"/>
      <c r="DC1424" s="1136"/>
      <c r="DD1424" s="1136"/>
      <c r="DE1424" s="1136"/>
      <c r="DF1424" s="1136"/>
      <c r="DG1424" s="1136"/>
      <c r="DH1424" s="1136"/>
      <c r="DI1424" s="1136"/>
    </row>
    <row r="1425" spans="1:113" ht="15" x14ac:dyDescent="0.2">
      <c r="A1425" s="1391" t="s">
        <v>3122</v>
      </c>
      <c r="B1425" s="1667">
        <f>B996</f>
        <v>0</v>
      </c>
      <c r="C1425" s="1668"/>
      <c r="D1425" s="1668"/>
      <c r="E1425" s="1668"/>
      <c r="F1425" s="1668"/>
      <c r="G1425" s="1668"/>
      <c r="H1425" s="1070"/>
      <c r="I1425" s="1645"/>
      <c r="J1425" s="1645"/>
      <c r="K1425" s="1645"/>
      <c r="L1425" s="1645"/>
      <c r="M1425" s="1645"/>
      <c r="N1425" s="1645"/>
      <c r="O1425" s="1645"/>
      <c r="P1425" s="1645"/>
      <c r="Q1425" s="1645"/>
      <c r="R1425" s="1645"/>
      <c r="S1425" s="1645"/>
      <c r="T1425" s="1645"/>
      <c r="U1425" s="1645"/>
      <c r="V1425" s="1645"/>
      <c r="W1425" s="1645"/>
      <c r="X1425" s="1645"/>
      <c r="Y1425" s="1645"/>
      <c r="Z1425" s="1645"/>
      <c r="AA1425" s="1645"/>
      <c r="AB1425" s="1645"/>
      <c r="AC1425" s="1645"/>
      <c r="AD1425" s="1645"/>
      <c r="AE1425" s="1645"/>
      <c r="AF1425" s="1645"/>
      <c r="AG1425" s="1645"/>
      <c r="AH1425" s="1645"/>
      <c r="AI1425" s="1645"/>
      <c r="AJ1425" s="1645"/>
      <c r="AK1425" s="1645"/>
      <c r="AL1425" s="1645"/>
      <c r="AM1425" s="1645"/>
      <c r="AN1425" s="1645"/>
      <c r="AO1425" s="1645"/>
      <c r="AP1425" s="1645"/>
      <c r="AQ1425" s="1645"/>
      <c r="AR1425" s="1645"/>
      <c r="AS1425" s="1645"/>
      <c r="AT1425" s="1645"/>
      <c r="AU1425" s="1645"/>
      <c r="AV1425" s="1645"/>
      <c r="AW1425" s="1645"/>
      <c r="AX1425" s="1645"/>
      <c r="AY1425" s="1645"/>
      <c r="AZ1425" s="1645"/>
      <c r="BA1425" s="1645"/>
      <c r="BB1425" s="1645"/>
      <c r="BC1425" s="1645"/>
      <c r="BD1425" s="1645"/>
      <c r="BE1425" s="1645"/>
      <c r="BF1425" s="1645"/>
      <c r="BG1425" s="1645"/>
      <c r="BH1425" s="1645"/>
      <c r="BI1425" s="1645"/>
      <c r="BJ1425" s="1645"/>
      <c r="BK1425" s="1645"/>
      <c r="BL1425" s="1645"/>
      <c r="BM1425" s="1645"/>
      <c r="BN1425" s="1645"/>
      <c r="BO1425" s="1645"/>
      <c r="BP1425" s="1645"/>
      <c r="BQ1425" s="1645"/>
      <c r="BR1425" s="1645"/>
      <c r="BS1425" s="1645"/>
      <c r="BT1425" s="1645"/>
      <c r="BU1425" s="1645"/>
      <c r="BV1425" s="1645"/>
      <c r="BW1425" s="1645"/>
      <c r="BX1425" s="1645"/>
      <c r="BY1425" s="1645"/>
      <c r="BZ1425" s="1645"/>
      <c r="CA1425" s="1645"/>
      <c r="CB1425" s="1645"/>
      <c r="CC1425" s="1645"/>
      <c r="CD1425" s="1645"/>
      <c r="CE1425" s="1645"/>
      <c r="CF1425" s="1645"/>
      <c r="CG1425" s="1645"/>
      <c r="CH1425" s="1645"/>
      <c r="CI1425" s="1645"/>
      <c r="CJ1425" s="1645"/>
      <c r="CK1425" s="1645"/>
      <c r="CL1425" s="1645"/>
      <c r="CM1425" s="1645"/>
      <c r="CN1425" s="1645"/>
      <c r="CO1425" s="1645"/>
      <c r="CP1425" s="1136"/>
      <c r="CQ1425" s="1136"/>
      <c r="CR1425" s="1136"/>
      <c r="CS1425" s="1136"/>
      <c r="CT1425" s="1136"/>
      <c r="CU1425" s="1136"/>
      <c r="CV1425" s="1136"/>
      <c r="CW1425" s="1136"/>
      <c r="CX1425" s="1136"/>
      <c r="CY1425" s="1136"/>
      <c r="CZ1425" s="1136"/>
      <c r="DA1425" s="1136"/>
      <c r="DB1425" s="1136"/>
      <c r="DC1425" s="1136"/>
      <c r="DD1425" s="1136"/>
      <c r="DE1425" s="1136"/>
      <c r="DF1425" s="1136"/>
      <c r="DG1425" s="1136"/>
      <c r="DH1425" s="1136"/>
      <c r="DI1425" s="1136"/>
    </row>
    <row r="1426" spans="1:113" ht="15" x14ac:dyDescent="0.2">
      <c r="A1426" s="1391" t="s">
        <v>3065</v>
      </c>
      <c r="B1426" s="1667">
        <f>B979</f>
        <v>0</v>
      </c>
      <c r="C1426" s="1668"/>
      <c r="D1426" s="1668"/>
      <c r="E1426" s="1668"/>
      <c r="F1426" s="1668"/>
      <c r="G1426" s="1668"/>
      <c r="H1426" s="1070"/>
      <c r="I1426" s="1645"/>
      <c r="J1426" s="1645"/>
      <c r="K1426" s="1645"/>
      <c r="L1426" s="1645"/>
      <c r="M1426" s="1645"/>
      <c r="N1426" s="1645"/>
      <c r="O1426" s="1645"/>
      <c r="P1426" s="1645"/>
      <c r="Q1426" s="1645"/>
      <c r="R1426" s="1645"/>
      <c r="S1426" s="1645"/>
      <c r="T1426" s="1645"/>
      <c r="U1426" s="1645"/>
      <c r="V1426" s="1645"/>
      <c r="W1426" s="1645"/>
      <c r="X1426" s="1645"/>
      <c r="Y1426" s="1645"/>
      <c r="Z1426" s="1645"/>
      <c r="AA1426" s="1645"/>
      <c r="AB1426" s="1645"/>
      <c r="AC1426" s="1645"/>
      <c r="AD1426" s="1645"/>
      <c r="AE1426" s="1645"/>
      <c r="AF1426" s="1645"/>
      <c r="AG1426" s="1645"/>
      <c r="AH1426" s="1645"/>
      <c r="AI1426" s="1645"/>
      <c r="AJ1426" s="1645"/>
      <c r="AK1426" s="1645"/>
      <c r="AL1426" s="1645"/>
      <c r="AM1426" s="1645"/>
      <c r="AN1426" s="1645"/>
      <c r="AO1426" s="1645"/>
      <c r="AP1426" s="1645"/>
      <c r="AQ1426" s="1645"/>
      <c r="AR1426" s="1645"/>
      <c r="AS1426" s="1645"/>
      <c r="AT1426" s="1645"/>
      <c r="AU1426" s="1645"/>
      <c r="AV1426" s="1645"/>
      <c r="AW1426" s="1645"/>
      <c r="AX1426" s="1645"/>
      <c r="AY1426" s="1645"/>
      <c r="AZ1426" s="1645"/>
      <c r="BA1426" s="1645"/>
      <c r="BB1426" s="1645"/>
      <c r="BC1426" s="1645"/>
      <c r="BD1426" s="1645"/>
      <c r="BE1426" s="1645"/>
      <c r="BF1426" s="1645"/>
      <c r="BG1426" s="1645"/>
      <c r="BH1426" s="1645"/>
      <c r="BI1426" s="1645"/>
      <c r="BJ1426" s="1645"/>
      <c r="BK1426" s="1645"/>
      <c r="BL1426" s="1645"/>
      <c r="BM1426" s="1645"/>
      <c r="BN1426" s="1645"/>
      <c r="BO1426" s="1645"/>
      <c r="BP1426" s="1645"/>
      <c r="BQ1426" s="1645"/>
      <c r="BR1426" s="1645"/>
      <c r="BS1426" s="1645"/>
      <c r="BT1426" s="1645"/>
      <c r="BU1426" s="1645"/>
      <c r="BV1426" s="1645"/>
      <c r="BW1426" s="1645"/>
      <c r="BX1426" s="1645"/>
      <c r="BY1426" s="1645"/>
      <c r="BZ1426" s="1645"/>
      <c r="CA1426" s="1645"/>
      <c r="CB1426" s="1645"/>
      <c r="CC1426" s="1645"/>
      <c r="CD1426" s="1645"/>
      <c r="CE1426" s="1645"/>
      <c r="CF1426" s="1645"/>
      <c r="CG1426" s="1645"/>
      <c r="CH1426" s="1645"/>
      <c r="CI1426" s="1645"/>
      <c r="CJ1426" s="1645"/>
      <c r="CK1426" s="1645"/>
      <c r="CL1426" s="1645"/>
      <c r="CM1426" s="1645"/>
      <c r="CN1426" s="1645"/>
      <c r="CO1426" s="1645"/>
      <c r="CP1426" s="1136"/>
      <c r="CQ1426" s="1136"/>
      <c r="CR1426" s="1136"/>
      <c r="CS1426" s="1136"/>
      <c r="CT1426" s="1136"/>
      <c r="CU1426" s="1136"/>
      <c r="CV1426" s="1136"/>
      <c r="CW1426" s="1136"/>
      <c r="CX1426" s="1136"/>
      <c r="CY1426" s="1136"/>
      <c r="CZ1426" s="1136"/>
      <c r="DA1426" s="1136"/>
      <c r="DB1426" s="1136"/>
      <c r="DC1426" s="1136"/>
      <c r="DD1426" s="1136"/>
      <c r="DE1426" s="1136"/>
      <c r="DF1426" s="1136"/>
      <c r="DG1426" s="1136"/>
      <c r="DH1426" s="1136"/>
      <c r="DI1426" s="1136"/>
    </row>
    <row r="1427" spans="1:113" ht="15" x14ac:dyDescent="0.2">
      <c r="A1427" s="1391" t="s">
        <v>3125</v>
      </c>
      <c r="B1427" s="1667" t="e">
        <f>B954</f>
        <v>#VALUE!</v>
      </c>
      <c r="C1427" s="1668"/>
      <c r="D1427" s="1668"/>
      <c r="E1427" s="1668"/>
      <c r="F1427" s="1668"/>
      <c r="G1427" s="1668"/>
      <c r="H1427" s="1070"/>
      <c r="I1427" s="1645"/>
      <c r="J1427" s="1645"/>
      <c r="K1427" s="1645"/>
      <c r="L1427" s="1645"/>
      <c r="M1427" s="1645"/>
      <c r="N1427" s="1645"/>
      <c r="O1427" s="1645"/>
      <c r="P1427" s="1645"/>
      <c r="Q1427" s="1645"/>
      <c r="R1427" s="1645"/>
      <c r="S1427" s="1645"/>
      <c r="T1427" s="1645"/>
      <c r="U1427" s="1645"/>
      <c r="V1427" s="1645"/>
      <c r="W1427" s="1645"/>
      <c r="X1427" s="1645"/>
      <c r="Y1427" s="1645"/>
      <c r="Z1427" s="1645"/>
      <c r="AA1427" s="1645"/>
      <c r="AB1427" s="1645"/>
      <c r="AC1427" s="1645"/>
      <c r="AD1427" s="1645"/>
      <c r="AE1427" s="1645"/>
      <c r="AF1427" s="1645"/>
      <c r="AG1427" s="1645"/>
      <c r="AH1427" s="1645"/>
      <c r="AI1427" s="1645"/>
      <c r="AJ1427" s="1645"/>
      <c r="AK1427" s="1645"/>
      <c r="AL1427" s="1645"/>
      <c r="AM1427" s="1645"/>
      <c r="AN1427" s="1645"/>
      <c r="AO1427" s="1645"/>
      <c r="AP1427" s="1645"/>
      <c r="AQ1427" s="1645"/>
      <c r="AR1427" s="1645"/>
      <c r="AS1427" s="1645"/>
      <c r="AT1427" s="1645"/>
      <c r="AU1427" s="1645"/>
      <c r="AV1427" s="1645"/>
      <c r="AW1427" s="1645"/>
      <c r="AX1427" s="1645"/>
      <c r="AY1427" s="1645"/>
      <c r="AZ1427" s="1645"/>
      <c r="BA1427" s="1645"/>
      <c r="BB1427" s="1645"/>
      <c r="BC1427" s="1645"/>
      <c r="BD1427" s="1645"/>
      <c r="BE1427" s="1645"/>
      <c r="BF1427" s="1645"/>
      <c r="BG1427" s="1645"/>
      <c r="BH1427" s="1645"/>
      <c r="BI1427" s="1645"/>
      <c r="BJ1427" s="1645"/>
      <c r="BK1427" s="1645"/>
      <c r="BL1427" s="1645"/>
      <c r="BM1427" s="1645"/>
      <c r="BN1427" s="1645"/>
      <c r="BO1427" s="1645"/>
      <c r="BP1427" s="1645"/>
      <c r="BQ1427" s="1645"/>
      <c r="BR1427" s="1645"/>
      <c r="BS1427" s="1645"/>
      <c r="BT1427" s="1645"/>
      <c r="BU1427" s="1645"/>
      <c r="BV1427" s="1645"/>
      <c r="BW1427" s="1645"/>
      <c r="BX1427" s="1645"/>
      <c r="BY1427" s="1645"/>
      <c r="BZ1427" s="1645"/>
      <c r="CA1427" s="1645"/>
      <c r="CB1427" s="1645"/>
      <c r="CC1427" s="1645"/>
      <c r="CD1427" s="1645"/>
      <c r="CE1427" s="1645"/>
      <c r="CF1427" s="1645"/>
      <c r="CG1427" s="1645"/>
      <c r="CH1427" s="1645"/>
      <c r="CI1427" s="1645"/>
      <c r="CJ1427" s="1645"/>
      <c r="CK1427" s="1645"/>
      <c r="CL1427" s="1645"/>
      <c r="CM1427" s="1645"/>
      <c r="CN1427" s="1645"/>
      <c r="CO1427" s="1645"/>
      <c r="CP1427" s="1136"/>
      <c r="CQ1427" s="1136"/>
      <c r="CR1427" s="1136"/>
      <c r="CS1427" s="1136"/>
      <c r="CT1427" s="1136"/>
      <c r="CU1427" s="1136"/>
      <c r="CV1427" s="1136"/>
      <c r="CW1427" s="1136"/>
      <c r="CX1427" s="1136"/>
      <c r="CY1427" s="1136"/>
      <c r="CZ1427" s="1136"/>
      <c r="DA1427" s="1136"/>
      <c r="DB1427" s="1136"/>
      <c r="DC1427" s="1136"/>
      <c r="DD1427" s="1136"/>
      <c r="DE1427" s="1136"/>
      <c r="DF1427" s="1136"/>
      <c r="DG1427" s="1136"/>
      <c r="DH1427" s="1136"/>
      <c r="DI1427" s="1136"/>
    </row>
    <row r="1428" spans="1:113" ht="15" x14ac:dyDescent="0.2">
      <c r="A1428" s="1391" t="s">
        <v>3126</v>
      </c>
      <c r="B1428" s="1667" t="e">
        <f>B940</f>
        <v>#VALUE!</v>
      </c>
      <c r="C1428" s="1668"/>
      <c r="D1428" s="1668"/>
      <c r="E1428" s="1668"/>
      <c r="F1428" s="1668"/>
      <c r="G1428" s="1668"/>
      <c r="H1428" s="1070"/>
      <c r="I1428" s="1645"/>
      <c r="J1428" s="1645"/>
      <c r="K1428" s="1645"/>
      <c r="L1428" s="1645"/>
      <c r="M1428" s="1645"/>
      <c r="N1428" s="1645"/>
      <c r="O1428" s="1645"/>
      <c r="P1428" s="1645"/>
      <c r="Q1428" s="1645"/>
      <c r="R1428" s="1645"/>
      <c r="S1428" s="1645"/>
      <c r="T1428" s="1645"/>
      <c r="U1428" s="1645"/>
      <c r="V1428" s="1645"/>
      <c r="W1428" s="1645"/>
      <c r="X1428" s="1645"/>
      <c r="Y1428" s="1645"/>
      <c r="Z1428" s="1645"/>
      <c r="AA1428" s="1645"/>
      <c r="AB1428" s="1645"/>
      <c r="AC1428" s="1645"/>
      <c r="AD1428" s="1645"/>
      <c r="AE1428" s="1645"/>
      <c r="AF1428" s="1645"/>
      <c r="AG1428" s="1645"/>
      <c r="AH1428" s="1645"/>
      <c r="AI1428" s="1645"/>
      <c r="AJ1428" s="1645"/>
      <c r="AK1428" s="1645"/>
      <c r="AL1428" s="1645"/>
      <c r="AM1428" s="1645"/>
      <c r="AN1428" s="1645"/>
      <c r="AO1428" s="1645"/>
      <c r="AP1428" s="1645"/>
      <c r="AQ1428" s="1645"/>
      <c r="AR1428" s="1645"/>
      <c r="AS1428" s="1645"/>
      <c r="AT1428" s="1645"/>
      <c r="AU1428" s="1645"/>
      <c r="AV1428" s="1645"/>
      <c r="AW1428" s="1645"/>
      <c r="AX1428" s="1645"/>
      <c r="AY1428" s="1645"/>
      <c r="AZ1428" s="1645"/>
      <c r="BA1428" s="1645"/>
      <c r="BB1428" s="1645"/>
      <c r="BC1428" s="1645"/>
      <c r="BD1428" s="1645"/>
      <c r="BE1428" s="1645"/>
      <c r="BF1428" s="1645"/>
      <c r="BG1428" s="1645"/>
      <c r="BH1428" s="1645"/>
      <c r="BI1428" s="1645"/>
      <c r="BJ1428" s="1645"/>
      <c r="BK1428" s="1645"/>
      <c r="BL1428" s="1645"/>
      <c r="BM1428" s="1645"/>
      <c r="BN1428" s="1645"/>
      <c r="BO1428" s="1645"/>
      <c r="BP1428" s="1645"/>
      <c r="BQ1428" s="1645"/>
      <c r="BR1428" s="1645"/>
      <c r="BS1428" s="1645"/>
      <c r="BT1428" s="1645"/>
      <c r="BU1428" s="1645"/>
      <c r="BV1428" s="1645"/>
      <c r="BW1428" s="1645"/>
      <c r="BX1428" s="1645"/>
      <c r="BY1428" s="1645"/>
      <c r="BZ1428" s="1645"/>
      <c r="CA1428" s="1645"/>
      <c r="CB1428" s="1645"/>
      <c r="CC1428" s="1645"/>
      <c r="CD1428" s="1645"/>
      <c r="CE1428" s="1645"/>
      <c r="CF1428" s="1645"/>
      <c r="CG1428" s="1645"/>
      <c r="CH1428" s="1645"/>
      <c r="CI1428" s="1645"/>
      <c r="CJ1428" s="1645"/>
      <c r="CK1428" s="1645"/>
      <c r="CL1428" s="1645"/>
      <c r="CM1428" s="1645"/>
      <c r="CN1428" s="1645"/>
      <c r="CO1428" s="1645"/>
      <c r="CP1428" s="1136"/>
      <c r="CQ1428" s="1136"/>
      <c r="CR1428" s="1136"/>
      <c r="CS1428" s="1136"/>
      <c r="CT1428" s="1136"/>
      <c r="CU1428" s="1136"/>
      <c r="CV1428" s="1136"/>
      <c r="CW1428" s="1136"/>
      <c r="CX1428" s="1136"/>
      <c r="CY1428" s="1136"/>
      <c r="CZ1428" s="1136"/>
      <c r="DA1428" s="1136"/>
      <c r="DB1428" s="1136"/>
      <c r="DC1428" s="1136"/>
      <c r="DD1428" s="1136"/>
      <c r="DE1428" s="1136"/>
      <c r="DF1428" s="1136"/>
      <c r="DG1428" s="1136"/>
      <c r="DH1428" s="1136"/>
      <c r="DI1428" s="1136"/>
    </row>
    <row r="1429" spans="1:113" ht="15" x14ac:dyDescent="0.2">
      <c r="A1429" s="1136"/>
      <c r="B1429" s="1136"/>
      <c r="C1429" s="1668"/>
      <c r="D1429" s="1668"/>
      <c r="E1429" s="1668"/>
      <c r="F1429" s="1668"/>
      <c r="G1429" s="1668"/>
      <c r="H1429" s="1070"/>
      <c r="I1429" s="1645"/>
      <c r="J1429" s="1645"/>
      <c r="K1429" s="1645"/>
      <c r="L1429" s="1645"/>
      <c r="M1429" s="1645"/>
      <c r="N1429" s="1645"/>
      <c r="O1429" s="1645"/>
      <c r="P1429" s="1645"/>
      <c r="Q1429" s="1645"/>
      <c r="R1429" s="1645"/>
      <c r="S1429" s="1645"/>
      <c r="T1429" s="1645"/>
      <c r="U1429" s="1645"/>
      <c r="V1429" s="1645"/>
      <c r="W1429" s="1645"/>
      <c r="X1429" s="1645"/>
      <c r="Y1429" s="1645"/>
      <c r="Z1429" s="1645"/>
      <c r="AA1429" s="1645"/>
      <c r="AB1429" s="1645"/>
      <c r="AC1429" s="1645"/>
      <c r="AD1429" s="1645"/>
      <c r="AE1429" s="1645"/>
      <c r="AF1429" s="1645"/>
      <c r="AG1429" s="1645"/>
      <c r="AH1429" s="1645"/>
      <c r="AI1429" s="1645"/>
      <c r="AJ1429" s="1645"/>
      <c r="AK1429" s="1645"/>
      <c r="AL1429" s="1645"/>
      <c r="AM1429" s="1645"/>
      <c r="AN1429" s="1645"/>
      <c r="AO1429" s="1645"/>
      <c r="AP1429" s="1645"/>
      <c r="AQ1429" s="1645"/>
      <c r="AR1429" s="1645"/>
      <c r="AS1429" s="1645"/>
      <c r="AT1429" s="1645"/>
      <c r="AU1429" s="1645"/>
      <c r="AV1429" s="1645"/>
      <c r="AW1429" s="1645"/>
      <c r="AX1429" s="1645"/>
      <c r="AY1429" s="1645"/>
      <c r="AZ1429" s="1645"/>
      <c r="BA1429" s="1645"/>
      <c r="BB1429" s="1645"/>
      <c r="BC1429" s="1645"/>
      <c r="BD1429" s="1645"/>
      <c r="BE1429" s="1645"/>
      <c r="BF1429" s="1645"/>
      <c r="BG1429" s="1645"/>
      <c r="BH1429" s="1645"/>
      <c r="BI1429" s="1645"/>
      <c r="BJ1429" s="1645"/>
      <c r="BK1429" s="1645"/>
      <c r="BL1429" s="1645"/>
      <c r="BM1429" s="1645"/>
      <c r="BN1429" s="1645"/>
      <c r="BO1429" s="1645"/>
      <c r="BP1429" s="1645"/>
      <c r="BQ1429" s="1645"/>
      <c r="BR1429" s="1645"/>
      <c r="BS1429" s="1645"/>
      <c r="BT1429" s="1645"/>
      <c r="BU1429" s="1645"/>
      <c r="BV1429" s="1645"/>
      <c r="BW1429" s="1645"/>
      <c r="BX1429" s="1645"/>
      <c r="BY1429" s="1645"/>
      <c r="BZ1429" s="1645"/>
      <c r="CA1429" s="1645"/>
      <c r="CB1429" s="1645"/>
      <c r="CC1429" s="1645"/>
      <c r="CD1429" s="1645"/>
      <c r="CE1429" s="1645"/>
      <c r="CF1429" s="1645"/>
      <c r="CG1429" s="1645"/>
      <c r="CH1429" s="1645"/>
      <c r="CI1429" s="1645"/>
      <c r="CJ1429" s="1645"/>
      <c r="CK1429" s="1645"/>
      <c r="CL1429" s="1645"/>
      <c r="CM1429" s="1645"/>
      <c r="CN1429" s="1645"/>
      <c r="CO1429" s="1645"/>
      <c r="CP1429" s="1136"/>
      <c r="CQ1429" s="1136"/>
      <c r="CR1429" s="1136"/>
      <c r="CS1429" s="1136"/>
      <c r="CT1429" s="1136"/>
      <c r="CU1429" s="1136"/>
      <c r="CV1429" s="1136"/>
      <c r="CW1429" s="1136"/>
      <c r="CX1429" s="1136"/>
      <c r="CY1429" s="1136"/>
      <c r="CZ1429" s="1136"/>
      <c r="DA1429" s="1136"/>
      <c r="DB1429" s="1136"/>
      <c r="DC1429" s="1136"/>
      <c r="DD1429" s="1136"/>
      <c r="DE1429" s="1136"/>
      <c r="DF1429" s="1136"/>
      <c r="DG1429" s="1136"/>
      <c r="DH1429" s="1136"/>
      <c r="DI1429" s="1136"/>
    </row>
    <row r="1430" spans="1:113" ht="15" x14ac:dyDescent="0.2">
      <c r="A1430" s="1675"/>
      <c r="B1430" s="1676"/>
      <c r="C1430" s="1668"/>
      <c r="D1430" s="1668"/>
      <c r="E1430" s="1668"/>
      <c r="F1430" s="1668"/>
      <c r="G1430" s="1668"/>
      <c r="H1430" s="1070"/>
      <c r="I1430" s="1645"/>
      <c r="J1430" s="1645"/>
      <c r="K1430" s="1645"/>
      <c r="L1430" s="1645"/>
      <c r="M1430" s="1645"/>
      <c r="N1430" s="1645"/>
      <c r="O1430" s="1645"/>
      <c r="P1430" s="1645"/>
      <c r="Q1430" s="1645"/>
      <c r="R1430" s="1645"/>
      <c r="S1430" s="1645"/>
      <c r="T1430" s="1645"/>
      <c r="U1430" s="1645"/>
      <c r="V1430" s="1645"/>
      <c r="W1430" s="1645"/>
      <c r="X1430" s="1645"/>
      <c r="Y1430" s="1645"/>
      <c r="Z1430" s="1645"/>
      <c r="AA1430" s="1645"/>
      <c r="AB1430" s="1645"/>
      <c r="AC1430" s="1645"/>
      <c r="AD1430" s="1645"/>
      <c r="AE1430" s="1645"/>
      <c r="AF1430" s="1645"/>
      <c r="AG1430" s="1645"/>
      <c r="AH1430" s="1645"/>
      <c r="AI1430" s="1645"/>
      <c r="AJ1430" s="1645"/>
      <c r="AK1430" s="1645"/>
      <c r="AL1430" s="1645"/>
      <c r="AM1430" s="1645"/>
      <c r="AN1430" s="1645"/>
      <c r="AO1430" s="1645"/>
      <c r="AP1430" s="1645"/>
      <c r="AQ1430" s="1645"/>
      <c r="AR1430" s="1645"/>
      <c r="AS1430" s="1645"/>
      <c r="AT1430" s="1645"/>
      <c r="AU1430" s="1645"/>
      <c r="AV1430" s="1645"/>
      <c r="AW1430" s="1645"/>
      <c r="AX1430" s="1645"/>
      <c r="AY1430" s="1645"/>
      <c r="AZ1430" s="1645"/>
      <c r="BA1430" s="1645"/>
      <c r="BB1430" s="1645"/>
      <c r="BC1430" s="1645"/>
      <c r="BD1430" s="1645"/>
      <c r="BE1430" s="1645"/>
      <c r="BF1430" s="1645"/>
      <c r="BG1430" s="1645"/>
      <c r="BH1430" s="1645"/>
      <c r="BI1430" s="1645"/>
      <c r="BJ1430" s="1645"/>
      <c r="BK1430" s="1645"/>
      <c r="BL1430" s="1645"/>
      <c r="BM1430" s="1645"/>
      <c r="BN1430" s="1645"/>
      <c r="BO1430" s="1645"/>
      <c r="BP1430" s="1645"/>
      <c r="BQ1430" s="1645"/>
      <c r="BR1430" s="1645"/>
      <c r="BS1430" s="1645"/>
      <c r="BT1430" s="1645"/>
      <c r="BU1430" s="1645"/>
      <c r="BV1430" s="1645"/>
      <c r="BW1430" s="1645"/>
      <c r="BX1430" s="1645"/>
      <c r="BY1430" s="1645"/>
      <c r="BZ1430" s="1645"/>
      <c r="CA1430" s="1645"/>
      <c r="CB1430" s="1645"/>
      <c r="CC1430" s="1645"/>
      <c r="CD1430" s="1645"/>
      <c r="CE1430" s="1645"/>
      <c r="CF1430" s="1645"/>
      <c r="CG1430" s="1645"/>
      <c r="CH1430" s="1645"/>
      <c r="CI1430" s="1645"/>
      <c r="CJ1430" s="1645"/>
      <c r="CK1430" s="1645"/>
      <c r="CL1430" s="1645"/>
      <c r="CM1430" s="1645"/>
      <c r="CN1430" s="1645"/>
      <c r="CO1430" s="1645"/>
      <c r="CP1430" s="1136"/>
      <c r="CQ1430" s="1136"/>
      <c r="CR1430" s="1136"/>
      <c r="CS1430" s="1136"/>
      <c r="CT1430" s="1136"/>
      <c r="CU1430" s="1136"/>
      <c r="CV1430" s="1136"/>
      <c r="CW1430" s="1136"/>
      <c r="CX1430" s="1136"/>
      <c r="CY1430" s="1136"/>
      <c r="CZ1430" s="1136"/>
      <c r="DA1430" s="1136"/>
      <c r="DB1430" s="1136"/>
      <c r="DC1430" s="1136"/>
      <c r="DD1430" s="1136"/>
      <c r="DE1430" s="1136"/>
      <c r="DF1430" s="1136"/>
      <c r="DG1430" s="1136"/>
      <c r="DH1430" s="1136"/>
      <c r="DI1430" s="1136"/>
    </row>
    <row r="1431" spans="1:113" ht="15" x14ac:dyDescent="0.2">
      <c r="A1431" s="1677"/>
      <c r="B1431" s="1676"/>
      <c r="C1431" s="1668"/>
      <c r="D1431" s="1668"/>
      <c r="E1431" s="1668"/>
      <c r="F1431" s="1668"/>
      <c r="G1431" s="1668"/>
      <c r="H1431" s="1070"/>
      <c r="I1431" s="1645"/>
      <c r="J1431" s="1645"/>
      <c r="K1431" s="1645"/>
      <c r="L1431" s="1645"/>
      <c r="M1431" s="1645"/>
      <c r="N1431" s="1645"/>
      <c r="O1431" s="1645"/>
      <c r="P1431" s="1645"/>
      <c r="Q1431" s="1645"/>
      <c r="R1431" s="1645"/>
      <c r="S1431" s="1645"/>
      <c r="T1431" s="1645"/>
      <c r="U1431" s="1645"/>
      <c r="V1431" s="1645"/>
      <c r="W1431" s="1645"/>
      <c r="X1431" s="1645"/>
      <c r="Y1431" s="1645"/>
      <c r="Z1431" s="1645"/>
      <c r="AA1431" s="1645"/>
      <c r="AB1431" s="1645"/>
      <c r="AC1431" s="1645"/>
      <c r="AD1431" s="1645"/>
      <c r="AE1431" s="1645"/>
      <c r="AF1431" s="1645"/>
      <c r="AG1431" s="1645"/>
      <c r="AH1431" s="1645"/>
      <c r="AI1431" s="1645"/>
      <c r="AJ1431" s="1645"/>
      <c r="AK1431" s="1645"/>
      <c r="AL1431" s="1645"/>
      <c r="AM1431" s="1645"/>
      <c r="AN1431" s="1645"/>
      <c r="AO1431" s="1645"/>
      <c r="AP1431" s="1645"/>
      <c r="AQ1431" s="1645"/>
      <c r="AR1431" s="1645"/>
      <c r="AS1431" s="1645"/>
      <c r="AT1431" s="1645"/>
      <c r="AU1431" s="1645"/>
      <c r="AV1431" s="1645"/>
      <c r="AW1431" s="1645"/>
      <c r="AX1431" s="1645"/>
      <c r="AY1431" s="1645"/>
      <c r="AZ1431" s="1645"/>
      <c r="BA1431" s="1645"/>
      <c r="BB1431" s="1645"/>
      <c r="BC1431" s="1645"/>
      <c r="BD1431" s="1645"/>
      <c r="BE1431" s="1645"/>
      <c r="BF1431" s="1645"/>
      <c r="BG1431" s="1645"/>
      <c r="BH1431" s="1645"/>
      <c r="BI1431" s="1645"/>
      <c r="BJ1431" s="1645"/>
      <c r="BK1431" s="1645"/>
      <c r="BL1431" s="1645"/>
      <c r="BM1431" s="1645"/>
      <c r="BN1431" s="1645"/>
      <c r="BO1431" s="1645"/>
      <c r="BP1431" s="1645"/>
      <c r="BQ1431" s="1645"/>
      <c r="BR1431" s="1645"/>
      <c r="BS1431" s="1645"/>
      <c r="BT1431" s="1645"/>
      <c r="BU1431" s="1645"/>
      <c r="BV1431" s="1645"/>
      <c r="BW1431" s="1645"/>
      <c r="BX1431" s="1645"/>
      <c r="BY1431" s="1645"/>
      <c r="BZ1431" s="1645"/>
      <c r="CA1431" s="1645"/>
      <c r="CB1431" s="1645"/>
      <c r="CC1431" s="1645"/>
      <c r="CD1431" s="1645"/>
      <c r="CE1431" s="1645"/>
      <c r="CF1431" s="1645"/>
      <c r="CG1431" s="1645"/>
      <c r="CH1431" s="1645"/>
      <c r="CI1431" s="1645"/>
      <c r="CJ1431" s="1645"/>
      <c r="CK1431" s="1645"/>
      <c r="CL1431" s="1645"/>
      <c r="CM1431" s="1645"/>
      <c r="CN1431" s="1645"/>
      <c r="CO1431" s="1645"/>
      <c r="CP1431" s="1136"/>
      <c r="CQ1431" s="1136"/>
      <c r="CR1431" s="1136"/>
      <c r="CS1431" s="1136"/>
      <c r="CT1431" s="1136"/>
      <c r="CU1431" s="1136"/>
      <c r="CV1431" s="1136"/>
      <c r="CW1431" s="1136"/>
      <c r="CX1431" s="1136"/>
      <c r="CY1431" s="1136"/>
      <c r="CZ1431" s="1136"/>
      <c r="DA1431" s="1136"/>
      <c r="DB1431" s="1136"/>
      <c r="DC1431" s="1136"/>
      <c r="DD1431" s="1136"/>
      <c r="DE1431" s="1136"/>
      <c r="DF1431" s="1136"/>
      <c r="DG1431" s="1136"/>
      <c r="DH1431" s="1136"/>
      <c r="DI1431" s="1136"/>
    </row>
    <row r="1432" spans="1:113" ht="15" x14ac:dyDescent="0.2">
      <c r="A1432" s="1677"/>
      <c r="B1432" s="1676"/>
      <c r="C1432" s="1668"/>
      <c r="D1432" s="1668"/>
      <c r="E1432" s="1668"/>
      <c r="F1432" s="1668"/>
      <c r="G1432" s="1668"/>
      <c r="H1432" s="1070"/>
      <c r="I1432" s="1645"/>
      <c r="J1432" s="1645"/>
      <c r="K1432" s="1645"/>
      <c r="L1432" s="1645"/>
      <c r="M1432" s="1645"/>
      <c r="N1432" s="1645"/>
      <c r="O1432" s="1645"/>
      <c r="P1432" s="1645"/>
      <c r="Q1432" s="1645"/>
      <c r="R1432" s="1645"/>
      <c r="S1432" s="1645"/>
      <c r="T1432" s="1645"/>
      <c r="U1432" s="1645"/>
      <c r="V1432" s="1645"/>
      <c r="W1432" s="1645"/>
      <c r="X1432" s="1645"/>
      <c r="Y1432" s="1645"/>
      <c r="Z1432" s="1645"/>
      <c r="AA1432" s="1645"/>
      <c r="AB1432" s="1645"/>
      <c r="AC1432" s="1645"/>
      <c r="AD1432" s="1645"/>
      <c r="AE1432" s="1645"/>
      <c r="AF1432" s="1645"/>
      <c r="AG1432" s="1645"/>
      <c r="AH1432" s="1645"/>
      <c r="AI1432" s="1645"/>
      <c r="AJ1432" s="1645"/>
      <c r="AK1432" s="1645"/>
      <c r="AL1432" s="1645"/>
      <c r="AM1432" s="1645"/>
      <c r="AN1432" s="1645"/>
      <c r="AO1432" s="1645"/>
      <c r="AP1432" s="1645"/>
      <c r="AQ1432" s="1645"/>
      <c r="AR1432" s="1645"/>
      <c r="AS1432" s="1645"/>
      <c r="AT1432" s="1645"/>
      <c r="AU1432" s="1645"/>
      <c r="AV1432" s="1645"/>
      <c r="AW1432" s="1645"/>
      <c r="AX1432" s="1645"/>
      <c r="AY1432" s="1645"/>
      <c r="AZ1432" s="1645"/>
      <c r="BA1432" s="1645"/>
      <c r="BB1432" s="1645"/>
      <c r="BC1432" s="1645"/>
      <c r="BD1432" s="1645"/>
      <c r="BE1432" s="1645"/>
      <c r="BF1432" s="1645"/>
      <c r="BG1432" s="1645"/>
      <c r="BH1432" s="1645"/>
      <c r="BI1432" s="1645"/>
      <c r="BJ1432" s="1645"/>
      <c r="BK1432" s="1645"/>
      <c r="BL1432" s="1645"/>
      <c r="BM1432" s="1645"/>
      <c r="BN1432" s="1645"/>
      <c r="BO1432" s="1645"/>
      <c r="BP1432" s="1645"/>
      <c r="BQ1432" s="1645"/>
      <c r="BR1432" s="1645"/>
      <c r="BS1432" s="1645"/>
      <c r="BT1432" s="1645"/>
      <c r="BU1432" s="1645"/>
      <c r="BV1432" s="1645"/>
      <c r="BW1432" s="1645"/>
      <c r="BX1432" s="1645"/>
      <c r="BY1432" s="1645"/>
      <c r="BZ1432" s="1645"/>
      <c r="CA1432" s="1645"/>
      <c r="CB1432" s="1645"/>
      <c r="CC1432" s="1645"/>
      <c r="CD1432" s="1645"/>
      <c r="CE1432" s="1645"/>
      <c r="CF1432" s="1645"/>
      <c r="CG1432" s="1645"/>
      <c r="CH1432" s="1645"/>
      <c r="CI1432" s="1645"/>
      <c r="CJ1432" s="1645"/>
      <c r="CK1432" s="1645"/>
      <c r="CL1432" s="1645"/>
      <c r="CM1432" s="1645"/>
      <c r="CN1432" s="1645"/>
      <c r="CO1432" s="1645"/>
      <c r="CP1432" s="1136"/>
      <c r="CQ1432" s="1136"/>
      <c r="CR1432" s="1136"/>
      <c r="CS1432" s="1136"/>
      <c r="CT1432" s="1136"/>
      <c r="CU1432" s="1136"/>
      <c r="CV1432" s="1136"/>
      <c r="CW1432" s="1136"/>
      <c r="CX1432" s="1136"/>
      <c r="CY1432" s="1136"/>
      <c r="CZ1432" s="1136"/>
      <c r="DA1432" s="1136"/>
      <c r="DB1432" s="1136"/>
      <c r="DC1432" s="1136"/>
      <c r="DD1432" s="1136"/>
      <c r="DE1432" s="1136"/>
      <c r="DF1432" s="1136"/>
      <c r="DG1432" s="1136"/>
      <c r="DH1432" s="1136"/>
      <c r="DI1432" s="1136"/>
    </row>
    <row r="1433" spans="1:113" ht="15" x14ac:dyDescent="0.2">
      <c r="A1433" s="1678"/>
      <c r="B1433" s="1676"/>
      <c r="C1433" s="1668"/>
      <c r="D1433" s="1668"/>
      <c r="E1433" s="1668"/>
      <c r="F1433" s="1668"/>
      <c r="G1433" s="1668"/>
      <c r="H1433" s="1070"/>
      <c r="I1433" s="1645"/>
      <c r="J1433" s="1645"/>
      <c r="K1433" s="1645"/>
      <c r="L1433" s="1645"/>
      <c r="M1433" s="1645"/>
      <c r="N1433" s="1645"/>
      <c r="O1433" s="1645"/>
      <c r="P1433" s="1645"/>
      <c r="Q1433" s="1645"/>
      <c r="R1433" s="1645"/>
      <c r="S1433" s="1645"/>
      <c r="T1433" s="1645"/>
      <c r="U1433" s="1645"/>
      <c r="V1433" s="1645"/>
      <c r="W1433" s="1645"/>
      <c r="X1433" s="1645"/>
      <c r="Y1433" s="1645"/>
      <c r="Z1433" s="1645"/>
      <c r="AA1433" s="1645"/>
      <c r="AB1433" s="1645"/>
      <c r="AC1433" s="1645"/>
      <c r="AD1433" s="1645"/>
      <c r="AE1433" s="1645"/>
      <c r="AF1433" s="1645"/>
      <c r="AG1433" s="1645"/>
      <c r="AH1433" s="1645"/>
      <c r="AI1433" s="1645"/>
      <c r="AJ1433" s="1645"/>
      <c r="AK1433" s="1645"/>
      <c r="AL1433" s="1645"/>
      <c r="AM1433" s="1645"/>
      <c r="AN1433" s="1645"/>
      <c r="AO1433" s="1645"/>
      <c r="AP1433" s="1645"/>
      <c r="AQ1433" s="1645"/>
      <c r="AR1433" s="1645"/>
      <c r="AS1433" s="1645"/>
      <c r="AT1433" s="1645"/>
      <c r="AU1433" s="1645"/>
      <c r="AV1433" s="1645"/>
      <c r="AW1433" s="1645"/>
      <c r="AX1433" s="1645"/>
      <c r="AY1433" s="1645"/>
      <c r="AZ1433" s="1645"/>
      <c r="BA1433" s="1645"/>
      <c r="BB1433" s="1645"/>
      <c r="BC1433" s="1645"/>
      <c r="BD1433" s="1645"/>
      <c r="BE1433" s="1645"/>
      <c r="BF1433" s="1645"/>
      <c r="BG1433" s="1645"/>
      <c r="BH1433" s="1645"/>
      <c r="BI1433" s="1645"/>
      <c r="BJ1433" s="1645"/>
      <c r="BK1433" s="1645"/>
      <c r="BL1433" s="1645"/>
      <c r="BM1433" s="1645"/>
      <c r="BN1433" s="1645"/>
      <c r="BO1433" s="1645"/>
      <c r="BP1433" s="1645"/>
      <c r="BQ1433" s="1645"/>
      <c r="BR1433" s="1645"/>
      <c r="BS1433" s="1645"/>
      <c r="BT1433" s="1645"/>
      <c r="BU1433" s="1645"/>
      <c r="BV1433" s="1645"/>
      <c r="BW1433" s="1645"/>
      <c r="BX1433" s="1645"/>
      <c r="BY1433" s="1645"/>
      <c r="BZ1433" s="1645"/>
      <c r="CA1433" s="1645"/>
      <c r="CB1433" s="1645"/>
      <c r="CC1433" s="1645"/>
      <c r="CD1433" s="1645"/>
      <c r="CE1433" s="1645"/>
      <c r="CF1433" s="1645"/>
      <c r="CG1433" s="1645"/>
      <c r="CH1433" s="1645"/>
      <c r="CI1433" s="1645"/>
      <c r="CJ1433" s="1645"/>
      <c r="CK1433" s="1645"/>
      <c r="CL1433" s="1645"/>
      <c r="CM1433" s="1645"/>
      <c r="CN1433" s="1645"/>
      <c r="CO1433" s="1645"/>
      <c r="CP1433" s="1136"/>
      <c r="CQ1433" s="1136"/>
      <c r="CR1433" s="1136"/>
      <c r="CS1433" s="1136"/>
      <c r="CT1433" s="1136"/>
      <c r="CU1433" s="1136"/>
      <c r="CV1433" s="1136"/>
      <c r="CW1433" s="1136"/>
      <c r="CX1433" s="1136"/>
      <c r="CY1433" s="1136"/>
      <c r="CZ1433" s="1136"/>
      <c r="DA1433" s="1136"/>
      <c r="DB1433" s="1136"/>
      <c r="DC1433" s="1136"/>
      <c r="DD1433" s="1136"/>
      <c r="DE1433" s="1136"/>
      <c r="DF1433" s="1136"/>
      <c r="DG1433" s="1136"/>
      <c r="DH1433" s="1136"/>
      <c r="DI1433" s="1136"/>
    </row>
    <row r="1434" spans="1:113" ht="15" x14ac:dyDescent="0.2">
      <c r="A1434" s="1675"/>
      <c r="B1434" s="1676"/>
      <c r="C1434" s="1668"/>
      <c r="D1434" s="1668"/>
      <c r="E1434" s="1668"/>
      <c r="F1434" s="1668"/>
      <c r="G1434" s="1668"/>
      <c r="H1434" s="1070"/>
      <c r="I1434" s="1645"/>
      <c r="J1434" s="1645"/>
      <c r="K1434" s="1645"/>
      <c r="L1434" s="1645"/>
      <c r="M1434" s="1645"/>
      <c r="N1434" s="1645"/>
      <c r="O1434" s="1645"/>
      <c r="P1434" s="1645"/>
      <c r="Q1434" s="1645"/>
      <c r="R1434" s="1645"/>
      <c r="S1434" s="1645"/>
      <c r="T1434" s="1645"/>
      <c r="U1434" s="1645"/>
      <c r="V1434" s="1645"/>
      <c r="W1434" s="1645"/>
      <c r="X1434" s="1645"/>
      <c r="Y1434" s="1645"/>
      <c r="Z1434" s="1645"/>
      <c r="AA1434" s="1645"/>
      <c r="AB1434" s="1645"/>
      <c r="AC1434" s="1645"/>
      <c r="AD1434" s="1645"/>
      <c r="AE1434" s="1645"/>
      <c r="AF1434" s="1645"/>
      <c r="AG1434" s="1645"/>
      <c r="AH1434" s="1645"/>
      <c r="AI1434" s="1645"/>
      <c r="AJ1434" s="1645"/>
      <c r="AK1434" s="1645"/>
      <c r="AL1434" s="1645"/>
      <c r="AM1434" s="1645"/>
      <c r="AN1434" s="1645"/>
      <c r="AO1434" s="1645"/>
      <c r="AP1434" s="1645"/>
      <c r="AQ1434" s="1645"/>
      <c r="AR1434" s="1645"/>
      <c r="AS1434" s="1645"/>
      <c r="AT1434" s="1645"/>
      <c r="AU1434" s="1645"/>
      <c r="AV1434" s="1645"/>
      <c r="AW1434" s="1645"/>
      <c r="AX1434" s="1645"/>
      <c r="AY1434" s="1645"/>
      <c r="AZ1434" s="1645"/>
      <c r="BA1434" s="1645"/>
      <c r="BB1434" s="1645"/>
      <c r="BC1434" s="1645"/>
      <c r="BD1434" s="1645"/>
      <c r="BE1434" s="1645"/>
      <c r="BF1434" s="1645"/>
      <c r="BG1434" s="1645"/>
      <c r="BH1434" s="1645"/>
      <c r="BI1434" s="1645"/>
      <c r="BJ1434" s="1645"/>
      <c r="BK1434" s="1645"/>
      <c r="BL1434" s="1645"/>
      <c r="BM1434" s="1645"/>
      <c r="BN1434" s="1645"/>
      <c r="BO1434" s="1645"/>
      <c r="BP1434" s="1645"/>
      <c r="BQ1434" s="1645"/>
      <c r="BR1434" s="1645"/>
      <c r="BS1434" s="1645"/>
      <c r="BT1434" s="1645"/>
      <c r="BU1434" s="1645"/>
      <c r="BV1434" s="1645"/>
      <c r="BW1434" s="1645"/>
      <c r="BX1434" s="1645"/>
      <c r="BY1434" s="1645"/>
      <c r="BZ1434" s="1645"/>
      <c r="CA1434" s="1645"/>
      <c r="CB1434" s="1645"/>
      <c r="CC1434" s="1645"/>
      <c r="CD1434" s="1645"/>
      <c r="CE1434" s="1645"/>
      <c r="CF1434" s="1645"/>
      <c r="CG1434" s="1645"/>
      <c r="CH1434" s="1645"/>
      <c r="CI1434" s="1645"/>
      <c r="CJ1434" s="1645"/>
      <c r="CK1434" s="1645"/>
      <c r="CL1434" s="1645"/>
      <c r="CM1434" s="1645"/>
      <c r="CN1434" s="1645"/>
      <c r="CO1434" s="1645"/>
      <c r="CP1434" s="1136"/>
      <c r="CQ1434" s="1136"/>
      <c r="CR1434" s="1136"/>
      <c r="CS1434" s="1136"/>
      <c r="CT1434" s="1136"/>
      <c r="CU1434" s="1136"/>
      <c r="CV1434" s="1136"/>
      <c r="CW1434" s="1136"/>
      <c r="CX1434" s="1136"/>
      <c r="CY1434" s="1136"/>
      <c r="CZ1434" s="1136"/>
      <c r="DA1434" s="1136"/>
      <c r="DB1434" s="1136"/>
      <c r="DC1434" s="1136"/>
      <c r="DD1434" s="1136"/>
      <c r="DE1434" s="1136"/>
      <c r="DF1434" s="1136"/>
      <c r="DG1434" s="1136"/>
      <c r="DH1434" s="1136"/>
      <c r="DI1434" s="1136"/>
    </row>
    <row r="1435" spans="1:113" ht="15" x14ac:dyDescent="0.2">
      <c r="A1435" s="1675"/>
      <c r="B1435" s="1676"/>
      <c r="C1435" s="1668"/>
      <c r="D1435" s="1668"/>
      <c r="E1435" s="1668"/>
      <c r="F1435" s="1668"/>
      <c r="G1435" s="1668"/>
      <c r="H1435" s="1070"/>
      <c r="I1435" s="1645"/>
      <c r="J1435" s="1645"/>
      <c r="K1435" s="1645"/>
      <c r="L1435" s="1645"/>
      <c r="M1435" s="1645"/>
      <c r="N1435" s="1645"/>
      <c r="O1435" s="1645"/>
      <c r="P1435" s="1645"/>
      <c r="Q1435" s="1645"/>
      <c r="R1435" s="1645"/>
      <c r="S1435" s="1645"/>
      <c r="T1435" s="1645"/>
      <c r="U1435" s="1645"/>
      <c r="V1435" s="1645"/>
      <c r="W1435" s="1645"/>
      <c r="X1435" s="1645"/>
      <c r="Y1435" s="1645"/>
      <c r="Z1435" s="1645"/>
      <c r="AA1435" s="1645"/>
      <c r="AB1435" s="1645"/>
      <c r="AC1435" s="1645"/>
      <c r="AD1435" s="1645"/>
      <c r="AE1435" s="1645"/>
      <c r="AF1435" s="1645"/>
      <c r="AG1435" s="1645"/>
      <c r="AH1435" s="1645"/>
      <c r="AI1435" s="1645"/>
      <c r="AJ1435" s="1645"/>
      <c r="AK1435" s="1645"/>
      <c r="AL1435" s="1645"/>
      <c r="AM1435" s="1645"/>
      <c r="AN1435" s="1645"/>
      <c r="AO1435" s="1645"/>
      <c r="AP1435" s="1645"/>
      <c r="AQ1435" s="1645"/>
      <c r="AR1435" s="1645"/>
      <c r="AS1435" s="1645"/>
      <c r="AT1435" s="1645"/>
      <c r="AU1435" s="1645"/>
      <c r="AV1435" s="1645"/>
      <c r="AW1435" s="1645"/>
      <c r="AX1435" s="1645"/>
      <c r="AY1435" s="1645"/>
      <c r="AZ1435" s="1645"/>
      <c r="BA1435" s="1645"/>
      <c r="BB1435" s="1645"/>
      <c r="BC1435" s="1645"/>
      <c r="BD1435" s="1645"/>
      <c r="BE1435" s="1645"/>
      <c r="BF1435" s="1645"/>
      <c r="BG1435" s="1645"/>
      <c r="BH1435" s="1645"/>
      <c r="BI1435" s="1645"/>
      <c r="BJ1435" s="1645"/>
      <c r="BK1435" s="1645"/>
      <c r="BL1435" s="1645"/>
      <c r="BM1435" s="1645"/>
      <c r="BN1435" s="1645"/>
      <c r="BO1435" s="1645"/>
      <c r="BP1435" s="1645"/>
      <c r="BQ1435" s="1645"/>
      <c r="BR1435" s="1645"/>
      <c r="BS1435" s="1645"/>
      <c r="BT1435" s="1645"/>
      <c r="BU1435" s="1645"/>
      <c r="BV1435" s="1645"/>
      <c r="BW1435" s="1645"/>
      <c r="BX1435" s="1645"/>
      <c r="BY1435" s="1645"/>
      <c r="BZ1435" s="1645"/>
      <c r="CA1435" s="1645"/>
      <c r="CB1435" s="1645"/>
      <c r="CC1435" s="1645"/>
      <c r="CD1435" s="1645"/>
      <c r="CE1435" s="1645"/>
      <c r="CF1435" s="1645"/>
      <c r="CG1435" s="1645"/>
      <c r="CH1435" s="1645"/>
      <c r="CI1435" s="1645"/>
      <c r="CJ1435" s="1645"/>
      <c r="CK1435" s="1645"/>
      <c r="CL1435" s="1645"/>
      <c r="CM1435" s="1645"/>
      <c r="CN1435" s="1645"/>
      <c r="CO1435" s="1645"/>
      <c r="CP1435" s="1136"/>
      <c r="CQ1435" s="1136"/>
      <c r="CR1435" s="1136"/>
      <c r="CS1435" s="1136"/>
      <c r="CT1435" s="1136"/>
      <c r="CU1435" s="1136"/>
      <c r="CV1435" s="1136"/>
      <c r="CW1435" s="1136"/>
      <c r="CX1435" s="1136"/>
      <c r="CY1435" s="1136"/>
      <c r="CZ1435" s="1136"/>
      <c r="DA1435" s="1136"/>
      <c r="DB1435" s="1136"/>
      <c r="DC1435" s="1136"/>
      <c r="DD1435" s="1136"/>
      <c r="DE1435" s="1136"/>
      <c r="DF1435" s="1136"/>
      <c r="DG1435" s="1136"/>
      <c r="DH1435" s="1136"/>
      <c r="DI1435" s="1136"/>
    </row>
    <row r="1436" spans="1:113" ht="15" x14ac:dyDescent="0.2">
      <c r="A1436" s="1675"/>
      <c r="B1436" s="1676"/>
      <c r="C1436" s="1668"/>
      <c r="D1436" s="1668"/>
      <c r="E1436" s="1668"/>
      <c r="F1436" s="1668"/>
      <c r="G1436" s="1668"/>
      <c r="H1436" s="1070"/>
      <c r="I1436" s="1645"/>
      <c r="J1436" s="1645"/>
      <c r="K1436" s="1645"/>
      <c r="L1436" s="1645"/>
      <c r="M1436" s="1645"/>
      <c r="N1436" s="1645"/>
      <c r="O1436" s="1645"/>
      <c r="P1436" s="1645"/>
      <c r="Q1436" s="1645"/>
      <c r="R1436" s="1645"/>
      <c r="S1436" s="1645"/>
      <c r="T1436" s="1645"/>
      <c r="U1436" s="1645"/>
      <c r="V1436" s="1645"/>
      <c r="W1436" s="1645"/>
      <c r="X1436" s="1645"/>
      <c r="Y1436" s="1645"/>
      <c r="Z1436" s="1645"/>
      <c r="AA1436" s="1645"/>
      <c r="AB1436" s="1645"/>
      <c r="AC1436" s="1645"/>
      <c r="AD1436" s="1645"/>
      <c r="AE1436" s="1645"/>
      <c r="AF1436" s="1645"/>
      <c r="AG1436" s="1645"/>
      <c r="AH1436" s="1645"/>
      <c r="AI1436" s="1645"/>
      <c r="AJ1436" s="1645"/>
      <c r="AK1436" s="1645"/>
      <c r="AL1436" s="1645"/>
      <c r="AM1436" s="1645"/>
      <c r="AN1436" s="1645"/>
      <c r="AO1436" s="1645"/>
      <c r="AP1436" s="1645"/>
      <c r="AQ1436" s="1645"/>
      <c r="AR1436" s="1645"/>
      <c r="AS1436" s="1645"/>
      <c r="AT1436" s="1645"/>
      <c r="AU1436" s="1645"/>
      <c r="AV1436" s="1645"/>
      <c r="AW1436" s="1645"/>
      <c r="AX1436" s="1645"/>
      <c r="AY1436" s="1645"/>
      <c r="AZ1436" s="1645"/>
      <c r="BA1436" s="1645"/>
      <c r="BB1436" s="1645"/>
      <c r="BC1436" s="1645"/>
      <c r="BD1436" s="1645"/>
      <c r="BE1436" s="1645"/>
      <c r="BF1436" s="1645"/>
      <c r="BG1436" s="1645"/>
      <c r="BH1436" s="1645"/>
      <c r="BI1436" s="1645"/>
      <c r="BJ1436" s="1645"/>
      <c r="BK1436" s="1645"/>
      <c r="BL1436" s="1645"/>
      <c r="BM1436" s="1645"/>
      <c r="BN1436" s="1645"/>
      <c r="BO1436" s="1645"/>
      <c r="BP1436" s="1645"/>
      <c r="BQ1436" s="1645"/>
      <c r="BR1436" s="1645"/>
      <c r="BS1436" s="1645"/>
      <c r="BT1436" s="1645"/>
      <c r="BU1436" s="1645"/>
      <c r="BV1436" s="1645"/>
      <c r="BW1436" s="1645"/>
      <c r="BX1436" s="1645"/>
      <c r="BY1436" s="1645"/>
      <c r="BZ1436" s="1645"/>
      <c r="CA1436" s="1645"/>
      <c r="CB1436" s="1645"/>
      <c r="CC1436" s="1645"/>
      <c r="CD1436" s="1645"/>
      <c r="CE1436" s="1645"/>
      <c r="CF1436" s="1645"/>
      <c r="CG1436" s="1645"/>
      <c r="CH1436" s="1645"/>
      <c r="CI1436" s="1645"/>
      <c r="CJ1436" s="1645"/>
      <c r="CK1436" s="1645"/>
      <c r="CL1436" s="1645"/>
      <c r="CM1436" s="1645"/>
      <c r="CN1436" s="1645"/>
      <c r="CO1436" s="1645"/>
      <c r="CP1436" s="1136"/>
      <c r="CQ1436" s="1136"/>
      <c r="CR1436" s="1136"/>
      <c r="CS1436" s="1136"/>
      <c r="CT1436" s="1136"/>
      <c r="CU1436" s="1136"/>
      <c r="CV1436" s="1136"/>
      <c r="CW1436" s="1136"/>
      <c r="CX1436" s="1136"/>
      <c r="CY1436" s="1136"/>
      <c r="CZ1436" s="1136"/>
      <c r="DA1436" s="1136"/>
      <c r="DB1436" s="1136"/>
      <c r="DC1436" s="1136"/>
      <c r="DD1436" s="1136"/>
      <c r="DE1436" s="1136"/>
      <c r="DF1436" s="1136"/>
      <c r="DG1436" s="1136"/>
      <c r="DH1436" s="1136"/>
      <c r="DI1436" s="1136"/>
    </row>
    <row r="1437" spans="1:113" ht="15" x14ac:dyDescent="0.2">
      <c r="A1437" s="1136"/>
      <c r="B1437" s="1136"/>
      <c r="C1437" s="1136"/>
      <c r="D1437" s="1136"/>
      <c r="E1437" s="1136"/>
      <c r="F1437" s="1136"/>
      <c r="G1437" s="1136"/>
      <c r="H1437" s="1070"/>
      <c r="I1437" s="1645"/>
      <c r="J1437" s="1645"/>
      <c r="K1437" s="1645"/>
      <c r="L1437" s="1645"/>
      <c r="M1437" s="1645"/>
      <c r="N1437" s="1645"/>
      <c r="O1437" s="1645"/>
      <c r="P1437" s="1645"/>
      <c r="Q1437" s="1645"/>
      <c r="R1437" s="1645"/>
      <c r="S1437" s="1645"/>
      <c r="T1437" s="1645"/>
      <c r="U1437" s="1645"/>
      <c r="V1437" s="1645"/>
      <c r="W1437" s="1645"/>
      <c r="X1437" s="1645"/>
      <c r="Y1437" s="1645"/>
      <c r="Z1437" s="1645"/>
      <c r="AA1437" s="1645"/>
      <c r="AB1437" s="1645"/>
      <c r="AC1437" s="1645"/>
      <c r="AD1437" s="1645"/>
      <c r="AE1437" s="1645"/>
      <c r="AF1437" s="1645"/>
      <c r="AG1437" s="1645"/>
      <c r="AH1437" s="1645"/>
      <c r="AI1437" s="1645"/>
      <c r="AJ1437" s="1645"/>
      <c r="AK1437" s="1645"/>
      <c r="AL1437" s="1645"/>
      <c r="AM1437" s="1645"/>
      <c r="AN1437" s="1645"/>
      <c r="AO1437" s="1645"/>
      <c r="AP1437" s="1645"/>
      <c r="AQ1437" s="1645"/>
      <c r="AR1437" s="1645"/>
      <c r="AS1437" s="1645"/>
      <c r="AT1437" s="1645"/>
      <c r="AU1437" s="1645"/>
      <c r="AV1437" s="1645"/>
      <c r="AW1437" s="1645"/>
      <c r="AX1437" s="1645"/>
      <c r="AY1437" s="1645"/>
      <c r="AZ1437" s="1645"/>
      <c r="BA1437" s="1645"/>
      <c r="BB1437" s="1645"/>
      <c r="BC1437" s="1645"/>
      <c r="BD1437" s="1645"/>
      <c r="BE1437" s="1645"/>
      <c r="BF1437" s="1645"/>
      <c r="BG1437" s="1645"/>
      <c r="BH1437" s="1645"/>
      <c r="BI1437" s="1645"/>
      <c r="BJ1437" s="1645"/>
      <c r="BK1437" s="1645"/>
      <c r="BL1437" s="1645"/>
      <c r="BM1437" s="1645"/>
      <c r="BN1437" s="1645"/>
      <c r="BO1437" s="1645"/>
      <c r="BP1437" s="1645"/>
      <c r="BQ1437" s="1645"/>
      <c r="BR1437" s="1645"/>
      <c r="BS1437" s="1645"/>
      <c r="BT1437" s="1645"/>
      <c r="BU1437" s="1645"/>
      <c r="BV1437" s="1645"/>
      <c r="BW1437" s="1645"/>
      <c r="BX1437" s="1645"/>
      <c r="BY1437" s="1645"/>
      <c r="BZ1437" s="1645"/>
      <c r="CA1437" s="1645"/>
      <c r="CB1437" s="1645"/>
      <c r="CC1437" s="1645"/>
      <c r="CD1437" s="1645"/>
      <c r="CE1437" s="1645"/>
      <c r="CF1437" s="1645"/>
      <c r="CG1437" s="1645"/>
      <c r="CH1437" s="1645"/>
      <c r="CI1437" s="1645"/>
      <c r="CJ1437" s="1645"/>
      <c r="CK1437" s="1645"/>
      <c r="CL1437" s="1645"/>
      <c r="CM1437" s="1645"/>
      <c r="CN1437" s="1645"/>
      <c r="CO1437" s="1645"/>
      <c r="CP1437" s="1136"/>
      <c r="CQ1437" s="1136"/>
      <c r="CR1437" s="1136"/>
      <c r="CS1437" s="1136"/>
      <c r="CT1437" s="1136"/>
      <c r="CU1437" s="1136"/>
      <c r="CV1437" s="1136"/>
      <c r="CW1437" s="1136"/>
      <c r="CX1437" s="1136"/>
      <c r="CY1437" s="1136"/>
      <c r="CZ1437" s="1136"/>
      <c r="DA1437" s="1136"/>
      <c r="DB1437" s="1136"/>
      <c r="DC1437" s="1136"/>
      <c r="DD1437" s="1136"/>
      <c r="DE1437" s="1136"/>
      <c r="DF1437" s="1136"/>
      <c r="DG1437" s="1136"/>
      <c r="DH1437" s="1136"/>
      <c r="DI1437" s="1136"/>
    </row>
    <row r="1438" spans="1:113" ht="15" x14ac:dyDescent="0.2">
      <c r="A1438" s="1136"/>
      <c r="B1438" s="1136"/>
      <c r="C1438" s="1136"/>
      <c r="D1438" s="1136"/>
      <c r="E1438" s="1136"/>
      <c r="F1438" s="1136"/>
      <c r="G1438" s="1136"/>
      <c r="H1438" s="1070"/>
      <c r="I1438" s="1645"/>
      <c r="J1438" s="1645"/>
      <c r="K1438" s="1645"/>
      <c r="L1438" s="1645"/>
      <c r="M1438" s="1645"/>
      <c r="N1438" s="1645"/>
      <c r="O1438" s="1645"/>
      <c r="P1438" s="1645"/>
      <c r="Q1438" s="1645"/>
      <c r="R1438" s="1645"/>
      <c r="S1438" s="1645"/>
      <c r="T1438" s="1645"/>
      <c r="U1438" s="1645"/>
      <c r="V1438" s="1645"/>
      <c r="W1438" s="1645"/>
      <c r="X1438" s="1645"/>
      <c r="Y1438" s="1645"/>
      <c r="Z1438" s="1645"/>
      <c r="AA1438" s="1645"/>
      <c r="AB1438" s="1645"/>
      <c r="AC1438" s="1645"/>
      <c r="AD1438" s="1645"/>
      <c r="AE1438" s="1645"/>
      <c r="AF1438" s="1645"/>
      <c r="AG1438" s="1645"/>
      <c r="AH1438" s="1645"/>
      <c r="AI1438" s="1645"/>
      <c r="AJ1438" s="1645"/>
      <c r="AK1438" s="1645"/>
      <c r="AL1438" s="1645"/>
      <c r="AM1438" s="1645"/>
      <c r="AN1438" s="1645"/>
      <c r="AO1438" s="1645"/>
      <c r="AP1438" s="1645"/>
      <c r="AQ1438" s="1645"/>
      <c r="AR1438" s="1645"/>
      <c r="AS1438" s="1645"/>
      <c r="AT1438" s="1645"/>
      <c r="AU1438" s="1645"/>
      <c r="AV1438" s="1645"/>
      <c r="AW1438" s="1645"/>
      <c r="AX1438" s="1645"/>
      <c r="AY1438" s="1645"/>
      <c r="AZ1438" s="1645"/>
      <c r="BA1438" s="1645"/>
      <c r="BB1438" s="1645"/>
      <c r="BC1438" s="1645"/>
      <c r="BD1438" s="1645"/>
      <c r="BE1438" s="1645"/>
      <c r="BF1438" s="1645"/>
      <c r="BG1438" s="1645"/>
      <c r="BH1438" s="1645"/>
      <c r="BI1438" s="1645"/>
      <c r="BJ1438" s="1645"/>
      <c r="BK1438" s="1645"/>
      <c r="BL1438" s="1645"/>
      <c r="BM1438" s="1645"/>
      <c r="BN1438" s="1645"/>
      <c r="BO1438" s="1645"/>
      <c r="BP1438" s="1645"/>
      <c r="BQ1438" s="1645"/>
      <c r="BR1438" s="1645"/>
      <c r="BS1438" s="1645"/>
      <c r="BT1438" s="1645"/>
      <c r="BU1438" s="1645"/>
      <c r="BV1438" s="1645"/>
      <c r="BW1438" s="1645"/>
      <c r="BX1438" s="1645"/>
      <c r="BY1438" s="1645"/>
      <c r="BZ1438" s="1645"/>
      <c r="CA1438" s="1645"/>
      <c r="CB1438" s="1645"/>
      <c r="CC1438" s="1645"/>
      <c r="CD1438" s="1645"/>
      <c r="CE1438" s="1645"/>
      <c r="CF1438" s="1645"/>
      <c r="CG1438" s="1645"/>
      <c r="CH1438" s="1645"/>
      <c r="CI1438" s="1645"/>
      <c r="CJ1438" s="1645"/>
      <c r="CK1438" s="1645"/>
      <c r="CL1438" s="1645"/>
      <c r="CM1438" s="1645"/>
      <c r="CN1438" s="1645"/>
      <c r="CO1438" s="1645"/>
      <c r="CP1438" s="1136"/>
      <c r="CQ1438" s="1136"/>
      <c r="CR1438" s="1136"/>
      <c r="CS1438" s="1136"/>
      <c r="CT1438" s="1136"/>
      <c r="CU1438" s="1136"/>
      <c r="CV1438" s="1136"/>
      <c r="CW1438" s="1136"/>
      <c r="CX1438" s="1136"/>
      <c r="CY1438" s="1136"/>
      <c r="CZ1438" s="1136"/>
      <c r="DA1438" s="1136"/>
      <c r="DB1438" s="1136"/>
      <c r="DC1438" s="1136"/>
      <c r="DD1438" s="1136"/>
      <c r="DE1438" s="1136"/>
      <c r="DF1438" s="1136"/>
      <c r="DG1438" s="1136"/>
      <c r="DH1438" s="1136"/>
      <c r="DI1438" s="1136"/>
    </row>
    <row r="1439" spans="1:113" ht="15" x14ac:dyDescent="0.2">
      <c r="A1439" s="1136"/>
      <c r="B1439" s="1136"/>
      <c r="C1439" s="1136"/>
      <c r="D1439" s="1136"/>
      <c r="E1439" s="1136"/>
      <c r="F1439" s="1136"/>
      <c r="G1439" s="1136"/>
      <c r="H1439" s="1070"/>
      <c r="I1439" s="1645"/>
      <c r="J1439" s="1645"/>
      <c r="K1439" s="1645"/>
      <c r="L1439" s="1645"/>
      <c r="M1439" s="1645"/>
      <c r="N1439" s="1645"/>
      <c r="O1439" s="1645"/>
      <c r="P1439" s="1645"/>
      <c r="Q1439" s="1645"/>
      <c r="R1439" s="1645"/>
      <c r="S1439" s="1645"/>
      <c r="T1439" s="1645"/>
      <c r="U1439" s="1645"/>
      <c r="V1439" s="1645"/>
      <c r="W1439" s="1645"/>
      <c r="X1439" s="1645"/>
      <c r="Y1439" s="1645"/>
      <c r="Z1439" s="1645"/>
      <c r="AA1439" s="1645"/>
      <c r="AB1439" s="1645"/>
      <c r="AC1439" s="1645"/>
      <c r="AD1439" s="1645"/>
      <c r="AE1439" s="1645"/>
      <c r="AF1439" s="1645"/>
      <c r="AG1439" s="1645"/>
      <c r="AH1439" s="1645"/>
      <c r="AI1439" s="1645"/>
      <c r="AJ1439" s="1645"/>
      <c r="AK1439" s="1645"/>
      <c r="AL1439" s="1645"/>
      <c r="AM1439" s="1645"/>
      <c r="AN1439" s="1645"/>
      <c r="AO1439" s="1645"/>
      <c r="AP1439" s="1645"/>
      <c r="AQ1439" s="1645"/>
      <c r="AR1439" s="1645"/>
      <c r="AS1439" s="1645"/>
      <c r="AT1439" s="1645"/>
      <c r="AU1439" s="1645"/>
      <c r="AV1439" s="1645"/>
      <c r="AW1439" s="1645"/>
      <c r="AX1439" s="1645"/>
      <c r="AY1439" s="1645"/>
      <c r="AZ1439" s="1645"/>
      <c r="BA1439" s="1645"/>
      <c r="BB1439" s="1645"/>
      <c r="BC1439" s="1645"/>
      <c r="BD1439" s="1645"/>
      <c r="BE1439" s="1645"/>
      <c r="BF1439" s="1645"/>
      <c r="BG1439" s="1645"/>
      <c r="BH1439" s="1645"/>
      <c r="BI1439" s="1645"/>
      <c r="BJ1439" s="1645"/>
      <c r="BK1439" s="1645"/>
      <c r="BL1439" s="1645"/>
      <c r="BM1439" s="1645"/>
      <c r="BN1439" s="1645"/>
      <c r="BO1439" s="1645"/>
      <c r="BP1439" s="1645"/>
      <c r="BQ1439" s="1645"/>
      <c r="BR1439" s="1645"/>
      <c r="BS1439" s="1645"/>
      <c r="BT1439" s="1645"/>
      <c r="BU1439" s="1645"/>
      <c r="BV1439" s="1645"/>
      <c r="BW1439" s="1645"/>
      <c r="BX1439" s="1645"/>
      <c r="BY1439" s="1645"/>
      <c r="BZ1439" s="1645"/>
      <c r="CA1439" s="1645"/>
      <c r="CB1439" s="1645"/>
      <c r="CC1439" s="1645"/>
      <c r="CD1439" s="1645"/>
      <c r="CE1439" s="1645"/>
      <c r="CF1439" s="1645"/>
      <c r="CG1439" s="1645"/>
      <c r="CH1439" s="1645"/>
      <c r="CI1439" s="1645"/>
      <c r="CJ1439" s="1645"/>
      <c r="CK1439" s="1645"/>
      <c r="CL1439" s="1645"/>
      <c r="CM1439" s="1645"/>
      <c r="CN1439" s="1645"/>
      <c r="CO1439" s="1645"/>
      <c r="CP1439" s="1136"/>
      <c r="CQ1439" s="1136"/>
      <c r="CR1439" s="1136"/>
      <c r="CS1439" s="1136"/>
      <c r="CT1439" s="1136"/>
      <c r="CU1439" s="1136"/>
      <c r="CV1439" s="1136"/>
      <c r="CW1439" s="1136"/>
      <c r="CX1439" s="1136"/>
      <c r="CY1439" s="1136"/>
      <c r="CZ1439" s="1136"/>
      <c r="DA1439" s="1136"/>
      <c r="DB1439" s="1136"/>
      <c r="DC1439" s="1136"/>
      <c r="DD1439" s="1136"/>
      <c r="DE1439" s="1136"/>
      <c r="DF1439" s="1136"/>
      <c r="DG1439" s="1136"/>
      <c r="DH1439" s="1136"/>
      <c r="DI1439" s="1136"/>
    </row>
    <row r="1440" spans="1:113" ht="15" x14ac:dyDescent="0.2">
      <c r="A1440" s="1136"/>
      <c r="B1440" s="1136"/>
      <c r="C1440" s="1136"/>
      <c r="D1440" s="1136"/>
      <c r="E1440" s="1136"/>
      <c r="F1440" s="1136"/>
      <c r="G1440" s="1136"/>
      <c r="H1440" s="1070"/>
      <c r="I1440" s="1645"/>
      <c r="J1440" s="1645"/>
      <c r="K1440" s="1645"/>
      <c r="L1440" s="1645"/>
      <c r="M1440" s="1645"/>
      <c r="N1440" s="1645"/>
      <c r="O1440" s="1645"/>
      <c r="P1440" s="1645"/>
      <c r="Q1440" s="1645"/>
      <c r="R1440" s="1645"/>
      <c r="S1440" s="1645"/>
      <c r="T1440" s="1645"/>
      <c r="U1440" s="1645"/>
      <c r="V1440" s="1645"/>
      <c r="W1440" s="1645"/>
      <c r="X1440" s="1645"/>
      <c r="Y1440" s="1645"/>
      <c r="Z1440" s="1645"/>
      <c r="AA1440" s="1645"/>
      <c r="AB1440" s="1645"/>
      <c r="AC1440" s="1645"/>
      <c r="AD1440" s="1645"/>
      <c r="AE1440" s="1645"/>
      <c r="AF1440" s="1645"/>
      <c r="AG1440" s="1645"/>
      <c r="AH1440" s="1645"/>
      <c r="AI1440" s="1645"/>
      <c r="AJ1440" s="1645"/>
      <c r="AK1440" s="1645"/>
      <c r="AL1440" s="1645"/>
      <c r="AM1440" s="1645"/>
      <c r="AN1440" s="1645"/>
      <c r="AO1440" s="1645"/>
      <c r="AP1440" s="1645"/>
      <c r="AQ1440" s="1645"/>
      <c r="AR1440" s="1645"/>
      <c r="AS1440" s="1645"/>
      <c r="AT1440" s="1645"/>
      <c r="AU1440" s="1645"/>
      <c r="AV1440" s="1645"/>
      <c r="AW1440" s="1645"/>
      <c r="AX1440" s="1645"/>
      <c r="AY1440" s="1645"/>
      <c r="AZ1440" s="1645"/>
      <c r="BA1440" s="1645"/>
      <c r="BB1440" s="1645"/>
      <c r="BC1440" s="1645"/>
      <c r="BD1440" s="1645"/>
      <c r="BE1440" s="1645"/>
      <c r="BF1440" s="1645"/>
      <c r="BG1440" s="1645"/>
      <c r="BH1440" s="1645"/>
      <c r="BI1440" s="1645"/>
      <c r="BJ1440" s="1645"/>
      <c r="BK1440" s="1645"/>
      <c r="BL1440" s="1645"/>
      <c r="BM1440" s="1645"/>
      <c r="BN1440" s="1645"/>
      <c r="BO1440" s="1645"/>
      <c r="BP1440" s="1645"/>
      <c r="BQ1440" s="1645"/>
      <c r="BR1440" s="1645"/>
      <c r="BS1440" s="1645"/>
      <c r="BT1440" s="1645"/>
      <c r="BU1440" s="1645"/>
      <c r="BV1440" s="1645"/>
      <c r="BW1440" s="1645"/>
      <c r="BX1440" s="1645"/>
      <c r="BY1440" s="1645"/>
      <c r="BZ1440" s="1645"/>
      <c r="CA1440" s="1645"/>
      <c r="CB1440" s="1645"/>
      <c r="CC1440" s="1645"/>
      <c r="CD1440" s="1645"/>
      <c r="CE1440" s="1645"/>
      <c r="CF1440" s="1645"/>
      <c r="CG1440" s="1645"/>
      <c r="CH1440" s="1645"/>
      <c r="CI1440" s="1645"/>
      <c r="CJ1440" s="1645"/>
      <c r="CK1440" s="1645"/>
      <c r="CL1440" s="1645"/>
      <c r="CM1440" s="1645"/>
      <c r="CN1440" s="1645"/>
      <c r="CO1440" s="1645"/>
      <c r="CP1440" s="1136"/>
      <c r="CQ1440" s="1136"/>
      <c r="CR1440" s="1136"/>
      <c r="CS1440" s="1136"/>
      <c r="CT1440" s="1136"/>
      <c r="CU1440" s="1136"/>
      <c r="CV1440" s="1136"/>
      <c r="CW1440" s="1136"/>
      <c r="CX1440" s="1136"/>
      <c r="CY1440" s="1136"/>
      <c r="CZ1440" s="1136"/>
      <c r="DA1440" s="1136"/>
      <c r="DB1440" s="1136"/>
      <c r="DC1440" s="1136"/>
      <c r="DD1440" s="1136"/>
      <c r="DE1440" s="1136"/>
      <c r="DF1440" s="1136"/>
      <c r="DG1440" s="1136"/>
      <c r="DH1440" s="1136"/>
      <c r="DI1440" s="1136"/>
    </row>
    <row r="1441" spans="1:113" ht="15" x14ac:dyDescent="0.2">
      <c r="A1441" s="1136"/>
      <c r="B1441" s="1136"/>
      <c r="C1441" s="1136"/>
      <c r="D1441" s="1136"/>
      <c r="E1441" s="1136"/>
      <c r="F1441" s="1136"/>
      <c r="G1441" s="1136"/>
      <c r="H1441" s="1070"/>
      <c r="I1441" s="1645"/>
      <c r="J1441" s="1645"/>
      <c r="K1441" s="1645"/>
      <c r="L1441" s="1645"/>
      <c r="M1441" s="1645"/>
      <c r="N1441" s="1645"/>
      <c r="O1441" s="1645"/>
      <c r="P1441" s="1645"/>
      <c r="Q1441" s="1645"/>
      <c r="R1441" s="1645"/>
      <c r="S1441" s="1645"/>
      <c r="T1441" s="1645"/>
      <c r="U1441" s="1645"/>
      <c r="V1441" s="1645"/>
      <c r="W1441" s="1645"/>
      <c r="X1441" s="1645"/>
      <c r="Y1441" s="1645"/>
      <c r="Z1441" s="1645"/>
      <c r="AA1441" s="1645"/>
      <c r="AB1441" s="1645"/>
      <c r="AC1441" s="1645"/>
      <c r="AD1441" s="1645"/>
      <c r="AE1441" s="1645"/>
      <c r="AF1441" s="1645"/>
      <c r="AG1441" s="1645"/>
      <c r="AH1441" s="1645"/>
      <c r="AI1441" s="1645"/>
      <c r="AJ1441" s="1645"/>
      <c r="AK1441" s="1645"/>
      <c r="AL1441" s="1645"/>
      <c r="AM1441" s="1645"/>
      <c r="AN1441" s="1645"/>
      <c r="AO1441" s="1645"/>
      <c r="AP1441" s="1645"/>
      <c r="AQ1441" s="1645"/>
      <c r="AR1441" s="1645"/>
      <c r="AS1441" s="1645"/>
      <c r="AT1441" s="1645"/>
      <c r="AU1441" s="1645"/>
      <c r="AV1441" s="1645"/>
      <c r="AW1441" s="1645"/>
      <c r="AX1441" s="1645"/>
      <c r="AY1441" s="1645"/>
      <c r="AZ1441" s="1645"/>
      <c r="BA1441" s="1645"/>
      <c r="BB1441" s="1645"/>
      <c r="BC1441" s="1645"/>
      <c r="BD1441" s="1645"/>
      <c r="BE1441" s="1645"/>
      <c r="BF1441" s="1645"/>
      <c r="BG1441" s="1645"/>
      <c r="BH1441" s="1645"/>
      <c r="BI1441" s="1645"/>
      <c r="BJ1441" s="1645"/>
      <c r="BK1441" s="1645"/>
      <c r="BL1441" s="1645"/>
      <c r="BM1441" s="1645"/>
      <c r="BN1441" s="1645"/>
      <c r="BO1441" s="1645"/>
      <c r="BP1441" s="1645"/>
      <c r="BQ1441" s="1645"/>
      <c r="BR1441" s="1645"/>
      <c r="BS1441" s="1645"/>
      <c r="BT1441" s="1645"/>
      <c r="BU1441" s="1645"/>
      <c r="BV1441" s="1645"/>
      <c r="BW1441" s="1645"/>
      <c r="BX1441" s="1645"/>
      <c r="BY1441" s="1645"/>
      <c r="BZ1441" s="1645"/>
      <c r="CA1441" s="1645"/>
      <c r="CB1441" s="1645"/>
      <c r="CC1441" s="1645"/>
      <c r="CD1441" s="1645"/>
      <c r="CE1441" s="1645"/>
      <c r="CF1441" s="1645"/>
      <c r="CG1441" s="1645"/>
      <c r="CH1441" s="1645"/>
      <c r="CI1441" s="1645"/>
      <c r="CJ1441" s="1645"/>
      <c r="CK1441" s="1645"/>
      <c r="CL1441" s="1645"/>
      <c r="CM1441" s="1645"/>
      <c r="CN1441" s="1645"/>
      <c r="CO1441" s="1645"/>
      <c r="CP1441" s="1136"/>
      <c r="CQ1441" s="1136"/>
      <c r="CR1441" s="1136"/>
      <c r="CS1441" s="1136"/>
      <c r="CT1441" s="1136"/>
      <c r="CU1441" s="1136"/>
      <c r="CV1441" s="1136"/>
      <c r="CW1441" s="1136"/>
      <c r="CX1441" s="1136"/>
      <c r="CY1441" s="1136"/>
      <c r="CZ1441" s="1136"/>
      <c r="DA1441" s="1136"/>
      <c r="DB1441" s="1136"/>
      <c r="DC1441" s="1136"/>
      <c r="DD1441" s="1136"/>
      <c r="DE1441" s="1136"/>
      <c r="DF1441" s="1136"/>
      <c r="DG1441" s="1136"/>
      <c r="DH1441" s="1136"/>
      <c r="DI1441" s="1136"/>
    </row>
    <row r="1442" spans="1:113" ht="15" x14ac:dyDescent="0.2">
      <c r="A1442" s="1136"/>
      <c r="B1442" s="1136"/>
      <c r="C1442" s="1136"/>
      <c r="D1442" s="1136"/>
      <c r="E1442" s="1136"/>
      <c r="F1442" s="1136"/>
      <c r="G1442" s="1136"/>
      <c r="H1442" s="1070"/>
      <c r="I1442" s="1645"/>
      <c r="J1442" s="1645"/>
      <c r="K1442" s="1645"/>
      <c r="L1442" s="1645"/>
      <c r="M1442" s="1645"/>
      <c r="N1442" s="1645"/>
      <c r="O1442" s="1645"/>
      <c r="P1442" s="1645"/>
      <c r="Q1442" s="1645"/>
      <c r="R1442" s="1645"/>
      <c r="S1442" s="1645"/>
      <c r="T1442" s="1645"/>
      <c r="U1442" s="1645"/>
      <c r="V1442" s="1645"/>
      <c r="W1442" s="1645"/>
      <c r="X1442" s="1645"/>
      <c r="Y1442" s="1645"/>
      <c r="Z1442" s="1645"/>
      <c r="AA1442" s="1645"/>
      <c r="AB1442" s="1645"/>
      <c r="AC1442" s="1645"/>
      <c r="AD1442" s="1645"/>
      <c r="AE1442" s="1645"/>
      <c r="AF1442" s="1645"/>
      <c r="AG1442" s="1645"/>
      <c r="AH1442" s="1645"/>
      <c r="AI1442" s="1645"/>
      <c r="AJ1442" s="1645"/>
      <c r="AK1442" s="1645"/>
      <c r="AL1442" s="1645"/>
      <c r="AM1442" s="1645"/>
      <c r="AN1442" s="1645"/>
      <c r="AO1442" s="1645"/>
      <c r="AP1442" s="1645"/>
      <c r="AQ1442" s="1645"/>
      <c r="AR1442" s="1645"/>
      <c r="AS1442" s="1645"/>
      <c r="AT1442" s="1645"/>
      <c r="AU1442" s="1645"/>
      <c r="AV1442" s="1645"/>
      <c r="AW1442" s="1645"/>
      <c r="AX1442" s="1645"/>
      <c r="AY1442" s="1645"/>
      <c r="AZ1442" s="1645"/>
      <c r="BA1442" s="1645"/>
      <c r="BB1442" s="1645"/>
      <c r="BC1442" s="1645"/>
      <c r="BD1442" s="1645"/>
      <c r="BE1442" s="1645"/>
      <c r="BF1442" s="1645"/>
      <c r="BG1442" s="1645"/>
      <c r="BH1442" s="1645"/>
      <c r="BI1442" s="1645"/>
      <c r="BJ1442" s="1645"/>
      <c r="BK1442" s="1645"/>
      <c r="BL1442" s="1645"/>
      <c r="BM1442" s="1645"/>
      <c r="BN1442" s="1645"/>
      <c r="BO1442" s="1645"/>
      <c r="BP1442" s="1645"/>
      <c r="BQ1442" s="1645"/>
      <c r="BR1442" s="1645"/>
      <c r="BS1442" s="1645"/>
      <c r="BT1442" s="1645"/>
      <c r="BU1442" s="1645"/>
      <c r="BV1442" s="1645"/>
      <c r="BW1442" s="1645"/>
      <c r="BX1442" s="1645"/>
      <c r="BY1442" s="1645"/>
      <c r="BZ1442" s="1645"/>
      <c r="CA1442" s="1645"/>
      <c r="CB1442" s="1645"/>
      <c r="CC1442" s="1645"/>
      <c r="CD1442" s="1645"/>
      <c r="CE1442" s="1645"/>
      <c r="CF1442" s="1645"/>
      <c r="CG1442" s="1645"/>
      <c r="CH1442" s="1645"/>
      <c r="CI1442" s="1645"/>
      <c r="CJ1442" s="1645"/>
      <c r="CK1442" s="1645"/>
      <c r="CL1442" s="1645"/>
      <c r="CM1442" s="1645"/>
      <c r="CN1442" s="1645"/>
      <c r="CO1442" s="1645"/>
      <c r="CP1442" s="1136"/>
      <c r="CQ1442" s="1136"/>
      <c r="CR1442" s="1136"/>
      <c r="CS1442" s="1136"/>
      <c r="CT1442" s="1136"/>
      <c r="CU1442" s="1136"/>
      <c r="CV1442" s="1136"/>
      <c r="CW1442" s="1136"/>
      <c r="CX1442" s="1136"/>
      <c r="CY1442" s="1136"/>
      <c r="CZ1442" s="1136"/>
      <c r="DA1442" s="1136"/>
      <c r="DB1442" s="1136"/>
      <c r="DC1442" s="1136"/>
      <c r="DD1442" s="1136"/>
      <c r="DE1442" s="1136"/>
      <c r="DF1442" s="1136"/>
      <c r="DG1442" s="1136"/>
      <c r="DH1442" s="1136"/>
      <c r="DI1442" s="1136"/>
    </row>
    <row r="1443" spans="1:113" ht="15" x14ac:dyDescent="0.2">
      <c r="A1443" s="1136"/>
      <c r="B1443" s="1136"/>
      <c r="C1443" s="1136"/>
      <c r="D1443" s="1136"/>
      <c r="E1443" s="1136"/>
      <c r="F1443" s="1136"/>
      <c r="G1443" s="1136"/>
      <c r="H1443" s="1070"/>
      <c r="I1443" s="1645"/>
      <c r="J1443" s="1645"/>
      <c r="K1443" s="1645"/>
      <c r="L1443" s="1645"/>
      <c r="M1443" s="1645"/>
      <c r="N1443" s="1645"/>
      <c r="O1443" s="1645"/>
      <c r="P1443" s="1645"/>
      <c r="Q1443" s="1645"/>
      <c r="R1443" s="1645"/>
      <c r="S1443" s="1645"/>
      <c r="T1443" s="1645"/>
      <c r="U1443" s="1645"/>
      <c r="V1443" s="1645"/>
      <c r="W1443" s="1645"/>
      <c r="X1443" s="1645"/>
      <c r="Y1443" s="1645"/>
      <c r="Z1443" s="1645"/>
      <c r="AA1443" s="1645"/>
      <c r="AB1443" s="1645"/>
      <c r="AC1443" s="1645"/>
      <c r="AD1443" s="1645"/>
      <c r="AE1443" s="1645"/>
      <c r="AF1443" s="1645"/>
      <c r="AG1443" s="1645"/>
      <c r="AH1443" s="1645"/>
      <c r="AI1443" s="1645"/>
      <c r="AJ1443" s="1645"/>
      <c r="AK1443" s="1645"/>
      <c r="AL1443" s="1645"/>
      <c r="AM1443" s="1645"/>
      <c r="AN1443" s="1645"/>
      <c r="AO1443" s="1645"/>
      <c r="AP1443" s="1645"/>
      <c r="AQ1443" s="1645"/>
      <c r="AR1443" s="1645"/>
      <c r="AS1443" s="1645"/>
      <c r="AT1443" s="1645"/>
      <c r="AU1443" s="1645"/>
      <c r="AV1443" s="1645"/>
      <c r="AW1443" s="1645"/>
      <c r="AX1443" s="1645"/>
      <c r="AY1443" s="1645"/>
      <c r="AZ1443" s="1645"/>
      <c r="BA1443" s="1645"/>
      <c r="BB1443" s="1645"/>
      <c r="BC1443" s="1645"/>
      <c r="BD1443" s="1645"/>
      <c r="BE1443" s="1645"/>
      <c r="BF1443" s="1645"/>
      <c r="BG1443" s="1645"/>
      <c r="BH1443" s="1645"/>
      <c r="BI1443" s="1645"/>
      <c r="BJ1443" s="1645"/>
      <c r="BK1443" s="1645"/>
      <c r="BL1443" s="1645"/>
      <c r="BM1443" s="1645"/>
      <c r="BN1443" s="1645"/>
      <c r="BO1443" s="1645"/>
      <c r="BP1443" s="1645"/>
      <c r="BQ1443" s="1645"/>
      <c r="BR1443" s="1645"/>
      <c r="BS1443" s="1645"/>
      <c r="BT1443" s="1645"/>
      <c r="BU1443" s="1645"/>
      <c r="BV1443" s="1645"/>
      <c r="BW1443" s="1645"/>
      <c r="BX1443" s="1645"/>
      <c r="BY1443" s="1645"/>
      <c r="BZ1443" s="1645"/>
      <c r="CA1443" s="1645"/>
      <c r="CB1443" s="1645"/>
      <c r="CC1443" s="1645"/>
      <c r="CD1443" s="1645"/>
      <c r="CE1443" s="1645"/>
      <c r="CF1443" s="1645"/>
      <c r="CG1443" s="1645"/>
      <c r="CH1443" s="1645"/>
      <c r="CI1443" s="1645"/>
      <c r="CJ1443" s="1645"/>
      <c r="CK1443" s="1645"/>
      <c r="CL1443" s="1645"/>
      <c r="CM1443" s="1645"/>
      <c r="CN1443" s="1645"/>
      <c r="CO1443" s="1645"/>
      <c r="CP1443" s="1136"/>
      <c r="CQ1443" s="1136"/>
      <c r="CR1443" s="1136"/>
      <c r="CS1443" s="1136"/>
      <c r="CT1443" s="1136"/>
      <c r="CU1443" s="1136"/>
      <c r="CV1443" s="1136"/>
      <c r="CW1443" s="1136"/>
      <c r="CX1443" s="1136"/>
      <c r="CY1443" s="1136"/>
      <c r="CZ1443" s="1136"/>
      <c r="DA1443" s="1136"/>
      <c r="DB1443" s="1136"/>
      <c r="DC1443" s="1136"/>
      <c r="DD1443" s="1136"/>
      <c r="DE1443" s="1136"/>
      <c r="DF1443" s="1136"/>
      <c r="DG1443" s="1136"/>
      <c r="DH1443" s="1136"/>
      <c r="DI1443" s="1136"/>
    </row>
    <row r="1444" spans="1:113" ht="15" x14ac:dyDescent="0.2">
      <c r="A1444" s="1136"/>
      <c r="B1444" s="1136"/>
      <c r="C1444" s="1136"/>
      <c r="D1444" s="1136"/>
      <c r="E1444" s="1136"/>
      <c r="F1444" s="1136"/>
      <c r="G1444" s="1136"/>
      <c r="H1444" s="1070"/>
      <c r="I1444" s="1645"/>
      <c r="J1444" s="1645"/>
      <c r="K1444" s="1645"/>
      <c r="L1444" s="1645"/>
      <c r="M1444" s="1645"/>
      <c r="N1444" s="1645"/>
      <c r="O1444" s="1645"/>
      <c r="P1444" s="1645"/>
      <c r="Q1444" s="1645"/>
      <c r="R1444" s="1645"/>
      <c r="S1444" s="1645"/>
      <c r="T1444" s="1645"/>
      <c r="U1444" s="1645"/>
      <c r="V1444" s="1645"/>
      <c r="W1444" s="1645"/>
      <c r="X1444" s="1645"/>
      <c r="Y1444" s="1645"/>
      <c r="Z1444" s="1645"/>
      <c r="AA1444" s="1645"/>
      <c r="AB1444" s="1645"/>
      <c r="AC1444" s="1645"/>
      <c r="AD1444" s="1645"/>
      <c r="AE1444" s="1645"/>
      <c r="AF1444" s="1645"/>
      <c r="AG1444" s="1645"/>
      <c r="AH1444" s="1645"/>
      <c r="AI1444" s="1645"/>
      <c r="AJ1444" s="1645"/>
      <c r="AK1444" s="1645"/>
      <c r="AL1444" s="1645"/>
      <c r="AM1444" s="1645"/>
      <c r="AN1444" s="1645"/>
      <c r="AO1444" s="1645"/>
      <c r="AP1444" s="1645"/>
      <c r="AQ1444" s="1645"/>
      <c r="AR1444" s="1645"/>
      <c r="AS1444" s="1645"/>
      <c r="AT1444" s="1645"/>
      <c r="AU1444" s="1645"/>
      <c r="AV1444" s="1645"/>
      <c r="AW1444" s="1645"/>
      <c r="AX1444" s="1645"/>
      <c r="AY1444" s="1645"/>
      <c r="AZ1444" s="1645"/>
      <c r="BA1444" s="1645"/>
      <c r="BB1444" s="1645"/>
      <c r="BC1444" s="1645"/>
      <c r="BD1444" s="1645"/>
      <c r="BE1444" s="1645"/>
      <c r="BF1444" s="1645"/>
      <c r="BG1444" s="1645"/>
      <c r="BH1444" s="1645"/>
      <c r="BI1444" s="1645"/>
      <c r="BJ1444" s="1645"/>
      <c r="BK1444" s="1645"/>
      <c r="BL1444" s="1645"/>
      <c r="BM1444" s="1645"/>
      <c r="BN1444" s="1645"/>
      <c r="BO1444" s="1645"/>
      <c r="BP1444" s="1645"/>
      <c r="BQ1444" s="1645"/>
      <c r="BR1444" s="1645"/>
      <c r="BS1444" s="1645"/>
      <c r="BT1444" s="1645"/>
      <c r="BU1444" s="1645"/>
      <c r="BV1444" s="1645"/>
      <c r="BW1444" s="1645"/>
      <c r="BX1444" s="1645"/>
      <c r="BY1444" s="1645"/>
      <c r="BZ1444" s="1645"/>
      <c r="CA1444" s="1645"/>
      <c r="CB1444" s="1645"/>
      <c r="CC1444" s="1645"/>
      <c r="CD1444" s="1645"/>
      <c r="CE1444" s="1645"/>
      <c r="CF1444" s="1645"/>
      <c r="CG1444" s="1645"/>
      <c r="CH1444" s="1645"/>
      <c r="CI1444" s="1645"/>
      <c r="CJ1444" s="1645"/>
      <c r="CK1444" s="1645"/>
      <c r="CL1444" s="1645"/>
      <c r="CM1444" s="1645"/>
      <c r="CN1444" s="1645"/>
      <c r="CO1444" s="1645"/>
      <c r="CP1444" s="1136"/>
      <c r="CQ1444" s="1136"/>
      <c r="CR1444" s="1136"/>
      <c r="CS1444" s="1136"/>
      <c r="CT1444" s="1136"/>
      <c r="CU1444" s="1136"/>
      <c r="CV1444" s="1136"/>
      <c r="CW1444" s="1136"/>
      <c r="CX1444" s="1136"/>
      <c r="CY1444" s="1136"/>
      <c r="CZ1444" s="1136"/>
      <c r="DA1444" s="1136"/>
      <c r="DB1444" s="1136"/>
      <c r="DC1444" s="1136"/>
      <c r="DD1444" s="1136"/>
      <c r="DE1444" s="1136"/>
      <c r="DF1444" s="1136"/>
      <c r="DG1444" s="1136"/>
      <c r="DH1444" s="1136"/>
      <c r="DI1444" s="1136"/>
    </row>
    <row r="1445" spans="1:113" ht="15" x14ac:dyDescent="0.2">
      <c r="A1445" s="1136"/>
      <c r="B1445" s="1136"/>
      <c r="C1445" s="1136"/>
      <c r="D1445" s="1136"/>
      <c r="E1445" s="1136"/>
      <c r="F1445" s="1136"/>
      <c r="G1445" s="1136"/>
      <c r="H1445" s="1070"/>
      <c r="I1445" s="1645"/>
      <c r="J1445" s="1645"/>
      <c r="K1445" s="1645"/>
      <c r="L1445" s="1645"/>
      <c r="M1445" s="1645"/>
      <c r="N1445" s="1645"/>
      <c r="O1445" s="1645"/>
      <c r="P1445" s="1645"/>
      <c r="Q1445" s="1645"/>
      <c r="R1445" s="1645"/>
      <c r="S1445" s="1645"/>
      <c r="T1445" s="1645"/>
      <c r="U1445" s="1645"/>
      <c r="V1445" s="1645"/>
      <c r="W1445" s="1645"/>
      <c r="X1445" s="1645"/>
      <c r="Y1445" s="1645"/>
      <c r="Z1445" s="1645"/>
      <c r="AA1445" s="1645"/>
      <c r="AB1445" s="1645"/>
      <c r="AC1445" s="1645"/>
      <c r="AD1445" s="1645"/>
      <c r="AE1445" s="1645"/>
      <c r="AF1445" s="1645"/>
      <c r="AG1445" s="1645"/>
      <c r="AH1445" s="1645"/>
      <c r="AI1445" s="1645"/>
      <c r="AJ1445" s="1645"/>
      <c r="AK1445" s="1645"/>
      <c r="AL1445" s="1645"/>
      <c r="AM1445" s="1645"/>
      <c r="AN1445" s="1645"/>
      <c r="AO1445" s="1645"/>
      <c r="AP1445" s="1645"/>
      <c r="AQ1445" s="1645"/>
      <c r="AR1445" s="1645"/>
      <c r="AS1445" s="1645"/>
      <c r="AT1445" s="1645"/>
      <c r="AU1445" s="1645"/>
      <c r="AV1445" s="1645"/>
      <c r="AW1445" s="1645"/>
      <c r="AX1445" s="1645"/>
      <c r="AY1445" s="1645"/>
      <c r="AZ1445" s="1645"/>
      <c r="BA1445" s="1645"/>
      <c r="BB1445" s="1645"/>
      <c r="BC1445" s="1645"/>
      <c r="BD1445" s="1645"/>
      <c r="BE1445" s="1645"/>
      <c r="BF1445" s="1645"/>
      <c r="BG1445" s="1645"/>
      <c r="BH1445" s="1645"/>
      <c r="BI1445" s="1645"/>
      <c r="BJ1445" s="1645"/>
      <c r="BK1445" s="1645"/>
      <c r="BL1445" s="1645"/>
      <c r="BM1445" s="1645"/>
      <c r="BN1445" s="1645"/>
      <c r="BO1445" s="1645"/>
      <c r="BP1445" s="1645"/>
      <c r="BQ1445" s="1645"/>
      <c r="BR1445" s="1645"/>
      <c r="BS1445" s="1645"/>
      <c r="BT1445" s="1645"/>
      <c r="BU1445" s="1645"/>
      <c r="BV1445" s="1645"/>
      <c r="BW1445" s="1645"/>
      <c r="BX1445" s="1645"/>
      <c r="BY1445" s="1645"/>
      <c r="BZ1445" s="1645"/>
      <c r="CA1445" s="1645"/>
      <c r="CB1445" s="1645"/>
      <c r="CC1445" s="1645"/>
      <c r="CD1445" s="1645"/>
      <c r="CE1445" s="1645"/>
      <c r="CF1445" s="1645"/>
      <c r="CG1445" s="1645"/>
      <c r="CH1445" s="1645"/>
      <c r="CI1445" s="1645"/>
      <c r="CJ1445" s="1645"/>
      <c r="CK1445" s="1645"/>
      <c r="CL1445" s="1645"/>
      <c r="CM1445" s="1645"/>
      <c r="CN1445" s="1645"/>
      <c r="CO1445" s="1645"/>
      <c r="CP1445" s="1136"/>
      <c r="CQ1445" s="1136"/>
      <c r="CR1445" s="1136"/>
      <c r="CS1445" s="1136"/>
      <c r="CT1445" s="1136"/>
      <c r="CU1445" s="1136"/>
      <c r="CV1445" s="1136"/>
      <c r="CW1445" s="1136"/>
      <c r="CX1445" s="1136"/>
      <c r="CY1445" s="1136"/>
      <c r="CZ1445" s="1136"/>
      <c r="DA1445" s="1136"/>
      <c r="DB1445" s="1136"/>
      <c r="DC1445" s="1136"/>
      <c r="DD1445" s="1136"/>
      <c r="DE1445" s="1136"/>
      <c r="DF1445" s="1136"/>
      <c r="DG1445" s="1136"/>
      <c r="DH1445" s="1136"/>
      <c r="DI1445" s="1136"/>
    </row>
    <row r="1446" spans="1:113" ht="15" x14ac:dyDescent="0.2">
      <c r="A1446" s="1136"/>
      <c r="B1446" s="1136"/>
      <c r="C1446" s="1136"/>
      <c r="D1446" s="1136"/>
      <c r="E1446" s="1136"/>
      <c r="F1446" s="1136"/>
      <c r="G1446" s="1136"/>
      <c r="H1446" s="1070"/>
      <c r="I1446" s="1645"/>
      <c r="J1446" s="1645"/>
      <c r="K1446" s="1645"/>
      <c r="L1446" s="1645"/>
      <c r="M1446" s="1645"/>
      <c r="N1446" s="1645"/>
      <c r="O1446" s="1645"/>
      <c r="P1446" s="1645"/>
      <c r="Q1446" s="1645"/>
      <c r="R1446" s="1645"/>
      <c r="S1446" s="1645"/>
      <c r="T1446" s="1645"/>
      <c r="U1446" s="1645"/>
      <c r="V1446" s="1645"/>
      <c r="W1446" s="1645"/>
      <c r="X1446" s="1645"/>
      <c r="Y1446" s="1645"/>
      <c r="Z1446" s="1645"/>
      <c r="AA1446" s="1645"/>
      <c r="AB1446" s="1645"/>
      <c r="AC1446" s="1645"/>
      <c r="AD1446" s="1645"/>
      <c r="AE1446" s="1645"/>
      <c r="AF1446" s="1645"/>
      <c r="AG1446" s="1645"/>
      <c r="AH1446" s="1645"/>
      <c r="AI1446" s="1645"/>
      <c r="AJ1446" s="1645"/>
      <c r="AK1446" s="1645"/>
      <c r="AL1446" s="1645"/>
      <c r="AM1446" s="1645"/>
      <c r="AN1446" s="1645"/>
      <c r="AO1446" s="1645"/>
      <c r="AP1446" s="1645"/>
      <c r="AQ1446" s="1645"/>
      <c r="AR1446" s="1645"/>
      <c r="AS1446" s="1645"/>
      <c r="AT1446" s="1645"/>
      <c r="AU1446" s="1645"/>
      <c r="AV1446" s="1645"/>
      <c r="AW1446" s="1645"/>
      <c r="AX1446" s="1645"/>
      <c r="AY1446" s="1645"/>
      <c r="AZ1446" s="1645"/>
      <c r="BA1446" s="1645"/>
      <c r="BB1446" s="1645"/>
      <c r="BC1446" s="1645"/>
      <c r="BD1446" s="1645"/>
      <c r="BE1446" s="1645"/>
      <c r="BF1446" s="1645"/>
      <c r="BG1446" s="1645"/>
      <c r="BH1446" s="1645"/>
      <c r="BI1446" s="1645"/>
      <c r="BJ1446" s="1645"/>
      <c r="BK1446" s="1645"/>
      <c r="BL1446" s="1645"/>
      <c r="BM1446" s="1645"/>
      <c r="BN1446" s="1645"/>
      <c r="BO1446" s="1645"/>
      <c r="BP1446" s="1645"/>
      <c r="BQ1446" s="1645"/>
      <c r="BR1446" s="1645"/>
      <c r="BS1446" s="1645"/>
      <c r="BT1446" s="1645"/>
      <c r="BU1446" s="1645"/>
      <c r="BV1446" s="1645"/>
      <c r="BW1446" s="1645"/>
      <c r="BX1446" s="1645"/>
      <c r="BY1446" s="1645"/>
      <c r="BZ1446" s="1645"/>
      <c r="CA1446" s="1645"/>
      <c r="CB1446" s="1645"/>
      <c r="CC1446" s="1645"/>
      <c r="CD1446" s="1645"/>
      <c r="CE1446" s="1645"/>
      <c r="CF1446" s="1645"/>
      <c r="CG1446" s="1645"/>
      <c r="CH1446" s="1645"/>
      <c r="CI1446" s="1645"/>
      <c r="CJ1446" s="1645"/>
      <c r="CK1446" s="1645"/>
      <c r="CL1446" s="1645"/>
      <c r="CM1446" s="1645"/>
      <c r="CN1446" s="1645"/>
      <c r="CO1446" s="1645"/>
      <c r="CP1446" s="1136"/>
      <c r="CQ1446" s="1136"/>
      <c r="CR1446" s="1136"/>
      <c r="CS1446" s="1136"/>
      <c r="CT1446" s="1136"/>
      <c r="CU1446" s="1136"/>
      <c r="CV1446" s="1136"/>
      <c r="CW1446" s="1136"/>
      <c r="CX1446" s="1136"/>
      <c r="CY1446" s="1136"/>
      <c r="CZ1446" s="1136"/>
      <c r="DA1446" s="1136"/>
      <c r="DB1446" s="1136"/>
      <c r="DC1446" s="1136"/>
      <c r="DD1446" s="1136"/>
      <c r="DE1446" s="1136"/>
      <c r="DF1446" s="1136"/>
      <c r="DG1446" s="1136"/>
      <c r="DH1446" s="1136"/>
      <c r="DI1446" s="1136"/>
    </row>
    <row r="1447" spans="1:113" ht="15" x14ac:dyDescent="0.2">
      <c r="A1447" s="1136"/>
      <c r="B1447" s="1136"/>
      <c r="C1447" s="1136"/>
      <c r="D1447" s="1136"/>
      <c r="E1447" s="1136"/>
      <c r="F1447" s="1136"/>
      <c r="G1447" s="1136"/>
      <c r="H1447" s="1070"/>
      <c r="I1447" s="1645"/>
      <c r="J1447" s="1645"/>
      <c r="K1447" s="1645"/>
      <c r="L1447" s="1645"/>
      <c r="M1447" s="1645"/>
      <c r="N1447" s="1645"/>
      <c r="O1447" s="1645"/>
      <c r="P1447" s="1645"/>
      <c r="Q1447" s="1645"/>
      <c r="R1447" s="1645"/>
      <c r="S1447" s="1645"/>
      <c r="T1447" s="1645"/>
      <c r="U1447" s="1645"/>
      <c r="V1447" s="1645"/>
      <c r="W1447" s="1645"/>
      <c r="X1447" s="1645"/>
      <c r="Y1447" s="1645"/>
      <c r="Z1447" s="1645"/>
      <c r="AA1447" s="1645"/>
      <c r="AB1447" s="1645"/>
      <c r="AC1447" s="1645"/>
      <c r="AD1447" s="1645"/>
      <c r="AE1447" s="1645"/>
      <c r="AF1447" s="1645"/>
      <c r="AG1447" s="1645"/>
      <c r="AH1447" s="1645"/>
      <c r="AI1447" s="1645"/>
      <c r="AJ1447" s="1645"/>
      <c r="AK1447" s="1645"/>
      <c r="AL1447" s="1645"/>
      <c r="AM1447" s="1645"/>
      <c r="AN1447" s="1645"/>
      <c r="AO1447" s="1645"/>
      <c r="AP1447" s="1645"/>
      <c r="AQ1447" s="1645"/>
      <c r="AR1447" s="1645"/>
      <c r="AS1447" s="1645"/>
      <c r="AT1447" s="1645"/>
      <c r="AU1447" s="1645"/>
      <c r="AV1447" s="1645"/>
      <c r="AW1447" s="1645"/>
      <c r="AX1447" s="1645"/>
      <c r="AY1447" s="1645"/>
      <c r="AZ1447" s="1645"/>
      <c r="BA1447" s="1645"/>
      <c r="BB1447" s="1645"/>
      <c r="BC1447" s="1645"/>
      <c r="BD1447" s="1645"/>
      <c r="BE1447" s="1645"/>
      <c r="BF1447" s="1645"/>
      <c r="BG1447" s="1645"/>
      <c r="BH1447" s="1645"/>
      <c r="BI1447" s="1645"/>
      <c r="BJ1447" s="1645"/>
      <c r="BK1447" s="1645"/>
      <c r="BL1447" s="1645"/>
      <c r="BM1447" s="1645"/>
      <c r="BN1447" s="1645"/>
      <c r="BO1447" s="1645"/>
      <c r="BP1447" s="1645"/>
      <c r="BQ1447" s="1645"/>
      <c r="BR1447" s="1645"/>
      <c r="BS1447" s="1645"/>
      <c r="BT1447" s="1645"/>
      <c r="BU1447" s="1645"/>
      <c r="BV1447" s="1645"/>
      <c r="BW1447" s="1645"/>
      <c r="BX1447" s="1645"/>
      <c r="BY1447" s="1645"/>
      <c r="BZ1447" s="1645"/>
      <c r="CA1447" s="1645"/>
      <c r="CB1447" s="1645"/>
      <c r="CC1447" s="1645"/>
      <c r="CD1447" s="1645"/>
      <c r="CE1447" s="1645"/>
      <c r="CF1447" s="1645"/>
      <c r="CG1447" s="1645"/>
      <c r="CH1447" s="1645"/>
      <c r="CI1447" s="1645"/>
      <c r="CJ1447" s="1645"/>
      <c r="CK1447" s="1645"/>
      <c r="CL1447" s="1645"/>
      <c r="CM1447" s="1645"/>
      <c r="CN1447" s="1645"/>
      <c r="CO1447" s="1645"/>
      <c r="CP1447" s="1136"/>
      <c r="CQ1447" s="1136"/>
      <c r="CR1447" s="1136"/>
      <c r="CS1447" s="1136"/>
      <c r="CT1447" s="1136"/>
      <c r="CU1447" s="1136"/>
      <c r="CV1447" s="1136"/>
      <c r="CW1447" s="1136"/>
      <c r="CX1447" s="1136"/>
      <c r="CY1447" s="1136"/>
      <c r="CZ1447" s="1136"/>
      <c r="DA1447" s="1136"/>
      <c r="DB1447" s="1136"/>
      <c r="DC1447" s="1136"/>
      <c r="DD1447" s="1136"/>
      <c r="DE1447" s="1136"/>
      <c r="DF1447" s="1136"/>
      <c r="DG1447" s="1136"/>
      <c r="DH1447" s="1136"/>
      <c r="DI1447" s="1136"/>
    </row>
    <row r="1448" spans="1:113" ht="15" x14ac:dyDescent="0.2">
      <c r="A1448" s="1136"/>
      <c r="B1448" s="1136"/>
      <c r="C1448" s="1136"/>
      <c r="D1448" s="1136"/>
      <c r="E1448" s="1136"/>
      <c r="F1448" s="1136"/>
      <c r="G1448" s="1136"/>
      <c r="H1448" s="1070"/>
      <c r="I1448" s="1645"/>
      <c r="J1448" s="1645"/>
      <c r="K1448" s="1645"/>
      <c r="L1448" s="1645"/>
      <c r="M1448" s="1645"/>
      <c r="N1448" s="1645"/>
      <c r="O1448" s="1645"/>
      <c r="P1448" s="1645"/>
      <c r="Q1448" s="1645"/>
      <c r="R1448" s="1645"/>
      <c r="S1448" s="1645"/>
      <c r="T1448" s="1645"/>
      <c r="U1448" s="1645"/>
      <c r="V1448" s="1645"/>
      <c r="W1448" s="1645"/>
      <c r="X1448" s="1645"/>
      <c r="Y1448" s="1645"/>
      <c r="Z1448" s="1645"/>
      <c r="AA1448" s="1645"/>
      <c r="AB1448" s="1645"/>
      <c r="AC1448" s="1645"/>
      <c r="AD1448" s="1645"/>
      <c r="AE1448" s="1645"/>
      <c r="AF1448" s="1645"/>
      <c r="AG1448" s="1645"/>
      <c r="AH1448" s="1645"/>
      <c r="AI1448" s="1645"/>
      <c r="AJ1448" s="1645"/>
      <c r="AK1448" s="1645"/>
      <c r="AL1448" s="1645"/>
      <c r="AM1448" s="1645"/>
      <c r="AN1448" s="1645"/>
      <c r="AO1448" s="1645"/>
      <c r="AP1448" s="1645"/>
      <c r="AQ1448" s="1645"/>
      <c r="AR1448" s="1645"/>
      <c r="AS1448" s="1645"/>
      <c r="AT1448" s="1645"/>
      <c r="AU1448" s="1645"/>
      <c r="AV1448" s="1645"/>
      <c r="AW1448" s="1645"/>
      <c r="AX1448" s="1645"/>
      <c r="AY1448" s="1645"/>
      <c r="AZ1448" s="1645"/>
      <c r="BA1448" s="1645"/>
      <c r="BB1448" s="1645"/>
      <c r="BC1448" s="1645"/>
      <c r="BD1448" s="1645"/>
      <c r="BE1448" s="1645"/>
      <c r="BF1448" s="1645"/>
      <c r="BG1448" s="1645"/>
      <c r="BH1448" s="1645"/>
      <c r="BI1448" s="1645"/>
      <c r="BJ1448" s="1645"/>
      <c r="BK1448" s="1645"/>
      <c r="BL1448" s="1645"/>
      <c r="BM1448" s="1645"/>
      <c r="BN1448" s="1645"/>
      <c r="BO1448" s="1645"/>
      <c r="BP1448" s="1645"/>
      <c r="BQ1448" s="1645"/>
      <c r="BR1448" s="1645"/>
      <c r="BS1448" s="1645"/>
      <c r="BT1448" s="1645"/>
      <c r="BU1448" s="1645"/>
      <c r="BV1448" s="1645"/>
      <c r="BW1448" s="1645"/>
      <c r="BX1448" s="1645"/>
      <c r="BY1448" s="1645"/>
      <c r="BZ1448" s="1645"/>
      <c r="CA1448" s="1645"/>
      <c r="CB1448" s="1645"/>
      <c r="CC1448" s="1645"/>
      <c r="CD1448" s="1645"/>
      <c r="CE1448" s="1645"/>
      <c r="CF1448" s="1645"/>
      <c r="CG1448" s="1645"/>
      <c r="CH1448" s="1645"/>
      <c r="CI1448" s="1645"/>
      <c r="CJ1448" s="1645"/>
      <c r="CK1448" s="1645"/>
      <c r="CL1448" s="1645"/>
      <c r="CM1448" s="1645"/>
      <c r="CN1448" s="1645"/>
      <c r="CO1448" s="1645"/>
      <c r="CP1448" s="1136"/>
      <c r="CQ1448" s="1136"/>
      <c r="CR1448" s="1136"/>
      <c r="CS1448" s="1136"/>
      <c r="CT1448" s="1136"/>
      <c r="CU1448" s="1136"/>
      <c r="CV1448" s="1136"/>
      <c r="CW1448" s="1136"/>
      <c r="CX1448" s="1136"/>
      <c r="CY1448" s="1136"/>
      <c r="CZ1448" s="1136"/>
      <c r="DA1448" s="1136"/>
      <c r="DB1448" s="1136"/>
      <c r="DC1448" s="1136"/>
      <c r="DD1448" s="1136"/>
      <c r="DE1448" s="1136"/>
      <c r="DF1448" s="1136"/>
      <c r="DG1448" s="1136"/>
      <c r="DH1448" s="1136"/>
      <c r="DI1448" s="1136"/>
    </row>
    <row r="1449" spans="1:113" ht="15" x14ac:dyDescent="0.2">
      <c r="A1449" s="1136"/>
      <c r="B1449" s="1136"/>
      <c r="C1449" s="1136"/>
      <c r="D1449" s="1136"/>
      <c r="E1449" s="1136"/>
      <c r="F1449" s="1136"/>
      <c r="G1449" s="1136"/>
      <c r="H1449" s="1070"/>
      <c r="I1449" s="1645"/>
      <c r="J1449" s="1645"/>
      <c r="K1449" s="1645"/>
      <c r="L1449" s="1645"/>
      <c r="M1449" s="1645"/>
      <c r="N1449" s="1645"/>
      <c r="O1449" s="1645"/>
      <c r="P1449" s="1645"/>
      <c r="Q1449" s="1645"/>
      <c r="R1449" s="1645"/>
      <c r="S1449" s="1645"/>
      <c r="T1449" s="1645"/>
      <c r="U1449" s="1645"/>
      <c r="V1449" s="1645"/>
      <c r="W1449" s="1645"/>
      <c r="X1449" s="1645"/>
      <c r="Y1449" s="1645"/>
      <c r="Z1449" s="1645"/>
      <c r="AA1449" s="1645"/>
      <c r="AB1449" s="1645"/>
      <c r="AC1449" s="1645"/>
      <c r="AD1449" s="1645"/>
      <c r="AE1449" s="1645"/>
      <c r="AF1449" s="1645"/>
      <c r="AG1449" s="1645"/>
      <c r="AH1449" s="1645"/>
      <c r="AI1449" s="1645"/>
      <c r="AJ1449" s="1645"/>
      <c r="AK1449" s="1645"/>
      <c r="AL1449" s="1645"/>
      <c r="AM1449" s="1645"/>
      <c r="AN1449" s="1645"/>
      <c r="AO1449" s="1645"/>
      <c r="AP1449" s="1645"/>
      <c r="AQ1449" s="1645"/>
      <c r="AR1449" s="1645"/>
      <c r="AS1449" s="1645"/>
      <c r="AT1449" s="1645"/>
      <c r="AU1449" s="1645"/>
      <c r="AV1449" s="1645"/>
      <c r="AW1449" s="1645"/>
      <c r="AX1449" s="1645"/>
      <c r="AY1449" s="1645"/>
      <c r="AZ1449" s="1645"/>
      <c r="BA1449" s="1645"/>
      <c r="BB1449" s="1645"/>
      <c r="BC1449" s="1645"/>
      <c r="BD1449" s="1645"/>
      <c r="BE1449" s="1645"/>
      <c r="BF1449" s="1645"/>
      <c r="BG1449" s="1645"/>
      <c r="BH1449" s="1645"/>
      <c r="BI1449" s="1645"/>
      <c r="BJ1449" s="1645"/>
      <c r="BK1449" s="1645"/>
      <c r="BL1449" s="1645"/>
      <c r="BM1449" s="1645"/>
      <c r="BN1449" s="1645"/>
      <c r="BO1449" s="1645"/>
      <c r="BP1449" s="1645"/>
      <c r="BQ1449" s="1645"/>
      <c r="BR1449" s="1645"/>
      <c r="BS1449" s="1645"/>
      <c r="BT1449" s="1645"/>
      <c r="BU1449" s="1645"/>
      <c r="BV1449" s="1645"/>
      <c r="BW1449" s="1645"/>
      <c r="BX1449" s="1645"/>
      <c r="BY1449" s="1645"/>
      <c r="BZ1449" s="1645"/>
      <c r="CA1449" s="1645"/>
      <c r="CB1449" s="1645"/>
      <c r="CC1449" s="1645"/>
      <c r="CD1449" s="1645"/>
      <c r="CE1449" s="1645"/>
      <c r="CF1449" s="1645"/>
      <c r="CG1449" s="1645"/>
      <c r="CH1449" s="1645"/>
      <c r="CI1449" s="1645"/>
      <c r="CJ1449" s="1645"/>
      <c r="CK1449" s="1645"/>
      <c r="CL1449" s="1645"/>
      <c r="CM1449" s="1645"/>
      <c r="CN1449" s="1645"/>
      <c r="CO1449" s="1645"/>
      <c r="CP1449" s="1136"/>
      <c r="CQ1449" s="1136"/>
      <c r="CR1449" s="1136"/>
      <c r="CS1449" s="1136"/>
      <c r="CT1449" s="1136"/>
      <c r="CU1449" s="1136"/>
      <c r="CV1449" s="1136"/>
      <c r="CW1449" s="1136"/>
      <c r="CX1449" s="1136"/>
      <c r="CY1449" s="1136"/>
      <c r="CZ1449" s="1136"/>
      <c r="DA1449" s="1136"/>
      <c r="DB1449" s="1136"/>
      <c r="DC1449" s="1136"/>
      <c r="DD1449" s="1136"/>
      <c r="DE1449" s="1136"/>
      <c r="DF1449" s="1136"/>
      <c r="DG1449" s="1136"/>
      <c r="DH1449" s="1136"/>
      <c r="DI1449" s="1136"/>
    </row>
    <row r="1450" spans="1:113" ht="15" x14ac:dyDescent="0.2">
      <c r="A1450" s="1136"/>
      <c r="B1450" s="1136"/>
      <c r="C1450" s="1136"/>
      <c r="D1450" s="1136"/>
      <c r="E1450" s="1136"/>
      <c r="F1450" s="1136"/>
      <c r="G1450" s="1136"/>
      <c r="H1450" s="1070"/>
      <c r="I1450" s="1645"/>
      <c r="J1450" s="1645"/>
      <c r="K1450" s="1645"/>
      <c r="L1450" s="1645"/>
      <c r="M1450" s="1645"/>
      <c r="N1450" s="1645"/>
      <c r="O1450" s="1645"/>
      <c r="P1450" s="1645"/>
      <c r="Q1450" s="1645"/>
      <c r="R1450" s="1645"/>
      <c r="S1450" s="1645"/>
      <c r="T1450" s="1645"/>
      <c r="U1450" s="1645"/>
      <c r="V1450" s="1645"/>
      <c r="W1450" s="1645"/>
      <c r="X1450" s="1645"/>
      <c r="Y1450" s="1645"/>
      <c r="Z1450" s="1645"/>
      <c r="AA1450" s="1645"/>
      <c r="AB1450" s="1645"/>
      <c r="AC1450" s="1645"/>
      <c r="AD1450" s="1645"/>
      <c r="AE1450" s="1645"/>
      <c r="AF1450" s="1645"/>
      <c r="AG1450" s="1645"/>
      <c r="AH1450" s="1645"/>
      <c r="AI1450" s="1645"/>
      <c r="AJ1450" s="1645"/>
      <c r="AK1450" s="1645"/>
      <c r="AL1450" s="1645"/>
      <c r="AM1450" s="1645"/>
      <c r="AN1450" s="1645"/>
      <c r="AO1450" s="1645"/>
      <c r="AP1450" s="1645"/>
      <c r="AQ1450" s="1645"/>
      <c r="AR1450" s="1645"/>
      <c r="AS1450" s="1645"/>
      <c r="AT1450" s="1645"/>
      <c r="AU1450" s="1645"/>
      <c r="AV1450" s="1645"/>
      <c r="AW1450" s="1645"/>
      <c r="AX1450" s="1645"/>
      <c r="AY1450" s="1645"/>
      <c r="AZ1450" s="1645"/>
      <c r="BA1450" s="1645"/>
      <c r="BB1450" s="1645"/>
      <c r="BC1450" s="1645"/>
      <c r="BD1450" s="1645"/>
      <c r="BE1450" s="1645"/>
      <c r="BF1450" s="1645"/>
      <c r="BG1450" s="1645"/>
      <c r="BH1450" s="1645"/>
      <c r="BI1450" s="1645"/>
      <c r="BJ1450" s="1645"/>
      <c r="BK1450" s="1645"/>
      <c r="BL1450" s="1645"/>
      <c r="BM1450" s="1645"/>
      <c r="BN1450" s="1645"/>
      <c r="BO1450" s="1645"/>
      <c r="BP1450" s="1645"/>
      <c r="BQ1450" s="1645"/>
      <c r="BR1450" s="1645"/>
      <c r="BS1450" s="1645"/>
      <c r="BT1450" s="1645"/>
      <c r="BU1450" s="1645"/>
      <c r="BV1450" s="1645"/>
      <c r="BW1450" s="1645"/>
      <c r="BX1450" s="1645"/>
      <c r="BY1450" s="1645"/>
      <c r="BZ1450" s="1645"/>
      <c r="CA1450" s="1645"/>
      <c r="CB1450" s="1645"/>
      <c r="CC1450" s="1645"/>
      <c r="CD1450" s="1645"/>
      <c r="CE1450" s="1645"/>
      <c r="CF1450" s="1645"/>
      <c r="CG1450" s="1645"/>
      <c r="CH1450" s="1645"/>
      <c r="CI1450" s="1645"/>
      <c r="CJ1450" s="1645"/>
      <c r="CK1450" s="1645"/>
      <c r="CL1450" s="1645"/>
      <c r="CM1450" s="1645"/>
      <c r="CN1450" s="1645"/>
      <c r="CO1450" s="1645"/>
      <c r="CP1450" s="1136"/>
      <c r="CQ1450" s="1136"/>
      <c r="CR1450" s="1136"/>
      <c r="CS1450" s="1136"/>
      <c r="CT1450" s="1136"/>
      <c r="CU1450" s="1136"/>
      <c r="CV1450" s="1136"/>
      <c r="CW1450" s="1136"/>
      <c r="CX1450" s="1136"/>
      <c r="CY1450" s="1136"/>
      <c r="CZ1450" s="1136"/>
      <c r="DA1450" s="1136"/>
      <c r="DB1450" s="1136"/>
      <c r="DC1450" s="1136"/>
      <c r="DD1450" s="1136"/>
      <c r="DE1450" s="1136"/>
      <c r="DF1450" s="1136"/>
      <c r="DG1450" s="1136"/>
      <c r="DH1450" s="1136"/>
      <c r="DI1450" s="1136"/>
    </row>
    <row r="1451" spans="1:113" ht="15" x14ac:dyDescent="0.2">
      <c r="A1451" s="1136"/>
      <c r="B1451" s="1136"/>
      <c r="C1451" s="1136"/>
      <c r="D1451" s="1136"/>
      <c r="E1451" s="1136"/>
      <c r="F1451" s="1136"/>
      <c r="G1451" s="1136"/>
      <c r="H1451" s="1070"/>
      <c r="I1451" s="1645"/>
      <c r="J1451" s="1645"/>
      <c r="K1451" s="1645"/>
      <c r="L1451" s="1645"/>
      <c r="M1451" s="1645"/>
      <c r="N1451" s="1645"/>
      <c r="O1451" s="1645"/>
      <c r="P1451" s="1645"/>
      <c r="Q1451" s="1645"/>
      <c r="R1451" s="1645"/>
      <c r="S1451" s="1645"/>
      <c r="T1451" s="1645"/>
      <c r="U1451" s="1645"/>
      <c r="V1451" s="1645"/>
      <c r="W1451" s="1645"/>
      <c r="X1451" s="1645"/>
      <c r="Y1451" s="1645"/>
      <c r="Z1451" s="1645"/>
      <c r="AA1451" s="1645"/>
      <c r="AB1451" s="1645"/>
      <c r="AC1451" s="1645"/>
      <c r="AD1451" s="1645"/>
      <c r="AE1451" s="1645"/>
      <c r="AF1451" s="1645"/>
      <c r="AG1451" s="1645"/>
      <c r="AH1451" s="1645"/>
      <c r="AI1451" s="1645"/>
      <c r="AJ1451" s="1645"/>
      <c r="AK1451" s="1645"/>
      <c r="AL1451" s="1645"/>
      <c r="AM1451" s="1645"/>
      <c r="AN1451" s="1645"/>
      <c r="AO1451" s="1645"/>
      <c r="AP1451" s="1645"/>
      <c r="AQ1451" s="1645"/>
      <c r="AR1451" s="1645"/>
      <c r="AS1451" s="1645"/>
      <c r="AT1451" s="1645"/>
      <c r="AU1451" s="1645"/>
      <c r="AV1451" s="1645"/>
      <c r="AW1451" s="1645"/>
      <c r="AX1451" s="1645"/>
      <c r="AY1451" s="1645"/>
      <c r="AZ1451" s="1645"/>
      <c r="BA1451" s="1645"/>
      <c r="BB1451" s="1645"/>
      <c r="BC1451" s="1645"/>
      <c r="BD1451" s="1645"/>
      <c r="BE1451" s="1645"/>
      <c r="BF1451" s="1645"/>
      <c r="BG1451" s="1645"/>
      <c r="BH1451" s="1645"/>
      <c r="BI1451" s="1645"/>
      <c r="BJ1451" s="1645"/>
      <c r="BK1451" s="1645"/>
      <c r="BL1451" s="1645"/>
      <c r="BM1451" s="1645"/>
      <c r="BN1451" s="1645"/>
      <c r="BO1451" s="1645"/>
      <c r="BP1451" s="1645"/>
      <c r="BQ1451" s="1645"/>
      <c r="BR1451" s="1645"/>
      <c r="BS1451" s="1645"/>
      <c r="BT1451" s="1645"/>
      <c r="BU1451" s="1645"/>
      <c r="BV1451" s="1645"/>
      <c r="BW1451" s="1645"/>
      <c r="BX1451" s="1645"/>
      <c r="BY1451" s="1645"/>
      <c r="BZ1451" s="1645"/>
      <c r="CA1451" s="1645"/>
      <c r="CB1451" s="1645"/>
      <c r="CC1451" s="1645"/>
      <c r="CD1451" s="1645"/>
      <c r="CE1451" s="1645"/>
      <c r="CF1451" s="1645"/>
      <c r="CG1451" s="1645"/>
      <c r="CH1451" s="1645"/>
      <c r="CI1451" s="1645"/>
      <c r="CJ1451" s="1645"/>
      <c r="CK1451" s="1645"/>
      <c r="CL1451" s="1645"/>
      <c r="CM1451" s="1645"/>
      <c r="CN1451" s="1645"/>
      <c r="CO1451" s="1645"/>
      <c r="CP1451" s="1136"/>
      <c r="CQ1451" s="1136"/>
      <c r="CR1451" s="1136"/>
      <c r="CS1451" s="1136"/>
      <c r="CT1451" s="1136"/>
      <c r="CU1451" s="1136"/>
      <c r="CV1451" s="1136"/>
      <c r="CW1451" s="1136"/>
      <c r="CX1451" s="1136"/>
      <c r="CY1451" s="1136"/>
      <c r="CZ1451" s="1136"/>
      <c r="DA1451" s="1136"/>
      <c r="DB1451" s="1136"/>
      <c r="DC1451" s="1136"/>
      <c r="DD1451" s="1136"/>
      <c r="DE1451" s="1136"/>
      <c r="DF1451" s="1136"/>
      <c r="DG1451" s="1136"/>
      <c r="DH1451" s="1136"/>
      <c r="DI1451" s="1136"/>
    </row>
    <row r="1452" spans="1:113" ht="15" x14ac:dyDescent="0.2">
      <c r="A1452" s="1136"/>
      <c r="B1452" s="1136"/>
      <c r="C1452" s="1136"/>
      <c r="D1452" s="1136"/>
      <c r="E1452" s="1136"/>
      <c r="F1452" s="1136"/>
      <c r="G1452" s="1136"/>
      <c r="H1452" s="1070"/>
      <c r="I1452" s="1645"/>
      <c r="J1452" s="1645"/>
      <c r="K1452" s="1645"/>
      <c r="L1452" s="1645"/>
      <c r="M1452" s="1645"/>
      <c r="N1452" s="1645"/>
      <c r="O1452" s="1645"/>
      <c r="P1452" s="1645"/>
      <c r="Q1452" s="1645"/>
      <c r="R1452" s="1645"/>
      <c r="S1452" s="1645"/>
      <c r="T1452" s="1645"/>
      <c r="U1452" s="1645"/>
      <c r="V1452" s="1645"/>
      <c r="W1452" s="1645"/>
      <c r="X1452" s="1645"/>
      <c r="Y1452" s="1645"/>
      <c r="Z1452" s="1645"/>
      <c r="AA1452" s="1645"/>
      <c r="AB1452" s="1645"/>
      <c r="AC1452" s="1645"/>
      <c r="AD1452" s="1645"/>
      <c r="AE1452" s="1645"/>
      <c r="AF1452" s="1645"/>
      <c r="AG1452" s="1645"/>
      <c r="AH1452" s="1645"/>
      <c r="AI1452" s="1645"/>
      <c r="AJ1452" s="1645"/>
      <c r="AK1452" s="1645"/>
      <c r="AL1452" s="1645"/>
      <c r="AM1452" s="1645"/>
      <c r="AN1452" s="1645"/>
      <c r="AO1452" s="1645"/>
      <c r="AP1452" s="1645"/>
      <c r="AQ1452" s="1645"/>
      <c r="AR1452" s="1645"/>
      <c r="AS1452" s="1645"/>
      <c r="AT1452" s="1645"/>
      <c r="AU1452" s="1645"/>
      <c r="AV1452" s="1645"/>
      <c r="AW1452" s="1645"/>
      <c r="AX1452" s="1645"/>
      <c r="AY1452" s="1645"/>
      <c r="AZ1452" s="1645"/>
      <c r="BA1452" s="1645"/>
      <c r="BB1452" s="1645"/>
      <c r="BC1452" s="1645"/>
      <c r="BD1452" s="1645"/>
      <c r="BE1452" s="1645"/>
      <c r="BF1452" s="1645"/>
      <c r="BG1452" s="1645"/>
      <c r="BH1452" s="1645"/>
      <c r="BI1452" s="1645"/>
      <c r="BJ1452" s="1645"/>
      <c r="BK1452" s="1645"/>
      <c r="BL1452" s="1645"/>
      <c r="BM1452" s="1645"/>
      <c r="BN1452" s="1645"/>
      <c r="BO1452" s="1645"/>
      <c r="BP1452" s="1645"/>
      <c r="BQ1452" s="1645"/>
      <c r="BR1452" s="1645"/>
      <c r="BS1452" s="1645"/>
      <c r="BT1452" s="1645"/>
      <c r="BU1452" s="1645"/>
      <c r="BV1452" s="1645"/>
      <c r="BW1452" s="1645"/>
      <c r="BX1452" s="1645"/>
      <c r="BY1452" s="1645"/>
      <c r="BZ1452" s="1645"/>
      <c r="CA1452" s="1645"/>
      <c r="CB1452" s="1645"/>
      <c r="CC1452" s="1645"/>
      <c r="CD1452" s="1645"/>
      <c r="CE1452" s="1645"/>
      <c r="CF1452" s="1645"/>
      <c r="CG1452" s="1645"/>
      <c r="CH1452" s="1645"/>
      <c r="CI1452" s="1645"/>
      <c r="CJ1452" s="1645"/>
      <c r="CK1452" s="1645"/>
      <c r="CL1452" s="1645"/>
      <c r="CM1452" s="1645"/>
      <c r="CN1452" s="1645"/>
      <c r="CO1452" s="1645"/>
      <c r="CP1452" s="1136"/>
      <c r="CQ1452" s="1136"/>
      <c r="CR1452" s="1136"/>
      <c r="CS1452" s="1136"/>
      <c r="CT1452" s="1136"/>
      <c r="CU1452" s="1136"/>
      <c r="CV1452" s="1136"/>
      <c r="CW1452" s="1136"/>
      <c r="CX1452" s="1136"/>
      <c r="CY1452" s="1136"/>
      <c r="CZ1452" s="1136"/>
      <c r="DA1452" s="1136"/>
      <c r="DB1452" s="1136"/>
      <c r="DC1452" s="1136"/>
      <c r="DD1452" s="1136"/>
      <c r="DE1452" s="1136"/>
      <c r="DF1452" s="1136"/>
      <c r="DG1452" s="1136"/>
      <c r="DH1452" s="1136"/>
      <c r="DI1452" s="1136"/>
    </row>
    <row r="1453" spans="1:113" ht="15" x14ac:dyDescent="0.2">
      <c r="A1453" s="1136"/>
      <c r="B1453" s="1136"/>
      <c r="C1453" s="1136"/>
      <c r="D1453" s="1136"/>
      <c r="E1453" s="1136"/>
      <c r="F1453" s="1136"/>
      <c r="G1453" s="1136"/>
      <c r="H1453" s="1070"/>
      <c r="I1453" s="1645"/>
      <c r="J1453" s="1645"/>
      <c r="K1453" s="1645"/>
      <c r="L1453" s="1645"/>
      <c r="M1453" s="1645"/>
      <c r="N1453" s="1645"/>
      <c r="O1453" s="1645"/>
      <c r="P1453" s="1645"/>
      <c r="Q1453" s="1645"/>
      <c r="R1453" s="1645"/>
      <c r="S1453" s="1645"/>
      <c r="T1453" s="1645"/>
      <c r="U1453" s="1645"/>
      <c r="V1453" s="1645"/>
      <c r="W1453" s="1645"/>
      <c r="X1453" s="1645"/>
      <c r="Y1453" s="1645"/>
      <c r="Z1453" s="1645"/>
      <c r="AA1453" s="1645"/>
      <c r="AB1453" s="1645"/>
      <c r="AC1453" s="1645"/>
      <c r="AD1453" s="1645"/>
      <c r="AE1453" s="1645"/>
      <c r="AF1453" s="1645"/>
      <c r="AG1453" s="1645"/>
      <c r="AH1453" s="1645"/>
      <c r="AI1453" s="1645"/>
      <c r="AJ1453" s="1645"/>
      <c r="AK1453" s="1645"/>
      <c r="AL1453" s="1645"/>
      <c r="AM1453" s="1645"/>
      <c r="AN1453" s="1645"/>
      <c r="AO1453" s="1645"/>
      <c r="AP1453" s="1645"/>
      <c r="AQ1453" s="1645"/>
      <c r="AR1453" s="1645"/>
      <c r="AS1453" s="1645"/>
      <c r="AT1453" s="1645"/>
      <c r="AU1453" s="1645"/>
      <c r="AV1453" s="1645"/>
      <c r="AW1453" s="1645"/>
      <c r="AX1453" s="1645"/>
      <c r="AY1453" s="1645"/>
      <c r="AZ1453" s="1645"/>
      <c r="BA1453" s="1645"/>
      <c r="BB1453" s="1645"/>
      <c r="BC1453" s="1645"/>
      <c r="BD1453" s="1645"/>
      <c r="BE1453" s="1645"/>
      <c r="BF1453" s="1645"/>
      <c r="BG1453" s="1645"/>
      <c r="BH1453" s="1645"/>
      <c r="BI1453" s="1645"/>
      <c r="BJ1453" s="1645"/>
      <c r="BK1453" s="1645"/>
      <c r="BL1453" s="1645"/>
      <c r="BM1453" s="1645"/>
      <c r="BN1453" s="1645"/>
      <c r="BO1453" s="1645"/>
      <c r="BP1453" s="1645"/>
      <c r="BQ1453" s="1645"/>
      <c r="BR1453" s="1645"/>
      <c r="BS1453" s="1645"/>
      <c r="BT1453" s="1645"/>
      <c r="BU1453" s="1645"/>
      <c r="BV1453" s="1645"/>
      <c r="BW1453" s="1645"/>
      <c r="BX1453" s="1645"/>
      <c r="BY1453" s="1645"/>
      <c r="BZ1453" s="1645"/>
      <c r="CA1453" s="1645"/>
      <c r="CB1453" s="1645"/>
      <c r="CC1453" s="1645"/>
      <c r="CD1453" s="1645"/>
      <c r="CE1453" s="1645"/>
      <c r="CF1453" s="1645"/>
      <c r="CG1453" s="1645"/>
      <c r="CH1453" s="1645"/>
      <c r="CI1453" s="1645"/>
      <c r="CJ1453" s="1645"/>
      <c r="CK1453" s="1645"/>
      <c r="CL1453" s="1645"/>
      <c r="CM1453" s="1645"/>
      <c r="CN1453" s="1645"/>
      <c r="CO1453" s="1645"/>
      <c r="CP1453" s="1136"/>
      <c r="CQ1453" s="1136"/>
      <c r="CR1453" s="1136"/>
      <c r="CS1453" s="1136"/>
      <c r="CT1453" s="1136"/>
      <c r="CU1453" s="1136"/>
      <c r="CV1453" s="1136"/>
      <c r="CW1453" s="1136"/>
      <c r="CX1453" s="1136"/>
      <c r="CY1453" s="1136"/>
      <c r="CZ1453" s="1136"/>
      <c r="DA1453" s="1136"/>
      <c r="DB1453" s="1136"/>
      <c r="DC1453" s="1136"/>
      <c r="DD1453" s="1136"/>
      <c r="DE1453" s="1136"/>
      <c r="DF1453" s="1136"/>
      <c r="DG1453" s="1136"/>
      <c r="DH1453" s="1136"/>
      <c r="DI1453" s="1136"/>
    </row>
    <row r="1454" spans="1:113" ht="15" x14ac:dyDescent="0.2">
      <c r="A1454" s="1136"/>
      <c r="B1454" s="1136"/>
      <c r="C1454" s="1136"/>
      <c r="D1454" s="1136"/>
      <c r="E1454" s="1136"/>
      <c r="F1454" s="1136"/>
      <c r="G1454" s="1136"/>
      <c r="H1454" s="1070"/>
      <c r="I1454" s="1645"/>
      <c r="J1454" s="1645"/>
      <c r="K1454" s="1645"/>
      <c r="L1454" s="1645"/>
      <c r="M1454" s="1645"/>
      <c r="N1454" s="1645"/>
      <c r="O1454" s="1645"/>
      <c r="P1454" s="1645"/>
      <c r="Q1454" s="1645"/>
      <c r="R1454" s="1645"/>
      <c r="S1454" s="1645"/>
      <c r="T1454" s="1645"/>
      <c r="U1454" s="1645"/>
      <c r="V1454" s="1645"/>
      <c r="W1454" s="1645"/>
      <c r="X1454" s="1645"/>
      <c r="Y1454" s="1645"/>
      <c r="Z1454" s="1645"/>
      <c r="AA1454" s="1645"/>
      <c r="AB1454" s="1645"/>
      <c r="AC1454" s="1645"/>
      <c r="AD1454" s="1645"/>
      <c r="AE1454" s="1645"/>
      <c r="AF1454" s="1645"/>
      <c r="AG1454" s="1645"/>
      <c r="AH1454" s="1645"/>
      <c r="AI1454" s="1645"/>
      <c r="AJ1454" s="1645"/>
      <c r="AK1454" s="1645"/>
      <c r="AL1454" s="1645"/>
      <c r="AM1454" s="1645"/>
      <c r="AN1454" s="1645"/>
      <c r="AO1454" s="1645"/>
      <c r="AP1454" s="1645"/>
      <c r="AQ1454" s="1645"/>
      <c r="AR1454" s="1645"/>
      <c r="AS1454" s="1645"/>
      <c r="AT1454" s="1645"/>
      <c r="AU1454" s="1645"/>
      <c r="AV1454" s="1645"/>
      <c r="AW1454" s="1645"/>
      <c r="AX1454" s="1645"/>
      <c r="AY1454" s="1645"/>
      <c r="AZ1454" s="1645"/>
      <c r="BA1454" s="1645"/>
      <c r="BB1454" s="1645"/>
      <c r="BC1454" s="1645"/>
      <c r="BD1454" s="1645"/>
      <c r="BE1454" s="1645"/>
      <c r="BF1454" s="1645"/>
      <c r="BG1454" s="1645"/>
      <c r="BH1454" s="1645"/>
      <c r="BI1454" s="1645"/>
      <c r="BJ1454" s="1645"/>
      <c r="BK1454" s="1645"/>
      <c r="BL1454" s="1645"/>
      <c r="BM1454" s="1645"/>
      <c r="BN1454" s="1645"/>
      <c r="BO1454" s="1645"/>
      <c r="BP1454" s="1645"/>
      <c r="BQ1454" s="1645"/>
      <c r="BR1454" s="1645"/>
      <c r="BS1454" s="1645"/>
      <c r="BT1454" s="1645"/>
      <c r="BU1454" s="1645"/>
      <c r="BV1454" s="1645"/>
      <c r="BW1454" s="1645"/>
      <c r="BX1454" s="1645"/>
      <c r="BY1454" s="1645"/>
      <c r="BZ1454" s="1645"/>
      <c r="CA1454" s="1645"/>
      <c r="CB1454" s="1645"/>
      <c r="CC1454" s="1645"/>
      <c r="CD1454" s="1645"/>
      <c r="CE1454" s="1645"/>
      <c r="CF1454" s="1645"/>
      <c r="CG1454" s="1645"/>
      <c r="CH1454" s="1645"/>
      <c r="CI1454" s="1645"/>
      <c r="CJ1454" s="1645"/>
      <c r="CK1454" s="1645"/>
      <c r="CL1454" s="1645"/>
      <c r="CM1454" s="1645"/>
      <c r="CN1454" s="1645"/>
      <c r="CO1454" s="1645"/>
      <c r="CP1454" s="1136"/>
      <c r="CQ1454" s="1136"/>
      <c r="CR1454" s="1136"/>
      <c r="CS1454" s="1136"/>
      <c r="CT1454" s="1136"/>
      <c r="CU1454" s="1136"/>
      <c r="CV1454" s="1136"/>
      <c r="CW1454" s="1136"/>
      <c r="CX1454" s="1136"/>
      <c r="CY1454" s="1136"/>
      <c r="CZ1454" s="1136"/>
      <c r="DA1454" s="1136"/>
      <c r="DB1454" s="1136"/>
      <c r="DC1454" s="1136"/>
      <c r="DD1454" s="1136"/>
      <c r="DE1454" s="1136"/>
      <c r="DF1454" s="1136"/>
      <c r="DG1454" s="1136"/>
      <c r="DH1454" s="1136"/>
      <c r="DI1454" s="1136"/>
    </row>
    <row r="1455" spans="1:113" ht="15" x14ac:dyDescent="0.2">
      <c r="A1455" s="1136"/>
      <c r="B1455" s="1136"/>
      <c r="C1455" s="1136"/>
      <c r="D1455" s="1136"/>
      <c r="E1455" s="1136"/>
      <c r="F1455" s="1136"/>
      <c r="G1455" s="1136"/>
      <c r="H1455" s="1070"/>
      <c r="I1455" s="1645"/>
      <c r="J1455" s="1645"/>
      <c r="K1455" s="1645"/>
      <c r="L1455" s="1645"/>
      <c r="M1455" s="1645"/>
      <c r="N1455" s="1645"/>
      <c r="O1455" s="1645"/>
      <c r="P1455" s="1645"/>
      <c r="Q1455" s="1645"/>
      <c r="R1455" s="1645"/>
      <c r="S1455" s="1645"/>
      <c r="T1455" s="1645"/>
      <c r="U1455" s="1645"/>
      <c r="V1455" s="1645"/>
      <c r="W1455" s="1645"/>
      <c r="X1455" s="1645"/>
      <c r="Y1455" s="1645"/>
      <c r="Z1455" s="1645"/>
      <c r="AA1455" s="1645"/>
      <c r="AB1455" s="1645"/>
      <c r="AC1455" s="1645"/>
      <c r="AD1455" s="1645"/>
      <c r="AE1455" s="1645"/>
      <c r="AF1455" s="1645"/>
      <c r="AG1455" s="1645"/>
      <c r="AH1455" s="1645"/>
      <c r="AI1455" s="1645"/>
      <c r="AJ1455" s="1645"/>
      <c r="AK1455" s="1645"/>
      <c r="AL1455" s="1645"/>
      <c r="AM1455" s="1645"/>
      <c r="AN1455" s="1645"/>
      <c r="AO1455" s="1645"/>
      <c r="AP1455" s="1645"/>
      <c r="AQ1455" s="1645"/>
      <c r="AR1455" s="1645"/>
      <c r="AS1455" s="1645"/>
      <c r="AT1455" s="1645"/>
      <c r="AU1455" s="1645"/>
      <c r="AV1455" s="1645"/>
      <c r="AW1455" s="1645"/>
      <c r="AX1455" s="1645"/>
      <c r="AY1455" s="1645"/>
      <c r="AZ1455" s="1645"/>
      <c r="BA1455" s="1645"/>
      <c r="BB1455" s="1645"/>
      <c r="BC1455" s="1645"/>
      <c r="BD1455" s="1645"/>
      <c r="BE1455" s="1645"/>
      <c r="BF1455" s="1645"/>
      <c r="BG1455" s="1645"/>
      <c r="BH1455" s="1645"/>
      <c r="BI1455" s="1645"/>
      <c r="BJ1455" s="1645"/>
      <c r="BK1455" s="1645"/>
      <c r="BL1455" s="1645"/>
      <c r="BM1455" s="1645"/>
      <c r="BN1455" s="1645"/>
      <c r="BO1455" s="1645"/>
      <c r="BP1455" s="1645"/>
      <c r="BQ1455" s="1645"/>
      <c r="BR1455" s="1645"/>
      <c r="BS1455" s="1645"/>
      <c r="BT1455" s="1645"/>
      <c r="BU1455" s="1645"/>
      <c r="BV1455" s="1645"/>
      <c r="BW1455" s="1645"/>
      <c r="BX1455" s="1645"/>
      <c r="BY1455" s="1645"/>
      <c r="BZ1455" s="1645"/>
      <c r="CA1455" s="1645"/>
      <c r="CB1455" s="1645"/>
      <c r="CC1455" s="1645"/>
      <c r="CD1455" s="1645"/>
      <c r="CE1455" s="1645"/>
      <c r="CF1455" s="1645"/>
      <c r="CG1455" s="1645"/>
      <c r="CH1455" s="1645"/>
      <c r="CI1455" s="1645"/>
      <c r="CJ1455" s="1645"/>
      <c r="CK1455" s="1645"/>
      <c r="CL1455" s="1645"/>
      <c r="CM1455" s="1645"/>
      <c r="CN1455" s="1645"/>
      <c r="CO1455" s="1645"/>
      <c r="CP1455" s="1136"/>
      <c r="CQ1455" s="1136"/>
      <c r="CR1455" s="1136"/>
      <c r="CS1455" s="1136"/>
      <c r="CT1455" s="1136"/>
      <c r="CU1455" s="1136"/>
      <c r="CV1455" s="1136"/>
      <c r="CW1455" s="1136"/>
      <c r="CX1455" s="1136"/>
      <c r="CY1455" s="1136"/>
      <c r="CZ1455" s="1136"/>
      <c r="DA1455" s="1136"/>
      <c r="DB1455" s="1136"/>
      <c r="DC1455" s="1136"/>
      <c r="DD1455" s="1136"/>
      <c r="DE1455" s="1136"/>
      <c r="DF1455" s="1136"/>
      <c r="DG1455" s="1136"/>
      <c r="DH1455" s="1136"/>
      <c r="DI1455" s="1136"/>
    </row>
    <row r="1456" spans="1:113" ht="15" x14ac:dyDescent="0.2">
      <c r="A1456" s="1136"/>
      <c r="B1456" s="1136"/>
      <c r="C1456" s="1136"/>
      <c r="D1456" s="1136"/>
      <c r="E1456" s="1136"/>
      <c r="F1456" s="1136"/>
      <c r="G1456" s="1136"/>
      <c r="H1456" s="1070"/>
      <c r="I1456" s="1645"/>
      <c r="J1456" s="1645"/>
      <c r="K1456" s="1645"/>
      <c r="L1456" s="1645"/>
      <c r="M1456" s="1645"/>
      <c r="N1456" s="1645"/>
      <c r="O1456" s="1645"/>
      <c r="P1456" s="1645"/>
      <c r="Q1456" s="1645"/>
      <c r="R1456" s="1645"/>
      <c r="S1456" s="1645"/>
      <c r="T1456" s="1645"/>
      <c r="U1456" s="1645"/>
      <c r="V1456" s="1645"/>
      <c r="W1456" s="1645"/>
      <c r="X1456" s="1645"/>
      <c r="Y1456" s="1645"/>
      <c r="Z1456" s="1645"/>
      <c r="AA1456" s="1645"/>
      <c r="AB1456" s="1645"/>
      <c r="AC1456" s="1645"/>
      <c r="AD1456" s="1645"/>
      <c r="AE1456" s="1645"/>
      <c r="AF1456" s="1645"/>
      <c r="AG1456" s="1645"/>
      <c r="AH1456" s="1645"/>
      <c r="AI1456" s="1645"/>
      <c r="AJ1456" s="1645"/>
      <c r="AK1456" s="1645"/>
      <c r="AL1456" s="1645"/>
      <c r="AM1456" s="1645"/>
      <c r="AN1456" s="1645"/>
      <c r="AO1456" s="1645"/>
      <c r="AP1456" s="1645"/>
      <c r="AQ1456" s="1645"/>
      <c r="AR1456" s="1645"/>
      <c r="AS1456" s="1645"/>
      <c r="AT1456" s="1645"/>
      <c r="AU1456" s="1645"/>
      <c r="AV1456" s="1645"/>
      <c r="AW1456" s="1645"/>
      <c r="AX1456" s="1645"/>
      <c r="AY1456" s="1645"/>
      <c r="AZ1456" s="1645"/>
      <c r="BA1456" s="1645"/>
      <c r="BB1456" s="1645"/>
      <c r="BC1456" s="1645"/>
      <c r="BD1456" s="1645"/>
      <c r="BE1456" s="1645"/>
      <c r="BF1456" s="1645"/>
      <c r="BG1456" s="1645"/>
      <c r="BH1456" s="1645"/>
      <c r="BI1456" s="1645"/>
      <c r="BJ1456" s="1645"/>
      <c r="BK1456" s="1645"/>
      <c r="BL1456" s="1645"/>
      <c r="BM1456" s="1645"/>
      <c r="BN1456" s="1645"/>
      <c r="BO1456" s="1645"/>
      <c r="BP1456" s="1645"/>
      <c r="BQ1456" s="1645"/>
      <c r="BR1456" s="1645"/>
      <c r="BS1456" s="1645"/>
      <c r="BT1456" s="1645"/>
      <c r="BU1456" s="1645"/>
      <c r="BV1456" s="1645"/>
      <c r="BW1456" s="1645"/>
      <c r="BX1456" s="1645"/>
      <c r="BY1456" s="1645"/>
      <c r="BZ1456" s="1645"/>
      <c r="CA1456" s="1645"/>
      <c r="CB1456" s="1645"/>
      <c r="CC1456" s="1645"/>
      <c r="CD1456" s="1645"/>
      <c r="CE1456" s="1645"/>
      <c r="CF1456" s="1645"/>
      <c r="CG1456" s="1645"/>
      <c r="CH1456" s="1645"/>
      <c r="CI1456" s="1645"/>
      <c r="CJ1456" s="1645"/>
      <c r="CK1456" s="1645"/>
      <c r="CL1456" s="1645"/>
      <c r="CM1456" s="1645"/>
      <c r="CN1456" s="1645"/>
      <c r="CO1456" s="1645"/>
      <c r="CP1456" s="1136"/>
      <c r="CQ1456" s="1136"/>
      <c r="CR1456" s="1136"/>
      <c r="CS1456" s="1136"/>
      <c r="CT1456" s="1136"/>
      <c r="CU1456" s="1136"/>
      <c r="CV1456" s="1136"/>
      <c r="CW1456" s="1136"/>
      <c r="CX1456" s="1136"/>
      <c r="CY1456" s="1136"/>
      <c r="CZ1456" s="1136"/>
      <c r="DA1456" s="1136"/>
      <c r="DB1456" s="1136"/>
      <c r="DC1456" s="1136"/>
      <c r="DD1456" s="1136"/>
      <c r="DE1456" s="1136"/>
      <c r="DF1456" s="1136"/>
      <c r="DG1456" s="1136"/>
      <c r="DH1456" s="1136"/>
      <c r="DI1456" s="1136"/>
    </row>
    <row r="1457" spans="1:113" ht="15" x14ac:dyDescent="0.2">
      <c r="A1457" s="1136"/>
      <c r="B1457" s="1136"/>
      <c r="C1457" s="1679"/>
      <c r="D1457" s="1679"/>
      <c r="E1457" s="1679"/>
      <c r="F1457" s="1679"/>
      <c r="G1457" s="1679"/>
      <c r="H1457" s="1645"/>
      <c r="I1457" s="1645"/>
      <c r="J1457" s="1645"/>
      <c r="K1457" s="1645"/>
      <c r="L1457" s="1645"/>
      <c r="M1457" s="1645"/>
      <c r="N1457" s="1645"/>
      <c r="O1457" s="1645"/>
      <c r="P1457" s="1645"/>
      <c r="Q1457" s="1645"/>
      <c r="R1457" s="1645"/>
      <c r="S1457" s="1645"/>
      <c r="T1457" s="1645"/>
      <c r="U1457" s="1645"/>
      <c r="V1457" s="1645"/>
      <c r="W1457" s="1645"/>
      <c r="X1457" s="1645"/>
      <c r="Y1457" s="1645"/>
      <c r="Z1457" s="1645"/>
      <c r="AA1457" s="1645"/>
      <c r="AB1457" s="1645"/>
      <c r="AC1457" s="1645"/>
      <c r="AD1457" s="1645"/>
      <c r="AE1457" s="1645"/>
      <c r="AF1457" s="1645"/>
      <c r="AG1457" s="1645"/>
      <c r="AH1457" s="1645"/>
      <c r="AI1457" s="1645"/>
      <c r="AJ1457" s="1645"/>
      <c r="AK1457" s="1645"/>
      <c r="AL1457" s="1645"/>
      <c r="AM1457" s="1645"/>
      <c r="AN1457" s="1645"/>
      <c r="AO1457" s="1645"/>
      <c r="AP1457" s="1645"/>
      <c r="AQ1457" s="1645"/>
      <c r="AR1457" s="1645"/>
      <c r="AS1457" s="1645"/>
      <c r="AT1457" s="1645"/>
      <c r="AU1457" s="1645"/>
      <c r="AV1457" s="1645"/>
      <c r="AW1457" s="1645"/>
      <c r="AX1457" s="1645"/>
      <c r="AY1457" s="1645"/>
      <c r="AZ1457" s="1645"/>
      <c r="BA1457" s="1645"/>
      <c r="BB1457" s="1645"/>
      <c r="BC1457" s="1645"/>
      <c r="BD1457" s="1645"/>
      <c r="BE1457" s="1645"/>
      <c r="BF1457" s="1645"/>
      <c r="BG1457" s="1645"/>
      <c r="BH1457" s="1645"/>
      <c r="BI1457" s="1645"/>
      <c r="BJ1457" s="1645"/>
      <c r="BK1457" s="1645"/>
      <c r="BL1457" s="1645"/>
      <c r="BM1457" s="1645"/>
      <c r="BN1457" s="1645"/>
      <c r="BO1457" s="1645"/>
      <c r="BP1457" s="1645"/>
      <c r="BQ1457" s="1645"/>
      <c r="BR1457" s="1645"/>
      <c r="BS1457" s="1645"/>
      <c r="BT1457" s="1645"/>
      <c r="BU1457" s="1645"/>
      <c r="BV1457" s="1645"/>
      <c r="BW1457" s="1645"/>
      <c r="BX1457" s="1645"/>
      <c r="BY1457" s="1645"/>
      <c r="BZ1457" s="1645"/>
      <c r="CA1457" s="1645"/>
      <c r="CB1457" s="1645"/>
      <c r="CC1457" s="1645"/>
      <c r="CD1457" s="1645"/>
      <c r="CE1457" s="1645"/>
      <c r="CF1457" s="1645"/>
      <c r="CG1457" s="1645"/>
      <c r="CH1457" s="1645"/>
      <c r="CI1457" s="1645"/>
      <c r="CJ1457" s="1645"/>
      <c r="CK1457" s="1645"/>
      <c r="CL1457" s="1645"/>
      <c r="CM1457" s="1645"/>
      <c r="CN1457" s="1645"/>
      <c r="CO1457" s="1645"/>
      <c r="CP1457" s="1136"/>
      <c r="CQ1457" s="1136"/>
      <c r="CR1457" s="1136"/>
      <c r="CS1457" s="1136"/>
      <c r="CT1457" s="1136"/>
      <c r="CU1457" s="1136"/>
      <c r="CV1457" s="1136"/>
      <c r="CW1457" s="1136"/>
      <c r="CX1457" s="1136"/>
      <c r="CY1457" s="1136"/>
      <c r="CZ1457" s="1136"/>
      <c r="DA1457" s="1136"/>
      <c r="DB1457" s="1136"/>
      <c r="DC1457" s="1136"/>
      <c r="DD1457" s="1136"/>
      <c r="DE1457" s="1136"/>
      <c r="DF1457" s="1136"/>
      <c r="DG1457" s="1136"/>
      <c r="DH1457" s="1136"/>
      <c r="DI1457" s="1136"/>
    </row>
    <row r="1458" spans="1:113" ht="15" x14ac:dyDescent="0.2">
      <c r="A1458" s="1136"/>
      <c r="B1458" s="1679"/>
      <c r="C1458" s="1679"/>
      <c r="D1458" s="1679"/>
      <c r="E1458" s="1679"/>
      <c r="F1458" s="1679"/>
      <c r="G1458" s="1679"/>
      <c r="H1458" s="1645"/>
      <c r="I1458" s="1645"/>
      <c r="J1458" s="1645"/>
      <c r="K1458" s="1645"/>
      <c r="L1458" s="1645"/>
      <c r="M1458" s="1645"/>
      <c r="N1458" s="1645"/>
      <c r="O1458" s="1645"/>
      <c r="P1458" s="1645"/>
      <c r="Q1458" s="1645"/>
      <c r="R1458" s="1645"/>
      <c r="S1458" s="1645"/>
      <c r="T1458" s="1645"/>
      <c r="U1458" s="1645"/>
      <c r="V1458" s="1645"/>
      <c r="W1458" s="1645"/>
      <c r="X1458" s="1645"/>
      <c r="Y1458" s="1645"/>
      <c r="Z1458" s="1645"/>
      <c r="AA1458" s="1645"/>
      <c r="AB1458" s="1645"/>
      <c r="AC1458" s="1645"/>
      <c r="AD1458" s="1645"/>
      <c r="AE1458" s="1645"/>
      <c r="AF1458" s="1645"/>
      <c r="AG1458" s="1645"/>
      <c r="AH1458" s="1645"/>
      <c r="AI1458" s="1645"/>
      <c r="AJ1458" s="1645"/>
      <c r="AK1458" s="1645"/>
      <c r="AL1458" s="1645"/>
      <c r="AM1458" s="1645"/>
      <c r="AN1458" s="1645"/>
      <c r="AO1458" s="1645"/>
      <c r="AP1458" s="1645"/>
      <c r="AQ1458" s="1645"/>
      <c r="AR1458" s="1645"/>
      <c r="AS1458" s="1645"/>
      <c r="AT1458" s="1645"/>
      <c r="AU1458" s="1645"/>
      <c r="AV1458" s="1645"/>
      <c r="AW1458" s="1645"/>
      <c r="AX1458" s="1645"/>
      <c r="AY1458" s="1645"/>
      <c r="AZ1458" s="1645"/>
      <c r="BA1458" s="1645"/>
      <c r="BB1458" s="1645"/>
      <c r="BC1458" s="1645"/>
      <c r="BD1458" s="1645"/>
      <c r="BE1458" s="1645"/>
      <c r="BF1458" s="1645"/>
      <c r="BG1458" s="1645"/>
      <c r="BH1458" s="1645"/>
      <c r="BI1458" s="1645"/>
      <c r="BJ1458" s="1645"/>
      <c r="BK1458" s="1645"/>
      <c r="BL1458" s="1645"/>
      <c r="BM1458" s="1645"/>
      <c r="BN1458" s="1645"/>
      <c r="BO1458" s="1645"/>
      <c r="BP1458" s="1645"/>
      <c r="BQ1458" s="1645"/>
      <c r="BR1458" s="1645"/>
      <c r="BS1458" s="1645"/>
      <c r="BT1458" s="1645"/>
      <c r="BU1458" s="1645"/>
      <c r="BV1458" s="1645"/>
      <c r="BW1458" s="1645"/>
      <c r="BX1458" s="1645"/>
      <c r="BY1458" s="1645"/>
      <c r="BZ1458" s="1645"/>
      <c r="CA1458" s="1645"/>
      <c r="CB1458" s="1645"/>
      <c r="CC1458" s="1645"/>
      <c r="CD1458" s="1645"/>
      <c r="CE1458" s="1645"/>
      <c r="CF1458" s="1645"/>
      <c r="CG1458" s="1645"/>
      <c r="CH1458" s="1645"/>
      <c r="CI1458" s="1645"/>
      <c r="CJ1458" s="1645"/>
      <c r="CK1458" s="1645"/>
      <c r="CL1458" s="1645"/>
      <c r="CM1458" s="1645"/>
      <c r="CN1458" s="1645"/>
      <c r="CO1458" s="1645"/>
      <c r="CP1458" s="1136"/>
      <c r="CQ1458" s="1136"/>
      <c r="CR1458" s="1136"/>
      <c r="CS1458" s="1136"/>
      <c r="CT1458" s="1136"/>
      <c r="CU1458" s="1136"/>
      <c r="CV1458" s="1136"/>
      <c r="CW1458" s="1136"/>
      <c r="CX1458" s="1136"/>
      <c r="CY1458" s="1136"/>
      <c r="CZ1458" s="1136"/>
      <c r="DA1458" s="1136"/>
      <c r="DB1458" s="1136"/>
      <c r="DC1458" s="1136"/>
      <c r="DD1458" s="1136"/>
      <c r="DE1458" s="1136"/>
      <c r="DF1458" s="1136"/>
      <c r="DG1458" s="1136"/>
      <c r="DH1458" s="1136"/>
      <c r="DI1458" s="1136"/>
    </row>
    <row r="1459" spans="1:113" ht="20.25" x14ac:dyDescent="0.3">
      <c r="A1459" s="1680" t="s">
        <v>2825</v>
      </c>
      <c r="B1459" s="1681"/>
      <c r="C1459" s="1682"/>
      <c r="D1459" s="1683"/>
      <c r="E1459" s="1683"/>
      <c r="F1459" s="1683"/>
      <c r="G1459" s="1683"/>
      <c r="H1459" s="1683"/>
      <c r="I1459" s="1683"/>
      <c r="J1459" s="1683"/>
      <c r="K1459" s="1683"/>
      <c r="L1459" s="1645"/>
      <c r="M1459" s="1645"/>
      <c r="N1459" s="1645"/>
      <c r="O1459" s="1645"/>
      <c r="P1459" s="1645"/>
      <c r="Q1459" s="1645"/>
      <c r="R1459" s="1645"/>
      <c r="S1459" s="1645"/>
      <c r="T1459" s="1645"/>
      <c r="U1459" s="1645"/>
      <c r="V1459" s="1645"/>
      <c r="W1459" s="1645"/>
      <c r="X1459" s="1645"/>
      <c r="Y1459" s="1645"/>
      <c r="Z1459" s="1645"/>
      <c r="AA1459" s="1645"/>
      <c r="AB1459" s="1645"/>
      <c r="AC1459" s="1645"/>
      <c r="AD1459" s="1645"/>
      <c r="AE1459" s="1645"/>
      <c r="AF1459" s="1645"/>
      <c r="AG1459" s="1645"/>
      <c r="AH1459" s="1645"/>
      <c r="AI1459" s="1645"/>
      <c r="AJ1459" s="1645"/>
      <c r="AK1459" s="1645"/>
      <c r="AL1459" s="1645"/>
      <c r="AM1459" s="1645"/>
      <c r="AN1459" s="1645"/>
      <c r="AO1459" s="1645"/>
      <c r="AP1459" s="1645"/>
      <c r="AQ1459" s="1645"/>
      <c r="AR1459" s="1645"/>
      <c r="AS1459" s="1645"/>
      <c r="AT1459" s="1645"/>
      <c r="AU1459" s="1645"/>
      <c r="AV1459" s="1645"/>
      <c r="AW1459" s="1645"/>
      <c r="AX1459" s="1645"/>
      <c r="AY1459" s="1645"/>
      <c r="AZ1459" s="1645"/>
      <c r="BA1459" s="1645"/>
      <c r="BB1459" s="1645"/>
      <c r="BC1459" s="1645"/>
      <c r="BD1459" s="1645"/>
      <c r="BE1459" s="1645"/>
      <c r="BF1459" s="1645"/>
      <c r="BG1459" s="1645"/>
      <c r="BH1459" s="1645"/>
      <c r="BI1459" s="1645"/>
      <c r="BJ1459" s="1645"/>
      <c r="BK1459" s="1645"/>
      <c r="BL1459" s="1645"/>
      <c r="BM1459" s="1645"/>
      <c r="BN1459" s="1645"/>
      <c r="BO1459" s="1645"/>
      <c r="BP1459" s="1645"/>
      <c r="BQ1459" s="1645"/>
      <c r="BR1459" s="1645"/>
      <c r="BS1459" s="1645"/>
      <c r="BT1459" s="1645"/>
      <c r="BU1459" s="1645"/>
      <c r="BV1459" s="1645"/>
      <c r="BW1459" s="1645"/>
      <c r="BX1459" s="1645"/>
      <c r="BY1459" s="1645"/>
      <c r="BZ1459" s="1645"/>
      <c r="CA1459" s="1645"/>
      <c r="CB1459" s="1645"/>
      <c r="CC1459" s="1645"/>
      <c r="CD1459" s="1645"/>
      <c r="CE1459" s="1645"/>
      <c r="CF1459" s="1645"/>
      <c r="CG1459" s="1645"/>
      <c r="CH1459" s="1645"/>
      <c r="CI1459" s="1645"/>
      <c r="CJ1459" s="1645"/>
      <c r="CK1459" s="1645"/>
      <c r="CL1459" s="1645"/>
      <c r="CM1459" s="1645"/>
      <c r="CN1459" s="1645"/>
      <c r="CO1459" s="1645"/>
      <c r="CP1459" s="1136"/>
      <c r="CQ1459" s="1136"/>
      <c r="CR1459" s="1136"/>
      <c r="CS1459" s="1136"/>
      <c r="CT1459" s="1136"/>
      <c r="CU1459" s="1136"/>
      <c r="CV1459" s="1136"/>
      <c r="CW1459" s="1136"/>
      <c r="CX1459" s="1136"/>
      <c r="CY1459" s="1136"/>
      <c r="CZ1459" s="1136"/>
      <c r="DA1459" s="1136"/>
      <c r="DB1459" s="1136"/>
      <c r="DC1459" s="1136"/>
      <c r="DD1459" s="1136"/>
      <c r="DE1459" s="1136"/>
      <c r="DF1459" s="1136"/>
      <c r="DG1459" s="1136"/>
      <c r="DH1459" s="1136"/>
      <c r="DI1459" s="1136"/>
    </row>
    <row r="1460" spans="1:113" ht="15" x14ac:dyDescent="0.2">
      <c r="A1460" s="1684"/>
      <c r="B1460" s="1684"/>
      <c r="C1460"/>
      <c r="D1460"/>
      <c r="E1460"/>
      <c r="F1460"/>
      <c r="G1460"/>
      <c r="H1460"/>
      <c r="I1460"/>
      <c r="J1460"/>
      <c r="K1460"/>
      <c r="L1460"/>
      <c r="M1460"/>
      <c r="N1460"/>
      <c r="O1460"/>
      <c r="P1460"/>
      <c r="Q1460"/>
      <c r="R1460"/>
      <c r="S1460" s="1684"/>
      <c r="T1460" s="1684"/>
      <c r="U1460" s="1684"/>
      <c r="V1460" s="1684"/>
      <c r="W1460" s="1684"/>
      <c r="X1460" s="1684"/>
      <c r="Y1460" s="1684"/>
      <c r="Z1460" s="1684"/>
      <c r="AA1460" s="1684"/>
      <c r="AB1460" s="1684"/>
      <c r="AC1460" s="1684"/>
      <c r="AD1460" s="1684"/>
      <c r="AE1460" s="1684"/>
      <c r="AF1460" s="1684"/>
      <c r="AG1460" s="1684"/>
      <c r="AH1460" s="1684"/>
      <c r="AI1460" s="1684"/>
      <c r="AJ1460" s="1684"/>
      <c r="AK1460" s="1684"/>
      <c r="AL1460" s="1684"/>
      <c r="AM1460" s="1684"/>
      <c r="AN1460" s="1684"/>
      <c r="AO1460" s="1684"/>
      <c r="AP1460" s="1684"/>
      <c r="AQ1460" s="1684"/>
      <c r="AR1460" s="1684"/>
      <c r="AS1460" s="1684"/>
      <c r="AT1460" s="1684"/>
      <c r="AU1460" s="1684"/>
      <c r="AV1460" s="1684"/>
      <c r="AW1460" s="1684"/>
      <c r="AX1460" s="1684"/>
      <c r="AY1460" s="1684"/>
      <c r="AZ1460" s="1684"/>
      <c r="BA1460" s="1684"/>
      <c r="BB1460" s="1684"/>
      <c r="BC1460" s="1684"/>
      <c r="BD1460" s="1684"/>
      <c r="BE1460" s="1684"/>
      <c r="BF1460" s="1684"/>
      <c r="BG1460" s="1684"/>
      <c r="BH1460" s="1684"/>
      <c r="BI1460" s="1684"/>
      <c r="BJ1460" s="1684"/>
      <c r="BK1460" s="1684"/>
      <c r="BL1460" s="1684"/>
      <c r="BM1460" s="1684"/>
      <c r="BN1460" s="1684"/>
      <c r="BO1460" s="1684"/>
      <c r="BP1460" s="1684"/>
      <c r="BQ1460" s="1684"/>
      <c r="BR1460" s="1684"/>
      <c r="BS1460" s="1684"/>
      <c r="BT1460" s="1684"/>
      <c r="BU1460" s="1684"/>
      <c r="BV1460" s="1684"/>
      <c r="BW1460" s="1684"/>
      <c r="BX1460" s="1684"/>
      <c r="BY1460" s="1684"/>
      <c r="BZ1460" s="1684"/>
      <c r="CA1460" s="1684"/>
      <c r="CB1460" s="1684"/>
      <c r="CC1460" s="1684"/>
      <c r="CD1460" s="1684"/>
      <c r="CE1460" s="1684"/>
      <c r="CF1460" s="1684"/>
      <c r="CG1460" s="1684"/>
      <c r="CH1460" s="1684"/>
      <c r="CI1460" s="1684"/>
      <c r="CJ1460" s="1684"/>
      <c r="CK1460" s="1684"/>
      <c r="CL1460" s="1684"/>
      <c r="CM1460" s="1684"/>
      <c r="CN1460" s="1684"/>
      <c r="CO1460" s="1684"/>
      <c r="CP1460" s="1391"/>
      <c r="CQ1460" s="1391"/>
      <c r="CR1460" s="1391"/>
      <c r="CS1460" s="1391"/>
      <c r="CT1460" s="1391"/>
      <c r="CU1460" s="1391"/>
      <c r="CV1460" s="1391"/>
      <c r="CW1460" s="1391"/>
      <c r="CX1460" s="1391"/>
      <c r="CY1460" s="1391"/>
      <c r="CZ1460" s="1391"/>
      <c r="DA1460" s="1391"/>
      <c r="DB1460" s="1391"/>
      <c r="DC1460" s="1391"/>
      <c r="DD1460" s="1391"/>
      <c r="DE1460" s="1391"/>
      <c r="DF1460" s="1391"/>
      <c r="DG1460" s="1391"/>
      <c r="DH1460" s="1391"/>
      <c r="DI1460" s="1391"/>
    </row>
    <row r="1461" spans="1:113" ht="60" x14ac:dyDescent="0.2">
      <c r="A1461" s="1684"/>
      <c r="B1461" s="1684"/>
      <c r="C1461" s="1685" t="s">
        <v>4814</v>
      </c>
      <c r="D1461" s="1686"/>
      <c r="E1461" s="1391"/>
      <c r="F1461" s="1660" t="s">
        <v>4815</v>
      </c>
      <c r="G1461" s="1660" t="s">
        <v>4816</v>
      </c>
      <c r="H1461" s="1660" t="s">
        <v>4817</v>
      </c>
      <c r="I1461" s="1684"/>
      <c r="J1461" s="1684"/>
      <c r="K1461" s="1684"/>
      <c r="L1461" s="1684"/>
      <c r="M1461" s="1684"/>
      <c r="N1461" s="1684"/>
      <c r="O1461" s="1684"/>
      <c r="P1461" s="1684"/>
      <c r="Q1461" s="1684"/>
      <c r="R1461" s="1684"/>
      <c r="S1461" s="1684"/>
      <c r="T1461" s="1684"/>
      <c r="U1461" s="1684"/>
      <c r="V1461" s="1684"/>
      <c r="W1461" s="1684"/>
      <c r="X1461" s="1684"/>
      <c r="Y1461" s="1684"/>
      <c r="Z1461" s="1684"/>
      <c r="AA1461" s="1684"/>
      <c r="AB1461" s="1684"/>
      <c r="AC1461" s="1684"/>
      <c r="AD1461" s="1684"/>
      <c r="AE1461" s="1684"/>
      <c r="AF1461" s="1684"/>
      <c r="AG1461" s="1684"/>
      <c r="AH1461" s="1684"/>
      <c r="AI1461" s="1684"/>
      <c r="AJ1461" s="1684"/>
      <c r="AK1461" s="1684"/>
      <c r="AL1461" s="1684"/>
      <c r="AM1461" s="1684"/>
      <c r="AN1461" s="1684"/>
      <c r="AO1461" s="1684"/>
      <c r="AP1461" s="1684"/>
      <c r="AQ1461" s="1684"/>
      <c r="AR1461" s="1684"/>
      <c r="AS1461" s="1684"/>
      <c r="AT1461" s="1684"/>
      <c r="AU1461" s="1684"/>
      <c r="AV1461" s="1684"/>
      <c r="AW1461" s="1684"/>
      <c r="AX1461" s="1684"/>
      <c r="AY1461" s="1684"/>
      <c r="AZ1461" s="1684"/>
      <c r="BA1461" s="1684"/>
      <c r="BB1461" s="1684"/>
      <c r="BC1461" s="1684"/>
      <c r="BD1461" s="1684"/>
      <c r="BE1461" s="1684"/>
      <c r="BF1461" s="1684"/>
      <c r="BG1461" s="1684"/>
      <c r="BH1461" s="1684"/>
      <c r="BI1461" s="1684"/>
      <c r="BJ1461" s="1684"/>
      <c r="BK1461" s="1684"/>
      <c r="BL1461" s="1684"/>
      <c r="BM1461" s="1684"/>
      <c r="BN1461" s="1684"/>
      <c r="BO1461" s="1684"/>
      <c r="BP1461" s="1684"/>
      <c r="BQ1461" s="1684"/>
      <c r="BR1461" s="1684"/>
      <c r="BS1461" s="1684"/>
      <c r="BT1461" s="1684"/>
      <c r="BU1461" s="1684"/>
      <c r="BV1461" s="1684"/>
      <c r="BW1461" s="1684"/>
      <c r="BX1461" s="1684"/>
      <c r="BY1461" s="1684"/>
      <c r="BZ1461" s="1684"/>
      <c r="CA1461" s="1684"/>
      <c r="CB1461" s="1684"/>
      <c r="CC1461" s="1684"/>
      <c r="CD1461" s="1684"/>
      <c r="CE1461" s="1684"/>
      <c r="CF1461" s="1684"/>
      <c r="CG1461" s="1684"/>
      <c r="CH1461" s="1684"/>
      <c r="CI1461" s="1684"/>
      <c r="CJ1461" s="1684"/>
      <c r="CK1461" s="1684"/>
      <c r="CL1461" s="1684"/>
      <c r="CM1461" s="1684"/>
      <c r="CN1461" s="1684"/>
      <c r="CO1461" s="1684"/>
      <c r="CP1461" s="1391"/>
      <c r="CQ1461" s="1391"/>
      <c r="CR1461" s="1391"/>
      <c r="CS1461" s="1391"/>
      <c r="CT1461" s="1391"/>
      <c r="CU1461" s="1391"/>
      <c r="CV1461" s="1391"/>
      <c r="CW1461" s="1391"/>
      <c r="CX1461" s="1391"/>
      <c r="CY1461" s="1391"/>
      <c r="CZ1461" s="1391"/>
      <c r="DA1461" s="1391"/>
      <c r="DB1461" s="1391"/>
      <c r="DC1461" s="1391"/>
      <c r="DD1461" s="1391"/>
      <c r="DE1461" s="1391"/>
      <c r="DF1461" s="1391"/>
      <c r="DG1461" s="1391"/>
      <c r="DH1461" s="1391"/>
      <c r="DI1461" s="1391"/>
    </row>
    <row r="1462" spans="1:113" ht="120" x14ac:dyDescent="0.2">
      <c r="A1462" s="1684"/>
      <c r="B1462" s="1684"/>
      <c r="C1462" s="1685"/>
      <c r="D1462" s="1686"/>
      <c r="E1462" s="1391"/>
      <c r="F1462" s="1660"/>
      <c r="G1462" s="1660"/>
      <c r="H1462" s="1660"/>
      <c r="I1462" s="1684"/>
      <c r="J1462" s="1391" t="s">
        <v>2490</v>
      </c>
      <c r="K1462" s="1391" t="s">
        <v>5484</v>
      </c>
      <c r="L1462" s="1687" t="s">
        <v>4818</v>
      </c>
      <c r="M1462" s="1684"/>
      <c r="N1462" s="1684"/>
      <c r="O1462" s="1684"/>
      <c r="P1462" s="1684"/>
      <c r="Q1462" s="1684"/>
      <c r="R1462" s="1684"/>
      <c r="S1462" s="1684"/>
      <c r="T1462" s="1684"/>
      <c r="U1462" s="1684"/>
      <c r="V1462" s="1684"/>
      <c r="W1462" s="1684"/>
      <c r="X1462" s="1684"/>
      <c r="Y1462" s="1684"/>
      <c r="Z1462" s="1684"/>
      <c r="AA1462" s="1684"/>
      <c r="AB1462" s="1684"/>
      <c r="AC1462" s="1684"/>
      <c r="AD1462" s="1684"/>
      <c r="AE1462" s="1684"/>
      <c r="AF1462" s="1684"/>
      <c r="AG1462" s="1684"/>
      <c r="AH1462" s="1684"/>
      <c r="AI1462" s="1684"/>
      <c r="AJ1462" s="1684"/>
      <c r="AK1462" s="1684"/>
      <c r="AL1462" s="1684"/>
      <c r="AM1462" s="1684"/>
      <c r="AN1462" s="1684"/>
      <c r="AO1462" s="1684"/>
      <c r="AP1462" s="1684"/>
      <c r="AQ1462" s="1684"/>
      <c r="AR1462" s="1684"/>
      <c r="AS1462" s="1684"/>
      <c r="AT1462" s="1684"/>
      <c r="AU1462" s="1684"/>
      <c r="AV1462" s="1684"/>
      <c r="AW1462" s="1684"/>
      <c r="AX1462" s="1684"/>
      <c r="AY1462" s="1684"/>
      <c r="AZ1462" s="1684"/>
      <c r="BA1462" s="1684"/>
      <c r="BB1462" s="1684"/>
      <c r="BC1462" s="1684"/>
      <c r="BD1462" s="1684"/>
      <c r="BE1462" s="1684"/>
      <c r="BF1462" s="1684"/>
      <c r="BG1462" s="1684"/>
      <c r="BH1462" s="1684"/>
      <c r="BI1462" s="1684"/>
      <c r="BJ1462" s="1684"/>
      <c r="BK1462" s="1684"/>
      <c r="BL1462" s="1684"/>
      <c r="BM1462" s="1684"/>
      <c r="BN1462" s="1684"/>
      <c r="BO1462" s="1684"/>
      <c r="BP1462" s="1684"/>
      <c r="BQ1462" s="1684"/>
      <c r="BR1462" s="1684"/>
      <c r="BS1462" s="1684"/>
      <c r="BT1462" s="1684"/>
      <c r="BU1462" s="1684"/>
      <c r="BV1462" s="1684"/>
      <c r="BW1462" s="1684"/>
      <c r="BX1462" s="1684"/>
      <c r="BY1462" s="1684"/>
      <c r="BZ1462" s="1684"/>
      <c r="CA1462" s="1684"/>
      <c r="CB1462" s="1684"/>
      <c r="CC1462" s="1684"/>
      <c r="CD1462" s="1684"/>
      <c r="CE1462" s="1684"/>
      <c r="CF1462" s="1684"/>
      <c r="CG1462" s="1684"/>
      <c r="CH1462" s="1684"/>
      <c r="CI1462" s="1684"/>
      <c r="CJ1462" s="1684"/>
      <c r="CK1462" s="1684"/>
      <c r="CL1462" s="1684"/>
      <c r="CM1462" s="1684"/>
      <c r="CN1462" s="1684"/>
      <c r="CO1462" s="1684"/>
      <c r="CP1462" s="1391"/>
      <c r="CQ1462" s="1391"/>
      <c r="CR1462" s="1391"/>
      <c r="CS1462" s="1391"/>
      <c r="CT1462" s="1391"/>
      <c r="CU1462" s="1391"/>
      <c r="CV1462" s="1391"/>
      <c r="CW1462" s="1391"/>
      <c r="CX1462" s="1391"/>
      <c r="CY1462" s="1391"/>
      <c r="CZ1462" s="1391"/>
      <c r="DA1462" s="1391"/>
      <c r="DB1462" s="1391"/>
      <c r="DC1462" s="1391"/>
      <c r="DD1462" s="1391"/>
      <c r="DE1462" s="1391"/>
      <c r="DF1462" s="1391"/>
      <c r="DG1462" s="1391"/>
      <c r="DH1462" s="1391"/>
      <c r="DI1462" s="1391"/>
    </row>
    <row r="1463" spans="1:113" ht="15" x14ac:dyDescent="0.2">
      <c r="A1463" s="1684"/>
      <c r="B1463" s="1684"/>
      <c r="C1463" s="1686">
        <v>1</v>
      </c>
      <c r="D1463" s="1686">
        <v>1</v>
      </c>
      <c r="E1463" s="1391"/>
      <c r="F1463" s="1660">
        <v>1</v>
      </c>
      <c r="G1463" s="1660">
        <v>1</v>
      </c>
      <c r="H1463" s="1660">
        <v>1</v>
      </c>
      <c r="I1463" s="1684"/>
      <c r="J1463" s="1391">
        <v>1</v>
      </c>
      <c r="K1463" s="1391" t="s">
        <v>4819</v>
      </c>
      <c r="L1463" s="1391"/>
      <c r="M1463" s="1684"/>
      <c r="N1463" s="1684"/>
      <c r="O1463" s="1684"/>
      <c r="P1463" s="1684"/>
      <c r="Q1463" s="1684"/>
      <c r="R1463" s="1684"/>
      <c r="S1463" s="1684"/>
      <c r="T1463" s="1684"/>
      <c r="U1463" s="1684"/>
      <c r="V1463" s="1684"/>
      <c r="W1463" s="1684"/>
      <c r="X1463" s="1684"/>
      <c r="Y1463" s="1684"/>
      <c r="Z1463" s="1684"/>
      <c r="AA1463" s="1684"/>
      <c r="AB1463" s="1684"/>
      <c r="AC1463" s="1684"/>
      <c r="AD1463" s="1684"/>
      <c r="AE1463" s="1684"/>
      <c r="AF1463" s="1684"/>
      <c r="AG1463" s="1684"/>
      <c r="AH1463" s="1684"/>
      <c r="AI1463" s="1684"/>
      <c r="AJ1463" s="1684"/>
      <c r="AK1463" s="1684"/>
      <c r="AL1463" s="1684"/>
      <c r="AM1463" s="1684"/>
      <c r="AN1463" s="1684"/>
      <c r="AO1463" s="1684"/>
      <c r="AP1463" s="1684"/>
      <c r="AQ1463" s="1684"/>
      <c r="AR1463" s="1684"/>
      <c r="AS1463" s="1684"/>
      <c r="AT1463" s="1684"/>
      <c r="AU1463" s="1684"/>
      <c r="AV1463" s="1684"/>
      <c r="AW1463" s="1684"/>
      <c r="AX1463" s="1684"/>
      <c r="AY1463" s="1684"/>
      <c r="AZ1463" s="1684"/>
      <c r="BA1463" s="1684"/>
      <c r="BB1463" s="1684"/>
      <c r="BC1463" s="1684"/>
      <c r="BD1463" s="1684"/>
      <c r="BE1463" s="1684"/>
      <c r="BF1463" s="1684"/>
      <c r="BG1463" s="1684"/>
      <c r="BH1463" s="1684"/>
      <c r="BI1463" s="1684"/>
      <c r="BJ1463" s="1684"/>
      <c r="BK1463" s="1684"/>
      <c r="BL1463" s="1684"/>
      <c r="BM1463" s="1684"/>
      <c r="BN1463" s="1684"/>
      <c r="BO1463" s="1684"/>
      <c r="BP1463" s="1684"/>
      <c r="BQ1463" s="1684"/>
      <c r="BR1463" s="1684"/>
      <c r="BS1463" s="1684"/>
      <c r="BT1463" s="1684"/>
      <c r="BU1463" s="1684"/>
      <c r="BV1463" s="1684"/>
      <c r="BW1463" s="1684"/>
      <c r="BX1463" s="1684"/>
      <c r="BY1463" s="1684"/>
      <c r="BZ1463" s="1684"/>
      <c r="CA1463" s="1684"/>
      <c r="CB1463" s="1684"/>
      <c r="CC1463" s="1684"/>
      <c r="CD1463" s="1684"/>
      <c r="CE1463" s="1684"/>
      <c r="CF1463" s="1684"/>
      <c r="CG1463" s="1684"/>
      <c r="CH1463" s="1684"/>
      <c r="CI1463" s="1684"/>
      <c r="CJ1463" s="1684"/>
      <c r="CK1463" s="1684"/>
      <c r="CL1463" s="1684"/>
      <c r="CM1463" s="1684"/>
      <c r="CN1463" s="1684"/>
      <c r="CO1463" s="1684"/>
      <c r="CP1463" s="1391"/>
      <c r="CQ1463" s="1391"/>
      <c r="CR1463" s="1391"/>
      <c r="CS1463" s="1391"/>
      <c r="CT1463" s="1391"/>
      <c r="CU1463" s="1391"/>
      <c r="CV1463" s="1391"/>
      <c r="CW1463" s="1391"/>
      <c r="CX1463" s="1391"/>
      <c r="CY1463" s="1391"/>
      <c r="CZ1463" s="1391"/>
      <c r="DA1463" s="1391"/>
      <c r="DB1463" s="1391"/>
      <c r="DC1463" s="1391"/>
      <c r="DD1463" s="1391"/>
      <c r="DE1463" s="1391"/>
      <c r="DF1463" s="1391"/>
      <c r="DG1463" s="1391"/>
      <c r="DH1463" s="1391"/>
      <c r="DI1463" s="1391"/>
    </row>
    <row r="1464" spans="1:113" ht="15" x14ac:dyDescent="0.2">
      <c r="A1464" s="1684"/>
      <c r="B1464" s="1684"/>
      <c r="C1464" s="1686">
        <v>2</v>
      </c>
      <c r="D1464" s="1686">
        <v>0.95</v>
      </c>
      <c r="E1464" s="1391"/>
      <c r="F1464" s="1660">
        <v>2</v>
      </c>
      <c r="G1464" s="1660">
        <v>0.9</v>
      </c>
      <c r="H1464" s="1660">
        <v>0.95</v>
      </c>
      <c r="I1464" s="1684"/>
      <c r="J1464" s="1391">
        <v>2</v>
      </c>
      <c r="K1464" s="1391" t="s">
        <v>4820</v>
      </c>
      <c r="L1464" s="1391"/>
      <c r="M1464" s="1684"/>
      <c r="N1464" s="1684"/>
      <c r="O1464" s="1684"/>
      <c r="P1464" s="1684"/>
      <c r="Q1464" s="1684"/>
      <c r="R1464" s="1684"/>
      <c r="S1464" s="1684"/>
      <c r="T1464" s="1684"/>
      <c r="U1464" s="1684"/>
      <c r="V1464" s="1684"/>
      <c r="W1464" s="1684"/>
      <c r="X1464" s="1684"/>
      <c r="Y1464" s="1684"/>
      <c r="Z1464" s="1684"/>
      <c r="AA1464" s="1684"/>
      <c r="AB1464" s="1684"/>
      <c r="AC1464" s="1684"/>
      <c r="AD1464" s="1684"/>
      <c r="AE1464" s="1684"/>
      <c r="AF1464" s="1684"/>
      <c r="AG1464" s="1684"/>
      <c r="AH1464" s="1684"/>
      <c r="AI1464" s="1684"/>
      <c r="AJ1464" s="1684"/>
      <c r="AK1464" s="1684"/>
      <c r="AL1464" s="1684"/>
      <c r="AM1464" s="1684"/>
      <c r="AN1464" s="1684"/>
      <c r="AO1464" s="1684"/>
      <c r="AP1464" s="1684"/>
      <c r="AQ1464" s="1684"/>
      <c r="AR1464" s="1684"/>
      <c r="AS1464" s="1684"/>
      <c r="AT1464" s="1684"/>
      <c r="AU1464" s="1684"/>
      <c r="AV1464" s="1684"/>
      <c r="AW1464" s="1684"/>
      <c r="AX1464" s="1684"/>
      <c r="AY1464" s="1684"/>
      <c r="AZ1464" s="1684"/>
      <c r="BA1464" s="1684"/>
      <c r="BB1464" s="1684"/>
      <c r="BC1464" s="1684"/>
      <c r="BD1464" s="1684"/>
      <c r="BE1464" s="1684"/>
      <c r="BF1464" s="1684"/>
      <c r="BG1464" s="1684"/>
      <c r="BH1464" s="1684"/>
      <c r="BI1464" s="1684"/>
      <c r="BJ1464" s="1684"/>
      <c r="BK1464" s="1684"/>
      <c r="BL1464" s="1684"/>
      <c r="BM1464" s="1684"/>
      <c r="BN1464" s="1684"/>
      <c r="BO1464" s="1684"/>
      <c r="BP1464" s="1684"/>
      <c r="BQ1464" s="1684"/>
      <c r="BR1464" s="1684"/>
      <c r="BS1464" s="1684"/>
      <c r="BT1464" s="1684"/>
      <c r="BU1464" s="1684"/>
      <c r="BV1464" s="1684"/>
      <c r="BW1464" s="1684"/>
      <c r="BX1464" s="1684"/>
      <c r="BY1464" s="1684"/>
      <c r="BZ1464" s="1684"/>
      <c r="CA1464" s="1684"/>
      <c r="CB1464" s="1684"/>
      <c r="CC1464" s="1684"/>
      <c r="CD1464" s="1684"/>
      <c r="CE1464" s="1684"/>
      <c r="CF1464" s="1684"/>
      <c r="CG1464" s="1684"/>
      <c r="CH1464" s="1684"/>
      <c r="CI1464" s="1684"/>
      <c r="CJ1464" s="1684"/>
      <c r="CK1464" s="1684"/>
      <c r="CL1464" s="1684"/>
      <c r="CM1464" s="1684"/>
      <c r="CN1464" s="1684"/>
      <c r="CO1464" s="1684"/>
      <c r="CP1464" s="1391"/>
      <c r="CQ1464" s="1391"/>
      <c r="CR1464" s="1391"/>
      <c r="CS1464" s="1391"/>
      <c r="CT1464" s="1391"/>
      <c r="CU1464" s="1391"/>
      <c r="CV1464" s="1391"/>
      <c r="CW1464" s="1391"/>
      <c r="CX1464" s="1391"/>
      <c r="CY1464" s="1391"/>
      <c r="CZ1464" s="1391"/>
      <c r="DA1464" s="1391"/>
      <c r="DB1464" s="1391"/>
      <c r="DC1464" s="1391"/>
      <c r="DD1464" s="1391"/>
      <c r="DE1464" s="1391"/>
      <c r="DF1464" s="1391"/>
      <c r="DG1464" s="1391"/>
      <c r="DH1464" s="1391"/>
      <c r="DI1464" s="1391"/>
    </row>
    <row r="1465" spans="1:113" ht="15" x14ac:dyDescent="0.2">
      <c r="A1465" s="1684"/>
      <c r="B1465" s="1684"/>
      <c r="C1465" s="1686">
        <v>3</v>
      </c>
      <c r="D1465" s="1686">
        <v>0.9</v>
      </c>
      <c r="E1465" s="1391"/>
      <c r="F1465" s="1660">
        <v>3</v>
      </c>
      <c r="G1465" s="1660">
        <v>0.85</v>
      </c>
      <c r="H1465" s="1660">
        <v>0.9</v>
      </c>
      <c r="I1465" s="1684"/>
      <c r="J1465" s="1391">
        <v>3</v>
      </c>
      <c r="K1465" s="1391" t="s">
        <v>4821</v>
      </c>
      <c r="L1465" s="1391"/>
      <c r="M1465" s="1684"/>
      <c r="N1465" s="1684"/>
      <c r="O1465" s="1684"/>
      <c r="P1465" s="1684"/>
      <c r="Q1465" s="1684"/>
      <c r="R1465" s="1684"/>
      <c r="S1465" s="1684"/>
      <c r="T1465" s="1684"/>
      <c r="U1465" s="1684"/>
      <c r="V1465" s="1684"/>
      <c r="W1465" s="1684"/>
      <c r="X1465" s="1684"/>
      <c r="Y1465" s="1684"/>
      <c r="Z1465" s="1684"/>
      <c r="AA1465" s="1684"/>
      <c r="AB1465" s="1684"/>
      <c r="AC1465" s="1684"/>
      <c r="AD1465" s="1684"/>
      <c r="AE1465" s="1684"/>
      <c r="AF1465" s="1684"/>
      <c r="AG1465" s="1684"/>
      <c r="AH1465" s="1684"/>
      <c r="AI1465" s="1684"/>
      <c r="AJ1465" s="1684"/>
      <c r="AK1465" s="1684"/>
      <c r="AL1465" s="1684"/>
      <c r="AM1465" s="1684"/>
      <c r="AN1465" s="1684"/>
      <c r="AO1465" s="1684"/>
      <c r="AP1465" s="1684"/>
      <c r="AQ1465" s="1684"/>
      <c r="AR1465" s="1684"/>
      <c r="AS1465" s="1684"/>
      <c r="AT1465" s="1684"/>
      <c r="AU1465" s="1684"/>
      <c r="AV1465" s="1684"/>
      <c r="AW1465" s="1684"/>
      <c r="AX1465" s="1684"/>
      <c r="AY1465" s="1684"/>
      <c r="AZ1465" s="1684"/>
      <c r="BA1465" s="1684"/>
      <c r="BB1465" s="1684"/>
      <c r="BC1465" s="1684"/>
      <c r="BD1465" s="1684"/>
      <c r="BE1465" s="1684"/>
      <c r="BF1465" s="1684"/>
      <c r="BG1465" s="1684"/>
      <c r="BH1465" s="1684"/>
      <c r="BI1465" s="1684"/>
      <c r="BJ1465" s="1684"/>
      <c r="BK1465" s="1684"/>
      <c r="BL1465" s="1684"/>
      <c r="BM1465" s="1684"/>
      <c r="BN1465" s="1684"/>
      <c r="BO1465" s="1684"/>
      <c r="BP1465" s="1684"/>
      <c r="BQ1465" s="1684"/>
      <c r="BR1465" s="1684"/>
      <c r="BS1465" s="1684"/>
      <c r="BT1465" s="1684"/>
      <c r="BU1465" s="1684"/>
      <c r="BV1465" s="1684"/>
      <c r="BW1465" s="1684"/>
      <c r="BX1465" s="1684"/>
      <c r="BY1465" s="1684"/>
      <c r="BZ1465" s="1684"/>
      <c r="CA1465" s="1684"/>
      <c r="CB1465" s="1684"/>
      <c r="CC1465" s="1684"/>
      <c r="CD1465" s="1684"/>
      <c r="CE1465" s="1684"/>
      <c r="CF1465" s="1684"/>
      <c r="CG1465" s="1684"/>
      <c r="CH1465" s="1684"/>
      <c r="CI1465" s="1684"/>
      <c r="CJ1465" s="1684"/>
      <c r="CK1465" s="1684"/>
      <c r="CL1465" s="1684"/>
      <c r="CM1465" s="1684"/>
      <c r="CN1465" s="1684"/>
      <c r="CO1465" s="1684"/>
      <c r="CP1465" s="1391"/>
      <c r="CQ1465" s="1391"/>
      <c r="CR1465" s="1391"/>
      <c r="CS1465" s="1391"/>
      <c r="CT1465" s="1391"/>
      <c r="CU1465" s="1391"/>
      <c r="CV1465" s="1391"/>
      <c r="CW1465" s="1391"/>
      <c r="CX1465" s="1391"/>
      <c r="CY1465" s="1391"/>
      <c r="CZ1465" s="1391"/>
      <c r="DA1465" s="1391"/>
      <c r="DB1465" s="1391"/>
      <c r="DC1465" s="1391"/>
      <c r="DD1465" s="1391"/>
      <c r="DE1465" s="1391"/>
      <c r="DF1465" s="1391"/>
      <c r="DG1465" s="1391"/>
      <c r="DH1465" s="1391"/>
      <c r="DI1465" s="1391"/>
    </row>
    <row r="1466" spans="1:113" ht="15" x14ac:dyDescent="0.2">
      <c r="A1466" s="1684"/>
      <c r="B1466" s="1684"/>
      <c r="C1466" s="1686">
        <v>4</v>
      </c>
      <c r="D1466" s="1686">
        <v>0.85</v>
      </c>
      <c r="E1466" s="1391"/>
      <c r="F1466" s="1660">
        <v>4</v>
      </c>
      <c r="G1466" s="1660">
        <v>0.8</v>
      </c>
      <c r="H1466" s="1660">
        <v>0.85</v>
      </c>
      <c r="I1466" s="1684"/>
      <c r="J1466" s="1391">
        <v>4</v>
      </c>
      <c r="K1466" s="1391" t="s">
        <v>4822</v>
      </c>
      <c r="L1466" s="1391"/>
      <c r="M1466" s="1684"/>
      <c r="N1466" s="1684"/>
      <c r="O1466" s="1684"/>
      <c r="P1466" s="1684"/>
      <c r="Q1466" s="1684"/>
      <c r="R1466" s="1684"/>
      <c r="S1466" s="1684"/>
      <c r="T1466" s="1684"/>
      <c r="U1466" s="1684"/>
      <c r="V1466" s="1684"/>
      <c r="W1466" s="1684"/>
      <c r="X1466" s="1684"/>
      <c r="Y1466" s="1684"/>
      <c r="Z1466" s="1684"/>
      <c r="AA1466" s="1684"/>
      <c r="AB1466" s="1684"/>
      <c r="AC1466" s="1684"/>
      <c r="AD1466" s="1684"/>
      <c r="AE1466" s="1684"/>
      <c r="AF1466" s="1684"/>
      <c r="AG1466" s="1684"/>
      <c r="AH1466" s="1684"/>
      <c r="AI1466" s="1684"/>
      <c r="AJ1466" s="1684"/>
      <c r="AK1466" s="1684"/>
      <c r="AL1466" s="1684"/>
      <c r="AM1466" s="1684"/>
      <c r="AN1466" s="1684"/>
      <c r="AO1466" s="1684"/>
      <c r="AP1466" s="1684"/>
      <c r="AQ1466" s="1684"/>
      <c r="AR1466" s="1684"/>
      <c r="AS1466" s="1684"/>
      <c r="AT1466" s="1684"/>
      <c r="AU1466" s="1684"/>
      <c r="AV1466" s="1684"/>
      <c r="AW1466" s="1684"/>
      <c r="AX1466" s="1684"/>
      <c r="AY1466" s="1684"/>
      <c r="AZ1466" s="1684"/>
      <c r="BA1466" s="1684"/>
      <c r="BB1466" s="1684"/>
      <c r="BC1466" s="1684"/>
      <c r="BD1466" s="1684"/>
      <c r="BE1466" s="1684"/>
      <c r="BF1466" s="1684"/>
      <c r="BG1466" s="1684"/>
      <c r="BH1466" s="1684"/>
      <c r="BI1466" s="1684"/>
      <c r="BJ1466" s="1684"/>
      <c r="BK1466" s="1684"/>
      <c r="BL1466" s="1684"/>
      <c r="BM1466" s="1684"/>
      <c r="BN1466" s="1684"/>
      <c r="BO1466" s="1684"/>
      <c r="BP1466" s="1684"/>
      <c r="BQ1466" s="1684"/>
      <c r="BR1466" s="1684"/>
      <c r="BS1466" s="1684"/>
      <c r="BT1466" s="1684"/>
      <c r="BU1466" s="1684"/>
      <c r="BV1466" s="1684"/>
      <c r="BW1466" s="1684"/>
      <c r="BX1466" s="1684"/>
      <c r="BY1466" s="1684"/>
      <c r="BZ1466" s="1684"/>
      <c r="CA1466" s="1684"/>
      <c r="CB1466" s="1684"/>
      <c r="CC1466" s="1684"/>
      <c r="CD1466" s="1684"/>
      <c r="CE1466" s="1684"/>
      <c r="CF1466" s="1684"/>
      <c r="CG1466" s="1684"/>
      <c r="CH1466" s="1684"/>
      <c r="CI1466" s="1684"/>
      <c r="CJ1466" s="1684"/>
      <c r="CK1466" s="1684"/>
      <c r="CL1466" s="1684"/>
      <c r="CM1466" s="1684"/>
      <c r="CN1466" s="1684"/>
      <c r="CO1466" s="1684"/>
      <c r="CP1466" s="1391"/>
      <c r="CQ1466" s="1391"/>
      <c r="CR1466" s="1391"/>
      <c r="CS1466" s="1391"/>
      <c r="CT1466" s="1391"/>
      <c r="CU1466" s="1391"/>
      <c r="CV1466" s="1391"/>
      <c r="CW1466" s="1391"/>
      <c r="CX1466" s="1391"/>
      <c r="CY1466" s="1391"/>
      <c r="CZ1466" s="1391"/>
      <c r="DA1466" s="1391"/>
      <c r="DB1466" s="1391"/>
      <c r="DC1466" s="1391"/>
      <c r="DD1466" s="1391"/>
      <c r="DE1466" s="1391"/>
      <c r="DF1466" s="1391"/>
      <c r="DG1466" s="1391"/>
      <c r="DH1466" s="1391"/>
      <c r="DI1466" s="1391"/>
    </row>
    <row r="1467" spans="1:113" ht="15" x14ac:dyDescent="0.2">
      <c r="A1467" s="1684"/>
      <c r="B1467" s="1684"/>
      <c r="C1467" s="1391"/>
      <c r="D1467" s="1391"/>
      <c r="E1467" s="1391"/>
      <c r="F1467" s="1391"/>
      <c r="G1467" s="1391"/>
      <c r="H1467" s="1391"/>
      <c r="I1467" s="1684"/>
      <c r="J1467" s="1391">
        <v>5</v>
      </c>
      <c r="K1467" s="1391" t="s">
        <v>4823</v>
      </c>
      <c r="L1467" s="1391"/>
      <c r="M1467" s="1684"/>
      <c r="N1467" s="1684"/>
      <c r="O1467" s="1684"/>
      <c r="P1467" s="1684"/>
      <c r="Q1467" s="1684"/>
      <c r="R1467" s="1684"/>
      <c r="S1467" s="1684"/>
      <c r="T1467" s="1684"/>
      <c r="U1467" s="1684"/>
      <c r="V1467" s="1684"/>
      <c r="W1467" s="1684"/>
      <c r="X1467" s="1684"/>
      <c r="Y1467" s="1684"/>
      <c r="Z1467" s="1684"/>
      <c r="AA1467" s="1684"/>
      <c r="AB1467" s="1684"/>
      <c r="AC1467" s="1684"/>
      <c r="AD1467" s="1684"/>
      <c r="AE1467" s="1684"/>
      <c r="AF1467" s="1684"/>
      <c r="AG1467" s="1684"/>
      <c r="AH1467" s="1684"/>
      <c r="AI1467" s="1684"/>
      <c r="AJ1467" s="1684"/>
      <c r="AK1467" s="1684"/>
      <c r="AL1467" s="1684"/>
      <c r="AM1467" s="1684"/>
      <c r="AN1467" s="1684"/>
      <c r="AO1467" s="1684"/>
      <c r="AP1467" s="1684"/>
      <c r="AQ1467" s="1684"/>
      <c r="AR1467" s="1684"/>
      <c r="AS1467" s="1684"/>
      <c r="AT1467" s="1684"/>
      <c r="AU1467" s="1684"/>
      <c r="AV1467" s="1684"/>
      <c r="AW1467" s="1684"/>
      <c r="AX1467" s="1684"/>
      <c r="AY1467" s="1684"/>
      <c r="AZ1467" s="1684"/>
      <c r="BA1467" s="1684"/>
      <c r="BB1467" s="1684"/>
      <c r="BC1467" s="1684"/>
      <c r="BD1467" s="1684"/>
      <c r="BE1467" s="1684"/>
      <c r="BF1467" s="1684"/>
      <c r="BG1467" s="1684"/>
      <c r="BH1467" s="1684"/>
      <c r="BI1467" s="1684"/>
      <c r="BJ1467" s="1684"/>
      <c r="BK1467" s="1684"/>
      <c r="BL1467" s="1684"/>
      <c r="BM1467" s="1684"/>
      <c r="BN1467" s="1684"/>
      <c r="BO1467" s="1684"/>
      <c r="BP1467" s="1684"/>
      <c r="BQ1467" s="1684"/>
      <c r="BR1467" s="1684"/>
      <c r="BS1467" s="1684"/>
      <c r="BT1467" s="1684"/>
      <c r="BU1467" s="1684"/>
      <c r="BV1467" s="1684"/>
      <c r="BW1467" s="1684"/>
      <c r="BX1467" s="1684"/>
      <c r="BY1467" s="1684"/>
      <c r="BZ1467" s="1684"/>
      <c r="CA1467" s="1684"/>
      <c r="CB1467" s="1684"/>
      <c r="CC1467" s="1684"/>
      <c r="CD1467" s="1684"/>
      <c r="CE1467" s="1684"/>
      <c r="CF1467" s="1684"/>
      <c r="CG1467" s="1684"/>
      <c r="CH1467" s="1684"/>
      <c r="CI1467" s="1684"/>
      <c r="CJ1467" s="1684"/>
      <c r="CK1467" s="1684"/>
      <c r="CL1467" s="1684"/>
      <c r="CM1467" s="1684"/>
      <c r="CN1467" s="1684"/>
      <c r="CO1467" s="1684"/>
      <c r="CP1467" s="1391"/>
      <c r="CQ1467" s="1391"/>
      <c r="CR1467" s="1391"/>
      <c r="CS1467" s="1391"/>
      <c r="CT1467" s="1391"/>
      <c r="CU1467" s="1391"/>
      <c r="CV1467" s="1391"/>
      <c r="CW1467" s="1391"/>
      <c r="CX1467" s="1391"/>
      <c r="CY1467" s="1391"/>
      <c r="CZ1467" s="1391"/>
      <c r="DA1467" s="1391"/>
      <c r="DB1467" s="1391"/>
      <c r="DC1467" s="1391"/>
      <c r="DD1467" s="1391"/>
      <c r="DE1467" s="1391"/>
      <c r="DF1467" s="1391"/>
      <c r="DG1467" s="1391"/>
      <c r="DH1467" s="1391"/>
      <c r="DI1467" s="1391"/>
    </row>
    <row r="1468" spans="1:113" ht="15" x14ac:dyDescent="0.2">
      <c r="A1468" s="1684"/>
      <c r="B1468" s="1684"/>
      <c r="C1468" s="1688" t="s">
        <v>4824</v>
      </c>
      <c r="D1468" s="1688" t="s">
        <v>4825</v>
      </c>
      <c r="E1468" s="1688" t="s">
        <v>4826</v>
      </c>
      <c r="F1468" s="1688" t="s">
        <v>4827</v>
      </c>
      <c r="G1468" s="1688" t="s">
        <v>4828</v>
      </c>
      <c r="H1468" s="1688"/>
      <c r="I1468" s="1684"/>
      <c r="J1468" s="1684"/>
      <c r="K1468" s="1684"/>
      <c r="L1468" s="1684"/>
      <c r="M1468" s="1684"/>
      <c r="N1468" s="1684"/>
      <c r="O1468" s="1684"/>
      <c r="P1468" s="1684"/>
      <c r="Q1468" s="1684"/>
      <c r="R1468" s="1684"/>
      <c r="S1468" s="1684"/>
      <c r="T1468" s="1684"/>
      <c r="U1468" s="1684"/>
      <c r="V1468" s="1684"/>
      <c r="W1468" s="1684"/>
      <c r="X1468" s="1684"/>
      <c r="Y1468" s="1684"/>
      <c r="Z1468" s="1684"/>
      <c r="AA1468" s="1684"/>
      <c r="AB1468" s="1684"/>
      <c r="AC1468" s="1684"/>
      <c r="AD1468" s="1684"/>
      <c r="AE1468" s="1684"/>
      <c r="AF1468" s="1684"/>
      <c r="AG1468" s="1684"/>
      <c r="AH1468" s="1684"/>
      <c r="AI1468" s="1684"/>
      <c r="AJ1468" s="1684"/>
      <c r="AK1468" s="1684"/>
      <c r="AL1468" s="1684"/>
      <c r="AM1468" s="1684"/>
      <c r="AN1468" s="1684"/>
      <c r="AO1468" s="1684"/>
      <c r="AP1468" s="1684"/>
      <c r="AQ1468" s="1684"/>
      <c r="AR1468" s="1684"/>
      <c r="AS1468" s="1684"/>
      <c r="AT1468" s="1684"/>
      <c r="AU1468" s="1684"/>
      <c r="AV1468" s="1684"/>
      <c r="AW1468" s="1684"/>
      <c r="AX1468" s="1684"/>
      <c r="AY1468" s="1684"/>
      <c r="AZ1468" s="1684"/>
      <c r="BA1468" s="1684"/>
      <c r="BB1468" s="1684"/>
      <c r="BC1468" s="1684"/>
      <c r="BD1468" s="1684"/>
      <c r="BE1468" s="1684"/>
      <c r="BF1468" s="1684"/>
      <c r="BG1468" s="1684"/>
      <c r="BH1468" s="1684"/>
      <c r="BI1468" s="1684"/>
      <c r="BJ1468" s="1684"/>
      <c r="BK1468" s="1684"/>
      <c r="BL1468" s="1684"/>
      <c r="BM1468" s="1684"/>
      <c r="BN1468" s="1684"/>
      <c r="BO1468" s="1684"/>
      <c r="BP1468" s="1684"/>
      <c r="BQ1468" s="1684"/>
      <c r="BR1468" s="1684"/>
      <c r="BS1468" s="1684"/>
      <c r="BT1468" s="1684"/>
      <c r="BU1468" s="1684"/>
      <c r="BV1468" s="1684"/>
      <c r="BW1468" s="1684"/>
      <c r="BX1468" s="1684"/>
      <c r="BY1468" s="1684"/>
      <c r="BZ1468" s="1684"/>
      <c r="CA1468" s="1684"/>
      <c r="CB1468" s="1684"/>
      <c r="CC1468" s="1684"/>
      <c r="CD1468" s="1684"/>
      <c r="CE1468" s="1684"/>
      <c r="CF1468" s="1684"/>
      <c r="CG1468" s="1684"/>
      <c r="CH1468" s="1684"/>
      <c r="CI1468" s="1684"/>
      <c r="CJ1468" s="1684"/>
      <c r="CK1468" s="1684"/>
      <c r="CL1468" s="1684"/>
      <c r="CM1468" s="1684"/>
      <c r="CN1468" s="1684"/>
      <c r="CO1468" s="1684"/>
      <c r="CP1468" s="1391"/>
      <c r="CQ1468" s="1391"/>
      <c r="CR1468" s="1391"/>
      <c r="CS1468" s="1391"/>
      <c r="CT1468" s="1391"/>
      <c r="CU1468" s="1391"/>
      <c r="CV1468" s="1391"/>
      <c r="CW1468" s="1391"/>
      <c r="CX1468" s="1391"/>
      <c r="CY1468" s="1391"/>
      <c r="CZ1468" s="1391"/>
      <c r="DA1468" s="1391"/>
      <c r="DB1468" s="1391"/>
      <c r="DC1468" s="1391"/>
      <c r="DD1468" s="1391"/>
      <c r="DE1468" s="1391"/>
      <c r="DF1468" s="1391"/>
      <c r="DG1468" s="1391"/>
      <c r="DH1468" s="1391"/>
      <c r="DI1468" s="1391"/>
    </row>
    <row r="1469" spans="1:113" ht="15" x14ac:dyDescent="0.2">
      <c r="A1469" s="1684"/>
      <c r="B1469" s="1684"/>
      <c r="C1469" s="1688">
        <v>1</v>
      </c>
      <c r="D1469" s="1688">
        <v>0.95</v>
      </c>
      <c r="E1469" s="1688">
        <v>0.9</v>
      </c>
      <c r="F1469" s="1688">
        <v>0.85</v>
      </c>
      <c r="G1469" s="1688">
        <v>0.8</v>
      </c>
      <c r="H1469" s="1688"/>
      <c r="I1469" s="1684"/>
      <c r="J1469" s="1684"/>
      <c r="K1469" s="1684"/>
      <c r="L1469" s="1684"/>
      <c r="M1469" s="1684"/>
      <c r="N1469" s="1684"/>
      <c r="O1469" s="1684"/>
      <c r="P1469" s="1684"/>
      <c r="Q1469" s="1684"/>
      <c r="R1469" s="1684"/>
      <c r="S1469" s="1684"/>
      <c r="T1469" s="1684"/>
      <c r="U1469" s="1684"/>
      <c r="V1469" s="1684"/>
      <c r="W1469" s="1684"/>
      <c r="X1469" s="1684"/>
      <c r="Y1469" s="1684"/>
      <c r="Z1469" s="1684"/>
      <c r="AA1469" s="1684"/>
      <c r="AB1469" s="1684"/>
      <c r="AC1469" s="1684"/>
      <c r="AD1469" s="1684"/>
      <c r="AE1469" s="1684"/>
      <c r="AF1469" s="1684"/>
      <c r="AG1469" s="1684"/>
      <c r="AH1469" s="1684"/>
      <c r="AI1469" s="1684"/>
      <c r="AJ1469" s="1684"/>
      <c r="AK1469" s="1684"/>
      <c r="AL1469" s="1684"/>
      <c r="AM1469" s="1684"/>
      <c r="AN1469" s="1684"/>
      <c r="AO1469" s="1684"/>
      <c r="AP1469" s="1684"/>
      <c r="AQ1469" s="1684"/>
      <c r="AR1469" s="1684"/>
      <c r="AS1469" s="1684"/>
      <c r="AT1469" s="1684"/>
      <c r="AU1469" s="1684"/>
      <c r="AV1469" s="1684"/>
      <c r="AW1469" s="1684"/>
      <c r="AX1469" s="1684"/>
      <c r="AY1469" s="1684"/>
      <c r="AZ1469" s="1684"/>
      <c r="BA1469" s="1684"/>
      <c r="BB1469" s="1684"/>
      <c r="BC1469" s="1684"/>
      <c r="BD1469" s="1684"/>
      <c r="BE1469" s="1684"/>
      <c r="BF1469" s="1684"/>
      <c r="BG1469" s="1684"/>
      <c r="BH1469" s="1684"/>
      <c r="BI1469" s="1684"/>
      <c r="BJ1469" s="1684"/>
      <c r="BK1469" s="1684"/>
      <c r="BL1469" s="1684"/>
      <c r="BM1469" s="1684"/>
      <c r="BN1469" s="1684"/>
      <c r="BO1469" s="1684"/>
      <c r="BP1469" s="1684"/>
      <c r="BQ1469" s="1684"/>
      <c r="BR1469" s="1684"/>
      <c r="BS1469" s="1684"/>
      <c r="BT1469" s="1684"/>
      <c r="BU1469" s="1684"/>
      <c r="BV1469" s="1684"/>
      <c r="BW1469" s="1684"/>
      <c r="BX1469" s="1684"/>
      <c r="BY1469" s="1684"/>
      <c r="BZ1469" s="1684"/>
      <c r="CA1469" s="1684"/>
      <c r="CB1469" s="1684"/>
      <c r="CC1469" s="1684"/>
      <c r="CD1469" s="1684"/>
      <c r="CE1469" s="1684"/>
      <c r="CF1469" s="1684"/>
      <c r="CG1469" s="1684"/>
      <c r="CH1469" s="1684"/>
      <c r="CI1469" s="1684"/>
      <c r="CJ1469" s="1684"/>
      <c r="CK1469" s="1684"/>
      <c r="CL1469" s="1684"/>
      <c r="CM1469" s="1684"/>
      <c r="CN1469" s="1684"/>
      <c r="CO1469" s="1684"/>
      <c r="CP1469" s="1391"/>
      <c r="CQ1469" s="1391"/>
      <c r="CR1469" s="1391"/>
      <c r="CS1469" s="1391"/>
      <c r="CT1469" s="1391"/>
      <c r="CU1469" s="1391"/>
      <c r="CV1469" s="1391"/>
      <c r="CW1469" s="1391"/>
      <c r="CX1469" s="1391"/>
      <c r="CY1469" s="1391"/>
      <c r="CZ1469" s="1391"/>
      <c r="DA1469" s="1391"/>
      <c r="DB1469" s="1391"/>
      <c r="DC1469" s="1391"/>
      <c r="DD1469" s="1391"/>
      <c r="DE1469" s="1391"/>
      <c r="DF1469" s="1391"/>
      <c r="DG1469" s="1391"/>
      <c r="DH1469" s="1391"/>
      <c r="DI1469" s="1391"/>
    </row>
    <row r="1470" spans="1:113" ht="15.75" thickBot="1" x14ac:dyDescent="0.25">
      <c r="A1470" s="1684"/>
      <c r="B1470" s="1684"/>
      <c r="C1470" s="1689"/>
      <c r="D1470" s="1689"/>
      <c r="E1470" s="1689"/>
      <c r="F1470" s="1689"/>
      <c r="G1470" s="1684"/>
      <c r="H1470" s="1684"/>
      <c r="I1470" s="1684"/>
      <c r="J1470" s="1684"/>
      <c r="K1470" s="1684"/>
      <c r="L1470" s="1684"/>
      <c r="M1470" s="1391"/>
      <c r="N1470" s="1391"/>
      <c r="O1470" s="1391"/>
      <c r="P1470" s="1391"/>
      <c r="Q1470" s="1684"/>
      <c r="R1470" s="1684"/>
      <c r="S1470" s="1684"/>
      <c r="T1470" s="1684"/>
      <c r="U1470" s="1684"/>
      <c r="V1470" s="1684"/>
      <c r="W1470" s="1684"/>
      <c r="X1470" s="1684"/>
      <c r="Y1470" s="1684"/>
      <c r="Z1470" s="1684"/>
      <c r="AA1470" s="1684"/>
      <c r="AB1470" s="1684"/>
      <c r="AC1470" s="1684"/>
      <c r="AD1470" s="1684"/>
      <c r="AE1470" s="1684"/>
      <c r="AF1470" s="1684"/>
      <c r="AG1470" s="1684"/>
      <c r="AH1470" s="1684"/>
      <c r="AI1470" s="1684"/>
      <c r="AJ1470" s="1684"/>
      <c r="AK1470" s="1684"/>
      <c r="AL1470" s="1684"/>
      <c r="AM1470" s="1684"/>
      <c r="AN1470" s="1684"/>
      <c r="AO1470" s="1684"/>
      <c r="AP1470" s="1684"/>
      <c r="AQ1470" s="1684"/>
      <c r="AR1470" s="1684"/>
      <c r="AS1470" s="1684"/>
      <c r="AT1470" s="1684"/>
      <c r="AU1470" s="1684"/>
      <c r="AV1470" s="1684"/>
      <c r="AW1470" s="1684"/>
      <c r="AX1470" s="1684"/>
      <c r="AY1470" s="1684"/>
      <c r="AZ1470" s="1684"/>
      <c r="BA1470" s="1684"/>
      <c r="BB1470" s="1684"/>
      <c r="BC1470" s="1684"/>
      <c r="BD1470" s="1684"/>
      <c r="BE1470" s="1684"/>
      <c r="BF1470" s="1684"/>
      <c r="BG1470" s="1684"/>
      <c r="BH1470" s="1684"/>
      <c r="BI1470" s="1684"/>
      <c r="BJ1470" s="1684"/>
      <c r="BK1470" s="1684"/>
      <c r="BL1470" s="1684"/>
      <c r="BM1470" s="1684"/>
      <c r="BN1470" s="1684"/>
      <c r="BO1470" s="1684"/>
      <c r="BP1470" s="1684"/>
      <c r="BQ1470" s="1684"/>
      <c r="BR1470" s="1684"/>
      <c r="BS1470" s="1684"/>
      <c r="BT1470" s="1684"/>
      <c r="BU1470" s="1684"/>
      <c r="BV1470" s="1684"/>
      <c r="BW1470" s="1684"/>
      <c r="BX1470" s="1684"/>
      <c r="BY1470" s="1684"/>
      <c r="BZ1470" s="1684"/>
      <c r="CA1470" s="1684"/>
      <c r="CB1470" s="1684"/>
      <c r="CC1470" s="1684"/>
      <c r="CD1470" s="1684"/>
      <c r="CE1470" s="1684"/>
      <c r="CF1470" s="1684"/>
      <c r="CG1470" s="1684"/>
      <c r="CH1470" s="1684"/>
      <c r="CI1470" s="1684"/>
      <c r="CJ1470" s="1684"/>
      <c r="CK1470" s="1684"/>
      <c r="CL1470" s="1684"/>
      <c r="CM1470" s="1684"/>
      <c r="CN1470" s="1684"/>
      <c r="CO1470" s="1684"/>
      <c r="CP1470" s="1391"/>
      <c r="CQ1470" s="1391"/>
      <c r="CR1470" s="1391"/>
      <c r="CS1470" s="1391"/>
      <c r="CT1470" s="1391"/>
      <c r="CU1470" s="1391"/>
      <c r="CV1470" s="1391"/>
      <c r="CW1470" s="1391"/>
      <c r="CX1470" s="1391"/>
      <c r="CY1470" s="1391"/>
      <c r="CZ1470" s="1391"/>
      <c r="DA1470" s="1391"/>
      <c r="DB1470" s="1391"/>
      <c r="DC1470" s="1391"/>
      <c r="DD1470" s="1391"/>
      <c r="DE1470" s="1391"/>
      <c r="DF1470" s="1391"/>
      <c r="DG1470" s="1391"/>
      <c r="DH1470" s="1391"/>
      <c r="DI1470" s="1391"/>
    </row>
    <row r="1471" spans="1:113" ht="15.75" x14ac:dyDescent="0.25">
      <c r="A1471" s="1684"/>
      <c r="B1471" s="1690"/>
      <c r="C1471" s="4620" t="s">
        <v>4783</v>
      </c>
      <c r="D1471" s="1691" t="s">
        <v>4784</v>
      </c>
      <c r="E1471" s="1691"/>
      <c r="F1471" s="1692"/>
      <c r="G1471" s="1693"/>
      <c r="H1471" s="1694" t="s">
        <v>1509</v>
      </c>
      <c r="I1471" s="1694"/>
      <c r="J1471" s="1694"/>
      <c r="K1471" s="1694"/>
      <c r="L1471" s="1694"/>
      <c r="M1471" s="1694"/>
      <c r="N1471" s="1694"/>
      <c r="O1471" s="1694"/>
      <c r="P1471" s="1694"/>
      <c r="Q1471" s="1694"/>
      <c r="R1471" s="1391"/>
      <c r="S1471" s="1391"/>
      <c r="T1471" s="1694" t="s">
        <v>1425</v>
      </c>
      <c r="U1471" s="1694"/>
      <c r="V1471" s="1694"/>
      <c r="W1471" s="1694"/>
      <c r="X1471" s="1694"/>
      <c r="Y1471" s="1391"/>
      <c r="Z1471" s="1391"/>
      <c r="AA1471" s="1391"/>
      <c r="AB1471" s="1391"/>
      <c r="AC1471" s="1391"/>
      <c r="AD1471" s="1391"/>
      <c r="AE1471" s="1391"/>
      <c r="AF1471" s="1391"/>
      <c r="AG1471" s="1391"/>
      <c r="AH1471" s="1391"/>
      <c r="AI1471" s="1391"/>
      <c r="AJ1471" s="1391"/>
      <c r="AK1471" s="1391"/>
      <c r="AL1471" s="1391"/>
      <c r="AM1471" s="1391"/>
      <c r="AN1471" s="1391"/>
      <c r="AO1471" s="1391"/>
      <c r="AP1471" s="1391"/>
      <c r="AQ1471" s="1684"/>
      <c r="AR1471" s="1684"/>
      <c r="AS1471" s="1684"/>
      <c r="AT1471" s="1684"/>
      <c r="AU1471" s="1684"/>
      <c r="AV1471" s="1684"/>
      <c r="AW1471" s="1684"/>
      <c r="AX1471" s="1684"/>
      <c r="AY1471" s="1684"/>
      <c r="AZ1471" s="1684"/>
      <c r="BA1471" s="1684"/>
      <c r="BB1471" s="1684"/>
      <c r="BC1471" s="1684"/>
      <c r="BD1471" s="1684"/>
      <c r="BE1471" s="1684"/>
      <c r="BF1471" s="1684"/>
      <c r="BG1471" s="1684"/>
      <c r="BH1471" s="1684"/>
      <c r="BI1471" s="1684"/>
      <c r="BJ1471" s="1684"/>
      <c r="BK1471" s="1684"/>
      <c r="BL1471" s="1684"/>
      <c r="BM1471" s="1684"/>
      <c r="BN1471" s="1684"/>
      <c r="BO1471" s="1684"/>
      <c r="BP1471" s="1684"/>
      <c r="BQ1471" s="1684"/>
      <c r="BR1471" s="1684"/>
      <c r="BS1471" s="1684"/>
      <c r="BT1471" s="1684"/>
      <c r="BU1471" s="1684"/>
      <c r="BV1471" s="1684"/>
      <c r="BW1471" s="1684"/>
      <c r="BX1471" s="1684"/>
      <c r="BY1471" s="1684"/>
      <c r="BZ1471" s="1684"/>
      <c r="CA1471" s="1684"/>
      <c r="CB1471" s="1684"/>
      <c r="CC1471" s="1684"/>
      <c r="CD1471" s="1684"/>
      <c r="CE1471" s="1684"/>
      <c r="CF1471" s="1684"/>
      <c r="CG1471" s="1684"/>
      <c r="CH1471" s="1684"/>
      <c r="CI1471" s="1684"/>
      <c r="CJ1471" s="1684"/>
      <c r="CK1471" s="1684"/>
      <c r="CL1471" s="1684"/>
      <c r="CM1471" s="1684"/>
      <c r="CN1471" s="1684"/>
      <c r="CO1471" s="1684"/>
      <c r="CP1471" s="1391"/>
      <c r="CQ1471" s="1391"/>
      <c r="CR1471" s="1391"/>
      <c r="CS1471" s="1391"/>
      <c r="CT1471" s="1391"/>
      <c r="CU1471" s="1391"/>
      <c r="CV1471" s="1391"/>
      <c r="CW1471" s="1391"/>
      <c r="CX1471" s="1391"/>
      <c r="CY1471" s="1391"/>
      <c r="CZ1471" s="1391"/>
      <c r="DA1471" s="1391"/>
      <c r="DB1471" s="1391"/>
      <c r="DC1471" s="1391"/>
      <c r="DD1471" s="1391"/>
      <c r="DE1471" s="1391"/>
      <c r="DF1471" s="1391"/>
      <c r="DG1471" s="1391"/>
      <c r="DH1471" s="1391"/>
      <c r="DI1471" s="1391"/>
    </row>
    <row r="1472" spans="1:113" ht="15.75" x14ac:dyDescent="0.25">
      <c r="A1472" s="1684"/>
      <c r="B1472" s="1690"/>
      <c r="C1472" s="4621"/>
      <c r="D1472" s="4622" t="s">
        <v>1426</v>
      </c>
      <c r="E1472" s="4622" t="s">
        <v>1427</v>
      </c>
      <c r="F1472" s="1695"/>
      <c r="G1472" s="1693"/>
      <c r="H1472" s="1694" t="s">
        <v>1428</v>
      </c>
      <c r="I1472" s="1694"/>
      <c r="J1472" s="1694"/>
      <c r="K1472" s="1694"/>
      <c r="L1472" s="1694"/>
      <c r="M1472" s="1694"/>
      <c r="N1472" s="1694"/>
      <c r="O1472" s="1694"/>
      <c r="P1472" s="1694"/>
      <c r="Q1472" s="1694"/>
      <c r="R1472" s="1391"/>
      <c r="S1472" s="1391"/>
      <c r="T1472" s="1694" t="s">
        <v>1429</v>
      </c>
      <c r="U1472" s="1694"/>
      <c r="V1472" s="1694"/>
      <c r="W1472" s="1694"/>
      <c r="X1472" s="1694"/>
      <c r="Y1472" s="1391"/>
      <c r="Z1472" s="1391"/>
      <c r="AA1472" s="1391"/>
      <c r="AB1472" s="1391"/>
      <c r="AC1472" s="1391"/>
      <c r="AD1472" s="1391"/>
      <c r="AE1472" s="1391"/>
      <c r="AF1472" s="1391"/>
      <c r="AG1472" s="1391"/>
      <c r="AH1472" s="1391"/>
      <c r="AI1472" s="1391"/>
      <c r="AJ1472" s="1391"/>
      <c r="AK1472" s="1391"/>
      <c r="AL1472" s="1391"/>
      <c r="AM1472" s="1391"/>
      <c r="AN1472" s="1391"/>
      <c r="AO1472" s="1391"/>
      <c r="AP1472" s="1391"/>
      <c r="AQ1472" s="1684"/>
      <c r="AR1472" s="1684"/>
      <c r="AS1472" s="1684"/>
      <c r="AT1472" s="1684"/>
      <c r="AU1472" s="1684"/>
      <c r="AV1472" s="1684"/>
      <c r="AW1472" s="1684"/>
      <c r="AX1472" s="1684"/>
      <c r="AY1472" s="1684"/>
      <c r="AZ1472" s="1684"/>
      <c r="BA1472" s="1684"/>
      <c r="BB1472" s="1684"/>
      <c r="BC1472" s="1684"/>
      <c r="BD1472" s="1684"/>
      <c r="BE1472" s="1684"/>
      <c r="BF1472" s="1684"/>
      <c r="BG1472" s="1684"/>
      <c r="BH1472" s="1684"/>
      <c r="BI1472" s="1684"/>
      <c r="BJ1472" s="1684"/>
      <c r="BK1472" s="1684"/>
      <c r="BL1472" s="1684"/>
      <c r="BM1472" s="1684"/>
      <c r="BN1472" s="1684"/>
      <c r="BO1472" s="1684"/>
      <c r="BP1472" s="1684"/>
      <c r="BQ1472" s="1684"/>
      <c r="BR1472" s="1684"/>
      <c r="BS1472" s="1684"/>
      <c r="BT1472" s="1684"/>
      <c r="BU1472" s="1684"/>
      <c r="BV1472" s="1684"/>
      <c r="BW1472" s="1684"/>
      <c r="BX1472" s="1684"/>
      <c r="BY1472" s="1684"/>
      <c r="BZ1472" s="1684"/>
      <c r="CA1472" s="1684"/>
      <c r="CB1472" s="1684"/>
      <c r="CC1472" s="1684"/>
      <c r="CD1472" s="1684"/>
      <c r="CE1472" s="1684"/>
      <c r="CF1472" s="1684"/>
      <c r="CG1472" s="1684"/>
      <c r="CH1472" s="1684"/>
      <c r="CI1472" s="1684"/>
      <c r="CJ1472" s="1684"/>
      <c r="CK1472" s="1684"/>
      <c r="CL1472" s="1684"/>
      <c r="CM1472" s="1684"/>
      <c r="CN1472" s="1684"/>
      <c r="CO1472" s="1684"/>
      <c r="CP1472" s="1391"/>
      <c r="CQ1472" s="1391"/>
      <c r="CR1472" s="1391"/>
      <c r="CS1472" s="1391"/>
      <c r="CT1472" s="1391"/>
      <c r="CU1472" s="1391"/>
      <c r="CV1472" s="1391"/>
      <c r="CW1472" s="1391"/>
      <c r="CX1472" s="1391"/>
      <c r="CY1472" s="1391"/>
      <c r="CZ1472" s="1391"/>
      <c r="DA1472" s="1391"/>
      <c r="DB1472" s="1391"/>
      <c r="DC1472" s="1391"/>
      <c r="DD1472" s="1391"/>
      <c r="DE1472" s="1391"/>
      <c r="DF1472" s="1391"/>
      <c r="DG1472" s="1391"/>
      <c r="DH1472" s="1391"/>
      <c r="DI1472" s="1391"/>
    </row>
    <row r="1473" spans="1:113" ht="15.75" x14ac:dyDescent="0.25">
      <c r="A1473" s="1684"/>
      <c r="B1473" s="1690"/>
      <c r="C1473" s="4621"/>
      <c r="D1473" s="4622"/>
      <c r="E1473" s="4622"/>
      <c r="F1473" s="1695"/>
      <c r="G1473" s="1693"/>
      <c r="H1473" s="1694"/>
      <c r="I1473" s="1694" t="s">
        <v>1430</v>
      </c>
      <c r="J1473" s="1694"/>
      <c r="K1473" s="1694"/>
      <c r="L1473" s="1694"/>
      <c r="M1473" s="1694"/>
      <c r="N1473" s="1694"/>
      <c r="O1473" s="1694"/>
      <c r="P1473" s="1694"/>
      <c r="Q1473" s="1694"/>
      <c r="R1473" s="1391"/>
      <c r="S1473" s="1391"/>
      <c r="T1473" s="1694"/>
      <c r="U1473" s="1694"/>
      <c r="V1473" s="1694" t="s">
        <v>1431</v>
      </c>
      <c r="W1473" s="1694"/>
      <c r="X1473" s="1694"/>
      <c r="Y1473" s="1391"/>
      <c r="Z1473" s="1391"/>
      <c r="AA1473" s="1391"/>
      <c r="AB1473" s="1391"/>
      <c r="AC1473" s="1391"/>
      <c r="AD1473" s="1391"/>
      <c r="AE1473" s="1391"/>
      <c r="AF1473" s="1391"/>
      <c r="AG1473" s="1391"/>
      <c r="AH1473" s="1391"/>
      <c r="AI1473" s="1391"/>
      <c r="AJ1473" s="1391"/>
      <c r="AK1473" s="1391"/>
      <c r="AL1473" s="1391"/>
      <c r="AM1473" s="1391"/>
      <c r="AN1473" s="1391"/>
      <c r="AO1473" s="1391"/>
      <c r="AP1473" s="1391"/>
      <c r="AQ1473" s="1684"/>
      <c r="AR1473" s="1684"/>
      <c r="AS1473" s="1684"/>
      <c r="AT1473" s="1684"/>
      <c r="AU1473" s="1684"/>
      <c r="AV1473" s="1684"/>
      <c r="AW1473" s="1684"/>
      <c r="AX1473" s="1684"/>
      <c r="AY1473" s="1684"/>
      <c r="AZ1473" s="1684"/>
      <c r="BA1473" s="1684"/>
      <c r="BB1473" s="1684"/>
      <c r="BC1473" s="1684"/>
      <c r="BD1473" s="1684"/>
      <c r="BE1473" s="1684"/>
      <c r="BF1473" s="1684"/>
      <c r="BG1473" s="1684"/>
      <c r="BH1473" s="1684"/>
      <c r="BI1473" s="1684"/>
      <c r="BJ1473" s="1684"/>
      <c r="BK1473" s="1684"/>
      <c r="BL1473" s="1684"/>
      <c r="BM1473" s="1684"/>
      <c r="BN1473" s="1684"/>
      <c r="BO1473" s="1684"/>
      <c r="BP1473" s="1684"/>
      <c r="BQ1473" s="1684"/>
      <c r="BR1473" s="1684"/>
      <c r="BS1473" s="1684"/>
      <c r="BT1473" s="1684"/>
      <c r="BU1473" s="1684"/>
      <c r="BV1473" s="1684"/>
      <c r="BW1473" s="1684"/>
      <c r="BX1473" s="1684"/>
      <c r="BY1473" s="1684"/>
      <c r="BZ1473" s="1684"/>
      <c r="CA1473" s="1684"/>
      <c r="CB1473" s="1684"/>
      <c r="CC1473" s="1684"/>
      <c r="CD1473" s="1684"/>
      <c r="CE1473" s="1684"/>
      <c r="CF1473" s="1684"/>
      <c r="CG1473" s="1684"/>
      <c r="CH1473" s="1684"/>
      <c r="CI1473" s="1684"/>
      <c r="CJ1473" s="1684"/>
      <c r="CK1473" s="1684"/>
      <c r="CL1473" s="1684"/>
      <c r="CM1473" s="1684"/>
      <c r="CN1473" s="1684"/>
      <c r="CO1473" s="1684"/>
      <c r="CP1473" s="1391"/>
      <c r="CQ1473" s="1391"/>
      <c r="CR1473" s="1391"/>
      <c r="CS1473" s="1391"/>
      <c r="CT1473" s="1391"/>
      <c r="CU1473" s="1391"/>
      <c r="CV1473" s="1391"/>
      <c r="CW1473" s="1391"/>
      <c r="CX1473" s="1391"/>
      <c r="CY1473" s="1391"/>
      <c r="CZ1473" s="1391"/>
      <c r="DA1473" s="1391"/>
      <c r="DB1473" s="1391"/>
      <c r="DC1473" s="1391"/>
      <c r="DD1473" s="1391"/>
      <c r="DE1473" s="1391"/>
      <c r="DF1473" s="1391"/>
      <c r="DG1473" s="1391"/>
      <c r="DH1473" s="1391"/>
      <c r="DI1473" s="1391"/>
    </row>
    <row r="1474" spans="1:113" ht="110.25" x14ac:dyDescent="0.25">
      <c r="A1474" s="1684"/>
      <c r="B1474" s="1690"/>
      <c r="C1474" s="4621"/>
      <c r="D1474" s="4622"/>
      <c r="E1474" s="4622"/>
      <c r="F1474" s="1695"/>
      <c r="G1474" s="1693"/>
      <c r="H1474" s="1694" t="s">
        <v>5602</v>
      </c>
      <c r="I1474" s="1694" t="s">
        <v>1432</v>
      </c>
      <c r="J1474" s="1694" t="s">
        <v>1433</v>
      </c>
      <c r="K1474" s="1694" t="s">
        <v>1434</v>
      </c>
      <c r="L1474" s="1694" t="s">
        <v>1435</v>
      </c>
      <c r="M1474" s="1694" t="s">
        <v>1436</v>
      </c>
      <c r="N1474" s="1694" t="s">
        <v>1437</v>
      </c>
      <c r="O1474" s="1694" t="s">
        <v>1438</v>
      </c>
      <c r="P1474" s="1694" t="s">
        <v>1439</v>
      </c>
      <c r="Q1474" s="1694" t="s">
        <v>1440</v>
      </c>
      <c r="R1474" s="1391"/>
      <c r="S1474" s="1391"/>
      <c r="T1474" s="1694" t="s">
        <v>1441</v>
      </c>
      <c r="U1474" s="1696" t="s">
        <v>3313</v>
      </c>
      <c r="V1474" s="1696" t="s">
        <v>3655</v>
      </c>
      <c r="W1474" s="1696" t="s">
        <v>3656</v>
      </c>
      <c r="X1474" s="1696" t="s">
        <v>4318</v>
      </c>
      <c r="Y1474" s="1391"/>
      <c r="Z1474" s="1391"/>
      <c r="AA1474" s="1697" t="s">
        <v>4319</v>
      </c>
      <c r="AB1474" s="1697"/>
      <c r="AC1474" s="1697"/>
      <c r="AD1474" s="1697"/>
      <c r="AE1474" s="1697"/>
      <c r="AF1474" s="1697"/>
      <c r="AG1474" s="1697"/>
      <c r="AH1474" s="1697"/>
      <c r="AI1474" s="1697"/>
      <c r="AJ1474" s="1697"/>
      <c r="AK1474" s="1697"/>
      <c r="AL1474" s="1697"/>
      <c r="AM1474" s="1697"/>
      <c r="AN1474" s="1697"/>
      <c r="AO1474" s="1697"/>
      <c r="AP1474" s="1697"/>
      <c r="AQ1474" s="1684"/>
      <c r="AR1474" s="1684"/>
      <c r="AS1474" s="1684"/>
      <c r="AT1474" s="1684"/>
      <c r="AU1474" s="1684"/>
      <c r="AV1474" s="1684"/>
      <c r="AW1474" s="1684"/>
      <c r="AX1474" s="1684"/>
      <c r="AY1474" s="1684"/>
      <c r="AZ1474" s="1684"/>
      <c r="BA1474" s="1684"/>
      <c r="BB1474" s="1684"/>
      <c r="BC1474" s="1684"/>
      <c r="BD1474" s="1684"/>
      <c r="BE1474" s="1684"/>
      <c r="BF1474" s="1684"/>
      <c r="BG1474" s="1684"/>
      <c r="BH1474" s="1684"/>
      <c r="BI1474" s="1684"/>
      <c r="BJ1474" s="1684"/>
      <c r="BK1474" s="1684"/>
      <c r="BL1474" s="1684"/>
      <c r="BM1474" s="1684"/>
      <c r="BN1474" s="1684"/>
      <c r="BO1474" s="1684"/>
      <c r="BP1474" s="1684"/>
      <c r="BQ1474" s="1684"/>
      <c r="BR1474" s="1684"/>
      <c r="BS1474" s="1684"/>
      <c r="BT1474" s="1684"/>
      <c r="BU1474" s="1684"/>
      <c r="BV1474" s="1684"/>
      <c r="BW1474" s="1684"/>
      <c r="BX1474" s="1684"/>
      <c r="BY1474" s="1684"/>
      <c r="BZ1474" s="1684"/>
      <c r="CA1474" s="1684"/>
      <c r="CB1474" s="1684"/>
      <c r="CC1474" s="1684"/>
      <c r="CD1474" s="1684"/>
      <c r="CE1474" s="1684"/>
      <c r="CF1474" s="1684"/>
      <c r="CG1474" s="1684"/>
      <c r="CH1474" s="1684"/>
      <c r="CI1474" s="1684"/>
      <c r="CJ1474" s="1684"/>
      <c r="CK1474" s="1684"/>
      <c r="CL1474" s="1684"/>
      <c r="CM1474" s="1684"/>
      <c r="CN1474" s="1684"/>
      <c r="CO1474" s="1684"/>
      <c r="CP1474" s="1391"/>
      <c r="CQ1474" s="1391"/>
      <c r="CR1474" s="1391"/>
      <c r="CS1474" s="1391"/>
      <c r="CT1474" s="1391"/>
      <c r="CU1474" s="1391"/>
      <c r="CV1474" s="1391"/>
      <c r="CW1474" s="1391"/>
      <c r="CX1474" s="1391"/>
      <c r="CY1474" s="1391"/>
      <c r="CZ1474" s="1391"/>
      <c r="DA1474" s="1391"/>
      <c r="DB1474" s="1391"/>
      <c r="DC1474" s="1391"/>
      <c r="DD1474" s="1391"/>
      <c r="DE1474" s="1391"/>
      <c r="DF1474" s="1391"/>
      <c r="DG1474" s="1391"/>
      <c r="DH1474" s="1391"/>
      <c r="DI1474" s="1391"/>
    </row>
    <row r="1475" spans="1:113" ht="15.75" x14ac:dyDescent="0.25">
      <c r="A1475" s="1684"/>
      <c r="B1475" s="1690"/>
      <c r="C1475" s="4621"/>
      <c r="D1475" s="4622"/>
      <c r="E1475" s="4622"/>
      <c r="F1475" s="1695"/>
      <c r="G1475" s="1693"/>
      <c r="H1475" s="1694" t="s">
        <v>4320</v>
      </c>
      <c r="I1475" s="1694">
        <v>8.81</v>
      </c>
      <c r="J1475" s="1694">
        <v>8.17</v>
      </c>
      <c r="K1475" s="1694">
        <v>7.55</v>
      </c>
      <c r="L1475" s="1694">
        <v>6.9</v>
      </c>
      <c r="M1475" s="1694">
        <v>6.25</v>
      </c>
      <c r="N1475" s="1694">
        <v>5.62</v>
      </c>
      <c r="O1475" s="1694">
        <v>5.01</v>
      </c>
      <c r="P1475" s="1694">
        <v>4.43</v>
      </c>
      <c r="Q1475" s="1694">
        <v>3.9</v>
      </c>
      <c r="R1475" s="1391"/>
      <c r="S1475" s="1391"/>
      <c r="T1475" s="1694" t="s">
        <v>4321</v>
      </c>
      <c r="U1475" s="1694">
        <v>146</v>
      </c>
      <c r="V1475" s="1694">
        <v>118</v>
      </c>
      <c r="W1475" s="1694">
        <v>65</v>
      </c>
      <c r="X1475" s="1694">
        <v>44.9</v>
      </c>
      <c r="Y1475" s="1391"/>
      <c r="Z1475" s="1391"/>
      <c r="AA1475" s="1697" t="s">
        <v>5441</v>
      </c>
      <c r="AB1475" s="1697"/>
      <c r="AC1475" s="1697"/>
      <c r="AD1475" s="1697"/>
      <c r="AE1475" s="1697"/>
      <c r="AF1475" s="1697"/>
      <c r="AG1475" s="1697"/>
      <c r="AH1475" s="1697"/>
      <c r="AI1475" s="1697"/>
      <c r="AJ1475" s="1697"/>
      <c r="AK1475" s="1697"/>
      <c r="AL1475" s="1697"/>
      <c r="AM1475" s="1697"/>
      <c r="AN1475" s="1697"/>
      <c r="AO1475" s="1697"/>
      <c r="AP1475" s="1697"/>
      <c r="AQ1475" s="1684"/>
      <c r="AR1475" s="1684"/>
      <c r="AS1475" s="1684"/>
      <c r="AT1475" s="1684"/>
      <c r="AU1475" s="1684"/>
      <c r="AV1475" s="1684"/>
      <c r="AW1475" s="1684"/>
      <c r="AX1475" s="1684"/>
      <c r="AY1475" s="1684"/>
      <c r="AZ1475" s="1684"/>
      <c r="BA1475" s="1684"/>
      <c r="BB1475" s="1684"/>
      <c r="BC1475" s="1684"/>
      <c r="BD1475" s="1684"/>
      <c r="BE1475" s="1684"/>
      <c r="BF1475" s="1684"/>
      <c r="BG1475" s="1684"/>
      <c r="BH1475" s="1684"/>
      <c r="BI1475" s="1684"/>
      <c r="BJ1475" s="1684"/>
      <c r="BK1475" s="1684"/>
      <c r="BL1475" s="1684"/>
      <c r="BM1475" s="1684"/>
      <c r="BN1475" s="1684"/>
      <c r="BO1475" s="1684"/>
      <c r="BP1475" s="1684"/>
      <c r="BQ1475" s="1684"/>
      <c r="BR1475" s="1684"/>
      <c r="BS1475" s="1684"/>
      <c r="BT1475" s="1684"/>
      <c r="BU1475" s="1684"/>
      <c r="BV1475" s="1684"/>
      <c r="BW1475" s="1684"/>
      <c r="BX1475" s="1684"/>
      <c r="BY1475" s="1684"/>
      <c r="BZ1475" s="1684"/>
      <c r="CA1475" s="1684"/>
      <c r="CB1475" s="1684"/>
      <c r="CC1475" s="1684"/>
      <c r="CD1475" s="1684"/>
      <c r="CE1475" s="1684"/>
      <c r="CF1475" s="1684"/>
      <c r="CG1475" s="1684"/>
      <c r="CH1475" s="1684"/>
      <c r="CI1475" s="1684"/>
      <c r="CJ1475" s="1684"/>
      <c r="CK1475" s="1684"/>
      <c r="CL1475" s="1684"/>
      <c r="CM1475" s="1684"/>
      <c r="CN1475" s="1684"/>
      <c r="CO1475" s="1684"/>
      <c r="CP1475" s="1391"/>
      <c r="CQ1475" s="1391"/>
      <c r="CR1475" s="1391"/>
      <c r="CS1475" s="1391"/>
      <c r="CT1475" s="1391"/>
      <c r="CU1475" s="1391"/>
      <c r="CV1475" s="1391"/>
      <c r="CW1475" s="1391"/>
      <c r="CX1475" s="1391"/>
      <c r="CY1475" s="1391"/>
      <c r="CZ1475" s="1391"/>
      <c r="DA1475" s="1391"/>
      <c r="DB1475" s="1391"/>
      <c r="DC1475" s="1391"/>
      <c r="DD1475" s="1391"/>
      <c r="DE1475" s="1391"/>
      <c r="DF1475" s="1391"/>
      <c r="DG1475" s="1391"/>
      <c r="DH1475" s="1391"/>
      <c r="DI1475" s="1391"/>
    </row>
    <row r="1476" spans="1:113" ht="15.75" x14ac:dyDescent="0.25">
      <c r="A1476" s="1684"/>
      <c r="B1476" s="1690"/>
      <c r="C1476" s="4621"/>
      <c r="D1476" s="4622"/>
      <c r="E1476" s="4622"/>
      <c r="F1476" s="1695"/>
      <c r="G1476" s="1693"/>
      <c r="H1476" s="1694" t="s">
        <v>5442</v>
      </c>
      <c r="I1476" s="1694">
        <v>12.4</v>
      </c>
      <c r="J1476" s="1694">
        <v>11.55</v>
      </c>
      <c r="K1476" s="1694">
        <v>10.69</v>
      </c>
      <c r="L1476" s="1694">
        <v>9.77</v>
      </c>
      <c r="M1476" s="1694">
        <v>8.89</v>
      </c>
      <c r="N1476" s="1694">
        <v>8</v>
      </c>
      <c r="O1476" s="1694">
        <v>7.13</v>
      </c>
      <c r="P1476" s="1694">
        <v>6.32</v>
      </c>
      <c r="Q1476" s="1694">
        <v>5.56</v>
      </c>
      <c r="R1476" s="1391"/>
      <c r="S1476" s="1391"/>
      <c r="T1476" s="1694" t="s">
        <v>5443</v>
      </c>
      <c r="U1476" s="1694">
        <v>137</v>
      </c>
      <c r="V1476" s="1694">
        <v>105</v>
      </c>
      <c r="W1476" s="1694">
        <v>59.5</v>
      </c>
      <c r="X1476" s="1694">
        <v>41.4</v>
      </c>
      <c r="Y1476" s="1391"/>
      <c r="Z1476" s="1391"/>
      <c r="AA1476" s="1697"/>
      <c r="AB1476" s="1697" t="s">
        <v>5444</v>
      </c>
      <c r="AC1476" s="1697"/>
      <c r="AD1476" s="1697"/>
      <c r="AE1476" s="1697"/>
      <c r="AF1476" s="1697"/>
      <c r="AG1476" s="1697"/>
      <c r="AH1476" s="1697"/>
      <c r="AI1476" s="1697"/>
      <c r="AJ1476" s="1697"/>
      <c r="AK1476" s="1697"/>
      <c r="AL1476" s="1697"/>
      <c r="AM1476" s="1697"/>
      <c r="AN1476" s="1697"/>
      <c r="AO1476" s="1697"/>
      <c r="AP1476" s="1697"/>
      <c r="AQ1476" s="1684"/>
      <c r="AR1476" s="1684"/>
      <c r="AS1476" s="1684"/>
      <c r="AT1476" s="1684"/>
      <c r="AU1476" s="1684"/>
      <c r="AV1476" s="1684"/>
      <c r="AW1476" s="1684"/>
      <c r="AX1476" s="1684"/>
      <c r="AY1476" s="1684"/>
      <c r="AZ1476" s="1684"/>
      <c r="BA1476" s="1684"/>
      <c r="BB1476" s="1684"/>
      <c r="BC1476" s="1684"/>
      <c r="BD1476" s="1684"/>
      <c r="BE1476" s="1684"/>
      <c r="BF1476" s="1684"/>
      <c r="BG1476" s="1684"/>
      <c r="BH1476" s="1684"/>
      <c r="BI1476" s="1684"/>
      <c r="BJ1476" s="1684"/>
      <c r="BK1476" s="1684"/>
      <c r="BL1476" s="1684"/>
      <c r="BM1476" s="1684"/>
      <c r="BN1476" s="1684"/>
      <c r="BO1476" s="1684"/>
      <c r="BP1476" s="1684"/>
      <c r="BQ1476" s="1684"/>
      <c r="BR1476" s="1684"/>
      <c r="BS1476" s="1684"/>
      <c r="BT1476" s="1684"/>
      <c r="BU1476" s="1684"/>
      <c r="BV1476" s="1684"/>
      <c r="BW1476" s="1684"/>
      <c r="BX1476" s="1684"/>
      <c r="BY1476" s="1684"/>
      <c r="BZ1476" s="1684"/>
      <c r="CA1476" s="1684"/>
      <c r="CB1476" s="1684"/>
      <c r="CC1476" s="1684"/>
      <c r="CD1476" s="1684"/>
      <c r="CE1476" s="1684"/>
      <c r="CF1476" s="1684"/>
      <c r="CG1476" s="1684"/>
      <c r="CH1476" s="1684"/>
      <c r="CI1476" s="1684"/>
      <c r="CJ1476" s="1684"/>
      <c r="CK1476" s="1684"/>
      <c r="CL1476" s="1684"/>
      <c r="CM1476" s="1684"/>
      <c r="CN1476" s="1684"/>
      <c r="CO1476" s="1684"/>
      <c r="CP1476" s="1391"/>
      <c r="CQ1476" s="1391"/>
      <c r="CR1476" s="1391"/>
      <c r="CS1476" s="1391"/>
      <c r="CT1476" s="1391"/>
      <c r="CU1476" s="1391"/>
      <c r="CV1476" s="1391"/>
      <c r="CW1476" s="1391"/>
      <c r="CX1476" s="1391"/>
      <c r="CY1476" s="1391"/>
      <c r="CZ1476" s="1391"/>
      <c r="DA1476" s="1391"/>
      <c r="DB1476" s="1391"/>
      <c r="DC1476" s="1391"/>
      <c r="DD1476" s="1391"/>
      <c r="DE1476" s="1391"/>
      <c r="DF1476" s="1391"/>
      <c r="DG1476" s="1391"/>
      <c r="DH1476" s="1391"/>
      <c r="DI1476" s="1391"/>
    </row>
    <row r="1477" spans="1:113" ht="15.75" x14ac:dyDescent="0.25">
      <c r="A1477" s="1684"/>
      <c r="B1477" s="1690"/>
      <c r="C1477" s="4621"/>
      <c r="D1477" s="4622"/>
      <c r="E1477" s="4622"/>
      <c r="F1477" s="1695"/>
      <c r="G1477" s="1693"/>
      <c r="H1477" s="1694" t="s">
        <v>3370</v>
      </c>
      <c r="I1477" s="1694">
        <v>14.16</v>
      </c>
      <c r="J1477" s="1694">
        <v>13.25</v>
      </c>
      <c r="K1477" s="1694">
        <v>12.28</v>
      </c>
      <c r="L1477" s="1694">
        <v>11.3</v>
      </c>
      <c r="M1477" s="1694">
        <v>10.27</v>
      </c>
      <c r="N1477" s="1694">
        <v>9.3000000000000007</v>
      </c>
      <c r="O1477" s="1694">
        <v>8.34</v>
      </c>
      <c r="P1477" s="1694">
        <v>7.39</v>
      </c>
      <c r="Q1477" s="1694">
        <v>6.52</v>
      </c>
      <c r="R1477" s="1391"/>
      <c r="S1477" s="1391"/>
      <c r="T1477" s="1694" t="s">
        <v>2214</v>
      </c>
      <c r="U1477" s="1694">
        <v>132</v>
      </c>
      <c r="V1477" s="1694">
        <v>98.8</v>
      </c>
      <c r="W1477" s="1694">
        <v>56.6</v>
      </c>
      <c r="X1477" s="1694">
        <v>39.6</v>
      </c>
      <c r="Y1477" s="1391"/>
      <c r="Z1477" s="1391"/>
      <c r="AA1477" s="1697"/>
      <c r="AB1477" s="1697" t="s">
        <v>1435</v>
      </c>
      <c r="AC1477" s="1697" t="s">
        <v>1435</v>
      </c>
      <c r="AD1477" s="1697" t="s">
        <v>1435</v>
      </c>
      <c r="AE1477" s="1697" t="s">
        <v>1436</v>
      </c>
      <c r="AF1477" s="1697" t="s">
        <v>1436</v>
      </c>
      <c r="AG1477" s="1697" t="s">
        <v>1436</v>
      </c>
      <c r="AH1477" s="1697" t="s">
        <v>1437</v>
      </c>
      <c r="AI1477" s="1697" t="s">
        <v>1437</v>
      </c>
      <c r="AJ1477" s="1697" t="s">
        <v>1437</v>
      </c>
      <c r="AK1477" s="1697" t="s">
        <v>1438</v>
      </c>
      <c r="AL1477" s="1697" t="s">
        <v>1438</v>
      </c>
      <c r="AM1477" s="1697" t="s">
        <v>1438</v>
      </c>
      <c r="AN1477" s="1697" t="s">
        <v>1439</v>
      </c>
      <c r="AO1477" s="1697" t="s">
        <v>1439</v>
      </c>
      <c r="AP1477" s="1697" t="s">
        <v>1439</v>
      </c>
      <c r="AQ1477" s="1684"/>
      <c r="AR1477" s="1684"/>
      <c r="AS1477" s="1684"/>
      <c r="AT1477" s="1684"/>
      <c r="AU1477" s="1684"/>
      <c r="AV1477" s="1684"/>
      <c r="AW1477" s="1684"/>
      <c r="AX1477" s="1684"/>
      <c r="AY1477" s="1684"/>
      <c r="AZ1477" s="1684"/>
      <c r="BA1477" s="1684"/>
      <c r="BB1477" s="1684"/>
      <c r="BC1477" s="1684"/>
      <c r="BD1477" s="1684"/>
      <c r="BE1477" s="1684"/>
      <c r="BF1477" s="1684"/>
      <c r="BG1477" s="1684"/>
      <c r="BH1477" s="1684"/>
      <c r="BI1477" s="1684"/>
      <c r="BJ1477" s="1684"/>
      <c r="BK1477" s="1684"/>
      <c r="BL1477" s="1684"/>
      <c r="BM1477" s="1684"/>
      <c r="BN1477" s="1684"/>
      <c r="BO1477" s="1684"/>
      <c r="BP1477" s="1684"/>
      <c r="BQ1477" s="1684"/>
      <c r="BR1477" s="1684"/>
      <c r="BS1477" s="1684"/>
      <c r="BT1477" s="1684"/>
      <c r="BU1477" s="1684"/>
      <c r="BV1477" s="1684"/>
      <c r="BW1477" s="1684"/>
      <c r="BX1477" s="1684"/>
      <c r="BY1477" s="1684"/>
      <c r="BZ1477" s="1684"/>
      <c r="CA1477" s="1684"/>
      <c r="CB1477" s="1684"/>
      <c r="CC1477" s="1684"/>
      <c r="CD1477" s="1684"/>
      <c r="CE1477" s="1684"/>
      <c r="CF1477" s="1684"/>
      <c r="CG1477" s="1684"/>
      <c r="CH1477" s="1684"/>
      <c r="CI1477" s="1684"/>
      <c r="CJ1477" s="1684"/>
      <c r="CK1477" s="1684"/>
      <c r="CL1477" s="1684"/>
      <c r="CM1477" s="1684"/>
      <c r="CN1477" s="1684"/>
      <c r="CO1477" s="1684"/>
      <c r="CP1477" s="1391"/>
      <c r="CQ1477" s="1391"/>
      <c r="CR1477" s="1391"/>
      <c r="CS1477" s="1391"/>
      <c r="CT1477" s="1391"/>
      <c r="CU1477" s="1391"/>
      <c r="CV1477" s="1391"/>
      <c r="CW1477" s="1391"/>
      <c r="CX1477" s="1391"/>
      <c r="CY1477" s="1391"/>
      <c r="CZ1477" s="1391"/>
      <c r="DA1477" s="1391"/>
      <c r="DB1477" s="1391"/>
      <c r="DC1477" s="1391"/>
      <c r="DD1477" s="1391"/>
      <c r="DE1477" s="1391"/>
      <c r="DF1477" s="1391"/>
      <c r="DG1477" s="1391"/>
      <c r="DH1477" s="1391"/>
      <c r="DI1477" s="1391"/>
    </row>
    <row r="1478" spans="1:113" ht="15.75" x14ac:dyDescent="0.25">
      <c r="A1478" s="1684"/>
      <c r="B1478" s="1690"/>
      <c r="C1478" s="1698">
        <v>1</v>
      </c>
      <c r="D1478" s="1699">
        <v>2</v>
      </c>
      <c r="E1478" s="1699">
        <v>3</v>
      </c>
      <c r="F1478" s="1700"/>
      <c r="G1478" s="1693"/>
      <c r="H1478" s="1694" t="s">
        <v>3371</v>
      </c>
      <c r="I1478" s="1694">
        <v>16.03</v>
      </c>
      <c r="J1478" s="1694">
        <v>15.03</v>
      </c>
      <c r="K1478" s="1694">
        <v>13.99</v>
      </c>
      <c r="L1478" s="1694">
        <v>12.91</v>
      </c>
      <c r="M1478" s="1694">
        <v>11.83</v>
      </c>
      <c r="N1478" s="1694">
        <v>10.71</v>
      </c>
      <c r="O1478" s="1694">
        <v>9.65</v>
      </c>
      <c r="P1478" s="1694">
        <v>8.61</v>
      </c>
      <c r="Q1478" s="1694">
        <v>7.61</v>
      </c>
      <c r="R1478" s="1391"/>
      <c r="S1478" s="1391"/>
      <c r="T1478" s="1694" t="s">
        <v>3372</v>
      </c>
      <c r="U1478" s="1694">
        <v>122</v>
      </c>
      <c r="V1478" s="1694">
        <v>87.2</v>
      </c>
      <c r="W1478" s="1694">
        <v>51</v>
      </c>
      <c r="X1478" s="1694">
        <v>36</v>
      </c>
      <c r="Y1478" s="1391"/>
      <c r="Z1478" s="1391"/>
      <c r="AA1478" s="1697" t="s">
        <v>608</v>
      </c>
      <c r="AB1478" s="1697" t="s">
        <v>3373</v>
      </c>
      <c r="AC1478" s="1697" t="s">
        <v>3374</v>
      </c>
      <c r="AD1478" s="1697" t="s">
        <v>3375</v>
      </c>
      <c r="AE1478" s="1697" t="s">
        <v>3373</v>
      </c>
      <c r="AF1478" s="1697" t="s">
        <v>3374</v>
      </c>
      <c r="AG1478" s="1697" t="s">
        <v>3375</v>
      </c>
      <c r="AH1478" s="1697" t="s">
        <v>3373</v>
      </c>
      <c r="AI1478" s="1697" t="s">
        <v>3374</v>
      </c>
      <c r="AJ1478" s="1697" t="s">
        <v>3375</v>
      </c>
      <c r="AK1478" s="1697" t="s">
        <v>3373</v>
      </c>
      <c r="AL1478" s="1697" t="s">
        <v>3374</v>
      </c>
      <c r="AM1478" s="1697" t="s">
        <v>3375</v>
      </c>
      <c r="AN1478" s="1697" t="s">
        <v>3373</v>
      </c>
      <c r="AO1478" s="1697" t="s">
        <v>3374</v>
      </c>
      <c r="AP1478" s="1697" t="s">
        <v>3375</v>
      </c>
      <c r="AQ1478" s="1684"/>
      <c r="AR1478" s="1684"/>
      <c r="AS1478" s="1684"/>
      <c r="AT1478" s="1684"/>
      <c r="AU1478" s="1684"/>
      <c r="AV1478" s="1684"/>
      <c r="AW1478" s="1684"/>
      <c r="AX1478" s="1684"/>
      <c r="AY1478" s="1684"/>
      <c r="AZ1478" s="1684"/>
      <c r="BA1478" s="1684"/>
      <c r="BB1478" s="1684"/>
      <c r="BC1478" s="1684"/>
      <c r="BD1478" s="1684"/>
      <c r="BE1478" s="1684"/>
      <c r="BF1478" s="1684"/>
      <c r="BG1478" s="1684"/>
      <c r="BH1478" s="1684"/>
      <c r="BI1478" s="1684"/>
      <c r="BJ1478" s="1684"/>
      <c r="BK1478" s="1684"/>
      <c r="BL1478" s="1684"/>
      <c r="BM1478" s="1684"/>
      <c r="BN1478" s="1684"/>
      <c r="BO1478" s="1684"/>
      <c r="BP1478" s="1684"/>
      <c r="BQ1478" s="1684"/>
      <c r="BR1478" s="1684"/>
      <c r="BS1478" s="1684"/>
      <c r="BT1478" s="1684"/>
      <c r="BU1478" s="1684"/>
      <c r="BV1478" s="1684"/>
      <c r="BW1478" s="1684"/>
      <c r="BX1478" s="1684"/>
      <c r="BY1478" s="1684"/>
      <c r="BZ1478" s="1684"/>
      <c r="CA1478" s="1684"/>
      <c r="CB1478" s="1684"/>
      <c r="CC1478" s="1684"/>
      <c r="CD1478" s="1684"/>
      <c r="CE1478" s="1684"/>
      <c r="CF1478" s="1684"/>
      <c r="CG1478" s="1684"/>
      <c r="CH1478" s="1684"/>
      <c r="CI1478" s="1684"/>
      <c r="CJ1478" s="1684"/>
      <c r="CK1478" s="1684"/>
      <c r="CL1478" s="1684"/>
      <c r="CM1478" s="1684"/>
      <c r="CN1478" s="1684"/>
      <c r="CO1478" s="1684"/>
      <c r="CP1478" s="1391"/>
      <c r="CQ1478" s="1391"/>
      <c r="CR1478" s="1391"/>
      <c r="CS1478" s="1391"/>
      <c r="CT1478" s="1391"/>
      <c r="CU1478" s="1391"/>
      <c r="CV1478" s="1391"/>
      <c r="CW1478" s="1391"/>
      <c r="CX1478" s="1391"/>
      <c r="CY1478" s="1391"/>
      <c r="CZ1478" s="1391"/>
      <c r="DA1478" s="1391"/>
      <c r="DB1478" s="1391"/>
      <c r="DC1478" s="1391"/>
      <c r="DD1478" s="1391"/>
      <c r="DE1478" s="1391"/>
      <c r="DF1478" s="1391"/>
      <c r="DG1478" s="1391"/>
      <c r="DH1478" s="1391"/>
      <c r="DI1478" s="1391"/>
    </row>
    <row r="1479" spans="1:113" ht="16.5" thickBot="1" x14ac:dyDescent="0.3">
      <c r="A1479" s="1684"/>
      <c r="B1479" s="1690"/>
      <c r="C1479" s="1698" t="s">
        <v>1432</v>
      </c>
      <c r="D1479" s="1699" t="s">
        <v>3376</v>
      </c>
      <c r="E1479" s="1699" t="s">
        <v>4338</v>
      </c>
      <c r="F1479" s="1700"/>
      <c r="G1479" s="1693"/>
      <c r="H1479" s="1601"/>
      <c r="I1479" s="1601"/>
      <c r="J1479" s="1391"/>
      <c r="K1479" s="1391"/>
      <c r="L1479" s="1391"/>
      <c r="M1479" s="1391"/>
      <c r="N1479" s="1391"/>
      <c r="O1479" s="1391"/>
      <c r="P1479" s="1391"/>
      <c r="Q1479" s="1391"/>
      <c r="R1479" s="1391"/>
      <c r="S1479" s="1391"/>
      <c r="T1479" s="1694" t="s">
        <v>4339</v>
      </c>
      <c r="U1479" s="1694">
        <v>128</v>
      </c>
      <c r="V1479" s="1694">
        <v>92.9</v>
      </c>
      <c r="W1479" s="1694">
        <v>53.8</v>
      </c>
      <c r="X1479" s="1694">
        <v>37.799999999999997</v>
      </c>
      <c r="Y1479" s="1391"/>
      <c r="Z1479" s="1391"/>
      <c r="AA1479" s="1697"/>
      <c r="AB1479" s="1697" t="s">
        <v>3785</v>
      </c>
      <c r="AC1479" s="1697"/>
      <c r="AD1479" s="1697"/>
      <c r="AE1479" s="1697"/>
      <c r="AF1479" s="1697"/>
      <c r="AG1479" s="1697"/>
      <c r="AH1479" s="1697"/>
      <c r="AI1479" s="1697"/>
      <c r="AJ1479" s="1697"/>
      <c r="AK1479" s="1697"/>
      <c r="AL1479" s="1697"/>
      <c r="AM1479" s="1697"/>
      <c r="AN1479" s="1697"/>
      <c r="AO1479" s="1697"/>
      <c r="AP1479" s="1697"/>
      <c r="AQ1479" s="1684"/>
      <c r="AR1479" s="1684"/>
      <c r="AS1479" s="1684"/>
      <c r="AT1479" s="1684"/>
      <c r="AU1479" s="1684"/>
      <c r="AV1479" s="1684"/>
      <c r="AW1479" s="1684"/>
      <c r="AX1479" s="1684"/>
      <c r="AY1479" s="1684"/>
      <c r="AZ1479" s="1684"/>
      <c r="BA1479" s="1684"/>
      <c r="BB1479" s="1684"/>
      <c r="BC1479" s="1684"/>
      <c r="BD1479" s="1684"/>
      <c r="BE1479" s="1684"/>
      <c r="BF1479" s="1684"/>
      <c r="BG1479" s="1684"/>
      <c r="BH1479" s="1684"/>
      <c r="BI1479" s="1684"/>
      <c r="BJ1479" s="1684"/>
      <c r="BK1479" s="1684"/>
      <c r="BL1479" s="1684"/>
      <c r="BM1479" s="1684"/>
      <c r="BN1479" s="1684"/>
      <c r="BO1479" s="1684"/>
      <c r="BP1479" s="1684"/>
      <c r="BQ1479" s="1684"/>
      <c r="BR1479" s="1684"/>
      <c r="BS1479" s="1684"/>
      <c r="BT1479" s="1684"/>
      <c r="BU1479" s="1684"/>
      <c r="BV1479" s="1684"/>
      <c r="BW1479" s="1684"/>
      <c r="BX1479" s="1684"/>
      <c r="BY1479" s="1684"/>
      <c r="BZ1479" s="1684"/>
      <c r="CA1479" s="1684"/>
      <c r="CB1479" s="1684"/>
      <c r="CC1479" s="1684"/>
      <c r="CD1479" s="1684"/>
      <c r="CE1479" s="1684"/>
      <c r="CF1479" s="1684"/>
      <c r="CG1479" s="1684"/>
      <c r="CH1479" s="1684"/>
      <c r="CI1479" s="1684"/>
      <c r="CJ1479" s="1684"/>
      <c r="CK1479" s="1684"/>
      <c r="CL1479" s="1684"/>
      <c r="CM1479" s="1684"/>
      <c r="CN1479" s="1684"/>
      <c r="CO1479" s="1684"/>
      <c r="CP1479" s="1391"/>
      <c r="CQ1479" s="1391"/>
      <c r="CR1479" s="1391"/>
      <c r="CS1479" s="1391"/>
      <c r="CT1479" s="1391"/>
      <c r="CU1479" s="1391"/>
      <c r="CV1479" s="1391"/>
      <c r="CW1479" s="1391"/>
      <c r="CX1479" s="1391"/>
      <c r="CY1479" s="1391"/>
      <c r="CZ1479" s="1391"/>
      <c r="DA1479" s="1391"/>
      <c r="DB1479" s="1391"/>
      <c r="DC1479" s="1391"/>
      <c r="DD1479" s="1391"/>
      <c r="DE1479" s="1391"/>
      <c r="DF1479" s="1391"/>
      <c r="DG1479" s="1391"/>
      <c r="DH1479" s="1391"/>
      <c r="DI1479" s="1391"/>
    </row>
    <row r="1480" spans="1:113" ht="15.75" x14ac:dyDescent="0.25">
      <c r="A1480" s="1684"/>
      <c r="B1480" s="1690"/>
      <c r="C1480" s="1698" t="s">
        <v>1433</v>
      </c>
      <c r="D1480" s="1699" t="s">
        <v>4340</v>
      </c>
      <c r="E1480" s="1699" t="s">
        <v>4341</v>
      </c>
      <c r="F1480" s="1700"/>
      <c r="G1480" s="1701"/>
      <c r="H1480" s="1702" t="s">
        <v>4342</v>
      </c>
      <c r="I1480" s="1692"/>
      <c r="J1480" s="1568"/>
      <c r="K1480" s="1658" t="s">
        <v>4343</v>
      </c>
      <c r="L1480" s="1391"/>
      <c r="M1480" s="1391"/>
      <c r="N1480" s="1391"/>
      <c r="O1480" s="1391"/>
      <c r="P1480" s="1391"/>
      <c r="Q1480" s="1391"/>
      <c r="R1480" s="1391"/>
      <c r="S1480" s="1391"/>
      <c r="T1480" s="1694" t="s">
        <v>5428</v>
      </c>
      <c r="U1480" s="1694">
        <v>118</v>
      </c>
      <c r="V1480" s="1694">
        <v>81.900000000000006</v>
      </c>
      <c r="W1480" s="1694">
        <v>48.4</v>
      </c>
      <c r="X1480" s="1694">
        <v>34.299999999999997</v>
      </c>
      <c r="Y1480" s="1391"/>
      <c r="Z1480" s="1391"/>
      <c r="AA1480" s="1697" t="s">
        <v>4344</v>
      </c>
      <c r="AB1480" s="1697">
        <v>192</v>
      </c>
      <c r="AC1480" s="1697">
        <v>181</v>
      </c>
      <c r="AD1480" s="1697">
        <v>165</v>
      </c>
      <c r="AE1480" s="1697">
        <v>157</v>
      </c>
      <c r="AF1480" s="1697">
        <v>146</v>
      </c>
      <c r="AG1480" s="1697">
        <v>134</v>
      </c>
      <c r="AH1480" s="1697">
        <v>125</v>
      </c>
      <c r="AI1480" s="1697">
        <v>116</v>
      </c>
      <c r="AJ1480" s="1697">
        <v>109</v>
      </c>
      <c r="AK1480" s="1697">
        <v>102</v>
      </c>
      <c r="AL1480" s="1697">
        <v>92</v>
      </c>
      <c r="AM1480" s="1697">
        <v>89</v>
      </c>
      <c r="AN1480" s="1697">
        <v>79</v>
      </c>
      <c r="AO1480" s="1697">
        <v>72</v>
      </c>
      <c r="AP1480" s="1697">
        <v>70</v>
      </c>
      <c r="AQ1480" s="1684"/>
      <c r="AR1480" s="1684"/>
      <c r="AS1480" s="1684"/>
      <c r="AT1480" s="1684"/>
      <c r="AU1480" s="1684"/>
      <c r="AV1480" s="1684"/>
      <c r="AW1480" s="1684"/>
      <c r="AX1480" s="1684"/>
      <c r="AY1480" s="1684"/>
      <c r="AZ1480" s="1684"/>
      <c r="BA1480" s="1684"/>
      <c r="BB1480" s="1684"/>
      <c r="BC1480" s="1684"/>
      <c r="BD1480" s="1684"/>
      <c r="BE1480" s="1684"/>
      <c r="BF1480" s="1684"/>
      <c r="BG1480" s="1684"/>
      <c r="BH1480" s="1684"/>
      <c r="BI1480" s="1684"/>
      <c r="BJ1480" s="1684"/>
      <c r="BK1480" s="1684"/>
      <c r="BL1480" s="1684"/>
      <c r="BM1480" s="1684"/>
      <c r="BN1480" s="1684"/>
      <c r="BO1480" s="1684"/>
      <c r="BP1480" s="1684"/>
      <c r="BQ1480" s="1684"/>
      <c r="BR1480" s="1684"/>
      <c r="BS1480" s="1684"/>
      <c r="BT1480" s="1684"/>
      <c r="BU1480" s="1684"/>
      <c r="BV1480" s="1684"/>
      <c r="BW1480" s="1684"/>
      <c r="BX1480" s="1684"/>
      <c r="BY1480" s="1684"/>
      <c r="BZ1480" s="1684"/>
      <c r="CA1480" s="1684"/>
      <c r="CB1480" s="1684"/>
      <c r="CC1480" s="1684"/>
      <c r="CD1480" s="1684"/>
      <c r="CE1480" s="1684"/>
      <c r="CF1480" s="1684"/>
      <c r="CG1480" s="1684"/>
      <c r="CH1480" s="1684"/>
      <c r="CI1480" s="1684"/>
      <c r="CJ1480" s="1684"/>
      <c r="CK1480" s="1684"/>
      <c r="CL1480" s="1684"/>
      <c r="CM1480" s="1684"/>
      <c r="CN1480" s="1684"/>
      <c r="CO1480" s="1684"/>
      <c r="CP1480" s="1391"/>
      <c r="CQ1480" s="1391"/>
      <c r="CR1480" s="1391"/>
      <c r="CS1480" s="1391"/>
      <c r="CT1480" s="1391"/>
      <c r="CU1480" s="1391"/>
      <c r="CV1480" s="1391"/>
      <c r="CW1480" s="1391"/>
      <c r="CX1480" s="1391"/>
      <c r="CY1480" s="1391"/>
      <c r="CZ1480" s="1391"/>
      <c r="DA1480" s="1391"/>
      <c r="DB1480" s="1391"/>
      <c r="DC1480" s="1391"/>
      <c r="DD1480" s="1391"/>
      <c r="DE1480" s="1391"/>
      <c r="DF1480" s="1391"/>
      <c r="DG1480" s="1391"/>
      <c r="DH1480" s="1391"/>
      <c r="DI1480" s="1391"/>
    </row>
    <row r="1481" spans="1:113" ht="15.75" x14ac:dyDescent="0.25">
      <c r="A1481" s="1684"/>
      <c r="B1481" s="1690"/>
      <c r="C1481" s="1698" t="s">
        <v>1434</v>
      </c>
      <c r="D1481" s="1699" t="s">
        <v>4345</v>
      </c>
      <c r="E1481" s="1699" t="s">
        <v>2061</v>
      </c>
      <c r="F1481" s="1700"/>
      <c r="G1481" s="1701"/>
      <c r="H1481" s="1703" t="s">
        <v>2062</v>
      </c>
      <c r="I1481" s="1695"/>
      <c r="J1481" s="1568"/>
      <c r="K1481" s="1391" t="s">
        <v>5222</v>
      </c>
      <c r="L1481" s="1391"/>
      <c r="M1481" s="1391"/>
      <c r="N1481" s="1391"/>
      <c r="O1481" s="1391"/>
      <c r="P1481" s="1391"/>
      <c r="Q1481" s="1391"/>
      <c r="R1481" s="1391"/>
      <c r="S1481" s="1391"/>
      <c r="T1481" s="1694" t="s">
        <v>5223</v>
      </c>
      <c r="U1481" s="1694">
        <v>113</v>
      </c>
      <c r="V1481" s="1694">
        <v>76.8</v>
      </c>
      <c r="W1481" s="1694">
        <v>45.8</v>
      </c>
      <c r="X1481" s="1694">
        <v>32.6</v>
      </c>
      <c r="Y1481" s="1391"/>
      <c r="Z1481" s="1391"/>
      <c r="AA1481" s="1697" t="s">
        <v>5224</v>
      </c>
      <c r="AB1481" s="1697">
        <v>210</v>
      </c>
      <c r="AC1481" s="1697">
        <v>192</v>
      </c>
      <c r="AD1481" s="1697">
        <v>172</v>
      </c>
      <c r="AE1481" s="1697">
        <v>166</v>
      </c>
      <c r="AF1481" s="1697">
        <v>155</v>
      </c>
      <c r="AG1481" s="1697">
        <v>140</v>
      </c>
      <c r="AH1481" s="1697">
        <v>131</v>
      </c>
      <c r="AI1481" s="1697">
        <v>122</v>
      </c>
      <c r="AJ1481" s="1697">
        <v>114</v>
      </c>
      <c r="AK1481" s="1697">
        <v>109</v>
      </c>
      <c r="AL1481" s="1697">
        <v>97</v>
      </c>
      <c r="AM1481" s="1697">
        <v>92</v>
      </c>
      <c r="AN1481" s="1697">
        <v>83</v>
      </c>
      <c r="AO1481" s="1697">
        <v>76</v>
      </c>
      <c r="AP1481" s="1697">
        <v>74</v>
      </c>
      <c r="AQ1481" s="1684"/>
      <c r="AR1481" s="1684"/>
      <c r="AS1481" s="1684"/>
      <c r="AT1481" s="1684"/>
      <c r="AU1481" s="1684"/>
      <c r="AV1481" s="1684"/>
      <c r="AW1481" s="1684"/>
      <c r="AX1481" s="1684"/>
      <c r="AY1481" s="1684"/>
      <c r="AZ1481" s="1684"/>
      <c r="BA1481" s="1684"/>
      <c r="BB1481" s="1684"/>
      <c r="BC1481" s="1684"/>
      <c r="BD1481" s="1684"/>
      <c r="BE1481" s="1684"/>
      <c r="BF1481" s="1684"/>
      <c r="BG1481" s="1684"/>
      <c r="BH1481" s="1684"/>
      <c r="BI1481" s="1684"/>
      <c r="BJ1481" s="1684"/>
      <c r="BK1481" s="1684"/>
      <c r="BL1481" s="1684"/>
      <c r="BM1481" s="1684"/>
      <c r="BN1481" s="1684"/>
      <c r="BO1481" s="1684"/>
      <c r="BP1481" s="1684"/>
      <c r="BQ1481" s="1684"/>
      <c r="BR1481" s="1684"/>
      <c r="BS1481" s="1684"/>
      <c r="BT1481" s="1684"/>
      <c r="BU1481" s="1684"/>
      <c r="BV1481" s="1684"/>
      <c r="BW1481" s="1684"/>
      <c r="BX1481" s="1684"/>
      <c r="BY1481" s="1684"/>
      <c r="BZ1481" s="1684"/>
      <c r="CA1481" s="1684"/>
      <c r="CB1481" s="1684"/>
      <c r="CC1481" s="1684"/>
      <c r="CD1481" s="1684"/>
      <c r="CE1481" s="1684"/>
      <c r="CF1481" s="1684"/>
      <c r="CG1481" s="1684"/>
      <c r="CH1481" s="1684"/>
      <c r="CI1481" s="1684"/>
      <c r="CJ1481" s="1684"/>
      <c r="CK1481" s="1684"/>
      <c r="CL1481" s="1684"/>
      <c r="CM1481" s="1684"/>
      <c r="CN1481" s="1684"/>
      <c r="CO1481" s="1684"/>
      <c r="CP1481" s="1391"/>
      <c r="CQ1481" s="1391"/>
      <c r="CR1481" s="1391"/>
      <c r="CS1481" s="1391"/>
      <c r="CT1481" s="1391"/>
      <c r="CU1481" s="1391"/>
      <c r="CV1481" s="1391"/>
      <c r="CW1481" s="1391"/>
      <c r="CX1481" s="1391"/>
      <c r="CY1481" s="1391"/>
      <c r="CZ1481" s="1391"/>
      <c r="DA1481" s="1391"/>
      <c r="DB1481" s="1391"/>
      <c r="DC1481" s="1391"/>
      <c r="DD1481" s="1391"/>
      <c r="DE1481" s="1391"/>
      <c r="DF1481" s="1391"/>
      <c r="DG1481" s="1391"/>
      <c r="DH1481" s="1391"/>
      <c r="DI1481" s="1391"/>
    </row>
    <row r="1482" spans="1:113" ht="15.75" x14ac:dyDescent="0.25">
      <c r="A1482" s="1684"/>
      <c r="B1482" s="1690"/>
      <c r="C1482" s="1698" t="s">
        <v>1435</v>
      </c>
      <c r="D1482" s="1699" t="s">
        <v>5225</v>
      </c>
      <c r="E1482" s="1699" t="s">
        <v>5226</v>
      </c>
      <c r="F1482" s="1700"/>
      <c r="G1482" s="1701"/>
      <c r="H1482" s="1703" t="s">
        <v>5227</v>
      </c>
      <c r="I1482" s="1695"/>
      <c r="J1482" s="1568"/>
      <c r="K1482" s="1391" t="s">
        <v>5227</v>
      </c>
      <c r="L1482" s="1391"/>
      <c r="M1482" s="1391"/>
      <c r="N1482" s="1391"/>
      <c r="O1482" s="1391"/>
      <c r="P1482" s="1391"/>
      <c r="Q1482" s="1391"/>
      <c r="R1482" s="1391"/>
      <c r="S1482" s="1391"/>
      <c r="T1482" s="1694" t="s">
        <v>5228</v>
      </c>
      <c r="U1482" s="1694">
        <v>109</v>
      </c>
      <c r="V1482" s="1694">
        <v>72.099999999999994</v>
      </c>
      <c r="W1482" s="1694">
        <v>43.4</v>
      </c>
      <c r="X1482" s="1694">
        <v>31</v>
      </c>
      <c r="Y1482" s="1391"/>
      <c r="Z1482" s="1391"/>
      <c r="AA1482" s="1697" t="s">
        <v>5229</v>
      </c>
      <c r="AB1482" s="1697">
        <v>250</v>
      </c>
      <c r="AC1482" s="1697">
        <v>214</v>
      </c>
      <c r="AD1482" s="1697">
        <v>192</v>
      </c>
      <c r="AE1482" s="1697">
        <v>184</v>
      </c>
      <c r="AF1482" s="1697">
        <v>166</v>
      </c>
      <c r="AG1482" s="1697">
        <v>152</v>
      </c>
      <c r="AH1482" s="1697">
        <v>140</v>
      </c>
      <c r="AI1482" s="1697">
        <v>129</v>
      </c>
      <c r="AJ1482" s="1697">
        <v>120</v>
      </c>
      <c r="AK1482" s="1697">
        <v>114</v>
      </c>
      <c r="AL1482" s="1697">
        <v>102</v>
      </c>
      <c r="AM1482" s="1697">
        <v>97</v>
      </c>
      <c r="AN1482" s="1697">
        <v>87</v>
      </c>
      <c r="AO1482" s="1697">
        <v>80</v>
      </c>
      <c r="AP1482" s="1697">
        <v>78</v>
      </c>
      <c r="AQ1482" s="1684"/>
      <c r="AR1482" s="1684"/>
      <c r="AS1482" s="1684"/>
      <c r="AT1482" s="1684"/>
      <c r="AU1482" s="1684"/>
      <c r="AV1482" s="1684"/>
      <c r="AW1482" s="1684"/>
      <c r="AX1482" s="1684"/>
      <c r="AY1482" s="1684"/>
      <c r="AZ1482" s="1684"/>
      <c r="BA1482" s="1684"/>
      <c r="BB1482" s="1684"/>
      <c r="BC1482" s="1684"/>
      <c r="BD1482" s="1684"/>
      <c r="BE1482" s="1684"/>
      <c r="BF1482" s="1684"/>
      <c r="BG1482" s="1684"/>
      <c r="BH1482" s="1684"/>
      <c r="BI1482" s="1684"/>
      <c r="BJ1482" s="1684"/>
      <c r="BK1482" s="1684"/>
      <c r="BL1482" s="1684"/>
      <c r="BM1482" s="1684"/>
      <c r="BN1482" s="1684"/>
      <c r="BO1482" s="1684"/>
      <c r="BP1482" s="1684"/>
      <c r="BQ1482" s="1684"/>
      <c r="BR1482" s="1684"/>
      <c r="BS1482" s="1684"/>
      <c r="BT1482" s="1684"/>
      <c r="BU1482" s="1684"/>
      <c r="BV1482" s="1684"/>
      <c r="BW1482" s="1684"/>
      <c r="BX1482" s="1684"/>
      <c r="BY1482" s="1684"/>
      <c r="BZ1482" s="1684"/>
      <c r="CA1482" s="1684"/>
      <c r="CB1482" s="1684"/>
      <c r="CC1482" s="1684"/>
      <c r="CD1482" s="1684"/>
      <c r="CE1482" s="1684"/>
      <c r="CF1482" s="1684"/>
      <c r="CG1482" s="1684"/>
      <c r="CH1482" s="1684"/>
      <c r="CI1482" s="1684"/>
      <c r="CJ1482" s="1684"/>
      <c r="CK1482" s="1684"/>
      <c r="CL1482" s="1684"/>
      <c r="CM1482" s="1684"/>
      <c r="CN1482" s="1684"/>
      <c r="CO1482" s="1684"/>
      <c r="CP1482" s="1391"/>
      <c r="CQ1482" s="1391"/>
      <c r="CR1482" s="1391"/>
      <c r="CS1482" s="1391"/>
      <c r="CT1482" s="1391"/>
      <c r="CU1482" s="1391"/>
      <c r="CV1482" s="1391"/>
      <c r="CW1482" s="1391"/>
      <c r="CX1482" s="1391"/>
      <c r="CY1482" s="1391"/>
      <c r="CZ1482" s="1391"/>
      <c r="DA1482" s="1391"/>
      <c r="DB1482" s="1391"/>
      <c r="DC1482" s="1391"/>
      <c r="DD1482" s="1391"/>
      <c r="DE1482" s="1391"/>
      <c r="DF1482" s="1391"/>
      <c r="DG1482" s="1391"/>
      <c r="DH1482" s="1391"/>
      <c r="DI1482" s="1391"/>
    </row>
    <row r="1483" spans="1:113" ht="15.75" x14ac:dyDescent="0.25">
      <c r="A1483" s="1684"/>
      <c r="B1483" s="1690"/>
      <c r="C1483" s="1698" t="s">
        <v>1436</v>
      </c>
      <c r="D1483" s="1699" t="s">
        <v>5230</v>
      </c>
      <c r="E1483" s="1699" t="s">
        <v>5231</v>
      </c>
      <c r="F1483" s="1700"/>
      <c r="G1483" s="1701"/>
      <c r="H1483" s="1703" t="s">
        <v>5232</v>
      </c>
      <c r="I1483" s="1695" t="s">
        <v>2330</v>
      </c>
      <c r="J1483" s="1568"/>
      <c r="K1483" s="1391" t="s">
        <v>5232</v>
      </c>
      <c r="L1483" s="1391" t="s">
        <v>2330</v>
      </c>
      <c r="M1483" s="1391"/>
      <c r="N1483" s="1391"/>
      <c r="O1483" s="1391"/>
      <c r="P1483" s="1391"/>
      <c r="Q1483" s="1391"/>
      <c r="R1483" s="1391"/>
      <c r="S1483" s="1391"/>
      <c r="T1483" s="1694" t="s">
        <v>5233</v>
      </c>
      <c r="U1483" s="1694">
        <v>104</v>
      </c>
      <c r="V1483" s="1694">
        <v>67.599999999999994</v>
      </c>
      <c r="W1483" s="1694">
        <v>41</v>
      </c>
      <c r="X1483" s="1694">
        <v>29.5</v>
      </c>
      <c r="Y1483" s="1391"/>
      <c r="Z1483" s="1391"/>
      <c r="AA1483" s="1697" t="s">
        <v>5234</v>
      </c>
      <c r="AB1483" s="1697">
        <v>292</v>
      </c>
      <c r="AC1483" s="1697">
        <v>234</v>
      </c>
      <c r="AD1483" s="1697">
        <v>216</v>
      </c>
      <c r="AE1483" s="1697">
        <v>209</v>
      </c>
      <c r="AF1483" s="1697">
        <v>177</v>
      </c>
      <c r="AG1483" s="1697">
        <v>166</v>
      </c>
      <c r="AH1483" s="1697">
        <v>154</v>
      </c>
      <c r="AI1483" s="1697">
        <v>135</v>
      </c>
      <c r="AJ1483" s="1697">
        <v>127</v>
      </c>
      <c r="AK1483" s="1697">
        <v>118</v>
      </c>
      <c r="AL1483" s="1697">
        <v>107</v>
      </c>
      <c r="AM1483" s="1697">
        <v>103</v>
      </c>
      <c r="AN1483" s="1697">
        <v>91</v>
      </c>
      <c r="AO1483" s="1697">
        <v>84</v>
      </c>
      <c r="AP1483" s="1697">
        <v>82</v>
      </c>
      <c r="AQ1483" s="1684"/>
      <c r="AR1483" s="1684"/>
      <c r="AS1483" s="1684"/>
      <c r="AT1483" s="1684"/>
      <c r="AU1483" s="1684"/>
      <c r="AV1483" s="1684"/>
      <c r="AW1483" s="1684"/>
      <c r="AX1483" s="1684"/>
      <c r="AY1483" s="1684"/>
      <c r="AZ1483" s="1684"/>
      <c r="BA1483" s="1684"/>
      <c r="BB1483" s="1684"/>
      <c r="BC1483" s="1684"/>
      <c r="BD1483" s="1684"/>
      <c r="BE1483" s="1684"/>
      <c r="BF1483" s="1684"/>
      <c r="BG1483" s="1684"/>
      <c r="BH1483" s="1684"/>
      <c r="BI1483" s="1684"/>
      <c r="BJ1483" s="1684"/>
      <c r="BK1483" s="1684"/>
      <c r="BL1483" s="1684"/>
      <c r="BM1483" s="1684"/>
      <c r="BN1483" s="1684"/>
      <c r="BO1483" s="1684"/>
      <c r="BP1483" s="1684"/>
      <c r="BQ1483" s="1684"/>
      <c r="BR1483" s="1684"/>
      <c r="BS1483" s="1684"/>
      <c r="BT1483" s="1684"/>
      <c r="BU1483" s="1684"/>
      <c r="BV1483" s="1684"/>
      <c r="BW1483" s="1684"/>
      <c r="BX1483" s="1684"/>
      <c r="BY1483" s="1684"/>
      <c r="BZ1483" s="1684"/>
      <c r="CA1483" s="1684"/>
      <c r="CB1483" s="1684"/>
      <c r="CC1483" s="1684"/>
      <c r="CD1483" s="1684"/>
      <c r="CE1483" s="1684"/>
      <c r="CF1483" s="1684"/>
      <c r="CG1483" s="1684"/>
      <c r="CH1483" s="1684"/>
      <c r="CI1483" s="1684"/>
      <c r="CJ1483" s="1684"/>
      <c r="CK1483" s="1684"/>
      <c r="CL1483" s="1684"/>
      <c r="CM1483" s="1684"/>
      <c r="CN1483" s="1684"/>
      <c r="CO1483" s="1684"/>
      <c r="CP1483" s="1391"/>
      <c r="CQ1483" s="1391"/>
      <c r="CR1483" s="1391"/>
      <c r="CS1483" s="1391"/>
      <c r="CT1483" s="1391"/>
      <c r="CU1483" s="1391"/>
      <c r="CV1483" s="1391"/>
      <c r="CW1483" s="1391"/>
      <c r="CX1483" s="1391"/>
      <c r="CY1483" s="1391"/>
      <c r="CZ1483" s="1391"/>
      <c r="DA1483" s="1391"/>
      <c r="DB1483" s="1391"/>
      <c r="DC1483" s="1391"/>
      <c r="DD1483" s="1391"/>
      <c r="DE1483" s="1391"/>
      <c r="DF1483" s="1391"/>
      <c r="DG1483" s="1391"/>
      <c r="DH1483" s="1391"/>
      <c r="DI1483" s="1391"/>
    </row>
    <row r="1484" spans="1:113" ht="15.75" x14ac:dyDescent="0.25">
      <c r="A1484" s="1684"/>
      <c r="B1484" s="1690"/>
      <c r="C1484" s="1698" t="s">
        <v>1437</v>
      </c>
      <c r="D1484" s="1699" t="s">
        <v>5235</v>
      </c>
      <c r="E1484" s="1699" t="s">
        <v>5236</v>
      </c>
      <c r="F1484" s="1700"/>
      <c r="G1484" s="1701"/>
      <c r="H1484" s="1703">
        <v>500</v>
      </c>
      <c r="I1484" s="1695">
        <v>256</v>
      </c>
      <c r="J1484" s="1568"/>
      <c r="K1484" s="1391">
        <v>500</v>
      </c>
      <c r="L1484" s="1405">
        <v>376</v>
      </c>
      <c r="M1484" s="1391"/>
      <c r="N1484" s="1391"/>
      <c r="O1484" s="1391"/>
      <c r="P1484" s="1391"/>
      <c r="Q1484" s="1391"/>
      <c r="R1484" s="1391"/>
      <c r="S1484" s="1391"/>
      <c r="T1484" s="1694" t="s">
        <v>5237</v>
      </c>
      <c r="U1484" s="1694">
        <v>99.5</v>
      </c>
      <c r="V1484" s="1694">
        <v>62.8</v>
      </c>
      <c r="W1484" s="1694">
        <v>38.5</v>
      </c>
      <c r="X1484" s="1694">
        <v>27.8</v>
      </c>
      <c r="Y1484" s="1391"/>
      <c r="Z1484" s="1391"/>
      <c r="AA1484" s="1697" t="s">
        <v>5238</v>
      </c>
      <c r="AB1484" s="1697">
        <v>306</v>
      </c>
      <c r="AC1484" s="1697">
        <v>246</v>
      </c>
      <c r="AD1484" s="1697">
        <v>230</v>
      </c>
      <c r="AE1484" s="1697">
        <v>217</v>
      </c>
      <c r="AF1484" s="1697">
        <v>184</v>
      </c>
      <c r="AG1484" s="1697">
        <v>175</v>
      </c>
      <c r="AH1484" s="1697">
        <v>158</v>
      </c>
      <c r="AI1484" s="1697">
        <v>140</v>
      </c>
      <c r="AJ1484" s="1697">
        <v>134</v>
      </c>
      <c r="AK1484" s="1697">
        <v>121</v>
      </c>
      <c r="AL1484" s="1697">
        <v>110</v>
      </c>
      <c r="AM1484" s="1697">
        <v>106</v>
      </c>
      <c r="AN1484" s="1697">
        <v>93</v>
      </c>
      <c r="AO1484" s="1697">
        <v>86</v>
      </c>
      <c r="AP1484" s="1697">
        <v>84</v>
      </c>
      <c r="AQ1484" s="1684"/>
      <c r="AR1484" s="1684"/>
      <c r="AS1484" s="1684"/>
      <c r="AT1484" s="1684"/>
      <c r="AU1484" s="1684"/>
      <c r="AV1484" s="1684"/>
      <c r="AW1484" s="1684"/>
      <c r="AX1484" s="1684"/>
      <c r="AY1484" s="1684"/>
      <c r="AZ1484" s="1684"/>
      <c r="BA1484" s="1684"/>
      <c r="BB1484" s="1684"/>
      <c r="BC1484" s="1684"/>
      <c r="BD1484" s="1684"/>
      <c r="BE1484" s="1684"/>
      <c r="BF1484" s="1684"/>
      <c r="BG1484" s="1684"/>
      <c r="BH1484" s="1684"/>
      <c r="BI1484" s="1684"/>
      <c r="BJ1484" s="1684"/>
      <c r="BK1484" s="1684"/>
      <c r="BL1484" s="1684"/>
      <c r="BM1484" s="1684"/>
      <c r="BN1484" s="1684"/>
      <c r="BO1484" s="1684"/>
      <c r="BP1484" s="1684"/>
      <c r="BQ1484" s="1684"/>
      <c r="BR1484" s="1684"/>
      <c r="BS1484" s="1684"/>
      <c r="BT1484" s="1684"/>
      <c r="BU1484" s="1684"/>
      <c r="BV1484" s="1684"/>
      <c r="BW1484" s="1684"/>
      <c r="BX1484" s="1684"/>
      <c r="BY1484" s="1684"/>
      <c r="BZ1484" s="1684"/>
      <c r="CA1484" s="1684"/>
      <c r="CB1484" s="1684"/>
      <c r="CC1484" s="1684"/>
      <c r="CD1484" s="1684"/>
      <c r="CE1484" s="1684"/>
      <c r="CF1484" s="1684"/>
      <c r="CG1484" s="1684"/>
      <c r="CH1484" s="1684"/>
      <c r="CI1484" s="1684"/>
      <c r="CJ1484" s="1684"/>
      <c r="CK1484" s="1684"/>
      <c r="CL1484" s="1684"/>
      <c r="CM1484" s="1684"/>
      <c r="CN1484" s="1684"/>
      <c r="CO1484" s="1684"/>
      <c r="CP1484" s="1391"/>
      <c r="CQ1484" s="1391"/>
      <c r="CR1484" s="1391"/>
      <c r="CS1484" s="1391"/>
      <c r="CT1484" s="1391"/>
      <c r="CU1484" s="1391"/>
      <c r="CV1484" s="1391"/>
      <c r="CW1484" s="1391"/>
      <c r="CX1484" s="1391"/>
      <c r="CY1484" s="1391"/>
      <c r="CZ1484" s="1391"/>
      <c r="DA1484" s="1391"/>
      <c r="DB1484" s="1391"/>
      <c r="DC1484" s="1391"/>
      <c r="DD1484" s="1391"/>
      <c r="DE1484" s="1391"/>
      <c r="DF1484" s="1391"/>
      <c r="DG1484" s="1391"/>
      <c r="DH1484" s="1391"/>
      <c r="DI1484" s="1391"/>
    </row>
    <row r="1485" spans="1:113" ht="15.75" x14ac:dyDescent="0.2">
      <c r="A1485" s="1684"/>
      <c r="B1485" s="1690"/>
      <c r="C1485" s="1698"/>
      <c r="D1485" s="1699"/>
      <c r="E1485" s="1699"/>
      <c r="F1485" s="1700"/>
      <c r="G1485" s="1701"/>
      <c r="H1485" s="1703">
        <v>700</v>
      </c>
      <c r="I1485" s="1695">
        <v>220</v>
      </c>
      <c r="J1485" s="1568"/>
      <c r="K1485" s="1391">
        <v>700</v>
      </c>
      <c r="L1485" s="1405">
        <v>323</v>
      </c>
      <c r="M1485" s="1391"/>
      <c r="N1485" s="1391"/>
      <c r="O1485" s="1391"/>
      <c r="P1485" s="1391"/>
      <c r="Q1485" s="1391"/>
      <c r="R1485" s="1391"/>
      <c r="S1485" s="1391"/>
      <c r="T1485" s="1391"/>
      <c r="U1485" s="1391"/>
      <c r="V1485" s="1391"/>
      <c r="W1485" s="1391"/>
      <c r="X1485" s="1391"/>
      <c r="Y1485" s="1391"/>
      <c r="Z1485" s="1391"/>
      <c r="AA1485" s="1391"/>
      <c r="AB1485" s="1391"/>
      <c r="AC1485" s="1391"/>
      <c r="AD1485" s="1391"/>
      <c r="AE1485" s="1391"/>
      <c r="AF1485" s="1391"/>
      <c r="AG1485" s="1391"/>
      <c r="AH1485" s="1391"/>
      <c r="AI1485" s="1391"/>
      <c r="AJ1485" s="1391"/>
      <c r="AK1485" s="1391"/>
      <c r="AL1485" s="1391"/>
      <c r="AM1485" s="1391"/>
      <c r="AN1485" s="1391"/>
      <c r="AO1485" s="1391"/>
      <c r="AP1485" s="1391"/>
      <c r="AQ1485" s="1684"/>
      <c r="AR1485" s="1684"/>
      <c r="AS1485" s="1684"/>
      <c r="AT1485" s="1684"/>
      <c r="AU1485" s="1684"/>
      <c r="AV1485" s="1684"/>
      <c r="AW1485" s="1684"/>
      <c r="AX1485" s="1684"/>
      <c r="AY1485" s="1684"/>
      <c r="AZ1485" s="1684"/>
      <c r="BA1485" s="1684"/>
      <c r="BB1485" s="1684"/>
      <c r="BC1485" s="1684"/>
      <c r="BD1485" s="1684"/>
      <c r="BE1485" s="1684"/>
      <c r="BF1485" s="1684"/>
      <c r="BG1485" s="1684"/>
      <c r="BH1485" s="1684"/>
      <c r="BI1485" s="1684"/>
      <c r="BJ1485" s="1684"/>
      <c r="BK1485" s="1684"/>
      <c r="BL1485" s="1684"/>
      <c r="BM1485" s="1684"/>
      <c r="BN1485" s="1684"/>
      <c r="BO1485" s="1684"/>
      <c r="BP1485" s="1684"/>
      <c r="BQ1485" s="1684"/>
      <c r="BR1485" s="1684"/>
      <c r="BS1485" s="1684"/>
      <c r="BT1485" s="1684"/>
      <c r="BU1485" s="1684"/>
      <c r="BV1485" s="1684"/>
      <c r="BW1485" s="1684"/>
      <c r="BX1485" s="1684"/>
      <c r="BY1485" s="1684"/>
      <c r="BZ1485" s="1684"/>
      <c r="CA1485" s="1684"/>
      <c r="CB1485" s="1684"/>
      <c r="CC1485" s="1684"/>
      <c r="CD1485" s="1684"/>
      <c r="CE1485" s="1684"/>
      <c r="CF1485" s="1684"/>
      <c r="CG1485" s="1684"/>
      <c r="CH1485" s="1684"/>
      <c r="CI1485" s="1684"/>
      <c r="CJ1485" s="1684"/>
      <c r="CK1485" s="1684"/>
      <c r="CL1485" s="1684"/>
      <c r="CM1485" s="1684"/>
      <c r="CN1485" s="1684"/>
      <c r="CO1485" s="1684"/>
      <c r="CP1485" s="1391"/>
      <c r="CQ1485" s="1391"/>
      <c r="CR1485" s="1391"/>
      <c r="CS1485" s="1391"/>
      <c r="CT1485" s="1391"/>
      <c r="CU1485" s="1391"/>
      <c r="CV1485" s="1391"/>
      <c r="CW1485" s="1391"/>
      <c r="CX1485" s="1391"/>
      <c r="CY1485" s="1391"/>
      <c r="CZ1485" s="1391"/>
      <c r="DA1485" s="1391"/>
      <c r="DB1485" s="1391"/>
      <c r="DC1485" s="1391"/>
      <c r="DD1485" s="1391"/>
      <c r="DE1485" s="1391"/>
      <c r="DF1485" s="1391"/>
      <c r="DG1485" s="1391"/>
      <c r="DH1485" s="1391"/>
      <c r="DI1485" s="1391"/>
    </row>
    <row r="1486" spans="1:113" ht="15.75" x14ac:dyDescent="0.2">
      <c r="A1486" s="1684"/>
      <c r="B1486" s="1690"/>
      <c r="C1486" s="1698" t="s">
        <v>1438</v>
      </c>
      <c r="D1486" s="1699" t="s">
        <v>5239</v>
      </c>
      <c r="E1486" s="1699" t="s">
        <v>5240</v>
      </c>
      <c r="F1486" s="1700"/>
      <c r="G1486" s="1701"/>
      <c r="H1486" s="1704">
        <v>900</v>
      </c>
      <c r="I1486" s="1705">
        <v>194</v>
      </c>
      <c r="J1486" s="1568"/>
      <c r="K1486" s="1405">
        <v>900</v>
      </c>
      <c r="L1486" s="1405">
        <v>281</v>
      </c>
      <c r="M1486" s="1391"/>
      <c r="N1486" s="1391"/>
      <c r="O1486" s="1391"/>
      <c r="P1486" s="1391"/>
      <c r="Q1486" s="1391"/>
      <c r="R1486" s="1391"/>
      <c r="S1486" s="1391"/>
      <c r="T1486" s="1391"/>
      <c r="U1486" s="1391"/>
      <c r="V1486" s="1391"/>
      <c r="W1486" s="1391"/>
      <c r="X1486" s="1391"/>
      <c r="Y1486" s="1391"/>
      <c r="Z1486" s="1391"/>
      <c r="AA1486" s="1391"/>
      <c r="AB1486" s="1391"/>
      <c r="AC1486" s="1391"/>
      <c r="AD1486" s="1391"/>
      <c r="AE1486" s="1391"/>
      <c r="AF1486" s="1391"/>
      <c r="AG1486" s="1391"/>
      <c r="AH1486" s="1391"/>
      <c r="AI1486" s="1391"/>
      <c r="AJ1486" s="1391"/>
      <c r="AK1486" s="1391"/>
      <c r="AL1486" s="1391"/>
      <c r="AM1486" s="1391"/>
      <c r="AN1486" s="1391"/>
      <c r="AO1486" s="1391"/>
      <c r="AP1486" s="1391"/>
      <c r="AQ1486" s="1684"/>
      <c r="AR1486" s="1684"/>
      <c r="AS1486" s="1684"/>
      <c r="AT1486" s="1684"/>
      <c r="AU1486" s="1684"/>
      <c r="AV1486" s="1684"/>
      <c r="AW1486" s="1684"/>
      <c r="AX1486" s="1684"/>
      <c r="AY1486" s="1684"/>
      <c r="AZ1486" s="1684"/>
      <c r="BA1486" s="1684"/>
      <c r="BB1486" s="1684"/>
      <c r="BC1486" s="1684"/>
      <c r="BD1486" s="1684"/>
      <c r="BE1486" s="1684"/>
      <c r="BF1486" s="1684"/>
      <c r="BG1486" s="1684"/>
      <c r="BH1486" s="1684"/>
      <c r="BI1486" s="1684"/>
      <c r="BJ1486" s="1684"/>
      <c r="BK1486" s="1684"/>
      <c r="BL1486" s="1684"/>
      <c r="BM1486" s="1684"/>
      <c r="BN1486" s="1684"/>
      <c r="BO1486" s="1684"/>
      <c r="BP1486" s="1684"/>
      <c r="BQ1486" s="1684"/>
      <c r="BR1486" s="1684"/>
      <c r="BS1486" s="1684"/>
      <c r="BT1486" s="1684"/>
      <c r="BU1486" s="1684"/>
      <c r="BV1486" s="1684"/>
      <c r="BW1486" s="1684"/>
      <c r="BX1486" s="1684"/>
      <c r="BY1486" s="1684"/>
      <c r="BZ1486" s="1684"/>
      <c r="CA1486" s="1684"/>
      <c r="CB1486" s="1684"/>
      <c r="CC1486" s="1684"/>
      <c r="CD1486" s="1684"/>
      <c r="CE1486" s="1684"/>
      <c r="CF1486" s="1684"/>
      <c r="CG1486" s="1684"/>
      <c r="CH1486" s="1684"/>
      <c r="CI1486" s="1684"/>
      <c r="CJ1486" s="1684"/>
      <c r="CK1486" s="1684"/>
      <c r="CL1486" s="1684"/>
      <c r="CM1486" s="1684"/>
      <c r="CN1486" s="1684"/>
      <c r="CO1486" s="1684"/>
      <c r="CP1486" s="1391"/>
      <c r="CQ1486" s="1391"/>
      <c r="CR1486" s="1391"/>
      <c r="CS1486" s="1391"/>
      <c r="CT1486" s="1391"/>
      <c r="CU1486" s="1391"/>
      <c r="CV1486" s="1391"/>
      <c r="CW1486" s="1391"/>
      <c r="CX1486" s="1391"/>
      <c r="CY1486" s="1391"/>
      <c r="CZ1486" s="1391"/>
      <c r="DA1486" s="1391"/>
      <c r="DB1486" s="1391"/>
      <c r="DC1486" s="1391"/>
      <c r="DD1486" s="1391"/>
      <c r="DE1486" s="1391"/>
      <c r="DF1486" s="1391"/>
      <c r="DG1486" s="1391"/>
      <c r="DH1486" s="1391"/>
      <c r="DI1486" s="1391"/>
    </row>
    <row r="1487" spans="1:113" ht="15.75" x14ac:dyDescent="0.2">
      <c r="A1487" s="1684"/>
      <c r="B1487" s="1690"/>
      <c r="C1487" s="1698" t="s">
        <v>1439</v>
      </c>
      <c r="D1487" s="1699" t="s">
        <v>5241</v>
      </c>
      <c r="E1487" s="1699" t="s">
        <v>5242</v>
      </c>
      <c r="F1487" s="1700"/>
      <c r="G1487" s="1701"/>
      <c r="H1487" s="1703">
        <v>1100</v>
      </c>
      <c r="I1487" s="1695">
        <v>173</v>
      </c>
      <c r="J1487" s="1568"/>
      <c r="K1487" s="1391">
        <v>1100</v>
      </c>
      <c r="L1487" s="1405">
        <v>251</v>
      </c>
      <c r="M1487" s="1391"/>
      <c r="N1487" s="1391"/>
      <c r="O1487" s="1391"/>
      <c r="P1487" s="1391"/>
      <c r="Q1487" s="1391"/>
      <c r="R1487" s="1391"/>
      <c r="S1487" s="1391"/>
      <c r="T1487" s="1391"/>
      <c r="U1487" s="1391"/>
      <c r="V1487" s="1391"/>
      <c r="W1487" s="1391"/>
      <c r="X1487" s="1391"/>
      <c r="Y1487" s="1391"/>
      <c r="Z1487" s="1391"/>
      <c r="AA1487" s="1391"/>
      <c r="AB1487" s="1391"/>
      <c r="AC1487" s="1391"/>
      <c r="AD1487" s="1391"/>
      <c r="AE1487" s="1391"/>
      <c r="AF1487" s="1391"/>
      <c r="AG1487" s="1391"/>
      <c r="AH1487" s="1391"/>
      <c r="AI1487" s="1391"/>
      <c r="AJ1487" s="1391"/>
      <c r="AK1487" s="1391"/>
      <c r="AL1487" s="1391"/>
      <c r="AM1487" s="1391"/>
      <c r="AN1487" s="1391"/>
      <c r="AO1487" s="1391"/>
      <c r="AP1487" s="1391"/>
      <c r="AQ1487" s="1684"/>
      <c r="AR1487" s="1684"/>
      <c r="AS1487" s="1684"/>
      <c r="AT1487" s="1684"/>
      <c r="AU1487" s="1684"/>
      <c r="AV1487" s="1684"/>
      <c r="AW1487" s="1684"/>
      <c r="AX1487" s="1684"/>
      <c r="AY1487" s="1684"/>
      <c r="AZ1487" s="1684"/>
      <c r="BA1487" s="1684"/>
      <c r="BB1487" s="1684"/>
      <c r="BC1487" s="1684"/>
      <c r="BD1487" s="1684"/>
      <c r="BE1487" s="1684"/>
      <c r="BF1487" s="1684"/>
      <c r="BG1487" s="1684"/>
      <c r="BH1487" s="1684"/>
      <c r="BI1487" s="1684"/>
      <c r="BJ1487" s="1684"/>
      <c r="BK1487" s="1684"/>
      <c r="BL1487" s="1684"/>
      <c r="BM1487" s="1684"/>
      <c r="BN1487" s="1684"/>
      <c r="BO1487" s="1684"/>
      <c r="BP1487" s="1684"/>
      <c r="BQ1487" s="1684"/>
      <c r="BR1487" s="1684"/>
      <c r="BS1487" s="1684"/>
      <c r="BT1487" s="1684"/>
      <c r="BU1487" s="1684"/>
      <c r="BV1487" s="1684"/>
      <c r="BW1487" s="1684"/>
      <c r="BX1487" s="1684"/>
      <c r="BY1487" s="1684"/>
      <c r="BZ1487" s="1684"/>
      <c r="CA1487" s="1684"/>
      <c r="CB1487" s="1684"/>
      <c r="CC1487" s="1684"/>
      <c r="CD1487" s="1684"/>
      <c r="CE1487" s="1684"/>
      <c r="CF1487" s="1684"/>
      <c r="CG1487" s="1684"/>
      <c r="CH1487" s="1684"/>
      <c r="CI1487" s="1684"/>
      <c r="CJ1487" s="1684"/>
      <c r="CK1487" s="1684"/>
      <c r="CL1487" s="1684"/>
      <c r="CM1487" s="1684"/>
      <c r="CN1487" s="1684"/>
      <c r="CO1487" s="1684"/>
      <c r="CP1487" s="1391"/>
      <c r="CQ1487" s="1391"/>
      <c r="CR1487" s="1391"/>
      <c r="CS1487" s="1391"/>
      <c r="CT1487" s="1391"/>
      <c r="CU1487" s="1391"/>
      <c r="CV1487" s="1391"/>
      <c r="CW1487" s="1391"/>
      <c r="CX1487" s="1391"/>
      <c r="CY1487" s="1391"/>
      <c r="CZ1487" s="1391"/>
      <c r="DA1487" s="1391"/>
      <c r="DB1487" s="1391"/>
      <c r="DC1487" s="1391"/>
      <c r="DD1487" s="1391"/>
      <c r="DE1487" s="1391"/>
      <c r="DF1487" s="1391"/>
      <c r="DG1487" s="1391"/>
      <c r="DH1487" s="1391"/>
      <c r="DI1487" s="1391"/>
    </row>
    <row r="1488" spans="1:113" ht="15.75" x14ac:dyDescent="0.2">
      <c r="A1488" s="1684"/>
      <c r="B1488" s="1690"/>
      <c r="C1488" s="1698" t="s">
        <v>1440</v>
      </c>
      <c r="D1488" s="1699" t="s">
        <v>5243</v>
      </c>
      <c r="E1488" s="1699" t="s">
        <v>5244</v>
      </c>
      <c r="F1488" s="1700"/>
      <c r="G1488" s="1701"/>
      <c r="H1488" s="1703">
        <v>1350</v>
      </c>
      <c r="I1488" s="1695">
        <v>152</v>
      </c>
      <c r="J1488" s="1568"/>
      <c r="K1488" s="1391">
        <v>1350</v>
      </c>
      <c r="L1488" s="1405">
        <v>219</v>
      </c>
      <c r="M1488" s="1391"/>
      <c r="N1488" s="1391"/>
      <c r="O1488" s="1391"/>
      <c r="P1488" s="1391"/>
      <c r="Q1488" s="1391"/>
      <c r="R1488" s="1391"/>
      <c r="S1488" s="1391"/>
      <c r="T1488" s="1391"/>
      <c r="U1488" s="1391"/>
      <c r="V1488" s="1391"/>
      <c r="W1488" s="1391"/>
      <c r="X1488" s="1391"/>
      <c r="Y1488" s="1391"/>
      <c r="Z1488" s="1391"/>
      <c r="AA1488" s="1391"/>
      <c r="AB1488" s="1391"/>
      <c r="AC1488" s="1391"/>
      <c r="AD1488" s="1391"/>
      <c r="AE1488" s="1391"/>
      <c r="AF1488" s="1391"/>
      <c r="AG1488" s="1391"/>
      <c r="AH1488" s="1391"/>
      <c r="AI1488" s="1391"/>
      <c r="AJ1488" s="1391"/>
      <c r="AK1488" s="1391"/>
      <c r="AL1488" s="1391"/>
      <c r="AM1488" s="1391"/>
      <c r="AN1488" s="1391"/>
      <c r="AO1488" s="1391"/>
      <c r="AP1488" s="1391"/>
      <c r="AQ1488" s="1684"/>
      <c r="AR1488" s="1684"/>
      <c r="AS1488" s="1684"/>
      <c r="AT1488" s="1684"/>
      <c r="AU1488" s="1684"/>
      <c r="AV1488" s="1684"/>
      <c r="AW1488" s="1684"/>
      <c r="AX1488" s="1684"/>
      <c r="AY1488" s="1684"/>
      <c r="AZ1488" s="1684"/>
      <c r="BA1488" s="1684"/>
      <c r="BB1488" s="1684"/>
      <c r="BC1488" s="1684"/>
      <c r="BD1488" s="1684"/>
      <c r="BE1488" s="1684"/>
      <c r="BF1488" s="1684"/>
      <c r="BG1488" s="1684"/>
      <c r="BH1488" s="1684"/>
      <c r="BI1488" s="1684"/>
      <c r="BJ1488" s="1684"/>
      <c r="BK1488" s="1684"/>
      <c r="BL1488" s="1684"/>
      <c r="BM1488" s="1684"/>
      <c r="BN1488" s="1684"/>
      <c r="BO1488" s="1684"/>
      <c r="BP1488" s="1684"/>
      <c r="BQ1488" s="1684"/>
      <c r="BR1488" s="1684"/>
      <c r="BS1488" s="1684"/>
      <c r="BT1488" s="1684"/>
      <c r="BU1488" s="1684"/>
      <c r="BV1488" s="1684"/>
      <c r="BW1488" s="1684"/>
      <c r="BX1488" s="1684"/>
      <c r="BY1488" s="1684"/>
      <c r="BZ1488" s="1684"/>
      <c r="CA1488" s="1684"/>
      <c r="CB1488" s="1684"/>
      <c r="CC1488" s="1684"/>
      <c r="CD1488" s="1684"/>
      <c r="CE1488" s="1684"/>
      <c r="CF1488" s="1684"/>
      <c r="CG1488" s="1684"/>
      <c r="CH1488" s="1684"/>
      <c r="CI1488" s="1684"/>
      <c r="CJ1488" s="1684"/>
      <c r="CK1488" s="1684"/>
      <c r="CL1488" s="1684"/>
      <c r="CM1488" s="1684"/>
      <c r="CN1488" s="1684"/>
      <c r="CO1488" s="1684"/>
      <c r="CP1488" s="1391"/>
      <c r="CQ1488" s="1391"/>
      <c r="CR1488" s="1391"/>
      <c r="CS1488" s="1391"/>
      <c r="CT1488" s="1391"/>
      <c r="CU1488" s="1391"/>
      <c r="CV1488" s="1391"/>
      <c r="CW1488" s="1391"/>
      <c r="CX1488" s="1391"/>
      <c r="CY1488" s="1391"/>
      <c r="CZ1488" s="1391"/>
      <c r="DA1488" s="1391"/>
      <c r="DB1488" s="1391"/>
      <c r="DC1488" s="1391"/>
      <c r="DD1488" s="1391"/>
      <c r="DE1488" s="1391"/>
      <c r="DF1488" s="1391"/>
      <c r="DG1488" s="1391"/>
      <c r="DH1488" s="1391"/>
      <c r="DI1488" s="1391"/>
    </row>
    <row r="1489" spans="1:113" ht="15.75" x14ac:dyDescent="0.2">
      <c r="A1489" s="1684"/>
      <c r="B1489" s="1690"/>
      <c r="C1489" s="1698" t="s">
        <v>5245</v>
      </c>
      <c r="D1489" s="1699" t="s">
        <v>2885</v>
      </c>
      <c r="E1489" s="1699" t="s">
        <v>2886</v>
      </c>
      <c r="F1489" s="1700"/>
      <c r="G1489" s="1701"/>
      <c r="H1489" s="1703">
        <v>1600</v>
      </c>
      <c r="I1489" s="1695">
        <v>135</v>
      </c>
      <c r="J1489" s="1568"/>
      <c r="K1489" s="1391">
        <v>1600</v>
      </c>
      <c r="L1489" s="1405">
        <v>196</v>
      </c>
      <c r="M1489" s="1391"/>
      <c r="N1489" s="1391"/>
      <c r="O1489" s="1391"/>
      <c r="P1489" s="1391"/>
      <c r="Q1489" s="1391"/>
      <c r="R1489" s="1391"/>
      <c r="S1489" s="1391"/>
      <c r="T1489" s="1391"/>
      <c r="U1489" s="1391"/>
      <c r="V1489" s="1391"/>
      <c r="W1489" s="1391"/>
      <c r="X1489" s="1391"/>
      <c r="Y1489" s="1391"/>
      <c r="Z1489" s="1391"/>
      <c r="AA1489" s="1391"/>
      <c r="AB1489" s="1391"/>
      <c r="AC1489" s="1391"/>
      <c r="AD1489" s="1391"/>
      <c r="AE1489" s="1391"/>
      <c r="AF1489" s="1391"/>
      <c r="AG1489" s="1391"/>
      <c r="AH1489" s="1391"/>
      <c r="AI1489" s="1391"/>
      <c r="AJ1489" s="1391"/>
      <c r="AK1489" s="1391"/>
      <c r="AL1489" s="1391"/>
      <c r="AM1489" s="1391"/>
      <c r="AN1489" s="1391"/>
      <c r="AO1489" s="1391"/>
      <c r="AP1489" s="1391"/>
      <c r="AQ1489" s="1684"/>
      <c r="AR1489" s="1684"/>
      <c r="AS1489" s="1684"/>
      <c r="AT1489" s="1684"/>
      <c r="AU1489" s="1684"/>
      <c r="AV1489" s="1684"/>
      <c r="AW1489" s="1684"/>
      <c r="AX1489" s="1684"/>
      <c r="AY1489" s="1684"/>
      <c r="AZ1489" s="1684"/>
      <c r="BA1489" s="1684"/>
      <c r="BB1489" s="1684"/>
      <c r="BC1489" s="1684"/>
      <c r="BD1489" s="1684"/>
      <c r="BE1489" s="1684"/>
      <c r="BF1489" s="1684"/>
      <c r="BG1489" s="1684"/>
      <c r="BH1489" s="1684"/>
      <c r="BI1489" s="1684"/>
      <c r="BJ1489" s="1684"/>
      <c r="BK1489" s="1684"/>
      <c r="BL1489" s="1684"/>
      <c r="BM1489" s="1684"/>
      <c r="BN1489" s="1684"/>
      <c r="BO1489" s="1684"/>
      <c r="BP1489" s="1684"/>
      <c r="BQ1489" s="1684"/>
      <c r="BR1489" s="1684"/>
      <c r="BS1489" s="1684"/>
      <c r="BT1489" s="1684"/>
      <c r="BU1489" s="1684"/>
      <c r="BV1489" s="1684"/>
      <c r="BW1489" s="1684"/>
      <c r="BX1489" s="1684"/>
      <c r="BY1489" s="1684"/>
      <c r="BZ1489" s="1684"/>
      <c r="CA1489" s="1684"/>
      <c r="CB1489" s="1684"/>
      <c r="CC1489" s="1684"/>
      <c r="CD1489" s="1684"/>
      <c r="CE1489" s="1684"/>
      <c r="CF1489" s="1684"/>
      <c r="CG1489" s="1684"/>
      <c r="CH1489" s="1684"/>
      <c r="CI1489" s="1684"/>
      <c r="CJ1489" s="1684"/>
      <c r="CK1489" s="1684"/>
      <c r="CL1489" s="1684"/>
      <c r="CM1489" s="1684"/>
      <c r="CN1489" s="1684"/>
      <c r="CO1489" s="1684"/>
      <c r="CP1489" s="1391"/>
      <c r="CQ1489" s="1391"/>
      <c r="CR1489" s="1391"/>
      <c r="CS1489" s="1391"/>
      <c r="CT1489" s="1391"/>
      <c r="CU1489" s="1391"/>
      <c r="CV1489" s="1391"/>
      <c r="CW1489" s="1391"/>
      <c r="CX1489" s="1391"/>
      <c r="CY1489" s="1391"/>
      <c r="CZ1489" s="1391"/>
      <c r="DA1489" s="1391"/>
      <c r="DB1489" s="1391"/>
      <c r="DC1489" s="1391"/>
      <c r="DD1489" s="1391"/>
      <c r="DE1489" s="1391"/>
      <c r="DF1489" s="1391"/>
      <c r="DG1489" s="1391"/>
      <c r="DH1489" s="1391"/>
      <c r="DI1489" s="1391"/>
    </row>
    <row r="1490" spans="1:113" ht="15.75" x14ac:dyDescent="0.2">
      <c r="A1490" s="1684"/>
      <c r="B1490" s="1690"/>
      <c r="C1490" s="1698" t="s">
        <v>2887</v>
      </c>
      <c r="D1490" s="1699" t="s">
        <v>2888</v>
      </c>
      <c r="E1490" s="1699" t="s">
        <v>2889</v>
      </c>
      <c r="F1490" s="1700"/>
      <c r="G1490" s="1701"/>
      <c r="H1490" s="1703">
        <v>1850</v>
      </c>
      <c r="I1490" s="1695">
        <v>122</v>
      </c>
      <c r="J1490" s="1568"/>
      <c r="K1490" s="1391">
        <v>1850</v>
      </c>
      <c r="L1490" s="1405">
        <v>177</v>
      </c>
      <c r="M1490" s="1391"/>
      <c r="N1490" s="1391"/>
      <c r="O1490" s="1391"/>
      <c r="P1490" s="1391"/>
      <c r="Q1490" s="1391"/>
      <c r="R1490" s="1391"/>
      <c r="S1490" s="1391"/>
      <c r="T1490" s="1391"/>
      <c r="U1490" s="1391"/>
      <c r="V1490" s="1391"/>
      <c r="W1490" s="1391"/>
      <c r="X1490" s="1391"/>
      <c r="Y1490" s="1391"/>
      <c r="Z1490" s="1391"/>
      <c r="AA1490" s="1391"/>
      <c r="AB1490" s="1391"/>
      <c r="AC1490" s="1391"/>
      <c r="AD1490" s="1391"/>
      <c r="AE1490" s="1391"/>
      <c r="AF1490" s="1391"/>
      <c r="AG1490" s="1391"/>
      <c r="AH1490" s="1391"/>
      <c r="AI1490" s="1391"/>
      <c r="AJ1490" s="1391"/>
      <c r="AK1490" s="1391"/>
      <c r="AL1490" s="1391"/>
      <c r="AM1490" s="1391"/>
      <c r="AN1490" s="1391"/>
      <c r="AO1490" s="1391"/>
      <c r="AP1490" s="1391"/>
      <c r="AQ1490" s="1684"/>
      <c r="AR1490" s="1684"/>
      <c r="AS1490" s="1684"/>
      <c r="AT1490" s="1684"/>
      <c r="AU1490" s="1684"/>
      <c r="AV1490" s="1684"/>
      <c r="AW1490" s="1684"/>
      <c r="AX1490" s="1684"/>
      <c r="AY1490" s="1684"/>
      <c r="AZ1490" s="1684"/>
      <c r="BA1490" s="1684"/>
      <c r="BB1490" s="1684"/>
      <c r="BC1490" s="1684"/>
      <c r="BD1490" s="1684"/>
      <c r="BE1490" s="1684"/>
      <c r="BF1490" s="1684"/>
      <c r="BG1490" s="1684"/>
      <c r="BH1490" s="1684"/>
      <c r="BI1490" s="1684"/>
      <c r="BJ1490" s="1684"/>
      <c r="BK1490" s="1684"/>
      <c r="BL1490" s="1684"/>
      <c r="BM1490" s="1684"/>
      <c r="BN1490" s="1684"/>
      <c r="BO1490" s="1684"/>
      <c r="BP1490" s="1684"/>
      <c r="BQ1490" s="1684"/>
      <c r="BR1490" s="1684"/>
      <c r="BS1490" s="1684"/>
      <c r="BT1490" s="1684"/>
      <c r="BU1490" s="1684"/>
      <c r="BV1490" s="1684"/>
      <c r="BW1490" s="1684"/>
      <c r="BX1490" s="1684"/>
      <c r="BY1490" s="1684"/>
      <c r="BZ1490" s="1684"/>
      <c r="CA1490" s="1684"/>
      <c r="CB1490" s="1684"/>
      <c r="CC1490" s="1684"/>
      <c r="CD1490" s="1684"/>
      <c r="CE1490" s="1684"/>
      <c r="CF1490" s="1684"/>
      <c r="CG1490" s="1684"/>
      <c r="CH1490" s="1684"/>
      <c r="CI1490" s="1684"/>
      <c r="CJ1490" s="1684"/>
      <c r="CK1490" s="1684"/>
      <c r="CL1490" s="1684"/>
      <c r="CM1490" s="1684"/>
      <c r="CN1490" s="1684"/>
      <c r="CO1490" s="1684"/>
      <c r="CP1490" s="1391"/>
      <c r="CQ1490" s="1391"/>
      <c r="CR1490" s="1391"/>
      <c r="CS1490" s="1391"/>
      <c r="CT1490" s="1391"/>
      <c r="CU1490" s="1391"/>
      <c r="CV1490" s="1391"/>
      <c r="CW1490" s="1391"/>
      <c r="CX1490" s="1391"/>
      <c r="CY1490" s="1391"/>
      <c r="CZ1490" s="1391"/>
      <c r="DA1490" s="1391"/>
      <c r="DB1490" s="1391"/>
      <c r="DC1490" s="1391"/>
      <c r="DD1490" s="1391"/>
      <c r="DE1490" s="1391"/>
      <c r="DF1490" s="1391"/>
      <c r="DG1490" s="1391"/>
      <c r="DH1490" s="1391"/>
      <c r="DI1490" s="1391"/>
    </row>
    <row r="1491" spans="1:113" ht="15.75" x14ac:dyDescent="0.2">
      <c r="A1491" s="1684"/>
      <c r="B1491" s="1690"/>
      <c r="C1491" s="1698" t="s">
        <v>2890</v>
      </c>
      <c r="D1491" s="1699" t="s">
        <v>2891</v>
      </c>
      <c r="E1491" s="1699" t="s">
        <v>2892</v>
      </c>
      <c r="F1491" s="1700"/>
      <c r="G1491" s="1701"/>
      <c r="H1491" s="1703">
        <v>2100</v>
      </c>
      <c r="I1491" s="1695">
        <v>112</v>
      </c>
      <c r="J1491" s="1568"/>
      <c r="K1491" s="1391">
        <v>2100</v>
      </c>
      <c r="L1491" s="1405">
        <v>161</v>
      </c>
      <c r="M1491" s="1391"/>
      <c r="N1491" s="1391"/>
      <c r="O1491" s="1391"/>
      <c r="P1491" s="1391"/>
      <c r="Q1491" s="1391"/>
      <c r="R1491" s="1391"/>
      <c r="S1491" s="1391"/>
      <c r="T1491" s="1391"/>
      <c r="U1491" s="1391"/>
      <c r="V1491" s="1391"/>
      <c r="W1491" s="1391"/>
      <c r="X1491" s="1391"/>
      <c r="Y1491" s="1391"/>
      <c r="Z1491" s="1391"/>
      <c r="AA1491" s="1391"/>
      <c r="AB1491" s="1391"/>
      <c r="AC1491" s="1391"/>
      <c r="AD1491" s="1391"/>
      <c r="AE1491" s="1391"/>
      <c r="AF1491" s="1391"/>
      <c r="AG1491" s="1391"/>
      <c r="AH1491" s="1391"/>
      <c r="AI1491" s="1391"/>
      <c r="AJ1491" s="1391"/>
      <c r="AK1491" s="1391"/>
      <c r="AL1491" s="1391"/>
      <c r="AM1491" s="1391"/>
      <c r="AN1491" s="1391"/>
      <c r="AO1491" s="1391"/>
      <c r="AP1491" s="1391"/>
      <c r="AQ1491" s="1684"/>
      <c r="AR1491" s="1684"/>
      <c r="AS1491" s="1684"/>
      <c r="AT1491" s="1684"/>
      <c r="AU1491" s="1684"/>
      <c r="AV1491" s="1684"/>
      <c r="AW1491" s="1684"/>
      <c r="AX1491" s="1684"/>
      <c r="AY1491" s="1684"/>
      <c r="AZ1491" s="1684"/>
      <c r="BA1491" s="1684"/>
      <c r="BB1491" s="1684"/>
      <c r="BC1491" s="1684"/>
      <c r="BD1491" s="1684"/>
      <c r="BE1491" s="1684"/>
      <c r="BF1491" s="1684"/>
      <c r="BG1491" s="1684"/>
      <c r="BH1491" s="1684"/>
      <c r="BI1491" s="1684"/>
      <c r="BJ1491" s="1684"/>
      <c r="BK1491" s="1684"/>
      <c r="BL1491" s="1684"/>
      <c r="BM1491" s="1684"/>
      <c r="BN1491" s="1684"/>
      <c r="BO1491" s="1684"/>
      <c r="BP1491" s="1684"/>
      <c r="BQ1491" s="1684"/>
      <c r="BR1491" s="1684"/>
      <c r="BS1491" s="1684"/>
      <c r="BT1491" s="1684"/>
      <c r="BU1491" s="1684"/>
      <c r="BV1491" s="1684"/>
      <c r="BW1491" s="1684"/>
      <c r="BX1491" s="1684"/>
      <c r="BY1491" s="1684"/>
      <c r="BZ1491" s="1684"/>
      <c r="CA1491" s="1684"/>
      <c r="CB1491" s="1684"/>
      <c r="CC1491" s="1684"/>
      <c r="CD1491" s="1684"/>
      <c r="CE1491" s="1684"/>
      <c r="CF1491" s="1684"/>
      <c r="CG1491" s="1684"/>
      <c r="CH1491" s="1684"/>
      <c r="CI1491" s="1684"/>
      <c r="CJ1491" s="1684"/>
      <c r="CK1491" s="1684"/>
      <c r="CL1491" s="1684"/>
      <c r="CM1491" s="1684"/>
      <c r="CN1491" s="1684"/>
      <c r="CO1491" s="1684"/>
      <c r="CP1491" s="1391"/>
      <c r="CQ1491" s="1391"/>
      <c r="CR1491" s="1391"/>
      <c r="CS1491" s="1391"/>
      <c r="CT1491" s="1391"/>
      <c r="CU1491" s="1391"/>
      <c r="CV1491" s="1391"/>
      <c r="CW1491" s="1391"/>
      <c r="CX1491" s="1391"/>
      <c r="CY1491" s="1391"/>
      <c r="CZ1491" s="1391"/>
      <c r="DA1491" s="1391"/>
      <c r="DB1491" s="1391"/>
      <c r="DC1491" s="1391"/>
      <c r="DD1491" s="1391"/>
      <c r="DE1491" s="1391"/>
      <c r="DF1491" s="1391"/>
      <c r="DG1491" s="1391"/>
      <c r="DH1491" s="1391"/>
      <c r="DI1491" s="1391"/>
    </row>
    <row r="1492" spans="1:113" ht="15.75" x14ac:dyDescent="0.2">
      <c r="A1492" s="1684"/>
      <c r="B1492" s="1690"/>
      <c r="C1492" s="1698" t="s">
        <v>2893</v>
      </c>
      <c r="D1492" s="1699" t="s">
        <v>2894</v>
      </c>
      <c r="E1492" s="1699" t="s">
        <v>2895</v>
      </c>
      <c r="F1492" s="1700"/>
      <c r="G1492" s="1701"/>
      <c r="H1492" s="1703">
        <v>2350</v>
      </c>
      <c r="I1492" s="1695">
        <v>102</v>
      </c>
      <c r="J1492" s="1568"/>
      <c r="K1492" s="1391">
        <v>2350</v>
      </c>
      <c r="L1492" s="1405">
        <v>148</v>
      </c>
      <c r="M1492" s="1391"/>
      <c r="N1492" s="1391"/>
      <c r="O1492" s="1391"/>
      <c r="P1492" s="1391"/>
      <c r="Q1492" s="1391"/>
      <c r="R1492" s="1391"/>
      <c r="S1492" s="1391"/>
      <c r="T1492" s="1391"/>
      <c r="U1492" s="1391"/>
      <c r="V1492" s="1391"/>
      <c r="W1492" s="1391"/>
      <c r="X1492" s="1391"/>
      <c r="Y1492" s="1391"/>
      <c r="Z1492" s="1391"/>
      <c r="AA1492" s="1391"/>
      <c r="AB1492" s="1391"/>
      <c r="AC1492" s="1391"/>
      <c r="AD1492" s="1391"/>
      <c r="AE1492" s="1391"/>
      <c r="AF1492" s="1391"/>
      <c r="AG1492" s="1391"/>
      <c r="AH1492" s="1391"/>
      <c r="AI1492" s="1391"/>
      <c r="AJ1492" s="1391"/>
      <c r="AK1492" s="1391"/>
      <c r="AL1492" s="1391"/>
      <c r="AM1492" s="1391"/>
      <c r="AN1492" s="1391"/>
      <c r="AO1492" s="1391"/>
      <c r="AP1492" s="1391"/>
      <c r="AQ1492" s="1684"/>
      <c r="AR1492" s="1684"/>
      <c r="AS1492" s="1684"/>
      <c r="AT1492" s="1684"/>
      <c r="AU1492" s="1684"/>
      <c r="AV1492" s="1684"/>
      <c r="AW1492" s="1684"/>
      <c r="AX1492" s="1684"/>
      <c r="AY1492" s="1684"/>
      <c r="AZ1492" s="1684"/>
      <c r="BA1492" s="1684"/>
      <c r="BB1492" s="1684"/>
      <c r="BC1492" s="1684"/>
      <c r="BD1492" s="1684"/>
      <c r="BE1492" s="1684"/>
      <c r="BF1492" s="1684"/>
      <c r="BG1492" s="1684"/>
      <c r="BH1492" s="1684"/>
      <c r="BI1492" s="1684"/>
      <c r="BJ1492" s="1684"/>
      <c r="BK1492" s="1684"/>
      <c r="BL1492" s="1684"/>
      <c r="BM1492" s="1684"/>
      <c r="BN1492" s="1684"/>
      <c r="BO1492" s="1684"/>
      <c r="BP1492" s="1684"/>
      <c r="BQ1492" s="1684"/>
      <c r="BR1492" s="1684"/>
      <c r="BS1492" s="1684"/>
      <c r="BT1492" s="1684"/>
      <c r="BU1492" s="1684"/>
      <c r="BV1492" s="1684"/>
      <c r="BW1492" s="1684"/>
      <c r="BX1492" s="1684"/>
      <c r="BY1492" s="1684"/>
      <c r="BZ1492" s="1684"/>
      <c r="CA1492" s="1684"/>
      <c r="CB1492" s="1684"/>
      <c r="CC1492" s="1684"/>
      <c r="CD1492" s="1684"/>
      <c r="CE1492" s="1684"/>
      <c r="CF1492" s="1684"/>
      <c r="CG1492" s="1684"/>
      <c r="CH1492" s="1684"/>
      <c r="CI1492" s="1684"/>
      <c r="CJ1492" s="1684"/>
      <c r="CK1492" s="1684"/>
      <c r="CL1492" s="1684"/>
      <c r="CM1492" s="1684"/>
      <c r="CN1492" s="1684"/>
      <c r="CO1492" s="1684"/>
      <c r="CP1492" s="1391"/>
      <c r="CQ1492" s="1391"/>
      <c r="CR1492" s="1391"/>
      <c r="CS1492" s="1391"/>
      <c r="CT1492" s="1391"/>
      <c r="CU1492" s="1391"/>
      <c r="CV1492" s="1391"/>
      <c r="CW1492" s="1391"/>
      <c r="CX1492" s="1391"/>
      <c r="CY1492" s="1391"/>
      <c r="CZ1492" s="1391"/>
      <c r="DA1492" s="1391"/>
      <c r="DB1492" s="1391"/>
      <c r="DC1492" s="1391"/>
      <c r="DD1492" s="1391"/>
      <c r="DE1492" s="1391"/>
      <c r="DF1492" s="1391"/>
      <c r="DG1492" s="1391"/>
      <c r="DH1492" s="1391"/>
      <c r="DI1492" s="1391"/>
    </row>
    <row r="1493" spans="1:113" ht="15.75" x14ac:dyDescent="0.2">
      <c r="A1493" s="1684"/>
      <c r="B1493" s="1690"/>
      <c r="C1493" s="1698" t="s">
        <v>2896</v>
      </c>
      <c r="D1493" s="1699" t="s">
        <v>2897</v>
      </c>
      <c r="E1493" s="1699" t="s">
        <v>2898</v>
      </c>
      <c r="F1493" s="1700"/>
      <c r="G1493" s="1701"/>
      <c r="H1493" s="1703">
        <v>2600</v>
      </c>
      <c r="I1493" s="1695">
        <v>96</v>
      </c>
      <c r="J1493" s="1568"/>
      <c r="K1493" s="1391">
        <v>2600</v>
      </c>
      <c r="L1493" s="1405">
        <v>138</v>
      </c>
      <c r="M1493" s="1391"/>
      <c r="N1493" s="1391"/>
      <c r="O1493" s="1391"/>
      <c r="P1493" s="1391"/>
      <c r="Q1493" s="1391"/>
      <c r="R1493" s="1391"/>
      <c r="S1493" s="1391"/>
      <c r="T1493" s="1391"/>
      <c r="U1493" s="1391"/>
      <c r="V1493" s="1391"/>
      <c r="W1493" s="1391"/>
      <c r="X1493" s="1391"/>
      <c r="Y1493" s="1391"/>
      <c r="Z1493" s="1391"/>
      <c r="AA1493" s="1391"/>
      <c r="AB1493" s="1391"/>
      <c r="AC1493" s="1391"/>
      <c r="AD1493" s="1391"/>
      <c r="AE1493" s="1391"/>
      <c r="AF1493" s="1391"/>
      <c r="AG1493" s="1391"/>
      <c r="AH1493" s="1391"/>
      <c r="AI1493" s="1391"/>
      <c r="AJ1493" s="1391"/>
      <c r="AK1493" s="1391"/>
      <c r="AL1493" s="1391"/>
      <c r="AM1493" s="1391"/>
      <c r="AN1493" s="1391"/>
      <c r="AO1493" s="1391"/>
      <c r="AP1493" s="1391"/>
      <c r="AQ1493" s="1684"/>
      <c r="AR1493" s="1684"/>
      <c r="AS1493" s="1684"/>
      <c r="AT1493" s="1684"/>
      <c r="AU1493" s="1684"/>
      <c r="AV1493" s="1684"/>
      <c r="AW1493" s="1684"/>
      <c r="AX1493" s="1684"/>
      <c r="AY1493" s="1684"/>
      <c r="AZ1493" s="1684"/>
      <c r="BA1493" s="1684"/>
      <c r="BB1493" s="1684"/>
      <c r="BC1493" s="1684"/>
      <c r="BD1493" s="1684"/>
      <c r="BE1493" s="1684"/>
      <c r="BF1493" s="1684"/>
      <c r="BG1493" s="1684"/>
      <c r="BH1493" s="1684"/>
      <c r="BI1493" s="1684"/>
      <c r="BJ1493" s="1684"/>
      <c r="BK1493" s="1684"/>
      <c r="BL1493" s="1684"/>
      <c r="BM1493" s="1684"/>
      <c r="BN1493" s="1684"/>
      <c r="BO1493" s="1684"/>
      <c r="BP1493" s="1684"/>
      <c r="BQ1493" s="1684"/>
      <c r="BR1493" s="1684"/>
      <c r="BS1493" s="1684"/>
      <c r="BT1493" s="1684"/>
      <c r="BU1493" s="1684"/>
      <c r="BV1493" s="1684"/>
      <c r="BW1493" s="1684"/>
      <c r="BX1493" s="1684"/>
      <c r="BY1493" s="1684"/>
      <c r="BZ1493" s="1684"/>
      <c r="CA1493" s="1684"/>
      <c r="CB1493" s="1684"/>
      <c r="CC1493" s="1684"/>
      <c r="CD1493" s="1684"/>
      <c r="CE1493" s="1684"/>
      <c r="CF1493" s="1684"/>
      <c r="CG1493" s="1684"/>
      <c r="CH1493" s="1684"/>
      <c r="CI1493" s="1684"/>
      <c r="CJ1493" s="1684"/>
      <c r="CK1493" s="1684"/>
      <c r="CL1493" s="1684"/>
      <c r="CM1493" s="1684"/>
      <c r="CN1493" s="1684"/>
      <c r="CO1493" s="1684"/>
      <c r="CP1493" s="1391"/>
      <c r="CQ1493" s="1391"/>
      <c r="CR1493" s="1391"/>
      <c r="CS1493" s="1391"/>
      <c r="CT1493" s="1391"/>
      <c r="CU1493" s="1391"/>
      <c r="CV1493" s="1391"/>
      <c r="CW1493" s="1391"/>
      <c r="CX1493" s="1391"/>
      <c r="CY1493" s="1391"/>
      <c r="CZ1493" s="1391"/>
      <c r="DA1493" s="1391"/>
      <c r="DB1493" s="1391"/>
      <c r="DC1493" s="1391"/>
      <c r="DD1493" s="1391"/>
      <c r="DE1493" s="1391"/>
      <c r="DF1493" s="1391"/>
      <c r="DG1493" s="1391"/>
      <c r="DH1493" s="1391"/>
      <c r="DI1493" s="1391"/>
    </row>
    <row r="1494" spans="1:113" ht="15.75" x14ac:dyDescent="0.2">
      <c r="A1494" s="1684"/>
      <c r="B1494" s="1690"/>
      <c r="C1494" s="1698"/>
      <c r="D1494" s="1699"/>
      <c r="E1494" s="1699"/>
      <c r="F1494" s="1700"/>
      <c r="G1494" s="1701"/>
      <c r="H1494" s="1703">
        <v>2850</v>
      </c>
      <c r="I1494" s="1695">
        <v>89</v>
      </c>
      <c r="J1494" s="1568"/>
      <c r="K1494" s="1391">
        <v>2850</v>
      </c>
      <c r="L1494" s="1405">
        <v>127</v>
      </c>
      <c r="M1494" s="1391"/>
      <c r="N1494" s="1391"/>
      <c r="O1494" s="1391"/>
      <c r="P1494" s="1391"/>
      <c r="Q1494" s="1391"/>
      <c r="R1494" s="1391"/>
      <c r="S1494" s="1391"/>
      <c r="T1494" s="1391"/>
      <c r="U1494" s="1391"/>
      <c r="V1494" s="1391"/>
      <c r="W1494" s="1391"/>
      <c r="X1494" s="1391"/>
      <c r="Y1494" s="1391"/>
      <c r="Z1494" s="1391"/>
      <c r="AA1494" s="1391"/>
      <c r="AB1494" s="1391"/>
      <c r="AC1494" s="1391"/>
      <c r="AD1494" s="1391"/>
      <c r="AE1494" s="1391"/>
      <c r="AF1494" s="1391"/>
      <c r="AG1494" s="1391"/>
      <c r="AH1494" s="1391"/>
      <c r="AI1494" s="1391"/>
      <c r="AJ1494" s="1391"/>
      <c r="AK1494" s="1391"/>
      <c r="AL1494" s="1391"/>
      <c r="AM1494" s="1391"/>
      <c r="AN1494" s="1391"/>
      <c r="AO1494" s="1391"/>
      <c r="AP1494" s="1391"/>
      <c r="AQ1494" s="1684"/>
      <c r="AR1494" s="1684"/>
      <c r="AS1494" s="1684"/>
      <c r="AT1494" s="1684"/>
      <c r="AU1494" s="1684"/>
      <c r="AV1494" s="1684"/>
      <c r="AW1494" s="1684"/>
      <c r="AX1494" s="1684"/>
      <c r="AY1494" s="1684"/>
      <c r="AZ1494" s="1684"/>
      <c r="BA1494" s="1684"/>
      <c r="BB1494" s="1684"/>
      <c r="BC1494" s="1684"/>
      <c r="BD1494" s="1684"/>
      <c r="BE1494" s="1684"/>
      <c r="BF1494" s="1684"/>
      <c r="BG1494" s="1684"/>
      <c r="BH1494" s="1684"/>
      <c r="BI1494" s="1684"/>
      <c r="BJ1494" s="1684"/>
      <c r="BK1494" s="1684"/>
      <c r="BL1494" s="1684"/>
      <c r="BM1494" s="1684"/>
      <c r="BN1494" s="1684"/>
      <c r="BO1494" s="1684"/>
      <c r="BP1494" s="1684"/>
      <c r="BQ1494" s="1684"/>
      <c r="BR1494" s="1684"/>
      <c r="BS1494" s="1684"/>
      <c r="BT1494" s="1684"/>
      <c r="BU1494" s="1684"/>
      <c r="BV1494" s="1684"/>
      <c r="BW1494" s="1684"/>
      <c r="BX1494" s="1684"/>
      <c r="BY1494" s="1684"/>
      <c r="BZ1494" s="1684"/>
      <c r="CA1494" s="1684"/>
      <c r="CB1494" s="1684"/>
      <c r="CC1494" s="1684"/>
      <c r="CD1494" s="1684"/>
      <c r="CE1494" s="1684"/>
      <c r="CF1494" s="1684"/>
      <c r="CG1494" s="1684"/>
      <c r="CH1494" s="1684"/>
      <c r="CI1494" s="1684"/>
      <c r="CJ1494" s="1684"/>
      <c r="CK1494" s="1684"/>
      <c r="CL1494" s="1684"/>
      <c r="CM1494" s="1684"/>
      <c r="CN1494" s="1684"/>
      <c r="CO1494" s="1684"/>
      <c r="CP1494" s="1391"/>
      <c r="CQ1494" s="1391"/>
      <c r="CR1494" s="1391"/>
      <c r="CS1494" s="1391"/>
      <c r="CT1494" s="1391"/>
      <c r="CU1494" s="1391"/>
      <c r="CV1494" s="1391"/>
      <c r="CW1494" s="1391"/>
      <c r="CX1494" s="1391"/>
      <c r="CY1494" s="1391"/>
      <c r="CZ1494" s="1391"/>
      <c r="DA1494" s="1391"/>
      <c r="DB1494" s="1391"/>
      <c r="DC1494" s="1391"/>
      <c r="DD1494" s="1391"/>
      <c r="DE1494" s="1391"/>
      <c r="DF1494" s="1391"/>
      <c r="DG1494" s="1391"/>
      <c r="DH1494" s="1391"/>
      <c r="DI1494" s="1391"/>
    </row>
    <row r="1495" spans="1:113" ht="15.75" x14ac:dyDescent="0.2">
      <c r="A1495" s="1684"/>
      <c r="B1495" s="1690"/>
      <c r="C1495" s="1698" t="s">
        <v>2899</v>
      </c>
      <c r="D1495" s="1699" t="s">
        <v>2900</v>
      </c>
      <c r="E1495" s="1699" t="s">
        <v>2901</v>
      </c>
      <c r="F1495" s="1700"/>
      <c r="G1495" s="1701"/>
      <c r="H1495" s="1703">
        <v>3150</v>
      </c>
      <c r="I1495" s="1695">
        <v>82</v>
      </c>
      <c r="J1495" s="1568"/>
      <c r="K1495" s="1391">
        <v>3150</v>
      </c>
      <c r="L1495" s="1405">
        <v>118</v>
      </c>
      <c r="M1495" s="1391"/>
      <c r="N1495" s="1391"/>
      <c r="O1495" s="1391"/>
      <c r="P1495" s="1391"/>
      <c r="Q1495" s="1391"/>
      <c r="R1495" s="1391"/>
      <c r="S1495" s="1391"/>
      <c r="T1495" s="1391"/>
      <c r="U1495" s="1391"/>
      <c r="V1495" s="1391"/>
      <c r="W1495" s="1391"/>
      <c r="X1495" s="1391"/>
      <c r="Y1495" s="1391"/>
      <c r="Z1495" s="1391"/>
      <c r="AA1495" s="1391"/>
      <c r="AB1495" s="1391"/>
      <c r="AC1495" s="1391"/>
      <c r="AD1495" s="1391"/>
      <c r="AE1495" s="1391"/>
      <c r="AF1495" s="1391"/>
      <c r="AG1495" s="1391"/>
      <c r="AH1495" s="1391"/>
      <c r="AI1495" s="1391"/>
      <c r="AJ1495" s="1391"/>
      <c r="AK1495" s="1391"/>
      <c r="AL1495" s="1391"/>
      <c r="AM1495" s="1391"/>
      <c r="AN1495" s="1391"/>
      <c r="AO1495" s="1391"/>
      <c r="AP1495" s="1391"/>
      <c r="AQ1495" s="1684"/>
      <c r="AR1495" s="1684"/>
      <c r="AS1495" s="1684"/>
      <c r="AT1495" s="1684"/>
      <c r="AU1495" s="1684"/>
      <c r="AV1495" s="1684"/>
      <c r="AW1495" s="1684"/>
      <c r="AX1495" s="1684"/>
      <c r="AY1495" s="1684"/>
      <c r="AZ1495" s="1684"/>
      <c r="BA1495" s="1684"/>
      <c r="BB1495" s="1684"/>
      <c r="BC1495" s="1684"/>
      <c r="BD1495" s="1684"/>
      <c r="BE1495" s="1684"/>
      <c r="BF1495" s="1684"/>
      <c r="BG1495" s="1684"/>
      <c r="BH1495" s="1684"/>
      <c r="BI1495" s="1684"/>
      <c r="BJ1495" s="1684"/>
      <c r="BK1495" s="1684"/>
      <c r="BL1495" s="1684"/>
      <c r="BM1495" s="1684"/>
      <c r="BN1495" s="1684"/>
      <c r="BO1495" s="1684"/>
      <c r="BP1495" s="1684"/>
      <c r="BQ1495" s="1684"/>
      <c r="BR1495" s="1684"/>
      <c r="BS1495" s="1684"/>
      <c r="BT1495" s="1684"/>
      <c r="BU1495" s="1684"/>
      <c r="BV1495" s="1684"/>
      <c r="BW1495" s="1684"/>
      <c r="BX1495" s="1684"/>
      <c r="BY1495" s="1684"/>
      <c r="BZ1495" s="1684"/>
      <c r="CA1495" s="1684"/>
      <c r="CB1495" s="1684"/>
      <c r="CC1495" s="1684"/>
      <c r="CD1495" s="1684"/>
      <c r="CE1495" s="1684"/>
      <c r="CF1495" s="1684"/>
      <c r="CG1495" s="1684"/>
      <c r="CH1495" s="1684"/>
      <c r="CI1495" s="1684"/>
      <c r="CJ1495" s="1684"/>
      <c r="CK1495" s="1684"/>
      <c r="CL1495" s="1684"/>
      <c r="CM1495" s="1684"/>
      <c r="CN1495" s="1684"/>
      <c r="CO1495" s="1684"/>
      <c r="CP1495" s="1391"/>
      <c r="CQ1495" s="1391"/>
      <c r="CR1495" s="1391"/>
      <c r="CS1495" s="1391"/>
      <c r="CT1495" s="1391"/>
      <c r="CU1495" s="1391"/>
      <c r="CV1495" s="1391"/>
      <c r="CW1495" s="1391"/>
      <c r="CX1495" s="1391"/>
      <c r="CY1495" s="1391"/>
      <c r="CZ1495" s="1391"/>
      <c r="DA1495" s="1391"/>
      <c r="DB1495" s="1391"/>
      <c r="DC1495" s="1391"/>
      <c r="DD1495" s="1391"/>
      <c r="DE1495" s="1391"/>
      <c r="DF1495" s="1391"/>
      <c r="DG1495" s="1391"/>
      <c r="DH1495" s="1391"/>
      <c r="DI1495" s="1391"/>
    </row>
    <row r="1496" spans="1:113" ht="15.75" x14ac:dyDescent="0.2">
      <c r="A1496" s="1684"/>
      <c r="B1496" s="1690"/>
      <c r="C1496" s="1698" t="s">
        <v>2902</v>
      </c>
      <c r="D1496" s="1699" t="s">
        <v>2903</v>
      </c>
      <c r="E1496" s="1699" t="s">
        <v>2904</v>
      </c>
      <c r="F1496" s="1700"/>
      <c r="G1496" s="1701"/>
      <c r="H1496" s="1703">
        <v>3500</v>
      </c>
      <c r="I1496" s="1695">
        <v>75</v>
      </c>
      <c r="J1496" s="1568"/>
      <c r="K1496" s="1391">
        <v>3500</v>
      </c>
      <c r="L1496" s="1405">
        <v>107</v>
      </c>
      <c r="M1496" s="1391"/>
      <c r="N1496" s="1391"/>
      <c r="O1496" s="1391"/>
      <c r="P1496" s="1391"/>
      <c r="Q1496" s="1391"/>
      <c r="R1496" s="1391"/>
      <c r="S1496" s="1391"/>
      <c r="T1496" s="1391"/>
      <c r="U1496" s="1391"/>
      <c r="V1496" s="1391"/>
      <c r="W1496" s="1391"/>
      <c r="X1496" s="1391"/>
      <c r="Y1496" s="1391"/>
      <c r="Z1496" s="1391"/>
      <c r="AA1496" s="1391"/>
      <c r="AB1496" s="1391"/>
      <c r="AC1496" s="1391"/>
      <c r="AD1496" s="1391"/>
      <c r="AE1496" s="1391"/>
      <c r="AF1496" s="1391"/>
      <c r="AG1496" s="1391"/>
      <c r="AH1496" s="1391"/>
      <c r="AI1496" s="1391"/>
      <c r="AJ1496" s="1391"/>
      <c r="AK1496" s="1391"/>
      <c r="AL1496" s="1391"/>
      <c r="AM1496" s="1391"/>
      <c r="AN1496" s="1391"/>
      <c r="AO1496" s="1391"/>
      <c r="AP1496" s="1391"/>
      <c r="AQ1496" s="1684"/>
      <c r="AR1496" s="1684"/>
      <c r="AS1496" s="1684"/>
      <c r="AT1496" s="1684"/>
      <c r="AU1496" s="1684"/>
      <c r="AV1496" s="1684"/>
      <c r="AW1496" s="1684"/>
      <c r="AX1496" s="1684"/>
      <c r="AY1496" s="1684"/>
      <c r="AZ1496" s="1684"/>
      <c r="BA1496" s="1684"/>
      <c r="BB1496" s="1684"/>
      <c r="BC1496" s="1684"/>
      <c r="BD1496" s="1684"/>
      <c r="BE1496" s="1684"/>
      <c r="BF1496" s="1684"/>
      <c r="BG1496" s="1684"/>
      <c r="BH1496" s="1684"/>
      <c r="BI1496" s="1684"/>
      <c r="BJ1496" s="1684"/>
      <c r="BK1496" s="1684"/>
      <c r="BL1496" s="1684"/>
      <c r="BM1496" s="1684"/>
      <c r="BN1496" s="1684"/>
      <c r="BO1496" s="1684"/>
      <c r="BP1496" s="1684"/>
      <c r="BQ1496" s="1684"/>
      <c r="BR1496" s="1684"/>
      <c r="BS1496" s="1684"/>
      <c r="BT1496" s="1684"/>
      <c r="BU1496" s="1684"/>
      <c r="BV1496" s="1684"/>
      <c r="BW1496" s="1684"/>
      <c r="BX1496" s="1684"/>
      <c r="BY1496" s="1684"/>
      <c r="BZ1496" s="1684"/>
      <c r="CA1496" s="1684"/>
      <c r="CB1496" s="1684"/>
      <c r="CC1496" s="1684"/>
      <c r="CD1496" s="1684"/>
      <c r="CE1496" s="1684"/>
      <c r="CF1496" s="1684"/>
      <c r="CG1496" s="1684"/>
      <c r="CH1496" s="1684"/>
      <c r="CI1496" s="1684"/>
      <c r="CJ1496" s="1684"/>
      <c r="CK1496" s="1684"/>
      <c r="CL1496" s="1684"/>
      <c r="CM1496" s="1684"/>
      <c r="CN1496" s="1684"/>
      <c r="CO1496" s="1684"/>
      <c r="CP1496" s="1391"/>
      <c r="CQ1496" s="1391"/>
      <c r="CR1496" s="1391"/>
      <c r="CS1496" s="1391"/>
      <c r="CT1496" s="1391"/>
      <c r="CU1496" s="1391"/>
      <c r="CV1496" s="1391"/>
      <c r="CW1496" s="1391"/>
      <c r="CX1496" s="1391"/>
      <c r="CY1496" s="1391"/>
      <c r="CZ1496" s="1391"/>
      <c r="DA1496" s="1391"/>
      <c r="DB1496" s="1391"/>
      <c r="DC1496" s="1391"/>
      <c r="DD1496" s="1391"/>
      <c r="DE1496" s="1391"/>
      <c r="DF1496" s="1391"/>
      <c r="DG1496" s="1391"/>
      <c r="DH1496" s="1391"/>
      <c r="DI1496" s="1391"/>
    </row>
    <row r="1497" spans="1:113" ht="16.5" thickBot="1" x14ac:dyDescent="0.25">
      <c r="A1497" s="1684"/>
      <c r="B1497" s="1690"/>
      <c r="C1497" s="1698" t="s">
        <v>2905</v>
      </c>
      <c r="D1497" s="1699" t="s">
        <v>2906</v>
      </c>
      <c r="E1497" s="1699" t="s">
        <v>2907</v>
      </c>
      <c r="F1497" s="1700"/>
      <c r="G1497" s="1701"/>
      <c r="H1497" s="1706">
        <v>4000</v>
      </c>
      <c r="I1497" s="1707">
        <v>68</v>
      </c>
      <c r="J1497" s="1568"/>
      <c r="K1497" s="1391">
        <v>4000</v>
      </c>
      <c r="L1497" s="1405">
        <v>97</v>
      </c>
      <c r="M1497" s="1391"/>
      <c r="N1497" s="1391"/>
      <c r="O1497" s="1391"/>
      <c r="P1497" s="1391"/>
      <c r="Q1497" s="1391"/>
      <c r="R1497" s="1391"/>
      <c r="S1497" s="1391"/>
      <c r="T1497" s="1391"/>
      <c r="U1497" s="1391"/>
      <c r="V1497" s="1391"/>
      <c r="W1497" s="1391"/>
      <c r="X1497" s="1391"/>
      <c r="Y1497" s="1391"/>
      <c r="Z1497" s="1391"/>
      <c r="AA1497" s="1391"/>
      <c r="AB1497" s="1391"/>
      <c r="AC1497" s="1391"/>
      <c r="AD1497" s="1391"/>
      <c r="AE1497" s="1391"/>
      <c r="AF1497" s="1391"/>
      <c r="AG1497" s="1391"/>
      <c r="AH1497" s="1391"/>
      <c r="AI1497" s="1391"/>
      <c r="AJ1497" s="1391"/>
      <c r="AK1497" s="1391"/>
      <c r="AL1497" s="1391"/>
      <c r="AM1497" s="1391"/>
      <c r="AN1497" s="1391"/>
      <c r="AO1497" s="1391"/>
      <c r="AP1497" s="1391"/>
      <c r="AQ1497" s="1684"/>
      <c r="AR1497" s="1684"/>
      <c r="AS1497" s="1684"/>
      <c r="AT1497" s="1684"/>
      <c r="AU1497" s="1684"/>
      <c r="AV1497" s="1684"/>
      <c r="AW1497" s="1684"/>
      <c r="AX1497" s="1684"/>
      <c r="AY1497" s="1684"/>
      <c r="AZ1497" s="1684"/>
      <c r="BA1497" s="1684"/>
      <c r="BB1497" s="1684"/>
      <c r="BC1497" s="1684"/>
      <c r="BD1497" s="1684"/>
      <c r="BE1497" s="1684"/>
      <c r="BF1497" s="1684"/>
      <c r="BG1497" s="1684"/>
      <c r="BH1497" s="1684"/>
      <c r="BI1497" s="1684"/>
      <c r="BJ1497" s="1684"/>
      <c r="BK1497" s="1684"/>
      <c r="BL1497" s="1684"/>
      <c r="BM1497" s="1684"/>
      <c r="BN1497" s="1684"/>
      <c r="BO1497" s="1684"/>
      <c r="BP1497" s="1684"/>
      <c r="BQ1497" s="1684"/>
      <c r="BR1497" s="1684"/>
      <c r="BS1497" s="1684"/>
      <c r="BT1497" s="1684"/>
      <c r="BU1497" s="1684"/>
      <c r="BV1497" s="1684"/>
      <c r="BW1497" s="1684"/>
      <c r="BX1497" s="1684"/>
      <c r="BY1497" s="1684"/>
      <c r="BZ1497" s="1684"/>
      <c r="CA1497" s="1684"/>
      <c r="CB1497" s="1684"/>
      <c r="CC1497" s="1684"/>
      <c r="CD1497" s="1684"/>
      <c r="CE1497" s="1684"/>
      <c r="CF1497" s="1684"/>
      <c r="CG1497" s="1684"/>
      <c r="CH1497" s="1684"/>
      <c r="CI1497" s="1684"/>
      <c r="CJ1497" s="1684"/>
      <c r="CK1497" s="1684"/>
      <c r="CL1497" s="1684"/>
      <c r="CM1497" s="1684"/>
      <c r="CN1497" s="1684"/>
      <c r="CO1497" s="1684"/>
      <c r="CP1497" s="1391"/>
      <c r="CQ1497" s="1391"/>
      <c r="CR1497" s="1391"/>
      <c r="CS1497" s="1391"/>
      <c r="CT1497" s="1391"/>
      <c r="CU1497" s="1391"/>
      <c r="CV1497" s="1391"/>
      <c r="CW1497" s="1391"/>
      <c r="CX1497" s="1391"/>
      <c r="CY1497" s="1391"/>
      <c r="CZ1497" s="1391"/>
      <c r="DA1497" s="1391"/>
      <c r="DB1497" s="1391"/>
      <c r="DC1497" s="1391"/>
      <c r="DD1497" s="1391"/>
      <c r="DE1497" s="1391"/>
      <c r="DF1497" s="1391"/>
      <c r="DG1497" s="1391"/>
      <c r="DH1497" s="1391"/>
      <c r="DI1497" s="1391"/>
    </row>
    <row r="1498" spans="1:113" ht="15.75" thickBot="1" x14ac:dyDescent="0.25">
      <c r="A1498" s="1684"/>
      <c r="B1498" s="1690"/>
      <c r="C1498" s="1706" t="s">
        <v>2908</v>
      </c>
      <c r="D1498" s="1708" t="s">
        <v>2909</v>
      </c>
      <c r="E1498" s="1708"/>
      <c r="F1498" s="1707"/>
      <c r="G1498" s="1693"/>
      <c r="H1498" s="1216"/>
      <c r="I1498" s="1216"/>
      <c r="J1498" s="1391"/>
      <c r="K1498" s="1391"/>
      <c r="L1498" s="1391"/>
      <c r="M1498" s="1391"/>
      <c r="N1498" s="1391"/>
      <c r="O1498" s="1391"/>
      <c r="P1498" s="1391"/>
      <c r="Q1498" s="1391"/>
      <c r="R1498" s="1391"/>
      <c r="S1498" s="1391"/>
      <c r="T1498" s="1391"/>
      <c r="U1498" s="1391"/>
      <c r="V1498" s="1391"/>
      <c r="W1498" s="1391"/>
      <c r="X1498" s="1391"/>
      <c r="Y1498" s="1391"/>
      <c r="Z1498" s="1391"/>
      <c r="AA1498" s="1391"/>
      <c r="AB1498" s="1391"/>
      <c r="AC1498" s="1391"/>
      <c r="AD1498" s="1391"/>
      <c r="AE1498" s="1391"/>
      <c r="AF1498" s="1391"/>
      <c r="AG1498" s="1391"/>
      <c r="AH1498" s="1391"/>
      <c r="AI1498" s="1391"/>
      <c r="AJ1498" s="1391"/>
      <c r="AK1498" s="1391"/>
      <c r="AL1498" s="1391"/>
      <c r="AM1498" s="1391"/>
      <c r="AN1498" s="1391"/>
      <c r="AO1498" s="1391"/>
      <c r="AP1498" s="1391"/>
      <c r="AQ1498" s="1684"/>
      <c r="AR1498" s="1684"/>
      <c r="AS1498" s="1684"/>
      <c r="AT1498" s="1684"/>
      <c r="AU1498" s="1684"/>
      <c r="AV1498" s="1684"/>
      <c r="AW1498" s="1684"/>
      <c r="AX1498" s="1684"/>
      <c r="AY1498" s="1684"/>
      <c r="AZ1498" s="1684"/>
      <c r="BA1498" s="1684"/>
      <c r="BB1498" s="1684"/>
      <c r="BC1498" s="1684"/>
      <c r="BD1498" s="1684"/>
      <c r="BE1498" s="1684"/>
      <c r="BF1498" s="1684"/>
      <c r="BG1498" s="1684"/>
      <c r="BH1498" s="1684"/>
      <c r="BI1498" s="1684"/>
      <c r="BJ1498" s="1684"/>
      <c r="BK1498" s="1684"/>
      <c r="BL1498" s="1684"/>
      <c r="BM1498" s="1684"/>
      <c r="BN1498" s="1684"/>
      <c r="BO1498" s="1684"/>
      <c r="BP1498" s="1684"/>
      <c r="BQ1498" s="1684"/>
      <c r="BR1498" s="1684"/>
      <c r="BS1498" s="1684"/>
      <c r="BT1498" s="1684"/>
      <c r="BU1498" s="1684"/>
      <c r="BV1498" s="1684"/>
      <c r="BW1498" s="1684"/>
      <c r="BX1498" s="1684"/>
      <c r="BY1498" s="1684"/>
      <c r="BZ1498" s="1684"/>
      <c r="CA1498" s="1684"/>
      <c r="CB1498" s="1684"/>
      <c r="CC1498" s="1684"/>
      <c r="CD1498" s="1684"/>
      <c r="CE1498" s="1684"/>
      <c r="CF1498" s="1684"/>
      <c r="CG1498" s="1684"/>
      <c r="CH1498" s="1684"/>
      <c r="CI1498" s="1684"/>
      <c r="CJ1498" s="1684"/>
      <c r="CK1498" s="1684"/>
      <c r="CL1498" s="1684"/>
      <c r="CM1498" s="1684"/>
      <c r="CN1498" s="1684"/>
      <c r="CO1498" s="1684"/>
      <c r="CP1498" s="1391"/>
      <c r="CQ1498" s="1391"/>
      <c r="CR1498" s="1391"/>
      <c r="CS1498" s="1391"/>
      <c r="CT1498" s="1391"/>
      <c r="CU1498" s="1391"/>
      <c r="CV1498" s="1391"/>
      <c r="CW1498" s="1391"/>
      <c r="CX1498" s="1391"/>
      <c r="CY1498" s="1391"/>
      <c r="CZ1498" s="1391"/>
      <c r="DA1498" s="1391"/>
      <c r="DB1498" s="1391"/>
      <c r="DC1498" s="1391"/>
      <c r="DD1498" s="1391"/>
      <c r="DE1498" s="1391"/>
      <c r="DF1498" s="1391"/>
      <c r="DG1498" s="1391"/>
      <c r="DH1498" s="1391"/>
      <c r="DI1498" s="1391"/>
    </row>
    <row r="1499" spans="1:113" ht="15.75" x14ac:dyDescent="0.25">
      <c r="A1499" s="1684"/>
      <c r="B1499" s="1684"/>
      <c r="C1499" s="1661"/>
      <c r="D1499" s="1661"/>
      <c r="E1499" s="1661"/>
      <c r="F1499" s="1661"/>
      <c r="G1499" s="1684"/>
      <c r="H1499" s="1391"/>
      <c r="I1499" s="1391"/>
      <c r="J1499" s="1391"/>
      <c r="K1499" s="1391"/>
      <c r="L1499" s="1694" t="s">
        <v>4289</v>
      </c>
      <c r="M1499" s="1694"/>
      <c r="N1499" s="1694"/>
      <c r="O1499" s="1694"/>
      <c r="P1499" s="1417"/>
      <c r="Q1499" s="1417"/>
      <c r="R1499" s="1417"/>
      <c r="S1499" s="1417"/>
      <c r="T1499" s="1417"/>
      <c r="U1499" s="1417"/>
      <c r="V1499" s="1417"/>
      <c r="W1499" s="1417"/>
      <c r="X1499" s="1391"/>
      <c r="Y1499" s="1391"/>
      <c r="Z1499" s="1391"/>
      <c r="AA1499" s="1391"/>
      <c r="AB1499" s="1391"/>
      <c r="AC1499" s="1391"/>
      <c r="AD1499" s="1391"/>
      <c r="AE1499" s="1391"/>
      <c r="AF1499" s="1391"/>
      <c r="AG1499" s="1391"/>
      <c r="AH1499" s="1391"/>
      <c r="AI1499" s="1391"/>
      <c r="AJ1499" s="1391"/>
      <c r="AK1499" s="1391"/>
      <c r="AL1499" s="1391"/>
      <c r="AM1499" s="1391"/>
      <c r="AN1499" s="1391"/>
      <c r="AO1499" s="1391"/>
      <c r="AP1499" s="1391"/>
      <c r="AQ1499" s="1684"/>
      <c r="AR1499" s="1684"/>
      <c r="AS1499" s="1684"/>
      <c r="AT1499" s="1684"/>
      <c r="AU1499" s="1684"/>
      <c r="AV1499" s="1684"/>
      <c r="AW1499" s="1684"/>
      <c r="AX1499" s="1684"/>
      <c r="AY1499" s="1684"/>
      <c r="AZ1499" s="1684"/>
      <c r="BA1499" s="1684"/>
      <c r="BB1499" s="1684"/>
      <c r="BC1499" s="1684"/>
      <c r="BD1499" s="1684"/>
      <c r="BE1499" s="1684"/>
      <c r="BF1499" s="1684"/>
      <c r="BG1499" s="1684"/>
      <c r="BH1499" s="1684"/>
      <c r="BI1499" s="1684"/>
      <c r="BJ1499" s="1684"/>
      <c r="BK1499" s="1684"/>
      <c r="BL1499" s="1684"/>
      <c r="BM1499" s="1684"/>
      <c r="BN1499" s="1684"/>
      <c r="BO1499" s="1684"/>
      <c r="BP1499" s="1684"/>
      <c r="BQ1499" s="1684"/>
      <c r="BR1499" s="1684"/>
      <c r="BS1499" s="1684"/>
      <c r="BT1499" s="1684"/>
      <c r="BU1499" s="1684"/>
      <c r="BV1499" s="1684"/>
      <c r="BW1499" s="1684"/>
      <c r="BX1499" s="1684"/>
      <c r="BY1499" s="1684"/>
      <c r="BZ1499" s="1684"/>
      <c r="CA1499" s="1684"/>
      <c r="CB1499" s="1684"/>
      <c r="CC1499" s="1684"/>
      <c r="CD1499" s="1684"/>
      <c r="CE1499" s="1684"/>
      <c r="CF1499" s="1684"/>
      <c r="CG1499" s="1684"/>
      <c r="CH1499" s="1684"/>
      <c r="CI1499" s="1684"/>
      <c r="CJ1499" s="1684"/>
      <c r="CK1499" s="1684"/>
      <c r="CL1499" s="1684"/>
      <c r="CM1499" s="1684"/>
      <c r="CN1499" s="1684"/>
      <c r="CO1499" s="1684"/>
      <c r="CP1499" s="1391"/>
      <c r="CQ1499" s="1391"/>
      <c r="CR1499" s="1391"/>
      <c r="CS1499" s="1391"/>
      <c r="CT1499" s="1391"/>
      <c r="CU1499" s="1391"/>
      <c r="CV1499" s="1391"/>
      <c r="CW1499" s="1391"/>
      <c r="CX1499" s="1391"/>
      <c r="CY1499" s="1391"/>
      <c r="CZ1499" s="1391"/>
      <c r="DA1499" s="1391"/>
      <c r="DB1499" s="1391"/>
      <c r="DC1499" s="1391"/>
      <c r="DD1499" s="1391"/>
      <c r="DE1499" s="1391"/>
      <c r="DF1499" s="1391"/>
      <c r="DG1499" s="1391"/>
      <c r="DH1499" s="1391"/>
      <c r="DI1499" s="1391"/>
    </row>
    <row r="1500" spans="1:113" ht="15.75" x14ac:dyDescent="0.25">
      <c r="A1500" s="1684"/>
      <c r="B1500" s="1684"/>
      <c r="C1500" s="1684"/>
      <c r="D1500" s="1684"/>
      <c r="E1500" s="1684"/>
      <c r="F1500" s="1391"/>
      <c r="G1500" s="1391" t="s">
        <v>4290</v>
      </c>
      <c r="H1500" s="1391"/>
      <c r="I1500" s="1391"/>
      <c r="J1500" s="1391"/>
      <c r="K1500" s="1391"/>
      <c r="L1500" s="1694"/>
      <c r="M1500" s="1694" t="s">
        <v>4291</v>
      </c>
      <c r="N1500" s="1694"/>
      <c r="O1500" s="1694"/>
      <c r="P1500" s="1417"/>
      <c r="Q1500" s="1417"/>
      <c r="R1500" s="1417"/>
      <c r="S1500" s="1417"/>
      <c r="T1500" s="1417"/>
      <c r="U1500" s="1417"/>
      <c r="V1500" s="1417"/>
      <c r="W1500" s="1417"/>
      <c r="X1500" s="1391"/>
      <c r="Y1500" s="1391"/>
      <c r="Z1500" s="1391"/>
      <c r="AA1500" s="1391"/>
      <c r="AB1500" s="1391"/>
      <c r="AC1500" s="1391"/>
      <c r="AD1500" s="1391"/>
      <c r="AE1500" s="1391"/>
      <c r="AF1500" s="1391"/>
      <c r="AG1500" s="1391"/>
      <c r="AH1500" s="1391"/>
      <c r="AI1500" s="1391"/>
      <c r="AJ1500" s="1391"/>
      <c r="AK1500" s="1391"/>
      <c r="AL1500" s="1391"/>
      <c r="AM1500" s="1391"/>
      <c r="AN1500" s="1391"/>
      <c r="AO1500" s="1391"/>
      <c r="AP1500" s="1391"/>
      <c r="AQ1500" s="1684"/>
      <c r="AR1500" s="1684"/>
      <c r="AS1500" s="1684"/>
      <c r="AT1500" s="1684"/>
      <c r="AU1500" s="1684"/>
      <c r="AV1500" s="1684"/>
      <c r="AW1500" s="1684"/>
      <c r="AX1500" s="1684"/>
      <c r="AY1500" s="1684"/>
      <c r="AZ1500" s="1684"/>
      <c r="BA1500" s="1684"/>
      <c r="BB1500" s="1684"/>
      <c r="BC1500" s="1684"/>
      <c r="BD1500" s="1684"/>
      <c r="BE1500" s="1684"/>
      <c r="BF1500" s="1684"/>
      <c r="BG1500" s="1684"/>
      <c r="BH1500" s="1684"/>
      <c r="BI1500" s="1684"/>
      <c r="BJ1500" s="1684"/>
      <c r="BK1500" s="1684"/>
      <c r="BL1500" s="1684"/>
      <c r="BM1500" s="1684"/>
      <c r="BN1500" s="1684"/>
      <c r="BO1500" s="1684"/>
      <c r="BP1500" s="1684"/>
      <c r="BQ1500" s="1684"/>
      <c r="BR1500" s="1684"/>
      <c r="BS1500" s="1684"/>
      <c r="BT1500" s="1684"/>
      <c r="BU1500" s="1684"/>
      <c r="BV1500" s="1684"/>
      <c r="BW1500" s="1684"/>
      <c r="BX1500" s="1684"/>
      <c r="BY1500" s="1684"/>
      <c r="BZ1500" s="1684"/>
      <c r="CA1500" s="1684"/>
      <c r="CB1500" s="1684"/>
      <c r="CC1500" s="1684"/>
      <c r="CD1500" s="1684"/>
      <c r="CE1500" s="1684"/>
      <c r="CF1500" s="1684"/>
      <c r="CG1500" s="1684"/>
      <c r="CH1500" s="1684"/>
      <c r="CI1500" s="1684"/>
      <c r="CJ1500" s="1684"/>
      <c r="CK1500" s="1684"/>
      <c r="CL1500" s="1684"/>
      <c r="CM1500" s="1684"/>
      <c r="CN1500" s="1684"/>
      <c r="CO1500" s="1684"/>
      <c r="CP1500" s="1391"/>
      <c r="CQ1500" s="1391"/>
      <c r="CR1500" s="1391"/>
      <c r="CS1500" s="1391"/>
      <c r="CT1500" s="1391"/>
      <c r="CU1500" s="1391"/>
      <c r="CV1500" s="1391"/>
      <c r="CW1500" s="1391"/>
      <c r="CX1500" s="1391"/>
      <c r="CY1500" s="1391"/>
      <c r="CZ1500" s="1391"/>
      <c r="DA1500" s="1391"/>
      <c r="DB1500" s="1391"/>
      <c r="DC1500" s="1391"/>
      <c r="DD1500" s="1391"/>
      <c r="DE1500" s="1391"/>
      <c r="DF1500" s="1391"/>
      <c r="DG1500" s="1391"/>
      <c r="DH1500" s="1391"/>
      <c r="DI1500" s="1391"/>
    </row>
    <row r="1501" spans="1:113" ht="15.75" x14ac:dyDescent="0.25">
      <c r="A1501" s="1684"/>
      <c r="B1501" s="1684"/>
      <c r="C1501" s="1684"/>
      <c r="D1501" s="1684"/>
      <c r="E1501" s="1684"/>
      <c r="F1501" s="1391"/>
      <c r="G1501" s="1391" t="s">
        <v>4292</v>
      </c>
      <c r="H1501" s="1391"/>
      <c r="I1501" s="1391"/>
      <c r="J1501" s="1391"/>
      <c r="K1501" s="1391"/>
      <c r="L1501" s="1694" t="s">
        <v>1421</v>
      </c>
      <c r="M1501" s="1694" t="s">
        <v>1422</v>
      </c>
      <c r="N1501" s="1694" t="s">
        <v>1423</v>
      </c>
      <c r="O1501" s="1694" t="s">
        <v>1424</v>
      </c>
      <c r="P1501" s="1417"/>
      <c r="Q1501" s="1417"/>
      <c r="R1501" s="1417"/>
      <c r="S1501" s="1417"/>
      <c r="T1501" s="1417"/>
      <c r="U1501" s="1417"/>
      <c r="V1501" s="1417"/>
      <c r="W1501" s="1417"/>
      <c r="X1501" s="1391"/>
      <c r="Y1501" s="1391"/>
      <c r="Z1501" s="1391"/>
      <c r="AA1501" s="1391"/>
      <c r="AB1501" s="1391"/>
      <c r="AC1501" s="1391"/>
      <c r="AD1501" s="1391"/>
      <c r="AE1501" s="1391"/>
      <c r="AF1501" s="1391"/>
      <c r="AG1501" s="1391"/>
      <c r="AH1501" s="1391"/>
      <c r="AI1501" s="1391"/>
      <c r="AJ1501" s="1391"/>
      <c r="AK1501" s="1391"/>
      <c r="AL1501" s="1391"/>
      <c r="AM1501" s="1391"/>
      <c r="AN1501" s="1391"/>
      <c r="AO1501" s="1391"/>
      <c r="AP1501" s="1391"/>
      <c r="AQ1501" s="1684"/>
      <c r="AR1501" s="1684"/>
      <c r="AS1501" s="1684"/>
      <c r="AT1501" s="1684"/>
      <c r="AU1501" s="1684"/>
      <c r="AV1501" s="1684"/>
      <c r="AW1501" s="1684"/>
      <c r="AX1501" s="1684"/>
      <c r="AY1501" s="1684"/>
      <c r="AZ1501" s="1684"/>
      <c r="BA1501" s="1684"/>
      <c r="BB1501" s="1684"/>
      <c r="BC1501" s="1684"/>
      <c r="BD1501" s="1684"/>
      <c r="BE1501" s="1684"/>
      <c r="BF1501" s="1684"/>
      <c r="BG1501" s="1684"/>
      <c r="BH1501" s="1684"/>
      <c r="BI1501" s="1684"/>
      <c r="BJ1501" s="1684"/>
      <c r="BK1501" s="1684"/>
      <c r="BL1501" s="1684"/>
      <c r="BM1501" s="1684"/>
      <c r="BN1501" s="1684"/>
      <c r="BO1501" s="1684"/>
      <c r="BP1501" s="1684"/>
      <c r="BQ1501" s="1684"/>
      <c r="BR1501" s="1684"/>
      <c r="BS1501" s="1684"/>
      <c r="BT1501" s="1684"/>
      <c r="BU1501" s="1684"/>
      <c r="BV1501" s="1684"/>
      <c r="BW1501" s="1684"/>
      <c r="BX1501" s="1684"/>
      <c r="BY1501" s="1684"/>
      <c r="BZ1501" s="1684"/>
      <c r="CA1501" s="1684"/>
      <c r="CB1501" s="1684"/>
      <c r="CC1501" s="1684"/>
      <c r="CD1501" s="1684"/>
      <c r="CE1501" s="1684"/>
      <c r="CF1501" s="1684"/>
      <c r="CG1501" s="1684"/>
      <c r="CH1501" s="1684"/>
      <c r="CI1501" s="1684"/>
      <c r="CJ1501" s="1684"/>
      <c r="CK1501" s="1684"/>
      <c r="CL1501" s="1684"/>
      <c r="CM1501" s="1684"/>
      <c r="CN1501" s="1684"/>
      <c r="CO1501" s="1684"/>
      <c r="CP1501" s="1391"/>
      <c r="CQ1501" s="1391"/>
      <c r="CR1501" s="1391"/>
      <c r="CS1501" s="1391"/>
      <c r="CT1501" s="1391"/>
      <c r="CU1501" s="1391"/>
      <c r="CV1501" s="1391"/>
      <c r="CW1501" s="1391"/>
      <c r="CX1501" s="1391"/>
      <c r="CY1501" s="1391"/>
      <c r="CZ1501" s="1391"/>
      <c r="DA1501" s="1391"/>
      <c r="DB1501" s="1391"/>
      <c r="DC1501" s="1391"/>
      <c r="DD1501" s="1391"/>
      <c r="DE1501" s="1391"/>
      <c r="DF1501" s="1391"/>
      <c r="DG1501" s="1391"/>
      <c r="DH1501" s="1391"/>
      <c r="DI1501" s="1391"/>
    </row>
    <row r="1502" spans="1:113" ht="15.75" x14ac:dyDescent="0.25">
      <c r="A1502" s="1684"/>
      <c r="B1502" s="1684"/>
      <c r="C1502" s="1684"/>
      <c r="D1502" s="1684"/>
      <c r="E1502" s="1684"/>
      <c r="F1502" s="1391"/>
      <c r="G1502" s="1391" t="s">
        <v>1601</v>
      </c>
      <c r="H1502" s="1391"/>
      <c r="I1502" s="1391"/>
      <c r="J1502" s="1391"/>
      <c r="K1502" s="1391"/>
      <c r="L1502" s="1694">
        <v>30</v>
      </c>
      <c r="M1502" s="1694">
        <v>1.18</v>
      </c>
      <c r="N1502" s="1694">
        <v>1.42</v>
      </c>
      <c r="O1502" s="1694">
        <v>1.67</v>
      </c>
      <c r="P1502" s="1417"/>
      <c r="Q1502" s="1417"/>
      <c r="R1502" s="1417"/>
      <c r="S1502" s="1417"/>
      <c r="T1502" s="1417"/>
      <c r="U1502" s="1417"/>
      <c r="V1502" s="1417"/>
      <c r="W1502" s="1417"/>
      <c r="X1502" s="1391"/>
      <c r="Y1502" s="1391"/>
      <c r="Z1502" s="1391"/>
      <c r="AA1502" s="1391"/>
      <c r="AB1502" s="1391"/>
      <c r="AC1502" s="1391"/>
      <c r="AD1502" s="1391"/>
      <c r="AE1502" s="1391"/>
      <c r="AF1502" s="1391"/>
      <c r="AG1502" s="1391"/>
      <c r="AH1502" s="1391"/>
      <c r="AI1502" s="1391"/>
      <c r="AJ1502" s="1391"/>
      <c r="AK1502" s="1391"/>
      <c r="AL1502" s="1391"/>
      <c r="AM1502" s="1391"/>
      <c r="AN1502" s="1391"/>
      <c r="AO1502" s="1391"/>
      <c r="AP1502" s="1391"/>
      <c r="AQ1502" s="1684"/>
      <c r="AR1502" s="1684"/>
      <c r="AS1502" s="1684"/>
      <c r="AT1502" s="1684"/>
      <c r="AU1502" s="1684"/>
      <c r="AV1502" s="1684"/>
      <c r="AW1502" s="1684"/>
      <c r="AX1502" s="1684"/>
      <c r="AY1502" s="1684"/>
      <c r="AZ1502" s="1684"/>
      <c r="BA1502" s="1684"/>
      <c r="BB1502" s="1684"/>
      <c r="BC1502" s="1684"/>
      <c r="BD1502" s="1684"/>
      <c r="BE1502" s="1684"/>
      <c r="BF1502" s="1684"/>
      <c r="BG1502" s="1684"/>
      <c r="BH1502" s="1684"/>
      <c r="BI1502" s="1684"/>
      <c r="BJ1502" s="1684"/>
      <c r="BK1502" s="1684"/>
      <c r="BL1502" s="1684"/>
      <c r="BM1502" s="1684"/>
      <c r="BN1502" s="1684"/>
      <c r="BO1502" s="1684"/>
      <c r="BP1502" s="1684"/>
      <c r="BQ1502" s="1684"/>
      <c r="BR1502" s="1684"/>
      <c r="BS1502" s="1684"/>
      <c r="BT1502" s="1684"/>
      <c r="BU1502" s="1684"/>
      <c r="BV1502" s="1684"/>
      <c r="BW1502" s="1684"/>
      <c r="BX1502" s="1684"/>
      <c r="BY1502" s="1684"/>
      <c r="BZ1502" s="1684"/>
      <c r="CA1502" s="1684"/>
      <c r="CB1502" s="1684"/>
      <c r="CC1502" s="1684"/>
      <c r="CD1502" s="1684"/>
      <c r="CE1502" s="1684"/>
      <c r="CF1502" s="1684"/>
      <c r="CG1502" s="1684"/>
      <c r="CH1502" s="1684"/>
      <c r="CI1502" s="1684"/>
      <c r="CJ1502" s="1684"/>
      <c r="CK1502" s="1684"/>
      <c r="CL1502" s="1684"/>
      <c r="CM1502" s="1684"/>
      <c r="CN1502" s="1684"/>
      <c r="CO1502" s="1684"/>
      <c r="CP1502" s="1391"/>
      <c r="CQ1502" s="1391"/>
      <c r="CR1502" s="1391"/>
      <c r="CS1502" s="1391"/>
      <c r="CT1502" s="1391"/>
      <c r="CU1502" s="1391"/>
      <c r="CV1502" s="1391"/>
      <c r="CW1502" s="1391"/>
      <c r="CX1502" s="1391"/>
      <c r="CY1502" s="1391"/>
      <c r="CZ1502" s="1391"/>
      <c r="DA1502" s="1391"/>
      <c r="DB1502" s="1391"/>
      <c r="DC1502" s="1391"/>
      <c r="DD1502" s="1391"/>
      <c r="DE1502" s="1391"/>
      <c r="DF1502" s="1391"/>
      <c r="DG1502" s="1391"/>
      <c r="DH1502" s="1391"/>
      <c r="DI1502" s="1391"/>
    </row>
    <row r="1503" spans="1:113" ht="15.75" x14ac:dyDescent="0.25">
      <c r="A1503" s="1684"/>
      <c r="B1503" s="1684"/>
      <c r="C1503" s="1684"/>
      <c r="D1503" s="1684"/>
      <c r="E1503" s="1684"/>
      <c r="F1503" s="1391"/>
      <c r="G1503" s="1391" t="s">
        <v>1602</v>
      </c>
      <c r="H1503" s="1391" t="s">
        <v>1603</v>
      </c>
      <c r="I1503" s="1391"/>
      <c r="J1503" s="1391"/>
      <c r="K1503" s="1391"/>
      <c r="L1503" s="1694">
        <v>35</v>
      </c>
      <c r="M1503" s="1694">
        <v>1.22</v>
      </c>
      <c r="N1503" s="1694">
        <v>1.46</v>
      </c>
      <c r="O1503" s="1694">
        <v>1.72</v>
      </c>
      <c r="P1503" s="1417"/>
      <c r="Q1503" s="1417"/>
      <c r="R1503" s="1417"/>
      <c r="S1503" s="1417"/>
      <c r="T1503" s="1417"/>
      <c r="U1503" s="1417"/>
      <c r="V1503" s="1417"/>
      <c r="W1503" s="1417"/>
      <c r="X1503" s="1391"/>
      <c r="Y1503" s="1391"/>
      <c r="Z1503" s="1391"/>
      <c r="AA1503" s="1391"/>
      <c r="AB1503" s="1391"/>
      <c r="AC1503" s="1391"/>
      <c r="AD1503" s="1391"/>
      <c r="AE1503" s="1391"/>
      <c r="AF1503" s="1391"/>
      <c r="AG1503" s="1391"/>
      <c r="AH1503" s="1391"/>
      <c r="AI1503" s="1391"/>
      <c r="AJ1503" s="1391"/>
      <c r="AK1503" s="1391"/>
      <c r="AL1503" s="1391"/>
      <c r="AM1503" s="1391"/>
      <c r="AN1503" s="1391"/>
      <c r="AO1503" s="1391"/>
      <c r="AP1503" s="1391"/>
      <c r="AQ1503" s="1684"/>
      <c r="AR1503" s="1684"/>
      <c r="AS1503" s="1684"/>
      <c r="AT1503" s="1684"/>
      <c r="AU1503" s="1684"/>
      <c r="AV1503" s="1684"/>
      <c r="AW1503" s="1684"/>
      <c r="AX1503" s="1684"/>
      <c r="AY1503" s="1684"/>
      <c r="AZ1503" s="1684"/>
      <c r="BA1503" s="1684"/>
      <c r="BB1503" s="1684"/>
      <c r="BC1503" s="1684"/>
      <c r="BD1503" s="1684"/>
      <c r="BE1503" s="1684"/>
      <c r="BF1503" s="1684"/>
      <c r="BG1503" s="1684"/>
      <c r="BH1503" s="1684"/>
      <c r="BI1503" s="1684"/>
      <c r="BJ1503" s="1684"/>
      <c r="BK1503" s="1684"/>
      <c r="BL1503" s="1684"/>
      <c r="BM1503" s="1684"/>
      <c r="BN1503" s="1684"/>
      <c r="BO1503" s="1684"/>
      <c r="BP1503" s="1684"/>
      <c r="BQ1503" s="1684"/>
      <c r="BR1503" s="1684"/>
      <c r="BS1503" s="1684"/>
      <c r="BT1503" s="1684"/>
      <c r="BU1503" s="1684"/>
      <c r="BV1503" s="1684"/>
      <c r="BW1503" s="1684"/>
      <c r="BX1503" s="1684"/>
      <c r="BY1503" s="1684"/>
      <c r="BZ1503" s="1684"/>
      <c r="CA1503" s="1684"/>
      <c r="CB1503" s="1684"/>
      <c r="CC1503" s="1684"/>
      <c r="CD1503" s="1684"/>
      <c r="CE1503" s="1684"/>
      <c r="CF1503" s="1684"/>
      <c r="CG1503" s="1684"/>
      <c r="CH1503" s="1684"/>
      <c r="CI1503" s="1684"/>
      <c r="CJ1503" s="1684"/>
      <c r="CK1503" s="1684"/>
      <c r="CL1503" s="1684"/>
      <c r="CM1503" s="1684"/>
      <c r="CN1503" s="1684"/>
      <c r="CO1503" s="1684"/>
      <c r="CP1503" s="1391"/>
      <c r="CQ1503" s="1391"/>
      <c r="CR1503" s="1391"/>
      <c r="CS1503" s="1391"/>
      <c r="CT1503" s="1391"/>
      <c r="CU1503" s="1391"/>
      <c r="CV1503" s="1391"/>
      <c r="CW1503" s="1391"/>
      <c r="CX1503" s="1391"/>
      <c r="CY1503" s="1391"/>
      <c r="CZ1503" s="1391"/>
      <c r="DA1503" s="1391"/>
      <c r="DB1503" s="1391"/>
      <c r="DC1503" s="1391"/>
      <c r="DD1503" s="1391"/>
      <c r="DE1503" s="1391"/>
      <c r="DF1503" s="1391"/>
      <c r="DG1503" s="1391"/>
      <c r="DH1503" s="1391"/>
      <c r="DI1503" s="1391"/>
    </row>
    <row r="1504" spans="1:113" ht="15.75" x14ac:dyDescent="0.25">
      <c r="A1504" s="1684"/>
      <c r="B1504" s="1684"/>
      <c r="C1504" s="1684"/>
      <c r="D1504" s="1684"/>
      <c r="E1504" s="1684"/>
      <c r="F1504" s="1391"/>
      <c r="G1504" s="1405">
        <v>0.5</v>
      </c>
      <c r="H1504" s="1405">
        <v>7.54</v>
      </c>
      <c r="I1504" s="1391"/>
      <c r="J1504" s="1391"/>
      <c r="K1504" s="1391"/>
      <c r="L1504" s="1694">
        <v>40</v>
      </c>
      <c r="M1504" s="1694">
        <v>1.23</v>
      </c>
      <c r="N1504" s="1694">
        <v>1.49</v>
      </c>
      <c r="O1504" s="1694">
        <v>1.74</v>
      </c>
      <c r="P1504" s="1417"/>
      <c r="Q1504" s="1417"/>
      <c r="R1504" s="1417"/>
      <c r="S1504" s="1417"/>
      <c r="T1504" s="1417"/>
      <c r="U1504" s="1417"/>
      <c r="V1504" s="1417"/>
      <c r="W1504" s="1417"/>
      <c r="X1504" s="1391"/>
      <c r="Y1504" s="1391"/>
      <c r="Z1504" s="1391"/>
      <c r="AA1504" s="1391"/>
      <c r="AB1504" s="1391"/>
      <c r="AC1504" s="1391"/>
      <c r="AD1504" s="1391"/>
      <c r="AE1504" s="1391"/>
      <c r="AF1504" s="1391"/>
      <c r="AG1504" s="1391"/>
      <c r="AH1504" s="1391"/>
      <c r="AI1504" s="1391"/>
      <c r="AJ1504" s="1391"/>
      <c r="AK1504" s="1391"/>
      <c r="AL1504" s="1391"/>
      <c r="AM1504" s="1391"/>
      <c r="AN1504" s="1391"/>
      <c r="AO1504" s="1391"/>
      <c r="AP1504" s="1391"/>
      <c r="AQ1504" s="1684"/>
      <c r="AR1504" s="1684"/>
      <c r="AS1504" s="1684"/>
      <c r="AT1504" s="1684"/>
      <c r="AU1504" s="1684"/>
      <c r="AV1504" s="1684"/>
      <c r="AW1504" s="1684"/>
      <c r="AX1504" s="1684"/>
      <c r="AY1504" s="1684"/>
      <c r="AZ1504" s="1684"/>
      <c r="BA1504" s="1684"/>
      <c r="BB1504" s="1684"/>
      <c r="BC1504" s="1684"/>
      <c r="BD1504" s="1684"/>
      <c r="BE1504" s="1684"/>
      <c r="BF1504" s="1684"/>
      <c r="BG1504" s="1684"/>
      <c r="BH1504" s="1684"/>
      <c r="BI1504" s="1684"/>
      <c r="BJ1504" s="1684"/>
      <c r="BK1504" s="1684"/>
      <c r="BL1504" s="1684"/>
      <c r="BM1504" s="1684"/>
      <c r="BN1504" s="1684"/>
      <c r="BO1504" s="1684"/>
      <c r="BP1504" s="1684"/>
      <c r="BQ1504" s="1684"/>
      <c r="BR1504" s="1684"/>
      <c r="BS1504" s="1684"/>
      <c r="BT1504" s="1684"/>
      <c r="BU1504" s="1684"/>
      <c r="BV1504" s="1684"/>
      <c r="BW1504" s="1684"/>
      <c r="BX1504" s="1684"/>
      <c r="BY1504" s="1684"/>
      <c r="BZ1504" s="1684"/>
      <c r="CA1504" s="1684"/>
      <c r="CB1504" s="1684"/>
      <c r="CC1504" s="1684"/>
      <c r="CD1504" s="1684"/>
      <c r="CE1504" s="1684"/>
      <c r="CF1504" s="1684"/>
      <c r="CG1504" s="1684"/>
      <c r="CH1504" s="1684"/>
      <c r="CI1504" s="1684"/>
      <c r="CJ1504" s="1684"/>
      <c r="CK1504" s="1684"/>
      <c r="CL1504" s="1684"/>
      <c r="CM1504" s="1684"/>
      <c r="CN1504" s="1684"/>
      <c r="CO1504" s="1684"/>
      <c r="CP1504" s="1391"/>
      <c r="CQ1504" s="1391"/>
      <c r="CR1504" s="1391"/>
      <c r="CS1504" s="1391"/>
      <c r="CT1504" s="1391"/>
      <c r="CU1504" s="1391"/>
      <c r="CV1504" s="1391"/>
      <c r="CW1504" s="1391"/>
      <c r="CX1504" s="1391"/>
      <c r="CY1504" s="1391"/>
      <c r="CZ1504" s="1391"/>
      <c r="DA1504" s="1391"/>
      <c r="DB1504" s="1391"/>
      <c r="DC1504" s="1391"/>
      <c r="DD1504" s="1391"/>
      <c r="DE1504" s="1391"/>
      <c r="DF1504" s="1391"/>
      <c r="DG1504" s="1391"/>
      <c r="DH1504" s="1391"/>
      <c r="DI1504" s="1391"/>
    </row>
    <row r="1505" spans="1:113" ht="15.75" x14ac:dyDescent="0.25">
      <c r="A1505" s="1684"/>
      <c r="B1505" s="1684"/>
      <c r="C1505" s="1684"/>
      <c r="D1505" s="1684"/>
      <c r="E1505" s="1684"/>
      <c r="F1505" s="1391"/>
      <c r="G1505" s="1405">
        <v>0.6</v>
      </c>
      <c r="H1505" s="1405">
        <v>9.0500000000000007</v>
      </c>
      <c r="I1505" s="1391"/>
      <c r="J1505" s="1391"/>
      <c r="K1505" s="1391"/>
      <c r="L1505" s="1694">
        <v>45</v>
      </c>
      <c r="M1505" s="1694">
        <v>1.26</v>
      </c>
      <c r="N1505" s="1694">
        <v>1.52</v>
      </c>
      <c r="O1505" s="1694">
        <v>1.78</v>
      </c>
      <c r="P1505" s="1417"/>
      <c r="Q1505" s="1417"/>
      <c r="R1505" s="1417"/>
      <c r="S1505" s="1417"/>
      <c r="T1505" s="1417"/>
      <c r="U1505" s="1417"/>
      <c r="V1505" s="1417"/>
      <c r="W1505" s="1417"/>
      <c r="X1505" s="1391"/>
      <c r="Y1505" s="1391"/>
      <c r="Z1505" s="1391"/>
      <c r="AA1505" s="1391"/>
      <c r="AB1505" s="1391"/>
      <c r="AC1505" s="1391"/>
      <c r="AD1505" s="1391"/>
      <c r="AE1505" s="1391"/>
      <c r="AF1505" s="1391"/>
      <c r="AG1505" s="1391"/>
      <c r="AH1505" s="1391"/>
      <c r="AI1505" s="1391"/>
      <c r="AJ1505" s="1391"/>
      <c r="AK1505" s="1391"/>
      <c r="AL1505" s="1391"/>
      <c r="AM1505" s="1391"/>
      <c r="AN1505" s="1391"/>
      <c r="AO1505" s="1391"/>
      <c r="AP1505" s="1391"/>
      <c r="AQ1505" s="1684"/>
      <c r="AR1505" s="1684"/>
      <c r="AS1505" s="1684"/>
      <c r="AT1505" s="1684"/>
      <c r="AU1505" s="1684"/>
      <c r="AV1505" s="1684"/>
      <c r="AW1505" s="1684"/>
      <c r="AX1505" s="1684"/>
      <c r="AY1505" s="1684"/>
      <c r="AZ1505" s="1684"/>
      <c r="BA1505" s="1684"/>
      <c r="BB1505" s="1684"/>
      <c r="BC1505" s="1684"/>
      <c r="BD1505" s="1684"/>
      <c r="BE1505" s="1684"/>
      <c r="BF1505" s="1684"/>
      <c r="BG1505" s="1684"/>
      <c r="BH1505" s="1684"/>
      <c r="BI1505" s="1684"/>
      <c r="BJ1505" s="1684"/>
      <c r="BK1505" s="1684"/>
      <c r="BL1505" s="1684"/>
      <c r="BM1505" s="1684"/>
      <c r="BN1505" s="1684"/>
      <c r="BO1505" s="1684"/>
      <c r="BP1505" s="1684"/>
      <c r="BQ1505" s="1684"/>
      <c r="BR1505" s="1684"/>
      <c r="BS1505" s="1684"/>
      <c r="BT1505" s="1684"/>
      <c r="BU1505" s="1684"/>
      <c r="BV1505" s="1684"/>
      <c r="BW1505" s="1684"/>
      <c r="BX1505" s="1684"/>
      <c r="BY1505" s="1684"/>
      <c r="BZ1505" s="1684"/>
      <c r="CA1505" s="1684"/>
      <c r="CB1505" s="1684"/>
      <c r="CC1505" s="1684"/>
      <c r="CD1505" s="1684"/>
      <c r="CE1505" s="1684"/>
      <c r="CF1505" s="1684"/>
      <c r="CG1505" s="1684"/>
      <c r="CH1505" s="1684"/>
      <c r="CI1505" s="1684"/>
      <c r="CJ1505" s="1684"/>
      <c r="CK1505" s="1684"/>
      <c r="CL1505" s="1684"/>
      <c r="CM1505" s="1684"/>
      <c r="CN1505" s="1684"/>
      <c r="CO1505" s="1684"/>
      <c r="CP1505" s="1391"/>
      <c r="CQ1505" s="1391"/>
      <c r="CR1505" s="1391"/>
      <c r="CS1505" s="1391"/>
      <c r="CT1505" s="1391"/>
      <c r="CU1505" s="1391"/>
      <c r="CV1505" s="1391"/>
      <c r="CW1505" s="1391"/>
      <c r="CX1505" s="1391"/>
      <c r="CY1505" s="1391"/>
      <c r="CZ1505" s="1391"/>
      <c r="DA1505" s="1391"/>
      <c r="DB1505" s="1391"/>
      <c r="DC1505" s="1391"/>
      <c r="DD1505" s="1391"/>
      <c r="DE1505" s="1391"/>
      <c r="DF1505" s="1391"/>
      <c r="DG1505" s="1391"/>
      <c r="DH1505" s="1391"/>
      <c r="DI1505" s="1391"/>
    </row>
    <row r="1506" spans="1:113" ht="15.75" x14ac:dyDescent="0.25">
      <c r="A1506" s="1684"/>
      <c r="B1506" s="1684"/>
      <c r="C1506" s="1684"/>
      <c r="D1506" s="1684"/>
      <c r="E1506" s="1684"/>
      <c r="F1506" s="1391"/>
      <c r="G1506" s="1405">
        <v>0.7</v>
      </c>
      <c r="H1506" s="1405">
        <v>10</v>
      </c>
      <c r="I1506" s="1391"/>
      <c r="J1506" s="1391"/>
      <c r="K1506" s="1391"/>
      <c r="L1506" s="1694">
        <v>50</v>
      </c>
      <c r="M1506" s="1694">
        <v>1.3</v>
      </c>
      <c r="N1506" s="1694">
        <v>1.55</v>
      </c>
      <c r="O1506" s="1694">
        <v>1.82</v>
      </c>
      <c r="P1506" s="1417"/>
      <c r="Q1506" s="1417"/>
      <c r="R1506" s="1417"/>
      <c r="S1506" s="1417"/>
      <c r="T1506" s="1417"/>
      <c r="U1506" s="1417"/>
      <c r="V1506" s="1417"/>
      <c r="W1506" s="1417"/>
      <c r="X1506" s="1391"/>
      <c r="Y1506" s="1391"/>
      <c r="Z1506" s="1391"/>
      <c r="AA1506" s="1391"/>
      <c r="AB1506" s="1391"/>
      <c r="AC1506" s="1391"/>
      <c r="AD1506" s="1391"/>
      <c r="AE1506" s="1391"/>
      <c r="AF1506" s="1391"/>
      <c r="AG1506" s="1391"/>
      <c r="AH1506" s="1391"/>
      <c r="AI1506" s="1391"/>
      <c r="AJ1506" s="1391"/>
      <c r="AK1506" s="1391"/>
      <c r="AL1506" s="1391"/>
      <c r="AM1506" s="1391"/>
      <c r="AN1506" s="1391"/>
      <c r="AO1506" s="1391"/>
      <c r="AP1506" s="1391"/>
      <c r="AQ1506" s="1684"/>
      <c r="AR1506" s="1684"/>
      <c r="AS1506" s="1684"/>
      <c r="AT1506" s="1684"/>
      <c r="AU1506" s="1684"/>
      <c r="AV1506" s="1684"/>
      <c r="AW1506" s="1684"/>
      <c r="AX1506" s="1684"/>
      <c r="AY1506" s="1684"/>
      <c r="AZ1506" s="1684"/>
      <c r="BA1506" s="1684"/>
      <c r="BB1506" s="1684"/>
      <c r="BC1506" s="1684"/>
      <c r="BD1506" s="1684"/>
      <c r="BE1506" s="1684"/>
      <c r="BF1506" s="1684"/>
      <c r="BG1506" s="1684"/>
      <c r="BH1506" s="1684"/>
      <c r="BI1506" s="1684"/>
      <c r="BJ1506" s="1684"/>
      <c r="BK1506" s="1684"/>
      <c r="BL1506" s="1684"/>
      <c r="BM1506" s="1684"/>
      <c r="BN1506" s="1684"/>
      <c r="BO1506" s="1684"/>
      <c r="BP1506" s="1684"/>
      <c r="BQ1506" s="1684"/>
      <c r="BR1506" s="1684"/>
      <c r="BS1506" s="1684"/>
      <c r="BT1506" s="1684"/>
      <c r="BU1506" s="1684"/>
      <c r="BV1506" s="1684"/>
      <c r="BW1506" s="1684"/>
      <c r="BX1506" s="1684"/>
      <c r="BY1506" s="1684"/>
      <c r="BZ1506" s="1684"/>
      <c r="CA1506" s="1684"/>
      <c r="CB1506" s="1684"/>
      <c r="CC1506" s="1684"/>
      <c r="CD1506" s="1684"/>
      <c r="CE1506" s="1684"/>
      <c r="CF1506" s="1684"/>
      <c r="CG1506" s="1684"/>
      <c r="CH1506" s="1684"/>
      <c r="CI1506" s="1684"/>
      <c r="CJ1506" s="1684"/>
      <c r="CK1506" s="1684"/>
      <c r="CL1506" s="1684"/>
      <c r="CM1506" s="1684"/>
      <c r="CN1506" s="1684"/>
      <c r="CO1506" s="1684"/>
      <c r="CP1506" s="1391"/>
      <c r="CQ1506" s="1391"/>
      <c r="CR1506" s="1391"/>
      <c r="CS1506" s="1391"/>
      <c r="CT1506" s="1391"/>
      <c r="CU1506" s="1391"/>
      <c r="CV1506" s="1391"/>
      <c r="CW1506" s="1391"/>
      <c r="CX1506" s="1391"/>
      <c r="CY1506" s="1391"/>
      <c r="CZ1506" s="1391"/>
      <c r="DA1506" s="1391"/>
      <c r="DB1506" s="1391"/>
      <c r="DC1506" s="1391"/>
      <c r="DD1506" s="1391"/>
      <c r="DE1506" s="1391"/>
      <c r="DF1506" s="1391"/>
      <c r="DG1506" s="1391"/>
      <c r="DH1506" s="1391"/>
      <c r="DI1506" s="1391"/>
    </row>
    <row r="1507" spans="1:113" ht="15.75" x14ac:dyDescent="0.25">
      <c r="A1507" s="1684"/>
      <c r="B1507" s="1684"/>
      <c r="C1507" s="1684"/>
      <c r="D1507" s="1684"/>
      <c r="E1507" s="1684"/>
      <c r="F1507" s="1391"/>
      <c r="G1507" s="1405">
        <v>0.8</v>
      </c>
      <c r="H1507" s="1405">
        <v>11.5</v>
      </c>
      <c r="I1507" s="1391"/>
      <c r="J1507" s="1391"/>
      <c r="K1507" s="1391"/>
      <c r="L1507" s="1694">
        <v>55</v>
      </c>
      <c r="M1507" s="1694">
        <v>1.33</v>
      </c>
      <c r="N1507" s="1694">
        <v>1.6</v>
      </c>
      <c r="O1507" s="1694">
        <v>1.87</v>
      </c>
      <c r="P1507" s="1417"/>
      <c r="Q1507" s="1417"/>
      <c r="R1507" s="1417"/>
      <c r="S1507" s="1417"/>
      <c r="T1507" s="1417"/>
      <c r="U1507" s="1417"/>
      <c r="V1507" s="1417"/>
      <c r="W1507" s="1417"/>
      <c r="X1507" s="1391"/>
      <c r="Y1507" s="1391"/>
      <c r="Z1507" s="1391"/>
      <c r="AA1507" s="1391"/>
      <c r="AB1507" s="1391"/>
      <c r="AC1507" s="1391"/>
      <c r="AD1507" s="1391"/>
      <c r="AE1507" s="1391"/>
      <c r="AF1507" s="1391"/>
      <c r="AG1507" s="1391"/>
      <c r="AH1507" s="1391"/>
      <c r="AI1507" s="1391"/>
      <c r="AJ1507" s="1391"/>
      <c r="AK1507" s="1391"/>
      <c r="AL1507" s="1391"/>
      <c r="AM1507" s="1391"/>
      <c r="AN1507" s="1391"/>
      <c r="AO1507" s="1391"/>
      <c r="AP1507" s="1391"/>
      <c r="AQ1507" s="1684"/>
      <c r="AR1507" s="1684"/>
      <c r="AS1507" s="1684"/>
      <c r="AT1507" s="1684"/>
      <c r="AU1507" s="1684"/>
      <c r="AV1507" s="1684"/>
      <c r="AW1507" s="1684"/>
      <c r="AX1507" s="1684"/>
      <c r="AY1507" s="1684"/>
      <c r="AZ1507" s="1684"/>
      <c r="BA1507" s="1684"/>
      <c r="BB1507" s="1684"/>
      <c r="BC1507" s="1684"/>
      <c r="BD1507" s="1684"/>
      <c r="BE1507" s="1684"/>
      <c r="BF1507" s="1684"/>
      <c r="BG1507" s="1684"/>
      <c r="BH1507" s="1684"/>
      <c r="BI1507" s="1684"/>
      <c r="BJ1507" s="1684"/>
      <c r="BK1507" s="1684"/>
      <c r="BL1507" s="1684"/>
      <c r="BM1507" s="1684"/>
      <c r="BN1507" s="1684"/>
      <c r="BO1507" s="1684"/>
      <c r="BP1507" s="1684"/>
      <c r="BQ1507" s="1684"/>
      <c r="BR1507" s="1684"/>
      <c r="BS1507" s="1684"/>
      <c r="BT1507" s="1684"/>
      <c r="BU1507" s="1684"/>
      <c r="BV1507" s="1684"/>
      <c r="BW1507" s="1684"/>
      <c r="BX1507" s="1684"/>
      <c r="BY1507" s="1684"/>
      <c r="BZ1507" s="1684"/>
      <c r="CA1507" s="1684"/>
      <c r="CB1507" s="1684"/>
      <c r="CC1507" s="1684"/>
      <c r="CD1507" s="1684"/>
      <c r="CE1507" s="1684"/>
      <c r="CF1507" s="1684"/>
      <c r="CG1507" s="1684"/>
      <c r="CH1507" s="1684"/>
      <c r="CI1507" s="1684"/>
      <c r="CJ1507" s="1684"/>
      <c r="CK1507" s="1684"/>
      <c r="CL1507" s="1684"/>
      <c r="CM1507" s="1684"/>
      <c r="CN1507" s="1684"/>
      <c r="CO1507" s="1684"/>
      <c r="CP1507" s="1391"/>
      <c r="CQ1507" s="1391"/>
      <c r="CR1507" s="1391"/>
      <c r="CS1507" s="1391"/>
      <c r="CT1507" s="1391"/>
      <c r="CU1507" s="1391"/>
      <c r="CV1507" s="1391"/>
      <c r="CW1507" s="1391"/>
      <c r="CX1507" s="1391"/>
      <c r="CY1507" s="1391"/>
      <c r="CZ1507" s="1391"/>
      <c r="DA1507" s="1391"/>
      <c r="DB1507" s="1391"/>
      <c r="DC1507" s="1391"/>
      <c r="DD1507" s="1391"/>
      <c r="DE1507" s="1391"/>
      <c r="DF1507" s="1391"/>
      <c r="DG1507" s="1391"/>
      <c r="DH1507" s="1391"/>
      <c r="DI1507" s="1391"/>
    </row>
    <row r="1508" spans="1:113" ht="15" x14ac:dyDescent="0.2">
      <c r="A1508" s="1684"/>
      <c r="B1508" s="1684"/>
      <c r="C1508" s="1684"/>
      <c r="D1508" s="1684"/>
      <c r="E1508" s="1684"/>
      <c r="F1508" s="1391"/>
      <c r="G1508" s="1405">
        <v>0.9</v>
      </c>
      <c r="H1508" s="1405">
        <v>13.4</v>
      </c>
      <c r="I1508" s="1391"/>
      <c r="J1508" s="1391"/>
      <c r="K1508" s="1391"/>
      <c r="L1508" s="1391"/>
      <c r="M1508" s="1391"/>
      <c r="N1508" s="1391"/>
      <c r="O1508" s="1391"/>
      <c r="P1508" s="1391"/>
      <c r="Q1508" s="1391"/>
      <c r="R1508" s="1391"/>
      <c r="S1508" s="1391"/>
      <c r="T1508" s="1391"/>
      <c r="U1508" s="1391"/>
      <c r="V1508" s="1391"/>
      <c r="W1508" s="1391"/>
      <c r="X1508" s="1391"/>
      <c r="Y1508" s="1391"/>
      <c r="Z1508" s="1391"/>
      <c r="AA1508" s="1391"/>
      <c r="AB1508" s="1391"/>
      <c r="AC1508" s="1391"/>
      <c r="AD1508" s="1391"/>
      <c r="AE1508" s="1391"/>
      <c r="AF1508" s="1391"/>
      <c r="AG1508" s="1391"/>
      <c r="AH1508" s="1391"/>
      <c r="AI1508" s="1391"/>
      <c r="AJ1508" s="1391"/>
      <c r="AK1508" s="1391"/>
      <c r="AL1508" s="1391"/>
      <c r="AM1508" s="1391"/>
      <c r="AN1508" s="1391"/>
      <c r="AO1508" s="1391"/>
      <c r="AP1508" s="1391"/>
      <c r="AQ1508" s="1684"/>
      <c r="AR1508" s="1684"/>
      <c r="AS1508" s="1684"/>
      <c r="AT1508" s="1684"/>
      <c r="AU1508" s="1684"/>
      <c r="AV1508" s="1684"/>
      <c r="AW1508" s="1684"/>
      <c r="AX1508" s="1684"/>
      <c r="AY1508" s="1684"/>
      <c r="AZ1508" s="1684"/>
      <c r="BA1508" s="1684"/>
      <c r="BB1508" s="1684"/>
      <c r="BC1508" s="1684"/>
      <c r="BD1508" s="1684"/>
      <c r="BE1508" s="1684"/>
      <c r="BF1508" s="1684"/>
      <c r="BG1508" s="1684"/>
      <c r="BH1508" s="1684"/>
      <c r="BI1508" s="1684"/>
      <c r="BJ1508" s="1684"/>
      <c r="BK1508" s="1684"/>
      <c r="BL1508" s="1684"/>
      <c r="BM1508" s="1684"/>
      <c r="BN1508" s="1684"/>
      <c r="BO1508" s="1684"/>
      <c r="BP1508" s="1684"/>
      <c r="BQ1508" s="1684"/>
      <c r="BR1508" s="1684"/>
      <c r="BS1508" s="1684"/>
      <c r="BT1508" s="1684"/>
      <c r="BU1508" s="1684"/>
      <c r="BV1508" s="1684"/>
      <c r="BW1508" s="1684"/>
      <c r="BX1508" s="1684"/>
      <c r="BY1508" s="1684"/>
      <c r="BZ1508" s="1684"/>
      <c r="CA1508" s="1684"/>
      <c r="CB1508" s="1684"/>
      <c r="CC1508" s="1684"/>
      <c r="CD1508" s="1684"/>
      <c r="CE1508" s="1684"/>
      <c r="CF1508" s="1684"/>
      <c r="CG1508" s="1684"/>
      <c r="CH1508" s="1684"/>
      <c r="CI1508" s="1684"/>
      <c r="CJ1508" s="1684"/>
      <c r="CK1508" s="1684"/>
      <c r="CL1508" s="1684"/>
      <c r="CM1508" s="1684"/>
      <c r="CN1508" s="1684"/>
      <c r="CO1508" s="1684"/>
      <c r="CP1508" s="1391"/>
      <c r="CQ1508" s="1391"/>
      <c r="CR1508" s="1391"/>
      <c r="CS1508" s="1391"/>
      <c r="CT1508" s="1391"/>
      <c r="CU1508" s="1391"/>
      <c r="CV1508" s="1391"/>
      <c r="CW1508" s="1391"/>
      <c r="CX1508" s="1391"/>
      <c r="CY1508" s="1391"/>
      <c r="CZ1508" s="1391"/>
      <c r="DA1508" s="1391"/>
      <c r="DB1508" s="1391"/>
      <c r="DC1508" s="1391"/>
      <c r="DD1508" s="1391"/>
      <c r="DE1508" s="1391"/>
      <c r="DF1508" s="1391"/>
      <c r="DG1508" s="1391"/>
      <c r="DH1508" s="1391"/>
      <c r="DI1508" s="1391"/>
    </row>
    <row r="1509" spans="1:113" ht="15" x14ac:dyDescent="0.2">
      <c r="A1509" s="1684"/>
      <c r="B1509" s="1684"/>
      <c r="C1509" s="1684"/>
      <c r="D1509" s="1684"/>
      <c r="E1509" s="1684"/>
      <c r="F1509" s="1391"/>
      <c r="G1509" s="1405">
        <v>1</v>
      </c>
      <c r="H1509" s="1405">
        <v>13.6</v>
      </c>
      <c r="I1509" s="1391"/>
      <c r="J1509" s="1391"/>
      <c r="K1509" s="1391"/>
      <c r="L1509" s="1391"/>
      <c r="M1509" s="1391"/>
      <c r="N1509" s="1391"/>
      <c r="O1509" s="1391"/>
      <c r="P1509" s="1391"/>
      <c r="Q1509" s="1391"/>
      <c r="R1509" s="1391"/>
      <c r="S1509" s="1391"/>
      <c r="T1509" s="1391"/>
      <c r="U1509" s="1391"/>
      <c r="V1509" s="1391"/>
      <c r="W1509" s="1391"/>
      <c r="X1509" s="1391"/>
      <c r="Y1509" s="1391"/>
      <c r="Z1509" s="1391"/>
      <c r="AA1509" s="1391"/>
      <c r="AB1509" s="1391"/>
      <c r="AC1509" s="1391"/>
      <c r="AD1509" s="1391"/>
      <c r="AE1509" s="1391"/>
      <c r="AF1509" s="1391"/>
      <c r="AG1509" s="1391"/>
      <c r="AH1509" s="1391"/>
      <c r="AI1509" s="1391"/>
      <c r="AJ1509" s="1391"/>
      <c r="AK1509" s="1391"/>
      <c r="AL1509" s="1391"/>
      <c r="AM1509" s="1391"/>
      <c r="AN1509" s="1391"/>
      <c r="AO1509" s="1391"/>
      <c r="AP1509" s="1391"/>
      <c r="AQ1509" s="1684"/>
      <c r="AR1509" s="1684"/>
      <c r="AS1509" s="1684"/>
      <c r="AT1509" s="1684"/>
      <c r="AU1509" s="1684"/>
      <c r="AV1509" s="1684"/>
      <c r="AW1509" s="1684"/>
      <c r="AX1509" s="1684"/>
      <c r="AY1509" s="1684"/>
      <c r="AZ1509" s="1684"/>
      <c r="BA1509" s="1684"/>
      <c r="BB1509" s="1684"/>
      <c r="BC1509" s="1684"/>
      <c r="BD1509" s="1684"/>
      <c r="BE1509" s="1684"/>
      <c r="BF1509" s="1684"/>
      <c r="BG1509" s="1684"/>
      <c r="BH1509" s="1684"/>
      <c r="BI1509" s="1684"/>
      <c r="BJ1509" s="1684"/>
      <c r="BK1509" s="1684"/>
      <c r="BL1509" s="1684"/>
      <c r="BM1509" s="1684"/>
      <c r="BN1509" s="1684"/>
      <c r="BO1509" s="1684"/>
      <c r="BP1509" s="1684"/>
      <c r="BQ1509" s="1684"/>
      <c r="BR1509" s="1684"/>
      <c r="BS1509" s="1684"/>
      <c r="BT1509" s="1684"/>
      <c r="BU1509" s="1684"/>
      <c r="BV1509" s="1684"/>
      <c r="BW1509" s="1684"/>
      <c r="BX1509" s="1684"/>
      <c r="BY1509" s="1684"/>
      <c r="BZ1509" s="1684"/>
      <c r="CA1509" s="1684"/>
      <c r="CB1509" s="1684"/>
      <c r="CC1509" s="1684"/>
      <c r="CD1509" s="1684"/>
      <c r="CE1509" s="1684"/>
      <c r="CF1509" s="1684"/>
      <c r="CG1509" s="1684"/>
      <c r="CH1509" s="1684"/>
      <c r="CI1509" s="1684"/>
      <c r="CJ1509" s="1684"/>
      <c r="CK1509" s="1684"/>
      <c r="CL1509" s="1684"/>
      <c r="CM1509" s="1684"/>
      <c r="CN1509" s="1684"/>
      <c r="CO1509" s="1684"/>
      <c r="CP1509" s="1391"/>
      <c r="CQ1509" s="1391"/>
      <c r="CR1509" s="1391"/>
      <c r="CS1509" s="1391"/>
      <c r="CT1509" s="1391"/>
      <c r="CU1509" s="1391"/>
      <c r="CV1509" s="1391"/>
      <c r="CW1509" s="1391"/>
      <c r="CX1509" s="1391"/>
      <c r="CY1509" s="1391"/>
      <c r="CZ1509" s="1391"/>
      <c r="DA1509" s="1391"/>
      <c r="DB1509" s="1391"/>
      <c r="DC1509" s="1391"/>
      <c r="DD1509" s="1391"/>
      <c r="DE1509" s="1391"/>
      <c r="DF1509" s="1391"/>
      <c r="DG1509" s="1391"/>
      <c r="DH1509" s="1391"/>
      <c r="DI1509" s="1391"/>
    </row>
    <row r="1510" spans="1:113" ht="15.75" x14ac:dyDescent="0.25">
      <c r="A1510" s="1684"/>
      <c r="B1510" s="1684"/>
      <c r="C1510" s="1684"/>
      <c r="D1510" s="1684"/>
      <c r="E1510" s="1684"/>
      <c r="F1510" s="1391"/>
      <c r="G1510" s="1405">
        <v>1.1000000000000001</v>
      </c>
      <c r="H1510" s="1405">
        <v>19.2</v>
      </c>
      <c r="I1510" s="1391"/>
      <c r="J1510" s="1391"/>
      <c r="K1510" s="1417" t="s">
        <v>1462</v>
      </c>
      <c r="L1510" s="1417"/>
      <c r="M1510" s="1417"/>
      <c r="N1510" s="1417"/>
      <c r="O1510" s="1417"/>
      <c r="P1510" s="1417"/>
      <c r="Q1510" s="1417"/>
      <c r="R1510" s="1391"/>
      <c r="S1510" s="1391"/>
      <c r="T1510" s="1391"/>
      <c r="U1510" s="1391"/>
      <c r="V1510" s="1391"/>
      <c r="W1510" s="1391"/>
      <c r="X1510" s="1391"/>
      <c r="Y1510" s="1391"/>
      <c r="Z1510" s="1391"/>
      <c r="AA1510" s="1391"/>
      <c r="AB1510" s="1391"/>
      <c r="AC1510" s="1391"/>
      <c r="AD1510" s="1391"/>
      <c r="AE1510" s="1391"/>
      <c r="AF1510" s="1391"/>
      <c r="AG1510" s="1391"/>
      <c r="AH1510" s="1391"/>
      <c r="AI1510" s="1391"/>
      <c r="AJ1510" s="1391"/>
      <c r="AK1510" s="1391"/>
      <c r="AL1510" s="1391"/>
      <c r="AM1510" s="1391"/>
      <c r="AN1510" s="1391"/>
      <c r="AO1510" s="1391"/>
      <c r="AP1510" s="1391"/>
      <c r="AQ1510" s="1684"/>
      <c r="AR1510" s="1684"/>
      <c r="AS1510" s="1684"/>
      <c r="AT1510" s="1684"/>
      <c r="AU1510" s="1684"/>
      <c r="AV1510" s="1684"/>
      <c r="AW1510" s="1684"/>
      <c r="AX1510" s="1684"/>
      <c r="AY1510" s="1684"/>
      <c r="AZ1510" s="1684"/>
      <c r="BA1510" s="1684"/>
      <c r="BB1510" s="1684"/>
      <c r="BC1510" s="1684"/>
      <c r="BD1510" s="1684"/>
      <c r="BE1510" s="1684"/>
      <c r="BF1510" s="1684"/>
      <c r="BG1510" s="1684"/>
      <c r="BH1510" s="1684"/>
      <c r="BI1510" s="1684"/>
      <c r="BJ1510" s="1684"/>
      <c r="BK1510" s="1684"/>
      <c r="BL1510" s="1684"/>
      <c r="BM1510" s="1684"/>
      <c r="BN1510" s="1684"/>
      <c r="BO1510" s="1684"/>
      <c r="BP1510" s="1684"/>
      <c r="BQ1510" s="1684"/>
      <c r="BR1510" s="1684"/>
      <c r="BS1510" s="1684"/>
      <c r="BT1510" s="1684"/>
      <c r="BU1510" s="1684"/>
      <c r="BV1510" s="1684"/>
      <c r="BW1510" s="1684"/>
      <c r="BX1510" s="1684"/>
      <c r="BY1510" s="1684"/>
      <c r="BZ1510" s="1684"/>
      <c r="CA1510" s="1684"/>
      <c r="CB1510" s="1684"/>
      <c r="CC1510" s="1684"/>
      <c r="CD1510" s="1684"/>
      <c r="CE1510" s="1684"/>
      <c r="CF1510" s="1684"/>
      <c r="CG1510" s="1684"/>
      <c r="CH1510" s="1684"/>
      <c r="CI1510" s="1684"/>
      <c r="CJ1510" s="1684"/>
      <c r="CK1510" s="1684"/>
      <c r="CL1510" s="1684"/>
      <c r="CM1510" s="1684"/>
      <c r="CN1510" s="1684"/>
      <c r="CO1510" s="1684"/>
      <c r="CP1510" s="1391"/>
      <c r="CQ1510" s="1391"/>
      <c r="CR1510" s="1391"/>
      <c r="CS1510" s="1391"/>
      <c r="CT1510" s="1391"/>
      <c r="CU1510" s="1391"/>
      <c r="CV1510" s="1391"/>
      <c r="CW1510" s="1391"/>
      <c r="CX1510" s="1391"/>
      <c r="CY1510" s="1391"/>
      <c r="CZ1510" s="1391"/>
      <c r="DA1510" s="1391"/>
      <c r="DB1510" s="1391"/>
      <c r="DC1510" s="1391"/>
      <c r="DD1510" s="1391"/>
      <c r="DE1510" s="1391"/>
      <c r="DF1510" s="1391"/>
      <c r="DG1510" s="1391"/>
      <c r="DH1510" s="1391"/>
      <c r="DI1510" s="1391"/>
    </row>
    <row r="1511" spans="1:113" ht="15.75" x14ac:dyDescent="0.25">
      <c r="A1511" s="1684"/>
      <c r="B1511" s="1684"/>
      <c r="C1511" s="1684"/>
      <c r="D1511" s="1684"/>
      <c r="E1511" s="1684"/>
      <c r="F1511" s="1391"/>
      <c r="G1511" s="1405">
        <v>1.3</v>
      </c>
      <c r="H1511" s="1405">
        <v>19.2</v>
      </c>
      <c r="I1511" s="1391"/>
      <c r="J1511" s="1391"/>
      <c r="K1511" s="1417" t="s">
        <v>1463</v>
      </c>
      <c r="L1511" s="1417" t="s">
        <v>1464</v>
      </c>
      <c r="M1511" s="1417"/>
      <c r="N1511" s="1417"/>
      <c r="O1511" s="1417"/>
      <c r="P1511" s="1417"/>
      <c r="Q1511" s="1417"/>
      <c r="R1511" s="1391"/>
      <c r="S1511" s="1391"/>
      <c r="T1511" s="1391"/>
      <c r="U1511" s="1391"/>
      <c r="V1511" s="1391"/>
      <c r="W1511" s="1391"/>
      <c r="X1511" s="1391"/>
      <c r="Y1511" s="1391"/>
      <c r="Z1511" s="1391"/>
      <c r="AA1511" s="1391"/>
      <c r="AB1511" s="1391"/>
      <c r="AC1511" s="1391"/>
      <c r="AD1511" s="1391"/>
      <c r="AE1511" s="1391"/>
      <c r="AF1511" s="1391"/>
      <c r="AG1511" s="1391"/>
      <c r="AH1511" s="1391"/>
      <c r="AI1511" s="1391"/>
      <c r="AJ1511" s="1391"/>
      <c r="AK1511" s="1391"/>
      <c r="AL1511" s="1391"/>
      <c r="AM1511" s="1391"/>
      <c r="AN1511" s="1391"/>
      <c r="AO1511" s="1391"/>
      <c r="AP1511" s="1391"/>
      <c r="AQ1511" s="1684"/>
      <c r="AR1511" s="1684"/>
      <c r="AS1511" s="1684"/>
      <c r="AT1511" s="1684"/>
      <c r="AU1511" s="1684"/>
      <c r="AV1511" s="1684"/>
      <c r="AW1511" s="1684"/>
      <c r="AX1511" s="1684"/>
      <c r="AY1511" s="1684"/>
      <c r="AZ1511" s="1684"/>
      <c r="BA1511" s="1684"/>
      <c r="BB1511" s="1684"/>
      <c r="BC1511" s="1684"/>
      <c r="BD1511" s="1684"/>
      <c r="BE1511" s="1684"/>
      <c r="BF1511" s="1684"/>
      <c r="BG1511" s="1684"/>
      <c r="BH1511" s="1684"/>
      <c r="BI1511" s="1684"/>
      <c r="BJ1511" s="1684"/>
      <c r="BK1511" s="1684"/>
      <c r="BL1511" s="1684"/>
      <c r="BM1511" s="1684"/>
      <c r="BN1511" s="1684"/>
      <c r="BO1511" s="1684"/>
      <c r="BP1511" s="1684"/>
      <c r="BQ1511" s="1684"/>
      <c r="BR1511" s="1684"/>
      <c r="BS1511" s="1684"/>
      <c r="BT1511" s="1684"/>
      <c r="BU1511" s="1684"/>
      <c r="BV1511" s="1684"/>
      <c r="BW1511" s="1684"/>
      <c r="BX1511" s="1684"/>
      <c r="BY1511" s="1684"/>
      <c r="BZ1511" s="1684"/>
      <c r="CA1511" s="1684"/>
      <c r="CB1511" s="1684"/>
      <c r="CC1511" s="1684"/>
      <c r="CD1511" s="1684"/>
      <c r="CE1511" s="1684"/>
      <c r="CF1511" s="1684"/>
      <c r="CG1511" s="1684"/>
      <c r="CH1511" s="1684"/>
      <c r="CI1511" s="1684"/>
      <c r="CJ1511" s="1684"/>
      <c r="CK1511" s="1684"/>
      <c r="CL1511" s="1684"/>
      <c r="CM1511" s="1684"/>
      <c r="CN1511" s="1684"/>
      <c r="CO1511" s="1684"/>
      <c r="CP1511" s="1391"/>
      <c r="CQ1511" s="1391"/>
      <c r="CR1511" s="1391"/>
      <c r="CS1511" s="1391"/>
      <c r="CT1511" s="1391"/>
      <c r="CU1511" s="1391"/>
      <c r="CV1511" s="1391"/>
      <c r="CW1511" s="1391"/>
      <c r="CX1511" s="1391"/>
      <c r="CY1511" s="1391"/>
      <c r="CZ1511" s="1391"/>
      <c r="DA1511" s="1391"/>
      <c r="DB1511" s="1391"/>
      <c r="DC1511" s="1391"/>
      <c r="DD1511" s="1391"/>
      <c r="DE1511" s="1391"/>
      <c r="DF1511" s="1391"/>
      <c r="DG1511" s="1391"/>
      <c r="DH1511" s="1391"/>
      <c r="DI1511" s="1391"/>
    </row>
    <row r="1512" spans="1:113" ht="15.75" x14ac:dyDescent="0.25">
      <c r="A1512" s="1684"/>
      <c r="B1512" s="1684"/>
      <c r="C1512" s="1684"/>
      <c r="D1512" s="1684"/>
      <c r="E1512" s="1684"/>
      <c r="F1512" s="1391"/>
      <c r="G1512" s="1405">
        <v>1.5</v>
      </c>
      <c r="H1512" s="1405">
        <v>22.6</v>
      </c>
      <c r="I1512" s="1391"/>
      <c r="J1512" s="1391"/>
      <c r="K1512" s="1417">
        <v>4</v>
      </c>
      <c r="L1512" s="1417">
        <v>7.28</v>
      </c>
      <c r="M1512" s="1417">
        <f>L1512/K1512</f>
        <v>1.82</v>
      </c>
      <c r="N1512" s="1417"/>
      <c r="O1512" s="1417"/>
      <c r="P1512" s="1417"/>
      <c r="Q1512" s="1417"/>
      <c r="R1512" s="1391"/>
      <c r="S1512" s="1391"/>
      <c r="T1512" s="1391"/>
      <c r="U1512" s="1391"/>
      <c r="V1512" s="1391"/>
      <c r="W1512" s="1391"/>
      <c r="X1512" s="1391"/>
      <c r="Y1512" s="1391"/>
      <c r="Z1512" s="1391"/>
      <c r="AA1512" s="1391"/>
      <c r="AB1512" s="1391"/>
      <c r="AC1512" s="1391"/>
      <c r="AD1512" s="1391"/>
      <c r="AE1512" s="1391"/>
      <c r="AF1512" s="1391"/>
      <c r="AG1512" s="1391"/>
      <c r="AH1512" s="1391"/>
      <c r="AI1512" s="1391"/>
      <c r="AJ1512" s="1391"/>
      <c r="AK1512" s="1391"/>
      <c r="AL1512" s="1391"/>
      <c r="AM1512" s="1391"/>
      <c r="AN1512" s="1391"/>
      <c r="AO1512" s="1391"/>
      <c r="AP1512" s="1391"/>
      <c r="AQ1512" s="1684"/>
      <c r="AR1512" s="1684"/>
      <c r="AS1512" s="1684"/>
      <c r="AT1512" s="1684"/>
      <c r="AU1512" s="1684"/>
      <c r="AV1512" s="1684"/>
      <c r="AW1512" s="1684"/>
      <c r="AX1512" s="1684"/>
      <c r="AY1512" s="1684"/>
      <c r="AZ1512" s="1684"/>
      <c r="BA1512" s="1684"/>
      <c r="BB1512" s="1684"/>
      <c r="BC1512" s="1684"/>
      <c r="BD1512" s="1684"/>
      <c r="BE1512" s="1684"/>
      <c r="BF1512" s="1684"/>
      <c r="BG1512" s="1684"/>
      <c r="BH1512" s="1684"/>
      <c r="BI1512" s="1684"/>
      <c r="BJ1512" s="1684"/>
      <c r="BK1512" s="1684"/>
      <c r="BL1512" s="1684"/>
      <c r="BM1512" s="1684"/>
      <c r="BN1512" s="1684"/>
      <c r="BO1512" s="1684"/>
      <c r="BP1512" s="1684"/>
      <c r="BQ1512" s="1684"/>
      <c r="BR1512" s="1684"/>
      <c r="BS1512" s="1684"/>
      <c r="BT1512" s="1684"/>
      <c r="BU1512" s="1684"/>
      <c r="BV1512" s="1684"/>
      <c r="BW1512" s="1684"/>
      <c r="BX1512" s="1684"/>
      <c r="BY1512" s="1684"/>
      <c r="BZ1512" s="1684"/>
      <c r="CA1512" s="1684"/>
      <c r="CB1512" s="1684"/>
      <c r="CC1512" s="1684"/>
      <c r="CD1512" s="1684"/>
      <c r="CE1512" s="1684"/>
      <c r="CF1512" s="1684"/>
      <c r="CG1512" s="1684"/>
      <c r="CH1512" s="1684"/>
      <c r="CI1512" s="1684"/>
      <c r="CJ1512" s="1684"/>
      <c r="CK1512" s="1684"/>
      <c r="CL1512" s="1684"/>
      <c r="CM1512" s="1684"/>
      <c r="CN1512" s="1684"/>
      <c r="CO1512" s="1684"/>
      <c r="CP1512" s="1391"/>
      <c r="CQ1512" s="1391"/>
      <c r="CR1512" s="1391"/>
      <c r="CS1512" s="1391"/>
      <c r="CT1512" s="1391"/>
      <c r="CU1512" s="1391"/>
      <c r="CV1512" s="1391"/>
      <c r="CW1512" s="1391"/>
      <c r="CX1512" s="1391"/>
      <c r="CY1512" s="1391"/>
      <c r="CZ1512" s="1391"/>
      <c r="DA1512" s="1391"/>
      <c r="DB1512" s="1391"/>
      <c r="DC1512" s="1391"/>
      <c r="DD1512" s="1391"/>
      <c r="DE1512" s="1391"/>
      <c r="DF1512" s="1391"/>
      <c r="DG1512" s="1391"/>
      <c r="DH1512" s="1391"/>
      <c r="DI1512" s="1391"/>
    </row>
    <row r="1513" spans="1:113" ht="15.75" x14ac:dyDescent="0.25">
      <c r="A1513" s="1684"/>
      <c r="B1513" s="1684"/>
      <c r="C1513" s="1684"/>
      <c r="D1513" s="1684"/>
      <c r="E1513" s="1684"/>
      <c r="F1513" s="1391"/>
      <c r="G1513" s="1405">
        <v>1.7</v>
      </c>
      <c r="H1513" s="1405">
        <v>22.6</v>
      </c>
      <c r="I1513" s="1391"/>
      <c r="J1513" s="1391"/>
      <c r="K1513" s="1417">
        <v>6</v>
      </c>
      <c r="L1513" s="1417">
        <v>9.3000000000000007</v>
      </c>
      <c r="M1513" s="1417">
        <f t="shared" ref="M1513:M1519" si="0">L1513/K1513</f>
        <v>1.55</v>
      </c>
      <c r="N1513" s="1417"/>
      <c r="O1513" s="1417"/>
      <c r="P1513" s="1417"/>
      <c r="Q1513" s="1417"/>
      <c r="R1513" s="1391"/>
      <c r="S1513" s="1391"/>
      <c r="T1513" s="1391"/>
      <c r="U1513" s="1391"/>
      <c r="V1513" s="1391"/>
      <c r="W1513" s="1391"/>
      <c r="X1513" s="1391"/>
      <c r="Y1513" s="1391"/>
      <c r="Z1513" s="1391"/>
      <c r="AA1513" s="1391"/>
      <c r="AB1513" s="1391"/>
      <c r="AC1513" s="1391"/>
      <c r="AD1513" s="1391"/>
      <c r="AE1513" s="1391"/>
      <c r="AF1513" s="1391"/>
      <c r="AG1513" s="1391"/>
      <c r="AH1513" s="1391"/>
      <c r="AI1513" s="1391"/>
      <c r="AJ1513" s="1391"/>
      <c r="AK1513" s="1391"/>
      <c r="AL1513" s="1391"/>
      <c r="AM1513" s="1391"/>
      <c r="AN1513" s="1391"/>
      <c r="AO1513" s="1391"/>
      <c r="AP1513" s="1391"/>
      <c r="AQ1513" s="1684"/>
      <c r="AR1513" s="1684"/>
      <c r="AS1513" s="1684"/>
      <c r="AT1513" s="1684"/>
      <c r="AU1513" s="1684"/>
      <c r="AV1513" s="1684"/>
      <c r="AW1513" s="1684"/>
      <c r="AX1513" s="1684"/>
      <c r="AY1513" s="1684"/>
      <c r="AZ1513" s="1684"/>
      <c r="BA1513" s="1684"/>
      <c r="BB1513" s="1684"/>
      <c r="BC1513" s="1684"/>
      <c r="BD1513" s="1684"/>
      <c r="BE1513" s="1684"/>
      <c r="BF1513" s="1684"/>
      <c r="BG1513" s="1684"/>
      <c r="BH1513" s="1684"/>
      <c r="BI1513" s="1684"/>
      <c r="BJ1513" s="1684"/>
      <c r="BK1513" s="1684"/>
      <c r="BL1513" s="1684"/>
      <c r="BM1513" s="1684"/>
      <c r="BN1513" s="1684"/>
      <c r="BO1513" s="1684"/>
      <c r="BP1513" s="1684"/>
      <c r="BQ1513" s="1684"/>
      <c r="BR1513" s="1684"/>
      <c r="BS1513" s="1684"/>
      <c r="BT1513" s="1684"/>
      <c r="BU1513" s="1684"/>
      <c r="BV1513" s="1684"/>
      <c r="BW1513" s="1684"/>
      <c r="BX1513" s="1684"/>
      <c r="BY1513" s="1684"/>
      <c r="BZ1513" s="1684"/>
      <c r="CA1513" s="1684"/>
      <c r="CB1513" s="1684"/>
      <c r="CC1513" s="1684"/>
      <c r="CD1513" s="1684"/>
      <c r="CE1513" s="1684"/>
      <c r="CF1513" s="1684"/>
      <c r="CG1513" s="1684"/>
      <c r="CH1513" s="1684"/>
      <c r="CI1513" s="1684"/>
      <c r="CJ1513" s="1684"/>
      <c r="CK1513" s="1684"/>
      <c r="CL1513" s="1684"/>
      <c r="CM1513" s="1684"/>
      <c r="CN1513" s="1684"/>
      <c r="CO1513" s="1684"/>
      <c r="CP1513" s="1391"/>
      <c r="CQ1513" s="1391"/>
      <c r="CR1513" s="1391"/>
      <c r="CS1513" s="1391"/>
      <c r="CT1513" s="1391"/>
      <c r="CU1513" s="1391"/>
      <c r="CV1513" s="1391"/>
      <c r="CW1513" s="1391"/>
      <c r="CX1513" s="1391"/>
      <c r="CY1513" s="1391"/>
      <c r="CZ1513" s="1391"/>
      <c r="DA1513" s="1391"/>
      <c r="DB1513" s="1391"/>
      <c r="DC1513" s="1391"/>
      <c r="DD1513" s="1391"/>
      <c r="DE1513" s="1391"/>
      <c r="DF1513" s="1391"/>
      <c r="DG1513" s="1391"/>
      <c r="DH1513" s="1391"/>
      <c r="DI1513" s="1391"/>
    </row>
    <row r="1514" spans="1:113" ht="15.75" x14ac:dyDescent="0.25">
      <c r="A1514" s="1684"/>
      <c r="B1514" s="1684"/>
      <c r="C1514" s="1684"/>
      <c r="D1514" s="1684"/>
      <c r="E1514" s="1684"/>
      <c r="F1514" s="1391"/>
      <c r="G1514" s="1405">
        <v>1.8</v>
      </c>
      <c r="H1514" s="1405">
        <v>25.8</v>
      </c>
      <c r="I1514" s="1391"/>
      <c r="J1514" s="1391"/>
      <c r="K1514" s="1417">
        <v>8</v>
      </c>
      <c r="L1514" s="1417">
        <v>11.04</v>
      </c>
      <c r="M1514" s="1417">
        <f t="shared" si="0"/>
        <v>1.38</v>
      </c>
      <c r="N1514" s="1417"/>
      <c r="O1514" s="1417"/>
      <c r="P1514" s="1417"/>
      <c r="Q1514" s="1417"/>
      <c r="R1514" s="1684"/>
      <c r="S1514" s="1684"/>
      <c r="T1514" s="1684"/>
      <c r="U1514" s="1684"/>
      <c r="V1514" s="1684"/>
      <c r="W1514" s="1684"/>
      <c r="X1514" s="1684"/>
      <c r="Y1514" s="1684"/>
      <c r="Z1514" s="1684"/>
      <c r="AA1514" s="1684"/>
      <c r="AB1514" s="1684"/>
      <c r="AC1514" s="1684"/>
      <c r="AD1514" s="1684"/>
      <c r="AE1514" s="1684"/>
      <c r="AF1514" s="1684"/>
      <c r="AG1514" s="1684"/>
      <c r="AH1514" s="1684"/>
      <c r="AI1514" s="1684"/>
      <c r="AJ1514" s="1684"/>
      <c r="AK1514" s="1684"/>
      <c r="AL1514" s="1684"/>
      <c r="AM1514" s="1684"/>
      <c r="AN1514" s="1684"/>
      <c r="AO1514" s="1684"/>
      <c r="AP1514" s="1684"/>
      <c r="AQ1514" s="1684"/>
      <c r="AR1514" s="1684"/>
      <c r="AS1514" s="1684"/>
      <c r="AT1514" s="1684"/>
      <c r="AU1514" s="1684"/>
      <c r="AV1514" s="1684"/>
      <c r="AW1514" s="1684"/>
      <c r="AX1514" s="1684"/>
      <c r="AY1514" s="1684"/>
      <c r="AZ1514" s="1684"/>
      <c r="BA1514" s="1684"/>
      <c r="BB1514" s="1684"/>
      <c r="BC1514" s="1684"/>
      <c r="BD1514" s="1684"/>
      <c r="BE1514" s="1684"/>
      <c r="BF1514" s="1684"/>
      <c r="BG1514" s="1684"/>
      <c r="BH1514" s="1684"/>
      <c r="BI1514" s="1684"/>
      <c r="BJ1514" s="1684"/>
      <c r="BK1514" s="1684"/>
      <c r="BL1514" s="1684"/>
      <c r="BM1514" s="1684"/>
      <c r="BN1514" s="1684"/>
      <c r="BO1514" s="1684"/>
      <c r="BP1514" s="1684"/>
      <c r="BQ1514" s="1684"/>
      <c r="BR1514" s="1684"/>
      <c r="BS1514" s="1684"/>
      <c r="BT1514" s="1684"/>
      <c r="BU1514" s="1684"/>
      <c r="BV1514" s="1684"/>
      <c r="BW1514" s="1684"/>
      <c r="BX1514" s="1684"/>
      <c r="BY1514" s="1684"/>
      <c r="BZ1514" s="1684"/>
      <c r="CA1514" s="1684"/>
      <c r="CB1514" s="1684"/>
      <c r="CC1514" s="1684"/>
      <c r="CD1514" s="1684"/>
      <c r="CE1514" s="1684"/>
      <c r="CF1514" s="1684"/>
      <c r="CG1514" s="1684"/>
      <c r="CH1514" s="1684"/>
      <c r="CI1514" s="1684"/>
      <c r="CJ1514" s="1684"/>
      <c r="CK1514" s="1684"/>
      <c r="CL1514" s="1684"/>
      <c r="CM1514" s="1684"/>
      <c r="CN1514" s="1684"/>
      <c r="CO1514" s="1684"/>
      <c r="CP1514" s="1391"/>
      <c r="CQ1514" s="1391"/>
      <c r="CR1514" s="1391"/>
      <c r="CS1514" s="1391"/>
      <c r="CT1514" s="1391"/>
      <c r="CU1514" s="1391"/>
      <c r="CV1514" s="1391"/>
      <c r="CW1514" s="1391"/>
      <c r="CX1514" s="1391"/>
      <c r="CY1514" s="1391"/>
      <c r="CZ1514" s="1391"/>
      <c r="DA1514" s="1391"/>
      <c r="DB1514" s="1391"/>
      <c r="DC1514" s="1391"/>
      <c r="DD1514" s="1391"/>
      <c r="DE1514" s="1391"/>
      <c r="DF1514" s="1391"/>
      <c r="DG1514" s="1391"/>
      <c r="DH1514" s="1391"/>
      <c r="DI1514" s="1391"/>
    </row>
    <row r="1515" spans="1:113" ht="15.75" x14ac:dyDescent="0.25">
      <c r="A1515" s="1684"/>
      <c r="B1515" s="1684"/>
      <c r="C1515" s="1684"/>
      <c r="D1515" s="1684"/>
      <c r="E1515" s="1684"/>
      <c r="F1515" s="1391"/>
      <c r="G1515" s="1405">
        <v>1.9</v>
      </c>
      <c r="H1515" s="1405">
        <v>25.8</v>
      </c>
      <c r="I1515" s="1391"/>
      <c r="J1515" s="1391"/>
      <c r="K1515" s="1417">
        <v>10</v>
      </c>
      <c r="L1515" s="1417">
        <v>12.06</v>
      </c>
      <c r="M1515" s="1417">
        <f t="shared" si="0"/>
        <v>1.206</v>
      </c>
      <c r="N1515" s="1417"/>
      <c r="O1515" s="1417"/>
      <c r="P1515" s="1417"/>
      <c r="Q1515" s="1417"/>
      <c r="R1515" s="1684"/>
      <c r="S1515" s="1684"/>
      <c r="T1515" s="1684"/>
      <c r="U1515" s="1684"/>
      <c r="V1515" s="1684"/>
      <c r="W1515" s="1684"/>
      <c r="X1515" s="1684"/>
      <c r="Y1515" s="1684"/>
      <c r="Z1515" s="1684"/>
      <c r="AA1515" s="1684"/>
      <c r="AB1515" s="1684"/>
      <c r="AC1515" s="1684"/>
      <c r="AD1515" s="1684"/>
      <c r="AE1515" s="1684"/>
      <c r="AF1515" s="1684"/>
      <c r="AG1515" s="1684"/>
      <c r="AH1515" s="1684"/>
      <c r="AI1515" s="1684"/>
      <c r="AJ1515" s="1684"/>
      <c r="AK1515" s="1684"/>
      <c r="AL1515" s="1684"/>
      <c r="AM1515" s="1684"/>
      <c r="AN1515" s="1684"/>
      <c r="AO1515" s="1684"/>
      <c r="AP1515" s="1684"/>
      <c r="AQ1515" s="1684"/>
      <c r="AR1515" s="1684"/>
      <c r="AS1515" s="1684"/>
      <c r="AT1515" s="1684"/>
      <c r="AU1515" s="1684"/>
      <c r="AV1515" s="1684"/>
      <c r="AW1515" s="1684"/>
      <c r="AX1515" s="1684"/>
      <c r="AY1515" s="1684"/>
      <c r="AZ1515" s="1684"/>
      <c r="BA1515" s="1684"/>
      <c r="BB1515" s="1684"/>
      <c r="BC1515" s="1684"/>
      <c r="BD1515" s="1684"/>
      <c r="BE1515" s="1684"/>
      <c r="BF1515" s="1684"/>
      <c r="BG1515" s="1684"/>
      <c r="BH1515" s="1684"/>
      <c r="BI1515" s="1684"/>
      <c r="BJ1515" s="1684"/>
      <c r="BK1515" s="1684"/>
      <c r="BL1515" s="1684"/>
      <c r="BM1515" s="1684"/>
      <c r="BN1515" s="1684"/>
      <c r="BO1515" s="1684"/>
      <c r="BP1515" s="1684"/>
      <c r="BQ1515" s="1684"/>
      <c r="BR1515" s="1684"/>
      <c r="BS1515" s="1684"/>
      <c r="BT1515" s="1684"/>
      <c r="BU1515" s="1684"/>
      <c r="BV1515" s="1684"/>
      <c r="BW1515" s="1684"/>
      <c r="BX1515" s="1684"/>
      <c r="BY1515" s="1684"/>
      <c r="BZ1515" s="1684"/>
      <c r="CA1515" s="1684"/>
      <c r="CB1515" s="1684"/>
      <c r="CC1515" s="1684"/>
      <c r="CD1515" s="1684"/>
      <c r="CE1515" s="1684"/>
      <c r="CF1515" s="1684"/>
      <c r="CG1515" s="1684"/>
      <c r="CH1515" s="1684"/>
      <c r="CI1515" s="1684"/>
      <c r="CJ1515" s="1684"/>
      <c r="CK1515" s="1684"/>
      <c r="CL1515" s="1684"/>
      <c r="CM1515" s="1684"/>
      <c r="CN1515" s="1684"/>
      <c r="CO1515" s="1684"/>
      <c r="CP1515" s="1391"/>
      <c r="CQ1515" s="1391"/>
      <c r="CR1515" s="1391"/>
      <c r="CS1515" s="1391"/>
      <c r="CT1515" s="1391"/>
      <c r="CU1515" s="1391"/>
      <c r="CV1515" s="1391"/>
      <c r="CW1515" s="1391"/>
      <c r="CX1515" s="1391"/>
      <c r="CY1515" s="1391"/>
      <c r="CZ1515" s="1391"/>
      <c r="DA1515" s="1391"/>
      <c r="DB1515" s="1391"/>
      <c r="DC1515" s="1391"/>
      <c r="DD1515" s="1391"/>
      <c r="DE1515" s="1391"/>
      <c r="DF1515" s="1391"/>
      <c r="DG1515" s="1391"/>
      <c r="DH1515" s="1391"/>
      <c r="DI1515" s="1391"/>
    </row>
    <row r="1516" spans="1:113" ht="15.75" x14ac:dyDescent="0.25">
      <c r="A1516" s="1684"/>
      <c r="B1516" s="1684"/>
      <c r="C1516" s="1684"/>
      <c r="D1516" s="1684"/>
      <c r="E1516" s="1684"/>
      <c r="F1516" s="1391"/>
      <c r="G1516" s="1405">
        <v>2</v>
      </c>
      <c r="H1516" s="1405">
        <v>25.8</v>
      </c>
      <c r="I1516" s="1391"/>
      <c r="J1516" s="1391"/>
      <c r="K1516" s="1417">
        <v>12</v>
      </c>
      <c r="L1516" s="1417">
        <v>14.04</v>
      </c>
      <c r="M1516" s="1417">
        <f t="shared" si="0"/>
        <v>1.17</v>
      </c>
      <c r="N1516" s="1417"/>
      <c r="O1516" s="1417"/>
      <c r="P1516" s="1417"/>
      <c r="Q1516" s="1417"/>
      <c r="R1516" s="1684"/>
      <c r="S1516" s="1684"/>
      <c r="T1516" s="1684"/>
      <c r="U1516" s="1684"/>
      <c r="V1516" s="1684"/>
      <c r="W1516" s="1684"/>
      <c r="X1516" s="1684"/>
      <c r="Y1516" s="1684"/>
      <c r="Z1516" s="1684"/>
      <c r="AA1516" s="1684"/>
      <c r="AB1516" s="1684"/>
      <c r="AC1516" s="1684"/>
      <c r="AD1516" s="1684"/>
      <c r="AE1516" s="1684"/>
      <c r="AF1516" s="1684"/>
      <c r="AG1516" s="1684"/>
      <c r="AH1516" s="1684"/>
      <c r="AI1516" s="1684"/>
      <c r="AJ1516" s="1684"/>
      <c r="AK1516" s="1684"/>
      <c r="AL1516" s="1684"/>
      <c r="AM1516" s="1684"/>
      <c r="AN1516" s="1684"/>
      <c r="AO1516" s="1684"/>
      <c r="AP1516" s="1684"/>
      <c r="AQ1516" s="1684"/>
      <c r="AR1516" s="1684"/>
      <c r="AS1516" s="1684"/>
      <c r="AT1516" s="1684"/>
      <c r="AU1516" s="1684"/>
      <c r="AV1516" s="1684"/>
      <c r="AW1516" s="1684"/>
      <c r="AX1516" s="1684"/>
      <c r="AY1516" s="1684"/>
      <c r="AZ1516" s="1684"/>
      <c r="BA1516" s="1684"/>
      <c r="BB1516" s="1684"/>
      <c r="BC1516" s="1684"/>
      <c r="BD1516" s="1684"/>
      <c r="BE1516" s="1684"/>
      <c r="BF1516" s="1684"/>
      <c r="BG1516" s="1684"/>
      <c r="BH1516" s="1684"/>
      <c r="BI1516" s="1684"/>
      <c r="BJ1516" s="1684"/>
      <c r="BK1516" s="1684"/>
      <c r="BL1516" s="1684"/>
      <c r="BM1516" s="1684"/>
      <c r="BN1516" s="1684"/>
      <c r="BO1516" s="1684"/>
      <c r="BP1516" s="1684"/>
      <c r="BQ1516" s="1684"/>
      <c r="BR1516" s="1684"/>
      <c r="BS1516" s="1684"/>
      <c r="BT1516" s="1684"/>
      <c r="BU1516" s="1684"/>
      <c r="BV1516" s="1684"/>
      <c r="BW1516" s="1684"/>
      <c r="BX1516" s="1684"/>
      <c r="BY1516" s="1684"/>
      <c r="BZ1516" s="1684"/>
      <c r="CA1516" s="1684"/>
      <c r="CB1516" s="1684"/>
      <c r="CC1516" s="1684"/>
      <c r="CD1516" s="1684"/>
      <c r="CE1516" s="1684"/>
      <c r="CF1516" s="1684"/>
      <c r="CG1516" s="1684"/>
      <c r="CH1516" s="1684"/>
      <c r="CI1516" s="1684"/>
      <c r="CJ1516" s="1684"/>
      <c r="CK1516" s="1684"/>
      <c r="CL1516" s="1684"/>
      <c r="CM1516" s="1684"/>
      <c r="CN1516" s="1684"/>
      <c r="CO1516" s="1684"/>
      <c r="CP1516" s="1391"/>
      <c r="CQ1516" s="1391"/>
      <c r="CR1516" s="1391"/>
      <c r="CS1516" s="1391"/>
      <c r="CT1516" s="1391"/>
      <c r="CU1516" s="1391"/>
      <c r="CV1516" s="1391"/>
      <c r="CW1516" s="1391"/>
      <c r="CX1516" s="1391"/>
      <c r="CY1516" s="1391"/>
      <c r="CZ1516" s="1391"/>
      <c r="DA1516" s="1391"/>
      <c r="DB1516" s="1391"/>
      <c r="DC1516" s="1391"/>
      <c r="DD1516" s="1391"/>
      <c r="DE1516" s="1391"/>
      <c r="DF1516" s="1391"/>
      <c r="DG1516" s="1391"/>
      <c r="DH1516" s="1391"/>
      <c r="DI1516" s="1391"/>
    </row>
    <row r="1517" spans="1:113" ht="15.75" x14ac:dyDescent="0.25">
      <c r="A1517" s="1684"/>
      <c r="B1517" s="1684"/>
      <c r="C1517" s="1684"/>
      <c r="D1517" s="1684"/>
      <c r="E1517" s="1684"/>
      <c r="F1517" s="1391"/>
      <c r="G1517" s="1405">
        <v>2.4</v>
      </c>
      <c r="H1517" s="1405">
        <v>28.4</v>
      </c>
      <c r="I1517" s="1391"/>
      <c r="J1517" s="1391"/>
      <c r="K1517" s="1417">
        <v>14</v>
      </c>
      <c r="L1517" s="1417">
        <v>15.4</v>
      </c>
      <c r="M1517" s="1417">
        <f t="shared" si="0"/>
        <v>1.1000000000000001</v>
      </c>
      <c r="N1517" s="1417"/>
      <c r="O1517" s="1417"/>
      <c r="P1517" s="1417"/>
      <c r="Q1517" s="1417"/>
      <c r="R1517" s="1684"/>
      <c r="S1517" s="1684"/>
      <c r="T1517" s="1684"/>
      <c r="U1517" s="1684"/>
      <c r="V1517" s="1684"/>
      <c r="W1517" s="1684"/>
      <c r="X1517" s="1684"/>
      <c r="Y1517" s="1684"/>
      <c r="Z1517" s="1684"/>
      <c r="AA1517" s="1684"/>
      <c r="AB1517" s="1684"/>
      <c r="AC1517" s="1684"/>
      <c r="AD1517" s="1684"/>
      <c r="AE1517" s="1684"/>
      <c r="AF1517" s="1684"/>
      <c r="AG1517" s="1684"/>
      <c r="AH1517" s="1684"/>
      <c r="AI1517" s="1684"/>
      <c r="AJ1517" s="1684"/>
      <c r="AK1517" s="1684"/>
      <c r="AL1517" s="1684"/>
      <c r="AM1517" s="1684"/>
      <c r="AN1517" s="1684"/>
      <c r="AO1517" s="1684"/>
      <c r="AP1517" s="1684"/>
      <c r="AQ1517" s="1684"/>
      <c r="AR1517" s="1684"/>
      <c r="AS1517" s="1684"/>
      <c r="AT1517" s="1684"/>
      <c r="AU1517" s="1684"/>
      <c r="AV1517" s="1684"/>
      <c r="AW1517" s="1684"/>
      <c r="AX1517" s="1684"/>
      <c r="AY1517" s="1684"/>
      <c r="AZ1517" s="1684"/>
      <c r="BA1517" s="1684"/>
      <c r="BB1517" s="1684"/>
      <c r="BC1517" s="1684"/>
      <c r="BD1517" s="1684"/>
      <c r="BE1517" s="1684"/>
      <c r="BF1517" s="1684"/>
      <c r="BG1517" s="1684"/>
      <c r="BH1517" s="1684"/>
      <c r="BI1517" s="1684"/>
      <c r="BJ1517" s="1684"/>
      <c r="BK1517" s="1684"/>
      <c r="BL1517" s="1684"/>
      <c r="BM1517" s="1684"/>
      <c r="BN1517" s="1684"/>
      <c r="BO1517" s="1684"/>
      <c r="BP1517" s="1684"/>
      <c r="BQ1517" s="1684"/>
      <c r="BR1517" s="1684"/>
      <c r="BS1517" s="1684"/>
      <c r="BT1517" s="1684"/>
      <c r="BU1517" s="1684"/>
      <c r="BV1517" s="1684"/>
      <c r="BW1517" s="1684"/>
      <c r="BX1517" s="1684"/>
      <c r="BY1517" s="1684"/>
      <c r="BZ1517" s="1684"/>
      <c r="CA1517" s="1684"/>
      <c r="CB1517" s="1684"/>
      <c r="CC1517" s="1684"/>
      <c r="CD1517" s="1684"/>
      <c r="CE1517" s="1684"/>
      <c r="CF1517" s="1684"/>
      <c r="CG1517" s="1684"/>
      <c r="CH1517" s="1684"/>
      <c r="CI1517" s="1684"/>
      <c r="CJ1517" s="1684"/>
      <c r="CK1517" s="1684"/>
      <c r="CL1517" s="1684"/>
      <c r="CM1517" s="1684"/>
      <c r="CN1517" s="1684"/>
      <c r="CO1517" s="1684"/>
      <c r="CP1517" s="1391"/>
      <c r="CQ1517" s="1391"/>
      <c r="CR1517" s="1391"/>
      <c r="CS1517" s="1391"/>
      <c r="CT1517" s="1391"/>
      <c r="CU1517" s="1391"/>
      <c r="CV1517" s="1391"/>
      <c r="CW1517" s="1391"/>
      <c r="CX1517" s="1391"/>
      <c r="CY1517" s="1391"/>
      <c r="CZ1517" s="1391"/>
      <c r="DA1517" s="1391"/>
      <c r="DB1517" s="1391"/>
      <c r="DC1517" s="1391"/>
      <c r="DD1517" s="1391"/>
      <c r="DE1517" s="1391"/>
      <c r="DF1517" s="1391"/>
      <c r="DG1517" s="1391"/>
      <c r="DH1517" s="1391"/>
      <c r="DI1517" s="1391"/>
    </row>
    <row r="1518" spans="1:113" ht="15.75" x14ac:dyDescent="0.25">
      <c r="A1518" s="1684"/>
      <c r="B1518" s="1684"/>
      <c r="C1518" s="1684"/>
      <c r="D1518" s="1684"/>
      <c r="E1518" s="1684"/>
      <c r="F1518" s="1391"/>
      <c r="G1518" s="1405">
        <v>2.6</v>
      </c>
      <c r="H1518" s="1405">
        <v>28.4</v>
      </c>
      <c r="I1518" s="1391"/>
      <c r="J1518" s="1391"/>
      <c r="K1518" s="1417">
        <v>16</v>
      </c>
      <c r="L1518" s="1417">
        <v>16.64</v>
      </c>
      <c r="M1518" s="1417">
        <f t="shared" si="0"/>
        <v>1.04</v>
      </c>
      <c r="N1518" s="1417"/>
      <c r="O1518" s="1417"/>
      <c r="P1518" s="1417"/>
      <c r="Q1518" s="1417"/>
      <c r="R1518" s="1684"/>
      <c r="S1518" s="1684"/>
      <c r="T1518" s="1684"/>
      <c r="U1518" s="1684"/>
      <c r="V1518" s="1684"/>
      <c r="W1518" s="1684"/>
      <c r="X1518" s="1684"/>
      <c r="Y1518" s="1684"/>
      <c r="Z1518" s="1684"/>
      <c r="AA1518" s="1684"/>
      <c r="AB1518" s="1684"/>
      <c r="AC1518" s="1684"/>
      <c r="AD1518" s="1684"/>
      <c r="AE1518" s="1684"/>
      <c r="AF1518" s="1684"/>
      <c r="AG1518" s="1684"/>
      <c r="AH1518" s="1684"/>
      <c r="AI1518" s="1684"/>
      <c r="AJ1518" s="1684"/>
      <c r="AK1518" s="1684"/>
      <c r="AL1518" s="1684"/>
      <c r="AM1518" s="1684"/>
      <c r="AN1518" s="1684"/>
      <c r="AO1518" s="1684"/>
      <c r="AP1518" s="1684"/>
      <c r="AQ1518" s="1684"/>
      <c r="AR1518" s="1684"/>
      <c r="AS1518" s="1684"/>
      <c r="AT1518" s="1684"/>
      <c r="AU1518" s="1684"/>
      <c r="AV1518" s="1684"/>
      <c r="AW1518" s="1684"/>
      <c r="AX1518" s="1684"/>
      <c r="AY1518" s="1684"/>
      <c r="AZ1518" s="1684"/>
      <c r="BA1518" s="1684"/>
      <c r="BB1518" s="1684"/>
      <c r="BC1518" s="1684"/>
      <c r="BD1518" s="1684"/>
      <c r="BE1518" s="1684"/>
      <c r="BF1518" s="1684"/>
      <c r="BG1518" s="1684"/>
      <c r="BH1518" s="1684"/>
      <c r="BI1518" s="1684"/>
      <c r="BJ1518" s="1684"/>
      <c r="BK1518" s="1684"/>
      <c r="BL1518" s="1684"/>
      <c r="BM1518" s="1684"/>
      <c r="BN1518" s="1684"/>
      <c r="BO1518" s="1684"/>
      <c r="BP1518" s="1684"/>
      <c r="BQ1518" s="1684"/>
      <c r="BR1518" s="1684"/>
      <c r="BS1518" s="1684"/>
      <c r="BT1518" s="1684"/>
      <c r="BU1518" s="1684"/>
      <c r="BV1518" s="1684"/>
      <c r="BW1518" s="1684"/>
      <c r="BX1518" s="1684"/>
      <c r="BY1518" s="1684"/>
      <c r="BZ1518" s="1684"/>
      <c r="CA1518" s="1684"/>
      <c r="CB1518" s="1684"/>
      <c r="CC1518" s="1684"/>
      <c r="CD1518" s="1684"/>
      <c r="CE1518" s="1684"/>
      <c r="CF1518" s="1684"/>
      <c r="CG1518" s="1684"/>
      <c r="CH1518" s="1684"/>
      <c r="CI1518" s="1684"/>
      <c r="CJ1518" s="1684"/>
      <c r="CK1518" s="1684"/>
      <c r="CL1518" s="1684"/>
      <c r="CM1518" s="1684"/>
      <c r="CN1518" s="1684"/>
      <c r="CO1518" s="1684"/>
      <c r="CP1518" s="1391"/>
      <c r="CQ1518" s="1391"/>
      <c r="CR1518" s="1391"/>
      <c r="CS1518" s="1391"/>
      <c r="CT1518" s="1391"/>
      <c r="CU1518" s="1391"/>
      <c r="CV1518" s="1391"/>
      <c r="CW1518" s="1391"/>
      <c r="CX1518" s="1391"/>
      <c r="CY1518" s="1391"/>
      <c r="CZ1518" s="1391"/>
      <c r="DA1518" s="1391"/>
      <c r="DB1518" s="1391"/>
      <c r="DC1518" s="1391"/>
      <c r="DD1518" s="1391"/>
      <c r="DE1518" s="1391"/>
      <c r="DF1518" s="1391"/>
      <c r="DG1518" s="1391"/>
      <c r="DH1518" s="1391"/>
      <c r="DI1518" s="1391"/>
    </row>
    <row r="1519" spans="1:113" ht="15.75" x14ac:dyDescent="0.25">
      <c r="A1519" s="1684"/>
      <c r="B1519" s="1684"/>
      <c r="C1519" s="1684"/>
      <c r="D1519" s="1684"/>
      <c r="E1519" s="1684"/>
      <c r="F1519" s="1391"/>
      <c r="G1519" s="1405">
        <v>3</v>
      </c>
      <c r="H1519" s="1405">
        <v>28.4</v>
      </c>
      <c r="I1519" s="1391"/>
      <c r="J1519" s="1391"/>
      <c r="K1519" s="1417">
        <v>18</v>
      </c>
      <c r="L1519" s="1417">
        <v>17.82</v>
      </c>
      <c r="M1519" s="1417">
        <f t="shared" si="0"/>
        <v>0.99</v>
      </c>
      <c r="N1519" s="1417"/>
      <c r="O1519" s="1417"/>
      <c r="P1519" s="1417"/>
      <c r="Q1519" s="1417"/>
      <c r="R1519" s="1684"/>
      <c r="S1519" s="1684"/>
      <c r="T1519" s="1684"/>
      <c r="U1519" s="1684"/>
      <c r="V1519" s="1684"/>
      <c r="W1519" s="1684"/>
      <c r="X1519" s="1684"/>
      <c r="Y1519" s="1684"/>
      <c r="Z1519" s="1684"/>
      <c r="AA1519" s="1684"/>
      <c r="AB1519" s="1684"/>
      <c r="AC1519" s="1684"/>
      <c r="AD1519" s="1684"/>
      <c r="AE1519" s="1684"/>
      <c r="AF1519" s="1684"/>
      <c r="AG1519" s="1684"/>
      <c r="AH1519" s="1684"/>
      <c r="AI1519" s="1684"/>
      <c r="AJ1519" s="1684"/>
      <c r="AK1519" s="1684"/>
      <c r="AL1519" s="1684"/>
      <c r="AM1519" s="1684"/>
      <c r="AN1519" s="1684"/>
      <c r="AO1519" s="1684"/>
      <c r="AP1519" s="1684"/>
      <c r="AQ1519" s="1684"/>
      <c r="AR1519" s="1684"/>
      <c r="AS1519" s="1684"/>
      <c r="AT1519" s="1684"/>
      <c r="AU1519" s="1684"/>
      <c r="AV1519" s="1684"/>
      <c r="AW1519" s="1684"/>
      <c r="AX1519" s="1684"/>
      <c r="AY1519" s="1684"/>
      <c r="AZ1519" s="1684"/>
      <c r="BA1519" s="1684"/>
      <c r="BB1519" s="1684"/>
      <c r="BC1519" s="1684"/>
      <c r="BD1519" s="1684"/>
      <c r="BE1519" s="1684"/>
      <c r="BF1519" s="1684"/>
      <c r="BG1519" s="1684"/>
      <c r="BH1519" s="1684"/>
      <c r="BI1519" s="1684"/>
      <c r="BJ1519" s="1684"/>
      <c r="BK1519" s="1684"/>
      <c r="BL1519" s="1684"/>
      <c r="BM1519" s="1684"/>
      <c r="BN1519" s="1684"/>
      <c r="BO1519" s="1684"/>
      <c r="BP1519" s="1684"/>
      <c r="BQ1519" s="1684"/>
      <c r="BR1519" s="1684"/>
      <c r="BS1519" s="1684"/>
      <c r="BT1519" s="1684"/>
      <c r="BU1519" s="1684"/>
      <c r="BV1519" s="1684"/>
      <c r="BW1519" s="1684"/>
      <c r="BX1519" s="1684"/>
      <c r="BY1519" s="1684"/>
      <c r="BZ1519" s="1684"/>
      <c r="CA1519" s="1684"/>
      <c r="CB1519" s="1684"/>
      <c r="CC1519" s="1684"/>
      <c r="CD1519" s="1684"/>
      <c r="CE1519" s="1684"/>
      <c r="CF1519" s="1684"/>
      <c r="CG1519" s="1684"/>
      <c r="CH1519" s="1684"/>
      <c r="CI1519" s="1684"/>
      <c r="CJ1519" s="1684"/>
      <c r="CK1519" s="1684"/>
      <c r="CL1519" s="1684"/>
      <c r="CM1519" s="1684"/>
      <c r="CN1519" s="1684"/>
      <c r="CO1519" s="1684"/>
      <c r="CP1519" s="1391"/>
      <c r="CQ1519" s="1391"/>
      <c r="CR1519" s="1391"/>
      <c r="CS1519" s="1391"/>
      <c r="CT1519" s="1391"/>
      <c r="CU1519" s="1391"/>
      <c r="CV1519" s="1391"/>
      <c r="CW1519" s="1391"/>
      <c r="CX1519" s="1391"/>
      <c r="CY1519" s="1391"/>
      <c r="CZ1519" s="1391"/>
      <c r="DA1519" s="1391"/>
      <c r="DB1519" s="1391"/>
      <c r="DC1519" s="1391"/>
      <c r="DD1519" s="1391"/>
      <c r="DE1519" s="1391"/>
      <c r="DF1519" s="1391"/>
      <c r="DG1519" s="1391"/>
      <c r="DH1519" s="1391"/>
      <c r="DI1519" s="1391"/>
    </row>
    <row r="1520" spans="1:113" ht="15.75" x14ac:dyDescent="0.25">
      <c r="A1520" s="1684"/>
      <c r="B1520" s="1684"/>
      <c r="C1520" s="1684"/>
      <c r="D1520" s="1684"/>
      <c r="E1520" s="1684"/>
      <c r="F1520" s="1391"/>
      <c r="G1520" s="1405">
        <v>3.5</v>
      </c>
      <c r="H1520" s="1405">
        <v>28.4</v>
      </c>
      <c r="I1520" s="1391"/>
      <c r="J1520" s="1391"/>
      <c r="K1520" s="1417"/>
      <c r="L1520" s="1417"/>
      <c r="M1520" s="1417">
        <f>SUM(M1512:M1519)</f>
        <v>10.255999999999998</v>
      </c>
      <c r="N1520" s="1417"/>
      <c r="O1520" s="1417"/>
      <c r="P1520" s="1417"/>
      <c r="Q1520" s="1417"/>
      <c r="R1520" s="1684"/>
      <c r="S1520" s="1684"/>
      <c r="T1520" s="1684"/>
      <c r="U1520" s="1684"/>
      <c r="V1520" s="1684"/>
      <c r="W1520" s="1684"/>
      <c r="X1520" s="1684"/>
      <c r="Y1520" s="1684"/>
      <c r="Z1520" s="1684"/>
      <c r="AA1520" s="1684"/>
      <c r="AB1520" s="1684"/>
      <c r="AC1520" s="1684"/>
      <c r="AD1520" s="1684"/>
      <c r="AE1520" s="1684"/>
      <c r="AF1520" s="1684"/>
      <c r="AG1520" s="1684"/>
      <c r="AH1520" s="1684"/>
      <c r="AI1520" s="1684"/>
      <c r="AJ1520" s="1684"/>
      <c r="AK1520" s="1684"/>
      <c r="AL1520" s="1684"/>
      <c r="AM1520" s="1684"/>
      <c r="AN1520" s="1684"/>
      <c r="AO1520" s="1684"/>
      <c r="AP1520" s="1684"/>
      <c r="AQ1520" s="1684"/>
      <c r="AR1520" s="1684"/>
      <c r="AS1520" s="1684"/>
      <c r="AT1520" s="1684"/>
      <c r="AU1520" s="1684"/>
      <c r="AV1520" s="1684"/>
      <c r="AW1520" s="1684"/>
      <c r="AX1520" s="1684"/>
      <c r="AY1520" s="1684"/>
      <c r="AZ1520" s="1684"/>
      <c r="BA1520" s="1684"/>
      <c r="BB1520" s="1684"/>
      <c r="BC1520" s="1684"/>
      <c r="BD1520" s="1684"/>
      <c r="BE1520" s="1684"/>
      <c r="BF1520" s="1684"/>
      <c r="BG1520" s="1684"/>
      <c r="BH1520" s="1684"/>
      <c r="BI1520" s="1684"/>
      <c r="BJ1520" s="1684"/>
      <c r="BK1520" s="1684"/>
      <c r="BL1520" s="1684"/>
      <c r="BM1520" s="1684"/>
      <c r="BN1520" s="1684"/>
      <c r="BO1520" s="1684"/>
      <c r="BP1520" s="1684"/>
      <c r="BQ1520" s="1684"/>
      <c r="BR1520" s="1684"/>
      <c r="BS1520" s="1684"/>
      <c r="BT1520" s="1684"/>
      <c r="BU1520" s="1684"/>
      <c r="BV1520" s="1684"/>
      <c r="BW1520" s="1684"/>
      <c r="BX1520" s="1684"/>
      <c r="BY1520" s="1684"/>
      <c r="BZ1520" s="1684"/>
      <c r="CA1520" s="1684"/>
      <c r="CB1520" s="1684"/>
      <c r="CC1520" s="1684"/>
      <c r="CD1520" s="1684"/>
      <c r="CE1520" s="1684"/>
      <c r="CF1520" s="1684"/>
      <c r="CG1520" s="1684"/>
      <c r="CH1520" s="1684"/>
      <c r="CI1520" s="1684"/>
      <c r="CJ1520" s="1684"/>
      <c r="CK1520" s="1684"/>
      <c r="CL1520" s="1684"/>
      <c r="CM1520" s="1684"/>
      <c r="CN1520" s="1684"/>
      <c r="CO1520" s="1684"/>
      <c r="CP1520" s="1391"/>
      <c r="CQ1520" s="1391"/>
      <c r="CR1520" s="1391"/>
      <c r="CS1520" s="1391"/>
      <c r="CT1520" s="1391"/>
      <c r="CU1520" s="1391"/>
      <c r="CV1520" s="1391"/>
      <c r="CW1520" s="1391"/>
      <c r="CX1520" s="1391"/>
      <c r="CY1520" s="1391"/>
      <c r="CZ1520" s="1391"/>
      <c r="DA1520" s="1391"/>
      <c r="DB1520" s="1391"/>
      <c r="DC1520" s="1391"/>
      <c r="DD1520" s="1391"/>
      <c r="DE1520" s="1391"/>
      <c r="DF1520" s="1391"/>
      <c r="DG1520" s="1391"/>
      <c r="DH1520" s="1391"/>
      <c r="DI1520" s="1391"/>
    </row>
    <row r="1521" spans="1:113" ht="15.75" x14ac:dyDescent="0.25">
      <c r="A1521" s="1684"/>
      <c r="B1521" s="1684"/>
      <c r="C1521" s="1684"/>
      <c r="D1521" s="1684"/>
      <c r="E1521" s="1684"/>
      <c r="F1521" s="1391"/>
      <c r="G1521" s="1391"/>
      <c r="H1521" s="1391"/>
      <c r="I1521" s="1391"/>
      <c r="J1521" s="1391"/>
      <c r="K1521" s="1417"/>
      <c r="L1521" s="1417"/>
      <c r="M1521" s="1417">
        <f>M1520/8</f>
        <v>1.2819999999999998</v>
      </c>
      <c r="N1521" s="1417"/>
      <c r="O1521" s="1417"/>
      <c r="P1521" s="1417"/>
      <c r="Q1521" s="1417"/>
      <c r="R1521" s="1684"/>
      <c r="S1521" s="1684"/>
      <c r="T1521" s="1684"/>
      <c r="U1521" s="1684"/>
      <c r="V1521" s="1684"/>
      <c r="W1521" s="1684"/>
      <c r="X1521" s="1684"/>
      <c r="Y1521" s="1684"/>
      <c r="Z1521" s="1684"/>
      <c r="AA1521" s="1684"/>
      <c r="AB1521" s="1684"/>
      <c r="AC1521" s="1684"/>
      <c r="AD1521" s="1684"/>
      <c r="AE1521" s="1684"/>
      <c r="AF1521" s="1684"/>
      <c r="AG1521" s="1684"/>
      <c r="AH1521" s="1684"/>
      <c r="AI1521" s="1684"/>
      <c r="AJ1521" s="1684"/>
      <c r="AK1521" s="1684"/>
      <c r="AL1521" s="1684"/>
      <c r="AM1521" s="1684"/>
      <c r="AN1521" s="1684"/>
      <c r="AO1521" s="1684"/>
      <c r="AP1521" s="1684"/>
      <c r="AQ1521" s="1684"/>
      <c r="AR1521" s="1684"/>
      <c r="AS1521" s="1684"/>
      <c r="AT1521" s="1684"/>
      <c r="AU1521" s="1684"/>
      <c r="AV1521" s="1684"/>
      <c r="AW1521" s="1684"/>
      <c r="AX1521" s="1684"/>
      <c r="AY1521" s="1684"/>
      <c r="AZ1521" s="1684"/>
      <c r="BA1521" s="1684"/>
      <c r="BB1521" s="1684"/>
      <c r="BC1521" s="1684"/>
      <c r="BD1521" s="1684"/>
      <c r="BE1521" s="1684"/>
      <c r="BF1521" s="1684"/>
      <c r="BG1521" s="1684"/>
      <c r="BH1521" s="1684"/>
      <c r="BI1521" s="1684"/>
      <c r="BJ1521" s="1684"/>
      <c r="BK1521" s="1684"/>
      <c r="BL1521" s="1684"/>
      <c r="BM1521" s="1684"/>
      <c r="BN1521" s="1684"/>
      <c r="BO1521" s="1684"/>
      <c r="BP1521" s="1684"/>
      <c r="BQ1521" s="1684"/>
      <c r="BR1521" s="1684"/>
      <c r="BS1521" s="1684"/>
      <c r="BT1521" s="1684"/>
      <c r="BU1521" s="1684"/>
      <c r="BV1521" s="1684"/>
      <c r="BW1521" s="1684"/>
      <c r="BX1521" s="1684"/>
      <c r="BY1521" s="1684"/>
      <c r="BZ1521" s="1684"/>
      <c r="CA1521" s="1684"/>
      <c r="CB1521" s="1684"/>
      <c r="CC1521" s="1684"/>
      <c r="CD1521" s="1684"/>
      <c r="CE1521" s="1684"/>
      <c r="CF1521" s="1684"/>
      <c r="CG1521" s="1684"/>
      <c r="CH1521" s="1684"/>
      <c r="CI1521" s="1684"/>
      <c r="CJ1521" s="1684"/>
      <c r="CK1521" s="1684"/>
      <c r="CL1521" s="1684"/>
      <c r="CM1521" s="1684"/>
      <c r="CN1521" s="1684"/>
      <c r="CO1521" s="1684"/>
      <c r="CP1521" s="1391"/>
      <c r="CQ1521" s="1391"/>
      <c r="CR1521" s="1391"/>
      <c r="CS1521" s="1391"/>
      <c r="CT1521" s="1391"/>
      <c r="CU1521" s="1391"/>
      <c r="CV1521" s="1391"/>
      <c r="CW1521" s="1391"/>
      <c r="CX1521" s="1391"/>
      <c r="CY1521" s="1391"/>
      <c r="CZ1521" s="1391"/>
      <c r="DA1521" s="1391"/>
      <c r="DB1521" s="1391"/>
      <c r="DC1521" s="1391"/>
      <c r="DD1521" s="1391"/>
      <c r="DE1521" s="1391"/>
      <c r="DF1521" s="1391"/>
      <c r="DG1521" s="1391"/>
      <c r="DH1521" s="1391"/>
      <c r="DI1521" s="1391"/>
    </row>
    <row r="1522" spans="1:113" ht="15" x14ac:dyDescent="0.2">
      <c r="A1522" s="1684"/>
      <c r="B1522" s="1684"/>
      <c r="C1522" s="1684"/>
      <c r="D1522" s="1684"/>
      <c r="E1522" s="1684"/>
      <c r="F1522" s="1391" t="s">
        <v>1465</v>
      </c>
      <c r="G1522" s="1391"/>
      <c r="H1522" s="1391"/>
      <c r="I1522" s="1391"/>
      <c r="J1522" s="1391"/>
      <c r="K1522" s="1684"/>
      <c r="L1522" s="1684"/>
      <c r="M1522" s="1684"/>
      <c r="N1522" s="1684"/>
      <c r="O1522" s="1684"/>
      <c r="P1522" s="1684"/>
      <c r="Q1522" s="1684"/>
      <c r="R1522" s="1684"/>
      <c r="S1522" s="1684"/>
      <c r="T1522" s="1684"/>
      <c r="U1522" s="1684"/>
      <c r="V1522" s="1684"/>
      <c r="W1522" s="1684"/>
      <c r="X1522" s="1684"/>
      <c r="Y1522" s="1684"/>
      <c r="Z1522" s="1684"/>
      <c r="AA1522" s="1684"/>
      <c r="AB1522" s="1684"/>
      <c r="AC1522" s="1684"/>
      <c r="AD1522" s="1684"/>
      <c r="AE1522" s="1684"/>
      <c r="AF1522" s="1684"/>
      <c r="AG1522" s="1684"/>
      <c r="AH1522" s="1684"/>
      <c r="AI1522" s="1684"/>
      <c r="AJ1522" s="1684"/>
      <c r="AK1522" s="1684"/>
      <c r="AL1522" s="1684"/>
      <c r="AM1522" s="1684"/>
      <c r="AN1522" s="1684"/>
      <c r="AO1522" s="1684"/>
      <c r="AP1522" s="1684"/>
      <c r="AQ1522" s="1684"/>
      <c r="AR1522" s="1684"/>
      <c r="AS1522" s="1684"/>
      <c r="AT1522" s="1684"/>
      <c r="AU1522" s="1684"/>
      <c r="AV1522" s="1684"/>
      <c r="AW1522" s="1684"/>
      <c r="AX1522" s="1684"/>
      <c r="AY1522" s="1684"/>
      <c r="AZ1522" s="1684"/>
      <c r="BA1522" s="1684"/>
      <c r="BB1522" s="1684"/>
      <c r="BC1522" s="1684"/>
      <c r="BD1522" s="1684"/>
      <c r="BE1522" s="1684"/>
      <c r="BF1522" s="1684"/>
      <c r="BG1522" s="1684"/>
      <c r="BH1522" s="1684"/>
      <c r="BI1522" s="1684"/>
      <c r="BJ1522" s="1684"/>
      <c r="BK1522" s="1684"/>
      <c r="BL1522" s="1684"/>
      <c r="BM1522" s="1684"/>
      <c r="BN1522" s="1684"/>
      <c r="BO1522" s="1684"/>
      <c r="BP1522" s="1684"/>
      <c r="BQ1522" s="1684"/>
      <c r="BR1522" s="1684"/>
      <c r="BS1522" s="1684"/>
      <c r="BT1522" s="1684"/>
      <c r="BU1522" s="1684"/>
      <c r="BV1522" s="1684"/>
      <c r="BW1522" s="1684"/>
      <c r="BX1522" s="1684"/>
      <c r="BY1522" s="1684"/>
      <c r="BZ1522" s="1684"/>
      <c r="CA1522" s="1684"/>
      <c r="CB1522" s="1684"/>
      <c r="CC1522" s="1684"/>
      <c r="CD1522" s="1684"/>
      <c r="CE1522" s="1684"/>
      <c r="CF1522" s="1684"/>
      <c r="CG1522" s="1684"/>
      <c r="CH1522" s="1684"/>
      <c r="CI1522" s="1684"/>
      <c r="CJ1522" s="1684"/>
      <c r="CK1522" s="1684"/>
      <c r="CL1522" s="1684"/>
      <c r="CM1522" s="1684"/>
      <c r="CN1522" s="1684"/>
      <c r="CO1522" s="1684"/>
      <c r="CP1522" s="1391"/>
      <c r="CQ1522" s="1391"/>
      <c r="CR1522" s="1391"/>
      <c r="CS1522" s="1391"/>
      <c r="CT1522" s="1391"/>
      <c r="CU1522" s="1391"/>
      <c r="CV1522" s="1391"/>
      <c r="CW1522" s="1391"/>
      <c r="CX1522" s="1391"/>
      <c r="CY1522" s="1391"/>
      <c r="CZ1522" s="1391"/>
      <c r="DA1522" s="1391"/>
      <c r="DB1522" s="1391"/>
      <c r="DC1522" s="1391"/>
      <c r="DD1522" s="1391"/>
      <c r="DE1522" s="1391"/>
      <c r="DF1522" s="1391"/>
      <c r="DG1522" s="1391"/>
      <c r="DH1522" s="1391"/>
      <c r="DI1522" s="1391"/>
    </row>
    <row r="1523" spans="1:113" ht="15" x14ac:dyDescent="0.2">
      <c r="A1523" s="1684"/>
      <c r="B1523" s="1684"/>
      <c r="C1523" s="1684"/>
      <c r="D1523" s="1684"/>
      <c r="E1523" s="1684"/>
      <c r="F1523" s="1391" t="s">
        <v>1466</v>
      </c>
      <c r="G1523" s="1391"/>
      <c r="H1523" s="1391"/>
      <c r="I1523" s="1391"/>
      <c r="J1523" s="1391"/>
      <c r="K1523" s="1684"/>
      <c r="L1523" s="1684"/>
      <c r="M1523" s="1684"/>
      <c r="N1523" s="1684"/>
      <c r="O1523" s="1684"/>
      <c r="P1523" s="1684"/>
      <c r="Q1523" s="1684"/>
      <c r="R1523" s="1684"/>
      <c r="S1523" s="1684"/>
      <c r="T1523" s="1684"/>
      <c r="U1523" s="1684"/>
      <c r="V1523" s="1684"/>
      <c r="W1523" s="1684"/>
      <c r="X1523" s="1684"/>
      <c r="Y1523" s="1684"/>
      <c r="Z1523" s="1684"/>
      <c r="AA1523" s="1684"/>
      <c r="AB1523" s="1684"/>
      <c r="AC1523" s="1684"/>
      <c r="AD1523" s="1684"/>
      <c r="AE1523" s="1684"/>
      <c r="AF1523" s="1684"/>
      <c r="AG1523" s="1684"/>
      <c r="AH1523" s="1684"/>
      <c r="AI1523" s="1684"/>
      <c r="AJ1523" s="1684"/>
      <c r="AK1523" s="1684"/>
      <c r="AL1523" s="1684"/>
      <c r="AM1523" s="1684"/>
      <c r="AN1523" s="1684"/>
      <c r="AO1523" s="1684"/>
      <c r="AP1523" s="1684"/>
      <c r="AQ1523" s="1684"/>
      <c r="AR1523" s="1684"/>
      <c r="AS1523" s="1684"/>
      <c r="AT1523" s="1684"/>
      <c r="AU1523" s="1684"/>
      <c r="AV1523" s="1684"/>
      <c r="AW1523" s="1684"/>
      <c r="AX1523" s="1684"/>
      <c r="AY1523" s="1684"/>
      <c r="AZ1523" s="1684"/>
      <c r="BA1523" s="1684"/>
      <c r="BB1523" s="1684"/>
      <c r="BC1523" s="1684"/>
      <c r="BD1523" s="1684"/>
      <c r="BE1523" s="1684"/>
      <c r="BF1523" s="1684"/>
      <c r="BG1523" s="1684"/>
      <c r="BH1523" s="1684"/>
      <c r="BI1523" s="1684"/>
      <c r="BJ1523" s="1684"/>
      <c r="BK1523" s="1684"/>
      <c r="BL1523" s="1684"/>
      <c r="BM1523" s="1684"/>
      <c r="BN1523" s="1684"/>
      <c r="BO1523" s="1684"/>
      <c r="BP1523" s="1684"/>
      <c r="BQ1523" s="1684"/>
      <c r="BR1523" s="1684"/>
      <c r="BS1523" s="1684"/>
      <c r="BT1523" s="1684"/>
      <c r="BU1523" s="1684"/>
      <c r="BV1523" s="1684"/>
      <c r="BW1523" s="1684"/>
      <c r="BX1523" s="1684"/>
      <c r="BY1523" s="1684"/>
      <c r="BZ1523" s="1684"/>
      <c r="CA1523" s="1684"/>
      <c r="CB1523" s="1684"/>
      <c r="CC1523" s="1684"/>
      <c r="CD1523" s="1684"/>
      <c r="CE1523" s="1684"/>
      <c r="CF1523" s="1684"/>
      <c r="CG1523" s="1684"/>
      <c r="CH1523" s="1684"/>
      <c r="CI1523" s="1684"/>
      <c r="CJ1523" s="1684"/>
      <c r="CK1523" s="1684"/>
      <c r="CL1523" s="1684"/>
      <c r="CM1523" s="1684"/>
      <c r="CN1523" s="1684"/>
      <c r="CO1523" s="1684"/>
      <c r="CP1523" s="1391"/>
      <c r="CQ1523" s="1391"/>
      <c r="CR1523" s="1391"/>
      <c r="CS1523" s="1391"/>
      <c r="CT1523" s="1391"/>
      <c r="CU1523" s="1391"/>
      <c r="CV1523" s="1391"/>
      <c r="CW1523" s="1391"/>
      <c r="CX1523" s="1391"/>
      <c r="CY1523" s="1391"/>
      <c r="CZ1523" s="1391"/>
      <c r="DA1523" s="1391"/>
      <c r="DB1523" s="1391"/>
      <c r="DC1523" s="1391"/>
      <c r="DD1523" s="1391"/>
      <c r="DE1523" s="1391"/>
      <c r="DF1523" s="1391"/>
      <c r="DG1523" s="1391"/>
      <c r="DH1523" s="1391"/>
      <c r="DI1523" s="1391"/>
    </row>
    <row r="1524" spans="1:113" ht="15" x14ac:dyDescent="0.2">
      <c r="A1524" s="1684"/>
      <c r="B1524" s="1684"/>
      <c r="C1524" s="1684"/>
      <c r="D1524" s="1684"/>
      <c r="E1524" s="1684"/>
      <c r="F1524" s="1391" t="s">
        <v>1467</v>
      </c>
      <c r="G1524" s="1391"/>
      <c r="H1524" s="1391"/>
      <c r="I1524" s="1391"/>
      <c r="J1524" s="1391"/>
      <c r="K1524" s="1684"/>
      <c r="L1524" s="1684"/>
      <c r="M1524" s="1684"/>
      <c r="N1524" s="1684"/>
      <c r="O1524" s="1684"/>
      <c r="P1524" s="1684"/>
      <c r="Q1524" s="1684"/>
      <c r="R1524" s="1684"/>
      <c r="S1524" s="1684"/>
      <c r="T1524" s="1684"/>
      <c r="U1524" s="1684"/>
      <c r="V1524" s="1684"/>
      <c r="W1524" s="1684"/>
      <c r="X1524" s="1684"/>
      <c r="Y1524" s="1684"/>
      <c r="Z1524" s="1684"/>
      <c r="AA1524" s="1684"/>
      <c r="AB1524" s="1684"/>
      <c r="AC1524" s="1684"/>
      <c r="AD1524" s="1684"/>
      <c r="AE1524" s="1684"/>
      <c r="AF1524" s="1684"/>
      <c r="AG1524" s="1684"/>
      <c r="AH1524" s="1684"/>
      <c r="AI1524" s="1684"/>
      <c r="AJ1524" s="1684"/>
      <c r="AK1524" s="1684"/>
      <c r="AL1524" s="1684"/>
      <c r="AM1524" s="1684"/>
      <c r="AN1524" s="1684"/>
      <c r="AO1524" s="1684"/>
      <c r="AP1524" s="1684"/>
      <c r="AQ1524" s="1684"/>
      <c r="AR1524" s="1684"/>
      <c r="AS1524" s="1684"/>
      <c r="AT1524" s="1684"/>
      <c r="AU1524" s="1684"/>
      <c r="AV1524" s="1684"/>
      <c r="AW1524" s="1684"/>
      <c r="AX1524" s="1684"/>
      <c r="AY1524" s="1684"/>
      <c r="AZ1524" s="1684"/>
      <c r="BA1524" s="1684"/>
      <c r="BB1524" s="1684"/>
      <c r="BC1524" s="1684"/>
      <c r="BD1524" s="1684"/>
      <c r="BE1524" s="1684"/>
      <c r="BF1524" s="1684"/>
      <c r="BG1524" s="1684"/>
      <c r="BH1524" s="1684"/>
      <c r="BI1524" s="1684"/>
      <c r="BJ1524" s="1684"/>
      <c r="BK1524" s="1684"/>
      <c r="BL1524" s="1684"/>
      <c r="BM1524" s="1684"/>
      <c r="BN1524" s="1684"/>
      <c r="BO1524" s="1684"/>
      <c r="BP1524" s="1684"/>
      <c r="BQ1524" s="1684"/>
      <c r="BR1524" s="1684"/>
      <c r="BS1524" s="1684"/>
      <c r="BT1524" s="1684"/>
      <c r="BU1524" s="1684"/>
      <c r="BV1524" s="1684"/>
      <c r="BW1524" s="1684"/>
      <c r="BX1524" s="1684"/>
      <c r="BY1524" s="1684"/>
      <c r="BZ1524" s="1684"/>
      <c r="CA1524" s="1684"/>
      <c r="CB1524" s="1684"/>
      <c r="CC1524" s="1684"/>
      <c r="CD1524" s="1684"/>
      <c r="CE1524" s="1684"/>
      <c r="CF1524" s="1684"/>
      <c r="CG1524" s="1684"/>
      <c r="CH1524" s="1684"/>
      <c r="CI1524" s="1684"/>
      <c r="CJ1524" s="1684"/>
      <c r="CK1524" s="1684"/>
      <c r="CL1524" s="1684"/>
      <c r="CM1524" s="1684"/>
      <c r="CN1524" s="1684"/>
      <c r="CO1524" s="1684"/>
      <c r="CP1524" s="1391"/>
      <c r="CQ1524" s="1391"/>
      <c r="CR1524" s="1391"/>
      <c r="CS1524" s="1391"/>
      <c r="CT1524" s="1391"/>
      <c r="CU1524" s="1391"/>
      <c r="CV1524" s="1391"/>
      <c r="CW1524" s="1391"/>
      <c r="CX1524" s="1391"/>
      <c r="CY1524" s="1391"/>
      <c r="CZ1524" s="1391"/>
      <c r="DA1524" s="1391"/>
      <c r="DB1524" s="1391"/>
      <c r="DC1524" s="1391"/>
      <c r="DD1524" s="1391"/>
      <c r="DE1524" s="1391"/>
      <c r="DF1524" s="1391"/>
      <c r="DG1524" s="1391"/>
      <c r="DH1524" s="1391"/>
      <c r="DI1524" s="1391"/>
    </row>
    <row r="1525" spans="1:113" ht="15" x14ac:dyDescent="0.2">
      <c r="A1525" s="1684"/>
      <c r="B1525" s="1684"/>
      <c r="C1525" s="1684"/>
      <c r="D1525" s="1684"/>
      <c r="E1525" s="1684"/>
      <c r="F1525" s="1405" t="s">
        <v>1468</v>
      </c>
      <c r="G1525" s="1405"/>
      <c r="H1525" s="1391"/>
      <c r="I1525" s="1391"/>
      <c r="J1525" s="1391"/>
      <c r="K1525" s="1684"/>
      <c r="L1525" s="1684"/>
      <c r="M1525" s="1684"/>
      <c r="N1525" s="1684"/>
      <c r="O1525" s="1684"/>
      <c r="P1525" s="1684"/>
      <c r="Q1525" s="1684"/>
      <c r="R1525" s="1684"/>
      <c r="S1525" s="1684"/>
      <c r="T1525" s="1684"/>
      <c r="U1525" s="1684"/>
      <c r="V1525" s="1684"/>
      <c r="W1525" s="1684"/>
      <c r="X1525" s="1684"/>
      <c r="Y1525" s="1684"/>
      <c r="Z1525" s="1684"/>
      <c r="AA1525" s="1684"/>
      <c r="AB1525" s="1684"/>
      <c r="AC1525" s="1684"/>
      <c r="AD1525" s="1684"/>
      <c r="AE1525" s="1684"/>
      <c r="AF1525" s="1684"/>
      <c r="AG1525" s="1684"/>
      <c r="AH1525" s="1684"/>
      <c r="AI1525" s="1684"/>
      <c r="AJ1525" s="1684"/>
      <c r="AK1525" s="1684"/>
      <c r="AL1525" s="1684"/>
      <c r="AM1525" s="1684"/>
      <c r="AN1525" s="1684"/>
      <c r="AO1525" s="1684"/>
      <c r="AP1525" s="1684"/>
      <c r="AQ1525" s="1684"/>
      <c r="AR1525" s="1684"/>
      <c r="AS1525" s="1684"/>
      <c r="AT1525" s="1684"/>
      <c r="AU1525" s="1684"/>
      <c r="AV1525" s="1684"/>
      <c r="AW1525" s="1684"/>
      <c r="AX1525" s="1684"/>
      <c r="AY1525" s="1684"/>
      <c r="AZ1525" s="1684"/>
      <c r="BA1525" s="1684"/>
      <c r="BB1525" s="1684"/>
      <c r="BC1525" s="1684"/>
      <c r="BD1525" s="1684"/>
      <c r="BE1525" s="1684"/>
      <c r="BF1525" s="1684"/>
      <c r="BG1525" s="1684"/>
      <c r="BH1525" s="1684"/>
      <c r="BI1525" s="1684"/>
      <c r="BJ1525" s="1684"/>
      <c r="BK1525" s="1684"/>
      <c r="BL1525" s="1684"/>
      <c r="BM1525" s="1684"/>
      <c r="BN1525" s="1684"/>
      <c r="BO1525" s="1684"/>
      <c r="BP1525" s="1684"/>
      <c r="BQ1525" s="1684"/>
      <c r="BR1525" s="1684"/>
      <c r="BS1525" s="1684"/>
      <c r="BT1525" s="1684"/>
      <c r="BU1525" s="1684"/>
      <c r="BV1525" s="1684"/>
      <c r="BW1525" s="1684"/>
      <c r="BX1525" s="1684"/>
      <c r="BY1525" s="1684"/>
      <c r="BZ1525" s="1684"/>
      <c r="CA1525" s="1684"/>
      <c r="CB1525" s="1684"/>
      <c r="CC1525" s="1684"/>
      <c r="CD1525" s="1684"/>
      <c r="CE1525" s="1684"/>
      <c r="CF1525" s="1684"/>
      <c r="CG1525" s="1684"/>
      <c r="CH1525" s="1684"/>
      <c r="CI1525" s="1684"/>
      <c r="CJ1525" s="1684"/>
      <c r="CK1525" s="1684"/>
      <c r="CL1525" s="1684"/>
      <c r="CM1525" s="1684"/>
      <c r="CN1525" s="1684"/>
      <c r="CO1525" s="1684"/>
      <c r="CP1525" s="1391"/>
      <c r="CQ1525" s="1391"/>
      <c r="CR1525" s="1391"/>
      <c r="CS1525" s="1391"/>
      <c r="CT1525" s="1391"/>
      <c r="CU1525" s="1391"/>
      <c r="CV1525" s="1391"/>
      <c r="CW1525" s="1391"/>
      <c r="CX1525" s="1391"/>
      <c r="CY1525" s="1391"/>
      <c r="CZ1525" s="1391"/>
      <c r="DA1525" s="1391"/>
      <c r="DB1525" s="1391"/>
      <c r="DC1525" s="1391"/>
      <c r="DD1525" s="1391"/>
      <c r="DE1525" s="1391"/>
      <c r="DF1525" s="1391"/>
      <c r="DG1525" s="1391"/>
      <c r="DH1525" s="1391"/>
      <c r="DI1525" s="1391"/>
    </row>
    <row r="1526" spans="1:113" ht="15" x14ac:dyDescent="0.2">
      <c r="A1526" s="1684"/>
      <c r="B1526" s="1684"/>
      <c r="C1526" s="1684"/>
      <c r="D1526" s="1684"/>
      <c r="E1526" s="1684"/>
      <c r="F1526" s="1405" t="s">
        <v>1469</v>
      </c>
      <c r="G1526" s="1405"/>
      <c r="H1526" s="1391"/>
      <c r="I1526" s="1391"/>
      <c r="J1526" s="1391"/>
      <c r="K1526" s="1684"/>
      <c r="L1526" s="1684"/>
      <c r="M1526" s="1684"/>
      <c r="N1526" s="1684"/>
      <c r="O1526" s="1684"/>
      <c r="P1526" s="1684"/>
      <c r="Q1526" s="1684"/>
      <c r="R1526" s="1684"/>
      <c r="S1526" s="1684"/>
      <c r="T1526" s="1684"/>
      <c r="U1526" s="1684"/>
      <c r="V1526" s="1684"/>
      <c r="W1526" s="1684"/>
      <c r="X1526" s="1684"/>
      <c r="Y1526" s="1684"/>
      <c r="Z1526" s="1684"/>
      <c r="AA1526" s="1684"/>
      <c r="AB1526" s="1684"/>
      <c r="AC1526" s="1684"/>
      <c r="AD1526" s="1684"/>
      <c r="AE1526" s="1684"/>
      <c r="AF1526" s="1684"/>
      <c r="AG1526" s="1684"/>
      <c r="AH1526" s="1684"/>
      <c r="AI1526" s="1684"/>
      <c r="AJ1526" s="1684"/>
      <c r="AK1526" s="1684"/>
      <c r="AL1526" s="1684"/>
      <c r="AM1526" s="1684"/>
      <c r="AN1526" s="1684"/>
      <c r="AO1526" s="1684"/>
      <c r="AP1526" s="1684"/>
      <c r="AQ1526" s="1684"/>
      <c r="AR1526" s="1684"/>
      <c r="AS1526" s="1684"/>
      <c r="AT1526" s="1684"/>
      <c r="AU1526" s="1684"/>
      <c r="AV1526" s="1684"/>
      <c r="AW1526" s="1684"/>
      <c r="AX1526" s="1684"/>
      <c r="AY1526" s="1684"/>
      <c r="AZ1526" s="1684"/>
      <c r="BA1526" s="1684"/>
      <c r="BB1526" s="1684"/>
      <c r="BC1526" s="1684"/>
      <c r="BD1526" s="1684"/>
      <c r="BE1526" s="1684"/>
      <c r="BF1526" s="1684"/>
      <c r="BG1526" s="1684"/>
      <c r="BH1526" s="1684"/>
      <c r="BI1526" s="1684"/>
      <c r="BJ1526" s="1684"/>
      <c r="BK1526" s="1684"/>
      <c r="BL1526" s="1684"/>
      <c r="BM1526" s="1684"/>
      <c r="BN1526" s="1684"/>
      <c r="BO1526" s="1684"/>
      <c r="BP1526" s="1684"/>
      <c r="BQ1526" s="1684"/>
      <c r="BR1526" s="1684"/>
      <c r="BS1526" s="1684"/>
      <c r="BT1526" s="1684"/>
      <c r="BU1526" s="1684"/>
      <c r="BV1526" s="1684"/>
      <c r="BW1526" s="1684"/>
      <c r="BX1526" s="1684"/>
      <c r="BY1526" s="1684"/>
      <c r="BZ1526" s="1684"/>
      <c r="CA1526" s="1684"/>
      <c r="CB1526" s="1684"/>
      <c r="CC1526" s="1684"/>
      <c r="CD1526" s="1684"/>
      <c r="CE1526" s="1684"/>
      <c r="CF1526" s="1684"/>
      <c r="CG1526" s="1684"/>
      <c r="CH1526" s="1684"/>
      <c r="CI1526" s="1684"/>
      <c r="CJ1526" s="1684"/>
      <c r="CK1526" s="1684"/>
      <c r="CL1526" s="1684"/>
      <c r="CM1526" s="1684"/>
      <c r="CN1526" s="1684"/>
      <c r="CO1526" s="1684"/>
      <c r="CP1526" s="1391"/>
      <c r="CQ1526" s="1391"/>
      <c r="CR1526" s="1391"/>
      <c r="CS1526" s="1391"/>
      <c r="CT1526" s="1391"/>
      <c r="CU1526" s="1391"/>
      <c r="CV1526" s="1391"/>
      <c r="CW1526" s="1391"/>
      <c r="CX1526" s="1391"/>
      <c r="CY1526" s="1391"/>
      <c r="CZ1526" s="1391"/>
      <c r="DA1526" s="1391"/>
      <c r="DB1526" s="1391"/>
      <c r="DC1526" s="1391"/>
      <c r="DD1526" s="1391"/>
      <c r="DE1526" s="1391"/>
      <c r="DF1526" s="1391"/>
      <c r="DG1526" s="1391"/>
      <c r="DH1526" s="1391"/>
      <c r="DI1526" s="1391"/>
    </row>
    <row r="1527" spans="1:113" ht="15" x14ac:dyDescent="0.2">
      <c r="A1527" s="1684"/>
      <c r="B1527" s="1684"/>
      <c r="C1527" s="1684"/>
      <c r="D1527" s="1684"/>
      <c r="E1527" s="1684"/>
      <c r="F1527" s="1405" t="s">
        <v>1470</v>
      </c>
      <c r="G1527" s="1405"/>
      <c r="H1527" s="1391"/>
      <c r="I1527" s="1391"/>
      <c r="J1527" s="1391"/>
      <c r="K1527" s="1684"/>
      <c r="L1527" s="1684"/>
      <c r="M1527" s="1684"/>
      <c r="N1527" s="1684"/>
      <c r="O1527" s="1684"/>
      <c r="P1527" s="1684"/>
      <c r="Q1527" s="1684"/>
      <c r="R1527" s="1684"/>
      <c r="S1527" s="1684"/>
      <c r="T1527" s="1684"/>
      <c r="U1527" s="1684"/>
      <c r="V1527" s="1684"/>
      <c r="W1527" s="1684"/>
      <c r="X1527" s="1684"/>
      <c r="Y1527" s="1684"/>
      <c r="Z1527" s="1684"/>
      <c r="AA1527" s="1684"/>
      <c r="AB1527" s="1684"/>
      <c r="AC1527" s="1684"/>
      <c r="AD1527" s="1684"/>
      <c r="AE1527" s="1684"/>
      <c r="AF1527" s="1684"/>
      <c r="AG1527" s="1684"/>
      <c r="AH1527" s="1684"/>
      <c r="AI1527" s="1684"/>
      <c r="AJ1527" s="1684"/>
      <c r="AK1527" s="1684"/>
      <c r="AL1527" s="1684"/>
      <c r="AM1527" s="1684"/>
      <c r="AN1527" s="1684"/>
      <c r="AO1527" s="1684"/>
      <c r="AP1527" s="1684"/>
      <c r="AQ1527" s="1684"/>
      <c r="AR1527" s="1684"/>
      <c r="AS1527" s="1684"/>
      <c r="AT1527" s="1684"/>
      <c r="AU1527" s="1684"/>
      <c r="AV1527" s="1684"/>
      <c r="AW1527" s="1684"/>
      <c r="AX1527" s="1684"/>
      <c r="AY1527" s="1684"/>
      <c r="AZ1527" s="1684"/>
      <c r="BA1527" s="1684"/>
      <c r="BB1527" s="1684"/>
      <c r="BC1527" s="1684"/>
      <c r="BD1527" s="1684"/>
      <c r="BE1527" s="1684"/>
      <c r="BF1527" s="1684"/>
      <c r="BG1527" s="1684"/>
      <c r="BH1527" s="1684"/>
      <c r="BI1527" s="1684"/>
      <c r="BJ1527" s="1684"/>
      <c r="BK1527" s="1684"/>
      <c r="BL1527" s="1684"/>
      <c r="BM1527" s="1684"/>
      <c r="BN1527" s="1684"/>
      <c r="BO1527" s="1684"/>
      <c r="BP1527" s="1684"/>
      <c r="BQ1527" s="1684"/>
      <c r="BR1527" s="1684"/>
      <c r="BS1527" s="1684"/>
      <c r="BT1527" s="1684"/>
      <c r="BU1527" s="1684"/>
      <c r="BV1527" s="1684"/>
      <c r="BW1527" s="1684"/>
      <c r="BX1527" s="1684"/>
      <c r="BY1527" s="1684"/>
      <c r="BZ1527" s="1684"/>
      <c r="CA1527" s="1684"/>
      <c r="CB1527" s="1684"/>
      <c r="CC1527" s="1684"/>
      <c r="CD1527" s="1684"/>
      <c r="CE1527" s="1684"/>
      <c r="CF1527" s="1684"/>
      <c r="CG1527" s="1684"/>
      <c r="CH1527" s="1684"/>
      <c r="CI1527" s="1684"/>
      <c r="CJ1527" s="1684"/>
      <c r="CK1527" s="1684"/>
      <c r="CL1527" s="1684"/>
      <c r="CM1527" s="1684"/>
      <c r="CN1527" s="1684"/>
      <c r="CO1527" s="1684"/>
      <c r="CP1527" s="1391"/>
      <c r="CQ1527" s="1391"/>
      <c r="CR1527" s="1391"/>
      <c r="CS1527" s="1391"/>
      <c r="CT1527" s="1391"/>
      <c r="CU1527" s="1391"/>
      <c r="CV1527" s="1391"/>
      <c r="CW1527" s="1391"/>
      <c r="CX1527" s="1391"/>
      <c r="CY1527" s="1391"/>
      <c r="CZ1527" s="1391"/>
      <c r="DA1527" s="1391"/>
      <c r="DB1527" s="1391"/>
      <c r="DC1527" s="1391"/>
      <c r="DD1527" s="1391"/>
      <c r="DE1527" s="1391"/>
      <c r="DF1527" s="1391"/>
      <c r="DG1527" s="1391"/>
      <c r="DH1527" s="1391"/>
      <c r="DI1527" s="1391"/>
    </row>
    <row r="1528" spans="1:113" ht="15" x14ac:dyDescent="0.2">
      <c r="A1528" s="1684"/>
      <c r="B1528" s="1684"/>
      <c r="C1528" s="1684"/>
      <c r="D1528" s="1684"/>
      <c r="E1528" s="1684"/>
      <c r="F1528" s="1405" t="s">
        <v>1471</v>
      </c>
      <c r="G1528" s="1391" t="s">
        <v>1472</v>
      </c>
      <c r="H1528" s="1391" t="s">
        <v>1473</v>
      </c>
      <c r="I1528" s="1391"/>
      <c r="J1528" s="1391"/>
      <c r="K1528" s="1684"/>
      <c r="L1528" s="1684"/>
      <c r="M1528" s="1684"/>
      <c r="N1528" s="1684"/>
      <c r="O1528" s="1684"/>
      <c r="P1528" s="1684"/>
      <c r="Q1528" s="1684"/>
      <c r="R1528" s="1684"/>
      <c r="S1528" s="1684"/>
      <c r="T1528" s="1684"/>
      <c r="U1528" s="1684"/>
      <c r="V1528" s="1684"/>
      <c r="W1528" s="1684"/>
      <c r="X1528" s="1684"/>
      <c r="Y1528" s="1684"/>
      <c r="Z1528" s="1684"/>
      <c r="AA1528" s="1684"/>
      <c r="AB1528" s="1684"/>
      <c r="AC1528" s="1684"/>
      <c r="AD1528" s="1684"/>
      <c r="AE1528" s="1684"/>
      <c r="AF1528" s="1684"/>
      <c r="AG1528" s="1684"/>
      <c r="AH1528" s="1684"/>
      <c r="AI1528" s="1684"/>
      <c r="AJ1528" s="1684"/>
      <c r="AK1528" s="1684"/>
      <c r="AL1528" s="1684"/>
      <c r="AM1528" s="1684"/>
      <c r="AN1528" s="1684"/>
      <c r="AO1528" s="1684"/>
      <c r="AP1528" s="1684"/>
      <c r="AQ1528" s="1684"/>
      <c r="AR1528" s="1684"/>
      <c r="AS1528" s="1684"/>
      <c r="AT1528" s="1684"/>
      <c r="AU1528" s="1684"/>
      <c r="AV1528" s="1684"/>
      <c r="AW1528" s="1684"/>
      <c r="AX1528" s="1684"/>
      <c r="AY1528" s="1684"/>
      <c r="AZ1528" s="1684"/>
      <c r="BA1528" s="1684"/>
      <c r="BB1528" s="1684"/>
      <c r="BC1528" s="1684"/>
      <c r="BD1528" s="1684"/>
      <c r="BE1528" s="1684"/>
      <c r="BF1528" s="1684"/>
      <c r="BG1528" s="1684"/>
      <c r="BH1528" s="1684"/>
      <c r="BI1528" s="1684"/>
      <c r="BJ1528" s="1684"/>
      <c r="BK1528" s="1684"/>
      <c r="BL1528" s="1684"/>
      <c r="BM1528" s="1684"/>
      <c r="BN1528" s="1684"/>
      <c r="BO1528" s="1684"/>
      <c r="BP1528" s="1684"/>
      <c r="BQ1528" s="1684"/>
      <c r="BR1528" s="1684"/>
      <c r="BS1528" s="1684"/>
      <c r="BT1528" s="1684"/>
      <c r="BU1528" s="1684"/>
      <c r="BV1528" s="1684"/>
      <c r="BW1528" s="1684"/>
      <c r="BX1528" s="1684"/>
      <c r="BY1528" s="1684"/>
      <c r="BZ1528" s="1684"/>
      <c r="CA1528" s="1684"/>
      <c r="CB1528" s="1684"/>
      <c r="CC1528" s="1684"/>
      <c r="CD1528" s="1684"/>
      <c r="CE1528" s="1684"/>
      <c r="CF1528" s="1684"/>
      <c r="CG1528" s="1684"/>
      <c r="CH1528" s="1684"/>
      <c r="CI1528" s="1684"/>
      <c r="CJ1528" s="1684"/>
      <c r="CK1528" s="1684"/>
      <c r="CL1528" s="1684"/>
      <c r="CM1528" s="1684"/>
      <c r="CN1528" s="1684"/>
      <c r="CO1528" s="1684"/>
      <c r="CP1528" s="1391"/>
      <c r="CQ1528" s="1391"/>
      <c r="CR1528" s="1391"/>
      <c r="CS1528" s="1391"/>
      <c r="CT1528" s="1391"/>
      <c r="CU1528" s="1391"/>
      <c r="CV1528" s="1391"/>
      <c r="CW1528" s="1391"/>
      <c r="CX1528" s="1391"/>
      <c r="CY1528" s="1391"/>
      <c r="CZ1528" s="1391"/>
      <c r="DA1528" s="1391"/>
      <c r="DB1528" s="1391"/>
      <c r="DC1528" s="1391"/>
      <c r="DD1528" s="1391"/>
      <c r="DE1528" s="1391"/>
      <c r="DF1528" s="1391"/>
      <c r="DG1528" s="1391"/>
      <c r="DH1528" s="1391"/>
      <c r="DI1528" s="1391"/>
    </row>
    <row r="1529" spans="1:113" ht="15" x14ac:dyDescent="0.2">
      <c r="A1529" s="1684"/>
      <c r="B1529" s="1684"/>
      <c r="C1529" s="1684"/>
      <c r="D1529" s="1684"/>
      <c r="E1529" s="1684"/>
      <c r="F1529" s="1405" t="s">
        <v>1474</v>
      </c>
      <c r="G1529" s="1391" t="s">
        <v>1475</v>
      </c>
      <c r="H1529" s="1391" t="s">
        <v>1476</v>
      </c>
      <c r="I1529" s="1391"/>
      <c r="J1529" s="1391"/>
      <c r="K1529" s="1684"/>
      <c r="L1529" s="1684"/>
      <c r="M1529" s="1684"/>
      <c r="N1529" s="1684"/>
      <c r="O1529" s="1684"/>
      <c r="P1529" s="1684"/>
      <c r="Q1529" s="1684"/>
      <c r="R1529" s="1684"/>
      <c r="S1529" s="1684"/>
      <c r="T1529" s="1684"/>
      <c r="U1529" s="1684"/>
      <c r="V1529" s="1684"/>
      <c r="W1529" s="1684"/>
      <c r="X1529" s="1684"/>
      <c r="Y1529" s="1684"/>
      <c r="Z1529" s="1684"/>
      <c r="AA1529" s="1684"/>
      <c r="AB1529" s="1684"/>
      <c r="AC1529" s="1684"/>
      <c r="AD1529" s="1684"/>
      <c r="AE1529" s="1684"/>
      <c r="AF1529" s="1684"/>
      <c r="AG1529" s="1684"/>
      <c r="AH1529" s="1684"/>
      <c r="AI1529" s="1684"/>
      <c r="AJ1529" s="1684"/>
      <c r="AK1529" s="1684"/>
      <c r="AL1529" s="1684"/>
      <c r="AM1529" s="1684"/>
      <c r="AN1529" s="1684"/>
      <c r="AO1529" s="1684"/>
      <c r="AP1529" s="1684"/>
      <c r="AQ1529" s="1684"/>
      <c r="AR1529" s="1684"/>
      <c r="AS1529" s="1684"/>
      <c r="AT1529" s="1684"/>
      <c r="AU1529" s="1684"/>
      <c r="AV1529" s="1684"/>
      <c r="AW1529" s="1684"/>
      <c r="AX1529" s="1684"/>
      <c r="AY1529" s="1684"/>
      <c r="AZ1529" s="1684"/>
      <c r="BA1529" s="1684"/>
      <c r="BB1529" s="1684"/>
      <c r="BC1529" s="1684"/>
      <c r="BD1529" s="1684"/>
      <c r="BE1529" s="1684"/>
      <c r="BF1529" s="1684"/>
      <c r="BG1529" s="1684"/>
      <c r="BH1529" s="1684"/>
      <c r="BI1529" s="1684"/>
      <c r="BJ1529" s="1684"/>
      <c r="BK1529" s="1684"/>
      <c r="BL1529" s="1684"/>
      <c r="BM1529" s="1684"/>
      <c r="BN1529" s="1684"/>
      <c r="BO1529" s="1684"/>
      <c r="BP1529" s="1684"/>
      <c r="BQ1529" s="1684"/>
      <c r="BR1529" s="1684"/>
      <c r="BS1529" s="1684"/>
      <c r="BT1529" s="1684"/>
      <c r="BU1529" s="1684"/>
      <c r="BV1529" s="1684"/>
      <c r="BW1529" s="1684"/>
      <c r="BX1529" s="1684"/>
      <c r="BY1529" s="1684"/>
      <c r="BZ1529" s="1684"/>
      <c r="CA1529" s="1684"/>
      <c r="CB1529" s="1684"/>
      <c r="CC1529" s="1684"/>
      <c r="CD1529" s="1684"/>
      <c r="CE1529" s="1684"/>
      <c r="CF1529" s="1684"/>
      <c r="CG1529" s="1684"/>
      <c r="CH1529" s="1684"/>
      <c r="CI1529" s="1684"/>
      <c r="CJ1529" s="1684"/>
      <c r="CK1529" s="1684"/>
      <c r="CL1529" s="1684"/>
      <c r="CM1529" s="1684"/>
      <c r="CN1529" s="1684"/>
      <c r="CO1529" s="1684"/>
      <c r="CP1529" s="1391"/>
      <c r="CQ1529" s="1391"/>
      <c r="CR1529" s="1391"/>
      <c r="CS1529" s="1391"/>
      <c r="CT1529" s="1391"/>
      <c r="CU1529" s="1391"/>
      <c r="CV1529" s="1391"/>
      <c r="CW1529" s="1391"/>
      <c r="CX1529" s="1391"/>
      <c r="CY1529" s="1391"/>
      <c r="CZ1529" s="1391"/>
      <c r="DA1529" s="1391"/>
      <c r="DB1529" s="1391"/>
      <c r="DC1529" s="1391"/>
      <c r="DD1529" s="1391"/>
      <c r="DE1529" s="1391"/>
      <c r="DF1529" s="1391"/>
      <c r="DG1529" s="1391"/>
      <c r="DH1529" s="1391"/>
      <c r="DI1529" s="1391"/>
    </row>
    <row r="1530" spans="1:113" ht="15" x14ac:dyDescent="0.2">
      <c r="A1530" s="1684"/>
      <c r="B1530" s="1684"/>
      <c r="C1530" s="1684"/>
      <c r="D1530" s="1684"/>
      <c r="E1530" s="1684"/>
      <c r="F1530" s="1391"/>
      <c r="G1530" s="1391"/>
      <c r="H1530" s="1391"/>
      <c r="I1530" s="1391"/>
      <c r="J1530" s="1391"/>
      <c r="K1530" s="1684"/>
      <c r="L1530" s="1684"/>
      <c r="M1530" s="1684"/>
      <c r="N1530" s="1684"/>
      <c r="O1530" s="1684"/>
      <c r="P1530" s="1684"/>
      <c r="Q1530" s="1684"/>
      <c r="R1530" s="1684"/>
      <c r="S1530" s="1684"/>
      <c r="T1530" s="1684"/>
      <c r="U1530" s="1684"/>
      <c r="V1530" s="1684"/>
      <c r="W1530" s="1684"/>
      <c r="X1530" s="1684"/>
      <c r="Y1530" s="1684"/>
      <c r="Z1530" s="1684"/>
      <c r="AA1530" s="1684"/>
      <c r="AB1530" s="1684"/>
      <c r="AC1530" s="1684"/>
      <c r="AD1530" s="1684"/>
      <c r="AE1530" s="1684"/>
      <c r="AF1530" s="1684"/>
      <c r="AG1530" s="1684"/>
      <c r="AH1530" s="1684"/>
      <c r="AI1530" s="1684"/>
      <c r="AJ1530" s="1684"/>
      <c r="AK1530" s="1684"/>
      <c r="AL1530" s="1684"/>
      <c r="AM1530" s="1684"/>
      <c r="AN1530" s="1684"/>
      <c r="AO1530" s="1684"/>
      <c r="AP1530" s="1684"/>
      <c r="AQ1530" s="1684"/>
      <c r="AR1530" s="1684"/>
      <c r="AS1530" s="1684"/>
      <c r="AT1530" s="1684"/>
      <c r="AU1530" s="1684"/>
      <c r="AV1530" s="1684"/>
      <c r="AW1530" s="1684"/>
      <c r="AX1530" s="1684"/>
      <c r="AY1530" s="1684"/>
      <c r="AZ1530" s="1684"/>
      <c r="BA1530" s="1684"/>
      <c r="BB1530" s="1684"/>
      <c r="BC1530" s="1684"/>
      <c r="BD1530" s="1684"/>
      <c r="BE1530" s="1684"/>
      <c r="BF1530" s="1684"/>
      <c r="BG1530" s="1684"/>
      <c r="BH1530" s="1684"/>
      <c r="BI1530" s="1684"/>
      <c r="BJ1530" s="1684"/>
      <c r="BK1530" s="1684"/>
      <c r="BL1530" s="1684"/>
      <c r="BM1530" s="1684"/>
      <c r="BN1530" s="1684"/>
      <c r="BO1530" s="1684"/>
      <c r="BP1530" s="1684"/>
      <c r="BQ1530" s="1684"/>
      <c r="BR1530" s="1684"/>
      <c r="BS1530" s="1684"/>
      <c r="BT1530" s="1684"/>
      <c r="BU1530" s="1684"/>
      <c r="BV1530" s="1684"/>
      <c r="BW1530" s="1684"/>
      <c r="BX1530" s="1684"/>
      <c r="BY1530" s="1684"/>
      <c r="BZ1530" s="1684"/>
      <c r="CA1530" s="1684"/>
      <c r="CB1530" s="1684"/>
      <c r="CC1530" s="1684"/>
      <c r="CD1530" s="1684"/>
      <c r="CE1530" s="1684"/>
      <c r="CF1530" s="1684"/>
      <c r="CG1530" s="1684"/>
      <c r="CH1530" s="1684"/>
      <c r="CI1530" s="1684"/>
      <c r="CJ1530" s="1684"/>
      <c r="CK1530" s="1684"/>
      <c r="CL1530" s="1684"/>
      <c r="CM1530" s="1684"/>
      <c r="CN1530" s="1684"/>
      <c r="CO1530" s="1684"/>
      <c r="CP1530" s="1391"/>
      <c r="CQ1530" s="1391"/>
      <c r="CR1530" s="1391"/>
      <c r="CS1530" s="1391"/>
      <c r="CT1530" s="1391"/>
      <c r="CU1530" s="1391"/>
      <c r="CV1530" s="1391"/>
      <c r="CW1530" s="1391"/>
      <c r="CX1530" s="1391"/>
      <c r="CY1530" s="1391"/>
      <c r="CZ1530" s="1391"/>
      <c r="DA1530" s="1391"/>
      <c r="DB1530" s="1391"/>
      <c r="DC1530" s="1391"/>
      <c r="DD1530" s="1391"/>
      <c r="DE1530" s="1391"/>
      <c r="DF1530" s="1391"/>
      <c r="DG1530" s="1391"/>
      <c r="DH1530" s="1391"/>
      <c r="DI1530" s="1391"/>
    </row>
    <row r="1531" spans="1:113" ht="15" x14ac:dyDescent="0.2">
      <c r="A1531" s="1684"/>
      <c r="B1531" s="1391" t="s">
        <v>1477</v>
      </c>
      <c r="C1531" s="1405"/>
      <c r="D1531" s="1405"/>
      <c r="E1531" s="1391"/>
      <c r="F1531" s="1391"/>
      <c r="G1531" s="1391"/>
      <c r="H1531" s="1391"/>
      <c r="I1531" s="1391"/>
      <c r="J1531" s="1391"/>
      <c r="K1531" s="1684"/>
      <c r="L1531" s="1684"/>
      <c r="M1531" s="1684"/>
      <c r="N1531" s="1684"/>
      <c r="O1531" s="1684"/>
      <c r="P1531" s="1684"/>
      <c r="Q1531" s="1684"/>
      <c r="R1531" s="1684"/>
      <c r="S1531" s="1684"/>
      <c r="T1531" s="1684"/>
      <c r="U1531" s="1684"/>
      <c r="V1531" s="1684"/>
      <c r="W1531" s="1684"/>
      <c r="X1531" s="1684"/>
      <c r="Y1531" s="1684"/>
      <c r="Z1531" s="1684"/>
      <c r="AA1531" s="1684"/>
      <c r="AB1531" s="1684"/>
      <c r="AC1531" s="1684"/>
      <c r="AD1531" s="1684"/>
      <c r="AE1531" s="1684"/>
      <c r="AF1531" s="1684"/>
      <c r="AG1531" s="1684"/>
      <c r="AH1531" s="1684"/>
      <c r="AI1531" s="1684"/>
      <c r="AJ1531" s="1684"/>
      <c r="AK1531" s="1684"/>
      <c r="AL1531" s="1684"/>
      <c r="AM1531" s="1684"/>
      <c r="AN1531" s="1684"/>
      <c r="AO1531" s="1684"/>
      <c r="AP1531" s="1684"/>
      <c r="AQ1531" s="1684"/>
      <c r="AR1531" s="1684"/>
      <c r="AS1531" s="1684"/>
      <c r="AT1531" s="1684"/>
      <c r="AU1531" s="1684"/>
      <c r="AV1531" s="1684"/>
      <c r="AW1531" s="1684"/>
      <c r="AX1531" s="1684"/>
      <c r="AY1531" s="1684"/>
      <c r="AZ1531" s="1684"/>
      <c r="BA1531" s="1684"/>
      <c r="BB1531" s="1684"/>
      <c r="BC1531" s="1684"/>
      <c r="BD1531" s="1684"/>
      <c r="BE1531" s="1684"/>
      <c r="BF1531" s="1684"/>
      <c r="BG1531" s="1684"/>
      <c r="BH1531" s="1684"/>
      <c r="BI1531" s="1684"/>
      <c r="BJ1531" s="1684"/>
      <c r="BK1531" s="1684"/>
      <c r="BL1531" s="1684"/>
      <c r="BM1531" s="1684"/>
      <c r="BN1531" s="1684"/>
      <c r="BO1531" s="1684"/>
      <c r="BP1531" s="1684"/>
      <c r="BQ1531" s="1684"/>
      <c r="BR1531" s="1684"/>
      <c r="BS1531" s="1684"/>
      <c r="BT1531" s="1684"/>
      <c r="BU1531" s="1684"/>
      <c r="BV1531" s="1684"/>
      <c r="BW1531" s="1684"/>
      <c r="BX1531" s="1684"/>
      <c r="BY1531" s="1684"/>
      <c r="BZ1531" s="1684"/>
      <c r="CA1531" s="1684"/>
      <c r="CB1531" s="1684"/>
      <c r="CC1531" s="1684"/>
      <c r="CD1531" s="1684"/>
      <c r="CE1531" s="1684"/>
      <c r="CF1531" s="1684"/>
      <c r="CG1531" s="1684"/>
      <c r="CH1531" s="1684"/>
      <c r="CI1531" s="1684"/>
      <c r="CJ1531" s="1684"/>
      <c r="CK1531" s="1684"/>
      <c r="CL1531" s="1684"/>
      <c r="CM1531" s="1684"/>
      <c r="CN1531" s="1684"/>
      <c r="CO1531" s="1684"/>
      <c r="CP1531" s="1391"/>
      <c r="CQ1531" s="1391"/>
      <c r="CR1531" s="1391"/>
      <c r="CS1531" s="1391"/>
      <c r="CT1531" s="1391"/>
      <c r="CU1531" s="1391"/>
      <c r="CV1531" s="1391"/>
      <c r="CW1531" s="1391"/>
      <c r="CX1531" s="1391"/>
      <c r="CY1531" s="1391"/>
      <c r="CZ1531" s="1391"/>
      <c r="DA1531" s="1391"/>
      <c r="DB1531" s="1391"/>
      <c r="DC1531" s="1391"/>
      <c r="DD1531" s="1391"/>
      <c r="DE1531" s="1391"/>
      <c r="DF1531" s="1391"/>
      <c r="DG1531" s="1391"/>
      <c r="DH1531" s="1391"/>
      <c r="DI1531" s="1391"/>
    </row>
    <row r="1532" spans="1:113" ht="15" x14ac:dyDescent="0.2">
      <c r="A1532" s="1684"/>
      <c r="B1532" s="1391" t="s">
        <v>1478</v>
      </c>
      <c r="C1532" s="1405"/>
      <c r="D1532" s="1405"/>
      <c r="E1532" s="1391"/>
      <c r="F1532" s="1391"/>
      <c r="G1532" s="1391"/>
      <c r="H1532" s="1391"/>
      <c r="I1532" s="1391"/>
      <c r="J1532" s="1391"/>
      <c r="K1532" s="1684"/>
      <c r="L1532" s="1684"/>
      <c r="M1532" s="1684"/>
      <c r="N1532" s="1684"/>
      <c r="O1532" s="1684"/>
      <c r="P1532" s="1684"/>
      <c r="Q1532" s="1684"/>
      <c r="R1532" s="1684"/>
      <c r="S1532" s="1684"/>
      <c r="T1532" s="1684"/>
      <c r="U1532" s="1684"/>
      <c r="V1532" s="1684"/>
      <c r="W1532" s="1684"/>
      <c r="X1532" s="1684"/>
      <c r="Y1532" s="1684"/>
      <c r="Z1532" s="1684"/>
      <c r="AA1532" s="1684"/>
      <c r="AB1532" s="1684"/>
      <c r="AC1532" s="1684"/>
      <c r="AD1532" s="1684"/>
      <c r="AE1532" s="1684"/>
      <c r="AF1532" s="1684"/>
      <c r="AG1532" s="1684"/>
      <c r="AH1532" s="1684"/>
      <c r="AI1532" s="1684"/>
      <c r="AJ1532" s="1684"/>
      <c r="AK1532" s="1684"/>
      <c r="AL1532" s="1684"/>
      <c r="AM1532" s="1684"/>
      <c r="AN1532" s="1684"/>
      <c r="AO1532" s="1684"/>
      <c r="AP1532" s="1684"/>
      <c r="AQ1532" s="1684"/>
      <c r="AR1532" s="1684"/>
      <c r="AS1532" s="1684"/>
      <c r="AT1532" s="1684"/>
      <c r="AU1532" s="1684"/>
      <c r="AV1532" s="1684"/>
      <c r="AW1532" s="1684"/>
      <c r="AX1532" s="1684"/>
      <c r="AY1532" s="1684"/>
      <c r="AZ1532" s="1684"/>
      <c r="BA1532" s="1684"/>
      <c r="BB1532" s="1684"/>
      <c r="BC1532" s="1684"/>
      <c r="BD1532" s="1684"/>
      <c r="BE1532" s="1684"/>
      <c r="BF1532" s="1684"/>
      <c r="BG1532" s="1684"/>
      <c r="BH1532" s="1684"/>
      <c r="BI1532" s="1684"/>
      <c r="BJ1532" s="1684"/>
      <c r="BK1532" s="1684"/>
      <c r="BL1532" s="1684"/>
      <c r="BM1532" s="1684"/>
      <c r="BN1532" s="1684"/>
      <c r="BO1532" s="1684"/>
      <c r="BP1532" s="1684"/>
      <c r="BQ1532" s="1684"/>
      <c r="BR1532" s="1684"/>
      <c r="BS1532" s="1684"/>
      <c r="BT1532" s="1684"/>
      <c r="BU1532" s="1684"/>
      <c r="BV1532" s="1684"/>
      <c r="BW1532" s="1684"/>
      <c r="BX1532" s="1684"/>
      <c r="BY1532" s="1684"/>
      <c r="BZ1532" s="1684"/>
      <c r="CA1532" s="1684"/>
      <c r="CB1532" s="1684"/>
      <c r="CC1532" s="1684"/>
      <c r="CD1532" s="1684"/>
      <c r="CE1532" s="1684"/>
      <c r="CF1532" s="1684"/>
      <c r="CG1532" s="1684"/>
      <c r="CH1532" s="1684"/>
      <c r="CI1532" s="1684"/>
      <c r="CJ1532" s="1684"/>
      <c r="CK1532" s="1684"/>
      <c r="CL1532" s="1684"/>
      <c r="CM1532" s="1684"/>
      <c r="CN1532" s="1684"/>
      <c r="CO1532" s="1684"/>
      <c r="CP1532" s="1391"/>
      <c r="CQ1532" s="1391"/>
      <c r="CR1532" s="1391"/>
      <c r="CS1532" s="1391"/>
      <c r="CT1532" s="1391"/>
      <c r="CU1532" s="1391"/>
      <c r="CV1532" s="1391"/>
      <c r="CW1532" s="1391"/>
      <c r="CX1532" s="1391"/>
      <c r="CY1532" s="1391"/>
      <c r="CZ1532" s="1391"/>
      <c r="DA1532" s="1391"/>
      <c r="DB1532" s="1391"/>
      <c r="DC1532" s="1391"/>
      <c r="DD1532" s="1391"/>
      <c r="DE1532" s="1391"/>
      <c r="DF1532" s="1391"/>
      <c r="DG1532" s="1391"/>
      <c r="DH1532" s="1391"/>
      <c r="DI1532" s="1391"/>
    </row>
    <row r="1533" spans="1:113" ht="15" x14ac:dyDescent="0.2">
      <c r="A1533" s="1684"/>
      <c r="B1533" s="1391" t="s">
        <v>1479</v>
      </c>
      <c r="C1533" s="1405"/>
      <c r="D1533" s="1391" t="s">
        <v>1480</v>
      </c>
      <c r="E1533" s="1391" t="s">
        <v>1481</v>
      </c>
      <c r="F1533" s="1391"/>
      <c r="G1533" s="1391"/>
      <c r="H1533" s="1391"/>
      <c r="I1533" s="1391"/>
      <c r="J1533" s="1391"/>
      <c r="K1533" s="1684"/>
      <c r="L1533" s="1684"/>
      <c r="M1533" s="1684"/>
      <c r="N1533" s="1684"/>
      <c r="O1533" s="1684"/>
      <c r="P1533" s="1684"/>
      <c r="Q1533" s="1684"/>
      <c r="R1533" s="1684"/>
      <c r="S1533" s="1684"/>
      <c r="T1533" s="1684"/>
      <c r="U1533" s="1684"/>
      <c r="V1533" s="1684"/>
      <c r="W1533" s="1684"/>
      <c r="X1533" s="1684"/>
      <c r="Y1533" s="1684"/>
      <c r="Z1533" s="1684"/>
      <c r="AA1533" s="1684"/>
      <c r="AB1533" s="1684"/>
      <c r="AC1533" s="1684"/>
      <c r="AD1533" s="1684"/>
      <c r="AE1533" s="1684"/>
      <c r="AF1533" s="1684"/>
      <c r="AG1533" s="1684"/>
      <c r="AH1533" s="1684"/>
      <c r="AI1533" s="1684"/>
      <c r="AJ1533" s="1684"/>
      <c r="AK1533" s="1684"/>
      <c r="AL1533" s="1684"/>
      <c r="AM1533" s="1684"/>
      <c r="AN1533" s="1684"/>
      <c r="AO1533" s="1684"/>
      <c r="AP1533" s="1684"/>
      <c r="AQ1533" s="1684"/>
      <c r="AR1533" s="1684"/>
      <c r="AS1533" s="1684"/>
      <c r="AT1533" s="1684"/>
      <c r="AU1533" s="1684"/>
      <c r="AV1533" s="1684"/>
      <c r="AW1533" s="1684"/>
      <c r="AX1533" s="1684"/>
      <c r="AY1533" s="1684"/>
      <c r="AZ1533" s="1684"/>
      <c r="BA1533" s="1684"/>
      <c r="BB1533" s="1684"/>
      <c r="BC1533" s="1684"/>
      <c r="BD1533" s="1684"/>
      <c r="BE1533" s="1684"/>
      <c r="BF1533" s="1684"/>
      <c r="BG1533" s="1684"/>
      <c r="BH1533" s="1684"/>
      <c r="BI1533" s="1684"/>
      <c r="BJ1533" s="1684"/>
      <c r="BK1533" s="1684"/>
      <c r="BL1533" s="1684"/>
      <c r="BM1533" s="1684"/>
      <c r="BN1533" s="1684"/>
      <c r="BO1533" s="1684"/>
      <c r="BP1533" s="1684"/>
      <c r="BQ1533" s="1684"/>
      <c r="BR1533" s="1684"/>
      <c r="BS1533" s="1684"/>
      <c r="BT1533" s="1684"/>
      <c r="BU1533" s="1684"/>
      <c r="BV1533" s="1684"/>
      <c r="BW1533" s="1684"/>
      <c r="BX1533" s="1684"/>
      <c r="BY1533" s="1684"/>
      <c r="BZ1533" s="1684"/>
      <c r="CA1533" s="1684"/>
      <c r="CB1533" s="1684"/>
      <c r="CC1533" s="1684"/>
      <c r="CD1533" s="1684"/>
      <c r="CE1533" s="1684"/>
      <c r="CF1533" s="1684"/>
      <c r="CG1533" s="1684"/>
      <c r="CH1533" s="1684"/>
      <c r="CI1533" s="1684"/>
      <c r="CJ1533" s="1684"/>
      <c r="CK1533" s="1684"/>
      <c r="CL1533" s="1684"/>
      <c r="CM1533" s="1684"/>
      <c r="CN1533" s="1684"/>
      <c r="CO1533" s="1684"/>
      <c r="CP1533" s="1391"/>
      <c r="CQ1533" s="1391"/>
      <c r="CR1533" s="1391"/>
      <c r="CS1533" s="1391"/>
      <c r="CT1533" s="1391"/>
      <c r="CU1533" s="1391"/>
      <c r="CV1533" s="1391"/>
      <c r="CW1533" s="1391"/>
      <c r="CX1533" s="1391"/>
      <c r="CY1533" s="1391"/>
      <c r="CZ1533" s="1391"/>
      <c r="DA1533" s="1391"/>
      <c r="DB1533" s="1391"/>
      <c r="DC1533" s="1391"/>
      <c r="DD1533" s="1391"/>
      <c r="DE1533" s="1391"/>
      <c r="DF1533" s="1391"/>
      <c r="DG1533" s="1391"/>
      <c r="DH1533" s="1391"/>
      <c r="DI1533" s="1391"/>
    </row>
    <row r="1534" spans="1:113" ht="15" x14ac:dyDescent="0.2">
      <c r="A1534" s="1684"/>
      <c r="B1534" s="1391" t="s">
        <v>1482</v>
      </c>
      <c r="C1534" s="1391"/>
      <c r="D1534" s="1391">
        <v>11</v>
      </c>
      <c r="E1534" s="1391">
        <v>10.199999999999999</v>
      </c>
      <c r="F1534" s="1391"/>
      <c r="G1534" s="1391"/>
      <c r="H1534" s="1391"/>
      <c r="I1534" s="1391"/>
      <c r="J1534" s="1391"/>
      <c r="K1534" s="1684"/>
      <c r="L1534" s="1684"/>
      <c r="M1534" s="1684"/>
      <c r="N1534" s="1684"/>
      <c r="O1534" s="1684"/>
      <c r="P1534" s="1684"/>
      <c r="Q1534" s="1684"/>
      <c r="R1534" s="1684"/>
      <c r="S1534" s="1684"/>
      <c r="T1534" s="1684"/>
      <c r="U1534" s="1684"/>
      <c r="V1534" s="1684"/>
      <c r="W1534" s="1684"/>
      <c r="X1534" s="1684"/>
      <c r="Y1534" s="1684"/>
      <c r="Z1534" s="1684"/>
      <c r="AA1534" s="1684"/>
      <c r="AB1534" s="1684"/>
      <c r="AC1534" s="1684"/>
      <c r="AD1534" s="1684"/>
      <c r="AE1534" s="1684"/>
      <c r="AF1534" s="1684"/>
      <c r="AG1534" s="1684"/>
      <c r="AH1534" s="1684"/>
      <c r="AI1534" s="1684"/>
      <c r="AJ1534" s="1684"/>
      <c r="AK1534" s="1684"/>
      <c r="AL1534" s="1684"/>
      <c r="AM1534" s="1684"/>
      <c r="AN1534" s="1684"/>
      <c r="AO1534" s="1684"/>
      <c r="AP1534" s="1684"/>
      <c r="AQ1534" s="1684"/>
      <c r="AR1534" s="1684"/>
      <c r="AS1534" s="1684"/>
      <c r="AT1534" s="1684"/>
      <c r="AU1534" s="1684"/>
      <c r="AV1534" s="1684"/>
      <c r="AW1534" s="1684"/>
      <c r="AX1534" s="1684"/>
      <c r="AY1534" s="1684"/>
      <c r="AZ1534" s="1684"/>
      <c r="BA1534" s="1684"/>
      <c r="BB1534" s="1684"/>
      <c r="BC1534" s="1684"/>
      <c r="BD1534" s="1684"/>
      <c r="BE1534" s="1684"/>
      <c r="BF1534" s="1684"/>
      <c r="BG1534" s="1684"/>
      <c r="BH1534" s="1684"/>
      <c r="BI1534" s="1684"/>
      <c r="BJ1534" s="1684"/>
      <c r="BK1534" s="1684"/>
      <c r="BL1534" s="1684"/>
      <c r="BM1534" s="1684"/>
      <c r="BN1534" s="1684"/>
      <c r="BO1534" s="1684"/>
      <c r="BP1534" s="1684"/>
      <c r="BQ1534" s="1684"/>
      <c r="BR1534" s="1684"/>
      <c r="BS1534" s="1684"/>
      <c r="BT1534" s="1684"/>
      <c r="BU1534" s="1684"/>
      <c r="BV1534" s="1684"/>
      <c r="BW1534" s="1684"/>
      <c r="BX1534" s="1684"/>
      <c r="BY1534" s="1684"/>
      <c r="BZ1534" s="1684"/>
      <c r="CA1534" s="1684"/>
      <c r="CB1534" s="1684"/>
      <c r="CC1534" s="1684"/>
      <c r="CD1534" s="1684"/>
      <c r="CE1534" s="1684"/>
      <c r="CF1534" s="1684"/>
      <c r="CG1534" s="1684"/>
      <c r="CH1534" s="1684"/>
      <c r="CI1534" s="1684"/>
      <c r="CJ1534" s="1684"/>
      <c r="CK1534" s="1684"/>
      <c r="CL1534" s="1684"/>
      <c r="CM1534" s="1684"/>
      <c r="CN1534" s="1684"/>
      <c r="CO1534" s="1684"/>
      <c r="CP1534" s="1391"/>
      <c r="CQ1534" s="1391"/>
      <c r="CR1534" s="1391"/>
      <c r="CS1534" s="1391"/>
      <c r="CT1534" s="1391"/>
      <c r="CU1534" s="1391"/>
      <c r="CV1534" s="1391"/>
      <c r="CW1534" s="1391"/>
      <c r="CX1534" s="1391"/>
      <c r="CY1534" s="1391"/>
      <c r="CZ1534" s="1391"/>
      <c r="DA1534" s="1391"/>
      <c r="DB1534" s="1391"/>
      <c r="DC1534" s="1391"/>
      <c r="DD1534" s="1391"/>
      <c r="DE1534" s="1391"/>
      <c r="DF1534" s="1391"/>
      <c r="DG1534" s="1391"/>
      <c r="DH1534" s="1391"/>
      <c r="DI1534" s="1391"/>
    </row>
    <row r="1535" spans="1:113" ht="15" x14ac:dyDescent="0.2">
      <c r="A1535" s="1684"/>
      <c r="B1535" s="1391" t="s">
        <v>1483</v>
      </c>
      <c r="C1535" s="1391"/>
      <c r="D1535" s="1391">
        <v>5.94</v>
      </c>
      <c r="E1535" s="1391">
        <v>5.72</v>
      </c>
      <c r="F1535" s="1391"/>
      <c r="G1535" s="1391"/>
      <c r="H1535" s="1391"/>
      <c r="I1535" s="1391"/>
      <c r="J1535" s="1391"/>
      <c r="K1535" s="1684"/>
      <c r="L1535" s="1684"/>
      <c r="M1535" s="1684"/>
      <c r="N1535" s="1684"/>
      <c r="O1535" s="1684"/>
      <c r="P1535" s="1684"/>
      <c r="Q1535" s="1684"/>
      <c r="R1535" s="1684"/>
      <c r="S1535" s="1684"/>
      <c r="T1535" s="1684"/>
      <c r="U1535" s="1684"/>
      <c r="V1535" s="1684"/>
      <c r="W1535" s="1684"/>
      <c r="X1535" s="1684"/>
      <c r="Y1535" s="1684"/>
      <c r="Z1535" s="1684"/>
      <c r="AA1535" s="1684"/>
      <c r="AB1535" s="1684"/>
      <c r="AC1535" s="1684"/>
      <c r="AD1535" s="1684"/>
      <c r="AE1535" s="1684"/>
      <c r="AF1535" s="1684"/>
      <c r="AG1535" s="1684"/>
      <c r="AH1535" s="1684"/>
      <c r="AI1535" s="1684"/>
      <c r="AJ1535" s="1684"/>
      <c r="AK1535" s="1684"/>
      <c r="AL1535" s="1684"/>
      <c r="AM1535" s="1684"/>
      <c r="AN1535" s="1684"/>
      <c r="AO1535" s="1684"/>
      <c r="AP1535" s="1684"/>
      <c r="AQ1535" s="1684"/>
      <c r="AR1535" s="1684"/>
      <c r="AS1535" s="1684"/>
      <c r="AT1535" s="1684"/>
      <c r="AU1535" s="1684"/>
      <c r="AV1535" s="1684"/>
      <c r="AW1535" s="1684"/>
      <c r="AX1535" s="1684"/>
      <c r="AY1535" s="1684"/>
      <c r="AZ1535" s="1684"/>
      <c r="BA1535" s="1684"/>
      <c r="BB1535" s="1684"/>
      <c r="BC1535" s="1684"/>
      <c r="BD1535" s="1684"/>
      <c r="BE1535" s="1684"/>
      <c r="BF1535" s="1684"/>
      <c r="BG1535" s="1684"/>
      <c r="BH1535" s="1684"/>
      <c r="BI1535" s="1684"/>
      <c r="BJ1535" s="1684"/>
      <c r="BK1535" s="1684"/>
      <c r="BL1535" s="1684"/>
      <c r="BM1535" s="1684"/>
      <c r="BN1535" s="1684"/>
      <c r="BO1535" s="1684"/>
      <c r="BP1535" s="1684"/>
      <c r="BQ1535" s="1684"/>
      <c r="BR1535" s="1684"/>
      <c r="BS1535" s="1684"/>
      <c r="BT1535" s="1684"/>
      <c r="BU1535" s="1684"/>
      <c r="BV1535" s="1684"/>
      <c r="BW1535" s="1684"/>
      <c r="BX1535" s="1684"/>
      <c r="BY1535" s="1684"/>
      <c r="BZ1535" s="1684"/>
      <c r="CA1535" s="1684"/>
      <c r="CB1535" s="1684"/>
      <c r="CC1535" s="1684"/>
      <c r="CD1535" s="1684"/>
      <c r="CE1535" s="1684"/>
      <c r="CF1535" s="1684"/>
      <c r="CG1535" s="1684"/>
      <c r="CH1535" s="1684"/>
      <c r="CI1535" s="1684"/>
      <c r="CJ1535" s="1684"/>
      <c r="CK1535" s="1684"/>
      <c r="CL1535" s="1684"/>
      <c r="CM1535" s="1684"/>
      <c r="CN1535" s="1684"/>
      <c r="CO1535" s="1684"/>
      <c r="CP1535" s="1391"/>
      <c r="CQ1535" s="1391"/>
      <c r="CR1535" s="1391"/>
      <c r="CS1535" s="1391"/>
      <c r="CT1535" s="1391"/>
      <c r="CU1535" s="1391"/>
      <c r="CV1535" s="1391"/>
      <c r="CW1535" s="1391"/>
      <c r="CX1535" s="1391"/>
      <c r="CY1535" s="1391"/>
      <c r="CZ1535" s="1391"/>
      <c r="DA1535" s="1391"/>
      <c r="DB1535" s="1391"/>
      <c r="DC1535" s="1391"/>
      <c r="DD1535" s="1391"/>
      <c r="DE1535" s="1391"/>
      <c r="DF1535" s="1391"/>
      <c r="DG1535" s="1391"/>
      <c r="DH1535" s="1391"/>
      <c r="DI1535" s="1391"/>
    </row>
    <row r="1536" spans="1:113" ht="15" x14ac:dyDescent="0.2">
      <c r="A1536" s="1684"/>
      <c r="B1536" s="1391" t="s">
        <v>1484</v>
      </c>
      <c r="C1536" s="1391"/>
      <c r="D1536" s="1391">
        <v>10.3</v>
      </c>
      <c r="E1536" s="1391">
        <v>9.6</v>
      </c>
      <c r="F1536" s="1391"/>
      <c r="G1536" s="1391"/>
      <c r="H1536" s="1391"/>
      <c r="I1536" s="1391"/>
      <c r="J1536" s="1391"/>
      <c r="K1536" s="1684"/>
      <c r="L1536" s="1684"/>
      <c r="M1536" s="1684"/>
      <c r="N1536" s="1684"/>
      <c r="O1536" s="1684"/>
      <c r="P1536" s="1684"/>
      <c r="Q1536" s="1684"/>
      <c r="R1536" s="1684"/>
      <c r="S1536" s="1684"/>
      <c r="T1536" s="1684"/>
      <c r="U1536" s="1684"/>
      <c r="V1536" s="1684"/>
      <c r="W1536" s="1684"/>
      <c r="X1536" s="1684"/>
      <c r="Y1536" s="1684"/>
      <c r="Z1536" s="1684"/>
      <c r="AA1536" s="1684"/>
      <c r="AB1536" s="1684"/>
      <c r="AC1536" s="1684"/>
      <c r="AD1536" s="1684"/>
      <c r="AE1536" s="1684"/>
      <c r="AF1536" s="1684"/>
      <c r="AG1536" s="1684"/>
      <c r="AH1536" s="1684"/>
      <c r="AI1536" s="1684"/>
      <c r="AJ1536" s="1684"/>
      <c r="AK1536" s="1684"/>
      <c r="AL1536" s="1684"/>
      <c r="AM1536" s="1684"/>
      <c r="AN1536" s="1684"/>
      <c r="AO1536" s="1684"/>
      <c r="AP1536" s="1684"/>
      <c r="AQ1536" s="1684"/>
      <c r="AR1536" s="1684"/>
      <c r="AS1536" s="1684"/>
      <c r="AT1536" s="1684"/>
      <c r="AU1536" s="1684"/>
      <c r="AV1536" s="1684"/>
      <c r="AW1536" s="1684"/>
      <c r="AX1536" s="1684"/>
      <c r="AY1536" s="1684"/>
      <c r="AZ1536" s="1684"/>
      <c r="BA1536" s="1684"/>
      <c r="BB1536" s="1684"/>
      <c r="BC1536" s="1684"/>
      <c r="BD1536" s="1684"/>
      <c r="BE1536" s="1684"/>
      <c r="BF1536" s="1684"/>
      <c r="BG1536" s="1684"/>
      <c r="BH1536" s="1684"/>
      <c r="BI1536" s="1684"/>
      <c r="BJ1536" s="1684"/>
      <c r="BK1536" s="1684"/>
      <c r="BL1536" s="1684"/>
      <c r="BM1536" s="1684"/>
      <c r="BN1536" s="1684"/>
      <c r="BO1536" s="1684"/>
      <c r="BP1536" s="1684"/>
      <c r="BQ1536" s="1684"/>
      <c r="BR1536" s="1684"/>
      <c r="BS1536" s="1684"/>
      <c r="BT1536" s="1684"/>
      <c r="BU1536" s="1684"/>
      <c r="BV1536" s="1684"/>
      <c r="BW1536" s="1684"/>
      <c r="BX1536" s="1684"/>
      <c r="BY1536" s="1684"/>
      <c r="BZ1536" s="1684"/>
      <c r="CA1536" s="1684"/>
      <c r="CB1536" s="1684"/>
      <c r="CC1536" s="1684"/>
      <c r="CD1536" s="1684"/>
      <c r="CE1536" s="1684"/>
      <c r="CF1536" s="1684"/>
      <c r="CG1536" s="1684"/>
      <c r="CH1536" s="1684"/>
      <c r="CI1536" s="1684"/>
      <c r="CJ1536" s="1684"/>
      <c r="CK1536" s="1684"/>
      <c r="CL1536" s="1684"/>
      <c r="CM1536" s="1684"/>
      <c r="CN1536" s="1684"/>
      <c r="CO1536" s="1684"/>
      <c r="CP1536" s="1391"/>
      <c r="CQ1536" s="1391"/>
      <c r="CR1536" s="1391"/>
      <c r="CS1536" s="1391"/>
      <c r="CT1536" s="1391"/>
      <c r="CU1536" s="1391"/>
      <c r="CV1536" s="1391"/>
      <c r="CW1536" s="1391"/>
      <c r="CX1536" s="1391"/>
      <c r="CY1536" s="1391"/>
      <c r="CZ1536" s="1391"/>
      <c r="DA1536" s="1391"/>
      <c r="DB1536" s="1391"/>
      <c r="DC1536" s="1391"/>
      <c r="DD1536" s="1391"/>
      <c r="DE1536" s="1391"/>
      <c r="DF1536" s="1391"/>
      <c r="DG1536" s="1391"/>
      <c r="DH1536" s="1391"/>
      <c r="DI1536" s="1391"/>
    </row>
    <row r="1537" spans="1:113" ht="15" x14ac:dyDescent="0.2">
      <c r="A1537" s="1684"/>
      <c r="B1537" s="1684"/>
      <c r="C1537" s="1684"/>
      <c r="D1537" s="1684"/>
      <c r="E1537" s="1684"/>
      <c r="F1537" s="1684"/>
      <c r="G1537" s="1684"/>
      <c r="H1537" s="1684"/>
      <c r="I1537" s="1684"/>
      <c r="J1537" s="1684"/>
      <c r="K1537" s="1684"/>
      <c r="L1537" s="1684"/>
      <c r="M1537" s="1684"/>
      <c r="N1537" s="1684"/>
      <c r="O1537" s="1684"/>
      <c r="P1537" s="1684"/>
      <c r="Q1537" s="1684"/>
      <c r="R1537" s="1684"/>
      <c r="S1537" s="1684"/>
      <c r="T1537" s="1684"/>
      <c r="U1537" s="1684"/>
      <c r="V1537" s="1684"/>
      <c r="W1537" s="1684"/>
      <c r="X1537" s="1684"/>
      <c r="Y1537" s="1684"/>
      <c r="Z1537" s="1684"/>
      <c r="AA1537" s="1684"/>
      <c r="AB1537" s="1684"/>
      <c r="AC1537" s="1684"/>
      <c r="AD1537" s="1684"/>
      <c r="AE1537" s="1684"/>
      <c r="AF1537" s="1684"/>
      <c r="AG1537" s="1684"/>
      <c r="AH1537" s="1684"/>
      <c r="AI1537" s="1684"/>
      <c r="AJ1537" s="1684"/>
      <c r="AK1537" s="1684"/>
      <c r="AL1537" s="1684"/>
      <c r="AM1537" s="1684"/>
      <c r="AN1537" s="1684"/>
      <c r="AO1537" s="1684"/>
      <c r="AP1537" s="1684"/>
      <c r="AQ1537" s="1684"/>
      <c r="AR1537" s="1684"/>
      <c r="AS1537" s="1684"/>
      <c r="AT1537" s="1684"/>
      <c r="AU1537" s="1684"/>
      <c r="AV1537" s="1684"/>
      <c r="AW1537" s="1684"/>
      <c r="AX1537" s="1684"/>
      <c r="AY1537" s="1684"/>
      <c r="AZ1537" s="1684"/>
      <c r="BA1537" s="1684"/>
      <c r="BB1537" s="1684"/>
      <c r="BC1537" s="1684"/>
      <c r="BD1537" s="1684"/>
      <c r="BE1537" s="1684"/>
      <c r="BF1537" s="1684"/>
      <c r="BG1537" s="1684"/>
      <c r="BH1537" s="1684"/>
      <c r="BI1537" s="1684"/>
      <c r="BJ1537" s="1684"/>
      <c r="BK1537" s="1684"/>
      <c r="BL1537" s="1684"/>
      <c r="BM1537" s="1684"/>
      <c r="BN1537" s="1684"/>
      <c r="BO1537" s="1684"/>
      <c r="BP1537" s="1684"/>
      <c r="BQ1537" s="1684"/>
      <c r="BR1537" s="1684"/>
      <c r="BS1537" s="1684"/>
      <c r="BT1537" s="1684"/>
      <c r="BU1537" s="1684"/>
      <c r="BV1537" s="1684"/>
      <c r="BW1537" s="1684"/>
      <c r="BX1537" s="1684"/>
      <c r="BY1537" s="1684"/>
      <c r="BZ1537" s="1684"/>
      <c r="CA1537" s="1684"/>
      <c r="CB1537" s="1684"/>
      <c r="CC1537" s="1684"/>
      <c r="CD1537" s="1684"/>
      <c r="CE1537" s="1684"/>
      <c r="CF1537" s="1684"/>
      <c r="CG1537" s="1684"/>
      <c r="CH1537" s="1684"/>
      <c r="CI1537" s="1684"/>
      <c r="CJ1537" s="1684"/>
      <c r="CK1537" s="1684"/>
      <c r="CL1537" s="1684"/>
      <c r="CM1537" s="1684"/>
      <c r="CN1537" s="1684"/>
      <c r="CO1537" s="1684"/>
      <c r="CP1537" s="1391"/>
      <c r="CQ1537" s="1391"/>
      <c r="CR1537" s="1391"/>
      <c r="CS1537" s="1391"/>
      <c r="CT1537" s="1391"/>
      <c r="CU1537" s="1391"/>
      <c r="CV1537" s="1391"/>
      <c r="CW1537" s="1391"/>
      <c r="CX1537" s="1391"/>
      <c r="CY1537" s="1391"/>
      <c r="CZ1537" s="1391"/>
      <c r="DA1537" s="1391"/>
      <c r="DB1537" s="1391"/>
      <c r="DC1537" s="1391"/>
      <c r="DD1537" s="1391"/>
      <c r="DE1537" s="1391"/>
      <c r="DF1537" s="1391"/>
      <c r="DG1537" s="1391"/>
      <c r="DH1537" s="1391"/>
      <c r="DI1537" s="1391"/>
    </row>
    <row r="1538" spans="1:113" ht="15.75" x14ac:dyDescent="0.25">
      <c r="A1538" s="1684"/>
      <c r="B1538" s="1684"/>
      <c r="C1538" s="1684"/>
      <c r="D1538" s="1684"/>
      <c r="E1538" s="1417" t="s">
        <v>1485</v>
      </c>
      <c r="F1538" s="1417"/>
      <c r="G1538" s="1417"/>
      <c r="H1538" s="1417"/>
      <c r="I1538" s="1417"/>
      <c r="J1538" s="1417"/>
      <c r="K1538" s="1417"/>
      <c r="L1538" s="1417"/>
      <c r="M1538" s="1684"/>
      <c r="N1538" s="1684"/>
      <c r="O1538" s="1684"/>
      <c r="P1538" s="1684"/>
      <c r="Q1538" s="1684"/>
      <c r="R1538" s="1684"/>
      <c r="S1538" s="1684"/>
      <c r="T1538" s="1684"/>
      <c r="U1538" s="1684"/>
      <c r="V1538" s="1684"/>
      <c r="W1538" s="1684"/>
      <c r="X1538" s="1684"/>
      <c r="Y1538" s="1684"/>
      <c r="Z1538" s="1684"/>
      <c r="AA1538" s="1684"/>
      <c r="AB1538" s="1684"/>
      <c r="AC1538" s="1684"/>
      <c r="AD1538" s="1684"/>
      <c r="AE1538" s="1684"/>
      <c r="AF1538" s="1684"/>
      <c r="AG1538" s="1684"/>
      <c r="AH1538" s="1684"/>
      <c r="AI1538" s="1684"/>
      <c r="AJ1538" s="1684"/>
      <c r="AK1538" s="1684"/>
      <c r="AL1538" s="1684"/>
      <c r="AM1538" s="1684"/>
      <c r="AN1538" s="1684"/>
      <c r="AO1538" s="1684"/>
      <c r="AP1538" s="1684"/>
      <c r="AQ1538" s="1684"/>
      <c r="AR1538" s="1684"/>
      <c r="AS1538" s="1684"/>
      <c r="AT1538" s="1684"/>
      <c r="AU1538" s="1684"/>
      <c r="AV1538" s="1684"/>
      <c r="AW1538" s="1684"/>
      <c r="AX1538" s="1684"/>
      <c r="AY1538" s="1684"/>
      <c r="AZ1538" s="1684"/>
      <c r="BA1538" s="1684"/>
      <c r="BB1538" s="1684"/>
      <c r="BC1538" s="1684"/>
      <c r="BD1538" s="1684"/>
      <c r="BE1538" s="1684"/>
      <c r="BF1538" s="1684"/>
      <c r="BG1538" s="1684"/>
      <c r="BH1538" s="1684"/>
      <c r="BI1538" s="1684"/>
      <c r="BJ1538" s="1684"/>
      <c r="BK1538" s="1684"/>
      <c r="BL1538" s="1684"/>
      <c r="BM1538" s="1684"/>
      <c r="BN1538" s="1684"/>
      <c r="BO1538" s="1684"/>
      <c r="BP1538" s="1684"/>
      <c r="BQ1538" s="1684"/>
      <c r="BR1538" s="1684"/>
      <c r="BS1538" s="1684"/>
      <c r="BT1538" s="1684"/>
      <c r="BU1538" s="1684"/>
      <c r="BV1538" s="1684"/>
      <c r="BW1538" s="1684"/>
      <c r="BX1538" s="1684"/>
      <c r="BY1538" s="1684"/>
      <c r="BZ1538" s="1684"/>
      <c r="CA1538" s="1684"/>
      <c r="CB1538" s="1684"/>
      <c r="CC1538" s="1684"/>
      <c r="CD1538" s="1684"/>
      <c r="CE1538" s="1684"/>
      <c r="CF1538" s="1684"/>
      <c r="CG1538" s="1684"/>
      <c r="CH1538" s="1684"/>
      <c r="CI1538" s="1684"/>
      <c r="CJ1538" s="1684"/>
      <c r="CK1538" s="1684"/>
      <c r="CL1538" s="1684"/>
      <c r="CM1538" s="1684"/>
      <c r="CN1538" s="1684"/>
      <c r="CO1538" s="1684"/>
      <c r="CP1538" s="1391"/>
      <c r="CQ1538" s="1391"/>
      <c r="CR1538" s="1391"/>
      <c r="CS1538" s="1391"/>
      <c r="CT1538" s="1391"/>
      <c r="CU1538" s="1391"/>
      <c r="CV1538" s="1391"/>
      <c r="CW1538" s="1391"/>
      <c r="CX1538" s="1391"/>
      <c r="CY1538" s="1391"/>
      <c r="CZ1538" s="1391"/>
      <c r="DA1538" s="1391"/>
      <c r="DB1538" s="1391"/>
      <c r="DC1538" s="1391"/>
      <c r="DD1538" s="1391"/>
      <c r="DE1538" s="1391"/>
      <c r="DF1538" s="1391"/>
      <c r="DG1538" s="1391"/>
      <c r="DH1538" s="1391"/>
      <c r="DI1538" s="1391"/>
    </row>
    <row r="1539" spans="1:113" ht="15.75" x14ac:dyDescent="0.25">
      <c r="A1539" s="1684"/>
      <c r="B1539" s="1684"/>
      <c r="C1539" s="1684"/>
      <c r="D1539" s="1684"/>
      <c r="E1539" s="1417" t="s">
        <v>1463</v>
      </c>
      <c r="F1539" s="1417" t="s">
        <v>1486</v>
      </c>
      <c r="G1539" s="1417"/>
      <c r="H1539" s="1417"/>
      <c r="I1539" s="1417"/>
      <c r="J1539" s="1417"/>
      <c r="K1539" s="1417"/>
      <c r="L1539" s="1417"/>
      <c r="M1539" s="1684"/>
      <c r="N1539" s="1684"/>
      <c r="O1539" s="1684"/>
      <c r="P1539" s="1684"/>
      <c r="Q1539" s="1684"/>
      <c r="R1539" s="1684"/>
      <c r="S1539" s="1684"/>
      <c r="T1539" s="1684"/>
      <c r="U1539" s="1684"/>
      <c r="V1539" s="1684"/>
      <c r="W1539" s="1684"/>
      <c r="X1539" s="1684"/>
      <c r="Y1539" s="1684"/>
      <c r="Z1539" s="1684"/>
      <c r="AA1539" s="1684"/>
      <c r="AB1539" s="1684"/>
      <c r="AC1539" s="1684"/>
      <c r="AD1539" s="1684"/>
      <c r="AE1539" s="1684"/>
      <c r="AF1539" s="1684"/>
      <c r="AG1539" s="1684"/>
      <c r="AH1539" s="1684"/>
      <c r="AI1539" s="1684"/>
      <c r="AJ1539" s="1684"/>
      <c r="AK1539" s="1684"/>
      <c r="AL1539" s="1684"/>
      <c r="AM1539" s="1684"/>
      <c r="AN1539" s="1684"/>
      <c r="AO1539" s="1684"/>
      <c r="AP1539" s="1684"/>
      <c r="AQ1539" s="1684"/>
      <c r="AR1539" s="1684"/>
      <c r="AS1539" s="1684"/>
      <c r="AT1539" s="1684"/>
      <c r="AU1539" s="1684"/>
      <c r="AV1539" s="1684"/>
      <c r="AW1539" s="1684"/>
      <c r="AX1539" s="1684"/>
      <c r="AY1539" s="1684"/>
      <c r="AZ1539" s="1684"/>
      <c r="BA1539" s="1684"/>
      <c r="BB1539" s="1684"/>
      <c r="BC1539" s="1684"/>
      <c r="BD1539" s="1684"/>
      <c r="BE1539" s="1684"/>
      <c r="BF1539" s="1684"/>
      <c r="BG1539" s="1684"/>
      <c r="BH1539" s="1684"/>
      <c r="BI1539" s="1684"/>
      <c r="BJ1539" s="1684"/>
      <c r="BK1539" s="1684"/>
      <c r="BL1539" s="1684"/>
      <c r="BM1539" s="1684"/>
      <c r="BN1539" s="1684"/>
      <c r="BO1539" s="1684"/>
      <c r="BP1539" s="1684"/>
      <c r="BQ1539" s="1684"/>
      <c r="BR1539" s="1684"/>
      <c r="BS1539" s="1684"/>
      <c r="BT1539" s="1684"/>
      <c r="BU1539" s="1684"/>
      <c r="BV1539" s="1684"/>
      <c r="BW1539" s="1684"/>
      <c r="BX1539" s="1684"/>
      <c r="BY1539" s="1684"/>
      <c r="BZ1539" s="1684"/>
      <c r="CA1539" s="1684"/>
      <c r="CB1539" s="1684"/>
      <c r="CC1539" s="1684"/>
      <c r="CD1539" s="1684"/>
      <c r="CE1539" s="1684"/>
      <c r="CF1539" s="1684"/>
      <c r="CG1539" s="1684"/>
      <c r="CH1539" s="1684"/>
      <c r="CI1539" s="1684"/>
      <c r="CJ1539" s="1684"/>
      <c r="CK1539" s="1684"/>
      <c r="CL1539" s="1684"/>
      <c r="CM1539" s="1684"/>
      <c r="CN1539" s="1684"/>
      <c r="CO1539" s="1684"/>
      <c r="CP1539" s="1391"/>
      <c r="CQ1539" s="1391"/>
      <c r="CR1539" s="1391"/>
      <c r="CS1539" s="1391"/>
      <c r="CT1539" s="1391"/>
      <c r="CU1539" s="1391"/>
      <c r="CV1539" s="1391"/>
      <c r="CW1539" s="1391"/>
      <c r="CX1539" s="1391"/>
      <c r="CY1539" s="1391"/>
      <c r="CZ1539" s="1391"/>
      <c r="DA1539" s="1391"/>
      <c r="DB1539" s="1391"/>
      <c r="DC1539" s="1391"/>
      <c r="DD1539" s="1391"/>
      <c r="DE1539" s="1391"/>
      <c r="DF1539" s="1391"/>
      <c r="DG1539" s="1391"/>
      <c r="DH1539" s="1391"/>
      <c r="DI1539" s="1391"/>
    </row>
    <row r="1540" spans="1:113" ht="15.75" x14ac:dyDescent="0.25">
      <c r="A1540" s="1684"/>
      <c r="B1540" s="1684"/>
      <c r="C1540" s="1684"/>
      <c r="D1540" s="1684"/>
      <c r="E1540" s="1417">
        <v>4</v>
      </c>
      <c r="F1540" s="1417">
        <v>8</v>
      </c>
      <c r="G1540" s="1417">
        <f>F1540/E1540</f>
        <v>2</v>
      </c>
      <c r="H1540" s="1417">
        <f>E1540/F1540</f>
        <v>0.5</v>
      </c>
      <c r="I1540" s="1417"/>
      <c r="J1540" s="1417"/>
      <c r="K1540" s="1417"/>
      <c r="L1540" s="1417"/>
      <c r="M1540" s="1684"/>
      <c r="N1540" s="1684"/>
      <c r="O1540" s="1684"/>
      <c r="P1540" s="1684"/>
      <c r="Q1540" s="1684"/>
      <c r="R1540" s="1684"/>
      <c r="S1540" s="1684"/>
      <c r="T1540" s="1684"/>
      <c r="U1540" s="1684"/>
      <c r="V1540" s="1684"/>
      <c r="W1540" s="1684"/>
      <c r="X1540" s="1684"/>
      <c r="Y1540" s="1684"/>
      <c r="Z1540" s="1684"/>
      <c r="AA1540" s="1684"/>
      <c r="AB1540" s="1684"/>
      <c r="AC1540" s="1684"/>
      <c r="AD1540" s="1684"/>
      <c r="AE1540" s="1684"/>
      <c r="AF1540" s="1684"/>
      <c r="AG1540" s="1684"/>
      <c r="AH1540" s="1684"/>
      <c r="AI1540" s="1684"/>
      <c r="AJ1540" s="1684"/>
      <c r="AK1540" s="1684"/>
      <c r="AL1540" s="1684"/>
      <c r="AM1540" s="1684"/>
      <c r="AN1540" s="1684"/>
      <c r="AO1540" s="1684"/>
      <c r="AP1540" s="1684"/>
      <c r="AQ1540" s="1684"/>
      <c r="AR1540" s="1684"/>
      <c r="AS1540" s="1684"/>
      <c r="AT1540" s="1684"/>
      <c r="AU1540" s="1684"/>
      <c r="AV1540" s="1684"/>
      <c r="AW1540" s="1684"/>
      <c r="AX1540" s="1684"/>
      <c r="AY1540" s="1684"/>
      <c r="AZ1540" s="1684"/>
      <c r="BA1540" s="1684"/>
      <c r="BB1540" s="1684"/>
      <c r="BC1540" s="1684"/>
      <c r="BD1540" s="1684"/>
      <c r="BE1540" s="1684"/>
      <c r="BF1540" s="1684"/>
      <c r="BG1540" s="1684"/>
      <c r="BH1540" s="1684"/>
      <c r="BI1540" s="1684"/>
      <c r="BJ1540" s="1684"/>
      <c r="BK1540" s="1684"/>
      <c r="BL1540" s="1684"/>
      <c r="BM1540" s="1684"/>
      <c r="BN1540" s="1684"/>
      <c r="BO1540" s="1684"/>
      <c r="BP1540" s="1684"/>
      <c r="BQ1540" s="1684"/>
      <c r="BR1540" s="1684"/>
      <c r="BS1540" s="1684"/>
      <c r="BT1540" s="1684"/>
      <c r="BU1540" s="1684"/>
      <c r="BV1540" s="1684"/>
      <c r="BW1540" s="1684"/>
      <c r="BX1540" s="1684"/>
      <c r="BY1540" s="1684"/>
      <c r="BZ1540" s="1684"/>
      <c r="CA1540" s="1684"/>
      <c r="CB1540" s="1684"/>
      <c r="CC1540" s="1684"/>
      <c r="CD1540" s="1684"/>
      <c r="CE1540" s="1684"/>
      <c r="CF1540" s="1684"/>
      <c r="CG1540" s="1684"/>
      <c r="CH1540" s="1684"/>
      <c r="CI1540" s="1684"/>
      <c r="CJ1540" s="1684"/>
      <c r="CK1540" s="1684"/>
      <c r="CL1540" s="1684"/>
      <c r="CM1540" s="1684"/>
      <c r="CN1540" s="1684"/>
      <c r="CO1540" s="1684"/>
      <c r="CP1540" s="1391"/>
      <c r="CQ1540" s="1391"/>
      <c r="CR1540" s="1391"/>
      <c r="CS1540" s="1391"/>
      <c r="CT1540" s="1391"/>
      <c r="CU1540" s="1391"/>
      <c r="CV1540" s="1391"/>
      <c r="CW1540" s="1391"/>
      <c r="CX1540" s="1391"/>
      <c r="CY1540" s="1391"/>
      <c r="CZ1540" s="1391"/>
      <c r="DA1540" s="1391"/>
      <c r="DB1540" s="1391"/>
      <c r="DC1540" s="1391"/>
      <c r="DD1540" s="1391"/>
      <c r="DE1540" s="1391"/>
      <c r="DF1540" s="1391"/>
      <c r="DG1540" s="1391"/>
      <c r="DH1540" s="1391"/>
      <c r="DI1540" s="1391"/>
    </row>
    <row r="1541" spans="1:113" ht="15.75" x14ac:dyDescent="0.25">
      <c r="A1541" s="1684"/>
      <c r="B1541" s="1684"/>
      <c r="C1541" s="1684"/>
      <c r="D1541" s="1684"/>
      <c r="E1541" s="1417">
        <v>6</v>
      </c>
      <c r="F1541" s="1417">
        <v>11</v>
      </c>
      <c r="G1541" s="1417">
        <f t="shared" ref="G1541:G1553" si="1">F1541/E1541</f>
        <v>1.8333333333333333</v>
      </c>
      <c r="H1541" s="1417">
        <f t="shared" ref="H1541:H1553" si="2">E1541/F1541</f>
        <v>0.54545454545454541</v>
      </c>
      <c r="I1541" s="1417"/>
      <c r="J1541" s="1417"/>
      <c r="K1541" s="1417"/>
      <c r="L1541" s="1417"/>
      <c r="M1541" s="1684"/>
      <c r="N1541" s="1684"/>
      <c r="O1541" s="1684"/>
      <c r="P1541" s="1684"/>
      <c r="Q1541" s="1684"/>
      <c r="R1541" s="1684"/>
      <c r="S1541" s="1684"/>
      <c r="T1541" s="1684"/>
      <c r="U1541" s="1684"/>
      <c r="V1541" s="1684"/>
      <c r="W1541" s="1684"/>
      <c r="X1541" s="1684"/>
      <c r="Y1541" s="1684"/>
      <c r="Z1541" s="1684"/>
      <c r="AA1541" s="1684"/>
      <c r="AB1541" s="1684"/>
      <c r="AC1541" s="1684"/>
      <c r="AD1541" s="1684"/>
      <c r="AE1541" s="1684"/>
      <c r="AF1541" s="1684"/>
      <c r="AG1541" s="1684"/>
      <c r="AH1541" s="1684"/>
      <c r="AI1541" s="1684"/>
      <c r="AJ1541" s="1684"/>
      <c r="AK1541" s="1684"/>
      <c r="AL1541" s="1684"/>
      <c r="AM1541" s="1684"/>
      <c r="AN1541" s="1684"/>
      <c r="AO1541" s="1684"/>
      <c r="AP1541" s="1684"/>
      <c r="AQ1541" s="1684"/>
      <c r="AR1541" s="1684"/>
      <c r="AS1541" s="1684"/>
      <c r="AT1541" s="1684"/>
      <c r="AU1541" s="1684"/>
      <c r="AV1541" s="1684"/>
      <c r="AW1541" s="1684"/>
      <c r="AX1541" s="1684"/>
      <c r="AY1541" s="1684"/>
      <c r="AZ1541" s="1684"/>
      <c r="BA1541" s="1684"/>
      <c r="BB1541" s="1684"/>
      <c r="BC1541" s="1684"/>
      <c r="BD1541" s="1684"/>
      <c r="BE1541" s="1684"/>
      <c r="BF1541" s="1684"/>
      <c r="BG1541" s="1684"/>
      <c r="BH1541" s="1684"/>
      <c r="BI1541" s="1684"/>
      <c r="BJ1541" s="1684"/>
      <c r="BK1541" s="1684"/>
      <c r="BL1541" s="1684"/>
      <c r="BM1541" s="1684"/>
      <c r="BN1541" s="1684"/>
      <c r="BO1541" s="1684"/>
      <c r="BP1541" s="1684"/>
      <c r="BQ1541" s="1684"/>
      <c r="BR1541" s="1684"/>
      <c r="BS1541" s="1684"/>
      <c r="BT1541" s="1684"/>
      <c r="BU1541" s="1684"/>
      <c r="BV1541" s="1684"/>
      <c r="BW1541" s="1684"/>
      <c r="BX1541" s="1684"/>
      <c r="BY1541" s="1684"/>
      <c r="BZ1541" s="1684"/>
      <c r="CA1541" s="1684"/>
      <c r="CB1541" s="1684"/>
      <c r="CC1541" s="1684"/>
      <c r="CD1541" s="1684"/>
      <c r="CE1541" s="1684"/>
      <c r="CF1541" s="1684"/>
      <c r="CG1541" s="1684"/>
      <c r="CH1541" s="1684"/>
      <c r="CI1541" s="1684"/>
      <c r="CJ1541" s="1684"/>
      <c r="CK1541" s="1684"/>
      <c r="CL1541" s="1684"/>
      <c r="CM1541" s="1684"/>
      <c r="CN1541" s="1684"/>
      <c r="CO1541" s="1684"/>
      <c r="CP1541" s="1391"/>
      <c r="CQ1541" s="1391"/>
      <c r="CR1541" s="1391"/>
      <c r="CS1541" s="1391"/>
      <c r="CT1541" s="1391"/>
      <c r="CU1541" s="1391"/>
      <c r="CV1541" s="1391"/>
      <c r="CW1541" s="1391"/>
      <c r="CX1541" s="1391"/>
      <c r="CY1541" s="1391"/>
      <c r="CZ1541" s="1391"/>
      <c r="DA1541" s="1391"/>
      <c r="DB1541" s="1391"/>
      <c r="DC1541" s="1391"/>
      <c r="DD1541" s="1391"/>
      <c r="DE1541" s="1391"/>
      <c r="DF1541" s="1391"/>
      <c r="DG1541" s="1391"/>
      <c r="DH1541" s="1391"/>
      <c r="DI1541" s="1391"/>
    </row>
    <row r="1542" spans="1:113" ht="15.75" x14ac:dyDescent="0.25">
      <c r="A1542" s="1684"/>
      <c r="B1542" s="1684"/>
      <c r="C1542" s="1684"/>
      <c r="D1542" s="1684"/>
      <c r="E1542" s="1417">
        <v>6</v>
      </c>
      <c r="F1542" s="1417">
        <v>12</v>
      </c>
      <c r="G1542" s="1417">
        <f t="shared" si="1"/>
        <v>2</v>
      </c>
      <c r="H1542" s="1417">
        <f t="shared" si="2"/>
        <v>0.5</v>
      </c>
      <c r="I1542" s="1417"/>
      <c r="J1542" s="1417"/>
      <c r="K1542" s="1417"/>
      <c r="L1542" s="1417"/>
      <c r="M1542" s="1684"/>
      <c r="N1542" s="1684"/>
      <c r="O1542" s="1684"/>
      <c r="P1542" s="1684"/>
      <c r="Q1542" s="1684"/>
      <c r="R1542" s="1684"/>
      <c r="S1542" s="1684"/>
      <c r="T1542" s="1684"/>
      <c r="U1542" s="1684"/>
      <c r="V1542" s="1684"/>
      <c r="W1542" s="1684"/>
      <c r="X1542" s="1684"/>
      <c r="Y1542" s="1684"/>
      <c r="Z1542" s="1684"/>
      <c r="AA1542" s="1684"/>
      <c r="AB1542" s="1684"/>
      <c r="AC1542" s="1684"/>
      <c r="AD1542" s="1684"/>
      <c r="AE1542" s="1684"/>
      <c r="AF1542" s="1684"/>
      <c r="AG1542" s="1684"/>
      <c r="AH1542" s="1684"/>
      <c r="AI1542" s="1684"/>
      <c r="AJ1542" s="1684"/>
      <c r="AK1542" s="1684"/>
      <c r="AL1542" s="1684"/>
      <c r="AM1542" s="1684"/>
      <c r="AN1542" s="1684"/>
      <c r="AO1542" s="1684"/>
      <c r="AP1542" s="1684"/>
      <c r="AQ1542" s="1684"/>
      <c r="AR1542" s="1684"/>
      <c r="AS1542" s="1684"/>
      <c r="AT1542" s="1684"/>
      <c r="AU1542" s="1684"/>
      <c r="AV1542" s="1684"/>
      <c r="AW1542" s="1684"/>
      <c r="AX1542" s="1684"/>
      <c r="AY1542" s="1684"/>
      <c r="AZ1542" s="1684"/>
      <c r="BA1542" s="1684"/>
      <c r="BB1542" s="1684"/>
      <c r="BC1542" s="1684"/>
      <c r="BD1542" s="1684"/>
      <c r="BE1542" s="1684"/>
      <c r="BF1542" s="1684"/>
      <c r="BG1542" s="1684"/>
      <c r="BH1542" s="1684"/>
      <c r="BI1542" s="1684"/>
      <c r="BJ1542" s="1684"/>
      <c r="BK1542" s="1684"/>
      <c r="BL1542" s="1684"/>
      <c r="BM1542" s="1684"/>
      <c r="BN1542" s="1684"/>
      <c r="BO1542" s="1684"/>
      <c r="BP1542" s="1684"/>
      <c r="BQ1542" s="1684"/>
      <c r="BR1542" s="1684"/>
      <c r="BS1542" s="1684"/>
      <c r="BT1542" s="1684"/>
      <c r="BU1542" s="1684"/>
      <c r="BV1542" s="1684"/>
      <c r="BW1542" s="1684"/>
      <c r="BX1542" s="1684"/>
      <c r="BY1542" s="1684"/>
      <c r="BZ1542" s="1684"/>
      <c r="CA1542" s="1684"/>
      <c r="CB1542" s="1684"/>
      <c r="CC1542" s="1684"/>
      <c r="CD1542" s="1684"/>
      <c r="CE1542" s="1684"/>
      <c r="CF1542" s="1684"/>
      <c r="CG1542" s="1684"/>
      <c r="CH1542" s="1684"/>
      <c r="CI1542" s="1684"/>
      <c r="CJ1542" s="1684"/>
      <c r="CK1542" s="1684"/>
      <c r="CL1542" s="1684"/>
      <c r="CM1542" s="1684"/>
      <c r="CN1542" s="1684"/>
      <c r="CO1542" s="1684"/>
      <c r="CP1542" s="1391"/>
      <c r="CQ1542" s="1391"/>
      <c r="CR1542" s="1391"/>
      <c r="CS1542" s="1391"/>
      <c r="CT1542" s="1391"/>
      <c r="CU1542" s="1391"/>
      <c r="CV1542" s="1391"/>
      <c r="CW1542" s="1391"/>
      <c r="CX1542" s="1391"/>
      <c r="CY1542" s="1391"/>
      <c r="CZ1542" s="1391"/>
      <c r="DA1542" s="1391"/>
      <c r="DB1542" s="1391"/>
      <c r="DC1542" s="1391"/>
      <c r="DD1542" s="1391"/>
      <c r="DE1542" s="1391"/>
      <c r="DF1542" s="1391"/>
      <c r="DG1542" s="1391"/>
      <c r="DH1542" s="1391"/>
      <c r="DI1542" s="1391"/>
    </row>
    <row r="1543" spans="1:113" ht="15.75" x14ac:dyDescent="0.25">
      <c r="A1543" s="1684"/>
      <c r="B1543" s="1684"/>
      <c r="C1543" s="1684"/>
      <c r="D1543" s="1684"/>
      <c r="E1543" s="1417">
        <v>8</v>
      </c>
      <c r="F1543" s="1417">
        <v>16</v>
      </c>
      <c r="G1543" s="1417">
        <f t="shared" si="1"/>
        <v>2</v>
      </c>
      <c r="H1543" s="1417">
        <f t="shared" si="2"/>
        <v>0.5</v>
      </c>
      <c r="I1543" s="1417"/>
      <c r="J1543" s="1417"/>
      <c r="K1543" s="1417"/>
      <c r="L1543" s="1417"/>
      <c r="M1543" s="1684"/>
      <c r="N1543" s="1684"/>
      <c r="O1543" s="1684"/>
      <c r="P1543" s="1684"/>
      <c r="Q1543" s="1684"/>
      <c r="R1543" s="1684"/>
      <c r="S1543" s="1684"/>
      <c r="T1543" s="1684"/>
      <c r="U1543" s="1684"/>
      <c r="V1543" s="1684"/>
      <c r="W1543" s="1684"/>
      <c r="X1543" s="1684"/>
      <c r="Y1543" s="1684"/>
      <c r="Z1543" s="1684"/>
      <c r="AA1543" s="1684"/>
      <c r="AB1543" s="1684"/>
      <c r="AC1543" s="1684"/>
      <c r="AD1543" s="1684"/>
      <c r="AE1543" s="1684"/>
      <c r="AF1543" s="1684"/>
      <c r="AG1543" s="1684"/>
      <c r="AH1543" s="1684"/>
      <c r="AI1543" s="1684"/>
      <c r="AJ1543" s="1684"/>
      <c r="AK1543" s="1684"/>
      <c r="AL1543" s="1684"/>
      <c r="AM1543" s="1684"/>
      <c r="AN1543" s="1684"/>
      <c r="AO1543" s="1684"/>
      <c r="AP1543" s="1684"/>
      <c r="AQ1543" s="1684"/>
      <c r="AR1543" s="1684"/>
      <c r="AS1543" s="1684"/>
      <c r="AT1543" s="1684"/>
      <c r="AU1543" s="1684"/>
      <c r="AV1543" s="1684"/>
      <c r="AW1543" s="1684"/>
      <c r="AX1543" s="1684"/>
      <c r="AY1543" s="1684"/>
      <c r="AZ1543" s="1684"/>
      <c r="BA1543" s="1684"/>
      <c r="BB1543" s="1684"/>
      <c r="BC1543" s="1684"/>
      <c r="BD1543" s="1684"/>
      <c r="BE1543" s="1684"/>
      <c r="BF1543" s="1684"/>
      <c r="BG1543" s="1684"/>
      <c r="BH1543" s="1684"/>
      <c r="BI1543" s="1684"/>
      <c r="BJ1543" s="1684"/>
      <c r="BK1543" s="1684"/>
      <c r="BL1543" s="1684"/>
      <c r="BM1543" s="1684"/>
      <c r="BN1543" s="1684"/>
      <c r="BO1543" s="1684"/>
      <c r="BP1543" s="1684"/>
      <c r="BQ1543" s="1684"/>
      <c r="BR1543" s="1684"/>
      <c r="BS1543" s="1684"/>
      <c r="BT1543" s="1684"/>
      <c r="BU1543" s="1684"/>
      <c r="BV1543" s="1684"/>
      <c r="BW1543" s="1684"/>
      <c r="BX1543" s="1684"/>
      <c r="BY1543" s="1684"/>
      <c r="BZ1543" s="1684"/>
      <c r="CA1543" s="1684"/>
      <c r="CB1543" s="1684"/>
      <c r="CC1543" s="1684"/>
      <c r="CD1543" s="1684"/>
      <c r="CE1543" s="1684"/>
      <c r="CF1543" s="1684"/>
      <c r="CG1543" s="1684"/>
      <c r="CH1543" s="1684"/>
      <c r="CI1543" s="1684"/>
      <c r="CJ1543" s="1684"/>
      <c r="CK1543" s="1684"/>
      <c r="CL1543" s="1684"/>
      <c r="CM1543" s="1684"/>
      <c r="CN1543" s="1684"/>
      <c r="CO1543" s="1684"/>
      <c r="CP1543" s="1391"/>
      <c r="CQ1543" s="1391"/>
      <c r="CR1543" s="1391"/>
      <c r="CS1543" s="1391"/>
      <c r="CT1543" s="1391"/>
      <c r="CU1543" s="1391"/>
      <c r="CV1543" s="1391"/>
      <c r="CW1543" s="1391"/>
      <c r="CX1543" s="1391"/>
      <c r="CY1543" s="1391"/>
      <c r="CZ1543" s="1391"/>
      <c r="DA1543" s="1391"/>
      <c r="DB1543" s="1391"/>
      <c r="DC1543" s="1391"/>
      <c r="DD1543" s="1391"/>
      <c r="DE1543" s="1391"/>
      <c r="DF1543" s="1391"/>
      <c r="DG1543" s="1391"/>
      <c r="DH1543" s="1391"/>
      <c r="DI1543" s="1391"/>
    </row>
    <row r="1544" spans="1:113" ht="15.75" x14ac:dyDescent="0.25">
      <c r="A1544" s="1684"/>
      <c r="B1544" s="1684"/>
      <c r="C1544" s="1684"/>
      <c r="D1544" s="1684"/>
      <c r="E1544" s="1417">
        <v>8</v>
      </c>
      <c r="F1544" s="1417">
        <v>17</v>
      </c>
      <c r="G1544" s="1417">
        <f t="shared" si="1"/>
        <v>2.125</v>
      </c>
      <c r="H1544" s="1417">
        <f t="shared" si="2"/>
        <v>0.47058823529411764</v>
      </c>
      <c r="I1544" s="1417"/>
      <c r="J1544" s="1417"/>
      <c r="K1544" s="1417"/>
      <c r="L1544" s="1417"/>
      <c r="M1544" s="1684"/>
      <c r="N1544" s="1684"/>
      <c r="O1544" s="1684"/>
      <c r="P1544" s="1684"/>
      <c r="Q1544" s="1684"/>
      <c r="R1544" s="1684"/>
      <c r="S1544" s="1684"/>
      <c r="T1544" s="1684"/>
      <c r="U1544" s="1684"/>
      <c r="V1544" s="1684"/>
      <c r="W1544" s="1684"/>
      <c r="X1544" s="1684"/>
      <c r="Y1544" s="1684"/>
      <c r="Z1544" s="1684"/>
      <c r="AA1544" s="1684"/>
      <c r="AB1544" s="1684"/>
      <c r="AC1544" s="1684"/>
      <c r="AD1544" s="1684"/>
      <c r="AE1544" s="1684"/>
      <c r="AF1544" s="1684"/>
      <c r="AG1544" s="1684"/>
      <c r="AH1544" s="1684"/>
      <c r="AI1544" s="1684"/>
      <c r="AJ1544" s="1684"/>
      <c r="AK1544" s="1684"/>
      <c r="AL1544" s="1684"/>
      <c r="AM1544" s="1684"/>
      <c r="AN1544" s="1684"/>
      <c r="AO1544" s="1684"/>
      <c r="AP1544" s="1684"/>
      <c r="AQ1544" s="1684"/>
      <c r="AR1544" s="1684"/>
      <c r="AS1544" s="1684"/>
      <c r="AT1544" s="1684"/>
      <c r="AU1544" s="1684"/>
      <c r="AV1544" s="1684"/>
      <c r="AW1544" s="1684"/>
      <c r="AX1544" s="1684"/>
      <c r="AY1544" s="1684"/>
      <c r="AZ1544" s="1684"/>
      <c r="BA1544" s="1684"/>
      <c r="BB1544" s="1684"/>
      <c r="BC1544" s="1684"/>
      <c r="BD1544" s="1684"/>
      <c r="BE1544" s="1684"/>
      <c r="BF1544" s="1684"/>
      <c r="BG1544" s="1684"/>
      <c r="BH1544" s="1684"/>
      <c r="BI1544" s="1684"/>
      <c r="BJ1544" s="1684"/>
      <c r="BK1544" s="1684"/>
      <c r="BL1544" s="1684"/>
      <c r="BM1544" s="1684"/>
      <c r="BN1544" s="1684"/>
      <c r="BO1544" s="1684"/>
      <c r="BP1544" s="1684"/>
      <c r="BQ1544" s="1684"/>
      <c r="BR1544" s="1684"/>
      <c r="BS1544" s="1684"/>
      <c r="BT1544" s="1684"/>
      <c r="BU1544" s="1684"/>
      <c r="BV1544" s="1684"/>
      <c r="BW1544" s="1684"/>
      <c r="BX1544" s="1684"/>
      <c r="BY1544" s="1684"/>
      <c r="BZ1544" s="1684"/>
      <c r="CA1544" s="1684"/>
      <c r="CB1544" s="1684"/>
      <c r="CC1544" s="1684"/>
      <c r="CD1544" s="1684"/>
      <c r="CE1544" s="1684"/>
      <c r="CF1544" s="1684"/>
      <c r="CG1544" s="1684"/>
      <c r="CH1544" s="1684"/>
      <c r="CI1544" s="1684"/>
      <c r="CJ1544" s="1684"/>
      <c r="CK1544" s="1684"/>
      <c r="CL1544" s="1684"/>
      <c r="CM1544" s="1684"/>
      <c r="CN1544" s="1684"/>
      <c r="CO1544" s="1684"/>
      <c r="CP1544" s="1391"/>
      <c r="CQ1544" s="1391"/>
      <c r="CR1544" s="1391"/>
      <c r="CS1544" s="1391"/>
      <c r="CT1544" s="1391"/>
      <c r="CU1544" s="1391"/>
      <c r="CV1544" s="1391"/>
      <c r="CW1544" s="1391"/>
      <c r="CX1544" s="1391"/>
      <c r="CY1544" s="1391"/>
      <c r="CZ1544" s="1391"/>
      <c r="DA1544" s="1391"/>
      <c r="DB1544" s="1391"/>
      <c r="DC1544" s="1391"/>
      <c r="DD1544" s="1391"/>
      <c r="DE1544" s="1391"/>
      <c r="DF1544" s="1391"/>
      <c r="DG1544" s="1391"/>
      <c r="DH1544" s="1391"/>
      <c r="DI1544" s="1391"/>
    </row>
    <row r="1545" spans="1:113" ht="15.75" x14ac:dyDescent="0.25">
      <c r="A1545" s="1684"/>
      <c r="B1545" s="1684"/>
      <c r="C1545" s="1684"/>
      <c r="D1545" s="1684"/>
      <c r="E1545" s="1417">
        <v>10</v>
      </c>
      <c r="F1545" s="1417">
        <v>21</v>
      </c>
      <c r="G1545" s="1417">
        <f t="shared" si="1"/>
        <v>2.1</v>
      </c>
      <c r="H1545" s="1417">
        <f t="shared" si="2"/>
        <v>0.47619047619047616</v>
      </c>
      <c r="I1545" s="1417"/>
      <c r="J1545" s="1417"/>
      <c r="K1545" s="1417"/>
      <c r="L1545" s="1417"/>
      <c r="M1545" s="1684"/>
      <c r="N1545" s="1684"/>
      <c r="O1545" s="1684"/>
      <c r="P1545" s="1684"/>
      <c r="Q1545" s="1684"/>
      <c r="R1545" s="1684"/>
      <c r="S1545" s="1684"/>
      <c r="T1545" s="1684"/>
      <c r="U1545" s="1684"/>
      <c r="V1545" s="1684"/>
      <c r="W1545" s="1684"/>
      <c r="X1545" s="1684"/>
      <c r="Y1545" s="1684"/>
      <c r="Z1545" s="1684"/>
      <c r="AA1545" s="1684"/>
      <c r="AB1545" s="1684"/>
      <c r="AC1545" s="1684"/>
      <c r="AD1545" s="1684"/>
      <c r="AE1545" s="1684"/>
      <c r="AF1545" s="1684"/>
      <c r="AG1545" s="1684"/>
      <c r="AH1545" s="1684"/>
      <c r="AI1545" s="1684"/>
      <c r="AJ1545" s="1684"/>
      <c r="AK1545" s="1684"/>
      <c r="AL1545" s="1684"/>
      <c r="AM1545" s="1684"/>
      <c r="AN1545" s="1684"/>
      <c r="AO1545" s="1684"/>
      <c r="AP1545" s="1684"/>
      <c r="AQ1545" s="1684"/>
      <c r="AR1545" s="1684"/>
      <c r="AS1545" s="1684"/>
      <c r="AT1545" s="1684"/>
      <c r="AU1545" s="1684"/>
      <c r="AV1545" s="1684"/>
      <c r="AW1545" s="1684"/>
      <c r="AX1545" s="1684"/>
      <c r="AY1545" s="1684"/>
      <c r="AZ1545" s="1684"/>
      <c r="BA1545" s="1684"/>
      <c r="BB1545" s="1684"/>
      <c r="BC1545" s="1684"/>
      <c r="BD1545" s="1684"/>
      <c r="BE1545" s="1684"/>
      <c r="BF1545" s="1684"/>
      <c r="BG1545" s="1684"/>
      <c r="BH1545" s="1684"/>
      <c r="BI1545" s="1684"/>
      <c r="BJ1545" s="1684"/>
      <c r="BK1545" s="1684"/>
      <c r="BL1545" s="1684"/>
      <c r="BM1545" s="1684"/>
      <c r="BN1545" s="1684"/>
      <c r="BO1545" s="1684"/>
      <c r="BP1545" s="1684"/>
      <c r="BQ1545" s="1684"/>
      <c r="BR1545" s="1684"/>
      <c r="BS1545" s="1684"/>
      <c r="BT1545" s="1684"/>
      <c r="BU1545" s="1684"/>
      <c r="BV1545" s="1684"/>
      <c r="BW1545" s="1684"/>
      <c r="BX1545" s="1684"/>
      <c r="BY1545" s="1684"/>
      <c r="BZ1545" s="1684"/>
      <c r="CA1545" s="1684"/>
      <c r="CB1545" s="1684"/>
      <c r="CC1545" s="1684"/>
      <c r="CD1545" s="1684"/>
      <c r="CE1545" s="1684"/>
      <c r="CF1545" s="1684"/>
      <c r="CG1545" s="1684"/>
      <c r="CH1545" s="1684"/>
      <c r="CI1545" s="1684"/>
      <c r="CJ1545" s="1684"/>
      <c r="CK1545" s="1684"/>
      <c r="CL1545" s="1684"/>
      <c r="CM1545" s="1684"/>
      <c r="CN1545" s="1684"/>
      <c r="CO1545" s="1684"/>
      <c r="CP1545" s="1391"/>
      <c r="CQ1545" s="1391"/>
      <c r="CR1545" s="1391"/>
      <c r="CS1545" s="1391"/>
      <c r="CT1545" s="1391"/>
      <c r="CU1545" s="1391"/>
      <c r="CV1545" s="1391"/>
      <c r="CW1545" s="1391"/>
      <c r="CX1545" s="1391"/>
      <c r="CY1545" s="1391"/>
      <c r="CZ1545" s="1391"/>
      <c r="DA1545" s="1391"/>
      <c r="DB1545" s="1391"/>
      <c r="DC1545" s="1391"/>
      <c r="DD1545" s="1391"/>
      <c r="DE1545" s="1391"/>
      <c r="DF1545" s="1391"/>
      <c r="DG1545" s="1391"/>
      <c r="DH1545" s="1391"/>
      <c r="DI1545" s="1391"/>
    </row>
    <row r="1546" spans="1:113" ht="15.75" x14ac:dyDescent="0.25">
      <c r="A1546" s="1684"/>
      <c r="B1546" s="1684"/>
      <c r="C1546" s="1684"/>
      <c r="D1546" s="1684"/>
      <c r="E1546" s="1417">
        <v>10</v>
      </c>
      <c r="F1546" s="1417">
        <v>22</v>
      </c>
      <c r="G1546" s="1417">
        <f t="shared" si="1"/>
        <v>2.2000000000000002</v>
      </c>
      <c r="H1546" s="1417">
        <f t="shared" si="2"/>
        <v>0.45454545454545453</v>
      </c>
      <c r="I1546" s="1417"/>
      <c r="J1546" s="1417"/>
      <c r="K1546" s="1417"/>
      <c r="L1546" s="1417"/>
      <c r="M1546" s="1684"/>
      <c r="N1546" s="1684"/>
      <c r="O1546" s="1684"/>
      <c r="P1546" s="1684"/>
      <c r="Q1546" s="1684"/>
      <c r="R1546" s="1684"/>
      <c r="S1546" s="1684"/>
      <c r="T1546" s="1684"/>
      <c r="U1546" s="1684"/>
      <c r="V1546" s="1684"/>
      <c r="W1546" s="1684"/>
      <c r="X1546" s="1684"/>
      <c r="Y1546" s="1684"/>
      <c r="Z1546" s="1684"/>
      <c r="AA1546" s="1684"/>
      <c r="AB1546" s="1684"/>
      <c r="AC1546" s="1684"/>
      <c r="AD1546" s="1684"/>
      <c r="AE1546" s="1684"/>
      <c r="AF1546" s="1684"/>
      <c r="AG1546" s="1684"/>
      <c r="AH1546" s="1684"/>
      <c r="AI1546" s="1684"/>
      <c r="AJ1546" s="1684"/>
      <c r="AK1546" s="1684"/>
      <c r="AL1546" s="1684"/>
      <c r="AM1546" s="1684"/>
      <c r="AN1546" s="1684"/>
      <c r="AO1546" s="1684"/>
      <c r="AP1546" s="1684"/>
      <c r="AQ1546" s="1684"/>
      <c r="AR1546" s="1684"/>
      <c r="AS1546" s="1684"/>
      <c r="AT1546" s="1684"/>
      <c r="AU1546" s="1684"/>
      <c r="AV1546" s="1684"/>
      <c r="AW1546" s="1684"/>
      <c r="AX1546" s="1684"/>
      <c r="AY1546" s="1684"/>
      <c r="AZ1546" s="1684"/>
      <c r="BA1546" s="1684"/>
      <c r="BB1546" s="1684"/>
      <c r="BC1546" s="1684"/>
      <c r="BD1546" s="1684"/>
      <c r="BE1546" s="1684"/>
      <c r="BF1546" s="1684"/>
      <c r="BG1546" s="1684"/>
      <c r="BH1546" s="1684"/>
      <c r="BI1546" s="1684"/>
      <c r="BJ1546" s="1684"/>
      <c r="BK1546" s="1684"/>
      <c r="BL1546" s="1684"/>
      <c r="BM1546" s="1684"/>
      <c r="BN1546" s="1684"/>
      <c r="BO1546" s="1684"/>
      <c r="BP1546" s="1684"/>
      <c r="BQ1546" s="1684"/>
      <c r="BR1546" s="1684"/>
      <c r="BS1546" s="1684"/>
      <c r="BT1546" s="1684"/>
      <c r="BU1546" s="1684"/>
      <c r="BV1546" s="1684"/>
      <c r="BW1546" s="1684"/>
      <c r="BX1546" s="1684"/>
      <c r="BY1546" s="1684"/>
      <c r="BZ1546" s="1684"/>
      <c r="CA1546" s="1684"/>
      <c r="CB1546" s="1684"/>
      <c r="CC1546" s="1684"/>
      <c r="CD1546" s="1684"/>
      <c r="CE1546" s="1684"/>
      <c r="CF1546" s="1684"/>
      <c r="CG1546" s="1684"/>
      <c r="CH1546" s="1684"/>
      <c r="CI1546" s="1684"/>
      <c r="CJ1546" s="1684"/>
      <c r="CK1546" s="1684"/>
      <c r="CL1546" s="1684"/>
      <c r="CM1546" s="1684"/>
      <c r="CN1546" s="1684"/>
      <c r="CO1546" s="1684"/>
      <c r="CP1546" s="1391"/>
      <c r="CQ1546" s="1391"/>
      <c r="CR1546" s="1391"/>
      <c r="CS1546" s="1391"/>
      <c r="CT1546" s="1391"/>
      <c r="CU1546" s="1391"/>
      <c r="CV1546" s="1391"/>
      <c r="CW1546" s="1391"/>
      <c r="CX1546" s="1391"/>
      <c r="CY1546" s="1391"/>
      <c r="CZ1546" s="1391"/>
      <c r="DA1546" s="1391"/>
      <c r="DB1546" s="1391"/>
      <c r="DC1546" s="1391"/>
      <c r="DD1546" s="1391"/>
      <c r="DE1546" s="1391"/>
      <c r="DF1546" s="1391"/>
      <c r="DG1546" s="1391"/>
      <c r="DH1546" s="1391"/>
      <c r="DI1546" s="1391"/>
    </row>
    <row r="1547" spans="1:113" ht="15.75" x14ac:dyDescent="0.25">
      <c r="A1547" s="1684"/>
      <c r="B1547" s="1684"/>
      <c r="C1547" s="1684"/>
      <c r="D1547" s="1684"/>
      <c r="E1547" s="1417">
        <v>12</v>
      </c>
      <c r="F1547" s="1417">
        <v>27</v>
      </c>
      <c r="G1547" s="1417">
        <f t="shared" si="1"/>
        <v>2.25</v>
      </c>
      <c r="H1547" s="1417">
        <f t="shared" si="2"/>
        <v>0.44444444444444442</v>
      </c>
      <c r="I1547" s="1417"/>
      <c r="J1547" s="1417"/>
      <c r="K1547" s="1417"/>
      <c r="L1547" s="1417"/>
      <c r="M1547" s="1684"/>
      <c r="N1547" s="1684"/>
      <c r="O1547" s="1684"/>
      <c r="P1547" s="1684"/>
      <c r="Q1547" s="1684"/>
      <c r="R1547" s="1684"/>
      <c r="S1547" s="1684"/>
      <c r="T1547" s="1684"/>
      <c r="U1547" s="1684"/>
      <c r="V1547" s="1684"/>
      <c r="W1547" s="1684"/>
      <c r="X1547" s="1684"/>
      <c r="Y1547" s="1684"/>
      <c r="Z1547" s="1684"/>
      <c r="AA1547" s="1684"/>
      <c r="AB1547" s="1684"/>
      <c r="AC1547" s="1684"/>
      <c r="AD1547" s="1684"/>
      <c r="AE1547" s="1684"/>
      <c r="AF1547" s="1684"/>
      <c r="AG1547" s="1684"/>
      <c r="AH1547" s="1684"/>
      <c r="AI1547" s="1684"/>
      <c r="AJ1547" s="1684"/>
      <c r="AK1547" s="1684"/>
      <c r="AL1547" s="1684"/>
      <c r="AM1547" s="1684"/>
      <c r="AN1547" s="1684"/>
      <c r="AO1547" s="1684"/>
      <c r="AP1547" s="1684"/>
      <c r="AQ1547" s="1684"/>
      <c r="AR1547" s="1684"/>
      <c r="AS1547" s="1684"/>
      <c r="AT1547" s="1684"/>
      <c r="AU1547" s="1684"/>
      <c r="AV1547" s="1684"/>
      <c r="AW1547" s="1684"/>
      <c r="AX1547" s="1684"/>
      <c r="AY1547" s="1684"/>
      <c r="AZ1547" s="1684"/>
      <c r="BA1547" s="1684"/>
      <c r="BB1547" s="1684"/>
      <c r="BC1547" s="1684"/>
      <c r="BD1547" s="1684"/>
      <c r="BE1547" s="1684"/>
      <c r="BF1547" s="1684"/>
      <c r="BG1547" s="1684"/>
      <c r="BH1547" s="1684"/>
      <c r="BI1547" s="1684"/>
      <c r="BJ1547" s="1684"/>
      <c r="BK1547" s="1684"/>
      <c r="BL1547" s="1684"/>
      <c r="BM1547" s="1684"/>
      <c r="BN1547" s="1684"/>
      <c r="BO1547" s="1684"/>
      <c r="BP1547" s="1684"/>
      <c r="BQ1547" s="1684"/>
      <c r="BR1547" s="1684"/>
      <c r="BS1547" s="1684"/>
      <c r="BT1547" s="1684"/>
      <c r="BU1547" s="1684"/>
      <c r="BV1547" s="1684"/>
      <c r="BW1547" s="1684"/>
      <c r="BX1547" s="1684"/>
      <c r="BY1547" s="1684"/>
      <c r="BZ1547" s="1684"/>
      <c r="CA1547" s="1684"/>
      <c r="CB1547" s="1684"/>
      <c r="CC1547" s="1684"/>
      <c r="CD1547" s="1684"/>
      <c r="CE1547" s="1684"/>
      <c r="CF1547" s="1684"/>
      <c r="CG1547" s="1684"/>
      <c r="CH1547" s="1684"/>
      <c r="CI1547" s="1684"/>
      <c r="CJ1547" s="1684"/>
      <c r="CK1547" s="1684"/>
      <c r="CL1547" s="1684"/>
      <c r="CM1547" s="1684"/>
      <c r="CN1547" s="1684"/>
      <c r="CO1547" s="1684"/>
      <c r="CP1547" s="1391"/>
      <c r="CQ1547" s="1391"/>
      <c r="CR1547" s="1391"/>
      <c r="CS1547" s="1391"/>
      <c r="CT1547" s="1391"/>
      <c r="CU1547" s="1391"/>
      <c r="CV1547" s="1391"/>
      <c r="CW1547" s="1391"/>
      <c r="CX1547" s="1391"/>
      <c r="CY1547" s="1391"/>
      <c r="CZ1547" s="1391"/>
      <c r="DA1547" s="1391"/>
      <c r="DB1547" s="1391"/>
      <c r="DC1547" s="1391"/>
      <c r="DD1547" s="1391"/>
      <c r="DE1547" s="1391"/>
      <c r="DF1547" s="1391"/>
      <c r="DG1547" s="1391"/>
      <c r="DH1547" s="1391"/>
      <c r="DI1547" s="1391"/>
    </row>
    <row r="1548" spans="1:113" ht="15.75" x14ac:dyDescent="0.25">
      <c r="A1548" s="1684"/>
      <c r="B1548" s="1684"/>
      <c r="C1548" s="1684"/>
      <c r="D1548" s="1684"/>
      <c r="E1548" s="1417">
        <v>12</v>
      </c>
      <c r="F1548" s="1417">
        <v>28</v>
      </c>
      <c r="G1548" s="1417">
        <f t="shared" si="1"/>
        <v>2.3333333333333335</v>
      </c>
      <c r="H1548" s="1417">
        <f t="shared" si="2"/>
        <v>0.42857142857142855</v>
      </c>
      <c r="I1548" s="1417"/>
      <c r="J1548" s="1417"/>
      <c r="K1548" s="1417"/>
      <c r="L1548" s="1417"/>
      <c r="M1548" s="1684"/>
      <c r="N1548" s="1684"/>
      <c r="O1548" s="1684"/>
      <c r="P1548" s="1684"/>
      <c r="Q1548" s="1684"/>
      <c r="R1548" s="1684"/>
      <c r="S1548" s="1684"/>
      <c r="T1548" s="1684"/>
      <c r="U1548" s="1684"/>
      <c r="V1548" s="1684"/>
      <c r="W1548" s="1684"/>
      <c r="X1548" s="1684"/>
      <c r="Y1548" s="1684"/>
      <c r="Z1548" s="1684"/>
      <c r="AA1548" s="1684"/>
      <c r="AB1548" s="1684"/>
      <c r="AC1548" s="1684"/>
      <c r="AD1548" s="1684"/>
      <c r="AE1548" s="1684"/>
      <c r="AF1548" s="1684"/>
      <c r="AG1548" s="1684"/>
      <c r="AH1548" s="1684"/>
      <c r="AI1548" s="1684"/>
      <c r="AJ1548" s="1684"/>
      <c r="AK1548" s="1684"/>
      <c r="AL1548" s="1684"/>
      <c r="AM1548" s="1684"/>
      <c r="AN1548" s="1684"/>
      <c r="AO1548" s="1684"/>
      <c r="AP1548" s="1684"/>
      <c r="AQ1548" s="1684"/>
      <c r="AR1548" s="1684"/>
      <c r="AS1548" s="1684"/>
      <c r="AT1548" s="1684"/>
      <c r="AU1548" s="1684"/>
      <c r="AV1548" s="1684"/>
      <c r="AW1548" s="1684"/>
      <c r="AX1548" s="1684"/>
      <c r="AY1548" s="1684"/>
      <c r="AZ1548" s="1684"/>
      <c r="BA1548" s="1684"/>
      <c r="BB1548" s="1684"/>
      <c r="BC1548" s="1684"/>
      <c r="BD1548" s="1684"/>
      <c r="BE1548" s="1684"/>
      <c r="BF1548" s="1684"/>
      <c r="BG1548" s="1684"/>
      <c r="BH1548" s="1684"/>
      <c r="BI1548" s="1684"/>
      <c r="BJ1548" s="1684"/>
      <c r="BK1548" s="1684"/>
      <c r="BL1548" s="1684"/>
      <c r="BM1548" s="1684"/>
      <c r="BN1548" s="1684"/>
      <c r="BO1548" s="1684"/>
      <c r="BP1548" s="1684"/>
      <c r="BQ1548" s="1684"/>
      <c r="BR1548" s="1684"/>
      <c r="BS1548" s="1684"/>
      <c r="BT1548" s="1684"/>
      <c r="BU1548" s="1684"/>
      <c r="BV1548" s="1684"/>
      <c r="BW1548" s="1684"/>
      <c r="BX1548" s="1684"/>
      <c r="BY1548" s="1684"/>
      <c r="BZ1548" s="1684"/>
      <c r="CA1548" s="1684"/>
      <c r="CB1548" s="1684"/>
      <c r="CC1548" s="1684"/>
      <c r="CD1548" s="1684"/>
      <c r="CE1548" s="1684"/>
      <c r="CF1548" s="1684"/>
      <c r="CG1548" s="1684"/>
      <c r="CH1548" s="1684"/>
      <c r="CI1548" s="1684"/>
      <c r="CJ1548" s="1684"/>
      <c r="CK1548" s="1684"/>
      <c r="CL1548" s="1684"/>
      <c r="CM1548" s="1684"/>
      <c r="CN1548" s="1684"/>
      <c r="CO1548" s="1684"/>
      <c r="CP1548" s="1391"/>
      <c r="CQ1548" s="1391"/>
      <c r="CR1548" s="1391"/>
      <c r="CS1548" s="1391"/>
      <c r="CT1548" s="1391"/>
      <c r="CU1548" s="1391"/>
      <c r="CV1548" s="1391"/>
      <c r="CW1548" s="1391"/>
      <c r="CX1548" s="1391"/>
      <c r="CY1548" s="1391"/>
      <c r="CZ1548" s="1391"/>
      <c r="DA1548" s="1391"/>
      <c r="DB1548" s="1391"/>
      <c r="DC1548" s="1391"/>
      <c r="DD1548" s="1391"/>
      <c r="DE1548" s="1391"/>
      <c r="DF1548" s="1391"/>
      <c r="DG1548" s="1391"/>
      <c r="DH1548" s="1391"/>
      <c r="DI1548" s="1391"/>
    </row>
    <row r="1549" spans="1:113" ht="15.75" x14ac:dyDescent="0.25">
      <c r="A1549" s="1684"/>
      <c r="B1549" s="1684"/>
      <c r="C1549" s="1684"/>
      <c r="D1549" s="1684"/>
      <c r="E1549" s="1417">
        <v>14</v>
      </c>
      <c r="F1549" s="1417">
        <v>33</v>
      </c>
      <c r="G1549" s="1417">
        <f t="shared" si="1"/>
        <v>2.3571428571428572</v>
      </c>
      <c r="H1549" s="1417">
        <f t="shared" si="2"/>
        <v>0.42424242424242425</v>
      </c>
      <c r="I1549" s="1417"/>
      <c r="J1549" s="1417"/>
      <c r="K1549" s="1417"/>
      <c r="L1549" s="1417"/>
      <c r="M1549" s="1684"/>
      <c r="N1549" s="1684"/>
      <c r="O1549" s="1684"/>
      <c r="P1549" s="1684"/>
      <c r="Q1549" s="1684"/>
      <c r="R1549" s="1684"/>
      <c r="S1549" s="1684"/>
      <c r="T1549" s="1684"/>
      <c r="U1549" s="1684"/>
      <c r="V1549" s="1684"/>
      <c r="W1549" s="1684"/>
      <c r="X1549" s="1684"/>
      <c r="Y1549" s="1684"/>
      <c r="Z1549" s="1684"/>
      <c r="AA1549" s="1684"/>
      <c r="AB1549" s="1684"/>
      <c r="AC1549" s="1684"/>
      <c r="AD1549" s="1684"/>
      <c r="AE1549" s="1684"/>
      <c r="AF1549" s="1684"/>
      <c r="AG1549" s="1684"/>
      <c r="AH1549" s="1684"/>
      <c r="AI1549" s="1684"/>
      <c r="AJ1549" s="1684"/>
      <c r="AK1549" s="1684"/>
      <c r="AL1549" s="1684"/>
      <c r="AM1549" s="1684"/>
      <c r="AN1549" s="1684"/>
      <c r="AO1549" s="1684"/>
      <c r="AP1549" s="1684"/>
      <c r="AQ1549" s="1684"/>
      <c r="AR1549" s="1684"/>
      <c r="AS1549" s="1684"/>
      <c r="AT1549" s="1684"/>
      <c r="AU1549" s="1684"/>
      <c r="AV1549" s="1684"/>
      <c r="AW1549" s="1684"/>
      <c r="AX1549" s="1684"/>
      <c r="AY1549" s="1684"/>
      <c r="AZ1549" s="1684"/>
      <c r="BA1549" s="1684"/>
      <c r="BB1549" s="1684"/>
      <c r="BC1549" s="1684"/>
      <c r="BD1549" s="1684"/>
      <c r="BE1549" s="1684"/>
      <c r="BF1549" s="1684"/>
      <c r="BG1549" s="1684"/>
      <c r="BH1549" s="1684"/>
      <c r="BI1549" s="1684"/>
      <c r="BJ1549" s="1684"/>
      <c r="BK1549" s="1684"/>
      <c r="BL1549" s="1684"/>
      <c r="BM1549" s="1684"/>
      <c r="BN1549" s="1684"/>
      <c r="BO1549" s="1684"/>
      <c r="BP1549" s="1684"/>
      <c r="BQ1549" s="1684"/>
      <c r="BR1549" s="1684"/>
      <c r="BS1549" s="1684"/>
      <c r="BT1549" s="1684"/>
      <c r="BU1549" s="1684"/>
      <c r="BV1549" s="1684"/>
      <c r="BW1549" s="1684"/>
      <c r="BX1549" s="1684"/>
      <c r="BY1549" s="1684"/>
      <c r="BZ1549" s="1684"/>
      <c r="CA1549" s="1684"/>
      <c r="CB1549" s="1684"/>
      <c r="CC1549" s="1684"/>
      <c r="CD1549" s="1684"/>
      <c r="CE1549" s="1684"/>
      <c r="CF1549" s="1684"/>
      <c r="CG1549" s="1684"/>
      <c r="CH1549" s="1684"/>
      <c r="CI1549" s="1684"/>
      <c r="CJ1549" s="1684"/>
      <c r="CK1549" s="1684"/>
      <c r="CL1549" s="1684"/>
      <c r="CM1549" s="1684"/>
      <c r="CN1549" s="1684"/>
      <c r="CO1549" s="1684"/>
      <c r="CP1549" s="1391"/>
      <c r="CQ1549" s="1391"/>
      <c r="CR1549" s="1391"/>
      <c r="CS1549" s="1391"/>
      <c r="CT1549" s="1391"/>
      <c r="CU1549" s="1391"/>
      <c r="CV1549" s="1391"/>
      <c r="CW1549" s="1391"/>
      <c r="CX1549" s="1391"/>
      <c r="CY1549" s="1391"/>
      <c r="CZ1549" s="1391"/>
      <c r="DA1549" s="1391"/>
      <c r="DB1549" s="1391"/>
      <c r="DC1549" s="1391"/>
      <c r="DD1549" s="1391"/>
      <c r="DE1549" s="1391"/>
      <c r="DF1549" s="1391"/>
      <c r="DG1549" s="1391"/>
      <c r="DH1549" s="1391"/>
      <c r="DI1549" s="1391"/>
    </row>
    <row r="1550" spans="1:113" ht="15.75" x14ac:dyDescent="0.25">
      <c r="A1550" s="1684"/>
      <c r="B1550" s="1684"/>
      <c r="C1550" s="1684"/>
      <c r="D1550" s="1684"/>
      <c r="E1550" s="1417">
        <v>14</v>
      </c>
      <c r="F1550" s="1417">
        <v>34</v>
      </c>
      <c r="G1550" s="1417">
        <f t="shared" si="1"/>
        <v>2.4285714285714284</v>
      </c>
      <c r="H1550" s="1417">
        <f t="shared" si="2"/>
        <v>0.41176470588235292</v>
      </c>
      <c r="I1550" s="1417"/>
      <c r="J1550" s="1417"/>
      <c r="K1550" s="1417"/>
      <c r="L1550" s="1417"/>
      <c r="M1550" s="1684"/>
      <c r="N1550" s="1684"/>
      <c r="O1550" s="1684"/>
      <c r="P1550" s="1684"/>
      <c r="Q1550" s="1684"/>
      <c r="R1550" s="1684"/>
      <c r="S1550" s="1684"/>
      <c r="T1550" s="1684"/>
      <c r="U1550" s="1684"/>
      <c r="V1550" s="1684"/>
      <c r="W1550" s="1684"/>
      <c r="X1550" s="1684"/>
      <c r="Y1550" s="1684"/>
      <c r="Z1550" s="1684"/>
      <c r="AA1550" s="1684"/>
      <c r="AB1550" s="1684"/>
      <c r="AC1550" s="1684"/>
      <c r="AD1550" s="1684"/>
      <c r="AE1550" s="1684"/>
      <c r="AF1550" s="1684"/>
      <c r="AG1550" s="1684"/>
      <c r="AH1550" s="1684"/>
      <c r="AI1550" s="1684"/>
      <c r="AJ1550" s="1684"/>
      <c r="AK1550" s="1684"/>
      <c r="AL1550" s="1684"/>
      <c r="AM1550" s="1684"/>
      <c r="AN1550" s="1684"/>
      <c r="AO1550" s="1684"/>
      <c r="AP1550" s="1684"/>
      <c r="AQ1550" s="1684"/>
      <c r="AR1550" s="1684"/>
      <c r="AS1550" s="1684"/>
      <c r="AT1550" s="1684"/>
      <c r="AU1550" s="1684"/>
      <c r="AV1550" s="1684"/>
      <c r="AW1550" s="1684"/>
      <c r="AX1550" s="1684"/>
      <c r="AY1550" s="1684"/>
      <c r="AZ1550" s="1684"/>
      <c r="BA1550" s="1684"/>
      <c r="BB1550" s="1684"/>
      <c r="BC1550" s="1684"/>
      <c r="BD1550" s="1684"/>
      <c r="BE1550" s="1684"/>
      <c r="BF1550" s="1684"/>
      <c r="BG1550" s="1684"/>
      <c r="BH1550" s="1684"/>
      <c r="BI1550" s="1684"/>
      <c r="BJ1550" s="1684"/>
      <c r="BK1550" s="1684"/>
      <c r="BL1550" s="1684"/>
      <c r="BM1550" s="1684"/>
      <c r="BN1550" s="1684"/>
      <c r="BO1550" s="1684"/>
      <c r="BP1550" s="1684"/>
      <c r="BQ1550" s="1684"/>
      <c r="BR1550" s="1684"/>
      <c r="BS1550" s="1684"/>
      <c r="BT1550" s="1684"/>
      <c r="BU1550" s="1684"/>
      <c r="BV1550" s="1684"/>
      <c r="BW1550" s="1684"/>
      <c r="BX1550" s="1684"/>
      <c r="BY1550" s="1684"/>
      <c r="BZ1550" s="1684"/>
      <c r="CA1550" s="1684"/>
      <c r="CB1550" s="1684"/>
      <c r="CC1550" s="1684"/>
      <c r="CD1550" s="1684"/>
      <c r="CE1550" s="1684"/>
      <c r="CF1550" s="1684"/>
      <c r="CG1550" s="1684"/>
      <c r="CH1550" s="1684"/>
      <c r="CI1550" s="1684"/>
      <c r="CJ1550" s="1684"/>
      <c r="CK1550" s="1684"/>
      <c r="CL1550" s="1684"/>
      <c r="CM1550" s="1684"/>
      <c r="CN1550" s="1684"/>
      <c r="CO1550" s="1684"/>
      <c r="CP1550" s="1391"/>
      <c r="CQ1550" s="1391"/>
      <c r="CR1550" s="1391"/>
      <c r="CS1550" s="1391"/>
      <c r="CT1550" s="1391"/>
      <c r="CU1550" s="1391"/>
      <c r="CV1550" s="1391"/>
      <c r="CW1550" s="1391"/>
      <c r="CX1550" s="1391"/>
      <c r="CY1550" s="1391"/>
      <c r="CZ1550" s="1391"/>
      <c r="DA1550" s="1391"/>
      <c r="DB1550" s="1391"/>
      <c r="DC1550" s="1391"/>
      <c r="DD1550" s="1391"/>
      <c r="DE1550" s="1391"/>
      <c r="DF1550" s="1391"/>
      <c r="DG1550" s="1391"/>
      <c r="DH1550" s="1391"/>
      <c r="DI1550" s="1391"/>
    </row>
    <row r="1551" spans="1:113" ht="15.75" x14ac:dyDescent="0.25">
      <c r="A1551" s="1684"/>
      <c r="B1551" s="1684"/>
      <c r="C1551" s="1684"/>
      <c r="D1551" s="1684"/>
      <c r="E1551" s="1417">
        <v>16</v>
      </c>
      <c r="F1551" s="1417">
        <v>38</v>
      </c>
      <c r="G1551" s="1417">
        <f t="shared" si="1"/>
        <v>2.375</v>
      </c>
      <c r="H1551" s="1417">
        <f t="shared" si="2"/>
        <v>0.42105263157894735</v>
      </c>
      <c r="I1551" s="1417"/>
      <c r="J1551" s="1417"/>
      <c r="K1551" s="1417"/>
      <c r="L1551" s="1417"/>
      <c r="M1551" s="1684"/>
      <c r="N1551" s="1684"/>
      <c r="O1551" s="1684"/>
      <c r="P1551" s="1684"/>
      <c r="Q1551" s="1684"/>
      <c r="R1551" s="1684"/>
      <c r="S1551" s="1684"/>
      <c r="T1551" s="1684"/>
      <c r="U1551" s="1684"/>
      <c r="V1551" s="1684"/>
      <c r="W1551" s="1684"/>
      <c r="X1551" s="1684"/>
      <c r="Y1551" s="1684"/>
      <c r="Z1551" s="1684"/>
      <c r="AA1551" s="1684"/>
      <c r="AB1551" s="1684"/>
      <c r="AC1551" s="1684"/>
      <c r="AD1551" s="1684"/>
      <c r="AE1551" s="1684"/>
      <c r="AF1551" s="1684"/>
      <c r="AG1551" s="1684"/>
      <c r="AH1551" s="1684"/>
      <c r="AI1551" s="1684"/>
      <c r="AJ1551" s="1684"/>
      <c r="AK1551" s="1684"/>
      <c r="AL1551" s="1684"/>
      <c r="AM1551" s="1684"/>
      <c r="AN1551" s="1684"/>
      <c r="AO1551" s="1684"/>
      <c r="AP1551" s="1684"/>
      <c r="AQ1551" s="1684"/>
      <c r="AR1551" s="1684"/>
      <c r="AS1551" s="1684"/>
      <c r="AT1551" s="1684"/>
      <c r="AU1551" s="1684"/>
      <c r="AV1551" s="1684"/>
      <c r="AW1551" s="1684"/>
      <c r="AX1551" s="1684"/>
      <c r="AY1551" s="1684"/>
      <c r="AZ1551" s="1684"/>
      <c r="BA1551" s="1684"/>
      <c r="BB1551" s="1684"/>
      <c r="BC1551" s="1684"/>
      <c r="BD1551" s="1684"/>
      <c r="BE1551" s="1684"/>
      <c r="BF1551" s="1684"/>
      <c r="BG1551" s="1684"/>
      <c r="BH1551" s="1684"/>
      <c r="BI1551" s="1684"/>
      <c r="BJ1551" s="1684"/>
      <c r="BK1551" s="1684"/>
      <c r="BL1551" s="1684"/>
      <c r="BM1551" s="1684"/>
      <c r="BN1551" s="1684"/>
      <c r="BO1551" s="1684"/>
      <c r="BP1551" s="1684"/>
      <c r="BQ1551" s="1684"/>
      <c r="BR1551" s="1684"/>
      <c r="BS1551" s="1684"/>
      <c r="BT1551" s="1684"/>
      <c r="BU1551" s="1684"/>
      <c r="BV1551" s="1684"/>
      <c r="BW1551" s="1684"/>
      <c r="BX1551" s="1684"/>
      <c r="BY1551" s="1684"/>
      <c r="BZ1551" s="1684"/>
      <c r="CA1551" s="1684"/>
      <c r="CB1551" s="1684"/>
      <c r="CC1551" s="1684"/>
      <c r="CD1551" s="1684"/>
      <c r="CE1551" s="1684"/>
      <c r="CF1551" s="1684"/>
      <c r="CG1551" s="1684"/>
      <c r="CH1551" s="1684"/>
      <c r="CI1551" s="1684"/>
      <c r="CJ1551" s="1684"/>
      <c r="CK1551" s="1684"/>
      <c r="CL1551" s="1684"/>
      <c r="CM1551" s="1684"/>
      <c r="CN1551" s="1684"/>
      <c r="CO1551" s="1684"/>
      <c r="CP1551" s="1391"/>
      <c r="CQ1551" s="1391"/>
      <c r="CR1551" s="1391"/>
      <c r="CS1551" s="1391"/>
      <c r="CT1551" s="1391"/>
      <c r="CU1551" s="1391"/>
      <c r="CV1551" s="1391"/>
      <c r="CW1551" s="1391"/>
      <c r="CX1551" s="1391"/>
      <c r="CY1551" s="1391"/>
      <c r="CZ1551" s="1391"/>
      <c r="DA1551" s="1391"/>
      <c r="DB1551" s="1391"/>
      <c r="DC1551" s="1391"/>
      <c r="DD1551" s="1391"/>
      <c r="DE1551" s="1391"/>
      <c r="DF1551" s="1391"/>
      <c r="DG1551" s="1391"/>
      <c r="DH1551" s="1391"/>
      <c r="DI1551" s="1391"/>
    </row>
    <row r="1552" spans="1:113" ht="15.75" x14ac:dyDescent="0.25">
      <c r="A1552" s="1684"/>
      <c r="B1552" s="1684"/>
      <c r="C1552" s="1684"/>
      <c r="D1552" s="1684"/>
      <c r="E1552" s="1417">
        <v>16</v>
      </c>
      <c r="F1552" s="1417">
        <v>39</v>
      </c>
      <c r="G1552" s="1417">
        <f t="shared" si="1"/>
        <v>2.4375</v>
      </c>
      <c r="H1552" s="1417">
        <f t="shared" si="2"/>
        <v>0.41025641025641024</v>
      </c>
      <c r="I1552" s="1417"/>
      <c r="J1552" s="1417"/>
      <c r="K1552" s="1417"/>
      <c r="L1552" s="1417"/>
      <c r="M1552" s="1684"/>
      <c r="N1552" s="1684"/>
      <c r="O1552" s="1684"/>
      <c r="P1552" s="1684"/>
      <c r="Q1552" s="1684"/>
      <c r="R1552" s="1684"/>
      <c r="S1552" s="1684"/>
      <c r="T1552" s="1684"/>
      <c r="U1552" s="1684"/>
      <c r="V1552" s="1684"/>
      <c r="W1552" s="1684"/>
      <c r="X1552" s="1684"/>
      <c r="Y1552" s="1684"/>
      <c r="Z1552" s="1684"/>
      <c r="AA1552" s="1684"/>
      <c r="AB1552" s="1684"/>
      <c r="AC1552" s="1684"/>
      <c r="AD1552" s="1684"/>
      <c r="AE1552" s="1684"/>
      <c r="AF1552" s="1684"/>
      <c r="AG1552" s="1684"/>
      <c r="AH1552" s="1684"/>
      <c r="AI1552" s="1684"/>
      <c r="AJ1552" s="1684"/>
      <c r="AK1552" s="1684"/>
      <c r="AL1552" s="1684"/>
      <c r="AM1552" s="1684"/>
      <c r="AN1552" s="1684"/>
      <c r="AO1552" s="1684"/>
      <c r="AP1552" s="1684"/>
      <c r="AQ1552" s="1684"/>
      <c r="AR1552" s="1684"/>
      <c r="AS1552" s="1684"/>
      <c r="AT1552" s="1684"/>
      <c r="AU1552" s="1684"/>
      <c r="AV1552" s="1684"/>
      <c r="AW1552" s="1684"/>
      <c r="AX1552" s="1684"/>
      <c r="AY1552" s="1684"/>
      <c r="AZ1552" s="1684"/>
      <c r="BA1552" s="1684"/>
      <c r="BB1552" s="1684"/>
      <c r="BC1552" s="1684"/>
      <c r="BD1552" s="1684"/>
      <c r="BE1552" s="1684"/>
      <c r="BF1552" s="1684"/>
      <c r="BG1552" s="1684"/>
      <c r="BH1552" s="1684"/>
      <c r="BI1552" s="1684"/>
      <c r="BJ1552" s="1684"/>
      <c r="BK1552" s="1684"/>
      <c r="BL1552" s="1684"/>
      <c r="BM1552" s="1684"/>
      <c r="BN1552" s="1684"/>
      <c r="BO1552" s="1684"/>
      <c r="BP1552" s="1684"/>
      <c r="BQ1552" s="1684"/>
      <c r="BR1552" s="1684"/>
      <c r="BS1552" s="1684"/>
      <c r="BT1552" s="1684"/>
      <c r="BU1552" s="1684"/>
      <c r="BV1552" s="1684"/>
      <c r="BW1552" s="1684"/>
      <c r="BX1552" s="1684"/>
      <c r="BY1552" s="1684"/>
      <c r="BZ1552" s="1684"/>
      <c r="CA1552" s="1684"/>
      <c r="CB1552" s="1684"/>
      <c r="CC1552" s="1684"/>
      <c r="CD1552" s="1684"/>
      <c r="CE1552" s="1684"/>
      <c r="CF1552" s="1684"/>
      <c r="CG1552" s="1684"/>
      <c r="CH1552" s="1684"/>
      <c r="CI1552" s="1684"/>
      <c r="CJ1552" s="1684"/>
      <c r="CK1552" s="1684"/>
      <c r="CL1552" s="1684"/>
      <c r="CM1552" s="1684"/>
      <c r="CN1552" s="1684"/>
      <c r="CO1552" s="1684"/>
      <c r="CP1552" s="1391"/>
      <c r="CQ1552" s="1391"/>
      <c r="CR1552" s="1391"/>
      <c r="CS1552" s="1391"/>
      <c r="CT1552" s="1391"/>
      <c r="CU1552" s="1391"/>
      <c r="CV1552" s="1391"/>
      <c r="CW1552" s="1391"/>
      <c r="CX1552" s="1391"/>
      <c r="CY1552" s="1391"/>
      <c r="CZ1552" s="1391"/>
      <c r="DA1552" s="1391"/>
      <c r="DB1552" s="1391"/>
      <c r="DC1552" s="1391"/>
      <c r="DD1552" s="1391"/>
      <c r="DE1552" s="1391"/>
      <c r="DF1552" s="1391"/>
      <c r="DG1552" s="1391"/>
      <c r="DH1552" s="1391"/>
      <c r="DI1552" s="1391"/>
    </row>
    <row r="1553" spans="1:113" ht="15.75" x14ac:dyDescent="0.25">
      <c r="A1553" s="1684"/>
      <c r="B1553" s="1684"/>
      <c r="C1553" s="1684"/>
      <c r="D1553" s="1684"/>
      <c r="E1553" s="1417">
        <v>18</v>
      </c>
      <c r="F1553" s="1417">
        <v>42</v>
      </c>
      <c r="G1553" s="1417">
        <f t="shared" si="1"/>
        <v>2.3333333333333335</v>
      </c>
      <c r="H1553" s="1417">
        <f t="shared" si="2"/>
        <v>0.42857142857142855</v>
      </c>
      <c r="I1553" s="1417"/>
      <c r="J1553" s="1417"/>
      <c r="K1553" s="1417"/>
      <c r="L1553" s="1417"/>
      <c r="M1553" s="1684"/>
      <c r="N1553" s="1684"/>
      <c r="O1553" s="1684"/>
      <c r="P1553" s="1684"/>
      <c r="Q1553" s="1684"/>
      <c r="R1553" s="1684"/>
      <c r="S1553" s="1684"/>
      <c r="T1553" s="1684"/>
      <c r="U1553" s="1684"/>
      <c r="V1553" s="1684"/>
      <c r="W1553" s="1684"/>
      <c r="X1553" s="1684"/>
      <c r="Y1553" s="1684"/>
      <c r="Z1553" s="1684"/>
      <c r="AA1553" s="1684"/>
      <c r="AB1553" s="1684"/>
      <c r="AC1553" s="1684"/>
      <c r="AD1553" s="1684"/>
      <c r="AE1553" s="1684"/>
      <c r="AF1553" s="1684"/>
      <c r="AG1553" s="1684"/>
      <c r="AH1553" s="1684"/>
      <c r="AI1553" s="1684"/>
      <c r="AJ1553" s="1684"/>
      <c r="AK1553" s="1684"/>
      <c r="AL1553" s="1684"/>
      <c r="AM1553" s="1684"/>
      <c r="AN1553" s="1684"/>
      <c r="AO1553" s="1684"/>
      <c r="AP1553" s="1684"/>
      <c r="AQ1553" s="1684"/>
      <c r="AR1553" s="1684"/>
      <c r="AS1553" s="1684"/>
      <c r="AT1553" s="1684"/>
      <c r="AU1553" s="1684"/>
      <c r="AV1553" s="1684"/>
      <c r="AW1553" s="1684"/>
      <c r="AX1553" s="1684"/>
      <c r="AY1553" s="1684"/>
      <c r="AZ1553" s="1684"/>
      <c r="BA1553" s="1684"/>
      <c r="BB1553" s="1684"/>
      <c r="BC1553" s="1684"/>
      <c r="BD1553" s="1684"/>
      <c r="BE1553" s="1684"/>
      <c r="BF1553" s="1684"/>
      <c r="BG1553" s="1684"/>
      <c r="BH1553" s="1684"/>
      <c r="BI1553" s="1684"/>
      <c r="BJ1553" s="1684"/>
      <c r="BK1553" s="1684"/>
      <c r="BL1553" s="1684"/>
      <c r="BM1553" s="1684"/>
      <c r="BN1553" s="1684"/>
      <c r="BO1553" s="1684"/>
      <c r="BP1553" s="1684"/>
      <c r="BQ1553" s="1684"/>
      <c r="BR1553" s="1684"/>
      <c r="BS1553" s="1684"/>
      <c r="BT1553" s="1684"/>
      <c r="BU1553" s="1684"/>
      <c r="BV1553" s="1684"/>
      <c r="BW1553" s="1684"/>
      <c r="BX1553" s="1684"/>
      <c r="BY1553" s="1684"/>
      <c r="BZ1553" s="1684"/>
      <c r="CA1553" s="1684"/>
      <c r="CB1553" s="1684"/>
      <c r="CC1553" s="1684"/>
      <c r="CD1553" s="1684"/>
      <c r="CE1553" s="1684"/>
      <c r="CF1553" s="1684"/>
      <c r="CG1553" s="1684"/>
      <c r="CH1553" s="1684"/>
      <c r="CI1553" s="1684"/>
      <c r="CJ1553" s="1684"/>
      <c r="CK1553" s="1684"/>
      <c r="CL1553" s="1684"/>
      <c r="CM1553" s="1684"/>
      <c r="CN1553" s="1684"/>
      <c r="CO1553" s="1684"/>
      <c r="CP1553" s="1391"/>
      <c r="CQ1553" s="1391"/>
      <c r="CR1553" s="1391"/>
      <c r="CS1553" s="1391"/>
      <c r="CT1553" s="1391"/>
      <c r="CU1553" s="1391"/>
      <c r="CV1553" s="1391"/>
      <c r="CW1553" s="1391"/>
      <c r="CX1553" s="1391"/>
      <c r="CY1553" s="1391"/>
      <c r="CZ1553" s="1391"/>
      <c r="DA1553" s="1391"/>
      <c r="DB1553" s="1391"/>
      <c r="DC1553" s="1391"/>
      <c r="DD1553" s="1391"/>
      <c r="DE1553" s="1391"/>
      <c r="DF1553" s="1391"/>
      <c r="DG1553" s="1391"/>
      <c r="DH1553" s="1391"/>
      <c r="DI1553" s="1391"/>
    </row>
    <row r="1554" spans="1:113" ht="15.75" x14ac:dyDescent="0.25">
      <c r="A1554" s="1684"/>
      <c r="B1554" s="1684"/>
      <c r="C1554" s="1684"/>
      <c r="D1554" s="1684"/>
      <c r="E1554" s="1417"/>
      <c r="F1554" s="1417"/>
      <c r="G1554" s="1417">
        <f>SUM(G1540:G1553)</f>
        <v>30.773214285714282</v>
      </c>
      <c r="H1554" s="1417"/>
      <c r="I1554" s="1417"/>
      <c r="J1554" s="1417"/>
      <c r="K1554" s="1417"/>
      <c r="L1554" s="1417"/>
      <c r="M1554" s="1684"/>
      <c r="N1554" s="1684"/>
      <c r="O1554" s="1684"/>
      <c r="P1554" s="1684"/>
      <c r="Q1554" s="1684"/>
      <c r="R1554" s="1684"/>
      <c r="S1554" s="1684"/>
      <c r="T1554" s="1684"/>
      <c r="U1554" s="1684"/>
      <c r="V1554" s="1684"/>
      <c r="W1554" s="1684"/>
      <c r="X1554" s="1684"/>
      <c r="Y1554" s="1684"/>
      <c r="Z1554" s="1684"/>
      <c r="AA1554" s="1684"/>
      <c r="AB1554" s="1684"/>
      <c r="AC1554" s="1684"/>
      <c r="AD1554" s="1684"/>
      <c r="AE1554" s="1684"/>
      <c r="AF1554" s="1684"/>
      <c r="AG1554" s="1684"/>
      <c r="AH1554" s="1684"/>
      <c r="AI1554" s="1684"/>
      <c r="AJ1554" s="1684"/>
      <c r="AK1554" s="1684"/>
      <c r="AL1554" s="1684"/>
      <c r="AM1554" s="1684"/>
      <c r="AN1554" s="1684"/>
      <c r="AO1554" s="1684"/>
      <c r="AP1554" s="1684"/>
      <c r="AQ1554" s="1684"/>
      <c r="AR1554" s="1684"/>
      <c r="AS1554" s="1684"/>
      <c r="AT1554" s="1684"/>
      <c r="AU1554" s="1684"/>
      <c r="AV1554" s="1684"/>
      <c r="AW1554" s="1684"/>
      <c r="AX1554" s="1684"/>
      <c r="AY1554" s="1684"/>
      <c r="AZ1554" s="1684"/>
      <c r="BA1554" s="1684"/>
      <c r="BB1554" s="1684"/>
      <c r="BC1554" s="1684"/>
      <c r="BD1554" s="1684"/>
      <c r="BE1554" s="1684"/>
      <c r="BF1554" s="1684"/>
      <c r="BG1554" s="1684"/>
      <c r="BH1554" s="1684"/>
      <c r="BI1554" s="1684"/>
      <c r="BJ1554" s="1684"/>
      <c r="BK1554" s="1684"/>
      <c r="BL1554" s="1684"/>
      <c r="BM1554" s="1684"/>
      <c r="BN1554" s="1684"/>
      <c r="BO1554" s="1684"/>
      <c r="BP1554" s="1684"/>
      <c r="BQ1554" s="1684"/>
      <c r="BR1554" s="1684"/>
      <c r="BS1554" s="1684"/>
      <c r="BT1554" s="1684"/>
      <c r="BU1554" s="1684"/>
      <c r="BV1554" s="1684"/>
      <c r="BW1554" s="1684"/>
      <c r="BX1554" s="1684"/>
      <c r="BY1554" s="1684"/>
      <c r="BZ1554" s="1684"/>
      <c r="CA1554" s="1684"/>
      <c r="CB1554" s="1684"/>
      <c r="CC1554" s="1684"/>
      <c r="CD1554" s="1684"/>
      <c r="CE1554" s="1684"/>
      <c r="CF1554" s="1684"/>
      <c r="CG1554" s="1684"/>
      <c r="CH1554" s="1684"/>
      <c r="CI1554" s="1684"/>
      <c r="CJ1554" s="1684"/>
      <c r="CK1554" s="1684"/>
      <c r="CL1554" s="1684"/>
      <c r="CM1554" s="1684"/>
      <c r="CN1554" s="1684"/>
      <c r="CO1554" s="1684"/>
      <c r="CP1554" s="1391"/>
      <c r="CQ1554" s="1391"/>
      <c r="CR1554" s="1391"/>
      <c r="CS1554" s="1391"/>
      <c r="CT1554" s="1391"/>
      <c r="CU1554" s="1391"/>
      <c r="CV1554" s="1391"/>
      <c r="CW1554" s="1391"/>
      <c r="CX1554" s="1391"/>
      <c r="CY1554" s="1391"/>
      <c r="CZ1554" s="1391"/>
      <c r="DA1554" s="1391"/>
      <c r="DB1554" s="1391"/>
      <c r="DC1554" s="1391"/>
      <c r="DD1554" s="1391"/>
      <c r="DE1554" s="1391"/>
      <c r="DF1554" s="1391"/>
      <c r="DG1554" s="1391"/>
      <c r="DH1554" s="1391"/>
      <c r="DI1554" s="1391"/>
    </row>
    <row r="1555" spans="1:113" ht="15" x14ac:dyDescent="0.2">
      <c r="A1555" s="1684"/>
      <c r="B1555" s="1684"/>
      <c r="C1555" s="1684"/>
      <c r="D1555" s="1684"/>
      <c r="E1555" s="1684"/>
      <c r="F1555" s="1684"/>
      <c r="G1555" s="1684"/>
      <c r="H1555" s="1684"/>
      <c r="I1555" s="1684"/>
      <c r="J1555" s="1684"/>
      <c r="K1555" s="1684"/>
      <c r="L1555" s="1684"/>
      <c r="M1555" s="1684"/>
      <c r="N1555" s="1684"/>
      <c r="O1555" s="1684"/>
      <c r="P1555" s="1684"/>
      <c r="Q1555" s="1684"/>
      <c r="R1555" s="1684"/>
      <c r="S1555" s="1684"/>
      <c r="T1555" s="1684"/>
      <c r="U1555" s="1684"/>
      <c r="V1555" s="1684"/>
      <c r="W1555" s="1684"/>
      <c r="X1555" s="1684"/>
      <c r="Y1555" s="1684"/>
      <c r="Z1555" s="1684"/>
      <c r="AA1555" s="1684"/>
      <c r="AB1555" s="1684"/>
      <c r="AC1555" s="1684"/>
      <c r="AD1555" s="1684"/>
      <c r="AE1555" s="1684"/>
      <c r="AF1555" s="1684"/>
      <c r="AG1555" s="1684"/>
      <c r="AH1555" s="1684"/>
      <c r="AI1555" s="1684"/>
      <c r="AJ1555" s="1684"/>
      <c r="AK1555" s="1684"/>
      <c r="AL1555" s="1684"/>
      <c r="AM1555" s="1684"/>
      <c r="AN1555" s="1684"/>
      <c r="AO1555" s="1684"/>
      <c r="AP1555" s="1684"/>
      <c r="AQ1555" s="1684"/>
      <c r="AR1555" s="1684"/>
      <c r="AS1555" s="1684"/>
      <c r="AT1555" s="1684"/>
      <c r="AU1555" s="1684"/>
      <c r="AV1555" s="1684"/>
      <c r="AW1555" s="1684"/>
      <c r="AX1555" s="1684"/>
      <c r="AY1555" s="1684"/>
      <c r="AZ1555" s="1684"/>
      <c r="BA1555" s="1684"/>
      <c r="BB1555" s="1684"/>
      <c r="BC1555" s="1684"/>
      <c r="BD1555" s="1684"/>
      <c r="BE1555" s="1684"/>
      <c r="BF1555" s="1684"/>
      <c r="BG1555" s="1684"/>
      <c r="BH1555" s="1684"/>
      <c r="BI1555" s="1684"/>
      <c r="BJ1555" s="1684"/>
      <c r="BK1555" s="1684"/>
      <c r="BL1555" s="1684"/>
      <c r="BM1555" s="1684"/>
      <c r="BN1555" s="1684"/>
      <c r="BO1555" s="1684"/>
      <c r="BP1555" s="1684"/>
      <c r="BQ1555" s="1684"/>
      <c r="BR1555" s="1684"/>
      <c r="BS1555" s="1684"/>
      <c r="BT1555" s="1684"/>
      <c r="BU1555" s="1684"/>
      <c r="BV1555" s="1684"/>
      <c r="BW1555" s="1684"/>
      <c r="BX1555" s="1684"/>
      <c r="BY1555" s="1684"/>
      <c r="BZ1555" s="1684"/>
      <c r="CA1555" s="1684"/>
      <c r="CB1555" s="1684"/>
      <c r="CC1555" s="1684"/>
      <c r="CD1555" s="1684"/>
      <c r="CE1555" s="1684"/>
      <c r="CF1555" s="1684"/>
      <c r="CG1555" s="1684"/>
      <c r="CH1555" s="1684"/>
      <c r="CI1555" s="1684"/>
      <c r="CJ1555" s="1684"/>
      <c r="CK1555" s="1684"/>
      <c r="CL1555" s="1684"/>
      <c r="CM1555" s="1684"/>
      <c r="CN1555" s="1684"/>
      <c r="CO1555" s="1684"/>
      <c r="CP1555" s="1391"/>
      <c r="CQ1555" s="1391"/>
      <c r="CR1555" s="1391"/>
      <c r="CS1555" s="1391"/>
      <c r="CT1555" s="1391"/>
      <c r="CU1555" s="1391"/>
      <c r="CV1555" s="1391"/>
      <c r="CW1555" s="1391"/>
      <c r="CX1555" s="1391"/>
      <c r="CY1555" s="1391"/>
      <c r="CZ1555" s="1391"/>
      <c r="DA1555" s="1391"/>
      <c r="DB1555" s="1391"/>
      <c r="DC1555" s="1391"/>
      <c r="DD1555" s="1391"/>
      <c r="DE1555" s="1391"/>
      <c r="DF1555" s="1391"/>
      <c r="DG1555" s="1391"/>
      <c r="DH1555" s="1391"/>
      <c r="DI1555" s="1391"/>
    </row>
    <row r="1556" spans="1:113" ht="15.75" x14ac:dyDescent="0.25">
      <c r="A1556" s="1684"/>
      <c r="B1556" s="1694" t="s">
        <v>1487</v>
      </c>
      <c r="C1556" s="1694"/>
      <c r="D1556" s="1694"/>
      <c r="E1556" s="1694"/>
      <c r="F1556" s="1694"/>
      <c r="G1556" s="1694"/>
      <c r="H1556" s="1694"/>
      <c r="I1556" s="1694"/>
      <c r="J1556" s="1694"/>
      <c r="K1556" s="1417"/>
      <c r="L1556" s="1694" t="s">
        <v>1488</v>
      </c>
      <c r="M1556" s="1694"/>
      <c r="N1556" s="1694"/>
      <c r="O1556" s="1694"/>
      <c r="P1556" s="1694"/>
      <c r="Q1556" s="1694"/>
      <c r="R1556" s="1694"/>
      <c r="S1556" s="1694"/>
      <c r="T1556" s="1694"/>
      <c r="U1556" s="1417"/>
      <c r="V1556" s="1417"/>
      <c r="W1556" s="1417"/>
      <c r="X1556" s="1391"/>
      <c r="Y1556" s="1391"/>
      <c r="Z1556" s="1684"/>
      <c r="AA1556" s="1684"/>
      <c r="AB1556" s="1684"/>
      <c r="AC1556" s="1684"/>
      <c r="AD1556" s="1684"/>
      <c r="AE1556" s="1684"/>
      <c r="AF1556" s="1684"/>
      <c r="AG1556" s="1684"/>
      <c r="AH1556" s="1684"/>
      <c r="AI1556" s="1684"/>
      <c r="AJ1556" s="1684"/>
      <c r="AK1556" s="1684"/>
      <c r="AL1556" s="1684"/>
      <c r="AM1556" s="1684"/>
      <c r="AN1556" s="1684"/>
      <c r="AO1556" s="1684"/>
      <c r="AP1556" s="1684"/>
      <c r="AQ1556" s="1684"/>
      <c r="AR1556" s="1684"/>
      <c r="AS1556" s="1684"/>
      <c r="AT1556" s="1684"/>
      <c r="AU1556" s="1684"/>
      <c r="AV1556" s="1684"/>
      <c r="AW1556" s="1684"/>
      <c r="AX1556" s="1684"/>
      <c r="AY1556" s="1684"/>
      <c r="AZ1556" s="1684"/>
      <c r="BA1556" s="1684"/>
      <c r="BB1556" s="1684"/>
      <c r="BC1556" s="1684"/>
      <c r="BD1556" s="1684"/>
      <c r="BE1556" s="1684"/>
      <c r="BF1556" s="1684"/>
      <c r="BG1556" s="1684"/>
      <c r="BH1556" s="1684"/>
      <c r="BI1556" s="1684"/>
      <c r="BJ1556" s="1684"/>
      <c r="BK1556" s="1684"/>
      <c r="BL1556" s="1684"/>
      <c r="BM1556" s="1684"/>
      <c r="BN1556" s="1684"/>
      <c r="BO1556" s="1684"/>
      <c r="BP1556" s="1684"/>
      <c r="BQ1556" s="1684"/>
      <c r="BR1556" s="1684"/>
      <c r="BS1556" s="1684"/>
      <c r="BT1556" s="1684"/>
      <c r="BU1556" s="1684"/>
      <c r="BV1556" s="1684"/>
      <c r="BW1556" s="1684"/>
      <c r="BX1556" s="1684"/>
      <c r="BY1556" s="1684"/>
      <c r="BZ1556" s="1684"/>
      <c r="CA1556" s="1684"/>
      <c r="CB1556" s="1684"/>
      <c r="CC1556" s="1684"/>
      <c r="CD1556" s="1684"/>
      <c r="CE1556" s="1684"/>
      <c r="CF1556" s="1684"/>
      <c r="CG1556" s="1684"/>
      <c r="CH1556" s="1684"/>
      <c r="CI1556" s="1684"/>
      <c r="CJ1556" s="1684"/>
      <c r="CK1556" s="1684"/>
      <c r="CL1556" s="1684"/>
      <c r="CM1556" s="1684"/>
      <c r="CN1556" s="1684"/>
      <c r="CO1556" s="1684"/>
      <c r="CP1556" s="1391"/>
      <c r="CQ1556" s="1391"/>
      <c r="CR1556" s="1391"/>
      <c r="CS1556" s="1391"/>
      <c r="CT1556" s="1391"/>
      <c r="CU1556" s="1391"/>
      <c r="CV1556" s="1391"/>
      <c r="CW1556" s="1391"/>
      <c r="CX1556" s="1391"/>
      <c r="CY1556" s="1391"/>
      <c r="CZ1556" s="1391"/>
      <c r="DA1556" s="1391"/>
      <c r="DB1556" s="1391"/>
      <c r="DC1556" s="1391"/>
      <c r="DD1556" s="1391"/>
      <c r="DE1556" s="1391"/>
      <c r="DF1556" s="1391"/>
      <c r="DG1556" s="1391"/>
      <c r="DH1556" s="1391"/>
      <c r="DI1556" s="1391"/>
    </row>
    <row r="1557" spans="1:113" ht="15.75" x14ac:dyDescent="0.25">
      <c r="A1557" s="1684"/>
      <c r="B1557" s="1694" t="s">
        <v>3314</v>
      </c>
      <c r="C1557" s="1694"/>
      <c r="D1557" s="1694"/>
      <c r="E1557" s="1694"/>
      <c r="F1557" s="1694"/>
      <c r="G1557" s="1694"/>
      <c r="H1557" s="1694"/>
      <c r="I1557" s="1694"/>
      <c r="J1557" s="1694"/>
      <c r="K1557" s="1417"/>
      <c r="L1557" s="1694" t="s">
        <v>1081</v>
      </c>
      <c r="M1557" s="1694"/>
      <c r="N1557" s="1694"/>
      <c r="O1557" s="1694"/>
      <c r="P1557" s="1694"/>
      <c r="Q1557" s="1694"/>
      <c r="R1557" s="1694"/>
      <c r="S1557" s="1694"/>
      <c r="T1557" s="1694"/>
      <c r="U1557" s="1417"/>
      <c r="V1557" s="1417"/>
      <c r="W1557" s="1417"/>
      <c r="X1557" s="1391"/>
      <c r="Y1557" s="1391"/>
      <c r="Z1557" s="1684"/>
      <c r="AA1557" s="1684"/>
      <c r="AB1557" s="1684"/>
      <c r="AC1557" s="1684"/>
      <c r="AD1557" s="1684"/>
      <c r="AE1557" s="1684"/>
      <c r="AF1557" s="1684"/>
      <c r="AG1557" s="1684"/>
      <c r="AH1557" s="1684"/>
      <c r="AI1557" s="1684"/>
      <c r="AJ1557" s="1684"/>
      <c r="AK1557" s="1684"/>
      <c r="AL1557" s="1684"/>
      <c r="AM1557" s="1684"/>
      <c r="AN1557" s="1684"/>
      <c r="AO1557" s="1684"/>
      <c r="AP1557" s="1684"/>
      <c r="AQ1557" s="1684"/>
      <c r="AR1557" s="1684"/>
      <c r="AS1557" s="1684"/>
      <c r="AT1557" s="1684"/>
      <c r="AU1557" s="1684"/>
      <c r="AV1557" s="1684"/>
      <c r="AW1557" s="1684"/>
      <c r="AX1557" s="1684"/>
      <c r="AY1557" s="1684"/>
      <c r="AZ1557" s="1684"/>
      <c r="BA1557" s="1684"/>
      <c r="BB1557" s="1684"/>
      <c r="BC1557" s="1684"/>
      <c r="BD1557" s="1684"/>
      <c r="BE1557" s="1684"/>
      <c r="BF1557" s="1684"/>
      <c r="BG1557" s="1684"/>
      <c r="BH1557" s="1684"/>
      <c r="BI1557" s="1684"/>
      <c r="BJ1557" s="1684"/>
      <c r="BK1557" s="1684"/>
      <c r="BL1557" s="1684"/>
      <c r="BM1557" s="1684"/>
      <c r="BN1557" s="1684"/>
      <c r="BO1557" s="1684"/>
      <c r="BP1557" s="1684"/>
      <c r="BQ1557" s="1684"/>
      <c r="BR1557" s="1684"/>
      <c r="BS1557" s="1684"/>
      <c r="BT1557" s="1684"/>
      <c r="BU1557" s="1684"/>
      <c r="BV1557" s="1684"/>
      <c r="BW1557" s="1684"/>
      <c r="BX1557" s="1684"/>
      <c r="BY1557" s="1684"/>
      <c r="BZ1557" s="1684"/>
      <c r="CA1557" s="1684"/>
      <c r="CB1557" s="1684"/>
      <c r="CC1557" s="1684"/>
      <c r="CD1557" s="1684"/>
      <c r="CE1557" s="1684"/>
      <c r="CF1557" s="1684"/>
      <c r="CG1557" s="1684"/>
      <c r="CH1557" s="1684"/>
      <c r="CI1557" s="1684"/>
      <c r="CJ1557" s="1684"/>
      <c r="CK1557" s="1684"/>
      <c r="CL1557" s="1684"/>
      <c r="CM1557" s="1684"/>
      <c r="CN1557" s="1684"/>
      <c r="CO1557" s="1684"/>
      <c r="CP1557" s="1391"/>
      <c r="CQ1557" s="1391"/>
      <c r="CR1557" s="1391"/>
      <c r="CS1557" s="1391"/>
      <c r="CT1557" s="1391"/>
      <c r="CU1557" s="1391"/>
      <c r="CV1557" s="1391"/>
      <c r="CW1557" s="1391"/>
      <c r="CX1557" s="1391"/>
      <c r="CY1557" s="1391"/>
      <c r="CZ1557" s="1391"/>
      <c r="DA1557" s="1391"/>
      <c r="DB1557" s="1391"/>
      <c r="DC1557" s="1391"/>
      <c r="DD1557" s="1391"/>
      <c r="DE1557" s="1391"/>
      <c r="DF1557" s="1391"/>
      <c r="DG1557" s="1391"/>
      <c r="DH1557" s="1391"/>
      <c r="DI1557" s="1391"/>
    </row>
    <row r="1558" spans="1:113" ht="15.75" x14ac:dyDescent="0.25">
      <c r="A1558" s="1684"/>
      <c r="B1558" s="1694"/>
      <c r="C1558" s="1694" t="s">
        <v>1082</v>
      </c>
      <c r="D1558" s="1694"/>
      <c r="E1558" s="1694"/>
      <c r="F1558" s="1694"/>
      <c r="G1558" s="1694"/>
      <c r="H1558" s="1694"/>
      <c r="I1558" s="1694"/>
      <c r="J1558" s="1694"/>
      <c r="K1558" s="1417"/>
      <c r="L1558" s="1694"/>
      <c r="M1558" s="1694" t="s">
        <v>1082</v>
      </c>
      <c r="N1558" s="1694"/>
      <c r="O1558" s="1694"/>
      <c r="P1558" s="1694"/>
      <c r="Q1558" s="1694"/>
      <c r="R1558" s="1694"/>
      <c r="S1558" s="1694"/>
      <c r="T1558" s="1694"/>
      <c r="U1558" s="1417"/>
      <c r="V1558" s="1417"/>
      <c r="W1558" s="1417"/>
      <c r="X1558" s="1391"/>
      <c r="Y1558" s="1391"/>
      <c r="Z1558" s="1684"/>
      <c r="AA1558" s="1684"/>
      <c r="AB1558" s="1684"/>
      <c r="AC1558" s="1684"/>
      <c r="AD1558" s="1684"/>
      <c r="AE1558" s="1684"/>
      <c r="AF1558" s="1684"/>
      <c r="AG1558" s="1684"/>
      <c r="AH1558" s="1684"/>
      <c r="AI1558" s="1684"/>
      <c r="AJ1558" s="1684"/>
      <c r="AK1558" s="1684"/>
      <c r="AL1558" s="1684"/>
      <c r="AM1558" s="1684"/>
      <c r="AN1558" s="1684"/>
      <c r="AO1558" s="1684"/>
      <c r="AP1558" s="1684"/>
      <c r="AQ1558" s="1684"/>
      <c r="AR1558" s="1684"/>
      <c r="AS1558" s="1684"/>
      <c r="AT1558" s="1684"/>
      <c r="AU1558" s="1684"/>
      <c r="AV1558" s="1684"/>
      <c r="AW1558" s="1684"/>
      <c r="AX1558" s="1684"/>
      <c r="AY1558" s="1684"/>
      <c r="AZ1558" s="1684"/>
      <c r="BA1558" s="1684"/>
      <c r="BB1558" s="1684"/>
      <c r="BC1558" s="1684"/>
      <c r="BD1558" s="1684"/>
      <c r="BE1558" s="1684"/>
      <c r="BF1558" s="1684"/>
      <c r="BG1558" s="1684"/>
      <c r="BH1558" s="1684"/>
      <c r="BI1558" s="1684"/>
      <c r="BJ1558" s="1684"/>
      <c r="BK1558" s="1684"/>
      <c r="BL1558" s="1684"/>
      <c r="BM1558" s="1684"/>
      <c r="BN1558" s="1684"/>
      <c r="BO1558" s="1684"/>
      <c r="BP1558" s="1684"/>
      <c r="BQ1558" s="1684"/>
      <c r="BR1558" s="1684"/>
      <c r="BS1558" s="1684"/>
      <c r="BT1558" s="1684"/>
      <c r="BU1558" s="1684"/>
      <c r="BV1558" s="1684"/>
      <c r="BW1558" s="1684"/>
      <c r="BX1558" s="1684"/>
      <c r="BY1558" s="1684"/>
      <c r="BZ1558" s="1684"/>
      <c r="CA1558" s="1684"/>
      <c r="CB1558" s="1684"/>
      <c r="CC1558" s="1684"/>
      <c r="CD1558" s="1684"/>
      <c r="CE1558" s="1684"/>
      <c r="CF1558" s="1684"/>
      <c r="CG1558" s="1684"/>
      <c r="CH1558" s="1684"/>
      <c r="CI1558" s="1684"/>
      <c r="CJ1558" s="1684"/>
      <c r="CK1558" s="1684"/>
      <c r="CL1558" s="1684"/>
      <c r="CM1558" s="1684"/>
      <c r="CN1558" s="1684"/>
      <c r="CO1558" s="1684"/>
      <c r="CP1558" s="1391"/>
      <c r="CQ1558" s="1391"/>
      <c r="CR1558" s="1391"/>
      <c r="CS1558" s="1391"/>
      <c r="CT1558" s="1391"/>
      <c r="CU1558" s="1391"/>
      <c r="CV1558" s="1391"/>
      <c r="CW1558" s="1391"/>
      <c r="CX1558" s="1391"/>
      <c r="CY1558" s="1391"/>
      <c r="CZ1558" s="1391"/>
      <c r="DA1558" s="1391"/>
      <c r="DB1558" s="1391"/>
      <c r="DC1558" s="1391"/>
      <c r="DD1558" s="1391"/>
      <c r="DE1558" s="1391"/>
      <c r="DF1558" s="1391"/>
      <c r="DG1558" s="1391"/>
      <c r="DH1558" s="1391"/>
      <c r="DI1558" s="1391"/>
    </row>
    <row r="1559" spans="1:113" ht="15.75" x14ac:dyDescent="0.25">
      <c r="A1559" s="1684"/>
      <c r="B1559" s="1694" t="s">
        <v>1083</v>
      </c>
      <c r="C1559" s="1694" t="s">
        <v>1084</v>
      </c>
      <c r="D1559" s="1694" t="s">
        <v>1085</v>
      </c>
      <c r="E1559" s="1694" t="s">
        <v>3006</v>
      </c>
      <c r="F1559" s="1694" t="s">
        <v>3007</v>
      </c>
      <c r="G1559" s="1694"/>
      <c r="H1559" s="1694"/>
      <c r="I1559" s="1694"/>
      <c r="J1559" s="1694"/>
      <c r="K1559" s="1417"/>
      <c r="L1559" s="1694" t="s">
        <v>5602</v>
      </c>
      <c r="M1559" s="1694" t="s">
        <v>1084</v>
      </c>
      <c r="N1559" s="1694" t="s">
        <v>1085</v>
      </c>
      <c r="O1559" s="1694" t="s">
        <v>3006</v>
      </c>
      <c r="P1559" s="1694" t="s">
        <v>3007</v>
      </c>
      <c r="Q1559" s="1694"/>
      <c r="R1559" s="1694"/>
      <c r="S1559" s="1694"/>
      <c r="T1559" s="1694"/>
      <c r="U1559" s="1417"/>
      <c r="V1559" s="1417"/>
      <c r="W1559" s="1417"/>
      <c r="X1559" s="1391"/>
      <c r="Y1559" s="1391"/>
      <c r="Z1559" s="1684"/>
      <c r="AA1559" s="1684"/>
      <c r="AB1559" s="1684"/>
      <c r="AC1559" s="1684"/>
      <c r="AD1559" s="1684"/>
      <c r="AE1559" s="1684"/>
      <c r="AF1559" s="1684"/>
      <c r="AG1559" s="1684"/>
      <c r="AH1559" s="1684"/>
      <c r="AI1559" s="1684"/>
      <c r="AJ1559" s="1684"/>
      <c r="AK1559" s="1684"/>
      <c r="AL1559" s="1684"/>
      <c r="AM1559" s="1684"/>
      <c r="AN1559" s="1684"/>
      <c r="AO1559" s="1684"/>
      <c r="AP1559" s="1684"/>
      <c r="AQ1559" s="1684"/>
      <c r="AR1559" s="1684"/>
      <c r="AS1559" s="1684"/>
      <c r="AT1559" s="1684"/>
      <c r="AU1559" s="1684"/>
      <c r="AV1559" s="1684"/>
      <c r="AW1559" s="1684"/>
      <c r="AX1559" s="1684"/>
      <c r="AY1559" s="1684"/>
      <c r="AZ1559" s="1684"/>
      <c r="BA1559" s="1684"/>
      <c r="BB1559" s="1684"/>
      <c r="BC1559" s="1684"/>
      <c r="BD1559" s="1684"/>
      <c r="BE1559" s="1684"/>
      <c r="BF1559" s="1684"/>
      <c r="BG1559" s="1684"/>
      <c r="BH1559" s="1684"/>
      <c r="BI1559" s="1684"/>
      <c r="BJ1559" s="1684"/>
      <c r="BK1559" s="1684"/>
      <c r="BL1559" s="1684"/>
      <c r="BM1559" s="1684"/>
      <c r="BN1559" s="1684"/>
      <c r="BO1559" s="1684"/>
      <c r="BP1559" s="1684"/>
      <c r="BQ1559" s="1684"/>
      <c r="BR1559" s="1684"/>
      <c r="BS1559" s="1684"/>
      <c r="BT1559" s="1684"/>
      <c r="BU1559" s="1684"/>
      <c r="BV1559" s="1684"/>
      <c r="BW1559" s="1684"/>
      <c r="BX1559" s="1684"/>
      <c r="BY1559" s="1684"/>
      <c r="BZ1559" s="1684"/>
      <c r="CA1559" s="1684"/>
      <c r="CB1559" s="1684"/>
      <c r="CC1559" s="1684"/>
      <c r="CD1559" s="1684"/>
      <c r="CE1559" s="1684"/>
      <c r="CF1559" s="1684"/>
      <c r="CG1559" s="1684"/>
      <c r="CH1559" s="1684"/>
      <c r="CI1559" s="1684"/>
      <c r="CJ1559" s="1684"/>
      <c r="CK1559" s="1684"/>
      <c r="CL1559" s="1684"/>
      <c r="CM1559" s="1684"/>
      <c r="CN1559" s="1684"/>
      <c r="CO1559" s="1684"/>
      <c r="CP1559" s="1391"/>
      <c r="CQ1559" s="1391"/>
      <c r="CR1559" s="1391"/>
      <c r="CS1559" s="1391"/>
      <c r="CT1559" s="1391"/>
      <c r="CU1559" s="1391"/>
      <c r="CV1559" s="1391"/>
      <c r="CW1559" s="1391"/>
      <c r="CX1559" s="1391"/>
      <c r="CY1559" s="1391"/>
      <c r="CZ1559" s="1391"/>
      <c r="DA1559" s="1391"/>
      <c r="DB1559" s="1391"/>
      <c r="DC1559" s="1391"/>
      <c r="DD1559" s="1391"/>
      <c r="DE1559" s="1391"/>
      <c r="DF1559" s="1391"/>
      <c r="DG1559" s="1391"/>
      <c r="DH1559" s="1391"/>
      <c r="DI1559" s="1391"/>
    </row>
    <row r="1560" spans="1:113" ht="15.75" x14ac:dyDescent="0.25">
      <c r="A1560" s="1684"/>
      <c r="B1560" s="1694" t="s">
        <v>3008</v>
      </c>
      <c r="C1560" s="1694">
        <v>168.3</v>
      </c>
      <c r="D1560" s="1694">
        <v>151.80000000000001</v>
      </c>
      <c r="E1560" s="1694">
        <v>124.3</v>
      </c>
      <c r="F1560" s="1694">
        <v>101.5</v>
      </c>
      <c r="G1560" s="1694"/>
      <c r="H1560" s="1694"/>
      <c r="I1560" s="1694"/>
      <c r="J1560" s="1694"/>
      <c r="K1560" s="1417"/>
      <c r="L1560" s="1694" t="s">
        <v>3008</v>
      </c>
      <c r="M1560" s="1694">
        <v>43.6</v>
      </c>
      <c r="N1560" s="1694">
        <v>39.700000000000003</v>
      </c>
      <c r="O1560" s="1694">
        <v>31.7</v>
      </c>
      <c r="P1560" s="1694">
        <v>30.1</v>
      </c>
      <c r="Q1560" s="1694"/>
      <c r="R1560" s="1694"/>
      <c r="S1560" s="1694"/>
      <c r="T1560" s="1694"/>
      <c r="U1560" s="1417"/>
      <c r="V1560" s="1417"/>
      <c r="W1560" s="1417"/>
      <c r="X1560" s="1391"/>
      <c r="Y1560" s="1391"/>
      <c r="Z1560" s="1684"/>
      <c r="AA1560" s="1684"/>
      <c r="AB1560" s="1684"/>
      <c r="AC1560" s="1684"/>
      <c r="AD1560" s="1684"/>
      <c r="AE1560" s="1684"/>
      <c r="AF1560" s="1684"/>
      <c r="AG1560" s="1684"/>
      <c r="AH1560" s="1684"/>
      <c r="AI1560" s="1684"/>
      <c r="AJ1560" s="1684"/>
      <c r="AK1560" s="1684"/>
      <c r="AL1560" s="1684"/>
      <c r="AM1560" s="1684"/>
      <c r="AN1560" s="1684"/>
      <c r="AO1560" s="1684"/>
      <c r="AP1560" s="1684"/>
      <c r="AQ1560" s="1684"/>
      <c r="AR1560" s="1684"/>
      <c r="AS1560" s="1684"/>
      <c r="AT1560" s="1684"/>
      <c r="AU1560" s="1684"/>
      <c r="AV1560" s="1684"/>
      <c r="AW1560" s="1684"/>
      <c r="AX1560" s="1684"/>
      <c r="AY1560" s="1684"/>
      <c r="AZ1560" s="1684"/>
      <c r="BA1560" s="1684"/>
      <c r="BB1560" s="1684"/>
      <c r="BC1560" s="1684"/>
      <c r="BD1560" s="1684"/>
      <c r="BE1560" s="1684"/>
      <c r="BF1560" s="1684"/>
      <c r="BG1560" s="1684"/>
      <c r="BH1560" s="1684"/>
      <c r="BI1560" s="1684"/>
      <c r="BJ1560" s="1684"/>
      <c r="BK1560" s="1684"/>
      <c r="BL1560" s="1684"/>
      <c r="BM1560" s="1684"/>
      <c r="BN1560" s="1684"/>
      <c r="BO1560" s="1684"/>
      <c r="BP1560" s="1684"/>
      <c r="BQ1560" s="1684"/>
      <c r="BR1560" s="1684"/>
      <c r="BS1560" s="1684"/>
      <c r="BT1560" s="1684"/>
      <c r="BU1560" s="1684"/>
      <c r="BV1560" s="1684"/>
      <c r="BW1560" s="1684"/>
      <c r="BX1560" s="1684"/>
      <c r="BY1560" s="1684"/>
      <c r="BZ1560" s="1684"/>
      <c r="CA1560" s="1684"/>
      <c r="CB1560" s="1684"/>
      <c r="CC1560" s="1684"/>
      <c r="CD1560" s="1684"/>
      <c r="CE1560" s="1684"/>
      <c r="CF1560" s="1684"/>
      <c r="CG1560" s="1684"/>
      <c r="CH1560" s="1684"/>
      <c r="CI1560" s="1684"/>
      <c r="CJ1560" s="1684"/>
      <c r="CK1560" s="1684"/>
      <c r="CL1560" s="1684"/>
      <c r="CM1560" s="1684"/>
      <c r="CN1560" s="1684"/>
      <c r="CO1560" s="1684"/>
      <c r="CP1560" s="1391"/>
      <c r="CQ1560" s="1391"/>
      <c r="CR1560" s="1391"/>
      <c r="CS1560" s="1391"/>
      <c r="CT1560" s="1391"/>
      <c r="CU1560" s="1391"/>
      <c r="CV1560" s="1391"/>
      <c r="CW1560" s="1391"/>
      <c r="CX1560" s="1391"/>
      <c r="CY1560" s="1391"/>
      <c r="CZ1560" s="1391"/>
      <c r="DA1560" s="1391"/>
      <c r="DB1560" s="1391"/>
      <c r="DC1560" s="1391"/>
      <c r="DD1560" s="1391"/>
      <c r="DE1560" s="1391"/>
      <c r="DF1560" s="1391"/>
      <c r="DG1560" s="1391"/>
      <c r="DH1560" s="1391"/>
      <c r="DI1560" s="1391"/>
    </row>
    <row r="1561" spans="1:113" ht="15.75" x14ac:dyDescent="0.25">
      <c r="A1561" s="1684"/>
      <c r="B1561" s="1694" t="s">
        <v>3009</v>
      </c>
      <c r="C1561" s="1694">
        <v>159.4</v>
      </c>
      <c r="D1561" s="1694">
        <v>143.9</v>
      </c>
      <c r="E1561" s="1694">
        <v>117.9</v>
      </c>
      <c r="F1561" s="1694">
        <v>95.7</v>
      </c>
      <c r="G1561" s="1694"/>
      <c r="H1561" s="1694"/>
      <c r="I1561" s="1694"/>
      <c r="J1561" s="1694"/>
      <c r="K1561" s="1417"/>
      <c r="L1561" s="1694" t="s">
        <v>3009</v>
      </c>
      <c r="M1561" s="1694">
        <v>42.4</v>
      </c>
      <c r="N1561" s="1694">
        <v>38.1</v>
      </c>
      <c r="O1561" s="1694">
        <v>30.9</v>
      </c>
      <c r="P1561" s="1694">
        <v>29.2</v>
      </c>
      <c r="Q1561" s="1694"/>
      <c r="R1561" s="1694"/>
      <c r="S1561" s="1694"/>
      <c r="T1561" s="1694"/>
      <c r="U1561" s="1417"/>
      <c r="V1561" s="1417"/>
      <c r="W1561" s="1417"/>
      <c r="X1561" s="1391"/>
      <c r="Y1561" s="1391"/>
      <c r="Z1561" s="1684"/>
      <c r="AA1561" s="1684"/>
      <c r="AB1561" s="1684"/>
      <c r="AC1561" s="1684"/>
      <c r="AD1561" s="1684"/>
      <c r="AE1561" s="1684"/>
      <c r="AF1561" s="1684"/>
      <c r="AG1561" s="1684"/>
      <c r="AH1561" s="1684"/>
      <c r="AI1561" s="1684"/>
      <c r="AJ1561" s="1684"/>
      <c r="AK1561" s="1684"/>
      <c r="AL1561" s="1684"/>
      <c r="AM1561" s="1684"/>
      <c r="AN1561" s="1684"/>
      <c r="AO1561" s="1684"/>
      <c r="AP1561" s="1684"/>
      <c r="AQ1561" s="1684"/>
      <c r="AR1561" s="1684"/>
      <c r="AS1561" s="1684"/>
      <c r="AT1561" s="1684"/>
      <c r="AU1561" s="1684"/>
      <c r="AV1561" s="1684"/>
      <c r="AW1561" s="1684"/>
      <c r="AX1561" s="1684"/>
      <c r="AY1561" s="1684"/>
      <c r="AZ1561" s="1684"/>
      <c r="BA1561" s="1684"/>
      <c r="BB1561" s="1684"/>
      <c r="BC1561" s="1684"/>
      <c r="BD1561" s="1684"/>
      <c r="BE1561" s="1684"/>
      <c r="BF1561" s="1684"/>
      <c r="BG1561" s="1684"/>
      <c r="BH1561" s="1684"/>
      <c r="BI1561" s="1684"/>
      <c r="BJ1561" s="1684"/>
      <c r="BK1561" s="1684"/>
      <c r="BL1561" s="1684"/>
      <c r="BM1561" s="1684"/>
      <c r="BN1561" s="1684"/>
      <c r="BO1561" s="1684"/>
      <c r="BP1561" s="1684"/>
      <c r="BQ1561" s="1684"/>
      <c r="BR1561" s="1684"/>
      <c r="BS1561" s="1684"/>
      <c r="BT1561" s="1684"/>
      <c r="BU1561" s="1684"/>
      <c r="BV1561" s="1684"/>
      <c r="BW1561" s="1684"/>
      <c r="BX1561" s="1684"/>
      <c r="BY1561" s="1684"/>
      <c r="BZ1561" s="1684"/>
      <c r="CA1561" s="1684"/>
      <c r="CB1561" s="1684"/>
      <c r="CC1561" s="1684"/>
      <c r="CD1561" s="1684"/>
      <c r="CE1561" s="1684"/>
      <c r="CF1561" s="1684"/>
      <c r="CG1561" s="1684"/>
      <c r="CH1561" s="1684"/>
      <c r="CI1561" s="1684"/>
      <c r="CJ1561" s="1684"/>
      <c r="CK1561" s="1684"/>
      <c r="CL1561" s="1684"/>
      <c r="CM1561" s="1684"/>
      <c r="CN1561" s="1684"/>
      <c r="CO1561" s="1684"/>
      <c r="CP1561" s="1391"/>
      <c r="CQ1561" s="1391"/>
      <c r="CR1561" s="1391"/>
      <c r="CS1561" s="1391"/>
      <c r="CT1561" s="1391"/>
      <c r="CU1561" s="1391"/>
      <c r="CV1561" s="1391"/>
      <c r="CW1561" s="1391"/>
      <c r="CX1561" s="1391"/>
      <c r="CY1561" s="1391"/>
      <c r="CZ1561" s="1391"/>
      <c r="DA1561" s="1391"/>
      <c r="DB1561" s="1391"/>
      <c r="DC1561" s="1391"/>
      <c r="DD1561" s="1391"/>
      <c r="DE1561" s="1391"/>
      <c r="DF1561" s="1391"/>
      <c r="DG1561" s="1391"/>
      <c r="DH1561" s="1391"/>
      <c r="DI1561" s="1391"/>
    </row>
    <row r="1562" spans="1:113" ht="15.75" x14ac:dyDescent="0.25">
      <c r="A1562" s="1684"/>
      <c r="B1562" s="1694" t="s">
        <v>3010</v>
      </c>
      <c r="C1562" s="1694">
        <v>144.5</v>
      </c>
      <c r="D1562" s="1694">
        <v>132.5</v>
      </c>
      <c r="E1562" s="1694">
        <v>107.1</v>
      </c>
      <c r="F1562" s="1694">
        <v>86.9</v>
      </c>
      <c r="G1562" s="1694"/>
      <c r="H1562" s="1694"/>
      <c r="I1562" s="1694"/>
      <c r="J1562" s="1694"/>
      <c r="K1562" s="1417"/>
      <c r="L1562" s="1694" t="s">
        <v>3010</v>
      </c>
      <c r="M1562" s="1694">
        <v>39</v>
      </c>
      <c r="N1562" s="1694">
        <v>35.6</v>
      </c>
      <c r="O1562" s="1694">
        <v>28.9</v>
      </c>
      <c r="P1562" s="1694">
        <v>27</v>
      </c>
      <c r="Q1562" s="1694"/>
      <c r="R1562" s="1694"/>
      <c r="S1562" s="1694"/>
      <c r="T1562" s="1694"/>
      <c r="U1562" s="1417"/>
      <c r="V1562" s="1417"/>
      <c r="W1562" s="1417"/>
      <c r="X1562" s="1391"/>
      <c r="Y1562" s="1391"/>
      <c r="Z1562" s="1684"/>
      <c r="AA1562" s="1684"/>
      <c r="AB1562" s="1684"/>
      <c r="AC1562" s="1684"/>
      <c r="AD1562" s="1684"/>
      <c r="AE1562" s="1684"/>
      <c r="AF1562" s="1684"/>
      <c r="AG1562" s="1684"/>
      <c r="AH1562" s="1684"/>
      <c r="AI1562" s="1684"/>
      <c r="AJ1562" s="1684"/>
      <c r="AK1562" s="1684"/>
      <c r="AL1562" s="1684"/>
      <c r="AM1562" s="1684"/>
      <c r="AN1562" s="1684"/>
      <c r="AO1562" s="1684"/>
      <c r="AP1562" s="1684"/>
      <c r="AQ1562" s="1684"/>
      <c r="AR1562" s="1684"/>
      <c r="AS1562" s="1684"/>
      <c r="AT1562" s="1684"/>
      <c r="AU1562" s="1684"/>
      <c r="AV1562" s="1684"/>
      <c r="AW1562" s="1684"/>
      <c r="AX1562" s="1684"/>
      <c r="AY1562" s="1684"/>
      <c r="AZ1562" s="1684"/>
      <c r="BA1562" s="1684"/>
      <c r="BB1562" s="1684"/>
      <c r="BC1562" s="1684"/>
      <c r="BD1562" s="1684"/>
      <c r="BE1562" s="1684"/>
      <c r="BF1562" s="1684"/>
      <c r="BG1562" s="1684"/>
      <c r="BH1562" s="1684"/>
      <c r="BI1562" s="1684"/>
      <c r="BJ1562" s="1684"/>
      <c r="BK1562" s="1684"/>
      <c r="BL1562" s="1684"/>
      <c r="BM1562" s="1684"/>
      <c r="BN1562" s="1684"/>
      <c r="BO1562" s="1684"/>
      <c r="BP1562" s="1684"/>
      <c r="BQ1562" s="1684"/>
      <c r="BR1562" s="1684"/>
      <c r="BS1562" s="1684"/>
      <c r="BT1562" s="1684"/>
      <c r="BU1562" s="1684"/>
      <c r="BV1562" s="1684"/>
      <c r="BW1562" s="1684"/>
      <c r="BX1562" s="1684"/>
      <c r="BY1562" s="1684"/>
      <c r="BZ1562" s="1684"/>
      <c r="CA1562" s="1684"/>
      <c r="CB1562" s="1684"/>
      <c r="CC1562" s="1684"/>
      <c r="CD1562" s="1684"/>
      <c r="CE1562" s="1684"/>
      <c r="CF1562" s="1684"/>
      <c r="CG1562" s="1684"/>
      <c r="CH1562" s="1684"/>
      <c r="CI1562" s="1684"/>
      <c r="CJ1562" s="1684"/>
      <c r="CK1562" s="1684"/>
      <c r="CL1562" s="1684"/>
      <c r="CM1562" s="1684"/>
      <c r="CN1562" s="1684"/>
      <c r="CO1562" s="1684"/>
      <c r="CP1562" s="1391"/>
      <c r="CQ1562" s="1391"/>
      <c r="CR1562" s="1391"/>
      <c r="CS1562" s="1391"/>
      <c r="CT1562" s="1391"/>
      <c r="CU1562" s="1391"/>
      <c r="CV1562" s="1391"/>
      <c r="CW1562" s="1391"/>
      <c r="CX1562" s="1391"/>
      <c r="CY1562" s="1391"/>
      <c r="CZ1562" s="1391"/>
      <c r="DA1562" s="1391"/>
      <c r="DB1562" s="1391"/>
      <c r="DC1562" s="1391"/>
      <c r="DD1562" s="1391"/>
      <c r="DE1562" s="1391"/>
      <c r="DF1562" s="1391"/>
      <c r="DG1562" s="1391"/>
      <c r="DH1562" s="1391"/>
      <c r="DI1562" s="1391"/>
    </row>
    <row r="1563" spans="1:113" ht="15.75" x14ac:dyDescent="0.25">
      <c r="A1563" s="1684"/>
      <c r="B1563" s="1694" t="s">
        <v>3011</v>
      </c>
      <c r="C1563" s="1694">
        <v>131.9</v>
      </c>
      <c r="D1563" s="1694">
        <v>121.3</v>
      </c>
      <c r="E1563" s="1694">
        <v>97.9</v>
      </c>
      <c r="F1563" s="1694">
        <v>79.5</v>
      </c>
      <c r="G1563" s="1694"/>
      <c r="H1563" s="1694"/>
      <c r="I1563" s="1694"/>
      <c r="J1563" s="1694"/>
      <c r="K1563" s="1417"/>
      <c r="L1563" s="1694" t="s">
        <v>3011</v>
      </c>
      <c r="M1563" s="1694">
        <v>36.1</v>
      </c>
      <c r="N1563" s="1694">
        <v>33.200000000000003</v>
      </c>
      <c r="O1563" s="1694">
        <v>26.6</v>
      </c>
      <c r="P1563" s="1694">
        <v>25</v>
      </c>
      <c r="Q1563" s="1694"/>
      <c r="R1563" s="1694"/>
      <c r="S1563" s="1694"/>
      <c r="T1563" s="1694"/>
      <c r="U1563" s="1417"/>
      <c r="V1563" s="1417"/>
      <c r="W1563" s="1417"/>
      <c r="X1563" s="1391"/>
      <c r="Y1563" s="1391"/>
      <c r="Z1563" s="1684"/>
      <c r="AA1563" s="1684"/>
      <c r="AB1563" s="1684"/>
      <c r="AC1563" s="1684"/>
      <c r="AD1563" s="1684"/>
      <c r="AE1563" s="1684"/>
      <c r="AF1563" s="1684"/>
      <c r="AG1563" s="1684"/>
      <c r="AH1563" s="1684"/>
      <c r="AI1563" s="1684"/>
      <c r="AJ1563" s="1684"/>
      <c r="AK1563" s="1684"/>
      <c r="AL1563" s="1684"/>
      <c r="AM1563" s="1684"/>
      <c r="AN1563" s="1684"/>
      <c r="AO1563" s="1684"/>
      <c r="AP1563" s="1684"/>
      <c r="AQ1563" s="1684"/>
      <c r="AR1563" s="1684"/>
      <c r="AS1563" s="1684"/>
      <c r="AT1563" s="1684"/>
      <c r="AU1563" s="1684"/>
      <c r="AV1563" s="1684"/>
      <c r="AW1563" s="1684"/>
      <c r="AX1563" s="1684"/>
      <c r="AY1563" s="1684"/>
      <c r="AZ1563" s="1684"/>
      <c r="BA1563" s="1684"/>
      <c r="BB1563" s="1684"/>
      <c r="BC1563" s="1684"/>
      <c r="BD1563" s="1684"/>
      <c r="BE1563" s="1684"/>
      <c r="BF1563" s="1684"/>
      <c r="BG1563" s="1684"/>
      <c r="BH1563" s="1684"/>
      <c r="BI1563" s="1684"/>
      <c r="BJ1563" s="1684"/>
      <c r="BK1563" s="1684"/>
      <c r="BL1563" s="1684"/>
      <c r="BM1563" s="1684"/>
      <c r="BN1563" s="1684"/>
      <c r="BO1563" s="1684"/>
      <c r="BP1563" s="1684"/>
      <c r="BQ1563" s="1684"/>
      <c r="BR1563" s="1684"/>
      <c r="BS1563" s="1684"/>
      <c r="BT1563" s="1684"/>
      <c r="BU1563" s="1684"/>
      <c r="BV1563" s="1684"/>
      <c r="BW1563" s="1684"/>
      <c r="BX1563" s="1684"/>
      <c r="BY1563" s="1684"/>
      <c r="BZ1563" s="1684"/>
      <c r="CA1563" s="1684"/>
      <c r="CB1563" s="1684"/>
      <c r="CC1563" s="1684"/>
      <c r="CD1563" s="1684"/>
      <c r="CE1563" s="1684"/>
      <c r="CF1563" s="1684"/>
      <c r="CG1563" s="1684"/>
      <c r="CH1563" s="1684"/>
      <c r="CI1563" s="1684"/>
      <c r="CJ1563" s="1684"/>
      <c r="CK1563" s="1684"/>
      <c r="CL1563" s="1684"/>
      <c r="CM1563" s="1684"/>
      <c r="CN1563" s="1684"/>
      <c r="CO1563" s="1684"/>
      <c r="CP1563" s="1391"/>
      <c r="CQ1563" s="1391"/>
      <c r="CR1563" s="1391"/>
      <c r="CS1563" s="1391"/>
      <c r="CT1563" s="1391"/>
      <c r="CU1563" s="1391"/>
      <c r="CV1563" s="1391"/>
      <c r="CW1563" s="1391"/>
      <c r="CX1563" s="1391"/>
      <c r="CY1563" s="1391"/>
      <c r="CZ1563" s="1391"/>
      <c r="DA1563" s="1391"/>
      <c r="DB1563" s="1391"/>
      <c r="DC1563" s="1391"/>
      <c r="DD1563" s="1391"/>
      <c r="DE1563" s="1391"/>
      <c r="DF1563" s="1391"/>
      <c r="DG1563" s="1391"/>
      <c r="DH1563" s="1391"/>
      <c r="DI1563" s="1391"/>
    </row>
    <row r="1564" spans="1:113" ht="15.75" x14ac:dyDescent="0.25">
      <c r="A1564" s="1684"/>
      <c r="B1564" s="1694" t="s">
        <v>3012</v>
      </c>
      <c r="C1564" s="1694">
        <v>120.1</v>
      </c>
      <c r="D1564" s="1694">
        <v>111.4</v>
      </c>
      <c r="E1564" s="1694">
        <v>90</v>
      </c>
      <c r="F1564" s="1694">
        <v>73</v>
      </c>
      <c r="G1564" s="1694"/>
      <c r="H1564" s="1694"/>
      <c r="I1564" s="1694"/>
      <c r="J1564" s="1694"/>
      <c r="K1564" s="1417"/>
      <c r="L1564" s="1694" t="s">
        <v>3012</v>
      </c>
      <c r="M1564" s="1694">
        <v>33.6</v>
      </c>
      <c r="N1564" s="1694">
        <v>30.7</v>
      </c>
      <c r="O1564" s="1694">
        <v>24.8</v>
      </c>
      <c r="P1564" s="1694">
        <v>22.9</v>
      </c>
      <c r="Q1564" s="1694"/>
      <c r="R1564" s="1694"/>
      <c r="S1564" s="1694"/>
      <c r="T1564" s="1694"/>
      <c r="U1564" s="1417"/>
      <c r="V1564" s="1417"/>
      <c r="W1564" s="1417"/>
      <c r="X1564" s="1391"/>
      <c r="Y1564" s="1391"/>
      <c r="Z1564" s="1684"/>
      <c r="AA1564" s="1684"/>
      <c r="AB1564" s="1684"/>
      <c r="AC1564" s="1684"/>
      <c r="AD1564" s="1684"/>
      <c r="AE1564" s="1684"/>
      <c r="AF1564" s="1684"/>
      <c r="AG1564" s="1684"/>
      <c r="AH1564" s="1684"/>
      <c r="AI1564" s="1684"/>
      <c r="AJ1564" s="1684"/>
      <c r="AK1564" s="1684"/>
      <c r="AL1564" s="1684"/>
      <c r="AM1564" s="1684"/>
      <c r="AN1564" s="1684"/>
      <c r="AO1564" s="1684"/>
      <c r="AP1564" s="1684"/>
      <c r="AQ1564" s="1684"/>
      <c r="AR1564" s="1684"/>
      <c r="AS1564" s="1684"/>
      <c r="AT1564" s="1684"/>
      <c r="AU1564" s="1684"/>
      <c r="AV1564" s="1684"/>
      <c r="AW1564" s="1684"/>
      <c r="AX1564" s="1684"/>
      <c r="AY1564" s="1684"/>
      <c r="AZ1564" s="1684"/>
      <c r="BA1564" s="1684"/>
      <c r="BB1564" s="1684"/>
      <c r="BC1564" s="1684"/>
      <c r="BD1564" s="1684"/>
      <c r="BE1564" s="1684"/>
      <c r="BF1564" s="1684"/>
      <c r="BG1564" s="1684"/>
      <c r="BH1564" s="1684"/>
      <c r="BI1564" s="1684"/>
      <c r="BJ1564" s="1684"/>
      <c r="BK1564" s="1684"/>
      <c r="BL1564" s="1684"/>
      <c r="BM1564" s="1684"/>
      <c r="BN1564" s="1684"/>
      <c r="BO1564" s="1684"/>
      <c r="BP1564" s="1684"/>
      <c r="BQ1564" s="1684"/>
      <c r="BR1564" s="1684"/>
      <c r="BS1564" s="1684"/>
      <c r="BT1564" s="1684"/>
      <c r="BU1564" s="1684"/>
      <c r="BV1564" s="1684"/>
      <c r="BW1564" s="1684"/>
      <c r="BX1564" s="1684"/>
      <c r="BY1564" s="1684"/>
      <c r="BZ1564" s="1684"/>
      <c r="CA1564" s="1684"/>
      <c r="CB1564" s="1684"/>
      <c r="CC1564" s="1684"/>
      <c r="CD1564" s="1684"/>
      <c r="CE1564" s="1684"/>
      <c r="CF1564" s="1684"/>
      <c r="CG1564" s="1684"/>
      <c r="CH1564" s="1684"/>
      <c r="CI1564" s="1684"/>
      <c r="CJ1564" s="1684"/>
      <c r="CK1564" s="1684"/>
      <c r="CL1564" s="1684"/>
      <c r="CM1564" s="1684"/>
      <c r="CN1564" s="1684"/>
      <c r="CO1564" s="1684"/>
      <c r="CP1564" s="1391"/>
      <c r="CQ1564" s="1391"/>
      <c r="CR1564" s="1391"/>
      <c r="CS1564" s="1391"/>
      <c r="CT1564" s="1391"/>
      <c r="CU1564" s="1391"/>
      <c r="CV1564" s="1391"/>
      <c r="CW1564" s="1391"/>
      <c r="CX1564" s="1391"/>
      <c r="CY1564" s="1391"/>
      <c r="CZ1564" s="1391"/>
      <c r="DA1564" s="1391"/>
      <c r="DB1564" s="1391"/>
      <c r="DC1564" s="1391"/>
      <c r="DD1564" s="1391"/>
      <c r="DE1564" s="1391"/>
      <c r="DF1564" s="1391"/>
      <c r="DG1564" s="1391"/>
      <c r="DH1564" s="1391"/>
      <c r="DI1564" s="1391"/>
    </row>
    <row r="1565" spans="1:113" ht="15.75" x14ac:dyDescent="0.25">
      <c r="A1565" s="1684"/>
      <c r="B1565" s="1694" t="s">
        <v>3013</v>
      </c>
      <c r="C1565" s="1694">
        <v>112</v>
      </c>
      <c r="D1565" s="1694">
        <v>102.9</v>
      </c>
      <c r="E1565" s="1694">
        <v>83</v>
      </c>
      <c r="F1565" s="1694">
        <v>67.3</v>
      </c>
      <c r="G1565" s="1694"/>
      <c r="H1565" s="1694"/>
      <c r="I1565" s="1694"/>
      <c r="J1565" s="1694"/>
      <c r="K1565" s="1417"/>
      <c r="L1565" s="1694" t="s">
        <v>3013</v>
      </c>
      <c r="M1565" s="1694">
        <v>31.3</v>
      </c>
      <c r="N1565" s="1694">
        <v>28.9</v>
      </c>
      <c r="O1565" s="1694">
        <v>23</v>
      </c>
      <c r="P1565" s="1694">
        <v>21</v>
      </c>
      <c r="Q1565" s="1694"/>
      <c r="R1565" s="1694"/>
      <c r="S1565" s="1694"/>
      <c r="T1565" s="1694"/>
      <c r="U1565" s="1417"/>
      <c r="V1565" s="1417"/>
      <c r="W1565" s="1417"/>
      <c r="X1565" s="1391"/>
      <c r="Y1565" s="1391"/>
      <c r="Z1565" s="1684"/>
      <c r="AA1565" s="1684"/>
      <c r="AB1565" s="1684"/>
      <c r="AC1565" s="1684"/>
      <c r="AD1565" s="1684"/>
      <c r="AE1565" s="1684"/>
      <c r="AF1565" s="1684"/>
      <c r="AG1565" s="1684"/>
      <c r="AH1565" s="1684"/>
      <c r="AI1565" s="1684"/>
      <c r="AJ1565" s="1684"/>
      <c r="AK1565" s="1684"/>
      <c r="AL1565" s="1684"/>
      <c r="AM1565" s="1684"/>
      <c r="AN1565" s="1684"/>
      <c r="AO1565" s="1684"/>
      <c r="AP1565" s="1684"/>
      <c r="AQ1565" s="1684"/>
      <c r="AR1565" s="1684"/>
      <c r="AS1565" s="1684"/>
      <c r="AT1565" s="1684"/>
      <c r="AU1565" s="1684"/>
      <c r="AV1565" s="1684"/>
      <c r="AW1565" s="1684"/>
      <c r="AX1565" s="1684"/>
      <c r="AY1565" s="1684"/>
      <c r="AZ1565" s="1684"/>
      <c r="BA1565" s="1684"/>
      <c r="BB1565" s="1684"/>
      <c r="BC1565" s="1684"/>
      <c r="BD1565" s="1684"/>
      <c r="BE1565" s="1684"/>
      <c r="BF1565" s="1684"/>
      <c r="BG1565" s="1684"/>
      <c r="BH1565" s="1684"/>
      <c r="BI1565" s="1684"/>
      <c r="BJ1565" s="1684"/>
      <c r="BK1565" s="1684"/>
      <c r="BL1565" s="1684"/>
      <c r="BM1565" s="1684"/>
      <c r="BN1565" s="1684"/>
      <c r="BO1565" s="1684"/>
      <c r="BP1565" s="1684"/>
      <c r="BQ1565" s="1684"/>
      <c r="BR1565" s="1684"/>
      <c r="BS1565" s="1684"/>
      <c r="BT1565" s="1684"/>
      <c r="BU1565" s="1684"/>
      <c r="BV1565" s="1684"/>
      <c r="BW1565" s="1684"/>
      <c r="BX1565" s="1684"/>
      <c r="BY1565" s="1684"/>
      <c r="BZ1565" s="1684"/>
      <c r="CA1565" s="1684"/>
      <c r="CB1565" s="1684"/>
      <c r="CC1565" s="1684"/>
      <c r="CD1565" s="1684"/>
      <c r="CE1565" s="1684"/>
      <c r="CF1565" s="1684"/>
      <c r="CG1565" s="1684"/>
      <c r="CH1565" s="1684"/>
      <c r="CI1565" s="1684"/>
      <c r="CJ1565" s="1684"/>
      <c r="CK1565" s="1684"/>
      <c r="CL1565" s="1684"/>
      <c r="CM1565" s="1684"/>
      <c r="CN1565" s="1684"/>
      <c r="CO1565" s="1684"/>
      <c r="CP1565" s="1391"/>
      <c r="CQ1565" s="1391"/>
      <c r="CR1565" s="1391"/>
      <c r="CS1565" s="1391"/>
      <c r="CT1565" s="1391"/>
      <c r="CU1565" s="1391"/>
      <c r="CV1565" s="1391"/>
      <c r="CW1565" s="1391"/>
      <c r="CX1565" s="1391"/>
      <c r="CY1565" s="1391"/>
      <c r="CZ1565" s="1391"/>
      <c r="DA1565" s="1391"/>
      <c r="DB1565" s="1391"/>
      <c r="DC1565" s="1391"/>
      <c r="DD1565" s="1391"/>
      <c r="DE1565" s="1391"/>
      <c r="DF1565" s="1391"/>
      <c r="DG1565" s="1391"/>
      <c r="DH1565" s="1391"/>
      <c r="DI1565" s="1391"/>
    </row>
    <row r="1566" spans="1:113" ht="15.75" x14ac:dyDescent="0.25">
      <c r="A1566" s="1684"/>
      <c r="B1566" s="1694" t="s">
        <v>3014</v>
      </c>
      <c r="C1566" s="1694">
        <v>107</v>
      </c>
      <c r="D1566" s="1694">
        <v>95.4</v>
      </c>
      <c r="E1566" s="1694">
        <v>77.599999999999994</v>
      </c>
      <c r="F1566" s="1694">
        <v>63.5</v>
      </c>
      <c r="G1566" s="1694"/>
      <c r="H1566" s="1694"/>
      <c r="I1566" s="1694"/>
      <c r="J1566" s="1694"/>
      <c r="K1566" s="1417"/>
      <c r="L1566" s="1694" t="s">
        <v>3014</v>
      </c>
      <c r="M1566" s="1694">
        <v>29.5</v>
      </c>
      <c r="N1566" s="1694">
        <v>26.7</v>
      </c>
      <c r="O1566" s="1694">
        <v>21.5</v>
      </c>
      <c r="P1566" s="1694">
        <v>19.3</v>
      </c>
      <c r="Q1566" s="1694"/>
      <c r="R1566" s="1694"/>
      <c r="S1566" s="1694"/>
      <c r="T1566" s="1694"/>
      <c r="U1566" s="1417"/>
      <c r="V1566" s="1417"/>
      <c r="W1566" s="1417"/>
      <c r="X1566" s="1391"/>
      <c r="Y1566" s="1391"/>
      <c r="Z1566" s="1684"/>
      <c r="AA1566" s="1684"/>
      <c r="AB1566" s="1684"/>
      <c r="AC1566" s="1684"/>
      <c r="AD1566" s="1684"/>
      <c r="AE1566" s="1684"/>
      <c r="AF1566" s="1684"/>
      <c r="AG1566" s="1684"/>
      <c r="AH1566" s="1684"/>
      <c r="AI1566" s="1684"/>
      <c r="AJ1566" s="1684"/>
      <c r="AK1566" s="1684"/>
      <c r="AL1566" s="1684"/>
      <c r="AM1566" s="1684"/>
      <c r="AN1566" s="1684"/>
      <c r="AO1566" s="1684"/>
      <c r="AP1566" s="1684"/>
      <c r="AQ1566" s="1684"/>
      <c r="AR1566" s="1684"/>
      <c r="AS1566" s="1684"/>
      <c r="AT1566" s="1684"/>
      <c r="AU1566" s="1684"/>
      <c r="AV1566" s="1684"/>
      <c r="AW1566" s="1684"/>
      <c r="AX1566" s="1684"/>
      <c r="AY1566" s="1684"/>
      <c r="AZ1566" s="1684"/>
      <c r="BA1566" s="1684"/>
      <c r="BB1566" s="1684"/>
      <c r="BC1566" s="1684"/>
      <c r="BD1566" s="1684"/>
      <c r="BE1566" s="1684"/>
      <c r="BF1566" s="1684"/>
      <c r="BG1566" s="1684"/>
      <c r="BH1566" s="1684"/>
      <c r="BI1566" s="1684"/>
      <c r="BJ1566" s="1684"/>
      <c r="BK1566" s="1684"/>
      <c r="BL1566" s="1684"/>
      <c r="BM1566" s="1684"/>
      <c r="BN1566" s="1684"/>
      <c r="BO1566" s="1684"/>
      <c r="BP1566" s="1684"/>
      <c r="BQ1566" s="1684"/>
      <c r="BR1566" s="1684"/>
      <c r="BS1566" s="1684"/>
      <c r="BT1566" s="1684"/>
      <c r="BU1566" s="1684"/>
      <c r="BV1566" s="1684"/>
      <c r="BW1566" s="1684"/>
      <c r="BX1566" s="1684"/>
      <c r="BY1566" s="1684"/>
      <c r="BZ1566" s="1684"/>
      <c r="CA1566" s="1684"/>
      <c r="CB1566" s="1684"/>
      <c r="CC1566" s="1684"/>
      <c r="CD1566" s="1684"/>
      <c r="CE1566" s="1684"/>
      <c r="CF1566" s="1684"/>
      <c r="CG1566" s="1684"/>
      <c r="CH1566" s="1684"/>
      <c r="CI1566" s="1684"/>
      <c r="CJ1566" s="1684"/>
      <c r="CK1566" s="1684"/>
      <c r="CL1566" s="1684"/>
      <c r="CM1566" s="1684"/>
      <c r="CN1566" s="1684"/>
      <c r="CO1566" s="1684"/>
      <c r="CP1566" s="1391"/>
      <c r="CQ1566" s="1391"/>
      <c r="CR1566" s="1391"/>
      <c r="CS1566" s="1391"/>
      <c r="CT1566" s="1391"/>
      <c r="CU1566" s="1391"/>
      <c r="CV1566" s="1391"/>
      <c r="CW1566" s="1391"/>
      <c r="CX1566" s="1391"/>
      <c r="CY1566" s="1391"/>
      <c r="CZ1566" s="1391"/>
      <c r="DA1566" s="1391"/>
      <c r="DB1566" s="1391"/>
      <c r="DC1566" s="1391"/>
      <c r="DD1566" s="1391"/>
      <c r="DE1566" s="1391"/>
      <c r="DF1566" s="1391"/>
      <c r="DG1566" s="1391"/>
      <c r="DH1566" s="1391"/>
      <c r="DI1566" s="1391"/>
    </row>
    <row r="1567" spans="1:113" ht="15.75" x14ac:dyDescent="0.25">
      <c r="A1567" s="1684"/>
      <c r="B1567" s="1694" t="s">
        <v>3015</v>
      </c>
      <c r="C1567" s="1694">
        <v>97.5</v>
      </c>
      <c r="D1567" s="1694">
        <v>83.1</v>
      </c>
      <c r="E1567" s="1694">
        <v>69</v>
      </c>
      <c r="F1567" s="1694">
        <v>56.4</v>
      </c>
      <c r="G1567" s="1694"/>
      <c r="H1567" s="1694"/>
      <c r="I1567" s="1694"/>
      <c r="J1567" s="1694"/>
      <c r="K1567" s="1417"/>
      <c r="L1567" s="1694" t="s">
        <v>3015</v>
      </c>
      <c r="M1567" s="1694">
        <v>27.1</v>
      </c>
      <c r="N1567" s="1694">
        <v>24.4</v>
      </c>
      <c r="O1567" s="1694">
        <v>19.3</v>
      </c>
      <c r="P1567" s="1694">
        <v>17.2</v>
      </c>
      <c r="Q1567" s="1694"/>
      <c r="R1567" s="1694"/>
      <c r="S1567" s="1694"/>
      <c r="T1567" s="1694"/>
      <c r="U1567" s="1417"/>
      <c r="V1567" s="1417"/>
      <c r="W1567" s="1417"/>
      <c r="X1567" s="1391"/>
      <c r="Y1567" s="1391"/>
      <c r="Z1567" s="1684"/>
      <c r="AA1567" s="1684"/>
      <c r="AB1567" s="1684"/>
      <c r="AC1567" s="1684"/>
      <c r="AD1567" s="1684"/>
      <c r="AE1567" s="1684"/>
      <c r="AF1567" s="1684"/>
      <c r="AG1567" s="1684"/>
      <c r="AH1567" s="1684"/>
      <c r="AI1567" s="1684"/>
      <c r="AJ1567" s="1684"/>
      <c r="AK1567" s="1684"/>
      <c r="AL1567" s="1684"/>
      <c r="AM1567" s="1684"/>
      <c r="AN1567" s="1684"/>
      <c r="AO1567" s="1684"/>
      <c r="AP1567" s="1684"/>
      <c r="AQ1567" s="1684"/>
      <c r="AR1567" s="1684"/>
      <c r="AS1567" s="1684"/>
      <c r="AT1567" s="1684"/>
      <c r="AU1567" s="1684"/>
      <c r="AV1567" s="1684"/>
      <c r="AW1567" s="1684"/>
      <c r="AX1567" s="1684"/>
      <c r="AY1567" s="1684"/>
      <c r="AZ1567" s="1684"/>
      <c r="BA1567" s="1684"/>
      <c r="BB1567" s="1684"/>
      <c r="BC1567" s="1684"/>
      <c r="BD1567" s="1684"/>
      <c r="BE1567" s="1684"/>
      <c r="BF1567" s="1684"/>
      <c r="BG1567" s="1684"/>
      <c r="BH1567" s="1684"/>
      <c r="BI1567" s="1684"/>
      <c r="BJ1567" s="1684"/>
      <c r="BK1567" s="1684"/>
      <c r="BL1567" s="1684"/>
      <c r="BM1567" s="1684"/>
      <c r="BN1567" s="1684"/>
      <c r="BO1567" s="1684"/>
      <c r="BP1567" s="1684"/>
      <c r="BQ1567" s="1684"/>
      <c r="BR1567" s="1684"/>
      <c r="BS1567" s="1684"/>
      <c r="BT1567" s="1684"/>
      <c r="BU1567" s="1684"/>
      <c r="BV1567" s="1684"/>
      <c r="BW1567" s="1684"/>
      <c r="BX1567" s="1684"/>
      <c r="BY1567" s="1684"/>
      <c r="BZ1567" s="1684"/>
      <c r="CA1567" s="1684"/>
      <c r="CB1567" s="1684"/>
      <c r="CC1567" s="1684"/>
      <c r="CD1567" s="1684"/>
      <c r="CE1567" s="1684"/>
      <c r="CF1567" s="1684"/>
      <c r="CG1567" s="1684"/>
      <c r="CH1567" s="1684"/>
      <c r="CI1567" s="1684"/>
      <c r="CJ1567" s="1684"/>
      <c r="CK1567" s="1684"/>
      <c r="CL1567" s="1684"/>
      <c r="CM1567" s="1684"/>
      <c r="CN1567" s="1684"/>
      <c r="CO1567" s="1684"/>
      <c r="CP1567" s="1391"/>
      <c r="CQ1567" s="1391"/>
      <c r="CR1567" s="1391"/>
      <c r="CS1567" s="1391"/>
      <c r="CT1567" s="1391"/>
      <c r="CU1567" s="1391"/>
      <c r="CV1567" s="1391"/>
      <c r="CW1567" s="1391"/>
      <c r="CX1567" s="1391"/>
      <c r="CY1567" s="1391"/>
      <c r="CZ1567" s="1391"/>
      <c r="DA1567" s="1391"/>
      <c r="DB1567" s="1391"/>
      <c r="DC1567" s="1391"/>
      <c r="DD1567" s="1391"/>
      <c r="DE1567" s="1391"/>
      <c r="DF1567" s="1391"/>
      <c r="DG1567" s="1391"/>
      <c r="DH1567" s="1391"/>
      <c r="DI1567" s="1391"/>
    </row>
    <row r="1568" spans="1:113" ht="15.75" x14ac:dyDescent="0.25">
      <c r="A1568" s="1684"/>
      <c r="B1568" s="1694" t="s">
        <v>3016</v>
      </c>
      <c r="C1568" s="1694">
        <v>87.9</v>
      </c>
      <c r="D1568" s="1694">
        <v>78.3</v>
      </c>
      <c r="E1568" s="1694">
        <v>60.9</v>
      </c>
      <c r="F1568" s="1694">
        <v>49.7</v>
      </c>
      <c r="G1568" s="1694"/>
      <c r="H1568" s="1694"/>
      <c r="I1568" s="1694"/>
      <c r="J1568" s="1694"/>
      <c r="K1568" s="1417"/>
      <c r="L1568" s="1694" t="s">
        <v>3016</v>
      </c>
      <c r="M1568" s="1694">
        <v>24.6</v>
      </c>
      <c r="N1568" s="1694">
        <v>22</v>
      </c>
      <c r="O1568" s="1694">
        <v>17.2</v>
      </c>
      <c r="P1568" s="1694">
        <v>15.3</v>
      </c>
      <c r="Q1568" s="1694"/>
      <c r="R1568" s="1694"/>
      <c r="S1568" s="1694"/>
      <c r="T1568" s="1694"/>
      <c r="U1568" s="1417"/>
      <c r="V1568" s="1417"/>
      <c r="W1568" s="1417"/>
      <c r="X1568" s="1391"/>
      <c r="Y1568" s="1391"/>
      <c r="Z1568" s="1684"/>
      <c r="AA1568" s="1684"/>
      <c r="AB1568" s="1684"/>
      <c r="AC1568" s="1684"/>
      <c r="AD1568" s="1684"/>
      <c r="AE1568" s="1684"/>
      <c r="AF1568" s="1684"/>
      <c r="AG1568" s="1684"/>
      <c r="AH1568" s="1684"/>
      <c r="AI1568" s="1684"/>
      <c r="AJ1568" s="1684"/>
      <c r="AK1568" s="1684"/>
      <c r="AL1568" s="1684"/>
      <c r="AM1568" s="1684"/>
      <c r="AN1568" s="1684"/>
      <c r="AO1568" s="1684"/>
      <c r="AP1568" s="1684"/>
      <c r="AQ1568" s="1684"/>
      <c r="AR1568" s="1684"/>
      <c r="AS1568" s="1684"/>
      <c r="AT1568" s="1684"/>
      <c r="AU1568" s="1684"/>
      <c r="AV1568" s="1684"/>
      <c r="AW1568" s="1684"/>
      <c r="AX1568" s="1684"/>
      <c r="AY1568" s="1684"/>
      <c r="AZ1568" s="1684"/>
      <c r="BA1568" s="1684"/>
      <c r="BB1568" s="1684"/>
      <c r="BC1568" s="1684"/>
      <c r="BD1568" s="1684"/>
      <c r="BE1568" s="1684"/>
      <c r="BF1568" s="1684"/>
      <c r="BG1568" s="1684"/>
      <c r="BH1568" s="1684"/>
      <c r="BI1568" s="1684"/>
      <c r="BJ1568" s="1684"/>
      <c r="BK1568" s="1684"/>
      <c r="BL1568" s="1684"/>
      <c r="BM1568" s="1684"/>
      <c r="BN1568" s="1684"/>
      <c r="BO1568" s="1684"/>
      <c r="BP1568" s="1684"/>
      <c r="BQ1568" s="1684"/>
      <c r="BR1568" s="1684"/>
      <c r="BS1568" s="1684"/>
      <c r="BT1568" s="1684"/>
      <c r="BU1568" s="1684"/>
      <c r="BV1568" s="1684"/>
      <c r="BW1568" s="1684"/>
      <c r="BX1568" s="1684"/>
      <c r="BY1568" s="1684"/>
      <c r="BZ1568" s="1684"/>
      <c r="CA1568" s="1684"/>
      <c r="CB1568" s="1684"/>
      <c r="CC1568" s="1684"/>
      <c r="CD1568" s="1684"/>
      <c r="CE1568" s="1684"/>
      <c r="CF1568" s="1684"/>
      <c r="CG1568" s="1684"/>
      <c r="CH1568" s="1684"/>
      <c r="CI1568" s="1684"/>
      <c r="CJ1568" s="1684"/>
      <c r="CK1568" s="1684"/>
      <c r="CL1568" s="1684"/>
      <c r="CM1568" s="1684"/>
      <c r="CN1568" s="1684"/>
      <c r="CO1568" s="1684"/>
      <c r="CP1568" s="1391"/>
      <c r="CQ1568" s="1391"/>
      <c r="CR1568" s="1391"/>
      <c r="CS1568" s="1391"/>
      <c r="CT1568" s="1391"/>
      <c r="CU1568" s="1391"/>
      <c r="CV1568" s="1391"/>
      <c r="CW1568" s="1391"/>
      <c r="CX1568" s="1391"/>
      <c r="CY1568" s="1391"/>
      <c r="CZ1568" s="1391"/>
      <c r="DA1568" s="1391"/>
      <c r="DB1568" s="1391"/>
      <c r="DC1568" s="1391"/>
      <c r="DD1568" s="1391"/>
      <c r="DE1568" s="1391"/>
      <c r="DF1568" s="1391"/>
      <c r="DG1568" s="1391"/>
      <c r="DH1568" s="1391"/>
      <c r="DI1568" s="1391"/>
    </row>
    <row r="1569" spans="1:113" ht="15.75" x14ac:dyDescent="0.25">
      <c r="A1569" s="1684"/>
      <c r="B1569" s="1694" t="s">
        <v>3017</v>
      </c>
      <c r="C1569" s="1694">
        <v>78.7</v>
      </c>
      <c r="D1569" s="1694">
        <v>70.2</v>
      </c>
      <c r="E1569" s="1694">
        <v>53.5</v>
      </c>
      <c r="F1569" s="1694">
        <v>44.1</v>
      </c>
      <c r="G1569" s="1694"/>
      <c r="H1569" s="1694"/>
      <c r="I1569" s="1694"/>
      <c r="J1569" s="1694"/>
      <c r="K1569" s="1417"/>
      <c r="L1569" s="1694" t="s">
        <v>3017</v>
      </c>
      <c r="M1569" s="1694">
        <v>22.2</v>
      </c>
      <c r="N1569" s="1694">
        <v>19.8</v>
      </c>
      <c r="O1569" s="1694">
        <v>15.3</v>
      </c>
      <c r="P1569" s="1694">
        <v>13.5</v>
      </c>
      <c r="Q1569" s="1694"/>
      <c r="R1569" s="1694"/>
      <c r="S1569" s="1694"/>
      <c r="T1569" s="1694"/>
      <c r="U1569" s="1417"/>
      <c r="V1569" s="1417"/>
      <c r="W1569" s="1417"/>
      <c r="X1569" s="1391"/>
      <c r="Y1569" s="1391"/>
      <c r="Z1569" s="1684"/>
      <c r="AA1569" s="1684"/>
      <c r="AB1569" s="1684"/>
      <c r="AC1569" s="1684"/>
      <c r="AD1569" s="1684"/>
      <c r="AE1569" s="1684"/>
      <c r="AF1569" s="1684"/>
      <c r="AG1569" s="1684"/>
      <c r="AH1569" s="1684"/>
      <c r="AI1569" s="1684"/>
      <c r="AJ1569" s="1684"/>
      <c r="AK1569" s="1684"/>
      <c r="AL1569" s="1684"/>
      <c r="AM1569" s="1684"/>
      <c r="AN1569" s="1684"/>
      <c r="AO1569" s="1684"/>
      <c r="AP1569" s="1684"/>
      <c r="AQ1569" s="1684"/>
      <c r="AR1569" s="1684"/>
      <c r="AS1569" s="1684"/>
      <c r="AT1569" s="1684"/>
      <c r="AU1569" s="1684"/>
      <c r="AV1569" s="1684"/>
      <c r="AW1569" s="1684"/>
      <c r="AX1569" s="1684"/>
      <c r="AY1569" s="1684"/>
      <c r="AZ1569" s="1684"/>
      <c r="BA1569" s="1684"/>
      <c r="BB1569" s="1684"/>
      <c r="BC1569" s="1684"/>
      <c r="BD1569" s="1684"/>
      <c r="BE1569" s="1684"/>
      <c r="BF1569" s="1684"/>
      <c r="BG1569" s="1684"/>
      <c r="BH1569" s="1684"/>
      <c r="BI1569" s="1684"/>
      <c r="BJ1569" s="1684"/>
      <c r="BK1569" s="1684"/>
      <c r="BL1569" s="1684"/>
      <c r="BM1569" s="1684"/>
      <c r="BN1569" s="1684"/>
      <c r="BO1569" s="1684"/>
      <c r="BP1569" s="1684"/>
      <c r="BQ1569" s="1684"/>
      <c r="BR1569" s="1684"/>
      <c r="BS1569" s="1684"/>
      <c r="BT1569" s="1684"/>
      <c r="BU1569" s="1684"/>
      <c r="BV1569" s="1684"/>
      <c r="BW1569" s="1684"/>
      <c r="BX1569" s="1684"/>
      <c r="BY1569" s="1684"/>
      <c r="BZ1569" s="1684"/>
      <c r="CA1569" s="1684"/>
      <c r="CB1569" s="1684"/>
      <c r="CC1569" s="1684"/>
      <c r="CD1569" s="1684"/>
      <c r="CE1569" s="1684"/>
      <c r="CF1569" s="1684"/>
      <c r="CG1569" s="1684"/>
      <c r="CH1569" s="1684"/>
      <c r="CI1569" s="1684"/>
      <c r="CJ1569" s="1684"/>
      <c r="CK1569" s="1684"/>
      <c r="CL1569" s="1684"/>
      <c r="CM1569" s="1684"/>
      <c r="CN1569" s="1684"/>
      <c r="CO1569" s="1684"/>
      <c r="CP1569" s="1391"/>
      <c r="CQ1569" s="1391"/>
      <c r="CR1569" s="1391"/>
      <c r="CS1569" s="1391"/>
      <c r="CT1569" s="1391"/>
      <c r="CU1569" s="1391"/>
      <c r="CV1569" s="1391"/>
      <c r="CW1569" s="1391"/>
      <c r="CX1569" s="1391"/>
      <c r="CY1569" s="1391"/>
      <c r="CZ1569" s="1391"/>
      <c r="DA1569" s="1391"/>
      <c r="DB1569" s="1391"/>
      <c r="DC1569" s="1391"/>
      <c r="DD1569" s="1391"/>
      <c r="DE1569" s="1391"/>
      <c r="DF1569" s="1391"/>
      <c r="DG1569" s="1391"/>
      <c r="DH1569" s="1391"/>
      <c r="DI1569" s="1391"/>
    </row>
    <row r="1570" spans="1:113" ht="15.75" x14ac:dyDescent="0.25">
      <c r="A1570" s="1684"/>
      <c r="B1570" s="1694" t="s">
        <v>3018</v>
      </c>
      <c r="C1570" s="1694">
        <v>70.2</v>
      </c>
      <c r="D1570" s="1694">
        <v>62.6</v>
      </c>
      <c r="E1570" s="1694">
        <v>47.1</v>
      </c>
      <c r="F1570" s="1694">
        <v>38.4</v>
      </c>
      <c r="G1570" s="1694"/>
      <c r="H1570" s="1694"/>
      <c r="I1570" s="1694"/>
      <c r="J1570" s="1694"/>
      <c r="K1570" s="1417"/>
      <c r="L1570" s="1694" t="s">
        <v>3018</v>
      </c>
      <c r="M1570" s="1694">
        <v>19.100000000000001</v>
      </c>
      <c r="N1570" s="1694">
        <v>17.7</v>
      </c>
      <c r="O1570" s="1694">
        <v>13.5</v>
      </c>
      <c r="P1570" s="1694">
        <v>11.9</v>
      </c>
      <c r="Q1570" s="1694"/>
      <c r="R1570" s="1694"/>
      <c r="S1570" s="1694"/>
      <c r="T1570" s="1694"/>
      <c r="U1570" s="1417"/>
      <c r="V1570" s="1417"/>
      <c r="W1570" s="1417"/>
      <c r="X1570" s="1391"/>
      <c r="Y1570" s="1391"/>
      <c r="Z1570" s="1684"/>
      <c r="AA1570" s="1684"/>
      <c r="AB1570" s="1684"/>
      <c r="AC1570" s="1684"/>
      <c r="AD1570" s="1684"/>
      <c r="AE1570" s="1684"/>
      <c r="AF1570" s="1684"/>
      <c r="AG1570" s="1684"/>
      <c r="AH1570" s="1684"/>
      <c r="AI1570" s="1684"/>
      <c r="AJ1570" s="1684"/>
      <c r="AK1570" s="1684"/>
      <c r="AL1570" s="1684"/>
      <c r="AM1570" s="1684"/>
      <c r="AN1570" s="1684"/>
      <c r="AO1570" s="1684"/>
      <c r="AP1570" s="1684"/>
      <c r="AQ1570" s="1684"/>
      <c r="AR1570" s="1684"/>
      <c r="AS1570" s="1684"/>
      <c r="AT1570" s="1684"/>
      <c r="AU1570" s="1684"/>
      <c r="AV1570" s="1684"/>
      <c r="AW1570" s="1684"/>
      <c r="AX1570" s="1684"/>
      <c r="AY1570" s="1684"/>
      <c r="AZ1570" s="1684"/>
      <c r="BA1570" s="1684"/>
      <c r="BB1570" s="1684"/>
      <c r="BC1570" s="1684"/>
      <c r="BD1570" s="1684"/>
      <c r="BE1570" s="1684"/>
      <c r="BF1570" s="1684"/>
      <c r="BG1570" s="1684"/>
      <c r="BH1570" s="1684"/>
      <c r="BI1570" s="1684"/>
      <c r="BJ1570" s="1684"/>
      <c r="BK1570" s="1684"/>
      <c r="BL1570" s="1684"/>
      <c r="BM1570" s="1684"/>
      <c r="BN1570" s="1684"/>
      <c r="BO1570" s="1684"/>
      <c r="BP1570" s="1684"/>
      <c r="BQ1570" s="1684"/>
      <c r="BR1570" s="1684"/>
      <c r="BS1570" s="1684"/>
      <c r="BT1570" s="1684"/>
      <c r="BU1570" s="1684"/>
      <c r="BV1570" s="1684"/>
      <c r="BW1570" s="1684"/>
      <c r="BX1570" s="1684"/>
      <c r="BY1570" s="1684"/>
      <c r="BZ1570" s="1684"/>
      <c r="CA1570" s="1684"/>
      <c r="CB1570" s="1684"/>
      <c r="CC1570" s="1684"/>
      <c r="CD1570" s="1684"/>
      <c r="CE1570" s="1684"/>
      <c r="CF1570" s="1684"/>
      <c r="CG1570" s="1684"/>
      <c r="CH1570" s="1684"/>
      <c r="CI1570" s="1684"/>
      <c r="CJ1570" s="1684"/>
      <c r="CK1570" s="1684"/>
      <c r="CL1570" s="1684"/>
      <c r="CM1570" s="1684"/>
      <c r="CN1570" s="1684"/>
      <c r="CO1570" s="1684"/>
      <c r="CP1570" s="1391"/>
      <c r="CQ1570" s="1391"/>
      <c r="CR1570" s="1391"/>
      <c r="CS1570" s="1391"/>
      <c r="CT1570" s="1391"/>
      <c r="CU1570" s="1391"/>
      <c r="CV1570" s="1391"/>
      <c r="CW1570" s="1391"/>
      <c r="CX1570" s="1391"/>
      <c r="CY1570" s="1391"/>
      <c r="CZ1570" s="1391"/>
      <c r="DA1570" s="1391"/>
      <c r="DB1570" s="1391"/>
      <c r="DC1570" s="1391"/>
      <c r="DD1570" s="1391"/>
      <c r="DE1570" s="1391"/>
      <c r="DF1570" s="1391"/>
      <c r="DG1570" s="1391"/>
      <c r="DH1570" s="1391"/>
      <c r="DI1570" s="1391"/>
    </row>
    <row r="1571" spans="1:113" ht="15.75" x14ac:dyDescent="0.25">
      <c r="A1571" s="1684"/>
      <c r="B1571" s="1694" t="s">
        <v>3019</v>
      </c>
      <c r="C1571" s="1694">
        <v>60.4</v>
      </c>
      <c r="D1571" s="1694">
        <v>55.1</v>
      </c>
      <c r="E1571" s="1694">
        <v>41.3</v>
      </c>
      <c r="F1571" s="1694">
        <v>33.700000000000003</v>
      </c>
      <c r="G1571" s="1694"/>
      <c r="H1571" s="1694"/>
      <c r="I1571" s="1694"/>
      <c r="J1571" s="1694"/>
      <c r="K1571" s="1417"/>
      <c r="L1571" s="1694" t="s">
        <v>3019</v>
      </c>
      <c r="M1571" s="1694">
        <v>17.399999999999999</v>
      </c>
      <c r="N1571" s="1694">
        <v>15.7</v>
      </c>
      <c r="O1571" s="1694">
        <v>12</v>
      </c>
      <c r="P1571" s="1694">
        <v>10.4</v>
      </c>
      <c r="Q1571" s="1694"/>
      <c r="R1571" s="1694"/>
      <c r="S1571" s="1694"/>
      <c r="T1571" s="1694"/>
      <c r="U1571" s="1417"/>
      <c r="V1571" s="1417"/>
      <c r="W1571" s="1417"/>
      <c r="X1571" s="1391"/>
      <c r="Y1571" s="1391"/>
      <c r="Z1571" s="1684"/>
      <c r="AA1571" s="1684"/>
      <c r="AB1571" s="1684"/>
      <c r="AC1571" s="1684"/>
      <c r="AD1571" s="1684"/>
      <c r="AE1571" s="1684"/>
      <c r="AF1571" s="1684"/>
      <c r="AG1571" s="1684"/>
      <c r="AH1571" s="1684"/>
      <c r="AI1571" s="1684"/>
      <c r="AJ1571" s="1684"/>
      <c r="AK1571" s="1684"/>
      <c r="AL1571" s="1684"/>
      <c r="AM1571" s="1684"/>
      <c r="AN1571" s="1684"/>
      <c r="AO1571" s="1684"/>
      <c r="AP1571" s="1684"/>
      <c r="AQ1571" s="1684"/>
      <c r="AR1571" s="1684"/>
      <c r="AS1571" s="1684"/>
      <c r="AT1571" s="1684"/>
      <c r="AU1571" s="1684"/>
      <c r="AV1571" s="1684"/>
      <c r="AW1571" s="1684"/>
      <c r="AX1571" s="1684"/>
      <c r="AY1571" s="1684"/>
      <c r="AZ1571" s="1684"/>
      <c r="BA1571" s="1684"/>
      <c r="BB1571" s="1684"/>
      <c r="BC1571" s="1684"/>
      <c r="BD1571" s="1684"/>
      <c r="BE1571" s="1684"/>
      <c r="BF1571" s="1684"/>
      <c r="BG1571" s="1684"/>
      <c r="BH1571" s="1684"/>
      <c r="BI1571" s="1684"/>
      <c r="BJ1571" s="1684"/>
      <c r="BK1571" s="1684"/>
      <c r="BL1571" s="1684"/>
      <c r="BM1571" s="1684"/>
      <c r="BN1571" s="1684"/>
      <c r="BO1571" s="1684"/>
      <c r="BP1571" s="1684"/>
      <c r="BQ1571" s="1684"/>
      <c r="BR1571" s="1684"/>
      <c r="BS1571" s="1684"/>
      <c r="BT1571" s="1684"/>
      <c r="BU1571" s="1684"/>
      <c r="BV1571" s="1684"/>
      <c r="BW1571" s="1684"/>
      <c r="BX1571" s="1684"/>
      <c r="BY1571" s="1684"/>
      <c r="BZ1571" s="1684"/>
      <c r="CA1571" s="1684"/>
      <c r="CB1571" s="1684"/>
      <c r="CC1571" s="1684"/>
      <c r="CD1571" s="1684"/>
      <c r="CE1571" s="1684"/>
      <c r="CF1571" s="1684"/>
      <c r="CG1571" s="1684"/>
      <c r="CH1571" s="1684"/>
      <c r="CI1571" s="1684"/>
      <c r="CJ1571" s="1684"/>
      <c r="CK1571" s="1684"/>
      <c r="CL1571" s="1684"/>
      <c r="CM1571" s="1684"/>
      <c r="CN1571" s="1684"/>
      <c r="CO1571" s="1684"/>
      <c r="CP1571" s="1391"/>
      <c r="CQ1571" s="1391"/>
      <c r="CR1571" s="1391"/>
      <c r="CS1571" s="1391"/>
      <c r="CT1571" s="1391"/>
      <c r="CU1571" s="1391"/>
      <c r="CV1571" s="1391"/>
      <c r="CW1571" s="1391"/>
      <c r="CX1571" s="1391"/>
      <c r="CY1571" s="1391"/>
      <c r="CZ1571" s="1391"/>
      <c r="DA1571" s="1391"/>
      <c r="DB1571" s="1391"/>
      <c r="DC1571" s="1391"/>
      <c r="DD1571" s="1391"/>
      <c r="DE1571" s="1391"/>
      <c r="DF1571" s="1391"/>
      <c r="DG1571" s="1391"/>
      <c r="DH1571" s="1391"/>
      <c r="DI1571" s="1391"/>
    </row>
    <row r="1572" spans="1:113" ht="15.75" x14ac:dyDescent="0.25">
      <c r="A1572" s="1684"/>
      <c r="B1572" s="1694" t="s">
        <v>3020</v>
      </c>
      <c r="C1572" s="1694">
        <v>53.8</v>
      </c>
      <c r="D1572" s="1694">
        <v>49.2</v>
      </c>
      <c r="E1572" s="1694">
        <v>36.5</v>
      </c>
      <c r="F1572" s="1694">
        <v>29.7</v>
      </c>
      <c r="G1572" s="1694"/>
      <c r="H1572" s="1694"/>
      <c r="I1572" s="1694"/>
      <c r="J1572" s="1694"/>
      <c r="K1572" s="1417"/>
      <c r="L1572" s="1694" t="s">
        <v>3020</v>
      </c>
      <c r="M1572" s="1694">
        <v>15.6</v>
      </c>
      <c r="N1572" s="1694">
        <v>14</v>
      </c>
      <c r="O1572" s="1694">
        <v>10.6</v>
      </c>
      <c r="P1572" s="1694">
        <v>9.1999999999999993</v>
      </c>
      <c r="Q1572" s="1694"/>
      <c r="R1572" s="1694"/>
      <c r="S1572" s="1694"/>
      <c r="T1572" s="1694"/>
      <c r="U1572" s="1417"/>
      <c r="V1572" s="1417"/>
      <c r="W1572" s="1417"/>
      <c r="X1572" s="1391"/>
      <c r="Y1572" s="1391"/>
      <c r="Z1572" s="1684"/>
      <c r="AA1572" s="1684"/>
      <c r="AB1572" s="1684"/>
      <c r="AC1572" s="1684"/>
      <c r="AD1572" s="1684"/>
      <c r="AE1572" s="1684"/>
      <c r="AF1572" s="1684"/>
      <c r="AG1572" s="1684"/>
      <c r="AH1572" s="1684"/>
      <c r="AI1572" s="1684"/>
      <c r="AJ1572" s="1684"/>
      <c r="AK1572" s="1684"/>
      <c r="AL1572" s="1684"/>
      <c r="AM1572" s="1684"/>
      <c r="AN1572" s="1684"/>
      <c r="AO1572" s="1684"/>
      <c r="AP1572" s="1684"/>
      <c r="AQ1572" s="1684"/>
      <c r="AR1572" s="1684"/>
      <c r="AS1572" s="1684"/>
      <c r="AT1572" s="1684"/>
      <c r="AU1572" s="1684"/>
      <c r="AV1572" s="1684"/>
      <c r="AW1572" s="1684"/>
      <c r="AX1572" s="1684"/>
      <c r="AY1572" s="1684"/>
      <c r="AZ1572" s="1684"/>
      <c r="BA1572" s="1684"/>
      <c r="BB1572" s="1684"/>
      <c r="BC1572" s="1684"/>
      <c r="BD1572" s="1684"/>
      <c r="BE1572" s="1684"/>
      <c r="BF1572" s="1684"/>
      <c r="BG1572" s="1684"/>
      <c r="BH1572" s="1684"/>
      <c r="BI1572" s="1684"/>
      <c r="BJ1572" s="1684"/>
      <c r="BK1572" s="1684"/>
      <c r="BL1572" s="1684"/>
      <c r="BM1572" s="1684"/>
      <c r="BN1572" s="1684"/>
      <c r="BO1572" s="1684"/>
      <c r="BP1572" s="1684"/>
      <c r="BQ1572" s="1684"/>
      <c r="BR1572" s="1684"/>
      <c r="BS1572" s="1684"/>
      <c r="BT1572" s="1684"/>
      <c r="BU1572" s="1684"/>
      <c r="BV1572" s="1684"/>
      <c r="BW1572" s="1684"/>
      <c r="BX1572" s="1684"/>
      <c r="BY1572" s="1684"/>
      <c r="BZ1572" s="1684"/>
      <c r="CA1572" s="1684"/>
      <c r="CB1572" s="1684"/>
      <c r="CC1572" s="1684"/>
      <c r="CD1572" s="1684"/>
      <c r="CE1572" s="1684"/>
      <c r="CF1572" s="1684"/>
      <c r="CG1572" s="1684"/>
      <c r="CH1572" s="1684"/>
      <c r="CI1572" s="1684"/>
      <c r="CJ1572" s="1684"/>
      <c r="CK1572" s="1684"/>
      <c r="CL1572" s="1684"/>
      <c r="CM1572" s="1684"/>
      <c r="CN1572" s="1684"/>
      <c r="CO1572" s="1684"/>
      <c r="CP1572" s="1391"/>
      <c r="CQ1572" s="1391"/>
      <c r="CR1572" s="1391"/>
      <c r="CS1572" s="1391"/>
      <c r="CT1572" s="1391"/>
      <c r="CU1572" s="1391"/>
      <c r="CV1572" s="1391"/>
      <c r="CW1572" s="1391"/>
      <c r="CX1572" s="1391"/>
      <c r="CY1572" s="1391"/>
      <c r="CZ1572" s="1391"/>
      <c r="DA1572" s="1391"/>
      <c r="DB1572" s="1391"/>
      <c r="DC1572" s="1391"/>
      <c r="DD1572" s="1391"/>
      <c r="DE1572" s="1391"/>
      <c r="DF1572" s="1391"/>
      <c r="DG1572" s="1391"/>
      <c r="DH1572" s="1391"/>
      <c r="DI1572" s="1391"/>
    </row>
    <row r="1573" spans="1:113" ht="15" x14ac:dyDescent="0.2">
      <c r="A1573" s="1684"/>
      <c r="B1573" s="1684"/>
      <c r="C1573" s="1684"/>
      <c r="D1573" s="1684"/>
      <c r="E1573" s="1684"/>
      <c r="F1573" s="1684"/>
      <c r="G1573" s="1684"/>
      <c r="H1573" s="1684"/>
      <c r="I1573" s="1684"/>
      <c r="J1573" s="1684"/>
      <c r="K1573" s="1684"/>
      <c r="L1573" s="1684"/>
      <c r="M1573" s="1684"/>
      <c r="N1573" s="1684"/>
      <c r="O1573" s="1684"/>
      <c r="P1573" s="1684"/>
      <c r="Q1573" s="1684"/>
      <c r="R1573" s="1684"/>
      <c r="S1573" s="1684"/>
      <c r="T1573" s="1684"/>
      <c r="U1573" s="1684"/>
      <c r="V1573" s="1684"/>
      <c r="W1573" s="1684"/>
      <c r="X1573" s="1684"/>
      <c r="Y1573" s="1684"/>
      <c r="Z1573" s="1684"/>
      <c r="AA1573" s="1684"/>
      <c r="AB1573" s="1684"/>
      <c r="AC1573" s="1684"/>
      <c r="AD1573" s="1684"/>
      <c r="AE1573" s="1684"/>
      <c r="AF1573" s="1684"/>
      <c r="AG1573" s="1684"/>
      <c r="AH1573" s="1684"/>
      <c r="AI1573" s="1684"/>
      <c r="AJ1573" s="1684"/>
      <c r="AK1573" s="1684"/>
      <c r="AL1573" s="1684"/>
      <c r="AM1573" s="1684"/>
      <c r="AN1573" s="1684"/>
      <c r="AO1573" s="1684"/>
      <c r="AP1573" s="1684"/>
      <c r="AQ1573" s="1684"/>
      <c r="AR1573" s="1684"/>
      <c r="AS1573" s="1684"/>
      <c r="AT1573" s="1684"/>
      <c r="AU1573" s="1684"/>
      <c r="AV1573" s="1684"/>
      <c r="AW1573" s="1684"/>
      <c r="AX1573" s="1684"/>
      <c r="AY1573" s="1684"/>
      <c r="AZ1573" s="1684"/>
      <c r="BA1573" s="1684"/>
      <c r="BB1573" s="1684"/>
      <c r="BC1573" s="1684"/>
      <c r="BD1573" s="1684"/>
      <c r="BE1573" s="1684"/>
      <c r="BF1573" s="1684"/>
      <c r="BG1573" s="1684"/>
      <c r="BH1573" s="1684"/>
      <c r="BI1573" s="1684"/>
      <c r="BJ1573" s="1684"/>
      <c r="BK1573" s="1684"/>
      <c r="BL1573" s="1684"/>
      <c r="BM1573" s="1684"/>
      <c r="BN1573" s="1684"/>
      <c r="BO1573" s="1684"/>
      <c r="BP1573" s="1684"/>
      <c r="BQ1573" s="1684"/>
      <c r="BR1573" s="1684"/>
      <c r="BS1573" s="1684"/>
      <c r="BT1573" s="1684"/>
      <c r="BU1573" s="1684"/>
      <c r="BV1573" s="1684"/>
      <c r="BW1573" s="1684"/>
      <c r="BX1573" s="1684"/>
      <c r="BY1573" s="1684"/>
      <c r="BZ1573" s="1684"/>
      <c r="CA1573" s="1684"/>
      <c r="CB1573" s="1684"/>
      <c r="CC1573" s="1684"/>
      <c r="CD1573" s="1684"/>
      <c r="CE1573" s="1684"/>
      <c r="CF1573" s="1684"/>
      <c r="CG1573" s="1684"/>
      <c r="CH1573" s="1684"/>
      <c r="CI1573" s="1684"/>
      <c r="CJ1573" s="1684"/>
      <c r="CK1573" s="1684"/>
      <c r="CL1573" s="1684"/>
      <c r="CM1573" s="1684"/>
      <c r="CN1573" s="1684"/>
      <c r="CO1573" s="1684"/>
      <c r="CP1573" s="1391"/>
      <c r="CQ1573" s="1391"/>
      <c r="CR1573" s="1391"/>
      <c r="CS1573" s="1391"/>
      <c r="CT1573" s="1391"/>
      <c r="CU1573" s="1391"/>
      <c r="CV1573" s="1391"/>
      <c r="CW1573" s="1391"/>
      <c r="CX1573" s="1391"/>
      <c r="CY1573" s="1391"/>
      <c r="CZ1573" s="1391"/>
      <c r="DA1573" s="1391"/>
      <c r="DB1573" s="1391"/>
      <c r="DC1573" s="1391"/>
      <c r="DD1573" s="1391"/>
      <c r="DE1573" s="1391"/>
      <c r="DF1573" s="1391"/>
      <c r="DG1573" s="1391"/>
      <c r="DH1573" s="1391"/>
      <c r="DI1573" s="1391"/>
    </row>
    <row r="1574" spans="1:113" ht="15" x14ac:dyDescent="0.2">
      <c r="A1574" s="1684"/>
      <c r="B1574" s="1684"/>
      <c r="C1574" s="1684"/>
      <c r="D1574" s="1684"/>
      <c r="E1574" s="1684"/>
      <c r="F1574" s="1684"/>
      <c r="G1574" s="1684"/>
      <c r="H1574" s="1684"/>
      <c r="I1574" s="1684"/>
      <c r="J1574" s="1684"/>
      <c r="K1574" s="1684"/>
      <c r="L1574" s="1684"/>
      <c r="M1574" s="1684"/>
      <c r="N1574" s="1684"/>
      <c r="O1574" s="1684"/>
      <c r="P1574" s="1684"/>
      <c r="Q1574" s="1684"/>
      <c r="R1574" s="1684"/>
      <c r="S1574" s="1684"/>
      <c r="T1574" s="1684"/>
      <c r="U1574" s="1684"/>
      <c r="V1574" s="1684"/>
      <c r="W1574" s="1684"/>
      <c r="X1574" s="1684"/>
      <c r="Y1574" s="1684"/>
      <c r="Z1574" s="1684"/>
      <c r="AA1574" s="1684"/>
      <c r="AB1574" s="1684"/>
      <c r="AC1574" s="1684"/>
      <c r="AD1574" s="1684"/>
      <c r="AE1574" s="1684"/>
      <c r="AF1574" s="1684"/>
      <c r="AG1574" s="1684"/>
      <c r="AH1574" s="1684"/>
      <c r="AI1574" s="1684"/>
      <c r="AJ1574" s="1684"/>
      <c r="AK1574" s="1684"/>
      <c r="AL1574" s="1684"/>
      <c r="AM1574" s="1684"/>
      <c r="AN1574" s="1684"/>
      <c r="AO1574" s="1684"/>
      <c r="AP1574" s="1684"/>
      <c r="AQ1574" s="1684"/>
      <c r="AR1574" s="1684"/>
      <c r="AS1574" s="1684"/>
      <c r="AT1574" s="1684"/>
      <c r="AU1574" s="1684"/>
      <c r="AV1574" s="1684"/>
      <c r="AW1574" s="1684"/>
      <c r="AX1574" s="1684"/>
      <c r="AY1574" s="1684"/>
      <c r="AZ1574" s="1684"/>
      <c r="BA1574" s="1684"/>
      <c r="BB1574" s="1684"/>
      <c r="BC1574" s="1684"/>
      <c r="BD1574" s="1684"/>
      <c r="BE1574" s="1684"/>
      <c r="BF1574" s="1684"/>
      <c r="BG1574" s="1684"/>
      <c r="BH1574" s="1684"/>
      <c r="BI1574" s="1684"/>
      <c r="BJ1574" s="1684"/>
      <c r="BK1574" s="1684"/>
      <c r="BL1574" s="1684"/>
      <c r="BM1574" s="1684"/>
      <c r="BN1574" s="1684"/>
      <c r="BO1574" s="1684"/>
      <c r="BP1574" s="1684"/>
      <c r="BQ1574" s="1684"/>
      <c r="BR1574" s="1684"/>
      <c r="BS1574" s="1684"/>
      <c r="BT1574" s="1684"/>
      <c r="BU1574" s="1684"/>
      <c r="BV1574" s="1684"/>
      <c r="BW1574" s="1684"/>
      <c r="BX1574" s="1684"/>
      <c r="BY1574" s="1684"/>
      <c r="BZ1574" s="1684"/>
      <c r="CA1574" s="1684"/>
      <c r="CB1574" s="1684"/>
      <c r="CC1574" s="1684"/>
      <c r="CD1574" s="1684"/>
      <c r="CE1574" s="1684"/>
      <c r="CF1574" s="1684"/>
      <c r="CG1574" s="1684"/>
      <c r="CH1574" s="1684"/>
      <c r="CI1574" s="1684"/>
      <c r="CJ1574" s="1684"/>
      <c r="CK1574" s="1684"/>
      <c r="CL1574" s="1684"/>
      <c r="CM1574" s="1684"/>
      <c r="CN1574" s="1684"/>
      <c r="CO1574" s="1684"/>
      <c r="CP1574" s="1391"/>
      <c r="CQ1574" s="1391"/>
      <c r="CR1574" s="1391"/>
      <c r="CS1574" s="1391"/>
      <c r="CT1574" s="1391"/>
      <c r="CU1574" s="1391"/>
      <c r="CV1574" s="1391"/>
      <c r="CW1574" s="1391"/>
      <c r="CX1574" s="1391"/>
      <c r="CY1574" s="1391"/>
      <c r="CZ1574" s="1391"/>
      <c r="DA1574" s="1391"/>
      <c r="DB1574" s="1391"/>
      <c r="DC1574" s="1391"/>
      <c r="DD1574" s="1391"/>
      <c r="DE1574" s="1391"/>
      <c r="DF1574" s="1391"/>
      <c r="DG1574" s="1391"/>
      <c r="DH1574" s="1391"/>
      <c r="DI1574" s="1391"/>
    </row>
    <row r="1575" spans="1:113" ht="15" x14ac:dyDescent="0.2">
      <c r="A1575" s="1684"/>
      <c r="B1575" s="1684"/>
      <c r="C1575" s="1684"/>
      <c r="D1575" s="1684"/>
      <c r="E1575" s="1684"/>
      <c r="F1575" s="1684"/>
      <c r="G1575" s="1684"/>
      <c r="H1575" s="1684"/>
      <c r="I1575" s="1684"/>
      <c r="J1575" s="1684"/>
      <c r="K1575" s="1684"/>
      <c r="L1575" s="1684"/>
      <c r="M1575" s="1684"/>
      <c r="N1575" s="1684"/>
      <c r="O1575" s="1684"/>
      <c r="P1575" s="1684"/>
      <c r="Q1575" s="1684"/>
      <c r="R1575" s="1684"/>
      <c r="S1575" s="1684"/>
      <c r="T1575" s="1684"/>
      <c r="U1575" s="1684"/>
      <c r="V1575" s="1684"/>
      <c r="W1575" s="1684"/>
      <c r="X1575" s="1684"/>
      <c r="Y1575" s="1684"/>
      <c r="Z1575" s="1684"/>
      <c r="AA1575" s="1684"/>
      <c r="AB1575" s="1684"/>
      <c r="AC1575" s="1684"/>
      <c r="AD1575" s="1684"/>
      <c r="AE1575" s="1684"/>
      <c r="AF1575" s="1684"/>
      <c r="AG1575" s="1684"/>
      <c r="AH1575" s="1684"/>
      <c r="AI1575" s="1684"/>
      <c r="AJ1575" s="1684"/>
      <c r="AK1575" s="1684"/>
      <c r="AL1575" s="1684"/>
      <c r="AM1575" s="1684"/>
      <c r="AN1575" s="1684"/>
      <c r="AO1575" s="1684"/>
      <c r="AP1575" s="1684"/>
      <c r="AQ1575" s="1684"/>
      <c r="AR1575" s="1684"/>
      <c r="AS1575" s="1684"/>
      <c r="AT1575" s="1684"/>
      <c r="AU1575" s="1684"/>
      <c r="AV1575" s="1684"/>
      <c r="AW1575" s="1684"/>
      <c r="AX1575" s="1684"/>
      <c r="AY1575" s="1684"/>
      <c r="AZ1575" s="1684"/>
      <c r="BA1575" s="1684"/>
      <c r="BB1575" s="1684"/>
      <c r="BC1575" s="1684"/>
      <c r="BD1575" s="1684"/>
      <c r="BE1575" s="1684"/>
      <c r="BF1575" s="1684"/>
      <c r="BG1575" s="1684"/>
      <c r="BH1575" s="1684"/>
      <c r="BI1575" s="1684"/>
      <c r="BJ1575" s="1684"/>
      <c r="BK1575" s="1684"/>
      <c r="BL1575" s="1684"/>
      <c r="BM1575" s="1684"/>
      <c r="BN1575" s="1684"/>
      <c r="BO1575" s="1684"/>
      <c r="BP1575" s="1684"/>
      <c r="BQ1575" s="1684"/>
      <c r="BR1575" s="1684"/>
      <c r="BS1575" s="1684"/>
      <c r="BT1575" s="1684"/>
      <c r="BU1575" s="1684"/>
      <c r="BV1575" s="1684"/>
      <c r="BW1575" s="1684"/>
      <c r="BX1575" s="1684"/>
      <c r="BY1575" s="1684"/>
      <c r="BZ1575" s="1684"/>
      <c r="CA1575" s="1684"/>
      <c r="CB1575" s="1684"/>
      <c r="CC1575" s="1684"/>
      <c r="CD1575" s="1684"/>
      <c r="CE1575" s="1684"/>
      <c r="CF1575" s="1684"/>
      <c r="CG1575" s="1684"/>
      <c r="CH1575" s="1684"/>
      <c r="CI1575" s="1684"/>
      <c r="CJ1575" s="1684"/>
      <c r="CK1575" s="1684"/>
      <c r="CL1575" s="1684"/>
      <c r="CM1575" s="1684"/>
      <c r="CN1575" s="1684"/>
      <c r="CO1575" s="1684"/>
      <c r="CP1575" s="1391"/>
      <c r="CQ1575" s="1391"/>
      <c r="CR1575" s="1391"/>
      <c r="CS1575" s="1391"/>
      <c r="CT1575" s="1391"/>
      <c r="CU1575" s="1391"/>
      <c r="CV1575" s="1391"/>
      <c r="CW1575" s="1391"/>
      <c r="CX1575" s="1391"/>
      <c r="CY1575" s="1391"/>
      <c r="CZ1575" s="1391"/>
      <c r="DA1575" s="1391"/>
      <c r="DB1575" s="1391"/>
      <c r="DC1575" s="1391"/>
      <c r="DD1575" s="1391"/>
      <c r="DE1575" s="1391"/>
      <c r="DF1575" s="1391"/>
      <c r="DG1575" s="1391"/>
      <c r="DH1575" s="1391"/>
      <c r="DI1575" s="1391"/>
    </row>
    <row r="1576" spans="1:113" ht="15.75" x14ac:dyDescent="0.25">
      <c r="A1576" s="1684"/>
      <c r="B1576" s="1493"/>
      <c r="C1576" s="1493"/>
      <c r="D1576" s="1493"/>
      <c r="E1576" s="1493"/>
      <c r="F1576" s="1493"/>
      <c r="G1576" s="1493"/>
      <c r="H1576" s="1493"/>
      <c r="I1576" s="1493"/>
      <c r="J1576" s="1493"/>
      <c r="K1576" s="1493"/>
      <c r="L1576" s="1493"/>
      <c r="M1576" s="1493"/>
      <c r="N1576" s="1493"/>
      <c r="O1576" s="1493"/>
      <c r="P1576" s="1493"/>
      <c r="Q1576" s="1493"/>
      <c r="R1576" s="1493"/>
      <c r="S1576" s="1493"/>
      <c r="T1576" s="1493"/>
      <c r="U1576" s="1493"/>
      <c r="V1576" s="1493"/>
      <c r="W1576" s="1493"/>
      <c r="X1576" s="1493"/>
      <c r="Y1576" s="1493"/>
      <c r="Z1576" s="1493"/>
      <c r="AA1576" s="1493"/>
      <c r="AB1576" s="1493"/>
      <c r="AC1576" s="1493"/>
      <c r="AD1576" s="1493"/>
      <c r="AE1576" s="1493"/>
      <c r="AF1576" s="1493"/>
      <c r="AG1576" s="1493"/>
      <c r="AH1576" s="1493"/>
      <c r="AI1576" s="1493"/>
      <c r="AJ1576" s="1493"/>
      <c r="AK1576" s="1493"/>
      <c r="AL1576" s="1684"/>
      <c r="AM1576" s="1684"/>
      <c r="AN1576" s="1684"/>
      <c r="AO1576" s="1684"/>
      <c r="AP1576" s="1684"/>
      <c r="AQ1576" s="1684"/>
      <c r="AR1576" s="1684"/>
      <c r="AS1576" s="1684"/>
      <c r="AT1576" s="1684"/>
      <c r="AU1576" s="1684"/>
      <c r="AV1576" s="1684"/>
      <c r="AW1576" s="1684"/>
      <c r="AX1576" s="1684"/>
      <c r="AY1576" s="1684"/>
      <c r="AZ1576" s="1684"/>
      <c r="BA1576" s="1684"/>
      <c r="BB1576" s="1684"/>
      <c r="BC1576" s="1684"/>
      <c r="BD1576" s="1684"/>
      <c r="BE1576" s="1684"/>
      <c r="BF1576" s="1684"/>
      <c r="BG1576" s="1684"/>
      <c r="BH1576" s="1684"/>
      <c r="BI1576" s="1684"/>
      <c r="BJ1576" s="1684"/>
      <c r="BK1576" s="1684"/>
      <c r="BL1576" s="1684"/>
      <c r="BM1576" s="1684"/>
      <c r="BN1576" s="1684"/>
      <c r="BO1576" s="1684"/>
      <c r="BP1576" s="1684"/>
      <c r="BQ1576" s="1684"/>
      <c r="BR1576" s="1684"/>
      <c r="BS1576" s="1684"/>
      <c r="BT1576" s="1684"/>
      <c r="BU1576" s="1684"/>
      <c r="BV1576" s="1684"/>
      <c r="BW1576" s="1684"/>
      <c r="BX1576" s="1684"/>
      <c r="BY1576" s="1684"/>
      <c r="BZ1576" s="1684"/>
      <c r="CA1576" s="1684"/>
      <c r="CB1576" s="1684"/>
      <c r="CC1576" s="1684"/>
      <c r="CD1576" s="1684"/>
      <c r="CE1576" s="1684"/>
      <c r="CF1576" s="1684"/>
      <c r="CG1576" s="1684"/>
      <c r="CH1576" s="1684"/>
      <c r="CI1576" s="1684"/>
      <c r="CJ1576" s="1684"/>
      <c r="CK1576" s="1684"/>
      <c r="CL1576" s="1684"/>
      <c r="CM1576" s="1684"/>
      <c r="CN1576" s="1684"/>
      <c r="CO1576" s="1684"/>
      <c r="CP1576" s="1391"/>
      <c r="CQ1576" s="1391"/>
      <c r="CR1576" s="1391"/>
      <c r="CS1576" s="1391"/>
      <c r="CT1576" s="1391"/>
      <c r="CU1576" s="1391"/>
      <c r="CV1576" s="1391"/>
      <c r="CW1576" s="1391"/>
      <c r="CX1576" s="1391"/>
      <c r="CY1576" s="1391"/>
      <c r="CZ1576" s="1391"/>
      <c r="DA1576" s="1391"/>
      <c r="DB1576" s="1391"/>
      <c r="DC1576" s="1391"/>
      <c r="DD1576" s="1391"/>
      <c r="DE1576" s="1391"/>
      <c r="DF1576" s="1391"/>
      <c r="DG1576" s="1391"/>
      <c r="DH1576" s="1391"/>
      <c r="DI1576" s="1391"/>
    </row>
    <row r="1577" spans="1:113" ht="15.75" x14ac:dyDescent="0.25">
      <c r="A1577" s="1684"/>
      <c r="B1577" s="1709"/>
      <c r="C1577" s="1709"/>
      <c r="D1577" s="1709"/>
      <c r="E1577" s="1709"/>
      <c r="F1577" s="1709"/>
      <c r="G1577" s="1709"/>
      <c r="H1577" s="1493"/>
      <c r="I1577" s="1493"/>
      <c r="J1577" s="1493"/>
      <c r="K1577" s="1493"/>
      <c r="L1577" s="1493"/>
      <c r="M1577" s="1493"/>
      <c r="N1577" s="1493"/>
      <c r="O1577" s="1493"/>
      <c r="P1577" s="1493"/>
      <c r="Q1577" s="1493"/>
      <c r="R1577" s="1493"/>
      <c r="S1577" s="1493"/>
      <c r="T1577" s="1493"/>
      <c r="U1577" s="1493"/>
      <c r="V1577" s="1493"/>
      <c r="W1577" s="1493"/>
      <c r="X1577" s="1493"/>
      <c r="Y1577" s="1493"/>
      <c r="Z1577" s="1493"/>
      <c r="AA1577" s="1493"/>
      <c r="AB1577" s="1493"/>
      <c r="AC1577" s="1493"/>
      <c r="AD1577" s="1493"/>
      <c r="AE1577" s="1493"/>
      <c r="AF1577" s="1493"/>
      <c r="AG1577" s="1493"/>
      <c r="AH1577" s="1493"/>
      <c r="AI1577" s="1493"/>
      <c r="AJ1577" s="1493"/>
      <c r="AK1577" s="1493"/>
      <c r="AL1577" s="1684"/>
      <c r="AM1577" s="1684"/>
      <c r="AN1577" s="1684"/>
      <c r="AO1577" s="1684"/>
      <c r="AP1577" s="1684"/>
      <c r="AQ1577" s="1684"/>
      <c r="AR1577" s="1684"/>
      <c r="AS1577" s="1684"/>
      <c r="AT1577" s="1684"/>
      <c r="AU1577" s="1684"/>
      <c r="AV1577" s="1684"/>
      <c r="AW1577" s="1684"/>
      <c r="AX1577" s="1684"/>
      <c r="AY1577" s="1684"/>
      <c r="AZ1577" s="1684"/>
      <c r="BA1577" s="1684"/>
      <c r="BB1577" s="1684"/>
      <c r="BC1577" s="1684"/>
      <c r="BD1577" s="1684"/>
      <c r="BE1577" s="1684"/>
      <c r="BF1577" s="1684"/>
      <c r="BG1577" s="1684"/>
      <c r="BH1577" s="1684"/>
      <c r="BI1577" s="1684"/>
      <c r="BJ1577" s="1684"/>
      <c r="BK1577" s="1684"/>
      <c r="BL1577" s="1684"/>
      <c r="BM1577" s="1684"/>
      <c r="BN1577" s="1684"/>
      <c r="BO1577" s="1684"/>
      <c r="BP1577" s="1684"/>
      <c r="BQ1577" s="1684"/>
      <c r="BR1577" s="1684"/>
      <c r="BS1577" s="1684"/>
      <c r="BT1577" s="1684"/>
      <c r="BU1577" s="1684"/>
      <c r="BV1577" s="1684"/>
      <c r="BW1577" s="1684"/>
      <c r="BX1577" s="1684"/>
      <c r="BY1577" s="1684"/>
      <c r="BZ1577" s="1684"/>
      <c r="CA1577" s="1684"/>
      <c r="CB1577" s="1684"/>
      <c r="CC1577" s="1684"/>
      <c r="CD1577" s="1684"/>
      <c r="CE1577" s="1684"/>
      <c r="CF1577" s="1684"/>
      <c r="CG1577" s="1684"/>
      <c r="CH1577" s="1684"/>
      <c r="CI1577" s="1684"/>
      <c r="CJ1577" s="1684"/>
      <c r="CK1577" s="1684"/>
      <c r="CL1577" s="1684"/>
      <c r="CM1577" s="1684"/>
      <c r="CN1577" s="1684"/>
      <c r="CO1577" s="1684"/>
      <c r="CP1577" s="1391"/>
      <c r="CQ1577" s="1391"/>
      <c r="CR1577" s="1391"/>
      <c r="CS1577" s="1391"/>
      <c r="CT1577" s="1391"/>
      <c r="CU1577" s="1391"/>
      <c r="CV1577" s="1391"/>
      <c r="CW1577" s="1391"/>
      <c r="CX1577" s="1391"/>
      <c r="CY1577" s="1391"/>
      <c r="CZ1577" s="1391"/>
      <c r="DA1577" s="1391"/>
      <c r="DB1577" s="1391"/>
      <c r="DC1577" s="1391"/>
      <c r="DD1577" s="1391"/>
      <c r="DE1577" s="1391"/>
      <c r="DF1577" s="1391"/>
      <c r="DG1577" s="1391"/>
      <c r="DH1577" s="1391"/>
      <c r="DI1577" s="1391"/>
    </row>
    <row r="1578" spans="1:113" ht="15.75" x14ac:dyDescent="0.25">
      <c r="A1578" s="1684"/>
      <c r="B1578" s="1709"/>
      <c r="C1578" s="1709"/>
      <c r="D1578" s="1709"/>
      <c r="E1578" s="1709"/>
      <c r="F1578" s="1709" t="s">
        <v>3021</v>
      </c>
      <c r="G1578" s="1709"/>
      <c r="H1578" s="1709"/>
      <c r="I1578" s="1493"/>
      <c r="J1578" s="892"/>
      <c r="K1578" s="892"/>
      <c r="L1578" s="892"/>
      <c r="M1578" s="1710" t="s">
        <v>3022</v>
      </c>
      <c r="N1578" s="1710"/>
      <c r="O1578" s="1493"/>
      <c r="P1578" s="1493"/>
      <c r="Q1578" s="1493"/>
      <c r="R1578" s="1493"/>
      <c r="S1578" s="1493"/>
      <c r="T1578" s="1493"/>
      <c r="U1578" s="1493"/>
      <c r="V1578" s="1493"/>
      <c r="W1578" s="1493"/>
      <c r="X1578" s="1493"/>
      <c r="Y1578" s="1493"/>
      <c r="Z1578" s="1493"/>
      <c r="AA1578" s="1493"/>
      <c r="AB1578" s="1493"/>
      <c r="AC1578" s="1493"/>
      <c r="AD1578" s="1493"/>
      <c r="AE1578" s="1493"/>
      <c r="AF1578" s="1493"/>
      <c r="AG1578" s="1493"/>
      <c r="AH1578" s="1493"/>
      <c r="AI1578" s="1493"/>
      <c r="AJ1578" s="1493"/>
      <c r="AK1578" s="1493"/>
      <c r="AL1578" s="1684"/>
      <c r="AM1578" s="1684"/>
      <c r="AN1578" s="1684"/>
      <c r="AO1578" s="1684"/>
      <c r="AP1578" s="1684"/>
      <c r="AQ1578" s="1684"/>
      <c r="AR1578" s="1684"/>
      <c r="AS1578" s="1684"/>
      <c r="AT1578" s="1684"/>
      <c r="AU1578" s="1684"/>
      <c r="AV1578" s="1684"/>
      <c r="AW1578" s="1684"/>
      <c r="AX1578" s="1684"/>
      <c r="AY1578" s="1684"/>
      <c r="AZ1578" s="1684"/>
      <c r="BA1578" s="1684"/>
      <c r="BB1578" s="1684"/>
      <c r="BC1578" s="1684"/>
      <c r="BD1578" s="1684"/>
      <c r="BE1578" s="1684"/>
      <c r="BF1578" s="1684"/>
      <c r="BG1578" s="1684"/>
      <c r="BH1578" s="1684"/>
      <c r="BI1578" s="1684"/>
      <c r="BJ1578" s="1684"/>
      <c r="BK1578" s="1684"/>
      <c r="BL1578" s="1684"/>
      <c r="BM1578" s="1684"/>
      <c r="BN1578" s="1684"/>
      <c r="BO1578" s="1684"/>
      <c r="BP1578" s="1684"/>
      <c r="BQ1578" s="1684"/>
      <c r="BR1578" s="1684"/>
      <c r="BS1578" s="1684"/>
      <c r="BT1578" s="1684"/>
      <c r="BU1578" s="1684"/>
      <c r="BV1578" s="1684"/>
      <c r="BW1578" s="1684"/>
      <c r="BX1578" s="1684"/>
      <c r="BY1578" s="1684"/>
      <c r="BZ1578" s="1684"/>
      <c r="CA1578" s="1684"/>
      <c r="CB1578" s="1684"/>
      <c r="CC1578" s="1684"/>
      <c r="CD1578" s="1684"/>
      <c r="CE1578" s="1684"/>
      <c r="CF1578" s="1684"/>
      <c r="CG1578" s="1684"/>
      <c r="CH1578" s="1684"/>
      <c r="CI1578" s="1684"/>
      <c r="CJ1578" s="1684"/>
      <c r="CK1578" s="1684"/>
      <c r="CL1578" s="1684"/>
      <c r="CM1578" s="1684"/>
      <c r="CN1578" s="1684"/>
      <c r="CO1578" s="1684"/>
      <c r="CP1578" s="1391"/>
      <c r="CQ1578" s="1391"/>
      <c r="CR1578" s="1391"/>
      <c r="CS1578" s="1391"/>
      <c r="CT1578" s="1391"/>
      <c r="CU1578" s="1391"/>
      <c r="CV1578" s="1391"/>
      <c r="CW1578" s="1391"/>
      <c r="CX1578" s="1391"/>
      <c r="CY1578" s="1391"/>
      <c r="CZ1578" s="1391"/>
      <c r="DA1578" s="1391"/>
      <c r="DB1578" s="1391"/>
      <c r="DC1578" s="1391"/>
      <c r="DD1578" s="1391"/>
      <c r="DE1578" s="1391"/>
      <c r="DF1578" s="1391"/>
      <c r="DG1578" s="1391"/>
      <c r="DH1578" s="1391"/>
      <c r="DI1578" s="1391"/>
    </row>
    <row r="1579" spans="1:113" ht="15.75" x14ac:dyDescent="0.25">
      <c r="A1579" s="1684"/>
      <c r="B1579" s="4616" t="s">
        <v>5117</v>
      </c>
      <c r="C1579" s="4616"/>
      <c r="D1579" s="4616"/>
      <c r="E1579" s="4616"/>
      <c r="F1579" s="4616"/>
      <c r="G1579" s="4616"/>
      <c r="H1579" s="1709"/>
      <c r="I1579" s="1493"/>
      <c r="J1579" s="4617" t="s">
        <v>5118</v>
      </c>
      <c r="K1579" s="4617"/>
      <c r="L1579" s="4617"/>
      <c r="M1579" s="4617"/>
      <c r="N1579" s="4617"/>
      <c r="O1579" s="1493"/>
      <c r="P1579" s="4618" t="s">
        <v>5119</v>
      </c>
      <c r="Q1579" s="4618"/>
      <c r="R1579" s="4618"/>
      <c r="S1579" s="4618"/>
      <c r="T1579" s="1493"/>
      <c r="U1579" s="1493"/>
      <c r="V1579" s="1493"/>
      <c r="W1579" s="1493"/>
      <c r="X1579" s="1493"/>
      <c r="Y1579" s="1493"/>
      <c r="Z1579" s="1493"/>
      <c r="AA1579" s="1493"/>
      <c r="AB1579" s="1493"/>
      <c r="AC1579" s="1493"/>
      <c r="AD1579" s="1493"/>
      <c r="AE1579" s="1493"/>
      <c r="AF1579" s="1493"/>
      <c r="AG1579" s="1493"/>
      <c r="AH1579" s="1493"/>
      <c r="AI1579" s="1493"/>
      <c r="AJ1579" s="1493"/>
      <c r="AK1579" s="1493"/>
      <c r="AL1579" s="1684"/>
      <c r="AM1579" s="1684"/>
      <c r="AN1579" s="1684"/>
      <c r="AO1579" s="1684"/>
      <c r="AP1579" s="1684"/>
      <c r="AQ1579" s="1684"/>
      <c r="AR1579" s="1684"/>
      <c r="AS1579" s="1684"/>
      <c r="AT1579" s="1684"/>
      <c r="AU1579" s="1684"/>
      <c r="AV1579" s="1684"/>
      <c r="AW1579" s="1684"/>
      <c r="AX1579" s="1684"/>
      <c r="AY1579" s="1684"/>
      <c r="AZ1579" s="1684"/>
      <c r="BA1579" s="1684"/>
      <c r="BB1579" s="1684"/>
      <c r="BC1579" s="1684"/>
      <c r="BD1579" s="1684"/>
      <c r="BE1579" s="1684"/>
      <c r="BF1579" s="1684"/>
      <c r="BG1579" s="1684"/>
      <c r="BH1579" s="1684"/>
      <c r="BI1579" s="1684"/>
      <c r="BJ1579" s="1684"/>
      <c r="BK1579" s="1684"/>
      <c r="BL1579" s="1684"/>
      <c r="BM1579" s="1684"/>
      <c r="BN1579" s="1684"/>
      <c r="BO1579" s="1684"/>
      <c r="BP1579" s="1684"/>
      <c r="BQ1579" s="1684"/>
      <c r="BR1579" s="1684"/>
      <c r="BS1579" s="1684"/>
      <c r="BT1579" s="1684"/>
      <c r="BU1579" s="1684"/>
      <c r="BV1579" s="1684"/>
      <c r="BW1579" s="1684"/>
      <c r="BX1579" s="1684"/>
      <c r="BY1579" s="1684"/>
      <c r="BZ1579" s="1684"/>
      <c r="CA1579" s="1684"/>
      <c r="CB1579" s="1684"/>
      <c r="CC1579" s="1684"/>
      <c r="CD1579" s="1684"/>
      <c r="CE1579" s="1684"/>
      <c r="CF1579" s="1684"/>
      <c r="CG1579" s="1684"/>
      <c r="CH1579" s="1684"/>
      <c r="CI1579" s="1684"/>
      <c r="CJ1579" s="1684"/>
      <c r="CK1579" s="1684"/>
      <c r="CL1579" s="1684"/>
      <c r="CM1579" s="1684"/>
      <c r="CN1579" s="1684"/>
      <c r="CO1579" s="1684"/>
      <c r="CP1579" s="1391"/>
      <c r="CQ1579" s="1391"/>
      <c r="CR1579" s="1391"/>
      <c r="CS1579" s="1391"/>
      <c r="CT1579" s="1391"/>
      <c r="CU1579" s="1391"/>
      <c r="CV1579" s="1391"/>
      <c r="CW1579" s="1391"/>
      <c r="CX1579" s="1391"/>
      <c r="CY1579" s="1391"/>
      <c r="CZ1579" s="1391"/>
      <c r="DA1579" s="1391"/>
      <c r="DB1579" s="1391"/>
      <c r="DC1579" s="1391"/>
      <c r="DD1579" s="1391"/>
      <c r="DE1579" s="1391"/>
      <c r="DF1579" s="1391"/>
      <c r="DG1579" s="1391"/>
      <c r="DH1579" s="1391"/>
      <c r="DI1579" s="1391"/>
    </row>
    <row r="1580" spans="1:113" ht="105.75" x14ac:dyDescent="0.25">
      <c r="A1580" s="1684"/>
      <c r="B1580" s="1711" t="s">
        <v>1441</v>
      </c>
      <c r="C1580" s="1711" t="s">
        <v>3313</v>
      </c>
      <c r="D1580" s="1712" t="s">
        <v>1431</v>
      </c>
      <c r="E1580" s="1712"/>
      <c r="F1580" s="1712"/>
      <c r="G1580" s="1711"/>
      <c r="H1580" s="1709"/>
      <c r="I1580" s="1493"/>
      <c r="J1580" s="1713" t="s">
        <v>5120</v>
      </c>
      <c r="K1580" s="1713" t="s">
        <v>5121</v>
      </c>
      <c r="L1580" s="1713"/>
      <c r="M1580" s="1713"/>
      <c r="N1580" s="1713"/>
      <c r="O1580" s="1493"/>
      <c r="P1580" s="1714" t="s">
        <v>2098</v>
      </c>
      <c r="Q1580" s="1714" t="s">
        <v>5122</v>
      </c>
      <c r="R1580" s="1715" t="s">
        <v>2490</v>
      </c>
      <c r="S1580" s="892"/>
      <c r="T1580" s="1493"/>
      <c r="U1580" s="1493"/>
      <c r="V1580" s="1493"/>
      <c r="W1580" s="1493"/>
      <c r="X1580" s="1493"/>
      <c r="Y1580" s="1493"/>
      <c r="Z1580" s="1493"/>
      <c r="AA1580" s="1493"/>
      <c r="AB1580" s="1493"/>
      <c r="AC1580" s="1493"/>
      <c r="AD1580" s="1493"/>
      <c r="AE1580" s="1493"/>
      <c r="AF1580" s="1493"/>
      <c r="AG1580" s="1493"/>
      <c r="AH1580" s="1493"/>
      <c r="AI1580" s="1493"/>
      <c r="AJ1580" s="1493"/>
      <c r="AK1580" s="1493"/>
      <c r="AL1580" s="1684"/>
      <c r="AM1580" s="1684"/>
      <c r="AN1580" s="1684"/>
      <c r="AO1580" s="1684"/>
      <c r="AP1580" s="1684"/>
      <c r="AQ1580" s="1684"/>
      <c r="AR1580" s="1684"/>
      <c r="AS1580" s="1684"/>
      <c r="AT1580" s="1684"/>
      <c r="AU1580" s="1684"/>
      <c r="AV1580" s="1684"/>
      <c r="AW1580" s="1684"/>
      <c r="AX1580" s="1684"/>
      <c r="AY1580" s="1684"/>
      <c r="AZ1580" s="1684"/>
      <c r="BA1580" s="1684"/>
      <c r="BB1580" s="1684"/>
      <c r="BC1580" s="1684"/>
      <c r="BD1580" s="1684"/>
      <c r="BE1580" s="1684"/>
      <c r="BF1580" s="1684"/>
      <c r="BG1580" s="1684"/>
      <c r="BH1580" s="1684"/>
      <c r="BI1580" s="1684"/>
      <c r="BJ1580" s="1684"/>
      <c r="BK1580" s="1684"/>
      <c r="BL1580" s="1684"/>
      <c r="BM1580" s="1684"/>
      <c r="BN1580" s="1684"/>
      <c r="BO1580" s="1684"/>
      <c r="BP1580" s="1684"/>
      <c r="BQ1580" s="1684"/>
      <c r="BR1580" s="1684"/>
      <c r="BS1580" s="1684"/>
      <c r="BT1580" s="1684"/>
      <c r="BU1580" s="1684"/>
      <c r="BV1580" s="1684"/>
      <c r="BW1580" s="1684"/>
      <c r="BX1580" s="1684"/>
      <c r="BY1580" s="1684"/>
      <c r="BZ1580" s="1684"/>
      <c r="CA1580" s="1684"/>
      <c r="CB1580" s="1684"/>
      <c r="CC1580" s="1684"/>
      <c r="CD1580" s="1684"/>
      <c r="CE1580" s="1684"/>
      <c r="CF1580" s="1684"/>
      <c r="CG1580" s="1684"/>
      <c r="CH1580" s="1684"/>
      <c r="CI1580" s="1684"/>
      <c r="CJ1580" s="1684"/>
      <c r="CK1580" s="1684"/>
      <c r="CL1580" s="1684"/>
      <c r="CM1580" s="1684"/>
      <c r="CN1580" s="1684"/>
      <c r="CO1580" s="1684"/>
      <c r="CP1580" s="1391"/>
      <c r="CQ1580" s="1391"/>
      <c r="CR1580" s="1391"/>
      <c r="CS1580" s="1391"/>
      <c r="CT1580" s="1391"/>
      <c r="CU1580" s="1391"/>
      <c r="CV1580" s="1391"/>
      <c r="CW1580" s="1391"/>
      <c r="CX1580" s="1391"/>
      <c r="CY1580" s="1391"/>
      <c r="CZ1580" s="1391"/>
      <c r="DA1580" s="1391"/>
      <c r="DB1580" s="1391"/>
      <c r="DC1580" s="1391"/>
      <c r="DD1580" s="1391"/>
      <c r="DE1580" s="1391"/>
      <c r="DF1580" s="1391"/>
      <c r="DG1580" s="1391"/>
      <c r="DH1580" s="1391"/>
      <c r="DI1580" s="1391"/>
    </row>
    <row r="1581" spans="1:113" ht="75.75" x14ac:dyDescent="0.25">
      <c r="A1581" s="1684"/>
      <c r="B1581" s="1711"/>
      <c r="C1581" s="1711"/>
      <c r="D1581" s="1711" t="s">
        <v>5123</v>
      </c>
      <c r="E1581" s="1711" t="s">
        <v>5124</v>
      </c>
      <c r="F1581" s="1711" t="s">
        <v>5125</v>
      </c>
      <c r="G1581" s="1711" t="s">
        <v>2490</v>
      </c>
      <c r="H1581" s="1709"/>
      <c r="I1581" s="1493"/>
      <c r="J1581" s="1713"/>
      <c r="K1581" s="1713" t="s">
        <v>5126</v>
      </c>
      <c r="L1581" s="1713"/>
      <c r="M1581" s="1713" t="s">
        <v>5127</v>
      </c>
      <c r="N1581" s="1713"/>
      <c r="O1581" s="1493"/>
      <c r="P1581" s="1391" t="s">
        <v>1220</v>
      </c>
      <c r="Q1581" s="1391">
        <v>281</v>
      </c>
      <c r="R1581" s="1391">
        <v>1</v>
      </c>
      <c r="S1581" s="892"/>
      <c r="T1581" s="1493"/>
      <c r="U1581" s="1493"/>
      <c r="V1581" s="1493"/>
      <c r="W1581" s="1493"/>
      <c r="X1581" s="1493"/>
      <c r="Y1581" s="1493"/>
      <c r="Z1581" s="1493"/>
      <c r="AA1581" s="1493"/>
      <c r="AB1581" s="1493"/>
      <c r="AC1581" s="1493"/>
      <c r="AD1581" s="1493"/>
      <c r="AE1581" s="1493"/>
      <c r="AF1581" s="1493"/>
      <c r="AG1581" s="1493"/>
      <c r="AH1581" s="1493"/>
      <c r="AI1581" s="1493"/>
      <c r="AJ1581" s="1493"/>
      <c r="AK1581" s="1493"/>
      <c r="AL1581" s="1684"/>
      <c r="AM1581" s="1684"/>
      <c r="AN1581" s="1684"/>
      <c r="AO1581" s="1684"/>
      <c r="AP1581" s="1684"/>
      <c r="AQ1581" s="1684"/>
      <c r="AR1581" s="1684"/>
      <c r="AS1581" s="1684"/>
      <c r="AT1581" s="1684"/>
      <c r="AU1581" s="1684"/>
      <c r="AV1581" s="1684"/>
      <c r="AW1581" s="1684"/>
      <c r="AX1581" s="1684"/>
      <c r="AY1581" s="1684"/>
      <c r="AZ1581" s="1684"/>
      <c r="BA1581" s="1684"/>
      <c r="BB1581" s="1684"/>
      <c r="BC1581" s="1684"/>
      <c r="BD1581" s="1684"/>
      <c r="BE1581" s="1684"/>
      <c r="BF1581" s="1684"/>
      <c r="BG1581" s="1684"/>
      <c r="BH1581" s="1684"/>
      <c r="BI1581" s="1684"/>
      <c r="BJ1581" s="1684"/>
      <c r="BK1581" s="1684"/>
      <c r="BL1581" s="1684"/>
      <c r="BM1581" s="1684"/>
      <c r="BN1581" s="1684"/>
      <c r="BO1581" s="1684"/>
      <c r="BP1581" s="1684"/>
      <c r="BQ1581" s="1684"/>
      <c r="BR1581" s="1684"/>
      <c r="BS1581" s="1684"/>
      <c r="BT1581" s="1684"/>
      <c r="BU1581" s="1684"/>
      <c r="BV1581" s="1684"/>
      <c r="BW1581" s="1684"/>
      <c r="BX1581" s="1684"/>
      <c r="BY1581" s="1684"/>
      <c r="BZ1581" s="1684"/>
      <c r="CA1581" s="1684"/>
      <c r="CB1581" s="1684"/>
      <c r="CC1581" s="1684"/>
      <c r="CD1581" s="1684"/>
      <c r="CE1581" s="1684"/>
      <c r="CF1581" s="1684"/>
      <c r="CG1581" s="1684"/>
      <c r="CH1581" s="1684"/>
      <c r="CI1581" s="1684"/>
      <c r="CJ1581" s="1684"/>
      <c r="CK1581" s="1684"/>
      <c r="CL1581" s="1684"/>
      <c r="CM1581" s="1684"/>
      <c r="CN1581" s="1684"/>
      <c r="CO1581" s="1684"/>
      <c r="CP1581" s="1391"/>
      <c r="CQ1581" s="1391"/>
      <c r="CR1581" s="1391"/>
      <c r="CS1581" s="1391"/>
      <c r="CT1581" s="1391"/>
      <c r="CU1581" s="1391"/>
      <c r="CV1581" s="1391"/>
      <c r="CW1581" s="1391"/>
      <c r="CX1581" s="1391"/>
      <c r="CY1581" s="1391"/>
      <c r="CZ1581" s="1391"/>
      <c r="DA1581" s="1391"/>
      <c r="DB1581" s="1391"/>
      <c r="DC1581" s="1391"/>
      <c r="DD1581" s="1391"/>
      <c r="DE1581" s="1391"/>
      <c r="DF1581" s="1391"/>
      <c r="DG1581" s="1391"/>
      <c r="DH1581" s="1391"/>
      <c r="DI1581" s="1391"/>
    </row>
    <row r="1582" spans="1:113" ht="15.75" x14ac:dyDescent="0.25">
      <c r="A1582" s="1684"/>
      <c r="B1582" s="1716" t="s">
        <v>5128</v>
      </c>
      <c r="C1582" s="1716">
        <v>146</v>
      </c>
      <c r="D1582" s="1716">
        <v>118</v>
      </c>
      <c r="E1582" s="1716">
        <v>65</v>
      </c>
      <c r="F1582" s="1716">
        <v>44.9</v>
      </c>
      <c r="G1582" s="1716">
        <v>1</v>
      </c>
      <c r="H1582" s="1709"/>
      <c r="I1582" s="1493"/>
      <c r="J1582" s="1713"/>
      <c r="K1582" s="1717" t="s">
        <v>3713</v>
      </c>
      <c r="L1582" s="1717" t="s">
        <v>3714</v>
      </c>
      <c r="M1582" s="1717" t="s">
        <v>3713</v>
      </c>
      <c r="N1582" s="1717" t="s">
        <v>3714</v>
      </c>
      <c r="O1582" s="1493"/>
      <c r="P1582" s="1391" t="s">
        <v>4802</v>
      </c>
      <c r="Q1582" s="1391">
        <v>250</v>
      </c>
      <c r="R1582" s="1391">
        <v>2</v>
      </c>
      <c r="S1582" s="892"/>
      <c r="T1582" s="1493"/>
      <c r="U1582" s="1493"/>
      <c r="V1582" s="1493"/>
      <c r="W1582" s="1493"/>
      <c r="X1582" s="1493"/>
      <c r="Y1582" s="1493"/>
      <c r="Z1582" s="1493"/>
      <c r="AA1582" s="1493"/>
      <c r="AB1582" s="1493"/>
      <c r="AC1582" s="1493"/>
      <c r="AD1582" s="1493"/>
      <c r="AE1582" s="1493"/>
      <c r="AF1582" s="1493"/>
      <c r="AG1582" s="1493"/>
      <c r="AH1582" s="1493"/>
      <c r="AI1582" s="1493"/>
      <c r="AJ1582" s="1493"/>
      <c r="AK1582" s="1493"/>
      <c r="AL1582" s="1684"/>
      <c r="AM1582" s="1684"/>
      <c r="AN1582" s="1684"/>
      <c r="AO1582" s="1684"/>
      <c r="AP1582" s="1684"/>
      <c r="AQ1582" s="1684"/>
      <c r="AR1582" s="1684"/>
      <c r="AS1582" s="1684"/>
      <c r="AT1582" s="1684"/>
      <c r="AU1582" s="1684"/>
      <c r="AV1582" s="1684"/>
      <c r="AW1582" s="1684"/>
      <c r="AX1582" s="1684"/>
      <c r="AY1582" s="1684"/>
      <c r="AZ1582" s="1684"/>
      <c r="BA1582" s="1684"/>
      <c r="BB1582" s="1684"/>
      <c r="BC1582" s="1684"/>
      <c r="BD1582" s="1684"/>
      <c r="BE1582" s="1684"/>
      <c r="BF1582" s="1684"/>
      <c r="BG1582" s="1684"/>
      <c r="BH1582" s="1684"/>
      <c r="BI1582" s="1684"/>
      <c r="BJ1582" s="1684"/>
      <c r="BK1582" s="1684"/>
      <c r="BL1582" s="1684"/>
      <c r="BM1582" s="1684"/>
      <c r="BN1582" s="1684"/>
      <c r="BO1582" s="1684"/>
      <c r="BP1582" s="1684"/>
      <c r="BQ1582" s="1684"/>
      <c r="BR1582" s="1684"/>
      <c r="BS1582" s="1684"/>
      <c r="BT1582" s="1684"/>
      <c r="BU1582" s="1684"/>
      <c r="BV1582" s="1684"/>
      <c r="BW1582" s="1684"/>
      <c r="BX1582" s="1684"/>
      <c r="BY1582" s="1684"/>
      <c r="BZ1582" s="1684"/>
      <c r="CA1582" s="1684"/>
      <c r="CB1582" s="1684"/>
      <c r="CC1582" s="1684"/>
      <c r="CD1582" s="1684"/>
      <c r="CE1582" s="1684"/>
      <c r="CF1582" s="1684"/>
      <c r="CG1582" s="1684"/>
      <c r="CH1582" s="1684"/>
      <c r="CI1582" s="1684"/>
      <c r="CJ1582" s="1684"/>
      <c r="CK1582" s="1684"/>
      <c r="CL1582" s="1684"/>
      <c r="CM1582" s="1684"/>
      <c r="CN1582" s="1684"/>
      <c r="CO1582" s="1684"/>
      <c r="CP1582" s="1391"/>
      <c r="CQ1582" s="1391"/>
      <c r="CR1582" s="1391"/>
      <c r="CS1582" s="1391"/>
      <c r="CT1582" s="1391"/>
      <c r="CU1582" s="1391"/>
      <c r="CV1582" s="1391"/>
      <c r="CW1582" s="1391"/>
      <c r="CX1582" s="1391"/>
      <c r="CY1582" s="1391"/>
      <c r="CZ1582" s="1391"/>
      <c r="DA1582" s="1391"/>
      <c r="DB1582" s="1391"/>
      <c r="DC1582" s="1391"/>
      <c r="DD1582" s="1391"/>
      <c r="DE1582" s="1391"/>
      <c r="DF1582" s="1391"/>
      <c r="DG1582" s="1391"/>
      <c r="DH1582" s="1391"/>
      <c r="DI1582" s="1391"/>
    </row>
    <row r="1583" spans="1:113" ht="45.75" x14ac:dyDescent="0.25">
      <c r="A1583" s="1684"/>
      <c r="B1583" s="1716" t="s">
        <v>4803</v>
      </c>
      <c r="C1583" s="1716">
        <v>142</v>
      </c>
      <c r="D1583" s="1716">
        <v>112</v>
      </c>
      <c r="E1583" s="1716">
        <v>62.6</v>
      </c>
      <c r="F1583" s="1716">
        <v>43.4</v>
      </c>
      <c r="G1583" s="1716">
        <v>2</v>
      </c>
      <c r="H1583" s="1709"/>
      <c r="I1583" s="1493"/>
      <c r="J1583" s="1646" t="s">
        <v>4804</v>
      </c>
      <c r="K1583" s="1391">
        <v>317</v>
      </c>
      <c r="L1583" s="1391">
        <v>444</v>
      </c>
      <c r="M1583" s="1391">
        <v>353</v>
      </c>
      <c r="N1583" s="1391">
        <v>452</v>
      </c>
      <c r="O1583" s="1493"/>
      <c r="P1583" s="1391" t="s">
        <v>4805</v>
      </c>
      <c r="Q1583" s="1391">
        <v>224</v>
      </c>
      <c r="R1583" s="1391">
        <v>3</v>
      </c>
      <c r="S1583" s="892"/>
      <c r="T1583" s="1493"/>
      <c r="U1583" s="1493"/>
      <c r="V1583" s="1493"/>
      <c r="W1583" s="1493"/>
      <c r="X1583" s="1493"/>
      <c r="Y1583" s="1493"/>
      <c r="Z1583" s="1493"/>
      <c r="AA1583" s="1493"/>
      <c r="AB1583" s="1493"/>
      <c r="AC1583" s="1493"/>
      <c r="AD1583" s="1493"/>
      <c r="AE1583" s="1493"/>
      <c r="AF1583" s="1493"/>
      <c r="AG1583" s="1493"/>
      <c r="AH1583" s="1493"/>
      <c r="AI1583" s="1493"/>
      <c r="AJ1583" s="1493"/>
      <c r="AK1583" s="1493"/>
      <c r="AL1583" s="1684"/>
      <c r="AM1583" s="1684"/>
      <c r="AN1583" s="1684"/>
      <c r="AO1583" s="1684"/>
      <c r="AP1583" s="1684"/>
      <c r="AQ1583" s="1684"/>
      <c r="AR1583" s="1684"/>
      <c r="AS1583" s="1684"/>
      <c r="AT1583" s="1684"/>
      <c r="AU1583" s="1684"/>
      <c r="AV1583" s="1684"/>
      <c r="AW1583" s="1684"/>
      <c r="AX1583" s="1684"/>
      <c r="AY1583" s="1684"/>
      <c r="AZ1583" s="1684"/>
      <c r="BA1583" s="1684"/>
      <c r="BB1583" s="1684"/>
      <c r="BC1583" s="1684"/>
      <c r="BD1583" s="1684"/>
      <c r="BE1583" s="1684"/>
      <c r="BF1583" s="1684"/>
      <c r="BG1583" s="1684"/>
      <c r="BH1583" s="1684"/>
      <c r="BI1583" s="1684"/>
      <c r="BJ1583" s="1684"/>
      <c r="BK1583" s="1684"/>
      <c r="BL1583" s="1684"/>
      <c r="BM1583" s="1684"/>
      <c r="BN1583" s="1684"/>
      <c r="BO1583" s="1684"/>
      <c r="BP1583" s="1684"/>
      <c r="BQ1583" s="1684"/>
      <c r="BR1583" s="1684"/>
      <c r="BS1583" s="1684"/>
      <c r="BT1583" s="1684"/>
      <c r="BU1583" s="1684"/>
      <c r="BV1583" s="1684"/>
      <c r="BW1583" s="1684"/>
      <c r="BX1583" s="1684"/>
      <c r="BY1583" s="1684"/>
      <c r="BZ1583" s="1684"/>
      <c r="CA1583" s="1684"/>
      <c r="CB1583" s="1684"/>
      <c r="CC1583" s="1684"/>
      <c r="CD1583" s="1684"/>
      <c r="CE1583" s="1684"/>
      <c r="CF1583" s="1684"/>
      <c r="CG1583" s="1684"/>
      <c r="CH1583" s="1684"/>
      <c r="CI1583" s="1684"/>
      <c r="CJ1583" s="1684"/>
      <c r="CK1583" s="1684"/>
      <c r="CL1583" s="1684"/>
      <c r="CM1583" s="1684"/>
      <c r="CN1583" s="1684"/>
      <c r="CO1583" s="1684"/>
      <c r="CP1583" s="1391"/>
      <c r="CQ1583" s="1391"/>
      <c r="CR1583" s="1391"/>
      <c r="CS1583" s="1391"/>
      <c r="CT1583" s="1391"/>
      <c r="CU1583" s="1391"/>
      <c r="CV1583" s="1391"/>
      <c r="CW1583" s="1391"/>
      <c r="CX1583" s="1391"/>
      <c r="CY1583" s="1391"/>
      <c r="CZ1583" s="1391"/>
      <c r="DA1583" s="1391"/>
      <c r="DB1583" s="1391"/>
      <c r="DC1583" s="1391"/>
      <c r="DD1583" s="1391"/>
      <c r="DE1583" s="1391"/>
      <c r="DF1583" s="1391"/>
      <c r="DG1583" s="1391"/>
      <c r="DH1583" s="1391"/>
      <c r="DI1583" s="1391"/>
    </row>
    <row r="1584" spans="1:113" ht="30.75" x14ac:dyDescent="0.25">
      <c r="A1584" s="1684"/>
      <c r="B1584" s="1716" t="s">
        <v>5443</v>
      </c>
      <c r="C1584" s="1716">
        <v>137</v>
      </c>
      <c r="D1584" s="1716">
        <v>105</v>
      </c>
      <c r="E1584" s="1716">
        <v>59.5</v>
      </c>
      <c r="F1584" s="1716">
        <v>41.4</v>
      </c>
      <c r="G1584" s="1716">
        <v>3</v>
      </c>
      <c r="H1584" s="1709"/>
      <c r="I1584" s="1493"/>
      <c r="J1584" s="1646" t="s">
        <v>4806</v>
      </c>
      <c r="K1584" s="1391">
        <v>291</v>
      </c>
      <c r="L1584" s="1391">
        <v>444</v>
      </c>
      <c r="M1584" s="1391">
        <v>253</v>
      </c>
      <c r="N1584" s="1391">
        <v>452</v>
      </c>
      <c r="O1584" s="1493"/>
      <c r="P1584" s="1391" t="s">
        <v>4807</v>
      </c>
      <c r="Q1584" s="1391">
        <v>197</v>
      </c>
      <c r="R1584" s="1391">
        <v>4</v>
      </c>
      <c r="S1584" s="892"/>
      <c r="T1584" s="1493"/>
      <c r="U1584" s="1493"/>
      <c r="V1584" s="1493"/>
      <c r="W1584" s="892"/>
      <c r="X1584" s="892"/>
      <c r="Y1584" s="892"/>
      <c r="Z1584" s="1710" t="s">
        <v>4808</v>
      </c>
      <c r="AA1584" s="1710"/>
      <c r="AB1584" s="892"/>
      <c r="AC1584" s="892"/>
      <c r="AD1584" s="892"/>
      <c r="AE1584" s="1493"/>
      <c r="AF1584" s="1493"/>
      <c r="AG1584" s="1493"/>
      <c r="AH1584" s="1493"/>
      <c r="AI1584" s="1493"/>
      <c r="AJ1584" s="1493"/>
      <c r="AK1584" s="1493"/>
      <c r="AL1584" s="1684"/>
      <c r="AM1584" s="1684"/>
      <c r="AN1584" s="1684"/>
      <c r="AO1584" s="1684"/>
      <c r="AP1584" s="1684"/>
      <c r="AQ1584" s="1684"/>
      <c r="AR1584" s="1684"/>
      <c r="AS1584" s="1684"/>
      <c r="AT1584" s="1684"/>
      <c r="AU1584" s="1684"/>
      <c r="AV1584" s="1684"/>
      <c r="AW1584" s="1684"/>
      <c r="AX1584" s="1684"/>
      <c r="AY1584" s="1684"/>
      <c r="AZ1584" s="1684"/>
      <c r="BA1584" s="1684"/>
      <c r="BB1584" s="1684"/>
      <c r="BC1584" s="1684"/>
      <c r="BD1584" s="1684"/>
      <c r="BE1584" s="1684"/>
      <c r="BF1584" s="1684"/>
      <c r="BG1584" s="1684"/>
      <c r="BH1584" s="1684"/>
      <c r="BI1584" s="1684"/>
      <c r="BJ1584" s="1684"/>
      <c r="BK1584" s="1684"/>
      <c r="BL1584" s="1684"/>
      <c r="BM1584" s="1684"/>
      <c r="BN1584" s="1684"/>
      <c r="BO1584" s="1684"/>
      <c r="BP1584" s="1684"/>
      <c r="BQ1584" s="1684"/>
      <c r="BR1584" s="1684"/>
      <c r="BS1584" s="1684"/>
      <c r="BT1584" s="1684"/>
      <c r="BU1584" s="1684"/>
      <c r="BV1584" s="1684"/>
      <c r="BW1584" s="1684"/>
      <c r="BX1584" s="1684"/>
      <c r="BY1584" s="1684"/>
      <c r="BZ1584" s="1684"/>
      <c r="CA1584" s="1684"/>
      <c r="CB1584" s="1684"/>
      <c r="CC1584" s="1684"/>
      <c r="CD1584" s="1684"/>
      <c r="CE1584" s="1684"/>
      <c r="CF1584" s="1684"/>
      <c r="CG1584" s="1684"/>
      <c r="CH1584" s="1684"/>
      <c r="CI1584" s="1684"/>
      <c r="CJ1584" s="1684"/>
      <c r="CK1584" s="1684"/>
      <c r="CL1584" s="1684"/>
      <c r="CM1584" s="1684"/>
      <c r="CN1584" s="1684"/>
      <c r="CO1584" s="1684"/>
      <c r="CP1584" s="1391"/>
      <c r="CQ1584" s="1391"/>
      <c r="CR1584" s="1391"/>
      <c r="CS1584" s="1391"/>
      <c r="CT1584" s="1391"/>
      <c r="CU1584" s="1391"/>
      <c r="CV1584" s="1391"/>
      <c r="CW1584" s="1391"/>
      <c r="CX1584" s="1391"/>
      <c r="CY1584" s="1391"/>
      <c r="CZ1584" s="1391"/>
      <c r="DA1584" s="1391"/>
      <c r="DB1584" s="1391"/>
      <c r="DC1584" s="1391"/>
      <c r="DD1584" s="1391"/>
      <c r="DE1584" s="1391"/>
      <c r="DF1584" s="1391"/>
      <c r="DG1584" s="1391"/>
      <c r="DH1584" s="1391"/>
      <c r="DI1584" s="1391"/>
    </row>
    <row r="1585" spans="1:113" ht="30.75" x14ac:dyDescent="0.25">
      <c r="A1585" s="1684"/>
      <c r="B1585" s="1716" t="s">
        <v>2214</v>
      </c>
      <c r="C1585" s="1716">
        <v>132</v>
      </c>
      <c r="D1585" s="1716">
        <v>98.8</v>
      </c>
      <c r="E1585" s="1716">
        <v>56.6</v>
      </c>
      <c r="F1585" s="1716">
        <v>39.6</v>
      </c>
      <c r="G1585" s="1716">
        <v>4</v>
      </c>
      <c r="H1585" s="1709"/>
      <c r="I1585" s="1493"/>
      <c r="J1585" s="1646" t="s">
        <v>4809</v>
      </c>
      <c r="K1585" s="1391">
        <v>247</v>
      </c>
      <c r="L1585" s="1391">
        <v>369</v>
      </c>
      <c r="M1585" s="1391">
        <v>258</v>
      </c>
      <c r="N1585" s="1391">
        <v>376</v>
      </c>
      <c r="O1585" s="1493"/>
      <c r="P1585" s="1391" t="s">
        <v>3150</v>
      </c>
      <c r="Q1585" s="1391">
        <v>172</v>
      </c>
      <c r="R1585" s="1391">
        <v>5</v>
      </c>
      <c r="S1585" s="892"/>
      <c r="T1585" s="1493"/>
      <c r="U1585" s="1493"/>
      <c r="V1585" s="1493"/>
      <c r="W1585" s="4619" t="s">
        <v>3151</v>
      </c>
      <c r="X1585" s="4619"/>
      <c r="Y1585" s="4619"/>
      <c r="Z1585" s="4619"/>
      <c r="AA1585" s="4619"/>
      <c r="AB1585" s="4631" t="s">
        <v>3152</v>
      </c>
      <c r="AC1585" s="4631"/>
      <c r="AD1585" s="4631"/>
      <c r="AE1585" s="1493"/>
      <c r="AF1585" s="892"/>
      <c r="AG1585" s="892"/>
      <c r="AH1585" s="1710" t="s">
        <v>2469</v>
      </c>
      <c r="AI1585" s="1710"/>
      <c r="AJ1585" s="892"/>
      <c r="AK1585" s="1493"/>
      <c r="AL1585" s="1684"/>
      <c r="AM1585" s="1684"/>
      <c r="AN1585" s="1684"/>
      <c r="AO1585" s="1684"/>
      <c r="AP1585" s="1684"/>
      <c r="AQ1585" s="1684"/>
      <c r="AR1585" s="1684"/>
      <c r="AS1585" s="1684"/>
      <c r="AT1585" s="1684"/>
      <c r="AU1585" s="1684"/>
      <c r="AV1585" s="1684"/>
      <c r="AW1585" s="1684"/>
      <c r="AX1585" s="1684"/>
      <c r="AY1585" s="1684"/>
      <c r="AZ1585" s="1684"/>
      <c r="BA1585" s="1684"/>
      <c r="BB1585" s="1684"/>
      <c r="BC1585" s="1684"/>
      <c r="BD1585" s="1684"/>
      <c r="BE1585" s="1684"/>
      <c r="BF1585" s="1684"/>
      <c r="BG1585" s="1684"/>
      <c r="BH1585" s="1684"/>
      <c r="BI1585" s="1684"/>
      <c r="BJ1585" s="1684"/>
      <c r="BK1585" s="1684"/>
      <c r="BL1585" s="1684"/>
      <c r="BM1585" s="1684"/>
      <c r="BN1585" s="1684"/>
      <c r="BO1585" s="1684"/>
      <c r="BP1585" s="1684"/>
      <c r="BQ1585" s="1684"/>
      <c r="BR1585" s="1684"/>
      <c r="BS1585" s="1684"/>
      <c r="BT1585" s="1684"/>
      <c r="BU1585" s="1684"/>
      <c r="BV1585" s="1684"/>
      <c r="BW1585" s="1684"/>
      <c r="BX1585" s="1684"/>
      <c r="BY1585" s="1684"/>
      <c r="BZ1585" s="1684"/>
      <c r="CA1585" s="1684"/>
      <c r="CB1585" s="1684"/>
      <c r="CC1585" s="1684"/>
      <c r="CD1585" s="1684"/>
      <c r="CE1585" s="1684"/>
      <c r="CF1585" s="1684"/>
      <c r="CG1585" s="1684"/>
      <c r="CH1585" s="1684"/>
      <c r="CI1585" s="1684"/>
      <c r="CJ1585" s="1684"/>
      <c r="CK1585" s="1684"/>
      <c r="CL1585" s="1684"/>
      <c r="CM1585" s="1684"/>
      <c r="CN1585" s="1684"/>
      <c r="CO1585" s="1684"/>
      <c r="CP1585" s="1391"/>
      <c r="CQ1585" s="1391"/>
      <c r="CR1585" s="1391"/>
      <c r="CS1585" s="1391"/>
      <c r="CT1585" s="1391"/>
      <c r="CU1585" s="1391"/>
      <c r="CV1585" s="1391"/>
      <c r="CW1585" s="1391"/>
      <c r="CX1585" s="1391"/>
      <c r="CY1585" s="1391"/>
      <c r="CZ1585" s="1391"/>
      <c r="DA1585" s="1391"/>
      <c r="DB1585" s="1391"/>
      <c r="DC1585" s="1391"/>
      <c r="DD1585" s="1391"/>
      <c r="DE1585" s="1391"/>
      <c r="DF1585" s="1391"/>
      <c r="DG1585" s="1391"/>
      <c r="DH1585" s="1391"/>
      <c r="DI1585" s="1391"/>
    </row>
    <row r="1586" spans="1:113" ht="15.75" x14ac:dyDescent="0.25">
      <c r="A1586" s="1684"/>
      <c r="B1586" s="1716" t="s">
        <v>4339</v>
      </c>
      <c r="C1586" s="1716">
        <v>128</v>
      </c>
      <c r="D1586" s="1716">
        <v>92.9</v>
      </c>
      <c r="E1586" s="1716">
        <v>53.8</v>
      </c>
      <c r="F1586" s="1716">
        <v>37.799999999999997</v>
      </c>
      <c r="G1586" s="1716">
        <v>5</v>
      </c>
      <c r="H1586" s="1709"/>
      <c r="I1586" s="1493"/>
      <c r="J1586" s="1493"/>
      <c r="K1586" s="1493"/>
      <c r="L1586" s="1493"/>
      <c r="M1586" s="1493"/>
      <c r="N1586" s="1493"/>
      <c r="O1586" s="1493"/>
      <c r="P1586" s="1391" t="s">
        <v>2470</v>
      </c>
      <c r="Q1586" s="1391">
        <v>149</v>
      </c>
      <c r="R1586" s="1391">
        <v>6</v>
      </c>
      <c r="S1586" s="892"/>
      <c r="T1586" s="1493"/>
      <c r="U1586" s="1493"/>
      <c r="V1586" s="1493"/>
      <c r="W1586" s="4632" t="s">
        <v>2471</v>
      </c>
      <c r="X1586" s="4633"/>
      <c r="Y1586" s="4634" t="s">
        <v>2472</v>
      </c>
      <c r="Z1586" s="4634"/>
      <c r="AA1586" s="1715" t="s">
        <v>2490</v>
      </c>
      <c r="AB1586" s="1391" t="s">
        <v>2473</v>
      </c>
      <c r="AC1586" s="1391"/>
      <c r="AD1586" s="1391"/>
      <c r="AE1586" s="1493"/>
      <c r="AF1586" s="1719" t="s">
        <v>2474</v>
      </c>
      <c r="AG1586" s="1719"/>
      <c r="AH1586" s="1719"/>
      <c r="AI1586" s="1719"/>
      <c r="AJ1586" s="1719"/>
      <c r="AK1586" s="1493"/>
      <c r="AL1586" s="1684"/>
      <c r="AM1586" s="1684"/>
      <c r="AN1586" s="1684"/>
      <c r="AO1586" s="1684"/>
      <c r="AP1586" s="1684"/>
      <c r="AQ1586" s="1684"/>
      <c r="AR1586" s="1684"/>
      <c r="AS1586" s="1684"/>
      <c r="AT1586" s="1684"/>
      <c r="AU1586" s="1684"/>
      <c r="AV1586" s="1684"/>
      <c r="AW1586" s="1684"/>
      <c r="AX1586" s="1684"/>
      <c r="AY1586" s="1684"/>
      <c r="AZ1586" s="1684"/>
      <c r="BA1586" s="1684"/>
      <c r="BB1586" s="1684"/>
      <c r="BC1586" s="1684"/>
      <c r="BD1586" s="1684"/>
      <c r="BE1586" s="1684"/>
      <c r="BF1586" s="1684"/>
      <c r="BG1586" s="1684"/>
      <c r="BH1586" s="1684"/>
      <c r="BI1586" s="1684"/>
      <c r="BJ1586" s="1684"/>
      <c r="BK1586" s="1684"/>
      <c r="BL1586" s="1684"/>
      <c r="BM1586" s="1684"/>
      <c r="BN1586" s="1684"/>
      <c r="BO1586" s="1684"/>
      <c r="BP1586" s="1684"/>
      <c r="BQ1586" s="1684"/>
      <c r="BR1586" s="1684"/>
      <c r="BS1586" s="1684"/>
      <c r="BT1586" s="1684"/>
      <c r="BU1586" s="1684"/>
      <c r="BV1586" s="1684"/>
      <c r="BW1586" s="1684"/>
      <c r="BX1586" s="1684"/>
      <c r="BY1586" s="1684"/>
      <c r="BZ1586" s="1684"/>
      <c r="CA1586" s="1684"/>
      <c r="CB1586" s="1684"/>
      <c r="CC1586" s="1684"/>
      <c r="CD1586" s="1684"/>
      <c r="CE1586" s="1684"/>
      <c r="CF1586" s="1684"/>
      <c r="CG1586" s="1684"/>
      <c r="CH1586" s="1684"/>
      <c r="CI1586" s="1684"/>
      <c r="CJ1586" s="1684"/>
      <c r="CK1586" s="1684"/>
      <c r="CL1586" s="1684"/>
      <c r="CM1586" s="1684"/>
      <c r="CN1586" s="1684"/>
      <c r="CO1586" s="1684"/>
      <c r="CP1586" s="1391"/>
      <c r="CQ1586" s="1391"/>
      <c r="CR1586" s="1391"/>
      <c r="CS1586" s="1391"/>
      <c r="CT1586" s="1391"/>
      <c r="CU1586" s="1391"/>
      <c r="CV1586" s="1391"/>
      <c r="CW1586" s="1391"/>
      <c r="CX1586" s="1391"/>
      <c r="CY1586" s="1391"/>
      <c r="CZ1586" s="1391"/>
      <c r="DA1586" s="1391"/>
      <c r="DB1586" s="1391"/>
      <c r="DC1586" s="1391"/>
      <c r="DD1586" s="1391"/>
      <c r="DE1586" s="1391"/>
      <c r="DF1586" s="1391"/>
      <c r="DG1586" s="1391"/>
      <c r="DH1586" s="1391"/>
      <c r="DI1586" s="1391"/>
    </row>
    <row r="1587" spans="1:113" ht="30.75" x14ac:dyDescent="0.25">
      <c r="A1587" s="1684"/>
      <c r="B1587" s="1716" t="s">
        <v>3372</v>
      </c>
      <c r="C1587" s="1716">
        <v>122</v>
      </c>
      <c r="D1587" s="1716">
        <v>87.2</v>
      </c>
      <c r="E1587" s="1716">
        <v>51</v>
      </c>
      <c r="F1587" s="1716">
        <v>36</v>
      </c>
      <c r="G1587" s="1716">
        <v>6</v>
      </c>
      <c r="H1587" s="1709"/>
      <c r="I1587" s="1493"/>
      <c r="J1587" s="4635" t="s">
        <v>2475</v>
      </c>
      <c r="K1587" s="4635"/>
      <c r="L1587" s="4635"/>
      <c r="M1587" s="4635"/>
      <c r="N1587" s="1493"/>
      <c r="O1587" s="1493"/>
      <c r="P1587" s="1646" t="s">
        <v>2476</v>
      </c>
      <c r="Q1587" s="1391">
        <v>128</v>
      </c>
      <c r="R1587" s="1391">
        <v>7</v>
      </c>
      <c r="S1587" s="892"/>
      <c r="T1587" s="1493"/>
      <c r="U1587" s="1493"/>
      <c r="V1587" s="1493"/>
      <c r="W1587" s="4635" t="s">
        <v>2477</v>
      </c>
      <c r="X1587" s="4635"/>
      <c r="Y1587" s="4636">
        <v>43.4</v>
      </c>
      <c r="Z1587" s="4637"/>
      <c r="AA1587" s="1391">
        <v>1</v>
      </c>
      <c r="AB1587" s="1391">
        <f>(323+585)/2</f>
        <v>454</v>
      </c>
      <c r="AC1587" s="1391">
        <f t="shared" ref="AC1587:AC1593" si="3">AB1587/1000</f>
        <v>0.45400000000000001</v>
      </c>
      <c r="AD1587" s="1391"/>
      <c r="AE1587" s="1493"/>
      <c r="AF1587" s="1720" t="s">
        <v>5333</v>
      </c>
      <c r="AG1587" s="1720"/>
      <c r="AH1587" s="1720"/>
      <c r="AI1587" s="1721"/>
      <c r="AJ1587" s="892"/>
      <c r="AK1587" s="1493"/>
      <c r="AL1587" s="1684"/>
      <c r="AM1587" s="1684"/>
      <c r="AN1587" s="1684"/>
      <c r="AO1587" s="1684"/>
      <c r="AP1587" s="1684"/>
      <c r="AQ1587" s="1684"/>
      <c r="AR1587" s="1684"/>
      <c r="AS1587" s="1684"/>
      <c r="AT1587" s="1684"/>
      <c r="AU1587" s="1684"/>
      <c r="AV1587" s="1684"/>
      <c r="AW1587" s="1684"/>
      <c r="AX1587" s="1684"/>
      <c r="AY1587" s="1684"/>
      <c r="AZ1587" s="1684"/>
      <c r="BA1587" s="1684"/>
      <c r="BB1587" s="1684"/>
      <c r="BC1587" s="1684"/>
      <c r="BD1587" s="1684"/>
      <c r="BE1587" s="1684"/>
      <c r="BF1587" s="1684"/>
      <c r="BG1587" s="1684"/>
      <c r="BH1587" s="1684"/>
      <c r="BI1587" s="1684"/>
      <c r="BJ1587" s="1684"/>
      <c r="BK1587" s="1684"/>
      <c r="BL1587" s="1684"/>
      <c r="BM1587" s="1684"/>
      <c r="BN1587" s="1684"/>
      <c r="BO1587" s="1684"/>
      <c r="BP1587" s="1684"/>
      <c r="BQ1587" s="1684"/>
      <c r="BR1587" s="1684"/>
      <c r="BS1587" s="1684"/>
      <c r="BT1587" s="1684"/>
      <c r="BU1587" s="1684"/>
      <c r="BV1587" s="1684"/>
      <c r="BW1587" s="1684"/>
      <c r="BX1587" s="1684"/>
      <c r="BY1587" s="1684"/>
      <c r="BZ1587" s="1684"/>
      <c r="CA1587" s="1684"/>
      <c r="CB1587" s="1684"/>
      <c r="CC1587" s="1684"/>
      <c r="CD1587" s="1684"/>
      <c r="CE1587" s="1684"/>
      <c r="CF1587" s="1684"/>
      <c r="CG1587" s="1684"/>
      <c r="CH1587" s="1684"/>
      <c r="CI1587" s="1684"/>
      <c r="CJ1587" s="1684"/>
      <c r="CK1587" s="1684"/>
      <c r="CL1587" s="1684"/>
      <c r="CM1587" s="1684"/>
      <c r="CN1587" s="1684"/>
      <c r="CO1587" s="1684"/>
      <c r="CP1587" s="1391"/>
      <c r="CQ1587" s="1391"/>
      <c r="CR1587" s="1391"/>
      <c r="CS1587" s="1391"/>
      <c r="CT1587" s="1391"/>
      <c r="CU1587" s="1391"/>
      <c r="CV1587" s="1391"/>
      <c r="CW1587" s="1391"/>
      <c r="CX1587" s="1391"/>
      <c r="CY1587" s="1391"/>
      <c r="CZ1587" s="1391"/>
      <c r="DA1587" s="1391"/>
      <c r="DB1587" s="1391"/>
      <c r="DC1587" s="1391"/>
      <c r="DD1587" s="1391"/>
      <c r="DE1587" s="1391"/>
      <c r="DF1587" s="1391"/>
      <c r="DG1587" s="1391"/>
      <c r="DH1587" s="1391"/>
      <c r="DI1587" s="1391"/>
    </row>
    <row r="1588" spans="1:113" ht="15.75" x14ac:dyDescent="0.25">
      <c r="A1588" s="1684"/>
      <c r="B1588" s="1716" t="s">
        <v>5428</v>
      </c>
      <c r="C1588" s="1716">
        <v>118</v>
      </c>
      <c r="D1588" s="1716">
        <v>81.900000000000006</v>
      </c>
      <c r="E1588" s="1716">
        <v>48.4</v>
      </c>
      <c r="F1588" s="1716">
        <v>34.299999999999997</v>
      </c>
      <c r="G1588" s="1716">
        <v>7</v>
      </c>
      <c r="H1588" s="1709"/>
      <c r="I1588" s="1493"/>
      <c r="J1588" s="1391" t="s">
        <v>5334</v>
      </c>
      <c r="K1588" s="1391"/>
      <c r="L1588" s="1391" t="s">
        <v>4253</v>
      </c>
      <c r="M1588" s="1391"/>
      <c r="N1588" s="1493"/>
      <c r="O1588" s="1493"/>
      <c r="P1588" s="1493"/>
      <c r="Q1588" s="1493"/>
      <c r="R1588" s="1493"/>
      <c r="S1588" s="1493"/>
      <c r="T1588" s="1493"/>
      <c r="U1588" s="1493"/>
      <c r="V1588" s="1493"/>
      <c r="W1588" s="4635">
        <v>1</v>
      </c>
      <c r="X1588" s="4635"/>
      <c r="Y1588" s="4636">
        <v>44.9</v>
      </c>
      <c r="Z1588" s="4637"/>
      <c r="AA1588" s="1391">
        <v>2</v>
      </c>
      <c r="AB1588" s="1391">
        <v>546.5</v>
      </c>
      <c r="AC1588" s="1391">
        <f t="shared" si="3"/>
        <v>0.54649999999999999</v>
      </c>
      <c r="AD1588" s="1391"/>
      <c r="AE1588" s="1493"/>
      <c r="AF1588" s="4638" t="s">
        <v>4254</v>
      </c>
      <c r="AG1588" s="4639"/>
      <c r="AH1588" s="1715" t="s">
        <v>4255</v>
      </c>
      <c r="AI1588" s="1715"/>
      <c r="AJ1588" s="1715" t="s">
        <v>2490</v>
      </c>
      <c r="AK1588" s="1493"/>
      <c r="AL1588" s="1684"/>
      <c r="AM1588" s="1684"/>
      <c r="AN1588" s="1684"/>
      <c r="AO1588" s="1684"/>
      <c r="AP1588" s="1684"/>
      <c r="AQ1588" s="1684"/>
      <c r="AR1588" s="1684"/>
      <c r="AS1588" s="1684"/>
      <c r="AT1588" s="1684"/>
      <c r="AU1588" s="1684"/>
      <c r="AV1588" s="1684"/>
      <c r="AW1588" s="1684"/>
      <c r="AX1588" s="1684"/>
      <c r="AY1588" s="1684"/>
      <c r="AZ1588" s="1684"/>
      <c r="BA1588" s="1684"/>
      <c r="BB1588" s="1684"/>
      <c r="BC1588" s="1684"/>
      <c r="BD1588" s="1684"/>
      <c r="BE1588" s="1684"/>
      <c r="BF1588" s="1684"/>
      <c r="BG1588" s="1684"/>
      <c r="BH1588" s="1684"/>
      <c r="BI1588" s="1684"/>
      <c r="BJ1588" s="1684"/>
      <c r="BK1588" s="1684"/>
      <c r="BL1588" s="1684"/>
      <c r="BM1588" s="1684"/>
      <c r="BN1588" s="1684"/>
      <c r="BO1588" s="1684"/>
      <c r="BP1588" s="1684"/>
      <c r="BQ1588" s="1684"/>
      <c r="BR1588" s="1684"/>
      <c r="BS1588" s="1684"/>
      <c r="BT1588" s="1684"/>
      <c r="BU1588" s="1684"/>
      <c r="BV1588" s="1684"/>
      <c r="BW1588" s="1684"/>
      <c r="BX1588" s="1684"/>
      <c r="BY1588" s="1684"/>
      <c r="BZ1588" s="1684"/>
      <c r="CA1588" s="1684"/>
      <c r="CB1588" s="1684"/>
      <c r="CC1588" s="1684"/>
      <c r="CD1588" s="1684"/>
      <c r="CE1588" s="1684"/>
      <c r="CF1588" s="1684"/>
      <c r="CG1588" s="1684"/>
      <c r="CH1588" s="1684"/>
      <c r="CI1588" s="1684"/>
      <c r="CJ1588" s="1684"/>
      <c r="CK1588" s="1684"/>
      <c r="CL1588" s="1684"/>
      <c r="CM1588" s="1684"/>
      <c r="CN1588" s="1684"/>
      <c r="CO1588" s="1684"/>
      <c r="CP1588" s="1391"/>
      <c r="CQ1588" s="1391"/>
      <c r="CR1588" s="1391"/>
      <c r="CS1588" s="1391"/>
      <c r="CT1588" s="1391"/>
      <c r="CU1588" s="1391"/>
      <c r="CV1588" s="1391"/>
      <c r="CW1588" s="1391"/>
      <c r="CX1588" s="1391"/>
      <c r="CY1588" s="1391"/>
      <c r="CZ1588" s="1391"/>
      <c r="DA1588" s="1391"/>
      <c r="DB1588" s="1391"/>
      <c r="DC1588" s="1391"/>
      <c r="DD1588" s="1391"/>
      <c r="DE1588" s="1391"/>
      <c r="DF1588" s="1391"/>
      <c r="DG1588" s="1391"/>
      <c r="DH1588" s="1391"/>
      <c r="DI1588" s="1391"/>
    </row>
    <row r="1589" spans="1:113" ht="15.75" x14ac:dyDescent="0.25">
      <c r="A1589" s="1684"/>
      <c r="B1589" s="1716" t="s">
        <v>4256</v>
      </c>
      <c r="C1589" s="1716">
        <v>113</v>
      </c>
      <c r="D1589" s="1716">
        <v>76.8</v>
      </c>
      <c r="E1589" s="1716">
        <v>45.8</v>
      </c>
      <c r="F1589" s="1716">
        <v>32.6</v>
      </c>
      <c r="G1589" s="1716">
        <v>8</v>
      </c>
      <c r="H1589" s="1709"/>
      <c r="I1589" s="1493"/>
      <c r="J1589" s="4634" t="s">
        <v>4257</v>
      </c>
      <c r="K1589" s="4634"/>
      <c r="L1589" s="4634" t="s">
        <v>4257</v>
      </c>
      <c r="M1589" s="4634"/>
      <c r="N1589" s="1493"/>
      <c r="O1589" s="1493"/>
      <c r="P1589" s="1493"/>
      <c r="Q1589" s="892"/>
      <c r="R1589" s="892"/>
      <c r="S1589" s="892"/>
      <c r="T1589" s="1710" t="s">
        <v>4062</v>
      </c>
      <c r="U1589" s="1710"/>
      <c r="V1589" s="1493"/>
      <c r="W1589" s="4635">
        <v>2</v>
      </c>
      <c r="X1589" s="4635"/>
      <c r="Y1589" s="4636">
        <v>36.299999999999997</v>
      </c>
      <c r="Z1589" s="4637"/>
      <c r="AA1589" s="1391">
        <v>3</v>
      </c>
      <c r="AB1589" s="1391">
        <v>660</v>
      </c>
      <c r="AC1589" s="1391">
        <f t="shared" si="3"/>
        <v>0.66</v>
      </c>
      <c r="AD1589" s="1391"/>
      <c r="AE1589" s="1493"/>
      <c r="AF1589" s="4640"/>
      <c r="AG1589" s="4641"/>
      <c r="AH1589" s="1715" t="s">
        <v>4063</v>
      </c>
      <c r="AI1589" s="1715" t="s">
        <v>4064</v>
      </c>
      <c r="AJ1589" s="1715"/>
      <c r="AK1589" s="1493"/>
      <c r="AL1589" s="1684"/>
      <c r="AM1589" s="1684"/>
      <c r="AN1589" s="1684"/>
      <c r="AO1589" s="1684"/>
      <c r="AP1589" s="1684"/>
      <c r="AQ1589" s="1684"/>
      <c r="AR1589" s="1684"/>
      <c r="AS1589" s="1684"/>
      <c r="AT1589" s="1684"/>
      <c r="AU1589" s="1684"/>
      <c r="AV1589" s="1684"/>
      <c r="AW1589" s="1684"/>
      <c r="AX1589" s="1684"/>
      <c r="AY1589" s="1684"/>
      <c r="AZ1589" s="1684"/>
      <c r="BA1589" s="1684"/>
      <c r="BB1589" s="1684"/>
      <c r="BC1589" s="1684"/>
      <c r="BD1589" s="1684"/>
      <c r="BE1589" s="1684"/>
      <c r="BF1589" s="1684"/>
      <c r="BG1589" s="1684"/>
      <c r="BH1589" s="1684"/>
      <c r="BI1589" s="1684"/>
      <c r="BJ1589" s="1684"/>
      <c r="BK1589" s="1684"/>
      <c r="BL1589" s="1684"/>
      <c r="BM1589" s="1684"/>
      <c r="BN1589" s="1684"/>
      <c r="BO1589" s="1684"/>
      <c r="BP1589" s="1684"/>
      <c r="BQ1589" s="1684"/>
      <c r="BR1589" s="1684"/>
      <c r="BS1589" s="1684"/>
      <c r="BT1589" s="1684"/>
      <c r="BU1589" s="1684"/>
      <c r="BV1589" s="1684"/>
      <c r="BW1589" s="1684"/>
      <c r="BX1589" s="1684"/>
      <c r="BY1589" s="1684"/>
      <c r="BZ1589" s="1684"/>
      <c r="CA1589" s="1684"/>
      <c r="CB1589" s="1684"/>
      <c r="CC1589" s="1684"/>
      <c r="CD1589" s="1684"/>
      <c r="CE1589" s="1684"/>
      <c r="CF1589" s="1684"/>
      <c r="CG1589" s="1684"/>
      <c r="CH1589" s="1684"/>
      <c r="CI1589" s="1684"/>
      <c r="CJ1589" s="1684"/>
      <c r="CK1589" s="1684"/>
      <c r="CL1589" s="1684"/>
      <c r="CM1589" s="1684"/>
      <c r="CN1589" s="1684"/>
      <c r="CO1589" s="1684"/>
      <c r="CP1589" s="1391"/>
      <c r="CQ1589" s="1391"/>
      <c r="CR1589" s="1391"/>
      <c r="CS1589" s="1391"/>
      <c r="CT1589" s="1391"/>
      <c r="CU1589" s="1391"/>
      <c r="CV1589" s="1391"/>
      <c r="CW1589" s="1391"/>
      <c r="CX1589" s="1391"/>
      <c r="CY1589" s="1391"/>
      <c r="CZ1589" s="1391"/>
      <c r="DA1589" s="1391"/>
      <c r="DB1589" s="1391"/>
      <c r="DC1589" s="1391"/>
      <c r="DD1589" s="1391"/>
      <c r="DE1589" s="1391"/>
      <c r="DF1589" s="1391"/>
      <c r="DG1589" s="1391"/>
      <c r="DH1589" s="1391"/>
      <c r="DI1589" s="1391"/>
    </row>
    <row r="1590" spans="1:113" ht="15.75" x14ac:dyDescent="0.25">
      <c r="A1590" s="1684"/>
      <c r="B1590" s="1716" t="s">
        <v>5228</v>
      </c>
      <c r="C1590" s="1716">
        <v>109</v>
      </c>
      <c r="D1590" s="1716">
        <v>72.099999999999994</v>
      </c>
      <c r="E1590" s="1716">
        <v>43.4</v>
      </c>
      <c r="F1590" s="1716">
        <v>31</v>
      </c>
      <c r="G1590" s="1716">
        <v>9</v>
      </c>
      <c r="H1590" s="1709"/>
      <c r="I1590" s="1493"/>
      <c r="J1590" s="1715" t="s">
        <v>5126</v>
      </c>
      <c r="K1590" s="1715" t="s">
        <v>4065</v>
      </c>
      <c r="L1590" s="1715" t="s">
        <v>5126</v>
      </c>
      <c r="M1590" s="1715" t="s">
        <v>4065</v>
      </c>
      <c r="N1590" s="1493"/>
      <c r="O1590" s="1493"/>
      <c r="P1590" s="1493"/>
      <c r="Q1590" s="4643" t="s">
        <v>4066</v>
      </c>
      <c r="R1590" s="4644"/>
      <c r="S1590" s="4644"/>
      <c r="T1590" s="4644"/>
      <c r="U1590" s="4645"/>
      <c r="V1590" s="1493"/>
      <c r="W1590" s="4635">
        <v>3</v>
      </c>
      <c r="X1590" s="4635"/>
      <c r="Y1590" s="4636">
        <v>31.1</v>
      </c>
      <c r="Z1590" s="4637"/>
      <c r="AA1590" s="1391">
        <v>4</v>
      </c>
      <c r="AB1590" s="1391">
        <v>805</v>
      </c>
      <c r="AC1590" s="1391">
        <f t="shared" si="3"/>
        <v>0.80500000000000005</v>
      </c>
      <c r="AD1590" s="1391"/>
      <c r="AE1590" s="1493"/>
      <c r="AF1590" s="4636" t="s">
        <v>4067</v>
      </c>
      <c r="AG1590" s="4637"/>
      <c r="AH1590" s="1391">
        <v>110</v>
      </c>
      <c r="AI1590" s="1391">
        <v>90</v>
      </c>
      <c r="AJ1590" s="1391">
        <v>1</v>
      </c>
      <c r="AK1590" s="1493"/>
      <c r="AL1590" s="1684"/>
      <c r="AM1590" s="1684"/>
      <c r="AN1590" s="1684"/>
      <c r="AO1590" s="1684"/>
      <c r="AP1590" s="1684"/>
      <c r="AQ1590" s="1684"/>
      <c r="AR1590" s="1684"/>
      <c r="AS1590" s="1684"/>
      <c r="AT1590" s="1684"/>
      <c r="AU1590" s="1684"/>
      <c r="AV1590" s="1684"/>
      <c r="AW1590" s="1684"/>
      <c r="AX1590" s="1684"/>
      <c r="AY1590" s="1684"/>
      <c r="AZ1590" s="1684"/>
      <c r="BA1590" s="1684"/>
      <c r="BB1590" s="1684"/>
      <c r="BC1590" s="1684"/>
      <c r="BD1590" s="1684"/>
      <c r="BE1590" s="1684"/>
      <c r="BF1590" s="1684"/>
      <c r="BG1590" s="1684"/>
      <c r="BH1590" s="1684"/>
      <c r="BI1590" s="1684"/>
      <c r="BJ1590" s="1684"/>
      <c r="BK1590" s="1684"/>
      <c r="BL1590" s="1684"/>
      <c r="BM1590" s="1684"/>
      <c r="BN1590" s="1684"/>
      <c r="BO1590" s="1684"/>
      <c r="BP1590" s="1684"/>
      <c r="BQ1590" s="1684"/>
      <c r="BR1590" s="1684"/>
      <c r="BS1590" s="1684"/>
      <c r="BT1590" s="1684"/>
      <c r="BU1590" s="1684"/>
      <c r="BV1590" s="1684"/>
      <c r="BW1590" s="1684"/>
      <c r="BX1590" s="1684"/>
      <c r="BY1590" s="1684"/>
      <c r="BZ1590" s="1684"/>
      <c r="CA1590" s="1684"/>
      <c r="CB1590" s="1684"/>
      <c r="CC1590" s="1684"/>
      <c r="CD1590" s="1684"/>
      <c r="CE1590" s="1684"/>
      <c r="CF1590" s="1684"/>
      <c r="CG1590" s="1684"/>
      <c r="CH1590" s="1684"/>
      <c r="CI1590" s="1684"/>
      <c r="CJ1590" s="1684"/>
      <c r="CK1590" s="1684"/>
      <c r="CL1590" s="1684"/>
      <c r="CM1590" s="1684"/>
      <c r="CN1590" s="1684"/>
      <c r="CO1590" s="1684"/>
      <c r="CP1590" s="1391"/>
      <c r="CQ1590" s="1391"/>
      <c r="CR1590" s="1391"/>
      <c r="CS1590" s="1391"/>
      <c r="CT1590" s="1391"/>
      <c r="CU1590" s="1391"/>
      <c r="CV1590" s="1391"/>
      <c r="CW1590" s="1391"/>
      <c r="CX1590" s="1391"/>
      <c r="CY1590" s="1391"/>
      <c r="CZ1590" s="1391"/>
      <c r="DA1590" s="1391"/>
      <c r="DB1590" s="1391"/>
      <c r="DC1590" s="1391"/>
      <c r="DD1590" s="1391"/>
      <c r="DE1590" s="1391"/>
      <c r="DF1590" s="1391"/>
      <c r="DG1590" s="1391"/>
      <c r="DH1590" s="1391"/>
      <c r="DI1590" s="1391"/>
    </row>
    <row r="1591" spans="1:113" ht="15.75" x14ac:dyDescent="0.25">
      <c r="A1591" s="1684"/>
      <c r="B1591" s="1716" t="s">
        <v>5233</v>
      </c>
      <c r="C1591" s="1716">
        <v>104</v>
      </c>
      <c r="D1591" s="1716">
        <v>67.599999999999994</v>
      </c>
      <c r="E1591" s="1716">
        <v>41</v>
      </c>
      <c r="F1591" s="1716">
        <v>29.5</v>
      </c>
      <c r="G1591" s="1716">
        <v>10</v>
      </c>
      <c r="H1591" s="1709"/>
      <c r="I1591" s="1493"/>
      <c r="J1591" s="1391">
        <v>444</v>
      </c>
      <c r="K1591" s="1391">
        <v>452</v>
      </c>
      <c r="L1591" s="1391">
        <v>317</v>
      </c>
      <c r="M1591" s="1391">
        <v>353</v>
      </c>
      <c r="N1591" s="1493"/>
      <c r="O1591" s="1493"/>
      <c r="P1591" s="1493"/>
      <c r="Q1591" s="4642" t="s">
        <v>5602</v>
      </c>
      <c r="R1591" s="4642"/>
      <c r="S1591" s="4642" t="s">
        <v>4068</v>
      </c>
      <c r="T1591" s="4642"/>
      <c r="U1591" s="1722" t="s">
        <v>2490</v>
      </c>
      <c r="V1591" s="1493"/>
      <c r="W1591" s="4635">
        <v>4</v>
      </c>
      <c r="X1591" s="4635"/>
      <c r="Y1591" s="4636">
        <v>24.9</v>
      </c>
      <c r="Z1591" s="4637"/>
      <c r="AA1591" s="1391">
        <v>5</v>
      </c>
      <c r="AB1591" s="1391">
        <v>1007.5</v>
      </c>
      <c r="AC1591" s="1391">
        <f t="shared" si="3"/>
        <v>1.0075000000000001</v>
      </c>
      <c r="AD1591" s="1391"/>
      <c r="AE1591" s="1493"/>
      <c r="AF1591" s="4636" t="s">
        <v>4069</v>
      </c>
      <c r="AG1591" s="4637"/>
      <c r="AH1591" s="1391">
        <v>104</v>
      </c>
      <c r="AI1591" s="1391">
        <v>85</v>
      </c>
      <c r="AJ1591" s="1391">
        <v>2</v>
      </c>
      <c r="AK1591" s="1493"/>
      <c r="AL1591" s="1684"/>
      <c r="AM1591" s="1684"/>
      <c r="AN1591" s="1684"/>
      <c r="AO1591" s="1684"/>
      <c r="AP1591" s="1684"/>
      <c r="AQ1591" s="1684"/>
      <c r="AR1591" s="1684"/>
      <c r="AS1591" s="1684"/>
      <c r="AT1591" s="1684"/>
      <c r="AU1591" s="1684"/>
      <c r="AV1591" s="1684"/>
      <c r="AW1591" s="1684"/>
      <c r="AX1591" s="1684"/>
      <c r="AY1591" s="1684"/>
      <c r="AZ1591" s="1684"/>
      <c r="BA1591" s="1684"/>
      <c r="BB1591" s="1684"/>
      <c r="BC1591" s="1684"/>
      <c r="BD1591" s="1684"/>
      <c r="BE1591" s="1684"/>
      <c r="BF1591" s="1684"/>
      <c r="BG1591" s="1684"/>
      <c r="BH1591" s="1684"/>
      <c r="BI1591" s="1684"/>
      <c r="BJ1591" s="1684"/>
      <c r="BK1591" s="1684"/>
      <c r="BL1591" s="1684"/>
      <c r="BM1591" s="1684"/>
      <c r="BN1591" s="1684"/>
      <c r="BO1591" s="1684"/>
      <c r="BP1591" s="1684"/>
      <c r="BQ1591" s="1684"/>
      <c r="BR1591" s="1684"/>
      <c r="BS1591" s="1684"/>
      <c r="BT1591" s="1684"/>
      <c r="BU1591" s="1684"/>
      <c r="BV1591" s="1684"/>
      <c r="BW1591" s="1684"/>
      <c r="BX1591" s="1684"/>
      <c r="BY1591" s="1684"/>
      <c r="BZ1591" s="1684"/>
      <c r="CA1591" s="1684"/>
      <c r="CB1591" s="1684"/>
      <c r="CC1591" s="1684"/>
      <c r="CD1591" s="1684"/>
      <c r="CE1591" s="1684"/>
      <c r="CF1591" s="1684"/>
      <c r="CG1591" s="1684"/>
      <c r="CH1591" s="1684"/>
      <c r="CI1591" s="1684"/>
      <c r="CJ1591" s="1684"/>
      <c r="CK1591" s="1684"/>
      <c r="CL1591" s="1684"/>
      <c r="CM1591" s="1684"/>
      <c r="CN1591" s="1684"/>
      <c r="CO1591" s="1684"/>
      <c r="CP1591" s="1391"/>
      <c r="CQ1591" s="1391"/>
      <c r="CR1591" s="1391"/>
      <c r="CS1591" s="1391"/>
      <c r="CT1591" s="1391"/>
      <c r="CU1591" s="1391"/>
      <c r="CV1591" s="1391"/>
      <c r="CW1591" s="1391"/>
      <c r="CX1591" s="1391"/>
      <c r="CY1591" s="1391"/>
      <c r="CZ1591" s="1391"/>
      <c r="DA1591" s="1391"/>
      <c r="DB1591" s="1391"/>
      <c r="DC1591" s="1391"/>
      <c r="DD1591" s="1391"/>
      <c r="DE1591" s="1391"/>
      <c r="DF1591" s="1391"/>
      <c r="DG1591" s="1391"/>
      <c r="DH1591" s="1391"/>
      <c r="DI1591" s="1391"/>
    </row>
    <row r="1592" spans="1:113" ht="30.75" x14ac:dyDescent="0.25">
      <c r="A1592" s="1684"/>
      <c r="B1592" s="1711" t="s">
        <v>4070</v>
      </c>
      <c r="C1592" s="1716">
        <v>99.5</v>
      </c>
      <c r="D1592" s="1716">
        <v>62.8</v>
      </c>
      <c r="E1592" s="1716">
        <v>38.5</v>
      </c>
      <c r="F1592" s="1716">
        <v>27.8</v>
      </c>
      <c r="G1592" s="1716">
        <v>11</v>
      </c>
      <c r="H1592" s="1709"/>
      <c r="I1592" s="1493"/>
      <c r="J1592" s="1391">
        <v>444</v>
      </c>
      <c r="K1592" s="1391">
        <v>452</v>
      </c>
      <c r="L1592" s="1391">
        <v>291</v>
      </c>
      <c r="M1592" s="1391">
        <v>253</v>
      </c>
      <c r="N1592" s="1493"/>
      <c r="O1592" s="1493"/>
      <c r="P1592" s="1493"/>
      <c r="Q1592" s="4646"/>
      <c r="R1592" s="4646"/>
      <c r="S1592" s="1715" t="s">
        <v>1084</v>
      </c>
      <c r="T1592" s="1715" t="s">
        <v>4071</v>
      </c>
      <c r="U1592" s="1715"/>
      <c r="V1592" s="1493"/>
      <c r="W1592" s="4635">
        <v>5</v>
      </c>
      <c r="X1592" s="4635"/>
      <c r="Y1592" s="4636">
        <v>20.6</v>
      </c>
      <c r="Z1592" s="4637"/>
      <c r="AA1592" s="1391">
        <v>6</v>
      </c>
      <c r="AB1592" s="1391">
        <v>1212.5</v>
      </c>
      <c r="AC1592" s="1391">
        <f t="shared" si="3"/>
        <v>1.2124999999999999</v>
      </c>
      <c r="AD1592" s="1391"/>
      <c r="AE1592" s="1493"/>
      <c r="AF1592" s="4636" t="s">
        <v>4072</v>
      </c>
      <c r="AG1592" s="4637"/>
      <c r="AH1592" s="1391">
        <v>99</v>
      </c>
      <c r="AI1592" s="1391">
        <v>82</v>
      </c>
      <c r="AJ1592" s="1391">
        <v>3</v>
      </c>
      <c r="AK1592" s="1493"/>
      <c r="AL1592" s="1684"/>
      <c r="AM1592" s="1684"/>
      <c r="AN1592" s="1684"/>
      <c r="AO1592" s="1684"/>
      <c r="AP1592" s="1684"/>
      <c r="AQ1592" s="1684"/>
      <c r="AR1592" s="1684"/>
      <c r="AS1592" s="1684"/>
      <c r="AT1592" s="1684"/>
      <c r="AU1592" s="1684"/>
      <c r="AV1592" s="1684"/>
      <c r="AW1592" s="1684"/>
      <c r="AX1592" s="1684"/>
      <c r="AY1592" s="1684"/>
      <c r="AZ1592" s="1684"/>
      <c r="BA1592" s="1684"/>
      <c r="BB1592" s="1684"/>
      <c r="BC1592" s="1684"/>
      <c r="BD1592" s="1684"/>
      <c r="BE1592" s="1684"/>
      <c r="BF1592" s="1684"/>
      <c r="BG1592" s="1684"/>
      <c r="BH1592" s="1684"/>
      <c r="BI1592" s="1684"/>
      <c r="BJ1592" s="1684"/>
      <c r="BK1592" s="1684"/>
      <c r="BL1592" s="1684"/>
      <c r="BM1592" s="1684"/>
      <c r="BN1592" s="1684"/>
      <c r="BO1592" s="1684"/>
      <c r="BP1592" s="1684"/>
      <c r="BQ1592" s="1684"/>
      <c r="BR1592" s="1684"/>
      <c r="BS1592" s="1684"/>
      <c r="BT1592" s="1684"/>
      <c r="BU1592" s="1684"/>
      <c r="BV1592" s="1684"/>
      <c r="BW1592" s="1684"/>
      <c r="BX1592" s="1684"/>
      <c r="BY1592" s="1684"/>
      <c r="BZ1592" s="1684"/>
      <c r="CA1592" s="1684"/>
      <c r="CB1592" s="1684"/>
      <c r="CC1592" s="1684"/>
      <c r="CD1592" s="1684"/>
      <c r="CE1592" s="1684"/>
      <c r="CF1592" s="1684"/>
      <c r="CG1592" s="1684"/>
      <c r="CH1592" s="1684"/>
      <c r="CI1592" s="1684"/>
      <c r="CJ1592" s="1684"/>
      <c r="CK1592" s="1684"/>
      <c r="CL1592" s="1684"/>
      <c r="CM1592" s="1684"/>
      <c r="CN1592" s="1684"/>
      <c r="CO1592" s="1684"/>
      <c r="CP1592" s="1391"/>
      <c r="CQ1592" s="1391"/>
      <c r="CR1592" s="1391"/>
      <c r="CS1592" s="1391"/>
      <c r="CT1592" s="1391"/>
      <c r="CU1592" s="1391"/>
      <c r="CV1592" s="1391"/>
      <c r="CW1592" s="1391"/>
      <c r="CX1592" s="1391"/>
      <c r="CY1592" s="1391"/>
      <c r="CZ1592" s="1391"/>
      <c r="DA1592" s="1391"/>
      <c r="DB1592" s="1391"/>
      <c r="DC1592" s="1391"/>
      <c r="DD1592" s="1391"/>
      <c r="DE1592" s="1391"/>
      <c r="DF1592" s="1391"/>
      <c r="DG1592" s="1391"/>
      <c r="DH1592" s="1391"/>
      <c r="DI1592" s="1391"/>
    </row>
    <row r="1593" spans="1:113" ht="15.75" x14ac:dyDescent="0.25">
      <c r="A1593" s="1684"/>
      <c r="B1593" s="1493"/>
      <c r="C1593" s="1493"/>
      <c r="D1593" s="1493"/>
      <c r="E1593" s="1493"/>
      <c r="F1593" s="1493"/>
      <c r="G1593" s="1493"/>
      <c r="H1593" s="1709"/>
      <c r="I1593" s="1493"/>
      <c r="J1593" s="1391">
        <v>369</v>
      </c>
      <c r="K1593" s="1391">
        <v>376</v>
      </c>
      <c r="L1593" s="1391">
        <v>247</v>
      </c>
      <c r="M1593" s="1391">
        <v>258</v>
      </c>
      <c r="N1593" s="1493"/>
      <c r="O1593" s="1493"/>
      <c r="P1593" s="1493"/>
      <c r="Q1593" s="4647" t="s">
        <v>4067</v>
      </c>
      <c r="R1593" s="4647"/>
      <c r="S1593" s="1391"/>
      <c r="T1593" s="1391">
        <v>57.8</v>
      </c>
      <c r="U1593" s="1391">
        <v>1</v>
      </c>
      <c r="V1593" s="1493"/>
      <c r="W1593" s="4635">
        <v>6</v>
      </c>
      <c r="X1593" s="4635"/>
      <c r="Y1593" s="4636">
        <v>17.5</v>
      </c>
      <c r="Z1593" s="4637"/>
      <c r="AA1593" s="1391">
        <v>7</v>
      </c>
      <c r="AB1593" s="1391">
        <v>1517.5</v>
      </c>
      <c r="AC1593" s="1391">
        <f t="shared" si="3"/>
        <v>1.5175000000000001</v>
      </c>
      <c r="AD1593" s="1391"/>
      <c r="AE1593" s="1493"/>
      <c r="AF1593" s="4636" t="s">
        <v>4073</v>
      </c>
      <c r="AG1593" s="4637"/>
      <c r="AH1593" s="1391">
        <v>93</v>
      </c>
      <c r="AI1593" s="1391">
        <v>77</v>
      </c>
      <c r="AJ1593" s="1391">
        <v>4</v>
      </c>
      <c r="AK1593" s="1493"/>
      <c r="AL1593" s="1684"/>
      <c r="AM1593" s="1684"/>
      <c r="AN1593" s="1684"/>
      <c r="AO1593" s="1684"/>
      <c r="AP1593" s="1684"/>
      <c r="AQ1593" s="1684"/>
      <c r="AR1593" s="1684"/>
      <c r="AS1593" s="1684"/>
      <c r="AT1593" s="1684"/>
      <c r="AU1593" s="1684"/>
      <c r="AV1593" s="1684"/>
      <c r="AW1593" s="1684"/>
      <c r="AX1593" s="1684"/>
      <c r="AY1593" s="1684"/>
      <c r="AZ1593" s="1684"/>
      <c r="BA1593" s="1684"/>
      <c r="BB1593" s="1684"/>
      <c r="BC1593" s="1684"/>
      <c r="BD1593" s="1684"/>
      <c r="BE1593" s="1684"/>
      <c r="BF1593" s="1684"/>
      <c r="BG1593" s="1684"/>
      <c r="BH1593" s="1684"/>
      <c r="BI1593" s="1684"/>
      <c r="BJ1593" s="1684"/>
      <c r="BK1593" s="1684"/>
      <c r="BL1593" s="1684"/>
      <c r="BM1593" s="1684"/>
      <c r="BN1593" s="1684"/>
      <c r="BO1593" s="1684"/>
      <c r="BP1593" s="1684"/>
      <c r="BQ1593" s="1684"/>
      <c r="BR1593" s="1684"/>
      <c r="BS1593" s="1684"/>
      <c r="BT1593" s="1684"/>
      <c r="BU1593" s="1684"/>
      <c r="BV1593" s="1684"/>
      <c r="BW1593" s="1684"/>
      <c r="BX1593" s="1684"/>
      <c r="BY1593" s="1684"/>
      <c r="BZ1593" s="1684"/>
      <c r="CA1593" s="1684"/>
      <c r="CB1593" s="1684"/>
      <c r="CC1593" s="1684"/>
      <c r="CD1593" s="1684"/>
      <c r="CE1593" s="1684"/>
      <c r="CF1593" s="1684"/>
      <c r="CG1593" s="1684"/>
      <c r="CH1593" s="1684"/>
      <c r="CI1593" s="1684"/>
      <c r="CJ1593" s="1684"/>
      <c r="CK1593" s="1684"/>
      <c r="CL1593" s="1684"/>
      <c r="CM1593" s="1684"/>
      <c r="CN1593" s="1684"/>
      <c r="CO1593" s="1684"/>
      <c r="CP1593" s="1391"/>
      <c r="CQ1593" s="1391"/>
      <c r="CR1593" s="1391"/>
      <c r="CS1593" s="1391"/>
      <c r="CT1593" s="1391"/>
      <c r="CU1593" s="1391"/>
      <c r="CV1593" s="1391"/>
      <c r="CW1593" s="1391"/>
      <c r="CX1593" s="1391"/>
      <c r="CY1593" s="1391"/>
      <c r="CZ1593" s="1391"/>
      <c r="DA1593" s="1391"/>
      <c r="DB1593" s="1391"/>
      <c r="DC1593" s="1391"/>
      <c r="DD1593" s="1391"/>
      <c r="DE1593" s="1391"/>
      <c r="DF1593" s="1391"/>
      <c r="DG1593" s="1391"/>
      <c r="DH1593" s="1391"/>
      <c r="DI1593" s="1391"/>
    </row>
    <row r="1594" spans="1:113" ht="15.75" x14ac:dyDescent="0.25">
      <c r="A1594" s="1684"/>
      <c r="B1594" s="1493"/>
      <c r="C1594" s="1493"/>
      <c r="D1594" s="1493"/>
      <c r="E1594" s="1493"/>
      <c r="F1594" s="1493"/>
      <c r="G1594" s="1493"/>
      <c r="H1594" s="1709"/>
      <c r="I1594" s="1493"/>
      <c r="J1594" s="1493"/>
      <c r="K1594" s="1493"/>
      <c r="L1594" s="1493"/>
      <c r="M1594" s="1493"/>
      <c r="N1594" s="1493"/>
      <c r="O1594" s="1493"/>
      <c r="P1594" s="1493"/>
      <c r="Q1594" s="4647" t="s">
        <v>4074</v>
      </c>
      <c r="R1594" s="4647"/>
      <c r="S1594" s="1391">
        <v>71.2</v>
      </c>
      <c r="T1594" s="1391">
        <v>61.8</v>
      </c>
      <c r="U1594" s="1391">
        <v>2</v>
      </c>
      <c r="V1594" s="1493"/>
      <c r="W1594" s="892"/>
      <c r="X1594" s="892"/>
      <c r="Y1594" s="892"/>
      <c r="Z1594" s="892"/>
      <c r="AA1594" s="892"/>
      <c r="AB1594" s="892" t="s">
        <v>4075</v>
      </c>
      <c r="AC1594" s="892" t="s">
        <v>4076</v>
      </c>
      <c r="AD1594" s="892"/>
      <c r="AE1594" s="1493"/>
      <c r="AF1594" s="4636" t="s">
        <v>4077</v>
      </c>
      <c r="AG1594" s="4637"/>
      <c r="AH1594" s="1391">
        <v>89</v>
      </c>
      <c r="AI1594" s="1391">
        <v>74</v>
      </c>
      <c r="AJ1594" s="1391">
        <v>5</v>
      </c>
      <c r="AK1594" s="1493"/>
      <c r="AL1594" s="1684"/>
      <c r="AM1594" s="1684"/>
      <c r="AN1594" s="1684"/>
      <c r="AO1594" s="1684"/>
      <c r="AP1594" s="1684"/>
      <c r="AQ1594" s="1684"/>
      <c r="AR1594" s="1684"/>
      <c r="AS1594" s="1684"/>
      <c r="AT1594" s="1684"/>
      <c r="AU1594" s="1684"/>
      <c r="AV1594" s="1684"/>
      <c r="AW1594" s="1684"/>
      <c r="AX1594" s="1684"/>
      <c r="AY1594" s="1684"/>
      <c r="AZ1594" s="1684"/>
      <c r="BA1594" s="1684"/>
      <c r="BB1594" s="1684"/>
      <c r="BC1594" s="1684"/>
      <c r="BD1594" s="1684"/>
      <c r="BE1594" s="1684"/>
      <c r="BF1594" s="1684"/>
      <c r="BG1594" s="1684"/>
      <c r="BH1594" s="1684"/>
      <c r="BI1594" s="1684"/>
      <c r="BJ1594" s="1684"/>
      <c r="BK1594" s="1684"/>
      <c r="BL1594" s="1684"/>
      <c r="BM1594" s="1684"/>
      <c r="BN1594" s="1684"/>
      <c r="BO1594" s="1684"/>
      <c r="BP1594" s="1684"/>
      <c r="BQ1594" s="1684"/>
      <c r="BR1594" s="1684"/>
      <c r="BS1594" s="1684"/>
      <c r="BT1594" s="1684"/>
      <c r="BU1594" s="1684"/>
      <c r="BV1594" s="1684"/>
      <c r="BW1594" s="1684"/>
      <c r="BX1594" s="1684"/>
      <c r="BY1594" s="1684"/>
      <c r="BZ1594" s="1684"/>
      <c r="CA1594" s="1684"/>
      <c r="CB1594" s="1684"/>
      <c r="CC1594" s="1684"/>
      <c r="CD1594" s="1684"/>
      <c r="CE1594" s="1684"/>
      <c r="CF1594" s="1684"/>
      <c r="CG1594" s="1684"/>
      <c r="CH1594" s="1684"/>
      <c r="CI1594" s="1684"/>
      <c r="CJ1594" s="1684"/>
      <c r="CK1594" s="1684"/>
      <c r="CL1594" s="1684"/>
      <c r="CM1594" s="1684"/>
      <c r="CN1594" s="1684"/>
      <c r="CO1594" s="1684"/>
      <c r="CP1594" s="1391"/>
      <c r="CQ1594" s="1391"/>
      <c r="CR1594" s="1391"/>
      <c r="CS1594" s="1391"/>
      <c r="CT1594" s="1391"/>
      <c r="CU1594" s="1391"/>
      <c r="CV1594" s="1391"/>
      <c r="CW1594" s="1391"/>
      <c r="CX1594" s="1391"/>
      <c r="CY1594" s="1391"/>
      <c r="CZ1594" s="1391"/>
      <c r="DA1594" s="1391"/>
      <c r="DB1594" s="1391"/>
      <c r="DC1594" s="1391"/>
      <c r="DD1594" s="1391"/>
      <c r="DE1594" s="1391"/>
      <c r="DF1594" s="1391"/>
      <c r="DG1594" s="1391"/>
      <c r="DH1594" s="1391"/>
      <c r="DI1594" s="1391"/>
    </row>
    <row r="1595" spans="1:113" ht="15.75" x14ac:dyDescent="0.25">
      <c r="A1595" s="1684"/>
      <c r="B1595" s="1709"/>
      <c r="C1595" s="1709"/>
      <c r="D1595" s="1709"/>
      <c r="E1595" s="1709"/>
      <c r="F1595" s="1709"/>
      <c r="G1595" s="1709"/>
      <c r="H1595" s="1709"/>
      <c r="I1595" s="1493"/>
      <c r="J1595" s="1493"/>
      <c r="K1595" s="1493"/>
      <c r="L1595" s="1493"/>
      <c r="M1595" s="1493"/>
      <c r="N1595" s="1493"/>
      <c r="O1595" s="1493"/>
      <c r="P1595" s="1493"/>
      <c r="Q1595" s="4647" t="s">
        <v>4078</v>
      </c>
      <c r="R1595" s="4647"/>
      <c r="S1595" s="1391">
        <v>81.3</v>
      </c>
      <c r="T1595" s="1391">
        <v>67.8</v>
      </c>
      <c r="U1595" s="1391">
        <v>3</v>
      </c>
      <c r="V1595" s="1493"/>
      <c r="W1595" s="892"/>
      <c r="X1595" s="892"/>
      <c r="Y1595" s="892"/>
      <c r="Z1595" s="892"/>
      <c r="AA1595" s="892"/>
      <c r="AB1595" s="892"/>
      <c r="AC1595" s="892"/>
      <c r="AD1595" s="892"/>
      <c r="AE1595" s="1493"/>
      <c r="AF1595" s="4636" t="s">
        <v>4079</v>
      </c>
      <c r="AG1595" s="4637"/>
      <c r="AH1595" s="1391">
        <v>85</v>
      </c>
      <c r="AI1595" s="1391">
        <v>69</v>
      </c>
      <c r="AJ1595" s="1391">
        <v>6</v>
      </c>
      <c r="AK1595" s="1493"/>
      <c r="AL1595" s="1684"/>
      <c r="AM1595" s="1684"/>
      <c r="AN1595" s="1684"/>
      <c r="AO1595" s="1684"/>
      <c r="AP1595" s="1684"/>
      <c r="AQ1595" s="1684"/>
      <c r="AR1595" s="1684"/>
      <c r="AS1595" s="1684"/>
      <c r="AT1595" s="1684"/>
      <c r="AU1595" s="1684"/>
      <c r="AV1595" s="1684"/>
      <c r="AW1595" s="1684"/>
      <c r="AX1595" s="1684"/>
      <c r="AY1595" s="1684"/>
      <c r="AZ1595" s="1684"/>
      <c r="BA1595" s="1684"/>
      <c r="BB1595" s="1684"/>
      <c r="BC1595" s="1684"/>
      <c r="BD1595" s="1684"/>
      <c r="BE1595" s="1684"/>
      <c r="BF1595" s="1684"/>
      <c r="BG1595" s="1684"/>
      <c r="BH1595" s="1684"/>
      <c r="BI1595" s="1684"/>
      <c r="BJ1595" s="1684"/>
      <c r="BK1595" s="1684"/>
      <c r="BL1595" s="1684"/>
      <c r="BM1595" s="1684"/>
      <c r="BN1595" s="1684"/>
      <c r="BO1595" s="1684"/>
      <c r="BP1595" s="1684"/>
      <c r="BQ1595" s="1684"/>
      <c r="BR1595" s="1684"/>
      <c r="BS1595" s="1684"/>
      <c r="BT1595" s="1684"/>
      <c r="BU1595" s="1684"/>
      <c r="BV1595" s="1684"/>
      <c r="BW1595" s="1684"/>
      <c r="BX1595" s="1684"/>
      <c r="BY1595" s="1684"/>
      <c r="BZ1595" s="1684"/>
      <c r="CA1595" s="1684"/>
      <c r="CB1595" s="1684"/>
      <c r="CC1595" s="1684"/>
      <c r="CD1595" s="1684"/>
      <c r="CE1595" s="1684"/>
      <c r="CF1595" s="1684"/>
      <c r="CG1595" s="1684"/>
      <c r="CH1595" s="1684"/>
      <c r="CI1595" s="1684"/>
      <c r="CJ1595" s="1684"/>
      <c r="CK1595" s="1684"/>
      <c r="CL1595" s="1684"/>
      <c r="CM1595" s="1684"/>
      <c r="CN1595" s="1684"/>
      <c r="CO1595" s="1684"/>
      <c r="CP1595" s="1391"/>
      <c r="CQ1595" s="1391"/>
      <c r="CR1595" s="1391"/>
      <c r="CS1595" s="1391"/>
      <c r="CT1595" s="1391"/>
      <c r="CU1595" s="1391"/>
      <c r="CV1595" s="1391"/>
      <c r="CW1595" s="1391"/>
      <c r="CX1595" s="1391"/>
      <c r="CY1595" s="1391"/>
      <c r="CZ1595" s="1391"/>
      <c r="DA1595" s="1391"/>
      <c r="DB1595" s="1391"/>
      <c r="DC1595" s="1391"/>
      <c r="DD1595" s="1391"/>
      <c r="DE1595" s="1391"/>
      <c r="DF1595" s="1391"/>
      <c r="DG1595" s="1391"/>
      <c r="DH1595" s="1391"/>
      <c r="DI1595" s="1391"/>
    </row>
    <row r="1596" spans="1:113" ht="15.75" x14ac:dyDescent="0.25">
      <c r="A1596" s="1684"/>
      <c r="B1596" s="1493"/>
      <c r="C1596" s="1493"/>
      <c r="D1596" s="1493"/>
      <c r="E1596" s="1493"/>
      <c r="F1596" s="1493"/>
      <c r="G1596" s="1493"/>
      <c r="H1596" s="1493"/>
      <c r="I1596" s="1493"/>
      <c r="J1596" s="1493"/>
      <c r="K1596" s="1493"/>
      <c r="L1596" s="1493"/>
      <c r="M1596" s="1493"/>
      <c r="N1596" s="1493"/>
      <c r="O1596" s="1493"/>
      <c r="P1596" s="1493"/>
      <c r="Q1596" s="4647" t="s">
        <v>4080</v>
      </c>
      <c r="R1596" s="4647"/>
      <c r="S1596" s="1391">
        <v>89.7</v>
      </c>
      <c r="T1596" s="1391">
        <v>83.2</v>
      </c>
      <c r="U1596" s="1391">
        <v>4</v>
      </c>
      <c r="V1596" s="1493"/>
      <c r="W1596" s="892"/>
      <c r="X1596" s="4648" t="s">
        <v>4081</v>
      </c>
      <c r="Y1596" s="4648"/>
      <c r="Z1596" s="4648"/>
      <c r="AA1596" s="4648"/>
      <c r="AB1596" s="4648"/>
      <c r="AC1596" s="4648"/>
      <c r="AD1596" s="4648"/>
      <c r="AE1596" s="1493"/>
      <c r="AF1596" s="4636" t="s">
        <v>4082</v>
      </c>
      <c r="AG1596" s="4637"/>
      <c r="AH1596" s="1391">
        <v>78</v>
      </c>
      <c r="AI1596" s="1391">
        <v>62</v>
      </c>
      <c r="AJ1596" s="1391">
        <v>7</v>
      </c>
      <c r="AK1596" s="1493"/>
      <c r="AL1596" s="1684"/>
      <c r="AM1596" s="1684"/>
      <c r="AN1596" s="1684"/>
      <c r="AO1596" s="1684"/>
      <c r="AP1596" s="1684"/>
      <c r="AQ1596" s="1684"/>
      <c r="AR1596" s="1684"/>
      <c r="AS1596" s="1684"/>
      <c r="AT1596" s="1684"/>
      <c r="AU1596" s="1684"/>
      <c r="AV1596" s="1684"/>
      <c r="AW1596" s="1684"/>
      <c r="AX1596" s="1684"/>
      <c r="AY1596" s="1684"/>
      <c r="AZ1596" s="1684"/>
      <c r="BA1596" s="1684"/>
      <c r="BB1596" s="1684"/>
      <c r="BC1596" s="1684"/>
      <c r="BD1596" s="1684"/>
      <c r="BE1596" s="1684"/>
      <c r="BF1596" s="1684"/>
      <c r="BG1596" s="1684"/>
      <c r="BH1596" s="1684"/>
      <c r="BI1596" s="1684"/>
      <c r="BJ1596" s="1684"/>
      <c r="BK1596" s="1684"/>
      <c r="BL1596" s="1684"/>
      <c r="BM1596" s="1684"/>
      <c r="BN1596" s="1684"/>
      <c r="BO1596" s="1684"/>
      <c r="BP1596" s="1684"/>
      <c r="BQ1596" s="1684"/>
      <c r="BR1596" s="1684"/>
      <c r="BS1596" s="1684"/>
      <c r="BT1596" s="1684"/>
      <c r="BU1596" s="1684"/>
      <c r="BV1596" s="1684"/>
      <c r="BW1596" s="1684"/>
      <c r="BX1596" s="1684"/>
      <c r="BY1596" s="1684"/>
      <c r="BZ1596" s="1684"/>
      <c r="CA1596" s="1684"/>
      <c r="CB1596" s="1684"/>
      <c r="CC1596" s="1684"/>
      <c r="CD1596" s="1684"/>
      <c r="CE1596" s="1684"/>
      <c r="CF1596" s="1684"/>
      <c r="CG1596" s="1684"/>
      <c r="CH1596" s="1684"/>
      <c r="CI1596" s="1684"/>
      <c r="CJ1596" s="1684"/>
      <c r="CK1596" s="1684"/>
      <c r="CL1596" s="1684"/>
      <c r="CM1596" s="1684"/>
      <c r="CN1596" s="1684"/>
      <c r="CO1596" s="1684"/>
      <c r="CP1596" s="1391"/>
      <c r="CQ1596" s="1391"/>
      <c r="CR1596" s="1391"/>
      <c r="CS1596" s="1391"/>
      <c r="CT1596" s="1391"/>
      <c r="CU1596" s="1391"/>
      <c r="CV1596" s="1391"/>
      <c r="CW1596" s="1391"/>
      <c r="CX1596" s="1391"/>
      <c r="CY1596" s="1391"/>
      <c r="CZ1596" s="1391"/>
      <c r="DA1596" s="1391"/>
      <c r="DB1596" s="1391"/>
      <c r="DC1596" s="1391"/>
      <c r="DD1596" s="1391"/>
      <c r="DE1596" s="1391"/>
      <c r="DF1596" s="1391"/>
      <c r="DG1596" s="1391"/>
      <c r="DH1596" s="1391"/>
      <c r="DI1596" s="1391"/>
    </row>
    <row r="1597" spans="1:113" ht="15.75" x14ac:dyDescent="0.25">
      <c r="A1597" s="1684"/>
      <c r="B1597" s="1723" t="s">
        <v>4083</v>
      </c>
      <c r="C1597" s="1724"/>
      <c r="D1597" s="1493"/>
      <c r="E1597" s="4650" t="s">
        <v>4084</v>
      </c>
      <c r="F1597" s="4650"/>
      <c r="G1597" s="1493"/>
      <c r="H1597" s="892"/>
      <c r="I1597" s="1710" t="s">
        <v>4085</v>
      </c>
      <c r="J1597" s="1710"/>
      <c r="K1597" s="892"/>
      <c r="L1597" s="892"/>
      <c r="M1597" s="892"/>
      <c r="N1597" s="892"/>
      <c r="O1597" s="1493"/>
      <c r="P1597" s="1493"/>
      <c r="Q1597" s="4647" t="s">
        <v>4086</v>
      </c>
      <c r="R1597" s="4647"/>
      <c r="S1597" s="1391">
        <v>71</v>
      </c>
      <c r="T1597" s="1725">
        <v>67.400000000000006</v>
      </c>
      <c r="U1597" s="1391">
        <v>5</v>
      </c>
      <c r="V1597" s="1493"/>
      <c r="W1597" s="892"/>
      <c r="X1597" s="4651" t="s">
        <v>4254</v>
      </c>
      <c r="Y1597" s="4651"/>
      <c r="Z1597" s="4651"/>
      <c r="AA1597" s="1725" t="s">
        <v>4170</v>
      </c>
      <c r="AB1597" s="1725" t="s">
        <v>1232</v>
      </c>
      <c r="AC1597" s="4651" t="s">
        <v>1233</v>
      </c>
      <c r="AD1597" s="4651"/>
      <c r="AE1597" s="1493"/>
      <c r="AF1597" s="4636" t="s">
        <v>4087</v>
      </c>
      <c r="AG1597" s="4637"/>
      <c r="AH1597" s="1391">
        <v>73</v>
      </c>
      <c r="AI1597" s="1391">
        <v>58</v>
      </c>
      <c r="AJ1597" s="1391">
        <v>8</v>
      </c>
      <c r="AK1597" s="1493"/>
      <c r="AL1597" s="1684"/>
      <c r="AM1597" s="1684"/>
      <c r="AN1597" s="1684"/>
      <c r="AO1597" s="1684"/>
      <c r="AP1597" s="1684"/>
      <c r="AQ1597" s="1684"/>
      <c r="AR1597" s="1684"/>
      <c r="AS1597" s="1684"/>
      <c r="AT1597" s="1684"/>
      <c r="AU1597" s="1684"/>
      <c r="AV1597" s="1684"/>
      <c r="AW1597" s="1684"/>
      <c r="AX1597" s="1684"/>
      <c r="AY1597" s="1684"/>
      <c r="AZ1597" s="1684"/>
      <c r="BA1597" s="1684"/>
      <c r="BB1597" s="1684"/>
      <c r="BC1597" s="1684"/>
      <c r="BD1597" s="1684"/>
      <c r="BE1597" s="1684"/>
      <c r="BF1597" s="1684"/>
      <c r="BG1597" s="1684"/>
      <c r="BH1597" s="1684"/>
      <c r="BI1597" s="1684"/>
      <c r="BJ1597" s="1684"/>
      <c r="BK1597" s="1684"/>
      <c r="BL1597" s="1684"/>
      <c r="BM1597" s="1684"/>
      <c r="BN1597" s="1684"/>
      <c r="BO1597" s="1684"/>
      <c r="BP1597" s="1684"/>
      <c r="BQ1597" s="1684"/>
      <c r="BR1597" s="1684"/>
      <c r="BS1597" s="1684"/>
      <c r="BT1597" s="1684"/>
      <c r="BU1597" s="1684"/>
      <c r="BV1597" s="1684"/>
      <c r="BW1597" s="1684"/>
      <c r="BX1597" s="1684"/>
      <c r="BY1597" s="1684"/>
      <c r="BZ1597" s="1684"/>
      <c r="CA1597" s="1684"/>
      <c r="CB1597" s="1684"/>
      <c r="CC1597" s="1684"/>
      <c r="CD1597" s="1684"/>
      <c r="CE1597" s="1684"/>
      <c r="CF1597" s="1684"/>
      <c r="CG1597" s="1684"/>
      <c r="CH1597" s="1684"/>
      <c r="CI1597" s="1684"/>
      <c r="CJ1597" s="1684"/>
      <c r="CK1597" s="1684"/>
      <c r="CL1597" s="1684"/>
      <c r="CM1597" s="1684"/>
      <c r="CN1597" s="1684"/>
      <c r="CO1597" s="1684"/>
      <c r="CP1597" s="1391"/>
      <c r="CQ1597" s="1391"/>
      <c r="CR1597" s="1391"/>
      <c r="CS1597" s="1391"/>
      <c r="CT1597" s="1391"/>
      <c r="CU1597" s="1391"/>
      <c r="CV1597" s="1391"/>
      <c r="CW1597" s="1391"/>
      <c r="CX1597" s="1391"/>
      <c r="CY1597" s="1391"/>
      <c r="CZ1597" s="1391"/>
      <c r="DA1597" s="1391"/>
      <c r="DB1597" s="1391"/>
      <c r="DC1597" s="1391"/>
      <c r="DD1597" s="1391"/>
      <c r="DE1597" s="1391"/>
      <c r="DF1597" s="1391"/>
      <c r="DG1597" s="1391"/>
      <c r="DH1597" s="1391"/>
      <c r="DI1597" s="1391"/>
    </row>
    <row r="1598" spans="1:113" ht="60.75" x14ac:dyDescent="0.25">
      <c r="A1598" s="1684"/>
      <c r="B1598" s="1726" t="s">
        <v>4088</v>
      </c>
      <c r="C1598" s="1726" t="s">
        <v>3501</v>
      </c>
      <c r="D1598" s="1493"/>
      <c r="E1598" s="1727" t="s">
        <v>3502</v>
      </c>
      <c r="F1598" s="1726" t="s">
        <v>3503</v>
      </c>
      <c r="G1598" s="1493"/>
      <c r="H1598" s="4649" t="s">
        <v>5333</v>
      </c>
      <c r="I1598" s="4649"/>
      <c r="J1598" s="4649"/>
      <c r="K1598" s="892"/>
      <c r="L1598" s="892"/>
      <c r="M1598" s="892"/>
      <c r="N1598" s="892"/>
      <c r="O1598" s="1493"/>
      <c r="P1598" s="1493"/>
      <c r="Q1598" s="1493"/>
      <c r="R1598" s="1493"/>
      <c r="S1598" s="1493"/>
      <c r="T1598" s="1493"/>
      <c r="U1598" s="1493"/>
      <c r="V1598" s="1493"/>
      <c r="W1598" s="892"/>
      <c r="X1598" s="4635" t="s">
        <v>2472</v>
      </c>
      <c r="Y1598" s="4635"/>
      <c r="Z1598" s="4635"/>
      <c r="AA1598" s="1391">
        <v>138</v>
      </c>
      <c r="AB1598" s="1391">
        <v>132</v>
      </c>
      <c r="AC1598" s="4635">
        <v>125</v>
      </c>
      <c r="AD1598" s="4635"/>
      <c r="AE1598" s="1493"/>
      <c r="AF1598" s="4636" t="s">
        <v>4879</v>
      </c>
      <c r="AG1598" s="4637"/>
      <c r="AH1598" s="1391">
        <v>67</v>
      </c>
      <c r="AI1598" s="1391">
        <v>53</v>
      </c>
      <c r="AJ1598" s="1391">
        <v>9</v>
      </c>
      <c r="AK1598" s="1493"/>
      <c r="AL1598" s="1684"/>
      <c r="AM1598" s="1684"/>
      <c r="AN1598" s="1684"/>
      <c r="AO1598" s="1684"/>
      <c r="AP1598" s="1684"/>
      <c r="AQ1598" s="1684"/>
      <c r="AR1598" s="1684"/>
      <c r="AS1598" s="1684"/>
      <c r="AT1598" s="1684"/>
      <c r="AU1598" s="1684"/>
      <c r="AV1598" s="1684"/>
      <c r="AW1598" s="1684"/>
      <c r="AX1598" s="1684"/>
      <c r="AY1598" s="1684"/>
      <c r="AZ1598" s="1684"/>
      <c r="BA1598" s="1684"/>
      <c r="BB1598" s="1684"/>
      <c r="BC1598" s="1684"/>
      <c r="BD1598" s="1684"/>
      <c r="BE1598" s="1684"/>
      <c r="BF1598" s="1684"/>
      <c r="BG1598" s="1684"/>
      <c r="BH1598" s="1684"/>
      <c r="BI1598" s="1684"/>
      <c r="BJ1598" s="1684"/>
      <c r="BK1598" s="1684"/>
      <c r="BL1598" s="1684"/>
      <c r="BM1598" s="1684"/>
      <c r="BN1598" s="1684"/>
      <c r="BO1598" s="1684"/>
      <c r="BP1598" s="1684"/>
      <c r="BQ1598" s="1684"/>
      <c r="BR1598" s="1684"/>
      <c r="BS1598" s="1684"/>
      <c r="BT1598" s="1684"/>
      <c r="BU1598" s="1684"/>
      <c r="BV1598" s="1684"/>
      <c r="BW1598" s="1684"/>
      <c r="BX1598" s="1684"/>
      <c r="BY1598" s="1684"/>
      <c r="BZ1598" s="1684"/>
      <c r="CA1598" s="1684"/>
      <c r="CB1598" s="1684"/>
      <c r="CC1598" s="1684"/>
      <c r="CD1598" s="1684"/>
      <c r="CE1598" s="1684"/>
      <c r="CF1598" s="1684"/>
      <c r="CG1598" s="1684"/>
      <c r="CH1598" s="1684"/>
      <c r="CI1598" s="1684"/>
      <c r="CJ1598" s="1684"/>
      <c r="CK1598" s="1684"/>
      <c r="CL1598" s="1684"/>
      <c r="CM1598" s="1684"/>
      <c r="CN1598" s="1684"/>
      <c r="CO1598" s="1684"/>
      <c r="CP1598" s="1391"/>
      <c r="CQ1598" s="1391"/>
      <c r="CR1598" s="1391"/>
      <c r="CS1598" s="1391"/>
      <c r="CT1598" s="1391"/>
      <c r="CU1598" s="1391"/>
      <c r="CV1598" s="1391"/>
      <c r="CW1598" s="1391"/>
      <c r="CX1598" s="1391"/>
      <c r="CY1598" s="1391"/>
      <c r="CZ1598" s="1391"/>
      <c r="DA1598" s="1391"/>
      <c r="DB1598" s="1391"/>
      <c r="DC1598" s="1391"/>
      <c r="DD1598" s="1391"/>
      <c r="DE1598" s="1391"/>
      <c r="DF1598" s="1391"/>
      <c r="DG1598" s="1391"/>
      <c r="DH1598" s="1391"/>
      <c r="DI1598" s="1391"/>
    </row>
    <row r="1599" spans="1:113" ht="15.75" x14ac:dyDescent="0.25">
      <c r="A1599" s="1684"/>
      <c r="B1599" s="1727" t="s">
        <v>4880</v>
      </c>
      <c r="C1599" s="1727">
        <v>0.9</v>
      </c>
      <c r="D1599" s="1493"/>
      <c r="E1599" s="1727" t="s">
        <v>4881</v>
      </c>
      <c r="F1599" s="1727">
        <v>0.9</v>
      </c>
      <c r="G1599" s="1493"/>
      <c r="H1599" s="4646" t="s">
        <v>4882</v>
      </c>
      <c r="I1599" s="4646"/>
      <c r="J1599" s="4646"/>
      <c r="K1599" s="1391" t="s">
        <v>4883</v>
      </c>
      <c r="L1599" s="1391" t="s">
        <v>4884</v>
      </c>
      <c r="M1599" s="4635" t="s">
        <v>4885</v>
      </c>
      <c r="N1599" s="4635"/>
      <c r="O1599" s="1493"/>
      <c r="P1599" s="1493"/>
      <c r="Q1599" s="1493"/>
      <c r="R1599" s="1493"/>
      <c r="S1599" s="1493"/>
      <c r="T1599" s="1493"/>
      <c r="U1599" s="1493"/>
      <c r="V1599" s="1493"/>
      <c r="W1599" s="1493"/>
      <c r="X1599" s="1493"/>
      <c r="Y1599" s="1493"/>
      <c r="Z1599" s="1493"/>
      <c r="AA1599" s="1493"/>
      <c r="AB1599" s="1493"/>
      <c r="AC1599" s="1493"/>
      <c r="AD1599" s="1493"/>
      <c r="AE1599" s="1493"/>
      <c r="AF1599" s="4636" t="s">
        <v>4886</v>
      </c>
      <c r="AG1599" s="4637"/>
      <c r="AH1599" s="1391">
        <v>58</v>
      </c>
      <c r="AI1599" s="1391">
        <v>46</v>
      </c>
      <c r="AJ1599" s="1391">
        <v>10</v>
      </c>
      <c r="AK1599" s="1493"/>
      <c r="AL1599" s="1684"/>
      <c r="AM1599" s="1684"/>
      <c r="AN1599" s="1684"/>
      <c r="AO1599" s="1684"/>
      <c r="AP1599" s="1684"/>
      <c r="AQ1599" s="1684"/>
      <c r="AR1599" s="1684"/>
      <c r="AS1599" s="1684"/>
      <c r="AT1599" s="1684"/>
      <c r="AU1599" s="1684"/>
      <c r="AV1599" s="1684"/>
      <c r="AW1599" s="1684"/>
      <c r="AX1599" s="1684"/>
      <c r="AY1599" s="1684"/>
      <c r="AZ1599" s="1684"/>
      <c r="BA1599" s="1684"/>
      <c r="BB1599" s="1684"/>
      <c r="BC1599" s="1684"/>
      <c r="BD1599" s="1684"/>
      <c r="BE1599" s="1684"/>
      <c r="BF1599" s="1684"/>
      <c r="BG1599" s="1684"/>
      <c r="BH1599" s="1684"/>
      <c r="BI1599" s="1684"/>
      <c r="BJ1599" s="1684"/>
      <c r="BK1599" s="1684"/>
      <c r="BL1599" s="1684"/>
      <c r="BM1599" s="1684"/>
      <c r="BN1599" s="1684"/>
      <c r="BO1599" s="1684"/>
      <c r="BP1599" s="1684"/>
      <c r="BQ1599" s="1684"/>
      <c r="BR1599" s="1684"/>
      <c r="BS1599" s="1684"/>
      <c r="BT1599" s="1684"/>
      <c r="BU1599" s="1684"/>
      <c r="BV1599" s="1684"/>
      <c r="BW1599" s="1684"/>
      <c r="BX1599" s="1684"/>
      <c r="BY1599" s="1684"/>
      <c r="BZ1599" s="1684"/>
      <c r="CA1599" s="1684"/>
      <c r="CB1599" s="1684"/>
      <c r="CC1599" s="1684"/>
      <c r="CD1599" s="1684"/>
      <c r="CE1599" s="1684"/>
      <c r="CF1599" s="1684"/>
      <c r="CG1599" s="1684"/>
      <c r="CH1599" s="1684"/>
      <c r="CI1599" s="1684"/>
      <c r="CJ1599" s="1684"/>
      <c r="CK1599" s="1684"/>
      <c r="CL1599" s="1684"/>
      <c r="CM1599" s="1684"/>
      <c r="CN1599" s="1684"/>
      <c r="CO1599" s="1684"/>
      <c r="CP1599" s="1391"/>
      <c r="CQ1599" s="1391"/>
      <c r="CR1599" s="1391"/>
      <c r="CS1599" s="1391"/>
      <c r="CT1599" s="1391"/>
      <c r="CU1599" s="1391"/>
      <c r="CV1599" s="1391"/>
      <c r="CW1599" s="1391"/>
      <c r="CX1599" s="1391"/>
      <c r="CY1599" s="1391"/>
      <c r="CZ1599" s="1391"/>
      <c r="DA1599" s="1391"/>
      <c r="DB1599" s="1391"/>
      <c r="DC1599" s="1391"/>
      <c r="DD1599" s="1391"/>
      <c r="DE1599" s="1391"/>
      <c r="DF1599" s="1391"/>
      <c r="DG1599" s="1391"/>
      <c r="DH1599" s="1391"/>
      <c r="DI1599" s="1391"/>
    </row>
    <row r="1600" spans="1:113" ht="30.75" x14ac:dyDescent="0.25">
      <c r="A1600" s="1684"/>
      <c r="B1600" s="1726" t="s">
        <v>4887</v>
      </c>
      <c r="C1600" s="1727">
        <v>0.85</v>
      </c>
      <c r="D1600" s="1493"/>
      <c r="E1600" s="1726" t="s">
        <v>4888</v>
      </c>
      <c r="F1600" s="1727">
        <v>0.8</v>
      </c>
      <c r="G1600" s="1493"/>
      <c r="H1600" s="4634" t="s">
        <v>2472</v>
      </c>
      <c r="I1600" s="4634"/>
      <c r="J1600" s="4634"/>
      <c r="K1600" s="1391">
        <v>138</v>
      </c>
      <c r="L1600" s="1391">
        <v>132</v>
      </c>
      <c r="M1600" s="4635">
        <v>125</v>
      </c>
      <c r="N1600" s="4635"/>
      <c r="O1600" s="1493"/>
      <c r="P1600" s="1493"/>
      <c r="Q1600" s="1493"/>
      <c r="R1600" s="1493"/>
      <c r="S1600" s="1493"/>
      <c r="T1600" s="1493"/>
      <c r="U1600" s="1493"/>
      <c r="V1600" s="1493"/>
      <c r="W1600" s="1493"/>
      <c r="X1600" s="1493"/>
      <c r="Y1600" s="1493"/>
      <c r="Z1600" s="1493"/>
      <c r="AA1600" s="1493"/>
      <c r="AB1600" s="1493"/>
      <c r="AC1600" s="1493"/>
      <c r="AD1600" s="1493"/>
      <c r="AE1600" s="1493"/>
      <c r="AF1600" s="4636" t="s">
        <v>4889</v>
      </c>
      <c r="AG1600" s="4637"/>
      <c r="AH1600" s="1391">
        <v>51</v>
      </c>
      <c r="AI1600" s="1391">
        <v>41</v>
      </c>
      <c r="AJ1600" s="1391">
        <v>11</v>
      </c>
      <c r="AK1600" s="1493"/>
      <c r="AL1600" s="1684"/>
      <c r="AM1600" s="1684"/>
      <c r="AN1600" s="1684"/>
      <c r="AO1600" s="1684"/>
      <c r="AP1600" s="1684"/>
      <c r="AQ1600" s="1684"/>
      <c r="AR1600" s="1684"/>
      <c r="AS1600" s="1684"/>
      <c r="AT1600" s="1684"/>
      <c r="AU1600" s="1684"/>
      <c r="AV1600" s="1684"/>
      <c r="AW1600" s="1684"/>
      <c r="AX1600" s="1684"/>
      <c r="AY1600" s="1684"/>
      <c r="AZ1600" s="1684"/>
      <c r="BA1600" s="1684"/>
      <c r="BB1600" s="1684"/>
      <c r="BC1600" s="1684"/>
      <c r="BD1600" s="1684"/>
      <c r="BE1600" s="1684"/>
      <c r="BF1600" s="1684"/>
      <c r="BG1600" s="1684"/>
      <c r="BH1600" s="1684"/>
      <c r="BI1600" s="1684"/>
      <c r="BJ1600" s="1684"/>
      <c r="BK1600" s="1684"/>
      <c r="BL1600" s="1684"/>
      <c r="BM1600" s="1684"/>
      <c r="BN1600" s="1684"/>
      <c r="BO1600" s="1684"/>
      <c r="BP1600" s="1684"/>
      <c r="BQ1600" s="1684"/>
      <c r="BR1600" s="1684"/>
      <c r="BS1600" s="1684"/>
      <c r="BT1600" s="1684"/>
      <c r="BU1600" s="1684"/>
      <c r="BV1600" s="1684"/>
      <c r="BW1600" s="1684"/>
      <c r="BX1600" s="1684"/>
      <c r="BY1600" s="1684"/>
      <c r="BZ1600" s="1684"/>
      <c r="CA1600" s="1684"/>
      <c r="CB1600" s="1684"/>
      <c r="CC1600" s="1684"/>
      <c r="CD1600" s="1684"/>
      <c r="CE1600" s="1684"/>
      <c r="CF1600" s="1684"/>
      <c r="CG1600" s="1684"/>
      <c r="CH1600" s="1684"/>
      <c r="CI1600" s="1684"/>
      <c r="CJ1600" s="1684"/>
      <c r="CK1600" s="1684"/>
      <c r="CL1600" s="1684"/>
      <c r="CM1600" s="1684"/>
      <c r="CN1600" s="1684"/>
      <c r="CO1600" s="1684"/>
      <c r="CP1600" s="1391"/>
      <c r="CQ1600" s="1391"/>
      <c r="CR1600" s="1391"/>
      <c r="CS1600" s="1391"/>
      <c r="CT1600" s="1391"/>
      <c r="CU1600" s="1391"/>
      <c r="CV1600" s="1391"/>
      <c r="CW1600" s="1391"/>
      <c r="CX1600" s="1391"/>
      <c r="CY1600" s="1391"/>
      <c r="CZ1600" s="1391"/>
      <c r="DA1600" s="1391"/>
      <c r="DB1600" s="1391"/>
      <c r="DC1600" s="1391"/>
      <c r="DD1600" s="1391"/>
      <c r="DE1600" s="1391"/>
      <c r="DF1600" s="1391"/>
      <c r="DG1600" s="1391"/>
      <c r="DH1600" s="1391"/>
      <c r="DI1600" s="1391"/>
    </row>
    <row r="1601" spans="1:113" ht="15.75" x14ac:dyDescent="0.25">
      <c r="A1601" s="1684"/>
      <c r="B1601" s="1493"/>
      <c r="C1601" s="1493"/>
      <c r="D1601" s="1493"/>
      <c r="E1601" s="1493"/>
      <c r="F1601" s="1493"/>
      <c r="G1601" s="1493"/>
      <c r="H1601" s="1493"/>
      <c r="I1601" s="1493"/>
      <c r="J1601" s="1493"/>
      <c r="K1601" s="1493"/>
      <c r="L1601" s="1493"/>
      <c r="M1601" s="1493"/>
      <c r="N1601" s="1493"/>
      <c r="O1601" s="1493"/>
      <c r="P1601" s="1493"/>
      <c r="Q1601" s="1493"/>
      <c r="R1601" s="1493"/>
      <c r="S1601" s="1493"/>
      <c r="T1601" s="1493"/>
      <c r="U1601" s="1493"/>
      <c r="V1601" s="1493"/>
      <c r="W1601" s="1493"/>
      <c r="X1601" s="1493"/>
      <c r="Y1601" s="1493"/>
      <c r="Z1601" s="1493"/>
      <c r="AA1601" s="1493"/>
      <c r="AB1601" s="1493"/>
      <c r="AC1601" s="1493"/>
      <c r="AD1601" s="1493"/>
      <c r="AE1601" s="1493"/>
      <c r="AF1601" s="4636" t="s">
        <v>4890</v>
      </c>
      <c r="AG1601" s="4637"/>
      <c r="AH1601" s="1391">
        <v>47</v>
      </c>
      <c r="AI1601" s="1391">
        <v>37</v>
      </c>
      <c r="AJ1601" s="1391">
        <v>12</v>
      </c>
      <c r="AK1601" s="1493"/>
      <c r="AL1601" s="1684"/>
      <c r="AM1601" s="1684"/>
      <c r="AN1601" s="1684"/>
      <c r="AO1601" s="1684"/>
      <c r="AP1601" s="1684"/>
      <c r="AQ1601" s="1684"/>
      <c r="AR1601" s="1684"/>
      <c r="AS1601" s="1684"/>
      <c r="AT1601" s="1684"/>
      <c r="AU1601" s="1684"/>
      <c r="AV1601" s="1684"/>
      <c r="AW1601" s="1684"/>
      <c r="AX1601" s="1684"/>
      <c r="AY1601" s="1684"/>
      <c r="AZ1601" s="1684"/>
      <c r="BA1601" s="1684"/>
      <c r="BB1601" s="1684"/>
      <c r="BC1601" s="1684"/>
      <c r="BD1601" s="1684"/>
      <c r="BE1601" s="1684"/>
      <c r="BF1601" s="1684"/>
      <c r="BG1601" s="1684"/>
      <c r="BH1601" s="1684"/>
      <c r="BI1601" s="1684"/>
      <c r="BJ1601" s="1684"/>
      <c r="BK1601" s="1684"/>
      <c r="BL1601" s="1684"/>
      <c r="BM1601" s="1684"/>
      <c r="BN1601" s="1684"/>
      <c r="BO1601" s="1684"/>
      <c r="BP1601" s="1684"/>
      <c r="BQ1601" s="1684"/>
      <c r="BR1601" s="1684"/>
      <c r="BS1601" s="1684"/>
      <c r="BT1601" s="1684"/>
      <c r="BU1601" s="1684"/>
      <c r="BV1601" s="1684"/>
      <c r="BW1601" s="1684"/>
      <c r="BX1601" s="1684"/>
      <c r="BY1601" s="1684"/>
      <c r="BZ1601" s="1684"/>
      <c r="CA1601" s="1684"/>
      <c r="CB1601" s="1684"/>
      <c r="CC1601" s="1684"/>
      <c r="CD1601" s="1684"/>
      <c r="CE1601" s="1684"/>
      <c r="CF1601" s="1684"/>
      <c r="CG1601" s="1684"/>
      <c r="CH1601" s="1684"/>
      <c r="CI1601" s="1684"/>
      <c r="CJ1601" s="1684"/>
      <c r="CK1601" s="1684"/>
      <c r="CL1601" s="1684"/>
      <c r="CM1601" s="1684"/>
      <c r="CN1601" s="1684"/>
      <c r="CO1601" s="1684"/>
      <c r="CP1601" s="1391"/>
      <c r="CQ1601" s="1391"/>
      <c r="CR1601" s="1391"/>
      <c r="CS1601" s="1391"/>
      <c r="CT1601" s="1391"/>
      <c r="CU1601" s="1391"/>
      <c r="CV1601" s="1391"/>
      <c r="CW1601" s="1391"/>
      <c r="CX1601" s="1391"/>
      <c r="CY1601" s="1391"/>
      <c r="CZ1601" s="1391"/>
      <c r="DA1601" s="1391"/>
      <c r="DB1601" s="1391"/>
      <c r="DC1601" s="1391"/>
      <c r="DD1601" s="1391"/>
      <c r="DE1601" s="1391"/>
      <c r="DF1601" s="1391"/>
      <c r="DG1601" s="1391"/>
      <c r="DH1601" s="1391"/>
      <c r="DI1601" s="1391"/>
    </row>
    <row r="1602" spans="1:113" ht="15.75" x14ac:dyDescent="0.25">
      <c r="A1602" s="1684"/>
      <c r="B1602" s="1493"/>
      <c r="C1602" s="1493"/>
      <c r="D1602" s="1493"/>
      <c r="E1602" s="1493"/>
      <c r="F1602" s="1493"/>
      <c r="G1602" s="1493"/>
      <c r="H1602" s="1493"/>
      <c r="I1602" s="1493"/>
      <c r="J1602" s="1493"/>
      <c r="K1602" s="1493"/>
      <c r="L1602" s="1493"/>
      <c r="M1602" s="1493"/>
      <c r="N1602" s="1493"/>
      <c r="O1602" s="1493"/>
      <c r="P1602" s="1493"/>
      <c r="Q1602" s="1493"/>
      <c r="R1602" s="1493"/>
      <c r="S1602" s="1493"/>
      <c r="T1602" s="1493"/>
      <c r="U1602" s="1493"/>
      <c r="V1602" s="1493"/>
      <c r="W1602" s="1493"/>
      <c r="X1602" s="1493"/>
      <c r="Y1602" s="1493"/>
      <c r="Z1602" s="1493"/>
      <c r="AA1602" s="1493"/>
      <c r="AB1602" s="1493"/>
      <c r="AC1602" s="1493"/>
      <c r="AD1602" s="1493"/>
      <c r="AE1602" s="1493"/>
      <c r="AF1602" s="4636" t="s">
        <v>4891</v>
      </c>
      <c r="AG1602" s="4637"/>
      <c r="AH1602" s="1391">
        <v>43</v>
      </c>
      <c r="AI1602" s="1391">
        <v>34</v>
      </c>
      <c r="AJ1602" s="1391">
        <v>13</v>
      </c>
      <c r="AK1602" s="1493"/>
      <c r="AL1602" s="1684"/>
      <c r="AM1602" s="1684"/>
      <c r="AN1602" s="1684"/>
      <c r="AO1602" s="1684"/>
      <c r="AP1602" s="1684"/>
      <c r="AQ1602" s="1684"/>
      <c r="AR1602" s="1684"/>
      <c r="AS1602" s="1684"/>
      <c r="AT1602" s="1684"/>
      <c r="AU1602" s="1684"/>
      <c r="AV1602" s="1684"/>
      <c r="AW1602" s="1684"/>
      <c r="AX1602" s="1684"/>
      <c r="AY1602" s="1684"/>
      <c r="AZ1602" s="1684"/>
      <c r="BA1602" s="1684"/>
      <c r="BB1602" s="1684"/>
      <c r="BC1602" s="1684"/>
      <c r="BD1602" s="1684"/>
      <c r="BE1602" s="1684"/>
      <c r="BF1602" s="1684"/>
      <c r="BG1602" s="1684"/>
      <c r="BH1602" s="1684"/>
      <c r="BI1602" s="1684"/>
      <c r="BJ1602" s="1684"/>
      <c r="BK1602" s="1684"/>
      <c r="BL1602" s="1684"/>
      <c r="BM1602" s="1684"/>
      <c r="BN1602" s="1684"/>
      <c r="BO1602" s="1684"/>
      <c r="BP1602" s="1684"/>
      <c r="BQ1602" s="1684"/>
      <c r="BR1602" s="1684"/>
      <c r="BS1602" s="1684"/>
      <c r="BT1602" s="1684"/>
      <c r="BU1602" s="1684"/>
      <c r="BV1602" s="1684"/>
      <c r="BW1602" s="1684"/>
      <c r="BX1602" s="1684"/>
      <c r="BY1602" s="1684"/>
      <c r="BZ1602" s="1684"/>
      <c r="CA1602" s="1684"/>
      <c r="CB1602" s="1684"/>
      <c r="CC1602" s="1684"/>
      <c r="CD1602" s="1684"/>
      <c r="CE1602" s="1684"/>
      <c r="CF1602" s="1684"/>
      <c r="CG1602" s="1684"/>
      <c r="CH1602" s="1684"/>
      <c r="CI1602" s="1684"/>
      <c r="CJ1602" s="1684"/>
      <c r="CK1602" s="1684"/>
      <c r="CL1602" s="1684"/>
      <c r="CM1602" s="1684"/>
      <c r="CN1602" s="1684"/>
      <c r="CO1602" s="1684"/>
      <c r="CP1602" s="1391"/>
      <c r="CQ1602" s="1391"/>
      <c r="CR1602" s="1391"/>
      <c r="CS1602" s="1391"/>
      <c r="CT1602" s="1391"/>
      <c r="CU1602" s="1391"/>
      <c r="CV1602" s="1391"/>
      <c r="CW1602" s="1391"/>
      <c r="CX1602" s="1391"/>
      <c r="CY1602" s="1391"/>
      <c r="CZ1602" s="1391"/>
      <c r="DA1602" s="1391"/>
      <c r="DB1602" s="1391"/>
      <c r="DC1602" s="1391"/>
      <c r="DD1602" s="1391"/>
      <c r="DE1602" s="1391"/>
      <c r="DF1602" s="1391"/>
      <c r="DG1602" s="1391"/>
      <c r="DH1602" s="1391"/>
      <c r="DI1602" s="1391"/>
    </row>
    <row r="1603" spans="1:113" ht="15.75" x14ac:dyDescent="0.25">
      <c r="A1603" s="1684"/>
      <c r="B1603" s="4652" t="s">
        <v>4892</v>
      </c>
      <c r="C1603" s="4653"/>
      <c r="D1603" s="1493"/>
      <c r="E1603" s="4650" t="s">
        <v>4893</v>
      </c>
      <c r="F1603" s="4650"/>
      <c r="G1603" s="1493"/>
      <c r="H1603" s="1070"/>
      <c r="I1603" s="1070"/>
      <c r="J1603" s="1070"/>
      <c r="K1603" s="1070"/>
      <c r="L1603" s="1493"/>
      <c r="M1603" s="1493"/>
      <c r="N1603" s="1493"/>
      <c r="O1603" s="1493"/>
      <c r="P1603" s="1493"/>
      <c r="Q1603" s="1493"/>
      <c r="R1603" s="1493"/>
      <c r="S1603" s="1493"/>
      <c r="T1603" s="1493"/>
      <c r="U1603" s="1493"/>
      <c r="V1603" s="1493"/>
      <c r="W1603" s="1493"/>
      <c r="X1603" s="1493"/>
      <c r="Y1603" s="1493"/>
      <c r="Z1603" s="1493"/>
      <c r="AA1603" s="1493"/>
      <c r="AB1603" s="1493"/>
      <c r="AC1603" s="1493"/>
      <c r="AD1603" s="1493"/>
      <c r="AE1603" s="1493"/>
      <c r="AF1603" s="4636" t="s">
        <v>3354</v>
      </c>
      <c r="AG1603" s="4637"/>
      <c r="AH1603" s="1391">
        <v>39</v>
      </c>
      <c r="AI1603" s="1391">
        <v>31</v>
      </c>
      <c r="AJ1603" s="1391">
        <v>14</v>
      </c>
      <c r="AK1603" s="1493"/>
      <c r="AL1603" s="1684"/>
      <c r="AM1603" s="1684"/>
      <c r="AN1603" s="1684"/>
      <c r="AO1603" s="1684"/>
      <c r="AP1603" s="1684"/>
      <c r="AQ1603" s="1684"/>
      <c r="AR1603" s="1684"/>
      <c r="AS1603" s="1684"/>
      <c r="AT1603" s="1684"/>
      <c r="AU1603" s="1684"/>
      <c r="AV1603" s="1684"/>
      <c r="AW1603" s="1684"/>
      <c r="AX1603" s="1684"/>
      <c r="AY1603" s="1684"/>
      <c r="AZ1603" s="1684"/>
      <c r="BA1603" s="1684"/>
      <c r="BB1603" s="1684"/>
      <c r="BC1603" s="1684"/>
      <c r="BD1603" s="1684"/>
      <c r="BE1603" s="1684"/>
      <c r="BF1603" s="1684"/>
      <c r="BG1603" s="1684"/>
      <c r="BH1603" s="1684"/>
      <c r="BI1603" s="1684"/>
      <c r="BJ1603" s="1684"/>
      <c r="BK1603" s="1684"/>
      <c r="BL1603" s="1684"/>
      <c r="BM1603" s="1684"/>
      <c r="BN1603" s="1684"/>
      <c r="BO1603" s="1684"/>
      <c r="BP1603" s="1684"/>
      <c r="BQ1603" s="1684"/>
      <c r="BR1603" s="1684"/>
      <c r="BS1603" s="1684"/>
      <c r="BT1603" s="1684"/>
      <c r="BU1603" s="1684"/>
      <c r="BV1603" s="1684"/>
      <c r="BW1603" s="1684"/>
      <c r="BX1603" s="1684"/>
      <c r="BY1603" s="1684"/>
      <c r="BZ1603" s="1684"/>
      <c r="CA1603" s="1684"/>
      <c r="CB1603" s="1684"/>
      <c r="CC1603" s="1684"/>
      <c r="CD1603" s="1684"/>
      <c r="CE1603" s="1684"/>
      <c r="CF1603" s="1684"/>
      <c r="CG1603" s="1684"/>
      <c r="CH1603" s="1684"/>
      <c r="CI1603" s="1684"/>
      <c r="CJ1603" s="1684"/>
      <c r="CK1603" s="1684"/>
      <c r="CL1603" s="1684"/>
      <c r="CM1603" s="1684"/>
      <c r="CN1603" s="1684"/>
      <c r="CO1603" s="1684"/>
      <c r="CP1603" s="1391"/>
      <c r="CQ1603" s="1391"/>
      <c r="CR1603" s="1391"/>
      <c r="CS1603" s="1391"/>
      <c r="CT1603" s="1391"/>
      <c r="CU1603" s="1391"/>
      <c r="CV1603" s="1391"/>
      <c r="CW1603" s="1391"/>
      <c r="CX1603" s="1391"/>
      <c r="CY1603" s="1391"/>
      <c r="CZ1603" s="1391"/>
      <c r="DA1603" s="1391"/>
      <c r="DB1603" s="1391"/>
      <c r="DC1603" s="1391"/>
      <c r="DD1603" s="1391"/>
      <c r="DE1603" s="1391"/>
      <c r="DF1603" s="1391"/>
      <c r="DG1603" s="1391"/>
      <c r="DH1603" s="1391"/>
      <c r="DI1603" s="1391"/>
    </row>
    <row r="1604" spans="1:113" ht="30.75" x14ac:dyDescent="0.25">
      <c r="A1604" s="1684"/>
      <c r="B1604" s="1726" t="s">
        <v>3355</v>
      </c>
      <c r="C1604" s="1727">
        <v>0.85</v>
      </c>
      <c r="D1604" s="1493"/>
      <c r="E1604" s="1727" t="s">
        <v>3356</v>
      </c>
      <c r="F1604" s="1727">
        <v>0.9</v>
      </c>
      <c r="G1604" s="1493"/>
      <c r="H1604" s="4654"/>
      <c r="I1604" s="4654"/>
      <c r="J1604" s="4654"/>
      <c r="K1604" s="4654"/>
      <c r="L1604" s="1493"/>
      <c r="M1604" s="1493"/>
      <c r="N1604" s="1493"/>
      <c r="O1604" s="1493"/>
      <c r="P1604" s="1493"/>
      <c r="Q1604" s="1493"/>
      <c r="R1604" s="1493"/>
      <c r="S1604" s="1493"/>
      <c r="T1604" s="1493"/>
      <c r="U1604" s="1493"/>
      <c r="V1604" s="1493"/>
      <c r="W1604" s="1493"/>
      <c r="X1604" s="1493"/>
      <c r="Y1604" s="1493"/>
      <c r="Z1604" s="1493"/>
      <c r="AA1604" s="1493"/>
      <c r="AB1604" s="1493"/>
      <c r="AC1604" s="1493"/>
      <c r="AD1604" s="1493"/>
      <c r="AE1604" s="1493"/>
      <c r="AF1604" s="4636" t="s">
        <v>3357</v>
      </c>
      <c r="AG1604" s="4637"/>
      <c r="AH1604" s="1391">
        <v>36</v>
      </c>
      <c r="AI1604" s="1391">
        <v>28</v>
      </c>
      <c r="AJ1604" s="1391">
        <v>15</v>
      </c>
      <c r="AK1604" s="1493"/>
      <c r="AL1604" s="1684"/>
      <c r="AM1604" s="1684"/>
      <c r="AN1604" s="1684"/>
      <c r="AO1604" s="1684"/>
      <c r="AP1604" s="1684"/>
      <c r="AQ1604" s="1684"/>
      <c r="AR1604" s="1684"/>
      <c r="AS1604" s="1684"/>
      <c r="AT1604" s="1684"/>
      <c r="AU1604" s="1684"/>
      <c r="AV1604" s="1684"/>
      <c r="AW1604" s="1684"/>
      <c r="AX1604" s="1684"/>
      <c r="AY1604" s="1684"/>
      <c r="AZ1604" s="1684"/>
      <c r="BA1604" s="1684"/>
      <c r="BB1604" s="1684"/>
      <c r="BC1604" s="1684"/>
      <c r="BD1604" s="1684"/>
      <c r="BE1604" s="1684"/>
      <c r="BF1604" s="1684"/>
      <c r="BG1604" s="1684"/>
      <c r="BH1604" s="1684"/>
      <c r="BI1604" s="1684"/>
      <c r="BJ1604" s="1684"/>
      <c r="BK1604" s="1684"/>
      <c r="BL1604" s="1684"/>
      <c r="BM1604" s="1684"/>
      <c r="BN1604" s="1684"/>
      <c r="BO1604" s="1684"/>
      <c r="BP1604" s="1684"/>
      <c r="BQ1604" s="1684"/>
      <c r="BR1604" s="1684"/>
      <c r="BS1604" s="1684"/>
      <c r="BT1604" s="1684"/>
      <c r="BU1604" s="1684"/>
      <c r="BV1604" s="1684"/>
      <c r="BW1604" s="1684"/>
      <c r="BX1604" s="1684"/>
      <c r="BY1604" s="1684"/>
      <c r="BZ1604" s="1684"/>
      <c r="CA1604" s="1684"/>
      <c r="CB1604" s="1684"/>
      <c r="CC1604" s="1684"/>
      <c r="CD1604" s="1684"/>
      <c r="CE1604" s="1684"/>
      <c r="CF1604" s="1684"/>
      <c r="CG1604" s="1684"/>
      <c r="CH1604" s="1684"/>
      <c r="CI1604" s="1684"/>
      <c r="CJ1604" s="1684"/>
      <c r="CK1604" s="1684"/>
      <c r="CL1604" s="1684"/>
      <c r="CM1604" s="1684"/>
      <c r="CN1604" s="1684"/>
      <c r="CO1604" s="1684"/>
      <c r="CP1604" s="1391"/>
      <c r="CQ1604" s="1391"/>
      <c r="CR1604" s="1391"/>
      <c r="CS1604" s="1391"/>
      <c r="CT1604" s="1391"/>
      <c r="CU1604" s="1391"/>
      <c r="CV1604" s="1391"/>
      <c r="CW1604" s="1391"/>
      <c r="CX1604" s="1391"/>
      <c r="CY1604" s="1391"/>
      <c r="CZ1604" s="1391"/>
      <c r="DA1604" s="1391"/>
      <c r="DB1604" s="1391"/>
      <c r="DC1604" s="1391"/>
      <c r="DD1604" s="1391"/>
      <c r="DE1604" s="1391"/>
      <c r="DF1604" s="1391"/>
      <c r="DG1604" s="1391"/>
      <c r="DH1604" s="1391"/>
      <c r="DI1604" s="1391"/>
    </row>
    <row r="1605" spans="1:113" ht="30.75" x14ac:dyDescent="0.25">
      <c r="A1605" s="1684"/>
      <c r="B1605" s="1726" t="s">
        <v>3358</v>
      </c>
      <c r="C1605" s="1727">
        <v>0.95</v>
      </c>
      <c r="D1605" s="1493"/>
      <c r="E1605" s="1727" t="s">
        <v>3359</v>
      </c>
      <c r="F1605" s="1727">
        <v>0.85</v>
      </c>
      <c r="G1605" s="1493"/>
      <c r="H1605" s="1554"/>
      <c r="I1605" s="1554"/>
      <c r="J1605" s="1070"/>
      <c r="K1605" s="1070"/>
      <c r="L1605" s="1493"/>
      <c r="M1605" s="1493"/>
      <c r="N1605" s="1493"/>
      <c r="O1605" s="1493"/>
      <c r="P1605" s="1493"/>
      <c r="Q1605" s="1493"/>
      <c r="R1605" s="1493"/>
      <c r="S1605" s="1493"/>
      <c r="T1605" s="1493"/>
      <c r="U1605" s="1493"/>
      <c r="V1605" s="1493"/>
      <c r="W1605" s="1493"/>
      <c r="X1605" s="1493"/>
      <c r="Y1605" s="1493"/>
      <c r="Z1605" s="1493"/>
      <c r="AA1605" s="1493"/>
      <c r="AB1605" s="1493"/>
      <c r="AC1605" s="1493"/>
      <c r="AD1605" s="1493"/>
      <c r="AE1605" s="1493"/>
      <c r="AF1605" s="4636" t="s">
        <v>3360</v>
      </c>
      <c r="AG1605" s="4637"/>
      <c r="AH1605" s="1391">
        <v>33</v>
      </c>
      <c r="AI1605" s="1391">
        <v>26</v>
      </c>
      <c r="AJ1605" s="1391">
        <v>16</v>
      </c>
      <c r="AK1605" s="1493"/>
      <c r="AL1605" s="1684"/>
      <c r="AM1605" s="1684"/>
      <c r="AN1605" s="1684"/>
      <c r="AO1605" s="1684"/>
      <c r="AP1605" s="1684"/>
      <c r="AQ1605" s="1684"/>
      <c r="AR1605" s="1684"/>
      <c r="AS1605" s="1684"/>
      <c r="AT1605" s="1684"/>
      <c r="AU1605" s="1684"/>
      <c r="AV1605" s="1684"/>
      <c r="AW1605" s="1684"/>
      <c r="AX1605" s="1684"/>
      <c r="AY1605" s="1684"/>
      <c r="AZ1605" s="1684"/>
      <c r="BA1605" s="1684"/>
      <c r="BB1605" s="1684"/>
      <c r="BC1605" s="1684"/>
      <c r="BD1605" s="1684"/>
      <c r="BE1605" s="1684"/>
      <c r="BF1605" s="1684"/>
      <c r="BG1605" s="1684"/>
      <c r="BH1605" s="1684"/>
      <c r="BI1605" s="1684"/>
      <c r="BJ1605" s="1684"/>
      <c r="BK1605" s="1684"/>
      <c r="BL1605" s="1684"/>
      <c r="BM1605" s="1684"/>
      <c r="BN1605" s="1684"/>
      <c r="BO1605" s="1684"/>
      <c r="BP1605" s="1684"/>
      <c r="BQ1605" s="1684"/>
      <c r="BR1605" s="1684"/>
      <c r="BS1605" s="1684"/>
      <c r="BT1605" s="1684"/>
      <c r="BU1605" s="1684"/>
      <c r="BV1605" s="1684"/>
      <c r="BW1605" s="1684"/>
      <c r="BX1605" s="1684"/>
      <c r="BY1605" s="1684"/>
      <c r="BZ1605" s="1684"/>
      <c r="CA1605" s="1684"/>
      <c r="CB1605" s="1684"/>
      <c r="CC1605" s="1684"/>
      <c r="CD1605" s="1684"/>
      <c r="CE1605" s="1684"/>
      <c r="CF1605" s="1684"/>
      <c r="CG1605" s="1684"/>
      <c r="CH1605" s="1684"/>
      <c r="CI1605" s="1684"/>
      <c r="CJ1605" s="1684"/>
      <c r="CK1605" s="1684"/>
      <c r="CL1605" s="1684"/>
      <c r="CM1605" s="1684"/>
      <c r="CN1605" s="1684"/>
      <c r="CO1605" s="1684"/>
      <c r="CP1605" s="1391"/>
      <c r="CQ1605" s="1391"/>
      <c r="CR1605" s="1391"/>
      <c r="CS1605" s="1391"/>
      <c r="CT1605" s="1391"/>
      <c r="CU1605" s="1391"/>
      <c r="CV1605" s="1391"/>
      <c r="CW1605" s="1391"/>
      <c r="CX1605" s="1391"/>
      <c r="CY1605" s="1391"/>
      <c r="CZ1605" s="1391"/>
      <c r="DA1605" s="1391"/>
      <c r="DB1605" s="1391"/>
      <c r="DC1605" s="1391"/>
      <c r="DD1605" s="1391"/>
      <c r="DE1605" s="1391"/>
      <c r="DF1605" s="1391"/>
      <c r="DG1605" s="1391"/>
      <c r="DH1605" s="1391"/>
      <c r="DI1605" s="1391"/>
    </row>
    <row r="1606" spans="1:113" ht="15.75" x14ac:dyDescent="0.25">
      <c r="A1606" s="1684"/>
      <c r="B1606" s="1493"/>
      <c r="C1606" s="1493"/>
      <c r="D1606" s="1493"/>
      <c r="E1606" s="1727" t="s">
        <v>3361</v>
      </c>
      <c r="F1606" s="1727">
        <v>0.8</v>
      </c>
      <c r="G1606" s="1493"/>
      <c r="H1606" s="1554"/>
      <c r="I1606" s="1070"/>
      <c r="J1606" s="1070"/>
      <c r="K1606" s="1070"/>
      <c r="L1606" s="1493"/>
      <c r="M1606" s="1493"/>
      <c r="N1606" s="1493"/>
      <c r="O1606" s="1493"/>
      <c r="P1606" s="1493"/>
      <c r="Q1606" s="1493"/>
      <c r="R1606" s="1493"/>
      <c r="S1606" s="1493"/>
      <c r="T1606" s="1493"/>
      <c r="U1606" s="1493"/>
      <c r="V1606" s="1493"/>
      <c r="W1606" s="1493"/>
      <c r="X1606" s="1493"/>
      <c r="Y1606" s="1493"/>
      <c r="Z1606" s="1493"/>
      <c r="AA1606" s="1493"/>
      <c r="AB1606" s="1493"/>
      <c r="AC1606" s="1493"/>
      <c r="AD1606" s="1493"/>
      <c r="AE1606" s="1493"/>
      <c r="AF1606" s="4636" t="s">
        <v>3362</v>
      </c>
      <c r="AG1606" s="4637"/>
      <c r="AH1606" s="1391">
        <v>31</v>
      </c>
      <c r="AI1606" s="1391">
        <v>25</v>
      </c>
      <c r="AJ1606" s="1391">
        <v>17</v>
      </c>
      <c r="AK1606" s="1493"/>
      <c r="AL1606" s="1684"/>
      <c r="AM1606" s="1684"/>
      <c r="AN1606" s="1684"/>
      <c r="AO1606" s="1684"/>
      <c r="AP1606" s="1684"/>
      <c r="AQ1606" s="1684"/>
      <c r="AR1606" s="1684"/>
      <c r="AS1606" s="1684"/>
      <c r="AT1606" s="1684"/>
      <c r="AU1606" s="1684"/>
      <c r="AV1606" s="1684"/>
      <c r="AW1606" s="1684"/>
      <c r="AX1606" s="1684"/>
      <c r="AY1606" s="1684"/>
      <c r="AZ1606" s="1684"/>
      <c r="BA1606" s="1684"/>
      <c r="BB1606" s="1684"/>
      <c r="BC1606" s="1684"/>
      <c r="BD1606" s="1684"/>
      <c r="BE1606" s="1684"/>
      <c r="BF1606" s="1684"/>
      <c r="BG1606" s="1684"/>
      <c r="BH1606" s="1684"/>
      <c r="BI1606" s="1684"/>
      <c r="BJ1606" s="1684"/>
      <c r="BK1606" s="1684"/>
      <c r="BL1606" s="1684"/>
      <c r="BM1606" s="1684"/>
      <c r="BN1606" s="1684"/>
      <c r="BO1606" s="1684"/>
      <c r="BP1606" s="1684"/>
      <c r="BQ1606" s="1684"/>
      <c r="BR1606" s="1684"/>
      <c r="BS1606" s="1684"/>
      <c r="BT1606" s="1684"/>
      <c r="BU1606" s="1684"/>
      <c r="BV1606" s="1684"/>
      <c r="BW1606" s="1684"/>
      <c r="BX1606" s="1684"/>
      <c r="BY1606" s="1684"/>
      <c r="BZ1606" s="1684"/>
      <c r="CA1606" s="1684"/>
      <c r="CB1606" s="1684"/>
      <c r="CC1606" s="1684"/>
      <c r="CD1606" s="1684"/>
      <c r="CE1606" s="1684"/>
      <c r="CF1606" s="1684"/>
      <c r="CG1606" s="1684"/>
      <c r="CH1606" s="1684"/>
      <c r="CI1606" s="1684"/>
      <c r="CJ1606" s="1684"/>
      <c r="CK1606" s="1684"/>
      <c r="CL1606" s="1684"/>
      <c r="CM1606" s="1684"/>
      <c r="CN1606" s="1684"/>
      <c r="CO1606" s="1684"/>
      <c r="CP1606" s="1391"/>
      <c r="CQ1606" s="1391"/>
      <c r="CR1606" s="1391"/>
      <c r="CS1606" s="1391"/>
      <c r="CT1606" s="1391"/>
      <c r="CU1606" s="1391"/>
      <c r="CV1606" s="1391"/>
      <c r="CW1606" s="1391"/>
      <c r="CX1606" s="1391"/>
      <c r="CY1606" s="1391"/>
      <c r="CZ1606" s="1391"/>
      <c r="DA1606" s="1391"/>
      <c r="DB1606" s="1391"/>
      <c r="DC1606" s="1391"/>
      <c r="DD1606" s="1391"/>
      <c r="DE1606" s="1391"/>
      <c r="DF1606" s="1391"/>
      <c r="DG1606" s="1391"/>
      <c r="DH1606" s="1391"/>
      <c r="DI1606" s="1391"/>
    </row>
    <row r="1607" spans="1:113" ht="15.75" x14ac:dyDescent="0.25">
      <c r="A1607" s="1684"/>
      <c r="B1607" s="1493"/>
      <c r="C1607" s="1493"/>
      <c r="D1607" s="1493"/>
      <c r="E1607" s="1493"/>
      <c r="F1607" s="1493"/>
      <c r="G1607" s="1493"/>
      <c r="H1607" s="1554"/>
      <c r="I1607" s="1070"/>
      <c r="J1607" s="1070"/>
      <c r="K1607" s="1070"/>
      <c r="L1607" s="1493"/>
      <c r="M1607" s="1493"/>
      <c r="N1607" s="1493"/>
      <c r="O1607" s="1493"/>
      <c r="P1607" s="1493"/>
      <c r="Q1607" s="1493"/>
      <c r="R1607" s="1493"/>
      <c r="S1607" s="1493"/>
      <c r="T1607" s="1493"/>
      <c r="U1607" s="1493"/>
      <c r="V1607" s="1493"/>
      <c r="W1607" s="1493"/>
      <c r="X1607" s="1493"/>
      <c r="Y1607" s="1493"/>
      <c r="Z1607" s="1493"/>
      <c r="AA1607" s="1493"/>
      <c r="AB1607" s="1493"/>
      <c r="AC1607" s="1493"/>
      <c r="AD1607" s="1493"/>
      <c r="AE1607" s="1493"/>
      <c r="AF1607" s="4636" t="s">
        <v>3363</v>
      </c>
      <c r="AG1607" s="4637"/>
      <c r="AH1607" s="1391">
        <v>30</v>
      </c>
      <c r="AI1607" s="1391">
        <v>23</v>
      </c>
      <c r="AJ1607" s="1391">
        <v>18</v>
      </c>
      <c r="AK1607" s="1493"/>
      <c r="AL1607" s="1684"/>
      <c r="AM1607" s="1684"/>
      <c r="AN1607" s="1684"/>
      <c r="AO1607" s="1684"/>
      <c r="AP1607" s="1684"/>
      <c r="AQ1607" s="1684"/>
      <c r="AR1607" s="1684"/>
      <c r="AS1607" s="1684"/>
      <c r="AT1607" s="1684"/>
      <c r="AU1607" s="1684"/>
      <c r="AV1607" s="1684"/>
      <c r="AW1607" s="1684"/>
      <c r="AX1607" s="1684"/>
      <c r="AY1607" s="1684"/>
      <c r="AZ1607" s="1684"/>
      <c r="BA1607" s="1684"/>
      <c r="BB1607" s="1684"/>
      <c r="BC1607" s="1684"/>
      <c r="BD1607" s="1684"/>
      <c r="BE1607" s="1684"/>
      <c r="BF1607" s="1684"/>
      <c r="BG1607" s="1684"/>
      <c r="BH1607" s="1684"/>
      <c r="BI1607" s="1684"/>
      <c r="BJ1607" s="1684"/>
      <c r="BK1607" s="1684"/>
      <c r="BL1607" s="1684"/>
      <c r="BM1607" s="1684"/>
      <c r="BN1607" s="1684"/>
      <c r="BO1607" s="1684"/>
      <c r="BP1607" s="1684"/>
      <c r="BQ1607" s="1684"/>
      <c r="BR1607" s="1684"/>
      <c r="BS1607" s="1684"/>
      <c r="BT1607" s="1684"/>
      <c r="BU1607" s="1684"/>
      <c r="BV1607" s="1684"/>
      <c r="BW1607" s="1684"/>
      <c r="BX1607" s="1684"/>
      <c r="BY1607" s="1684"/>
      <c r="BZ1607" s="1684"/>
      <c r="CA1607" s="1684"/>
      <c r="CB1607" s="1684"/>
      <c r="CC1607" s="1684"/>
      <c r="CD1607" s="1684"/>
      <c r="CE1607" s="1684"/>
      <c r="CF1607" s="1684"/>
      <c r="CG1607" s="1684"/>
      <c r="CH1607" s="1684"/>
      <c r="CI1607" s="1684"/>
      <c r="CJ1607" s="1684"/>
      <c r="CK1607" s="1684"/>
      <c r="CL1607" s="1684"/>
      <c r="CM1607" s="1684"/>
      <c r="CN1607" s="1684"/>
      <c r="CO1607" s="1684"/>
      <c r="CP1607" s="1391"/>
      <c r="CQ1607" s="1391"/>
      <c r="CR1607" s="1391"/>
      <c r="CS1607" s="1391"/>
      <c r="CT1607" s="1391"/>
      <c r="CU1607" s="1391"/>
      <c r="CV1607" s="1391"/>
      <c r="CW1607" s="1391"/>
      <c r="CX1607" s="1391"/>
      <c r="CY1607" s="1391"/>
      <c r="CZ1607" s="1391"/>
      <c r="DA1607" s="1391"/>
      <c r="DB1607" s="1391"/>
      <c r="DC1607" s="1391"/>
      <c r="DD1607" s="1391"/>
      <c r="DE1607" s="1391"/>
      <c r="DF1607" s="1391"/>
      <c r="DG1607" s="1391"/>
      <c r="DH1607" s="1391"/>
      <c r="DI1607" s="1391"/>
    </row>
    <row r="1608" spans="1:113" ht="15.75" x14ac:dyDescent="0.25">
      <c r="A1608" s="1684"/>
      <c r="B1608" s="1493"/>
      <c r="C1608" s="1493"/>
      <c r="D1608" s="1493"/>
      <c r="E1608" s="1493"/>
      <c r="F1608" s="1493"/>
      <c r="G1608" s="1493"/>
      <c r="H1608" s="1554"/>
      <c r="I1608" s="1070"/>
      <c r="J1608" s="1070"/>
      <c r="K1608" s="1070"/>
      <c r="L1608" s="1493"/>
      <c r="M1608" s="1493"/>
      <c r="N1608" s="1493"/>
      <c r="O1608" s="1493"/>
      <c r="P1608" s="1493"/>
      <c r="Q1608" s="1493"/>
      <c r="R1608" s="1493"/>
      <c r="S1608" s="1493"/>
      <c r="T1608" s="1493"/>
      <c r="U1608" s="1493"/>
      <c r="V1608" s="1493"/>
      <c r="W1608" s="1493"/>
      <c r="X1608" s="1493"/>
      <c r="Y1608" s="1493"/>
      <c r="Z1608" s="1493"/>
      <c r="AA1608" s="1493"/>
      <c r="AB1608" s="1493"/>
      <c r="AC1608" s="1493"/>
      <c r="AD1608" s="1493"/>
      <c r="AE1608" s="1493"/>
      <c r="AF1608" s="4635" t="s">
        <v>3364</v>
      </c>
      <c r="AG1608" s="4635"/>
      <c r="AH1608" s="1391">
        <v>28</v>
      </c>
      <c r="AI1608" s="1391">
        <v>22</v>
      </c>
      <c r="AJ1608" s="1391">
        <v>19</v>
      </c>
      <c r="AK1608" s="1493"/>
      <c r="AL1608" s="1684"/>
      <c r="AM1608" s="1684"/>
      <c r="AN1608" s="1684"/>
      <c r="AO1608" s="1684"/>
      <c r="AP1608" s="1684"/>
      <c r="AQ1608" s="1684"/>
      <c r="AR1608" s="1684"/>
      <c r="AS1608" s="1684"/>
      <c r="AT1608" s="1684"/>
      <c r="AU1608" s="1684"/>
      <c r="AV1608" s="1684"/>
      <c r="AW1608" s="1684"/>
      <c r="AX1608" s="1684"/>
      <c r="AY1608" s="1684"/>
      <c r="AZ1608" s="1684"/>
      <c r="BA1608" s="1684"/>
      <c r="BB1608" s="1684"/>
      <c r="BC1608" s="1684"/>
      <c r="BD1608" s="1684"/>
      <c r="BE1608" s="1684"/>
      <c r="BF1608" s="1684"/>
      <c r="BG1608" s="1684"/>
      <c r="BH1608" s="1684"/>
      <c r="BI1608" s="1684"/>
      <c r="BJ1608" s="1684"/>
      <c r="BK1608" s="1684"/>
      <c r="BL1608" s="1684"/>
      <c r="BM1608" s="1684"/>
      <c r="BN1608" s="1684"/>
      <c r="BO1608" s="1684"/>
      <c r="BP1608" s="1684"/>
      <c r="BQ1608" s="1684"/>
      <c r="BR1608" s="1684"/>
      <c r="BS1608" s="1684"/>
      <c r="BT1608" s="1684"/>
      <c r="BU1608" s="1684"/>
      <c r="BV1608" s="1684"/>
      <c r="BW1608" s="1684"/>
      <c r="BX1608" s="1684"/>
      <c r="BY1608" s="1684"/>
      <c r="BZ1608" s="1684"/>
      <c r="CA1608" s="1684"/>
      <c r="CB1608" s="1684"/>
      <c r="CC1608" s="1684"/>
      <c r="CD1608" s="1684"/>
      <c r="CE1608" s="1684"/>
      <c r="CF1608" s="1684"/>
      <c r="CG1608" s="1684"/>
      <c r="CH1608" s="1684"/>
      <c r="CI1608" s="1684"/>
      <c r="CJ1608" s="1684"/>
      <c r="CK1608" s="1684"/>
      <c r="CL1608" s="1684"/>
      <c r="CM1608" s="1684"/>
      <c r="CN1608" s="1684"/>
      <c r="CO1608" s="1684"/>
      <c r="CP1608" s="1391"/>
      <c r="CQ1608" s="1391"/>
      <c r="CR1608" s="1391"/>
      <c r="CS1608" s="1391"/>
      <c r="CT1608" s="1391"/>
      <c r="CU1608" s="1391"/>
      <c r="CV1608" s="1391"/>
      <c r="CW1608" s="1391"/>
      <c r="CX1608" s="1391"/>
      <c r="CY1608" s="1391"/>
      <c r="CZ1608" s="1391"/>
      <c r="DA1608" s="1391"/>
      <c r="DB1608" s="1391"/>
      <c r="DC1608" s="1391"/>
      <c r="DD1608" s="1391"/>
      <c r="DE1608" s="1391"/>
      <c r="DF1608" s="1391"/>
      <c r="DG1608" s="1391"/>
      <c r="DH1608" s="1391"/>
      <c r="DI1608" s="1391"/>
    </row>
    <row r="1609" spans="1:113" ht="15.75" x14ac:dyDescent="0.25">
      <c r="A1609" s="1417" t="s">
        <v>2917</v>
      </c>
      <c r="B1609" s="1391"/>
      <c r="C1609" s="1391"/>
      <c r="D1609" s="1391"/>
      <c r="E1609" s="1417"/>
      <c r="F1609" s="1684"/>
      <c r="G1609" s="1684"/>
      <c r="H1609" s="1684"/>
      <c r="I1609" s="1684"/>
      <c r="J1609" s="1684"/>
      <c r="K1609" s="1684"/>
      <c r="L1609" s="1684"/>
      <c r="M1609" s="1684"/>
      <c r="N1609" s="1684"/>
      <c r="O1609" s="1684"/>
      <c r="P1609" s="1684"/>
      <c r="Q1609" s="1684"/>
      <c r="R1609" s="1684"/>
      <c r="S1609" s="1684"/>
      <c r="T1609" s="1684"/>
      <c r="U1609" s="1684"/>
      <c r="V1609" s="1684"/>
      <c r="W1609" s="1684"/>
      <c r="X1609" s="1684"/>
      <c r="Y1609" s="1684"/>
      <c r="Z1609" s="1684"/>
      <c r="AA1609" s="1684"/>
      <c r="AB1609" s="1684"/>
      <c r="AC1609" s="1684"/>
      <c r="AD1609" s="1684"/>
      <c r="AE1609" s="1684"/>
      <c r="AF1609" s="1684"/>
      <c r="AG1609" s="1684"/>
      <c r="AH1609" s="1684"/>
      <c r="AI1609" s="1684"/>
      <c r="AJ1609" s="1684"/>
      <c r="AK1609" s="1684"/>
      <c r="AL1609" s="1684"/>
      <c r="AM1609" s="1684"/>
      <c r="AN1609" s="1684"/>
      <c r="AO1609" s="1684"/>
      <c r="AP1609" s="1684"/>
      <c r="AQ1609" s="1684"/>
      <c r="AR1609" s="1684"/>
      <c r="AS1609" s="1684"/>
      <c r="AT1609" s="1684"/>
      <c r="AU1609" s="1684"/>
      <c r="AV1609" s="1684"/>
      <c r="AW1609" s="1684"/>
      <c r="AX1609" s="1684"/>
      <c r="AY1609" s="1684"/>
      <c r="AZ1609" s="1684"/>
      <c r="BA1609" s="1684"/>
      <c r="BB1609" s="1684"/>
      <c r="BC1609" s="1684"/>
      <c r="BD1609" s="1684"/>
      <c r="BE1609" s="1684"/>
      <c r="BF1609" s="1684"/>
      <c r="BG1609" s="1684"/>
      <c r="BH1609" s="1684"/>
      <c r="BI1609" s="1684"/>
      <c r="BJ1609" s="1684"/>
      <c r="BK1609" s="1684"/>
      <c r="BL1609" s="1684"/>
      <c r="BM1609" s="1684"/>
      <c r="BN1609" s="1684"/>
      <c r="BO1609" s="1684"/>
      <c r="BP1609" s="1684"/>
      <c r="BQ1609" s="1684"/>
      <c r="BR1609" s="1684"/>
      <c r="BS1609" s="1684"/>
      <c r="BT1609" s="1684"/>
      <c r="BU1609" s="1684"/>
      <c r="BV1609" s="1684"/>
      <c r="BW1609" s="1684"/>
      <c r="BX1609" s="1684"/>
      <c r="BY1609" s="1684"/>
      <c r="BZ1609" s="1684"/>
      <c r="CA1609" s="1684"/>
      <c r="CB1609" s="1684"/>
      <c r="CC1609" s="1684"/>
      <c r="CD1609" s="1684"/>
      <c r="CE1609" s="1684"/>
      <c r="CF1609" s="1684"/>
      <c r="CG1609" s="1684"/>
      <c r="CH1609" s="1684"/>
      <c r="CI1609" s="1684"/>
      <c r="CJ1609" s="1684"/>
      <c r="CK1609" s="1684"/>
      <c r="CL1609" s="1684"/>
      <c r="CM1609" s="1684"/>
      <c r="CN1609" s="1684"/>
      <c r="CO1609" s="1684"/>
      <c r="CP1609" s="1391"/>
      <c r="CQ1609" s="1391"/>
      <c r="CR1609" s="1391"/>
      <c r="CS1609" s="1391"/>
      <c r="CT1609" s="1391"/>
      <c r="CU1609" s="1391"/>
      <c r="CV1609" s="1391"/>
      <c r="CW1609" s="1391"/>
      <c r="CX1609" s="1391"/>
      <c r="CY1609" s="1391"/>
      <c r="CZ1609" s="1391"/>
      <c r="DA1609" s="1391"/>
      <c r="DB1609" s="1391"/>
      <c r="DC1609" s="1391"/>
      <c r="DD1609" s="1391"/>
      <c r="DE1609" s="1391"/>
      <c r="DF1609" s="1391"/>
      <c r="DG1609" s="1391"/>
      <c r="DH1609" s="1391"/>
      <c r="DI1609" s="1391"/>
    </row>
    <row r="1610" spans="1:113" ht="15.75" x14ac:dyDescent="0.25">
      <c r="A1610" s="1417"/>
      <c r="B1610" s="1417">
        <v>0.5</v>
      </c>
      <c r="C1610" s="1417">
        <v>18</v>
      </c>
      <c r="D1610" s="1391"/>
      <c r="E1610" s="1417"/>
      <c r="F1610" s="1684"/>
      <c r="G1610" s="1684"/>
      <c r="H1610" s="1684"/>
      <c r="I1610" s="1684"/>
      <c r="J1610" s="1684"/>
      <c r="K1610" s="1684"/>
      <c r="L1610" s="1684"/>
      <c r="M1610" s="1684"/>
      <c r="N1610" s="1684"/>
      <c r="O1610" s="1684"/>
      <c r="P1610" s="1684"/>
      <c r="Q1610" s="1684"/>
      <c r="R1610" s="1684"/>
      <c r="S1610" s="1684"/>
      <c r="T1610" s="1684"/>
      <c r="U1610" s="1684"/>
      <c r="V1610" s="1684"/>
      <c r="W1610" s="1684"/>
      <c r="X1610" s="1684"/>
      <c r="Y1610" s="1684"/>
      <c r="Z1610" s="1684"/>
      <c r="AA1610" s="1684"/>
      <c r="AB1610" s="1684"/>
      <c r="AC1610" s="1684"/>
      <c r="AD1610" s="1684"/>
      <c r="AE1610" s="1684"/>
      <c r="AF1610" s="1684"/>
      <c r="AG1610" s="1684"/>
      <c r="AH1610" s="1684"/>
      <c r="AI1610" s="1684"/>
      <c r="AJ1610" s="1684"/>
      <c r="AK1610" s="1684"/>
      <c r="AL1610" s="1684"/>
      <c r="AM1610" s="1684"/>
      <c r="AN1610" s="1684"/>
      <c r="AO1610" s="1684"/>
      <c r="AP1610" s="1684"/>
      <c r="AQ1610" s="1684"/>
      <c r="AR1610" s="1684"/>
      <c r="AS1610" s="1684"/>
      <c r="AT1610" s="1684"/>
      <c r="AU1610" s="1684"/>
      <c r="AV1610" s="1684"/>
      <c r="AW1610" s="1684"/>
      <c r="AX1610" s="1684"/>
      <c r="AY1610" s="1684"/>
      <c r="AZ1610" s="1684"/>
      <c r="BA1610" s="1684"/>
      <c r="BB1610" s="1684"/>
      <c r="BC1610" s="1684"/>
      <c r="BD1610" s="1684"/>
      <c r="BE1610" s="1684"/>
      <c r="BF1610" s="1684"/>
      <c r="BG1610" s="1684"/>
      <c r="BH1610" s="1684"/>
      <c r="BI1610" s="1684"/>
      <c r="BJ1610" s="1684"/>
      <c r="BK1610" s="1684"/>
      <c r="BL1610" s="1684"/>
      <c r="BM1610" s="1684"/>
      <c r="BN1610" s="1684"/>
      <c r="BO1610" s="1684"/>
      <c r="BP1610" s="1684"/>
      <c r="BQ1610" s="1684"/>
      <c r="BR1610" s="1684"/>
      <c r="BS1610" s="1684"/>
      <c r="BT1610" s="1684"/>
      <c r="BU1610" s="1684"/>
      <c r="BV1610" s="1684"/>
      <c r="BW1610" s="1684"/>
      <c r="BX1610" s="1684"/>
      <c r="BY1610" s="1684"/>
      <c r="BZ1610" s="1684"/>
      <c r="CA1610" s="1684"/>
      <c r="CB1610" s="1684"/>
      <c r="CC1610" s="1684"/>
      <c r="CD1610" s="1684"/>
      <c r="CE1610" s="1684"/>
      <c r="CF1610" s="1684"/>
      <c r="CG1610" s="1684"/>
      <c r="CH1610" s="1684"/>
      <c r="CI1610" s="1684"/>
      <c r="CJ1610" s="1684"/>
      <c r="CK1610" s="1684"/>
      <c r="CL1610" s="1684"/>
      <c r="CM1610" s="1684"/>
      <c r="CN1610" s="1684"/>
      <c r="CO1610" s="1684"/>
      <c r="CP1610" s="1391"/>
      <c r="CQ1610" s="1391"/>
      <c r="CR1610" s="1391"/>
      <c r="CS1610" s="1391"/>
      <c r="CT1610" s="1391"/>
      <c r="CU1610" s="1391"/>
      <c r="CV1610" s="1391"/>
      <c r="CW1610" s="1391"/>
      <c r="CX1610" s="1391"/>
      <c r="CY1610" s="1391"/>
      <c r="CZ1610" s="1391"/>
      <c r="DA1610" s="1391"/>
      <c r="DB1610" s="1391"/>
      <c r="DC1610" s="1391"/>
      <c r="DD1610" s="1391"/>
      <c r="DE1610" s="1391"/>
      <c r="DF1610" s="1391"/>
      <c r="DG1610" s="1391"/>
      <c r="DH1610" s="1391"/>
      <c r="DI1610" s="1391"/>
    </row>
    <row r="1611" spans="1:113" ht="15.75" x14ac:dyDescent="0.25">
      <c r="A1611" s="1417"/>
      <c r="B1611" s="1417">
        <v>0.65</v>
      </c>
      <c r="C1611" s="1417">
        <v>18</v>
      </c>
      <c r="D1611" s="1391"/>
      <c r="E1611" s="1417"/>
      <c r="F1611" s="1684"/>
      <c r="G1611" s="1684"/>
      <c r="H1611" s="1684"/>
      <c r="I1611" s="1684"/>
      <c r="J1611" s="1684"/>
      <c r="K1611" s="1684"/>
      <c r="L1611" s="1684"/>
      <c r="M1611" s="1684"/>
      <c r="N1611" s="1684"/>
      <c r="O1611" s="1684"/>
      <c r="P1611" s="1684"/>
      <c r="Q1611" s="1684"/>
      <c r="R1611" s="1684"/>
      <c r="S1611" s="1684"/>
      <c r="T1611" s="1684"/>
      <c r="U1611" s="1684"/>
      <c r="V1611" s="1684"/>
      <c r="W1611" s="1684"/>
      <c r="X1611" s="1684"/>
      <c r="Y1611" s="1684"/>
      <c r="Z1611" s="1684"/>
      <c r="AA1611" s="1684"/>
      <c r="AB1611" s="1684"/>
      <c r="AC1611" s="1684"/>
      <c r="AD1611" s="1684"/>
      <c r="AE1611" s="1684"/>
      <c r="AF1611" s="1684"/>
      <c r="AG1611" s="1684"/>
      <c r="AH1611" s="1684"/>
      <c r="AI1611" s="1684"/>
      <c r="AJ1611" s="1684"/>
      <c r="AK1611" s="1684"/>
      <c r="AL1611" s="1684"/>
      <c r="AM1611" s="1684"/>
      <c r="AN1611" s="1684"/>
      <c r="AO1611" s="1684"/>
      <c r="AP1611" s="1684"/>
      <c r="AQ1611" s="1684"/>
      <c r="AR1611" s="1684"/>
      <c r="AS1611" s="1684"/>
      <c r="AT1611" s="1684"/>
      <c r="AU1611" s="1684"/>
      <c r="AV1611" s="1684"/>
      <c r="AW1611" s="1684"/>
      <c r="AX1611" s="1684"/>
      <c r="AY1611" s="1684"/>
      <c r="AZ1611" s="1684"/>
      <c r="BA1611" s="1684"/>
      <c r="BB1611" s="1684"/>
      <c r="BC1611" s="1684"/>
      <c r="BD1611" s="1684"/>
      <c r="BE1611" s="1684"/>
      <c r="BF1611" s="1684"/>
      <c r="BG1611" s="1684"/>
      <c r="BH1611" s="1684"/>
      <c r="BI1611" s="1684"/>
      <c r="BJ1611" s="1684"/>
      <c r="BK1611" s="1684"/>
      <c r="BL1611" s="1684"/>
      <c r="BM1611" s="1684"/>
      <c r="BN1611" s="1684"/>
      <c r="BO1611" s="1684"/>
      <c r="BP1611" s="1684"/>
      <c r="BQ1611" s="1684"/>
      <c r="BR1611" s="1684"/>
      <c r="BS1611" s="1684"/>
      <c r="BT1611" s="1684"/>
      <c r="BU1611" s="1684"/>
      <c r="BV1611" s="1684"/>
      <c r="BW1611" s="1684"/>
      <c r="BX1611" s="1684"/>
      <c r="BY1611" s="1684"/>
      <c r="BZ1611" s="1684"/>
      <c r="CA1611" s="1684"/>
      <c r="CB1611" s="1684"/>
      <c r="CC1611" s="1684"/>
      <c r="CD1611" s="1684"/>
      <c r="CE1611" s="1684"/>
      <c r="CF1611" s="1684"/>
      <c r="CG1611" s="1684"/>
      <c r="CH1611" s="1684"/>
      <c r="CI1611" s="1684"/>
      <c r="CJ1611" s="1684"/>
      <c r="CK1611" s="1684"/>
      <c r="CL1611" s="1684"/>
      <c r="CM1611" s="1684"/>
      <c r="CN1611" s="1684"/>
      <c r="CO1611" s="1684"/>
      <c r="CP1611" s="1391"/>
      <c r="CQ1611" s="1391"/>
      <c r="CR1611" s="1391"/>
      <c r="CS1611" s="1391"/>
      <c r="CT1611" s="1391"/>
      <c r="CU1611" s="1391"/>
      <c r="CV1611" s="1391"/>
      <c r="CW1611" s="1391"/>
      <c r="CX1611" s="1391"/>
      <c r="CY1611" s="1391"/>
      <c r="CZ1611" s="1391"/>
      <c r="DA1611" s="1391"/>
      <c r="DB1611" s="1391"/>
      <c r="DC1611" s="1391"/>
      <c r="DD1611" s="1391"/>
      <c r="DE1611" s="1391"/>
      <c r="DF1611" s="1391"/>
      <c r="DG1611" s="1391"/>
      <c r="DH1611" s="1391"/>
      <c r="DI1611" s="1391"/>
    </row>
    <row r="1612" spans="1:113" ht="15.75" x14ac:dyDescent="0.25">
      <c r="A1612" s="1417"/>
      <c r="B1612" s="1417">
        <v>0.56000000000000005</v>
      </c>
      <c r="C1612" s="1417">
        <v>20</v>
      </c>
      <c r="D1612" s="1391"/>
      <c r="E1612" s="1417"/>
      <c r="F1612" s="1684"/>
      <c r="G1612" s="1684"/>
      <c r="H1612" s="1684"/>
      <c r="I1612" s="1684"/>
      <c r="J1612" s="1684"/>
      <c r="K1612" s="1684"/>
      <c r="L1612" s="1684"/>
      <c r="M1612" s="1684"/>
      <c r="N1612" s="1684"/>
      <c r="O1612" s="1684"/>
      <c r="P1612" s="1684"/>
      <c r="Q1612" s="1684"/>
      <c r="R1612" s="1684"/>
      <c r="S1612" s="1684"/>
      <c r="T1612" s="1684"/>
      <c r="U1612" s="1684"/>
      <c r="V1612" s="1684"/>
      <c r="W1612" s="1684"/>
      <c r="X1612" s="1684"/>
      <c r="Y1612" s="1684"/>
      <c r="Z1612" s="1684"/>
      <c r="AA1612" s="1684"/>
      <c r="AB1612" s="1684"/>
      <c r="AC1612" s="1684"/>
      <c r="AD1612" s="1684"/>
      <c r="AE1612" s="1684"/>
      <c r="AF1612" s="1684"/>
      <c r="AG1612" s="1684"/>
      <c r="AH1612" s="1684"/>
      <c r="AI1612" s="1684"/>
      <c r="AJ1612" s="1684"/>
      <c r="AK1612" s="1684"/>
      <c r="AL1612" s="1684"/>
      <c r="AM1612" s="1684"/>
      <c r="AN1612" s="1684"/>
      <c r="AO1612" s="1684"/>
      <c r="AP1612" s="1684"/>
      <c r="AQ1612" s="1684"/>
      <c r="AR1612" s="1684"/>
      <c r="AS1612" s="1684"/>
      <c r="AT1612" s="1684"/>
      <c r="AU1612" s="1684"/>
      <c r="AV1612" s="1684"/>
      <c r="AW1612" s="1684"/>
      <c r="AX1612" s="1684"/>
      <c r="AY1612" s="1684"/>
      <c r="AZ1612" s="1684"/>
      <c r="BA1612" s="1684"/>
      <c r="BB1612" s="1684"/>
      <c r="BC1612" s="1684"/>
      <c r="BD1612" s="1684"/>
      <c r="BE1612" s="1684"/>
      <c r="BF1612" s="1684"/>
      <c r="BG1612" s="1684"/>
      <c r="BH1612" s="1684"/>
      <c r="BI1612" s="1684"/>
      <c r="BJ1612" s="1684"/>
      <c r="BK1612" s="1684"/>
      <c r="BL1612" s="1684"/>
      <c r="BM1612" s="1684"/>
      <c r="BN1612" s="1684"/>
      <c r="BO1612" s="1684"/>
      <c r="BP1612" s="1684"/>
      <c r="BQ1612" s="1684"/>
      <c r="BR1612" s="1684"/>
      <c r="BS1612" s="1684"/>
      <c r="BT1612" s="1684"/>
      <c r="BU1612" s="1684"/>
      <c r="BV1612" s="1684"/>
      <c r="BW1612" s="1684"/>
      <c r="BX1612" s="1684"/>
      <c r="BY1612" s="1684"/>
      <c r="BZ1612" s="1684"/>
      <c r="CA1612" s="1684"/>
      <c r="CB1612" s="1684"/>
      <c r="CC1612" s="1684"/>
      <c r="CD1612" s="1684"/>
      <c r="CE1612" s="1684"/>
      <c r="CF1612" s="1684"/>
      <c r="CG1612" s="1684"/>
      <c r="CH1612" s="1684"/>
      <c r="CI1612" s="1684"/>
      <c r="CJ1612" s="1684"/>
      <c r="CK1612" s="1684"/>
      <c r="CL1612" s="1684"/>
      <c r="CM1612" s="1684"/>
      <c r="CN1612" s="1684"/>
      <c r="CO1612" s="1684"/>
      <c r="CP1612" s="1391"/>
      <c r="CQ1612" s="1391"/>
      <c r="CR1612" s="1391"/>
      <c r="CS1612" s="1391"/>
      <c r="CT1612" s="1391"/>
      <c r="CU1612" s="1391"/>
      <c r="CV1612" s="1391"/>
      <c r="CW1612" s="1391"/>
      <c r="CX1612" s="1391"/>
      <c r="CY1612" s="1391"/>
      <c r="CZ1612" s="1391"/>
      <c r="DA1612" s="1391"/>
      <c r="DB1612" s="1391"/>
      <c r="DC1612" s="1391"/>
      <c r="DD1612" s="1391"/>
      <c r="DE1612" s="1391"/>
      <c r="DF1612" s="1391"/>
      <c r="DG1612" s="1391"/>
      <c r="DH1612" s="1391"/>
      <c r="DI1612" s="1391"/>
    </row>
    <row r="1613" spans="1:113" ht="15.75" x14ac:dyDescent="0.25">
      <c r="A1613" s="1417"/>
      <c r="B1613" s="1417">
        <v>0.8</v>
      </c>
      <c r="C1613" s="1417">
        <v>20</v>
      </c>
      <c r="D1613" s="1391"/>
      <c r="E1613" s="1417"/>
      <c r="F1613" s="1684"/>
      <c r="G1613" s="1684"/>
      <c r="H1613" s="1684"/>
      <c r="I1613" s="1684"/>
      <c r="J1613" s="1684"/>
      <c r="K1613" s="1684"/>
      <c r="L1613" s="1684"/>
      <c r="M1613" s="1684"/>
      <c r="N1613" s="1684"/>
      <c r="O1613" s="1684"/>
      <c r="P1613" s="1684"/>
      <c r="Q1613" s="1684"/>
      <c r="R1613" s="1684"/>
      <c r="S1613" s="1684"/>
      <c r="T1613" s="1684"/>
      <c r="U1613" s="1684"/>
      <c r="V1613" s="1684"/>
      <c r="W1613" s="1684"/>
      <c r="X1613" s="1684"/>
      <c r="Y1613" s="1684"/>
      <c r="Z1613" s="1684"/>
      <c r="AA1613" s="1684"/>
      <c r="AB1613" s="1684"/>
      <c r="AC1613" s="1684"/>
      <c r="AD1613" s="1684"/>
      <c r="AE1613" s="1684"/>
      <c r="AF1613" s="1684"/>
      <c r="AG1613" s="1684"/>
      <c r="AH1613" s="1684"/>
      <c r="AI1613" s="1684"/>
      <c r="AJ1613" s="1684"/>
      <c r="AK1613" s="1684"/>
      <c r="AL1613" s="1684"/>
      <c r="AM1613" s="1684"/>
      <c r="AN1613" s="1684"/>
      <c r="AO1613" s="1684"/>
      <c r="AP1613" s="1684"/>
      <c r="AQ1613" s="1684"/>
      <c r="AR1613" s="1684"/>
      <c r="AS1613" s="1684"/>
      <c r="AT1613" s="1684"/>
      <c r="AU1613" s="1684"/>
      <c r="AV1613" s="1684"/>
      <c r="AW1613" s="1684"/>
      <c r="AX1613" s="1684"/>
      <c r="AY1613" s="1684"/>
      <c r="AZ1613" s="1684"/>
      <c r="BA1613" s="1684"/>
      <c r="BB1613" s="1684"/>
      <c r="BC1613" s="1684"/>
      <c r="BD1613" s="1684"/>
      <c r="BE1613" s="1684"/>
      <c r="BF1613" s="1684"/>
      <c r="BG1613" s="1684"/>
      <c r="BH1613" s="1684"/>
      <c r="BI1613" s="1684"/>
      <c r="BJ1613" s="1684"/>
      <c r="BK1613" s="1684"/>
      <c r="BL1613" s="1684"/>
      <c r="BM1613" s="1684"/>
      <c r="BN1613" s="1684"/>
      <c r="BO1613" s="1684"/>
      <c r="BP1613" s="1684"/>
      <c r="BQ1613" s="1684"/>
      <c r="BR1613" s="1684"/>
      <c r="BS1613" s="1684"/>
      <c r="BT1613" s="1684"/>
      <c r="BU1613" s="1684"/>
      <c r="BV1613" s="1684"/>
      <c r="BW1613" s="1684"/>
      <c r="BX1613" s="1684"/>
      <c r="BY1613" s="1684"/>
      <c r="BZ1613" s="1684"/>
      <c r="CA1613" s="1684"/>
      <c r="CB1613" s="1684"/>
      <c r="CC1613" s="1684"/>
      <c r="CD1613" s="1684"/>
      <c r="CE1613" s="1684"/>
      <c r="CF1613" s="1684"/>
      <c r="CG1613" s="1684"/>
      <c r="CH1613" s="1684"/>
      <c r="CI1613" s="1684"/>
      <c r="CJ1613" s="1684"/>
      <c r="CK1613" s="1684"/>
      <c r="CL1613" s="1684"/>
      <c r="CM1613" s="1684"/>
      <c r="CN1613" s="1684"/>
      <c r="CO1613" s="1684"/>
      <c r="CP1613" s="1391"/>
      <c r="CQ1613" s="1391"/>
      <c r="CR1613" s="1391"/>
      <c r="CS1613" s="1391"/>
      <c r="CT1613" s="1391"/>
      <c r="CU1613" s="1391"/>
      <c r="CV1613" s="1391"/>
      <c r="CW1613" s="1391"/>
      <c r="CX1613" s="1391"/>
      <c r="CY1613" s="1391"/>
      <c r="CZ1613" s="1391"/>
      <c r="DA1613" s="1391"/>
      <c r="DB1613" s="1391"/>
      <c r="DC1613" s="1391"/>
      <c r="DD1613" s="1391"/>
      <c r="DE1613" s="1391"/>
      <c r="DF1613" s="1391"/>
      <c r="DG1613" s="1391"/>
      <c r="DH1613" s="1391"/>
      <c r="DI1613" s="1391"/>
    </row>
    <row r="1614" spans="1:113" ht="15.75" x14ac:dyDescent="0.25">
      <c r="A1614" s="1417"/>
      <c r="B1614" s="1417">
        <v>0.63</v>
      </c>
      <c r="C1614" s="1417">
        <v>22</v>
      </c>
      <c r="D1614" s="1391"/>
      <c r="E1614" s="1417"/>
      <c r="F1614" s="1728"/>
      <c r="G1614" s="1728"/>
      <c r="H1614" s="1728"/>
      <c r="I1614" s="1728"/>
      <c r="J1614" s="1728"/>
      <c r="K1614" s="1728"/>
      <c r="L1614" s="1728"/>
      <c r="M1614" s="1728"/>
      <c r="N1614" s="1728"/>
      <c r="O1614" s="1728"/>
      <c r="P1614" s="1728"/>
      <c r="Q1614" s="1728"/>
      <c r="R1614" s="1728"/>
      <c r="S1614" s="1728"/>
      <c r="T1614" s="1728"/>
      <c r="U1614" s="1728"/>
      <c r="V1614" s="1728"/>
      <c r="W1614" s="1728"/>
      <c r="X1614" s="1728"/>
      <c r="Y1614" s="1728"/>
      <c r="Z1614" s="1728"/>
      <c r="AA1614" s="1728"/>
      <c r="AB1614" s="1728"/>
      <c r="AC1614" s="1728"/>
      <c r="AD1614" s="1728"/>
      <c r="AE1614" s="1728"/>
      <c r="AF1614" s="1728"/>
      <c r="AG1614" s="1728"/>
      <c r="AH1614" s="1728"/>
      <c r="AI1614" s="1728"/>
      <c r="AJ1614" s="1728"/>
      <c r="AK1614" s="1684"/>
      <c r="AL1614" s="1684"/>
      <c r="AM1614" s="1684"/>
      <c r="AN1614" s="1684"/>
      <c r="AO1614" s="1684"/>
      <c r="AP1614" s="1684"/>
      <c r="AQ1614" s="1684"/>
      <c r="AR1614" s="1684"/>
      <c r="AS1614" s="1684"/>
      <c r="AT1614" s="1684"/>
      <c r="AU1614" s="1684"/>
      <c r="AV1614" s="1684"/>
      <c r="AW1614" s="1684"/>
      <c r="AX1614" s="1684"/>
      <c r="AY1614" s="1684"/>
      <c r="AZ1614" s="1684"/>
      <c r="BA1614" s="1684"/>
      <c r="BB1614" s="1684"/>
      <c r="BC1614" s="1684"/>
      <c r="BD1614" s="1684"/>
      <c r="BE1614" s="1684"/>
      <c r="BF1614" s="1684"/>
      <c r="BG1614" s="1684"/>
      <c r="BH1614" s="1684"/>
      <c r="BI1614" s="1684"/>
      <c r="BJ1614" s="1684"/>
      <c r="BK1614" s="1684"/>
      <c r="BL1614" s="1684"/>
      <c r="BM1614" s="1684"/>
      <c r="BN1614" s="1684"/>
      <c r="BO1614" s="1684"/>
      <c r="BP1614" s="1684"/>
      <c r="BQ1614" s="1684"/>
      <c r="BR1614" s="1684"/>
      <c r="BS1614" s="1684"/>
      <c r="BT1614" s="1684"/>
      <c r="BU1614" s="1684"/>
      <c r="BV1614" s="1684"/>
      <c r="BW1614" s="1684"/>
      <c r="BX1614" s="1684"/>
      <c r="BY1614" s="1684"/>
      <c r="BZ1614" s="1684"/>
      <c r="CA1614" s="1684"/>
      <c r="CB1614" s="1684"/>
      <c r="CC1614" s="1684"/>
      <c r="CD1614" s="1684"/>
      <c r="CE1614" s="1684"/>
      <c r="CF1614" s="1684"/>
      <c r="CG1614" s="1684"/>
      <c r="CH1614" s="1684"/>
      <c r="CI1614" s="1684"/>
      <c r="CJ1614" s="1684"/>
      <c r="CK1614" s="1684"/>
      <c r="CL1614" s="1684"/>
      <c r="CM1614" s="1684"/>
      <c r="CN1614" s="1684"/>
      <c r="CO1614" s="1684"/>
      <c r="CP1614" s="1391"/>
      <c r="CQ1614" s="1391"/>
      <c r="CR1614" s="1391"/>
      <c r="CS1614" s="1391"/>
      <c r="CT1614" s="1391"/>
      <c r="CU1614" s="1391"/>
      <c r="CV1614" s="1391"/>
      <c r="CW1614" s="1391"/>
      <c r="CX1614" s="1391"/>
      <c r="CY1614" s="1391"/>
      <c r="CZ1614" s="1391"/>
      <c r="DA1614" s="1391"/>
      <c r="DB1614" s="1391"/>
      <c r="DC1614" s="1391"/>
      <c r="DD1614" s="1391"/>
      <c r="DE1614" s="1391"/>
      <c r="DF1614" s="1391"/>
      <c r="DG1614" s="1391"/>
      <c r="DH1614" s="1391"/>
      <c r="DI1614" s="1391"/>
    </row>
    <row r="1615" spans="1:113" ht="15.75" x14ac:dyDescent="0.25">
      <c r="A1615" s="1417"/>
      <c r="B1615" s="1417">
        <v>0.9</v>
      </c>
      <c r="C1615" s="1417">
        <v>22</v>
      </c>
      <c r="D1615" s="1391"/>
      <c r="E1615" s="1417"/>
      <c r="F1615" s="1694" t="s">
        <v>1487</v>
      </c>
      <c r="G1615" s="1694"/>
      <c r="H1615" s="1694"/>
      <c r="I1615" s="1694"/>
      <c r="J1615" s="1694"/>
      <c r="K1615" s="1694"/>
      <c r="L1615" s="1694"/>
      <c r="M1615" s="1694"/>
      <c r="N1615" s="1694"/>
      <c r="O1615" s="1417"/>
      <c r="P1615" s="1694" t="s">
        <v>1488</v>
      </c>
      <c r="Q1615" s="1694"/>
      <c r="R1615" s="1694"/>
      <c r="S1615" s="1694"/>
      <c r="T1615" s="1694"/>
      <c r="U1615" s="1694"/>
      <c r="V1615" s="1694"/>
      <c r="W1615" s="1694"/>
      <c r="X1615" s="1694"/>
      <c r="Y1615" s="1417"/>
      <c r="Z1615" s="1417"/>
      <c r="AA1615" s="1417"/>
      <c r="AB1615" s="1417"/>
      <c r="AC1615" s="1684"/>
      <c r="AD1615" s="1391"/>
      <c r="AE1615" s="1391"/>
      <c r="AF1615" s="1391"/>
      <c r="AG1615" s="1391"/>
      <c r="AH1615" s="1391"/>
      <c r="AI1615" s="1391"/>
      <c r="AJ1615" s="1391"/>
      <c r="AK1615" s="1391"/>
      <c r="AL1615" s="1684"/>
      <c r="AM1615" s="1684"/>
      <c r="AN1615" s="1684"/>
      <c r="AO1615" s="1684"/>
      <c r="AP1615" s="1684"/>
      <c r="AQ1615" s="1684"/>
      <c r="AR1615" s="1684"/>
      <c r="AS1615" s="1684"/>
      <c r="AT1615" s="1684"/>
      <c r="AU1615" s="1684"/>
      <c r="AV1615" s="1684"/>
      <c r="AW1615" s="1684"/>
      <c r="AX1615" s="1684"/>
      <c r="AY1615" s="1684"/>
      <c r="AZ1615" s="1684"/>
      <c r="BA1615" s="1684"/>
      <c r="BB1615" s="1684"/>
      <c r="BC1615" s="1684"/>
      <c r="BD1615" s="1684"/>
      <c r="BE1615" s="1684"/>
      <c r="BF1615" s="1684"/>
      <c r="BG1615" s="1684"/>
      <c r="BH1615" s="1684"/>
      <c r="BI1615" s="1684"/>
      <c r="BJ1615" s="1684"/>
      <c r="BK1615" s="1684"/>
      <c r="BL1615" s="1684"/>
      <c r="BM1615" s="1684"/>
      <c r="BN1615" s="1684"/>
      <c r="BO1615" s="1684"/>
      <c r="BP1615" s="1684"/>
      <c r="BQ1615" s="1684"/>
      <c r="BR1615" s="1684"/>
      <c r="BS1615" s="1684"/>
      <c r="BT1615" s="1684"/>
      <c r="BU1615" s="1684"/>
      <c r="BV1615" s="1684"/>
      <c r="BW1615" s="1684"/>
      <c r="BX1615" s="1684"/>
      <c r="BY1615" s="1684"/>
      <c r="BZ1615" s="1684"/>
      <c r="CA1615" s="1684"/>
      <c r="CB1615" s="1684"/>
      <c r="CC1615" s="1684"/>
      <c r="CD1615" s="1684"/>
      <c r="CE1615" s="1684"/>
      <c r="CF1615" s="1684"/>
      <c r="CG1615" s="1684"/>
      <c r="CH1615" s="1684"/>
      <c r="CI1615" s="1684"/>
      <c r="CJ1615" s="1684"/>
      <c r="CK1615" s="1684"/>
      <c r="CL1615" s="1684"/>
      <c r="CM1615" s="1684"/>
      <c r="CN1615" s="1684"/>
      <c r="CO1615" s="1684"/>
      <c r="CP1615" s="1391"/>
      <c r="CQ1615" s="1391"/>
      <c r="CR1615" s="1391"/>
      <c r="CS1615" s="1391"/>
      <c r="CT1615" s="1391"/>
      <c r="CU1615" s="1391"/>
      <c r="CV1615" s="1391"/>
      <c r="CW1615" s="1391"/>
      <c r="CX1615" s="1391"/>
      <c r="CY1615" s="1391"/>
      <c r="CZ1615" s="1391"/>
      <c r="DA1615" s="1391"/>
      <c r="DB1615" s="1391"/>
      <c r="DC1615" s="1391"/>
      <c r="DD1615" s="1391"/>
      <c r="DE1615" s="1391"/>
      <c r="DF1615" s="1391"/>
      <c r="DG1615" s="1391"/>
      <c r="DH1615" s="1391"/>
      <c r="DI1615" s="1391"/>
    </row>
    <row r="1616" spans="1:113" ht="15.75" x14ac:dyDescent="0.25">
      <c r="A1616" s="1417"/>
      <c r="B1616" s="1417">
        <v>0.71</v>
      </c>
      <c r="C1616" s="1417">
        <v>24</v>
      </c>
      <c r="D1616" s="1391"/>
      <c r="E1616" s="1417"/>
      <c r="F1616" s="1694" t="s">
        <v>3314</v>
      </c>
      <c r="G1616" s="1694"/>
      <c r="H1616" s="1694"/>
      <c r="I1616" s="1694"/>
      <c r="J1616" s="1694"/>
      <c r="K1616" s="1694"/>
      <c r="L1616" s="1694"/>
      <c r="M1616" s="1694"/>
      <c r="N1616" s="1694"/>
      <c r="O1616" s="1417"/>
      <c r="P1616" s="1694" t="s">
        <v>1081</v>
      </c>
      <c r="Q1616" s="1694"/>
      <c r="R1616" s="1694"/>
      <c r="S1616" s="1694"/>
      <c r="T1616" s="1694"/>
      <c r="U1616" s="1694"/>
      <c r="V1616" s="1694"/>
      <c r="W1616" s="1694"/>
      <c r="X1616" s="1694"/>
      <c r="Y1616" s="1417"/>
      <c r="Z1616" s="1417"/>
      <c r="AA1616" s="1417"/>
      <c r="AB1616" s="1417"/>
      <c r="AC1616" s="1684"/>
      <c r="AD1616" s="1391"/>
      <c r="AE1616" s="1391"/>
      <c r="AF1616" s="1391"/>
      <c r="AG1616" s="1391"/>
      <c r="AH1616" s="1391"/>
      <c r="AI1616" s="1391"/>
      <c r="AJ1616" s="1391"/>
      <c r="AK1616" s="1391"/>
      <c r="AL1616" s="1684"/>
      <c r="AM1616" s="1684"/>
      <c r="AN1616" s="1684"/>
      <c r="AO1616" s="1684"/>
      <c r="AP1616" s="1684"/>
      <c r="AQ1616" s="1684"/>
      <c r="AR1616" s="1684"/>
      <c r="AS1616" s="1684"/>
      <c r="AT1616" s="1684"/>
      <c r="AU1616" s="1684"/>
      <c r="AV1616" s="1684"/>
      <c r="AW1616" s="1684"/>
      <c r="AX1616" s="1684"/>
      <c r="AY1616" s="1684"/>
      <c r="AZ1616" s="1684"/>
      <c r="BA1616" s="1684"/>
      <c r="BB1616" s="1684"/>
      <c r="BC1616" s="1684"/>
      <c r="BD1616" s="1684"/>
      <c r="BE1616" s="1684"/>
      <c r="BF1616" s="1684"/>
      <c r="BG1616" s="1684"/>
      <c r="BH1616" s="1684"/>
      <c r="BI1616" s="1684"/>
      <c r="BJ1616" s="1684"/>
      <c r="BK1616" s="1684"/>
      <c r="BL1616" s="1684"/>
      <c r="BM1616" s="1684"/>
      <c r="BN1616" s="1684"/>
      <c r="BO1616" s="1684"/>
      <c r="BP1616" s="1684"/>
      <c r="BQ1616" s="1684"/>
      <c r="BR1616" s="1684"/>
      <c r="BS1616" s="1684"/>
      <c r="BT1616" s="1684"/>
      <c r="BU1616" s="1684"/>
      <c r="BV1616" s="1684"/>
      <c r="BW1616" s="1684"/>
      <c r="BX1616" s="1684"/>
      <c r="BY1616" s="1684"/>
      <c r="BZ1616" s="1684"/>
      <c r="CA1616" s="1684"/>
      <c r="CB1616" s="1684"/>
      <c r="CC1616" s="1684"/>
      <c r="CD1616" s="1684"/>
      <c r="CE1616" s="1684"/>
      <c r="CF1616" s="1684"/>
      <c r="CG1616" s="1684"/>
      <c r="CH1616" s="1684"/>
      <c r="CI1616" s="1684"/>
      <c r="CJ1616" s="1684"/>
      <c r="CK1616" s="1684"/>
      <c r="CL1616" s="1684"/>
      <c r="CM1616" s="1684"/>
      <c r="CN1616" s="1684"/>
      <c r="CO1616" s="1684"/>
      <c r="CP1616" s="1391"/>
      <c r="CQ1616" s="1391"/>
      <c r="CR1616" s="1391"/>
      <c r="CS1616" s="1391"/>
      <c r="CT1616" s="1391"/>
      <c r="CU1616" s="1391"/>
      <c r="CV1616" s="1391"/>
      <c r="CW1616" s="1391"/>
      <c r="CX1616" s="1391"/>
      <c r="CY1616" s="1391"/>
      <c r="CZ1616" s="1391"/>
      <c r="DA1616" s="1391"/>
      <c r="DB1616" s="1391"/>
      <c r="DC1616" s="1391"/>
      <c r="DD1616" s="1391"/>
      <c r="DE1616" s="1391"/>
      <c r="DF1616" s="1391"/>
      <c r="DG1616" s="1391"/>
      <c r="DH1616" s="1391"/>
      <c r="DI1616" s="1391"/>
    </row>
    <row r="1617" spans="1:113" ht="15.75" x14ac:dyDescent="0.25">
      <c r="A1617" s="1417"/>
      <c r="B1617" s="1417">
        <v>1</v>
      </c>
      <c r="C1617" s="1417">
        <v>24</v>
      </c>
      <c r="D1617" s="1391"/>
      <c r="E1617" s="1417"/>
      <c r="F1617" s="1694"/>
      <c r="G1617" s="1694" t="s">
        <v>1082</v>
      </c>
      <c r="H1617" s="1694"/>
      <c r="I1617" s="1694"/>
      <c r="J1617" s="1694"/>
      <c r="K1617" s="1694"/>
      <c r="L1617" s="1694"/>
      <c r="M1617" s="1694"/>
      <c r="N1617" s="1694"/>
      <c r="O1617" s="1417"/>
      <c r="P1617" s="1694"/>
      <c r="Q1617" s="1694" t="s">
        <v>1082</v>
      </c>
      <c r="R1617" s="1694"/>
      <c r="S1617" s="1694"/>
      <c r="T1617" s="1694"/>
      <c r="U1617" s="1694"/>
      <c r="V1617" s="1694"/>
      <c r="W1617" s="1694"/>
      <c r="X1617" s="1694"/>
      <c r="Y1617" s="1417"/>
      <c r="Z1617" s="1417"/>
      <c r="AA1617" s="1417"/>
      <c r="AB1617" s="1417"/>
      <c r="AC1617" s="1684"/>
      <c r="AD1617" s="1391"/>
      <c r="AE1617" s="1391"/>
      <c r="AF1617" s="1391"/>
      <c r="AG1617" s="1391"/>
      <c r="AH1617" s="1391"/>
      <c r="AI1617" s="1391"/>
      <c r="AJ1617" s="1391"/>
      <c r="AK1617" s="1391"/>
      <c r="AL1617" s="1684"/>
      <c r="AM1617" s="1684"/>
      <c r="AN1617" s="1684"/>
      <c r="AO1617" s="1684"/>
      <c r="AP1617" s="1684"/>
      <c r="AQ1617" s="1684"/>
      <c r="AR1617" s="1684"/>
      <c r="AS1617" s="1684"/>
      <c r="AT1617" s="1684"/>
      <c r="AU1617" s="1684"/>
      <c r="AV1617" s="1684"/>
      <c r="AW1617" s="1684"/>
      <c r="AX1617" s="1684"/>
      <c r="AY1617" s="1684"/>
      <c r="AZ1617" s="1684"/>
      <c r="BA1617" s="1684"/>
      <c r="BB1617" s="1684"/>
      <c r="BC1617" s="1684"/>
      <c r="BD1617" s="1684"/>
      <c r="BE1617" s="1684"/>
      <c r="BF1617" s="1684"/>
      <c r="BG1617" s="1684"/>
      <c r="BH1617" s="1684"/>
      <c r="BI1617" s="1684"/>
      <c r="BJ1617" s="1684"/>
      <c r="BK1617" s="1684"/>
      <c r="BL1617" s="1684"/>
      <c r="BM1617" s="1684"/>
      <c r="BN1617" s="1684"/>
      <c r="BO1617" s="1684"/>
      <c r="BP1617" s="1684"/>
      <c r="BQ1617" s="1684"/>
      <c r="BR1617" s="1684"/>
      <c r="BS1617" s="1684"/>
      <c r="BT1617" s="1684"/>
      <c r="BU1617" s="1684"/>
      <c r="BV1617" s="1684"/>
      <c r="BW1617" s="1684"/>
      <c r="BX1617" s="1684"/>
      <c r="BY1617" s="1684"/>
      <c r="BZ1617" s="1684"/>
      <c r="CA1617" s="1684"/>
      <c r="CB1617" s="1684"/>
      <c r="CC1617" s="1684"/>
      <c r="CD1617" s="1684"/>
      <c r="CE1617" s="1684"/>
      <c r="CF1617" s="1684"/>
      <c r="CG1617" s="1684"/>
      <c r="CH1617" s="1684"/>
      <c r="CI1617" s="1684"/>
      <c r="CJ1617" s="1684"/>
      <c r="CK1617" s="1684"/>
      <c r="CL1617" s="1684"/>
      <c r="CM1617" s="1684"/>
      <c r="CN1617" s="1684"/>
      <c r="CO1617" s="1684"/>
      <c r="CP1617" s="1391"/>
      <c r="CQ1617" s="1391"/>
      <c r="CR1617" s="1391"/>
      <c r="CS1617" s="1391"/>
      <c r="CT1617" s="1391"/>
      <c r="CU1617" s="1391"/>
      <c r="CV1617" s="1391"/>
      <c r="CW1617" s="1391"/>
      <c r="CX1617" s="1391"/>
      <c r="CY1617" s="1391"/>
      <c r="CZ1617" s="1391"/>
      <c r="DA1617" s="1391"/>
      <c r="DB1617" s="1391"/>
      <c r="DC1617" s="1391"/>
      <c r="DD1617" s="1391"/>
      <c r="DE1617" s="1391"/>
      <c r="DF1617" s="1391"/>
      <c r="DG1617" s="1391"/>
      <c r="DH1617" s="1391"/>
      <c r="DI1617" s="1391"/>
    </row>
    <row r="1618" spans="1:113" ht="15.75" x14ac:dyDescent="0.25">
      <c r="A1618" s="1417"/>
      <c r="B1618" s="1417">
        <v>0.8</v>
      </c>
      <c r="C1618" s="1417">
        <v>27</v>
      </c>
      <c r="D1618" s="1391"/>
      <c r="E1618" s="1417"/>
      <c r="F1618" s="1694" t="s">
        <v>1083</v>
      </c>
      <c r="G1618" s="1694" t="s">
        <v>1084</v>
      </c>
      <c r="H1618" s="1694" t="s">
        <v>1085</v>
      </c>
      <c r="I1618" s="1694" t="s">
        <v>3006</v>
      </c>
      <c r="J1618" s="1694" t="s">
        <v>3007</v>
      </c>
      <c r="K1618" s="1694"/>
      <c r="L1618" s="1694"/>
      <c r="M1618" s="1694"/>
      <c r="N1618" s="1694"/>
      <c r="O1618" s="1417"/>
      <c r="P1618" s="1694" t="s">
        <v>5602</v>
      </c>
      <c r="Q1618" s="1694" t="s">
        <v>1084</v>
      </c>
      <c r="R1618" s="1694" t="s">
        <v>1085</v>
      </c>
      <c r="S1618" s="1694" t="s">
        <v>3006</v>
      </c>
      <c r="T1618" s="1694" t="s">
        <v>3007</v>
      </c>
      <c r="U1618" s="1694"/>
      <c r="V1618" s="1694"/>
      <c r="W1618" s="1694"/>
      <c r="X1618" s="1694"/>
      <c r="Y1618" s="1417"/>
      <c r="Z1618" s="1417"/>
      <c r="AA1618" s="1417"/>
      <c r="AB1618" s="1417"/>
      <c r="AC1618" s="1684"/>
      <c r="AD1618" s="1391"/>
      <c r="AE1618" s="1391"/>
      <c r="AF1618" s="1391"/>
      <c r="AG1618" s="1391"/>
      <c r="AH1618" s="1391"/>
      <c r="AI1618" s="1391"/>
      <c r="AJ1618" s="1391"/>
      <c r="AK1618" s="1391"/>
      <c r="AL1618" s="1684"/>
      <c r="AM1618" s="1684"/>
      <c r="AN1618" s="1684"/>
      <c r="AO1618" s="1684"/>
      <c r="AP1618" s="1684"/>
      <c r="AQ1618" s="1684"/>
      <c r="AR1618" s="1684"/>
      <c r="AS1618" s="1684"/>
      <c r="AT1618" s="1684"/>
      <c r="AU1618" s="1684"/>
      <c r="AV1618" s="1684"/>
      <c r="AW1618" s="1684"/>
      <c r="AX1618" s="1684"/>
      <c r="AY1618" s="1684"/>
      <c r="AZ1618" s="1684"/>
      <c r="BA1618" s="1684"/>
      <c r="BB1618" s="1684"/>
      <c r="BC1618" s="1684"/>
      <c r="BD1618" s="1684"/>
      <c r="BE1618" s="1684"/>
      <c r="BF1618" s="1684"/>
      <c r="BG1618" s="1684"/>
      <c r="BH1618" s="1684"/>
      <c r="BI1618" s="1684"/>
      <c r="BJ1618" s="1684"/>
      <c r="BK1618" s="1684"/>
      <c r="BL1618" s="1684"/>
      <c r="BM1618" s="1684"/>
      <c r="BN1618" s="1684"/>
      <c r="BO1618" s="1684"/>
      <c r="BP1618" s="1684"/>
      <c r="BQ1618" s="1684"/>
      <c r="BR1618" s="1684"/>
      <c r="BS1618" s="1684"/>
      <c r="BT1618" s="1684"/>
      <c r="BU1618" s="1684"/>
      <c r="BV1618" s="1684"/>
      <c r="BW1618" s="1684"/>
      <c r="BX1618" s="1684"/>
      <c r="BY1618" s="1684"/>
      <c r="BZ1618" s="1684"/>
      <c r="CA1618" s="1684"/>
      <c r="CB1618" s="1684"/>
      <c r="CC1618" s="1684"/>
      <c r="CD1618" s="1684"/>
      <c r="CE1618" s="1684"/>
      <c r="CF1618" s="1684"/>
      <c r="CG1618" s="1684"/>
      <c r="CH1618" s="1684"/>
      <c r="CI1618" s="1684"/>
      <c r="CJ1618" s="1684"/>
      <c r="CK1618" s="1684"/>
      <c r="CL1618" s="1684"/>
      <c r="CM1618" s="1684"/>
      <c r="CN1618" s="1684"/>
      <c r="CO1618" s="1684"/>
      <c r="CP1618" s="1391"/>
      <c r="CQ1618" s="1391"/>
      <c r="CR1618" s="1391"/>
      <c r="CS1618" s="1391"/>
      <c r="CT1618" s="1391"/>
      <c r="CU1618" s="1391"/>
      <c r="CV1618" s="1391"/>
      <c r="CW1618" s="1391"/>
      <c r="CX1618" s="1391"/>
      <c r="CY1618" s="1391"/>
      <c r="CZ1618" s="1391"/>
      <c r="DA1618" s="1391"/>
      <c r="DB1618" s="1391"/>
      <c r="DC1618" s="1391"/>
      <c r="DD1618" s="1391"/>
      <c r="DE1618" s="1391"/>
      <c r="DF1618" s="1391"/>
      <c r="DG1618" s="1391"/>
      <c r="DH1618" s="1391"/>
      <c r="DI1618" s="1391"/>
    </row>
    <row r="1619" spans="1:113" ht="15.75" x14ac:dyDescent="0.25">
      <c r="A1619" s="1417"/>
      <c r="B1619" s="1417">
        <v>1.1200000000000001</v>
      </c>
      <c r="C1619" s="1417">
        <v>27</v>
      </c>
      <c r="D1619" s="1391"/>
      <c r="E1619" s="1417"/>
      <c r="F1619" s="1694" t="s">
        <v>3008</v>
      </c>
      <c r="G1619" s="1694">
        <v>168.3</v>
      </c>
      <c r="H1619" s="1694">
        <v>151.80000000000001</v>
      </c>
      <c r="I1619" s="1694">
        <v>124.3</v>
      </c>
      <c r="J1619" s="1694">
        <v>101.5</v>
      </c>
      <c r="K1619" s="1694"/>
      <c r="L1619" s="1694"/>
      <c r="M1619" s="1694"/>
      <c r="N1619" s="1694"/>
      <c r="O1619" s="1417"/>
      <c r="P1619" s="1694" t="s">
        <v>3008</v>
      </c>
      <c r="Q1619" s="1694">
        <v>43.6</v>
      </c>
      <c r="R1619" s="1694">
        <v>39.700000000000003</v>
      </c>
      <c r="S1619" s="1694">
        <v>31.7</v>
      </c>
      <c r="T1619" s="1694">
        <v>30.1</v>
      </c>
      <c r="U1619" s="1694"/>
      <c r="V1619" s="1694"/>
      <c r="W1619" s="1694"/>
      <c r="X1619" s="1694"/>
      <c r="Y1619" s="1417"/>
      <c r="Z1619" s="1417"/>
      <c r="AA1619" s="1417"/>
      <c r="AB1619" s="1417"/>
      <c r="AC1619" s="1684"/>
      <c r="AD1619" s="1391"/>
      <c r="AE1619" s="1391"/>
      <c r="AF1619" s="1391"/>
      <c r="AG1619" s="1391"/>
      <c r="AH1619" s="1391"/>
      <c r="AI1619" s="1391"/>
      <c r="AJ1619" s="1391"/>
      <c r="AK1619" s="1391"/>
      <c r="AL1619" s="1684"/>
      <c r="AM1619" s="1684"/>
      <c r="AN1619" s="1684"/>
      <c r="AO1619" s="1684"/>
      <c r="AP1619" s="1684"/>
      <c r="AQ1619" s="1684"/>
      <c r="AR1619" s="1684"/>
      <c r="AS1619" s="1684"/>
      <c r="AT1619" s="1684"/>
      <c r="AU1619" s="1684"/>
      <c r="AV1619" s="1684"/>
      <c r="AW1619" s="1684"/>
      <c r="AX1619" s="1684"/>
      <c r="AY1619" s="1684"/>
      <c r="AZ1619" s="1684"/>
      <c r="BA1619" s="1684"/>
      <c r="BB1619" s="1684"/>
      <c r="BC1619" s="1684"/>
      <c r="BD1619" s="1684"/>
      <c r="BE1619" s="1684"/>
      <c r="BF1619" s="1684"/>
      <c r="BG1619" s="1684"/>
      <c r="BH1619" s="1684"/>
      <c r="BI1619" s="1684"/>
      <c r="BJ1619" s="1684"/>
      <c r="BK1619" s="1684"/>
      <c r="BL1619" s="1684"/>
      <c r="BM1619" s="1684"/>
      <c r="BN1619" s="1684"/>
      <c r="BO1619" s="1684"/>
      <c r="BP1619" s="1684"/>
      <c r="BQ1619" s="1684"/>
      <c r="BR1619" s="1684"/>
      <c r="BS1619" s="1684"/>
      <c r="BT1619" s="1684"/>
      <c r="BU1619" s="1684"/>
      <c r="BV1619" s="1684"/>
      <c r="BW1619" s="1684"/>
      <c r="BX1619" s="1684"/>
      <c r="BY1619" s="1684"/>
      <c r="BZ1619" s="1684"/>
      <c r="CA1619" s="1684"/>
      <c r="CB1619" s="1684"/>
      <c r="CC1619" s="1684"/>
      <c r="CD1619" s="1684"/>
      <c r="CE1619" s="1684"/>
      <c r="CF1619" s="1684"/>
      <c r="CG1619" s="1684"/>
      <c r="CH1619" s="1684"/>
      <c r="CI1619" s="1684"/>
      <c r="CJ1619" s="1684"/>
      <c r="CK1619" s="1684"/>
      <c r="CL1619" s="1684"/>
      <c r="CM1619" s="1684"/>
      <c r="CN1619" s="1684"/>
      <c r="CO1619" s="1684"/>
      <c r="CP1619" s="1391"/>
      <c r="CQ1619" s="1391"/>
      <c r="CR1619" s="1391"/>
      <c r="CS1619" s="1391"/>
      <c r="CT1619" s="1391"/>
      <c r="CU1619" s="1391"/>
      <c r="CV1619" s="1391"/>
      <c r="CW1619" s="1391"/>
      <c r="CX1619" s="1391"/>
      <c r="CY1619" s="1391"/>
      <c r="CZ1619" s="1391"/>
      <c r="DA1619" s="1391"/>
      <c r="DB1619" s="1391"/>
      <c r="DC1619" s="1391"/>
      <c r="DD1619" s="1391"/>
      <c r="DE1619" s="1391"/>
      <c r="DF1619" s="1391"/>
      <c r="DG1619" s="1391"/>
      <c r="DH1619" s="1391"/>
      <c r="DI1619" s="1391"/>
    </row>
    <row r="1620" spans="1:113" ht="15.75" x14ac:dyDescent="0.25">
      <c r="A1620" s="1417"/>
      <c r="B1620" s="1417">
        <v>0.9</v>
      </c>
      <c r="C1620" s="1417">
        <v>30</v>
      </c>
      <c r="D1620" s="1391"/>
      <c r="E1620" s="1417"/>
      <c r="F1620" s="1694" t="s">
        <v>3009</v>
      </c>
      <c r="G1620" s="1694">
        <v>159.4</v>
      </c>
      <c r="H1620" s="1694">
        <v>143.9</v>
      </c>
      <c r="I1620" s="1694">
        <v>117.9</v>
      </c>
      <c r="J1620" s="1694">
        <v>95.7</v>
      </c>
      <c r="K1620" s="1694"/>
      <c r="L1620" s="1694"/>
      <c r="M1620" s="1694"/>
      <c r="N1620" s="1694"/>
      <c r="O1620" s="1417"/>
      <c r="P1620" s="1694" t="s">
        <v>3009</v>
      </c>
      <c r="Q1620" s="1694">
        <v>42.4</v>
      </c>
      <c r="R1620" s="1694">
        <v>38.1</v>
      </c>
      <c r="S1620" s="1694">
        <v>30.9</v>
      </c>
      <c r="T1620" s="1694">
        <v>29.2</v>
      </c>
      <c r="U1620" s="1694"/>
      <c r="V1620" s="1694"/>
      <c r="W1620" s="1694"/>
      <c r="X1620" s="1694"/>
      <c r="Y1620" s="1417"/>
      <c r="Z1620" s="1417"/>
      <c r="AA1620" s="1417"/>
      <c r="AB1620" s="1417"/>
      <c r="AC1620" s="1684"/>
      <c r="AD1620" s="1391"/>
      <c r="AE1620" s="1391"/>
      <c r="AF1620" s="1391"/>
      <c r="AG1620" s="1391"/>
      <c r="AH1620" s="1391"/>
      <c r="AI1620" s="1391"/>
      <c r="AJ1620" s="1391"/>
      <c r="AK1620" s="1391"/>
      <c r="AL1620" s="1684"/>
      <c r="AM1620" s="1684"/>
      <c r="AN1620" s="1684"/>
      <c r="AO1620" s="1684"/>
      <c r="AP1620" s="1684"/>
      <c r="AQ1620" s="1684"/>
      <c r="AR1620" s="1684"/>
      <c r="AS1620" s="1684"/>
      <c r="AT1620" s="1684"/>
      <c r="AU1620" s="1684"/>
      <c r="AV1620" s="1684"/>
      <c r="AW1620" s="1684"/>
      <c r="AX1620" s="1684"/>
      <c r="AY1620" s="1684"/>
      <c r="AZ1620" s="1684"/>
      <c r="BA1620" s="1684"/>
      <c r="BB1620" s="1684"/>
      <c r="BC1620" s="1684"/>
      <c r="BD1620" s="1684"/>
      <c r="BE1620" s="1684"/>
      <c r="BF1620" s="1684"/>
      <c r="BG1620" s="1684"/>
      <c r="BH1620" s="1684"/>
      <c r="BI1620" s="1684"/>
      <c r="BJ1620" s="1684"/>
      <c r="BK1620" s="1684"/>
      <c r="BL1620" s="1684"/>
      <c r="BM1620" s="1684"/>
      <c r="BN1620" s="1684"/>
      <c r="BO1620" s="1684"/>
      <c r="BP1620" s="1684"/>
      <c r="BQ1620" s="1684"/>
      <c r="BR1620" s="1684"/>
      <c r="BS1620" s="1684"/>
      <c r="BT1620" s="1684"/>
      <c r="BU1620" s="1684"/>
      <c r="BV1620" s="1684"/>
      <c r="BW1620" s="1684"/>
      <c r="BX1620" s="1684"/>
      <c r="BY1620" s="1684"/>
      <c r="BZ1620" s="1684"/>
      <c r="CA1620" s="1684"/>
      <c r="CB1620" s="1684"/>
      <c r="CC1620" s="1684"/>
      <c r="CD1620" s="1684"/>
      <c r="CE1620" s="1684"/>
      <c r="CF1620" s="1684"/>
      <c r="CG1620" s="1684"/>
      <c r="CH1620" s="1684"/>
      <c r="CI1620" s="1684"/>
      <c r="CJ1620" s="1684"/>
      <c r="CK1620" s="1684"/>
      <c r="CL1620" s="1684"/>
      <c r="CM1620" s="1684"/>
      <c r="CN1620" s="1684"/>
      <c r="CO1620" s="1684"/>
      <c r="CP1620" s="1391"/>
      <c r="CQ1620" s="1391"/>
      <c r="CR1620" s="1391"/>
      <c r="CS1620" s="1391"/>
      <c r="CT1620" s="1391"/>
      <c r="CU1620" s="1391"/>
      <c r="CV1620" s="1391"/>
      <c r="CW1620" s="1391"/>
      <c r="CX1620" s="1391"/>
      <c r="CY1620" s="1391"/>
      <c r="CZ1620" s="1391"/>
      <c r="DA1620" s="1391"/>
      <c r="DB1620" s="1391"/>
      <c r="DC1620" s="1391"/>
      <c r="DD1620" s="1391"/>
      <c r="DE1620" s="1391"/>
      <c r="DF1620" s="1391"/>
      <c r="DG1620" s="1391"/>
      <c r="DH1620" s="1391"/>
      <c r="DI1620" s="1391"/>
    </row>
    <row r="1621" spans="1:113" ht="15.75" x14ac:dyDescent="0.25">
      <c r="A1621" s="1417"/>
      <c r="B1621" s="1417">
        <v>1.25</v>
      </c>
      <c r="C1621" s="1417">
        <v>30</v>
      </c>
      <c r="D1621" s="1391"/>
      <c r="E1621" s="1417"/>
      <c r="F1621" s="1694" t="s">
        <v>3010</v>
      </c>
      <c r="G1621" s="1694">
        <v>144.5</v>
      </c>
      <c r="H1621" s="1694">
        <v>132.5</v>
      </c>
      <c r="I1621" s="1694">
        <v>107.1</v>
      </c>
      <c r="J1621" s="1694">
        <v>86.9</v>
      </c>
      <c r="K1621" s="1694"/>
      <c r="L1621" s="1694"/>
      <c r="M1621" s="1694"/>
      <c r="N1621" s="1694"/>
      <c r="O1621" s="1417"/>
      <c r="P1621" s="1694" t="s">
        <v>3010</v>
      </c>
      <c r="Q1621" s="1694">
        <v>39</v>
      </c>
      <c r="R1621" s="1694">
        <v>35.6</v>
      </c>
      <c r="S1621" s="1694">
        <v>28.9</v>
      </c>
      <c r="T1621" s="1694">
        <v>27</v>
      </c>
      <c r="U1621" s="1694"/>
      <c r="V1621" s="1694"/>
      <c r="W1621" s="1694"/>
      <c r="X1621" s="1694"/>
      <c r="Y1621" s="1417"/>
      <c r="Z1621" s="1417"/>
      <c r="AA1621" s="1417"/>
      <c r="AB1621" s="1417"/>
      <c r="AC1621" s="1684"/>
      <c r="AD1621" s="1391"/>
      <c r="AE1621" s="1391"/>
      <c r="AF1621" s="1391"/>
      <c r="AG1621" s="1391"/>
      <c r="AH1621" s="1391"/>
      <c r="AI1621" s="1391"/>
      <c r="AJ1621" s="1391"/>
      <c r="AK1621" s="1391"/>
      <c r="AL1621" s="1684"/>
      <c r="AM1621" s="1684"/>
      <c r="AN1621" s="1684"/>
      <c r="AO1621" s="1684"/>
      <c r="AP1621" s="1684"/>
      <c r="AQ1621" s="1684"/>
      <c r="AR1621" s="1684"/>
      <c r="AS1621" s="1684"/>
      <c r="AT1621" s="1684"/>
      <c r="AU1621" s="1684"/>
      <c r="AV1621" s="1684"/>
      <c r="AW1621" s="1684"/>
      <c r="AX1621" s="1684"/>
      <c r="AY1621" s="1684"/>
      <c r="AZ1621" s="1684"/>
      <c r="BA1621" s="1684"/>
      <c r="BB1621" s="1684"/>
      <c r="BC1621" s="1684"/>
      <c r="BD1621" s="1684"/>
      <c r="BE1621" s="1684"/>
      <c r="BF1621" s="1684"/>
      <c r="BG1621" s="1684"/>
      <c r="BH1621" s="1684"/>
      <c r="BI1621" s="1684"/>
      <c r="BJ1621" s="1684"/>
      <c r="BK1621" s="1684"/>
      <c r="BL1621" s="1684"/>
      <c r="BM1621" s="1684"/>
      <c r="BN1621" s="1684"/>
      <c r="BO1621" s="1684"/>
      <c r="BP1621" s="1684"/>
      <c r="BQ1621" s="1684"/>
      <c r="BR1621" s="1684"/>
      <c r="BS1621" s="1684"/>
      <c r="BT1621" s="1684"/>
      <c r="BU1621" s="1684"/>
      <c r="BV1621" s="1684"/>
      <c r="BW1621" s="1684"/>
      <c r="BX1621" s="1684"/>
      <c r="BY1621" s="1684"/>
      <c r="BZ1621" s="1684"/>
      <c r="CA1621" s="1684"/>
      <c r="CB1621" s="1684"/>
      <c r="CC1621" s="1684"/>
      <c r="CD1621" s="1684"/>
      <c r="CE1621" s="1684"/>
      <c r="CF1621" s="1684"/>
      <c r="CG1621" s="1684"/>
      <c r="CH1621" s="1684"/>
      <c r="CI1621" s="1684"/>
      <c r="CJ1621" s="1684"/>
      <c r="CK1621" s="1684"/>
      <c r="CL1621" s="1684"/>
      <c r="CM1621" s="1684"/>
      <c r="CN1621" s="1684"/>
      <c r="CO1621" s="1684"/>
      <c r="CP1621" s="1391"/>
      <c r="CQ1621" s="1391"/>
      <c r="CR1621" s="1391"/>
      <c r="CS1621" s="1391"/>
      <c r="CT1621" s="1391"/>
      <c r="CU1621" s="1391"/>
      <c r="CV1621" s="1391"/>
      <c r="CW1621" s="1391"/>
      <c r="CX1621" s="1391"/>
      <c r="CY1621" s="1391"/>
      <c r="CZ1621" s="1391"/>
      <c r="DA1621" s="1391"/>
      <c r="DB1621" s="1391"/>
      <c r="DC1621" s="1391"/>
      <c r="DD1621" s="1391"/>
      <c r="DE1621" s="1391"/>
      <c r="DF1621" s="1391"/>
      <c r="DG1621" s="1391"/>
      <c r="DH1621" s="1391"/>
      <c r="DI1621" s="1391"/>
    </row>
    <row r="1622" spans="1:113" ht="15.75" x14ac:dyDescent="0.25">
      <c r="A1622" s="1417"/>
      <c r="B1622" s="1417">
        <v>1</v>
      </c>
      <c r="C1622" s="1417">
        <v>32</v>
      </c>
      <c r="D1622" s="1391"/>
      <c r="E1622" s="1417"/>
      <c r="F1622" s="1694" t="s">
        <v>3011</v>
      </c>
      <c r="G1622" s="1694">
        <v>131.9</v>
      </c>
      <c r="H1622" s="1694">
        <v>121.3</v>
      </c>
      <c r="I1622" s="1694">
        <v>97.9</v>
      </c>
      <c r="J1622" s="1694">
        <v>79.5</v>
      </c>
      <c r="K1622" s="1694"/>
      <c r="L1622" s="1694"/>
      <c r="M1622" s="1694"/>
      <c r="N1622" s="1694"/>
      <c r="O1622" s="1417"/>
      <c r="P1622" s="1694" t="s">
        <v>3011</v>
      </c>
      <c r="Q1622" s="1694">
        <v>36.1</v>
      </c>
      <c r="R1622" s="1694">
        <v>33.200000000000003</v>
      </c>
      <c r="S1622" s="1694">
        <v>26.6</v>
      </c>
      <c r="T1622" s="1694">
        <v>25</v>
      </c>
      <c r="U1622" s="1694"/>
      <c r="V1622" s="1694"/>
      <c r="W1622" s="1694"/>
      <c r="X1622" s="1694"/>
      <c r="Y1622" s="1417"/>
      <c r="Z1622" s="1417"/>
      <c r="AA1622" s="1417"/>
      <c r="AB1622" s="1417"/>
      <c r="AC1622" s="1684"/>
      <c r="AD1622" s="1391"/>
      <c r="AE1622" s="1391"/>
      <c r="AF1622" s="1391"/>
      <c r="AG1622" s="1391"/>
      <c r="AH1622" s="1391"/>
      <c r="AI1622" s="1391"/>
      <c r="AJ1622" s="1391"/>
      <c r="AK1622" s="1391"/>
      <c r="AL1622" s="1684"/>
      <c r="AM1622" s="1684"/>
      <c r="AN1622" s="1684"/>
      <c r="AO1622" s="1684"/>
      <c r="AP1622" s="1684"/>
      <c r="AQ1622" s="1684"/>
      <c r="AR1622" s="1684"/>
      <c r="AS1622" s="1684"/>
      <c r="AT1622" s="1684"/>
      <c r="AU1622" s="1684"/>
      <c r="AV1622" s="1684"/>
      <c r="AW1622" s="1684"/>
      <c r="AX1622" s="1684"/>
      <c r="AY1622" s="1684"/>
      <c r="AZ1622" s="1684"/>
      <c r="BA1622" s="1684"/>
      <c r="BB1622" s="1684"/>
      <c r="BC1622" s="1684"/>
      <c r="BD1622" s="1684"/>
      <c r="BE1622" s="1684"/>
      <c r="BF1622" s="1684"/>
      <c r="BG1622" s="1684"/>
      <c r="BH1622" s="1684"/>
      <c r="BI1622" s="1684"/>
      <c r="BJ1622" s="1684"/>
      <c r="BK1622" s="1684"/>
      <c r="BL1622" s="1684"/>
      <c r="BM1622" s="1684"/>
      <c r="BN1622" s="1684"/>
      <c r="BO1622" s="1684"/>
      <c r="BP1622" s="1684"/>
      <c r="BQ1622" s="1684"/>
      <c r="BR1622" s="1684"/>
      <c r="BS1622" s="1684"/>
      <c r="BT1622" s="1684"/>
      <c r="BU1622" s="1684"/>
      <c r="BV1622" s="1684"/>
      <c r="BW1622" s="1684"/>
      <c r="BX1622" s="1684"/>
      <c r="BY1622" s="1684"/>
      <c r="BZ1622" s="1684"/>
      <c r="CA1622" s="1684"/>
      <c r="CB1622" s="1684"/>
      <c r="CC1622" s="1684"/>
      <c r="CD1622" s="1684"/>
      <c r="CE1622" s="1684"/>
      <c r="CF1622" s="1684"/>
      <c r="CG1622" s="1684"/>
      <c r="CH1622" s="1684"/>
      <c r="CI1622" s="1684"/>
      <c r="CJ1622" s="1684"/>
      <c r="CK1622" s="1684"/>
      <c r="CL1622" s="1684"/>
      <c r="CM1622" s="1684"/>
      <c r="CN1622" s="1684"/>
      <c r="CO1622" s="1684"/>
      <c r="CP1622" s="1391"/>
      <c r="CQ1622" s="1391"/>
      <c r="CR1622" s="1391"/>
      <c r="CS1622" s="1391"/>
      <c r="CT1622" s="1391"/>
      <c r="CU1622" s="1391"/>
      <c r="CV1622" s="1391"/>
      <c r="CW1622" s="1391"/>
      <c r="CX1622" s="1391"/>
      <c r="CY1622" s="1391"/>
      <c r="CZ1622" s="1391"/>
      <c r="DA1622" s="1391"/>
      <c r="DB1622" s="1391"/>
      <c r="DC1622" s="1391"/>
      <c r="DD1622" s="1391"/>
      <c r="DE1622" s="1391"/>
      <c r="DF1622" s="1391"/>
      <c r="DG1622" s="1391"/>
      <c r="DH1622" s="1391"/>
      <c r="DI1622" s="1391"/>
    </row>
    <row r="1623" spans="1:113" ht="15.75" x14ac:dyDescent="0.25">
      <c r="A1623" s="1417"/>
      <c r="B1623" s="1417">
        <v>1.4</v>
      </c>
      <c r="C1623" s="1417">
        <v>32</v>
      </c>
      <c r="D1623" s="1391"/>
      <c r="E1623" s="1417"/>
      <c r="F1623" s="1694" t="s">
        <v>3012</v>
      </c>
      <c r="G1623" s="1694">
        <v>120.1</v>
      </c>
      <c r="H1623" s="1694">
        <v>111.4</v>
      </c>
      <c r="I1623" s="1694">
        <v>90</v>
      </c>
      <c r="J1623" s="1694">
        <v>73</v>
      </c>
      <c r="K1623" s="1694"/>
      <c r="L1623" s="1694"/>
      <c r="M1623" s="1694"/>
      <c r="N1623" s="1694"/>
      <c r="O1623" s="1417"/>
      <c r="P1623" s="1694" t="s">
        <v>3012</v>
      </c>
      <c r="Q1623" s="1694">
        <v>33.6</v>
      </c>
      <c r="R1623" s="1694">
        <v>30.7</v>
      </c>
      <c r="S1623" s="1694">
        <v>24.8</v>
      </c>
      <c r="T1623" s="1694">
        <v>22.9</v>
      </c>
      <c r="U1623" s="1694"/>
      <c r="V1623" s="1694"/>
      <c r="W1623" s="1694"/>
      <c r="X1623" s="1694"/>
      <c r="Y1623" s="1417"/>
      <c r="Z1623" s="1417"/>
      <c r="AA1623" s="1417"/>
      <c r="AB1623" s="1417"/>
      <c r="AC1623" s="1684"/>
      <c r="AD1623" s="1391"/>
      <c r="AE1623" s="1391"/>
      <c r="AF1623" s="1391"/>
      <c r="AG1623" s="1391"/>
      <c r="AH1623" s="1391"/>
      <c r="AI1623" s="1391"/>
      <c r="AJ1623" s="1391"/>
      <c r="AK1623" s="1391"/>
      <c r="AL1623" s="1684"/>
      <c r="AM1623" s="1684"/>
      <c r="AN1623" s="1684"/>
      <c r="AO1623" s="1684"/>
      <c r="AP1623" s="1684"/>
      <c r="AQ1623" s="1684"/>
      <c r="AR1623" s="1684"/>
      <c r="AS1623" s="1684"/>
      <c r="AT1623" s="1684"/>
      <c r="AU1623" s="1684"/>
      <c r="AV1623" s="1684"/>
      <c r="AW1623" s="1684"/>
      <c r="AX1623" s="1684"/>
      <c r="AY1623" s="1684"/>
      <c r="AZ1623" s="1684"/>
      <c r="BA1623" s="1684"/>
      <c r="BB1623" s="1684"/>
      <c r="BC1623" s="1684"/>
      <c r="BD1623" s="1684"/>
      <c r="BE1623" s="1684"/>
      <c r="BF1623" s="1684"/>
      <c r="BG1623" s="1684"/>
      <c r="BH1623" s="1684"/>
      <c r="BI1623" s="1684"/>
      <c r="BJ1623" s="1684"/>
      <c r="BK1623" s="1684"/>
      <c r="BL1623" s="1684"/>
      <c r="BM1623" s="1684"/>
      <c r="BN1623" s="1684"/>
      <c r="BO1623" s="1684"/>
      <c r="BP1623" s="1684"/>
      <c r="BQ1623" s="1684"/>
      <c r="BR1623" s="1684"/>
      <c r="BS1623" s="1684"/>
      <c r="BT1623" s="1684"/>
      <c r="BU1623" s="1684"/>
      <c r="BV1623" s="1684"/>
      <c r="BW1623" s="1684"/>
      <c r="BX1623" s="1684"/>
      <c r="BY1623" s="1684"/>
      <c r="BZ1623" s="1684"/>
      <c r="CA1623" s="1684"/>
      <c r="CB1623" s="1684"/>
      <c r="CC1623" s="1684"/>
      <c r="CD1623" s="1684"/>
      <c r="CE1623" s="1684"/>
      <c r="CF1623" s="1684"/>
      <c r="CG1623" s="1684"/>
      <c r="CH1623" s="1684"/>
      <c r="CI1623" s="1684"/>
      <c r="CJ1623" s="1684"/>
      <c r="CK1623" s="1684"/>
      <c r="CL1623" s="1684"/>
      <c r="CM1623" s="1684"/>
      <c r="CN1623" s="1684"/>
      <c r="CO1623" s="1684"/>
      <c r="CP1623" s="1391"/>
      <c r="CQ1623" s="1391"/>
      <c r="CR1623" s="1391"/>
      <c r="CS1623" s="1391"/>
      <c r="CT1623" s="1391"/>
      <c r="CU1623" s="1391"/>
      <c r="CV1623" s="1391"/>
      <c r="CW1623" s="1391"/>
      <c r="CX1623" s="1391"/>
      <c r="CY1623" s="1391"/>
      <c r="CZ1623" s="1391"/>
      <c r="DA1623" s="1391"/>
      <c r="DB1623" s="1391"/>
      <c r="DC1623" s="1391"/>
      <c r="DD1623" s="1391"/>
      <c r="DE1623" s="1391"/>
      <c r="DF1623" s="1391"/>
      <c r="DG1623" s="1391"/>
      <c r="DH1623" s="1391"/>
      <c r="DI1623" s="1391"/>
    </row>
    <row r="1624" spans="1:113" ht="15.75" x14ac:dyDescent="0.25">
      <c r="A1624" s="1417"/>
      <c r="B1624" s="1417">
        <v>1.1200000000000001</v>
      </c>
      <c r="C1624" s="1417">
        <v>36</v>
      </c>
      <c r="D1624" s="1391"/>
      <c r="E1624" s="1417"/>
      <c r="F1624" s="1694" t="s">
        <v>3013</v>
      </c>
      <c r="G1624" s="1694">
        <v>112</v>
      </c>
      <c r="H1624" s="1694">
        <v>102.9</v>
      </c>
      <c r="I1624" s="1694">
        <v>83</v>
      </c>
      <c r="J1624" s="1694">
        <v>67.3</v>
      </c>
      <c r="K1624" s="1694"/>
      <c r="L1624" s="1694"/>
      <c r="M1624" s="1694"/>
      <c r="N1624" s="1694"/>
      <c r="O1624" s="1417"/>
      <c r="P1624" s="1694" t="s">
        <v>3013</v>
      </c>
      <c r="Q1624" s="1694">
        <v>31.3</v>
      </c>
      <c r="R1624" s="1694">
        <v>28.9</v>
      </c>
      <c r="S1624" s="1694">
        <v>23</v>
      </c>
      <c r="T1624" s="1694">
        <v>21</v>
      </c>
      <c r="U1624" s="1694"/>
      <c r="V1624" s="1694"/>
      <c r="W1624" s="1694"/>
      <c r="X1624" s="1694"/>
      <c r="Y1624" s="1417"/>
      <c r="Z1624" s="1417"/>
      <c r="AA1624" s="1417"/>
      <c r="AB1624" s="1417"/>
      <c r="AC1624" s="1684"/>
      <c r="AD1624" s="1391"/>
      <c r="AE1624" s="1391"/>
      <c r="AF1624" s="1391"/>
      <c r="AG1624" s="1391"/>
      <c r="AH1624" s="1391"/>
      <c r="AI1624" s="1391"/>
      <c r="AJ1624" s="1391"/>
      <c r="AK1624" s="1391"/>
      <c r="AL1624" s="1684"/>
      <c r="AM1624" s="1684"/>
      <c r="AN1624" s="1684"/>
      <c r="AO1624" s="1684"/>
      <c r="AP1624" s="1684"/>
      <c r="AQ1624" s="1684"/>
      <c r="AR1624" s="1684"/>
      <c r="AS1624" s="1684"/>
      <c r="AT1624" s="1684"/>
      <c r="AU1624" s="1684"/>
      <c r="AV1624" s="1684"/>
      <c r="AW1624" s="1684"/>
      <c r="AX1624" s="1684"/>
      <c r="AY1624" s="1684"/>
      <c r="AZ1624" s="1684"/>
      <c r="BA1624" s="1684"/>
      <c r="BB1624" s="1684"/>
      <c r="BC1624" s="1684"/>
      <c r="BD1624" s="1684"/>
      <c r="BE1624" s="1684"/>
      <c r="BF1624" s="1684"/>
      <c r="BG1624" s="1684"/>
      <c r="BH1624" s="1684"/>
      <c r="BI1624" s="1684"/>
      <c r="BJ1624" s="1684"/>
      <c r="BK1624" s="1684"/>
      <c r="BL1624" s="1684"/>
      <c r="BM1624" s="1684"/>
      <c r="BN1624" s="1684"/>
      <c r="BO1624" s="1684"/>
      <c r="BP1624" s="1684"/>
      <c r="BQ1624" s="1684"/>
      <c r="BR1624" s="1684"/>
      <c r="BS1624" s="1684"/>
      <c r="BT1624" s="1684"/>
      <c r="BU1624" s="1684"/>
      <c r="BV1624" s="1684"/>
      <c r="BW1624" s="1684"/>
      <c r="BX1624" s="1684"/>
      <c r="BY1624" s="1684"/>
      <c r="BZ1624" s="1684"/>
      <c r="CA1624" s="1684"/>
      <c r="CB1624" s="1684"/>
      <c r="CC1624" s="1684"/>
      <c r="CD1624" s="1684"/>
      <c r="CE1624" s="1684"/>
      <c r="CF1624" s="1684"/>
      <c r="CG1624" s="1684"/>
      <c r="CH1624" s="1684"/>
      <c r="CI1624" s="1684"/>
      <c r="CJ1624" s="1684"/>
      <c r="CK1624" s="1684"/>
      <c r="CL1624" s="1684"/>
      <c r="CM1624" s="1684"/>
      <c r="CN1624" s="1684"/>
      <c r="CO1624" s="1684"/>
      <c r="CP1624" s="1391"/>
      <c r="CQ1624" s="1391"/>
      <c r="CR1624" s="1391"/>
      <c r="CS1624" s="1391"/>
      <c r="CT1624" s="1391"/>
      <c r="CU1624" s="1391"/>
      <c r="CV1624" s="1391"/>
      <c r="CW1624" s="1391"/>
      <c r="CX1624" s="1391"/>
      <c r="CY1624" s="1391"/>
      <c r="CZ1624" s="1391"/>
      <c r="DA1624" s="1391"/>
      <c r="DB1624" s="1391"/>
      <c r="DC1624" s="1391"/>
      <c r="DD1624" s="1391"/>
      <c r="DE1624" s="1391"/>
      <c r="DF1624" s="1391"/>
      <c r="DG1624" s="1391"/>
      <c r="DH1624" s="1391"/>
      <c r="DI1624" s="1391"/>
    </row>
    <row r="1625" spans="1:113" ht="15.75" x14ac:dyDescent="0.25">
      <c r="A1625" s="1417"/>
      <c r="B1625" s="1417">
        <v>1.85</v>
      </c>
      <c r="C1625" s="1417">
        <v>58</v>
      </c>
      <c r="D1625" s="1391"/>
      <c r="E1625" s="1417"/>
      <c r="F1625" s="1694" t="s">
        <v>3014</v>
      </c>
      <c r="G1625" s="1694">
        <v>107</v>
      </c>
      <c r="H1625" s="1694">
        <v>95.4</v>
      </c>
      <c r="I1625" s="1694">
        <v>77.599999999999994</v>
      </c>
      <c r="J1625" s="1694">
        <v>63.5</v>
      </c>
      <c r="K1625" s="1694"/>
      <c r="L1625" s="1694"/>
      <c r="M1625" s="1694"/>
      <c r="N1625" s="1694"/>
      <c r="O1625" s="1417"/>
      <c r="P1625" s="1694" t="s">
        <v>3014</v>
      </c>
      <c r="Q1625" s="1694">
        <v>29.5</v>
      </c>
      <c r="R1625" s="1694">
        <v>26.7</v>
      </c>
      <c r="S1625" s="1694">
        <v>21.5</v>
      </c>
      <c r="T1625" s="1694">
        <v>19.3</v>
      </c>
      <c r="U1625" s="1694"/>
      <c r="V1625" s="1694"/>
      <c r="W1625" s="1694"/>
      <c r="X1625" s="1694"/>
      <c r="Y1625" s="1417"/>
      <c r="Z1625" s="1417"/>
      <c r="AA1625" s="1417"/>
      <c r="AB1625" s="1417"/>
      <c r="AC1625" s="1684"/>
      <c r="AD1625" s="1391"/>
      <c r="AE1625" s="1391"/>
      <c r="AF1625" s="1391"/>
      <c r="AG1625" s="1391"/>
      <c r="AH1625" s="1391"/>
      <c r="AI1625" s="1391"/>
      <c r="AJ1625" s="1391"/>
      <c r="AK1625" s="1391"/>
      <c r="AL1625" s="1684"/>
      <c r="AM1625" s="1684"/>
      <c r="AN1625" s="1684"/>
      <c r="AO1625" s="1684"/>
      <c r="AP1625" s="1684"/>
      <c r="AQ1625" s="1684"/>
      <c r="AR1625" s="1684"/>
      <c r="AS1625" s="1684"/>
      <c r="AT1625" s="1684"/>
      <c r="AU1625" s="1684"/>
      <c r="AV1625" s="1684"/>
      <c r="AW1625" s="1684"/>
      <c r="AX1625" s="1684"/>
      <c r="AY1625" s="1684"/>
      <c r="AZ1625" s="1684"/>
      <c r="BA1625" s="1684"/>
      <c r="BB1625" s="1684"/>
      <c r="BC1625" s="1684"/>
      <c r="BD1625" s="1684"/>
      <c r="BE1625" s="1684"/>
      <c r="BF1625" s="1684"/>
      <c r="BG1625" s="1684"/>
      <c r="BH1625" s="1684"/>
      <c r="BI1625" s="1684"/>
      <c r="BJ1625" s="1684"/>
      <c r="BK1625" s="1684"/>
      <c r="BL1625" s="1684"/>
      <c r="BM1625" s="1684"/>
      <c r="BN1625" s="1684"/>
      <c r="BO1625" s="1684"/>
      <c r="BP1625" s="1684"/>
      <c r="BQ1625" s="1684"/>
      <c r="BR1625" s="1684"/>
      <c r="BS1625" s="1684"/>
      <c r="BT1625" s="1684"/>
      <c r="BU1625" s="1684"/>
      <c r="BV1625" s="1684"/>
      <c r="BW1625" s="1684"/>
      <c r="BX1625" s="1684"/>
      <c r="BY1625" s="1684"/>
      <c r="BZ1625" s="1684"/>
      <c r="CA1625" s="1684"/>
      <c r="CB1625" s="1684"/>
      <c r="CC1625" s="1684"/>
      <c r="CD1625" s="1684"/>
      <c r="CE1625" s="1684"/>
      <c r="CF1625" s="1684"/>
      <c r="CG1625" s="1684"/>
      <c r="CH1625" s="1684"/>
      <c r="CI1625" s="1684"/>
      <c r="CJ1625" s="1684"/>
      <c r="CK1625" s="1684"/>
      <c r="CL1625" s="1684"/>
      <c r="CM1625" s="1684"/>
      <c r="CN1625" s="1684"/>
      <c r="CO1625" s="1684"/>
      <c r="CP1625" s="1391"/>
      <c r="CQ1625" s="1391"/>
      <c r="CR1625" s="1391"/>
      <c r="CS1625" s="1391"/>
      <c r="CT1625" s="1391"/>
      <c r="CU1625" s="1391"/>
      <c r="CV1625" s="1391"/>
      <c r="CW1625" s="1391"/>
      <c r="CX1625" s="1391"/>
      <c r="CY1625" s="1391"/>
      <c r="CZ1625" s="1391"/>
      <c r="DA1625" s="1391"/>
      <c r="DB1625" s="1391"/>
      <c r="DC1625" s="1391"/>
      <c r="DD1625" s="1391"/>
      <c r="DE1625" s="1391"/>
      <c r="DF1625" s="1391"/>
      <c r="DG1625" s="1391"/>
      <c r="DH1625" s="1391"/>
      <c r="DI1625" s="1391"/>
    </row>
    <row r="1626" spans="1:113" ht="15.75" x14ac:dyDescent="0.25">
      <c r="A1626" s="1417"/>
      <c r="B1626" s="1417">
        <v>2.5</v>
      </c>
      <c r="C1626" s="1417">
        <v>58</v>
      </c>
      <c r="D1626" s="1391"/>
      <c r="E1626" s="1417"/>
      <c r="F1626" s="1694" t="s">
        <v>3015</v>
      </c>
      <c r="G1626" s="1694">
        <v>97.5</v>
      </c>
      <c r="H1626" s="1694">
        <v>83.1</v>
      </c>
      <c r="I1626" s="1694">
        <v>69</v>
      </c>
      <c r="J1626" s="1694">
        <v>56.4</v>
      </c>
      <c r="K1626" s="1694"/>
      <c r="L1626" s="1694"/>
      <c r="M1626" s="1694"/>
      <c r="N1626" s="1694"/>
      <c r="O1626" s="1417"/>
      <c r="P1626" s="1694" t="s">
        <v>3015</v>
      </c>
      <c r="Q1626" s="1694">
        <v>27.1</v>
      </c>
      <c r="R1626" s="1694">
        <v>24.4</v>
      </c>
      <c r="S1626" s="1694">
        <v>19.3</v>
      </c>
      <c r="T1626" s="1694">
        <v>17.2</v>
      </c>
      <c r="U1626" s="1694"/>
      <c r="V1626" s="1694"/>
      <c r="W1626" s="1694"/>
      <c r="X1626" s="1694"/>
      <c r="Y1626" s="1417"/>
      <c r="Z1626" s="1417"/>
      <c r="AA1626" s="1417"/>
      <c r="AB1626" s="1417"/>
      <c r="AC1626" s="1684"/>
      <c r="AD1626" s="1391"/>
      <c r="AE1626" s="1391"/>
      <c r="AF1626" s="1391"/>
      <c r="AG1626" s="1391"/>
      <c r="AH1626" s="1391"/>
      <c r="AI1626" s="1391"/>
      <c r="AJ1626" s="1391"/>
      <c r="AK1626" s="1391"/>
      <c r="AL1626" s="1684"/>
      <c r="AM1626" s="1684"/>
      <c r="AN1626" s="1684"/>
      <c r="AO1626" s="1684"/>
      <c r="AP1626" s="1684"/>
      <c r="AQ1626" s="1684"/>
      <c r="AR1626" s="1684"/>
      <c r="AS1626" s="1684"/>
      <c r="AT1626" s="1684"/>
      <c r="AU1626" s="1684"/>
      <c r="AV1626" s="1684"/>
      <c r="AW1626" s="1684"/>
      <c r="AX1626" s="1684"/>
      <c r="AY1626" s="1684"/>
      <c r="AZ1626" s="1684"/>
      <c r="BA1626" s="1684"/>
      <c r="BB1626" s="1684"/>
      <c r="BC1626" s="1684"/>
      <c r="BD1626" s="1684"/>
      <c r="BE1626" s="1684"/>
      <c r="BF1626" s="1684"/>
      <c r="BG1626" s="1684"/>
      <c r="BH1626" s="1684"/>
      <c r="BI1626" s="1684"/>
      <c r="BJ1626" s="1684"/>
      <c r="BK1626" s="1684"/>
      <c r="BL1626" s="1684"/>
      <c r="BM1626" s="1684"/>
      <c r="BN1626" s="1684"/>
      <c r="BO1626" s="1684"/>
      <c r="BP1626" s="1684"/>
      <c r="BQ1626" s="1684"/>
      <c r="BR1626" s="1684"/>
      <c r="BS1626" s="1684"/>
      <c r="BT1626" s="1684"/>
      <c r="BU1626" s="1684"/>
      <c r="BV1626" s="1684"/>
      <c r="BW1626" s="1684"/>
      <c r="BX1626" s="1684"/>
      <c r="BY1626" s="1684"/>
      <c r="BZ1626" s="1684"/>
      <c r="CA1626" s="1684"/>
      <c r="CB1626" s="1684"/>
      <c r="CC1626" s="1684"/>
      <c r="CD1626" s="1684"/>
      <c r="CE1626" s="1684"/>
      <c r="CF1626" s="1684"/>
      <c r="CG1626" s="1684"/>
      <c r="CH1626" s="1684"/>
      <c r="CI1626" s="1684"/>
      <c r="CJ1626" s="1684"/>
      <c r="CK1626" s="1684"/>
      <c r="CL1626" s="1684"/>
      <c r="CM1626" s="1684"/>
      <c r="CN1626" s="1684"/>
      <c r="CO1626" s="1684"/>
      <c r="CP1626" s="1391"/>
      <c r="CQ1626" s="1391"/>
      <c r="CR1626" s="1391"/>
      <c r="CS1626" s="1391"/>
      <c r="CT1626" s="1391"/>
      <c r="CU1626" s="1391"/>
      <c r="CV1626" s="1391"/>
      <c r="CW1626" s="1391"/>
      <c r="CX1626" s="1391"/>
      <c r="CY1626" s="1391"/>
      <c r="CZ1626" s="1391"/>
      <c r="DA1626" s="1391"/>
      <c r="DB1626" s="1391"/>
      <c r="DC1626" s="1391"/>
      <c r="DD1626" s="1391"/>
      <c r="DE1626" s="1391"/>
      <c r="DF1626" s="1391"/>
      <c r="DG1626" s="1391"/>
      <c r="DH1626" s="1391"/>
      <c r="DI1626" s="1391"/>
    </row>
    <row r="1627" spans="1:113" ht="15.75" x14ac:dyDescent="0.25">
      <c r="A1627" s="1417"/>
      <c r="B1627" s="1417">
        <v>2.1</v>
      </c>
      <c r="C1627" s="1417">
        <v>62</v>
      </c>
      <c r="D1627" s="1391"/>
      <c r="E1627" s="1417"/>
      <c r="F1627" s="1694" t="s">
        <v>3016</v>
      </c>
      <c r="G1627" s="1694">
        <v>87.9</v>
      </c>
      <c r="H1627" s="1694">
        <v>78.3</v>
      </c>
      <c r="I1627" s="1694">
        <v>60.9</v>
      </c>
      <c r="J1627" s="1694">
        <v>49.7</v>
      </c>
      <c r="K1627" s="1694"/>
      <c r="L1627" s="1694"/>
      <c r="M1627" s="1694"/>
      <c r="N1627" s="1694"/>
      <c r="O1627" s="1417"/>
      <c r="P1627" s="1694" t="s">
        <v>3016</v>
      </c>
      <c r="Q1627" s="1694">
        <v>24.6</v>
      </c>
      <c r="R1627" s="1694">
        <v>22</v>
      </c>
      <c r="S1627" s="1694">
        <v>17.2</v>
      </c>
      <c r="T1627" s="1694">
        <v>15.3</v>
      </c>
      <c r="U1627" s="1694"/>
      <c r="V1627" s="1694"/>
      <c r="W1627" s="1694"/>
      <c r="X1627" s="1694"/>
      <c r="Y1627" s="1417"/>
      <c r="Z1627" s="1417"/>
      <c r="AA1627" s="1417"/>
      <c r="AB1627" s="1417"/>
      <c r="AC1627" s="1684"/>
      <c r="AD1627" s="1391"/>
      <c r="AE1627" s="1391"/>
      <c r="AF1627" s="1391"/>
      <c r="AG1627" s="1391"/>
      <c r="AH1627" s="1391"/>
      <c r="AI1627" s="1391"/>
      <c r="AJ1627" s="1391"/>
      <c r="AK1627" s="1391"/>
      <c r="AL1627" s="1684"/>
      <c r="AM1627" s="1684"/>
      <c r="AN1627" s="1684"/>
      <c r="AO1627" s="1684"/>
      <c r="AP1627" s="1684"/>
      <c r="AQ1627" s="1684"/>
      <c r="AR1627" s="1684"/>
      <c r="AS1627" s="1684"/>
      <c r="AT1627" s="1684"/>
      <c r="AU1627" s="1684"/>
      <c r="AV1627" s="1684"/>
      <c r="AW1627" s="1684"/>
      <c r="AX1627" s="1684"/>
      <c r="AY1627" s="1684"/>
      <c r="AZ1627" s="1684"/>
      <c r="BA1627" s="1684"/>
      <c r="BB1627" s="1684"/>
      <c r="BC1627" s="1684"/>
      <c r="BD1627" s="1684"/>
      <c r="BE1627" s="1684"/>
      <c r="BF1627" s="1684"/>
      <c r="BG1627" s="1684"/>
      <c r="BH1627" s="1684"/>
      <c r="BI1627" s="1684"/>
      <c r="BJ1627" s="1684"/>
      <c r="BK1627" s="1684"/>
      <c r="BL1627" s="1684"/>
      <c r="BM1627" s="1684"/>
      <c r="BN1627" s="1684"/>
      <c r="BO1627" s="1684"/>
      <c r="BP1627" s="1684"/>
      <c r="BQ1627" s="1684"/>
      <c r="BR1627" s="1684"/>
      <c r="BS1627" s="1684"/>
      <c r="BT1627" s="1684"/>
      <c r="BU1627" s="1684"/>
      <c r="BV1627" s="1684"/>
      <c r="BW1627" s="1684"/>
      <c r="BX1627" s="1684"/>
      <c r="BY1627" s="1684"/>
      <c r="BZ1627" s="1684"/>
      <c r="CA1627" s="1684"/>
      <c r="CB1627" s="1684"/>
      <c r="CC1627" s="1684"/>
      <c r="CD1627" s="1684"/>
      <c r="CE1627" s="1684"/>
      <c r="CF1627" s="1684"/>
      <c r="CG1627" s="1684"/>
      <c r="CH1627" s="1684"/>
      <c r="CI1627" s="1684"/>
      <c r="CJ1627" s="1684"/>
      <c r="CK1627" s="1684"/>
      <c r="CL1627" s="1684"/>
      <c r="CM1627" s="1684"/>
      <c r="CN1627" s="1684"/>
      <c r="CO1627" s="1684"/>
      <c r="CP1627" s="1391"/>
      <c r="CQ1627" s="1391"/>
      <c r="CR1627" s="1391"/>
      <c r="CS1627" s="1391"/>
      <c r="CT1627" s="1391"/>
      <c r="CU1627" s="1391"/>
      <c r="CV1627" s="1391"/>
      <c r="CW1627" s="1391"/>
      <c r="CX1627" s="1391"/>
      <c r="CY1627" s="1391"/>
      <c r="CZ1627" s="1391"/>
      <c r="DA1627" s="1391"/>
      <c r="DB1627" s="1391"/>
      <c r="DC1627" s="1391"/>
      <c r="DD1627" s="1391"/>
      <c r="DE1627" s="1391"/>
      <c r="DF1627" s="1391"/>
      <c r="DG1627" s="1391"/>
      <c r="DH1627" s="1391"/>
      <c r="DI1627" s="1391"/>
    </row>
    <row r="1628" spans="1:113" ht="15.75" x14ac:dyDescent="0.25">
      <c r="A1628" s="1417"/>
      <c r="B1628" s="1417">
        <v>2.75</v>
      </c>
      <c r="C1628" s="1417">
        <v>62</v>
      </c>
      <c r="D1628" s="1391"/>
      <c r="E1628" s="1417"/>
      <c r="F1628" s="1694" t="s">
        <v>3017</v>
      </c>
      <c r="G1628" s="1694">
        <v>78.7</v>
      </c>
      <c r="H1628" s="1694">
        <v>70.2</v>
      </c>
      <c r="I1628" s="1694">
        <v>53.5</v>
      </c>
      <c r="J1628" s="1694">
        <v>44.1</v>
      </c>
      <c r="K1628" s="1694"/>
      <c r="L1628" s="1694"/>
      <c r="M1628" s="1694"/>
      <c r="N1628" s="1694"/>
      <c r="O1628" s="1417"/>
      <c r="P1628" s="1694" t="s">
        <v>3017</v>
      </c>
      <c r="Q1628" s="1694">
        <v>22.2</v>
      </c>
      <c r="R1628" s="1694">
        <v>19.8</v>
      </c>
      <c r="S1628" s="1694">
        <v>15.3</v>
      </c>
      <c r="T1628" s="1694">
        <v>13.5</v>
      </c>
      <c r="U1628" s="1694"/>
      <c r="V1628" s="1694"/>
      <c r="W1628" s="1694"/>
      <c r="X1628" s="1694"/>
      <c r="Y1628" s="1417"/>
      <c r="Z1628" s="1417"/>
      <c r="AA1628" s="1417"/>
      <c r="AB1628" s="1417"/>
      <c r="AC1628" s="1684"/>
      <c r="AD1628" s="1391"/>
      <c r="AE1628" s="1391"/>
      <c r="AF1628" s="1391"/>
      <c r="AG1628" s="1391"/>
      <c r="AH1628" s="1391"/>
      <c r="AI1628" s="1391"/>
      <c r="AJ1628" s="1391"/>
      <c r="AK1628" s="1391"/>
      <c r="AL1628" s="1684"/>
      <c r="AM1628" s="1684"/>
      <c r="AN1628" s="1684"/>
      <c r="AO1628" s="1684"/>
      <c r="AP1628" s="1684"/>
      <c r="AQ1628" s="1684"/>
      <c r="AR1628" s="1684"/>
      <c r="AS1628" s="1684"/>
      <c r="AT1628" s="1684"/>
      <c r="AU1628" s="1684"/>
      <c r="AV1628" s="1684"/>
      <c r="AW1628" s="1684"/>
      <c r="AX1628" s="1684"/>
      <c r="AY1628" s="1684"/>
      <c r="AZ1628" s="1684"/>
      <c r="BA1628" s="1684"/>
      <c r="BB1628" s="1684"/>
      <c r="BC1628" s="1684"/>
      <c r="BD1628" s="1684"/>
      <c r="BE1628" s="1684"/>
      <c r="BF1628" s="1684"/>
      <c r="BG1628" s="1684"/>
      <c r="BH1628" s="1684"/>
      <c r="BI1628" s="1684"/>
      <c r="BJ1628" s="1684"/>
      <c r="BK1628" s="1684"/>
      <c r="BL1628" s="1684"/>
      <c r="BM1628" s="1684"/>
      <c r="BN1628" s="1684"/>
      <c r="BO1628" s="1684"/>
      <c r="BP1628" s="1684"/>
      <c r="BQ1628" s="1684"/>
      <c r="BR1628" s="1684"/>
      <c r="BS1628" s="1684"/>
      <c r="BT1628" s="1684"/>
      <c r="BU1628" s="1684"/>
      <c r="BV1628" s="1684"/>
      <c r="BW1628" s="1684"/>
      <c r="BX1628" s="1684"/>
      <c r="BY1628" s="1684"/>
      <c r="BZ1628" s="1684"/>
      <c r="CA1628" s="1684"/>
      <c r="CB1628" s="1684"/>
      <c r="CC1628" s="1684"/>
      <c r="CD1628" s="1684"/>
      <c r="CE1628" s="1684"/>
      <c r="CF1628" s="1684"/>
      <c r="CG1628" s="1684"/>
      <c r="CH1628" s="1684"/>
      <c r="CI1628" s="1684"/>
      <c r="CJ1628" s="1684"/>
      <c r="CK1628" s="1684"/>
      <c r="CL1628" s="1684"/>
      <c r="CM1628" s="1684"/>
      <c r="CN1628" s="1684"/>
      <c r="CO1628" s="1684"/>
      <c r="CP1628" s="1391"/>
      <c r="CQ1628" s="1391"/>
      <c r="CR1628" s="1391"/>
      <c r="CS1628" s="1391"/>
      <c r="CT1628" s="1391"/>
      <c r="CU1628" s="1391"/>
      <c r="CV1628" s="1391"/>
      <c r="CW1628" s="1391"/>
      <c r="CX1628" s="1391"/>
      <c r="CY1628" s="1391"/>
      <c r="CZ1628" s="1391"/>
      <c r="DA1628" s="1391"/>
      <c r="DB1628" s="1391"/>
      <c r="DC1628" s="1391"/>
      <c r="DD1628" s="1391"/>
      <c r="DE1628" s="1391"/>
      <c r="DF1628" s="1391"/>
      <c r="DG1628" s="1391"/>
      <c r="DH1628" s="1391"/>
      <c r="DI1628" s="1391"/>
    </row>
    <row r="1629" spans="1:113" ht="15.75" x14ac:dyDescent="0.25">
      <c r="A1629" s="1417"/>
      <c r="B1629" s="1417">
        <v>2.35</v>
      </c>
      <c r="C1629" s="1417">
        <v>64</v>
      </c>
      <c r="D1629" s="1391"/>
      <c r="E1629" s="1417"/>
      <c r="F1629" s="1694" t="s">
        <v>3018</v>
      </c>
      <c r="G1629" s="1694">
        <v>70.2</v>
      </c>
      <c r="H1629" s="1694">
        <v>62.6</v>
      </c>
      <c r="I1629" s="1694">
        <v>47.1</v>
      </c>
      <c r="J1629" s="1694">
        <v>38.4</v>
      </c>
      <c r="K1629" s="1694"/>
      <c r="L1629" s="1694"/>
      <c r="M1629" s="1694"/>
      <c r="N1629" s="1694"/>
      <c r="O1629" s="1417"/>
      <c r="P1629" s="1694" t="s">
        <v>3018</v>
      </c>
      <c r="Q1629" s="1694">
        <v>19.100000000000001</v>
      </c>
      <c r="R1629" s="1694">
        <v>17.7</v>
      </c>
      <c r="S1629" s="1694">
        <v>13.5</v>
      </c>
      <c r="T1629" s="1694">
        <v>11.9</v>
      </c>
      <c r="U1629" s="1694"/>
      <c r="V1629" s="1694"/>
      <c r="W1629" s="1694"/>
      <c r="X1629" s="1694"/>
      <c r="Y1629" s="1417"/>
      <c r="Z1629" s="1417"/>
      <c r="AA1629" s="1417"/>
      <c r="AB1629" s="1417"/>
      <c r="AC1629" s="1684"/>
      <c r="AD1629" s="1391"/>
      <c r="AE1629" s="1391"/>
      <c r="AF1629" s="1391"/>
      <c r="AG1629" s="1391"/>
      <c r="AH1629" s="1391"/>
      <c r="AI1629" s="1391"/>
      <c r="AJ1629" s="1391"/>
      <c r="AK1629" s="1391"/>
      <c r="AL1629" s="1684"/>
      <c r="AM1629" s="1684"/>
      <c r="AN1629" s="1684"/>
      <c r="AO1629" s="1684"/>
      <c r="AP1629" s="1684"/>
      <c r="AQ1629" s="1684"/>
      <c r="AR1629" s="1684"/>
      <c r="AS1629" s="1684"/>
      <c r="AT1629" s="1684"/>
      <c r="AU1629" s="1684"/>
      <c r="AV1629" s="1684"/>
      <c r="AW1629" s="1684"/>
      <c r="AX1629" s="1684"/>
      <c r="AY1629" s="1684"/>
      <c r="AZ1629" s="1684"/>
      <c r="BA1629" s="1684"/>
      <c r="BB1629" s="1684"/>
      <c r="BC1629" s="1684"/>
      <c r="BD1629" s="1684"/>
      <c r="BE1629" s="1684"/>
      <c r="BF1629" s="1684"/>
      <c r="BG1629" s="1684"/>
      <c r="BH1629" s="1684"/>
      <c r="BI1629" s="1684"/>
      <c r="BJ1629" s="1684"/>
      <c r="BK1629" s="1684"/>
      <c r="BL1629" s="1684"/>
      <c r="BM1629" s="1684"/>
      <c r="BN1629" s="1684"/>
      <c r="BO1629" s="1684"/>
      <c r="BP1629" s="1684"/>
      <c r="BQ1629" s="1684"/>
      <c r="BR1629" s="1684"/>
      <c r="BS1629" s="1684"/>
      <c r="BT1629" s="1684"/>
      <c r="BU1629" s="1684"/>
      <c r="BV1629" s="1684"/>
      <c r="BW1629" s="1684"/>
      <c r="BX1629" s="1684"/>
      <c r="BY1629" s="1684"/>
      <c r="BZ1629" s="1684"/>
      <c r="CA1629" s="1684"/>
      <c r="CB1629" s="1684"/>
      <c r="CC1629" s="1684"/>
      <c r="CD1629" s="1684"/>
      <c r="CE1629" s="1684"/>
      <c r="CF1629" s="1684"/>
      <c r="CG1629" s="1684"/>
      <c r="CH1629" s="1684"/>
      <c r="CI1629" s="1684"/>
      <c r="CJ1629" s="1684"/>
      <c r="CK1629" s="1684"/>
      <c r="CL1629" s="1684"/>
      <c r="CM1629" s="1684"/>
      <c r="CN1629" s="1684"/>
      <c r="CO1629" s="1684"/>
      <c r="CP1629" s="1391"/>
      <c r="CQ1629" s="1391"/>
      <c r="CR1629" s="1391"/>
      <c r="CS1629" s="1391"/>
      <c r="CT1629" s="1391"/>
      <c r="CU1629" s="1391"/>
      <c r="CV1629" s="1391"/>
      <c r="CW1629" s="1391"/>
      <c r="CX1629" s="1391"/>
      <c r="CY1629" s="1391"/>
      <c r="CZ1629" s="1391"/>
      <c r="DA1629" s="1391"/>
      <c r="DB1629" s="1391"/>
      <c r="DC1629" s="1391"/>
      <c r="DD1629" s="1391"/>
      <c r="DE1629" s="1391"/>
      <c r="DF1629" s="1391"/>
      <c r="DG1629" s="1391"/>
      <c r="DH1629" s="1391"/>
      <c r="DI1629" s="1391"/>
    </row>
    <row r="1630" spans="1:113" ht="15.75" x14ac:dyDescent="0.25">
      <c r="A1630" s="1417"/>
      <c r="B1630" s="1417">
        <v>3</v>
      </c>
      <c r="C1630" s="1417">
        <v>64</v>
      </c>
      <c r="D1630" s="1391"/>
      <c r="E1630" s="1417"/>
      <c r="F1630" s="1694" t="s">
        <v>3019</v>
      </c>
      <c r="G1630" s="1694">
        <v>60.4</v>
      </c>
      <c r="H1630" s="1694">
        <v>55.1</v>
      </c>
      <c r="I1630" s="1694">
        <v>41.3</v>
      </c>
      <c r="J1630" s="1694">
        <v>33.700000000000003</v>
      </c>
      <c r="K1630" s="1694"/>
      <c r="L1630" s="1694"/>
      <c r="M1630" s="1694"/>
      <c r="N1630" s="1694"/>
      <c r="O1630" s="1417"/>
      <c r="P1630" s="1694" t="s">
        <v>3019</v>
      </c>
      <c r="Q1630" s="1694">
        <v>17.399999999999999</v>
      </c>
      <c r="R1630" s="1694">
        <v>15.7</v>
      </c>
      <c r="S1630" s="1694">
        <v>12</v>
      </c>
      <c r="T1630" s="1694">
        <v>10.4</v>
      </c>
      <c r="U1630" s="1694"/>
      <c r="V1630" s="1694"/>
      <c r="W1630" s="1694"/>
      <c r="X1630" s="1694"/>
      <c r="Y1630" s="1417"/>
      <c r="Z1630" s="1417"/>
      <c r="AA1630" s="1417"/>
      <c r="AB1630" s="1417"/>
      <c r="AC1630" s="1684"/>
      <c r="AD1630" s="1391"/>
      <c r="AE1630" s="1391"/>
      <c r="AF1630" s="1391"/>
      <c r="AG1630" s="1391"/>
      <c r="AH1630" s="1391"/>
      <c r="AI1630" s="1391"/>
      <c r="AJ1630" s="1391"/>
      <c r="AK1630" s="1391"/>
      <c r="AL1630" s="1684"/>
      <c r="AM1630" s="1684"/>
      <c r="AN1630" s="1684"/>
      <c r="AO1630" s="1684"/>
      <c r="AP1630" s="1684"/>
      <c r="AQ1630" s="1684"/>
      <c r="AR1630" s="1684"/>
      <c r="AS1630" s="1684"/>
      <c r="AT1630" s="1684"/>
      <c r="AU1630" s="1684"/>
      <c r="AV1630" s="1684"/>
      <c r="AW1630" s="1684"/>
      <c r="AX1630" s="1684"/>
      <c r="AY1630" s="1684"/>
      <c r="AZ1630" s="1684"/>
      <c r="BA1630" s="1684"/>
      <c r="BB1630" s="1684"/>
      <c r="BC1630" s="1684"/>
      <c r="BD1630" s="1684"/>
      <c r="BE1630" s="1684"/>
      <c r="BF1630" s="1684"/>
      <c r="BG1630" s="1684"/>
      <c r="BH1630" s="1684"/>
      <c r="BI1630" s="1684"/>
      <c r="BJ1630" s="1684"/>
      <c r="BK1630" s="1684"/>
      <c r="BL1630" s="1684"/>
      <c r="BM1630" s="1684"/>
      <c r="BN1630" s="1684"/>
      <c r="BO1630" s="1684"/>
      <c r="BP1630" s="1684"/>
      <c r="BQ1630" s="1684"/>
      <c r="BR1630" s="1684"/>
      <c r="BS1630" s="1684"/>
      <c r="BT1630" s="1684"/>
      <c r="BU1630" s="1684"/>
      <c r="BV1630" s="1684"/>
      <c r="BW1630" s="1684"/>
      <c r="BX1630" s="1684"/>
      <c r="BY1630" s="1684"/>
      <c r="BZ1630" s="1684"/>
      <c r="CA1630" s="1684"/>
      <c r="CB1630" s="1684"/>
      <c r="CC1630" s="1684"/>
      <c r="CD1630" s="1684"/>
      <c r="CE1630" s="1684"/>
      <c r="CF1630" s="1684"/>
      <c r="CG1630" s="1684"/>
      <c r="CH1630" s="1684"/>
      <c r="CI1630" s="1684"/>
      <c r="CJ1630" s="1684"/>
      <c r="CK1630" s="1684"/>
      <c r="CL1630" s="1684"/>
      <c r="CM1630" s="1684"/>
      <c r="CN1630" s="1684"/>
      <c r="CO1630" s="1684"/>
      <c r="CP1630" s="1391"/>
      <c r="CQ1630" s="1391"/>
      <c r="CR1630" s="1391"/>
      <c r="CS1630" s="1391"/>
      <c r="CT1630" s="1391"/>
      <c r="CU1630" s="1391"/>
      <c r="CV1630" s="1391"/>
      <c r="CW1630" s="1391"/>
      <c r="CX1630" s="1391"/>
      <c r="CY1630" s="1391"/>
      <c r="CZ1630" s="1391"/>
      <c r="DA1630" s="1391"/>
      <c r="DB1630" s="1391"/>
      <c r="DC1630" s="1391"/>
      <c r="DD1630" s="1391"/>
      <c r="DE1630" s="1391"/>
      <c r="DF1630" s="1391"/>
      <c r="DG1630" s="1391"/>
      <c r="DH1630" s="1391"/>
      <c r="DI1630" s="1391"/>
    </row>
    <row r="1631" spans="1:113" ht="15.75" x14ac:dyDescent="0.25">
      <c r="A1631" s="1417"/>
      <c r="B1631" s="1417">
        <v>2.6</v>
      </c>
      <c r="C1631" s="1417">
        <v>67</v>
      </c>
      <c r="D1631" s="1391"/>
      <c r="E1631" s="1417"/>
      <c r="F1631" s="1694" t="s">
        <v>3020</v>
      </c>
      <c r="G1631" s="1694">
        <v>53.8</v>
      </c>
      <c r="H1631" s="1694">
        <v>49.2</v>
      </c>
      <c r="I1631" s="1694">
        <v>36.5</v>
      </c>
      <c r="J1631" s="1694">
        <v>29.7</v>
      </c>
      <c r="K1631" s="1694"/>
      <c r="L1631" s="1694"/>
      <c r="M1631" s="1694"/>
      <c r="N1631" s="1694"/>
      <c r="O1631" s="1417"/>
      <c r="P1631" s="1694" t="s">
        <v>3020</v>
      </c>
      <c r="Q1631" s="1694">
        <v>15.6</v>
      </c>
      <c r="R1631" s="1694">
        <v>14</v>
      </c>
      <c r="S1631" s="1694">
        <v>10.6</v>
      </c>
      <c r="T1631" s="1694">
        <v>9.1999999999999993</v>
      </c>
      <c r="U1631" s="1694"/>
      <c r="V1631" s="1694"/>
      <c r="W1631" s="1694"/>
      <c r="X1631" s="1694"/>
      <c r="Y1631" s="1417"/>
      <c r="Z1631" s="1417"/>
      <c r="AA1631" s="1417"/>
      <c r="AB1631" s="1417"/>
      <c r="AC1631" s="1684"/>
      <c r="AD1631" s="1391"/>
      <c r="AE1631" s="1391"/>
      <c r="AF1631" s="1391"/>
      <c r="AG1631" s="1391"/>
      <c r="AH1631" s="1391"/>
      <c r="AI1631" s="1391"/>
      <c r="AJ1631" s="1391"/>
      <c r="AK1631" s="1391"/>
      <c r="AL1631" s="1684"/>
      <c r="AM1631" s="1684"/>
      <c r="AN1631" s="1684"/>
      <c r="AO1631" s="1684"/>
      <c r="AP1631" s="1684"/>
      <c r="AQ1631" s="1684"/>
      <c r="AR1631" s="1684"/>
      <c r="AS1631" s="1684"/>
      <c r="AT1631" s="1684"/>
      <c r="AU1631" s="1684"/>
      <c r="AV1631" s="1684"/>
      <c r="AW1631" s="1684"/>
      <c r="AX1631" s="1684"/>
      <c r="AY1631" s="1684"/>
      <c r="AZ1631" s="1684"/>
      <c r="BA1631" s="1684"/>
      <c r="BB1631" s="1684"/>
      <c r="BC1631" s="1684"/>
      <c r="BD1631" s="1684"/>
      <c r="BE1631" s="1684"/>
      <c r="BF1631" s="1684"/>
      <c r="BG1631" s="1684"/>
      <c r="BH1631" s="1684"/>
      <c r="BI1631" s="1684"/>
      <c r="BJ1631" s="1684"/>
      <c r="BK1631" s="1684"/>
      <c r="BL1631" s="1684"/>
      <c r="BM1631" s="1684"/>
      <c r="BN1631" s="1684"/>
      <c r="BO1631" s="1684"/>
      <c r="BP1631" s="1684"/>
      <c r="BQ1631" s="1684"/>
      <c r="BR1631" s="1684"/>
      <c r="BS1631" s="1684"/>
      <c r="BT1631" s="1684"/>
      <c r="BU1631" s="1684"/>
      <c r="BV1631" s="1684"/>
      <c r="BW1631" s="1684"/>
      <c r="BX1631" s="1684"/>
      <c r="BY1631" s="1684"/>
      <c r="BZ1631" s="1684"/>
      <c r="CA1631" s="1684"/>
      <c r="CB1631" s="1684"/>
      <c r="CC1631" s="1684"/>
      <c r="CD1631" s="1684"/>
      <c r="CE1631" s="1684"/>
      <c r="CF1631" s="1684"/>
      <c r="CG1631" s="1684"/>
      <c r="CH1631" s="1684"/>
      <c r="CI1631" s="1684"/>
      <c r="CJ1631" s="1684"/>
      <c r="CK1631" s="1684"/>
      <c r="CL1631" s="1684"/>
      <c r="CM1631" s="1684"/>
      <c r="CN1631" s="1684"/>
      <c r="CO1631" s="1684"/>
      <c r="CP1631" s="1391"/>
      <c r="CQ1631" s="1391"/>
      <c r="CR1631" s="1391"/>
      <c r="CS1631" s="1391"/>
      <c r="CT1631" s="1391"/>
      <c r="CU1631" s="1391"/>
      <c r="CV1631" s="1391"/>
      <c r="CW1631" s="1391"/>
      <c r="CX1631" s="1391"/>
      <c r="CY1631" s="1391"/>
      <c r="CZ1631" s="1391"/>
      <c r="DA1631" s="1391"/>
      <c r="DB1631" s="1391"/>
      <c r="DC1631" s="1391"/>
      <c r="DD1631" s="1391"/>
      <c r="DE1631" s="1391"/>
      <c r="DF1631" s="1391"/>
      <c r="DG1631" s="1391"/>
      <c r="DH1631" s="1391"/>
      <c r="DI1631" s="1391"/>
    </row>
    <row r="1632" spans="1:113" ht="15.75" x14ac:dyDescent="0.25">
      <c r="A1632" s="1417"/>
      <c r="B1632" s="1417">
        <v>3.25</v>
      </c>
      <c r="C1632" s="1417">
        <v>67</v>
      </c>
      <c r="D1632" s="1391"/>
      <c r="E1632" s="1417"/>
      <c r="F1632" s="1391"/>
      <c r="G1632" s="1417"/>
      <c r="H1632" s="1417"/>
      <c r="I1632" s="1417"/>
      <c r="J1632" s="1417"/>
      <c r="K1632" s="1417"/>
      <c r="L1632" s="1417"/>
      <c r="M1632" s="1417"/>
      <c r="N1632" s="1417"/>
      <c r="O1632" s="1417"/>
      <c r="P1632" s="1417"/>
      <c r="Q1632" s="1417"/>
      <c r="R1632" s="1417"/>
      <c r="S1632" s="1417"/>
      <c r="T1632" s="1417"/>
      <c r="U1632" s="1417"/>
      <c r="V1632" s="1417"/>
      <c r="W1632" s="1417"/>
      <c r="X1632" s="1417"/>
      <c r="Y1632" s="1417"/>
      <c r="Z1632" s="1417"/>
      <c r="AA1632" s="1417"/>
      <c r="AB1632" s="1417"/>
      <c r="AC1632" s="1417"/>
      <c r="AD1632" s="1417"/>
      <c r="AE1632" s="1417"/>
      <c r="AF1632" s="1417"/>
      <c r="AG1632" s="1417"/>
      <c r="AH1632" s="1417"/>
      <c r="AI1632" s="1417"/>
      <c r="AJ1632" s="1417"/>
      <c r="AK1632" s="1684"/>
      <c r="AL1632" s="1684"/>
      <c r="AM1632" s="1684"/>
      <c r="AN1632" s="1684"/>
      <c r="AO1632" s="1684"/>
      <c r="AP1632" s="1684"/>
      <c r="AQ1632" s="1684"/>
      <c r="AR1632" s="1684"/>
      <c r="AS1632" s="1684"/>
      <c r="AT1632" s="1684"/>
      <c r="AU1632" s="1684"/>
      <c r="AV1632" s="1684"/>
      <c r="AW1632" s="1684"/>
      <c r="AX1632" s="1684"/>
      <c r="AY1632" s="1684"/>
      <c r="AZ1632" s="1684"/>
      <c r="BA1632" s="1684"/>
      <c r="BB1632" s="1684"/>
      <c r="BC1632" s="1684"/>
      <c r="BD1632" s="1684"/>
      <c r="BE1632" s="1684"/>
      <c r="BF1632" s="1684"/>
      <c r="BG1632" s="1684"/>
      <c r="BH1632" s="1684"/>
      <c r="BI1632" s="1684"/>
      <c r="BJ1632" s="1684"/>
      <c r="BK1632" s="1684"/>
      <c r="BL1632" s="1684"/>
      <c r="BM1632" s="1684"/>
      <c r="BN1632" s="1684"/>
      <c r="BO1632" s="1684"/>
      <c r="BP1632" s="1684"/>
      <c r="BQ1632" s="1684"/>
      <c r="BR1632" s="1684"/>
      <c r="BS1632" s="1684"/>
      <c r="BT1632" s="1684"/>
      <c r="BU1632" s="1684"/>
      <c r="BV1632" s="1684"/>
      <c r="BW1632" s="1684"/>
      <c r="BX1632" s="1684"/>
      <c r="BY1632" s="1684"/>
      <c r="BZ1632" s="1684"/>
      <c r="CA1632" s="1684"/>
      <c r="CB1632" s="1684"/>
      <c r="CC1632" s="1684"/>
      <c r="CD1632" s="1684"/>
      <c r="CE1632" s="1684"/>
      <c r="CF1632" s="1684"/>
      <c r="CG1632" s="1684"/>
      <c r="CH1632" s="1684"/>
      <c r="CI1632" s="1684"/>
      <c r="CJ1632" s="1684"/>
      <c r="CK1632" s="1684"/>
      <c r="CL1632" s="1684"/>
      <c r="CM1632" s="1684"/>
      <c r="CN1632" s="1684"/>
      <c r="CO1632" s="1684"/>
      <c r="CP1632" s="1391"/>
      <c r="CQ1632" s="1391"/>
      <c r="CR1632" s="1391"/>
      <c r="CS1632" s="1391"/>
      <c r="CT1632" s="1391"/>
      <c r="CU1632" s="1391"/>
      <c r="CV1632" s="1391"/>
      <c r="CW1632" s="1391"/>
      <c r="CX1632" s="1391"/>
      <c r="CY1632" s="1391"/>
      <c r="CZ1632" s="1391"/>
      <c r="DA1632" s="1391"/>
      <c r="DB1632" s="1391"/>
      <c r="DC1632" s="1391"/>
      <c r="DD1632" s="1391"/>
      <c r="DE1632" s="1391"/>
      <c r="DF1632" s="1391"/>
      <c r="DG1632" s="1391"/>
      <c r="DH1632" s="1391"/>
      <c r="DI1632" s="1391"/>
    </row>
    <row r="1633" spans="1:113" ht="15.75" x14ac:dyDescent="0.25">
      <c r="A1633" s="1417"/>
      <c r="B1633" s="1417">
        <v>2.85</v>
      </c>
      <c r="C1633" s="1417">
        <v>70</v>
      </c>
      <c r="D1633" s="1391"/>
      <c r="E1633" s="1417"/>
      <c r="F1633" s="1391"/>
      <c r="G1633" s="1417"/>
      <c r="H1633" s="1417"/>
      <c r="I1633" s="1417"/>
      <c r="J1633" s="1417"/>
      <c r="K1633" s="1417"/>
      <c r="L1633" s="1417"/>
      <c r="M1633" s="1417"/>
      <c r="N1633" s="1417"/>
      <c r="O1633" s="1417"/>
      <c r="P1633" s="1417"/>
      <c r="Q1633" s="1417"/>
      <c r="R1633" s="1417"/>
      <c r="S1633" s="1417"/>
      <c r="T1633" s="1417"/>
      <c r="U1633" s="1417"/>
      <c r="V1633" s="1417"/>
      <c r="W1633" s="1417"/>
      <c r="X1633" s="1417"/>
      <c r="Y1633" s="1417"/>
      <c r="Z1633" s="1417"/>
      <c r="AA1633" s="1417"/>
      <c r="AB1633" s="1417"/>
      <c r="AC1633" s="1417"/>
      <c r="AD1633" s="1417"/>
      <c r="AE1633" s="1417"/>
      <c r="AF1633" s="1417"/>
      <c r="AG1633" s="1417"/>
      <c r="AH1633" s="1417"/>
      <c r="AI1633" s="1417"/>
      <c r="AJ1633" s="1417"/>
      <c r="AK1633" s="1684"/>
      <c r="AL1633" s="1684"/>
      <c r="AM1633" s="1684"/>
      <c r="AN1633" s="1684"/>
      <c r="AO1633" s="1684"/>
      <c r="AP1633" s="1684"/>
      <c r="AQ1633" s="1684"/>
      <c r="AR1633" s="1684"/>
      <c r="AS1633" s="1684"/>
      <c r="AT1633" s="1684"/>
      <c r="AU1633" s="1684"/>
      <c r="AV1633" s="1684"/>
      <c r="AW1633" s="1684"/>
      <c r="AX1633" s="1684"/>
      <c r="AY1633" s="1684"/>
      <c r="AZ1633" s="1684"/>
      <c r="BA1633" s="1684"/>
      <c r="BB1633" s="1684"/>
      <c r="BC1633" s="1684"/>
      <c r="BD1633" s="1684"/>
      <c r="BE1633" s="1684"/>
      <c r="BF1633" s="1684"/>
      <c r="BG1633" s="1684"/>
      <c r="BH1633" s="1684"/>
      <c r="BI1633" s="1684"/>
      <c r="BJ1633" s="1684"/>
      <c r="BK1633" s="1684"/>
      <c r="BL1633" s="1684"/>
      <c r="BM1633" s="1684"/>
      <c r="BN1633" s="1684"/>
      <c r="BO1633" s="1684"/>
      <c r="BP1633" s="1684"/>
      <c r="BQ1633" s="1684"/>
      <c r="BR1633" s="1684"/>
      <c r="BS1633" s="1684"/>
      <c r="BT1633" s="1684"/>
      <c r="BU1633" s="1684"/>
      <c r="BV1633" s="1684"/>
      <c r="BW1633" s="1684"/>
      <c r="BX1633" s="1684"/>
      <c r="BY1633" s="1684"/>
      <c r="BZ1633" s="1684"/>
      <c r="CA1633" s="1684"/>
      <c r="CB1633" s="1684"/>
      <c r="CC1633" s="1684"/>
      <c r="CD1633" s="1684"/>
      <c r="CE1633" s="1684"/>
      <c r="CF1633" s="1684"/>
      <c r="CG1633" s="1684"/>
      <c r="CH1633" s="1684"/>
      <c r="CI1633" s="1684"/>
      <c r="CJ1633" s="1684"/>
      <c r="CK1633" s="1684"/>
      <c r="CL1633" s="1684"/>
      <c r="CM1633" s="1684"/>
      <c r="CN1633" s="1684"/>
      <c r="CO1633" s="1684"/>
      <c r="CP1633" s="1391"/>
      <c r="CQ1633" s="1391"/>
      <c r="CR1633" s="1391"/>
      <c r="CS1633" s="1391"/>
      <c r="CT1633" s="1391"/>
      <c r="CU1633" s="1391"/>
      <c r="CV1633" s="1391"/>
      <c r="CW1633" s="1391"/>
      <c r="CX1633" s="1391"/>
      <c r="CY1633" s="1391"/>
      <c r="CZ1633" s="1391"/>
      <c r="DA1633" s="1391"/>
      <c r="DB1633" s="1391"/>
      <c r="DC1633" s="1391"/>
      <c r="DD1633" s="1391"/>
      <c r="DE1633" s="1391"/>
      <c r="DF1633" s="1391"/>
      <c r="DG1633" s="1391"/>
      <c r="DH1633" s="1391"/>
      <c r="DI1633" s="1391"/>
    </row>
    <row r="1634" spans="1:113" ht="15.75" x14ac:dyDescent="0.25">
      <c r="A1634" s="1417"/>
      <c r="B1634" s="1417">
        <v>3.5</v>
      </c>
      <c r="C1634" s="1417">
        <v>70</v>
      </c>
      <c r="D1634" s="1391"/>
      <c r="E1634" s="1417"/>
      <c r="F1634" s="1391"/>
      <c r="G1634" s="1417"/>
      <c r="H1634" s="1417"/>
      <c r="I1634" s="1417"/>
      <c r="J1634" s="1417"/>
      <c r="K1634" s="1417"/>
      <c r="L1634" s="1417"/>
      <c r="M1634" s="1417"/>
      <c r="N1634" s="1417"/>
      <c r="O1634" s="1417"/>
      <c r="P1634" s="1417"/>
      <c r="Q1634" s="1417"/>
      <c r="R1634" s="1417"/>
      <c r="S1634" s="1417"/>
      <c r="T1634" s="1417"/>
      <c r="U1634" s="1417"/>
      <c r="V1634" s="1417"/>
      <c r="W1634" s="1417"/>
      <c r="X1634" s="1417"/>
      <c r="Y1634" s="1417"/>
      <c r="Z1634" s="1417"/>
      <c r="AA1634" s="1417"/>
      <c r="AB1634" s="1417"/>
      <c r="AC1634" s="1417"/>
      <c r="AD1634" s="1417"/>
      <c r="AE1634" s="1417"/>
      <c r="AF1634" s="1417"/>
      <c r="AG1634" s="1417"/>
      <c r="AH1634" s="1417"/>
      <c r="AI1634" s="1417"/>
      <c r="AJ1634" s="1417"/>
      <c r="AK1634" s="1684"/>
      <c r="AL1634" s="1684"/>
      <c r="AM1634" s="1684"/>
      <c r="AN1634" s="1684"/>
      <c r="AO1634" s="1684"/>
      <c r="AP1634" s="1684"/>
      <c r="AQ1634" s="1684"/>
      <c r="AR1634" s="1684"/>
      <c r="AS1634" s="1684"/>
      <c r="AT1634" s="1684"/>
      <c r="AU1634" s="1684"/>
      <c r="AV1634" s="1684"/>
      <c r="AW1634" s="1684"/>
      <c r="AX1634" s="1684"/>
      <c r="AY1634" s="1684"/>
      <c r="AZ1634" s="1684"/>
      <c r="BA1634" s="1684"/>
      <c r="BB1634" s="1684"/>
      <c r="BC1634" s="1684"/>
      <c r="BD1634" s="1684"/>
      <c r="BE1634" s="1684"/>
      <c r="BF1634" s="1684"/>
      <c r="BG1634" s="1684"/>
      <c r="BH1634" s="1684"/>
      <c r="BI1634" s="1684"/>
      <c r="BJ1634" s="1684"/>
      <c r="BK1634" s="1684"/>
      <c r="BL1634" s="1684"/>
      <c r="BM1634" s="1684"/>
      <c r="BN1634" s="1684"/>
      <c r="BO1634" s="1684"/>
      <c r="BP1634" s="1684"/>
      <c r="BQ1634" s="1684"/>
      <c r="BR1634" s="1684"/>
      <c r="BS1634" s="1684"/>
      <c r="BT1634" s="1684"/>
      <c r="BU1634" s="1684"/>
      <c r="BV1634" s="1684"/>
      <c r="BW1634" s="1684"/>
      <c r="BX1634" s="1684"/>
      <c r="BY1634" s="1684"/>
      <c r="BZ1634" s="1684"/>
      <c r="CA1634" s="1684"/>
      <c r="CB1634" s="1684"/>
      <c r="CC1634" s="1684"/>
      <c r="CD1634" s="1684"/>
      <c r="CE1634" s="1684"/>
      <c r="CF1634" s="1684"/>
      <c r="CG1634" s="1684"/>
      <c r="CH1634" s="1684"/>
      <c r="CI1634" s="1684"/>
      <c r="CJ1634" s="1684"/>
      <c r="CK1634" s="1684"/>
      <c r="CL1634" s="1684"/>
      <c r="CM1634" s="1684"/>
      <c r="CN1634" s="1684"/>
      <c r="CO1634" s="1684"/>
      <c r="CP1634" s="1391"/>
      <c r="CQ1634" s="1391"/>
      <c r="CR1634" s="1391"/>
      <c r="CS1634" s="1391"/>
      <c r="CT1634" s="1391"/>
      <c r="CU1634" s="1391"/>
      <c r="CV1634" s="1391"/>
      <c r="CW1634" s="1391"/>
      <c r="CX1634" s="1391"/>
      <c r="CY1634" s="1391"/>
      <c r="CZ1634" s="1391"/>
      <c r="DA1634" s="1391"/>
      <c r="DB1634" s="1391"/>
      <c r="DC1634" s="1391"/>
      <c r="DD1634" s="1391"/>
      <c r="DE1634" s="1391"/>
      <c r="DF1634" s="1391"/>
      <c r="DG1634" s="1391"/>
      <c r="DH1634" s="1391"/>
      <c r="DI1634" s="1391"/>
    </row>
    <row r="1635" spans="1:113" ht="15.75" x14ac:dyDescent="0.25">
      <c r="A1635" s="1684"/>
      <c r="B1635" s="1417"/>
      <c r="C1635" s="1391"/>
      <c r="D1635" s="1391"/>
      <c r="E1635" s="1391"/>
      <c r="F1635" s="1391"/>
      <c r="G1635" s="1417"/>
      <c r="H1635" s="1417"/>
      <c r="I1635" s="1417"/>
      <c r="J1635" s="1417"/>
      <c r="K1635" s="1417"/>
      <c r="L1635" s="1417"/>
      <c r="M1635" s="1417"/>
      <c r="N1635" s="1417"/>
      <c r="O1635" s="1417"/>
      <c r="P1635" s="1417"/>
      <c r="Q1635" s="1417"/>
      <c r="R1635" s="1417"/>
      <c r="S1635" s="1417"/>
      <c r="T1635" s="1417"/>
      <c r="U1635" s="1417"/>
      <c r="V1635" s="1417"/>
      <c r="W1635" s="1417"/>
      <c r="X1635" s="1417"/>
      <c r="Y1635" s="1417"/>
      <c r="Z1635" s="1417"/>
      <c r="AA1635" s="1417"/>
      <c r="AB1635" s="1417"/>
      <c r="AC1635" s="1417"/>
      <c r="AD1635" s="1417"/>
      <c r="AE1635" s="1417"/>
      <c r="AF1635" s="1417"/>
      <c r="AG1635" s="1417"/>
      <c r="AH1635" s="1417"/>
      <c r="AI1635" s="1417"/>
      <c r="AJ1635" s="1417"/>
      <c r="AK1635" s="1684"/>
      <c r="AL1635" s="1684"/>
      <c r="AM1635" s="1684"/>
      <c r="AN1635" s="1684"/>
      <c r="AO1635" s="1684"/>
      <c r="AP1635" s="1684"/>
      <c r="AQ1635" s="1684"/>
      <c r="AR1635" s="1684"/>
      <c r="AS1635" s="1684"/>
      <c r="AT1635" s="1684"/>
      <c r="AU1635" s="1684"/>
      <c r="AV1635" s="1684"/>
      <c r="AW1635" s="1684"/>
      <c r="AX1635" s="1684"/>
      <c r="AY1635" s="1684"/>
      <c r="AZ1635" s="1684"/>
      <c r="BA1635" s="1684"/>
      <c r="BB1635" s="1684"/>
      <c r="BC1635" s="1684"/>
      <c r="BD1635" s="1684"/>
      <c r="BE1635" s="1684"/>
      <c r="BF1635" s="1684"/>
      <c r="BG1635" s="1684"/>
      <c r="BH1635" s="1684"/>
      <c r="BI1635" s="1684"/>
      <c r="BJ1635" s="1684"/>
      <c r="BK1635" s="1684"/>
      <c r="BL1635" s="1684"/>
      <c r="BM1635" s="1684"/>
      <c r="BN1635" s="1684"/>
      <c r="BO1635" s="1684"/>
      <c r="BP1635" s="1684"/>
      <c r="BQ1635" s="1684"/>
      <c r="BR1635" s="1684"/>
      <c r="BS1635" s="1684"/>
      <c r="BT1635" s="1684"/>
      <c r="BU1635" s="1684"/>
      <c r="BV1635" s="1684"/>
      <c r="BW1635" s="1684"/>
      <c r="BX1635" s="1684"/>
      <c r="BY1635" s="1684"/>
      <c r="BZ1635" s="1684"/>
      <c r="CA1635" s="1684"/>
      <c r="CB1635" s="1684"/>
      <c r="CC1635" s="1684"/>
      <c r="CD1635" s="1684"/>
      <c r="CE1635" s="1684"/>
      <c r="CF1635" s="1684"/>
      <c r="CG1635" s="1684"/>
      <c r="CH1635" s="1684"/>
      <c r="CI1635" s="1684"/>
      <c r="CJ1635" s="1684"/>
      <c r="CK1635" s="1684"/>
      <c r="CL1635" s="1684"/>
      <c r="CM1635" s="1684"/>
      <c r="CN1635" s="1684"/>
      <c r="CO1635" s="1684"/>
      <c r="CP1635" s="1391"/>
      <c r="CQ1635" s="1391"/>
      <c r="CR1635" s="1391"/>
      <c r="CS1635" s="1391"/>
      <c r="CT1635" s="1391"/>
      <c r="CU1635" s="1391"/>
      <c r="CV1635" s="1391"/>
      <c r="CW1635" s="1391"/>
      <c r="CX1635" s="1391"/>
      <c r="CY1635" s="1391"/>
      <c r="CZ1635" s="1391"/>
      <c r="DA1635" s="1391"/>
      <c r="DB1635" s="1391"/>
      <c r="DC1635" s="1391"/>
      <c r="DD1635" s="1391"/>
      <c r="DE1635" s="1391"/>
      <c r="DF1635" s="1391"/>
      <c r="DG1635" s="1391"/>
      <c r="DH1635" s="1391"/>
      <c r="DI1635" s="1391"/>
    </row>
    <row r="1636" spans="1:113" ht="15.75" x14ac:dyDescent="0.25">
      <c r="A1636" s="1684"/>
      <c r="B1636" s="1417"/>
      <c r="C1636" s="1391"/>
      <c r="D1636" s="1391"/>
      <c r="E1636" s="1391"/>
      <c r="F1636" s="1391"/>
      <c r="G1636" s="1417"/>
      <c r="H1636" s="1417"/>
      <c r="I1636" s="1417"/>
      <c r="J1636" s="1417"/>
      <c r="K1636" s="1417"/>
      <c r="L1636" s="1417"/>
      <c r="M1636" s="1417"/>
      <c r="N1636" s="1417"/>
      <c r="O1636" s="1417"/>
      <c r="P1636" s="1417"/>
      <c r="Q1636" s="1417"/>
      <c r="R1636" s="1417"/>
      <c r="S1636" s="1417"/>
      <c r="T1636" s="1417"/>
      <c r="U1636" s="1417"/>
      <c r="V1636" s="1417"/>
      <c r="W1636" s="1417"/>
      <c r="X1636" s="1417"/>
      <c r="Y1636" s="1417"/>
      <c r="Z1636" s="1417"/>
      <c r="AA1636" s="1417"/>
      <c r="AB1636" s="1417"/>
      <c r="AC1636" s="1417"/>
      <c r="AD1636" s="1417"/>
      <c r="AE1636" s="1417"/>
      <c r="AF1636" s="1417"/>
      <c r="AG1636" s="1417"/>
      <c r="AH1636" s="1417"/>
      <c r="AI1636" s="1417"/>
      <c r="AJ1636" s="1417"/>
      <c r="AK1636" s="1684"/>
      <c r="AL1636" s="1684"/>
      <c r="AM1636" s="1684"/>
      <c r="AN1636" s="1684"/>
      <c r="AO1636" s="1684"/>
      <c r="AP1636" s="1684"/>
      <c r="AQ1636" s="1684"/>
      <c r="AR1636" s="1684"/>
      <c r="AS1636" s="1684"/>
      <c r="AT1636" s="1684"/>
      <c r="AU1636" s="1684"/>
      <c r="AV1636" s="1684"/>
      <c r="AW1636" s="1684"/>
      <c r="AX1636" s="1684"/>
      <c r="AY1636" s="1684"/>
      <c r="AZ1636" s="1684"/>
      <c r="BA1636" s="1684"/>
      <c r="BB1636" s="1684"/>
      <c r="BC1636" s="1684"/>
      <c r="BD1636" s="1684"/>
      <c r="BE1636" s="1684"/>
      <c r="BF1636" s="1684"/>
      <c r="BG1636" s="1684"/>
      <c r="BH1636" s="1684"/>
      <c r="BI1636" s="1684"/>
      <c r="BJ1636" s="1684"/>
      <c r="BK1636" s="1684"/>
      <c r="BL1636" s="1684"/>
      <c r="BM1636" s="1684"/>
      <c r="BN1636" s="1684"/>
      <c r="BO1636" s="1684"/>
      <c r="BP1636" s="1684"/>
      <c r="BQ1636" s="1684"/>
      <c r="BR1636" s="1684"/>
      <c r="BS1636" s="1684"/>
      <c r="BT1636" s="1684"/>
      <c r="BU1636" s="1684"/>
      <c r="BV1636" s="1684"/>
      <c r="BW1636" s="1684"/>
      <c r="BX1636" s="1684"/>
      <c r="BY1636" s="1684"/>
      <c r="BZ1636" s="1684"/>
      <c r="CA1636" s="1684"/>
      <c r="CB1636" s="1684"/>
      <c r="CC1636" s="1684"/>
      <c r="CD1636" s="1684"/>
      <c r="CE1636" s="1684"/>
      <c r="CF1636" s="1684"/>
      <c r="CG1636" s="1684"/>
      <c r="CH1636" s="1684"/>
      <c r="CI1636" s="1684"/>
      <c r="CJ1636" s="1684"/>
      <c r="CK1636" s="1684"/>
      <c r="CL1636" s="1684"/>
      <c r="CM1636" s="1684"/>
      <c r="CN1636" s="1684"/>
      <c r="CO1636" s="1684"/>
      <c r="CP1636" s="1391"/>
      <c r="CQ1636" s="1391"/>
      <c r="CR1636" s="1391"/>
      <c r="CS1636" s="1391"/>
      <c r="CT1636" s="1391"/>
      <c r="CU1636" s="1391"/>
      <c r="CV1636" s="1391"/>
      <c r="CW1636" s="1391"/>
      <c r="CX1636" s="1391"/>
      <c r="CY1636" s="1391"/>
      <c r="CZ1636" s="1391"/>
      <c r="DA1636" s="1391"/>
      <c r="DB1636" s="1391"/>
      <c r="DC1636" s="1391"/>
      <c r="DD1636" s="1391"/>
      <c r="DE1636" s="1391"/>
      <c r="DF1636" s="1391"/>
      <c r="DG1636" s="1391"/>
      <c r="DH1636" s="1391"/>
      <c r="DI1636" s="1391"/>
    </row>
    <row r="1637" spans="1:113" ht="15.75" x14ac:dyDescent="0.25">
      <c r="A1637" s="1684"/>
      <c r="B1637" s="1417"/>
      <c r="C1637" s="1391"/>
      <c r="D1637" s="1391"/>
      <c r="E1637" s="1391"/>
      <c r="F1637" s="1391"/>
      <c r="G1637" s="1417"/>
      <c r="H1637" s="1417"/>
      <c r="I1637" s="1417"/>
      <c r="J1637" s="1417"/>
      <c r="K1637" s="1417"/>
      <c r="L1637" s="1417"/>
      <c r="M1637" s="1417"/>
      <c r="N1637" s="1417"/>
      <c r="O1637" s="1417"/>
      <c r="P1637" s="1417"/>
      <c r="Q1637" s="1417"/>
      <c r="R1637" s="1417"/>
      <c r="S1637" s="1417"/>
      <c r="T1637" s="1417"/>
      <c r="U1637" s="1417"/>
      <c r="V1637" s="1417"/>
      <c r="W1637" s="1417"/>
      <c r="X1637" s="1417"/>
      <c r="Y1637" s="1417"/>
      <c r="Z1637" s="1417"/>
      <c r="AA1637" s="1417"/>
      <c r="AB1637" s="1417"/>
      <c r="AC1637" s="1417"/>
      <c r="AD1637" s="1417"/>
      <c r="AE1637" s="1417"/>
      <c r="AF1637" s="1417"/>
      <c r="AG1637" s="1417"/>
      <c r="AH1637" s="1417"/>
      <c r="AI1637" s="1417"/>
      <c r="AJ1637" s="1417"/>
      <c r="AK1637" s="1684"/>
      <c r="AL1637" s="1684"/>
      <c r="AM1637" s="1684"/>
      <c r="AN1637" s="1684"/>
      <c r="AO1637" s="1684"/>
      <c r="AP1637" s="1684"/>
      <c r="AQ1637" s="1684"/>
      <c r="AR1637" s="1684"/>
      <c r="AS1637" s="1684"/>
      <c r="AT1637" s="1684"/>
      <c r="AU1637" s="1684"/>
      <c r="AV1637" s="1684"/>
      <c r="AW1637" s="1684"/>
      <c r="AX1637" s="1684"/>
      <c r="AY1637" s="1684"/>
      <c r="AZ1637" s="1684"/>
      <c r="BA1637" s="1684"/>
      <c r="BB1637" s="1684"/>
      <c r="BC1637" s="1684"/>
      <c r="BD1637" s="1684"/>
      <c r="BE1637" s="1684"/>
      <c r="BF1637" s="1684"/>
      <c r="BG1637" s="1684"/>
      <c r="BH1637" s="1684"/>
      <c r="BI1637" s="1684"/>
      <c r="BJ1637" s="1684"/>
      <c r="BK1637" s="1684"/>
      <c r="BL1637" s="1684"/>
      <c r="BM1637" s="1684"/>
      <c r="BN1637" s="1684"/>
      <c r="BO1637" s="1684"/>
      <c r="BP1637" s="1684"/>
      <c r="BQ1637" s="1684"/>
      <c r="BR1637" s="1684"/>
      <c r="BS1637" s="1684"/>
      <c r="BT1637" s="1684"/>
      <c r="BU1637" s="1684"/>
      <c r="BV1637" s="1684"/>
      <c r="BW1637" s="1684"/>
      <c r="BX1637" s="1684"/>
      <c r="BY1637" s="1684"/>
      <c r="BZ1637" s="1684"/>
      <c r="CA1637" s="1684"/>
      <c r="CB1637" s="1684"/>
      <c r="CC1637" s="1684"/>
      <c r="CD1637" s="1684"/>
      <c r="CE1637" s="1684"/>
      <c r="CF1637" s="1684"/>
      <c r="CG1637" s="1684"/>
      <c r="CH1637" s="1684"/>
      <c r="CI1637" s="1684"/>
      <c r="CJ1637" s="1684"/>
      <c r="CK1637" s="1684"/>
      <c r="CL1637" s="1684"/>
      <c r="CM1637" s="1684"/>
      <c r="CN1637" s="1684"/>
      <c r="CO1637" s="1684"/>
      <c r="CP1637" s="1391"/>
      <c r="CQ1637" s="1391"/>
      <c r="CR1637" s="1391"/>
      <c r="CS1637" s="1391"/>
      <c r="CT1637" s="1391"/>
      <c r="CU1637" s="1391"/>
      <c r="CV1637" s="1391"/>
      <c r="CW1637" s="1391"/>
      <c r="CX1637" s="1391"/>
      <c r="CY1637" s="1391"/>
      <c r="CZ1637" s="1391"/>
      <c r="DA1637" s="1391"/>
      <c r="DB1637" s="1391"/>
      <c r="DC1637" s="1391"/>
      <c r="DD1637" s="1391"/>
      <c r="DE1637" s="1391"/>
      <c r="DF1637" s="1391"/>
      <c r="DG1637" s="1391"/>
      <c r="DH1637" s="1391"/>
      <c r="DI1637" s="1391"/>
    </row>
    <row r="1638" spans="1:113" ht="15.75" x14ac:dyDescent="0.25">
      <c r="A1638" s="1684"/>
      <c r="B1638" s="1417"/>
      <c r="C1638" s="1391"/>
      <c r="D1638" s="1391"/>
      <c r="E1638" s="1391"/>
      <c r="F1638" s="1391"/>
      <c r="G1638" s="1417"/>
      <c r="H1638" s="1417"/>
      <c r="I1638" s="1417"/>
      <c r="J1638" s="1417"/>
      <c r="K1638" s="1417"/>
      <c r="L1638" s="1417"/>
      <c r="M1638" s="1417"/>
      <c r="N1638" s="1417"/>
      <c r="O1638" s="1417"/>
      <c r="P1638" s="1417"/>
      <c r="Q1638" s="1417"/>
      <c r="R1638" s="1417"/>
      <c r="S1638" s="1417"/>
      <c r="T1638" s="1417"/>
      <c r="U1638" s="1417"/>
      <c r="V1638" s="1417"/>
      <c r="W1638" s="1417"/>
      <c r="X1638" s="1417"/>
      <c r="Y1638" s="1417"/>
      <c r="Z1638" s="1417"/>
      <c r="AA1638" s="1417"/>
      <c r="AB1638" s="1417"/>
      <c r="AC1638" s="1417"/>
      <c r="AD1638" s="1417"/>
      <c r="AE1638" s="1417"/>
      <c r="AF1638" s="1417"/>
      <c r="AG1638" s="1417"/>
      <c r="AH1638" s="1417"/>
      <c r="AI1638" s="1417"/>
      <c r="AJ1638" s="1417"/>
      <c r="AK1638" s="1684"/>
      <c r="AL1638" s="1684"/>
      <c r="AM1638" s="1684"/>
      <c r="AN1638" s="1684"/>
      <c r="AO1638" s="1684"/>
      <c r="AP1638" s="1684"/>
      <c r="AQ1638" s="1684"/>
      <c r="AR1638" s="1684"/>
      <c r="AS1638" s="1684"/>
      <c r="AT1638" s="1684"/>
      <c r="AU1638" s="1684"/>
      <c r="AV1638" s="1684"/>
      <c r="AW1638" s="1684"/>
      <c r="AX1638" s="1684"/>
      <c r="AY1638" s="1684"/>
      <c r="AZ1638" s="1684"/>
      <c r="BA1638" s="1684"/>
      <c r="BB1638" s="1684"/>
      <c r="BC1638" s="1684"/>
      <c r="BD1638" s="1684"/>
      <c r="BE1638" s="1684"/>
      <c r="BF1638" s="1684"/>
      <c r="BG1638" s="1684"/>
      <c r="BH1638" s="1684"/>
      <c r="BI1638" s="1684"/>
      <c r="BJ1638" s="1684"/>
      <c r="BK1638" s="1684"/>
      <c r="BL1638" s="1684"/>
      <c r="BM1638" s="1684"/>
      <c r="BN1638" s="1684"/>
      <c r="BO1638" s="1684"/>
      <c r="BP1638" s="1684"/>
      <c r="BQ1638" s="1684"/>
      <c r="BR1638" s="1684"/>
      <c r="BS1638" s="1684"/>
      <c r="BT1638" s="1684"/>
      <c r="BU1638" s="1684"/>
      <c r="BV1638" s="1684"/>
      <c r="BW1638" s="1684"/>
      <c r="BX1638" s="1684"/>
      <c r="BY1638" s="1684"/>
      <c r="BZ1638" s="1684"/>
      <c r="CA1638" s="1684"/>
      <c r="CB1638" s="1684"/>
      <c r="CC1638" s="1684"/>
      <c r="CD1638" s="1684"/>
      <c r="CE1638" s="1684"/>
      <c r="CF1638" s="1684"/>
      <c r="CG1638" s="1684"/>
      <c r="CH1638" s="1684"/>
      <c r="CI1638" s="1684"/>
      <c r="CJ1638" s="1684"/>
      <c r="CK1638" s="1684"/>
      <c r="CL1638" s="1684"/>
      <c r="CM1638" s="1684"/>
      <c r="CN1638" s="1684"/>
      <c r="CO1638" s="1684"/>
      <c r="CP1638" s="1391"/>
      <c r="CQ1638" s="1391"/>
      <c r="CR1638" s="1391"/>
      <c r="CS1638" s="1391"/>
      <c r="CT1638" s="1391"/>
      <c r="CU1638" s="1391"/>
      <c r="CV1638" s="1391"/>
      <c r="CW1638" s="1391"/>
      <c r="CX1638" s="1391"/>
      <c r="CY1638" s="1391"/>
      <c r="CZ1638" s="1391"/>
      <c r="DA1638" s="1391"/>
      <c r="DB1638" s="1391"/>
      <c r="DC1638" s="1391"/>
      <c r="DD1638" s="1391"/>
      <c r="DE1638" s="1391"/>
      <c r="DF1638" s="1391"/>
      <c r="DG1638" s="1391"/>
      <c r="DH1638" s="1391"/>
      <c r="DI1638" s="1391"/>
    </row>
    <row r="1639" spans="1:113" ht="15.75" x14ac:dyDescent="0.25">
      <c r="A1639" s="1684"/>
      <c r="B1639" s="1417"/>
      <c r="C1639" s="1391"/>
      <c r="D1639" s="1391"/>
      <c r="E1639" s="1391"/>
      <c r="F1639" s="1391"/>
      <c r="G1639" s="1417"/>
      <c r="H1639" s="1417"/>
      <c r="I1639" s="1417"/>
      <c r="J1639" s="1417"/>
      <c r="K1639" s="1417"/>
      <c r="L1639" s="1417"/>
      <c r="M1639" s="1417"/>
      <c r="N1639" s="1417"/>
      <c r="O1639" s="1417"/>
      <c r="P1639" s="1417"/>
      <c r="Q1639" s="1417"/>
      <c r="R1639" s="1417"/>
      <c r="S1639" s="1417"/>
      <c r="T1639" s="1417"/>
      <c r="U1639" s="1417"/>
      <c r="V1639" s="1417"/>
      <c r="W1639" s="1417"/>
      <c r="X1639" s="1417"/>
      <c r="Y1639" s="1417"/>
      <c r="Z1639" s="1417"/>
      <c r="AA1639" s="1417"/>
      <c r="AB1639" s="1417"/>
      <c r="AC1639" s="1417"/>
      <c r="AD1639" s="1417"/>
      <c r="AE1639" s="1417"/>
      <c r="AF1639" s="1417"/>
      <c r="AG1639" s="1417"/>
      <c r="AH1639" s="1417"/>
      <c r="AI1639" s="1417"/>
      <c r="AJ1639" s="1417"/>
      <c r="AK1639" s="1684"/>
      <c r="AL1639" s="1684"/>
      <c r="AM1639" s="1684"/>
      <c r="AN1639" s="1684"/>
      <c r="AO1639" s="1684"/>
      <c r="AP1639" s="1684"/>
      <c r="AQ1639" s="1684"/>
      <c r="AR1639" s="1684"/>
      <c r="AS1639" s="1684"/>
      <c r="AT1639" s="1684"/>
      <c r="AU1639" s="1684"/>
      <c r="AV1639" s="1684"/>
      <c r="AW1639" s="1684"/>
      <c r="AX1639" s="1684"/>
      <c r="AY1639" s="1684"/>
      <c r="AZ1639" s="1684"/>
      <c r="BA1639" s="1684"/>
      <c r="BB1639" s="1684"/>
      <c r="BC1639" s="1684"/>
      <c r="BD1639" s="1684"/>
      <c r="BE1639" s="1684"/>
      <c r="BF1639" s="1684"/>
      <c r="BG1639" s="1684"/>
      <c r="BH1639" s="1684"/>
      <c r="BI1639" s="1684"/>
      <c r="BJ1639" s="1684"/>
      <c r="BK1639" s="1684"/>
      <c r="BL1639" s="1684"/>
      <c r="BM1639" s="1684"/>
      <c r="BN1639" s="1684"/>
      <c r="BO1639" s="1684"/>
      <c r="BP1639" s="1684"/>
      <c r="BQ1639" s="1684"/>
      <c r="BR1639" s="1684"/>
      <c r="BS1639" s="1684"/>
      <c r="BT1639" s="1684"/>
      <c r="BU1639" s="1684"/>
      <c r="BV1639" s="1684"/>
      <c r="BW1639" s="1684"/>
      <c r="BX1639" s="1684"/>
      <c r="BY1639" s="1684"/>
      <c r="BZ1639" s="1684"/>
      <c r="CA1639" s="1684"/>
      <c r="CB1639" s="1684"/>
      <c r="CC1639" s="1684"/>
      <c r="CD1639" s="1684"/>
      <c r="CE1639" s="1684"/>
      <c r="CF1639" s="1684"/>
      <c r="CG1639" s="1684"/>
      <c r="CH1639" s="1684"/>
      <c r="CI1639" s="1684"/>
      <c r="CJ1639" s="1684"/>
      <c r="CK1639" s="1684"/>
      <c r="CL1639" s="1684"/>
      <c r="CM1639" s="1684"/>
      <c r="CN1639" s="1684"/>
      <c r="CO1639" s="1684"/>
      <c r="CP1639" s="1391"/>
      <c r="CQ1639" s="1391"/>
      <c r="CR1639" s="1391"/>
      <c r="CS1639" s="1391"/>
      <c r="CT1639" s="1391"/>
      <c r="CU1639" s="1391"/>
      <c r="CV1639" s="1391"/>
      <c r="CW1639" s="1391"/>
      <c r="CX1639" s="1391"/>
      <c r="CY1639" s="1391"/>
      <c r="CZ1639" s="1391"/>
      <c r="DA1639" s="1391"/>
      <c r="DB1639" s="1391"/>
      <c r="DC1639" s="1391"/>
      <c r="DD1639" s="1391"/>
      <c r="DE1639" s="1391"/>
      <c r="DF1639" s="1391"/>
      <c r="DG1639" s="1391"/>
      <c r="DH1639" s="1391"/>
      <c r="DI1639" s="1391"/>
    </row>
    <row r="1640" spans="1:113" ht="15.75" x14ac:dyDescent="0.25">
      <c r="A1640" s="1684"/>
      <c r="B1640" s="1417"/>
      <c r="C1640" s="1391"/>
      <c r="D1640" s="1391"/>
      <c r="E1640" s="1391"/>
      <c r="F1640" s="1391"/>
      <c r="G1640" s="1417"/>
      <c r="H1640" s="1417"/>
      <c r="I1640" s="1417"/>
      <c r="J1640" s="1417"/>
      <c r="K1640" s="1417"/>
      <c r="L1640" s="1417"/>
      <c r="M1640" s="1417"/>
      <c r="N1640" s="1417"/>
      <c r="O1640" s="1417"/>
      <c r="P1640" s="1417"/>
      <c r="Q1640" s="1417"/>
      <c r="R1640" s="1417"/>
      <c r="S1640" s="1417"/>
      <c r="T1640" s="1417"/>
      <c r="U1640" s="1417"/>
      <c r="V1640" s="1417"/>
      <c r="W1640" s="1417"/>
      <c r="X1640" s="1417"/>
      <c r="Y1640" s="1417"/>
      <c r="Z1640" s="1417"/>
      <c r="AA1640" s="1417"/>
      <c r="AB1640" s="1417"/>
      <c r="AC1640" s="1417"/>
      <c r="AD1640" s="1417"/>
      <c r="AE1640" s="1417"/>
      <c r="AF1640" s="1417"/>
      <c r="AG1640" s="1417"/>
      <c r="AH1640" s="1417"/>
      <c r="AI1640" s="1417"/>
      <c r="AJ1640" s="1417"/>
      <c r="AK1640" s="1684"/>
      <c r="AL1640" s="1684"/>
      <c r="AM1640" s="1684"/>
      <c r="AN1640" s="1684"/>
      <c r="AO1640" s="1684"/>
      <c r="AP1640" s="1684"/>
      <c r="AQ1640" s="1684"/>
      <c r="AR1640" s="1684"/>
      <c r="AS1640" s="1684"/>
      <c r="AT1640" s="1684"/>
      <c r="AU1640" s="1684"/>
      <c r="AV1640" s="1684"/>
      <c r="AW1640" s="1684"/>
      <c r="AX1640" s="1684"/>
      <c r="AY1640" s="1684"/>
      <c r="AZ1640" s="1684"/>
      <c r="BA1640" s="1684"/>
      <c r="BB1640" s="1684"/>
      <c r="BC1640" s="1684"/>
      <c r="BD1640" s="1684"/>
      <c r="BE1640" s="1684"/>
      <c r="BF1640" s="1684"/>
      <c r="BG1640" s="1684"/>
      <c r="BH1640" s="1684"/>
      <c r="BI1640" s="1684"/>
      <c r="BJ1640" s="1684"/>
      <c r="BK1640" s="1684"/>
      <c r="BL1640" s="1684"/>
      <c r="BM1640" s="1684"/>
      <c r="BN1640" s="1684"/>
      <c r="BO1640" s="1684"/>
      <c r="BP1640" s="1684"/>
      <c r="BQ1640" s="1684"/>
      <c r="BR1640" s="1684"/>
      <c r="BS1640" s="1684"/>
      <c r="BT1640" s="1684"/>
      <c r="BU1640" s="1684"/>
      <c r="BV1640" s="1684"/>
      <c r="BW1640" s="1684"/>
      <c r="BX1640" s="1684"/>
      <c r="BY1640" s="1684"/>
      <c r="BZ1640" s="1684"/>
      <c r="CA1640" s="1684"/>
      <c r="CB1640" s="1684"/>
      <c r="CC1640" s="1684"/>
      <c r="CD1640" s="1684"/>
      <c r="CE1640" s="1684"/>
      <c r="CF1640" s="1684"/>
      <c r="CG1640" s="1684"/>
      <c r="CH1640" s="1684"/>
      <c r="CI1640" s="1684"/>
      <c r="CJ1640" s="1684"/>
      <c r="CK1640" s="1684"/>
      <c r="CL1640" s="1684"/>
      <c r="CM1640" s="1684"/>
      <c r="CN1640" s="1684"/>
      <c r="CO1640" s="1684"/>
      <c r="CP1640" s="1391"/>
      <c r="CQ1640" s="1391"/>
      <c r="CR1640" s="1391"/>
      <c r="CS1640" s="1391"/>
      <c r="CT1640" s="1391"/>
      <c r="CU1640" s="1391"/>
      <c r="CV1640" s="1391"/>
      <c r="CW1640" s="1391"/>
      <c r="CX1640" s="1391"/>
      <c r="CY1640" s="1391"/>
      <c r="CZ1640" s="1391"/>
      <c r="DA1640" s="1391"/>
      <c r="DB1640" s="1391"/>
      <c r="DC1640" s="1391"/>
      <c r="DD1640" s="1391"/>
      <c r="DE1640" s="1391"/>
      <c r="DF1640" s="1391"/>
      <c r="DG1640" s="1391"/>
      <c r="DH1640" s="1391"/>
      <c r="DI1640" s="1391"/>
    </row>
    <row r="1641" spans="1:113" ht="15.75" x14ac:dyDescent="0.25">
      <c r="A1641" s="1684"/>
      <c r="B1641" s="1417"/>
      <c r="C1641" s="1391"/>
      <c r="D1641" s="1391"/>
      <c r="E1641" s="1391"/>
      <c r="F1641" s="1391"/>
      <c r="G1641" s="1417"/>
      <c r="H1641" s="1417"/>
      <c r="I1641" s="1417"/>
      <c r="J1641" s="1417"/>
      <c r="K1641" s="1417"/>
      <c r="L1641" s="1417"/>
      <c r="M1641" s="1417"/>
      <c r="N1641" s="1417"/>
      <c r="O1641" s="1417"/>
      <c r="P1641" s="1417"/>
      <c r="Q1641" s="1417"/>
      <c r="R1641" s="1417"/>
      <c r="S1641" s="1417"/>
      <c r="T1641" s="1417"/>
      <c r="U1641" s="1417"/>
      <c r="V1641" s="1417"/>
      <c r="W1641" s="1417"/>
      <c r="X1641" s="1417"/>
      <c r="Y1641" s="1417"/>
      <c r="Z1641" s="1417"/>
      <c r="AA1641" s="1417"/>
      <c r="AB1641" s="1417"/>
      <c r="AC1641" s="1417"/>
      <c r="AD1641" s="1417"/>
      <c r="AE1641" s="1417"/>
      <c r="AF1641" s="1417"/>
      <c r="AG1641" s="1417"/>
      <c r="AH1641" s="1417"/>
      <c r="AI1641" s="1417"/>
      <c r="AJ1641" s="1417"/>
      <c r="AK1641" s="1684"/>
      <c r="AL1641" s="1684"/>
      <c r="AM1641" s="1684"/>
      <c r="AN1641" s="1684"/>
      <c r="AO1641" s="1684"/>
      <c r="AP1641" s="1684"/>
      <c r="AQ1641" s="1684"/>
      <c r="AR1641" s="1684"/>
      <c r="AS1641" s="1684"/>
      <c r="AT1641" s="1684"/>
      <c r="AU1641" s="1684"/>
      <c r="AV1641" s="1684"/>
      <c r="AW1641" s="1684"/>
      <c r="AX1641" s="1684"/>
      <c r="AY1641" s="1684"/>
      <c r="AZ1641" s="1684"/>
      <c r="BA1641" s="1684"/>
      <c r="BB1641" s="1684"/>
      <c r="BC1641" s="1684"/>
      <c r="BD1641" s="1684"/>
      <c r="BE1641" s="1684"/>
      <c r="BF1641" s="1684"/>
      <c r="BG1641" s="1684"/>
      <c r="BH1641" s="1684"/>
      <c r="BI1641" s="1684"/>
      <c r="BJ1641" s="1684"/>
      <c r="BK1641" s="1684"/>
      <c r="BL1641" s="1684"/>
      <c r="BM1641" s="1684"/>
      <c r="BN1641" s="1684"/>
      <c r="BO1641" s="1684"/>
      <c r="BP1641" s="1684"/>
      <c r="BQ1641" s="1684"/>
      <c r="BR1641" s="1684"/>
      <c r="BS1641" s="1684"/>
      <c r="BT1641" s="1684"/>
      <c r="BU1641" s="1684"/>
      <c r="BV1641" s="1684"/>
      <c r="BW1641" s="1684"/>
      <c r="BX1641" s="1684"/>
      <c r="BY1641" s="1684"/>
      <c r="BZ1641" s="1684"/>
      <c r="CA1641" s="1684"/>
      <c r="CB1641" s="1684"/>
      <c r="CC1641" s="1684"/>
      <c r="CD1641" s="1684"/>
      <c r="CE1641" s="1684"/>
      <c r="CF1641" s="1684"/>
      <c r="CG1641" s="1684"/>
      <c r="CH1641" s="1684"/>
      <c r="CI1641" s="1684"/>
      <c r="CJ1641" s="1684"/>
      <c r="CK1641" s="1684"/>
      <c r="CL1641" s="1684"/>
      <c r="CM1641" s="1684"/>
      <c r="CN1641" s="1684"/>
      <c r="CO1641" s="1684"/>
      <c r="CP1641" s="1391"/>
      <c r="CQ1641" s="1391"/>
      <c r="CR1641" s="1391"/>
      <c r="CS1641" s="1391"/>
      <c r="CT1641" s="1391"/>
      <c r="CU1641" s="1391"/>
      <c r="CV1641" s="1391"/>
      <c r="CW1641" s="1391"/>
      <c r="CX1641" s="1391"/>
      <c r="CY1641" s="1391"/>
      <c r="CZ1641" s="1391"/>
      <c r="DA1641" s="1391"/>
      <c r="DB1641" s="1391"/>
      <c r="DC1641" s="1391"/>
      <c r="DD1641" s="1391"/>
      <c r="DE1641" s="1391"/>
      <c r="DF1641" s="1391"/>
      <c r="DG1641" s="1391"/>
      <c r="DH1641" s="1391"/>
      <c r="DI1641" s="1391"/>
    </row>
    <row r="1642" spans="1:113" ht="15.75" x14ac:dyDescent="0.25">
      <c r="A1642" s="1684"/>
      <c r="B1642" s="1417" t="s">
        <v>1485</v>
      </c>
      <c r="C1642" s="1417"/>
      <c r="D1642" s="1417"/>
      <c r="E1642" s="1417"/>
      <c r="F1642" s="1417"/>
      <c r="G1642" s="1417"/>
      <c r="H1642" s="1417"/>
      <c r="I1642" s="1417"/>
      <c r="J1642" s="1417"/>
      <c r="K1642" s="1417"/>
      <c r="L1642" s="1391"/>
      <c r="M1642" s="1391"/>
      <c r="N1642" s="1391"/>
      <c r="O1642" s="1391"/>
      <c r="P1642" s="1391"/>
      <c r="Q1642" s="1391"/>
      <c r="R1642" s="1391"/>
      <c r="S1642" s="1391"/>
      <c r="T1642" s="1417"/>
      <c r="U1642" s="1417"/>
      <c r="V1642" s="1417"/>
      <c r="W1642" s="1417"/>
      <c r="X1642" s="1417"/>
      <c r="Y1642" s="1417"/>
      <c r="Z1642" s="1417" t="s">
        <v>1462</v>
      </c>
      <c r="AA1642" s="1417"/>
      <c r="AB1642" s="1417"/>
      <c r="AC1642" s="1417"/>
      <c r="AD1642" s="1417"/>
      <c r="AE1642" s="1417"/>
      <c r="AF1642" s="1417"/>
      <c r="AG1642" s="1417"/>
      <c r="AH1642" s="1417"/>
      <c r="AI1642" s="1417"/>
      <c r="AJ1642" s="1417"/>
      <c r="AK1642" s="1684"/>
      <c r="AL1642" s="1684"/>
      <c r="AM1642" s="1684"/>
      <c r="AN1642" s="1684"/>
      <c r="AO1642" s="1684"/>
      <c r="AP1642" s="1684"/>
      <c r="AQ1642" s="1684"/>
      <c r="AR1642" s="1684"/>
      <c r="AS1642" s="1684"/>
      <c r="AT1642" s="1684"/>
      <c r="AU1642" s="1684"/>
      <c r="AV1642" s="1684"/>
      <c r="AW1642" s="1684"/>
      <c r="AX1642" s="1684"/>
      <c r="AY1642" s="1684"/>
      <c r="AZ1642" s="1684"/>
      <c r="BA1642" s="1684"/>
      <c r="BB1642" s="1684"/>
      <c r="BC1642" s="1684"/>
      <c r="BD1642" s="1684"/>
      <c r="BE1642" s="1684"/>
      <c r="BF1642" s="1684"/>
      <c r="BG1642" s="1684"/>
      <c r="BH1642" s="1684"/>
      <c r="BI1642" s="1684"/>
      <c r="BJ1642" s="1684"/>
      <c r="BK1642" s="1684"/>
      <c r="BL1642" s="1684"/>
      <c r="BM1642" s="1684"/>
      <c r="BN1642" s="1684"/>
      <c r="BO1642" s="1684"/>
      <c r="BP1642" s="1684"/>
      <c r="BQ1642" s="1684"/>
      <c r="BR1642" s="1684"/>
      <c r="BS1642" s="1684"/>
      <c r="BT1642" s="1684"/>
      <c r="BU1642" s="1684"/>
      <c r="BV1642" s="1684"/>
      <c r="BW1642" s="1684"/>
      <c r="BX1642" s="1684"/>
      <c r="BY1642" s="1684"/>
      <c r="BZ1642" s="1684"/>
      <c r="CA1642" s="1684"/>
      <c r="CB1642" s="1684"/>
      <c r="CC1642" s="1684"/>
      <c r="CD1642" s="1684"/>
      <c r="CE1642" s="1684"/>
      <c r="CF1642" s="1684"/>
      <c r="CG1642" s="1684"/>
      <c r="CH1642" s="1684"/>
      <c r="CI1642" s="1684"/>
      <c r="CJ1642" s="1684"/>
      <c r="CK1642" s="1684"/>
      <c r="CL1642" s="1684"/>
      <c r="CM1642" s="1684"/>
      <c r="CN1642" s="1684"/>
      <c r="CO1642" s="1684"/>
      <c r="CP1642" s="1391"/>
      <c r="CQ1642" s="1391"/>
      <c r="CR1642" s="1391"/>
      <c r="CS1642" s="1391"/>
      <c r="CT1642" s="1391"/>
      <c r="CU1642" s="1391"/>
      <c r="CV1642" s="1391"/>
      <c r="CW1642" s="1391"/>
      <c r="CX1642" s="1391"/>
      <c r="CY1642" s="1391"/>
      <c r="CZ1642" s="1391"/>
      <c r="DA1642" s="1391"/>
      <c r="DB1642" s="1391"/>
      <c r="DC1642" s="1391"/>
      <c r="DD1642" s="1391"/>
      <c r="DE1642" s="1391"/>
      <c r="DF1642" s="1391"/>
      <c r="DG1642" s="1391"/>
      <c r="DH1642" s="1391"/>
      <c r="DI1642" s="1391"/>
    </row>
    <row r="1643" spans="1:113" ht="15.75" x14ac:dyDescent="0.25">
      <c r="A1643" s="1684"/>
      <c r="B1643" s="1417" t="s">
        <v>1463</v>
      </c>
      <c r="C1643" s="1417" t="s">
        <v>1486</v>
      </c>
      <c r="D1643" s="1417"/>
      <c r="E1643" s="1417"/>
      <c r="F1643" s="1417"/>
      <c r="G1643" s="1417"/>
      <c r="H1643" s="1417"/>
      <c r="I1643" s="1417"/>
      <c r="J1643" s="1417"/>
      <c r="K1643" s="1417"/>
      <c r="L1643" s="1391"/>
      <c r="M1643" s="1391"/>
      <c r="N1643" s="1391"/>
      <c r="O1643" s="1391"/>
      <c r="P1643" s="1391"/>
      <c r="Q1643" s="1391"/>
      <c r="R1643" s="1391"/>
      <c r="S1643" s="1391"/>
      <c r="T1643" s="1417"/>
      <c r="U1643" s="1417"/>
      <c r="V1643" s="1417"/>
      <c r="W1643" s="1417"/>
      <c r="X1643" s="1417"/>
      <c r="Y1643" s="1417"/>
      <c r="Z1643" s="1417" t="s">
        <v>1463</v>
      </c>
      <c r="AA1643" s="1417" t="s">
        <v>1464</v>
      </c>
      <c r="AB1643" s="1417"/>
      <c r="AC1643" s="1417"/>
      <c r="AD1643" s="1417"/>
      <c r="AE1643" s="1417"/>
      <c r="AF1643" s="1417"/>
      <c r="AG1643" s="1417"/>
      <c r="AH1643" s="1417"/>
      <c r="AI1643" s="1417"/>
      <c r="AJ1643" s="1417"/>
      <c r="AK1643" s="1684"/>
      <c r="AL1643" s="1684"/>
      <c r="AM1643" s="1684"/>
      <c r="AN1643" s="1684"/>
      <c r="AO1643" s="1684"/>
      <c r="AP1643" s="1684"/>
      <c r="AQ1643" s="1684"/>
      <c r="AR1643" s="1684"/>
      <c r="AS1643" s="1684"/>
      <c r="AT1643" s="1684"/>
      <c r="AU1643" s="1684"/>
      <c r="AV1643" s="1684"/>
      <c r="AW1643" s="1684"/>
      <c r="AX1643" s="1684"/>
      <c r="AY1643" s="1684"/>
      <c r="AZ1643" s="1684"/>
      <c r="BA1643" s="1684"/>
      <c r="BB1643" s="1684"/>
      <c r="BC1643" s="1684"/>
      <c r="BD1643" s="1684"/>
      <c r="BE1643" s="1684"/>
      <c r="BF1643" s="1684"/>
      <c r="BG1643" s="1684"/>
      <c r="BH1643" s="1684"/>
      <c r="BI1643" s="1684"/>
      <c r="BJ1643" s="1684"/>
      <c r="BK1643" s="1684"/>
      <c r="BL1643" s="1684"/>
      <c r="BM1643" s="1684"/>
      <c r="BN1643" s="1684"/>
      <c r="BO1643" s="1684"/>
      <c r="BP1643" s="1684"/>
      <c r="BQ1643" s="1684"/>
      <c r="BR1643" s="1684"/>
      <c r="BS1643" s="1684"/>
      <c r="BT1643" s="1684"/>
      <c r="BU1643" s="1684"/>
      <c r="BV1643" s="1684"/>
      <c r="BW1643" s="1684"/>
      <c r="BX1643" s="1684"/>
      <c r="BY1643" s="1684"/>
      <c r="BZ1643" s="1684"/>
      <c r="CA1643" s="1684"/>
      <c r="CB1643" s="1684"/>
      <c r="CC1643" s="1684"/>
      <c r="CD1643" s="1684"/>
      <c r="CE1643" s="1684"/>
      <c r="CF1643" s="1684"/>
      <c r="CG1643" s="1684"/>
      <c r="CH1643" s="1684"/>
      <c r="CI1643" s="1684"/>
      <c r="CJ1643" s="1684"/>
      <c r="CK1643" s="1684"/>
      <c r="CL1643" s="1684"/>
      <c r="CM1643" s="1684"/>
      <c r="CN1643" s="1684"/>
      <c r="CO1643" s="1684"/>
      <c r="CP1643" s="1391"/>
      <c r="CQ1643" s="1391"/>
      <c r="CR1643" s="1391"/>
      <c r="CS1643" s="1391"/>
      <c r="CT1643" s="1391"/>
      <c r="CU1643" s="1391"/>
      <c r="CV1643" s="1391"/>
      <c r="CW1643" s="1391"/>
      <c r="CX1643" s="1391"/>
      <c r="CY1643" s="1391"/>
      <c r="CZ1643" s="1391"/>
      <c r="DA1643" s="1391"/>
      <c r="DB1643" s="1391"/>
      <c r="DC1643" s="1391"/>
      <c r="DD1643" s="1391"/>
      <c r="DE1643" s="1391"/>
      <c r="DF1643" s="1391"/>
      <c r="DG1643" s="1391"/>
      <c r="DH1643" s="1391"/>
      <c r="DI1643" s="1391"/>
    </row>
    <row r="1644" spans="1:113" ht="15.75" x14ac:dyDescent="0.25">
      <c r="A1644" s="1684"/>
      <c r="B1644" s="1417">
        <v>4</v>
      </c>
      <c r="C1644" s="1417">
        <v>8</v>
      </c>
      <c r="D1644" s="1417">
        <f>C1644/B1644</f>
        <v>2</v>
      </c>
      <c r="E1644" s="1417">
        <f>B1644/C1644</f>
        <v>0.5</v>
      </c>
      <c r="F1644" s="1417"/>
      <c r="G1644" s="1417"/>
      <c r="H1644" s="1417"/>
      <c r="I1644" s="1417"/>
      <c r="J1644" s="1417"/>
      <c r="K1644" s="1417"/>
      <c r="L1644" s="1391"/>
      <c r="M1644" s="1391"/>
      <c r="N1644" s="1391"/>
      <c r="O1644" s="1391"/>
      <c r="P1644" s="1391"/>
      <c r="Q1644" s="1391"/>
      <c r="R1644" s="1391"/>
      <c r="S1644" s="1391"/>
      <c r="T1644" s="1417"/>
      <c r="U1644" s="1417"/>
      <c r="V1644" s="1417"/>
      <c r="W1644" s="1417"/>
      <c r="X1644" s="1417"/>
      <c r="Y1644" s="1417"/>
      <c r="Z1644" s="1417">
        <v>4</v>
      </c>
      <c r="AA1644" s="1417">
        <v>7.28</v>
      </c>
      <c r="AB1644" s="1417">
        <f>AA1644/Z1644</f>
        <v>1.82</v>
      </c>
      <c r="AC1644" s="1417"/>
      <c r="AD1644" s="1417"/>
      <c r="AE1644" s="1417"/>
      <c r="AF1644" s="1417"/>
      <c r="AG1644" s="1417"/>
      <c r="AH1644" s="1417"/>
      <c r="AI1644" s="1417"/>
      <c r="AJ1644" s="1417"/>
      <c r="AK1644" s="1684"/>
      <c r="AL1644" s="1684"/>
      <c r="AM1644" s="1684"/>
      <c r="AN1644" s="1684"/>
      <c r="AO1644" s="1684"/>
      <c r="AP1644" s="1684"/>
      <c r="AQ1644" s="1684"/>
      <c r="AR1644" s="1684"/>
      <c r="AS1644" s="1684"/>
      <c r="AT1644" s="1684"/>
      <c r="AU1644" s="1684"/>
      <c r="AV1644" s="1684"/>
      <c r="AW1644" s="1684"/>
      <c r="AX1644" s="1684"/>
      <c r="AY1644" s="1684"/>
      <c r="AZ1644" s="1684"/>
      <c r="BA1644" s="1684"/>
      <c r="BB1644" s="1684"/>
      <c r="BC1644" s="1684"/>
      <c r="BD1644" s="1684"/>
      <c r="BE1644" s="1684"/>
      <c r="BF1644" s="1684"/>
      <c r="BG1644" s="1684"/>
      <c r="BH1644" s="1684"/>
      <c r="BI1644" s="1684"/>
      <c r="BJ1644" s="1684"/>
      <c r="BK1644" s="1684"/>
      <c r="BL1644" s="1684"/>
      <c r="BM1644" s="1684"/>
      <c r="BN1644" s="1684"/>
      <c r="BO1644" s="1684"/>
      <c r="BP1644" s="1684"/>
      <c r="BQ1644" s="1684"/>
      <c r="BR1644" s="1684"/>
      <c r="BS1644" s="1684"/>
      <c r="BT1644" s="1684"/>
      <c r="BU1644" s="1684"/>
      <c r="BV1644" s="1684"/>
      <c r="BW1644" s="1684"/>
      <c r="BX1644" s="1684"/>
      <c r="BY1644" s="1684"/>
      <c r="BZ1644" s="1684"/>
      <c r="CA1644" s="1684"/>
      <c r="CB1644" s="1684"/>
      <c r="CC1644" s="1684"/>
      <c r="CD1644" s="1684"/>
      <c r="CE1644" s="1684"/>
      <c r="CF1644" s="1684"/>
      <c r="CG1644" s="1684"/>
      <c r="CH1644" s="1684"/>
      <c r="CI1644" s="1684"/>
      <c r="CJ1644" s="1684"/>
      <c r="CK1644" s="1684"/>
      <c r="CL1644" s="1684"/>
      <c r="CM1644" s="1684"/>
      <c r="CN1644" s="1684"/>
      <c r="CO1644" s="1684"/>
      <c r="CP1644" s="1391"/>
      <c r="CQ1644" s="1391"/>
      <c r="CR1644" s="1391"/>
      <c r="CS1644" s="1391"/>
      <c r="CT1644" s="1391"/>
      <c r="CU1644" s="1391"/>
      <c r="CV1644" s="1391"/>
      <c r="CW1644" s="1391"/>
      <c r="CX1644" s="1391"/>
      <c r="CY1644" s="1391"/>
      <c r="CZ1644" s="1391"/>
      <c r="DA1644" s="1391"/>
      <c r="DB1644" s="1391"/>
      <c r="DC1644" s="1391"/>
      <c r="DD1644" s="1391"/>
      <c r="DE1644" s="1391"/>
      <c r="DF1644" s="1391"/>
      <c r="DG1644" s="1391"/>
      <c r="DH1644" s="1391"/>
      <c r="DI1644" s="1391"/>
    </row>
    <row r="1645" spans="1:113" ht="15.75" x14ac:dyDescent="0.25">
      <c r="A1645" s="1684"/>
      <c r="B1645" s="1417">
        <v>6</v>
      </c>
      <c r="C1645" s="1417">
        <v>11</v>
      </c>
      <c r="D1645" s="1417">
        <f t="shared" ref="D1645:D1657" si="4">C1645/B1645</f>
        <v>1.8333333333333333</v>
      </c>
      <c r="E1645" s="1417">
        <f t="shared" ref="E1645:E1657" si="5">B1645/C1645</f>
        <v>0.54545454545454541</v>
      </c>
      <c r="F1645" s="1417"/>
      <c r="G1645" s="1417"/>
      <c r="H1645" s="1417"/>
      <c r="I1645" s="1417"/>
      <c r="J1645" s="1417"/>
      <c r="K1645" s="1417"/>
      <c r="L1645" s="1391"/>
      <c r="M1645" s="1391"/>
      <c r="N1645" s="1391"/>
      <c r="O1645" s="1391"/>
      <c r="P1645" s="1391"/>
      <c r="Q1645" s="1391"/>
      <c r="R1645" s="1391"/>
      <c r="S1645" s="1391"/>
      <c r="T1645" s="1417"/>
      <c r="U1645" s="1417"/>
      <c r="V1645" s="1417"/>
      <c r="W1645" s="1417"/>
      <c r="X1645" s="1417"/>
      <c r="Y1645" s="1417"/>
      <c r="Z1645" s="1417">
        <v>6</v>
      </c>
      <c r="AA1645" s="1417">
        <v>9.3000000000000007</v>
      </c>
      <c r="AB1645" s="1417">
        <f t="shared" ref="AB1645:AB1651" si="6">AA1645/Z1645</f>
        <v>1.55</v>
      </c>
      <c r="AC1645" s="1417"/>
      <c r="AD1645" s="1417"/>
      <c r="AE1645" s="1417"/>
      <c r="AF1645" s="1417"/>
      <c r="AG1645" s="1417"/>
      <c r="AH1645" s="1417"/>
      <c r="AI1645" s="1417"/>
      <c r="AJ1645" s="1417"/>
      <c r="AK1645" s="1684"/>
      <c r="AL1645" s="1684"/>
      <c r="AM1645" s="1684"/>
      <c r="AN1645" s="1684"/>
      <c r="AO1645" s="1684"/>
      <c r="AP1645" s="1684"/>
      <c r="AQ1645" s="1684"/>
      <c r="AR1645" s="1684"/>
      <c r="AS1645" s="1684"/>
      <c r="AT1645" s="1684"/>
      <c r="AU1645" s="1684"/>
      <c r="AV1645" s="1684"/>
      <c r="AW1645" s="1684"/>
      <c r="AX1645" s="1684"/>
      <c r="AY1645" s="1684"/>
      <c r="AZ1645" s="1684"/>
      <c r="BA1645" s="1684"/>
      <c r="BB1645" s="1684"/>
      <c r="BC1645" s="1684"/>
      <c r="BD1645" s="1684"/>
      <c r="BE1645" s="1684"/>
      <c r="BF1645" s="1684"/>
      <c r="BG1645" s="1684"/>
      <c r="BH1645" s="1684"/>
      <c r="BI1645" s="1684"/>
      <c r="BJ1645" s="1684"/>
      <c r="BK1645" s="1684"/>
      <c r="BL1645" s="1684"/>
      <c r="BM1645" s="1684"/>
      <c r="BN1645" s="1684"/>
      <c r="BO1645" s="1684"/>
      <c r="BP1645" s="1684"/>
      <c r="BQ1645" s="1684"/>
      <c r="BR1645" s="1684"/>
      <c r="BS1645" s="1684"/>
      <c r="BT1645" s="1684"/>
      <c r="BU1645" s="1684"/>
      <c r="BV1645" s="1684"/>
      <c r="BW1645" s="1684"/>
      <c r="BX1645" s="1684"/>
      <c r="BY1645" s="1684"/>
      <c r="BZ1645" s="1684"/>
      <c r="CA1645" s="1684"/>
      <c r="CB1645" s="1684"/>
      <c r="CC1645" s="1684"/>
      <c r="CD1645" s="1684"/>
      <c r="CE1645" s="1684"/>
      <c r="CF1645" s="1684"/>
      <c r="CG1645" s="1684"/>
      <c r="CH1645" s="1684"/>
      <c r="CI1645" s="1684"/>
      <c r="CJ1645" s="1684"/>
      <c r="CK1645" s="1684"/>
      <c r="CL1645" s="1684"/>
      <c r="CM1645" s="1684"/>
      <c r="CN1645" s="1684"/>
      <c r="CO1645" s="1684"/>
      <c r="CP1645" s="1391"/>
      <c r="CQ1645" s="1391"/>
      <c r="CR1645" s="1391"/>
      <c r="CS1645" s="1391"/>
      <c r="CT1645" s="1391"/>
      <c r="CU1645" s="1391"/>
      <c r="CV1645" s="1391"/>
      <c r="CW1645" s="1391"/>
      <c r="CX1645" s="1391"/>
      <c r="CY1645" s="1391"/>
      <c r="CZ1645" s="1391"/>
      <c r="DA1645" s="1391"/>
      <c r="DB1645" s="1391"/>
      <c r="DC1645" s="1391"/>
      <c r="DD1645" s="1391"/>
      <c r="DE1645" s="1391"/>
      <c r="DF1645" s="1391"/>
      <c r="DG1645" s="1391"/>
      <c r="DH1645" s="1391"/>
      <c r="DI1645" s="1391"/>
    </row>
    <row r="1646" spans="1:113" ht="15.75" x14ac:dyDescent="0.25">
      <c r="A1646" s="1684"/>
      <c r="B1646" s="1417">
        <v>6</v>
      </c>
      <c r="C1646" s="1417">
        <v>12</v>
      </c>
      <c r="D1646" s="1417">
        <f t="shared" si="4"/>
        <v>2</v>
      </c>
      <c r="E1646" s="1417">
        <f t="shared" si="5"/>
        <v>0.5</v>
      </c>
      <c r="F1646" s="1417"/>
      <c r="G1646" s="1417"/>
      <c r="H1646" s="1417"/>
      <c r="I1646" s="1417"/>
      <c r="J1646" s="1684"/>
      <c r="K1646" s="1417"/>
      <c r="L1646" s="1391"/>
      <c r="M1646" s="1391"/>
      <c r="N1646" s="1391"/>
      <c r="O1646" s="1391"/>
      <c r="P1646" s="1391"/>
      <c r="Q1646" s="1391"/>
      <c r="R1646" s="1391"/>
      <c r="S1646" s="1391"/>
      <c r="T1646" s="1417"/>
      <c r="U1646" s="1417"/>
      <c r="V1646" s="1417"/>
      <c r="W1646" s="1417"/>
      <c r="X1646" s="1417"/>
      <c r="Y1646" s="1417"/>
      <c r="Z1646" s="1417">
        <v>8</v>
      </c>
      <c r="AA1646" s="1417">
        <v>11.04</v>
      </c>
      <c r="AB1646" s="1417">
        <f t="shared" si="6"/>
        <v>1.38</v>
      </c>
      <c r="AC1646" s="1417"/>
      <c r="AD1646" s="1417"/>
      <c r="AE1646" s="1417"/>
      <c r="AF1646" s="1417"/>
      <c r="AG1646" s="1417"/>
      <c r="AH1646" s="1417"/>
      <c r="AI1646" s="1684"/>
      <c r="AJ1646" s="1684"/>
      <c r="AK1646" s="1684"/>
      <c r="AL1646" s="1684"/>
      <c r="AM1646" s="1684"/>
      <c r="AN1646" s="1684"/>
      <c r="AO1646" s="1684"/>
      <c r="AP1646" s="1684"/>
      <c r="AQ1646" s="1684"/>
      <c r="AR1646" s="1684"/>
      <c r="AS1646" s="1684"/>
      <c r="AT1646" s="1684"/>
      <c r="AU1646" s="1684"/>
      <c r="AV1646" s="1684"/>
      <c r="AW1646" s="1684"/>
      <c r="AX1646" s="1684"/>
      <c r="AY1646" s="1684"/>
      <c r="AZ1646" s="1684"/>
      <c r="BA1646" s="1684"/>
      <c r="BB1646" s="1684"/>
      <c r="BC1646" s="1684"/>
      <c r="BD1646" s="1684"/>
      <c r="BE1646" s="1684"/>
      <c r="BF1646" s="1684"/>
      <c r="BG1646" s="1684"/>
      <c r="BH1646" s="1684"/>
      <c r="BI1646" s="1684"/>
      <c r="BJ1646" s="1684"/>
      <c r="BK1646" s="1684"/>
      <c r="BL1646" s="1684"/>
      <c r="BM1646" s="1684"/>
      <c r="BN1646" s="1684"/>
      <c r="BO1646" s="1684"/>
      <c r="BP1646" s="1684"/>
      <c r="BQ1646" s="1684"/>
      <c r="BR1646" s="1684"/>
      <c r="BS1646" s="1684"/>
      <c r="BT1646" s="1684"/>
      <c r="BU1646" s="1684"/>
      <c r="BV1646" s="1684"/>
      <c r="BW1646" s="1684"/>
      <c r="BX1646" s="1684"/>
      <c r="BY1646" s="1684"/>
      <c r="BZ1646" s="1684"/>
      <c r="CA1646" s="1684"/>
      <c r="CB1646" s="1684"/>
      <c r="CC1646" s="1684"/>
      <c r="CD1646" s="1684"/>
      <c r="CE1646" s="1684"/>
      <c r="CF1646" s="1684"/>
      <c r="CG1646" s="1684"/>
      <c r="CH1646" s="1684"/>
      <c r="CI1646" s="1684"/>
      <c r="CJ1646" s="1684"/>
      <c r="CK1646" s="1684"/>
      <c r="CL1646" s="1684"/>
      <c r="CM1646" s="1684"/>
      <c r="CN1646" s="1684"/>
      <c r="CO1646" s="1684"/>
      <c r="CP1646" s="1391"/>
      <c r="CQ1646" s="1391"/>
      <c r="CR1646" s="1391"/>
      <c r="CS1646" s="1391"/>
      <c r="CT1646" s="1391"/>
      <c r="CU1646" s="1391"/>
      <c r="CV1646" s="1391"/>
      <c r="CW1646" s="1391"/>
      <c r="CX1646" s="1391"/>
      <c r="CY1646" s="1391"/>
      <c r="CZ1646" s="1391"/>
      <c r="DA1646" s="1391"/>
      <c r="DB1646" s="1391"/>
      <c r="DC1646" s="1391"/>
      <c r="DD1646" s="1391"/>
      <c r="DE1646" s="1391"/>
      <c r="DF1646" s="1391"/>
      <c r="DG1646" s="1391"/>
      <c r="DH1646" s="1391"/>
      <c r="DI1646" s="1391"/>
    </row>
    <row r="1647" spans="1:113" ht="15.75" x14ac:dyDescent="0.25">
      <c r="A1647" s="1684"/>
      <c r="B1647" s="1417">
        <v>8</v>
      </c>
      <c r="C1647" s="1417">
        <v>16</v>
      </c>
      <c r="D1647" s="1417">
        <f t="shared" si="4"/>
        <v>2</v>
      </c>
      <c r="E1647" s="1417">
        <f t="shared" si="5"/>
        <v>0.5</v>
      </c>
      <c r="F1647" s="1417"/>
      <c r="G1647" s="1417"/>
      <c r="H1647" s="1417"/>
      <c r="I1647" s="1417"/>
      <c r="J1647" s="1684"/>
      <c r="K1647" s="1417"/>
      <c r="L1647" s="1391"/>
      <c r="M1647" s="1391"/>
      <c r="N1647" s="1391"/>
      <c r="O1647" s="1391"/>
      <c r="P1647" s="1391"/>
      <c r="Q1647" s="1391"/>
      <c r="R1647" s="1391"/>
      <c r="S1647" s="1391"/>
      <c r="T1647" s="1417"/>
      <c r="U1647" s="1417"/>
      <c r="V1647" s="1417"/>
      <c r="W1647" s="1417"/>
      <c r="X1647" s="1417"/>
      <c r="Y1647" s="1417"/>
      <c r="Z1647" s="1417">
        <v>10</v>
      </c>
      <c r="AA1647" s="1417">
        <v>12.06</v>
      </c>
      <c r="AB1647" s="1417">
        <f t="shared" si="6"/>
        <v>1.206</v>
      </c>
      <c r="AC1647" s="1417"/>
      <c r="AD1647" s="1417"/>
      <c r="AE1647" s="1417"/>
      <c r="AF1647" s="1417"/>
      <c r="AG1647" s="1417"/>
      <c r="AH1647" s="1417"/>
      <c r="AI1647" s="1684"/>
      <c r="AJ1647" s="1684"/>
      <c r="AK1647" s="1684"/>
      <c r="AL1647" s="1684"/>
      <c r="AM1647" s="1684"/>
      <c r="AN1647" s="1684"/>
      <c r="AO1647" s="1684"/>
      <c r="AP1647" s="1684"/>
      <c r="AQ1647" s="1684"/>
      <c r="AR1647" s="1684"/>
      <c r="AS1647" s="1684"/>
      <c r="AT1647" s="1684"/>
      <c r="AU1647" s="1684"/>
      <c r="AV1647" s="1684"/>
      <c r="AW1647" s="1684"/>
      <c r="AX1647" s="1684"/>
      <c r="AY1647" s="1684"/>
      <c r="AZ1647" s="1684"/>
      <c r="BA1647" s="1684"/>
      <c r="BB1647" s="1684"/>
      <c r="BC1647" s="1684"/>
      <c r="BD1647" s="1684"/>
      <c r="BE1647" s="1684"/>
      <c r="BF1647" s="1684"/>
      <c r="BG1647" s="1684"/>
      <c r="BH1647" s="1684"/>
      <c r="BI1647" s="1684"/>
      <c r="BJ1647" s="1684"/>
      <c r="BK1647" s="1684"/>
      <c r="BL1647" s="1684"/>
      <c r="BM1647" s="1684"/>
      <c r="BN1647" s="1684"/>
      <c r="BO1647" s="1684"/>
      <c r="BP1647" s="1684"/>
      <c r="BQ1647" s="1684"/>
      <c r="BR1647" s="1684"/>
      <c r="BS1647" s="1684"/>
      <c r="BT1647" s="1684"/>
      <c r="BU1647" s="1684"/>
      <c r="BV1647" s="1684"/>
      <c r="BW1647" s="1684"/>
      <c r="BX1647" s="1684"/>
      <c r="BY1647" s="1684"/>
      <c r="BZ1647" s="1684"/>
      <c r="CA1647" s="1684"/>
      <c r="CB1647" s="1684"/>
      <c r="CC1647" s="1684"/>
      <c r="CD1647" s="1684"/>
      <c r="CE1647" s="1684"/>
      <c r="CF1647" s="1684"/>
      <c r="CG1647" s="1684"/>
      <c r="CH1647" s="1684"/>
      <c r="CI1647" s="1684"/>
      <c r="CJ1647" s="1684"/>
      <c r="CK1647" s="1684"/>
      <c r="CL1647" s="1684"/>
      <c r="CM1647" s="1684"/>
      <c r="CN1647" s="1684"/>
      <c r="CO1647" s="1684"/>
      <c r="CP1647" s="1391"/>
      <c r="CQ1647" s="1391"/>
      <c r="CR1647" s="1391"/>
      <c r="CS1647" s="1391"/>
      <c r="CT1647" s="1391"/>
      <c r="CU1647" s="1391"/>
      <c r="CV1647" s="1391"/>
      <c r="CW1647" s="1391"/>
      <c r="CX1647" s="1391"/>
      <c r="CY1647" s="1391"/>
      <c r="CZ1647" s="1391"/>
      <c r="DA1647" s="1391"/>
      <c r="DB1647" s="1391"/>
      <c r="DC1647" s="1391"/>
      <c r="DD1647" s="1391"/>
      <c r="DE1647" s="1391"/>
      <c r="DF1647" s="1391"/>
      <c r="DG1647" s="1391"/>
      <c r="DH1647" s="1391"/>
      <c r="DI1647" s="1391"/>
    </row>
    <row r="1648" spans="1:113" ht="15.75" x14ac:dyDescent="0.25">
      <c r="A1648" s="1684"/>
      <c r="B1648" s="1417">
        <v>8</v>
      </c>
      <c r="C1648" s="1417">
        <v>17</v>
      </c>
      <c r="D1648" s="1417">
        <f t="shared" si="4"/>
        <v>2.125</v>
      </c>
      <c r="E1648" s="1417">
        <f t="shared" si="5"/>
        <v>0.47058823529411764</v>
      </c>
      <c r="F1648" s="1417"/>
      <c r="G1648" s="1417"/>
      <c r="H1648" s="1417"/>
      <c r="I1648" s="1417"/>
      <c r="J1648" s="1684"/>
      <c r="K1648" s="1417"/>
      <c r="L1648" s="1391"/>
      <c r="M1648" s="1391"/>
      <c r="N1648" s="1391"/>
      <c r="O1648" s="1391"/>
      <c r="P1648" s="1391"/>
      <c r="Q1648" s="1391"/>
      <c r="R1648" s="1391"/>
      <c r="S1648" s="1391"/>
      <c r="T1648" s="1417"/>
      <c r="U1648" s="1417"/>
      <c r="V1648" s="1417"/>
      <c r="W1648" s="1417"/>
      <c r="X1648" s="1417"/>
      <c r="Y1648" s="1417"/>
      <c r="Z1648" s="1417">
        <v>12</v>
      </c>
      <c r="AA1648" s="1417">
        <v>14.04</v>
      </c>
      <c r="AB1648" s="1417">
        <f t="shared" si="6"/>
        <v>1.17</v>
      </c>
      <c r="AC1648" s="1417"/>
      <c r="AD1648" s="1417"/>
      <c r="AE1648" s="1417"/>
      <c r="AF1648" s="1417"/>
      <c r="AG1648" s="1417"/>
      <c r="AH1648" s="1417"/>
      <c r="AI1648" s="1684"/>
      <c r="AJ1648" s="1684"/>
      <c r="AK1648" s="1684"/>
      <c r="AL1648" s="1684"/>
      <c r="AM1648" s="1684"/>
      <c r="AN1648" s="1684"/>
      <c r="AO1648" s="1684"/>
      <c r="AP1648" s="1684"/>
      <c r="AQ1648" s="1684"/>
      <c r="AR1648" s="1684"/>
      <c r="AS1648" s="1684"/>
      <c r="AT1648" s="1684"/>
      <c r="AU1648" s="1684"/>
      <c r="AV1648" s="1684"/>
      <c r="AW1648" s="1684"/>
      <c r="AX1648" s="1684"/>
      <c r="AY1648" s="1684"/>
      <c r="AZ1648" s="1684"/>
      <c r="BA1648" s="1684"/>
      <c r="BB1648" s="1684"/>
      <c r="BC1648" s="1684"/>
      <c r="BD1648" s="1684"/>
      <c r="BE1648" s="1684"/>
      <c r="BF1648" s="1684"/>
      <c r="BG1648" s="1684"/>
      <c r="BH1648" s="1684"/>
      <c r="BI1648" s="1684"/>
      <c r="BJ1648" s="1684"/>
      <c r="BK1648" s="1684"/>
      <c r="BL1648" s="1684"/>
      <c r="BM1648" s="1684"/>
      <c r="BN1648" s="1684"/>
      <c r="BO1648" s="1684"/>
      <c r="BP1648" s="1684"/>
      <c r="BQ1648" s="1684"/>
      <c r="BR1648" s="1684"/>
      <c r="BS1648" s="1684"/>
      <c r="BT1648" s="1684"/>
      <c r="BU1648" s="1684"/>
      <c r="BV1648" s="1684"/>
      <c r="BW1648" s="1684"/>
      <c r="BX1648" s="1684"/>
      <c r="BY1648" s="1684"/>
      <c r="BZ1648" s="1684"/>
      <c r="CA1648" s="1684"/>
      <c r="CB1648" s="1684"/>
      <c r="CC1648" s="1684"/>
      <c r="CD1648" s="1684"/>
      <c r="CE1648" s="1684"/>
      <c r="CF1648" s="1684"/>
      <c r="CG1648" s="1684"/>
      <c r="CH1648" s="1684"/>
      <c r="CI1648" s="1684"/>
      <c r="CJ1648" s="1684"/>
      <c r="CK1648" s="1684"/>
      <c r="CL1648" s="1684"/>
      <c r="CM1648" s="1684"/>
      <c r="CN1648" s="1684"/>
      <c r="CO1648" s="1684"/>
      <c r="CP1648" s="1391"/>
      <c r="CQ1648" s="1391"/>
      <c r="CR1648" s="1391"/>
      <c r="CS1648" s="1391"/>
      <c r="CT1648" s="1391"/>
      <c r="CU1648" s="1391"/>
      <c r="CV1648" s="1391"/>
      <c r="CW1648" s="1391"/>
      <c r="CX1648" s="1391"/>
      <c r="CY1648" s="1391"/>
      <c r="CZ1648" s="1391"/>
      <c r="DA1648" s="1391"/>
      <c r="DB1648" s="1391"/>
      <c r="DC1648" s="1391"/>
      <c r="DD1648" s="1391"/>
      <c r="DE1648" s="1391"/>
      <c r="DF1648" s="1391"/>
      <c r="DG1648" s="1391"/>
      <c r="DH1648" s="1391"/>
      <c r="DI1648" s="1391"/>
    </row>
    <row r="1649" spans="1:113" ht="15.75" x14ac:dyDescent="0.25">
      <c r="A1649" s="1684"/>
      <c r="B1649" s="1417">
        <v>10</v>
      </c>
      <c r="C1649" s="1417">
        <v>21</v>
      </c>
      <c r="D1649" s="1417">
        <f t="shared" si="4"/>
        <v>2.1</v>
      </c>
      <c r="E1649" s="1417">
        <f t="shared" si="5"/>
        <v>0.47619047619047616</v>
      </c>
      <c r="F1649" s="1417"/>
      <c r="G1649" s="1417"/>
      <c r="H1649" s="1417"/>
      <c r="I1649" s="1417"/>
      <c r="J1649" s="1684"/>
      <c r="K1649" s="1417"/>
      <c r="L1649" s="1391"/>
      <c r="M1649" s="1391"/>
      <c r="N1649" s="1391"/>
      <c r="O1649" s="1391"/>
      <c r="P1649" s="1391"/>
      <c r="Q1649" s="1391"/>
      <c r="R1649" s="1391"/>
      <c r="S1649" s="1391"/>
      <c r="T1649" s="1417"/>
      <c r="U1649" s="1417"/>
      <c r="V1649" s="1417"/>
      <c r="W1649" s="1417"/>
      <c r="X1649" s="1417"/>
      <c r="Y1649" s="1417"/>
      <c r="Z1649" s="1417">
        <v>14</v>
      </c>
      <c r="AA1649" s="1417">
        <v>15.4</v>
      </c>
      <c r="AB1649" s="1417">
        <f t="shared" si="6"/>
        <v>1.1000000000000001</v>
      </c>
      <c r="AC1649" s="1417"/>
      <c r="AD1649" s="1417"/>
      <c r="AE1649" s="1417"/>
      <c r="AF1649" s="1417"/>
      <c r="AG1649" s="1417"/>
      <c r="AH1649" s="1417"/>
      <c r="AI1649" s="1684"/>
      <c r="AJ1649" s="1684"/>
      <c r="AK1649" s="1684"/>
      <c r="AL1649" s="1684"/>
      <c r="AM1649" s="1684"/>
      <c r="AN1649" s="1684"/>
      <c r="AO1649" s="1684"/>
      <c r="AP1649" s="1684"/>
      <c r="AQ1649" s="1684"/>
      <c r="AR1649" s="1684"/>
      <c r="AS1649" s="1684"/>
      <c r="AT1649" s="1684"/>
      <c r="AU1649" s="1684"/>
      <c r="AV1649" s="1684"/>
      <c r="AW1649" s="1684"/>
      <c r="AX1649" s="1684"/>
      <c r="AY1649" s="1684"/>
      <c r="AZ1649" s="1684"/>
      <c r="BA1649" s="1684"/>
      <c r="BB1649" s="1684"/>
      <c r="BC1649" s="1684"/>
      <c r="BD1649" s="1684"/>
      <c r="BE1649" s="1684"/>
      <c r="BF1649" s="1684"/>
      <c r="BG1649" s="1684"/>
      <c r="BH1649" s="1684"/>
      <c r="BI1649" s="1684"/>
      <c r="BJ1649" s="1684"/>
      <c r="BK1649" s="1684"/>
      <c r="BL1649" s="1684"/>
      <c r="BM1649" s="1684"/>
      <c r="BN1649" s="1684"/>
      <c r="BO1649" s="1684"/>
      <c r="BP1649" s="1684"/>
      <c r="BQ1649" s="1684"/>
      <c r="BR1649" s="1684"/>
      <c r="BS1649" s="1684"/>
      <c r="BT1649" s="1684"/>
      <c r="BU1649" s="1684"/>
      <c r="BV1649" s="1684"/>
      <c r="BW1649" s="1684"/>
      <c r="BX1649" s="1684"/>
      <c r="BY1649" s="1684"/>
      <c r="BZ1649" s="1684"/>
      <c r="CA1649" s="1684"/>
      <c r="CB1649" s="1684"/>
      <c r="CC1649" s="1684"/>
      <c r="CD1649" s="1684"/>
      <c r="CE1649" s="1684"/>
      <c r="CF1649" s="1684"/>
      <c r="CG1649" s="1684"/>
      <c r="CH1649" s="1684"/>
      <c r="CI1649" s="1684"/>
      <c r="CJ1649" s="1684"/>
      <c r="CK1649" s="1684"/>
      <c r="CL1649" s="1684"/>
      <c r="CM1649" s="1684"/>
      <c r="CN1649" s="1684"/>
      <c r="CO1649" s="1684"/>
      <c r="CP1649" s="1391"/>
      <c r="CQ1649" s="1391"/>
      <c r="CR1649" s="1391"/>
      <c r="CS1649" s="1391"/>
      <c r="CT1649" s="1391"/>
      <c r="CU1649" s="1391"/>
      <c r="CV1649" s="1391"/>
      <c r="CW1649" s="1391"/>
      <c r="CX1649" s="1391"/>
      <c r="CY1649" s="1391"/>
      <c r="CZ1649" s="1391"/>
      <c r="DA1649" s="1391"/>
      <c r="DB1649" s="1391"/>
      <c r="DC1649" s="1391"/>
      <c r="DD1649" s="1391"/>
      <c r="DE1649" s="1391"/>
      <c r="DF1649" s="1391"/>
      <c r="DG1649" s="1391"/>
      <c r="DH1649" s="1391"/>
      <c r="DI1649" s="1391"/>
    </row>
    <row r="1650" spans="1:113" ht="15.75" x14ac:dyDescent="0.25">
      <c r="A1650" s="1684"/>
      <c r="B1650" s="1417">
        <v>10</v>
      </c>
      <c r="C1650" s="1417">
        <v>22</v>
      </c>
      <c r="D1650" s="1417">
        <f t="shared" si="4"/>
        <v>2.2000000000000002</v>
      </c>
      <c r="E1650" s="1417">
        <f t="shared" si="5"/>
        <v>0.45454545454545453</v>
      </c>
      <c r="F1650" s="1417"/>
      <c r="G1650" s="1417"/>
      <c r="H1650" s="1417"/>
      <c r="I1650" s="1417"/>
      <c r="J1650" s="1684"/>
      <c r="K1650" s="1417"/>
      <c r="L1650" s="1391"/>
      <c r="M1650" s="1391"/>
      <c r="N1650" s="1391"/>
      <c r="O1650" s="1391"/>
      <c r="P1650" s="1391"/>
      <c r="Q1650" s="1391"/>
      <c r="R1650" s="1391"/>
      <c r="S1650" s="1391"/>
      <c r="T1650" s="1417"/>
      <c r="U1650" s="1417"/>
      <c r="V1650" s="1417"/>
      <c r="W1650" s="1417"/>
      <c r="X1650" s="1417"/>
      <c r="Y1650" s="1417"/>
      <c r="Z1650" s="1417">
        <v>16</v>
      </c>
      <c r="AA1650" s="1417">
        <v>16.64</v>
      </c>
      <c r="AB1650" s="1417">
        <f t="shared" si="6"/>
        <v>1.04</v>
      </c>
      <c r="AC1650" s="1417"/>
      <c r="AD1650" s="1417"/>
      <c r="AE1650" s="1417"/>
      <c r="AF1650" s="1417"/>
      <c r="AG1650" s="1417"/>
      <c r="AH1650" s="1417"/>
      <c r="AI1650" s="1684"/>
      <c r="AJ1650" s="1684"/>
      <c r="AK1650" s="1684"/>
      <c r="AL1650" s="1684"/>
      <c r="AM1650" s="1684"/>
      <c r="AN1650" s="1684"/>
      <c r="AO1650" s="1684"/>
      <c r="AP1650" s="1684"/>
      <c r="AQ1650" s="1684"/>
      <c r="AR1650" s="1684"/>
      <c r="AS1650" s="1684"/>
      <c r="AT1650" s="1684"/>
      <c r="AU1650" s="1684"/>
      <c r="AV1650" s="1684"/>
      <c r="AW1650" s="1684"/>
      <c r="AX1650" s="1684"/>
      <c r="AY1650" s="1684"/>
      <c r="AZ1650" s="1684"/>
      <c r="BA1650" s="1684"/>
      <c r="BB1650" s="1684"/>
      <c r="BC1650" s="1684"/>
      <c r="BD1650" s="1684"/>
      <c r="BE1650" s="1684"/>
      <c r="BF1650" s="1684"/>
      <c r="BG1650" s="1684"/>
      <c r="BH1650" s="1684"/>
      <c r="BI1650" s="1684"/>
      <c r="BJ1650" s="1684"/>
      <c r="BK1650" s="1684"/>
      <c r="BL1650" s="1684"/>
      <c r="BM1650" s="1684"/>
      <c r="BN1650" s="1684"/>
      <c r="BO1650" s="1684"/>
      <c r="BP1650" s="1684"/>
      <c r="BQ1650" s="1684"/>
      <c r="BR1650" s="1684"/>
      <c r="BS1650" s="1684"/>
      <c r="BT1650" s="1684"/>
      <c r="BU1650" s="1684"/>
      <c r="BV1650" s="1684"/>
      <c r="BW1650" s="1684"/>
      <c r="BX1650" s="1684"/>
      <c r="BY1650" s="1684"/>
      <c r="BZ1650" s="1684"/>
      <c r="CA1650" s="1684"/>
      <c r="CB1650" s="1684"/>
      <c r="CC1650" s="1684"/>
      <c r="CD1650" s="1684"/>
      <c r="CE1650" s="1684"/>
      <c r="CF1650" s="1684"/>
      <c r="CG1650" s="1684"/>
      <c r="CH1650" s="1684"/>
      <c r="CI1650" s="1684"/>
      <c r="CJ1650" s="1684"/>
      <c r="CK1650" s="1684"/>
      <c r="CL1650" s="1684"/>
      <c r="CM1650" s="1684"/>
      <c r="CN1650" s="1684"/>
      <c r="CO1650" s="1684"/>
      <c r="CP1650" s="1391"/>
      <c r="CQ1650" s="1391"/>
      <c r="CR1650" s="1391"/>
      <c r="CS1650" s="1391"/>
      <c r="CT1650" s="1391"/>
      <c r="CU1650" s="1391"/>
      <c r="CV1650" s="1391"/>
      <c r="CW1650" s="1391"/>
      <c r="CX1650" s="1391"/>
      <c r="CY1650" s="1391"/>
      <c r="CZ1650" s="1391"/>
      <c r="DA1650" s="1391"/>
      <c r="DB1650" s="1391"/>
      <c r="DC1650" s="1391"/>
      <c r="DD1650" s="1391"/>
      <c r="DE1650" s="1391"/>
      <c r="DF1650" s="1391"/>
      <c r="DG1650" s="1391"/>
      <c r="DH1650" s="1391"/>
      <c r="DI1650" s="1391"/>
    </row>
    <row r="1651" spans="1:113" ht="15.75" x14ac:dyDescent="0.25">
      <c r="A1651" s="1684"/>
      <c r="B1651" s="1417">
        <v>12</v>
      </c>
      <c r="C1651" s="1417">
        <v>27</v>
      </c>
      <c r="D1651" s="1417">
        <f t="shared" si="4"/>
        <v>2.25</v>
      </c>
      <c r="E1651" s="1417">
        <f t="shared" si="5"/>
        <v>0.44444444444444442</v>
      </c>
      <c r="F1651" s="1417"/>
      <c r="G1651" s="1417"/>
      <c r="H1651" s="1417"/>
      <c r="I1651" s="1417"/>
      <c r="J1651" s="1684"/>
      <c r="K1651" s="1417"/>
      <c r="L1651" s="1391"/>
      <c r="M1651" s="1391"/>
      <c r="N1651" s="1391"/>
      <c r="O1651" s="1391"/>
      <c r="P1651" s="1391"/>
      <c r="Q1651" s="1391"/>
      <c r="R1651" s="1391"/>
      <c r="S1651" s="1391"/>
      <c r="T1651" s="1417"/>
      <c r="U1651" s="1417"/>
      <c r="V1651" s="1417"/>
      <c r="W1651" s="1417"/>
      <c r="X1651" s="1417"/>
      <c r="Y1651" s="1417"/>
      <c r="Z1651" s="1417">
        <v>18</v>
      </c>
      <c r="AA1651" s="1417">
        <v>17.82</v>
      </c>
      <c r="AB1651" s="1417">
        <f t="shared" si="6"/>
        <v>0.99</v>
      </c>
      <c r="AC1651" s="1417"/>
      <c r="AD1651" s="1417"/>
      <c r="AE1651" s="1417"/>
      <c r="AF1651" s="1417"/>
      <c r="AG1651" s="1417"/>
      <c r="AH1651" s="1417"/>
      <c r="AI1651" s="1684"/>
      <c r="AJ1651" s="1684"/>
      <c r="AK1651" s="1684"/>
      <c r="AL1651" s="1684"/>
      <c r="AM1651" s="1684"/>
      <c r="AN1651" s="1684"/>
      <c r="AO1651" s="1684"/>
      <c r="AP1651" s="1684"/>
      <c r="AQ1651" s="1684"/>
      <c r="AR1651" s="1684"/>
      <c r="AS1651" s="1684"/>
      <c r="AT1651" s="1684"/>
      <c r="AU1651" s="1684"/>
      <c r="AV1651" s="1684"/>
      <c r="AW1651" s="1684"/>
      <c r="AX1651" s="1684"/>
      <c r="AY1651" s="1684"/>
      <c r="AZ1651" s="1684"/>
      <c r="BA1651" s="1684"/>
      <c r="BB1651" s="1684"/>
      <c r="BC1651" s="1684"/>
      <c r="BD1651" s="1684"/>
      <c r="BE1651" s="1684"/>
      <c r="BF1651" s="1684"/>
      <c r="BG1651" s="1684"/>
      <c r="BH1651" s="1684"/>
      <c r="BI1651" s="1684"/>
      <c r="BJ1651" s="1684"/>
      <c r="BK1651" s="1684"/>
      <c r="BL1651" s="1684"/>
      <c r="BM1651" s="1684"/>
      <c r="BN1651" s="1684"/>
      <c r="BO1651" s="1684"/>
      <c r="BP1651" s="1684"/>
      <c r="BQ1651" s="1684"/>
      <c r="BR1651" s="1684"/>
      <c r="BS1651" s="1684"/>
      <c r="BT1651" s="1684"/>
      <c r="BU1651" s="1684"/>
      <c r="BV1651" s="1684"/>
      <c r="BW1651" s="1684"/>
      <c r="BX1651" s="1684"/>
      <c r="BY1651" s="1684"/>
      <c r="BZ1651" s="1684"/>
      <c r="CA1651" s="1684"/>
      <c r="CB1651" s="1684"/>
      <c r="CC1651" s="1684"/>
      <c r="CD1651" s="1684"/>
      <c r="CE1651" s="1684"/>
      <c r="CF1651" s="1684"/>
      <c r="CG1651" s="1684"/>
      <c r="CH1651" s="1684"/>
      <c r="CI1651" s="1684"/>
      <c r="CJ1651" s="1684"/>
      <c r="CK1651" s="1684"/>
      <c r="CL1651" s="1684"/>
      <c r="CM1651" s="1684"/>
      <c r="CN1651" s="1684"/>
      <c r="CO1651" s="1684"/>
      <c r="CP1651" s="1391"/>
      <c r="CQ1651" s="1391"/>
      <c r="CR1651" s="1391"/>
      <c r="CS1651" s="1391"/>
      <c r="CT1651" s="1391"/>
      <c r="CU1651" s="1391"/>
      <c r="CV1651" s="1391"/>
      <c r="CW1651" s="1391"/>
      <c r="CX1651" s="1391"/>
      <c r="CY1651" s="1391"/>
      <c r="CZ1651" s="1391"/>
      <c r="DA1651" s="1391"/>
      <c r="DB1651" s="1391"/>
      <c r="DC1651" s="1391"/>
      <c r="DD1651" s="1391"/>
      <c r="DE1651" s="1391"/>
      <c r="DF1651" s="1391"/>
      <c r="DG1651" s="1391"/>
      <c r="DH1651" s="1391"/>
      <c r="DI1651" s="1391"/>
    </row>
    <row r="1652" spans="1:113" ht="15.75" x14ac:dyDescent="0.25">
      <c r="A1652" s="1684"/>
      <c r="B1652" s="1417">
        <v>12</v>
      </c>
      <c r="C1652" s="1417">
        <v>28</v>
      </c>
      <c r="D1652" s="1417">
        <f t="shared" si="4"/>
        <v>2.3333333333333335</v>
      </c>
      <c r="E1652" s="1417">
        <f t="shared" si="5"/>
        <v>0.42857142857142855</v>
      </c>
      <c r="F1652" s="1417"/>
      <c r="G1652" s="1417"/>
      <c r="H1652" s="1417"/>
      <c r="I1652" s="1417"/>
      <c r="J1652" s="1684"/>
      <c r="K1652" s="1417"/>
      <c r="L1652" s="1391"/>
      <c r="M1652" s="1391"/>
      <c r="N1652" s="1391"/>
      <c r="O1652" s="1391"/>
      <c r="P1652" s="1391"/>
      <c r="Q1652" s="1391"/>
      <c r="R1652" s="1391"/>
      <c r="S1652" s="1391"/>
      <c r="T1652" s="1417"/>
      <c r="U1652" s="1417"/>
      <c r="V1652" s="1417"/>
      <c r="W1652" s="1417"/>
      <c r="X1652" s="1417"/>
      <c r="Y1652" s="1417"/>
      <c r="Z1652" s="1417"/>
      <c r="AA1652" s="1417"/>
      <c r="AB1652" s="1417">
        <f>SUM(AB1644:AB1651)</f>
        <v>10.255999999999998</v>
      </c>
      <c r="AC1652" s="1417"/>
      <c r="AD1652" s="1417"/>
      <c r="AE1652" s="1417"/>
      <c r="AF1652" s="1417"/>
      <c r="AG1652" s="1417"/>
      <c r="AH1652" s="1417"/>
      <c r="AI1652" s="1684"/>
      <c r="AJ1652" s="1684"/>
      <c r="AK1652" s="1684"/>
      <c r="AL1652" s="1684"/>
      <c r="AM1652" s="1684"/>
      <c r="AN1652" s="1684"/>
      <c r="AO1652" s="1684"/>
      <c r="AP1652" s="1684"/>
      <c r="AQ1652" s="1684"/>
      <c r="AR1652" s="1684"/>
      <c r="AS1652" s="1684"/>
      <c r="AT1652" s="1684"/>
      <c r="AU1652" s="1684"/>
      <c r="AV1652" s="1684"/>
      <c r="AW1652" s="1684"/>
      <c r="AX1652" s="1684"/>
      <c r="AY1652" s="1684"/>
      <c r="AZ1652" s="1684"/>
      <c r="BA1652" s="1684"/>
      <c r="BB1652" s="1684"/>
      <c r="BC1652" s="1684"/>
      <c r="BD1652" s="1684"/>
      <c r="BE1652" s="1684"/>
      <c r="BF1652" s="1684"/>
      <c r="BG1652" s="1684"/>
      <c r="BH1652" s="1684"/>
      <c r="BI1652" s="1684"/>
      <c r="BJ1652" s="1684"/>
      <c r="BK1652" s="1684"/>
      <c r="BL1652" s="1684"/>
      <c r="BM1652" s="1684"/>
      <c r="BN1652" s="1684"/>
      <c r="BO1652" s="1684"/>
      <c r="BP1652" s="1684"/>
      <c r="BQ1652" s="1684"/>
      <c r="BR1652" s="1684"/>
      <c r="BS1652" s="1684"/>
      <c r="BT1652" s="1684"/>
      <c r="BU1652" s="1684"/>
      <c r="BV1652" s="1684"/>
      <c r="BW1652" s="1684"/>
      <c r="BX1652" s="1684"/>
      <c r="BY1652" s="1684"/>
      <c r="BZ1652" s="1684"/>
      <c r="CA1652" s="1684"/>
      <c r="CB1652" s="1684"/>
      <c r="CC1652" s="1684"/>
      <c r="CD1652" s="1684"/>
      <c r="CE1652" s="1684"/>
      <c r="CF1652" s="1684"/>
      <c r="CG1652" s="1684"/>
      <c r="CH1652" s="1684"/>
      <c r="CI1652" s="1684"/>
      <c r="CJ1652" s="1684"/>
      <c r="CK1652" s="1684"/>
      <c r="CL1652" s="1684"/>
      <c r="CM1652" s="1684"/>
      <c r="CN1652" s="1684"/>
      <c r="CO1652" s="1684"/>
      <c r="CP1652" s="1391"/>
      <c r="CQ1652" s="1391"/>
      <c r="CR1652" s="1391"/>
      <c r="CS1652" s="1391"/>
      <c r="CT1652" s="1391"/>
      <c r="CU1652" s="1391"/>
      <c r="CV1652" s="1391"/>
      <c r="CW1652" s="1391"/>
      <c r="CX1652" s="1391"/>
      <c r="CY1652" s="1391"/>
      <c r="CZ1652" s="1391"/>
      <c r="DA1652" s="1391"/>
      <c r="DB1652" s="1391"/>
      <c r="DC1652" s="1391"/>
      <c r="DD1652" s="1391"/>
      <c r="DE1652" s="1391"/>
      <c r="DF1652" s="1391"/>
      <c r="DG1652" s="1391"/>
      <c r="DH1652" s="1391"/>
      <c r="DI1652" s="1391"/>
    </row>
    <row r="1653" spans="1:113" ht="15.75" x14ac:dyDescent="0.25">
      <c r="A1653" s="1684"/>
      <c r="B1653" s="1417">
        <v>14</v>
      </c>
      <c r="C1653" s="1417">
        <v>33</v>
      </c>
      <c r="D1653" s="1417">
        <f t="shared" si="4"/>
        <v>2.3571428571428572</v>
      </c>
      <c r="E1653" s="1417">
        <f t="shared" si="5"/>
        <v>0.42424242424242425</v>
      </c>
      <c r="F1653" s="1417"/>
      <c r="G1653" s="1417"/>
      <c r="H1653" s="1417"/>
      <c r="I1653" s="1417"/>
      <c r="J1653" s="1684"/>
      <c r="K1653" s="1417"/>
      <c r="L1653" s="1391"/>
      <c r="M1653" s="1391"/>
      <c r="N1653" s="1391"/>
      <c r="O1653" s="1391"/>
      <c r="P1653" s="1391"/>
      <c r="Q1653" s="1391"/>
      <c r="R1653" s="1391"/>
      <c r="S1653" s="1391"/>
      <c r="T1653" s="1417"/>
      <c r="U1653" s="1417"/>
      <c r="V1653" s="1417"/>
      <c r="W1653" s="1417"/>
      <c r="X1653" s="1417"/>
      <c r="Y1653" s="1417"/>
      <c r="Z1653" s="1417"/>
      <c r="AA1653" s="1417"/>
      <c r="AB1653" s="1417">
        <f>AB1652/8</f>
        <v>1.2819999999999998</v>
      </c>
      <c r="AC1653" s="1417"/>
      <c r="AD1653" s="1417"/>
      <c r="AE1653" s="1417"/>
      <c r="AF1653" s="1417"/>
      <c r="AG1653" s="1417"/>
      <c r="AH1653" s="1417"/>
      <c r="AI1653" s="1684"/>
      <c r="AJ1653" s="1684"/>
      <c r="AK1653" s="1684"/>
      <c r="AL1653" s="1684"/>
      <c r="AM1653" s="1684"/>
      <c r="AN1653" s="1684"/>
      <c r="AO1653" s="1684"/>
      <c r="AP1653" s="1684"/>
      <c r="AQ1653" s="1684"/>
      <c r="AR1653" s="1684"/>
      <c r="AS1653" s="1684"/>
      <c r="AT1653" s="1684"/>
      <c r="AU1653" s="1684"/>
      <c r="AV1653" s="1684"/>
      <c r="AW1653" s="1684"/>
      <c r="AX1653" s="1684"/>
      <c r="AY1653" s="1684"/>
      <c r="AZ1653" s="1684"/>
      <c r="BA1653" s="1684"/>
      <c r="BB1653" s="1684"/>
      <c r="BC1653" s="1684"/>
      <c r="BD1653" s="1684"/>
      <c r="BE1653" s="1684"/>
      <c r="BF1653" s="1684"/>
      <c r="BG1653" s="1684"/>
      <c r="BH1653" s="1684"/>
      <c r="BI1653" s="1684"/>
      <c r="BJ1653" s="1684"/>
      <c r="BK1653" s="1684"/>
      <c r="BL1653" s="1684"/>
      <c r="BM1653" s="1684"/>
      <c r="BN1653" s="1684"/>
      <c r="BO1653" s="1684"/>
      <c r="BP1653" s="1684"/>
      <c r="BQ1653" s="1684"/>
      <c r="BR1653" s="1684"/>
      <c r="BS1653" s="1684"/>
      <c r="BT1653" s="1684"/>
      <c r="BU1653" s="1684"/>
      <c r="BV1653" s="1684"/>
      <c r="BW1653" s="1684"/>
      <c r="BX1653" s="1684"/>
      <c r="BY1653" s="1684"/>
      <c r="BZ1653" s="1684"/>
      <c r="CA1653" s="1684"/>
      <c r="CB1653" s="1684"/>
      <c r="CC1653" s="1684"/>
      <c r="CD1653" s="1684"/>
      <c r="CE1653" s="1684"/>
      <c r="CF1653" s="1684"/>
      <c r="CG1653" s="1684"/>
      <c r="CH1653" s="1684"/>
      <c r="CI1653" s="1684"/>
      <c r="CJ1653" s="1684"/>
      <c r="CK1653" s="1684"/>
      <c r="CL1653" s="1684"/>
      <c r="CM1653" s="1684"/>
      <c r="CN1653" s="1684"/>
      <c r="CO1653" s="1684"/>
      <c r="CP1653" s="1391"/>
      <c r="CQ1653" s="1391"/>
      <c r="CR1653" s="1391"/>
      <c r="CS1653" s="1391"/>
      <c r="CT1653" s="1391"/>
      <c r="CU1653" s="1391"/>
      <c r="CV1653" s="1391"/>
      <c r="CW1653" s="1391"/>
      <c r="CX1653" s="1391"/>
      <c r="CY1653" s="1391"/>
      <c r="CZ1653" s="1391"/>
      <c r="DA1653" s="1391"/>
      <c r="DB1653" s="1391"/>
      <c r="DC1653" s="1391"/>
      <c r="DD1653" s="1391"/>
      <c r="DE1653" s="1391"/>
      <c r="DF1653" s="1391"/>
      <c r="DG1653" s="1391"/>
      <c r="DH1653" s="1391"/>
      <c r="DI1653" s="1391"/>
    </row>
    <row r="1654" spans="1:113" ht="15.75" x14ac:dyDescent="0.25">
      <c r="A1654" s="1684"/>
      <c r="B1654" s="1417">
        <v>14</v>
      </c>
      <c r="C1654" s="1417">
        <v>34</v>
      </c>
      <c r="D1654" s="1417">
        <f t="shared" si="4"/>
        <v>2.4285714285714284</v>
      </c>
      <c r="E1654" s="1417">
        <f t="shared" si="5"/>
        <v>0.41176470588235292</v>
      </c>
      <c r="F1654" s="1417"/>
      <c r="G1654" s="1417"/>
      <c r="H1654" s="1417"/>
      <c r="I1654" s="1417"/>
      <c r="J1654" s="1684"/>
      <c r="K1654" s="1417"/>
      <c r="L1654" s="1391"/>
      <c r="M1654" s="1391"/>
      <c r="N1654" s="1391"/>
      <c r="O1654" s="1391"/>
      <c r="P1654" s="1391"/>
      <c r="Q1654" s="1391"/>
      <c r="R1654" s="1391"/>
      <c r="S1654" s="1391"/>
      <c r="T1654" s="1417"/>
      <c r="U1654" s="1417"/>
      <c r="V1654" s="1417"/>
      <c r="W1654" s="1417"/>
      <c r="X1654" s="1417"/>
      <c r="Y1654" s="1417"/>
      <c r="Z1654" s="1417"/>
      <c r="AA1654" s="1417"/>
      <c r="AB1654" s="1417"/>
      <c r="AC1654" s="1417"/>
      <c r="AD1654" s="1417"/>
      <c r="AE1654" s="1417"/>
      <c r="AF1654" s="1417"/>
      <c r="AG1654" s="1417"/>
      <c r="AH1654" s="1417"/>
      <c r="AI1654" s="1684"/>
      <c r="AJ1654" s="1684"/>
      <c r="AK1654" s="1684"/>
      <c r="AL1654" s="1684"/>
      <c r="AM1654" s="1684"/>
      <c r="AN1654" s="1684"/>
      <c r="AO1654" s="1684"/>
      <c r="AP1654" s="1684"/>
      <c r="AQ1654" s="1684"/>
      <c r="AR1654" s="1684"/>
      <c r="AS1654" s="1684"/>
      <c r="AT1654" s="1684"/>
      <c r="AU1654" s="1684"/>
      <c r="AV1654" s="1684"/>
      <c r="AW1654" s="1684"/>
      <c r="AX1654" s="1684"/>
      <c r="AY1654" s="1684"/>
      <c r="AZ1654" s="1684"/>
      <c r="BA1654" s="1684"/>
      <c r="BB1654" s="1684"/>
      <c r="BC1654" s="1684"/>
      <c r="BD1654" s="1684"/>
      <c r="BE1654" s="1684"/>
      <c r="BF1654" s="1684"/>
      <c r="BG1654" s="1684"/>
      <c r="BH1654" s="1684"/>
      <c r="BI1654" s="1684"/>
      <c r="BJ1654" s="1684"/>
      <c r="BK1654" s="1684"/>
      <c r="BL1654" s="1684"/>
      <c r="BM1654" s="1684"/>
      <c r="BN1654" s="1684"/>
      <c r="BO1654" s="1684"/>
      <c r="BP1654" s="1684"/>
      <c r="BQ1654" s="1684"/>
      <c r="BR1654" s="1684"/>
      <c r="BS1654" s="1684"/>
      <c r="BT1654" s="1684"/>
      <c r="BU1654" s="1684"/>
      <c r="BV1654" s="1684"/>
      <c r="BW1654" s="1684"/>
      <c r="BX1654" s="1684"/>
      <c r="BY1654" s="1684"/>
      <c r="BZ1654" s="1684"/>
      <c r="CA1654" s="1684"/>
      <c r="CB1654" s="1684"/>
      <c r="CC1654" s="1684"/>
      <c r="CD1654" s="1684"/>
      <c r="CE1654" s="1684"/>
      <c r="CF1654" s="1684"/>
      <c r="CG1654" s="1684"/>
      <c r="CH1654" s="1684"/>
      <c r="CI1654" s="1684"/>
      <c r="CJ1654" s="1684"/>
      <c r="CK1654" s="1684"/>
      <c r="CL1654" s="1684"/>
      <c r="CM1654" s="1684"/>
      <c r="CN1654" s="1684"/>
      <c r="CO1654" s="1684"/>
      <c r="CP1654" s="1391"/>
      <c r="CQ1654" s="1391"/>
      <c r="CR1654" s="1391"/>
      <c r="CS1654" s="1391"/>
      <c r="CT1654" s="1391"/>
      <c r="CU1654" s="1391"/>
      <c r="CV1654" s="1391"/>
      <c r="CW1654" s="1391"/>
      <c r="CX1654" s="1391"/>
      <c r="CY1654" s="1391"/>
      <c r="CZ1654" s="1391"/>
      <c r="DA1654" s="1391"/>
      <c r="DB1654" s="1391"/>
      <c r="DC1654" s="1391"/>
      <c r="DD1654" s="1391"/>
      <c r="DE1654" s="1391"/>
      <c r="DF1654" s="1391"/>
      <c r="DG1654" s="1391"/>
      <c r="DH1654" s="1391"/>
      <c r="DI1654" s="1391"/>
    </row>
    <row r="1655" spans="1:113" ht="15.75" x14ac:dyDescent="0.25">
      <c r="A1655" s="1684"/>
      <c r="B1655" s="1417">
        <v>16</v>
      </c>
      <c r="C1655" s="1417">
        <v>38</v>
      </c>
      <c r="D1655" s="1417">
        <f t="shared" si="4"/>
        <v>2.375</v>
      </c>
      <c r="E1655" s="1417">
        <f t="shared" si="5"/>
        <v>0.42105263157894735</v>
      </c>
      <c r="F1655" s="1417"/>
      <c r="G1655" s="1417"/>
      <c r="H1655" s="1417"/>
      <c r="I1655" s="1417"/>
      <c r="J1655" s="1684"/>
      <c r="K1655" s="1417"/>
      <c r="L1655" s="1391"/>
      <c r="M1655" s="1391"/>
      <c r="N1655" s="1391"/>
      <c r="O1655" s="1391"/>
      <c r="P1655" s="1391"/>
      <c r="Q1655" s="1391"/>
      <c r="R1655" s="1391"/>
      <c r="S1655" s="1391"/>
      <c r="T1655" s="1417"/>
      <c r="U1655" s="1417"/>
      <c r="V1655" s="1417"/>
      <c r="W1655" s="1417"/>
      <c r="X1655" s="1417"/>
      <c r="Y1655" s="1417"/>
      <c r="Z1655" s="1417"/>
      <c r="AA1655" s="1417"/>
      <c r="AB1655" s="1417"/>
      <c r="AC1655" s="1417"/>
      <c r="AD1655" s="1417"/>
      <c r="AE1655" s="1417"/>
      <c r="AF1655" s="1417"/>
      <c r="AG1655" s="1417"/>
      <c r="AH1655" s="1417"/>
      <c r="AI1655" s="1684"/>
      <c r="AJ1655" s="1684"/>
      <c r="AK1655" s="1684"/>
      <c r="AL1655" s="1684"/>
      <c r="AM1655" s="1684"/>
      <c r="AN1655" s="1684"/>
      <c r="AO1655" s="1684"/>
      <c r="AP1655" s="1684"/>
      <c r="AQ1655" s="1684"/>
      <c r="AR1655" s="1684"/>
      <c r="AS1655" s="1684"/>
      <c r="AT1655" s="1684"/>
      <c r="AU1655" s="1684"/>
      <c r="AV1655" s="1684"/>
      <c r="AW1655" s="1684"/>
      <c r="AX1655" s="1684"/>
      <c r="AY1655" s="1684"/>
      <c r="AZ1655" s="1684"/>
      <c r="BA1655" s="1684"/>
      <c r="BB1655" s="1684"/>
      <c r="BC1655" s="1684"/>
      <c r="BD1655" s="1684"/>
      <c r="BE1655" s="1684"/>
      <c r="BF1655" s="1684"/>
      <c r="BG1655" s="1684"/>
      <c r="BH1655" s="1684"/>
      <c r="BI1655" s="1684"/>
      <c r="BJ1655" s="1684"/>
      <c r="BK1655" s="1684"/>
      <c r="BL1655" s="1684"/>
      <c r="BM1655" s="1684"/>
      <c r="BN1655" s="1684"/>
      <c r="BO1655" s="1684"/>
      <c r="BP1655" s="1684"/>
      <c r="BQ1655" s="1684"/>
      <c r="BR1655" s="1684"/>
      <c r="BS1655" s="1684"/>
      <c r="BT1655" s="1684"/>
      <c r="BU1655" s="1684"/>
      <c r="BV1655" s="1684"/>
      <c r="BW1655" s="1684"/>
      <c r="BX1655" s="1684"/>
      <c r="BY1655" s="1684"/>
      <c r="BZ1655" s="1684"/>
      <c r="CA1655" s="1684"/>
      <c r="CB1655" s="1684"/>
      <c r="CC1655" s="1684"/>
      <c r="CD1655" s="1684"/>
      <c r="CE1655" s="1684"/>
      <c r="CF1655" s="1684"/>
      <c r="CG1655" s="1684"/>
      <c r="CH1655" s="1684"/>
      <c r="CI1655" s="1684"/>
      <c r="CJ1655" s="1684"/>
      <c r="CK1655" s="1684"/>
      <c r="CL1655" s="1684"/>
      <c r="CM1655" s="1684"/>
      <c r="CN1655" s="1684"/>
      <c r="CO1655" s="1684"/>
      <c r="CP1655" s="1391"/>
      <c r="CQ1655" s="1391"/>
      <c r="CR1655" s="1391"/>
      <c r="CS1655" s="1391"/>
      <c r="CT1655" s="1391"/>
      <c r="CU1655" s="1391"/>
      <c r="CV1655" s="1391"/>
      <c r="CW1655" s="1391"/>
      <c r="CX1655" s="1391"/>
      <c r="CY1655" s="1391"/>
      <c r="CZ1655" s="1391"/>
      <c r="DA1655" s="1391"/>
      <c r="DB1655" s="1391"/>
      <c r="DC1655" s="1391"/>
      <c r="DD1655" s="1391"/>
      <c r="DE1655" s="1391"/>
      <c r="DF1655" s="1391"/>
      <c r="DG1655" s="1391"/>
      <c r="DH1655" s="1391"/>
      <c r="DI1655" s="1391"/>
    </row>
    <row r="1656" spans="1:113" ht="15.75" x14ac:dyDescent="0.25">
      <c r="A1656" s="1684"/>
      <c r="B1656" s="1417">
        <v>16</v>
      </c>
      <c r="C1656" s="1417">
        <v>39</v>
      </c>
      <c r="D1656" s="1417">
        <f t="shared" si="4"/>
        <v>2.4375</v>
      </c>
      <c r="E1656" s="1417">
        <f t="shared" si="5"/>
        <v>0.41025641025641024</v>
      </c>
      <c r="F1656" s="1417"/>
      <c r="G1656" s="1417"/>
      <c r="H1656" s="1417"/>
      <c r="I1656" s="1417"/>
      <c r="J1656" s="1684"/>
      <c r="K1656" s="1417"/>
      <c r="L1656" s="1391"/>
      <c r="M1656" s="1391"/>
      <c r="N1656" s="1391"/>
      <c r="O1656" s="1391"/>
      <c r="P1656" s="1391"/>
      <c r="Q1656" s="1391"/>
      <c r="R1656" s="1391"/>
      <c r="S1656" s="1391"/>
      <c r="T1656" s="1417"/>
      <c r="U1656" s="1417"/>
      <c r="V1656" s="1417"/>
      <c r="W1656" s="1417"/>
      <c r="X1656" s="1417"/>
      <c r="Y1656" s="1417"/>
      <c r="Z1656" s="1417"/>
      <c r="AA1656" s="1417"/>
      <c r="AB1656" s="1417"/>
      <c r="AC1656" s="1417"/>
      <c r="AD1656" s="1417"/>
      <c r="AE1656" s="1417"/>
      <c r="AF1656" s="1417"/>
      <c r="AG1656" s="1417"/>
      <c r="AH1656" s="1417"/>
      <c r="AI1656" s="1684"/>
      <c r="AJ1656" s="1684"/>
      <c r="AK1656" s="1684"/>
      <c r="AL1656" s="1684"/>
      <c r="AM1656" s="1684"/>
      <c r="AN1656" s="1684"/>
      <c r="AO1656" s="1684"/>
      <c r="AP1656" s="1684"/>
      <c r="AQ1656" s="1684"/>
      <c r="AR1656" s="1684"/>
      <c r="AS1656" s="1684"/>
      <c r="AT1656" s="1684"/>
      <c r="AU1656" s="1684"/>
      <c r="AV1656" s="1684"/>
      <c r="AW1656" s="1684"/>
      <c r="AX1656" s="1684"/>
      <c r="AY1656" s="1684"/>
      <c r="AZ1656" s="1684"/>
      <c r="BA1656" s="1684"/>
      <c r="BB1656" s="1684"/>
      <c r="BC1656" s="1684"/>
      <c r="BD1656" s="1684"/>
      <c r="BE1656" s="1684"/>
      <c r="BF1656" s="1684"/>
      <c r="BG1656" s="1684"/>
      <c r="BH1656" s="1684"/>
      <c r="BI1656" s="1684"/>
      <c r="BJ1656" s="1684"/>
      <c r="BK1656" s="1684"/>
      <c r="BL1656" s="1684"/>
      <c r="BM1656" s="1684"/>
      <c r="BN1656" s="1684"/>
      <c r="BO1656" s="1684"/>
      <c r="BP1656" s="1684"/>
      <c r="BQ1656" s="1684"/>
      <c r="BR1656" s="1684"/>
      <c r="BS1656" s="1684"/>
      <c r="BT1656" s="1684"/>
      <c r="BU1656" s="1684"/>
      <c r="BV1656" s="1684"/>
      <c r="BW1656" s="1684"/>
      <c r="BX1656" s="1684"/>
      <c r="BY1656" s="1684"/>
      <c r="BZ1656" s="1684"/>
      <c r="CA1656" s="1684"/>
      <c r="CB1656" s="1684"/>
      <c r="CC1656" s="1684"/>
      <c r="CD1656" s="1684"/>
      <c r="CE1656" s="1684"/>
      <c r="CF1656" s="1684"/>
      <c r="CG1656" s="1684"/>
      <c r="CH1656" s="1684"/>
      <c r="CI1656" s="1684"/>
      <c r="CJ1656" s="1684"/>
      <c r="CK1656" s="1684"/>
      <c r="CL1656" s="1684"/>
      <c r="CM1656" s="1684"/>
      <c r="CN1656" s="1684"/>
      <c r="CO1656" s="1684"/>
      <c r="CP1656" s="1391"/>
      <c r="CQ1656" s="1391"/>
      <c r="CR1656" s="1391"/>
      <c r="CS1656" s="1391"/>
      <c r="CT1656" s="1391"/>
      <c r="CU1656" s="1391"/>
      <c r="CV1656" s="1391"/>
      <c r="CW1656" s="1391"/>
      <c r="CX1656" s="1391"/>
      <c r="CY1656" s="1391"/>
      <c r="CZ1656" s="1391"/>
      <c r="DA1656" s="1391"/>
      <c r="DB1656" s="1391"/>
      <c r="DC1656" s="1391"/>
      <c r="DD1656" s="1391"/>
      <c r="DE1656" s="1391"/>
      <c r="DF1656" s="1391"/>
      <c r="DG1656" s="1391"/>
      <c r="DH1656" s="1391"/>
      <c r="DI1656" s="1391"/>
    </row>
    <row r="1657" spans="1:113" ht="15.75" x14ac:dyDescent="0.25">
      <c r="A1657" s="1684"/>
      <c r="B1657" s="1417">
        <v>18</v>
      </c>
      <c r="C1657" s="1417">
        <v>42</v>
      </c>
      <c r="D1657" s="1417">
        <f t="shared" si="4"/>
        <v>2.3333333333333335</v>
      </c>
      <c r="E1657" s="1417">
        <f t="shared" si="5"/>
        <v>0.42857142857142855</v>
      </c>
      <c r="F1657" s="1417"/>
      <c r="G1657" s="1417"/>
      <c r="H1657" s="1417"/>
      <c r="I1657" s="1417"/>
      <c r="J1657" s="1684"/>
      <c r="K1657" s="1417"/>
      <c r="L1657" s="1391"/>
      <c r="M1657" s="1391"/>
      <c r="N1657" s="1391"/>
      <c r="O1657" s="1391"/>
      <c r="P1657" s="1391"/>
      <c r="Q1657" s="1391"/>
      <c r="R1657" s="1391"/>
      <c r="S1657" s="1391"/>
      <c r="T1657" s="1417"/>
      <c r="U1657" s="1417"/>
      <c r="V1657" s="1417"/>
      <c r="W1657" s="1417"/>
      <c r="X1657" s="1417"/>
      <c r="Y1657" s="1417"/>
      <c r="Z1657" s="1417"/>
      <c r="AA1657" s="1417"/>
      <c r="AB1657" s="1417"/>
      <c r="AC1657" s="1417"/>
      <c r="AD1657" s="1417"/>
      <c r="AE1657" s="1417"/>
      <c r="AF1657" s="1417"/>
      <c r="AG1657" s="1417"/>
      <c r="AH1657" s="1417"/>
      <c r="AI1657" s="1684"/>
      <c r="AJ1657" s="1684"/>
      <c r="AK1657" s="1684"/>
      <c r="AL1657" s="1684"/>
      <c r="AM1657" s="1684"/>
      <c r="AN1657" s="1684"/>
      <c r="AO1657" s="1684"/>
      <c r="AP1657" s="1684"/>
      <c r="AQ1657" s="1684"/>
      <c r="AR1657" s="1684"/>
      <c r="AS1657" s="1684"/>
      <c r="AT1657" s="1684"/>
      <c r="AU1657" s="1684"/>
      <c r="AV1657" s="1684"/>
      <c r="AW1657" s="1684"/>
      <c r="AX1657" s="1684"/>
      <c r="AY1657" s="1684"/>
      <c r="AZ1657" s="1684"/>
      <c r="BA1657" s="1684"/>
      <c r="BB1657" s="1684"/>
      <c r="BC1657" s="1684"/>
      <c r="BD1657" s="1684"/>
      <c r="BE1657" s="1684"/>
      <c r="BF1657" s="1684"/>
      <c r="BG1657" s="1684"/>
      <c r="BH1657" s="1684"/>
      <c r="BI1657" s="1684"/>
      <c r="BJ1657" s="1684"/>
      <c r="BK1657" s="1684"/>
      <c r="BL1657" s="1684"/>
      <c r="BM1657" s="1684"/>
      <c r="BN1657" s="1684"/>
      <c r="BO1657" s="1684"/>
      <c r="BP1657" s="1684"/>
      <c r="BQ1657" s="1684"/>
      <c r="BR1657" s="1684"/>
      <c r="BS1657" s="1684"/>
      <c r="BT1657" s="1684"/>
      <c r="BU1657" s="1684"/>
      <c r="BV1657" s="1684"/>
      <c r="BW1657" s="1684"/>
      <c r="BX1657" s="1684"/>
      <c r="BY1657" s="1684"/>
      <c r="BZ1657" s="1684"/>
      <c r="CA1657" s="1684"/>
      <c r="CB1657" s="1684"/>
      <c r="CC1657" s="1684"/>
      <c r="CD1657" s="1684"/>
      <c r="CE1657" s="1684"/>
      <c r="CF1657" s="1684"/>
      <c r="CG1657" s="1684"/>
      <c r="CH1657" s="1684"/>
      <c r="CI1657" s="1684"/>
      <c r="CJ1657" s="1684"/>
      <c r="CK1657" s="1684"/>
      <c r="CL1657" s="1684"/>
      <c r="CM1657" s="1684"/>
      <c r="CN1657" s="1684"/>
      <c r="CO1657" s="1684"/>
      <c r="CP1657" s="1391"/>
      <c r="CQ1657" s="1391"/>
      <c r="CR1657" s="1391"/>
      <c r="CS1657" s="1391"/>
      <c r="CT1657" s="1391"/>
      <c r="CU1657" s="1391"/>
      <c r="CV1657" s="1391"/>
      <c r="CW1657" s="1391"/>
      <c r="CX1657" s="1391"/>
      <c r="CY1657" s="1391"/>
      <c r="CZ1657" s="1391"/>
      <c r="DA1657" s="1391"/>
      <c r="DB1657" s="1391"/>
      <c r="DC1657" s="1391"/>
      <c r="DD1657" s="1391"/>
      <c r="DE1657" s="1391"/>
      <c r="DF1657" s="1391"/>
      <c r="DG1657" s="1391"/>
      <c r="DH1657" s="1391"/>
      <c r="DI1657" s="1391"/>
    </row>
    <row r="1658" spans="1:113" ht="15.75" x14ac:dyDescent="0.25">
      <c r="A1658" s="1684"/>
      <c r="B1658" s="1417"/>
      <c r="C1658" s="1417"/>
      <c r="D1658" s="1417">
        <f>SUM(D1644:D1657)</f>
        <v>30.773214285714282</v>
      </c>
      <c r="E1658" s="1417"/>
      <c r="F1658" s="1417"/>
      <c r="G1658" s="1417"/>
      <c r="H1658" s="1417"/>
      <c r="I1658" s="1417"/>
      <c r="J1658" s="1684"/>
      <c r="K1658" s="1417"/>
      <c r="L1658" s="1391"/>
      <c r="M1658" s="1391"/>
      <c r="N1658" s="1391"/>
      <c r="O1658" s="1391"/>
      <c r="P1658" s="1391"/>
      <c r="Q1658" s="1391"/>
      <c r="R1658" s="1391"/>
      <c r="S1658" s="1391"/>
      <c r="T1658" s="1417"/>
      <c r="U1658" s="1417"/>
      <c r="V1658" s="1417"/>
      <c r="W1658" s="1417"/>
      <c r="X1658" s="1417"/>
      <c r="Y1658" s="1417"/>
      <c r="Z1658" s="1417"/>
      <c r="AA1658" s="1417"/>
      <c r="AB1658" s="1417"/>
      <c r="AC1658" s="1417"/>
      <c r="AD1658" s="1417"/>
      <c r="AE1658" s="1417"/>
      <c r="AF1658" s="1417"/>
      <c r="AG1658" s="1417"/>
      <c r="AH1658" s="1417"/>
      <c r="AI1658" s="1684"/>
      <c r="AJ1658" s="1684"/>
      <c r="AK1658" s="1684"/>
      <c r="AL1658" s="1684"/>
      <c r="AM1658" s="1684"/>
      <c r="AN1658" s="1684"/>
      <c r="AO1658" s="1684"/>
      <c r="AP1658" s="1684"/>
      <c r="AQ1658" s="1684"/>
      <c r="AR1658" s="1684"/>
      <c r="AS1658" s="1684"/>
      <c r="AT1658" s="1684"/>
      <c r="AU1658" s="1684"/>
      <c r="AV1658" s="1684"/>
      <c r="AW1658" s="1684"/>
      <c r="AX1658" s="1684"/>
      <c r="AY1658" s="1684"/>
      <c r="AZ1658" s="1684"/>
      <c r="BA1658" s="1684"/>
      <c r="BB1658" s="1684"/>
      <c r="BC1658" s="1684"/>
      <c r="BD1658" s="1684"/>
      <c r="BE1658" s="1684"/>
      <c r="BF1658" s="1684"/>
      <c r="BG1658" s="1684"/>
      <c r="BH1658" s="1684"/>
      <c r="BI1658" s="1684"/>
      <c r="BJ1658" s="1684"/>
      <c r="BK1658" s="1684"/>
      <c r="BL1658" s="1684"/>
      <c r="BM1658" s="1684"/>
      <c r="BN1658" s="1684"/>
      <c r="BO1658" s="1684"/>
      <c r="BP1658" s="1684"/>
      <c r="BQ1658" s="1684"/>
      <c r="BR1658" s="1684"/>
      <c r="BS1658" s="1684"/>
      <c r="BT1658" s="1684"/>
      <c r="BU1658" s="1684"/>
      <c r="BV1658" s="1684"/>
      <c r="BW1658" s="1684"/>
      <c r="BX1658" s="1684"/>
      <c r="BY1658" s="1684"/>
      <c r="BZ1658" s="1684"/>
      <c r="CA1658" s="1684"/>
      <c r="CB1658" s="1684"/>
      <c r="CC1658" s="1684"/>
      <c r="CD1658" s="1684"/>
      <c r="CE1658" s="1684"/>
      <c r="CF1658" s="1684"/>
      <c r="CG1658" s="1684"/>
      <c r="CH1658" s="1684"/>
      <c r="CI1658" s="1684"/>
      <c r="CJ1658" s="1684"/>
      <c r="CK1658" s="1684"/>
      <c r="CL1658" s="1684"/>
      <c r="CM1658" s="1684"/>
      <c r="CN1658" s="1684"/>
      <c r="CO1658" s="1684"/>
      <c r="CP1658" s="1391"/>
      <c r="CQ1658" s="1391"/>
      <c r="CR1658" s="1391"/>
      <c r="CS1658" s="1391"/>
      <c r="CT1658" s="1391"/>
      <c r="CU1658" s="1391"/>
      <c r="CV1658" s="1391"/>
      <c r="CW1658" s="1391"/>
      <c r="CX1658" s="1391"/>
      <c r="CY1658" s="1391"/>
      <c r="CZ1658" s="1391"/>
      <c r="DA1658" s="1391"/>
      <c r="DB1658" s="1391"/>
      <c r="DC1658" s="1391"/>
      <c r="DD1658" s="1391"/>
      <c r="DE1658" s="1391"/>
      <c r="DF1658" s="1391"/>
      <c r="DG1658" s="1391"/>
      <c r="DH1658" s="1391"/>
      <c r="DI1658" s="1391"/>
    </row>
    <row r="1659" spans="1:113" ht="15.75" x14ac:dyDescent="0.25">
      <c r="A1659" s="1684"/>
      <c r="B1659" s="1684"/>
      <c r="C1659" s="1684"/>
      <c r="D1659" s="1684"/>
      <c r="E1659" s="1684"/>
      <c r="F1659" s="1684"/>
      <c r="G1659" s="1684"/>
      <c r="H1659" s="1684"/>
      <c r="I1659" s="1684"/>
      <c r="J1659" s="1684"/>
      <c r="K1659" s="1417"/>
      <c r="L1659" s="1417"/>
      <c r="M1659" s="1417"/>
      <c r="N1659" s="1417"/>
      <c r="O1659" s="1417"/>
      <c r="P1659" s="1417"/>
      <c r="Q1659" s="1417"/>
      <c r="R1659" s="1417"/>
      <c r="S1659" s="1417"/>
      <c r="T1659" s="1417"/>
      <c r="U1659" s="1417"/>
      <c r="V1659" s="1417"/>
      <c r="W1659" s="1417"/>
      <c r="X1659" s="1417"/>
      <c r="Y1659" s="1417"/>
      <c r="Z1659" s="1417"/>
      <c r="AA1659" s="1417"/>
      <c r="AB1659" s="1417"/>
      <c r="AC1659" s="1417"/>
      <c r="AD1659" s="1417"/>
      <c r="AE1659" s="1417"/>
      <c r="AF1659" s="1417"/>
      <c r="AG1659" s="1417"/>
      <c r="AH1659" s="1417"/>
      <c r="AI1659" s="1684"/>
      <c r="AJ1659" s="1684"/>
      <c r="AK1659" s="1684"/>
      <c r="AL1659" s="1684"/>
      <c r="AM1659" s="1684"/>
      <c r="AN1659" s="1684"/>
      <c r="AO1659" s="1684"/>
      <c r="AP1659" s="1684"/>
      <c r="AQ1659" s="1684"/>
      <c r="AR1659" s="1684"/>
      <c r="AS1659" s="1684"/>
      <c r="AT1659" s="1684"/>
      <c r="AU1659" s="1684"/>
      <c r="AV1659" s="1684"/>
      <c r="AW1659" s="1684"/>
      <c r="AX1659" s="1684"/>
      <c r="AY1659" s="1684"/>
      <c r="AZ1659" s="1684"/>
      <c r="BA1659" s="1684"/>
      <c r="BB1659" s="1684"/>
      <c r="BC1659" s="1684"/>
      <c r="BD1659" s="1684"/>
      <c r="BE1659" s="1684"/>
      <c r="BF1659" s="1684"/>
      <c r="BG1659" s="1684"/>
      <c r="BH1659" s="1684"/>
      <c r="BI1659" s="1684"/>
      <c r="BJ1659" s="1684"/>
      <c r="BK1659" s="1684"/>
      <c r="BL1659" s="1684"/>
      <c r="BM1659" s="1684"/>
      <c r="BN1659" s="1684"/>
      <c r="BO1659" s="1684"/>
      <c r="BP1659" s="1684"/>
      <c r="BQ1659" s="1684"/>
      <c r="BR1659" s="1684"/>
      <c r="BS1659" s="1684"/>
      <c r="BT1659" s="1684"/>
      <c r="BU1659" s="1684"/>
      <c r="BV1659" s="1684"/>
      <c r="BW1659" s="1684"/>
      <c r="BX1659" s="1684"/>
      <c r="BY1659" s="1684"/>
      <c r="BZ1659" s="1684"/>
      <c r="CA1659" s="1684"/>
      <c r="CB1659" s="1684"/>
      <c r="CC1659" s="1684"/>
      <c r="CD1659" s="1684"/>
      <c r="CE1659" s="1684"/>
      <c r="CF1659" s="1684"/>
      <c r="CG1659" s="1684"/>
      <c r="CH1659" s="1684"/>
      <c r="CI1659" s="1684"/>
      <c r="CJ1659" s="1684"/>
      <c r="CK1659" s="1684"/>
      <c r="CL1659" s="1684"/>
      <c r="CM1659" s="1684"/>
      <c r="CN1659" s="1684"/>
      <c r="CO1659" s="1684"/>
      <c r="CP1659" s="1391"/>
      <c r="CQ1659" s="1391"/>
      <c r="CR1659" s="1391"/>
      <c r="CS1659" s="1391"/>
      <c r="CT1659" s="1391"/>
      <c r="CU1659" s="1391"/>
      <c r="CV1659" s="1391"/>
      <c r="CW1659" s="1391"/>
      <c r="CX1659" s="1391"/>
      <c r="CY1659" s="1391"/>
      <c r="CZ1659" s="1391"/>
      <c r="DA1659" s="1391"/>
      <c r="DB1659" s="1391"/>
      <c r="DC1659" s="1391"/>
      <c r="DD1659" s="1391"/>
      <c r="DE1659" s="1391"/>
      <c r="DF1659" s="1391"/>
      <c r="DG1659" s="1391"/>
      <c r="DH1659" s="1391"/>
      <c r="DI1659" s="1391"/>
    </row>
    <row r="1660" spans="1:113" ht="15.75" x14ac:dyDescent="0.25">
      <c r="A1660" s="1729"/>
      <c r="B1660" s="1729"/>
      <c r="C1660" s="1729"/>
      <c r="D1660" s="1729"/>
      <c r="E1660" s="1729"/>
      <c r="F1660" s="1729"/>
      <c r="G1660" s="1729"/>
      <c r="H1660" s="1729"/>
      <c r="I1660" s="1729"/>
      <c r="J1660" s="1729"/>
      <c r="K1660" s="1730"/>
      <c r="L1660" s="1730"/>
      <c r="M1660" s="1730"/>
      <c r="N1660" s="1730"/>
      <c r="O1660" s="1730"/>
      <c r="P1660" s="1730"/>
      <c r="Q1660" s="1730"/>
      <c r="R1660" s="1730"/>
      <c r="S1660" s="1730"/>
      <c r="T1660" s="1730"/>
      <c r="U1660" s="1730"/>
      <c r="V1660" s="1417"/>
      <c r="W1660" s="1417"/>
      <c r="X1660" s="1417"/>
      <c r="Y1660" s="1417"/>
      <c r="Z1660" s="1417"/>
      <c r="AA1660" s="1417"/>
      <c r="AB1660" s="1417"/>
      <c r="AC1660" s="1417"/>
      <c r="AD1660" s="1417"/>
      <c r="AE1660" s="1417"/>
      <c r="AF1660" s="1417"/>
      <c r="AG1660" s="1417"/>
      <c r="AH1660" s="1417"/>
      <c r="AI1660" s="1684"/>
      <c r="AJ1660" s="1684"/>
      <c r="AK1660" s="1684"/>
      <c r="AL1660" s="1684"/>
      <c r="AM1660" s="1684"/>
      <c r="AN1660" s="1684"/>
      <c r="AO1660" s="1684"/>
      <c r="AP1660" s="1684"/>
      <c r="AQ1660" s="1684"/>
      <c r="AR1660" s="1684"/>
      <c r="AS1660" s="1684"/>
      <c r="AT1660" s="1684"/>
      <c r="AU1660" s="1684"/>
      <c r="AV1660" s="1684"/>
      <c r="AW1660" s="1684"/>
      <c r="AX1660" s="1684"/>
      <c r="AY1660" s="1684"/>
      <c r="AZ1660" s="1684"/>
      <c r="BA1660" s="1684"/>
      <c r="BB1660" s="1684"/>
      <c r="BC1660" s="1684"/>
      <c r="BD1660" s="1684"/>
      <c r="BE1660" s="1684"/>
      <c r="BF1660" s="1684"/>
      <c r="BG1660" s="1684"/>
      <c r="BH1660" s="1684"/>
      <c r="BI1660" s="1684"/>
      <c r="BJ1660" s="1684"/>
      <c r="BK1660" s="1684"/>
      <c r="BL1660" s="1684"/>
      <c r="BM1660" s="1684"/>
      <c r="BN1660" s="1684"/>
      <c r="BO1660" s="1684"/>
      <c r="BP1660" s="1684"/>
      <c r="BQ1660" s="1684"/>
      <c r="BR1660" s="1684"/>
      <c r="BS1660" s="1684"/>
      <c r="BT1660" s="1684"/>
      <c r="BU1660" s="1684"/>
      <c r="BV1660" s="1684"/>
      <c r="BW1660" s="1684"/>
      <c r="BX1660" s="1684"/>
      <c r="BY1660" s="1684"/>
      <c r="BZ1660" s="1684"/>
      <c r="CA1660" s="1684"/>
      <c r="CB1660" s="1684"/>
      <c r="CC1660" s="1684"/>
      <c r="CD1660" s="1684"/>
      <c r="CE1660" s="1684"/>
      <c r="CF1660" s="1684"/>
      <c r="CG1660" s="1684"/>
      <c r="CH1660" s="1684"/>
      <c r="CI1660" s="1684"/>
      <c r="CJ1660" s="1684"/>
      <c r="CK1660" s="1684"/>
      <c r="CL1660" s="1684"/>
      <c r="CM1660" s="1684"/>
      <c r="CN1660" s="1684"/>
      <c r="CO1660" s="1684"/>
      <c r="CP1660" s="1391"/>
      <c r="CQ1660" s="1391"/>
      <c r="CR1660" s="1391"/>
      <c r="CS1660" s="1391"/>
      <c r="CT1660" s="1391"/>
      <c r="CU1660" s="1391"/>
      <c r="CV1660" s="1391"/>
      <c r="CW1660" s="1391"/>
      <c r="CX1660" s="1391"/>
      <c r="CY1660" s="1391"/>
      <c r="CZ1660" s="1391"/>
      <c r="DA1660" s="1391"/>
      <c r="DB1660" s="1391"/>
      <c r="DC1660" s="1391"/>
      <c r="DD1660" s="1391"/>
      <c r="DE1660" s="1391"/>
      <c r="DF1660" s="1391"/>
      <c r="DG1660" s="1391"/>
      <c r="DH1660" s="1391"/>
      <c r="DI1660" s="1391"/>
    </row>
    <row r="1661" spans="1:113" x14ac:dyDescent="0.2">
      <c r="A1661"/>
      <c r="B1661"/>
      <c r="C1661"/>
      <c r="D1661"/>
      <c r="E1661"/>
      <c r="F1661"/>
      <c r="G1661"/>
      <c r="H1661"/>
      <c r="I1661"/>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c r="AQ1661"/>
      <c r="AR1661"/>
      <c r="AS1661"/>
      <c r="AT1661"/>
      <c r="AU1661"/>
      <c r="AV1661"/>
      <c r="AW1661"/>
      <c r="AX1661"/>
      <c r="AY1661"/>
      <c r="AZ1661"/>
      <c r="BA1661"/>
      <c r="BB1661"/>
      <c r="BC1661"/>
      <c r="BD1661"/>
      <c r="BE1661"/>
      <c r="BF1661"/>
      <c r="BG1661"/>
      <c r="BH1661"/>
      <c r="BI1661"/>
      <c r="BJ1661"/>
      <c r="BK1661"/>
      <c r="BL1661"/>
      <c r="BM1661"/>
      <c r="BN1661"/>
      <c r="BO1661"/>
      <c r="BP1661"/>
      <c r="BQ1661"/>
      <c r="BR1661"/>
      <c r="BS1661"/>
      <c r="BT1661"/>
      <c r="BU1661"/>
      <c r="BV1661"/>
      <c r="BW1661"/>
      <c r="BX1661"/>
      <c r="BY1661"/>
      <c r="BZ1661"/>
      <c r="CA1661"/>
      <c r="CB1661"/>
      <c r="CC1661"/>
      <c r="CD1661"/>
      <c r="CE1661"/>
      <c r="CF1661"/>
      <c r="CG1661"/>
      <c r="CH1661"/>
      <c r="CI1661"/>
      <c r="CJ1661"/>
      <c r="CK1661"/>
      <c r="CL1661"/>
      <c r="CM1661"/>
      <c r="CN1661"/>
      <c r="CO1661"/>
      <c r="CP1661"/>
      <c r="CQ1661"/>
      <c r="CR1661"/>
      <c r="CS1661"/>
      <c r="CT1661"/>
      <c r="CU1661"/>
      <c r="CV1661"/>
      <c r="CW1661"/>
      <c r="CX1661"/>
      <c r="CY1661"/>
      <c r="CZ1661"/>
      <c r="DA1661"/>
      <c r="DB1661"/>
      <c r="DC1661"/>
      <c r="DD1661"/>
      <c r="DE1661"/>
      <c r="DF1661"/>
      <c r="DG1661"/>
      <c r="DH1661"/>
      <c r="DI1661"/>
    </row>
    <row r="1662" spans="1:113" x14ac:dyDescent="0.2">
      <c r="A1662"/>
      <c r="B1662"/>
      <c r="C1662"/>
      <c r="D1662"/>
      <c r="E1662"/>
      <c r="F1662"/>
      <c r="G1662"/>
      <c r="H1662"/>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c r="AQ1662"/>
      <c r="AR1662"/>
      <c r="AS1662"/>
      <c r="AT1662"/>
      <c r="AU1662"/>
      <c r="AV1662"/>
      <c r="AW1662"/>
      <c r="AX1662"/>
      <c r="AY1662"/>
      <c r="AZ1662"/>
      <c r="BA1662"/>
      <c r="BB1662"/>
      <c r="BC1662"/>
      <c r="BD1662"/>
      <c r="BE1662"/>
      <c r="BF1662"/>
      <c r="BG1662"/>
      <c r="BH1662"/>
      <c r="BI1662"/>
      <c r="BJ1662"/>
      <c r="BK1662"/>
      <c r="BL1662"/>
      <c r="BM1662"/>
      <c r="BN1662"/>
      <c r="BO1662"/>
      <c r="BP1662"/>
      <c r="BQ1662"/>
      <c r="BR1662"/>
      <c r="BS1662"/>
      <c r="BT1662"/>
      <c r="BU1662"/>
      <c r="BV1662"/>
      <c r="BW1662"/>
      <c r="BX1662"/>
      <c r="BY1662"/>
      <c r="BZ1662"/>
      <c r="CA1662"/>
      <c r="CB1662"/>
      <c r="CC1662"/>
      <c r="CD1662"/>
      <c r="CE1662"/>
      <c r="CF1662"/>
      <c r="CG1662"/>
      <c r="CH1662"/>
      <c r="CI1662"/>
      <c r="CJ1662"/>
      <c r="CK1662"/>
      <c r="CL1662"/>
      <c r="CM1662"/>
      <c r="CN1662"/>
      <c r="CO1662"/>
      <c r="CP1662"/>
      <c r="CQ1662"/>
      <c r="CR1662"/>
      <c r="CS1662"/>
      <c r="CT1662"/>
      <c r="CU1662"/>
      <c r="CV1662"/>
      <c r="CW1662"/>
      <c r="CX1662"/>
      <c r="CY1662"/>
      <c r="CZ1662"/>
      <c r="DA1662"/>
      <c r="DB1662"/>
      <c r="DC1662"/>
      <c r="DD1662"/>
      <c r="DE1662"/>
      <c r="DF1662"/>
      <c r="DG1662"/>
      <c r="DH1662"/>
      <c r="DI1662"/>
    </row>
    <row r="1663" spans="1:113" x14ac:dyDescent="0.2">
      <c r="A1663"/>
      <c r="B1663"/>
      <c r="C1663"/>
      <c r="D1663"/>
      <c r="E1663"/>
      <c r="F1663"/>
      <c r="G1663"/>
      <c r="H1663"/>
      <c r="I1663"/>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c r="AQ1663"/>
      <c r="AR1663"/>
      <c r="AS1663"/>
      <c r="AT1663"/>
      <c r="AU1663"/>
      <c r="AV1663"/>
      <c r="AW1663"/>
      <c r="AX1663"/>
      <c r="AY1663"/>
      <c r="AZ1663"/>
      <c r="BA1663"/>
      <c r="BB1663"/>
      <c r="BC1663"/>
      <c r="BD1663"/>
      <c r="BE1663"/>
      <c r="BF1663"/>
      <c r="BG1663"/>
      <c r="BH1663"/>
      <c r="BI1663"/>
      <c r="BJ1663"/>
      <c r="BK1663"/>
      <c r="BL1663"/>
      <c r="BM1663"/>
      <c r="BN1663"/>
      <c r="BO1663"/>
      <c r="BP1663"/>
      <c r="BQ1663"/>
      <c r="BR1663"/>
      <c r="BS1663"/>
      <c r="BT1663"/>
      <c r="BU1663"/>
      <c r="BV1663"/>
      <c r="BW1663"/>
      <c r="BX1663"/>
      <c r="BY1663"/>
      <c r="BZ1663"/>
      <c r="CA1663"/>
      <c r="CB1663"/>
      <c r="CC1663"/>
      <c r="CD1663"/>
      <c r="CE1663"/>
      <c r="CF1663"/>
      <c r="CG1663"/>
      <c r="CH1663"/>
      <c r="CI1663"/>
      <c r="CJ1663"/>
      <c r="CK1663"/>
      <c r="CL1663"/>
      <c r="CM1663"/>
      <c r="CN1663"/>
      <c r="CO1663"/>
      <c r="CP1663"/>
      <c r="CQ1663"/>
      <c r="CR1663"/>
      <c r="CS1663"/>
      <c r="CT1663"/>
      <c r="CU1663"/>
      <c r="CV1663"/>
      <c r="CW1663"/>
      <c r="CX1663"/>
      <c r="CY1663"/>
      <c r="CZ1663"/>
      <c r="DA1663"/>
      <c r="DB1663"/>
      <c r="DC1663"/>
      <c r="DD1663"/>
      <c r="DE1663"/>
      <c r="DF1663"/>
      <c r="DG1663"/>
      <c r="DH1663"/>
      <c r="DI1663"/>
    </row>
    <row r="1993" spans="3:11" ht="15.75" x14ac:dyDescent="0.25">
      <c r="C1993" s="825"/>
      <c r="D1993" s="825"/>
      <c r="E1993" s="825"/>
      <c r="F1993" s="825"/>
      <c r="G1993" s="825"/>
      <c r="J1993" s="239"/>
      <c r="K1993" s="239"/>
    </row>
    <row r="1994" spans="3:11" ht="15.75" x14ac:dyDescent="0.25">
      <c r="C1994" s="1731"/>
      <c r="D1994" s="1731"/>
      <c r="E1994" s="1731"/>
      <c r="F1994" s="1731"/>
      <c r="G1994" s="1731"/>
      <c r="J1994" s="239"/>
      <c r="K1994" s="239"/>
    </row>
    <row r="1995" spans="3:11" x14ac:dyDescent="0.2">
      <c r="C1995" s="1732"/>
      <c r="D1995" s="1732"/>
      <c r="E1995" s="1732"/>
      <c r="F1995" s="1732"/>
      <c r="G1995" s="1732"/>
      <c r="J1995" s="239"/>
      <c r="K1995" s="239"/>
    </row>
    <row r="1996" spans="3:11" x14ac:dyDescent="0.2">
      <c r="C1996" s="1732"/>
      <c r="D1996" s="1732"/>
      <c r="E1996" s="1732"/>
      <c r="F1996" s="1732"/>
      <c r="G1996" s="1732"/>
      <c r="J1996" s="239"/>
      <c r="K1996" s="239"/>
    </row>
    <row r="1997" spans="3:11" ht="15.75" x14ac:dyDescent="0.25">
      <c r="C1997" s="1731"/>
      <c r="D1997" s="1731"/>
      <c r="E1997" s="1731"/>
      <c r="F1997" s="1731"/>
      <c r="G1997" s="1731"/>
      <c r="J1997" s="239"/>
      <c r="K1997" s="239"/>
    </row>
    <row r="1998" spans="3:11" ht="15.75" x14ac:dyDescent="0.25">
      <c r="C1998" s="1731"/>
      <c r="D1998" s="1731"/>
      <c r="E1998" s="1731"/>
      <c r="F1998" s="1731"/>
      <c r="G1998" s="1731"/>
      <c r="J1998" s="239"/>
      <c r="K1998" s="239"/>
    </row>
    <row r="1999" spans="3:11" ht="15.75" x14ac:dyDescent="0.25">
      <c r="C1999" s="1731"/>
      <c r="D1999" s="1731"/>
      <c r="E1999" s="1731"/>
      <c r="F1999" s="1731"/>
      <c r="G1999" s="1731"/>
      <c r="J1999" s="239"/>
      <c r="K1999" s="239"/>
    </row>
    <row r="2000" spans="3:11" ht="15.75" x14ac:dyDescent="0.25">
      <c r="C2000" s="1731"/>
      <c r="D2000" s="1731"/>
      <c r="E2000" s="1731"/>
      <c r="F2000" s="1731"/>
      <c r="G2000" s="1731"/>
      <c r="J2000" s="239"/>
      <c r="K2000" s="239"/>
    </row>
    <row r="2001" spans="3:11" ht="15.75" x14ac:dyDescent="0.25">
      <c r="C2001" s="1731"/>
      <c r="D2001" s="1731"/>
      <c r="E2001" s="1731"/>
      <c r="F2001" s="1731"/>
      <c r="G2001" s="1731"/>
      <c r="J2001" s="239"/>
      <c r="K2001" s="239"/>
    </row>
    <row r="2002" spans="3:11" ht="15.75" x14ac:dyDescent="0.25">
      <c r="C2002" s="1731"/>
      <c r="D2002" s="1731"/>
      <c r="E2002" s="1731"/>
      <c r="F2002" s="1731"/>
      <c r="G2002" s="1731"/>
      <c r="J2002" s="239"/>
      <c r="K2002" s="239"/>
    </row>
    <row r="2003" spans="3:11" ht="15.75" x14ac:dyDescent="0.25">
      <c r="C2003" s="1731"/>
      <c r="D2003" s="1731"/>
      <c r="E2003" s="1731"/>
      <c r="F2003" s="1731"/>
      <c r="G2003" s="1731"/>
      <c r="J2003" s="239"/>
      <c r="K2003" s="239"/>
    </row>
    <row r="2004" spans="3:11" ht="15.75" x14ac:dyDescent="0.25">
      <c r="C2004" s="1731"/>
      <c r="D2004" s="1731"/>
      <c r="E2004" s="1731"/>
      <c r="F2004" s="1731"/>
      <c r="G2004" s="1731"/>
      <c r="J2004" s="239"/>
      <c r="K2004" s="239"/>
    </row>
    <row r="2005" spans="3:11" ht="15.75" x14ac:dyDescent="0.25">
      <c r="C2005" s="1416"/>
      <c r="D2005" s="1416"/>
      <c r="E2005" s="1416"/>
      <c r="F2005" s="1416"/>
      <c r="G2005" s="1416"/>
      <c r="J2005" s="239"/>
      <c r="K2005" s="239"/>
    </row>
    <row r="2006" spans="3:11" ht="15.75" x14ac:dyDescent="0.25">
      <c r="C2006" s="825"/>
      <c r="D2006" s="825"/>
      <c r="E2006" s="825"/>
      <c r="F2006" s="825"/>
      <c r="G2006" s="825"/>
      <c r="J2006" s="239"/>
      <c r="K2006" s="239"/>
    </row>
    <row r="2007" spans="3:11" ht="15.75" x14ac:dyDescent="0.25">
      <c r="C2007" s="825"/>
      <c r="D2007" s="825"/>
      <c r="E2007" s="825"/>
      <c r="F2007" s="825"/>
      <c r="G2007" s="825"/>
      <c r="J2007" s="239"/>
      <c r="K2007" s="239"/>
    </row>
    <row r="2008" spans="3:11" ht="15.75" x14ac:dyDescent="0.25">
      <c r="C2008" s="825"/>
      <c r="D2008" s="825"/>
      <c r="E2008" s="825"/>
      <c r="F2008" s="825"/>
      <c r="G2008" s="825"/>
      <c r="J2008" s="239"/>
      <c r="K2008" s="239"/>
    </row>
    <row r="2009" spans="3:11" ht="15.75" x14ac:dyDescent="0.25">
      <c r="C2009" s="825"/>
      <c r="D2009" s="825"/>
      <c r="E2009" s="825"/>
      <c r="F2009" s="825"/>
      <c r="G2009" s="825"/>
      <c r="J2009" s="239"/>
      <c r="K2009" s="239"/>
    </row>
    <row r="2010" spans="3:11" ht="15.75" x14ac:dyDescent="0.25">
      <c r="C2010" s="825"/>
      <c r="D2010" s="825"/>
      <c r="E2010" s="825"/>
      <c r="F2010" s="825"/>
      <c r="G2010" s="825"/>
      <c r="J2010" s="239"/>
      <c r="K2010" s="239"/>
    </row>
    <row r="2011" spans="3:11" ht="15.75" x14ac:dyDescent="0.25">
      <c r="C2011" s="825"/>
      <c r="D2011" s="825"/>
      <c r="E2011" s="825"/>
      <c r="F2011" s="825"/>
      <c r="G2011" s="825"/>
      <c r="J2011" s="239"/>
      <c r="K2011" s="239"/>
    </row>
    <row r="2012" spans="3:11" ht="15.75" x14ac:dyDescent="0.25">
      <c r="C2012" s="825"/>
      <c r="D2012" s="825"/>
      <c r="E2012" s="825"/>
      <c r="F2012" s="825"/>
      <c r="G2012" s="825"/>
      <c r="J2012" s="239"/>
      <c r="K2012" s="239"/>
    </row>
    <row r="2013" spans="3:11" ht="15.75" x14ac:dyDescent="0.25">
      <c r="C2013" s="825"/>
      <c r="D2013" s="825"/>
      <c r="E2013" s="825"/>
      <c r="F2013" s="825"/>
      <c r="G2013" s="825"/>
      <c r="J2013" s="239"/>
      <c r="K2013" s="239"/>
    </row>
    <row r="2014" spans="3:11" ht="15.75" x14ac:dyDescent="0.25">
      <c r="C2014" s="825"/>
      <c r="D2014" s="825"/>
      <c r="E2014" s="825"/>
      <c r="F2014" s="825"/>
      <c r="G2014" s="825"/>
      <c r="J2014" s="239"/>
      <c r="K2014" s="239"/>
    </row>
    <row r="2015" spans="3:11" ht="15.75" x14ac:dyDescent="0.25">
      <c r="C2015" s="825"/>
      <c r="D2015" s="825"/>
      <c r="E2015" s="825"/>
      <c r="F2015" s="825"/>
      <c r="G2015" s="825"/>
      <c r="J2015" s="239"/>
      <c r="K2015" s="239"/>
    </row>
    <row r="2016" spans="3:11" ht="15.75" x14ac:dyDescent="0.25">
      <c r="C2016" s="825"/>
      <c r="D2016" s="825"/>
      <c r="E2016" s="825"/>
      <c r="F2016" s="825"/>
      <c r="G2016" s="825"/>
      <c r="J2016" s="239"/>
      <c r="K2016" s="239"/>
    </row>
    <row r="2017" spans="3:11" ht="15.75" x14ac:dyDescent="0.25">
      <c r="C2017" s="825"/>
      <c r="D2017" s="825"/>
      <c r="E2017" s="825"/>
      <c r="F2017" s="825"/>
      <c r="G2017" s="825"/>
      <c r="J2017" s="239"/>
      <c r="K2017" s="239"/>
    </row>
    <row r="2018" spans="3:11" ht="15.75" x14ac:dyDescent="0.25">
      <c r="C2018" s="825"/>
      <c r="D2018" s="825"/>
      <c r="E2018" s="825"/>
      <c r="F2018" s="825"/>
      <c r="G2018" s="825"/>
      <c r="J2018" s="239"/>
      <c r="K2018" s="239"/>
    </row>
    <row r="2019" spans="3:11" ht="15.75" x14ac:dyDescent="0.25">
      <c r="C2019" s="825"/>
      <c r="D2019" s="825"/>
      <c r="E2019" s="825"/>
      <c r="F2019" s="825"/>
      <c r="G2019" s="825"/>
      <c r="J2019" s="239"/>
      <c r="K2019" s="239"/>
    </row>
    <row r="2020" spans="3:11" ht="15.75" x14ac:dyDescent="0.25">
      <c r="C2020" s="825"/>
      <c r="D2020" s="825"/>
      <c r="E2020" s="825"/>
      <c r="F2020" s="825"/>
      <c r="G2020" s="825"/>
      <c r="J2020" s="239"/>
      <c r="K2020" s="239"/>
    </row>
    <row r="2021" spans="3:11" ht="15.75" x14ac:dyDescent="0.25">
      <c r="C2021" s="825"/>
      <c r="D2021" s="825"/>
      <c r="E2021" s="825"/>
      <c r="F2021" s="825"/>
      <c r="G2021" s="825"/>
      <c r="J2021" s="239"/>
      <c r="K2021" s="239"/>
    </row>
    <row r="2022" spans="3:11" ht="15.75" x14ac:dyDescent="0.25">
      <c r="C2022" s="825"/>
      <c r="D2022" s="825"/>
      <c r="E2022" s="825"/>
      <c r="F2022" s="825"/>
      <c r="G2022" s="825"/>
      <c r="J2022" s="239"/>
      <c r="K2022" s="239"/>
    </row>
    <row r="2023" spans="3:11" ht="15.75" x14ac:dyDescent="0.25">
      <c r="C2023" s="825"/>
      <c r="D2023" s="825"/>
      <c r="E2023" s="825"/>
      <c r="F2023" s="825"/>
      <c r="G2023" s="825"/>
      <c r="J2023" s="239"/>
      <c r="K2023" s="239"/>
    </row>
    <row r="2024" spans="3:11" ht="15.75" x14ac:dyDescent="0.25">
      <c r="C2024" s="825"/>
      <c r="D2024" s="825"/>
      <c r="E2024" s="825"/>
      <c r="F2024" s="825"/>
      <c r="G2024" s="825"/>
      <c r="J2024" s="239"/>
      <c r="K2024" s="239"/>
    </row>
    <row r="2025" spans="3:11" ht="15.75" x14ac:dyDescent="0.25">
      <c r="C2025" s="825"/>
      <c r="D2025" s="825"/>
      <c r="E2025" s="825"/>
      <c r="F2025" s="825"/>
      <c r="G2025" s="825"/>
      <c r="J2025" s="239"/>
      <c r="K2025" s="239"/>
    </row>
    <row r="2026" spans="3:11" ht="15.75" x14ac:dyDescent="0.25">
      <c r="C2026" s="825"/>
      <c r="D2026" s="825"/>
      <c r="E2026" s="825"/>
      <c r="F2026" s="825"/>
      <c r="G2026" s="825"/>
      <c r="J2026" s="239"/>
      <c r="K2026" s="239"/>
    </row>
    <row r="2027" spans="3:11" ht="15.75" x14ac:dyDescent="0.25">
      <c r="C2027" s="825"/>
      <c r="D2027" s="825"/>
      <c r="E2027" s="825"/>
      <c r="F2027" s="825"/>
      <c r="G2027" s="825"/>
      <c r="J2027" s="239"/>
      <c r="K2027" s="239"/>
    </row>
    <row r="2028" spans="3:11" ht="15.75" x14ac:dyDescent="0.25">
      <c r="C2028" s="825"/>
      <c r="D2028" s="825"/>
      <c r="E2028" s="825"/>
      <c r="F2028" s="825"/>
      <c r="G2028" s="825"/>
      <c r="J2028" s="239"/>
      <c r="K2028" s="239"/>
    </row>
    <row r="2029" spans="3:11" ht="15.75" x14ac:dyDescent="0.25">
      <c r="C2029" s="825"/>
      <c r="D2029" s="825"/>
      <c r="E2029" s="825"/>
      <c r="F2029" s="825"/>
      <c r="G2029" s="825"/>
      <c r="J2029" s="239"/>
      <c r="K2029" s="239"/>
    </row>
    <row r="2030" spans="3:11" ht="15.75" x14ac:dyDescent="0.25">
      <c r="C2030" s="825"/>
      <c r="D2030" s="825"/>
      <c r="E2030" s="825"/>
      <c r="F2030" s="825"/>
      <c r="G2030" s="825"/>
      <c r="J2030" s="239"/>
      <c r="K2030" s="239"/>
    </row>
    <row r="2031" spans="3:11" ht="15.75" x14ac:dyDescent="0.25">
      <c r="C2031" s="825"/>
      <c r="D2031" s="825"/>
      <c r="E2031" s="825"/>
      <c r="F2031" s="825"/>
      <c r="G2031" s="825"/>
      <c r="J2031" s="239"/>
      <c r="K2031" s="239"/>
    </row>
    <row r="2032" spans="3:11" ht="15.75" x14ac:dyDescent="0.25">
      <c r="C2032" s="825"/>
      <c r="D2032" s="825"/>
      <c r="E2032" s="825"/>
      <c r="F2032" s="825"/>
      <c r="G2032" s="825"/>
      <c r="J2032" s="239"/>
      <c r="K2032" s="239"/>
    </row>
    <row r="2033" spans="3:11" ht="15.75" x14ac:dyDescent="0.25">
      <c r="C2033" s="825"/>
      <c r="D2033" s="825"/>
      <c r="E2033" s="825"/>
      <c r="F2033" s="825"/>
      <c r="G2033" s="825"/>
      <c r="J2033" s="239"/>
      <c r="K2033" s="239"/>
    </row>
    <row r="2034" spans="3:11" ht="15.75" x14ac:dyDescent="0.25">
      <c r="C2034" s="825"/>
      <c r="D2034" s="825"/>
      <c r="E2034" s="825"/>
      <c r="F2034" s="825"/>
      <c r="G2034" s="825"/>
      <c r="J2034" s="239"/>
      <c r="K2034" s="239"/>
    </row>
    <row r="2035" spans="3:11" ht="15.75" x14ac:dyDescent="0.25">
      <c r="C2035" s="825"/>
      <c r="D2035" s="825"/>
      <c r="E2035" s="825"/>
      <c r="F2035" s="825"/>
      <c r="G2035" s="825"/>
      <c r="J2035" s="239"/>
      <c r="K2035" s="239"/>
    </row>
    <row r="2036" spans="3:11" ht="15.75" x14ac:dyDescent="0.25">
      <c r="C2036" s="825"/>
      <c r="D2036" s="825"/>
      <c r="E2036" s="825"/>
      <c r="F2036" s="825"/>
      <c r="G2036" s="825"/>
      <c r="J2036" s="239"/>
      <c r="K2036" s="239"/>
    </row>
    <row r="2037" spans="3:11" ht="15.75" x14ac:dyDescent="0.25">
      <c r="C2037" s="825"/>
      <c r="D2037" s="825"/>
      <c r="E2037" s="825"/>
      <c r="F2037" s="825"/>
      <c r="G2037" s="825"/>
      <c r="J2037" s="239"/>
      <c r="K2037" s="239"/>
    </row>
    <row r="2038" spans="3:11" ht="15.75" x14ac:dyDescent="0.25">
      <c r="C2038" s="825"/>
      <c r="D2038" s="825"/>
      <c r="E2038" s="825"/>
      <c r="F2038" s="825"/>
      <c r="G2038" s="825"/>
      <c r="J2038" s="239"/>
      <c r="K2038" s="239"/>
    </row>
    <row r="2039" spans="3:11" ht="15.75" x14ac:dyDescent="0.25">
      <c r="C2039" s="825"/>
      <c r="D2039" s="825"/>
      <c r="E2039" s="825"/>
      <c r="F2039" s="825"/>
      <c r="G2039" s="825"/>
      <c r="J2039" s="239"/>
      <c r="K2039" s="239"/>
    </row>
    <row r="2040" spans="3:11" ht="15.75" x14ac:dyDescent="0.25">
      <c r="C2040" s="825"/>
      <c r="D2040" s="825"/>
      <c r="E2040" s="825"/>
      <c r="F2040" s="825"/>
      <c r="G2040" s="825"/>
      <c r="J2040" s="239"/>
      <c r="K2040" s="239"/>
    </row>
    <row r="2041" spans="3:11" ht="15.75" x14ac:dyDescent="0.25">
      <c r="C2041" s="825"/>
      <c r="D2041" s="825"/>
      <c r="E2041" s="825"/>
      <c r="F2041" s="825"/>
      <c r="G2041" s="825"/>
      <c r="J2041" s="239"/>
      <c r="K2041" s="239"/>
    </row>
    <row r="2042" spans="3:11" ht="15.75" x14ac:dyDescent="0.25">
      <c r="C2042" s="825"/>
      <c r="D2042" s="825"/>
      <c r="E2042" s="825"/>
      <c r="F2042" s="825"/>
      <c r="G2042" s="825"/>
      <c r="J2042" s="239"/>
      <c r="K2042" s="239"/>
    </row>
    <row r="2043" spans="3:11" ht="15.75" x14ac:dyDescent="0.25">
      <c r="C2043" s="825"/>
      <c r="D2043" s="825"/>
      <c r="E2043" s="825"/>
      <c r="F2043" s="825"/>
      <c r="G2043" s="825"/>
      <c r="J2043" s="239"/>
      <c r="K2043" s="239"/>
    </row>
    <row r="2044" spans="3:11" ht="15.75" x14ac:dyDescent="0.25">
      <c r="C2044" s="825"/>
      <c r="D2044" s="825"/>
      <c r="E2044" s="825"/>
      <c r="F2044" s="825"/>
      <c r="G2044" s="825"/>
      <c r="J2044" s="239"/>
      <c r="K2044" s="239"/>
    </row>
    <row r="2045" spans="3:11" ht="15.75" x14ac:dyDescent="0.25">
      <c r="C2045" s="825"/>
      <c r="D2045" s="825"/>
      <c r="E2045" s="825"/>
      <c r="F2045" s="825"/>
      <c r="G2045" s="825"/>
      <c r="J2045" s="239"/>
      <c r="K2045" s="239"/>
    </row>
    <row r="2046" spans="3:11" ht="15.75" x14ac:dyDescent="0.25">
      <c r="C2046" s="825"/>
      <c r="D2046" s="825"/>
      <c r="E2046" s="825"/>
      <c r="F2046" s="825"/>
      <c r="G2046" s="825"/>
      <c r="J2046" s="239"/>
      <c r="K2046" s="239"/>
    </row>
    <row r="2047" spans="3:11" ht="15.75" x14ac:dyDescent="0.25">
      <c r="C2047" s="825"/>
      <c r="D2047" s="825"/>
      <c r="E2047" s="825"/>
      <c r="F2047" s="825"/>
      <c r="G2047" s="825"/>
      <c r="J2047" s="239"/>
      <c r="K2047" s="239"/>
    </row>
    <row r="2048" spans="3:11" ht="15.75" x14ac:dyDescent="0.25">
      <c r="C2048" s="825"/>
      <c r="D2048" s="825"/>
      <c r="E2048" s="825"/>
      <c r="F2048" s="825"/>
      <c r="G2048" s="825"/>
      <c r="J2048" s="239"/>
      <c r="K2048" s="239"/>
    </row>
    <row r="2049" spans="3:11" ht="15.75" x14ac:dyDescent="0.25">
      <c r="C2049" s="825"/>
      <c r="D2049" s="825"/>
      <c r="E2049" s="825"/>
      <c r="F2049" s="825"/>
      <c r="G2049" s="825"/>
      <c r="J2049" s="239"/>
      <c r="K2049" s="239"/>
    </row>
    <row r="2050" spans="3:11" ht="15.75" x14ac:dyDescent="0.25">
      <c r="C2050" s="825"/>
      <c r="D2050" s="825"/>
      <c r="E2050" s="825"/>
      <c r="F2050" s="825"/>
      <c r="G2050" s="825"/>
      <c r="J2050" s="239"/>
      <c r="K2050" s="239"/>
    </row>
    <row r="2051" spans="3:11" ht="15.75" x14ac:dyDescent="0.25">
      <c r="C2051" s="825"/>
      <c r="D2051" s="825"/>
      <c r="E2051" s="825"/>
      <c r="F2051" s="825"/>
      <c r="G2051" s="825"/>
      <c r="J2051" s="239"/>
      <c r="K2051" s="239"/>
    </row>
    <row r="2052" spans="3:11" ht="15.75" x14ac:dyDescent="0.25">
      <c r="C2052" s="825"/>
      <c r="D2052" s="825"/>
      <c r="E2052" s="825"/>
      <c r="F2052" s="825"/>
      <c r="G2052" s="825"/>
      <c r="J2052" s="239"/>
      <c r="K2052" s="239"/>
    </row>
    <row r="2053" spans="3:11" ht="15.75" x14ac:dyDescent="0.25">
      <c r="C2053" s="825"/>
      <c r="D2053" s="825"/>
      <c r="E2053" s="825"/>
      <c r="F2053" s="825"/>
      <c r="G2053" s="825"/>
      <c r="J2053" s="239"/>
      <c r="K2053" s="239"/>
    </row>
    <row r="2054" spans="3:11" ht="15.75" x14ac:dyDescent="0.25">
      <c r="C2054" s="825"/>
      <c r="D2054" s="825"/>
      <c r="E2054" s="825"/>
      <c r="F2054" s="825"/>
      <c r="G2054" s="825"/>
      <c r="J2054" s="239"/>
      <c r="K2054" s="239"/>
    </row>
    <row r="2055" spans="3:11" ht="15.75" x14ac:dyDescent="0.25">
      <c r="C2055" s="825"/>
      <c r="D2055" s="825"/>
      <c r="E2055" s="825"/>
      <c r="F2055" s="825"/>
      <c r="G2055" s="825"/>
      <c r="J2055" s="239"/>
      <c r="K2055" s="239"/>
    </row>
    <row r="2056" spans="3:11" ht="15.75" x14ac:dyDescent="0.25">
      <c r="C2056" s="825"/>
      <c r="D2056" s="825"/>
      <c r="E2056" s="825"/>
      <c r="F2056" s="825"/>
      <c r="G2056" s="825"/>
      <c r="J2056" s="239"/>
      <c r="K2056" s="239"/>
    </row>
    <row r="2057" spans="3:11" ht="15.75" x14ac:dyDescent="0.25">
      <c r="C2057" s="825"/>
      <c r="D2057" s="825"/>
      <c r="E2057" s="825"/>
      <c r="F2057" s="825"/>
      <c r="G2057" s="825"/>
      <c r="J2057" s="239"/>
      <c r="K2057" s="239"/>
    </row>
    <row r="2058" spans="3:11" ht="15.75" x14ac:dyDescent="0.25">
      <c r="C2058" s="825"/>
      <c r="D2058" s="825"/>
      <c r="E2058" s="825"/>
      <c r="F2058" s="825"/>
      <c r="G2058" s="825"/>
      <c r="J2058" s="239"/>
      <c r="K2058" s="239"/>
    </row>
    <row r="2059" spans="3:11" ht="15.75" x14ac:dyDescent="0.25">
      <c r="C2059" s="825"/>
      <c r="D2059" s="825"/>
      <c r="E2059" s="825"/>
      <c r="F2059" s="825"/>
      <c r="G2059" s="825"/>
      <c r="J2059" s="239"/>
      <c r="K2059" s="239"/>
    </row>
    <row r="2060" spans="3:11" ht="15.75" x14ac:dyDescent="0.25">
      <c r="C2060" s="825"/>
      <c r="D2060" s="825"/>
      <c r="E2060" s="825"/>
      <c r="F2060" s="825"/>
      <c r="G2060" s="825"/>
      <c r="J2060" s="239"/>
      <c r="K2060" s="239"/>
    </row>
    <row r="2061" spans="3:11" ht="15.75" x14ac:dyDescent="0.25">
      <c r="C2061" s="825"/>
      <c r="D2061" s="825"/>
      <c r="E2061" s="825"/>
      <c r="F2061" s="825"/>
      <c r="G2061" s="825"/>
      <c r="J2061" s="239"/>
      <c r="K2061" s="239"/>
    </row>
    <row r="2062" spans="3:11" ht="15.75" x14ac:dyDescent="0.25">
      <c r="C2062" s="825"/>
      <c r="D2062" s="825"/>
      <c r="E2062" s="825"/>
      <c r="F2062" s="825"/>
      <c r="G2062" s="825"/>
      <c r="J2062" s="239"/>
      <c r="K2062" s="239"/>
    </row>
    <row r="2063" spans="3:11" ht="15.75" x14ac:dyDescent="0.25">
      <c r="C2063" s="825"/>
      <c r="D2063" s="825"/>
      <c r="E2063" s="825"/>
      <c r="F2063" s="825"/>
      <c r="G2063" s="825"/>
      <c r="J2063" s="239"/>
      <c r="K2063" s="239"/>
    </row>
    <row r="2064" spans="3:11" ht="15.75" x14ac:dyDescent="0.25">
      <c r="C2064" s="825"/>
      <c r="D2064" s="825"/>
      <c r="E2064" s="825"/>
      <c r="F2064" s="825"/>
      <c r="G2064" s="825"/>
      <c r="J2064" s="239"/>
      <c r="K2064" s="239"/>
    </row>
    <row r="2065" spans="3:11" ht="15.75" x14ac:dyDescent="0.25">
      <c r="C2065" s="825"/>
      <c r="D2065" s="825"/>
      <c r="E2065" s="825"/>
      <c r="F2065" s="825"/>
      <c r="G2065" s="825"/>
      <c r="J2065" s="239"/>
      <c r="K2065" s="239"/>
    </row>
    <row r="2066" spans="3:11" ht="15.75" x14ac:dyDescent="0.25">
      <c r="C2066" s="825"/>
      <c r="D2066" s="825"/>
      <c r="E2066" s="825"/>
      <c r="F2066" s="825"/>
      <c r="G2066" s="825"/>
      <c r="J2066" s="239"/>
      <c r="K2066" s="239"/>
    </row>
    <row r="2067" spans="3:11" ht="15.75" x14ac:dyDescent="0.25">
      <c r="C2067" s="825"/>
      <c r="D2067" s="825"/>
      <c r="E2067" s="825"/>
      <c r="F2067" s="825"/>
      <c r="G2067" s="825"/>
      <c r="J2067" s="239"/>
      <c r="K2067" s="239"/>
    </row>
    <row r="2068" spans="3:11" ht="15.75" x14ac:dyDescent="0.25">
      <c r="C2068" s="825"/>
      <c r="D2068" s="825"/>
      <c r="E2068" s="825"/>
      <c r="F2068" s="825"/>
      <c r="G2068" s="825"/>
      <c r="J2068" s="239"/>
      <c r="K2068" s="239"/>
    </row>
    <row r="2069" spans="3:11" ht="15.75" x14ac:dyDescent="0.25">
      <c r="C2069" s="825"/>
      <c r="D2069" s="825"/>
      <c r="E2069" s="825"/>
      <c r="F2069" s="825"/>
      <c r="G2069" s="825"/>
      <c r="J2069" s="239"/>
      <c r="K2069" s="239"/>
    </row>
    <row r="2070" spans="3:11" ht="15.75" x14ac:dyDescent="0.25">
      <c r="C2070" s="825"/>
      <c r="D2070" s="825"/>
      <c r="E2070" s="825"/>
      <c r="F2070" s="825"/>
      <c r="G2070" s="825"/>
      <c r="J2070" s="239"/>
      <c r="K2070" s="239"/>
    </row>
    <row r="2071" spans="3:11" ht="15.75" x14ac:dyDescent="0.25">
      <c r="C2071" s="825"/>
      <c r="D2071" s="825"/>
      <c r="E2071" s="825"/>
      <c r="F2071" s="825"/>
      <c r="G2071" s="825"/>
      <c r="J2071" s="239"/>
      <c r="K2071" s="239"/>
    </row>
    <row r="2072" spans="3:11" ht="15.75" x14ac:dyDescent="0.25">
      <c r="C2072" s="825"/>
      <c r="D2072" s="825"/>
      <c r="E2072" s="825"/>
      <c r="F2072" s="825"/>
      <c r="G2072" s="825"/>
      <c r="J2072" s="239"/>
      <c r="K2072" s="239"/>
    </row>
    <row r="2073" spans="3:11" ht="15.75" x14ac:dyDescent="0.25">
      <c r="C2073" s="825"/>
      <c r="D2073" s="825"/>
      <c r="E2073" s="825"/>
      <c r="F2073" s="825"/>
      <c r="G2073" s="825"/>
      <c r="J2073" s="239"/>
      <c r="K2073" s="239"/>
    </row>
    <row r="2074" spans="3:11" ht="15.75" x14ac:dyDescent="0.25">
      <c r="C2074" s="825"/>
      <c r="D2074" s="825"/>
      <c r="E2074" s="825"/>
      <c r="F2074" s="825"/>
      <c r="G2074" s="825"/>
      <c r="J2074" s="239"/>
      <c r="K2074" s="239"/>
    </row>
    <row r="2075" spans="3:11" ht="15.75" x14ac:dyDescent="0.25">
      <c r="C2075" s="825"/>
      <c r="D2075" s="825"/>
      <c r="E2075" s="825"/>
      <c r="F2075" s="825"/>
      <c r="G2075" s="825"/>
      <c r="J2075" s="239"/>
      <c r="K2075" s="239"/>
    </row>
    <row r="2076" spans="3:11" ht="15.75" x14ac:dyDescent="0.25">
      <c r="C2076" s="825"/>
      <c r="D2076" s="825"/>
      <c r="E2076" s="825"/>
      <c r="F2076" s="825"/>
      <c r="G2076" s="825"/>
      <c r="J2076" s="239"/>
      <c r="K2076" s="239"/>
    </row>
    <row r="2077" spans="3:11" ht="15.75" x14ac:dyDescent="0.25">
      <c r="C2077" s="825"/>
      <c r="D2077" s="825"/>
      <c r="E2077" s="825"/>
      <c r="F2077" s="825"/>
      <c r="G2077" s="825"/>
      <c r="J2077" s="239"/>
      <c r="K2077" s="239"/>
    </row>
    <row r="2078" spans="3:11" ht="15.75" x14ac:dyDescent="0.25">
      <c r="C2078" s="825"/>
      <c r="D2078" s="825"/>
      <c r="E2078" s="825"/>
      <c r="F2078" s="825"/>
      <c r="G2078" s="825"/>
      <c r="J2078" s="239"/>
      <c r="K2078" s="239"/>
    </row>
    <row r="2079" spans="3:11" ht="15.75" x14ac:dyDescent="0.25">
      <c r="C2079" s="825"/>
      <c r="D2079" s="825"/>
      <c r="E2079" s="825"/>
      <c r="F2079" s="825"/>
      <c r="G2079" s="825"/>
      <c r="J2079" s="239"/>
      <c r="K2079" s="239"/>
    </row>
    <row r="2080" spans="3:11" ht="15.75" x14ac:dyDescent="0.25">
      <c r="C2080" s="825"/>
      <c r="D2080" s="825"/>
      <c r="E2080" s="825"/>
      <c r="F2080" s="825"/>
      <c r="G2080" s="825"/>
      <c r="J2080" s="239"/>
      <c r="K2080" s="239"/>
    </row>
    <row r="2081" spans="3:11" ht="15.75" x14ac:dyDescent="0.25">
      <c r="C2081" s="825"/>
      <c r="D2081" s="825"/>
      <c r="E2081" s="825"/>
      <c r="F2081" s="825"/>
      <c r="G2081" s="825"/>
      <c r="J2081" s="239"/>
      <c r="K2081" s="239"/>
    </row>
    <row r="2082" spans="3:11" ht="15.75" x14ac:dyDescent="0.25">
      <c r="C2082" s="825"/>
      <c r="D2082" s="825"/>
      <c r="E2082" s="825"/>
      <c r="F2082" s="825"/>
      <c r="G2082" s="825"/>
      <c r="J2082" s="239"/>
      <c r="K2082" s="239"/>
    </row>
    <row r="2083" spans="3:11" ht="15.75" x14ac:dyDescent="0.25">
      <c r="C2083" s="825"/>
      <c r="D2083" s="825"/>
      <c r="E2083" s="825"/>
      <c r="F2083" s="825"/>
      <c r="G2083" s="825"/>
      <c r="J2083" s="239"/>
      <c r="K2083" s="239"/>
    </row>
    <row r="2084" spans="3:11" ht="15.75" x14ac:dyDescent="0.25">
      <c r="C2084" s="825"/>
      <c r="D2084" s="825"/>
      <c r="E2084" s="825"/>
      <c r="F2084" s="825"/>
      <c r="G2084" s="825"/>
      <c r="J2084" s="239"/>
      <c r="K2084" s="239"/>
    </row>
    <row r="2085" spans="3:11" ht="15.75" x14ac:dyDescent="0.25">
      <c r="C2085" s="825"/>
      <c r="D2085" s="825"/>
      <c r="E2085" s="825"/>
      <c r="F2085" s="825"/>
      <c r="G2085" s="825"/>
      <c r="J2085" s="239"/>
      <c r="K2085" s="239"/>
    </row>
    <row r="2086" spans="3:11" ht="15.75" x14ac:dyDescent="0.25">
      <c r="C2086" s="825"/>
      <c r="D2086" s="825"/>
      <c r="E2086" s="825"/>
      <c r="F2086" s="825"/>
      <c r="G2086" s="825"/>
      <c r="J2086" s="239"/>
      <c r="K2086" s="239"/>
    </row>
    <row r="2087" spans="3:11" ht="15.75" x14ac:dyDescent="0.25">
      <c r="C2087" s="825"/>
      <c r="D2087" s="825"/>
      <c r="E2087" s="825"/>
      <c r="F2087" s="825"/>
      <c r="G2087" s="825"/>
      <c r="J2087" s="239"/>
      <c r="K2087" s="239"/>
    </row>
    <row r="2088" spans="3:11" ht="15.75" x14ac:dyDescent="0.25">
      <c r="C2088" s="825"/>
      <c r="D2088" s="825"/>
      <c r="E2088" s="825"/>
      <c r="F2088" s="825"/>
      <c r="G2088" s="825"/>
      <c r="J2088" s="239"/>
      <c r="K2088" s="239"/>
    </row>
    <row r="2089" spans="3:11" ht="15.75" x14ac:dyDescent="0.25">
      <c r="C2089" s="825"/>
      <c r="D2089" s="825"/>
      <c r="E2089" s="825"/>
      <c r="F2089" s="825"/>
      <c r="G2089" s="825"/>
      <c r="J2089" s="239"/>
      <c r="K2089" s="239"/>
    </row>
    <row r="2090" spans="3:11" ht="15.75" x14ac:dyDescent="0.25">
      <c r="C2090" s="825"/>
      <c r="D2090" s="825"/>
      <c r="E2090" s="825"/>
      <c r="F2090" s="825"/>
      <c r="G2090" s="825"/>
      <c r="J2090" s="239"/>
      <c r="K2090" s="239"/>
    </row>
    <row r="2091" spans="3:11" ht="15.75" x14ac:dyDescent="0.25">
      <c r="C2091" s="825"/>
      <c r="D2091" s="825"/>
      <c r="E2091" s="825"/>
      <c r="F2091" s="825"/>
      <c r="G2091" s="825"/>
      <c r="J2091" s="239"/>
      <c r="K2091" s="239"/>
    </row>
    <row r="2092" spans="3:11" ht="15.75" x14ac:dyDescent="0.25">
      <c r="C2092" s="825"/>
      <c r="D2092" s="825"/>
      <c r="E2092" s="825"/>
      <c r="F2092" s="825"/>
      <c r="G2092" s="825"/>
      <c r="J2092" s="239"/>
      <c r="K2092" s="239"/>
    </row>
    <row r="2093" spans="3:11" ht="15.75" x14ac:dyDescent="0.25">
      <c r="C2093" s="825"/>
      <c r="D2093" s="825"/>
      <c r="E2093" s="825"/>
      <c r="F2093" s="825"/>
      <c r="G2093" s="825"/>
      <c r="J2093" s="239"/>
      <c r="K2093" s="239"/>
    </row>
    <row r="2094" spans="3:11" ht="15.75" x14ac:dyDescent="0.25">
      <c r="C2094" s="825"/>
      <c r="D2094" s="825"/>
      <c r="E2094" s="825"/>
      <c r="F2094" s="825"/>
      <c r="G2094" s="825"/>
      <c r="J2094" s="239"/>
      <c r="K2094" s="239"/>
    </row>
    <row r="2095" spans="3:11" ht="15.75" x14ac:dyDescent="0.25">
      <c r="C2095" s="825"/>
      <c r="D2095" s="825"/>
      <c r="E2095" s="825"/>
      <c r="F2095" s="825"/>
      <c r="G2095" s="825"/>
      <c r="J2095" s="239"/>
      <c r="K2095" s="239"/>
    </row>
    <row r="2096" spans="3:11" ht="15.75" x14ac:dyDescent="0.25">
      <c r="C2096" s="825"/>
      <c r="D2096" s="825"/>
      <c r="E2096" s="825"/>
      <c r="F2096" s="825"/>
      <c r="G2096" s="825"/>
      <c r="J2096" s="239"/>
      <c r="K2096" s="239"/>
    </row>
    <row r="2097" spans="1:11" ht="15.75" x14ac:dyDescent="0.25">
      <c r="C2097" s="825"/>
      <c r="D2097" s="825"/>
      <c r="E2097" s="825"/>
      <c r="F2097" s="825"/>
      <c r="G2097" s="825"/>
      <c r="J2097" s="239"/>
      <c r="K2097" s="239"/>
    </row>
    <row r="2098" spans="1:11" ht="15.75" x14ac:dyDescent="0.25">
      <c r="C2098" s="825"/>
      <c r="D2098" s="825"/>
      <c r="E2098" s="825"/>
      <c r="F2098" s="825"/>
      <c r="G2098" s="825"/>
      <c r="J2098" s="239"/>
      <c r="K2098" s="239"/>
    </row>
    <row r="2099" spans="1:11" ht="15.75" x14ac:dyDescent="0.25">
      <c r="C2099" s="825"/>
      <c r="D2099" s="825"/>
      <c r="E2099" s="825"/>
      <c r="F2099" s="825"/>
      <c r="G2099" s="825"/>
      <c r="J2099" s="239"/>
      <c r="K2099" s="239"/>
    </row>
    <row r="2100" spans="1:11" ht="15.75" x14ac:dyDescent="0.25">
      <c r="C2100" s="825"/>
      <c r="D2100" s="825"/>
      <c r="E2100" s="825"/>
      <c r="F2100" s="825"/>
      <c r="G2100" s="825"/>
      <c r="J2100" s="239"/>
      <c r="K2100" s="239"/>
    </row>
    <row r="2101" spans="1:11" ht="15.75" x14ac:dyDescent="0.25">
      <c r="C2101" s="825"/>
      <c r="D2101" s="825"/>
      <c r="E2101" s="825"/>
      <c r="F2101" s="825"/>
      <c r="G2101" s="825"/>
      <c r="J2101" s="239"/>
      <c r="K2101" s="239"/>
    </row>
    <row r="2102" spans="1:11" ht="15.75" x14ac:dyDescent="0.25">
      <c r="C2102" s="825"/>
      <c r="D2102" s="825"/>
      <c r="E2102" s="825"/>
      <c r="F2102" s="825"/>
      <c r="G2102" s="825"/>
      <c r="J2102" s="239"/>
      <c r="K2102" s="239"/>
    </row>
    <row r="2103" spans="1:11" ht="15.75" x14ac:dyDescent="0.25">
      <c r="C2103" s="825"/>
      <c r="D2103" s="825"/>
      <c r="E2103" s="825"/>
      <c r="F2103" s="825"/>
      <c r="G2103" s="825"/>
      <c r="J2103" s="239"/>
      <c r="K2103" s="239"/>
    </row>
    <row r="2104" spans="1:11" ht="15.75" x14ac:dyDescent="0.25">
      <c r="C2104" s="825"/>
      <c r="D2104" s="825"/>
      <c r="E2104" s="825"/>
      <c r="F2104" s="825"/>
      <c r="G2104" s="825"/>
      <c r="J2104" s="239"/>
      <c r="K2104" s="239"/>
    </row>
    <row r="2105" spans="1:11" ht="15.75" x14ac:dyDescent="0.25">
      <c r="C2105" s="825"/>
      <c r="D2105" s="825"/>
      <c r="E2105" s="825"/>
      <c r="F2105" s="825"/>
      <c r="G2105" s="825"/>
      <c r="J2105" s="239"/>
      <c r="K2105" s="239"/>
    </row>
    <row r="2106" spans="1:11" ht="15.75" x14ac:dyDescent="0.25">
      <c r="C2106" s="825"/>
      <c r="D2106" s="825"/>
      <c r="E2106" s="825"/>
      <c r="F2106" s="825"/>
      <c r="G2106" s="825"/>
      <c r="J2106" s="239"/>
      <c r="K2106" s="239"/>
    </row>
    <row r="2107" spans="1:11" ht="15.75" x14ac:dyDescent="0.25">
      <c r="C2107" s="825"/>
      <c r="D2107" s="825"/>
      <c r="E2107" s="825"/>
      <c r="F2107" s="825"/>
      <c r="G2107" s="825"/>
      <c r="J2107" s="239"/>
      <c r="K2107" s="239"/>
    </row>
    <row r="2108" spans="1:11" ht="15.75" x14ac:dyDescent="0.25">
      <c r="C2108" s="825"/>
      <c r="D2108" s="825"/>
      <c r="E2108" s="825"/>
      <c r="F2108" s="825"/>
      <c r="G2108" s="825"/>
      <c r="J2108" s="239"/>
      <c r="K2108" s="239"/>
    </row>
    <row r="2109" spans="1:11" ht="15.75" x14ac:dyDescent="0.25">
      <c r="C2109" s="825"/>
      <c r="D2109" s="825"/>
      <c r="E2109" s="825"/>
      <c r="F2109" s="825"/>
      <c r="G2109" s="825"/>
      <c r="J2109" s="239"/>
      <c r="K2109" s="239"/>
    </row>
    <row r="2110" spans="1:11" ht="15.75" x14ac:dyDescent="0.25">
      <c r="C2110" s="825"/>
      <c r="D2110" s="825"/>
      <c r="E2110" s="825"/>
      <c r="F2110" s="825"/>
      <c r="G2110" s="825"/>
      <c r="J2110" s="239"/>
      <c r="K2110" s="239"/>
    </row>
    <row r="2111" spans="1:11" ht="15.75" x14ac:dyDescent="0.25">
      <c r="C2111" s="825"/>
      <c r="D2111" s="825"/>
      <c r="E2111" s="825"/>
      <c r="F2111" s="825"/>
      <c r="G2111" s="825"/>
      <c r="J2111" s="239"/>
      <c r="K2111" s="239"/>
    </row>
    <row r="2112" spans="1:11" ht="15.75" x14ac:dyDescent="0.25">
      <c r="A2112" s="1733"/>
      <c r="B2112" s="1733"/>
      <c r="C2112" s="1734"/>
      <c r="D2112" s="1734"/>
      <c r="E2112" s="1734"/>
      <c r="F2112" s="1734"/>
      <c r="G2112" s="1734"/>
      <c r="H2112" s="1733"/>
      <c r="J2112" s="239"/>
      <c r="K2112" s="239"/>
    </row>
    <row r="2113" spans="1:13" ht="15.75" x14ac:dyDescent="0.25">
      <c r="A2113" s="1735" t="s">
        <v>4142</v>
      </c>
      <c r="C2113" s="825"/>
      <c r="D2113" s="825"/>
      <c r="E2113" s="825"/>
      <c r="F2113" s="825"/>
      <c r="G2113" s="825"/>
      <c r="J2113" s="239"/>
      <c r="K2113" s="239"/>
    </row>
    <row r="2114" spans="1:13" ht="15.75" x14ac:dyDescent="0.25">
      <c r="A2114" s="1736" t="s">
        <v>2918</v>
      </c>
      <c r="B2114" s="1353">
        <f>IF(OR(B225=3,B225=4,B225=2),2,3)</f>
        <v>3</v>
      </c>
      <c r="C2114" s="825"/>
      <c r="D2114" s="825"/>
      <c r="E2114" s="825"/>
      <c r="F2114" s="825"/>
      <c r="G2114" s="825"/>
      <c r="J2114" s="239"/>
      <c r="K2114" s="239"/>
    </row>
    <row r="2115" spans="1:13" ht="15.75" x14ac:dyDescent="0.25">
      <c r="A2115" s="1737" t="s">
        <v>2919</v>
      </c>
      <c r="B2115" s="1736" t="e">
        <f>B247+B248</f>
        <v>#REF!</v>
      </c>
      <c r="C2115" s="825"/>
      <c r="D2115" s="825"/>
      <c r="E2115" s="825"/>
      <c r="F2115" s="825"/>
      <c r="G2115" s="825"/>
      <c r="J2115" s="239"/>
      <c r="K2115" s="239"/>
    </row>
    <row r="2116" spans="1:13" ht="20.25" customHeight="1" x14ac:dyDescent="0.2">
      <c r="A2116" s="1738" t="s">
        <v>2529</v>
      </c>
      <c r="B2116" s="1736" t="str">
        <f>B223</f>
        <v/>
      </c>
      <c r="C2116" s="239"/>
      <c r="D2116" s="239"/>
      <c r="E2116" s="239"/>
      <c r="F2116" s="239"/>
      <c r="G2116" s="239"/>
    </row>
    <row r="2117" spans="1:13" ht="25.5" x14ac:dyDescent="0.2">
      <c r="A2117" s="1739" t="s">
        <v>2530</v>
      </c>
      <c r="B2117" s="1736">
        <f>IF(B2116=1,0,IF(B2116=2,0,1))</f>
        <v>1</v>
      </c>
      <c r="C2117" s="239"/>
      <c r="D2117" s="239"/>
      <c r="E2117" s="239"/>
      <c r="F2117" s="239"/>
      <c r="G2117" s="239"/>
    </row>
    <row r="2118" spans="1:13" x14ac:dyDescent="0.2">
      <c r="A2118" s="1737" t="s">
        <v>2531</v>
      </c>
      <c r="B2118" s="1736">
        <f>IF(B2116=1,0.8,IF(B2116=2,0.9,1))</f>
        <v>1</v>
      </c>
      <c r="C2118" s="227"/>
      <c r="D2118" s="227"/>
      <c r="E2118" s="227"/>
      <c r="F2118" s="227"/>
      <c r="G2118" s="227"/>
    </row>
    <row r="2119" spans="1:13" ht="25.5" x14ac:dyDescent="0.2">
      <c r="A2119" s="1738" t="s">
        <v>2532</v>
      </c>
      <c r="B2119" s="1736">
        <f>B2120</f>
        <v>1</v>
      </c>
      <c r="C2119" s="227"/>
      <c r="D2119" s="227"/>
      <c r="E2119" s="227"/>
      <c r="F2119" s="227"/>
      <c r="G2119" s="227"/>
    </row>
    <row r="2120" spans="1:13" x14ac:dyDescent="0.2">
      <c r="A2120" s="1738" t="s">
        <v>2533</v>
      </c>
      <c r="B2120" s="1736">
        <f>IF(B246=0.5,1,IF(B246=0.63,1.25,IF(B246=0.8,0.8,IF(B246=1,1))))</f>
        <v>1</v>
      </c>
      <c r="C2120" s="227"/>
      <c r="D2120" s="227"/>
      <c r="E2120" s="227"/>
      <c r="F2120" s="227"/>
      <c r="G2120" s="227"/>
    </row>
    <row r="2121" spans="1:13" ht="38.25" x14ac:dyDescent="0.2">
      <c r="A2121" s="1740" t="s">
        <v>4285</v>
      </c>
      <c r="B2121" s="1741" t="e">
        <f>(B233+B220)*100/B219</f>
        <v>#VALUE!</v>
      </c>
      <c r="C2121" s="227"/>
      <c r="D2121" s="227"/>
      <c r="E2121" s="227"/>
      <c r="F2121" s="227"/>
      <c r="G2121" s="227"/>
    </row>
    <row r="2122" spans="1:13" ht="26.25" customHeight="1" x14ac:dyDescent="0.2">
      <c r="A2122" s="1742" t="s">
        <v>4437</v>
      </c>
      <c r="B2122" s="227">
        <f>B214</f>
        <v>23</v>
      </c>
      <c r="C2122" s="227"/>
      <c r="D2122" s="227"/>
      <c r="E2122" s="227"/>
      <c r="F2122" s="227"/>
      <c r="G2122" s="227"/>
    </row>
    <row r="2123" spans="1:13" x14ac:dyDescent="0.2">
      <c r="A2123" s="1743" t="s">
        <v>4438</v>
      </c>
      <c r="B2123" s="1272"/>
      <c r="C2123" s="227"/>
      <c r="D2123" s="227"/>
      <c r="E2123" s="227"/>
      <c r="F2123" s="227"/>
      <c r="G2123" s="227"/>
      <c r="M2123" s="239"/>
    </row>
    <row r="2124" spans="1:13" x14ac:dyDescent="0.2">
      <c r="A2124" s="1744" t="s">
        <v>4439</v>
      </c>
      <c r="B2124" s="1272">
        <f>IF(B224=1,1,IF(AND(B224=2,B219&lt;=1),0.9,IF(AND(B224=2,B219&gt;1),0.95,IF(AND(B224=3,B219&lt;=1),0.85,IF(AND(B224=3,B219&gt;1),0.9,IF(AND(B224=4,B219&lt;=1),0.8,$B$2125))))))</f>
        <v>1</v>
      </c>
      <c r="C2124" s="1745"/>
      <c r="D2124" s="1745"/>
      <c r="E2124" s="1745"/>
      <c r="F2124" s="1745"/>
      <c r="G2124" s="1745"/>
      <c r="M2124" s="239"/>
    </row>
    <row r="2125" spans="1:13" x14ac:dyDescent="0.2">
      <c r="A2125" s="1746" t="s">
        <v>3001</v>
      </c>
      <c r="B2125" s="1347">
        <f>IF(AND(B224=4,B219&gt;1),0.85,1)</f>
        <v>1</v>
      </c>
      <c r="C2125" s="227"/>
      <c r="D2125" s="227"/>
      <c r="E2125" s="227"/>
      <c r="F2125" s="227"/>
      <c r="G2125" s="227"/>
      <c r="M2125" s="239"/>
    </row>
    <row r="2126" spans="1:13" x14ac:dyDescent="0.2">
      <c r="A2126" s="1746" t="s">
        <v>4331</v>
      </c>
      <c r="B2126" s="239">
        <f>INDEX($K$2169:$K$2172,B225)</f>
        <v>1</v>
      </c>
      <c r="C2126" s="239"/>
      <c r="D2126" s="239"/>
      <c r="E2126" s="239"/>
      <c r="F2126" s="239"/>
      <c r="G2126" s="239"/>
      <c r="M2126" s="239"/>
    </row>
    <row r="2127" spans="1:13" x14ac:dyDescent="0.2">
      <c r="A2127" s="1746" t="s">
        <v>4332</v>
      </c>
      <c r="B2127" s="239" t="e">
        <f>IF(B226&lt;=700,1,IF(B226&lt;=900,0.95,IF(B226&lt;=1050,0.9,IF(B226&lt;=1200,0.85,0.8))))</f>
        <v>#VALUE!</v>
      </c>
      <c r="C2127" s="239"/>
      <c r="D2127" s="239"/>
      <c r="E2127" s="239"/>
      <c r="F2127" s="239"/>
      <c r="G2127" s="239"/>
      <c r="M2127" s="239"/>
    </row>
    <row r="2128" spans="1:13" x14ac:dyDescent="0.2">
      <c r="A2128" s="1746" t="s">
        <v>4333</v>
      </c>
      <c r="B2128" s="239">
        <f>IF(B221&lt;1.25,0.9,IF(B221&lt;1.32,0.95,IF(B221&lt;1.39,1,IF(B221&lt;1.46,1.05,IF(B221&lt;1.52,1.1,IF(B221&lt;1.6,1.15,IF(B221&lt;1.65,1.2,$B$2129)))))))</f>
        <v>1.35</v>
      </c>
      <c r="C2128" s="1347"/>
      <c r="D2128" s="1347"/>
      <c r="E2128" s="1347"/>
      <c r="F2128" s="1347"/>
      <c r="G2128" s="1347"/>
      <c r="K2128" s="857" t="s">
        <v>961</v>
      </c>
      <c r="L2128" s="857"/>
      <c r="M2128" s="239"/>
    </row>
    <row r="2129" spans="1:40" x14ac:dyDescent="0.2">
      <c r="A2129" s="1746" t="s">
        <v>3001</v>
      </c>
      <c r="B2129" s="239">
        <f>IF(B221&lt;1.74,1.25,IF(B221&lt;1.79,1.3,1.35))</f>
        <v>1.35</v>
      </c>
      <c r="C2129" s="239"/>
      <c r="D2129" s="239"/>
      <c r="E2129" s="239"/>
      <c r="F2129" s="239"/>
      <c r="G2129" s="239"/>
      <c r="K2129" s="857">
        <v>0</v>
      </c>
      <c r="L2129" s="857">
        <v>1</v>
      </c>
      <c r="M2129" s="239"/>
    </row>
    <row r="2130" spans="1:40" x14ac:dyDescent="0.2">
      <c r="A2130" s="1746" t="s">
        <v>962</v>
      </c>
      <c r="B2130" s="239">
        <f>IF(B288&lt;9,-0.02*B288 + 0.99,0.8)</f>
        <v>0.99</v>
      </c>
      <c r="C2130" s="239"/>
      <c r="D2130" s="239"/>
      <c r="E2130" s="239"/>
      <c r="F2130" s="239"/>
      <c r="G2130" s="239"/>
      <c r="K2130" s="857">
        <v>1</v>
      </c>
      <c r="L2130" s="857">
        <v>0.95</v>
      </c>
      <c r="M2130" s="857" t="s">
        <v>4817</v>
      </c>
    </row>
    <row r="2131" spans="1:40" x14ac:dyDescent="0.2">
      <c r="A2131" s="1746" t="s">
        <v>963</v>
      </c>
      <c r="B2131" s="239" t="e">
        <f>1-0.05*B229</f>
        <v>#VALUE!</v>
      </c>
      <c r="C2131" s="239"/>
      <c r="D2131" s="239"/>
      <c r="E2131" s="239"/>
      <c r="F2131" s="239"/>
      <c r="G2131" s="239"/>
      <c r="K2131" s="857">
        <v>2</v>
      </c>
      <c r="L2131" s="857">
        <v>0.9</v>
      </c>
      <c r="M2131" s="857">
        <v>1</v>
      </c>
    </row>
    <row r="2132" spans="1:40" ht="13.5" thickBot="1" x14ac:dyDescent="0.25">
      <c r="A2132" s="1747" t="s">
        <v>3059</v>
      </c>
      <c r="B2132" s="1071" t="e">
        <f>B2124*B2126*B2127*B2128*B2130*B2131</f>
        <v>#VALUE!</v>
      </c>
      <c r="C2132" s="239"/>
      <c r="D2132" s="239"/>
      <c r="E2132" s="239"/>
      <c r="F2132" s="239"/>
      <c r="G2132" s="239"/>
      <c r="K2132" s="857">
        <v>3</v>
      </c>
      <c r="L2132" s="857">
        <v>0.85</v>
      </c>
      <c r="M2132" s="857">
        <v>0.95</v>
      </c>
    </row>
    <row r="2133" spans="1:40" ht="16.5" thickBot="1" x14ac:dyDescent="0.3">
      <c r="A2133" s="1748" t="s">
        <v>964</v>
      </c>
      <c r="B2133" s="1749" t="e">
        <f>B243*B219*B221*B246*B245</f>
        <v>#VALUE!</v>
      </c>
      <c r="C2133" s="239"/>
      <c r="D2133" s="239"/>
      <c r="E2133" s="239"/>
      <c r="F2133" s="239"/>
      <c r="G2133" s="239"/>
      <c r="K2133" s="857">
        <v>4</v>
      </c>
      <c r="L2133" s="857">
        <v>0.8</v>
      </c>
      <c r="M2133" s="857">
        <v>0.9</v>
      </c>
    </row>
    <row r="2134" spans="1:40" ht="16.5" thickBot="1" x14ac:dyDescent="0.3">
      <c r="A2134" s="1748" t="s">
        <v>965</v>
      </c>
      <c r="B2134" s="898" t="e">
        <f>(B243-B2115)*B219*B221*B246*B245</f>
        <v>#REF!</v>
      </c>
      <c r="C2134" s="239"/>
      <c r="D2134" s="239"/>
      <c r="E2134" s="239"/>
      <c r="F2134" s="239"/>
      <c r="G2134" s="239"/>
      <c r="K2134" s="857" t="s">
        <v>966</v>
      </c>
      <c r="L2134" s="857" t="s">
        <v>4816</v>
      </c>
      <c r="M2134" s="857">
        <v>0.85</v>
      </c>
    </row>
    <row r="2135" spans="1:40" ht="15.75" x14ac:dyDescent="0.25">
      <c r="A2135" s="1750" t="s">
        <v>967</v>
      </c>
      <c r="B2135" s="229"/>
      <c r="C2135" s="1071"/>
      <c r="D2135" s="1071"/>
      <c r="E2135" s="1071"/>
      <c r="F2135" s="1071"/>
      <c r="G2135" s="1071"/>
      <c r="K2135" s="857">
        <v>1</v>
      </c>
      <c r="L2135" s="857">
        <v>1</v>
      </c>
      <c r="M2135" s="239"/>
    </row>
    <row r="2136" spans="1:40" ht="15.75" x14ac:dyDescent="0.25">
      <c r="A2136" s="1751" t="s">
        <v>1951</v>
      </c>
      <c r="B2136" s="229"/>
      <c r="C2136" s="227"/>
      <c r="D2136" s="227"/>
      <c r="E2136" s="227"/>
      <c r="F2136" s="227"/>
      <c r="G2136" s="227"/>
      <c r="K2136" s="857">
        <v>2</v>
      </c>
      <c r="L2136" s="857">
        <v>0.9</v>
      </c>
      <c r="M2136" s="239"/>
    </row>
    <row r="2137" spans="1:40" ht="38.25" x14ac:dyDescent="0.2">
      <c r="A2137" s="1752" t="s">
        <v>1952</v>
      </c>
      <c r="B2137" s="1753"/>
      <c r="C2137" s="1164"/>
      <c r="D2137" s="1164"/>
      <c r="E2137" s="1164"/>
      <c r="F2137" s="1164"/>
      <c r="G2137" s="1164"/>
      <c r="K2137" s="857">
        <v>3</v>
      </c>
      <c r="L2137" s="857">
        <v>0.85</v>
      </c>
    </row>
    <row r="2138" spans="1:40" x14ac:dyDescent="0.2">
      <c r="A2138" s="1754" t="s">
        <v>1781</v>
      </c>
      <c r="B2138" s="1755">
        <f>IF(AND(B243&lt;176,B236=1,B235=1),INDEX($B$2275:$J$2283,B227,B2140),IF(AND(B243&gt;175,B236=1,B235=1),INDEX($B$2299:$J$2307,B227,B2140),IF(AND(B243&lt;176,B236=1,B235=2),INDEX($B$2324:$J$2332,B227,B2140),IF(AND(B243&gt;175,B236=1,B235=2),INDEX($B$2348:$J$2356,B227,B2140),IF(AND(B243&lt;176,B236=2,B235=1),INDEX($B$2378:$J$2386,B227,B2142),IF(AND(B243&gt;175,B236=2,B235=1),INDEX($B$2402:$J$2410,B227,B2142),IF(AND(B243&lt;176,B236=2,B235=2),INDEX($B$2427:$J$2435,B227,B2142),INDEX($B$2451:$J$2459,B227,B2142))))))))</f>
        <v>474</v>
      </c>
      <c r="C2138" s="227"/>
      <c r="D2138" s="227"/>
      <c r="E2138" s="227"/>
      <c r="F2138" s="227"/>
      <c r="G2138" s="227"/>
      <c r="K2138" s="857">
        <v>4</v>
      </c>
      <c r="L2138" s="857">
        <v>0.8</v>
      </c>
    </row>
    <row r="2139" spans="1:40" x14ac:dyDescent="0.2">
      <c r="A2139" s="1754" t="s">
        <v>1953</v>
      </c>
      <c r="B2139" s="1755">
        <f>IF(AND(B243&lt;176,B236=1,B235=1),INDEX($B$2287:$J$2295,B227,B2140),IF(AND(B243&gt;175,B236=1,B235=1),INDEX($B$2311:$J$2319,B227,B2140),IF(AND(B243&lt;176,B236=1,B235=2),INDEX($B$2336:$J$2344,B227,B2140),IF(AND(B243&gt;175,B236=1,B235=2),INDEX($B$2360:$J$2368,B227,B2140),IF(AND(B243&lt;176,B236=2,B235=1),INDEX($B$2390:$J$2398,B227,B2142),IF(AND(B243&gt;175,B236=2,B235=1),INDEX($B$2414:$J$2422,B227,B2142),IF(AND(B243&lt;176,B236=2,B235=2),INDEX($B$2439:$J$2447,B227,B2142),INDEX($B$2463:$J$2471,B227,B2142))))))))</f>
        <v>5.8570000000000002</v>
      </c>
      <c r="C2139" s="227"/>
      <c r="D2139" s="227"/>
      <c r="E2139" s="227"/>
      <c r="F2139" s="227"/>
      <c r="G2139" s="227"/>
      <c r="K2139" s="239"/>
      <c r="L2139" s="239"/>
    </row>
    <row r="2140" spans="1:40" ht="25.5" x14ac:dyDescent="0.2">
      <c r="A2140" s="1756" t="s">
        <v>1954</v>
      </c>
      <c r="B2140" s="1757">
        <f>IF(B219&lt;0.76,1,IF(B219&lt;0.81,2,IF(B219&lt;0.86,3,IF(B219&lt;0.91,4,IF(B219&lt;0.96,5,IF(B219&lt;1.03,6,IF(B219&lt;1.08,7,B2141)))))))</f>
        <v>9</v>
      </c>
      <c r="C2140" s="227"/>
      <c r="D2140" s="227"/>
      <c r="E2140" s="227"/>
      <c r="F2140" s="227"/>
      <c r="G2140" s="227"/>
      <c r="K2140" s="857" t="s">
        <v>1955</v>
      </c>
      <c r="L2140" s="857" t="s">
        <v>1956</v>
      </c>
    </row>
    <row r="2141" spans="1:40" ht="13.5" customHeight="1" x14ac:dyDescent="0.2">
      <c r="A2141" s="1758"/>
      <c r="B2141" s="1347">
        <f>IF(B219&lt;1.15,8,9)</f>
        <v>9</v>
      </c>
      <c r="C2141" s="1753"/>
      <c r="D2141" s="1753"/>
      <c r="E2141" s="1753"/>
      <c r="F2141" s="1753"/>
      <c r="G2141" s="1753"/>
      <c r="K2141" s="857">
        <v>1</v>
      </c>
      <c r="L2141" s="857">
        <v>1</v>
      </c>
    </row>
    <row r="2142" spans="1:40" ht="26.25" thickBot="1" x14ac:dyDescent="0.25">
      <c r="A2142" s="1759" t="s">
        <v>1957</v>
      </c>
      <c r="B2142" s="239">
        <f>IF(B219&lt;1.03,1,IF(B219&lt;1.08,2,IF(B219&lt;1.15,3,IF(B219&lt;1.22,4,IF(B219&lt;1.29,5,IF(B219&lt;1.36,6,IF(B219&lt;1.45,7,B2143)))))))</f>
        <v>9</v>
      </c>
      <c r="C2142" s="1760"/>
      <c r="D2142" s="1760"/>
      <c r="E2142" s="1760"/>
      <c r="F2142" s="1760"/>
      <c r="G2142" s="1760"/>
      <c r="K2142" s="857">
        <v>2</v>
      </c>
      <c r="L2142" s="857">
        <v>0.95</v>
      </c>
    </row>
    <row r="2143" spans="1:40" ht="14.25" customHeight="1" thickBot="1" x14ac:dyDescent="0.25">
      <c r="A2143" s="1276"/>
      <c r="B2143" s="1277">
        <f>IF(B219&lt;1.56,8,9)</f>
        <v>9</v>
      </c>
      <c r="C2143" s="1760"/>
      <c r="D2143" s="1760"/>
      <c r="E2143" s="1760"/>
      <c r="F2143" s="1760"/>
      <c r="G2143" s="1760"/>
      <c r="K2143" s="857">
        <v>3</v>
      </c>
      <c r="L2143" s="857">
        <v>0.9</v>
      </c>
      <c r="AH2143" s="4655" t="s">
        <v>3907</v>
      </c>
      <c r="AI2143" s="4656"/>
      <c r="AJ2143" s="4656"/>
      <c r="AK2143" s="4656"/>
      <c r="AL2143" s="4656"/>
      <c r="AM2143" s="4656"/>
      <c r="AN2143" s="4657"/>
    </row>
    <row r="2144" spans="1:40" x14ac:dyDescent="0.2">
      <c r="A2144" s="1761" t="s">
        <v>3908</v>
      </c>
      <c r="C2144" s="1347"/>
      <c r="D2144" s="1347"/>
      <c r="E2144" s="1347"/>
      <c r="F2144" s="1347"/>
      <c r="G2144" s="1347"/>
      <c r="K2144" s="857">
        <v>4</v>
      </c>
      <c r="L2144" s="857">
        <v>0.85</v>
      </c>
      <c r="AH2144" s="218" t="s">
        <v>3909</v>
      </c>
    </row>
    <row r="2145" spans="1:40" ht="15" customHeight="1" x14ac:dyDescent="0.2">
      <c r="A2145" s="857" t="s">
        <v>3910</v>
      </c>
      <c r="B2145" s="899">
        <f>IF(B232&lt;16,1,IF(B232&lt;21,0.95,0.9))</f>
        <v>0.9</v>
      </c>
      <c r="C2145" s="1347"/>
      <c r="D2145" s="1347"/>
      <c r="E2145" s="1347"/>
      <c r="F2145" s="1347"/>
      <c r="G2145" s="1347"/>
      <c r="AH2145" s="1367" t="s">
        <v>3911</v>
      </c>
      <c r="AI2145" s="8">
        <f>IF(B257=1,0.7,1)</f>
        <v>0.7</v>
      </c>
      <c r="AJ2145" s="8">
        <f>IF(C135=1,0.7,1)</f>
        <v>1</v>
      </c>
      <c r="AK2145" s="8">
        <f>IF(D135=1,0.7,1)</f>
        <v>1</v>
      </c>
      <c r="AL2145" s="8">
        <f>IF(E135=1,0.7,1)</f>
        <v>1</v>
      </c>
      <c r="AM2145" s="8">
        <f>IF(F135=1,0.7,1)</f>
        <v>1</v>
      </c>
      <c r="AN2145" s="8">
        <f>IF(G135=1,0.7,1)</f>
        <v>1</v>
      </c>
    </row>
    <row r="2146" spans="1:40" ht="27" x14ac:dyDescent="0.35">
      <c r="A2146" s="857" t="s">
        <v>3912</v>
      </c>
      <c r="B2146" s="899">
        <f>IF(AND(B235=1,B237=3),0.95,IF(AND(B235=1,B237=2),0.97,1))</f>
        <v>0.95</v>
      </c>
      <c r="C2146" s="239"/>
      <c r="D2146" s="239"/>
      <c r="E2146" s="239"/>
      <c r="F2146" s="239"/>
      <c r="G2146" s="239"/>
      <c r="J2146" s="1762" t="s">
        <v>3913</v>
      </c>
      <c r="K2146" s="1762"/>
      <c r="L2146" s="1762"/>
      <c r="M2146" s="1762"/>
      <c r="N2146" s="1762"/>
      <c r="O2146" s="1762"/>
      <c r="P2146" s="1762"/>
    </row>
    <row r="2147" spans="1:40" x14ac:dyDescent="0.2">
      <c r="A2147" s="857" t="s">
        <v>3914</v>
      </c>
      <c r="B2147" s="899">
        <f>IF(B231=2,0.95,1)</f>
        <v>1</v>
      </c>
      <c r="C2147" s="239"/>
      <c r="D2147" s="239"/>
      <c r="E2147" s="239"/>
      <c r="F2147" s="239"/>
      <c r="G2147" s="239"/>
      <c r="U2147" s="1036" t="s">
        <v>3915</v>
      </c>
      <c r="V2147" s="1036"/>
    </row>
    <row r="2148" spans="1:40" ht="12.75" customHeight="1" x14ac:dyDescent="0.2">
      <c r="A2148" s="857" t="s">
        <v>2373</v>
      </c>
      <c r="B2148" s="899">
        <f>IF(AND(B228=2,B227&lt;6),0.78,IF(AND(B228=2,B227&gt;5),0.75,IF(B228=3,0.84,IF(B228=4,0.9,1))))</f>
        <v>1</v>
      </c>
      <c r="C2148" s="239"/>
      <c r="D2148" s="239"/>
      <c r="E2148" s="239"/>
      <c r="F2148" s="239"/>
      <c r="G2148" s="239"/>
      <c r="R2148" s="4660" t="s">
        <v>2374</v>
      </c>
      <c r="S2148" s="4660"/>
      <c r="T2148" s="4660"/>
      <c r="U2148" s="4660"/>
      <c r="V2148" s="4660"/>
      <c r="AK2148" s="8" t="e">
        <v>#REF!</v>
      </c>
      <c r="AL2148" s="8" t="e">
        <v>#REF!</v>
      </c>
      <c r="AM2148" s="8" t="e">
        <v>#REF!</v>
      </c>
      <c r="AN2148" s="8" t="e">
        <v>#REF!</v>
      </c>
    </row>
    <row r="2149" spans="1:40" ht="25.5" customHeight="1" x14ac:dyDescent="0.2">
      <c r="A2149" s="1740" t="s">
        <v>2375</v>
      </c>
      <c r="B2149" s="899">
        <f>IF(OR(B223=1,B223=2),0.92,1)</f>
        <v>1</v>
      </c>
      <c r="C2149" s="1164"/>
      <c r="D2149" s="1164"/>
      <c r="E2149" s="1164"/>
      <c r="F2149" s="1164"/>
      <c r="G2149" s="1164"/>
      <c r="N2149" s="8" t="s">
        <v>3021</v>
      </c>
      <c r="Q2149" s="4658" t="s">
        <v>1441</v>
      </c>
      <c r="R2149" s="4658" t="s">
        <v>3313</v>
      </c>
      <c r="S2149" s="1193" t="s">
        <v>2376</v>
      </c>
      <c r="T2149" s="1069"/>
      <c r="U2149" s="1763"/>
      <c r="V2149" s="857"/>
      <c r="Z2149" s="1347"/>
      <c r="AA2149" s="1347"/>
      <c r="AB2149" s="1347"/>
      <c r="AC2149" s="1347"/>
      <c r="AD2149" s="1347"/>
      <c r="AK2149" s="8" t="e">
        <f>IF(#REF!&lt;0.6,1,IF(AND(#REF!&gt;0.6,#REF!&lt;0.91),2,IF(AND(#REF!&gt;0.9,#REF!&lt;1.26),3,IF(AND(#REF!&gt;1.25,#REF!&lt;1.61),4,5))))</f>
        <v>#REF!</v>
      </c>
      <c r="AL2149" s="8" t="e">
        <f>IF(#REF!&lt;0.6,1,IF(AND(#REF!&gt;0.6,#REF!&lt;0.91),2,IF(AND(#REF!&gt;0.9,#REF!&lt;1.26),3,IF(AND(#REF!&gt;1.25,#REF!&lt;1.61),4,5))))</f>
        <v>#REF!</v>
      </c>
      <c r="AM2149" s="8" t="e">
        <f>IF(#REF!&lt;0.6,1,IF(AND(#REF!&gt;0.6,#REF!&lt;0.91),2,IF(AND(#REF!&gt;0.9,#REF!&lt;1.26),3,IF(AND(#REF!&gt;1.25,#REF!&lt;1.61),4,5))))</f>
        <v>#REF!</v>
      </c>
      <c r="AN2149" s="8" t="e">
        <f>IF(#REF!&lt;0.6,1,IF(AND(#REF!&gt;0.6,#REF!&lt;0.91),2,IF(AND(#REF!&gt;0.9,#REF!&lt;1.26),3,IF(AND(#REF!&gt;1.25,#REF!&lt;1.61),4,5))))</f>
        <v>#REF!</v>
      </c>
    </row>
    <row r="2150" spans="1:40" ht="29.25" customHeight="1" x14ac:dyDescent="0.2">
      <c r="A2150" s="1764" t="s">
        <v>2377</v>
      </c>
      <c r="B2150" s="1755">
        <f>B2145*B2146*B2147*B2148*B2149</f>
        <v>0.85499999999999998</v>
      </c>
      <c r="C2150" s="1164"/>
      <c r="D2150" s="1164"/>
      <c r="E2150" s="1164"/>
      <c r="F2150" s="1164"/>
      <c r="G2150" s="1164"/>
      <c r="J2150" s="4660" t="s">
        <v>5117</v>
      </c>
      <c r="K2150" s="4660"/>
      <c r="L2150" s="4660"/>
      <c r="M2150" s="4660"/>
      <c r="N2150" s="4660"/>
      <c r="O2150" s="4660"/>
      <c r="Q2150" s="4659"/>
      <c r="R2150" s="4659"/>
      <c r="S2150" s="1740" t="s">
        <v>5123</v>
      </c>
      <c r="T2150" s="1740" t="s">
        <v>5124</v>
      </c>
      <c r="U2150" s="1740" t="s">
        <v>5125</v>
      </c>
      <c r="V2150" s="857" t="s">
        <v>2490</v>
      </c>
      <c r="Z2150" s="1347"/>
      <c r="AA2150" s="1347"/>
      <c r="AB2150" s="1347"/>
      <c r="AC2150" s="1347"/>
      <c r="AD2150" s="1347"/>
      <c r="AK2150" s="1766" t="e">
        <f>(#REF!/(#REF!*#REF!*#REF!))/#REF!</f>
        <v>#REF!</v>
      </c>
      <c r="AL2150" s="1766" t="e">
        <f>(#REF!/(#REF!*#REF!*#REF!))/#REF!</f>
        <v>#REF!</v>
      </c>
      <c r="AM2150" s="1766" t="e">
        <f>(#REF!/(#REF!*#REF!*#REF!))/#REF!</f>
        <v>#REF!</v>
      </c>
      <c r="AN2150" s="1766" t="e">
        <f>(#REF!/(#REF!*#REF!*#REF!))/#REF!</f>
        <v>#REF!</v>
      </c>
    </row>
    <row r="2151" spans="1:40" ht="12.75" customHeight="1" x14ac:dyDescent="0.2">
      <c r="A2151" s="1754" t="s">
        <v>2378</v>
      </c>
      <c r="B2151" s="1755" t="e">
        <f>B2132*B2150</f>
        <v>#VALUE!</v>
      </c>
      <c r="C2151" s="1164"/>
      <c r="D2151" s="1164"/>
      <c r="E2151" s="1164"/>
      <c r="F2151" s="1164"/>
      <c r="G2151" s="1164"/>
      <c r="J2151" s="4661" t="s">
        <v>1441</v>
      </c>
      <c r="K2151" s="4661" t="s">
        <v>3313</v>
      </c>
      <c r="L2151" s="4663" t="s">
        <v>1431</v>
      </c>
      <c r="M2151" s="4664"/>
      <c r="N2151" s="4665"/>
      <c r="O2151" s="857"/>
      <c r="Q2151" s="1765"/>
      <c r="R2151" s="1765"/>
      <c r="S2151" s="1740"/>
      <c r="T2151" s="1740"/>
      <c r="U2151" s="1740"/>
      <c r="V2151" s="857"/>
      <c r="Z2151" s="1347"/>
      <c r="AA2151" s="1347"/>
      <c r="AB2151" s="1347"/>
      <c r="AC2151" s="1347"/>
      <c r="AD2151" s="1347"/>
      <c r="AK2151" s="8" t="e">
        <f t="shared" ref="AK2151:AN2152" si="7">$AI$2150*D127*$B$219*$B$221</f>
        <v>#VALUE!</v>
      </c>
      <c r="AL2151" s="8" t="e">
        <f t="shared" si="7"/>
        <v>#VALUE!</v>
      </c>
      <c r="AM2151" s="8" t="e">
        <f t="shared" si="7"/>
        <v>#VALUE!</v>
      </c>
      <c r="AN2151" s="8" t="e">
        <f t="shared" si="7"/>
        <v>#VALUE!</v>
      </c>
    </row>
    <row r="2152" spans="1:40" ht="51" x14ac:dyDescent="0.2">
      <c r="A2152" s="1764" t="s">
        <v>269</v>
      </c>
      <c r="B2152" s="1755" t="e">
        <f>B2138*B2151</f>
        <v>#VALUE!</v>
      </c>
      <c r="C2152" s="1164"/>
      <c r="D2152" s="1164"/>
      <c r="E2152" s="1164"/>
      <c r="F2152" s="1164"/>
      <c r="G2152" s="1164"/>
      <c r="J2152" s="4662"/>
      <c r="K2152" s="4662"/>
      <c r="L2152" s="1740" t="s">
        <v>5123</v>
      </c>
      <c r="M2152" s="1740" t="s">
        <v>5124</v>
      </c>
      <c r="N2152" s="1740" t="s">
        <v>5125</v>
      </c>
      <c r="O2152" s="857" t="s">
        <v>2490</v>
      </c>
      <c r="Q2152" s="857" t="s">
        <v>2846</v>
      </c>
      <c r="R2152" s="857">
        <v>141</v>
      </c>
      <c r="S2152" s="857">
        <v>127</v>
      </c>
      <c r="T2152" s="857">
        <v>63.6</v>
      </c>
      <c r="U2152" s="857">
        <v>43.3</v>
      </c>
      <c r="V2152" s="857">
        <v>1</v>
      </c>
      <c r="Z2152" s="1347"/>
      <c r="AA2152" s="1347"/>
      <c r="AB2152" s="1347"/>
      <c r="AC2152" s="1347"/>
      <c r="AD2152" s="1347"/>
      <c r="AK2152" s="8" t="e">
        <f t="shared" si="7"/>
        <v>#VALUE!</v>
      </c>
      <c r="AL2152" s="8" t="e">
        <f t="shared" si="7"/>
        <v>#VALUE!</v>
      </c>
      <c r="AM2152" s="8" t="e">
        <f t="shared" si="7"/>
        <v>#VALUE!</v>
      </c>
      <c r="AN2152" s="8" t="e">
        <f t="shared" si="7"/>
        <v>#VALUE!</v>
      </c>
    </row>
    <row r="2153" spans="1:40" ht="25.5" x14ac:dyDescent="0.2">
      <c r="A2153" s="1764" t="s">
        <v>2847</v>
      </c>
      <c r="B2153" s="1755">
        <f>B2139</f>
        <v>5.8570000000000002</v>
      </c>
      <c r="C2153" s="1164"/>
      <c r="D2153" s="1164"/>
      <c r="E2153" s="1164"/>
      <c r="F2153" s="1164"/>
      <c r="G2153" s="1164"/>
      <c r="J2153" s="1767"/>
      <c r="K2153" s="1767"/>
      <c r="L2153" s="1740"/>
      <c r="M2153" s="1740"/>
      <c r="N2153" s="1740"/>
      <c r="O2153" s="857"/>
      <c r="Q2153" s="857" t="s">
        <v>2821</v>
      </c>
      <c r="R2153" s="857">
        <v>136</v>
      </c>
      <c r="S2153" s="857">
        <v>121</v>
      </c>
      <c r="T2153" s="857">
        <v>61.3</v>
      </c>
      <c r="U2153" s="857">
        <v>41.7</v>
      </c>
      <c r="V2153" s="857">
        <v>2</v>
      </c>
      <c r="Z2153" s="1347"/>
      <c r="AA2153" s="1347"/>
      <c r="AB2153" s="1347"/>
      <c r="AC2153" s="1347"/>
      <c r="AD2153" s="1347"/>
    </row>
    <row r="2154" spans="1:40" ht="35.25" customHeight="1" x14ac:dyDescent="0.2">
      <c r="A2154" s="1768" t="s">
        <v>2724</v>
      </c>
      <c r="B2154" s="1769" t="e">
        <f>((B244/B2114)*B2153)/B2152</f>
        <v>#VALUE!</v>
      </c>
      <c r="C2154" s="1760"/>
      <c r="D2154" s="1760"/>
      <c r="E2154" s="1760"/>
      <c r="F2154" s="1760"/>
      <c r="G2154" s="1760"/>
      <c r="J2154" s="857" t="s">
        <v>5128</v>
      </c>
      <c r="K2154" s="857">
        <v>146</v>
      </c>
      <c r="L2154" s="857">
        <v>118</v>
      </c>
      <c r="M2154" s="857">
        <v>65</v>
      </c>
      <c r="N2154" s="857">
        <v>44.9</v>
      </c>
      <c r="O2154" s="857">
        <v>1</v>
      </c>
      <c r="Q2154" s="857" t="s">
        <v>2725</v>
      </c>
      <c r="R2154" s="857">
        <v>130</v>
      </c>
      <c r="S2154" s="857">
        <v>113</v>
      </c>
      <c r="T2154" s="857">
        <v>57.6</v>
      </c>
      <c r="U2154" s="857">
        <v>39.299999999999997</v>
      </c>
      <c r="V2154" s="857">
        <v>3</v>
      </c>
      <c r="Z2154" s="1347"/>
      <c r="AA2154" s="1347"/>
      <c r="AB2154" s="1347"/>
      <c r="AC2154" s="1347"/>
      <c r="AD2154" s="1347"/>
      <c r="AK2154" s="8" t="e">
        <f>(AK2151+AK2152)/AK2148</f>
        <v>#VALUE!</v>
      </c>
      <c r="AL2154" s="8" t="e">
        <f>(AL2151+AL2152)/AL2148</f>
        <v>#VALUE!</v>
      </c>
      <c r="AM2154" s="8" t="e">
        <f>(AM2151+AM2152)/AM2148</f>
        <v>#VALUE!</v>
      </c>
      <c r="AN2154" s="8" t="e">
        <f>(AN2151+AN2152)/AN2148</f>
        <v>#VALUE!</v>
      </c>
    </row>
    <row r="2155" spans="1:40" ht="33" customHeight="1" x14ac:dyDescent="0.2">
      <c r="A2155" s="1746" t="s">
        <v>2726</v>
      </c>
      <c r="B2155" s="1164">
        <v>1</v>
      </c>
      <c r="C2155" s="1760"/>
      <c r="D2155" s="1760"/>
      <c r="E2155" s="1760"/>
      <c r="F2155" s="1760"/>
      <c r="G2155" s="1760"/>
      <c r="J2155" s="857" t="s">
        <v>4803</v>
      </c>
      <c r="K2155" s="857">
        <v>142</v>
      </c>
      <c r="L2155" s="857">
        <v>112</v>
      </c>
      <c r="M2155" s="857">
        <v>62.6</v>
      </c>
      <c r="N2155" s="857">
        <v>43.4</v>
      </c>
      <c r="O2155" s="857">
        <v>2</v>
      </c>
      <c r="Q2155" s="857" t="s">
        <v>2727</v>
      </c>
      <c r="R2155" s="857">
        <v>124</v>
      </c>
      <c r="S2155" s="857">
        <v>105</v>
      </c>
      <c r="T2155" s="857">
        <v>54.2</v>
      </c>
      <c r="U2155" s="857">
        <v>37</v>
      </c>
      <c r="V2155" s="857">
        <v>4</v>
      </c>
      <c r="Z2155" s="1347"/>
      <c r="AA2155" s="1347"/>
      <c r="AB2155" s="1347"/>
      <c r="AC2155" s="1347"/>
      <c r="AD2155" s="1347"/>
    </row>
    <row r="2156" spans="1:40" ht="27" customHeight="1" x14ac:dyDescent="0.2">
      <c r="A2156" s="1746" t="s">
        <v>2728</v>
      </c>
      <c r="B2156" s="1164" t="e">
        <f>B2154-B2155</f>
        <v>#VALUE!</v>
      </c>
      <c r="C2156" s="1760"/>
      <c r="D2156" s="1760"/>
      <c r="E2156" s="1760"/>
      <c r="F2156" s="1760"/>
      <c r="G2156" s="1760"/>
      <c r="J2156" s="857" t="s">
        <v>5443</v>
      </c>
      <c r="K2156" s="857">
        <v>137</v>
      </c>
      <c r="L2156" s="857">
        <v>105</v>
      </c>
      <c r="M2156" s="857">
        <v>59.5</v>
      </c>
      <c r="N2156" s="857">
        <v>41.4</v>
      </c>
      <c r="O2156" s="857">
        <v>3</v>
      </c>
      <c r="Q2156" s="857" t="s">
        <v>2729</v>
      </c>
      <c r="R2156" s="857">
        <v>117</v>
      </c>
      <c r="S2156" s="857">
        <v>98.3</v>
      </c>
      <c r="T2156" s="857">
        <v>50.8</v>
      </c>
      <c r="U2156" s="857">
        <v>35</v>
      </c>
      <c r="V2156" s="857">
        <v>5</v>
      </c>
      <c r="Z2156" s="1347"/>
      <c r="AA2156" s="1347"/>
      <c r="AB2156" s="1347"/>
      <c r="AC2156" s="1347"/>
      <c r="AD2156" s="1347"/>
    </row>
    <row r="2157" spans="1:40" x14ac:dyDescent="0.2">
      <c r="A2157" s="1770" t="s">
        <v>2364</v>
      </c>
      <c r="B2157" s="1771" t="e">
        <f>IF(B244&gt;=1000,2,1)</f>
        <v>#VALUE!</v>
      </c>
      <c r="C2157" s="1760"/>
      <c r="D2157" s="1760"/>
      <c r="E2157" s="1760"/>
      <c r="F2157" s="1760"/>
      <c r="G2157" s="1760"/>
      <c r="J2157" s="857" t="s">
        <v>2214</v>
      </c>
      <c r="K2157" s="857">
        <v>132</v>
      </c>
      <c r="L2157" s="857">
        <v>98.8</v>
      </c>
      <c r="M2157" s="857">
        <v>56.6</v>
      </c>
      <c r="N2157" s="857">
        <v>39.6</v>
      </c>
      <c r="O2157" s="857">
        <v>4</v>
      </c>
      <c r="Q2157" s="857" t="s">
        <v>2365</v>
      </c>
      <c r="R2157" s="857">
        <v>111</v>
      </c>
      <c r="S2157" s="857">
        <v>92</v>
      </c>
      <c r="T2157" s="857">
        <v>47.8</v>
      </c>
      <c r="U2157" s="857">
        <v>32.9</v>
      </c>
      <c r="V2157" s="857">
        <v>6</v>
      </c>
      <c r="Z2157" s="4666"/>
      <c r="AA2157" s="4666"/>
      <c r="AB2157" s="4666"/>
      <c r="AC2157" s="4666"/>
      <c r="AD2157" s="4666"/>
    </row>
    <row r="2158" spans="1:40" x14ac:dyDescent="0.2">
      <c r="A2158" s="1772" t="s">
        <v>3108</v>
      </c>
      <c r="B2158" s="1736">
        <f>IF(B225&gt;=3,2,3)</f>
        <v>3</v>
      </c>
      <c r="C2158" s="239"/>
      <c r="D2158" s="239"/>
      <c r="E2158" s="239"/>
      <c r="F2158" s="239"/>
      <c r="G2158" s="239"/>
      <c r="J2158" s="857" t="s">
        <v>4339</v>
      </c>
      <c r="K2158" s="857">
        <v>128</v>
      </c>
      <c r="L2158" s="857">
        <v>92.9</v>
      </c>
      <c r="M2158" s="857">
        <v>53.8</v>
      </c>
      <c r="N2158" s="857">
        <v>37.799999999999997</v>
      </c>
      <c r="O2158" s="857">
        <v>5</v>
      </c>
      <c r="Q2158" s="857" t="s">
        <v>2366</v>
      </c>
      <c r="R2158" s="857">
        <v>106</v>
      </c>
      <c r="S2158" s="857">
        <v>85.8</v>
      </c>
      <c r="T2158" s="857">
        <v>44.9</v>
      </c>
      <c r="U2158" s="857">
        <v>31</v>
      </c>
      <c r="V2158" s="857">
        <v>7</v>
      </c>
      <c r="Z2158" s="239"/>
      <c r="AA2158" s="239"/>
      <c r="AB2158" s="239"/>
      <c r="AC2158" s="239"/>
      <c r="AD2158" s="239"/>
    </row>
    <row r="2159" spans="1:40" x14ac:dyDescent="0.2">
      <c r="A2159" s="1772" t="s">
        <v>2367</v>
      </c>
      <c r="B2159" s="1736" t="e">
        <f>(B2155+B2156+B2157)*B2158</f>
        <v>#VALUE!</v>
      </c>
      <c r="C2159" s="1760"/>
      <c r="D2159" s="1760"/>
      <c r="E2159" s="1760"/>
      <c r="F2159" s="1760"/>
      <c r="G2159" s="1760"/>
      <c r="J2159" s="857" t="s">
        <v>3372</v>
      </c>
      <c r="K2159" s="857">
        <v>122</v>
      </c>
      <c r="L2159" s="857">
        <v>87.2</v>
      </c>
      <c r="M2159" s="857">
        <v>51</v>
      </c>
      <c r="N2159" s="857">
        <v>36</v>
      </c>
      <c r="O2159" s="857">
        <v>6</v>
      </c>
      <c r="Q2159" s="857" t="s">
        <v>2368</v>
      </c>
      <c r="R2159" s="857">
        <v>99.8</v>
      </c>
      <c r="S2159" s="857">
        <v>80</v>
      </c>
      <c r="T2159" s="857">
        <v>42.1</v>
      </c>
      <c r="U2159" s="857">
        <v>29.1</v>
      </c>
      <c r="V2159" s="857">
        <v>8</v>
      </c>
      <c r="Z2159" s="239"/>
      <c r="AA2159" s="239"/>
      <c r="AB2159" s="239"/>
      <c r="AC2159" s="239"/>
      <c r="AD2159" s="239"/>
    </row>
    <row r="2160" spans="1:40" x14ac:dyDescent="0.2">
      <c r="A2160" s="1773" t="s">
        <v>2369</v>
      </c>
      <c r="B2160" s="1774"/>
      <c r="C2160" s="1164"/>
      <c r="D2160" s="1164"/>
      <c r="E2160" s="1164"/>
      <c r="F2160" s="1164"/>
      <c r="G2160" s="1164"/>
      <c r="J2160" s="857" t="s">
        <v>5428</v>
      </c>
      <c r="K2160" s="857">
        <v>118</v>
      </c>
      <c r="L2160" s="857">
        <v>81.900000000000006</v>
      </c>
      <c r="M2160" s="857">
        <v>48.4</v>
      </c>
      <c r="N2160" s="857">
        <v>34.299999999999997</v>
      </c>
      <c r="O2160" s="857">
        <v>7</v>
      </c>
      <c r="Q2160" s="857" t="s">
        <v>2370</v>
      </c>
      <c r="R2160" s="857">
        <v>94.4</v>
      </c>
      <c r="S2160" s="857">
        <v>74.400000000000006</v>
      </c>
      <c r="T2160" s="857">
        <v>39.4</v>
      </c>
      <c r="U2160" s="857">
        <v>27.3</v>
      </c>
      <c r="V2160" s="857">
        <v>9</v>
      </c>
      <c r="Z2160" s="239"/>
      <c r="AA2160" s="239"/>
      <c r="AB2160" s="239"/>
      <c r="AC2160" s="239"/>
      <c r="AD2160" s="239"/>
    </row>
    <row r="2161" spans="1:30" x14ac:dyDescent="0.2">
      <c r="A2161" s="1773" t="s">
        <v>2371</v>
      </c>
      <c r="B2161" s="1774"/>
      <c r="C2161" s="1164"/>
      <c r="D2161" s="1164"/>
      <c r="E2161" s="1164"/>
      <c r="F2161" s="1164"/>
      <c r="G2161" s="1164"/>
      <c r="J2161" s="857" t="s">
        <v>4256</v>
      </c>
      <c r="K2161" s="857">
        <v>113</v>
      </c>
      <c r="L2161" s="857">
        <v>76.8</v>
      </c>
      <c r="M2161" s="857">
        <v>45.8</v>
      </c>
      <c r="N2161" s="857">
        <v>32.6</v>
      </c>
      <c r="O2161" s="857">
        <v>8</v>
      </c>
      <c r="Q2161" s="857" t="s">
        <v>2372</v>
      </c>
      <c r="R2161" s="857">
        <v>88.8</v>
      </c>
      <c r="S2161" s="857">
        <v>69</v>
      </c>
      <c r="T2161" s="857">
        <v>36.700000000000003</v>
      </c>
      <c r="U2161" s="857">
        <v>25.6</v>
      </c>
      <c r="V2161" s="857">
        <v>10</v>
      </c>
      <c r="Z2161" s="239"/>
      <c r="AA2161" s="239"/>
      <c r="AB2161" s="239"/>
      <c r="AC2161" s="239"/>
      <c r="AD2161" s="239"/>
    </row>
    <row r="2162" spans="1:30" x14ac:dyDescent="0.2">
      <c r="A2162" s="1737" t="s">
        <v>4437</v>
      </c>
      <c r="B2162" s="1736">
        <f>B2122</f>
        <v>23</v>
      </c>
      <c r="C2162" s="227"/>
      <c r="D2162" s="227"/>
      <c r="E2162" s="227"/>
      <c r="F2162" s="227"/>
      <c r="G2162" s="227"/>
      <c r="J2162" s="857" t="s">
        <v>5228</v>
      </c>
      <c r="K2162" s="857">
        <v>109</v>
      </c>
      <c r="L2162" s="857">
        <v>72.099999999999994</v>
      </c>
      <c r="M2162" s="857">
        <v>43.4</v>
      </c>
      <c r="N2162" s="857">
        <v>31</v>
      </c>
      <c r="O2162" s="857">
        <v>9</v>
      </c>
      <c r="Q2162" s="857" t="s">
        <v>771</v>
      </c>
      <c r="R2162" s="857">
        <v>83.6</v>
      </c>
      <c r="S2162" s="857">
        <v>64</v>
      </c>
      <c r="T2162" s="857">
        <v>34.200000000000003</v>
      </c>
      <c r="U2162" s="857">
        <v>23.9</v>
      </c>
      <c r="V2162" s="857">
        <v>11</v>
      </c>
      <c r="Z2162" s="239"/>
      <c r="AA2162" s="239"/>
      <c r="AB2162" s="239"/>
      <c r="AC2162" s="239"/>
      <c r="AD2162" s="239"/>
    </row>
    <row r="2163" spans="1:30" x14ac:dyDescent="0.2">
      <c r="A2163" s="1772" t="s">
        <v>772</v>
      </c>
      <c r="B2163" s="1736" t="e">
        <f>B244</f>
        <v>#VALUE!</v>
      </c>
      <c r="C2163" s="227"/>
      <c r="D2163" s="227"/>
      <c r="E2163" s="227"/>
      <c r="F2163" s="227"/>
      <c r="G2163" s="227"/>
      <c r="J2163" s="857" t="s">
        <v>5233</v>
      </c>
      <c r="K2163" s="857">
        <v>104</v>
      </c>
      <c r="L2163" s="857">
        <v>67.599999999999994</v>
      </c>
      <c r="M2163" s="857">
        <v>41</v>
      </c>
      <c r="N2163" s="857">
        <v>29.5</v>
      </c>
      <c r="O2163" s="857">
        <v>10</v>
      </c>
      <c r="Q2163" s="857" t="s">
        <v>773</v>
      </c>
      <c r="R2163" s="857">
        <v>78.599999999999994</v>
      </c>
      <c r="S2163" s="857">
        <v>59.6</v>
      </c>
      <c r="T2163" s="857">
        <v>32</v>
      </c>
      <c r="U2163" s="857">
        <v>22.4</v>
      </c>
      <c r="V2163" s="857">
        <v>12</v>
      </c>
      <c r="Z2163" s="239"/>
      <c r="AA2163" s="239"/>
      <c r="AB2163" s="239"/>
      <c r="AC2163" s="239"/>
      <c r="AD2163" s="239"/>
    </row>
    <row r="2164" spans="1:30" ht="25.5" x14ac:dyDescent="0.2">
      <c r="A2164" s="1775" t="s">
        <v>774</v>
      </c>
      <c r="B2164" s="1776" t="e">
        <f>B2162*B2163</f>
        <v>#VALUE!</v>
      </c>
      <c r="C2164" s="227"/>
      <c r="D2164" s="227"/>
      <c r="E2164" s="227"/>
      <c r="F2164" s="227"/>
      <c r="G2164" s="227"/>
      <c r="J2164" s="1740" t="s">
        <v>4070</v>
      </c>
      <c r="K2164" s="857">
        <v>99.5</v>
      </c>
      <c r="L2164" s="857">
        <v>62.8</v>
      </c>
      <c r="M2164" s="857">
        <v>38.5</v>
      </c>
      <c r="N2164" s="857">
        <v>27.8</v>
      </c>
      <c r="O2164" s="857">
        <v>11</v>
      </c>
      <c r="Q2164" s="1740" t="s">
        <v>775</v>
      </c>
      <c r="R2164" s="857">
        <v>72</v>
      </c>
      <c r="S2164" s="857">
        <v>53.7</v>
      </c>
      <c r="T2164" s="857">
        <v>29</v>
      </c>
      <c r="U2164" s="857">
        <v>20.3</v>
      </c>
      <c r="V2164" s="857">
        <v>13</v>
      </c>
      <c r="Z2164" s="239"/>
      <c r="AA2164" s="239"/>
      <c r="AB2164" s="239"/>
      <c r="AC2164" s="239"/>
      <c r="AD2164" s="239"/>
    </row>
    <row r="2165" spans="1:30" x14ac:dyDescent="0.2">
      <c r="A2165" s="1777" t="s">
        <v>776</v>
      </c>
      <c r="B2165" s="1778">
        <f>B2158</f>
        <v>3</v>
      </c>
      <c r="C2165" s="227"/>
      <c r="D2165" s="227"/>
      <c r="E2165" s="227"/>
      <c r="F2165" s="227"/>
      <c r="G2165" s="227"/>
      <c r="J2165" s="239"/>
      <c r="K2165" s="239"/>
      <c r="Q2165" s="46"/>
      <c r="R2165" s="46"/>
      <c r="S2165" s="46"/>
      <c r="T2165" s="46"/>
      <c r="U2165" s="46"/>
      <c r="V2165" s="46"/>
      <c r="Z2165" s="239"/>
      <c r="AA2165" s="239"/>
      <c r="AB2165" s="239"/>
      <c r="AC2165" s="239"/>
      <c r="AD2165" s="239"/>
    </row>
    <row r="2166" spans="1:30" x14ac:dyDescent="0.2">
      <c r="A2166" s="1779" t="s">
        <v>777</v>
      </c>
      <c r="B2166" s="1276">
        <v>12</v>
      </c>
      <c r="C2166" s="1780"/>
      <c r="D2166" s="1780"/>
      <c r="E2166" s="227"/>
      <c r="F2166" s="227"/>
      <c r="G2166" s="227"/>
      <c r="J2166" s="239"/>
      <c r="K2166" s="239"/>
      <c r="Q2166" s="46"/>
      <c r="R2166" s="46"/>
      <c r="S2166" s="46"/>
      <c r="T2166" s="46"/>
      <c r="U2166" s="46"/>
      <c r="V2166" s="46"/>
      <c r="Z2166" s="239"/>
      <c r="AA2166" s="239"/>
      <c r="AB2166" s="239"/>
      <c r="AC2166" s="239"/>
      <c r="AD2166" s="239"/>
    </row>
    <row r="2167" spans="1:30" x14ac:dyDescent="0.2">
      <c r="A2167" s="1781" t="s">
        <v>778</v>
      </c>
      <c r="B2167" s="1736">
        <v>14.04</v>
      </c>
      <c r="C2167" s="1780"/>
      <c r="D2167" s="1780"/>
      <c r="E2167" s="227"/>
      <c r="F2167" s="227"/>
      <c r="G2167" s="227"/>
      <c r="J2167" s="8" t="s">
        <v>779</v>
      </c>
      <c r="Q2167" s="46"/>
      <c r="R2167" s="46"/>
      <c r="S2167" s="46"/>
      <c r="T2167" s="46"/>
      <c r="U2167" s="46"/>
      <c r="V2167" s="46"/>
      <c r="Z2167" s="239"/>
      <c r="AA2167" s="239"/>
      <c r="AB2167" s="239"/>
      <c r="AC2167" s="239"/>
      <c r="AD2167" s="239"/>
    </row>
    <row r="2168" spans="1:30" ht="15.75" x14ac:dyDescent="0.25">
      <c r="A2168" s="1782" t="s">
        <v>780</v>
      </c>
      <c r="B2168" s="1783">
        <f>CEILING(B2167+B2169+4+1+1+1,1)</f>
        <v>22</v>
      </c>
      <c r="C2168" s="227"/>
      <c r="D2168" s="227"/>
      <c r="E2168" s="227"/>
      <c r="F2168" s="227"/>
      <c r="G2168" s="227"/>
      <c r="J2168" s="857" t="s">
        <v>781</v>
      </c>
      <c r="K2168" s="857" t="s">
        <v>782</v>
      </c>
      <c r="Q2168" s="46"/>
      <c r="R2168" s="46"/>
      <c r="S2168" s="46"/>
      <c r="T2168" s="46"/>
      <c r="U2168" s="46"/>
      <c r="V2168" s="46"/>
      <c r="Z2168" s="239"/>
      <c r="AA2168" s="239"/>
      <c r="AB2168" s="239"/>
      <c r="AC2168" s="239"/>
      <c r="AD2168" s="239"/>
    </row>
    <row r="2169" spans="1:30" ht="13.5" thickBot="1" x14ac:dyDescent="0.25">
      <c r="A2169" s="1347"/>
      <c r="B2169" s="227"/>
      <c r="C2169" s="227"/>
      <c r="D2169" s="227"/>
      <c r="E2169" s="227"/>
      <c r="F2169" s="227"/>
      <c r="G2169" s="227"/>
      <c r="J2169" s="857">
        <v>1</v>
      </c>
      <c r="K2169" s="857">
        <v>1</v>
      </c>
      <c r="Q2169" s="46"/>
      <c r="R2169" s="46"/>
      <c r="S2169" s="46"/>
      <c r="T2169" s="46"/>
      <c r="U2169" s="46"/>
      <c r="V2169" s="46"/>
      <c r="Z2169" s="239"/>
      <c r="AA2169" s="239"/>
      <c r="AB2169" s="239"/>
      <c r="AC2169" s="239"/>
      <c r="AD2169" s="239"/>
    </row>
    <row r="2170" spans="1:30" ht="15.75" x14ac:dyDescent="0.25">
      <c r="A2170" s="1784" t="s">
        <v>783</v>
      </c>
      <c r="B2170" s="1785"/>
      <c r="C2170" s="227"/>
      <c r="D2170" s="227"/>
      <c r="E2170" s="227"/>
      <c r="F2170" s="227"/>
      <c r="G2170" s="227"/>
      <c r="J2170" s="857">
        <v>2</v>
      </c>
      <c r="K2170" s="857">
        <v>0.95</v>
      </c>
      <c r="Q2170" s="41"/>
      <c r="R2170" s="41"/>
      <c r="S2170" s="41"/>
      <c r="T2170" s="41"/>
      <c r="U2170" s="41"/>
      <c r="V2170" s="41"/>
      <c r="Z2170" s="239"/>
      <c r="AA2170" s="239"/>
      <c r="AB2170" s="239"/>
      <c r="AC2170" s="239"/>
      <c r="AD2170" s="239"/>
    </row>
    <row r="2171" spans="1:30" ht="31.5" x14ac:dyDescent="0.25">
      <c r="A2171" s="1786" t="s">
        <v>784</v>
      </c>
      <c r="B2171" s="825"/>
      <c r="C2171" s="227"/>
      <c r="D2171" s="227"/>
      <c r="E2171" s="227"/>
      <c r="F2171" s="227"/>
      <c r="G2171" s="227"/>
      <c r="J2171" s="857">
        <v>3</v>
      </c>
      <c r="K2171" s="857">
        <v>0.9</v>
      </c>
      <c r="Z2171" s="239"/>
      <c r="AA2171" s="239"/>
      <c r="AB2171" s="239"/>
      <c r="AC2171" s="239"/>
      <c r="AD2171" s="239"/>
    </row>
    <row r="2172" spans="1:30" ht="63" x14ac:dyDescent="0.25">
      <c r="A2172" s="1787" t="s">
        <v>785</v>
      </c>
      <c r="B2172" s="1585">
        <f>B269</f>
        <v>2</v>
      </c>
      <c r="C2172" s="227"/>
      <c r="D2172" s="227"/>
      <c r="E2172" s="227"/>
      <c r="F2172" s="227"/>
      <c r="G2172" s="227"/>
      <c r="J2172" s="857">
        <v>4</v>
      </c>
      <c r="K2172" s="857">
        <v>0.85</v>
      </c>
    </row>
    <row r="2173" spans="1:30" ht="31.5" x14ac:dyDescent="0.25">
      <c r="A2173" s="1788" t="s">
        <v>5567</v>
      </c>
      <c r="B2173" s="1789">
        <v>1</v>
      </c>
      <c r="C2173" s="227"/>
      <c r="D2173" s="227"/>
      <c r="E2173" s="227"/>
      <c r="F2173" s="227"/>
      <c r="G2173" s="227"/>
      <c r="J2173" s="239"/>
      <c r="K2173" s="239"/>
    </row>
    <row r="2174" spans="1:30" ht="31.5" x14ac:dyDescent="0.2">
      <c r="A2174" s="1790" t="s">
        <v>786</v>
      </c>
      <c r="B2174" s="1404">
        <v>1</v>
      </c>
      <c r="C2174" s="1791"/>
      <c r="D2174" s="1791"/>
      <c r="E2174" s="1791"/>
      <c r="F2174" s="1791"/>
      <c r="G2174" s="1791"/>
      <c r="J2174" s="239"/>
      <c r="K2174" s="239"/>
    </row>
    <row r="2175" spans="1:30" ht="15.75" x14ac:dyDescent="0.2">
      <c r="A2175" s="1792" t="s">
        <v>1196</v>
      </c>
      <c r="B2175" s="1793"/>
      <c r="C2175" s="1791"/>
      <c r="D2175" s="1791"/>
      <c r="E2175" s="1791"/>
      <c r="F2175" s="1791"/>
      <c r="G2175" s="1791"/>
      <c r="J2175" s="239"/>
      <c r="K2175" s="239"/>
      <c r="Q2175" s="954"/>
      <c r="R2175" s="239"/>
      <c r="S2175" s="239"/>
      <c r="T2175" s="239"/>
      <c r="U2175" s="239"/>
      <c r="V2175" s="239"/>
    </row>
    <row r="2176" spans="1:30" ht="15.75" x14ac:dyDescent="0.25">
      <c r="A2176" s="1794"/>
      <c r="B2176" s="1795"/>
      <c r="C2176" s="227"/>
      <c r="D2176" s="227"/>
      <c r="E2176" s="227"/>
      <c r="F2176" s="227"/>
      <c r="G2176" s="227"/>
      <c r="J2176" s="239"/>
      <c r="K2176" s="239"/>
      <c r="Q2176" s="954"/>
      <c r="R2176" s="239"/>
      <c r="S2176" s="239"/>
      <c r="T2176" s="239"/>
      <c r="U2176" s="239"/>
      <c r="V2176" s="239"/>
    </row>
    <row r="2177" spans="1:24" ht="15.75" x14ac:dyDescent="0.25">
      <c r="A2177" s="1794" t="s">
        <v>1385</v>
      </c>
      <c r="B2177" s="1795">
        <f>IF(B2172=1,1705,IF(B2172=2,1041,IF(B2172=3,1377,IF(B2172=4,1388,IF(B2172=5,1244,IF(B2172=6,1768,IF(B2172=7,1414,IF(B2172=8,1135,0))))))))</f>
        <v>1041</v>
      </c>
      <c r="C2177" s="227"/>
      <c r="D2177" s="227"/>
      <c r="E2177" s="227"/>
      <c r="F2177" s="227"/>
      <c r="G2177" s="227"/>
      <c r="J2177" s="239"/>
      <c r="K2177" s="239"/>
      <c r="Q2177" s="954"/>
      <c r="R2177" s="239"/>
      <c r="S2177" s="239"/>
      <c r="T2177" s="239"/>
      <c r="U2177" s="239"/>
      <c r="V2177" s="239"/>
    </row>
    <row r="2178" spans="1:24" ht="15.75" x14ac:dyDescent="0.25">
      <c r="A2178" s="1788" t="s">
        <v>1386</v>
      </c>
      <c r="B2178" s="1796">
        <f>2.6</f>
        <v>2.6</v>
      </c>
      <c r="C2178" s="227"/>
      <c r="D2178" s="227"/>
      <c r="E2178" s="227"/>
      <c r="F2178" s="227"/>
      <c r="G2178" s="227"/>
      <c r="J2178" s="239"/>
      <c r="K2178" s="239"/>
      <c r="Q2178" s="954"/>
      <c r="R2178" s="239"/>
      <c r="S2178" s="239"/>
      <c r="T2178" s="239"/>
      <c r="U2178" s="239"/>
      <c r="V2178" s="239"/>
    </row>
    <row r="2179" spans="1:24" ht="25.5" customHeight="1" x14ac:dyDescent="0.25">
      <c r="A2179" s="1790" t="s">
        <v>1387</v>
      </c>
      <c r="B2179" s="1796">
        <f>1533</f>
        <v>1533</v>
      </c>
      <c r="C2179" s="227"/>
      <c r="D2179" s="227"/>
      <c r="E2179" s="227"/>
      <c r="F2179" s="227"/>
      <c r="G2179" s="227"/>
      <c r="J2179" s="239"/>
      <c r="K2179" s="239"/>
    </row>
    <row r="2180" spans="1:24" ht="30" x14ac:dyDescent="0.25">
      <c r="A2180" s="1797" t="s">
        <v>1388</v>
      </c>
      <c r="B2180" s="1798">
        <f>B243*B2179/170</f>
        <v>0</v>
      </c>
      <c r="C2180" s="227"/>
      <c r="D2180" s="227"/>
      <c r="E2180" s="227"/>
      <c r="F2180" s="227"/>
      <c r="G2180" s="227"/>
      <c r="J2180" s="239"/>
      <c r="K2180" s="239"/>
    </row>
    <row r="2181" spans="1:24" ht="15.75" x14ac:dyDescent="0.25">
      <c r="A2181" s="1797" t="s">
        <v>1389</v>
      </c>
      <c r="B2181" s="1798">
        <f>IF(B2174=1,2043,IF(B2174=2,1079,IF(B2174=3,1681,0)))</f>
        <v>2043</v>
      </c>
      <c r="C2181" s="227"/>
      <c r="D2181" s="227"/>
      <c r="E2181" s="227"/>
      <c r="F2181" s="227"/>
      <c r="G2181" s="227"/>
      <c r="J2181" s="239"/>
      <c r="K2181" s="239"/>
    </row>
    <row r="2182" spans="1:24" ht="15.75" x14ac:dyDescent="0.25">
      <c r="A2182" s="1794" t="s">
        <v>1390</v>
      </c>
      <c r="B2182" s="1795">
        <f>IF(B2173=1,171,0)</f>
        <v>171</v>
      </c>
      <c r="C2182" s="227"/>
      <c r="D2182" s="227"/>
      <c r="E2182" s="227"/>
      <c r="F2182" s="227"/>
      <c r="G2182" s="227"/>
      <c r="J2182" s="954"/>
      <c r="K2182" s="239"/>
    </row>
    <row r="2183" spans="1:24" ht="15.75" x14ac:dyDescent="0.25">
      <c r="A2183" s="1794" t="s">
        <v>1391</v>
      </c>
      <c r="B2183" s="1795">
        <f>IF(B257=1,188,0)</f>
        <v>188</v>
      </c>
      <c r="C2183" s="227"/>
      <c r="D2183" s="227"/>
      <c r="E2183" s="227"/>
      <c r="F2183" s="227"/>
      <c r="G2183" s="227"/>
    </row>
    <row r="2184" spans="1:24" ht="51" customHeight="1" x14ac:dyDescent="0.25">
      <c r="A2184" s="1794" t="s">
        <v>1392</v>
      </c>
      <c r="B2184" s="1795">
        <f>IF(B257=2,94,0)</f>
        <v>0</v>
      </c>
      <c r="C2184" s="227"/>
      <c r="D2184" s="227"/>
      <c r="E2184" s="227"/>
      <c r="F2184" s="227"/>
      <c r="G2184" s="227"/>
    </row>
    <row r="2185" spans="1:24" ht="15.75" x14ac:dyDescent="0.25">
      <c r="A2185" s="1794" t="s">
        <v>1393</v>
      </c>
      <c r="B2185" s="1795">
        <f>IF(B238=1,257,0)</f>
        <v>257</v>
      </c>
      <c r="C2185" s="227"/>
      <c r="D2185" s="227"/>
      <c r="E2185" s="227"/>
      <c r="F2185" s="227"/>
      <c r="G2185" s="227"/>
      <c r="J2185" s="1270"/>
      <c r="K2185" s="864"/>
      <c r="M2185" s="4667"/>
      <c r="N2185" s="4668"/>
    </row>
    <row r="2186" spans="1:24" ht="15.75" x14ac:dyDescent="0.25">
      <c r="A2186" s="1794" t="s">
        <v>1394</v>
      </c>
      <c r="B2186" s="1795">
        <f>IF(B260=1,172,0)</f>
        <v>0</v>
      </c>
      <c r="C2186" s="239"/>
      <c r="D2186" s="239"/>
      <c r="E2186" s="239"/>
      <c r="F2186" s="239"/>
      <c r="G2186" s="239"/>
      <c r="J2186" s="1740"/>
      <c r="K2186" s="1740"/>
      <c r="M2186" s="857"/>
      <c r="N2186" s="1740"/>
      <c r="P2186" s="4667"/>
      <c r="Q2186" s="4668"/>
      <c r="S2186" s="4667"/>
      <c r="T2186" s="4668"/>
    </row>
    <row r="2187" spans="1:24" ht="31.5" x14ac:dyDescent="0.25">
      <c r="A2187" s="1799" t="s">
        <v>1395</v>
      </c>
      <c r="B2187" s="1800">
        <f>B2177+B2180+B2182+B2183+B2184+B2185+B2186</f>
        <v>1657</v>
      </c>
      <c r="C2187" s="227"/>
      <c r="D2187" s="227"/>
      <c r="E2187" s="227"/>
      <c r="F2187" s="227"/>
      <c r="G2187" s="227"/>
      <c r="J2187" s="857"/>
      <c r="K2187" s="857"/>
      <c r="M2187" s="857"/>
      <c r="N2187" s="857"/>
      <c r="P2187" s="1740"/>
      <c r="Q2187" s="857"/>
      <c r="S2187" s="857"/>
      <c r="T2187" s="857"/>
    </row>
    <row r="2188" spans="1:24" ht="15.75" x14ac:dyDescent="0.25">
      <c r="A2188" s="1794" t="s">
        <v>1396</v>
      </c>
      <c r="B2188" s="1801">
        <f>0.9*1.2*1.3*B2187/(357*6)</f>
        <v>1.0861008403361345</v>
      </c>
      <c r="C2188" s="1802"/>
      <c r="D2188" s="1802"/>
      <c r="E2188" s="1802"/>
      <c r="F2188" s="1802"/>
      <c r="G2188" s="1802"/>
      <c r="J2188" s="1740"/>
      <c r="K2188" s="857"/>
      <c r="M2188" s="1740"/>
      <c r="N2188" s="857"/>
      <c r="P2188" s="1740"/>
      <c r="Q2188" s="857"/>
      <c r="S2188" s="857"/>
      <c r="T2188" s="857"/>
    </row>
    <row r="2189" spans="1:24" ht="34.5" customHeight="1" x14ac:dyDescent="0.25">
      <c r="A2189" s="1803" t="s">
        <v>1397</v>
      </c>
      <c r="B2189" s="1804">
        <f>ROUNDUP(B2188,0)+2</f>
        <v>4</v>
      </c>
      <c r="C2189" s="227"/>
      <c r="D2189" s="227"/>
      <c r="E2189" s="227"/>
      <c r="F2189" s="227"/>
      <c r="G2189" s="227"/>
      <c r="S2189" s="857"/>
      <c r="T2189" s="857"/>
    </row>
    <row r="2190" spans="1:24" ht="15.75" x14ac:dyDescent="0.25">
      <c r="A2190" s="1805" t="s">
        <v>1398</v>
      </c>
      <c r="B2190" s="1806">
        <f>B246</f>
        <v>1</v>
      </c>
      <c r="C2190" s="1807"/>
      <c r="D2190" s="1807"/>
      <c r="E2190" s="1350"/>
      <c r="F2190" s="1350"/>
      <c r="G2190" s="1350"/>
      <c r="J2190" s="857"/>
      <c r="K2190" s="857"/>
      <c r="L2190" s="857"/>
      <c r="M2190" s="857"/>
      <c r="N2190" s="857"/>
      <c r="O2190" s="857"/>
      <c r="P2190" s="857"/>
      <c r="Q2190" s="857"/>
      <c r="R2190" s="857"/>
      <c r="S2190" s="857"/>
      <c r="T2190" s="857"/>
      <c r="U2190" s="857"/>
    </row>
    <row r="2191" spans="1:24" ht="38.25" customHeight="1" x14ac:dyDescent="0.25">
      <c r="A2191" s="1805" t="s">
        <v>1399</v>
      </c>
      <c r="B2191" s="1806" t="e">
        <f>B248</f>
        <v>#REF!</v>
      </c>
      <c r="C2191" s="1808"/>
      <c r="D2191" s="1808"/>
      <c r="E2191" s="1416"/>
      <c r="F2191" s="1416"/>
      <c r="G2191" s="1416"/>
      <c r="J2191" s="857"/>
      <c r="K2191" s="857"/>
      <c r="L2191" s="857"/>
      <c r="M2191" s="857"/>
      <c r="N2191" s="857"/>
      <c r="O2191" s="857"/>
      <c r="P2191" s="857"/>
      <c r="Q2191" s="857"/>
      <c r="R2191" s="857"/>
      <c r="S2191" s="857"/>
      <c r="T2191" s="857"/>
      <c r="U2191" s="857"/>
    </row>
    <row r="2192" spans="1:24" ht="51.75" x14ac:dyDescent="0.25">
      <c r="A2192" s="1781" t="s">
        <v>252</v>
      </c>
      <c r="B2192" s="1806">
        <f>B225</f>
        <v>1</v>
      </c>
      <c r="C2192" s="1809"/>
      <c r="D2192" s="1809"/>
      <c r="E2192" s="1809"/>
      <c r="F2192" s="1809"/>
      <c r="G2192" s="1809"/>
      <c r="J2192" s="1740"/>
      <c r="K2192" s="857"/>
      <c r="L2192" s="857"/>
      <c r="O2192" s="857"/>
      <c r="P2192" s="857"/>
      <c r="Q2192" s="857"/>
      <c r="T2192" s="1810"/>
      <c r="U2192" s="1811"/>
      <c r="V2192" s="857"/>
      <c r="W2192" s="857"/>
      <c r="X2192" s="857"/>
    </row>
    <row r="2193" spans="1:24" ht="51.75" x14ac:dyDescent="0.25">
      <c r="A2193" s="1781" t="s">
        <v>253</v>
      </c>
      <c r="B2193" s="1806" t="str">
        <f>B224</f>
        <v/>
      </c>
      <c r="C2193" s="1434"/>
      <c r="D2193" s="1434"/>
      <c r="E2193" s="1434"/>
      <c r="F2193" s="1434"/>
      <c r="G2193" s="1434"/>
      <c r="J2193" s="1740"/>
      <c r="K2193" s="857"/>
      <c r="L2193" s="857"/>
      <c r="O2193" s="857"/>
      <c r="P2193" s="857"/>
      <c r="Q2193" s="857"/>
      <c r="T2193" s="4667"/>
      <c r="U2193" s="4668"/>
      <c r="V2193" s="857"/>
      <c r="W2193" s="857"/>
      <c r="X2193" s="857"/>
    </row>
    <row r="2194" spans="1:24" ht="15.75" x14ac:dyDescent="0.25">
      <c r="A2194" s="1812" t="s">
        <v>254</v>
      </c>
      <c r="B2194" s="1806">
        <f>B288</f>
        <v>0</v>
      </c>
      <c r="C2194" s="1813"/>
      <c r="D2194" s="1813"/>
      <c r="E2194" s="1813"/>
      <c r="F2194" s="1813"/>
      <c r="G2194" s="1813"/>
      <c r="J2194" s="4670"/>
      <c r="K2194" s="4671"/>
      <c r="L2194" s="857"/>
      <c r="M2194" s="857"/>
      <c r="N2194" s="857"/>
    </row>
    <row r="2195" spans="1:24" x14ac:dyDescent="0.2">
      <c r="A2195" s="1814" t="s">
        <v>4438</v>
      </c>
      <c r="B2195" s="1815"/>
      <c r="C2195" s="239"/>
      <c r="D2195" s="239"/>
      <c r="E2195" s="239"/>
      <c r="F2195" s="239"/>
      <c r="G2195" s="239"/>
      <c r="J2195" s="4663"/>
      <c r="K2195" s="4665"/>
      <c r="L2195" s="857"/>
      <c r="M2195" s="857"/>
      <c r="N2195" s="857"/>
    </row>
    <row r="2196" spans="1:24" x14ac:dyDescent="0.2">
      <c r="A2196" s="1816" t="s">
        <v>255</v>
      </c>
      <c r="B2196" s="1736">
        <f>B2124</f>
        <v>1</v>
      </c>
      <c r="C2196" s="239"/>
      <c r="D2196" s="239"/>
      <c r="E2196" s="239"/>
      <c r="F2196" s="239"/>
      <c r="G2196" s="239"/>
      <c r="J2196" s="4663"/>
      <c r="K2196" s="4665"/>
      <c r="L2196" s="857"/>
      <c r="M2196" s="857"/>
      <c r="N2196" s="857"/>
    </row>
    <row r="2197" spans="1:24" x14ac:dyDescent="0.2">
      <c r="A2197" s="993" t="s">
        <v>4331</v>
      </c>
      <c r="B2197" s="1736">
        <f>B2126</f>
        <v>1</v>
      </c>
      <c r="C2197" s="239"/>
      <c r="D2197" s="239"/>
      <c r="E2197" s="239"/>
      <c r="F2197" s="239"/>
      <c r="G2197" s="239"/>
      <c r="J2197" s="4663"/>
      <c r="K2197" s="4665"/>
      <c r="L2197" s="857"/>
      <c r="M2197" s="857"/>
      <c r="N2197" s="857"/>
    </row>
    <row r="2198" spans="1:24" x14ac:dyDescent="0.2">
      <c r="A2198" s="993" t="s">
        <v>4332</v>
      </c>
      <c r="B2198" s="1736" t="e">
        <f>B2127</f>
        <v>#VALUE!</v>
      </c>
      <c r="C2198" s="239"/>
      <c r="D2198" s="239"/>
      <c r="E2198" s="239"/>
      <c r="F2198" s="239"/>
      <c r="G2198" s="239"/>
      <c r="J2198" s="4663"/>
      <c r="K2198" s="4665"/>
      <c r="L2198" s="857"/>
      <c r="M2198" s="857"/>
      <c r="N2198" s="857"/>
    </row>
    <row r="2199" spans="1:24" x14ac:dyDescent="0.2">
      <c r="A2199" s="993" t="s">
        <v>4333</v>
      </c>
      <c r="B2199" s="1736">
        <f>B2128</f>
        <v>1.35</v>
      </c>
      <c r="C2199" s="239"/>
      <c r="D2199" s="239"/>
      <c r="E2199" s="239"/>
      <c r="F2199" s="239"/>
      <c r="G2199" s="239"/>
      <c r="J2199" s="4663"/>
      <c r="K2199" s="4665"/>
      <c r="L2199" s="857"/>
      <c r="M2199" s="857"/>
      <c r="N2199" s="857"/>
    </row>
    <row r="2200" spans="1:24" x14ac:dyDescent="0.2">
      <c r="A2200" s="993" t="s">
        <v>256</v>
      </c>
      <c r="B2200" s="1736">
        <f>B2129</f>
        <v>1.35</v>
      </c>
      <c r="C2200" s="239"/>
      <c r="D2200" s="239"/>
      <c r="E2200" s="239"/>
      <c r="F2200" s="239"/>
      <c r="G2200" s="239"/>
      <c r="J2200" s="4663"/>
      <c r="K2200" s="4665"/>
      <c r="L2200" s="857"/>
      <c r="M2200" s="857"/>
      <c r="N2200" s="857"/>
    </row>
    <row r="2201" spans="1:24" x14ac:dyDescent="0.2">
      <c r="A2201" s="993" t="s">
        <v>962</v>
      </c>
      <c r="B2201" s="1736">
        <f>IF(B2194&lt;9,0.99-0.02*B2194,0.8)</f>
        <v>0.99</v>
      </c>
      <c r="C2201" s="239"/>
      <c r="D2201" s="239"/>
      <c r="E2201" s="239"/>
      <c r="F2201" s="239"/>
      <c r="G2201" s="239"/>
      <c r="J2201" s="4663"/>
      <c r="K2201" s="4665"/>
      <c r="L2201" s="857"/>
      <c r="M2201" s="857"/>
      <c r="N2201" s="857"/>
    </row>
    <row r="2202" spans="1:24" x14ac:dyDescent="0.2">
      <c r="A2202" s="1746" t="s">
        <v>963</v>
      </c>
      <c r="B2202" s="1736" t="e">
        <f>B2131</f>
        <v>#VALUE!</v>
      </c>
      <c r="C2202" s="239"/>
      <c r="D2202" s="239"/>
      <c r="E2202" s="239"/>
      <c r="F2202" s="239"/>
      <c r="G2202" s="239"/>
      <c r="J2202" s="1193"/>
      <c r="K2202" s="1763"/>
      <c r="L2202" s="857"/>
      <c r="M2202" s="857"/>
      <c r="N2202" s="857"/>
    </row>
    <row r="2203" spans="1:24" x14ac:dyDescent="0.2">
      <c r="A2203" s="1754" t="s">
        <v>3059</v>
      </c>
      <c r="B2203" s="1755" t="e">
        <f>B2196*B2197*B2198*B2199*B2201*B2202</f>
        <v>#VALUE!</v>
      </c>
      <c r="C2203" s="239"/>
      <c r="D2203" s="239"/>
      <c r="E2203" s="239"/>
      <c r="F2203" s="239"/>
      <c r="G2203" s="239"/>
      <c r="J2203" s="4663"/>
      <c r="K2203" s="4665"/>
      <c r="L2203" s="857"/>
      <c r="M2203" s="857"/>
      <c r="N2203" s="857"/>
    </row>
    <row r="2204" spans="1:24" x14ac:dyDescent="0.2">
      <c r="A2204" s="1817" t="s">
        <v>1838</v>
      </c>
      <c r="B2204" s="1806" t="e">
        <f>B2203</f>
        <v>#VALUE!</v>
      </c>
      <c r="C2204" s="239"/>
      <c r="D2204" s="239"/>
      <c r="E2204" s="239"/>
      <c r="F2204" s="239"/>
      <c r="G2204" s="239"/>
      <c r="J2204" s="4663"/>
      <c r="K2204" s="4665"/>
      <c r="L2204" s="857"/>
      <c r="M2204" s="857"/>
      <c r="N2204" s="857"/>
    </row>
    <row r="2205" spans="1:24" x14ac:dyDescent="0.2">
      <c r="A2205" s="1818"/>
      <c r="B2205" s="1819"/>
      <c r="C2205" s="1820"/>
      <c r="D2205" s="1820"/>
      <c r="E2205" s="1821"/>
      <c r="F2205" s="1821"/>
      <c r="G2205" s="1821"/>
    </row>
    <row r="2206" spans="1:24" x14ac:dyDescent="0.2">
      <c r="A2206" s="1822" t="s">
        <v>1839</v>
      </c>
      <c r="B2206" s="1823"/>
      <c r="C2206" s="1820"/>
      <c r="D2206" s="1820"/>
      <c r="E2206" s="1821"/>
      <c r="F2206" s="1821"/>
      <c r="G2206" s="1821"/>
    </row>
    <row r="2207" spans="1:24" ht="15.75" x14ac:dyDescent="0.25">
      <c r="A2207" s="1456" t="s">
        <v>833</v>
      </c>
      <c r="B2207" s="1457">
        <v>0.5</v>
      </c>
      <c r="C2207" s="1824"/>
      <c r="D2207" s="1824"/>
      <c r="E2207" s="1825"/>
      <c r="F2207" s="1825"/>
      <c r="G2207" s="1825"/>
    </row>
    <row r="2208" spans="1:24" ht="15.75" x14ac:dyDescent="0.25">
      <c r="A2208" s="1430" t="s">
        <v>834</v>
      </c>
      <c r="B2208" s="1433">
        <f>B2207*B243*B246</f>
        <v>0</v>
      </c>
      <c r="C2208" s="1826"/>
      <c r="D2208" s="1826"/>
      <c r="E2208" s="1827"/>
      <c r="F2208" s="1827"/>
      <c r="G2208" s="1827"/>
    </row>
    <row r="2209" spans="1:23" ht="15.75" x14ac:dyDescent="0.25">
      <c r="A2209" s="1417"/>
      <c r="B2209" s="1431"/>
      <c r="C2209" s="1347"/>
      <c r="D2209" s="1347"/>
      <c r="E2209" s="227"/>
      <c r="F2209" s="227"/>
      <c r="G2209" s="227"/>
    </row>
    <row r="2210" spans="1:23" ht="15.75" x14ac:dyDescent="0.25">
      <c r="A2210" s="1430" t="s">
        <v>425</v>
      </c>
      <c r="B2210" s="1423">
        <f>IF(B2217&lt;2,B2222,IF(B2217&lt;3,B2223,IF(B2217&lt;4,B2224,IF(B2217&lt;5,B2225,B2226))))</f>
        <v>134</v>
      </c>
      <c r="C2210" s="1347"/>
      <c r="D2210" s="1347"/>
      <c r="E2210" s="227"/>
      <c r="F2210" s="227"/>
      <c r="G2210" s="227"/>
    </row>
    <row r="2211" spans="1:23" ht="15.75" x14ac:dyDescent="0.25">
      <c r="A2211" s="1430" t="s">
        <v>1322</v>
      </c>
      <c r="B2211" s="1433" t="e">
        <f>B2228*B2230*B2232*B2234*B2204</f>
        <v>#VALUE!</v>
      </c>
      <c r="C2211" s="1347"/>
      <c r="D2211" s="1347"/>
      <c r="E2211" s="227"/>
      <c r="F2211" s="227"/>
      <c r="G2211" s="227"/>
      <c r="H2211" s="1828" t="s">
        <v>4319</v>
      </c>
      <c r="I2211" s="1828"/>
      <c r="J2211" s="1828"/>
      <c r="K2211" s="1828"/>
      <c r="L2211" s="1828"/>
      <c r="M2211" s="1828"/>
      <c r="N2211" s="1828"/>
      <c r="O2211" s="1828"/>
      <c r="P2211" s="1828"/>
      <c r="Q2211" s="1828"/>
      <c r="R2211" s="1828"/>
      <c r="S2211" s="1828"/>
      <c r="T2211" s="1828"/>
      <c r="U2211" s="1828"/>
      <c r="V2211" s="1828"/>
      <c r="W2211" s="1828"/>
    </row>
    <row r="2212" spans="1:23" ht="15.75" x14ac:dyDescent="0.25">
      <c r="A2212" s="1430" t="s">
        <v>1</v>
      </c>
      <c r="B2212" s="1433" t="e">
        <f>B2210*B2211</f>
        <v>#VALUE!</v>
      </c>
      <c r="C2212" s="992"/>
      <c r="D2212" s="992"/>
      <c r="E2212" s="239"/>
      <c r="F2212" s="239"/>
      <c r="G2212" s="239"/>
      <c r="H2212" s="1828" t="s">
        <v>5441</v>
      </c>
      <c r="I2212" s="1828"/>
      <c r="J2212" s="1828"/>
      <c r="K2212" s="1828"/>
      <c r="L2212" s="1828"/>
      <c r="M2212" s="1828"/>
      <c r="N2212" s="1828"/>
      <c r="O2212" s="1828"/>
      <c r="P2212" s="1828"/>
      <c r="Q2212" s="1828"/>
      <c r="R2212" s="1828"/>
      <c r="S2212" s="1828"/>
      <c r="T2212" s="1828"/>
      <c r="U2212" s="1828"/>
      <c r="V2212" s="1828"/>
      <c r="W2212" s="1828"/>
    </row>
    <row r="2213" spans="1:23" ht="15.75" x14ac:dyDescent="0.25">
      <c r="A2213" s="1430" t="s">
        <v>4351</v>
      </c>
      <c r="B2213" s="1433" t="e">
        <f>B2208/B2212</f>
        <v>#VALUE!</v>
      </c>
      <c r="C2213" s="1347"/>
      <c r="D2213" s="1347"/>
      <c r="E2213" s="227"/>
      <c r="F2213" s="227"/>
      <c r="G2213" s="227"/>
      <c r="H2213" s="1828"/>
      <c r="I2213" s="1828" t="s">
        <v>5444</v>
      </c>
      <c r="J2213" s="1828"/>
      <c r="K2213" s="1828"/>
      <c r="L2213" s="1828"/>
      <c r="M2213" s="1828"/>
      <c r="N2213" s="1828"/>
      <c r="O2213" s="1828"/>
      <c r="P2213" s="1828"/>
      <c r="Q2213" s="1828"/>
      <c r="R2213" s="1828"/>
      <c r="S2213" s="1828"/>
      <c r="T2213" s="1828"/>
      <c r="U2213" s="1828"/>
      <c r="V2213" s="1828"/>
      <c r="W2213" s="1828"/>
    </row>
    <row r="2214" spans="1:23" ht="15.75" x14ac:dyDescent="0.25">
      <c r="A2214" s="1466" t="s">
        <v>831</v>
      </c>
      <c r="B2214" s="1433" t="e">
        <f>IF(B238=1,B2213,0)</f>
        <v>#VALUE!</v>
      </c>
      <c r="C2214" s="1347"/>
      <c r="D2214" s="1347"/>
      <c r="E2214" s="227"/>
      <c r="F2214" s="227"/>
      <c r="G2214" s="227"/>
      <c r="H2214" s="1828"/>
      <c r="I2214" s="1828" t="s">
        <v>1435</v>
      </c>
      <c r="J2214" s="1828" t="s">
        <v>1435</v>
      </c>
      <c r="K2214" s="1828" t="s">
        <v>1435</v>
      </c>
      <c r="L2214" s="1828" t="s">
        <v>1436</v>
      </c>
      <c r="M2214" s="1828" t="s">
        <v>1436</v>
      </c>
      <c r="N2214" s="1828" t="s">
        <v>1436</v>
      </c>
      <c r="O2214" s="1828" t="s">
        <v>1437</v>
      </c>
      <c r="P2214" s="1828" t="s">
        <v>1437</v>
      </c>
      <c r="Q2214" s="1828" t="s">
        <v>1437</v>
      </c>
      <c r="R2214" s="1828" t="s">
        <v>1438</v>
      </c>
      <c r="S2214" s="1828" t="s">
        <v>1438</v>
      </c>
      <c r="T2214" s="1828" t="s">
        <v>1438</v>
      </c>
      <c r="U2214" s="1828" t="s">
        <v>1439</v>
      </c>
      <c r="V2214" s="1828" t="s">
        <v>1439</v>
      </c>
      <c r="W2214" s="1828" t="s">
        <v>1439</v>
      </c>
    </row>
    <row r="2215" spans="1:23" x14ac:dyDescent="0.2">
      <c r="A2215" s="1829" t="s">
        <v>833</v>
      </c>
      <c r="B2215" s="1830"/>
      <c r="C2215" s="1347"/>
      <c r="D2215" s="1347"/>
      <c r="E2215" s="227"/>
      <c r="F2215" s="227"/>
      <c r="G2215" s="227"/>
      <c r="H2215" s="1828"/>
      <c r="I2215" s="1828" t="s">
        <v>3785</v>
      </c>
      <c r="J2215" s="1828"/>
      <c r="K2215" s="1828"/>
      <c r="L2215" s="1828"/>
      <c r="M2215" s="1828"/>
      <c r="N2215" s="1828"/>
      <c r="O2215" s="1828"/>
      <c r="P2215" s="1828"/>
      <c r="Q2215" s="1828"/>
      <c r="R2215" s="1828"/>
      <c r="S2215" s="1828"/>
      <c r="T2215" s="1828"/>
      <c r="U2215" s="1828"/>
      <c r="V2215" s="1828"/>
      <c r="W2215" s="1828"/>
    </row>
    <row r="2216" spans="1:23" x14ac:dyDescent="0.2">
      <c r="A2216" s="1805" t="s">
        <v>834</v>
      </c>
      <c r="B2216" s="1831"/>
      <c r="C2216" s="1347"/>
      <c r="D2216" s="1347"/>
      <c r="E2216" s="227"/>
      <c r="F2216" s="227"/>
      <c r="G2216" s="227"/>
      <c r="H2216" s="1828" t="s">
        <v>608</v>
      </c>
      <c r="I2216" s="1828" t="s">
        <v>3373</v>
      </c>
      <c r="J2216" s="1828" t="s">
        <v>3374</v>
      </c>
      <c r="K2216" s="1828" t="s">
        <v>3375</v>
      </c>
      <c r="L2216" s="1828" t="s">
        <v>3373</v>
      </c>
      <c r="M2216" s="1828" t="s">
        <v>3374</v>
      </c>
      <c r="N2216" s="1828" t="s">
        <v>3375</v>
      </c>
      <c r="O2216" s="1828" t="s">
        <v>3373</v>
      </c>
      <c r="P2216" s="1828" t="s">
        <v>3374</v>
      </c>
      <c r="Q2216" s="1828" t="s">
        <v>3375</v>
      </c>
      <c r="R2216" s="1828" t="s">
        <v>3373</v>
      </c>
      <c r="S2216" s="1828" t="s">
        <v>3374</v>
      </c>
      <c r="T2216" s="1828" t="s">
        <v>3375</v>
      </c>
      <c r="U2216" s="1828" t="s">
        <v>3373</v>
      </c>
      <c r="V2216" s="1828" t="s">
        <v>3374</v>
      </c>
      <c r="W2216" s="1828" t="s">
        <v>3375</v>
      </c>
    </row>
    <row r="2217" spans="1:23" x14ac:dyDescent="0.2">
      <c r="A2217" s="1829" t="s">
        <v>5572</v>
      </c>
      <c r="B2217" s="1832">
        <f>B259</f>
        <v>3</v>
      </c>
      <c r="C2217" s="1824"/>
      <c r="D2217" s="1824"/>
      <c r="E2217" s="1825"/>
      <c r="F2217" s="1825"/>
      <c r="G2217" s="1825"/>
      <c r="H2217" s="1828" t="s">
        <v>4344</v>
      </c>
      <c r="I2217" s="1828">
        <v>192</v>
      </c>
      <c r="J2217" s="1828">
        <v>181</v>
      </c>
      <c r="K2217" s="1828">
        <v>165</v>
      </c>
      <c r="L2217" s="1828">
        <v>157</v>
      </c>
      <c r="M2217" s="1828">
        <v>146</v>
      </c>
      <c r="N2217" s="1828">
        <v>134</v>
      </c>
      <c r="O2217" s="1828">
        <v>125</v>
      </c>
      <c r="P2217" s="1828">
        <v>116</v>
      </c>
      <c r="Q2217" s="1828">
        <v>109</v>
      </c>
      <c r="R2217" s="1828">
        <v>102</v>
      </c>
      <c r="S2217" s="1828">
        <v>92</v>
      </c>
      <c r="T2217" s="1828">
        <v>89</v>
      </c>
      <c r="U2217" s="1828">
        <v>79</v>
      </c>
      <c r="V2217" s="1828">
        <v>72</v>
      </c>
      <c r="W2217" s="1828">
        <v>70</v>
      </c>
    </row>
    <row r="2218" spans="1:23" x14ac:dyDescent="0.2">
      <c r="A2218" s="1805" t="s">
        <v>425</v>
      </c>
      <c r="B2218" s="1833">
        <f>IF(B2217&lt;2,B2222,IF(B2217&lt;3,B2223,IF(B2217&lt;4,B2224,IF(B2217&lt;5,B2225,B2226))))</f>
        <v>134</v>
      </c>
      <c r="C2218" s="1824"/>
      <c r="D2218" s="1824"/>
      <c r="E2218" s="1824"/>
      <c r="F2218" s="1824"/>
      <c r="G2218" s="1824"/>
      <c r="H2218" s="1828" t="s">
        <v>5224</v>
      </c>
      <c r="I2218" s="1828">
        <v>210</v>
      </c>
      <c r="J2218" s="1828">
        <v>192</v>
      </c>
      <c r="K2218" s="1828">
        <v>172</v>
      </c>
      <c r="L2218" s="1828">
        <v>166</v>
      </c>
      <c r="M2218" s="1828">
        <v>155</v>
      </c>
      <c r="N2218" s="1828">
        <v>140</v>
      </c>
      <c r="O2218" s="1828">
        <v>131</v>
      </c>
      <c r="P2218" s="1828">
        <v>122</v>
      </c>
      <c r="Q2218" s="1828">
        <v>114</v>
      </c>
      <c r="R2218" s="1828">
        <v>109</v>
      </c>
      <c r="S2218" s="1828">
        <v>97</v>
      </c>
      <c r="T2218" s="1828">
        <v>92</v>
      </c>
      <c r="U2218" s="1828">
        <v>83</v>
      </c>
      <c r="V2218" s="1828">
        <v>76</v>
      </c>
      <c r="W2218" s="1828">
        <v>74</v>
      </c>
    </row>
    <row r="2219" spans="1:23" x14ac:dyDescent="0.2">
      <c r="A2219" s="1805" t="s">
        <v>835</v>
      </c>
      <c r="B2219" s="1833">
        <f>IF(B219&lt;0.61,1,IF(B219&lt;0.81,2,IF(B219&lt;1.41,3,IF(B219&lt;1.81,4,5))))</f>
        <v>5</v>
      </c>
      <c r="C2219" s="1834"/>
      <c r="D2219" s="1834"/>
      <c r="E2219" s="1835"/>
      <c r="F2219" s="1835"/>
      <c r="G2219" s="1835"/>
      <c r="H2219" s="1828" t="s">
        <v>5229</v>
      </c>
      <c r="I2219" s="1828">
        <v>250</v>
      </c>
      <c r="J2219" s="1828">
        <v>214</v>
      </c>
      <c r="K2219" s="1828">
        <v>192</v>
      </c>
      <c r="L2219" s="1828">
        <v>184</v>
      </c>
      <c r="M2219" s="1828">
        <v>166</v>
      </c>
      <c r="N2219" s="1828">
        <v>152</v>
      </c>
      <c r="O2219" s="1828">
        <v>140</v>
      </c>
      <c r="P2219" s="1828">
        <v>129</v>
      </c>
      <c r="Q2219" s="1828">
        <v>120</v>
      </c>
      <c r="R2219" s="1828">
        <v>114</v>
      </c>
      <c r="S2219" s="1828">
        <v>102</v>
      </c>
      <c r="T2219" s="1828">
        <v>97</v>
      </c>
      <c r="U2219" s="1828">
        <v>87</v>
      </c>
      <c r="V2219" s="1828">
        <v>80</v>
      </c>
      <c r="W2219" s="1828">
        <v>78</v>
      </c>
    </row>
    <row r="2220" spans="1:23" x14ac:dyDescent="0.2">
      <c r="A2220" s="1805" t="s">
        <v>836</v>
      </c>
      <c r="B2220" s="1833">
        <f>IF(B232&lt;25,1,IF(B232&lt;46,2,3))</f>
        <v>3</v>
      </c>
      <c r="C2220" s="1834"/>
      <c r="D2220" s="1834"/>
      <c r="E2220" s="1835"/>
      <c r="F2220" s="1835"/>
      <c r="G2220" s="1835"/>
      <c r="H2220" s="1828" t="s">
        <v>5234</v>
      </c>
      <c r="I2220" s="1828">
        <v>292</v>
      </c>
      <c r="J2220" s="1828">
        <v>234</v>
      </c>
      <c r="K2220" s="1828">
        <v>216</v>
      </c>
      <c r="L2220" s="1828">
        <v>209</v>
      </c>
      <c r="M2220" s="1828">
        <v>177</v>
      </c>
      <c r="N2220" s="1828">
        <v>166</v>
      </c>
      <c r="O2220" s="1828">
        <v>154</v>
      </c>
      <c r="P2220" s="1828">
        <v>135</v>
      </c>
      <c r="Q2220" s="1828">
        <v>127</v>
      </c>
      <c r="R2220" s="1828">
        <v>118</v>
      </c>
      <c r="S2220" s="1828">
        <v>107</v>
      </c>
      <c r="T2220" s="1828">
        <v>103</v>
      </c>
      <c r="U2220" s="1828">
        <v>91</v>
      </c>
      <c r="V2220" s="1828">
        <v>84</v>
      </c>
      <c r="W2220" s="1828">
        <v>82</v>
      </c>
    </row>
    <row r="2221" spans="1:23" x14ac:dyDescent="0.2">
      <c r="A2221" s="1805" t="s">
        <v>1719</v>
      </c>
      <c r="B2221" s="1836"/>
      <c r="C2221" s="1824"/>
      <c r="D2221" s="1824"/>
      <c r="E2221" s="1825"/>
      <c r="F2221" s="1825"/>
      <c r="G2221" s="1825"/>
      <c r="H2221" s="1828" t="s">
        <v>5238</v>
      </c>
      <c r="I2221" s="1828">
        <v>306</v>
      </c>
      <c r="J2221" s="1828">
        <v>246</v>
      </c>
      <c r="K2221" s="1828">
        <v>230</v>
      </c>
      <c r="L2221" s="1828">
        <v>217</v>
      </c>
      <c r="M2221" s="1828">
        <v>184</v>
      </c>
      <c r="N2221" s="1828">
        <v>175</v>
      </c>
      <c r="O2221" s="1828">
        <v>158</v>
      </c>
      <c r="P2221" s="1828">
        <v>140</v>
      </c>
      <c r="Q2221" s="1828">
        <v>134</v>
      </c>
      <c r="R2221" s="1828">
        <v>121</v>
      </c>
      <c r="S2221" s="1828">
        <v>110</v>
      </c>
      <c r="T2221" s="1828">
        <v>106</v>
      </c>
      <c r="U2221" s="1828">
        <v>93</v>
      </c>
      <c r="V2221" s="1828">
        <v>86</v>
      </c>
      <c r="W2221" s="1828">
        <v>84</v>
      </c>
    </row>
    <row r="2222" spans="1:23" x14ac:dyDescent="0.2">
      <c r="A2222" s="1805" t="s">
        <v>837</v>
      </c>
      <c r="B2222" s="1833">
        <f>INDEX(I2217:K2221,B2219,B2220)</f>
        <v>230</v>
      </c>
      <c r="C2222" s="1347"/>
      <c r="D2222" s="1347"/>
      <c r="E2222" s="227"/>
      <c r="F2222" s="227"/>
      <c r="G2222" s="227"/>
    </row>
    <row r="2223" spans="1:23" x14ac:dyDescent="0.2">
      <c r="A2223" s="1805" t="s">
        <v>491</v>
      </c>
      <c r="B2223" s="1833">
        <f>INDEX(L2217:N2221,B2219,B2220)</f>
        <v>175</v>
      </c>
      <c r="C2223" s="1347"/>
      <c r="D2223" s="1347"/>
      <c r="E2223" s="227"/>
      <c r="F2223" s="227"/>
      <c r="G2223" s="227"/>
    </row>
    <row r="2224" spans="1:23" x14ac:dyDescent="0.2">
      <c r="A2224" s="1805" t="s">
        <v>492</v>
      </c>
      <c r="B2224" s="1833">
        <f>INDEX(O2217:Q2221,B2219,B2220)</f>
        <v>134</v>
      </c>
      <c r="C2224" s="992"/>
      <c r="D2224" s="992"/>
      <c r="E2224" s="239"/>
      <c r="F2224" s="239"/>
      <c r="G2224" s="239"/>
    </row>
    <row r="2225" spans="1:7" x14ac:dyDescent="0.2">
      <c r="A2225" s="1805" t="s">
        <v>493</v>
      </c>
      <c r="B2225" s="1833">
        <f>INDEX(R2217:T2221,B2219,B2220)</f>
        <v>106</v>
      </c>
      <c r="C2225" s="992"/>
      <c r="D2225" s="992"/>
      <c r="E2225" s="239"/>
      <c r="F2225" s="239"/>
      <c r="G2225" s="239"/>
    </row>
    <row r="2226" spans="1:7" x14ac:dyDescent="0.2">
      <c r="A2226" s="1805" t="s">
        <v>494</v>
      </c>
      <c r="B2226" s="1833">
        <f>INDEX(U2217:W2221,B2219,B2220)</f>
        <v>84</v>
      </c>
      <c r="C2226" s="1347"/>
      <c r="D2226" s="1347"/>
      <c r="E2226" s="227"/>
      <c r="F2226" s="227"/>
      <c r="G2226" s="227"/>
    </row>
    <row r="2227" spans="1:7" x14ac:dyDescent="0.2">
      <c r="A2227" s="1805" t="s">
        <v>1322</v>
      </c>
      <c r="B2227" s="1836"/>
      <c r="C2227" s="1824"/>
      <c r="D2227" s="1824"/>
      <c r="E2227" s="1825"/>
      <c r="F2227" s="1825"/>
      <c r="G2227" s="1825"/>
    </row>
    <row r="2228" spans="1:7" x14ac:dyDescent="0.2">
      <c r="A2228" s="1805" t="s">
        <v>495</v>
      </c>
      <c r="B2228" s="1836">
        <v>0.7</v>
      </c>
      <c r="C2228" s="1824"/>
      <c r="D2228" s="1824"/>
      <c r="E2228" s="1825"/>
      <c r="F2228" s="1825"/>
      <c r="G2228" s="1825"/>
    </row>
    <row r="2229" spans="1:7" ht="25.5" x14ac:dyDescent="0.2">
      <c r="A2229" s="1837" t="s">
        <v>496</v>
      </c>
      <c r="B2229" s="1833">
        <v>0</v>
      </c>
      <c r="C2229" s="1347"/>
      <c r="D2229" s="1347"/>
      <c r="E2229" s="227"/>
      <c r="F2229" s="227"/>
      <c r="G2229" s="227"/>
    </row>
    <row r="2230" spans="1:7" x14ac:dyDescent="0.2">
      <c r="A2230" s="1837" t="s">
        <v>2978</v>
      </c>
      <c r="B2230" s="1831">
        <f>IF(B2229=1,0.8,1)</f>
        <v>1</v>
      </c>
      <c r="C2230" s="1347"/>
      <c r="D2230" s="1347"/>
      <c r="E2230" s="227"/>
      <c r="F2230" s="227"/>
      <c r="G2230" s="227"/>
    </row>
    <row r="2231" spans="1:7" ht="51" x14ac:dyDescent="0.2">
      <c r="A2231" s="1838" t="s">
        <v>1793</v>
      </c>
      <c r="B2231" s="1832">
        <f>IF(B229=1,1,0)</f>
        <v>0</v>
      </c>
      <c r="C2231" s="1347"/>
      <c r="D2231" s="1347"/>
      <c r="E2231" s="227"/>
      <c r="F2231" s="227"/>
      <c r="G2231" s="227"/>
    </row>
    <row r="2232" spans="1:7" ht="25.5" x14ac:dyDescent="0.2">
      <c r="A2232" s="1837" t="s">
        <v>3969</v>
      </c>
      <c r="B2232" s="1831">
        <f>IF(B2231=1,0.9,1)</f>
        <v>1</v>
      </c>
      <c r="C2232" s="1347"/>
      <c r="D2232" s="1347"/>
      <c r="E2232" s="227"/>
      <c r="F2232" s="227"/>
      <c r="G2232" s="227"/>
    </row>
    <row r="2233" spans="1:7" ht="38.25" x14ac:dyDescent="0.2">
      <c r="A2233" s="1837" t="s">
        <v>1335</v>
      </c>
      <c r="B2233" s="1833">
        <v>0</v>
      </c>
      <c r="C2233" s="1347"/>
      <c r="D2233" s="1347"/>
      <c r="E2233" s="227"/>
      <c r="F2233" s="227"/>
      <c r="G2233" s="227"/>
    </row>
    <row r="2234" spans="1:7" x14ac:dyDescent="0.2">
      <c r="A2234" s="1837" t="s">
        <v>1336</v>
      </c>
      <c r="B2234" s="1836">
        <f>IF(B2233=1,0.95,1)</f>
        <v>1</v>
      </c>
      <c r="C2234" s="1347"/>
      <c r="D2234" s="1347"/>
      <c r="E2234" s="227"/>
      <c r="F2234" s="227"/>
      <c r="G2234" s="227"/>
    </row>
    <row r="2235" spans="1:7" x14ac:dyDescent="0.2">
      <c r="A2235" s="1805" t="s">
        <v>1</v>
      </c>
      <c r="B2235" s="1836" t="e">
        <f>B2218*B2228*B2230*B2232*B2234*B2204</f>
        <v>#VALUE!</v>
      </c>
      <c r="C2235" s="1347"/>
      <c r="D2235" s="1347"/>
      <c r="E2235" s="1347"/>
      <c r="F2235" s="1347"/>
      <c r="G2235" s="1347"/>
    </row>
    <row r="2236" spans="1:7" x14ac:dyDescent="0.2">
      <c r="A2236" s="1822" t="s">
        <v>1794</v>
      </c>
      <c r="B2236" s="1839"/>
      <c r="C2236" s="1347"/>
      <c r="D2236" s="1347"/>
      <c r="E2236" s="1347"/>
      <c r="F2236" s="1347"/>
      <c r="G2236" s="1347"/>
    </row>
    <row r="2237" spans="1:7" x14ac:dyDescent="0.2">
      <c r="A2237" s="1822" t="s">
        <v>1795</v>
      </c>
      <c r="B2237" s="1839"/>
      <c r="C2237" s="1347"/>
      <c r="D2237" s="1347"/>
      <c r="E2237" s="227"/>
      <c r="F2237" s="227"/>
      <c r="G2237" s="227"/>
    </row>
    <row r="2238" spans="1:7" x14ac:dyDescent="0.2">
      <c r="A2238" s="1829"/>
      <c r="B2238" s="1840"/>
      <c r="C2238" s="1347"/>
      <c r="D2238" s="1347"/>
      <c r="E2238" s="227"/>
      <c r="F2238" s="227"/>
      <c r="G2238" s="227"/>
    </row>
    <row r="2239" spans="1:7" x14ac:dyDescent="0.2">
      <c r="A2239" s="1841" t="s">
        <v>4411</v>
      </c>
      <c r="B2239" s="1836"/>
      <c r="C2239" s="1842"/>
      <c r="D2239" s="1820"/>
      <c r="E2239" s="1843"/>
      <c r="F2239" s="1843"/>
      <c r="G2239" s="1843"/>
    </row>
    <row r="2240" spans="1:7" x14ac:dyDescent="0.2">
      <c r="A2240" s="1844" t="s">
        <v>2995</v>
      </c>
      <c r="B2240" s="1845" t="e">
        <f>B219*B2190*B221*B245*B243</f>
        <v>#VALUE!</v>
      </c>
      <c r="C2240" s="1846"/>
      <c r="D2240" s="1847"/>
      <c r="E2240" s="1847"/>
      <c r="F2240" s="1847"/>
      <c r="G2240" s="1847"/>
    </row>
    <row r="2241" spans="1:7" x14ac:dyDescent="0.2">
      <c r="A2241" s="1837" t="s">
        <v>425</v>
      </c>
      <c r="B2241" s="1831" t="e">
        <f>IF(B2242&lt;101,164,IF(B2242&lt;201,182,IF(B2242&lt;351,209,IF(B2242&lt;501,240,276))))</f>
        <v>#VALUE!</v>
      </c>
      <c r="C2241" s="1846"/>
      <c r="D2241" s="1847"/>
      <c r="E2241" s="1847"/>
      <c r="F2241" s="1847"/>
      <c r="G2241" s="1847"/>
    </row>
    <row r="2242" spans="1:7" ht="25.5" x14ac:dyDescent="0.2">
      <c r="A2242" s="1837" t="s">
        <v>4412</v>
      </c>
      <c r="B2242" s="1845" t="e">
        <f>B244/(IF(B225&gt;2,2,3))</f>
        <v>#VALUE!</v>
      </c>
      <c r="C2242" s="1848"/>
      <c r="D2242" s="1849"/>
      <c r="E2242" s="1850"/>
      <c r="F2242" s="1850"/>
      <c r="G2242" s="1850"/>
    </row>
    <row r="2243" spans="1:7" x14ac:dyDescent="0.2">
      <c r="A2243" s="1837" t="s">
        <v>1322</v>
      </c>
      <c r="B2243" s="1836"/>
      <c r="C2243" s="1851"/>
      <c r="D2243" s="1852"/>
      <c r="E2243" s="1853"/>
      <c r="F2243" s="1853"/>
      <c r="G2243" s="1853"/>
    </row>
    <row r="2244" spans="1:7" x14ac:dyDescent="0.2">
      <c r="A2244" s="1837" t="s">
        <v>4413</v>
      </c>
      <c r="B2244" s="1836">
        <v>1.5</v>
      </c>
      <c r="C2244" s="1854"/>
      <c r="D2244" s="1855"/>
      <c r="E2244" s="1856"/>
      <c r="F2244" s="1856"/>
      <c r="G2244" s="1856"/>
    </row>
    <row r="2245" spans="1:7" x14ac:dyDescent="0.2">
      <c r="A2245" s="1837" t="s">
        <v>4414</v>
      </c>
      <c r="B2245" s="1836">
        <f>IF(B221&gt;1.51,1.15,1)</f>
        <v>1.1499999999999999</v>
      </c>
      <c r="C2245" s="1857"/>
      <c r="D2245" s="1858"/>
      <c r="E2245" s="1859"/>
      <c r="F2245" s="1859"/>
      <c r="G2245" s="1859"/>
    </row>
    <row r="2246" spans="1:7" x14ac:dyDescent="0.2">
      <c r="A2246" s="1844" t="s">
        <v>3412</v>
      </c>
      <c r="B2246" s="1836" t="e">
        <f>B2241*B2244*B2245</f>
        <v>#VALUE!</v>
      </c>
      <c r="C2246" s="1857"/>
      <c r="D2246" s="1858"/>
      <c r="E2246" s="1859"/>
      <c r="F2246" s="1859"/>
      <c r="G2246" s="1859"/>
    </row>
    <row r="2247" spans="1:7" x14ac:dyDescent="0.2">
      <c r="A2247" s="1860" t="s">
        <v>4415</v>
      </c>
      <c r="B2247" s="1830" t="e">
        <f>B2240/B2246</f>
        <v>#VALUE!</v>
      </c>
      <c r="C2247" s="1857"/>
      <c r="D2247" s="1858"/>
      <c r="E2247" s="1859"/>
      <c r="F2247" s="1859"/>
      <c r="G2247" s="1859"/>
    </row>
    <row r="2248" spans="1:7" x14ac:dyDescent="0.2">
      <c r="A2248" s="1036"/>
      <c r="B2248" s="1036"/>
      <c r="C2248" s="1847"/>
      <c r="D2248" s="1847"/>
      <c r="E2248" s="1847"/>
      <c r="F2248" s="1847"/>
      <c r="G2248" s="1847"/>
    </row>
    <row r="2249" spans="1:7" ht="15.75" x14ac:dyDescent="0.25">
      <c r="A2249" s="1536" t="s">
        <v>805</v>
      </c>
      <c r="B2249" s="825"/>
      <c r="C2249" s="1861"/>
      <c r="D2249" s="1861"/>
      <c r="E2249" s="1862"/>
      <c r="F2249" s="1862"/>
      <c r="G2249" s="1862"/>
    </row>
    <row r="2250" spans="1:7" ht="15.75" x14ac:dyDescent="0.25">
      <c r="A2250" s="1863" t="s">
        <v>5598</v>
      </c>
      <c r="B2250" s="1731">
        <f>B2138</f>
        <v>474</v>
      </c>
      <c r="C2250" s="1861"/>
      <c r="D2250" s="1864"/>
      <c r="E2250" s="1862"/>
      <c r="F2250" s="1862"/>
      <c r="G2250" s="1862"/>
    </row>
    <row r="2251" spans="1:7" ht="14.25" x14ac:dyDescent="0.2">
      <c r="A2251" s="1732" t="s">
        <v>806</v>
      </c>
      <c r="B2251" s="1732" t="e">
        <f>B2151</f>
        <v>#VALUE!</v>
      </c>
      <c r="C2251" s="1861"/>
      <c r="D2251" s="1864"/>
      <c r="E2251" s="1865"/>
      <c r="F2251" s="1865"/>
      <c r="G2251" s="1865"/>
    </row>
    <row r="2252" spans="1:7" ht="14.25" x14ac:dyDescent="0.2">
      <c r="A2252" s="1732" t="s">
        <v>3412</v>
      </c>
      <c r="B2252" s="1732" t="e">
        <f>B2152</f>
        <v>#VALUE!</v>
      </c>
      <c r="C2252" s="1861"/>
      <c r="D2252" s="1864"/>
      <c r="E2252" s="1866"/>
      <c r="F2252" s="1866"/>
      <c r="G2252" s="1866"/>
    </row>
    <row r="2253" spans="1:7" ht="15.75" x14ac:dyDescent="0.25">
      <c r="A2253" s="1863" t="s">
        <v>807</v>
      </c>
      <c r="B2253" s="1731">
        <f>B2139</f>
        <v>5.8570000000000002</v>
      </c>
      <c r="C2253" s="1861"/>
      <c r="D2253" s="1864"/>
      <c r="E2253" s="1865"/>
      <c r="F2253" s="1865"/>
      <c r="G2253" s="1865"/>
    </row>
    <row r="2254" spans="1:7" ht="15.75" x14ac:dyDescent="0.25">
      <c r="A2254" s="1863" t="s">
        <v>808</v>
      </c>
      <c r="B2254" s="1731" t="e">
        <f>B2133</f>
        <v>#VALUE!</v>
      </c>
      <c r="C2254" s="1861"/>
      <c r="D2254" s="1864"/>
      <c r="E2254" s="1865"/>
      <c r="F2254" s="1865"/>
      <c r="G2254" s="1865"/>
    </row>
    <row r="2255" spans="1:7" ht="15.75" x14ac:dyDescent="0.25">
      <c r="A2255" s="1863" t="s">
        <v>809</v>
      </c>
      <c r="B2255" s="1731" t="e">
        <f>B244</f>
        <v>#VALUE!</v>
      </c>
      <c r="C2255" s="1861"/>
      <c r="D2255" s="1864"/>
      <c r="E2255" s="1867"/>
      <c r="F2255" s="1867"/>
      <c r="G2255" s="1867"/>
    </row>
    <row r="2256" spans="1:7" ht="15.75" x14ac:dyDescent="0.25">
      <c r="A2256" s="1863" t="s">
        <v>810</v>
      </c>
      <c r="B2256" s="1731">
        <f>B2114</f>
        <v>3</v>
      </c>
      <c r="C2256" s="1861"/>
      <c r="D2256" s="1864"/>
      <c r="E2256" s="1862"/>
      <c r="F2256" s="1862"/>
      <c r="G2256" s="1862"/>
    </row>
    <row r="2257" spans="1:10" ht="15.75" x14ac:dyDescent="0.25">
      <c r="A2257" s="1863" t="s">
        <v>811</v>
      </c>
      <c r="B2257" s="1731" t="e">
        <f>B2255/B2256</f>
        <v>#VALUE!</v>
      </c>
      <c r="C2257" s="1861"/>
      <c r="D2257" s="1864"/>
      <c r="E2257" s="1867"/>
      <c r="F2257" s="1867"/>
      <c r="G2257" s="1867"/>
    </row>
    <row r="2258" spans="1:10" ht="15.75" x14ac:dyDescent="0.25">
      <c r="A2258" s="1863" t="s">
        <v>812</v>
      </c>
      <c r="B2258" s="1731" t="e">
        <f>B2257/B2254</f>
        <v>#VALUE!</v>
      </c>
      <c r="C2258" s="1861"/>
      <c r="D2258" s="1864"/>
      <c r="E2258" s="1862"/>
      <c r="F2258" s="1862"/>
      <c r="G2258" s="1862"/>
    </row>
    <row r="2259" spans="1:10" ht="15.75" x14ac:dyDescent="0.25">
      <c r="A2259" s="1863" t="s">
        <v>5132</v>
      </c>
      <c r="B2259" s="1731" t="e">
        <f>B2258*B2256</f>
        <v>#VALUE!</v>
      </c>
      <c r="C2259" s="1861"/>
      <c r="D2259" s="1864"/>
      <c r="E2259" s="1862"/>
      <c r="F2259" s="1862"/>
      <c r="G2259" s="1862"/>
    </row>
    <row r="2260" spans="1:10" ht="15.75" x14ac:dyDescent="0.25">
      <c r="A2260" s="1863" t="s">
        <v>1251</v>
      </c>
      <c r="B2260" s="1731" t="e">
        <f>B2258*B2134</f>
        <v>#VALUE!</v>
      </c>
      <c r="C2260" s="1861"/>
      <c r="D2260" s="1864"/>
      <c r="E2260" s="1862"/>
      <c r="F2260" s="1862"/>
      <c r="G2260" s="1862"/>
    </row>
    <row r="2261" spans="1:10" ht="15.75" x14ac:dyDescent="0.25">
      <c r="A2261" s="1863" t="s">
        <v>1252</v>
      </c>
      <c r="B2261" s="1868" t="e">
        <f>IF(B244&gt;=1000,2*B2114,1*B2114)</f>
        <v>#VALUE!</v>
      </c>
      <c r="C2261" s="1861"/>
      <c r="D2261" s="1864"/>
      <c r="E2261" s="1862"/>
      <c r="F2261" s="1862"/>
      <c r="G2261" s="1862"/>
    </row>
    <row r="2262" spans="1:10" ht="15.75" x14ac:dyDescent="0.25">
      <c r="A2262" s="1869" t="s">
        <v>1253</v>
      </c>
      <c r="B2262" s="1416"/>
      <c r="C2262" s="1861"/>
      <c r="D2262" s="1864"/>
      <c r="E2262" s="1865"/>
      <c r="G2262" s="1865"/>
    </row>
    <row r="2263" spans="1:10" ht="15.75" x14ac:dyDescent="0.25">
      <c r="A2263" s="1870" t="s">
        <v>4387</v>
      </c>
      <c r="B2263" s="1416">
        <f>B2155</f>
        <v>1</v>
      </c>
      <c r="C2263" s="1861"/>
      <c r="D2263" s="1864"/>
      <c r="E2263" s="1866"/>
      <c r="F2263" s="1866"/>
      <c r="G2263" s="1866"/>
    </row>
    <row r="2264" spans="1:10" ht="15.75" x14ac:dyDescent="0.25">
      <c r="A2264" s="1871" t="s">
        <v>4388</v>
      </c>
      <c r="B2264" s="1872" t="e">
        <f>B2156</f>
        <v>#VALUE!</v>
      </c>
      <c r="C2264" s="1861"/>
      <c r="D2264" s="1864"/>
      <c r="E2264" s="1867"/>
      <c r="F2264" s="1867"/>
      <c r="G2264" s="1867"/>
    </row>
    <row r="2265" spans="1:10" ht="15.75" x14ac:dyDescent="0.25">
      <c r="A2265" s="8" t="s">
        <v>1254</v>
      </c>
      <c r="B2265" s="825"/>
      <c r="C2265" s="1861"/>
      <c r="D2265" s="1864"/>
      <c r="E2265" s="1867"/>
      <c r="F2265" s="1867"/>
      <c r="G2265" s="1867"/>
    </row>
    <row r="2266" spans="1:10" ht="15.75" x14ac:dyDescent="0.25">
      <c r="A2266" s="1536" t="s">
        <v>2043</v>
      </c>
      <c r="B2266" s="1873">
        <f>B2189</f>
        <v>4</v>
      </c>
      <c r="C2266" s="1861"/>
      <c r="D2266" s="1864"/>
      <c r="E2266" s="1867"/>
      <c r="F2266" s="1867"/>
      <c r="G2266" s="1867"/>
    </row>
    <row r="2267" spans="1:10" ht="15.75" x14ac:dyDescent="0.25">
      <c r="A2267" s="1536" t="s">
        <v>4388</v>
      </c>
      <c r="B2267" s="1874">
        <v>8</v>
      </c>
      <c r="C2267" s="1861"/>
      <c r="D2267" s="1864"/>
      <c r="E2267" s="1867"/>
      <c r="F2267" s="1867"/>
      <c r="G2267" s="1867"/>
    </row>
    <row r="2268" spans="1:10" ht="15.75" x14ac:dyDescent="0.25">
      <c r="A2268" s="1536" t="s">
        <v>4387</v>
      </c>
      <c r="B2268" s="1376">
        <v>1</v>
      </c>
      <c r="C2268" s="1861"/>
      <c r="D2268" s="1864"/>
      <c r="E2268" s="1862"/>
      <c r="F2268" s="1862"/>
      <c r="G2268" s="1862"/>
    </row>
    <row r="2269" spans="1:10" ht="51" x14ac:dyDescent="0.2">
      <c r="A2269" s="1875" t="s">
        <v>2044</v>
      </c>
      <c r="B2269" s="1875"/>
      <c r="C2269" s="1875"/>
      <c r="D2269" s="1875"/>
      <c r="E2269" s="1875"/>
      <c r="F2269" s="1875"/>
      <c r="G2269" s="1875"/>
      <c r="H2269" s="1875"/>
      <c r="I2269" s="1875"/>
      <c r="J2269" s="1875"/>
    </row>
    <row r="2270" spans="1:10" ht="25.5" x14ac:dyDescent="0.2">
      <c r="A2270" s="1876" t="s">
        <v>2045</v>
      </c>
      <c r="B2270" s="1877" t="s">
        <v>5602</v>
      </c>
      <c r="C2270" s="1877"/>
      <c r="D2270" s="1877"/>
      <c r="E2270" s="1877"/>
      <c r="F2270" s="1877"/>
      <c r="G2270" s="1877"/>
      <c r="H2270" s="1877"/>
      <c r="I2270" s="1877"/>
      <c r="J2270" s="1877"/>
    </row>
    <row r="2271" spans="1:10" x14ac:dyDescent="0.2">
      <c r="A2271" s="1876"/>
      <c r="B2271" s="8" t="s">
        <v>5167</v>
      </c>
      <c r="C2271" s="8" t="s">
        <v>2046</v>
      </c>
      <c r="D2271" s="8" t="s">
        <v>5604</v>
      </c>
      <c r="E2271" s="8" t="s">
        <v>5605</v>
      </c>
      <c r="F2271" s="8" t="s">
        <v>5606</v>
      </c>
      <c r="G2271" s="8" t="s">
        <v>5607</v>
      </c>
      <c r="H2271" s="8" t="s">
        <v>5608</v>
      </c>
      <c r="I2271" s="8" t="s">
        <v>5609</v>
      </c>
      <c r="J2271" s="8" t="s">
        <v>5610</v>
      </c>
    </row>
    <row r="2272" spans="1:10" ht="127.5" x14ac:dyDescent="0.2">
      <c r="A2272" s="1876"/>
      <c r="B2272" s="1878" t="s">
        <v>1175</v>
      </c>
      <c r="C2272" s="1878"/>
      <c r="D2272" s="1878"/>
      <c r="E2272" s="1878"/>
      <c r="F2272" s="1878"/>
      <c r="G2272" s="1878"/>
      <c r="H2272" s="1878"/>
      <c r="I2272" s="1878"/>
      <c r="J2272" s="1878"/>
    </row>
    <row r="2273" spans="1:10" x14ac:dyDescent="0.2">
      <c r="A2273" s="1876"/>
      <c r="C2273" s="1879" t="s">
        <v>1781</v>
      </c>
      <c r="D2273" s="1879"/>
      <c r="E2273" s="1879"/>
      <c r="F2273" s="1879"/>
      <c r="G2273" s="1879"/>
      <c r="H2273" s="1879"/>
      <c r="I2273" s="1879"/>
    </row>
    <row r="2274" spans="1:10" x14ac:dyDescent="0.2">
      <c r="A2274" s="1876"/>
      <c r="D2274" s="1879" t="s">
        <v>1176</v>
      </c>
      <c r="E2274" s="1879"/>
      <c r="F2274" s="1879"/>
      <c r="G2274" s="1879"/>
      <c r="H2274" s="1879"/>
    </row>
    <row r="2275" spans="1:10" x14ac:dyDescent="0.2">
      <c r="A2275" s="8">
        <v>1</v>
      </c>
      <c r="B2275" s="8">
        <v>196</v>
      </c>
      <c r="C2275" s="8">
        <v>210</v>
      </c>
      <c r="D2275" s="8">
        <v>224</v>
      </c>
      <c r="E2275" s="8">
        <v>239</v>
      </c>
      <c r="F2275" s="8">
        <v>253</v>
      </c>
      <c r="G2275" s="8">
        <v>270</v>
      </c>
      <c r="H2275" s="8">
        <v>287</v>
      </c>
      <c r="I2275" s="8">
        <v>304</v>
      </c>
      <c r="J2275" s="8">
        <v>324</v>
      </c>
    </row>
    <row r="2276" spans="1:10" x14ac:dyDescent="0.2">
      <c r="A2276" s="8">
        <v>2</v>
      </c>
      <c r="B2276" s="8">
        <v>217</v>
      </c>
      <c r="C2276" s="8">
        <v>233</v>
      </c>
      <c r="D2276" s="8">
        <v>248</v>
      </c>
      <c r="E2276" s="8">
        <v>264</v>
      </c>
      <c r="F2276" s="8">
        <v>280</v>
      </c>
      <c r="G2276" s="8">
        <v>299</v>
      </c>
      <c r="H2276" s="8">
        <v>318</v>
      </c>
      <c r="I2276" s="8">
        <v>338</v>
      </c>
      <c r="J2276" s="8">
        <v>360</v>
      </c>
    </row>
    <row r="2277" spans="1:10" x14ac:dyDescent="0.2">
      <c r="A2277" s="8">
        <v>3</v>
      </c>
      <c r="B2277" s="8">
        <v>239</v>
      </c>
      <c r="C2277" s="8">
        <v>256</v>
      </c>
      <c r="D2277" s="8">
        <v>273</v>
      </c>
      <c r="E2277" s="8">
        <v>291</v>
      </c>
      <c r="F2277" s="8">
        <v>308</v>
      </c>
      <c r="G2277" s="8">
        <v>329</v>
      </c>
      <c r="H2277" s="8">
        <v>350</v>
      </c>
      <c r="I2277" s="8">
        <v>372</v>
      </c>
      <c r="J2277" s="8">
        <v>396</v>
      </c>
    </row>
    <row r="2278" spans="1:10" x14ac:dyDescent="0.2">
      <c r="A2278" s="8">
        <v>4</v>
      </c>
      <c r="B2278" s="8">
        <v>261</v>
      </c>
      <c r="C2278" s="8">
        <v>280</v>
      </c>
      <c r="D2278" s="8">
        <v>299</v>
      </c>
      <c r="E2278" s="8">
        <v>319</v>
      </c>
      <c r="F2278" s="8">
        <v>338</v>
      </c>
      <c r="G2278" s="8">
        <v>361</v>
      </c>
      <c r="H2278" s="8">
        <v>384</v>
      </c>
      <c r="I2278" s="8">
        <v>408</v>
      </c>
      <c r="J2278" s="8">
        <v>435</v>
      </c>
    </row>
    <row r="2279" spans="1:10" x14ac:dyDescent="0.2">
      <c r="A2279" s="8">
        <v>5</v>
      </c>
      <c r="B2279" s="8">
        <v>284</v>
      </c>
      <c r="C2279" s="8">
        <v>305</v>
      </c>
      <c r="D2279" s="8">
        <v>326</v>
      </c>
      <c r="E2279" s="8">
        <v>347</v>
      </c>
      <c r="F2279" s="8">
        <v>369</v>
      </c>
      <c r="G2279" s="8">
        <v>394</v>
      </c>
      <c r="H2279" s="8">
        <v>419</v>
      </c>
      <c r="I2279" s="8">
        <v>445</v>
      </c>
      <c r="J2279" s="8">
        <v>474</v>
      </c>
    </row>
    <row r="2280" spans="1:10" x14ac:dyDescent="0.2">
      <c r="A2280" s="8">
        <v>6</v>
      </c>
      <c r="B2280" s="8">
        <v>309</v>
      </c>
      <c r="C2280" s="8">
        <v>332</v>
      </c>
      <c r="D2280" s="8">
        <v>355</v>
      </c>
      <c r="E2280" s="8">
        <v>378</v>
      </c>
      <c r="F2280" s="8">
        <v>402</v>
      </c>
      <c r="G2280" s="8">
        <v>429</v>
      </c>
      <c r="H2280" s="8">
        <v>457</v>
      </c>
      <c r="I2280" s="8">
        <v>486</v>
      </c>
      <c r="J2280" s="8">
        <v>518</v>
      </c>
    </row>
    <row r="2281" spans="1:10" x14ac:dyDescent="0.2">
      <c r="A2281" s="8">
        <v>7</v>
      </c>
      <c r="B2281" s="8">
        <v>336</v>
      </c>
      <c r="C2281" s="8">
        <v>361</v>
      </c>
      <c r="D2281" s="8">
        <v>386</v>
      </c>
      <c r="E2281" s="8">
        <v>412</v>
      </c>
      <c r="F2281" s="8">
        <v>437</v>
      </c>
      <c r="G2281" s="8">
        <v>468</v>
      </c>
      <c r="H2281" s="8">
        <v>498</v>
      </c>
      <c r="I2281" s="8">
        <v>530</v>
      </c>
      <c r="J2281" s="8">
        <v>565</v>
      </c>
    </row>
    <row r="2282" spans="1:10" x14ac:dyDescent="0.2">
      <c r="A2282" s="8">
        <v>8</v>
      </c>
      <c r="B2282" s="8">
        <v>361</v>
      </c>
      <c r="C2282" s="8">
        <v>388</v>
      </c>
      <c r="D2282" s="8">
        <v>415</v>
      </c>
      <c r="E2282" s="8">
        <v>443</v>
      </c>
      <c r="F2282" s="8">
        <v>471</v>
      </c>
      <c r="G2282" s="8">
        <v>504</v>
      </c>
      <c r="H2282" s="8">
        <v>537</v>
      </c>
      <c r="I2282" s="8">
        <v>571</v>
      </c>
      <c r="J2282" s="8">
        <v>609</v>
      </c>
    </row>
    <row r="2283" spans="1:10" x14ac:dyDescent="0.2">
      <c r="A2283" s="8">
        <v>9</v>
      </c>
      <c r="B2283" s="8">
        <v>387</v>
      </c>
      <c r="C2283" s="8">
        <v>416</v>
      </c>
      <c r="D2283" s="8">
        <v>445</v>
      </c>
      <c r="E2283" s="8">
        <v>475</v>
      </c>
      <c r="F2283" s="8">
        <v>505</v>
      </c>
      <c r="G2283" s="8">
        <v>540</v>
      </c>
      <c r="H2283" s="8">
        <v>576</v>
      </c>
      <c r="I2283" s="8">
        <v>613</v>
      </c>
      <c r="J2283" s="8">
        <v>653</v>
      </c>
    </row>
    <row r="2285" spans="1:10" x14ac:dyDescent="0.2">
      <c r="C2285" s="4669" t="s">
        <v>1177</v>
      </c>
      <c r="D2285" s="4669"/>
      <c r="E2285" s="4669"/>
      <c r="F2285" s="4669"/>
      <c r="G2285" s="4669"/>
      <c r="H2285" s="4669"/>
      <c r="I2285" s="4669"/>
    </row>
    <row r="2286" spans="1:10" x14ac:dyDescent="0.2">
      <c r="D2286" s="4669" t="s">
        <v>1176</v>
      </c>
      <c r="E2286" s="4669"/>
      <c r="F2286" s="4669"/>
      <c r="G2286" s="4669"/>
      <c r="H2286" s="4669"/>
    </row>
    <row r="2287" spans="1:10" x14ac:dyDescent="0.2">
      <c r="A2287" s="8">
        <v>1</v>
      </c>
      <c r="B2287" s="8">
        <v>5.4320000000000004</v>
      </c>
      <c r="C2287" s="8">
        <v>5.343</v>
      </c>
      <c r="D2287" s="8">
        <v>5.2430000000000003</v>
      </c>
      <c r="E2287" s="8">
        <v>5.1669999999999998</v>
      </c>
      <c r="F2287" s="8">
        <v>5.0789999999999997</v>
      </c>
      <c r="G2287" s="8">
        <v>4.9610000000000003</v>
      </c>
      <c r="H2287" s="8">
        <v>4.8609999999999998</v>
      </c>
      <c r="I2287" s="8">
        <v>4.7690000000000001</v>
      </c>
      <c r="J2287" s="8">
        <v>4.6580000000000004</v>
      </c>
    </row>
    <row r="2288" spans="1:10" x14ac:dyDescent="0.2">
      <c r="A2288" s="8">
        <v>2</v>
      </c>
      <c r="B2288" s="8">
        <v>5.79</v>
      </c>
      <c r="C2288" s="8">
        <v>5.6929999999999996</v>
      </c>
      <c r="D2288" s="8">
        <v>5.5830000000000002</v>
      </c>
      <c r="E2288" s="8">
        <v>5.4889999999999999</v>
      </c>
      <c r="F2288" s="8">
        <v>5.4029999999999996</v>
      </c>
      <c r="G2288" s="8">
        <v>5.2729999999999997</v>
      </c>
      <c r="H2288" s="8">
        <v>5.1630000000000003</v>
      </c>
      <c r="I2288" s="8">
        <v>5.0609999999999999</v>
      </c>
      <c r="J2288" s="8">
        <v>4.9370000000000003</v>
      </c>
    </row>
    <row r="2289" spans="1:10" x14ac:dyDescent="0.2">
      <c r="A2289" s="8">
        <v>3</v>
      </c>
      <c r="B2289" s="8">
        <v>6.16</v>
      </c>
      <c r="C2289" s="8">
        <v>6.0549999999999997</v>
      </c>
      <c r="D2289" s="8">
        <v>5.9340000000000002</v>
      </c>
      <c r="E2289" s="8">
        <v>5.8319999999999999</v>
      </c>
      <c r="F2289" s="8">
        <v>5.7380000000000004</v>
      </c>
      <c r="G2289" s="8">
        <v>5.5949999999999998</v>
      </c>
      <c r="H2289" s="8">
        <v>5.4749999999999996</v>
      </c>
      <c r="I2289" s="8">
        <v>5.3639999999999999</v>
      </c>
      <c r="J2289" s="8">
        <v>5.2270000000000003</v>
      </c>
    </row>
    <row r="2290" spans="1:10" x14ac:dyDescent="0.2">
      <c r="A2290" s="8">
        <v>4</v>
      </c>
      <c r="B2290" s="8">
        <v>6.5549999999999997</v>
      </c>
      <c r="C2290" s="8">
        <v>6.4390000000000001</v>
      </c>
      <c r="D2290" s="8">
        <v>6.3070000000000004</v>
      </c>
      <c r="E2290" s="8">
        <v>6.1970000000000001</v>
      </c>
      <c r="F2290" s="8">
        <v>6.0949999999999998</v>
      </c>
      <c r="G2290" s="8">
        <v>5.9390000000000001</v>
      </c>
      <c r="H2290" s="8">
        <v>5.8070000000000004</v>
      </c>
      <c r="I2290" s="8">
        <v>5.6859999999999999</v>
      </c>
      <c r="J2290" s="8">
        <v>5.5359999999999996</v>
      </c>
    </row>
    <row r="2291" spans="1:10" x14ac:dyDescent="0.2">
      <c r="A2291" s="8">
        <v>5</v>
      </c>
      <c r="B2291" s="8">
        <v>6.9569999999999999</v>
      </c>
      <c r="C2291" s="8">
        <v>6.8339999999999996</v>
      </c>
      <c r="D2291" s="8">
        <v>6.6920000000000002</v>
      </c>
      <c r="E2291" s="8">
        <v>6.5730000000000004</v>
      </c>
      <c r="F2291" s="8">
        <v>6.4630000000000001</v>
      </c>
      <c r="G2291" s="8">
        <v>6.2939999999999996</v>
      </c>
      <c r="H2291" s="8">
        <v>6.1509999999999998</v>
      </c>
      <c r="I2291" s="8">
        <v>6.02</v>
      </c>
      <c r="J2291" s="8">
        <v>5.8570000000000002</v>
      </c>
    </row>
    <row r="2292" spans="1:10" x14ac:dyDescent="0.2">
      <c r="A2292" s="8">
        <v>6</v>
      </c>
      <c r="B2292" s="8">
        <v>7.4</v>
      </c>
      <c r="C2292" s="8">
        <v>7.2679999999999998</v>
      </c>
      <c r="D2292" s="8">
        <v>7.1139999999999999</v>
      </c>
      <c r="E2292" s="8">
        <v>6.9859999999999998</v>
      </c>
      <c r="F2292" s="8">
        <v>6.8680000000000003</v>
      </c>
      <c r="G2292" s="8">
        <v>6.6840000000000002</v>
      </c>
      <c r="H2292" s="8">
        <v>6.5289999999999999</v>
      </c>
      <c r="I2292" s="8">
        <v>6.3879999999999999</v>
      </c>
      <c r="J2292" s="8">
        <v>6.21</v>
      </c>
    </row>
    <row r="2293" spans="1:10" x14ac:dyDescent="0.2">
      <c r="A2293" s="8">
        <v>7</v>
      </c>
      <c r="B2293" s="8">
        <v>7.8810000000000002</v>
      </c>
      <c r="C2293" s="8">
        <v>7.7389999999999999</v>
      </c>
      <c r="D2293" s="8">
        <v>7.5720000000000001</v>
      </c>
      <c r="E2293" s="8">
        <v>7.4359999999999999</v>
      </c>
      <c r="F2293" s="8">
        <v>7.3090000000000002</v>
      </c>
      <c r="G2293" s="8">
        <v>7.109</v>
      </c>
      <c r="H2293" s="8">
        <v>6.9420000000000002</v>
      </c>
      <c r="I2293" s="8">
        <v>6.7889999999999997</v>
      </c>
      <c r="J2293" s="8">
        <v>6.5949999999999998</v>
      </c>
    </row>
    <row r="2294" spans="1:10" x14ac:dyDescent="0.2">
      <c r="A2294" s="8">
        <v>8</v>
      </c>
      <c r="B2294" s="8">
        <v>8.3339999999999996</v>
      </c>
      <c r="C2294" s="8">
        <v>8.1839999999999993</v>
      </c>
      <c r="D2294" s="8">
        <v>8.0060000000000002</v>
      </c>
      <c r="E2294" s="8">
        <v>7.8620000000000001</v>
      </c>
      <c r="F2294" s="8">
        <v>7.726</v>
      </c>
      <c r="G2294" s="8">
        <v>7.5119999999999996</v>
      </c>
      <c r="H2294" s="8">
        <v>7.33</v>
      </c>
      <c r="I2294" s="8">
        <v>7.17</v>
      </c>
      <c r="J2294" s="8">
        <v>6.9610000000000003</v>
      </c>
    </row>
    <row r="2295" spans="1:10" x14ac:dyDescent="0.2">
      <c r="A2295" s="8">
        <v>9</v>
      </c>
      <c r="B2295" s="8">
        <v>8.7949999999999999</v>
      </c>
      <c r="C2295" s="8">
        <v>8.6359999999999992</v>
      </c>
      <c r="D2295" s="8">
        <v>8.4469999999999992</v>
      </c>
      <c r="E2295" s="8">
        <v>8.2949999999999999</v>
      </c>
      <c r="F2295" s="8">
        <v>8.1519999999999992</v>
      </c>
      <c r="G2295" s="8">
        <v>7.9240000000000004</v>
      </c>
      <c r="H2295" s="8">
        <v>7.7329999999999997</v>
      </c>
      <c r="I2295" s="8">
        <v>7.56</v>
      </c>
      <c r="J2295" s="8">
        <v>7.3360000000000003</v>
      </c>
    </row>
    <row r="2297" spans="1:10" x14ac:dyDescent="0.2">
      <c r="C2297" s="4669" t="s">
        <v>1781</v>
      </c>
      <c r="D2297" s="4669"/>
      <c r="E2297" s="4669"/>
      <c r="F2297" s="4669"/>
      <c r="G2297" s="4669"/>
      <c r="H2297" s="4669"/>
      <c r="I2297" s="4669"/>
    </row>
    <row r="2298" spans="1:10" x14ac:dyDescent="0.2">
      <c r="D2298" s="4669" t="s">
        <v>1178</v>
      </c>
      <c r="E2298" s="4669"/>
      <c r="F2298" s="4669"/>
      <c r="G2298" s="4669"/>
      <c r="H2298" s="4669"/>
    </row>
    <row r="2299" spans="1:10" x14ac:dyDescent="0.2">
      <c r="A2299" s="8">
        <v>1</v>
      </c>
      <c r="B2299" s="8">
        <v>199</v>
      </c>
      <c r="C2299" s="8">
        <v>214</v>
      </c>
      <c r="D2299" s="8">
        <v>228</v>
      </c>
      <c r="E2299" s="8">
        <v>243</v>
      </c>
      <c r="F2299" s="8">
        <v>257</v>
      </c>
      <c r="G2299" s="8">
        <v>275</v>
      </c>
      <c r="H2299" s="8">
        <v>292</v>
      </c>
      <c r="I2299" s="8">
        <v>309</v>
      </c>
      <c r="J2299" s="8">
        <v>329</v>
      </c>
    </row>
    <row r="2300" spans="1:10" x14ac:dyDescent="0.2">
      <c r="A2300" s="8">
        <v>2</v>
      </c>
      <c r="B2300" s="8">
        <v>221</v>
      </c>
      <c r="C2300" s="8">
        <v>237</v>
      </c>
      <c r="D2300" s="8">
        <v>253</v>
      </c>
      <c r="E2300" s="8">
        <v>269</v>
      </c>
      <c r="F2300" s="8">
        <v>286</v>
      </c>
      <c r="G2300" s="8">
        <v>305</v>
      </c>
      <c r="H2300" s="8">
        <v>324</v>
      </c>
      <c r="I2300" s="8">
        <v>343</v>
      </c>
      <c r="J2300" s="8">
        <v>365</v>
      </c>
    </row>
    <row r="2301" spans="1:10" x14ac:dyDescent="0.2">
      <c r="A2301" s="8">
        <v>3</v>
      </c>
      <c r="B2301" s="8">
        <v>243</v>
      </c>
      <c r="C2301" s="8">
        <v>261</v>
      </c>
      <c r="D2301" s="8">
        <v>279</v>
      </c>
      <c r="E2301" s="8">
        <v>297</v>
      </c>
      <c r="F2301" s="8">
        <v>315</v>
      </c>
      <c r="G2301" s="8">
        <v>336</v>
      </c>
      <c r="H2301" s="8">
        <v>357</v>
      </c>
      <c r="I2301" s="8">
        <v>379</v>
      </c>
      <c r="J2301" s="8">
        <v>403</v>
      </c>
    </row>
    <row r="2302" spans="1:10" x14ac:dyDescent="0.2">
      <c r="A2302" s="8">
        <v>4</v>
      </c>
      <c r="B2302" s="8">
        <v>266</v>
      </c>
      <c r="C2302" s="8">
        <v>286</v>
      </c>
      <c r="D2302" s="8">
        <v>306</v>
      </c>
      <c r="E2302" s="8">
        <v>326</v>
      </c>
      <c r="F2302" s="8">
        <v>346</v>
      </c>
      <c r="G2302" s="8">
        <v>370</v>
      </c>
      <c r="H2302" s="8">
        <v>393</v>
      </c>
      <c r="I2302" s="8">
        <v>416</v>
      </c>
      <c r="J2302" s="8">
        <v>443</v>
      </c>
    </row>
    <row r="2303" spans="1:10" x14ac:dyDescent="0.2">
      <c r="A2303" s="8">
        <v>5</v>
      </c>
      <c r="B2303" s="8">
        <v>290</v>
      </c>
      <c r="C2303" s="8">
        <v>312</v>
      </c>
      <c r="D2303" s="8">
        <v>334</v>
      </c>
      <c r="E2303" s="8">
        <v>356</v>
      </c>
      <c r="F2303" s="8">
        <v>378</v>
      </c>
      <c r="G2303" s="8">
        <v>403</v>
      </c>
      <c r="H2303" s="8">
        <v>429</v>
      </c>
      <c r="I2303" s="8">
        <v>455</v>
      </c>
      <c r="J2303" s="8">
        <v>484</v>
      </c>
    </row>
    <row r="2304" spans="1:10" x14ac:dyDescent="0.2">
      <c r="A2304" s="8">
        <v>6</v>
      </c>
      <c r="B2304" s="8">
        <v>317</v>
      </c>
      <c r="C2304" s="8">
        <v>341</v>
      </c>
      <c r="D2304" s="8">
        <v>364</v>
      </c>
      <c r="E2304" s="8">
        <v>388</v>
      </c>
      <c r="F2304" s="8">
        <v>412</v>
      </c>
      <c r="G2304" s="8">
        <v>441</v>
      </c>
      <c r="H2304" s="8">
        <v>469</v>
      </c>
      <c r="I2304" s="8">
        <v>497</v>
      </c>
      <c r="J2304" s="8">
        <v>530</v>
      </c>
    </row>
    <row r="2305" spans="1:10" x14ac:dyDescent="0.2">
      <c r="A2305" s="8">
        <v>7</v>
      </c>
      <c r="B2305" s="8">
        <v>345</v>
      </c>
      <c r="C2305" s="8">
        <v>372</v>
      </c>
      <c r="D2305" s="8">
        <v>397</v>
      </c>
      <c r="E2305" s="8">
        <v>424</v>
      </c>
      <c r="F2305" s="8">
        <v>450</v>
      </c>
      <c r="G2305" s="8">
        <v>482</v>
      </c>
      <c r="H2305" s="8">
        <v>513</v>
      </c>
      <c r="I2305" s="8">
        <v>543</v>
      </c>
      <c r="J2305" s="8">
        <v>579</v>
      </c>
    </row>
    <row r="2306" spans="1:10" x14ac:dyDescent="0.2">
      <c r="A2306" s="8">
        <v>8</v>
      </c>
      <c r="B2306" s="8">
        <v>371</v>
      </c>
      <c r="C2306" s="8">
        <v>400</v>
      </c>
      <c r="D2306" s="8">
        <v>429</v>
      </c>
      <c r="E2306" s="8">
        <v>457</v>
      </c>
      <c r="F2306" s="8">
        <v>486</v>
      </c>
      <c r="G2306" s="8">
        <v>520</v>
      </c>
      <c r="H2306" s="8">
        <v>553</v>
      </c>
      <c r="I2306" s="8">
        <v>587</v>
      </c>
      <c r="J2306" s="8">
        <v>625</v>
      </c>
    </row>
    <row r="2307" spans="1:10" x14ac:dyDescent="0.2">
      <c r="A2307" s="8">
        <v>9</v>
      </c>
      <c r="B2307" s="8">
        <v>398</v>
      </c>
      <c r="C2307" s="8">
        <v>430</v>
      </c>
      <c r="D2307" s="8">
        <v>460</v>
      </c>
      <c r="E2307" s="8">
        <v>491</v>
      </c>
      <c r="F2307" s="8">
        <v>522</v>
      </c>
      <c r="G2307" s="8">
        <v>559</v>
      </c>
      <c r="H2307" s="8">
        <v>595</v>
      </c>
      <c r="I2307" s="8">
        <v>631</v>
      </c>
      <c r="J2307" s="8">
        <v>672</v>
      </c>
    </row>
    <row r="2309" spans="1:10" x14ac:dyDescent="0.2">
      <c r="C2309" s="4669" t="s">
        <v>1177</v>
      </c>
      <c r="D2309" s="4669"/>
      <c r="E2309" s="4669"/>
      <c r="F2309" s="4669"/>
      <c r="G2309" s="4669"/>
      <c r="H2309" s="4669"/>
      <c r="I2309" s="4669"/>
    </row>
    <row r="2310" spans="1:10" x14ac:dyDescent="0.2">
      <c r="D2310" s="4669" t="s">
        <v>1178</v>
      </c>
      <c r="E2310" s="4669"/>
      <c r="F2310" s="4669"/>
      <c r="G2310" s="4669"/>
      <c r="H2310" s="4669"/>
    </row>
    <row r="2311" spans="1:10" x14ac:dyDescent="0.2">
      <c r="A2311" s="8">
        <v>1</v>
      </c>
      <c r="B2311" s="8">
        <v>5.4939999999999998</v>
      </c>
      <c r="C2311" s="8">
        <v>5.4109999999999996</v>
      </c>
      <c r="D2311" s="8">
        <v>5.3129999999999997</v>
      </c>
      <c r="E2311" s="8">
        <v>5.2229999999999999</v>
      </c>
      <c r="F2311" s="8">
        <v>5.1449999999999996</v>
      </c>
      <c r="G2311" s="8">
        <v>5.0279999999999996</v>
      </c>
      <c r="H2311" s="8">
        <v>4.92</v>
      </c>
      <c r="I2311" s="8">
        <v>4.8239999999999998</v>
      </c>
      <c r="J2311" s="8">
        <v>4.7080000000000002</v>
      </c>
    </row>
    <row r="2312" spans="1:10" x14ac:dyDescent="0.2">
      <c r="A2312" s="8">
        <v>2</v>
      </c>
      <c r="B2312" s="8">
        <v>5.8659999999999997</v>
      </c>
      <c r="C2312" s="8">
        <v>5.7750000000000004</v>
      </c>
      <c r="D2312" s="8">
        <v>5.6669999999999998</v>
      </c>
      <c r="E2312" s="8">
        <v>5.5629999999999997</v>
      </c>
      <c r="F2312" s="8">
        <v>5.4820000000000002</v>
      </c>
      <c r="G2312" s="8">
        <v>5.3520000000000003</v>
      </c>
      <c r="H2312" s="8">
        <v>5.2329999999999997</v>
      </c>
      <c r="I2312" s="8">
        <v>5.1260000000000003</v>
      </c>
      <c r="J2312" s="8">
        <v>4.9980000000000002</v>
      </c>
    </row>
    <row r="2313" spans="1:10" x14ac:dyDescent="0.2">
      <c r="A2313" s="8">
        <v>3</v>
      </c>
      <c r="B2313" s="8">
        <v>6.25</v>
      </c>
      <c r="C2313" s="8">
        <v>6.1520000000000001</v>
      </c>
      <c r="D2313" s="8">
        <v>6.0339999999999998</v>
      </c>
      <c r="E2313" s="8">
        <v>5.9260000000000002</v>
      </c>
      <c r="F2313" s="8">
        <v>5.8319999999999999</v>
      </c>
      <c r="G2313" s="8">
        <v>5.69</v>
      </c>
      <c r="H2313" s="8">
        <v>5.5590000000000002</v>
      </c>
      <c r="I2313" s="8">
        <v>5.4409999999999998</v>
      </c>
      <c r="J2313" s="8">
        <v>5.2990000000000004</v>
      </c>
    </row>
    <row r="2314" spans="1:10" x14ac:dyDescent="0.2">
      <c r="A2314" s="8">
        <v>4</v>
      </c>
      <c r="B2314" s="8">
        <v>6.66</v>
      </c>
      <c r="C2314" s="8">
        <v>6.5540000000000003</v>
      </c>
      <c r="D2314" s="8">
        <v>6.4249999999999998</v>
      </c>
      <c r="E2314" s="8">
        <v>6.3079999999999998</v>
      </c>
      <c r="F2314" s="8">
        <v>6.2060000000000004</v>
      </c>
      <c r="G2314" s="8">
        <v>6.0510000000000002</v>
      </c>
      <c r="H2314" s="8">
        <v>5.907</v>
      </c>
      <c r="I2314" s="8">
        <v>5.7779999999999996</v>
      </c>
      <c r="J2314" s="8">
        <v>5.6219999999999999</v>
      </c>
    </row>
    <row r="2315" spans="1:10" x14ac:dyDescent="0.2">
      <c r="A2315" s="8">
        <v>5</v>
      </c>
      <c r="B2315" s="8">
        <v>7.0830000000000002</v>
      </c>
      <c r="C2315" s="8">
        <v>6.97</v>
      </c>
      <c r="D2315" s="8">
        <v>6.8310000000000004</v>
      </c>
      <c r="E2315" s="8">
        <v>6.7039999999999997</v>
      </c>
      <c r="F2315" s="8">
        <v>6.5940000000000003</v>
      </c>
      <c r="G2315" s="8">
        <v>6.4249999999999998</v>
      </c>
      <c r="H2315" s="8">
        <v>6.2679999999999998</v>
      </c>
      <c r="I2315" s="8">
        <v>6.1280000000000001</v>
      </c>
      <c r="J2315" s="8">
        <v>5.9569999999999999</v>
      </c>
    </row>
    <row r="2316" spans="1:10" x14ac:dyDescent="0.2">
      <c r="A2316" s="8">
        <v>6</v>
      </c>
      <c r="B2316" s="8">
        <v>7.548</v>
      </c>
      <c r="C2316" s="8">
        <v>7.4269999999999996</v>
      </c>
      <c r="D2316" s="8">
        <v>7.2770000000000001</v>
      </c>
      <c r="E2316" s="8">
        <v>7.14</v>
      </c>
      <c r="F2316" s="8">
        <v>7.0209999999999999</v>
      </c>
      <c r="G2316" s="8">
        <v>6.8390000000000004</v>
      </c>
      <c r="H2316" s="8">
        <v>6.6669999999999998</v>
      </c>
      <c r="I2316" s="8">
        <v>6.5149999999999997</v>
      </c>
      <c r="J2316" s="8">
        <v>6.327</v>
      </c>
    </row>
    <row r="2317" spans="1:10" x14ac:dyDescent="0.2">
      <c r="A2317" s="8">
        <v>7</v>
      </c>
      <c r="B2317" s="8">
        <v>8.0549999999999997</v>
      </c>
      <c r="C2317" s="8">
        <v>7.9260000000000002</v>
      </c>
      <c r="D2317" s="8">
        <v>7.7649999999999997</v>
      </c>
      <c r="E2317" s="8">
        <v>7.617</v>
      </c>
      <c r="F2317" s="8">
        <v>7.4889999999999999</v>
      </c>
      <c r="G2317" s="8">
        <v>7.2919999999999998</v>
      </c>
      <c r="H2317" s="8">
        <v>7.1050000000000004</v>
      </c>
      <c r="I2317" s="8">
        <v>6.9390000000000001</v>
      </c>
      <c r="J2317" s="8">
        <v>6.734</v>
      </c>
    </row>
    <row r="2318" spans="1:10" x14ac:dyDescent="0.2">
      <c r="A2318" s="8">
        <v>8</v>
      </c>
      <c r="B2318" s="8">
        <v>8.5350000000000001</v>
      </c>
      <c r="C2318" s="8">
        <v>8.4</v>
      </c>
      <c r="D2318" s="8">
        <v>8.2279999999999998</v>
      </c>
      <c r="E2318" s="8">
        <v>8.0709999999999997</v>
      </c>
      <c r="F2318" s="8">
        <v>7.9349999999999996</v>
      </c>
      <c r="G2318" s="8">
        <v>7.7240000000000002</v>
      </c>
      <c r="H2318" s="8">
        <v>7.5220000000000002</v>
      </c>
      <c r="I2318" s="8">
        <v>7.3440000000000003</v>
      </c>
      <c r="J2318" s="8">
        <v>7.1219999999999999</v>
      </c>
    </row>
    <row r="2319" spans="1:10" x14ac:dyDescent="0.2">
      <c r="A2319" s="8">
        <v>9</v>
      </c>
      <c r="B2319" s="8">
        <v>9.0250000000000004</v>
      </c>
      <c r="C2319" s="8">
        <v>8.8840000000000003</v>
      </c>
      <c r="D2319" s="8">
        <v>8.7010000000000005</v>
      </c>
      <c r="E2319" s="8">
        <v>8.5359999999999996</v>
      </c>
      <c r="F2319" s="8">
        <v>8.391</v>
      </c>
      <c r="G2319" s="8">
        <v>8.1660000000000004</v>
      </c>
      <c r="H2319" s="8">
        <v>7.9489999999999998</v>
      </c>
      <c r="I2319" s="8">
        <v>7.7590000000000003</v>
      </c>
      <c r="J2319" s="8">
        <v>7.52</v>
      </c>
    </row>
    <row r="2321" spans="1:10" x14ac:dyDescent="0.2">
      <c r="B2321" s="4672" t="s">
        <v>1179</v>
      </c>
      <c r="C2321" s="4672"/>
      <c r="D2321" s="4672"/>
      <c r="E2321" s="4672"/>
      <c r="F2321" s="4672"/>
      <c r="G2321" s="4672"/>
      <c r="H2321" s="4672"/>
      <c r="I2321" s="4672"/>
      <c r="J2321" s="4672"/>
    </row>
    <row r="2322" spans="1:10" x14ac:dyDescent="0.2">
      <c r="A2322" s="1876"/>
      <c r="C2322" s="4669" t="s">
        <v>1781</v>
      </c>
      <c r="D2322" s="4669"/>
      <c r="E2322" s="4669"/>
      <c r="F2322" s="4669"/>
      <c r="G2322" s="4669"/>
      <c r="H2322" s="4669"/>
      <c r="I2322" s="4669"/>
    </row>
    <row r="2323" spans="1:10" x14ac:dyDescent="0.2">
      <c r="A2323" s="1876"/>
      <c r="D2323" s="4669" t="s">
        <v>1176</v>
      </c>
      <c r="E2323" s="4669"/>
      <c r="F2323" s="4669"/>
      <c r="G2323" s="4669"/>
      <c r="H2323" s="4669"/>
    </row>
    <row r="2324" spans="1:10" x14ac:dyDescent="0.2">
      <c r="A2324" s="8">
        <v>1</v>
      </c>
      <c r="B2324" s="8">
        <v>189</v>
      </c>
      <c r="C2324" s="8">
        <v>202</v>
      </c>
      <c r="D2324" s="8">
        <v>214</v>
      </c>
      <c r="E2324" s="8">
        <v>227</v>
      </c>
      <c r="F2324" s="8">
        <v>240</v>
      </c>
      <c r="G2324" s="8">
        <v>256</v>
      </c>
      <c r="H2324" s="8">
        <v>217</v>
      </c>
      <c r="I2324" s="8">
        <v>286</v>
      </c>
      <c r="J2324" s="8">
        <v>303</v>
      </c>
    </row>
    <row r="2325" spans="1:10" x14ac:dyDescent="0.2">
      <c r="A2325" s="8">
        <v>2</v>
      </c>
      <c r="B2325" s="8">
        <v>208</v>
      </c>
      <c r="C2325" s="8">
        <v>222</v>
      </c>
      <c r="D2325" s="8">
        <v>236</v>
      </c>
      <c r="E2325" s="8">
        <v>251</v>
      </c>
      <c r="F2325" s="8">
        <v>265</v>
      </c>
      <c r="G2325" s="8">
        <v>282</v>
      </c>
      <c r="H2325" s="8">
        <v>299</v>
      </c>
      <c r="I2325" s="8">
        <v>316</v>
      </c>
      <c r="J2325" s="8">
        <v>334</v>
      </c>
    </row>
    <row r="2326" spans="1:10" x14ac:dyDescent="0.2">
      <c r="A2326" s="8">
        <v>3</v>
      </c>
      <c r="B2326" s="8">
        <v>228</v>
      </c>
      <c r="C2326" s="8">
        <v>244</v>
      </c>
      <c r="D2326" s="8">
        <v>259</v>
      </c>
      <c r="E2326" s="8">
        <v>279</v>
      </c>
      <c r="F2326" s="8">
        <v>291</v>
      </c>
      <c r="G2326" s="8">
        <v>309</v>
      </c>
      <c r="H2326" s="8">
        <v>327</v>
      </c>
      <c r="I2326" s="8">
        <v>345</v>
      </c>
      <c r="J2326" s="8">
        <v>366</v>
      </c>
    </row>
    <row r="2327" spans="1:10" x14ac:dyDescent="0.2">
      <c r="A2327" s="8">
        <v>4</v>
      </c>
      <c r="B2327" s="8">
        <v>249</v>
      </c>
      <c r="C2327" s="8">
        <v>266</v>
      </c>
      <c r="D2327" s="8">
        <v>283</v>
      </c>
      <c r="E2327" s="8">
        <v>300</v>
      </c>
      <c r="F2327" s="8">
        <v>317</v>
      </c>
      <c r="G2327" s="8">
        <v>337</v>
      </c>
      <c r="H2327" s="8">
        <v>357</v>
      </c>
      <c r="I2327" s="8">
        <v>376</v>
      </c>
      <c r="J2327" s="8">
        <v>398</v>
      </c>
    </row>
    <row r="2328" spans="1:10" x14ac:dyDescent="0.2">
      <c r="A2328" s="8">
        <v>5</v>
      </c>
      <c r="B2328" s="8">
        <v>270</v>
      </c>
      <c r="C2328" s="8">
        <v>289</v>
      </c>
      <c r="D2328" s="8">
        <v>307</v>
      </c>
      <c r="E2328" s="8">
        <v>325</v>
      </c>
      <c r="F2328" s="8">
        <v>344</v>
      </c>
      <c r="G2328" s="8">
        <v>365</v>
      </c>
      <c r="H2328" s="8">
        <v>386</v>
      </c>
      <c r="I2328" s="8">
        <v>408</v>
      </c>
      <c r="J2328" s="8">
        <v>431</v>
      </c>
    </row>
    <row r="2329" spans="1:10" x14ac:dyDescent="0.2">
      <c r="A2329" s="8">
        <v>6</v>
      </c>
      <c r="B2329" s="8">
        <v>293</v>
      </c>
      <c r="C2329" s="8">
        <v>313</v>
      </c>
      <c r="D2329" s="8">
        <v>332</v>
      </c>
      <c r="E2329" s="8">
        <v>352</v>
      </c>
      <c r="F2329" s="8">
        <v>372</v>
      </c>
      <c r="G2329" s="8">
        <v>395</v>
      </c>
      <c r="H2329" s="8">
        <v>418</v>
      </c>
      <c r="I2329" s="8">
        <v>441</v>
      </c>
      <c r="J2329" s="8">
        <v>467</v>
      </c>
    </row>
    <row r="2330" spans="1:10" x14ac:dyDescent="0.2">
      <c r="A2330" s="8">
        <v>7</v>
      </c>
      <c r="B2330" s="8">
        <v>317</v>
      </c>
      <c r="C2330" s="8">
        <v>339</v>
      </c>
      <c r="D2330" s="8">
        <v>360</v>
      </c>
      <c r="E2330" s="8">
        <v>381</v>
      </c>
      <c r="F2330" s="8">
        <v>403</v>
      </c>
      <c r="G2330" s="8">
        <v>428</v>
      </c>
      <c r="H2330" s="8">
        <v>452</v>
      </c>
      <c r="I2330" s="8">
        <v>477</v>
      </c>
      <c r="J2330" s="8">
        <v>505</v>
      </c>
    </row>
    <row r="2331" spans="1:10" x14ac:dyDescent="0.2">
      <c r="A2331" s="8">
        <v>8</v>
      </c>
      <c r="B2331" s="8">
        <v>340</v>
      </c>
      <c r="C2331" s="8">
        <v>362</v>
      </c>
      <c r="D2331" s="8">
        <v>385</v>
      </c>
      <c r="E2331" s="8">
        <v>408</v>
      </c>
      <c r="F2331" s="8">
        <v>431</v>
      </c>
      <c r="G2331" s="8">
        <v>458</v>
      </c>
      <c r="H2331" s="8">
        <v>484</v>
      </c>
      <c r="I2331" s="8">
        <v>510</v>
      </c>
      <c r="J2331" s="8">
        <v>540</v>
      </c>
    </row>
    <row r="2332" spans="1:10" x14ac:dyDescent="0.2">
      <c r="A2332" s="8">
        <v>9</v>
      </c>
      <c r="B2332" s="8">
        <v>362</v>
      </c>
      <c r="C2332" s="8">
        <v>386</v>
      </c>
      <c r="D2332" s="8">
        <v>410</v>
      </c>
      <c r="E2332" s="8">
        <v>435</v>
      </c>
      <c r="F2332" s="8">
        <v>460</v>
      </c>
      <c r="G2332" s="8">
        <v>487</v>
      </c>
      <c r="H2332" s="8">
        <v>515</v>
      </c>
      <c r="I2332" s="8">
        <v>543</v>
      </c>
      <c r="J2332" s="8">
        <v>574</v>
      </c>
    </row>
    <row r="2334" spans="1:10" x14ac:dyDescent="0.2">
      <c r="C2334" s="4669" t="s">
        <v>1177</v>
      </c>
      <c r="D2334" s="4669"/>
      <c r="E2334" s="4669"/>
      <c r="F2334" s="4669"/>
      <c r="G2334" s="4669"/>
      <c r="H2334" s="4669"/>
      <c r="I2334" s="4669"/>
    </row>
    <row r="2335" spans="1:10" x14ac:dyDescent="0.2">
      <c r="D2335" s="4669" t="s">
        <v>1176</v>
      </c>
      <c r="E2335" s="4669"/>
      <c r="F2335" s="4669"/>
      <c r="G2335" s="4669"/>
      <c r="H2335" s="4669"/>
    </row>
    <row r="2336" spans="1:10" x14ac:dyDescent="0.2">
      <c r="A2336" s="8">
        <v>1</v>
      </c>
      <c r="B2336" s="8">
        <v>5.3419999999999996</v>
      </c>
      <c r="C2336" s="8">
        <v>5.2469999999999999</v>
      </c>
      <c r="D2336" s="8">
        <v>5.14</v>
      </c>
      <c r="E2336" s="8">
        <v>5.0460000000000003</v>
      </c>
      <c r="F2336" s="8">
        <v>4.9630000000000001</v>
      </c>
      <c r="G2336" s="8">
        <v>4.835</v>
      </c>
      <c r="H2336" s="8">
        <v>4.7290000000000001</v>
      </c>
      <c r="I2336" s="8">
        <v>4.6269999999999998</v>
      </c>
      <c r="J2336" s="8">
        <v>4.5060000000000002</v>
      </c>
    </row>
    <row r="2337" spans="1:10" x14ac:dyDescent="0.2">
      <c r="A2337" s="8">
        <v>2</v>
      </c>
      <c r="B2337" s="8">
        <v>5.6909999999999998</v>
      </c>
      <c r="C2337" s="8">
        <v>5.5860000000000003</v>
      </c>
      <c r="D2337" s="8">
        <v>5.4669999999999996</v>
      </c>
      <c r="E2337" s="8">
        <v>5.3650000000000002</v>
      </c>
      <c r="F2337" s="8">
        <v>5.274</v>
      </c>
      <c r="G2337" s="8">
        <v>5.1340000000000003</v>
      </c>
      <c r="H2337" s="8">
        <v>5.0149999999999997</v>
      </c>
      <c r="I2337" s="8">
        <v>4.9029999999999996</v>
      </c>
      <c r="J2337" s="8">
        <v>4.7770000000000001</v>
      </c>
    </row>
    <row r="2338" spans="1:10" x14ac:dyDescent="0.2">
      <c r="A2338" s="8">
        <v>3</v>
      </c>
      <c r="B2338" s="8">
        <v>6.0519999999999996</v>
      </c>
      <c r="C2338" s="8">
        <v>5.9379999999999997</v>
      </c>
      <c r="D2338" s="8">
        <v>5.8070000000000004</v>
      </c>
      <c r="E2338" s="8">
        <v>5.6970000000000001</v>
      </c>
      <c r="F2338" s="8">
        <v>5.5960000000000001</v>
      </c>
      <c r="G2338" s="8">
        <v>5.4420000000000002</v>
      </c>
      <c r="H2338" s="8">
        <v>5.3170000000000002</v>
      </c>
      <c r="I2338" s="8">
        <v>5.2069999999999999</v>
      </c>
      <c r="J2338" s="8">
        <v>5.0709999999999997</v>
      </c>
    </row>
    <row r="2339" spans="1:10" x14ac:dyDescent="0.2">
      <c r="A2339" s="8">
        <v>4</v>
      </c>
      <c r="B2339" s="8">
        <v>6.4329999999999998</v>
      </c>
      <c r="C2339" s="8">
        <v>6.3109999999999999</v>
      </c>
      <c r="D2339" s="8">
        <v>6.17</v>
      </c>
      <c r="E2339" s="8">
        <v>6.0490000000000004</v>
      </c>
      <c r="F2339" s="8">
        <v>5.9409999999999998</v>
      </c>
      <c r="G2339" s="8">
        <v>5.7850000000000001</v>
      </c>
      <c r="H2339" s="8">
        <v>5.6539999999999999</v>
      </c>
      <c r="I2339" s="8">
        <v>5.5339999999999998</v>
      </c>
      <c r="J2339" s="8">
        <v>5.3849999999999998</v>
      </c>
    </row>
    <row r="2340" spans="1:10" x14ac:dyDescent="0.2">
      <c r="A2340" s="8">
        <v>5</v>
      </c>
      <c r="B2340" s="8">
        <v>6.8289999999999997</v>
      </c>
      <c r="C2340" s="8">
        <v>6.6950000000000003</v>
      </c>
      <c r="D2340" s="8">
        <v>6.5419999999999998</v>
      </c>
      <c r="E2340" s="8">
        <v>6.4320000000000004</v>
      </c>
      <c r="F2340" s="8">
        <v>6.3140000000000001</v>
      </c>
      <c r="G2340" s="8">
        <v>5.1449999999999996</v>
      </c>
      <c r="H2340" s="8">
        <v>6.0019999999999998</v>
      </c>
      <c r="I2340" s="8">
        <v>5.8719999999999999</v>
      </c>
      <c r="J2340" s="8">
        <v>5.71</v>
      </c>
    </row>
    <row r="2341" spans="1:10" x14ac:dyDescent="0.2">
      <c r="A2341" s="8">
        <v>6</v>
      </c>
      <c r="B2341" s="8">
        <v>7.2610000000000001</v>
      </c>
      <c r="C2341" s="8">
        <v>7.1219999999999999</v>
      </c>
      <c r="D2341" s="8">
        <v>6.968</v>
      </c>
      <c r="E2341" s="8">
        <v>6.8410000000000002</v>
      </c>
      <c r="F2341" s="8">
        <v>6.7229999999999999</v>
      </c>
      <c r="G2341" s="8">
        <v>6.54</v>
      </c>
      <c r="H2341" s="8">
        <v>6.3860000000000001</v>
      </c>
      <c r="I2341" s="8">
        <v>6.2450000000000001</v>
      </c>
      <c r="J2341" s="8">
        <v>6.0679999999999996</v>
      </c>
    </row>
    <row r="2342" spans="1:10" x14ac:dyDescent="0.2">
      <c r="A2342" s="8">
        <v>7</v>
      </c>
      <c r="B2342" s="8">
        <v>7.7389999999999999</v>
      </c>
      <c r="C2342" s="8">
        <v>7.5990000000000002</v>
      </c>
      <c r="D2342" s="8">
        <v>7.4320000000000004</v>
      </c>
      <c r="E2342" s="8">
        <v>7.2960000000000003</v>
      </c>
      <c r="F2342" s="8">
        <v>7.1689999999999996</v>
      </c>
      <c r="G2342" s="8">
        <v>6.9710000000000001</v>
      </c>
      <c r="H2342" s="8">
        <v>6.8040000000000003</v>
      </c>
      <c r="I2342" s="8">
        <v>6.6520000000000001</v>
      </c>
      <c r="J2342" s="8">
        <v>6.4589999999999996</v>
      </c>
    </row>
    <row r="2343" spans="1:10" x14ac:dyDescent="0.2">
      <c r="A2343" s="8">
        <v>8</v>
      </c>
      <c r="B2343" s="8">
        <v>8.1929999999999996</v>
      </c>
      <c r="C2343" s="8">
        <v>8.048</v>
      </c>
      <c r="D2343" s="8">
        <v>7.8710000000000004</v>
      </c>
      <c r="E2343" s="8">
        <v>7.7270000000000003</v>
      </c>
      <c r="F2343" s="8">
        <v>7.5910000000000002</v>
      </c>
      <c r="G2343" s="8">
        <v>7.3789999999999996</v>
      </c>
      <c r="H2343" s="8">
        <v>7.2</v>
      </c>
      <c r="I2343" s="8">
        <v>7.0380000000000003</v>
      </c>
      <c r="J2343" s="8">
        <v>6.83</v>
      </c>
    </row>
    <row r="2344" spans="1:10" x14ac:dyDescent="0.2">
      <c r="A2344" s="8">
        <v>9</v>
      </c>
      <c r="B2344" s="8">
        <v>8.6630000000000003</v>
      </c>
      <c r="C2344" s="8">
        <v>8.5050000000000008</v>
      </c>
      <c r="D2344" s="8">
        <v>8.3170000000000002</v>
      </c>
      <c r="E2344" s="8">
        <v>8.1649999999999991</v>
      </c>
      <c r="F2344" s="8">
        <v>8.0220000000000002</v>
      </c>
      <c r="G2344" s="8">
        <v>7.7949999999999999</v>
      </c>
      <c r="H2344" s="8">
        <v>7.6029999999999998</v>
      </c>
      <c r="I2344" s="8">
        <v>7.4329999999999998</v>
      </c>
      <c r="J2344" s="8">
        <v>7.21</v>
      </c>
    </row>
    <row r="2346" spans="1:10" x14ac:dyDescent="0.2">
      <c r="C2346" s="4669" t="s">
        <v>1781</v>
      </c>
      <c r="D2346" s="4669"/>
      <c r="E2346" s="4669"/>
      <c r="F2346" s="4669"/>
      <c r="G2346" s="4669"/>
      <c r="H2346" s="4669"/>
      <c r="I2346" s="4669"/>
    </row>
    <row r="2347" spans="1:10" x14ac:dyDescent="0.2">
      <c r="D2347" s="4669" t="s">
        <v>1178</v>
      </c>
      <c r="E2347" s="4669"/>
      <c r="F2347" s="4669"/>
      <c r="G2347" s="4669"/>
      <c r="H2347" s="4669"/>
    </row>
    <row r="2348" spans="1:10" x14ac:dyDescent="0.2">
      <c r="A2348" s="8">
        <v>1</v>
      </c>
      <c r="B2348" s="8">
        <v>191</v>
      </c>
      <c r="C2348" s="8">
        <v>205</v>
      </c>
      <c r="D2348" s="8">
        <v>218</v>
      </c>
      <c r="E2348" s="8">
        <v>231</v>
      </c>
      <c r="F2348" s="8">
        <v>244</v>
      </c>
      <c r="G2348" s="8">
        <v>260</v>
      </c>
      <c r="H2348" s="8">
        <v>275</v>
      </c>
      <c r="I2348" s="8">
        <v>290</v>
      </c>
      <c r="J2348" s="8">
        <v>307</v>
      </c>
    </row>
    <row r="2349" spans="1:10" x14ac:dyDescent="0.2">
      <c r="A2349" s="8">
        <v>2</v>
      </c>
      <c r="B2349" s="8">
        <v>211</v>
      </c>
      <c r="C2349" s="8">
        <v>226</v>
      </c>
      <c r="D2349" s="8">
        <v>240</v>
      </c>
      <c r="E2349" s="8">
        <v>255</v>
      </c>
      <c r="F2349" s="8">
        <v>270</v>
      </c>
      <c r="G2349" s="8">
        <v>287</v>
      </c>
      <c r="H2349" s="8">
        <v>303</v>
      </c>
      <c r="I2349" s="8">
        <v>320</v>
      </c>
      <c r="J2349" s="8">
        <v>339</v>
      </c>
    </row>
    <row r="2350" spans="1:10" x14ac:dyDescent="0.2">
      <c r="A2350" s="8">
        <v>3</v>
      </c>
      <c r="B2350" s="8">
        <v>232</v>
      </c>
      <c r="C2350" s="8">
        <v>248</v>
      </c>
      <c r="D2350" s="8">
        <v>264</v>
      </c>
      <c r="E2350" s="8">
        <v>280</v>
      </c>
      <c r="F2350" s="8">
        <v>296</v>
      </c>
      <c r="G2350" s="8">
        <v>315</v>
      </c>
      <c r="H2350" s="8">
        <v>333</v>
      </c>
      <c r="I2350" s="8">
        <v>351</v>
      </c>
      <c r="J2350" s="8">
        <v>371</v>
      </c>
    </row>
    <row r="2351" spans="1:10" x14ac:dyDescent="0.2">
      <c r="A2351" s="8">
        <v>4</v>
      </c>
      <c r="B2351" s="8">
        <v>253</v>
      </c>
      <c r="C2351" s="8">
        <v>271</v>
      </c>
      <c r="D2351" s="8">
        <v>289</v>
      </c>
      <c r="E2351" s="8">
        <v>306</v>
      </c>
      <c r="F2351" s="8">
        <v>323</v>
      </c>
      <c r="G2351" s="8">
        <v>343</v>
      </c>
      <c r="H2351" s="8">
        <v>363</v>
      </c>
      <c r="I2351" s="8">
        <v>383</v>
      </c>
      <c r="J2351" s="8">
        <v>405</v>
      </c>
    </row>
    <row r="2352" spans="1:10" x14ac:dyDescent="0.2">
      <c r="A2352" s="8">
        <v>5</v>
      </c>
      <c r="B2352" s="8">
        <v>275</v>
      </c>
      <c r="C2352" s="8">
        <v>295</v>
      </c>
      <c r="D2352" s="8">
        <v>313</v>
      </c>
      <c r="E2352" s="8">
        <v>332</v>
      </c>
      <c r="F2352" s="8">
        <v>351</v>
      </c>
      <c r="G2352" s="8">
        <v>373</v>
      </c>
      <c r="H2352" s="8">
        <v>394</v>
      </c>
      <c r="I2352" s="8">
        <v>415</v>
      </c>
      <c r="J2352" s="8">
        <v>439</v>
      </c>
    </row>
    <row r="2353" spans="1:10" x14ac:dyDescent="0.2">
      <c r="A2353" s="8">
        <v>6</v>
      </c>
      <c r="B2353" s="8">
        <v>299</v>
      </c>
      <c r="C2353" s="8">
        <v>320</v>
      </c>
      <c r="D2353" s="8">
        <v>340</v>
      </c>
      <c r="E2353" s="8">
        <v>360</v>
      </c>
      <c r="F2353" s="8">
        <v>381</v>
      </c>
      <c r="G2353" s="8">
        <v>409</v>
      </c>
      <c r="H2353" s="8">
        <v>427</v>
      </c>
      <c r="I2353" s="8">
        <v>450</v>
      </c>
      <c r="J2353" s="8">
        <v>476</v>
      </c>
    </row>
    <row r="2354" spans="1:10" x14ac:dyDescent="0.2">
      <c r="A2354" s="8">
        <v>7</v>
      </c>
      <c r="B2354" s="8">
        <v>325</v>
      </c>
      <c r="C2354" s="8">
        <v>347</v>
      </c>
      <c r="D2354" s="8">
        <v>369</v>
      </c>
      <c r="E2354" s="8">
        <v>391</v>
      </c>
      <c r="F2354" s="8">
        <v>413</v>
      </c>
      <c r="G2354" s="8">
        <v>438</v>
      </c>
      <c r="H2354" s="8">
        <v>463</v>
      </c>
      <c r="I2354" s="8">
        <v>487</v>
      </c>
      <c r="J2354" s="8">
        <v>515</v>
      </c>
    </row>
    <row r="2355" spans="1:10" x14ac:dyDescent="0.2">
      <c r="A2355" s="8">
        <v>8</v>
      </c>
      <c r="B2355" s="8">
        <v>348</v>
      </c>
      <c r="C2355" s="8">
        <v>372</v>
      </c>
      <c r="D2355" s="8">
        <v>395</v>
      </c>
      <c r="E2355" s="8">
        <v>419</v>
      </c>
      <c r="F2355" s="8">
        <v>443</v>
      </c>
      <c r="G2355" s="8">
        <v>470</v>
      </c>
      <c r="H2355" s="8">
        <v>496</v>
      </c>
      <c r="I2355" s="8">
        <v>522</v>
      </c>
      <c r="J2355" s="8">
        <v>552</v>
      </c>
    </row>
    <row r="2356" spans="1:10" x14ac:dyDescent="0.2">
      <c r="A2356" s="8">
        <v>9</v>
      </c>
      <c r="B2356" s="8">
        <v>371</v>
      </c>
      <c r="C2356" s="8">
        <v>397</v>
      </c>
      <c r="D2356" s="8">
        <v>422</v>
      </c>
      <c r="E2356" s="8">
        <v>447</v>
      </c>
      <c r="F2356" s="8">
        <v>472</v>
      </c>
      <c r="G2356" s="8">
        <v>501</v>
      </c>
      <c r="H2356" s="8">
        <v>529</v>
      </c>
      <c r="I2356" s="8">
        <v>557</v>
      </c>
      <c r="J2356" s="8">
        <v>588</v>
      </c>
    </row>
    <row r="2357" spans="1:10" x14ac:dyDescent="0.2">
      <c r="G2357" s="218"/>
    </row>
    <row r="2358" spans="1:10" x14ac:dyDescent="0.2">
      <c r="C2358" s="4669" t="s">
        <v>1177</v>
      </c>
      <c r="D2358" s="4669"/>
      <c r="E2358" s="4669"/>
      <c r="F2358" s="4669"/>
      <c r="G2358" s="4669"/>
      <c r="H2358" s="4669"/>
      <c r="I2358" s="4669"/>
    </row>
    <row r="2359" spans="1:10" x14ac:dyDescent="0.2">
      <c r="D2359" s="4669" t="s">
        <v>1178</v>
      </c>
      <c r="E2359" s="4669"/>
      <c r="F2359" s="4669"/>
      <c r="G2359" s="4669"/>
      <c r="H2359" s="4669"/>
    </row>
    <row r="2360" spans="1:10" x14ac:dyDescent="0.2">
      <c r="A2360" s="8">
        <v>1</v>
      </c>
      <c r="B2360" s="8">
        <v>5.4020000000000001</v>
      </c>
      <c r="C2360" s="8">
        <v>5.3109999999999999</v>
      </c>
      <c r="D2360" s="8">
        <v>5.2050000000000001</v>
      </c>
      <c r="E2360" s="8">
        <v>5.109</v>
      </c>
      <c r="F2360" s="8">
        <v>5.0250000000000004</v>
      </c>
      <c r="G2360" s="8">
        <v>4.899</v>
      </c>
      <c r="H2360" s="8">
        <v>4.7839999999999998</v>
      </c>
      <c r="I2360" s="8">
        <v>4.6790000000000003</v>
      </c>
      <c r="J2360" s="8">
        <v>4.5540000000000003</v>
      </c>
    </row>
    <row r="2361" spans="1:10" x14ac:dyDescent="0.2">
      <c r="A2361" s="8">
        <v>2</v>
      </c>
      <c r="B2361" s="8">
        <v>5.7640000000000002</v>
      </c>
      <c r="C2361" s="8">
        <v>5.6639999999999997</v>
      </c>
      <c r="D2361" s="8">
        <v>5.5490000000000004</v>
      </c>
      <c r="E2361" s="8">
        <v>5.4219999999999997</v>
      </c>
      <c r="F2361" s="8">
        <v>5.35</v>
      </c>
      <c r="G2361" s="8">
        <v>5.2089999999999996</v>
      </c>
      <c r="H2361" s="8">
        <v>5.0819999999999999</v>
      </c>
      <c r="I2361" s="8">
        <v>4.9640000000000004</v>
      </c>
      <c r="J2361" s="8">
        <v>4.8360000000000003</v>
      </c>
    </row>
    <row r="2362" spans="1:10" x14ac:dyDescent="0.2">
      <c r="A2362" s="8">
        <v>3</v>
      </c>
      <c r="B2362" s="8">
        <v>6.1379999999999999</v>
      </c>
      <c r="C2362" s="8">
        <v>6.03</v>
      </c>
      <c r="D2362" s="8">
        <v>5.9020000000000001</v>
      </c>
      <c r="E2362" s="8">
        <v>5.7869999999999999</v>
      </c>
      <c r="F2362" s="8">
        <v>5.6849999999999996</v>
      </c>
      <c r="G2362" s="8">
        <v>5.532</v>
      </c>
      <c r="H2362" s="8">
        <v>5.4</v>
      </c>
      <c r="I2362" s="8">
        <v>5.2830000000000004</v>
      </c>
      <c r="J2362" s="8">
        <v>5.141</v>
      </c>
    </row>
    <row r="2363" spans="1:10" x14ac:dyDescent="0.2">
      <c r="A2363" s="8">
        <v>4</v>
      </c>
      <c r="B2363" s="8">
        <v>6.5389999999999997</v>
      </c>
      <c r="C2363" s="8">
        <v>6.42</v>
      </c>
      <c r="D2363" s="8">
        <v>6.282</v>
      </c>
      <c r="E2363" s="8">
        <v>6.1550000000000002</v>
      </c>
      <c r="F2363" s="8">
        <v>6.0510000000000002</v>
      </c>
      <c r="G2363" s="8">
        <v>5.8959999999999999</v>
      </c>
      <c r="H2363" s="8">
        <v>5.7530000000000001</v>
      </c>
      <c r="I2363" s="8">
        <v>5.6239999999999997</v>
      </c>
      <c r="J2363" s="8">
        <v>5.468</v>
      </c>
    </row>
    <row r="2364" spans="1:10" x14ac:dyDescent="0.2">
      <c r="A2364" s="8">
        <v>5</v>
      </c>
      <c r="B2364" s="8">
        <v>6.9489999999999998</v>
      </c>
      <c r="C2364" s="8">
        <v>6.8239999999999998</v>
      </c>
      <c r="D2364" s="8">
        <v>6.6790000000000003</v>
      </c>
      <c r="E2364" s="8">
        <v>6.5529999999999999</v>
      </c>
      <c r="F2364" s="8">
        <v>6.4429999999999996</v>
      </c>
      <c r="G2364" s="8">
        <v>6.2750000000000004</v>
      </c>
      <c r="H2364" s="8">
        <v>6.1189999999999998</v>
      </c>
      <c r="I2364" s="8">
        <v>5.9790000000000001</v>
      </c>
      <c r="J2364" s="8">
        <v>5.8079999999999998</v>
      </c>
    </row>
    <row r="2365" spans="1:10" x14ac:dyDescent="0.2">
      <c r="A2365" s="8">
        <v>6</v>
      </c>
      <c r="B2365" s="8">
        <v>7.4029999999999996</v>
      </c>
      <c r="C2365" s="8">
        <v>7.26</v>
      </c>
      <c r="D2365" s="8">
        <v>7.13</v>
      </c>
      <c r="E2365" s="8">
        <v>6.9939999999999998</v>
      </c>
      <c r="F2365" s="8">
        <v>6.875</v>
      </c>
      <c r="G2365" s="8">
        <v>6.6929999999999996</v>
      </c>
      <c r="H2365" s="8">
        <v>6.5229999999999997</v>
      </c>
      <c r="I2365" s="8">
        <v>6.3710000000000004</v>
      </c>
      <c r="J2365" s="8">
        <v>6.1840000000000002</v>
      </c>
    </row>
    <row r="2366" spans="1:10" x14ac:dyDescent="0.2">
      <c r="A2366" s="8">
        <v>7</v>
      </c>
      <c r="B2366" s="8">
        <v>7.9130000000000003</v>
      </c>
      <c r="C2366" s="8">
        <v>7.7839999999999998</v>
      </c>
      <c r="D2366" s="8">
        <v>7.6219999999999999</v>
      </c>
      <c r="E2366" s="8">
        <v>7.4669999999999996</v>
      </c>
      <c r="F2366" s="8">
        <v>7.3490000000000002</v>
      </c>
      <c r="G2366" s="8">
        <v>7.1509999999999998</v>
      </c>
      <c r="H2366" s="8">
        <v>6.9660000000000002</v>
      </c>
      <c r="I2366" s="8">
        <v>6.8</v>
      </c>
      <c r="J2366" s="8">
        <v>6.5960000000000001</v>
      </c>
    </row>
    <row r="2367" spans="1:10" x14ac:dyDescent="0.2">
      <c r="A2367" s="8">
        <v>8</v>
      </c>
      <c r="B2367" s="8">
        <v>8.3979999999999997</v>
      </c>
      <c r="C2367" s="8">
        <v>8.2360000000000007</v>
      </c>
      <c r="D2367" s="8">
        <v>8.0909999999999993</v>
      </c>
      <c r="E2367" s="8">
        <v>7.9349999999999996</v>
      </c>
      <c r="F2367" s="8">
        <v>7.7990000000000004</v>
      </c>
      <c r="G2367" s="8">
        <v>7.5880000000000001</v>
      </c>
      <c r="H2367" s="8">
        <v>7.3879999999999999</v>
      </c>
      <c r="I2367" s="8">
        <v>7.21</v>
      </c>
      <c r="J2367" s="8">
        <v>6.9889999999999999</v>
      </c>
    </row>
    <row r="2368" spans="1:10" x14ac:dyDescent="0.2">
      <c r="A2368" s="8">
        <v>9</v>
      </c>
      <c r="B2368" s="8">
        <v>8.8930000000000007</v>
      </c>
      <c r="C2368" s="8">
        <v>8.7509999999999994</v>
      </c>
      <c r="D2368" s="8">
        <v>8.5690000000000008</v>
      </c>
      <c r="E2368" s="8">
        <v>8.4049999999999994</v>
      </c>
      <c r="F2368" s="8">
        <v>8.26</v>
      </c>
      <c r="G2368" s="8">
        <v>8.0350000000000001</v>
      </c>
      <c r="H2368" s="8">
        <v>7.8209999999999997</v>
      </c>
      <c r="I2368" s="8">
        <v>7.6310000000000002</v>
      </c>
      <c r="J2368" s="8">
        <v>7.3929999999999998</v>
      </c>
    </row>
    <row r="2372" spans="1:10" x14ac:dyDescent="0.2">
      <c r="A2372" s="4672" t="s">
        <v>1180</v>
      </c>
      <c r="B2372" s="4672"/>
      <c r="C2372" s="4672"/>
      <c r="D2372" s="4672"/>
      <c r="E2372" s="4672"/>
      <c r="F2372" s="4672"/>
      <c r="G2372" s="4672"/>
      <c r="H2372" s="4672"/>
      <c r="I2372" s="4672"/>
      <c r="J2372" s="4672"/>
    </row>
    <row r="2373" spans="1:10" x14ac:dyDescent="0.2">
      <c r="A2373" s="4673" t="s">
        <v>2045</v>
      </c>
      <c r="B2373" s="4674" t="s">
        <v>5602</v>
      </c>
      <c r="C2373" s="4674"/>
      <c r="D2373" s="4674"/>
      <c r="E2373" s="4674"/>
      <c r="F2373" s="4674"/>
      <c r="G2373" s="4674"/>
      <c r="H2373" s="4674"/>
      <c r="I2373" s="4674"/>
      <c r="J2373" s="4674"/>
    </row>
    <row r="2374" spans="1:10" x14ac:dyDescent="0.2">
      <c r="A2374" s="4673"/>
      <c r="B2374" s="8" t="s">
        <v>1181</v>
      </c>
      <c r="C2374" s="8" t="s">
        <v>5608</v>
      </c>
      <c r="D2374" s="8" t="s">
        <v>5609</v>
      </c>
      <c r="E2374" s="8" t="s">
        <v>1182</v>
      </c>
      <c r="F2374" s="8" t="s">
        <v>1183</v>
      </c>
      <c r="G2374" s="8" t="s">
        <v>1184</v>
      </c>
      <c r="H2374" s="8" t="s">
        <v>1185</v>
      </c>
      <c r="I2374" s="8" t="s">
        <v>1186</v>
      </c>
      <c r="J2374" s="8" t="s">
        <v>5534</v>
      </c>
    </row>
    <row r="2375" spans="1:10" x14ac:dyDescent="0.2">
      <c r="A2375" s="1876"/>
      <c r="B2375" s="4672" t="s">
        <v>1175</v>
      </c>
      <c r="C2375" s="4672"/>
      <c r="D2375" s="4672"/>
      <c r="E2375" s="4672"/>
      <c r="F2375" s="4672"/>
      <c r="G2375" s="4672"/>
      <c r="H2375" s="4672"/>
      <c r="I2375" s="4672"/>
      <c r="J2375" s="4672"/>
    </row>
    <row r="2376" spans="1:10" x14ac:dyDescent="0.2">
      <c r="A2376" s="1876"/>
      <c r="B2376" s="218"/>
      <c r="C2376" s="4669" t="s">
        <v>1781</v>
      </c>
      <c r="D2376" s="4669"/>
      <c r="E2376" s="4669"/>
      <c r="F2376" s="4669"/>
      <c r="G2376" s="4669"/>
      <c r="H2376" s="4669"/>
      <c r="I2376" s="4669"/>
      <c r="J2376" s="218"/>
    </row>
    <row r="2377" spans="1:10" x14ac:dyDescent="0.2">
      <c r="A2377" s="1876"/>
      <c r="B2377" s="218"/>
      <c r="C2377" s="218"/>
      <c r="D2377" s="4669" t="s">
        <v>1176</v>
      </c>
      <c r="E2377" s="4669"/>
      <c r="F2377" s="4669"/>
      <c r="G2377" s="4669"/>
      <c r="H2377" s="4669"/>
      <c r="I2377" s="218"/>
      <c r="J2377" s="218"/>
    </row>
    <row r="2378" spans="1:10" x14ac:dyDescent="0.2">
      <c r="A2378" s="8">
        <v>1</v>
      </c>
      <c r="B2378" s="8">
        <v>270</v>
      </c>
      <c r="C2378" s="8">
        <v>287</v>
      </c>
      <c r="D2378" s="8">
        <v>304</v>
      </c>
      <c r="E2378" s="8">
        <v>324</v>
      </c>
      <c r="F2378" s="8">
        <v>343</v>
      </c>
      <c r="G2378" s="8">
        <v>363</v>
      </c>
      <c r="H2378" s="8">
        <v>384</v>
      </c>
      <c r="I2378" s="8">
        <v>411</v>
      </c>
      <c r="J2378" s="8">
        <v>435</v>
      </c>
    </row>
    <row r="2379" spans="1:10" x14ac:dyDescent="0.2">
      <c r="A2379" s="8">
        <v>2</v>
      </c>
      <c r="B2379" s="8">
        <v>299</v>
      </c>
      <c r="C2379" s="8">
        <v>318</v>
      </c>
      <c r="D2379" s="8">
        <v>338</v>
      </c>
      <c r="E2379" s="8">
        <v>360</v>
      </c>
      <c r="F2379" s="8">
        <v>381</v>
      </c>
      <c r="G2379" s="8">
        <v>403</v>
      </c>
      <c r="H2379" s="8">
        <v>426</v>
      </c>
      <c r="I2379" s="8">
        <v>456</v>
      </c>
      <c r="J2379" s="8">
        <v>482</v>
      </c>
    </row>
    <row r="2380" spans="1:10" x14ac:dyDescent="0.2">
      <c r="A2380" s="8">
        <v>3</v>
      </c>
      <c r="B2380" s="8">
        <v>329</v>
      </c>
      <c r="C2380" s="8">
        <v>350</v>
      </c>
      <c r="D2380" s="8">
        <v>372</v>
      </c>
      <c r="E2380" s="8">
        <v>396</v>
      </c>
      <c r="F2380" s="8">
        <v>420</v>
      </c>
      <c r="G2380" s="8">
        <v>444</v>
      </c>
      <c r="H2380" s="8">
        <v>469</v>
      </c>
      <c r="I2380" s="8">
        <v>502</v>
      </c>
      <c r="J2380" s="8">
        <v>531</v>
      </c>
    </row>
    <row r="2381" spans="1:10" x14ac:dyDescent="0.2">
      <c r="A2381" s="8">
        <v>4</v>
      </c>
      <c r="B2381" s="8">
        <v>361</v>
      </c>
      <c r="C2381" s="8">
        <v>384</v>
      </c>
      <c r="D2381" s="8">
        <v>408</v>
      </c>
      <c r="E2381" s="8">
        <v>435</v>
      </c>
      <c r="F2381" s="8">
        <v>461</v>
      </c>
      <c r="G2381" s="8">
        <v>487</v>
      </c>
      <c r="H2381" s="8">
        <v>515</v>
      </c>
      <c r="I2381" s="8">
        <v>551</v>
      </c>
      <c r="J2381" s="8">
        <v>582</v>
      </c>
    </row>
    <row r="2382" spans="1:10" x14ac:dyDescent="0.2">
      <c r="A2382" s="8">
        <v>5</v>
      </c>
      <c r="B2382" s="8">
        <v>394</v>
      </c>
      <c r="C2382" s="8">
        <v>419</v>
      </c>
      <c r="D2382" s="8">
        <v>445</v>
      </c>
      <c r="E2382" s="8">
        <v>474</v>
      </c>
      <c r="F2382" s="8">
        <v>503</v>
      </c>
      <c r="G2382" s="8">
        <v>532</v>
      </c>
      <c r="H2382" s="8">
        <v>562</v>
      </c>
      <c r="I2382" s="8">
        <v>601</v>
      </c>
      <c r="J2382" s="8">
        <v>635</v>
      </c>
    </row>
    <row r="2383" spans="1:10" x14ac:dyDescent="0.2">
      <c r="A2383" s="8">
        <v>6</v>
      </c>
      <c r="B2383" s="8">
        <v>429</v>
      </c>
      <c r="C2383" s="8">
        <v>457</v>
      </c>
      <c r="D2383" s="8">
        <v>486</v>
      </c>
      <c r="E2383" s="8">
        <v>518</v>
      </c>
      <c r="F2383" s="8">
        <v>548</v>
      </c>
      <c r="G2383" s="8">
        <v>580</v>
      </c>
      <c r="H2383" s="8">
        <v>613</v>
      </c>
      <c r="I2383" s="8">
        <v>656</v>
      </c>
      <c r="J2383" s="8">
        <v>691</v>
      </c>
    </row>
    <row r="2384" spans="1:10" x14ac:dyDescent="0.2">
      <c r="A2384" s="8">
        <v>7</v>
      </c>
      <c r="B2384" s="8">
        <v>468</v>
      </c>
      <c r="C2384" s="8">
        <v>498</v>
      </c>
      <c r="D2384" s="8">
        <v>530</v>
      </c>
      <c r="E2384" s="8">
        <v>565</v>
      </c>
      <c r="F2384" s="8">
        <v>593</v>
      </c>
      <c r="G2384" s="8">
        <v>633</v>
      </c>
      <c r="H2384" s="8">
        <v>669</v>
      </c>
      <c r="I2384" s="8">
        <v>715</v>
      </c>
      <c r="J2384" s="8">
        <v>755</v>
      </c>
    </row>
    <row r="2385" spans="1:10" x14ac:dyDescent="0.2">
      <c r="A2385" s="8">
        <v>8</v>
      </c>
      <c r="B2385" s="8">
        <v>504</v>
      </c>
      <c r="C2385" s="8">
        <v>537</v>
      </c>
      <c r="D2385" s="8">
        <v>571</v>
      </c>
      <c r="E2385" s="8">
        <v>609</v>
      </c>
      <c r="F2385" s="8">
        <v>645</v>
      </c>
      <c r="G2385" s="8">
        <v>682</v>
      </c>
      <c r="H2385" s="8">
        <v>721</v>
      </c>
      <c r="I2385" s="8">
        <v>771</v>
      </c>
      <c r="J2385" s="8">
        <v>813</v>
      </c>
    </row>
    <row r="2386" spans="1:10" x14ac:dyDescent="0.2">
      <c r="A2386" s="8">
        <v>9</v>
      </c>
      <c r="B2386" s="8">
        <v>540</v>
      </c>
      <c r="C2386" s="8">
        <v>576</v>
      </c>
      <c r="D2386" s="8">
        <v>613</v>
      </c>
      <c r="E2386" s="8">
        <v>653</v>
      </c>
      <c r="F2386" s="8">
        <v>692</v>
      </c>
      <c r="G2386" s="8">
        <v>732</v>
      </c>
      <c r="H2386" s="8">
        <v>773</v>
      </c>
      <c r="I2386" s="8">
        <v>827</v>
      </c>
      <c r="J2386" s="8">
        <v>872</v>
      </c>
    </row>
    <row r="2388" spans="1:10" x14ac:dyDescent="0.2">
      <c r="C2388" s="4669" t="s">
        <v>1177</v>
      </c>
      <c r="D2388" s="4669"/>
      <c r="E2388" s="4669"/>
      <c r="F2388" s="4669"/>
      <c r="G2388" s="4669"/>
      <c r="H2388" s="4669"/>
      <c r="I2388" s="4669"/>
    </row>
    <row r="2389" spans="1:10" x14ac:dyDescent="0.2">
      <c r="C2389" s="218"/>
      <c r="D2389" s="4669" t="s">
        <v>1176</v>
      </c>
      <c r="E2389" s="4669"/>
      <c r="F2389" s="4669"/>
      <c r="G2389" s="4669"/>
      <c r="H2389" s="4669"/>
      <c r="I2389" s="218"/>
    </row>
    <row r="2390" spans="1:10" x14ac:dyDescent="0.2">
      <c r="A2390" s="8">
        <v>1</v>
      </c>
      <c r="B2390" s="8">
        <v>5.7990000000000004</v>
      </c>
      <c r="C2390" s="8">
        <v>5.6840000000000002</v>
      </c>
      <c r="D2390" s="8">
        <v>5.5709999999999997</v>
      </c>
      <c r="E2390" s="8">
        <v>5.4240000000000004</v>
      </c>
      <c r="F2390" s="8">
        <v>5.2880000000000003</v>
      </c>
      <c r="G2390" s="8">
        <v>5.1239999999999997</v>
      </c>
      <c r="H2390" s="8">
        <v>4.9610000000000003</v>
      </c>
      <c r="I2390" s="8">
        <v>4.8070000000000004</v>
      </c>
      <c r="J2390" s="8">
        <v>4.694</v>
      </c>
    </row>
    <row r="2391" spans="1:10" x14ac:dyDescent="0.2">
      <c r="A2391" s="8">
        <v>2</v>
      </c>
      <c r="B2391" s="8">
        <v>6.2050000000000001</v>
      </c>
      <c r="C2391" s="8">
        <v>6.0789999999999997</v>
      </c>
      <c r="D2391" s="8">
        <v>5.9530000000000003</v>
      </c>
      <c r="E2391" s="8">
        <v>5.79</v>
      </c>
      <c r="F2391" s="8">
        <v>5.6390000000000002</v>
      </c>
      <c r="G2391" s="8">
        <v>5.4569999999999999</v>
      </c>
      <c r="H2391" s="8">
        <v>5.2750000000000004</v>
      </c>
      <c r="I2391" s="8">
        <v>5.1029999999999998</v>
      </c>
      <c r="J2391" s="8">
        <v>4.9770000000000003</v>
      </c>
    </row>
    <row r="2392" spans="1:10" x14ac:dyDescent="0.2">
      <c r="A2392" s="8">
        <v>3</v>
      </c>
      <c r="B2392" s="8">
        <v>6.6260000000000003</v>
      </c>
      <c r="C2392" s="8">
        <v>6.4870000000000001</v>
      </c>
      <c r="D2392" s="8">
        <v>6.35</v>
      </c>
      <c r="E2392" s="8">
        <v>6.1710000000000003</v>
      </c>
      <c r="F2392" s="8">
        <v>6.0039999999999996</v>
      </c>
      <c r="G2392" s="8">
        <v>5.8019999999999996</v>
      </c>
      <c r="H2392" s="8">
        <v>5.601</v>
      </c>
      <c r="I2392" s="8">
        <v>5.4109999999999996</v>
      </c>
      <c r="J2392" s="8">
        <v>5.27</v>
      </c>
    </row>
    <row r="2393" spans="1:10" x14ac:dyDescent="0.2">
      <c r="A2393" s="8">
        <v>4</v>
      </c>
      <c r="B2393" s="8">
        <v>7.0739999999999998</v>
      </c>
      <c r="C2393" s="8">
        <v>6.9219999999999997</v>
      </c>
      <c r="D2393" s="8">
        <v>6.7729999999999997</v>
      </c>
      <c r="E2393" s="8">
        <v>6.577</v>
      </c>
      <c r="F2393" s="8">
        <v>6.3929999999999998</v>
      </c>
      <c r="G2393" s="8">
        <v>6.1710000000000003</v>
      </c>
      <c r="H2393" s="8">
        <v>5.9489999999999998</v>
      </c>
      <c r="I2393" s="8">
        <v>5.7380000000000004</v>
      </c>
      <c r="J2393" s="8">
        <v>5.5819999999999999</v>
      </c>
    </row>
    <row r="2394" spans="1:10" x14ac:dyDescent="0.2">
      <c r="A2394" s="8">
        <v>5</v>
      </c>
      <c r="B2394" s="8">
        <v>7.5359999999999996</v>
      </c>
      <c r="C2394" s="8">
        <v>7.3730000000000002</v>
      </c>
      <c r="D2394" s="8">
        <v>7.2110000000000003</v>
      </c>
      <c r="E2394" s="8">
        <v>6.9969999999999999</v>
      </c>
      <c r="F2394" s="8">
        <v>6.7960000000000003</v>
      </c>
      <c r="G2394" s="8">
        <v>6.5529999999999999</v>
      </c>
      <c r="H2394" s="8">
        <v>6.3090000000000002</v>
      </c>
      <c r="I2394" s="8">
        <v>6.077</v>
      </c>
      <c r="J2394" s="8">
        <v>5.9050000000000002</v>
      </c>
    </row>
    <row r="2395" spans="1:10" x14ac:dyDescent="0.2">
      <c r="A2395" s="8">
        <v>6</v>
      </c>
      <c r="B2395" s="8">
        <v>8.0449999999999999</v>
      </c>
      <c r="C2395" s="8">
        <v>7.8680000000000003</v>
      </c>
      <c r="D2395" s="8">
        <v>7.694</v>
      </c>
      <c r="E2395" s="8">
        <v>7.46</v>
      </c>
      <c r="F2395" s="8">
        <v>7.24</v>
      </c>
      <c r="G2395" s="8">
        <v>6.9740000000000002</v>
      </c>
      <c r="H2395" s="8">
        <v>6.7050000000000001</v>
      </c>
      <c r="I2395" s="8">
        <v>6.4509999999999996</v>
      </c>
      <c r="J2395" s="8">
        <v>6.2610000000000001</v>
      </c>
    </row>
    <row r="2396" spans="1:10" x14ac:dyDescent="0.2">
      <c r="A2396" s="8">
        <v>7</v>
      </c>
      <c r="B2396" s="8">
        <v>8.6059999999999999</v>
      </c>
      <c r="C2396" s="8">
        <v>8.4079999999999995</v>
      </c>
      <c r="D2396" s="8">
        <v>8.2210000000000001</v>
      </c>
      <c r="E2396" s="8">
        <v>7.9649999999999999</v>
      </c>
      <c r="F2396" s="8">
        <v>7.7249999999999996</v>
      </c>
      <c r="G2396" s="8">
        <v>7.4340000000000002</v>
      </c>
      <c r="H2396" s="8">
        <v>7.1379999999999999</v>
      </c>
      <c r="I2396" s="8">
        <v>6.859</v>
      </c>
      <c r="J2396" s="8">
        <v>6.649</v>
      </c>
    </row>
    <row r="2397" spans="1:10" x14ac:dyDescent="0.2">
      <c r="A2397" s="8">
        <v>8</v>
      </c>
      <c r="B2397" s="8">
        <v>9.125</v>
      </c>
      <c r="C2397" s="8">
        <v>8.9209999999999994</v>
      </c>
      <c r="D2397" s="8">
        <v>8.7210000000000001</v>
      </c>
      <c r="E2397" s="8">
        <v>8.4459999999999997</v>
      </c>
      <c r="F2397" s="8">
        <v>8.1859999999999999</v>
      </c>
      <c r="G2397" s="8">
        <v>7.8710000000000004</v>
      </c>
      <c r="H2397" s="8">
        <v>7.55</v>
      </c>
      <c r="I2397" s="8">
        <v>7.2460000000000004</v>
      </c>
      <c r="J2397" s="8">
        <v>7.0179999999999998</v>
      </c>
    </row>
    <row r="2398" spans="1:10" x14ac:dyDescent="0.2">
      <c r="A2398" s="8">
        <v>9</v>
      </c>
      <c r="B2398" s="8">
        <v>9.6620000000000008</v>
      </c>
      <c r="C2398" s="8">
        <v>9.4440000000000008</v>
      </c>
      <c r="D2398" s="8">
        <v>9.2319999999999993</v>
      </c>
      <c r="E2398" s="8">
        <v>8.9369999999999994</v>
      </c>
      <c r="F2398" s="8">
        <v>8.657</v>
      </c>
      <c r="G2398" s="8">
        <v>8.3179999999999996</v>
      </c>
      <c r="H2398" s="8">
        <v>7.9710000000000001</v>
      </c>
      <c r="I2398" s="8">
        <v>7.6420000000000003</v>
      </c>
      <c r="J2398" s="8">
        <v>7.3940000000000001</v>
      </c>
    </row>
    <row r="2400" spans="1:10" x14ac:dyDescent="0.2">
      <c r="C2400" s="4674" t="s">
        <v>1781</v>
      </c>
      <c r="D2400" s="4674"/>
      <c r="E2400" s="4674"/>
      <c r="F2400" s="4674"/>
      <c r="G2400" s="4674"/>
      <c r="H2400" s="4674"/>
      <c r="I2400" s="4674"/>
    </row>
    <row r="2401" spans="1:10" x14ac:dyDescent="0.2">
      <c r="D2401" s="4674" t="s">
        <v>1178</v>
      </c>
      <c r="E2401" s="4674"/>
      <c r="F2401" s="4674"/>
      <c r="G2401" s="4674"/>
      <c r="H2401" s="4674"/>
    </row>
    <row r="2402" spans="1:10" x14ac:dyDescent="0.2">
      <c r="A2402" s="8">
        <v>1</v>
      </c>
      <c r="B2402" s="8">
        <v>275</v>
      </c>
      <c r="C2402" s="8">
        <v>292</v>
      </c>
      <c r="D2402" s="8">
        <v>309</v>
      </c>
      <c r="E2402" s="8">
        <v>329</v>
      </c>
      <c r="F2402" s="8">
        <v>348</v>
      </c>
      <c r="G2402" s="8">
        <v>368</v>
      </c>
      <c r="H2402" s="8">
        <v>389</v>
      </c>
      <c r="I2402" s="8">
        <v>416</v>
      </c>
      <c r="J2402" s="8">
        <v>440</v>
      </c>
    </row>
    <row r="2403" spans="1:10" x14ac:dyDescent="0.2">
      <c r="A2403" s="8">
        <v>2</v>
      </c>
      <c r="B2403" s="8">
        <v>305</v>
      </c>
      <c r="C2403" s="8">
        <v>324</v>
      </c>
      <c r="D2403" s="8">
        <v>343</v>
      </c>
      <c r="E2403" s="8">
        <v>365</v>
      </c>
      <c r="F2403" s="8">
        <v>387</v>
      </c>
      <c r="G2403" s="8">
        <v>409</v>
      </c>
      <c r="H2403" s="8">
        <v>433</v>
      </c>
      <c r="I2403" s="8">
        <v>462</v>
      </c>
      <c r="J2403" s="8">
        <v>489</v>
      </c>
    </row>
    <row r="2404" spans="1:10" x14ac:dyDescent="0.2">
      <c r="A2404" s="8">
        <v>3</v>
      </c>
      <c r="B2404" s="8">
        <v>336</v>
      </c>
      <c r="C2404" s="8">
        <v>357</v>
      </c>
      <c r="D2404" s="8">
        <v>379</v>
      </c>
      <c r="E2404" s="8">
        <v>403</v>
      </c>
      <c r="F2404" s="8">
        <v>427</v>
      </c>
      <c r="G2404" s="8">
        <v>451</v>
      </c>
      <c r="H2404" s="8">
        <v>477</v>
      </c>
      <c r="I2404" s="8">
        <v>510</v>
      </c>
      <c r="J2404" s="8">
        <v>539</v>
      </c>
    </row>
    <row r="2405" spans="1:10" x14ac:dyDescent="0.2">
      <c r="A2405" s="8">
        <v>4</v>
      </c>
      <c r="B2405" s="8">
        <v>370</v>
      </c>
      <c r="C2405" s="8">
        <v>393</v>
      </c>
      <c r="D2405" s="8">
        <v>416</v>
      </c>
      <c r="E2405" s="8">
        <v>443</v>
      </c>
      <c r="F2405" s="8">
        <v>469</v>
      </c>
      <c r="G2405" s="8">
        <v>496</v>
      </c>
      <c r="H2405" s="8">
        <v>525</v>
      </c>
      <c r="I2405" s="8">
        <v>560</v>
      </c>
      <c r="J2405" s="8">
        <v>592</v>
      </c>
    </row>
    <row r="2406" spans="1:10" x14ac:dyDescent="0.2">
      <c r="A2406" s="8">
        <v>5</v>
      </c>
      <c r="B2406" s="8">
        <v>404</v>
      </c>
      <c r="C2406" s="8">
        <v>429</v>
      </c>
      <c r="D2406" s="8">
        <v>455</v>
      </c>
      <c r="E2406" s="8">
        <v>484</v>
      </c>
      <c r="F2406" s="8">
        <v>513</v>
      </c>
      <c r="G2406" s="8">
        <v>542</v>
      </c>
      <c r="H2406" s="8">
        <v>573</v>
      </c>
      <c r="I2406" s="8">
        <v>612</v>
      </c>
      <c r="J2406" s="8">
        <v>647</v>
      </c>
    </row>
    <row r="2407" spans="1:10" x14ac:dyDescent="0.2">
      <c r="A2407" s="8">
        <v>6</v>
      </c>
      <c r="B2407" s="8">
        <v>441</v>
      </c>
      <c r="C2407" s="8">
        <v>469</v>
      </c>
      <c r="D2407" s="8">
        <v>497</v>
      </c>
      <c r="E2407" s="8">
        <v>530</v>
      </c>
      <c r="F2407" s="8">
        <v>561</v>
      </c>
      <c r="G2407" s="8">
        <v>593</v>
      </c>
      <c r="H2407" s="8">
        <v>627</v>
      </c>
      <c r="I2407" s="8">
        <v>669</v>
      </c>
      <c r="J2407" s="8">
        <v>706</v>
      </c>
    </row>
    <row r="2408" spans="1:10" x14ac:dyDescent="0.2">
      <c r="A2408" s="8">
        <v>7</v>
      </c>
      <c r="B2408" s="8">
        <v>482</v>
      </c>
      <c r="C2408" s="8">
        <v>513</v>
      </c>
      <c r="D2408" s="8">
        <v>543</v>
      </c>
      <c r="E2408" s="8">
        <v>579</v>
      </c>
      <c r="F2408" s="8">
        <v>613</v>
      </c>
      <c r="G2408" s="8">
        <v>648</v>
      </c>
      <c r="H2408" s="8">
        <v>685</v>
      </c>
      <c r="I2408" s="8">
        <v>731</v>
      </c>
      <c r="J2408" s="8">
        <v>771</v>
      </c>
    </row>
    <row r="2409" spans="1:10" x14ac:dyDescent="0.2">
      <c r="A2409" s="8">
        <v>8</v>
      </c>
      <c r="B2409" s="8">
        <v>520</v>
      </c>
      <c r="C2409" s="8">
        <v>553</v>
      </c>
      <c r="D2409" s="8">
        <v>587</v>
      </c>
      <c r="E2409" s="8">
        <v>625</v>
      </c>
      <c r="F2409" s="8">
        <v>662</v>
      </c>
      <c r="G2409" s="8">
        <v>700</v>
      </c>
      <c r="H2409" s="8">
        <v>739</v>
      </c>
      <c r="I2409" s="8">
        <v>789</v>
      </c>
      <c r="J2409" s="8">
        <v>832</v>
      </c>
    </row>
    <row r="2410" spans="1:10" x14ac:dyDescent="0.2">
      <c r="A2410" s="8">
        <v>9</v>
      </c>
      <c r="B2410" s="8">
        <v>559</v>
      </c>
      <c r="C2410" s="8">
        <v>595</v>
      </c>
      <c r="D2410" s="8">
        <v>631</v>
      </c>
      <c r="E2410" s="8">
        <v>672</v>
      </c>
      <c r="F2410" s="8">
        <v>712</v>
      </c>
      <c r="G2410" s="8">
        <v>753</v>
      </c>
      <c r="H2410" s="8">
        <v>795</v>
      </c>
      <c r="I2410" s="8">
        <v>848</v>
      </c>
      <c r="J2410" s="8">
        <v>894</v>
      </c>
    </row>
    <row r="2412" spans="1:10" x14ac:dyDescent="0.2">
      <c r="C2412" s="4669" t="s">
        <v>1177</v>
      </c>
      <c r="D2412" s="4669"/>
      <c r="E2412" s="4669"/>
      <c r="F2412" s="4669"/>
      <c r="G2412" s="4669"/>
      <c r="H2412" s="4669"/>
      <c r="I2412" s="4669"/>
    </row>
    <row r="2413" spans="1:10" x14ac:dyDescent="0.2">
      <c r="C2413" s="218"/>
      <c r="D2413" s="4669" t="s">
        <v>1178</v>
      </c>
      <c r="E2413" s="4669"/>
      <c r="F2413" s="4669"/>
      <c r="G2413" s="4669"/>
      <c r="H2413" s="4669"/>
      <c r="I2413" s="218"/>
    </row>
    <row r="2414" spans="1:10" x14ac:dyDescent="0.2">
      <c r="A2414" s="8">
        <v>1</v>
      </c>
      <c r="B2414" s="8">
        <v>5.88</v>
      </c>
      <c r="C2414" s="8">
        <v>5.7560000000000002</v>
      </c>
      <c r="D2414" s="8">
        <v>5.6360000000000001</v>
      </c>
      <c r="E2414" s="8">
        <v>5.484</v>
      </c>
      <c r="F2414" s="8">
        <v>5.3440000000000003</v>
      </c>
      <c r="G2414" s="8">
        <v>5.1779999999999999</v>
      </c>
      <c r="H2414" s="8">
        <v>5.0110000000000001</v>
      </c>
      <c r="I2414" s="8">
        <v>4.8529999999999998</v>
      </c>
      <c r="J2414" s="8">
        <v>4.7389999999999999</v>
      </c>
    </row>
    <row r="2415" spans="1:10" x14ac:dyDescent="0.2">
      <c r="A2415" s="8">
        <v>2</v>
      </c>
      <c r="B2415" s="8">
        <v>6.3019999999999996</v>
      </c>
      <c r="C2415" s="8">
        <v>6.165</v>
      </c>
      <c r="D2415" s="8">
        <v>6.0330000000000004</v>
      </c>
      <c r="E2415" s="8">
        <v>5.8639999999999999</v>
      </c>
      <c r="F2415" s="8">
        <v>5.7069999999999999</v>
      </c>
      <c r="G2415" s="8">
        <v>5.5229999999999997</v>
      </c>
      <c r="H2415" s="8">
        <v>5.335</v>
      </c>
      <c r="I2415" s="8">
        <v>5.1589999999999998</v>
      </c>
      <c r="J2415" s="8">
        <v>5.03</v>
      </c>
    </row>
    <row r="2416" spans="1:10" x14ac:dyDescent="0.2">
      <c r="A2416" s="8">
        <v>3</v>
      </c>
      <c r="B2416" s="8">
        <v>6.742</v>
      </c>
      <c r="C2416" s="8">
        <v>6.59</v>
      </c>
      <c r="D2416" s="8">
        <v>6.4450000000000003</v>
      </c>
      <c r="E2416" s="8">
        <v>6.2590000000000003</v>
      </c>
      <c r="F2416" s="8">
        <v>6.085</v>
      </c>
      <c r="G2416" s="8">
        <v>5.8810000000000002</v>
      </c>
      <c r="H2416" s="8">
        <v>5.6719999999999997</v>
      </c>
      <c r="I2416" s="8">
        <v>5.4470000000000001</v>
      </c>
      <c r="J2416" s="8">
        <v>5.3330000000000002</v>
      </c>
    </row>
    <row r="2417" spans="1:10" x14ac:dyDescent="0.2">
      <c r="A2417" s="8">
        <v>4</v>
      </c>
      <c r="B2417" s="8">
        <v>7.2110000000000003</v>
      </c>
      <c r="C2417" s="8">
        <v>7.0449999999999999</v>
      </c>
      <c r="D2417" s="8">
        <v>6.8860000000000001</v>
      </c>
      <c r="E2417" s="8">
        <v>6.681</v>
      </c>
      <c r="F2417" s="8">
        <v>6.4889999999999999</v>
      </c>
      <c r="G2417" s="8">
        <v>6.2640000000000002</v>
      </c>
      <c r="H2417" s="8">
        <v>6.0330000000000004</v>
      </c>
      <c r="I2417" s="8">
        <v>5.8159999999999998</v>
      </c>
      <c r="J2417" s="8">
        <v>5.657</v>
      </c>
    </row>
    <row r="2418" spans="1:10" x14ac:dyDescent="0.2">
      <c r="A2418" s="8">
        <v>5</v>
      </c>
      <c r="B2418" s="8">
        <v>7.6989999999999998</v>
      </c>
      <c r="C2418" s="8">
        <v>7.5170000000000003</v>
      </c>
      <c r="D2418" s="8">
        <v>7.3449999999999998</v>
      </c>
      <c r="E2418" s="8">
        <v>7.12</v>
      </c>
      <c r="F2418" s="8">
        <v>6.9089999999999998</v>
      </c>
      <c r="G2418" s="8">
        <v>6.6630000000000003</v>
      </c>
      <c r="H2418" s="8">
        <v>6.4080000000000004</v>
      </c>
      <c r="I2418" s="8">
        <v>6.1689999999999996</v>
      </c>
      <c r="J2418" s="8">
        <v>5.9939999999999998</v>
      </c>
    </row>
    <row r="2419" spans="1:10" x14ac:dyDescent="0.2">
      <c r="A2419" s="8">
        <v>6</v>
      </c>
      <c r="B2419" s="8">
        <v>8.2370000000000001</v>
      </c>
      <c r="C2419" s="8">
        <v>8.0389999999999997</v>
      </c>
      <c r="D2419" s="8">
        <v>7.851</v>
      </c>
      <c r="E2419" s="8">
        <v>7.6050000000000004</v>
      </c>
      <c r="F2419" s="8">
        <v>7.3739999999999997</v>
      </c>
      <c r="G2419" s="8">
        <v>7.1029999999999998</v>
      </c>
      <c r="H2419" s="8">
        <v>6.8230000000000004</v>
      </c>
      <c r="I2419" s="8">
        <v>6.4589999999999996</v>
      </c>
      <c r="J2419" s="8">
        <v>6.3650000000000002</v>
      </c>
    </row>
    <row r="2420" spans="1:10" x14ac:dyDescent="0.2">
      <c r="A2420" s="8">
        <v>7</v>
      </c>
      <c r="B2420" s="8">
        <v>8.8260000000000005</v>
      </c>
      <c r="C2420" s="8">
        <v>8.6110000000000007</v>
      </c>
      <c r="D2420" s="8">
        <v>8.407</v>
      </c>
      <c r="E2420" s="8">
        <v>8.1379999999999999</v>
      </c>
      <c r="F2420" s="8">
        <v>7.8840000000000003</v>
      </c>
      <c r="G2420" s="8">
        <v>7.5869999999999997</v>
      </c>
      <c r="H2420" s="8">
        <v>7.2770000000000001</v>
      </c>
      <c r="I2420" s="8">
        <v>6.9859999999999998</v>
      </c>
      <c r="J2420" s="8">
        <v>6.7709999999999999</v>
      </c>
    </row>
    <row r="2421" spans="1:10" x14ac:dyDescent="0.2">
      <c r="A2421" s="8">
        <v>8</v>
      </c>
      <c r="B2421" s="8">
        <v>9.3879999999999999</v>
      </c>
      <c r="C2421" s="8">
        <v>9.1560000000000006</v>
      </c>
      <c r="D2421" s="8">
        <v>8.9369999999999994</v>
      </c>
      <c r="E2421" s="8">
        <v>8.6460000000000008</v>
      </c>
      <c r="F2421" s="8">
        <v>8.3699999999999992</v>
      </c>
      <c r="G2421" s="8">
        <v>8.048</v>
      </c>
      <c r="H2421" s="8">
        <v>7.7110000000000003</v>
      </c>
      <c r="I2421" s="8">
        <v>7.3940000000000001</v>
      </c>
      <c r="J2421" s="8">
        <v>7.1589999999999998</v>
      </c>
    </row>
    <row r="2422" spans="1:10" x14ac:dyDescent="0.2">
      <c r="A2422" s="8">
        <v>9</v>
      </c>
      <c r="B2422" s="8">
        <v>9.9629999999999992</v>
      </c>
      <c r="C2422" s="8">
        <v>9.7149999999999999</v>
      </c>
      <c r="D2422" s="8">
        <v>9.4809999999999999</v>
      </c>
      <c r="E2422" s="8">
        <v>9.1679999999999993</v>
      </c>
      <c r="F2422" s="8">
        <v>8.8689999999999998</v>
      </c>
      <c r="G2422" s="8">
        <v>8.5220000000000002</v>
      </c>
      <c r="H2422" s="8">
        <v>8.1560000000000006</v>
      </c>
      <c r="I2422" s="8">
        <v>7.8109999999999999</v>
      </c>
      <c r="J2422" s="8">
        <v>7.556</v>
      </c>
    </row>
    <row r="2424" spans="1:10" x14ac:dyDescent="0.2">
      <c r="B2424" s="4672" t="s">
        <v>1179</v>
      </c>
      <c r="C2424" s="4672"/>
      <c r="D2424" s="4672"/>
      <c r="E2424" s="4672"/>
      <c r="F2424" s="4672"/>
      <c r="G2424" s="4672"/>
      <c r="H2424" s="4672"/>
      <c r="I2424" s="4672"/>
      <c r="J2424" s="4672"/>
    </row>
    <row r="2425" spans="1:10" x14ac:dyDescent="0.2">
      <c r="A2425" s="1876"/>
      <c r="B2425" s="218"/>
      <c r="C2425" s="4669" t="s">
        <v>1781</v>
      </c>
      <c r="D2425" s="4669"/>
      <c r="E2425" s="4669"/>
      <c r="F2425" s="4669"/>
      <c r="G2425" s="4669"/>
      <c r="H2425" s="4669"/>
      <c r="I2425" s="4669"/>
      <c r="J2425" s="218"/>
    </row>
    <row r="2426" spans="1:10" x14ac:dyDescent="0.2">
      <c r="A2426" s="1876"/>
      <c r="B2426" s="218"/>
      <c r="C2426" s="218"/>
      <c r="D2426" s="4669" t="s">
        <v>1176</v>
      </c>
      <c r="E2426" s="4669"/>
      <c r="F2426" s="4669"/>
      <c r="G2426" s="4669"/>
      <c r="H2426" s="4669"/>
      <c r="I2426" s="218"/>
      <c r="J2426" s="218"/>
    </row>
    <row r="2427" spans="1:10" x14ac:dyDescent="0.2">
      <c r="A2427" s="8">
        <v>1</v>
      </c>
      <c r="B2427" s="8">
        <v>256</v>
      </c>
      <c r="C2427" s="8">
        <v>271</v>
      </c>
      <c r="D2427" s="8">
        <v>286</v>
      </c>
      <c r="E2427" s="8">
        <v>303</v>
      </c>
      <c r="F2427" s="8">
        <v>320</v>
      </c>
      <c r="G2427" s="8">
        <v>337</v>
      </c>
      <c r="H2427" s="8">
        <v>355</v>
      </c>
      <c r="I2427" s="8">
        <v>377</v>
      </c>
      <c r="J2427" s="8">
        <v>397</v>
      </c>
    </row>
    <row r="2428" spans="1:10" x14ac:dyDescent="0.2">
      <c r="A2428" s="8">
        <v>2</v>
      </c>
      <c r="B2428" s="8">
        <v>282</v>
      </c>
      <c r="C2428" s="8">
        <v>299</v>
      </c>
      <c r="D2428" s="8">
        <v>315</v>
      </c>
      <c r="E2428" s="8">
        <v>334</v>
      </c>
      <c r="F2428" s="8">
        <v>352</v>
      </c>
      <c r="G2428" s="8">
        <v>371</v>
      </c>
      <c r="H2428" s="8">
        <v>390</v>
      </c>
      <c r="I2428" s="8">
        <v>415</v>
      </c>
      <c r="J2428" s="8">
        <v>436</v>
      </c>
    </row>
    <row r="2429" spans="1:10" x14ac:dyDescent="0.2">
      <c r="A2429" s="8">
        <v>3</v>
      </c>
      <c r="B2429" s="8">
        <v>309</v>
      </c>
      <c r="C2429" s="8">
        <v>327</v>
      </c>
      <c r="D2429" s="8">
        <v>345</v>
      </c>
      <c r="E2429" s="8">
        <v>366</v>
      </c>
      <c r="F2429" s="8">
        <v>385</v>
      </c>
      <c r="G2429" s="8">
        <v>405</v>
      </c>
      <c r="H2429" s="8">
        <v>426</v>
      </c>
      <c r="I2429" s="8">
        <v>453</v>
      </c>
      <c r="J2429" s="8">
        <v>476</v>
      </c>
    </row>
    <row r="2430" spans="1:10" x14ac:dyDescent="0.2">
      <c r="A2430" s="8">
        <v>4</v>
      </c>
      <c r="B2430" s="8">
        <v>337</v>
      </c>
      <c r="C2430" s="8">
        <v>357</v>
      </c>
      <c r="D2430" s="8">
        <v>376</v>
      </c>
      <c r="E2430" s="8">
        <v>398</v>
      </c>
      <c r="F2430" s="8">
        <v>420</v>
      </c>
      <c r="G2430" s="8">
        <v>441</v>
      </c>
      <c r="H2430" s="8">
        <v>464</v>
      </c>
      <c r="I2430" s="8">
        <v>492</v>
      </c>
      <c r="J2430" s="8">
        <v>517</v>
      </c>
    </row>
    <row r="2431" spans="1:10" x14ac:dyDescent="0.2">
      <c r="A2431" s="8">
        <v>5</v>
      </c>
      <c r="B2431" s="8">
        <v>365</v>
      </c>
      <c r="C2431" s="8">
        <v>386</v>
      </c>
      <c r="D2431" s="8">
        <v>408</v>
      </c>
      <c r="E2431" s="8">
        <v>431</v>
      </c>
      <c r="F2431" s="8">
        <v>454</v>
      </c>
      <c r="G2431" s="8">
        <v>477</v>
      </c>
      <c r="H2431" s="8">
        <v>501</v>
      </c>
      <c r="I2431" s="8">
        <v>532</v>
      </c>
      <c r="J2431" s="8">
        <v>558</v>
      </c>
    </row>
    <row r="2432" spans="1:10" x14ac:dyDescent="0.2">
      <c r="A2432" s="8">
        <v>6</v>
      </c>
      <c r="B2432" s="8">
        <v>395</v>
      </c>
      <c r="C2432" s="8">
        <v>418</v>
      </c>
      <c r="D2432" s="8">
        <v>441</v>
      </c>
      <c r="E2432" s="8">
        <v>467</v>
      </c>
      <c r="F2432" s="8">
        <v>491</v>
      </c>
      <c r="G2432" s="8">
        <v>516</v>
      </c>
      <c r="H2432" s="8">
        <v>542</v>
      </c>
      <c r="I2432" s="8">
        <v>574</v>
      </c>
      <c r="J2432" s="8">
        <v>602</v>
      </c>
    </row>
    <row r="2433" spans="1:10" x14ac:dyDescent="0.2">
      <c r="A2433" s="8">
        <v>7</v>
      </c>
      <c r="B2433" s="8">
        <v>428</v>
      </c>
      <c r="C2433" s="8">
        <v>452</v>
      </c>
      <c r="D2433" s="8">
        <v>477</v>
      </c>
      <c r="E2433" s="8">
        <v>505</v>
      </c>
      <c r="F2433" s="8">
        <v>531</v>
      </c>
      <c r="G2433" s="8">
        <v>557</v>
      </c>
      <c r="H2433" s="8">
        <v>585</v>
      </c>
      <c r="I2433" s="8">
        <v>619</v>
      </c>
      <c r="J2433" s="8">
        <v>648</v>
      </c>
    </row>
    <row r="2434" spans="1:10" x14ac:dyDescent="0.2">
      <c r="A2434" s="8">
        <v>8</v>
      </c>
      <c r="B2434" s="8">
        <v>458</v>
      </c>
      <c r="C2434" s="8">
        <v>484</v>
      </c>
      <c r="D2434" s="8">
        <v>510</v>
      </c>
      <c r="E2434" s="8">
        <v>540</v>
      </c>
      <c r="F2434" s="8">
        <v>567</v>
      </c>
      <c r="G2434" s="8">
        <v>595</v>
      </c>
      <c r="H2434" s="8">
        <v>624</v>
      </c>
      <c r="I2434" s="8">
        <v>660</v>
      </c>
      <c r="J2434" s="8">
        <v>691</v>
      </c>
    </row>
    <row r="2435" spans="1:10" x14ac:dyDescent="0.2">
      <c r="A2435" s="8">
        <v>9</v>
      </c>
      <c r="B2435" s="8">
        <v>487</v>
      </c>
      <c r="C2435" s="8">
        <v>515</v>
      </c>
      <c r="D2435" s="8">
        <v>543</v>
      </c>
      <c r="E2435" s="8">
        <v>574</v>
      </c>
      <c r="F2435" s="8">
        <v>604</v>
      </c>
      <c r="G2435" s="8">
        <v>633</v>
      </c>
      <c r="H2435" s="8">
        <v>663</v>
      </c>
      <c r="I2435" s="8">
        <v>701</v>
      </c>
      <c r="J2435" s="8">
        <v>733</v>
      </c>
    </row>
    <row r="2437" spans="1:10" x14ac:dyDescent="0.2">
      <c r="C2437" s="4669" t="s">
        <v>1177</v>
      </c>
      <c r="D2437" s="4669"/>
      <c r="E2437" s="4669"/>
      <c r="F2437" s="4669"/>
      <c r="G2437" s="4669"/>
      <c r="H2437" s="4669"/>
      <c r="I2437" s="4669"/>
    </row>
    <row r="2438" spans="1:10" x14ac:dyDescent="0.2">
      <c r="C2438" s="218"/>
      <c r="D2438" s="4669" t="s">
        <v>1176</v>
      </c>
      <c r="E2438" s="4669"/>
      <c r="F2438" s="4669"/>
      <c r="G2438" s="4669"/>
      <c r="H2438" s="4669"/>
      <c r="I2438" s="218"/>
    </row>
    <row r="2439" spans="1:10" x14ac:dyDescent="0.2">
      <c r="A2439" s="8">
        <v>1</v>
      </c>
      <c r="B2439" s="8">
        <v>5.673</v>
      </c>
      <c r="C2439" s="8">
        <v>5.5519999999999996</v>
      </c>
      <c r="D2439" s="8">
        <v>5.4290000000000003</v>
      </c>
      <c r="E2439" s="8">
        <v>5.2720000000000002</v>
      </c>
      <c r="F2439" s="8">
        <v>5.1239999999999997</v>
      </c>
      <c r="G2439" s="8">
        <v>4.96</v>
      </c>
      <c r="H2439" s="8">
        <v>4.798</v>
      </c>
      <c r="I2439" s="8">
        <v>4.6449999999999996</v>
      </c>
      <c r="J2439" s="8">
        <v>4.5519999999999996</v>
      </c>
    </row>
    <row r="2440" spans="1:10" x14ac:dyDescent="0.2">
      <c r="A2440" s="8">
        <v>2</v>
      </c>
      <c r="B2440" s="8">
        <v>6.0670000000000002</v>
      </c>
      <c r="C2440" s="8">
        <v>5.9320000000000004</v>
      </c>
      <c r="D2440" s="8">
        <v>5.7960000000000003</v>
      </c>
      <c r="E2440" s="8">
        <v>5.63</v>
      </c>
      <c r="F2440" s="8">
        <v>5.4790000000000001</v>
      </c>
      <c r="G2440" s="8">
        <v>5.2969999999999997</v>
      </c>
      <c r="H2440" s="8">
        <v>5.117</v>
      </c>
      <c r="I2440" s="8">
        <v>4.9459999999999997</v>
      </c>
      <c r="J2440" s="8">
        <v>4.819</v>
      </c>
    </row>
    <row r="2441" spans="1:10" x14ac:dyDescent="0.2">
      <c r="A2441" s="8">
        <v>3</v>
      </c>
      <c r="B2441" s="8">
        <v>6.4370000000000003</v>
      </c>
      <c r="C2441" s="8">
        <v>6.33</v>
      </c>
      <c r="D2441" s="8">
        <v>6.194</v>
      </c>
      <c r="E2441" s="8">
        <v>6.0149999999999997</v>
      </c>
      <c r="F2441" s="8">
        <v>5.8479999999999999</v>
      </c>
      <c r="G2441" s="8">
        <v>5.6470000000000002</v>
      </c>
      <c r="H2441" s="8">
        <v>5.4470000000000001</v>
      </c>
      <c r="I2441" s="8">
        <v>5.2569999999999997</v>
      </c>
      <c r="J2441" s="8">
        <v>5.117</v>
      </c>
    </row>
    <row r="2442" spans="1:10" x14ac:dyDescent="0.2">
      <c r="A2442" s="8">
        <v>4</v>
      </c>
      <c r="B2442" s="8">
        <v>6.9210000000000003</v>
      </c>
      <c r="C2442" s="8">
        <v>6.7690000000000001</v>
      </c>
      <c r="D2442" s="8">
        <v>6.6210000000000004</v>
      </c>
      <c r="E2442" s="8">
        <v>6.4249999999999998</v>
      </c>
      <c r="F2442" s="8">
        <v>6.242</v>
      </c>
      <c r="G2442" s="8">
        <v>6.02</v>
      </c>
      <c r="H2442" s="8">
        <v>5.7990000000000004</v>
      </c>
      <c r="I2442" s="8">
        <v>5.59</v>
      </c>
      <c r="J2442" s="8">
        <v>5.4340000000000002</v>
      </c>
    </row>
    <row r="2443" spans="1:10" x14ac:dyDescent="0.2">
      <c r="A2443" s="8">
        <v>5</v>
      </c>
      <c r="B2443" s="8">
        <v>7.3879999999999999</v>
      </c>
      <c r="C2443" s="8">
        <v>7.2240000000000002</v>
      </c>
      <c r="D2443" s="8">
        <v>7.0640000000000001</v>
      </c>
      <c r="E2443" s="8">
        <v>6.85</v>
      </c>
      <c r="F2443" s="8">
        <v>6.649</v>
      </c>
      <c r="G2443" s="8">
        <v>6.407</v>
      </c>
      <c r="H2443" s="8">
        <v>6.1639999999999997</v>
      </c>
      <c r="I2443" s="8">
        <v>5.9340000000000002</v>
      </c>
      <c r="J2443" s="8">
        <v>5.7619999999999996</v>
      </c>
    </row>
    <row r="2444" spans="1:10" x14ac:dyDescent="0.2">
      <c r="A2444" s="8">
        <v>6</v>
      </c>
      <c r="B2444" s="8">
        <v>7.9009999999999998</v>
      </c>
      <c r="C2444" s="8">
        <v>7.7240000000000002</v>
      </c>
      <c r="D2444" s="8">
        <v>7.5510000000000002</v>
      </c>
      <c r="E2444" s="8">
        <v>7.3179999999999996</v>
      </c>
      <c r="F2444" s="8">
        <v>7.0979999999999999</v>
      </c>
      <c r="G2444" s="8">
        <v>6.8330000000000002</v>
      </c>
      <c r="H2444" s="8">
        <v>6.5659999999999998</v>
      </c>
      <c r="I2444" s="8">
        <v>6.3129999999999997</v>
      </c>
      <c r="J2444" s="8">
        <v>6.1230000000000002</v>
      </c>
    </row>
    <row r="2445" spans="1:10" x14ac:dyDescent="0.2">
      <c r="A2445" s="8">
        <v>7</v>
      </c>
      <c r="B2445" s="8">
        <v>8.4610000000000003</v>
      </c>
      <c r="C2445" s="8">
        <v>8.27</v>
      </c>
      <c r="D2445" s="8">
        <v>8.0830000000000002</v>
      </c>
      <c r="E2445" s="8">
        <v>7.8289999999999997</v>
      </c>
      <c r="F2445" s="8">
        <v>7.5890000000000004</v>
      </c>
      <c r="G2445" s="8">
        <v>7.2990000000000004</v>
      </c>
      <c r="H2445" s="8">
        <v>7.0049999999999999</v>
      </c>
      <c r="I2445" s="8">
        <v>6.726</v>
      </c>
      <c r="J2445" s="8">
        <v>6.5170000000000003</v>
      </c>
    </row>
    <row r="2446" spans="1:10" x14ac:dyDescent="0.2">
      <c r="A2446" s="8">
        <v>8</v>
      </c>
      <c r="B2446" s="8">
        <v>8.9920000000000009</v>
      </c>
      <c r="C2446" s="8">
        <v>8.7870000000000008</v>
      </c>
      <c r="D2446" s="8">
        <v>8.5890000000000004</v>
      </c>
      <c r="E2446" s="8">
        <v>8.3149999999999995</v>
      </c>
      <c r="F2446" s="8">
        <v>8.0549999999999997</v>
      </c>
      <c r="G2446" s="8">
        <v>7.7409999999999997</v>
      </c>
      <c r="H2446" s="8">
        <v>7.4219999999999997</v>
      </c>
      <c r="I2446" s="8">
        <v>7.12</v>
      </c>
      <c r="J2446" s="8">
        <v>6.891</v>
      </c>
    </row>
    <row r="2447" spans="1:10" x14ac:dyDescent="0.2">
      <c r="A2447" s="8">
        <v>9</v>
      </c>
      <c r="B2447" s="8">
        <v>9.5329999999999995</v>
      </c>
      <c r="C2447" s="8">
        <v>9.3160000000000007</v>
      </c>
      <c r="D2447" s="8">
        <v>9.1050000000000004</v>
      </c>
      <c r="E2447" s="8">
        <v>8.8109999999999999</v>
      </c>
      <c r="F2447" s="8">
        <v>8.532</v>
      </c>
      <c r="G2447" s="8">
        <v>8.1940000000000008</v>
      </c>
      <c r="H2447" s="8">
        <v>7.8479999999999999</v>
      </c>
      <c r="I2447" s="8">
        <v>7.5209999999999999</v>
      </c>
      <c r="J2447" s="8">
        <v>7.2729999999999997</v>
      </c>
    </row>
    <row r="2449" spans="1:10" x14ac:dyDescent="0.2">
      <c r="C2449" s="4669" t="s">
        <v>1781</v>
      </c>
      <c r="D2449" s="4669"/>
      <c r="E2449" s="4669"/>
      <c r="F2449" s="4669"/>
      <c r="G2449" s="4669"/>
      <c r="H2449" s="4669"/>
      <c r="I2449" s="4669"/>
    </row>
    <row r="2450" spans="1:10" x14ac:dyDescent="0.2">
      <c r="C2450" s="218"/>
      <c r="D2450" s="4669" t="s">
        <v>1178</v>
      </c>
      <c r="E2450" s="4669"/>
      <c r="F2450" s="4669"/>
      <c r="G2450" s="4669"/>
      <c r="H2450" s="4669"/>
      <c r="I2450" s="218"/>
    </row>
    <row r="2451" spans="1:10" x14ac:dyDescent="0.2">
      <c r="A2451" s="8">
        <v>1</v>
      </c>
      <c r="B2451" s="8">
        <v>260</v>
      </c>
      <c r="C2451" s="8">
        <v>275</v>
      </c>
      <c r="D2451" s="8">
        <v>290</v>
      </c>
      <c r="E2451" s="8">
        <v>307</v>
      </c>
      <c r="F2451" s="8">
        <v>324</v>
      </c>
      <c r="G2451" s="8">
        <v>341</v>
      </c>
      <c r="H2451" s="8">
        <v>359</v>
      </c>
      <c r="I2451" s="8">
        <v>381</v>
      </c>
      <c r="J2451" s="8">
        <v>401</v>
      </c>
    </row>
    <row r="2452" spans="1:10" x14ac:dyDescent="0.2">
      <c r="A2452" s="8">
        <v>2</v>
      </c>
      <c r="B2452" s="8">
        <v>287</v>
      </c>
      <c r="C2452" s="8">
        <v>303</v>
      </c>
      <c r="D2452" s="8">
        <v>320</v>
      </c>
      <c r="E2452" s="8">
        <v>339</v>
      </c>
      <c r="F2452" s="8">
        <v>357</v>
      </c>
      <c r="G2452" s="8">
        <v>375</v>
      </c>
      <c r="H2452" s="8">
        <v>395</v>
      </c>
      <c r="I2452" s="8">
        <v>420</v>
      </c>
      <c r="J2452" s="8">
        <v>441</v>
      </c>
    </row>
    <row r="2453" spans="1:10" x14ac:dyDescent="0.2">
      <c r="A2453" s="8">
        <v>3</v>
      </c>
      <c r="B2453" s="8">
        <v>315</v>
      </c>
      <c r="C2453" s="8">
        <v>333</v>
      </c>
      <c r="D2453" s="8">
        <v>351</v>
      </c>
      <c r="E2453" s="8">
        <v>371</v>
      </c>
      <c r="F2453" s="8">
        <v>391</v>
      </c>
      <c r="G2453" s="8">
        <v>411</v>
      </c>
      <c r="H2453" s="8">
        <v>432</v>
      </c>
      <c r="I2453" s="8">
        <v>458</v>
      </c>
      <c r="J2453" s="8">
        <v>482</v>
      </c>
    </row>
    <row r="2454" spans="1:10" x14ac:dyDescent="0.2">
      <c r="A2454" s="8">
        <v>4</v>
      </c>
      <c r="B2454" s="8">
        <v>343</v>
      </c>
      <c r="C2454" s="8">
        <v>363</v>
      </c>
      <c r="D2454" s="8">
        <v>383</v>
      </c>
      <c r="E2454" s="8">
        <v>405</v>
      </c>
      <c r="F2454" s="8">
        <v>426</v>
      </c>
      <c r="G2454" s="8">
        <v>448</v>
      </c>
      <c r="H2454" s="8">
        <v>471</v>
      </c>
      <c r="I2454" s="8">
        <v>499</v>
      </c>
      <c r="J2454" s="8">
        <v>524</v>
      </c>
    </row>
    <row r="2455" spans="1:10" x14ac:dyDescent="0.2">
      <c r="A2455" s="8">
        <v>5</v>
      </c>
      <c r="B2455" s="8">
        <v>373</v>
      </c>
      <c r="C2455" s="8">
        <v>394</v>
      </c>
      <c r="D2455" s="8">
        <v>415</v>
      </c>
      <c r="E2455" s="8">
        <v>439</v>
      </c>
      <c r="F2455" s="8">
        <v>462</v>
      </c>
      <c r="G2455" s="8">
        <v>485</v>
      </c>
      <c r="H2455" s="8">
        <v>509</v>
      </c>
      <c r="I2455" s="8">
        <v>539</v>
      </c>
      <c r="J2455" s="8">
        <v>566</v>
      </c>
    </row>
    <row r="2456" spans="1:10" x14ac:dyDescent="0.2">
      <c r="A2456" s="8">
        <v>6</v>
      </c>
      <c r="B2456" s="8">
        <v>404</v>
      </c>
      <c r="C2456" s="8">
        <v>427</v>
      </c>
      <c r="D2456" s="8">
        <v>450</v>
      </c>
      <c r="E2456" s="8">
        <v>476</v>
      </c>
      <c r="F2456" s="8">
        <v>500</v>
      </c>
      <c r="G2456" s="8">
        <v>525</v>
      </c>
      <c r="H2456" s="8">
        <v>551</v>
      </c>
      <c r="I2456" s="8">
        <v>583</v>
      </c>
      <c r="J2456" s="8">
        <v>611</v>
      </c>
    </row>
    <row r="2457" spans="1:10" x14ac:dyDescent="0.2">
      <c r="A2457" s="8">
        <v>7</v>
      </c>
      <c r="B2457" s="8">
        <v>438</v>
      </c>
      <c r="C2457" s="8">
        <v>463</v>
      </c>
      <c r="D2457" s="8">
        <v>487</v>
      </c>
      <c r="E2457" s="8">
        <v>515</v>
      </c>
      <c r="F2457" s="8">
        <v>541</v>
      </c>
      <c r="G2457" s="8">
        <v>568</v>
      </c>
      <c r="H2457" s="8">
        <v>595</v>
      </c>
      <c r="I2457" s="8">
        <v>629</v>
      </c>
      <c r="J2457" s="8">
        <v>659</v>
      </c>
    </row>
    <row r="2458" spans="1:10" x14ac:dyDescent="0.2">
      <c r="A2458" s="8">
        <v>8</v>
      </c>
      <c r="B2458" s="8">
        <v>470</v>
      </c>
      <c r="C2458" s="8">
        <v>496</v>
      </c>
      <c r="D2458" s="8">
        <v>522</v>
      </c>
      <c r="E2458" s="8">
        <v>552</v>
      </c>
      <c r="F2458" s="8">
        <v>579</v>
      </c>
      <c r="G2458" s="8">
        <v>607</v>
      </c>
      <c r="H2458" s="8">
        <v>636</v>
      </c>
      <c r="I2458" s="8">
        <v>622</v>
      </c>
      <c r="J2458" s="8">
        <v>703</v>
      </c>
    </row>
    <row r="2459" spans="1:10" x14ac:dyDescent="0.2">
      <c r="A2459" s="8">
        <v>9</v>
      </c>
      <c r="B2459" s="8">
        <v>501</v>
      </c>
      <c r="C2459" s="8">
        <v>529</v>
      </c>
      <c r="D2459" s="8">
        <v>557</v>
      </c>
      <c r="E2459" s="8">
        <v>588</v>
      </c>
      <c r="F2459" s="8">
        <v>617</v>
      </c>
      <c r="G2459" s="8">
        <v>647</v>
      </c>
      <c r="H2459" s="8">
        <v>677</v>
      </c>
      <c r="I2459" s="8">
        <v>714</v>
      </c>
      <c r="J2459" s="8">
        <v>747</v>
      </c>
    </row>
    <row r="2461" spans="1:10" x14ac:dyDescent="0.2">
      <c r="C2461" s="4669" t="s">
        <v>1177</v>
      </c>
      <c r="D2461" s="4669"/>
      <c r="E2461" s="4669"/>
      <c r="F2461" s="4669"/>
      <c r="G2461" s="4669"/>
      <c r="H2461" s="4669"/>
      <c r="I2461" s="4669"/>
    </row>
    <row r="2462" spans="1:10" x14ac:dyDescent="0.2">
      <c r="C2462" s="218"/>
      <c r="D2462" s="4669" t="s">
        <v>1178</v>
      </c>
      <c r="E2462" s="4669"/>
      <c r="F2462" s="4669"/>
      <c r="G2462" s="4669"/>
      <c r="H2462" s="4669"/>
      <c r="I2462" s="218"/>
    </row>
    <row r="2463" spans="1:10" x14ac:dyDescent="0.2">
      <c r="A2463" s="8">
        <v>1</v>
      </c>
      <c r="B2463" s="8">
        <v>5.7510000000000003</v>
      </c>
      <c r="C2463" s="8">
        <v>5.6189999999999998</v>
      </c>
      <c r="D2463" s="8">
        <v>4.492</v>
      </c>
      <c r="E2463" s="8">
        <v>5.33</v>
      </c>
      <c r="F2463" s="8">
        <v>5.1790000000000003</v>
      </c>
      <c r="G2463" s="8">
        <v>5.0140000000000002</v>
      </c>
      <c r="H2463" s="8">
        <v>4.8470000000000004</v>
      </c>
      <c r="I2463" s="8">
        <v>4.6900000000000004</v>
      </c>
      <c r="J2463" s="8">
        <v>4.5759999999999996</v>
      </c>
    </row>
    <row r="2464" spans="1:10" x14ac:dyDescent="0.2">
      <c r="A2464" s="8">
        <v>2</v>
      </c>
      <c r="B2464" s="8">
        <v>6.1580000000000004</v>
      </c>
      <c r="C2464" s="8">
        <v>6.0140000000000002</v>
      </c>
      <c r="D2464" s="8">
        <v>5.8710000000000004</v>
      </c>
      <c r="E2464" s="8">
        <v>5.702</v>
      </c>
      <c r="F2464" s="8">
        <v>5.5460000000000003</v>
      </c>
      <c r="G2464" s="8">
        <v>5.3620000000000001</v>
      </c>
      <c r="H2464" s="8">
        <v>5.1749999999999998</v>
      </c>
      <c r="I2464" s="8">
        <v>5</v>
      </c>
      <c r="J2464" s="8">
        <v>4.8719999999999999</v>
      </c>
    </row>
    <row r="2465" spans="1:10" x14ac:dyDescent="0.2">
      <c r="A2465" s="8">
        <v>3</v>
      </c>
      <c r="B2465" s="8">
        <v>6.5839999999999996</v>
      </c>
      <c r="C2465" s="8">
        <v>6.4320000000000004</v>
      </c>
      <c r="D2465" s="8">
        <v>6.2869999999999999</v>
      </c>
      <c r="E2465" s="8">
        <v>6.101</v>
      </c>
      <c r="F2465" s="8">
        <v>5.9279999999999999</v>
      </c>
      <c r="G2465" s="8">
        <v>5.7240000000000002</v>
      </c>
      <c r="H2465" s="8">
        <v>5.5170000000000003</v>
      </c>
      <c r="I2465" s="8">
        <v>5.2220000000000004</v>
      </c>
      <c r="J2465" s="8">
        <v>5.1790000000000003</v>
      </c>
    </row>
    <row r="2466" spans="1:10" x14ac:dyDescent="0.2">
      <c r="A2466" s="8">
        <v>4</v>
      </c>
      <c r="B2466" s="8">
        <v>7.056</v>
      </c>
      <c r="C2466" s="8">
        <v>6.891</v>
      </c>
      <c r="D2466" s="8">
        <v>6.7329999999999997</v>
      </c>
      <c r="E2466" s="8">
        <v>6.5229999999999997</v>
      </c>
      <c r="F2466" s="8">
        <v>6.3369999999999997</v>
      </c>
      <c r="G2466" s="8">
        <v>6.1120000000000001</v>
      </c>
      <c r="H2466" s="8">
        <v>5.883</v>
      </c>
      <c r="I2466" s="8">
        <v>5.6669999999999998</v>
      </c>
      <c r="J2466" s="8">
        <v>5.508</v>
      </c>
    </row>
    <row r="2467" spans="1:10" x14ac:dyDescent="0.2">
      <c r="A2467" s="8">
        <v>5</v>
      </c>
      <c r="B2467" s="8">
        <v>7.548</v>
      </c>
      <c r="C2467" s="8">
        <v>7.3680000000000003</v>
      </c>
      <c r="D2467" s="8">
        <v>7.1959999999999997</v>
      </c>
      <c r="E2467" s="8">
        <v>6.9710000000000001</v>
      </c>
      <c r="F2467" s="8">
        <v>6.7519999999999998</v>
      </c>
      <c r="G2467" s="8">
        <v>6.516</v>
      </c>
      <c r="H2467" s="8">
        <v>6.2619999999999996</v>
      </c>
      <c r="I2467" s="8">
        <v>6.024</v>
      </c>
      <c r="J2467" s="8">
        <v>5.8490000000000002</v>
      </c>
    </row>
    <row r="2468" spans="1:10" x14ac:dyDescent="0.2">
      <c r="A2468" s="8">
        <v>6</v>
      </c>
      <c r="B2468" s="8">
        <v>8.0909999999999993</v>
      </c>
      <c r="C2468" s="8">
        <v>7.8949999999999996</v>
      </c>
      <c r="D2468" s="8">
        <v>7.7069999999999999</v>
      </c>
      <c r="E2468" s="8">
        <v>7.4619999999999997</v>
      </c>
      <c r="F2468" s="8">
        <v>7.2309999999999999</v>
      </c>
      <c r="G2468" s="8">
        <v>6.9610000000000003</v>
      </c>
      <c r="H2468" s="8">
        <v>6.6820000000000004</v>
      </c>
      <c r="I2468" s="8">
        <v>6.42</v>
      </c>
      <c r="J2468" s="8">
        <v>6.226</v>
      </c>
    </row>
    <row r="2469" spans="1:10" x14ac:dyDescent="0.2">
      <c r="A2469" s="8">
        <v>7</v>
      </c>
      <c r="B2469" s="8">
        <v>8.6359999999999992</v>
      </c>
      <c r="C2469" s="8">
        <v>8.4719999999999995</v>
      </c>
      <c r="D2469" s="8">
        <v>8.2680000000000007</v>
      </c>
      <c r="E2469" s="8">
        <v>8</v>
      </c>
      <c r="F2469" s="8">
        <v>7.7469999999999999</v>
      </c>
      <c r="G2469" s="8">
        <v>7.4509999999999996</v>
      </c>
      <c r="H2469" s="8">
        <v>7.1429999999999998</v>
      </c>
      <c r="I2469" s="8">
        <v>6.8529999999999998</v>
      </c>
      <c r="J2469" s="8">
        <v>6.6390000000000002</v>
      </c>
    </row>
    <row r="2470" spans="1:10" x14ac:dyDescent="0.2">
      <c r="A2470" s="8">
        <v>8</v>
      </c>
      <c r="B2470" s="8">
        <v>9.2520000000000007</v>
      </c>
      <c r="C2470" s="8">
        <v>9.0220000000000002</v>
      </c>
      <c r="D2470" s="8">
        <v>8.8040000000000003</v>
      </c>
      <c r="E2470" s="8">
        <v>8.5129999999999999</v>
      </c>
      <c r="F2470" s="8">
        <v>8.2390000000000008</v>
      </c>
      <c r="G2470" s="8">
        <v>7.9180000000000001</v>
      </c>
      <c r="H2470" s="8">
        <v>7.5819999999999999</v>
      </c>
      <c r="I2470" s="8">
        <v>7.266</v>
      </c>
      <c r="J2470" s="8">
        <v>7.032</v>
      </c>
    </row>
    <row r="2471" spans="1:10" x14ac:dyDescent="0.2">
      <c r="A2471" s="8">
        <v>9</v>
      </c>
      <c r="B2471" s="8">
        <v>9.8350000000000009</v>
      </c>
      <c r="C2471" s="8">
        <v>9.5869999999999997</v>
      </c>
      <c r="D2471" s="8">
        <v>9.3529999999999998</v>
      </c>
      <c r="E2471" s="8">
        <v>9.0399999999999991</v>
      </c>
      <c r="F2471" s="8">
        <v>8.7430000000000003</v>
      </c>
      <c r="G2471" s="8">
        <v>8.3789999999999996</v>
      </c>
      <c r="H2471" s="8">
        <v>8.032</v>
      </c>
      <c r="I2471" s="8">
        <v>7.69</v>
      </c>
      <c r="J2471" s="8">
        <v>7.4349999999999996</v>
      </c>
    </row>
    <row r="2472" spans="1:10" ht="13.5" thickBot="1" x14ac:dyDescent="0.25"/>
    <row r="2473" spans="1:10" ht="13.5" thickBot="1" x14ac:dyDescent="0.25">
      <c r="A2473" s="1880"/>
      <c r="B2473" s="1881"/>
      <c r="C2473" s="1881"/>
      <c r="D2473" s="1881"/>
      <c r="E2473" s="1881"/>
      <c r="F2473" s="1881"/>
      <c r="G2473" s="1881"/>
      <c r="H2473" s="1881"/>
      <c r="I2473" s="1881"/>
      <c r="J2473" s="1881"/>
    </row>
    <row r="2475" spans="1:10" ht="15.75" x14ac:dyDescent="0.25">
      <c r="A2475" s="218" t="s">
        <v>5535</v>
      </c>
      <c r="B2475" s="1750"/>
      <c r="C2475" s="1750"/>
      <c r="D2475" s="1750"/>
      <c r="E2475" s="1750"/>
      <c r="F2475" s="1750"/>
      <c r="G2475" s="1750"/>
      <c r="H2475" s="1750"/>
      <c r="I2475" s="1750"/>
    </row>
    <row r="2476" spans="1:10" x14ac:dyDescent="0.2">
      <c r="A2476" s="8" t="s">
        <v>5536</v>
      </c>
      <c r="B2476" s="8" t="s">
        <v>1026</v>
      </c>
    </row>
    <row r="2477" spans="1:10" x14ac:dyDescent="0.2">
      <c r="A2477" s="8" t="s">
        <v>5537</v>
      </c>
      <c r="B2477" s="8">
        <v>1</v>
      </c>
      <c r="C2477" s="8">
        <v>2</v>
      </c>
      <c r="D2477" s="8">
        <v>3</v>
      </c>
      <c r="E2477" s="8">
        <v>4</v>
      </c>
      <c r="F2477" s="8">
        <v>5</v>
      </c>
      <c r="G2477" s="8">
        <v>6</v>
      </c>
      <c r="H2477" s="8">
        <v>7</v>
      </c>
      <c r="I2477" s="8">
        <v>8</v>
      </c>
      <c r="J2477" s="8">
        <v>9</v>
      </c>
    </row>
    <row r="2478" spans="1:10" x14ac:dyDescent="0.2">
      <c r="A2478" s="8" t="s">
        <v>5538</v>
      </c>
      <c r="B2478" s="8">
        <v>8.81</v>
      </c>
      <c r="C2478" s="8">
        <v>8.17</v>
      </c>
      <c r="D2478" s="8">
        <v>7.55</v>
      </c>
      <c r="E2478" s="8">
        <v>6.9</v>
      </c>
      <c r="F2478" s="8">
        <v>6.25</v>
      </c>
      <c r="G2478" s="8">
        <v>5.62</v>
      </c>
      <c r="H2478" s="8">
        <v>5.01</v>
      </c>
      <c r="I2478" s="8">
        <v>4.43</v>
      </c>
      <c r="J2478" s="8">
        <v>3.9</v>
      </c>
    </row>
    <row r="2479" spans="1:10" x14ac:dyDescent="0.2">
      <c r="A2479" s="8" t="s">
        <v>5539</v>
      </c>
      <c r="B2479" s="8">
        <v>10.32</v>
      </c>
      <c r="C2479" s="8">
        <v>9.6199999999999992</v>
      </c>
      <c r="D2479" s="8">
        <v>8.8699999999999992</v>
      </c>
      <c r="E2479" s="8">
        <v>8.15</v>
      </c>
      <c r="F2479" s="8">
        <v>7.4</v>
      </c>
      <c r="G2479" s="8">
        <v>6.64</v>
      </c>
      <c r="H2479" s="8">
        <v>5.94</v>
      </c>
      <c r="I2479" s="8">
        <v>5.26</v>
      </c>
      <c r="J2479" s="8">
        <v>4.63</v>
      </c>
    </row>
    <row r="2480" spans="1:10" x14ac:dyDescent="0.2">
      <c r="A2480" s="8" t="s">
        <v>5442</v>
      </c>
      <c r="B2480" s="8">
        <v>12.4</v>
      </c>
      <c r="C2480" s="8">
        <v>11.55</v>
      </c>
      <c r="D2480" s="8">
        <v>10.69</v>
      </c>
      <c r="E2480" s="8">
        <v>9.77</v>
      </c>
      <c r="F2480" s="8">
        <v>8.89</v>
      </c>
      <c r="G2480" s="8">
        <v>8</v>
      </c>
      <c r="H2480" s="8">
        <v>7.13</v>
      </c>
      <c r="I2480" s="8">
        <v>6.32</v>
      </c>
      <c r="J2480" s="8">
        <v>5.56</v>
      </c>
    </row>
    <row r="2481" spans="1:10" x14ac:dyDescent="0.2">
      <c r="A2481" s="8" t="s">
        <v>3370</v>
      </c>
      <c r="B2481" s="8">
        <v>14.16</v>
      </c>
      <c r="C2481" s="8">
        <v>13.25</v>
      </c>
      <c r="D2481" s="8">
        <v>12.28</v>
      </c>
      <c r="E2481" s="8">
        <v>11.3</v>
      </c>
      <c r="F2481" s="8">
        <v>10.27</v>
      </c>
      <c r="G2481" s="8">
        <v>9.3000000000000007</v>
      </c>
      <c r="H2481" s="8">
        <v>8.34</v>
      </c>
      <c r="I2481" s="8">
        <v>7.39</v>
      </c>
      <c r="J2481" s="8">
        <v>6.52</v>
      </c>
    </row>
    <row r="2482" spans="1:10" x14ac:dyDescent="0.2">
      <c r="A2482" s="8" t="s">
        <v>5540</v>
      </c>
      <c r="B2482" s="8">
        <v>16.03</v>
      </c>
      <c r="C2482" s="8">
        <v>15.03</v>
      </c>
      <c r="D2482" s="8">
        <v>13.99</v>
      </c>
      <c r="E2482" s="8">
        <v>12.91</v>
      </c>
      <c r="F2482" s="8">
        <v>11.83</v>
      </c>
      <c r="G2482" s="8">
        <v>10.71</v>
      </c>
      <c r="H2482" s="8">
        <v>9.65</v>
      </c>
      <c r="I2482" s="8">
        <v>8.61</v>
      </c>
      <c r="J2482" s="8">
        <v>7.61</v>
      </c>
    </row>
  </sheetData>
  <sheetProtection formatCells="0" formatColumns="0" formatRows="0" sort="0" autoFilter="0" pivotTables="0"/>
  <mergeCells count="141">
    <mergeCell ref="D2462:H2462"/>
    <mergeCell ref="B2424:J2424"/>
    <mergeCell ref="C2425:I2425"/>
    <mergeCell ref="D2426:H2426"/>
    <mergeCell ref="C2437:I2437"/>
    <mergeCell ref="D2438:H2438"/>
    <mergeCell ref="C2449:I2449"/>
    <mergeCell ref="C2400:I2400"/>
    <mergeCell ref="D2401:H2401"/>
    <mergeCell ref="D2450:H2450"/>
    <mergeCell ref="C2461:I2461"/>
    <mergeCell ref="C2412:I2412"/>
    <mergeCell ref="D2413:H2413"/>
    <mergeCell ref="C2346:I2346"/>
    <mergeCell ref="D2347:H2347"/>
    <mergeCell ref="C2376:I2376"/>
    <mergeCell ref="D2377:H2377"/>
    <mergeCell ref="C2388:I2388"/>
    <mergeCell ref="D2389:H2389"/>
    <mergeCell ref="A2372:J2372"/>
    <mergeCell ref="A2373:A2374"/>
    <mergeCell ref="B2373:J2373"/>
    <mergeCell ref="B2375:J2375"/>
    <mergeCell ref="C2358:I2358"/>
    <mergeCell ref="D2359:H2359"/>
    <mergeCell ref="D2298:H2298"/>
    <mergeCell ref="C2309:I2309"/>
    <mergeCell ref="D2310:H2310"/>
    <mergeCell ref="B2321:J2321"/>
    <mergeCell ref="C2322:I2322"/>
    <mergeCell ref="D2323:H2323"/>
    <mergeCell ref="C2334:I2334"/>
    <mergeCell ref="D2335:H2335"/>
    <mergeCell ref="J2199:K2199"/>
    <mergeCell ref="J2200:K2200"/>
    <mergeCell ref="J2201:K2201"/>
    <mergeCell ref="J2203:K2203"/>
    <mergeCell ref="J2204:K2204"/>
    <mergeCell ref="C2285:I2285"/>
    <mergeCell ref="Z2157:AD2157"/>
    <mergeCell ref="M2185:N2185"/>
    <mergeCell ref="P2186:Q2186"/>
    <mergeCell ref="S2186:T2186"/>
    <mergeCell ref="D2286:H2286"/>
    <mergeCell ref="C2297:I2297"/>
    <mergeCell ref="J2195:K2195"/>
    <mergeCell ref="J2196:K2196"/>
    <mergeCell ref="J2197:K2197"/>
    <mergeCell ref="J2198:K2198"/>
    <mergeCell ref="T2193:U2193"/>
    <mergeCell ref="J2194:K2194"/>
    <mergeCell ref="Q2149:Q2150"/>
    <mergeCell ref="R2149:R2150"/>
    <mergeCell ref="J2150:O2150"/>
    <mergeCell ref="J2151:J2152"/>
    <mergeCell ref="K2151:K2152"/>
    <mergeCell ref="L2151:N2151"/>
    <mergeCell ref="R2148:V2148"/>
    <mergeCell ref="AF1601:AG1601"/>
    <mergeCell ref="AF1602:AG1602"/>
    <mergeCell ref="AF1605:AG1605"/>
    <mergeCell ref="AF1606:AG1606"/>
    <mergeCell ref="AF1607:AG1607"/>
    <mergeCell ref="AF1608:AG1608"/>
    <mergeCell ref="B1603:C1603"/>
    <mergeCell ref="E1603:F1603"/>
    <mergeCell ref="AF1603:AG1603"/>
    <mergeCell ref="H1604:K1604"/>
    <mergeCell ref="AF1604:AG1604"/>
    <mergeCell ref="AH2143:AN2143"/>
    <mergeCell ref="H1599:J1599"/>
    <mergeCell ref="M1599:N1599"/>
    <mergeCell ref="AF1599:AG1599"/>
    <mergeCell ref="H1600:J1600"/>
    <mergeCell ref="M1600:N1600"/>
    <mergeCell ref="AF1600:AG1600"/>
    <mergeCell ref="AF1597:AG1597"/>
    <mergeCell ref="H1598:J1598"/>
    <mergeCell ref="X1598:Z1598"/>
    <mergeCell ref="AC1598:AD1598"/>
    <mergeCell ref="AF1598:AG1598"/>
    <mergeCell ref="E1597:F1597"/>
    <mergeCell ref="Q1597:R1597"/>
    <mergeCell ref="X1597:Z1597"/>
    <mergeCell ref="AC1597:AD1597"/>
    <mergeCell ref="Q1594:R1594"/>
    <mergeCell ref="AF1594:AG1594"/>
    <mergeCell ref="Q1595:R1595"/>
    <mergeCell ref="AF1595:AG1595"/>
    <mergeCell ref="Y1590:Z1590"/>
    <mergeCell ref="AF1590:AG1590"/>
    <mergeCell ref="Q1596:R1596"/>
    <mergeCell ref="X1596:AD1596"/>
    <mergeCell ref="AF1596:AG1596"/>
    <mergeCell ref="Y1592:Z1592"/>
    <mergeCell ref="AF1592:AG1592"/>
    <mergeCell ref="Q1593:R1593"/>
    <mergeCell ref="W1593:X1593"/>
    <mergeCell ref="Y1593:Z1593"/>
    <mergeCell ref="W1592:X1592"/>
    <mergeCell ref="AF1588:AG1589"/>
    <mergeCell ref="S1591:T1591"/>
    <mergeCell ref="W1591:X1591"/>
    <mergeCell ref="Y1591:Z1591"/>
    <mergeCell ref="AF1591:AG1591"/>
    <mergeCell ref="Q1590:U1590"/>
    <mergeCell ref="W1590:X1590"/>
    <mergeCell ref="AF1593:AG1593"/>
    <mergeCell ref="Q1591:R1592"/>
    <mergeCell ref="AB1585:AD1585"/>
    <mergeCell ref="W1586:X1586"/>
    <mergeCell ref="Y1586:Z1586"/>
    <mergeCell ref="J1589:K1589"/>
    <mergeCell ref="L1589:M1589"/>
    <mergeCell ref="W1589:X1589"/>
    <mergeCell ref="Y1589:Z1589"/>
    <mergeCell ref="Y1587:Z1587"/>
    <mergeCell ref="W1587:X1587"/>
    <mergeCell ref="J1587:M1587"/>
    <mergeCell ref="W1588:X1588"/>
    <mergeCell ref="Y1588:Z1588"/>
    <mergeCell ref="B1579:G1579"/>
    <mergeCell ref="J1579:N1579"/>
    <mergeCell ref="P1579:S1579"/>
    <mergeCell ref="W1585:AA1585"/>
    <mergeCell ref="C1471:C1477"/>
    <mergeCell ref="D1472:D1477"/>
    <mergeCell ref="E1472:E1477"/>
    <mergeCell ref="A61:H61"/>
    <mergeCell ref="A62:H62"/>
    <mergeCell ref="A63:H63"/>
    <mergeCell ref="A64:H64"/>
    <mergeCell ref="A105:H105"/>
    <mergeCell ref="A65:H65"/>
    <mergeCell ref="A78:H78"/>
    <mergeCell ref="A89:H89"/>
    <mergeCell ref="A66:H66"/>
    <mergeCell ref="A67:H67"/>
    <mergeCell ref="A68:H68"/>
    <mergeCell ref="A69:H69"/>
    <mergeCell ref="A70:H70"/>
  </mergeCells>
  <phoneticPr fontId="20" type="noConversion"/>
  <dataValidations count="16">
    <dataValidation operator="greaterThan" allowBlank="1" showInputMessage="1" showErrorMessage="1" errorTitle="Введите значение" error="Значение должно быть больше 0" sqref="B288"/>
    <dataValidation type="whole" allowBlank="1" showInputMessage="1" showErrorMessage="1" errorTitle="Ошибка" error="Введите значение от 1 до 9" sqref="B240 B242">
      <formula1>1</formula1>
      <formula2>9</formula2>
    </dataValidation>
    <dataValidation type="whole" allowBlank="1" showInputMessage="1" showErrorMessage="1" errorTitle="Ошибка " error="Введите значение от 1 до 3" sqref="B237">
      <formula1>1</formula1>
      <formula2>3</formula2>
    </dataValidation>
    <dataValidation type="whole" operator="greaterThan" allowBlank="1" showInputMessage="1" showErrorMessage="1" errorTitle="Введите значение" error="Значение должно быть больше 0" sqref="B234">
      <formula1>0</formula1>
    </dataValidation>
    <dataValidation type="whole" allowBlank="1" showInputMessage="1" showErrorMessage="1" errorTitle="Ошибка" error="Введите значение от 1 до 4" sqref="B223">
      <formula1>0</formula1>
      <formula2>35</formula2>
    </dataValidation>
    <dataValidation type="whole" allowBlank="1" showInputMessage="1" showErrorMessage="1" errorTitle="Ошибка ввода" error="Значение должно быть в пределах от 0 до 4" promptTitle="Вводите" sqref="B224">
      <formula1>0</formula1>
      <formula2>4</formula2>
    </dataValidation>
    <dataValidation type="whole" allowBlank="1" showInputMessage="1" showErrorMessage="1" errorTitle="Ошибка" error="Заначение от 1 до 4_x000a_" sqref="B225">
      <formula1>0</formula1>
      <formula2>4</formula2>
    </dataValidation>
    <dataValidation type="whole" allowBlank="1" showInputMessage="1" showErrorMessage="1" errorTitle="Введите реальное значение" error="Глубина до 1500м" sqref="B226">
      <formula1>0</formula1>
      <formula2>1501</formula2>
    </dataValidation>
    <dataValidation type="whole" allowBlank="1" showInputMessage="1" showErrorMessage="1" errorTitle="Введенное число не верно" sqref="B227">
      <formula1>1</formula1>
      <formula2>9</formula2>
    </dataValidation>
    <dataValidation type="whole" allowBlank="1" showInputMessage="1" showErrorMessage="1" errorTitle="Ошибка" error="Введите значение от 1 до 4" sqref="B229">
      <formula1>0</formula1>
      <formula2>4</formula2>
    </dataValidation>
    <dataValidation allowBlank="1" showInputMessage="1" showErrorMessage="1" errorTitle="Ошибка" error="Введите значение 1 или 2" sqref="B231"/>
    <dataValidation type="whole" allowBlank="1" showInputMessage="1" showErrorMessage="1" errorTitle="Ошибка" error="Струги работают на пластах с углом падения до 35 градусов" sqref="B232">
      <formula1>0</formula1>
      <formula2>35</formula2>
    </dataValidation>
    <dataValidation type="whole" allowBlank="1" showInputMessage="1" showErrorMessage="1" errorTitle="Ошибка" error="Введите значение от 1 до 4" sqref="B215:B218 C135:G142 B228 B258:B260 B262">
      <formula1>1</formula1>
      <formula2>4</formula2>
    </dataValidation>
    <dataValidation allowBlank="1" showInputMessage="1" showErrorMessage="1" errorTitle="Ошибка" error="Введите значение 1 или 0" sqref="B202"/>
    <dataValidation type="whole" allowBlank="1" showInputMessage="1" showErrorMessage="1" errorTitle="Ошибка" error="Введите значение 1 или 0" sqref="B201 B238">
      <formula1>0</formula1>
      <formula2>1</formula2>
    </dataValidation>
    <dataValidation allowBlank="1" showInputMessage="1" showErrorMessage="1" errorTitle="Ошибка" error="Введите значение от 1 до 4" sqref="B203:B205 B252:B257 C126:G134 B247:B250 B261"/>
  </dataValidations>
  <hyperlinks>
    <hyperlink ref="A116" location="kursovoy!A308" display="ОБРАТНО"/>
  </hyperlinks>
  <pageMargins left="0.75" right="0.75" top="1" bottom="1" header="0.5" footer="0.5"/>
  <pageSetup paperSize="9" orientation="portrait" horizont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IV3666"/>
  <sheetViews>
    <sheetView zoomScale="130" zoomScaleNormal="130" workbookViewId="0">
      <pane xSplit="18780" topLeftCell="T1"/>
      <selection activeCell="I43" sqref="I43:I45"/>
      <selection pane="topRight" activeCell="T6" sqref="T6"/>
    </sheetView>
  </sheetViews>
  <sheetFormatPr defaultRowHeight="12.75" x14ac:dyDescent="0.2"/>
  <cols>
    <col min="1" max="1" width="42.42578125" customWidth="1"/>
    <col min="2" max="2" width="13.5703125" customWidth="1"/>
    <col min="8" max="8" width="10.42578125" customWidth="1"/>
    <col min="10" max="10" width="13.140625" customWidth="1"/>
    <col min="11" max="11" width="15" bestFit="1" customWidth="1"/>
    <col min="12" max="13" width="13.140625" bestFit="1" customWidth="1"/>
  </cols>
  <sheetData>
    <row r="1" spans="1:8" ht="19.5" thickBot="1" x14ac:dyDescent="0.35">
      <c r="A1" s="4298" t="s">
        <v>6865</v>
      </c>
    </row>
    <row r="2" spans="1:8" s="1136" customFormat="1" ht="19.5" thickBot="1" x14ac:dyDescent="0.35">
      <c r="A2" s="4301" t="s">
        <v>6461</v>
      </c>
      <c r="B2" s="1305"/>
    </row>
    <row r="3" spans="1:8" s="1136" customFormat="1" ht="19.5" x14ac:dyDescent="0.35">
      <c r="A3" s="2438" t="s">
        <v>3920</v>
      </c>
      <c r="B3" s="2439"/>
      <c r="C3" s="2440"/>
      <c r="D3" s="2440"/>
      <c r="E3" s="2440"/>
      <c r="F3" s="2441"/>
      <c r="G3" s="1309"/>
      <c r="H3" s="1309"/>
    </row>
    <row r="4" spans="1:8" s="1136" customFormat="1" ht="19.5" x14ac:dyDescent="0.35">
      <c r="A4" s="2442" t="s">
        <v>3003</v>
      </c>
      <c r="B4" s="1308"/>
      <c r="C4" s="1309"/>
      <c r="D4" s="1309"/>
      <c r="E4" s="1309"/>
      <c r="F4" s="2443"/>
      <c r="G4" s="1309"/>
      <c r="H4" s="1309"/>
    </row>
    <row r="5" spans="1:8" s="1136" customFormat="1" ht="19.5" x14ac:dyDescent="0.35">
      <c r="A5" s="2442" t="s">
        <v>3004</v>
      </c>
      <c r="B5" s="1308"/>
      <c r="C5" s="1309"/>
      <c r="D5" s="1309"/>
      <c r="E5" s="1309"/>
      <c r="F5" s="2443"/>
      <c r="G5" s="1309"/>
      <c r="H5" s="1309"/>
    </row>
    <row r="6" spans="1:8" s="1136" customFormat="1" ht="19.5" x14ac:dyDescent="0.35">
      <c r="A6" s="2442" t="s">
        <v>3005</v>
      </c>
      <c r="B6" s="1308"/>
      <c r="C6" s="1309"/>
      <c r="D6" s="1309"/>
      <c r="E6" s="1309"/>
      <c r="F6" s="2443"/>
      <c r="G6" s="1309"/>
      <c r="H6" s="1309"/>
    </row>
    <row r="7" spans="1:8" s="1136" customFormat="1" ht="19.5" x14ac:dyDescent="0.35">
      <c r="A7" s="2442" t="s">
        <v>1949</v>
      </c>
      <c r="B7" s="1308"/>
      <c r="C7" s="1309"/>
      <c r="D7" s="1309"/>
      <c r="E7" s="1309"/>
      <c r="F7" s="2443"/>
      <c r="G7" s="1309"/>
      <c r="H7" s="1309"/>
    </row>
    <row r="8" spans="1:8" s="1136" customFormat="1" ht="19.5" x14ac:dyDescent="0.35">
      <c r="A8" s="2442" t="s">
        <v>267</v>
      </c>
      <c r="B8" s="1308"/>
      <c r="C8" s="1309"/>
      <c r="D8" s="1309"/>
      <c r="E8" s="1309"/>
      <c r="F8" s="2443"/>
      <c r="G8" s="1309"/>
      <c r="H8" s="1309"/>
    </row>
    <row r="9" spans="1:8" s="1136" customFormat="1" ht="19.5" x14ac:dyDescent="0.35">
      <c r="A9" s="2442"/>
      <c r="B9" s="1308"/>
      <c r="C9" s="1309"/>
      <c r="D9" s="1309"/>
      <c r="E9" s="1309"/>
      <c r="F9" s="2443"/>
      <c r="G9" s="1309"/>
      <c r="H9" s="1309"/>
    </row>
    <row r="10" spans="1:8" s="1136" customFormat="1" ht="19.5" x14ac:dyDescent="0.35">
      <c r="A10" s="2442"/>
      <c r="B10" s="1308"/>
      <c r="C10" s="1309"/>
      <c r="D10" s="1309"/>
      <c r="E10" s="1309"/>
      <c r="F10" s="2443"/>
      <c r="G10" s="1309"/>
      <c r="H10" s="1309"/>
    </row>
    <row r="11" spans="1:8" s="1136" customFormat="1" ht="15.75" x14ac:dyDescent="0.25">
      <c r="A11" s="476" t="s">
        <v>367</v>
      </c>
      <c r="B11" s="2426"/>
      <c r="C11" s="2426"/>
      <c r="D11" s="2426"/>
      <c r="E11" s="2426"/>
      <c r="F11" s="2444"/>
      <c r="G11" s="1157"/>
      <c r="H11" s="1157"/>
    </row>
    <row r="12" spans="1:8" s="1136" customFormat="1" ht="15.75" x14ac:dyDescent="0.25">
      <c r="A12" s="476" t="s">
        <v>368</v>
      </c>
      <c r="B12" s="821"/>
      <c r="C12" s="2426"/>
      <c r="D12" s="2426"/>
      <c r="E12" s="2426"/>
      <c r="F12" s="2444"/>
      <c r="G12" s="1157"/>
      <c r="H12" s="1157"/>
    </row>
    <row r="13" spans="1:8" s="1136" customFormat="1" ht="15.75" x14ac:dyDescent="0.25">
      <c r="A13" s="476" t="s">
        <v>369</v>
      </c>
      <c r="B13" s="821"/>
      <c r="C13" s="2426"/>
      <c r="D13" s="2426"/>
      <c r="E13" s="2426"/>
      <c r="F13" s="2444"/>
      <c r="G13" s="1157"/>
      <c r="H13" s="1157"/>
    </row>
    <row r="14" spans="1:8" s="1136" customFormat="1" ht="15.75" x14ac:dyDescent="0.25">
      <c r="A14" s="476" t="s">
        <v>370</v>
      </c>
      <c r="B14" s="821"/>
      <c r="C14" s="2426"/>
      <c r="D14" s="2426"/>
      <c r="E14" s="2426"/>
      <c r="F14" s="2444"/>
      <c r="G14" s="1157"/>
      <c r="H14" s="1157"/>
    </row>
    <row r="15" spans="1:8" s="1136" customFormat="1" ht="15.75" x14ac:dyDescent="0.25">
      <c r="A15" s="476" t="s">
        <v>3852</v>
      </c>
      <c r="B15" s="821"/>
      <c r="C15" s="2426"/>
      <c r="D15" s="2426"/>
      <c r="E15" s="2426"/>
      <c r="F15" s="2444"/>
      <c r="G15" s="1157"/>
      <c r="H15" s="1157"/>
    </row>
    <row r="16" spans="1:8" s="1136" customFormat="1" ht="15.75" x14ac:dyDescent="0.25">
      <c r="A16" s="476" t="s">
        <v>5347</v>
      </c>
      <c r="B16" s="821"/>
      <c r="C16" s="2426"/>
      <c r="D16" s="2426"/>
      <c r="E16" s="2426"/>
      <c r="F16" s="2444"/>
      <c r="G16" s="1157"/>
      <c r="H16" s="1157"/>
    </row>
    <row r="17" spans="1:8" s="1136" customFormat="1" ht="20.25" x14ac:dyDescent="0.35">
      <c r="A17" s="476" t="s">
        <v>5348</v>
      </c>
      <c r="B17" s="821"/>
      <c r="C17" s="2426"/>
      <c r="D17" s="2426"/>
      <c r="E17" s="2426"/>
      <c r="F17" s="2444"/>
      <c r="G17" s="1157"/>
      <c r="H17" s="1157"/>
    </row>
    <row r="18" spans="1:8" s="1136" customFormat="1" ht="15.75" x14ac:dyDescent="0.25">
      <c r="A18" s="476" t="s">
        <v>5349</v>
      </c>
      <c r="B18" s="821"/>
      <c r="C18" s="2426"/>
      <c r="D18" s="2426"/>
      <c r="E18" s="2426"/>
      <c r="F18" s="2444"/>
      <c r="G18" s="1157"/>
      <c r="H18" s="1157"/>
    </row>
    <row r="19" spans="1:8" s="1136" customFormat="1" ht="20.25" x14ac:dyDescent="0.35">
      <c r="A19" s="476" t="s">
        <v>5513</v>
      </c>
      <c r="B19" s="821"/>
      <c r="C19" s="2426"/>
      <c r="D19" s="2426"/>
      <c r="E19" s="2426"/>
      <c r="F19" s="2444"/>
      <c r="G19" s="1157"/>
      <c r="H19" s="1157"/>
    </row>
    <row r="20" spans="1:8" s="1136" customFormat="1" ht="20.25" x14ac:dyDescent="0.35">
      <c r="A20" s="476" t="s">
        <v>5514</v>
      </c>
      <c r="B20" s="821"/>
      <c r="C20" s="2426"/>
      <c r="D20" s="2426"/>
      <c r="E20" s="2426"/>
      <c r="F20" s="2444"/>
      <c r="G20" s="1157"/>
      <c r="H20" s="1157"/>
    </row>
    <row r="21" spans="1:8" s="1136" customFormat="1" ht="20.25" x14ac:dyDescent="0.35">
      <c r="A21" s="476" t="s">
        <v>5515</v>
      </c>
      <c r="B21" s="821"/>
      <c r="C21" s="2426"/>
      <c r="D21" s="2426"/>
      <c r="E21" s="2426"/>
      <c r="F21" s="2444"/>
      <c r="G21" s="1157"/>
      <c r="H21" s="1157"/>
    </row>
    <row r="22" spans="1:8" s="1136" customFormat="1" ht="20.25" x14ac:dyDescent="0.35">
      <c r="A22" s="476"/>
      <c r="B22" s="821"/>
      <c r="C22" s="1306" t="s">
        <v>5516</v>
      </c>
      <c r="D22" s="2426"/>
      <c r="E22" s="2426"/>
      <c r="F22" s="2444"/>
      <c r="G22" s="1157"/>
      <c r="H22" s="1157"/>
    </row>
    <row r="23" spans="1:8" s="1136" customFormat="1" ht="15.75" x14ac:dyDescent="0.25">
      <c r="A23" s="476" t="s">
        <v>4562</v>
      </c>
      <c r="B23" s="821"/>
      <c r="C23" s="2426"/>
      <c r="D23" s="2426"/>
      <c r="E23" s="2426"/>
      <c r="F23" s="2444"/>
      <c r="G23" s="1157"/>
      <c r="H23" s="1157"/>
    </row>
    <row r="24" spans="1:8" s="1136" customFormat="1" ht="20.25" x14ac:dyDescent="0.35">
      <c r="A24" s="2382" t="s">
        <v>4563</v>
      </c>
      <c r="B24" s="821"/>
      <c r="C24" s="1306"/>
      <c r="D24" s="2426"/>
      <c r="E24" s="2426"/>
      <c r="F24" s="2444"/>
      <c r="G24" s="1157"/>
      <c r="H24" s="1157"/>
    </row>
    <row r="25" spans="1:8" s="1136" customFormat="1" ht="20.25" x14ac:dyDescent="0.35">
      <c r="A25" s="476" t="s">
        <v>4834</v>
      </c>
      <c r="B25" s="821"/>
      <c r="C25" s="2426"/>
      <c r="D25" s="2426"/>
      <c r="E25" s="2426"/>
      <c r="F25" s="2444"/>
      <c r="G25" s="1157"/>
      <c r="H25" s="1157"/>
    </row>
    <row r="26" spans="1:8" s="1136" customFormat="1" ht="15.75" x14ac:dyDescent="0.25">
      <c r="A26" s="476" t="s">
        <v>4946</v>
      </c>
      <c r="B26" s="821"/>
      <c r="C26" s="2426"/>
      <c r="D26" s="2426"/>
      <c r="E26" s="2426"/>
      <c r="F26" s="2444"/>
      <c r="G26" s="1157"/>
      <c r="H26" s="1157"/>
    </row>
    <row r="27" spans="1:8" s="1136" customFormat="1" ht="20.25" x14ac:dyDescent="0.35">
      <c r="A27" s="4"/>
      <c r="B27" s="821"/>
      <c r="C27" s="1306" t="s">
        <v>4833</v>
      </c>
      <c r="D27" s="2426"/>
      <c r="E27" s="2426"/>
      <c r="F27" s="2444"/>
      <c r="G27" s="1157"/>
      <c r="H27" s="1157"/>
    </row>
    <row r="28" spans="1:8" s="1136" customFormat="1" ht="18.75" x14ac:dyDescent="0.3">
      <c r="A28" s="476" t="s">
        <v>5541</v>
      </c>
      <c r="B28" s="821"/>
      <c r="C28" s="1306"/>
      <c r="D28" s="2426"/>
      <c r="E28" s="2426"/>
      <c r="F28" s="2444"/>
      <c r="G28" s="1157"/>
      <c r="H28" s="1157"/>
    </row>
    <row r="29" spans="1:8" s="1136" customFormat="1" ht="18.75" x14ac:dyDescent="0.3">
      <c r="A29" s="476" t="s">
        <v>4835</v>
      </c>
      <c r="B29" s="821"/>
      <c r="C29" s="1306"/>
      <c r="D29" s="2426"/>
      <c r="E29" s="2426"/>
      <c r="F29" s="2444"/>
      <c r="G29" s="1157"/>
      <c r="H29" s="1157"/>
    </row>
    <row r="30" spans="1:8" s="1136" customFormat="1" ht="18.75" x14ac:dyDescent="0.3">
      <c r="A30" s="4"/>
      <c r="B30" s="821"/>
      <c r="C30" s="1306"/>
      <c r="D30" s="2426"/>
      <c r="E30" s="2426"/>
      <c r="F30" s="2444"/>
      <c r="G30" s="1157"/>
      <c r="H30" s="1157"/>
    </row>
    <row r="31" spans="1:8" s="1136" customFormat="1" ht="20.25" thickBot="1" x14ac:dyDescent="0.4">
      <c r="A31" s="2445"/>
      <c r="B31" s="2446"/>
      <c r="C31" s="2447"/>
      <c r="D31" s="2447"/>
      <c r="E31" s="2447"/>
      <c r="F31" s="2448"/>
      <c r="G31" s="1309"/>
      <c r="H31" s="1309"/>
    </row>
    <row r="32" spans="1:8" s="1136" customFormat="1" ht="15" x14ac:dyDescent="0.2">
      <c r="B32" s="1882"/>
    </row>
    <row r="33" spans="1:113" s="8" customFormat="1" ht="19.5" x14ac:dyDescent="0.35">
      <c r="A33" s="1243" t="s">
        <v>4948</v>
      </c>
      <c r="B33" s="818"/>
      <c r="C33" s="1298"/>
      <c r="D33" s="1157"/>
      <c r="E33" s="1157"/>
      <c r="F33" s="1157"/>
      <c r="G33" s="1157"/>
      <c r="H33" s="1157"/>
      <c r="I33" s="1157"/>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row>
    <row r="34" spans="1:113" s="8" customFormat="1" ht="18.75" x14ac:dyDescent="0.3">
      <c r="A34"/>
      <c r="B34" s="818"/>
      <c r="C34" s="1298"/>
      <c r="D34" s="1157"/>
      <c r="E34" s="1157"/>
      <c r="F34" s="1157"/>
      <c r="G34" s="1157"/>
      <c r="H34" s="1157"/>
      <c r="I34" s="1157"/>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row>
    <row r="35" spans="1:113" s="8" customFormat="1" ht="18.75" x14ac:dyDescent="0.3">
      <c r="A35" s="1310"/>
      <c r="B35" s="818"/>
      <c r="C35" s="1298"/>
      <c r="D35" s="1157"/>
      <c r="E35" s="1157"/>
      <c r="F35" s="1157"/>
      <c r="G35" s="1157"/>
      <c r="H35" s="1157"/>
      <c r="I35" s="1157"/>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row>
    <row r="36" spans="1:113" s="8" customFormat="1" ht="42" customHeight="1" x14ac:dyDescent="0.25">
      <c r="A36" s="4630" t="s">
        <v>5258</v>
      </c>
      <c r="B36" s="4349"/>
      <c r="C36" s="4349"/>
      <c r="D36" s="4349"/>
      <c r="E36" s="4349"/>
      <c r="F36" s="4349"/>
      <c r="G36" s="4349"/>
      <c r="H36" s="4349"/>
      <c r="I36" s="1311"/>
      <c r="J36"/>
      <c r="K36"/>
      <c r="L36"/>
      <c r="M36"/>
      <c r="N36"/>
      <c r="O36"/>
      <c r="P36"/>
      <c r="Q36"/>
      <c r="R36"/>
      <c r="S36"/>
      <c r="T36" s="12">
        <f>IF(I36=3,1,0)</f>
        <v>0</v>
      </c>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row>
    <row r="37" spans="1:113" s="8" customFormat="1" ht="53.25" customHeight="1" x14ac:dyDescent="0.25">
      <c r="A37" s="4630" t="s">
        <v>1786</v>
      </c>
      <c r="B37" s="4678"/>
      <c r="C37" s="4678"/>
      <c r="D37" s="4678"/>
      <c r="E37" s="4678"/>
      <c r="F37" s="4678"/>
      <c r="G37" s="4678"/>
      <c r="H37" s="4678"/>
      <c r="I37" s="1311"/>
      <c r="J37"/>
      <c r="K37"/>
      <c r="L37"/>
      <c r="M37"/>
      <c r="N37"/>
      <c r="O37"/>
      <c r="P37"/>
      <c r="Q37"/>
      <c r="R37"/>
      <c r="S37"/>
      <c r="T37" s="12">
        <f>IF(I37=4.5,1,0)</f>
        <v>0</v>
      </c>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row>
    <row r="38" spans="1:113" s="8" customFormat="1" ht="47.25" customHeight="1" x14ac:dyDescent="0.25">
      <c r="A38" s="4630" t="s">
        <v>1787</v>
      </c>
      <c r="B38" s="4678"/>
      <c r="C38" s="4678"/>
      <c r="D38" s="4678"/>
      <c r="E38" s="4678"/>
      <c r="F38" s="4678"/>
      <c r="G38" s="4678"/>
      <c r="H38" s="4678"/>
      <c r="I38" s="1311"/>
      <c r="J38"/>
      <c r="K38"/>
      <c r="L38"/>
      <c r="M38"/>
      <c r="N38"/>
      <c r="O38"/>
      <c r="P38"/>
      <c r="Q38"/>
      <c r="R38"/>
      <c r="S38"/>
      <c r="T38" s="12">
        <f>IF(I38=0.4,1,0)</f>
        <v>0</v>
      </c>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row>
    <row r="39" spans="1:113" s="8" customFormat="1" ht="46.5" customHeight="1" x14ac:dyDescent="0.25">
      <c r="A39" s="4630" t="s">
        <v>1994</v>
      </c>
      <c r="B39" s="4349"/>
      <c r="C39" s="4349"/>
      <c r="D39" s="4349"/>
      <c r="E39" s="4349"/>
      <c r="F39" s="4349"/>
      <c r="G39" s="4349"/>
      <c r="H39" s="4349"/>
      <c r="I39" s="1311"/>
      <c r="J39"/>
      <c r="K39"/>
      <c r="L39"/>
      <c r="M39"/>
      <c r="N39"/>
      <c r="O39"/>
      <c r="P39"/>
      <c r="Q39"/>
      <c r="R39"/>
      <c r="S39"/>
      <c r="T39" s="12">
        <f>IF(I39=2,1,0)</f>
        <v>0</v>
      </c>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row>
    <row r="40" spans="1:113" s="8" customFormat="1" ht="69.75" customHeight="1" x14ac:dyDescent="0.25">
      <c r="A40" s="4630" t="s">
        <v>5594</v>
      </c>
      <c r="B40" s="4349"/>
      <c r="C40" s="4349"/>
      <c r="D40" s="4349"/>
      <c r="E40" s="4349"/>
      <c r="F40" s="4349"/>
      <c r="G40" s="4349"/>
      <c r="H40" s="4349"/>
      <c r="I40" s="1311"/>
      <c r="J40"/>
      <c r="K40"/>
      <c r="L40"/>
      <c r="M40"/>
      <c r="N40"/>
      <c r="O40"/>
      <c r="P40"/>
      <c r="Q40"/>
      <c r="R40"/>
      <c r="S40"/>
      <c r="T40" s="12">
        <f>IF(I40=10,1,0)</f>
        <v>0</v>
      </c>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row>
    <row r="41" spans="1:113" s="8" customFormat="1" ht="47.25" customHeight="1" x14ac:dyDescent="0.25">
      <c r="A41" s="4630" t="s">
        <v>1788</v>
      </c>
      <c r="B41" s="4349"/>
      <c r="C41" s="4349"/>
      <c r="D41" s="4349"/>
      <c r="E41" s="4349"/>
      <c r="F41" s="4349"/>
      <c r="G41" s="4349"/>
      <c r="H41" s="4349"/>
      <c r="I41" s="1311"/>
      <c r="J41"/>
      <c r="K41"/>
      <c r="L41"/>
      <c r="M41"/>
      <c r="N41"/>
      <c r="O41"/>
      <c r="P41"/>
      <c r="Q41"/>
      <c r="R41"/>
      <c r="S41"/>
      <c r="T41" s="12">
        <f>IF(I41=0.5,1,0)</f>
        <v>0</v>
      </c>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row>
    <row r="42" spans="1:113" s="8" customFormat="1" ht="36.75" customHeight="1" x14ac:dyDescent="0.25">
      <c r="A42" s="4630" t="s">
        <v>5259</v>
      </c>
      <c r="B42" s="4349"/>
      <c r="C42" s="4349"/>
      <c r="D42" s="4349"/>
      <c r="E42" s="4349"/>
      <c r="F42" s="4349"/>
      <c r="G42" s="4349"/>
      <c r="H42" s="4349"/>
      <c r="I42" s="1311"/>
      <c r="J42"/>
      <c r="K42"/>
      <c r="L42"/>
      <c r="M42"/>
      <c r="N42"/>
      <c r="O42"/>
      <c r="P42"/>
      <c r="Q42"/>
      <c r="R42"/>
      <c r="S42"/>
      <c r="T42" s="12">
        <f>IF(I42=2,1,0)</f>
        <v>0</v>
      </c>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row>
    <row r="43" spans="1:113" s="8" customFormat="1" ht="49.5" customHeight="1" x14ac:dyDescent="0.25">
      <c r="A43" s="4630" t="s">
        <v>5593</v>
      </c>
      <c r="B43" s="4679"/>
      <c r="C43" s="4679"/>
      <c r="D43" s="4679"/>
      <c r="E43" s="4679"/>
      <c r="F43" s="4679"/>
      <c r="G43" s="4679"/>
      <c r="H43" s="4679"/>
      <c r="I43" s="1311"/>
      <c r="J43"/>
      <c r="K43"/>
      <c r="L43"/>
      <c r="M43"/>
      <c r="N43"/>
      <c r="O43"/>
      <c r="P43"/>
      <c r="Q43"/>
      <c r="R43"/>
      <c r="S43"/>
      <c r="T43" s="12">
        <f>IF(I43=0.25,1,0)</f>
        <v>0</v>
      </c>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row>
    <row r="44" spans="1:113" s="8" customFormat="1" ht="46.5" customHeight="1" x14ac:dyDescent="0.25">
      <c r="A44" s="4630" t="s">
        <v>3763</v>
      </c>
      <c r="B44" s="4349"/>
      <c r="C44" s="4349"/>
      <c r="D44" s="4349"/>
      <c r="E44" s="4349"/>
      <c r="F44" s="4349"/>
      <c r="G44" s="4349"/>
      <c r="H44" s="4349"/>
      <c r="I44" s="1311"/>
      <c r="J44"/>
      <c r="K44"/>
      <c r="L44"/>
      <c r="M44"/>
      <c r="N44"/>
      <c r="O44"/>
      <c r="P44"/>
      <c r="Q44"/>
      <c r="R44"/>
      <c r="S44"/>
      <c r="T44" s="12">
        <f>IF(I44=1,1,0)</f>
        <v>0</v>
      </c>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row>
    <row r="45" spans="1:113" s="8" customFormat="1" ht="46.5" customHeight="1" x14ac:dyDescent="0.25">
      <c r="A45" s="4630" t="s">
        <v>1995</v>
      </c>
      <c r="B45" s="4349"/>
      <c r="C45" s="4349"/>
      <c r="D45" s="4349"/>
      <c r="E45" s="4349"/>
      <c r="F45" s="4349"/>
      <c r="G45" s="4349"/>
      <c r="H45" s="4349"/>
      <c r="I45" s="1311"/>
      <c r="J45"/>
      <c r="K45"/>
      <c r="L45"/>
      <c r="M45"/>
      <c r="N45"/>
      <c r="O45"/>
      <c r="P45"/>
      <c r="Q45"/>
      <c r="R45"/>
      <c r="S45"/>
      <c r="T45" s="12">
        <f>IF(I45=4,1,0)</f>
        <v>0</v>
      </c>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row>
    <row r="46" spans="1:113" x14ac:dyDescent="0.2">
      <c r="T46" s="213">
        <f>SUM(T36:T45)</f>
        <v>0</v>
      </c>
    </row>
    <row r="47" spans="1:113" s="8" customFormat="1" ht="17.25" customHeight="1" x14ac:dyDescent="0.25">
      <c r="A47" s="4676"/>
      <c r="B47" s="4373"/>
      <c r="C47" s="4373"/>
      <c r="D47" s="4373"/>
      <c r="E47" s="4373"/>
      <c r="F47" s="4373"/>
      <c r="G47" s="4373"/>
      <c r="H47" s="4373"/>
      <c r="I47" s="2369"/>
      <c r="J47"/>
      <c r="K47"/>
      <c r="L47"/>
      <c r="M47"/>
      <c r="N47"/>
      <c r="O47"/>
      <c r="P47"/>
      <c r="Q47"/>
      <c r="R47"/>
      <c r="S47"/>
      <c r="T47" s="322"/>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row>
    <row r="48" spans="1:113" s="8" customFormat="1" ht="18.75" x14ac:dyDescent="0.3">
      <c r="A48" s="1310"/>
      <c r="B48" s="818"/>
      <c r="C48" s="1298"/>
      <c r="D48" s="1157"/>
      <c r="E48" s="1157"/>
      <c r="F48" s="1157"/>
      <c r="G48" s="1157"/>
      <c r="H48" s="1157"/>
      <c r="I48" s="1157"/>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row>
    <row r="49" spans="1:113" s="8" customFormat="1" ht="19.5" x14ac:dyDescent="0.35">
      <c r="A49" s="786" t="str">
        <f>IF(SUM(T36:T45)=10,"Ниже представлена таблица трудоемкости работ в лаве!","Продолжайте работать !")</f>
        <v>Продолжайте работать !</v>
      </c>
      <c r="B49" s="818"/>
      <c r="C49" s="1298"/>
      <c r="D49" s="1157"/>
      <c r="E49" s="1157"/>
      <c r="F49" s="1157"/>
      <c r="G49" s="1157"/>
      <c r="H49" s="1157"/>
      <c r="I49" s="1157"/>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row>
    <row r="50" spans="1:113" s="1136" customFormat="1" ht="15" x14ac:dyDescent="0.2"/>
    <row r="51" spans="1:113" s="1136" customFormat="1" ht="15.75" x14ac:dyDescent="0.2">
      <c r="C51" s="1884"/>
      <c r="D51" s="1884"/>
      <c r="E51" s="1884"/>
      <c r="F51" s="1884"/>
      <c r="G51" s="1884"/>
      <c r="J51" s="1315"/>
      <c r="K51" s="1316"/>
      <c r="L51" s="1316"/>
      <c r="M51" s="1315"/>
    </row>
    <row r="52" spans="1:113" s="1070" customFormat="1" ht="18.75" x14ac:dyDescent="0.3">
      <c r="A52" s="3978" t="str">
        <f>IF(SUM(T36:T45)=10,"   Таблица 15        Расчет трудоемкости работ в комбайновой комплексно-механизированной лаве","")</f>
        <v/>
      </c>
      <c r="B52" s="2471"/>
      <c r="C52" s="2471"/>
      <c r="D52" s="2471"/>
      <c r="E52" s="2471"/>
      <c r="F52" s="2471"/>
      <c r="G52" s="2471"/>
      <c r="H52" s="2471"/>
      <c r="J52" s="1315"/>
      <c r="K52" s="1316"/>
      <c r="L52" s="1316"/>
      <c r="M52" s="1315"/>
    </row>
    <row r="53" spans="1:113" s="1070" customFormat="1" ht="78.75" x14ac:dyDescent="0.25">
      <c r="A53" s="876"/>
      <c r="B53" s="1885" t="s">
        <v>5596</v>
      </c>
      <c r="C53" s="1885" t="s">
        <v>5597</v>
      </c>
      <c r="D53" s="1885" t="s">
        <v>1789</v>
      </c>
      <c r="E53" s="1885" t="s">
        <v>1790</v>
      </c>
      <c r="F53" s="1885" t="s">
        <v>3369</v>
      </c>
      <c r="G53" s="1885" t="s">
        <v>1791</v>
      </c>
      <c r="H53" s="1886" t="s">
        <v>4383</v>
      </c>
      <c r="J53" s="1315"/>
      <c r="K53" s="1316"/>
      <c r="L53" s="1316"/>
      <c r="M53" s="1315"/>
    </row>
    <row r="54" spans="1:113" s="1070" customFormat="1" ht="15.75" x14ac:dyDescent="0.25">
      <c r="A54" s="2479" t="str">
        <f>IF(SUM(T36:T45)=10,"Работы на сопряжении лавы с транспортной выработкой","")</f>
        <v/>
      </c>
      <c r="B54" s="2487"/>
      <c r="C54" s="2487"/>
      <c r="D54" s="2487"/>
      <c r="E54" s="2487"/>
      <c r="F54" s="2487"/>
      <c r="G54" s="2487"/>
      <c r="H54" s="2488"/>
      <c r="J54" s="1315"/>
      <c r="K54" s="1316"/>
      <c r="L54" s="1316"/>
      <c r="M54" s="1315"/>
    </row>
    <row r="55" spans="1:113" s="1070" customFormat="1" ht="15.75" x14ac:dyDescent="0.25">
      <c r="A55" s="1392" t="str">
        <f>IF(SUM(T36:T45)=10," Крепление в нише (все операции)","")</f>
        <v/>
      </c>
      <c r="B55" s="1887"/>
      <c r="C55" s="1887"/>
      <c r="D55" s="1887"/>
      <c r="E55" s="1887"/>
      <c r="F55" s="1887"/>
      <c r="G55" s="1887"/>
      <c r="H55" s="1887" t="e">
        <f>B3451*B3446*B3448</f>
        <v>#VALUE!</v>
      </c>
      <c r="J55" s="1315"/>
      <c r="K55" s="1316"/>
      <c r="L55" s="1316"/>
      <c r="M55" s="1315"/>
    </row>
    <row r="56" spans="1:113" s="1136" customFormat="1" ht="27.75" customHeight="1" x14ac:dyDescent="0.25">
      <c r="A56" s="1392" t="str">
        <f>IF(SUM(T36:T45)=10," Погрузка угля на погрузочном пункте, т","")</f>
        <v/>
      </c>
      <c r="B56" s="1888" t="e">
        <f>B2747</f>
        <v>#VALUE!</v>
      </c>
      <c r="C56" s="1887" t="e">
        <f>B56*B3446*B3448</f>
        <v>#VALUE!</v>
      </c>
      <c r="D56" s="1887" t="e">
        <f>B2748</f>
        <v>#VALUE!</v>
      </c>
      <c r="E56" s="1887"/>
      <c r="F56" s="1887">
        <f>B442</f>
        <v>1.7249999999999999</v>
      </c>
      <c r="G56" s="1887" t="e">
        <f>D56*F56</f>
        <v>#VALUE!</v>
      </c>
      <c r="H56" s="1887" t="e">
        <f>C56/G56</f>
        <v>#VALUE!</v>
      </c>
      <c r="J56" s="1315"/>
      <c r="K56" s="1889"/>
      <c r="L56" s="1316"/>
      <c r="M56" s="1315"/>
    </row>
    <row r="57" spans="1:113" s="1136" customFormat="1" ht="15.75" x14ac:dyDescent="0.25">
      <c r="A57" s="875" t="e">
        <f>IF(B162=1," Извлечение арочной крепи при погашении выработки, шт","-----")</f>
        <v>#VALUE!</v>
      </c>
      <c r="B57" s="1887" t="e">
        <f>IF(B162=0,"",B2587)</f>
        <v>#VALUE!</v>
      </c>
      <c r="C57" s="1887" t="e">
        <f>IF(B162=0,"",B57*B3446*B3448)</f>
        <v>#VALUE!</v>
      </c>
      <c r="D57" s="1887" t="e">
        <f>IF(B162=0,"",B2588)</f>
        <v>#VALUE!</v>
      </c>
      <c r="E57" s="1887"/>
      <c r="F57" s="1887" t="e">
        <f>IF(B162=0,"",B2383)</f>
        <v>#VALUE!</v>
      </c>
      <c r="G57" s="1887" t="e">
        <f>IF(B162=0,"",D57*F57)</f>
        <v>#VALUE!</v>
      </c>
      <c r="H57" s="1887" t="e">
        <f>IF(B162=0,"",C57/G57)</f>
        <v>#VALUE!</v>
      </c>
      <c r="J57" s="1315"/>
    </row>
    <row r="58" spans="1:113" s="1136" customFormat="1" ht="31.5" x14ac:dyDescent="0.25">
      <c r="A58" s="875" t="s">
        <v>2827</v>
      </c>
      <c r="B58" s="1890" t="e">
        <f>IF(B162=0,B2587,"")</f>
        <v>#VALUE!</v>
      </c>
      <c r="C58" s="1891" t="e">
        <f>IF(B162=0,B58*B3446*B3448,"")</f>
        <v>#VALUE!</v>
      </c>
      <c r="D58" s="1891" t="e">
        <f>IF(B162=0,B2588,"")</f>
        <v>#VALUE!</v>
      </c>
      <c r="E58" s="1892"/>
      <c r="F58" s="1892" t="e">
        <f>IF(B162=0,B2383,"")</f>
        <v>#VALUE!</v>
      </c>
      <c r="G58" s="1891" t="e">
        <f>IF(B162=0,D58*F58,"")</f>
        <v>#VALUE!</v>
      </c>
      <c r="H58" s="1890" t="e">
        <f>IF(B162=0,C58/G58,"")</f>
        <v>#VALUE!</v>
      </c>
      <c r="J58" s="1315"/>
    </row>
    <row r="59" spans="1:113" s="1136" customFormat="1" ht="15.75" x14ac:dyDescent="0.25">
      <c r="A59" s="1392" t="str">
        <f>IF(SUM(T36:T45)=10," Укорачивание скребкового конвейера, м","")</f>
        <v/>
      </c>
      <c r="B59" s="1887" t="str">
        <f>B2595</f>
        <v/>
      </c>
      <c r="C59" s="1887" t="e">
        <f>B59*B3446*B3448</f>
        <v>#VALUE!</v>
      </c>
      <c r="D59" s="1887">
        <f>B2596</f>
        <v>4.6399999999999997</v>
      </c>
      <c r="E59" s="1887"/>
      <c r="F59" s="1887" t="e">
        <f>B2383</f>
        <v>#VALUE!</v>
      </c>
      <c r="G59" s="1887" t="e">
        <f>D59*F59</f>
        <v>#VALUE!</v>
      </c>
      <c r="H59" s="1890" t="e">
        <f>C59/G59</f>
        <v>#VALUE!</v>
      </c>
      <c r="J59" s="1315"/>
    </row>
    <row r="60" spans="1:113" s="1136" customFormat="1" ht="15.75" x14ac:dyDescent="0.25">
      <c r="A60" s="1392" t="str">
        <f>IF(B216=1,A229,A227)</f>
        <v xml:space="preserve"> Выемка угля отбойным молотком, т</v>
      </c>
      <c r="B60" s="1895" t="e">
        <f>IF(B216=1,B229,B227)</f>
        <v>#VALUE!</v>
      </c>
      <c r="C60" s="1895" t="e">
        <f>IF(B216=1,C229,C227)</f>
        <v>#VALUE!</v>
      </c>
      <c r="D60" s="1895">
        <f>IF(B216=1,D229,D227)</f>
        <v>11.83</v>
      </c>
      <c r="E60" s="1895"/>
      <c r="F60" s="1895" t="e">
        <f>IF(B216=1,F229,F227)</f>
        <v>#VALUE!</v>
      </c>
      <c r="G60" s="1895" t="e">
        <f>IF(B216=1,G229,G227)</f>
        <v>#VALUE!</v>
      </c>
      <c r="H60" s="1895" t="e">
        <f>IF(B216=1,H229,H227)</f>
        <v>#VALUE!</v>
      </c>
      <c r="J60" s="1315"/>
    </row>
    <row r="61" spans="1:113" s="1136" customFormat="1" ht="15.75" x14ac:dyDescent="0.25">
      <c r="A61" s="1392" t="str">
        <f>A228</f>
        <v xml:space="preserve"> Бурение шпуров при применении БВР, м</v>
      </c>
      <c r="B61" s="1895" t="str">
        <f>IF(B216=1,"",B228)</f>
        <v/>
      </c>
      <c r="C61" s="1895" t="str">
        <f>IF(B216=1,"",C228)</f>
        <v/>
      </c>
      <c r="D61" s="1895" t="str">
        <f>IF(B216=1,"",D228)</f>
        <v/>
      </c>
      <c r="E61" s="1895"/>
      <c r="F61" s="1895" t="str">
        <f>IF(B216=1,"",F228)</f>
        <v/>
      </c>
      <c r="G61" s="1895" t="str">
        <f>IF(B216=1,"",G228)</f>
        <v/>
      </c>
      <c r="H61" s="1895" t="str">
        <f>IF(B216=1,"",H228)</f>
        <v/>
      </c>
      <c r="J61" s="1315"/>
    </row>
    <row r="62" spans="1:113" s="1136" customFormat="1" ht="15.75" x14ac:dyDescent="0.25">
      <c r="A62" s="1392" t="str">
        <f>IF(SUM(T36:T45)=10," Установка крепи усиления в выработке, шт","")</f>
        <v/>
      </c>
      <c r="B62" s="1887" t="e">
        <f>B2514</f>
        <v>#VALUE!</v>
      </c>
      <c r="C62" s="1887" t="e">
        <f>B62*B3446*B3448</f>
        <v>#VALUE!</v>
      </c>
      <c r="D62" s="1887">
        <f>B2515</f>
        <v>22.4</v>
      </c>
      <c r="E62" s="1887"/>
      <c r="F62" s="1887" t="e">
        <f>B2383</f>
        <v>#VALUE!</v>
      </c>
      <c r="G62" s="1887" t="e">
        <f>D62*F62</f>
        <v>#VALUE!</v>
      </c>
      <c r="H62" s="1890" t="e">
        <f>C62/G62</f>
        <v>#VALUE!</v>
      </c>
      <c r="J62" s="1315"/>
    </row>
    <row r="63" spans="1:113" s="1136" customFormat="1" ht="15.75" x14ac:dyDescent="0.25">
      <c r="A63" s="1392" t="s">
        <v>4386</v>
      </c>
      <c r="B63" s="1893" t="e">
        <f>INDEX(F170:N170,B170)</f>
        <v>#VALUE!</v>
      </c>
      <c r="D63" s="1893"/>
      <c r="E63" s="1893"/>
      <c r="F63" s="1893"/>
      <c r="G63" s="1893"/>
      <c r="H63" s="1887" t="e">
        <f>INDEX(охр!B70:B78,'шт-кмех'!B170)*B180*B3446*B3448</f>
        <v>#VALUE!</v>
      </c>
      <c r="I63" s="1054"/>
      <c r="J63" s="1315"/>
      <c r="K63" s="1894"/>
    </row>
    <row r="64" spans="1:113" s="1136" customFormat="1" ht="18.75" customHeight="1" x14ac:dyDescent="0.3">
      <c r="A64" s="1090" t="str">
        <f>IF(SUM(T36:T45)=10,"Всего за сутки","")</f>
        <v/>
      </c>
      <c r="B64" s="1893"/>
      <c r="C64" s="1893"/>
      <c r="D64" s="1893"/>
      <c r="E64" s="1893"/>
      <c r="F64" s="1893"/>
      <c r="G64" s="1893"/>
      <c r="H64" s="1897" t="e">
        <f>SUM(H55:H63)</f>
        <v>#VALUE!</v>
      </c>
      <c r="I64" s="1894"/>
      <c r="J64" s="1315"/>
      <c r="K64" s="1896"/>
    </row>
    <row r="65" spans="1:29" s="1136" customFormat="1" ht="18.75" x14ac:dyDescent="0.3">
      <c r="A65" s="2479" t="str">
        <f>IF(SUM(T36:T45)=10,"Работы на сопряжении лавы с вентиляционной  выработкой","")</f>
        <v/>
      </c>
      <c r="B65" s="2489"/>
      <c r="C65" s="2489"/>
      <c r="D65" s="2489"/>
      <c r="E65" s="2489"/>
      <c r="F65" s="2489"/>
      <c r="G65" s="2489"/>
      <c r="H65" s="1024"/>
      <c r="I65" s="1894"/>
      <c r="J65" s="1315"/>
      <c r="K65" s="1896"/>
    </row>
    <row r="66" spans="1:29" s="1136" customFormat="1" ht="18.75" x14ac:dyDescent="0.3">
      <c r="A66" s="1392" t="s">
        <v>4385</v>
      </c>
      <c r="B66" s="1887"/>
      <c r="C66" s="1887"/>
      <c r="D66" s="1887"/>
      <c r="E66" s="1887"/>
      <c r="F66" s="1887"/>
      <c r="G66" s="1887"/>
      <c r="H66" s="1887" t="e">
        <f>B3463*B3446*B3448</f>
        <v>#VALUE!</v>
      </c>
      <c r="I66" s="1894"/>
      <c r="J66" s="1315"/>
      <c r="K66" s="1896"/>
      <c r="S66" s="1898"/>
      <c r="T66" s="1899"/>
      <c r="U66" s="1899"/>
      <c r="V66" s="1899"/>
      <c r="W66" s="1899"/>
      <c r="X66" s="1899"/>
      <c r="Y66" s="1899"/>
      <c r="Z66" s="1899"/>
      <c r="AA66" s="1899"/>
      <c r="AB66" s="1899"/>
      <c r="AC66" s="1899"/>
    </row>
    <row r="67" spans="1:29" s="1136" customFormat="1" ht="18.75" x14ac:dyDescent="0.3">
      <c r="A67" s="1392" t="s">
        <v>2828</v>
      </c>
      <c r="B67" s="1887" t="e">
        <f>IF(B163=1,B3045,"")</f>
        <v>#VALUE!</v>
      </c>
      <c r="C67" s="1887" t="e">
        <f>IF(B163=1,B67*B3446*B3448,"")</f>
        <v>#VALUE!</v>
      </c>
      <c r="D67" s="1887" t="e">
        <f>IF(B163=1,B3047,"")</f>
        <v>#VALUE!</v>
      </c>
      <c r="E67" s="1887"/>
      <c r="F67" s="1887" t="e">
        <f>IF(B163=1,B2611,"")</f>
        <v>#VALUE!</v>
      </c>
      <c r="G67" s="1887" t="e">
        <f>IF(B163=1,D67*F67,"")</f>
        <v>#VALUE!</v>
      </c>
      <c r="H67" s="1887" t="e">
        <f>IF(B163=1,C67/G67,"")</f>
        <v>#VALUE!</v>
      </c>
      <c r="I67" s="1894"/>
      <c r="J67" s="1315"/>
      <c r="K67" s="1896"/>
      <c r="P67" s="1645"/>
    </row>
    <row r="68" spans="1:29" s="1136" customFormat="1" ht="18.75" x14ac:dyDescent="0.3">
      <c r="A68" s="881" t="e">
        <f>IF(B163=0, "Извлечение и установка ножки арочной крепи, шт","------")</f>
        <v>#VALUE!</v>
      </c>
      <c r="B68" s="1887" t="e">
        <f>IF(B163=0,B245/B264,"")</f>
        <v>#VALUE!</v>
      </c>
      <c r="C68" s="1887" t="e">
        <f>IF(B163=0,B68*B3446*B3448,"")</f>
        <v>#VALUE!</v>
      </c>
      <c r="D68" s="1887" t="e">
        <f>IF(B163=0,B2588,"")</f>
        <v>#VALUE!</v>
      </c>
      <c r="E68" s="1887"/>
      <c r="F68" s="1887" t="e">
        <f>IF(B163=0,B2611,"")</f>
        <v>#VALUE!</v>
      </c>
      <c r="G68" s="1887" t="e">
        <f>IF(B163=0,D68*F68,"")</f>
        <v>#VALUE!</v>
      </c>
      <c r="H68" s="1887" t="e">
        <f>IF(B163=0,C68/G68,"")</f>
        <v>#VALUE!</v>
      </c>
      <c r="I68" s="1894"/>
      <c r="J68" s="1315"/>
      <c r="K68" s="1896"/>
      <c r="P68" s="1645"/>
    </row>
    <row r="69" spans="1:29" s="1136" customFormat="1" ht="18.75" x14ac:dyDescent="0.3">
      <c r="A69" s="1392" t="str">
        <f>IF(B216=1,A225,A223)</f>
        <v xml:space="preserve"> Выемка угля отбойным молотком, т</v>
      </c>
      <c r="B69" s="1902" t="e">
        <f>IF(B216=1,B225,B223)</f>
        <v>#VALUE!</v>
      </c>
      <c r="C69" s="1902">
        <f>IF(B216=1,D225,D223)</f>
        <v>11.83</v>
      </c>
      <c r="D69" s="1903">
        <f>IF(B216=1,D225,D223)</f>
        <v>11.83</v>
      </c>
      <c r="E69" s="1904"/>
      <c r="F69" s="1903" t="e">
        <f>IF(B216=1,F225,F223)</f>
        <v>#VALUE!</v>
      </c>
      <c r="G69" s="1903" t="e">
        <f>IF(B216=1,G225,G223)</f>
        <v>#VALUE!</v>
      </c>
      <c r="H69" s="1903" t="e">
        <f>IF(B216=1,H225,H223)</f>
        <v>#VALUE!</v>
      </c>
      <c r="I69" s="1894"/>
      <c r="J69" s="1315"/>
      <c r="K69" s="1896"/>
      <c r="P69" s="1645"/>
    </row>
    <row r="70" spans="1:29" s="1136" customFormat="1" ht="18.75" x14ac:dyDescent="0.3">
      <c r="A70" s="1391" t="str">
        <f>A224</f>
        <v xml:space="preserve"> Бурение шпуров при применении БВР, м</v>
      </c>
      <c r="B70" s="1895" t="str">
        <f>IF(B216=1,"",B224)</f>
        <v/>
      </c>
      <c r="C70" s="1895" t="str">
        <f>IF(B216=1,"",C224)</f>
        <v/>
      </c>
      <c r="D70" s="1895" t="str">
        <f>IF(B216=1,"",D224)</f>
        <v/>
      </c>
      <c r="E70" s="1895"/>
      <c r="F70" s="1895" t="str">
        <f>IF(B216=1,"",F224)</f>
        <v/>
      </c>
      <c r="G70" s="1895" t="str">
        <f>IF(B216=1,"",G224)</f>
        <v/>
      </c>
      <c r="H70" s="1895" t="str">
        <f>IF(B216=1,"",H224)</f>
        <v/>
      </c>
      <c r="I70" s="1894"/>
      <c r="J70" s="1315"/>
      <c r="K70" s="1896"/>
    </row>
    <row r="71" spans="1:29" s="1136" customFormat="1" ht="18.75" x14ac:dyDescent="0.3">
      <c r="A71" s="1392" t="s">
        <v>4384</v>
      </c>
      <c r="B71" s="1887" t="e">
        <f>B2976</f>
        <v>#VALUE!</v>
      </c>
      <c r="C71" s="1887" t="e">
        <f>B71*B3446*B3448</f>
        <v>#VALUE!</v>
      </c>
      <c r="D71" s="1887">
        <f>B2977</f>
        <v>22.4</v>
      </c>
      <c r="E71" s="1887"/>
      <c r="F71" s="1887" t="e">
        <f>G71/D71</f>
        <v>#VALUE!</v>
      </c>
      <c r="G71" s="1887" t="e">
        <f>B2979</f>
        <v>#VALUE!</v>
      </c>
      <c r="H71" s="1887" t="e">
        <f>B3468*B3446*B3448</f>
        <v>#VALUE!</v>
      </c>
      <c r="I71" s="1894"/>
      <c r="J71" s="1315"/>
      <c r="K71" s="1896"/>
    </row>
    <row r="72" spans="1:29" s="1136" customFormat="1" ht="18.75" x14ac:dyDescent="0.3">
      <c r="A72" s="1392" t="s">
        <v>4386</v>
      </c>
      <c r="B72" s="1900" t="e">
        <f>INDEX(F170:N170,B168)</f>
        <v>#VALUE!</v>
      </c>
      <c r="C72" s="1900"/>
      <c r="D72" s="1900"/>
      <c r="E72" s="1900"/>
      <c r="F72" s="1900"/>
      <c r="G72" s="1900"/>
      <c r="H72" s="1901" t="e">
        <f>INDEX(охр!B70:B78,B168)*B180*B3446*B3448</f>
        <v>#VALUE!</v>
      </c>
      <c r="I72" s="1894"/>
      <c r="J72" s="1315"/>
      <c r="K72" s="1896"/>
      <c r="M72" s="1905"/>
    </row>
    <row r="73" spans="1:29" s="1136" customFormat="1" ht="18.75" x14ac:dyDescent="0.3">
      <c r="A73" s="1906" t="str">
        <f>IF(SUM(T36:T45)=10,"Всего за сутки","")</f>
        <v/>
      </c>
      <c r="B73" s="1907"/>
      <c r="C73" s="1907"/>
      <c r="D73" s="1907"/>
      <c r="E73" s="1907"/>
      <c r="F73" s="1907"/>
      <c r="G73" s="1907"/>
      <c r="H73" s="1908" t="e">
        <f>SUM(H66:H72)</f>
        <v>#VALUE!</v>
      </c>
      <c r="I73" s="1894"/>
      <c r="J73" s="1315"/>
      <c r="K73" s="1896"/>
      <c r="M73" s="1905"/>
    </row>
    <row r="74" spans="1:29" s="1136" customFormat="1" ht="20.25" customHeight="1" x14ac:dyDescent="0.3">
      <c r="A74" s="1909" t="str">
        <f>IF(SUM(T36:T45)=10,"Итого трудоемкость работ на концевых участках","")</f>
        <v/>
      </c>
      <c r="B74" s="1893"/>
      <c r="C74" s="1893"/>
      <c r="D74" s="1893"/>
      <c r="E74" s="1893"/>
      <c r="F74" s="1893"/>
      <c r="G74" s="1910"/>
      <c r="H74" s="1897" t="e">
        <f>H64+H73</f>
        <v>#VALUE!</v>
      </c>
      <c r="I74" s="1894"/>
      <c r="J74" s="1315"/>
      <c r="K74" s="1896"/>
      <c r="M74" s="1905"/>
    </row>
    <row r="75" spans="1:29" s="1136" customFormat="1" ht="15.75" x14ac:dyDescent="0.25">
      <c r="A75" s="2490" t="str">
        <f>IF(SUM(T36:T45)=10,"Работы в центральной части лавы","")</f>
        <v/>
      </c>
      <c r="B75" s="2491"/>
      <c r="C75" s="2491"/>
      <c r="D75" s="2491"/>
      <c r="E75" s="2491"/>
      <c r="F75" s="2491"/>
      <c r="G75" s="2491"/>
      <c r="H75" s="2486"/>
      <c r="J75" s="1315"/>
      <c r="M75" s="1905"/>
    </row>
    <row r="76" spans="1:29" s="1136" customFormat="1" ht="31.5" x14ac:dyDescent="0.25">
      <c r="A76" s="875" t="s">
        <v>1792</v>
      </c>
      <c r="B76" s="1887" t="e">
        <f>B524</f>
        <v>#VALUE!</v>
      </c>
      <c r="C76" s="1887" t="e">
        <f>B76*B3446*B3448</f>
        <v>#VALUE!</v>
      </c>
      <c r="D76" s="1887" t="e">
        <f>B514</f>
        <v>#VALUE!</v>
      </c>
      <c r="E76" s="1887" t="e">
        <f>B523</f>
        <v>#VALUE!</v>
      </c>
      <c r="F76" s="1887" t="e">
        <f>B515</f>
        <v>#VALUE!</v>
      </c>
      <c r="G76" s="1887" t="e">
        <f>B516</f>
        <v>#VALUE!</v>
      </c>
      <c r="H76" s="1911" t="e">
        <f>B532</f>
        <v>#VALUE!</v>
      </c>
      <c r="J76" s="1315"/>
      <c r="K76" s="1912"/>
      <c r="L76" s="1316"/>
      <c r="M76" s="1315"/>
    </row>
    <row r="77" spans="1:29" s="1136" customFormat="1" ht="15.75" x14ac:dyDescent="0.25">
      <c r="A77" s="1392" t="s">
        <v>2024</v>
      </c>
      <c r="B77" s="1887"/>
      <c r="C77" s="1887"/>
      <c r="D77" s="1887"/>
      <c r="E77" s="1887"/>
      <c r="F77" s="1887"/>
      <c r="G77" s="1887"/>
      <c r="H77" s="1887">
        <f>B533</f>
        <v>3</v>
      </c>
      <c r="J77" s="1315"/>
      <c r="K77" s="1316"/>
      <c r="L77" s="1316"/>
      <c r="M77" s="1315"/>
    </row>
    <row r="78" spans="1:29" s="1136" customFormat="1" ht="15.75" x14ac:dyDescent="0.25">
      <c r="A78" s="1392" t="s">
        <v>2025</v>
      </c>
      <c r="B78" s="1887"/>
      <c r="C78" s="1887"/>
      <c r="D78" s="1887"/>
      <c r="E78" s="1887"/>
      <c r="F78" s="1887"/>
      <c r="G78" s="1887"/>
      <c r="H78" s="1887" t="e">
        <f>B534</f>
        <v>#VALUE!</v>
      </c>
      <c r="J78" s="1315"/>
      <c r="K78" s="1316"/>
      <c r="L78" s="1316"/>
      <c r="M78" s="1315"/>
    </row>
    <row r="79" spans="1:29" s="1136" customFormat="1" ht="15.75" x14ac:dyDescent="0.25">
      <c r="A79" s="1392" t="s">
        <v>2026</v>
      </c>
      <c r="B79" s="1887"/>
      <c r="C79" s="1887"/>
      <c r="D79" s="1887"/>
      <c r="E79" s="1887"/>
      <c r="F79" s="1887"/>
      <c r="G79" s="1887"/>
      <c r="H79" s="1887" t="e">
        <f>B435</f>
        <v>#VALUE!</v>
      </c>
      <c r="J79" s="1315"/>
      <c r="K79" s="1316"/>
      <c r="L79" s="1316"/>
      <c r="M79" s="1315"/>
    </row>
    <row r="80" spans="1:29" s="1136" customFormat="1" ht="15.75" x14ac:dyDescent="0.25">
      <c r="A80" s="1913" t="str">
        <f>IF(SUM(T36:T45)=10,"Всего  центральная часть лавы","")</f>
        <v/>
      </c>
      <c r="B80" s="1893"/>
      <c r="C80" s="1893"/>
      <c r="D80" s="1893"/>
      <c r="E80" s="1893"/>
      <c r="F80" s="1893"/>
      <c r="G80" s="1910"/>
      <c r="H80" s="1897" t="e">
        <f>H76+H79</f>
        <v>#VALUE!</v>
      </c>
      <c r="J80" s="1315"/>
      <c r="K80" s="1316"/>
      <c r="L80" s="1316"/>
      <c r="M80" s="1315"/>
    </row>
    <row r="81" spans="1:13" s="1136" customFormat="1" ht="15.75" x14ac:dyDescent="0.25">
      <c r="A81" s="2490" t="str">
        <f>IF(SUM(T36:T45)=10,"Работа в ремонтную смену","")</f>
        <v/>
      </c>
      <c r="B81" s="2489"/>
      <c r="C81" s="2489"/>
      <c r="D81" s="2489"/>
      <c r="E81" s="2489"/>
      <c r="F81" s="2489"/>
      <c r="G81" s="2489"/>
      <c r="H81" s="1024"/>
      <c r="J81" s="1315"/>
      <c r="K81" s="1316"/>
      <c r="L81" s="1316"/>
      <c r="M81" s="1315"/>
    </row>
    <row r="82" spans="1:13" s="1136" customFormat="1" ht="15.75" x14ac:dyDescent="0.25">
      <c r="A82" s="1914" t="s">
        <v>2027</v>
      </c>
      <c r="B82" s="1887"/>
      <c r="C82" s="1887"/>
      <c r="D82" s="1887"/>
      <c r="E82" s="1887"/>
      <c r="F82" s="1887"/>
      <c r="G82" s="1887"/>
      <c r="H82" s="1887">
        <f>B536</f>
        <v>1</v>
      </c>
      <c r="J82" s="1315"/>
      <c r="K82" s="1316"/>
      <c r="L82" s="1316"/>
      <c r="M82" s="1315"/>
    </row>
    <row r="83" spans="1:13" s="1136" customFormat="1" ht="31.5" x14ac:dyDescent="0.25">
      <c r="A83" s="1915" t="s">
        <v>2028</v>
      </c>
      <c r="B83" s="1887"/>
      <c r="C83" s="1887"/>
      <c r="D83" s="1887"/>
      <c r="E83" s="1887"/>
      <c r="F83" s="1887"/>
      <c r="G83" s="1887"/>
      <c r="H83" s="1887">
        <f>B537</f>
        <v>8</v>
      </c>
      <c r="J83" s="1315"/>
      <c r="K83" s="1316"/>
      <c r="L83" s="1316"/>
      <c r="M83" s="1315"/>
    </row>
    <row r="84" spans="1:13" s="1136" customFormat="1" ht="15.75" x14ac:dyDescent="0.25">
      <c r="A84" s="1914" t="s">
        <v>2029</v>
      </c>
      <c r="B84" s="1887"/>
      <c r="C84" s="1887"/>
      <c r="D84" s="1887"/>
      <c r="E84" s="1887"/>
      <c r="F84" s="1887"/>
      <c r="G84" s="1887"/>
      <c r="H84" s="1887" t="e">
        <f>B538</f>
        <v>#VALUE!</v>
      </c>
      <c r="J84" s="1315"/>
      <c r="K84" s="1316"/>
      <c r="L84" s="1316"/>
      <c r="M84" s="1315"/>
    </row>
    <row r="85" spans="1:13" s="1136" customFormat="1" ht="20.25" x14ac:dyDescent="0.3">
      <c r="A85" s="1392" t="s">
        <v>2030</v>
      </c>
      <c r="B85" s="1327" t="e">
        <f>B499</f>
        <v>#VALUE!</v>
      </c>
      <c r="C85" s="1887" t="e">
        <f>B85*B525*B246</f>
        <v>#VALUE!</v>
      </c>
      <c r="D85" s="1887">
        <f>B501</f>
        <v>158</v>
      </c>
      <c r="E85" s="1887"/>
      <c r="F85" s="1887" t="e">
        <f>B2564</f>
        <v>#VALUE!</v>
      </c>
      <c r="G85" s="1887" t="e">
        <f>D85*F85</f>
        <v>#VALUE!</v>
      </c>
      <c r="H85" s="1887" t="e">
        <f>C85/G85</f>
        <v>#VALUE!</v>
      </c>
      <c r="J85" s="1315"/>
      <c r="K85" s="1316"/>
      <c r="L85" s="1916"/>
      <c r="M85" s="1315"/>
    </row>
    <row r="86" spans="1:13" s="1136" customFormat="1" ht="15.75" x14ac:dyDescent="0.25">
      <c r="A86" s="1917" t="s">
        <v>5302</v>
      </c>
      <c r="B86" s="1887"/>
      <c r="C86" s="1887"/>
      <c r="D86" s="1887"/>
      <c r="E86" s="1887"/>
      <c r="F86" s="1887"/>
      <c r="G86" s="1887"/>
      <c r="H86" s="1887" t="e">
        <f>B3441</f>
        <v>#VALUE!</v>
      </c>
      <c r="J86" s="1315"/>
      <c r="K86" s="1316"/>
      <c r="L86" s="1316"/>
      <c r="M86" s="1315"/>
    </row>
    <row r="87" spans="1:13" s="1136" customFormat="1" ht="15.75" x14ac:dyDescent="0.25">
      <c r="A87" s="1301" t="str">
        <f>IF(SUM(T36:T45)=10,"Всего в ремонтную смену","")</f>
        <v/>
      </c>
      <c r="B87" s="1918"/>
      <c r="C87" s="1918"/>
      <c r="D87" s="1918"/>
      <c r="E87" s="1918"/>
      <c r="F87" s="1918"/>
      <c r="G87" s="1919"/>
      <c r="H87" s="1920" t="e">
        <f>H82+H83+H84+H85+H86</f>
        <v>#VALUE!</v>
      </c>
      <c r="J87" s="1315"/>
      <c r="K87" s="1316"/>
      <c r="L87" s="1316"/>
      <c r="M87" s="1315"/>
    </row>
    <row r="88" spans="1:13" s="1136" customFormat="1" ht="15.75" x14ac:dyDescent="0.25">
      <c r="A88" s="1301" t="str">
        <f>IF(SUM(T36:T45)=10,"Всего за сутки","")</f>
        <v/>
      </c>
      <c r="B88" s="1921"/>
      <c r="C88" s="1921"/>
      <c r="D88" s="1921"/>
      <c r="E88" s="1921"/>
      <c r="F88" s="1921"/>
      <c r="G88" s="1922"/>
      <c r="H88" s="1920" t="e">
        <f>H74+H80+H87</f>
        <v>#VALUE!</v>
      </c>
      <c r="J88" s="1315"/>
      <c r="K88" s="1316"/>
      <c r="L88" s="1316"/>
      <c r="M88" s="1315"/>
    </row>
    <row r="89" spans="1:13" s="1136" customFormat="1" ht="15.75" x14ac:dyDescent="0.25">
      <c r="A89" s="876" t="str">
        <f>IF(SUM(T36:T45)=10,"Призводительность труда рабочего очистного забоя согласно нормам выработки, т/выход","")</f>
        <v/>
      </c>
      <c r="B89" s="832"/>
      <c r="C89" s="832"/>
      <c r="D89" s="832"/>
      <c r="E89" s="832"/>
      <c r="F89" s="832"/>
      <c r="G89" s="832"/>
      <c r="H89" s="1923" t="e">
        <f>B174/H88</f>
        <v>#VALUE!</v>
      </c>
      <c r="J89" s="1315"/>
      <c r="K89" s="1316"/>
      <c r="L89" s="1316"/>
      <c r="M89" s="1315"/>
    </row>
    <row r="90" spans="1:13" s="1136" customFormat="1" ht="15.75" x14ac:dyDescent="0.2">
      <c r="C90" s="1384"/>
      <c r="D90" s="1384"/>
      <c r="E90" s="1384"/>
      <c r="F90" s="1384"/>
      <c r="G90" s="1384"/>
      <c r="J90" s="1315"/>
      <c r="K90" s="1316"/>
      <c r="L90" s="1316"/>
      <c r="M90" s="1315"/>
    </row>
    <row r="91" spans="1:13" s="1136" customFormat="1" ht="19.5" x14ac:dyDescent="0.35">
      <c r="B91" s="2370"/>
      <c r="C91" s="1384"/>
      <c r="D91" s="1384"/>
      <c r="E91" s="1384"/>
      <c r="F91" s="1384"/>
      <c r="G91" s="1384"/>
      <c r="J91" s="1315"/>
      <c r="K91" s="1316"/>
      <c r="L91" s="1316"/>
      <c r="M91" s="1315"/>
    </row>
    <row r="92" spans="1:13" s="1136" customFormat="1" ht="15.75" x14ac:dyDescent="0.2">
      <c r="A92" s="894" t="s">
        <v>3771</v>
      </c>
      <c r="C92" s="1070"/>
      <c r="D92" s="1070"/>
      <c r="E92" s="1070"/>
      <c r="F92" s="1070"/>
      <c r="G92" s="1070"/>
      <c r="J92" s="1315"/>
      <c r="K92" s="1316"/>
      <c r="L92" s="1316"/>
      <c r="M92" s="1315"/>
    </row>
    <row r="93" spans="1:13" s="1136" customFormat="1" ht="15.75" x14ac:dyDescent="0.2">
      <c r="A93" s="2428"/>
      <c r="C93" s="1384"/>
      <c r="D93" s="1384"/>
      <c r="E93" s="1384"/>
      <c r="F93" s="1384"/>
      <c r="G93" s="1384"/>
      <c r="J93" s="1315"/>
      <c r="K93" s="1316"/>
      <c r="L93" s="1316"/>
      <c r="M93" s="1315"/>
    </row>
    <row r="94" spans="1:13" s="1136" customFormat="1" ht="15.75" x14ac:dyDescent="0.2">
      <c r="C94" s="1384"/>
      <c r="D94" s="1384"/>
      <c r="E94" s="1384"/>
      <c r="F94" s="1384"/>
      <c r="G94" s="1384"/>
      <c r="J94" s="1315"/>
      <c r="K94" s="1316"/>
      <c r="L94" s="1316"/>
      <c r="M94" s="1315"/>
    </row>
    <row r="95" spans="1:13" s="1136" customFormat="1" ht="15.75" x14ac:dyDescent="0.2">
      <c r="C95" s="1884"/>
      <c r="D95" s="1884"/>
      <c r="E95" s="1884"/>
      <c r="F95" s="1884"/>
      <c r="G95" s="1884"/>
      <c r="J95" s="1315"/>
      <c r="K95" s="1316"/>
      <c r="L95" s="1316"/>
      <c r="M95" s="1315"/>
    </row>
    <row r="96" spans="1:13" s="1136" customFormat="1" ht="15.75" x14ac:dyDescent="0.2">
      <c r="C96" s="1884"/>
      <c r="D96" s="1884"/>
      <c r="E96" s="1884"/>
      <c r="F96" s="1884"/>
      <c r="G96" s="1884"/>
      <c r="J96" s="1315"/>
      <c r="K96" s="1316"/>
      <c r="L96" s="1316"/>
      <c r="M96" s="1315"/>
    </row>
    <row r="97" spans="3:13" s="1136" customFormat="1" ht="15.75" x14ac:dyDescent="0.2">
      <c r="C97" s="1384"/>
      <c r="D97" s="1384"/>
      <c r="E97" s="1384"/>
      <c r="F97" s="1384"/>
      <c r="G97" s="1384"/>
      <c r="J97" s="1315"/>
      <c r="K97" s="1316"/>
      <c r="L97" s="1316"/>
      <c r="M97" s="1315"/>
    </row>
    <row r="98" spans="3:13" s="1136" customFormat="1" ht="15.75" x14ac:dyDescent="0.2">
      <c r="C98" s="1884"/>
      <c r="D98" s="1884"/>
      <c r="E98" s="1884"/>
      <c r="F98" s="1884"/>
      <c r="G98" s="1884"/>
      <c r="J98" s="1315"/>
      <c r="K98" s="1316"/>
      <c r="L98" s="1316"/>
      <c r="M98" s="1315"/>
    </row>
    <row r="99" spans="3:13" s="1136" customFormat="1" ht="15.75" x14ac:dyDescent="0.2">
      <c r="C99" s="1884"/>
      <c r="D99" s="1884"/>
      <c r="E99" s="1884"/>
      <c r="F99" s="1884"/>
      <c r="G99" s="1884"/>
      <c r="J99" s="1315"/>
      <c r="K99" s="1316"/>
      <c r="L99" s="1316"/>
      <c r="M99" s="1315"/>
    </row>
    <row r="100" spans="3:13" s="1136" customFormat="1" ht="15.75" x14ac:dyDescent="0.2">
      <c r="C100" s="1884"/>
      <c r="D100" s="1884"/>
      <c r="E100" s="1884"/>
      <c r="F100" s="1884"/>
      <c r="G100" s="1884"/>
      <c r="J100" s="1315"/>
      <c r="K100" s="1316"/>
      <c r="L100" s="1316"/>
      <c r="M100" s="1315"/>
    </row>
    <row r="101" spans="3:13" s="1136" customFormat="1" ht="15.75" x14ac:dyDescent="0.2">
      <c r="C101" s="1384"/>
      <c r="D101" s="1384"/>
      <c r="E101" s="1384"/>
      <c r="F101" s="1384"/>
      <c r="G101" s="1384"/>
      <c r="J101" s="1315"/>
      <c r="K101" s="1316"/>
      <c r="L101" s="1316"/>
      <c r="M101" s="1315"/>
    </row>
    <row r="102" spans="3:13" s="1136" customFormat="1" ht="15.75" x14ac:dyDescent="0.2">
      <c r="C102" s="1384"/>
      <c r="D102" s="1384"/>
      <c r="E102" s="1384"/>
      <c r="F102" s="1384"/>
      <c r="G102" s="1384"/>
      <c r="J102" s="1315"/>
      <c r="K102" s="1316"/>
      <c r="L102" s="1316"/>
      <c r="M102" s="1315"/>
    </row>
    <row r="103" spans="3:13" s="1070" customFormat="1" ht="15.75" customHeight="1" x14ac:dyDescent="0.2">
      <c r="J103" s="1315"/>
      <c r="K103" s="1316"/>
      <c r="L103" s="1316"/>
      <c r="M103" s="1315"/>
    </row>
    <row r="104" spans="3:13" s="1070" customFormat="1" ht="15.75" x14ac:dyDescent="0.2">
      <c r="J104" s="1315"/>
      <c r="K104" s="1316"/>
      <c r="L104" s="1316"/>
      <c r="M104" s="1315"/>
    </row>
    <row r="105" spans="3:13" s="1070" customFormat="1" ht="15.75" x14ac:dyDescent="0.2">
      <c r="J105" s="1315"/>
      <c r="K105" s="1316"/>
      <c r="L105" s="1316"/>
      <c r="M105" s="1315"/>
    </row>
    <row r="106" spans="3:13" s="1070" customFormat="1" ht="15.75" x14ac:dyDescent="0.2">
      <c r="J106" s="1315"/>
      <c r="K106" s="1316"/>
      <c r="L106" s="1316"/>
      <c r="M106" s="1315"/>
    </row>
    <row r="107" spans="3:13" s="1070" customFormat="1" ht="15.75" x14ac:dyDescent="0.2">
      <c r="J107" s="1315"/>
      <c r="K107" s="1316"/>
      <c r="L107" s="1316"/>
      <c r="M107" s="1315"/>
    </row>
    <row r="108" spans="3:13" s="1070" customFormat="1" ht="15.75" x14ac:dyDescent="0.2">
      <c r="J108" s="1315"/>
      <c r="K108" s="1316"/>
      <c r="L108" s="1316"/>
      <c r="M108" s="1315"/>
    </row>
    <row r="109" spans="3:13" s="1070" customFormat="1" ht="15.75" x14ac:dyDescent="0.2">
      <c r="J109" s="1315"/>
      <c r="K109" s="1316"/>
      <c r="L109" s="1316"/>
      <c r="M109" s="1315"/>
    </row>
    <row r="110" spans="3:13" s="1070" customFormat="1" ht="15.75" x14ac:dyDescent="0.2">
      <c r="J110" s="1315"/>
      <c r="K110" s="1316"/>
      <c r="L110" s="1316"/>
      <c r="M110" s="1315"/>
    </row>
    <row r="111" spans="3:13" s="1070" customFormat="1" ht="15.75" x14ac:dyDescent="0.2">
      <c r="I111" s="1328"/>
      <c r="J111" s="1315"/>
      <c r="K111" s="1316"/>
      <c r="L111" s="1316"/>
      <c r="M111" s="1315"/>
    </row>
    <row r="112" spans="3:13" s="1070" customFormat="1" ht="15.75" x14ac:dyDescent="0.2">
      <c r="I112" s="1328"/>
      <c r="J112" s="1315"/>
      <c r="K112" s="1316"/>
      <c r="L112" s="1316"/>
      <c r="M112" s="1315"/>
    </row>
    <row r="113" spans="9:13" s="1070" customFormat="1" ht="15.75" x14ac:dyDescent="0.2">
      <c r="I113" s="1328"/>
      <c r="J113" s="1315"/>
      <c r="K113" s="1316"/>
      <c r="L113" s="1316"/>
      <c r="M113" s="1315"/>
    </row>
    <row r="114" spans="9:13" s="1070" customFormat="1" ht="15.75" x14ac:dyDescent="0.2">
      <c r="J114" s="1315"/>
      <c r="K114" s="1316"/>
      <c r="L114" s="1316"/>
      <c r="M114" s="1315"/>
    </row>
    <row r="115" spans="9:13" s="1070" customFormat="1" ht="15.75" x14ac:dyDescent="0.2">
      <c r="M115" s="1315"/>
    </row>
    <row r="116" spans="9:13" s="1070" customFormat="1" ht="15.75" x14ac:dyDescent="0.2">
      <c r="J116" s="1315"/>
      <c r="K116" s="1316"/>
      <c r="L116" s="1316"/>
      <c r="M116" s="1315"/>
    </row>
    <row r="117" spans="9:13" s="1070" customFormat="1" ht="15.75" x14ac:dyDescent="0.2">
      <c r="J117" s="1315"/>
      <c r="K117" s="1316"/>
      <c r="L117" s="1316"/>
      <c r="M117" s="1315"/>
    </row>
    <row r="118" spans="9:13" s="1070" customFormat="1" ht="15.75" x14ac:dyDescent="0.2">
      <c r="J118" s="1315"/>
      <c r="K118" s="1316"/>
      <c r="L118" s="1316"/>
      <c r="M118" s="1315"/>
    </row>
    <row r="119" spans="9:13" s="1070" customFormat="1" ht="15.75" x14ac:dyDescent="0.2">
      <c r="J119" s="1315"/>
      <c r="K119" s="1316"/>
      <c r="L119" s="1316"/>
      <c r="M119" s="1315"/>
    </row>
    <row r="120" spans="9:13" s="1070" customFormat="1" ht="15.75" x14ac:dyDescent="0.2">
      <c r="J120" s="1315"/>
      <c r="K120" s="1316"/>
      <c r="L120" s="1316"/>
      <c r="M120" s="1315"/>
    </row>
    <row r="121" spans="9:13" s="1070" customFormat="1" ht="15.75" x14ac:dyDescent="0.2">
      <c r="J121" s="1315"/>
      <c r="K121" s="1316"/>
      <c r="L121" s="1316"/>
      <c r="M121" s="1315"/>
    </row>
    <row r="122" spans="9:13" s="1070" customFormat="1" ht="15.75" x14ac:dyDescent="0.2">
      <c r="J122" s="1315"/>
      <c r="K122" s="1316"/>
      <c r="L122" s="1316"/>
      <c r="M122" s="1315"/>
    </row>
    <row r="123" spans="9:13" s="1070" customFormat="1" ht="15.75" x14ac:dyDescent="0.2">
      <c r="J123" s="1315"/>
      <c r="K123" s="1316"/>
      <c r="L123" s="1316"/>
      <c r="M123" s="1315"/>
    </row>
    <row r="124" spans="9:13" s="1070" customFormat="1" ht="15.75" x14ac:dyDescent="0.2">
      <c r="J124" s="1315"/>
      <c r="K124" s="1316"/>
      <c r="L124" s="1316"/>
      <c r="M124" s="1315"/>
    </row>
    <row r="125" spans="9:13" s="1070" customFormat="1" ht="15.75" x14ac:dyDescent="0.2">
      <c r="J125" s="1315"/>
      <c r="K125" s="1316"/>
      <c r="L125" s="1316"/>
      <c r="M125" s="1315"/>
    </row>
    <row r="126" spans="9:13" s="1070" customFormat="1" ht="15.75" x14ac:dyDescent="0.2">
      <c r="J126" s="1315"/>
      <c r="K126" s="1316"/>
      <c r="L126" s="1316"/>
      <c r="M126" s="1315"/>
    </row>
    <row r="127" spans="9:13" s="1070" customFormat="1" ht="15.75" x14ac:dyDescent="0.2">
      <c r="J127" s="1315"/>
      <c r="K127" s="1316"/>
      <c r="L127" s="1316"/>
      <c r="M127" s="1315"/>
    </row>
    <row r="128" spans="9:13" s="1070" customFormat="1" ht="15.75" x14ac:dyDescent="0.2">
      <c r="J128" s="1315"/>
      <c r="K128" s="1316"/>
      <c r="L128" s="1316"/>
      <c r="M128" s="1315"/>
    </row>
    <row r="129" spans="10:13" s="1070" customFormat="1" ht="15.75" x14ac:dyDescent="0.2">
      <c r="J129" s="1315"/>
      <c r="K129" s="1316"/>
      <c r="L129" s="1316"/>
      <c r="M129" s="1315"/>
    </row>
    <row r="130" spans="10:13" s="1070" customFormat="1" ht="15.75" x14ac:dyDescent="0.2">
      <c r="J130" s="1315"/>
      <c r="K130" s="1316"/>
      <c r="L130" s="1316"/>
      <c r="M130" s="1315"/>
    </row>
    <row r="131" spans="10:13" s="1070" customFormat="1" ht="15.75" x14ac:dyDescent="0.2">
      <c r="J131" s="1315"/>
      <c r="K131" s="1316"/>
      <c r="L131" s="1316"/>
      <c r="M131" s="1315"/>
    </row>
    <row r="132" spans="10:13" s="1070" customFormat="1" ht="15.75" x14ac:dyDescent="0.2">
      <c r="J132" s="1315"/>
      <c r="K132" s="1316"/>
      <c r="L132" s="1316"/>
      <c r="M132" s="1315"/>
    </row>
    <row r="133" spans="10:13" s="1070" customFormat="1" ht="15.75" x14ac:dyDescent="0.2">
      <c r="J133" s="1315"/>
      <c r="K133" s="1316"/>
      <c r="L133" s="1316"/>
      <c r="M133" s="1315"/>
    </row>
    <row r="134" spans="10:13" s="1070" customFormat="1" ht="15.75" x14ac:dyDescent="0.2">
      <c r="J134" s="1315"/>
      <c r="K134" s="1316"/>
      <c r="L134" s="1316"/>
      <c r="M134" s="1315"/>
    </row>
    <row r="135" spans="10:13" s="1070" customFormat="1" ht="15.75" x14ac:dyDescent="0.2">
      <c r="J135" s="1315"/>
      <c r="K135" s="1316"/>
      <c r="L135" s="1316"/>
      <c r="M135" s="1315"/>
    </row>
    <row r="136" spans="10:13" s="1070" customFormat="1" ht="15.75" x14ac:dyDescent="0.2">
      <c r="J136" s="1315"/>
      <c r="K136" s="1316"/>
      <c r="L136" s="1316"/>
      <c r="M136" s="1315"/>
    </row>
    <row r="137" spans="10:13" s="1070" customFormat="1" ht="15.75" x14ac:dyDescent="0.2">
      <c r="J137" s="1315"/>
      <c r="K137" s="1316"/>
      <c r="L137" s="1316"/>
      <c r="M137" s="1315"/>
    </row>
    <row r="138" spans="10:13" s="1070" customFormat="1" ht="15.75" x14ac:dyDescent="0.2">
      <c r="J138" s="1315"/>
      <c r="K138" s="1316"/>
      <c r="L138" s="1316"/>
      <c r="M138" s="1315"/>
    </row>
    <row r="139" spans="10:13" s="1070" customFormat="1" ht="15.75" x14ac:dyDescent="0.2">
      <c r="J139" s="1315"/>
      <c r="K139" s="1316"/>
      <c r="L139" s="1316"/>
      <c r="M139" s="1315"/>
    </row>
    <row r="140" spans="10:13" s="1070" customFormat="1" ht="15.75" x14ac:dyDescent="0.2">
      <c r="J140" s="1315"/>
      <c r="K140" s="1316"/>
      <c r="L140" s="1316"/>
      <c r="M140" s="1315"/>
    </row>
    <row r="141" spans="10:13" s="1070" customFormat="1" ht="15.75" x14ac:dyDescent="0.2">
      <c r="J141" s="1315"/>
      <c r="K141" s="1316"/>
      <c r="L141" s="1316"/>
      <c r="M141" s="1315"/>
    </row>
    <row r="142" spans="10:13" s="1070" customFormat="1" ht="15.75" x14ac:dyDescent="0.2">
      <c r="J142" s="1315"/>
      <c r="K142" s="1316"/>
      <c r="L142" s="1316"/>
      <c r="M142" s="1315"/>
    </row>
    <row r="143" spans="10:13" s="1070" customFormat="1" ht="15.75" x14ac:dyDescent="0.2">
      <c r="J143" s="1315"/>
      <c r="K143" s="1316"/>
      <c r="L143" s="1316"/>
      <c r="M143" s="1315"/>
    </row>
    <row r="144" spans="10:13" s="1070" customFormat="1" ht="15.75" x14ac:dyDescent="0.2">
      <c r="J144" s="1315"/>
      <c r="K144" s="1316"/>
      <c r="L144" s="1316"/>
      <c r="M144" s="1315"/>
    </row>
    <row r="145" spans="1:13" s="1070" customFormat="1" ht="15.75" x14ac:dyDescent="0.2">
      <c r="J145" s="1315"/>
      <c r="K145" s="1316"/>
      <c r="L145" s="1316"/>
      <c r="M145" s="1315"/>
    </row>
    <row r="146" spans="1:13" s="1070" customFormat="1" ht="15.75" x14ac:dyDescent="0.2">
      <c r="J146" s="1315"/>
      <c r="K146" s="1316"/>
      <c r="L146" s="1316"/>
      <c r="M146" s="1315"/>
    </row>
    <row r="147" spans="1:13" s="1070" customFormat="1" ht="15.75" x14ac:dyDescent="0.2">
      <c r="J147" s="1315"/>
      <c r="K147" s="1316"/>
      <c r="L147" s="1316"/>
      <c r="M147" s="1315"/>
    </row>
    <row r="148" spans="1:13" s="1070" customFormat="1" ht="15.75" x14ac:dyDescent="0.2">
      <c r="J148" s="1315"/>
      <c r="K148" s="1316"/>
      <c r="L148" s="1316"/>
      <c r="M148" s="1315"/>
    </row>
    <row r="149" spans="1:13" s="1070" customFormat="1" ht="15.75" x14ac:dyDescent="0.2">
      <c r="J149" s="1315"/>
      <c r="K149" s="1316"/>
      <c r="L149" s="1316"/>
      <c r="M149" s="1315"/>
    </row>
    <row r="150" spans="1:13" s="1070" customFormat="1" ht="15.75" x14ac:dyDescent="0.2">
      <c r="J150" s="1315"/>
      <c r="K150" s="1316"/>
      <c r="L150" s="1316"/>
      <c r="M150" s="1315"/>
    </row>
    <row r="151" spans="1:13" s="1070" customFormat="1" ht="15.75" x14ac:dyDescent="0.2">
      <c r="J151" s="1315"/>
      <c r="K151" s="1316"/>
      <c r="L151" s="1316"/>
      <c r="M151" s="1315"/>
    </row>
    <row r="152" spans="1:13" s="1070" customFormat="1" ht="15.75" x14ac:dyDescent="0.2">
      <c r="J152" s="1315"/>
      <c r="K152" s="1316"/>
      <c r="L152" s="1316"/>
      <c r="M152" s="1315"/>
    </row>
    <row r="153" spans="1:13" s="1070" customFormat="1" ht="15.75" x14ac:dyDescent="0.2">
      <c r="J153" s="1315"/>
      <c r="K153" s="1316"/>
      <c r="L153" s="1316"/>
      <c r="M153" s="1315"/>
    </row>
    <row r="154" spans="1:13" s="1070" customFormat="1" ht="15.75" x14ac:dyDescent="0.2">
      <c r="A154" s="1924"/>
      <c r="B154" s="1924"/>
      <c r="C154" s="1924"/>
      <c r="D154" s="1924"/>
      <c r="E154" s="1924"/>
      <c r="F154" s="1924"/>
      <c r="G154" s="1924"/>
      <c r="H154" s="1924"/>
      <c r="I154" s="1924"/>
      <c r="J154" s="1925"/>
      <c r="K154" s="1926"/>
      <c r="L154" s="1926"/>
      <c r="M154" s="1315"/>
    </row>
    <row r="155" spans="1:13" s="1070" customFormat="1" ht="15.75" x14ac:dyDescent="0.2">
      <c r="J155" s="1315"/>
      <c r="K155" s="1316"/>
      <c r="L155" s="1316"/>
      <c r="M155" s="1315"/>
    </row>
    <row r="156" spans="1:13" s="1070" customFormat="1" ht="15.75" x14ac:dyDescent="0.25">
      <c r="A156" s="1927" t="s">
        <v>1413</v>
      </c>
      <c r="B156" s="1391"/>
      <c r="J156" s="1315"/>
      <c r="K156" s="1316"/>
      <c r="L156" s="1316"/>
      <c r="M156" s="1315"/>
    </row>
    <row r="157" spans="1:13" s="1070" customFormat="1" ht="15.75" x14ac:dyDescent="0.2">
      <c r="A157" s="1136"/>
      <c r="B157" s="1136"/>
      <c r="J157" s="1315"/>
      <c r="K157" s="1316"/>
      <c r="L157" s="1316"/>
      <c r="M157" s="1315"/>
    </row>
    <row r="158" spans="1:13" s="1070" customFormat="1" ht="15.75" x14ac:dyDescent="0.2">
      <c r="A158" s="1136"/>
      <c r="B158" s="1136"/>
      <c r="J158" s="1315"/>
      <c r="K158" s="1316"/>
      <c r="L158" s="1316"/>
      <c r="M158" s="1315"/>
    </row>
    <row r="159" spans="1:13" s="1070" customFormat="1" ht="15.75" x14ac:dyDescent="0.25">
      <c r="A159" s="875" t="s">
        <v>4240</v>
      </c>
      <c r="B159" s="1358">
        <f>kursovoy!B847</f>
        <v>3</v>
      </c>
      <c r="J159" s="1315"/>
      <c r="K159" s="1316"/>
      <c r="L159" s="1316"/>
      <c r="M159" s="1315"/>
    </row>
    <row r="160" spans="1:13" s="1070" customFormat="1" ht="31.5" x14ac:dyDescent="0.25">
      <c r="A160" s="875" t="s">
        <v>4241</v>
      </c>
      <c r="B160" s="1358">
        <f>kursovoy!B866</f>
        <v>0</v>
      </c>
      <c r="J160" s="1315"/>
      <c r="K160" s="1316"/>
      <c r="L160" s="1316"/>
      <c r="M160" s="1315"/>
    </row>
    <row r="161" spans="1:14" s="1070" customFormat="1" ht="31.5" x14ac:dyDescent="0.25">
      <c r="A161" s="875" t="s">
        <v>4176</v>
      </c>
      <c r="B161" s="1358">
        <f>kursovoy!B870</f>
        <v>0</v>
      </c>
      <c r="J161" s="1315"/>
      <c r="K161" s="1316"/>
      <c r="L161" s="1316"/>
      <c r="M161" s="1315"/>
    </row>
    <row r="162" spans="1:14" s="1070" customFormat="1" ht="31.5" x14ac:dyDescent="0.25">
      <c r="A162" s="875" t="s">
        <v>1501</v>
      </c>
      <c r="B162" s="1358" t="e">
        <f>IF(kursovoy!B2258=1,0,1)</f>
        <v>#VALUE!</v>
      </c>
      <c r="J162" s="1315"/>
      <c r="K162" s="1316"/>
      <c r="L162" s="1316"/>
      <c r="M162" s="1315"/>
    </row>
    <row r="163" spans="1:14" s="1070" customFormat="1" ht="31.5" x14ac:dyDescent="0.25">
      <c r="A163" s="875" t="s">
        <v>1502</v>
      </c>
      <c r="B163" s="1358" t="e">
        <f>IF(kursovoy!B2267=1,1,0)</f>
        <v>#VALUE!</v>
      </c>
      <c r="J163" s="1315"/>
      <c r="K163" s="1316"/>
      <c r="L163" s="1316"/>
      <c r="M163" s="1315"/>
    </row>
    <row r="164" spans="1:14" s="1070" customFormat="1" ht="15.75" x14ac:dyDescent="0.25">
      <c r="A164" s="875" t="s">
        <v>565</v>
      </c>
      <c r="B164" s="1369">
        <f>kursovoy!B897</f>
        <v>0</v>
      </c>
      <c r="J164" s="1315"/>
      <c r="K164" s="1316"/>
      <c r="L164" s="1316"/>
      <c r="M164" s="1315"/>
    </row>
    <row r="165" spans="1:14" s="1070" customFormat="1" ht="15.75" x14ac:dyDescent="0.25">
      <c r="A165" s="875" t="s">
        <v>2005</v>
      </c>
      <c r="B165" s="1369">
        <f>kursovoy!B902</f>
        <v>0</v>
      </c>
      <c r="J165" s="1315"/>
      <c r="K165" s="1316"/>
      <c r="L165" s="1316"/>
      <c r="M165" s="1315"/>
    </row>
    <row r="166" spans="1:14" s="1070" customFormat="1" ht="15.75" x14ac:dyDescent="0.25">
      <c r="A166" s="1886" t="s">
        <v>1505</v>
      </c>
      <c r="B166" s="3088">
        <f>kursovoy!B348/12</f>
        <v>0</v>
      </c>
      <c r="J166" s="1315"/>
      <c r="K166" s="1316"/>
      <c r="L166" s="1316"/>
      <c r="M166" s="1315"/>
    </row>
    <row r="167" spans="1:14" s="1070" customFormat="1" ht="15.75" x14ac:dyDescent="0.25">
      <c r="A167" s="1356" t="s">
        <v>1503</v>
      </c>
      <c r="B167" s="1357"/>
      <c r="J167" s="1315"/>
      <c r="K167" s="1316"/>
      <c r="L167" s="1316"/>
      <c r="M167" s="1315"/>
    </row>
    <row r="168" spans="1:14" s="1070" customFormat="1" ht="110.25" x14ac:dyDescent="0.25">
      <c r="A168" s="943" t="s">
        <v>564</v>
      </c>
      <c r="B168" s="1358">
        <f>Оптимизация!B59</f>
        <v>0</v>
      </c>
      <c r="J168" s="1315"/>
      <c r="K168" s="1316"/>
      <c r="L168" s="1316"/>
      <c r="M168" s="1315"/>
    </row>
    <row r="169" spans="1:14" s="1070" customFormat="1" ht="15.75" x14ac:dyDescent="0.25">
      <c r="A169" s="1220" t="s">
        <v>1504</v>
      </c>
      <c r="B169" s="1357"/>
      <c r="F169" s="1070">
        <v>1</v>
      </c>
      <c r="G169" s="1070">
        <v>2</v>
      </c>
      <c r="H169" s="1070">
        <v>3</v>
      </c>
      <c r="I169" s="1070">
        <v>4</v>
      </c>
      <c r="J169" s="1070">
        <v>5</v>
      </c>
      <c r="K169" s="1070">
        <v>6</v>
      </c>
      <c r="L169" s="1070">
        <v>7</v>
      </c>
      <c r="M169" s="1070">
        <v>8</v>
      </c>
      <c r="N169" s="1070">
        <v>9</v>
      </c>
    </row>
    <row r="170" spans="1:14" s="1070" customFormat="1" ht="94.5" x14ac:dyDescent="0.25">
      <c r="A170" s="943" t="s">
        <v>1217</v>
      </c>
      <c r="B170" s="1358">
        <f>Оптимизация!B60</f>
        <v>0</v>
      </c>
      <c r="F170" s="1070" t="s">
        <v>499</v>
      </c>
      <c r="G170" s="1070" t="s">
        <v>2258</v>
      </c>
      <c r="H170" s="1070" t="s">
        <v>500</v>
      </c>
      <c r="I170" s="1070" t="s">
        <v>1190</v>
      </c>
      <c r="J170" s="1315" t="s">
        <v>220</v>
      </c>
      <c r="K170" s="1316" t="s">
        <v>501</v>
      </c>
      <c r="L170" s="1316" t="s">
        <v>502</v>
      </c>
      <c r="M170" s="1315" t="s">
        <v>760</v>
      </c>
      <c r="N170" s="1070" t="s">
        <v>761</v>
      </c>
    </row>
    <row r="171" spans="1:14" s="1070" customFormat="1" ht="15.75" x14ac:dyDescent="0.25">
      <c r="A171" s="875" t="s">
        <v>3315</v>
      </c>
      <c r="B171" s="1358">
        <f>kursovoy!B1103</f>
        <v>0</v>
      </c>
      <c r="J171" s="1315"/>
      <c r="K171" s="1316"/>
      <c r="L171" s="1316"/>
      <c r="M171" s="1315"/>
    </row>
    <row r="172" spans="1:14" s="1070" customFormat="1" ht="15.75" x14ac:dyDescent="0.25">
      <c r="A172" s="875" t="s">
        <v>2031</v>
      </c>
      <c r="B172" s="1928">
        <v>6</v>
      </c>
      <c r="J172" s="1315"/>
      <c r="K172" s="1316"/>
      <c r="L172" s="1316"/>
      <c r="M172" s="1315"/>
    </row>
    <row r="173" spans="1:14" s="1070" customFormat="1" ht="15.75" x14ac:dyDescent="0.25">
      <c r="A173" s="875" t="s">
        <v>2935</v>
      </c>
      <c r="B173" s="1358" t="str">
        <f>kursovoy!B404</f>
        <v/>
      </c>
      <c r="J173" s="1315"/>
      <c r="K173" s="1316"/>
      <c r="L173" s="1316"/>
      <c r="M173" s="1315"/>
    </row>
    <row r="174" spans="1:14" s="1070" customFormat="1" ht="15.75" x14ac:dyDescent="0.25">
      <c r="A174" s="875" t="s">
        <v>2936</v>
      </c>
      <c r="B174" s="1358" t="e">
        <f>kursovoy!B1102</f>
        <v>#VALUE!</v>
      </c>
      <c r="J174" s="1315"/>
      <c r="K174" s="1316"/>
      <c r="L174" s="1316"/>
      <c r="M174" s="1315"/>
    </row>
    <row r="175" spans="1:14" s="1070" customFormat="1" ht="31.5" x14ac:dyDescent="0.25">
      <c r="A175" s="875" t="s">
        <v>5787</v>
      </c>
      <c r="B175" s="1358" t="e">
        <f>INDEX(U209:U223,C175)</f>
        <v>#VALUE!</v>
      </c>
      <c r="C175" s="1070" t="str">
        <f>kursovoy!C518</f>
        <v/>
      </c>
      <c r="J175" s="1315"/>
      <c r="K175" s="1316"/>
      <c r="L175" s="1316"/>
      <c r="M175" s="1315"/>
    </row>
    <row r="176" spans="1:14" s="1070" customFormat="1" ht="15.75" x14ac:dyDescent="0.25">
      <c r="A176" s="875" t="s">
        <v>5047</v>
      </c>
      <c r="B176" s="1358" t="e">
        <f>INDEX(K208:K221,C176)</f>
        <v>#VALUE!</v>
      </c>
      <c r="C176" s="1070" t="str">
        <f>kursovoy!C515</f>
        <v/>
      </c>
      <c r="J176" s="1315"/>
      <c r="K176" s="1316"/>
      <c r="L176" s="1316"/>
      <c r="M176" s="1315"/>
    </row>
    <row r="177" spans="1:114" s="1070" customFormat="1" ht="78.75" x14ac:dyDescent="0.25">
      <c r="A177" s="875" t="s">
        <v>5791</v>
      </c>
      <c r="B177" s="1358" t="e">
        <f>INDEX(AE209:AE227,C177)</f>
        <v>#VALUE!</v>
      </c>
      <c r="C177" s="1070" t="str">
        <f>kursovoy!C517</f>
        <v/>
      </c>
      <c r="J177" s="1315"/>
      <c r="K177" s="1316"/>
      <c r="L177" s="1316"/>
      <c r="M177" s="1315"/>
    </row>
    <row r="178" spans="1:114" s="1136" customFormat="1" ht="15.75" customHeight="1" x14ac:dyDescent="0.25">
      <c r="A178" s="1370" t="s">
        <v>5048</v>
      </c>
      <c r="B178" s="1326">
        <v>1</v>
      </c>
      <c r="I178" s="1070"/>
      <c r="J178" s="1315"/>
      <c r="K178" s="1316"/>
      <c r="L178" s="1316"/>
      <c r="M178" s="1315"/>
      <c r="N178" s="1070"/>
      <c r="O178" s="1070"/>
      <c r="P178" s="1070"/>
      <c r="Q178" s="1070"/>
      <c r="R178" s="1070"/>
      <c r="S178" s="1070"/>
      <c r="T178" s="1070"/>
      <c r="U178" s="1070"/>
      <c r="V178" s="1070"/>
      <c r="W178" s="1070"/>
      <c r="X178" s="1070"/>
      <c r="Y178" s="1070"/>
      <c r="Z178" s="1070"/>
      <c r="AA178" s="1070"/>
      <c r="AB178" s="1070"/>
      <c r="AC178" s="1070"/>
      <c r="AD178" s="1070"/>
      <c r="AE178" s="1070"/>
      <c r="AF178" s="1070"/>
      <c r="AG178" s="1070"/>
      <c r="AH178" s="1070"/>
      <c r="AI178" s="1070"/>
      <c r="AJ178" s="1070"/>
      <c r="AK178" s="1070"/>
      <c r="AL178" s="1070"/>
      <c r="AM178" s="1070"/>
      <c r="AN178" s="1070"/>
      <c r="AO178" s="1070"/>
      <c r="AP178" s="1070"/>
      <c r="AQ178" s="1070"/>
      <c r="AR178" s="1070"/>
      <c r="AS178" s="1070"/>
      <c r="AT178" s="1070"/>
      <c r="AU178" s="1070"/>
      <c r="AV178" s="1070"/>
      <c r="AW178" s="1070"/>
      <c r="AX178" s="1070"/>
      <c r="AY178" s="1070"/>
      <c r="AZ178" s="1070"/>
      <c r="BA178" s="1070"/>
      <c r="BB178" s="1070"/>
      <c r="BC178" s="1070"/>
      <c r="BD178" s="1070"/>
      <c r="BE178" s="1070"/>
      <c r="BF178" s="1070"/>
      <c r="BG178" s="1070"/>
      <c r="BH178" s="1070"/>
      <c r="BI178" s="1070"/>
      <c r="BJ178" s="1070"/>
      <c r="BK178" s="1070"/>
      <c r="BL178" s="1070"/>
      <c r="BM178" s="1070"/>
      <c r="BN178" s="1070"/>
      <c r="BO178" s="1070"/>
      <c r="BP178" s="1070"/>
      <c r="BQ178" s="1070"/>
      <c r="BR178" s="1070"/>
      <c r="BS178" s="1070"/>
      <c r="BT178" s="1070"/>
      <c r="BU178" s="1070"/>
      <c r="BV178" s="1070"/>
      <c r="BW178" s="1070"/>
      <c r="BX178" s="1070"/>
      <c r="BY178" s="1070"/>
      <c r="BZ178" s="1070"/>
      <c r="CA178" s="1070"/>
      <c r="CB178" s="1070"/>
      <c r="CC178" s="1070"/>
      <c r="CD178" s="1070"/>
      <c r="CE178" s="1070"/>
      <c r="CF178" s="1070"/>
      <c r="CG178" s="1070"/>
      <c r="CH178" s="1070"/>
      <c r="CI178" s="1070"/>
      <c r="CJ178" s="1070"/>
      <c r="CK178" s="1070"/>
      <c r="CL178" s="1070"/>
      <c r="CM178" s="1070"/>
      <c r="CN178" s="1070"/>
      <c r="CO178" s="1070"/>
      <c r="CP178" s="1070"/>
      <c r="CQ178" s="1070"/>
      <c r="CR178" s="1070"/>
      <c r="CS178" s="1070"/>
      <c r="CT178" s="1070"/>
      <c r="CU178" s="1070"/>
      <c r="CV178" s="1070"/>
      <c r="CW178" s="1070"/>
      <c r="CX178" s="1070"/>
      <c r="CY178" s="1070"/>
      <c r="CZ178" s="1070"/>
      <c r="DA178" s="1070"/>
      <c r="DB178" s="1070"/>
      <c r="DC178" s="1070"/>
      <c r="DD178" s="1070"/>
      <c r="DE178" s="1070"/>
      <c r="DF178" s="1070"/>
      <c r="DG178" s="1070"/>
      <c r="DH178" s="1070"/>
      <c r="DI178" s="1070"/>
      <c r="DJ178" s="1070"/>
    </row>
    <row r="179" spans="1:114" s="1136" customFormat="1" ht="18" customHeight="1" x14ac:dyDescent="0.25">
      <c r="A179" s="875" t="s">
        <v>2939</v>
      </c>
      <c r="B179" s="1358" t="str">
        <f>kursovoy!B218</f>
        <v/>
      </c>
      <c r="I179" s="1070"/>
      <c r="J179" s="1315"/>
      <c r="K179" s="1316"/>
      <c r="L179" s="1316"/>
      <c r="M179" s="1315"/>
      <c r="N179" s="1070"/>
      <c r="O179" s="1070"/>
      <c r="P179" s="1070"/>
      <c r="Q179" s="1070"/>
      <c r="R179" s="1070"/>
      <c r="S179" s="1070"/>
      <c r="T179" s="1070"/>
      <c r="U179" s="1070"/>
      <c r="V179" s="1070"/>
      <c r="W179" s="1070"/>
      <c r="X179" s="1070"/>
      <c r="Y179" s="1070"/>
      <c r="Z179" s="1070"/>
      <c r="AA179" s="1070"/>
      <c r="AB179" s="1070"/>
      <c r="AC179" s="1070"/>
      <c r="AD179" s="1070"/>
      <c r="AE179" s="1070"/>
      <c r="AF179" s="1070"/>
      <c r="AG179" s="1070"/>
      <c r="AH179" s="1070"/>
      <c r="AI179" s="1070"/>
      <c r="AJ179" s="1070"/>
      <c r="AK179" s="1070"/>
      <c r="AL179" s="1070"/>
      <c r="AM179" s="1070"/>
      <c r="AN179" s="1070"/>
      <c r="AO179" s="1070"/>
      <c r="AP179" s="1070"/>
      <c r="AQ179" s="1070"/>
      <c r="AR179" s="1070"/>
      <c r="AS179" s="1070"/>
      <c r="AT179" s="1070"/>
      <c r="AU179" s="1070"/>
      <c r="AV179" s="1070"/>
      <c r="AW179" s="1070"/>
      <c r="AX179" s="1070"/>
      <c r="AY179" s="1070"/>
      <c r="AZ179" s="1070"/>
      <c r="BA179" s="1070"/>
      <c r="BB179" s="1070"/>
      <c r="BC179" s="1070"/>
      <c r="BD179" s="1070"/>
      <c r="BE179" s="1070"/>
      <c r="BF179" s="1070"/>
      <c r="BG179" s="1070"/>
      <c r="BH179" s="1070"/>
      <c r="BI179" s="1070"/>
      <c r="BJ179" s="1070"/>
      <c r="BK179" s="1070"/>
      <c r="BL179" s="1070"/>
      <c r="BM179" s="1070"/>
      <c r="BN179" s="1070"/>
      <c r="BO179" s="1070"/>
      <c r="BP179" s="1070"/>
      <c r="BQ179" s="1070"/>
      <c r="BR179" s="1070"/>
      <c r="BS179" s="1070"/>
      <c r="BT179" s="1070"/>
      <c r="BU179" s="1070"/>
      <c r="BV179" s="1070"/>
      <c r="BW179" s="1070"/>
      <c r="BX179" s="1070"/>
      <c r="BY179" s="1070"/>
      <c r="BZ179" s="1070"/>
      <c r="CA179" s="1070"/>
      <c r="CB179" s="1070"/>
      <c r="CC179" s="1070"/>
      <c r="CD179" s="1070"/>
      <c r="CE179" s="1070"/>
      <c r="CF179" s="1070"/>
      <c r="CG179" s="1070"/>
      <c r="CH179" s="1070"/>
      <c r="CI179" s="1070"/>
      <c r="CJ179" s="1070"/>
      <c r="CK179" s="1070"/>
      <c r="CL179" s="1070"/>
      <c r="CM179" s="1070"/>
      <c r="CN179" s="1070"/>
      <c r="CO179" s="1070"/>
      <c r="CP179" s="1070"/>
      <c r="CQ179" s="1070"/>
      <c r="CR179" s="1070"/>
      <c r="CS179" s="1070"/>
      <c r="CT179" s="1070"/>
      <c r="CU179" s="1070"/>
      <c r="CV179" s="1070"/>
      <c r="CW179" s="1070"/>
      <c r="CX179" s="1070"/>
      <c r="CY179" s="1070"/>
      <c r="CZ179" s="1070"/>
      <c r="DA179" s="1070"/>
      <c r="DB179" s="1070"/>
      <c r="DC179" s="1070"/>
      <c r="DD179" s="1070"/>
      <c r="DE179" s="1070"/>
      <c r="DF179" s="1070"/>
      <c r="DG179" s="1070"/>
      <c r="DH179" s="1070"/>
      <c r="DI179" s="1070"/>
      <c r="DJ179" s="1070"/>
    </row>
    <row r="180" spans="1:114" s="1136" customFormat="1" ht="18" customHeight="1" x14ac:dyDescent="0.25">
      <c r="A180" s="875" t="s">
        <v>3790</v>
      </c>
      <c r="B180" s="1358" t="str">
        <f>kursovoy!B516</f>
        <v/>
      </c>
      <c r="I180" s="1070"/>
      <c r="J180" s="1315"/>
      <c r="K180" s="1316"/>
      <c r="L180" s="1316"/>
      <c r="M180" s="1315"/>
      <c r="N180" s="1070"/>
      <c r="O180" s="1070"/>
      <c r="P180" s="1070"/>
      <c r="Q180" s="1070"/>
      <c r="R180" s="1070"/>
      <c r="S180" s="1070"/>
      <c r="T180" s="1070"/>
      <c r="U180" s="1070"/>
      <c r="V180" s="1070"/>
      <c r="W180" s="1070"/>
      <c r="X180" s="1070"/>
      <c r="Y180" s="1070"/>
      <c r="Z180" s="1070"/>
      <c r="AA180" s="1070"/>
      <c r="AB180" s="1070"/>
      <c r="AC180" s="1070"/>
      <c r="AD180" s="1070"/>
      <c r="AE180" s="1070"/>
      <c r="AF180" s="1070"/>
      <c r="AG180" s="1070"/>
      <c r="AH180" s="1070"/>
      <c r="AI180" s="1070"/>
      <c r="AJ180" s="1070"/>
      <c r="AK180" s="1070"/>
      <c r="AL180" s="1070"/>
      <c r="AM180" s="1070"/>
      <c r="AN180" s="1070"/>
      <c r="AO180" s="1070"/>
      <c r="AP180" s="1070"/>
      <c r="AQ180" s="1070"/>
      <c r="AR180" s="1070"/>
      <c r="AS180" s="1070"/>
      <c r="AT180" s="1070"/>
      <c r="AU180" s="1070"/>
      <c r="AV180" s="1070"/>
      <c r="AW180" s="1070"/>
      <c r="AX180" s="1070"/>
      <c r="AY180" s="1070"/>
      <c r="AZ180" s="1070"/>
      <c r="BA180" s="1070"/>
      <c r="BB180" s="1070"/>
      <c r="BC180" s="1070"/>
      <c r="BD180" s="1070"/>
      <c r="BE180" s="1070"/>
      <c r="BF180" s="1070"/>
      <c r="BG180" s="1070"/>
      <c r="BH180" s="1070"/>
      <c r="BI180" s="1070"/>
      <c r="BJ180" s="1070"/>
      <c r="BK180" s="1070"/>
      <c r="BL180" s="1070"/>
      <c r="BM180" s="1070"/>
      <c r="BN180" s="1070"/>
      <c r="BO180" s="1070"/>
      <c r="BP180" s="1070"/>
      <c r="BQ180" s="1070"/>
      <c r="BR180" s="1070"/>
      <c r="BS180" s="1070"/>
      <c r="BT180" s="1070"/>
      <c r="BU180" s="1070"/>
      <c r="BV180" s="1070"/>
      <c r="BW180" s="1070"/>
      <c r="BX180" s="1070"/>
      <c r="BY180" s="1070"/>
      <c r="BZ180" s="1070"/>
      <c r="CA180" s="1070"/>
      <c r="CB180" s="1070"/>
      <c r="CC180" s="1070"/>
      <c r="CD180" s="1070"/>
      <c r="CE180" s="1070"/>
      <c r="CF180" s="1070"/>
      <c r="CG180" s="1070"/>
      <c r="CH180" s="1070"/>
      <c r="CI180" s="1070"/>
      <c r="CJ180" s="1070"/>
      <c r="CK180" s="1070"/>
      <c r="CL180" s="1070"/>
      <c r="CM180" s="1070"/>
      <c r="CN180" s="1070"/>
      <c r="CO180" s="1070"/>
      <c r="CP180" s="1070"/>
      <c r="CQ180" s="1070"/>
      <c r="CR180" s="1070"/>
      <c r="CS180" s="1070"/>
      <c r="CT180" s="1070"/>
      <c r="CU180" s="1070"/>
      <c r="CV180" s="1070"/>
      <c r="CW180" s="1070"/>
      <c r="CX180" s="1070"/>
      <c r="CY180" s="1070"/>
      <c r="CZ180" s="1070"/>
      <c r="DA180" s="1070"/>
      <c r="DB180" s="1070"/>
      <c r="DC180" s="1070"/>
      <c r="DD180" s="1070"/>
      <c r="DE180" s="1070"/>
      <c r="DF180" s="1070"/>
      <c r="DG180" s="1070"/>
      <c r="DH180" s="1070"/>
      <c r="DI180" s="1070"/>
      <c r="DJ180" s="1070"/>
    </row>
    <row r="181" spans="1:114" s="1136" customFormat="1" ht="18" customHeight="1" x14ac:dyDescent="0.25">
      <c r="A181" s="875" t="s">
        <v>2941</v>
      </c>
      <c r="B181" s="1358">
        <f>IF(B188&gt;2,2,3)</f>
        <v>3</v>
      </c>
      <c r="I181" s="1070"/>
      <c r="J181" s="1315"/>
      <c r="K181" s="1316"/>
      <c r="L181" s="1316"/>
      <c r="M181" s="1315"/>
      <c r="N181" s="1070"/>
      <c r="O181" s="1070"/>
      <c r="P181" s="1070"/>
      <c r="Q181" s="1070"/>
      <c r="R181" s="1070"/>
      <c r="S181" s="1070"/>
      <c r="T181" s="1070"/>
      <c r="U181" s="1070"/>
      <c r="V181" s="1070"/>
      <c r="W181" s="1070"/>
      <c r="X181" s="1070"/>
      <c r="Y181" s="1070"/>
      <c r="Z181" s="1070"/>
      <c r="AA181" s="1070"/>
      <c r="AB181" s="1070"/>
      <c r="AC181" s="1070"/>
      <c r="AD181" s="1070"/>
      <c r="AE181" s="1070"/>
      <c r="AF181" s="1070"/>
      <c r="AG181" s="1070"/>
      <c r="AH181" s="1070"/>
      <c r="AI181" s="1070"/>
      <c r="AJ181" s="1070"/>
      <c r="AK181" s="1070"/>
      <c r="AL181" s="1070"/>
      <c r="AM181" s="1070"/>
      <c r="AN181" s="1070"/>
      <c r="AO181" s="1070"/>
      <c r="AP181" s="1070"/>
      <c r="AQ181" s="1070"/>
      <c r="AR181" s="1070"/>
      <c r="AS181" s="1070"/>
      <c r="AT181" s="1070"/>
      <c r="AU181" s="1070"/>
      <c r="AV181" s="1070"/>
      <c r="AW181" s="1070"/>
      <c r="AX181" s="1070"/>
      <c r="AY181" s="1070"/>
      <c r="AZ181" s="1070"/>
      <c r="BA181" s="1070"/>
      <c r="BB181" s="1070"/>
      <c r="BC181" s="1070"/>
      <c r="BD181" s="1070"/>
      <c r="BE181" s="1070"/>
      <c r="BF181" s="1070"/>
      <c r="BG181" s="1070"/>
      <c r="BH181" s="1070"/>
      <c r="BI181" s="1070"/>
      <c r="BJ181" s="1070"/>
      <c r="BK181" s="1070"/>
      <c r="BL181" s="1070"/>
      <c r="BM181" s="1070"/>
      <c r="BN181" s="1070"/>
      <c r="BO181" s="1070"/>
      <c r="BP181" s="1070"/>
      <c r="BQ181" s="1070"/>
      <c r="BR181" s="1070"/>
      <c r="BS181" s="1070"/>
      <c r="BT181" s="1070"/>
      <c r="BU181" s="1070"/>
      <c r="BV181" s="1070"/>
      <c r="BW181" s="1070"/>
      <c r="BX181" s="1070"/>
      <c r="BY181" s="1070"/>
      <c r="BZ181" s="1070"/>
      <c r="CA181" s="1070"/>
      <c r="CB181" s="1070"/>
      <c r="CC181" s="1070"/>
      <c r="CD181" s="1070"/>
      <c r="CE181" s="1070"/>
      <c r="CF181" s="1070"/>
      <c r="CG181" s="1070"/>
      <c r="CH181" s="1070"/>
      <c r="CI181" s="1070"/>
      <c r="CJ181" s="1070"/>
      <c r="CK181" s="1070"/>
      <c r="CL181" s="1070"/>
      <c r="CM181" s="1070"/>
      <c r="CN181" s="1070"/>
      <c r="CO181" s="1070"/>
      <c r="CP181" s="1070"/>
      <c r="CQ181" s="1070"/>
      <c r="CR181" s="1070"/>
      <c r="CS181" s="1070"/>
      <c r="CT181" s="1070"/>
      <c r="CU181" s="1070"/>
      <c r="CV181" s="1070"/>
      <c r="CW181" s="1070"/>
      <c r="CX181" s="1070"/>
      <c r="CY181" s="1070"/>
      <c r="CZ181" s="1070"/>
      <c r="DA181" s="1070"/>
      <c r="DB181" s="1070"/>
      <c r="DC181" s="1070"/>
      <c r="DD181" s="1070"/>
      <c r="DE181" s="1070"/>
      <c r="DF181" s="1070"/>
      <c r="DG181" s="1070"/>
      <c r="DH181" s="1070"/>
      <c r="DI181" s="1070"/>
      <c r="DJ181" s="1070"/>
    </row>
    <row r="182" spans="1:114" s="1136" customFormat="1" ht="18" customHeight="1" x14ac:dyDescent="0.25">
      <c r="A182" s="875"/>
      <c r="B182" s="1326"/>
      <c r="I182" s="1070"/>
      <c r="J182" s="1315"/>
      <c r="K182" s="1316"/>
      <c r="L182" s="1316"/>
      <c r="M182" s="1315"/>
      <c r="N182" s="1070"/>
      <c r="O182" s="1070"/>
      <c r="P182" s="1070"/>
      <c r="Q182" s="1070"/>
      <c r="R182" s="1070"/>
      <c r="S182" s="1070"/>
      <c r="T182" s="1070"/>
      <c r="U182" s="1070"/>
      <c r="V182" s="1070"/>
      <c r="W182" s="1070"/>
      <c r="X182" s="1070"/>
      <c r="Y182" s="1070"/>
      <c r="Z182" s="1070"/>
      <c r="AA182" s="1070"/>
      <c r="AB182" s="1070"/>
      <c r="AC182" s="1070"/>
      <c r="AD182" s="1070"/>
      <c r="AE182" s="1070"/>
      <c r="AF182" s="1070"/>
      <c r="AG182" s="1070"/>
      <c r="AH182" s="1070"/>
      <c r="AI182" s="1070"/>
      <c r="AJ182" s="1070"/>
      <c r="AK182" s="1070"/>
      <c r="AL182" s="1070"/>
      <c r="AM182" s="1070"/>
      <c r="AN182" s="1070"/>
      <c r="AO182" s="1070"/>
      <c r="AP182" s="1070"/>
      <c r="AQ182" s="1070"/>
      <c r="AR182" s="1070"/>
      <c r="AS182" s="1070"/>
      <c r="AT182" s="1070"/>
      <c r="AU182" s="1070"/>
      <c r="AV182" s="1070"/>
      <c r="AW182" s="1070"/>
      <c r="AX182" s="1070"/>
      <c r="AY182" s="1070"/>
      <c r="AZ182" s="1070"/>
      <c r="BA182" s="1070"/>
      <c r="BB182" s="1070"/>
      <c r="BC182" s="1070"/>
      <c r="BD182" s="1070"/>
      <c r="BE182" s="1070"/>
      <c r="BF182" s="1070"/>
      <c r="BG182" s="1070"/>
      <c r="BH182" s="1070"/>
      <c r="BI182" s="1070"/>
      <c r="BJ182" s="1070"/>
      <c r="BK182" s="1070"/>
      <c r="BL182" s="1070"/>
      <c r="BM182" s="1070"/>
      <c r="BN182" s="1070"/>
      <c r="BO182" s="1070"/>
      <c r="BP182" s="1070"/>
      <c r="BQ182" s="1070"/>
      <c r="BR182" s="1070"/>
      <c r="BS182" s="1070"/>
      <c r="BT182" s="1070"/>
      <c r="BU182" s="1070"/>
      <c r="BV182" s="1070"/>
      <c r="BW182" s="1070"/>
      <c r="BX182" s="1070"/>
      <c r="BY182" s="1070"/>
      <c r="BZ182" s="1070"/>
      <c r="CA182" s="1070"/>
      <c r="CB182" s="1070"/>
      <c r="CC182" s="1070"/>
      <c r="CD182" s="1070"/>
      <c r="CE182" s="1070"/>
      <c r="CF182" s="1070"/>
      <c r="CG182" s="1070"/>
      <c r="CH182" s="1070"/>
      <c r="CI182" s="1070"/>
      <c r="CJ182" s="1070"/>
      <c r="CK182" s="1070"/>
      <c r="CL182" s="1070"/>
      <c r="CM182" s="1070"/>
      <c r="CN182" s="1070"/>
      <c r="CO182" s="1070"/>
      <c r="CP182" s="1070"/>
      <c r="CQ182" s="1070"/>
      <c r="CR182" s="1070"/>
      <c r="CS182" s="1070"/>
      <c r="CT182" s="1070"/>
      <c r="CU182" s="1070"/>
      <c r="CV182" s="1070"/>
      <c r="CW182" s="1070"/>
      <c r="CX182" s="1070"/>
      <c r="CY182" s="1070"/>
      <c r="CZ182" s="1070"/>
      <c r="DA182" s="1070"/>
      <c r="DB182" s="1070"/>
      <c r="DC182" s="1070"/>
      <c r="DD182" s="1070"/>
      <c r="DE182" s="1070"/>
      <c r="DF182" s="1070"/>
      <c r="DG182" s="1070"/>
      <c r="DH182" s="1070"/>
      <c r="DI182" s="1070"/>
      <c r="DJ182" s="1070"/>
    </row>
    <row r="183" spans="1:114" s="1136" customFormat="1" ht="18" customHeight="1" x14ac:dyDescent="0.25">
      <c r="A183" s="875" t="s">
        <v>5049</v>
      </c>
      <c r="B183" s="1358">
        <f>ком!G228</f>
        <v>20</v>
      </c>
      <c r="I183" s="1070"/>
      <c r="J183" s="1315"/>
      <c r="K183" s="1316"/>
      <c r="L183" s="1316"/>
      <c r="M183" s="1315"/>
      <c r="N183" s="1070"/>
      <c r="O183" s="1070"/>
      <c r="P183" s="1070"/>
      <c r="Q183" s="1070"/>
      <c r="R183" s="1070"/>
      <c r="S183" s="1070"/>
      <c r="T183" s="1070"/>
      <c r="U183" s="1070"/>
      <c r="V183" s="1070"/>
      <c r="W183" s="1070"/>
      <c r="X183" s="1070"/>
      <c r="Y183" s="1070"/>
      <c r="Z183" s="1070"/>
      <c r="AA183" s="1070"/>
      <c r="AB183" s="1070"/>
      <c r="AC183" s="1070"/>
      <c r="AD183" s="1070"/>
      <c r="AE183" s="1070"/>
      <c r="AF183" s="1070"/>
      <c r="AG183" s="1070"/>
      <c r="AH183" s="1070"/>
      <c r="AI183" s="1070"/>
      <c r="AJ183" s="1070"/>
      <c r="AK183" s="1070"/>
      <c r="AL183" s="1070"/>
      <c r="AM183" s="1070"/>
      <c r="AN183" s="1070"/>
      <c r="AO183" s="1070"/>
      <c r="AP183" s="1070"/>
      <c r="AQ183" s="1070"/>
      <c r="AR183" s="1070"/>
      <c r="AS183" s="1070"/>
      <c r="AT183" s="1070"/>
      <c r="AU183" s="1070"/>
      <c r="AV183" s="1070"/>
      <c r="AW183" s="1070"/>
      <c r="AX183" s="1070"/>
      <c r="AY183" s="1070"/>
      <c r="AZ183" s="1070"/>
      <c r="BA183" s="1070"/>
      <c r="BB183" s="1070"/>
      <c r="BC183" s="1070"/>
      <c r="BD183" s="1070"/>
      <c r="BE183" s="1070"/>
      <c r="BF183" s="1070"/>
      <c r="BG183" s="1070"/>
      <c r="BH183" s="1070"/>
      <c r="BI183" s="1070"/>
      <c r="BJ183" s="1070"/>
      <c r="BK183" s="1070"/>
      <c r="BL183" s="1070"/>
      <c r="BM183" s="1070"/>
      <c r="BN183" s="1070"/>
      <c r="BO183" s="1070"/>
      <c r="BP183" s="1070"/>
      <c r="BQ183" s="1070"/>
      <c r="BR183" s="1070"/>
      <c r="BS183" s="1070"/>
      <c r="BT183" s="1070"/>
      <c r="BU183" s="1070"/>
      <c r="BV183" s="1070"/>
      <c r="BW183" s="1070"/>
      <c r="BX183" s="1070"/>
      <c r="BY183" s="1070"/>
      <c r="BZ183" s="1070"/>
      <c r="CA183" s="1070"/>
      <c r="CB183" s="1070"/>
      <c r="CC183" s="1070"/>
      <c r="CD183" s="1070"/>
      <c r="CE183" s="1070"/>
      <c r="CF183" s="1070"/>
      <c r="CG183" s="1070"/>
      <c r="CH183" s="1070"/>
      <c r="CI183" s="1070"/>
      <c r="CJ183" s="1070"/>
      <c r="CK183" s="1070"/>
      <c r="CL183" s="1070"/>
      <c r="CM183" s="1070"/>
      <c r="CN183" s="1070"/>
      <c r="CO183" s="1070"/>
      <c r="CP183" s="1070"/>
      <c r="CQ183" s="1070"/>
      <c r="CR183" s="1070"/>
      <c r="CS183" s="1070"/>
      <c r="CT183" s="1070"/>
      <c r="CU183" s="1070"/>
      <c r="CV183" s="1070"/>
      <c r="CW183" s="1070"/>
      <c r="CX183" s="1070"/>
      <c r="CY183" s="1070"/>
      <c r="CZ183" s="1070"/>
      <c r="DA183" s="1070"/>
      <c r="DB183" s="1070"/>
      <c r="DC183" s="1070"/>
      <c r="DD183" s="1070"/>
      <c r="DE183" s="1070"/>
      <c r="DF183" s="1070"/>
      <c r="DG183" s="1070"/>
      <c r="DH183" s="1070"/>
      <c r="DI183" s="1070"/>
      <c r="DJ183" s="1070"/>
    </row>
    <row r="184" spans="1:114" s="1136" customFormat="1" ht="18" customHeight="1" x14ac:dyDescent="0.25">
      <c r="A184" s="1929" t="s">
        <v>5050</v>
      </c>
      <c r="B184" s="1358">
        <f>ком!G229</f>
        <v>20</v>
      </c>
      <c r="I184" s="1070"/>
      <c r="J184" s="1315"/>
      <c r="K184" s="1316"/>
      <c r="L184" s="1316"/>
      <c r="M184" s="1315"/>
      <c r="N184" s="1070"/>
      <c r="O184" s="1070"/>
      <c r="P184" s="1070"/>
      <c r="Q184" s="1070"/>
      <c r="R184" s="1070"/>
      <c r="S184" s="1070"/>
      <c r="T184" s="1070"/>
      <c r="U184" s="1070"/>
      <c r="V184" s="1070"/>
      <c r="W184" s="1070"/>
      <c r="X184" s="1070"/>
      <c r="Y184" s="1070"/>
      <c r="Z184" s="1070"/>
      <c r="AA184" s="1070"/>
      <c r="AB184" s="1070"/>
      <c r="AC184" s="1070"/>
      <c r="AD184" s="1070"/>
      <c r="AE184" s="1070"/>
      <c r="AF184" s="1070"/>
      <c r="AG184" s="1070"/>
      <c r="AH184" s="1070"/>
      <c r="AI184" s="1070"/>
      <c r="AJ184" s="1070"/>
      <c r="AK184" s="1070"/>
      <c r="AL184" s="1070"/>
      <c r="AM184" s="1070"/>
      <c r="AN184" s="1070"/>
      <c r="AO184" s="1070"/>
      <c r="AP184" s="1070"/>
      <c r="AQ184" s="1070"/>
      <c r="AR184" s="1070"/>
      <c r="AS184" s="1070"/>
      <c r="AT184" s="1070"/>
      <c r="AU184" s="1070"/>
      <c r="AV184" s="1070"/>
      <c r="AW184" s="1070"/>
      <c r="AX184" s="1070"/>
      <c r="AY184" s="1070"/>
      <c r="AZ184" s="1070"/>
      <c r="BA184" s="1070"/>
      <c r="BB184" s="1070"/>
      <c r="BC184" s="1070"/>
      <c r="BD184" s="1070"/>
      <c r="BE184" s="1070"/>
      <c r="BF184" s="1070"/>
      <c r="BG184" s="1070"/>
      <c r="BH184" s="1070"/>
      <c r="BI184" s="1070"/>
      <c r="BJ184" s="1070"/>
      <c r="BK184" s="1070"/>
      <c r="BL184" s="1070"/>
      <c r="BM184" s="1070"/>
      <c r="BN184" s="1070"/>
      <c r="BO184" s="1070"/>
      <c r="BP184" s="1070"/>
      <c r="BQ184" s="1070"/>
      <c r="BR184" s="1070"/>
      <c r="BS184" s="1070"/>
      <c r="BT184" s="1070"/>
      <c r="BU184" s="1070"/>
      <c r="BV184" s="1070"/>
      <c r="BW184" s="1070"/>
      <c r="BX184" s="1070"/>
      <c r="BY184" s="1070"/>
      <c r="BZ184" s="1070"/>
      <c r="CA184" s="1070"/>
      <c r="CB184" s="1070"/>
      <c r="CC184" s="1070"/>
      <c r="CD184" s="1070"/>
      <c r="CE184" s="1070"/>
      <c r="CF184" s="1070"/>
      <c r="CG184" s="1070"/>
      <c r="CH184" s="1070"/>
      <c r="CI184" s="1070"/>
      <c r="CJ184" s="1070"/>
      <c r="CK184" s="1070"/>
      <c r="CL184" s="1070"/>
      <c r="CM184" s="1070"/>
      <c r="CN184" s="1070"/>
      <c r="CO184" s="1070"/>
      <c r="CP184" s="1070"/>
      <c r="CQ184" s="1070"/>
      <c r="CR184" s="1070"/>
      <c r="CS184" s="1070"/>
      <c r="CT184" s="1070"/>
      <c r="CU184" s="1070"/>
      <c r="CV184" s="1070"/>
      <c r="CW184" s="1070"/>
      <c r="CX184" s="1070"/>
      <c r="CY184" s="1070"/>
      <c r="CZ184" s="1070"/>
      <c r="DA184" s="1070"/>
      <c r="DB184" s="1070"/>
      <c r="DC184" s="1070"/>
      <c r="DD184" s="1070"/>
      <c r="DE184" s="1070"/>
      <c r="DF184" s="1070"/>
      <c r="DG184" s="1070"/>
      <c r="DH184" s="1070"/>
      <c r="DI184" s="1070"/>
      <c r="DJ184" s="1070"/>
    </row>
    <row r="185" spans="1:114" s="1136" customFormat="1" ht="18" customHeight="1" x14ac:dyDescent="0.25">
      <c r="A185" s="875" t="s">
        <v>2942</v>
      </c>
      <c r="B185" s="1358">
        <f>ком!G55</f>
        <v>0.98</v>
      </c>
      <c r="D185" s="1070"/>
      <c r="I185" s="1070"/>
      <c r="J185" s="1315"/>
      <c r="K185" s="1316"/>
      <c r="L185" s="1316"/>
      <c r="M185" s="1315"/>
      <c r="N185" s="1070"/>
      <c r="O185" s="1070"/>
      <c r="P185" s="1070"/>
      <c r="Q185" s="1070"/>
      <c r="R185" s="1070"/>
      <c r="S185" s="1070"/>
      <c r="T185" s="1070"/>
      <c r="U185" s="1070"/>
      <c r="V185" s="1070"/>
      <c r="W185" s="1070"/>
      <c r="X185" s="1070"/>
      <c r="Y185" s="1070"/>
      <c r="Z185" s="1070"/>
      <c r="AA185" s="1070"/>
      <c r="AB185" s="1070"/>
      <c r="AC185" s="1070"/>
      <c r="AD185" s="1070"/>
      <c r="AE185" s="1070"/>
      <c r="AF185" s="1070"/>
      <c r="AG185" s="1070"/>
      <c r="AH185" s="1070"/>
      <c r="AI185" s="1070"/>
      <c r="AJ185" s="1070"/>
      <c r="AK185" s="1070"/>
      <c r="AL185" s="1070"/>
      <c r="AM185" s="1070"/>
      <c r="AN185" s="1070"/>
      <c r="AO185" s="1070"/>
      <c r="AP185" s="1070"/>
      <c r="AQ185" s="1070"/>
      <c r="AR185" s="1070"/>
      <c r="AS185" s="1070"/>
      <c r="AT185" s="1070"/>
      <c r="AU185" s="1070"/>
      <c r="AV185" s="1070"/>
      <c r="AW185" s="1070"/>
      <c r="AX185" s="1070"/>
      <c r="AY185" s="1070"/>
      <c r="AZ185" s="1070"/>
      <c r="BA185" s="1070"/>
      <c r="BB185" s="1070"/>
      <c r="BC185" s="1070"/>
      <c r="BD185" s="1070"/>
      <c r="BE185" s="1070"/>
      <c r="BF185" s="1070"/>
      <c r="BG185" s="1070"/>
      <c r="BH185" s="1070"/>
      <c r="BI185" s="1070"/>
      <c r="BJ185" s="1070"/>
      <c r="BK185" s="1070"/>
      <c r="BL185" s="1070"/>
      <c r="BM185" s="1070"/>
      <c r="BN185" s="1070"/>
      <c r="BO185" s="1070"/>
      <c r="BP185" s="1070"/>
      <c r="BQ185" s="1070"/>
      <c r="BR185" s="1070"/>
      <c r="BS185" s="1070"/>
      <c r="BT185" s="1070"/>
      <c r="BU185" s="1070"/>
      <c r="BV185" s="1070"/>
      <c r="BW185" s="1070"/>
      <c r="BX185" s="1070"/>
      <c r="BY185" s="1070"/>
      <c r="BZ185" s="1070"/>
      <c r="CA185" s="1070"/>
      <c r="CB185" s="1070"/>
      <c r="CC185" s="1070"/>
      <c r="CD185" s="1070"/>
      <c r="CE185" s="1070"/>
      <c r="CF185" s="1070"/>
      <c r="CG185" s="1070"/>
      <c r="CH185" s="1070"/>
      <c r="CI185" s="1070"/>
      <c r="CJ185" s="1070"/>
      <c r="CK185" s="1070"/>
      <c r="CL185" s="1070"/>
      <c r="CM185" s="1070"/>
      <c r="CN185" s="1070"/>
      <c r="CO185" s="1070"/>
      <c r="CP185" s="1070"/>
      <c r="CQ185" s="1070"/>
      <c r="CR185" s="1070"/>
      <c r="CS185" s="1070"/>
      <c r="CT185" s="1070"/>
      <c r="CU185" s="1070"/>
      <c r="CV185" s="1070"/>
      <c r="CW185" s="1070"/>
      <c r="CX185" s="1070"/>
      <c r="CY185" s="1070"/>
      <c r="CZ185" s="1070"/>
      <c r="DA185" s="1070"/>
      <c r="DB185" s="1070"/>
      <c r="DC185" s="1070"/>
      <c r="DD185" s="1070"/>
      <c r="DE185" s="1070"/>
      <c r="DF185" s="1070"/>
      <c r="DG185" s="1070"/>
      <c r="DH185" s="1070"/>
      <c r="DI185" s="1070"/>
      <c r="DJ185" s="1070"/>
    </row>
    <row r="186" spans="1:114" s="1136" customFormat="1" ht="37.5" customHeight="1" x14ac:dyDescent="0.25">
      <c r="A186" s="875" t="s">
        <v>5051</v>
      </c>
      <c r="B186" s="1358">
        <f>IF(B188&gt;1,1,IF(B173&gt;1.2,1,2))</f>
        <v>1</v>
      </c>
      <c r="C186" s="1070"/>
      <c r="D186" s="1070"/>
      <c r="E186" s="1070"/>
      <c r="F186" s="1070"/>
      <c r="I186" s="1070"/>
      <c r="J186" s="1315"/>
      <c r="K186" s="1316"/>
      <c r="L186" s="1316"/>
      <c r="M186" s="1315"/>
      <c r="N186" s="1070"/>
      <c r="O186" s="1070"/>
      <c r="P186" s="1070"/>
      <c r="Q186" s="1070"/>
      <c r="R186" s="1070"/>
      <c r="S186" s="1070"/>
      <c r="T186" s="1070"/>
      <c r="U186" s="1070"/>
      <c r="V186" s="1070"/>
      <c r="W186" s="1070"/>
      <c r="X186" s="1070"/>
      <c r="Y186" s="1070"/>
      <c r="Z186" s="1070"/>
      <c r="AA186" s="1070"/>
      <c r="AB186" s="1070"/>
      <c r="AC186" s="1070"/>
      <c r="AD186" s="1070"/>
      <c r="AE186" s="1070"/>
      <c r="AF186" s="1070"/>
      <c r="AG186" s="1070"/>
      <c r="AH186" s="1070"/>
      <c r="AI186" s="1070"/>
      <c r="AJ186" s="1070"/>
      <c r="AK186" s="1070"/>
      <c r="AL186" s="1070"/>
      <c r="AM186" s="1070"/>
      <c r="AN186" s="1070"/>
      <c r="AO186" s="1070"/>
      <c r="AP186" s="1070"/>
      <c r="AQ186" s="1070"/>
      <c r="AR186" s="1070"/>
      <c r="AS186" s="1070"/>
      <c r="AT186" s="1070"/>
      <c r="AU186" s="1070"/>
      <c r="AV186" s="1070"/>
      <c r="AW186" s="1070"/>
      <c r="AX186" s="1070"/>
      <c r="AY186" s="1070"/>
      <c r="AZ186" s="1070"/>
      <c r="BA186" s="1070"/>
      <c r="BB186" s="1070"/>
      <c r="BC186" s="1070"/>
      <c r="BD186" s="1070"/>
      <c r="BE186" s="1070"/>
      <c r="BF186" s="1070"/>
      <c r="BG186" s="1070"/>
      <c r="BH186" s="1070"/>
      <c r="BI186" s="1070"/>
      <c r="BJ186" s="1070"/>
      <c r="BK186" s="1070"/>
      <c r="BL186" s="1070"/>
      <c r="BM186" s="1070"/>
      <c r="BN186" s="1070"/>
      <c r="BO186" s="1070"/>
      <c r="BP186" s="1070"/>
      <c r="BQ186" s="1070"/>
      <c r="BR186" s="1070"/>
      <c r="BS186" s="1070"/>
      <c r="BT186" s="1070"/>
      <c r="BU186" s="1070"/>
      <c r="BV186" s="1070"/>
      <c r="BW186" s="1070"/>
      <c r="BX186" s="1070"/>
      <c r="BY186" s="1070"/>
      <c r="BZ186" s="1070"/>
      <c r="CA186" s="1070"/>
      <c r="CB186" s="1070"/>
      <c r="CC186" s="1070"/>
      <c r="CD186" s="1070"/>
      <c r="CE186" s="1070"/>
      <c r="CF186" s="1070"/>
      <c r="CG186" s="1070"/>
      <c r="CH186" s="1070"/>
      <c r="CI186" s="1070"/>
      <c r="CJ186" s="1070"/>
      <c r="CK186" s="1070"/>
      <c r="CL186" s="1070"/>
      <c r="CM186" s="1070"/>
      <c r="CN186" s="1070"/>
      <c r="CO186" s="1070"/>
      <c r="CP186" s="1070"/>
      <c r="CQ186" s="1070"/>
      <c r="CR186" s="1070"/>
      <c r="CS186" s="1070"/>
      <c r="CT186" s="1070"/>
      <c r="CU186" s="1070"/>
      <c r="CV186" s="1070"/>
      <c r="CW186" s="1070"/>
      <c r="CX186" s="1070"/>
      <c r="CY186" s="1070"/>
      <c r="CZ186" s="1070"/>
      <c r="DA186" s="1070"/>
      <c r="DB186" s="1070"/>
      <c r="DC186" s="1070"/>
      <c r="DD186" s="1070"/>
      <c r="DE186" s="1070"/>
      <c r="DF186" s="1070"/>
      <c r="DG186" s="1070"/>
      <c r="DH186" s="1070"/>
      <c r="DI186" s="1070"/>
      <c r="DJ186" s="1070"/>
    </row>
    <row r="187" spans="1:114" s="1136" customFormat="1" ht="70.5" customHeight="1" x14ac:dyDescent="0.25">
      <c r="A187" s="875" t="s">
        <v>2943</v>
      </c>
      <c r="B187" s="1358" t="str">
        <f>kursovoy!B221</f>
        <v/>
      </c>
      <c r="I187" s="1070"/>
      <c r="J187" s="1315"/>
      <c r="K187" s="1316"/>
      <c r="L187" s="1316"/>
      <c r="M187" s="1315"/>
      <c r="N187" s="1070"/>
      <c r="O187" s="1070"/>
      <c r="P187" s="1070"/>
      <c r="Q187" s="1070"/>
      <c r="R187" s="1070"/>
      <c r="S187" s="1070"/>
      <c r="T187" s="1070"/>
      <c r="U187" s="1070"/>
      <c r="V187" s="1070"/>
      <c r="W187" s="1070"/>
      <c r="X187" s="1070"/>
      <c r="Y187" s="1070"/>
      <c r="Z187" s="1070"/>
      <c r="AA187" s="1070"/>
      <c r="AB187" s="1070"/>
      <c r="AC187" s="1070"/>
      <c r="AD187" s="1070"/>
      <c r="AE187" s="1070"/>
      <c r="AF187" s="1070"/>
      <c r="AG187" s="1070"/>
      <c r="AH187" s="1070"/>
      <c r="AI187" s="1070"/>
      <c r="AJ187" s="1070"/>
      <c r="AK187" s="1070"/>
      <c r="AL187" s="1070"/>
      <c r="AM187" s="1070"/>
      <c r="AN187" s="1070"/>
      <c r="AO187" s="1070"/>
      <c r="AP187" s="1070"/>
      <c r="AQ187" s="1070"/>
      <c r="AR187" s="1070"/>
      <c r="AS187" s="1070"/>
      <c r="AT187" s="1070"/>
      <c r="AU187" s="1070"/>
      <c r="AV187" s="1070"/>
      <c r="AW187" s="1070"/>
      <c r="AX187" s="1070"/>
      <c r="AY187" s="1070"/>
      <c r="AZ187" s="1070"/>
      <c r="BA187" s="1070"/>
      <c r="BB187" s="1070"/>
      <c r="BC187" s="1070"/>
      <c r="BD187" s="1070"/>
      <c r="BE187" s="1070"/>
      <c r="BF187" s="1070"/>
      <c r="BG187" s="1070"/>
      <c r="BH187" s="1070"/>
      <c r="BI187" s="1070"/>
      <c r="BJ187" s="1070"/>
      <c r="BK187" s="1070"/>
      <c r="BL187" s="1070"/>
      <c r="BM187" s="1070"/>
      <c r="BN187" s="1070"/>
      <c r="BO187" s="1070"/>
      <c r="BP187" s="1070"/>
      <c r="BQ187" s="1070"/>
      <c r="BR187" s="1070"/>
      <c r="BS187" s="1070"/>
      <c r="BT187" s="1070"/>
      <c r="BU187" s="1070"/>
      <c r="BV187" s="1070"/>
      <c r="BW187" s="1070"/>
      <c r="BX187" s="1070"/>
      <c r="BY187" s="1070"/>
      <c r="BZ187" s="1070"/>
      <c r="CA187" s="1070"/>
      <c r="CB187" s="1070"/>
      <c r="CC187" s="1070"/>
      <c r="CD187" s="1070"/>
      <c r="CE187" s="1070"/>
      <c r="CF187" s="1070"/>
      <c r="CG187" s="1070"/>
      <c r="CH187" s="1070"/>
      <c r="CI187" s="1070"/>
      <c r="CJ187" s="1070"/>
      <c r="CK187" s="1070"/>
      <c r="CL187" s="1070"/>
      <c r="CM187" s="1070"/>
      <c r="CN187" s="1070"/>
      <c r="CO187" s="1070"/>
      <c r="CP187" s="1070"/>
      <c r="CQ187" s="1070"/>
      <c r="CR187" s="1070"/>
      <c r="CS187" s="1070"/>
      <c r="CT187" s="1070"/>
      <c r="CU187" s="1070"/>
      <c r="CV187" s="1070"/>
      <c r="CW187" s="1070"/>
      <c r="CX187" s="1070"/>
      <c r="CY187" s="1070"/>
      <c r="CZ187" s="1070"/>
      <c r="DA187" s="1070"/>
      <c r="DB187" s="1070"/>
      <c r="DC187" s="1070"/>
      <c r="DD187" s="1070"/>
      <c r="DE187" s="1070"/>
      <c r="DF187" s="1070"/>
      <c r="DG187" s="1070"/>
      <c r="DH187" s="1070"/>
      <c r="DI187" s="1070"/>
      <c r="DJ187" s="1070"/>
    </row>
    <row r="188" spans="1:114" s="1136" customFormat="1" ht="81.75" customHeight="1" x14ac:dyDescent="0.25">
      <c r="A188" s="875" t="s">
        <v>3161</v>
      </c>
      <c r="B188" s="1358">
        <f>IF(kursovoy!B216=1,3,1)</f>
        <v>1</v>
      </c>
      <c r="I188" s="1070"/>
      <c r="J188" s="1315"/>
      <c r="K188" s="1316"/>
      <c r="L188" s="1316"/>
      <c r="M188" s="1315"/>
      <c r="N188" s="1070"/>
      <c r="O188" s="1070"/>
      <c r="P188" s="1070"/>
      <c r="Q188" s="1070"/>
      <c r="R188" s="1070"/>
      <c r="S188" s="1070"/>
      <c r="T188" s="1070"/>
      <c r="U188" s="1070"/>
      <c r="V188" s="1070"/>
      <c r="W188" s="1070"/>
      <c r="X188" s="1070"/>
      <c r="Y188" s="1070"/>
      <c r="Z188" s="1070"/>
      <c r="AA188" s="1070"/>
      <c r="AB188" s="1070"/>
      <c r="AC188" s="1070"/>
      <c r="AD188" s="1070"/>
      <c r="AE188" s="1070"/>
      <c r="AF188" s="1070"/>
      <c r="AG188" s="1070"/>
      <c r="AH188" s="1070"/>
      <c r="AI188" s="1070"/>
      <c r="AJ188" s="1070"/>
      <c r="AK188" s="1070"/>
      <c r="AL188" s="1070"/>
      <c r="AM188" s="1070"/>
      <c r="AN188" s="1070"/>
      <c r="AO188" s="1070"/>
      <c r="AP188" s="1070"/>
      <c r="AQ188" s="1070"/>
      <c r="AR188" s="1070"/>
      <c r="AS188" s="1070"/>
      <c r="AT188" s="1070"/>
      <c r="AU188" s="1070"/>
      <c r="AV188" s="1070"/>
      <c r="AW188" s="1070"/>
      <c r="AX188" s="1070"/>
      <c r="AY188" s="1070"/>
      <c r="AZ188" s="1070"/>
      <c r="BA188" s="1070"/>
      <c r="BB188" s="1070"/>
      <c r="BC188" s="1070"/>
      <c r="BD188" s="1070"/>
      <c r="BE188" s="1070"/>
      <c r="BF188" s="1070"/>
      <c r="BG188" s="1070"/>
      <c r="BH188" s="1070"/>
      <c r="BI188" s="1070"/>
      <c r="BJ188" s="1070"/>
      <c r="BK188" s="1070"/>
      <c r="BL188" s="1070"/>
      <c r="BM188" s="1070"/>
      <c r="BN188" s="1070"/>
      <c r="BO188" s="1070"/>
      <c r="BP188" s="1070"/>
      <c r="BQ188" s="1070"/>
      <c r="BR188" s="1070"/>
      <c r="BS188" s="1070"/>
      <c r="BT188" s="1070"/>
      <c r="BU188" s="1070"/>
      <c r="BV188" s="1070"/>
      <c r="BW188" s="1070"/>
      <c r="BX188" s="1070"/>
      <c r="BY188" s="1070"/>
      <c r="BZ188" s="1070"/>
      <c r="CA188" s="1070"/>
      <c r="CB188" s="1070"/>
      <c r="CC188" s="1070"/>
      <c r="CD188" s="1070"/>
      <c r="CE188" s="1070"/>
      <c r="CF188" s="1070"/>
      <c r="CG188" s="1070"/>
      <c r="CH188" s="1070"/>
      <c r="CI188" s="1070"/>
      <c r="CJ188" s="1070"/>
      <c r="CK188" s="1070"/>
      <c r="CL188" s="1070"/>
      <c r="CM188" s="1070"/>
      <c r="CN188" s="1070"/>
      <c r="CO188" s="1070"/>
      <c r="CP188" s="1070"/>
      <c r="CQ188" s="1070"/>
      <c r="CR188" s="1070"/>
      <c r="CS188" s="1070"/>
      <c r="CT188" s="1070"/>
      <c r="CU188" s="1070"/>
      <c r="CV188" s="1070"/>
      <c r="CW188" s="1070"/>
      <c r="CX188" s="1070"/>
      <c r="CY188" s="1070"/>
      <c r="CZ188" s="1070"/>
      <c r="DA188" s="1070"/>
      <c r="DB188" s="1070"/>
      <c r="DC188" s="1070"/>
      <c r="DD188" s="1070"/>
      <c r="DE188" s="1070"/>
      <c r="DF188" s="1070"/>
      <c r="DG188" s="1070"/>
      <c r="DH188" s="1070"/>
      <c r="DI188" s="1070"/>
      <c r="DJ188" s="1070"/>
    </row>
    <row r="189" spans="1:114" s="1136" customFormat="1" ht="14.25" customHeight="1" x14ac:dyDescent="0.25">
      <c r="A189" s="875" t="s">
        <v>3162</v>
      </c>
      <c r="B189" s="1358" t="e">
        <f>kursovoy!B2305</f>
        <v>#VALUE!</v>
      </c>
      <c r="I189" s="1070"/>
      <c r="J189" s="1315"/>
      <c r="K189" s="1316"/>
      <c r="L189" s="1316"/>
      <c r="M189" s="1315"/>
      <c r="N189" s="1070"/>
      <c r="O189" s="1070"/>
      <c r="P189" s="1070"/>
      <c r="Q189" s="1070"/>
      <c r="R189" s="1070"/>
      <c r="S189" s="1070"/>
      <c r="T189" s="1070"/>
      <c r="U189" s="1070"/>
      <c r="V189" s="1070"/>
      <c r="W189" s="1070"/>
      <c r="X189" s="1070"/>
      <c r="Y189" s="1070"/>
      <c r="Z189" s="1070"/>
      <c r="AA189" s="1070"/>
      <c r="AB189" s="1070"/>
      <c r="AC189" s="1070"/>
      <c r="AD189" s="1070"/>
      <c r="AE189" s="1070"/>
      <c r="AF189" s="1070"/>
      <c r="AG189" s="1070"/>
      <c r="AH189" s="1070"/>
      <c r="AI189" s="1070"/>
      <c r="AJ189" s="1070"/>
      <c r="AK189" s="1070"/>
      <c r="AL189" s="1070"/>
      <c r="AM189" s="1070"/>
      <c r="AN189" s="1070"/>
      <c r="AO189" s="1070"/>
      <c r="AP189" s="1070"/>
      <c r="AQ189" s="1070"/>
      <c r="AR189" s="1070"/>
      <c r="AS189" s="1070"/>
      <c r="AT189" s="1070"/>
      <c r="AU189" s="1070"/>
      <c r="AV189" s="1070"/>
      <c r="AW189" s="1070"/>
      <c r="AX189" s="1070"/>
      <c r="AY189" s="1070"/>
      <c r="AZ189" s="1070"/>
      <c r="BA189" s="1070"/>
      <c r="BB189" s="1070"/>
      <c r="BC189" s="1070"/>
      <c r="BD189" s="1070"/>
      <c r="BE189" s="1070"/>
      <c r="BF189" s="1070"/>
      <c r="BG189" s="1070"/>
      <c r="BH189" s="1070"/>
      <c r="BI189" s="1070"/>
      <c r="BJ189" s="1070"/>
      <c r="BK189" s="1070"/>
      <c r="BL189" s="1070"/>
      <c r="BM189" s="1070"/>
      <c r="BN189" s="1070"/>
      <c r="BO189" s="1070"/>
      <c r="BP189" s="1070"/>
      <c r="BQ189" s="1070"/>
      <c r="BR189" s="1070"/>
      <c r="BS189" s="1070"/>
      <c r="BT189" s="1070"/>
      <c r="BU189" s="1070"/>
      <c r="BV189" s="1070"/>
      <c r="BW189" s="1070"/>
      <c r="BX189" s="1070"/>
      <c r="BY189" s="1070"/>
      <c r="BZ189" s="1070"/>
      <c r="CA189" s="1070"/>
      <c r="CB189" s="1070"/>
      <c r="CC189" s="1070"/>
      <c r="CD189" s="1070"/>
      <c r="CE189" s="1070"/>
      <c r="CF189" s="1070"/>
      <c r="CG189" s="1070"/>
      <c r="CH189" s="1070"/>
      <c r="CI189" s="1070"/>
      <c r="CJ189" s="1070"/>
      <c r="CK189" s="1070"/>
      <c r="CL189" s="1070"/>
      <c r="CM189" s="1070"/>
      <c r="CN189" s="1070"/>
      <c r="CO189" s="1070"/>
      <c r="CP189" s="1070"/>
      <c r="CQ189" s="1070"/>
      <c r="CR189" s="1070"/>
      <c r="CS189" s="1070"/>
      <c r="CT189" s="1070"/>
      <c r="CU189" s="1070"/>
      <c r="CV189" s="1070"/>
      <c r="CW189" s="1070"/>
      <c r="CX189" s="1070"/>
      <c r="CY189" s="1070"/>
      <c r="CZ189" s="1070"/>
      <c r="DA189" s="1070"/>
      <c r="DB189" s="1070"/>
      <c r="DC189" s="1070"/>
      <c r="DD189" s="1070"/>
      <c r="DE189" s="1070"/>
      <c r="DF189" s="1070"/>
      <c r="DG189" s="1070"/>
      <c r="DH189" s="1070"/>
      <c r="DI189" s="1070"/>
      <c r="DJ189" s="1070"/>
    </row>
    <row r="190" spans="1:114" s="1136" customFormat="1" ht="33" customHeight="1" x14ac:dyDescent="0.25">
      <c r="A190" s="1367" t="s">
        <v>1027</v>
      </c>
      <c r="B190" s="1326">
        <v>0</v>
      </c>
      <c r="I190" s="1070"/>
      <c r="J190" s="1315"/>
      <c r="K190" s="1316"/>
      <c r="L190" s="1316"/>
      <c r="M190" s="1315"/>
      <c r="N190" s="1070"/>
      <c r="O190" s="1070"/>
      <c r="P190" s="1070"/>
      <c r="Q190" s="1070"/>
      <c r="R190" s="1070"/>
      <c r="S190" s="1070"/>
      <c r="T190" s="1070"/>
      <c r="U190" s="1070"/>
      <c r="V190" s="1070"/>
      <c r="W190" s="1070"/>
      <c r="X190" s="1070"/>
      <c r="Y190" s="1070"/>
      <c r="Z190" s="1070"/>
      <c r="AA190" s="1070"/>
      <c r="AB190" s="1070"/>
      <c r="AC190" s="1070"/>
      <c r="AD190" s="1070"/>
      <c r="AE190" s="1070"/>
      <c r="AF190" s="1070"/>
      <c r="AG190" s="1070"/>
      <c r="AH190" s="1070"/>
      <c r="AI190" s="1070"/>
      <c r="AJ190" s="1070"/>
      <c r="AK190" s="1070"/>
      <c r="AL190" s="1070"/>
      <c r="AM190" s="1070"/>
      <c r="AN190" s="1070"/>
      <c r="AO190" s="1070"/>
      <c r="AP190" s="1070"/>
      <c r="AQ190" s="1070"/>
      <c r="AR190" s="1070"/>
      <c r="AS190" s="1070"/>
      <c r="AT190" s="1070"/>
      <c r="AU190" s="1070"/>
      <c r="AV190" s="1070"/>
      <c r="AW190" s="1070"/>
      <c r="AX190" s="1070"/>
      <c r="AY190" s="1070"/>
      <c r="AZ190" s="1070"/>
      <c r="BA190" s="1070"/>
      <c r="BB190" s="1070"/>
      <c r="BC190" s="1070"/>
      <c r="BD190" s="1070"/>
      <c r="BE190" s="1070"/>
      <c r="BF190" s="1070"/>
      <c r="BG190" s="1070"/>
      <c r="BH190" s="1070"/>
      <c r="BI190" s="1070"/>
      <c r="BJ190" s="1070"/>
      <c r="BK190" s="1070"/>
      <c r="BL190" s="1070"/>
      <c r="BM190" s="1070"/>
      <c r="BN190" s="1070"/>
      <c r="BO190" s="1070"/>
      <c r="BP190" s="1070"/>
      <c r="BQ190" s="1070"/>
      <c r="BR190" s="1070"/>
      <c r="BS190" s="1070"/>
      <c r="BT190" s="1070"/>
      <c r="BU190" s="1070"/>
      <c r="BV190" s="1070"/>
      <c r="BW190" s="1070"/>
      <c r="BX190" s="1070"/>
      <c r="BY190" s="1070"/>
      <c r="BZ190" s="1070"/>
      <c r="CA190" s="1070"/>
      <c r="CB190" s="1070"/>
      <c r="CC190" s="1070"/>
      <c r="CD190" s="1070"/>
      <c r="CE190" s="1070"/>
      <c r="CF190" s="1070"/>
      <c r="CG190" s="1070"/>
      <c r="CH190" s="1070"/>
      <c r="CI190" s="1070"/>
      <c r="CJ190" s="1070"/>
      <c r="CK190" s="1070"/>
      <c r="CL190" s="1070"/>
      <c r="CM190" s="1070"/>
      <c r="CN190" s="1070"/>
      <c r="CO190" s="1070"/>
      <c r="CP190" s="1070"/>
      <c r="CQ190" s="1070"/>
      <c r="CR190" s="1070"/>
      <c r="CS190" s="1070"/>
      <c r="CT190" s="1070"/>
      <c r="CU190" s="1070"/>
      <c r="CV190" s="1070"/>
      <c r="CW190" s="1070"/>
      <c r="CX190" s="1070"/>
      <c r="CY190" s="1070"/>
      <c r="CZ190" s="1070"/>
      <c r="DA190" s="1070"/>
      <c r="DB190" s="1070"/>
      <c r="DC190" s="1070"/>
      <c r="DD190" s="1070"/>
      <c r="DE190" s="1070"/>
      <c r="DF190" s="1070"/>
      <c r="DG190" s="1070"/>
      <c r="DH190" s="1070"/>
      <c r="DI190" s="1070"/>
      <c r="DJ190" s="1070"/>
    </row>
    <row r="191" spans="1:114" s="1136" customFormat="1" ht="15.75" customHeight="1" x14ac:dyDescent="0.25">
      <c r="A191" s="875" t="s">
        <v>4057</v>
      </c>
      <c r="B191" s="1358">
        <f>IF(kursovoy!B903=1,kursovoy!B405,0)</f>
        <v>0</v>
      </c>
      <c r="I191" s="1070"/>
      <c r="J191" s="1315"/>
      <c r="K191" s="1316"/>
      <c r="L191" s="1316"/>
      <c r="M191" s="1315"/>
      <c r="N191" s="1070"/>
      <c r="O191" s="1070"/>
      <c r="P191" s="1070"/>
      <c r="Q191" s="1070"/>
      <c r="R191" s="1070"/>
      <c r="S191" s="1070"/>
      <c r="T191" s="1070"/>
      <c r="U191" s="1070"/>
      <c r="V191" s="1070"/>
      <c r="W191" s="1070"/>
      <c r="X191" s="1070"/>
      <c r="Y191" s="1070"/>
      <c r="Z191" s="1070"/>
      <c r="AA191" s="1070"/>
      <c r="AB191" s="1070"/>
      <c r="AC191" s="1070"/>
      <c r="AD191" s="1070"/>
      <c r="AE191" s="1070"/>
      <c r="AF191" s="1070"/>
      <c r="AG191" s="1070"/>
      <c r="AH191" s="1070"/>
      <c r="AI191" s="1070"/>
      <c r="AJ191" s="1070"/>
      <c r="AK191" s="1070"/>
      <c r="AL191" s="1070"/>
      <c r="AM191" s="1070"/>
      <c r="AN191" s="1070"/>
      <c r="AO191" s="1070"/>
      <c r="AP191" s="1070"/>
      <c r="AQ191" s="1070"/>
      <c r="AR191" s="1070"/>
      <c r="AS191" s="1070"/>
      <c r="AT191" s="1070"/>
      <c r="AU191" s="1070"/>
      <c r="AV191" s="1070"/>
      <c r="AW191" s="1070"/>
      <c r="AX191" s="1070"/>
      <c r="AY191" s="1070"/>
      <c r="AZ191" s="1070"/>
      <c r="BA191" s="1070"/>
      <c r="BB191" s="1070"/>
      <c r="BC191" s="1070"/>
      <c r="BD191" s="1070"/>
      <c r="BE191" s="1070"/>
      <c r="BF191" s="1070"/>
      <c r="BG191" s="1070"/>
      <c r="BH191" s="1070"/>
      <c r="BI191" s="1070"/>
      <c r="BJ191" s="1070"/>
      <c r="BK191" s="1070"/>
      <c r="BL191" s="1070"/>
      <c r="BM191" s="1070"/>
      <c r="BN191" s="1070"/>
      <c r="BO191" s="1070"/>
      <c r="BP191" s="1070"/>
      <c r="BQ191" s="1070"/>
      <c r="BR191" s="1070"/>
      <c r="BS191" s="1070"/>
      <c r="BT191" s="1070"/>
      <c r="BU191" s="1070"/>
      <c r="BV191" s="1070"/>
      <c r="BW191" s="1070"/>
      <c r="BX191" s="1070"/>
      <c r="BY191" s="1070"/>
      <c r="BZ191" s="1070"/>
      <c r="CA191" s="1070"/>
      <c r="CB191" s="1070"/>
      <c r="CC191" s="1070"/>
      <c r="CD191" s="1070"/>
      <c r="CE191" s="1070"/>
      <c r="CF191" s="1070"/>
      <c r="CG191" s="1070"/>
      <c r="CH191" s="1070"/>
      <c r="CI191" s="1070"/>
      <c r="CJ191" s="1070"/>
      <c r="CK191" s="1070"/>
      <c r="CL191" s="1070"/>
      <c r="CM191" s="1070"/>
      <c r="CN191" s="1070"/>
      <c r="CO191" s="1070"/>
      <c r="CP191" s="1070"/>
      <c r="CQ191" s="1070"/>
      <c r="CR191" s="1070"/>
      <c r="CS191" s="1070"/>
      <c r="CT191" s="1070"/>
      <c r="CU191" s="1070"/>
      <c r="CV191" s="1070"/>
      <c r="CW191" s="1070"/>
      <c r="CX191" s="1070"/>
      <c r="CY191" s="1070"/>
      <c r="CZ191" s="1070"/>
      <c r="DA191" s="1070"/>
      <c r="DB191" s="1070"/>
      <c r="DC191" s="1070"/>
      <c r="DD191" s="1070"/>
      <c r="DE191" s="1070"/>
      <c r="DF191" s="1070"/>
      <c r="DG191" s="1070"/>
      <c r="DH191" s="1070"/>
      <c r="DI191" s="1070"/>
      <c r="DJ191" s="1070"/>
    </row>
    <row r="192" spans="1:114" s="1136" customFormat="1" ht="46.5" customHeight="1" x14ac:dyDescent="0.25">
      <c r="A192" s="875" t="s">
        <v>4237</v>
      </c>
      <c r="B192" s="1358" t="str">
        <f>kursovoy!B228</f>
        <v/>
      </c>
      <c r="I192" s="1070"/>
      <c r="J192" s="1315"/>
      <c r="K192" s="1316"/>
      <c r="L192" s="1316"/>
      <c r="M192" s="1315"/>
      <c r="N192" s="1070"/>
      <c r="O192" s="1070"/>
      <c r="P192" s="1070"/>
      <c r="Q192" s="1070"/>
      <c r="R192" s="1070"/>
      <c r="S192" s="1070"/>
      <c r="T192" s="1070"/>
      <c r="U192" s="1070"/>
      <c r="V192" s="1070"/>
      <c r="W192" s="1070"/>
      <c r="X192" s="1070"/>
      <c r="Y192" s="1070"/>
      <c r="Z192" s="1070"/>
      <c r="AA192" s="1070"/>
      <c r="AB192" s="1070"/>
      <c r="AC192" s="1070"/>
      <c r="AD192" s="1070"/>
      <c r="AE192" s="1070"/>
      <c r="AF192" s="1070"/>
      <c r="AG192" s="1070"/>
      <c r="AH192" s="1070"/>
      <c r="AI192" s="1070"/>
      <c r="AJ192" s="1070"/>
      <c r="AK192" s="1070"/>
      <c r="AL192" s="1070"/>
      <c r="AM192" s="1070"/>
      <c r="AN192" s="1070"/>
      <c r="AO192" s="1070"/>
      <c r="AP192" s="1070"/>
      <c r="AQ192" s="1070"/>
      <c r="AR192" s="1070"/>
      <c r="AS192" s="1070"/>
      <c r="AT192" s="1070"/>
      <c r="AU192" s="1070"/>
      <c r="AV192" s="1070"/>
      <c r="AW192" s="1070"/>
      <c r="AX192" s="1070"/>
      <c r="AY192" s="1070"/>
      <c r="AZ192" s="1070"/>
      <c r="BA192" s="1070"/>
      <c r="BB192" s="1070"/>
      <c r="BC192" s="1070"/>
      <c r="BD192" s="1070"/>
      <c r="BE192" s="1070"/>
      <c r="BF192" s="1070"/>
      <c r="BG192" s="1070"/>
      <c r="BH192" s="1070"/>
      <c r="BI192" s="1070"/>
      <c r="BJ192" s="1070"/>
      <c r="BK192" s="1070"/>
      <c r="BL192" s="1070"/>
      <c r="BM192" s="1070"/>
      <c r="BN192" s="1070"/>
      <c r="BO192" s="1070"/>
      <c r="BP192" s="1070"/>
      <c r="BQ192" s="1070"/>
      <c r="BR192" s="1070"/>
      <c r="BS192" s="1070"/>
      <c r="BT192" s="1070"/>
      <c r="BU192" s="1070"/>
      <c r="BV192" s="1070"/>
      <c r="BW192" s="1070"/>
      <c r="BX192" s="1070"/>
      <c r="BY192" s="1070"/>
      <c r="BZ192" s="1070"/>
      <c r="CA192" s="1070"/>
      <c r="CB192" s="1070"/>
      <c r="CC192" s="1070"/>
      <c r="CD192" s="1070"/>
      <c r="CE192" s="1070"/>
      <c r="CF192" s="1070"/>
      <c r="CG192" s="1070"/>
      <c r="CH192" s="1070"/>
      <c r="CI192" s="1070"/>
      <c r="CJ192" s="1070"/>
      <c r="CK192" s="1070"/>
      <c r="CL192" s="1070"/>
      <c r="CM192" s="1070"/>
      <c r="CN192" s="1070"/>
      <c r="CO192" s="1070"/>
      <c r="CP192" s="1070"/>
      <c r="CQ192" s="1070"/>
      <c r="CR192" s="1070"/>
      <c r="CS192" s="1070"/>
      <c r="CT192" s="1070"/>
      <c r="CU192" s="1070"/>
      <c r="CV192" s="1070"/>
      <c r="CW192" s="1070"/>
      <c r="CX192" s="1070"/>
      <c r="CY192" s="1070"/>
      <c r="CZ192" s="1070"/>
      <c r="DA192" s="1070"/>
      <c r="DB192" s="1070"/>
      <c r="DC192" s="1070"/>
      <c r="DD192" s="1070"/>
      <c r="DE192" s="1070"/>
      <c r="DF192" s="1070"/>
      <c r="DG192" s="1070"/>
      <c r="DH192" s="1070"/>
      <c r="DI192" s="1070"/>
      <c r="DJ192" s="1070"/>
    </row>
    <row r="193" spans="1:114" s="1136" customFormat="1" ht="43.5" customHeight="1" x14ac:dyDescent="0.25">
      <c r="A193" s="875" t="s">
        <v>5052</v>
      </c>
      <c r="B193" s="1358" t="str">
        <f>kursovoy!B208</f>
        <v/>
      </c>
      <c r="I193" s="1070"/>
      <c r="J193" s="1315"/>
      <c r="K193" s="1316"/>
      <c r="L193" s="1316"/>
      <c r="M193" s="1315"/>
      <c r="N193" s="1070"/>
      <c r="O193" s="1070"/>
      <c r="P193" s="1070"/>
      <c r="Q193" s="1070"/>
      <c r="R193" s="1070"/>
      <c r="S193" s="1070"/>
      <c r="T193" s="1070"/>
      <c r="U193" s="1070"/>
      <c r="V193" s="1070"/>
      <c r="W193" s="1070"/>
      <c r="X193" s="1070"/>
      <c r="Y193" s="1070"/>
      <c r="Z193" s="1070"/>
      <c r="AA193" s="1070"/>
      <c r="AB193" s="1070"/>
      <c r="AC193" s="1070"/>
      <c r="AD193" s="1070"/>
      <c r="AE193" s="1070"/>
      <c r="AF193" s="1070"/>
      <c r="AG193" s="1070"/>
      <c r="AH193" s="1070"/>
      <c r="AI193" s="1070"/>
      <c r="AJ193" s="1070"/>
      <c r="AK193" s="1070"/>
      <c r="AL193" s="1070"/>
      <c r="AM193" s="1070"/>
      <c r="AN193" s="1070"/>
      <c r="AO193" s="1070"/>
      <c r="AP193" s="1070"/>
      <c r="AQ193" s="1070"/>
      <c r="AR193" s="1070"/>
      <c r="AS193" s="1070"/>
      <c r="AT193" s="1070"/>
      <c r="AU193" s="1070"/>
      <c r="AV193" s="1070"/>
      <c r="AW193" s="1070"/>
      <c r="AX193" s="1070"/>
      <c r="AY193" s="1070"/>
      <c r="AZ193" s="1070"/>
      <c r="BA193" s="1070"/>
      <c r="BB193" s="1070"/>
      <c r="BC193" s="1070"/>
      <c r="BD193" s="1070"/>
      <c r="BE193" s="1070"/>
      <c r="BF193" s="1070"/>
      <c r="BG193" s="1070"/>
      <c r="BH193" s="1070"/>
      <c r="BI193" s="1070"/>
      <c r="BJ193" s="1070"/>
      <c r="BK193" s="1070"/>
      <c r="BL193" s="1070"/>
      <c r="BM193" s="1070"/>
      <c r="BN193" s="1070"/>
      <c r="BO193" s="1070"/>
      <c r="BP193" s="1070"/>
      <c r="BQ193" s="1070"/>
      <c r="BR193" s="1070"/>
      <c r="BS193" s="1070"/>
      <c r="BT193" s="1070"/>
      <c r="BU193" s="1070"/>
      <c r="BV193" s="1070"/>
      <c r="BW193" s="1070"/>
      <c r="BX193" s="1070"/>
      <c r="BY193" s="1070"/>
      <c r="BZ193" s="1070"/>
      <c r="CA193" s="1070"/>
      <c r="CB193" s="1070"/>
      <c r="CC193" s="1070"/>
      <c r="CD193" s="1070"/>
      <c r="CE193" s="1070"/>
      <c r="CF193" s="1070"/>
      <c r="CG193" s="1070"/>
      <c r="CH193" s="1070"/>
      <c r="CI193" s="1070"/>
      <c r="CJ193" s="1070"/>
      <c r="CK193" s="1070"/>
      <c r="CL193" s="1070"/>
      <c r="CM193" s="1070"/>
      <c r="CN193" s="1070"/>
      <c r="CO193" s="1070"/>
      <c r="CP193" s="1070"/>
      <c r="CQ193" s="1070"/>
      <c r="CR193" s="1070"/>
      <c r="CS193" s="1070"/>
      <c r="CT193" s="1070"/>
      <c r="CU193" s="1070"/>
      <c r="CV193" s="1070"/>
      <c r="CW193" s="1070"/>
      <c r="CX193" s="1070"/>
      <c r="CY193" s="1070"/>
      <c r="CZ193" s="1070"/>
      <c r="DA193" s="1070"/>
      <c r="DB193" s="1070"/>
      <c r="DC193" s="1070"/>
      <c r="DD193" s="1070"/>
      <c r="DE193" s="1070"/>
      <c r="DF193" s="1070"/>
      <c r="DG193" s="1070"/>
      <c r="DH193" s="1070"/>
      <c r="DI193" s="1070"/>
      <c r="DJ193" s="1070"/>
    </row>
    <row r="194" spans="1:114" s="1136" customFormat="1" ht="41.25" customHeight="1" x14ac:dyDescent="0.25">
      <c r="A194" s="875" t="s">
        <v>5053</v>
      </c>
      <c r="B194" s="1358" t="str">
        <f>kursovoy!B212</f>
        <v/>
      </c>
      <c r="I194" s="1070"/>
      <c r="J194" s="1315"/>
      <c r="K194" s="1316"/>
      <c r="L194" s="1316"/>
      <c r="M194" s="1315"/>
      <c r="N194" s="1070"/>
      <c r="O194" s="1070"/>
      <c r="P194" s="1070"/>
      <c r="Q194" s="1070"/>
      <c r="R194" s="1070"/>
      <c r="S194" s="1070"/>
      <c r="T194" s="1070"/>
      <c r="U194" s="1070"/>
      <c r="V194" s="1070"/>
      <c r="W194" s="1070"/>
      <c r="X194" s="1070"/>
      <c r="Y194" s="1070"/>
      <c r="Z194" s="1070"/>
      <c r="AA194" s="1070"/>
      <c r="AB194" s="1070"/>
      <c r="AC194" s="1070"/>
      <c r="AD194" s="1070"/>
      <c r="AE194" s="1070"/>
      <c r="AF194" s="1070"/>
      <c r="AG194" s="1070"/>
      <c r="AH194" s="1070"/>
      <c r="AI194" s="1070"/>
      <c r="AJ194" s="1070"/>
      <c r="AK194" s="1070"/>
      <c r="AL194" s="1070"/>
      <c r="AM194" s="1070"/>
      <c r="AN194" s="1070"/>
      <c r="AO194" s="1070"/>
      <c r="AP194" s="1070"/>
      <c r="AQ194" s="1070"/>
      <c r="AR194" s="1070"/>
      <c r="AS194" s="1070"/>
      <c r="AT194" s="1070"/>
      <c r="AU194" s="1070"/>
      <c r="AV194" s="1070"/>
      <c r="AW194" s="1070"/>
      <c r="AX194" s="1070"/>
      <c r="AY194" s="1070"/>
      <c r="AZ194" s="1070"/>
      <c r="BA194" s="1070"/>
      <c r="BB194" s="1070"/>
      <c r="BC194" s="1070"/>
      <c r="BD194" s="1070"/>
      <c r="BE194" s="1070"/>
      <c r="BF194" s="1070"/>
      <c r="BG194" s="1070"/>
      <c r="BH194" s="1070"/>
      <c r="BI194" s="1070"/>
      <c r="BJ194" s="1070"/>
      <c r="BK194" s="1070"/>
      <c r="BL194" s="1070"/>
      <c r="BM194" s="1070"/>
      <c r="BN194" s="1070"/>
      <c r="BO194" s="1070"/>
      <c r="BP194" s="1070"/>
      <c r="BQ194" s="1070"/>
      <c r="BR194" s="1070"/>
      <c r="BS194" s="1070"/>
      <c r="BT194" s="1070"/>
      <c r="BU194" s="1070"/>
      <c r="BV194" s="1070"/>
      <c r="BW194" s="1070"/>
      <c r="BX194" s="1070"/>
      <c r="BY194" s="1070"/>
      <c r="BZ194" s="1070"/>
      <c r="CA194" s="1070"/>
      <c r="CB194" s="1070"/>
      <c r="CC194" s="1070"/>
      <c r="CD194" s="1070"/>
      <c r="CE194" s="1070"/>
      <c r="CF194" s="1070"/>
      <c r="CG194" s="1070"/>
      <c r="CH194" s="1070"/>
      <c r="CI194" s="1070"/>
      <c r="CJ194" s="1070"/>
      <c r="CK194" s="1070"/>
      <c r="CL194" s="1070"/>
      <c r="CM194" s="1070"/>
      <c r="CN194" s="1070"/>
      <c r="CO194" s="1070"/>
      <c r="CP194" s="1070"/>
      <c r="CQ194" s="1070"/>
      <c r="CR194" s="1070"/>
      <c r="CS194" s="1070"/>
      <c r="CT194" s="1070"/>
      <c r="CU194" s="1070"/>
      <c r="CV194" s="1070"/>
      <c r="CW194" s="1070"/>
      <c r="CX194" s="1070"/>
      <c r="CY194" s="1070"/>
      <c r="CZ194" s="1070"/>
      <c r="DA194" s="1070"/>
      <c r="DB194" s="1070"/>
      <c r="DC194" s="1070"/>
      <c r="DD194" s="1070"/>
      <c r="DE194" s="1070"/>
      <c r="DF194" s="1070"/>
      <c r="DG194" s="1070"/>
      <c r="DH194" s="1070"/>
      <c r="DI194" s="1070"/>
      <c r="DJ194" s="1070"/>
    </row>
    <row r="195" spans="1:114" s="1136" customFormat="1" ht="40.5" customHeight="1" x14ac:dyDescent="0.25">
      <c r="A195" s="875" t="s">
        <v>5054</v>
      </c>
      <c r="B195" s="1326">
        <v>1</v>
      </c>
      <c r="I195" s="1070"/>
      <c r="J195" s="1315"/>
      <c r="K195" s="1316"/>
      <c r="L195" s="1316"/>
      <c r="M195" s="1315"/>
      <c r="N195" s="1070"/>
      <c r="O195" s="1070"/>
      <c r="P195" s="1070"/>
      <c r="Q195" s="1070"/>
      <c r="R195" s="1070"/>
      <c r="S195" s="1070"/>
      <c r="T195" s="1070"/>
      <c r="U195" s="1070"/>
      <c r="V195" s="1070"/>
      <c r="W195" s="1070"/>
      <c r="X195" s="1070"/>
      <c r="Y195" s="1070"/>
      <c r="Z195" s="1070"/>
      <c r="AA195" s="1070"/>
      <c r="AB195" s="1070"/>
      <c r="AC195" s="1070"/>
      <c r="AD195" s="1070"/>
      <c r="AE195" s="1070"/>
      <c r="AF195" s="1070"/>
      <c r="AG195" s="1070"/>
      <c r="AH195" s="1070"/>
      <c r="AI195" s="1070"/>
      <c r="AJ195" s="1070"/>
      <c r="AK195" s="1070"/>
      <c r="AL195" s="1070"/>
      <c r="AM195" s="1070"/>
      <c r="AN195" s="1070"/>
      <c r="AO195" s="1070"/>
      <c r="AP195" s="1070"/>
      <c r="AQ195" s="1070"/>
      <c r="AR195" s="1070"/>
      <c r="AS195" s="1070"/>
      <c r="AT195" s="1070"/>
      <c r="AU195" s="1070"/>
      <c r="AV195" s="1070"/>
      <c r="AW195" s="1070"/>
      <c r="AX195" s="1070"/>
      <c r="AY195" s="1070"/>
      <c r="AZ195" s="1070"/>
      <c r="BA195" s="1070"/>
      <c r="BB195" s="1070"/>
      <c r="BC195" s="1070"/>
      <c r="BD195" s="1070"/>
      <c r="BE195" s="1070"/>
      <c r="BF195" s="1070"/>
      <c r="BG195" s="1070"/>
      <c r="BH195" s="1070"/>
      <c r="BI195" s="1070"/>
      <c r="BJ195" s="1070"/>
      <c r="BK195" s="1070"/>
      <c r="BL195" s="1070"/>
      <c r="BM195" s="1070"/>
      <c r="BN195" s="1070"/>
      <c r="BO195" s="1070"/>
      <c r="BP195" s="1070"/>
      <c r="BQ195" s="1070"/>
      <c r="BR195" s="1070"/>
      <c r="BS195" s="1070"/>
      <c r="BT195" s="1070"/>
      <c r="BU195" s="1070"/>
      <c r="BV195" s="1070"/>
      <c r="BW195" s="1070"/>
      <c r="BX195" s="1070"/>
      <c r="BY195" s="1070"/>
      <c r="BZ195" s="1070"/>
      <c r="CA195" s="1070"/>
      <c r="CB195" s="1070"/>
      <c r="CC195" s="1070"/>
      <c r="CD195" s="1070"/>
      <c r="CE195" s="1070"/>
      <c r="CF195" s="1070"/>
      <c r="CG195" s="1070"/>
      <c r="CH195" s="1070"/>
      <c r="CI195" s="1070"/>
      <c r="CJ195" s="1070"/>
      <c r="CK195" s="1070"/>
      <c r="CL195" s="1070"/>
      <c r="CM195" s="1070"/>
      <c r="CN195" s="1070"/>
      <c r="CO195" s="1070"/>
      <c r="CP195" s="1070"/>
      <c r="CQ195" s="1070"/>
      <c r="CR195" s="1070"/>
      <c r="CS195" s="1070"/>
      <c r="CT195" s="1070"/>
      <c r="CU195" s="1070"/>
      <c r="CV195" s="1070"/>
      <c r="CW195" s="1070"/>
      <c r="CX195" s="1070"/>
      <c r="CY195" s="1070"/>
      <c r="CZ195" s="1070"/>
      <c r="DA195" s="1070"/>
      <c r="DB195" s="1070"/>
      <c r="DC195" s="1070"/>
      <c r="DD195" s="1070"/>
      <c r="DE195" s="1070"/>
      <c r="DF195" s="1070"/>
      <c r="DG195" s="1070"/>
      <c r="DH195" s="1070"/>
      <c r="DI195" s="1070"/>
      <c r="DJ195" s="1070"/>
    </row>
    <row r="196" spans="1:114" s="1136" customFormat="1" ht="27.75" customHeight="1" x14ac:dyDescent="0.25">
      <c r="A196" s="875" t="s">
        <v>2714</v>
      </c>
      <c r="B196" s="1326">
        <v>1</v>
      </c>
      <c r="C196" s="1384"/>
      <c r="D196" s="1384"/>
      <c r="E196" s="1384"/>
      <c r="F196" s="1384"/>
      <c r="G196" s="1384"/>
      <c r="H196" s="1070"/>
      <c r="I196" s="1070"/>
      <c r="J196" s="1315"/>
      <c r="K196" s="1316"/>
      <c r="L196" s="1316"/>
      <c r="M196" s="1315"/>
      <c r="N196" s="1070"/>
      <c r="O196" s="1070"/>
      <c r="P196" s="1070"/>
      <c r="Q196" s="1070"/>
      <c r="R196" s="1070"/>
      <c r="S196" s="1070"/>
      <c r="T196" s="1070"/>
      <c r="U196" s="1070"/>
      <c r="V196" s="1070"/>
      <c r="W196" s="1070"/>
      <c r="X196" s="1070"/>
      <c r="Y196" s="1070"/>
      <c r="Z196" s="1070"/>
      <c r="AA196" s="1070"/>
      <c r="AB196" s="1070"/>
      <c r="AC196" s="1070"/>
      <c r="AD196" s="1070"/>
      <c r="AE196" s="1070"/>
      <c r="AF196" s="1070"/>
      <c r="AG196" s="1070"/>
      <c r="AH196" s="1070"/>
      <c r="AI196" s="1070"/>
      <c r="AJ196" s="1070"/>
      <c r="AK196" s="1070"/>
      <c r="AL196" s="1070"/>
      <c r="AM196" s="1070"/>
      <c r="AN196" s="1070"/>
      <c r="AO196" s="1070"/>
      <c r="AP196" s="1070"/>
      <c r="AQ196" s="1070"/>
      <c r="AR196" s="1070"/>
      <c r="AS196" s="1070"/>
      <c r="AT196" s="1070"/>
      <c r="AU196" s="1070"/>
      <c r="AV196" s="1070"/>
      <c r="AW196" s="1070"/>
      <c r="AX196" s="1070"/>
      <c r="AY196" s="1070"/>
      <c r="AZ196" s="1070"/>
      <c r="BA196" s="1070"/>
      <c r="BB196" s="1070"/>
      <c r="BC196" s="1070"/>
      <c r="BD196" s="1070"/>
      <c r="BE196" s="1070"/>
      <c r="BF196" s="1070"/>
      <c r="BG196" s="1070"/>
      <c r="BH196" s="1070"/>
      <c r="BI196" s="1070"/>
      <c r="BJ196" s="1070"/>
      <c r="BK196" s="1070"/>
      <c r="BL196" s="1070"/>
      <c r="BM196" s="1070"/>
      <c r="BN196" s="1070"/>
      <c r="BO196" s="1070"/>
      <c r="BP196" s="1070"/>
      <c r="BQ196" s="1070"/>
      <c r="BR196" s="1070"/>
      <c r="BS196" s="1070"/>
      <c r="BT196" s="1070"/>
      <c r="BU196" s="1070"/>
      <c r="BV196" s="1070"/>
      <c r="BW196" s="1070"/>
      <c r="BX196" s="1070"/>
      <c r="BY196" s="1070"/>
      <c r="BZ196" s="1070"/>
      <c r="CA196" s="1070"/>
      <c r="CB196" s="1070"/>
      <c r="CC196" s="1070"/>
      <c r="CD196" s="1070"/>
      <c r="CE196" s="1070"/>
      <c r="CF196" s="1070"/>
      <c r="CG196" s="1070"/>
      <c r="CH196" s="1070"/>
      <c r="CI196" s="1070"/>
      <c r="CJ196" s="1070"/>
      <c r="CK196" s="1070"/>
      <c r="CL196" s="1070"/>
      <c r="CM196" s="1070"/>
      <c r="CN196" s="1070"/>
      <c r="CO196" s="1070"/>
      <c r="CP196" s="1070"/>
      <c r="CQ196" s="1070"/>
      <c r="CR196" s="1070"/>
      <c r="CS196" s="1070"/>
      <c r="CT196" s="1070"/>
      <c r="CU196" s="1070"/>
      <c r="CV196" s="1070"/>
      <c r="CW196" s="1070"/>
      <c r="CX196" s="1070"/>
      <c r="CY196" s="1070"/>
      <c r="CZ196" s="1070"/>
      <c r="DA196" s="1070"/>
      <c r="DB196" s="1070"/>
      <c r="DC196" s="1070"/>
      <c r="DD196" s="1070"/>
      <c r="DE196" s="1070"/>
      <c r="DF196" s="1070"/>
      <c r="DG196" s="1070"/>
      <c r="DH196" s="1070"/>
      <c r="DI196" s="1070"/>
      <c r="DJ196" s="1070"/>
    </row>
    <row r="197" spans="1:114" s="1136" customFormat="1" ht="27.75" customHeight="1" x14ac:dyDescent="0.25">
      <c r="A197" s="875" t="s">
        <v>2715</v>
      </c>
      <c r="B197" s="1326">
        <v>3</v>
      </c>
      <c r="C197" s="1384"/>
      <c r="D197" s="3906" t="s">
        <v>6424</v>
      </c>
      <c r="E197" s="3906"/>
      <c r="F197" s="3906"/>
      <c r="G197" s="1384"/>
      <c r="H197" s="1070"/>
      <c r="I197" s="1070"/>
      <c r="J197" s="1315"/>
      <c r="K197" s="1316"/>
      <c r="L197" s="1316"/>
      <c r="M197" s="1315"/>
      <c r="N197" s="1070"/>
      <c r="O197" s="1070"/>
      <c r="P197" s="1070"/>
      <c r="Q197" s="1070"/>
      <c r="R197" s="1070"/>
      <c r="S197" s="1070"/>
      <c r="T197" s="1070"/>
      <c r="U197" s="1070"/>
      <c r="V197" s="1070"/>
      <c r="W197" s="1070"/>
      <c r="X197" s="1070"/>
      <c r="Y197" s="1070"/>
      <c r="Z197" s="1070"/>
      <c r="AA197" s="1070"/>
      <c r="AB197" s="1070"/>
      <c r="AC197" s="1070"/>
      <c r="AD197" s="1070"/>
      <c r="AE197" s="1070"/>
      <c r="AF197" s="1070"/>
      <c r="AG197" s="1070"/>
      <c r="AH197" s="1070"/>
      <c r="AI197" s="1070"/>
      <c r="AJ197" s="1070"/>
      <c r="AK197" s="1070"/>
      <c r="AL197" s="1070"/>
      <c r="AM197" s="1070"/>
      <c r="AN197" s="1070"/>
      <c r="AO197" s="1070"/>
      <c r="AP197" s="1070"/>
      <c r="AQ197" s="1070"/>
      <c r="AR197" s="1070"/>
      <c r="AS197" s="1070"/>
      <c r="AT197" s="1070"/>
      <c r="AU197" s="1070"/>
      <c r="AV197" s="1070"/>
      <c r="AW197" s="1070"/>
      <c r="AX197" s="1070"/>
      <c r="AY197" s="1070"/>
      <c r="AZ197" s="1070"/>
      <c r="BA197" s="1070"/>
      <c r="BB197" s="1070"/>
      <c r="BC197" s="1070"/>
      <c r="BD197" s="1070"/>
      <c r="BE197" s="1070"/>
      <c r="BF197" s="1070"/>
      <c r="BG197" s="1070"/>
      <c r="BH197" s="1070"/>
      <c r="BI197" s="1070"/>
      <c r="BJ197" s="1070"/>
      <c r="BK197" s="1070"/>
      <c r="BL197" s="1070"/>
      <c r="BM197" s="1070"/>
      <c r="BN197" s="1070"/>
      <c r="BO197" s="1070"/>
      <c r="BP197" s="1070"/>
      <c r="BQ197" s="1070"/>
      <c r="BR197" s="1070"/>
      <c r="BS197" s="1070"/>
      <c r="BT197" s="1070"/>
      <c r="BU197" s="1070"/>
      <c r="BV197" s="1070"/>
      <c r="BW197" s="1070"/>
      <c r="BX197" s="1070"/>
      <c r="BY197" s="1070"/>
      <c r="BZ197" s="1070"/>
      <c r="CA197" s="1070"/>
      <c r="CB197" s="1070"/>
      <c r="CC197" s="1070"/>
      <c r="CD197" s="1070"/>
      <c r="CE197" s="1070"/>
      <c r="CF197" s="1070"/>
      <c r="CG197" s="1070"/>
      <c r="CH197" s="1070"/>
      <c r="CI197" s="1070"/>
      <c r="CJ197" s="1070"/>
      <c r="CK197" s="1070"/>
      <c r="CL197" s="1070"/>
      <c r="CM197" s="1070"/>
      <c r="CN197" s="1070"/>
      <c r="CO197" s="1070"/>
      <c r="CP197" s="1070"/>
      <c r="CQ197" s="1070"/>
      <c r="CR197" s="1070"/>
      <c r="CS197" s="1070"/>
      <c r="CT197" s="1070"/>
      <c r="CU197" s="1070"/>
      <c r="CV197" s="1070"/>
      <c r="CW197" s="1070"/>
      <c r="CX197" s="1070"/>
      <c r="CY197" s="1070"/>
      <c r="CZ197" s="1070"/>
      <c r="DA197" s="1070"/>
      <c r="DB197" s="1070"/>
      <c r="DC197" s="1070"/>
      <c r="DD197" s="1070"/>
      <c r="DE197" s="1070"/>
      <c r="DF197" s="1070"/>
      <c r="DG197" s="1070"/>
      <c r="DH197" s="1070"/>
      <c r="DI197" s="1070"/>
      <c r="DJ197" s="1070"/>
    </row>
    <row r="198" spans="1:114" s="1136" customFormat="1" ht="27.75" customHeight="1" x14ac:dyDescent="0.25">
      <c r="A198" s="875" t="s">
        <v>2716</v>
      </c>
      <c r="B198" s="1326">
        <v>1</v>
      </c>
      <c r="C198" s="1384"/>
      <c r="D198" s="1384"/>
      <c r="E198" s="1384"/>
      <c r="F198" s="1384"/>
      <c r="G198" s="1384"/>
      <c r="H198" s="1070"/>
      <c r="I198" s="1070"/>
      <c r="J198" s="1315"/>
      <c r="K198" s="1316"/>
      <c r="L198" s="1316"/>
      <c r="M198" s="1315"/>
      <c r="N198" s="1070"/>
      <c r="O198" s="1070"/>
      <c r="P198" s="1070"/>
      <c r="Q198" s="1070"/>
      <c r="R198" s="1070"/>
      <c r="S198" s="1070"/>
      <c r="T198" s="1070"/>
      <c r="U198" s="1070"/>
      <c r="V198" s="1070"/>
      <c r="W198" s="1070"/>
      <c r="X198" s="1070"/>
      <c r="Y198" s="1070"/>
      <c r="Z198" s="1070"/>
      <c r="AA198" s="1070"/>
      <c r="AB198" s="1070"/>
      <c r="AC198" s="1070"/>
      <c r="AD198" s="1070"/>
      <c r="AE198" s="1070"/>
      <c r="AF198" s="1070"/>
      <c r="AG198" s="1070"/>
      <c r="AH198" s="1070"/>
      <c r="AI198" s="1070"/>
      <c r="AJ198" s="1070"/>
      <c r="AK198" s="1070"/>
      <c r="AL198" s="1070"/>
      <c r="AM198" s="1070"/>
      <c r="AN198" s="1070"/>
      <c r="AO198" s="1070"/>
      <c r="AP198" s="1070"/>
      <c r="AQ198" s="1070"/>
      <c r="AR198" s="1070"/>
      <c r="AS198" s="1070"/>
      <c r="AT198" s="1070"/>
      <c r="AU198" s="1070"/>
      <c r="AV198" s="1070"/>
      <c r="AW198" s="1070"/>
      <c r="AX198" s="1070"/>
      <c r="AY198" s="1070"/>
      <c r="AZ198" s="1070"/>
      <c r="BA198" s="1070"/>
      <c r="BB198" s="1070"/>
      <c r="BC198" s="1070"/>
      <c r="BD198" s="1070"/>
      <c r="BE198" s="1070"/>
      <c r="BF198" s="1070"/>
      <c r="BG198" s="1070"/>
      <c r="BH198" s="1070"/>
      <c r="BI198" s="1070"/>
      <c r="BJ198" s="1070"/>
      <c r="BK198" s="1070"/>
      <c r="BL198" s="1070"/>
      <c r="BM198" s="1070"/>
      <c r="BN198" s="1070"/>
      <c r="BO198" s="1070"/>
      <c r="BP198" s="1070"/>
      <c r="BQ198" s="1070"/>
      <c r="BR198" s="1070"/>
      <c r="BS198" s="1070"/>
      <c r="BT198" s="1070"/>
      <c r="BU198" s="1070"/>
      <c r="BV198" s="1070"/>
      <c r="BW198" s="1070"/>
      <c r="BX198" s="1070"/>
      <c r="BY198" s="1070"/>
      <c r="BZ198" s="1070"/>
      <c r="CA198" s="1070"/>
      <c r="CB198" s="1070"/>
      <c r="CC198" s="1070"/>
      <c r="CD198" s="1070"/>
      <c r="CE198" s="1070"/>
      <c r="CF198" s="1070"/>
      <c r="CG198" s="1070"/>
      <c r="CH198" s="1070"/>
      <c r="CI198" s="1070"/>
      <c r="CJ198" s="1070"/>
      <c r="CK198" s="1070"/>
      <c r="CL198" s="1070"/>
      <c r="CM198" s="1070"/>
      <c r="CN198" s="1070"/>
      <c r="CO198" s="1070"/>
      <c r="CP198" s="1070"/>
      <c r="CQ198" s="1070"/>
      <c r="CR198" s="1070"/>
      <c r="CS198" s="1070"/>
      <c r="CT198" s="1070"/>
      <c r="CU198" s="1070"/>
      <c r="CV198" s="1070"/>
      <c r="CW198" s="1070"/>
      <c r="CX198" s="1070"/>
      <c r="CY198" s="1070"/>
      <c r="CZ198" s="1070"/>
      <c r="DA198" s="1070"/>
      <c r="DB198" s="1070"/>
      <c r="DC198" s="1070"/>
      <c r="DD198" s="1070"/>
      <c r="DE198" s="1070"/>
      <c r="DF198" s="1070"/>
      <c r="DG198" s="1070"/>
      <c r="DH198" s="1070"/>
      <c r="DI198" s="1070"/>
      <c r="DJ198" s="1070"/>
    </row>
    <row r="199" spans="1:114" s="1136" customFormat="1" ht="56.25" customHeight="1" x14ac:dyDescent="0.35">
      <c r="A199" s="1930" t="s">
        <v>2717</v>
      </c>
      <c r="B199" s="1358">
        <f>B159-B160+1</f>
        <v>4</v>
      </c>
      <c r="C199" s="1384"/>
      <c r="D199" s="1384"/>
      <c r="E199" s="1384"/>
      <c r="F199" s="1384"/>
      <c r="G199" s="1384"/>
      <c r="H199" s="1070"/>
      <c r="I199" s="1070"/>
      <c r="J199" s="1315"/>
      <c r="K199" s="1316"/>
      <c r="L199" s="1316"/>
      <c r="M199" s="1315"/>
      <c r="N199" s="1070"/>
      <c r="O199" s="1070"/>
      <c r="P199" s="1070"/>
      <c r="Q199" s="1070"/>
      <c r="R199" s="1070"/>
      <c r="S199" s="1070"/>
      <c r="T199" s="1070"/>
      <c r="U199" s="1070"/>
      <c r="V199" s="1070"/>
      <c r="W199" s="1070"/>
      <c r="X199" s="1070"/>
      <c r="Y199" s="1070"/>
      <c r="Z199" s="1070"/>
      <c r="AA199" s="1070"/>
      <c r="AB199" s="1070"/>
      <c r="AC199" s="1070"/>
      <c r="AD199" s="1070"/>
      <c r="AE199" s="1070"/>
      <c r="AF199" s="1070"/>
      <c r="AG199" s="1070"/>
      <c r="AH199" s="1070"/>
      <c r="AI199" s="1070"/>
      <c r="AJ199" s="1070"/>
      <c r="AK199" s="1070"/>
      <c r="AL199" s="1070"/>
      <c r="AM199" s="1070"/>
      <c r="AN199" s="1070"/>
      <c r="AO199" s="1070"/>
      <c r="AP199" s="1070"/>
      <c r="AQ199" s="1070"/>
      <c r="AR199" s="1070"/>
      <c r="AS199" s="1070"/>
      <c r="AT199" s="1070"/>
      <c r="AU199" s="1070"/>
      <c r="AV199" s="1070"/>
      <c r="AW199" s="1070"/>
      <c r="AX199" s="1070"/>
      <c r="AY199" s="1070"/>
      <c r="AZ199" s="1070"/>
      <c r="BA199" s="1070"/>
      <c r="BB199" s="1070"/>
      <c r="BC199" s="1070"/>
      <c r="BD199" s="1070"/>
      <c r="BE199" s="1070"/>
      <c r="BF199" s="1070"/>
      <c r="BG199" s="1070"/>
      <c r="BH199" s="1070"/>
      <c r="BI199" s="1070"/>
      <c r="BJ199" s="1070"/>
      <c r="BK199" s="1070"/>
      <c r="BL199" s="1070"/>
      <c r="BM199" s="1070"/>
      <c r="BN199" s="1070"/>
      <c r="BO199" s="1070"/>
      <c r="BP199" s="1070"/>
      <c r="BQ199" s="1070"/>
      <c r="BR199" s="1070"/>
      <c r="BS199" s="1070"/>
      <c r="BT199" s="1070"/>
      <c r="BU199" s="1070"/>
      <c r="BV199" s="1070"/>
      <c r="BW199" s="1070"/>
      <c r="BX199" s="1070"/>
      <c r="BY199" s="1070"/>
      <c r="BZ199" s="1070"/>
      <c r="CA199" s="1070"/>
      <c r="CB199" s="1070"/>
      <c r="CC199" s="1070"/>
      <c r="CD199" s="1070"/>
      <c r="CE199" s="1070"/>
      <c r="CF199" s="1070"/>
      <c r="CG199" s="1070"/>
      <c r="CH199" s="1070"/>
      <c r="CI199" s="1070"/>
      <c r="CJ199" s="1070"/>
      <c r="CK199" s="1070"/>
      <c r="CL199" s="1070"/>
      <c r="CM199" s="1070"/>
      <c r="CN199" s="1070"/>
      <c r="CO199" s="1070"/>
      <c r="CP199" s="1070"/>
      <c r="CQ199" s="1070"/>
      <c r="CR199" s="1070"/>
      <c r="CS199" s="1070"/>
      <c r="CT199" s="1070"/>
      <c r="CU199" s="1070"/>
      <c r="CV199" s="1070"/>
      <c r="CW199" s="1070"/>
      <c r="CX199" s="1070"/>
      <c r="CY199" s="1070"/>
      <c r="CZ199" s="1070"/>
      <c r="DA199" s="1070"/>
      <c r="DB199" s="1070"/>
      <c r="DC199" s="1070"/>
      <c r="DD199" s="1070"/>
      <c r="DE199" s="1070"/>
      <c r="DF199" s="1070"/>
      <c r="DG199" s="1070"/>
      <c r="DH199" s="1070"/>
      <c r="DI199" s="1070"/>
      <c r="DJ199" s="1070"/>
    </row>
    <row r="200" spans="1:114" s="1136" customFormat="1" ht="30" customHeight="1" x14ac:dyDescent="0.25">
      <c r="A200" s="875" t="s">
        <v>3259</v>
      </c>
      <c r="B200" s="1358">
        <f>kursovoy!B872</f>
        <v>0</v>
      </c>
      <c r="C200" s="1384"/>
      <c r="D200" s="1384"/>
      <c r="E200" s="1384"/>
      <c r="F200" s="1384"/>
      <c r="G200" s="1384"/>
      <c r="H200" s="1070"/>
      <c r="I200" s="1070"/>
      <c r="J200" s="1315"/>
      <c r="K200" s="1316"/>
      <c r="L200" s="1316"/>
      <c r="M200" s="1315"/>
      <c r="N200" s="1070"/>
      <c r="O200" s="1070"/>
      <c r="P200" s="1070"/>
      <c r="Q200" s="1070"/>
      <c r="R200" s="1070"/>
      <c r="S200" s="1070"/>
      <c r="T200" s="1070"/>
      <c r="U200" s="1070"/>
      <c r="V200" s="1070"/>
      <c r="W200" s="1070"/>
      <c r="X200" s="1070"/>
      <c r="Y200" s="1070"/>
      <c r="Z200" s="1070"/>
      <c r="AA200" s="1070"/>
      <c r="AB200" s="1070"/>
      <c r="AC200" s="1070"/>
      <c r="AD200" s="1070"/>
      <c r="AE200" s="1070"/>
      <c r="AF200" s="1070"/>
      <c r="AG200" s="1070"/>
      <c r="AH200" s="1070"/>
      <c r="AI200" s="1070"/>
      <c r="AJ200" s="1070"/>
      <c r="AK200" s="1070"/>
      <c r="AL200" s="1070"/>
      <c r="AM200" s="1070"/>
      <c r="AN200" s="1070"/>
      <c r="AO200" s="1070"/>
      <c r="AP200" s="1070"/>
      <c r="AQ200" s="1070"/>
      <c r="AR200" s="1070"/>
      <c r="AS200" s="1070"/>
      <c r="AT200" s="1070"/>
      <c r="AU200" s="1070"/>
      <c r="AV200" s="1070"/>
      <c r="AW200" s="1070"/>
      <c r="AX200" s="1070"/>
      <c r="AY200" s="1070"/>
      <c r="AZ200" s="1070"/>
      <c r="BA200" s="1070"/>
      <c r="BB200" s="1070"/>
      <c r="BC200" s="1070"/>
      <c r="BD200" s="1070"/>
      <c r="BE200" s="1070"/>
      <c r="BF200" s="1070"/>
      <c r="BG200" s="1070"/>
      <c r="BH200" s="1070"/>
      <c r="BI200" s="1070"/>
      <c r="BJ200" s="1070"/>
      <c r="BK200" s="1070"/>
      <c r="BL200" s="1070"/>
      <c r="BM200" s="1070"/>
      <c r="BN200" s="1070"/>
      <c r="BO200" s="1070"/>
      <c r="BP200" s="1070"/>
      <c r="BQ200" s="1070"/>
      <c r="BR200" s="1070"/>
      <c r="BS200" s="1070"/>
      <c r="BT200" s="1070"/>
      <c r="BU200" s="1070"/>
      <c r="BV200" s="1070"/>
      <c r="BW200" s="1070"/>
      <c r="BX200" s="1070"/>
      <c r="BY200" s="1070"/>
      <c r="BZ200" s="1070"/>
      <c r="CA200" s="1070"/>
      <c r="CB200" s="1070"/>
      <c r="CC200" s="1070"/>
      <c r="CD200" s="1070"/>
      <c r="CE200" s="1070"/>
      <c r="CF200" s="1070"/>
      <c r="CG200" s="1070"/>
      <c r="CH200" s="1070"/>
      <c r="CI200" s="1070"/>
      <c r="CJ200" s="1070"/>
      <c r="CK200" s="1070"/>
      <c r="CL200" s="1070"/>
      <c r="CM200" s="1070"/>
      <c r="CN200" s="1070"/>
      <c r="CO200" s="1070"/>
      <c r="CP200" s="1070"/>
      <c r="CQ200" s="1070"/>
      <c r="CR200" s="1070"/>
      <c r="CS200" s="1070"/>
      <c r="CT200" s="1070"/>
      <c r="CU200" s="1070"/>
      <c r="CV200" s="1070"/>
      <c r="CW200" s="1070"/>
      <c r="CX200" s="1070"/>
      <c r="CY200" s="1070"/>
      <c r="CZ200" s="1070"/>
      <c r="DA200" s="1070"/>
      <c r="DB200" s="1070"/>
      <c r="DC200" s="1070"/>
      <c r="DD200" s="1070"/>
      <c r="DE200" s="1070"/>
      <c r="DF200" s="1070"/>
      <c r="DG200" s="1070"/>
      <c r="DH200" s="1070"/>
      <c r="DI200" s="1070"/>
      <c r="DJ200" s="1070"/>
    </row>
    <row r="201" spans="1:114" s="1136" customFormat="1" ht="64.5" customHeight="1" x14ac:dyDescent="0.35">
      <c r="A201" s="1930" t="s">
        <v>2718</v>
      </c>
      <c r="B201" s="1358" t="e">
        <f>B159-B161+IF(B238=1,B237,1)</f>
        <v>#VALUE!</v>
      </c>
      <c r="C201" s="1384"/>
      <c r="D201" s="1384"/>
      <c r="E201" s="1384"/>
      <c r="F201" s="1384"/>
      <c r="G201" s="1384"/>
      <c r="H201" s="1070"/>
      <c r="I201" s="1070"/>
      <c r="J201" s="1315"/>
      <c r="K201" s="1316"/>
      <c r="L201" s="1316"/>
      <c r="M201" s="1315"/>
      <c r="N201" s="1070"/>
      <c r="O201" s="1070"/>
      <c r="P201" s="1070"/>
      <c r="Q201" s="1070"/>
      <c r="R201" s="1070"/>
      <c r="S201" s="1070"/>
      <c r="T201" s="1070"/>
      <c r="U201" s="1070"/>
      <c r="V201" s="1070"/>
      <c r="W201" s="1070"/>
      <c r="X201" s="1070"/>
      <c r="Y201" s="1070"/>
      <c r="Z201" s="1070"/>
      <c r="AA201" s="1070"/>
      <c r="AB201" s="1070"/>
      <c r="AC201" s="1070"/>
      <c r="AD201" s="1070"/>
      <c r="AE201" s="1070"/>
      <c r="AF201" s="1070"/>
      <c r="AG201" s="1070"/>
      <c r="AH201" s="1070"/>
      <c r="AI201" s="1070"/>
      <c r="AJ201" s="1070"/>
      <c r="AK201" s="1070"/>
      <c r="AL201" s="1070"/>
      <c r="AM201" s="1070"/>
      <c r="AN201" s="1070"/>
      <c r="AO201" s="1070"/>
      <c r="AP201" s="1070"/>
      <c r="AQ201" s="1070"/>
      <c r="AR201" s="1070"/>
      <c r="AS201" s="1070"/>
      <c r="AT201" s="1070"/>
      <c r="AU201" s="1070"/>
      <c r="AV201" s="1070"/>
      <c r="AW201" s="1070"/>
      <c r="AX201" s="1070"/>
      <c r="AY201" s="1070"/>
      <c r="AZ201" s="1070"/>
      <c r="BA201" s="1070"/>
      <c r="BB201" s="1070"/>
      <c r="BC201" s="1070"/>
      <c r="BD201" s="1070"/>
      <c r="BE201" s="1070"/>
      <c r="BF201" s="1070"/>
      <c r="BG201" s="1070"/>
      <c r="BH201" s="1070"/>
      <c r="BI201" s="1070"/>
      <c r="BJ201" s="1070"/>
      <c r="BK201" s="1070"/>
      <c r="BL201" s="1070"/>
      <c r="BM201" s="1070"/>
      <c r="BN201" s="1070"/>
      <c r="BO201" s="1070"/>
      <c r="BP201" s="1070"/>
      <c r="BQ201" s="1070"/>
      <c r="BR201" s="1070"/>
      <c r="BS201" s="1070"/>
      <c r="BT201" s="1070"/>
      <c r="BU201" s="1070"/>
      <c r="BV201" s="1070"/>
      <c r="BW201" s="1070"/>
      <c r="BX201" s="1070"/>
      <c r="BY201" s="1070"/>
      <c r="BZ201" s="1070"/>
      <c r="CA201" s="1070"/>
      <c r="CB201" s="1070"/>
      <c r="CC201" s="1070"/>
      <c r="CD201" s="1070"/>
      <c r="CE201" s="1070"/>
      <c r="CF201" s="1070"/>
      <c r="CG201" s="1070"/>
      <c r="CH201" s="1070"/>
      <c r="CI201" s="1070"/>
      <c r="CJ201" s="1070"/>
      <c r="CK201" s="1070"/>
      <c r="CL201" s="1070"/>
      <c r="CM201" s="1070"/>
      <c r="CN201" s="1070"/>
      <c r="CO201" s="1070"/>
      <c r="CP201" s="1070"/>
      <c r="CQ201" s="1070"/>
      <c r="CR201" s="1070"/>
      <c r="CS201" s="1070"/>
      <c r="CT201" s="1070"/>
      <c r="CU201" s="1070"/>
      <c r="CV201" s="1070"/>
      <c r="CW201" s="1070"/>
      <c r="CX201" s="1070"/>
      <c r="CY201" s="1070"/>
      <c r="CZ201" s="1070"/>
      <c r="DA201" s="1070"/>
      <c r="DB201" s="1070"/>
      <c r="DC201" s="1070"/>
      <c r="DD201" s="1070"/>
      <c r="DE201" s="1070"/>
      <c r="DF201" s="1070"/>
      <c r="DG201" s="1070"/>
      <c r="DH201" s="1070"/>
      <c r="DI201" s="1070"/>
      <c r="DJ201" s="1070"/>
    </row>
    <row r="202" spans="1:114" s="1136" customFormat="1" ht="27.75" customHeight="1" x14ac:dyDescent="0.25">
      <c r="A202" s="875" t="s">
        <v>2719</v>
      </c>
      <c r="B202" s="1358">
        <f>kursovoy!B873</f>
        <v>0</v>
      </c>
      <c r="C202" s="1384"/>
      <c r="D202" s="1384"/>
      <c r="E202" s="1384"/>
      <c r="F202" s="1384"/>
      <c r="G202" s="1384"/>
      <c r="H202" s="1070"/>
      <c r="I202" s="1070"/>
      <c r="J202" s="1315"/>
      <c r="K202" s="1316"/>
      <c r="L202" s="1316"/>
      <c r="M202" s="1315"/>
      <c r="N202" s="1070"/>
      <c r="O202" s="1070"/>
      <c r="P202" s="1070"/>
      <c r="Q202" s="1070"/>
      <c r="R202" s="1070"/>
      <c r="S202" s="1070"/>
      <c r="T202" s="1070"/>
      <c r="U202" s="1070"/>
      <c r="V202" s="1070"/>
      <c r="W202" s="1070"/>
      <c r="X202" s="1070"/>
      <c r="Y202" s="1070"/>
      <c r="Z202" s="1070"/>
      <c r="AA202" s="1070"/>
      <c r="AB202" s="1070"/>
      <c r="AC202" s="1070"/>
      <c r="AD202" s="1070"/>
      <c r="AE202" s="1070"/>
      <c r="AF202" s="1070"/>
      <c r="AG202" s="1070"/>
      <c r="AH202" s="1070"/>
      <c r="AI202" s="1070"/>
      <c r="AJ202" s="1070"/>
      <c r="AK202" s="1070"/>
      <c r="AL202" s="1070"/>
      <c r="AM202" s="1070"/>
      <c r="AN202" s="1070"/>
      <c r="AO202" s="1070"/>
      <c r="AP202" s="1070"/>
      <c r="AQ202" s="1070"/>
      <c r="AR202" s="1070"/>
      <c r="AS202" s="1070"/>
      <c r="AT202" s="1070"/>
      <c r="AU202" s="1070"/>
      <c r="AV202" s="1070"/>
      <c r="AW202" s="1070"/>
      <c r="AX202" s="1070"/>
      <c r="AY202" s="1070"/>
      <c r="AZ202" s="1070"/>
      <c r="BA202" s="1070"/>
      <c r="BB202" s="1070"/>
      <c r="BC202" s="1070"/>
      <c r="BD202" s="1070"/>
      <c r="BE202" s="1070"/>
      <c r="BF202" s="1070"/>
      <c r="BG202" s="1070"/>
      <c r="BH202" s="1070"/>
      <c r="BI202" s="1070"/>
      <c r="BJ202" s="1070"/>
      <c r="BK202" s="1070"/>
      <c r="BL202" s="1070"/>
      <c r="BM202" s="1070"/>
      <c r="BN202" s="1070"/>
      <c r="BO202" s="1070"/>
      <c r="BP202" s="1070"/>
      <c r="BQ202" s="1070"/>
      <c r="BR202" s="1070"/>
      <c r="BS202" s="1070"/>
      <c r="BT202" s="1070"/>
      <c r="BU202" s="1070"/>
      <c r="BV202" s="1070"/>
      <c r="BW202" s="1070"/>
      <c r="BX202" s="1070"/>
      <c r="BY202" s="1070"/>
      <c r="BZ202" s="1070"/>
      <c r="CA202" s="1070"/>
      <c r="CB202" s="1070"/>
      <c r="CC202" s="1070"/>
      <c r="CD202" s="1070"/>
      <c r="CE202" s="1070"/>
      <c r="CF202" s="1070"/>
      <c r="CG202" s="1070"/>
      <c r="CH202" s="1070"/>
      <c r="CI202" s="1070"/>
      <c r="CJ202" s="1070"/>
      <c r="CK202" s="1070"/>
      <c r="CL202" s="1070"/>
      <c r="CM202" s="1070"/>
      <c r="CN202" s="1070"/>
      <c r="CO202" s="1070"/>
      <c r="CP202" s="1070"/>
      <c r="CQ202" s="1070"/>
      <c r="CR202" s="1070"/>
      <c r="CS202" s="1070"/>
      <c r="CT202" s="1070"/>
      <c r="CU202" s="1070"/>
      <c r="CV202" s="1070"/>
      <c r="CW202" s="1070"/>
      <c r="CX202" s="1070"/>
      <c r="CY202" s="1070"/>
      <c r="CZ202" s="1070"/>
      <c r="DA202" s="1070"/>
      <c r="DB202" s="1070"/>
      <c r="DC202" s="1070"/>
      <c r="DD202" s="1070"/>
      <c r="DE202" s="1070"/>
      <c r="DF202" s="1070"/>
      <c r="DG202" s="1070"/>
      <c r="DH202" s="1070"/>
      <c r="DI202" s="1070"/>
      <c r="DJ202" s="1070"/>
    </row>
    <row r="203" spans="1:114" s="1136" customFormat="1" ht="27.75" customHeight="1" x14ac:dyDescent="0.25">
      <c r="A203" s="875" t="s">
        <v>5574</v>
      </c>
      <c r="B203" s="1358" t="str">
        <f>kursovoy!B521</f>
        <v/>
      </c>
      <c r="C203" s="1384"/>
      <c r="D203" s="1384"/>
      <c r="E203" s="1384"/>
      <c r="F203" s="1384"/>
      <c r="G203" s="1384"/>
      <c r="H203" s="1070"/>
      <c r="I203" s="1070"/>
      <c r="J203" s="1315"/>
      <c r="K203" s="1316"/>
      <c r="L203" s="1316"/>
      <c r="M203" s="1315"/>
      <c r="N203" s="1070"/>
      <c r="O203" s="1070"/>
      <c r="P203" s="1070"/>
      <c r="Q203" s="1070"/>
      <c r="R203" s="1070"/>
      <c r="S203" s="1070"/>
      <c r="T203" s="1070"/>
      <c r="U203" s="1070"/>
      <c r="V203" s="1070"/>
      <c r="W203" s="1070"/>
      <c r="X203" s="1070"/>
      <c r="Y203" s="1070"/>
      <c r="Z203" s="1070"/>
      <c r="AA203" s="1070"/>
      <c r="AB203" s="1070"/>
      <c r="AC203" s="1070"/>
      <c r="AD203" s="1070"/>
      <c r="AE203" s="1070"/>
      <c r="AF203" s="1070"/>
      <c r="AG203" s="1070"/>
      <c r="AH203" s="1070"/>
      <c r="AI203" s="1070"/>
      <c r="AJ203" s="1070"/>
      <c r="AK203" s="1070"/>
      <c r="AL203" s="1070"/>
      <c r="AM203" s="1070"/>
      <c r="AN203" s="1070"/>
      <c r="AO203" s="1070"/>
      <c r="AP203" s="1070"/>
      <c r="AQ203" s="1070"/>
      <c r="AR203" s="1070"/>
      <c r="AS203" s="1070"/>
      <c r="AT203" s="1070"/>
      <c r="AU203" s="1070"/>
      <c r="AV203" s="1070"/>
      <c r="AW203" s="1070"/>
      <c r="AX203" s="1070"/>
      <c r="AY203" s="1070"/>
      <c r="AZ203" s="1070"/>
      <c r="BA203" s="1070"/>
      <c r="BB203" s="1070"/>
      <c r="BC203" s="1070"/>
      <c r="BD203" s="1070"/>
      <c r="BE203" s="1070"/>
      <c r="BF203" s="1070"/>
      <c r="BG203" s="1070"/>
      <c r="BH203" s="1070"/>
      <c r="BI203" s="1070"/>
      <c r="BJ203" s="1070"/>
      <c r="BK203" s="1070"/>
      <c r="BL203" s="1070"/>
      <c r="BM203" s="1070"/>
      <c r="BN203" s="1070"/>
      <c r="BO203" s="1070"/>
      <c r="BP203" s="1070"/>
      <c r="BQ203" s="1070"/>
      <c r="BR203" s="1070"/>
      <c r="BS203" s="1070"/>
      <c r="BT203" s="1070"/>
      <c r="BU203" s="1070"/>
      <c r="BV203" s="1070"/>
      <c r="BW203" s="1070"/>
      <c r="BX203" s="1070"/>
      <c r="BY203" s="1070"/>
      <c r="BZ203" s="1070"/>
      <c r="CA203" s="1070"/>
      <c r="CB203" s="1070"/>
      <c r="CC203" s="1070"/>
      <c r="CD203" s="1070"/>
      <c r="CE203" s="1070"/>
      <c r="CF203" s="1070"/>
      <c r="CG203" s="1070"/>
      <c r="CH203" s="1070"/>
      <c r="CI203" s="1070"/>
      <c r="CJ203" s="1070"/>
      <c r="CK203" s="1070"/>
      <c r="CL203" s="1070"/>
      <c r="CM203" s="1070"/>
      <c r="CN203" s="1070"/>
      <c r="CO203" s="1070"/>
      <c r="CP203" s="1070"/>
      <c r="CQ203" s="1070"/>
      <c r="CR203" s="1070"/>
      <c r="CS203" s="1070"/>
      <c r="CT203" s="1070"/>
      <c r="CU203" s="1070"/>
      <c r="CV203" s="1070"/>
      <c r="CW203" s="1070"/>
      <c r="CX203" s="1070"/>
      <c r="CY203" s="1070"/>
      <c r="CZ203" s="1070"/>
      <c r="DA203" s="1070"/>
      <c r="DB203" s="1070"/>
      <c r="DC203" s="1070"/>
      <c r="DD203" s="1070"/>
      <c r="DE203" s="1070"/>
      <c r="DF203" s="1070"/>
      <c r="DG203" s="1070"/>
      <c r="DH203" s="1070"/>
      <c r="DI203" s="1070"/>
      <c r="DJ203" s="1070"/>
    </row>
    <row r="204" spans="1:114" s="1136" customFormat="1" ht="27.75" customHeight="1" x14ac:dyDescent="0.25">
      <c r="A204" s="875" t="s">
        <v>5565</v>
      </c>
      <c r="B204" s="1326">
        <v>1</v>
      </c>
      <c r="C204" s="1384"/>
      <c r="D204" s="1384"/>
      <c r="E204" s="1384"/>
      <c r="F204" s="1384"/>
      <c r="G204" s="1384"/>
      <c r="H204" s="1070"/>
      <c r="I204" s="1070"/>
      <c r="J204" s="1315"/>
      <c r="K204" s="1316"/>
      <c r="L204" s="1316"/>
      <c r="M204" s="1315"/>
      <c r="N204" s="1070"/>
      <c r="O204" s="1070"/>
      <c r="P204" s="1070"/>
      <c r="Q204" s="1070"/>
      <c r="R204" s="1070"/>
      <c r="S204" s="1070"/>
      <c r="T204" s="1070"/>
      <c r="U204" s="1070"/>
      <c r="V204" s="1070"/>
      <c r="W204" s="1070"/>
      <c r="X204" s="1070"/>
      <c r="Y204" s="1070"/>
      <c r="Z204" s="1070"/>
      <c r="AA204" s="1070"/>
      <c r="AB204" s="1070"/>
      <c r="AC204" s="1070"/>
      <c r="AD204" s="1070"/>
      <c r="AE204" s="1070"/>
      <c r="AF204" s="1070"/>
      <c r="AG204" s="1070"/>
      <c r="AH204" s="1070"/>
      <c r="AI204" s="1070"/>
      <c r="AJ204" s="1070"/>
      <c r="AK204" s="1070"/>
      <c r="AL204" s="1070"/>
      <c r="AM204" s="1070"/>
      <c r="AN204" s="1070"/>
      <c r="AO204" s="1070"/>
      <c r="AP204" s="1070"/>
      <c r="AQ204" s="1070"/>
      <c r="AR204" s="1070"/>
      <c r="AS204" s="1070"/>
      <c r="AT204" s="1070"/>
      <c r="AU204" s="1070"/>
      <c r="AV204" s="1070"/>
      <c r="AW204" s="1070"/>
      <c r="AX204" s="1070"/>
      <c r="AY204" s="1070"/>
      <c r="AZ204" s="1070"/>
      <c r="BA204" s="1070"/>
      <c r="BB204" s="1070"/>
      <c r="BC204" s="1070"/>
      <c r="BD204" s="1070"/>
      <c r="BE204" s="1070"/>
      <c r="BF204" s="1070"/>
      <c r="BG204" s="1070"/>
      <c r="BH204" s="1070"/>
      <c r="BI204" s="1070"/>
      <c r="BJ204" s="1070"/>
      <c r="BK204" s="1070"/>
      <c r="BL204" s="1070"/>
      <c r="BM204" s="1070"/>
      <c r="BN204" s="1070"/>
      <c r="BO204" s="1070"/>
      <c r="BP204" s="1070"/>
      <c r="BQ204" s="1070"/>
      <c r="BR204" s="1070"/>
      <c r="BS204" s="1070"/>
      <c r="BT204" s="1070"/>
      <c r="BU204" s="1070"/>
      <c r="BV204" s="1070"/>
      <c r="BW204" s="1070"/>
      <c r="BX204" s="1070"/>
      <c r="BY204" s="1070"/>
      <c r="BZ204" s="1070"/>
      <c r="CA204" s="1070"/>
      <c r="CB204" s="1070"/>
      <c r="CC204" s="1070"/>
      <c r="CD204" s="1070"/>
      <c r="CE204" s="1070"/>
      <c r="CF204" s="1070"/>
      <c r="CG204" s="1070"/>
      <c r="CH204" s="1070"/>
      <c r="CI204" s="1070"/>
      <c r="CJ204" s="1070"/>
      <c r="CK204" s="1070"/>
      <c r="CL204" s="1070"/>
      <c r="CM204" s="1070"/>
      <c r="CN204" s="1070"/>
      <c r="CO204" s="1070"/>
      <c r="CP204" s="1070"/>
      <c r="CQ204" s="1070"/>
      <c r="CR204" s="1070"/>
      <c r="CS204" s="1070"/>
      <c r="CT204" s="1070"/>
      <c r="CU204" s="1070"/>
      <c r="CV204" s="1070"/>
      <c r="CW204" s="1070"/>
      <c r="CX204" s="1070"/>
      <c r="CY204" s="1070"/>
      <c r="CZ204" s="1070"/>
      <c r="DA204" s="1070"/>
      <c r="DB204" s="1070"/>
      <c r="DC204" s="1070"/>
      <c r="DD204" s="1070"/>
      <c r="DE204" s="1070"/>
      <c r="DF204" s="1070"/>
      <c r="DG204" s="1070"/>
      <c r="DH204" s="1070"/>
      <c r="DI204" s="1070"/>
      <c r="DJ204" s="1070"/>
    </row>
    <row r="205" spans="1:114" s="1136" customFormat="1" ht="27.75" customHeight="1" x14ac:dyDescent="0.25">
      <c r="A205" s="875" t="s">
        <v>3260</v>
      </c>
      <c r="B205" s="1358">
        <f>Оптимизация!B739</f>
        <v>0.8</v>
      </c>
      <c r="C205" s="1384"/>
      <c r="D205" s="1384"/>
      <c r="E205" s="1384"/>
      <c r="F205" s="1384"/>
      <c r="G205" s="1384"/>
      <c r="H205" s="1070"/>
      <c r="I205" s="1070"/>
      <c r="J205" s="1315"/>
      <c r="K205" s="1316"/>
      <c r="L205" s="1316"/>
      <c r="M205" s="1315"/>
      <c r="N205" s="1070"/>
      <c r="O205" s="1070"/>
      <c r="P205" s="1070"/>
      <c r="Q205" s="1070"/>
      <c r="R205" s="1070"/>
      <c r="S205" s="1070"/>
      <c r="T205" s="1070"/>
      <c r="U205" s="1070"/>
      <c r="V205" s="1070"/>
      <c r="W205" s="1070"/>
      <c r="X205" s="1070"/>
      <c r="Y205" s="1070"/>
      <c r="Z205" s="1070"/>
      <c r="AA205" s="1070"/>
      <c r="AB205" s="1070"/>
      <c r="AC205" s="1070"/>
      <c r="AD205" s="1070"/>
      <c r="AE205" s="1070"/>
      <c r="AF205" s="1070"/>
      <c r="AG205" s="1070"/>
      <c r="AH205" s="1070"/>
      <c r="AI205" s="1070"/>
      <c r="AJ205" s="1070"/>
      <c r="AK205" s="1070"/>
      <c r="AL205" s="1070"/>
      <c r="AM205" s="1070"/>
      <c r="AN205" s="1070"/>
      <c r="AO205" s="1070"/>
      <c r="AP205" s="1070"/>
      <c r="AQ205" s="1070"/>
      <c r="AR205" s="1070"/>
      <c r="AS205" s="1070"/>
      <c r="AT205" s="1070"/>
      <c r="AU205" s="1070"/>
      <c r="AV205" s="1070"/>
      <c r="AW205" s="1070"/>
      <c r="AX205" s="1070"/>
      <c r="AY205" s="1070"/>
      <c r="AZ205" s="1070"/>
      <c r="BA205" s="1070"/>
      <c r="BB205" s="1070"/>
      <c r="BC205" s="1070"/>
      <c r="BD205" s="1070"/>
      <c r="BE205" s="1070"/>
      <c r="BF205" s="1070"/>
      <c r="BG205" s="1070"/>
      <c r="BH205" s="1070"/>
      <c r="BI205" s="1070"/>
      <c r="BJ205" s="1070"/>
      <c r="BK205" s="1070"/>
      <c r="BL205" s="1070"/>
      <c r="BM205" s="1070"/>
      <c r="BN205" s="1070"/>
      <c r="BO205" s="1070"/>
      <c r="BP205" s="1070"/>
      <c r="BQ205" s="1070"/>
      <c r="BR205" s="1070"/>
      <c r="BS205" s="1070"/>
      <c r="BT205" s="1070"/>
      <c r="BU205" s="1070"/>
      <c r="BV205" s="1070"/>
      <c r="BW205" s="1070"/>
      <c r="BX205" s="1070"/>
      <c r="BY205" s="1070"/>
      <c r="BZ205" s="1070"/>
      <c r="CA205" s="1070"/>
      <c r="CB205" s="1070"/>
      <c r="CC205" s="1070"/>
      <c r="CD205" s="1070"/>
      <c r="CE205" s="1070"/>
      <c r="CF205" s="1070"/>
      <c r="CG205" s="1070"/>
      <c r="CH205" s="1070"/>
      <c r="CI205" s="1070"/>
      <c r="CJ205" s="1070"/>
      <c r="CK205" s="1070"/>
      <c r="CL205" s="1070"/>
      <c r="CM205" s="1070"/>
      <c r="CN205" s="1070"/>
      <c r="CO205" s="1070"/>
      <c r="CP205" s="1070"/>
      <c r="CQ205" s="1070"/>
      <c r="CR205" s="1070"/>
      <c r="CS205" s="1070"/>
      <c r="CT205" s="1070"/>
      <c r="CU205" s="1070"/>
      <c r="CV205" s="1070"/>
      <c r="CW205" s="1070"/>
      <c r="CX205" s="1070"/>
      <c r="CY205" s="1070"/>
      <c r="CZ205" s="1070"/>
      <c r="DA205" s="1070"/>
      <c r="DB205" s="1070"/>
      <c r="DC205" s="1070"/>
      <c r="DD205" s="1070"/>
      <c r="DE205" s="1070"/>
      <c r="DF205" s="1070"/>
      <c r="DG205" s="1070"/>
      <c r="DH205" s="1070"/>
      <c r="DI205" s="1070"/>
      <c r="DJ205" s="1070"/>
    </row>
    <row r="206" spans="1:114" s="1136" customFormat="1" ht="27.75" customHeight="1" x14ac:dyDescent="0.25">
      <c r="A206" s="875" t="s">
        <v>3261</v>
      </c>
      <c r="B206" s="1358">
        <f>Оптимизация!B740</f>
        <v>0.8</v>
      </c>
      <c r="C206" s="1384"/>
      <c r="D206" s="1384"/>
      <c r="E206" s="1384"/>
      <c r="F206" s="1384"/>
      <c r="G206" s="1384"/>
      <c r="H206" s="1070"/>
      <c r="I206" s="3117"/>
      <c r="J206" s="3118" t="s">
        <v>5788</v>
      </c>
      <c r="K206" s="3118"/>
      <c r="L206" s="3119"/>
      <c r="M206" s="3119"/>
      <c r="N206" s="3119"/>
      <c r="P206" s="3119"/>
      <c r="Q206" s="3119"/>
      <c r="R206" s="1070"/>
      <c r="S206" s="1070"/>
      <c r="T206" s="1070"/>
      <c r="U206" s="1070"/>
      <c r="V206" s="1070"/>
      <c r="W206" s="1070"/>
      <c r="X206" s="1070"/>
      <c r="Y206" s="1070"/>
      <c r="Z206" s="1070"/>
      <c r="AA206" s="1070"/>
      <c r="AB206" s="1070"/>
      <c r="AC206" s="1070"/>
      <c r="AD206" s="1070"/>
      <c r="AE206" s="1070"/>
      <c r="AF206" s="1070"/>
      <c r="AG206" s="1070"/>
      <c r="AH206" s="1070"/>
      <c r="AI206" s="1070"/>
      <c r="AJ206" s="1070"/>
      <c r="AK206" s="1070"/>
      <c r="AL206" s="1070"/>
      <c r="AM206" s="1070"/>
      <c r="AN206" s="1070"/>
      <c r="AO206" s="1070"/>
      <c r="AP206" s="1070"/>
      <c r="AQ206" s="1070"/>
      <c r="AR206" s="1070"/>
      <c r="AS206" s="1070"/>
      <c r="AT206" s="1070"/>
      <c r="AU206" s="1070"/>
      <c r="AV206" s="1070"/>
      <c r="AW206" s="1070"/>
      <c r="AX206" s="1070"/>
      <c r="AY206" s="1070"/>
      <c r="AZ206" s="1070"/>
      <c r="BA206" s="1070"/>
      <c r="BB206" s="1070"/>
      <c r="BC206" s="1070"/>
      <c r="BD206" s="1070"/>
      <c r="BE206" s="1070"/>
      <c r="BF206" s="1070"/>
      <c r="BG206" s="1070"/>
      <c r="BH206" s="1070"/>
      <c r="BI206" s="1070"/>
      <c r="BJ206" s="1070"/>
      <c r="BK206" s="1070"/>
      <c r="BL206" s="1070"/>
      <c r="BM206" s="1070"/>
      <c r="BN206" s="1070"/>
      <c r="BO206" s="1070"/>
      <c r="BP206" s="1070"/>
      <c r="BQ206" s="1070"/>
      <c r="BR206" s="1070"/>
      <c r="BS206" s="1070"/>
      <c r="BT206" s="1070"/>
      <c r="BU206" s="1070"/>
      <c r="BV206" s="1070"/>
      <c r="BW206" s="1070"/>
      <c r="BX206" s="1070"/>
      <c r="BY206" s="1070"/>
      <c r="BZ206" s="1070"/>
      <c r="CA206" s="1070"/>
      <c r="CB206" s="1070"/>
      <c r="CC206" s="1070"/>
      <c r="CD206" s="1070"/>
      <c r="CE206" s="1070"/>
      <c r="CF206" s="1070"/>
      <c r="CG206" s="1070"/>
      <c r="CH206" s="1070"/>
      <c r="CI206" s="1070"/>
      <c r="CJ206" s="1070"/>
      <c r="CK206" s="1070"/>
      <c r="CL206" s="1070"/>
      <c r="CM206" s="1070"/>
      <c r="CN206" s="1070"/>
      <c r="CO206" s="1070"/>
      <c r="CP206" s="1070"/>
      <c r="CQ206" s="1070"/>
      <c r="CR206" s="1070"/>
      <c r="CS206" s="1070"/>
      <c r="CT206" s="1070"/>
      <c r="CU206" s="1070"/>
      <c r="CV206" s="1070"/>
      <c r="CW206" s="1070"/>
      <c r="CX206" s="1070"/>
      <c r="CY206" s="1070"/>
      <c r="CZ206" s="1070"/>
      <c r="DA206" s="1070"/>
      <c r="DB206" s="1070"/>
      <c r="DC206" s="1070"/>
      <c r="DD206" s="1070"/>
      <c r="DE206" s="1070"/>
      <c r="DF206" s="1070"/>
      <c r="DG206" s="1070"/>
      <c r="DH206" s="1070"/>
      <c r="DI206" s="1070"/>
      <c r="DJ206" s="1070"/>
    </row>
    <row r="207" spans="1:114" s="1136" customFormat="1" ht="69.75" customHeight="1" thickBot="1" x14ac:dyDescent="0.3">
      <c r="A207" s="875" t="s">
        <v>3196</v>
      </c>
      <c r="B207" s="1326">
        <v>1</v>
      </c>
      <c r="C207" s="1384"/>
      <c r="D207" s="1384"/>
      <c r="E207" s="1384"/>
      <c r="F207" s="1384"/>
      <c r="G207" s="1384"/>
      <c r="H207" s="1070"/>
      <c r="I207" s="1315"/>
      <c r="J207" s="1316"/>
      <c r="K207" s="1316"/>
      <c r="L207" s="2987" t="s">
        <v>5488</v>
      </c>
      <c r="M207" s="2988" t="s">
        <v>3449</v>
      </c>
      <c r="N207" s="2988" t="s">
        <v>3450</v>
      </c>
      <c r="O207" s="2988" t="s">
        <v>5643</v>
      </c>
      <c r="Q207" s="3119"/>
      <c r="R207" s="3119"/>
      <c r="S207" s="3119" t="s">
        <v>5789</v>
      </c>
      <c r="T207" s="3119"/>
      <c r="U207" s="3119"/>
      <c r="V207" s="3119"/>
      <c r="W207" s="3119"/>
      <c r="X207" s="1070"/>
      <c r="Y207" s="1070"/>
      <c r="Z207" s="3119"/>
      <c r="AA207" s="3119" t="s">
        <v>5790</v>
      </c>
      <c r="AB207" s="3119"/>
      <c r="AC207" s="3119"/>
      <c r="AD207" s="3119"/>
      <c r="AE207" s="1070"/>
      <c r="AF207" s="1070"/>
      <c r="AG207" s="1070"/>
      <c r="AH207" s="1070"/>
      <c r="AI207" s="1070"/>
      <c r="AJ207" s="1070"/>
      <c r="AK207" s="1070"/>
      <c r="AL207" s="1070"/>
      <c r="AM207" s="1070"/>
      <c r="AN207" s="1070"/>
      <c r="AO207" s="1070"/>
      <c r="AP207" s="1070"/>
      <c r="AQ207" s="1070"/>
      <c r="AR207" s="1070"/>
      <c r="AS207" s="1070"/>
      <c r="AT207" s="1070"/>
      <c r="AU207" s="1070"/>
      <c r="AV207" s="1070"/>
      <c r="AW207" s="1070"/>
      <c r="AX207" s="1070"/>
      <c r="AY207" s="1070"/>
      <c r="AZ207" s="1070"/>
      <c r="BA207" s="1070"/>
      <c r="BB207" s="1070"/>
      <c r="BC207" s="1070"/>
      <c r="BD207" s="1070"/>
      <c r="BE207" s="1070"/>
      <c r="BF207" s="1070"/>
      <c r="BG207" s="1070"/>
      <c r="BH207" s="1070"/>
      <c r="BI207" s="1070"/>
      <c r="BJ207" s="1070"/>
      <c r="BK207" s="1070"/>
      <c r="BL207" s="1070"/>
      <c r="BM207" s="1070"/>
      <c r="BN207" s="1070"/>
      <c r="BO207" s="1070"/>
      <c r="BP207" s="1070"/>
      <c r="BQ207" s="1070"/>
      <c r="BR207" s="1070"/>
      <c r="BS207" s="1070"/>
      <c r="BT207" s="1070"/>
      <c r="BU207" s="1070"/>
      <c r="BV207" s="1070"/>
      <c r="BW207" s="1070"/>
      <c r="BX207" s="1070"/>
      <c r="BY207" s="1070"/>
      <c r="BZ207" s="1070"/>
      <c r="CA207" s="1070"/>
      <c r="CB207" s="1070"/>
      <c r="CC207" s="1070"/>
      <c r="CD207" s="1070"/>
      <c r="CE207" s="1070"/>
      <c r="CF207" s="1070"/>
      <c r="CG207" s="1070"/>
      <c r="CH207" s="1070"/>
      <c r="CI207" s="1070"/>
      <c r="CJ207" s="1070"/>
      <c r="CK207" s="1070"/>
      <c r="CL207" s="1070"/>
      <c r="CM207" s="1070"/>
      <c r="CN207" s="1070"/>
      <c r="CO207" s="1070"/>
      <c r="CP207" s="1070"/>
      <c r="CQ207" s="1070"/>
      <c r="CR207" s="1070"/>
      <c r="CS207" s="1070"/>
      <c r="CT207" s="1070"/>
      <c r="CU207" s="1070"/>
      <c r="CV207" s="1070"/>
      <c r="CW207" s="1070"/>
      <c r="CX207" s="1070"/>
      <c r="CY207" s="1070"/>
      <c r="CZ207" s="1070"/>
      <c r="DA207" s="1070"/>
      <c r="DB207" s="1070"/>
      <c r="DC207" s="1070"/>
      <c r="DD207" s="1070"/>
      <c r="DE207" s="1070"/>
      <c r="DF207" s="1070"/>
      <c r="DG207" s="1070"/>
      <c r="DH207" s="1070"/>
      <c r="DI207" s="1070"/>
      <c r="DJ207" s="1070"/>
    </row>
    <row r="208" spans="1:114" s="1136" customFormat="1" ht="27.75" customHeight="1" x14ac:dyDescent="0.25">
      <c r="A208" s="875" t="s">
        <v>3195</v>
      </c>
      <c r="B208" s="1326">
        <v>0</v>
      </c>
      <c r="C208" s="1384"/>
      <c r="D208" s="1384"/>
      <c r="E208" s="1384"/>
      <c r="F208" s="1384"/>
      <c r="G208" s="1384"/>
      <c r="H208" s="1070"/>
      <c r="I208" s="1931">
        <v>1</v>
      </c>
      <c r="J208" s="1932" t="s">
        <v>3480</v>
      </c>
      <c r="K208" s="1391">
        <v>1</v>
      </c>
      <c r="L208" s="3123" t="s">
        <v>5651</v>
      </c>
      <c r="M208" s="3109">
        <v>0.85</v>
      </c>
      <c r="N208" s="3109">
        <v>1.3</v>
      </c>
      <c r="O208" s="3109">
        <v>5.5</v>
      </c>
      <c r="P208" s="3073">
        <v>1</v>
      </c>
      <c r="Q208" s="3073">
        <v>1</v>
      </c>
      <c r="R208" s="1933" t="s">
        <v>5484</v>
      </c>
      <c r="S208" s="1934" t="s">
        <v>5485</v>
      </c>
      <c r="T208" s="2" t="s">
        <v>2720</v>
      </c>
      <c r="U208" s="3" t="s">
        <v>2721</v>
      </c>
      <c r="V208" s="1070" t="s">
        <v>5785</v>
      </c>
      <c r="W208" s="1136" t="s">
        <v>5786</v>
      </c>
      <c r="Z208" s="1187" t="s">
        <v>1863</v>
      </c>
      <c r="AA208" s="3096" t="s">
        <v>5414</v>
      </c>
      <c r="AB208" s="3092"/>
      <c r="AC208" s="3092"/>
      <c r="AD208" s="3097"/>
      <c r="AE208" s="1070" t="s">
        <v>2090</v>
      </c>
      <c r="AF208" s="5" t="s">
        <v>649</v>
      </c>
      <c r="AG208" s="3093" t="s">
        <v>3673</v>
      </c>
      <c r="AH208" s="1070"/>
      <c r="AI208" s="1070"/>
      <c r="AJ208" s="1070"/>
      <c r="AK208" s="1070"/>
      <c r="AL208" s="1070"/>
      <c r="AM208" s="1070"/>
      <c r="AN208" s="1070"/>
      <c r="AO208" s="1070"/>
      <c r="AP208" s="1070"/>
      <c r="AQ208" s="1070"/>
      <c r="AR208" s="1070"/>
      <c r="AS208" s="1070"/>
      <c r="AT208" s="1070"/>
      <c r="AU208" s="1070"/>
      <c r="AV208" s="1070"/>
      <c r="AW208" s="1070"/>
      <c r="AX208" s="1070"/>
      <c r="AY208" s="1070"/>
      <c r="AZ208" s="1070"/>
      <c r="BA208" s="1070"/>
      <c r="BB208" s="1070"/>
      <c r="BC208" s="1070"/>
      <c r="BD208" s="1070"/>
      <c r="BE208" s="1070"/>
      <c r="BF208" s="1070"/>
      <c r="BG208" s="1070"/>
      <c r="BH208" s="1070"/>
      <c r="BI208" s="1070"/>
      <c r="BJ208" s="1070"/>
      <c r="BK208" s="1070"/>
      <c r="BL208" s="1070"/>
      <c r="BM208" s="1070"/>
      <c r="BN208" s="1070"/>
      <c r="BO208" s="1070"/>
      <c r="BP208" s="1070"/>
      <c r="BQ208" s="1070"/>
      <c r="BR208" s="1070"/>
      <c r="BS208" s="1070"/>
      <c r="BT208" s="1070"/>
      <c r="BU208" s="1070"/>
      <c r="BV208" s="1070"/>
      <c r="BW208" s="1070"/>
      <c r="BX208" s="1070"/>
      <c r="BY208" s="1070"/>
      <c r="BZ208" s="1070"/>
      <c r="CA208" s="1070"/>
      <c r="CB208" s="1070"/>
      <c r="CC208" s="1070"/>
      <c r="CD208" s="1070"/>
      <c r="CE208" s="1070"/>
      <c r="CF208" s="1070"/>
      <c r="CG208" s="1070"/>
      <c r="CH208" s="1070"/>
      <c r="CI208" s="1070"/>
      <c r="CJ208" s="1070"/>
      <c r="CK208" s="1070"/>
      <c r="CL208" s="1070"/>
      <c r="CM208" s="1070"/>
      <c r="CN208" s="1070"/>
      <c r="CO208" s="1070"/>
      <c r="CP208" s="1070"/>
      <c r="CQ208" s="1070"/>
      <c r="CR208" s="1070"/>
      <c r="CS208" s="1070"/>
      <c r="CT208" s="1070"/>
      <c r="CU208" s="1070"/>
      <c r="CV208" s="1070"/>
      <c r="CW208" s="1070"/>
      <c r="CX208" s="1070"/>
      <c r="CY208" s="1070"/>
      <c r="CZ208" s="1070"/>
      <c r="DA208" s="1070"/>
      <c r="DB208" s="1070"/>
      <c r="DC208" s="1070"/>
      <c r="DD208" s="1070"/>
      <c r="DE208" s="1070"/>
      <c r="DF208" s="1070"/>
      <c r="DG208" s="1070"/>
      <c r="DH208" s="1070"/>
      <c r="DI208" s="1070"/>
      <c r="DJ208" s="1070"/>
    </row>
    <row r="209" spans="1:114" s="1136" customFormat="1" ht="27.75" customHeight="1" x14ac:dyDescent="0.25">
      <c r="A209" s="875" t="s">
        <v>3262</v>
      </c>
      <c r="B209" s="1369">
        <f>kursovoy!B848</f>
        <v>2.2000000000000002</v>
      </c>
      <c r="C209" s="1384"/>
      <c r="D209" s="1384"/>
      <c r="E209" s="1384"/>
      <c r="F209" s="1384"/>
      <c r="G209" s="1384"/>
      <c r="H209" s="1070"/>
      <c r="I209" s="422">
        <v>2</v>
      </c>
      <c r="J209" s="202" t="s">
        <v>132</v>
      </c>
      <c r="K209" s="1391">
        <v>1</v>
      </c>
      <c r="L209" s="3124" t="s">
        <v>5653</v>
      </c>
      <c r="M209" s="2990">
        <v>0.85</v>
      </c>
      <c r="N209" s="2990">
        <v>1.6</v>
      </c>
      <c r="O209" s="2990">
        <v>6</v>
      </c>
      <c r="P209" s="3073">
        <v>2</v>
      </c>
      <c r="Q209" s="3009">
        <v>2</v>
      </c>
      <c r="R209" s="3120" t="s">
        <v>4820</v>
      </c>
      <c r="S209" s="2990" t="s">
        <v>5634</v>
      </c>
      <c r="T209" s="1935">
        <v>1</v>
      </c>
      <c r="U209" s="253">
        <v>2</v>
      </c>
      <c r="V209" s="2990">
        <v>0.85</v>
      </c>
      <c r="W209" s="2990">
        <v>1.2</v>
      </c>
      <c r="Z209" s="1188">
        <v>1</v>
      </c>
      <c r="AA209" s="5" t="s">
        <v>144</v>
      </c>
      <c r="AB209" s="5"/>
      <c r="AC209" s="5"/>
      <c r="AD209" s="1160"/>
      <c r="AE209" s="1070">
        <v>7</v>
      </c>
      <c r="AF209" s="3009">
        <v>1</v>
      </c>
      <c r="AG209" s="5" t="s">
        <v>5619</v>
      </c>
      <c r="AH209" s="1070"/>
      <c r="AI209" s="1070"/>
      <c r="AJ209" s="1070"/>
      <c r="AK209" s="1070"/>
      <c r="AL209" s="1070"/>
      <c r="AM209" s="1070"/>
      <c r="AN209" s="1070"/>
      <c r="AO209" s="1070"/>
      <c r="AP209" s="1070"/>
      <c r="AQ209" s="1070"/>
      <c r="AR209" s="1070"/>
      <c r="AS209" s="1070"/>
      <c r="AT209" s="1070"/>
      <c r="AU209" s="1070"/>
      <c r="AV209" s="1070"/>
      <c r="AW209" s="1070"/>
      <c r="AX209" s="1070"/>
      <c r="AY209" s="1070"/>
      <c r="AZ209" s="1070"/>
      <c r="BA209" s="1070"/>
      <c r="BB209" s="1070"/>
      <c r="BC209" s="1070"/>
      <c r="BD209" s="1070"/>
      <c r="BE209" s="1070"/>
      <c r="BF209" s="1070"/>
      <c r="BG209" s="1070"/>
      <c r="BH209" s="1070"/>
      <c r="BI209" s="1070"/>
      <c r="BJ209" s="1070"/>
      <c r="BK209" s="1070"/>
      <c r="BL209" s="1070"/>
      <c r="BM209" s="1070"/>
      <c r="BN209" s="1070"/>
      <c r="BO209" s="1070"/>
      <c r="BP209" s="1070"/>
      <c r="BQ209" s="1070"/>
      <c r="BR209" s="1070"/>
      <c r="BS209" s="1070"/>
      <c r="BT209" s="1070"/>
      <c r="BU209" s="1070"/>
      <c r="BV209" s="1070"/>
      <c r="BW209" s="1070"/>
      <c r="BX209" s="1070"/>
      <c r="BY209" s="1070"/>
      <c r="BZ209" s="1070"/>
      <c r="CA209" s="1070"/>
      <c r="CB209" s="1070"/>
      <c r="CC209" s="1070"/>
      <c r="CD209" s="1070"/>
      <c r="CE209" s="1070"/>
      <c r="CF209" s="1070"/>
      <c r="CG209" s="1070"/>
      <c r="CH209" s="1070"/>
      <c r="CI209" s="1070"/>
      <c r="CJ209" s="1070"/>
      <c r="CK209" s="1070"/>
      <c r="CL209" s="1070"/>
      <c r="CM209" s="1070"/>
      <c r="CN209" s="1070"/>
      <c r="CO209" s="1070"/>
      <c r="CP209" s="1070"/>
      <c r="CQ209" s="1070"/>
      <c r="CR209" s="1070"/>
      <c r="CS209" s="1070"/>
      <c r="CT209" s="1070"/>
      <c r="CU209" s="1070"/>
      <c r="CV209" s="1070"/>
      <c r="CW209" s="1070"/>
      <c r="CX209" s="1070"/>
      <c r="CY209" s="1070"/>
      <c r="CZ209" s="1070"/>
      <c r="DA209" s="1070"/>
      <c r="DB209" s="1070"/>
      <c r="DC209" s="1070"/>
      <c r="DD209" s="1070"/>
      <c r="DE209" s="1070"/>
      <c r="DF209" s="1070"/>
      <c r="DG209" s="1070"/>
      <c r="DH209" s="1070"/>
      <c r="DI209" s="1070"/>
      <c r="DJ209" s="1070"/>
    </row>
    <row r="210" spans="1:114" s="1136" customFormat="1" ht="27.75" customHeight="1" x14ac:dyDescent="0.25">
      <c r="A210" s="875" t="s">
        <v>2668</v>
      </c>
      <c r="B210" s="1332">
        <v>0.8</v>
      </c>
      <c r="C210" s="1384"/>
      <c r="D210" s="1384"/>
      <c r="E210" s="1384"/>
      <c r="F210" s="1384"/>
      <c r="G210" s="1384"/>
      <c r="H210" s="1070"/>
      <c r="I210" s="422">
        <v>3</v>
      </c>
      <c r="J210" s="202" t="s">
        <v>3483</v>
      </c>
      <c r="K210" s="1391">
        <v>1</v>
      </c>
      <c r="L210" s="3124" t="s">
        <v>5631</v>
      </c>
      <c r="M210" s="2990">
        <v>0.85</v>
      </c>
      <c r="N210" s="2991">
        <v>1.5</v>
      </c>
      <c r="O210" s="2990">
        <v>10</v>
      </c>
      <c r="P210" s="3073">
        <v>3</v>
      </c>
      <c r="Q210" s="3009">
        <v>3</v>
      </c>
      <c r="R210" s="3120" t="s">
        <v>4823</v>
      </c>
      <c r="S210" s="2990" t="s">
        <v>5639</v>
      </c>
      <c r="T210" s="1935">
        <v>2</v>
      </c>
      <c r="U210" s="253">
        <v>5</v>
      </c>
      <c r="V210" s="2990">
        <v>1.1000000000000001</v>
      </c>
      <c r="W210" s="2990">
        <v>1.5</v>
      </c>
      <c r="Z210" s="1188">
        <v>2</v>
      </c>
      <c r="AA210" s="5" t="s">
        <v>145</v>
      </c>
      <c r="AB210" s="5" t="s">
        <v>5403</v>
      </c>
      <c r="AC210" s="5" t="s">
        <v>145</v>
      </c>
      <c r="AD210" s="1160"/>
      <c r="AE210" s="1070">
        <v>7</v>
      </c>
      <c r="AF210" s="3009">
        <v>2</v>
      </c>
      <c r="AG210" s="5" t="s">
        <v>5637</v>
      </c>
      <c r="AH210" s="1070"/>
      <c r="AI210" s="1070"/>
      <c r="AJ210" s="1070"/>
      <c r="AK210" s="1070"/>
      <c r="AL210" s="1070"/>
      <c r="AM210" s="1070"/>
      <c r="AN210" s="1070"/>
      <c r="AO210" s="1070"/>
      <c r="AP210" s="1070"/>
      <c r="AQ210" s="1070"/>
      <c r="AR210" s="1070"/>
      <c r="AS210" s="1070"/>
      <c r="AT210" s="1070"/>
      <c r="AU210" s="1070"/>
      <c r="AV210" s="1070"/>
      <c r="AW210" s="1070"/>
      <c r="AX210" s="1070"/>
      <c r="AY210" s="1070"/>
      <c r="AZ210" s="1070"/>
      <c r="BA210" s="1070"/>
      <c r="BB210" s="1070"/>
      <c r="BC210" s="1070"/>
      <c r="BD210" s="1070"/>
      <c r="BE210" s="1070"/>
      <c r="BF210" s="1070"/>
      <c r="BG210" s="1070"/>
      <c r="BH210" s="1070"/>
      <c r="BI210" s="1070"/>
      <c r="BJ210" s="1070"/>
      <c r="BK210" s="1070"/>
      <c r="BL210" s="1070"/>
      <c r="BM210" s="1070"/>
      <c r="BN210" s="1070"/>
      <c r="BO210" s="1070"/>
      <c r="BP210" s="1070"/>
      <c r="BQ210" s="1070"/>
      <c r="BR210" s="1070"/>
      <c r="BS210" s="1070"/>
      <c r="BT210" s="1070"/>
      <c r="BU210" s="1070"/>
      <c r="BV210" s="1070"/>
      <c r="BW210" s="1070"/>
      <c r="BX210" s="1070"/>
      <c r="BY210" s="1070"/>
      <c r="BZ210" s="1070"/>
      <c r="CA210" s="1070"/>
      <c r="CB210" s="1070"/>
      <c r="CC210" s="1070"/>
      <c r="CD210" s="1070"/>
      <c r="CE210" s="1070"/>
      <c r="CF210" s="1070"/>
      <c r="CG210" s="1070"/>
      <c r="CH210" s="1070"/>
      <c r="CI210" s="1070"/>
      <c r="CJ210" s="1070"/>
      <c r="CK210" s="1070"/>
      <c r="CL210" s="1070"/>
      <c r="CM210" s="1070"/>
      <c r="CN210" s="1070"/>
      <c r="CO210" s="1070"/>
      <c r="CP210" s="1070"/>
      <c r="CQ210" s="1070"/>
      <c r="CR210" s="1070"/>
      <c r="CS210" s="1070"/>
      <c r="CT210" s="1070"/>
      <c r="CU210" s="1070"/>
      <c r="CV210" s="1070"/>
      <c r="CW210" s="1070"/>
      <c r="CX210" s="1070"/>
      <c r="CY210" s="1070"/>
      <c r="CZ210" s="1070"/>
      <c r="DA210" s="1070"/>
      <c r="DB210" s="1070"/>
      <c r="DC210" s="1070"/>
      <c r="DD210" s="1070"/>
      <c r="DE210" s="1070"/>
      <c r="DF210" s="1070"/>
      <c r="DG210" s="1070"/>
      <c r="DH210" s="1070"/>
      <c r="DI210" s="1070"/>
      <c r="DJ210" s="1070"/>
    </row>
    <row r="211" spans="1:114" s="1136" customFormat="1" ht="27.75" customHeight="1" x14ac:dyDescent="0.25">
      <c r="A211" s="875" t="s">
        <v>1026</v>
      </c>
      <c r="B211" s="1325">
        <v>5</v>
      </c>
      <c r="C211" s="1384"/>
      <c r="D211" s="1384"/>
      <c r="E211" s="1384"/>
      <c r="F211" s="1384"/>
      <c r="G211" s="1384"/>
      <c r="H211" s="1070"/>
      <c r="I211" s="422">
        <v>4</v>
      </c>
      <c r="J211" s="202" t="s">
        <v>133</v>
      </c>
      <c r="K211" s="1391">
        <v>1</v>
      </c>
      <c r="L211" s="3124" t="s">
        <v>5616</v>
      </c>
      <c r="M211" s="2990">
        <v>0.85</v>
      </c>
      <c r="N211" s="2990">
        <v>1.5</v>
      </c>
      <c r="O211" s="2990">
        <v>12</v>
      </c>
      <c r="P211" s="3073">
        <v>4</v>
      </c>
      <c r="Q211" s="3009">
        <v>4</v>
      </c>
      <c r="R211" s="3120" t="s">
        <v>4820</v>
      </c>
      <c r="S211" s="2990" t="s">
        <v>2778</v>
      </c>
      <c r="T211" s="1935">
        <v>3</v>
      </c>
      <c r="U211" s="1936">
        <v>2</v>
      </c>
      <c r="V211" s="2990">
        <v>0.85</v>
      </c>
      <c r="W211" s="2990">
        <v>1.25</v>
      </c>
      <c r="Z211" s="1188">
        <v>3</v>
      </c>
      <c r="AA211" s="5" t="s">
        <v>146</v>
      </c>
      <c r="AB211" s="5" t="s">
        <v>1103</v>
      </c>
      <c r="AC211" s="5"/>
      <c r="AD211" s="1160"/>
      <c r="AE211" s="1070">
        <v>5</v>
      </c>
      <c r="AF211" s="3009">
        <v>3</v>
      </c>
      <c r="AG211" s="5" t="s">
        <v>152</v>
      </c>
      <c r="AH211" s="1070"/>
      <c r="AI211" s="1070"/>
      <c r="AJ211" s="1070"/>
      <c r="AK211" s="1070"/>
      <c r="AL211" s="1070"/>
      <c r="AM211" s="1070"/>
      <c r="AN211" s="1070"/>
      <c r="AO211" s="1070"/>
      <c r="AP211" s="1070"/>
      <c r="AQ211" s="1070"/>
      <c r="AR211" s="1070"/>
      <c r="AS211" s="1070"/>
      <c r="AT211" s="1070"/>
      <c r="AU211" s="1070"/>
      <c r="AV211" s="1070"/>
      <c r="AW211" s="1070"/>
      <c r="AX211" s="1070"/>
      <c r="AY211" s="1070"/>
      <c r="AZ211" s="1070"/>
      <c r="BA211" s="1070"/>
      <c r="BB211" s="1070"/>
      <c r="BC211" s="1070"/>
      <c r="BD211" s="1070"/>
      <c r="BE211" s="1070"/>
      <c r="BF211" s="1070"/>
      <c r="BG211" s="1070"/>
      <c r="BH211" s="1070"/>
      <c r="BI211" s="1070"/>
      <c r="BJ211" s="1070"/>
      <c r="BK211" s="1070"/>
      <c r="BL211" s="1070"/>
      <c r="BM211" s="1070"/>
      <c r="BN211" s="1070"/>
      <c r="BO211" s="1070"/>
      <c r="BP211" s="1070"/>
      <c r="BQ211" s="1070"/>
      <c r="BR211" s="1070"/>
      <c r="BS211" s="1070"/>
      <c r="BT211" s="1070"/>
      <c r="BU211" s="1070"/>
      <c r="BV211" s="1070"/>
      <c r="BW211" s="1070"/>
      <c r="BX211" s="1070"/>
      <c r="BY211" s="1070"/>
      <c r="BZ211" s="1070"/>
      <c r="CA211" s="1070"/>
      <c r="CB211" s="1070"/>
      <c r="CC211" s="1070"/>
      <c r="CD211" s="1070"/>
      <c r="CE211" s="1070"/>
      <c r="CF211" s="1070"/>
      <c r="CG211" s="1070"/>
      <c r="CH211" s="1070"/>
      <c r="CI211" s="1070"/>
      <c r="CJ211" s="1070"/>
      <c r="CK211" s="1070"/>
      <c r="CL211" s="1070"/>
      <c r="CM211" s="1070"/>
      <c r="CN211" s="1070"/>
      <c r="CO211" s="1070"/>
      <c r="CP211" s="1070"/>
      <c r="CQ211" s="1070"/>
      <c r="CR211" s="1070"/>
      <c r="CS211" s="1070"/>
      <c r="CT211" s="1070"/>
      <c r="CU211" s="1070"/>
      <c r="CV211" s="1070"/>
      <c r="CW211" s="1070"/>
      <c r="CX211" s="1070"/>
      <c r="CY211" s="1070"/>
      <c r="CZ211" s="1070"/>
      <c r="DA211" s="1070"/>
      <c r="DB211" s="1070"/>
      <c r="DC211" s="1070"/>
      <c r="DD211" s="1070"/>
      <c r="DE211" s="1070"/>
      <c r="DF211" s="1070"/>
      <c r="DG211" s="1070"/>
      <c r="DH211" s="1070"/>
      <c r="DI211" s="1070"/>
      <c r="DJ211" s="1070"/>
    </row>
    <row r="212" spans="1:114" s="1136" customFormat="1" ht="27.75" customHeight="1" x14ac:dyDescent="0.25">
      <c r="A212" s="875" t="s">
        <v>3263</v>
      </c>
      <c r="B212" s="3116">
        <f>IF(kursovoy!B216=1,1,0)</f>
        <v>0</v>
      </c>
      <c r="C212" s="1384"/>
      <c r="D212" s="1384"/>
      <c r="E212" s="1384"/>
      <c r="F212" s="1384"/>
      <c r="G212" s="1384"/>
      <c r="H212" s="1070"/>
      <c r="I212" s="422">
        <v>5</v>
      </c>
      <c r="J212" s="202" t="s">
        <v>134</v>
      </c>
      <c r="K212" s="1391">
        <v>7</v>
      </c>
      <c r="L212" s="3124" t="s">
        <v>3478</v>
      </c>
      <c r="M212" s="2990">
        <v>0.85</v>
      </c>
      <c r="N212" s="2990">
        <v>1.2</v>
      </c>
      <c r="O212" s="2990">
        <v>3.3</v>
      </c>
      <c r="P212" s="3073">
        <v>5</v>
      </c>
      <c r="Q212" s="3009">
        <v>5</v>
      </c>
      <c r="R212" s="3120" t="s">
        <v>4823</v>
      </c>
      <c r="S212" s="2990" t="s">
        <v>3481</v>
      </c>
      <c r="T212" s="1935">
        <v>4</v>
      </c>
      <c r="U212" s="253">
        <v>5</v>
      </c>
      <c r="V212" s="2990">
        <v>1.1000000000000001</v>
      </c>
      <c r="W212" s="2990">
        <v>1.5</v>
      </c>
      <c r="Z212" s="1188">
        <v>4</v>
      </c>
      <c r="AA212" s="5" t="s">
        <v>147</v>
      </c>
      <c r="AB212" s="5" t="s">
        <v>147</v>
      </c>
      <c r="AC212" s="5"/>
      <c r="AD212" s="1160"/>
      <c r="AE212" s="1070">
        <v>2</v>
      </c>
      <c r="AF212" s="3009">
        <v>4</v>
      </c>
      <c r="AG212" s="5" t="s">
        <v>1918</v>
      </c>
      <c r="AH212" s="1070"/>
      <c r="AI212" s="1070"/>
      <c r="AJ212" s="1070"/>
      <c r="AK212" s="1070"/>
      <c r="AL212" s="1070"/>
      <c r="AM212" s="1070"/>
      <c r="AN212" s="1070"/>
      <c r="AO212" s="1070"/>
      <c r="AP212" s="1070"/>
      <c r="AQ212" s="1070"/>
      <c r="AR212" s="1070"/>
      <c r="AS212" s="1070"/>
      <c r="AT212" s="1070"/>
      <c r="AU212" s="1070"/>
      <c r="AV212" s="1070"/>
      <c r="AW212" s="1070"/>
      <c r="AX212" s="1070"/>
      <c r="AY212" s="1070"/>
      <c r="AZ212" s="1070"/>
      <c r="BA212" s="1070"/>
      <c r="BB212" s="1070"/>
      <c r="BC212" s="1070"/>
      <c r="BD212" s="1070"/>
      <c r="BE212" s="1070"/>
      <c r="BF212" s="1070"/>
      <c r="BG212" s="1070"/>
      <c r="BH212" s="1070"/>
      <c r="BI212" s="1070"/>
      <c r="BJ212" s="1070"/>
      <c r="BK212" s="1070"/>
      <c r="BL212" s="1070"/>
      <c r="BM212" s="1070"/>
      <c r="BN212" s="1070"/>
      <c r="BO212" s="1070"/>
      <c r="BP212" s="1070"/>
      <c r="BQ212" s="1070"/>
      <c r="BR212" s="1070"/>
      <c r="BS212" s="1070"/>
      <c r="BT212" s="1070"/>
      <c r="BU212" s="1070"/>
      <c r="BV212" s="1070"/>
      <c r="BW212" s="1070"/>
      <c r="BX212" s="1070"/>
      <c r="BY212" s="1070"/>
      <c r="BZ212" s="1070"/>
      <c r="CA212" s="1070"/>
      <c r="CB212" s="1070"/>
      <c r="CC212" s="1070"/>
      <c r="CD212" s="1070"/>
      <c r="CE212" s="1070"/>
      <c r="CF212" s="1070"/>
      <c r="CG212" s="1070"/>
      <c r="CH212" s="1070"/>
      <c r="CI212" s="1070"/>
      <c r="CJ212" s="1070"/>
      <c r="CK212" s="1070"/>
      <c r="CL212" s="1070"/>
      <c r="CM212" s="1070"/>
      <c r="CN212" s="1070"/>
      <c r="CO212" s="1070"/>
      <c r="CP212" s="1070"/>
      <c r="CQ212" s="1070"/>
      <c r="CR212" s="1070"/>
      <c r="CS212" s="1070"/>
      <c r="CT212" s="1070"/>
      <c r="CU212" s="1070"/>
      <c r="CV212" s="1070"/>
      <c r="CW212" s="1070"/>
      <c r="CX212" s="1070"/>
      <c r="CY212" s="1070"/>
      <c r="CZ212" s="1070"/>
      <c r="DA212" s="1070"/>
      <c r="DB212" s="1070"/>
      <c r="DC212" s="1070"/>
      <c r="DD212" s="1070"/>
      <c r="DE212" s="1070"/>
      <c r="DF212" s="1070"/>
      <c r="DG212" s="1070"/>
      <c r="DH212" s="1070"/>
      <c r="DI212" s="1070"/>
      <c r="DJ212" s="1070"/>
    </row>
    <row r="213" spans="1:114" s="1136" customFormat="1" ht="27.75" customHeight="1" x14ac:dyDescent="0.25">
      <c r="A213" s="875" t="s">
        <v>3264</v>
      </c>
      <c r="B213" s="1937" t="str">
        <f>kursovoy!B225</f>
        <v/>
      </c>
      <c r="C213" s="1384"/>
      <c r="D213" s="1384"/>
      <c r="E213" s="1384"/>
      <c r="F213" s="1384"/>
      <c r="G213" s="1384"/>
      <c r="H213" s="1070"/>
      <c r="I213" s="422">
        <v>6</v>
      </c>
      <c r="J213" s="202" t="s">
        <v>3477</v>
      </c>
      <c r="K213" s="1391">
        <v>7</v>
      </c>
      <c r="L213" s="3124" t="s">
        <v>5614</v>
      </c>
      <c r="M213" s="2990">
        <v>0.85</v>
      </c>
      <c r="N213" s="2990">
        <v>1.2</v>
      </c>
      <c r="O213" s="2990">
        <v>3.3</v>
      </c>
      <c r="P213" s="3073">
        <v>6</v>
      </c>
      <c r="Q213" s="3009">
        <v>6</v>
      </c>
      <c r="R213" s="3120" t="s">
        <v>4823</v>
      </c>
      <c r="S213" s="2990" t="s">
        <v>657</v>
      </c>
      <c r="T213" s="1935">
        <v>5</v>
      </c>
      <c r="U213" s="253">
        <v>5</v>
      </c>
      <c r="V213" s="2990">
        <v>1.35</v>
      </c>
      <c r="W213" s="2990">
        <v>2</v>
      </c>
      <c r="Z213" s="1188">
        <v>5</v>
      </c>
      <c r="AA213" s="5" t="s">
        <v>148</v>
      </c>
      <c r="AB213" s="857" t="s">
        <v>5404</v>
      </c>
      <c r="AC213" s="5"/>
      <c r="AD213" s="1160"/>
      <c r="AE213" s="1070">
        <v>1</v>
      </c>
      <c r="AF213" s="3009">
        <v>5</v>
      </c>
      <c r="AG213" s="5" t="s">
        <v>5621</v>
      </c>
      <c r="AH213" s="1070"/>
      <c r="AI213" s="1070"/>
      <c r="AJ213" s="1070"/>
      <c r="AK213" s="1070"/>
      <c r="AL213" s="1070"/>
      <c r="AM213" s="1070"/>
      <c r="AN213" s="1070"/>
      <c r="AO213" s="1070"/>
      <c r="AP213" s="1070"/>
      <c r="AQ213" s="1070"/>
      <c r="AR213" s="1070"/>
      <c r="AS213" s="1070"/>
      <c r="AT213" s="1070"/>
      <c r="AU213" s="1070"/>
      <c r="AV213" s="1070"/>
      <c r="AW213" s="1070"/>
      <c r="AX213" s="1070"/>
      <c r="AY213" s="1070"/>
      <c r="AZ213" s="1070"/>
      <c r="BA213" s="1070"/>
      <c r="BB213" s="1070"/>
      <c r="BC213" s="1070"/>
      <c r="BD213" s="1070"/>
      <c r="BE213" s="1070"/>
      <c r="BF213" s="1070"/>
      <c r="BG213" s="1070"/>
      <c r="BH213" s="1070"/>
      <c r="BI213" s="1070"/>
      <c r="BJ213" s="1070"/>
      <c r="BK213" s="1070"/>
      <c r="BL213" s="1070"/>
      <c r="BM213" s="1070"/>
      <c r="BN213" s="1070"/>
      <c r="BO213" s="1070"/>
      <c r="BP213" s="1070"/>
      <c r="BQ213" s="1070"/>
      <c r="BR213" s="1070"/>
      <c r="BS213" s="1070"/>
      <c r="BT213" s="1070"/>
      <c r="BU213" s="1070"/>
      <c r="BV213" s="1070"/>
      <c r="BW213" s="1070"/>
      <c r="BX213" s="1070"/>
      <c r="BY213" s="1070"/>
      <c r="BZ213" s="1070"/>
      <c r="CA213" s="1070"/>
      <c r="CB213" s="1070"/>
      <c r="CC213" s="1070"/>
      <c r="CD213" s="1070"/>
      <c r="CE213" s="1070"/>
      <c r="CF213" s="1070"/>
      <c r="CG213" s="1070"/>
      <c r="CH213" s="1070"/>
      <c r="CI213" s="1070"/>
      <c r="CJ213" s="1070"/>
      <c r="CK213" s="1070"/>
      <c r="CL213" s="1070"/>
      <c r="CM213" s="1070"/>
      <c r="CN213" s="1070"/>
      <c r="CO213" s="1070"/>
      <c r="CP213" s="1070"/>
      <c r="CQ213" s="1070"/>
      <c r="CR213" s="1070"/>
      <c r="CS213" s="1070"/>
      <c r="CT213" s="1070"/>
      <c r="CU213" s="1070"/>
      <c r="CV213" s="1070"/>
      <c r="CW213" s="1070"/>
      <c r="CX213" s="1070"/>
      <c r="CY213" s="1070"/>
      <c r="CZ213" s="1070"/>
      <c r="DA213" s="1070"/>
      <c r="DB213" s="1070"/>
      <c r="DC213" s="1070"/>
      <c r="DD213" s="1070"/>
      <c r="DE213" s="1070"/>
      <c r="DF213" s="1070"/>
      <c r="DG213" s="1070"/>
      <c r="DH213" s="1070"/>
      <c r="DI213" s="1070"/>
      <c r="DJ213" s="1070"/>
    </row>
    <row r="214" spans="1:114" s="1136" customFormat="1" ht="27.75" customHeight="1" x14ac:dyDescent="0.25">
      <c r="A214" s="875" t="s">
        <v>4127</v>
      </c>
      <c r="B214" s="1938" t="str">
        <f>kursovoy!B210</f>
        <v/>
      </c>
      <c r="C214" s="1384"/>
      <c r="D214" s="1384"/>
      <c r="E214" s="1384"/>
      <c r="F214" s="1384"/>
      <c r="G214" s="1384"/>
      <c r="H214" s="1070"/>
      <c r="I214" s="422">
        <v>7</v>
      </c>
      <c r="J214" s="202" t="s">
        <v>3478</v>
      </c>
      <c r="K214" s="1391">
        <v>1</v>
      </c>
      <c r="L214" s="3124" t="s">
        <v>3480</v>
      </c>
      <c r="M214" s="2990">
        <v>1.1499999999999999</v>
      </c>
      <c r="N214" s="2990">
        <v>1.3</v>
      </c>
      <c r="O214" s="2990">
        <v>3</v>
      </c>
      <c r="P214" s="3073">
        <v>7</v>
      </c>
      <c r="Q214" s="3009">
        <v>7</v>
      </c>
      <c r="R214" s="3120" t="s">
        <v>4820</v>
      </c>
      <c r="S214" s="2990" t="s">
        <v>5629</v>
      </c>
      <c r="T214" s="1935">
        <v>6</v>
      </c>
      <c r="U214" s="253">
        <v>2</v>
      </c>
      <c r="V214" s="2990">
        <v>0.9</v>
      </c>
      <c r="W214" s="2990">
        <v>1.2</v>
      </c>
      <c r="Z214" s="1188">
        <v>6</v>
      </c>
      <c r="AA214" s="5" t="s">
        <v>149</v>
      </c>
      <c r="AB214" s="5" t="s">
        <v>149</v>
      </c>
      <c r="AC214" s="5" t="s">
        <v>147</v>
      </c>
      <c r="AD214" s="1160"/>
      <c r="AE214" s="1070">
        <v>1</v>
      </c>
      <c r="AF214" s="3009">
        <v>6</v>
      </c>
      <c r="AG214" s="5" t="s">
        <v>1917</v>
      </c>
      <c r="AH214" s="1070"/>
      <c r="AI214" s="1070"/>
      <c r="AJ214" s="1070"/>
      <c r="AK214" s="1070"/>
      <c r="AL214" s="1070"/>
      <c r="AM214" s="1070"/>
      <c r="AN214" s="1070"/>
      <c r="AO214" s="1070"/>
      <c r="AP214" s="1070"/>
      <c r="AQ214" s="1070"/>
      <c r="AR214" s="1070"/>
      <c r="AS214" s="1070"/>
      <c r="AT214" s="1070"/>
      <c r="AU214" s="1070"/>
      <c r="AV214" s="1070"/>
      <c r="AW214" s="1070"/>
      <c r="AX214" s="1070"/>
      <c r="AY214" s="1070"/>
      <c r="AZ214" s="1070"/>
      <c r="BA214" s="1070"/>
      <c r="BB214" s="1070"/>
      <c r="BC214" s="1070"/>
      <c r="BD214" s="1070"/>
      <c r="BE214" s="1070"/>
      <c r="BF214" s="1070"/>
      <c r="BG214" s="1070"/>
      <c r="BH214" s="1070"/>
      <c r="BI214" s="1070"/>
      <c r="BJ214" s="1070"/>
      <c r="BK214" s="1070"/>
      <c r="BL214" s="1070"/>
      <c r="BM214" s="1070"/>
      <c r="BN214" s="1070"/>
      <c r="BO214" s="1070"/>
      <c r="BP214" s="1070"/>
      <c r="BQ214" s="1070"/>
      <c r="BR214" s="1070"/>
      <c r="BS214" s="1070"/>
      <c r="BT214" s="1070"/>
      <c r="BU214" s="1070"/>
      <c r="BV214" s="1070"/>
      <c r="BW214" s="1070"/>
      <c r="BX214" s="1070"/>
      <c r="BY214" s="1070"/>
      <c r="BZ214" s="1070"/>
      <c r="CA214" s="1070"/>
      <c r="CB214" s="1070"/>
      <c r="CC214" s="1070"/>
      <c r="CD214" s="1070"/>
      <c r="CE214" s="1070"/>
      <c r="CF214" s="1070"/>
      <c r="CG214" s="1070"/>
      <c r="CH214" s="1070"/>
      <c r="CI214" s="1070"/>
      <c r="CJ214" s="1070"/>
      <c r="CK214" s="1070"/>
      <c r="CL214" s="1070"/>
      <c r="CM214" s="1070"/>
      <c r="CN214" s="1070"/>
      <c r="CO214" s="1070"/>
      <c r="CP214" s="1070"/>
      <c r="CQ214" s="1070"/>
      <c r="CR214" s="1070"/>
      <c r="CS214" s="1070"/>
      <c r="CT214" s="1070"/>
      <c r="CU214" s="1070"/>
      <c r="CV214" s="1070"/>
      <c r="CW214" s="1070"/>
      <c r="CX214" s="1070"/>
      <c r="CY214" s="1070"/>
      <c r="CZ214" s="1070"/>
      <c r="DA214" s="1070"/>
      <c r="DB214" s="1070"/>
      <c r="DC214" s="1070"/>
      <c r="DD214" s="1070"/>
      <c r="DE214" s="1070"/>
      <c r="DF214" s="1070"/>
      <c r="DG214" s="1070"/>
      <c r="DH214" s="1070"/>
      <c r="DI214" s="1070"/>
      <c r="DJ214" s="1070"/>
    </row>
    <row r="215" spans="1:114" s="1136" customFormat="1" ht="27.75" customHeight="1" x14ac:dyDescent="0.25">
      <c r="A215" s="875" t="s">
        <v>4128</v>
      </c>
      <c r="B215" s="1325">
        <v>1</v>
      </c>
      <c r="C215" s="1384"/>
      <c r="D215" s="1384"/>
      <c r="E215" s="1384"/>
      <c r="F215" s="1384"/>
      <c r="G215" s="1384"/>
      <c r="H215" s="1070"/>
      <c r="I215" s="422">
        <v>8</v>
      </c>
      <c r="J215" s="202" t="s">
        <v>135</v>
      </c>
      <c r="K215" s="1391">
        <v>3</v>
      </c>
      <c r="L215" s="3124" t="s">
        <v>3483</v>
      </c>
      <c r="M215" s="2990">
        <v>1.25</v>
      </c>
      <c r="N215" s="2990">
        <v>2.5</v>
      </c>
      <c r="O215" s="2990">
        <v>5</v>
      </c>
      <c r="P215" s="3073">
        <v>8</v>
      </c>
      <c r="Q215" s="3009">
        <v>8</v>
      </c>
      <c r="R215" s="3120" t="s">
        <v>4823</v>
      </c>
      <c r="S215" s="2990" t="s">
        <v>3484</v>
      </c>
      <c r="T215" s="1935">
        <v>7</v>
      </c>
      <c r="U215" s="253">
        <v>5</v>
      </c>
      <c r="V215" s="2990">
        <v>1.1000000000000001</v>
      </c>
      <c r="W215" s="2990">
        <v>1.5</v>
      </c>
      <c r="Z215" s="1188">
        <v>7</v>
      </c>
      <c r="AA215" s="5" t="s">
        <v>150</v>
      </c>
      <c r="AB215" s="5" t="s">
        <v>1104</v>
      </c>
      <c r="AC215" s="5" t="s">
        <v>3924</v>
      </c>
      <c r="AD215" s="1160" t="s">
        <v>3922</v>
      </c>
      <c r="AE215" s="1070">
        <v>3</v>
      </c>
      <c r="AF215" s="3009">
        <v>7</v>
      </c>
      <c r="AG215" s="5" t="s">
        <v>5641</v>
      </c>
      <c r="AH215" s="1070"/>
      <c r="AI215" s="1070"/>
      <c r="AJ215" s="1070"/>
      <c r="AK215" s="1070"/>
      <c r="AL215" s="1070"/>
      <c r="AM215" s="1070"/>
      <c r="AN215" s="1070"/>
      <c r="AO215" s="1070"/>
      <c r="AP215" s="1070"/>
      <c r="AQ215" s="1070"/>
      <c r="AR215" s="1070"/>
      <c r="AS215" s="1070"/>
      <c r="AT215" s="1070"/>
      <c r="AU215" s="1070"/>
      <c r="AV215" s="1070"/>
      <c r="AW215" s="1070"/>
      <c r="AX215" s="1070"/>
      <c r="AY215" s="1070"/>
      <c r="AZ215" s="1070"/>
      <c r="BA215" s="1070"/>
      <c r="BB215" s="1070"/>
      <c r="BC215" s="1070"/>
      <c r="BD215" s="1070"/>
      <c r="BE215" s="1070"/>
      <c r="BF215" s="1070"/>
      <c r="BG215" s="1070"/>
      <c r="BH215" s="1070"/>
      <c r="BI215" s="1070"/>
      <c r="BJ215" s="1070"/>
      <c r="BK215" s="1070"/>
      <c r="BL215" s="1070"/>
      <c r="BM215" s="1070"/>
      <c r="BN215" s="1070"/>
      <c r="BO215" s="1070"/>
      <c r="BP215" s="1070"/>
      <c r="BQ215" s="1070"/>
      <c r="BR215" s="1070"/>
      <c r="BS215" s="1070"/>
      <c r="BT215" s="1070"/>
      <c r="BU215" s="1070"/>
      <c r="BV215" s="1070"/>
      <c r="BW215" s="1070"/>
      <c r="BX215" s="1070"/>
      <c r="BY215" s="1070"/>
      <c r="BZ215" s="1070"/>
      <c r="CA215" s="1070"/>
      <c r="CB215" s="1070"/>
      <c r="CC215" s="1070"/>
      <c r="CD215" s="1070"/>
      <c r="CE215" s="1070"/>
      <c r="CF215" s="1070"/>
      <c r="CG215" s="1070"/>
      <c r="CH215" s="1070"/>
      <c r="CI215" s="1070"/>
      <c r="CJ215" s="1070"/>
      <c r="CK215" s="1070"/>
      <c r="CL215" s="1070"/>
      <c r="CM215" s="1070"/>
      <c r="CN215" s="1070"/>
      <c r="CO215" s="1070"/>
      <c r="CP215" s="1070"/>
      <c r="CQ215" s="1070"/>
      <c r="CR215" s="1070"/>
      <c r="CS215" s="1070"/>
      <c r="CT215" s="1070"/>
      <c r="CU215" s="1070"/>
      <c r="CV215" s="1070"/>
      <c r="CW215" s="1070"/>
      <c r="CX215" s="1070"/>
      <c r="CY215" s="1070"/>
      <c r="CZ215" s="1070"/>
      <c r="DA215" s="1070"/>
      <c r="DB215" s="1070"/>
      <c r="DC215" s="1070"/>
      <c r="DD215" s="1070"/>
      <c r="DE215" s="1070"/>
      <c r="DF215" s="1070"/>
      <c r="DG215" s="1070"/>
      <c r="DH215" s="1070"/>
      <c r="DI215" s="1070"/>
      <c r="DJ215" s="1070"/>
    </row>
    <row r="216" spans="1:114" s="1136" customFormat="1" ht="27.75" customHeight="1" x14ac:dyDescent="0.25">
      <c r="A216" s="875" t="s">
        <v>5251</v>
      </c>
      <c r="B216" s="1938">
        <f>IF(kursovoy!B891=1,2,1)</f>
        <v>1</v>
      </c>
      <c r="C216" s="1384"/>
      <c r="D216" s="1384"/>
      <c r="E216" s="1384"/>
      <c r="F216" s="1384"/>
      <c r="G216" s="1384"/>
      <c r="H216" s="1070"/>
      <c r="I216" s="422">
        <v>9</v>
      </c>
      <c r="J216" s="202" t="s">
        <v>136</v>
      </c>
      <c r="K216" s="1391">
        <v>4</v>
      </c>
      <c r="L216" s="3124" t="s">
        <v>2776</v>
      </c>
      <c r="M216" s="2990">
        <v>1.4</v>
      </c>
      <c r="N216" s="2990">
        <v>2.5</v>
      </c>
      <c r="O216" s="2990">
        <v>5</v>
      </c>
      <c r="P216" s="3073">
        <v>9</v>
      </c>
      <c r="Q216" s="3009">
        <v>9</v>
      </c>
      <c r="R216" s="3120" t="s">
        <v>4823</v>
      </c>
      <c r="S216" s="2990" t="s">
        <v>659</v>
      </c>
      <c r="T216" s="1935">
        <v>8</v>
      </c>
      <c r="U216" s="253">
        <v>5</v>
      </c>
      <c r="V216" s="2990">
        <v>1.35</v>
      </c>
      <c r="W216" s="2990">
        <v>2</v>
      </c>
      <c r="Z216" s="1188">
        <v>8</v>
      </c>
      <c r="AA216" s="5" t="s">
        <v>150</v>
      </c>
      <c r="AB216" s="857" t="s">
        <v>1105</v>
      </c>
      <c r="AC216" s="5" t="s">
        <v>3921</v>
      </c>
      <c r="AD216" s="1160"/>
      <c r="AE216" s="1070">
        <v>3</v>
      </c>
      <c r="AF216" s="3009">
        <v>8</v>
      </c>
      <c r="AG216" s="5" t="s">
        <v>5623</v>
      </c>
      <c r="AH216" s="1070"/>
      <c r="AI216" s="1070"/>
      <c r="AJ216" s="1070"/>
      <c r="AK216" s="1070"/>
      <c r="AL216" s="1070"/>
      <c r="AM216" s="1070"/>
      <c r="AN216" s="1070"/>
      <c r="AO216" s="1070"/>
      <c r="AP216" s="1070"/>
      <c r="AQ216" s="1070"/>
      <c r="AR216" s="1070"/>
      <c r="AS216" s="1070"/>
      <c r="AT216" s="1070"/>
      <c r="AU216" s="1070"/>
      <c r="AV216" s="1070"/>
      <c r="AW216" s="1070"/>
      <c r="AX216" s="1070"/>
      <c r="AY216" s="1070"/>
      <c r="AZ216" s="1070"/>
      <c r="BA216" s="1070"/>
      <c r="BB216" s="1070"/>
      <c r="BC216" s="1070"/>
      <c r="BD216" s="1070"/>
      <c r="BE216" s="1070"/>
      <c r="BF216" s="1070"/>
      <c r="BG216" s="1070"/>
      <c r="BH216" s="1070"/>
      <c r="BI216" s="1070"/>
      <c r="BJ216" s="1070"/>
      <c r="BK216" s="1070"/>
      <c r="BL216" s="1070"/>
      <c r="BM216" s="1070"/>
      <c r="BN216" s="1070"/>
      <c r="BO216" s="1070"/>
      <c r="BP216" s="1070"/>
      <c r="BQ216" s="1070"/>
      <c r="BR216" s="1070"/>
      <c r="BS216" s="1070"/>
      <c r="BT216" s="1070"/>
      <c r="BU216" s="1070"/>
      <c r="BV216" s="1070"/>
      <c r="BW216" s="1070"/>
      <c r="BX216" s="1070"/>
      <c r="BY216" s="1070"/>
      <c r="BZ216" s="1070"/>
      <c r="CA216" s="1070"/>
      <c r="CB216" s="1070"/>
      <c r="CC216" s="1070"/>
      <c r="CD216" s="1070"/>
      <c r="CE216" s="1070"/>
      <c r="CF216" s="1070"/>
      <c r="CG216" s="1070"/>
      <c r="CH216" s="1070"/>
      <c r="CI216" s="1070"/>
      <c r="CJ216" s="1070"/>
      <c r="CK216" s="1070"/>
      <c r="CL216" s="1070"/>
      <c r="CM216" s="1070"/>
      <c r="CN216" s="1070"/>
      <c r="CO216" s="1070"/>
      <c r="CP216" s="1070"/>
      <c r="CQ216" s="1070"/>
      <c r="CR216" s="1070"/>
      <c r="CS216" s="1070"/>
      <c r="CT216" s="1070"/>
      <c r="CU216" s="1070"/>
      <c r="CV216" s="1070"/>
      <c r="CW216" s="1070"/>
      <c r="CX216" s="1070"/>
      <c r="CY216" s="1070"/>
      <c r="CZ216" s="1070"/>
      <c r="DA216" s="1070"/>
      <c r="DB216" s="1070"/>
      <c r="DC216" s="1070"/>
      <c r="DD216" s="1070"/>
      <c r="DE216" s="1070"/>
      <c r="DF216" s="1070"/>
      <c r="DG216" s="1070"/>
      <c r="DH216" s="1070"/>
      <c r="DI216" s="1070"/>
      <c r="DJ216" s="1070"/>
    </row>
    <row r="217" spans="1:114" s="1136" customFormat="1" ht="27.75" customHeight="1" x14ac:dyDescent="0.25">
      <c r="A217" s="875" t="s">
        <v>2722</v>
      </c>
      <c r="B217" s="1369">
        <f>kursovoy!B876</f>
        <v>0</v>
      </c>
      <c r="C217" s="1384"/>
      <c r="D217" s="1384"/>
      <c r="E217" s="1384"/>
      <c r="F217" s="1384"/>
      <c r="G217" s="1384"/>
      <c r="H217" s="1070"/>
      <c r="I217" s="422">
        <v>10</v>
      </c>
      <c r="J217" s="202" t="s">
        <v>3479</v>
      </c>
      <c r="K217" s="1391">
        <v>12</v>
      </c>
      <c r="L217" s="3124" t="s">
        <v>3482</v>
      </c>
      <c r="M217" s="2990">
        <v>1.35</v>
      </c>
      <c r="N217" s="2990">
        <v>2.5</v>
      </c>
      <c r="O217" s="2990">
        <v>7</v>
      </c>
      <c r="P217" s="3073">
        <v>10</v>
      </c>
      <c r="Q217" s="3009">
        <v>10</v>
      </c>
      <c r="R217" s="3120" t="s">
        <v>4823</v>
      </c>
      <c r="S217" s="2990" t="s">
        <v>660</v>
      </c>
      <c r="T217" s="1935">
        <v>9</v>
      </c>
      <c r="U217" s="253">
        <v>5</v>
      </c>
      <c r="V217" s="2990">
        <v>1</v>
      </c>
      <c r="W217" s="2990">
        <v>1.6</v>
      </c>
      <c r="Z217" s="1188">
        <v>9</v>
      </c>
      <c r="AA217" s="5" t="s">
        <v>151</v>
      </c>
      <c r="AB217" s="71" t="s">
        <v>151</v>
      </c>
      <c r="AC217" s="5"/>
      <c r="AD217" s="1160"/>
      <c r="AE217" s="1070">
        <v>5</v>
      </c>
      <c r="AF217" s="3009">
        <v>9</v>
      </c>
      <c r="AG217" s="5" t="s">
        <v>5626</v>
      </c>
      <c r="AH217" s="1070"/>
      <c r="AI217" s="1070"/>
      <c r="AJ217" s="1070"/>
      <c r="AK217" s="1070"/>
      <c r="AL217" s="1070"/>
      <c r="AM217" s="1070"/>
      <c r="AN217" s="1070"/>
      <c r="AO217" s="1070"/>
      <c r="AP217" s="1070"/>
      <c r="AQ217" s="1070"/>
      <c r="AR217" s="1070"/>
      <c r="AS217" s="1070"/>
      <c r="AT217" s="1070"/>
      <c r="AU217" s="1070"/>
      <c r="AV217" s="1070"/>
      <c r="AW217" s="1070"/>
      <c r="AX217" s="1070"/>
      <c r="AY217" s="1070"/>
      <c r="AZ217" s="1070"/>
      <c r="BA217" s="1070"/>
      <c r="BB217" s="1070"/>
      <c r="BC217" s="1070"/>
      <c r="BD217" s="1070"/>
      <c r="BE217" s="1070"/>
      <c r="BF217" s="1070"/>
      <c r="BG217" s="1070"/>
      <c r="BH217" s="1070"/>
      <c r="BI217" s="1070"/>
      <c r="BJ217" s="1070"/>
      <c r="BK217" s="1070"/>
      <c r="BL217" s="1070"/>
      <c r="BM217" s="1070"/>
      <c r="BN217" s="1070"/>
      <c r="BO217" s="1070"/>
      <c r="BP217" s="1070"/>
      <c r="BQ217" s="1070"/>
      <c r="BR217" s="1070"/>
      <c r="BS217" s="1070"/>
      <c r="BT217" s="1070"/>
      <c r="BU217" s="1070"/>
      <c r="BV217" s="1070"/>
      <c r="BW217" s="1070"/>
      <c r="BX217" s="1070"/>
      <c r="BY217" s="1070"/>
      <c r="BZ217" s="1070"/>
      <c r="CA217" s="1070"/>
      <c r="CB217" s="1070"/>
      <c r="CC217" s="1070"/>
      <c r="CD217" s="1070"/>
      <c r="CE217" s="1070"/>
      <c r="CF217" s="1070"/>
      <c r="CG217" s="1070"/>
      <c r="CH217" s="1070"/>
      <c r="CI217" s="1070"/>
      <c r="CJ217" s="1070"/>
      <c r="CK217" s="1070"/>
      <c r="CL217" s="1070"/>
      <c r="CM217" s="1070"/>
      <c r="CN217" s="1070"/>
      <c r="CO217" s="1070"/>
      <c r="CP217" s="1070"/>
      <c r="CQ217" s="1070"/>
      <c r="CR217" s="1070"/>
      <c r="CS217" s="1070"/>
      <c r="CT217" s="1070"/>
      <c r="CU217" s="1070"/>
      <c r="CV217" s="1070"/>
      <c r="CW217" s="1070"/>
      <c r="CX217" s="1070"/>
      <c r="CY217" s="1070"/>
      <c r="CZ217" s="1070"/>
      <c r="DA217" s="1070"/>
      <c r="DB217" s="1070"/>
      <c r="DC217" s="1070"/>
      <c r="DD217" s="1070"/>
      <c r="DE217" s="1070"/>
      <c r="DF217" s="1070"/>
      <c r="DG217" s="1070"/>
      <c r="DH217" s="1070"/>
      <c r="DI217" s="1070"/>
      <c r="DJ217" s="1070"/>
    </row>
    <row r="218" spans="1:114" s="1136" customFormat="1" ht="27.75" customHeight="1" x14ac:dyDescent="0.25">
      <c r="A218" s="875" t="s">
        <v>49</v>
      </c>
      <c r="B218" s="1332">
        <v>1</v>
      </c>
      <c r="C218" s="1384"/>
      <c r="D218" s="1384"/>
      <c r="E218" s="1384"/>
      <c r="F218" s="1384"/>
      <c r="G218" s="1384"/>
      <c r="H218" s="1070"/>
      <c r="I218" s="422">
        <v>11</v>
      </c>
      <c r="J218" s="202" t="s">
        <v>137</v>
      </c>
      <c r="K218" s="1391">
        <v>13</v>
      </c>
      <c r="L218" s="3124" t="s">
        <v>658</v>
      </c>
      <c r="M218" s="2990">
        <v>1.35</v>
      </c>
      <c r="N218" s="2990">
        <v>2.6</v>
      </c>
      <c r="O218" s="2990">
        <v>7</v>
      </c>
      <c r="P218" s="3073">
        <v>11</v>
      </c>
      <c r="Q218" s="3009">
        <v>11</v>
      </c>
      <c r="R218" s="3120" t="s">
        <v>4823</v>
      </c>
      <c r="S218" s="2990" t="s">
        <v>5636</v>
      </c>
      <c r="T218" s="1935">
        <v>10</v>
      </c>
      <c r="U218" s="253">
        <v>5</v>
      </c>
      <c r="V218" s="2990">
        <v>1.35</v>
      </c>
      <c r="W218" s="2990">
        <v>2.4</v>
      </c>
      <c r="Z218" s="1188">
        <v>10</v>
      </c>
      <c r="AA218" s="5" t="s">
        <v>152</v>
      </c>
      <c r="AB218" s="5" t="s">
        <v>1102</v>
      </c>
      <c r="AC218" s="5" t="s">
        <v>606</v>
      </c>
      <c r="AD218" s="1160"/>
      <c r="AE218" s="1070">
        <v>1</v>
      </c>
      <c r="AF218" s="3009">
        <v>10</v>
      </c>
      <c r="AG218" s="5" t="s">
        <v>5618</v>
      </c>
      <c r="AH218" s="1070"/>
      <c r="AI218" s="1070"/>
      <c r="AJ218" s="1070"/>
      <c r="AK218" s="1070"/>
      <c r="AL218" s="1070"/>
      <c r="AM218" s="1070"/>
      <c r="AN218" s="1070"/>
      <c r="AO218" s="1070"/>
      <c r="AP218" s="1070"/>
      <c r="AQ218" s="1070"/>
      <c r="AR218" s="1070"/>
      <c r="AS218" s="1070"/>
      <c r="AT218" s="1070"/>
      <c r="AU218" s="1070"/>
      <c r="AV218" s="1070"/>
      <c r="AW218" s="1070"/>
      <c r="AX218" s="1070"/>
      <c r="AY218" s="1070"/>
      <c r="AZ218" s="1070"/>
      <c r="BA218" s="1070"/>
      <c r="BB218" s="1070"/>
      <c r="BC218" s="1070"/>
      <c r="BD218" s="1070"/>
      <c r="BE218" s="1070"/>
      <c r="BF218" s="1070"/>
      <c r="BG218" s="1070"/>
      <c r="BH218" s="1070"/>
      <c r="BI218" s="1070"/>
      <c r="BJ218" s="1070"/>
      <c r="BK218" s="1070"/>
      <c r="BL218" s="1070"/>
      <c r="BM218" s="1070"/>
      <c r="BN218" s="1070"/>
      <c r="BO218" s="1070"/>
      <c r="BP218" s="1070"/>
      <c r="BQ218" s="1070"/>
      <c r="BR218" s="1070"/>
      <c r="BS218" s="1070"/>
      <c r="BT218" s="1070"/>
      <c r="BU218" s="1070"/>
      <c r="BV218" s="1070"/>
      <c r="BW218" s="1070"/>
      <c r="BX218" s="1070"/>
      <c r="BY218" s="1070"/>
      <c r="BZ218" s="1070"/>
      <c r="CA218" s="1070"/>
      <c r="CB218" s="1070"/>
      <c r="CC218" s="1070"/>
      <c r="CD218" s="1070"/>
      <c r="CE218" s="1070"/>
      <c r="CF218" s="1070"/>
      <c r="CG218" s="1070"/>
      <c r="CH218" s="1070"/>
      <c r="CI218" s="1070"/>
      <c r="CJ218" s="1070"/>
      <c r="CK218" s="1070"/>
      <c r="CL218" s="1070"/>
      <c r="CM218" s="1070"/>
      <c r="CN218" s="1070"/>
      <c r="CO218" s="1070"/>
      <c r="CP218" s="1070"/>
      <c r="CQ218" s="1070"/>
      <c r="CR218" s="1070"/>
      <c r="CS218" s="1070"/>
      <c r="CT218" s="1070"/>
      <c r="CU218" s="1070"/>
      <c r="CV218" s="1070"/>
      <c r="CW218" s="1070"/>
      <c r="CX218" s="1070"/>
      <c r="CY218" s="1070"/>
      <c r="CZ218" s="1070"/>
      <c r="DA218" s="1070"/>
      <c r="DB218" s="1070"/>
      <c r="DC218" s="1070"/>
      <c r="DD218" s="1070"/>
      <c r="DE218" s="1070"/>
      <c r="DF218" s="1070"/>
      <c r="DG218" s="1070"/>
      <c r="DH218" s="1070"/>
      <c r="DI218" s="1070"/>
      <c r="DJ218" s="1070"/>
    </row>
    <row r="219" spans="1:114" s="1136" customFormat="1" ht="27.75" customHeight="1" x14ac:dyDescent="0.25">
      <c r="A219" s="875" t="s">
        <v>4129</v>
      </c>
      <c r="B219" s="1369">
        <f>B217</f>
        <v>0</v>
      </c>
      <c r="C219" s="1384"/>
      <c r="D219" s="1384"/>
      <c r="E219" s="1384"/>
      <c r="F219" s="1384"/>
      <c r="G219" s="1384"/>
      <c r="H219" s="1070"/>
      <c r="I219" s="422">
        <v>12</v>
      </c>
      <c r="J219" s="202" t="s">
        <v>3482</v>
      </c>
      <c r="K219" s="1391">
        <v>13</v>
      </c>
      <c r="L219" s="3124" t="s">
        <v>5622</v>
      </c>
      <c r="M219" s="2990">
        <v>1.1000000000000001</v>
      </c>
      <c r="N219" s="2990">
        <v>2.1</v>
      </c>
      <c r="O219" s="2990">
        <v>11</v>
      </c>
      <c r="P219" s="3073">
        <v>12</v>
      </c>
      <c r="Q219" s="3009">
        <v>12</v>
      </c>
      <c r="R219" s="3121" t="s">
        <v>4820</v>
      </c>
      <c r="S219" s="2990" t="s">
        <v>5640</v>
      </c>
      <c r="T219" s="1935">
        <v>11</v>
      </c>
      <c r="U219" s="253">
        <v>2</v>
      </c>
      <c r="V219" s="2990">
        <v>0.85</v>
      </c>
      <c r="W219" s="2990">
        <v>1.5</v>
      </c>
      <c r="Z219" s="1188">
        <v>11</v>
      </c>
      <c r="AA219" s="5" t="s">
        <v>153</v>
      </c>
      <c r="AB219" s="857" t="s">
        <v>607</v>
      </c>
      <c r="AC219" s="5"/>
      <c r="AD219" s="1160"/>
      <c r="AE219" s="1070">
        <v>6</v>
      </c>
      <c r="AF219" s="3009">
        <v>11</v>
      </c>
      <c r="AG219" s="5" t="s">
        <v>5628</v>
      </c>
      <c r="AH219" s="1070"/>
      <c r="AI219" s="1070"/>
      <c r="AJ219" s="1070"/>
      <c r="AK219" s="1070"/>
      <c r="AL219" s="1070"/>
      <c r="AM219" s="1070"/>
      <c r="AN219" s="1070"/>
      <c r="AO219" s="1070"/>
      <c r="AP219" s="1070"/>
      <c r="AQ219" s="1070"/>
      <c r="AR219" s="1070"/>
      <c r="AS219" s="1070"/>
      <c r="AT219" s="1070"/>
      <c r="AU219" s="1070"/>
      <c r="AV219" s="1070"/>
      <c r="AW219" s="1070"/>
      <c r="AX219" s="1070"/>
      <c r="AY219" s="1070"/>
      <c r="AZ219" s="1070"/>
      <c r="BA219" s="1070"/>
      <c r="BB219" s="1070"/>
      <c r="BC219" s="1070"/>
      <c r="BD219" s="1070"/>
      <c r="BE219" s="1070"/>
      <c r="BF219" s="1070"/>
      <c r="BG219" s="1070"/>
      <c r="BH219" s="1070"/>
      <c r="BI219" s="1070"/>
      <c r="BJ219" s="1070"/>
      <c r="BK219" s="1070"/>
      <c r="BL219" s="1070"/>
      <c r="BM219" s="1070"/>
      <c r="BN219" s="1070"/>
      <c r="BO219" s="1070"/>
      <c r="BP219" s="1070"/>
      <c r="BQ219" s="1070"/>
      <c r="BR219" s="1070"/>
      <c r="BS219" s="1070"/>
      <c r="BT219" s="1070"/>
      <c r="BU219" s="1070"/>
      <c r="BV219" s="1070"/>
      <c r="BW219" s="1070"/>
      <c r="BX219" s="1070"/>
      <c r="BY219" s="1070"/>
      <c r="BZ219" s="1070"/>
      <c r="CA219" s="1070"/>
      <c r="CB219" s="1070"/>
      <c r="CC219" s="1070"/>
      <c r="CD219" s="1070"/>
      <c r="CE219" s="1070"/>
      <c r="CF219" s="1070"/>
      <c r="CG219" s="1070"/>
      <c r="CH219" s="1070"/>
      <c r="CI219" s="1070"/>
      <c r="CJ219" s="1070"/>
      <c r="CK219" s="1070"/>
      <c r="CL219" s="1070"/>
      <c r="CM219" s="1070"/>
      <c r="CN219" s="1070"/>
      <c r="CO219" s="1070"/>
      <c r="CP219" s="1070"/>
      <c r="CQ219" s="1070"/>
      <c r="CR219" s="1070"/>
      <c r="CS219" s="1070"/>
      <c r="CT219" s="1070"/>
      <c r="CU219" s="1070"/>
      <c r="CV219" s="1070"/>
      <c r="CW219" s="1070"/>
      <c r="CX219" s="1070"/>
      <c r="CY219" s="1070"/>
      <c r="CZ219" s="1070"/>
      <c r="DA219" s="1070"/>
      <c r="DB219" s="1070"/>
      <c r="DC219" s="1070"/>
      <c r="DD219" s="1070"/>
      <c r="DE219" s="1070"/>
      <c r="DF219" s="1070"/>
      <c r="DG219" s="1070"/>
      <c r="DH219" s="1070"/>
      <c r="DI219" s="1070"/>
      <c r="DJ219" s="1070"/>
    </row>
    <row r="220" spans="1:114" s="1136" customFormat="1" ht="38.25" customHeight="1" thickBot="1" x14ac:dyDescent="0.3">
      <c r="A220" s="1370" t="s">
        <v>5567</v>
      </c>
      <c r="B220" s="1358">
        <f>IF(kursovoy!B895=1,0,1)</f>
        <v>1</v>
      </c>
      <c r="C220" s="11"/>
      <c r="D220" s="1384"/>
      <c r="E220" s="1384"/>
      <c r="F220" s="1384"/>
      <c r="G220" s="1384"/>
      <c r="H220" s="1070"/>
      <c r="I220" s="426">
        <v>13</v>
      </c>
      <c r="J220" s="1939" t="s">
        <v>658</v>
      </c>
      <c r="K220" s="1391">
        <v>13</v>
      </c>
      <c r="L220" s="3124" t="s">
        <v>5624</v>
      </c>
      <c r="M220" s="2990">
        <v>1.35</v>
      </c>
      <c r="N220" s="2990">
        <v>3.2</v>
      </c>
      <c r="O220" s="2990">
        <v>18</v>
      </c>
      <c r="P220" s="3073">
        <v>13</v>
      </c>
      <c r="Q220" s="3009">
        <v>13</v>
      </c>
      <c r="R220" s="3122" t="s">
        <v>4820</v>
      </c>
      <c r="S220" s="3109" t="s">
        <v>5668</v>
      </c>
      <c r="T220" s="1935">
        <v>12</v>
      </c>
      <c r="U220" s="253">
        <v>2</v>
      </c>
      <c r="V220" s="2990">
        <v>0.95</v>
      </c>
      <c r="W220" s="2990">
        <v>1.75</v>
      </c>
      <c r="Z220" s="1188">
        <v>12</v>
      </c>
      <c r="AA220" s="5" t="s">
        <v>154</v>
      </c>
      <c r="AB220" s="5"/>
      <c r="AC220" s="5"/>
      <c r="AD220" s="1160"/>
      <c r="AE220" s="1070">
        <v>6</v>
      </c>
      <c r="AF220" s="3009">
        <v>12</v>
      </c>
      <c r="AG220" s="5" t="s">
        <v>5627</v>
      </c>
      <c r="AH220" s="1070"/>
      <c r="AI220" s="1070"/>
      <c r="AJ220" s="1070"/>
      <c r="AK220" s="1070"/>
      <c r="AL220" s="1070"/>
      <c r="AM220" s="1070"/>
      <c r="AN220" s="1070"/>
      <c r="AO220" s="1070"/>
      <c r="AP220" s="1070"/>
      <c r="AQ220" s="1070"/>
      <c r="AR220" s="1070"/>
      <c r="AS220" s="1070"/>
      <c r="AT220" s="1070"/>
      <c r="AU220" s="1070"/>
      <c r="AV220" s="1070"/>
      <c r="AW220" s="1070"/>
      <c r="AX220" s="1070"/>
      <c r="AY220" s="1070"/>
      <c r="AZ220" s="1070"/>
      <c r="BA220" s="1070"/>
      <c r="BB220" s="1070"/>
      <c r="BC220" s="1070"/>
      <c r="BD220" s="1070"/>
      <c r="BE220" s="1070"/>
      <c r="BF220" s="1070"/>
      <c r="BG220" s="1070"/>
      <c r="BH220" s="1070"/>
      <c r="BI220" s="1070"/>
      <c r="BJ220" s="1070"/>
      <c r="BK220" s="1070"/>
      <c r="BL220" s="1070"/>
      <c r="BM220" s="1070"/>
      <c r="BN220" s="1070"/>
      <c r="BO220" s="1070"/>
      <c r="BP220" s="1070"/>
      <c r="BQ220" s="1070"/>
      <c r="BR220" s="1070"/>
      <c r="BS220" s="1070"/>
      <c r="BT220" s="1070"/>
      <c r="BU220" s="1070"/>
      <c r="BV220" s="1070"/>
      <c r="BW220" s="1070"/>
      <c r="BX220" s="1070"/>
      <c r="BY220" s="1070"/>
      <c r="BZ220" s="1070"/>
      <c r="CA220" s="1070"/>
      <c r="CB220" s="1070"/>
      <c r="CC220" s="1070"/>
      <c r="CD220" s="1070"/>
      <c r="CE220" s="1070"/>
      <c r="CF220" s="1070"/>
      <c r="CG220" s="1070"/>
      <c r="CH220" s="1070"/>
      <c r="CI220" s="1070"/>
      <c r="CJ220" s="1070"/>
      <c r="CK220" s="1070"/>
      <c r="CL220" s="1070"/>
      <c r="CM220" s="1070"/>
      <c r="CN220" s="1070"/>
      <c r="CO220" s="1070"/>
      <c r="CP220" s="1070"/>
      <c r="CQ220" s="1070"/>
      <c r="CR220" s="1070"/>
      <c r="CS220" s="1070"/>
      <c r="CT220" s="1070"/>
      <c r="CU220" s="1070"/>
      <c r="CV220" s="1070"/>
      <c r="CW220" s="1070"/>
      <c r="CX220" s="1070"/>
      <c r="CY220" s="1070"/>
      <c r="CZ220" s="1070"/>
      <c r="DA220" s="1070"/>
      <c r="DB220" s="1070"/>
      <c r="DC220" s="1070"/>
      <c r="DD220" s="1070"/>
      <c r="DE220" s="1070"/>
      <c r="DF220" s="1070"/>
      <c r="DG220" s="1070"/>
      <c r="DH220" s="1070"/>
      <c r="DI220" s="1070"/>
      <c r="DJ220" s="1070"/>
    </row>
    <row r="221" spans="1:114" s="1136" customFormat="1" ht="18.75" customHeight="1" x14ac:dyDescent="0.2">
      <c r="A221" s="1383"/>
      <c r="B221" s="1384"/>
      <c r="C221" s="1384"/>
      <c r="D221" s="1384"/>
      <c r="E221" s="1384"/>
      <c r="F221" s="1384"/>
      <c r="G221" s="1384"/>
      <c r="H221" s="1070"/>
      <c r="I221" s="1315"/>
      <c r="J221" s="1316"/>
      <c r="K221" s="3094">
        <v>13</v>
      </c>
      <c r="L221" s="3124" t="s">
        <v>5655</v>
      </c>
      <c r="M221" s="2990">
        <v>1.35</v>
      </c>
      <c r="N221" s="2990">
        <v>3.2</v>
      </c>
      <c r="O221" s="2990">
        <v>18</v>
      </c>
      <c r="P221" s="3073">
        <v>14</v>
      </c>
      <c r="Q221" s="3009">
        <v>14</v>
      </c>
      <c r="R221" s="1070" t="s">
        <v>4820</v>
      </c>
      <c r="S221" s="2990" t="s">
        <v>5635</v>
      </c>
      <c r="T221" s="1405">
        <v>13</v>
      </c>
      <c r="U221" s="1405">
        <v>2</v>
      </c>
      <c r="V221" s="2990">
        <v>0.95</v>
      </c>
      <c r="W221" s="2990">
        <v>1.5</v>
      </c>
      <c r="Z221" s="1188">
        <v>13</v>
      </c>
      <c r="AA221" s="5" t="s">
        <v>155</v>
      </c>
      <c r="AB221" s="857" t="s">
        <v>604</v>
      </c>
      <c r="AC221" s="5" t="s">
        <v>605</v>
      </c>
      <c r="AD221" s="1160"/>
      <c r="AE221" s="1070">
        <v>4</v>
      </c>
      <c r="AF221" s="3009">
        <v>13</v>
      </c>
      <c r="AG221" s="5" t="s">
        <v>5674</v>
      </c>
      <c r="AH221" s="1070"/>
      <c r="AI221" s="1070"/>
      <c r="AJ221" s="1070"/>
      <c r="AK221" s="1070"/>
      <c r="AL221" s="1070"/>
      <c r="AM221" s="1070"/>
      <c r="AN221" s="1070"/>
      <c r="AO221" s="1070"/>
      <c r="AP221" s="1070"/>
      <c r="AQ221" s="1070"/>
      <c r="AR221" s="1070"/>
      <c r="AS221" s="1070"/>
      <c r="AT221" s="1070"/>
      <c r="AU221" s="1070"/>
      <c r="AV221" s="1070"/>
      <c r="AW221" s="1070"/>
      <c r="AX221" s="1070"/>
      <c r="AY221" s="1070"/>
      <c r="AZ221" s="1070"/>
      <c r="BA221" s="1070"/>
      <c r="BB221" s="1070"/>
      <c r="BC221" s="1070"/>
      <c r="BD221" s="1070"/>
      <c r="BE221" s="1070"/>
      <c r="BF221" s="1070"/>
      <c r="BG221" s="1070"/>
      <c r="BH221" s="1070"/>
      <c r="BI221" s="1070"/>
      <c r="BJ221" s="1070"/>
      <c r="BK221" s="1070"/>
      <c r="BL221" s="1070"/>
      <c r="BM221" s="1070"/>
      <c r="BN221" s="1070"/>
      <c r="BO221" s="1070"/>
      <c r="BP221" s="1070"/>
      <c r="BQ221" s="1070"/>
      <c r="BR221" s="1070"/>
      <c r="BS221" s="1070"/>
      <c r="BT221" s="1070"/>
      <c r="BU221" s="1070"/>
      <c r="BV221" s="1070"/>
      <c r="BW221" s="1070"/>
      <c r="BX221" s="1070"/>
      <c r="BY221" s="1070"/>
      <c r="BZ221" s="1070"/>
      <c r="CA221" s="1070"/>
      <c r="CB221" s="1070"/>
      <c r="CC221" s="1070"/>
      <c r="CD221" s="1070"/>
      <c r="CE221" s="1070"/>
      <c r="CF221" s="1070"/>
      <c r="CG221" s="1070"/>
      <c r="CH221" s="1070"/>
      <c r="CI221" s="1070"/>
      <c r="CJ221" s="1070"/>
      <c r="CK221" s="1070"/>
      <c r="CL221" s="1070"/>
      <c r="CM221" s="1070"/>
      <c r="CN221" s="1070"/>
      <c r="CO221" s="1070"/>
      <c r="CP221" s="1070"/>
      <c r="CQ221" s="1070"/>
      <c r="CR221" s="1070"/>
      <c r="CS221" s="1070"/>
      <c r="CT221" s="1070"/>
      <c r="CU221" s="1070"/>
      <c r="CV221" s="1070"/>
      <c r="CW221" s="1070"/>
      <c r="CX221" s="1070"/>
      <c r="CY221" s="1070"/>
      <c r="CZ221" s="1070"/>
      <c r="DA221" s="1070"/>
      <c r="DB221" s="1070"/>
      <c r="DC221" s="1070"/>
      <c r="DD221" s="1070"/>
      <c r="DE221" s="1070"/>
      <c r="DF221" s="1070"/>
      <c r="DG221" s="1070"/>
      <c r="DH221" s="1070"/>
      <c r="DI221" s="1070"/>
      <c r="DJ221" s="1070"/>
    </row>
    <row r="222" spans="1:114" s="1136" customFormat="1" ht="27.75" customHeight="1" x14ac:dyDescent="0.2">
      <c r="A222" s="1383" t="s">
        <v>2926</v>
      </c>
      <c r="B222" s="1384"/>
      <c r="C222" s="1384"/>
      <c r="D222" s="1384"/>
      <c r="E222" s="1384"/>
      <c r="F222" s="1384"/>
      <c r="G222" s="1384"/>
      <c r="H222" s="1070"/>
      <c r="I222" s="1070"/>
      <c r="J222" s="1315"/>
      <c r="K222" s="1316"/>
      <c r="L222" s="1316"/>
      <c r="M222" s="1315"/>
      <c r="Q222" s="3009">
        <v>15</v>
      </c>
      <c r="R222" s="1070" t="s">
        <v>4823</v>
      </c>
      <c r="S222" s="2990" t="s">
        <v>5633</v>
      </c>
      <c r="T222" s="1405">
        <v>14</v>
      </c>
      <c r="U222" s="1405">
        <v>5</v>
      </c>
      <c r="V222" s="2990">
        <v>1.1000000000000001</v>
      </c>
      <c r="W222" s="2990">
        <v>1.8</v>
      </c>
      <c r="Z222" s="1188">
        <v>14</v>
      </c>
      <c r="AA222" s="5" t="s">
        <v>156</v>
      </c>
      <c r="AB222" s="5" t="s">
        <v>156</v>
      </c>
      <c r="AC222" s="5"/>
      <c r="AD222" s="1160"/>
      <c r="AE222" s="1070">
        <v>5</v>
      </c>
      <c r="AF222" s="3009">
        <v>14</v>
      </c>
      <c r="AG222" s="5" t="s">
        <v>5675</v>
      </c>
      <c r="AH222" s="1070"/>
      <c r="AI222" s="1070"/>
      <c r="AJ222" s="1070"/>
      <c r="AK222" s="1070"/>
      <c r="AL222" s="1070"/>
      <c r="AM222" s="1070"/>
      <c r="AN222" s="1070"/>
      <c r="AO222" s="1070"/>
      <c r="AP222" s="1070"/>
      <c r="AQ222" s="1070"/>
      <c r="AR222" s="1070"/>
      <c r="AS222" s="1070"/>
      <c r="AT222" s="1070"/>
      <c r="AU222" s="1070"/>
      <c r="AV222" s="1070"/>
      <c r="AW222" s="1070"/>
      <c r="AX222" s="1070"/>
      <c r="AY222" s="1070"/>
      <c r="AZ222" s="1070"/>
      <c r="BA222" s="1070"/>
      <c r="BB222" s="1070"/>
      <c r="BC222" s="1070"/>
      <c r="BD222" s="1070"/>
      <c r="BE222" s="1070"/>
      <c r="BF222" s="1070"/>
      <c r="BG222" s="1070"/>
      <c r="BH222" s="1070"/>
      <c r="BI222" s="1070"/>
      <c r="BJ222" s="1070"/>
      <c r="BK222" s="1070"/>
      <c r="BL222" s="1070"/>
      <c r="BM222" s="1070"/>
      <c r="BN222" s="1070"/>
      <c r="BO222" s="1070"/>
      <c r="BP222" s="1070"/>
      <c r="BQ222" s="1070"/>
      <c r="BR222" s="1070"/>
      <c r="BS222" s="1070"/>
      <c r="BT222" s="1070"/>
      <c r="BU222" s="1070"/>
      <c r="BV222" s="1070"/>
      <c r="BW222" s="1070"/>
      <c r="BX222" s="1070"/>
      <c r="BY222" s="1070"/>
      <c r="BZ222" s="1070"/>
      <c r="CA222" s="1070"/>
      <c r="CB222" s="1070"/>
      <c r="CC222" s="1070"/>
      <c r="CD222" s="1070"/>
      <c r="CE222" s="1070"/>
      <c r="CF222" s="1070"/>
      <c r="CG222" s="1070"/>
      <c r="CH222" s="1070"/>
      <c r="CI222" s="1070"/>
      <c r="CJ222" s="1070"/>
      <c r="CK222" s="1070"/>
      <c r="CL222" s="1070"/>
      <c r="CM222" s="1070"/>
      <c r="CN222" s="1070"/>
      <c r="CO222" s="1070"/>
      <c r="CP222" s="1070"/>
      <c r="CQ222" s="1070"/>
      <c r="CR222" s="1070"/>
      <c r="CS222" s="1070"/>
      <c r="CT222" s="1070"/>
      <c r="CU222" s="1070"/>
      <c r="CV222" s="1070"/>
      <c r="CW222" s="1070"/>
      <c r="CX222" s="1070"/>
      <c r="CY222" s="1070"/>
      <c r="CZ222" s="1070"/>
      <c r="DA222" s="1070"/>
      <c r="DB222" s="1070"/>
      <c r="DC222" s="1070"/>
      <c r="DD222" s="1070"/>
      <c r="DE222" s="1070"/>
      <c r="DF222" s="1070"/>
      <c r="DG222" s="1070"/>
      <c r="DH222" s="1070"/>
      <c r="DI222" s="1070"/>
      <c r="DJ222" s="1070"/>
    </row>
    <row r="223" spans="1:114" s="1136" customFormat="1" ht="27.75" customHeight="1" x14ac:dyDescent="0.25">
      <c r="A223" s="1392" t="s">
        <v>2927</v>
      </c>
      <c r="B223" s="1887" t="e">
        <f>B3022</f>
        <v>#VALUE!</v>
      </c>
      <c r="C223" s="1887" t="e">
        <f>B223*B3446*B3448</f>
        <v>#VALUE!</v>
      </c>
      <c r="D223" s="1887">
        <f>B3023</f>
        <v>16.5</v>
      </c>
      <c r="E223" s="1887"/>
      <c r="F223" s="1887" t="e">
        <f>G223/D223</f>
        <v>#VALUE!</v>
      </c>
      <c r="G223" s="1887" t="e">
        <f>B3034</f>
        <v>#VALUE!</v>
      </c>
      <c r="H223" s="1887" t="e">
        <f>B3465*B3446*B3448</f>
        <v>#VALUE!</v>
      </c>
      <c r="I223" s="1070"/>
      <c r="J223" s="1315"/>
      <c r="K223" s="1316"/>
      <c r="L223" s="1316"/>
      <c r="M223" s="1315"/>
      <c r="Q223" s="3009">
        <v>16</v>
      </c>
      <c r="R223" s="1070" t="s">
        <v>4823</v>
      </c>
      <c r="S223" s="2990" t="s">
        <v>5632</v>
      </c>
      <c r="T223" s="1405">
        <v>15</v>
      </c>
      <c r="U223" s="1405">
        <v>5</v>
      </c>
      <c r="V223" s="2990">
        <v>1.45</v>
      </c>
      <c r="W223" s="2990">
        <v>2.5</v>
      </c>
      <c r="Z223" s="1188">
        <v>15</v>
      </c>
      <c r="AA223" s="5" t="s">
        <v>157</v>
      </c>
      <c r="AB223" s="5"/>
      <c r="AC223" s="5"/>
      <c r="AD223" s="1160"/>
      <c r="AE223" s="1070">
        <v>8</v>
      </c>
      <c r="AF223" s="3009">
        <v>15</v>
      </c>
      <c r="AG223" s="5" t="s">
        <v>5676</v>
      </c>
      <c r="AH223" s="1070"/>
      <c r="AI223" s="1070"/>
      <c r="AJ223" s="1070"/>
      <c r="AK223" s="1070"/>
      <c r="AL223" s="1070"/>
      <c r="AM223" s="1070"/>
      <c r="AN223" s="1070"/>
      <c r="AO223" s="1070"/>
      <c r="AP223" s="1070"/>
      <c r="AQ223" s="1070"/>
      <c r="AR223" s="1070"/>
      <c r="AS223" s="1070"/>
      <c r="AT223" s="1070"/>
      <c r="AU223" s="1070"/>
      <c r="AV223" s="1070"/>
      <c r="AW223" s="1070"/>
      <c r="AX223" s="1070"/>
      <c r="AY223" s="1070"/>
      <c r="AZ223" s="1070"/>
      <c r="BA223" s="1070"/>
      <c r="BB223" s="1070"/>
      <c r="BC223" s="1070"/>
      <c r="BD223" s="1070"/>
      <c r="BE223" s="1070"/>
      <c r="BF223" s="1070"/>
      <c r="BG223" s="1070"/>
      <c r="BH223" s="1070"/>
      <c r="BI223" s="1070"/>
      <c r="BJ223" s="1070"/>
      <c r="BK223" s="1070"/>
      <c r="BL223" s="1070"/>
      <c r="BM223" s="1070"/>
      <c r="BN223" s="1070"/>
      <c r="BO223" s="1070"/>
      <c r="BP223" s="1070"/>
      <c r="BQ223" s="1070"/>
      <c r="BR223" s="1070"/>
      <c r="BS223" s="1070"/>
      <c r="BT223" s="1070"/>
      <c r="BU223" s="1070"/>
      <c r="BV223" s="1070"/>
      <c r="BW223" s="1070"/>
      <c r="BX223" s="1070"/>
      <c r="BY223" s="1070"/>
      <c r="BZ223" s="1070"/>
      <c r="CA223" s="1070"/>
      <c r="CB223" s="1070"/>
      <c r="CC223" s="1070"/>
      <c r="CD223" s="1070"/>
      <c r="CE223" s="1070"/>
      <c r="CF223" s="1070"/>
      <c r="CG223" s="1070"/>
      <c r="CH223" s="1070"/>
      <c r="CI223" s="1070"/>
      <c r="CJ223" s="1070"/>
      <c r="CK223" s="1070"/>
      <c r="CL223" s="1070"/>
      <c r="CM223" s="1070"/>
      <c r="CN223" s="1070"/>
      <c r="CO223" s="1070"/>
      <c r="CP223" s="1070"/>
      <c r="CQ223" s="1070"/>
      <c r="CR223" s="1070"/>
      <c r="CS223" s="1070"/>
      <c r="CT223" s="1070"/>
      <c r="CU223" s="1070"/>
      <c r="CV223" s="1070"/>
      <c r="CW223" s="1070"/>
      <c r="CX223" s="1070"/>
      <c r="CY223" s="1070"/>
      <c r="CZ223" s="1070"/>
      <c r="DA223" s="1070"/>
      <c r="DB223" s="1070"/>
      <c r="DC223" s="1070"/>
      <c r="DD223" s="1070"/>
      <c r="DE223" s="1070"/>
      <c r="DF223" s="1070"/>
      <c r="DG223" s="1070"/>
      <c r="DH223" s="1070"/>
      <c r="DI223" s="1070"/>
      <c r="DJ223" s="1070"/>
    </row>
    <row r="224" spans="1:114" s="1136" customFormat="1" ht="27.75" customHeight="1" x14ac:dyDescent="0.25">
      <c r="A224" s="1392" t="s">
        <v>2928</v>
      </c>
      <c r="B224" s="1887" t="e">
        <f>B2998</f>
        <v>#VALUE!</v>
      </c>
      <c r="C224" s="1887" t="e">
        <f>B224*B3446*B3448</f>
        <v>#VALUE!</v>
      </c>
      <c r="D224" s="1887">
        <f>B3000</f>
        <v>158</v>
      </c>
      <c r="E224" s="1887"/>
      <c r="F224" s="1887" t="e">
        <f>G224/D224</f>
        <v>#VALUE!</v>
      </c>
      <c r="G224" s="1887" t="e">
        <f>B3017</f>
        <v>#VALUE!</v>
      </c>
      <c r="H224" s="1887" t="e">
        <f>B3466*B3446*B3448</f>
        <v>#VALUE!</v>
      </c>
      <c r="I224" s="1070"/>
      <c r="J224" s="1315"/>
      <c r="K224" s="1316"/>
      <c r="L224" s="1316"/>
      <c r="M224" s="1315"/>
      <c r="N224" s="1070"/>
      <c r="O224" s="1070"/>
      <c r="P224" s="1070"/>
      <c r="Q224" s="1070"/>
      <c r="R224" s="1070"/>
      <c r="Z224" s="1188">
        <v>16</v>
      </c>
      <c r="AA224" s="5" t="s">
        <v>158</v>
      </c>
      <c r="AB224" s="5"/>
      <c r="AC224" s="5"/>
      <c r="AD224" s="1160"/>
      <c r="AE224" s="1070">
        <v>8</v>
      </c>
      <c r="AH224" s="1070"/>
      <c r="AI224" s="1070"/>
      <c r="AJ224" s="1070"/>
      <c r="AK224" s="1070"/>
      <c r="AL224" s="1070"/>
      <c r="AM224" s="1070"/>
      <c r="AN224" s="1070"/>
      <c r="AO224" s="1070"/>
      <c r="AP224" s="1070"/>
      <c r="AQ224" s="1070"/>
      <c r="AR224" s="1070"/>
      <c r="AS224" s="1070"/>
      <c r="AT224" s="1070"/>
      <c r="AU224" s="1070"/>
      <c r="AV224" s="1070"/>
      <c r="AW224" s="1070"/>
      <c r="AX224" s="1070"/>
      <c r="AY224" s="1070"/>
      <c r="AZ224" s="1070"/>
      <c r="BA224" s="1070"/>
      <c r="BB224" s="1070"/>
      <c r="BC224" s="1070"/>
      <c r="BD224" s="1070"/>
      <c r="BE224" s="1070"/>
      <c r="BF224" s="1070"/>
      <c r="BG224" s="1070"/>
      <c r="BH224" s="1070"/>
      <c r="BI224" s="1070"/>
      <c r="BJ224" s="1070"/>
      <c r="BK224" s="1070"/>
      <c r="BL224" s="1070"/>
      <c r="BM224" s="1070"/>
      <c r="BN224" s="1070"/>
      <c r="BO224" s="1070"/>
      <c r="BP224" s="1070"/>
      <c r="BQ224" s="1070"/>
      <c r="BR224" s="1070"/>
      <c r="BS224" s="1070"/>
      <c r="BT224" s="1070"/>
      <c r="BU224" s="1070"/>
      <c r="BV224" s="1070"/>
      <c r="BW224" s="1070"/>
      <c r="BX224" s="1070"/>
      <c r="BY224" s="1070"/>
      <c r="BZ224" s="1070"/>
      <c r="CA224" s="1070"/>
      <c r="CB224" s="1070"/>
      <c r="CC224" s="1070"/>
      <c r="CD224" s="1070"/>
      <c r="CE224" s="1070"/>
      <c r="CF224" s="1070"/>
      <c r="CG224" s="1070"/>
      <c r="CH224" s="1070"/>
      <c r="CI224" s="1070"/>
      <c r="CJ224" s="1070"/>
      <c r="CK224" s="1070"/>
      <c r="CL224" s="1070"/>
      <c r="CM224" s="1070"/>
      <c r="CN224" s="1070"/>
      <c r="CO224" s="1070"/>
      <c r="CP224" s="1070"/>
      <c r="CQ224" s="1070"/>
      <c r="CR224" s="1070"/>
      <c r="CS224" s="1070"/>
      <c r="CT224" s="1070"/>
      <c r="CU224" s="1070"/>
      <c r="CV224" s="1070"/>
      <c r="CW224" s="1070"/>
      <c r="CX224" s="1070"/>
      <c r="CY224" s="1070"/>
      <c r="CZ224" s="1070"/>
      <c r="DA224" s="1070"/>
      <c r="DB224" s="1070"/>
      <c r="DC224" s="1070"/>
      <c r="DD224" s="1070"/>
      <c r="DE224" s="1070"/>
      <c r="DF224" s="1070"/>
      <c r="DG224" s="1070"/>
      <c r="DH224" s="1070"/>
      <c r="DI224" s="1070"/>
      <c r="DJ224" s="1070"/>
    </row>
    <row r="225" spans="1:114" s="1136" customFormat="1" ht="27.75" customHeight="1" x14ac:dyDescent="0.25">
      <c r="A225" s="1392" t="s">
        <v>2929</v>
      </c>
      <c r="B225" s="1887" t="e">
        <f>B2983</f>
        <v>#VALUE!</v>
      </c>
      <c r="C225" s="1887" t="e">
        <f>B225*B3446*B3448</f>
        <v>#VALUE!</v>
      </c>
      <c r="D225" s="1887">
        <f>B2984</f>
        <v>11.83</v>
      </c>
      <c r="E225" s="1887"/>
      <c r="F225" s="1887" t="e">
        <f>G225/D225</f>
        <v>#VALUE!</v>
      </c>
      <c r="G225" s="1887" t="e">
        <f>B2992</f>
        <v>#VALUE!</v>
      </c>
      <c r="H225" s="1887" t="e">
        <f>B3467*B3446*B3448</f>
        <v>#VALUE!</v>
      </c>
      <c r="I225" s="1070"/>
      <c r="J225" s="1315"/>
      <c r="K225" s="1316"/>
      <c r="L225" s="1316"/>
      <c r="M225" s="1315"/>
      <c r="N225" s="1070"/>
      <c r="O225" s="1070"/>
      <c r="P225" s="1070"/>
      <c r="Q225" s="1070"/>
      <c r="R225" s="1070"/>
      <c r="Z225" s="1188">
        <v>17</v>
      </c>
      <c r="AA225" s="5" t="s">
        <v>159</v>
      </c>
      <c r="AB225" s="5"/>
      <c r="AC225" s="5"/>
      <c r="AD225" s="1160"/>
      <c r="AE225" s="1070">
        <v>8</v>
      </c>
      <c r="AF225" s="1070"/>
      <c r="AG225" s="1070"/>
      <c r="AH225" s="1070"/>
      <c r="AI225" s="1070"/>
      <c r="AJ225" s="1070"/>
      <c r="AK225" s="1070"/>
      <c r="AL225" s="1070"/>
      <c r="AM225" s="1070"/>
      <c r="AN225" s="1070"/>
      <c r="AO225" s="1070"/>
      <c r="AP225" s="1070"/>
      <c r="AQ225" s="1070"/>
      <c r="AR225" s="1070"/>
      <c r="AS225" s="1070"/>
      <c r="AT225" s="1070"/>
      <c r="AU225" s="1070"/>
      <c r="AV225" s="1070"/>
      <c r="AW225" s="1070"/>
      <c r="AX225" s="1070"/>
      <c r="AY225" s="1070"/>
      <c r="AZ225" s="1070"/>
      <c r="BA225" s="1070"/>
      <c r="BB225" s="1070"/>
      <c r="BC225" s="1070"/>
      <c r="BD225" s="1070"/>
      <c r="BE225" s="1070"/>
      <c r="BF225" s="1070"/>
      <c r="BG225" s="1070"/>
      <c r="BH225" s="1070"/>
      <c r="BI225" s="1070"/>
      <c r="BJ225" s="1070"/>
      <c r="BK225" s="1070"/>
      <c r="BL225" s="1070"/>
      <c r="BM225" s="1070"/>
      <c r="BN225" s="1070"/>
      <c r="BO225" s="1070"/>
      <c r="BP225" s="1070"/>
      <c r="BQ225" s="1070"/>
      <c r="BR225" s="1070"/>
      <c r="BS225" s="1070"/>
      <c r="BT225" s="1070"/>
      <c r="BU225" s="1070"/>
      <c r="BV225" s="1070"/>
      <c r="BW225" s="1070"/>
      <c r="BX225" s="1070"/>
      <c r="BY225" s="1070"/>
      <c r="BZ225" s="1070"/>
      <c r="CA225" s="1070"/>
      <c r="CB225" s="1070"/>
      <c r="CC225" s="1070"/>
      <c r="CD225" s="1070"/>
      <c r="CE225" s="1070"/>
      <c r="CF225" s="1070"/>
      <c r="CG225" s="1070"/>
      <c r="CH225" s="1070"/>
      <c r="CI225" s="1070"/>
      <c r="CJ225" s="1070"/>
      <c r="CK225" s="1070"/>
      <c r="CL225" s="1070"/>
      <c r="CM225" s="1070"/>
      <c r="CN225" s="1070"/>
      <c r="CO225" s="1070"/>
      <c r="CP225" s="1070"/>
      <c r="CQ225" s="1070"/>
      <c r="CR225" s="1070"/>
      <c r="CS225" s="1070"/>
      <c r="CT225" s="1070"/>
      <c r="CU225" s="1070"/>
      <c r="CV225" s="1070"/>
      <c r="CW225" s="1070"/>
      <c r="CX225" s="1070"/>
      <c r="CY225" s="1070"/>
      <c r="CZ225" s="1070"/>
      <c r="DA225" s="1070"/>
      <c r="DB225" s="1070"/>
      <c r="DC225" s="1070"/>
      <c r="DD225" s="1070"/>
      <c r="DE225" s="1070"/>
      <c r="DF225" s="1070"/>
      <c r="DG225" s="1070"/>
      <c r="DH225" s="1070"/>
      <c r="DI225" s="1070"/>
      <c r="DJ225" s="1070"/>
    </row>
    <row r="226" spans="1:114" s="1136" customFormat="1" ht="27.75" customHeight="1" x14ac:dyDescent="0.2">
      <c r="A226" s="1383" t="s">
        <v>2930</v>
      </c>
      <c r="B226" s="1384"/>
      <c r="C226" s="1384"/>
      <c r="D226" s="1384"/>
      <c r="E226" s="1384"/>
      <c r="F226" s="1384"/>
      <c r="G226" s="1384"/>
      <c r="H226" s="1070"/>
      <c r="I226" s="1070"/>
      <c r="J226" s="1315"/>
      <c r="K226" s="1316"/>
      <c r="L226" s="1316"/>
      <c r="M226" s="1315"/>
      <c r="N226" s="1070"/>
      <c r="O226" s="1070"/>
      <c r="P226" s="1070"/>
      <c r="Q226" s="1070"/>
      <c r="R226" s="1070"/>
      <c r="Z226" s="1188">
        <v>18</v>
      </c>
      <c r="AA226" s="5" t="s">
        <v>3622</v>
      </c>
      <c r="AB226" s="5"/>
      <c r="AC226" s="5"/>
      <c r="AD226" s="1160"/>
      <c r="AE226" s="1070">
        <v>8</v>
      </c>
      <c r="AF226" s="1070"/>
      <c r="AG226" s="1070"/>
      <c r="AH226" s="1070"/>
      <c r="AI226" s="1070"/>
      <c r="AJ226" s="1070"/>
      <c r="AK226" s="1070"/>
      <c r="AL226" s="1070"/>
      <c r="AM226" s="1070"/>
      <c r="AN226" s="1070"/>
      <c r="AO226" s="1070"/>
      <c r="AP226" s="1070"/>
      <c r="AQ226" s="1070"/>
      <c r="AR226" s="1070"/>
      <c r="AS226" s="1070"/>
      <c r="AT226" s="1070"/>
      <c r="AU226" s="1070"/>
      <c r="AV226" s="1070"/>
      <c r="AW226" s="1070"/>
      <c r="AX226" s="1070"/>
      <c r="AY226" s="1070"/>
      <c r="AZ226" s="1070"/>
      <c r="BA226" s="1070"/>
      <c r="BB226" s="1070"/>
      <c r="BC226" s="1070"/>
      <c r="BD226" s="1070"/>
      <c r="BE226" s="1070"/>
      <c r="BF226" s="1070"/>
      <c r="BG226" s="1070"/>
      <c r="BH226" s="1070"/>
      <c r="BI226" s="1070"/>
      <c r="BJ226" s="1070"/>
      <c r="BK226" s="1070"/>
      <c r="BL226" s="1070"/>
      <c r="BM226" s="1070"/>
      <c r="BN226" s="1070"/>
      <c r="BO226" s="1070"/>
      <c r="BP226" s="1070"/>
      <c r="BQ226" s="1070"/>
      <c r="BR226" s="1070"/>
      <c r="BS226" s="1070"/>
      <c r="BT226" s="1070"/>
      <c r="BU226" s="1070"/>
      <c r="BV226" s="1070"/>
      <c r="BW226" s="1070"/>
      <c r="BX226" s="1070"/>
      <c r="BY226" s="1070"/>
      <c r="BZ226" s="1070"/>
      <c r="CA226" s="1070"/>
      <c r="CB226" s="1070"/>
      <c r="CC226" s="1070"/>
      <c r="CD226" s="1070"/>
      <c r="CE226" s="1070"/>
      <c r="CF226" s="1070"/>
      <c r="CG226" s="1070"/>
      <c r="CH226" s="1070"/>
      <c r="CI226" s="1070"/>
      <c r="CJ226" s="1070"/>
      <c r="CK226" s="1070"/>
      <c r="CL226" s="1070"/>
      <c r="CM226" s="1070"/>
      <c r="CN226" s="1070"/>
      <c r="CO226" s="1070"/>
      <c r="CP226" s="1070"/>
      <c r="CQ226" s="1070"/>
      <c r="CR226" s="1070"/>
      <c r="CS226" s="1070"/>
      <c r="CT226" s="1070"/>
      <c r="CU226" s="1070"/>
      <c r="CV226" s="1070"/>
      <c r="CW226" s="1070"/>
      <c r="CX226" s="1070"/>
      <c r="CY226" s="1070"/>
      <c r="CZ226" s="1070"/>
      <c r="DA226" s="1070"/>
      <c r="DB226" s="1070"/>
      <c r="DC226" s="1070"/>
      <c r="DD226" s="1070"/>
      <c r="DE226" s="1070"/>
      <c r="DF226" s="1070"/>
      <c r="DG226" s="1070"/>
      <c r="DH226" s="1070"/>
      <c r="DI226" s="1070"/>
      <c r="DJ226" s="1070"/>
    </row>
    <row r="227" spans="1:114" s="1136" customFormat="1" ht="27.75" customHeight="1" thickBot="1" x14ac:dyDescent="0.3">
      <c r="A227" s="1392" t="s">
        <v>2927</v>
      </c>
      <c r="B227" s="1887" t="e">
        <f>B2570</f>
        <v>#VALUE!</v>
      </c>
      <c r="C227" s="1887" t="e">
        <f>B227*B3446*B3448</f>
        <v>#VALUE!</v>
      </c>
      <c r="D227" s="1887">
        <f>B2571</f>
        <v>16.5</v>
      </c>
      <c r="E227" s="1887"/>
      <c r="F227" s="1887" t="e">
        <f>G227/D227</f>
        <v>#VALUE!</v>
      </c>
      <c r="G227" s="1887" t="e">
        <f>B2582</f>
        <v>#VALUE!</v>
      </c>
      <c r="H227" s="1887" t="e">
        <f>B3456*B3446*B3448</f>
        <v>#VALUE!</v>
      </c>
      <c r="I227" s="1070"/>
      <c r="J227" s="1315"/>
      <c r="K227" s="1316"/>
      <c r="L227" s="1316"/>
      <c r="M227" s="1315"/>
      <c r="N227" s="1070"/>
      <c r="O227" s="1070"/>
      <c r="P227" s="1070"/>
      <c r="Q227" s="1070"/>
      <c r="R227" s="1070"/>
      <c r="Z227" s="1189">
        <v>19</v>
      </c>
      <c r="AA227" s="246" t="s">
        <v>3623</v>
      </c>
      <c r="AB227" s="246"/>
      <c r="AC227" s="246"/>
      <c r="AD227" s="247"/>
      <c r="AE227" s="1070">
        <v>8</v>
      </c>
      <c r="AF227" s="1070"/>
      <c r="AG227" s="1070"/>
      <c r="AH227" s="1070"/>
      <c r="AI227" s="1070"/>
      <c r="AJ227" s="1070"/>
      <c r="AK227" s="1070"/>
      <c r="AL227" s="1070"/>
      <c r="AM227" s="1070"/>
      <c r="AN227" s="1070"/>
      <c r="AO227" s="1070"/>
      <c r="AP227" s="1070"/>
      <c r="AQ227" s="1070"/>
      <c r="AR227" s="1070"/>
      <c r="AS227" s="1070"/>
      <c r="AT227" s="1070"/>
      <c r="AU227" s="1070"/>
      <c r="AV227" s="1070"/>
      <c r="AW227" s="1070"/>
      <c r="AX227" s="1070"/>
      <c r="AY227" s="1070"/>
      <c r="AZ227" s="1070"/>
      <c r="BA227" s="1070"/>
      <c r="BB227" s="1070"/>
      <c r="BC227" s="1070"/>
      <c r="BD227" s="1070"/>
      <c r="BE227" s="1070"/>
      <c r="BF227" s="1070"/>
      <c r="BG227" s="1070"/>
      <c r="BH227" s="1070"/>
      <c r="BI227" s="1070"/>
      <c r="BJ227" s="1070"/>
      <c r="BK227" s="1070"/>
      <c r="BL227" s="1070"/>
      <c r="BM227" s="1070"/>
      <c r="BN227" s="1070"/>
      <c r="BO227" s="1070"/>
      <c r="BP227" s="1070"/>
      <c r="BQ227" s="1070"/>
      <c r="BR227" s="1070"/>
      <c r="BS227" s="1070"/>
      <c r="BT227" s="1070"/>
      <c r="BU227" s="1070"/>
      <c r="BV227" s="1070"/>
      <c r="BW227" s="1070"/>
      <c r="BX227" s="1070"/>
      <c r="BY227" s="1070"/>
      <c r="BZ227" s="1070"/>
      <c r="CA227" s="1070"/>
      <c r="CB227" s="1070"/>
      <c r="CC227" s="1070"/>
      <c r="CD227" s="1070"/>
      <c r="CE227" s="1070"/>
      <c r="CF227" s="1070"/>
      <c r="CG227" s="1070"/>
      <c r="CH227" s="1070"/>
      <c r="CI227" s="1070"/>
      <c r="CJ227" s="1070"/>
      <c r="CK227" s="1070"/>
      <c r="CL227" s="1070"/>
      <c r="CM227" s="1070"/>
      <c r="CN227" s="1070"/>
      <c r="CO227" s="1070"/>
      <c r="CP227" s="1070"/>
      <c r="CQ227" s="1070"/>
      <c r="CR227" s="1070"/>
      <c r="CS227" s="1070"/>
      <c r="CT227" s="1070"/>
      <c r="CU227" s="1070"/>
      <c r="CV227" s="1070"/>
      <c r="CW227" s="1070"/>
      <c r="CX227" s="1070"/>
      <c r="CY227" s="1070"/>
      <c r="CZ227" s="1070"/>
      <c r="DA227" s="1070"/>
      <c r="DB227" s="1070"/>
      <c r="DC227" s="1070"/>
      <c r="DD227" s="1070"/>
      <c r="DE227" s="1070"/>
      <c r="DF227" s="1070"/>
      <c r="DG227" s="1070"/>
      <c r="DH227" s="1070"/>
      <c r="DI227" s="1070"/>
      <c r="DJ227" s="1070"/>
    </row>
    <row r="228" spans="1:114" s="1136" customFormat="1" ht="27.75" customHeight="1" x14ac:dyDescent="0.25">
      <c r="A228" s="1392" t="s">
        <v>2928</v>
      </c>
      <c r="B228" s="1887" t="e">
        <f>B2536</f>
        <v>#VALUE!</v>
      </c>
      <c r="C228" s="1887" t="e">
        <f>B228*B3446*B3448</f>
        <v>#VALUE!</v>
      </c>
      <c r="D228" s="1887">
        <f>B2538</f>
        <v>158</v>
      </c>
      <c r="E228" s="1887"/>
      <c r="F228" s="1887" t="e">
        <f>G228/D228</f>
        <v>#VALUE!</v>
      </c>
      <c r="G228" s="1887" t="e">
        <f>B2555</f>
        <v>#VALUE!</v>
      </c>
      <c r="H228" s="1887" t="e">
        <f>B3458*B3446*B3448</f>
        <v>#VALUE!</v>
      </c>
      <c r="I228" s="1070"/>
      <c r="J228" s="1315"/>
      <c r="K228" s="1316"/>
      <c r="L228" s="1316"/>
      <c r="M228" s="1315"/>
      <c r="N228" s="1070"/>
      <c r="O228" s="1070"/>
      <c r="P228" s="1070"/>
      <c r="Q228" s="1070"/>
      <c r="R228" s="1070"/>
      <c r="S228" s="1070"/>
      <c r="T228" s="1070"/>
      <c r="U228" s="1070"/>
      <c r="V228" s="1070"/>
      <c r="W228" s="1070"/>
      <c r="X228" s="1070"/>
      <c r="Y228" s="1070"/>
      <c r="Z228" s="1070"/>
      <c r="AA228" s="1070"/>
      <c r="AB228" s="1070"/>
      <c r="AC228" s="1070"/>
      <c r="AD228" s="1070"/>
      <c r="AE228" s="1070"/>
      <c r="AF228" s="1070"/>
      <c r="AG228" s="1070"/>
      <c r="AH228" s="1070"/>
      <c r="AI228" s="1070"/>
      <c r="AJ228" s="1070"/>
      <c r="AK228" s="1070"/>
      <c r="AL228" s="1070"/>
      <c r="AM228" s="1070"/>
      <c r="AN228" s="1070"/>
      <c r="AO228" s="1070"/>
      <c r="AP228" s="1070"/>
      <c r="AQ228" s="1070"/>
      <c r="AR228" s="1070"/>
      <c r="AS228" s="1070"/>
      <c r="AT228" s="1070"/>
      <c r="AU228" s="1070"/>
      <c r="AV228" s="1070"/>
      <c r="AW228" s="1070"/>
      <c r="AX228" s="1070"/>
      <c r="AY228" s="1070"/>
      <c r="AZ228" s="1070"/>
      <c r="BA228" s="1070"/>
      <c r="BB228" s="1070"/>
      <c r="BC228" s="1070"/>
      <c r="BD228" s="1070"/>
      <c r="BE228" s="1070"/>
      <c r="BF228" s="1070"/>
      <c r="BG228" s="1070"/>
      <c r="BH228" s="1070"/>
      <c r="BI228" s="1070"/>
      <c r="BJ228" s="1070"/>
      <c r="BK228" s="1070"/>
      <c r="BL228" s="1070"/>
      <c r="BM228" s="1070"/>
      <c r="BN228" s="1070"/>
      <c r="BO228" s="1070"/>
      <c r="BP228" s="1070"/>
      <c r="BQ228" s="1070"/>
      <c r="BR228" s="1070"/>
      <c r="BS228" s="1070"/>
      <c r="BT228" s="1070"/>
      <c r="BU228" s="1070"/>
      <c r="BV228" s="1070"/>
      <c r="BW228" s="1070"/>
      <c r="BX228" s="1070"/>
      <c r="BY228" s="1070"/>
      <c r="BZ228" s="1070"/>
      <c r="CA228" s="1070"/>
      <c r="CB228" s="1070"/>
      <c r="CC228" s="1070"/>
      <c r="CD228" s="1070"/>
      <c r="CE228" s="1070"/>
      <c r="CF228" s="1070"/>
      <c r="CG228" s="1070"/>
      <c r="CH228" s="1070"/>
      <c r="CI228" s="1070"/>
      <c r="CJ228" s="1070"/>
      <c r="CK228" s="1070"/>
      <c r="CL228" s="1070"/>
      <c r="CM228" s="1070"/>
      <c r="CN228" s="1070"/>
      <c r="CO228" s="1070"/>
      <c r="CP228" s="1070"/>
      <c r="CQ228" s="1070"/>
      <c r="CR228" s="1070"/>
      <c r="CS228" s="1070"/>
      <c r="CT228" s="1070"/>
      <c r="CU228" s="1070"/>
      <c r="CV228" s="1070"/>
      <c r="CW228" s="1070"/>
      <c r="CX228" s="1070"/>
      <c r="CY228" s="1070"/>
      <c r="CZ228" s="1070"/>
      <c r="DA228" s="1070"/>
      <c r="DB228" s="1070"/>
      <c r="DC228" s="1070"/>
      <c r="DD228" s="1070"/>
      <c r="DE228" s="1070"/>
      <c r="DF228" s="1070"/>
      <c r="DG228" s="1070"/>
      <c r="DH228" s="1070"/>
      <c r="DI228" s="1070"/>
      <c r="DJ228" s="1070"/>
    </row>
    <row r="229" spans="1:114" s="1136" customFormat="1" ht="27.75" customHeight="1" x14ac:dyDescent="0.25">
      <c r="A229" s="1392" t="s">
        <v>2929</v>
      </c>
      <c r="B229" s="1887" t="e">
        <f>B2521</f>
        <v>#VALUE!</v>
      </c>
      <c r="C229" s="1887" t="e">
        <f>B229*B3446*B3448</f>
        <v>#VALUE!</v>
      </c>
      <c r="D229" s="1887">
        <f>B2522</f>
        <v>11.83</v>
      </c>
      <c r="E229" s="1887"/>
      <c r="F229" s="1887" t="e">
        <f>G229/D229</f>
        <v>#VALUE!</v>
      </c>
      <c r="G229" s="1887" t="e">
        <f>B2530</f>
        <v>#VALUE!</v>
      </c>
      <c r="H229" s="1887" t="e">
        <f>B3459*B3446*B3448</f>
        <v>#VALUE!</v>
      </c>
      <c r="I229" s="1070"/>
      <c r="J229" s="1315"/>
      <c r="K229" s="1316"/>
      <c r="L229" s="1316"/>
      <c r="M229" s="1315"/>
      <c r="N229" s="1070"/>
      <c r="O229" s="1070"/>
      <c r="P229" s="1070"/>
      <c r="Q229" s="1070"/>
      <c r="R229" s="1070"/>
      <c r="S229" s="1070"/>
      <c r="T229" s="1070"/>
      <c r="U229" s="1070"/>
      <c r="V229" s="1070"/>
      <c r="W229" s="1070"/>
      <c r="X229" s="1070"/>
      <c r="Y229" s="1070"/>
      <c r="Z229" s="1070"/>
      <c r="AA229" s="1070"/>
      <c r="AB229" s="1070"/>
      <c r="AC229" s="1070"/>
      <c r="AD229" s="1070"/>
      <c r="AE229" s="1070"/>
      <c r="AF229" s="1070"/>
      <c r="AG229" s="1070"/>
      <c r="AH229" s="1070"/>
      <c r="AI229" s="1070"/>
      <c r="AJ229" s="1070"/>
      <c r="AK229" s="1070"/>
      <c r="AL229" s="1070"/>
      <c r="AM229" s="1070"/>
      <c r="AN229" s="1070"/>
      <c r="AO229" s="1070"/>
      <c r="AP229" s="1070"/>
      <c r="AQ229" s="1070"/>
      <c r="AR229" s="1070"/>
      <c r="AS229" s="1070"/>
      <c r="AT229" s="1070"/>
      <c r="AU229" s="1070"/>
      <c r="AV229" s="1070"/>
      <c r="AW229" s="1070"/>
      <c r="AX229" s="1070"/>
      <c r="AY229" s="1070"/>
      <c r="AZ229" s="1070"/>
      <c r="BA229" s="1070"/>
      <c r="BB229" s="1070"/>
      <c r="BC229" s="1070"/>
      <c r="BD229" s="1070"/>
      <c r="BE229" s="1070"/>
      <c r="BF229" s="1070"/>
      <c r="BG229" s="1070"/>
      <c r="BH229" s="1070"/>
      <c r="BI229" s="1070"/>
      <c r="BJ229" s="1070"/>
      <c r="BK229" s="1070"/>
      <c r="BL229" s="1070"/>
      <c r="BM229" s="1070"/>
      <c r="BN229" s="1070"/>
      <c r="BO229" s="1070"/>
      <c r="BP229" s="1070"/>
      <c r="BQ229" s="1070"/>
      <c r="BR229" s="1070"/>
      <c r="BS229" s="1070"/>
      <c r="BT229" s="1070"/>
      <c r="BU229" s="1070"/>
      <c r="BV229" s="1070"/>
      <c r="BW229" s="1070"/>
      <c r="BX229" s="1070"/>
      <c r="BY229" s="1070"/>
      <c r="BZ229" s="1070"/>
      <c r="CA229" s="1070"/>
      <c r="CB229" s="1070"/>
      <c r="CC229" s="1070"/>
      <c r="CD229" s="1070"/>
      <c r="CE229" s="1070"/>
      <c r="CF229" s="1070"/>
      <c r="CG229" s="1070"/>
      <c r="CH229" s="1070"/>
      <c r="CI229" s="1070"/>
      <c r="CJ229" s="1070"/>
      <c r="CK229" s="1070"/>
      <c r="CL229" s="1070"/>
      <c r="CM229" s="1070"/>
      <c r="CN229" s="1070"/>
      <c r="CO229" s="1070"/>
      <c r="CP229" s="1070"/>
      <c r="CQ229" s="1070"/>
      <c r="CR229" s="1070"/>
      <c r="CS229" s="1070"/>
      <c r="CT229" s="1070"/>
      <c r="CU229" s="1070"/>
      <c r="CV229" s="1070"/>
      <c r="CW229" s="1070"/>
      <c r="CX229" s="1070"/>
      <c r="CY229" s="1070"/>
      <c r="CZ229" s="1070"/>
      <c r="DA229" s="1070"/>
      <c r="DB229" s="1070"/>
      <c r="DC229" s="1070"/>
      <c r="DD229" s="1070"/>
      <c r="DE229" s="1070"/>
      <c r="DF229" s="1070"/>
      <c r="DG229" s="1070"/>
      <c r="DH229" s="1070"/>
      <c r="DI229" s="1070"/>
      <c r="DJ229" s="1070"/>
    </row>
    <row r="230" spans="1:114" s="1136" customFormat="1" ht="15" customHeight="1" x14ac:dyDescent="0.25">
      <c r="A230" s="1390" t="s">
        <v>50</v>
      </c>
      <c r="C230" s="1941"/>
      <c r="D230" s="1941"/>
      <c r="E230" s="1941"/>
      <c r="F230" s="1941"/>
      <c r="G230" s="1941"/>
      <c r="H230" s="1924"/>
      <c r="I230" s="1924"/>
      <c r="J230" s="1925"/>
      <c r="K230" s="1926"/>
      <c r="L230" s="1926"/>
      <c r="M230" s="1925"/>
      <c r="N230" s="1924"/>
      <c r="O230" s="1924"/>
      <c r="P230" s="1070"/>
      <c r="Q230" s="1070"/>
      <c r="R230" s="1070"/>
      <c r="S230" s="1070"/>
      <c r="T230" s="1070"/>
      <c r="U230" s="1070"/>
      <c r="V230" s="1070"/>
      <c r="W230" s="1070"/>
      <c r="X230" s="1070"/>
      <c r="Y230" s="1070"/>
      <c r="Z230" s="1070"/>
      <c r="AA230" s="1070"/>
      <c r="AB230" s="1070"/>
      <c r="AC230" s="1070"/>
      <c r="AD230" s="1070"/>
      <c r="AE230" s="1070"/>
      <c r="AF230" s="1070"/>
      <c r="AG230" s="1070"/>
      <c r="AH230" s="1070"/>
      <c r="AI230" s="1070"/>
      <c r="AJ230" s="1070"/>
      <c r="AK230" s="1070"/>
      <c r="AL230" s="1070"/>
      <c r="AM230" s="1070"/>
      <c r="AN230" s="1070"/>
      <c r="AO230" s="1070"/>
      <c r="AP230" s="1070"/>
      <c r="AQ230" s="1070"/>
      <c r="AR230" s="1070"/>
      <c r="AS230" s="1070"/>
      <c r="AT230" s="1070"/>
      <c r="AU230" s="1070"/>
      <c r="AV230" s="1070"/>
      <c r="AW230" s="1070"/>
      <c r="AX230" s="1070"/>
      <c r="AY230" s="1070"/>
      <c r="AZ230" s="1070"/>
      <c r="BA230" s="1070"/>
      <c r="BB230" s="1070"/>
      <c r="BC230" s="1070"/>
      <c r="BD230" s="1070"/>
      <c r="BE230" s="1070"/>
      <c r="BF230" s="1070"/>
      <c r="BG230" s="1070"/>
      <c r="BH230" s="1070"/>
      <c r="BI230" s="1070"/>
      <c r="BJ230" s="1070"/>
      <c r="BK230" s="1070"/>
      <c r="BL230" s="1070"/>
      <c r="BM230" s="1070"/>
      <c r="BN230" s="1070"/>
      <c r="BO230" s="1070"/>
      <c r="BP230" s="1070"/>
      <c r="BQ230" s="1070"/>
      <c r="BR230" s="1070"/>
      <c r="BS230" s="1070"/>
      <c r="BT230" s="1070"/>
      <c r="BU230" s="1070"/>
      <c r="BV230" s="1070"/>
      <c r="BW230" s="1070"/>
      <c r="BX230" s="1070"/>
      <c r="BY230" s="1070"/>
      <c r="BZ230" s="1070"/>
      <c r="CA230" s="1070"/>
      <c r="CB230" s="1070"/>
      <c r="CC230" s="1070"/>
      <c r="CD230" s="1070"/>
      <c r="CE230" s="1070"/>
      <c r="CF230" s="1070"/>
      <c r="CG230" s="1070"/>
      <c r="CH230" s="1070"/>
      <c r="CI230" s="1070"/>
      <c r="CJ230" s="1070"/>
      <c r="CK230" s="1070"/>
      <c r="CL230" s="1070"/>
      <c r="CM230" s="1070"/>
      <c r="CN230" s="1070"/>
      <c r="CO230" s="1070"/>
      <c r="CP230" s="1070"/>
      <c r="CQ230" s="1070"/>
      <c r="CR230" s="1070"/>
      <c r="CS230" s="1070"/>
      <c r="CT230" s="1070"/>
      <c r="CU230" s="1070"/>
      <c r="CV230" s="1070"/>
      <c r="CW230" s="1070"/>
      <c r="CX230" s="1070"/>
      <c r="CY230" s="1070"/>
      <c r="CZ230" s="1070"/>
      <c r="DA230" s="1070"/>
      <c r="DB230" s="1070"/>
      <c r="DC230" s="1070"/>
      <c r="DD230" s="1070"/>
      <c r="DE230" s="1070"/>
      <c r="DF230" s="1070"/>
      <c r="DG230" s="1070"/>
      <c r="DH230" s="1070"/>
      <c r="DI230" s="1070"/>
      <c r="DJ230" s="1070"/>
    </row>
    <row r="231" spans="1:114" s="1136" customFormat="1" ht="27.75" customHeight="1" x14ac:dyDescent="0.2">
      <c r="A231" s="1942" t="s">
        <v>51</v>
      </c>
      <c r="B231" s="1943" t="e">
        <f>B193+2</f>
        <v>#VALUE!</v>
      </c>
      <c r="C231" s="1384"/>
      <c r="D231" s="1384"/>
      <c r="E231" s="1384"/>
      <c r="F231" s="1384"/>
      <c r="G231" s="1384"/>
      <c r="H231" s="1070"/>
      <c r="I231" s="1070"/>
      <c r="J231" s="1315"/>
      <c r="K231" s="1316"/>
      <c r="L231" s="1316"/>
      <c r="M231" s="1315"/>
      <c r="N231" s="1070"/>
      <c r="O231" s="1070"/>
      <c r="P231" s="1070"/>
      <c r="Q231" s="1070"/>
      <c r="R231" s="1070"/>
      <c r="S231" s="1070"/>
      <c r="T231" s="1070"/>
      <c r="U231" s="1070"/>
      <c r="V231" s="1070"/>
      <c r="W231" s="1070"/>
      <c r="X231" s="1070"/>
      <c r="Y231" s="1070"/>
      <c r="Z231" s="1070"/>
      <c r="AA231" s="1070"/>
      <c r="AB231" s="1070"/>
      <c r="AC231" s="1070"/>
      <c r="AD231" s="1070"/>
      <c r="AE231" s="1070"/>
      <c r="AF231" s="1070"/>
      <c r="AG231" s="1070"/>
      <c r="AH231" s="1070"/>
      <c r="AI231" s="1070"/>
      <c r="AJ231" s="1070"/>
      <c r="AK231" s="1070"/>
      <c r="AL231" s="1070"/>
      <c r="AM231" s="1070"/>
      <c r="AN231" s="1070"/>
      <c r="AO231" s="1070"/>
      <c r="AP231" s="1070"/>
      <c r="AQ231" s="1070"/>
      <c r="AR231" s="1070"/>
      <c r="AS231" s="1070"/>
      <c r="AT231" s="1070"/>
      <c r="AU231" s="1070"/>
      <c r="AV231" s="1070"/>
      <c r="AW231" s="1070"/>
      <c r="AX231" s="1070"/>
      <c r="AY231" s="1070"/>
      <c r="AZ231" s="1070"/>
      <c r="BA231" s="1070"/>
      <c r="BB231" s="1070"/>
      <c r="BC231" s="1070"/>
      <c r="BD231" s="1070"/>
      <c r="BE231" s="1070"/>
      <c r="BF231" s="1070"/>
      <c r="BG231" s="1070"/>
      <c r="BH231" s="1070"/>
      <c r="BI231" s="1070"/>
      <c r="BJ231" s="1070"/>
      <c r="BK231" s="1070"/>
      <c r="BL231" s="1070"/>
      <c r="BM231" s="1070"/>
      <c r="BN231" s="1070"/>
      <c r="BO231" s="1070"/>
      <c r="BP231" s="1070"/>
      <c r="BQ231" s="1070"/>
      <c r="BR231" s="1070"/>
      <c r="BS231" s="1070"/>
      <c r="BT231" s="1070"/>
      <c r="BU231" s="1070"/>
      <c r="BV231" s="1070"/>
      <c r="BW231" s="1070"/>
      <c r="BX231" s="1070"/>
      <c r="BY231" s="1070"/>
      <c r="BZ231" s="1070"/>
      <c r="CA231" s="1070"/>
      <c r="CB231" s="1070"/>
      <c r="CC231" s="1070"/>
      <c r="CD231" s="1070"/>
      <c r="CE231" s="1070"/>
      <c r="CF231" s="1070"/>
      <c r="CG231" s="1070"/>
      <c r="CH231" s="1070"/>
      <c r="CI231" s="1070"/>
      <c r="CJ231" s="1070"/>
      <c r="CK231" s="1070"/>
      <c r="CL231" s="1070"/>
      <c r="CM231" s="1070"/>
      <c r="CN231" s="1070"/>
      <c r="CO231" s="1070"/>
      <c r="CP231" s="1070"/>
      <c r="CQ231" s="1070"/>
      <c r="CR231" s="1070"/>
      <c r="CS231" s="1070"/>
      <c r="CT231" s="1070"/>
      <c r="CU231" s="1070"/>
      <c r="CV231" s="1070"/>
      <c r="CW231" s="1070"/>
      <c r="CX231" s="1070"/>
      <c r="CY231" s="1070"/>
      <c r="CZ231" s="1070"/>
      <c r="DA231" s="1070"/>
      <c r="DB231" s="1070"/>
      <c r="DC231" s="1070"/>
      <c r="DD231" s="1070"/>
      <c r="DE231" s="1070"/>
      <c r="DF231" s="1070"/>
      <c r="DG231" s="1070"/>
      <c r="DH231" s="1070"/>
      <c r="DI231" s="1070"/>
      <c r="DJ231" s="1070"/>
    </row>
    <row r="232" spans="1:114" s="1136" customFormat="1" ht="27.75" customHeight="1" x14ac:dyDescent="0.2">
      <c r="A232" s="1942" t="s">
        <v>52</v>
      </c>
      <c r="B232" s="1943" t="e">
        <f>B214+1</f>
        <v>#VALUE!</v>
      </c>
      <c r="C232" s="1384"/>
      <c r="D232" s="1384"/>
      <c r="E232" s="1384"/>
      <c r="F232" s="1384"/>
      <c r="G232" s="1384"/>
      <c r="H232" s="1070"/>
      <c r="I232" s="1070"/>
      <c r="J232" s="1315"/>
      <c r="K232" s="1316"/>
      <c r="L232" s="1316"/>
      <c r="M232" s="1315"/>
      <c r="N232" s="1070"/>
      <c r="O232" s="1070"/>
      <c r="P232" s="1070"/>
      <c r="Q232" s="1070"/>
      <c r="R232" s="1070"/>
      <c r="S232" s="1070"/>
      <c r="T232" s="1070"/>
      <c r="U232" s="1070"/>
      <c r="V232" s="1070"/>
      <c r="W232" s="1070"/>
      <c r="X232" s="1070"/>
      <c r="Y232" s="1070"/>
      <c r="Z232" s="1070"/>
      <c r="AA232" s="1070"/>
      <c r="AB232" s="1070"/>
      <c r="AC232" s="1070"/>
      <c r="AD232" s="1070"/>
      <c r="AE232" s="1070"/>
      <c r="AF232" s="1070"/>
      <c r="AG232" s="1070"/>
      <c r="AH232" s="1070"/>
      <c r="AI232" s="1070"/>
      <c r="AJ232" s="1070"/>
      <c r="AK232" s="1070"/>
      <c r="AL232" s="1070"/>
      <c r="AM232" s="1070"/>
      <c r="AN232" s="1070"/>
      <c r="AO232" s="1070"/>
      <c r="AP232" s="1070"/>
      <c r="AQ232" s="1070"/>
      <c r="AR232" s="1070"/>
      <c r="AS232" s="1070"/>
      <c r="AT232" s="1070"/>
      <c r="AU232" s="1070"/>
      <c r="AV232" s="1070"/>
      <c r="AW232" s="1070"/>
      <c r="AX232" s="1070"/>
      <c r="AY232" s="1070"/>
      <c r="AZ232" s="1070"/>
      <c r="BA232" s="1070"/>
      <c r="BB232" s="1070"/>
      <c r="BC232" s="1070"/>
      <c r="BD232" s="1070"/>
      <c r="BE232" s="1070"/>
      <c r="BF232" s="1070"/>
      <c r="BG232" s="1070"/>
      <c r="BH232" s="1070"/>
      <c r="BI232" s="1070"/>
      <c r="BJ232" s="1070"/>
      <c r="BK232" s="1070"/>
      <c r="BL232" s="1070"/>
      <c r="BM232" s="1070"/>
      <c r="BN232" s="1070"/>
      <c r="BO232" s="1070"/>
      <c r="BP232" s="1070"/>
      <c r="BQ232" s="1070"/>
      <c r="BR232" s="1070"/>
      <c r="BS232" s="1070"/>
      <c r="BT232" s="1070"/>
      <c r="BU232" s="1070"/>
      <c r="BV232" s="1070"/>
      <c r="BW232" s="1070"/>
      <c r="BX232" s="1070"/>
      <c r="BY232" s="1070"/>
      <c r="BZ232" s="1070"/>
      <c r="CA232" s="1070"/>
      <c r="CB232" s="1070"/>
      <c r="CC232" s="1070"/>
      <c r="CD232" s="1070"/>
      <c r="CE232" s="1070"/>
      <c r="CF232" s="1070"/>
      <c r="CG232" s="1070"/>
      <c r="CH232" s="1070"/>
      <c r="CI232" s="1070"/>
      <c r="CJ232" s="1070"/>
      <c r="CK232" s="1070"/>
      <c r="CL232" s="1070"/>
      <c r="CM232" s="1070"/>
      <c r="CN232" s="1070"/>
      <c r="CO232" s="1070"/>
      <c r="CP232" s="1070"/>
      <c r="CQ232" s="1070"/>
      <c r="CR232" s="1070"/>
      <c r="CS232" s="1070"/>
      <c r="CT232" s="1070"/>
      <c r="CU232" s="1070"/>
      <c r="CV232" s="1070"/>
      <c r="CW232" s="1070"/>
      <c r="CX232" s="1070"/>
      <c r="CY232" s="1070"/>
      <c r="CZ232" s="1070"/>
      <c r="DA232" s="1070"/>
      <c r="DB232" s="1070"/>
      <c r="DC232" s="1070"/>
      <c r="DD232" s="1070"/>
      <c r="DE232" s="1070"/>
      <c r="DF232" s="1070"/>
      <c r="DG232" s="1070"/>
      <c r="DH232" s="1070"/>
      <c r="DI232" s="1070"/>
      <c r="DJ232" s="1070"/>
    </row>
    <row r="233" spans="1:114" s="1136" customFormat="1" ht="27.75" customHeight="1" x14ac:dyDescent="0.2">
      <c r="A233" s="1052" t="s">
        <v>53</v>
      </c>
      <c r="B233" s="1052" t="e">
        <f>(((B231+B232)/2)*4+1.5)/5</f>
        <v>#VALUE!</v>
      </c>
      <c r="C233" s="1384"/>
      <c r="D233" s="1384"/>
      <c r="E233" s="1384"/>
      <c r="F233" s="1384"/>
      <c r="G233" s="1384"/>
      <c r="H233" s="1070"/>
      <c r="I233" s="1070"/>
      <c r="J233" s="1315"/>
      <c r="K233" s="1316"/>
      <c r="L233" s="1316"/>
      <c r="M233" s="1315"/>
      <c r="N233" s="1070"/>
      <c r="O233" s="1070"/>
      <c r="P233" s="1070"/>
      <c r="Q233" s="1070"/>
      <c r="R233" s="1070"/>
      <c r="S233" s="1070"/>
      <c r="T233" s="1070"/>
      <c r="U233" s="1070"/>
      <c r="V233" s="1070"/>
      <c r="W233" s="1070"/>
      <c r="X233" s="1070"/>
      <c r="Y233" s="1070"/>
      <c r="Z233" s="1070"/>
      <c r="AA233" s="1070"/>
      <c r="AB233" s="1070"/>
      <c r="AC233" s="1070"/>
      <c r="AD233" s="1070"/>
      <c r="AE233" s="1070"/>
      <c r="AF233" s="1070"/>
      <c r="AG233" s="1070"/>
      <c r="AH233" s="1070"/>
      <c r="AI233" s="1070"/>
      <c r="AJ233" s="1070"/>
      <c r="AK233" s="1070"/>
      <c r="AL233" s="1070"/>
      <c r="AM233" s="1070"/>
      <c r="AN233" s="1070"/>
      <c r="AO233" s="1070"/>
      <c r="AP233" s="1070"/>
      <c r="AQ233" s="1070"/>
      <c r="AR233" s="1070"/>
      <c r="AS233" s="1070"/>
      <c r="AT233" s="1070"/>
      <c r="AU233" s="1070"/>
      <c r="AV233" s="1070"/>
      <c r="AW233" s="1070"/>
      <c r="AX233" s="1070"/>
      <c r="AY233" s="1070"/>
      <c r="AZ233" s="1070"/>
      <c r="BA233" s="1070"/>
      <c r="BB233" s="1070"/>
      <c r="BC233" s="1070"/>
      <c r="BD233" s="1070"/>
      <c r="BE233" s="1070"/>
      <c r="BF233" s="1070"/>
      <c r="BG233" s="1070"/>
      <c r="BH233" s="1070"/>
      <c r="BI233" s="1070"/>
      <c r="BJ233" s="1070"/>
      <c r="BK233" s="1070"/>
      <c r="BL233" s="1070"/>
      <c r="BM233" s="1070"/>
      <c r="BN233" s="1070"/>
      <c r="BO233" s="1070"/>
      <c r="BP233" s="1070"/>
      <c r="BQ233" s="1070"/>
      <c r="BR233" s="1070"/>
      <c r="BS233" s="1070"/>
      <c r="BT233" s="1070"/>
      <c r="BU233" s="1070"/>
      <c r="BV233" s="1070"/>
      <c r="BW233" s="1070"/>
      <c r="BX233" s="1070"/>
      <c r="BY233" s="1070"/>
      <c r="BZ233" s="1070"/>
      <c r="CA233" s="1070"/>
      <c r="CB233" s="1070"/>
      <c r="CC233" s="1070"/>
      <c r="CD233" s="1070"/>
      <c r="CE233" s="1070"/>
      <c r="CF233" s="1070"/>
      <c r="CG233" s="1070"/>
      <c r="CH233" s="1070"/>
      <c r="CI233" s="1070"/>
      <c r="CJ233" s="1070"/>
      <c r="CK233" s="1070"/>
      <c r="CL233" s="1070"/>
      <c r="CM233" s="1070"/>
      <c r="CN233" s="1070"/>
      <c r="CO233" s="1070"/>
      <c r="CP233" s="1070"/>
      <c r="CQ233" s="1070"/>
      <c r="CR233" s="1070"/>
      <c r="CS233" s="1070"/>
      <c r="CT233" s="1070"/>
      <c r="CU233" s="1070"/>
      <c r="CV233" s="1070"/>
      <c r="CW233" s="1070"/>
      <c r="CX233" s="1070"/>
      <c r="CY233" s="1070"/>
      <c r="CZ233" s="1070"/>
      <c r="DA233" s="1070"/>
      <c r="DB233" s="1070"/>
      <c r="DC233" s="1070"/>
      <c r="DD233" s="1070"/>
      <c r="DE233" s="1070"/>
      <c r="DF233" s="1070"/>
      <c r="DG233" s="1070"/>
      <c r="DH233" s="1070"/>
      <c r="DI233" s="1070"/>
      <c r="DJ233" s="1070"/>
    </row>
    <row r="234" spans="1:114" ht="15.75" x14ac:dyDescent="0.25">
      <c r="A234" s="1944" t="s">
        <v>4239</v>
      </c>
      <c r="B234" s="1358">
        <f>IF(B193&lt;3,2,1)</f>
        <v>1</v>
      </c>
    </row>
    <row r="235" spans="1:114" s="1136" customFormat="1" ht="27.75" customHeight="1" x14ac:dyDescent="0.25">
      <c r="A235" s="1945" t="s">
        <v>2956</v>
      </c>
      <c r="B235" s="1946">
        <f>IF(B216=2,3,0)</f>
        <v>0</v>
      </c>
      <c r="C235" s="1384"/>
      <c r="D235" s="1384"/>
      <c r="E235" s="1384"/>
      <c r="F235" s="1384"/>
      <c r="G235" s="1384"/>
      <c r="H235" s="1070"/>
      <c r="I235" s="1070"/>
      <c r="J235" s="1315"/>
      <c r="K235" s="1316"/>
      <c r="L235" s="1316"/>
      <c r="M235" s="1315"/>
      <c r="N235" s="1070"/>
      <c r="O235" s="1070"/>
      <c r="P235" s="1070"/>
      <c r="Q235" s="1070"/>
      <c r="R235" s="1070"/>
      <c r="S235" s="1070"/>
      <c r="T235" s="1070"/>
      <c r="U235" s="1070"/>
      <c r="V235" s="1070"/>
      <c r="W235" s="1070"/>
      <c r="X235" s="1070"/>
      <c r="Y235" s="1070"/>
      <c r="Z235" s="1070"/>
      <c r="AA235" s="1070"/>
      <c r="AB235" s="1070"/>
      <c r="AC235" s="1070"/>
      <c r="AD235" s="1070"/>
      <c r="AE235" s="1070"/>
      <c r="AF235" s="1070"/>
      <c r="AG235" s="1070"/>
      <c r="AH235" s="1070"/>
      <c r="AI235" s="1070"/>
      <c r="AJ235" s="1070"/>
      <c r="AK235" s="1070"/>
      <c r="AL235" s="1070"/>
      <c r="AM235" s="1070"/>
      <c r="AN235" s="1070"/>
      <c r="AO235" s="1070"/>
      <c r="AP235" s="1070"/>
      <c r="AQ235" s="1070"/>
      <c r="AR235" s="1070"/>
      <c r="AS235" s="1070"/>
      <c r="AT235" s="1070"/>
      <c r="AU235" s="1070"/>
      <c r="AV235" s="1070"/>
      <c r="AW235" s="1070"/>
      <c r="AX235" s="1070"/>
      <c r="AY235" s="1070"/>
      <c r="AZ235" s="1070"/>
      <c r="BA235" s="1070"/>
      <c r="BB235" s="1070"/>
      <c r="BC235" s="1070"/>
      <c r="BD235" s="1070"/>
      <c r="BE235" s="1070"/>
      <c r="BF235" s="1070"/>
      <c r="BG235" s="1070"/>
      <c r="BH235" s="1070"/>
      <c r="BI235" s="1070"/>
      <c r="BJ235" s="1070"/>
      <c r="BK235" s="1070"/>
      <c r="BL235" s="1070"/>
      <c r="BM235" s="1070"/>
      <c r="BN235" s="1070"/>
      <c r="BO235" s="1070"/>
      <c r="BP235" s="1070"/>
      <c r="BQ235" s="1070"/>
      <c r="BR235" s="1070"/>
      <c r="BS235" s="1070"/>
      <c r="BT235" s="1070"/>
      <c r="BU235" s="1070"/>
      <c r="BV235" s="1070"/>
      <c r="BW235" s="1070"/>
      <c r="BX235" s="1070"/>
      <c r="BY235" s="1070"/>
      <c r="BZ235" s="1070"/>
      <c r="CA235" s="1070"/>
      <c r="CB235" s="1070"/>
      <c r="CC235" s="1070"/>
      <c r="CD235" s="1070"/>
      <c r="CE235" s="1070"/>
      <c r="CF235" s="1070"/>
      <c r="CG235" s="1070"/>
      <c r="CH235" s="1070"/>
      <c r="CI235" s="1070"/>
      <c r="CJ235" s="1070"/>
      <c r="CK235" s="1070"/>
      <c r="CL235" s="1070"/>
      <c r="CM235" s="1070"/>
      <c r="CN235" s="1070"/>
      <c r="CO235" s="1070"/>
      <c r="CP235" s="1070"/>
      <c r="CQ235" s="1070"/>
      <c r="CR235" s="1070"/>
      <c r="CS235" s="1070"/>
      <c r="CT235" s="1070"/>
      <c r="CU235" s="1070"/>
      <c r="CV235" s="1070"/>
      <c r="CW235" s="1070"/>
      <c r="CX235" s="1070"/>
      <c r="CY235" s="1070"/>
      <c r="CZ235" s="1070"/>
      <c r="DA235" s="1070"/>
      <c r="DB235" s="1070"/>
      <c r="DC235" s="1070"/>
      <c r="DD235" s="1070"/>
      <c r="DE235" s="1070"/>
      <c r="DF235" s="1070"/>
      <c r="DG235" s="1070"/>
      <c r="DH235" s="1070"/>
      <c r="DI235" s="1070"/>
      <c r="DJ235" s="1070"/>
    </row>
    <row r="236" spans="1:114" s="1136" customFormat="1" ht="27.75" customHeight="1" x14ac:dyDescent="0.25">
      <c r="A236" s="1944" t="s">
        <v>2419</v>
      </c>
      <c r="B236" s="1394" t="e">
        <f>IF(B176&lt;9,1,IF(B176&lt;11,2,IF(B176&lt;13,3,IF(B176&lt;15,4,IF(B176=15,5)))))</f>
        <v>#VALUE!</v>
      </c>
      <c r="C236" s="1384"/>
      <c r="D236" s="1384"/>
      <c r="E236" s="1384"/>
      <c r="F236" s="1384"/>
      <c r="G236" s="1384"/>
      <c r="H236" s="1070"/>
      <c r="I236" s="1070"/>
      <c r="J236" s="1315"/>
      <c r="K236" s="1316"/>
      <c r="L236" s="1316"/>
      <c r="M236" s="1315"/>
      <c r="N236" s="1070"/>
      <c r="O236" s="1070"/>
      <c r="P236" s="1070"/>
      <c r="Q236" s="1070"/>
      <c r="R236" s="1070"/>
      <c r="S236" s="1070"/>
      <c r="T236" s="1070"/>
      <c r="U236" s="1070"/>
      <c r="V236" s="1070"/>
      <c r="W236" s="1070"/>
      <c r="X236" s="1070"/>
      <c r="Y236" s="1070"/>
      <c r="Z236" s="1070"/>
      <c r="AA236" s="1070"/>
      <c r="AB236" s="1070"/>
      <c r="AC236" s="1070"/>
      <c r="AD236" s="1070"/>
      <c r="AE236" s="1070"/>
      <c r="AF236" s="1070"/>
      <c r="AG236" s="1070"/>
      <c r="AH236" s="1070"/>
      <c r="AI236" s="1070"/>
      <c r="AJ236" s="1070"/>
      <c r="AK236" s="1070"/>
      <c r="AL236" s="1070"/>
      <c r="AM236" s="1070"/>
      <c r="AN236" s="1070"/>
      <c r="AO236" s="1070"/>
      <c r="AP236" s="1070"/>
      <c r="AQ236" s="1070"/>
      <c r="AR236" s="1070"/>
      <c r="AS236" s="1070"/>
      <c r="AT236" s="1070"/>
      <c r="AU236" s="1070"/>
      <c r="AV236" s="1070"/>
      <c r="AW236" s="1070"/>
      <c r="AX236" s="1070"/>
      <c r="AY236" s="1070"/>
      <c r="AZ236" s="1070"/>
      <c r="BA236" s="1070"/>
      <c r="BB236" s="1070"/>
      <c r="BC236" s="1070"/>
      <c r="BD236" s="1070"/>
      <c r="BE236" s="1070"/>
      <c r="BF236" s="1070"/>
      <c r="BG236" s="1070"/>
      <c r="BH236" s="1070"/>
      <c r="BI236" s="1070"/>
      <c r="BJ236" s="1070"/>
      <c r="BK236" s="1070"/>
      <c r="BL236" s="1070"/>
      <c r="BM236" s="1070"/>
      <c r="BN236" s="1070"/>
      <c r="BO236" s="1070"/>
      <c r="BP236" s="1070"/>
      <c r="BQ236" s="1070"/>
      <c r="BR236" s="1070"/>
      <c r="BS236" s="1070"/>
      <c r="BT236" s="1070"/>
      <c r="BU236" s="1070"/>
      <c r="BV236" s="1070"/>
      <c r="BW236" s="1070"/>
      <c r="BX236" s="1070"/>
      <c r="BY236" s="1070"/>
      <c r="BZ236" s="1070"/>
      <c r="CA236" s="1070"/>
      <c r="CB236" s="1070"/>
      <c r="CC236" s="1070"/>
      <c r="CD236" s="1070"/>
      <c r="CE236" s="1070"/>
      <c r="CF236" s="1070"/>
      <c r="CG236" s="1070"/>
      <c r="CH236" s="1070"/>
      <c r="CI236" s="1070"/>
      <c r="CJ236" s="1070"/>
      <c r="CK236" s="1070"/>
      <c r="CL236" s="1070"/>
      <c r="CM236" s="1070"/>
      <c r="CN236" s="1070"/>
      <c r="CO236" s="1070"/>
      <c r="CP236" s="1070"/>
      <c r="CQ236" s="1070"/>
      <c r="CR236" s="1070"/>
      <c r="CS236" s="1070"/>
      <c r="CT236" s="1070"/>
      <c r="CU236" s="1070"/>
      <c r="CV236" s="1070"/>
      <c r="CW236" s="1070"/>
      <c r="CX236" s="1070"/>
      <c r="CY236" s="1070"/>
      <c r="CZ236" s="1070"/>
      <c r="DA236" s="1070"/>
      <c r="DB236" s="1070"/>
      <c r="DC236" s="1070"/>
      <c r="DD236" s="1070"/>
      <c r="DE236" s="1070"/>
      <c r="DF236" s="1070"/>
      <c r="DG236" s="1070"/>
      <c r="DH236" s="1070"/>
      <c r="DI236" s="1070"/>
      <c r="DJ236" s="1070"/>
    </row>
    <row r="237" spans="1:114" s="1136" customFormat="1" ht="27.75" customHeight="1" x14ac:dyDescent="0.25">
      <c r="A237" s="1944" t="s">
        <v>631</v>
      </c>
      <c r="B237" s="1394" t="e">
        <f>INDEX(kursovoy!E869:E881,B176)</f>
        <v>#VALUE!</v>
      </c>
      <c r="C237" s="1384"/>
      <c r="D237" s="1384"/>
      <c r="E237" s="1384"/>
      <c r="F237" s="1384"/>
      <c r="G237" s="1384"/>
      <c r="H237" s="1070"/>
      <c r="I237" s="1070"/>
      <c r="J237" s="1315"/>
      <c r="K237" s="1316"/>
      <c r="L237" s="1316"/>
      <c r="M237" s="1315"/>
      <c r="N237" s="1070"/>
      <c r="O237" s="1070"/>
      <c r="P237" s="1070"/>
      <c r="Q237" s="1070"/>
      <c r="R237" s="1070"/>
      <c r="S237" s="1070"/>
      <c r="T237" s="1070"/>
      <c r="U237" s="1070"/>
      <c r="V237" s="1070"/>
      <c r="W237" s="1070"/>
      <c r="X237" s="1070"/>
      <c r="Y237" s="1070"/>
      <c r="Z237" s="1070"/>
      <c r="AA237" s="1070"/>
      <c r="AB237" s="1070"/>
      <c r="AC237" s="1070"/>
      <c r="AD237" s="1070"/>
      <c r="AE237" s="1070"/>
      <c r="AF237" s="1070"/>
      <c r="AG237" s="1070"/>
      <c r="AH237" s="1070"/>
      <c r="AI237" s="1070"/>
      <c r="AJ237" s="1070"/>
      <c r="AK237" s="1070"/>
      <c r="AL237" s="1070"/>
      <c r="AM237" s="1070"/>
      <c r="AN237" s="1070"/>
      <c r="AO237" s="1070"/>
      <c r="AP237" s="1070"/>
      <c r="AQ237" s="1070"/>
      <c r="AR237" s="1070"/>
      <c r="AS237" s="1070"/>
      <c r="AT237" s="1070"/>
      <c r="AU237" s="1070"/>
      <c r="AV237" s="1070"/>
      <c r="AW237" s="1070"/>
      <c r="AX237" s="1070"/>
      <c r="AY237" s="1070"/>
      <c r="AZ237" s="1070"/>
      <c r="BA237" s="1070"/>
      <c r="BB237" s="1070"/>
      <c r="BC237" s="1070"/>
      <c r="BD237" s="1070"/>
      <c r="BE237" s="1070"/>
      <c r="BF237" s="1070"/>
      <c r="BG237" s="1070"/>
      <c r="BH237" s="1070"/>
      <c r="BI237" s="1070"/>
      <c r="BJ237" s="1070"/>
      <c r="BK237" s="1070"/>
      <c r="BL237" s="1070"/>
      <c r="BM237" s="1070"/>
      <c r="BN237" s="1070"/>
      <c r="BO237" s="1070"/>
      <c r="BP237" s="1070"/>
      <c r="BQ237" s="1070"/>
      <c r="BR237" s="1070"/>
      <c r="BS237" s="1070"/>
      <c r="BT237" s="1070"/>
      <c r="BU237" s="1070"/>
      <c r="BV237" s="1070"/>
      <c r="BW237" s="1070"/>
      <c r="BX237" s="1070"/>
      <c r="BY237" s="1070"/>
      <c r="BZ237" s="1070"/>
      <c r="CA237" s="1070"/>
      <c r="CB237" s="1070"/>
      <c r="CC237" s="1070"/>
      <c r="CD237" s="1070"/>
      <c r="CE237" s="1070"/>
      <c r="CF237" s="1070"/>
      <c r="CG237" s="1070"/>
      <c r="CH237" s="1070"/>
      <c r="CI237" s="1070"/>
      <c r="CJ237" s="1070"/>
      <c r="CK237" s="1070"/>
      <c r="CL237" s="1070"/>
      <c r="CM237" s="1070"/>
      <c r="CN237" s="1070"/>
      <c r="CO237" s="1070"/>
      <c r="CP237" s="1070"/>
      <c r="CQ237" s="1070"/>
      <c r="CR237" s="1070"/>
      <c r="CS237" s="1070"/>
      <c r="CT237" s="1070"/>
      <c r="CU237" s="1070"/>
      <c r="CV237" s="1070"/>
      <c r="CW237" s="1070"/>
      <c r="CX237" s="1070"/>
      <c r="CY237" s="1070"/>
      <c r="CZ237" s="1070"/>
      <c r="DA237" s="1070"/>
      <c r="DB237" s="1070"/>
      <c r="DC237" s="1070"/>
      <c r="DD237" s="1070"/>
      <c r="DE237" s="1070"/>
      <c r="DF237" s="1070"/>
      <c r="DG237" s="1070"/>
      <c r="DH237" s="1070"/>
      <c r="DI237" s="1070"/>
      <c r="DJ237" s="1070"/>
    </row>
    <row r="238" spans="1:114" s="1136" customFormat="1" ht="27.75" customHeight="1" x14ac:dyDescent="0.25">
      <c r="A238" s="1944" t="s">
        <v>1728</v>
      </c>
      <c r="B238" s="1394" t="e">
        <f>INDEX(kursovoy!R858:R883,B176)</f>
        <v>#VALUE!</v>
      </c>
      <c r="C238" s="1384"/>
      <c r="D238" s="1384"/>
      <c r="E238" s="1384"/>
      <c r="F238" s="1384"/>
      <c r="G238" s="1384"/>
      <c r="H238" s="1070"/>
      <c r="I238" s="1070"/>
      <c r="J238" s="1315"/>
      <c r="K238" s="1316"/>
      <c r="L238" s="1316"/>
      <c r="M238" s="1315"/>
      <c r="N238" s="1070"/>
      <c r="O238" s="1070"/>
      <c r="P238" s="1070"/>
      <c r="Q238" s="1070"/>
      <c r="R238" s="1070"/>
      <c r="S238" s="1070"/>
      <c r="T238" s="1070"/>
      <c r="U238" s="1070"/>
      <c r="V238" s="1070"/>
      <c r="W238" s="1070"/>
      <c r="X238" s="1070"/>
      <c r="Y238" s="1070"/>
      <c r="Z238" s="1070"/>
      <c r="AA238" s="1070"/>
      <c r="AB238" s="1070"/>
      <c r="AC238" s="1070"/>
      <c r="AD238" s="1070"/>
      <c r="AE238" s="1070"/>
      <c r="AF238" s="1070"/>
      <c r="AG238" s="1070"/>
      <c r="AH238" s="1070"/>
      <c r="AI238" s="1070"/>
      <c r="AJ238" s="1070"/>
      <c r="AK238" s="1070"/>
      <c r="AL238" s="1070"/>
      <c r="AM238" s="1070"/>
      <c r="AN238" s="1070"/>
      <c r="AO238" s="1070"/>
      <c r="AP238" s="1070"/>
      <c r="AQ238" s="1070"/>
      <c r="AR238" s="1070"/>
      <c r="AS238" s="1070"/>
      <c r="AT238" s="1070"/>
      <c r="AU238" s="1070"/>
      <c r="AV238" s="1070"/>
      <c r="AW238" s="1070"/>
      <c r="AX238" s="1070"/>
      <c r="AY238" s="1070"/>
      <c r="AZ238" s="1070"/>
      <c r="BA238" s="1070"/>
      <c r="BB238" s="1070"/>
      <c r="BC238" s="1070"/>
      <c r="BD238" s="1070"/>
      <c r="BE238" s="1070"/>
      <c r="BF238" s="1070"/>
      <c r="BG238" s="1070"/>
      <c r="BH238" s="1070"/>
      <c r="BI238" s="1070"/>
      <c r="BJ238" s="1070"/>
      <c r="BK238" s="1070"/>
      <c r="BL238" s="1070"/>
      <c r="BM238" s="1070"/>
      <c r="BN238" s="1070"/>
      <c r="BO238" s="1070"/>
      <c r="BP238" s="1070"/>
      <c r="BQ238" s="1070"/>
      <c r="BR238" s="1070"/>
      <c r="BS238" s="1070"/>
      <c r="BT238" s="1070"/>
      <c r="BU238" s="1070"/>
      <c r="BV238" s="1070"/>
      <c r="BW238" s="1070"/>
      <c r="BX238" s="1070"/>
      <c r="BY238" s="1070"/>
      <c r="BZ238" s="1070"/>
      <c r="CA238" s="1070"/>
      <c r="CB238" s="1070"/>
      <c r="CC238" s="1070"/>
      <c r="CD238" s="1070"/>
      <c r="CE238" s="1070"/>
      <c r="CF238" s="1070"/>
      <c r="CG238" s="1070"/>
      <c r="CH238" s="1070"/>
      <c r="CI238" s="1070"/>
      <c r="CJ238" s="1070"/>
      <c r="CK238" s="1070"/>
      <c r="CL238" s="1070"/>
      <c r="CM238" s="1070"/>
      <c r="CN238" s="1070"/>
      <c r="CO238" s="1070"/>
      <c r="CP238" s="1070"/>
      <c r="CQ238" s="1070"/>
      <c r="CR238" s="1070"/>
      <c r="CS238" s="1070"/>
      <c r="CT238" s="1070"/>
      <c r="CU238" s="1070"/>
      <c r="CV238" s="1070"/>
      <c r="CW238" s="1070"/>
      <c r="CX238" s="1070"/>
      <c r="CY238" s="1070"/>
      <c r="CZ238" s="1070"/>
      <c r="DA238" s="1070"/>
      <c r="DB238" s="1070"/>
      <c r="DC238" s="1070"/>
      <c r="DD238" s="1070"/>
      <c r="DE238" s="1070"/>
      <c r="DF238" s="1070"/>
      <c r="DG238" s="1070"/>
      <c r="DH238" s="1070"/>
      <c r="DI238" s="1070"/>
      <c r="DJ238" s="1070"/>
    </row>
    <row r="239" spans="1:114" s="1136" customFormat="1" ht="27.75" customHeight="1" x14ac:dyDescent="0.25">
      <c r="A239" s="1392" t="s">
        <v>3315</v>
      </c>
      <c r="B239" s="1393">
        <f>B171</f>
        <v>0</v>
      </c>
      <c r="C239" s="1384"/>
      <c r="D239" s="1384"/>
      <c r="E239" s="1384"/>
      <c r="F239" s="1384"/>
      <c r="G239" s="1384"/>
      <c r="H239" s="1070"/>
      <c r="I239" s="1070"/>
      <c r="J239" s="1315"/>
      <c r="K239" s="1316"/>
      <c r="L239" s="1316"/>
      <c r="M239" s="1315"/>
      <c r="N239" s="1070"/>
      <c r="O239" s="1070"/>
      <c r="P239" s="1070"/>
      <c r="Q239" s="1070"/>
      <c r="R239" s="1070"/>
      <c r="S239" s="1070"/>
      <c r="T239" s="1070"/>
      <c r="U239" s="1070"/>
      <c r="V239" s="1070"/>
      <c r="W239" s="1070"/>
      <c r="X239" s="1070"/>
      <c r="Y239" s="1070"/>
      <c r="Z239" s="1070"/>
      <c r="AA239" s="1070"/>
      <c r="AB239" s="1070"/>
      <c r="AC239" s="1070"/>
      <c r="AD239" s="1070"/>
      <c r="AE239" s="1070"/>
      <c r="AF239" s="1070"/>
      <c r="AG239" s="1070"/>
      <c r="AH239" s="1070"/>
      <c r="AI239" s="1070"/>
      <c r="AJ239" s="1070"/>
      <c r="AK239" s="1070"/>
      <c r="AL239" s="1070"/>
      <c r="AM239" s="1070"/>
      <c r="AN239" s="1070"/>
      <c r="AO239" s="1070"/>
      <c r="AP239" s="1070"/>
      <c r="AQ239" s="1070"/>
      <c r="AR239" s="1070"/>
      <c r="AS239" s="1070"/>
      <c r="AT239" s="1070"/>
      <c r="AU239" s="1070"/>
      <c r="AV239" s="1070"/>
      <c r="AW239" s="1070"/>
      <c r="AX239" s="1070"/>
      <c r="AY239" s="1070"/>
      <c r="AZ239" s="1070"/>
      <c r="BA239" s="1070"/>
      <c r="BB239" s="1070"/>
      <c r="BC239" s="1070"/>
      <c r="BD239" s="1070"/>
      <c r="BE239" s="1070"/>
      <c r="BF239" s="1070"/>
      <c r="BG239" s="1070"/>
      <c r="BH239" s="1070"/>
      <c r="BI239" s="1070"/>
      <c r="BJ239" s="1070"/>
      <c r="BK239" s="1070"/>
      <c r="BL239" s="1070"/>
      <c r="BM239" s="1070"/>
      <c r="BN239" s="1070"/>
      <c r="BO239" s="1070"/>
      <c r="BP239" s="1070"/>
      <c r="BQ239" s="1070"/>
      <c r="BR239" s="1070"/>
      <c r="BS239" s="1070"/>
      <c r="BT239" s="1070"/>
      <c r="BU239" s="1070"/>
      <c r="BV239" s="1070"/>
      <c r="BW239" s="1070"/>
      <c r="BX239" s="1070"/>
      <c r="BY239" s="1070"/>
      <c r="BZ239" s="1070"/>
      <c r="CA239" s="1070"/>
      <c r="CB239" s="1070"/>
      <c r="CC239" s="1070"/>
      <c r="CD239" s="1070"/>
      <c r="CE239" s="1070"/>
      <c r="CF239" s="1070"/>
      <c r="CG239" s="1070"/>
      <c r="CH239" s="1070"/>
      <c r="CI239" s="1070"/>
      <c r="CJ239" s="1070"/>
      <c r="CK239" s="1070"/>
      <c r="CL239" s="1070"/>
      <c r="CM239" s="1070"/>
      <c r="CN239" s="1070"/>
      <c r="CO239" s="1070"/>
      <c r="CP239" s="1070"/>
      <c r="CQ239" s="1070"/>
      <c r="CR239" s="1070"/>
      <c r="CS239" s="1070"/>
      <c r="CT239" s="1070"/>
      <c r="CU239" s="1070"/>
      <c r="CV239" s="1070"/>
      <c r="CW239" s="1070"/>
      <c r="CX239" s="1070"/>
      <c r="CY239" s="1070"/>
      <c r="CZ239" s="1070"/>
      <c r="DA239" s="1070"/>
      <c r="DB239" s="1070"/>
      <c r="DC239" s="1070"/>
      <c r="DD239" s="1070"/>
      <c r="DE239" s="1070"/>
      <c r="DF239" s="1070"/>
      <c r="DG239" s="1070"/>
      <c r="DH239" s="1070"/>
      <c r="DI239" s="1070"/>
      <c r="DJ239" s="1070"/>
    </row>
    <row r="240" spans="1:114" s="1136" customFormat="1" ht="27.75" customHeight="1" x14ac:dyDescent="0.25">
      <c r="A240" s="1392" t="s">
        <v>2935</v>
      </c>
      <c r="B240" s="1394" t="str">
        <f>B173</f>
        <v/>
      </c>
      <c r="C240" s="1384"/>
      <c r="D240" s="1384"/>
      <c r="E240" s="1384"/>
      <c r="F240" s="1384"/>
      <c r="G240" s="1384"/>
      <c r="H240" s="1070"/>
      <c r="I240" s="1070"/>
      <c r="J240" s="1315"/>
      <c r="K240" s="1316"/>
      <c r="L240" s="1316"/>
      <c r="M240" s="1315"/>
      <c r="N240" s="1070"/>
      <c r="O240" s="1070"/>
      <c r="P240" s="1070"/>
      <c r="Q240" s="1070"/>
      <c r="R240" s="1070"/>
      <c r="S240" s="1070"/>
      <c r="T240" s="1070"/>
      <c r="U240" s="1070"/>
      <c r="V240" s="1070"/>
      <c r="W240" s="1070"/>
      <c r="X240" s="1070"/>
      <c r="Y240" s="1070"/>
      <c r="Z240" s="1070"/>
      <c r="AA240" s="1070"/>
      <c r="AB240" s="1070"/>
      <c r="AC240" s="1070"/>
      <c r="AD240" s="1070"/>
      <c r="AE240" s="1070"/>
      <c r="AF240" s="1070"/>
      <c r="AG240" s="1070"/>
      <c r="AH240" s="1070"/>
      <c r="AI240" s="1070"/>
      <c r="AJ240" s="1070"/>
      <c r="AK240" s="1070"/>
      <c r="AL240" s="1070"/>
      <c r="AM240" s="1070"/>
      <c r="AN240" s="1070"/>
      <c r="AO240" s="1070"/>
      <c r="AP240" s="1070"/>
      <c r="AQ240" s="1070"/>
      <c r="AR240" s="1070"/>
      <c r="AS240" s="1070"/>
      <c r="AT240" s="1070"/>
      <c r="AU240" s="1070"/>
      <c r="AV240" s="1070"/>
      <c r="AW240" s="1070"/>
      <c r="AX240" s="1070"/>
      <c r="AY240" s="1070"/>
      <c r="AZ240" s="1070"/>
      <c r="BA240" s="1070"/>
      <c r="BB240" s="1070"/>
      <c r="BC240" s="1070"/>
      <c r="BD240" s="1070"/>
      <c r="BE240" s="1070"/>
      <c r="BF240" s="1070"/>
      <c r="BG240" s="1070"/>
      <c r="BH240" s="1070"/>
      <c r="BI240" s="1070"/>
      <c r="BJ240" s="1070"/>
      <c r="BK240" s="1070"/>
      <c r="BL240" s="1070"/>
      <c r="BM240" s="1070"/>
      <c r="BN240" s="1070"/>
      <c r="BO240" s="1070"/>
      <c r="BP240" s="1070"/>
      <c r="BQ240" s="1070"/>
      <c r="BR240" s="1070"/>
      <c r="BS240" s="1070"/>
      <c r="BT240" s="1070"/>
      <c r="BU240" s="1070"/>
      <c r="BV240" s="1070"/>
      <c r="BW240" s="1070"/>
      <c r="BX240" s="1070"/>
      <c r="BY240" s="1070"/>
      <c r="BZ240" s="1070"/>
      <c r="CA240" s="1070"/>
      <c r="CB240" s="1070"/>
      <c r="CC240" s="1070"/>
      <c r="CD240" s="1070"/>
      <c r="CE240" s="1070"/>
      <c r="CF240" s="1070"/>
      <c r="CG240" s="1070"/>
      <c r="CH240" s="1070"/>
      <c r="CI240" s="1070"/>
      <c r="CJ240" s="1070"/>
      <c r="CK240" s="1070"/>
      <c r="CL240" s="1070"/>
      <c r="CM240" s="1070"/>
      <c r="CN240" s="1070"/>
      <c r="CO240" s="1070"/>
      <c r="CP240" s="1070"/>
      <c r="CQ240" s="1070"/>
      <c r="CR240" s="1070"/>
      <c r="CS240" s="1070"/>
      <c r="CT240" s="1070"/>
      <c r="CU240" s="1070"/>
      <c r="CV240" s="1070"/>
      <c r="CW240" s="1070"/>
      <c r="CX240" s="1070"/>
      <c r="CY240" s="1070"/>
      <c r="CZ240" s="1070"/>
      <c r="DA240" s="1070"/>
      <c r="DB240" s="1070"/>
      <c r="DC240" s="1070"/>
      <c r="DD240" s="1070"/>
      <c r="DE240" s="1070"/>
      <c r="DF240" s="1070"/>
      <c r="DG240" s="1070"/>
      <c r="DH240" s="1070"/>
      <c r="DI240" s="1070"/>
      <c r="DJ240" s="1070"/>
    </row>
    <row r="241" spans="1:114" s="1136" customFormat="1" ht="27.75" customHeight="1" x14ac:dyDescent="0.25">
      <c r="A241" s="1392" t="s">
        <v>2936</v>
      </c>
      <c r="B241" s="1394" t="e">
        <f>B174</f>
        <v>#VALUE!</v>
      </c>
      <c r="C241" s="1384"/>
      <c r="D241" s="1384"/>
      <c r="E241" s="1384"/>
      <c r="F241" s="1384"/>
      <c r="G241" s="1384"/>
      <c r="H241" s="1070"/>
      <c r="I241" s="1070"/>
      <c r="J241" s="1315"/>
      <c r="K241" s="1316"/>
      <c r="L241" s="1316"/>
      <c r="M241" s="1315"/>
      <c r="N241" s="1070"/>
      <c r="O241" s="1070"/>
      <c r="P241" s="1070"/>
      <c r="Q241" s="1070"/>
      <c r="R241" s="1070"/>
      <c r="S241" s="1070"/>
      <c r="T241" s="1070"/>
      <c r="U241" s="1070"/>
      <c r="V241" s="1070"/>
      <c r="W241" s="1070"/>
      <c r="X241" s="1070"/>
      <c r="Y241" s="1070"/>
      <c r="Z241" s="1070"/>
      <c r="AA241" s="1070"/>
      <c r="AB241" s="1070"/>
      <c r="AC241" s="1070"/>
      <c r="AD241" s="1070"/>
      <c r="AE241" s="1070"/>
      <c r="AF241" s="1070"/>
      <c r="AG241" s="1070"/>
      <c r="AH241" s="1070"/>
      <c r="AI241" s="1070"/>
      <c r="AJ241" s="1070"/>
      <c r="AK241" s="1070"/>
      <c r="AL241" s="1070"/>
      <c r="AM241" s="1070"/>
      <c r="AN241" s="1070"/>
      <c r="AO241" s="1070"/>
      <c r="AP241" s="1070"/>
      <c r="AQ241" s="1070"/>
      <c r="AR241" s="1070"/>
      <c r="AS241" s="1070"/>
      <c r="AT241" s="1070"/>
      <c r="AU241" s="1070"/>
      <c r="AV241" s="1070"/>
      <c r="AW241" s="1070"/>
      <c r="AX241" s="1070"/>
      <c r="AY241" s="1070"/>
      <c r="AZ241" s="1070"/>
      <c r="BA241" s="1070"/>
      <c r="BB241" s="1070"/>
      <c r="BC241" s="1070"/>
      <c r="BD241" s="1070"/>
      <c r="BE241" s="1070"/>
      <c r="BF241" s="1070"/>
      <c r="BG241" s="1070"/>
      <c r="BH241" s="1070"/>
      <c r="BI241" s="1070"/>
      <c r="BJ241" s="1070"/>
      <c r="BK241" s="1070"/>
      <c r="BL241" s="1070"/>
      <c r="BM241" s="1070"/>
      <c r="BN241" s="1070"/>
      <c r="BO241" s="1070"/>
      <c r="BP241" s="1070"/>
      <c r="BQ241" s="1070"/>
      <c r="BR241" s="1070"/>
      <c r="BS241" s="1070"/>
      <c r="BT241" s="1070"/>
      <c r="BU241" s="1070"/>
      <c r="BV241" s="1070"/>
      <c r="BW241" s="1070"/>
      <c r="BX241" s="1070"/>
      <c r="BY241" s="1070"/>
      <c r="BZ241" s="1070"/>
      <c r="CA241" s="1070"/>
      <c r="CB241" s="1070"/>
      <c r="CC241" s="1070"/>
      <c r="CD241" s="1070"/>
      <c r="CE241" s="1070"/>
      <c r="CF241" s="1070"/>
      <c r="CG241" s="1070"/>
      <c r="CH241" s="1070"/>
      <c r="CI241" s="1070"/>
      <c r="CJ241" s="1070"/>
      <c r="CK241" s="1070"/>
      <c r="CL241" s="1070"/>
      <c r="CM241" s="1070"/>
      <c r="CN241" s="1070"/>
      <c r="CO241" s="1070"/>
      <c r="CP241" s="1070"/>
      <c r="CQ241" s="1070"/>
      <c r="CR241" s="1070"/>
      <c r="CS241" s="1070"/>
      <c r="CT241" s="1070"/>
      <c r="CU241" s="1070"/>
      <c r="CV241" s="1070"/>
      <c r="CW241" s="1070"/>
      <c r="CX241" s="1070"/>
      <c r="CY241" s="1070"/>
      <c r="CZ241" s="1070"/>
      <c r="DA241" s="1070"/>
      <c r="DB241" s="1070"/>
      <c r="DC241" s="1070"/>
      <c r="DD241" s="1070"/>
      <c r="DE241" s="1070"/>
      <c r="DF241" s="1070"/>
      <c r="DG241" s="1070"/>
      <c r="DH241" s="1070"/>
      <c r="DI241" s="1070"/>
      <c r="DJ241" s="1070"/>
    </row>
    <row r="242" spans="1:114" s="1136" customFormat="1" ht="27.75" customHeight="1" x14ac:dyDescent="0.2">
      <c r="C242" s="1384"/>
      <c r="D242" s="1384"/>
      <c r="E242" s="1384"/>
      <c r="F242" s="1384"/>
      <c r="G242" s="1384"/>
      <c r="H242" s="1070"/>
      <c r="I242" s="1070"/>
      <c r="J242" s="1315"/>
      <c r="K242" s="1316"/>
      <c r="L242" s="1316"/>
      <c r="M242" s="1315"/>
      <c r="N242" s="1070"/>
      <c r="O242" s="1070"/>
      <c r="P242" s="1070"/>
      <c r="Q242" s="1070"/>
      <c r="R242" s="1070"/>
      <c r="S242" s="1070"/>
      <c r="T242" s="1070"/>
      <c r="U242" s="1070"/>
      <c r="V242" s="1070"/>
      <c r="W242" s="1070"/>
      <c r="X242" s="1070"/>
      <c r="Y242" s="1070"/>
      <c r="Z242" s="1070"/>
      <c r="AA242" s="1070"/>
      <c r="AB242" s="1070"/>
      <c r="AC242" s="1070"/>
      <c r="AD242" s="1070"/>
      <c r="AE242" s="1070"/>
      <c r="AF242" s="1070"/>
      <c r="AG242" s="1070"/>
      <c r="AH242" s="1070"/>
      <c r="AI242" s="1070"/>
      <c r="AJ242" s="1070"/>
      <c r="AK242" s="1070"/>
      <c r="AL242" s="1070"/>
      <c r="AM242" s="1070"/>
      <c r="AN242" s="1070"/>
      <c r="AO242" s="1070"/>
      <c r="AP242" s="1070"/>
      <c r="AQ242" s="1070"/>
      <c r="AR242" s="1070"/>
      <c r="AS242" s="1070"/>
      <c r="AT242" s="1070"/>
      <c r="AU242" s="1070"/>
      <c r="AV242" s="1070"/>
      <c r="AW242" s="1070"/>
      <c r="AX242" s="1070"/>
      <c r="AY242" s="1070"/>
      <c r="AZ242" s="1070"/>
      <c r="BA242" s="1070"/>
      <c r="BB242" s="1070"/>
      <c r="BC242" s="1070"/>
      <c r="BD242" s="1070"/>
      <c r="BE242" s="1070"/>
      <c r="BF242" s="1070"/>
      <c r="BG242" s="1070"/>
      <c r="BH242" s="1070"/>
      <c r="BI242" s="1070"/>
      <c r="BJ242" s="1070"/>
      <c r="BK242" s="1070"/>
      <c r="BL242" s="1070"/>
      <c r="BM242" s="1070"/>
      <c r="BN242" s="1070"/>
      <c r="BO242" s="1070"/>
      <c r="BP242" s="1070"/>
      <c r="BQ242" s="1070"/>
      <c r="BR242" s="1070"/>
      <c r="BS242" s="1070"/>
      <c r="BT242" s="1070"/>
      <c r="BU242" s="1070"/>
      <c r="BV242" s="1070"/>
      <c r="BW242" s="1070"/>
      <c r="BX242" s="1070"/>
      <c r="BY242" s="1070"/>
      <c r="BZ242" s="1070"/>
      <c r="CA242" s="1070"/>
      <c r="CB242" s="1070"/>
      <c r="CC242" s="1070"/>
      <c r="CD242" s="1070"/>
      <c r="CE242" s="1070"/>
      <c r="CF242" s="1070"/>
      <c r="CG242" s="1070"/>
      <c r="CH242" s="1070"/>
      <c r="CI242" s="1070"/>
      <c r="CJ242" s="1070"/>
      <c r="CK242" s="1070"/>
      <c r="CL242" s="1070"/>
      <c r="CM242" s="1070"/>
      <c r="CN242" s="1070"/>
      <c r="CO242" s="1070"/>
      <c r="CP242" s="1070"/>
      <c r="CQ242" s="1070"/>
      <c r="CR242" s="1070"/>
      <c r="CS242" s="1070"/>
      <c r="CT242" s="1070"/>
      <c r="CU242" s="1070"/>
      <c r="CV242" s="1070"/>
      <c r="CW242" s="1070"/>
      <c r="CX242" s="1070"/>
      <c r="CY242" s="1070"/>
      <c r="CZ242" s="1070"/>
      <c r="DA242" s="1070"/>
      <c r="DB242" s="1070"/>
      <c r="DC242" s="1070"/>
      <c r="DD242" s="1070"/>
      <c r="DE242" s="1070"/>
      <c r="DF242" s="1070"/>
      <c r="DG242" s="1070"/>
      <c r="DH242" s="1070"/>
      <c r="DI242" s="1070"/>
      <c r="DJ242" s="1070"/>
    </row>
    <row r="243" spans="1:114" s="1136" customFormat="1" ht="27.75" customHeight="1" x14ac:dyDescent="0.25">
      <c r="A243" s="875" t="s">
        <v>2938</v>
      </c>
      <c r="B243" s="1394">
        <f>B202</f>
        <v>0</v>
      </c>
      <c r="C243" s="1384"/>
      <c r="D243" s="1384"/>
      <c r="E243" s="1384"/>
      <c r="F243" s="1384"/>
      <c r="G243" s="1384"/>
      <c r="H243" s="1070"/>
      <c r="I243" s="1070"/>
      <c r="J243" s="1315"/>
      <c r="K243" s="1316"/>
      <c r="L243" s="1316"/>
      <c r="M243" s="1315"/>
      <c r="N243" s="1070"/>
      <c r="O243" s="1070"/>
      <c r="P243" s="1070"/>
      <c r="Q243" s="1070"/>
      <c r="R243" s="1070"/>
      <c r="S243" s="1070"/>
      <c r="T243" s="1070"/>
      <c r="U243" s="1070"/>
      <c r="V243" s="1070"/>
      <c r="W243" s="1070"/>
      <c r="X243" s="1070"/>
      <c r="Y243" s="1070"/>
      <c r="Z243" s="1070"/>
      <c r="AA243" s="1070"/>
      <c r="AB243" s="1070"/>
      <c r="AC243" s="1070"/>
      <c r="AD243" s="1070"/>
      <c r="AE243" s="1070"/>
      <c r="AF243" s="1070"/>
      <c r="AG243" s="1070"/>
      <c r="AH243" s="1070"/>
      <c r="AI243" s="1070"/>
      <c r="AJ243" s="1070"/>
      <c r="AK243" s="1070"/>
      <c r="AL243" s="1070"/>
      <c r="AM243" s="1070"/>
      <c r="AN243" s="1070"/>
      <c r="AO243" s="1070"/>
      <c r="AP243" s="1070"/>
      <c r="AQ243" s="1070"/>
      <c r="AR243" s="1070"/>
      <c r="AS243" s="1070"/>
      <c r="AT243" s="1070"/>
      <c r="AU243" s="1070"/>
      <c r="AV243" s="1070"/>
      <c r="AW243" s="1070"/>
      <c r="AX243" s="1070"/>
      <c r="AY243" s="1070"/>
      <c r="AZ243" s="1070"/>
      <c r="BA243" s="1070"/>
      <c r="BB243" s="1070"/>
      <c r="BC243" s="1070"/>
      <c r="BD243" s="1070"/>
      <c r="BE243" s="1070"/>
      <c r="BF243" s="1070"/>
      <c r="BG243" s="1070"/>
      <c r="BH243" s="1070"/>
      <c r="BI243" s="1070"/>
      <c r="BJ243" s="1070"/>
      <c r="BK243" s="1070"/>
      <c r="BL243" s="1070"/>
      <c r="BM243" s="1070"/>
      <c r="BN243" s="1070"/>
      <c r="BO243" s="1070"/>
      <c r="BP243" s="1070"/>
      <c r="BQ243" s="1070"/>
      <c r="BR243" s="1070"/>
      <c r="BS243" s="1070"/>
      <c r="BT243" s="1070"/>
      <c r="BU243" s="1070"/>
      <c r="BV243" s="1070"/>
      <c r="BW243" s="1070"/>
      <c r="BX243" s="1070"/>
      <c r="BY243" s="1070"/>
      <c r="BZ243" s="1070"/>
      <c r="CA243" s="1070"/>
      <c r="CB243" s="1070"/>
      <c r="CC243" s="1070"/>
      <c r="CD243" s="1070"/>
      <c r="CE243" s="1070"/>
      <c r="CF243" s="1070"/>
      <c r="CG243" s="1070"/>
      <c r="CH243" s="1070"/>
      <c r="CI243" s="1070"/>
      <c r="CJ243" s="1070"/>
      <c r="CK243" s="1070"/>
      <c r="CL243" s="1070"/>
      <c r="CM243" s="1070"/>
      <c r="CN243" s="1070"/>
      <c r="CO243" s="1070"/>
      <c r="CP243" s="1070"/>
      <c r="CQ243" s="1070"/>
      <c r="CR243" s="1070"/>
      <c r="CS243" s="1070"/>
      <c r="CT243" s="1070"/>
      <c r="CU243" s="1070"/>
      <c r="CV243" s="1070"/>
      <c r="CW243" s="1070"/>
      <c r="CX243" s="1070"/>
      <c r="CY243" s="1070"/>
      <c r="CZ243" s="1070"/>
      <c r="DA243" s="1070"/>
      <c r="DB243" s="1070"/>
      <c r="DC243" s="1070"/>
      <c r="DD243" s="1070"/>
      <c r="DE243" s="1070"/>
      <c r="DF243" s="1070"/>
      <c r="DG243" s="1070"/>
      <c r="DH243" s="1070"/>
      <c r="DI243" s="1070"/>
      <c r="DJ243" s="1070"/>
    </row>
    <row r="244" spans="1:114" s="1136" customFormat="1" ht="27.75" customHeight="1" x14ac:dyDescent="0.25">
      <c r="A244" s="1392" t="s">
        <v>2939</v>
      </c>
      <c r="B244" s="1394" t="str">
        <f>B179</f>
        <v/>
      </c>
      <c r="C244" s="1384"/>
      <c r="D244" s="1384"/>
      <c r="E244" s="1384"/>
      <c r="F244" s="1384"/>
      <c r="G244" s="1384"/>
      <c r="H244" s="1070"/>
      <c r="I244" s="1070"/>
      <c r="J244" s="1315"/>
      <c r="K244" s="1316"/>
      <c r="L244" s="1316"/>
      <c r="M244" s="1315"/>
      <c r="N244" s="1070"/>
      <c r="O244" s="1070"/>
      <c r="P244" s="1070"/>
      <c r="Q244" s="1070"/>
      <c r="R244" s="1070"/>
      <c r="S244" s="1070"/>
      <c r="T244" s="1070"/>
      <c r="U244" s="1070"/>
      <c r="V244" s="1070"/>
      <c r="W244" s="1070"/>
      <c r="X244" s="1070"/>
      <c r="Y244" s="1070"/>
      <c r="Z244" s="1070"/>
      <c r="AA244" s="1070"/>
      <c r="AB244" s="1070"/>
      <c r="AC244" s="1070"/>
      <c r="AD244" s="1070"/>
      <c r="AE244" s="1070"/>
      <c r="AF244" s="1070"/>
      <c r="AG244" s="1070"/>
      <c r="AH244" s="1070"/>
      <c r="AI244" s="1070"/>
      <c r="AJ244" s="1070"/>
      <c r="AK244" s="1070"/>
      <c r="AL244" s="1070"/>
      <c r="AM244" s="1070"/>
      <c r="AN244" s="1070"/>
      <c r="AO244" s="1070"/>
      <c r="AP244" s="1070"/>
      <c r="AQ244" s="1070"/>
      <c r="AR244" s="1070"/>
      <c r="AS244" s="1070"/>
      <c r="AT244" s="1070"/>
      <c r="AU244" s="1070"/>
      <c r="AV244" s="1070"/>
      <c r="AW244" s="1070"/>
      <c r="AX244" s="1070"/>
      <c r="AY244" s="1070"/>
      <c r="AZ244" s="1070"/>
      <c r="BA244" s="1070"/>
      <c r="BB244" s="1070"/>
      <c r="BC244" s="1070"/>
      <c r="BD244" s="1070"/>
      <c r="BE244" s="1070"/>
      <c r="BF244" s="1070"/>
      <c r="BG244" s="1070"/>
      <c r="BH244" s="1070"/>
      <c r="BI244" s="1070"/>
      <c r="BJ244" s="1070"/>
      <c r="BK244" s="1070"/>
      <c r="BL244" s="1070"/>
      <c r="BM244" s="1070"/>
      <c r="BN244" s="1070"/>
      <c r="BO244" s="1070"/>
      <c r="BP244" s="1070"/>
      <c r="BQ244" s="1070"/>
      <c r="BR244" s="1070"/>
      <c r="BS244" s="1070"/>
      <c r="BT244" s="1070"/>
      <c r="BU244" s="1070"/>
      <c r="BV244" s="1070"/>
      <c r="BW244" s="1070"/>
      <c r="BX244" s="1070"/>
      <c r="BY244" s="1070"/>
      <c r="BZ244" s="1070"/>
      <c r="CA244" s="1070"/>
      <c r="CB244" s="1070"/>
      <c r="CC244" s="1070"/>
      <c r="CD244" s="1070"/>
      <c r="CE244" s="1070"/>
      <c r="CF244" s="1070"/>
      <c r="CG244" s="1070"/>
      <c r="CH244" s="1070"/>
      <c r="CI244" s="1070"/>
      <c r="CJ244" s="1070"/>
      <c r="CK244" s="1070"/>
      <c r="CL244" s="1070"/>
      <c r="CM244" s="1070"/>
      <c r="CN244" s="1070"/>
      <c r="CO244" s="1070"/>
      <c r="CP244" s="1070"/>
      <c r="CQ244" s="1070"/>
      <c r="CR244" s="1070"/>
      <c r="CS244" s="1070"/>
      <c r="CT244" s="1070"/>
      <c r="CU244" s="1070"/>
      <c r="CV244" s="1070"/>
      <c r="CW244" s="1070"/>
      <c r="CX244" s="1070"/>
      <c r="CY244" s="1070"/>
      <c r="CZ244" s="1070"/>
      <c r="DA244" s="1070"/>
      <c r="DB244" s="1070"/>
      <c r="DC244" s="1070"/>
      <c r="DD244" s="1070"/>
      <c r="DE244" s="1070"/>
      <c r="DF244" s="1070"/>
      <c r="DG244" s="1070"/>
      <c r="DH244" s="1070"/>
      <c r="DI244" s="1070"/>
      <c r="DJ244" s="1070"/>
    </row>
    <row r="245" spans="1:114" s="1136" customFormat="1" ht="27.75" customHeight="1" x14ac:dyDescent="0.25">
      <c r="A245" s="1392" t="s">
        <v>2940</v>
      </c>
      <c r="B245" s="1394" t="str">
        <f>B180</f>
        <v/>
      </c>
      <c r="C245" s="1384"/>
      <c r="D245" s="1384"/>
      <c r="E245" s="1384"/>
      <c r="F245" s="1384"/>
      <c r="G245" s="1384"/>
      <c r="H245" s="1070"/>
      <c r="I245" s="1070"/>
      <c r="J245" s="1315"/>
      <c r="K245" s="1316"/>
      <c r="L245" s="1316"/>
      <c r="M245" s="1315"/>
      <c r="N245" s="1070"/>
      <c r="O245" s="1070"/>
      <c r="P245" s="1070"/>
      <c r="Q245" s="1070"/>
      <c r="R245" s="1070"/>
      <c r="S245" s="1070"/>
      <c r="T245" s="1070"/>
      <c r="U245" s="1070"/>
      <c r="V245" s="1070"/>
      <c r="W245" s="1070"/>
      <c r="X245" s="1070"/>
      <c r="Y245" s="1070"/>
      <c r="Z245" s="1070"/>
      <c r="AA245" s="1070"/>
      <c r="AB245" s="1070"/>
      <c r="AC245" s="1070"/>
      <c r="AD245" s="1070"/>
      <c r="AE245" s="1070"/>
      <c r="AF245" s="1070"/>
      <c r="AG245" s="1070"/>
      <c r="AH245" s="1070"/>
      <c r="AI245" s="1070"/>
      <c r="AJ245" s="1070"/>
      <c r="AK245" s="1070"/>
      <c r="AL245" s="1070"/>
      <c r="AM245" s="1070"/>
      <c r="AN245" s="1070"/>
      <c r="AO245" s="1070"/>
      <c r="AP245" s="1070"/>
      <c r="AQ245" s="1070"/>
      <c r="AR245" s="1070"/>
      <c r="AS245" s="1070"/>
      <c r="AT245" s="1070"/>
      <c r="AU245" s="1070"/>
      <c r="AV245" s="1070"/>
      <c r="AW245" s="1070"/>
      <c r="AX245" s="1070"/>
      <c r="AY245" s="1070"/>
      <c r="AZ245" s="1070"/>
      <c r="BA245" s="1070"/>
      <c r="BB245" s="1070"/>
      <c r="BC245" s="1070"/>
      <c r="BD245" s="1070"/>
      <c r="BE245" s="1070"/>
      <c r="BF245" s="1070"/>
      <c r="BG245" s="1070"/>
      <c r="BH245" s="1070"/>
      <c r="BI245" s="1070"/>
      <c r="BJ245" s="1070"/>
      <c r="BK245" s="1070"/>
      <c r="BL245" s="1070"/>
      <c r="BM245" s="1070"/>
      <c r="BN245" s="1070"/>
      <c r="BO245" s="1070"/>
      <c r="BP245" s="1070"/>
      <c r="BQ245" s="1070"/>
      <c r="BR245" s="1070"/>
      <c r="BS245" s="1070"/>
      <c r="BT245" s="1070"/>
      <c r="BU245" s="1070"/>
      <c r="BV245" s="1070"/>
      <c r="BW245" s="1070"/>
      <c r="BX245" s="1070"/>
      <c r="BY245" s="1070"/>
      <c r="BZ245" s="1070"/>
      <c r="CA245" s="1070"/>
      <c r="CB245" s="1070"/>
      <c r="CC245" s="1070"/>
      <c r="CD245" s="1070"/>
      <c r="CE245" s="1070"/>
      <c r="CF245" s="1070"/>
      <c r="CG245" s="1070"/>
      <c r="CH245" s="1070"/>
      <c r="CI245" s="1070"/>
      <c r="CJ245" s="1070"/>
      <c r="CK245" s="1070"/>
      <c r="CL245" s="1070"/>
      <c r="CM245" s="1070"/>
      <c r="CN245" s="1070"/>
      <c r="CO245" s="1070"/>
      <c r="CP245" s="1070"/>
      <c r="CQ245" s="1070"/>
      <c r="CR245" s="1070"/>
      <c r="CS245" s="1070"/>
      <c r="CT245" s="1070"/>
      <c r="CU245" s="1070"/>
      <c r="CV245" s="1070"/>
      <c r="CW245" s="1070"/>
      <c r="CX245" s="1070"/>
      <c r="CY245" s="1070"/>
      <c r="CZ245" s="1070"/>
      <c r="DA245" s="1070"/>
      <c r="DB245" s="1070"/>
      <c r="DC245" s="1070"/>
      <c r="DD245" s="1070"/>
      <c r="DE245" s="1070"/>
      <c r="DF245" s="1070"/>
      <c r="DG245" s="1070"/>
      <c r="DH245" s="1070"/>
      <c r="DI245" s="1070"/>
      <c r="DJ245" s="1070"/>
    </row>
    <row r="246" spans="1:114" s="1136" customFormat="1" ht="27.75" customHeight="1" x14ac:dyDescent="0.25">
      <c r="A246" s="1392" t="s">
        <v>2941</v>
      </c>
      <c r="B246" s="1394">
        <f>B181</f>
        <v>3</v>
      </c>
      <c r="C246" s="1384"/>
      <c r="D246" s="1384"/>
      <c r="E246" s="1384"/>
      <c r="F246" s="1384"/>
      <c r="G246" s="1384"/>
      <c r="H246" s="1070"/>
      <c r="I246" s="1070"/>
      <c r="J246" s="1315"/>
      <c r="K246" s="1316"/>
      <c r="L246" s="1316"/>
      <c r="M246" s="1315"/>
      <c r="N246" s="1070"/>
      <c r="O246" s="1070"/>
      <c r="P246" s="1070"/>
      <c r="Q246" s="1070"/>
      <c r="R246" s="1070"/>
      <c r="S246" s="1070"/>
      <c r="T246" s="1070"/>
      <c r="U246" s="1070"/>
      <c r="V246" s="1070"/>
      <c r="W246" s="1070"/>
      <c r="X246" s="1070"/>
      <c r="Y246" s="1070"/>
      <c r="Z246" s="1070"/>
      <c r="AA246" s="1070"/>
      <c r="AB246" s="1070"/>
      <c r="AC246" s="1070"/>
      <c r="AD246" s="1070"/>
      <c r="AE246" s="1070"/>
      <c r="AF246" s="1070"/>
      <c r="AG246" s="1070"/>
      <c r="AH246" s="1070"/>
      <c r="AI246" s="1070"/>
      <c r="AJ246" s="1070"/>
      <c r="AK246" s="1070"/>
      <c r="AL246" s="1070"/>
      <c r="AM246" s="1070"/>
      <c r="AN246" s="1070"/>
      <c r="AO246" s="1070"/>
      <c r="AP246" s="1070"/>
      <c r="AQ246" s="1070"/>
      <c r="AR246" s="1070"/>
      <c r="AS246" s="1070"/>
      <c r="AT246" s="1070"/>
      <c r="AU246" s="1070"/>
      <c r="AV246" s="1070"/>
      <c r="AW246" s="1070"/>
      <c r="AX246" s="1070"/>
      <c r="AY246" s="1070"/>
      <c r="AZ246" s="1070"/>
      <c r="BA246" s="1070"/>
      <c r="BB246" s="1070"/>
      <c r="BC246" s="1070"/>
      <c r="BD246" s="1070"/>
      <c r="BE246" s="1070"/>
      <c r="BF246" s="1070"/>
      <c r="BG246" s="1070"/>
      <c r="BH246" s="1070"/>
      <c r="BI246" s="1070"/>
      <c r="BJ246" s="1070"/>
      <c r="BK246" s="1070"/>
      <c r="BL246" s="1070"/>
      <c r="BM246" s="1070"/>
      <c r="BN246" s="1070"/>
      <c r="BO246" s="1070"/>
      <c r="BP246" s="1070"/>
      <c r="BQ246" s="1070"/>
      <c r="BR246" s="1070"/>
      <c r="BS246" s="1070"/>
      <c r="BT246" s="1070"/>
      <c r="BU246" s="1070"/>
      <c r="BV246" s="1070"/>
      <c r="BW246" s="1070"/>
      <c r="BX246" s="1070"/>
      <c r="BY246" s="1070"/>
      <c r="BZ246" s="1070"/>
      <c r="CA246" s="1070"/>
      <c r="CB246" s="1070"/>
      <c r="CC246" s="1070"/>
      <c r="CD246" s="1070"/>
      <c r="CE246" s="1070"/>
      <c r="CF246" s="1070"/>
      <c r="CG246" s="1070"/>
      <c r="CH246" s="1070"/>
      <c r="CI246" s="1070"/>
      <c r="CJ246" s="1070"/>
      <c r="CK246" s="1070"/>
      <c r="CL246" s="1070"/>
      <c r="CM246" s="1070"/>
      <c r="CN246" s="1070"/>
      <c r="CO246" s="1070"/>
      <c r="CP246" s="1070"/>
      <c r="CQ246" s="1070"/>
      <c r="CR246" s="1070"/>
      <c r="CS246" s="1070"/>
      <c r="CT246" s="1070"/>
      <c r="CU246" s="1070"/>
      <c r="CV246" s="1070"/>
      <c r="CW246" s="1070"/>
      <c r="CX246" s="1070"/>
      <c r="CY246" s="1070"/>
      <c r="CZ246" s="1070"/>
      <c r="DA246" s="1070"/>
      <c r="DB246" s="1070"/>
      <c r="DC246" s="1070"/>
      <c r="DD246" s="1070"/>
      <c r="DE246" s="1070"/>
      <c r="DF246" s="1070"/>
      <c r="DG246" s="1070"/>
      <c r="DH246" s="1070"/>
      <c r="DI246" s="1070"/>
      <c r="DJ246" s="1070"/>
    </row>
    <row r="247" spans="1:114" s="1136" customFormat="1" ht="27.75" customHeight="1" x14ac:dyDescent="0.25">
      <c r="A247" s="1392" t="s">
        <v>2942</v>
      </c>
      <c r="B247" s="1394">
        <f>B185</f>
        <v>0.98</v>
      </c>
      <c r="C247" s="1384"/>
      <c r="D247" s="1384"/>
      <c r="E247" s="1384"/>
      <c r="F247" s="1384"/>
      <c r="G247" s="1384"/>
      <c r="H247" s="1070"/>
      <c r="I247" s="1070"/>
      <c r="J247" s="1315"/>
      <c r="K247" s="1316"/>
      <c r="L247" s="1316"/>
      <c r="M247" s="1315"/>
      <c r="N247" s="1070"/>
      <c r="O247" s="1070"/>
      <c r="P247" s="1070"/>
      <c r="Q247" s="1070"/>
      <c r="R247" s="1070"/>
      <c r="S247" s="1070"/>
      <c r="T247" s="1070"/>
      <c r="U247" s="1070"/>
      <c r="V247" s="1070"/>
      <c r="W247" s="1070"/>
      <c r="X247" s="1070"/>
      <c r="Y247" s="1070"/>
      <c r="Z247" s="1070"/>
      <c r="AA247" s="1070"/>
      <c r="AB247" s="1070"/>
      <c r="AC247" s="1070"/>
      <c r="AD247" s="1070"/>
      <c r="AE247" s="1070"/>
      <c r="AF247" s="1070"/>
      <c r="AG247" s="1070"/>
      <c r="AH247" s="1070"/>
      <c r="AI247" s="1070"/>
      <c r="AJ247" s="1070"/>
      <c r="AK247" s="1070"/>
      <c r="AL247" s="1070"/>
      <c r="AM247" s="1070"/>
      <c r="AN247" s="1070"/>
      <c r="AO247" s="1070"/>
      <c r="AP247" s="1070"/>
      <c r="AQ247" s="1070"/>
      <c r="AR247" s="1070"/>
      <c r="AS247" s="1070"/>
      <c r="AT247" s="1070"/>
      <c r="AU247" s="1070"/>
      <c r="AV247" s="1070"/>
      <c r="AW247" s="1070"/>
      <c r="AX247" s="1070"/>
      <c r="AY247" s="1070"/>
      <c r="AZ247" s="1070"/>
      <c r="BA247" s="1070"/>
      <c r="BB247" s="1070"/>
      <c r="BC247" s="1070"/>
      <c r="BD247" s="1070"/>
      <c r="BE247" s="1070"/>
      <c r="BF247" s="1070"/>
      <c r="BG247" s="1070"/>
      <c r="BH247" s="1070"/>
      <c r="BI247" s="1070"/>
      <c r="BJ247" s="1070"/>
      <c r="BK247" s="1070"/>
      <c r="BL247" s="1070"/>
      <c r="BM247" s="1070"/>
      <c r="BN247" s="1070"/>
      <c r="BO247" s="1070"/>
      <c r="BP247" s="1070"/>
      <c r="BQ247" s="1070"/>
      <c r="BR247" s="1070"/>
      <c r="BS247" s="1070"/>
      <c r="BT247" s="1070"/>
      <c r="BU247" s="1070"/>
      <c r="BV247" s="1070"/>
      <c r="BW247" s="1070"/>
      <c r="BX247" s="1070"/>
      <c r="BY247" s="1070"/>
      <c r="BZ247" s="1070"/>
      <c r="CA247" s="1070"/>
      <c r="CB247" s="1070"/>
      <c r="CC247" s="1070"/>
      <c r="CD247" s="1070"/>
      <c r="CE247" s="1070"/>
      <c r="CF247" s="1070"/>
      <c r="CG247" s="1070"/>
      <c r="CH247" s="1070"/>
      <c r="CI247" s="1070"/>
      <c r="CJ247" s="1070"/>
      <c r="CK247" s="1070"/>
      <c r="CL247" s="1070"/>
      <c r="CM247" s="1070"/>
      <c r="CN247" s="1070"/>
      <c r="CO247" s="1070"/>
      <c r="CP247" s="1070"/>
      <c r="CQ247" s="1070"/>
      <c r="CR247" s="1070"/>
      <c r="CS247" s="1070"/>
      <c r="CT247" s="1070"/>
      <c r="CU247" s="1070"/>
      <c r="CV247" s="1070"/>
      <c r="CW247" s="1070"/>
      <c r="CX247" s="1070"/>
      <c r="CY247" s="1070"/>
      <c r="CZ247" s="1070"/>
      <c r="DA247" s="1070"/>
      <c r="DB247" s="1070"/>
      <c r="DC247" s="1070"/>
      <c r="DD247" s="1070"/>
      <c r="DE247" s="1070"/>
      <c r="DF247" s="1070"/>
      <c r="DG247" s="1070"/>
      <c r="DH247" s="1070"/>
      <c r="DI247" s="1070"/>
      <c r="DJ247" s="1070"/>
    </row>
    <row r="248" spans="1:114" s="1136" customFormat="1" ht="27.75" customHeight="1" x14ac:dyDescent="0.25">
      <c r="A248" s="875" t="s">
        <v>2943</v>
      </c>
      <c r="B248" s="1394" t="str">
        <f>B187</f>
        <v/>
      </c>
      <c r="C248" s="1384"/>
      <c r="D248" s="1384"/>
      <c r="E248" s="1384"/>
      <c r="F248" s="1384"/>
      <c r="G248" s="1384"/>
      <c r="H248" s="1070"/>
      <c r="I248" s="1070"/>
      <c r="J248" s="1315"/>
      <c r="K248" s="1316"/>
      <c r="L248" s="1316"/>
      <c r="M248" s="1315"/>
      <c r="N248" s="1070"/>
      <c r="O248" s="1070"/>
      <c r="P248" s="1070"/>
      <c r="Q248" s="1070"/>
      <c r="R248" s="1070"/>
      <c r="S248" s="1070"/>
      <c r="T248" s="1070"/>
      <c r="U248" s="1070"/>
      <c r="V248" s="1070"/>
      <c r="W248" s="1070"/>
      <c r="X248" s="1070"/>
      <c r="Y248" s="1070"/>
      <c r="Z248" s="1070"/>
      <c r="AA248" s="1070"/>
      <c r="AB248" s="1070"/>
      <c r="AC248" s="1070"/>
      <c r="AD248" s="1070"/>
      <c r="AE248" s="1070"/>
      <c r="AF248" s="1070"/>
      <c r="AG248" s="1070"/>
      <c r="AH248" s="1070"/>
      <c r="AI248" s="1070"/>
      <c r="AJ248" s="1070"/>
      <c r="AK248" s="1070"/>
      <c r="AL248" s="1070"/>
      <c r="AM248" s="1070"/>
      <c r="AN248" s="1070"/>
      <c r="AO248" s="1070"/>
      <c r="AP248" s="1070"/>
      <c r="AQ248" s="1070"/>
      <c r="AR248" s="1070"/>
      <c r="AS248" s="1070"/>
      <c r="AT248" s="1070"/>
      <c r="AU248" s="1070"/>
      <c r="AV248" s="1070"/>
      <c r="AW248" s="1070"/>
      <c r="AX248" s="1070"/>
      <c r="AY248" s="1070"/>
      <c r="AZ248" s="1070"/>
      <c r="BA248" s="1070"/>
      <c r="BB248" s="1070"/>
      <c r="BC248" s="1070"/>
      <c r="BD248" s="1070"/>
      <c r="BE248" s="1070"/>
      <c r="BF248" s="1070"/>
      <c r="BG248" s="1070"/>
      <c r="BH248" s="1070"/>
      <c r="BI248" s="1070"/>
      <c r="BJ248" s="1070"/>
      <c r="BK248" s="1070"/>
      <c r="BL248" s="1070"/>
      <c r="BM248" s="1070"/>
      <c r="BN248" s="1070"/>
      <c r="BO248" s="1070"/>
      <c r="BP248" s="1070"/>
      <c r="BQ248" s="1070"/>
      <c r="BR248" s="1070"/>
      <c r="BS248" s="1070"/>
      <c r="BT248" s="1070"/>
      <c r="BU248" s="1070"/>
      <c r="BV248" s="1070"/>
      <c r="BW248" s="1070"/>
      <c r="BX248" s="1070"/>
      <c r="BY248" s="1070"/>
      <c r="BZ248" s="1070"/>
      <c r="CA248" s="1070"/>
      <c r="CB248" s="1070"/>
      <c r="CC248" s="1070"/>
      <c r="CD248" s="1070"/>
      <c r="CE248" s="1070"/>
      <c r="CF248" s="1070"/>
      <c r="CG248" s="1070"/>
      <c r="CH248" s="1070"/>
      <c r="CI248" s="1070"/>
      <c r="CJ248" s="1070"/>
      <c r="CK248" s="1070"/>
      <c r="CL248" s="1070"/>
      <c r="CM248" s="1070"/>
      <c r="CN248" s="1070"/>
      <c r="CO248" s="1070"/>
      <c r="CP248" s="1070"/>
      <c r="CQ248" s="1070"/>
      <c r="CR248" s="1070"/>
      <c r="CS248" s="1070"/>
      <c r="CT248" s="1070"/>
      <c r="CU248" s="1070"/>
      <c r="CV248" s="1070"/>
      <c r="CW248" s="1070"/>
      <c r="CX248" s="1070"/>
      <c r="CY248" s="1070"/>
      <c r="CZ248" s="1070"/>
      <c r="DA248" s="1070"/>
      <c r="DB248" s="1070"/>
      <c r="DC248" s="1070"/>
      <c r="DD248" s="1070"/>
      <c r="DE248" s="1070"/>
      <c r="DF248" s="1070"/>
      <c r="DG248" s="1070"/>
      <c r="DH248" s="1070"/>
      <c r="DI248" s="1070"/>
      <c r="DJ248" s="1070"/>
    </row>
    <row r="249" spans="1:114" s="1136" customFormat="1" ht="27.75" customHeight="1" x14ac:dyDescent="0.25">
      <c r="A249" s="875" t="s">
        <v>3161</v>
      </c>
      <c r="B249" s="1394">
        <f>B188</f>
        <v>1</v>
      </c>
      <c r="C249" s="1384"/>
      <c r="D249" s="1384"/>
      <c r="E249" s="1384"/>
      <c r="F249" s="1384"/>
      <c r="G249" s="1384"/>
      <c r="H249" s="1070"/>
      <c r="I249" s="1070"/>
      <c r="J249" s="1315"/>
      <c r="K249" s="1316"/>
      <c r="L249" s="1316"/>
      <c r="M249" s="1315"/>
      <c r="N249" s="1070"/>
      <c r="O249" s="1070"/>
      <c r="P249" s="1070"/>
      <c r="Q249" s="1070"/>
      <c r="R249" s="1070"/>
      <c r="S249" s="1070"/>
      <c r="T249" s="1070"/>
      <c r="U249" s="1070"/>
      <c r="V249" s="1070"/>
      <c r="W249" s="1070"/>
      <c r="X249" s="1070"/>
      <c r="Y249" s="1070"/>
      <c r="Z249" s="1070"/>
      <c r="AA249" s="1070"/>
      <c r="AB249" s="1070"/>
      <c r="AC249" s="1070"/>
      <c r="AD249" s="1070"/>
      <c r="AE249" s="1070"/>
      <c r="AF249" s="1070"/>
      <c r="AG249" s="1070"/>
      <c r="AH249" s="1070"/>
      <c r="AI249" s="1070"/>
      <c r="AJ249" s="1070"/>
      <c r="AK249" s="1070"/>
      <c r="AL249" s="1070"/>
      <c r="AM249" s="1070"/>
      <c r="AN249" s="1070"/>
      <c r="AO249" s="1070"/>
      <c r="AP249" s="1070"/>
      <c r="AQ249" s="1070"/>
      <c r="AR249" s="1070"/>
      <c r="AS249" s="1070"/>
      <c r="AT249" s="1070"/>
      <c r="AU249" s="1070"/>
      <c r="AV249" s="1070"/>
      <c r="AW249" s="1070"/>
      <c r="AX249" s="1070"/>
      <c r="AY249" s="1070"/>
      <c r="AZ249" s="1070"/>
      <c r="BA249" s="1070"/>
      <c r="BB249" s="1070"/>
      <c r="BC249" s="1070"/>
      <c r="BD249" s="1070"/>
      <c r="BE249" s="1070"/>
      <c r="BF249" s="1070"/>
      <c r="BG249" s="1070"/>
      <c r="BH249" s="1070"/>
      <c r="BI249" s="1070"/>
      <c r="BJ249" s="1070"/>
      <c r="BK249" s="1070"/>
      <c r="BL249" s="1070"/>
      <c r="BM249" s="1070"/>
      <c r="BN249" s="1070"/>
      <c r="BO249" s="1070"/>
      <c r="BP249" s="1070"/>
      <c r="BQ249" s="1070"/>
      <c r="BR249" s="1070"/>
      <c r="BS249" s="1070"/>
      <c r="BT249" s="1070"/>
      <c r="BU249" s="1070"/>
      <c r="BV249" s="1070"/>
      <c r="BW249" s="1070"/>
      <c r="BX249" s="1070"/>
      <c r="BY249" s="1070"/>
      <c r="BZ249" s="1070"/>
      <c r="CA249" s="1070"/>
      <c r="CB249" s="1070"/>
      <c r="CC249" s="1070"/>
      <c r="CD249" s="1070"/>
      <c r="CE249" s="1070"/>
      <c r="CF249" s="1070"/>
      <c r="CG249" s="1070"/>
      <c r="CH249" s="1070"/>
      <c r="CI249" s="1070"/>
      <c r="CJ249" s="1070"/>
      <c r="CK249" s="1070"/>
      <c r="CL249" s="1070"/>
      <c r="CM249" s="1070"/>
      <c r="CN249" s="1070"/>
      <c r="CO249" s="1070"/>
      <c r="CP249" s="1070"/>
      <c r="CQ249" s="1070"/>
      <c r="CR249" s="1070"/>
      <c r="CS249" s="1070"/>
      <c r="CT249" s="1070"/>
      <c r="CU249" s="1070"/>
      <c r="CV249" s="1070"/>
      <c r="CW249" s="1070"/>
      <c r="CX249" s="1070"/>
      <c r="CY249" s="1070"/>
      <c r="CZ249" s="1070"/>
      <c r="DA249" s="1070"/>
      <c r="DB249" s="1070"/>
      <c r="DC249" s="1070"/>
      <c r="DD249" s="1070"/>
      <c r="DE249" s="1070"/>
      <c r="DF249" s="1070"/>
      <c r="DG249" s="1070"/>
      <c r="DH249" s="1070"/>
      <c r="DI249" s="1070"/>
      <c r="DJ249" s="1070"/>
    </row>
    <row r="250" spans="1:114" s="1136" customFormat="1" ht="27.75" customHeight="1" x14ac:dyDescent="0.25">
      <c r="A250" s="1392" t="s">
        <v>3162</v>
      </c>
      <c r="B250" s="1394" t="e">
        <f>B189</f>
        <v>#VALUE!</v>
      </c>
      <c r="C250" s="1384"/>
      <c r="D250" s="1384"/>
      <c r="E250" s="1384"/>
      <c r="F250" s="1384"/>
      <c r="G250" s="1384"/>
      <c r="H250" s="1070"/>
      <c r="I250" s="1070"/>
      <c r="J250" s="1315"/>
      <c r="K250" s="1316"/>
      <c r="L250" s="1316"/>
      <c r="M250" s="1315"/>
      <c r="N250" s="1070"/>
      <c r="O250" s="1070"/>
      <c r="P250" s="1070"/>
      <c r="Q250" s="1070"/>
      <c r="R250" s="1070"/>
      <c r="S250" s="1070"/>
      <c r="T250" s="1070"/>
      <c r="U250" s="1070"/>
      <c r="V250" s="1070"/>
      <c r="W250" s="1070"/>
      <c r="X250" s="1070"/>
      <c r="Y250" s="1070"/>
      <c r="Z250" s="1070"/>
      <c r="AA250" s="1070"/>
      <c r="AB250" s="1070"/>
      <c r="AC250" s="1070"/>
      <c r="AD250" s="1070"/>
      <c r="AE250" s="1070"/>
      <c r="AF250" s="1070"/>
      <c r="AG250" s="1070"/>
      <c r="AH250" s="1070"/>
      <c r="AI250" s="1070"/>
      <c r="AJ250" s="1070"/>
      <c r="AK250" s="1070"/>
      <c r="AL250" s="1070"/>
      <c r="AM250" s="1070"/>
      <c r="AN250" s="1070"/>
      <c r="AO250" s="1070"/>
      <c r="AP250" s="1070"/>
      <c r="AQ250" s="1070"/>
      <c r="AR250" s="1070"/>
      <c r="AS250" s="1070"/>
      <c r="AT250" s="1070"/>
      <c r="AU250" s="1070"/>
      <c r="AV250" s="1070"/>
      <c r="AW250" s="1070"/>
      <c r="AX250" s="1070"/>
      <c r="AY250" s="1070"/>
      <c r="AZ250" s="1070"/>
      <c r="BA250" s="1070"/>
      <c r="BB250" s="1070"/>
      <c r="BC250" s="1070"/>
      <c r="BD250" s="1070"/>
      <c r="BE250" s="1070"/>
      <c r="BF250" s="1070"/>
      <c r="BG250" s="1070"/>
      <c r="BH250" s="1070"/>
      <c r="BI250" s="1070"/>
      <c r="BJ250" s="1070"/>
      <c r="BK250" s="1070"/>
      <c r="BL250" s="1070"/>
      <c r="BM250" s="1070"/>
      <c r="BN250" s="1070"/>
      <c r="BO250" s="1070"/>
      <c r="BP250" s="1070"/>
      <c r="BQ250" s="1070"/>
      <c r="BR250" s="1070"/>
      <c r="BS250" s="1070"/>
      <c r="BT250" s="1070"/>
      <c r="BU250" s="1070"/>
      <c r="BV250" s="1070"/>
      <c r="BW250" s="1070"/>
      <c r="BX250" s="1070"/>
      <c r="BY250" s="1070"/>
      <c r="BZ250" s="1070"/>
      <c r="CA250" s="1070"/>
      <c r="CB250" s="1070"/>
      <c r="CC250" s="1070"/>
      <c r="CD250" s="1070"/>
      <c r="CE250" s="1070"/>
      <c r="CF250" s="1070"/>
      <c r="CG250" s="1070"/>
      <c r="CH250" s="1070"/>
      <c r="CI250" s="1070"/>
      <c r="CJ250" s="1070"/>
      <c r="CK250" s="1070"/>
      <c r="CL250" s="1070"/>
      <c r="CM250" s="1070"/>
      <c r="CN250" s="1070"/>
      <c r="CO250" s="1070"/>
      <c r="CP250" s="1070"/>
      <c r="CQ250" s="1070"/>
      <c r="CR250" s="1070"/>
      <c r="CS250" s="1070"/>
      <c r="CT250" s="1070"/>
      <c r="CU250" s="1070"/>
      <c r="CV250" s="1070"/>
      <c r="CW250" s="1070"/>
      <c r="CX250" s="1070"/>
      <c r="CY250" s="1070"/>
      <c r="CZ250" s="1070"/>
      <c r="DA250" s="1070"/>
      <c r="DB250" s="1070"/>
      <c r="DC250" s="1070"/>
      <c r="DD250" s="1070"/>
      <c r="DE250" s="1070"/>
      <c r="DF250" s="1070"/>
      <c r="DG250" s="1070"/>
      <c r="DH250" s="1070"/>
      <c r="DI250" s="1070"/>
      <c r="DJ250" s="1070"/>
    </row>
    <row r="251" spans="1:114" s="1136" customFormat="1" ht="27.75" customHeight="1" x14ac:dyDescent="0.25">
      <c r="A251" s="1392" t="s">
        <v>4057</v>
      </c>
      <c r="B251" s="1394">
        <f>B191</f>
        <v>0</v>
      </c>
      <c r="C251" s="1384"/>
      <c r="D251" s="1384"/>
      <c r="E251" s="1384"/>
      <c r="F251" s="1384"/>
      <c r="G251" s="1384"/>
      <c r="H251" s="1070"/>
      <c r="I251" s="1070"/>
      <c r="J251" s="1315"/>
      <c r="K251" s="1316"/>
      <c r="L251" s="1316"/>
      <c r="M251" s="1315"/>
      <c r="N251" s="1070"/>
      <c r="O251" s="1070"/>
      <c r="P251" s="1070"/>
      <c r="Q251" s="1070"/>
      <c r="R251" s="1070"/>
      <c r="S251" s="1070"/>
      <c r="T251" s="1070"/>
      <c r="U251" s="1070"/>
      <c r="V251" s="1070"/>
      <c r="W251" s="1070"/>
      <c r="X251" s="1070"/>
      <c r="Y251" s="1070"/>
      <c r="Z251" s="1070"/>
      <c r="AA251" s="1070"/>
      <c r="AB251" s="1070"/>
      <c r="AC251" s="1070"/>
      <c r="AD251" s="1070"/>
      <c r="AE251" s="1070"/>
      <c r="AF251" s="1070"/>
      <c r="AG251" s="1070"/>
      <c r="AH251" s="1070"/>
      <c r="AI251" s="1070"/>
      <c r="AJ251" s="1070"/>
      <c r="AK251" s="1070"/>
      <c r="AL251" s="1070"/>
      <c r="AM251" s="1070"/>
      <c r="AN251" s="1070"/>
      <c r="AO251" s="1070"/>
      <c r="AP251" s="1070"/>
      <c r="AQ251" s="1070"/>
      <c r="AR251" s="1070"/>
      <c r="AS251" s="1070"/>
      <c r="AT251" s="1070"/>
      <c r="AU251" s="1070"/>
      <c r="AV251" s="1070"/>
      <c r="AW251" s="1070"/>
      <c r="AX251" s="1070"/>
      <c r="AY251" s="1070"/>
      <c r="AZ251" s="1070"/>
      <c r="BA251" s="1070"/>
      <c r="BB251" s="1070"/>
      <c r="BC251" s="1070"/>
      <c r="BD251" s="1070"/>
      <c r="BE251" s="1070"/>
      <c r="BF251" s="1070"/>
      <c r="BG251" s="1070"/>
      <c r="BH251" s="1070"/>
      <c r="BI251" s="1070"/>
      <c r="BJ251" s="1070"/>
      <c r="BK251" s="1070"/>
      <c r="BL251" s="1070"/>
      <c r="BM251" s="1070"/>
      <c r="BN251" s="1070"/>
      <c r="BO251" s="1070"/>
      <c r="BP251" s="1070"/>
      <c r="BQ251" s="1070"/>
      <c r="BR251" s="1070"/>
      <c r="BS251" s="1070"/>
      <c r="BT251" s="1070"/>
      <c r="BU251" s="1070"/>
      <c r="BV251" s="1070"/>
      <c r="BW251" s="1070"/>
      <c r="BX251" s="1070"/>
      <c r="BY251" s="1070"/>
      <c r="BZ251" s="1070"/>
      <c r="CA251" s="1070"/>
      <c r="CB251" s="1070"/>
      <c r="CC251" s="1070"/>
      <c r="CD251" s="1070"/>
      <c r="CE251" s="1070"/>
      <c r="CF251" s="1070"/>
      <c r="CG251" s="1070"/>
      <c r="CH251" s="1070"/>
      <c r="CI251" s="1070"/>
      <c r="CJ251" s="1070"/>
      <c r="CK251" s="1070"/>
      <c r="CL251" s="1070"/>
      <c r="CM251" s="1070"/>
      <c r="CN251" s="1070"/>
      <c r="CO251" s="1070"/>
      <c r="CP251" s="1070"/>
      <c r="CQ251" s="1070"/>
      <c r="CR251" s="1070"/>
      <c r="CS251" s="1070"/>
      <c r="CT251" s="1070"/>
      <c r="CU251" s="1070"/>
      <c r="CV251" s="1070"/>
      <c r="CW251" s="1070"/>
      <c r="CX251" s="1070"/>
      <c r="CY251" s="1070"/>
      <c r="CZ251" s="1070"/>
      <c r="DA251" s="1070"/>
      <c r="DB251" s="1070"/>
      <c r="DC251" s="1070"/>
      <c r="DD251" s="1070"/>
      <c r="DE251" s="1070"/>
      <c r="DF251" s="1070"/>
      <c r="DG251" s="1070"/>
      <c r="DH251" s="1070"/>
      <c r="DI251" s="1070"/>
      <c r="DJ251" s="1070"/>
    </row>
    <row r="252" spans="1:114" s="1136" customFormat="1" ht="27.75" customHeight="1" x14ac:dyDescent="0.25">
      <c r="A252" s="875" t="s">
        <v>5251</v>
      </c>
      <c r="B252" s="1396">
        <f>B216</f>
        <v>1</v>
      </c>
      <c r="C252" s="1384"/>
      <c r="D252" s="1384"/>
      <c r="E252" s="1384"/>
      <c r="F252" s="1384"/>
      <c r="G252" s="1384"/>
      <c r="H252" s="1070"/>
      <c r="I252" s="1070"/>
      <c r="J252" s="1315"/>
      <c r="K252" s="1316"/>
      <c r="L252" s="1316"/>
      <c r="M252" s="1315"/>
      <c r="N252" s="1070"/>
      <c r="O252" s="1070"/>
      <c r="P252" s="1070"/>
      <c r="Q252" s="1070"/>
      <c r="R252" s="1070"/>
      <c r="S252" s="1070"/>
      <c r="T252" s="1070"/>
      <c r="U252" s="1070"/>
      <c r="V252" s="1070"/>
      <c r="W252" s="1070"/>
      <c r="X252" s="1070"/>
      <c r="Y252" s="1070"/>
      <c r="Z252" s="1070"/>
      <c r="AA252" s="1070"/>
      <c r="AB252" s="1070"/>
      <c r="AC252" s="1070"/>
      <c r="AD252" s="1070"/>
      <c r="AE252" s="1070"/>
      <c r="AF252" s="1070"/>
      <c r="AG252" s="1070"/>
      <c r="AH252" s="1070"/>
      <c r="AI252" s="1070"/>
      <c r="AJ252" s="1070"/>
      <c r="AK252" s="1070"/>
      <c r="AL252" s="1070"/>
      <c r="AM252" s="1070"/>
      <c r="AN252" s="1070"/>
      <c r="AO252" s="1070"/>
      <c r="AP252" s="1070"/>
      <c r="AQ252" s="1070"/>
      <c r="AR252" s="1070"/>
      <c r="AS252" s="1070"/>
      <c r="AT252" s="1070"/>
      <c r="AU252" s="1070"/>
      <c r="AV252" s="1070"/>
      <c r="AW252" s="1070"/>
      <c r="AX252" s="1070"/>
      <c r="AY252" s="1070"/>
      <c r="AZ252" s="1070"/>
      <c r="BA252" s="1070"/>
      <c r="BB252" s="1070"/>
      <c r="BC252" s="1070"/>
      <c r="BD252" s="1070"/>
      <c r="BE252" s="1070"/>
      <c r="BF252" s="1070"/>
      <c r="BG252" s="1070"/>
      <c r="BH252" s="1070"/>
      <c r="BI252" s="1070"/>
      <c r="BJ252" s="1070"/>
      <c r="BK252" s="1070"/>
      <c r="BL252" s="1070"/>
      <c r="BM252" s="1070"/>
      <c r="BN252" s="1070"/>
      <c r="BO252" s="1070"/>
      <c r="BP252" s="1070"/>
      <c r="BQ252" s="1070"/>
      <c r="BR252" s="1070"/>
      <c r="BS252" s="1070"/>
      <c r="BT252" s="1070"/>
      <c r="BU252" s="1070"/>
      <c r="BV252" s="1070"/>
      <c r="BW252" s="1070"/>
      <c r="BX252" s="1070"/>
      <c r="BY252" s="1070"/>
      <c r="BZ252" s="1070"/>
      <c r="CA252" s="1070"/>
      <c r="CB252" s="1070"/>
      <c r="CC252" s="1070"/>
      <c r="CD252" s="1070"/>
      <c r="CE252" s="1070"/>
      <c r="CF252" s="1070"/>
      <c r="CG252" s="1070"/>
      <c r="CH252" s="1070"/>
      <c r="CI252" s="1070"/>
      <c r="CJ252" s="1070"/>
      <c r="CK252" s="1070"/>
      <c r="CL252" s="1070"/>
      <c r="CM252" s="1070"/>
      <c r="CN252" s="1070"/>
      <c r="CO252" s="1070"/>
      <c r="CP252" s="1070"/>
      <c r="CQ252" s="1070"/>
      <c r="CR252" s="1070"/>
      <c r="CS252" s="1070"/>
      <c r="CT252" s="1070"/>
      <c r="CU252" s="1070"/>
      <c r="CV252" s="1070"/>
      <c r="CW252" s="1070"/>
      <c r="CX252" s="1070"/>
      <c r="CY252" s="1070"/>
      <c r="CZ252" s="1070"/>
      <c r="DA252" s="1070"/>
      <c r="DB252" s="1070"/>
      <c r="DC252" s="1070"/>
      <c r="DD252" s="1070"/>
      <c r="DE252" s="1070"/>
      <c r="DF252" s="1070"/>
      <c r="DG252" s="1070"/>
      <c r="DH252" s="1070"/>
      <c r="DI252" s="1070"/>
      <c r="DJ252" s="1070"/>
    </row>
    <row r="253" spans="1:114" s="1136" customFormat="1" ht="27.75" customHeight="1" x14ac:dyDescent="0.25">
      <c r="A253" s="875" t="str">
        <f>IF(B252=2,"Кол-во взрываний на концевых участках лавы за сутки ","--------")</f>
        <v>--------</v>
      </c>
      <c r="B253" s="1394">
        <f>B235</f>
        <v>0</v>
      </c>
      <c r="C253" s="1384"/>
      <c r="D253" s="1384"/>
      <c r="E253" s="1384"/>
      <c r="F253" s="1384"/>
      <c r="G253" s="1384"/>
      <c r="H253" s="1070"/>
      <c r="I253" s="1070"/>
      <c r="J253" s="1315"/>
      <c r="K253" s="1316"/>
      <c r="L253" s="1316"/>
      <c r="M253" s="1315"/>
      <c r="N253" s="1070"/>
      <c r="O253" s="1070"/>
      <c r="P253" s="1070"/>
      <c r="Q253" s="1070"/>
      <c r="R253" s="1070"/>
      <c r="S253" s="1070"/>
      <c r="T253" s="1070"/>
      <c r="U253" s="1070"/>
      <c r="V253" s="1070"/>
      <c r="W253" s="1070"/>
      <c r="X253" s="1070"/>
      <c r="Y253" s="1070"/>
      <c r="Z253" s="1070"/>
      <c r="AA253" s="1070"/>
      <c r="AB253" s="1070"/>
      <c r="AC253" s="1070"/>
      <c r="AD253" s="1070"/>
      <c r="AE253" s="1070"/>
      <c r="AF253" s="1070"/>
      <c r="AG253" s="1070"/>
      <c r="AH253" s="1070"/>
      <c r="AI253" s="1070"/>
      <c r="AJ253" s="1070"/>
      <c r="AK253" s="1070"/>
      <c r="AL253" s="1070"/>
      <c r="AM253" s="1070"/>
      <c r="AN253" s="1070"/>
      <c r="AO253" s="1070"/>
      <c r="AP253" s="1070"/>
      <c r="AQ253" s="1070"/>
      <c r="AR253" s="1070"/>
      <c r="AS253" s="1070"/>
      <c r="AT253" s="1070"/>
      <c r="AU253" s="1070"/>
      <c r="AV253" s="1070"/>
      <c r="AW253" s="1070"/>
      <c r="AX253" s="1070"/>
      <c r="AY253" s="1070"/>
      <c r="AZ253" s="1070"/>
      <c r="BA253" s="1070"/>
      <c r="BB253" s="1070"/>
      <c r="BC253" s="1070"/>
      <c r="BD253" s="1070"/>
      <c r="BE253" s="1070"/>
      <c r="BF253" s="1070"/>
      <c r="BG253" s="1070"/>
      <c r="BH253" s="1070"/>
      <c r="BI253" s="1070"/>
      <c r="BJ253" s="1070"/>
      <c r="BK253" s="1070"/>
      <c r="BL253" s="1070"/>
      <c r="BM253" s="1070"/>
      <c r="BN253" s="1070"/>
      <c r="BO253" s="1070"/>
      <c r="BP253" s="1070"/>
      <c r="BQ253" s="1070"/>
      <c r="BR253" s="1070"/>
      <c r="BS253" s="1070"/>
      <c r="BT253" s="1070"/>
      <c r="BU253" s="1070"/>
      <c r="BV253" s="1070"/>
      <c r="BW253" s="1070"/>
      <c r="BX253" s="1070"/>
      <c r="BY253" s="1070"/>
      <c r="BZ253" s="1070"/>
      <c r="CA253" s="1070"/>
      <c r="CB253" s="1070"/>
      <c r="CC253" s="1070"/>
      <c r="CD253" s="1070"/>
      <c r="CE253" s="1070"/>
      <c r="CF253" s="1070"/>
      <c r="CG253" s="1070"/>
      <c r="CH253" s="1070"/>
      <c r="CI253" s="1070"/>
      <c r="CJ253" s="1070"/>
      <c r="CK253" s="1070"/>
      <c r="CL253" s="1070"/>
      <c r="CM253" s="1070"/>
      <c r="CN253" s="1070"/>
      <c r="CO253" s="1070"/>
      <c r="CP253" s="1070"/>
      <c r="CQ253" s="1070"/>
      <c r="CR253" s="1070"/>
      <c r="CS253" s="1070"/>
      <c r="CT253" s="1070"/>
      <c r="CU253" s="1070"/>
      <c r="CV253" s="1070"/>
      <c r="CW253" s="1070"/>
      <c r="CX253" s="1070"/>
      <c r="CY253" s="1070"/>
      <c r="CZ253" s="1070"/>
      <c r="DA253" s="1070"/>
      <c r="DB253" s="1070"/>
      <c r="DC253" s="1070"/>
      <c r="DD253" s="1070"/>
      <c r="DE253" s="1070"/>
      <c r="DF253" s="1070"/>
      <c r="DG253" s="1070"/>
      <c r="DH253" s="1070"/>
      <c r="DI253" s="1070"/>
      <c r="DJ253" s="1070"/>
    </row>
    <row r="254" spans="1:114" s="1136" customFormat="1" ht="27.75" customHeight="1" x14ac:dyDescent="0.25">
      <c r="A254" s="875" t="s">
        <v>4237</v>
      </c>
      <c r="B254" s="1394" t="str">
        <f>B192</f>
        <v/>
      </c>
      <c r="C254" s="1384"/>
      <c r="D254" s="1384"/>
      <c r="E254" s="1384"/>
      <c r="F254" s="1384"/>
      <c r="G254" s="1384"/>
      <c r="H254" s="1070"/>
      <c r="I254" s="1070"/>
      <c r="J254" s="1315"/>
      <c r="K254" s="1316"/>
      <c r="L254" s="1316"/>
      <c r="M254" s="1315"/>
      <c r="N254" s="1070"/>
      <c r="O254" s="1070"/>
      <c r="P254" s="1070"/>
      <c r="Q254" s="1070"/>
      <c r="R254" s="1070"/>
      <c r="S254" s="1070"/>
      <c r="T254" s="1070"/>
      <c r="U254" s="1070"/>
      <c r="V254" s="1070"/>
      <c r="W254" s="1070"/>
      <c r="X254" s="1070"/>
      <c r="Y254" s="1070"/>
      <c r="Z254" s="1070"/>
      <c r="AA254" s="1070"/>
      <c r="AB254" s="1070"/>
      <c r="AC254" s="1070"/>
      <c r="AD254" s="1070"/>
      <c r="AE254" s="1070"/>
      <c r="AF254" s="1070"/>
      <c r="AG254" s="1070"/>
      <c r="AH254" s="1070"/>
      <c r="AI254" s="1070"/>
      <c r="AJ254" s="1070"/>
      <c r="AK254" s="1070"/>
      <c r="AL254" s="1070"/>
      <c r="AM254" s="1070"/>
      <c r="AN254" s="1070"/>
      <c r="AO254" s="1070"/>
      <c r="AP254" s="1070"/>
      <c r="AQ254" s="1070"/>
      <c r="AR254" s="1070"/>
      <c r="AS254" s="1070"/>
      <c r="AT254" s="1070"/>
      <c r="AU254" s="1070"/>
      <c r="AV254" s="1070"/>
      <c r="AW254" s="1070"/>
      <c r="AX254" s="1070"/>
      <c r="AY254" s="1070"/>
      <c r="AZ254" s="1070"/>
      <c r="BA254" s="1070"/>
      <c r="BB254" s="1070"/>
      <c r="BC254" s="1070"/>
      <c r="BD254" s="1070"/>
      <c r="BE254" s="1070"/>
      <c r="BF254" s="1070"/>
      <c r="BG254" s="1070"/>
      <c r="BH254" s="1070"/>
      <c r="BI254" s="1070"/>
      <c r="BJ254" s="1070"/>
      <c r="BK254" s="1070"/>
      <c r="BL254" s="1070"/>
      <c r="BM254" s="1070"/>
      <c r="BN254" s="1070"/>
      <c r="BO254" s="1070"/>
      <c r="BP254" s="1070"/>
      <c r="BQ254" s="1070"/>
      <c r="BR254" s="1070"/>
      <c r="BS254" s="1070"/>
      <c r="BT254" s="1070"/>
      <c r="BU254" s="1070"/>
      <c r="BV254" s="1070"/>
      <c r="BW254" s="1070"/>
      <c r="BX254" s="1070"/>
      <c r="BY254" s="1070"/>
      <c r="BZ254" s="1070"/>
      <c r="CA254" s="1070"/>
      <c r="CB254" s="1070"/>
      <c r="CC254" s="1070"/>
      <c r="CD254" s="1070"/>
      <c r="CE254" s="1070"/>
      <c r="CF254" s="1070"/>
      <c r="CG254" s="1070"/>
      <c r="CH254" s="1070"/>
      <c r="CI254" s="1070"/>
      <c r="CJ254" s="1070"/>
      <c r="CK254" s="1070"/>
      <c r="CL254" s="1070"/>
      <c r="CM254" s="1070"/>
      <c r="CN254" s="1070"/>
      <c r="CO254" s="1070"/>
      <c r="CP254" s="1070"/>
      <c r="CQ254" s="1070"/>
      <c r="CR254" s="1070"/>
      <c r="CS254" s="1070"/>
      <c r="CT254" s="1070"/>
      <c r="CU254" s="1070"/>
      <c r="CV254" s="1070"/>
      <c r="CW254" s="1070"/>
      <c r="CX254" s="1070"/>
      <c r="CY254" s="1070"/>
      <c r="CZ254" s="1070"/>
      <c r="DA254" s="1070"/>
      <c r="DB254" s="1070"/>
      <c r="DC254" s="1070"/>
      <c r="DD254" s="1070"/>
      <c r="DE254" s="1070"/>
      <c r="DF254" s="1070"/>
      <c r="DG254" s="1070"/>
      <c r="DH254" s="1070"/>
      <c r="DI254" s="1070"/>
      <c r="DJ254" s="1070"/>
    </row>
    <row r="255" spans="1:114" s="1136" customFormat="1" ht="27.75" customHeight="1" x14ac:dyDescent="0.25">
      <c r="A255" s="875" t="s">
        <v>6425</v>
      </c>
      <c r="B255" s="1394" t="str">
        <f>B193</f>
        <v/>
      </c>
      <c r="C255" s="1384"/>
      <c r="D255" s="1384"/>
      <c r="E255" s="1384"/>
      <c r="F255" s="1384"/>
      <c r="G255" s="1384"/>
      <c r="H255" s="1070"/>
      <c r="I255" s="1070"/>
      <c r="J255" s="1315"/>
      <c r="K255" s="1316"/>
      <c r="L255" s="1316"/>
      <c r="M255" s="1315"/>
      <c r="N255" s="1070"/>
      <c r="O255" s="1070"/>
      <c r="P255" s="1070"/>
      <c r="Q255" s="1070"/>
      <c r="R255" s="1070"/>
      <c r="S255" s="1070"/>
      <c r="T255" s="1070"/>
      <c r="U255" s="1070"/>
      <c r="V255" s="1070"/>
      <c r="W255" s="1070"/>
      <c r="X255" s="1070"/>
      <c r="Y255" s="1070"/>
      <c r="Z255" s="1070"/>
      <c r="AA255" s="1070"/>
      <c r="AB255" s="1070"/>
      <c r="AC255" s="1070"/>
      <c r="AD255" s="1070"/>
      <c r="AE255" s="1070"/>
      <c r="AF255" s="1070"/>
      <c r="AG255" s="1070"/>
      <c r="AH255" s="1070"/>
      <c r="AI255" s="1070"/>
      <c r="AJ255" s="1070"/>
      <c r="AK255" s="1070"/>
      <c r="AL255" s="1070"/>
      <c r="AM255" s="1070"/>
      <c r="AN255" s="1070"/>
      <c r="AO255" s="1070"/>
      <c r="AP255" s="1070"/>
      <c r="AQ255" s="1070"/>
      <c r="AR255" s="1070"/>
      <c r="AS255" s="1070"/>
      <c r="AT255" s="1070"/>
      <c r="AU255" s="1070"/>
      <c r="AV255" s="1070"/>
      <c r="AW255" s="1070"/>
      <c r="AX255" s="1070"/>
      <c r="AY255" s="1070"/>
      <c r="AZ255" s="1070"/>
      <c r="BA255" s="1070"/>
      <c r="BB255" s="1070"/>
      <c r="BC255" s="1070"/>
      <c r="BD255" s="1070"/>
      <c r="BE255" s="1070"/>
      <c r="BF255" s="1070"/>
      <c r="BG255" s="1070"/>
      <c r="BH255" s="1070"/>
      <c r="BI255" s="1070"/>
      <c r="BJ255" s="1070"/>
      <c r="BK255" s="1070"/>
      <c r="BL255" s="1070"/>
      <c r="BM255" s="1070"/>
      <c r="BN255" s="1070"/>
      <c r="BO255" s="1070"/>
      <c r="BP255" s="1070"/>
      <c r="BQ255" s="1070"/>
      <c r="BR255" s="1070"/>
      <c r="BS255" s="1070"/>
      <c r="BT255" s="1070"/>
      <c r="BU255" s="1070"/>
      <c r="BV255" s="1070"/>
      <c r="BW255" s="1070"/>
      <c r="BX255" s="1070"/>
      <c r="BY255" s="1070"/>
      <c r="BZ255" s="1070"/>
      <c r="CA255" s="1070"/>
      <c r="CB255" s="1070"/>
      <c r="CC255" s="1070"/>
      <c r="CD255" s="1070"/>
      <c r="CE255" s="1070"/>
      <c r="CF255" s="1070"/>
      <c r="CG255" s="1070"/>
      <c r="CH255" s="1070"/>
      <c r="CI255" s="1070"/>
      <c r="CJ255" s="1070"/>
      <c r="CK255" s="1070"/>
      <c r="CL255" s="1070"/>
      <c r="CM255" s="1070"/>
      <c r="CN255" s="1070"/>
      <c r="CO255" s="1070"/>
      <c r="CP255" s="1070"/>
      <c r="CQ255" s="1070"/>
      <c r="CR255" s="1070"/>
      <c r="CS255" s="1070"/>
      <c r="CT255" s="1070"/>
      <c r="CU255" s="1070"/>
      <c r="CV255" s="1070"/>
      <c r="CW255" s="1070"/>
      <c r="CX255" s="1070"/>
      <c r="CY255" s="1070"/>
      <c r="CZ255" s="1070"/>
      <c r="DA255" s="1070"/>
      <c r="DB255" s="1070"/>
      <c r="DC255" s="1070"/>
      <c r="DD255" s="1070"/>
      <c r="DE255" s="1070"/>
      <c r="DF255" s="1070"/>
      <c r="DG255" s="1070"/>
      <c r="DH255" s="1070"/>
      <c r="DI255" s="1070"/>
      <c r="DJ255" s="1070"/>
    </row>
    <row r="256" spans="1:114" s="1136" customFormat="1" ht="27.75" customHeight="1" x14ac:dyDescent="0.25">
      <c r="A256" s="875" t="s">
        <v>4239</v>
      </c>
      <c r="B256" s="1394">
        <f>B234</f>
        <v>1</v>
      </c>
      <c r="C256" s="1384"/>
      <c r="D256" s="1384"/>
      <c r="E256" s="1384"/>
      <c r="F256" s="1384"/>
      <c r="G256" s="1384"/>
      <c r="H256" s="1070"/>
      <c r="I256" s="1070"/>
      <c r="J256" s="1315"/>
      <c r="K256" s="1316"/>
      <c r="L256" s="1316"/>
      <c r="M256" s="1315"/>
      <c r="N256" s="1070"/>
      <c r="O256" s="1070"/>
      <c r="P256" s="1070"/>
      <c r="Q256" s="1070"/>
      <c r="R256" s="1070"/>
      <c r="S256" s="1070"/>
      <c r="T256" s="1070"/>
      <c r="U256" s="1070"/>
      <c r="V256" s="1070"/>
      <c r="W256" s="1070"/>
      <c r="X256" s="1070"/>
      <c r="Y256" s="1070"/>
      <c r="Z256" s="1070"/>
      <c r="AA256" s="1070"/>
      <c r="AB256" s="1070"/>
      <c r="AC256" s="1070"/>
      <c r="AD256" s="1070"/>
      <c r="AE256" s="1070"/>
      <c r="AF256" s="1070"/>
      <c r="AG256" s="1070"/>
      <c r="AH256" s="1070"/>
      <c r="AI256" s="1070"/>
      <c r="AJ256" s="1070"/>
      <c r="AK256" s="1070"/>
      <c r="AL256" s="1070"/>
      <c r="AM256" s="1070"/>
      <c r="AN256" s="1070"/>
      <c r="AO256" s="1070"/>
      <c r="AP256" s="1070"/>
      <c r="AQ256" s="1070"/>
      <c r="AR256" s="1070"/>
      <c r="AS256" s="1070"/>
      <c r="AT256" s="1070"/>
      <c r="AU256" s="1070"/>
      <c r="AV256" s="1070"/>
      <c r="AW256" s="1070"/>
      <c r="AX256" s="1070"/>
      <c r="AY256" s="1070"/>
      <c r="AZ256" s="1070"/>
      <c r="BA256" s="1070"/>
      <c r="BB256" s="1070"/>
      <c r="BC256" s="1070"/>
      <c r="BD256" s="1070"/>
      <c r="BE256" s="1070"/>
      <c r="BF256" s="1070"/>
      <c r="BG256" s="1070"/>
      <c r="BH256" s="1070"/>
      <c r="BI256" s="1070"/>
      <c r="BJ256" s="1070"/>
      <c r="BK256" s="1070"/>
      <c r="BL256" s="1070"/>
      <c r="BM256" s="1070"/>
      <c r="BN256" s="1070"/>
      <c r="BO256" s="1070"/>
      <c r="BP256" s="1070"/>
      <c r="BQ256" s="1070"/>
      <c r="BR256" s="1070"/>
      <c r="BS256" s="1070"/>
      <c r="BT256" s="1070"/>
      <c r="BU256" s="1070"/>
      <c r="BV256" s="1070"/>
      <c r="BW256" s="1070"/>
      <c r="BX256" s="1070"/>
      <c r="BY256" s="1070"/>
      <c r="BZ256" s="1070"/>
      <c r="CA256" s="1070"/>
      <c r="CB256" s="1070"/>
      <c r="CC256" s="1070"/>
      <c r="CD256" s="1070"/>
      <c r="CE256" s="1070"/>
      <c r="CF256" s="1070"/>
      <c r="CG256" s="1070"/>
      <c r="CH256" s="1070"/>
      <c r="CI256" s="1070"/>
      <c r="CJ256" s="1070"/>
      <c r="CK256" s="1070"/>
      <c r="CL256" s="1070"/>
      <c r="CM256" s="1070"/>
      <c r="CN256" s="1070"/>
      <c r="CO256" s="1070"/>
      <c r="CP256" s="1070"/>
      <c r="CQ256" s="1070"/>
      <c r="CR256" s="1070"/>
      <c r="CS256" s="1070"/>
      <c r="CT256" s="1070"/>
      <c r="CU256" s="1070"/>
      <c r="CV256" s="1070"/>
      <c r="CW256" s="1070"/>
      <c r="CX256" s="1070"/>
      <c r="CY256" s="1070"/>
      <c r="CZ256" s="1070"/>
      <c r="DA256" s="1070"/>
      <c r="DB256" s="1070"/>
      <c r="DC256" s="1070"/>
      <c r="DD256" s="1070"/>
      <c r="DE256" s="1070"/>
      <c r="DF256" s="1070"/>
      <c r="DG256" s="1070"/>
      <c r="DH256" s="1070"/>
      <c r="DI256" s="1070"/>
      <c r="DJ256" s="1070"/>
    </row>
    <row r="257" spans="1:114" s="1136" customFormat="1" ht="27.75" customHeight="1" x14ac:dyDescent="0.25">
      <c r="A257" s="875" t="s">
        <v>4240</v>
      </c>
      <c r="B257" s="1394">
        <f>B159</f>
        <v>3</v>
      </c>
      <c r="C257" s="1384"/>
      <c r="D257" s="1384"/>
      <c r="E257" s="1384"/>
      <c r="F257" s="1384"/>
      <c r="G257" s="1384"/>
      <c r="H257" s="1070"/>
      <c r="I257" s="1070"/>
      <c r="J257" s="1315"/>
      <c r="K257" s="1316"/>
      <c r="L257" s="1316"/>
      <c r="M257" s="1315"/>
      <c r="N257" s="1070"/>
      <c r="O257" s="1070"/>
      <c r="P257" s="1070"/>
      <c r="Q257" s="1070"/>
      <c r="R257" s="1070"/>
      <c r="S257" s="1070"/>
      <c r="T257" s="1070"/>
      <c r="U257" s="1070"/>
      <c r="V257" s="1070"/>
      <c r="W257" s="1070"/>
      <c r="X257" s="1070"/>
      <c r="Y257" s="1070"/>
      <c r="Z257" s="1070"/>
      <c r="AA257" s="1070"/>
      <c r="AB257" s="1070"/>
      <c r="AC257" s="1070"/>
      <c r="AD257" s="1070"/>
      <c r="AE257" s="1070"/>
      <c r="AF257" s="1070"/>
      <c r="AG257" s="1070"/>
      <c r="AH257" s="1070"/>
      <c r="AI257" s="1070"/>
      <c r="AJ257" s="1070"/>
      <c r="AK257" s="1070"/>
      <c r="AL257" s="1070"/>
      <c r="AM257" s="1070"/>
      <c r="AN257" s="1070"/>
      <c r="AO257" s="1070"/>
      <c r="AP257" s="1070"/>
      <c r="AQ257" s="1070"/>
      <c r="AR257" s="1070"/>
      <c r="AS257" s="1070"/>
      <c r="AT257" s="1070"/>
      <c r="AU257" s="1070"/>
      <c r="AV257" s="1070"/>
      <c r="AW257" s="1070"/>
      <c r="AX257" s="1070"/>
      <c r="AY257" s="1070"/>
      <c r="AZ257" s="1070"/>
      <c r="BA257" s="1070"/>
      <c r="BB257" s="1070"/>
      <c r="BC257" s="1070"/>
      <c r="BD257" s="1070"/>
      <c r="BE257" s="1070"/>
      <c r="BF257" s="1070"/>
      <c r="BG257" s="1070"/>
      <c r="BH257" s="1070"/>
      <c r="BI257" s="1070"/>
      <c r="BJ257" s="1070"/>
      <c r="BK257" s="1070"/>
      <c r="BL257" s="1070"/>
      <c r="BM257" s="1070"/>
      <c r="BN257" s="1070"/>
      <c r="BO257" s="1070"/>
      <c r="BP257" s="1070"/>
      <c r="BQ257" s="1070"/>
      <c r="BR257" s="1070"/>
      <c r="BS257" s="1070"/>
      <c r="BT257" s="1070"/>
      <c r="BU257" s="1070"/>
      <c r="BV257" s="1070"/>
      <c r="BW257" s="1070"/>
      <c r="BX257" s="1070"/>
      <c r="BY257" s="1070"/>
      <c r="BZ257" s="1070"/>
      <c r="CA257" s="1070"/>
      <c r="CB257" s="1070"/>
      <c r="CC257" s="1070"/>
      <c r="CD257" s="1070"/>
      <c r="CE257" s="1070"/>
      <c r="CF257" s="1070"/>
      <c r="CG257" s="1070"/>
      <c r="CH257" s="1070"/>
      <c r="CI257" s="1070"/>
      <c r="CJ257" s="1070"/>
      <c r="CK257" s="1070"/>
      <c r="CL257" s="1070"/>
      <c r="CM257" s="1070"/>
      <c r="CN257" s="1070"/>
      <c r="CO257" s="1070"/>
      <c r="CP257" s="1070"/>
      <c r="CQ257" s="1070"/>
      <c r="CR257" s="1070"/>
      <c r="CS257" s="1070"/>
      <c r="CT257" s="1070"/>
      <c r="CU257" s="1070"/>
      <c r="CV257" s="1070"/>
      <c r="CW257" s="1070"/>
      <c r="CX257" s="1070"/>
      <c r="CY257" s="1070"/>
      <c r="CZ257" s="1070"/>
      <c r="DA257" s="1070"/>
      <c r="DB257" s="1070"/>
      <c r="DC257" s="1070"/>
      <c r="DD257" s="1070"/>
      <c r="DE257" s="1070"/>
      <c r="DF257" s="1070"/>
      <c r="DG257" s="1070"/>
      <c r="DH257" s="1070"/>
      <c r="DI257" s="1070"/>
      <c r="DJ257" s="1070"/>
    </row>
    <row r="258" spans="1:114" s="1136" customFormat="1" ht="27.75" customHeight="1" x14ac:dyDescent="0.25">
      <c r="A258" s="875" t="s">
        <v>4241</v>
      </c>
      <c r="B258" s="1394">
        <f>B160</f>
        <v>0</v>
      </c>
      <c r="C258" s="1384"/>
      <c r="D258" s="1384"/>
      <c r="E258" s="1384"/>
      <c r="F258" s="1384"/>
      <c r="G258" s="1384"/>
      <c r="H258" s="1070"/>
      <c r="I258" s="1070"/>
      <c r="J258" s="1315"/>
      <c r="K258" s="1316"/>
      <c r="L258" s="1316"/>
      <c r="M258" s="1315"/>
      <c r="N258" s="1070"/>
      <c r="O258" s="1070"/>
      <c r="P258" s="1070"/>
      <c r="Q258" s="1070"/>
      <c r="R258" s="1070"/>
      <c r="S258" s="1070"/>
      <c r="T258" s="1070"/>
      <c r="U258" s="1070"/>
      <c r="V258" s="1070"/>
      <c r="W258" s="1070"/>
      <c r="X258" s="1070"/>
      <c r="Y258" s="1070"/>
      <c r="Z258" s="1070"/>
      <c r="AA258" s="1070"/>
      <c r="AB258" s="1070"/>
      <c r="AC258" s="1070"/>
      <c r="AD258" s="1070"/>
      <c r="AE258" s="1070"/>
      <c r="AF258" s="1070"/>
      <c r="AG258" s="1070"/>
      <c r="AH258" s="1070"/>
      <c r="AI258" s="1070"/>
      <c r="AJ258" s="1070"/>
      <c r="AK258" s="1070"/>
      <c r="AL258" s="1070"/>
      <c r="AM258" s="1070"/>
      <c r="AN258" s="1070"/>
      <c r="AO258" s="1070"/>
      <c r="AP258" s="1070"/>
      <c r="AQ258" s="1070"/>
      <c r="AR258" s="1070"/>
      <c r="AS258" s="1070"/>
      <c r="AT258" s="1070"/>
      <c r="AU258" s="1070"/>
      <c r="AV258" s="1070"/>
      <c r="AW258" s="1070"/>
      <c r="AX258" s="1070"/>
      <c r="AY258" s="1070"/>
      <c r="AZ258" s="1070"/>
      <c r="BA258" s="1070"/>
      <c r="BB258" s="1070"/>
      <c r="BC258" s="1070"/>
      <c r="BD258" s="1070"/>
      <c r="BE258" s="1070"/>
      <c r="BF258" s="1070"/>
      <c r="BG258" s="1070"/>
      <c r="BH258" s="1070"/>
      <c r="BI258" s="1070"/>
      <c r="BJ258" s="1070"/>
      <c r="BK258" s="1070"/>
      <c r="BL258" s="1070"/>
      <c r="BM258" s="1070"/>
      <c r="BN258" s="1070"/>
      <c r="BO258" s="1070"/>
      <c r="BP258" s="1070"/>
      <c r="BQ258" s="1070"/>
      <c r="BR258" s="1070"/>
      <c r="BS258" s="1070"/>
      <c r="BT258" s="1070"/>
      <c r="BU258" s="1070"/>
      <c r="BV258" s="1070"/>
      <c r="BW258" s="1070"/>
      <c r="BX258" s="1070"/>
      <c r="BY258" s="1070"/>
      <c r="BZ258" s="1070"/>
      <c r="CA258" s="1070"/>
      <c r="CB258" s="1070"/>
      <c r="CC258" s="1070"/>
      <c r="CD258" s="1070"/>
      <c r="CE258" s="1070"/>
      <c r="CF258" s="1070"/>
      <c r="CG258" s="1070"/>
      <c r="CH258" s="1070"/>
      <c r="CI258" s="1070"/>
      <c r="CJ258" s="1070"/>
      <c r="CK258" s="1070"/>
      <c r="CL258" s="1070"/>
      <c r="CM258" s="1070"/>
      <c r="CN258" s="1070"/>
      <c r="CO258" s="1070"/>
      <c r="CP258" s="1070"/>
      <c r="CQ258" s="1070"/>
      <c r="CR258" s="1070"/>
      <c r="CS258" s="1070"/>
      <c r="CT258" s="1070"/>
      <c r="CU258" s="1070"/>
      <c r="CV258" s="1070"/>
      <c r="CW258" s="1070"/>
      <c r="CX258" s="1070"/>
      <c r="CY258" s="1070"/>
      <c r="CZ258" s="1070"/>
      <c r="DA258" s="1070"/>
      <c r="DB258" s="1070"/>
      <c r="DC258" s="1070"/>
      <c r="DD258" s="1070"/>
      <c r="DE258" s="1070"/>
      <c r="DF258" s="1070"/>
      <c r="DG258" s="1070"/>
      <c r="DH258" s="1070"/>
      <c r="DI258" s="1070"/>
      <c r="DJ258" s="1070"/>
    </row>
    <row r="259" spans="1:114" s="1136" customFormat="1" ht="27.75" customHeight="1" x14ac:dyDescent="0.25">
      <c r="A259" s="875" t="s">
        <v>3259</v>
      </c>
      <c r="B259" s="1394">
        <f>B200</f>
        <v>0</v>
      </c>
      <c r="C259" s="1384"/>
      <c r="D259" s="1384"/>
      <c r="E259" s="1384"/>
      <c r="F259" s="1384"/>
      <c r="G259" s="1384"/>
      <c r="H259" s="1070"/>
      <c r="I259" s="1070"/>
      <c r="J259" s="1315"/>
      <c r="K259" s="1316"/>
      <c r="L259" s="1316"/>
      <c r="M259" s="1315"/>
      <c r="N259" s="1070"/>
      <c r="O259" s="1070"/>
      <c r="P259" s="1070"/>
      <c r="Q259" s="1070"/>
      <c r="R259" s="1070"/>
      <c r="S259" s="1070"/>
      <c r="T259" s="1070"/>
      <c r="U259" s="1070"/>
      <c r="V259" s="1070"/>
      <c r="W259" s="1070"/>
      <c r="X259" s="1070"/>
      <c r="Y259" s="1070"/>
      <c r="Z259" s="1070"/>
      <c r="AA259" s="1070"/>
      <c r="AB259" s="1070"/>
      <c r="AC259" s="1070"/>
      <c r="AD259" s="1070"/>
      <c r="AE259" s="1070"/>
      <c r="AF259" s="1070"/>
      <c r="AG259" s="1070"/>
      <c r="AH259" s="1070"/>
      <c r="AI259" s="1070"/>
      <c r="AJ259" s="1070"/>
      <c r="AK259" s="1070"/>
      <c r="AL259" s="1070"/>
      <c r="AM259" s="1070"/>
      <c r="AN259" s="1070"/>
      <c r="AO259" s="1070"/>
      <c r="AP259" s="1070"/>
      <c r="AQ259" s="1070"/>
      <c r="AR259" s="1070"/>
      <c r="AS259" s="1070"/>
      <c r="AT259" s="1070"/>
      <c r="AU259" s="1070"/>
      <c r="AV259" s="1070"/>
      <c r="AW259" s="1070"/>
      <c r="AX259" s="1070"/>
      <c r="AY259" s="1070"/>
      <c r="AZ259" s="1070"/>
      <c r="BA259" s="1070"/>
      <c r="BB259" s="1070"/>
      <c r="BC259" s="1070"/>
      <c r="BD259" s="1070"/>
      <c r="BE259" s="1070"/>
      <c r="BF259" s="1070"/>
      <c r="BG259" s="1070"/>
      <c r="BH259" s="1070"/>
      <c r="BI259" s="1070"/>
      <c r="BJ259" s="1070"/>
      <c r="BK259" s="1070"/>
      <c r="BL259" s="1070"/>
      <c r="BM259" s="1070"/>
      <c r="BN259" s="1070"/>
      <c r="BO259" s="1070"/>
      <c r="BP259" s="1070"/>
      <c r="BQ259" s="1070"/>
      <c r="BR259" s="1070"/>
      <c r="BS259" s="1070"/>
      <c r="BT259" s="1070"/>
      <c r="BU259" s="1070"/>
      <c r="BV259" s="1070"/>
      <c r="BW259" s="1070"/>
      <c r="BX259" s="1070"/>
      <c r="BY259" s="1070"/>
      <c r="BZ259" s="1070"/>
      <c r="CA259" s="1070"/>
      <c r="CB259" s="1070"/>
      <c r="CC259" s="1070"/>
      <c r="CD259" s="1070"/>
      <c r="CE259" s="1070"/>
      <c r="CF259" s="1070"/>
      <c r="CG259" s="1070"/>
      <c r="CH259" s="1070"/>
      <c r="CI259" s="1070"/>
      <c r="CJ259" s="1070"/>
      <c r="CK259" s="1070"/>
      <c r="CL259" s="1070"/>
      <c r="CM259" s="1070"/>
      <c r="CN259" s="1070"/>
      <c r="CO259" s="1070"/>
      <c r="CP259" s="1070"/>
      <c r="CQ259" s="1070"/>
      <c r="CR259" s="1070"/>
      <c r="CS259" s="1070"/>
      <c r="CT259" s="1070"/>
      <c r="CU259" s="1070"/>
      <c r="CV259" s="1070"/>
      <c r="CW259" s="1070"/>
      <c r="CX259" s="1070"/>
      <c r="CY259" s="1070"/>
      <c r="CZ259" s="1070"/>
      <c r="DA259" s="1070"/>
      <c r="DB259" s="1070"/>
      <c r="DC259" s="1070"/>
      <c r="DD259" s="1070"/>
      <c r="DE259" s="1070"/>
      <c r="DF259" s="1070"/>
      <c r="DG259" s="1070"/>
      <c r="DH259" s="1070"/>
      <c r="DI259" s="1070"/>
      <c r="DJ259" s="1070"/>
    </row>
    <row r="260" spans="1:114" s="1136" customFormat="1" ht="27.75" customHeight="1" x14ac:dyDescent="0.25">
      <c r="A260" s="875" t="s">
        <v>4176</v>
      </c>
      <c r="B260" s="1394">
        <f>B161</f>
        <v>0</v>
      </c>
      <c r="C260" s="1384"/>
      <c r="D260" s="1384"/>
      <c r="E260" s="1384"/>
      <c r="F260" s="1384"/>
      <c r="G260" s="1384"/>
      <c r="H260" s="1070"/>
      <c r="I260" s="1070"/>
      <c r="J260" s="1315"/>
      <c r="K260" s="1316"/>
      <c r="L260" s="1316"/>
      <c r="M260" s="1315"/>
      <c r="N260" s="1070"/>
      <c r="O260" s="1070"/>
      <c r="P260" s="1070"/>
      <c r="Q260" s="1070"/>
      <c r="R260" s="1070"/>
      <c r="S260" s="1070"/>
      <c r="T260" s="1070"/>
      <c r="U260" s="1070"/>
      <c r="V260" s="1070"/>
      <c r="W260" s="1070"/>
      <c r="X260" s="1070"/>
      <c r="Y260" s="1070"/>
      <c r="Z260" s="1070"/>
      <c r="AA260" s="1070"/>
      <c r="AB260" s="1070"/>
      <c r="AC260" s="1070"/>
      <c r="AD260" s="1070"/>
      <c r="AE260" s="1070"/>
      <c r="AF260" s="1070"/>
      <c r="AG260" s="1070"/>
      <c r="AH260" s="1070"/>
      <c r="AI260" s="1070"/>
      <c r="AJ260" s="1070"/>
      <c r="AK260" s="1070"/>
      <c r="AL260" s="1070"/>
      <c r="AM260" s="1070"/>
      <c r="AN260" s="1070"/>
      <c r="AO260" s="1070"/>
      <c r="AP260" s="1070"/>
      <c r="AQ260" s="1070"/>
      <c r="AR260" s="1070"/>
      <c r="AS260" s="1070"/>
      <c r="AT260" s="1070"/>
      <c r="AU260" s="1070"/>
      <c r="AV260" s="1070"/>
      <c r="AW260" s="1070"/>
      <c r="AX260" s="1070"/>
      <c r="AY260" s="1070"/>
      <c r="AZ260" s="1070"/>
      <c r="BA260" s="1070"/>
      <c r="BB260" s="1070"/>
      <c r="BC260" s="1070"/>
      <c r="BD260" s="1070"/>
      <c r="BE260" s="1070"/>
      <c r="BF260" s="1070"/>
      <c r="BG260" s="1070"/>
      <c r="BH260" s="1070"/>
      <c r="BI260" s="1070"/>
      <c r="BJ260" s="1070"/>
      <c r="BK260" s="1070"/>
      <c r="BL260" s="1070"/>
      <c r="BM260" s="1070"/>
      <c r="BN260" s="1070"/>
      <c r="BO260" s="1070"/>
      <c r="BP260" s="1070"/>
      <c r="BQ260" s="1070"/>
      <c r="BR260" s="1070"/>
      <c r="BS260" s="1070"/>
      <c r="BT260" s="1070"/>
      <c r="BU260" s="1070"/>
      <c r="BV260" s="1070"/>
      <c r="BW260" s="1070"/>
      <c r="BX260" s="1070"/>
      <c r="BY260" s="1070"/>
      <c r="BZ260" s="1070"/>
      <c r="CA260" s="1070"/>
      <c r="CB260" s="1070"/>
      <c r="CC260" s="1070"/>
      <c r="CD260" s="1070"/>
      <c r="CE260" s="1070"/>
      <c r="CF260" s="1070"/>
      <c r="CG260" s="1070"/>
      <c r="CH260" s="1070"/>
      <c r="CI260" s="1070"/>
      <c r="CJ260" s="1070"/>
      <c r="CK260" s="1070"/>
      <c r="CL260" s="1070"/>
      <c r="CM260" s="1070"/>
      <c r="CN260" s="1070"/>
      <c r="CO260" s="1070"/>
      <c r="CP260" s="1070"/>
      <c r="CQ260" s="1070"/>
      <c r="CR260" s="1070"/>
      <c r="CS260" s="1070"/>
      <c r="CT260" s="1070"/>
      <c r="CU260" s="1070"/>
      <c r="CV260" s="1070"/>
      <c r="CW260" s="1070"/>
      <c r="CX260" s="1070"/>
      <c r="CY260" s="1070"/>
      <c r="CZ260" s="1070"/>
      <c r="DA260" s="1070"/>
      <c r="DB260" s="1070"/>
      <c r="DC260" s="1070"/>
      <c r="DD260" s="1070"/>
      <c r="DE260" s="1070"/>
      <c r="DF260" s="1070"/>
      <c r="DG260" s="1070"/>
      <c r="DH260" s="1070"/>
      <c r="DI260" s="1070"/>
      <c r="DJ260" s="1070"/>
    </row>
    <row r="261" spans="1:114" s="1136" customFormat="1" ht="27.75" customHeight="1" x14ac:dyDescent="0.25">
      <c r="A261" s="875" t="s">
        <v>5574</v>
      </c>
      <c r="B261" s="1394" t="str">
        <f>B203</f>
        <v/>
      </c>
      <c r="C261" s="1384"/>
      <c r="D261" s="1384"/>
      <c r="E261" s="1384"/>
      <c r="F261" s="1384"/>
      <c r="G261" s="1384"/>
      <c r="H261" s="1070"/>
      <c r="I261" s="1070"/>
      <c r="J261" s="1315"/>
      <c r="K261" s="1316"/>
      <c r="L261" s="1316"/>
      <c r="M261" s="1315"/>
      <c r="N261" s="1070"/>
      <c r="O261" s="1070"/>
      <c r="P261" s="1070"/>
      <c r="Q261" s="1070"/>
      <c r="R261" s="1070"/>
      <c r="S261" s="1070"/>
      <c r="T261" s="1070"/>
      <c r="U261" s="1070"/>
      <c r="V261" s="1070"/>
      <c r="W261" s="1070"/>
      <c r="X261" s="1070"/>
      <c r="Y261" s="1070"/>
      <c r="Z261" s="1070"/>
      <c r="AA261" s="1070"/>
      <c r="AB261" s="1070"/>
      <c r="AC261" s="1070"/>
      <c r="AD261" s="1070"/>
      <c r="AE261" s="1070"/>
      <c r="AF261" s="1070"/>
      <c r="AG261" s="1070"/>
      <c r="AH261" s="1070"/>
      <c r="AI261" s="1070"/>
      <c r="AJ261" s="1070"/>
      <c r="AK261" s="1070"/>
      <c r="AL261" s="1070"/>
      <c r="AM261" s="1070"/>
      <c r="AN261" s="1070"/>
      <c r="AO261" s="1070"/>
      <c r="AP261" s="1070"/>
      <c r="AQ261" s="1070"/>
      <c r="AR261" s="1070"/>
      <c r="AS261" s="1070"/>
      <c r="AT261" s="1070"/>
      <c r="AU261" s="1070"/>
      <c r="AV261" s="1070"/>
      <c r="AW261" s="1070"/>
      <c r="AX261" s="1070"/>
      <c r="AY261" s="1070"/>
      <c r="AZ261" s="1070"/>
      <c r="BA261" s="1070"/>
      <c r="BB261" s="1070"/>
      <c r="BC261" s="1070"/>
      <c r="BD261" s="1070"/>
      <c r="BE261" s="1070"/>
      <c r="BF261" s="1070"/>
      <c r="BG261" s="1070"/>
      <c r="BH261" s="1070"/>
      <c r="BI261" s="1070"/>
      <c r="BJ261" s="1070"/>
      <c r="BK261" s="1070"/>
      <c r="BL261" s="1070"/>
      <c r="BM261" s="1070"/>
      <c r="BN261" s="1070"/>
      <c r="BO261" s="1070"/>
      <c r="BP261" s="1070"/>
      <c r="BQ261" s="1070"/>
      <c r="BR261" s="1070"/>
      <c r="BS261" s="1070"/>
      <c r="BT261" s="1070"/>
      <c r="BU261" s="1070"/>
      <c r="BV261" s="1070"/>
      <c r="BW261" s="1070"/>
      <c r="BX261" s="1070"/>
      <c r="BY261" s="1070"/>
      <c r="BZ261" s="1070"/>
      <c r="CA261" s="1070"/>
      <c r="CB261" s="1070"/>
      <c r="CC261" s="1070"/>
      <c r="CD261" s="1070"/>
      <c r="CE261" s="1070"/>
      <c r="CF261" s="1070"/>
      <c r="CG261" s="1070"/>
      <c r="CH261" s="1070"/>
      <c r="CI261" s="1070"/>
      <c r="CJ261" s="1070"/>
      <c r="CK261" s="1070"/>
      <c r="CL261" s="1070"/>
      <c r="CM261" s="1070"/>
      <c r="CN261" s="1070"/>
      <c r="CO261" s="1070"/>
      <c r="CP261" s="1070"/>
      <c r="CQ261" s="1070"/>
      <c r="CR261" s="1070"/>
      <c r="CS261" s="1070"/>
      <c r="CT261" s="1070"/>
      <c r="CU261" s="1070"/>
      <c r="CV261" s="1070"/>
      <c r="CW261" s="1070"/>
      <c r="CX261" s="1070"/>
      <c r="CY261" s="1070"/>
      <c r="CZ261" s="1070"/>
      <c r="DA261" s="1070"/>
      <c r="DB261" s="1070"/>
      <c r="DC261" s="1070"/>
      <c r="DD261" s="1070"/>
      <c r="DE261" s="1070"/>
      <c r="DF261" s="1070"/>
      <c r="DG261" s="1070"/>
      <c r="DH261" s="1070"/>
      <c r="DI261" s="1070"/>
      <c r="DJ261" s="1070"/>
    </row>
    <row r="262" spans="1:114" s="1136" customFormat="1" ht="27.75" customHeight="1" x14ac:dyDescent="0.25">
      <c r="A262" s="875" t="s">
        <v>5565</v>
      </c>
      <c r="B262" s="1394">
        <f>B204</f>
        <v>1</v>
      </c>
      <c r="C262" s="1384"/>
      <c r="D262" s="1384"/>
      <c r="E262" s="1384"/>
      <c r="F262" s="1384"/>
      <c r="G262" s="1384"/>
      <c r="H262" s="1070"/>
      <c r="I262" s="1070"/>
      <c r="J262" s="1315"/>
      <c r="K262" s="1316"/>
      <c r="L262" s="1316"/>
      <c r="M262" s="1315"/>
      <c r="N262" s="1070"/>
      <c r="O262" s="1070"/>
      <c r="P262" s="1070"/>
      <c r="Q262" s="1070"/>
      <c r="R262" s="1070"/>
      <c r="S262" s="1070"/>
      <c r="T262" s="1070"/>
      <c r="U262" s="1070"/>
      <c r="V262" s="1070"/>
      <c r="W262" s="1070"/>
      <c r="X262" s="1070"/>
      <c r="Y262" s="1070"/>
      <c r="Z262" s="1070"/>
      <c r="AA262" s="1070"/>
      <c r="AB262" s="1070"/>
      <c r="AC262" s="1070"/>
      <c r="AD262" s="1070"/>
      <c r="AE262" s="1070"/>
      <c r="AF262" s="1070"/>
      <c r="AG262" s="1070"/>
      <c r="AH262" s="1070"/>
      <c r="AI262" s="1070"/>
      <c r="AJ262" s="1070"/>
      <c r="AK262" s="1070"/>
      <c r="AL262" s="1070"/>
      <c r="AM262" s="1070"/>
      <c r="AN262" s="1070"/>
      <c r="AO262" s="1070"/>
      <c r="AP262" s="1070"/>
      <c r="AQ262" s="1070"/>
      <c r="AR262" s="1070"/>
      <c r="AS262" s="1070"/>
      <c r="AT262" s="1070"/>
      <c r="AU262" s="1070"/>
      <c r="AV262" s="1070"/>
      <c r="AW262" s="1070"/>
      <c r="AX262" s="1070"/>
      <c r="AY262" s="1070"/>
      <c r="AZ262" s="1070"/>
      <c r="BA262" s="1070"/>
      <c r="BB262" s="1070"/>
      <c r="BC262" s="1070"/>
      <c r="BD262" s="1070"/>
      <c r="BE262" s="1070"/>
      <c r="BF262" s="1070"/>
      <c r="BG262" s="1070"/>
      <c r="BH262" s="1070"/>
      <c r="BI262" s="1070"/>
      <c r="BJ262" s="1070"/>
      <c r="BK262" s="1070"/>
      <c r="BL262" s="1070"/>
      <c r="BM262" s="1070"/>
      <c r="BN262" s="1070"/>
      <c r="BO262" s="1070"/>
      <c r="BP262" s="1070"/>
      <c r="BQ262" s="1070"/>
      <c r="BR262" s="1070"/>
      <c r="BS262" s="1070"/>
      <c r="BT262" s="1070"/>
      <c r="BU262" s="1070"/>
      <c r="BV262" s="1070"/>
      <c r="BW262" s="1070"/>
      <c r="BX262" s="1070"/>
      <c r="BY262" s="1070"/>
      <c r="BZ262" s="1070"/>
      <c r="CA262" s="1070"/>
      <c r="CB262" s="1070"/>
      <c r="CC262" s="1070"/>
      <c r="CD262" s="1070"/>
      <c r="CE262" s="1070"/>
      <c r="CF262" s="1070"/>
      <c r="CG262" s="1070"/>
      <c r="CH262" s="1070"/>
      <c r="CI262" s="1070"/>
      <c r="CJ262" s="1070"/>
      <c r="CK262" s="1070"/>
      <c r="CL262" s="1070"/>
      <c r="CM262" s="1070"/>
      <c r="CN262" s="1070"/>
      <c r="CO262" s="1070"/>
      <c r="CP262" s="1070"/>
      <c r="CQ262" s="1070"/>
      <c r="CR262" s="1070"/>
      <c r="CS262" s="1070"/>
      <c r="CT262" s="1070"/>
      <c r="CU262" s="1070"/>
      <c r="CV262" s="1070"/>
      <c r="CW262" s="1070"/>
      <c r="CX262" s="1070"/>
      <c r="CY262" s="1070"/>
      <c r="CZ262" s="1070"/>
      <c r="DA262" s="1070"/>
      <c r="DB262" s="1070"/>
      <c r="DC262" s="1070"/>
      <c r="DD262" s="1070"/>
      <c r="DE262" s="1070"/>
      <c r="DF262" s="1070"/>
      <c r="DG262" s="1070"/>
      <c r="DH262" s="1070"/>
      <c r="DI262" s="1070"/>
      <c r="DJ262" s="1070"/>
    </row>
    <row r="263" spans="1:114" s="1136" customFormat="1" ht="27.75" customHeight="1" x14ac:dyDescent="0.25">
      <c r="A263" s="875" t="s">
        <v>3260</v>
      </c>
      <c r="B263" s="1394">
        <f>B205</f>
        <v>0.8</v>
      </c>
      <c r="C263" s="1384"/>
      <c r="D263" s="1384"/>
      <c r="E263" s="1384"/>
      <c r="F263" s="1384"/>
      <c r="G263" s="1384"/>
      <c r="H263" s="1070"/>
      <c r="I263" s="1070"/>
      <c r="J263" s="1315"/>
      <c r="K263" s="1316"/>
      <c r="L263" s="1316"/>
      <c r="M263" s="1315"/>
      <c r="N263" s="1070"/>
      <c r="O263" s="1070"/>
      <c r="P263" s="1070"/>
      <c r="Q263" s="1070"/>
      <c r="R263" s="1070"/>
      <c r="S263" s="1070"/>
      <c r="T263" s="1070"/>
      <c r="U263" s="1070"/>
      <c r="V263" s="1070"/>
      <c r="W263" s="1070"/>
      <c r="X263" s="1070"/>
      <c r="Y263" s="1070"/>
      <c r="Z263" s="1070"/>
      <c r="AA263" s="1070"/>
      <c r="AB263" s="1070"/>
      <c r="AC263" s="1070"/>
      <c r="AD263" s="1070"/>
      <c r="AE263" s="1070"/>
      <c r="AF263" s="1070"/>
      <c r="AG263" s="1070"/>
      <c r="AH263" s="1070"/>
      <c r="AI263" s="1070"/>
      <c r="AJ263" s="1070"/>
      <c r="AK263" s="1070"/>
      <c r="AL263" s="1070"/>
      <c r="AM263" s="1070"/>
      <c r="AN263" s="1070"/>
      <c r="AO263" s="1070"/>
      <c r="AP263" s="1070"/>
      <c r="AQ263" s="1070"/>
      <c r="AR263" s="1070"/>
      <c r="AS263" s="1070"/>
      <c r="AT263" s="1070"/>
      <c r="AU263" s="1070"/>
      <c r="AV263" s="1070"/>
      <c r="AW263" s="1070"/>
      <c r="AX263" s="1070"/>
      <c r="AY263" s="1070"/>
      <c r="AZ263" s="1070"/>
      <c r="BA263" s="1070"/>
      <c r="BB263" s="1070"/>
      <c r="BC263" s="1070"/>
      <c r="BD263" s="1070"/>
      <c r="BE263" s="1070"/>
      <c r="BF263" s="1070"/>
      <c r="BG263" s="1070"/>
      <c r="BH263" s="1070"/>
      <c r="BI263" s="1070"/>
      <c r="BJ263" s="1070"/>
      <c r="BK263" s="1070"/>
      <c r="BL263" s="1070"/>
      <c r="BM263" s="1070"/>
      <c r="BN263" s="1070"/>
      <c r="BO263" s="1070"/>
      <c r="BP263" s="1070"/>
      <c r="BQ263" s="1070"/>
      <c r="BR263" s="1070"/>
      <c r="BS263" s="1070"/>
      <c r="BT263" s="1070"/>
      <c r="BU263" s="1070"/>
      <c r="BV263" s="1070"/>
      <c r="BW263" s="1070"/>
      <c r="BX263" s="1070"/>
      <c r="BY263" s="1070"/>
      <c r="BZ263" s="1070"/>
      <c r="CA263" s="1070"/>
      <c r="CB263" s="1070"/>
      <c r="CC263" s="1070"/>
      <c r="CD263" s="1070"/>
      <c r="CE263" s="1070"/>
      <c r="CF263" s="1070"/>
      <c r="CG263" s="1070"/>
      <c r="CH263" s="1070"/>
      <c r="CI263" s="1070"/>
      <c r="CJ263" s="1070"/>
      <c r="CK263" s="1070"/>
      <c r="CL263" s="1070"/>
      <c r="CM263" s="1070"/>
      <c r="CN263" s="1070"/>
      <c r="CO263" s="1070"/>
      <c r="CP263" s="1070"/>
      <c r="CQ263" s="1070"/>
      <c r="CR263" s="1070"/>
      <c r="CS263" s="1070"/>
      <c r="CT263" s="1070"/>
      <c r="CU263" s="1070"/>
      <c r="CV263" s="1070"/>
      <c r="CW263" s="1070"/>
      <c r="CX263" s="1070"/>
      <c r="CY263" s="1070"/>
      <c r="CZ263" s="1070"/>
      <c r="DA263" s="1070"/>
      <c r="DB263" s="1070"/>
      <c r="DC263" s="1070"/>
      <c r="DD263" s="1070"/>
      <c r="DE263" s="1070"/>
      <c r="DF263" s="1070"/>
      <c r="DG263" s="1070"/>
      <c r="DH263" s="1070"/>
      <c r="DI263" s="1070"/>
      <c r="DJ263" s="1070"/>
    </row>
    <row r="264" spans="1:114" s="1136" customFormat="1" ht="27.75" customHeight="1" x14ac:dyDescent="0.25">
      <c r="A264" s="875" t="s">
        <v>3261</v>
      </c>
      <c r="B264" s="1394">
        <f>B206</f>
        <v>0.8</v>
      </c>
      <c r="C264" s="1384"/>
      <c r="D264" s="1384"/>
      <c r="E264" s="1384"/>
      <c r="F264" s="1384"/>
      <c r="G264" s="1384"/>
      <c r="H264" s="1070"/>
      <c r="I264" s="1070"/>
      <c r="J264" s="1315"/>
      <c r="K264" s="1316"/>
      <c r="L264" s="1316"/>
      <c r="M264" s="1315"/>
      <c r="N264" s="1070"/>
      <c r="O264" s="1070"/>
      <c r="P264" s="1070"/>
      <c r="Q264" s="1070"/>
      <c r="R264" s="1070"/>
      <c r="S264" s="1070"/>
      <c r="T264" s="1070"/>
      <c r="U264" s="1070"/>
      <c r="V264" s="1070"/>
      <c r="W264" s="1070"/>
      <c r="X264" s="1070"/>
      <c r="Y264" s="1070"/>
      <c r="Z264" s="1070"/>
      <c r="AA264" s="1070"/>
      <c r="AB264" s="1070"/>
      <c r="AC264" s="1070"/>
      <c r="AD264" s="1070"/>
      <c r="AE264" s="1070"/>
      <c r="AF264" s="1070"/>
      <c r="AG264" s="1070"/>
      <c r="AH264" s="1070"/>
      <c r="AI264" s="1070"/>
      <c r="AJ264" s="1070"/>
      <c r="AK264" s="1070"/>
      <c r="AL264" s="1070"/>
      <c r="AM264" s="1070"/>
      <c r="AN264" s="1070"/>
      <c r="AO264" s="1070"/>
      <c r="AP264" s="1070"/>
      <c r="AQ264" s="1070"/>
      <c r="AR264" s="1070"/>
      <c r="AS264" s="1070"/>
      <c r="AT264" s="1070"/>
      <c r="AU264" s="1070"/>
      <c r="AV264" s="1070"/>
      <c r="AW264" s="1070"/>
      <c r="AX264" s="1070"/>
      <c r="AY264" s="1070"/>
      <c r="AZ264" s="1070"/>
      <c r="BA264" s="1070"/>
      <c r="BB264" s="1070"/>
      <c r="BC264" s="1070"/>
      <c r="BD264" s="1070"/>
      <c r="BE264" s="1070"/>
      <c r="BF264" s="1070"/>
      <c r="BG264" s="1070"/>
      <c r="BH264" s="1070"/>
      <c r="BI264" s="1070"/>
      <c r="BJ264" s="1070"/>
      <c r="BK264" s="1070"/>
      <c r="BL264" s="1070"/>
      <c r="BM264" s="1070"/>
      <c r="BN264" s="1070"/>
      <c r="BO264" s="1070"/>
      <c r="BP264" s="1070"/>
      <c r="BQ264" s="1070"/>
      <c r="BR264" s="1070"/>
      <c r="BS264" s="1070"/>
      <c r="BT264" s="1070"/>
      <c r="BU264" s="1070"/>
      <c r="BV264" s="1070"/>
      <c r="BW264" s="1070"/>
      <c r="BX264" s="1070"/>
      <c r="BY264" s="1070"/>
      <c r="BZ264" s="1070"/>
      <c r="CA264" s="1070"/>
      <c r="CB264" s="1070"/>
      <c r="CC264" s="1070"/>
      <c r="CD264" s="1070"/>
      <c r="CE264" s="1070"/>
      <c r="CF264" s="1070"/>
      <c r="CG264" s="1070"/>
      <c r="CH264" s="1070"/>
      <c r="CI264" s="1070"/>
      <c r="CJ264" s="1070"/>
      <c r="CK264" s="1070"/>
      <c r="CL264" s="1070"/>
      <c r="CM264" s="1070"/>
      <c r="CN264" s="1070"/>
      <c r="CO264" s="1070"/>
      <c r="CP264" s="1070"/>
      <c r="CQ264" s="1070"/>
      <c r="CR264" s="1070"/>
      <c r="CS264" s="1070"/>
      <c r="CT264" s="1070"/>
      <c r="CU264" s="1070"/>
      <c r="CV264" s="1070"/>
      <c r="CW264" s="1070"/>
      <c r="CX264" s="1070"/>
      <c r="CY264" s="1070"/>
      <c r="CZ264" s="1070"/>
      <c r="DA264" s="1070"/>
      <c r="DB264" s="1070"/>
      <c r="DC264" s="1070"/>
      <c r="DD264" s="1070"/>
      <c r="DE264" s="1070"/>
      <c r="DF264" s="1070"/>
      <c r="DG264" s="1070"/>
      <c r="DH264" s="1070"/>
      <c r="DI264" s="1070"/>
      <c r="DJ264" s="1070"/>
    </row>
    <row r="265" spans="1:114" s="1136" customFormat="1" ht="27.75" customHeight="1" x14ac:dyDescent="0.25">
      <c r="A265" s="875" t="s">
        <v>1501</v>
      </c>
      <c r="B265" s="1394" t="e">
        <f>B162</f>
        <v>#VALUE!</v>
      </c>
      <c r="C265" s="1384"/>
      <c r="D265" s="1384"/>
      <c r="E265" s="1384"/>
      <c r="F265" s="1384"/>
      <c r="G265" s="1384"/>
      <c r="H265" s="1070"/>
      <c r="I265" s="1070"/>
      <c r="J265" s="1315"/>
      <c r="K265" s="1316"/>
      <c r="L265" s="1316"/>
      <c r="M265" s="1315"/>
      <c r="N265" s="1070"/>
      <c r="O265" s="1070"/>
      <c r="P265" s="1070"/>
      <c r="Q265" s="1070"/>
      <c r="R265" s="1070"/>
      <c r="S265" s="1070"/>
      <c r="T265" s="1070"/>
      <c r="U265" s="1070"/>
      <c r="V265" s="1070"/>
      <c r="W265" s="1070"/>
      <c r="X265" s="1070"/>
      <c r="Y265" s="1070"/>
      <c r="Z265" s="1070"/>
      <c r="AA265" s="1070"/>
      <c r="AB265" s="1070"/>
      <c r="AC265" s="1070"/>
      <c r="AD265" s="1070"/>
      <c r="AE265" s="1070"/>
      <c r="AF265" s="1070"/>
      <c r="AG265" s="1070"/>
      <c r="AH265" s="1070"/>
      <c r="AI265" s="1070"/>
      <c r="AJ265" s="1070"/>
      <c r="AK265" s="1070"/>
      <c r="AL265" s="1070"/>
      <c r="AM265" s="1070"/>
      <c r="AN265" s="1070"/>
      <c r="AO265" s="1070"/>
      <c r="AP265" s="1070"/>
      <c r="AQ265" s="1070"/>
      <c r="AR265" s="1070"/>
      <c r="AS265" s="1070"/>
      <c r="AT265" s="1070"/>
      <c r="AU265" s="1070"/>
      <c r="AV265" s="1070"/>
      <c r="AW265" s="1070"/>
      <c r="AX265" s="1070"/>
      <c r="AY265" s="1070"/>
      <c r="AZ265" s="1070"/>
      <c r="BA265" s="1070"/>
      <c r="BB265" s="1070"/>
      <c r="BC265" s="1070"/>
      <c r="BD265" s="1070"/>
      <c r="BE265" s="1070"/>
      <c r="BF265" s="1070"/>
      <c r="BG265" s="1070"/>
      <c r="BH265" s="1070"/>
      <c r="BI265" s="1070"/>
      <c r="BJ265" s="1070"/>
      <c r="BK265" s="1070"/>
      <c r="BL265" s="1070"/>
      <c r="BM265" s="1070"/>
      <c r="BN265" s="1070"/>
      <c r="BO265" s="1070"/>
      <c r="BP265" s="1070"/>
      <c r="BQ265" s="1070"/>
      <c r="BR265" s="1070"/>
      <c r="BS265" s="1070"/>
      <c r="BT265" s="1070"/>
      <c r="BU265" s="1070"/>
      <c r="BV265" s="1070"/>
      <c r="BW265" s="1070"/>
      <c r="BX265" s="1070"/>
      <c r="BY265" s="1070"/>
      <c r="BZ265" s="1070"/>
      <c r="CA265" s="1070"/>
      <c r="CB265" s="1070"/>
      <c r="CC265" s="1070"/>
      <c r="CD265" s="1070"/>
      <c r="CE265" s="1070"/>
      <c r="CF265" s="1070"/>
      <c r="CG265" s="1070"/>
      <c r="CH265" s="1070"/>
      <c r="CI265" s="1070"/>
      <c r="CJ265" s="1070"/>
      <c r="CK265" s="1070"/>
      <c r="CL265" s="1070"/>
      <c r="CM265" s="1070"/>
      <c r="CN265" s="1070"/>
      <c r="CO265" s="1070"/>
      <c r="CP265" s="1070"/>
      <c r="CQ265" s="1070"/>
      <c r="CR265" s="1070"/>
      <c r="CS265" s="1070"/>
      <c r="CT265" s="1070"/>
      <c r="CU265" s="1070"/>
      <c r="CV265" s="1070"/>
      <c r="CW265" s="1070"/>
      <c r="CX265" s="1070"/>
      <c r="CY265" s="1070"/>
      <c r="CZ265" s="1070"/>
      <c r="DA265" s="1070"/>
      <c r="DB265" s="1070"/>
      <c r="DC265" s="1070"/>
      <c r="DD265" s="1070"/>
      <c r="DE265" s="1070"/>
      <c r="DF265" s="1070"/>
      <c r="DG265" s="1070"/>
      <c r="DH265" s="1070"/>
      <c r="DI265" s="1070"/>
      <c r="DJ265" s="1070"/>
    </row>
    <row r="266" spans="1:114" s="1136" customFormat="1" ht="27.75" customHeight="1" x14ac:dyDescent="0.25">
      <c r="A266" s="875" t="s">
        <v>1502</v>
      </c>
      <c r="B266" s="1394" t="e">
        <f>B163</f>
        <v>#VALUE!</v>
      </c>
      <c r="C266" s="1384"/>
      <c r="D266" s="1384"/>
      <c r="E266" s="1384"/>
      <c r="F266" s="1384"/>
      <c r="G266" s="1384"/>
      <c r="H266" s="1070"/>
      <c r="I266" s="1070"/>
      <c r="J266" s="1315"/>
      <c r="K266" s="1316"/>
      <c r="L266" s="1316"/>
      <c r="M266" s="1315"/>
      <c r="N266" s="1070"/>
      <c r="O266" s="1070"/>
      <c r="P266" s="1070"/>
      <c r="Q266" s="1070"/>
      <c r="R266" s="1070"/>
      <c r="S266" s="1070"/>
      <c r="T266" s="1070"/>
      <c r="U266" s="1070"/>
      <c r="V266" s="1070"/>
      <c r="W266" s="1070"/>
      <c r="X266" s="1070"/>
      <c r="Y266" s="1070"/>
      <c r="Z266" s="1070"/>
      <c r="AA266" s="1070"/>
      <c r="AB266" s="1070"/>
      <c r="AC266" s="1070"/>
      <c r="AD266" s="1070"/>
      <c r="AE266" s="1070"/>
      <c r="AF266" s="1070"/>
      <c r="AG266" s="1070"/>
      <c r="AH266" s="1070"/>
      <c r="AI266" s="1070"/>
      <c r="AJ266" s="1070"/>
      <c r="AK266" s="1070"/>
      <c r="AL266" s="1070"/>
      <c r="AM266" s="1070"/>
      <c r="AN266" s="1070"/>
      <c r="AO266" s="1070"/>
      <c r="AP266" s="1070"/>
      <c r="AQ266" s="1070"/>
      <c r="AR266" s="1070"/>
      <c r="AS266" s="1070"/>
      <c r="AT266" s="1070"/>
      <c r="AU266" s="1070"/>
      <c r="AV266" s="1070"/>
      <c r="AW266" s="1070"/>
      <c r="AX266" s="1070"/>
      <c r="AY266" s="1070"/>
      <c r="AZ266" s="1070"/>
      <c r="BA266" s="1070"/>
      <c r="BB266" s="1070"/>
      <c r="BC266" s="1070"/>
      <c r="BD266" s="1070"/>
      <c r="BE266" s="1070"/>
      <c r="BF266" s="1070"/>
      <c r="BG266" s="1070"/>
      <c r="BH266" s="1070"/>
      <c r="BI266" s="1070"/>
      <c r="BJ266" s="1070"/>
      <c r="BK266" s="1070"/>
      <c r="BL266" s="1070"/>
      <c r="BM266" s="1070"/>
      <c r="BN266" s="1070"/>
      <c r="BO266" s="1070"/>
      <c r="BP266" s="1070"/>
      <c r="BQ266" s="1070"/>
      <c r="BR266" s="1070"/>
      <c r="BS266" s="1070"/>
      <c r="BT266" s="1070"/>
      <c r="BU266" s="1070"/>
      <c r="BV266" s="1070"/>
      <c r="BW266" s="1070"/>
      <c r="BX266" s="1070"/>
      <c r="BY266" s="1070"/>
      <c r="BZ266" s="1070"/>
      <c r="CA266" s="1070"/>
      <c r="CB266" s="1070"/>
      <c r="CC266" s="1070"/>
      <c r="CD266" s="1070"/>
      <c r="CE266" s="1070"/>
      <c r="CF266" s="1070"/>
      <c r="CG266" s="1070"/>
      <c r="CH266" s="1070"/>
      <c r="CI266" s="1070"/>
      <c r="CJ266" s="1070"/>
      <c r="CK266" s="1070"/>
      <c r="CL266" s="1070"/>
      <c r="CM266" s="1070"/>
      <c r="CN266" s="1070"/>
      <c r="CO266" s="1070"/>
      <c r="CP266" s="1070"/>
      <c r="CQ266" s="1070"/>
      <c r="CR266" s="1070"/>
      <c r="CS266" s="1070"/>
      <c r="CT266" s="1070"/>
      <c r="CU266" s="1070"/>
      <c r="CV266" s="1070"/>
      <c r="CW266" s="1070"/>
      <c r="CX266" s="1070"/>
      <c r="CY266" s="1070"/>
      <c r="CZ266" s="1070"/>
      <c r="DA266" s="1070"/>
      <c r="DB266" s="1070"/>
      <c r="DC266" s="1070"/>
      <c r="DD266" s="1070"/>
      <c r="DE266" s="1070"/>
      <c r="DF266" s="1070"/>
      <c r="DG266" s="1070"/>
      <c r="DH266" s="1070"/>
      <c r="DI266" s="1070"/>
      <c r="DJ266" s="1070"/>
    </row>
    <row r="267" spans="1:114" s="1136" customFormat="1" ht="27.75" customHeight="1" x14ac:dyDescent="0.25">
      <c r="A267" s="875" t="s">
        <v>565</v>
      </c>
      <c r="B267" s="1397">
        <f>B164</f>
        <v>0</v>
      </c>
      <c r="C267" s="1384"/>
      <c r="D267" s="1384"/>
      <c r="E267" s="1384"/>
      <c r="F267" s="1384"/>
      <c r="G267" s="1384"/>
      <c r="H267" s="1070"/>
      <c r="I267" s="1070"/>
      <c r="J267" s="1315"/>
      <c r="K267" s="1316"/>
      <c r="L267" s="1316"/>
      <c r="M267" s="1315"/>
      <c r="N267" s="1070"/>
      <c r="O267" s="1070"/>
      <c r="P267" s="1070"/>
      <c r="Q267" s="1070"/>
      <c r="R267" s="1070"/>
      <c r="S267" s="1070"/>
      <c r="T267" s="1070"/>
      <c r="U267" s="1070"/>
      <c r="V267" s="1070"/>
      <c r="W267" s="1070"/>
      <c r="X267" s="1070"/>
      <c r="Y267" s="1070"/>
      <c r="Z267" s="1070"/>
      <c r="AA267" s="1070"/>
      <c r="AB267" s="1070"/>
      <c r="AC267" s="1070"/>
      <c r="AD267" s="1070"/>
      <c r="AE267" s="1070"/>
      <c r="AF267" s="1070"/>
      <c r="AG267" s="1070"/>
      <c r="AH267" s="1070"/>
      <c r="AI267" s="1070"/>
      <c r="AJ267" s="1070"/>
      <c r="AK267" s="1070"/>
      <c r="AL267" s="1070"/>
      <c r="AM267" s="1070"/>
      <c r="AN267" s="1070"/>
      <c r="AO267" s="1070"/>
      <c r="AP267" s="1070"/>
      <c r="AQ267" s="1070"/>
      <c r="AR267" s="1070"/>
      <c r="AS267" s="1070"/>
      <c r="AT267" s="1070"/>
      <c r="AU267" s="1070"/>
      <c r="AV267" s="1070"/>
      <c r="AW267" s="1070"/>
      <c r="AX267" s="1070"/>
      <c r="AY267" s="1070"/>
      <c r="AZ267" s="1070"/>
      <c r="BA267" s="1070"/>
      <c r="BB267" s="1070"/>
      <c r="BC267" s="1070"/>
      <c r="BD267" s="1070"/>
      <c r="BE267" s="1070"/>
      <c r="BF267" s="1070"/>
      <c r="BG267" s="1070"/>
      <c r="BH267" s="1070"/>
      <c r="BI267" s="1070"/>
      <c r="BJ267" s="1070"/>
      <c r="BK267" s="1070"/>
      <c r="BL267" s="1070"/>
      <c r="BM267" s="1070"/>
      <c r="BN267" s="1070"/>
      <c r="BO267" s="1070"/>
      <c r="BP267" s="1070"/>
      <c r="BQ267" s="1070"/>
      <c r="BR267" s="1070"/>
      <c r="BS267" s="1070"/>
      <c r="BT267" s="1070"/>
      <c r="BU267" s="1070"/>
      <c r="BV267" s="1070"/>
      <c r="BW267" s="1070"/>
      <c r="BX267" s="1070"/>
      <c r="BY267" s="1070"/>
      <c r="BZ267" s="1070"/>
      <c r="CA267" s="1070"/>
      <c r="CB267" s="1070"/>
      <c r="CC267" s="1070"/>
      <c r="CD267" s="1070"/>
      <c r="CE267" s="1070"/>
      <c r="CF267" s="1070"/>
      <c r="CG267" s="1070"/>
      <c r="CH267" s="1070"/>
      <c r="CI267" s="1070"/>
      <c r="CJ267" s="1070"/>
      <c r="CK267" s="1070"/>
      <c r="CL267" s="1070"/>
      <c r="CM267" s="1070"/>
      <c r="CN267" s="1070"/>
      <c r="CO267" s="1070"/>
      <c r="CP267" s="1070"/>
      <c r="CQ267" s="1070"/>
      <c r="CR267" s="1070"/>
      <c r="CS267" s="1070"/>
      <c r="CT267" s="1070"/>
      <c r="CU267" s="1070"/>
      <c r="CV267" s="1070"/>
      <c r="CW267" s="1070"/>
      <c r="CX267" s="1070"/>
      <c r="CY267" s="1070"/>
      <c r="CZ267" s="1070"/>
      <c r="DA267" s="1070"/>
      <c r="DB267" s="1070"/>
      <c r="DC267" s="1070"/>
      <c r="DD267" s="1070"/>
      <c r="DE267" s="1070"/>
      <c r="DF267" s="1070"/>
      <c r="DG267" s="1070"/>
      <c r="DH267" s="1070"/>
      <c r="DI267" s="1070"/>
      <c r="DJ267" s="1070"/>
    </row>
    <row r="268" spans="1:114" s="1136" customFormat="1" ht="27.75" customHeight="1" x14ac:dyDescent="0.25">
      <c r="A268" s="875" t="s">
        <v>2005</v>
      </c>
      <c r="B268" s="1397">
        <f>B165</f>
        <v>0</v>
      </c>
      <c r="C268" s="1384"/>
      <c r="D268" s="1384"/>
      <c r="E268" s="1384"/>
      <c r="F268" s="1384"/>
      <c r="G268" s="1384"/>
      <c r="H268" s="1070"/>
      <c r="I268" s="1070"/>
      <c r="J268" s="1315"/>
      <c r="K268" s="1316"/>
      <c r="L268" s="1316"/>
      <c r="M268" s="1315"/>
      <c r="N268" s="1070"/>
      <c r="O268" s="1070"/>
      <c r="P268" s="1070"/>
      <c r="Q268" s="1070"/>
      <c r="R268" s="1070"/>
      <c r="S268" s="1070"/>
      <c r="T268" s="1070"/>
      <c r="U268" s="1070"/>
      <c r="V268" s="1070"/>
      <c r="W268" s="1070"/>
      <c r="X268" s="1070"/>
      <c r="Y268" s="1070"/>
      <c r="Z268" s="1070"/>
      <c r="AA268" s="1070"/>
      <c r="AB268" s="1070"/>
      <c r="AC268" s="1070"/>
      <c r="AD268" s="1070"/>
      <c r="AE268" s="1070"/>
      <c r="AF268" s="1070"/>
      <c r="AG268" s="1070"/>
      <c r="AH268" s="1070"/>
      <c r="AI268" s="1070"/>
      <c r="AJ268" s="1070"/>
      <c r="AK268" s="1070"/>
      <c r="AL268" s="1070"/>
      <c r="AM268" s="1070"/>
      <c r="AN268" s="1070"/>
      <c r="AO268" s="1070"/>
      <c r="AP268" s="1070"/>
      <c r="AQ268" s="1070"/>
      <c r="AR268" s="1070"/>
      <c r="AS268" s="1070"/>
      <c r="AT268" s="1070"/>
      <c r="AU268" s="1070"/>
      <c r="AV268" s="1070"/>
      <c r="AW268" s="1070"/>
      <c r="AX268" s="1070"/>
      <c r="AY268" s="1070"/>
      <c r="AZ268" s="1070"/>
      <c r="BA268" s="1070"/>
      <c r="BB268" s="1070"/>
      <c r="BC268" s="1070"/>
      <c r="BD268" s="1070"/>
      <c r="BE268" s="1070"/>
      <c r="BF268" s="1070"/>
      <c r="BG268" s="1070"/>
      <c r="BH268" s="1070"/>
      <c r="BI268" s="1070"/>
      <c r="BJ268" s="1070"/>
      <c r="BK268" s="1070"/>
      <c r="BL268" s="1070"/>
      <c r="BM268" s="1070"/>
      <c r="BN268" s="1070"/>
      <c r="BO268" s="1070"/>
      <c r="BP268" s="1070"/>
      <c r="BQ268" s="1070"/>
      <c r="BR268" s="1070"/>
      <c r="BS268" s="1070"/>
      <c r="BT268" s="1070"/>
      <c r="BU268" s="1070"/>
      <c r="BV268" s="1070"/>
      <c r="BW268" s="1070"/>
      <c r="BX268" s="1070"/>
      <c r="BY268" s="1070"/>
      <c r="BZ268" s="1070"/>
      <c r="CA268" s="1070"/>
      <c r="CB268" s="1070"/>
      <c r="CC268" s="1070"/>
      <c r="CD268" s="1070"/>
      <c r="CE268" s="1070"/>
      <c r="CF268" s="1070"/>
      <c r="CG268" s="1070"/>
      <c r="CH268" s="1070"/>
      <c r="CI268" s="1070"/>
      <c r="CJ268" s="1070"/>
      <c r="CK268" s="1070"/>
      <c r="CL268" s="1070"/>
      <c r="CM268" s="1070"/>
      <c r="CN268" s="1070"/>
      <c r="CO268" s="1070"/>
      <c r="CP268" s="1070"/>
      <c r="CQ268" s="1070"/>
      <c r="CR268" s="1070"/>
      <c r="CS268" s="1070"/>
      <c r="CT268" s="1070"/>
      <c r="CU268" s="1070"/>
      <c r="CV268" s="1070"/>
      <c r="CW268" s="1070"/>
      <c r="CX268" s="1070"/>
      <c r="CY268" s="1070"/>
      <c r="CZ268" s="1070"/>
      <c r="DA268" s="1070"/>
      <c r="DB268" s="1070"/>
      <c r="DC268" s="1070"/>
      <c r="DD268" s="1070"/>
      <c r="DE268" s="1070"/>
      <c r="DF268" s="1070"/>
      <c r="DG268" s="1070"/>
      <c r="DH268" s="1070"/>
      <c r="DI268" s="1070"/>
      <c r="DJ268" s="1070"/>
    </row>
    <row r="269" spans="1:114" s="1136" customFormat="1" ht="27.75" customHeight="1" x14ac:dyDescent="0.2">
      <c r="C269" s="1384"/>
      <c r="D269" s="1384"/>
      <c r="E269" s="1384"/>
      <c r="F269" s="1384"/>
      <c r="G269" s="1384"/>
      <c r="H269" s="1070"/>
      <c r="I269" s="1070"/>
      <c r="J269" s="1315"/>
      <c r="K269" s="1316"/>
      <c r="L269" s="1316"/>
      <c r="M269" s="1315"/>
      <c r="N269" s="1070"/>
      <c r="O269" s="1070"/>
      <c r="P269" s="1070"/>
      <c r="Q269" s="1070"/>
      <c r="R269" s="1070"/>
      <c r="S269" s="1070"/>
      <c r="T269" s="1070"/>
      <c r="U269" s="1070"/>
      <c r="V269" s="1070"/>
      <c r="W269" s="1070"/>
      <c r="X269" s="1070"/>
      <c r="Y269" s="1070"/>
      <c r="Z269" s="1070"/>
      <c r="AA269" s="1070"/>
      <c r="AB269" s="1070"/>
      <c r="AC269" s="1070"/>
      <c r="AD269" s="1070"/>
      <c r="AE269" s="1070"/>
      <c r="AF269" s="1070"/>
      <c r="AG269" s="1070"/>
      <c r="AH269" s="1070"/>
      <c r="AI269" s="1070"/>
      <c r="AJ269" s="1070"/>
      <c r="AK269" s="1070"/>
      <c r="AL269" s="1070"/>
      <c r="AM269" s="1070"/>
      <c r="AN269" s="1070"/>
      <c r="AO269" s="1070"/>
      <c r="AP269" s="1070"/>
      <c r="AQ269" s="1070"/>
      <c r="AR269" s="1070"/>
      <c r="AS269" s="1070"/>
      <c r="AT269" s="1070"/>
      <c r="AU269" s="1070"/>
      <c r="AV269" s="1070"/>
      <c r="AW269" s="1070"/>
      <c r="AX269" s="1070"/>
      <c r="AY269" s="1070"/>
      <c r="AZ269" s="1070"/>
      <c r="BA269" s="1070"/>
      <c r="BB269" s="1070"/>
      <c r="BC269" s="1070"/>
      <c r="BD269" s="1070"/>
      <c r="BE269" s="1070"/>
      <c r="BF269" s="1070"/>
      <c r="BG269" s="1070"/>
      <c r="BH269" s="1070"/>
      <c r="BI269" s="1070"/>
      <c r="BJ269" s="1070"/>
      <c r="BK269" s="1070"/>
      <c r="BL269" s="1070"/>
      <c r="BM269" s="1070"/>
      <c r="BN269" s="1070"/>
      <c r="BO269" s="1070"/>
      <c r="BP269" s="1070"/>
      <c r="BQ269" s="1070"/>
      <c r="BR269" s="1070"/>
      <c r="BS269" s="1070"/>
      <c r="BT269" s="1070"/>
      <c r="BU269" s="1070"/>
      <c r="BV269" s="1070"/>
      <c r="BW269" s="1070"/>
      <c r="BX269" s="1070"/>
      <c r="BY269" s="1070"/>
      <c r="BZ269" s="1070"/>
      <c r="CA269" s="1070"/>
      <c r="CB269" s="1070"/>
      <c r="CC269" s="1070"/>
      <c r="CD269" s="1070"/>
      <c r="CE269" s="1070"/>
      <c r="CF269" s="1070"/>
      <c r="CG269" s="1070"/>
      <c r="CH269" s="1070"/>
      <c r="CI269" s="1070"/>
      <c r="CJ269" s="1070"/>
      <c r="CK269" s="1070"/>
      <c r="CL269" s="1070"/>
      <c r="CM269" s="1070"/>
      <c r="CN269" s="1070"/>
      <c r="CO269" s="1070"/>
      <c r="CP269" s="1070"/>
      <c r="CQ269" s="1070"/>
      <c r="CR269" s="1070"/>
      <c r="CS269" s="1070"/>
      <c r="CT269" s="1070"/>
      <c r="CU269" s="1070"/>
      <c r="CV269" s="1070"/>
      <c r="CW269" s="1070"/>
      <c r="CX269" s="1070"/>
      <c r="CY269" s="1070"/>
      <c r="CZ269" s="1070"/>
      <c r="DA269" s="1070"/>
      <c r="DB269" s="1070"/>
      <c r="DC269" s="1070"/>
      <c r="DD269" s="1070"/>
      <c r="DE269" s="1070"/>
      <c r="DF269" s="1070"/>
      <c r="DG269" s="1070"/>
      <c r="DH269" s="1070"/>
      <c r="DI269" s="1070"/>
      <c r="DJ269" s="1070"/>
    </row>
    <row r="270" spans="1:114" s="1136" customFormat="1" ht="27.75" customHeight="1" x14ac:dyDescent="0.25">
      <c r="A270" s="875" t="s">
        <v>3262</v>
      </c>
      <c r="B270" s="1397">
        <f t="shared" ref="B270:B276" si="0">B209</f>
        <v>2.2000000000000002</v>
      </c>
      <c r="C270" s="1384"/>
      <c r="D270" s="1384"/>
      <c r="E270" s="1384"/>
      <c r="F270" s="1384"/>
      <c r="G270" s="1384"/>
      <c r="H270" s="1070"/>
      <c r="I270" s="1070"/>
      <c r="J270" s="1315"/>
      <c r="K270" s="1316"/>
      <c r="L270" s="1316"/>
      <c r="M270" s="1315"/>
      <c r="N270" s="1070"/>
      <c r="O270" s="1070"/>
      <c r="P270" s="1070"/>
      <c r="Q270" s="1070"/>
      <c r="R270" s="1070"/>
      <c r="S270" s="1070"/>
      <c r="T270" s="1070"/>
      <c r="U270" s="1070"/>
      <c r="V270" s="1070"/>
      <c r="W270" s="1070"/>
      <c r="X270" s="1070"/>
      <c r="Y270" s="1070"/>
      <c r="Z270" s="1070"/>
      <c r="AA270" s="1070"/>
      <c r="AB270" s="1070"/>
      <c r="AC270" s="1070"/>
      <c r="AD270" s="1070"/>
      <c r="AE270" s="1070"/>
      <c r="AF270" s="1070"/>
      <c r="AG270" s="1070"/>
      <c r="AH270" s="1070"/>
      <c r="AI270" s="1070"/>
      <c r="AJ270" s="1070"/>
      <c r="AK270" s="1070"/>
      <c r="AL270" s="1070"/>
      <c r="AM270" s="1070"/>
      <c r="AN270" s="1070"/>
      <c r="AO270" s="1070"/>
      <c r="AP270" s="1070"/>
      <c r="AQ270" s="1070"/>
      <c r="AR270" s="1070"/>
      <c r="AS270" s="1070"/>
      <c r="AT270" s="1070"/>
      <c r="AU270" s="1070"/>
      <c r="AV270" s="1070"/>
      <c r="AW270" s="1070"/>
      <c r="AX270" s="1070"/>
      <c r="AY270" s="1070"/>
      <c r="AZ270" s="1070"/>
      <c r="BA270" s="1070"/>
      <c r="BB270" s="1070"/>
      <c r="BC270" s="1070"/>
      <c r="BD270" s="1070"/>
      <c r="BE270" s="1070"/>
      <c r="BF270" s="1070"/>
      <c r="BG270" s="1070"/>
      <c r="BH270" s="1070"/>
      <c r="BI270" s="1070"/>
      <c r="BJ270" s="1070"/>
      <c r="BK270" s="1070"/>
      <c r="BL270" s="1070"/>
      <c r="BM270" s="1070"/>
      <c r="BN270" s="1070"/>
      <c r="BO270" s="1070"/>
      <c r="BP270" s="1070"/>
      <c r="BQ270" s="1070"/>
      <c r="BR270" s="1070"/>
      <c r="BS270" s="1070"/>
      <c r="BT270" s="1070"/>
      <c r="BU270" s="1070"/>
      <c r="BV270" s="1070"/>
      <c r="BW270" s="1070"/>
      <c r="BX270" s="1070"/>
      <c r="BY270" s="1070"/>
      <c r="BZ270" s="1070"/>
      <c r="CA270" s="1070"/>
      <c r="CB270" s="1070"/>
      <c r="CC270" s="1070"/>
      <c r="CD270" s="1070"/>
      <c r="CE270" s="1070"/>
      <c r="CF270" s="1070"/>
      <c r="CG270" s="1070"/>
      <c r="CH270" s="1070"/>
      <c r="CI270" s="1070"/>
      <c r="CJ270" s="1070"/>
      <c r="CK270" s="1070"/>
      <c r="CL270" s="1070"/>
      <c r="CM270" s="1070"/>
      <c r="CN270" s="1070"/>
      <c r="CO270" s="1070"/>
      <c r="CP270" s="1070"/>
      <c r="CQ270" s="1070"/>
      <c r="CR270" s="1070"/>
      <c r="CS270" s="1070"/>
      <c r="CT270" s="1070"/>
      <c r="CU270" s="1070"/>
      <c r="CV270" s="1070"/>
      <c r="CW270" s="1070"/>
      <c r="CX270" s="1070"/>
      <c r="CY270" s="1070"/>
      <c r="CZ270" s="1070"/>
      <c r="DA270" s="1070"/>
      <c r="DB270" s="1070"/>
      <c r="DC270" s="1070"/>
      <c r="DD270" s="1070"/>
      <c r="DE270" s="1070"/>
      <c r="DF270" s="1070"/>
      <c r="DG270" s="1070"/>
      <c r="DH270" s="1070"/>
      <c r="DI270" s="1070"/>
      <c r="DJ270" s="1070"/>
    </row>
    <row r="271" spans="1:114" s="1136" customFormat="1" ht="27.75" customHeight="1" x14ac:dyDescent="0.25">
      <c r="A271" s="875" t="s">
        <v>2668</v>
      </c>
      <c r="B271" s="1397">
        <f t="shared" si="0"/>
        <v>0.8</v>
      </c>
      <c r="C271" s="1384"/>
      <c r="D271" s="1384"/>
      <c r="E271" s="1384"/>
      <c r="F271" s="1384"/>
      <c r="G271" s="1384"/>
      <c r="H271" s="1070"/>
      <c r="I271" s="1070"/>
      <c r="J271" s="1315"/>
      <c r="K271" s="1316"/>
      <c r="L271" s="1316"/>
      <c r="M271" s="1315"/>
      <c r="N271" s="1070"/>
      <c r="O271" s="1070"/>
      <c r="P271" s="1070"/>
      <c r="Q271" s="1070"/>
      <c r="R271" s="1070"/>
      <c r="S271" s="1070"/>
      <c r="T271" s="1070"/>
      <c r="U271" s="1070"/>
      <c r="V271" s="1070"/>
      <c r="W271" s="1070"/>
      <c r="X271" s="1070"/>
      <c r="Y271" s="1070"/>
      <c r="Z271" s="1070"/>
      <c r="AA271" s="1070"/>
      <c r="AB271" s="1070"/>
      <c r="AC271" s="1070"/>
      <c r="AD271" s="1070"/>
      <c r="AE271" s="1070"/>
      <c r="AF271" s="1070"/>
      <c r="AG271" s="1070"/>
      <c r="AH271" s="1070"/>
      <c r="AI271" s="1070"/>
      <c r="AJ271" s="1070"/>
      <c r="AK271" s="1070"/>
      <c r="AL271" s="1070"/>
      <c r="AM271" s="1070"/>
      <c r="AN271" s="1070"/>
      <c r="AO271" s="1070"/>
      <c r="AP271" s="1070"/>
      <c r="AQ271" s="1070"/>
      <c r="AR271" s="1070"/>
      <c r="AS271" s="1070"/>
      <c r="AT271" s="1070"/>
      <c r="AU271" s="1070"/>
      <c r="AV271" s="1070"/>
      <c r="AW271" s="1070"/>
      <c r="AX271" s="1070"/>
      <c r="AY271" s="1070"/>
      <c r="AZ271" s="1070"/>
      <c r="BA271" s="1070"/>
      <c r="BB271" s="1070"/>
      <c r="BC271" s="1070"/>
      <c r="BD271" s="1070"/>
      <c r="BE271" s="1070"/>
      <c r="BF271" s="1070"/>
      <c r="BG271" s="1070"/>
      <c r="BH271" s="1070"/>
      <c r="BI271" s="1070"/>
      <c r="BJ271" s="1070"/>
      <c r="BK271" s="1070"/>
      <c r="BL271" s="1070"/>
      <c r="BM271" s="1070"/>
      <c r="BN271" s="1070"/>
      <c r="BO271" s="1070"/>
      <c r="BP271" s="1070"/>
      <c r="BQ271" s="1070"/>
      <c r="BR271" s="1070"/>
      <c r="BS271" s="1070"/>
      <c r="BT271" s="1070"/>
      <c r="BU271" s="1070"/>
      <c r="BV271" s="1070"/>
      <c r="BW271" s="1070"/>
      <c r="BX271" s="1070"/>
      <c r="BY271" s="1070"/>
      <c r="BZ271" s="1070"/>
      <c r="CA271" s="1070"/>
      <c r="CB271" s="1070"/>
      <c r="CC271" s="1070"/>
      <c r="CD271" s="1070"/>
      <c r="CE271" s="1070"/>
      <c r="CF271" s="1070"/>
      <c r="CG271" s="1070"/>
      <c r="CH271" s="1070"/>
      <c r="CI271" s="1070"/>
      <c r="CJ271" s="1070"/>
      <c r="CK271" s="1070"/>
      <c r="CL271" s="1070"/>
      <c r="CM271" s="1070"/>
      <c r="CN271" s="1070"/>
      <c r="CO271" s="1070"/>
      <c r="CP271" s="1070"/>
      <c r="CQ271" s="1070"/>
      <c r="CR271" s="1070"/>
      <c r="CS271" s="1070"/>
      <c r="CT271" s="1070"/>
      <c r="CU271" s="1070"/>
      <c r="CV271" s="1070"/>
      <c r="CW271" s="1070"/>
      <c r="CX271" s="1070"/>
      <c r="CY271" s="1070"/>
      <c r="CZ271" s="1070"/>
      <c r="DA271" s="1070"/>
      <c r="DB271" s="1070"/>
      <c r="DC271" s="1070"/>
      <c r="DD271" s="1070"/>
      <c r="DE271" s="1070"/>
      <c r="DF271" s="1070"/>
      <c r="DG271" s="1070"/>
      <c r="DH271" s="1070"/>
      <c r="DI271" s="1070"/>
      <c r="DJ271" s="1070"/>
    </row>
    <row r="272" spans="1:114" s="1136" customFormat="1" ht="27.75" customHeight="1" x14ac:dyDescent="0.25">
      <c r="A272" s="875" t="s">
        <v>1026</v>
      </c>
      <c r="B272" s="1396">
        <f t="shared" si="0"/>
        <v>5</v>
      </c>
      <c r="C272" s="1384"/>
      <c r="D272" s="1384"/>
      <c r="E272" s="1384"/>
      <c r="F272" s="1384"/>
      <c r="G272" s="1384"/>
      <c r="H272" s="1070"/>
      <c r="I272" s="1070"/>
      <c r="J272" s="1315"/>
      <c r="K272" s="1316"/>
      <c r="L272" s="1316"/>
      <c r="M272" s="1315"/>
      <c r="N272" s="1070"/>
      <c r="O272" s="1070"/>
      <c r="P272" s="1070"/>
      <c r="Q272" s="1070"/>
      <c r="R272" s="1070"/>
      <c r="S272" s="1070"/>
      <c r="T272" s="1070"/>
      <c r="U272" s="1070"/>
      <c r="V272" s="1070"/>
      <c r="W272" s="1070"/>
      <c r="X272" s="1070"/>
      <c r="Y272" s="1070"/>
      <c r="Z272" s="1070"/>
      <c r="AA272" s="1070"/>
      <c r="AB272" s="1070"/>
      <c r="AC272" s="1070"/>
      <c r="AD272" s="1070"/>
      <c r="AE272" s="1070"/>
      <c r="AF272" s="1070"/>
      <c r="AG272" s="1070"/>
      <c r="AH272" s="1070"/>
      <c r="AI272" s="1070"/>
      <c r="AJ272" s="1070"/>
      <c r="AK272" s="1070"/>
      <c r="AL272" s="1070"/>
      <c r="AM272" s="1070"/>
      <c r="AN272" s="1070"/>
      <c r="AO272" s="1070"/>
      <c r="AP272" s="1070"/>
      <c r="AQ272" s="1070"/>
      <c r="AR272" s="1070"/>
      <c r="AS272" s="1070"/>
      <c r="AT272" s="1070"/>
      <c r="AU272" s="1070"/>
      <c r="AV272" s="1070"/>
      <c r="AW272" s="1070"/>
      <c r="AX272" s="1070"/>
      <c r="AY272" s="1070"/>
      <c r="AZ272" s="1070"/>
      <c r="BA272" s="1070"/>
      <c r="BB272" s="1070"/>
      <c r="BC272" s="1070"/>
      <c r="BD272" s="1070"/>
      <c r="BE272" s="1070"/>
      <c r="BF272" s="1070"/>
      <c r="BG272" s="1070"/>
      <c r="BH272" s="1070"/>
      <c r="BI272" s="1070"/>
      <c r="BJ272" s="1070"/>
      <c r="BK272" s="1070"/>
      <c r="BL272" s="1070"/>
      <c r="BM272" s="1070"/>
      <c r="BN272" s="1070"/>
      <c r="BO272" s="1070"/>
      <c r="BP272" s="1070"/>
      <c r="BQ272" s="1070"/>
      <c r="BR272" s="1070"/>
      <c r="BS272" s="1070"/>
      <c r="BT272" s="1070"/>
      <c r="BU272" s="1070"/>
      <c r="BV272" s="1070"/>
      <c r="BW272" s="1070"/>
      <c r="BX272" s="1070"/>
      <c r="BY272" s="1070"/>
      <c r="BZ272" s="1070"/>
      <c r="CA272" s="1070"/>
      <c r="CB272" s="1070"/>
      <c r="CC272" s="1070"/>
      <c r="CD272" s="1070"/>
      <c r="CE272" s="1070"/>
      <c r="CF272" s="1070"/>
      <c r="CG272" s="1070"/>
      <c r="CH272" s="1070"/>
      <c r="CI272" s="1070"/>
      <c r="CJ272" s="1070"/>
      <c r="CK272" s="1070"/>
      <c r="CL272" s="1070"/>
      <c r="CM272" s="1070"/>
      <c r="CN272" s="1070"/>
      <c r="CO272" s="1070"/>
      <c r="CP272" s="1070"/>
      <c r="CQ272" s="1070"/>
      <c r="CR272" s="1070"/>
      <c r="CS272" s="1070"/>
      <c r="CT272" s="1070"/>
      <c r="CU272" s="1070"/>
      <c r="CV272" s="1070"/>
      <c r="CW272" s="1070"/>
      <c r="CX272" s="1070"/>
      <c r="CY272" s="1070"/>
      <c r="CZ272" s="1070"/>
      <c r="DA272" s="1070"/>
      <c r="DB272" s="1070"/>
      <c r="DC272" s="1070"/>
      <c r="DD272" s="1070"/>
      <c r="DE272" s="1070"/>
      <c r="DF272" s="1070"/>
      <c r="DG272" s="1070"/>
      <c r="DH272" s="1070"/>
      <c r="DI272" s="1070"/>
      <c r="DJ272" s="1070"/>
    </row>
    <row r="273" spans="1:114" s="1136" customFormat="1" ht="27.75" customHeight="1" x14ac:dyDescent="0.25">
      <c r="A273" s="875" t="s">
        <v>3263</v>
      </c>
      <c r="B273" s="1396">
        <f t="shared" si="0"/>
        <v>0</v>
      </c>
      <c r="C273" s="1384"/>
      <c r="D273" s="1384"/>
      <c r="E273" s="1384"/>
      <c r="F273" s="1384"/>
      <c r="G273" s="1384"/>
      <c r="H273" s="1070"/>
      <c r="I273" s="1070"/>
      <c r="J273" s="1315"/>
      <c r="K273" s="1316"/>
      <c r="L273" s="1316"/>
      <c r="M273" s="1315"/>
      <c r="N273" s="1070"/>
      <c r="O273" s="1070"/>
      <c r="P273" s="1070"/>
      <c r="Q273" s="1070"/>
      <c r="R273" s="1070"/>
      <c r="S273" s="1070"/>
      <c r="T273" s="1070"/>
      <c r="U273" s="1070"/>
      <c r="V273" s="1070"/>
      <c r="W273" s="1070"/>
      <c r="X273" s="1070"/>
      <c r="Y273" s="1070"/>
      <c r="Z273" s="1070"/>
      <c r="AA273" s="1070"/>
      <c r="AB273" s="1070"/>
      <c r="AC273" s="1070"/>
      <c r="AD273" s="1070"/>
      <c r="AE273" s="1070"/>
      <c r="AF273" s="1070"/>
      <c r="AG273" s="1070"/>
      <c r="AH273" s="1070"/>
      <c r="AI273" s="1070"/>
      <c r="AJ273" s="1070"/>
      <c r="AK273" s="1070"/>
      <c r="AL273" s="1070"/>
      <c r="AM273" s="1070"/>
      <c r="AN273" s="1070"/>
      <c r="AO273" s="1070"/>
      <c r="AP273" s="1070"/>
      <c r="AQ273" s="1070"/>
      <c r="AR273" s="1070"/>
      <c r="AS273" s="1070"/>
      <c r="AT273" s="1070"/>
      <c r="AU273" s="1070"/>
      <c r="AV273" s="1070"/>
      <c r="AW273" s="1070"/>
      <c r="AX273" s="1070"/>
      <c r="AY273" s="1070"/>
      <c r="AZ273" s="1070"/>
      <c r="BA273" s="1070"/>
      <c r="BB273" s="1070"/>
      <c r="BC273" s="1070"/>
      <c r="BD273" s="1070"/>
      <c r="BE273" s="1070"/>
      <c r="BF273" s="1070"/>
      <c r="BG273" s="1070"/>
      <c r="BH273" s="1070"/>
      <c r="BI273" s="1070"/>
      <c r="BJ273" s="1070"/>
      <c r="BK273" s="1070"/>
      <c r="BL273" s="1070"/>
      <c r="BM273" s="1070"/>
      <c r="BN273" s="1070"/>
      <c r="BO273" s="1070"/>
      <c r="BP273" s="1070"/>
      <c r="BQ273" s="1070"/>
      <c r="BR273" s="1070"/>
      <c r="BS273" s="1070"/>
      <c r="BT273" s="1070"/>
      <c r="BU273" s="1070"/>
      <c r="BV273" s="1070"/>
      <c r="BW273" s="1070"/>
      <c r="BX273" s="1070"/>
      <c r="BY273" s="1070"/>
      <c r="BZ273" s="1070"/>
      <c r="CA273" s="1070"/>
      <c r="CB273" s="1070"/>
      <c r="CC273" s="1070"/>
      <c r="CD273" s="1070"/>
      <c r="CE273" s="1070"/>
      <c r="CF273" s="1070"/>
      <c r="CG273" s="1070"/>
      <c r="CH273" s="1070"/>
      <c r="CI273" s="1070"/>
      <c r="CJ273" s="1070"/>
      <c r="CK273" s="1070"/>
      <c r="CL273" s="1070"/>
      <c r="CM273" s="1070"/>
      <c r="CN273" s="1070"/>
      <c r="CO273" s="1070"/>
      <c r="CP273" s="1070"/>
      <c r="CQ273" s="1070"/>
      <c r="CR273" s="1070"/>
      <c r="CS273" s="1070"/>
      <c r="CT273" s="1070"/>
      <c r="CU273" s="1070"/>
      <c r="CV273" s="1070"/>
      <c r="CW273" s="1070"/>
      <c r="CX273" s="1070"/>
      <c r="CY273" s="1070"/>
      <c r="CZ273" s="1070"/>
      <c r="DA273" s="1070"/>
      <c r="DB273" s="1070"/>
      <c r="DC273" s="1070"/>
      <c r="DD273" s="1070"/>
      <c r="DE273" s="1070"/>
      <c r="DF273" s="1070"/>
      <c r="DG273" s="1070"/>
      <c r="DH273" s="1070"/>
      <c r="DI273" s="1070"/>
      <c r="DJ273" s="1070"/>
    </row>
    <row r="274" spans="1:114" s="1136" customFormat="1" ht="27.75" customHeight="1" x14ac:dyDescent="0.25">
      <c r="A274" s="875" t="s">
        <v>3264</v>
      </c>
      <c r="B274" s="1398" t="str">
        <f t="shared" si="0"/>
        <v/>
      </c>
      <c r="C274" s="1384"/>
      <c r="D274" s="1384"/>
      <c r="E274" s="1384"/>
      <c r="F274" s="1384"/>
      <c r="G274" s="1384"/>
      <c r="H274" s="1070"/>
      <c r="I274" s="1070"/>
      <c r="J274" s="1315"/>
      <c r="K274" s="1316"/>
      <c r="L274" s="1316"/>
      <c r="M274" s="1315"/>
      <c r="N274" s="1070"/>
      <c r="O274" s="1070"/>
      <c r="P274" s="1070"/>
      <c r="Q274" s="1070"/>
      <c r="R274" s="1070"/>
      <c r="S274" s="1070"/>
      <c r="T274" s="1070"/>
      <c r="U274" s="1070"/>
      <c r="V274" s="1070"/>
      <c r="W274" s="1070"/>
      <c r="X274" s="1070"/>
      <c r="Y274" s="1070"/>
      <c r="Z274" s="1070"/>
      <c r="AA274" s="1070"/>
      <c r="AB274" s="1070"/>
      <c r="AC274" s="1070"/>
      <c r="AD274" s="1070"/>
      <c r="AE274" s="1070"/>
      <c r="AF274" s="1070"/>
      <c r="AG274" s="1070"/>
      <c r="AH274" s="1070"/>
      <c r="AI274" s="1070"/>
      <c r="AJ274" s="1070"/>
      <c r="AK274" s="1070"/>
      <c r="AL274" s="1070"/>
      <c r="AM274" s="1070"/>
      <c r="AN274" s="1070"/>
      <c r="AO274" s="1070"/>
      <c r="AP274" s="1070"/>
      <c r="AQ274" s="1070"/>
      <c r="AR274" s="1070"/>
      <c r="AS274" s="1070"/>
      <c r="AT274" s="1070"/>
      <c r="AU274" s="1070"/>
      <c r="AV274" s="1070"/>
      <c r="AW274" s="1070"/>
      <c r="AX274" s="1070"/>
      <c r="AY274" s="1070"/>
      <c r="AZ274" s="1070"/>
      <c r="BA274" s="1070"/>
      <c r="BB274" s="1070"/>
      <c r="BC274" s="1070"/>
      <c r="BD274" s="1070"/>
      <c r="BE274" s="1070"/>
      <c r="BF274" s="1070"/>
      <c r="BG274" s="1070"/>
      <c r="BH274" s="1070"/>
      <c r="BI274" s="1070"/>
      <c r="BJ274" s="1070"/>
      <c r="BK274" s="1070"/>
      <c r="BL274" s="1070"/>
      <c r="BM274" s="1070"/>
      <c r="BN274" s="1070"/>
      <c r="BO274" s="1070"/>
      <c r="BP274" s="1070"/>
      <c r="BQ274" s="1070"/>
      <c r="BR274" s="1070"/>
      <c r="BS274" s="1070"/>
      <c r="BT274" s="1070"/>
      <c r="BU274" s="1070"/>
      <c r="BV274" s="1070"/>
      <c r="BW274" s="1070"/>
      <c r="BX274" s="1070"/>
      <c r="BY274" s="1070"/>
      <c r="BZ274" s="1070"/>
      <c r="CA274" s="1070"/>
      <c r="CB274" s="1070"/>
      <c r="CC274" s="1070"/>
      <c r="CD274" s="1070"/>
      <c r="CE274" s="1070"/>
      <c r="CF274" s="1070"/>
      <c r="CG274" s="1070"/>
      <c r="CH274" s="1070"/>
      <c r="CI274" s="1070"/>
      <c r="CJ274" s="1070"/>
      <c r="CK274" s="1070"/>
      <c r="CL274" s="1070"/>
      <c r="CM274" s="1070"/>
      <c r="CN274" s="1070"/>
      <c r="CO274" s="1070"/>
      <c r="CP274" s="1070"/>
      <c r="CQ274" s="1070"/>
      <c r="CR274" s="1070"/>
      <c r="CS274" s="1070"/>
      <c r="CT274" s="1070"/>
      <c r="CU274" s="1070"/>
      <c r="CV274" s="1070"/>
      <c r="CW274" s="1070"/>
      <c r="CX274" s="1070"/>
      <c r="CY274" s="1070"/>
      <c r="CZ274" s="1070"/>
      <c r="DA274" s="1070"/>
      <c r="DB274" s="1070"/>
      <c r="DC274" s="1070"/>
      <c r="DD274" s="1070"/>
      <c r="DE274" s="1070"/>
      <c r="DF274" s="1070"/>
      <c r="DG274" s="1070"/>
      <c r="DH274" s="1070"/>
      <c r="DI274" s="1070"/>
      <c r="DJ274" s="1070"/>
    </row>
    <row r="275" spans="1:114" s="1136" customFormat="1" ht="27.75" customHeight="1" x14ac:dyDescent="0.25">
      <c r="A275" s="875" t="s">
        <v>4127</v>
      </c>
      <c r="B275" s="1396" t="str">
        <f t="shared" si="0"/>
        <v/>
      </c>
      <c r="C275" s="1384"/>
      <c r="D275" s="1384"/>
      <c r="E275" s="1384"/>
      <c r="F275" s="1384"/>
      <c r="G275" s="1384"/>
      <c r="H275" s="1070"/>
      <c r="I275" s="1070"/>
      <c r="J275" s="1315"/>
      <c r="K275" s="1316"/>
      <c r="L275" s="1316"/>
      <c r="M275" s="1315"/>
      <c r="N275" s="1070"/>
      <c r="O275" s="1070"/>
      <c r="P275" s="1070"/>
      <c r="Q275" s="1070"/>
      <c r="R275" s="1070"/>
      <c r="S275" s="1070"/>
      <c r="T275" s="1070"/>
      <c r="U275" s="1070"/>
      <c r="V275" s="1070"/>
      <c r="W275" s="1070"/>
      <c r="X275" s="1070"/>
      <c r="Y275" s="1070"/>
      <c r="Z275" s="1070"/>
      <c r="AA275" s="1070"/>
      <c r="AB275" s="1070"/>
      <c r="AC275" s="1070"/>
      <c r="AD275" s="1070"/>
      <c r="AE275" s="1070"/>
      <c r="AF275" s="1070"/>
      <c r="AG275" s="1070"/>
      <c r="AH275" s="1070"/>
      <c r="AI275" s="1070"/>
      <c r="AJ275" s="1070"/>
      <c r="AK275" s="1070"/>
      <c r="AL275" s="1070"/>
      <c r="AM275" s="1070"/>
      <c r="AN275" s="1070"/>
      <c r="AO275" s="1070"/>
      <c r="AP275" s="1070"/>
      <c r="AQ275" s="1070"/>
      <c r="AR275" s="1070"/>
      <c r="AS275" s="1070"/>
      <c r="AT275" s="1070"/>
      <c r="AU275" s="1070"/>
      <c r="AV275" s="1070"/>
      <c r="AW275" s="1070"/>
      <c r="AX275" s="1070"/>
      <c r="AY275" s="1070"/>
      <c r="AZ275" s="1070"/>
      <c r="BA275" s="1070"/>
      <c r="BB275" s="1070"/>
      <c r="BC275" s="1070"/>
      <c r="BD275" s="1070"/>
      <c r="BE275" s="1070"/>
      <c r="BF275" s="1070"/>
      <c r="BG275" s="1070"/>
      <c r="BH275" s="1070"/>
      <c r="BI275" s="1070"/>
      <c r="BJ275" s="1070"/>
      <c r="BK275" s="1070"/>
      <c r="BL275" s="1070"/>
      <c r="BM275" s="1070"/>
      <c r="BN275" s="1070"/>
      <c r="BO275" s="1070"/>
      <c r="BP275" s="1070"/>
      <c r="BQ275" s="1070"/>
      <c r="BR275" s="1070"/>
      <c r="BS275" s="1070"/>
      <c r="BT275" s="1070"/>
      <c r="BU275" s="1070"/>
      <c r="BV275" s="1070"/>
      <c r="BW275" s="1070"/>
      <c r="BX275" s="1070"/>
      <c r="BY275" s="1070"/>
      <c r="BZ275" s="1070"/>
      <c r="CA275" s="1070"/>
      <c r="CB275" s="1070"/>
      <c r="CC275" s="1070"/>
      <c r="CD275" s="1070"/>
      <c r="CE275" s="1070"/>
      <c r="CF275" s="1070"/>
      <c r="CG275" s="1070"/>
      <c r="CH275" s="1070"/>
      <c r="CI275" s="1070"/>
      <c r="CJ275" s="1070"/>
      <c r="CK275" s="1070"/>
      <c r="CL275" s="1070"/>
      <c r="CM275" s="1070"/>
      <c r="CN275" s="1070"/>
      <c r="CO275" s="1070"/>
      <c r="CP275" s="1070"/>
      <c r="CQ275" s="1070"/>
      <c r="CR275" s="1070"/>
      <c r="CS275" s="1070"/>
      <c r="CT275" s="1070"/>
      <c r="CU275" s="1070"/>
      <c r="CV275" s="1070"/>
      <c r="CW275" s="1070"/>
      <c r="CX275" s="1070"/>
      <c r="CY275" s="1070"/>
      <c r="CZ275" s="1070"/>
      <c r="DA275" s="1070"/>
      <c r="DB275" s="1070"/>
      <c r="DC275" s="1070"/>
      <c r="DD275" s="1070"/>
      <c r="DE275" s="1070"/>
      <c r="DF275" s="1070"/>
      <c r="DG275" s="1070"/>
      <c r="DH275" s="1070"/>
      <c r="DI275" s="1070"/>
      <c r="DJ275" s="1070"/>
    </row>
    <row r="276" spans="1:114" s="1136" customFormat="1" ht="27.75" customHeight="1" x14ac:dyDescent="0.25">
      <c r="A276" s="875" t="s">
        <v>4128</v>
      </c>
      <c r="B276" s="1396">
        <f t="shared" si="0"/>
        <v>1</v>
      </c>
      <c r="C276" s="1384"/>
      <c r="D276" s="1384"/>
      <c r="E276" s="1384"/>
      <c r="F276" s="1384"/>
      <c r="G276" s="1384"/>
      <c r="H276" s="1070"/>
      <c r="I276" s="1070"/>
      <c r="J276" s="1315"/>
      <c r="K276" s="1316"/>
      <c r="L276" s="1316"/>
      <c r="M276" s="1315"/>
      <c r="N276" s="1070"/>
      <c r="O276" s="1070"/>
      <c r="P276" s="1070"/>
      <c r="Q276" s="1070"/>
      <c r="R276" s="1070"/>
      <c r="S276" s="1070"/>
      <c r="T276" s="1070"/>
      <c r="U276" s="1070"/>
      <c r="V276" s="1070"/>
      <c r="W276" s="1070"/>
      <c r="X276" s="1070"/>
      <c r="Y276" s="1070"/>
      <c r="Z276" s="1070"/>
      <c r="AA276" s="1070"/>
      <c r="AB276" s="1070"/>
      <c r="AC276" s="1070"/>
      <c r="AD276" s="1070"/>
      <c r="AE276" s="1070"/>
      <c r="AF276" s="1070"/>
      <c r="AG276" s="1070"/>
      <c r="AH276" s="1070"/>
      <c r="AI276" s="1070"/>
      <c r="AJ276" s="1070"/>
      <c r="AK276" s="1070"/>
      <c r="AL276" s="1070"/>
      <c r="AM276" s="1070"/>
      <c r="AN276" s="1070"/>
      <c r="AO276" s="1070"/>
      <c r="AP276" s="1070"/>
      <c r="AQ276" s="1070"/>
      <c r="AR276" s="1070"/>
      <c r="AS276" s="1070"/>
      <c r="AT276" s="1070"/>
      <c r="AU276" s="1070"/>
      <c r="AV276" s="1070"/>
      <c r="AW276" s="1070"/>
      <c r="AX276" s="1070"/>
      <c r="AY276" s="1070"/>
      <c r="AZ276" s="1070"/>
      <c r="BA276" s="1070"/>
      <c r="BB276" s="1070"/>
      <c r="BC276" s="1070"/>
      <c r="BD276" s="1070"/>
      <c r="BE276" s="1070"/>
      <c r="BF276" s="1070"/>
      <c r="BG276" s="1070"/>
      <c r="BH276" s="1070"/>
      <c r="BI276" s="1070"/>
      <c r="BJ276" s="1070"/>
      <c r="BK276" s="1070"/>
      <c r="BL276" s="1070"/>
      <c r="BM276" s="1070"/>
      <c r="BN276" s="1070"/>
      <c r="BO276" s="1070"/>
      <c r="BP276" s="1070"/>
      <c r="BQ276" s="1070"/>
      <c r="BR276" s="1070"/>
      <c r="BS276" s="1070"/>
      <c r="BT276" s="1070"/>
      <c r="BU276" s="1070"/>
      <c r="BV276" s="1070"/>
      <c r="BW276" s="1070"/>
      <c r="BX276" s="1070"/>
      <c r="BY276" s="1070"/>
      <c r="BZ276" s="1070"/>
      <c r="CA276" s="1070"/>
      <c r="CB276" s="1070"/>
      <c r="CC276" s="1070"/>
      <c r="CD276" s="1070"/>
      <c r="CE276" s="1070"/>
      <c r="CF276" s="1070"/>
      <c r="CG276" s="1070"/>
      <c r="CH276" s="1070"/>
      <c r="CI276" s="1070"/>
      <c r="CJ276" s="1070"/>
      <c r="CK276" s="1070"/>
      <c r="CL276" s="1070"/>
      <c r="CM276" s="1070"/>
      <c r="CN276" s="1070"/>
      <c r="CO276" s="1070"/>
      <c r="CP276" s="1070"/>
      <c r="CQ276" s="1070"/>
      <c r="CR276" s="1070"/>
      <c r="CS276" s="1070"/>
      <c r="CT276" s="1070"/>
      <c r="CU276" s="1070"/>
      <c r="CV276" s="1070"/>
      <c r="CW276" s="1070"/>
      <c r="CX276" s="1070"/>
      <c r="CY276" s="1070"/>
      <c r="CZ276" s="1070"/>
      <c r="DA276" s="1070"/>
      <c r="DB276" s="1070"/>
      <c r="DC276" s="1070"/>
      <c r="DD276" s="1070"/>
      <c r="DE276" s="1070"/>
      <c r="DF276" s="1070"/>
      <c r="DG276" s="1070"/>
      <c r="DH276" s="1070"/>
      <c r="DI276" s="1070"/>
      <c r="DJ276" s="1070"/>
    </row>
    <row r="277" spans="1:114" s="1136" customFormat="1" ht="27.75" customHeight="1" x14ac:dyDescent="0.25">
      <c r="A277" s="875" t="s">
        <v>2669</v>
      </c>
      <c r="B277" s="1397">
        <f>B217</f>
        <v>0</v>
      </c>
      <c r="C277" s="1384"/>
      <c r="D277" s="1384"/>
      <c r="E277" s="1384"/>
      <c r="F277" s="1384"/>
      <c r="G277" s="1384"/>
      <c r="H277" s="1070"/>
      <c r="I277" s="1070"/>
      <c r="J277" s="1315"/>
      <c r="K277" s="1316"/>
      <c r="L277" s="1316"/>
      <c r="M277" s="1315"/>
      <c r="N277" s="1070"/>
      <c r="O277" s="1070"/>
      <c r="P277" s="1070"/>
      <c r="Q277" s="1070"/>
      <c r="R277" s="1070"/>
      <c r="S277" s="1070"/>
      <c r="T277" s="1070"/>
      <c r="U277" s="1070"/>
      <c r="V277" s="1070"/>
      <c r="W277" s="1070"/>
      <c r="X277" s="1070"/>
      <c r="Y277" s="1070"/>
      <c r="Z277" s="1070"/>
      <c r="AA277" s="1070"/>
      <c r="AB277" s="1070"/>
      <c r="AC277" s="1070"/>
      <c r="AD277" s="1070"/>
      <c r="AE277" s="1070"/>
      <c r="AF277" s="1070"/>
      <c r="AG277" s="1070"/>
      <c r="AH277" s="1070"/>
      <c r="AI277" s="1070"/>
      <c r="AJ277" s="1070"/>
      <c r="AK277" s="1070"/>
      <c r="AL277" s="1070"/>
      <c r="AM277" s="1070"/>
      <c r="AN277" s="1070"/>
      <c r="AO277" s="1070"/>
      <c r="AP277" s="1070"/>
      <c r="AQ277" s="1070"/>
      <c r="AR277" s="1070"/>
      <c r="AS277" s="1070"/>
      <c r="AT277" s="1070"/>
      <c r="AU277" s="1070"/>
      <c r="AV277" s="1070"/>
      <c r="AW277" s="1070"/>
      <c r="AX277" s="1070"/>
      <c r="AY277" s="1070"/>
      <c r="AZ277" s="1070"/>
      <c r="BA277" s="1070"/>
      <c r="BB277" s="1070"/>
      <c r="BC277" s="1070"/>
      <c r="BD277" s="1070"/>
      <c r="BE277" s="1070"/>
      <c r="BF277" s="1070"/>
      <c r="BG277" s="1070"/>
      <c r="BH277" s="1070"/>
      <c r="BI277" s="1070"/>
      <c r="BJ277" s="1070"/>
      <c r="BK277" s="1070"/>
      <c r="BL277" s="1070"/>
      <c r="BM277" s="1070"/>
      <c r="BN277" s="1070"/>
      <c r="BO277" s="1070"/>
      <c r="BP277" s="1070"/>
      <c r="BQ277" s="1070"/>
      <c r="BR277" s="1070"/>
      <c r="BS277" s="1070"/>
      <c r="BT277" s="1070"/>
      <c r="BU277" s="1070"/>
      <c r="BV277" s="1070"/>
      <c r="BW277" s="1070"/>
      <c r="BX277" s="1070"/>
      <c r="BY277" s="1070"/>
      <c r="BZ277" s="1070"/>
      <c r="CA277" s="1070"/>
      <c r="CB277" s="1070"/>
      <c r="CC277" s="1070"/>
      <c r="CD277" s="1070"/>
      <c r="CE277" s="1070"/>
      <c r="CF277" s="1070"/>
      <c r="CG277" s="1070"/>
      <c r="CH277" s="1070"/>
      <c r="CI277" s="1070"/>
      <c r="CJ277" s="1070"/>
      <c r="CK277" s="1070"/>
      <c r="CL277" s="1070"/>
      <c r="CM277" s="1070"/>
      <c r="CN277" s="1070"/>
      <c r="CO277" s="1070"/>
      <c r="CP277" s="1070"/>
      <c r="CQ277" s="1070"/>
      <c r="CR277" s="1070"/>
      <c r="CS277" s="1070"/>
      <c r="CT277" s="1070"/>
      <c r="CU277" s="1070"/>
      <c r="CV277" s="1070"/>
      <c r="CW277" s="1070"/>
      <c r="CX277" s="1070"/>
      <c r="CY277" s="1070"/>
      <c r="CZ277" s="1070"/>
      <c r="DA277" s="1070"/>
      <c r="DB277" s="1070"/>
      <c r="DC277" s="1070"/>
      <c r="DD277" s="1070"/>
      <c r="DE277" s="1070"/>
      <c r="DF277" s="1070"/>
      <c r="DG277" s="1070"/>
      <c r="DH277" s="1070"/>
      <c r="DI277" s="1070"/>
      <c r="DJ277" s="1070"/>
    </row>
    <row r="278" spans="1:114" s="1136" customFormat="1" ht="27.75" customHeight="1" x14ac:dyDescent="0.25">
      <c r="A278" s="875" t="s">
        <v>2269</v>
      </c>
      <c r="B278" s="1397">
        <f>B218</f>
        <v>1</v>
      </c>
      <c r="C278" s="1384"/>
      <c r="D278" s="1384"/>
      <c r="E278" s="1384"/>
      <c r="F278" s="1384"/>
      <c r="G278" s="1384"/>
      <c r="H278" s="1070"/>
      <c r="I278" s="1070"/>
      <c r="J278" s="1315"/>
      <c r="K278" s="1316"/>
      <c r="L278" s="1316"/>
      <c r="M278" s="1315"/>
      <c r="N278" s="1070"/>
      <c r="O278" s="1070"/>
      <c r="P278" s="1070"/>
      <c r="Q278" s="1070"/>
      <c r="R278" s="1070"/>
      <c r="S278" s="1070"/>
      <c r="T278" s="1070"/>
      <c r="U278" s="1070"/>
      <c r="V278" s="1070"/>
      <c r="W278" s="1070"/>
      <c r="X278" s="1070"/>
      <c r="Y278" s="1070"/>
      <c r="Z278" s="1070"/>
      <c r="AA278" s="1070"/>
      <c r="AB278" s="1070"/>
      <c r="AC278" s="1070"/>
      <c r="AD278" s="1070"/>
      <c r="AE278" s="1070"/>
      <c r="AF278" s="1070"/>
      <c r="AG278" s="1070"/>
      <c r="AH278" s="1070"/>
      <c r="AI278" s="1070"/>
      <c r="AJ278" s="1070"/>
      <c r="AK278" s="1070"/>
      <c r="AL278" s="1070"/>
      <c r="AM278" s="1070"/>
      <c r="AN278" s="1070"/>
      <c r="AO278" s="1070"/>
      <c r="AP278" s="1070"/>
      <c r="AQ278" s="1070"/>
      <c r="AR278" s="1070"/>
      <c r="AS278" s="1070"/>
      <c r="AT278" s="1070"/>
      <c r="AU278" s="1070"/>
      <c r="AV278" s="1070"/>
      <c r="AW278" s="1070"/>
      <c r="AX278" s="1070"/>
      <c r="AY278" s="1070"/>
      <c r="AZ278" s="1070"/>
      <c r="BA278" s="1070"/>
      <c r="BB278" s="1070"/>
      <c r="BC278" s="1070"/>
      <c r="BD278" s="1070"/>
      <c r="BE278" s="1070"/>
      <c r="BF278" s="1070"/>
      <c r="BG278" s="1070"/>
      <c r="BH278" s="1070"/>
      <c r="BI278" s="1070"/>
      <c r="BJ278" s="1070"/>
      <c r="BK278" s="1070"/>
      <c r="BL278" s="1070"/>
      <c r="BM278" s="1070"/>
      <c r="BN278" s="1070"/>
      <c r="BO278" s="1070"/>
      <c r="BP278" s="1070"/>
      <c r="BQ278" s="1070"/>
      <c r="BR278" s="1070"/>
      <c r="BS278" s="1070"/>
      <c r="BT278" s="1070"/>
      <c r="BU278" s="1070"/>
      <c r="BV278" s="1070"/>
      <c r="BW278" s="1070"/>
      <c r="BX278" s="1070"/>
      <c r="BY278" s="1070"/>
      <c r="BZ278" s="1070"/>
      <c r="CA278" s="1070"/>
      <c r="CB278" s="1070"/>
      <c r="CC278" s="1070"/>
      <c r="CD278" s="1070"/>
      <c r="CE278" s="1070"/>
      <c r="CF278" s="1070"/>
      <c r="CG278" s="1070"/>
      <c r="CH278" s="1070"/>
      <c r="CI278" s="1070"/>
      <c r="CJ278" s="1070"/>
      <c r="CK278" s="1070"/>
      <c r="CL278" s="1070"/>
      <c r="CM278" s="1070"/>
      <c r="CN278" s="1070"/>
      <c r="CO278" s="1070"/>
      <c r="CP278" s="1070"/>
      <c r="CQ278" s="1070"/>
      <c r="CR278" s="1070"/>
      <c r="CS278" s="1070"/>
      <c r="CT278" s="1070"/>
      <c r="CU278" s="1070"/>
      <c r="CV278" s="1070"/>
      <c r="CW278" s="1070"/>
      <c r="CX278" s="1070"/>
      <c r="CY278" s="1070"/>
      <c r="CZ278" s="1070"/>
      <c r="DA278" s="1070"/>
      <c r="DB278" s="1070"/>
      <c r="DC278" s="1070"/>
      <c r="DD278" s="1070"/>
      <c r="DE278" s="1070"/>
      <c r="DF278" s="1070"/>
      <c r="DG278" s="1070"/>
      <c r="DH278" s="1070"/>
      <c r="DI278" s="1070"/>
      <c r="DJ278" s="1070"/>
    </row>
    <row r="279" spans="1:114" s="1136" customFormat="1" ht="27.75" customHeight="1" x14ac:dyDescent="0.25">
      <c r="A279" s="875" t="s">
        <v>4129</v>
      </c>
      <c r="B279" s="1397">
        <f>B219</f>
        <v>0</v>
      </c>
      <c r="C279" s="1384"/>
      <c r="D279" s="1384"/>
      <c r="E279" s="1384"/>
      <c r="F279" s="1384"/>
      <c r="G279" s="1384"/>
      <c r="H279" s="1070"/>
      <c r="I279" s="1070"/>
      <c r="J279" s="1315"/>
      <c r="K279" s="1316"/>
      <c r="L279" s="1316"/>
      <c r="M279" s="1315"/>
      <c r="N279" s="1070"/>
      <c r="O279" s="1070"/>
      <c r="P279" s="1070"/>
      <c r="Q279" s="1070"/>
      <c r="R279" s="1070"/>
      <c r="S279" s="1070"/>
      <c r="T279" s="1070"/>
      <c r="U279" s="1070"/>
      <c r="V279" s="1070"/>
      <c r="W279" s="1070"/>
      <c r="X279" s="1070"/>
      <c r="Y279" s="1070"/>
      <c r="Z279" s="1070"/>
      <c r="AA279" s="1070"/>
      <c r="AB279" s="1070"/>
      <c r="AC279" s="1070"/>
      <c r="AD279" s="1070"/>
      <c r="AE279" s="1070"/>
      <c r="AF279" s="1070"/>
      <c r="AG279" s="1070"/>
      <c r="AH279" s="1070"/>
      <c r="AI279" s="1070"/>
      <c r="AJ279" s="1070"/>
      <c r="AK279" s="1070"/>
      <c r="AL279" s="1070"/>
      <c r="AM279" s="1070"/>
      <c r="AN279" s="1070"/>
      <c r="AO279" s="1070"/>
      <c r="AP279" s="1070"/>
      <c r="AQ279" s="1070"/>
      <c r="AR279" s="1070"/>
      <c r="AS279" s="1070"/>
      <c r="AT279" s="1070"/>
      <c r="AU279" s="1070"/>
      <c r="AV279" s="1070"/>
      <c r="AW279" s="1070"/>
      <c r="AX279" s="1070"/>
      <c r="AY279" s="1070"/>
      <c r="AZ279" s="1070"/>
      <c r="BA279" s="1070"/>
      <c r="BB279" s="1070"/>
      <c r="BC279" s="1070"/>
      <c r="BD279" s="1070"/>
      <c r="BE279" s="1070"/>
      <c r="BF279" s="1070"/>
      <c r="BG279" s="1070"/>
      <c r="BH279" s="1070"/>
      <c r="BI279" s="1070"/>
      <c r="BJ279" s="1070"/>
      <c r="BK279" s="1070"/>
      <c r="BL279" s="1070"/>
      <c r="BM279" s="1070"/>
      <c r="BN279" s="1070"/>
      <c r="BO279" s="1070"/>
      <c r="BP279" s="1070"/>
      <c r="BQ279" s="1070"/>
      <c r="BR279" s="1070"/>
      <c r="BS279" s="1070"/>
      <c r="BT279" s="1070"/>
      <c r="BU279" s="1070"/>
      <c r="BV279" s="1070"/>
      <c r="BW279" s="1070"/>
      <c r="BX279" s="1070"/>
      <c r="BY279" s="1070"/>
      <c r="BZ279" s="1070"/>
      <c r="CA279" s="1070"/>
      <c r="CB279" s="1070"/>
      <c r="CC279" s="1070"/>
      <c r="CD279" s="1070"/>
      <c r="CE279" s="1070"/>
      <c r="CF279" s="1070"/>
      <c r="CG279" s="1070"/>
      <c r="CH279" s="1070"/>
      <c r="CI279" s="1070"/>
      <c r="CJ279" s="1070"/>
      <c r="CK279" s="1070"/>
      <c r="CL279" s="1070"/>
      <c r="CM279" s="1070"/>
      <c r="CN279" s="1070"/>
      <c r="CO279" s="1070"/>
      <c r="CP279" s="1070"/>
      <c r="CQ279" s="1070"/>
      <c r="CR279" s="1070"/>
      <c r="CS279" s="1070"/>
      <c r="CT279" s="1070"/>
      <c r="CU279" s="1070"/>
      <c r="CV279" s="1070"/>
      <c r="CW279" s="1070"/>
      <c r="CX279" s="1070"/>
      <c r="CY279" s="1070"/>
      <c r="CZ279" s="1070"/>
      <c r="DA279" s="1070"/>
      <c r="DB279" s="1070"/>
      <c r="DC279" s="1070"/>
      <c r="DD279" s="1070"/>
      <c r="DE279" s="1070"/>
      <c r="DF279" s="1070"/>
      <c r="DG279" s="1070"/>
      <c r="DH279" s="1070"/>
      <c r="DI279" s="1070"/>
      <c r="DJ279" s="1070"/>
    </row>
    <row r="280" spans="1:114" s="1136" customFormat="1" ht="27.75" customHeight="1" x14ac:dyDescent="0.2">
      <c r="A280" s="1370" t="s">
        <v>5567</v>
      </c>
      <c r="B280" s="1394">
        <f>B220</f>
        <v>1</v>
      </c>
      <c r="C280" s="1384"/>
      <c r="D280" s="1384"/>
      <c r="E280" s="1384"/>
      <c r="F280" s="1384"/>
      <c r="G280" s="1384"/>
      <c r="H280" s="1070"/>
      <c r="I280" s="1070"/>
      <c r="J280" s="1315"/>
      <c r="K280" s="1316"/>
      <c r="L280" s="1316"/>
      <c r="M280" s="1315"/>
      <c r="N280" s="1070"/>
      <c r="O280" s="1070"/>
      <c r="P280" s="1070"/>
      <c r="Q280" s="1070"/>
      <c r="R280" s="1070"/>
      <c r="S280" s="1070"/>
      <c r="T280" s="1070"/>
      <c r="U280" s="1070"/>
      <c r="V280" s="1070"/>
      <c r="W280" s="1070"/>
      <c r="X280" s="1070"/>
      <c r="Y280" s="1070"/>
      <c r="Z280" s="1070"/>
      <c r="AA280" s="1070"/>
      <c r="AB280" s="1070"/>
      <c r="AC280" s="1070"/>
      <c r="AD280" s="1070"/>
      <c r="AE280" s="1070"/>
      <c r="AF280" s="1070"/>
      <c r="AG280" s="1070"/>
      <c r="AH280" s="1070"/>
      <c r="AI280" s="1070"/>
      <c r="AJ280" s="1070"/>
      <c r="AK280" s="1070"/>
      <c r="AL280" s="1070"/>
      <c r="AM280" s="1070"/>
      <c r="AN280" s="1070"/>
      <c r="AO280" s="1070"/>
      <c r="AP280" s="1070"/>
      <c r="AQ280" s="1070"/>
      <c r="AR280" s="1070"/>
      <c r="AS280" s="1070"/>
      <c r="AT280" s="1070"/>
      <c r="AU280" s="1070"/>
      <c r="AV280" s="1070"/>
      <c r="AW280" s="1070"/>
      <c r="AX280" s="1070"/>
      <c r="AY280" s="1070"/>
      <c r="AZ280" s="1070"/>
      <c r="BA280" s="1070"/>
      <c r="BB280" s="1070"/>
      <c r="BC280" s="1070"/>
      <c r="BD280" s="1070"/>
      <c r="BE280" s="1070"/>
      <c r="BF280" s="1070"/>
      <c r="BG280" s="1070"/>
      <c r="BH280" s="1070"/>
      <c r="BI280" s="1070"/>
      <c r="BJ280" s="1070"/>
      <c r="BK280" s="1070"/>
      <c r="BL280" s="1070"/>
      <c r="BM280" s="1070"/>
      <c r="BN280" s="1070"/>
      <c r="BO280" s="1070"/>
      <c r="BP280" s="1070"/>
      <c r="BQ280" s="1070"/>
      <c r="BR280" s="1070"/>
      <c r="BS280" s="1070"/>
      <c r="BT280" s="1070"/>
      <c r="BU280" s="1070"/>
      <c r="BV280" s="1070"/>
      <c r="BW280" s="1070"/>
      <c r="BX280" s="1070"/>
      <c r="BY280" s="1070"/>
      <c r="BZ280" s="1070"/>
      <c r="CA280" s="1070"/>
      <c r="CB280" s="1070"/>
      <c r="CC280" s="1070"/>
      <c r="CD280" s="1070"/>
      <c r="CE280" s="1070"/>
      <c r="CF280" s="1070"/>
      <c r="CG280" s="1070"/>
      <c r="CH280" s="1070"/>
      <c r="CI280" s="1070"/>
      <c r="CJ280" s="1070"/>
      <c r="CK280" s="1070"/>
      <c r="CL280" s="1070"/>
      <c r="CM280" s="1070"/>
      <c r="CN280" s="1070"/>
      <c r="CO280" s="1070"/>
      <c r="CP280" s="1070"/>
      <c r="CQ280" s="1070"/>
      <c r="CR280" s="1070"/>
      <c r="CS280" s="1070"/>
      <c r="CT280" s="1070"/>
      <c r="CU280" s="1070"/>
      <c r="CV280" s="1070"/>
      <c r="CW280" s="1070"/>
      <c r="CX280" s="1070"/>
      <c r="CY280" s="1070"/>
      <c r="CZ280" s="1070"/>
      <c r="DA280" s="1070"/>
      <c r="DB280" s="1070"/>
      <c r="DC280" s="1070"/>
      <c r="DD280" s="1070"/>
      <c r="DE280" s="1070"/>
      <c r="DF280" s="1070"/>
      <c r="DG280" s="1070"/>
      <c r="DH280" s="1070"/>
      <c r="DI280" s="1070"/>
      <c r="DJ280" s="1070"/>
    </row>
    <row r="281" spans="1:114" s="1136" customFormat="1" ht="27.75" customHeight="1" x14ac:dyDescent="0.25">
      <c r="A281" s="1399" t="s">
        <v>1505</v>
      </c>
      <c r="B281" s="1400">
        <f>B166</f>
        <v>0</v>
      </c>
      <c r="C281" s="1384"/>
      <c r="D281" s="1384"/>
      <c r="E281" s="1384"/>
      <c r="F281" s="1384"/>
      <c r="G281" s="1384"/>
      <c r="H281" s="1070"/>
      <c r="I281" s="1070"/>
      <c r="J281" s="1315"/>
      <c r="K281" s="1316"/>
      <c r="L281" s="1316"/>
      <c r="M281" s="1315"/>
      <c r="N281" s="1070"/>
      <c r="O281" s="1070"/>
      <c r="P281" s="1070"/>
      <c r="Q281" s="1070"/>
      <c r="R281" s="1070"/>
      <c r="S281" s="1070"/>
      <c r="T281" s="1070"/>
      <c r="U281" s="1070"/>
      <c r="V281" s="1070"/>
      <c r="W281" s="1070"/>
      <c r="X281" s="1070"/>
      <c r="Y281" s="1070"/>
      <c r="Z281" s="1070"/>
      <c r="AA281" s="1070"/>
      <c r="AB281" s="1070"/>
      <c r="AC281" s="1070"/>
      <c r="AD281" s="1070"/>
      <c r="AE281" s="1070"/>
      <c r="AF281" s="1070"/>
      <c r="AG281" s="1070"/>
      <c r="AH281" s="1070"/>
      <c r="AI281" s="1070"/>
      <c r="AJ281" s="1070"/>
      <c r="AK281" s="1070"/>
      <c r="AL281" s="1070"/>
      <c r="AM281" s="1070"/>
      <c r="AN281" s="1070"/>
      <c r="AO281" s="1070"/>
      <c r="AP281" s="1070"/>
      <c r="AQ281" s="1070"/>
      <c r="AR281" s="1070"/>
      <c r="AS281" s="1070"/>
      <c r="AT281" s="1070"/>
      <c r="AU281" s="1070"/>
      <c r="AV281" s="1070"/>
      <c r="AW281" s="1070"/>
      <c r="AX281" s="1070"/>
      <c r="AY281" s="1070"/>
      <c r="AZ281" s="1070"/>
      <c r="BA281" s="1070"/>
      <c r="BB281" s="1070"/>
      <c r="BC281" s="1070"/>
      <c r="BD281" s="1070"/>
      <c r="BE281" s="1070"/>
      <c r="BF281" s="1070"/>
      <c r="BG281" s="1070"/>
      <c r="BH281" s="1070"/>
      <c r="BI281" s="1070"/>
      <c r="BJ281" s="1070"/>
      <c r="BK281" s="1070"/>
      <c r="BL281" s="1070"/>
      <c r="BM281" s="1070"/>
      <c r="BN281" s="1070"/>
      <c r="BO281" s="1070"/>
      <c r="BP281" s="1070"/>
      <c r="BQ281" s="1070"/>
      <c r="BR281" s="1070"/>
      <c r="BS281" s="1070"/>
      <c r="BT281" s="1070"/>
      <c r="BU281" s="1070"/>
      <c r="BV281" s="1070"/>
      <c r="BW281" s="1070"/>
      <c r="BX281" s="1070"/>
      <c r="BY281" s="1070"/>
      <c r="BZ281" s="1070"/>
      <c r="CA281" s="1070"/>
      <c r="CB281" s="1070"/>
      <c r="CC281" s="1070"/>
      <c r="CD281" s="1070"/>
      <c r="CE281" s="1070"/>
      <c r="CF281" s="1070"/>
      <c r="CG281" s="1070"/>
      <c r="CH281" s="1070"/>
      <c r="CI281" s="1070"/>
      <c r="CJ281" s="1070"/>
      <c r="CK281" s="1070"/>
      <c r="CL281" s="1070"/>
      <c r="CM281" s="1070"/>
      <c r="CN281" s="1070"/>
      <c r="CO281" s="1070"/>
      <c r="CP281" s="1070"/>
      <c r="CQ281" s="1070"/>
      <c r="CR281" s="1070"/>
      <c r="CS281" s="1070"/>
      <c r="CT281" s="1070"/>
      <c r="CU281" s="1070"/>
      <c r="CV281" s="1070"/>
      <c r="CW281" s="1070"/>
      <c r="CX281" s="1070"/>
      <c r="CY281" s="1070"/>
      <c r="CZ281" s="1070"/>
      <c r="DA281" s="1070"/>
      <c r="DB281" s="1070"/>
      <c r="DC281" s="1070"/>
      <c r="DD281" s="1070"/>
      <c r="DE281" s="1070"/>
      <c r="DF281" s="1070"/>
      <c r="DG281" s="1070"/>
      <c r="DH281" s="1070"/>
      <c r="DI281" s="1070"/>
      <c r="DJ281" s="1070"/>
    </row>
    <row r="282" spans="1:114" s="1136" customFormat="1" ht="27.75" customHeight="1" x14ac:dyDescent="0.3">
      <c r="A282" s="1947" t="s">
        <v>1729</v>
      </c>
      <c r="B282" s="1402"/>
      <c r="C282" s="1384"/>
      <c r="D282" s="1384"/>
      <c r="E282" s="1384"/>
      <c r="F282" s="1384"/>
      <c r="G282" s="1384"/>
      <c r="H282" s="1070"/>
      <c r="I282" s="1070"/>
      <c r="J282" s="1315"/>
      <c r="K282" s="1316"/>
      <c r="L282" s="1316"/>
      <c r="M282" s="1315"/>
      <c r="N282" s="1070"/>
      <c r="O282" s="1070"/>
      <c r="P282" s="1070"/>
      <c r="Q282" s="1070"/>
      <c r="R282" s="1070"/>
      <c r="S282" s="1070"/>
      <c r="T282" s="1070"/>
      <c r="U282" s="1070"/>
      <c r="V282" s="1070"/>
      <c r="W282" s="1070"/>
      <c r="X282" s="1070"/>
      <c r="Y282" s="1070"/>
      <c r="Z282" s="1070"/>
      <c r="AA282" s="1070"/>
      <c r="AB282" s="1070"/>
      <c r="AC282" s="1070"/>
      <c r="AD282" s="1070"/>
      <c r="AE282" s="1070"/>
      <c r="AF282" s="1070"/>
      <c r="AG282" s="1070"/>
      <c r="AH282" s="1070"/>
      <c r="AI282" s="1070"/>
      <c r="AJ282" s="1070"/>
      <c r="AK282" s="1070"/>
      <c r="AL282" s="1070"/>
      <c r="AM282" s="1070"/>
      <c r="AN282" s="1070"/>
      <c r="AO282" s="1070"/>
      <c r="AP282" s="1070"/>
      <c r="AQ282" s="1070"/>
      <c r="AR282" s="1070"/>
      <c r="AS282" s="1070"/>
      <c r="AT282" s="1070"/>
      <c r="AU282" s="1070"/>
      <c r="AV282" s="1070"/>
      <c r="AW282" s="1070"/>
      <c r="AX282" s="1070"/>
      <c r="AY282" s="1070"/>
      <c r="AZ282" s="1070"/>
      <c r="BA282" s="1070"/>
      <c r="BB282" s="1070"/>
      <c r="BC282" s="1070"/>
      <c r="BD282" s="1070"/>
      <c r="BE282" s="1070"/>
      <c r="BF282" s="1070"/>
      <c r="BG282" s="1070"/>
      <c r="BH282" s="1070"/>
      <c r="BI282" s="1070"/>
      <c r="BJ282" s="1070"/>
      <c r="BK282" s="1070"/>
      <c r="BL282" s="1070"/>
      <c r="BM282" s="1070"/>
      <c r="BN282" s="1070"/>
      <c r="BO282" s="1070"/>
      <c r="BP282" s="1070"/>
      <c r="BQ282" s="1070"/>
      <c r="BR282" s="1070"/>
      <c r="BS282" s="1070"/>
      <c r="BT282" s="1070"/>
      <c r="BU282" s="1070"/>
      <c r="BV282" s="1070"/>
      <c r="BW282" s="1070"/>
      <c r="BX282" s="1070"/>
      <c r="BY282" s="1070"/>
      <c r="BZ282" s="1070"/>
      <c r="CA282" s="1070"/>
      <c r="CB282" s="1070"/>
      <c r="CC282" s="1070"/>
      <c r="CD282" s="1070"/>
      <c r="CE282" s="1070"/>
      <c r="CF282" s="1070"/>
      <c r="CG282" s="1070"/>
      <c r="CH282" s="1070"/>
      <c r="CI282" s="1070"/>
      <c r="CJ282" s="1070"/>
      <c r="CK282" s="1070"/>
      <c r="CL282" s="1070"/>
      <c r="CM282" s="1070"/>
      <c r="CN282" s="1070"/>
      <c r="CO282" s="1070"/>
      <c r="CP282" s="1070"/>
      <c r="CQ282" s="1070"/>
      <c r="CR282" s="1070"/>
      <c r="CS282" s="1070"/>
      <c r="CT282" s="1070"/>
      <c r="CU282" s="1070"/>
      <c r="CV282" s="1070"/>
      <c r="CW282" s="1070"/>
      <c r="CX282" s="1070"/>
      <c r="CY282" s="1070"/>
      <c r="CZ282" s="1070"/>
      <c r="DA282" s="1070"/>
      <c r="DB282" s="1070"/>
      <c r="DC282" s="1070"/>
      <c r="DD282" s="1070"/>
      <c r="DE282" s="1070"/>
      <c r="DF282" s="1070"/>
      <c r="DG282" s="1070"/>
      <c r="DH282" s="1070"/>
      <c r="DI282" s="1070"/>
      <c r="DJ282" s="1070"/>
    </row>
    <row r="283" spans="1:114" s="1136" customFormat="1" ht="27.75" customHeight="1" x14ac:dyDescent="0.2">
      <c r="A283" s="1646"/>
      <c r="B283" s="1948"/>
      <c r="C283" s="1384"/>
      <c r="D283" s="1384"/>
      <c r="E283" s="1384"/>
      <c r="F283" s="1384"/>
      <c r="G283" s="1384"/>
      <c r="H283" s="1070"/>
      <c r="I283" s="1070"/>
      <c r="J283" s="1315"/>
      <c r="K283" s="1316"/>
      <c r="L283" s="1316"/>
      <c r="M283" s="1315"/>
      <c r="N283" s="1070"/>
      <c r="O283" s="1070"/>
      <c r="P283" s="1070"/>
      <c r="Q283" s="1070"/>
      <c r="R283" s="1070"/>
      <c r="S283" s="1070"/>
      <c r="T283" s="1070"/>
      <c r="U283" s="1070"/>
      <c r="V283" s="1070"/>
      <c r="W283" s="1070"/>
      <c r="X283" s="1070"/>
      <c r="Y283" s="1070"/>
      <c r="Z283" s="1070"/>
      <c r="AA283" s="1070"/>
      <c r="AB283" s="1070"/>
      <c r="AC283" s="1070"/>
      <c r="AD283" s="1070"/>
      <c r="AE283" s="1070"/>
      <c r="AF283" s="1070"/>
      <c r="AG283" s="1070"/>
      <c r="AH283" s="1070"/>
      <c r="AI283" s="1070"/>
      <c r="AJ283" s="1070"/>
      <c r="AK283" s="1070"/>
      <c r="AL283" s="1070"/>
      <c r="AM283" s="1070"/>
      <c r="AN283" s="1070"/>
      <c r="AO283" s="1070"/>
      <c r="AP283" s="1070"/>
      <c r="AQ283" s="1070"/>
      <c r="AR283" s="1070"/>
      <c r="AS283" s="1070"/>
      <c r="AT283" s="1070"/>
      <c r="AU283" s="1070"/>
      <c r="AV283" s="1070"/>
      <c r="AW283" s="1070"/>
      <c r="AX283" s="1070"/>
      <c r="AY283" s="1070"/>
      <c r="AZ283" s="1070"/>
      <c r="BA283" s="1070"/>
      <c r="BB283" s="1070"/>
      <c r="BC283" s="1070"/>
      <c r="BD283" s="1070"/>
      <c r="BE283" s="1070"/>
      <c r="BF283" s="1070"/>
      <c r="BG283" s="1070"/>
      <c r="BH283" s="1070"/>
      <c r="BI283" s="1070"/>
      <c r="BJ283" s="1070"/>
      <c r="BK283" s="1070"/>
      <c r="BL283" s="1070"/>
      <c r="BM283" s="1070"/>
      <c r="BN283" s="1070"/>
      <c r="BO283" s="1070"/>
      <c r="BP283" s="1070"/>
      <c r="BQ283" s="1070"/>
      <c r="BR283" s="1070"/>
      <c r="BS283" s="1070"/>
      <c r="BT283" s="1070"/>
      <c r="BU283" s="1070"/>
      <c r="BV283" s="1070"/>
      <c r="BW283" s="1070"/>
      <c r="BX283" s="1070"/>
      <c r="BY283" s="1070"/>
      <c r="BZ283" s="1070"/>
      <c r="CA283" s="1070"/>
      <c r="CB283" s="1070"/>
      <c r="CC283" s="1070"/>
      <c r="CD283" s="1070"/>
      <c r="CE283" s="1070"/>
      <c r="CF283" s="1070"/>
      <c r="CG283" s="1070"/>
      <c r="CH283" s="1070"/>
      <c r="CI283" s="1070"/>
      <c r="CJ283" s="1070"/>
      <c r="CK283" s="1070"/>
      <c r="CL283" s="1070"/>
      <c r="CM283" s="1070"/>
      <c r="CN283" s="1070"/>
      <c r="CO283" s="1070"/>
      <c r="CP283" s="1070"/>
      <c r="CQ283" s="1070"/>
      <c r="CR283" s="1070"/>
      <c r="CS283" s="1070"/>
      <c r="CT283" s="1070"/>
      <c r="CU283" s="1070"/>
      <c r="CV283" s="1070"/>
      <c r="CW283" s="1070"/>
      <c r="CX283" s="1070"/>
      <c r="CY283" s="1070"/>
      <c r="CZ283" s="1070"/>
      <c r="DA283" s="1070"/>
      <c r="DB283" s="1070"/>
      <c r="DC283" s="1070"/>
      <c r="DD283" s="1070"/>
      <c r="DE283" s="1070"/>
      <c r="DF283" s="1070"/>
      <c r="DG283" s="1070"/>
      <c r="DH283" s="1070"/>
      <c r="DI283" s="1070"/>
      <c r="DJ283" s="1070"/>
    </row>
    <row r="284" spans="1:114" s="1136" customFormat="1" ht="27.75" customHeight="1" x14ac:dyDescent="0.25">
      <c r="A284" s="1949" t="s">
        <v>5246</v>
      </c>
      <c r="B284" s="1404"/>
      <c r="C284" s="1070"/>
      <c r="D284" s="1070"/>
      <c r="E284" s="1070"/>
      <c r="F284" s="1070"/>
      <c r="G284" s="1070"/>
      <c r="H284" s="1070"/>
      <c r="I284" s="1070"/>
      <c r="J284" s="1315"/>
      <c r="K284" s="1316"/>
      <c r="L284" s="1316"/>
      <c r="M284" s="1315"/>
      <c r="N284" s="1070"/>
      <c r="O284" s="1070"/>
      <c r="P284" s="1070"/>
      <c r="Q284" s="1070"/>
      <c r="R284" s="1070"/>
      <c r="S284" s="1070"/>
      <c r="T284" s="1070"/>
      <c r="U284" s="1070"/>
      <c r="V284" s="1070"/>
      <c r="W284" s="1070"/>
      <c r="X284" s="1070"/>
      <c r="Y284" s="1070"/>
      <c r="Z284" s="1070"/>
      <c r="AA284" s="1070"/>
      <c r="AB284" s="1070"/>
      <c r="AC284" s="1070"/>
      <c r="AD284" s="1070"/>
      <c r="AE284" s="1070"/>
      <c r="AF284" s="1070"/>
      <c r="AG284" s="1070"/>
      <c r="AH284" s="1070"/>
      <c r="AI284" s="1070"/>
      <c r="AJ284" s="1070"/>
      <c r="AK284" s="1070"/>
      <c r="AL284" s="1070"/>
      <c r="AM284" s="1070"/>
      <c r="AN284" s="1070"/>
      <c r="AO284" s="1070"/>
      <c r="AP284" s="1070"/>
      <c r="AQ284" s="1070"/>
      <c r="AR284" s="1070"/>
      <c r="AS284" s="1070"/>
      <c r="AT284" s="1070"/>
      <c r="AU284" s="1070"/>
      <c r="AV284" s="1070"/>
      <c r="AW284" s="1070"/>
      <c r="AX284" s="1070"/>
      <c r="AY284" s="1070"/>
      <c r="AZ284" s="1070"/>
      <c r="BA284" s="1070"/>
      <c r="BB284" s="1070"/>
      <c r="BC284" s="1070"/>
      <c r="BD284" s="1070"/>
      <c r="BE284" s="1070"/>
      <c r="BF284" s="1070"/>
      <c r="BG284" s="1070"/>
      <c r="BH284" s="1070"/>
      <c r="BI284" s="1070"/>
      <c r="BJ284" s="1070"/>
      <c r="BK284" s="1070"/>
      <c r="BL284" s="1070"/>
      <c r="BM284" s="1070"/>
      <c r="BN284" s="1070"/>
      <c r="BO284" s="1070"/>
      <c r="BP284" s="1070"/>
      <c r="BQ284" s="1070"/>
      <c r="BR284" s="1070"/>
      <c r="BS284" s="1070"/>
      <c r="BT284" s="1070"/>
      <c r="BU284" s="1070"/>
      <c r="BV284" s="1070"/>
      <c r="BW284" s="1070"/>
      <c r="BX284" s="1070"/>
      <c r="BY284" s="1070"/>
      <c r="BZ284" s="1070"/>
      <c r="CA284" s="1070"/>
      <c r="CB284" s="1070"/>
      <c r="CC284" s="1070"/>
      <c r="CD284" s="1070"/>
      <c r="CE284" s="1070"/>
      <c r="CF284" s="1070"/>
      <c r="CG284" s="1070"/>
      <c r="CH284" s="1070"/>
      <c r="CI284" s="1070"/>
      <c r="CJ284" s="1070"/>
      <c r="CK284" s="1070"/>
      <c r="CL284" s="1070"/>
      <c r="CM284" s="1070"/>
      <c r="CN284" s="1070"/>
      <c r="CO284" s="1070"/>
      <c r="CP284" s="1070"/>
      <c r="CQ284" s="1070"/>
      <c r="CR284" s="1070"/>
      <c r="CS284" s="1070"/>
      <c r="CT284" s="1070"/>
      <c r="CU284" s="1070"/>
      <c r="CV284" s="1070"/>
      <c r="CW284" s="1070"/>
      <c r="CX284" s="1070"/>
      <c r="CY284" s="1070"/>
      <c r="CZ284" s="1070"/>
      <c r="DA284" s="1070"/>
      <c r="DB284" s="1070"/>
      <c r="DC284" s="1070"/>
      <c r="DD284" s="1070"/>
      <c r="DE284" s="1070"/>
      <c r="DF284" s="1070"/>
      <c r="DG284" s="1070"/>
      <c r="DH284" s="1070"/>
      <c r="DI284" s="1070"/>
      <c r="DJ284" s="1070"/>
    </row>
    <row r="285" spans="1:114" s="1136" customFormat="1" ht="27.75" customHeight="1" x14ac:dyDescent="0.25">
      <c r="A285" s="1950" t="s">
        <v>4819</v>
      </c>
      <c r="B285" s="1404"/>
      <c r="C285" s="1070"/>
      <c r="D285" s="1070"/>
      <c r="E285" s="1070"/>
      <c r="F285" s="1070"/>
      <c r="G285" s="1070"/>
      <c r="H285" s="1070"/>
      <c r="I285" s="1070"/>
      <c r="J285" s="1315"/>
      <c r="K285" s="1316"/>
      <c r="L285" s="1316"/>
      <c r="M285" s="1315"/>
      <c r="N285" s="1070"/>
      <c r="O285" s="1070"/>
      <c r="P285" s="1070"/>
      <c r="Q285" s="1070"/>
      <c r="R285" s="1070"/>
      <c r="S285" s="1070"/>
      <c r="T285" s="1070"/>
      <c r="U285" s="1070"/>
      <c r="V285" s="1070"/>
      <c r="W285" s="1070"/>
      <c r="X285" s="1070"/>
      <c r="Y285" s="1070"/>
      <c r="Z285" s="1070"/>
      <c r="AA285" s="1070"/>
      <c r="AB285" s="1070"/>
      <c r="AC285" s="1070"/>
      <c r="AD285" s="1070"/>
      <c r="AE285" s="1070"/>
      <c r="AF285" s="1070"/>
      <c r="AG285" s="1070"/>
      <c r="AH285" s="1070"/>
      <c r="AI285" s="1070"/>
      <c r="AJ285" s="1070"/>
      <c r="AK285" s="1070"/>
      <c r="AL285" s="1070"/>
      <c r="AM285" s="1070"/>
      <c r="AN285" s="1070"/>
      <c r="AO285" s="1070"/>
      <c r="AP285" s="1070"/>
      <c r="AQ285" s="1070"/>
      <c r="AR285" s="1070"/>
      <c r="AS285" s="1070"/>
      <c r="AT285" s="1070"/>
      <c r="AU285" s="1070"/>
      <c r="AV285" s="1070"/>
      <c r="AW285" s="1070"/>
      <c r="AX285" s="1070"/>
      <c r="AY285" s="1070"/>
      <c r="AZ285" s="1070"/>
      <c r="BA285" s="1070"/>
      <c r="BB285" s="1070"/>
      <c r="BC285" s="1070"/>
      <c r="BD285" s="1070"/>
      <c r="BE285" s="1070"/>
      <c r="BF285" s="1070"/>
      <c r="BG285" s="1070"/>
      <c r="BH285" s="1070"/>
      <c r="BI285" s="1070"/>
      <c r="BJ285" s="1070"/>
      <c r="BK285" s="1070"/>
      <c r="BL285" s="1070"/>
      <c r="BM285" s="1070"/>
      <c r="BN285" s="1070"/>
      <c r="BO285" s="1070"/>
      <c r="BP285" s="1070"/>
      <c r="BQ285" s="1070"/>
      <c r="BR285" s="1070"/>
      <c r="BS285" s="1070"/>
      <c r="BT285" s="1070"/>
      <c r="BU285" s="1070"/>
      <c r="BV285" s="1070"/>
      <c r="BW285" s="1070"/>
      <c r="BX285" s="1070"/>
      <c r="BY285" s="1070"/>
      <c r="BZ285" s="1070"/>
      <c r="CA285" s="1070"/>
      <c r="CB285" s="1070"/>
      <c r="CC285" s="1070"/>
      <c r="CD285" s="1070"/>
      <c r="CE285" s="1070"/>
      <c r="CF285" s="1070"/>
      <c r="CG285" s="1070"/>
      <c r="CH285" s="1070"/>
      <c r="CI285" s="1070"/>
      <c r="CJ285" s="1070"/>
      <c r="CK285" s="1070"/>
      <c r="CL285" s="1070"/>
      <c r="CM285" s="1070"/>
      <c r="CN285" s="1070"/>
      <c r="CO285" s="1070"/>
      <c r="CP285" s="1070"/>
      <c r="CQ285" s="1070"/>
      <c r="CR285" s="1070"/>
      <c r="CS285" s="1070"/>
      <c r="CT285" s="1070"/>
      <c r="CU285" s="1070"/>
      <c r="CV285" s="1070"/>
      <c r="CW285" s="1070"/>
      <c r="CX285" s="1070"/>
      <c r="CY285" s="1070"/>
      <c r="CZ285" s="1070"/>
      <c r="DA285" s="1070"/>
      <c r="DB285" s="1070"/>
      <c r="DC285" s="1070"/>
      <c r="DD285" s="1070"/>
      <c r="DE285" s="1070"/>
      <c r="DF285" s="1070"/>
      <c r="DG285" s="1070"/>
      <c r="DH285" s="1070"/>
      <c r="DI285" s="1070"/>
      <c r="DJ285" s="1070"/>
    </row>
    <row r="286" spans="1:114" s="1136" customFormat="1" ht="27.75" customHeight="1" x14ac:dyDescent="0.2">
      <c r="A286" s="1951" t="s">
        <v>1730</v>
      </c>
      <c r="B286" s="1406">
        <f>IF(B173&lt;1.01,1,IF(B173&lt;1.11,2,IF(B173&lt;1.21,3,IF(B173&lt;1.31,4,IF(B173&lt;1.41,5,IF(B173&lt;1.51,6,B287))))))</f>
        <v>12</v>
      </c>
      <c r="C286" s="1407"/>
      <c r="D286" s="1407"/>
      <c r="E286" s="1407"/>
      <c r="F286" s="1407"/>
      <c r="G286" s="1407"/>
      <c r="H286" s="1070"/>
      <c r="I286" s="1070"/>
      <c r="J286" s="1315"/>
      <c r="K286" s="1316"/>
      <c r="L286" s="1316"/>
      <c r="M286" s="1315"/>
      <c r="N286" s="1070"/>
      <c r="O286" s="1070"/>
      <c r="P286" s="1070"/>
      <c r="Q286" s="1070"/>
      <c r="R286" s="1070"/>
      <c r="S286" s="1070"/>
      <c r="T286" s="1070"/>
      <c r="U286" s="1070"/>
      <c r="V286" s="1070"/>
      <c r="W286" s="1070"/>
      <c r="X286" s="1070"/>
      <c r="Y286" s="1070"/>
      <c r="Z286" s="1070"/>
      <c r="AA286" s="1070"/>
      <c r="AB286" s="1070"/>
      <c r="AC286" s="1070"/>
      <c r="AD286" s="1070"/>
      <c r="AE286" s="1070"/>
      <c r="AF286" s="1070"/>
      <c r="AG286" s="1070"/>
      <c r="AH286" s="1070"/>
      <c r="AI286" s="1070"/>
      <c r="AJ286" s="1070"/>
      <c r="AK286" s="1070"/>
      <c r="AL286" s="1070"/>
      <c r="AM286" s="1070"/>
      <c r="AN286" s="1070"/>
      <c r="AO286" s="1070"/>
      <c r="AP286" s="1070"/>
      <c r="AQ286" s="1070"/>
      <c r="AR286" s="1070"/>
      <c r="AS286" s="1070"/>
      <c r="AT286" s="1070"/>
      <c r="AU286" s="1070"/>
      <c r="AV286" s="1070"/>
      <c r="AW286" s="1070"/>
      <c r="AX286" s="1070"/>
      <c r="AY286" s="1070"/>
      <c r="AZ286" s="1070"/>
      <c r="BA286" s="1070"/>
      <c r="BB286" s="1070"/>
      <c r="BC286" s="1070"/>
      <c r="BD286" s="1070"/>
      <c r="BE286" s="1070"/>
      <c r="BF286" s="1070"/>
      <c r="BG286" s="1070"/>
      <c r="BH286" s="1070"/>
      <c r="BI286" s="1070"/>
      <c r="BJ286" s="1070"/>
      <c r="BK286" s="1070"/>
      <c r="BL286" s="1070"/>
      <c r="BM286" s="1070"/>
      <c r="BN286" s="1070"/>
      <c r="BO286" s="1070"/>
      <c r="BP286" s="1070"/>
      <c r="BQ286" s="1070"/>
      <c r="BR286" s="1070"/>
      <c r="BS286" s="1070"/>
      <c r="BT286" s="1070"/>
      <c r="BU286" s="1070"/>
      <c r="BV286" s="1070"/>
      <c r="BW286" s="1070"/>
      <c r="BX286" s="1070"/>
      <c r="BY286" s="1070"/>
      <c r="BZ286" s="1070"/>
      <c r="CA286" s="1070"/>
      <c r="CB286" s="1070"/>
      <c r="CC286" s="1070"/>
      <c r="CD286" s="1070"/>
      <c r="CE286" s="1070"/>
      <c r="CF286" s="1070"/>
      <c r="CG286" s="1070"/>
      <c r="CH286" s="1070"/>
      <c r="CI286" s="1070"/>
      <c r="CJ286" s="1070"/>
      <c r="CK286" s="1070"/>
      <c r="CL286" s="1070"/>
      <c r="CM286" s="1070"/>
      <c r="CN286" s="1070"/>
      <c r="CO286" s="1070"/>
      <c r="CP286" s="1070"/>
      <c r="CQ286" s="1070"/>
      <c r="CR286" s="1070"/>
      <c r="CS286" s="1070"/>
      <c r="CT286" s="1070"/>
      <c r="CU286" s="1070"/>
      <c r="CV286" s="1070"/>
      <c r="CW286" s="1070"/>
      <c r="CX286" s="1070"/>
      <c r="CY286" s="1070"/>
      <c r="CZ286" s="1070"/>
      <c r="DA286" s="1070"/>
      <c r="DB286" s="1070"/>
      <c r="DC286" s="1070"/>
      <c r="DD286" s="1070"/>
      <c r="DE286" s="1070"/>
      <c r="DF286" s="1070"/>
      <c r="DG286" s="1070"/>
      <c r="DH286" s="1070"/>
      <c r="DI286" s="1070"/>
      <c r="DJ286" s="1070"/>
    </row>
    <row r="287" spans="1:114" s="1136" customFormat="1" ht="27.75" customHeight="1" x14ac:dyDescent="0.2">
      <c r="A287" s="1951" t="s">
        <v>1731</v>
      </c>
      <c r="B287" s="1406">
        <f>IF(B173&lt;1.61,7,IF(B173&lt;1.71,8,IF(B173&lt;1.81,9,IF(B173&lt;1.91,10,IF(B173&lt;2.01,11,12)))))</f>
        <v>12</v>
      </c>
      <c r="C287" s="1407"/>
      <c r="D287" s="1407"/>
      <c r="E287" s="1407"/>
      <c r="F287" s="1407"/>
      <c r="G287" s="1407"/>
      <c r="H287" s="1070"/>
      <c r="I287" s="1070"/>
      <c r="J287" s="1315"/>
      <c r="K287" s="1316"/>
      <c r="L287" s="1316"/>
      <c r="M287" s="1315"/>
      <c r="N287" s="1070"/>
      <c r="O287" s="1070"/>
      <c r="P287" s="1070"/>
      <c r="Q287" s="1070"/>
      <c r="R287" s="1070"/>
      <c r="S287" s="1070"/>
      <c r="T287" s="1070"/>
      <c r="U287" s="1070"/>
      <c r="V287" s="1070"/>
      <c r="W287" s="1070"/>
      <c r="X287" s="1070"/>
      <c r="Y287" s="1070"/>
      <c r="Z287" s="1070"/>
      <c r="AA287" s="1070"/>
      <c r="AB287" s="1070"/>
      <c r="AC287" s="1070"/>
      <c r="AD287" s="1070"/>
      <c r="AE287" s="1070"/>
      <c r="AF287" s="1070"/>
      <c r="AG287" s="1070"/>
      <c r="AH287" s="1070"/>
      <c r="AI287" s="1070"/>
      <c r="AJ287" s="1070"/>
      <c r="AK287" s="1070"/>
      <c r="AL287" s="1070"/>
      <c r="AM287" s="1070"/>
      <c r="AN287" s="1070"/>
      <c r="AO287" s="1070"/>
      <c r="AP287" s="1070"/>
      <c r="AQ287" s="1070"/>
      <c r="AR287" s="1070"/>
      <c r="AS287" s="1070"/>
      <c r="AT287" s="1070"/>
      <c r="AU287" s="1070"/>
      <c r="AV287" s="1070"/>
      <c r="AW287" s="1070"/>
      <c r="AX287" s="1070"/>
      <c r="AY287" s="1070"/>
      <c r="AZ287" s="1070"/>
      <c r="BA287" s="1070"/>
      <c r="BB287" s="1070"/>
      <c r="BC287" s="1070"/>
      <c r="BD287" s="1070"/>
      <c r="BE287" s="1070"/>
      <c r="BF287" s="1070"/>
      <c r="BG287" s="1070"/>
      <c r="BH287" s="1070"/>
      <c r="BI287" s="1070"/>
      <c r="BJ287" s="1070"/>
      <c r="BK287" s="1070"/>
      <c r="BL287" s="1070"/>
      <c r="BM287" s="1070"/>
      <c r="BN287" s="1070"/>
      <c r="BO287" s="1070"/>
      <c r="BP287" s="1070"/>
      <c r="BQ287" s="1070"/>
      <c r="BR287" s="1070"/>
      <c r="BS287" s="1070"/>
      <c r="BT287" s="1070"/>
      <c r="BU287" s="1070"/>
      <c r="BV287" s="1070"/>
      <c r="BW287" s="1070"/>
      <c r="BX287" s="1070"/>
      <c r="BY287" s="1070"/>
      <c r="BZ287" s="1070"/>
      <c r="CA287" s="1070"/>
      <c r="CB287" s="1070"/>
      <c r="CC287" s="1070"/>
      <c r="CD287" s="1070"/>
      <c r="CE287" s="1070"/>
      <c r="CF287" s="1070"/>
      <c r="CG287" s="1070"/>
      <c r="CH287" s="1070"/>
      <c r="CI287" s="1070"/>
      <c r="CJ287" s="1070"/>
      <c r="CK287" s="1070"/>
      <c r="CL287" s="1070"/>
      <c r="CM287" s="1070"/>
      <c r="CN287" s="1070"/>
      <c r="CO287" s="1070"/>
      <c r="CP287" s="1070"/>
      <c r="CQ287" s="1070"/>
      <c r="CR287" s="1070"/>
      <c r="CS287" s="1070"/>
      <c r="CT287" s="1070"/>
      <c r="CU287" s="1070"/>
      <c r="CV287" s="1070"/>
      <c r="CW287" s="1070"/>
      <c r="CX287" s="1070"/>
      <c r="CY287" s="1070"/>
      <c r="CZ287" s="1070"/>
      <c r="DA287" s="1070"/>
      <c r="DB287" s="1070"/>
      <c r="DC287" s="1070"/>
      <c r="DD287" s="1070"/>
      <c r="DE287" s="1070"/>
      <c r="DF287" s="1070"/>
      <c r="DG287" s="1070"/>
      <c r="DH287" s="1070"/>
      <c r="DI287" s="1070"/>
      <c r="DJ287" s="1070"/>
    </row>
    <row r="288" spans="1:114" s="1136" customFormat="1" ht="15" x14ac:dyDescent="0.2">
      <c r="A288" s="1952" t="s">
        <v>1732</v>
      </c>
      <c r="B288" s="1641" t="e">
        <f>IF(B365&lt;8,8,IF(B365&gt;18,18,B365))</f>
        <v>#VALUE!</v>
      </c>
      <c r="C288" s="1407"/>
      <c r="D288" s="1407"/>
      <c r="E288" s="1407"/>
      <c r="F288" s="1407"/>
      <c r="G288" s="1407"/>
      <c r="H288" s="1070"/>
      <c r="I288" s="1070"/>
      <c r="J288" s="1070"/>
      <c r="K288" s="1070"/>
      <c r="L288" s="1070"/>
      <c r="M288" s="1070"/>
      <c r="N288" s="1070"/>
      <c r="O288" s="1070"/>
      <c r="P288" s="1070"/>
      <c r="Q288" s="1070"/>
      <c r="R288" s="1070"/>
      <c r="S288" s="1070"/>
      <c r="T288" s="1070"/>
      <c r="U288" s="1070"/>
      <c r="V288" s="1070"/>
      <c r="W288" s="1070"/>
      <c r="X288" s="1070"/>
      <c r="Y288" s="1070"/>
      <c r="Z288" s="1070"/>
      <c r="AA288" s="1070"/>
      <c r="AB288" s="1070"/>
      <c r="AC288" s="1070"/>
      <c r="AD288" s="1070"/>
      <c r="AE288" s="1070"/>
      <c r="AF288" s="1070"/>
      <c r="AG288" s="1070"/>
      <c r="AH288" s="1070"/>
      <c r="AI288" s="1070"/>
      <c r="AJ288" s="1070"/>
      <c r="AK288" s="1070"/>
      <c r="AL288" s="1070"/>
      <c r="AM288" s="1070"/>
      <c r="AN288" s="1070"/>
      <c r="AO288" s="1070"/>
      <c r="AP288" s="1070"/>
      <c r="AQ288" s="1070"/>
      <c r="AR288" s="1070"/>
      <c r="AS288" s="1070"/>
      <c r="AT288" s="1070"/>
      <c r="AU288" s="1070"/>
      <c r="AV288" s="1070"/>
      <c r="AW288" s="1070"/>
      <c r="AX288" s="1070"/>
      <c r="AY288" s="1070"/>
      <c r="AZ288" s="1070"/>
      <c r="BA288" s="1070"/>
      <c r="BB288" s="1070"/>
      <c r="BC288" s="1070"/>
      <c r="BD288" s="1070"/>
      <c r="BE288" s="1070"/>
      <c r="BF288" s="1070"/>
      <c r="BG288" s="1070"/>
      <c r="BH288" s="1070"/>
      <c r="BI288" s="1070"/>
      <c r="BJ288" s="1070"/>
      <c r="BK288" s="1070"/>
      <c r="BL288" s="1070"/>
      <c r="BM288" s="1070"/>
      <c r="BN288" s="1070"/>
      <c r="BO288" s="1070"/>
      <c r="BP288" s="1070"/>
      <c r="BQ288" s="1070"/>
      <c r="BR288" s="1070"/>
      <c r="BS288" s="1070"/>
      <c r="BT288" s="1070"/>
      <c r="BU288" s="1070"/>
      <c r="BV288" s="1070"/>
      <c r="BW288" s="1070"/>
      <c r="BX288" s="1070"/>
      <c r="BY288" s="1070"/>
      <c r="BZ288" s="1070"/>
      <c r="CA288" s="1070"/>
      <c r="CB288" s="1070"/>
      <c r="CC288" s="1070"/>
      <c r="CD288" s="1070"/>
      <c r="CE288" s="1070"/>
      <c r="CF288" s="1070"/>
      <c r="CG288" s="1070"/>
      <c r="CH288" s="1070"/>
      <c r="CI288" s="1070"/>
      <c r="CJ288" s="1070"/>
      <c r="CK288" s="1070"/>
      <c r="CL288" s="1070"/>
      <c r="CM288" s="1070"/>
      <c r="CN288" s="1070"/>
      <c r="CO288" s="1070"/>
      <c r="CP288" s="1070"/>
      <c r="CQ288" s="1070"/>
      <c r="CR288" s="1070"/>
      <c r="CS288" s="1070"/>
      <c r="CT288" s="1070"/>
      <c r="CU288" s="1070"/>
      <c r="CV288" s="1070"/>
      <c r="CW288" s="1070"/>
      <c r="CX288" s="1070"/>
      <c r="CY288" s="1070"/>
      <c r="CZ288" s="1070"/>
      <c r="DA288" s="1070"/>
      <c r="DB288" s="1070"/>
      <c r="DC288" s="1070"/>
      <c r="DD288" s="1070"/>
      <c r="DE288" s="1070"/>
      <c r="DF288" s="1070"/>
      <c r="DG288" s="1070"/>
      <c r="DH288" s="1070"/>
      <c r="DI288" s="1070"/>
      <c r="DJ288" s="1070"/>
    </row>
    <row r="289" spans="1:114" s="1136" customFormat="1" ht="27.75" customHeight="1" x14ac:dyDescent="0.2">
      <c r="A289" s="1951" t="s">
        <v>1733</v>
      </c>
      <c r="B289" s="1406" t="e">
        <f>B288-7</f>
        <v>#VALUE!</v>
      </c>
      <c r="C289" s="1407"/>
      <c r="D289" s="1407"/>
      <c r="E289" s="1407"/>
      <c r="F289" s="1407"/>
      <c r="G289" s="1407"/>
      <c r="H289" s="1070"/>
      <c r="I289" s="1070"/>
      <c r="J289" s="1315"/>
      <c r="K289" s="1316"/>
      <c r="L289" s="1316"/>
      <c r="M289" s="1315"/>
      <c r="N289" s="1070"/>
      <c r="O289" s="1070"/>
      <c r="P289" s="1070"/>
      <c r="Q289" s="1070"/>
      <c r="R289" s="1070"/>
      <c r="S289" s="1070"/>
      <c r="T289" s="1070"/>
      <c r="U289" s="1070"/>
      <c r="V289" s="1070"/>
      <c r="W289" s="1070"/>
      <c r="X289" s="1070"/>
      <c r="Y289" s="1070"/>
      <c r="Z289" s="1070"/>
      <c r="AA289" s="1070"/>
      <c r="AB289" s="1070"/>
      <c r="AC289" s="1070"/>
      <c r="AD289" s="1070"/>
      <c r="AE289" s="1070"/>
      <c r="AF289" s="1070"/>
      <c r="AG289" s="1070"/>
      <c r="AH289" s="1070"/>
      <c r="AI289" s="1070"/>
      <c r="AJ289" s="1070"/>
      <c r="AK289" s="1070"/>
      <c r="AL289" s="1070"/>
      <c r="AM289" s="1070"/>
      <c r="AN289" s="1070"/>
      <c r="AO289" s="1070"/>
      <c r="AP289" s="1070"/>
      <c r="AQ289" s="1070"/>
      <c r="AR289" s="1070"/>
      <c r="AS289" s="1070"/>
      <c r="AT289" s="1070"/>
      <c r="AU289" s="1070"/>
      <c r="AV289" s="1070"/>
      <c r="AW289" s="1070"/>
      <c r="AX289" s="1070"/>
      <c r="AY289" s="1070"/>
      <c r="AZ289" s="1070"/>
      <c r="BA289" s="1070"/>
      <c r="BB289" s="1070"/>
      <c r="BC289" s="1070"/>
      <c r="BD289" s="1070"/>
      <c r="BE289" s="1070"/>
      <c r="BF289" s="1070"/>
      <c r="BG289" s="1070"/>
      <c r="BH289" s="1070"/>
      <c r="BI289" s="1070"/>
      <c r="BJ289" s="1070"/>
      <c r="BK289" s="1070"/>
      <c r="BL289" s="1070"/>
      <c r="BM289" s="1070"/>
      <c r="BN289" s="1070"/>
      <c r="BO289" s="1070"/>
      <c r="BP289" s="1070"/>
      <c r="BQ289" s="1070"/>
      <c r="BR289" s="1070"/>
      <c r="BS289" s="1070"/>
      <c r="BT289" s="1070"/>
      <c r="BU289" s="1070"/>
      <c r="BV289" s="1070"/>
      <c r="BW289" s="1070"/>
      <c r="BX289" s="1070"/>
      <c r="BY289" s="1070"/>
      <c r="BZ289" s="1070"/>
      <c r="CA289" s="1070"/>
      <c r="CB289" s="1070"/>
      <c r="CC289" s="1070"/>
      <c r="CD289" s="1070"/>
      <c r="CE289" s="1070"/>
      <c r="CF289" s="1070"/>
      <c r="CG289" s="1070"/>
      <c r="CH289" s="1070"/>
      <c r="CI289" s="1070"/>
      <c r="CJ289" s="1070"/>
      <c r="CK289" s="1070"/>
      <c r="CL289" s="1070"/>
      <c r="CM289" s="1070"/>
      <c r="CN289" s="1070"/>
      <c r="CO289" s="1070"/>
      <c r="CP289" s="1070"/>
      <c r="CQ289" s="1070"/>
      <c r="CR289" s="1070"/>
      <c r="CS289" s="1070"/>
      <c r="CT289" s="1070"/>
      <c r="CU289" s="1070"/>
      <c r="CV289" s="1070"/>
      <c r="CW289" s="1070"/>
      <c r="CX289" s="1070"/>
      <c r="CY289" s="1070"/>
      <c r="CZ289" s="1070"/>
      <c r="DA289" s="1070"/>
      <c r="DB289" s="1070"/>
      <c r="DC289" s="1070"/>
      <c r="DD289" s="1070"/>
      <c r="DE289" s="1070"/>
      <c r="DF289" s="1070"/>
      <c r="DG289" s="1070"/>
      <c r="DH289" s="1070"/>
      <c r="DI289" s="1070"/>
      <c r="DJ289" s="1070"/>
    </row>
    <row r="290" spans="1:114" s="1136" customFormat="1" ht="27.75" customHeight="1" x14ac:dyDescent="0.25">
      <c r="A290" s="1953" t="s">
        <v>1734</v>
      </c>
      <c r="B290" s="1406">
        <v>5.4320000000000004</v>
      </c>
      <c r="C290" s="1407"/>
      <c r="D290" s="1407"/>
      <c r="E290" s="1407"/>
      <c r="F290" s="1407"/>
      <c r="G290" s="1407"/>
      <c r="H290" s="1070"/>
      <c r="I290" s="1070"/>
      <c r="J290" s="1315"/>
      <c r="K290" s="1316"/>
      <c r="L290" s="1316"/>
      <c r="M290" s="1315"/>
      <c r="N290" s="1070"/>
      <c r="O290" s="1070"/>
      <c r="P290" s="1070"/>
      <c r="Q290" s="1070"/>
      <c r="R290" s="1070"/>
      <c r="S290" s="1070"/>
      <c r="T290" s="1070"/>
      <c r="U290" s="1070"/>
      <c r="V290" s="1070"/>
      <c r="W290" s="1070"/>
      <c r="X290" s="1070"/>
      <c r="Y290" s="1070"/>
      <c r="Z290" s="1070"/>
      <c r="AA290" s="1070"/>
      <c r="AB290" s="1070"/>
      <c r="AC290" s="1070"/>
      <c r="AD290" s="1070"/>
      <c r="AE290" s="1070"/>
      <c r="AF290" s="1070"/>
      <c r="AG290" s="1070"/>
      <c r="AH290" s="1070"/>
      <c r="AI290" s="1070"/>
      <c r="AJ290" s="1070"/>
      <c r="AK290" s="1070"/>
      <c r="AL290" s="1070"/>
      <c r="AM290" s="1070"/>
      <c r="AN290" s="1070"/>
      <c r="AO290" s="1070"/>
      <c r="AP290" s="1070"/>
      <c r="AQ290" s="1070"/>
      <c r="AR290" s="1070"/>
      <c r="AS290" s="1070"/>
      <c r="AT290" s="1070"/>
      <c r="AU290" s="1070"/>
      <c r="AV290" s="1070"/>
      <c r="AW290" s="1070"/>
      <c r="AX290" s="1070"/>
      <c r="AY290" s="1070"/>
      <c r="AZ290" s="1070"/>
      <c r="BA290" s="1070"/>
      <c r="BB290" s="1070"/>
      <c r="BC290" s="1070"/>
      <c r="BD290" s="1070"/>
      <c r="BE290" s="1070"/>
      <c r="BF290" s="1070"/>
      <c r="BG290" s="1070"/>
      <c r="BH290" s="1070"/>
      <c r="BI290" s="1070"/>
      <c r="BJ290" s="1070"/>
      <c r="BK290" s="1070"/>
      <c r="BL290" s="1070"/>
      <c r="BM290" s="1070"/>
      <c r="BN290" s="1070"/>
      <c r="BO290" s="1070"/>
      <c r="BP290" s="1070"/>
      <c r="BQ290" s="1070"/>
      <c r="BR290" s="1070"/>
      <c r="BS290" s="1070"/>
      <c r="BT290" s="1070"/>
      <c r="BU290" s="1070"/>
      <c r="BV290" s="1070"/>
      <c r="BW290" s="1070"/>
      <c r="BX290" s="1070"/>
      <c r="BY290" s="1070"/>
      <c r="BZ290" s="1070"/>
      <c r="CA290" s="1070"/>
      <c r="CB290" s="1070"/>
      <c r="CC290" s="1070"/>
      <c r="CD290" s="1070"/>
      <c r="CE290" s="1070"/>
      <c r="CF290" s="1070"/>
      <c r="CG290" s="1070"/>
      <c r="CH290" s="1070"/>
      <c r="CI290" s="1070"/>
      <c r="CJ290" s="1070"/>
      <c r="CK290" s="1070"/>
      <c r="CL290" s="1070"/>
      <c r="CM290" s="1070"/>
      <c r="CN290" s="1070"/>
      <c r="CO290" s="1070"/>
      <c r="CP290" s="1070"/>
      <c r="CQ290" s="1070"/>
      <c r="CR290" s="1070"/>
      <c r="CS290" s="1070"/>
      <c r="CT290" s="1070"/>
      <c r="CU290" s="1070"/>
      <c r="CV290" s="1070"/>
      <c r="CW290" s="1070"/>
      <c r="CX290" s="1070"/>
      <c r="CY290" s="1070"/>
      <c r="CZ290" s="1070"/>
      <c r="DA290" s="1070"/>
      <c r="DB290" s="1070"/>
      <c r="DC290" s="1070"/>
      <c r="DD290" s="1070"/>
      <c r="DE290" s="1070"/>
      <c r="DF290" s="1070"/>
      <c r="DG290" s="1070"/>
      <c r="DH290" s="1070"/>
      <c r="DI290" s="1070"/>
      <c r="DJ290" s="1070"/>
    </row>
    <row r="291" spans="1:114" s="1136" customFormat="1" ht="27.75" customHeight="1" x14ac:dyDescent="0.2">
      <c r="A291" s="1951" t="s">
        <v>1735</v>
      </c>
      <c r="B291" s="1406" t="b">
        <v>0</v>
      </c>
      <c r="C291" s="1407"/>
      <c r="D291" s="1407"/>
      <c r="E291" s="1407"/>
      <c r="F291" s="1407"/>
      <c r="G291" s="1407"/>
      <c r="H291" s="1070"/>
      <c r="I291" s="1070"/>
      <c r="J291" s="1315"/>
      <c r="K291" s="1316"/>
      <c r="L291" s="1316"/>
      <c r="M291" s="1315"/>
      <c r="N291" s="1070"/>
      <c r="O291" s="1070"/>
      <c r="P291" s="1070"/>
      <c r="Q291" s="1070"/>
      <c r="R291" s="1070"/>
      <c r="S291" s="1070"/>
      <c r="T291" s="1070"/>
      <c r="U291" s="1070"/>
      <c r="V291" s="1070"/>
      <c r="W291" s="1070"/>
      <c r="X291" s="1070"/>
      <c r="Y291" s="1070"/>
      <c r="Z291" s="1070"/>
      <c r="AA291" s="1070"/>
      <c r="AB291" s="1070"/>
      <c r="AC291" s="1070"/>
      <c r="AD291" s="1070"/>
      <c r="AE291" s="1070"/>
      <c r="AF291" s="1070"/>
      <c r="AG291" s="1070"/>
      <c r="AH291" s="1070"/>
      <c r="AI291" s="1070"/>
      <c r="AJ291" s="1070"/>
      <c r="AK291" s="1070"/>
      <c r="AL291" s="1070"/>
      <c r="AM291" s="1070"/>
      <c r="AN291" s="1070"/>
      <c r="AO291" s="1070"/>
      <c r="AP291" s="1070"/>
      <c r="AQ291" s="1070"/>
      <c r="AR291" s="1070"/>
      <c r="AS291" s="1070"/>
      <c r="AT291" s="1070"/>
      <c r="AU291" s="1070"/>
      <c r="AV291" s="1070"/>
      <c r="AW291" s="1070"/>
      <c r="AX291" s="1070"/>
      <c r="AY291" s="1070"/>
      <c r="AZ291" s="1070"/>
      <c r="BA291" s="1070"/>
      <c r="BB291" s="1070"/>
      <c r="BC291" s="1070"/>
      <c r="BD291" s="1070"/>
      <c r="BE291" s="1070"/>
      <c r="BF291" s="1070"/>
      <c r="BG291" s="1070"/>
      <c r="BH291" s="1070"/>
      <c r="BI291" s="1070"/>
      <c r="BJ291" s="1070"/>
      <c r="BK291" s="1070"/>
      <c r="BL291" s="1070"/>
      <c r="BM291" s="1070"/>
      <c r="BN291" s="1070"/>
      <c r="BO291" s="1070"/>
      <c r="BP291" s="1070"/>
      <c r="BQ291" s="1070"/>
      <c r="BR291" s="1070"/>
      <c r="BS291" s="1070"/>
      <c r="BT291" s="1070"/>
      <c r="BU291" s="1070"/>
      <c r="BV291" s="1070"/>
      <c r="BW291" s="1070"/>
      <c r="BX291" s="1070"/>
      <c r="BY291" s="1070"/>
      <c r="BZ291" s="1070"/>
      <c r="CA291" s="1070"/>
      <c r="CB291" s="1070"/>
      <c r="CC291" s="1070"/>
      <c r="CD291" s="1070"/>
      <c r="CE291" s="1070"/>
      <c r="CF291" s="1070"/>
      <c r="CG291" s="1070"/>
      <c r="CH291" s="1070"/>
      <c r="CI291" s="1070"/>
      <c r="CJ291" s="1070"/>
      <c r="CK291" s="1070"/>
      <c r="CL291" s="1070"/>
      <c r="CM291" s="1070"/>
      <c r="CN291" s="1070"/>
      <c r="CO291" s="1070"/>
      <c r="CP291" s="1070"/>
      <c r="CQ291" s="1070"/>
      <c r="CR291" s="1070"/>
      <c r="CS291" s="1070"/>
      <c r="CT291" s="1070"/>
      <c r="CU291" s="1070"/>
      <c r="CV291" s="1070"/>
      <c r="CW291" s="1070"/>
      <c r="CX291" s="1070"/>
      <c r="CY291" s="1070"/>
      <c r="CZ291" s="1070"/>
      <c r="DA291" s="1070"/>
      <c r="DB291" s="1070"/>
      <c r="DC291" s="1070"/>
      <c r="DD291" s="1070"/>
      <c r="DE291" s="1070"/>
      <c r="DF291" s="1070"/>
      <c r="DG291" s="1070"/>
      <c r="DH291" s="1070"/>
      <c r="DI291" s="1070"/>
      <c r="DJ291" s="1070"/>
    </row>
    <row r="292" spans="1:114" s="1136" customFormat="1" ht="27.75" customHeight="1" x14ac:dyDescent="0.2">
      <c r="A292" s="1951" t="s">
        <v>1735</v>
      </c>
      <c r="B292" s="1406" t="b">
        <v>0</v>
      </c>
      <c r="C292" s="1407"/>
      <c r="D292" s="1407"/>
      <c r="E292" s="1407"/>
      <c r="F292" s="1407"/>
      <c r="G292" s="1407"/>
      <c r="H292" s="1070"/>
      <c r="I292" s="1070"/>
      <c r="J292" s="1315"/>
      <c r="K292" s="1316"/>
      <c r="L292" s="1316"/>
      <c r="M292" s="1315"/>
      <c r="N292" s="1070"/>
      <c r="O292" s="1070"/>
      <c r="P292" s="1070"/>
      <c r="Q292" s="1070"/>
      <c r="R292" s="1070"/>
      <c r="S292" s="1070"/>
      <c r="T292" s="1070"/>
      <c r="U292" s="1070"/>
      <c r="V292" s="1070"/>
      <c r="W292" s="1070"/>
      <c r="X292" s="1070"/>
      <c r="Y292" s="1070"/>
      <c r="Z292" s="1070"/>
      <c r="AA292" s="1070"/>
      <c r="AB292" s="1070"/>
      <c r="AC292" s="1070"/>
      <c r="AD292" s="1070"/>
      <c r="AE292" s="1070"/>
      <c r="AF292" s="1070"/>
      <c r="AG292" s="1070"/>
      <c r="AH292" s="1070"/>
      <c r="AI292" s="1070"/>
      <c r="AJ292" s="1070"/>
      <c r="AK292" s="1070"/>
      <c r="AL292" s="1070"/>
      <c r="AM292" s="1070"/>
      <c r="AN292" s="1070"/>
      <c r="AO292" s="1070"/>
      <c r="AP292" s="1070"/>
      <c r="AQ292" s="1070"/>
      <c r="AR292" s="1070"/>
      <c r="AS292" s="1070"/>
      <c r="AT292" s="1070"/>
      <c r="AU292" s="1070"/>
      <c r="AV292" s="1070"/>
      <c r="AW292" s="1070"/>
      <c r="AX292" s="1070"/>
      <c r="AY292" s="1070"/>
      <c r="AZ292" s="1070"/>
      <c r="BA292" s="1070"/>
      <c r="BB292" s="1070"/>
      <c r="BC292" s="1070"/>
      <c r="BD292" s="1070"/>
      <c r="BE292" s="1070"/>
      <c r="BF292" s="1070"/>
      <c r="BG292" s="1070"/>
      <c r="BH292" s="1070"/>
      <c r="BI292" s="1070"/>
      <c r="BJ292" s="1070"/>
      <c r="BK292" s="1070"/>
      <c r="BL292" s="1070"/>
      <c r="BM292" s="1070"/>
      <c r="BN292" s="1070"/>
      <c r="BO292" s="1070"/>
      <c r="BP292" s="1070"/>
      <c r="BQ292" s="1070"/>
      <c r="BR292" s="1070"/>
      <c r="BS292" s="1070"/>
      <c r="BT292" s="1070"/>
      <c r="BU292" s="1070"/>
      <c r="BV292" s="1070"/>
      <c r="BW292" s="1070"/>
      <c r="BX292" s="1070"/>
      <c r="BY292" s="1070"/>
      <c r="BZ292" s="1070"/>
      <c r="CA292" s="1070"/>
      <c r="CB292" s="1070"/>
      <c r="CC292" s="1070"/>
      <c r="CD292" s="1070"/>
      <c r="CE292" s="1070"/>
      <c r="CF292" s="1070"/>
      <c r="CG292" s="1070"/>
      <c r="CH292" s="1070"/>
      <c r="CI292" s="1070"/>
      <c r="CJ292" s="1070"/>
      <c r="CK292" s="1070"/>
      <c r="CL292" s="1070"/>
      <c r="CM292" s="1070"/>
      <c r="CN292" s="1070"/>
      <c r="CO292" s="1070"/>
      <c r="CP292" s="1070"/>
      <c r="CQ292" s="1070"/>
      <c r="CR292" s="1070"/>
      <c r="CS292" s="1070"/>
      <c r="CT292" s="1070"/>
      <c r="CU292" s="1070"/>
      <c r="CV292" s="1070"/>
      <c r="CW292" s="1070"/>
      <c r="CX292" s="1070"/>
      <c r="CY292" s="1070"/>
      <c r="CZ292" s="1070"/>
      <c r="DA292" s="1070"/>
      <c r="DB292" s="1070"/>
      <c r="DC292" s="1070"/>
      <c r="DD292" s="1070"/>
      <c r="DE292" s="1070"/>
      <c r="DF292" s="1070"/>
      <c r="DG292" s="1070"/>
      <c r="DH292" s="1070"/>
      <c r="DI292" s="1070"/>
      <c r="DJ292" s="1070"/>
    </row>
    <row r="293" spans="1:114" s="1136" customFormat="1" ht="27.75" customHeight="1" x14ac:dyDescent="0.2">
      <c r="A293" s="1951" t="s">
        <v>1735</v>
      </c>
      <c r="B293" s="1406" t="b">
        <v>0</v>
      </c>
      <c r="C293" s="1407"/>
      <c r="D293" s="1407"/>
      <c r="E293" s="1407"/>
      <c r="F293" s="1407"/>
      <c r="G293" s="1407"/>
      <c r="H293" s="1070"/>
      <c r="I293" s="1070"/>
      <c r="J293" s="1315"/>
      <c r="K293" s="1316"/>
      <c r="L293" s="1316"/>
      <c r="M293" s="1315"/>
      <c r="N293" s="1070"/>
      <c r="O293" s="1070"/>
      <c r="P293" s="1070"/>
      <c r="Q293" s="1070"/>
      <c r="R293" s="1070"/>
      <c r="S293" s="1070"/>
      <c r="T293" s="1070"/>
      <c r="U293" s="1070"/>
      <c r="V293" s="1070"/>
      <c r="W293" s="1070"/>
      <c r="X293" s="1070"/>
      <c r="Y293" s="1070"/>
      <c r="Z293" s="1070"/>
      <c r="AA293" s="1070"/>
      <c r="AB293" s="1070"/>
      <c r="AC293" s="1070"/>
      <c r="AD293" s="1070"/>
      <c r="AE293" s="1070"/>
      <c r="AF293" s="1070"/>
      <c r="AG293" s="1070"/>
      <c r="AH293" s="1070"/>
      <c r="AI293" s="1070"/>
      <c r="AJ293" s="1070"/>
      <c r="AK293" s="1070"/>
      <c r="AL293" s="1070"/>
      <c r="AM293" s="1070"/>
      <c r="AN293" s="1070"/>
      <c r="AO293" s="1070"/>
      <c r="AP293" s="1070"/>
      <c r="AQ293" s="1070"/>
      <c r="AR293" s="1070"/>
      <c r="AS293" s="1070"/>
      <c r="AT293" s="1070"/>
      <c r="AU293" s="1070"/>
      <c r="AV293" s="1070"/>
      <c r="AW293" s="1070"/>
      <c r="AX293" s="1070"/>
      <c r="AY293" s="1070"/>
      <c r="AZ293" s="1070"/>
      <c r="BA293" s="1070"/>
      <c r="BB293" s="1070"/>
      <c r="BC293" s="1070"/>
      <c r="BD293" s="1070"/>
      <c r="BE293" s="1070"/>
      <c r="BF293" s="1070"/>
      <c r="BG293" s="1070"/>
      <c r="BH293" s="1070"/>
      <c r="BI293" s="1070"/>
      <c r="BJ293" s="1070"/>
      <c r="BK293" s="1070"/>
      <c r="BL293" s="1070"/>
      <c r="BM293" s="1070"/>
      <c r="BN293" s="1070"/>
      <c r="BO293" s="1070"/>
      <c r="BP293" s="1070"/>
      <c r="BQ293" s="1070"/>
      <c r="BR293" s="1070"/>
      <c r="BS293" s="1070"/>
      <c r="BT293" s="1070"/>
      <c r="BU293" s="1070"/>
      <c r="BV293" s="1070"/>
      <c r="BW293" s="1070"/>
      <c r="BX293" s="1070"/>
      <c r="BY293" s="1070"/>
      <c r="BZ293" s="1070"/>
      <c r="CA293" s="1070"/>
      <c r="CB293" s="1070"/>
      <c r="CC293" s="1070"/>
      <c r="CD293" s="1070"/>
      <c r="CE293" s="1070"/>
      <c r="CF293" s="1070"/>
      <c r="CG293" s="1070"/>
      <c r="CH293" s="1070"/>
      <c r="CI293" s="1070"/>
      <c r="CJ293" s="1070"/>
      <c r="CK293" s="1070"/>
      <c r="CL293" s="1070"/>
      <c r="CM293" s="1070"/>
      <c r="CN293" s="1070"/>
      <c r="CO293" s="1070"/>
      <c r="CP293" s="1070"/>
      <c r="CQ293" s="1070"/>
      <c r="CR293" s="1070"/>
      <c r="CS293" s="1070"/>
      <c r="CT293" s="1070"/>
      <c r="CU293" s="1070"/>
      <c r="CV293" s="1070"/>
      <c r="CW293" s="1070"/>
      <c r="CX293" s="1070"/>
      <c r="CY293" s="1070"/>
      <c r="CZ293" s="1070"/>
      <c r="DA293" s="1070"/>
      <c r="DB293" s="1070"/>
      <c r="DC293" s="1070"/>
      <c r="DD293" s="1070"/>
      <c r="DE293" s="1070"/>
      <c r="DF293" s="1070"/>
      <c r="DG293" s="1070"/>
      <c r="DH293" s="1070"/>
      <c r="DI293" s="1070"/>
      <c r="DJ293" s="1070"/>
    </row>
    <row r="294" spans="1:114" s="1136" customFormat="1" ht="27.75" customHeight="1" x14ac:dyDescent="0.25">
      <c r="A294" s="1953" t="s">
        <v>1736</v>
      </c>
      <c r="B294" s="1406">
        <v>152</v>
      </c>
      <c r="C294" s="1407"/>
      <c r="D294" s="1407"/>
      <c r="E294" s="1407"/>
      <c r="F294" s="1407"/>
      <c r="G294" s="1407"/>
      <c r="H294" s="1070"/>
      <c r="I294" s="1070"/>
      <c r="J294" s="1315"/>
      <c r="K294" s="1316"/>
      <c r="L294" s="1316"/>
      <c r="M294" s="1315"/>
      <c r="N294" s="1070"/>
      <c r="O294" s="1070"/>
      <c r="P294" s="1070"/>
      <c r="Q294" s="1070"/>
      <c r="R294" s="1070"/>
      <c r="S294" s="1070"/>
      <c r="T294" s="1070"/>
      <c r="U294" s="1070"/>
      <c r="V294" s="1070"/>
      <c r="W294" s="1070"/>
      <c r="X294" s="1070"/>
      <c r="Y294" s="1070"/>
      <c r="Z294" s="1070"/>
      <c r="AA294" s="1070"/>
      <c r="AB294" s="1070"/>
      <c r="AC294" s="1070"/>
      <c r="AD294" s="1070"/>
      <c r="AE294" s="1070"/>
      <c r="AF294" s="1070"/>
      <c r="AG294" s="1070"/>
      <c r="AH294" s="1070"/>
      <c r="AI294" s="1070"/>
      <c r="AJ294" s="1070"/>
      <c r="AK294" s="1070"/>
      <c r="AL294" s="1070"/>
      <c r="AM294" s="1070"/>
      <c r="AN294" s="1070"/>
      <c r="AO294" s="1070"/>
      <c r="AP294" s="1070"/>
      <c r="AQ294" s="1070"/>
      <c r="AR294" s="1070"/>
      <c r="AS294" s="1070"/>
      <c r="AT294" s="1070"/>
      <c r="AU294" s="1070"/>
      <c r="AV294" s="1070"/>
      <c r="AW294" s="1070"/>
      <c r="AX294" s="1070"/>
      <c r="AY294" s="1070"/>
      <c r="AZ294" s="1070"/>
      <c r="BA294" s="1070"/>
      <c r="BB294" s="1070"/>
      <c r="BC294" s="1070"/>
      <c r="BD294" s="1070"/>
      <c r="BE294" s="1070"/>
      <c r="BF294" s="1070"/>
      <c r="BG294" s="1070"/>
      <c r="BH294" s="1070"/>
      <c r="BI294" s="1070"/>
      <c r="BJ294" s="1070"/>
      <c r="BK294" s="1070"/>
      <c r="BL294" s="1070"/>
      <c r="BM294" s="1070"/>
      <c r="BN294" s="1070"/>
      <c r="BO294" s="1070"/>
      <c r="BP294" s="1070"/>
      <c r="BQ294" s="1070"/>
      <c r="BR294" s="1070"/>
      <c r="BS294" s="1070"/>
      <c r="BT294" s="1070"/>
      <c r="BU294" s="1070"/>
      <c r="BV294" s="1070"/>
      <c r="BW294" s="1070"/>
      <c r="BX294" s="1070"/>
      <c r="BY294" s="1070"/>
      <c r="BZ294" s="1070"/>
      <c r="CA294" s="1070"/>
      <c r="CB294" s="1070"/>
      <c r="CC294" s="1070"/>
      <c r="CD294" s="1070"/>
      <c r="CE294" s="1070"/>
      <c r="CF294" s="1070"/>
      <c r="CG294" s="1070"/>
      <c r="CH294" s="1070"/>
      <c r="CI294" s="1070"/>
      <c r="CJ294" s="1070"/>
      <c r="CK294" s="1070"/>
      <c r="CL294" s="1070"/>
      <c r="CM294" s="1070"/>
      <c r="CN294" s="1070"/>
      <c r="CO294" s="1070"/>
      <c r="CP294" s="1070"/>
      <c r="CQ294" s="1070"/>
      <c r="CR294" s="1070"/>
      <c r="CS294" s="1070"/>
      <c r="CT294" s="1070"/>
      <c r="CU294" s="1070"/>
      <c r="CV294" s="1070"/>
      <c r="CW294" s="1070"/>
      <c r="CX294" s="1070"/>
      <c r="CY294" s="1070"/>
      <c r="CZ294" s="1070"/>
      <c r="DA294" s="1070"/>
      <c r="DB294" s="1070"/>
      <c r="DC294" s="1070"/>
      <c r="DD294" s="1070"/>
      <c r="DE294" s="1070"/>
      <c r="DF294" s="1070"/>
      <c r="DG294" s="1070"/>
      <c r="DH294" s="1070"/>
      <c r="DI294" s="1070"/>
      <c r="DJ294" s="1070"/>
    </row>
    <row r="295" spans="1:114" s="1136" customFormat="1" ht="27.75" customHeight="1" x14ac:dyDescent="0.2">
      <c r="A295" s="1951" t="s">
        <v>1735</v>
      </c>
      <c r="B295" s="1406" t="b">
        <v>0</v>
      </c>
      <c r="C295" s="1407"/>
      <c r="D295" s="1407"/>
      <c r="E295" s="1407"/>
      <c r="F295" s="1407"/>
      <c r="G295" s="1407"/>
      <c r="H295" s="1070"/>
      <c r="I295" s="1070"/>
      <c r="J295" s="1315"/>
      <c r="K295" s="1316"/>
      <c r="L295" s="1316"/>
      <c r="M295" s="1315"/>
      <c r="N295" s="1070"/>
      <c r="O295" s="1070"/>
      <c r="P295" s="1070"/>
      <c r="Q295" s="1070"/>
      <c r="R295" s="1070"/>
      <c r="S295" s="1070"/>
      <c r="T295" s="1070"/>
      <c r="U295" s="1070"/>
      <c r="V295" s="1070"/>
      <c r="W295" s="1070"/>
      <c r="X295" s="1070"/>
      <c r="Y295" s="1070"/>
      <c r="Z295" s="1070"/>
      <c r="AA295" s="1070"/>
      <c r="AB295" s="1070"/>
      <c r="AC295" s="1070"/>
      <c r="AD295" s="1070"/>
      <c r="AE295" s="1070"/>
      <c r="AF295" s="1070"/>
      <c r="AG295" s="1070"/>
      <c r="AH295" s="1070"/>
      <c r="AI295" s="1070"/>
      <c r="AJ295" s="1070"/>
      <c r="AK295" s="1070"/>
      <c r="AL295" s="1070"/>
      <c r="AM295" s="1070"/>
      <c r="AN295" s="1070"/>
      <c r="AO295" s="1070"/>
      <c r="AP295" s="1070"/>
      <c r="AQ295" s="1070"/>
      <c r="AR295" s="1070"/>
      <c r="AS295" s="1070"/>
      <c r="AT295" s="1070"/>
      <c r="AU295" s="1070"/>
      <c r="AV295" s="1070"/>
      <c r="AW295" s="1070"/>
      <c r="AX295" s="1070"/>
      <c r="AY295" s="1070"/>
      <c r="AZ295" s="1070"/>
      <c r="BA295" s="1070"/>
      <c r="BB295" s="1070"/>
      <c r="BC295" s="1070"/>
      <c r="BD295" s="1070"/>
      <c r="BE295" s="1070"/>
      <c r="BF295" s="1070"/>
      <c r="BG295" s="1070"/>
      <c r="BH295" s="1070"/>
      <c r="BI295" s="1070"/>
      <c r="BJ295" s="1070"/>
      <c r="BK295" s="1070"/>
      <c r="BL295" s="1070"/>
      <c r="BM295" s="1070"/>
      <c r="BN295" s="1070"/>
      <c r="BO295" s="1070"/>
      <c r="BP295" s="1070"/>
      <c r="BQ295" s="1070"/>
      <c r="BR295" s="1070"/>
      <c r="BS295" s="1070"/>
      <c r="BT295" s="1070"/>
      <c r="BU295" s="1070"/>
      <c r="BV295" s="1070"/>
      <c r="BW295" s="1070"/>
      <c r="BX295" s="1070"/>
      <c r="BY295" s="1070"/>
      <c r="BZ295" s="1070"/>
      <c r="CA295" s="1070"/>
      <c r="CB295" s="1070"/>
      <c r="CC295" s="1070"/>
      <c r="CD295" s="1070"/>
      <c r="CE295" s="1070"/>
      <c r="CF295" s="1070"/>
      <c r="CG295" s="1070"/>
      <c r="CH295" s="1070"/>
      <c r="CI295" s="1070"/>
      <c r="CJ295" s="1070"/>
      <c r="CK295" s="1070"/>
      <c r="CL295" s="1070"/>
      <c r="CM295" s="1070"/>
      <c r="CN295" s="1070"/>
      <c r="CO295" s="1070"/>
      <c r="CP295" s="1070"/>
      <c r="CQ295" s="1070"/>
      <c r="CR295" s="1070"/>
      <c r="CS295" s="1070"/>
      <c r="CT295" s="1070"/>
      <c r="CU295" s="1070"/>
      <c r="CV295" s="1070"/>
      <c r="CW295" s="1070"/>
      <c r="CX295" s="1070"/>
      <c r="CY295" s="1070"/>
      <c r="CZ295" s="1070"/>
      <c r="DA295" s="1070"/>
      <c r="DB295" s="1070"/>
      <c r="DC295" s="1070"/>
      <c r="DD295" s="1070"/>
      <c r="DE295" s="1070"/>
      <c r="DF295" s="1070"/>
      <c r="DG295" s="1070"/>
      <c r="DH295" s="1070"/>
      <c r="DI295" s="1070"/>
      <c r="DJ295" s="1070"/>
    </row>
    <row r="296" spans="1:114" s="1136" customFormat="1" ht="27.75" customHeight="1" x14ac:dyDescent="0.2">
      <c r="A296" s="1951" t="s">
        <v>1735</v>
      </c>
      <c r="B296" s="1406" t="b">
        <v>0</v>
      </c>
      <c r="C296" s="1407"/>
      <c r="D296" s="1407"/>
      <c r="E296" s="1407"/>
      <c r="F296" s="1407"/>
      <c r="G296" s="1407"/>
      <c r="H296" s="1070"/>
      <c r="I296" s="1070"/>
      <c r="J296" s="1315"/>
      <c r="K296" s="1316"/>
      <c r="L296" s="1316"/>
      <c r="M296" s="1315"/>
      <c r="N296" s="1070"/>
      <c r="O296" s="1070"/>
      <c r="P296" s="1070"/>
      <c r="Q296" s="1070"/>
      <c r="R296" s="1070"/>
      <c r="S296" s="1070"/>
      <c r="T296" s="1070"/>
      <c r="U296" s="1070"/>
      <c r="V296" s="1070"/>
      <c r="W296" s="1070"/>
      <c r="X296" s="1070"/>
      <c r="Y296" s="1070"/>
      <c r="Z296" s="1070"/>
      <c r="AA296" s="1070"/>
      <c r="AB296" s="1070"/>
      <c r="AC296" s="1070"/>
      <c r="AD296" s="1070"/>
      <c r="AE296" s="1070"/>
      <c r="AF296" s="1070"/>
      <c r="AG296" s="1070"/>
      <c r="AH296" s="1070"/>
      <c r="AI296" s="1070"/>
      <c r="AJ296" s="1070"/>
      <c r="AK296" s="1070"/>
      <c r="AL296" s="1070"/>
      <c r="AM296" s="1070"/>
      <c r="AN296" s="1070"/>
      <c r="AO296" s="1070"/>
      <c r="AP296" s="1070"/>
      <c r="AQ296" s="1070"/>
      <c r="AR296" s="1070"/>
      <c r="AS296" s="1070"/>
      <c r="AT296" s="1070"/>
      <c r="AU296" s="1070"/>
      <c r="AV296" s="1070"/>
      <c r="AW296" s="1070"/>
      <c r="AX296" s="1070"/>
      <c r="AY296" s="1070"/>
      <c r="AZ296" s="1070"/>
      <c r="BA296" s="1070"/>
      <c r="BB296" s="1070"/>
      <c r="BC296" s="1070"/>
      <c r="BD296" s="1070"/>
      <c r="BE296" s="1070"/>
      <c r="BF296" s="1070"/>
      <c r="BG296" s="1070"/>
      <c r="BH296" s="1070"/>
      <c r="BI296" s="1070"/>
      <c r="BJ296" s="1070"/>
      <c r="BK296" s="1070"/>
      <c r="BL296" s="1070"/>
      <c r="BM296" s="1070"/>
      <c r="BN296" s="1070"/>
      <c r="BO296" s="1070"/>
      <c r="BP296" s="1070"/>
      <c r="BQ296" s="1070"/>
      <c r="BR296" s="1070"/>
      <c r="BS296" s="1070"/>
      <c r="BT296" s="1070"/>
      <c r="BU296" s="1070"/>
      <c r="BV296" s="1070"/>
      <c r="BW296" s="1070"/>
      <c r="BX296" s="1070"/>
      <c r="BY296" s="1070"/>
      <c r="BZ296" s="1070"/>
      <c r="CA296" s="1070"/>
      <c r="CB296" s="1070"/>
      <c r="CC296" s="1070"/>
      <c r="CD296" s="1070"/>
      <c r="CE296" s="1070"/>
      <c r="CF296" s="1070"/>
      <c r="CG296" s="1070"/>
      <c r="CH296" s="1070"/>
      <c r="CI296" s="1070"/>
      <c r="CJ296" s="1070"/>
      <c r="CK296" s="1070"/>
      <c r="CL296" s="1070"/>
      <c r="CM296" s="1070"/>
      <c r="CN296" s="1070"/>
      <c r="CO296" s="1070"/>
      <c r="CP296" s="1070"/>
      <c r="CQ296" s="1070"/>
      <c r="CR296" s="1070"/>
      <c r="CS296" s="1070"/>
      <c r="CT296" s="1070"/>
      <c r="CU296" s="1070"/>
      <c r="CV296" s="1070"/>
      <c r="CW296" s="1070"/>
      <c r="CX296" s="1070"/>
      <c r="CY296" s="1070"/>
      <c r="CZ296" s="1070"/>
      <c r="DA296" s="1070"/>
      <c r="DB296" s="1070"/>
      <c r="DC296" s="1070"/>
      <c r="DD296" s="1070"/>
      <c r="DE296" s="1070"/>
      <c r="DF296" s="1070"/>
      <c r="DG296" s="1070"/>
      <c r="DH296" s="1070"/>
      <c r="DI296" s="1070"/>
      <c r="DJ296" s="1070"/>
    </row>
    <row r="297" spans="1:114" s="1136" customFormat="1" ht="27.75" customHeight="1" x14ac:dyDescent="0.2">
      <c r="A297" s="1951" t="s">
        <v>1735</v>
      </c>
      <c r="B297" s="1406" t="b">
        <v>0</v>
      </c>
      <c r="C297" s="1407"/>
      <c r="D297" s="1407"/>
      <c r="E297" s="1407"/>
      <c r="F297" s="1407"/>
      <c r="G297" s="1407"/>
      <c r="H297" s="1070"/>
      <c r="I297" s="1070"/>
      <c r="J297" s="1315"/>
      <c r="K297" s="1316"/>
      <c r="L297" s="1316"/>
      <c r="M297" s="1315"/>
      <c r="N297" s="1070"/>
      <c r="O297" s="1070"/>
      <c r="P297" s="1070"/>
      <c r="Q297" s="1070"/>
      <c r="R297" s="1070"/>
      <c r="S297" s="1070"/>
      <c r="T297" s="1070"/>
      <c r="U297" s="1070"/>
      <c r="V297" s="1070"/>
      <c r="W297" s="1070"/>
      <c r="X297" s="1070"/>
      <c r="Y297" s="1070"/>
      <c r="Z297" s="1070"/>
      <c r="AA297" s="1070"/>
      <c r="AB297" s="1070"/>
      <c r="AC297" s="1070"/>
      <c r="AD297" s="1070"/>
      <c r="AE297" s="1070"/>
      <c r="AF297" s="1070"/>
      <c r="AG297" s="1070"/>
      <c r="AH297" s="1070"/>
      <c r="AI297" s="1070"/>
      <c r="AJ297" s="1070"/>
      <c r="AK297" s="1070"/>
      <c r="AL297" s="1070"/>
      <c r="AM297" s="1070"/>
      <c r="AN297" s="1070"/>
      <c r="AO297" s="1070"/>
      <c r="AP297" s="1070"/>
      <c r="AQ297" s="1070"/>
      <c r="AR297" s="1070"/>
      <c r="AS297" s="1070"/>
      <c r="AT297" s="1070"/>
      <c r="AU297" s="1070"/>
      <c r="AV297" s="1070"/>
      <c r="AW297" s="1070"/>
      <c r="AX297" s="1070"/>
      <c r="AY297" s="1070"/>
      <c r="AZ297" s="1070"/>
      <c r="BA297" s="1070"/>
      <c r="BB297" s="1070"/>
      <c r="BC297" s="1070"/>
      <c r="BD297" s="1070"/>
      <c r="BE297" s="1070"/>
      <c r="BF297" s="1070"/>
      <c r="BG297" s="1070"/>
      <c r="BH297" s="1070"/>
      <c r="BI297" s="1070"/>
      <c r="BJ297" s="1070"/>
      <c r="BK297" s="1070"/>
      <c r="BL297" s="1070"/>
      <c r="BM297" s="1070"/>
      <c r="BN297" s="1070"/>
      <c r="BO297" s="1070"/>
      <c r="BP297" s="1070"/>
      <c r="BQ297" s="1070"/>
      <c r="BR297" s="1070"/>
      <c r="BS297" s="1070"/>
      <c r="BT297" s="1070"/>
      <c r="BU297" s="1070"/>
      <c r="BV297" s="1070"/>
      <c r="BW297" s="1070"/>
      <c r="BX297" s="1070"/>
      <c r="BY297" s="1070"/>
      <c r="BZ297" s="1070"/>
      <c r="CA297" s="1070"/>
      <c r="CB297" s="1070"/>
      <c r="CC297" s="1070"/>
      <c r="CD297" s="1070"/>
      <c r="CE297" s="1070"/>
      <c r="CF297" s="1070"/>
      <c r="CG297" s="1070"/>
      <c r="CH297" s="1070"/>
      <c r="CI297" s="1070"/>
      <c r="CJ297" s="1070"/>
      <c r="CK297" s="1070"/>
      <c r="CL297" s="1070"/>
      <c r="CM297" s="1070"/>
      <c r="CN297" s="1070"/>
      <c r="CO297" s="1070"/>
      <c r="CP297" s="1070"/>
      <c r="CQ297" s="1070"/>
      <c r="CR297" s="1070"/>
      <c r="CS297" s="1070"/>
      <c r="CT297" s="1070"/>
      <c r="CU297" s="1070"/>
      <c r="CV297" s="1070"/>
      <c r="CW297" s="1070"/>
      <c r="CX297" s="1070"/>
      <c r="CY297" s="1070"/>
      <c r="CZ297" s="1070"/>
      <c r="DA297" s="1070"/>
      <c r="DB297" s="1070"/>
      <c r="DC297" s="1070"/>
      <c r="DD297" s="1070"/>
      <c r="DE297" s="1070"/>
      <c r="DF297" s="1070"/>
      <c r="DG297" s="1070"/>
      <c r="DH297" s="1070"/>
      <c r="DI297" s="1070"/>
      <c r="DJ297" s="1070"/>
    </row>
    <row r="298" spans="1:114" s="1136" customFormat="1" ht="27.75" customHeight="1" x14ac:dyDescent="0.2">
      <c r="A298" s="1951" t="s">
        <v>1735</v>
      </c>
      <c r="B298" s="1406" t="b">
        <v>0</v>
      </c>
      <c r="C298" s="1407"/>
      <c r="D298" s="1407"/>
      <c r="E298" s="1407"/>
      <c r="F298" s="1407"/>
      <c r="G298" s="1407"/>
      <c r="H298" s="1070"/>
      <c r="I298" s="1070"/>
      <c r="J298" s="1315"/>
      <c r="K298" s="1316"/>
      <c r="L298" s="1316"/>
      <c r="M298" s="1315"/>
      <c r="N298" s="1070"/>
      <c r="O298" s="1070"/>
      <c r="P298" s="1070"/>
      <c r="Q298" s="1070"/>
      <c r="R298" s="1070"/>
      <c r="S298" s="1070"/>
      <c r="T298" s="1070"/>
      <c r="U298" s="1070"/>
      <c r="V298" s="1070"/>
      <c r="W298" s="1070"/>
      <c r="X298" s="1070"/>
      <c r="Y298" s="1070"/>
      <c r="Z298" s="1070"/>
      <c r="AA298" s="1070"/>
      <c r="AB298" s="1070"/>
      <c r="AC298" s="1070"/>
      <c r="AD298" s="1070"/>
      <c r="AE298" s="1070"/>
      <c r="AF298" s="1070"/>
      <c r="AG298" s="1070"/>
      <c r="AH298" s="1070"/>
      <c r="AI298" s="1070"/>
      <c r="AJ298" s="1070"/>
      <c r="AK298" s="1070"/>
      <c r="AL298" s="1070"/>
      <c r="AM298" s="1070"/>
      <c r="AN298" s="1070"/>
      <c r="AO298" s="1070"/>
      <c r="AP298" s="1070"/>
      <c r="AQ298" s="1070"/>
      <c r="AR298" s="1070"/>
      <c r="AS298" s="1070"/>
      <c r="AT298" s="1070"/>
      <c r="AU298" s="1070"/>
      <c r="AV298" s="1070"/>
      <c r="AW298" s="1070"/>
      <c r="AX298" s="1070"/>
      <c r="AY298" s="1070"/>
      <c r="AZ298" s="1070"/>
      <c r="BA298" s="1070"/>
      <c r="BB298" s="1070"/>
      <c r="BC298" s="1070"/>
      <c r="BD298" s="1070"/>
      <c r="BE298" s="1070"/>
      <c r="BF298" s="1070"/>
      <c r="BG298" s="1070"/>
      <c r="BH298" s="1070"/>
      <c r="BI298" s="1070"/>
      <c r="BJ298" s="1070"/>
      <c r="BK298" s="1070"/>
      <c r="BL298" s="1070"/>
      <c r="BM298" s="1070"/>
      <c r="BN298" s="1070"/>
      <c r="BO298" s="1070"/>
      <c r="BP298" s="1070"/>
      <c r="BQ298" s="1070"/>
      <c r="BR298" s="1070"/>
      <c r="BS298" s="1070"/>
      <c r="BT298" s="1070"/>
      <c r="BU298" s="1070"/>
      <c r="BV298" s="1070"/>
      <c r="BW298" s="1070"/>
      <c r="BX298" s="1070"/>
      <c r="BY298" s="1070"/>
      <c r="BZ298" s="1070"/>
      <c r="CA298" s="1070"/>
      <c r="CB298" s="1070"/>
      <c r="CC298" s="1070"/>
      <c r="CD298" s="1070"/>
      <c r="CE298" s="1070"/>
      <c r="CF298" s="1070"/>
      <c r="CG298" s="1070"/>
      <c r="CH298" s="1070"/>
      <c r="CI298" s="1070"/>
      <c r="CJ298" s="1070"/>
      <c r="CK298" s="1070"/>
      <c r="CL298" s="1070"/>
      <c r="CM298" s="1070"/>
      <c r="CN298" s="1070"/>
      <c r="CO298" s="1070"/>
      <c r="CP298" s="1070"/>
      <c r="CQ298" s="1070"/>
      <c r="CR298" s="1070"/>
      <c r="CS298" s="1070"/>
      <c r="CT298" s="1070"/>
      <c r="CU298" s="1070"/>
      <c r="CV298" s="1070"/>
      <c r="CW298" s="1070"/>
      <c r="CX298" s="1070"/>
      <c r="CY298" s="1070"/>
      <c r="CZ298" s="1070"/>
      <c r="DA298" s="1070"/>
      <c r="DB298" s="1070"/>
      <c r="DC298" s="1070"/>
      <c r="DD298" s="1070"/>
      <c r="DE298" s="1070"/>
      <c r="DF298" s="1070"/>
      <c r="DG298" s="1070"/>
      <c r="DH298" s="1070"/>
      <c r="DI298" s="1070"/>
      <c r="DJ298" s="1070"/>
    </row>
    <row r="299" spans="1:114" s="1136" customFormat="1" ht="27.75" customHeight="1" x14ac:dyDescent="0.2">
      <c r="A299" s="1951" t="s">
        <v>1735</v>
      </c>
      <c r="B299" s="1406" t="b">
        <v>0</v>
      </c>
      <c r="C299" s="1407"/>
      <c r="D299" s="1407"/>
      <c r="E299" s="1407"/>
      <c r="F299" s="1407"/>
      <c r="G299" s="1407"/>
      <c r="H299" s="1070"/>
      <c r="I299" s="1070"/>
      <c r="J299" s="1315"/>
      <c r="K299" s="1316"/>
      <c r="L299" s="1316"/>
      <c r="M299" s="1315"/>
      <c r="N299" s="1070"/>
      <c r="O299" s="1070"/>
      <c r="P299" s="1070"/>
      <c r="Q299" s="1070"/>
      <c r="R299" s="1070"/>
      <c r="S299" s="1070"/>
      <c r="T299" s="1070"/>
      <c r="U299" s="1070"/>
      <c r="V299" s="1070"/>
      <c r="W299" s="1070"/>
      <c r="X299" s="1070"/>
      <c r="Y299" s="1070"/>
      <c r="Z299" s="1070"/>
      <c r="AA299" s="1070"/>
      <c r="AB299" s="1070"/>
      <c r="AC299" s="1070"/>
      <c r="AD299" s="1070"/>
      <c r="AE299" s="1070"/>
      <c r="AF299" s="1070"/>
      <c r="AG299" s="1070"/>
      <c r="AH299" s="1070"/>
      <c r="AI299" s="1070"/>
      <c r="AJ299" s="1070"/>
      <c r="AK299" s="1070"/>
      <c r="AL299" s="1070"/>
      <c r="AM299" s="1070"/>
      <c r="AN299" s="1070"/>
      <c r="AO299" s="1070"/>
      <c r="AP299" s="1070"/>
      <c r="AQ299" s="1070"/>
      <c r="AR299" s="1070"/>
      <c r="AS299" s="1070"/>
      <c r="AT299" s="1070"/>
      <c r="AU299" s="1070"/>
      <c r="AV299" s="1070"/>
      <c r="AW299" s="1070"/>
      <c r="AX299" s="1070"/>
      <c r="AY299" s="1070"/>
      <c r="AZ299" s="1070"/>
      <c r="BA299" s="1070"/>
      <c r="BB299" s="1070"/>
      <c r="BC299" s="1070"/>
      <c r="BD299" s="1070"/>
      <c r="BE299" s="1070"/>
      <c r="BF299" s="1070"/>
      <c r="BG299" s="1070"/>
      <c r="BH299" s="1070"/>
      <c r="BI299" s="1070"/>
      <c r="BJ299" s="1070"/>
      <c r="BK299" s="1070"/>
      <c r="BL299" s="1070"/>
      <c r="BM299" s="1070"/>
      <c r="BN299" s="1070"/>
      <c r="BO299" s="1070"/>
      <c r="BP299" s="1070"/>
      <c r="BQ299" s="1070"/>
      <c r="BR299" s="1070"/>
      <c r="BS299" s="1070"/>
      <c r="BT299" s="1070"/>
      <c r="BU299" s="1070"/>
      <c r="BV299" s="1070"/>
      <c r="BW299" s="1070"/>
      <c r="BX299" s="1070"/>
      <c r="BY299" s="1070"/>
      <c r="BZ299" s="1070"/>
      <c r="CA299" s="1070"/>
      <c r="CB299" s="1070"/>
      <c r="CC299" s="1070"/>
      <c r="CD299" s="1070"/>
      <c r="CE299" s="1070"/>
      <c r="CF299" s="1070"/>
      <c r="CG299" s="1070"/>
      <c r="CH299" s="1070"/>
      <c r="CI299" s="1070"/>
      <c r="CJ299" s="1070"/>
      <c r="CK299" s="1070"/>
      <c r="CL299" s="1070"/>
      <c r="CM299" s="1070"/>
      <c r="CN299" s="1070"/>
      <c r="CO299" s="1070"/>
      <c r="CP299" s="1070"/>
      <c r="CQ299" s="1070"/>
      <c r="CR299" s="1070"/>
      <c r="CS299" s="1070"/>
      <c r="CT299" s="1070"/>
      <c r="CU299" s="1070"/>
      <c r="CV299" s="1070"/>
      <c r="CW299" s="1070"/>
      <c r="CX299" s="1070"/>
      <c r="CY299" s="1070"/>
      <c r="CZ299" s="1070"/>
      <c r="DA299" s="1070"/>
      <c r="DB299" s="1070"/>
      <c r="DC299" s="1070"/>
      <c r="DD299" s="1070"/>
      <c r="DE299" s="1070"/>
      <c r="DF299" s="1070"/>
      <c r="DG299" s="1070"/>
      <c r="DH299" s="1070"/>
      <c r="DI299" s="1070"/>
      <c r="DJ299" s="1070"/>
    </row>
    <row r="300" spans="1:114" s="1136" customFormat="1" ht="27.75" customHeight="1" x14ac:dyDescent="0.2">
      <c r="A300" s="1951" t="s">
        <v>1735</v>
      </c>
      <c r="B300" s="1406" t="b">
        <v>0</v>
      </c>
      <c r="C300" s="1407"/>
      <c r="D300" s="1407"/>
      <c r="E300" s="1407"/>
      <c r="F300" s="1407"/>
      <c r="G300" s="1407"/>
      <c r="H300" s="1070"/>
      <c r="I300" s="1070"/>
      <c r="J300" s="1315"/>
      <c r="K300" s="1316"/>
      <c r="L300" s="1316"/>
      <c r="M300" s="1315"/>
      <c r="N300" s="1070"/>
      <c r="O300" s="1070"/>
      <c r="P300" s="1070"/>
      <c r="Q300" s="1070"/>
      <c r="R300" s="1070"/>
      <c r="S300" s="1070"/>
      <c r="T300" s="1070"/>
      <c r="U300" s="1070"/>
      <c r="V300" s="1070"/>
      <c r="W300" s="1070"/>
      <c r="X300" s="1070"/>
      <c r="Y300" s="1070"/>
      <c r="Z300" s="1070"/>
      <c r="AA300" s="1070"/>
      <c r="AB300" s="1070"/>
      <c r="AC300" s="1070"/>
      <c r="AD300" s="1070"/>
      <c r="AE300" s="1070"/>
      <c r="AF300" s="1070"/>
      <c r="AG300" s="1070"/>
      <c r="AH300" s="1070"/>
      <c r="AI300" s="1070"/>
      <c r="AJ300" s="1070"/>
      <c r="AK300" s="1070"/>
      <c r="AL300" s="1070"/>
      <c r="AM300" s="1070"/>
      <c r="AN300" s="1070"/>
      <c r="AO300" s="1070"/>
      <c r="AP300" s="1070"/>
      <c r="AQ300" s="1070"/>
      <c r="AR300" s="1070"/>
      <c r="AS300" s="1070"/>
      <c r="AT300" s="1070"/>
      <c r="AU300" s="1070"/>
      <c r="AV300" s="1070"/>
      <c r="AW300" s="1070"/>
      <c r="AX300" s="1070"/>
      <c r="AY300" s="1070"/>
      <c r="AZ300" s="1070"/>
      <c r="BA300" s="1070"/>
      <c r="BB300" s="1070"/>
      <c r="BC300" s="1070"/>
      <c r="BD300" s="1070"/>
      <c r="BE300" s="1070"/>
      <c r="BF300" s="1070"/>
      <c r="BG300" s="1070"/>
      <c r="BH300" s="1070"/>
      <c r="BI300" s="1070"/>
      <c r="BJ300" s="1070"/>
      <c r="BK300" s="1070"/>
      <c r="BL300" s="1070"/>
      <c r="BM300" s="1070"/>
      <c r="BN300" s="1070"/>
      <c r="BO300" s="1070"/>
      <c r="BP300" s="1070"/>
      <c r="BQ300" s="1070"/>
      <c r="BR300" s="1070"/>
      <c r="BS300" s="1070"/>
      <c r="BT300" s="1070"/>
      <c r="BU300" s="1070"/>
      <c r="BV300" s="1070"/>
      <c r="BW300" s="1070"/>
      <c r="BX300" s="1070"/>
      <c r="BY300" s="1070"/>
      <c r="BZ300" s="1070"/>
      <c r="CA300" s="1070"/>
      <c r="CB300" s="1070"/>
      <c r="CC300" s="1070"/>
      <c r="CD300" s="1070"/>
      <c r="CE300" s="1070"/>
      <c r="CF300" s="1070"/>
      <c r="CG300" s="1070"/>
      <c r="CH300" s="1070"/>
      <c r="CI300" s="1070"/>
      <c r="CJ300" s="1070"/>
      <c r="CK300" s="1070"/>
      <c r="CL300" s="1070"/>
      <c r="CM300" s="1070"/>
      <c r="CN300" s="1070"/>
      <c r="CO300" s="1070"/>
      <c r="CP300" s="1070"/>
      <c r="CQ300" s="1070"/>
      <c r="CR300" s="1070"/>
      <c r="CS300" s="1070"/>
      <c r="CT300" s="1070"/>
      <c r="CU300" s="1070"/>
      <c r="CV300" s="1070"/>
      <c r="CW300" s="1070"/>
      <c r="CX300" s="1070"/>
      <c r="CY300" s="1070"/>
      <c r="CZ300" s="1070"/>
      <c r="DA300" s="1070"/>
      <c r="DB300" s="1070"/>
      <c r="DC300" s="1070"/>
      <c r="DD300" s="1070"/>
      <c r="DE300" s="1070"/>
      <c r="DF300" s="1070"/>
      <c r="DG300" s="1070"/>
      <c r="DH300" s="1070"/>
      <c r="DI300" s="1070"/>
      <c r="DJ300" s="1070"/>
    </row>
    <row r="301" spans="1:114" s="1136" customFormat="1" ht="27.75" customHeight="1" x14ac:dyDescent="0.2">
      <c r="A301" s="1951" t="s">
        <v>1735</v>
      </c>
      <c r="B301" s="1406" t="b">
        <v>0</v>
      </c>
      <c r="C301" s="1407"/>
      <c r="D301" s="1407"/>
      <c r="E301" s="1407"/>
      <c r="F301" s="1407"/>
      <c r="G301" s="1407"/>
      <c r="H301" s="1070"/>
      <c r="I301" s="1070"/>
      <c r="J301" s="1315"/>
      <c r="K301" s="1316"/>
      <c r="L301" s="1316"/>
      <c r="M301" s="1315"/>
      <c r="N301" s="1070"/>
      <c r="O301" s="1070"/>
      <c r="P301" s="1070"/>
      <c r="Q301" s="1070"/>
      <c r="R301" s="1070"/>
      <c r="S301" s="1070"/>
      <c r="T301" s="1070"/>
      <c r="U301" s="1070"/>
      <c r="V301" s="1070"/>
      <c r="W301" s="1070"/>
      <c r="X301" s="1070"/>
      <c r="Y301" s="1070"/>
      <c r="Z301" s="1070"/>
      <c r="AA301" s="1070"/>
      <c r="AB301" s="1070"/>
      <c r="AC301" s="1070"/>
      <c r="AD301" s="1070"/>
      <c r="AE301" s="1070"/>
      <c r="AF301" s="1070"/>
      <c r="AG301" s="1070"/>
      <c r="AH301" s="1070"/>
      <c r="AI301" s="1070"/>
      <c r="AJ301" s="1070"/>
      <c r="AK301" s="1070"/>
      <c r="AL301" s="1070"/>
      <c r="AM301" s="1070"/>
      <c r="AN301" s="1070"/>
      <c r="AO301" s="1070"/>
      <c r="AP301" s="1070"/>
      <c r="AQ301" s="1070"/>
      <c r="AR301" s="1070"/>
      <c r="AS301" s="1070"/>
      <c r="AT301" s="1070"/>
      <c r="AU301" s="1070"/>
      <c r="AV301" s="1070"/>
      <c r="AW301" s="1070"/>
      <c r="AX301" s="1070"/>
      <c r="AY301" s="1070"/>
      <c r="AZ301" s="1070"/>
      <c r="BA301" s="1070"/>
      <c r="BB301" s="1070"/>
      <c r="BC301" s="1070"/>
      <c r="BD301" s="1070"/>
      <c r="BE301" s="1070"/>
      <c r="BF301" s="1070"/>
      <c r="BG301" s="1070"/>
      <c r="BH301" s="1070"/>
      <c r="BI301" s="1070"/>
      <c r="BJ301" s="1070"/>
      <c r="BK301" s="1070"/>
      <c r="BL301" s="1070"/>
      <c r="BM301" s="1070"/>
      <c r="BN301" s="1070"/>
      <c r="BO301" s="1070"/>
      <c r="BP301" s="1070"/>
      <c r="BQ301" s="1070"/>
      <c r="BR301" s="1070"/>
      <c r="BS301" s="1070"/>
      <c r="BT301" s="1070"/>
      <c r="BU301" s="1070"/>
      <c r="BV301" s="1070"/>
      <c r="BW301" s="1070"/>
      <c r="BX301" s="1070"/>
      <c r="BY301" s="1070"/>
      <c r="BZ301" s="1070"/>
      <c r="CA301" s="1070"/>
      <c r="CB301" s="1070"/>
      <c r="CC301" s="1070"/>
      <c r="CD301" s="1070"/>
      <c r="CE301" s="1070"/>
      <c r="CF301" s="1070"/>
      <c r="CG301" s="1070"/>
      <c r="CH301" s="1070"/>
      <c r="CI301" s="1070"/>
      <c r="CJ301" s="1070"/>
      <c r="CK301" s="1070"/>
      <c r="CL301" s="1070"/>
      <c r="CM301" s="1070"/>
      <c r="CN301" s="1070"/>
      <c r="CO301" s="1070"/>
      <c r="CP301" s="1070"/>
      <c r="CQ301" s="1070"/>
      <c r="CR301" s="1070"/>
      <c r="CS301" s="1070"/>
      <c r="CT301" s="1070"/>
      <c r="CU301" s="1070"/>
      <c r="CV301" s="1070"/>
      <c r="CW301" s="1070"/>
      <c r="CX301" s="1070"/>
      <c r="CY301" s="1070"/>
      <c r="CZ301" s="1070"/>
      <c r="DA301" s="1070"/>
      <c r="DB301" s="1070"/>
      <c r="DC301" s="1070"/>
      <c r="DD301" s="1070"/>
      <c r="DE301" s="1070"/>
      <c r="DF301" s="1070"/>
      <c r="DG301" s="1070"/>
      <c r="DH301" s="1070"/>
      <c r="DI301" s="1070"/>
      <c r="DJ301" s="1070"/>
    </row>
    <row r="302" spans="1:114" s="1136" customFormat="1" ht="27.75" customHeight="1" x14ac:dyDescent="0.25">
      <c r="A302" s="1954" t="s">
        <v>4820</v>
      </c>
      <c r="B302" s="1406"/>
      <c r="C302" s="1407"/>
      <c r="D302" s="1407"/>
      <c r="E302" s="1407"/>
      <c r="F302" s="1407"/>
      <c r="G302" s="1407"/>
      <c r="H302" s="1070"/>
      <c r="I302" s="1070"/>
      <c r="J302" s="1315"/>
      <c r="K302" s="1316"/>
      <c r="L302" s="1316"/>
      <c r="M302" s="1315"/>
      <c r="N302" s="1070"/>
      <c r="O302" s="1070"/>
      <c r="P302" s="1070"/>
      <c r="Q302" s="1070"/>
      <c r="R302" s="1070"/>
      <c r="S302" s="1070"/>
      <c r="T302" s="1070"/>
      <c r="U302" s="1070"/>
      <c r="V302" s="1070"/>
      <c r="W302" s="1070"/>
      <c r="X302" s="1070"/>
      <c r="Y302" s="1070"/>
      <c r="Z302" s="1070"/>
      <c r="AA302" s="1070"/>
      <c r="AB302" s="1070"/>
      <c r="AC302" s="1070"/>
      <c r="AD302" s="1070"/>
      <c r="AE302" s="1070"/>
      <c r="AF302" s="1070"/>
      <c r="AG302" s="1070"/>
      <c r="AH302" s="1070"/>
      <c r="AI302" s="1070"/>
      <c r="AJ302" s="1070"/>
      <c r="AK302" s="1070"/>
      <c r="AL302" s="1070"/>
      <c r="AM302" s="1070"/>
      <c r="AN302" s="1070"/>
      <c r="AO302" s="1070"/>
      <c r="AP302" s="1070"/>
      <c r="AQ302" s="1070"/>
      <c r="AR302" s="1070"/>
      <c r="AS302" s="1070"/>
      <c r="AT302" s="1070"/>
      <c r="AU302" s="1070"/>
      <c r="AV302" s="1070"/>
      <c r="AW302" s="1070"/>
      <c r="AX302" s="1070"/>
      <c r="AY302" s="1070"/>
      <c r="AZ302" s="1070"/>
      <c r="BA302" s="1070"/>
      <c r="BB302" s="1070"/>
      <c r="BC302" s="1070"/>
      <c r="BD302" s="1070"/>
      <c r="BE302" s="1070"/>
      <c r="BF302" s="1070"/>
      <c r="BG302" s="1070"/>
      <c r="BH302" s="1070"/>
      <c r="BI302" s="1070"/>
      <c r="BJ302" s="1070"/>
      <c r="BK302" s="1070"/>
      <c r="BL302" s="1070"/>
      <c r="BM302" s="1070"/>
      <c r="BN302" s="1070"/>
      <c r="BO302" s="1070"/>
      <c r="BP302" s="1070"/>
      <c r="BQ302" s="1070"/>
      <c r="BR302" s="1070"/>
      <c r="BS302" s="1070"/>
      <c r="BT302" s="1070"/>
      <c r="BU302" s="1070"/>
      <c r="BV302" s="1070"/>
      <c r="BW302" s="1070"/>
      <c r="BX302" s="1070"/>
      <c r="BY302" s="1070"/>
      <c r="BZ302" s="1070"/>
      <c r="CA302" s="1070"/>
      <c r="CB302" s="1070"/>
      <c r="CC302" s="1070"/>
      <c r="CD302" s="1070"/>
      <c r="CE302" s="1070"/>
      <c r="CF302" s="1070"/>
      <c r="CG302" s="1070"/>
      <c r="CH302" s="1070"/>
      <c r="CI302" s="1070"/>
      <c r="CJ302" s="1070"/>
      <c r="CK302" s="1070"/>
      <c r="CL302" s="1070"/>
      <c r="CM302" s="1070"/>
      <c r="CN302" s="1070"/>
      <c r="CO302" s="1070"/>
      <c r="CP302" s="1070"/>
      <c r="CQ302" s="1070"/>
      <c r="CR302" s="1070"/>
      <c r="CS302" s="1070"/>
      <c r="CT302" s="1070"/>
      <c r="CU302" s="1070"/>
      <c r="CV302" s="1070"/>
      <c r="CW302" s="1070"/>
      <c r="CX302" s="1070"/>
      <c r="CY302" s="1070"/>
      <c r="CZ302" s="1070"/>
      <c r="DA302" s="1070"/>
      <c r="DB302" s="1070"/>
      <c r="DC302" s="1070"/>
      <c r="DD302" s="1070"/>
      <c r="DE302" s="1070"/>
      <c r="DF302" s="1070"/>
      <c r="DG302" s="1070"/>
      <c r="DH302" s="1070"/>
      <c r="DI302" s="1070"/>
      <c r="DJ302" s="1070"/>
    </row>
    <row r="303" spans="1:114" s="1136" customFormat="1" ht="27.75" customHeight="1" x14ac:dyDescent="0.2">
      <c r="A303" s="1955" t="s">
        <v>1737</v>
      </c>
      <c r="B303" s="1406">
        <f>IF(B173&lt;1.21,1,IF(B173&lt;1.31,2,IF(B173&lt;1.41,3,IF(B173&lt;1.51,4,IF(B173&lt;1.61,5,IF(B173&lt;1.71,6,B304))))))</f>
        <v>9</v>
      </c>
      <c r="C303" s="1407"/>
      <c r="D303" s="1407"/>
      <c r="E303" s="1407"/>
      <c r="F303" s="1407"/>
      <c r="G303" s="1407"/>
      <c r="H303" s="1070"/>
      <c r="I303" s="1070"/>
      <c r="J303" s="1315"/>
      <c r="K303" s="1316"/>
      <c r="L303" s="1316"/>
      <c r="M303" s="1315"/>
      <c r="N303" s="1070"/>
      <c r="O303" s="1070"/>
      <c r="P303" s="1070"/>
      <c r="Q303" s="1070"/>
      <c r="R303" s="1070"/>
      <c r="S303" s="1070"/>
      <c r="T303" s="1070"/>
      <c r="U303" s="1070"/>
      <c r="V303" s="1070"/>
      <c r="W303" s="1070"/>
      <c r="X303" s="1070"/>
      <c r="Y303" s="1070"/>
      <c r="Z303" s="1070"/>
      <c r="AA303" s="1070"/>
      <c r="AB303" s="1070"/>
      <c r="AC303" s="1070"/>
      <c r="AD303" s="1070"/>
      <c r="AE303" s="1070"/>
      <c r="AF303" s="1070"/>
      <c r="AG303" s="1070"/>
      <c r="AH303" s="1070"/>
      <c r="AI303" s="1070"/>
      <c r="AJ303" s="1070"/>
      <c r="AK303" s="1070"/>
      <c r="AL303" s="1070"/>
      <c r="AM303" s="1070"/>
      <c r="AN303" s="1070"/>
      <c r="AO303" s="1070"/>
      <c r="AP303" s="1070"/>
      <c r="AQ303" s="1070"/>
      <c r="AR303" s="1070"/>
      <c r="AS303" s="1070"/>
      <c r="AT303" s="1070"/>
      <c r="AU303" s="1070"/>
      <c r="AV303" s="1070"/>
      <c r="AW303" s="1070"/>
      <c r="AX303" s="1070"/>
      <c r="AY303" s="1070"/>
      <c r="AZ303" s="1070"/>
      <c r="BA303" s="1070"/>
      <c r="BB303" s="1070"/>
      <c r="BC303" s="1070"/>
      <c r="BD303" s="1070"/>
      <c r="BE303" s="1070"/>
      <c r="BF303" s="1070"/>
      <c r="BG303" s="1070"/>
      <c r="BH303" s="1070"/>
      <c r="BI303" s="1070"/>
      <c r="BJ303" s="1070"/>
      <c r="BK303" s="1070"/>
      <c r="BL303" s="1070"/>
      <c r="BM303" s="1070"/>
      <c r="BN303" s="1070"/>
      <c r="BO303" s="1070"/>
      <c r="BP303" s="1070"/>
      <c r="BQ303" s="1070"/>
      <c r="BR303" s="1070"/>
      <c r="BS303" s="1070"/>
      <c r="BT303" s="1070"/>
      <c r="BU303" s="1070"/>
      <c r="BV303" s="1070"/>
      <c r="BW303" s="1070"/>
      <c r="BX303" s="1070"/>
      <c r="BY303" s="1070"/>
      <c r="BZ303" s="1070"/>
      <c r="CA303" s="1070"/>
      <c r="CB303" s="1070"/>
      <c r="CC303" s="1070"/>
      <c r="CD303" s="1070"/>
      <c r="CE303" s="1070"/>
      <c r="CF303" s="1070"/>
      <c r="CG303" s="1070"/>
      <c r="CH303" s="1070"/>
      <c r="CI303" s="1070"/>
      <c r="CJ303" s="1070"/>
      <c r="CK303" s="1070"/>
      <c r="CL303" s="1070"/>
      <c r="CM303" s="1070"/>
      <c r="CN303" s="1070"/>
      <c r="CO303" s="1070"/>
      <c r="CP303" s="1070"/>
      <c r="CQ303" s="1070"/>
      <c r="CR303" s="1070"/>
      <c r="CS303" s="1070"/>
      <c r="CT303" s="1070"/>
      <c r="CU303" s="1070"/>
      <c r="CV303" s="1070"/>
      <c r="CW303" s="1070"/>
      <c r="CX303" s="1070"/>
      <c r="CY303" s="1070"/>
      <c r="CZ303" s="1070"/>
      <c r="DA303" s="1070"/>
      <c r="DB303" s="1070"/>
      <c r="DC303" s="1070"/>
      <c r="DD303" s="1070"/>
      <c r="DE303" s="1070"/>
      <c r="DF303" s="1070"/>
      <c r="DG303" s="1070"/>
      <c r="DH303" s="1070"/>
      <c r="DI303" s="1070"/>
      <c r="DJ303" s="1070"/>
    </row>
    <row r="304" spans="1:114" s="1136" customFormat="1" ht="27.75" customHeight="1" x14ac:dyDescent="0.2">
      <c r="A304" s="1955" t="s">
        <v>1738</v>
      </c>
      <c r="B304" s="1406">
        <f>IF(B173&lt;1.81,7,IF(B173&lt;1.91,8,9))</f>
        <v>9</v>
      </c>
      <c r="C304" s="1407"/>
      <c r="D304" s="1407"/>
      <c r="E304" s="1407"/>
      <c r="F304" s="1407"/>
      <c r="G304" s="1407"/>
      <c r="H304" s="1070"/>
      <c r="I304" s="1070"/>
      <c r="J304" s="1315"/>
      <c r="K304" s="1316"/>
      <c r="L304" s="1316"/>
      <c r="M304" s="1315"/>
      <c r="N304" s="1070"/>
      <c r="O304" s="1070"/>
      <c r="P304" s="1070"/>
      <c r="Q304" s="1070"/>
      <c r="R304" s="1070"/>
      <c r="S304" s="1070"/>
      <c r="T304" s="1070"/>
      <c r="U304" s="1070"/>
      <c r="V304" s="1070"/>
      <c r="W304" s="1070"/>
      <c r="X304" s="1070"/>
      <c r="Y304" s="1070"/>
      <c r="Z304" s="1070"/>
      <c r="AA304" s="1070"/>
      <c r="AB304" s="1070"/>
      <c r="AC304" s="1070"/>
      <c r="AD304" s="1070"/>
      <c r="AE304" s="1070"/>
      <c r="AF304" s="1070"/>
      <c r="AG304" s="1070"/>
      <c r="AH304" s="1070"/>
      <c r="AI304" s="1070"/>
      <c r="AJ304" s="1070"/>
      <c r="AK304" s="1070"/>
      <c r="AL304" s="1070"/>
      <c r="AM304" s="1070"/>
      <c r="AN304" s="1070"/>
      <c r="AO304" s="1070"/>
      <c r="AP304" s="1070"/>
      <c r="AQ304" s="1070"/>
      <c r="AR304" s="1070"/>
      <c r="AS304" s="1070"/>
      <c r="AT304" s="1070"/>
      <c r="AU304" s="1070"/>
      <c r="AV304" s="1070"/>
      <c r="AW304" s="1070"/>
      <c r="AX304" s="1070"/>
      <c r="AY304" s="1070"/>
      <c r="AZ304" s="1070"/>
      <c r="BA304" s="1070"/>
      <c r="BB304" s="1070"/>
      <c r="BC304" s="1070"/>
      <c r="BD304" s="1070"/>
      <c r="BE304" s="1070"/>
      <c r="BF304" s="1070"/>
      <c r="BG304" s="1070"/>
      <c r="BH304" s="1070"/>
      <c r="BI304" s="1070"/>
      <c r="BJ304" s="1070"/>
      <c r="BK304" s="1070"/>
      <c r="BL304" s="1070"/>
      <c r="BM304" s="1070"/>
      <c r="BN304" s="1070"/>
      <c r="BO304" s="1070"/>
      <c r="BP304" s="1070"/>
      <c r="BQ304" s="1070"/>
      <c r="BR304" s="1070"/>
      <c r="BS304" s="1070"/>
      <c r="BT304" s="1070"/>
      <c r="BU304" s="1070"/>
      <c r="BV304" s="1070"/>
      <c r="BW304" s="1070"/>
      <c r="BX304" s="1070"/>
      <c r="BY304" s="1070"/>
      <c r="BZ304" s="1070"/>
      <c r="CA304" s="1070"/>
      <c r="CB304" s="1070"/>
      <c r="CC304" s="1070"/>
      <c r="CD304" s="1070"/>
      <c r="CE304" s="1070"/>
      <c r="CF304" s="1070"/>
      <c r="CG304" s="1070"/>
      <c r="CH304" s="1070"/>
      <c r="CI304" s="1070"/>
      <c r="CJ304" s="1070"/>
      <c r="CK304" s="1070"/>
      <c r="CL304" s="1070"/>
      <c r="CM304" s="1070"/>
      <c r="CN304" s="1070"/>
      <c r="CO304" s="1070"/>
      <c r="CP304" s="1070"/>
      <c r="CQ304" s="1070"/>
      <c r="CR304" s="1070"/>
      <c r="CS304" s="1070"/>
      <c r="CT304" s="1070"/>
      <c r="CU304" s="1070"/>
      <c r="CV304" s="1070"/>
      <c r="CW304" s="1070"/>
      <c r="CX304" s="1070"/>
      <c r="CY304" s="1070"/>
      <c r="CZ304" s="1070"/>
      <c r="DA304" s="1070"/>
      <c r="DB304" s="1070"/>
      <c r="DC304" s="1070"/>
      <c r="DD304" s="1070"/>
      <c r="DE304" s="1070"/>
      <c r="DF304" s="1070"/>
      <c r="DG304" s="1070"/>
      <c r="DH304" s="1070"/>
      <c r="DI304" s="1070"/>
      <c r="DJ304" s="1070"/>
    </row>
    <row r="305" spans="1:114" s="1136" customFormat="1" ht="27.75" customHeight="1" x14ac:dyDescent="0.2">
      <c r="A305" s="1955" t="s">
        <v>1732</v>
      </c>
      <c r="B305" s="1406" t="e">
        <f>IF(B365&lt;9,9,IF(B365&gt;16,16,B365))</f>
        <v>#VALUE!</v>
      </c>
      <c r="C305" s="1407"/>
      <c r="D305" s="1407"/>
      <c r="E305" s="1407"/>
      <c r="F305" s="1407"/>
      <c r="G305" s="1407"/>
      <c r="H305" s="1070"/>
      <c r="I305" s="1070"/>
      <c r="J305" s="1315"/>
      <c r="K305" s="1316"/>
      <c r="L305" s="1316"/>
      <c r="M305" s="1315"/>
      <c r="N305" s="1070"/>
      <c r="O305" s="1070"/>
      <c r="P305" s="1070"/>
      <c r="Q305" s="1070"/>
      <c r="R305" s="1070"/>
      <c r="S305" s="1070"/>
      <c r="T305" s="1070"/>
      <c r="U305" s="1070"/>
      <c r="V305" s="1070"/>
      <c r="W305" s="1070"/>
      <c r="X305" s="1070"/>
      <c r="Y305" s="1070"/>
      <c r="Z305" s="1070"/>
      <c r="AA305" s="1070"/>
      <c r="AB305" s="1070"/>
      <c r="AC305" s="1070"/>
      <c r="AD305" s="1070"/>
      <c r="AE305" s="1070"/>
      <c r="AF305" s="1070"/>
      <c r="AG305" s="1070"/>
      <c r="AH305" s="1070"/>
      <c r="AI305" s="1070"/>
      <c r="AJ305" s="1070"/>
      <c r="AK305" s="1070"/>
      <c r="AL305" s="1070"/>
      <c r="AM305" s="1070"/>
      <c r="AN305" s="1070"/>
      <c r="AO305" s="1070"/>
      <c r="AP305" s="1070"/>
      <c r="AQ305" s="1070"/>
      <c r="AR305" s="1070"/>
      <c r="AS305" s="1070"/>
      <c r="AT305" s="1070"/>
      <c r="AU305" s="1070"/>
      <c r="AV305" s="1070"/>
      <c r="AW305" s="1070"/>
      <c r="AX305" s="1070"/>
      <c r="AY305" s="1070"/>
      <c r="AZ305" s="1070"/>
      <c r="BA305" s="1070"/>
      <c r="BB305" s="1070"/>
      <c r="BC305" s="1070"/>
      <c r="BD305" s="1070"/>
      <c r="BE305" s="1070"/>
      <c r="BF305" s="1070"/>
      <c r="BG305" s="1070"/>
      <c r="BH305" s="1070"/>
      <c r="BI305" s="1070"/>
      <c r="BJ305" s="1070"/>
      <c r="BK305" s="1070"/>
      <c r="BL305" s="1070"/>
      <c r="BM305" s="1070"/>
      <c r="BN305" s="1070"/>
      <c r="BO305" s="1070"/>
      <c r="BP305" s="1070"/>
      <c r="BQ305" s="1070"/>
      <c r="BR305" s="1070"/>
      <c r="BS305" s="1070"/>
      <c r="BT305" s="1070"/>
      <c r="BU305" s="1070"/>
      <c r="BV305" s="1070"/>
      <c r="BW305" s="1070"/>
      <c r="BX305" s="1070"/>
      <c r="BY305" s="1070"/>
      <c r="BZ305" s="1070"/>
      <c r="CA305" s="1070"/>
      <c r="CB305" s="1070"/>
      <c r="CC305" s="1070"/>
      <c r="CD305" s="1070"/>
      <c r="CE305" s="1070"/>
      <c r="CF305" s="1070"/>
      <c r="CG305" s="1070"/>
      <c r="CH305" s="1070"/>
      <c r="CI305" s="1070"/>
      <c r="CJ305" s="1070"/>
      <c r="CK305" s="1070"/>
      <c r="CL305" s="1070"/>
      <c r="CM305" s="1070"/>
      <c r="CN305" s="1070"/>
      <c r="CO305" s="1070"/>
      <c r="CP305" s="1070"/>
      <c r="CQ305" s="1070"/>
      <c r="CR305" s="1070"/>
      <c r="CS305" s="1070"/>
      <c r="CT305" s="1070"/>
      <c r="CU305" s="1070"/>
      <c r="CV305" s="1070"/>
      <c r="CW305" s="1070"/>
      <c r="CX305" s="1070"/>
      <c r="CY305" s="1070"/>
      <c r="CZ305" s="1070"/>
      <c r="DA305" s="1070"/>
      <c r="DB305" s="1070"/>
      <c r="DC305" s="1070"/>
      <c r="DD305" s="1070"/>
      <c r="DE305" s="1070"/>
      <c r="DF305" s="1070"/>
      <c r="DG305" s="1070"/>
      <c r="DH305" s="1070"/>
      <c r="DI305" s="1070"/>
      <c r="DJ305" s="1070"/>
    </row>
    <row r="306" spans="1:114" s="1136" customFormat="1" ht="27.75" customHeight="1" x14ac:dyDescent="0.2">
      <c r="A306" s="1955" t="s">
        <v>1739</v>
      </c>
      <c r="B306" s="1406" t="e">
        <f>B305-8</f>
        <v>#VALUE!</v>
      </c>
      <c r="C306" s="1407"/>
      <c r="D306" s="1407"/>
      <c r="E306" s="1407"/>
      <c r="F306" s="1407"/>
      <c r="G306" s="1407"/>
      <c r="H306" s="1070"/>
      <c r="I306" s="1070"/>
      <c r="J306" s="1315"/>
      <c r="K306" s="1316"/>
      <c r="L306" s="1316"/>
      <c r="M306" s="1315"/>
      <c r="N306" s="1070"/>
      <c r="O306" s="1070"/>
      <c r="P306" s="1070"/>
      <c r="Q306" s="1070"/>
      <c r="R306" s="1070"/>
      <c r="S306" s="1070"/>
      <c r="T306" s="1070"/>
      <c r="U306" s="1070"/>
      <c r="V306" s="1070"/>
      <c r="W306" s="1070"/>
      <c r="X306" s="1070"/>
      <c r="Y306" s="1070"/>
      <c r="Z306" s="1070"/>
      <c r="AA306" s="1070"/>
      <c r="AB306" s="1070"/>
      <c r="AC306" s="1070"/>
      <c r="AD306" s="1070"/>
      <c r="AE306" s="1070"/>
      <c r="AF306" s="1070"/>
      <c r="AG306" s="1070"/>
      <c r="AH306" s="1070"/>
      <c r="AI306" s="1070"/>
      <c r="AJ306" s="1070"/>
      <c r="AK306" s="1070"/>
      <c r="AL306" s="1070"/>
      <c r="AM306" s="1070"/>
      <c r="AN306" s="1070"/>
      <c r="AO306" s="1070"/>
      <c r="AP306" s="1070"/>
      <c r="AQ306" s="1070"/>
      <c r="AR306" s="1070"/>
      <c r="AS306" s="1070"/>
      <c r="AT306" s="1070"/>
      <c r="AU306" s="1070"/>
      <c r="AV306" s="1070"/>
      <c r="AW306" s="1070"/>
      <c r="AX306" s="1070"/>
      <c r="AY306" s="1070"/>
      <c r="AZ306" s="1070"/>
      <c r="BA306" s="1070"/>
      <c r="BB306" s="1070"/>
      <c r="BC306" s="1070"/>
      <c r="BD306" s="1070"/>
      <c r="BE306" s="1070"/>
      <c r="BF306" s="1070"/>
      <c r="BG306" s="1070"/>
      <c r="BH306" s="1070"/>
      <c r="BI306" s="1070"/>
      <c r="BJ306" s="1070"/>
      <c r="BK306" s="1070"/>
      <c r="BL306" s="1070"/>
      <c r="BM306" s="1070"/>
      <c r="BN306" s="1070"/>
      <c r="BO306" s="1070"/>
      <c r="BP306" s="1070"/>
      <c r="BQ306" s="1070"/>
      <c r="BR306" s="1070"/>
      <c r="BS306" s="1070"/>
      <c r="BT306" s="1070"/>
      <c r="BU306" s="1070"/>
      <c r="BV306" s="1070"/>
      <c r="BW306" s="1070"/>
      <c r="BX306" s="1070"/>
      <c r="BY306" s="1070"/>
      <c r="BZ306" s="1070"/>
      <c r="CA306" s="1070"/>
      <c r="CB306" s="1070"/>
      <c r="CC306" s="1070"/>
      <c r="CD306" s="1070"/>
      <c r="CE306" s="1070"/>
      <c r="CF306" s="1070"/>
      <c r="CG306" s="1070"/>
      <c r="CH306" s="1070"/>
      <c r="CI306" s="1070"/>
      <c r="CJ306" s="1070"/>
      <c r="CK306" s="1070"/>
      <c r="CL306" s="1070"/>
      <c r="CM306" s="1070"/>
      <c r="CN306" s="1070"/>
      <c r="CO306" s="1070"/>
      <c r="CP306" s="1070"/>
      <c r="CQ306" s="1070"/>
      <c r="CR306" s="1070"/>
      <c r="CS306" s="1070"/>
      <c r="CT306" s="1070"/>
      <c r="CU306" s="1070"/>
      <c r="CV306" s="1070"/>
      <c r="CW306" s="1070"/>
      <c r="CX306" s="1070"/>
      <c r="CY306" s="1070"/>
      <c r="CZ306" s="1070"/>
      <c r="DA306" s="1070"/>
      <c r="DB306" s="1070"/>
      <c r="DC306" s="1070"/>
      <c r="DD306" s="1070"/>
      <c r="DE306" s="1070"/>
      <c r="DF306" s="1070"/>
      <c r="DG306" s="1070"/>
      <c r="DH306" s="1070"/>
      <c r="DI306" s="1070"/>
      <c r="DJ306" s="1070"/>
    </row>
    <row r="307" spans="1:114" s="1136" customFormat="1" ht="27.75" customHeight="1" x14ac:dyDescent="0.25">
      <c r="A307" s="1956" t="s">
        <v>1740</v>
      </c>
      <c r="B307" s="1406">
        <v>4.8959999999999999</v>
      </c>
      <c r="C307" s="1407"/>
      <c r="D307" s="1407"/>
      <c r="E307" s="1407"/>
      <c r="F307" s="1407"/>
      <c r="G307" s="1407"/>
      <c r="H307" s="1070"/>
      <c r="I307" s="1070"/>
      <c r="J307" s="1315"/>
      <c r="K307" s="1316"/>
      <c r="L307" s="1316"/>
      <c r="M307" s="1315"/>
      <c r="N307" s="1070"/>
      <c r="O307" s="1070"/>
      <c r="P307" s="1070"/>
      <c r="Q307" s="1070"/>
      <c r="R307" s="1070"/>
      <c r="S307" s="1070"/>
      <c r="T307" s="1070"/>
      <c r="U307" s="1070"/>
      <c r="V307" s="1070"/>
      <c r="W307" s="1070"/>
      <c r="X307" s="1070"/>
      <c r="Y307" s="1070"/>
      <c r="Z307" s="1070"/>
      <c r="AA307" s="1070"/>
      <c r="AB307" s="1070"/>
      <c r="AC307" s="1070"/>
      <c r="AD307" s="1070"/>
      <c r="AE307" s="1070"/>
      <c r="AF307" s="1070"/>
      <c r="AG307" s="1070"/>
      <c r="AH307" s="1070"/>
      <c r="AI307" s="1070"/>
      <c r="AJ307" s="1070"/>
      <c r="AK307" s="1070"/>
      <c r="AL307" s="1070"/>
      <c r="AM307" s="1070"/>
      <c r="AN307" s="1070"/>
      <c r="AO307" s="1070"/>
      <c r="AP307" s="1070"/>
      <c r="AQ307" s="1070"/>
      <c r="AR307" s="1070"/>
      <c r="AS307" s="1070"/>
      <c r="AT307" s="1070"/>
      <c r="AU307" s="1070"/>
      <c r="AV307" s="1070"/>
      <c r="AW307" s="1070"/>
      <c r="AX307" s="1070"/>
      <c r="AY307" s="1070"/>
      <c r="AZ307" s="1070"/>
      <c r="BA307" s="1070"/>
      <c r="BB307" s="1070"/>
      <c r="BC307" s="1070"/>
      <c r="BD307" s="1070"/>
      <c r="BE307" s="1070"/>
      <c r="BF307" s="1070"/>
      <c r="BG307" s="1070"/>
      <c r="BH307" s="1070"/>
      <c r="BI307" s="1070"/>
      <c r="BJ307" s="1070"/>
      <c r="BK307" s="1070"/>
      <c r="BL307" s="1070"/>
      <c r="BM307" s="1070"/>
      <c r="BN307" s="1070"/>
      <c r="BO307" s="1070"/>
      <c r="BP307" s="1070"/>
      <c r="BQ307" s="1070"/>
      <c r="BR307" s="1070"/>
      <c r="BS307" s="1070"/>
      <c r="BT307" s="1070"/>
      <c r="BU307" s="1070"/>
      <c r="BV307" s="1070"/>
      <c r="BW307" s="1070"/>
      <c r="BX307" s="1070"/>
      <c r="BY307" s="1070"/>
      <c r="BZ307" s="1070"/>
      <c r="CA307" s="1070"/>
      <c r="CB307" s="1070"/>
      <c r="CC307" s="1070"/>
      <c r="CD307" s="1070"/>
      <c r="CE307" s="1070"/>
      <c r="CF307" s="1070"/>
      <c r="CG307" s="1070"/>
      <c r="CH307" s="1070"/>
      <c r="CI307" s="1070"/>
      <c r="CJ307" s="1070"/>
      <c r="CK307" s="1070"/>
      <c r="CL307" s="1070"/>
      <c r="CM307" s="1070"/>
      <c r="CN307" s="1070"/>
      <c r="CO307" s="1070"/>
      <c r="CP307" s="1070"/>
      <c r="CQ307" s="1070"/>
      <c r="CR307" s="1070"/>
      <c r="CS307" s="1070"/>
      <c r="CT307" s="1070"/>
      <c r="CU307" s="1070"/>
      <c r="CV307" s="1070"/>
      <c r="CW307" s="1070"/>
      <c r="CX307" s="1070"/>
      <c r="CY307" s="1070"/>
      <c r="CZ307" s="1070"/>
      <c r="DA307" s="1070"/>
      <c r="DB307" s="1070"/>
      <c r="DC307" s="1070"/>
      <c r="DD307" s="1070"/>
      <c r="DE307" s="1070"/>
      <c r="DF307" s="1070"/>
      <c r="DG307" s="1070"/>
      <c r="DH307" s="1070"/>
      <c r="DI307" s="1070"/>
      <c r="DJ307" s="1070"/>
    </row>
    <row r="308" spans="1:114" s="1136" customFormat="1" ht="27.75" customHeight="1" x14ac:dyDescent="0.2">
      <c r="A308" s="1955" t="s">
        <v>1735</v>
      </c>
      <c r="B308" s="1406" t="b">
        <v>0</v>
      </c>
      <c r="C308" s="1407"/>
      <c r="D308" s="1407"/>
      <c r="E308" s="1407"/>
      <c r="F308" s="1407"/>
      <c r="G308" s="1407"/>
      <c r="H308" s="1070"/>
      <c r="I308" s="1070"/>
      <c r="J308" s="1315"/>
      <c r="K308" s="1316"/>
      <c r="L308" s="1316"/>
      <c r="M308" s="1315"/>
      <c r="N308" s="1070"/>
      <c r="O308" s="1070"/>
      <c r="P308" s="1070"/>
      <c r="Q308" s="1070"/>
      <c r="R308" s="1070"/>
      <c r="S308" s="1070"/>
      <c r="T308" s="1070"/>
      <c r="U308" s="1070"/>
      <c r="V308" s="1070"/>
      <c r="W308" s="1070"/>
      <c r="X308" s="1070"/>
      <c r="Y308" s="1070"/>
      <c r="Z308" s="1070"/>
      <c r="AA308" s="1070"/>
      <c r="AB308" s="1070"/>
      <c r="AC308" s="1070"/>
      <c r="AD308" s="1070"/>
      <c r="AE308" s="1070"/>
      <c r="AF308" s="1070"/>
      <c r="AG308" s="1070"/>
      <c r="AH308" s="1070"/>
      <c r="AI308" s="1070"/>
      <c r="AJ308" s="1070"/>
      <c r="AK308" s="1070"/>
      <c r="AL308" s="1070"/>
      <c r="AM308" s="1070"/>
      <c r="AN308" s="1070"/>
      <c r="AO308" s="1070"/>
      <c r="AP308" s="1070"/>
      <c r="AQ308" s="1070"/>
      <c r="AR308" s="1070"/>
      <c r="AS308" s="1070"/>
      <c r="AT308" s="1070"/>
      <c r="AU308" s="1070"/>
      <c r="AV308" s="1070"/>
      <c r="AW308" s="1070"/>
      <c r="AX308" s="1070"/>
      <c r="AY308" s="1070"/>
      <c r="AZ308" s="1070"/>
      <c r="BA308" s="1070"/>
      <c r="BB308" s="1070"/>
      <c r="BC308" s="1070"/>
      <c r="BD308" s="1070"/>
      <c r="BE308" s="1070"/>
      <c r="BF308" s="1070"/>
      <c r="BG308" s="1070"/>
      <c r="BH308" s="1070"/>
      <c r="BI308" s="1070"/>
      <c r="BJ308" s="1070"/>
      <c r="BK308" s="1070"/>
      <c r="BL308" s="1070"/>
      <c r="BM308" s="1070"/>
      <c r="BN308" s="1070"/>
      <c r="BO308" s="1070"/>
      <c r="BP308" s="1070"/>
      <c r="BQ308" s="1070"/>
      <c r="BR308" s="1070"/>
      <c r="BS308" s="1070"/>
      <c r="BT308" s="1070"/>
      <c r="BU308" s="1070"/>
      <c r="BV308" s="1070"/>
      <c r="BW308" s="1070"/>
      <c r="BX308" s="1070"/>
      <c r="BY308" s="1070"/>
      <c r="BZ308" s="1070"/>
      <c r="CA308" s="1070"/>
      <c r="CB308" s="1070"/>
      <c r="CC308" s="1070"/>
      <c r="CD308" s="1070"/>
      <c r="CE308" s="1070"/>
      <c r="CF308" s="1070"/>
      <c r="CG308" s="1070"/>
      <c r="CH308" s="1070"/>
      <c r="CI308" s="1070"/>
      <c r="CJ308" s="1070"/>
      <c r="CK308" s="1070"/>
      <c r="CL308" s="1070"/>
      <c r="CM308" s="1070"/>
      <c r="CN308" s="1070"/>
      <c r="CO308" s="1070"/>
      <c r="CP308" s="1070"/>
      <c r="CQ308" s="1070"/>
      <c r="CR308" s="1070"/>
      <c r="CS308" s="1070"/>
      <c r="CT308" s="1070"/>
      <c r="CU308" s="1070"/>
      <c r="CV308" s="1070"/>
      <c r="CW308" s="1070"/>
      <c r="CX308" s="1070"/>
      <c r="CY308" s="1070"/>
      <c r="CZ308" s="1070"/>
      <c r="DA308" s="1070"/>
      <c r="DB308" s="1070"/>
      <c r="DC308" s="1070"/>
      <c r="DD308" s="1070"/>
      <c r="DE308" s="1070"/>
      <c r="DF308" s="1070"/>
      <c r="DG308" s="1070"/>
      <c r="DH308" s="1070"/>
      <c r="DI308" s="1070"/>
      <c r="DJ308" s="1070"/>
    </row>
    <row r="309" spans="1:114" s="1136" customFormat="1" ht="27.75" customHeight="1" x14ac:dyDescent="0.2">
      <c r="A309" s="1955" t="s">
        <v>1735</v>
      </c>
      <c r="B309" s="1406" t="b">
        <v>0</v>
      </c>
      <c r="C309" s="1407"/>
      <c r="D309" s="1407"/>
      <c r="E309" s="1407"/>
      <c r="F309" s="1407"/>
      <c r="G309" s="1407"/>
      <c r="H309" s="1070"/>
      <c r="I309" s="1070"/>
      <c r="J309" s="1315"/>
      <c r="K309" s="1316"/>
      <c r="L309" s="1316"/>
      <c r="M309" s="1315"/>
      <c r="N309" s="1070"/>
      <c r="O309" s="1070"/>
      <c r="P309" s="1070"/>
      <c r="Q309" s="1070"/>
      <c r="R309" s="1070"/>
      <c r="S309" s="1070"/>
      <c r="T309" s="1070"/>
      <c r="U309" s="1070"/>
      <c r="V309" s="1070"/>
      <c r="W309" s="1070"/>
      <c r="X309" s="1070"/>
      <c r="Y309" s="1070"/>
      <c r="Z309" s="1070"/>
      <c r="AA309" s="1070"/>
      <c r="AB309" s="1070"/>
      <c r="AC309" s="1070"/>
      <c r="AD309" s="1070"/>
      <c r="AE309" s="1070"/>
      <c r="AF309" s="1070"/>
      <c r="AG309" s="1070"/>
      <c r="AH309" s="1070"/>
      <c r="AI309" s="1070"/>
      <c r="AJ309" s="1070"/>
      <c r="AK309" s="1070"/>
      <c r="AL309" s="1070"/>
      <c r="AM309" s="1070"/>
      <c r="AN309" s="1070"/>
      <c r="AO309" s="1070"/>
      <c r="AP309" s="1070"/>
      <c r="AQ309" s="1070"/>
      <c r="AR309" s="1070"/>
      <c r="AS309" s="1070"/>
      <c r="AT309" s="1070"/>
      <c r="AU309" s="1070"/>
      <c r="AV309" s="1070"/>
      <c r="AW309" s="1070"/>
      <c r="AX309" s="1070"/>
      <c r="AY309" s="1070"/>
      <c r="AZ309" s="1070"/>
      <c r="BA309" s="1070"/>
      <c r="BB309" s="1070"/>
      <c r="BC309" s="1070"/>
      <c r="BD309" s="1070"/>
      <c r="BE309" s="1070"/>
      <c r="BF309" s="1070"/>
      <c r="BG309" s="1070"/>
      <c r="BH309" s="1070"/>
      <c r="BI309" s="1070"/>
      <c r="BJ309" s="1070"/>
      <c r="BK309" s="1070"/>
      <c r="BL309" s="1070"/>
      <c r="BM309" s="1070"/>
      <c r="BN309" s="1070"/>
      <c r="BO309" s="1070"/>
      <c r="BP309" s="1070"/>
      <c r="BQ309" s="1070"/>
      <c r="BR309" s="1070"/>
      <c r="BS309" s="1070"/>
      <c r="BT309" s="1070"/>
      <c r="BU309" s="1070"/>
      <c r="BV309" s="1070"/>
      <c r="BW309" s="1070"/>
      <c r="BX309" s="1070"/>
      <c r="BY309" s="1070"/>
      <c r="BZ309" s="1070"/>
      <c r="CA309" s="1070"/>
      <c r="CB309" s="1070"/>
      <c r="CC309" s="1070"/>
      <c r="CD309" s="1070"/>
      <c r="CE309" s="1070"/>
      <c r="CF309" s="1070"/>
      <c r="CG309" s="1070"/>
      <c r="CH309" s="1070"/>
      <c r="CI309" s="1070"/>
      <c r="CJ309" s="1070"/>
      <c r="CK309" s="1070"/>
      <c r="CL309" s="1070"/>
      <c r="CM309" s="1070"/>
      <c r="CN309" s="1070"/>
      <c r="CO309" s="1070"/>
      <c r="CP309" s="1070"/>
      <c r="CQ309" s="1070"/>
      <c r="CR309" s="1070"/>
      <c r="CS309" s="1070"/>
      <c r="CT309" s="1070"/>
      <c r="CU309" s="1070"/>
      <c r="CV309" s="1070"/>
      <c r="CW309" s="1070"/>
      <c r="CX309" s="1070"/>
      <c r="CY309" s="1070"/>
      <c r="CZ309" s="1070"/>
      <c r="DA309" s="1070"/>
      <c r="DB309" s="1070"/>
      <c r="DC309" s="1070"/>
      <c r="DD309" s="1070"/>
      <c r="DE309" s="1070"/>
      <c r="DF309" s="1070"/>
      <c r="DG309" s="1070"/>
      <c r="DH309" s="1070"/>
      <c r="DI309" s="1070"/>
      <c r="DJ309" s="1070"/>
    </row>
    <row r="310" spans="1:114" s="1136" customFormat="1" ht="27.75" customHeight="1" x14ac:dyDescent="0.2">
      <c r="A310" s="1955" t="s">
        <v>1735</v>
      </c>
      <c r="B310" s="1406" t="b">
        <v>0</v>
      </c>
      <c r="C310" s="1407"/>
      <c r="D310" s="1407"/>
      <c r="E310" s="1407"/>
      <c r="F310" s="1407"/>
      <c r="G310" s="1407"/>
      <c r="H310" s="1070"/>
      <c r="I310" s="1070"/>
      <c r="J310" s="1315"/>
      <c r="K310" s="1316"/>
      <c r="L310" s="1316"/>
      <c r="M310" s="1315"/>
      <c r="N310" s="1070"/>
      <c r="O310" s="1070"/>
      <c r="P310" s="1070"/>
      <c r="Q310" s="1070"/>
      <c r="R310" s="1070"/>
      <c r="S310" s="1070"/>
      <c r="T310" s="1070"/>
      <c r="U310" s="1070"/>
      <c r="V310" s="1070"/>
      <c r="W310" s="1070"/>
      <c r="X310" s="1070"/>
      <c r="Y310" s="1070"/>
      <c r="Z310" s="1070"/>
      <c r="AA310" s="1070"/>
      <c r="AB310" s="1070"/>
      <c r="AC310" s="1070"/>
      <c r="AD310" s="1070"/>
      <c r="AE310" s="1070"/>
      <c r="AF310" s="1070"/>
      <c r="AG310" s="1070"/>
      <c r="AH310" s="1070"/>
      <c r="AI310" s="1070"/>
      <c r="AJ310" s="1070"/>
      <c r="AK310" s="1070"/>
      <c r="AL310" s="1070"/>
      <c r="AM310" s="1070"/>
      <c r="AN310" s="1070"/>
      <c r="AO310" s="1070"/>
      <c r="AP310" s="1070"/>
      <c r="AQ310" s="1070"/>
      <c r="AR310" s="1070"/>
      <c r="AS310" s="1070"/>
      <c r="AT310" s="1070"/>
      <c r="AU310" s="1070"/>
      <c r="AV310" s="1070"/>
      <c r="AW310" s="1070"/>
      <c r="AX310" s="1070"/>
      <c r="AY310" s="1070"/>
      <c r="AZ310" s="1070"/>
      <c r="BA310" s="1070"/>
      <c r="BB310" s="1070"/>
      <c r="BC310" s="1070"/>
      <c r="BD310" s="1070"/>
      <c r="BE310" s="1070"/>
      <c r="BF310" s="1070"/>
      <c r="BG310" s="1070"/>
      <c r="BH310" s="1070"/>
      <c r="BI310" s="1070"/>
      <c r="BJ310" s="1070"/>
      <c r="BK310" s="1070"/>
      <c r="BL310" s="1070"/>
      <c r="BM310" s="1070"/>
      <c r="BN310" s="1070"/>
      <c r="BO310" s="1070"/>
      <c r="BP310" s="1070"/>
      <c r="BQ310" s="1070"/>
      <c r="BR310" s="1070"/>
      <c r="BS310" s="1070"/>
      <c r="BT310" s="1070"/>
      <c r="BU310" s="1070"/>
      <c r="BV310" s="1070"/>
      <c r="BW310" s="1070"/>
      <c r="BX310" s="1070"/>
      <c r="BY310" s="1070"/>
      <c r="BZ310" s="1070"/>
      <c r="CA310" s="1070"/>
      <c r="CB310" s="1070"/>
      <c r="CC310" s="1070"/>
      <c r="CD310" s="1070"/>
      <c r="CE310" s="1070"/>
      <c r="CF310" s="1070"/>
      <c r="CG310" s="1070"/>
      <c r="CH310" s="1070"/>
      <c r="CI310" s="1070"/>
      <c r="CJ310" s="1070"/>
      <c r="CK310" s="1070"/>
      <c r="CL310" s="1070"/>
      <c r="CM310" s="1070"/>
      <c r="CN310" s="1070"/>
      <c r="CO310" s="1070"/>
      <c r="CP310" s="1070"/>
      <c r="CQ310" s="1070"/>
      <c r="CR310" s="1070"/>
      <c r="CS310" s="1070"/>
      <c r="CT310" s="1070"/>
      <c r="CU310" s="1070"/>
      <c r="CV310" s="1070"/>
      <c r="CW310" s="1070"/>
      <c r="CX310" s="1070"/>
      <c r="CY310" s="1070"/>
      <c r="CZ310" s="1070"/>
      <c r="DA310" s="1070"/>
      <c r="DB310" s="1070"/>
      <c r="DC310" s="1070"/>
      <c r="DD310" s="1070"/>
      <c r="DE310" s="1070"/>
      <c r="DF310" s="1070"/>
      <c r="DG310" s="1070"/>
      <c r="DH310" s="1070"/>
      <c r="DI310" s="1070"/>
      <c r="DJ310" s="1070"/>
    </row>
    <row r="311" spans="1:114" s="1136" customFormat="1" ht="27.75" customHeight="1" x14ac:dyDescent="0.25">
      <c r="A311" s="1956" t="s">
        <v>1741</v>
      </c>
      <c r="B311" s="1406">
        <v>217</v>
      </c>
      <c r="C311" s="1407"/>
      <c r="D311" s="1407"/>
      <c r="E311" s="1407"/>
      <c r="F311" s="1407"/>
      <c r="G311" s="1407"/>
      <c r="H311" s="1070"/>
      <c r="I311" s="1070"/>
      <c r="J311" s="1315"/>
      <c r="K311" s="1316"/>
      <c r="L311" s="1316"/>
      <c r="M311" s="1315"/>
      <c r="N311" s="1070"/>
      <c r="O311" s="1070"/>
      <c r="P311" s="1070"/>
      <c r="Q311" s="1070"/>
      <c r="R311" s="1070"/>
      <c r="S311" s="1070"/>
      <c r="T311" s="1070"/>
      <c r="U311" s="1070"/>
      <c r="V311" s="1070"/>
      <c r="W311" s="1070"/>
      <c r="X311" s="1070"/>
      <c r="Y311" s="1070"/>
      <c r="Z311" s="1070"/>
      <c r="AA311" s="1070"/>
      <c r="AB311" s="1070"/>
      <c r="AC311" s="1070"/>
      <c r="AD311" s="1070"/>
      <c r="AE311" s="1070"/>
      <c r="AF311" s="1070"/>
      <c r="AG311" s="1070"/>
      <c r="AH311" s="1070"/>
      <c r="AI311" s="1070"/>
      <c r="AJ311" s="1070"/>
      <c r="AK311" s="1070"/>
      <c r="AL311" s="1070"/>
      <c r="AM311" s="1070"/>
      <c r="AN311" s="1070"/>
      <c r="AO311" s="1070"/>
      <c r="AP311" s="1070"/>
      <c r="AQ311" s="1070"/>
      <c r="AR311" s="1070"/>
      <c r="AS311" s="1070"/>
      <c r="AT311" s="1070"/>
      <c r="AU311" s="1070"/>
      <c r="AV311" s="1070"/>
      <c r="AW311" s="1070"/>
      <c r="AX311" s="1070"/>
      <c r="AY311" s="1070"/>
      <c r="AZ311" s="1070"/>
      <c r="BA311" s="1070"/>
      <c r="BB311" s="1070"/>
      <c r="BC311" s="1070"/>
      <c r="BD311" s="1070"/>
      <c r="BE311" s="1070"/>
      <c r="BF311" s="1070"/>
      <c r="BG311" s="1070"/>
      <c r="BH311" s="1070"/>
      <c r="BI311" s="1070"/>
      <c r="BJ311" s="1070"/>
      <c r="BK311" s="1070"/>
      <c r="BL311" s="1070"/>
      <c r="BM311" s="1070"/>
      <c r="BN311" s="1070"/>
      <c r="BO311" s="1070"/>
      <c r="BP311" s="1070"/>
      <c r="BQ311" s="1070"/>
      <c r="BR311" s="1070"/>
      <c r="BS311" s="1070"/>
      <c r="BT311" s="1070"/>
      <c r="BU311" s="1070"/>
      <c r="BV311" s="1070"/>
      <c r="BW311" s="1070"/>
      <c r="BX311" s="1070"/>
      <c r="BY311" s="1070"/>
      <c r="BZ311" s="1070"/>
      <c r="CA311" s="1070"/>
      <c r="CB311" s="1070"/>
      <c r="CC311" s="1070"/>
      <c r="CD311" s="1070"/>
      <c r="CE311" s="1070"/>
      <c r="CF311" s="1070"/>
      <c r="CG311" s="1070"/>
      <c r="CH311" s="1070"/>
      <c r="CI311" s="1070"/>
      <c r="CJ311" s="1070"/>
      <c r="CK311" s="1070"/>
      <c r="CL311" s="1070"/>
      <c r="CM311" s="1070"/>
      <c r="CN311" s="1070"/>
      <c r="CO311" s="1070"/>
      <c r="CP311" s="1070"/>
      <c r="CQ311" s="1070"/>
      <c r="CR311" s="1070"/>
      <c r="CS311" s="1070"/>
      <c r="CT311" s="1070"/>
      <c r="CU311" s="1070"/>
      <c r="CV311" s="1070"/>
      <c r="CW311" s="1070"/>
      <c r="CX311" s="1070"/>
      <c r="CY311" s="1070"/>
      <c r="CZ311" s="1070"/>
      <c r="DA311" s="1070"/>
      <c r="DB311" s="1070"/>
      <c r="DC311" s="1070"/>
      <c r="DD311" s="1070"/>
      <c r="DE311" s="1070"/>
      <c r="DF311" s="1070"/>
      <c r="DG311" s="1070"/>
      <c r="DH311" s="1070"/>
      <c r="DI311" s="1070"/>
      <c r="DJ311" s="1070"/>
    </row>
    <row r="312" spans="1:114" s="1136" customFormat="1" ht="27.75" customHeight="1" x14ac:dyDescent="0.2">
      <c r="A312" s="1955" t="s">
        <v>1735</v>
      </c>
      <c r="B312" s="1406" t="b">
        <v>0</v>
      </c>
      <c r="C312" s="1407"/>
      <c r="D312" s="1407"/>
      <c r="E312" s="1407"/>
      <c r="F312" s="1407"/>
      <c r="G312" s="1407"/>
      <c r="H312" s="1070"/>
      <c r="I312" s="1070"/>
      <c r="J312" s="1315"/>
      <c r="K312" s="1316"/>
      <c r="L312" s="1316"/>
      <c r="M312" s="1315"/>
      <c r="N312" s="1070"/>
      <c r="O312" s="1070"/>
      <c r="P312" s="1070"/>
      <c r="Q312" s="1070"/>
      <c r="R312" s="1070"/>
      <c r="S312" s="1070"/>
      <c r="T312" s="1070"/>
      <c r="U312" s="1070"/>
      <c r="V312" s="1070"/>
      <c r="W312" s="1070"/>
      <c r="X312" s="1070"/>
      <c r="Y312" s="1070"/>
      <c r="Z312" s="1070"/>
      <c r="AA312" s="1070"/>
      <c r="AB312" s="1070"/>
      <c r="AC312" s="1070"/>
      <c r="AD312" s="1070"/>
      <c r="AE312" s="1070"/>
      <c r="AF312" s="1070"/>
      <c r="AG312" s="1070"/>
      <c r="AH312" s="1070"/>
      <c r="AI312" s="1070"/>
      <c r="AJ312" s="1070"/>
      <c r="AK312" s="1070"/>
      <c r="AL312" s="1070"/>
      <c r="AM312" s="1070"/>
      <c r="AN312" s="1070"/>
      <c r="AO312" s="1070"/>
      <c r="AP312" s="1070"/>
      <c r="AQ312" s="1070"/>
      <c r="AR312" s="1070"/>
      <c r="AS312" s="1070"/>
      <c r="AT312" s="1070"/>
      <c r="AU312" s="1070"/>
      <c r="AV312" s="1070"/>
      <c r="AW312" s="1070"/>
      <c r="AX312" s="1070"/>
      <c r="AY312" s="1070"/>
      <c r="AZ312" s="1070"/>
      <c r="BA312" s="1070"/>
      <c r="BB312" s="1070"/>
      <c r="BC312" s="1070"/>
      <c r="BD312" s="1070"/>
      <c r="BE312" s="1070"/>
      <c r="BF312" s="1070"/>
      <c r="BG312" s="1070"/>
      <c r="BH312" s="1070"/>
      <c r="BI312" s="1070"/>
      <c r="BJ312" s="1070"/>
      <c r="BK312" s="1070"/>
      <c r="BL312" s="1070"/>
      <c r="BM312" s="1070"/>
      <c r="BN312" s="1070"/>
      <c r="BO312" s="1070"/>
      <c r="BP312" s="1070"/>
      <c r="BQ312" s="1070"/>
      <c r="BR312" s="1070"/>
      <c r="BS312" s="1070"/>
      <c r="BT312" s="1070"/>
      <c r="BU312" s="1070"/>
      <c r="BV312" s="1070"/>
      <c r="BW312" s="1070"/>
      <c r="BX312" s="1070"/>
      <c r="BY312" s="1070"/>
      <c r="BZ312" s="1070"/>
      <c r="CA312" s="1070"/>
      <c r="CB312" s="1070"/>
      <c r="CC312" s="1070"/>
      <c r="CD312" s="1070"/>
      <c r="CE312" s="1070"/>
      <c r="CF312" s="1070"/>
      <c r="CG312" s="1070"/>
      <c r="CH312" s="1070"/>
      <c r="CI312" s="1070"/>
      <c r="CJ312" s="1070"/>
      <c r="CK312" s="1070"/>
      <c r="CL312" s="1070"/>
      <c r="CM312" s="1070"/>
      <c r="CN312" s="1070"/>
      <c r="CO312" s="1070"/>
      <c r="CP312" s="1070"/>
      <c r="CQ312" s="1070"/>
      <c r="CR312" s="1070"/>
      <c r="CS312" s="1070"/>
      <c r="CT312" s="1070"/>
      <c r="CU312" s="1070"/>
      <c r="CV312" s="1070"/>
      <c r="CW312" s="1070"/>
      <c r="CX312" s="1070"/>
      <c r="CY312" s="1070"/>
      <c r="CZ312" s="1070"/>
      <c r="DA312" s="1070"/>
      <c r="DB312" s="1070"/>
      <c r="DC312" s="1070"/>
      <c r="DD312" s="1070"/>
      <c r="DE312" s="1070"/>
      <c r="DF312" s="1070"/>
      <c r="DG312" s="1070"/>
      <c r="DH312" s="1070"/>
      <c r="DI312" s="1070"/>
      <c r="DJ312" s="1070"/>
    </row>
    <row r="313" spans="1:114" s="1136" customFormat="1" ht="27.75" customHeight="1" x14ac:dyDescent="0.2">
      <c r="A313" s="1955" t="s">
        <v>1735</v>
      </c>
      <c r="B313" s="1406" t="b">
        <v>0</v>
      </c>
      <c r="C313" s="1407"/>
      <c r="D313" s="1407"/>
      <c r="E313" s="1407"/>
      <c r="F313" s="1407"/>
      <c r="G313" s="1407"/>
      <c r="H313" s="1070"/>
      <c r="I313" s="1070"/>
      <c r="J313" s="1315"/>
      <c r="K313" s="1316"/>
      <c r="L313" s="1316"/>
      <c r="M313" s="1315"/>
      <c r="N313" s="1070"/>
      <c r="O313" s="1070"/>
      <c r="P313" s="1070"/>
      <c r="Q313" s="1070"/>
      <c r="R313" s="1070"/>
      <c r="S313" s="1070"/>
      <c r="T313" s="1070"/>
      <c r="U313" s="1070"/>
      <c r="V313" s="1070"/>
      <c r="W313" s="1070"/>
      <c r="X313" s="1070"/>
      <c r="Y313" s="1070"/>
      <c r="Z313" s="1070"/>
      <c r="AA313" s="1070"/>
      <c r="AB313" s="1070"/>
      <c r="AC313" s="1070"/>
      <c r="AD313" s="1070"/>
      <c r="AE313" s="1070"/>
      <c r="AF313" s="1070"/>
      <c r="AG313" s="1070"/>
      <c r="AH313" s="1070"/>
      <c r="AI313" s="1070"/>
      <c r="AJ313" s="1070"/>
      <c r="AK313" s="1070"/>
      <c r="AL313" s="1070"/>
      <c r="AM313" s="1070"/>
      <c r="AN313" s="1070"/>
      <c r="AO313" s="1070"/>
      <c r="AP313" s="1070"/>
      <c r="AQ313" s="1070"/>
      <c r="AR313" s="1070"/>
      <c r="AS313" s="1070"/>
      <c r="AT313" s="1070"/>
      <c r="AU313" s="1070"/>
      <c r="AV313" s="1070"/>
      <c r="AW313" s="1070"/>
      <c r="AX313" s="1070"/>
      <c r="AY313" s="1070"/>
      <c r="AZ313" s="1070"/>
      <c r="BA313" s="1070"/>
      <c r="BB313" s="1070"/>
      <c r="BC313" s="1070"/>
      <c r="BD313" s="1070"/>
      <c r="BE313" s="1070"/>
      <c r="BF313" s="1070"/>
      <c r="BG313" s="1070"/>
      <c r="BH313" s="1070"/>
      <c r="BI313" s="1070"/>
      <c r="BJ313" s="1070"/>
      <c r="BK313" s="1070"/>
      <c r="BL313" s="1070"/>
      <c r="BM313" s="1070"/>
      <c r="BN313" s="1070"/>
      <c r="BO313" s="1070"/>
      <c r="BP313" s="1070"/>
      <c r="BQ313" s="1070"/>
      <c r="BR313" s="1070"/>
      <c r="BS313" s="1070"/>
      <c r="BT313" s="1070"/>
      <c r="BU313" s="1070"/>
      <c r="BV313" s="1070"/>
      <c r="BW313" s="1070"/>
      <c r="BX313" s="1070"/>
      <c r="BY313" s="1070"/>
      <c r="BZ313" s="1070"/>
      <c r="CA313" s="1070"/>
      <c r="CB313" s="1070"/>
      <c r="CC313" s="1070"/>
      <c r="CD313" s="1070"/>
      <c r="CE313" s="1070"/>
      <c r="CF313" s="1070"/>
      <c r="CG313" s="1070"/>
      <c r="CH313" s="1070"/>
      <c r="CI313" s="1070"/>
      <c r="CJ313" s="1070"/>
      <c r="CK313" s="1070"/>
      <c r="CL313" s="1070"/>
      <c r="CM313" s="1070"/>
      <c r="CN313" s="1070"/>
      <c r="CO313" s="1070"/>
      <c r="CP313" s="1070"/>
      <c r="CQ313" s="1070"/>
      <c r="CR313" s="1070"/>
      <c r="CS313" s="1070"/>
      <c r="CT313" s="1070"/>
      <c r="CU313" s="1070"/>
      <c r="CV313" s="1070"/>
      <c r="CW313" s="1070"/>
      <c r="CX313" s="1070"/>
      <c r="CY313" s="1070"/>
      <c r="CZ313" s="1070"/>
      <c r="DA313" s="1070"/>
      <c r="DB313" s="1070"/>
      <c r="DC313" s="1070"/>
      <c r="DD313" s="1070"/>
      <c r="DE313" s="1070"/>
      <c r="DF313" s="1070"/>
      <c r="DG313" s="1070"/>
      <c r="DH313" s="1070"/>
      <c r="DI313" s="1070"/>
      <c r="DJ313" s="1070"/>
    </row>
    <row r="314" spans="1:114" s="1136" customFormat="1" ht="27.75" customHeight="1" x14ac:dyDescent="0.2">
      <c r="A314" s="1955" t="s">
        <v>1735</v>
      </c>
      <c r="B314" s="1406" t="b">
        <v>0</v>
      </c>
      <c r="C314" s="1407"/>
      <c r="D314" s="1407"/>
      <c r="E314" s="1407"/>
      <c r="F314" s="1407"/>
      <c r="G314" s="1407"/>
      <c r="H314" s="1070"/>
      <c r="I314" s="1070"/>
      <c r="J314" s="1315"/>
      <c r="K314" s="1316"/>
      <c r="L314" s="1316"/>
      <c r="M314" s="1315"/>
      <c r="N314" s="1070"/>
      <c r="O314" s="1070"/>
      <c r="P314" s="1070"/>
      <c r="Q314" s="1070"/>
      <c r="R314" s="1070"/>
      <c r="S314" s="1070"/>
      <c r="T314" s="1070"/>
      <c r="U314" s="1070"/>
      <c r="V314" s="1070"/>
      <c r="W314" s="1070"/>
      <c r="X314" s="1070"/>
      <c r="Y314" s="1070"/>
      <c r="Z314" s="1070"/>
      <c r="AA314" s="1070"/>
      <c r="AB314" s="1070"/>
      <c r="AC314" s="1070"/>
      <c r="AD314" s="1070"/>
      <c r="AE314" s="1070"/>
      <c r="AF314" s="1070"/>
      <c r="AG314" s="1070"/>
      <c r="AH314" s="1070"/>
      <c r="AI314" s="1070"/>
      <c r="AJ314" s="1070"/>
      <c r="AK314" s="1070"/>
      <c r="AL314" s="1070"/>
      <c r="AM314" s="1070"/>
      <c r="AN314" s="1070"/>
      <c r="AO314" s="1070"/>
      <c r="AP314" s="1070"/>
      <c r="AQ314" s="1070"/>
      <c r="AR314" s="1070"/>
      <c r="AS314" s="1070"/>
      <c r="AT314" s="1070"/>
      <c r="AU314" s="1070"/>
      <c r="AV314" s="1070"/>
      <c r="AW314" s="1070"/>
      <c r="AX314" s="1070"/>
      <c r="AY314" s="1070"/>
      <c r="AZ314" s="1070"/>
      <c r="BA314" s="1070"/>
      <c r="BB314" s="1070"/>
      <c r="BC314" s="1070"/>
      <c r="BD314" s="1070"/>
      <c r="BE314" s="1070"/>
      <c r="BF314" s="1070"/>
      <c r="BG314" s="1070"/>
      <c r="BH314" s="1070"/>
      <c r="BI314" s="1070"/>
      <c r="BJ314" s="1070"/>
      <c r="BK314" s="1070"/>
      <c r="BL314" s="1070"/>
      <c r="BM314" s="1070"/>
      <c r="BN314" s="1070"/>
      <c r="BO314" s="1070"/>
      <c r="BP314" s="1070"/>
      <c r="BQ314" s="1070"/>
      <c r="BR314" s="1070"/>
      <c r="BS314" s="1070"/>
      <c r="BT314" s="1070"/>
      <c r="BU314" s="1070"/>
      <c r="BV314" s="1070"/>
      <c r="BW314" s="1070"/>
      <c r="BX314" s="1070"/>
      <c r="BY314" s="1070"/>
      <c r="BZ314" s="1070"/>
      <c r="CA314" s="1070"/>
      <c r="CB314" s="1070"/>
      <c r="CC314" s="1070"/>
      <c r="CD314" s="1070"/>
      <c r="CE314" s="1070"/>
      <c r="CF314" s="1070"/>
      <c r="CG314" s="1070"/>
      <c r="CH314" s="1070"/>
      <c r="CI314" s="1070"/>
      <c r="CJ314" s="1070"/>
      <c r="CK314" s="1070"/>
      <c r="CL314" s="1070"/>
      <c r="CM314" s="1070"/>
      <c r="CN314" s="1070"/>
      <c r="CO314" s="1070"/>
      <c r="CP314" s="1070"/>
      <c r="CQ314" s="1070"/>
      <c r="CR314" s="1070"/>
      <c r="CS314" s="1070"/>
      <c r="CT314" s="1070"/>
      <c r="CU314" s="1070"/>
      <c r="CV314" s="1070"/>
      <c r="CW314" s="1070"/>
      <c r="CX314" s="1070"/>
      <c r="CY314" s="1070"/>
      <c r="CZ314" s="1070"/>
      <c r="DA314" s="1070"/>
      <c r="DB314" s="1070"/>
      <c r="DC314" s="1070"/>
      <c r="DD314" s="1070"/>
      <c r="DE314" s="1070"/>
      <c r="DF314" s="1070"/>
      <c r="DG314" s="1070"/>
      <c r="DH314" s="1070"/>
      <c r="DI314" s="1070"/>
      <c r="DJ314" s="1070"/>
    </row>
    <row r="315" spans="1:114" s="1136" customFormat="1" ht="27.75" customHeight="1" x14ac:dyDescent="0.2">
      <c r="A315" s="1955" t="s">
        <v>1735</v>
      </c>
      <c r="B315" s="1406" t="b">
        <v>0</v>
      </c>
      <c r="C315" s="1407"/>
      <c r="D315" s="1407"/>
      <c r="E315" s="1407"/>
      <c r="F315" s="1407"/>
      <c r="G315" s="1407"/>
      <c r="H315" s="1070"/>
      <c r="I315" s="1070"/>
      <c r="J315" s="1315"/>
      <c r="K315" s="1316"/>
      <c r="L315" s="1316"/>
      <c r="M315" s="1315"/>
      <c r="N315" s="1070"/>
      <c r="O315" s="1070"/>
      <c r="P315" s="1070"/>
      <c r="Q315" s="1070"/>
      <c r="R315" s="1070"/>
      <c r="S315" s="1070"/>
      <c r="T315" s="1070"/>
      <c r="U315" s="1070"/>
      <c r="V315" s="1070"/>
      <c r="W315" s="1070"/>
      <c r="X315" s="1070"/>
      <c r="Y315" s="1070"/>
      <c r="Z315" s="1070"/>
      <c r="AA315" s="1070"/>
      <c r="AB315" s="1070"/>
      <c r="AC315" s="1070"/>
      <c r="AD315" s="1070"/>
      <c r="AE315" s="1070"/>
      <c r="AF315" s="1070"/>
      <c r="AG315" s="1070"/>
      <c r="AH315" s="1070"/>
      <c r="AI315" s="1070"/>
      <c r="AJ315" s="1070"/>
      <c r="AK315" s="1070"/>
      <c r="AL315" s="1070"/>
      <c r="AM315" s="1070"/>
      <c r="AN315" s="1070"/>
      <c r="AO315" s="1070"/>
      <c r="AP315" s="1070"/>
      <c r="AQ315" s="1070"/>
      <c r="AR315" s="1070"/>
      <c r="AS315" s="1070"/>
      <c r="AT315" s="1070"/>
      <c r="AU315" s="1070"/>
      <c r="AV315" s="1070"/>
      <c r="AW315" s="1070"/>
      <c r="AX315" s="1070"/>
      <c r="AY315" s="1070"/>
      <c r="AZ315" s="1070"/>
      <c r="BA315" s="1070"/>
      <c r="BB315" s="1070"/>
      <c r="BC315" s="1070"/>
      <c r="BD315" s="1070"/>
      <c r="BE315" s="1070"/>
      <c r="BF315" s="1070"/>
      <c r="BG315" s="1070"/>
      <c r="BH315" s="1070"/>
      <c r="BI315" s="1070"/>
      <c r="BJ315" s="1070"/>
      <c r="BK315" s="1070"/>
      <c r="BL315" s="1070"/>
      <c r="BM315" s="1070"/>
      <c r="BN315" s="1070"/>
      <c r="BO315" s="1070"/>
      <c r="BP315" s="1070"/>
      <c r="BQ315" s="1070"/>
      <c r="BR315" s="1070"/>
      <c r="BS315" s="1070"/>
      <c r="BT315" s="1070"/>
      <c r="BU315" s="1070"/>
      <c r="BV315" s="1070"/>
      <c r="BW315" s="1070"/>
      <c r="BX315" s="1070"/>
      <c r="BY315" s="1070"/>
      <c r="BZ315" s="1070"/>
      <c r="CA315" s="1070"/>
      <c r="CB315" s="1070"/>
      <c r="CC315" s="1070"/>
      <c r="CD315" s="1070"/>
      <c r="CE315" s="1070"/>
      <c r="CF315" s="1070"/>
      <c r="CG315" s="1070"/>
      <c r="CH315" s="1070"/>
      <c r="CI315" s="1070"/>
      <c r="CJ315" s="1070"/>
      <c r="CK315" s="1070"/>
      <c r="CL315" s="1070"/>
      <c r="CM315" s="1070"/>
      <c r="CN315" s="1070"/>
      <c r="CO315" s="1070"/>
      <c r="CP315" s="1070"/>
      <c r="CQ315" s="1070"/>
      <c r="CR315" s="1070"/>
      <c r="CS315" s="1070"/>
      <c r="CT315" s="1070"/>
      <c r="CU315" s="1070"/>
      <c r="CV315" s="1070"/>
      <c r="CW315" s="1070"/>
      <c r="CX315" s="1070"/>
      <c r="CY315" s="1070"/>
      <c r="CZ315" s="1070"/>
      <c r="DA315" s="1070"/>
      <c r="DB315" s="1070"/>
      <c r="DC315" s="1070"/>
      <c r="DD315" s="1070"/>
      <c r="DE315" s="1070"/>
      <c r="DF315" s="1070"/>
      <c r="DG315" s="1070"/>
      <c r="DH315" s="1070"/>
      <c r="DI315" s="1070"/>
      <c r="DJ315" s="1070"/>
    </row>
    <row r="316" spans="1:114" s="1136" customFormat="1" ht="27.75" customHeight="1" x14ac:dyDescent="0.2">
      <c r="A316" s="1955" t="s">
        <v>1735</v>
      </c>
      <c r="B316" s="1406" t="b">
        <v>0</v>
      </c>
      <c r="C316" s="1407"/>
      <c r="D316" s="1407"/>
      <c r="E316" s="1407"/>
      <c r="F316" s="1407"/>
      <c r="G316" s="1407"/>
      <c r="H316" s="1070"/>
      <c r="I316" s="1070"/>
      <c r="J316" s="1315"/>
      <c r="K316" s="1316"/>
      <c r="L316" s="1316"/>
      <c r="M316" s="1315"/>
      <c r="N316" s="1070"/>
      <c r="O316" s="1070"/>
      <c r="P316" s="1070"/>
      <c r="Q316" s="1070"/>
      <c r="R316" s="1070"/>
      <c r="S316" s="1070"/>
      <c r="T316" s="1070"/>
      <c r="U316" s="1070"/>
      <c r="V316" s="1070"/>
      <c r="W316" s="1070"/>
      <c r="X316" s="1070"/>
      <c r="Y316" s="1070"/>
      <c r="Z316" s="1070"/>
      <c r="AA316" s="1070"/>
      <c r="AB316" s="1070"/>
      <c r="AC316" s="1070"/>
      <c r="AD316" s="1070"/>
      <c r="AE316" s="1070"/>
      <c r="AF316" s="1070"/>
      <c r="AG316" s="1070"/>
      <c r="AH316" s="1070"/>
      <c r="AI316" s="1070"/>
      <c r="AJ316" s="1070"/>
      <c r="AK316" s="1070"/>
      <c r="AL316" s="1070"/>
      <c r="AM316" s="1070"/>
      <c r="AN316" s="1070"/>
      <c r="AO316" s="1070"/>
      <c r="AP316" s="1070"/>
      <c r="AQ316" s="1070"/>
      <c r="AR316" s="1070"/>
      <c r="AS316" s="1070"/>
      <c r="AT316" s="1070"/>
      <c r="AU316" s="1070"/>
      <c r="AV316" s="1070"/>
      <c r="AW316" s="1070"/>
      <c r="AX316" s="1070"/>
      <c r="AY316" s="1070"/>
      <c r="AZ316" s="1070"/>
      <c r="BA316" s="1070"/>
      <c r="BB316" s="1070"/>
      <c r="BC316" s="1070"/>
      <c r="BD316" s="1070"/>
      <c r="BE316" s="1070"/>
      <c r="BF316" s="1070"/>
      <c r="BG316" s="1070"/>
      <c r="BH316" s="1070"/>
      <c r="BI316" s="1070"/>
      <c r="BJ316" s="1070"/>
      <c r="BK316" s="1070"/>
      <c r="BL316" s="1070"/>
      <c r="BM316" s="1070"/>
      <c r="BN316" s="1070"/>
      <c r="BO316" s="1070"/>
      <c r="BP316" s="1070"/>
      <c r="BQ316" s="1070"/>
      <c r="BR316" s="1070"/>
      <c r="BS316" s="1070"/>
      <c r="BT316" s="1070"/>
      <c r="BU316" s="1070"/>
      <c r="BV316" s="1070"/>
      <c r="BW316" s="1070"/>
      <c r="BX316" s="1070"/>
      <c r="BY316" s="1070"/>
      <c r="BZ316" s="1070"/>
      <c r="CA316" s="1070"/>
      <c r="CB316" s="1070"/>
      <c r="CC316" s="1070"/>
      <c r="CD316" s="1070"/>
      <c r="CE316" s="1070"/>
      <c r="CF316" s="1070"/>
      <c r="CG316" s="1070"/>
      <c r="CH316" s="1070"/>
      <c r="CI316" s="1070"/>
      <c r="CJ316" s="1070"/>
      <c r="CK316" s="1070"/>
      <c r="CL316" s="1070"/>
      <c r="CM316" s="1070"/>
      <c r="CN316" s="1070"/>
      <c r="CO316" s="1070"/>
      <c r="CP316" s="1070"/>
      <c r="CQ316" s="1070"/>
      <c r="CR316" s="1070"/>
      <c r="CS316" s="1070"/>
      <c r="CT316" s="1070"/>
      <c r="CU316" s="1070"/>
      <c r="CV316" s="1070"/>
      <c r="CW316" s="1070"/>
      <c r="CX316" s="1070"/>
      <c r="CY316" s="1070"/>
      <c r="CZ316" s="1070"/>
      <c r="DA316" s="1070"/>
      <c r="DB316" s="1070"/>
      <c r="DC316" s="1070"/>
      <c r="DD316" s="1070"/>
      <c r="DE316" s="1070"/>
      <c r="DF316" s="1070"/>
      <c r="DG316" s="1070"/>
      <c r="DH316" s="1070"/>
      <c r="DI316" s="1070"/>
      <c r="DJ316" s="1070"/>
    </row>
    <row r="317" spans="1:114" s="1136" customFormat="1" ht="27.75" customHeight="1" x14ac:dyDescent="0.2">
      <c r="A317" s="1955" t="s">
        <v>1735</v>
      </c>
      <c r="B317" s="1406" t="b">
        <v>0</v>
      </c>
      <c r="C317" s="1407"/>
      <c r="D317" s="1407"/>
      <c r="E317" s="1407"/>
      <c r="F317" s="1407"/>
      <c r="G317" s="1407"/>
      <c r="H317" s="1070"/>
      <c r="I317" s="1070"/>
      <c r="J317" s="1315"/>
      <c r="K317" s="1316"/>
      <c r="L317" s="1316"/>
      <c r="M317" s="1315"/>
      <c r="N317" s="1070"/>
      <c r="O317" s="1070"/>
      <c r="P317" s="1070"/>
      <c r="Q317" s="1070"/>
      <c r="R317" s="1070"/>
      <c r="S317" s="1070"/>
      <c r="T317" s="1070"/>
      <c r="U317" s="1070"/>
      <c r="V317" s="1070"/>
      <c r="W317" s="1070"/>
      <c r="X317" s="1070"/>
      <c r="Y317" s="1070"/>
      <c r="Z317" s="1070"/>
      <c r="AA317" s="1070"/>
      <c r="AB317" s="1070"/>
      <c r="AC317" s="1070"/>
      <c r="AD317" s="1070"/>
      <c r="AE317" s="1070"/>
      <c r="AF317" s="1070"/>
      <c r="AG317" s="1070"/>
      <c r="AH317" s="1070"/>
      <c r="AI317" s="1070"/>
      <c r="AJ317" s="1070"/>
      <c r="AK317" s="1070"/>
      <c r="AL317" s="1070"/>
      <c r="AM317" s="1070"/>
      <c r="AN317" s="1070"/>
      <c r="AO317" s="1070"/>
      <c r="AP317" s="1070"/>
      <c r="AQ317" s="1070"/>
      <c r="AR317" s="1070"/>
      <c r="AS317" s="1070"/>
      <c r="AT317" s="1070"/>
      <c r="AU317" s="1070"/>
      <c r="AV317" s="1070"/>
      <c r="AW317" s="1070"/>
      <c r="AX317" s="1070"/>
      <c r="AY317" s="1070"/>
      <c r="AZ317" s="1070"/>
      <c r="BA317" s="1070"/>
      <c r="BB317" s="1070"/>
      <c r="BC317" s="1070"/>
      <c r="BD317" s="1070"/>
      <c r="BE317" s="1070"/>
      <c r="BF317" s="1070"/>
      <c r="BG317" s="1070"/>
      <c r="BH317" s="1070"/>
      <c r="BI317" s="1070"/>
      <c r="BJ317" s="1070"/>
      <c r="BK317" s="1070"/>
      <c r="BL317" s="1070"/>
      <c r="BM317" s="1070"/>
      <c r="BN317" s="1070"/>
      <c r="BO317" s="1070"/>
      <c r="BP317" s="1070"/>
      <c r="BQ317" s="1070"/>
      <c r="BR317" s="1070"/>
      <c r="BS317" s="1070"/>
      <c r="BT317" s="1070"/>
      <c r="BU317" s="1070"/>
      <c r="BV317" s="1070"/>
      <c r="BW317" s="1070"/>
      <c r="BX317" s="1070"/>
      <c r="BY317" s="1070"/>
      <c r="BZ317" s="1070"/>
      <c r="CA317" s="1070"/>
      <c r="CB317" s="1070"/>
      <c r="CC317" s="1070"/>
      <c r="CD317" s="1070"/>
      <c r="CE317" s="1070"/>
      <c r="CF317" s="1070"/>
      <c r="CG317" s="1070"/>
      <c r="CH317" s="1070"/>
      <c r="CI317" s="1070"/>
      <c r="CJ317" s="1070"/>
      <c r="CK317" s="1070"/>
      <c r="CL317" s="1070"/>
      <c r="CM317" s="1070"/>
      <c r="CN317" s="1070"/>
      <c r="CO317" s="1070"/>
      <c r="CP317" s="1070"/>
      <c r="CQ317" s="1070"/>
      <c r="CR317" s="1070"/>
      <c r="CS317" s="1070"/>
      <c r="CT317" s="1070"/>
      <c r="CU317" s="1070"/>
      <c r="CV317" s="1070"/>
      <c r="CW317" s="1070"/>
      <c r="CX317" s="1070"/>
      <c r="CY317" s="1070"/>
      <c r="CZ317" s="1070"/>
      <c r="DA317" s="1070"/>
      <c r="DB317" s="1070"/>
      <c r="DC317" s="1070"/>
      <c r="DD317" s="1070"/>
      <c r="DE317" s="1070"/>
      <c r="DF317" s="1070"/>
      <c r="DG317" s="1070"/>
      <c r="DH317" s="1070"/>
      <c r="DI317" s="1070"/>
      <c r="DJ317" s="1070"/>
    </row>
    <row r="318" spans="1:114" s="1136" customFormat="1" ht="27.75" customHeight="1" x14ac:dyDescent="0.2">
      <c r="A318" s="1955" t="s">
        <v>1735</v>
      </c>
      <c r="B318" s="1406" t="b">
        <v>0</v>
      </c>
      <c r="C318" s="1407"/>
      <c r="D318" s="1407"/>
      <c r="E318" s="1407"/>
      <c r="F318" s="1407"/>
      <c r="G318" s="1407"/>
      <c r="H318" s="1070"/>
      <c r="I318" s="1070"/>
      <c r="J318" s="1315"/>
      <c r="K318" s="1316"/>
      <c r="L318" s="1316"/>
      <c r="M318" s="1315"/>
      <c r="N318" s="1070"/>
      <c r="O318" s="1070"/>
      <c r="P318" s="1070"/>
      <c r="Q318" s="1070"/>
      <c r="R318" s="1070"/>
      <c r="S318" s="1070"/>
      <c r="T318" s="1070"/>
      <c r="U318" s="1070"/>
      <c r="V318" s="1070"/>
      <c r="W318" s="1070"/>
      <c r="X318" s="1070"/>
      <c r="Y318" s="1070"/>
      <c r="Z318" s="1070"/>
      <c r="AA318" s="1070"/>
      <c r="AB318" s="1070"/>
      <c r="AC318" s="1070"/>
      <c r="AD318" s="1070"/>
      <c r="AE318" s="1070"/>
      <c r="AF318" s="1070"/>
      <c r="AG318" s="1070"/>
      <c r="AH318" s="1070"/>
      <c r="AI318" s="1070"/>
      <c r="AJ318" s="1070"/>
      <c r="AK318" s="1070"/>
      <c r="AL318" s="1070"/>
      <c r="AM318" s="1070"/>
      <c r="AN318" s="1070"/>
      <c r="AO318" s="1070"/>
      <c r="AP318" s="1070"/>
      <c r="AQ318" s="1070"/>
      <c r="AR318" s="1070"/>
      <c r="AS318" s="1070"/>
      <c r="AT318" s="1070"/>
      <c r="AU318" s="1070"/>
      <c r="AV318" s="1070"/>
      <c r="AW318" s="1070"/>
      <c r="AX318" s="1070"/>
      <c r="AY318" s="1070"/>
      <c r="AZ318" s="1070"/>
      <c r="BA318" s="1070"/>
      <c r="BB318" s="1070"/>
      <c r="BC318" s="1070"/>
      <c r="BD318" s="1070"/>
      <c r="BE318" s="1070"/>
      <c r="BF318" s="1070"/>
      <c r="BG318" s="1070"/>
      <c r="BH318" s="1070"/>
      <c r="BI318" s="1070"/>
      <c r="BJ318" s="1070"/>
      <c r="BK318" s="1070"/>
      <c r="BL318" s="1070"/>
      <c r="BM318" s="1070"/>
      <c r="BN318" s="1070"/>
      <c r="BO318" s="1070"/>
      <c r="BP318" s="1070"/>
      <c r="BQ318" s="1070"/>
      <c r="BR318" s="1070"/>
      <c r="BS318" s="1070"/>
      <c r="BT318" s="1070"/>
      <c r="BU318" s="1070"/>
      <c r="BV318" s="1070"/>
      <c r="BW318" s="1070"/>
      <c r="BX318" s="1070"/>
      <c r="BY318" s="1070"/>
      <c r="BZ318" s="1070"/>
      <c r="CA318" s="1070"/>
      <c r="CB318" s="1070"/>
      <c r="CC318" s="1070"/>
      <c r="CD318" s="1070"/>
      <c r="CE318" s="1070"/>
      <c r="CF318" s="1070"/>
      <c r="CG318" s="1070"/>
      <c r="CH318" s="1070"/>
      <c r="CI318" s="1070"/>
      <c r="CJ318" s="1070"/>
      <c r="CK318" s="1070"/>
      <c r="CL318" s="1070"/>
      <c r="CM318" s="1070"/>
      <c r="CN318" s="1070"/>
      <c r="CO318" s="1070"/>
      <c r="CP318" s="1070"/>
      <c r="CQ318" s="1070"/>
      <c r="CR318" s="1070"/>
      <c r="CS318" s="1070"/>
      <c r="CT318" s="1070"/>
      <c r="CU318" s="1070"/>
      <c r="CV318" s="1070"/>
      <c r="CW318" s="1070"/>
      <c r="CX318" s="1070"/>
      <c r="CY318" s="1070"/>
      <c r="CZ318" s="1070"/>
      <c r="DA318" s="1070"/>
      <c r="DB318" s="1070"/>
      <c r="DC318" s="1070"/>
      <c r="DD318" s="1070"/>
      <c r="DE318" s="1070"/>
      <c r="DF318" s="1070"/>
      <c r="DG318" s="1070"/>
      <c r="DH318" s="1070"/>
      <c r="DI318" s="1070"/>
      <c r="DJ318" s="1070"/>
    </row>
    <row r="319" spans="1:114" s="1136" customFormat="1" ht="27.75" customHeight="1" x14ac:dyDescent="0.25">
      <c r="A319" s="1954" t="s">
        <v>4821</v>
      </c>
      <c r="B319" s="1406"/>
      <c r="C319" s="1407"/>
      <c r="D319" s="1407"/>
      <c r="E319" s="1407"/>
      <c r="F319" s="1407"/>
      <c r="G319" s="1407"/>
      <c r="H319" s="1070"/>
      <c r="I319" s="1070"/>
      <c r="J319" s="1315"/>
      <c r="K319" s="1316"/>
      <c r="L319" s="1316"/>
      <c r="M319" s="1315"/>
      <c r="N319" s="1070"/>
      <c r="O319" s="1070"/>
      <c r="P319" s="1070"/>
      <c r="Q319" s="1070"/>
      <c r="R319" s="1070"/>
      <c r="S319" s="1070"/>
      <c r="T319" s="1070"/>
      <c r="U319" s="1070"/>
      <c r="V319" s="1070"/>
      <c r="W319" s="1070"/>
      <c r="X319" s="1070"/>
      <c r="Y319" s="1070"/>
      <c r="Z319" s="1070"/>
      <c r="AA319" s="1070"/>
      <c r="AB319" s="1070"/>
      <c r="AC319" s="1070"/>
      <c r="AD319" s="1070"/>
      <c r="AE319" s="1070"/>
      <c r="AF319" s="1070"/>
      <c r="AG319" s="1070"/>
      <c r="AH319" s="1070"/>
      <c r="AI319" s="1070"/>
      <c r="AJ319" s="1070"/>
      <c r="AK319" s="1070"/>
      <c r="AL319" s="1070"/>
      <c r="AM319" s="1070"/>
      <c r="AN319" s="1070"/>
      <c r="AO319" s="1070"/>
      <c r="AP319" s="1070"/>
      <c r="AQ319" s="1070"/>
      <c r="AR319" s="1070"/>
      <c r="AS319" s="1070"/>
      <c r="AT319" s="1070"/>
      <c r="AU319" s="1070"/>
      <c r="AV319" s="1070"/>
      <c r="AW319" s="1070"/>
      <c r="AX319" s="1070"/>
      <c r="AY319" s="1070"/>
      <c r="AZ319" s="1070"/>
      <c r="BA319" s="1070"/>
      <c r="BB319" s="1070"/>
      <c r="BC319" s="1070"/>
      <c r="BD319" s="1070"/>
      <c r="BE319" s="1070"/>
      <c r="BF319" s="1070"/>
      <c r="BG319" s="1070"/>
      <c r="BH319" s="1070"/>
      <c r="BI319" s="1070"/>
      <c r="BJ319" s="1070"/>
      <c r="BK319" s="1070"/>
      <c r="BL319" s="1070"/>
      <c r="BM319" s="1070"/>
      <c r="BN319" s="1070"/>
      <c r="BO319" s="1070"/>
      <c r="BP319" s="1070"/>
      <c r="BQ319" s="1070"/>
      <c r="BR319" s="1070"/>
      <c r="BS319" s="1070"/>
      <c r="BT319" s="1070"/>
      <c r="BU319" s="1070"/>
      <c r="BV319" s="1070"/>
      <c r="BW319" s="1070"/>
      <c r="BX319" s="1070"/>
      <c r="BY319" s="1070"/>
      <c r="BZ319" s="1070"/>
      <c r="CA319" s="1070"/>
      <c r="CB319" s="1070"/>
      <c r="CC319" s="1070"/>
      <c r="CD319" s="1070"/>
      <c r="CE319" s="1070"/>
      <c r="CF319" s="1070"/>
      <c r="CG319" s="1070"/>
      <c r="CH319" s="1070"/>
      <c r="CI319" s="1070"/>
      <c r="CJ319" s="1070"/>
      <c r="CK319" s="1070"/>
      <c r="CL319" s="1070"/>
      <c r="CM319" s="1070"/>
      <c r="CN319" s="1070"/>
      <c r="CO319" s="1070"/>
      <c r="CP319" s="1070"/>
      <c r="CQ319" s="1070"/>
      <c r="CR319" s="1070"/>
      <c r="CS319" s="1070"/>
      <c r="CT319" s="1070"/>
      <c r="CU319" s="1070"/>
      <c r="CV319" s="1070"/>
      <c r="CW319" s="1070"/>
      <c r="CX319" s="1070"/>
      <c r="CY319" s="1070"/>
      <c r="CZ319" s="1070"/>
      <c r="DA319" s="1070"/>
      <c r="DB319" s="1070"/>
      <c r="DC319" s="1070"/>
      <c r="DD319" s="1070"/>
      <c r="DE319" s="1070"/>
      <c r="DF319" s="1070"/>
      <c r="DG319" s="1070"/>
      <c r="DH319" s="1070"/>
      <c r="DI319" s="1070"/>
      <c r="DJ319" s="1070"/>
    </row>
    <row r="320" spans="1:114" s="1136" customFormat="1" ht="27.75" customHeight="1" x14ac:dyDescent="0.2">
      <c r="A320" s="1951" t="s">
        <v>1742</v>
      </c>
      <c r="B320" s="1406">
        <f>IF(B173&lt;1.71,1,IF(B173&lt;1.81,2,IF(B173&lt;1.91,3,IF(B173&lt;2.01,4,IF(B173&lt;2.11,5,IF(B173&lt;2.21,6,B321))))))</f>
        <v>8</v>
      </c>
      <c r="C320" s="1407"/>
      <c r="D320" s="1407"/>
      <c r="E320" s="1407"/>
      <c r="F320" s="1407"/>
      <c r="G320" s="1407"/>
      <c r="H320" s="1070"/>
      <c r="I320" s="1070"/>
      <c r="J320" s="1315"/>
      <c r="K320" s="1316"/>
      <c r="L320" s="1316"/>
      <c r="M320" s="1315"/>
      <c r="N320" s="1070"/>
      <c r="O320" s="1070"/>
      <c r="P320" s="1070"/>
      <c r="Q320" s="1070"/>
      <c r="R320" s="1070"/>
      <c r="S320" s="1070"/>
      <c r="T320" s="1070"/>
      <c r="U320" s="1070"/>
      <c r="V320" s="1070"/>
      <c r="W320" s="1070"/>
      <c r="X320" s="1070"/>
      <c r="Y320" s="1070"/>
      <c r="Z320" s="1070"/>
      <c r="AA320" s="1070"/>
      <c r="AB320" s="1070"/>
      <c r="AC320" s="1070"/>
      <c r="AD320" s="1070"/>
      <c r="AE320" s="1070"/>
      <c r="AF320" s="1070"/>
      <c r="AG320" s="1070"/>
      <c r="AH320" s="1070"/>
      <c r="AI320" s="1070"/>
      <c r="AJ320" s="1070"/>
      <c r="AK320" s="1070"/>
      <c r="AL320" s="1070"/>
      <c r="AM320" s="1070"/>
      <c r="AN320" s="1070"/>
      <c r="AO320" s="1070"/>
      <c r="AP320" s="1070"/>
      <c r="AQ320" s="1070"/>
      <c r="AR320" s="1070"/>
      <c r="AS320" s="1070"/>
      <c r="AT320" s="1070"/>
      <c r="AU320" s="1070"/>
      <c r="AV320" s="1070"/>
      <c r="AW320" s="1070"/>
      <c r="AX320" s="1070"/>
      <c r="AY320" s="1070"/>
      <c r="AZ320" s="1070"/>
      <c r="BA320" s="1070"/>
      <c r="BB320" s="1070"/>
      <c r="BC320" s="1070"/>
      <c r="BD320" s="1070"/>
      <c r="BE320" s="1070"/>
      <c r="BF320" s="1070"/>
      <c r="BG320" s="1070"/>
      <c r="BH320" s="1070"/>
      <c r="BI320" s="1070"/>
      <c r="BJ320" s="1070"/>
      <c r="BK320" s="1070"/>
      <c r="BL320" s="1070"/>
      <c r="BM320" s="1070"/>
      <c r="BN320" s="1070"/>
      <c r="BO320" s="1070"/>
      <c r="BP320" s="1070"/>
      <c r="BQ320" s="1070"/>
      <c r="BR320" s="1070"/>
      <c r="BS320" s="1070"/>
      <c r="BT320" s="1070"/>
      <c r="BU320" s="1070"/>
      <c r="BV320" s="1070"/>
      <c r="BW320" s="1070"/>
      <c r="BX320" s="1070"/>
      <c r="BY320" s="1070"/>
      <c r="BZ320" s="1070"/>
      <c r="CA320" s="1070"/>
      <c r="CB320" s="1070"/>
      <c r="CC320" s="1070"/>
      <c r="CD320" s="1070"/>
      <c r="CE320" s="1070"/>
      <c r="CF320" s="1070"/>
      <c r="CG320" s="1070"/>
      <c r="CH320" s="1070"/>
      <c r="CI320" s="1070"/>
      <c r="CJ320" s="1070"/>
      <c r="CK320" s="1070"/>
      <c r="CL320" s="1070"/>
      <c r="CM320" s="1070"/>
      <c r="CN320" s="1070"/>
      <c r="CO320" s="1070"/>
      <c r="CP320" s="1070"/>
      <c r="CQ320" s="1070"/>
      <c r="CR320" s="1070"/>
      <c r="CS320" s="1070"/>
      <c r="CT320" s="1070"/>
      <c r="CU320" s="1070"/>
      <c r="CV320" s="1070"/>
      <c r="CW320" s="1070"/>
      <c r="CX320" s="1070"/>
      <c r="CY320" s="1070"/>
      <c r="CZ320" s="1070"/>
      <c r="DA320" s="1070"/>
      <c r="DB320" s="1070"/>
      <c r="DC320" s="1070"/>
      <c r="DD320" s="1070"/>
      <c r="DE320" s="1070"/>
      <c r="DF320" s="1070"/>
      <c r="DG320" s="1070"/>
      <c r="DH320" s="1070"/>
      <c r="DI320" s="1070"/>
      <c r="DJ320" s="1070"/>
    </row>
    <row r="321" spans="1:114" s="1136" customFormat="1" ht="27.75" customHeight="1" x14ac:dyDescent="0.2">
      <c r="A321" s="1951" t="s">
        <v>1274</v>
      </c>
      <c r="B321" s="1406">
        <f>IF(B173&lt;2.31,7,8)</f>
        <v>8</v>
      </c>
      <c r="C321" s="1407"/>
      <c r="D321" s="1407"/>
      <c r="E321" s="1407"/>
      <c r="F321" s="1407"/>
      <c r="G321" s="1407"/>
      <c r="H321" s="1070"/>
      <c r="I321" s="1070"/>
      <c r="J321" s="1315"/>
      <c r="K321" s="1316"/>
      <c r="L321" s="1316"/>
      <c r="M321" s="1315"/>
      <c r="N321" s="1070"/>
      <c r="O321" s="1070"/>
      <c r="P321" s="1070"/>
      <c r="Q321" s="1070"/>
      <c r="R321" s="1070"/>
      <c r="S321" s="1070"/>
      <c r="T321" s="1070"/>
      <c r="U321" s="1070"/>
      <c r="V321" s="1070"/>
      <c r="W321" s="1070"/>
      <c r="X321" s="1070"/>
      <c r="Y321" s="1070"/>
      <c r="Z321" s="1070"/>
      <c r="AA321" s="1070"/>
      <c r="AB321" s="1070"/>
      <c r="AC321" s="1070"/>
      <c r="AD321" s="1070"/>
      <c r="AE321" s="1070"/>
      <c r="AF321" s="1070"/>
      <c r="AG321" s="1070"/>
      <c r="AH321" s="1070"/>
      <c r="AI321" s="1070"/>
      <c r="AJ321" s="1070"/>
      <c r="AK321" s="1070"/>
      <c r="AL321" s="1070"/>
      <c r="AM321" s="1070"/>
      <c r="AN321" s="1070"/>
      <c r="AO321" s="1070"/>
      <c r="AP321" s="1070"/>
      <c r="AQ321" s="1070"/>
      <c r="AR321" s="1070"/>
      <c r="AS321" s="1070"/>
      <c r="AT321" s="1070"/>
      <c r="AU321" s="1070"/>
      <c r="AV321" s="1070"/>
      <c r="AW321" s="1070"/>
      <c r="AX321" s="1070"/>
      <c r="AY321" s="1070"/>
      <c r="AZ321" s="1070"/>
      <c r="BA321" s="1070"/>
      <c r="BB321" s="1070"/>
      <c r="BC321" s="1070"/>
      <c r="BD321" s="1070"/>
      <c r="BE321" s="1070"/>
      <c r="BF321" s="1070"/>
      <c r="BG321" s="1070"/>
      <c r="BH321" s="1070"/>
      <c r="BI321" s="1070"/>
      <c r="BJ321" s="1070"/>
      <c r="BK321" s="1070"/>
      <c r="BL321" s="1070"/>
      <c r="BM321" s="1070"/>
      <c r="BN321" s="1070"/>
      <c r="BO321" s="1070"/>
      <c r="BP321" s="1070"/>
      <c r="BQ321" s="1070"/>
      <c r="BR321" s="1070"/>
      <c r="BS321" s="1070"/>
      <c r="BT321" s="1070"/>
      <c r="BU321" s="1070"/>
      <c r="BV321" s="1070"/>
      <c r="BW321" s="1070"/>
      <c r="BX321" s="1070"/>
      <c r="BY321" s="1070"/>
      <c r="BZ321" s="1070"/>
      <c r="CA321" s="1070"/>
      <c r="CB321" s="1070"/>
      <c r="CC321" s="1070"/>
      <c r="CD321" s="1070"/>
      <c r="CE321" s="1070"/>
      <c r="CF321" s="1070"/>
      <c r="CG321" s="1070"/>
      <c r="CH321" s="1070"/>
      <c r="CI321" s="1070"/>
      <c r="CJ321" s="1070"/>
      <c r="CK321" s="1070"/>
      <c r="CL321" s="1070"/>
      <c r="CM321" s="1070"/>
      <c r="CN321" s="1070"/>
      <c r="CO321" s="1070"/>
      <c r="CP321" s="1070"/>
      <c r="CQ321" s="1070"/>
      <c r="CR321" s="1070"/>
      <c r="CS321" s="1070"/>
      <c r="CT321" s="1070"/>
      <c r="CU321" s="1070"/>
      <c r="CV321" s="1070"/>
      <c r="CW321" s="1070"/>
      <c r="CX321" s="1070"/>
      <c r="CY321" s="1070"/>
      <c r="CZ321" s="1070"/>
      <c r="DA321" s="1070"/>
      <c r="DB321" s="1070"/>
      <c r="DC321" s="1070"/>
      <c r="DD321" s="1070"/>
      <c r="DE321" s="1070"/>
      <c r="DF321" s="1070"/>
      <c r="DG321" s="1070"/>
      <c r="DH321" s="1070"/>
      <c r="DI321" s="1070"/>
      <c r="DJ321" s="1070"/>
    </row>
    <row r="322" spans="1:114" s="1136" customFormat="1" ht="27.75" customHeight="1" x14ac:dyDescent="0.2">
      <c r="A322" s="1951" t="s">
        <v>1732</v>
      </c>
      <c r="B322" s="1406" t="e">
        <f>IF(B365&lt;10,10,IF(B365&gt;15,15,B365))</f>
        <v>#VALUE!</v>
      </c>
      <c r="C322" s="1407"/>
      <c r="D322" s="1407"/>
      <c r="E322" s="1407"/>
      <c r="F322" s="1407"/>
      <c r="G322" s="1407"/>
      <c r="H322" s="1070"/>
      <c r="I322" s="1070"/>
      <c r="J322" s="1315"/>
      <c r="K322" s="1316"/>
      <c r="L322" s="1316"/>
      <c r="M322" s="1315"/>
      <c r="N322" s="1070"/>
      <c r="O322" s="1070"/>
      <c r="P322" s="1070"/>
      <c r="Q322" s="1070"/>
      <c r="R322" s="1070"/>
      <c r="S322" s="1070"/>
      <c r="T322" s="1070"/>
      <c r="U322" s="1070"/>
      <c r="V322" s="1070"/>
      <c r="W322" s="1070"/>
      <c r="X322" s="1070"/>
      <c r="Y322" s="1070"/>
      <c r="Z322" s="1070"/>
      <c r="AA322" s="1070"/>
      <c r="AB322" s="1070"/>
      <c r="AC322" s="1070"/>
      <c r="AD322" s="1070"/>
      <c r="AE322" s="1070"/>
      <c r="AF322" s="1070"/>
      <c r="AG322" s="1070"/>
      <c r="AH322" s="1070"/>
      <c r="AI322" s="1070"/>
      <c r="AJ322" s="1070"/>
      <c r="AK322" s="1070"/>
      <c r="AL322" s="1070"/>
      <c r="AM322" s="1070"/>
      <c r="AN322" s="1070"/>
      <c r="AO322" s="1070"/>
      <c r="AP322" s="1070"/>
      <c r="AQ322" s="1070"/>
      <c r="AR322" s="1070"/>
      <c r="AS322" s="1070"/>
      <c r="AT322" s="1070"/>
      <c r="AU322" s="1070"/>
      <c r="AV322" s="1070"/>
      <c r="AW322" s="1070"/>
      <c r="AX322" s="1070"/>
      <c r="AY322" s="1070"/>
      <c r="AZ322" s="1070"/>
      <c r="BA322" s="1070"/>
      <c r="BB322" s="1070"/>
      <c r="BC322" s="1070"/>
      <c r="BD322" s="1070"/>
      <c r="BE322" s="1070"/>
      <c r="BF322" s="1070"/>
      <c r="BG322" s="1070"/>
      <c r="BH322" s="1070"/>
      <c r="BI322" s="1070"/>
      <c r="BJ322" s="1070"/>
      <c r="BK322" s="1070"/>
      <c r="BL322" s="1070"/>
      <c r="BM322" s="1070"/>
      <c r="BN322" s="1070"/>
      <c r="BO322" s="1070"/>
      <c r="BP322" s="1070"/>
      <c r="BQ322" s="1070"/>
      <c r="BR322" s="1070"/>
      <c r="BS322" s="1070"/>
      <c r="BT322" s="1070"/>
      <c r="BU322" s="1070"/>
      <c r="BV322" s="1070"/>
      <c r="BW322" s="1070"/>
      <c r="BX322" s="1070"/>
      <c r="BY322" s="1070"/>
      <c r="BZ322" s="1070"/>
      <c r="CA322" s="1070"/>
      <c r="CB322" s="1070"/>
      <c r="CC322" s="1070"/>
      <c r="CD322" s="1070"/>
      <c r="CE322" s="1070"/>
      <c r="CF322" s="1070"/>
      <c r="CG322" s="1070"/>
      <c r="CH322" s="1070"/>
      <c r="CI322" s="1070"/>
      <c r="CJ322" s="1070"/>
      <c r="CK322" s="1070"/>
      <c r="CL322" s="1070"/>
      <c r="CM322" s="1070"/>
      <c r="CN322" s="1070"/>
      <c r="CO322" s="1070"/>
      <c r="CP322" s="1070"/>
      <c r="CQ322" s="1070"/>
      <c r="CR322" s="1070"/>
      <c r="CS322" s="1070"/>
      <c r="CT322" s="1070"/>
      <c r="CU322" s="1070"/>
      <c r="CV322" s="1070"/>
      <c r="CW322" s="1070"/>
      <c r="CX322" s="1070"/>
      <c r="CY322" s="1070"/>
      <c r="CZ322" s="1070"/>
      <c r="DA322" s="1070"/>
      <c r="DB322" s="1070"/>
      <c r="DC322" s="1070"/>
      <c r="DD322" s="1070"/>
      <c r="DE322" s="1070"/>
      <c r="DF322" s="1070"/>
      <c r="DG322" s="1070"/>
      <c r="DH322" s="1070"/>
      <c r="DI322" s="1070"/>
      <c r="DJ322" s="1070"/>
    </row>
    <row r="323" spans="1:114" s="1136" customFormat="1" ht="27.75" customHeight="1" x14ac:dyDescent="0.2">
      <c r="A323" s="1951" t="s">
        <v>1275</v>
      </c>
      <c r="B323" s="1406" t="e">
        <f>B322-9</f>
        <v>#VALUE!</v>
      </c>
      <c r="C323" s="1407"/>
      <c r="D323" s="1407"/>
      <c r="E323" s="1407"/>
      <c r="F323" s="1407"/>
      <c r="G323" s="1407"/>
      <c r="H323" s="1070"/>
      <c r="I323" s="1070"/>
      <c r="J323" s="1315"/>
      <c r="K323" s="1316"/>
      <c r="L323" s="1316"/>
      <c r="M323" s="1315"/>
      <c r="N323" s="1070"/>
      <c r="O323" s="1070"/>
      <c r="P323" s="1070"/>
      <c r="Q323" s="1070"/>
      <c r="R323" s="1070"/>
      <c r="S323" s="1070"/>
      <c r="T323" s="1070"/>
      <c r="U323" s="1070"/>
      <c r="V323" s="1070"/>
      <c r="W323" s="1070"/>
      <c r="X323" s="1070"/>
      <c r="Y323" s="1070"/>
      <c r="Z323" s="1070"/>
      <c r="AA323" s="1070"/>
      <c r="AB323" s="1070"/>
      <c r="AC323" s="1070"/>
      <c r="AD323" s="1070"/>
      <c r="AE323" s="1070"/>
      <c r="AF323" s="1070"/>
      <c r="AG323" s="1070"/>
      <c r="AH323" s="1070"/>
      <c r="AI323" s="1070"/>
      <c r="AJ323" s="1070"/>
      <c r="AK323" s="1070"/>
      <c r="AL323" s="1070"/>
      <c r="AM323" s="1070"/>
      <c r="AN323" s="1070"/>
      <c r="AO323" s="1070"/>
      <c r="AP323" s="1070"/>
      <c r="AQ323" s="1070"/>
      <c r="AR323" s="1070"/>
      <c r="AS323" s="1070"/>
      <c r="AT323" s="1070"/>
      <c r="AU323" s="1070"/>
      <c r="AV323" s="1070"/>
      <c r="AW323" s="1070"/>
      <c r="AX323" s="1070"/>
      <c r="AY323" s="1070"/>
      <c r="AZ323" s="1070"/>
      <c r="BA323" s="1070"/>
      <c r="BB323" s="1070"/>
      <c r="BC323" s="1070"/>
      <c r="BD323" s="1070"/>
      <c r="BE323" s="1070"/>
      <c r="BF323" s="1070"/>
      <c r="BG323" s="1070"/>
      <c r="BH323" s="1070"/>
      <c r="BI323" s="1070"/>
      <c r="BJ323" s="1070"/>
      <c r="BK323" s="1070"/>
      <c r="BL323" s="1070"/>
      <c r="BM323" s="1070"/>
      <c r="BN323" s="1070"/>
      <c r="BO323" s="1070"/>
      <c r="BP323" s="1070"/>
      <c r="BQ323" s="1070"/>
      <c r="BR323" s="1070"/>
      <c r="BS323" s="1070"/>
      <c r="BT323" s="1070"/>
      <c r="BU323" s="1070"/>
      <c r="BV323" s="1070"/>
      <c r="BW323" s="1070"/>
      <c r="BX323" s="1070"/>
      <c r="BY323" s="1070"/>
      <c r="BZ323" s="1070"/>
      <c r="CA323" s="1070"/>
      <c r="CB323" s="1070"/>
      <c r="CC323" s="1070"/>
      <c r="CD323" s="1070"/>
      <c r="CE323" s="1070"/>
      <c r="CF323" s="1070"/>
      <c r="CG323" s="1070"/>
      <c r="CH323" s="1070"/>
      <c r="CI323" s="1070"/>
      <c r="CJ323" s="1070"/>
      <c r="CK323" s="1070"/>
      <c r="CL323" s="1070"/>
      <c r="CM323" s="1070"/>
      <c r="CN323" s="1070"/>
      <c r="CO323" s="1070"/>
      <c r="CP323" s="1070"/>
      <c r="CQ323" s="1070"/>
      <c r="CR323" s="1070"/>
      <c r="CS323" s="1070"/>
      <c r="CT323" s="1070"/>
      <c r="CU323" s="1070"/>
      <c r="CV323" s="1070"/>
      <c r="CW323" s="1070"/>
      <c r="CX323" s="1070"/>
      <c r="CY323" s="1070"/>
      <c r="CZ323" s="1070"/>
      <c r="DA323" s="1070"/>
      <c r="DB323" s="1070"/>
      <c r="DC323" s="1070"/>
      <c r="DD323" s="1070"/>
      <c r="DE323" s="1070"/>
      <c r="DF323" s="1070"/>
      <c r="DG323" s="1070"/>
      <c r="DH323" s="1070"/>
      <c r="DI323" s="1070"/>
      <c r="DJ323" s="1070"/>
    </row>
    <row r="324" spans="1:114" s="1136" customFormat="1" ht="27.75" customHeight="1" x14ac:dyDescent="0.25">
      <c r="A324" s="1953" t="s">
        <v>1276</v>
      </c>
      <c r="B324" s="1406">
        <v>4.5529999999999999</v>
      </c>
      <c r="C324" s="1407"/>
      <c r="D324" s="1407"/>
      <c r="E324" s="1407"/>
      <c r="F324" s="1407"/>
      <c r="G324" s="1407"/>
      <c r="H324" s="1070"/>
      <c r="I324" s="1070"/>
      <c r="J324" s="1315"/>
      <c r="K324" s="1316"/>
      <c r="L324" s="1316"/>
      <c r="M324" s="1315"/>
      <c r="N324" s="1070"/>
      <c r="O324" s="1070"/>
      <c r="P324" s="1070"/>
      <c r="Q324" s="1070"/>
      <c r="R324" s="1070"/>
      <c r="S324" s="1070"/>
      <c r="T324" s="1070"/>
      <c r="U324" s="1070"/>
      <c r="V324" s="1070"/>
      <c r="W324" s="1070"/>
      <c r="X324" s="1070"/>
      <c r="Y324" s="1070"/>
      <c r="Z324" s="1070"/>
      <c r="AA324" s="1070"/>
      <c r="AB324" s="1070"/>
      <c r="AC324" s="1070"/>
      <c r="AD324" s="1070"/>
      <c r="AE324" s="1070"/>
      <c r="AF324" s="1070"/>
      <c r="AG324" s="1070"/>
      <c r="AH324" s="1070"/>
      <c r="AI324" s="1070"/>
      <c r="AJ324" s="1070"/>
      <c r="AK324" s="1070"/>
      <c r="AL324" s="1070"/>
      <c r="AM324" s="1070"/>
      <c r="AN324" s="1070"/>
      <c r="AO324" s="1070"/>
      <c r="AP324" s="1070"/>
      <c r="AQ324" s="1070"/>
      <c r="AR324" s="1070"/>
      <c r="AS324" s="1070"/>
      <c r="AT324" s="1070"/>
      <c r="AU324" s="1070"/>
      <c r="AV324" s="1070"/>
      <c r="AW324" s="1070"/>
      <c r="AX324" s="1070"/>
      <c r="AY324" s="1070"/>
      <c r="AZ324" s="1070"/>
      <c r="BA324" s="1070"/>
      <c r="BB324" s="1070"/>
      <c r="BC324" s="1070"/>
      <c r="BD324" s="1070"/>
      <c r="BE324" s="1070"/>
      <c r="BF324" s="1070"/>
      <c r="BG324" s="1070"/>
      <c r="BH324" s="1070"/>
      <c r="BI324" s="1070"/>
      <c r="BJ324" s="1070"/>
      <c r="BK324" s="1070"/>
      <c r="BL324" s="1070"/>
      <c r="BM324" s="1070"/>
      <c r="BN324" s="1070"/>
      <c r="BO324" s="1070"/>
      <c r="BP324" s="1070"/>
      <c r="BQ324" s="1070"/>
      <c r="BR324" s="1070"/>
      <c r="BS324" s="1070"/>
      <c r="BT324" s="1070"/>
      <c r="BU324" s="1070"/>
      <c r="BV324" s="1070"/>
      <c r="BW324" s="1070"/>
      <c r="BX324" s="1070"/>
      <c r="BY324" s="1070"/>
      <c r="BZ324" s="1070"/>
      <c r="CA324" s="1070"/>
      <c r="CB324" s="1070"/>
      <c r="CC324" s="1070"/>
      <c r="CD324" s="1070"/>
      <c r="CE324" s="1070"/>
      <c r="CF324" s="1070"/>
      <c r="CG324" s="1070"/>
      <c r="CH324" s="1070"/>
      <c r="CI324" s="1070"/>
      <c r="CJ324" s="1070"/>
      <c r="CK324" s="1070"/>
      <c r="CL324" s="1070"/>
      <c r="CM324" s="1070"/>
      <c r="CN324" s="1070"/>
      <c r="CO324" s="1070"/>
      <c r="CP324" s="1070"/>
      <c r="CQ324" s="1070"/>
      <c r="CR324" s="1070"/>
      <c r="CS324" s="1070"/>
      <c r="CT324" s="1070"/>
      <c r="CU324" s="1070"/>
      <c r="CV324" s="1070"/>
      <c r="CW324" s="1070"/>
      <c r="CX324" s="1070"/>
      <c r="CY324" s="1070"/>
      <c r="CZ324" s="1070"/>
      <c r="DA324" s="1070"/>
      <c r="DB324" s="1070"/>
      <c r="DC324" s="1070"/>
      <c r="DD324" s="1070"/>
      <c r="DE324" s="1070"/>
      <c r="DF324" s="1070"/>
      <c r="DG324" s="1070"/>
      <c r="DH324" s="1070"/>
      <c r="DI324" s="1070"/>
      <c r="DJ324" s="1070"/>
    </row>
    <row r="325" spans="1:114" s="1136" customFormat="1" ht="27.75" customHeight="1" x14ac:dyDescent="0.25">
      <c r="A325" s="1957" t="s">
        <v>1277</v>
      </c>
      <c r="B325" s="1406">
        <v>262</v>
      </c>
      <c r="C325" s="1407"/>
      <c r="D325" s="1407"/>
      <c r="E325" s="1407"/>
      <c r="F325" s="1407"/>
      <c r="G325" s="1407"/>
      <c r="H325" s="1070"/>
      <c r="I325" s="1070"/>
      <c r="J325" s="1315"/>
      <c r="K325" s="1316"/>
      <c r="L325" s="1316"/>
      <c r="M325" s="1315"/>
      <c r="N325" s="1070"/>
      <c r="O325" s="1070"/>
      <c r="P325" s="1070"/>
      <c r="Q325" s="1070"/>
      <c r="R325" s="1070"/>
      <c r="S325" s="1070"/>
      <c r="T325" s="1070"/>
      <c r="U325" s="1070"/>
      <c r="V325" s="1070"/>
      <c r="W325" s="1070"/>
      <c r="X325" s="1070"/>
      <c r="Y325" s="1070"/>
      <c r="Z325" s="1070"/>
      <c r="AA325" s="1070"/>
      <c r="AB325" s="1070"/>
      <c r="AC325" s="1070"/>
      <c r="AD325" s="1070"/>
      <c r="AE325" s="1070"/>
      <c r="AF325" s="1070"/>
      <c r="AG325" s="1070"/>
      <c r="AH325" s="1070"/>
      <c r="AI325" s="1070"/>
      <c r="AJ325" s="1070"/>
      <c r="AK325" s="1070"/>
      <c r="AL325" s="1070"/>
      <c r="AM325" s="1070"/>
      <c r="AN325" s="1070"/>
      <c r="AO325" s="1070"/>
      <c r="AP325" s="1070"/>
      <c r="AQ325" s="1070"/>
      <c r="AR325" s="1070"/>
      <c r="AS325" s="1070"/>
      <c r="AT325" s="1070"/>
      <c r="AU325" s="1070"/>
      <c r="AV325" s="1070"/>
      <c r="AW325" s="1070"/>
      <c r="AX325" s="1070"/>
      <c r="AY325" s="1070"/>
      <c r="AZ325" s="1070"/>
      <c r="BA325" s="1070"/>
      <c r="BB325" s="1070"/>
      <c r="BC325" s="1070"/>
      <c r="BD325" s="1070"/>
      <c r="BE325" s="1070"/>
      <c r="BF325" s="1070"/>
      <c r="BG325" s="1070"/>
      <c r="BH325" s="1070"/>
      <c r="BI325" s="1070"/>
      <c r="BJ325" s="1070"/>
      <c r="BK325" s="1070"/>
      <c r="BL325" s="1070"/>
      <c r="BM325" s="1070"/>
      <c r="BN325" s="1070"/>
      <c r="BO325" s="1070"/>
      <c r="BP325" s="1070"/>
      <c r="BQ325" s="1070"/>
      <c r="BR325" s="1070"/>
      <c r="BS325" s="1070"/>
      <c r="BT325" s="1070"/>
      <c r="BU325" s="1070"/>
      <c r="BV325" s="1070"/>
      <c r="BW325" s="1070"/>
      <c r="BX325" s="1070"/>
      <c r="BY325" s="1070"/>
      <c r="BZ325" s="1070"/>
      <c r="CA325" s="1070"/>
      <c r="CB325" s="1070"/>
      <c r="CC325" s="1070"/>
      <c r="CD325" s="1070"/>
      <c r="CE325" s="1070"/>
      <c r="CF325" s="1070"/>
      <c r="CG325" s="1070"/>
      <c r="CH325" s="1070"/>
      <c r="CI325" s="1070"/>
      <c r="CJ325" s="1070"/>
      <c r="CK325" s="1070"/>
      <c r="CL325" s="1070"/>
      <c r="CM325" s="1070"/>
      <c r="CN325" s="1070"/>
      <c r="CO325" s="1070"/>
      <c r="CP325" s="1070"/>
      <c r="CQ325" s="1070"/>
      <c r="CR325" s="1070"/>
      <c r="CS325" s="1070"/>
      <c r="CT325" s="1070"/>
      <c r="CU325" s="1070"/>
      <c r="CV325" s="1070"/>
      <c r="CW325" s="1070"/>
      <c r="CX325" s="1070"/>
      <c r="CY325" s="1070"/>
      <c r="CZ325" s="1070"/>
      <c r="DA325" s="1070"/>
      <c r="DB325" s="1070"/>
      <c r="DC325" s="1070"/>
      <c r="DD325" s="1070"/>
      <c r="DE325" s="1070"/>
      <c r="DF325" s="1070"/>
      <c r="DG325" s="1070"/>
      <c r="DH325" s="1070"/>
      <c r="DI325" s="1070"/>
      <c r="DJ325" s="1070"/>
    </row>
    <row r="326" spans="1:114" s="1136" customFormat="1" ht="27.75" customHeight="1" x14ac:dyDescent="0.2">
      <c r="A326" s="1951" t="s">
        <v>1278</v>
      </c>
      <c r="B326" s="1406" t="b">
        <v>0</v>
      </c>
      <c r="C326" s="1407"/>
      <c r="D326" s="1407"/>
      <c r="E326" s="1407"/>
      <c r="F326" s="1407"/>
      <c r="G326" s="1407"/>
      <c r="H326" s="1070"/>
      <c r="I326" s="1070"/>
      <c r="J326" s="1315"/>
      <c r="K326" s="1316"/>
      <c r="L326" s="1316"/>
      <c r="M326" s="1315"/>
      <c r="N326" s="1070"/>
      <c r="O326" s="1070"/>
      <c r="P326" s="1070"/>
      <c r="Q326" s="1070"/>
      <c r="R326" s="1070"/>
      <c r="S326" s="1070"/>
      <c r="T326" s="1070"/>
      <c r="U326" s="1070"/>
      <c r="V326" s="1070"/>
      <c r="W326" s="1070"/>
      <c r="X326" s="1070"/>
      <c r="Y326" s="1070"/>
      <c r="Z326" s="1070"/>
      <c r="AA326" s="1070"/>
      <c r="AB326" s="1070"/>
      <c r="AC326" s="1070"/>
      <c r="AD326" s="1070"/>
      <c r="AE326" s="1070"/>
      <c r="AF326" s="1070"/>
      <c r="AG326" s="1070"/>
      <c r="AH326" s="1070"/>
      <c r="AI326" s="1070"/>
      <c r="AJ326" s="1070"/>
      <c r="AK326" s="1070"/>
      <c r="AL326" s="1070"/>
      <c r="AM326" s="1070"/>
      <c r="AN326" s="1070"/>
      <c r="AO326" s="1070"/>
      <c r="AP326" s="1070"/>
      <c r="AQ326" s="1070"/>
      <c r="AR326" s="1070"/>
      <c r="AS326" s="1070"/>
      <c r="AT326" s="1070"/>
      <c r="AU326" s="1070"/>
      <c r="AV326" s="1070"/>
      <c r="AW326" s="1070"/>
      <c r="AX326" s="1070"/>
      <c r="AY326" s="1070"/>
      <c r="AZ326" s="1070"/>
      <c r="BA326" s="1070"/>
      <c r="BB326" s="1070"/>
      <c r="BC326" s="1070"/>
      <c r="BD326" s="1070"/>
      <c r="BE326" s="1070"/>
      <c r="BF326" s="1070"/>
      <c r="BG326" s="1070"/>
      <c r="BH326" s="1070"/>
      <c r="BI326" s="1070"/>
      <c r="BJ326" s="1070"/>
      <c r="BK326" s="1070"/>
      <c r="BL326" s="1070"/>
      <c r="BM326" s="1070"/>
      <c r="BN326" s="1070"/>
      <c r="BO326" s="1070"/>
      <c r="BP326" s="1070"/>
      <c r="BQ326" s="1070"/>
      <c r="BR326" s="1070"/>
      <c r="BS326" s="1070"/>
      <c r="BT326" s="1070"/>
      <c r="BU326" s="1070"/>
      <c r="BV326" s="1070"/>
      <c r="BW326" s="1070"/>
      <c r="BX326" s="1070"/>
      <c r="BY326" s="1070"/>
      <c r="BZ326" s="1070"/>
      <c r="CA326" s="1070"/>
      <c r="CB326" s="1070"/>
      <c r="CC326" s="1070"/>
      <c r="CD326" s="1070"/>
      <c r="CE326" s="1070"/>
      <c r="CF326" s="1070"/>
      <c r="CG326" s="1070"/>
      <c r="CH326" s="1070"/>
      <c r="CI326" s="1070"/>
      <c r="CJ326" s="1070"/>
      <c r="CK326" s="1070"/>
      <c r="CL326" s="1070"/>
      <c r="CM326" s="1070"/>
      <c r="CN326" s="1070"/>
      <c r="CO326" s="1070"/>
      <c r="CP326" s="1070"/>
      <c r="CQ326" s="1070"/>
      <c r="CR326" s="1070"/>
      <c r="CS326" s="1070"/>
      <c r="CT326" s="1070"/>
      <c r="CU326" s="1070"/>
      <c r="CV326" s="1070"/>
      <c r="CW326" s="1070"/>
      <c r="CX326" s="1070"/>
      <c r="CY326" s="1070"/>
      <c r="CZ326" s="1070"/>
      <c r="DA326" s="1070"/>
      <c r="DB326" s="1070"/>
      <c r="DC326" s="1070"/>
      <c r="DD326" s="1070"/>
      <c r="DE326" s="1070"/>
      <c r="DF326" s="1070"/>
      <c r="DG326" s="1070"/>
      <c r="DH326" s="1070"/>
      <c r="DI326" s="1070"/>
      <c r="DJ326" s="1070"/>
    </row>
    <row r="327" spans="1:114" s="1136" customFormat="1" ht="27.75" customHeight="1" x14ac:dyDescent="0.25">
      <c r="A327" s="1954" t="s">
        <v>4822</v>
      </c>
      <c r="B327" s="1406"/>
      <c r="C327" s="1407"/>
      <c r="D327" s="1407"/>
      <c r="E327" s="1407"/>
      <c r="F327" s="1407"/>
      <c r="G327" s="1407"/>
      <c r="H327" s="1070"/>
      <c r="I327" s="1070"/>
      <c r="J327" s="1315"/>
      <c r="K327" s="1316"/>
      <c r="L327" s="1316"/>
      <c r="M327" s="1315"/>
      <c r="N327" s="1070"/>
      <c r="O327" s="1070"/>
      <c r="P327" s="1070"/>
      <c r="Q327" s="1070"/>
      <c r="R327" s="1070"/>
      <c r="S327" s="1070"/>
      <c r="T327" s="1070"/>
      <c r="U327" s="1070"/>
      <c r="V327" s="1070"/>
      <c r="W327" s="1070"/>
      <c r="X327" s="1070"/>
      <c r="Y327" s="1070"/>
      <c r="Z327" s="1070"/>
      <c r="AA327" s="1070"/>
      <c r="AB327" s="1070"/>
      <c r="AC327" s="1070"/>
      <c r="AD327" s="1070"/>
      <c r="AE327" s="1070"/>
      <c r="AF327" s="1070"/>
      <c r="AG327" s="1070"/>
      <c r="AH327" s="1070"/>
      <c r="AI327" s="1070"/>
      <c r="AJ327" s="1070"/>
      <c r="AK327" s="1070"/>
      <c r="AL327" s="1070"/>
      <c r="AM327" s="1070"/>
      <c r="AN327" s="1070"/>
      <c r="AO327" s="1070"/>
      <c r="AP327" s="1070"/>
      <c r="AQ327" s="1070"/>
      <c r="AR327" s="1070"/>
      <c r="AS327" s="1070"/>
      <c r="AT327" s="1070"/>
      <c r="AU327" s="1070"/>
      <c r="AV327" s="1070"/>
      <c r="AW327" s="1070"/>
      <c r="AX327" s="1070"/>
      <c r="AY327" s="1070"/>
      <c r="AZ327" s="1070"/>
      <c r="BA327" s="1070"/>
      <c r="BB327" s="1070"/>
      <c r="BC327" s="1070"/>
      <c r="BD327" s="1070"/>
      <c r="BE327" s="1070"/>
      <c r="BF327" s="1070"/>
      <c r="BG327" s="1070"/>
      <c r="BH327" s="1070"/>
      <c r="BI327" s="1070"/>
      <c r="BJ327" s="1070"/>
      <c r="BK327" s="1070"/>
      <c r="BL327" s="1070"/>
      <c r="BM327" s="1070"/>
      <c r="BN327" s="1070"/>
      <c r="BO327" s="1070"/>
      <c r="BP327" s="1070"/>
      <c r="BQ327" s="1070"/>
      <c r="BR327" s="1070"/>
      <c r="BS327" s="1070"/>
      <c r="BT327" s="1070"/>
      <c r="BU327" s="1070"/>
      <c r="BV327" s="1070"/>
      <c r="BW327" s="1070"/>
      <c r="BX327" s="1070"/>
      <c r="BY327" s="1070"/>
      <c r="BZ327" s="1070"/>
      <c r="CA327" s="1070"/>
      <c r="CB327" s="1070"/>
      <c r="CC327" s="1070"/>
      <c r="CD327" s="1070"/>
      <c r="CE327" s="1070"/>
      <c r="CF327" s="1070"/>
      <c r="CG327" s="1070"/>
      <c r="CH327" s="1070"/>
      <c r="CI327" s="1070"/>
      <c r="CJ327" s="1070"/>
      <c r="CK327" s="1070"/>
      <c r="CL327" s="1070"/>
      <c r="CM327" s="1070"/>
      <c r="CN327" s="1070"/>
      <c r="CO327" s="1070"/>
      <c r="CP327" s="1070"/>
      <c r="CQ327" s="1070"/>
      <c r="CR327" s="1070"/>
      <c r="CS327" s="1070"/>
      <c r="CT327" s="1070"/>
      <c r="CU327" s="1070"/>
      <c r="CV327" s="1070"/>
      <c r="CW327" s="1070"/>
      <c r="CX327" s="1070"/>
      <c r="CY327" s="1070"/>
      <c r="CZ327" s="1070"/>
      <c r="DA327" s="1070"/>
      <c r="DB327" s="1070"/>
      <c r="DC327" s="1070"/>
      <c r="DD327" s="1070"/>
      <c r="DE327" s="1070"/>
      <c r="DF327" s="1070"/>
      <c r="DG327" s="1070"/>
      <c r="DH327" s="1070"/>
      <c r="DI327" s="1070"/>
      <c r="DJ327" s="1070"/>
    </row>
    <row r="328" spans="1:114" s="1136" customFormat="1" ht="27.75" customHeight="1" x14ac:dyDescent="0.2">
      <c r="A328" s="1955" t="s">
        <v>1279</v>
      </c>
      <c r="B328" s="1406">
        <f>IF(B173&lt;1.41,1,IF(B173&lt;1.61,2,IF(B173&lt;1.81,3,IF(B173&lt;2.01,4,IF(B173&lt;2.21,5,IF(B173&lt;2.41,6,7))))))</f>
        <v>7</v>
      </c>
      <c r="C328" s="1407"/>
      <c r="D328" s="1407"/>
      <c r="E328" s="1407"/>
      <c r="F328" s="1407"/>
      <c r="G328" s="1407"/>
      <c r="H328" s="1070"/>
      <c r="I328" s="1070"/>
      <c r="J328" s="1315"/>
      <c r="K328" s="1316"/>
      <c r="L328" s="1316"/>
      <c r="M328" s="1315"/>
      <c r="N328" s="1070"/>
      <c r="O328" s="1070"/>
      <c r="P328" s="1070"/>
      <c r="Q328" s="1070"/>
      <c r="R328" s="1070"/>
      <c r="S328" s="1070"/>
      <c r="T328" s="1070"/>
      <c r="U328" s="1070"/>
      <c r="V328" s="1070"/>
      <c r="W328" s="1070"/>
      <c r="X328" s="1070"/>
      <c r="Y328" s="1070"/>
      <c r="Z328" s="1070"/>
      <c r="AA328" s="1070"/>
      <c r="AB328" s="1070"/>
      <c r="AC328" s="1070"/>
      <c r="AD328" s="1070"/>
      <c r="AE328" s="1070"/>
      <c r="AF328" s="1070"/>
      <c r="AG328" s="1070"/>
      <c r="AH328" s="1070"/>
      <c r="AI328" s="1070"/>
      <c r="AJ328" s="1070"/>
      <c r="AK328" s="1070"/>
      <c r="AL328" s="1070"/>
      <c r="AM328" s="1070"/>
      <c r="AN328" s="1070"/>
      <c r="AO328" s="1070"/>
      <c r="AP328" s="1070"/>
      <c r="AQ328" s="1070"/>
      <c r="AR328" s="1070"/>
      <c r="AS328" s="1070"/>
      <c r="AT328" s="1070"/>
      <c r="AU328" s="1070"/>
      <c r="AV328" s="1070"/>
      <c r="AW328" s="1070"/>
      <c r="AX328" s="1070"/>
      <c r="AY328" s="1070"/>
      <c r="AZ328" s="1070"/>
      <c r="BA328" s="1070"/>
      <c r="BB328" s="1070"/>
      <c r="BC328" s="1070"/>
      <c r="BD328" s="1070"/>
      <c r="BE328" s="1070"/>
      <c r="BF328" s="1070"/>
      <c r="BG328" s="1070"/>
      <c r="BH328" s="1070"/>
      <c r="BI328" s="1070"/>
      <c r="BJ328" s="1070"/>
      <c r="BK328" s="1070"/>
      <c r="BL328" s="1070"/>
      <c r="BM328" s="1070"/>
      <c r="BN328" s="1070"/>
      <c r="BO328" s="1070"/>
      <c r="BP328" s="1070"/>
      <c r="BQ328" s="1070"/>
      <c r="BR328" s="1070"/>
      <c r="BS328" s="1070"/>
      <c r="BT328" s="1070"/>
      <c r="BU328" s="1070"/>
      <c r="BV328" s="1070"/>
      <c r="BW328" s="1070"/>
      <c r="BX328" s="1070"/>
      <c r="BY328" s="1070"/>
      <c r="BZ328" s="1070"/>
      <c r="CA328" s="1070"/>
      <c r="CB328" s="1070"/>
      <c r="CC328" s="1070"/>
      <c r="CD328" s="1070"/>
      <c r="CE328" s="1070"/>
      <c r="CF328" s="1070"/>
      <c r="CG328" s="1070"/>
      <c r="CH328" s="1070"/>
      <c r="CI328" s="1070"/>
      <c r="CJ328" s="1070"/>
      <c r="CK328" s="1070"/>
      <c r="CL328" s="1070"/>
      <c r="CM328" s="1070"/>
      <c r="CN328" s="1070"/>
      <c r="CO328" s="1070"/>
      <c r="CP328" s="1070"/>
      <c r="CQ328" s="1070"/>
      <c r="CR328" s="1070"/>
      <c r="CS328" s="1070"/>
      <c r="CT328" s="1070"/>
      <c r="CU328" s="1070"/>
      <c r="CV328" s="1070"/>
      <c r="CW328" s="1070"/>
      <c r="CX328" s="1070"/>
      <c r="CY328" s="1070"/>
      <c r="CZ328" s="1070"/>
      <c r="DA328" s="1070"/>
      <c r="DB328" s="1070"/>
      <c r="DC328" s="1070"/>
      <c r="DD328" s="1070"/>
      <c r="DE328" s="1070"/>
      <c r="DF328" s="1070"/>
      <c r="DG328" s="1070"/>
      <c r="DH328" s="1070"/>
      <c r="DI328" s="1070"/>
      <c r="DJ328" s="1070"/>
    </row>
    <row r="329" spans="1:114" s="1136" customFormat="1" ht="27.75" customHeight="1" x14ac:dyDescent="0.2">
      <c r="A329" s="1955" t="s">
        <v>1732</v>
      </c>
      <c r="B329" s="1406" t="e">
        <f>IF(B365&lt;10,10,IF(B365&gt;16,16,B365))</f>
        <v>#VALUE!</v>
      </c>
      <c r="C329" s="1407"/>
      <c r="D329" s="1407"/>
      <c r="E329" s="1407"/>
      <c r="F329" s="1407"/>
      <c r="G329" s="1407"/>
      <c r="H329" s="1070"/>
      <c r="I329" s="1070"/>
      <c r="J329" s="1315"/>
      <c r="K329" s="1316"/>
      <c r="L329" s="1316"/>
      <c r="M329" s="1315"/>
      <c r="N329" s="1070"/>
      <c r="O329" s="1070"/>
      <c r="P329" s="1070"/>
      <c r="Q329" s="1070"/>
      <c r="R329" s="1070"/>
      <c r="S329" s="1070"/>
      <c r="T329" s="1070"/>
      <c r="U329" s="1070"/>
      <c r="V329" s="1070"/>
      <c r="W329" s="1070"/>
      <c r="X329" s="1070"/>
      <c r="Y329" s="1070"/>
      <c r="Z329" s="1070"/>
      <c r="AA329" s="1070"/>
      <c r="AB329" s="1070"/>
      <c r="AC329" s="1070"/>
      <c r="AD329" s="1070"/>
      <c r="AE329" s="1070"/>
      <c r="AF329" s="1070"/>
      <c r="AG329" s="1070"/>
      <c r="AH329" s="1070"/>
      <c r="AI329" s="1070"/>
      <c r="AJ329" s="1070"/>
      <c r="AK329" s="1070"/>
      <c r="AL329" s="1070"/>
      <c r="AM329" s="1070"/>
      <c r="AN329" s="1070"/>
      <c r="AO329" s="1070"/>
      <c r="AP329" s="1070"/>
      <c r="AQ329" s="1070"/>
      <c r="AR329" s="1070"/>
      <c r="AS329" s="1070"/>
      <c r="AT329" s="1070"/>
      <c r="AU329" s="1070"/>
      <c r="AV329" s="1070"/>
      <c r="AW329" s="1070"/>
      <c r="AX329" s="1070"/>
      <c r="AY329" s="1070"/>
      <c r="AZ329" s="1070"/>
      <c r="BA329" s="1070"/>
      <c r="BB329" s="1070"/>
      <c r="BC329" s="1070"/>
      <c r="BD329" s="1070"/>
      <c r="BE329" s="1070"/>
      <c r="BF329" s="1070"/>
      <c r="BG329" s="1070"/>
      <c r="BH329" s="1070"/>
      <c r="BI329" s="1070"/>
      <c r="BJ329" s="1070"/>
      <c r="BK329" s="1070"/>
      <c r="BL329" s="1070"/>
      <c r="BM329" s="1070"/>
      <c r="BN329" s="1070"/>
      <c r="BO329" s="1070"/>
      <c r="BP329" s="1070"/>
      <c r="BQ329" s="1070"/>
      <c r="BR329" s="1070"/>
      <c r="BS329" s="1070"/>
      <c r="BT329" s="1070"/>
      <c r="BU329" s="1070"/>
      <c r="BV329" s="1070"/>
      <c r="BW329" s="1070"/>
      <c r="BX329" s="1070"/>
      <c r="BY329" s="1070"/>
      <c r="BZ329" s="1070"/>
      <c r="CA329" s="1070"/>
      <c r="CB329" s="1070"/>
      <c r="CC329" s="1070"/>
      <c r="CD329" s="1070"/>
      <c r="CE329" s="1070"/>
      <c r="CF329" s="1070"/>
      <c r="CG329" s="1070"/>
      <c r="CH329" s="1070"/>
      <c r="CI329" s="1070"/>
      <c r="CJ329" s="1070"/>
      <c r="CK329" s="1070"/>
      <c r="CL329" s="1070"/>
      <c r="CM329" s="1070"/>
      <c r="CN329" s="1070"/>
      <c r="CO329" s="1070"/>
      <c r="CP329" s="1070"/>
      <c r="CQ329" s="1070"/>
      <c r="CR329" s="1070"/>
      <c r="CS329" s="1070"/>
      <c r="CT329" s="1070"/>
      <c r="CU329" s="1070"/>
      <c r="CV329" s="1070"/>
      <c r="CW329" s="1070"/>
      <c r="CX329" s="1070"/>
      <c r="CY329" s="1070"/>
      <c r="CZ329" s="1070"/>
      <c r="DA329" s="1070"/>
      <c r="DB329" s="1070"/>
      <c r="DC329" s="1070"/>
      <c r="DD329" s="1070"/>
      <c r="DE329" s="1070"/>
      <c r="DF329" s="1070"/>
      <c r="DG329" s="1070"/>
      <c r="DH329" s="1070"/>
      <c r="DI329" s="1070"/>
      <c r="DJ329" s="1070"/>
    </row>
    <row r="330" spans="1:114" s="1136" customFormat="1" ht="27.75" customHeight="1" x14ac:dyDescent="0.2">
      <c r="A330" s="1955" t="s">
        <v>1280</v>
      </c>
      <c r="B330" s="1406" t="e">
        <f>B329-9</f>
        <v>#VALUE!</v>
      </c>
      <c r="C330" s="1407"/>
      <c r="D330" s="1407"/>
      <c r="E330" s="1407"/>
      <c r="F330" s="1407"/>
      <c r="G330" s="1407"/>
      <c r="H330" s="1070"/>
      <c r="I330" s="1070"/>
      <c r="J330" s="1315"/>
      <c r="K330" s="1316"/>
      <c r="L330" s="1316"/>
      <c r="M330" s="1315"/>
      <c r="N330" s="1070"/>
      <c r="O330" s="1070"/>
      <c r="P330" s="1070"/>
      <c r="Q330" s="1070"/>
      <c r="R330" s="1070"/>
      <c r="S330" s="1070"/>
      <c r="T330" s="1070"/>
      <c r="U330" s="1070"/>
      <c r="V330" s="1070"/>
      <c r="W330" s="1070"/>
      <c r="X330" s="1070"/>
      <c r="Y330" s="1070"/>
      <c r="Z330" s="1070"/>
      <c r="AA330" s="1070"/>
      <c r="AB330" s="1070"/>
      <c r="AC330" s="1070"/>
      <c r="AD330" s="1070"/>
      <c r="AE330" s="1070"/>
      <c r="AF330" s="1070"/>
      <c r="AG330" s="1070"/>
      <c r="AH330" s="1070"/>
      <c r="AI330" s="1070"/>
      <c r="AJ330" s="1070"/>
      <c r="AK330" s="1070"/>
      <c r="AL330" s="1070"/>
      <c r="AM330" s="1070"/>
      <c r="AN330" s="1070"/>
      <c r="AO330" s="1070"/>
      <c r="AP330" s="1070"/>
      <c r="AQ330" s="1070"/>
      <c r="AR330" s="1070"/>
      <c r="AS330" s="1070"/>
      <c r="AT330" s="1070"/>
      <c r="AU330" s="1070"/>
      <c r="AV330" s="1070"/>
      <c r="AW330" s="1070"/>
      <c r="AX330" s="1070"/>
      <c r="AY330" s="1070"/>
      <c r="AZ330" s="1070"/>
      <c r="BA330" s="1070"/>
      <c r="BB330" s="1070"/>
      <c r="BC330" s="1070"/>
      <c r="BD330" s="1070"/>
      <c r="BE330" s="1070"/>
      <c r="BF330" s="1070"/>
      <c r="BG330" s="1070"/>
      <c r="BH330" s="1070"/>
      <c r="BI330" s="1070"/>
      <c r="BJ330" s="1070"/>
      <c r="BK330" s="1070"/>
      <c r="BL330" s="1070"/>
      <c r="BM330" s="1070"/>
      <c r="BN330" s="1070"/>
      <c r="BO330" s="1070"/>
      <c r="BP330" s="1070"/>
      <c r="BQ330" s="1070"/>
      <c r="BR330" s="1070"/>
      <c r="BS330" s="1070"/>
      <c r="BT330" s="1070"/>
      <c r="BU330" s="1070"/>
      <c r="BV330" s="1070"/>
      <c r="BW330" s="1070"/>
      <c r="BX330" s="1070"/>
      <c r="BY330" s="1070"/>
      <c r="BZ330" s="1070"/>
      <c r="CA330" s="1070"/>
      <c r="CB330" s="1070"/>
      <c r="CC330" s="1070"/>
      <c r="CD330" s="1070"/>
      <c r="CE330" s="1070"/>
      <c r="CF330" s="1070"/>
      <c r="CG330" s="1070"/>
      <c r="CH330" s="1070"/>
      <c r="CI330" s="1070"/>
      <c r="CJ330" s="1070"/>
      <c r="CK330" s="1070"/>
      <c r="CL330" s="1070"/>
      <c r="CM330" s="1070"/>
      <c r="CN330" s="1070"/>
      <c r="CO330" s="1070"/>
      <c r="CP330" s="1070"/>
      <c r="CQ330" s="1070"/>
      <c r="CR330" s="1070"/>
      <c r="CS330" s="1070"/>
      <c r="CT330" s="1070"/>
      <c r="CU330" s="1070"/>
      <c r="CV330" s="1070"/>
      <c r="CW330" s="1070"/>
      <c r="CX330" s="1070"/>
      <c r="CY330" s="1070"/>
      <c r="CZ330" s="1070"/>
      <c r="DA330" s="1070"/>
      <c r="DB330" s="1070"/>
      <c r="DC330" s="1070"/>
      <c r="DD330" s="1070"/>
      <c r="DE330" s="1070"/>
      <c r="DF330" s="1070"/>
      <c r="DG330" s="1070"/>
      <c r="DH330" s="1070"/>
      <c r="DI330" s="1070"/>
      <c r="DJ330" s="1070"/>
    </row>
    <row r="331" spans="1:114" s="1136" customFormat="1" ht="27.75" customHeight="1" x14ac:dyDescent="0.25">
      <c r="A331" s="1956" t="s">
        <v>1281</v>
      </c>
      <c r="B331" s="1406">
        <v>4.9470000000000001</v>
      </c>
      <c r="C331" s="1407"/>
      <c r="D331" s="1407"/>
      <c r="E331" s="1407"/>
      <c r="F331" s="1407"/>
      <c r="G331" s="1407"/>
      <c r="H331" s="1070"/>
      <c r="I331" s="1070"/>
      <c r="J331" s="1315"/>
      <c r="K331" s="1316"/>
      <c r="L331" s="1316"/>
      <c r="M331" s="1315"/>
      <c r="N331" s="1070"/>
      <c r="O331" s="1070"/>
      <c r="P331" s="1070"/>
      <c r="Q331" s="1070"/>
      <c r="R331" s="1070"/>
      <c r="S331" s="1070"/>
      <c r="T331" s="1070"/>
      <c r="U331" s="1070"/>
      <c r="V331" s="1070"/>
      <c r="W331" s="1070"/>
      <c r="X331" s="1070"/>
      <c r="Y331" s="1070"/>
      <c r="Z331" s="1070"/>
      <c r="AA331" s="1070"/>
      <c r="AB331" s="1070"/>
      <c r="AC331" s="1070"/>
      <c r="AD331" s="1070"/>
      <c r="AE331" s="1070"/>
      <c r="AF331" s="1070"/>
      <c r="AG331" s="1070"/>
      <c r="AH331" s="1070"/>
      <c r="AI331" s="1070"/>
      <c r="AJ331" s="1070"/>
      <c r="AK331" s="1070"/>
      <c r="AL331" s="1070"/>
      <c r="AM331" s="1070"/>
      <c r="AN331" s="1070"/>
      <c r="AO331" s="1070"/>
      <c r="AP331" s="1070"/>
      <c r="AQ331" s="1070"/>
      <c r="AR331" s="1070"/>
      <c r="AS331" s="1070"/>
      <c r="AT331" s="1070"/>
      <c r="AU331" s="1070"/>
      <c r="AV331" s="1070"/>
      <c r="AW331" s="1070"/>
      <c r="AX331" s="1070"/>
      <c r="AY331" s="1070"/>
      <c r="AZ331" s="1070"/>
      <c r="BA331" s="1070"/>
      <c r="BB331" s="1070"/>
      <c r="BC331" s="1070"/>
      <c r="BD331" s="1070"/>
      <c r="BE331" s="1070"/>
      <c r="BF331" s="1070"/>
      <c r="BG331" s="1070"/>
      <c r="BH331" s="1070"/>
      <c r="BI331" s="1070"/>
      <c r="BJ331" s="1070"/>
      <c r="BK331" s="1070"/>
      <c r="BL331" s="1070"/>
      <c r="BM331" s="1070"/>
      <c r="BN331" s="1070"/>
      <c r="BO331" s="1070"/>
      <c r="BP331" s="1070"/>
      <c r="BQ331" s="1070"/>
      <c r="BR331" s="1070"/>
      <c r="BS331" s="1070"/>
      <c r="BT331" s="1070"/>
      <c r="BU331" s="1070"/>
      <c r="BV331" s="1070"/>
      <c r="BW331" s="1070"/>
      <c r="BX331" s="1070"/>
      <c r="BY331" s="1070"/>
      <c r="BZ331" s="1070"/>
      <c r="CA331" s="1070"/>
      <c r="CB331" s="1070"/>
      <c r="CC331" s="1070"/>
      <c r="CD331" s="1070"/>
      <c r="CE331" s="1070"/>
      <c r="CF331" s="1070"/>
      <c r="CG331" s="1070"/>
      <c r="CH331" s="1070"/>
      <c r="CI331" s="1070"/>
      <c r="CJ331" s="1070"/>
      <c r="CK331" s="1070"/>
      <c r="CL331" s="1070"/>
      <c r="CM331" s="1070"/>
      <c r="CN331" s="1070"/>
      <c r="CO331" s="1070"/>
      <c r="CP331" s="1070"/>
      <c r="CQ331" s="1070"/>
      <c r="CR331" s="1070"/>
      <c r="CS331" s="1070"/>
      <c r="CT331" s="1070"/>
      <c r="CU331" s="1070"/>
      <c r="CV331" s="1070"/>
      <c r="CW331" s="1070"/>
      <c r="CX331" s="1070"/>
      <c r="CY331" s="1070"/>
      <c r="CZ331" s="1070"/>
      <c r="DA331" s="1070"/>
      <c r="DB331" s="1070"/>
      <c r="DC331" s="1070"/>
      <c r="DD331" s="1070"/>
      <c r="DE331" s="1070"/>
      <c r="DF331" s="1070"/>
      <c r="DG331" s="1070"/>
      <c r="DH331" s="1070"/>
      <c r="DI331" s="1070"/>
      <c r="DJ331" s="1070"/>
    </row>
    <row r="332" spans="1:114" s="1136" customFormat="1" ht="27.75" customHeight="1" x14ac:dyDescent="0.25">
      <c r="A332" s="1956" t="s">
        <v>1282</v>
      </c>
      <c r="B332" s="1406">
        <v>267</v>
      </c>
      <c r="C332" s="1407"/>
      <c r="D332" s="1407"/>
      <c r="E332" s="1407"/>
      <c r="F332" s="1407"/>
      <c r="G332" s="1407"/>
      <c r="H332" s="1070"/>
      <c r="I332" s="1070"/>
      <c r="J332" s="1315"/>
      <c r="K332" s="1316"/>
      <c r="L332" s="1316"/>
      <c r="M332" s="1315"/>
      <c r="N332" s="1070"/>
      <c r="O332" s="1070"/>
      <c r="P332" s="1070"/>
      <c r="Q332" s="1070"/>
      <c r="R332" s="1070"/>
      <c r="S332" s="1070"/>
      <c r="T332" s="1070"/>
      <c r="U332" s="1070"/>
      <c r="V332" s="1070"/>
      <c r="W332" s="1070"/>
      <c r="X332" s="1070"/>
      <c r="Y332" s="1070"/>
      <c r="Z332" s="1070"/>
      <c r="AA332" s="1070"/>
      <c r="AB332" s="1070"/>
      <c r="AC332" s="1070"/>
      <c r="AD332" s="1070"/>
      <c r="AE332" s="1070"/>
      <c r="AF332" s="1070"/>
      <c r="AG332" s="1070"/>
      <c r="AH332" s="1070"/>
      <c r="AI332" s="1070"/>
      <c r="AJ332" s="1070"/>
      <c r="AK332" s="1070"/>
      <c r="AL332" s="1070"/>
      <c r="AM332" s="1070"/>
      <c r="AN332" s="1070"/>
      <c r="AO332" s="1070"/>
      <c r="AP332" s="1070"/>
      <c r="AQ332" s="1070"/>
      <c r="AR332" s="1070"/>
      <c r="AS332" s="1070"/>
      <c r="AT332" s="1070"/>
      <c r="AU332" s="1070"/>
      <c r="AV332" s="1070"/>
      <c r="AW332" s="1070"/>
      <c r="AX332" s="1070"/>
      <c r="AY332" s="1070"/>
      <c r="AZ332" s="1070"/>
      <c r="BA332" s="1070"/>
      <c r="BB332" s="1070"/>
      <c r="BC332" s="1070"/>
      <c r="BD332" s="1070"/>
      <c r="BE332" s="1070"/>
      <c r="BF332" s="1070"/>
      <c r="BG332" s="1070"/>
      <c r="BH332" s="1070"/>
      <c r="BI332" s="1070"/>
      <c r="BJ332" s="1070"/>
      <c r="BK332" s="1070"/>
      <c r="BL332" s="1070"/>
      <c r="BM332" s="1070"/>
      <c r="BN332" s="1070"/>
      <c r="BO332" s="1070"/>
      <c r="BP332" s="1070"/>
      <c r="BQ332" s="1070"/>
      <c r="BR332" s="1070"/>
      <c r="BS332" s="1070"/>
      <c r="BT332" s="1070"/>
      <c r="BU332" s="1070"/>
      <c r="BV332" s="1070"/>
      <c r="BW332" s="1070"/>
      <c r="BX332" s="1070"/>
      <c r="BY332" s="1070"/>
      <c r="BZ332" s="1070"/>
      <c r="CA332" s="1070"/>
      <c r="CB332" s="1070"/>
      <c r="CC332" s="1070"/>
      <c r="CD332" s="1070"/>
      <c r="CE332" s="1070"/>
      <c r="CF332" s="1070"/>
      <c r="CG332" s="1070"/>
      <c r="CH332" s="1070"/>
      <c r="CI332" s="1070"/>
      <c r="CJ332" s="1070"/>
      <c r="CK332" s="1070"/>
      <c r="CL332" s="1070"/>
      <c r="CM332" s="1070"/>
      <c r="CN332" s="1070"/>
      <c r="CO332" s="1070"/>
      <c r="CP332" s="1070"/>
      <c r="CQ332" s="1070"/>
      <c r="CR332" s="1070"/>
      <c r="CS332" s="1070"/>
      <c r="CT332" s="1070"/>
      <c r="CU332" s="1070"/>
      <c r="CV332" s="1070"/>
      <c r="CW332" s="1070"/>
      <c r="CX332" s="1070"/>
      <c r="CY332" s="1070"/>
      <c r="CZ332" s="1070"/>
      <c r="DA332" s="1070"/>
      <c r="DB332" s="1070"/>
      <c r="DC332" s="1070"/>
      <c r="DD332" s="1070"/>
      <c r="DE332" s="1070"/>
      <c r="DF332" s="1070"/>
      <c r="DG332" s="1070"/>
      <c r="DH332" s="1070"/>
      <c r="DI332" s="1070"/>
      <c r="DJ332" s="1070"/>
    </row>
    <row r="333" spans="1:114" s="1136" customFormat="1" ht="27.75" customHeight="1" x14ac:dyDescent="0.2">
      <c r="A333" s="1955" t="s">
        <v>1278</v>
      </c>
      <c r="B333" s="1406" t="b">
        <v>0</v>
      </c>
      <c r="C333" s="1407"/>
      <c r="D333" s="1407"/>
      <c r="E333" s="1407"/>
      <c r="F333" s="1407"/>
      <c r="G333" s="1407"/>
      <c r="H333" s="1070"/>
      <c r="I333" s="1070"/>
      <c r="J333" s="1315"/>
      <c r="K333" s="1316"/>
      <c r="L333" s="1316"/>
      <c r="M333" s="1315"/>
      <c r="N333" s="1070"/>
      <c r="O333" s="1070"/>
      <c r="P333" s="1070"/>
      <c r="Q333" s="1070"/>
      <c r="R333" s="1070"/>
      <c r="S333" s="1070"/>
      <c r="T333" s="1070"/>
      <c r="U333" s="1070"/>
      <c r="V333" s="1070"/>
      <c r="W333" s="1070"/>
      <c r="X333" s="1070"/>
      <c r="Y333" s="1070"/>
      <c r="Z333" s="1070"/>
      <c r="AA333" s="1070"/>
      <c r="AB333" s="1070"/>
      <c r="AC333" s="1070"/>
      <c r="AD333" s="1070"/>
      <c r="AE333" s="1070"/>
      <c r="AF333" s="1070"/>
      <c r="AG333" s="1070"/>
      <c r="AH333" s="1070"/>
      <c r="AI333" s="1070"/>
      <c r="AJ333" s="1070"/>
      <c r="AK333" s="1070"/>
      <c r="AL333" s="1070"/>
      <c r="AM333" s="1070"/>
      <c r="AN333" s="1070"/>
      <c r="AO333" s="1070"/>
      <c r="AP333" s="1070"/>
      <c r="AQ333" s="1070"/>
      <c r="AR333" s="1070"/>
      <c r="AS333" s="1070"/>
      <c r="AT333" s="1070"/>
      <c r="AU333" s="1070"/>
      <c r="AV333" s="1070"/>
      <c r="AW333" s="1070"/>
      <c r="AX333" s="1070"/>
      <c r="AY333" s="1070"/>
      <c r="AZ333" s="1070"/>
      <c r="BA333" s="1070"/>
      <c r="BB333" s="1070"/>
      <c r="BC333" s="1070"/>
      <c r="BD333" s="1070"/>
      <c r="BE333" s="1070"/>
      <c r="BF333" s="1070"/>
      <c r="BG333" s="1070"/>
      <c r="BH333" s="1070"/>
      <c r="BI333" s="1070"/>
      <c r="BJ333" s="1070"/>
      <c r="BK333" s="1070"/>
      <c r="BL333" s="1070"/>
      <c r="BM333" s="1070"/>
      <c r="BN333" s="1070"/>
      <c r="BO333" s="1070"/>
      <c r="BP333" s="1070"/>
      <c r="BQ333" s="1070"/>
      <c r="BR333" s="1070"/>
      <c r="BS333" s="1070"/>
      <c r="BT333" s="1070"/>
      <c r="BU333" s="1070"/>
      <c r="BV333" s="1070"/>
      <c r="BW333" s="1070"/>
      <c r="BX333" s="1070"/>
      <c r="BY333" s="1070"/>
      <c r="BZ333" s="1070"/>
      <c r="CA333" s="1070"/>
      <c r="CB333" s="1070"/>
      <c r="CC333" s="1070"/>
      <c r="CD333" s="1070"/>
      <c r="CE333" s="1070"/>
      <c r="CF333" s="1070"/>
      <c r="CG333" s="1070"/>
      <c r="CH333" s="1070"/>
      <c r="CI333" s="1070"/>
      <c r="CJ333" s="1070"/>
      <c r="CK333" s="1070"/>
      <c r="CL333" s="1070"/>
      <c r="CM333" s="1070"/>
      <c r="CN333" s="1070"/>
      <c r="CO333" s="1070"/>
      <c r="CP333" s="1070"/>
      <c r="CQ333" s="1070"/>
      <c r="CR333" s="1070"/>
      <c r="CS333" s="1070"/>
      <c r="CT333" s="1070"/>
      <c r="CU333" s="1070"/>
      <c r="CV333" s="1070"/>
      <c r="CW333" s="1070"/>
      <c r="CX333" s="1070"/>
      <c r="CY333" s="1070"/>
      <c r="CZ333" s="1070"/>
      <c r="DA333" s="1070"/>
      <c r="DB333" s="1070"/>
      <c r="DC333" s="1070"/>
      <c r="DD333" s="1070"/>
      <c r="DE333" s="1070"/>
      <c r="DF333" s="1070"/>
      <c r="DG333" s="1070"/>
      <c r="DH333" s="1070"/>
      <c r="DI333" s="1070"/>
      <c r="DJ333" s="1070"/>
    </row>
    <row r="334" spans="1:114" s="1136" customFormat="1" ht="27.75" customHeight="1" x14ac:dyDescent="0.2">
      <c r="A334" s="1955" t="s">
        <v>1278</v>
      </c>
      <c r="B334" s="1406" t="b">
        <v>0</v>
      </c>
      <c r="C334" s="1407"/>
      <c r="D334" s="1407"/>
      <c r="E334" s="1407"/>
      <c r="F334" s="1407"/>
      <c r="G334" s="1407"/>
      <c r="H334" s="1070"/>
      <c r="I334" s="1070"/>
      <c r="J334" s="1315"/>
      <c r="K334" s="1316"/>
      <c r="L334" s="1316"/>
      <c r="M334" s="1315"/>
      <c r="N334" s="1070"/>
      <c r="O334" s="1070"/>
      <c r="P334" s="1070"/>
      <c r="Q334" s="1070"/>
      <c r="R334" s="1070"/>
      <c r="S334" s="1070"/>
      <c r="T334" s="1070"/>
      <c r="U334" s="1070"/>
      <c r="V334" s="1070"/>
      <c r="W334" s="1070"/>
      <c r="X334" s="1070"/>
      <c r="Y334" s="1070"/>
      <c r="Z334" s="1070"/>
      <c r="AA334" s="1070"/>
      <c r="AB334" s="1070"/>
      <c r="AC334" s="1070"/>
      <c r="AD334" s="1070"/>
      <c r="AE334" s="1070"/>
      <c r="AF334" s="1070"/>
      <c r="AG334" s="1070"/>
      <c r="AH334" s="1070"/>
      <c r="AI334" s="1070"/>
      <c r="AJ334" s="1070"/>
      <c r="AK334" s="1070"/>
      <c r="AL334" s="1070"/>
      <c r="AM334" s="1070"/>
      <c r="AN334" s="1070"/>
      <c r="AO334" s="1070"/>
      <c r="AP334" s="1070"/>
      <c r="AQ334" s="1070"/>
      <c r="AR334" s="1070"/>
      <c r="AS334" s="1070"/>
      <c r="AT334" s="1070"/>
      <c r="AU334" s="1070"/>
      <c r="AV334" s="1070"/>
      <c r="AW334" s="1070"/>
      <c r="AX334" s="1070"/>
      <c r="AY334" s="1070"/>
      <c r="AZ334" s="1070"/>
      <c r="BA334" s="1070"/>
      <c r="BB334" s="1070"/>
      <c r="BC334" s="1070"/>
      <c r="BD334" s="1070"/>
      <c r="BE334" s="1070"/>
      <c r="BF334" s="1070"/>
      <c r="BG334" s="1070"/>
      <c r="BH334" s="1070"/>
      <c r="BI334" s="1070"/>
      <c r="BJ334" s="1070"/>
      <c r="BK334" s="1070"/>
      <c r="BL334" s="1070"/>
      <c r="BM334" s="1070"/>
      <c r="BN334" s="1070"/>
      <c r="BO334" s="1070"/>
      <c r="BP334" s="1070"/>
      <c r="BQ334" s="1070"/>
      <c r="BR334" s="1070"/>
      <c r="BS334" s="1070"/>
      <c r="BT334" s="1070"/>
      <c r="BU334" s="1070"/>
      <c r="BV334" s="1070"/>
      <c r="BW334" s="1070"/>
      <c r="BX334" s="1070"/>
      <c r="BY334" s="1070"/>
      <c r="BZ334" s="1070"/>
      <c r="CA334" s="1070"/>
      <c r="CB334" s="1070"/>
      <c r="CC334" s="1070"/>
      <c r="CD334" s="1070"/>
      <c r="CE334" s="1070"/>
      <c r="CF334" s="1070"/>
      <c r="CG334" s="1070"/>
      <c r="CH334" s="1070"/>
      <c r="CI334" s="1070"/>
      <c r="CJ334" s="1070"/>
      <c r="CK334" s="1070"/>
      <c r="CL334" s="1070"/>
      <c r="CM334" s="1070"/>
      <c r="CN334" s="1070"/>
      <c r="CO334" s="1070"/>
      <c r="CP334" s="1070"/>
      <c r="CQ334" s="1070"/>
      <c r="CR334" s="1070"/>
      <c r="CS334" s="1070"/>
      <c r="CT334" s="1070"/>
      <c r="CU334" s="1070"/>
      <c r="CV334" s="1070"/>
      <c r="CW334" s="1070"/>
      <c r="CX334" s="1070"/>
      <c r="CY334" s="1070"/>
      <c r="CZ334" s="1070"/>
      <c r="DA334" s="1070"/>
      <c r="DB334" s="1070"/>
      <c r="DC334" s="1070"/>
      <c r="DD334" s="1070"/>
      <c r="DE334" s="1070"/>
      <c r="DF334" s="1070"/>
      <c r="DG334" s="1070"/>
      <c r="DH334" s="1070"/>
      <c r="DI334" s="1070"/>
      <c r="DJ334" s="1070"/>
    </row>
    <row r="335" spans="1:114" s="1136" customFormat="1" ht="27.75" customHeight="1" x14ac:dyDescent="0.2">
      <c r="A335" s="1955" t="s">
        <v>1278</v>
      </c>
      <c r="B335" s="1406" t="b">
        <v>0</v>
      </c>
      <c r="C335" s="1407"/>
      <c r="D335" s="1407"/>
      <c r="E335" s="1407"/>
      <c r="F335" s="1407"/>
      <c r="G335" s="1407"/>
      <c r="H335" s="1070"/>
      <c r="I335" s="1070"/>
      <c r="J335" s="1315"/>
      <c r="K335" s="1316"/>
      <c r="L335" s="1316"/>
      <c r="M335" s="1315"/>
      <c r="N335" s="1070"/>
      <c r="O335" s="1070"/>
      <c r="P335" s="1070"/>
      <c r="Q335" s="1070"/>
      <c r="R335" s="1070"/>
      <c r="S335" s="1070"/>
      <c r="T335" s="1070"/>
      <c r="U335" s="1070"/>
      <c r="V335" s="1070"/>
      <c r="W335" s="1070"/>
      <c r="X335" s="1070"/>
      <c r="Y335" s="1070"/>
      <c r="Z335" s="1070"/>
      <c r="AA335" s="1070"/>
      <c r="AB335" s="1070"/>
      <c r="AC335" s="1070"/>
      <c r="AD335" s="1070"/>
      <c r="AE335" s="1070"/>
      <c r="AF335" s="1070"/>
      <c r="AG335" s="1070"/>
      <c r="AH335" s="1070"/>
      <c r="AI335" s="1070"/>
      <c r="AJ335" s="1070"/>
      <c r="AK335" s="1070"/>
      <c r="AL335" s="1070"/>
      <c r="AM335" s="1070"/>
      <c r="AN335" s="1070"/>
      <c r="AO335" s="1070"/>
      <c r="AP335" s="1070"/>
      <c r="AQ335" s="1070"/>
      <c r="AR335" s="1070"/>
      <c r="AS335" s="1070"/>
      <c r="AT335" s="1070"/>
      <c r="AU335" s="1070"/>
      <c r="AV335" s="1070"/>
      <c r="AW335" s="1070"/>
      <c r="AX335" s="1070"/>
      <c r="AY335" s="1070"/>
      <c r="AZ335" s="1070"/>
      <c r="BA335" s="1070"/>
      <c r="BB335" s="1070"/>
      <c r="BC335" s="1070"/>
      <c r="BD335" s="1070"/>
      <c r="BE335" s="1070"/>
      <c r="BF335" s="1070"/>
      <c r="BG335" s="1070"/>
      <c r="BH335" s="1070"/>
      <c r="BI335" s="1070"/>
      <c r="BJ335" s="1070"/>
      <c r="BK335" s="1070"/>
      <c r="BL335" s="1070"/>
      <c r="BM335" s="1070"/>
      <c r="BN335" s="1070"/>
      <c r="BO335" s="1070"/>
      <c r="BP335" s="1070"/>
      <c r="BQ335" s="1070"/>
      <c r="BR335" s="1070"/>
      <c r="BS335" s="1070"/>
      <c r="BT335" s="1070"/>
      <c r="BU335" s="1070"/>
      <c r="BV335" s="1070"/>
      <c r="BW335" s="1070"/>
      <c r="BX335" s="1070"/>
      <c r="BY335" s="1070"/>
      <c r="BZ335" s="1070"/>
      <c r="CA335" s="1070"/>
      <c r="CB335" s="1070"/>
      <c r="CC335" s="1070"/>
      <c r="CD335" s="1070"/>
      <c r="CE335" s="1070"/>
      <c r="CF335" s="1070"/>
      <c r="CG335" s="1070"/>
      <c r="CH335" s="1070"/>
      <c r="CI335" s="1070"/>
      <c r="CJ335" s="1070"/>
      <c r="CK335" s="1070"/>
      <c r="CL335" s="1070"/>
      <c r="CM335" s="1070"/>
      <c r="CN335" s="1070"/>
      <c r="CO335" s="1070"/>
      <c r="CP335" s="1070"/>
      <c r="CQ335" s="1070"/>
      <c r="CR335" s="1070"/>
      <c r="CS335" s="1070"/>
      <c r="CT335" s="1070"/>
      <c r="CU335" s="1070"/>
      <c r="CV335" s="1070"/>
      <c r="CW335" s="1070"/>
      <c r="CX335" s="1070"/>
      <c r="CY335" s="1070"/>
      <c r="CZ335" s="1070"/>
      <c r="DA335" s="1070"/>
      <c r="DB335" s="1070"/>
      <c r="DC335" s="1070"/>
      <c r="DD335" s="1070"/>
      <c r="DE335" s="1070"/>
      <c r="DF335" s="1070"/>
      <c r="DG335" s="1070"/>
      <c r="DH335" s="1070"/>
      <c r="DI335" s="1070"/>
      <c r="DJ335" s="1070"/>
    </row>
    <row r="336" spans="1:114" s="1136" customFormat="1" ht="27.75" customHeight="1" x14ac:dyDescent="0.25">
      <c r="A336" s="1954" t="s">
        <v>4823</v>
      </c>
      <c r="B336" s="1406"/>
      <c r="C336" s="1407"/>
      <c r="D336" s="1407"/>
      <c r="E336" s="1407"/>
      <c r="F336" s="1407"/>
      <c r="G336" s="1407"/>
      <c r="H336" s="1070"/>
      <c r="I336" s="1070"/>
      <c r="J336" s="1315"/>
      <c r="K336" s="1316"/>
      <c r="L336" s="1316"/>
      <c r="M336" s="1315"/>
      <c r="N336" s="1070"/>
      <c r="O336" s="1070"/>
      <c r="P336" s="1070"/>
      <c r="Q336" s="1070"/>
      <c r="R336" s="1070"/>
      <c r="S336" s="1070"/>
      <c r="T336" s="1070"/>
      <c r="U336" s="1070"/>
      <c r="V336" s="1070"/>
      <c r="W336" s="1070"/>
      <c r="X336" s="1070"/>
      <c r="Y336" s="1070"/>
      <c r="Z336" s="1070"/>
      <c r="AA336" s="1070"/>
      <c r="AB336" s="1070"/>
      <c r="AC336" s="1070"/>
      <c r="AD336" s="1070"/>
      <c r="AE336" s="1070"/>
      <c r="AF336" s="1070"/>
      <c r="AG336" s="1070"/>
      <c r="AH336" s="1070"/>
      <c r="AI336" s="1070"/>
      <c r="AJ336" s="1070"/>
      <c r="AK336" s="1070"/>
      <c r="AL336" s="1070"/>
      <c r="AM336" s="1070"/>
      <c r="AN336" s="1070"/>
      <c r="AO336" s="1070"/>
      <c r="AP336" s="1070"/>
      <c r="AQ336" s="1070"/>
      <c r="AR336" s="1070"/>
      <c r="AS336" s="1070"/>
      <c r="AT336" s="1070"/>
      <c r="AU336" s="1070"/>
      <c r="AV336" s="1070"/>
      <c r="AW336" s="1070"/>
      <c r="AX336" s="1070"/>
      <c r="AY336" s="1070"/>
      <c r="AZ336" s="1070"/>
      <c r="BA336" s="1070"/>
      <c r="BB336" s="1070"/>
      <c r="BC336" s="1070"/>
      <c r="BD336" s="1070"/>
      <c r="BE336" s="1070"/>
      <c r="BF336" s="1070"/>
      <c r="BG336" s="1070"/>
      <c r="BH336" s="1070"/>
      <c r="BI336" s="1070"/>
      <c r="BJ336" s="1070"/>
      <c r="BK336" s="1070"/>
      <c r="BL336" s="1070"/>
      <c r="BM336" s="1070"/>
      <c r="BN336" s="1070"/>
      <c r="BO336" s="1070"/>
      <c r="BP336" s="1070"/>
      <c r="BQ336" s="1070"/>
      <c r="BR336" s="1070"/>
      <c r="BS336" s="1070"/>
      <c r="BT336" s="1070"/>
      <c r="BU336" s="1070"/>
      <c r="BV336" s="1070"/>
      <c r="BW336" s="1070"/>
      <c r="BX336" s="1070"/>
      <c r="BY336" s="1070"/>
      <c r="BZ336" s="1070"/>
      <c r="CA336" s="1070"/>
      <c r="CB336" s="1070"/>
      <c r="CC336" s="1070"/>
      <c r="CD336" s="1070"/>
      <c r="CE336" s="1070"/>
      <c r="CF336" s="1070"/>
      <c r="CG336" s="1070"/>
      <c r="CH336" s="1070"/>
      <c r="CI336" s="1070"/>
      <c r="CJ336" s="1070"/>
      <c r="CK336" s="1070"/>
      <c r="CL336" s="1070"/>
      <c r="CM336" s="1070"/>
      <c r="CN336" s="1070"/>
      <c r="CO336" s="1070"/>
      <c r="CP336" s="1070"/>
      <c r="CQ336" s="1070"/>
      <c r="CR336" s="1070"/>
      <c r="CS336" s="1070"/>
      <c r="CT336" s="1070"/>
      <c r="CU336" s="1070"/>
      <c r="CV336" s="1070"/>
      <c r="CW336" s="1070"/>
      <c r="CX336" s="1070"/>
      <c r="CY336" s="1070"/>
      <c r="CZ336" s="1070"/>
      <c r="DA336" s="1070"/>
      <c r="DB336" s="1070"/>
      <c r="DC336" s="1070"/>
      <c r="DD336" s="1070"/>
      <c r="DE336" s="1070"/>
      <c r="DF336" s="1070"/>
      <c r="DG336" s="1070"/>
      <c r="DH336" s="1070"/>
      <c r="DI336" s="1070"/>
      <c r="DJ336" s="1070"/>
    </row>
    <row r="337" spans="1:114" s="1136" customFormat="1" ht="27.75" customHeight="1" x14ac:dyDescent="0.2">
      <c r="A337" s="1951" t="s">
        <v>1283</v>
      </c>
      <c r="B337" s="1406">
        <f>IF(B173&lt;1.31,1,IF(B173&lt;1.41,2,IF(B173&lt;1.51,3,IF(B173&lt;1.61,4,IF(B173&lt;1.71,5,IF(B173&lt;1.81,6,B338))))))</f>
        <v>10</v>
      </c>
      <c r="C337" s="1407"/>
      <c r="D337" s="1407"/>
      <c r="E337" s="1407"/>
      <c r="F337" s="1407"/>
      <c r="G337" s="1407"/>
      <c r="H337" s="1070"/>
      <c r="I337" s="1070"/>
      <c r="J337" s="1315"/>
      <c r="K337" s="1316"/>
      <c r="L337" s="1316"/>
      <c r="M337" s="1315"/>
      <c r="N337" s="1070"/>
      <c r="O337" s="1070"/>
      <c r="P337" s="1070"/>
      <c r="Q337" s="1070"/>
      <c r="R337" s="1070"/>
      <c r="S337" s="1070"/>
      <c r="T337" s="1070"/>
      <c r="U337" s="1070"/>
      <c r="V337" s="1070"/>
      <c r="W337" s="1070"/>
      <c r="X337" s="1070"/>
      <c r="Y337" s="1070"/>
      <c r="Z337" s="1070"/>
      <c r="AA337" s="1070"/>
      <c r="AB337" s="1070"/>
      <c r="AC337" s="1070"/>
      <c r="AD337" s="1070"/>
      <c r="AE337" s="1070"/>
      <c r="AF337" s="1070"/>
      <c r="AG337" s="1070"/>
      <c r="AH337" s="1070"/>
      <c r="AI337" s="1070"/>
      <c r="AJ337" s="1070"/>
      <c r="AK337" s="1070"/>
      <c r="AL337" s="1070"/>
      <c r="AM337" s="1070"/>
      <c r="AN337" s="1070"/>
      <c r="AO337" s="1070"/>
      <c r="AP337" s="1070"/>
      <c r="AQ337" s="1070"/>
      <c r="AR337" s="1070"/>
      <c r="AS337" s="1070"/>
      <c r="AT337" s="1070"/>
      <c r="AU337" s="1070"/>
      <c r="AV337" s="1070"/>
      <c r="AW337" s="1070"/>
      <c r="AX337" s="1070"/>
      <c r="AY337" s="1070"/>
      <c r="AZ337" s="1070"/>
      <c r="BA337" s="1070"/>
      <c r="BB337" s="1070"/>
      <c r="BC337" s="1070"/>
      <c r="BD337" s="1070"/>
      <c r="BE337" s="1070"/>
      <c r="BF337" s="1070"/>
      <c r="BG337" s="1070"/>
      <c r="BH337" s="1070"/>
      <c r="BI337" s="1070"/>
      <c r="BJ337" s="1070"/>
      <c r="BK337" s="1070"/>
      <c r="BL337" s="1070"/>
      <c r="BM337" s="1070"/>
      <c r="BN337" s="1070"/>
      <c r="BO337" s="1070"/>
      <c r="BP337" s="1070"/>
      <c r="BQ337" s="1070"/>
      <c r="BR337" s="1070"/>
      <c r="BS337" s="1070"/>
      <c r="BT337" s="1070"/>
      <c r="BU337" s="1070"/>
      <c r="BV337" s="1070"/>
      <c r="BW337" s="1070"/>
      <c r="BX337" s="1070"/>
      <c r="BY337" s="1070"/>
      <c r="BZ337" s="1070"/>
      <c r="CA337" s="1070"/>
      <c r="CB337" s="1070"/>
      <c r="CC337" s="1070"/>
      <c r="CD337" s="1070"/>
      <c r="CE337" s="1070"/>
      <c r="CF337" s="1070"/>
      <c r="CG337" s="1070"/>
      <c r="CH337" s="1070"/>
      <c r="CI337" s="1070"/>
      <c r="CJ337" s="1070"/>
      <c r="CK337" s="1070"/>
      <c r="CL337" s="1070"/>
      <c r="CM337" s="1070"/>
      <c r="CN337" s="1070"/>
      <c r="CO337" s="1070"/>
      <c r="CP337" s="1070"/>
      <c r="CQ337" s="1070"/>
      <c r="CR337" s="1070"/>
      <c r="CS337" s="1070"/>
      <c r="CT337" s="1070"/>
      <c r="CU337" s="1070"/>
      <c r="CV337" s="1070"/>
      <c r="CW337" s="1070"/>
      <c r="CX337" s="1070"/>
      <c r="CY337" s="1070"/>
      <c r="CZ337" s="1070"/>
      <c r="DA337" s="1070"/>
      <c r="DB337" s="1070"/>
      <c r="DC337" s="1070"/>
      <c r="DD337" s="1070"/>
      <c r="DE337" s="1070"/>
      <c r="DF337" s="1070"/>
      <c r="DG337" s="1070"/>
      <c r="DH337" s="1070"/>
      <c r="DI337" s="1070"/>
      <c r="DJ337" s="1070"/>
    </row>
    <row r="338" spans="1:114" s="1136" customFormat="1" ht="27.75" customHeight="1" x14ac:dyDescent="0.2">
      <c r="A338" s="1951" t="s">
        <v>1284</v>
      </c>
      <c r="B338" s="1406">
        <f>IF(B173&lt;1.91,7,IF(B173&lt;2.01,8,IF(B173&lt;2.11,9,10)))</f>
        <v>10</v>
      </c>
      <c r="C338" s="1407"/>
      <c r="D338" s="1407"/>
      <c r="E338" s="1407"/>
      <c r="F338" s="1407"/>
      <c r="G338" s="1407"/>
      <c r="H338" s="1070"/>
      <c r="I338" s="1070"/>
      <c r="J338" s="1315"/>
      <c r="K338" s="1316"/>
      <c r="L338" s="1316"/>
      <c r="M338" s="1315"/>
      <c r="N338" s="1070"/>
      <c r="O338" s="1070"/>
      <c r="P338" s="1070"/>
      <c r="Q338" s="1070"/>
      <c r="R338" s="1070"/>
      <c r="S338" s="1070"/>
      <c r="T338" s="1070"/>
      <c r="U338" s="1070"/>
      <c r="V338" s="1070"/>
      <c r="W338" s="1070"/>
      <c r="X338" s="1070"/>
      <c r="Y338" s="1070"/>
      <c r="Z338" s="1070"/>
      <c r="AA338" s="1070"/>
      <c r="AB338" s="1070"/>
      <c r="AC338" s="1070"/>
      <c r="AD338" s="1070"/>
      <c r="AE338" s="1070"/>
      <c r="AF338" s="1070"/>
      <c r="AG338" s="1070"/>
      <c r="AH338" s="1070"/>
      <c r="AI338" s="1070"/>
      <c r="AJ338" s="1070"/>
      <c r="AK338" s="1070"/>
      <c r="AL338" s="1070"/>
      <c r="AM338" s="1070"/>
      <c r="AN338" s="1070"/>
      <c r="AO338" s="1070"/>
      <c r="AP338" s="1070"/>
      <c r="AQ338" s="1070"/>
      <c r="AR338" s="1070"/>
      <c r="AS338" s="1070"/>
      <c r="AT338" s="1070"/>
      <c r="AU338" s="1070"/>
      <c r="AV338" s="1070"/>
      <c r="AW338" s="1070"/>
      <c r="AX338" s="1070"/>
      <c r="AY338" s="1070"/>
      <c r="AZ338" s="1070"/>
      <c r="BA338" s="1070"/>
      <c r="BB338" s="1070"/>
      <c r="BC338" s="1070"/>
      <c r="BD338" s="1070"/>
      <c r="BE338" s="1070"/>
      <c r="BF338" s="1070"/>
      <c r="BG338" s="1070"/>
      <c r="BH338" s="1070"/>
      <c r="BI338" s="1070"/>
      <c r="BJ338" s="1070"/>
      <c r="BK338" s="1070"/>
      <c r="BL338" s="1070"/>
      <c r="BM338" s="1070"/>
      <c r="BN338" s="1070"/>
      <c r="BO338" s="1070"/>
      <c r="BP338" s="1070"/>
      <c r="BQ338" s="1070"/>
      <c r="BR338" s="1070"/>
      <c r="BS338" s="1070"/>
      <c r="BT338" s="1070"/>
      <c r="BU338" s="1070"/>
      <c r="BV338" s="1070"/>
      <c r="BW338" s="1070"/>
      <c r="BX338" s="1070"/>
      <c r="BY338" s="1070"/>
      <c r="BZ338" s="1070"/>
      <c r="CA338" s="1070"/>
      <c r="CB338" s="1070"/>
      <c r="CC338" s="1070"/>
      <c r="CD338" s="1070"/>
      <c r="CE338" s="1070"/>
      <c r="CF338" s="1070"/>
      <c r="CG338" s="1070"/>
      <c r="CH338" s="1070"/>
      <c r="CI338" s="1070"/>
      <c r="CJ338" s="1070"/>
      <c r="CK338" s="1070"/>
      <c r="CL338" s="1070"/>
      <c r="CM338" s="1070"/>
      <c r="CN338" s="1070"/>
      <c r="CO338" s="1070"/>
      <c r="CP338" s="1070"/>
      <c r="CQ338" s="1070"/>
      <c r="CR338" s="1070"/>
      <c r="CS338" s="1070"/>
      <c r="CT338" s="1070"/>
      <c r="CU338" s="1070"/>
      <c r="CV338" s="1070"/>
      <c r="CW338" s="1070"/>
      <c r="CX338" s="1070"/>
      <c r="CY338" s="1070"/>
      <c r="CZ338" s="1070"/>
      <c r="DA338" s="1070"/>
      <c r="DB338" s="1070"/>
      <c r="DC338" s="1070"/>
      <c r="DD338" s="1070"/>
      <c r="DE338" s="1070"/>
      <c r="DF338" s="1070"/>
      <c r="DG338" s="1070"/>
      <c r="DH338" s="1070"/>
      <c r="DI338" s="1070"/>
      <c r="DJ338" s="1070"/>
    </row>
    <row r="339" spans="1:114" s="1136" customFormat="1" ht="27.75" customHeight="1" x14ac:dyDescent="0.2">
      <c r="A339" s="1951" t="s">
        <v>1732</v>
      </c>
      <c r="B339" s="1406" t="e">
        <f>IF(B365&lt;10,10,IF(B365&gt;15,15,B365))</f>
        <v>#VALUE!</v>
      </c>
      <c r="C339" s="1407"/>
      <c r="D339" s="1407"/>
      <c r="E339" s="1407"/>
      <c r="F339" s="1407"/>
      <c r="G339" s="1407"/>
      <c r="H339" s="1070"/>
      <c r="I339" s="1070"/>
      <c r="J339" s="1315"/>
      <c r="K339" s="1316"/>
      <c r="L339" s="1316"/>
      <c r="M339" s="1315"/>
      <c r="N339" s="1070"/>
      <c r="O339" s="1070"/>
      <c r="P339" s="1070"/>
      <c r="Q339" s="1070"/>
      <c r="R339" s="1070"/>
      <c r="S339" s="1070"/>
      <c r="T339" s="1070"/>
      <c r="U339" s="1070"/>
      <c r="V339" s="1070"/>
      <c r="W339" s="1070"/>
      <c r="X339" s="1070"/>
      <c r="Y339" s="1070"/>
      <c r="Z339" s="1070"/>
      <c r="AA339" s="1070"/>
      <c r="AB339" s="1070"/>
      <c r="AC339" s="1070"/>
      <c r="AD339" s="1070"/>
      <c r="AE339" s="1070"/>
      <c r="AF339" s="1070"/>
      <c r="AG339" s="1070"/>
      <c r="AH339" s="1070"/>
      <c r="AI339" s="1070"/>
      <c r="AJ339" s="1070"/>
      <c r="AK339" s="1070"/>
      <c r="AL339" s="1070"/>
      <c r="AM339" s="1070"/>
      <c r="AN339" s="1070"/>
      <c r="AO339" s="1070"/>
      <c r="AP339" s="1070"/>
      <c r="AQ339" s="1070"/>
      <c r="AR339" s="1070"/>
      <c r="AS339" s="1070"/>
      <c r="AT339" s="1070"/>
      <c r="AU339" s="1070"/>
      <c r="AV339" s="1070"/>
      <c r="AW339" s="1070"/>
      <c r="AX339" s="1070"/>
      <c r="AY339" s="1070"/>
      <c r="AZ339" s="1070"/>
      <c r="BA339" s="1070"/>
      <c r="BB339" s="1070"/>
      <c r="BC339" s="1070"/>
      <c r="BD339" s="1070"/>
      <c r="BE339" s="1070"/>
      <c r="BF339" s="1070"/>
      <c r="BG339" s="1070"/>
      <c r="BH339" s="1070"/>
      <c r="BI339" s="1070"/>
      <c r="BJ339" s="1070"/>
      <c r="BK339" s="1070"/>
      <c r="BL339" s="1070"/>
      <c r="BM339" s="1070"/>
      <c r="BN339" s="1070"/>
      <c r="BO339" s="1070"/>
      <c r="BP339" s="1070"/>
      <c r="BQ339" s="1070"/>
      <c r="BR339" s="1070"/>
      <c r="BS339" s="1070"/>
      <c r="BT339" s="1070"/>
      <c r="BU339" s="1070"/>
      <c r="BV339" s="1070"/>
      <c r="BW339" s="1070"/>
      <c r="BX339" s="1070"/>
      <c r="BY339" s="1070"/>
      <c r="BZ339" s="1070"/>
      <c r="CA339" s="1070"/>
      <c r="CB339" s="1070"/>
      <c r="CC339" s="1070"/>
      <c r="CD339" s="1070"/>
      <c r="CE339" s="1070"/>
      <c r="CF339" s="1070"/>
      <c r="CG339" s="1070"/>
      <c r="CH339" s="1070"/>
      <c r="CI339" s="1070"/>
      <c r="CJ339" s="1070"/>
      <c r="CK339" s="1070"/>
      <c r="CL339" s="1070"/>
      <c r="CM339" s="1070"/>
      <c r="CN339" s="1070"/>
      <c r="CO339" s="1070"/>
      <c r="CP339" s="1070"/>
      <c r="CQ339" s="1070"/>
      <c r="CR339" s="1070"/>
      <c r="CS339" s="1070"/>
      <c r="CT339" s="1070"/>
      <c r="CU339" s="1070"/>
      <c r="CV339" s="1070"/>
      <c r="CW339" s="1070"/>
      <c r="CX339" s="1070"/>
      <c r="CY339" s="1070"/>
      <c r="CZ339" s="1070"/>
      <c r="DA339" s="1070"/>
      <c r="DB339" s="1070"/>
      <c r="DC339" s="1070"/>
      <c r="DD339" s="1070"/>
      <c r="DE339" s="1070"/>
      <c r="DF339" s="1070"/>
      <c r="DG339" s="1070"/>
      <c r="DH339" s="1070"/>
      <c r="DI339" s="1070"/>
      <c r="DJ339" s="1070"/>
    </row>
    <row r="340" spans="1:114" s="1136" customFormat="1" ht="27.75" customHeight="1" x14ac:dyDescent="0.2">
      <c r="A340" s="1951" t="s">
        <v>1285</v>
      </c>
      <c r="B340" s="1406" t="e">
        <f>B339-9</f>
        <v>#VALUE!</v>
      </c>
      <c r="C340" s="1407"/>
      <c r="D340" s="1407"/>
      <c r="E340" s="1407"/>
      <c r="F340" s="1407"/>
      <c r="G340" s="1407"/>
      <c r="H340" s="1070"/>
      <c r="I340" s="1070"/>
      <c r="J340" s="1315"/>
      <c r="K340" s="1316"/>
      <c r="L340" s="1316"/>
      <c r="M340" s="1315"/>
      <c r="N340" s="1070"/>
      <c r="O340" s="1070"/>
      <c r="P340" s="1070"/>
      <c r="Q340" s="1070"/>
      <c r="R340" s="1070"/>
      <c r="S340" s="1070"/>
      <c r="T340" s="1070"/>
      <c r="U340" s="1070"/>
      <c r="V340" s="1070"/>
      <c r="W340" s="1070"/>
      <c r="X340" s="1070"/>
      <c r="Y340" s="1070"/>
      <c r="Z340" s="1070"/>
      <c r="AA340" s="1070"/>
      <c r="AB340" s="1070"/>
      <c r="AC340" s="1070"/>
      <c r="AD340" s="1070"/>
      <c r="AE340" s="1070"/>
      <c r="AF340" s="1070"/>
      <c r="AG340" s="1070"/>
      <c r="AH340" s="1070"/>
      <c r="AI340" s="1070"/>
      <c r="AJ340" s="1070"/>
      <c r="AK340" s="1070"/>
      <c r="AL340" s="1070"/>
      <c r="AM340" s="1070"/>
      <c r="AN340" s="1070"/>
      <c r="AO340" s="1070"/>
      <c r="AP340" s="1070"/>
      <c r="AQ340" s="1070"/>
      <c r="AR340" s="1070"/>
      <c r="AS340" s="1070"/>
      <c r="AT340" s="1070"/>
      <c r="AU340" s="1070"/>
      <c r="AV340" s="1070"/>
      <c r="AW340" s="1070"/>
      <c r="AX340" s="1070"/>
      <c r="AY340" s="1070"/>
      <c r="AZ340" s="1070"/>
      <c r="BA340" s="1070"/>
      <c r="BB340" s="1070"/>
      <c r="BC340" s="1070"/>
      <c r="BD340" s="1070"/>
      <c r="BE340" s="1070"/>
      <c r="BF340" s="1070"/>
      <c r="BG340" s="1070"/>
      <c r="BH340" s="1070"/>
      <c r="BI340" s="1070"/>
      <c r="BJ340" s="1070"/>
      <c r="BK340" s="1070"/>
      <c r="BL340" s="1070"/>
      <c r="BM340" s="1070"/>
      <c r="BN340" s="1070"/>
      <c r="BO340" s="1070"/>
      <c r="BP340" s="1070"/>
      <c r="BQ340" s="1070"/>
      <c r="BR340" s="1070"/>
      <c r="BS340" s="1070"/>
      <c r="BT340" s="1070"/>
      <c r="BU340" s="1070"/>
      <c r="BV340" s="1070"/>
      <c r="BW340" s="1070"/>
      <c r="BX340" s="1070"/>
      <c r="BY340" s="1070"/>
      <c r="BZ340" s="1070"/>
      <c r="CA340" s="1070"/>
      <c r="CB340" s="1070"/>
      <c r="CC340" s="1070"/>
      <c r="CD340" s="1070"/>
      <c r="CE340" s="1070"/>
      <c r="CF340" s="1070"/>
      <c r="CG340" s="1070"/>
      <c r="CH340" s="1070"/>
      <c r="CI340" s="1070"/>
      <c r="CJ340" s="1070"/>
      <c r="CK340" s="1070"/>
      <c r="CL340" s="1070"/>
      <c r="CM340" s="1070"/>
      <c r="CN340" s="1070"/>
      <c r="CO340" s="1070"/>
      <c r="CP340" s="1070"/>
      <c r="CQ340" s="1070"/>
      <c r="CR340" s="1070"/>
      <c r="CS340" s="1070"/>
      <c r="CT340" s="1070"/>
      <c r="CU340" s="1070"/>
      <c r="CV340" s="1070"/>
      <c r="CW340" s="1070"/>
      <c r="CX340" s="1070"/>
      <c r="CY340" s="1070"/>
      <c r="CZ340" s="1070"/>
      <c r="DA340" s="1070"/>
      <c r="DB340" s="1070"/>
      <c r="DC340" s="1070"/>
      <c r="DD340" s="1070"/>
      <c r="DE340" s="1070"/>
      <c r="DF340" s="1070"/>
      <c r="DG340" s="1070"/>
      <c r="DH340" s="1070"/>
      <c r="DI340" s="1070"/>
      <c r="DJ340" s="1070"/>
    </row>
    <row r="341" spans="1:114" s="1136" customFormat="1" ht="27.75" customHeight="1" x14ac:dyDescent="0.25">
      <c r="A341" s="1953" t="s">
        <v>1286</v>
      </c>
      <c r="B341" s="1406">
        <v>5.4450000000000003</v>
      </c>
      <c r="C341" s="1407"/>
      <c r="D341" s="1407"/>
      <c r="E341" s="1407"/>
      <c r="F341" s="1407"/>
      <c r="G341" s="1407"/>
      <c r="H341" s="1070"/>
      <c r="I341" s="1070"/>
      <c r="J341" s="1315"/>
      <c r="K341" s="1316"/>
      <c r="L341" s="1316"/>
      <c r="M341" s="1315"/>
      <c r="N341" s="1070"/>
      <c r="O341" s="1070"/>
      <c r="P341" s="1070"/>
      <c r="Q341" s="1070"/>
      <c r="R341" s="1070"/>
      <c r="S341" s="1070"/>
      <c r="T341" s="1070"/>
      <c r="U341" s="1070"/>
      <c r="V341" s="1070"/>
      <c r="W341" s="1070"/>
      <c r="X341" s="1070"/>
      <c r="Y341" s="1070"/>
      <c r="Z341" s="1070"/>
      <c r="AA341" s="1070"/>
      <c r="AB341" s="1070"/>
      <c r="AC341" s="1070"/>
      <c r="AD341" s="1070"/>
      <c r="AE341" s="1070"/>
      <c r="AF341" s="1070"/>
      <c r="AG341" s="1070"/>
      <c r="AH341" s="1070"/>
      <c r="AI341" s="1070"/>
      <c r="AJ341" s="1070"/>
      <c r="AK341" s="1070"/>
      <c r="AL341" s="1070"/>
      <c r="AM341" s="1070"/>
      <c r="AN341" s="1070"/>
      <c r="AO341" s="1070"/>
      <c r="AP341" s="1070"/>
      <c r="AQ341" s="1070"/>
      <c r="AR341" s="1070"/>
      <c r="AS341" s="1070"/>
      <c r="AT341" s="1070"/>
      <c r="AU341" s="1070"/>
      <c r="AV341" s="1070"/>
      <c r="AW341" s="1070"/>
      <c r="AX341" s="1070"/>
      <c r="AY341" s="1070"/>
      <c r="AZ341" s="1070"/>
      <c r="BA341" s="1070"/>
      <c r="BB341" s="1070"/>
      <c r="BC341" s="1070"/>
      <c r="BD341" s="1070"/>
      <c r="BE341" s="1070"/>
      <c r="BF341" s="1070"/>
      <c r="BG341" s="1070"/>
      <c r="BH341" s="1070"/>
      <c r="BI341" s="1070"/>
      <c r="BJ341" s="1070"/>
      <c r="BK341" s="1070"/>
      <c r="BL341" s="1070"/>
      <c r="BM341" s="1070"/>
      <c r="BN341" s="1070"/>
      <c r="BO341" s="1070"/>
      <c r="BP341" s="1070"/>
      <c r="BQ341" s="1070"/>
      <c r="BR341" s="1070"/>
      <c r="BS341" s="1070"/>
      <c r="BT341" s="1070"/>
      <c r="BU341" s="1070"/>
      <c r="BV341" s="1070"/>
      <c r="BW341" s="1070"/>
      <c r="BX341" s="1070"/>
      <c r="BY341" s="1070"/>
      <c r="BZ341" s="1070"/>
      <c r="CA341" s="1070"/>
      <c r="CB341" s="1070"/>
      <c r="CC341" s="1070"/>
      <c r="CD341" s="1070"/>
      <c r="CE341" s="1070"/>
      <c r="CF341" s="1070"/>
      <c r="CG341" s="1070"/>
      <c r="CH341" s="1070"/>
      <c r="CI341" s="1070"/>
      <c r="CJ341" s="1070"/>
      <c r="CK341" s="1070"/>
      <c r="CL341" s="1070"/>
      <c r="CM341" s="1070"/>
      <c r="CN341" s="1070"/>
      <c r="CO341" s="1070"/>
      <c r="CP341" s="1070"/>
      <c r="CQ341" s="1070"/>
      <c r="CR341" s="1070"/>
      <c r="CS341" s="1070"/>
      <c r="CT341" s="1070"/>
      <c r="CU341" s="1070"/>
      <c r="CV341" s="1070"/>
      <c r="CW341" s="1070"/>
      <c r="CX341" s="1070"/>
      <c r="CY341" s="1070"/>
      <c r="CZ341" s="1070"/>
      <c r="DA341" s="1070"/>
      <c r="DB341" s="1070"/>
      <c r="DC341" s="1070"/>
      <c r="DD341" s="1070"/>
      <c r="DE341" s="1070"/>
      <c r="DF341" s="1070"/>
      <c r="DG341" s="1070"/>
      <c r="DH341" s="1070"/>
      <c r="DI341" s="1070"/>
      <c r="DJ341" s="1070"/>
    </row>
    <row r="342" spans="1:114" s="1136" customFormat="1" ht="27.75" customHeight="1" x14ac:dyDescent="0.2">
      <c r="A342" s="1951" t="s">
        <v>1278</v>
      </c>
      <c r="B342" s="1406" t="b">
        <v>0</v>
      </c>
      <c r="C342" s="1407"/>
      <c r="D342" s="1407"/>
      <c r="E342" s="1407"/>
      <c r="F342" s="1407"/>
      <c r="G342" s="1407"/>
      <c r="H342" s="1070"/>
      <c r="I342" s="1070"/>
      <c r="J342" s="1315"/>
      <c r="K342" s="1316"/>
      <c r="L342" s="1316"/>
      <c r="M342" s="1315"/>
      <c r="N342" s="1070"/>
      <c r="O342" s="1070"/>
      <c r="P342" s="1070"/>
      <c r="Q342" s="1070"/>
      <c r="R342" s="1070"/>
      <c r="S342" s="1070"/>
      <c r="T342" s="1070"/>
      <c r="U342" s="1070"/>
      <c r="V342" s="1070"/>
      <c r="W342" s="1070"/>
      <c r="X342" s="1070"/>
      <c r="Y342" s="1070"/>
      <c r="Z342" s="1070"/>
      <c r="AA342" s="1070"/>
      <c r="AB342" s="1070"/>
      <c r="AC342" s="1070"/>
      <c r="AD342" s="1070"/>
      <c r="AE342" s="1070"/>
      <c r="AF342" s="1070"/>
      <c r="AG342" s="1070"/>
      <c r="AH342" s="1070"/>
      <c r="AI342" s="1070"/>
      <c r="AJ342" s="1070"/>
      <c r="AK342" s="1070"/>
      <c r="AL342" s="1070"/>
      <c r="AM342" s="1070"/>
      <c r="AN342" s="1070"/>
      <c r="AO342" s="1070"/>
      <c r="AP342" s="1070"/>
      <c r="AQ342" s="1070"/>
      <c r="AR342" s="1070"/>
      <c r="AS342" s="1070"/>
      <c r="AT342" s="1070"/>
      <c r="AU342" s="1070"/>
      <c r="AV342" s="1070"/>
      <c r="AW342" s="1070"/>
      <c r="AX342" s="1070"/>
      <c r="AY342" s="1070"/>
      <c r="AZ342" s="1070"/>
      <c r="BA342" s="1070"/>
      <c r="BB342" s="1070"/>
      <c r="BC342" s="1070"/>
      <c r="BD342" s="1070"/>
      <c r="BE342" s="1070"/>
      <c r="BF342" s="1070"/>
      <c r="BG342" s="1070"/>
      <c r="BH342" s="1070"/>
      <c r="BI342" s="1070"/>
      <c r="BJ342" s="1070"/>
      <c r="BK342" s="1070"/>
      <c r="BL342" s="1070"/>
      <c r="BM342" s="1070"/>
      <c r="BN342" s="1070"/>
      <c r="BO342" s="1070"/>
      <c r="BP342" s="1070"/>
      <c r="BQ342" s="1070"/>
      <c r="BR342" s="1070"/>
      <c r="BS342" s="1070"/>
      <c r="BT342" s="1070"/>
      <c r="BU342" s="1070"/>
      <c r="BV342" s="1070"/>
      <c r="BW342" s="1070"/>
      <c r="BX342" s="1070"/>
      <c r="BY342" s="1070"/>
      <c r="BZ342" s="1070"/>
      <c r="CA342" s="1070"/>
      <c r="CB342" s="1070"/>
      <c r="CC342" s="1070"/>
      <c r="CD342" s="1070"/>
      <c r="CE342" s="1070"/>
      <c r="CF342" s="1070"/>
      <c r="CG342" s="1070"/>
      <c r="CH342" s="1070"/>
      <c r="CI342" s="1070"/>
      <c r="CJ342" s="1070"/>
      <c r="CK342" s="1070"/>
      <c r="CL342" s="1070"/>
      <c r="CM342" s="1070"/>
      <c r="CN342" s="1070"/>
      <c r="CO342" s="1070"/>
      <c r="CP342" s="1070"/>
      <c r="CQ342" s="1070"/>
      <c r="CR342" s="1070"/>
      <c r="CS342" s="1070"/>
      <c r="CT342" s="1070"/>
      <c r="CU342" s="1070"/>
      <c r="CV342" s="1070"/>
      <c r="CW342" s="1070"/>
      <c r="CX342" s="1070"/>
      <c r="CY342" s="1070"/>
      <c r="CZ342" s="1070"/>
      <c r="DA342" s="1070"/>
      <c r="DB342" s="1070"/>
      <c r="DC342" s="1070"/>
      <c r="DD342" s="1070"/>
      <c r="DE342" s="1070"/>
      <c r="DF342" s="1070"/>
      <c r="DG342" s="1070"/>
      <c r="DH342" s="1070"/>
      <c r="DI342" s="1070"/>
      <c r="DJ342" s="1070"/>
    </row>
    <row r="343" spans="1:114" s="1136" customFormat="1" ht="27.75" customHeight="1" x14ac:dyDescent="0.2">
      <c r="A343" s="1951" t="s">
        <v>1278</v>
      </c>
      <c r="B343" s="1406" t="b">
        <v>0</v>
      </c>
      <c r="C343" s="1407"/>
      <c r="D343" s="1407"/>
      <c r="E343" s="1407"/>
      <c r="F343" s="1407"/>
      <c r="G343" s="1407"/>
      <c r="H343" s="1070"/>
      <c r="I343" s="1070"/>
      <c r="J343" s="1315"/>
      <c r="K343" s="1316"/>
      <c r="L343" s="1316"/>
      <c r="M343" s="1315"/>
      <c r="N343" s="1070"/>
      <c r="O343" s="1070"/>
      <c r="P343" s="1070"/>
      <c r="Q343" s="1070"/>
      <c r="R343" s="1070"/>
      <c r="S343" s="1070"/>
      <c r="T343" s="1070"/>
      <c r="U343" s="1070"/>
      <c r="V343" s="1070"/>
      <c r="W343" s="1070"/>
      <c r="X343" s="1070"/>
      <c r="Y343" s="1070"/>
      <c r="Z343" s="1070"/>
      <c r="AA343" s="1070"/>
      <c r="AB343" s="1070"/>
      <c r="AC343" s="1070"/>
      <c r="AD343" s="1070"/>
      <c r="AE343" s="1070"/>
      <c r="AF343" s="1070"/>
      <c r="AG343" s="1070"/>
      <c r="AH343" s="1070"/>
      <c r="AI343" s="1070"/>
      <c r="AJ343" s="1070"/>
      <c r="AK343" s="1070"/>
      <c r="AL343" s="1070"/>
      <c r="AM343" s="1070"/>
      <c r="AN343" s="1070"/>
      <c r="AO343" s="1070"/>
      <c r="AP343" s="1070"/>
      <c r="AQ343" s="1070"/>
      <c r="AR343" s="1070"/>
      <c r="AS343" s="1070"/>
      <c r="AT343" s="1070"/>
      <c r="AU343" s="1070"/>
      <c r="AV343" s="1070"/>
      <c r="AW343" s="1070"/>
      <c r="AX343" s="1070"/>
      <c r="AY343" s="1070"/>
      <c r="AZ343" s="1070"/>
      <c r="BA343" s="1070"/>
      <c r="BB343" s="1070"/>
      <c r="BC343" s="1070"/>
      <c r="BD343" s="1070"/>
      <c r="BE343" s="1070"/>
      <c r="BF343" s="1070"/>
      <c r="BG343" s="1070"/>
      <c r="BH343" s="1070"/>
      <c r="BI343" s="1070"/>
      <c r="BJ343" s="1070"/>
      <c r="BK343" s="1070"/>
      <c r="BL343" s="1070"/>
      <c r="BM343" s="1070"/>
      <c r="BN343" s="1070"/>
      <c r="BO343" s="1070"/>
      <c r="BP343" s="1070"/>
      <c r="BQ343" s="1070"/>
      <c r="BR343" s="1070"/>
      <c r="BS343" s="1070"/>
      <c r="BT343" s="1070"/>
      <c r="BU343" s="1070"/>
      <c r="BV343" s="1070"/>
      <c r="BW343" s="1070"/>
      <c r="BX343" s="1070"/>
      <c r="BY343" s="1070"/>
      <c r="BZ343" s="1070"/>
      <c r="CA343" s="1070"/>
      <c r="CB343" s="1070"/>
      <c r="CC343" s="1070"/>
      <c r="CD343" s="1070"/>
      <c r="CE343" s="1070"/>
      <c r="CF343" s="1070"/>
      <c r="CG343" s="1070"/>
      <c r="CH343" s="1070"/>
      <c r="CI343" s="1070"/>
      <c r="CJ343" s="1070"/>
      <c r="CK343" s="1070"/>
      <c r="CL343" s="1070"/>
      <c r="CM343" s="1070"/>
      <c r="CN343" s="1070"/>
      <c r="CO343" s="1070"/>
      <c r="CP343" s="1070"/>
      <c r="CQ343" s="1070"/>
      <c r="CR343" s="1070"/>
      <c r="CS343" s="1070"/>
      <c r="CT343" s="1070"/>
      <c r="CU343" s="1070"/>
      <c r="CV343" s="1070"/>
      <c r="CW343" s="1070"/>
      <c r="CX343" s="1070"/>
      <c r="CY343" s="1070"/>
      <c r="CZ343" s="1070"/>
      <c r="DA343" s="1070"/>
      <c r="DB343" s="1070"/>
      <c r="DC343" s="1070"/>
      <c r="DD343" s="1070"/>
      <c r="DE343" s="1070"/>
      <c r="DF343" s="1070"/>
      <c r="DG343" s="1070"/>
      <c r="DH343" s="1070"/>
      <c r="DI343" s="1070"/>
      <c r="DJ343" s="1070"/>
    </row>
    <row r="344" spans="1:114" s="1136" customFormat="1" ht="27.75" customHeight="1" x14ac:dyDescent="0.2">
      <c r="A344" s="1951" t="s">
        <v>1278</v>
      </c>
      <c r="B344" s="1406" t="b">
        <v>0</v>
      </c>
      <c r="C344" s="1407"/>
      <c r="D344" s="1407"/>
      <c r="E344" s="1407"/>
      <c r="F344" s="1407"/>
      <c r="G344" s="1407"/>
      <c r="H344" s="1070"/>
      <c r="I344" s="1070"/>
      <c r="J344" s="1315"/>
      <c r="K344" s="1316"/>
      <c r="L344" s="1316"/>
      <c r="M344" s="1315"/>
      <c r="N344" s="1070"/>
      <c r="O344" s="1070"/>
      <c r="P344" s="1070"/>
      <c r="Q344" s="1070"/>
      <c r="R344" s="1070"/>
      <c r="S344" s="1070"/>
      <c r="T344" s="1070"/>
      <c r="U344" s="1070"/>
      <c r="V344" s="1070"/>
      <c r="W344" s="1070"/>
      <c r="X344" s="1070"/>
      <c r="Y344" s="1070"/>
      <c r="Z344" s="1070"/>
      <c r="AA344" s="1070"/>
      <c r="AB344" s="1070"/>
      <c r="AC344" s="1070"/>
      <c r="AD344" s="1070"/>
      <c r="AE344" s="1070"/>
      <c r="AF344" s="1070"/>
      <c r="AG344" s="1070"/>
      <c r="AH344" s="1070"/>
      <c r="AI344" s="1070"/>
      <c r="AJ344" s="1070"/>
      <c r="AK344" s="1070"/>
      <c r="AL344" s="1070"/>
      <c r="AM344" s="1070"/>
      <c r="AN344" s="1070"/>
      <c r="AO344" s="1070"/>
      <c r="AP344" s="1070"/>
      <c r="AQ344" s="1070"/>
      <c r="AR344" s="1070"/>
      <c r="AS344" s="1070"/>
      <c r="AT344" s="1070"/>
      <c r="AU344" s="1070"/>
      <c r="AV344" s="1070"/>
      <c r="AW344" s="1070"/>
      <c r="AX344" s="1070"/>
      <c r="AY344" s="1070"/>
      <c r="AZ344" s="1070"/>
      <c r="BA344" s="1070"/>
      <c r="BB344" s="1070"/>
      <c r="BC344" s="1070"/>
      <c r="BD344" s="1070"/>
      <c r="BE344" s="1070"/>
      <c r="BF344" s="1070"/>
      <c r="BG344" s="1070"/>
      <c r="BH344" s="1070"/>
      <c r="BI344" s="1070"/>
      <c r="BJ344" s="1070"/>
      <c r="BK344" s="1070"/>
      <c r="BL344" s="1070"/>
      <c r="BM344" s="1070"/>
      <c r="BN344" s="1070"/>
      <c r="BO344" s="1070"/>
      <c r="BP344" s="1070"/>
      <c r="BQ344" s="1070"/>
      <c r="BR344" s="1070"/>
      <c r="BS344" s="1070"/>
      <c r="BT344" s="1070"/>
      <c r="BU344" s="1070"/>
      <c r="BV344" s="1070"/>
      <c r="BW344" s="1070"/>
      <c r="BX344" s="1070"/>
      <c r="BY344" s="1070"/>
      <c r="BZ344" s="1070"/>
      <c r="CA344" s="1070"/>
      <c r="CB344" s="1070"/>
      <c r="CC344" s="1070"/>
      <c r="CD344" s="1070"/>
      <c r="CE344" s="1070"/>
      <c r="CF344" s="1070"/>
      <c r="CG344" s="1070"/>
      <c r="CH344" s="1070"/>
      <c r="CI344" s="1070"/>
      <c r="CJ344" s="1070"/>
      <c r="CK344" s="1070"/>
      <c r="CL344" s="1070"/>
      <c r="CM344" s="1070"/>
      <c r="CN344" s="1070"/>
      <c r="CO344" s="1070"/>
      <c r="CP344" s="1070"/>
      <c r="CQ344" s="1070"/>
      <c r="CR344" s="1070"/>
      <c r="CS344" s="1070"/>
      <c r="CT344" s="1070"/>
      <c r="CU344" s="1070"/>
      <c r="CV344" s="1070"/>
      <c r="CW344" s="1070"/>
      <c r="CX344" s="1070"/>
      <c r="CY344" s="1070"/>
      <c r="CZ344" s="1070"/>
      <c r="DA344" s="1070"/>
      <c r="DB344" s="1070"/>
      <c r="DC344" s="1070"/>
      <c r="DD344" s="1070"/>
      <c r="DE344" s="1070"/>
      <c r="DF344" s="1070"/>
      <c r="DG344" s="1070"/>
      <c r="DH344" s="1070"/>
      <c r="DI344" s="1070"/>
      <c r="DJ344" s="1070"/>
    </row>
    <row r="345" spans="1:114" s="1136" customFormat="1" ht="27.75" customHeight="1" x14ac:dyDescent="0.25">
      <c r="A345" s="1953" t="s">
        <v>1287</v>
      </c>
      <c r="B345" s="1406">
        <v>254</v>
      </c>
      <c r="C345" s="1407"/>
      <c r="D345" s="1407"/>
      <c r="E345" s="1407"/>
      <c r="F345" s="1407"/>
      <c r="G345" s="1407"/>
      <c r="H345" s="1070"/>
      <c r="I345" s="1070"/>
      <c r="J345" s="1315"/>
      <c r="K345" s="1316"/>
      <c r="L345" s="1316"/>
      <c r="M345" s="1315"/>
      <c r="N345" s="1070"/>
      <c r="O345" s="1070"/>
      <c r="P345" s="1070"/>
      <c r="Q345" s="1070"/>
      <c r="R345" s="1070"/>
      <c r="S345" s="1070"/>
      <c r="T345" s="1070"/>
      <c r="U345" s="1070"/>
      <c r="V345" s="1070"/>
      <c r="W345" s="1070"/>
      <c r="X345" s="1070"/>
      <c r="Y345" s="1070"/>
      <c r="Z345" s="1070"/>
      <c r="AA345" s="1070"/>
      <c r="AB345" s="1070"/>
      <c r="AC345" s="1070"/>
      <c r="AD345" s="1070"/>
      <c r="AE345" s="1070"/>
      <c r="AF345" s="1070"/>
      <c r="AG345" s="1070"/>
      <c r="AH345" s="1070"/>
      <c r="AI345" s="1070"/>
      <c r="AJ345" s="1070"/>
      <c r="AK345" s="1070"/>
      <c r="AL345" s="1070"/>
      <c r="AM345" s="1070"/>
      <c r="AN345" s="1070"/>
      <c r="AO345" s="1070"/>
      <c r="AP345" s="1070"/>
      <c r="AQ345" s="1070"/>
      <c r="AR345" s="1070"/>
      <c r="AS345" s="1070"/>
      <c r="AT345" s="1070"/>
      <c r="AU345" s="1070"/>
      <c r="AV345" s="1070"/>
      <c r="AW345" s="1070"/>
      <c r="AX345" s="1070"/>
      <c r="AY345" s="1070"/>
      <c r="AZ345" s="1070"/>
      <c r="BA345" s="1070"/>
      <c r="BB345" s="1070"/>
      <c r="BC345" s="1070"/>
      <c r="BD345" s="1070"/>
      <c r="BE345" s="1070"/>
      <c r="BF345" s="1070"/>
      <c r="BG345" s="1070"/>
      <c r="BH345" s="1070"/>
      <c r="BI345" s="1070"/>
      <c r="BJ345" s="1070"/>
      <c r="BK345" s="1070"/>
      <c r="BL345" s="1070"/>
      <c r="BM345" s="1070"/>
      <c r="BN345" s="1070"/>
      <c r="BO345" s="1070"/>
      <c r="BP345" s="1070"/>
      <c r="BQ345" s="1070"/>
      <c r="BR345" s="1070"/>
      <c r="BS345" s="1070"/>
      <c r="BT345" s="1070"/>
      <c r="BU345" s="1070"/>
      <c r="BV345" s="1070"/>
      <c r="BW345" s="1070"/>
      <c r="BX345" s="1070"/>
      <c r="BY345" s="1070"/>
      <c r="BZ345" s="1070"/>
      <c r="CA345" s="1070"/>
      <c r="CB345" s="1070"/>
      <c r="CC345" s="1070"/>
      <c r="CD345" s="1070"/>
      <c r="CE345" s="1070"/>
      <c r="CF345" s="1070"/>
      <c r="CG345" s="1070"/>
      <c r="CH345" s="1070"/>
      <c r="CI345" s="1070"/>
      <c r="CJ345" s="1070"/>
      <c r="CK345" s="1070"/>
      <c r="CL345" s="1070"/>
      <c r="CM345" s="1070"/>
      <c r="CN345" s="1070"/>
      <c r="CO345" s="1070"/>
      <c r="CP345" s="1070"/>
      <c r="CQ345" s="1070"/>
      <c r="CR345" s="1070"/>
      <c r="CS345" s="1070"/>
      <c r="CT345" s="1070"/>
      <c r="CU345" s="1070"/>
      <c r="CV345" s="1070"/>
      <c r="CW345" s="1070"/>
      <c r="CX345" s="1070"/>
      <c r="CY345" s="1070"/>
      <c r="CZ345" s="1070"/>
      <c r="DA345" s="1070"/>
      <c r="DB345" s="1070"/>
      <c r="DC345" s="1070"/>
      <c r="DD345" s="1070"/>
      <c r="DE345" s="1070"/>
      <c r="DF345" s="1070"/>
      <c r="DG345" s="1070"/>
      <c r="DH345" s="1070"/>
      <c r="DI345" s="1070"/>
      <c r="DJ345" s="1070"/>
    </row>
    <row r="346" spans="1:114" s="1136" customFormat="1" ht="27.75" customHeight="1" x14ac:dyDescent="0.2">
      <c r="A346" s="1951" t="s">
        <v>1278</v>
      </c>
      <c r="B346" s="1406" t="b">
        <v>0</v>
      </c>
      <c r="C346" s="1407"/>
      <c r="D346" s="1407"/>
      <c r="E346" s="1407"/>
      <c r="F346" s="1407"/>
      <c r="G346" s="1407"/>
      <c r="H346" s="1070"/>
      <c r="I346" s="1070"/>
      <c r="J346" s="1315"/>
      <c r="K346" s="1316"/>
      <c r="L346" s="1316"/>
      <c r="M346" s="1315"/>
      <c r="N346" s="1070"/>
      <c r="O346" s="1070"/>
      <c r="P346" s="1070"/>
      <c r="Q346" s="1070"/>
      <c r="R346" s="1070"/>
      <c r="S346" s="1070"/>
      <c r="T346" s="1070"/>
      <c r="U346" s="1070"/>
      <c r="V346" s="1070"/>
      <c r="W346" s="1070"/>
      <c r="X346" s="1070"/>
      <c r="Y346" s="1070"/>
      <c r="Z346" s="1070"/>
      <c r="AA346" s="1070"/>
      <c r="AB346" s="1070"/>
      <c r="AC346" s="1070"/>
      <c r="AD346" s="1070"/>
      <c r="AE346" s="1070"/>
      <c r="AF346" s="1070"/>
      <c r="AG346" s="1070"/>
      <c r="AH346" s="1070"/>
      <c r="AI346" s="1070"/>
      <c r="AJ346" s="1070"/>
      <c r="AK346" s="1070"/>
      <c r="AL346" s="1070"/>
      <c r="AM346" s="1070"/>
      <c r="AN346" s="1070"/>
      <c r="AO346" s="1070"/>
      <c r="AP346" s="1070"/>
      <c r="AQ346" s="1070"/>
      <c r="AR346" s="1070"/>
      <c r="AS346" s="1070"/>
      <c r="AT346" s="1070"/>
      <c r="AU346" s="1070"/>
      <c r="AV346" s="1070"/>
      <c r="AW346" s="1070"/>
      <c r="AX346" s="1070"/>
      <c r="AY346" s="1070"/>
      <c r="AZ346" s="1070"/>
      <c r="BA346" s="1070"/>
      <c r="BB346" s="1070"/>
      <c r="BC346" s="1070"/>
      <c r="BD346" s="1070"/>
      <c r="BE346" s="1070"/>
      <c r="BF346" s="1070"/>
      <c r="BG346" s="1070"/>
      <c r="BH346" s="1070"/>
      <c r="BI346" s="1070"/>
      <c r="BJ346" s="1070"/>
      <c r="BK346" s="1070"/>
      <c r="BL346" s="1070"/>
      <c r="BM346" s="1070"/>
      <c r="BN346" s="1070"/>
      <c r="BO346" s="1070"/>
      <c r="BP346" s="1070"/>
      <c r="BQ346" s="1070"/>
      <c r="BR346" s="1070"/>
      <c r="BS346" s="1070"/>
      <c r="BT346" s="1070"/>
      <c r="BU346" s="1070"/>
      <c r="BV346" s="1070"/>
      <c r="BW346" s="1070"/>
      <c r="BX346" s="1070"/>
      <c r="BY346" s="1070"/>
      <c r="BZ346" s="1070"/>
      <c r="CA346" s="1070"/>
      <c r="CB346" s="1070"/>
      <c r="CC346" s="1070"/>
      <c r="CD346" s="1070"/>
      <c r="CE346" s="1070"/>
      <c r="CF346" s="1070"/>
      <c r="CG346" s="1070"/>
      <c r="CH346" s="1070"/>
      <c r="CI346" s="1070"/>
      <c r="CJ346" s="1070"/>
      <c r="CK346" s="1070"/>
      <c r="CL346" s="1070"/>
      <c r="CM346" s="1070"/>
      <c r="CN346" s="1070"/>
      <c r="CO346" s="1070"/>
      <c r="CP346" s="1070"/>
      <c r="CQ346" s="1070"/>
      <c r="CR346" s="1070"/>
      <c r="CS346" s="1070"/>
      <c r="CT346" s="1070"/>
      <c r="CU346" s="1070"/>
      <c r="CV346" s="1070"/>
      <c r="CW346" s="1070"/>
      <c r="CX346" s="1070"/>
      <c r="CY346" s="1070"/>
      <c r="CZ346" s="1070"/>
      <c r="DA346" s="1070"/>
      <c r="DB346" s="1070"/>
      <c r="DC346" s="1070"/>
      <c r="DD346" s="1070"/>
      <c r="DE346" s="1070"/>
      <c r="DF346" s="1070"/>
      <c r="DG346" s="1070"/>
      <c r="DH346" s="1070"/>
      <c r="DI346" s="1070"/>
      <c r="DJ346" s="1070"/>
    </row>
    <row r="347" spans="1:114" s="1136" customFormat="1" ht="27.75" customHeight="1" x14ac:dyDescent="0.2">
      <c r="A347" s="1951" t="s">
        <v>1278</v>
      </c>
      <c r="B347" s="1406" t="b">
        <v>0</v>
      </c>
      <c r="C347" s="1407"/>
      <c r="D347" s="1407"/>
      <c r="E347" s="1407"/>
      <c r="F347" s="1407"/>
      <c r="G347" s="1407"/>
      <c r="H347" s="1070"/>
      <c r="I347" s="1070"/>
      <c r="J347" s="1315"/>
      <c r="K347" s="1316"/>
      <c r="L347" s="1316"/>
      <c r="M347" s="1315"/>
      <c r="N347" s="1070"/>
      <c r="O347" s="1070"/>
      <c r="P347" s="1070"/>
      <c r="Q347" s="1070"/>
      <c r="R347" s="1070"/>
      <c r="S347" s="1070"/>
      <c r="T347" s="1070"/>
      <c r="U347" s="1070"/>
      <c r="V347" s="1070"/>
      <c r="W347" s="1070"/>
      <c r="X347" s="1070"/>
      <c r="Y347" s="1070"/>
      <c r="Z347" s="1070"/>
      <c r="AA347" s="1070"/>
      <c r="AB347" s="1070"/>
      <c r="AC347" s="1070"/>
      <c r="AD347" s="1070"/>
      <c r="AE347" s="1070"/>
      <c r="AF347" s="1070"/>
      <c r="AG347" s="1070"/>
      <c r="AH347" s="1070"/>
      <c r="AI347" s="1070"/>
      <c r="AJ347" s="1070"/>
      <c r="AK347" s="1070"/>
      <c r="AL347" s="1070"/>
      <c r="AM347" s="1070"/>
      <c r="AN347" s="1070"/>
      <c r="AO347" s="1070"/>
      <c r="AP347" s="1070"/>
      <c r="AQ347" s="1070"/>
      <c r="AR347" s="1070"/>
      <c r="AS347" s="1070"/>
      <c r="AT347" s="1070"/>
      <c r="AU347" s="1070"/>
      <c r="AV347" s="1070"/>
      <c r="AW347" s="1070"/>
      <c r="AX347" s="1070"/>
      <c r="AY347" s="1070"/>
      <c r="AZ347" s="1070"/>
      <c r="BA347" s="1070"/>
      <c r="BB347" s="1070"/>
      <c r="BC347" s="1070"/>
      <c r="BD347" s="1070"/>
      <c r="BE347" s="1070"/>
      <c r="BF347" s="1070"/>
      <c r="BG347" s="1070"/>
      <c r="BH347" s="1070"/>
      <c r="BI347" s="1070"/>
      <c r="BJ347" s="1070"/>
      <c r="BK347" s="1070"/>
      <c r="BL347" s="1070"/>
      <c r="BM347" s="1070"/>
      <c r="BN347" s="1070"/>
      <c r="BO347" s="1070"/>
      <c r="BP347" s="1070"/>
      <c r="BQ347" s="1070"/>
      <c r="BR347" s="1070"/>
      <c r="BS347" s="1070"/>
      <c r="BT347" s="1070"/>
      <c r="BU347" s="1070"/>
      <c r="BV347" s="1070"/>
      <c r="BW347" s="1070"/>
      <c r="BX347" s="1070"/>
      <c r="BY347" s="1070"/>
      <c r="BZ347" s="1070"/>
      <c r="CA347" s="1070"/>
      <c r="CB347" s="1070"/>
      <c r="CC347" s="1070"/>
      <c r="CD347" s="1070"/>
      <c r="CE347" s="1070"/>
      <c r="CF347" s="1070"/>
      <c r="CG347" s="1070"/>
      <c r="CH347" s="1070"/>
      <c r="CI347" s="1070"/>
      <c r="CJ347" s="1070"/>
      <c r="CK347" s="1070"/>
      <c r="CL347" s="1070"/>
      <c r="CM347" s="1070"/>
      <c r="CN347" s="1070"/>
      <c r="CO347" s="1070"/>
      <c r="CP347" s="1070"/>
      <c r="CQ347" s="1070"/>
      <c r="CR347" s="1070"/>
      <c r="CS347" s="1070"/>
      <c r="CT347" s="1070"/>
      <c r="CU347" s="1070"/>
      <c r="CV347" s="1070"/>
      <c r="CW347" s="1070"/>
      <c r="CX347" s="1070"/>
      <c r="CY347" s="1070"/>
      <c r="CZ347" s="1070"/>
      <c r="DA347" s="1070"/>
      <c r="DB347" s="1070"/>
      <c r="DC347" s="1070"/>
      <c r="DD347" s="1070"/>
      <c r="DE347" s="1070"/>
      <c r="DF347" s="1070"/>
      <c r="DG347" s="1070"/>
      <c r="DH347" s="1070"/>
      <c r="DI347" s="1070"/>
      <c r="DJ347" s="1070"/>
    </row>
    <row r="348" spans="1:114" s="1136" customFormat="1" ht="27.75" customHeight="1" x14ac:dyDescent="0.2">
      <c r="A348" s="1951" t="s">
        <v>1278</v>
      </c>
      <c r="B348" s="1406" t="b">
        <v>0</v>
      </c>
      <c r="C348" s="1407"/>
      <c r="D348" s="1407"/>
      <c r="E348" s="1407"/>
      <c r="F348" s="1407"/>
      <c r="G348" s="1407"/>
      <c r="H348" s="1070"/>
      <c r="I348" s="1070"/>
      <c r="J348" s="1315"/>
      <c r="K348" s="1316"/>
      <c r="L348" s="1316"/>
      <c r="M348" s="1315"/>
      <c r="N348" s="1070"/>
      <c r="O348" s="1070"/>
      <c r="P348" s="1070"/>
      <c r="Q348" s="1070"/>
      <c r="R348" s="1070"/>
      <c r="S348" s="1070"/>
      <c r="T348" s="1070"/>
      <c r="U348" s="1070"/>
      <c r="V348" s="1070"/>
      <c r="W348" s="1070"/>
      <c r="X348" s="1070"/>
      <c r="Y348" s="1070"/>
      <c r="Z348" s="1070"/>
      <c r="AA348" s="1070"/>
      <c r="AB348" s="1070"/>
      <c r="AC348" s="1070"/>
      <c r="AD348" s="1070"/>
      <c r="AE348" s="1070"/>
      <c r="AF348" s="1070"/>
      <c r="AG348" s="1070"/>
      <c r="AH348" s="1070"/>
      <c r="AI348" s="1070"/>
      <c r="AJ348" s="1070"/>
      <c r="AK348" s="1070"/>
      <c r="AL348" s="1070"/>
      <c r="AM348" s="1070"/>
      <c r="AN348" s="1070"/>
      <c r="AO348" s="1070"/>
      <c r="AP348" s="1070"/>
      <c r="AQ348" s="1070"/>
      <c r="AR348" s="1070"/>
      <c r="AS348" s="1070"/>
      <c r="AT348" s="1070"/>
      <c r="AU348" s="1070"/>
      <c r="AV348" s="1070"/>
      <c r="AW348" s="1070"/>
      <c r="AX348" s="1070"/>
      <c r="AY348" s="1070"/>
      <c r="AZ348" s="1070"/>
      <c r="BA348" s="1070"/>
      <c r="BB348" s="1070"/>
      <c r="BC348" s="1070"/>
      <c r="BD348" s="1070"/>
      <c r="BE348" s="1070"/>
      <c r="BF348" s="1070"/>
      <c r="BG348" s="1070"/>
      <c r="BH348" s="1070"/>
      <c r="BI348" s="1070"/>
      <c r="BJ348" s="1070"/>
      <c r="BK348" s="1070"/>
      <c r="BL348" s="1070"/>
      <c r="BM348" s="1070"/>
      <c r="BN348" s="1070"/>
      <c r="BO348" s="1070"/>
      <c r="BP348" s="1070"/>
      <c r="BQ348" s="1070"/>
      <c r="BR348" s="1070"/>
      <c r="BS348" s="1070"/>
      <c r="BT348" s="1070"/>
      <c r="BU348" s="1070"/>
      <c r="BV348" s="1070"/>
      <c r="BW348" s="1070"/>
      <c r="BX348" s="1070"/>
      <c r="BY348" s="1070"/>
      <c r="BZ348" s="1070"/>
      <c r="CA348" s="1070"/>
      <c r="CB348" s="1070"/>
      <c r="CC348" s="1070"/>
      <c r="CD348" s="1070"/>
      <c r="CE348" s="1070"/>
      <c r="CF348" s="1070"/>
      <c r="CG348" s="1070"/>
      <c r="CH348" s="1070"/>
      <c r="CI348" s="1070"/>
      <c r="CJ348" s="1070"/>
      <c r="CK348" s="1070"/>
      <c r="CL348" s="1070"/>
      <c r="CM348" s="1070"/>
      <c r="CN348" s="1070"/>
      <c r="CO348" s="1070"/>
      <c r="CP348" s="1070"/>
      <c r="CQ348" s="1070"/>
      <c r="CR348" s="1070"/>
      <c r="CS348" s="1070"/>
      <c r="CT348" s="1070"/>
      <c r="CU348" s="1070"/>
      <c r="CV348" s="1070"/>
      <c r="CW348" s="1070"/>
      <c r="CX348" s="1070"/>
      <c r="CY348" s="1070"/>
      <c r="CZ348" s="1070"/>
      <c r="DA348" s="1070"/>
      <c r="DB348" s="1070"/>
      <c r="DC348" s="1070"/>
      <c r="DD348" s="1070"/>
      <c r="DE348" s="1070"/>
      <c r="DF348" s="1070"/>
      <c r="DG348" s="1070"/>
      <c r="DH348" s="1070"/>
      <c r="DI348" s="1070"/>
      <c r="DJ348" s="1070"/>
    </row>
    <row r="349" spans="1:114" s="1136" customFormat="1" ht="27.75" customHeight="1" x14ac:dyDescent="0.2">
      <c r="A349" s="1951" t="s">
        <v>1278</v>
      </c>
      <c r="B349" s="1406" t="b">
        <v>0</v>
      </c>
      <c r="C349" s="1407"/>
      <c r="D349" s="1407"/>
      <c r="E349" s="1407"/>
      <c r="F349" s="1407"/>
      <c r="G349" s="1407"/>
      <c r="H349" s="1070"/>
      <c r="I349" s="1070"/>
      <c r="J349" s="1315"/>
      <c r="K349" s="1316"/>
      <c r="L349" s="1316"/>
      <c r="M349" s="1315"/>
      <c r="N349" s="1070"/>
      <c r="O349" s="1070"/>
      <c r="P349" s="1070"/>
      <c r="Q349" s="1070"/>
      <c r="R349" s="1070"/>
      <c r="S349" s="1070"/>
      <c r="T349" s="1070"/>
      <c r="U349" s="1070"/>
      <c r="V349" s="1070"/>
      <c r="W349" s="1070"/>
      <c r="X349" s="1070"/>
      <c r="Y349" s="1070"/>
      <c r="Z349" s="1070"/>
      <c r="AA349" s="1070"/>
      <c r="AB349" s="1070"/>
      <c r="AC349" s="1070"/>
      <c r="AD349" s="1070"/>
      <c r="AE349" s="1070"/>
      <c r="AF349" s="1070"/>
      <c r="AG349" s="1070"/>
      <c r="AH349" s="1070"/>
      <c r="AI349" s="1070"/>
      <c r="AJ349" s="1070"/>
      <c r="AK349" s="1070"/>
      <c r="AL349" s="1070"/>
      <c r="AM349" s="1070"/>
      <c r="AN349" s="1070"/>
      <c r="AO349" s="1070"/>
      <c r="AP349" s="1070"/>
      <c r="AQ349" s="1070"/>
      <c r="AR349" s="1070"/>
      <c r="AS349" s="1070"/>
      <c r="AT349" s="1070"/>
      <c r="AU349" s="1070"/>
      <c r="AV349" s="1070"/>
      <c r="AW349" s="1070"/>
      <c r="AX349" s="1070"/>
      <c r="AY349" s="1070"/>
      <c r="AZ349" s="1070"/>
      <c r="BA349" s="1070"/>
      <c r="BB349" s="1070"/>
      <c r="BC349" s="1070"/>
      <c r="BD349" s="1070"/>
      <c r="BE349" s="1070"/>
      <c r="BF349" s="1070"/>
      <c r="BG349" s="1070"/>
      <c r="BH349" s="1070"/>
      <c r="BI349" s="1070"/>
      <c r="BJ349" s="1070"/>
      <c r="BK349" s="1070"/>
      <c r="BL349" s="1070"/>
      <c r="BM349" s="1070"/>
      <c r="BN349" s="1070"/>
      <c r="BO349" s="1070"/>
      <c r="BP349" s="1070"/>
      <c r="BQ349" s="1070"/>
      <c r="BR349" s="1070"/>
      <c r="BS349" s="1070"/>
      <c r="BT349" s="1070"/>
      <c r="BU349" s="1070"/>
      <c r="BV349" s="1070"/>
      <c r="BW349" s="1070"/>
      <c r="BX349" s="1070"/>
      <c r="BY349" s="1070"/>
      <c r="BZ349" s="1070"/>
      <c r="CA349" s="1070"/>
      <c r="CB349" s="1070"/>
      <c r="CC349" s="1070"/>
      <c r="CD349" s="1070"/>
      <c r="CE349" s="1070"/>
      <c r="CF349" s="1070"/>
      <c r="CG349" s="1070"/>
      <c r="CH349" s="1070"/>
      <c r="CI349" s="1070"/>
      <c r="CJ349" s="1070"/>
      <c r="CK349" s="1070"/>
      <c r="CL349" s="1070"/>
      <c r="CM349" s="1070"/>
      <c r="CN349" s="1070"/>
      <c r="CO349" s="1070"/>
      <c r="CP349" s="1070"/>
      <c r="CQ349" s="1070"/>
      <c r="CR349" s="1070"/>
      <c r="CS349" s="1070"/>
      <c r="CT349" s="1070"/>
      <c r="CU349" s="1070"/>
      <c r="CV349" s="1070"/>
      <c r="CW349" s="1070"/>
      <c r="CX349" s="1070"/>
      <c r="CY349" s="1070"/>
      <c r="CZ349" s="1070"/>
      <c r="DA349" s="1070"/>
      <c r="DB349" s="1070"/>
      <c r="DC349" s="1070"/>
      <c r="DD349" s="1070"/>
      <c r="DE349" s="1070"/>
      <c r="DF349" s="1070"/>
      <c r="DG349" s="1070"/>
      <c r="DH349" s="1070"/>
      <c r="DI349" s="1070"/>
      <c r="DJ349" s="1070"/>
    </row>
    <row r="350" spans="1:114" s="1136" customFormat="1" ht="27.75" customHeight="1" x14ac:dyDescent="0.2">
      <c r="A350" s="1951" t="s">
        <v>1278</v>
      </c>
      <c r="B350" s="1406" t="b">
        <v>0</v>
      </c>
      <c r="C350" s="1407"/>
      <c r="D350" s="1407"/>
      <c r="E350" s="1407"/>
      <c r="F350" s="1407"/>
      <c r="G350" s="1407"/>
      <c r="H350" s="1070"/>
      <c r="I350" s="1070"/>
      <c r="J350" s="1315"/>
      <c r="K350" s="1316"/>
      <c r="L350" s="1316"/>
      <c r="M350" s="1315"/>
      <c r="N350" s="1070"/>
      <c r="O350" s="1070"/>
      <c r="P350" s="1070"/>
      <c r="Q350" s="1070"/>
      <c r="R350" s="1070"/>
      <c r="S350" s="1070"/>
      <c r="T350" s="1070"/>
      <c r="U350" s="1070"/>
      <c r="V350" s="1070"/>
      <c r="W350" s="1070"/>
      <c r="X350" s="1070"/>
      <c r="Y350" s="1070"/>
      <c r="Z350" s="1070"/>
      <c r="AA350" s="1070"/>
      <c r="AB350" s="1070"/>
      <c r="AC350" s="1070"/>
      <c r="AD350" s="1070"/>
      <c r="AE350" s="1070"/>
      <c r="AF350" s="1070"/>
      <c r="AG350" s="1070"/>
      <c r="AH350" s="1070"/>
      <c r="AI350" s="1070"/>
      <c r="AJ350" s="1070"/>
      <c r="AK350" s="1070"/>
      <c r="AL350" s="1070"/>
      <c r="AM350" s="1070"/>
      <c r="AN350" s="1070"/>
      <c r="AO350" s="1070"/>
      <c r="AP350" s="1070"/>
      <c r="AQ350" s="1070"/>
      <c r="AR350" s="1070"/>
      <c r="AS350" s="1070"/>
      <c r="AT350" s="1070"/>
      <c r="AU350" s="1070"/>
      <c r="AV350" s="1070"/>
      <c r="AW350" s="1070"/>
      <c r="AX350" s="1070"/>
      <c r="AY350" s="1070"/>
      <c r="AZ350" s="1070"/>
      <c r="BA350" s="1070"/>
      <c r="BB350" s="1070"/>
      <c r="BC350" s="1070"/>
      <c r="BD350" s="1070"/>
      <c r="BE350" s="1070"/>
      <c r="BF350" s="1070"/>
      <c r="BG350" s="1070"/>
      <c r="BH350" s="1070"/>
      <c r="BI350" s="1070"/>
      <c r="BJ350" s="1070"/>
      <c r="BK350" s="1070"/>
      <c r="BL350" s="1070"/>
      <c r="BM350" s="1070"/>
      <c r="BN350" s="1070"/>
      <c r="BO350" s="1070"/>
      <c r="BP350" s="1070"/>
      <c r="BQ350" s="1070"/>
      <c r="BR350" s="1070"/>
      <c r="BS350" s="1070"/>
      <c r="BT350" s="1070"/>
      <c r="BU350" s="1070"/>
      <c r="BV350" s="1070"/>
      <c r="BW350" s="1070"/>
      <c r="BX350" s="1070"/>
      <c r="BY350" s="1070"/>
      <c r="BZ350" s="1070"/>
      <c r="CA350" s="1070"/>
      <c r="CB350" s="1070"/>
      <c r="CC350" s="1070"/>
      <c r="CD350" s="1070"/>
      <c r="CE350" s="1070"/>
      <c r="CF350" s="1070"/>
      <c r="CG350" s="1070"/>
      <c r="CH350" s="1070"/>
      <c r="CI350" s="1070"/>
      <c r="CJ350" s="1070"/>
      <c r="CK350" s="1070"/>
      <c r="CL350" s="1070"/>
      <c r="CM350" s="1070"/>
      <c r="CN350" s="1070"/>
      <c r="CO350" s="1070"/>
      <c r="CP350" s="1070"/>
      <c r="CQ350" s="1070"/>
      <c r="CR350" s="1070"/>
      <c r="CS350" s="1070"/>
      <c r="CT350" s="1070"/>
      <c r="CU350" s="1070"/>
      <c r="CV350" s="1070"/>
      <c r="CW350" s="1070"/>
      <c r="CX350" s="1070"/>
      <c r="CY350" s="1070"/>
      <c r="CZ350" s="1070"/>
      <c r="DA350" s="1070"/>
      <c r="DB350" s="1070"/>
      <c r="DC350" s="1070"/>
      <c r="DD350" s="1070"/>
      <c r="DE350" s="1070"/>
      <c r="DF350" s="1070"/>
      <c r="DG350" s="1070"/>
      <c r="DH350" s="1070"/>
      <c r="DI350" s="1070"/>
      <c r="DJ350" s="1070"/>
    </row>
    <row r="351" spans="1:114" s="1136" customFormat="1" ht="27.75" customHeight="1" x14ac:dyDescent="0.2">
      <c r="A351" s="1951" t="s">
        <v>1278</v>
      </c>
      <c r="B351" s="1406" t="b">
        <v>0</v>
      </c>
      <c r="C351" s="1407"/>
      <c r="D351" s="1407"/>
      <c r="E351" s="1407"/>
      <c r="F351" s="1407"/>
      <c r="G351" s="1407"/>
      <c r="H351" s="1070"/>
      <c r="I351" s="1070"/>
      <c r="J351" s="1315"/>
      <c r="K351" s="1316"/>
      <c r="L351" s="1316"/>
      <c r="M351" s="1315"/>
      <c r="N351" s="1070"/>
      <c r="O351" s="1070"/>
      <c r="P351" s="1070"/>
      <c r="Q351" s="1070"/>
      <c r="R351" s="1070"/>
      <c r="S351" s="1070"/>
      <c r="T351" s="1070"/>
      <c r="U351" s="1070"/>
      <c r="V351" s="1070"/>
      <c r="W351" s="1070"/>
      <c r="X351" s="1070"/>
      <c r="Y351" s="1070"/>
      <c r="Z351" s="1070"/>
      <c r="AA351" s="1070"/>
      <c r="AB351" s="1070"/>
      <c r="AC351" s="1070"/>
      <c r="AD351" s="1070"/>
      <c r="AE351" s="1070"/>
      <c r="AF351" s="1070"/>
      <c r="AG351" s="1070"/>
      <c r="AH351" s="1070"/>
      <c r="AI351" s="1070"/>
      <c r="AJ351" s="1070"/>
      <c r="AK351" s="1070"/>
      <c r="AL351" s="1070"/>
      <c r="AM351" s="1070"/>
      <c r="AN351" s="1070"/>
      <c r="AO351" s="1070"/>
      <c r="AP351" s="1070"/>
      <c r="AQ351" s="1070"/>
      <c r="AR351" s="1070"/>
      <c r="AS351" s="1070"/>
      <c r="AT351" s="1070"/>
      <c r="AU351" s="1070"/>
      <c r="AV351" s="1070"/>
      <c r="AW351" s="1070"/>
      <c r="AX351" s="1070"/>
      <c r="AY351" s="1070"/>
      <c r="AZ351" s="1070"/>
      <c r="BA351" s="1070"/>
      <c r="BB351" s="1070"/>
      <c r="BC351" s="1070"/>
      <c r="BD351" s="1070"/>
      <c r="BE351" s="1070"/>
      <c r="BF351" s="1070"/>
      <c r="BG351" s="1070"/>
      <c r="BH351" s="1070"/>
      <c r="BI351" s="1070"/>
      <c r="BJ351" s="1070"/>
      <c r="BK351" s="1070"/>
      <c r="BL351" s="1070"/>
      <c r="BM351" s="1070"/>
      <c r="BN351" s="1070"/>
      <c r="BO351" s="1070"/>
      <c r="BP351" s="1070"/>
      <c r="BQ351" s="1070"/>
      <c r="BR351" s="1070"/>
      <c r="BS351" s="1070"/>
      <c r="BT351" s="1070"/>
      <c r="BU351" s="1070"/>
      <c r="BV351" s="1070"/>
      <c r="BW351" s="1070"/>
      <c r="BX351" s="1070"/>
      <c r="BY351" s="1070"/>
      <c r="BZ351" s="1070"/>
      <c r="CA351" s="1070"/>
      <c r="CB351" s="1070"/>
      <c r="CC351" s="1070"/>
      <c r="CD351" s="1070"/>
      <c r="CE351" s="1070"/>
      <c r="CF351" s="1070"/>
      <c r="CG351" s="1070"/>
      <c r="CH351" s="1070"/>
      <c r="CI351" s="1070"/>
      <c r="CJ351" s="1070"/>
      <c r="CK351" s="1070"/>
      <c r="CL351" s="1070"/>
      <c r="CM351" s="1070"/>
      <c r="CN351" s="1070"/>
      <c r="CO351" s="1070"/>
      <c r="CP351" s="1070"/>
      <c r="CQ351" s="1070"/>
      <c r="CR351" s="1070"/>
      <c r="CS351" s="1070"/>
      <c r="CT351" s="1070"/>
      <c r="CU351" s="1070"/>
      <c r="CV351" s="1070"/>
      <c r="CW351" s="1070"/>
      <c r="CX351" s="1070"/>
      <c r="CY351" s="1070"/>
      <c r="CZ351" s="1070"/>
      <c r="DA351" s="1070"/>
      <c r="DB351" s="1070"/>
      <c r="DC351" s="1070"/>
      <c r="DD351" s="1070"/>
      <c r="DE351" s="1070"/>
      <c r="DF351" s="1070"/>
      <c r="DG351" s="1070"/>
      <c r="DH351" s="1070"/>
      <c r="DI351" s="1070"/>
      <c r="DJ351" s="1070"/>
    </row>
    <row r="352" spans="1:114" s="1136" customFormat="1" ht="27.75" customHeight="1" x14ac:dyDescent="0.2">
      <c r="A352" s="1951" t="s">
        <v>1278</v>
      </c>
      <c r="B352" s="1406" t="b">
        <v>0</v>
      </c>
      <c r="C352" s="1407"/>
      <c r="D352" s="1407"/>
      <c r="E352" s="1407"/>
      <c r="F352" s="1407"/>
      <c r="G352" s="1407"/>
      <c r="H352" s="1070"/>
      <c r="I352" s="1070"/>
      <c r="J352" s="1315"/>
      <c r="K352" s="1316"/>
      <c r="L352" s="1316"/>
      <c r="M352" s="1315"/>
      <c r="N352" s="1070"/>
      <c r="O352" s="1070"/>
      <c r="P352" s="1070"/>
      <c r="Q352" s="1070"/>
      <c r="R352" s="1070"/>
      <c r="S352" s="1070"/>
      <c r="T352" s="1070"/>
      <c r="U352" s="1070"/>
      <c r="V352" s="1070"/>
      <c r="W352" s="1070"/>
      <c r="X352" s="1070"/>
      <c r="Y352" s="1070"/>
      <c r="Z352" s="1070"/>
      <c r="AA352" s="1070"/>
      <c r="AB352" s="1070"/>
      <c r="AC352" s="1070"/>
      <c r="AD352" s="1070"/>
      <c r="AE352" s="1070"/>
      <c r="AF352" s="1070"/>
      <c r="AG352" s="1070"/>
      <c r="AH352" s="1070"/>
      <c r="AI352" s="1070"/>
      <c r="AJ352" s="1070"/>
      <c r="AK352" s="1070"/>
      <c r="AL352" s="1070"/>
      <c r="AM352" s="1070"/>
      <c r="AN352" s="1070"/>
      <c r="AO352" s="1070"/>
      <c r="AP352" s="1070"/>
      <c r="AQ352" s="1070"/>
      <c r="AR352" s="1070"/>
      <c r="AS352" s="1070"/>
      <c r="AT352" s="1070"/>
      <c r="AU352" s="1070"/>
      <c r="AV352" s="1070"/>
      <c r="AW352" s="1070"/>
      <c r="AX352" s="1070"/>
      <c r="AY352" s="1070"/>
      <c r="AZ352" s="1070"/>
      <c r="BA352" s="1070"/>
      <c r="BB352" s="1070"/>
      <c r="BC352" s="1070"/>
      <c r="BD352" s="1070"/>
      <c r="BE352" s="1070"/>
      <c r="BF352" s="1070"/>
      <c r="BG352" s="1070"/>
      <c r="BH352" s="1070"/>
      <c r="BI352" s="1070"/>
      <c r="BJ352" s="1070"/>
      <c r="BK352" s="1070"/>
      <c r="BL352" s="1070"/>
      <c r="BM352" s="1070"/>
      <c r="BN352" s="1070"/>
      <c r="BO352" s="1070"/>
      <c r="BP352" s="1070"/>
      <c r="BQ352" s="1070"/>
      <c r="BR352" s="1070"/>
      <c r="BS352" s="1070"/>
      <c r="BT352" s="1070"/>
      <c r="BU352" s="1070"/>
      <c r="BV352" s="1070"/>
      <c r="BW352" s="1070"/>
      <c r="BX352" s="1070"/>
      <c r="BY352" s="1070"/>
      <c r="BZ352" s="1070"/>
      <c r="CA352" s="1070"/>
      <c r="CB352" s="1070"/>
      <c r="CC352" s="1070"/>
      <c r="CD352" s="1070"/>
      <c r="CE352" s="1070"/>
      <c r="CF352" s="1070"/>
      <c r="CG352" s="1070"/>
      <c r="CH352" s="1070"/>
      <c r="CI352" s="1070"/>
      <c r="CJ352" s="1070"/>
      <c r="CK352" s="1070"/>
      <c r="CL352" s="1070"/>
      <c r="CM352" s="1070"/>
      <c r="CN352" s="1070"/>
      <c r="CO352" s="1070"/>
      <c r="CP352" s="1070"/>
      <c r="CQ352" s="1070"/>
      <c r="CR352" s="1070"/>
      <c r="CS352" s="1070"/>
      <c r="CT352" s="1070"/>
      <c r="CU352" s="1070"/>
      <c r="CV352" s="1070"/>
      <c r="CW352" s="1070"/>
      <c r="CX352" s="1070"/>
      <c r="CY352" s="1070"/>
      <c r="CZ352" s="1070"/>
      <c r="DA352" s="1070"/>
      <c r="DB352" s="1070"/>
      <c r="DC352" s="1070"/>
      <c r="DD352" s="1070"/>
      <c r="DE352" s="1070"/>
      <c r="DF352" s="1070"/>
      <c r="DG352" s="1070"/>
      <c r="DH352" s="1070"/>
      <c r="DI352" s="1070"/>
      <c r="DJ352" s="1070"/>
    </row>
    <row r="353" spans="1:114" s="1136" customFormat="1" ht="27.75" customHeight="1" x14ac:dyDescent="0.2">
      <c r="A353" s="1958"/>
      <c r="B353" s="1406"/>
      <c r="C353" s="1407"/>
      <c r="D353" s="1407"/>
      <c r="E353" s="1407"/>
      <c r="F353" s="1407"/>
      <c r="G353" s="1407"/>
      <c r="H353" s="1070"/>
      <c r="I353" s="1070"/>
      <c r="J353" s="1315"/>
      <c r="K353" s="1316"/>
      <c r="L353" s="1316"/>
      <c r="M353" s="1315"/>
      <c r="N353" s="1070"/>
      <c r="O353" s="1070"/>
      <c r="P353" s="1070"/>
      <c r="Q353" s="1070"/>
      <c r="R353" s="1070"/>
      <c r="S353" s="1070"/>
      <c r="T353" s="1070"/>
      <c r="U353" s="1070"/>
      <c r="V353" s="1070"/>
      <c r="W353" s="1070"/>
      <c r="X353" s="1070"/>
      <c r="Y353" s="1070"/>
      <c r="Z353" s="1070"/>
      <c r="AA353" s="1070"/>
      <c r="AB353" s="1070"/>
      <c r="AC353" s="1070"/>
      <c r="AD353" s="1070"/>
      <c r="AE353" s="1070"/>
      <c r="AF353" s="1070"/>
      <c r="AG353" s="1070"/>
      <c r="AH353" s="1070"/>
      <c r="AI353" s="1070"/>
      <c r="AJ353" s="1070"/>
      <c r="AK353" s="1070"/>
      <c r="AL353" s="1070"/>
      <c r="AM353" s="1070"/>
      <c r="AN353" s="1070"/>
      <c r="AO353" s="1070"/>
      <c r="AP353" s="1070"/>
      <c r="AQ353" s="1070"/>
      <c r="AR353" s="1070"/>
      <c r="AS353" s="1070"/>
      <c r="AT353" s="1070"/>
      <c r="AU353" s="1070"/>
      <c r="AV353" s="1070"/>
      <c r="AW353" s="1070"/>
      <c r="AX353" s="1070"/>
      <c r="AY353" s="1070"/>
      <c r="AZ353" s="1070"/>
      <c r="BA353" s="1070"/>
      <c r="BB353" s="1070"/>
      <c r="BC353" s="1070"/>
      <c r="BD353" s="1070"/>
      <c r="BE353" s="1070"/>
      <c r="BF353" s="1070"/>
      <c r="BG353" s="1070"/>
      <c r="BH353" s="1070"/>
      <c r="BI353" s="1070"/>
      <c r="BJ353" s="1070"/>
      <c r="BK353" s="1070"/>
      <c r="BL353" s="1070"/>
      <c r="BM353" s="1070"/>
      <c r="BN353" s="1070"/>
      <c r="BO353" s="1070"/>
      <c r="BP353" s="1070"/>
      <c r="BQ353" s="1070"/>
      <c r="BR353" s="1070"/>
      <c r="BS353" s="1070"/>
      <c r="BT353" s="1070"/>
      <c r="BU353" s="1070"/>
      <c r="BV353" s="1070"/>
      <c r="BW353" s="1070"/>
      <c r="BX353" s="1070"/>
      <c r="BY353" s="1070"/>
      <c r="BZ353" s="1070"/>
      <c r="CA353" s="1070"/>
      <c r="CB353" s="1070"/>
      <c r="CC353" s="1070"/>
      <c r="CD353" s="1070"/>
      <c r="CE353" s="1070"/>
      <c r="CF353" s="1070"/>
      <c r="CG353" s="1070"/>
      <c r="CH353" s="1070"/>
      <c r="CI353" s="1070"/>
      <c r="CJ353" s="1070"/>
      <c r="CK353" s="1070"/>
      <c r="CL353" s="1070"/>
      <c r="CM353" s="1070"/>
      <c r="CN353" s="1070"/>
      <c r="CO353" s="1070"/>
      <c r="CP353" s="1070"/>
      <c r="CQ353" s="1070"/>
      <c r="CR353" s="1070"/>
      <c r="CS353" s="1070"/>
      <c r="CT353" s="1070"/>
      <c r="CU353" s="1070"/>
      <c r="CV353" s="1070"/>
      <c r="CW353" s="1070"/>
      <c r="CX353" s="1070"/>
      <c r="CY353" s="1070"/>
      <c r="CZ353" s="1070"/>
      <c r="DA353" s="1070"/>
      <c r="DB353" s="1070"/>
      <c r="DC353" s="1070"/>
      <c r="DD353" s="1070"/>
      <c r="DE353" s="1070"/>
      <c r="DF353" s="1070"/>
      <c r="DG353" s="1070"/>
      <c r="DH353" s="1070"/>
      <c r="DI353" s="1070"/>
      <c r="DJ353" s="1070"/>
    </row>
    <row r="354" spans="1:114" s="1136" customFormat="1" ht="27.75" customHeight="1" x14ac:dyDescent="0.2">
      <c r="A354" s="1391" t="s">
        <v>1288</v>
      </c>
      <c r="B354" s="1641" t="e">
        <f>INDEX($K$1541:$K$1545,B175)</f>
        <v>#VALUE!</v>
      </c>
      <c r="C354" s="1407"/>
      <c r="D354" s="1407"/>
      <c r="E354" s="1407"/>
      <c r="F354" s="1407"/>
      <c r="G354" s="1407"/>
      <c r="H354" s="1070"/>
      <c r="I354" s="1070"/>
      <c r="J354" s="1315"/>
      <c r="K354" s="1316"/>
      <c r="L354" s="1316"/>
      <c r="M354" s="1315"/>
      <c r="N354" s="1070"/>
      <c r="O354" s="1070"/>
      <c r="P354" s="1070"/>
      <c r="Q354" s="1070"/>
      <c r="R354" s="1070"/>
      <c r="S354" s="1070"/>
      <c r="T354" s="1070"/>
      <c r="U354" s="1070"/>
      <c r="V354" s="1070"/>
      <c r="W354" s="1070"/>
      <c r="X354" s="1070"/>
      <c r="Y354" s="1070"/>
      <c r="Z354" s="1070"/>
      <c r="AA354" s="1070"/>
      <c r="AB354" s="1070"/>
      <c r="AC354" s="1070"/>
      <c r="AD354" s="1070"/>
      <c r="AE354" s="1070"/>
      <c r="AF354" s="1070"/>
      <c r="AG354" s="1070"/>
      <c r="AH354" s="1070"/>
      <c r="AI354" s="1070"/>
      <c r="AJ354" s="1070"/>
      <c r="AK354" s="1070"/>
      <c r="AL354" s="1070"/>
      <c r="AM354" s="1070"/>
      <c r="AN354" s="1070"/>
      <c r="AO354" s="1070"/>
      <c r="AP354" s="1070"/>
      <c r="AQ354" s="1070"/>
      <c r="AR354" s="1070"/>
      <c r="AS354" s="1070"/>
      <c r="AT354" s="1070"/>
      <c r="AU354" s="1070"/>
      <c r="AV354" s="1070"/>
      <c r="AW354" s="1070"/>
      <c r="AX354" s="1070"/>
      <c r="AY354" s="1070"/>
      <c r="AZ354" s="1070"/>
      <c r="BA354" s="1070"/>
      <c r="BB354" s="1070"/>
      <c r="BC354" s="1070"/>
      <c r="BD354" s="1070"/>
      <c r="BE354" s="1070"/>
      <c r="BF354" s="1070"/>
      <c r="BG354" s="1070"/>
      <c r="BH354" s="1070"/>
      <c r="BI354" s="1070"/>
      <c r="BJ354" s="1070"/>
      <c r="BK354" s="1070"/>
      <c r="BL354" s="1070"/>
      <c r="BM354" s="1070"/>
      <c r="BN354" s="1070"/>
      <c r="BO354" s="1070"/>
      <c r="BP354" s="1070"/>
      <c r="BQ354" s="1070"/>
      <c r="BR354" s="1070"/>
      <c r="BS354" s="1070"/>
      <c r="BT354" s="1070"/>
      <c r="BU354" s="1070"/>
      <c r="BV354" s="1070"/>
      <c r="BW354" s="1070"/>
      <c r="BX354" s="1070"/>
      <c r="BY354" s="1070"/>
      <c r="BZ354" s="1070"/>
      <c r="CA354" s="1070"/>
      <c r="CB354" s="1070"/>
      <c r="CC354" s="1070"/>
      <c r="CD354" s="1070"/>
      <c r="CE354" s="1070"/>
      <c r="CF354" s="1070"/>
      <c r="CG354" s="1070"/>
      <c r="CH354" s="1070"/>
      <c r="CI354" s="1070"/>
      <c r="CJ354" s="1070"/>
      <c r="CK354" s="1070"/>
      <c r="CL354" s="1070"/>
      <c r="CM354" s="1070"/>
      <c r="CN354" s="1070"/>
      <c r="CO354" s="1070"/>
      <c r="CP354" s="1070"/>
      <c r="CQ354" s="1070"/>
      <c r="CR354" s="1070"/>
      <c r="CS354" s="1070"/>
      <c r="CT354" s="1070"/>
      <c r="CU354" s="1070"/>
      <c r="CV354" s="1070"/>
      <c r="CW354" s="1070"/>
      <c r="CX354" s="1070"/>
      <c r="CY354" s="1070"/>
      <c r="CZ354" s="1070"/>
      <c r="DA354" s="1070"/>
      <c r="DB354" s="1070"/>
      <c r="DC354" s="1070"/>
      <c r="DD354" s="1070"/>
      <c r="DE354" s="1070"/>
      <c r="DF354" s="1070"/>
      <c r="DG354" s="1070"/>
      <c r="DH354" s="1070"/>
      <c r="DI354" s="1070"/>
      <c r="DJ354" s="1070"/>
    </row>
    <row r="355" spans="1:114" s="1136" customFormat="1" ht="15" x14ac:dyDescent="0.2">
      <c r="A355" s="1391" t="s">
        <v>1289</v>
      </c>
      <c r="B355" s="1641" t="e">
        <f>(B171-B200-B202)*B173*B179*B180*B185</f>
        <v>#VALUE!</v>
      </c>
      <c r="C355" s="1407"/>
      <c r="D355" s="1407"/>
      <c r="E355" s="1407"/>
      <c r="F355" s="1407"/>
      <c r="G355" s="1407"/>
      <c r="H355" s="1070"/>
      <c r="I355" s="1070"/>
      <c r="J355" s="1070"/>
      <c r="K355" s="1070"/>
      <c r="L355" s="1070"/>
      <c r="M355" s="1070"/>
      <c r="N355" s="1070"/>
      <c r="O355" s="1070"/>
      <c r="P355" s="1070"/>
      <c r="Q355" s="1070"/>
      <c r="R355" s="1070"/>
      <c r="S355" s="1070"/>
      <c r="T355" s="1070"/>
      <c r="U355" s="1070"/>
      <c r="V355" s="1070"/>
      <c r="W355" s="1070"/>
      <c r="X355" s="1070"/>
      <c r="Y355" s="1070"/>
      <c r="Z355" s="1070"/>
      <c r="AA355" s="1070"/>
      <c r="AB355" s="1070"/>
      <c r="AC355" s="1070"/>
      <c r="AD355" s="1070"/>
      <c r="AE355" s="1070"/>
      <c r="AF355" s="1070"/>
      <c r="AG355" s="1070"/>
      <c r="AH355" s="1070"/>
      <c r="AI355" s="1070"/>
      <c r="AJ355" s="1070"/>
      <c r="AK355" s="1070"/>
      <c r="AL355" s="1070"/>
      <c r="AM355" s="1070"/>
      <c r="AN355" s="1070"/>
      <c r="AO355" s="1070"/>
      <c r="AP355" s="1070"/>
      <c r="AQ355" s="1070"/>
      <c r="AR355" s="1070"/>
      <c r="AS355" s="1070"/>
      <c r="AT355" s="1070"/>
      <c r="AU355" s="1070"/>
      <c r="AV355" s="1070"/>
      <c r="AW355" s="1070"/>
      <c r="AX355" s="1070"/>
      <c r="AY355" s="1070"/>
      <c r="AZ355" s="1070"/>
      <c r="BA355" s="1070"/>
      <c r="BB355" s="1070"/>
      <c r="BC355" s="1070"/>
      <c r="BD355" s="1070"/>
      <c r="BE355" s="1070"/>
      <c r="BF355" s="1070"/>
      <c r="BG355" s="1070"/>
      <c r="BH355" s="1070"/>
      <c r="BI355" s="1070"/>
      <c r="BJ355" s="1070"/>
      <c r="BK355" s="1070"/>
      <c r="BL355" s="1070"/>
      <c r="BM355" s="1070"/>
      <c r="BN355" s="1070"/>
      <c r="BO355" s="1070"/>
      <c r="BP355" s="1070"/>
      <c r="BQ355" s="1070"/>
      <c r="BR355" s="1070"/>
      <c r="BS355" s="1070"/>
      <c r="BT355" s="1070"/>
      <c r="BU355" s="1070"/>
      <c r="BV355" s="1070"/>
      <c r="BW355" s="1070"/>
      <c r="BX355" s="1070"/>
      <c r="BY355" s="1070"/>
      <c r="BZ355" s="1070"/>
      <c r="CA355" s="1070"/>
      <c r="CB355" s="1070"/>
      <c r="CC355" s="1070"/>
      <c r="CD355" s="1070"/>
      <c r="CE355" s="1070"/>
      <c r="CF355" s="1070"/>
      <c r="CG355" s="1070"/>
      <c r="CH355" s="1070"/>
      <c r="CI355" s="1070"/>
      <c r="CJ355" s="1070"/>
      <c r="CK355" s="1070"/>
      <c r="CL355" s="1070"/>
      <c r="CM355" s="1070"/>
      <c r="CN355" s="1070"/>
      <c r="CO355" s="1070"/>
      <c r="CP355" s="1070"/>
      <c r="CQ355" s="1070"/>
      <c r="CR355" s="1070"/>
      <c r="CS355" s="1070"/>
      <c r="CT355" s="1070"/>
      <c r="CU355" s="1070"/>
      <c r="CV355" s="1070"/>
      <c r="CW355" s="1070"/>
      <c r="CX355" s="1070"/>
      <c r="CY355" s="1070"/>
      <c r="CZ355" s="1070"/>
      <c r="DA355" s="1070"/>
      <c r="DB355" s="1070"/>
      <c r="DC355" s="1070"/>
      <c r="DD355" s="1070"/>
      <c r="DE355" s="1070"/>
      <c r="DF355" s="1070"/>
      <c r="DG355" s="1070"/>
      <c r="DH355" s="1070"/>
      <c r="DI355" s="1070"/>
      <c r="DJ355" s="1070"/>
    </row>
    <row r="356" spans="1:114" s="1136" customFormat="1" ht="15" x14ac:dyDescent="0.2">
      <c r="A356" s="1391" t="s">
        <v>3107</v>
      </c>
      <c r="B356" s="1641" t="e">
        <f>B174/B181</f>
        <v>#VALUE!</v>
      </c>
      <c r="C356" s="1407"/>
      <c r="D356" s="1407"/>
      <c r="E356" s="1407"/>
      <c r="F356" s="1407"/>
      <c r="G356" s="1407"/>
      <c r="H356" s="1070"/>
      <c r="I356" s="1070"/>
      <c r="J356" s="1070"/>
      <c r="K356" s="1070"/>
      <c r="L356" s="1070"/>
      <c r="M356" s="1070"/>
      <c r="N356" s="1070"/>
      <c r="O356" s="1070"/>
      <c r="P356" s="1070"/>
      <c r="Q356" s="1070"/>
      <c r="R356" s="1070"/>
      <c r="S356" s="1070"/>
      <c r="T356" s="1070"/>
      <c r="U356" s="1070"/>
      <c r="V356" s="1070"/>
      <c r="W356" s="1070"/>
      <c r="X356" s="1070"/>
      <c r="Y356" s="1070"/>
      <c r="Z356" s="1070"/>
      <c r="AA356" s="1070"/>
      <c r="AB356" s="1070"/>
      <c r="AC356" s="1070"/>
      <c r="AD356" s="1070"/>
      <c r="AE356" s="1070"/>
      <c r="AF356" s="1070"/>
      <c r="AG356" s="1070"/>
      <c r="AH356" s="1070"/>
      <c r="AI356" s="1070"/>
      <c r="AJ356" s="1070"/>
      <c r="AK356" s="1070"/>
      <c r="AL356" s="1070"/>
      <c r="AM356" s="1070"/>
      <c r="AN356" s="1070"/>
      <c r="AO356" s="1070"/>
      <c r="AP356" s="1070"/>
      <c r="AQ356" s="1070"/>
      <c r="AR356" s="1070"/>
      <c r="AS356" s="1070"/>
      <c r="AT356" s="1070"/>
      <c r="AU356" s="1070"/>
      <c r="AV356" s="1070"/>
      <c r="AW356" s="1070"/>
      <c r="AX356" s="1070"/>
      <c r="AY356" s="1070"/>
      <c r="AZ356" s="1070"/>
      <c r="BA356" s="1070"/>
      <c r="BB356" s="1070"/>
      <c r="BC356" s="1070"/>
      <c r="BD356" s="1070"/>
      <c r="BE356" s="1070"/>
      <c r="BF356" s="1070"/>
      <c r="BG356" s="1070"/>
      <c r="BH356" s="1070"/>
      <c r="BI356" s="1070"/>
      <c r="BJ356" s="1070"/>
      <c r="BK356" s="1070"/>
      <c r="BL356" s="1070"/>
      <c r="BM356" s="1070"/>
      <c r="BN356" s="1070"/>
      <c r="BO356" s="1070"/>
      <c r="BP356" s="1070"/>
      <c r="BQ356" s="1070"/>
      <c r="BR356" s="1070"/>
      <c r="BS356" s="1070"/>
      <c r="BT356" s="1070"/>
      <c r="BU356" s="1070"/>
      <c r="BV356" s="1070"/>
      <c r="BW356" s="1070"/>
      <c r="BX356" s="1070"/>
      <c r="BY356" s="1070"/>
      <c r="BZ356" s="1070"/>
      <c r="CA356" s="1070"/>
      <c r="CB356" s="1070"/>
      <c r="CC356" s="1070"/>
      <c r="CD356" s="1070"/>
      <c r="CE356" s="1070"/>
      <c r="CF356" s="1070"/>
      <c r="CG356" s="1070"/>
      <c r="CH356" s="1070"/>
      <c r="CI356" s="1070"/>
      <c r="CJ356" s="1070"/>
      <c r="CK356" s="1070"/>
      <c r="CL356" s="1070"/>
      <c r="CM356" s="1070"/>
      <c r="CN356" s="1070"/>
      <c r="CO356" s="1070"/>
      <c r="CP356" s="1070"/>
      <c r="CQ356" s="1070"/>
      <c r="CR356" s="1070"/>
      <c r="CS356" s="1070"/>
      <c r="CT356" s="1070"/>
      <c r="CU356" s="1070"/>
      <c r="CV356" s="1070"/>
      <c r="CW356" s="1070"/>
      <c r="CX356" s="1070"/>
      <c r="CY356" s="1070"/>
      <c r="CZ356" s="1070"/>
      <c r="DA356" s="1070"/>
      <c r="DB356" s="1070"/>
      <c r="DC356" s="1070"/>
      <c r="DD356" s="1070"/>
      <c r="DE356" s="1070"/>
      <c r="DF356" s="1070"/>
      <c r="DG356" s="1070"/>
      <c r="DH356" s="1070"/>
      <c r="DI356" s="1070"/>
      <c r="DJ356" s="1070"/>
    </row>
    <row r="357" spans="1:114" s="1136" customFormat="1" ht="15" x14ac:dyDescent="0.2">
      <c r="A357" s="1391" t="s">
        <v>791</v>
      </c>
      <c r="B357" s="1641" t="e">
        <f>B356/B355</f>
        <v>#VALUE!</v>
      </c>
      <c r="C357" s="1407"/>
      <c r="D357" s="1407"/>
      <c r="E357" s="1407"/>
      <c r="F357" s="1407"/>
      <c r="G357" s="1407"/>
      <c r="H357" s="1070"/>
      <c r="I357" s="1070"/>
      <c r="J357" s="1070"/>
      <c r="K357" s="1070"/>
      <c r="L357" s="1070"/>
      <c r="M357" s="1070"/>
      <c r="N357" s="1070"/>
      <c r="O357" s="1070"/>
      <c r="P357" s="1070"/>
      <c r="Q357" s="1070"/>
      <c r="R357" s="1070"/>
      <c r="S357" s="1070"/>
      <c r="T357" s="1070"/>
      <c r="U357" s="1070"/>
      <c r="V357" s="1070"/>
      <c r="W357" s="1070"/>
      <c r="X357" s="1070"/>
      <c r="Y357" s="1070"/>
      <c r="Z357" s="1070"/>
      <c r="AA357" s="1070"/>
      <c r="AB357" s="1070"/>
      <c r="AC357" s="1070"/>
      <c r="AD357" s="1070"/>
      <c r="AE357" s="1070"/>
      <c r="AF357" s="1070"/>
      <c r="AG357" s="1070"/>
      <c r="AH357" s="1070"/>
      <c r="AI357" s="1070"/>
      <c r="AJ357" s="1070"/>
      <c r="AK357" s="1070"/>
      <c r="AL357" s="1070"/>
      <c r="AM357" s="1070"/>
      <c r="AN357" s="1070"/>
      <c r="AO357" s="1070"/>
      <c r="AP357" s="1070"/>
      <c r="AQ357" s="1070"/>
      <c r="AR357" s="1070"/>
      <c r="AS357" s="1070"/>
      <c r="AT357" s="1070"/>
      <c r="AU357" s="1070"/>
      <c r="AV357" s="1070"/>
      <c r="AW357" s="1070"/>
      <c r="AX357" s="1070"/>
      <c r="AY357" s="1070"/>
      <c r="AZ357" s="1070"/>
      <c r="BA357" s="1070"/>
      <c r="BB357" s="1070"/>
      <c r="BC357" s="1070"/>
      <c r="BD357" s="1070"/>
      <c r="BE357" s="1070"/>
      <c r="BF357" s="1070"/>
      <c r="BG357" s="1070"/>
      <c r="BH357" s="1070"/>
      <c r="BI357" s="1070"/>
      <c r="BJ357" s="1070"/>
      <c r="BK357" s="1070"/>
      <c r="BL357" s="1070"/>
      <c r="BM357" s="1070"/>
      <c r="BN357" s="1070"/>
      <c r="BO357" s="1070"/>
      <c r="BP357" s="1070"/>
      <c r="BQ357" s="1070"/>
      <c r="BR357" s="1070"/>
      <c r="BS357" s="1070"/>
      <c r="BT357" s="1070"/>
      <c r="BU357" s="1070"/>
      <c r="BV357" s="1070"/>
      <c r="BW357" s="1070"/>
      <c r="BX357" s="1070"/>
      <c r="BY357" s="1070"/>
      <c r="BZ357" s="1070"/>
      <c r="CA357" s="1070"/>
      <c r="CB357" s="1070"/>
      <c r="CC357" s="1070"/>
      <c r="CD357" s="1070"/>
      <c r="CE357" s="1070"/>
      <c r="CF357" s="1070"/>
      <c r="CG357" s="1070"/>
      <c r="CH357" s="1070"/>
      <c r="CI357" s="1070"/>
      <c r="CJ357" s="1070"/>
      <c r="CK357" s="1070"/>
      <c r="CL357" s="1070"/>
      <c r="CM357" s="1070"/>
      <c r="CN357" s="1070"/>
      <c r="CO357" s="1070"/>
      <c r="CP357" s="1070"/>
      <c r="CQ357" s="1070"/>
      <c r="CR357" s="1070"/>
      <c r="CS357" s="1070"/>
      <c r="CT357" s="1070"/>
      <c r="CU357" s="1070"/>
      <c r="CV357" s="1070"/>
      <c r="CW357" s="1070"/>
      <c r="CX357" s="1070"/>
      <c r="CY357" s="1070"/>
      <c r="CZ357" s="1070"/>
      <c r="DA357" s="1070"/>
      <c r="DB357" s="1070"/>
      <c r="DC357" s="1070"/>
      <c r="DD357" s="1070"/>
      <c r="DE357" s="1070"/>
      <c r="DF357" s="1070"/>
      <c r="DG357" s="1070"/>
      <c r="DH357" s="1070"/>
      <c r="DI357" s="1070"/>
      <c r="DJ357" s="1070"/>
    </row>
    <row r="358" spans="1:114" s="1136" customFormat="1" ht="15" x14ac:dyDescent="0.2">
      <c r="A358" s="1391" t="s">
        <v>792</v>
      </c>
      <c r="B358" s="1641" t="e">
        <f>B357*B183</f>
        <v>#VALUE!</v>
      </c>
      <c r="C358" s="1407"/>
      <c r="D358" s="1407"/>
      <c r="E358" s="1407"/>
      <c r="F358" s="1407"/>
      <c r="G358" s="1407"/>
      <c r="H358" s="1070"/>
      <c r="I358" s="1070"/>
      <c r="J358" s="1070"/>
      <c r="K358" s="1070"/>
      <c r="L358" s="1070"/>
      <c r="M358" s="1070"/>
      <c r="N358" s="1070"/>
      <c r="O358" s="1070"/>
      <c r="P358" s="1070"/>
      <c r="Q358" s="1070"/>
      <c r="R358" s="1070"/>
      <c r="S358" s="1070"/>
      <c r="T358" s="1070"/>
      <c r="U358" s="1070"/>
      <c r="V358" s="1070"/>
      <c r="W358" s="1070"/>
      <c r="X358" s="1070"/>
      <c r="Y358" s="1070"/>
      <c r="Z358" s="1070"/>
      <c r="AA358" s="1070"/>
      <c r="AB358" s="1070"/>
      <c r="AC358" s="1070"/>
      <c r="AD358" s="1070"/>
      <c r="AE358" s="1070"/>
      <c r="AF358" s="1070"/>
      <c r="AG358" s="1070"/>
      <c r="AH358" s="1070"/>
      <c r="AI358" s="1070"/>
      <c r="AJ358" s="1070"/>
      <c r="AK358" s="1070"/>
      <c r="AL358" s="1070"/>
      <c r="AM358" s="1070"/>
      <c r="AN358" s="1070"/>
      <c r="AO358" s="1070"/>
      <c r="AP358" s="1070"/>
      <c r="AQ358" s="1070"/>
      <c r="AR358" s="1070"/>
      <c r="AS358" s="1070"/>
      <c r="AT358" s="1070"/>
      <c r="AU358" s="1070"/>
      <c r="AV358" s="1070"/>
      <c r="AW358" s="1070"/>
      <c r="AX358" s="1070"/>
      <c r="AY358" s="1070"/>
      <c r="AZ358" s="1070"/>
      <c r="BA358" s="1070"/>
      <c r="BB358" s="1070"/>
      <c r="BC358" s="1070"/>
      <c r="BD358" s="1070"/>
      <c r="BE358" s="1070"/>
      <c r="BF358" s="1070"/>
      <c r="BG358" s="1070"/>
      <c r="BH358" s="1070"/>
      <c r="BI358" s="1070"/>
      <c r="BJ358" s="1070"/>
      <c r="BK358" s="1070"/>
      <c r="BL358" s="1070"/>
      <c r="BM358" s="1070"/>
      <c r="BN358" s="1070"/>
      <c r="BO358" s="1070"/>
      <c r="BP358" s="1070"/>
      <c r="BQ358" s="1070"/>
      <c r="BR358" s="1070"/>
      <c r="BS358" s="1070"/>
      <c r="BT358" s="1070"/>
      <c r="BU358" s="1070"/>
      <c r="BV358" s="1070"/>
      <c r="BW358" s="1070"/>
      <c r="BX358" s="1070"/>
      <c r="BY358" s="1070"/>
      <c r="BZ358" s="1070"/>
      <c r="CA358" s="1070"/>
      <c r="CB358" s="1070"/>
      <c r="CC358" s="1070"/>
      <c r="CD358" s="1070"/>
      <c r="CE358" s="1070"/>
      <c r="CF358" s="1070"/>
      <c r="CG358" s="1070"/>
      <c r="CH358" s="1070"/>
      <c r="CI358" s="1070"/>
      <c r="CJ358" s="1070"/>
      <c r="CK358" s="1070"/>
      <c r="CL358" s="1070"/>
      <c r="CM358" s="1070"/>
      <c r="CN358" s="1070"/>
      <c r="CO358" s="1070"/>
      <c r="CP358" s="1070"/>
      <c r="CQ358" s="1070"/>
      <c r="CR358" s="1070"/>
      <c r="CS358" s="1070"/>
      <c r="CT358" s="1070"/>
      <c r="CU358" s="1070"/>
      <c r="CV358" s="1070"/>
      <c r="CW358" s="1070"/>
      <c r="CX358" s="1070"/>
      <c r="CY358" s="1070"/>
      <c r="CZ358" s="1070"/>
      <c r="DA358" s="1070"/>
      <c r="DB358" s="1070"/>
      <c r="DC358" s="1070"/>
      <c r="DD358" s="1070"/>
      <c r="DE358" s="1070"/>
      <c r="DF358" s="1070"/>
      <c r="DG358" s="1070"/>
      <c r="DH358" s="1070"/>
      <c r="DI358" s="1070"/>
      <c r="DJ358" s="1070"/>
    </row>
    <row r="359" spans="1:114" s="1136" customFormat="1" ht="15" x14ac:dyDescent="0.2">
      <c r="A359" s="1391" t="s">
        <v>793</v>
      </c>
      <c r="B359" s="1641">
        <f>IF(B186=2,0,B171/B172)</f>
        <v>0</v>
      </c>
      <c r="C359" s="1407"/>
      <c r="D359" s="1407"/>
      <c r="E359" s="1407"/>
      <c r="F359" s="1407"/>
      <c r="G359" s="1407"/>
      <c r="H359" s="1070"/>
      <c r="I359" s="1070"/>
      <c r="J359" s="1070"/>
      <c r="K359" s="1070"/>
      <c r="L359" s="1070"/>
      <c r="M359" s="1070"/>
      <c r="N359" s="1070"/>
      <c r="O359" s="1070"/>
      <c r="P359" s="1070"/>
      <c r="Q359" s="1070"/>
      <c r="R359" s="1070"/>
      <c r="S359" s="1070"/>
      <c r="T359" s="1070"/>
      <c r="U359" s="1070"/>
      <c r="V359" s="1070"/>
      <c r="W359" s="1070"/>
      <c r="X359" s="1070"/>
      <c r="Y359" s="1070"/>
      <c r="Z359" s="1070"/>
      <c r="AA359" s="1070"/>
      <c r="AB359" s="1070"/>
      <c r="AC359" s="1070"/>
      <c r="AD359" s="1070"/>
      <c r="AE359" s="1070"/>
      <c r="AF359" s="1070"/>
      <c r="AG359" s="1070"/>
      <c r="AH359" s="1070"/>
      <c r="AI359" s="1070"/>
      <c r="AJ359" s="1070"/>
      <c r="AK359" s="1070"/>
      <c r="AL359" s="1070"/>
      <c r="AM359" s="1070"/>
      <c r="AN359" s="1070"/>
      <c r="AO359" s="1070"/>
      <c r="AP359" s="1070"/>
      <c r="AQ359" s="1070"/>
      <c r="AR359" s="1070"/>
      <c r="AS359" s="1070"/>
      <c r="AT359" s="1070"/>
      <c r="AU359" s="1070"/>
      <c r="AV359" s="1070"/>
      <c r="AW359" s="1070"/>
      <c r="AX359" s="1070"/>
      <c r="AY359" s="1070"/>
      <c r="AZ359" s="1070"/>
      <c r="BA359" s="1070"/>
      <c r="BB359" s="1070"/>
      <c r="BC359" s="1070"/>
      <c r="BD359" s="1070"/>
      <c r="BE359" s="1070"/>
      <c r="BF359" s="1070"/>
      <c r="BG359" s="1070"/>
      <c r="BH359" s="1070"/>
      <c r="BI359" s="1070"/>
      <c r="BJ359" s="1070"/>
      <c r="BK359" s="1070"/>
      <c r="BL359" s="1070"/>
      <c r="BM359" s="1070"/>
      <c r="BN359" s="1070"/>
      <c r="BO359" s="1070"/>
      <c r="BP359" s="1070"/>
      <c r="BQ359" s="1070"/>
      <c r="BR359" s="1070"/>
      <c r="BS359" s="1070"/>
      <c r="BT359" s="1070"/>
      <c r="BU359" s="1070"/>
      <c r="BV359" s="1070"/>
      <c r="BW359" s="1070"/>
      <c r="BX359" s="1070"/>
      <c r="BY359" s="1070"/>
      <c r="BZ359" s="1070"/>
      <c r="CA359" s="1070"/>
      <c r="CB359" s="1070"/>
      <c r="CC359" s="1070"/>
      <c r="CD359" s="1070"/>
      <c r="CE359" s="1070"/>
      <c r="CF359" s="1070"/>
      <c r="CG359" s="1070"/>
      <c r="CH359" s="1070"/>
      <c r="CI359" s="1070"/>
      <c r="CJ359" s="1070"/>
      <c r="CK359" s="1070"/>
      <c r="CL359" s="1070"/>
      <c r="CM359" s="1070"/>
      <c r="CN359" s="1070"/>
      <c r="CO359" s="1070"/>
      <c r="CP359" s="1070"/>
      <c r="CQ359" s="1070"/>
      <c r="CR359" s="1070"/>
      <c r="CS359" s="1070"/>
      <c r="CT359" s="1070"/>
      <c r="CU359" s="1070"/>
      <c r="CV359" s="1070"/>
      <c r="CW359" s="1070"/>
      <c r="CX359" s="1070"/>
      <c r="CY359" s="1070"/>
      <c r="CZ359" s="1070"/>
      <c r="DA359" s="1070"/>
      <c r="DB359" s="1070"/>
      <c r="DC359" s="1070"/>
      <c r="DD359" s="1070"/>
      <c r="DE359" s="1070"/>
      <c r="DF359" s="1070"/>
      <c r="DG359" s="1070"/>
      <c r="DH359" s="1070"/>
      <c r="DI359" s="1070"/>
      <c r="DJ359" s="1070"/>
    </row>
    <row r="360" spans="1:114" s="1136" customFormat="1" ht="15" x14ac:dyDescent="0.2">
      <c r="A360" s="1391" t="s">
        <v>794</v>
      </c>
      <c r="B360" s="1641" t="e">
        <f>B358+B359+B184</f>
        <v>#VALUE!</v>
      </c>
      <c r="C360" s="1407"/>
      <c r="D360" s="1407"/>
      <c r="E360" s="1407"/>
      <c r="F360" s="1407"/>
      <c r="G360" s="1407"/>
      <c r="H360" s="1070"/>
      <c r="I360" s="1070"/>
      <c r="J360" s="1070"/>
      <c r="K360" s="1070"/>
      <c r="L360" s="1070"/>
      <c r="M360" s="1070"/>
      <c r="N360" s="1070"/>
      <c r="O360" s="1070"/>
      <c r="P360" s="1070"/>
      <c r="Q360" s="1070"/>
      <c r="R360" s="1070"/>
      <c r="S360" s="1070"/>
      <c r="T360" s="1070"/>
      <c r="U360" s="1070"/>
      <c r="V360" s="1070"/>
      <c r="W360" s="1070"/>
      <c r="X360" s="1070"/>
      <c r="Y360" s="1070"/>
      <c r="Z360" s="1070"/>
      <c r="AA360" s="1070"/>
      <c r="AB360" s="1070"/>
      <c r="AC360" s="1070"/>
      <c r="AD360" s="1070"/>
      <c r="AE360" s="1070"/>
      <c r="AF360" s="1070"/>
      <c r="AG360" s="1070"/>
      <c r="AH360" s="1070"/>
      <c r="AI360" s="1070"/>
      <c r="AJ360" s="1070"/>
      <c r="AK360" s="1070"/>
      <c r="AL360" s="1070"/>
      <c r="AM360" s="1070"/>
      <c r="AN360" s="1070"/>
      <c r="AO360" s="1070"/>
      <c r="AP360" s="1070"/>
      <c r="AQ360" s="1070"/>
      <c r="AR360" s="1070"/>
      <c r="AS360" s="1070"/>
      <c r="AT360" s="1070"/>
      <c r="AU360" s="1070"/>
      <c r="AV360" s="1070"/>
      <c r="AW360" s="1070"/>
      <c r="AX360" s="1070"/>
      <c r="AY360" s="1070"/>
      <c r="AZ360" s="1070"/>
      <c r="BA360" s="1070"/>
      <c r="BB360" s="1070"/>
      <c r="BC360" s="1070"/>
      <c r="BD360" s="1070"/>
      <c r="BE360" s="1070"/>
      <c r="BF360" s="1070"/>
      <c r="BG360" s="1070"/>
      <c r="BH360" s="1070"/>
      <c r="BI360" s="1070"/>
      <c r="BJ360" s="1070"/>
      <c r="BK360" s="1070"/>
      <c r="BL360" s="1070"/>
      <c r="BM360" s="1070"/>
      <c r="BN360" s="1070"/>
      <c r="BO360" s="1070"/>
      <c r="BP360" s="1070"/>
      <c r="BQ360" s="1070"/>
      <c r="BR360" s="1070"/>
      <c r="BS360" s="1070"/>
      <c r="BT360" s="1070"/>
      <c r="BU360" s="1070"/>
      <c r="BV360" s="1070"/>
      <c r="BW360" s="1070"/>
      <c r="BX360" s="1070"/>
      <c r="BY360" s="1070"/>
      <c r="BZ360" s="1070"/>
      <c r="CA360" s="1070"/>
      <c r="CB360" s="1070"/>
      <c r="CC360" s="1070"/>
      <c r="CD360" s="1070"/>
      <c r="CE360" s="1070"/>
      <c r="CF360" s="1070"/>
      <c r="CG360" s="1070"/>
      <c r="CH360" s="1070"/>
      <c r="CI360" s="1070"/>
      <c r="CJ360" s="1070"/>
      <c r="CK360" s="1070"/>
      <c r="CL360" s="1070"/>
      <c r="CM360" s="1070"/>
      <c r="CN360" s="1070"/>
      <c r="CO360" s="1070"/>
      <c r="CP360" s="1070"/>
      <c r="CQ360" s="1070"/>
      <c r="CR360" s="1070"/>
      <c r="CS360" s="1070"/>
      <c r="CT360" s="1070"/>
      <c r="CU360" s="1070"/>
      <c r="CV360" s="1070"/>
      <c r="CW360" s="1070"/>
      <c r="CX360" s="1070"/>
      <c r="CY360" s="1070"/>
      <c r="CZ360" s="1070"/>
      <c r="DA360" s="1070"/>
      <c r="DB360" s="1070"/>
      <c r="DC360" s="1070"/>
      <c r="DD360" s="1070"/>
      <c r="DE360" s="1070"/>
      <c r="DF360" s="1070"/>
      <c r="DG360" s="1070"/>
      <c r="DH360" s="1070"/>
      <c r="DI360" s="1070"/>
      <c r="DJ360" s="1070"/>
    </row>
    <row r="361" spans="1:114" s="1136" customFormat="1" ht="15" x14ac:dyDescent="0.2">
      <c r="A361" s="1391" t="s">
        <v>795</v>
      </c>
      <c r="B361" s="1641" t="e">
        <f>B171*B357</f>
        <v>#VALUE!</v>
      </c>
      <c r="C361" s="1407"/>
      <c r="D361" s="1407"/>
      <c r="E361" s="1407"/>
      <c r="F361" s="1407"/>
      <c r="G361" s="1407"/>
      <c r="H361" s="1070"/>
      <c r="I361" s="1070"/>
      <c r="J361" s="1070"/>
      <c r="K361" s="1070"/>
      <c r="L361" s="1070"/>
      <c r="M361" s="1070"/>
      <c r="N361" s="1070"/>
      <c r="O361" s="1070"/>
      <c r="P361" s="1070"/>
      <c r="Q361" s="1070"/>
      <c r="R361" s="1070"/>
      <c r="S361" s="1070"/>
      <c r="T361" s="1070"/>
      <c r="U361" s="1070"/>
      <c r="V361" s="1070"/>
      <c r="W361" s="1070"/>
      <c r="X361" s="1070"/>
      <c r="Y361" s="1070"/>
      <c r="Z361" s="1070"/>
      <c r="AA361" s="1070"/>
      <c r="AB361" s="1070"/>
      <c r="AC361" s="1070"/>
      <c r="AD361" s="1070"/>
      <c r="AE361" s="1070"/>
      <c r="AF361" s="1070"/>
      <c r="AG361" s="1070"/>
      <c r="AH361" s="1070"/>
      <c r="AI361" s="1070"/>
      <c r="AJ361" s="1070"/>
      <c r="AK361" s="1070"/>
      <c r="AL361" s="1070"/>
      <c r="AM361" s="1070"/>
      <c r="AN361" s="1070"/>
      <c r="AO361" s="1070"/>
      <c r="AP361" s="1070"/>
      <c r="AQ361" s="1070"/>
      <c r="AR361" s="1070"/>
      <c r="AS361" s="1070"/>
      <c r="AT361" s="1070"/>
      <c r="AU361" s="1070"/>
      <c r="AV361" s="1070"/>
      <c r="AW361" s="1070"/>
      <c r="AX361" s="1070"/>
      <c r="AY361" s="1070"/>
      <c r="AZ361" s="1070"/>
      <c r="BA361" s="1070"/>
      <c r="BB361" s="1070"/>
      <c r="BC361" s="1070"/>
      <c r="BD361" s="1070"/>
      <c r="BE361" s="1070"/>
      <c r="BF361" s="1070"/>
      <c r="BG361" s="1070"/>
      <c r="BH361" s="1070"/>
      <c r="BI361" s="1070"/>
      <c r="BJ361" s="1070"/>
      <c r="BK361" s="1070"/>
      <c r="BL361" s="1070"/>
      <c r="BM361" s="1070"/>
      <c r="BN361" s="1070"/>
      <c r="BO361" s="1070"/>
      <c r="BP361" s="1070"/>
      <c r="BQ361" s="1070"/>
      <c r="BR361" s="1070"/>
      <c r="BS361" s="1070"/>
      <c r="BT361" s="1070"/>
      <c r="BU361" s="1070"/>
      <c r="BV361" s="1070"/>
      <c r="BW361" s="1070"/>
      <c r="BX361" s="1070"/>
      <c r="BY361" s="1070"/>
      <c r="BZ361" s="1070"/>
      <c r="CA361" s="1070"/>
      <c r="CB361" s="1070"/>
      <c r="CC361" s="1070"/>
      <c r="CD361" s="1070"/>
      <c r="CE361" s="1070"/>
      <c r="CF361" s="1070"/>
      <c r="CG361" s="1070"/>
      <c r="CH361" s="1070"/>
      <c r="CI361" s="1070"/>
      <c r="CJ361" s="1070"/>
      <c r="CK361" s="1070"/>
      <c r="CL361" s="1070"/>
      <c r="CM361" s="1070"/>
      <c r="CN361" s="1070"/>
      <c r="CO361" s="1070"/>
      <c r="CP361" s="1070"/>
      <c r="CQ361" s="1070"/>
      <c r="CR361" s="1070"/>
      <c r="CS361" s="1070"/>
      <c r="CT361" s="1070"/>
      <c r="CU361" s="1070"/>
      <c r="CV361" s="1070"/>
      <c r="CW361" s="1070"/>
      <c r="CX361" s="1070"/>
      <c r="CY361" s="1070"/>
      <c r="CZ361" s="1070"/>
      <c r="DA361" s="1070"/>
      <c r="DB361" s="1070"/>
      <c r="DC361" s="1070"/>
      <c r="DD361" s="1070"/>
      <c r="DE361" s="1070"/>
      <c r="DF361" s="1070"/>
      <c r="DG361" s="1070"/>
      <c r="DH361" s="1070"/>
      <c r="DI361" s="1070"/>
      <c r="DJ361" s="1070"/>
    </row>
    <row r="362" spans="1:114" s="1136" customFormat="1" ht="15" x14ac:dyDescent="0.2">
      <c r="A362" s="1391" t="s">
        <v>796</v>
      </c>
      <c r="B362" s="1641" t="e">
        <f>360-B360</f>
        <v>#VALUE!</v>
      </c>
      <c r="C362" s="1407"/>
      <c r="D362" s="1407"/>
      <c r="E362" s="1407"/>
      <c r="F362" s="1407"/>
      <c r="G362" s="1407"/>
      <c r="H362" s="1070"/>
      <c r="I362" s="1070"/>
      <c r="J362" s="1070"/>
      <c r="K362" s="1070"/>
      <c r="L362" s="1070"/>
      <c r="M362" s="1070"/>
      <c r="N362" s="1070"/>
      <c r="O362" s="1070"/>
      <c r="P362" s="1070"/>
      <c r="Q362" s="1070"/>
      <c r="R362" s="1070"/>
      <c r="S362" s="1070"/>
      <c r="T362" s="1070"/>
      <c r="U362" s="1070"/>
      <c r="V362" s="1070"/>
      <c r="W362" s="1070"/>
      <c r="X362" s="1070"/>
      <c r="Y362" s="1070"/>
      <c r="Z362" s="1070"/>
      <c r="AA362" s="1070"/>
      <c r="AB362" s="1070"/>
      <c r="AC362" s="1070"/>
      <c r="AD362" s="1070"/>
      <c r="AE362" s="1070"/>
      <c r="AF362" s="1070"/>
      <c r="AG362" s="1070"/>
      <c r="AH362" s="1070"/>
      <c r="AI362" s="1070"/>
      <c r="AJ362" s="1070"/>
      <c r="AK362" s="1070"/>
      <c r="AL362" s="1070"/>
      <c r="AM362" s="1070"/>
      <c r="AN362" s="1070"/>
      <c r="AO362" s="1070"/>
      <c r="AP362" s="1070"/>
      <c r="AQ362" s="1070"/>
      <c r="AR362" s="1070"/>
      <c r="AS362" s="1070"/>
      <c r="AT362" s="1070"/>
      <c r="AU362" s="1070"/>
      <c r="AV362" s="1070"/>
      <c r="AW362" s="1070"/>
      <c r="AX362" s="1070"/>
      <c r="AY362" s="1070"/>
      <c r="AZ362" s="1070"/>
      <c r="BA362" s="1070"/>
      <c r="BB362" s="1070"/>
      <c r="BC362" s="1070"/>
      <c r="BD362" s="1070"/>
      <c r="BE362" s="1070"/>
      <c r="BF362" s="1070"/>
      <c r="BG362" s="1070"/>
      <c r="BH362" s="1070"/>
      <c r="BI362" s="1070"/>
      <c r="BJ362" s="1070"/>
      <c r="BK362" s="1070"/>
      <c r="BL362" s="1070"/>
      <c r="BM362" s="1070"/>
      <c r="BN362" s="1070"/>
      <c r="BO362" s="1070"/>
      <c r="BP362" s="1070"/>
      <c r="BQ362" s="1070"/>
      <c r="BR362" s="1070"/>
      <c r="BS362" s="1070"/>
      <c r="BT362" s="1070"/>
      <c r="BU362" s="1070"/>
      <c r="BV362" s="1070"/>
      <c r="BW362" s="1070"/>
      <c r="BX362" s="1070"/>
      <c r="BY362" s="1070"/>
      <c r="BZ362" s="1070"/>
      <c r="CA362" s="1070"/>
      <c r="CB362" s="1070"/>
      <c r="CC362" s="1070"/>
      <c r="CD362" s="1070"/>
      <c r="CE362" s="1070"/>
      <c r="CF362" s="1070"/>
      <c r="CG362" s="1070"/>
      <c r="CH362" s="1070"/>
      <c r="CI362" s="1070"/>
      <c r="CJ362" s="1070"/>
      <c r="CK362" s="1070"/>
      <c r="CL362" s="1070"/>
      <c r="CM362" s="1070"/>
      <c r="CN362" s="1070"/>
      <c r="CO362" s="1070"/>
      <c r="CP362" s="1070"/>
      <c r="CQ362" s="1070"/>
      <c r="CR362" s="1070"/>
      <c r="CS362" s="1070"/>
      <c r="CT362" s="1070"/>
      <c r="CU362" s="1070"/>
      <c r="CV362" s="1070"/>
      <c r="CW362" s="1070"/>
      <c r="CX362" s="1070"/>
      <c r="CY362" s="1070"/>
      <c r="CZ362" s="1070"/>
      <c r="DA362" s="1070"/>
      <c r="DB362" s="1070"/>
      <c r="DC362" s="1070"/>
      <c r="DD362" s="1070"/>
      <c r="DE362" s="1070"/>
      <c r="DF362" s="1070"/>
      <c r="DG362" s="1070"/>
      <c r="DH362" s="1070"/>
      <c r="DI362" s="1070"/>
      <c r="DJ362" s="1070"/>
    </row>
    <row r="363" spans="1:114" s="1136" customFormat="1" ht="15.75" x14ac:dyDescent="0.25">
      <c r="A363" s="1391" t="s">
        <v>797</v>
      </c>
      <c r="B363" s="1657" t="e">
        <f>B361/B362</f>
        <v>#VALUE!</v>
      </c>
      <c r="C363" s="1410"/>
      <c r="D363" s="1410"/>
      <c r="E363" s="1410"/>
      <c r="F363" s="1410"/>
      <c r="G363" s="1410"/>
      <c r="H363" s="1070"/>
      <c r="I363" s="1070"/>
      <c r="J363" s="1070"/>
      <c r="K363" s="1070"/>
      <c r="L363" s="1070"/>
      <c r="M363" s="1070"/>
      <c r="N363" s="1070"/>
      <c r="O363" s="1070"/>
      <c r="P363" s="1070"/>
      <c r="Q363" s="1070"/>
      <c r="R363" s="1070"/>
      <c r="S363" s="1070"/>
      <c r="T363" s="1070"/>
      <c r="U363" s="1070"/>
      <c r="V363" s="1070"/>
      <c r="W363" s="1070"/>
      <c r="X363" s="1070"/>
      <c r="Y363" s="1070"/>
      <c r="Z363" s="1070"/>
      <c r="AA363" s="1070"/>
      <c r="AB363" s="1070"/>
      <c r="AC363" s="1070"/>
      <c r="AD363" s="1070"/>
      <c r="AE363" s="1070"/>
      <c r="AF363" s="1070"/>
      <c r="AG363" s="1070"/>
      <c r="AH363" s="1070"/>
      <c r="AI363" s="1070"/>
      <c r="AJ363" s="1070"/>
      <c r="AK363" s="1070"/>
      <c r="AL363" s="1070"/>
      <c r="AM363" s="1070"/>
      <c r="AN363" s="1070"/>
      <c r="AO363" s="1070"/>
      <c r="AP363" s="1070"/>
      <c r="AQ363" s="1070"/>
      <c r="AR363" s="1070"/>
      <c r="AS363" s="1070"/>
      <c r="AT363" s="1070"/>
      <c r="AU363" s="1070"/>
      <c r="AV363" s="1070"/>
      <c r="AW363" s="1070"/>
      <c r="AX363" s="1070"/>
      <c r="AY363" s="1070"/>
      <c r="AZ363" s="1070"/>
      <c r="BA363" s="1070"/>
      <c r="BB363" s="1070"/>
      <c r="BC363" s="1070"/>
      <c r="BD363" s="1070"/>
      <c r="BE363" s="1070"/>
      <c r="BF363" s="1070"/>
      <c r="BG363" s="1070"/>
      <c r="BH363" s="1070"/>
      <c r="BI363" s="1070"/>
      <c r="BJ363" s="1070"/>
      <c r="BK363" s="1070"/>
      <c r="BL363" s="1070"/>
      <c r="BM363" s="1070"/>
      <c r="BN363" s="1070"/>
      <c r="BO363" s="1070"/>
      <c r="BP363" s="1070"/>
      <c r="BQ363" s="1070"/>
      <c r="BR363" s="1070"/>
      <c r="BS363" s="1070"/>
      <c r="BT363" s="1070"/>
      <c r="BU363" s="1070"/>
      <c r="BV363" s="1070"/>
      <c r="BW363" s="1070"/>
      <c r="BX363" s="1070"/>
      <c r="BY363" s="1070"/>
      <c r="BZ363" s="1070"/>
      <c r="CA363" s="1070"/>
      <c r="CB363" s="1070"/>
      <c r="CC363" s="1070"/>
      <c r="CD363" s="1070"/>
      <c r="CE363" s="1070"/>
      <c r="CF363" s="1070"/>
      <c r="CG363" s="1070"/>
      <c r="CH363" s="1070"/>
      <c r="CI363" s="1070"/>
      <c r="CJ363" s="1070"/>
      <c r="CK363" s="1070"/>
      <c r="CL363" s="1070"/>
      <c r="CM363" s="1070"/>
      <c r="CN363" s="1070"/>
      <c r="CO363" s="1070"/>
      <c r="CP363" s="1070"/>
      <c r="CQ363" s="1070"/>
      <c r="CR363" s="1070"/>
      <c r="CS363" s="1070"/>
      <c r="CT363" s="1070"/>
      <c r="CU363" s="1070"/>
      <c r="CV363" s="1070"/>
      <c r="CW363" s="1070"/>
      <c r="CX363" s="1070"/>
      <c r="CY363" s="1070"/>
      <c r="CZ363" s="1070"/>
      <c r="DA363" s="1070"/>
      <c r="DB363" s="1070"/>
      <c r="DC363" s="1070"/>
      <c r="DD363" s="1070"/>
      <c r="DE363" s="1070"/>
      <c r="DF363" s="1070"/>
      <c r="DG363" s="1070"/>
      <c r="DH363" s="1070"/>
      <c r="DI363" s="1070"/>
      <c r="DJ363" s="1070"/>
    </row>
    <row r="364" spans="1:114" s="1136" customFormat="1" ht="15" x14ac:dyDescent="0.2">
      <c r="A364" s="1391" t="s">
        <v>798</v>
      </c>
      <c r="B364" s="1641" t="e">
        <f>B362/360</f>
        <v>#VALUE!</v>
      </c>
      <c r="C364" s="1407"/>
      <c r="D364" s="1407"/>
      <c r="E364" s="1407"/>
      <c r="F364" s="1407"/>
      <c r="G364" s="1407"/>
      <c r="H364" s="1070"/>
      <c r="I364" s="1070"/>
      <c r="J364" s="1070"/>
      <c r="K364" s="1070"/>
      <c r="L364" s="1070"/>
      <c r="M364" s="1070"/>
      <c r="N364" s="1070"/>
      <c r="O364" s="1070"/>
      <c r="P364" s="1070"/>
      <c r="Q364" s="1070"/>
      <c r="R364" s="1070"/>
      <c r="S364" s="1070"/>
      <c r="T364" s="1070"/>
      <c r="U364" s="1070"/>
      <c r="V364" s="1070"/>
      <c r="W364" s="1070"/>
      <c r="X364" s="1070"/>
      <c r="Y364" s="1070"/>
      <c r="Z364" s="1070"/>
      <c r="AA364" s="1070"/>
      <c r="AB364" s="1070"/>
      <c r="AC364" s="1070"/>
      <c r="AD364" s="1070"/>
      <c r="AE364" s="1070"/>
      <c r="AF364" s="1070"/>
      <c r="AG364" s="1070"/>
      <c r="AH364" s="1070"/>
      <c r="AI364" s="1070"/>
      <c r="AJ364" s="1070"/>
      <c r="AK364" s="1070"/>
      <c r="AL364" s="1070"/>
      <c r="AM364" s="1070"/>
      <c r="AN364" s="1070"/>
      <c r="AO364" s="1070"/>
      <c r="AP364" s="1070"/>
      <c r="AQ364" s="1070"/>
      <c r="AR364" s="1070"/>
      <c r="AS364" s="1070"/>
      <c r="AT364" s="1070"/>
      <c r="AU364" s="1070"/>
      <c r="AV364" s="1070"/>
      <c r="AW364" s="1070"/>
      <c r="AX364" s="1070"/>
      <c r="AY364" s="1070"/>
      <c r="AZ364" s="1070"/>
      <c r="BA364" s="1070"/>
      <c r="BB364" s="1070"/>
      <c r="BC364" s="1070"/>
      <c r="BD364" s="1070"/>
      <c r="BE364" s="1070"/>
      <c r="BF364" s="1070"/>
      <c r="BG364" s="1070"/>
      <c r="BH364" s="1070"/>
      <c r="BI364" s="1070"/>
      <c r="BJ364" s="1070"/>
      <c r="BK364" s="1070"/>
      <c r="BL364" s="1070"/>
      <c r="BM364" s="1070"/>
      <c r="BN364" s="1070"/>
      <c r="BO364" s="1070"/>
      <c r="BP364" s="1070"/>
      <c r="BQ364" s="1070"/>
      <c r="BR364" s="1070"/>
      <c r="BS364" s="1070"/>
      <c r="BT364" s="1070"/>
      <c r="BU364" s="1070"/>
      <c r="BV364" s="1070"/>
      <c r="BW364" s="1070"/>
      <c r="BX364" s="1070"/>
      <c r="BY364" s="1070"/>
      <c r="BZ364" s="1070"/>
      <c r="CA364" s="1070"/>
      <c r="CB364" s="1070"/>
      <c r="CC364" s="1070"/>
      <c r="CD364" s="1070"/>
      <c r="CE364" s="1070"/>
      <c r="CF364" s="1070"/>
      <c r="CG364" s="1070"/>
      <c r="CH364" s="1070"/>
      <c r="CI364" s="1070"/>
      <c r="CJ364" s="1070"/>
      <c r="CK364" s="1070"/>
      <c r="CL364" s="1070"/>
      <c r="CM364" s="1070"/>
      <c r="CN364" s="1070"/>
      <c r="CO364" s="1070"/>
      <c r="CP364" s="1070"/>
      <c r="CQ364" s="1070"/>
      <c r="CR364" s="1070"/>
      <c r="CS364" s="1070"/>
      <c r="CT364" s="1070"/>
      <c r="CU364" s="1070"/>
      <c r="CV364" s="1070"/>
      <c r="CW364" s="1070"/>
      <c r="CX364" s="1070"/>
      <c r="CY364" s="1070"/>
      <c r="CZ364" s="1070"/>
      <c r="DA364" s="1070"/>
      <c r="DB364" s="1070"/>
      <c r="DC364" s="1070"/>
      <c r="DD364" s="1070"/>
      <c r="DE364" s="1070"/>
      <c r="DF364" s="1070"/>
      <c r="DG364" s="1070"/>
      <c r="DH364" s="1070"/>
      <c r="DI364" s="1070"/>
      <c r="DJ364" s="1070"/>
    </row>
    <row r="365" spans="1:114" s="1136" customFormat="1" ht="15.75" x14ac:dyDescent="0.25">
      <c r="A365" s="1959" t="s">
        <v>799</v>
      </c>
      <c r="B365" s="1960" t="e">
        <f>IF(B363&lt;0.378,1,IF(B363&lt;0.448,2,IF(B363&lt;0.512,3,IF(B363&lt;0.59,4,IF(B363&lt;0.68,5,IF(B363&lt;0.79,6,B366))))))</f>
        <v>#VALUE!</v>
      </c>
      <c r="C365" s="1407"/>
      <c r="D365" s="1407"/>
      <c r="E365" s="1407"/>
      <c r="F365" s="1407"/>
      <c r="G365" s="1407"/>
      <c r="H365" s="1070"/>
      <c r="I365" s="1070"/>
      <c r="J365" s="1070"/>
      <c r="K365" s="1070"/>
      <c r="L365" s="1070"/>
      <c r="M365" s="1070"/>
      <c r="N365" s="1070"/>
      <c r="O365" s="1070"/>
      <c r="P365" s="1070"/>
      <c r="Q365" s="1070"/>
      <c r="R365" s="1070"/>
      <c r="S365" s="1070"/>
      <c r="T365" s="1070"/>
      <c r="U365" s="1070"/>
      <c r="V365" s="1070"/>
      <c r="W365" s="1070"/>
      <c r="X365" s="1070"/>
      <c r="Y365" s="1070"/>
      <c r="Z365" s="1070"/>
      <c r="AA365" s="1070"/>
      <c r="AB365" s="1070"/>
      <c r="AC365" s="1070"/>
      <c r="AD365" s="1070"/>
      <c r="AE365" s="1070"/>
      <c r="AF365" s="1070"/>
      <c r="AG365" s="1070"/>
      <c r="AH365" s="1070"/>
      <c r="AI365" s="1070"/>
      <c r="AJ365" s="1070"/>
      <c r="AK365" s="1070"/>
      <c r="AL365" s="1070"/>
      <c r="AM365" s="1070"/>
      <c r="AN365" s="1070"/>
      <c r="AO365" s="1070"/>
      <c r="AP365" s="1070"/>
      <c r="AQ365" s="1070"/>
      <c r="AR365" s="1070"/>
      <c r="AS365" s="1070"/>
      <c r="AT365" s="1070"/>
      <c r="AU365" s="1070"/>
      <c r="AV365" s="1070"/>
      <c r="AW365" s="1070"/>
      <c r="AX365" s="1070"/>
      <c r="AY365" s="1070"/>
      <c r="AZ365" s="1070"/>
      <c r="BA365" s="1070"/>
      <c r="BB365" s="1070"/>
      <c r="BC365" s="1070"/>
      <c r="BD365" s="1070"/>
      <c r="BE365" s="1070"/>
      <c r="BF365" s="1070"/>
      <c r="BG365" s="1070"/>
      <c r="BH365" s="1070"/>
      <c r="BI365" s="1070"/>
      <c r="BJ365" s="1070"/>
      <c r="BK365" s="1070"/>
      <c r="BL365" s="1070"/>
      <c r="BM365" s="1070"/>
      <c r="BN365" s="1070"/>
      <c r="BO365" s="1070"/>
      <c r="BP365" s="1070"/>
      <c r="BQ365" s="1070"/>
      <c r="BR365" s="1070"/>
      <c r="BS365" s="1070"/>
      <c r="BT365" s="1070"/>
      <c r="BU365" s="1070"/>
      <c r="BV365" s="1070"/>
      <c r="BW365" s="1070"/>
      <c r="BX365" s="1070"/>
      <c r="BY365" s="1070"/>
      <c r="BZ365" s="1070"/>
      <c r="CA365" s="1070"/>
      <c r="CB365" s="1070"/>
      <c r="CC365" s="1070"/>
      <c r="CD365" s="1070"/>
      <c r="CE365" s="1070"/>
      <c r="CF365" s="1070"/>
      <c r="CG365" s="1070"/>
      <c r="CH365" s="1070"/>
      <c r="CI365" s="1070"/>
      <c r="CJ365" s="1070"/>
      <c r="CK365" s="1070"/>
      <c r="CL365" s="1070"/>
      <c r="CM365" s="1070"/>
      <c r="CN365" s="1070"/>
      <c r="CO365" s="1070"/>
      <c r="CP365" s="1070"/>
      <c r="CQ365" s="1070"/>
      <c r="CR365" s="1070"/>
      <c r="CS365" s="1070"/>
      <c r="CT365" s="1070"/>
      <c r="CU365" s="1070"/>
      <c r="CV365" s="1070"/>
      <c r="CW365" s="1070"/>
      <c r="CX365" s="1070"/>
      <c r="CY365" s="1070"/>
      <c r="CZ365" s="1070"/>
      <c r="DA365" s="1070"/>
      <c r="DB365" s="1070"/>
      <c r="DC365" s="1070"/>
      <c r="DD365" s="1070"/>
      <c r="DE365" s="1070"/>
      <c r="DF365" s="1070"/>
      <c r="DG365" s="1070"/>
      <c r="DH365" s="1070"/>
      <c r="DI365" s="1070"/>
      <c r="DJ365" s="1070"/>
    </row>
    <row r="366" spans="1:114" s="1136" customFormat="1" ht="15" x14ac:dyDescent="0.2">
      <c r="A366" s="1961" t="s">
        <v>4137</v>
      </c>
      <c r="B366" s="1960" t="e">
        <f>IF(B363&lt;0.91,7,IF(B363&lt;1.06,8,IF(B363&lt;1.22,9,IF(B363&lt;1.42,10,IF(B363&lt;1.668,11,IF(B363&lt;1.95,12,B367))))))</f>
        <v>#VALUE!</v>
      </c>
      <c r="C366" s="1407"/>
      <c r="D366" s="1407"/>
      <c r="E366" s="1407"/>
      <c r="F366" s="1407"/>
      <c r="G366" s="1407"/>
      <c r="H366" s="1070"/>
      <c r="I366" s="1070"/>
      <c r="J366" s="1070"/>
      <c r="K366" s="1070"/>
      <c r="L366" s="1070"/>
      <c r="M366" s="1070"/>
      <c r="N366" s="1070"/>
      <c r="O366" s="1070"/>
      <c r="P366" s="1070"/>
      <c r="Q366" s="1070"/>
      <c r="R366" s="1070"/>
      <c r="S366" s="1070"/>
      <c r="T366" s="1070"/>
      <c r="U366" s="1070"/>
      <c r="V366" s="1070"/>
      <c r="W366" s="1070"/>
      <c r="X366" s="1070"/>
      <c r="Y366" s="1070"/>
      <c r="Z366" s="1070"/>
      <c r="AA366" s="1070"/>
      <c r="AB366" s="1070"/>
      <c r="AC366" s="1070"/>
      <c r="AD366" s="1070"/>
      <c r="AE366" s="1070"/>
      <c r="AF366" s="1070"/>
      <c r="AG366" s="1070"/>
      <c r="AH366" s="1070"/>
      <c r="AI366" s="1070"/>
      <c r="AJ366" s="1070"/>
      <c r="AK366" s="1070"/>
      <c r="AL366" s="1070"/>
      <c r="AM366" s="1070"/>
      <c r="AN366" s="1070"/>
      <c r="AO366" s="1070"/>
      <c r="AP366" s="1070"/>
      <c r="AQ366" s="1070"/>
      <c r="AR366" s="1070"/>
      <c r="AS366" s="1070"/>
      <c r="AT366" s="1070"/>
      <c r="AU366" s="1070"/>
      <c r="AV366" s="1070"/>
      <c r="AW366" s="1070"/>
      <c r="AX366" s="1070"/>
      <c r="AY366" s="1070"/>
      <c r="AZ366" s="1070"/>
      <c r="BA366" s="1070"/>
      <c r="BB366" s="1070"/>
      <c r="BC366" s="1070"/>
      <c r="BD366" s="1070"/>
      <c r="BE366" s="1070"/>
      <c r="BF366" s="1070"/>
      <c r="BG366" s="1070"/>
      <c r="BH366" s="1070"/>
      <c r="BI366" s="1070"/>
      <c r="BJ366" s="1070"/>
      <c r="BK366" s="1070"/>
      <c r="BL366" s="1070"/>
      <c r="BM366" s="1070"/>
      <c r="BN366" s="1070"/>
      <c r="BO366" s="1070"/>
      <c r="BP366" s="1070"/>
      <c r="BQ366" s="1070"/>
      <c r="BR366" s="1070"/>
      <c r="BS366" s="1070"/>
      <c r="BT366" s="1070"/>
      <c r="BU366" s="1070"/>
      <c r="BV366" s="1070"/>
      <c r="BW366" s="1070"/>
      <c r="BX366" s="1070"/>
      <c r="BY366" s="1070"/>
      <c r="BZ366" s="1070"/>
      <c r="CA366" s="1070"/>
      <c r="CB366" s="1070"/>
      <c r="CC366" s="1070"/>
      <c r="CD366" s="1070"/>
      <c r="CE366" s="1070"/>
      <c r="CF366" s="1070"/>
      <c r="CG366" s="1070"/>
      <c r="CH366" s="1070"/>
      <c r="CI366" s="1070"/>
      <c r="CJ366" s="1070"/>
      <c r="CK366" s="1070"/>
      <c r="CL366" s="1070"/>
      <c r="CM366" s="1070"/>
      <c r="CN366" s="1070"/>
      <c r="CO366" s="1070"/>
      <c r="CP366" s="1070"/>
      <c r="CQ366" s="1070"/>
      <c r="CR366" s="1070"/>
      <c r="CS366" s="1070"/>
      <c r="CT366" s="1070"/>
      <c r="CU366" s="1070"/>
      <c r="CV366" s="1070"/>
      <c r="CW366" s="1070"/>
      <c r="CX366" s="1070"/>
      <c r="CY366" s="1070"/>
      <c r="CZ366" s="1070"/>
      <c r="DA366" s="1070"/>
      <c r="DB366" s="1070"/>
      <c r="DC366" s="1070"/>
      <c r="DD366" s="1070"/>
      <c r="DE366" s="1070"/>
      <c r="DF366" s="1070"/>
      <c r="DG366" s="1070"/>
      <c r="DH366" s="1070"/>
      <c r="DI366" s="1070"/>
      <c r="DJ366" s="1070"/>
    </row>
    <row r="367" spans="1:114" s="1136" customFormat="1" ht="15" x14ac:dyDescent="0.2">
      <c r="A367" s="1961" t="s">
        <v>4137</v>
      </c>
      <c r="B367" s="1960" t="e">
        <f>IF(B363&lt;2.286,13,IF(B363&lt;2.71,14,IF(B363&lt;3.22,15,IF(B363&lt;3.82,16,IF(B363&lt;4.22,17,18)))))</f>
        <v>#VALUE!</v>
      </c>
      <c r="C367" s="1407"/>
      <c r="D367" s="1407"/>
      <c r="E367" s="1407"/>
      <c r="F367" s="1407"/>
      <c r="G367" s="1407"/>
      <c r="H367" s="1070"/>
      <c r="I367" s="1070"/>
      <c r="J367" s="1070"/>
      <c r="K367" s="1070"/>
      <c r="L367" s="1070"/>
      <c r="M367" s="1070"/>
      <c r="N367" s="1070"/>
      <c r="O367" s="1070"/>
      <c r="P367" s="1070"/>
      <c r="Q367" s="1070"/>
      <c r="R367" s="1070"/>
      <c r="S367" s="1070"/>
      <c r="T367" s="1070"/>
      <c r="U367" s="1070"/>
      <c r="V367" s="1070"/>
      <c r="W367" s="1070"/>
      <c r="X367" s="1070"/>
      <c r="Y367" s="1070"/>
      <c r="Z367" s="1070"/>
      <c r="AA367" s="1070"/>
      <c r="AB367" s="1070"/>
      <c r="AC367" s="1070"/>
      <c r="AD367" s="1070"/>
      <c r="AE367" s="1070"/>
      <c r="AF367" s="1070"/>
      <c r="AG367" s="1070"/>
      <c r="AH367" s="1070"/>
      <c r="AI367" s="1070"/>
      <c r="AJ367" s="1070"/>
      <c r="AK367" s="1070"/>
      <c r="AL367" s="1070"/>
      <c r="AM367" s="1070"/>
      <c r="AN367" s="1070"/>
      <c r="AO367" s="1070"/>
      <c r="AP367" s="1070"/>
      <c r="AQ367" s="1070"/>
      <c r="AR367" s="1070"/>
      <c r="AS367" s="1070"/>
      <c r="AT367" s="1070"/>
      <c r="AU367" s="1070"/>
      <c r="AV367" s="1070"/>
      <c r="AW367" s="1070"/>
      <c r="AX367" s="1070"/>
      <c r="AY367" s="1070"/>
      <c r="AZ367" s="1070"/>
      <c r="BA367" s="1070"/>
      <c r="BB367" s="1070"/>
      <c r="BC367" s="1070"/>
      <c r="BD367" s="1070"/>
      <c r="BE367" s="1070"/>
      <c r="BF367" s="1070"/>
      <c r="BG367" s="1070"/>
      <c r="BH367" s="1070"/>
      <c r="BI367" s="1070"/>
      <c r="BJ367" s="1070"/>
      <c r="BK367" s="1070"/>
      <c r="BL367" s="1070"/>
      <c r="BM367" s="1070"/>
      <c r="BN367" s="1070"/>
      <c r="BO367" s="1070"/>
      <c r="BP367" s="1070"/>
      <c r="BQ367" s="1070"/>
      <c r="BR367" s="1070"/>
      <c r="BS367" s="1070"/>
      <c r="BT367" s="1070"/>
      <c r="BU367" s="1070"/>
      <c r="BV367" s="1070"/>
      <c r="BW367" s="1070"/>
      <c r="BX367" s="1070"/>
      <c r="BY367" s="1070"/>
      <c r="BZ367" s="1070"/>
      <c r="CA367" s="1070"/>
      <c r="CB367" s="1070"/>
      <c r="CC367" s="1070"/>
      <c r="CD367" s="1070"/>
      <c r="CE367" s="1070"/>
      <c r="CF367" s="1070"/>
      <c r="CG367" s="1070"/>
      <c r="CH367" s="1070"/>
      <c r="CI367" s="1070"/>
      <c r="CJ367" s="1070"/>
      <c r="CK367" s="1070"/>
      <c r="CL367" s="1070"/>
      <c r="CM367" s="1070"/>
      <c r="CN367" s="1070"/>
      <c r="CO367" s="1070"/>
      <c r="CP367" s="1070"/>
      <c r="CQ367" s="1070"/>
      <c r="CR367" s="1070"/>
      <c r="CS367" s="1070"/>
      <c r="CT367" s="1070"/>
      <c r="CU367" s="1070"/>
      <c r="CV367" s="1070"/>
      <c r="CW367" s="1070"/>
      <c r="CX367" s="1070"/>
      <c r="CY367" s="1070"/>
      <c r="CZ367" s="1070"/>
      <c r="DA367" s="1070"/>
      <c r="DB367" s="1070"/>
      <c r="DC367" s="1070"/>
      <c r="DD367" s="1070"/>
      <c r="DE367" s="1070"/>
      <c r="DF367" s="1070"/>
      <c r="DG367" s="1070"/>
      <c r="DH367" s="1070"/>
      <c r="DI367" s="1070"/>
      <c r="DJ367" s="1070"/>
    </row>
    <row r="368" spans="1:114" s="1136" customFormat="1" ht="15.75" x14ac:dyDescent="0.25">
      <c r="A368" s="1403" t="s">
        <v>4131</v>
      </c>
      <c r="B368" s="1404"/>
      <c r="C368" s="1070"/>
      <c r="D368" s="1070"/>
      <c r="E368" s="1070"/>
      <c r="F368" s="1070"/>
      <c r="G368" s="1070"/>
      <c r="H368" s="1070"/>
      <c r="I368" s="1070"/>
      <c r="J368" s="1070"/>
      <c r="K368" s="1070"/>
      <c r="L368" s="1070"/>
      <c r="M368" s="1070"/>
      <c r="N368" s="1070"/>
      <c r="O368" s="1070"/>
      <c r="P368" s="1070"/>
      <c r="Q368" s="1070"/>
      <c r="R368" s="1070"/>
      <c r="S368" s="1070"/>
      <c r="T368" s="1070"/>
      <c r="U368" s="1070"/>
      <c r="V368" s="1070"/>
      <c r="W368" s="1070"/>
      <c r="X368" s="1070"/>
      <c r="Y368" s="1070"/>
      <c r="Z368" s="1070"/>
      <c r="AA368" s="1070"/>
      <c r="AB368" s="1070"/>
      <c r="AC368" s="1070"/>
      <c r="AD368" s="1070"/>
      <c r="AE368" s="1070"/>
      <c r="AF368" s="1070"/>
      <c r="AG368" s="1070"/>
      <c r="AH368" s="1070"/>
      <c r="AI368" s="1070"/>
      <c r="AJ368" s="1070"/>
      <c r="AK368" s="1070"/>
      <c r="AL368" s="1070"/>
      <c r="AM368" s="1070"/>
      <c r="AN368" s="1070"/>
      <c r="AO368" s="1070"/>
      <c r="AP368" s="1070"/>
      <c r="AQ368" s="1070"/>
      <c r="AR368" s="1070"/>
      <c r="AS368" s="1070"/>
      <c r="AT368" s="1070"/>
      <c r="AU368" s="1070"/>
      <c r="AV368" s="1070"/>
      <c r="AW368" s="1070"/>
      <c r="AX368" s="1070"/>
      <c r="AY368" s="1070"/>
      <c r="AZ368" s="1070"/>
      <c r="BA368" s="1070"/>
      <c r="BB368" s="1070"/>
      <c r="BC368" s="1070"/>
      <c r="BD368" s="1070"/>
      <c r="BE368" s="1070"/>
      <c r="BF368" s="1070"/>
      <c r="BG368" s="1070"/>
      <c r="BH368" s="1070"/>
      <c r="BI368" s="1070"/>
      <c r="BJ368" s="1070"/>
      <c r="BK368" s="1070"/>
      <c r="BL368" s="1070"/>
      <c r="BM368" s="1070"/>
      <c r="BN368" s="1070"/>
      <c r="BO368" s="1070"/>
      <c r="BP368" s="1070"/>
      <c r="BQ368" s="1070"/>
      <c r="BR368" s="1070"/>
      <c r="BS368" s="1070"/>
      <c r="BT368" s="1070"/>
      <c r="BU368" s="1070"/>
      <c r="BV368" s="1070"/>
      <c r="BW368" s="1070"/>
      <c r="BX368" s="1070"/>
      <c r="BY368" s="1070"/>
      <c r="BZ368" s="1070"/>
      <c r="CA368" s="1070"/>
      <c r="CB368" s="1070"/>
      <c r="CC368" s="1070"/>
      <c r="CD368" s="1070"/>
      <c r="CE368" s="1070"/>
      <c r="CF368" s="1070"/>
      <c r="CG368" s="1070"/>
      <c r="CH368" s="1070"/>
      <c r="CI368" s="1070"/>
      <c r="CJ368" s="1070"/>
      <c r="CK368" s="1070"/>
      <c r="CL368" s="1070"/>
      <c r="CM368" s="1070"/>
      <c r="CN368" s="1070"/>
      <c r="CO368" s="1070"/>
      <c r="CP368" s="1070"/>
      <c r="CQ368" s="1070"/>
      <c r="CR368" s="1070"/>
      <c r="CS368" s="1070"/>
      <c r="CT368" s="1070"/>
      <c r="CU368" s="1070"/>
      <c r="CV368" s="1070"/>
      <c r="CW368" s="1070"/>
      <c r="CX368" s="1070"/>
      <c r="CY368" s="1070"/>
      <c r="CZ368" s="1070"/>
      <c r="DA368" s="1070"/>
      <c r="DB368" s="1070"/>
      <c r="DC368" s="1070"/>
      <c r="DD368" s="1070"/>
      <c r="DE368" s="1070"/>
      <c r="DF368" s="1070"/>
      <c r="DG368" s="1070"/>
      <c r="DH368" s="1070"/>
      <c r="DI368" s="1070"/>
      <c r="DJ368" s="1070"/>
    </row>
    <row r="369" spans="1:114" s="1136" customFormat="1" ht="15.75" x14ac:dyDescent="0.25">
      <c r="A369" s="1403" t="s">
        <v>4132</v>
      </c>
      <c r="B369" s="1404"/>
      <c r="C369" s="1070"/>
      <c r="D369" s="1070"/>
      <c r="E369" s="1070"/>
      <c r="F369" s="1070"/>
      <c r="G369" s="1070"/>
      <c r="H369" s="1070"/>
      <c r="I369" s="1070"/>
      <c r="J369" s="1070"/>
      <c r="K369" s="1070"/>
      <c r="L369" s="1070"/>
      <c r="M369" s="1070"/>
      <c r="N369" s="1070"/>
      <c r="O369" s="1070"/>
      <c r="P369" s="1070"/>
      <c r="Q369" s="1070"/>
      <c r="R369" s="1070"/>
      <c r="S369" s="1070"/>
      <c r="T369" s="1070"/>
      <c r="U369" s="1070"/>
      <c r="V369" s="1070"/>
      <c r="W369" s="1070"/>
      <c r="X369" s="1070"/>
      <c r="Y369" s="1070"/>
      <c r="Z369" s="1070"/>
      <c r="AA369" s="1070"/>
      <c r="AB369" s="1070"/>
      <c r="AC369" s="1070"/>
      <c r="AD369" s="1070"/>
      <c r="AE369" s="1070"/>
      <c r="AF369" s="1070"/>
      <c r="AG369" s="1070"/>
      <c r="AH369" s="1070"/>
      <c r="AI369" s="1070"/>
      <c r="AJ369" s="1070"/>
      <c r="AK369" s="1070"/>
      <c r="AL369" s="1070"/>
      <c r="AM369" s="1070"/>
      <c r="AN369" s="1070"/>
      <c r="AO369" s="1070"/>
      <c r="AP369" s="1070"/>
      <c r="AQ369" s="1070"/>
      <c r="AR369" s="1070"/>
      <c r="AS369" s="1070"/>
      <c r="AT369" s="1070"/>
      <c r="AU369" s="1070"/>
      <c r="AV369" s="1070"/>
      <c r="AW369" s="1070"/>
      <c r="AX369" s="1070"/>
      <c r="AY369" s="1070"/>
      <c r="AZ369" s="1070"/>
      <c r="BA369" s="1070"/>
      <c r="BB369" s="1070"/>
      <c r="BC369" s="1070"/>
      <c r="BD369" s="1070"/>
      <c r="BE369" s="1070"/>
      <c r="BF369" s="1070"/>
      <c r="BG369" s="1070"/>
      <c r="BH369" s="1070"/>
      <c r="BI369" s="1070"/>
      <c r="BJ369" s="1070"/>
      <c r="BK369" s="1070"/>
      <c r="BL369" s="1070"/>
      <c r="BM369" s="1070"/>
      <c r="BN369" s="1070"/>
      <c r="BO369" s="1070"/>
      <c r="BP369" s="1070"/>
      <c r="BQ369" s="1070"/>
      <c r="BR369" s="1070"/>
      <c r="BS369" s="1070"/>
      <c r="BT369" s="1070"/>
      <c r="BU369" s="1070"/>
      <c r="BV369" s="1070"/>
      <c r="BW369" s="1070"/>
      <c r="BX369" s="1070"/>
      <c r="BY369" s="1070"/>
      <c r="BZ369" s="1070"/>
      <c r="CA369" s="1070"/>
      <c r="CB369" s="1070"/>
      <c r="CC369" s="1070"/>
      <c r="CD369" s="1070"/>
      <c r="CE369" s="1070"/>
      <c r="CF369" s="1070"/>
      <c r="CG369" s="1070"/>
      <c r="CH369" s="1070"/>
      <c r="CI369" s="1070"/>
      <c r="CJ369" s="1070"/>
      <c r="CK369" s="1070"/>
      <c r="CL369" s="1070"/>
      <c r="CM369" s="1070"/>
      <c r="CN369" s="1070"/>
      <c r="CO369" s="1070"/>
      <c r="CP369" s="1070"/>
      <c r="CQ369" s="1070"/>
      <c r="CR369" s="1070"/>
      <c r="CS369" s="1070"/>
      <c r="CT369" s="1070"/>
      <c r="CU369" s="1070"/>
      <c r="CV369" s="1070"/>
      <c r="CW369" s="1070"/>
      <c r="CX369" s="1070"/>
      <c r="CY369" s="1070"/>
      <c r="CZ369" s="1070"/>
      <c r="DA369" s="1070"/>
      <c r="DB369" s="1070"/>
      <c r="DC369" s="1070"/>
      <c r="DD369" s="1070"/>
      <c r="DE369" s="1070"/>
      <c r="DF369" s="1070"/>
      <c r="DG369" s="1070"/>
      <c r="DH369" s="1070"/>
      <c r="DI369" s="1070"/>
      <c r="DJ369" s="1070"/>
    </row>
    <row r="370" spans="1:114" s="1136" customFormat="1" ht="15" x14ac:dyDescent="0.2">
      <c r="A370" s="1405" t="s">
        <v>4133</v>
      </c>
      <c r="B370" s="1406" t="e">
        <f>IF(B173&lt;=1,INDEX($G$1541:$G$1544,B187),INDEX($H$1541:$H$1544,B187))</f>
        <v>#VALUE!</v>
      </c>
      <c r="C370" s="1407"/>
      <c r="D370" s="1407"/>
      <c r="E370" s="1407"/>
      <c r="F370" s="1407"/>
      <c r="G370" s="1407"/>
      <c r="H370" s="1070"/>
      <c r="I370" s="1070"/>
      <c r="J370" s="1070"/>
      <c r="K370" s="1070"/>
      <c r="L370" s="1070"/>
      <c r="M370" s="1070"/>
      <c r="N370" s="1070"/>
      <c r="O370" s="1070"/>
      <c r="P370" s="1070"/>
      <c r="Q370" s="1070"/>
      <c r="R370" s="1070"/>
      <c r="S370" s="1070"/>
      <c r="T370" s="1070"/>
      <c r="U370" s="1070"/>
      <c r="V370" s="1070"/>
      <c r="W370" s="1070"/>
      <c r="X370" s="1070"/>
      <c r="Y370" s="1070"/>
      <c r="Z370" s="1070"/>
      <c r="AA370" s="1070"/>
      <c r="AB370" s="1070"/>
      <c r="AC370" s="1070"/>
      <c r="AD370" s="1070"/>
      <c r="AE370" s="1070"/>
      <c r="AF370" s="1070"/>
      <c r="AG370" s="1070"/>
      <c r="AH370" s="1070"/>
      <c r="AI370" s="1070"/>
      <c r="AJ370" s="1070"/>
      <c r="AK370" s="1070"/>
      <c r="AL370" s="1070"/>
      <c r="AM370" s="1070"/>
      <c r="AN370" s="1070"/>
      <c r="AO370" s="1070"/>
      <c r="AP370" s="1070"/>
      <c r="AQ370" s="1070"/>
      <c r="AR370" s="1070"/>
      <c r="AS370" s="1070"/>
      <c r="AT370" s="1070"/>
      <c r="AU370" s="1070"/>
      <c r="AV370" s="1070"/>
      <c r="AW370" s="1070"/>
      <c r="AX370" s="1070"/>
      <c r="AY370" s="1070"/>
      <c r="AZ370" s="1070"/>
      <c r="BA370" s="1070"/>
      <c r="BB370" s="1070"/>
      <c r="BC370" s="1070"/>
      <c r="BD370" s="1070"/>
      <c r="BE370" s="1070"/>
      <c r="BF370" s="1070"/>
      <c r="BG370" s="1070"/>
      <c r="BH370" s="1070"/>
      <c r="BI370" s="1070"/>
      <c r="BJ370" s="1070"/>
      <c r="BK370" s="1070"/>
      <c r="BL370" s="1070"/>
      <c r="BM370" s="1070"/>
      <c r="BN370" s="1070"/>
      <c r="BO370" s="1070"/>
      <c r="BP370" s="1070"/>
      <c r="BQ370" s="1070"/>
      <c r="BR370" s="1070"/>
      <c r="BS370" s="1070"/>
      <c r="BT370" s="1070"/>
      <c r="BU370" s="1070"/>
      <c r="BV370" s="1070"/>
      <c r="BW370" s="1070"/>
      <c r="BX370" s="1070"/>
      <c r="BY370" s="1070"/>
      <c r="BZ370" s="1070"/>
      <c r="CA370" s="1070"/>
      <c r="CB370" s="1070"/>
      <c r="CC370" s="1070"/>
      <c r="CD370" s="1070"/>
      <c r="CE370" s="1070"/>
      <c r="CF370" s="1070"/>
      <c r="CG370" s="1070"/>
      <c r="CH370" s="1070"/>
      <c r="CI370" s="1070"/>
      <c r="CJ370" s="1070"/>
      <c r="CK370" s="1070"/>
      <c r="CL370" s="1070"/>
      <c r="CM370" s="1070"/>
      <c r="CN370" s="1070"/>
      <c r="CO370" s="1070"/>
      <c r="CP370" s="1070"/>
      <c r="CQ370" s="1070"/>
      <c r="CR370" s="1070"/>
      <c r="CS370" s="1070"/>
      <c r="CT370" s="1070"/>
      <c r="CU370" s="1070"/>
      <c r="CV370" s="1070"/>
      <c r="CW370" s="1070"/>
      <c r="CX370" s="1070"/>
      <c r="CY370" s="1070"/>
      <c r="CZ370" s="1070"/>
      <c r="DA370" s="1070"/>
      <c r="DB370" s="1070"/>
      <c r="DC370" s="1070"/>
      <c r="DD370" s="1070"/>
      <c r="DE370" s="1070"/>
      <c r="DF370" s="1070"/>
      <c r="DG370" s="1070"/>
      <c r="DH370" s="1070"/>
      <c r="DI370" s="1070"/>
      <c r="DJ370" s="1070"/>
    </row>
    <row r="371" spans="1:114" s="1136" customFormat="1" ht="15" x14ac:dyDescent="0.2">
      <c r="A371" s="1405" t="s">
        <v>4134</v>
      </c>
      <c r="B371" s="1406">
        <f>INDEX($D$1541:$D$1544,B188)</f>
        <v>1</v>
      </c>
      <c r="C371" s="1407"/>
      <c r="D371" s="1407"/>
      <c r="E371" s="1407"/>
      <c r="F371" s="1407"/>
      <c r="G371" s="1407"/>
      <c r="H371" s="1070"/>
      <c r="I371" s="1070"/>
      <c r="J371" s="1070"/>
      <c r="K371" s="1070"/>
      <c r="L371" s="1070"/>
      <c r="M371" s="1070"/>
      <c r="N371" s="1070"/>
      <c r="O371" s="1070"/>
      <c r="P371" s="1070"/>
      <c r="Q371" s="1070"/>
      <c r="R371" s="1070"/>
      <c r="S371" s="1070"/>
      <c r="T371" s="1070"/>
      <c r="U371" s="1070"/>
      <c r="V371" s="1070"/>
      <c r="W371" s="1070"/>
      <c r="X371" s="1070"/>
      <c r="Y371" s="1070"/>
      <c r="Z371" s="1070"/>
      <c r="AA371" s="1070"/>
      <c r="AB371" s="1070"/>
      <c r="AC371" s="1070"/>
      <c r="AD371" s="1070"/>
      <c r="AE371" s="1070"/>
      <c r="AF371" s="1070"/>
      <c r="AG371" s="1070"/>
      <c r="AH371" s="1070"/>
      <c r="AI371" s="1070"/>
      <c r="AJ371" s="1070"/>
      <c r="AK371" s="1070"/>
      <c r="AL371" s="1070"/>
      <c r="AM371" s="1070"/>
      <c r="AN371" s="1070"/>
      <c r="AO371" s="1070"/>
      <c r="AP371" s="1070"/>
      <c r="AQ371" s="1070"/>
      <c r="AR371" s="1070"/>
      <c r="AS371" s="1070"/>
      <c r="AT371" s="1070"/>
      <c r="AU371" s="1070"/>
      <c r="AV371" s="1070"/>
      <c r="AW371" s="1070"/>
      <c r="AX371" s="1070"/>
      <c r="AY371" s="1070"/>
      <c r="AZ371" s="1070"/>
      <c r="BA371" s="1070"/>
      <c r="BB371" s="1070"/>
      <c r="BC371" s="1070"/>
      <c r="BD371" s="1070"/>
      <c r="BE371" s="1070"/>
      <c r="BF371" s="1070"/>
      <c r="BG371" s="1070"/>
      <c r="BH371" s="1070"/>
      <c r="BI371" s="1070"/>
      <c r="BJ371" s="1070"/>
      <c r="BK371" s="1070"/>
      <c r="BL371" s="1070"/>
      <c r="BM371" s="1070"/>
      <c r="BN371" s="1070"/>
      <c r="BO371" s="1070"/>
      <c r="BP371" s="1070"/>
      <c r="BQ371" s="1070"/>
      <c r="BR371" s="1070"/>
      <c r="BS371" s="1070"/>
      <c r="BT371" s="1070"/>
      <c r="BU371" s="1070"/>
      <c r="BV371" s="1070"/>
      <c r="BW371" s="1070"/>
      <c r="BX371" s="1070"/>
      <c r="BY371" s="1070"/>
      <c r="BZ371" s="1070"/>
      <c r="CA371" s="1070"/>
      <c r="CB371" s="1070"/>
      <c r="CC371" s="1070"/>
      <c r="CD371" s="1070"/>
      <c r="CE371" s="1070"/>
      <c r="CF371" s="1070"/>
      <c r="CG371" s="1070"/>
      <c r="CH371" s="1070"/>
      <c r="CI371" s="1070"/>
      <c r="CJ371" s="1070"/>
      <c r="CK371" s="1070"/>
      <c r="CL371" s="1070"/>
      <c r="CM371" s="1070"/>
      <c r="CN371" s="1070"/>
      <c r="CO371" s="1070"/>
      <c r="CP371" s="1070"/>
      <c r="CQ371" s="1070"/>
      <c r="CR371" s="1070"/>
      <c r="CS371" s="1070"/>
      <c r="CT371" s="1070"/>
      <c r="CU371" s="1070"/>
      <c r="CV371" s="1070"/>
      <c r="CW371" s="1070"/>
      <c r="CX371" s="1070"/>
      <c r="CY371" s="1070"/>
      <c r="CZ371" s="1070"/>
      <c r="DA371" s="1070"/>
      <c r="DB371" s="1070"/>
      <c r="DC371" s="1070"/>
      <c r="DD371" s="1070"/>
      <c r="DE371" s="1070"/>
      <c r="DF371" s="1070"/>
      <c r="DG371" s="1070"/>
      <c r="DH371" s="1070"/>
      <c r="DI371" s="1070"/>
      <c r="DJ371" s="1070"/>
    </row>
    <row r="372" spans="1:114" s="1136" customFormat="1" ht="15" x14ac:dyDescent="0.2">
      <c r="A372" s="1405" t="s">
        <v>4135</v>
      </c>
      <c r="B372" s="1406" t="e">
        <f>IF(B189&lt;=700,1,IF(B189&lt;=900,0.95,IF(B189&lt;=1050,0.9,IF(B189&lt;=1200,0.85,0.8))))</f>
        <v>#VALUE!</v>
      </c>
      <c r="C372" s="1407"/>
      <c r="D372" s="1407"/>
      <c r="E372" s="1407"/>
      <c r="F372" s="1407"/>
      <c r="G372" s="1407"/>
      <c r="H372" s="1070"/>
      <c r="I372" s="1070"/>
      <c r="J372" s="1070"/>
      <c r="K372" s="1070"/>
      <c r="L372" s="1070"/>
      <c r="M372" s="1070"/>
      <c r="N372" s="1070"/>
      <c r="O372" s="1070"/>
      <c r="P372" s="1070"/>
      <c r="Q372" s="1070"/>
      <c r="R372" s="1070"/>
      <c r="S372" s="1070"/>
      <c r="T372" s="1070"/>
      <c r="U372" s="1070"/>
      <c r="V372" s="1070"/>
      <c r="W372" s="1070"/>
      <c r="X372" s="1070"/>
      <c r="Y372" s="1070"/>
      <c r="Z372" s="1070"/>
      <c r="AA372" s="1070"/>
      <c r="AB372" s="1070"/>
      <c r="AC372" s="1070"/>
      <c r="AD372" s="1070"/>
      <c r="AE372" s="1070"/>
      <c r="AF372" s="1070"/>
      <c r="AG372" s="1070"/>
      <c r="AH372" s="1070"/>
      <c r="AI372" s="1070"/>
      <c r="AJ372" s="1070"/>
      <c r="AK372" s="1070"/>
      <c r="AL372" s="1070"/>
      <c r="AM372" s="1070"/>
      <c r="AN372" s="1070"/>
      <c r="AO372" s="1070"/>
      <c r="AP372" s="1070"/>
      <c r="AQ372" s="1070"/>
      <c r="AR372" s="1070"/>
      <c r="AS372" s="1070"/>
      <c r="AT372" s="1070"/>
      <c r="AU372" s="1070"/>
      <c r="AV372" s="1070"/>
      <c r="AW372" s="1070"/>
      <c r="AX372" s="1070"/>
      <c r="AY372" s="1070"/>
      <c r="AZ372" s="1070"/>
      <c r="BA372" s="1070"/>
      <c r="BB372" s="1070"/>
      <c r="BC372" s="1070"/>
      <c r="BD372" s="1070"/>
      <c r="BE372" s="1070"/>
      <c r="BF372" s="1070"/>
      <c r="BG372" s="1070"/>
      <c r="BH372" s="1070"/>
      <c r="BI372" s="1070"/>
      <c r="BJ372" s="1070"/>
      <c r="BK372" s="1070"/>
      <c r="BL372" s="1070"/>
      <c r="BM372" s="1070"/>
      <c r="BN372" s="1070"/>
      <c r="BO372" s="1070"/>
      <c r="BP372" s="1070"/>
      <c r="BQ372" s="1070"/>
      <c r="BR372" s="1070"/>
      <c r="BS372" s="1070"/>
      <c r="BT372" s="1070"/>
      <c r="BU372" s="1070"/>
      <c r="BV372" s="1070"/>
      <c r="BW372" s="1070"/>
      <c r="BX372" s="1070"/>
      <c r="BY372" s="1070"/>
      <c r="BZ372" s="1070"/>
      <c r="CA372" s="1070"/>
      <c r="CB372" s="1070"/>
      <c r="CC372" s="1070"/>
      <c r="CD372" s="1070"/>
      <c r="CE372" s="1070"/>
      <c r="CF372" s="1070"/>
      <c r="CG372" s="1070"/>
      <c r="CH372" s="1070"/>
      <c r="CI372" s="1070"/>
      <c r="CJ372" s="1070"/>
      <c r="CK372" s="1070"/>
      <c r="CL372" s="1070"/>
      <c r="CM372" s="1070"/>
      <c r="CN372" s="1070"/>
      <c r="CO372" s="1070"/>
      <c r="CP372" s="1070"/>
      <c r="CQ372" s="1070"/>
      <c r="CR372" s="1070"/>
      <c r="CS372" s="1070"/>
      <c r="CT372" s="1070"/>
      <c r="CU372" s="1070"/>
      <c r="CV372" s="1070"/>
      <c r="CW372" s="1070"/>
      <c r="CX372" s="1070"/>
      <c r="CY372" s="1070"/>
      <c r="CZ372" s="1070"/>
      <c r="DA372" s="1070"/>
      <c r="DB372" s="1070"/>
      <c r="DC372" s="1070"/>
      <c r="DD372" s="1070"/>
      <c r="DE372" s="1070"/>
      <c r="DF372" s="1070"/>
      <c r="DG372" s="1070"/>
      <c r="DH372" s="1070"/>
      <c r="DI372" s="1070"/>
      <c r="DJ372" s="1070"/>
    </row>
    <row r="373" spans="1:114" s="1136" customFormat="1" ht="15" x14ac:dyDescent="0.2">
      <c r="A373" s="1405" t="s">
        <v>4136</v>
      </c>
      <c r="B373" s="1406">
        <f>IF(B179&lt;=1.25,0.9,IF(B179&lt;=1.32,0.95,IF(B179&lt;=1.39,1,IF(B179&lt;=1.46,1.05,IF(B179&lt;=1.52,1.1,IF(B179&lt;=1.6,1.15,B374))))))</f>
        <v>1.35</v>
      </c>
      <c r="C373" s="1407"/>
      <c r="D373" s="1407"/>
      <c r="E373" s="1407"/>
      <c r="F373" s="1407"/>
      <c r="G373" s="1407"/>
      <c r="H373" s="1070"/>
      <c r="I373" s="1070"/>
      <c r="J373" s="1070"/>
      <c r="K373" s="1070"/>
      <c r="L373" s="1070"/>
      <c r="M373" s="1070"/>
      <c r="N373" s="1070"/>
      <c r="O373" s="1070"/>
      <c r="P373" s="1070"/>
      <c r="Q373" s="1070"/>
      <c r="R373" s="1070"/>
      <c r="S373" s="1070"/>
      <c r="T373" s="1070"/>
      <c r="U373" s="1070"/>
      <c r="V373" s="1070"/>
      <c r="W373" s="1070"/>
      <c r="X373" s="1070"/>
      <c r="Y373" s="1070"/>
      <c r="Z373" s="1070"/>
      <c r="AA373" s="1070"/>
      <c r="AB373" s="1070"/>
      <c r="AC373" s="1070"/>
      <c r="AD373" s="1070"/>
      <c r="AE373" s="1070"/>
      <c r="AF373" s="1070"/>
      <c r="AG373" s="1070"/>
      <c r="AH373" s="1070"/>
      <c r="AI373" s="1070"/>
      <c r="AJ373" s="1070"/>
      <c r="AK373" s="1070"/>
      <c r="AL373" s="1070"/>
      <c r="AM373" s="1070"/>
      <c r="AN373" s="1070"/>
      <c r="AO373" s="1070"/>
      <c r="AP373" s="1070"/>
      <c r="AQ373" s="1070"/>
      <c r="AR373" s="1070"/>
      <c r="AS373" s="1070"/>
      <c r="AT373" s="1070"/>
      <c r="AU373" s="1070"/>
      <c r="AV373" s="1070"/>
      <c r="AW373" s="1070"/>
      <c r="AX373" s="1070"/>
      <c r="AY373" s="1070"/>
      <c r="AZ373" s="1070"/>
      <c r="BA373" s="1070"/>
      <c r="BB373" s="1070"/>
      <c r="BC373" s="1070"/>
      <c r="BD373" s="1070"/>
      <c r="BE373" s="1070"/>
      <c r="BF373" s="1070"/>
      <c r="BG373" s="1070"/>
      <c r="BH373" s="1070"/>
      <c r="BI373" s="1070"/>
      <c r="BJ373" s="1070"/>
      <c r="BK373" s="1070"/>
      <c r="BL373" s="1070"/>
      <c r="BM373" s="1070"/>
      <c r="BN373" s="1070"/>
      <c r="BO373" s="1070"/>
      <c r="BP373" s="1070"/>
      <c r="BQ373" s="1070"/>
      <c r="BR373" s="1070"/>
      <c r="BS373" s="1070"/>
      <c r="BT373" s="1070"/>
      <c r="BU373" s="1070"/>
      <c r="BV373" s="1070"/>
      <c r="BW373" s="1070"/>
      <c r="BX373" s="1070"/>
      <c r="BY373" s="1070"/>
      <c r="BZ373" s="1070"/>
      <c r="CA373" s="1070"/>
      <c r="CB373" s="1070"/>
      <c r="CC373" s="1070"/>
      <c r="CD373" s="1070"/>
      <c r="CE373" s="1070"/>
      <c r="CF373" s="1070"/>
      <c r="CG373" s="1070"/>
      <c r="CH373" s="1070"/>
      <c r="CI373" s="1070"/>
      <c r="CJ373" s="1070"/>
      <c r="CK373" s="1070"/>
      <c r="CL373" s="1070"/>
      <c r="CM373" s="1070"/>
      <c r="CN373" s="1070"/>
      <c r="CO373" s="1070"/>
      <c r="CP373" s="1070"/>
      <c r="CQ373" s="1070"/>
      <c r="CR373" s="1070"/>
      <c r="CS373" s="1070"/>
      <c r="CT373" s="1070"/>
      <c r="CU373" s="1070"/>
      <c r="CV373" s="1070"/>
      <c r="CW373" s="1070"/>
      <c r="CX373" s="1070"/>
      <c r="CY373" s="1070"/>
      <c r="CZ373" s="1070"/>
      <c r="DA373" s="1070"/>
      <c r="DB373" s="1070"/>
      <c r="DC373" s="1070"/>
      <c r="DD373" s="1070"/>
      <c r="DE373" s="1070"/>
      <c r="DF373" s="1070"/>
      <c r="DG373" s="1070"/>
      <c r="DH373" s="1070"/>
      <c r="DI373" s="1070"/>
      <c r="DJ373" s="1070"/>
    </row>
    <row r="374" spans="1:114" s="1136" customFormat="1" ht="15" x14ac:dyDescent="0.2">
      <c r="A374" s="1408" t="s">
        <v>4137</v>
      </c>
      <c r="B374" s="1406">
        <f>IF(B179&lt;=1.65,1.2,IF(B179&lt;=1.74,1.25,IF(B179&lt;=1.79,1.3,1.35)))</f>
        <v>1.35</v>
      </c>
      <c r="C374" s="1407"/>
      <c r="D374" s="1407"/>
      <c r="E374" s="1407"/>
      <c r="F374" s="1407"/>
      <c r="G374" s="1407"/>
      <c r="H374" s="1070"/>
      <c r="I374" s="1070"/>
      <c r="J374" s="1070"/>
      <c r="K374" s="1070"/>
      <c r="L374" s="1070"/>
      <c r="M374" s="1070"/>
      <c r="N374" s="1070"/>
      <c r="O374" s="1070"/>
      <c r="P374" s="1070"/>
      <c r="Q374" s="1070"/>
      <c r="R374" s="1070"/>
      <c r="S374" s="1070"/>
      <c r="T374" s="1070"/>
      <c r="U374" s="1070"/>
      <c r="V374" s="1070"/>
      <c r="W374" s="1070"/>
      <c r="X374" s="1070"/>
      <c r="Y374" s="1070"/>
      <c r="Z374" s="1070"/>
      <c r="AA374" s="1070"/>
      <c r="AB374" s="1070"/>
      <c r="AC374" s="1070"/>
      <c r="AD374" s="1070"/>
      <c r="AE374" s="1070"/>
      <c r="AF374" s="1070"/>
      <c r="AG374" s="1070"/>
      <c r="AH374" s="1070"/>
      <c r="AI374" s="1070"/>
      <c r="AJ374" s="1070"/>
      <c r="AK374" s="1070"/>
      <c r="AL374" s="1070"/>
      <c r="AM374" s="1070"/>
      <c r="AN374" s="1070"/>
      <c r="AO374" s="1070"/>
      <c r="AP374" s="1070"/>
      <c r="AQ374" s="1070"/>
      <c r="AR374" s="1070"/>
      <c r="AS374" s="1070"/>
      <c r="AT374" s="1070"/>
      <c r="AU374" s="1070"/>
      <c r="AV374" s="1070"/>
      <c r="AW374" s="1070"/>
      <c r="AX374" s="1070"/>
      <c r="AY374" s="1070"/>
      <c r="AZ374" s="1070"/>
      <c r="BA374" s="1070"/>
      <c r="BB374" s="1070"/>
      <c r="BC374" s="1070"/>
      <c r="BD374" s="1070"/>
      <c r="BE374" s="1070"/>
      <c r="BF374" s="1070"/>
      <c r="BG374" s="1070"/>
      <c r="BH374" s="1070"/>
      <c r="BI374" s="1070"/>
      <c r="BJ374" s="1070"/>
      <c r="BK374" s="1070"/>
      <c r="BL374" s="1070"/>
      <c r="BM374" s="1070"/>
      <c r="BN374" s="1070"/>
      <c r="BO374" s="1070"/>
      <c r="BP374" s="1070"/>
      <c r="BQ374" s="1070"/>
      <c r="BR374" s="1070"/>
      <c r="BS374" s="1070"/>
      <c r="BT374" s="1070"/>
      <c r="BU374" s="1070"/>
      <c r="BV374" s="1070"/>
      <c r="BW374" s="1070"/>
      <c r="BX374" s="1070"/>
      <c r="BY374" s="1070"/>
      <c r="BZ374" s="1070"/>
      <c r="CA374" s="1070"/>
      <c r="CB374" s="1070"/>
      <c r="CC374" s="1070"/>
      <c r="CD374" s="1070"/>
      <c r="CE374" s="1070"/>
      <c r="CF374" s="1070"/>
      <c r="CG374" s="1070"/>
      <c r="CH374" s="1070"/>
      <c r="CI374" s="1070"/>
      <c r="CJ374" s="1070"/>
      <c r="CK374" s="1070"/>
      <c r="CL374" s="1070"/>
      <c r="CM374" s="1070"/>
      <c r="CN374" s="1070"/>
      <c r="CO374" s="1070"/>
      <c r="CP374" s="1070"/>
      <c r="CQ374" s="1070"/>
      <c r="CR374" s="1070"/>
      <c r="CS374" s="1070"/>
      <c r="CT374" s="1070"/>
      <c r="CU374" s="1070"/>
      <c r="CV374" s="1070"/>
      <c r="CW374" s="1070"/>
      <c r="CX374" s="1070"/>
      <c r="CY374" s="1070"/>
      <c r="CZ374" s="1070"/>
      <c r="DA374" s="1070"/>
      <c r="DB374" s="1070"/>
      <c r="DC374" s="1070"/>
      <c r="DD374" s="1070"/>
      <c r="DE374" s="1070"/>
      <c r="DF374" s="1070"/>
      <c r="DG374" s="1070"/>
      <c r="DH374" s="1070"/>
      <c r="DI374" s="1070"/>
      <c r="DJ374" s="1070"/>
    </row>
    <row r="375" spans="1:114" s="1136" customFormat="1" ht="15" x14ac:dyDescent="0.2">
      <c r="A375" s="1405" t="s">
        <v>4138</v>
      </c>
      <c r="B375" s="1406">
        <f>IF(B235&lt;9,0.99-0.02*B235,0.8)</f>
        <v>0.99</v>
      </c>
      <c r="C375" s="1407"/>
      <c r="D375" s="1407"/>
      <c r="E375" s="1407"/>
      <c r="F375" s="1407"/>
      <c r="G375" s="1407"/>
      <c r="H375" s="1070"/>
      <c r="I375" s="1070"/>
      <c r="J375" s="1070"/>
      <c r="K375" s="1070"/>
      <c r="L375" s="1070"/>
      <c r="M375" s="1070"/>
      <c r="N375" s="1070"/>
      <c r="O375" s="1070"/>
      <c r="P375" s="1070"/>
      <c r="Q375" s="1070"/>
      <c r="R375" s="1070"/>
      <c r="S375" s="1070"/>
      <c r="T375" s="1070"/>
      <c r="U375" s="1070"/>
      <c r="V375" s="1070"/>
      <c r="W375" s="1070"/>
      <c r="X375" s="1070"/>
      <c r="Y375" s="1070"/>
      <c r="Z375" s="1070"/>
      <c r="AA375" s="1070"/>
      <c r="AB375" s="1070"/>
      <c r="AC375" s="1070"/>
      <c r="AD375" s="1070"/>
      <c r="AE375" s="1070"/>
      <c r="AF375" s="1070"/>
      <c r="AG375" s="1070"/>
      <c r="AH375" s="1070"/>
      <c r="AI375" s="1070"/>
      <c r="AJ375" s="1070"/>
      <c r="AK375" s="1070"/>
      <c r="AL375" s="1070"/>
      <c r="AM375" s="1070"/>
      <c r="AN375" s="1070"/>
      <c r="AO375" s="1070"/>
      <c r="AP375" s="1070"/>
      <c r="AQ375" s="1070"/>
      <c r="AR375" s="1070"/>
      <c r="AS375" s="1070"/>
      <c r="AT375" s="1070"/>
      <c r="AU375" s="1070"/>
      <c r="AV375" s="1070"/>
      <c r="AW375" s="1070"/>
      <c r="AX375" s="1070"/>
      <c r="AY375" s="1070"/>
      <c r="AZ375" s="1070"/>
      <c r="BA375" s="1070"/>
      <c r="BB375" s="1070"/>
      <c r="BC375" s="1070"/>
      <c r="BD375" s="1070"/>
      <c r="BE375" s="1070"/>
      <c r="BF375" s="1070"/>
      <c r="BG375" s="1070"/>
      <c r="BH375" s="1070"/>
      <c r="BI375" s="1070"/>
      <c r="BJ375" s="1070"/>
      <c r="BK375" s="1070"/>
      <c r="BL375" s="1070"/>
      <c r="BM375" s="1070"/>
      <c r="BN375" s="1070"/>
      <c r="BO375" s="1070"/>
      <c r="BP375" s="1070"/>
      <c r="BQ375" s="1070"/>
      <c r="BR375" s="1070"/>
      <c r="BS375" s="1070"/>
      <c r="BT375" s="1070"/>
      <c r="BU375" s="1070"/>
      <c r="BV375" s="1070"/>
      <c r="BW375" s="1070"/>
      <c r="BX375" s="1070"/>
      <c r="BY375" s="1070"/>
      <c r="BZ375" s="1070"/>
      <c r="CA375" s="1070"/>
      <c r="CB375" s="1070"/>
      <c r="CC375" s="1070"/>
      <c r="CD375" s="1070"/>
      <c r="CE375" s="1070"/>
      <c r="CF375" s="1070"/>
      <c r="CG375" s="1070"/>
      <c r="CH375" s="1070"/>
      <c r="CI375" s="1070"/>
      <c r="CJ375" s="1070"/>
      <c r="CK375" s="1070"/>
      <c r="CL375" s="1070"/>
      <c r="CM375" s="1070"/>
      <c r="CN375" s="1070"/>
      <c r="CO375" s="1070"/>
      <c r="CP375" s="1070"/>
      <c r="CQ375" s="1070"/>
      <c r="CR375" s="1070"/>
      <c r="CS375" s="1070"/>
      <c r="CT375" s="1070"/>
      <c r="CU375" s="1070"/>
      <c r="CV375" s="1070"/>
      <c r="CW375" s="1070"/>
      <c r="CX375" s="1070"/>
      <c r="CY375" s="1070"/>
      <c r="CZ375" s="1070"/>
      <c r="DA375" s="1070"/>
      <c r="DB375" s="1070"/>
      <c r="DC375" s="1070"/>
      <c r="DD375" s="1070"/>
      <c r="DE375" s="1070"/>
      <c r="DF375" s="1070"/>
      <c r="DG375" s="1070"/>
      <c r="DH375" s="1070"/>
      <c r="DI375" s="1070"/>
      <c r="DJ375" s="1070"/>
    </row>
    <row r="376" spans="1:114" s="1136" customFormat="1" ht="15" x14ac:dyDescent="0.2">
      <c r="A376" s="1405" t="s">
        <v>4139</v>
      </c>
      <c r="B376" s="1406" t="e">
        <f>1-0.05*B192</f>
        <v>#VALUE!</v>
      </c>
      <c r="C376" s="1407"/>
      <c r="D376" s="1407"/>
      <c r="E376" s="1407"/>
      <c r="F376" s="1407"/>
      <c r="G376" s="1407"/>
      <c r="H376" s="1070"/>
      <c r="I376" s="1070"/>
      <c r="J376" s="1070"/>
      <c r="K376" s="1070"/>
      <c r="L376" s="1070"/>
      <c r="M376" s="1070"/>
      <c r="N376" s="1070"/>
      <c r="O376" s="1070"/>
      <c r="P376" s="1070"/>
      <c r="Q376" s="1070"/>
      <c r="R376" s="1070"/>
      <c r="S376" s="1070"/>
      <c r="T376" s="1070"/>
      <c r="U376" s="1070"/>
      <c r="V376" s="1070"/>
      <c r="W376" s="1070"/>
      <c r="X376" s="1070"/>
      <c r="Y376" s="1070"/>
      <c r="Z376" s="1070"/>
      <c r="AA376" s="1070"/>
      <c r="AB376" s="1070"/>
      <c r="AC376" s="1070"/>
      <c r="AD376" s="1070"/>
      <c r="AE376" s="1070"/>
      <c r="AF376" s="1070"/>
      <c r="AG376" s="1070"/>
      <c r="AH376" s="1070"/>
      <c r="AI376" s="1070"/>
      <c r="AJ376" s="1070"/>
      <c r="AK376" s="1070"/>
      <c r="AL376" s="1070"/>
      <c r="AM376" s="1070"/>
      <c r="AN376" s="1070"/>
      <c r="AO376" s="1070"/>
      <c r="AP376" s="1070"/>
      <c r="AQ376" s="1070"/>
      <c r="AR376" s="1070"/>
      <c r="AS376" s="1070"/>
      <c r="AT376" s="1070"/>
      <c r="AU376" s="1070"/>
      <c r="AV376" s="1070"/>
      <c r="AW376" s="1070"/>
      <c r="AX376" s="1070"/>
      <c r="AY376" s="1070"/>
      <c r="AZ376" s="1070"/>
      <c r="BA376" s="1070"/>
      <c r="BB376" s="1070"/>
      <c r="BC376" s="1070"/>
      <c r="BD376" s="1070"/>
      <c r="BE376" s="1070"/>
      <c r="BF376" s="1070"/>
      <c r="BG376" s="1070"/>
      <c r="BH376" s="1070"/>
      <c r="BI376" s="1070"/>
      <c r="BJ376" s="1070"/>
      <c r="BK376" s="1070"/>
      <c r="BL376" s="1070"/>
      <c r="BM376" s="1070"/>
      <c r="BN376" s="1070"/>
      <c r="BO376" s="1070"/>
      <c r="BP376" s="1070"/>
      <c r="BQ376" s="1070"/>
      <c r="BR376" s="1070"/>
      <c r="BS376" s="1070"/>
      <c r="BT376" s="1070"/>
      <c r="BU376" s="1070"/>
      <c r="BV376" s="1070"/>
      <c r="BW376" s="1070"/>
      <c r="BX376" s="1070"/>
      <c r="BY376" s="1070"/>
      <c r="BZ376" s="1070"/>
      <c r="CA376" s="1070"/>
      <c r="CB376" s="1070"/>
      <c r="CC376" s="1070"/>
      <c r="CD376" s="1070"/>
      <c r="CE376" s="1070"/>
      <c r="CF376" s="1070"/>
      <c r="CG376" s="1070"/>
      <c r="CH376" s="1070"/>
      <c r="CI376" s="1070"/>
      <c r="CJ376" s="1070"/>
      <c r="CK376" s="1070"/>
      <c r="CL376" s="1070"/>
      <c r="CM376" s="1070"/>
      <c r="CN376" s="1070"/>
      <c r="CO376" s="1070"/>
      <c r="CP376" s="1070"/>
      <c r="CQ376" s="1070"/>
      <c r="CR376" s="1070"/>
      <c r="CS376" s="1070"/>
      <c r="CT376" s="1070"/>
      <c r="CU376" s="1070"/>
      <c r="CV376" s="1070"/>
      <c r="CW376" s="1070"/>
      <c r="CX376" s="1070"/>
      <c r="CY376" s="1070"/>
      <c r="CZ376" s="1070"/>
      <c r="DA376" s="1070"/>
      <c r="DB376" s="1070"/>
      <c r="DC376" s="1070"/>
      <c r="DD376" s="1070"/>
      <c r="DE376" s="1070"/>
      <c r="DF376" s="1070"/>
      <c r="DG376" s="1070"/>
      <c r="DH376" s="1070"/>
      <c r="DI376" s="1070"/>
      <c r="DJ376" s="1070"/>
    </row>
    <row r="377" spans="1:114" s="1136" customFormat="1" ht="15.75" x14ac:dyDescent="0.25">
      <c r="A377" s="1403" t="s">
        <v>4140</v>
      </c>
      <c r="B377" s="1409" t="e">
        <f>B370*B371*B372*B373*B375*B376</f>
        <v>#VALUE!</v>
      </c>
      <c r="C377" s="1410"/>
      <c r="D377" s="1410"/>
      <c r="E377" s="1410"/>
      <c r="F377" s="1410"/>
      <c r="G377" s="1410"/>
      <c r="H377" s="1070"/>
      <c r="I377" s="1070"/>
      <c r="J377" s="1070"/>
      <c r="K377" s="1070"/>
      <c r="L377" s="1070"/>
      <c r="M377" s="1070"/>
      <c r="N377" s="1070"/>
      <c r="O377" s="1070"/>
      <c r="P377" s="1070"/>
      <c r="Q377" s="1070"/>
      <c r="R377" s="1070"/>
      <c r="S377" s="1070"/>
      <c r="T377" s="1070"/>
      <c r="U377" s="1070"/>
      <c r="V377" s="1070"/>
      <c r="W377" s="1070"/>
      <c r="X377" s="1070"/>
      <c r="Y377" s="1070"/>
      <c r="Z377" s="1070"/>
      <c r="AA377" s="1070"/>
      <c r="AB377" s="1070"/>
      <c r="AC377" s="1070"/>
      <c r="AD377" s="1070"/>
      <c r="AE377" s="1070"/>
      <c r="AF377" s="1070"/>
      <c r="AG377" s="1070"/>
      <c r="AH377" s="1070"/>
      <c r="AI377" s="1070"/>
      <c r="AJ377" s="1070"/>
      <c r="AK377" s="1070"/>
      <c r="AL377" s="1070"/>
      <c r="AM377" s="1070"/>
      <c r="AN377" s="1070"/>
      <c r="AO377" s="1070"/>
      <c r="AP377" s="1070"/>
      <c r="AQ377" s="1070"/>
      <c r="AR377" s="1070"/>
      <c r="AS377" s="1070"/>
      <c r="AT377" s="1070"/>
      <c r="AU377" s="1070"/>
      <c r="AV377" s="1070"/>
      <c r="AW377" s="1070"/>
      <c r="AX377" s="1070"/>
      <c r="AY377" s="1070"/>
      <c r="AZ377" s="1070"/>
      <c r="BA377" s="1070"/>
      <c r="BB377" s="1070"/>
      <c r="BC377" s="1070"/>
      <c r="BD377" s="1070"/>
      <c r="BE377" s="1070"/>
      <c r="BF377" s="1070"/>
      <c r="BG377" s="1070"/>
      <c r="BH377" s="1070"/>
      <c r="BI377" s="1070"/>
      <c r="BJ377" s="1070"/>
      <c r="BK377" s="1070"/>
      <c r="BL377" s="1070"/>
      <c r="BM377" s="1070"/>
      <c r="BN377" s="1070"/>
      <c r="BO377" s="1070"/>
      <c r="BP377" s="1070"/>
      <c r="BQ377" s="1070"/>
      <c r="BR377" s="1070"/>
      <c r="BS377" s="1070"/>
      <c r="BT377" s="1070"/>
      <c r="BU377" s="1070"/>
      <c r="BV377" s="1070"/>
      <c r="BW377" s="1070"/>
      <c r="BX377" s="1070"/>
      <c r="BY377" s="1070"/>
      <c r="BZ377" s="1070"/>
      <c r="CA377" s="1070"/>
      <c r="CB377" s="1070"/>
      <c r="CC377" s="1070"/>
      <c r="CD377" s="1070"/>
      <c r="CE377" s="1070"/>
      <c r="CF377" s="1070"/>
      <c r="CG377" s="1070"/>
      <c r="CH377" s="1070"/>
      <c r="CI377" s="1070"/>
      <c r="CJ377" s="1070"/>
      <c r="CK377" s="1070"/>
      <c r="CL377" s="1070"/>
      <c r="CM377" s="1070"/>
      <c r="CN377" s="1070"/>
      <c r="CO377" s="1070"/>
      <c r="CP377" s="1070"/>
      <c r="CQ377" s="1070"/>
      <c r="CR377" s="1070"/>
      <c r="CS377" s="1070"/>
      <c r="CT377" s="1070"/>
      <c r="CU377" s="1070"/>
      <c r="CV377" s="1070"/>
      <c r="CW377" s="1070"/>
      <c r="CX377" s="1070"/>
      <c r="CY377" s="1070"/>
      <c r="CZ377" s="1070"/>
      <c r="DA377" s="1070"/>
      <c r="DB377" s="1070"/>
      <c r="DC377" s="1070"/>
      <c r="DD377" s="1070"/>
      <c r="DE377" s="1070"/>
      <c r="DF377" s="1070"/>
      <c r="DG377" s="1070"/>
      <c r="DH377" s="1070"/>
      <c r="DI377" s="1070"/>
      <c r="DJ377" s="1070"/>
    </row>
    <row r="378" spans="1:114" s="1136" customFormat="1" ht="15.75" x14ac:dyDescent="0.25">
      <c r="A378" s="1403" t="s">
        <v>5159</v>
      </c>
      <c r="B378" s="1962"/>
      <c r="C378" s="1963"/>
      <c r="D378" s="1963"/>
      <c r="E378" s="1963"/>
      <c r="F378" s="1963"/>
      <c r="G378" s="1963"/>
      <c r="H378" s="1070"/>
      <c r="I378" s="1070"/>
      <c r="J378" s="1070"/>
      <c r="K378" s="1070"/>
      <c r="L378" s="1070"/>
      <c r="M378" s="1070"/>
      <c r="N378" s="1070"/>
      <c r="O378" s="1070"/>
      <c r="P378" s="1070"/>
      <c r="Q378" s="1070"/>
      <c r="R378" s="1070"/>
      <c r="S378" s="1070"/>
      <c r="T378" s="1070"/>
      <c r="U378" s="1070"/>
      <c r="V378" s="1070"/>
      <c r="W378" s="1070"/>
      <c r="X378" s="1070"/>
      <c r="Y378" s="1070"/>
      <c r="Z378" s="1070"/>
      <c r="AA378" s="1070"/>
      <c r="AB378" s="1070"/>
      <c r="AC378" s="1070"/>
      <c r="AD378" s="1070"/>
      <c r="AE378" s="1070"/>
      <c r="AF378" s="1070"/>
      <c r="AG378" s="1070"/>
      <c r="AH378" s="1070"/>
      <c r="AI378" s="1070"/>
      <c r="AJ378" s="1070"/>
      <c r="AK378" s="1070"/>
      <c r="AL378" s="1070"/>
      <c r="AM378" s="1070"/>
      <c r="AN378" s="1070"/>
      <c r="AO378" s="1070"/>
      <c r="AP378" s="1070"/>
      <c r="AQ378" s="1070"/>
      <c r="AR378" s="1070"/>
      <c r="AS378" s="1070"/>
      <c r="AT378" s="1070"/>
      <c r="AU378" s="1070"/>
      <c r="AV378" s="1070"/>
      <c r="AW378" s="1070"/>
      <c r="AX378" s="1070"/>
      <c r="AY378" s="1070"/>
      <c r="AZ378" s="1070"/>
      <c r="BA378" s="1070"/>
      <c r="BB378" s="1070"/>
      <c r="BC378" s="1070"/>
      <c r="BD378" s="1070"/>
      <c r="BE378" s="1070"/>
      <c r="BF378" s="1070"/>
      <c r="BG378" s="1070"/>
      <c r="BH378" s="1070"/>
      <c r="BI378" s="1070"/>
      <c r="BJ378" s="1070"/>
      <c r="BK378" s="1070"/>
      <c r="BL378" s="1070"/>
      <c r="BM378" s="1070"/>
      <c r="BN378" s="1070"/>
      <c r="BO378" s="1070"/>
      <c r="BP378" s="1070"/>
      <c r="BQ378" s="1070"/>
      <c r="BR378" s="1070"/>
      <c r="BS378" s="1070"/>
      <c r="BT378" s="1070"/>
      <c r="BU378" s="1070"/>
      <c r="BV378" s="1070"/>
      <c r="BW378" s="1070"/>
      <c r="BX378" s="1070"/>
      <c r="BY378" s="1070"/>
      <c r="BZ378" s="1070"/>
      <c r="CA378" s="1070"/>
      <c r="CB378" s="1070"/>
      <c r="CC378" s="1070"/>
      <c r="CD378" s="1070"/>
      <c r="CE378" s="1070"/>
      <c r="CF378" s="1070"/>
      <c r="CG378" s="1070"/>
      <c r="CH378" s="1070"/>
      <c r="CI378" s="1070"/>
      <c r="CJ378" s="1070"/>
      <c r="CK378" s="1070"/>
      <c r="CL378" s="1070"/>
      <c r="CM378" s="1070"/>
      <c r="CN378" s="1070"/>
      <c r="CO378" s="1070"/>
      <c r="CP378" s="1070"/>
      <c r="CQ378" s="1070"/>
      <c r="CR378" s="1070"/>
      <c r="CS378" s="1070"/>
      <c r="CT378" s="1070"/>
      <c r="CU378" s="1070"/>
      <c r="CV378" s="1070"/>
      <c r="CW378" s="1070"/>
      <c r="CX378" s="1070"/>
      <c r="CY378" s="1070"/>
      <c r="CZ378" s="1070"/>
      <c r="DA378" s="1070"/>
      <c r="DB378" s="1070"/>
      <c r="DC378" s="1070"/>
      <c r="DD378" s="1070"/>
      <c r="DE378" s="1070"/>
      <c r="DF378" s="1070"/>
      <c r="DG378" s="1070"/>
      <c r="DH378" s="1070"/>
      <c r="DI378" s="1070"/>
      <c r="DJ378" s="1070"/>
    </row>
    <row r="379" spans="1:114" s="1136" customFormat="1" ht="15.75" x14ac:dyDescent="0.25">
      <c r="A379" s="1964" t="s">
        <v>5160</v>
      </c>
      <c r="B379" s="1965"/>
      <c r="C379" s="1070"/>
      <c r="D379" s="1070"/>
      <c r="E379" s="1070"/>
      <c r="F379" s="1070"/>
      <c r="G379" s="1070"/>
      <c r="H379" s="1070"/>
      <c r="I379" s="1070"/>
      <c r="J379" s="1070"/>
      <c r="K379" s="1070"/>
      <c r="L379" s="1070"/>
      <c r="M379" s="1070"/>
      <c r="N379" s="1070"/>
      <c r="O379" s="1070"/>
      <c r="P379" s="1070"/>
      <c r="Q379" s="1070"/>
      <c r="R379" s="1070"/>
      <c r="S379" s="1070"/>
      <c r="T379" s="1070"/>
      <c r="U379" s="1070"/>
      <c r="V379" s="1070"/>
      <c r="W379" s="1070"/>
      <c r="X379" s="1070"/>
      <c r="Y379" s="1070"/>
      <c r="Z379" s="1070"/>
      <c r="AA379" s="1070"/>
      <c r="AB379" s="1070"/>
      <c r="AC379" s="1070"/>
      <c r="AD379" s="1070"/>
      <c r="AE379" s="1070"/>
      <c r="AF379" s="1070"/>
      <c r="AG379" s="1070"/>
      <c r="AH379" s="1070"/>
      <c r="AI379" s="1070"/>
      <c r="AJ379" s="1070"/>
      <c r="AK379" s="1070"/>
      <c r="AL379" s="1070"/>
      <c r="AM379" s="1070"/>
      <c r="AN379" s="1070"/>
      <c r="AO379" s="1070"/>
      <c r="AP379" s="1070"/>
      <c r="AQ379" s="1070"/>
      <c r="AR379" s="1070"/>
      <c r="AS379" s="1070"/>
      <c r="AT379" s="1070"/>
      <c r="AU379" s="1070"/>
      <c r="AV379" s="1070"/>
      <c r="AW379" s="1070"/>
      <c r="AX379" s="1070"/>
      <c r="AY379" s="1070"/>
      <c r="AZ379" s="1070"/>
      <c r="BA379" s="1070"/>
      <c r="BB379" s="1070"/>
      <c r="BC379" s="1070"/>
      <c r="BD379" s="1070"/>
      <c r="BE379" s="1070"/>
      <c r="BF379" s="1070"/>
      <c r="BG379" s="1070"/>
      <c r="BH379" s="1070"/>
      <c r="BI379" s="1070"/>
      <c r="BJ379" s="1070"/>
      <c r="BK379" s="1070"/>
      <c r="BL379" s="1070"/>
      <c r="BM379" s="1070"/>
      <c r="BN379" s="1070"/>
      <c r="BO379" s="1070"/>
      <c r="BP379" s="1070"/>
      <c r="BQ379" s="1070"/>
      <c r="BR379" s="1070"/>
      <c r="BS379" s="1070"/>
      <c r="BT379" s="1070"/>
      <c r="BU379" s="1070"/>
      <c r="BV379" s="1070"/>
      <c r="BW379" s="1070"/>
      <c r="BX379" s="1070"/>
      <c r="BY379" s="1070"/>
      <c r="BZ379" s="1070"/>
      <c r="CA379" s="1070"/>
      <c r="CB379" s="1070"/>
      <c r="CC379" s="1070"/>
      <c r="CD379" s="1070"/>
      <c r="CE379" s="1070"/>
      <c r="CF379" s="1070"/>
      <c r="CG379" s="1070"/>
      <c r="CH379" s="1070"/>
      <c r="CI379" s="1070"/>
      <c r="CJ379" s="1070"/>
      <c r="CK379" s="1070"/>
      <c r="CL379" s="1070"/>
      <c r="CM379" s="1070"/>
      <c r="CN379" s="1070"/>
      <c r="CO379" s="1070"/>
      <c r="CP379" s="1070"/>
      <c r="CQ379" s="1070"/>
      <c r="CR379" s="1070"/>
      <c r="CS379" s="1070"/>
      <c r="CT379" s="1070"/>
      <c r="CU379" s="1070"/>
      <c r="CV379" s="1070"/>
      <c r="CW379" s="1070"/>
      <c r="CX379" s="1070"/>
      <c r="CY379" s="1070"/>
      <c r="CZ379" s="1070"/>
      <c r="DA379" s="1070"/>
      <c r="DB379" s="1070"/>
      <c r="DC379" s="1070"/>
      <c r="DD379" s="1070"/>
      <c r="DE379" s="1070"/>
      <c r="DF379" s="1070"/>
      <c r="DG379" s="1070"/>
      <c r="DH379" s="1070"/>
      <c r="DI379" s="1070"/>
      <c r="DJ379" s="1070"/>
    </row>
    <row r="380" spans="1:114" s="1136" customFormat="1" ht="15" x14ac:dyDescent="0.2">
      <c r="A380" s="1715" t="s">
        <v>5161</v>
      </c>
      <c r="B380" s="1966">
        <f>IF(B180=0.5,0.794,IF(B180=0.8,1.27,1))</f>
        <v>1</v>
      </c>
      <c r="C380" s="1407"/>
      <c r="D380" s="1407"/>
      <c r="E380" s="1407"/>
      <c r="F380" s="1407"/>
      <c r="G380" s="1407"/>
      <c r="H380" s="1070"/>
      <c r="I380" s="1070"/>
      <c r="J380" s="1070"/>
      <c r="K380" s="1070"/>
      <c r="L380" s="1070"/>
      <c r="M380" s="1070"/>
      <c r="N380" s="1070"/>
      <c r="O380" s="1070"/>
      <c r="P380" s="1070"/>
      <c r="Q380" s="1070"/>
      <c r="R380" s="1070"/>
      <c r="S380" s="1070"/>
      <c r="T380" s="1070"/>
      <c r="U380" s="1070"/>
      <c r="V380" s="1070"/>
      <c r="W380" s="1070"/>
      <c r="X380" s="1070"/>
      <c r="Y380" s="1070"/>
      <c r="Z380" s="1070"/>
      <c r="AA380" s="1070"/>
      <c r="AB380" s="1070"/>
      <c r="AC380" s="1070"/>
      <c r="AD380" s="1070"/>
      <c r="AE380" s="1070"/>
      <c r="AF380" s="1070"/>
      <c r="AG380" s="1070"/>
      <c r="AH380" s="1070"/>
      <c r="AI380" s="1070"/>
      <c r="AJ380" s="1070"/>
      <c r="AK380" s="1070"/>
      <c r="AL380" s="1070"/>
      <c r="AM380" s="1070"/>
      <c r="AN380" s="1070"/>
      <c r="AO380" s="1070"/>
      <c r="AP380" s="1070"/>
      <c r="AQ380" s="1070"/>
      <c r="AR380" s="1070"/>
      <c r="AS380" s="1070"/>
      <c r="AT380" s="1070"/>
      <c r="AU380" s="1070"/>
      <c r="AV380" s="1070"/>
      <c r="AW380" s="1070"/>
      <c r="AX380" s="1070"/>
      <c r="AY380" s="1070"/>
      <c r="AZ380" s="1070"/>
      <c r="BA380" s="1070"/>
      <c r="BB380" s="1070"/>
      <c r="BC380" s="1070"/>
      <c r="BD380" s="1070"/>
      <c r="BE380" s="1070"/>
      <c r="BF380" s="1070"/>
      <c r="BG380" s="1070"/>
      <c r="BH380" s="1070"/>
      <c r="BI380" s="1070"/>
      <c r="BJ380" s="1070"/>
      <c r="BK380" s="1070"/>
      <c r="BL380" s="1070"/>
      <c r="BM380" s="1070"/>
      <c r="BN380" s="1070"/>
      <c r="BO380" s="1070"/>
      <c r="BP380" s="1070"/>
      <c r="BQ380" s="1070"/>
      <c r="BR380" s="1070"/>
      <c r="BS380" s="1070"/>
      <c r="BT380" s="1070"/>
      <c r="BU380" s="1070"/>
      <c r="BV380" s="1070"/>
      <c r="BW380" s="1070"/>
      <c r="BX380" s="1070"/>
      <c r="BY380" s="1070"/>
      <c r="BZ380" s="1070"/>
      <c r="CA380" s="1070"/>
      <c r="CB380" s="1070"/>
      <c r="CC380" s="1070"/>
      <c r="CD380" s="1070"/>
      <c r="CE380" s="1070"/>
      <c r="CF380" s="1070"/>
      <c r="CG380" s="1070"/>
      <c r="CH380" s="1070"/>
      <c r="CI380" s="1070"/>
      <c r="CJ380" s="1070"/>
      <c r="CK380" s="1070"/>
      <c r="CL380" s="1070"/>
      <c r="CM380" s="1070"/>
      <c r="CN380" s="1070"/>
      <c r="CO380" s="1070"/>
      <c r="CP380" s="1070"/>
      <c r="CQ380" s="1070"/>
      <c r="CR380" s="1070"/>
      <c r="CS380" s="1070"/>
      <c r="CT380" s="1070"/>
      <c r="CU380" s="1070"/>
      <c r="CV380" s="1070"/>
      <c r="CW380" s="1070"/>
      <c r="CX380" s="1070"/>
      <c r="CY380" s="1070"/>
      <c r="CZ380" s="1070"/>
      <c r="DA380" s="1070"/>
      <c r="DB380" s="1070"/>
      <c r="DC380" s="1070"/>
      <c r="DD380" s="1070"/>
      <c r="DE380" s="1070"/>
      <c r="DF380" s="1070"/>
      <c r="DG380" s="1070"/>
      <c r="DH380" s="1070"/>
      <c r="DI380" s="1070"/>
      <c r="DJ380" s="1070"/>
    </row>
    <row r="381" spans="1:114" s="1136" customFormat="1" ht="15" x14ac:dyDescent="0.2">
      <c r="A381" s="1715" t="s">
        <v>5162</v>
      </c>
      <c r="B381" s="1966">
        <f>IF(B193&lt;=2,0.85,1)</f>
        <v>1</v>
      </c>
      <c r="C381" s="1407"/>
      <c r="D381" s="1407"/>
      <c r="E381" s="1407"/>
      <c r="F381" s="1407"/>
      <c r="G381" s="1407"/>
      <c r="H381" s="1070"/>
      <c r="I381" s="1070"/>
      <c r="J381" s="1070"/>
      <c r="K381" s="1070"/>
      <c r="L381" s="1070"/>
      <c r="M381" s="1070"/>
      <c r="N381" s="1070"/>
      <c r="O381" s="1070"/>
      <c r="P381" s="1070"/>
      <c r="Q381" s="1070"/>
      <c r="R381" s="1070"/>
      <c r="S381" s="1070"/>
      <c r="T381" s="1070"/>
      <c r="U381" s="1070"/>
      <c r="V381" s="1070"/>
      <c r="W381" s="1070"/>
      <c r="X381" s="1070"/>
      <c r="Y381" s="1070"/>
      <c r="Z381" s="1070"/>
      <c r="AA381" s="1070"/>
      <c r="AB381" s="1070"/>
      <c r="AC381" s="1070"/>
      <c r="AD381" s="1070"/>
      <c r="AE381" s="1070"/>
      <c r="AF381" s="1070"/>
      <c r="AG381" s="1070"/>
      <c r="AH381" s="1070"/>
      <c r="AI381" s="1070"/>
      <c r="AJ381" s="1070"/>
      <c r="AK381" s="1070"/>
      <c r="AL381" s="1070"/>
      <c r="AM381" s="1070"/>
      <c r="AN381" s="1070"/>
      <c r="AO381" s="1070"/>
      <c r="AP381" s="1070"/>
      <c r="AQ381" s="1070"/>
      <c r="AR381" s="1070"/>
      <c r="AS381" s="1070"/>
      <c r="AT381" s="1070"/>
      <c r="AU381" s="1070"/>
      <c r="AV381" s="1070"/>
      <c r="AW381" s="1070"/>
      <c r="AX381" s="1070"/>
      <c r="AY381" s="1070"/>
      <c r="AZ381" s="1070"/>
      <c r="BA381" s="1070"/>
      <c r="BB381" s="1070"/>
      <c r="BC381" s="1070"/>
      <c r="BD381" s="1070"/>
      <c r="BE381" s="1070"/>
      <c r="BF381" s="1070"/>
      <c r="BG381" s="1070"/>
      <c r="BH381" s="1070"/>
      <c r="BI381" s="1070"/>
      <c r="BJ381" s="1070"/>
      <c r="BK381" s="1070"/>
      <c r="BL381" s="1070"/>
      <c r="BM381" s="1070"/>
      <c r="BN381" s="1070"/>
      <c r="BO381" s="1070"/>
      <c r="BP381" s="1070"/>
      <c r="BQ381" s="1070"/>
      <c r="BR381" s="1070"/>
      <c r="BS381" s="1070"/>
      <c r="BT381" s="1070"/>
      <c r="BU381" s="1070"/>
      <c r="BV381" s="1070"/>
      <c r="BW381" s="1070"/>
      <c r="BX381" s="1070"/>
      <c r="BY381" s="1070"/>
      <c r="BZ381" s="1070"/>
      <c r="CA381" s="1070"/>
      <c r="CB381" s="1070"/>
      <c r="CC381" s="1070"/>
      <c r="CD381" s="1070"/>
      <c r="CE381" s="1070"/>
      <c r="CF381" s="1070"/>
      <c r="CG381" s="1070"/>
      <c r="CH381" s="1070"/>
      <c r="CI381" s="1070"/>
      <c r="CJ381" s="1070"/>
      <c r="CK381" s="1070"/>
      <c r="CL381" s="1070"/>
      <c r="CM381" s="1070"/>
      <c r="CN381" s="1070"/>
      <c r="CO381" s="1070"/>
      <c r="CP381" s="1070"/>
      <c r="CQ381" s="1070"/>
      <c r="CR381" s="1070"/>
      <c r="CS381" s="1070"/>
      <c r="CT381" s="1070"/>
      <c r="CU381" s="1070"/>
      <c r="CV381" s="1070"/>
      <c r="CW381" s="1070"/>
      <c r="CX381" s="1070"/>
      <c r="CY381" s="1070"/>
      <c r="CZ381" s="1070"/>
      <c r="DA381" s="1070"/>
      <c r="DB381" s="1070"/>
      <c r="DC381" s="1070"/>
      <c r="DD381" s="1070"/>
      <c r="DE381" s="1070"/>
      <c r="DF381" s="1070"/>
      <c r="DG381" s="1070"/>
      <c r="DH381" s="1070"/>
      <c r="DI381" s="1070"/>
      <c r="DJ381" s="1070"/>
    </row>
    <row r="382" spans="1:114" s="1136" customFormat="1" ht="15" x14ac:dyDescent="0.2">
      <c r="A382" s="1715" t="s">
        <v>5163</v>
      </c>
      <c r="B382" s="1966">
        <f>IF(B194=2,0.9,1)</f>
        <v>1</v>
      </c>
      <c r="C382" s="1407"/>
      <c r="D382" s="1407"/>
      <c r="E382" s="1407"/>
      <c r="F382" s="1407"/>
      <c r="G382" s="1407"/>
      <c r="H382" s="1070"/>
      <c r="I382" s="1070"/>
      <c r="J382" s="1070"/>
      <c r="K382" s="1070"/>
      <c r="L382" s="1070"/>
      <c r="M382" s="1070"/>
      <c r="N382" s="1070"/>
      <c r="O382" s="1070"/>
      <c r="P382" s="1070"/>
      <c r="Q382" s="1070"/>
      <c r="R382" s="1070"/>
      <c r="S382" s="1070"/>
      <c r="T382" s="1070"/>
      <c r="U382" s="1070"/>
      <c r="V382" s="1070"/>
      <c r="W382" s="1070"/>
      <c r="X382" s="1070"/>
      <c r="Y382" s="1070"/>
      <c r="Z382" s="1070"/>
      <c r="AA382" s="1070"/>
      <c r="AB382" s="1070"/>
      <c r="AC382" s="1070"/>
      <c r="AD382" s="1070"/>
      <c r="AE382" s="1070"/>
      <c r="AF382" s="1070"/>
      <c r="AG382" s="1070"/>
      <c r="AH382" s="1070"/>
      <c r="AI382" s="1070"/>
      <c r="AJ382" s="1070"/>
      <c r="AK382" s="1070"/>
      <c r="AL382" s="1070"/>
      <c r="AM382" s="1070"/>
      <c r="AN382" s="1070"/>
      <c r="AO382" s="1070"/>
      <c r="AP382" s="1070"/>
      <c r="AQ382" s="1070"/>
      <c r="AR382" s="1070"/>
      <c r="AS382" s="1070"/>
      <c r="AT382" s="1070"/>
      <c r="AU382" s="1070"/>
      <c r="AV382" s="1070"/>
      <c r="AW382" s="1070"/>
      <c r="AX382" s="1070"/>
      <c r="AY382" s="1070"/>
      <c r="AZ382" s="1070"/>
      <c r="BA382" s="1070"/>
      <c r="BB382" s="1070"/>
      <c r="BC382" s="1070"/>
      <c r="BD382" s="1070"/>
      <c r="BE382" s="1070"/>
      <c r="BF382" s="1070"/>
      <c r="BG382" s="1070"/>
      <c r="BH382" s="1070"/>
      <c r="BI382" s="1070"/>
      <c r="BJ382" s="1070"/>
      <c r="BK382" s="1070"/>
      <c r="BL382" s="1070"/>
      <c r="BM382" s="1070"/>
      <c r="BN382" s="1070"/>
      <c r="BO382" s="1070"/>
      <c r="BP382" s="1070"/>
      <c r="BQ382" s="1070"/>
      <c r="BR382" s="1070"/>
      <c r="BS382" s="1070"/>
      <c r="BT382" s="1070"/>
      <c r="BU382" s="1070"/>
      <c r="BV382" s="1070"/>
      <c r="BW382" s="1070"/>
      <c r="BX382" s="1070"/>
      <c r="BY382" s="1070"/>
      <c r="BZ382" s="1070"/>
      <c r="CA382" s="1070"/>
      <c r="CB382" s="1070"/>
      <c r="CC382" s="1070"/>
      <c r="CD382" s="1070"/>
      <c r="CE382" s="1070"/>
      <c r="CF382" s="1070"/>
      <c r="CG382" s="1070"/>
      <c r="CH382" s="1070"/>
      <c r="CI382" s="1070"/>
      <c r="CJ382" s="1070"/>
      <c r="CK382" s="1070"/>
      <c r="CL382" s="1070"/>
      <c r="CM382" s="1070"/>
      <c r="CN382" s="1070"/>
      <c r="CO382" s="1070"/>
      <c r="CP382" s="1070"/>
      <c r="CQ382" s="1070"/>
      <c r="CR382" s="1070"/>
      <c r="CS382" s="1070"/>
      <c r="CT382" s="1070"/>
      <c r="CU382" s="1070"/>
      <c r="CV382" s="1070"/>
      <c r="CW382" s="1070"/>
      <c r="CX382" s="1070"/>
      <c r="CY382" s="1070"/>
      <c r="CZ382" s="1070"/>
      <c r="DA382" s="1070"/>
      <c r="DB382" s="1070"/>
      <c r="DC382" s="1070"/>
      <c r="DD382" s="1070"/>
      <c r="DE382" s="1070"/>
      <c r="DF382" s="1070"/>
      <c r="DG382" s="1070"/>
      <c r="DH382" s="1070"/>
      <c r="DI382" s="1070"/>
      <c r="DJ382" s="1070"/>
    </row>
    <row r="383" spans="1:114" s="1136" customFormat="1" ht="15" x14ac:dyDescent="0.2">
      <c r="A383" s="1715" t="s">
        <v>5164</v>
      </c>
      <c r="B383" s="1966">
        <f>IF(B191&lt;=21,1,IF(B191&lt;=25,0.95,0.9))</f>
        <v>1</v>
      </c>
      <c r="C383" s="1407"/>
      <c r="D383" s="1407"/>
      <c r="E383" s="1407"/>
      <c r="F383" s="1407"/>
      <c r="G383" s="1407"/>
      <c r="H383" s="1070"/>
      <c r="I383" s="1070"/>
      <c r="J383" s="1070"/>
      <c r="K383" s="1070"/>
      <c r="L383" s="1070"/>
      <c r="M383" s="1070"/>
      <c r="N383" s="1070"/>
      <c r="O383" s="1070"/>
      <c r="P383" s="1070"/>
      <c r="Q383" s="1070"/>
      <c r="R383" s="1070"/>
      <c r="S383" s="1070"/>
      <c r="T383" s="1070"/>
      <c r="U383" s="1070"/>
      <c r="V383" s="1070"/>
      <c r="W383" s="1070"/>
      <c r="X383" s="1070"/>
      <c r="Y383" s="1070"/>
      <c r="Z383" s="1070"/>
      <c r="AA383" s="1070"/>
      <c r="AB383" s="1070"/>
      <c r="AC383" s="1070"/>
      <c r="AD383" s="1070"/>
      <c r="AE383" s="1070"/>
      <c r="AF383" s="1070"/>
      <c r="AG383" s="1070"/>
      <c r="AH383" s="1070"/>
      <c r="AI383" s="1070"/>
      <c r="AJ383" s="1070"/>
      <c r="AK383" s="1070"/>
      <c r="AL383" s="1070"/>
      <c r="AM383" s="1070"/>
      <c r="AN383" s="1070"/>
      <c r="AO383" s="1070"/>
      <c r="AP383" s="1070"/>
      <c r="AQ383" s="1070"/>
      <c r="AR383" s="1070"/>
      <c r="AS383" s="1070"/>
      <c r="AT383" s="1070"/>
      <c r="AU383" s="1070"/>
      <c r="AV383" s="1070"/>
      <c r="AW383" s="1070"/>
      <c r="AX383" s="1070"/>
      <c r="AY383" s="1070"/>
      <c r="AZ383" s="1070"/>
      <c r="BA383" s="1070"/>
      <c r="BB383" s="1070"/>
      <c r="BC383" s="1070"/>
      <c r="BD383" s="1070"/>
      <c r="BE383" s="1070"/>
      <c r="BF383" s="1070"/>
      <c r="BG383" s="1070"/>
      <c r="BH383" s="1070"/>
      <c r="BI383" s="1070"/>
      <c r="BJ383" s="1070"/>
      <c r="BK383" s="1070"/>
      <c r="BL383" s="1070"/>
      <c r="BM383" s="1070"/>
      <c r="BN383" s="1070"/>
      <c r="BO383" s="1070"/>
      <c r="BP383" s="1070"/>
      <c r="BQ383" s="1070"/>
      <c r="BR383" s="1070"/>
      <c r="BS383" s="1070"/>
      <c r="BT383" s="1070"/>
      <c r="BU383" s="1070"/>
      <c r="BV383" s="1070"/>
      <c r="BW383" s="1070"/>
      <c r="BX383" s="1070"/>
      <c r="BY383" s="1070"/>
      <c r="BZ383" s="1070"/>
      <c r="CA383" s="1070"/>
      <c r="CB383" s="1070"/>
      <c r="CC383" s="1070"/>
      <c r="CD383" s="1070"/>
      <c r="CE383" s="1070"/>
      <c r="CF383" s="1070"/>
      <c r="CG383" s="1070"/>
      <c r="CH383" s="1070"/>
      <c r="CI383" s="1070"/>
      <c r="CJ383" s="1070"/>
      <c r="CK383" s="1070"/>
      <c r="CL383" s="1070"/>
      <c r="CM383" s="1070"/>
      <c r="CN383" s="1070"/>
      <c r="CO383" s="1070"/>
      <c r="CP383" s="1070"/>
      <c r="CQ383" s="1070"/>
      <c r="CR383" s="1070"/>
      <c r="CS383" s="1070"/>
      <c r="CT383" s="1070"/>
      <c r="CU383" s="1070"/>
      <c r="CV383" s="1070"/>
      <c r="CW383" s="1070"/>
      <c r="CX383" s="1070"/>
      <c r="CY383" s="1070"/>
      <c r="CZ383" s="1070"/>
      <c r="DA383" s="1070"/>
      <c r="DB383" s="1070"/>
      <c r="DC383" s="1070"/>
      <c r="DD383" s="1070"/>
      <c r="DE383" s="1070"/>
      <c r="DF383" s="1070"/>
      <c r="DG383" s="1070"/>
      <c r="DH383" s="1070"/>
      <c r="DI383" s="1070"/>
      <c r="DJ383" s="1070"/>
    </row>
    <row r="384" spans="1:114" s="1136" customFormat="1" ht="13.5" customHeight="1" x14ac:dyDescent="0.2">
      <c r="A384" s="1715" t="s">
        <v>2660</v>
      </c>
      <c r="B384" s="1966">
        <f>IF(B196=0,1,1.15)</f>
        <v>1.1499999999999999</v>
      </c>
      <c r="C384" s="1407"/>
      <c r="D384" s="1407"/>
      <c r="E384" s="1407"/>
      <c r="F384" s="1407"/>
      <c r="G384" s="1407"/>
      <c r="H384" s="1070"/>
      <c r="I384" s="1070"/>
      <c r="J384" s="1070"/>
      <c r="K384" s="1070"/>
      <c r="L384" s="1070"/>
      <c r="M384" s="1070"/>
      <c r="N384" s="1070"/>
      <c r="O384" s="1070"/>
      <c r="P384" s="1070"/>
      <c r="Q384" s="1070"/>
      <c r="R384" s="1070"/>
      <c r="S384" s="1070"/>
      <c r="T384" s="1070"/>
      <c r="U384" s="1070"/>
      <c r="V384" s="1070"/>
      <c r="W384" s="1070"/>
      <c r="X384" s="1070"/>
      <c r="Y384" s="1070"/>
      <c r="Z384" s="1070"/>
      <c r="AA384" s="1070"/>
      <c r="AB384" s="1070"/>
      <c r="AC384" s="1070"/>
      <c r="AD384" s="1070"/>
      <c r="AE384" s="1070"/>
      <c r="AF384" s="1070"/>
      <c r="AG384" s="1070"/>
      <c r="AH384" s="1070"/>
      <c r="AI384" s="1070"/>
      <c r="AJ384" s="1070"/>
      <c r="AK384" s="1070"/>
      <c r="AL384" s="1070"/>
      <c r="AM384" s="1070"/>
      <c r="AN384" s="1070"/>
      <c r="AO384" s="1070"/>
      <c r="AP384" s="1070"/>
      <c r="AQ384" s="1070"/>
      <c r="AR384" s="1070"/>
      <c r="AS384" s="1070"/>
      <c r="AT384" s="1070"/>
      <c r="AU384" s="1070"/>
      <c r="AV384" s="1070"/>
      <c r="AW384" s="1070"/>
      <c r="AX384" s="1070"/>
      <c r="AY384" s="1070"/>
      <c r="AZ384" s="1070"/>
      <c r="BA384" s="1070"/>
      <c r="BB384" s="1070"/>
      <c r="BC384" s="1070"/>
      <c r="BD384" s="1070"/>
      <c r="BE384" s="1070"/>
      <c r="BF384" s="1070"/>
      <c r="BG384" s="1070"/>
      <c r="BH384" s="1070"/>
      <c r="BI384" s="1070"/>
      <c r="BJ384" s="1070"/>
      <c r="BK384" s="1070"/>
      <c r="BL384" s="1070"/>
      <c r="BM384" s="1070"/>
      <c r="BN384" s="1070"/>
      <c r="BO384" s="1070"/>
      <c r="BP384" s="1070"/>
      <c r="BQ384" s="1070"/>
      <c r="BR384" s="1070"/>
      <c r="BS384" s="1070"/>
      <c r="BT384" s="1070"/>
      <c r="BU384" s="1070"/>
      <c r="BV384" s="1070"/>
      <c r="BW384" s="1070"/>
      <c r="BX384" s="1070"/>
      <c r="BY384" s="1070"/>
      <c r="BZ384" s="1070"/>
      <c r="CA384" s="1070"/>
      <c r="CB384" s="1070"/>
      <c r="CC384" s="1070"/>
      <c r="CD384" s="1070"/>
      <c r="CE384" s="1070"/>
      <c r="CF384" s="1070"/>
      <c r="CG384" s="1070"/>
      <c r="CH384" s="1070"/>
      <c r="CI384" s="1070"/>
      <c r="CJ384" s="1070"/>
      <c r="CK384" s="1070"/>
      <c r="CL384" s="1070"/>
      <c r="CM384" s="1070"/>
      <c r="CN384" s="1070"/>
      <c r="CO384" s="1070"/>
      <c r="CP384" s="1070"/>
      <c r="CQ384" s="1070"/>
      <c r="CR384" s="1070"/>
      <c r="CS384" s="1070"/>
      <c r="CT384" s="1070"/>
      <c r="CU384" s="1070"/>
      <c r="CV384" s="1070"/>
      <c r="CW384" s="1070"/>
      <c r="CX384" s="1070"/>
      <c r="CY384" s="1070"/>
      <c r="CZ384" s="1070"/>
      <c r="DA384" s="1070"/>
      <c r="DB384" s="1070"/>
      <c r="DC384" s="1070"/>
      <c r="DD384" s="1070"/>
      <c r="DE384" s="1070"/>
      <c r="DF384" s="1070"/>
      <c r="DG384" s="1070"/>
      <c r="DH384" s="1070"/>
      <c r="DI384" s="1070"/>
      <c r="DJ384" s="1070"/>
    </row>
    <row r="385" spans="1:114" s="1136" customFormat="1" ht="15" x14ac:dyDescent="0.2">
      <c r="A385" s="1686" t="s">
        <v>2661</v>
      </c>
      <c r="B385" s="1967">
        <f>B380*B381*B382*B383*B384</f>
        <v>1.1499999999999999</v>
      </c>
      <c r="C385" s="1407"/>
      <c r="D385" s="1407"/>
      <c r="E385" s="1407"/>
      <c r="F385" s="1407"/>
      <c r="G385" s="1407"/>
      <c r="H385" s="1070"/>
      <c r="I385" s="1070"/>
      <c r="J385" s="1070"/>
      <c r="K385" s="1070"/>
      <c r="L385" s="1070"/>
      <c r="M385" s="1070"/>
      <c r="N385" s="1070"/>
      <c r="O385" s="1070"/>
      <c r="P385" s="1070"/>
      <c r="Q385" s="1070"/>
      <c r="R385" s="1070"/>
      <c r="S385" s="1070"/>
      <c r="T385" s="1070"/>
      <c r="U385" s="1070"/>
      <c r="V385" s="1070"/>
      <c r="W385" s="1070"/>
      <c r="X385" s="1070"/>
      <c r="Y385" s="1070"/>
      <c r="Z385" s="1070"/>
      <c r="AA385" s="1070"/>
      <c r="AB385" s="1070"/>
      <c r="AC385" s="1070"/>
      <c r="AD385" s="1070"/>
      <c r="AE385" s="1070"/>
      <c r="AF385" s="1070"/>
      <c r="AG385" s="1070"/>
      <c r="AH385" s="1070"/>
      <c r="AI385" s="1070"/>
      <c r="AJ385" s="1070"/>
      <c r="AK385" s="1070"/>
      <c r="AL385" s="1070"/>
      <c r="AM385" s="1070"/>
      <c r="AN385" s="1070"/>
      <c r="AO385" s="1070"/>
      <c r="AP385" s="1070"/>
      <c r="AQ385" s="1070"/>
      <c r="AR385" s="1070"/>
      <c r="AS385" s="1070"/>
      <c r="AT385" s="1070"/>
      <c r="AU385" s="1070"/>
      <c r="AV385" s="1070"/>
      <c r="AW385" s="1070"/>
      <c r="AX385" s="1070"/>
      <c r="AY385" s="1070"/>
      <c r="AZ385" s="1070"/>
      <c r="BA385" s="1070"/>
      <c r="BB385" s="1070"/>
      <c r="BC385" s="1070"/>
      <c r="BD385" s="1070"/>
      <c r="BE385" s="1070"/>
      <c r="BF385" s="1070"/>
      <c r="BG385" s="1070"/>
      <c r="BH385" s="1070"/>
      <c r="BI385" s="1070"/>
      <c r="BJ385" s="1070"/>
      <c r="BK385" s="1070"/>
      <c r="BL385" s="1070"/>
      <c r="BM385" s="1070"/>
      <c r="BN385" s="1070"/>
      <c r="BO385" s="1070"/>
      <c r="BP385" s="1070"/>
      <c r="BQ385" s="1070"/>
      <c r="BR385" s="1070"/>
      <c r="BS385" s="1070"/>
      <c r="BT385" s="1070"/>
      <c r="BU385" s="1070"/>
      <c r="BV385" s="1070"/>
      <c r="BW385" s="1070"/>
      <c r="BX385" s="1070"/>
      <c r="BY385" s="1070"/>
      <c r="BZ385" s="1070"/>
      <c r="CA385" s="1070"/>
      <c r="CB385" s="1070"/>
      <c r="CC385" s="1070"/>
      <c r="CD385" s="1070"/>
      <c r="CE385" s="1070"/>
      <c r="CF385" s="1070"/>
      <c r="CG385" s="1070"/>
      <c r="CH385" s="1070"/>
      <c r="CI385" s="1070"/>
      <c r="CJ385" s="1070"/>
      <c r="CK385" s="1070"/>
      <c r="CL385" s="1070"/>
      <c r="CM385" s="1070"/>
      <c r="CN385" s="1070"/>
      <c r="CO385" s="1070"/>
      <c r="CP385" s="1070"/>
      <c r="CQ385" s="1070"/>
      <c r="CR385" s="1070"/>
      <c r="CS385" s="1070"/>
      <c r="CT385" s="1070"/>
      <c r="CU385" s="1070"/>
      <c r="CV385" s="1070"/>
      <c r="CW385" s="1070"/>
      <c r="CX385" s="1070"/>
      <c r="CY385" s="1070"/>
      <c r="CZ385" s="1070"/>
      <c r="DA385" s="1070"/>
      <c r="DB385" s="1070"/>
      <c r="DC385" s="1070"/>
      <c r="DD385" s="1070"/>
      <c r="DE385" s="1070"/>
      <c r="DF385" s="1070"/>
      <c r="DG385" s="1070"/>
      <c r="DH385" s="1070"/>
      <c r="DI385" s="1070"/>
      <c r="DJ385" s="1070"/>
    </row>
    <row r="386" spans="1:114" s="1136" customFormat="1" ht="15.75" x14ac:dyDescent="0.25">
      <c r="A386" s="1651" t="s">
        <v>4820</v>
      </c>
      <c r="B386" s="1046"/>
      <c r="C386" s="1070"/>
      <c r="D386" s="1070"/>
      <c r="E386" s="1070"/>
      <c r="F386" s="1070"/>
      <c r="G386" s="1070"/>
      <c r="H386" s="1070"/>
      <c r="I386" s="1070"/>
      <c r="J386" s="1070"/>
      <c r="K386" s="1070"/>
      <c r="L386" s="1070"/>
      <c r="M386" s="1070"/>
      <c r="N386" s="1070"/>
      <c r="O386" s="1070"/>
      <c r="P386" s="1070"/>
      <c r="Q386" s="1070"/>
      <c r="R386" s="1070"/>
      <c r="S386" s="1070"/>
      <c r="T386" s="1070"/>
      <c r="U386" s="1070"/>
      <c r="V386" s="1070"/>
      <c r="W386" s="1070"/>
      <c r="X386" s="1070"/>
      <c r="Y386" s="1070"/>
      <c r="Z386" s="1070"/>
      <c r="AA386" s="1070"/>
      <c r="AB386" s="1070"/>
      <c r="AC386" s="1070"/>
      <c r="AD386" s="1070"/>
      <c r="AE386" s="1070"/>
      <c r="AF386" s="1070"/>
      <c r="AG386" s="1070"/>
      <c r="AH386" s="1070"/>
      <c r="AI386" s="1070"/>
      <c r="AJ386" s="1070"/>
      <c r="AK386" s="1070"/>
      <c r="AL386" s="1070"/>
      <c r="AM386" s="1070"/>
      <c r="AN386" s="1070"/>
      <c r="AO386" s="1070"/>
      <c r="AP386" s="1070"/>
      <c r="AQ386" s="1070"/>
      <c r="AR386" s="1070"/>
      <c r="AS386" s="1070"/>
      <c r="AT386" s="1070"/>
      <c r="AU386" s="1070"/>
      <c r="AV386" s="1070"/>
      <c r="AW386" s="1070"/>
      <c r="AX386" s="1070"/>
      <c r="AY386" s="1070"/>
      <c r="AZ386" s="1070"/>
      <c r="BA386" s="1070"/>
      <c r="BB386" s="1070"/>
      <c r="BC386" s="1070"/>
      <c r="BD386" s="1070"/>
      <c r="BE386" s="1070"/>
      <c r="BF386" s="1070"/>
      <c r="BG386" s="1070"/>
      <c r="BH386" s="1070"/>
      <c r="BI386" s="1070"/>
      <c r="BJ386" s="1070"/>
      <c r="BK386" s="1070"/>
      <c r="BL386" s="1070"/>
      <c r="BM386" s="1070"/>
      <c r="BN386" s="1070"/>
      <c r="BO386" s="1070"/>
      <c r="BP386" s="1070"/>
      <c r="BQ386" s="1070"/>
      <c r="BR386" s="1070"/>
      <c r="BS386" s="1070"/>
      <c r="BT386" s="1070"/>
      <c r="BU386" s="1070"/>
      <c r="BV386" s="1070"/>
      <c r="BW386" s="1070"/>
      <c r="BX386" s="1070"/>
      <c r="BY386" s="1070"/>
      <c r="BZ386" s="1070"/>
      <c r="CA386" s="1070"/>
      <c r="CB386" s="1070"/>
      <c r="CC386" s="1070"/>
      <c r="CD386" s="1070"/>
      <c r="CE386" s="1070"/>
      <c r="CF386" s="1070"/>
      <c r="CG386" s="1070"/>
      <c r="CH386" s="1070"/>
      <c r="CI386" s="1070"/>
      <c r="CJ386" s="1070"/>
      <c r="CK386" s="1070"/>
      <c r="CL386" s="1070"/>
      <c r="CM386" s="1070"/>
      <c r="CN386" s="1070"/>
      <c r="CO386" s="1070"/>
      <c r="CP386" s="1070"/>
      <c r="CQ386" s="1070"/>
      <c r="CR386" s="1070"/>
      <c r="CS386" s="1070"/>
      <c r="CT386" s="1070"/>
      <c r="CU386" s="1070"/>
      <c r="CV386" s="1070"/>
      <c r="CW386" s="1070"/>
      <c r="CX386" s="1070"/>
      <c r="CY386" s="1070"/>
      <c r="CZ386" s="1070"/>
      <c r="DA386" s="1070"/>
      <c r="DB386" s="1070"/>
      <c r="DC386" s="1070"/>
      <c r="DD386" s="1070"/>
      <c r="DE386" s="1070"/>
      <c r="DF386" s="1070"/>
      <c r="DG386" s="1070"/>
      <c r="DH386" s="1070"/>
      <c r="DI386" s="1070"/>
      <c r="DJ386" s="1070"/>
    </row>
    <row r="387" spans="1:114" s="1136" customFormat="1" ht="15" x14ac:dyDescent="0.2">
      <c r="A387" s="1715" t="s">
        <v>5161</v>
      </c>
      <c r="B387" s="1966">
        <f>IF(B180=0.5,0.794,1)</f>
        <v>1</v>
      </c>
      <c r="C387" s="1407"/>
      <c r="D387" s="1407"/>
      <c r="E387" s="1407"/>
      <c r="F387" s="1407"/>
      <c r="G387" s="1407"/>
      <c r="H387" s="1070"/>
      <c r="I387" s="1070"/>
      <c r="J387" s="1070"/>
      <c r="K387" s="1070"/>
      <c r="L387" s="1070"/>
      <c r="M387" s="1070"/>
      <c r="N387" s="1070"/>
      <c r="O387" s="1070"/>
      <c r="P387" s="1070"/>
      <c r="Q387" s="1070"/>
      <c r="R387" s="1070"/>
      <c r="S387" s="1070"/>
      <c r="T387" s="1070"/>
      <c r="U387" s="1070"/>
      <c r="V387" s="1070"/>
      <c r="W387" s="1070"/>
      <c r="X387" s="1070"/>
      <c r="Y387" s="1070"/>
      <c r="Z387" s="1070"/>
      <c r="AA387" s="1070"/>
      <c r="AB387" s="1070"/>
      <c r="AC387" s="1070"/>
      <c r="AD387" s="1070"/>
      <c r="AE387" s="1070"/>
      <c r="AF387" s="1070"/>
      <c r="AG387" s="1070"/>
      <c r="AH387" s="1070"/>
      <c r="AI387" s="1070"/>
      <c r="AJ387" s="1070"/>
      <c r="AK387" s="1070"/>
      <c r="AL387" s="1070"/>
      <c r="AM387" s="1070"/>
      <c r="AN387" s="1070"/>
      <c r="AO387" s="1070"/>
      <c r="AP387" s="1070"/>
      <c r="AQ387" s="1070"/>
      <c r="AR387" s="1070"/>
      <c r="AS387" s="1070"/>
      <c r="AT387" s="1070"/>
      <c r="AU387" s="1070"/>
      <c r="AV387" s="1070"/>
      <c r="AW387" s="1070"/>
      <c r="AX387" s="1070"/>
      <c r="AY387" s="1070"/>
      <c r="AZ387" s="1070"/>
      <c r="BA387" s="1070"/>
      <c r="BB387" s="1070"/>
      <c r="BC387" s="1070"/>
      <c r="BD387" s="1070"/>
      <c r="BE387" s="1070"/>
      <c r="BF387" s="1070"/>
      <c r="BG387" s="1070"/>
      <c r="BH387" s="1070"/>
      <c r="BI387" s="1070"/>
      <c r="BJ387" s="1070"/>
      <c r="BK387" s="1070"/>
      <c r="BL387" s="1070"/>
      <c r="BM387" s="1070"/>
      <c r="BN387" s="1070"/>
      <c r="BO387" s="1070"/>
      <c r="BP387" s="1070"/>
      <c r="BQ387" s="1070"/>
      <c r="BR387" s="1070"/>
      <c r="BS387" s="1070"/>
      <c r="BT387" s="1070"/>
      <c r="BU387" s="1070"/>
      <c r="BV387" s="1070"/>
      <c r="BW387" s="1070"/>
      <c r="BX387" s="1070"/>
      <c r="BY387" s="1070"/>
      <c r="BZ387" s="1070"/>
      <c r="CA387" s="1070"/>
      <c r="CB387" s="1070"/>
      <c r="CC387" s="1070"/>
      <c r="CD387" s="1070"/>
      <c r="CE387" s="1070"/>
      <c r="CF387" s="1070"/>
      <c r="CG387" s="1070"/>
      <c r="CH387" s="1070"/>
      <c r="CI387" s="1070"/>
      <c r="CJ387" s="1070"/>
      <c r="CK387" s="1070"/>
      <c r="CL387" s="1070"/>
      <c r="CM387" s="1070"/>
      <c r="CN387" s="1070"/>
      <c r="CO387" s="1070"/>
      <c r="CP387" s="1070"/>
      <c r="CQ387" s="1070"/>
      <c r="CR387" s="1070"/>
      <c r="CS387" s="1070"/>
      <c r="CT387" s="1070"/>
      <c r="CU387" s="1070"/>
      <c r="CV387" s="1070"/>
      <c r="CW387" s="1070"/>
      <c r="CX387" s="1070"/>
      <c r="CY387" s="1070"/>
      <c r="CZ387" s="1070"/>
      <c r="DA387" s="1070"/>
      <c r="DB387" s="1070"/>
      <c r="DC387" s="1070"/>
      <c r="DD387" s="1070"/>
      <c r="DE387" s="1070"/>
      <c r="DF387" s="1070"/>
      <c r="DG387" s="1070"/>
      <c r="DH387" s="1070"/>
      <c r="DI387" s="1070"/>
      <c r="DJ387" s="1070"/>
    </row>
    <row r="388" spans="1:114" s="1136" customFormat="1" ht="15" x14ac:dyDescent="0.2">
      <c r="A388" s="1715" t="s">
        <v>5164</v>
      </c>
      <c r="B388" s="1966">
        <f>IF(B191&lt;=15,1,IF(B191&lt;=20,0.95,IF(B191&lt;=25,0.9,0.85)))</f>
        <v>1</v>
      </c>
      <c r="C388" s="1407"/>
      <c r="D388" s="1407"/>
      <c r="E388" s="1407"/>
      <c r="F388" s="1407"/>
      <c r="G388" s="1407"/>
      <c r="H388" s="1070"/>
      <c r="I388" s="1070"/>
      <c r="J388" s="1070"/>
      <c r="K388" s="1070"/>
      <c r="L388" s="1070"/>
      <c r="M388" s="1070"/>
      <c r="N388" s="1070"/>
      <c r="O388" s="1070"/>
      <c r="P388" s="1070"/>
      <c r="Q388" s="1070"/>
      <c r="R388" s="1070"/>
      <c r="S388" s="1070"/>
      <c r="T388" s="1070"/>
      <c r="U388" s="1070"/>
      <c r="V388" s="1070"/>
      <c r="W388" s="1070"/>
      <c r="X388" s="1070"/>
      <c r="Y388" s="1070"/>
      <c r="Z388" s="1070"/>
      <c r="AA388" s="1070"/>
      <c r="AB388" s="1070"/>
      <c r="AC388" s="1070"/>
      <c r="AD388" s="1070"/>
      <c r="AE388" s="1070"/>
      <c r="AF388" s="1070"/>
      <c r="AG388" s="1070"/>
      <c r="AH388" s="1070"/>
      <c r="AI388" s="1070"/>
      <c r="AJ388" s="1070"/>
      <c r="AK388" s="1070"/>
      <c r="AL388" s="1070"/>
      <c r="AM388" s="1070"/>
      <c r="AN388" s="1070"/>
      <c r="AO388" s="1070"/>
      <c r="AP388" s="1070"/>
      <c r="AQ388" s="1070"/>
      <c r="AR388" s="1070"/>
      <c r="AS388" s="1070"/>
      <c r="AT388" s="1070"/>
      <c r="AU388" s="1070"/>
      <c r="AV388" s="1070"/>
      <c r="AW388" s="1070"/>
      <c r="AX388" s="1070"/>
      <c r="AY388" s="1070"/>
      <c r="AZ388" s="1070"/>
      <c r="BA388" s="1070"/>
      <c r="BB388" s="1070"/>
      <c r="BC388" s="1070"/>
      <c r="BD388" s="1070"/>
      <c r="BE388" s="1070"/>
      <c r="BF388" s="1070"/>
      <c r="BG388" s="1070"/>
      <c r="BH388" s="1070"/>
      <c r="BI388" s="1070"/>
      <c r="BJ388" s="1070"/>
      <c r="BK388" s="1070"/>
      <c r="BL388" s="1070"/>
      <c r="BM388" s="1070"/>
      <c r="BN388" s="1070"/>
      <c r="BO388" s="1070"/>
      <c r="BP388" s="1070"/>
      <c r="BQ388" s="1070"/>
      <c r="BR388" s="1070"/>
      <c r="BS388" s="1070"/>
      <c r="BT388" s="1070"/>
      <c r="BU388" s="1070"/>
      <c r="BV388" s="1070"/>
      <c r="BW388" s="1070"/>
      <c r="BX388" s="1070"/>
      <c r="BY388" s="1070"/>
      <c r="BZ388" s="1070"/>
      <c r="CA388" s="1070"/>
      <c r="CB388" s="1070"/>
      <c r="CC388" s="1070"/>
      <c r="CD388" s="1070"/>
      <c r="CE388" s="1070"/>
      <c r="CF388" s="1070"/>
      <c r="CG388" s="1070"/>
      <c r="CH388" s="1070"/>
      <c r="CI388" s="1070"/>
      <c r="CJ388" s="1070"/>
      <c r="CK388" s="1070"/>
      <c r="CL388" s="1070"/>
      <c r="CM388" s="1070"/>
      <c r="CN388" s="1070"/>
      <c r="CO388" s="1070"/>
      <c r="CP388" s="1070"/>
      <c r="CQ388" s="1070"/>
      <c r="CR388" s="1070"/>
      <c r="CS388" s="1070"/>
      <c r="CT388" s="1070"/>
      <c r="CU388" s="1070"/>
      <c r="CV388" s="1070"/>
      <c r="CW388" s="1070"/>
      <c r="CX388" s="1070"/>
      <c r="CY388" s="1070"/>
      <c r="CZ388" s="1070"/>
      <c r="DA388" s="1070"/>
      <c r="DB388" s="1070"/>
      <c r="DC388" s="1070"/>
      <c r="DD388" s="1070"/>
      <c r="DE388" s="1070"/>
      <c r="DF388" s="1070"/>
      <c r="DG388" s="1070"/>
      <c r="DH388" s="1070"/>
      <c r="DI388" s="1070"/>
      <c r="DJ388" s="1070"/>
    </row>
    <row r="389" spans="1:114" s="1136" customFormat="1" ht="15" x14ac:dyDescent="0.2">
      <c r="A389" s="1715" t="s">
        <v>2662</v>
      </c>
      <c r="B389" s="1966">
        <f>IF(B195=1,1,1.18)</f>
        <v>1</v>
      </c>
      <c r="C389" s="1407"/>
      <c r="D389" s="1407"/>
      <c r="E389" s="1407"/>
      <c r="F389" s="1407"/>
      <c r="G389" s="1407"/>
      <c r="H389" s="1070"/>
      <c r="I389" s="1070"/>
      <c r="J389" s="1070"/>
      <c r="K389" s="1070"/>
      <c r="L389" s="1070"/>
      <c r="M389" s="1070"/>
      <c r="N389" s="1070"/>
      <c r="O389" s="1070"/>
      <c r="P389" s="1070"/>
      <c r="Q389" s="1070"/>
      <c r="R389" s="1070"/>
      <c r="S389" s="1070"/>
      <c r="T389" s="1070"/>
      <c r="U389" s="1070"/>
      <c r="V389" s="1070"/>
      <c r="W389" s="1070"/>
      <c r="X389" s="1070"/>
      <c r="Y389" s="1070"/>
      <c r="Z389" s="1070"/>
      <c r="AA389" s="1070"/>
      <c r="AB389" s="1070"/>
      <c r="AC389" s="1070"/>
      <c r="AD389" s="1070"/>
      <c r="AE389" s="1070"/>
      <c r="AF389" s="1070"/>
      <c r="AG389" s="1070"/>
      <c r="AH389" s="1070"/>
      <c r="AI389" s="1070"/>
      <c r="AJ389" s="1070"/>
      <c r="AK389" s="1070"/>
      <c r="AL389" s="1070"/>
      <c r="AM389" s="1070"/>
      <c r="AN389" s="1070"/>
      <c r="AO389" s="1070"/>
      <c r="AP389" s="1070"/>
      <c r="AQ389" s="1070"/>
      <c r="AR389" s="1070"/>
      <c r="AS389" s="1070"/>
      <c r="AT389" s="1070"/>
      <c r="AU389" s="1070"/>
      <c r="AV389" s="1070"/>
      <c r="AW389" s="1070"/>
      <c r="AX389" s="1070"/>
      <c r="AY389" s="1070"/>
      <c r="AZ389" s="1070"/>
      <c r="BA389" s="1070"/>
      <c r="BB389" s="1070"/>
      <c r="BC389" s="1070"/>
      <c r="BD389" s="1070"/>
      <c r="BE389" s="1070"/>
      <c r="BF389" s="1070"/>
      <c r="BG389" s="1070"/>
      <c r="BH389" s="1070"/>
      <c r="BI389" s="1070"/>
      <c r="BJ389" s="1070"/>
      <c r="BK389" s="1070"/>
      <c r="BL389" s="1070"/>
      <c r="BM389" s="1070"/>
      <c r="BN389" s="1070"/>
      <c r="BO389" s="1070"/>
      <c r="BP389" s="1070"/>
      <c r="BQ389" s="1070"/>
      <c r="BR389" s="1070"/>
      <c r="BS389" s="1070"/>
      <c r="BT389" s="1070"/>
      <c r="BU389" s="1070"/>
      <c r="BV389" s="1070"/>
      <c r="BW389" s="1070"/>
      <c r="BX389" s="1070"/>
      <c r="BY389" s="1070"/>
      <c r="BZ389" s="1070"/>
      <c r="CA389" s="1070"/>
      <c r="CB389" s="1070"/>
      <c r="CC389" s="1070"/>
      <c r="CD389" s="1070"/>
      <c r="CE389" s="1070"/>
      <c r="CF389" s="1070"/>
      <c r="CG389" s="1070"/>
      <c r="CH389" s="1070"/>
      <c r="CI389" s="1070"/>
      <c r="CJ389" s="1070"/>
      <c r="CK389" s="1070"/>
      <c r="CL389" s="1070"/>
      <c r="CM389" s="1070"/>
      <c r="CN389" s="1070"/>
      <c r="CO389" s="1070"/>
      <c r="CP389" s="1070"/>
      <c r="CQ389" s="1070"/>
      <c r="CR389" s="1070"/>
      <c r="CS389" s="1070"/>
      <c r="CT389" s="1070"/>
      <c r="CU389" s="1070"/>
      <c r="CV389" s="1070"/>
      <c r="CW389" s="1070"/>
      <c r="CX389" s="1070"/>
      <c r="CY389" s="1070"/>
      <c r="CZ389" s="1070"/>
      <c r="DA389" s="1070"/>
      <c r="DB389" s="1070"/>
      <c r="DC389" s="1070"/>
      <c r="DD389" s="1070"/>
      <c r="DE389" s="1070"/>
      <c r="DF389" s="1070"/>
      <c r="DG389" s="1070"/>
      <c r="DH389" s="1070"/>
      <c r="DI389" s="1070"/>
      <c r="DJ389" s="1070"/>
    </row>
    <row r="390" spans="1:114" s="1136" customFormat="1" ht="30" x14ac:dyDescent="0.2">
      <c r="A390" s="1714" t="s">
        <v>2663</v>
      </c>
      <c r="B390" s="1966">
        <f>IF(B196=1,1,0.85)</f>
        <v>1</v>
      </c>
      <c r="C390" s="1407"/>
      <c r="D390" s="1407"/>
      <c r="E390" s="1407"/>
      <c r="F390" s="1407"/>
      <c r="G390" s="1407"/>
      <c r="H390" s="1070"/>
      <c r="I390" s="1070"/>
      <c r="J390" s="1070"/>
      <c r="K390" s="1070"/>
      <c r="L390" s="1070"/>
      <c r="M390" s="1070"/>
      <c r="N390" s="1070"/>
      <c r="O390" s="1070"/>
      <c r="P390" s="1070"/>
      <c r="Q390" s="1070"/>
      <c r="R390" s="1070"/>
      <c r="S390" s="1070"/>
      <c r="T390" s="1070"/>
      <c r="U390" s="1070"/>
      <c r="V390" s="1070"/>
      <c r="W390" s="1070"/>
      <c r="X390" s="1070"/>
      <c r="Y390" s="1070"/>
      <c r="Z390" s="1070"/>
      <c r="AA390" s="1070"/>
      <c r="AB390" s="1070"/>
      <c r="AC390" s="1070"/>
      <c r="AD390" s="1070"/>
      <c r="AE390" s="1070"/>
      <c r="AF390" s="1070"/>
      <c r="AG390" s="1070"/>
      <c r="AH390" s="1070"/>
      <c r="AI390" s="1070"/>
      <c r="AJ390" s="1070"/>
      <c r="AK390" s="1070"/>
      <c r="AL390" s="1070"/>
      <c r="AM390" s="1070"/>
      <c r="AN390" s="1070"/>
      <c r="AO390" s="1070"/>
      <c r="AP390" s="1070"/>
      <c r="AQ390" s="1070"/>
      <c r="AR390" s="1070"/>
      <c r="AS390" s="1070"/>
      <c r="AT390" s="1070"/>
      <c r="AU390" s="1070"/>
      <c r="AV390" s="1070"/>
      <c r="AW390" s="1070"/>
      <c r="AX390" s="1070"/>
      <c r="AY390" s="1070"/>
      <c r="AZ390" s="1070"/>
      <c r="BA390" s="1070"/>
      <c r="BB390" s="1070"/>
      <c r="BC390" s="1070"/>
      <c r="BD390" s="1070"/>
      <c r="BE390" s="1070"/>
      <c r="BF390" s="1070"/>
      <c r="BG390" s="1070"/>
      <c r="BH390" s="1070"/>
      <c r="BI390" s="1070"/>
      <c r="BJ390" s="1070"/>
      <c r="BK390" s="1070"/>
      <c r="BL390" s="1070"/>
      <c r="BM390" s="1070"/>
      <c r="BN390" s="1070"/>
      <c r="BO390" s="1070"/>
      <c r="BP390" s="1070"/>
      <c r="BQ390" s="1070"/>
      <c r="BR390" s="1070"/>
      <c r="BS390" s="1070"/>
      <c r="BT390" s="1070"/>
      <c r="BU390" s="1070"/>
      <c r="BV390" s="1070"/>
      <c r="BW390" s="1070"/>
      <c r="BX390" s="1070"/>
      <c r="BY390" s="1070"/>
      <c r="BZ390" s="1070"/>
      <c r="CA390" s="1070"/>
      <c r="CB390" s="1070"/>
      <c r="CC390" s="1070"/>
      <c r="CD390" s="1070"/>
      <c r="CE390" s="1070"/>
      <c r="CF390" s="1070"/>
      <c r="CG390" s="1070"/>
      <c r="CH390" s="1070"/>
      <c r="CI390" s="1070"/>
      <c r="CJ390" s="1070"/>
      <c r="CK390" s="1070"/>
      <c r="CL390" s="1070"/>
      <c r="CM390" s="1070"/>
      <c r="CN390" s="1070"/>
      <c r="CO390" s="1070"/>
      <c r="CP390" s="1070"/>
      <c r="CQ390" s="1070"/>
      <c r="CR390" s="1070"/>
      <c r="CS390" s="1070"/>
      <c r="CT390" s="1070"/>
      <c r="CU390" s="1070"/>
      <c r="CV390" s="1070"/>
      <c r="CW390" s="1070"/>
      <c r="CX390" s="1070"/>
      <c r="CY390" s="1070"/>
      <c r="CZ390" s="1070"/>
      <c r="DA390" s="1070"/>
      <c r="DB390" s="1070"/>
      <c r="DC390" s="1070"/>
      <c r="DD390" s="1070"/>
      <c r="DE390" s="1070"/>
      <c r="DF390" s="1070"/>
      <c r="DG390" s="1070"/>
      <c r="DH390" s="1070"/>
      <c r="DI390" s="1070"/>
      <c r="DJ390" s="1070"/>
    </row>
    <row r="391" spans="1:114" s="1136" customFormat="1" ht="15" x14ac:dyDescent="0.2">
      <c r="A391" s="1686" t="s">
        <v>2661</v>
      </c>
      <c r="B391" s="1967">
        <f>B387*B388*B389*B390</f>
        <v>1</v>
      </c>
      <c r="C391" s="1407"/>
      <c r="D391" s="1407"/>
      <c r="E391" s="1407"/>
      <c r="F391" s="1407"/>
      <c r="G391" s="1407"/>
      <c r="H391" s="1070"/>
      <c r="I391" s="1070"/>
      <c r="J391" s="1070"/>
      <c r="K391" s="1070"/>
      <c r="L391" s="1070"/>
      <c r="M391" s="1070"/>
      <c r="N391" s="1070"/>
      <c r="O391" s="1070"/>
      <c r="P391" s="1070"/>
      <c r="Q391" s="1070"/>
      <c r="R391" s="1070"/>
      <c r="S391" s="1070"/>
      <c r="T391" s="1070"/>
      <c r="U391" s="1070"/>
      <c r="V391" s="1070"/>
      <c r="W391" s="1070"/>
      <c r="X391" s="1070"/>
      <c r="Y391" s="1070"/>
      <c r="Z391" s="1070"/>
      <c r="AA391" s="1070"/>
      <c r="AB391" s="1070"/>
      <c r="AC391" s="1070"/>
      <c r="AD391" s="1070"/>
      <c r="AE391" s="1070"/>
      <c r="AF391" s="1070"/>
      <c r="AG391" s="1070"/>
      <c r="AH391" s="1070"/>
      <c r="AI391" s="1070"/>
      <c r="AJ391" s="1070"/>
      <c r="AK391" s="1070"/>
      <c r="AL391" s="1070"/>
      <c r="AM391" s="1070"/>
      <c r="AN391" s="1070"/>
      <c r="AO391" s="1070"/>
      <c r="AP391" s="1070"/>
      <c r="AQ391" s="1070"/>
      <c r="AR391" s="1070"/>
      <c r="AS391" s="1070"/>
      <c r="AT391" s="1070"/>
      <c r="AU391" s="1070"/>
      <c r="AV391" s="1070"/>
      <c r="AW391" s="1070"/>
      <c r="AX391" s="1070"/>
      <c r="AY391" s="1070"/>
      <c r="AZ391" s="1070"/>
      <c r="BA391" s="1070"/>
      <c r="BB391" s="1070"/>
      <c r="BC391" s="1070"/>
      <c r="BD391" s="1070"/>
      <c r="BE391" s="1070"/>
      <c r="BF391" s="1070"/>
      <c r="BG391" s="1070"/>
      <c r="BH391" s="1070"/>
      <c r="BI391" s="1070"/>
      <c r="BJ391" s="1070"/>
      <c r="BK391" s="1070"/>
      <c r="BL391" s="1070"/>
      <c r="BM391" s="1070"/>
      <c r="BN391" s="1070"/>
      <c r="BO391" s="1070"/>
      <c r="BP391" s="1070"/>
      <c r="BQ391" s="1070"/>
      <c r="BR391" s="1070"/>
      <c r="BS391" s="1070"/>
      <c r="BT391" s="1070"/>
      <c r="BU391" s="1070"/>
      <c r="BV391" s="1070"/>
      <c r="BW391" s="1070"/>
      <c r="BX391" s="1070"/>
      <c r="BY391" s="1070"/>
      <c r="BZ391" s="1070"/>
      <c r="CA391" s="1070"/>
      <c r="CB391" s="1070"/>
      <c r="CC391" s="1070"/>
      <c r="CD391" s="1070"/>
      <c r="CE391" s="1070"/>
      <c r="CF391" s="1070"/>
      <c r="CG391" s="1070"/>
      <c r="CH391" s="1070"/>
      <c r="CI391" s="1070"/>
      <c r="CJ391" s="1070"/>
      <c r="CK391" s="1070"/>
      <c r="CL391" s="1070"/>
      <c r="CM391" s="1070"/>
      <c r="CN391" s="1070"/>
      <c r="CO391" s="1070"/>
      <c r="CP391" s="1070"/>
      <c r="CQ391" s="1070"/>
      <c r="CR391" s="1070"/>
      <c r="CS391" s="1070"/>
      <c r="CT391" s="1070"/>
      <c r="CU391" s="1070"/>
      <c r="CV391" s="1070"/>
      <c r="CW391" s="1070"/>
      <c r="CX391" s="1070"/>
      <c r="CY391" s="1070"/>
      <c r="CZ391" s="1070"/>
      <c r="DA391" s="1070"/>
      <c r="DB391" s="1070"/>
      <c r="DC391" s="1070"/>
      <c r="DD391" s="1070"/>
      <c r="DE391" s="1070"/>
      <c r="DF391" s="1070"/>
      <c r="DG391" s="1070"/>
      <c r="DH391" s="1070"/>
      <c r="DI391" s="1070"/>
      <c r="DJ391" s="1070"/>
    </row>
    <row r="392" spans="1:114" s="1136" customFormat="1" ht="15.75" x14ac:dyDescent="0.25">
      <c r="A392" s="1651" t="s">
        <v>4821</v>
      </c>
      <c r="B392" s="1046"/>
      <c r="C392" s="1070"/>
      <c r="D392" s="1070"/>
      <c r="E392" s="1070"/>
      <c r="F392" s="1070"/>
      <c r="G392" s="1070"/>
      <c r="H392" s="1070"/>
      <c r="I392" s="1070"/>
      <c r="J392" s="1070"/>
      <c r="K392" s="1070"/>
      <c r="L392" s="1070"/>
      <c r="M392" s="1070"/>
      <c r="N392" s="1070"/>
      <c r="O392" s="1070"/>
      <c r="P392" s="1070"/>
      <c r="Q392" s="1070"/>
      <c r="R392" s="1070"/>
      <c r="S392" s="1070"/>
      <c r="T392" s="1070"/>
      <c r="U392" s="1070"/>
      <c r="V392" s="1070"/>
      <c r="W392" s="1070"/>
      <c r="X392" s="1070"/>
      <c r="Y392" s="1070"/>
      <c r="Z392" s="1070"/>
      <c r="AA392" s="1070"/>
      <c r="AB392" s="1070"/>
      <c r="AC392" s="1070"/>
      <c r="AD392" s="1070"/>
      <c r="AE392" s="1070"/>
      <c r="AF392" s="1070"/>
      <c r="AG392" s="1070"/>
      <c r="AH392" s="1070"/>
      <c r="AI392" s="1070"/>
      <c r="AJ392" s="1070"/>
      <c r="AK392" s="1070"/>
      <c r="AL392" s="1070"/>
      <c r="AM392" s="1070"/>
      <c r="AN392" s="1070"/>
      <c r="AO392" s="1070"/>
      <c r="AP392" s="1070"/>
      <c r="AQ392" s="1070"/>
      <c r="AR392" s="1070"/>
      <c r="AS392" s="1070"/>
      <c r="AT392" s="1070"/>
      <c r="AU392" s="1070"/>
      <c r="AV392" s="1070"/>
      <c r="AW392" s="1070"/>
      <c r="AX392" s="1070"/>
      <c r="AY392" s="1070"/>
      <c r="AZ392" s="1070"/>
      <c r="BA392" s="1070"/>
      <c r="BB392" s="1070"/>
      <c r="BC392" s="1070"/>
      <c r="BD392" s="1070"/>
      <c r="BE392" s="1070"/>
      <c r="BF392" s="1070"/>
      <c r="BG392" s="1070"/>
      <c r="BH392" s="1070"/>
      <c r="BI392" s="1070"/>
      <c r="BJ392" s="1070"/>
      <c r="BK392" s="1070"/>
      <c r="BL392" s="1070"/>
      <c r="BM392" s="1070"/>
      <c r="BN392" s="1070"/>
      <c r="BO392" s="1070"/>
      <c r="BP392" s="1070"/>
      <c r="BQ392" s="1070"/>
      <c r="BR392" s="1070"/>
      <c r="BS392" s="1070"/>
      <c r="BT392" s="1070"/>
      <c r="BU392" s="1070"/>
      <c r="BV392" s="1070"/>
      <c r="BW392" s="1070"/>
      <c r="BX392" s="1070"/>
      <c r="BY392" s="1070"/>
      <c r="BZ392" s="1070"/>
      <c r="CA392" s="1070"/>
      <c r="CB392" s="1070"/>
      <c r="CC392" s="1070"/>
      <c r="CD392" s="1070"/>
      <c r="CE392" s="1070"/>
      <c r="CF392" s="1070"/>
      <c r="CG392" s="1070"/>
      <c r="CH392" s="1070"/>
      <c r="CI392" s="1070"/>
      <c r="CJ392" s="1070"/>
      <c r="CK392" s="1070"/>
      <c r="CL392" s="1070"/>
      <c r="CM392" s="1070"/>
      <c r="CN392" s="1070"/>
      <c r="CO392" s="1070"/>
      <c r="CP392" s="1070"/>
      <c r="CQ392" s="1070"/>
      <c r="CR392" s="1070"/>
      <c r="CS392" s="1070"/>
      <c r="CT392" s="1070"/>
      <c r="CU392" s="1070"/>
      <c r="CV392" s="1070"/>
      <c r="CW392" s="1070"/>
      <c r="CX392" s="1070"/>
      <c r="CY392" s="1070"/>
      <c r="CZ392" s="1070"/>
      <c r="DA392" s="1070"/>
      <c r="DB392" s="1070"/>
      <c r="DC392" s="1070"/>
      <c r="DD392" s="1070"/>
      <c r="DE392" s="1070"/>
      <c r="DF392" s="1070"/>
      <c r="DG392" s="1070"/>
      <c r="DH392" s="1070"/>
      <c r="DI392" s="1070"/>
      <c r="DJ392" s="1070"/>
    </row>
    <row r="393" spans="1:114" s="1136" customFormat="1" ht="15" x14ac:dyDescent="0.2">
      <c r="A393" s="1715" t="s">
        <v>5161</v>
      </c>
      <c r="B393" s="1966">
        <f>IF(B180=0.5,1,1.27)</f>
        <v>1.27</v>
      </c>
      <c r="C393" s="1407"/>
      <c r="D393" s="1407"/>
      <c r="E393" s="1407"/>
      <c r="F393" s="1407"/>
      <c r="G393" s="1407"/>
      <c r="H393" s="1070"/>
      <c r="I393" s="1070"/>
      <c r="J393" s="1070"/>
      <c r="K393" s="1070"/>
      <c r="L393" s="1070"/>
      <c r="M393" s="1070"/>
      <c r="N393" s="1070"/>
      <c r="O393" s="1070"/>
      <c r="P393" s="1070"/>
      <c r="Q393" s="1070"/>
      <c r="R393" s="1070"/>
      <c r="S393" s="1070"/>
      <c r="T393" s="1070"/>
      <c r="U393" s="1070"/>
      <c r="V393" s="1070"/>
      <c r="W393" s="1070"/>
      <c r="X393" s="1070"/>
      <c r="Y393" s="1070"/>
      <c r="Z393" s="1070"/>
      <c r="AA393" s="1070"/>
      <c r="AB393" s="1070"/>
      <c r="AC393" s="1070"/>
      <c r="AD393" s="1070"/>
      <c r="AE393" s="1070"/>
      <c r="AF393" s="1070"/>
      <c r="AG393" s="1070"/>
      <c r="AH393" s="1070"/>
      <c r="AI393" s="1070"/>
      <c r="AJ393" s="1070"/>
      <c r="AK393" s="1070"/>
      <c r="AL393" s="1070"/>
      <c r="AM393" s="1070"/>
      <c r="AN393" s="1070"/>
      <c r="AO393" s="1070"/>
      <c r="AP393" s="1070"/>
      <c r="AQ393" s="1070"/>
      <c r="AR393" s="1070"/>
      <c r="AS393" s="1070"/>
      <c r="AT393" s="1070"/>
      <c r="AU393" s="1070"/>
      <c r="AV393" s="1070"/>
      <c r="AW393" s="1070"/>
      <c r="AX393" s="1070"/>
      <c r="AY393" s="1070"/>
      <c r="AZ393" s="1070"/>
      <c r="BA393" s="1070"/>
      <c r="BB393" s="1070"/>
      <c r="BC393" s="1070"/>
      <c r="BD393" s="1070"/>
      <c r="BE393" s="1070"/>
      <c r="BF393" s="1070"/>
      <c r="BG393" s="1070"/>
      <c r="BH393" s="1070"/>
      <c r="BI393" s="1070"/>
      <c r="BJ393" s="1070"/>
      <c r="BK393" s="1070"/>
      <c r="BL393" s="1070"/>
      <c r="BM393" s="1070"/>
      <c r="BN393" s="1070"/>
      <c r="BO393" s="1070"/>
      <c r="BP393" s="1070"/>
      <c r="BQ393" s="1070"/>
      <c r="BR393" s="1070"/>
      <c r="BS393" s="1070"/>
      <c r="BT393" s="1070"/>
      <c r="BU393" s="1070"/>
      <c r="BV393" s="1070"/>
      <c r="BW393" s="1070"/>
      <c r="BX393" s="1070"/>
      <c r="BY393" s="1070"/>
      <c r="BZ393" s="1070"/>
      <c r="CA393" s="1070"/>
      <c r="CB393" s="1070"/>
      <c r="CC393" s="1070"/>
      <c r="CD393" s="1070"/>
      <c r="CE393" s="1070"/>
      <c r="CF393" s="1070"/>
      <c r="CG393" s="1070"/>
      <c r="CH393" s="1070"/>
      <c r="CI393" s="1070"/>
      <c r="CJ393" s="1070"/>
      <c r="CK393" s="1070"/>
      <c r="CL393" s="1070"/>
      <c r="CM393" s="1070"/>
      <c r="CN393" s="1070"/>
      <c r="CO393" s="1070"/>
      <c r="CP393" s="1070"/>
      <c r="CQ393" s="1070"/>
      <c r="CR393" s="1070"/>
      <c r="CS393" s="1070"/>
      <c r="CT393" s="1070"/>
      <c r="CU393" s="1070"/>
      <c r="CV393" s="1070"/>
      <c r="CW393" s="1070"/>
      <c r="CX393" s="1070"/>
      <c r="CY393" s="1070"/>
      <c r="CZ393" s="1070"/>
      <c r="DA393" s="1070"/>
      <c r="DB393" s="1070"/>
      <c r="DC393" s="1070"/>
      <c r="DD393" s="1070"/>
      <c r="DE393" s="1070"/>
      <c r="DF393" s="1070"/>
      <c r="DG393" s="1070"/>
      <c r="DH393" s="1070"/>
      <c r="DI393" s="1070"/>
      <c r="DJ393" s="1070"/>
    </row>
    <row r="394" spans="1:114" s="1136" customFormat="1" ht="15" x14ac:dyDescent="0.2">
      <c r="A394" s="1715" t="s">
        <v>5164</v>
      </c>
      <c r="B394" s="1966">
        <f>IF(B191&lt;=8,1,IF(B191&lt;=20,1,IF(B191&lt;=25,0.95,IF(B191&lt;=30,0.9,0.85))))</f>
        <v>1</v>
      </c>
      <c r="C394" s="1407"/>
      <c r="D394" s="1407"/>
      <c r="E394" s="1407"/>
      <c r="F394" s="1407"/>
      <c r="G394" s="1407"/>
      <c r="H394" s="1070"/>
      <c r="I394" s="1070"/>
      <c r="J394" s="1070"/>
      <c r="K394" s="1070"/>
      <c r="L394" s="1070"/>
      <c r="M394" s="1070"/>
      <c r="N394" s="1070"/>
      <c r="O394" s="1070"/>
      <c r="P394" s="1070"/>
      <c r="Q394" s="1070"/>
      <c r="R394" s="1070"/>
      <c r="S394" s="1070"/>
      <c r="T394" s="1070"/>
      <c r="U394" s="1070"/>
      <c r="V394" s="1070"/>
      <c r="W394" s="1070"/>
      <c r="X394" s="1070"/>
      <c r="Y394" s="1070"/>
      <c r="Z394" s="1070"/>
      <c r="AA394" s="1070"/>
      <c r="AB394" s="1070"/>
      <c r="AC394" s="1070"/>
      <c r="AD394" s="1070"/>
      <c r="AE394" s="1070"/>
      <c r="AF394" s="1070"/>
      <c r="AG394" s="1070"/>
      <c r="AH394" s="1070"/>
      <c r="AI394" s="1070"/>
      <c r="AJ394" s="1070"/>
      <c r="AK394" s="1070"/>
      <c r="AL394" s="1070"/>
      <c r="AM394" s="1070"/>
      <c r="AN394" s="1070"/>
      <c r="AO394" s="1070"/>
      <c r="AP394" s="1070"/>
      <c r="AQ394" s="1070"/>
      <c r="AR394" s="1070"/>
      <c r="AS394" s="1070"/>
      <c r="AT394" s="1070"/>
      <c r="AU394" s="1070"/>
      <c r="AV394" s="1070"/>
      <c r="AW394" s="1070"/>
      <c r="AX394" s="1070"/>
      <c r="AY394" s="1070"/>
      <c r="AZ394" s="1070"/>
      <c r="BA394" s="1070"/>
      <c r="BB394" s="1070"/>
      <c r="BC394" s="1070"/>
      <c r="BD394" s="1070"/>
      <c r="BE394" s="1070"/>
      <c r="BF394" s="1070"/>
      <c r="BG394" s="1070"/>
      <c r="BH394" s="1070"/>
      <c r="BI394" s="1070"/>
      <c r="BJ394" s="1070"/>
      <c r="BK394" s="1070"/>
      <c r="BL394" s="1070"/>
      <c r="BM394" s="1070"/>
      <c r="BN394" s="1070"/>
      <c r="BO394" s="1070"/>
      <c r="BP394" s="1070"/>
      <c r="BQ394" s="1070"/>
      <c r="BR394" s="1070"/>
      <c r="BS394" s="1070"/>
      <c r="BT394" s="1070"/>
      <c r="BU394" s="1070"/>
      <c r="BV394" s="1070"/>
      <c r="BW394" s="1070"/>
      <c r="BX394" s="1070"/>
      <c r="BY394" s="1070"/>
      <c r="BZ394" s="1070"/>
      <c r="CA394" s="1070"/>
      <c r="CB394" s="1070"/>
      <c r="CC394" s="1070"/>
      <c r="CD394" s="1070"/>
      <c r="CE394" s="1070"/>
      <c r="CF394" s="1070"/>
      <c r="CG394" s="1070"/>
      <c r="CH394" s="1070"/>
      <c r="CI394" s="1070"/>
      <c r="CJ394" s="1070"/>
      <c r="CK394" s="1070"/>
      <c r="CL394" s="1070"/>
      <c r="CM394" s="1070"/>
      <c r="CN394" s="1070"/>
      <c r="CO394" s="1070"/>
      <c r="CP394" s="1070"/>
      <c r="CQ394" s="1070"/>
      <c r="CR394" s="1070"/>
      <c r="CS394" s="1070"/>
      <c r="CT394" s="1070"/>
      <c r="CU394" s="1070"/>
      <c r="CV394" s="1070"/>
      <c r="CW394" s="1070"/>
      <c r="CX394" s="1070"/>
      <c r="CY394" s="1070"/>
      <c r="CZ394" s="1070"/>
      <c r="DA394" s="1070"/>
      <c r="DB394" s="1070"/>
      <c r="DC394" s="1070"/>
      <c r="DD394" s="1070"/>
      <c r="DE394" s="1070"/>
      <c r="DF394" s="1070"/>
      <c r="DG394" s="1070"/>
      <c r="DH394" s="1070"/>
      <c r="DI394" s="1070"/>
      <c r="DJ394" s="1070"/>
    </row>
    <row r="395" spans="1:114" s="1136" customFormat="1" ht="15" x14ac:dyDescent="0.2">
      <c r="A395" s="1715" t="s">
        <v>5163</v>
      </c>
      <c r="B395" s="1966">
        <f>IF(B194=2,0.95,1)</f>
        <v>1</v>
      </c>
      <c r="C395" s="1407"/>
      <c r="D395" s="1407"/>
      <c r="E395" s="1407"/>
      <c r="F395" s="1407"/>
      <c r="G395" s="1407"/>
      <c r="H395" s="1070"/>
      <c r="I395" s="1070"/>
      <c r="J395" s="1070"/>
      <c r="K395" s="1070"/>
      <c r="L395" s="1070"/>
      <c r="M395" s="1070"/>
      <c r="N395" s="1070"/>
      <c r="O395" s="1070"/>
      <c r="P395" s="1070"/>
      <c r="Q395" s="1070"/>
      <c r="R395" s="1070"/>
      <c r="S395" s="1070"/>
      <c r="T395" s="1070"/>
      <c r="U395" s="1070"/>
      <c r="V395" s="1070"/>
      <c r="W395" s="1070"/>
      <c r="X395" s="1070"/>
      <c r="Y395" s="1070"/>
      <c r="Z395" s="1070"/>
      <c r="AA395" s="1070"/>
      <c r="AB395" s="1070"/>
      <c r="AC395" s="1070"/>
      <c r="AD395" s="1070"/>
      <c r="AE395" s="1070"/>
      <c r="AF395" s="1070"/>
      <c r="AG395" s="1070"/>
      <c r="AH395" s="1070"/>
      <c r="AI395" s="1070"/>
      <c r="AJ395" s="1070"/>
      <c r="AK395" s="1070"/>
      <c r="AL395" s="1070"/>
      <c r="AM395" s="1070"/>
      <c r="AN395" s="1070"/>
      <c r="AO395" s="1070"/>
      <c r="AP395" s="1070"/>
      <c r="AQ395" s="1070"/>
      <c r="AR395" s="1070"/>
      <c r="AS395" s="1070"/>
      <c r="AT395" s="1070"/>
      <c r="AU395" s="1070"/>
      <c r="AV395" s="1070"/>
      <c r="AW395" s="1070"/>
      <c r="AX395" s="1070"/>
      <c r="AY395" s="1070"/>
      <c r="AZ395" s="1070"/>
      <c r="BA395" s="1070"/>
      <c r="BB395" s="1070"/>
      <c r="BC395" s="1070"/>
      <c r="BD395" s="1070"/>
      <c r="BE395" s="1070"/>
      <c r="BF395" s="1070"/>
      <c r="BG395" s="1070"/>
      <c r="BH395" s="1070"/>
      <c r="BI395" s="1070"/>
      <c r="BJ395" s="1070"/>
      <c r="BK395" s="1070"/>
      <c r="BL395" s="1070"/>
      <c r="BM395" s="1070"/>
      <c r="BN395" s="1070"/>
      <c r="BO395" s="1070"/>
      <c r="BP395" s="1070"/>
      <c r="BQ395" s="1070"/>
      <c r="BR395" s="1070"/>
      <c r="BS395" s="1070"/>
      <c r="BT395" s="1070"/>
      <c r="BU395" s="1070"/>
      <c r="BV395" s="1070"/>
      <c r="BW395" s="1070"/>
      <c r="BX395" s="1070"/>
      <c r="BY395" s="1070"/>
      <c r="BZ395" s="1070"/>
      <c r="CA395" s="1070"/>
      <c r="CB395" s="1070"/>
      <c r="CC395" s="1070"/>
      <c r="CD395" s="1070"/>
      <c r="CE395" s="1070"/>
      <c r="CF395" s="1070"/>
      <c r="CG395" s="1070"/>
      <c r="CH395" s="1070"/>
      <c r="CI395" s="1070"/>
      <c r="CJ395" s="1070"/>
      <c r="CK395" s="1070"/>
      <c r="CL395" s="1070"/>
      <c r="CM395" s="1070"/>
      <c r="CN395" s="1070"/>
      <c r="CO395" s="1070"/>
      <c r="CP395" s="1070"/>
      <c r="CQ395" s="1070"/>
      <c r="CR395" s="1070"/>
      <c r="CS395" s="1070"/>
      <c r="CT395" s="1070"/>
      <c r="CU395" s="1070"/>
      <c r="CV395" s="1070"/>
      <c r="CW395" s="1070"/>
      <c r="CX395" s="1070"/>
      <c r="CY395" s="1070"/>
      <c r="CZ395" s="1070"/>
      <c r="DA395" s="1070"/>
      <c r="DB395" s="1070"/>
      <c r="DC395" s="1070"/>
      <c r="DD395" s="1070"/>
      <c r="DE395" s="1070"/>
      <c r="DF395" s="1070"/>
      <c r="DG395" s="1070"/>
      <c r="DH395" s="1070"/>
      <c r="DI395" s="1070"/>
      <c r="DJ395" s="1070"/>
    </row>
    <row r="396" spans="1:114" s="1136" customFormat="1" ht="15" x14ac:dyDescent="0.2">
      <c r="A396" s="1715" t="s">
        <v>2662</v>
      </c>
      <c r="B396" s="1966">
        <f>IF(B195=1,1,1.18)</f>
        <v>1</v>
      </c>
      <c r="C396" s="1407"/>
      <c r="D396" s="1407"/>
      <c r="E396" s="1407"/>
      <c r="F396" s="1407"/>
      <c r="G396" s="1407"/>
      <c r="H396" s="1070"/>
      <c r="I396" s="1070"/>
      <c r="J396" s="1070"/>
      <c r="K396" s="1070"/>
      <c r="L396" s="1070"/>
      <c r="M396" s="1070"/>
      <c r="N396" s="1070"/>
      <c r="O396" s="1070"/>
      <c r="P396" s="1070"/>
      <c r="Q396" s="1070"/>
      <c r="R396" s="1070"/>
      <c r="S396" s="1070"/>
      <c r="T396" s="1070"/>
      <c r="U396" s="1070"/>
      <c r="V396" s="1070"/>
      <c r="W396" s="1070"/>
      <c r="X396" s="1070"/>
      <c r="Y396" s="1070"/>
      <c r="Z396" s="1070"/>
      <c r="AA396" s="1070"/>
      <c r="AB396" s="1070"/>
      <c r="AC396" s="1070"/>
      <c r="AD396" s="1070"/>
      <c r="AE396" s="1070"/>
      <c r="AF396" s="1070"/>
      <c r="AG396" s="1070"/>
      <c r="AH396" s="1070"/>
      <c r="AI396" s="1070"/>
      <c r="AJ396" s="1070"/>
      <c r="AK396" s="1070"/>
      <c r="AL396" s="1070"/>
      <c r="AM396" s="1070"/>
      <c r="AN396" s="1070"/>
      <c r="AO396" s="1070"/>
      <c r="AP396" s="1070"/>
      <c r="AQ396" s="1070"/>
      <c r="AR396" s="1070"/>
      <c r="AS396" s="1070"/>
      <c r="AT396" s="1070"/>
      <c r="AU396" s="1070"/>
      <c r="AV396" s="1070"/>
      <c r="AW396" s="1070"/>
      <c r="AX396" s="1070"/>
      <c r="AY396" s="1070"/>
      <c r="AZ396" s="1070"/>
      <c r="BA396" s="1070"/>
      <c r="BB396" s="1070"/>
      <c r="BC396" s="1070"/>
      <c r="BD396" s="1070"/>
      <c r="BE396" s="1070"/>
      <c r="BF396" s="1070"/>
      <c r="BG396" s="1070"/>
      <c r="BH396" s="1070"/>
      <c r="BI396" s="1070"/>
      <c r="BJ396" s="1070"/>
      <c r="BK396" s="1070"/>
      <c r="BL396" s="1070"/>
      <c r="BM396" s="1070"/>
      <c r="BN396" s="1070"/>
      <c r="BO396" s="1070"/>
      <c r="BP396" s="1070"/>
      <c r="BQ396" s="1070"/>
      <c r="BR396" s="1070"/>
      <c r="BS396" s="1070"/>
      <c r="BT396" s="1070"/>
      <c r="BU396" s="1070"/>
      <c r="BV396" s="1070"/>
      <c r="BW396" s="1070"/>
      <c r="BX396" s="1070"/>
      <c r="BY396" s="1070"/>
      <c r="BZ396" s="1070"/>
      <c r="CA396" s="1070"/>
      <c r="CB396" s="1070"/>
      <c r="CC396" s="1070"/>
      <c r="CD396" s="1070"/>
      <c r="CE396" s="1070"/>
      <c r="CF396" s="1070"/>
      <c r="CG396" s="1070"/>
      <c r="CH396" s="1070"/>
      <c r="CI396" s="1070"/>
      <c r="CJ396" s="1070"/>
      <c r="CK396" s="1070"/>
      <c r="CL396" s="1070"/>
      <c r="CM396" s="1070"/>
      <c r="CN396" s="1070"/>
      <c r="CO396" s="1070"/>
      <c r="CP396" s="1070"/>
      <c r="CQ396" s="1070"/>
      <c r="CR396" s="1070"/>
      <c r="CS396" s="1070"/>
      <c r="CT396" s="1070"/>
      <c r="CU396" s="1070"/>
      <c r="CV396" s="1070"/>
      <c r="CW396" s="1070"/>
      <c r="CX396" s="1070"/>
      <c r="CY396" s="1070"/>
      <c r="CZ396" s="1070"/>
      <c r="DA396" s="1070"/>
      <c r="DB396" s="1070"/>
      <c r="DC396" s="1070"/>
      <c r="DD396" s="1070"/>
      <c r="DE396" s="1070"/>
      <c r="DF396" s="1070"/>
      <c r="DG396" s="1070"/>
      <c r="DH396" s="1070"/>
      <c r="DI396" s="1070"/>
      <c r="DJ396" s="1070"/>
    </row>
    <row r="397" spans="1:114" s="1136" customFormat="1" ht="15" x14ac:dyDescent="0.2">
      <c r="A397" s="1686" t="s">
        <v>2661</v>
      </c>
      <c r="B397" s="1967">
        <f>B393*B394*B395*B396</f>
        <v>1.27</v>
      </c>
      <c r="C397" s="1407"/>
      <c r="D397" s="1407"/>
      <c r="E397" s="1407"/>
      <c r="F397" s="1407"/>
      <c r="G397" s="1407"/>
      <c r="H397" s="1070"/>
      <c r="I397" s="1070"/>
      <c r="J397" s="1070"/>
      <c r="K397" s="1070"/>
      <c r="L397" s="1070"/>
      <c r="M397" s="1070"/>
      <c r="N397" s="1070"/>
      <c r="O397" s="1070"/>
      <c r="P397" s="1070"/>
      <c r="Q397" s="1070"/>
      <c r="R397" s="1070"/>
      <c r="S397" s="1070"/>
      <c r="T397" s="1070"/>
      <c r="U397" s="1070"/>
      <c r="V397" s="1070"/>
      <c r="W397" s="1070"/>
      <c r="X397" s="1070"/>
      <c r="Y397" s="1070"/>
      <c r="Z397" s="1070"/>
      <c r="AA397" s="1070"/>
      <c r="AB397" s="1070"/>
      <c r="AC397" s="1070"/>
      <c r="AD397" s="1070"/>
      <c r="AE397" s="1070"/>
      <c r="AF397" s="1070"/>
      <c r="AG397" s="1070"/>
      <c r="AH397" s="1070"/>
      <c r="AI397" s="1070"/>
      <c r="AJ397" s="1070"/>
      <c r="AK397" s="1070"/>
      <c r="AL397" s="1070"/>
      <c r="AM397" s="1070"/>
      <c r="AN397" s="1070"/>
      <c r="AO397" s="1070"/>
      <c r="AP397" s="1070"/>
      <c r="AQ397" s="1070"/>
      <c r="AR397" s="1070"/>
      <c r="AS397" s="1070"/>
      <c r="AT397" s="1070"/>
      <c r="AU397" s="1070"/>
      <c r="AV397" s="1070"/>
      <c r="AW397" s="1070"/>
      <c r="AX397" s="1070"/>
      <c r="AY397" s="1070"/>
      <c r="AZ397" s="1070"/>
      <c r="BA397" s="1070"/>
      <c r="BB397" s="1070"/>
      <c r="BC397" s="1070"/>
      <c r="BD397" s="1070"/>
      <c r="BE397" s="1070"/>
      <c r="BF397" s="1070"/>
      <c r="BG397" s="1070"/>
      <c r="BH397" s="1070"/>
      <c r="BI397" s="1070"/>
      <c r="BJ397" s="1070"/>
      <c r="BK397" s="1070"/>
      <c r="BL397" s="1070"/>
      <c r="BM397" s="1070"/>
      <c r="BN397" s="1070"/>
      <c r="BO397" s="1070"/>
      <c r="BP397" s="1070"/>
      <c r="BQ397" s="1070"/>
      <c r="BR397" s="1070"/>
      <c r="BS397" s="1070"/>
      <c r="BT397" s="1070"/>
      <c r="BU397" s="1070"/>
      <c r="BV397" s="1070"/>
      <c r="BW397" s="1070"/>
      <c r="BX397" s="1070"/>
      <c r="BY397" s="1070"/>
      <c r="BZ397" s="1070"/>
      <c r="CA397" s="1070"/>
      <c r="CB397" s="1070"/>
      <c r="CC397" s="1070"/>
      <c r="CD397" s="1070"/>
      <c r="CE397" s="1070"/>
      <c r="CF397" s="1070"/>
      <c r="CG397" s="1070"/>
      <c r="CH397" s="1070"/>
      <c r="CI397" s="1070"/>
      <c r="CJ397" s="1070"/>
      <c r="CK397" s="1070"/>
      <c r="CL397" s="1070"/>
      <c r="CM397" s="1070"/>
      <c r="CN397" s="1070"/>
      <c r="CO397" s="1070"/>
      <c r="CP397" s="1070"/>
      <c r="CQ397" s="1070"/>
      <c r="CR397" s="1070"/>
      <c r="CS397" s="1070"/>
      <c r="CT397" s="1070"/>
      <c r="CU397" s="1070"/>
      <c r="CV397" s="1070"/>
      <c r="CW397" s="1070"/>
      <c r="CX397" s="1070"/>
      <c r="CY397" s="1070"/>
      <c r="CZ397" s="1070"/>
      <c r="DA397" s="1070"/>
      <c r="DB397" s="1070"/>
      <c r="DC397" s="1070"/>
      <c r="DD397" s="1070"/>
      <c r="DE397" s="1070"/>
      <c r="DF397" s="1070"/>
      <c r="DG397" s="1070"/>
      <c r="DH397" s="1070"/>
      <c r="DI397" s="1070"/>
      <c r="DJ397" s="1070"/>
    </row>
    <row r="398" spans="1:114" s="1136" customFormat="1" ht="15.75" x14ac:dyDescent="0.25">
      <c r="A398" s="1651" t="s">
        <v>4822</v>
      </c>
      <c r="B398" s="1046"/>
      <c r="C398" s="1070"/>
      <c r="D398" s="1070"/>
      <c r="E398" s="1070"/>
      <c r="F398" s="1070"/>
      <c r="G398" s="1070"/>
      <c r="H398" s="1070"/>
      <c r="I398" s="1070"/>
      <c r="J398" s="1070"/>
      <c r="K398" s="1070"/>
      <c r="L398" s="1070"/>
      <c r="M398" s="1070"/>
      <c r="N398" s="1070"/>
      <c r="O398" s="1070"/>
      <c r="P398" s="1070"/>
      <c r="Q398" s="1070"/>
      <c r="R398" s="1070"/>
      <c r="S398" s="1070"/>
      <c r="T398" s="1070"/>
      <c r="U398" s="1070"/>
      <c r="V398" s="1070"/>
      <c r="W398" s="1070"/>
      <c r="X398" s="1070"/>
      <c r="Y398" s="1070"/>
      <c r="Z398" s="1070"/>
      <c r="AA398" s="1070"/>
      <c r="AB398" s="1070"/>
      <c r="AC398" s="1070"/>
      <c r="AD398" s="1070"/>
      <c r="AE398" s="1070"/>
      <c r="AF398" s="1070"/>
      <c r="AG398" s="1070"/>
      <c r="AH398" s="1070"/>
      <c r="AI398" s="1070"/>
      <c r="AJ398" s="1070"/>
      <c r="AK398" s="1070"/>
      <c r="AL398" s="1070"/>
      <c r="AM398" s="1070"/>
      <c r="AN398" s="1070"/>
      <c r="AO398" s="1070"/>
      <c r="AP398" s="1070"/>
      <c r="AQ398" s="1070"/>
      <c r="AR398" s="1070"/>
      <c r="AS398" s="1070"/>
      <c r="AT398" s="1070"/>
      <c r="AU398" s="1070"/>
      <c r="AV398" s="1070"/>
      <c r="AW398" s="1070"/>
      <c r="AX398" s="1070"/>
      <c r="AY398" s="1070"/>
      <c r="AZ398" s="1070"/>
      <c r="BA398" s="1070"/>
      <c r="BB398" s="1070"/>
      <c r="BC398" s="1070"/>
      <c r="BD398" s="1070"/>
      <c r="BE398" s="1070"/>
      <c r="BF398" s="1070"/>
      <c r="BG398" s="1070"/>
      <c r="BH398" s="1070"/>
      <c r="BI398" s="1070"/>
      <c r="BJ398" s="1070"/>
      <c r="BK398" s="1070"/>
      <c r="BL398" s="1070"/>
      <c r="BM398" s="1070"/>
      <c r="BN398" s="1070"/>
      <c r="BO398" s="1070"/>
      <c r="BP398" s="1070"/>
      <c r="BQ398" s="1070"/>
      <c r="BR398" s="1070"/>
      <c r="BS398" s="1070"/>
      <c r="BT398" s="1070"/>
      <c r="BU398" s="1070"/>
      <c r="BV398" s="1070"/>
      <c r="BW398" s="1070"/>
      <c r="BX398" s="1070"/>
      <c r="BY398" s="1070"/>
      <c r="BZ398" s="1070"/>
      <c r="CA398" s="1070"/>
      <c r="CB398" s="1070"/>
      <c r="CC398" s="1070"/>
      <c r="CD398" s="1070"/>
      <c r="CE398" s="1070"/>
      <c r="CF398" s="1070"/>
      <c r="CG398" s="1070"/>
      <c r="CH398" s="1070"/>
      <c r="CI398" s="1070"/>
      <c r="CJ398" s="1070"/>
      <c r="CK398" s="1070"/>
      <c r="CL398" s="1070"/>
      <c r="CM398" s="1070"/>
      <c r="CN398" s="1070"/>
      <c r="CO398" s="1070"/>
      <c r="CP398" s="1070"/>
      <c r="CQ398" s="1070"/>
      <c r="CR398" s="1070"/>
      <c r="CS398" s="1070"/>
      <c r="CT398" s="1070"/>
      <c r="CU398" s="1070"/>
      <c r="CV398" s="1070"/>
      <c r="CW398" s="1070"/>
      <c r="CX398" s="1070"/>
      <c r="CY398" s="1070"/>
      <c r="CZ398" s="1070"/>
      <c r="DA398" s="1070"/>
      <c r="DB398" s="1070"/>
      <c r="DC398" s="1070"/>
      <c r="DD398" s="1070"/>
      <c r="DE398" s="1070"/>
      <c r="DF398" s="1070"/>
      <c r="DG398" s="1070"/>
      <c r="DH398" s="1070"/>
      <c r="DI398" s="1070"/>
      <c r="DJ398" s="1070"/>
    </row>
    <row r="399" spans="1:114" s="1136" customFormat="1" ht="15" x14ac:dyDescent="0.2">
      <c r="A399" s="1715" t="s">
        <v>5161</v>
      </c>
      <c r="B399" s="1966">
        <f>IF(B180=0.5,0.794,1)</f>
        <v>1</v>
      </c>
      <c r="C399" s="1407"/>
      <c r="D399" s="1407"/>
      <c r="E399" s="1407"/>
      <c r="F399" s="1407"/>
      <c r="G399" s="1407"/>
      <c r="H399" s="1070"/>
      <c r="I399" s="1070"/>
      <c r="J399" s="1070"/>
      <c r="K399" s="1070"/>
      <c r="L399" s="1070"/>
      <c r="M399" s="1070"/>
      <c r="N399" s="1070"/>
      <c r="O399" s="1070"/>
      <c r="P399" s="1070"/>
      <c r="Q399" s="1070"/>
      <c r="R399" s="1070"/>
      <c r="S399" s="1070"/>
      <c r="T399" s="1070"/>
      <c r="U399" s="1070"/>
      <c r="V399" s="1070"/>
      <c r="W399" s="1070"/>
      <c r="X399" s="1070"/>
      <c r="Y399" s="1070"/>
      <c r="Z399" s="1070"/>
      <c r="AA399" s="1070"/>
      <c r="AB399" s="1070"/>
      <c r="AC399" s="1070"/>
      <c r="AD399" s="1070"/>
      <c r="AE399" s="1070"/>
      <c r="AF399" s="1070"/>
      <c r="AG399" s="1070"/>
      <c r="AH399" s="1070"/>
      <c r="AI399" s="1070"/>
      <c r="AJ399" s="1070"/>
      <c r="AK399" s="1070"/>
      <c r="AL399" s="1070"/>
      <c r="AM399" s="1070"/>
      <c r="AN399" s="1070"/>
      <c r="AO399" s="1070"/>
      <c r="AP399" s="1070"/>
      <c r="AQ399" s="1070"/>
      <c r="AR399" s="1070"/>
      <c r="AS399" s="1070"/>
      <c r="AT399" s="1070"/>
      <c r="AU399" s="1070"/>
      <c r="AV399" s="1070"/>
      <c r="AW399" s="1070"/>
      <c r="AX399" s="1070"/>
      <c r="AY399" s="1070"/>
      <c r="AZ399" s="1070"/>
      <c r="BA399" s="1070"/>
      <c r="BB399" s="1070"/>
      <c r="BC399" s="1070"/>
      <c r="BD399" s="1070"/>
      <c r="BE399" s="1070"/>
      <c r="BF399" s="1070"/>
      <c r="BG399" s="1070"/>
      <c r="BH399" s="1070"/>
      <c r="BI399" s="1070"/>
      <c r="BJ399" s="1070"/>
      <c r="BK399" s="1070"/>
      <c r="BL399" s="1070"/>
      <c r="BM399" s="1070"/>
      <c r="BN399" s="1070"/>
      <c r="BO399" s="1070"/>
      <c r="BP399" s="1070"/>
      <c r="BQ399" s="1070"/>
      <c r="BR399" s="1070"/>
      <c r="BS399" s="1070"/>
      <c r="BT399" s="1070"/>
      <c r="BU399" s="1070"/>
      <c r="BV399" s="1070"/>
      <c r="BW399" s="1070"/>
      <c r="BX399" s="1070"/>
      <c r="BY399" s="1070"/>
      <c r="BZ399" s="1070"/>
      <c r="CA399" s="1070"/>
      <c r="CB399" s="1070"/>
      <c r="CC399" s="1070"/>
      <c r="CD399" s="1070"/>
      <c r="CE399" s="1070"/>
      <c r="CF399" s="1070"/>
      <c r="CG399" s="1070"/>
      <c r="CH399" s="1070"/>
      <c r="CI399" s="1070"/>
      <c r="CJ399" s="1070"/>
      <c r="CK399" s="1070"/>
      <c r="CL399" s="1070"/>
      <c r="CM399" s="1070"/>
      <c r="CN399" s="1070"/>
      <c r="CO399" s="1070"/>
      <c r="CP399" s="1070"/>
      <c r="CQ399" s="1070"/>
      <c r="CR399" s="1070"/>
      <c r="CS399" s="1070"/>
      <c r="CT399" s="1070"/>
      <c r="CU399" s="1070"/>
      <c r="CV399" s="1070"/>
      <c r="CW399" s="1070"/>
      <c r="CX399" s="1070"/>
      <c r="CY399" s="1070"/>
      <c r="CZ399" s="1070"/>
      <c r="DA399" s="1070"/>
      <c r="DB399" s="1070"/>
      <c r="DC399" s="1070"/>
      <c r="DD399" s="1070"/>
      <c r="DE399" s="1070"/>
      <c r="DF399" s="1070"/>
      <c r="DG399" s="1070"/>
      <c r="DH399" s="1070"/>
      <c r="DI399" s="1070"/>
      <c r="DJ399" s="1070"/>
    </row>
    <row r="400" spans="1:114" s="1136" customFormat="1" ht="15" x14ac:dyDescent="0.2">
      <c r="A400" s="1715" t="s">
        <v>5164</v>
      </c>
      <c r="B400" s="1966">
        <f>IF(B191&lt;=14,1,IF(B191&lt;=18,0.95,IF(B191&lt;=24,0.85,0.8)))</f>
        <v>1</v>
      </c>
      <c r="C400" s="1407"/>
      <c r="D400" s="1407"/>
      <c r="E400" s="1407"/>
      <c r="F400" s="1407"/>
      <c r="G400" s="1407"/>
      <c r="H400" s="1070"/>
      <c r="I400" s="1070"/>
      <c r="J400" s="1070"/>
      <c r="K400" s="1070"/>
      <c r="L400" s="1070"/>
      <c r="M400" s="1070"/>
      <c r="N400" s="1070"/>
      <c r="O400" s="1070"/>
      <c r="P400" s="1070"/>
      <c r="Q400" s="1070"/>
      <c r="R400" s="1070"/>
      <c r="S400" s="1070"/>
      <c r="T400" s="1070"/>
      <c r="U400" s="1070"/>
      <c r="V400" s="1070"/>
      <c r="W400" s="1070"/>
      <c r="X400" s="1070"/>
      <c r="Y400" s="1070"/>
      <c r="Z400" s="1070"/>
      <c r="AA400" s="1070"/>
      <c r="AB400" s="1070"/>
      <c r="AC400" s="1070"/>
      <c r="AD400" s="1070"/>
      <c r="AE400" s="1070"/>
      <c r="AF400" s="1070"/>
      <c r="AG400" s="1070"/>
      <c r="AH400" s="1070"/>
      <c r="AI400" s="1070"/>
      <c r="AJ400" s="1070"/>
      <c r="AK400" s="1070"/>
      <c r="AL400" s="1070"/>
      <c r="AM400" s="1070"/>
      <c r="AN400" s="1070"/>
      <c r="AO400" s="1070"/>
      <c r="AP400" s="1070"/>
      <c r="AQ400" s="1070"/>
      <c r="AR400" s="1070"/>
      <c r="AS400" s="1070"/>
      <c r="AT400" s="1070"/>
      <c r="AU400" s="1070"/>
      <c r="AV400" s="1070"/>
      <c r="AW400" s="1070"/>
      <c r="AX400" s="1070"/>
      <c r="AY400" s="1070"/>
      <c r="AZ400" s="1070"/>
      <c r="BA400" s="1070"/>
      <c r="BB400" s="1070"/>
      <c r="BC400" s="1070"/>
      <c r="BD400" s="1070"/>
      <c r="BE400" s="1070"/>
      <c r="BF400" s="1070"/>
      <c r="BG400" s="1070"/>
      <c r="BH400" s="1070"/>
      <c r="BI400" s="1070"/>
      <c r="BJ400" s="1070"/>
      <c r="BK400" s="1070"/>
      <c r="BL400" s="1070"/>
      <c r="BM400" s="1070"/>
      <c r="BN400" s="1070"/>
      <c r="BO400" s="1070"/>
      <c r="BP400" s="1070"/>
      <c r="BQ400" s="1070"/>
      <c r="BR400" s="1070"/>
      <c r="BS400" s="1070"/>
      <c r="BT400" s="1070"/>
      <c r="BU400" s="1070"/>
      <c r="BV400" s="1070"/>
      <c r="BW400" s="1070"/>
      <c r="BX400" s="1070"/>
      <c r="BY400" s="1070"/>
      <c r="BZ400" s="1070"/>
      <c r="CA400" s="1070"/>
      <c r="CB400" s="1070"/>
      <c r="CC400" s="1070"/>
      <c r="CD400" s="1070"/>
      <c r="CE400" s="1070"/>
      <c r="CF400" s="1070"/>
      <c r="CG400" s="1070"/>
      <c r="CH400" s="1070"/>
      <c r="CI400" s="1070"/>
      <c r="CJ400" s="1070"/>
      <c r="CK400" s="1070"/>
      <c r="CL400" s="1070"/>
      <c r="CM400" s="1070"/>
      <c r="CN400" s="1070"/>
      <c r="CO400" s="1070"/>
      <c r="CP400" s="1070"/>
      <c r="CQ400" s="1070"/>
      <c r="CR400" s="1070"/>
      <c r="CS400" s="1070"/>
      <c r="CT400" s="1070"/>
      <c r="CU400" s="1070"/>
      <c r="CV400" s="1070"/>
      <c r="CW400" s="1070"/>
      <c r="CX400" s="1070"/>
      <c r="CY400" s="1070"/>
      <c r="CZ400" s="1070"/>
      <c r="DA400" s="1070"/>
      <c r="DB400" s="1070"/>
      <c r="DC400" s="1070"/>
      <c r="DD400" s="1070"/>
      <c r="DE400" s="1070"/>
      <c r="DF400" s="1070"/>
      <c r="DG400" s="1070"/>
      <c r="DH400" s="1070"/>
      <c r="DI400" s="1070"/>
      <c r="DJ400" s="1070"/>
    </row>
    <row r="401" spans="1:114" s="1136" customFormat="1" ht="15" x14ac:dyDescent="0.2">
      <c r="A401" s="1715" t="s">
        <v>5163</v>
      </c>
      <c r="B401" s="1966">
        <f>IF(B194=2,0.95,1)</f>
        <v>1</v>
      </c>
      <c r="C401" s="1407"/>
      <c r="D401" s="1407"/>
      <c r="E401" s="1407"/>
      <c r="F401" s="1407"/>
      <c r="G401" s="1407"/>
      <c r="H401" s="1070"/>
      <c r="I401" s="1070"/>
      <c r="J401" s="1070"/>
      <c r="K401" s="1070"/>
      <c r="L401" s="1070"/>
      <c r="M401" s="1070"/>
      <c r="N401" s="1070"/>
      <c r="O401" s="1070"/>
      <c r="P401" s="1070"/>
      <c r="Q401" s="1070"/>
      <c r="R401" s="1070"/>
      <c r="S401" s="1070"/>
      <c r="T401" s="1070"/>
      <c r="U401" s="1070"/>
      <c r="V401" s="1070"/>
      <c r="W401" s="1070"/>
      <c r="X401" s="1070"/>
      <c r="Y401" s="1070"/>
      <c r="Z401" s="1070"/>
      <c r="AA401" s="1070"/>
      <c r="AB401" s="1070"/>
      <c r="AC401" s="1070"/>
      <c r="AD401" s="1070"/>
      <c r="AE401" s="1070"/>
      <c r="AF401" s="1070"/>
      <c r="AG401" s="1070"/>
      <c r="AH401" s="1070"/>
      <c r="AI401" s="1070"/>
      <c r="AJ401" s="1070"/>
      <c r="AK401" s="1070"/>
      <c r="AL401" s="1070"/>
      <c r="AM401" s="1070"/>
      <c r="AN401" s="1070"/>
      <c r="AO401" s="1070"/>
      <c r="AP401" s="1070"/>
      <c r="AQ401" s="1070"/>
      <c r="AR401" s="1070"/>
      <c r="AS401" s="1070"/>
      <c r="AT401" s="1070"/>
      <c r="AU401" s="1070"/>
      <c r="AV401" s="1070"/>
      <c r="AW401" s="1070"/>
      <c r="AX401" s="1070"/>
      <c r="AY401" s="1070"/>
      <c r="AZ401" s="1070"/>
      <c r="BA401" s="1070"/>
      <c r="BB401" s="1070"/>
      <c r="BC401" s="1070"/>
      <c r="BD401" s="1070"/>
      <c r="BE401" s="1070"/>
      <c r="BF401" s="1070"/>
      <c r="BG401" s="1070"/>
      <c r="BH401" s="1070"/>
      <c r="BI401" s="1070"/>
      <c r="BJ401" s="1070"/>
      <c r="BK401" s="1070"/>
      <c r="BL401" s="1070"/>
      <c r="BM401" s="1070"/>
      <c r="BN401" s="1070"/>
      <c r="BO401" s="1070"/>
      <c r="BP401" s="1070"/>
      <c r="BQ401" s="1070"/>
      <c r="BR401" s="1070"/>
      <c r="BS401" s="1070"/>
      <c r="BT401" s="1070"/>
      <c r="BU401" s="1070"/>
      <c r="BV401" s="1070"/>
      <c r="BW401" s="1070"/>
      <c r="BX401" s="1070"/>
      <c r="BY401" s="1070"/>
      <c r="BZ401" s="1070"/>
      <c r="CA401" s="1070"/>
      <c r="CB401" s="1070"/>
      <c r="CC401" s="1070"/>
      <c r="CD401" s="1070"/>
      <c r="CE401" s="1070"/>
      <c r="CF401" s="1070"/>
      <c r="CG401" s="1070"/>
      <c r="CH401" s="1070"/>
      <c r="CI401" s="1070"/>
      <c r="CJ401" s="1070"/>
      <c r="CK401" s="1070"/>
      <c r="CL401" s="1070"/>
      <c r="CM401" s="1070"/>
      <c r="CN401" s="1070"/>
      <c r="CO401" s="1070"/>
      <c r="CP401" s="1070"/>
      <c r="CQ401" s="1070"/>
      <c r="CR401" s="1070"/>
      <c r="CS401" s="1070"/>
      <c r="CT401" s="1070"/>
      <c r="CU401" s="1070"/>
      <c r="CV401" s="1070"/>
      <c r="CW401" s="1070"/>
      <c r="CX401" s="1070"/>
      <c r="CY401" s="1070"/>
      <c r="CZ401" s="1070"/>
      <c r="DA401" s="1070"/>
      <c r="DB401" s="1070"/>
      <c r="DC401" s="1070"/>
      <c r="DD401" s="1070"/>
      <c r="DE401" s="1070"/>
      <c r="DF401" s="1070"/>
      <c r="DG401" s="1070"/>
      <c r="DH401" s="1070"/>
      <c r="DI401" s="1070"/>
      <c r="DJ401" s="1070"/>
    </row>
    <row r="402" spans="1:114" s="1136" customFormat="1" ht="15" x14ac:dyDescent="0.2">
      <c r="A402" s="1715" t="s">
        <v>3718</v>
      </c>
      <c r="B402" s="1966">
        <f>IF(B197&gt;2,0.98,1)</f>
        <v>0.98</v>
      </c>
      <c r="C402" s="1407"/>
      <c r="D402" s="1407"/>
      <c r="E402" s="1407"/>
      <c r="F402" s="1407"/>
      <c r="G402" s="1407"/>
      <c r="H402" s="1070"/>
      <c r="I402" s="1070"/>
      <c r="J402" s="1070"/>
      <c r="K402" s="1070"/>
      <c r="L402" s="1070"/>
      <c r="M402" s="1070"/>
      <c r="N402" s="1070"/>
      <c r="O402" s="1070"/>
      <c r="P402" s="1070"/>
      <c r="Q402" s="1070"/>
      <c r="R402" s="1070"/>
      <c r="S402" s="1070"/>
      <c r="T402" s="1070"/>
      <c r="U402" s="1070"/>
      <c r="V402" s="1070"/>
      <c r="W402" s="1070"/>
      <c r="X402" s="1070"/>
      <c r="Y402" s="1070"/>
      <c r="Z402" s="1070"/>
      <c r="AA402" s="1070"/>
      <c r="AB402" s="1070"/>
      <c r="AC402" s="1070"/>
      <c r="AD402" s="1070"/>
      <c r="AE402" s="1070"/>
      <c r="AF402" s="1070"/>
      <c r="AG402" s="1070"/>
      <c r="AH402" s="1070"/>
      <c r="AI402" s="1070"/>
      <c r="AJ402" s="1070"/>
      <c r="AK402" s="1070"/>
      <c r="AL402" s="1070"/>
      <c r="AM402" s="1070"/>
      <c r="AN402" s="1070"/>
      <c r="AO402" s="1070"/>
      <c r="AP402" s="1070"/>
      <c r="AQ402" s="1070"/>
      <c r="AR402" s="1070"/>
      <c r="AS402" s="1070"/>
      <c r="AT402" s="1070"/>
      <c r="AU402" s="1070"/>
      <c r="AV402" s="1070"/>
      <c r="AW402" s="1070"/>
      <c r="AX402" s="1070"/>
      <c r="AY402" s="1070"/>
      <c r="AZ402" s="1070"/>
      <c r="BA402" s="1070"/>
      <c r="BB402" s="1070"/>
      <c r="BC402" s="1070"/>
      <c r="BD402" s="1070"/>
      <c r="BE402" s="1070"/>
      <c r="BF402" s="1070"/>
      <c r="BG402" s="1070"/>
      <c r="BH402" s="1070"/>
      <c r="BI402" s="1070"/>
      <c r="BJ402" s="1070"/>
      <c r="BK402" s="1070"/>
      <c r="BL402" s="1070"/>
      <c r="BM402" s="1070"/>
      <c r="BN402" s="1070"/>
      <c r="BO402" s="1070"/>
      <c r="BP402" s="1070"/>
      <c r="BQ402" s="1070"/>
      <c r="BR402" s="1070"/>
      <c r="BS402" s="1070"/>
      <c r="BT402" s="1070"/>
      <c r="BU402" s="1070"/>
      <c r="BV402" s="1070"/>
      <c r="BW402" s="1070"/>
      <c r="BX402" s="1070"/>
      <c r="BY402" s="1070"/>
      <c r="BZ402" s="1070"/>
      <c r="CA402" s="1070"/>
      <c r="CB402" s="1070"/>
      <c r="CC402" s="1070"/>
      <c r="CD402" s="1070"/>
      <c r="CE402" s="1070"/>
      <c r="CF402" s="1070"/>
      <c r="CG402" s="1070"/>
      <c r="CH402" s="1070"/>
      <c r="CI402" s="1070"/>
      <c r="CJ402" s="1070"/>
      <c r="CK402" s="1070"/>
      <c r="CL402" s="1070"/>
      <c r="CM402" s="1070"/>
      <c r="CN402" s="1070"/>
      <c r="CO402" s="1070"/>
      <c r="CP402" s="1070"/>
      <c r="CQ402" s="1070"/>
      <c r="CR402" s="1070"/>
      <c r="CS402" s="1070"/>
      <c r="CT402" s="1070"/>
      <c r="CU402" s="1070"/>
      <c r="CV402" s="1070"/>
      <c r="CW402" s="1070"/>
      <c r="CX402" s="1070"/>
      <c r="CY402" s="1070"/>
      <c r="CZ402" s="1070"/>
      <c r="DA402" s="1070"/>
      <c r="DB402" s="1070"/>
      <c r="DC402" s="1070"/>
      <c r="DD402" s="1070"/>
      <c r="DE402" s="1070"/>
      <c r="DF402" s="1070"/>
      <c r="DG402" s="1070"/>
      <c r="DH402" s="1070"/>
      <c r="DI402" s="1070"/>
      <c r="DJ402" s="1070"/>
    </row>
    <row r="403" spans="1:114" s="1136" customFormat="1" ht="15" x14ac:dyDescent="0.2">
      <c r="A403" s="1715" t="s">
        <v>2662</v>
      </c>
      <c r="B403" s="1966">
        <f>IF(B195=1,1,1.18)</f>
        <v>1</v>
      </c>
      <c r="C403" s="1407"/>
      <c r="D403" s="1407"/>
      <c r="E403" s="1407"/>
      <c r="F403" s="1407"/>
      <c r="G403" s="1407"/>
      <c r="H403" s="1070"/>
      <c r="I403" s="1070"/>
      <c r="J403" s="1070"/>
      <c r="K403" s="1070"/>
      <c r="L403" s="1070"/>
      <c r="M403" s="1070"/>
      <c r="N403" s="1070"/>
      <c r="O403" s="1070"/>
      <c r="P403" s="1070"/>
      <c r="Q403" s="1070"/>
      <c r="R403" s="1070"/>
      <c r="S403" s="1070"/>
      <c r="T403" s="1070"/>
      <c r="U403" s="1070"/>
      <c r="V403" s="1070"/>
      <c r="W403" s="1070"/>
      <c r="X403" s="1070"/>
      <c r="Y403" s="1070"/>
      <c r="Z403" s="1070"/>
      <c r="AA403" s="1070"/>
      <c r="AB403" s="1070"/>
      <c r="AC403" s="1070"/>
      <c r="AD403" s="1070"/>
      <c r="AE403" s="1070"/>
      <c r="AF403" s="1070"/>
      <c r="AG403" s="1070"/>
      <c r="AH403" s="1070"/>
      <c r="AI403" s="1070"/>
      <c r="AJ403" s="1070"/>
      <c r="AK403" s="1070"/>
      <c r="AL403" s="1070"/>
      <c r="AM403" s="1070"/>
      <c r="AN403" s="1070"/>
      <c r="AO403" s="1070"/>
      <c r="AP403" s="1070"/>
      <c r="AQ403" s="1070"/>
      <c r="AR403" s="1070"/>
      <c r="AS403" s="1070"/>
      <c r="AT403" s="1070"/>
      <c r="AU403" s="1070"/>
      <c r="AV403" s="1070"/>
      <c r="AW403" s="1070"/>
      <c r="AX403" s="1070"/>
      <c r="AY403" s="1070"/>
      <c r="AZ403" s="1070"/>
      <c r="BA403" s="1070"/>
      <c r="BB403" s="1070"/>
      <c r="BC403" s="1070"/>
      <c r="BD403" s="1070"/>
      <c r="BE403" s="1070"/>
      <c r="BF403" s="1070"/>
      <c r="BG403" s="1070"/>
      <c r="BH403" s="1070"/>
      <c r="BI403" s="1070"/>
      <c r="BJ403" s="1070"/>
      <c r="BK403" s="1070"/>
      <c r="BL403" s="1070"/>
      <c r="BM403" s="1070"/>
      <c r="BN403" s="1070"/>
      <c r="BO403" s="1070"/>
      <c r="BP403" s="1070"/>
      <c r="BQ403" s="1070"/>
      <c r="BR403" s="1070"/>
      <c r="BS403" s="1070"/>
      <c r="BT403" s="1070"/>
      <c r="BU403" s="1070"/>
      <c r="BV403" s="1070"/>
      <c r="BW403" s="1070"/>
      <c r="BX403" s="1070"/>
      <c r="BY403" s="1070"/>
      <c r="BZ403" s="1070"/>
      <c r="CA403" s="1070"/>
      <c r="CB403" s="1070"/>
      <c r="CC403" s="1070"/>
      <c r="CD403" s="1070"/>
      <c r="CE403" s="1070"/>
      <c r="CF403" s="1070"/>
      <c r="CG403" s="1070"/>
      <c r="CH403" s="1070"/>
      <c r="CI403" s="1070"/>
      <c r="CJ403" s="1070"/>
      <c r="CK403" s="1070"/>
      <c r="CL403" s="1070"/>
      <c r="CM403" s="1070"/>
      <c r="CN403" s="1070"/>
      <c r="CO403" s="1070"/>
      <c r="CP403" s="1070"/>
      <c r="CQ403" s="1070"/>
      <c r="CR403" s="1070"/>
      <c r="CS403" s="1070"/>
      <c r="CT403" s="1070"/>
      <c r="CU403" s="1070"/>
      <c r="CV403" s="1070"/>
      <c r="CW403" s="1070"/>
      <c r="CX403" s="1070"/>
      <c r="CY403" s="1070"/>
      <c r="CZ403" s="1070"/>
      <c r="DA403" s="1070"/>
      <c r="DB403" s="1070"/>
      <c r="DC403" s="1070"/>
      <c r="DD403" s="1070"/>
      <c r="DE403" s="1070"/>
      <c r="DF403" s="1070"/>
      <c r="DG403" s="1070"/>
      <c r="DH403" s="1070"/>
      <c r="DI403" s="1070"/>
      <c r="DJ403" s="1070"/>
    </row>
    <row r="404" spans="1:114" s="1136" customFormat="1" ht="15" x14ac:dyDescent="0.2">
      <c r="A404" s="1686" t="s">
        <v>2661</v>
      </c>
      <c r="B404" s="1967">
        <f>B399*B400*B401*B402*B403</f>
        <v>0.98</v>
      </c>
      <c r="C404" s="1407"/>
      <c r="D404" s="1407"/>
      <c r="E404" s="1407"/>
      <c r="F404" s="1407"/>
      <c r="G404" s="1407"/>
      <c r="H404" s="1070"/>
      <c r="I404" s="1070"/>
      <c r="J404" s="1070"/>
      <c r="K404" s="1070"/>
      <c r="L404" s="1070"/>
      <c r="M404" s="1070"/>
      <c r="N404" s="1070"/>
      <c r="O404" s="1070"/>
      <c r="P404" s="1070"/>
      <c r="Q404" s="1070"/>
      <c r="R404" s="1070"/>
      <c r="S404" s="1070"/>
      <c r="T404" s="1070"/>
      <c r="U404" s="1070"/>
      <c r="V404" s="1070"/>
      <c r="W404" s="1070"/>
      <c r="X404" s="1070"/>
      <c r="Y404" s="1070"/>
      <c r="Z404" s="1070"/>
      <c r="AA404" s="1070"/>
      <c r="AB404" s="1070"/>
      <c r="AC404" s="1070"/>
      <c r="AD404" s="1070"/>
      <c r="AE404" s="1070"/>
      <c r="AF404" s="1070"/>
      <c r="AG404" s="1070"/>
      <c r="AH404" s="1070"/>
      <c r="AI404" s="1070"/>
      <c r="AJ404" s="1070"/>
      <c r="AK404" s="1070"/>
      <c r="AL404" s="1070"/>
      <c r="AM404" s="1070"/>
      <c r="AN404" s="1070"/>
      <c r="AO404" s="1070"/>
      <c r="AP404" s="1070"/>
      <c r="AQ404" s="1070"/>
      <c r="AR404" s="1070"/>
      <c r="AS404" s="1070"/>
      <c r="AT404" s="1070"/>
      <c r="AU404" s="1070"/>
      <c r="AV404" s="1070"/>
      <c r="AW404" s="1070"/>
      <c r="AX404" s="1070"/>
      <c r="AY404" s="1070"/>
      <c r="AZ404" s="1070"/>
      <c r="BA404" s="1070"/>
      <c r="BB404" s="1070"/>
      <c r="BC404" s="1070"/>
      <c r="BD404" s="1070"/>
      <c r="BE404" s="1070"/>
      <c r="BF404" s="1070"/>
      <c r="BG404" s="1070"/>
      <c r="BH404" s="1070"/>
      <c r="BI404" s="1070"/>
      <c r="BJ404" s="1070"/>
      <c r="BK404" s="1070"/>
      <c r="BL404" s="1070"/>
      <c r="BM404" s="1070"/>
      <c r="BN404" s="1070"/>
      <c r="BO404" s="1070"/>
      <c r="BP404" s="1070"/>
      <c r="BQ404" s="1070"/>
      <c r="BR404" s="1070"/>
      <c r="BS404" s="1070"/>
      <c r="BT404" s="1070"/>
      <c r="BU404" s="1070"/>
      <c r="BV404" s="1070"/>
      <c r="BW404" s="1070"/>
      <c r="BX404" s="1070"/>
      <c r="BY404" s="1070"/>
      <c r="BZ404" s="1070"/>
      <c r="CA404" s="1070"/>
      <c r="CB404" s="1070"/>
      <c r="CC404" s="1070"/>
      <c r="CD404" s="1070"/>
      <c r="CE404" s="1070"/>
      <c r="CF404" s="1070"/>
      <c r="CG404" s="1070"/>
      <c r="CH404" s="1070"/>
      <c r="CI404" s="1070"/>
      <c r="CJ404" s="1070"/>
      <c r="CK404" s="1070"/>
      <c r="CL404" s="1070"/>
      <c r="CM404" s="1070"/>
      <c r="CN404" s="1070"/>
      <c r="CO404" s="1070"/>
      <c r="CP404" s="1070"/>
      <c r="CQ404" s="1070"/>
      <c r="CR404" s="1070"/>
      <c r="CS404" s="1070"/>
      <c r="CT404" s="1070"/>
      <c r="CU404" s="1070"/>
      <c r="CV404" s="1070"/>
      <c r="CW404" s="1070"/>
      <c r="CX404" s="1070"/>
      <c r="CY404" s="1070"/>
      <c r="CZ404" s="1070"/>
      <c r="DA404" s="1070"/>
      <c r="DB404" s="1070"/>
      <c r="DC404" s="1070"/>
      <c r="DD404" s="1070"/>
      <c r="DE404" s="1070"/>
      <c r="DF404" s="1070"/>
      <c r="DG404" s="1070"/>
      <c r="DH404" s="1070"/>
      <c r="DI404" s="1070"/>
      <c r="DJ404" s="1070"/>
    </row>
    <row r="405" spans="1:114" s="1136" customFormat="1" ht="15.75" x14ac:dyDescent="0.25">
      <c r="A405" s="1651" t="s">
        <v>4823</v>
      </c>
      <c r="B405" s="1046"/>
      <c r="C405" s="1070"/>
      <c r="D405" s="1070"/>
      <c r="E405" s="1070"/>
      <c r="F405" s="1070"/>
      <c r="G405" s="1070"/>
      <c r="H405" s="1070"/>
      <c r="I405" s="1070"/>
      <c r="J405" s="1070"/>
      <c r="K405" s="1070"/>
      <c r="L405" s="1070"/>
      <c r="M405" s="1070"/>
      <c r="N405" s="1070"/>
      <c r="O405" s="1070"/>
      <c r="P405" s="1070"/>
      <c r="Q405" s="1070"/>
      <c r="R405" s="1070"/>
      <c r="S405" s="1070"/>
      <c r="T405" s="1070"/>
      <c r="U405" s="1070"/>
      <c r="V405" s="1070"/>
      <c r="W405" s="1070"/>
      <c r="X405" s="1070"/>
      <c r="Y405" s="1070"/>
      <c r="Z405" s="1070"/>
      <c r="AA405" s="1070"/>
      <c r="AB405" s="1070"/>
      <c r="AC405" s="1070"/>
      <c r="AD405" s="1070"/>
      <c r="AE405" s="1070"/>
      <c r="AF405" s="1070"/>
      <c r="AG405" s="1070"/>
      <c r="AH405" s="1070"/>
      <c r="AI405" s="1070"/>
      <c r="AJ405" s="1070"/>
      <c r="AK405" s="1070"/>
      <c r="AL405" s="1070"/>
      <c r="AM405" s="1070"/>
      <c r="AN405" s="1070"/>
      <c r="AO405" s="1070"/>
      <c r="AP405" s="1070"/>
      <c r="AQ405" s="1070"/>
      <c r="AR405" s="1070"/>
      <c r="AS405" s="1070"/>
      <c r="AT405" s="1070"/>
      <c r="AU405" s="1070"/>
      <c r="AV405" s="1070"/>
      <c r="AW405" s="1070"/>
      <c r="AX405" s="1070"/>
      <c r="AY405" s="1070"/>
      <c r="AZ405" s="1070"/>
      <c r="BA405" s="1070"/>
      <c r="BB405" s="1070"/>
      <c r="BC405" s="1070"/>
      <c r="BD405" s="1070"/>
      <c r="BE405" s="1070"/>
      <c r="BF405" s="1070"/>
      <c r="BG405" s="1070"/>
      <c r="BH405" s="1070"/>
      <c r="BI405" s="1070"/>
      <c r="BJ405" s="1070"/>
      <c r="BK405" s="1070"/>
      <c r="BL405" s="1070"/>
      <c r="BM405" s="1070"/>
      <c r="BN405" s="1070"/>
      <c r="BO405" s="1070"/>
      <c r="BP405" s="1070"/>
      <c r="BQ405" s="1070"/>
      <c r="BR405" s="1070"/>
      <c r="BS405" s="1070"/>
      <c r="BT405" s="1070"/>
      <c r="BU405" s="1070"/>
      <c r="BV405" s="1070"/>
      <c r="BW405" s="1070"/>
      <c r="BX405" s="1070"/>
      <c r="BY405" s="1070"/>
      <c r="BZ405" s="1070"/>
      <c r="CA405" s="1070"/>
      <c r="CB405" s="1070"/>
      <c r="CC405" s="1070"/>
      <c r="CD405" s="1070"/>
      <c r="CE405" s="1070"/>
      <c r="CF405" s="1070"/>
      <c r="CG405" s="1070"/>
      <c r="CH405" s="1070"/>
      <c r="CI405" s="1070"/>
      <c r="CJ405" s="1070"/>
      <c r="CK405" s="1070"/>
      <c r="CL405" s="1070"/>
      <c r="CM405" s="1070"/>
      <c r="CN405" s="1070"/>
      <c r="CO405" s="1070"/>
      <c r="CP405" s="1070"/>
      <c r="CQ405" s="1070"/>
      <c r="CR405" s="1070"/>
      <c r="CS405" s="1070"/>
      <c r="CT405" s="1070"/>
      <c r="CU405" s="1070"/>
      <c r="CV405" s="1070"/>
      <c r="CW405" s="1070"/>
      <c r="CX405" s="1070"/>
      <c r="CY405" s="1070"/>
      <c r="CZ405" s="1070"/>
      <c r="DA405" s="1070"/>
      <c r="DB405" s="1070"/>
      <c r="DC405" s="1070"/>
      <c r="DD405" s="1070"/>
      <c r="DE405" s="1070"/>
      <c r="DF405" s="1070"/>
      <c r="DG405" s="1070"/>
      <c r="DH405" s="1070"/>
      <c r="DI405" s="1070"/>
      <c r="DJ405" s="1070"/>
    </row>
    <row r="406" spans="1:114" s="1136" customFormat="1" ht="15" x14ac:dyDescent="0.2">
      <c r="A406" s="1715" t="s">
        <v>5161</v>
      </c>
      <c r="B406" s="1966">
        <f>IF(B180=0.5,0.794,IF(B180=0.8,1.27,1))</f>
        <v>1</v>
      </c>
      <c r="C406" s="1407"/>
      <c r="D406" s="1407"/>
      <c r="E406" s="1407"/>
      <c r="F406" s="1407"/>
      <c r="G406" s="1407"/>
      <c r="H406" s="1070"/>
      <c r="I406" s="1070"/>
      <c r="J406" s="1070"/>
      <c r="K406" s="1070"/>
      <c r="L406" s="1070"/>
      <c r="M406" s="1070"/>
      <c r="N406" s="1070"/>
      <c r="O406" s="1070"/>
      <c r="P406" s="1070"/>
      <c r="Q406" s="1070"/>
      <c r="R406" s="1070"/>
      <c r="S406" s="1070"/>
      <c r="T406" s="1070"/>
      <c r="U406" s="1070"/>
      <c r="V406" s="1070"/>
      <c r="W406" s="1070"/>
      <c r="X406" s="1070"/>
      <c r="Y406" s="1070"/>
      <c r="Z406" s="1070"/>
      <c r="AA406" s="1070"/>
      <c r="AB406" s="1070"/>
      <c r="AC406" s="1070"/>
      <c r="AD406" s="1070"/>
      <c r="AE406" s="1070"/>
      <c r="AF406" s="1070"/>
      <c r="AG406" s="1070"/>
      <c r="AH406" s="1070"/>
      <c r="AI406" s="1070"/>
      <c r="AJ406" s="1070"/>
      <c r="AK406" s="1070"/>
      <c r="AL406" s="1070"/>
      <c r="AM406" s="1070"/>
      <c r="AN406" s="1070"/>
      <c r="AO406" s="1070"/>
      <c r="AP406" s="1070"/>
      <c r="AQ406" s="1070"/>
      <c r="AR406" s="1070"/>
      <c r="AS406" s="1070"/>
      <c r="AT406" s="1070"/>
      <c r="AU406" s="1070"/>
      <c r="AV406" s="1070"/>
      <c r="AW406" s="1070"/>
      <c r="AX406" s="1070"/>
      <c r="AY406" s="1070"/>
      <c r="AZ406" s="1070"/>
      <c r="BA406" s="1070"/>
      <c r="BB406" s="1070"/>
      <c r="BC406" s="1070"/>
      <c r="BD406" s="1070"/>
      <c r="BE406" s="1070"/>
      <c r="BF406" s="1070"/>
      <c r="BG406" s="1070"/>
      <c r="BH406" s="1070"/>
      <c r="BI406" s="1070"/>
      <c r="BJ406" s="1070"/>
      <c r="BK406" s="1070"/>
      <c r="BL406" s="1070"/>
      <c r="BM406" s="1070"/>
      <c r="BN406" s="1070"/>
      <c r="BO406" s="1070"/>
      <c r="BP406" s="1070"/>
      <c r="BQ406" s="1070"/>
      <c r="BR406" s="1070"/>
      <c r="BS406" s="1070"/>
      <c r="BT406" s="1070"/>
      <c r="BU406" s="1070"/>
      <c r="BV406" s="1070"/>
      <c r="BW406" s="1070"/>
      <c r="BX406" s="1070"/>
      <c r="BY406" s="1070"/>
      <c r="BZ406" s="1070"/>
      <c r="CA406" s="1070"/>
      <c r="CB406" s="1070"/>
      <c r="CC406" s="1070"/>
      <c r="CD406" s="1070"/>
      <c r="CE406" s="1070"/>
      <c r="CF406" s="1070"/>
      <c r="CG406" s="1070"/>
      <c r="CH406" s="1070"/>
      <c r="CI406" s="1070"/>
      <c r="CJ406" s="1070"/>
      <c r="CK406" s="1070"/>
      <c r="CL406" s="1070"/>
      <c r="CM406" s="1070"/>
      <c r="CN406" s="1070"/>
      <c r="CO406" s="1070"/>
      <c r="CP406" s="1070"/>
      <c r="CQ406" s="1070"/>
      <c r="CR406" s="1070"/>
      <c r="CS406" s="1070"/>
      <c r="CT406" s="1070"/>
      <c r="CU406" s="1070"/>
      <c r="CV406" s="1070"/>
      <c r="CW406" s="1070"/>
      <c r="CX406" s="1070"/>
      <c r="CY406" s="1070"/>
      <c r="CZ406" s="1070"/>
      <c r="DA406" s="1070"/>
      <c r="DB406" s="1070"/>
      <c r="DC406" s="1070"/>
      <c r="DD406" s="1070"/>
      <c r="DE406" s="1070"/>
      <c r="DF406" s="1070"/>
      <c r="DG406" s="1070"/>
      <c r="DH406" s="1070"/>
      <c r="DI406" s="1070"/>
      <c r="DJ406" s="1070"/>
    </row>
    <row r="407" spans="1:114" s="1136" customFormat="1" ht="15" x14ac:dyDescent="0.2">
      <c r="A407" s="1715" t="s">
        <v>5164</v>
      </c>
      <c r="B407" s="1966">
        <f>IF(B191&lt;=20,1,IF(B191&lt;=25,0.95,0.9))</f>
        <v>1</v>
      </c>
      <c r="C407" s="1407"/>
      <c r="D407" s="1407"/>
      <c r="E407" s="1407"/>
      <c r="F407" s="1407"/>
      <c r="G407" s="1407"/>
      <c r="H407" s="1070"/>
      <c r="I407" s="1070"/>
      <c r="J407" s="1070"/>
      <c r="K407" s="1070"/>
      <c r="L407" s="1070"/>
      <c r="M407" s="1070"/>
      <c r="N407" s="1070"/>
      <c r="O407" s="1070"/>
      <c r="P407" s="1070"/>
      <c r="Q407" s="1070"/>
      <c r="R407" s="1070"/>
      <c r="S407" s="1070"/>
      <c r="T407" s="1070"/>
      <c r="U407" s="1070"/>
      <c r="V407" s="1070"/>
      <c r="W407" s="1070"/>
      <c r="X407" s="1070"/>
      <c r="Y407" s="1070"/>
      <c r="Z407" s="1070"/>
      <c r="AA407" s="1070"/>
      <c r="AB407" s="1070"/>
      <c r="AC407" s="1070"/>
      <c r="AD407" s="1070"/>
      <c r="AE407" s="1070"/>
      <c r="AF407" s="1070"/>
      <c r="AG407" s="1070"/>
      <c r="AH407" s="1070"/>
      <c r="AI407" s="1070"/>
      <c r="AJ407" s="1070"/>
      <c r="AK407" s="1070"/>
      <c r="AL407" s="1070"/>
      <c r="AM407" s="1070"/>
      <c r="AN407" s="1070"/>
      <c r="AO407" s="1070"/>
      <c r="AP407" s="1070"/>
      <c r="AQ407" s="1070"/>
      <c r="AR407" s="1070"/>
      <c r="AS407" s="1070"/>
      <c r="AT407" s="1070"/>
      <c r="AU407" s="1070"/>
      <c r="AV407" s="1070"/>
      <c r="AW407" s="1070"/>
      <c r="AX407" s="1070"/>
      <c r="AY407" s="1070"/>
      <c r="AZ407" s="1070"/>
      <c r="BA407" s="1070"/>
      <c r="BB407" s="1070"/>
      <c r="BC407" s="1070"/>
      <c r="BD407" s="1070"/>
      <c r="BE407" s="1070"/>
      <c r="BF407" s="1070"/>
      <c r="BG407" s="1070"/>
      <c r="BH407" s="1070"/>
      <c r="BI407" s="1070"/>
      <c r="BJ407" s="1070"/>
      <c r="BK407" s="1070"/>
      <c r="BL407" s="1070"/>
      <c r="BM407" s="1070"/>
      <c r="BN407" s="1070"/>
      <c r="BO407" s="1070"/>
      <c r="BP407" s="1070"/>
      <c r="BQ407" s="1070"/>
      <c r="BR407" s="1070"/>
      <c r="BS407" s="1070"/>
      <c r="BT407" s="1070"/>
      <c r="BU407" s="1070"/>
      <c r="BV407" s="1070"/>
      <c r="BW407" s="1070"/>
      <c r="BX407" s="1070"/>
      <c r="BY407" s="1070"/>
      <c r="BZ407" s="1070"/>
      <c r="CA407" s="1070"/>
      <c r="CB407" s="1070"/>
      <c r="CC407" s="1070"/>
      <c r="CD407" s="1070"/>
      <c r="CE407" s="1070"/>
      <c r="CF407" s="1070"/>
      <c r="CG407" s="1070"/>
      <c r="CH407" s="1070"/>
      <c r="CI407" s="1070"/>
      <c r="CJ407" s="1070"/>
      <c r="CK407" s="1070"/>
      <c r="CL407" s="1070"/>
      <c r="CM407" s="1070"/>
      <c r="CN407" s="1070"/>
      <c r="CO407" s="1070"/>
      <c r="CP407" s="1070"/>
      <c r="CQ407" s="1070"/>
      <c r="CR407" s="1070"/>
      <c r="CS407" s="1070"/>
      <c r="CT407" s="1070"/>
      <c r="CU407" s="1070"/>
      <c r="CV407" s="1070"/>
      <c r="CW407" s="1070"/>
      <c r="CX407" s="1070"/>
      <c r="CY407" s="1070"/>
      <c r="CZ407" s="1070"/>
      <c r="DA407" s="1070"/>
      <c r="DB407" s="1070"/>
      <c r="DC407" s="1070"/>
      <c r="DD407" s="1070"/>
      <c r="DE407" s="1070"/>
      <c r="DF407" s="1070"/>
      <c r="DG407" s="1070"/>
      <c r="DH407" s="1070"/>
      <c r="DI407" s="1070"/>
      <c r="DJ407" s="1070"/>
    </row>
    <row r="408" spans="1:114" s="1136" customFormat="1" ht="15" x14ac:dyDescent="0.2">
      <c r="A408" s="1715" t="s">
        <v>5163</v>
      </c>
      <c r="B408" s="1966">
        <f>IF(B194=2,0.9,1)</f>
        <v>1</v>
      </c>
      <c r="C408" s="1407"/>
      <c r="D408" s="1407"/>
      <c r="E408" s="1407"/>
      <c r="F408" s="1407"/>
      <c r="G408" s="1407"/>
      <c r="H408" s="1070"/>
      <c r="I408" s="1070"/>
      <c r="J408" s="1070"/>
      <c r="K408" s="1070"/>
      <c r="L408" s="1070"/>
      <c r="M408" s="1070"/>
      <c r="N408" s="1070"/>
      <c r="O408" s="1070"/>
      <c r="P408" s="1070"/>
      <c r="Q408" s="1070"/>
      <c r="R408" s="1070"/>
      <c r="S408" s="1070"/>
      <c r="T408" s="1070"/>
      <c r="U408" s="1070"/>
      <c r="V408" s="1070"/>
      <c r="W408" s="1070"/>
      <c r="X408" s="1070"/>
      <c r="Y408" s="1070"/>
      <c r="Z408" s="1070"/>
      <c r="AA408" s="1070"/>
      <c r="AB408" s="1070"/>
      <c r="AC408" s="1070"/>
      <c r="AD408" s="1070"/>
      <c r="AE408" s="1070"/>
      <c r="AF408" s="1070"/>
      <c r="AG408" s="1070"/>
      <c r="AH408" s="1070"/>
      <c r="AI408" s="1070"/>
      <c r="AJ408" s="1070"/>
      <c r="AK408" s="1070"/>
      <c r="AL408" s="1070"/>
      <c r="AM408" s="1070"/>
      <c r="AN408" s="1070"/>
      <c r="AO408" s="1070"/>
      <c r="AP408" s="1070"/>
      <c r="AQ408" s="1070"/>
      <c r="AR408" s="1070"/>
      <c r="AS408" s="1070"/>
      <c r="AT408" s="1070"/>
      <c r="AU408" s="1070"/>
      <c r="AV408" s="1070"/>
      <c r="AW408" s="1070"/>
      <c r="AX408" s="1070"/>
      <c r="AY408" s="1070"/>
      <c r="AZ408" s="1070"/>
      <c r="BA408" s="1070"/>
      <c r="BB408" s="1070"/>
      <c r="BC408" s="1070"/>
      <c r="BD408" s="1070"/>
      <c r="BE408" s="1070"/>
      <c r="BF408" s="1070"/>
      <c r="BG408" s="1070"/>
      <c r="BH408" s="1070"/>
      <c r="BI408" s="1070"/>
      <c r="BJ408" s="1070"/>
      <c r="BK408" s="1070"/>
      <c r="BL408" s="1070"/>
      <c r="BM408" s="1070"/>
      <c r="BN408" s="1070"/>
      <c r="BO408" s="1070"/>
      <c r="BP408" s="1070"/>
      <c r="BQ408" s="1070"/>
      <c r="BR408" s="1070"/>
      <c r="BS408" s="1070"/>
      <c r="BT408" s="1070"/>
      <c r="BU408" s="1070"/>
      <c r="BV408" s="1070"/>
      <c r="BW408" s="1070"/>
      <c r="BX408" s="1070"/>
      <c r="BY408" s="1070"/>
      <c r="BZ408" s="1070"/>
      <c r="CA408" s="1070"/>
      <c r="CB408" s="1070"/>
      <c r="CC408" s="1070"/>
      <c r="CD408" s="1070"/>
      <c r="CE408" s="1070"/>
      <c r="CF408" s="1070"/>
      <c r="CG408" s="1070"/>
      <c r="CH408" s="1070"/>
      <c r="CI408" s="1070"/>
      <c r="CJ408" s="1070"/>
      <c r="CK408" s="1070"/>
      <c r="CL408" s="1070"/>
      <c r="CM408" s="1070"/>
      <c r="CN408" s="1070"/>
      <c r="CO408" s="1070"/>
      <c r="CP408" s="1070"/>
      <c r="CQ408" s="1070"/>
      <c r="CR408" s="1070"/>
      <c r="CS408" s="1070"/>
      <c r="CT408" s="1070"/>
      <c r="CU408" s="1070"/>
      <c r="CV408" s="1070"/>
      <c r="CW408" s="1070"/>
      <c r="CX408" s="1070"/>
      <c r="CY408" s="1070"/>
      <c r="CZ408" s="1070"/>
      <c r="DA408" s="1070"/>
      <c r="DB408" s="1070"/>
      <c r="DC408" s="1070"/>
      <c r="DD408" s="1070"/>
      <c r="DE408" s="1070"/>
      <c r="DF408" s="1070"/>
      <c r="DG408" s="1070"/>
      <c r="DH408" s="1070"/>
      <c r="DI408" s="1070"/>
      <c r="DJ408" s="1070"/>
    </row>
    <row r="409" spans="1:114" s="1136" customFormat="1" ht="15" x14ac:dyDescent="0.2">
      <c r="A409" s="1686" t="s">
        <v>2661</v>
      </c>
      <c r="B409" s="1967">
        <f>B406*B407*B408</f>
        <v>1</v>
      </c>
      <c r="C409" s="1407"/>
      <c r="D409" s="1407"/>
      <c r="E409" s="1407"/>
      <c r="F409" s="1407"/>
      <c r="G409" s="1407"/>
      <c r="H409" s="1070"/>
      <c r="I409" s="1070"/>
      <c r="J409" s="1070"/>
      <c r="K409" s="1070"/>
      <c r="L409" s="1070"/>
      <c r="M409" s="1070"/>
      <c r="N409" s="1070"/>
      <c r="O409" s="1070"/>
      <c r="P409" s="1070"/>
      <c r="Q409" s="1070"/>
      <c r="R409" s="1070"/>
      <c r="S409" s="1070"/>
      <c r="T409" s="1070"/>
      <c r="U409" s="1070"/>
      <c r="V409" s="1070"/>
      <c r="W409" s="1070"/>
      <c r="X409" s="1070"/>
      <c r="Y409" s="1070"/>
      <c r="Z409" s="1070"/>
      <c r="AA409" s="1070"/>
      <c r="AB409" s="1070"/>
      <c r="AC409" s="1070"/>
      <c r="AD409" s="1070"/>
      <c r="AE409" s="1070"/>
      <c r="AF409" s="1070"/>
      <c r="AG409" s="1070"/>
      <c r="AH409" s="1070"/>
      <c r="AI409" s="1070"/>
      <c r="AJ409" s="1070"/>
      <c r="AK409" s="1070"/>
      <c r="AL409" s="1070"/>
      <c r="AM409" s="1070"/>
      <c r="AN409" s="1070"/>
      <c r="AO409" s="1070"/>
      <c r="AP409" s="1070"/>
      <c r="AQ409" s="1070"/>
      <c r="AR409" s="1070"/>
      <c r="AS409" s="1070"/>
      <c r="AT409" s="1070"/>
      <c r="AU409" s="1070"/>
      <c r="AV409" s="1070"/>
      <c r="AW409" s="1070"/>
      <c r="AX409" s="1070"/>
      <c r="AY409" s="1070"/>
      <c r="AZ409" s="1070"/>
      <c r="BA409" s="1070"/>
      <c r="BB409" s="1070"/>
      <c r="BC409" s="1070"/>
      <c r="BD409" s="1070"/>
      <c r="BE409" s="1070"/>
      <c r="BF409" s="1070"/>
      <c r="BG409" s="1070"/>
      <c r="BH409" s="1070"/>
      <c r="BI409" s="1070"/>
      <c r="BJ409" s="1070"/>
      <c r="BK409" s="1070"/>
      <c r="BL409" s="1070"/>
      <c r="BM409" s="1070"/>
      <c r="BN409" s="1070"/>
      <c r="BO409" s="1070"/>
      <c r="BP409" s="1070"/>
      <c r="BQ409" s="1070"/>
      <c r="BR409" s="1070"/>
      <c r="BS409" s="1070"/>
      <c r="BT409" s="1070"/>
      <c r="BU409" s="1070"/>
      <c r="BV409" s="1070"/>
      <c r="BW409" s="1070"/>
      <c r="BX409" s="1070"/>
      <c r="BY409" s="1070"/>
      <c r="BZ409" s="1070"/>
      <c r="CA409" s="1070"/>
      <c r="CB409" s="1070"/>
      <c r="CC409" s="1070"/>
      <c r="CD409" s="1070"/>
      <c r="CE409" s="1070"/>
      <c r="CF409" s="1070"/>
      <c r="CG409" s="1070"/>
      <c r="CH409" s="1070"/>
      <c r="CI409" s="1070"/>
      <c r="CJ409" s="1070"/>
      <c r="CK409" s="1070"/>
      <c r="CL409" s="1070"/>
      <c r="CM409" s="1070"/>
      <c r="CN409" s="1070"/>
      <c r="CO409" s="1070"/>
      <c r="CP409" s="1070"/>
      <c r="CQ409" s="1070"/>
      <c r="CR409" s="1070"/>
      <c r="CS409" s="1070"/>
      <c r="CT409" s="1070"/>
      <c r="CU409" s="1070"/>
      <c r="CV409" s="1070"/>
      <c r="CW409" s="1070"/>
      <c r="CX409" s="1070"/>
      <c r="CY409" s="1070"/>
      <c r="CZ409" s="1070"/>
      <c r="DA409" s="1070"/>
      <c r="DB409" s="1070"/>
      <c r="DC409" s="1070"/>
      <c r="DD409" s="1070"/>
      <c r="DE409" s="1070"/>
      <c r="DF409" s="1070"/>
      <c r="DG409" s="1070"/>
      <c r="DH409" s="1070"/>
      <c r="DI409" s="1070"/>
      <c r="DJ409" s="1070"/>
    </row>
    <row r="410" spans="1:114" s="1136" customFormat="1" ht="15.75" x14ac:dyDescent="0.25">
      <c r="A410" s="1968" t="s">
        <v>3719</v>
      </c>
      <c r="B410" s="1641"/>
      <c r="C410" s="1407"/>
      <c r="D410" s="1407"/>
      <c r="E410" s="1407"/>
      <c r="F410" s="1407"/>
      <c r="G410" s="1407"/>
      <c r="H410" s="1070"/>
      <c r="I410" s="1070"/>
      <c r="J410" s="1070"/>
      <c r="K410" s="1070"/>
      <c r="L410" s="1070"/>
      <c r="M410" s="1070"/>
      <c r="N410" s="1070"/>
      <c r="O410" s="1070"/>
      <c r="P410" s="1070"/>
      <c r="Q410" s="1070"/>
      <c r="R410" s="1070"/>
      <c r="S410" s="1070"/>
      <c r="T410" s="1070"/>
      <c r="U410" s="1070"/>
      <c r="V410" s="1070"/>
      <c r="W410" s="1070"/>
      <c r="X410" s="1070"/>
      <c r="Y410" s="1070"/>
      <c r="Z410" s="1070"/>
      <c r="AA410" s="1070"/>
      <c r="AB410" s="1070"/>
      <c r="AC410" s="1070"/>
      <c r="AD410" s="1070"/>
      <c r="AE410" s="1070"/>
      <c r="AF410" s="1070"/>
      <c r="AG410" s="1070"/>
      <c r="AH410" s="1070"/>
      <c r="AI410" s="1070"/>
      <c r="AJ410" s="1070"/>
      <c r="AK410" s="1070"/>
      <c r="AL410" s="1070"/>
      <c r="AM410" s="1070"/>
      <c r="AN410" s="1070"/>
      <c r="AO410" s="1070"/>
      <c r="AP410" s="1070"/>
      <c r="AQ410" s="1070"/>
      <c r="AR410" s="1070"/>
      <c r="AS410" s="1070"/>
      <c r="AT410" s="1070"/>
      <c r="AU410" s="1070"/>
      <c r="AV410" s="1070"/>
      <c r="AW410" s="1070"/>
      <c r="AX410" s="1070"/>
      <c r="AY410" s="1070"/>
      <c r="AZ410" s="1070"/>
      <c r="BA410" s="1070"/>
      <c r="BB410" s="1070"/>
      <c r="BC410" s="1070"/>
      <c r="BD410" s="1070"/>
      <c r="BE410" s="1070"/>
      <c r="BF410" s="1070"/>
      <c r="BG410" s="1070"/>
      <c r="BH410" s="1070"/>
      <c r="BI410" s="1070"/>
      <c r="BJ410" s="1070"/>
      <c r="BK410" s="1070"/>
      <c r="BL410" s="1070"/>
      <c r="BM410" s="1070"/>
      <c r="BN410" s="1070"/>
      <c r="BO410" s="1070"/>
      <c r="BP410" s="1070"/>
      <c r="BQ410" s="1070"/>
      <c r="BR410" s="1070"/>
      <c r="BS410" s="1070"/>
      <c r="BT410" s="1070"/>
      <c r="BU410" s="1070"/>
      <c r="BV410" s="1070"/>
      <c r="BW410" s="1070"/>
      <c r="BX410" s="1070"/>
      <c r="BY410" s="1070"/>
      <c r="BZ410" s="1070"/>
      <c r="CA410" s="1070"/>
      <c r="CB410" s="1070"/>
      <c r="CC410" s="1070"/>
      <c r="CD410" s="1070"/>
      <c r="CE410" s="1070"/>
      <c r="CF410" s="1070"/>
      <c r="CG410" s="1070"/>
      <c r="CH410" s="1070"/>
      <c r="CI410" s="1070"/>
      <c r="CJ410" s="1070"/>
      <c r="CK410" s="1070"/>
      <c r="CL410" s="1070"/>
      <c r="CM410" s="1070"/>
      <c r="CN410" s="1070"/>
      <c r="CO410" s="1070"/>
      <c r="CP410" s="1070"/>
      <c r="CQ410" s="1070"/>
      <c r="CR410" s="1070"/>
      <c r="CS410" s="1070"/>
      <c r="CT410" s="1070"/>
      <c r="CU410" s="1070"/>
      <c r="CV410" s="1070"/>
      <c r="CW410" s="1070"/>
      <c r="CX410" s="1070"/>
      <c r="CY410" s="1070"/>
      <c r="CZ410" s="1070"/>
      <c r="DA410" s="1070"/>
      <c r="DB410" s="1070"/>
      <c r="DC410" s="1070"/>
      <c r="DD410" s="1070"/>
      <c r="DE410" s="1070"/>
      <c r="DF410" s="1070"/>
      <c r="DG410" s="1070"/>
      <c r="DH410" s="1070"/>
      <c r="DI410" s="1070"/>
      <c r="DJ410" s="1070"/>
    </row>
    <row r="411" spans="1:114" s="1136" customFormat="1" ht="15" x14ac:dyDescent="0.2">
      <c r="A411" s="1393" t="s">
        <v>3720</v>
      </c>
      <c r="B411" s="1641" t="e">
        <f>B377*B385</f>
        <v>#VALUE!</v>
      </c>
      <c r="C411" s="1407"/>
      <c r="D411" s="1407"/>
      <c r="E411" s="1407"/>
      <c r="F411" s="1407"/>
      <c r="G411" s="1407"/>
      <c r="H411" s="1070"/>
      <c r="I411" s="1070"/>
      <c r="J411" s="1070"/>
      <c r="K411" s="1070"/>
      <c r="L411" s="1070"/>
      <c r="M411" s="1070"/>
      <c r="N411" s="1070"/>
      <c r="O411" s="1070"/>
      <c r="P411" s="1070"/>
      <c r="Q411" s="1070"/>
      <c r="R411" s="1070"/>
      <c r="S411" s="1070"/>
      <c r="T411" s="1070"/>
      <c r="U411" s="1070"/>
      <c r="V411" s="1070"/>
      <c r="W411" s="1070"/>
      <c r="X411" s="1070"/>
      <c r="Y411" s="1070"/>
      <c r="Z411" s="1070"/>
      <c r="AA411" s="1070"/>
      <c r="AB411" s="1070"/>
      <c r="AC411" s="1070"/>
      <c r="AD411" s="1070"/>
      <c r="AE411" s="1070"/>
      <c r="AF411" s="1070"/>
      <c r="AG411" s="1070"/>
      <c r="AH411" s="1070"/>
      <c r="AI411" s="1070"/>
      <c r="AJ411" s="1070"/>
      <c r="AK411" s="1070"/>
      <c r="AL411" s="1070"/>
      <c r="AM411" s="1070"/>
      <c r="AN411" s="1070"/>
      <c r="AO411" s="1070"/>
      <c r="AP411" s="1070"/>
      <c r="AQ411" s="1070"/>
      <c r="AR411" s="1070"/>
      <c r="AS411" s="1070"/>
      <c r="AT411" s="1070"/>
      <c r="AU411" s="1070"/>
      <c r="AV411" s="1070"/>
      <c r="AW411" s="1070"/>
      <c r="AX411" s="1070"/>
      <c r="AY411" s="1070"/>
      <c r="AZ411" s="1070"/>
      <c r="BA411" s="1070"/>
      <c r="BB411" s="1070"/>
      <c r="BC411" s="1070"/>
      <c r="BD411" s="1070"/>
      <c r="BE411" s="1070"/>
      <c r="BF411" s="1070"/>
      <c r="BG411" s="1070"/>
      <c r="BH411" s="1070"/>
      <c r="BI411" s="1070"/>
      <c r="BJ411" s="1070"/>
      <c r="BK411" s="1070"/>
      <c r="BL411" s="1070"/>
      <c r="BM411" s="1070"/>
      <c r="BN411" s="1070"/>
      <c r="BO411" s="1070"/>
      <c r="BP411" s="1070"/>
      <c r="BQ411" s="1070"/>
      <c r="BR411" s="1070"/>
      <c r="BS411" s="1070"/>
      <c r="BT411" s="1070"/>
      <c r="BU411" s="1070"/>
      <c r="BV411" s="1070"/>
      <c r="BW411" s="1070"/>
      <c r="BX411" s="1070"/>
      <c r="BY411" s="1070"/>
      <c r="BZ411" s="1070"/>
      <c r="CA411" s="1070"/>
      <c r="CB411" s="1070"/>
      <c r="CC411" s="1070"/>
      <c r="CD411" s="1070"/>
      <c r="CE411" s="1070"/>
      <c r="CF411" s="1070"/>
      <c r="CG411" s="1070"/>
      <c r="CH411" s="1070"/>
      <c r="CI411" s="1070"/>
      <c r="CJ411" s="1070"/>
      <c r="CK411" s="1070"/>
      <c r="CL411" s="1070"/>
      <c r="CM411" s="1070"/>
      <c r="CN411" s="1070"/>
      <c r="CO411" s="1070"/>
      <c r="CP411" s="1070"/>
      <c r="CQ411" s="1070"/>
      <c r="CR411" s="1070"/>
      <c r="CS411" s="1070"/>
      <c r="CT411" s="1070"/>
      <c r="CU411" s="1070"/>
      <c r="CV411" s="1070"/>
      <c r="CW411" s="1070"/>
      <c r="CX411" s="1070"/>
      <c r="CY411" s="1070"/>
      <c r="CZ411" s="1070"/>
      <c r="DA411" s="1070"/>
      <c r="DB411" s="1070"/>
      <c r="DC411" s="1070"/>
      <c r="DD411" s="1070"/>
      <c r="DE411" s="1070"/>
      <c r="DF411" s="1070"/>
      <c r="DG411" s="1070"/>
      <c r="DH411" s="1070"/>
      <c r="DI411" s="1070"/>
      <c r="DJ411" s="1070"/>
    </row>
    <row r="412" spans="1:114" s="1136" customFormat="1" ht="15" x14ac:dyDescent="0.2">
      <c r="A412" s="1393" t="s">
        <v>4820</v>
      </c>
      <c r="B412" s="1641" t="e">
        <f>B377*B391</f>
        <v>#VALUE!</v>
      </c>
      <c r="C412" s="1407"/>
      <c r="D412" s="1407"/>
      <c r="E412" s="1407"/>
      <c r="F412" s="1407"/>
      <c r="G412" s="1407"/>
      <c r="H412" s="1070"/>
      <c r="I412" s="1070"/>
      <c r="J412" s="1070"/>
      <c r="K412" s="1070"/>
      <c r="L412" s="1070"/>
      <c r="M412" s="1070"/>
      <c r="N412" s="1070"/>
      <c r="O412" s="1070"/>
      <c r="P412" s="1070"/>
      <c r="Q412" s="1070"/>
      <c r="R412" s="1070"/>
      <c r="S412" s="1070"/>
      <c r="T412" s="1070"/>
      <c r="U412" s="1070"/>
      <c r="V412" s="1070"/>
      <c r="W412" s="1070"/>
      <c r="X412" s="1070"/>
      <c r="Y412" s="1070"/>
      <c r="Z412" s="1070"/>
      <c r="AA412" s="1070"/>
      <c r="AB412" s="1070"/>
      <c r="AC412" s="1070"/>
      <c r="AD412" s="1070"/>
      <c r="AE412" s="1070"/>
      <c r="AF412" s="1070"/>
      <c r="AG412" s="1070"/>
      <c r="AH412" s="1070"/>
      <c r="AI412" s="1070"/>
      <c r="AJ412" s="1070"/>
      <c r="AK412" s="1070"/>
      <c r="AL412" s="1070"/>
      <c r="AM412" s="1070"/>
      <c r="AN412" s="1070"/>
      <c r="AO412" s="1070"/>
      <c r="AP412" s="1070"/>
      <c r="AQ412" s="1070"/>
      <c r="AR412" s="1070"/>
      <c r="AS412" s="1070"/>
      <c r="AT412" s="1070"/>
      <c r="AU412" s="1070"/>
      <c r="AV412" s="1070"/>
      <c r="AW412" s="1070"/>
      <c r="AX412" s="1070"/>
      <c r="AY412" s="1070"/>
      <c r="AZ412" s="1070"/>
      <c r="BA412" s="1070"/>
      <c r="BB412" s="1070"/>
      <c r="BC412" s="1070"/>
      <c r="BD412" s="1070"/>
      <c r="BE412" s="1070"/>
      <c r="BF412" s="1070"/>
      <c r="BG412" s="1070"/>
      <c r="BH412" s="1070"/>
      <c r="BI412" s="1070"/>
      <c r="BJ412" s="1070"/>
      <c r="BK412" s="1070"/>
      <c r="BL412" s="1070"/>
      <c r="BM412" s="1070"/>
      <c r="BN412" s="1070"/>
      <c r="BO412" s="1070"/>
      <c r="BP412" s="1070"/>
      <c r="BQ412" s="1070"/>
      <c r="BR412" s="1070"/>
      <c r="BS412" s="1070"/>
      <c r="BT412" s="1070"/>
      <c r="BU412" s="1070"/>
      <c r="BV412" s="1070"/>
      <c r="BW412" s="1070"/>
      <c r="BX412" s="1070"/>
      <c r="BY412" s="1070"/>
      <c r="BZ412" s="1070"/>
      <c r="CA412" s="1070"/>
      <c r="CB412" s="1070"/>
      <c r="CC412" s="1070"/>
      <c r="CD412" s="1070"/>
      <c r="CE412" s="1070"/>
      <c r="CF412" s="1070"/>
      <c r="CG412" s="1070"/>
      <c r="CH412" s="1070"/>
      <c r="CI412" s="1070"/>
      <c r="CJ412" s="1070"/>
      <c r="CK412" s="1070"/>
      <c r="CL412" s="1070"/>
      <c r="CM412" s="1070"/>
      <c r="CN412" s="1070"/>
      <c r="CO412" s="1070"/>
      <c r="CP412" s="1070"/>
      <c r="CQ412" s="1070"/>
      <c r="CR412" s="1070"/>
      <c r="CS412" s="1070"/>
      <c r="CT412" s="1070"/>
      <c r="CU412" s="1070"/>
      <c r="CV412" s="1070"/>
      <c r="CW412" s="1070"/>
      <c r="CX412" s="1070"/>
      <c r="CY412" s="1070"/>
      <c r="CZ412" s="1070"/>
      <c r="DA412" s="1070"/>
      <c r="DB412" s="1070"/>
      <c r="DC412" s="1070"/>
      <c r="DD412" s="1070"/>
      <c r="DE412" s="1070"/>
      <c r="DF412" s="1070"/>
      <c r="DG412" s="1070"/>
      <c r="DH412" s="1070"/>
      <c r="DI412" s="1070"/>
      <c r="DJ412" s="1070"/>
    </row>
    <row r="413" spans="1:114" s="1136" customFormat="1" ht="15" x14ac:dyDescent="0.2">
      <c r="A413" s="1393" t="s">
        <v>4821</v>
      </c>
      <c r="B413" s="1641" t="e">
        <f>B377*B397</f>
        <v>#VALUE!</v>
      </c>
      <c r="C413" s="1407"/>
      <c r="D413" s="1407"/>
      <c r="E413" s="1407"/>
      <c r="F413" s="1407"/>
      <c r="G413" s="1407"/>
      <c r="H413" s="1070"/>
      <c r="I413" s="1070"/>
      <c r="J413" s="1070"/>
      <c r="K413" s="1070"/>
      <c r="L413" s="1070"/>
      <c r="M413" s="1070"/>
      <c r="N413" s="1070"/>
      <c r="O413" s="1070"/>
      <c r="P413" s="1070"/>
      <c r="Q413" s="1070"/>
      <c r="R413" s="1070"/>
      <c r="S413" s="1070"/>
      <c r="T413" s="1070"/>
      <c r="U413" s="1070"/>
      <c r="V413" s="1070"/>
      <c r="W413" s="1070"/>
      <c r="X413" s="1070"/>
      <c r="Y413" s="1070"/>
      <c r="Z413" s="1070"/>
      <c r="AA413" s="1070"/>
      <c r="AB413" s="1070"/>
      <c r="AC413" s="1070"/>
      <c r="AD413" s="1070"/>
      <c r="AE413" s="1070"/>
      <c r="AF413" s="1070"/>
      <c r="AG413" s="1070"/>
      <c r="AH413" s="1070"/>
      <c r="AI413" s="1070"/>
      <c r="AJ413" s="1070"/>
      <c r="AK413" s="1070"/>
      <c r="AL413" s="1070"/>
      <c r="AM413" s="1070"/>
      <c r="AN413" s="1070"/>
      <c r="AO413" s="1070"/>
      <c r="AP413" s="1070"/>
      <c r="AQ413" s="1070"/>
      <c r="AR413" s="1070"/>
      <c r="AS413" s="1070"/>
      <c r="AT413" s="1070"/>
      <c r="AU413" s="1070"/>
      <c r="AV413" s="1070"/>
      <c r="AW413" s="1070"/>
      <c r="AX413" s="1070"/>
      <c r="AY413" s="1070"/>
      <c r="AZ413" s="1070"/>
      <c r="BA413" s="1070"/>
      <c r="BB413" s="1070"/>
      <c r="BC413" s="1070"/>
      <c r="BD413" s="1070"/>
      <c r="BE413" s="1070"/>
      <c r="BF413" s="1070"/>
      <c r="BG413" s="1070"/>
      <c r="BH413" s="1070"/>
      <c r="BI413" s="1070"/>
      <c r="BJ413" s="1070"/>
      <c r="BK413" s="1070"/>
      <c r="BL413" s="1070"/>
      <c r="BM413" s="1070"/>
      <c r="BN413" s="1070"/>
      <c r="BO413" s="1070"/>
      <c r="BP413" s="1070"/>
      <c r="BQ413" s="1070"/>
      <c r="BR413" s="1070"/>
      <c r="BS413" s="1070"/>
      <c r="BT413" s="1070"/>
      <c r="BU413" s="1070"/>
      <c r="BV413" s="1070"/>
      <c r="BW413" s="1070"/>
      <c r="BX413" s="1070"/>
      <c r="BY413" s="1070"/>
      <c r="BZ413" s="1070"/>
      <c r="CA413" s="1070"/>
      <c r="CB413" s="1070"/>
      <c r="CC413" s="1070"/>
      <c r="CD413" s="1070"/>
      <c r="CE413" s="1070"/>
      <c r="CF413" s="1070"/>
      <c r="CG413" s="1070"/>
      <c r="CH413" s="1070"/>
      <c r="CI413" s="1070"/>
      <c r="CJ413" s="1070"/>
      <c r="CK413" s="1070"/>
      <c r="CL413" s="1070"/>
      <c r="CM413" s="1070"/>
      <c r="CN413" s="1070"/>
      <c r="CO413" s="1070"/>
      <c r="CP413" s="1070"/>
      <c r="CQ413" s="1070"/>
      <c r="CR413" s="1070"/>
      <c r="CS413" s="1070"/>
      <c r="CT413" s="1070"/>
      <c r="CU413" s="1070"/>
      <c r="CV413" s="1070"/>
      <c r="CW413" s="1070"/>
      <c r="CX413" s="1070"/>
      <c r="CY413" s="1070"/>
      <c r="CZ413" s="1070"/>
      <c r="DA413" s="1070"/>
      <c r="DB413" s="1070"/>
      <c r="DC413" s="1070"/>
      <c r="DD413" s="1070"/>
      <c r="DE413" s="1070"/>
      <c r="DF413" s="1070"/>
      <c r="DG413" s="1070"/>
      <c r="DH413" s="1070"/>
      <c r="DI413" s="1070"/>
      <c r="DJ413" s="1070"/>
    </row>
    <row r="414" spans="1:114" s="1136" customFormat="1" ht="15" x14ac:dyDescent="0.2">
      <c r="A414" s="1393" t="s">
        <v>4822</v>
      </c>
      <c r="B414" s="1641" t="e">
        <f>B377*B404</f>
        <v>#VALUE!</v>
      </c>
      <c r="C414" s="1407"/>
      <c r="D414" s="1407"/>
      <c r="E414" s="1407"/>
      <c r="F414" s="1407"/>
      <c r="G414" s="1407"/>
      <c r="H414" s="1070"/>
      <c r="I414" s="1070"/>
      <c r="J414" s="1070"/>
      <c r="K414" s="1070"/>
      <c r="L414" s="1070"/>
      <c r="M414" s="1070"/>
      <c r="N414" s="1070"/>
      <c r="O414" s="1070"/>
      <c r="P414" s="1070"/>
      <c r="Q414" s="1070"/>
      <c r="R414" s="1070"/>
      <c r="S414" s="1070"/>
      <c r="T414" s="1070"/>
      <c r="U414" s="1070"/>
      <c r="V414" s="1070"/>
      <c r="W414" s="1070"/>
      <c r="X414" s="1070"/>
      <c r="Y414" s="1070"/>
      <c r="Z414" s="1070"/>
      <c r="AA414" s="1070"/>
      <c r="AB414" s="1070"/>
      <c r="AC414" s="1070"/>
      <c r="AD414" s="1070"/>
      <c r="AE414" s="1070"/>
      <c r="AF414" s="1070"/>
      <c r="AG414" s="1070"/>
      <c r="AH414" s="1070"/>
      <c r="AI414" s="1070"/>
      <c r="AJ414" s="1070"/>
      <c r="AK414" s="1070"/>
      <c r="AL414" s="1070"/>
      <c r="AM414" s="1070"/>
      <c r="AN414" s="1070"/>
      <c r="AO414" s="1070"/>
      <c r="AP414" s="1070"/>
      <c r="AQ414" s="1070"/>
      <c r="AR414" s="1070"/>
      <c r="AS414" s="1070"/>
      <c r="AT414" s="1070"/>
      <c r="AU414" s="1070"/>
      <c r="AV414" s="1070"/>
      <c r="AW414" s="1070"/>
      <c r="AX414" s="1070"/>
      <c r="AY414" s="1070"/>
      <c r="AZ414" s="1070"/>
      <c r="BA414" s="1070"/>
      <c r="BB414" s="1070"/>
      <c r="BC414" s="1070"/>
      <c r="BD414" s="1070"/>
      <c r="BE414" s="1070"/>
      <c r="BF414" s="1070"/>
      <c r="BG414" s="1070"/>
      <c r="BH414" s="1070"/>
      <c r="BI414" s="1070"/>
      <c r="BJ414" s="1070"/>
      <c r="BK414" s="1070"/>
      <c r="BL414" s="1070"/>
      <c r="BM414" s="1070"/>
      <c r="BN414" s="1070"/>
      <c r="BO414" s="1070"/>
      <c r="BP414" s="1070"/>
      <c r="BQ414" s="1070"/>
      <c r="BR414" s="1070"/>
      <c r="BS414" s="1070"/>
      <c r="BT414" s="1070"/>
      <c r="BU414" s="1070"/>
      <c r="BV414" s="1070"/>
      <c r="BW414" s="1070"/>
      <c r="BX414" s="1070"/>
      <c r="BY414" s="1070"/>
      <c r="BZ414" s="1070"/>
      <c r="CA414" s="1070"/>
      <c r="CB414" s="1070"/>
      <c r="CC414" s="1070"/>
      <c r="CD414" s="1070"/>
      <c r="CE414" s="1070"/>
      <c r="CF414" s="1070"/>
      <c r="CG414" s="1070"/>
      <c r="CH414" s="1070"/>
      <c r="CI414" s="1070"/>
      <c r="CJ414" s="1070"/>
      <c r="CK414" s="1070"/>
      <c r="CL414" s="1070"/>
      <c r="CM414" s="1070"/>
      <c r="CN414" s="1070"/>
      <c r="CO414" s="1070"/>
      <c r="CP414" s="1070"/>
      <c r="CQ414" s="1070"/>
      <c r="CR414" s="1070"/>
      <c r="CS414" s="1070"/>
      <c r="CT414" s="1070"/>
      <c r="CU414" s="1070"/>
      <c r="CV414" s="1070"/>
      <c r="CW414" s="1070"/>
      <c r="CX414" s="1070"/>
      <c r="CY414" s="1070"/>
      <c r="CZ414" s="1070"/>
      <c r="DA414" s="1070"/>
      <c r="DB414" s="1070"/>
      <c r="DC414" s="1070"/>
      <c r="DD414" s="1070"/>
      <c r="DE414" s="1070"/>
      <c r="DF414" s="1070"/>
      <c r="DG414" s="1070"/>
      <c r="DH414" s="1070"/>
      <c r="DI414" s="1070"/>
      <c r="DJ414" s="1070"/>
    </row>
    <row r="415" spans="1:114" s="1136" customFormat="1" ht="15" x14ac:dyDescent="0.2">
      <c r="A415" s="1393" t="s">
        <v>4823</v>
      </c>
      <c r="B415" s="1641" t="e">
        <f>B377*B409</f>
        <v>#VALUE!</v>
      </c>
      <c r="C415" s="1407"/>
      <c r="D415" s="1407"/>
      <c r="E415" s="1407"/>
      <c r="F415" s="1407"/>
      <c r="G415" s="1407"/>
      <c r="H415" s="1070"/>
      <c r="I415" s="1070"/>
      <c r="J415" s="1070"/>
      <c r="K415" s="1070"/>
      <c r="L415" s="1070"/>
      <c r="M415" s="1070"/>
      <c r="N415" s="1070"/>
      <c r="O415" s="1070"/>
      <c r="P415" s="1070"/>
      <c r="Q415" s="1070"/>
      <c r="R415" s="1070"/>
      <c r="S415" s="1070"/>
      <c r="T415" s="1070"/>
      <c r="U415" s="1070"/>
      <c r="V415" s="1070"/>
      <c r="W415" s="1070"/>
      <c r="X415" s="1070"/>
      <c r="Y415" s="1070"/>
      <c r="Z415" s="1070"/>
      <c r="AA415" s="1070"/>
      <c r="AB415" s="1070"/>
      <c r="AC415" s="1070"/>
      <c r="AD415" s="1070"/>
      <c r="AE415" s="1070"/>
      <c r="AF415" s="1070"/>
      <c r="AG415" s="1070"/>
      <c r="AH415" s="1070"/>
      <c r="AI415" s="1070"/>
      <c r="AJ415" s="1070"/>
      <c r="AK415" s="1070"/>
      <c r="AL415" s="1070"/>
      <c r="AM415" s="1070"/>
      <c r="AN415" s="1070"/>
      <c r="AO415" s="1070"/>
      <c r="AP415" s="1070"/>
      <c r="AQ415" s="1070"/>
      <c r="AR415" s="1070"/>
      <c r="AS415" s="1070"/>
      <c r="AT415" s="1070"/>
      <c r="AU415" s="1070"/>
      <c r="AV415" s="1070"/>
      <c r="AW415" s="1070"/>
      <c r="AX415" s="1070"/>
      <c r="AY415" s="1070"/>
      <c r="AZ415" s="1070"/>
      <c r="BA415" s="1070"/>
      <c r="BB415" s="1070"/>
      <c r="BC415" s="1070"/>
      <c r="BD415" s="1070"/>
      <c r="BE415" s="1070"/>
      <c r="BF415" s="1070"/>
      <c r="BG415" s="1070"/>
      <c r="BH415" s="1070"/>
      <c r="BI415" s="1070"/>
      <c r="BJ415" s="1070"/>
      <c r="BK415" s="1070"/>
      <c r="BL415" s="1070"/>
      <c r="BM415" s="1070"/>
      <c r="BN415" s="1070"/>
      <c r="BO415" s="1070"/>
      <c r="BP415" s="1070"/>
      <c r="BQ415" s="1070"/>
      <c r="BR415" s="1070"/>
      <c r="BS415" s="1070"/>
      <c r="BT415" s="1070"/>
      <c r="BU415" s="1070"/>
      <c r="BV415" s="1070"/>
      <c r="BW415" s="1070"/>
      <c r="BX415" s="1070"/>
      <c r="BY415" s="1070"/>
      <c r="BZ415" s="1070"/>
      <c r="CA415" s="1070"/>
      <c r="CB415" s="1070"/>
      <c r="CC415" s="1070"/>
      <c r="CD415" s="1070"/>
      <c r="CE415" s="1070"/>
      <c r="CF415" s="1070"/>
      <c r="CG415" s="1070"/>
      <c r="CH415" s="1070"/>
      <c r="CI415" s="1070"/>
      <c r="CJ415" s="1070"/>
      <c r="CK415" s="1070"/>
      <c r="CL415" s="1070"/>
      <c r="CM415" s="1070"/>
      <c r="CN415" s="1070"/>
      <c r="CO415" s="1070"/>
      <c r="CP415" s="1070"/>
      <c r="CQ415" s="1070"/>
      <c r="CR415" s="1070"/>
      <c r="CS415" s="1070"/>
      <c r="CT415" s="1070"/>
      <c r="CU415" s="1070"/>
      <c r="CV415" s="1070"/>
      <c r="CW415" s="1070"/>
      <c r="CX415" s="1070"/>
      <c r="CY415" s="1070"/>
      <c r="CZ415" s="1070"/>
      <c r="DA415" s="1070"/>
      <c r="DB415" s="1070"/>
      <c r="DC415" s="1070"/>
      <c r="DD415" s="1070"/>
      <c r="DE415" s="1070"/>
      <c r="DF415" s="1070"/>
      <c r="DG415" s="1070"/>
      <c r="DH415" s="1070"/>
      <c r="DI415" s="1070"/>
      <c r="DJ415" s="1070"/>
    </row>
    <row r="416" spans="1:114" s="1136" customFormat="1" ht="15.75" x14ac:dyDescent="0.25">
      <c r="A416" s="1968" t="s">
        <v>3721</v>
      </c>
      <c r="B416" s="1046"/>
      <c r="C416" s="1070"/>
      <c r="D416" s="1070"/>
      <c r="E416" s="1070"/>
      <c r="F416" s="1070"/>
      <c r="G416" s="1070"/>
      <c r="H416" s="1070"/>
      <c r="I416" s="1070"/>
      <c r="J416" s="1070"/>
      <c r="K416" s="1070"/>
      <c r="L416" s="1070"/>
      <c r="M416" s="1070"/>
      <c r="N416" s="1070"/>
      <c r="O416" s="1070"/>
      <c r="P416" s="1070"/>
      <c r="Q416" s="1070"/>
      <c r="R416" s="1070"/>
      <c r="S416" s="1070"/>
      <c r="T416" s="1070"/>
      <c r="U416" s="1070"/>
      <c r="V416" s="1070"/>
      <c r="W416" s="1070"/>
      <c r="X416" s="1070"/>
      <c r="Y416" s="1070"/>
      <c r="Z416" s="1070"/>
      <c r="AA416" s="1070"/>
      <c r="AB416" s="1070"/>
      <c r="AC416" s="1070"/>
      <c r="AD416" s="1070"/>
      <c r="AE416" s="1070"/>
      <c r="AF416" s="1070"/>
      <c r="AG416" s="1070"/>
      <c r="AH416" s="1070"/>
      <c r="AI416" s="1070"/>
      <c r="AJ416" s="1070"/>
      <c r="AK416" s="1070"/>
      <c r="AL416" s="1070"/>
      <c r="AM416" s="1070"/>
      <c r="AN416" s="1070"/>
      <c r="AO416" s="1070"/>
      <c r="AP416" s="1070"/>
      <c r="AQ416" s="1070"/>
      <c r="AR416" s="1070"/>
      <c r="AS416" s="1070"/>
      <c r="AT416" s="1070"/>
      <c r="AU416" s="1070"/>
      <c r="AV416" s="1070"/>
      <c r="AW416" s="1070"/>
      <c r="AX416" s="1070"/>
      <c r="AY416" s="1070"/>
      <c r="AZ416" s="1070"/>
      <c r="BA416" s="1070"/>
      <c r="BB416" s="1070"/>
      <c r="BC416" s="1070"/>
      <c r="BD416" s="1070"/>
      <c r="BE416" s="1070"/>
      <c r="BF416" s="1070"/>
      <c r="BG416" s="1070"/>
      <c r="BH416" s="1070"/>
      <c r="BI416" s="1070"/>
      <c r="BJ416" s="1070"/>
      <c r="BK416" s="1070"/>
      <c r="BL416" s="1070"/>
      <c r="BM416" s="1070"/>
      <c r="BN416" s="1070"/>
      <c r="BO416" s="1070"/>
      <c r="BP416" s="1070"/>
      <c r="BQ416" s="1070"/>
      <c r="BR416" s="1070"/>
      <c r="BS416" s="1070"/>
      <c r="BT416" s="1070"/>
      <c r="BU416" s="1070"/>
      <c r="BV416" s="1070"/>
      <c r="BW416" s="1070"/>
      <c r="BX416" s="1070"/>
      <c r="BY416" s="1070"/>
      <c r="BZ416" s="1070"/>
      <c r="CA416" s="1070"/>
      <c r="CB416" s="1070"/>
      <c r="CC416" s="1070"/>
      <c r="CD416" s="1070"/>
      <c r="CE416" s="1070"/>
      <c r="CF416" s="1070"/>
      <c r="CG416" s="1070"/>
      <c r="CH416" s="1070"/>
      <c r="CI416" s="1070"/>
      <c r="CJ416" s="1070"/>
      <c r="CK416" s="1070"/>
      <c r="CL416" s="1070"/>
      <c r="CM416" s="1070"/>
      <c r="CN416" s="1070"/>
      <c r="CO416" s="1070"/>
      <c r="CP416" s="1070"/>
      <c r="CQ416" s="1070"/>
      <c r="CR416" s="1070"/>
      <c r="CS416" s="1070"/>
      <c r="CT416" s="1070"/>
      <c r="CU416" s="1070"/>
      <c r="CV416" s="1070"/>
      <c r="CW416" s="1070"/>
      <c r="CX416" s="1070"/>
      <c r="CY416" s="1070"/>
      <c r="CZ416" s="1070"/>
      <c r="DA416" s="1070"/>
      <c r="DB416" s="1070"/>
      <c r="DC416" s="1070"/>
      <c r="DD416" s="1070"/>
      <c r="DE416" s="1070"/>
      <c r="DF416" s="1070"/>
      <c r="DG416" s="1070"/>
      <c r="DH416" s="1070"/>
      <c r="DI416" s="1070"/>
      <c r="DJ416" s="1070"/>
    </row>
    <row r="417" spans="1:114" s="1136" customFormat="1" ht="15" x14ac:dyDescent="0.2">
      <c r="A417" s="1393" t="s">
        <v>3720</v>
      </c>
      <c r="B417" s="1641" t="e">
        <f>B294*B411</f>
        <v>#VALUE!</v>
      </c>
      <c r="C417" s="1407"/>
      <c r="D417" s="1407"/>
      <c r="E417" s="1407"/>
      <c r="F417" s="1407"/>
      <c r="G417" s="1407"/>
      <c r="H417" s="1070"/>
      <c r="I417" s="1070"/>
      <c r="J417" s="1070"/>
      <c r="K417" s="1070"/>
      <c r="L417" s="1070"/>
      <c r="M417" s="1070"/>
      <c r="N417" s="1070"/>
      <c r="O417" s="1070"/>
      <c r="P417" s="1070"/>
      <c r="Q417" s="1070"/>
      <c r="R417" s="1070"/>
      <c r="S417" s="1070"/>
      <c r="T417" s="1070"/>
      <c r="U417" s="1070"/>
      <c r="V417" s="1070"/>
      <c r="W417" s="1070"/>
      <c r="X417" s="1070"/>
      <c r="Y417" s="1070"/>
      <c r="Z417" s="1070"/>
      <c r="AA417" s="1070"/>
      <c r="AB417" s="1070"/>
      <c r="AC417" s="1070"/>
      <c r="AD417" s="1070"/>
      <c r="AE417" s="1070"/>
      <c r="AF417" s="1070"/>
      <c r="AG417" s="1070"/>
      <c r="AH417" s="1070"/>
      <c r="AI417" s="1070"/>
      <c r="AJ417" s="1070"/>
      <c r="AK417" s="1070"/>
      <c r="AL417" s="1070"/>
      <c r="AM417" s="1070"/>
      <c r="AN417" s="1070"/>
      <c r="AO417" s="1070"/>
      <c r="AP417" s="1070"/>
      <c r="AQ417" s="1070"/>
      <c r="AR417" s="1070"/>
      <c r="AS417" s="1070"/>
      <c r="AT417" s="1070"/>
      <c r="AU417" s="1070"/>
      <c r="AV417" s="1070"/>
      <c r="AW417" s="1070"/>
      <c r="AX417" s="1070"/>
      <c r="AY417" s="1070"/>
      <c r="AZ417" s="1070"/>
      <c r="BA417" s="1070"/>
      <c r="BB417" s="1070"/>
      <c r="BC417" s="1070"/>
      <c r="BD417" s="1070"/>
      <c r="BE417" s="1070"/>
      <c r="BF417" s="1070"/>
      <c r="BG417" s="1070"/>
      <c r="BH417" s="1070"/>
      <c r="BI417" s="1070"/>
      <c r="BJ417" s="1070"/>
      <c r="BK417" s="1070"/>
      <c r="BL417" s="1070"/>
      <c r="BM417" s="1070"/>
      <c r="BN417" s="1070"/>
      <c r="BO417" s="1070"/>
      <c r="BP417" s="1070"/>
      <c r="BQ417" s="1070"/>
      <c r="BR417" s="1070"/>
      <c r="BS417" s="1070"/>
      <c r="BT417" s="1070"/>
      <c r="BU417" s="1070"/>
      <c r="BV417" s="1070"/>
      <c r="BW417" s="1070"/>
      <c r="BX417" s="1070"/>
      <c r="BY417" s="1070"/>
      <c r="BZ417" s="1070"/>
      <c r="CA417" s="1070"/>
      <c r="CB417" s="1070"/>
      <c r="CC417" s="1070"/>
      <c r="CD417" s="1070"/>
      <c r="CE417" s="1070"/>
      <c r="CF417" s="1070"/>
      <c r="CG417" s="1070"/>
      <c r="CH417" s="1070"/>
      <c r="CI417" s="1070"/>
      <c r="CJ417" s="1070"/>
      <c r="CK417" s="1070"/>
      <c r="CL417" s="1070"/>
      <c r="CM417" s="1070"/>
      <c r="CN417" s="1070"/>
      <c r="CO417" s="1070"/>
      <c r="CP417" s="1070"/>
      <c r="CQ417" s="1070"/>
      <c r="CR417" s="1070"/>
      <c r="CS417" s="1070"/>
      <c r="CT417" s="1070"/>
      <c r="CU417" s="1070"/>
      <c r="CV417" s="1070"/>
      <c r="CW417" s="1070"/>
      <c r="CX417" s="1070"/>
      <c r="CY417" s="1070"/>
      <c r="CZ417" s="1070"/>
      <c r="DA417" s="1070"/>
      <c r="DB417" s="1070"/>
      <c r="DC417" s="1070"/>
      <c r="DD417" s="1070"/>
      <c r="DE417" s="1070"/>
      <c r="DF417" s="1070"/>
      <c r="DG417" s="1070"/>
      <c r="DH417" s="1070"/>
      <c r="DI417" s="1070"/>
      <c r="DJ417" s="1070"/>
    </row>
    <row r="418" spans="1:114" s="1136" customFormat="1" ht="15" x14ac:dyDescent="0.2">
      <c r="A418" s="1393" t="s">
        <v>4820</v>
      </c>
      <c r="B418" s="1641" t="e">
        <f>B311*B412</f>
        <v>#VALUE!</v>
      </c>
      <c r="C418" s="1407"/>
      <c r="D418" s="1407"/>
      <c r="E418" s="1407"/>
      <c r="F418" s="1407"/>
      <c r="G418" s="1407"/>
      <c r="H418" s="1070"/>
      <c r="I418" s="1070"/>
      <c r="J418" s="1070"/>
      <c r="K418" s="1070"/>
      <c r="L418" s="1070"/>
      <c r="M418" s="1070"/>
      <c r="N418" s="1070"/>
      <c r="O418" s="1070"/>
      <c r="P418" s="1070"/>
      <c r="Q418" s="1070"/>
      <c r="R418" s="1070"/>
      <c r="S418" s="1070"/>
      <c r="T418" s="1070"/>
      <c r="U418" s="1070"/>
      <c r="V418" s="1070"/>
      <c r="W418" s="1070"/>
      <c r="X418" s="1070"/>
      <c r="Y418" s="1070"/>
      <c r="Z418" s="1070"/>
      <c r="AA418" s="1070"/>
      <c r="AB418" s="1070"/>
      <c r="AC418" s="1070"/>
      <c r="AD418" s="1070"/>
      <c r="AE418" s="1070"/>
      <c r="AF418" s="1070"/>
      <c r="AG418" s="1070"/>
      <c r="AH418" s="1070"/>
      <c r="AI418" s="1070"/>
      <c r="AJ418" s="1070"/>
      <c r="AK418" s="1070"/>
      <c r="AL418" s="1070"/>
      <c r="AM418" s="1070"/>
      <c r="AN418" s="1070"/>
      <c r="AO418" s="1070"/>
      <c r="AP418" s="1070"/>
      <c r="AQ418" s="1070"/>
      <c r="AR418" s="1070"/>
      <c r="AS418" s="1070"/>
      <c r="AT418" s="1070"/>
      <c r="AU418" s="1070"/>
      <c r="AV418" s="1070"/>
      <c r="AW418" s="1070"/>
      <c r="AX418" s="1070"/>
      <c r="AY418" s="1070"/>
      <c r="AZ418" s="1070"/>
      <c r="BA418" s="1070"/>
      <c r="BB418" s="1070"/>
      <c r="BC418" s="1070"/>
      <c r="BD418" s="1070"/>
      <c r="BE418" s="1070"/>
      <c r="BF418" s="1070"/>
      <c r="BG418" s="1070"/>
      <c r="BH418" s="1070"/>
      <c r="BI418" s="1070"/>
      <c r="BJ418" s="1070"/>
      <c r="BK418" s="1070"/>
      <c r="BL418" s="1070"/>
      <c r="BM418" s="1070"/>
      <c r="BN418" s="1070"/>
      <c r="BO418" s="1070"/>
      <c r="BP418" s="1070"/>
      <c r="BQ418" s="1070"/>
      <c r="BR418" s="1070"/>
      <c r="BS418" s="1070"/>
      <c r="BT418" s="1070"/>
      <c r="BU418" s="1070"/>
      <c r="BV418" s="1070"/>
      <c r="BW418" s="1070"/>
      <c r="BX418" s="1070"/>
      <c r="BY418" s="1070"/>
      <c r="BZ418" s="1070"/>
      <c r="CA418" s="1070"/>
      <c r="CB418" s="1070"/>
      <c r="CC418" s="1070"/>
      <c r="CD418" s="1070"/>
      <c r="CE418" s="1070"/>
      <c r="CF418" s="1070"/>
      <c r="CG418" s="1070"/>
      <c r="CH418" s="1070"/>
      <c r="CI418" s="1070"/>
      <c r="CJ418" s="1070"/>
      <c r="CK418" s="1070"/>
      <c r="CL418" s="1070"/>
      <c r="CM418" s="1070"/>
      <c r="CN418" s="1070"/>
      <c r="CO418" s="1070"/>
      <c r="CP418" s="1070"/>
      <c r="CQ418" s="1070"/>
      <c r="CR418" s="1070"/>
      <c r="CS418" s="1070"/>
      <c r="CT418" s="1070"/>
      <c r="CU418" s="1070"/>
      <c r="CV418" s="1070"/>
      <c r="CW418" s="1070"/>
      <c r="CX418" s="1070"/>
      <c r="CY418" s="1070"/>
      <c r="CZ418" s="1070"/>
      <c r="DA418" s="1070"/>
      <c r="DB418" s="1070"/>
      <c r="DC418" s="1070"/>
      <c r="DD418" s="1070"/>
      <c r="DE418" s="1070"/>
      <c r="DF418" s="1070"/>
      <c r="DG418" s="1070"/>
      <c r="DH418" s="1070"/>
      <c r="DI418" s="1070"/>
      <c r="DJ418" s="1070"/>
    </row>
    <row r="419" spans="1:114" s="1136" customFormat="1" ht="15" x14ac:dyDescent="0.2">
      <c r="A419" s="1393" t="s">
        <v>4821</v>
      </c>
      <c r="B419" s="1641" t="e">
        <f>B325*B413</f>
        <v>#VALUE!</v>
      </c>
      <c r="C419" s="1407"/>
      <c r="D419" s="1407"/>
      <c r="E419" s="1407"/>
      <c r="F419" s="1407"/>
      <c r="G419" s="1407"/>
      <c r="H419" s="1070"/>
      <c r="I419" s="1070"/>
      <c r="J419" s="1070"/>
      <c r="K419" s="1070"/>
      <c r="L419" s="1070"/>
      <c r="M419" s="1070"/>
      <c r="N419" s="1070"/>
      <c r="O419" s="1070"/>
      <c r="P419" s="1070"/>
      <c r="Q419" s="1070"/>
      <c r="R419" s="1070"/>
      <c r="S419" s="1070"/>
      <c r="T419" s="1070"/>
      <c r="U419" s="1070"/>
      <c r="V419" s="1070"/>
      <c r="W419" s="1070"/>
      <c r="X419" s="1070"/>
      <c r="Y419" s="1070"/>
      <c r="Z419" s="1070"/>
      <c r="AA419" s="1070"/>
      <c r="AB419" s="1070"/>
      <c r="AC419" s="1070"/>
      <c r="AD419" s="1070"/>
      <c r="AE419" s="1070"/>
      <c r="AF419" s="1070"/>
      <c r="AG419" s="1070"/>
      <c r="AH419" s="1070"/>
      <c r="AI419" s="1070"/>
      <c r="AJ419" s="1070"/>
      <c r="AK419" s="1070"/>
      <c r="AL419" s="1070"/>
      <c r="AM419" s="1070"/>
      <c r="AN419" s="1070"/>
      <c r="AO419" s="1070"/>
      <c r="AP419" s="1070"/>
      <c r="AQ419" s="1070"/>
      <c r="AR419" s="1070"/>
      <c r="AS419" s="1070"/>
      <c r="AT419" s="1070"/>
      <c r="AU419" s="1070"/>
      <c r="AV419" s="1070"/>
      <c r="AW419" s="1070"/>
      <c r="AX419" s="1070"/>
      <c r="AY419" s="1070"/>
      <c r="AZ419" s="1070"/>
      <c r="BA419" s="1070"/>
      <c r="BB419" s="1070"/>
      <c r="BC419" s="1070"/>
      <c r="BD419" s="1070"/>
      <c r="BE419" s="1070"/>
      <c r="BF419" s="1070"/>
      <c r="BG419" s="1070"/>
      <c r="BH419" s="1070"/>
      <c r="BI419" s="1070"/>
      <c r="BJ419" s="1070"/>
      <c r="BK419" s="1070"/>
      <c r="BL419" s="1070"/>
      <c r="BM419" s="1070"/>
      <c r="BN419" s="1070"/>
      <c r="BO419" s="1070"/>
      <c r="BP419" s="1070"/>
      <c r="BQ419" s="1070"/>
      <c r="BR419" s="1070"/>
      <c r="BS419" s="1070"/>
      <c r="BT419" s="1070"/>
      <c r="BU419" s="1070"/>
      <c r="BV419" s="1070"/>
      <c r="BW419" s="1070"/>
      <c r="BX419" s="1070"/>
      <c r="BY419" s="1070"/>
      <c r="BZ419" s="1070"/>
      <c r="CA419" s="1070"/>
      <c r="CB419" s="1070"/>
      <c r="CC419" s="1070"/>
      <c r="CD419" s="1070"/>
      <c r="CE419" s="1070"/>
      <c r="CF419" s="1070"/>
      <c r="CG419" s="1070"/>
      <c r="CH419" s="1070"/>
      <c r="CI419" s="1070"/>
      <c r="CJ419" s="1070"/>
      <c r="CK419" s="1070"/>
      <c r="CL419" s="1070"/>
      <c r="CM419" s="1070"/>
      <c r="CN419" s="1070"/>
      <c r="CO419" s="1070"/>
      <c r="CP419" s="1070"/>
      <c r="CQ419" s="1070"/>
      <c r="CR419" s="1070"/>
      <c r="CS419" s="1070"/>
      <c r="CT419" s="1070"/>
      <c r="CU419" s="1070"/>
      <c r="CV419" s="1070"/>
      <c r="CW419" s="1070"/>
      <c r="CX419" s="1070"/>
      <c r="CY419" s="1070"/>
      <c r="CZ419" s="1070"/>
      <c r="DA419" s="1070"/>
      <c r="DB419" s="1070"/>
      <c r="DC419" s="1070"/>
      <c r="DD419" s="1070"/>
      <c r="DE419" s="1070"/>
      <c r="DF419" s="1070"/>
      <c r="DG419" s="1070"/>
      <c r="DH419" s="1070"/>
      <c r="DI419" s="1070"/>
      <c r="DJ419" s="1070"/>
    </row>
    <row r="420" spans="1:114" s="1136" customFormat="1" ht="15" x14ac:dyDescent="0.2">
      <c r="A420" s="1393" t="s">
        <v>4822</v>
      </c>
      <c r="B420" s="1641" t="e">
        <f>B332*B414</f>
        <v>#VALUE!</v>
      </c>
      <c r="C420" s="1407"/>
      <c r="D420" s="1407"/>
      <c r="E420" s="1407"/>
      <c r="F420" s="1407"/>
      <c r="G420" s="1407"/>
      <c r="H420" s="1070"/>
      <c r="I420" s="1070"/>
      <c r="J420" s="1070"/>
      <c r="K420" s="1070"/>
      <c r="L420" s="1070"/>
      <c r="M420" s="1070"/>
      <c r="N420" s="1070"/>
      <c r="O420" s="1070"/>
      <c r="P420" s="1070"/>
      <c r="Q420" s="1070"/>
      <c r="R420" s="1070"/>
      <c r="S420" s="1070"/>
      <c r="T420" s="1070"/>
      <c r="U420" s="1070"/>
      <c r="V420" s="1070"/>
      <c r="W420" s="1070"/>
      <c r="X420" s="1070"/>
      <c r="Y420" s="1070"/>
      <c r="Z420" s="1070"/>
      <c r="AA420" s="1070"/>
      <c r="AB420" s="1070"/>
      <c r="AC420" s="1070"/>
      <c r="AD420" s="1070"/>
      <c r="AE420" s="1070"/>
      <c r="AF420" s="1070"/>
      <c r="AG420" s="1070"/>
      <c r="AH420" s="1070"/>
      <c r="AI420" s="1070"/>
      <c r="AJ420" s="1070"/>
      <c r="AK420" s="1070"/>
      <c r="AL420" s="1070"/>
      <c r="AM420" s="1070"/>
      <c r="AN420" s="1070"/>
      <c r="AO420" s="1070"/>
      <c r="AP420" s="1070"/>
      <c r="AQ420" s="1070"/>
      <c r="AR420" s="1070"/>
      <c r="AS420" s="1070"/>
      <c r="AT420" s="1070"/>
      <c r="AU420" s="1070"/>
      <c r="AV420" s="1070"/>
      <c r="AW420" s="1070"/>
      <c r="AX420" s="1070"/>
      <c r="AY420" s="1070"/>
      <c r="AZ420" s="1070"/>
      <c r="BA420" s="1070"/>
      <c r="BB420" s="1070"/>
      <c r="BC420" s="1070"/>
      <c r="BD420" s="1070"/>
      <c r="BE420" s="1070"/>
      <c r="BF420" s="1070"/>
      <c r="BG420" s="1070"/>
      <c r="BH420" s="1070"/>
      <c r="BI420" s="1070"/>
      <c r="BJ420" s="1070"/>
      <c r="BK420" s="1070"/>
      <c r="BL420" s="1070"/>
      <c r="BM420" s="1070"/>
      <c r="BN420" s="1070"/>
      <c r="BO420" s="1070"/>
      <c r="BP420" s="1070"/>
      <c r="BQ420" s="1070"/>
      <c r="BR420" s="1070"/>
      <c r="BS420" s="1070"/>
      <c r="BT420" s="1070"/>
      <c r="BU420" s="1070"/>
      <c r="BV420" s="1070"/>
      <c r="BW420" s="1070"/>
      <c r="BX420" s="1070"/>
      <c r="BY420" s="1070"/>
      <c r="BZ420" s="1070"/>
      <c r="CA420" s="1070"/>
      <c r="CB420" s="1070"/>
      <c r="CC420" s="1070"/>
      <c r="CD420" s="1070"/>
      <c r="CE420" s="1070"/>
      <c r="CF420" s="1070"/>
      <c r="CG420" s="1070"/>
      <c r="CH420" s="1070"/>
      <c r="CI420" s="1070"/>
      <c r="CJ420" s="1070"/>
      <c r="CK420" s="1070"/>
      <c r="CL420" s="1070"/>
      <c r="CM420" s="1070"/>
      <c r="CN420" s="1070"/>
      <c r="CO420" s="1070"/>
      <c r="CP420" s="1070"/>
      <c r="CQ420" s="1070"/>
      <c r="CR420" s="1070"/>
      <c r="CS420" s="1070"/>
      <c r="CT420" s="1070"/>
      <c r="CU420" s="1070"/>
      <c r="CV420" s="1070"/>
      <c r="CW420" s="1070"/>
      <c r="CX420" s="1070"/>
      <c r="CY420" s="1070"/>
      <c r="CZ420" s="1070"/>
      <c r="DA420" s="1070"/>
      <c r="DB420" s="1070"/>
      <c r="DC420" s="1070"/>
      <c r="DD420" s="1070"/>
      <c r="DE420" s="1070"/>
      <c r="DF420" s="1070"/>
      <c r="DG420" s="1070"/>
      <c r="DH420" s="1070"/>
      <c r="DI420" s="1070"/>
      <c r="DJ420" s="1070"/>
    </row>
    <row r="421" spans="1:114" s="1136" customFormat="1" ht="15" x14ac:dyDescent="0.2">
      <c r="A421" s="1393" t="s">
        <v>4823</v>
      </c>
      <c r="B421" s="1641" t="e">
        <f>B345*B415</f>
        <v>#VALUE!</v>
      </c>
      <c r="C421" s="1407"/>
      <c r="D421" s="1407"/>
      <c r="E421" s="1407"/>
      <c r="F421" s="1407"/>
      <c r="G421" s="1407"/>
      <c r="H421" s="1070"/>
      <c r="I421" s="1070"/>
      <c r="J421" s="1070"/>
      <c r="K421" s="1070"/>
      <c r="L421" s="1070"/>
      <c r="M421" s="1070"/>
      <c r="N421" s="1070"/>
      <c r="O421" s="1070"/>
      <c r="P421" s="1070"/>
      <c r="Q421" s="1070"/>
      <c r="R421" s="1070"/>
      <c r="S421" s="1070"/>
      <c r="T421" s="1070"/>
      <c r="U421" s="1070"/>
      <c r="V421" s="1070"/>
      <c r="W421" s="1070"/>
      <c r="X421" s="1070"/>
      <c r="Y421" s="1070"/>
      <c r="Z421" s="1070"/>
      <c r="AA421" s="1070"/>
      <c r="AB421" s="1070"/>
      <c r="AC421" s="1070"/>
      <c r="AD421" s="1070"/>
      <c r="AE421" s="1070"/>
      <c r="AF421" s="1070"/>
      <c r="AG421" s="1070"/>
      <c r="AH421" s="1070"/>
      <c r="AI421" s="1070"/>
      <c r="AJ421" s="1070"/>
      <c r="AK421" s="1070"/>
      <c r="AL421" s="1070"/>
      <c r="AM421" s="1070"/>
      <c r="AN421" s="1070"/>
      <c r="AO421" s="1070"/>
      <c r="AP421" s="1070"/>
      <c r="AQ421" s="1070"/>
      <c r="AR421" s="1070"/>
      <c r="AS421" s="1070"/>
      <c r="AT421" s="1070"/>
      <c r="AU421" s="1070"/>
      <c r="AV421" s="1070"/>
      <c r="AW421" s="1070"/>
      <c r="AX421" s="1070"/>
      <c r="AY421" s="1070"/>
      <c r="AZ421" s="1070"/>
      <c r="BA421" s="1070"/>
      <c r="BB421" s="1070"/>
      <c r="BC421" s="1070"/>
      <c r="BD421" s="1070"/>
      <c r="BE421" s="1070"/>
      <c r="BF421" s="1070"/>
      <c r="BG421" s="1070"/>
      <c r="BH421" s="1070"/>
      <c r="BI421" s="1070"/>
      <c r="BJ421" s="1070"/>
      <c r="BK421" s="1070"/>
      <c r="BL421" s="1070"/>
      <c r="BM421" s="1070"/>
      <c r="BN421" s="1070"/>
      <c r="BO421" s="1070"/>
      <c r="BP421" s="1070"/>
      <c r="BQ421" s="1070"/>
      <c r="BR421" s="1070"/>
      <c r="BS421" s="1070"/>
      <c r="BT421" s="1070"/>
      <c r="BU421" s="1070"/>
      <c r="BV421" s="1070"/>
      <c r="BW421" s="1070"/>
      <c r="BX421" s="1070"/>
      <c r="BY421" s="1070"/>
      <c r="BZ421" s="1070"/>
      <c r="CA421" s="1070"/>
      <c r="CB421" s="1070"/>
      <c r="CC421" s="1070"/>
      <c r="CD421" s="1070"/>
      <c r="CE421" s="1070"/>
      <c r="CF421" s="1070"/>
      <c r="CG421" s="1070"/>
      <c r="CH421" s="1070"/>
      <c r="CI421" s="1070"/>
      <c r="CJ421" s="1070"/>
      <c r="CK421" s="1070"/>
      <c r="CL421" s="1070"/>
      <c r="CM421" s="1070"/>
      <c r="CN421" s="1070"/>
      <c r="CO421" s="1070"/>
      <c r="CP421" s="1070"/>
      <c r="CQ421" s="1070"/>
      <c r="CR421" s="1070"/>
      <c r="CS421" s="1070"/>
      <c r="CT421" s="1070"/>
      <c r="CU421" s="1070"/>
      <c r="CV421" s="1070"/>
      <c r="CW421" s="1070"/>
      <c r="CX421" s="1070"/>
      <c r="CY421" s="1070"/>
      <c r="CZ421" s="1070"/>
      <c r="DA421" s="1070"/>
      <c r="DB421" s="1070"/>
      <c r="DC421" s="1070"/>
      <c r="DD421" s="1070"/>
      <c r="DE421" s="1070"/>
      <c r="DF421" s="1070"/>
      <c r="DG421" s="1070"/>
      <c r="DH421" s="1070"/>
      <c r="DI421" s="1070"/>
      <c r="DJ421" s="1070"/>
    </row>
    <row r="422" spans="1:114" s="1136" customFormat="1" ht="15" x14ac:dyDescent="0.2">
      <c r="A422" s="1393" t="s">
        <v>3722</v>
      </c>
      <c r="B422" s="1046"/>
      <c r="C422" s="1070"/>
      <c r="D422" s="1070"/>
      <c r="E422" s="1070"/>
      <c r="F422" s="1070"/>
      <c r="G422" s="1070"/>
      <c r="H422" s="1070"/>
      <c r="I422" s="1070"/>
      <c r="J422" s="1070"/>
      <c r="K422" s="1070"/>
      <c r="L422" s="1070"/>
      <c r="M422" s="1070"/>
      <c r="N422" s="1070"/>
      <c r="O422" s="1070"/>
      <c r="P422" s="1070"/>
      <c r="Q422" s="1070"/>
      <c r="R422" s="1070"/>
      <c r="S422" s="1070"/>
      <c r="T422" s="1070"/>
      <c r="U422" s="1070"/>
      <c r="V422" s="1070"/>
      <c r="W422" s="1070"/>
      <c r="X422" s="1070"/>
      <c r="Y422" s="1070"/>
      <c r="Z422" s="1070"/>
      <c r="AA422" s="1070"/>
      <c r="AB422" s="1070"/>
      <c r="AC422" s="1070"/>
      <c r="AD422" s="1070"/>
      <c r="AE422" s="1070"/>
      <c r="AF422" s="1070"/>
      <c r="AG422" s="1070"/>
      <c r="AH422" s="1070"/>
      <c r="AI422" s="1070"/>
      <c r="AJ422" s="1070"/>
      <c r="AK422" s="1070"/>
      <c r="AL422" s="1070"/>
      <c r="AM422" s="1070"/>
      <c r="AN422" s="1070"/>
      <c r="AO422" s="1070"/>
      <c r="AP422" s="1070"/>
      <c r="AQ422" s="1070"/>
      <c r="AR422" s="1070"/>
      <c r="AS422" s="1070"/>
      <c r="AT422" s="1070"/>
      <c r="AU422" s="1070"/>
      <c r="AV422" s="1070"/>
      <c r="AW422" s="1070"/>
      <c r="AX422" s="1070"/>
      <c r="AY422" s="1070"/>
      <c r="AZ422" s="1070"/>
      <c r="BA422" s="1070"/>
      <c r="BB422" s="1070"/>
      <c r="BC422" s="1070"/>
      <c r="BD422" s="1070"/>
      <c r="BE422" s="1070"/>
      <c r="BF422" s="1070"/>
      <c r="BG422" s="1070"/>
      <c r="BH422" s="1070"/>
      <c r="BI422" s="1070"/>
      <c r="BJ422" s="1070"/>
      <c r="BK422" s="1070"/>
      <c r="BL422" s="1070"/>
      <c r="BM422" s="1070"/>
      <c r="BN422" s="1070"/>
      <c r="BO422" s="1070"/>
      <c r="BP422" s="1070"/>
      <c r="BQ422" s="1070"/>
      <c r="BR422" s="1070"/>
      <c r="BS422" s="1070"/>
      <c r="BT422" s="1070"/>
      <c r="BU422" s="1070"/>
      <c r="BV422" s="1070"/>
      <c r="BW422" s="1070"/>
      <c r="BX422" s="1070"/>
      <c r="BY422" s="1070"/>
      <c r="BZ422" s="1070"/>
      <c r="CA422" s="1070"/>
      <c r="CB422" s="1070"/>
      <c r="CC422" s="1070"/>
      <c r="CD422" s="1070"/>
      <c r="CE422" s="1070"/>
      <c r="CF422" s="1070"/>
      <c r="CG422" s="1070"/>
      <c r="CH422" s="1070"/>
      <c r="CI422" s="1070"/>
      <c r="CJ422" s="1070"/>
      <c r="CK422" s="1070"/>
      <c r="CL422" s="1070"/>
      <c r="CM422" s="1070"/>
      <c r="CN422" s="1070"/>
      <c r="CO422" s="1070"/>
      <c r="CP422" s="1070"/>
      <c r="CQ422" s="1070"/>
      <c r="CR422" s="1070"/>
      <c r="CS422" s="1070"/>
      <c r="CT422" s="1070"/>
      <c r="CU422" s="1070"/>
      <c r="CV422" s="1070"/>
      <c r="CW422" s="1070"/>
      <c r="CX422" s="1070"/>
      <c r="CY422" s="1070"/>
      <c r="CZ422" s="1070"/>
      <c r="DA422" s="1070"/>
      <c r="DB422" s="1070"/>
      <c r="DC422" s="1070"/>
      <c r="DD422" s="1070"/>
      <c r="DE422" s="1070"/>
      <c r="DF422" s="1070"/>
      <c r="DG422" s="1070"/>
      <c r="DH422" s="1070"/>
      <c r="DI422" s="1070"/>
      <c r="DJ422" s="1070"/>
    </row>
    <row r="423" spans="1:114" s="1136" customFormat="1" ht="15" x14ac:dyDescent="0.2">
      <c r="A423" s="1393" t="s">
        <v>3720</v>
      </c>
      <c r="B423" s="1641">
        <f>B290</f>
        <v>5.4320000000000004</v>
      </c>
      <c r="C423" s="1407"/>
      <c r="D423" s="1407"/>
      <c r="E423" s="1407"/>
      <c r="F423" s="1407"/>
      <c r="G423" s="1407"/>
      <c r="H423" s="1070"/>
      <c r="I423" s="1070"/>
      <c r="J423" s="1070"/>
      <c r="K423" s="1070"/>
      <c r="L423" s="1070"/>
      <c r="M423" s="1070"/>
      <c r="N423" s="1070"/>
      <c r="O423" s="1070"/>
      <c r="P423" s="1070"/>
      <c r="Q423" s="1070"/>
      <c r="R423" s="1070"/>
      <c r="S423" s="1070"/>
      <c r="T423" s="1070"/>
      <c r="U423" s="1070"/>
      <c r="V423" s="1070"/>
      <c r="W423" s="1070"/>
      <c r="X423" s="1070"/>
      <c r="Y423" s="1070"/>
      <c r="Z423" s="1070"/>
      <c r="AA423" s="1070"/>
      <c r="AB423" s="1070"/>
      <c r="AC423" s="1070"/>
      <c r="AD423" s="1070"/>
      <c r="AE423" s="1070"/>
      <c r="AF423" s="1070"/>
      <c r="AG423" s="1070"/>
      <c r="AH423" s="1070"/>
      <c r="AI423" s="1070"/>
      <c r="AJ423" s="1070"/>
      <c r="AK423" s="1070"/>
      <c r="AL423" s="1070"/>
      <c r="AM423" s="1070"/>
      <c r="AN423" s="1070"/>
      <c r="AO423" s="1070"/>
      <c r="AP423" s="1070"/>
      <c r="AQ423" s="1070"/>
      <c r="AR423" s="1070"/>
      <c r="AS423" s="1070"/>
      <c r="AT423" s="1070"/>
      <c r="AU423" s="1070"/>
      <c r="AV423" s="1070"/>
      <c r="AW423" s="1070"/>
      <c r="AX423" s="1070"/>
      <c r="AY423" s="1070"/>
      <c r="AZ423" s="1070"/>
      <c r="BA423" s="1070"/>
      <c r="BB423" s="1070"/>
      <c r="BC423" s="1070"/>
      <c r="BD423" s="1070"/>
      <c r="BE423" s="1070"/>
      <c r="BF423" s="1070"/>
      <c r="BG423" s="1070"/>
      <c r="BH423" s="1070"/>
      <c r="BI423" s="1070"/>
      <c r="BJ423" s="1070"/>
      <c r="BK423" s="1070"/>
      <c r="BL423" s="1070"/>
      <c r="BM423" s="1070"/>
      <c r="BN423" s="1070"/>
      <c r="BO423" s="1070"/>
      <c r="BP423" s="1070"/>
      <c r="BQ423" s="1070"/>
      <c r="BR423" s="1070"/>
      <c r="BS423" s="1070"/>
      <c r="BT423" s="1070"/>
      <c r="BU423" s="1070"/>
      <c r="BV423" s="1070"/>
      <c r="BW423" s="1070"/>
      <c r="BX423" s="1070"/>
      <c r="BY423" s="1070"/>
      <c r="BZ423" s="1070"/>
      <c r="CA423" s="1070"/>
      <c r="CB423" s="1070"/>
      <c r="CC423" s="1070"/>
      <c r="CD423" s="1070"/>
      <c r="CE423" s="1070"/>
      <c r="CF423" s="1070"/>
      <c r="CG423" s="1070"/>
      <c r="CH423" s="1070"/>
      <c r="CI423" s="1070"/>
      <c r="CJ423" s="1070"/>
      <c r="CK423" s="1070"/>
      <c r="CL423" s="1070"/>
      <c r="CM423" s="1070"/>
      <c r="CN423" s="1070"/>
      <c r="CO423" s="1070"/>
      <c r="CP423" s="1070"/>
      <c r="CQ423" s="1070"/>
      <c r="CR423" s="1070"/>
      <c r="CS423" s="1070"/>
      <c r="CT423" s="1070"/>
      <c r="CU423" s="1070"/>
      <c r="CV423" s="1070"/>
      <c r="CW423" s="1070"/>
      <c r="CX423" s="1070"/>
      <c r="CY423" s="1070"/>
      <c r="CZ423" s="1070"/>
      <c r="DA423" s="1070"/>
      <c r="DB423" s="1070"/>
      <c r="DC423" s="1070"/>
      <c r="DD423" s="1070"/>
      <c r="DE423" s="1070"/>
      <c r="DF423" s="1070"/>
      <c r="DG423" s="1070"/>
      <c r="DH423" s="1070"/>
      <c r="DI423" s="1070"/>
      <c r="DJ423" s="1070"/>
    </row>
    <row r="424" spans="1:114" s="1136" customFormat="1" ht="15" x14ac:dyDescent="0.2">
      <c r="A424" s="1393" t="s">
        <v>4820</v>
      </c>
      <c r="B424" s="1641">
        <f>B307</f>
        <v>4.8959999999999999</v>
      </c>
      <c r="C424" s="1407"/>
      <c r="D424" s="1407"/>
      <c r="E424" s="1407"/>
      <c r="F424" s="1407"/>
      <c r="G424" s="1407"/>
      <c r="H424" s="1070"/>
      <c r="I424" s="1070"/>
      <c r="J424" s="1070"/>
      <c r="K424" s="1070"/>
      <c r="L424" s="1070"/>
      <c r="M424" s="1070"/>
      <c r="N424" s="1070"/>
      <c r="O424" s="1070"/>
      <c r="P424" s="1070"/>
      <c r="Q424" s="1070"/>
      <c r="R424" s="1070"/>
      <c r="S424" s="1070"/>
      <c r="T424" s="1070"/>
      <c r="U424" s="1070"/>
      <c r="V424" s="1070"/>
      <c r="W424" s="1070"/>
      <c r="X424" s="1070"/>
      <c r="Y424" s="1070"/>
      <c r="Z424" s="1070"/>
      <c r="AA424" s="1070"/>
      <c r="AB424" s="1070"/>
      <c r="AC424" s="1070"/>
      <c r="AD424" s="1070"/>
      <c r="AE424" s="1070"/>
      <c r="AF424" s="1070"/>
      <c r="AG424" s="1070"/>
      <c r="AH424" s="1070"/>
      <c r="AI424" s="1070"/>
      <c r="AJ424" s="1070"/>
      <c r="AK424" s="1070"/>
      <c r="AL424" s="1070"/>
      <c r="AM424" s="1070"/>
      <c r="AN424" s="1070"/>
      <c r="AO424" s="1070"/>
      <c r="AP424" s="1070"/>
      <c r="AQ424" s="1070"/>
      <c r="AR424" s="1070"/>
      <c r="AS424" s="1070"/>
      <c r="AT424" s="1070"/>
      <c r="AU424" s="1070"/>
      <c r="AV424" s="1070"/>
      <c r="AW424" s="1070"/>
      <c r="AX424" s="1070"/>
      <c r="AY424" s="1070"/>
      <c r="AZ424" s="1070"/>
      <c r="BA424" s="1070"/>
      <c r="BB424" s="1070"/>
      <c r="BC424" s="1070"/>
      <c r="BD424" s="1070"/>
      <c r="BE424" s="1070"/>
      <c r="BF424" s="1070"/>
      <c r="BG424" s="1070"/>
      <c r="BH424" s="1070"/>
      <c r="BI424" s="1070"/>
      <c r="BJ424" s="1070"/>
      <c r="BK424" s="1070"/>
      <c r="BL424" s="1070"/>
      <c r="BM424" s="1070"/>
      <c r="BN424" s="1070"/>
      <c r="BO424" s="1070"/>
      <c r="BP424" s="1070"/>
      <c r="BQ424" s="1070"/>
      <c r="BR424" s="1070"/>
      <c r="BS424" s="1070"/>
      <c r="BT424" s="1070"/>
      <c r="BU424" s="1070"/>
      <c r="BV424" s="1070"/>
      <c r="BW424" s="1070"/>
      <c r="BX424" s="1070"/>
      <c r="BY424" s="1070"/>
      <c r="BZ424" s="1070"/>
      <c r="CA424" s="1070"/>
      <c r="CB424" s="1070"/>
      <c r="CC424" s="1070"/>
      <c r="CD424" s="1070"/>
      <c r="CE424" s="1070"/>
      <c r="CF424" s="1070"/>
      <c r="CG424" s="1070"/>
      <c r="CH424" s="1070"/>
      <c r="CI424" s="1070"/>
      <c r="CJ424" s="1070"/>
      <c r="CK424" s="1070"/>
      <c r="CL424" s="1070"/>
      <c r="CM424" s="1070"/>
      <c r="CN424" s="1070"/>
      <c r="CO424" s="1070"/>
      <c r="CP424" s="1070"/>
      <c r="CQ424" s="1070"/>
      <c r="CR424" s="1070"/>
      <c r="CS424" s="1070"/>
      <c r="CT424" s="1070"/>
      <c r="CU424" s="1070"/>
      <c r="CV424" s="1070"/>
      <c r="CW424" s="1070"/>
      <c r="CX424" s="1070"/>
      <c r="CY424" s="1070"/>
      <c r="CZ424" s="1070"/>
      <c r="DA424" s="1070"/>
      <c r="DB424" s="1070"/>
      <c r="DC424" s="1070"/>
      <c r="DD424" s="1070"/>
      <c r="DE424" s="1070"/>
      <c r="DF424" s="1070"/>
      <c r="DG424" s="1070"/>
      <c r="DH424" s="1070"/>
      <c r="DI424" s="1070"/>
      <c r="DJ424" s="1070"/>
    </row>
    <row r="425" spans="1:114" s="1136" customFormat="1" ht="15" x14ac:dyDescent="0.2">
      <c r="A425" s="1393" t="s">
        <v>4821</v>
      </c>
      <c r="B425" s="1641">
        <f>B324</f>
        <v>4.5529999999999999</v>
      </c>
      <c r="C425" s="1407"/>
      <c r="D425" s="1407"/>
      <c r="E425" s="1407"/>
      <c r="F425" s="1407"/>
      <c r="G425" s="1407"/>
      <c r="H425" s="1070"/>
      <c r="I425" s="1070"/>
      <c r="J425" s="1070"/>
      <c r="K425" s="1070"/>
      <c r="L425" s="1070"/>
      <c r="M425" s="1070"/>
      <c r="N425" s="1070"/>
      <c r="O425" s="1070"/>
      <c r="P425" s="1070"/>
      <c r="Q425" s="1070"/>
      <c r="R425" s="1070"/>
      <c r="S425" s="1070"/>
      <c r="T425" s="1070"/>
      <c r="U425" s="1070"/>
      <c r="V425" s="1070"/>
      <c r="W425" s="1070"/>
      <c r="X425" s="1070"/>
      <c r="Y425" s="1070"/>
      <c r="Z425" s="1070"/>
      <c r="AA425" s="1070"/>
      <c r="AB425" s="1070"/>
      <c r="AC425" s="1070"/>
      <c r="AD425" s="1070"/>
      <c r="AE425" s="1070"/>
      <c r="AF425" s="1070"/>
      <c r="AG425" s="1070"/>
      <c r="AH425" s="1070"/>
      <c r="AI425" s="1070"/>
      <c r="AJ425" s="1070"/>
      <c r="AK425" s="1070"/>
      <c r="AL425" s="1070"/>
      <c r="AM425" s="1070"/>
      <c r="AN425" s="1070"/>
      <c r="AO425" s="1070"/>
      <c r="AP425" s="1070"/>
      <c r="AQ425" s="1070"/>
      <c r="AR425" s="1070"/>
      <c r="AS425" s="1070"/>
      <c r="AT425" s="1070"/>
      <c r="AU425" s="1070"/>
      <c r="AV425" s="1070"/>
      <c r="AW425" s="1070"/>
      <c r="AX425" s="1070"/>
      <c r="AY425" s="1070"/>
      <c r="AZ425" s="1070"/>
      <c r="BA425" s="1070"/>
      <c r="BB425" s="1070"/>
      <c r="BC425" s="1070"/>
      <c r="BD425" s="1070"/>
      <c r="BE425" s="1070"/>
      <c r="BF425" s="1070"/>
      <c r="BG425" s="1070"/>
      <c r="BH425" s="1070"/>
      <c r="BI425" s="1070"/>
      <c r="BJ425" s="1070"/>
      <c r="BK425" s="1070"/>
      <c r="BL425" s="1070"/>
      <c r="BM425" s="1070"/>
      <c r="BN425" s="1070"/>
      <c r="BO425" s="1070"/>
      <c r="BP425" s="1070"/>
      <c r="BQ425" s="1070"/>
      <c r="BR425" s="1070"/>
      <c r="BS425" s="1070"/>
      <c r="BT425" s="1070"/>
      <c r="BU425" s="1070"/>
      <c r="BV425" s="1070"/>
      <c r="BW425" s="1070"/>
      <c r="BX425" s="1070"/>
      <c r="BY425" s="1070"/>
      <c r="BZ425" s="1070"/>
      <c r="CA425" s="1070"/>
      <c r="CB425" s="1070"/>
      <c r="CC425" s="1070"/>
      <c r="CD425" s="1070"/>
      <c r="CE425" s="1070"/>
      <c r="CF425" s="1070"/>
      <c r="CG425" s="1070"/>
      <c r="CH425" s="1070"/>
      <c r="CI425" s="1070"/>
      <c r="CJ425" s="1070"/>
      <c r="CK425" s="1070"/>
      <c r="CL425" s="1070"/>
      <c r="CM425" s="1070"/>
      <c r="CN425" s="1070"/>
      <c r="CO425" s="1070"/>
      <c r="CP425" s="1070"/>
      <c r="CQ425" s="1070"/>
      <c r="CR425" s="1070"/>
      <c r="CS425" s="1070"/>
      <c r="CT425" s="1070"/>
      <c r="CU425" s="1070"/>
      <c r="CV425" s="1070"/>
      <c r="CW425" s="1070"/>
      <c r="CX425" s="1070"/>
      <c r="CY425" s="1070"/>
      <c r="CZ425" s="1070"/>
      <c r="DA425" s="1070"/>
      <c r="DB425" s="1070"/>
      <c r="DC425" s="1070"/>
      <c r="DD425" s="1070"/>
      <c r="DE425" s="1070"/>
      <c r="DF425" s="1070"/>
      <c r="DG425" s="1070"/>
      <c r="DH425" s="1070"/>
      <c r="DI425" s="1070"/>
      <c r="DJ425" s="1070"/>
    </row>
    <row r="426" spans="1:114" s="1136" customFormat="1" ht="15" x14ac:dyDescent="0.2">
      <c r="A426" s="1393" t="s">
        <v>4822</v>
      </c>
      <c r="B426" s="1641">
        <f>B331</f>
        <v>4.9470000000000001</v>
      </c>
      <c r="C426" s="1407"/>
      <c r="D426" s="1407"/>
      <c r="E426" s="1407"/>
      <c r="F426" s="1407"/>
      <c r="G426" s="1407"/>
      <c r="H426" s="1070"/>
      <c r="I426" s="1070"/>
      <c r="J426" s="1070"/>
      <c r="K426" s="1070"/>
      <c r="L426" s="1070"/>
      <c r="M426" s="1070"/>
      <c r="N426" s="1070"/>
      <c r="O426" s="1070"/>
      <c r="P426" s="1070"/>
      <c r="Q426" s="1070"/>
      <c r="R426" s="1070"/>
      <c r="S426" s="1070"/>
      <c r="T426" s="1070"/>
      <c r="U426" s="1070"/>
      <c r="V426" s="1070"/>
      <c r="W426" s="1070"/>
      <c r="X426" s="1070"/>
      <c r="Y426" s="1070"/>
      <c r="Z426" s="1070"/>
      <c r="AA426" s="1070"/>
      <c r="AB426" s="1070"/>
      <c r="AC426" s="1070"/>
      <c r="AD426" s="1070"/>
      <c r="AE426" s="1070"/>
      <c r="AF426" s="1070"/>
      <c r="AG426" s="1070"/>
      <c r="AH426" s="1070"/>
      <c r="AI426" s="1070"/>
      <c r="AJ426" s="1070"/>
      <c r="AK426" s="1070"/>
      <c r="AL426" s="1070"/>
      <c r="AM426" s="1070"/>
      <c r="AN426" s="1070"/>
      <c r="AO426" s="1070"/>
      <c r="AP426" s="1070"/>
      <c r="AQ426" s="1070"/>
      <c r="AR426" s="1070"/>
      <c r="AS426" s="1070"/>
      <c r="AT426" s="1070"/>
      <c r="AU426" s="1070"/>
      <c r="AV426" s="1070"/>
      <c r="AW426" s="1070"/>
      <c r="AX426" s="1070"/>
      <c r="AY426" s="1070"/>
      <c r="AZ426" s="1070"/>
      <c r="BA426" s="1070"/>
      <c r="BB426" s="1070"/>
      <c r="BC426" s="1070"/>
      <c r="BD426" s="1070"/>
      <c r="BE426" s="1070"/>
      <c r="BF426" s="1070"/>
      <c r="BG426" s="1070"/>
      <c r="BH426" s="1070"/>
      <c r="BI426" s="1070"/>
      <c r="BJ426" s="1070"/>
      <c r="BK426" s="1070"/>
      <c r="BL426" s="1070"/>
      <c r="BM426" s="1070"/>
      <c r="BN426" s="1070"/>
      <c r="BO426" s="1070"/>
      <c r="BP426" s="1070"/>
      <c r="BQ426" s="1070"/>
      <c r="BR426" s="1070"/>
      <c r="BS426" s="1070"/>
      <c r="BT426" s="1070"/>
      <c r="BU426" s="1070"/>
      <c r="BV426" s="1070"/>
      <c r="BW426" s="1070"/>
      <c r="BX426" s="1070"/>
      <c r="BY426" s="1070"/>
      <c r="BZ426" s="1070"/>
      <c r="CA426" s="1070"/>
      <c r="CB426" s="1070"/>
      <c r="CC426" s="1070"/>
      <c r="CD426" s="1070"/>
      <c r="CE426" s="1070"/>
      <c r="CF426" s="1070"/>
      <c r="CG426" s="1070"/>
      <c r="CH426" s="1070"/>
      <c r="CI426" s="1070"/>
      <c r="CJ426" s="1070"/>
      <c r="CK426" s="1070"/>
      <c r="CL426" s="1070"/>
      <c r="CM426" s="1070"/>
      <c r="CN426" s="1070"/>
      <c r="CO426" s="1070"/>
      <c r="CP426" s="1070"/>
      <c r="CQ426" s="1070"/>
      <c r="CR426" s="1070"/>
      <c r="CS426" s="1070"/>
      <c r="CT426" s="1070"/>
      <c r="CU426" s="1070"/>
      <c r="CV426" s="1070"/>
      <c r="CW426" s="1070"/>
      <c r="CX426" s="1070"/>
      <c r="CY426" s="1070"/>
      <c r="CZ426" s="1070"/>
      <c r="DA426" s="1070"/>
      <c r="DB426" s="1070"/>
      <c r="DC426" s="1070"/>
      <c r="DD426" s="1070"/>
      <c r="DE426" s="1070"/>
      <c r="DF426" s="1070"/>
      <c r="DG426" s="1070"/>
      <c r="DH426" s="1070"/>
      <c r="DI426" s="1070"/>
      <c r="DJ426" s="1070"/>
    </row>
    <row r="427" spans="1:114" s="1136" customFormat="1" ht="15" x14ac:dyDescent="0.2">
      <c r="A427" s="1393" t="s">
        <v>4823</v>
      </c>
      <c r="B427" s="1641">
        <f>B341</f>
        <v>5.4450000000000003</v>
      </c>
      <c r="C427" s="1407"/>
      <c r="D427" s="1407"/>
      <c r="E427" s="1407"/>
      <c r="F427" s="1407"/>
      <c r="G427" s="1407"/>
      <c r="H427" s="1070"/>
      <c r="I427" s="1070"/>
      <c r="J427" s="1070"/>
      <c r="K427" s="1070"/>
      <c r="L427" s="1070"/>
      <c r="M427" s="1070"/>
      <c r="N427" s="1070"/>
      <c r="O427" s="1070"/>
      <c r="P427" s="1070"/>
      <c r="Q427" s="1070"/>
      <c r="R427" s="1070"/>
      <c r="S427" s="1070"/>
      <c r="T427" s="1070"/>
      <c r="U427" s="1070"/>
      <c r="V427" s="1070"/>
      <c r="W427" s="1070"/>
      <c r="X427" s="1070"/>
      <c r="Y427" s="1070"/>
      <c r="Z427" s="1070"/>
      <c r="AA427" s="1070"/>
      <c r="AB427" s="1070"/>
      <c r="AC427" s="1070"/>
      <c r="AD427" s="1070"/>
      <c r="AE427" s="1070"/>
      <c r="AF427" s="1070"/>
      <c r="AG427" s="1070"/>
      <c r="AH427" s="1070"/>
      <c r="AI427" s="1070"/>
      <c r="AJ427" s="1070"/>
      <c r="AK427" s="1070"/>
      <c r="AL427" s="1070"/>
      <c r="AM427" s="1070"/>
      <c r="AN427" s="1070"/>
      <c r="AO427" s="1070"/>
      <c r="AP427" s="1070"/>
      <c r="AQ427" s="1070"/>
      <c r="AR427" s="1070"/>
      <c r="AS427" s="1070"/>
      <c r="AT427" s="1070"/>
      <c r="AU427" s="1070"/>
      <c r="AV427" s="1070"/>
      <c r="AW427" s="1070"/>
      <c r="AX427" s="1070"/>
      <c r="AY427" s="1070"/>
      <c r="AZ427" s="1070"/>
      <c r="BA427" s="1070"/>
      <c r="BB427" s="1070"/>
      <c r="BC427" s="1070"/>
      <c r="BD427" s="1070"/>
      <c r="BE427" s="1070"/>
      <c r="BF427" s="1070"/>
      <c r="BG427" s="1070"/>
      <c r="BH427" s="1070"/>
      <c r="BI427" s="1070"/>
      <c r="BJ427" s="1070"/>
      <c r="BK427" s="1070"/>
      <c r="BL427" s="1070"/>
      <c r="BM427" s="1070"/>
      <c r="BN427" s="1070"/>
      <c r="BO427" s="1070"/>
      <c r="BP427" s="1070"/>
      <c r="BQ427" s="1070"/>
      <c r="BR427" s="1070"/>
      <c r="BS427" s="1070"/>
      <c r="BT427" s="1070"/>
      <c r="BU427" s="1070"/>
      <c r="BV427" s="1070"/>
      <c r="BW427" s="1070"/>
      <c r="BX427" s="1070"/>
      <c r="BY427" s="1070"/>
      <c r="BZ427" s="1070"/>
      <c r="CA427" s="1070"/>
      <c r="CB427" s="1070"/>
      <c r="CC427" s="1070"/>
      <c r="CD427" s="1070"/>
      <c r="CE427" s="1070"/>
      <c r="CF427" s="1070"/>
      <c r="CG427" s="1070"/>
      <c r="CH427" s="1070"/>
      <c r="CI427" s="1070"/>
      <c r="CJ427" s="1070"/>
      <c r="CK427" s="1070"/>
      <c r="CL427" s="1070"/>
      <c r="CM427" s="1070"/>
      <c r="CN427" s="1070"/>
      <c r="CO427" s="1070"/>
      <c r="CP427" s="1070"/>
      <c r="CQ427" s="1070"/>
      <c r="CR427" s="1070"/>
      <c r="CS427" s="1070"/>
      <c r="CT427" s="1070"/>
      <c r="CU427" s="1070"/>
      <c r="CV427" s="1070"/>
      <c r="CW427" s="1070"/>
      <c r="CX427" s="1070"/>
      <c r="CY427" s="1070"/>
      <c r="CZ427" s="1070"/>
      <c r="DA427" s="1070"/>
      <c r="DB427" s="1070"/>
      <c r="DC427" s="1070"/>
      <c r="DD427" s="1070"/>
      <c r="DE427" s="1070"/>
      <c r="DF427" s="1070"/>
      <c r="DG427" s="1070"/>
      <c r="DH427" s="1070"/>
      <c r="DI427" s="1070"/>
      <c r="DJ427" s="1070"/>
    </row>
    <row r="428" spans="1:114" s="1136" customFormat="1" ht="31.5" x14ac:dyDescent="0.25">
      <c r="A428" s="1969" t="s">
        <v>3723</v>
      </c>
      <c r="B428" s="1641" t="e">
        <f>INDEX(B417:B421,B175)</f>
        <v>#VALUE!</v>
      </c>
      <c r="C428" s="1407"/>
      <c r="D428" s="1407"/>
      <c r="E428" s="1407"/>
      <c r="F428" s="1407"/>
      <c r="G428" s="1407"/>
      <c r="H428" s="1070"/>
      <c r="I428" s="1070"/>
      <c r="J428" s="1070"/>
      <c r="K428" s="1070"/>
      <c r="L428" s="1070"/>
      <c r="M428" s="1070"/>
      <c r="N428" s="1070"/>
      <c r="O428" s="1070"/>
      <c r="P428" s="1070"/>
      <c r="Q428" s="1070"/>
      <c r="R428" s="1070"/>
      <c r="S428" s="1070"/>
      <c r="T428" s="1070"/>
      <c r="U428" s="1070"/>
      <c r="V428" s="1070"/>
      <c r="W428" s="1070"/>
      <c r="X428" s="1070"/>
      <c r="Y428" s="1070"/>
      <c r="Z428" s="1070"/>
      <c r="AA428" s="1070"/>
      <c r="AB428" s="1070"/>
      <c r="AC428" s="1070"/>
      <c r="AD428" s="1070"/>
      <c r="AE428" s="1070"/>
      <c r="AF428" s="1070"/>
      <c r="AG428" s="1070"/>
      <c r="AH428" s="1070"/>
      <c r="AI428" s="1070"/>
      <c r="AJ428" s="1070"/>
      <c r="AK428" s="1070"/>
      <c r="AL428" s="1070"/>
      <c r="AM428" s="1070"/>
      <c r="AN428" s="1070"/>
      <c r="AO428" s="1070"/>
      <c r="AP428" s="1070"/>
      <c r="AQ428" s="1070"/>
      <c r="AR428" s="1070"/>
      <c r="AS428" s="1070"/>
      <c r="AT428" s="1070"/>
      <c r="AU428" s="1070"/>
      <c r="AV428" s="1070"/>
      <c r="AW428" s="1070"/>
      <c r="AX428" s="1070"/>
      <c r="AY428" s="1070"/>
      <c r="AZ428" s="1070"/>
      <c r="BA428" s="1070"/>
      <c r="BB428" s="1070"/>
      <c r="BC428" s="1070"/>
      <c r="BD428" s="1070"/>
      <c r="BE428" s="1070"/>
      <c r="BF428" s="1070"/>
      <c r="BG428" s="1070"/>
      <c r="BH428" s="1070"/>
      <c r="BI428" s="1070"/>
      <c r="BJ428" s="1070"/>
      <c r="BK428" s="1070"/>
      <c r="BL428" s="1070"/>
      <c r="BM428" s="1070"/>
      <c r="BN428" s="1070"/>
      <c r="BO428" s="1070"/>
      <c r="BP428" s="1070"/>
      <c r="BQ428" s="1070"/>
      <c r="BR428" s="1070"/>
      <c r="BS428" s="1070"/>
      <c r="BT428" s="1070"/>
      <c r="BU428" s="1070"/>
      <c r="BV428" s="1070"/>
      <c r="BW428" s="1070"/>
      <c r="BX428" s="1070"/>
      <c r="BY428" s="1070"/>
      <c r="BZ428" s="1070"/>
      <c r="CA428" s="1070"/>
      <c r="CB428" s="1070"/>
      <c r="CC428" s="1070"/>
      <c r="CD428" s="1070"/>
      <c r="CE428" s="1070"/>
      <c r="CF428" s="1070"/>
      <c r="CG428" s="1070"/>
      <c r="CH428" s="1070"/>
      <c r="CI428" s="1070"/>
      <c r="CJ428" s="1070"/>
      <c r="CK428" s="1070"/>
      <c r="CL428" s="1070"/>
      <c r="CM428" s="1070"/>
      <c r="CN428" s="1070"/>
      <c r="CO428" s="1070"/>
      <c r="CP428" s="1070"/>
      <c r="CQ428" s="1070"/>
      <c r="CR428" s="1070"/>
      <c r="CS428" s="1070"/>
      <c r="CT428" s="1070"/>
      <c r="CU428" s="1070"/>
      <c r="CV428" s="1070"/>
      <c r="CW428" s="1070"/>
      <c r="CX428" s="1070"/>
      <c r="CY428" s="1070"/>
      <c r="CZ428" s="1070"/>
      <c r="DA428" s="1070"/>
      <c r="DB428" s="1070"/>
      <c r="DC428" s="1070"/>
      <c r="DD428" s="1070"/>
      <c r="DE428" s="1070"/>
      <c r="DF428" s="1070"/>
      <c r="DG428" s="1070"/>
      <c r="DH428" s="1070"/>
      <c r="DI428" s="1070"/>
      <c r="DJ428" s="1070"/>
    </row>
    <row r="429" spans="1:114" s="1136" customFormat="1" ht="31.5" x14ac:dyDescent="0.25">
      <c r="A429" s="1969" t="s">
        <v>2769</v>
      </c>
      <c r="B429" s="1641" t="e">
        <f>INDEX(B423:B427,B175)</f>
        <v>#VALUE!</v>
      </c>
      <c r="C429" s="1407"/>
      <c r="D429" s="1407"/>
      <c r="E429" s="1407"/>
      <c r="F429" s="1407"/>
      <c r="G429" s="1407"/>
      <c r="H429" s="1070"/>
      <c r="I429" s="1070"/>
      <c r="J429" s="1070"/>
      <c r="K429" s="1070"/>
      <c r="L429" s="1070"/>
      <c r="M429" s="1070"/>
      <c r="N429" s="1070"/>
      <c r="O429" s="1070"/>
      <c r="P429" s="1070"/>
      <c r="Q429" s="1070"/>
      <c r="R429" s="1070"/>
      <c r="S429" s="1070"/>
      <c r="T429" s="1070"/>
      <c r="U429" s="1070"/>
      <c r="V429" s="1070"/>
      <c r="W429" s="1070"/>
      <c r="X429" s="1070"/>
      <c r="Y429" s="1070"/>
      <c r="Z429" s="1070"/>
      <c r="AA429" s="1070"/>
      <c r="AB429" s="1070"/>
      <c r="AC429" s="1070"/>
      <c r="AD429" s="1070"/>
      <c r="AE429" s="1070"/>
      <c r="AF429" s="1070"/>
      <c r="AG429" s="1070"/>
      <c r="AH429" s="1070"/>
      <c r="AI429" s="1070"/>
      <c r="AJ429" s="1070"/>
      <c r="AK429" s="1070"/>
      <c r="AL429" s="1070"/>
      <c r="AM429" s="1070"/>
      <c r="AN429" s="1070"/>
      <c r="AO429" s="1070"/>
      <c r="AP429" s="1070"/>
      <c r="AQ429" s="1070"/>
      <c r="AR429" s="1070"/>
      <c r="AS429" s="1070"/>
      <c r="AT429" s="1070"/>
      <c r="AU429" s="1070"/>
      <c r="AV429" s="1070"/>
      <c r="AW429" s="1070"/>
      <c r="AX429" s="1070"/>
      <c r="AY429" s="1070"/>
      <c r="AZ429" s="1070"/>
      <c r="BA429" s="1070"/>
      <c r="BB429" s="1070"/>
      <c r="BC429" s="1070"/>
      <c r="BD429" s="1070"/>
      <c r="BE429" s="1070"/>
      <c r="BF429" s="1070"/>
      <c r="BG429" s="1070"/>
      <c r="BH429" s="1070"/>
      <c r="BI429" s="1070"/>
      <c r="BJ429" s="1070"/>
      <c r="BK429" s="1070"/>
      <c r="BL429" s="1070"/>
      <c r="BM429" s="1070"/>
      <c r="BN429" s="1070"/>
      <c r="BO429" s="1070"/>
      <c r="BP429" s="1070"/>
      <c r="BQ429" s="1070"/>
      <c r="BR429" s="1070"/>
      <c r="BS429" s="1070"/>
      <c r="BT429" s="1070"/>
      <c r="BU429" s="1070"/>
      <c r="BV429" s="1070"/>
      <c r="BW429" s="1070"/>
      <c r="BX429" s="1070"/>
      <c r="BY429" s="1070"/>
      <c r="BZ429" s="1070"/>
      <c r="CA429" s="1070"/>
      <c r="CB429" s="1070"/>
      <c r="CC429" s="1070"/>
      <c r="CD429" s="1070"/>
      <c r="CE429" s="1070"/>
      <c r="CF429" s="1070"/>
      <c r="CG429" s="1070"/>
      <c r="CH429" s="1070"/>
      <c r="CI429" s="1070"/>
      <c r="CJ429" s="1070"/>
      <c r="CK429" s="1070"/>
      <c r="CL429" s="1070"/>
      <c r="CM429" s="1070"/>
      <c r="CN429" s="1070"/>
      <c r="CO429" s="1070"/>
      <c r="CP429" s="1070"/>
      <c r="CQ429" s="1070"/>
      <c r="CR429" s="1070"/>
      <c r="CS429" s="1070"/>
      <c r="CT429" s="1070"/>
      <c r="CU429" s="1070"/>
      <c r="CV429" s="1070"/>
      <c r="CW429" s="1070"/>
      <c r="CX429" s="1070"/>
      <c r="CY429" s="1070"/>
      <c r="CZ429" s="1070"/>
      <c r="DA429" s="1070"/>
      <c r="DB429" s="1070"/>
      <c r="DC429" s="1070"/>
      <c r="DD429" s="1070"/>
      <c r="DE429" s="1070"/>
      <c r="DF429" s="1070"/>
      <c r="DG429" s="1070"/>
      <c r="DH429" s="1070"/>
      <c r="DI429" s="1070"/>
      <c r="DJ429" s="1070"/>
    </row>
    <row r="430" spans="1:114" s="1136" customFormat="1" ht="15" x14ac:dyDescent="0.2">
      <c r="A430" s="1393" t="s">
        <v>2770</v>
      </c>
      <c r="B430" s="1641" t="e">
        <f>B355*B429/B428</f>
        <v>#VALUE!</v>
      </c>
      <c r="C430" s="1407"/>
      <c r="D430" s="1407"/>
      <c r="E430" s="1407"/>
      <c r="F430" s="1407"/>
      <c r="G430" s="1970"/>
      <c r="H430" s="1070"/>
      <c r="I430" s="1070"/>
      <c r="J430" s="1070"/>
      <c r="K430" s="1070"/>
      <c r="L430" s="1070"/>
      <c r="M430" s="1070"/>
      <c r="N430" s="1070"/>
      <c r="O430" s="1070"/>
      <c r="P430" s="1070"/>
      <c r="Q430" s="1070"/>
      <c r="R430" s="1070"/>
      <c r="S430" s="1070"/>
      <c r="T430" s="1070"/>
      <c r="U430" s="1070"/>
      <c r="V430" s="1070"/>
      <c r="W430" s="1070"/>
      <c r="X430" s="1070"/>
      <c r="Y430" s="1070"/>
      <c r="Z430" s="1070"/>
      <c r="AA430" s="1070"/>
      <c r="AB430" s="1070"/>
      <c r="AC430" s="1070"/>
      <c r="AD430" s="1070"/>
      <c r="AE430" s="1070"/>
      <c r="AF430" s="1070"/>
      <c r="AG430" s="1070"/>
      <c r="AH430" s="1070"/>
      <c r="AI430" s="1070"/>
      <c r="AJ430" s="1070"/>
      <c r="AK430" s="1070"/>
      <c r="AL430" s="1070"/>
      <c r="AM430" s="1070"/>
      <c r="AN430" s="1070"/>
      <c r="AO430" s="1070"/>
      <c r="AP430" s="1070"/>
      <c r="AQ430" s="1070"/>
      <c r="AR430" s="1070"/>
      <c r="AS430" s="1070"/>
      <c r="AT430" s="1070"/>
      <c r="AU430" s="1070"/>
      <c r="AV430" s="1070"/>
      <c r="AW430" s="1070"/>
      <c r="AX430" s="1070"/>
      <c r="AY430" s="1070"/>
      <c r="AZ430" s="1070"/>
      <c r="BA430" s="1070"/>
      <c r="BB430" s="1070"/>
      <c r="BC430" s="1070"/>
      <c r="BD430" s="1070"/>
      <c r="BE430" s="1070"/>
      <c r="BF430" s="1070"/>
      <c r="BG430" s="1070"/>
      <c r="BH430" s="1070"/>
      <c r="BI430" s="1070"/>
      <c r="BJ430" s="1070"/>
      <c r="BK430" s="1070"/>
      <c r="BL430" s="1070"/>
      <c r="BM430" s="1070"/>
      <c r="BN430" s="1070"/>
      <c r="BO430" s="1070"/>
      <c r="BP430" s="1070"/>
      <c r="BQ430" s="1070"/>
      <c r="BR430" s="1070"/>
      <c r="BS430" s="1070"/>
      <c r="BT430" s="1070"/>
      <c r="BU430" s="1070"/>
      <c r="BV430" s="1070"/>
      <c r="BW430" s="1070"/>
      <c r="BX430" s="1070"/>
      <c r="BY430" s="1070"/>
      <c r="BZ430" s="1070"/>
      <c r="CA430" s="1070"/>
      <c r="CB430" s="1070"/>
      <c r="CC430" s="1070"/>
      <c r="CD430" s="1070"/>
      <c r="CE430" s="1070"/>
      <c r="CF430" s="1070"/>
      <c r="CG430" s="1070"/>
      <c r="CH430" s="1070"/>
      <c r="CI430" s="1070"/>
      <c r="CJ430" s="1070"/>
      <c r="CK430" s="1070"/>
      <c r="CL430" s="1070"/>
      <c r="CM430" s="1070"/>
      <c r="CN430" s="1070"/>
      <c r="CO430" s="1070"/>
      <c r="CP430" s="1070"/>
      <c r="CQ430" s="1070"/>
      <c r="CR430" s="1070"/>
      <c r="CS430" s="1070"/>
      <c r="CT430" s="1070"/>
      <c r="CU430" s="1070"/>
      <c r="CV430" s="1070"/>
      <c r="CW430" s="1070"/>
      <c r="CX430" s="1070"/>
      <c r="CY430" s="1070"/>
      <c r="CZ430" s="1070"/>
      <c r="DA430" s="1070"/>
      <c r="DB430" s="1070"/>
      <c r="DC430" s="1070"/>
      <c r="DD430" s="1070"/>
      <c r="DE430" s="1070"/>
      <c r="DF430" s="1070"/>
      <c r="DG430" s="1070"/>
      <c r="DH430" s="1070"/>
      <c r="DI430" s="1070"/>
      <c r="DJ430" s="1070"/>
    </row>
    <row r="431" spans="1:114" s="1136" customFormat="1" ht="15" x14ac:dyDescent="0.2">
      <c r="A431" s="1393" t="s">
        <v>4424</v>
      </c>
      <c r="B431" s="1641" t="e">
        <f>B430*B357</f>
        <v>#VALUE!</v>
      </c>
      <c r="C431" s="1407"/>
      <c r="D431" s="1407"/>
      <c r="E431" s="1407"/>
      <c r="F431" s="1407"/>
      <c r="G431" s="1407"/>
      <c r="H431" s="1070"/>
      <c r="I431" s="1070"/>
      <c r="J431" s="1070"/>
      <c r="K431" s="1070"/>
      <c r="L431" s="1070"/>
      <c r="M431" s="1070"/>
      <c r="N431" s="1070"/>
      <c r="O431" s="1070"/>
      <c r="P431" s="1070"/>
      <c r="Q431" s="1070"/>
      <c r="R431" s="1070"/>
      <c r="S431" s="1070"/>
      <c r="T431" s="1070"/>
      <c r="U431" s="1070"/>
      <c r="V431" s="1070"/>
      <c r="W431" s="1070"/>
      <c r="X431" s="1070"/>
      <c r="Y431" s="1070"/>
      <c r="Z431" s="1070"/>
      <c r="AA431" s="1070"/>
      <c r="AB431" s="1070"/>
      <c r="AC431" s="1070"/>
      <c r="AD431" s="1070"/>
      <c r="AE431" s="1070"/>
      <c r="AF431" s="1070"/>
      <c r="AG431" s="1070"/>
      <c r="AH431" s="1070"/>
      <c r="AI431" s="1070"/>
      <c r="AJ431" s="1070"/>
      <c r="AK431" s="1070"/>
      <c r="AL431" s="1070"/>
      <c r="AM431" s="1070"/>
      <c r="AN431" s="1070"/>
      <c r="AO431" s="1070"/>
      <c r="AP431" s="1070"/>
      <c r="AQ431" s="1070"/>
      <c r="AR431" s="1070"/>
      <c r="AS431" s="1070"/>
      <c r="AT431" s="1070"/>
      <c r="AU431" s="1070"/>
      <c r="AV431" s="1070"/>
      <c r="AW431" s="1070"/>
      <c r="AX431" s="1070"/>
      <c r="AY431" s="1070"/>
      <c r="AZ431" s="1070"/>
      <c r="BA431" s="1070"/>
      <c r="BB431" s="1070"/>
      <c r="BC431" s="1070"/>
      <c r="BD431" s="1070"/>
      <c r="BE431" s="1070"/>
      <c r="BF431" s="1070"/>
      <c r="BG431" s="1070"/>
      <c r="BH431" s="1070"/>
      <c r="BI431" s="1070"/>
      <c r="BJ431" s="1070"/>
      <c r="BK431" s="1070"/>
      <c r="BL431" s="1070"/>
      <c r="BM431" s="1070"/>
      <c r="BN431" s="1070"/>
      <c r="BO431" s="1070"/>
      <c r="BP431" s="1070"/>
      <c r="BQ431" s="1070"/>
      <c r="BR431" s="1070"/>
      <c r="BS431" s="1070"/>
      <c r="BT431" s="1070"/>
      <c r="BU431" s="1070"/>
      <c r="BV431" s="1070"/>
      <c r="BW431" s="1070"/>
      <c r="BX431" s="1070"/>
      <c r="BY431" s="1070"/>
      <c r="BZ431" s="1070"/>
      <c r="CA431" s="1070"/>
      <c r="CB431" s="1070"/>
      <c r="CC431" s="1070"/>
      <c r="CD431" s="1070"/>
      <c r="CE431" s="1070"/>
      <c r="CF431" s="1070"/>
      <c r="CG431" s="1070"/>
      <c r="CH431" s="1070"/>
      <c r="CI431" s="1070"/>
      <c r="CJ431" s="1070"/>
      <c r="CK431" s="1070"/>
      <c r="CL431" s="1070"/>
      <c r="CM431" s="1070"/>
      <c r="CN431" s="1070"/>
      <c r="CO431" s="1070"/>
      <c r="CP431" s="1070"/>
      <c r="CQ431" s="1070"/>
      <c r="CR431" s="1070"/>
      <c r="CS431" s="1070"/>
      <c r="CT431" s="1070"/>
      <c r="CU431" s="1070"/>
      <c r="CV431" s="1070"/>
      <c r="CW431" s="1070"/>
      <c r="CX431" s="1070"/>
      <c r="CY431" s="1070"/>
      <c r="CZ431" s="1070"/>
      <c r="DA431" s="1070"/>
      <c r="DB431" s="1070"/>
      <c r="DC431" s="1070"/>
      <c r="DD431" s="1070"/>
      <c r="DE431" s="1070"/>
      <c r="DF431" s="1070"/>
      <c r="DG431" s="1070"/>
      <c r="DH431" s="1070"/>
      <c r="DI431" s="1070"/>
      <c r="DJ431" s="1070"/>
    </row>
    <row r="432" spans="1:114" s="1136" customFormat="1" ht="15" x14ac:dyDescent="0.2">
      <c r="A432" s="1393" t="s">
        <v>4425</v>
      </c>
      <c r="B432" s="1650">
        <v>1</v>
      </c>
      <c r="C432" s="1070"/>
      <c r="D432" s="1070"/>
      <c r="E432" s="1070"/>
      <c r="F432" s="1070"/>
      <c r="G432" s="1070"/>
      <c r="H432" s="1070"/>
      <c r="I432" s="1070"/>
      <c r="J432" s="1070"/>
      <c r="K432" s="1070"/>
      <c r="L432" s="1070"/>
      <c r="M432" s="1070"/>
      <c r="N432" s="1070"/>
      <c r="O432" s="1070"/>
      <c r="P432" s="1070"/>
      <c r="Q432" s="1070"/>
      <c r="R432" s="1070"/>
      <c r="S432" s="1070"/>
      <c r="T432" s="1070"/>
      <c r="U432" s="1070"/>
      <c r="V432" s="1070"/>
      <c r="W432" s="1070"/>
      <c r="X432" s="1070"/>
      <c r="Y432" s="1070"/>
      <c r="Z432" s="1070"/>
      <c r="AA432" s="1070"/>
      <c r="AB432" s="1070"/>
      <c r="AC432" s="1070"/>
      <c r="AD432" s="1070"/>
      <c r="AE432" s="1070"/>
      <c r="AF432" s="1070"/>
      <c r="AG432" s="1070"/>
      <c r="AH432" s="1070"/>
      <c r="AI432" s="1070"/>
      <c r="AJ432" s="1070"/>
      <c r="AK432" s="1070"/>
      <c r="AL432" s="1070"/>
      <c r="AM432" s="1070"/>
      <c r="AN432" s="1070"/>
      <c r="AO432" s="1070"/>
      <c r="AP432" s="1070"/>
      <c r="AQ432" s="1070"/>
      <c r="AR432" s="1070"/>
      <c r="AS432" s="1070"/>
      <c r="AT432" s="1070"/>
      <c r="AU432" s="1070"/>
      <c r="AV432" s="1070"/>
      <c r="AW432" s="1070"/>
      <c r="AX432" s="1070"/>
      <c r="AY432" s="1070"/>
      <c r="AZ432" s="1070"/>
      <c r="BA432" s="1070"/>
      <c r="BB432" s="1070"/>
      <c r="BC432" s="1070"/>
      <c r="BD432" s="1070"/>
      <c r="BE432" s="1070"/>
      <c r="BF432" s="1070"/>
      <c r="BG432" s="1070"/>
      <c r="BH432" s="1070"/>
      <c r="BI432" s="1070"/>
      <c r="BJ432" s="1070"/>
      <c r="BK432" s="1070"/>
      <c r="BL432" s="1070"/>
      <c r="BM432" s="1070"/>
      <c r="BN432" s="1070"/>
      <c r="BO432" s="1070"/>
      <c r="BP432" s="1070"/>
      <c r="BQ432" s="1070"/>
      <c r="BR432" s="1070"/>
      <c r="BS432" s="1070"/>
      <c r="BT432" s="1070"/>
      <c r="BU432" s="1070"/>
      <c r="BV432" s="1070"/>
      <c r="BW432" s="1070"/>
      <c r="BX432" s="1070"/>
      <c r="BY432" s="1070"/>
      <c r="BZ432" s="1070"/>
      <c r="CA432" s="1070"/>
      <c r="CB432" s="1070"/>
      <c r="CC432" s="1070"/>
      <c r="CD432" s="1070"/>
      <c r="CE432" s="1070"/>
      <c r="CF432" s="1070"/>
      <c r="CG432" s="1070"/>
      <c r="CH432" s="1070"/>
      <c r="CI432" s="1070"/>
      <c r="CJ432" s="1070"/>
      <c r="CK432" s="1070"/>
      <c r="CL432" s="1070"/>
      <c r="CM432" s="1070"/>
      <c r="CN432" s="1070"/>
      <c r="CO432" s="1070"/>
      <c r="CP432" s="1070"/>
      <c r="CQ432" s="1070"/>
      <c r="CR432" s="1070"/>
      <c r="CS432" s="1070"/>
      <c r="CT432" s="1070"/>
      <c r="CU432" s="1070"/>
      <c r="CV432" s="1070"/>
      <c r="CW432" s="1070"/>
      <c r="CX432" s="1070"/>
      <c r="CY432" s="1070"/>
      <c r="CZ432" s="1070"/>
      <c r="DA432" s="1070"/>
      <c r="DB432" s="1070"/>
      <c r="DC432" s="1070"/>
      <c r="DD432" s="1070"/>
      <c r="DE432" s="1070"/>
      <c r="DF432" s="1070"/>
      <c r="DG432" s="1070"/>
      <c r="DH432" s="1070"/>
      <c r="DI432" s="1070"/>
      <c r="DJ432" s="1070"/>
    </row>
    <row r="433" spans="1:114" s="1136" customFormat="1" ht="15" x14ac:dyDescent="0.2">
      <c r="A433" s="1393" t="s">
        <v>4426</v>
      </c>
      <c r="B433" s="1641" t="e">
        <f>B431-B432</f>
        <v>#VALUE!</v>
      </c>
      <c r="C433" s="1407"/>
      <c r="D433" s="1407"/>
      <c r="E433" s="1407"/>
      <c r="F433" s="1407"/>
      <c r="G433" s="1407"/>
      <c r="H433" s="1070"/>
      <c r="I433" s="1070"/>
      <c r="J433" s="1070"/>
      <c r="K433" s="1070"/>
      <c r="L433" s="1070"/>
      <c r="M433" s="1070"/>
      <c r="N433" s="1070"/>
      <c r="O433" s="1070"/>
      <c r="P433" s="1070"/>
      <c r="Q433" s="1070"/>
      <c r="R433" s="1070"/>
      <c r="S433" s="1070"/>
      <c r="T433" s="1070"/>
      <c r="U433" s="1070"/>
      <c r="V433" s="1070"/>
      <c r="W433" s="1070"/>
      <c r="X433" s="1070"/>
      <c r="Y433" s="1070"/>
      <c r="Z433" s="1070"/>
      <c r="AA433" s="1070"/>
      <c r="AB433" s="1070"/>
      <c r="AC433" s="1070"/>
      <c r="AD433" s="1070"/>
      <c r="AE433" s="1070"/>
      <c r="AF433" s="1070"/>
      <c r="AG433" s="1070"/>
      <c r="AH433" s="1070"/>
      <c r="AI433" s="1070"/>
      <c r="AJ433" s="1070"/>
      <c r="AK433" s="1070"/>
      <c r="AL433" s="1070"/>
      <c r="AM433" s="1070"/>
      <c r="AN433" s="1070"/>
      <c r="AO433" s="1070"/>
      <c r="AP433" s="1070"/>
      <c r="AQ433" s="1070"/>
      <c r="AR433" s="1070"/>
      <c r="AS433" s="1070"/>
      <c r="AT433" s="1070"/>
      <c r="AU433" s="1070"/>
      <c r="AV433" s="1070"/>
      <c r="AW433" s="1070"/>
      <c r="AX433" s="1070"/>
      <c r="AY433" s="1070"/>
      <c r="AZ433" s="1070"/>
      <c r="BA433" s="1070"/>
      <c r="BB433" s="1070"/>
      <c r="BC433" s="1070"/>
      <c r="BD433" s="1070"/>
      <c r="BE433" s="1070"/>
      <c r="BF433" s="1070"/>
      <c r="BG433" s="1070"/>
      <c r="BH433" s="1070"/>
      <c r="BI433" s="1070"/>
      <c r="BJ433" s="1070"/>
      <c r="BK433" s="1070"/>
      <c r="BL433" s="1070"/>
      <c r="BM433" s="1070"/>
      <c r="BN433" s="1070"/>
      <c r="BO433" s="1070"/>
      <c r="BP433" s="1070"/>
      <c r="BQ433" s="1070"/>
      <c r="BR433" s="1070"/>
      <c r="BS433" s="1070"/>
      <c r="BT433" s="1070"/>
      <c r="BU433" s="1070"/>
      <c r="BV433" s="1070"/>
      <c r="BW433" s="1070"/>
      <c r="BX433" s="1070"/>
      <c r="BY433" s="1070"/>
      <c r="BZ433" s="1070"/>
      <c r="CA433" s="1070"/>
      <c r="CB433" s="1070"/>
      <c r="CC433" s="1070"/>
      <c r="CD433" s="1070"/>
      <c r="CE433" s="1070"/>
      <c r="CF433" s="1070"/>
      <c r="CG433" s="1070"/>
      <c r="CH433" s="1070"/>
      <c r="CI433" s="1070"/>
      <c r="CJ433" s="1070"/>
      <c r="CK433" s="1070"/>
      <c r="CL433" s="1070"/>
      <c r="CM433" s="1070"/>
      <c r="CN433" s="1070"/>
      <c r="CO433" s="1070"/>
      <c r="CP433" s="1070"/>
      <c r="CQ433" s="1070"/>
      <c r="CR433" s="1070"/>
      <c r="CS433" s="1070"/>
      <c r="CT433" s="1070"/>
      <c r="CU433" s="1070"/>
      <c r="CV433" s="1070"/>
      <c r="CW433" s="1070"/>
      <c r="CX433" s="1070"/>
      <c r="CY433" s="1070"/>
      <c r="CZ433" s="1070"/>
      <c r="DA433" s="1070"/>
      <c r="DB433" s="1070"/>
      <c r="DC433" s="1070"/>
      <c r="DD433" s="1070"/>
      <c r="DE433" s="1070"/>
      <c r="DF433" s="1070"/>
      <c r="DG433" s="1070"/>
      <c r="DH433" s="1070"/>
      <c r="DI433" s="1070"/>
      <c r="DJ433" s="1070"/>
    </row>
    <row r="434" spans="1:114" s="1136" customFormat="1" ht="15" x14ac:dyDescent="0.2">
      <c r="A434" s="1393" t="s">
        <v>4427</v>
      </c>
      <c r="B434" s="1046" t="e">
        <f>B431*100/B356</f>
        <v>#VALUE!</v>
      </c>
      <c r="C434" s="1070"/>
      <c r="D434" s="1070"/>
      <c r="E434" s="1070"/>
      <c r="F434" s="1070"/>
      <c r="G434" s="1070"/>
      <c r="H434" s="1070"/>
      <c r="I434" s="1070"/>
      <c r="J434" s="1070"/>
      <c r="K434" s="1070"/>
      <c r="L434" s="1070"/>
      <c r="M434" s="1070"/>
      <c r="N434" s="1070"/>
      <c r="O434" s="1070"/>
      <c r="P434" s="1070"/>
      <c r="Q434" s="1070"/>
      <c r="R434" s="1070"/>
      <c r="S434" s="1070"/>
      <c r="T434" s="1070"/>
      <c r="U434" s="1070"/>
      <c r="V434" s="1070"/>
      <c r="W434" s="1070"/>
      <c r="X434" s="1070"/>
      <c r="Y434" s="1070"/>
      <c r="Z434" s="1070"/>
      <c r="AA434" s="1070"/>
      <c r="AB434" s="1070"/>
      <c r="AC434" s="1070"/>
      <c r="AD434" s="1070"/>
      <c r="AE434" s="1070"/>
      <c r="AF434" s="1070"/>
      <c r="AG434" s="1070"/>
      <c r="AH434" s="1070"/>
      <c r="AI434" s="1070"/>
      <c r="AJ434" s="1070"/>
      <c r="AK434" s="1070"/>
      <c r="AL434" s="1070"/>
      <c r="AM434" s="1070"/>
      <c r="AN434" s="1070"/>
      <c r="AO434" s="1070"/>
      <c r="AP434" s="1070"/>
      <c r="AQ434" s="1070"/>
      <c r="AR434" s="1070"/>
      <c r="AS434" s="1070"/>
      <c r="AT434" s="1070"/>
      <c r="AU434" s="1070"/>
      <c r="AV434" s="1070"/>
      <c r="AW434" s="1070"/>
      <c r="AX434" s="1070"/>
      <c r="AY434" s="1070"/>
      <c r="AZ434" s="1070"/>
      <c r="BA434" s="1070"/>
      <c r="BB434" s="1070"/>
      <c r="BC434" s="1070"/>
      <c r="BD434" s="1070"/>
      <c r="BE434" s="1070"/>
      <c r="BF434" s="1070"/>
      <c r="BG434" s="1070"/>
      <c r="BH434" s="1070"/>
      <c r="BI434" s="1070"/>
      <c r="BJ434" s="1070"/>
      <c r="BK434" s="1070"/>
      <c r="BL434" s="1070"/>
      <c r="BM434" s="1070"/>
      <c r="BN434" s="1070"/>
      <c r="BO434" s="1070"/>
      <c r="BP434" s="1070"/>
      <c r="BQ434" s="1070"/>
      <c r="BR434" s="1070"/>
      <c r="BS434" s="1070"/>
      <c r="BT434" s="1070"/>
      <c r="BU434" s="1070"/>
      <c r="BV434" s="1070"/>
      <c r="BW434" s="1070"/>
      <c r="BX434" s="1070"/>
      <c r="BY434" s="1070"/>
      <c r="BZ434" s="1070"/>
      <c r="CA434" s="1070"/>
      <c r="CB434" s="1070"/>
      <c r="CC434" s="1070"/>
      <c r="CD434" s="1070"/>
      <c r="CE434" s="1070"/>
      <c r="CF434" s="1070"/>
      <c r="CG434" s="1070"/>
      <c r="CH434" s="1070"/>
      <c r="CI434" s="1070"/>
      <c r="CJ434" s="1070"/>
      <c r="CK434" s="1070"/>
      <c r="CL434" s="1070"/>
      <c r="CM434" s="1070"/>
      <c r="CN434" s="1070"/>
      <c r="CO434" s="1070"/>
      <c r="CP434" s="1070"/>
      <c r="CQ434" s="1070"/>
      <c r="CR434" s="1070"/>
      <c r="CS434" s="1070"/>
      <c r="CT434" s="1070"/>
      <c r="CU434" s="1070"/>
      <c r="CV434" s="1070"/>
      <c r="CW434" s="1070"/>
      <c r="CX434" s="1070"/>
      <c r="CY434" s="1070"/>
      <c r="CZ434" s="1070"/>
      <c r="DA434" s="1070"/>
      <c r="DB434" s="1070"/>
      <c r="DC434" s="1070"/>
      <c r="DD434" s="1070"/>
      <c r="DE434" s="1070"/>
      <c r="DF434" s="1070"/>
      <c r="DG434" s="1070"/>
      <c r="DH434" s="1070"/>
      <c r="DI434" s="1070"/>
      <c r="DJ434" s="1070"/>
    </row>
    <row r="435" spans="1:114" s="1136" customFormat="1" ht="15.75" x14ac:dyDescent="0.25">
      <c r="A435" s="1971" t="s">
        <v>2364</v>
      </c>
      <c r="B435" s="1641" t="e">
        <f>IF(B174&gt;=1000,2*B436,1*B436)</f>
        <v>#VALUE!</v>
      </c>
      <c r="C435" s="1407"/>
      <c r="D435" s="1407"/>
      <c r="E435" s="1407"/>
      <c r="F435" s="1407"/>
      <c r="G435" s="1407"/>
      <c r="H435" s="1070"/>
      <c r="I435" s="1070"/>
      <c r="J435" s="1070"/>
      <c r="K435" s="1070"/>
      <c r="L435" s="1070"/>
      <c r="M435" s="1070"/>
      <c r="N435" s="1070"/>
      <c r="O435" s="1070"/>
      <c r="P435" s="1070"/>
      <c r="Q435" s="1070"/>
      <c r="R435" s="1070"/>
      <c r="S435" s="1070"/>
      <c r="T435" s="1070"/>
      <c r="U435" s="1070"/>
      <c r="V435" s="1070"/>
      <c r="W435" s="1070"/>
      <c r="X435" s="1070"/>
      <c r="Y435" s="1070"/>
      <c r="Z435" s="1070"/>
      <c r="AA435" s="1070"/>
      <c r="AB435" s="1070"/>
      <c r="AC435" s="1070"/>
      <c r="AD435" s="1070"/>
      <c r="AE435" s="1070"/>
      <c r="AF435" s="1070"/>
      <c r="AG435" s="1070"/>
      <c r="AH435" s="1070"/>
      <c r="AI435" s="1070"/>
      <c r="AJ435" s="1070"/>
      <c r="AK435" s="1070"/>
      <c r="AL435" s="1070"/>
      <c r="AM435" s="1070"/>
      <c r="AN435" s="1070"/>
      <c r="AO435" s="1070"/>
      <c r="AP435" s="1070"/>
      <c r="AQ435" s="1070"/>
      <c r="AR435" s="1070"/>
      <c r="AS435" s="1070"/>
      <c r="AT435" s="1070"/>
      <c r="AU435" s="1070"/>
      <c r="AV435" s="1070"/>
      <c r="AW435" s="1070"/>
      <c r="AX435" s="1070"/>
      <c r="AY435" s="1070"/>
      <c r="AZ435" s="1070"/>
      <c r="BA435" s="1070"/>
      <c r="BB435" s="1070"/>
      <c r="BC435" s="1070"/>
      <c r="BD435" s="1070"/>
      <c r="BE435" s="1070"/>
      <c r="BF435" s="1070"/>
      <c r="BG435" s="1070"/>
      <c r="BH435" s="1070"/>
      <c r="BI435" s="1070"/>
      <c r="BJ435" s="1070"/>
      <c r="BK435" s="1070"/>
      <c r="BL435" s="1070"/>
      <c r="BM435" s="1070"/>
      <c r="BN435" s="1070"/>
      <c r="BO435" s="1070"/>
      <c r="BP435" s="1070"/>
      <c r="BQ435" s="1070"/>
      <c r="BR435" s="1070"/>
      <c r="BS435" s="1070"/>
      <c r="BT435" s="1070"/>
      <c r="BU435" s="1070"/>
      <c r="BV435" s="1070"/>
      <c r="BW435" s="1070"/>
      <c r="BX435" s="1070"/>
      <c r="BY435" s="1070"/>
      <c r="BZ435" s="1070"/>
      <c r="CA435" s="1070"/>
      <c r="CB435" s="1070"/>
      <c r="CC435" s="1070"/>
      <c r="CD435" s="1070"/>
      <c r="CE435" s="1070"/>
      <c r="CF435" s="1070"/>
      <c r="CG435" s="1070"/>
      <c r="CH435" s="1070"/>
      <c r="CI435" s="1070"/>
      <c r="CJ435" s="1070"/>
      <c r="CK435" s="1070"/>
      <c r="CL435" s="1070"/>
      <c r="CM435" s="1070"/>
      <c r="CN435" s="1070"/>
      <c r="CO435" s="1070"/>
      <c r="CP435" s="1070"/>
      <c r="CQ435" s="1070"/>
      <c r="CR435" s="1070"/>
      <c r="CS435" s="1070"/>
      <c r="CT435" s="1070"/>
      <c r="CU435" s="1070"/>
      <c r="CV435" s="1070"/>
      <c r="CW435" s="1070"/>
      <c r="CX435" s="1070"/>
      <c r="CY435" s="1070"/>
      <c r="CZ435" s="1070"/>
      <c r="DA435" s="1070"/>
      <c r="DB435" s="1070"/>
      <c r="DC435" s="1070"/>
      <c r="DD435" s="1070"/>
      <c r="DE435" s="1070"/>
      <c r="DF435" s="1070"/>
      <c r="DG435" s="1070"/>
      <c r="DH435" s="1070"/>
      <c r="DI435" s="1070"/>
      <c r="DJ435" s="1070"/>
    </row>
    <row r="436" spans="1:114" s="1136" customFormat="1" ht="15.75" x14ac:dyDescent="0.25">
      <c r="A436" s="1971" t="s">
        <v>3108</v>
      </c>
      <c r="B436" s="1641">
        <f>IF(B188&gt;=3,2,3)</f>
        <v>3</v>
      </c>
      <c r="C436" s="1407"/>
      <c r="D436" s="1407"/>
      <c r="E436" s="1407"/>
      <c r="F436" s="1407"/>
      <c r="G436" s="1407"/>
      <c r="H436" s="1070"/>
      <c r="I436" s="1070"/>
      <c r="J436" s="1070"/>
      <c r="K436" s="1070"/>
      <c r="L436" s="1070"/>
      <c r="M436" s="1070"/>
      <c r="N436" s="1070"/>
      <c r="O436" s="1070"/>
      <c r="P436" s="1070"/>
      <c r="Q436" s="1070"/>
      <c r="R436" s="1070"/>
      <c r="S436" s="1070"/>
      <c r="T436" s="1070"/>
      <c r="U436" s="1070"/>
      <c r="V436" s="1070"/>
      <c r="W436" s="1070"/>
      <c r="X436" s="1070"/>
      <c r="Y436" s="1070"/>
      <c r="Z436" s="1070"/>
      <c r="AA436" s="1070"/>
      <c r="AB436" s="1070"/>
      <c r="AC436" s="1070"/>
      <c r="AD436" s="1070"/>
      <c r="AE436" s="1070"/>
      <c r="AF436" s="1070"/>
      <c r="AG436" s="1070"/>
      <c r="AH436" s="1070"/>
      <c r="AI436" s="1070"/>
      <c r="AJ436" s="1070"/>
      <c r="AK436" s="1070"/>
      <c r="AL436" s="1070"/>
      <c r="AM436" s="1070"/>
      <c r="AN436" s="1070"/>
      <c r="AO436" s="1070"/>
      <c r="AP436" s="1070"/>
      <c r="AQ436" s="1070"/>
      <c r="AR436" s="1070"/>
      <c r="AS436" s="1070"/>
      <c r="AT436" s="1070"/>
      <c r="AU436" s="1070"/>
      <c r="AV436" s="1070"/>
      <c r="AW436" s="1070"/>
      <c r="AX436" s="1070"/>
      <c r="AY436" s="1070"/>
      <c r="AZ436" s="1070"/>
      <c r="BA436" s="1070"/>
      <c r="BB436" s="1070"/>
      <c r="BC436" s="1070"/>
      <c r="BD436" s="1070"/>
      <c r="BE436" s="1070"/>
      <c r="BF436" s="1070"/>
      <c r="BG436" s="1070"/>
      <c r="BH436" s="1070"/>
      <c r="BI436" s="1070"/>
      <c r="BJ436" s="1070"/>
      <c r="BK436" s="1070"/>
      <c r="BL436" s="1070"/>
      <c r="BM436" s="1070"/>
      <c r="BN436" s="1070"/>
      <c r="BO436" s="1070"/>
      <c r="BP436" s="1070"/>
      <c r="BQ436" s="1070"/>
      <c r="BR436" s="1070"/>
      <c r="BS436" s="1070"/>
      <c r="BT436" s="1070"/>
      <c r="BU436" s="1070"/>
      <c r="BV436" s="1070"/>
      <c r="BW436" s="1070"/>
      <c r="BX436" s="1070"/>
      <c r="BY436" s="1070"/>
      <c r="BZ436" s="1070"/>
      <c r="CA436" s="1070"/>
      <c r="CB436" s="1070"/>
      <c r="CC436" s="1070"/>
      <c r="CD436" s="1070"/>
      <c r="CE436" s="1070"/>
      <c r="CF436" s="1070"/>
      <c r="CG436" s="1070"/>
      <c r="CH436" s="1070"/>
      <c r="CI436" s="1070"/>
      <c r="CJ436" s="1070"/>
      <c r="CK436" s="1070"/>
      <c r="CL436" s="1070"/>
      <c r="CM436" s="1070"/>
      <c r="CN436" s="1070"/>
      <c r="CO436" s="1070"/>
      <c r="CP436" s="1070"/>
      <c r="CQ436" s="1070"/>
      <c r="CR436" s="1070"/>
      <c r="CS436" s="1070"/>
      <c r="CT436" s="1070"/>
      <c r="CU436" s="1070"/>
      <c r="CV436" s="1070"/>
      <c r="CW436" s="1070"/>
      <c r="CX436" s="1070"/>
      <c r="CY436" s="1070"/>
      <c r="CZ436" s="1070"/>
      <c r="DA436" s="1070"/>
      <c r="DB436" s="1070"/>
      <c r="DC436" s="1070"/>
      <c r="DD436" s="1070"/>
      <c r="DE436" s="1070"/>
      <c r="DF436" s="1070"/>
      <c r="DG436" s="1070"/>
      <c r="DH436" s="1070"/>
      <c r="DI436" s="1070"/>
      <c r="DJ436" s="1070"/>
    </row>
    <row r="437" spans="1:114" s="1136" customFormat="1" ht="15.75" x14ac:dyDescent="0.25">
      <c r="A437" s="1971" t="s">
        <v>4428</v>
      </c>
      <c r="B437" s="1641">
        <f>B436</f>
        <v>3</v>
      </c>
      <c r="C437" s="1407"/>
      <c r="D437" s="1407"/>
      <c r="E437" s="1407"/>
      <c r="F437" s="1407"/>
      <c r="G437" s="1407"/>
      <c r="H437" s="1070"/>
      <c r="I437" s="1070"/>
      <c r="J437" s="1070"/>
      <c r="K437" s="1070"/>
      <c r="L437" s="1070"/>
      <c r="M437" s="1070"/>
      <c r="N437" s="1070"/>
      <c r="O437" s="1070"/>
      <c r="P437" s="1070"/>
      <c r="Q437" s="1070"/>
      <c r="R437" s="1070"/>
      <c r="S437" s="1070"/>
      <c r="T437" s="1070"/>
      <c r="U437" s="1070"/>
      <c r="V437" s="1070"/>
      <c r="W437" s="1070"/>
      <c r="X437" s="1070"/>
      <c r="Y437" s="1070"/>
      <c r="Z437" s="1070"/>
      <c r="AA437" s="1070"/>
      <c r="AB437" s="1070"/>
      <c r="AC437" s="1070"/>
      <c r="AD437" s="1070"/>
      <c r="AE437" s="1070"/>
      <c r="AF437" s="1070"/>
      <c r="AG437" s="1070"/>
      <c r="AH437" s="1070"/>
      <c r="AI437" s="1070"/>
      <c r="AJ437" s="1070"/>
      <c r="AK437" s="1070"/>
      <c r="AL437" s="1070"/>
      <c r="AM437" s="1070"/>
      <c r="AN437" s="1070"/>
      <c r="AO437" s="1070"/>
      <c r="AP437" s="1070"/>
      <c r="AQ437" s="1070"/>
      <c r="AR437" s="1070"/>
      <c r="AS437" s="1070"/>
      <c r="AT437" s="1070"/>
      <c r="AU437" s="1070"/>
      <c r="AV437" s="1070"/>
      <c r="AW437" s="1070"/>
      <c r="AX437" s="1070"/>
      <c r="AY437" s="1070"/>
      <c r="AZ437" s="1070"/>
      <c r="BA437" s="1070"/>
      <c r="BB437" s="1070"/>
      <c r="BC437" s="1070"/>
      <c r="BD437" s="1070"/>
      <c r="BE437" s="1070"/>
      <c r="BF437" s="1070"/>
      <c r="BG437" s="1070"/>
      <c r="BH437" s="1070"/>
      <c r="BI437" s="1070"/>
      <c r="BJ437" s="1070"/>
      <c r="BK437" s="1070"/>
      <c r="BL437" s="1070"/>
      <c r="BM437" s="1070"/>
      <c r="BN437" s="1070"/>
      <c r="BO437" s="1070"/>
      <c r="BP437" s="1070"/>
      <c r="BQ437" s="1070"/>
      <c r="BR437" s="1070"/>
      <c r="BS437" s="1070"/>
      <c r="BT437" s="1070"/>
      <c r="BU437" s="1070"/>
      <c r="BV437" s="1070"/>
      <c r="BW437" s="1070"/>
      <c r="BX437" s="1070"/>
      <c r="BY437" s="1070"/>
      <c r="BZ437" s="1070"/>
      <c r="CA437" s="1070"/>
      <c r="CB437" s="1070"/>
      <c r="CC437" s="1070"/>
      <c r="CD437" s="1070"/>
      <c r="CE437" s="1070"/>
      <c r="CF437" s="1070"/>
      <c r="CG437" s="1070"/>
      <c r="CH437" s="1070"/>
      <c r="CI437" s="1070"/>
      <c r="CJ437" s="1070"/>
      <c r="CK437" s="1070"/>
      <c r="CL437" s="1070"/>
      <c r="CM437" s="1070"/>
      <c r="CN437" s="1070"/>
      <c r="CO437" s="1070"/>
      <c r="CP437" s="1070"/>
      <c r="CQ437" s="1070"/>
      <c r="CR437" s="1070"/>
      <c r="CS437" s="1070"/>
      <c r="CT437" s="1070"/>
      <c r="CU437" s="1070"/>
      <c r="CV437" s="1070"/>
      <c r="CW437" s="1070"/>
      <c r="CX437" s="1070"/>
      <c r="CY437" s="1070"/>
      <c r="CZ437" s="1070"/>
      <c r="DA437" s="1070"/>
      <c r="DB437" s="1070"/>
      <c r="DC437" s="1070"/>
      <c r="DD437" s="1070"/>
      <c r="DE437" s="1070"/>
      <c r="DF437" s="1070"/>
      <c r="DG437" s="1070"/>
      <c r="DH437" s="1070"/>
      <c r="DI437" s="1070"/>
      <c r="DJ437" s="1070"/>
    </row>
    <row r="438" spans="1:114" s="1136" customFormat="1" ht="25.5" x14ac:dyDescent="0.2">
      <c r="A438" s="1841" t="s">
        <v>4411</v>
      </c>
      <c r="B438" s="1641"/>
      <c r="C438" s="1407"/>
      <c r="D438" s="1407"/>
      <c r="E438" s="1407"/>
      <c r="F438" s="1407"/>
      <c r="G438" s="1407"/>
      <c r="H438" s="1070"/>
      <c r="I438" s="1070"/>
      <c r="J438" s="1070"/>
      <c r="K438" s="1070"/>
      <c r="L438" s="1070"/>
      <c r="M438" s="1070"/>
      <c r="N438" s="1070"/>
      <c r="O438" s="1070"/>
      <c r="P438" s="1070"/>
      <c r="Q438" s="1070"/>
      <c r="R438" s="1070"/>
      <c r="S438" s="1070"/>
      <c r="T438" s="1070"/>
      <c r="U438" s="1070"/>
      <c r="V438" s="1070"/>
      <c r="W438" s="1070"/>
      <c r="X438" s="1070"/>
      <c r="Y438" s="1070"/>
      <c r="Z438" s="1070"/>
      <c r="AA438" s="1070"/>
      <c r="AB438" s="1070"/>
      <c r="AC438" s="1070"/>
      <c r="AD438" s="1070"/>
      <c r="AE438" s="1070"/>
      <c r="AF438" s="1070"/>
      <c r="AG438" s="1070"/>
      <c r="AH438" s="1070"/>
      <c r="AI438" s="1070"/>
      <c r="AJ438" s="1070"/>
      <c r="AK438" s="1070"/>
      <c r="AL438" s="1070"/>
      <c r="AM438" s="1070"/>
      <c r="AN438" s="1070"/>
      <c r="AO438" s="1070"/>
      <c r="AP438" s="1070"/>
      <c r="AQ438" s="1070"/>
      <c r="AR438" s="1070"/>
      <c r="AS438" s="1070"/>
      <c r="AT438" s="1070"/>
      <c r="AU438" s="1070"/>
      <c r="AV438" s="1070"/>
      <c r="AW438" s="1070"/>
      <c r="AX438" s="1070"/>
      <c r="AY438" s="1070"/>
      <c r="AZ438" s="1070"/>
      <c r="BA438" s="1070"/>
      <c r="BB438" s="1070"/>
      <c r="BC438" s="1070"/>
      <c r="BD438" s="1070"/>
      <c r="BE438" s="1070"/>
      <c r="BF438" s="1070"/>
      <c r="BG438" s="1070"/>
      <c r="BH438" s="1070"/>
      <c r="BI438" s="1070"/>
      <c r="BJ438" s="1070"/>
      <c r="BK438" s="1070"/>
      <c r="BL438" s="1070"/>
      <c r="BM438" s="1070"/>
      <c r="BN438" s="1070"/>
      <c r="BO438" s="1070"/>
      <c r="BP438" s="1070"/>
      <c r="BQ438" s="1070"/>
      <c r="BR438" s="1070"/>
      <c r="BS438" s="1070"/>
      <c r="BT438" s="1070"/>
      <c r="BU438" s="1070"/>
      <c r="BV438" s="1070"/>
      <c r="BW438" s="1070"/>
      <c r="BX438" s="1070"/>
      <c r="BY438" s="1070"/>
      <c r="BZ438" s="1070"/>
      <c r="CA438" s="1070"/>
      <c r="CB438" s="1070"/>
      <c r="CC438" s="1070"/>
      <c r="CD438" s="1070"/>
      <c r="CE438" s="1070"/>
      <c r="CF438" s="1070"/>
      <c r="CG438" s="1070"/>
      <c r="CH438" s="1070"/>
      <c r="CI438" s="1070"/>
      <c r="CJ438" s="1070"/>
      <c r="CK438" s="1070"/>
      <c r="CL438" s="1070"/>
      <c r="CM438" s="1070"/>
      <c r="CN438" s="1070"/>
      <c r="CO438" s="1070"/>
      <c r="CP438" s="1070"/>
      <c r="CQ438" s="1070"/>
      <c r="CR438" s="1070"/>
      <c r="CS438" s="1070"/>
      <c r="CT438" s="1070"/>
      <c r="CU438" s="1070"/>
      <c r="CV438" s="1070"/>
      <c r="CW438" s="1070"/>
      <c r="CX438" s="1070"/>
      <c r="CY438" s="1070"/>
      <c r="CZ438" s="1070"/>
      <c r="DA438" s="1070"/>
      <c r="DB438" s="1070"/>
      <c r="DC438" s="1070"/>
      <c r="DD438" s="1070"/>
      <c r="DE438" s="1070"/>
      <c r="DF438" s="1070"/>
      <c r="DG438" s="1070"/>
      <c r="DH438" s="1070"/>
      <c r="DI438" s="1070"/>
      <c r="DJ438" s="1070"/>
    </row>
    <row r="439" spans="1:114" s="1136" customFormat="1" ht="15" x14ac:dyDescent="0.2">
      <c r="A439" s="1844" t="s">
        <v>2995</v>
      </c>
      <c r="B439" s="1484" t="e">
        <f>B2747</f>
        <v>#VALUE!</v>
      </c>
      <c r="C439" s="1407"/>
      <c r="D439" s="1407"/>
      <c r="E439" s="1407"/>
      <c r="F439" s="1407"/>
      <c r="G439" s="1407"/>
      <c r="H439" s="1070"/>
      <c r="I439" s="1070"/>
      <c r="J439" s="1070"/>
      <c r="K439" s="1070"/>
      <c r="L439" s="1070"/>
      <c r="M439" s="1070"/>
      <c r="N439" s="1070"/>
      <c r="O439" s="1070"/>
      <c r="P439" s="1070"/>
      <c r="Q439" s="1070"/>
      <c r="R439" s="1070"/>
      <c r="S439" s="1070"/>
      <c r="T439" s="1070"/>
      <c r="U439" s="1070"/>
      <c r="V439" s="1070"/>
      <c r="W439" s="1070"/>
      <c r="X439" s="1070"/>
      <c r="Y439" s="1070"/>
      <c r="Z439" s="1070"/>
      <c r="AA439" s="1070"/>
      <c r="AB439" s="1070"/>
      <c r="AC439" s="1070"/>
      <c r="AD439" s="1070"/>
      <c r="AE439" s="1070"/>
      <c r="AF439" s="1070"/>
      <c r="AG439" s="1070"/>
      <c r="AH439" s="1070"/>
      <c r="AI439" s="1070"/>
      <c r="AJ439" s="1070"/>
      <c r="AK439" s="1070"/>
      <c r="AL439" s="1070"/>
      <c r="AM439" s="1070"/>
      <c r="AN439" s="1070"/>
      <c r="AO439" s="1070"/>
      <c r="AP439" s="1070"/>
      <c r="AQ439" s="1070"/>
      <c r="AR439" s="1070"/>
      <c r="AS439" s="1070"/>
      <c r="AT439" s="1070"/>
      <c r="AU439" s="1070"/>
      <c r="AV439" s="1070"/>
      <c r="AW439" s="1070"/>
      <c r="AX439" s="1070"/>
      <c r="AY439" s="1070"/>
      <c r="AZ439" s="1070"/>
      <c r="BA439" s="1070"/>
      <c r="BB439" s="1070"/>
      <c r="BC439" s="1070"/>
      <c r="BD439" s="1070"/>
      <c r="BE439" s="1070"/>
      <c r="BF439" s="1070"/>
      <c r="BG439" s="1070"/>
      <c r="BH439" s="1070"/>
      <c r="BI439" s="1070"/>
      <c r="BJ439" s="1070"/>
      <c r="BK439" s="1070"/>
      <c r="BL439" s="1070"/>
      <c r="BM439" s="1070"/>
      <c r="BN439" s="1070"/>
      <c r="BO439" s="1070"/>
      <c r="BP439" s="1070"/>
      <c r="BQ439" s="1070"/>
      <c r="BR439" s="1070"/>
      <c r="BS439" s="1070"/>
      <c r="BT439" s="1070"/>
      <c r="BU439" s="1070"/>
      <c r="BV439" s="1070"/>
      <c r="BW439" s="1070"/>
      <c r="BX439" s="1070"/>
      <c r="BY439" s="1070"/>
      <c r="BZ439" s="1070"/>
      <c r="CA439" s="1070"/>
      <c r="CB439" s="1070"/>
      <c r="CC439" s="1070"/>
      <c r="CD439" s="1070"/>
      <c r="CE439" s="1070"/>
      <c r="CF439" s="1070"/>
      <c r="CG439" s="1070"/>
      <c r="CH439" s="1070"/>
      <c r="CI439" s="1070"/>
      <c r="CJ439" s="1070"/>
      <c r="CK439" s="1070"/>
      <c r="CL439" s="1070"/>
      <c r="CM439" s="1070"/>
      <c r="CN439" s="1070"/>
      <c r="CO439" s="1070"/>
      <c r="CP439" s="1070"/>
      <c r="CQ439" s="1070"/>
      <c r="CR439" s="1070"/>
      <c r="CS439" s="1070"/>
      <c r="CT439" s="1070"/>
      <c r="CU439" s="1070"/>
      <c r="CV439" s="1070"/>
      <c r="CW439" s="1070"/>
      <c r="CX439" s="1070"/>
      <c r="CY439" s="1070"/>
      <c r="CZ439" s="1070"/>
      <c r="DA439" s="1070"/>
      <c r="DB439" s="1070"/>
      <c r="DC439" s="1070"/>
      <c r="DD439" s="1070"/>
      <c r="DE439" s="1070"/>
      <c r="DF439" s="1070"/>
      <c r="DG439" s="1070"/>
      <c r="DH439" s="1070"/>
      <c r="DI439" s="1070"/>
      <c r="DJ439" s="1070"/>
    </row>
    <row r="440" spans="1:114" s="1136" customFormat="1" ht="15" x14ac:dyDescent="0.2">
      <c r="A440" s="1837" t="s">
        <v>425</v>
      </c>
      <c r="B440" s="1641" t="e">
        <f>IF(B441&lt;101,164,IF(B441&lt;201,182,IF(B441&lt;351,209,IF(B441&lt;501,240,276))))</f>
        <v>#VALUE!</v>
      </c>
      <c r="C440" s="1407"/>
      <c r="D440" s="1407"/>
      <c r="E440" s="1407"/>
      <c r="F440" s="1407"/>
      <c r="G440" s="1407"/>
      <c r="H440" s="1070"/>
      <c r="I440" s="1070"/>
      <c r="J440" s="1070"/>
      <c r="K440" s="1070"/>
      <c r="L440" s="1070"/>
      <c r="M440" s="1070"/>
      <c r="N440" s="1070"/>
      <c r="O440" s="1070"/>
      <c r="P440" s="1070"/>
      <c r="Q440" s="1070"/>
      <c r="R440" s="1070"/>
      <c r="S440" s="1070"/>
      <c r="T440" s="1070"/>
      <c r="U440" s="1070"/>
      <c r="V440" s="1070"/>
      <c r="W440" s="1070"/>
      <c r="X440" s="1070"/>
      <c r="Y440" s="1070"/>
      <c r="Z440" s="1070"/>
      <c r="AA440" s="1070"/>
      <c r="AB440" s="1070"/>
      <c r="AC440" s="1070"/>
      <c r="AD440" s="1070"/>
      <c r="AE440" s="1070"/>
      <c r="AF440" s="1070"/>
      <c r="AG440" s="1070"/>
      <c r="AH440" s="1070"/>
      <c r="AI440" s="1070"/>
      <c r="AJ440" s="1070"/>
      <c r="AK440" s="1070"/>
      <c r="AL440" s="1070"/>
      <c r="AM440" s="1070"/>
      <c r="AN440" s="1070"/>
      <c r="AO440" s="1070"/>
      <c r="AP440" s="1070"/>
      <c r="AQ440" s="1070"/>
      <c r="AR440" s="1070"/>
      <c r="AS440" s="1070"/>
      <c r="AT440" s="1070"/>
      <c r="AU440" s="1070"/>
      <c r="AV440" s="1070"/>
      <c r="AW440" s="1070"/>
      <c r="AX440" s="1070"/>
      <c r="AY440" s="1070"/>
      <c r="AZ440" s="1070"/>
      <c r="BA440" s="1070"/>
      <c r="BB440" s="1070"/>
      <c r="BC440" s="1070"/>
      <c r="BD440" s="1070"/>
      <c r="BE440" s="1070"/>
      <c r="BF440" s="1070"/>
      <c r="BG440" s="1070"/>
      <c r="BH440" s="1070"/>
      <c r="BI440" s="1070"/>
      <c r="BJ440" s="1070"/>
      <c r="BK440" s="1070"/>
      <c r="BL440" s="1070"/>
      <c r="BM440" s="1070"/>
      <c r="BN440" s="1070"/>
      <c r="BO440" s="1070"/>
      <c r="BP440" s="1070"/>
      <c r="BQ440" s="1070"/>
      <c r="BR440" s="1070"/>
      <c r="BS440" s="1070"/>
      <c r="BT440" s="1070"/>
      <c r="BU440" s="1070"/>
      <c r="BV440" s="1070"/>
      <c r="BW440" s="1070"/>
      <c r="BX440" s="1070"/>
      <c r="BY440" s="1070"/>
      <c r="BZ440" s="1070"/>
      <c r="CA440" s="1070"/>
      <c r="CB440" s="1070"/>
      <c r="CC440" s="1070"/>
      <c r="CD440" s="1070"/>
      <c r="CE440" s="1070"/>
      <c r="CF440" s="1070"/>
      <c r="CG440" s="1070"/>
      <c r="CH440" s="1070"/>
      <c r="CI440" s="1070"/>
      <c r="CJ440" s="1070"/>
      <c r="CK440" s="1070"/>
      <c r="CL440" s="1070"/>
      <c r="CM440" s="1070"/>
      <c r="CN440" s="1070"/>
      <c r="CO440" s="1070"/>
      <c r="CP440" s="1070"/>
      <c r="CQ440" s="1070"/>
      <c r="CR440" s="1070"/>
      <c r="CS440" s="1070"/>
      <c r="CT440" s="1070"/>
      <c r="CU440" s="1070"/>
      <c r="CV440" s="1070"/>
      <c r="CW440" s="1070"/>
      <c r="CX440" s="1070"/>
      <c r="CY440" s="1070"/>
      <c r="CZ440" s="1070"/>
      <c r="DA440" s="1070"/>
      <c r="DB440" s="1070"/>
      <c r="DC440" s="1070"/>
      <c r="DD440" s="1070"/>
      <c r="DE440" s="1070"/>
      <c r="DF440" s="1070"/>
      <c r="DG440" s="1070"/>
      <c r="DH440" s="1070"/>
      <c r="DI440" s="1070"/>
      <c r="DJ440" s="1070"/>
    </row>
    <row r="441" spans="1:114" s="1136" customFormat="1" ht="38.25" x14ac:dyDescent="0.2">
      <c r="A441" s="1837" t="s">
        <v>4412</v>
      </c>
      <c r="B441" s="1641" t="e">
        <f>B174/(IF(B188&gt;2,2,3))</f>
        <v>#VALUE!</v>
      </c>
      <c r="C441" s="1407"/>
      <c r="D441" s="1407"/>
      <c r="E441" s="1407"/>
      <c r="F441" s="1407"/>
      <c r="G441" s="1407"/>
      <c r="H441" s="1070"/>
      <c r="I441" s="1070"/>
      <c r="J441" s="1070"/>
      <c r="K441" s="1070"/>
      <c r="L441" s="1070"/>
      <c r="M441" s="1070"/>
      <c r="N441" s="1070"/>
      <c r="O441" s="1070"/>
      <c r="P441" s="1070"/>
      <c r="Q441" s="1070"/>
      <c r="R441" s="1070"/>
      <c r="S441" s="1070"/>
      <c r="T441" s="1070"/>
      <c r="U441" s="1070"/>
      <c r="V441" s="1070"/>
      <c r="W441" s="1070"/>
      <c r="X441" s="1070"/>
      <c r="Y441" s="1070"/>
      <c r="Z441" s="1070"/>
      <c r="AA441" s="1070"/>
      <c r="AB441" s="1070"/>
      <c r="AC441" s="1070"/>
      <c r="AD441" s="1070"/>
      <c r="AE441" s="1070"/>
      <c r="AF441" s="1070"/>
      <c r="AG441" s="1070"/>
      <c r="AH441" s="1070"/>
      <c r="AI441" s="1070"/>
      <c r="AJ441" s="1070"/>
      <c r="AK441" s="1070"/>
      <c r="AL441" s="1070"/>
      <c r="AM441" s="1070"/>
      <c r="AN441" s="1070"/>
      <c r="AO441" s="1070"/>
      <c r="AP441" s="1070"/>
      <c r="AQ441" s="1070"/>
      <c r="AR441" s="1070"/>
      <c r="AS441" s="1070"/>
      <c r="AT441" s="1070"/>
      <c r="AU441" s="1070"/>
      <c r="AV441" s="1070"/>
      <c r="AW441" s="1070"/>
      <c r="AX441" s="1070"/>
      <c r="AY441" s="1070"/>
      <c r="AZ441" s="1070"/>
      <c r="BA441" s="1070"/>
      <c r="BB441" s="1070"/>
      <c r="BC441" s="1070"/>
      <c r="BD441" s="1070"/>
      <c r="BE441" s="1070"/>
      <c r="BF441" s="1070"/>
      <c r="BG441" s="1070"/>
      <c r="BH441" s="1070"/>
      <c r="BI441" s="1070"/>
      <c r="BJ441" s="1070"/>
      <c r="BK441" s="1070"/>
      <c r="BL441" s="1070"/>
      <c r="BM441" s="1070"/>
      <c r="BN441" s="1070"/>
      <c r="BO441" s="1070"/>
      <c r="BP441" s="1070"/>
      <c r="BQ441" s="1070"/>
      <c r="BR441" s="1070"/>
      <c r="BS441" s="1070"/>
      <c r="BT441" s="1070"/>
      <c r="BU441" s="1070"/>
      <c r="BV441" s="1070"/>
      <c r="BW441" s="1070"/>
      <c r="BX441" s="1070"/>
      <c r="BY441" s="1070"/>
      <c r="BZ441" s="1070"/>
      <c r="CA441" s="1070"/>
      <c r="CB441" s="1070"/>
      <c r="CC441" s="1070"/>
      <c r="CD441" s="1070"/>
      <c r="CE441" s="1070"/>
      <c r="CF441" s="1070"/>
      <c r="CG441" s="1070"/>
      <c r="CH441" s="1070"/>
      <c r="CI441" s="1070"/>
      <c r="CJ441" s="1070"/>
      <c r="CK441" s="1070"/>
      <c r="CL441" s="1070"/>
      <c r="CM441" s="1070"/>
      <c r="CN441" s="1070"/>
      <c r="CO441" s="1070"/>
      <c r="CP441" s="1070"/>
      <c r="CQ441" s="1070"/>
      <c r="CR441" s="1070"/>
      <c r="CS441" s="1070"/>
      <c r="CT441" s="1070"/>
      <c r="CU441" s="1070"/>
      <c r="CV441" s="1070"/>
      <c r="CW441" s="1070"/>
      <c r="CX441" s="1070"/>
      <c r="CY441" s="1070"/>
      <c r="CZ441" s="1070"/>
      <c r="DA441" s="1070"/>
      <c r="DB441" s="1070"/>
      <c r="DC441" s="1070"/>
      <c r="DD441" s="1070"/>
      <c r="DE441" s="1070"/>
      <c r="DF441" s="1070"/>
      <c r="DG441" s="1070"/>
      <c r="DH441" s="1070"/>
      <c r="DI441" s="1070"/>
      <c r="DJ441" s="1070"/>
    </row>
    <row r="442" spans="1:114" s="1136" customFormat="1" ht="15" x14ac:dyDescent="0.2">
      <c r="A442" s="1837" t="s">
        <v>1322</v>
      </c>
      <c r="B442" s="1641">
        <f>B443*B444</f>
        <v>1.7249999999999999</v>
      </c>
      <c r="C442" s="1407"/>
      <c r="D442" s="1407"/>
      <c r="E442" s="1407"/>
      <c r="F442" s="1407"/>
      <c r="G442" s="1407"/>
      <c r="H442" s="1070"/>
      <c r="I442" s="1070"/>
      <c r="J442" s="1070"/>
      <c r="K442" s="1070"/>
      <c r="L442" s="1070"/>
      <c r="M442" s="1070"/>
      <c r="N442" s="1070"/>
      <c r="O442" s="1070"/>
      <c r="P442" s="1070"/>
      <c r="Q442" s="1070"/>
      <c r="R442" s="1070"/>
      <c r="S442" s="1070"/>
      <c r="T442" s="1070"/>
      <c r="U442" s="1070"/>
      <c r="V442" s="1070"/>
      <c r="W442" s="1070"/>
      <c r="X442" s="1070"/>
      <c r="Y442" s="1070"/>
      <c r="Z442" s="1070"/>
      <c r="AA442" s="1070"/>
      <c r="AB442" s="1070"/>
      <c r="AC442" s="1070"/>
      <c r="AD442" s="1070"/>
      <c r="AE442" s="1070"/>
      <c r="AF442" s="1070"/>
      <c r="AG442" s="1070"/>
      <c r="AH442" s="1070"/>
      <c r="AI442" s="1070"/>
      <c r="AJ442" s="1070"/>
      <c r="AK442" s="1070"/>
      <c r="AL442" s="1070"/>
      <c r="AM442" s="1070"/>
      <c r="AN442" s="1070"/>
      <c r="AO442" s="1070"/>
      <c r="AP442" s="1070"/>
      <c r="AQ442" s="1070"/>
      <c r="AR442" s="1070"/>
      <c r="AS442" s="1070"/>
      <c r="AT442" s="1070"/>
      <c r="AU442" s="1070"/>
      <c r="AV442" s="1070"/>
      <c r="AW442" s="1070"/>
      <c r="AX442" s="1070"/>
      <c r="AY442" s="1070"/>
      <c r="AZ442" s="1070"/>
      <c r="BA442" s="1070"/>
      <c r="BB442" s="1070"/>
      <c r="BC442" s="1070"/>
      <c r="BD442" s="1070"/>
      <c r="BE442" s="1070"/>
      <c r="BF442" s="1070"/>
      <c r="BG442" s="1070"/>
      <c r="BH442" s="1070"/>
      <c r="BI442" s="1070"/>
      <c r="BJ442" s="1070"/>
      <c r="BK442" s="1070"/>
      <c r="BL442" s="1070"/>
      <c r="BM442" s="1070"/>
      <c r="BN442" s="1070"/>
      <c r="BO442" s="1070"/>
      <c r="BP442" s="1070"/>
      <c r="BQ442" s="1070"/>
      <c r="BR442" s="1070"/>
      <c r="BS442" s="1070"/>
      <c r="BT442" s="1070"/>
      <c r="BU442" s="1070"/>
      <c r="BV442" s="1070"/>
      <c r="BW442" s="1070"/>
      <c r="BX442" s="1070"/>
      <c r="BY442" s="1070"/>
      <c r="BZ442" s="1070"/>
      <c r="CA442" s="1070"/>
      <c r="CB442" s="1070"/>
      <c r="CC442" s="1070"/>
      <c r="CD442" s="1070"/>
      <c r="CE442" s="1070"/>
      <c r="CF442" s="1070"/>
      <c r="CG442" s="1070"/>
      <c r="CH442" s="1070"/>
      <c r="CI442" s="1070"/>
      <c r="CJ442" s="1070"/>
      <c r="CK442" s="1070"/>
      <c r="CL442" s="1070"/>
      <c r="CM442" s="1070"/>
      <c r="CN442" s="1070"/>
      <c r="CO442" s="1070"/>
      <c r="CP442" s="1070"/>
      <c r="CQ442" s="1070"/>
      <c r="CR442" s="1070"/>
      <c r="CS442" s="1070"/>
      <c r="CT442" s="1070"/>
      <c r="CU442" s="1070"/>
      <c r="CV442" s="1070"/>
      <c r="CW442" s="1070"/>
      <c r="CX442" s="1070"/>
      <c r="CY442" s="1070"/>
      <c r="CZ442" s="1070"/>
      <c r="DA442" s="1070"/>
      <c r="DB442" s="1070"/>
      <c r="DC442" s="1070"/>
      <c r="DD442" s="1070"/>
      <c r="DE442" s="1070"/>
      <c r="DF442" s="1070"/>
      <c r="DG442" s="1070"/>
      <c r="DH442" s="1070"/>
      <c r="DI442" s="1070"/>
      <c r="DJ442" s="1070"/>
    </row>
    <row r="443" spans="1:114" s="1136" customFormat="1" ht="15" x14ac:dyDescent="0.2">
      <c r="A443" s="1837" t="s">
        <v>4413</v>
      </c>
      <c r="B443" s="1641">
        <v>1.5</v>
      </c>
      <c r="C443" s="1407"/>
      <c r="D443" s="1407"/>
      <c r="E443" s="1407"/>
      <c r="F443" s="1407"/>
      <c r="G443" s="1407"/>
      <c r="H443" s="1070"/>
      <c r="I443" s="1070"/>
      <c r="J443" s="1070"/>
      <c r="K443" s="1070"/>
      <c r="L443" s="1070"/>
      <c r="M443" s="1070"/>
      <c r="N443" s="1070"/>
      <c r="O443" s="1070"/>
      <c r="P443" s="1070"/>
      <c r="Q443" s="1070"/>
      <c r="R443" s="1070"/>
      <c r="S443" s="1070"/>
      <c r="T443" s="1070"/>
      <c r="U443" s="1070"/>
      <c r="V443" s="1070"/>
      <c r="W443" s="1070"/>
      <c r="X443" s="1070"/>
      <c r="Y443" s="1070"/>
      <c r="Z443" s="1070"/>
      <c r="AA443" s="1070"/>
      <c r="AB443" s="1070"/>
      <c r="AC443" s="1070"/>
      <c r="AD443" s="1070"/>
      <c r="AE443" s="1070"/>
      <c r="AF443" s="1070"/>
      <c r="AG443" s="1070"/>
      <c r="AH443" s="1070"/>
      <c r="AI443" s="1070"/>
      <c r="AJ443" s="1070"/>
      <c r="AK443" s="1070"/>
      <c r="AL443" s="1070"/>
      <c r="AM443" s="1070"/>
      <c r="AN443" s="1070"/>
      <c r="AO443" s="1070"/>
      <c r="AP443" s="1070"/>
      <c r="AQ443" s="1070"/>
      <c r="AR443" s="1070"/>
      <c r="AS443" s="1070"/>
      <c r="AT443" s="1070"/>
      <c r="AU443" s="1070"/>
      <c r="AV443" s="1070"/>
      <c r="AW443" s="1070"/>
      <c r="AX443" s="1070"/>
      <c r="AY443" s="1070"/>
      <c r="AZ443" s="1070"/>
      <c r="BA443" s="1070"/>
      <c r="BB443" s="1070"/>
      <c r="BC443" s="1070"/>
      <c r="BD443" s="1070"/>
      <c r="BE443" s="1070"/>
      <c r="BF443" s="1070"/>
      <c r="BG443" s="1070"/>
      <c r="BH443" s="1070"/>
      <c r="BI443" s="1070"/>
      <c r="BJ443" s="1070"/>
      <c r="BK443" s="1070"/>
      <c r="BL443" s="1070"/>
      <c r="BM443" s="1070"/>
      <c r="BN443" s="1070"/>
      <c r="BO443" s="1070"/>
      <c r="BP443" s="1070"/>
      <c r="BQ443" s="1070"/>
      <c r="BR443" s="1070"/>
      <c r="BS443" s="1070"/>
      <c r="BT443" s="1070"/>
      <c r="BU443" s="1070"/>
      <c r="BV443" s="1070"/>
      <c r="BW443" s="1070"/>
      <c r="BX443" s="1070"/>
      <c r="BY443" s="1070"/>
      <c r="BZ443" s="1070"/>
      <c r="CA443" s="1070"/>
      <c r="CB443" s="1070"/>
      <c r="CC443" s="1070"/>
      <c r="CD443" s="1070"/>
      <c r="CE443" s="1070"/>
      <c r="CF443" s="1070"/>
      <c r="CG443" s="1070"/>
      <c r="CH443" s="1070"/>
      <c r="CI443" s="1070"/>
      <c r="CJ443" s="1070"/>
      <c r="CK443" s="1070"/>
      <c r="CL443" s="1070"/>
      <c r="CM443" s="1070"/>
      <c r="CN443" s="1070"/>
      <c r="CO443" s="1070"/>
      <c r="CP443" s="1070"/>
      <c r="CQ443" s="1070"/>
      <c r="CR443" s="1070"/>
      <c r="CS443" s="1070"/>
      <c r="CT443" s="1070"/>
      <c r="CU443" s="1070"/>
      <c r="CV443" s="1070"/>
      <c r="CW443" s="1070"/>
      <c r="CX443" s="1070"/>
      <c r="CY443" s="1070"/>
      <c r="CZ443" s="1070"/>
      <c r="DA443" s="1070"/>
      <c r="DB443" s="1070"/>
      <c r="DC443" s="1070"/>
      <c r="DD443" s="1070"/>
      <c r="DE443" s="1070"/>
      <c r="DF443" s="1070"/>
      <c r="DG443" s="1070"/>
      <c r="DH443" s="1070"/>
      <c r="DI443" s="1070"/>
      <c r="DJ443" s="1070"/>
    </row>
    <row r="444" spans="1:114" s="1136" customFormat="1" ht="15" x14ac:dyDescent="0.2">
      <c r="A444" s="1837" t="s">
        <v>4414</v>
      </c>
      <c r="B444" s="1641">
        <f>IF(B179&gt;1.51,1.15,1)</f>
        <v>1.1499999999999999</v>
      </c>
      <c r="C444" s="1407"/>
      <c r="D444" s="1407"/>
      <c r="E444" s="1407"/>
      <c r="F444" s="1407"/>
      <c r="G444" s="1407"/>
      <c r="H444" s="1070"/>
      <c r="I444" s="1070"/>
      <c r="J444" s="1070"/>
      <c r="K444" s="1070"/>
      <c r="L444" s="1070"/>
      <c r="M444" s="1070"/>
      <c r="N444" s="1070"/>
      <c r="O444" s="1070"/>
      <c r="P444" s="1070"/>
      <c r="Q444" s="1070"/>
      <c r="R444" s="1070"/>
      <c r="S444" s="1070"/>
      <c r="T444" s="1070"/>
      <c r="U444" s="1070"/>
      <c r="V444" s="1070"/>
      <c r="W444" s="1070"/>
      <c r="X444" s="1070"/>
      <c r="Y444" s="1070"/>
      <c r="Z444" s="1070"/>
      <c r="AA444" s="1070"/>
      <c r="AB444" s="1070"/>
      <c r="AC444" s="1070"/>
      <c r="AD444" s="1070"/>
      <c r="AE444" s="1070"/>
      <c r="AF444" s="1070"/>
      <c r="AG444" s="1070"/>
      <c r="AH444" s="1070"/>
      <c r="AI444" s="1070"/>
      <c r="AJ444" s="1070"/>
      <c r="AK444" s="1070"/>
      <c r="AL444" s="1070"/>
      <c r="AM444" s="1070"/>
      <c r="AN444" s="1070"/>
      <c r="AO444" s="1070"/>
      <c r="AP444" s="1070"/>
      <c r="AQ444" s="1070"/>
      <c r="AR444" s="1070"/>
      <c r="AS444" s="1070"/>
      <c r="AT444" s="1070"/>
      <c r="AU444" s="1070"/>
      <c r="AV444" s="1070"/>
      <c r="AW444" s="1070"/>
      <c r="AX444" s="1070"/>
      <c r="AY444" s="1070"/>
      <c r="AZ444" s="1070"/>
      <c r="BA444" s="1070"/>
      <c r="BB444" s="1070"/>
      <c r="BC444" s="1070"/>
      <c r="BD444" s="1070"/>
      <c r="BE444" s="1070"/>
      <c r="BF444" s="1070"/>
      <c r="BG444" s="1070"/>
      <c r="BH444" s="1070"/>
      <c r="BI444" s="1070"/>
      <c r="BJ444" s="1070"/>
      <c r="BK444" s="1070"/>
      <c r="BL444" s="1070"/>
      <c r="BM444" s="1070"/>
      <c r="BN444" s="1070"/>
      <c r="BO444" s="1070"/>
      <c r="BP444" s="1070"/>
      <c r="BQ444" s="1070"/>
      <c r="BR444" s="1070"/>
      <c r="BS444" s="1070"/>
      <c r="BT444" s="1070"/>
      <c r="BU444" s="1070"/>
      <c r="BV444" s="1070"/>
      <c r="BW444" s="1070"/>
      <c r="BX444" s="1070"/>
      <c r="BY444" s="1070"/>
      <c r="BZ444" s="1070"/>
      <c r="CA444" s="1070"/>
      <c r="CB444" s="1070"/>
      <c r="CC444" s="1070"/>
      <c r="CD444" s="1070"/>
      <c r="CE444" s="1070"/>
      <c r="CF444" s="1070"/>
      <c r="CG444" s="1070"/>
      <c r="CH444" s="1070"/>
      <c r="CI444" s="1070"/>
      <c r="CJ444" s="1070"/>
      <c r="CK444" s="1070"/>
      <c r="CL444" s="1070"/>
      <c r="CM444" s="1070"/>
      <c r="CN444" s="1070"/>
      <c r="CO444" s="1070"/>
      <c r="CP444" s="1070"/>
      <c r="CQ444" s="1070"/>
      <c r="CR444" s="1070"/>
      <c r="CS444" s="1070"/>
      <c r="CT444" s="1070"/>
      <c r="CU444" s="1070"/>
      <c r="CV444" s="1070"/>
      <c r="CW444" s="1070"/>
      <c r="CX444" s="1070"/>
      <c r="CY444" s="1070"/>
      <c r="CZ444" s="1070"/>
      <c r="DA444" s="1070"/>
      <c r="DB444" s="1070"/>
      <c r="DC444" s="1070"/>
      <c r="DD444" s="1070"/>
      <c r="DE444" s="1070"/>
      <c r="DF444" s="1070"/>
      <c r="DG444" s="1070"/>
      <c r="DH444" s="1070"/>
      <c r="DI444" s="1070"/>
      <c r="DJ444" s="1070"/>
    </row>
    <row r="445" spans="1:114" s="1136" customFormat="1" ht="15" x14ac:dyDescent="0.2">
      <c r="A445" s="1844" t="s">
        <v>3412</v>
      </c>
      <c r="B445" s="1641" t="e">
        <f>B440*B442</f>
        <v>#VALUE!</v>
      </c>
      <c r="C445" s="1407"/>
      <c r="D445" s="1407"/>
      <c r="E445" s="1407"/>
      <c r="F445" s="1407"/>
      <c r="G445" s="1407"/>
      <c r="H445" s="1070"/>
      <c r="I445" s="1070"/>
      <c r="J445" s="1070"/>
      <c r="K445" s="1070"/>
      <c r="L445" s="1070"/>
      <c r="M445" s="1070"/>
      <c r="N445" s="1070"/>
      <c r="O445" s="1070"/>
      <c r="P445" s="1070"/>
      <c r="Q445" s="1070"/>
      <c r="R445" s="1070"/>
      <c r="S445" s="1070"/>
      <c r="T445" s="1070"/>
      <c r="U445" s="1070"/>
      <c r="V445" s="1070"/>
      <c r="W445" s="1070"/>
      <c r="X445" s="1070"/>
      <c r="Y445" s="1070"/>
      <c r="Z445" s="1070"/>
      <c r="AA445" s="1070"/>
      <c r="AB445" s="1070"/>
      <c r="AC445" s="1070"/>
      <c r="AD445" s="1070"/>
      <c r="AE445" s="1070"/>
      <c r="AF445" s="1070"/>
      <c r="AG445" s="1070"/>
      <c r="AH445" s="1070"/>
      <c r="AI445" s="1070"/>
      <c r="AJ445" s="1070"/>
      <c r="AK445" s="1070"/>
      <c r="AL445" s="1070"/>
      <c r="AM445" s="1070"/>
      <c r="AN445" s="1070"/>
      <c r="AO445" s="1070"/>
      <c r="AP445" s="1070"/>
      <c r="AQ445" s="1070"/>
      <c r="AR445" s="1070"/>
      <c r="AS445" s="1070"/>
      <c r="AT445" s="1070"/>
      <c r="AU445" s="1070"/>
      <c r="AV445" s="1070"/>
      <c r="AW445" s="1070"/>
      <c r="AX445" s="1070"/>
      <c r="AY445" s="1070"/>
      <c r="AZ445" s="1070"/>
      <c r="BA445" s="1070"/>
      <c r="BB445" s="1070"/>
      <c r="BC445" s="1070"/>
      <c r="BD445" s="1070"/>
      <c r="BE445" s="1070"/>
      <c r="BF445" s="1070"/>
      <c r="BG445" s="1070"/>
      <c r="BH445" s="1070"/>
      <c r="BI445" s="1070"/>
      <c r="BJ445" s="1070"/>
      <c r="BK445" s="1070"/>
      <c r="BL445" s="1070"/>
      <c r="BM445" s="1070"/>
      <c r="BN445" s="1070"/>
      <c r="BO445" s="1070"/>
      <c r="BP445" s="1070"/>
      <c r="BQ445" s="1070"/>
      <c r="BR445" s="1070"/>
      <c r="BS445" s="1070"/>
      <c r="BT445" s="1070"/>
      <c r="BU445" s="1070"/>
      <c r="BV445" s="1070"/>
      <c r="BW445" s="1070"/>
      <c r="BX445" s="1070"/>
      <c r="BY445" s="1070"/>
      <c r="BZ445" s="1070"/>
      <c r="CA445" s="1070"/>
      <c r="CB445" s="1070"/>
      <c r="CC445" s="1070"/>
      <c r="CD445" s="1070"/>
      <c r="CE445" s="1070"/>
      <c r="CF445" s="1070"/>
      <c r="CG445" s="1070"/>
      <c r="CH445" s="1070"/>
      <c r="CI445" s="1070"/>
      <c r="CJ445" s="1070"/>
      <c r="CK445" s="1070"/>
      <c r="CL445" s="1070"/>
      <c r="CM445" s="1070"/>
      <c r="CN445" s="1070"/>
      <c r="CO445" s="1070"/>
      <c r="CP445" s="1070"/>
      <c r="CQ445" s="1070"/>
      <c r="CR445" s="1070"/>
      <c r="CS445" s="1070"/>
      <c r="CT445" s="1070"/>
      <c r="CU445" s="1070"/>
      <c r="CV445" s="1070"/>
      <c r="CW445" s="1070"/>
      <c r="CX445" s="1070"/>
      <c r="CY445" s="1070"/>
      <c r="CZ445" s="1070"/>
      <c r="DA445" s="1070"/>
      <c r="DB445" s="1070"/>
      <c r="DC445" s="1070"/>
      <c r="DD445" s="1070"/>
      <c r="DE445" s="1070"/>
      <c r="DF445" s="1070"/>
      <c r="DG445" s="1070"/>
      <c r="DH445" s="1070"/>
      <c r="DI445" s="1070"/>
      <c r="DJ445" s="1070"/>
    </row>
    <row r="446" spans="1:114" s="1136" customFormat="1" ht="15" x14ac:dyDescent="0.2">
      <c r="A446" s="1860" t="s">
        <v>4415</v>
      </c>
      <c r="B446" s="1641" t="e">
        <f>B439/B445</f>
        <v>#VALUE!</v>
      </c>
      <c r="C446" s="1407"/>
      <c r="D446" s="1407"/>
      <c r="E446" s="1407"/>
      <c r="F446" s="1407"/>
      <c r="G446" s="1407"/>
      <c r="H446" s="1070"/>
      <c r="I446" s="1070"/>
      <c r="J446" s="1070"/>
      <c r="K446" s="1070"/>
      <c r="L446" s="1070"/>
      <c r="M446" s="1070"/>
      <c r="N446" s="1070"/>
      <c r="O446" s="1070"/>
      <c r="P446" s="1070"/>
      <c r="Q446" s="1070"/>
      <c r="R446" s="1070"/>
      <c r="S446" s="1070"/>
      <c r="T446" s="1070"/>
      <c r="U446" s="1070"/>
      <c r="V446" s="1070"/>
      <c r="W446" s="1070"/>
      <c r="X446" s="1070"/>
      <c r="Y446" s="1070"/>
      <c r="Z446" s="1070"/>
      <c r="AA446" s="1070"/>
      <c r="AB446" s="1070"/>
      <c r="AC446" s="1070"/>
      <c r="AD446" s="1070"/>
      <c r="AE446" s="1070"/>
      <c r="AF446" s="1070"/>
      <c r="AG446" s="1070"/>
      <c r="AH446" s="1070"/>
      <c r="AI446" s="1070"/>
      <c r="AJ446" s="1070"/>
      <c r="AK446" s="1070"/>
      <c r="AL446" s="1070"/>
      <c r="AM446" s="1070"/>
      <c r="AN446" s="1070"/>
      <c r="AO446" s="1070"/>
      <c r="AP446" s="1070"/>
      <c r="AQ446" s="1070"/>
      <c r="AR446" s="1070"/>
      <c r="AS446" s="1070"/>
      <c r="AT446" s="1070"/>
      <c r="AU446" s="1070"/>
      <c r="AV446" s="1070"/>
      <c r="AW446" s="1070"/>
      <c r="AX446" s="1070"/>
      <c r="AY446" s="1070"/>
      <c r="AZ446" s="1070"/>
      <c r="BA446" s="1070"/>
      <c r="BB446" s="1070"/>
      <c r="BC446" s="1070"/>
      <c r="BD446" s="1070"/>
      <c r="BE446" s="1070"/>
      <c r="BF446" s="1070"/>
      <c r="BG446" s="1070"/>
      <c r="BH446" s="1070"/>
      <c r="BI446" s="1070"/>
      <c r="BJ446" s="1070"/>
      <c r="BK446" s="1070"/>
      <c r="BL446" s="1070"/>
      <c r="BM446" s="1070"/>
      <c r="BN446" s="1070"/>
      <c r="BO446" s="1070"/>
      <c r="BP446" s="1070"/>
      <c r="BQ446" s="1070"/>
      <c r="BR446" s="1070"/>
      <c r="BS446" s="1070"/>
      <c r="BT446" s="1070"/>
      <c r="BU446" s="1070"/>
      <c r="BV446" s="1070"/>
      <c r="BW446" s="1070"/>
      <c r="BX446" s="1070"/>
      <c r="BY446" s="1070"/>
      <c r="BZ446" s="1070"/>
      <c r="CA446" s="1070"/>
      <c r="CB446" s="1070"/>
      <c r="CC446" s="1070"/>
      <c r="CD446" s="1070"/>
      <c r="CE446" s="1070"/>
      <c r="CF446" s="1070"/>
      <c r="CG446" s="1070"/>
      <c r="CH446" s="1070"/>
      <c r="CI446" s="1070"/>
      <c r="CJ446" s="1070"/>
      <c r="CK446" s="1070"/>
      <c r="CL446" s="1070"/>
      <c r="CM446" s="1070"/>
      <c r="CN446" s="1070"/>
      <c r="CO446" s="1070"/>
      <c r="CP446" s="1070"/>
      <c r="CQ446" s="1070"/>
      <c r="CR446" s="1070"/>
      <c r="CS446" s="1070"/>
      <c r="CT446" s="1070"/>
      <c r="CU446" s="1070"/>
      <c r="CV446" s="1070"/>
      <c r="CW446" s="1070"/>
      <c r="CX446" s="1070"/>
      <c r="CY446" s="1070"/>
      <c r="CZ446" s="1070"/>
      <c r="DA446" s="1070"/>
      <c r="DB446" s="1070"/>
      <c r="DC446" s="1070"/>
      <c r="DD446" s="1070"/>
      <c r="DE446" s="1070"/>
      <c r="DF446" s="1070"/>
      <c r="DG446" s="1070"/>
      <c r="DH446" s="1070"/>
      <c r="DI446" s="1070"/>
      <c r="DJ446" s="1070"/>
    </row>
    <row r="447" spans="1:114" s="1136" customFormat="1" ht="15.75" x14ac:dyDescent="0.25">
      <c r="A447" s="1971"/>
      <c r="B447" s="1641"/>
      <c r="C447" s="1407"/>
      <c r="D447" s="1407"/>
      <c r="E447" s="1407"/>
      <c r="F447" s="1407"/>
      <c r="G447" s="1407"/>
      <c r="H447" s="1070"/>
      <c r="I447" s="1070"/>
      <c r="J447" s="1070"/>
      <c r="K447" s="1070"/>
      <c r="L447" s="1070"/>
      <c r="M447" s="1070"/>
      <c r="N447" s="1070"/>
      <c r="O447" s="1070"/>
      <c r="P447" s="1070"/>
      <c r="Q447" s="1070"/>
      <c r="R447" s="1070"/>
      <c r="S447" s="1070"/>
      <c r="T447" s="1070"/>
      <c r="U447" s="1070"/>
      <c r="V447" s="1070"/>
      <c r="W447" s="1070"/>
      <c r="X447" s="1070"/>
      <c r="Y447" s="1070"/>
      <c r="Z447" s="1070"/>
      <c r="AA447" s="1070"/>
      <c r="AB447" s="1070"/>
      <c r="AC447" s="1070"/>
      <c r="AD447" s="1070"/>
      <c r="AE447" s="1070"/>
      <c r="AF447" s="1070"/>
      <c r="AG447" s="1070"/>
      <c r="AH447" s="1070"/>
      <c r="AI447" s="1070"/>
      <c r="AJ447" s="1070"/>
      <c r="AK447" s="1070"/>
      <c r="AL447" s="1070"/>
      <c r="AM447" s="1070"/>
      <c r="AN447" s="1070"/>
      <c r="AO447" s="1070"/>
      <c r="AP447" s="1070"/>
      <c r="AQ447" s="1070"/>
      <c r="AR447" s="1070"/>
      <c r="AS447" s="1070"/>
      <c r="AT447" s="1070"/>
      <c r="AU447" s="1070"/>
      <c r="AV447" s="1070"/>
      <c r="AW447" s="1070"/>
      <c r="AX447" s="1070"/>
      <c r="AY447" s="1070"/>
      <c r="AZ447" s="1070"/>
      <c r="BA447" s="1070"/>
      <c r="BB447" s="1070"/>
      <c r="BC447" s="1070"/>
      <c r="BD447" s="1070"/>
      <c r="BE447" s="1070"/>
      <c r="BF447" s="1070"/>
      <c r="BG447" s="1070"/>
      <c r="BH447" s="1070"/>
      <c r="BI447" s="1070"/>
      <c r="BJ447" s="1070"/>
      <c r="BK447" s="1070"/>
      <c r="BL447" s="1070"/>
      <c r="BM447" s="1070"/>
      <c r="BN447" s="1070"/>
      <c r="BO447" s="1070"/>
      <c r="BP447" s="1070"/>
      <c r="BQ447" s="1070"/>
      <c r="BR447" s="1070"/>
      <c r="BS447" s="1070"/>
      <c r="BT447" s="1070"/>
      <c r="BU447" s="1070"/>
      <c r="BV447" s="1070"/>
      <c r="BW447" s="1070"/>
      <c r="BX447" s="1070"/>
      <c r="BY447" s="1070"/>
      <c r="BZ447" s="1070"/>
      <c r="CA447" s="1070"/>
      <c r="CB447" s="1070"/>
      <c r="CC447" s="1070"/>
      <c r="CD447" s="1070"/>
      <c r="CE447" s="1070"/>
      <c r="CF447" s="1070"/>
      <c r="CG447" s="1070"/>
      <c r="CH447" s="1070"/>
      <c r="CI447" s="1070"/>
      <c r="CJ447" s="1070"/>
      <c r="CK447" s="1070"/>
      <c r="CL447" s="1070"/>
      <c r="CM447" s="1070"/>
      <c r="CN447" s="1070"/>
      <c r="CO447" s="1070"/>
      <c r="CP447" s="1070"/>
      <c r="CQ447" s="1070"/>
      <c r="CR447" s="1070"/>
      <c r="CS447" s="1070"/>
      <c r="CT447" s="1070"/>
      <c r="CU447" s="1070"/>
      <c r="CV447" s="1070"/>
      <c r="CW447" s="1070"/>
      <c r="CX447" s="1070"/>
      <c r="CY447" s="1070"/>
      <c r="CZ447" s="1070"/>
      <c r="DA447" s="1070"/>
      <c r="DB447" s="1070"/>
      <c r="DC447" s="1070"/>
      <c r="DD447" s="1070"/>
      <c r="DE447" s="1070"/>
      <c r="DF447" s="1070"/>
      <c r="DG447" s="1070"/>
      <c r="DH447" s="1070"/>
      <c r="DI447" s="1070"/>
      <c r="DJ447" s="1070"/>
    </row>
    <row r="448" spans="1:114" s="1976" customFormat="1" ht="31.5" x14ac:dyDescent="0.25">
      <c r="A448" s="1972" t="s">
        <v>2367</v>
      </c>
      <c r="B448" s="1973" t="e">
        <f>(B432+B433+B435)*B436</f>
        <v>#VALUE!</v>
      </c>
      <c r="C448" s="1974"/>
      <c r="D448" s="1974"/>
      <c r="E448" s="1974"/>
      <c r="F448" s="1974"/>
      <c r="G448" s="1974"/>
      <c r="H448" s="1975"/>
      <c r="I448" s="1975"/>
      <c r="J448" s="1975"/>
      <c r="K448" s="1975"/>
      <c r="L448" s="1975"/>
      <c r="M448" s="1975"/>
      <c r="N448" s="1975"/>
      <c r="O448" s="1975"/>
      <c r="P448" s="1975"/>
      <c r="Q448" s="1975"/>
      <c r="R448" s="1975"/>
      <c r="S448" s="1975"/>
      <c r="T448" s="1975"/>
      <c r="U448" s="1975"/>
      <c r="V448" s="1975"/>
      <c r="W448" s="1975"/>
      <c r="X448" s="1975"/>
      <c r="Y448" s="1975"/>
      <c r="Z448" s="1975"/>
      <c r="AA448" s="1975"/>
      <c r="AB448" s="1975"/>
      <c r="AC448" s="1975"/>
      <c r="AD448" s="1975"/>
      <c r="AE448" s="1975"/>
      <c r="AF448" s="1975"/>
      <c r="AG448" s="1975"/>
      <c r="AH448" s="1975"/>
      <c r="AI448" s="1975"/>
      <c r="AJ448" s="1975"/>
      <c r="AK448" s="1975"/>
      <c r="AL448" s="1975"/>
      <c r="AM448" s="1975"/>
      <c r="AN448" s="1975"/>
      <c r="AO448" s="1975"/>
      <c r="AP448" s="1975"/>
      <c r="AQ448" s="1975"/>
      <c r="AR448" s="1975"/>
      <c r="AS448" s="1975"/>
      <c r="AT448" s="1975"/>
      <c r="AU448" s="1975"/>
      <c r="AV448" s="1975"/>
      <c r="AW448" s="1975"/>
      <c r="AX448" s="1975"/>
      <c r="AY448" s="1975"/>
      <c r="AZ448" s="1975"/>
      <c r="BA448" s="1975"/>
      <c r="BB448" s="1975"/>
      <c r="BC448" s="1975"/>
      <c r="BD448" s="1975"/>
      <c r="BE448" s="1975"/>
      <c r="BF448" s="1975"/>
      <c r="BG448" s="1975"/>
      <c r="BH448" s="1975"/>
      <c r="BI448" s="1975"/>
      <c r="BJ448" s="1975"/>
      <c r="BK448" s="1975"/>
      <c r="BL448" s="1975"/>
      <c r="BM448" s="1975"/>
      <c r="BN448" s="1975"/>
      <c r="BO448" s="1975"/>
      <c r="BP448" s="1975"/>
      <c r="BQ448" s="1975"/>
      <c r="BR448" s="1975"/>
      <c r="BS448" s="1975"/>
      <c r="BT448" s="1975"/>
      <c r="BU448" s="1975"/>
      <c r="BV448" s="1975"/>
      <c r="BW448" s="1975"/>
      <c r="BX448" s="1975"/>
      <c r="BY448" s="1975"/>
      <c r="BZ448" s="1975"/>
      <c r="CA448" s="1975"/>
      <c r="CB448" s="1975"/>
      <c r="CC448" s="1975"/>
      <c r="CD448" s="1975"/>
      <c r="CE448" s="1975"/>
      <c r="CF448" s="1975"/>
      <c r="CG448" s="1975"/>
      <c r="CH448" s="1975"/>
      <c r="CI448" s="1975"/>
      <c r="CJ448" s="1975"/>
      <c r="CK448" s="1975"/>
      <c r="CL448" s="1975"/>
      <c r="CM448" s="1975"/>
      <c r="CN448" s="1975"/>
      <c r="CO448" s="1975"/>
      <c r="CP448" s="1975"/>
      <c r="CQ448" s="1975"/>
      <c r="CR448" s="1975"/>
      <c r="CS448" s="1975"/>
      <c r="CT448" s="1975"/>
      <c r="CU448" s="1975"/>
      <c r="CV448" s="1975"/>
      <c r="CW448" s="1975"/>
      <c r="CX448" s="1975"/>
      <c r="CY448" s="1975"/>
      <c r="CZ448" s="1975"/>
      <c r="DA448" s="1975"/>
      <c r="DB448" s="1975"/>
      <c r="DC448" s="1975"/>
      <c r="DD448" s="1975"/>
      <c r="DE448" s="1975"/>
      <c r="DF448" s="1975"/>
      <c r="DG448" s="1975"/>
      <c r="DH448" s="1975"/>
      <c r="DI448" s="1975"/>
      <c r="DJ448" s="1975"/>
    </row>
    <row r="449" spans="1:114" s="1136" customFormat="1" ht="15" x14ac:dyDescent="0.2">
      <c r="A449" s="1977" t="s">
        <v>2000</v>
      </c>
      <c r="B449" s="1978"/>
      <c r="C449" s="1979"/>
      <c r="D449" s="1979"/>
      <c r="E449" s="1979"/>
      <c r="F449" s="1979"/>
      <c r="G449" s="1979"/>
      <c r="H449" s="1070"/>
      <c r="I449" s="1070"/>
      <c r="J449" s="1070"/>
      <c r="K449" s="1070"/>
      <c r="L449" s="1070"/>
      <c r="M449" s="1070"/>
      <c r="N449" s="1070"/>
      <c r="O449" s="1070"/>
      <c r="P449" s="1070"/>
      <c r="Q449" s="1070"/>
      <c r="R449" s="1070"/>
      <c r="S449" s="1070"/>
      <c r="T449" s="1070"/>
      <c r="U449" s="1070"/>
      <c r="V449" s="1070"/>
      <c r="W449" s="1070"/>
      <c r="X449" s="1070"/>
      <c r="Y449" s="1070"/>
      <c r="Z449" s="1070"/>
      <c r="AA449" s="1070"/>
      <c r="AB449" s="1070"/>
      <c r="AC449" s="1070"/>
      <c r="AD449" s="1070"/>
      <c r="AE449" s="1070"/>
      <c r="AF449" s="1070"/>
      <c r="AG449" s="1070"/>
      <c r="AH449" s="1070"/>
      <c r="AI449" s="1070"/>
      <c r="AJ449" s="1070"/>
      <c r="AK449" s="1070"/>
      <c r="AL449" s="1070"/>
      <c r="AM449" s="1070"/>
      <c r="AN449" s="1070"/>
      <c r="AO449" s="1070"/>
      <c r="AP449" s="1070"/>
      <c r="AQ449" s="1070"/>
      <c r="AR449" s="1070"/>
      <c r="AS449" s="1070"/>
      <c r="AT449" s="1070"/>
      <c r="AU449" s="1070"/>
      <c r="AV449" s="1070"/>
      <c r="AW449" s="1070"/>
      <c r="AX449" s="1070"/>
      <c r="AY449" s="1070"/>
      <c r="AZ449" s="1070"/>
      <c r="BA449" s="1070"/>
      <c r="BB449" s="1070"/>
      <c r="BC449" s="1070"/>
      <c r="BD449" s="1070"/>
      <c r="BE449" s="1070"/>
      <c r="BF449" s="1070"/>
      <c r="BG449" s="1070"/>
      <c r="BH449" s="1070"/>
      <c r="BI449" s="1070"/>
      <c r="BJ449" s="1070"/>
      <c r="BK449" s="1070"/>
      <c r="BL449" s="1070"/>
      <c r="BM449" s="1070"/>
      <c r="BN449" s="1070"/>
      <c r="BO449" s="1070"/>
      <c r="BP449" s="1070"/>
      <c r="BQ449" s="1070"/>
      <c r="BR449" s="1070"/>
      <c r="BS449" s="1070"/>
      <c r="BT449" s="1070"/>
      <c r="BU449" s="1070"/>
      <c r="BV449" s="1070"/>
      <c r="BW449" s="1070"/>
      <c r="BX449" s="1070"/>
      <c r="BY449" s="1070"/>
      <c r="BZ449" s="1070"/>
      <c r="CA449" s="1070"/>
      <c r="CB449" s="1070"/>
      <c r="CC449" s="1070"/>
      <c r="CD449" s="1070"/>
      <c r="CE449" s="1070"/>
      <c r="CF449" s="1070"/>
      <c r="CG449" s="1070"/>
      <c r="CH449" s="1070"/>
      <c r="CI449" s="1070"/>
      <c r="CJ449" s="1070"/>
      <c r="CK449" s="1070"/>
      <c r="CL449" s="1070"/>
      <c r="CM449" s="1070"/>
      <c r="CN449" s="1070"/>
      <c r="CO449" s="1070"/>
      <c r="CP449" s="1070"/>
      <c r="CQ449" s="1070"/>
      <c r="CR449" s="1070"/>
      <c r="CS449" s="1070"/>
      <c r="CT449" s="1070"/>
      <c r="CU449" s="1070"/>
      <c r="CV449" s="1070"/>
      <c r="CW449" s="1070"/>
      <c r="CX449" s="1070"/>
      <c r="CY449" s="1070"/>
      <c r="CZ449" s="1070"/>
      <c r="DA449" s="1070"/>
      <c r="DB449" s="1070"/>
      <c r="DC449" s="1070"/>
      <c r="DD449" s="1070"/>
      <c r="DE449" s="1070"/>
      <c r="DF449" s="1070"/>
      <c r="DG449" s="1070"/>
      <c r="DH449" s="1070"/>
      <c r="DI449" s="1070"/>
      <c r="DJ449" s="1070"/>
    </row>
    <row r="450" spans="1:114" s="1136" customFormat="1" ht="30" x14ac:dyDescent="0.2">
      <c r="A450" s="1883" t="s">
        <v>784</v>
      </c>
      <c r="B450" s="1690"/>
      <c r="C450" s="1070"/>
      <c r="D450" s="1070"/>
      <c r="E450" s="1070"/>
      <c r="F450" s="1070"/>
      <c r="G450" s="1070"/>
      <c r="H450" s="1070"/>
      <c r="I450" s="1070"/>
      <c r="J450" s="1070"/>
      <c r="K450" s="1070"/>
      <c r="L450" s="1070"/>
      <c r="M450" s="1070"/>
      <c r="N450" s="1070"/>
      <c r="O450" s="1070"/>
      <c r="P450" s="1070"/>
      <c r="Q450" s="1070"/>
      <c r="R450" s="1070"/>
      <c r="S450" s="1070"/>
      <c r="T450" s="1070"/>
      <c r="U450" s="1070"/>
      <c r="V450" s="1070"/>
      <c r="W450" s="1070"/>
      <c r="X450" s="1070"/>
      <c r="Y450" s="1070"/>
      <c r="Z450" s="1070"/>
      <c r="AA450" s="1070"/>
      <c r="AB450" s="1070"/>
      <c r="AC450" s="1070"/>
      <c r="AD450" s="1070"/>
      <c r="AE450" s="1070"/>
      <c r="AF450" s="1070"/>
      <c r="AG450" s="1070"/>
      <c r="AH450" s="1070"/>
      <c r="AI450" s="1070"/>
      <c r="AJ450" s="1070"/>
      <c r="AK450" s="1070"/>
      <c r="AL450" s="1070"/>
      <c r="AM450" s="1070"/>
      <c r="AN450" s="1070"/>
      <c r="AO450" s="1070"/>
      <c r="AP450" s="1070"/>
      <c r="AQ450" s="1070"/>
      <c r="AR450" s="1070"/>
      <c r="AS450" s="1070"/>
      <c r="AT450" s="1070"/>
      <c r="AU450" s="1070"/>
      <c r="AV450" s="1070"/>
      <c r="AW450" s="1070"/>
      <c r="AX450" s="1070"/>
      <c r="AY450" s="1070"/>
      <c r="AZ450" s="1070"/>
      <c r="BA450" s="1070"/>
      <c r="BB450" s="1070"/>
      <c r="BC450" s="1070"/>
      <c r="BD450" s="1070"/>
      <c r="BE450" s="1070"/>
      <c r="BF450" s="1070"/>
      <c r="BG450" s="1070"/>
      <c r="BH450" s="1070"/>
      <c r="BI450" s="1070"/>
      <c r="BJ450" s="1070"/>
      <c r="BK450" s="1070"/>
      <c r="BL450" s="1070"/>
      <c r="BM450" s="1070"/>
      <c r="BN450" s="1070"/>
      <c r="BO450" s="1070"/>
      <c r="BP450" s="1070"/>
      <c r="BQ450" s="1070"/>
      <c r="BR450" s="1070"/>
      <c r="BS450" s="1070"/>
      <c r="BT450" s="1070"/>
      <c r="BU450" s="1070"/>
      <c r="BV450" s="1070"/>
      <c r="BW450" s="1070"/>
      <c r="BX450" s="1070"/>
      <c r="BY450" s="1070"/>
      <c r="BZ450" s="1070"/>
      <c r="CA450" s="1070"/>
      <c r="CB450" s="1070"/>
      <c r="CC450" s="1070"/>
      <c r="CD450" s="1070"/>
      <c r="CE450" s="1070"/>
      <c r="CF450" s="1070"/>
      <c r="CG450" s="1070"/>
      <c r="CH450" s="1070"/>
      <c r="CI450" s="1070"/>
      <c r="CJ450" s="1070"/>
      <c r="CK450" s="1070"/>
      <c r="CL450" s="1070"/>
      <c r="CM450" s="1070"/>
      <c r="CN450" s="1070"/>
      <c r="CO450" s="1070"/>
      <c r="CP450" s="1070"/>
      <c r="CQ450" s="1070"/>
      <c r="CR450" s="1070"/>
      <c r="CS450" s="1070"/>
      <c r="CT450" s="1070"/>
      <c r="CU450" s="1070"/>
      <c r="CV450" s="1070"/>
      <c r="CW450" s="1070"/>
      <c r="CX450" s="1070"/>
      <c r="CY450" s="1070"/>
      <c r="CZ450" s="1070"/>
      <c r="DA450" s="1070"/>
      <c r="DB450" s="1070"/>
      <c r="DC450" s="1070"/>
      <c r="DD450" s="1070"/>
      <c r="DE450" s="1070"/>
      <c r="DF450" s="1070"/>
      <c r="DG450" s="1070"/>
      <c r="DH450" s="1070"/>
      <c r="DI450" s="1070"/>
      <c r="DJ450" s="1070"/>
    </row>
    <row r="451" spans="1:114" s="1136" customFormat="1" ht="75" x14ac:dyDescent="0.2">
      <c r="A451" s="1980" t="s">
        <v>1196</v>
      </c>
      <c r="B451" s="1690"/>
      <c r="C451" s="1070"/>
      <c r="D451" s="1070"/>
      <c r="E451" s="1070"/>
      <c r="F451" s="1070"/>
      <c r="G451" s="1070"/>
      <c r="H451" s="1070"/>
      <c r="I451" s="1070"/>
      <c r="J451" s="1070"/>
      <c r="K451" s="1070"/>
      <c r="L451" s="1070"/>
      <c r="M451" s="1070"/>
      <c r="N451" s="1070"/>
      <c r="O451" s="1070"/>
      <c r="P451" s="1070"/>
      <c r="Q451" s="1070"/>
      <c r="R451" s="1070"/>
      <c r="S451" s="1070"/>
      <c r="T451" s="1070"/>
      <c r="U451" s="1070"/>
      <c r="V451" s="1070"/>
      <c r="W451" s="1070"/>
      <c r="X451" s="1070"/>
      <c r="Y451" s="1070"/>
      <c r="Z451" s="1070"/>
      <c r="AA451" s="1070"/>
      <c r="AB451" s="1070"/>
      <c r="AC451" s="1070"/>
      <c r="AD451" s="1070"/>
      <c r="AE451" s="1070"/>
      <c r="AF451" s="1070"/>
      <c r="AG451" s="1070"/>
      <c r="AH451" s="1070"/>
      <c r="AI451" s="1070"/>
      <c r="AJ451" s="1070"/>
      <c r="AK451" s="1070"/>
      <c r="AL451" s="1070"/>
      <c r="AM451" s="1070"/>
      <c r="AN451" s="1070"/>
      <c r="AO451" s="1070"/>
      <c r="AP451" s="1070"/>
      <c r="AQ451" s="1070"/>
      <c r="AR451" s="1070"/>
      <c r="AS451" s="1070"/>
      <c r="AT451" s="1070"/>
      <c r="AU451" s="1070"/>
      <c r="AV451" s="1070"/>
      <c r="AW451" s="1070"/>
      <c r="AX451" s="1070"/>
      <c r="AY451" s="1070"/>
      <c r="AZ451" s="1070"/>
      <c r="BA451" s="1070"/>
      <c r="BB451" s="1070"/>
      <c r="BC451" s="1070"/>
      <c r="BD451" s="1070"/>
      <c r="BE451" s="1070"/>
      <c r="BF451" s="1070"/>
      <c r="BG451" s="1070"/>
      <c r="BH451" s="1070"/>
      <c r="BI451" s="1070"/>
      <c r="BJ451" s="1070"/>
      <c r="BK451" s="1070"/>
      <c r="BL451" s="1070"/>
      <c r="BM451" s="1070"/>
      <c r="BN451" s="1070"/>
      <c r="BO451" s="1070"/>
      <c r="BP451" s="1070"/>
      <c r="BQ451" s="1070"/>
      <c r="BR451" s="1070"/>
      <c r="BS451" s="1070"/>
      <c r="BT451" s="1070"/>
      <c r="BU451" s="1070"/>
      <c r="BV451" s="1070"/>
      <c r="BW451" s="1070"/>
      <c r="BX451" s="1070"/>
      <c r="BY451" s="1070"/>
      <c r="BZ451" s="1070"/>
      <c r="CA451" s="1070"/>
      <c r="CB451" s="1070"/>
      <c r="CC451" s="1070"/>
      <c r="CD451" s="1070"/>
      <c r="CE451" s="1070"/>
      <c r="CF451" s="1070"/>
      <c r="CG451" s="1070"/>
      <c r="CH451" s="1070"/>
      <c r="CI451" s="1070"/>
      <c r="CJ451" s="1070"/>
      <c r="CK451" s="1070"/>
      <c r="CL451" s="1070"/>
      <c r="CM451" s="1070"/>
      <c r="CN451" s="1070"/>
      <c r="CO451" s="1070"/>
      <c r="CP451" s="1070"/>
      <c r="CQ451" s="1070"/>
      <c r="CR451" s="1070"/>
      <c r="CS451" s="1070"/>
      <c r="CT451" s="1070"/>
      <c r="CU451" s="1070"/>
      <c r="CV451" s="1070"/>
      <c r="CW451" s="1070"/>
      <c r="CX451" s="1070"/>
      <c r="CY451" s="1070"/>
      <c r="CZ451" s="1070"/>
      <c r="DA451" s="1070"/>
      <c r="DB451" s="1070"/>
      <c r="DC451" s="1070"/>
      <c r="DD451" s="1070"/>
      <c r="DE451" s="1070"/>
      <c r="DF451" s="1070"/>
      <c r="DG451" s="1070"/>
      <c r="DH451" s="1070"/>
      <c r="DI451" s="1070"/>
      <c r="DJ451" s="1070"/>
    </row>
    <row r="452" spans="1:114" s="1136" customFormat="1" ht="15" x14ac:dyDescent="0.2">
      <c r="A452" s="1981" t="s">
        <v>2001</v>
      </c>
      <c r="B452" s="1982" t="e">
        <f>IF(B236=1,2609,IF(B236=2,2232,IF(B236=3,1525,IF(B236=4,1461,IF(B236=5,1397,0)))))</f>
        <v>#VALUE!</v>
      </c>
      <c r="C452" s="1983"/>
      <c r="D452" s="1983"/>
      <c r="E452" s="1983"/>
      <c r="F452" s="1983"/>
      <c r="G452" s="1983"/>
      <c r="H452" s="1070"/>
      <c r="I452" s="1070"/>
      <c r="J452" s="1070"/>
      <c r="K452" s="1070"/>
      <c r="L452" s="1070"/>
      <c r="M452" s="1070"/>
      <c r="N452" s="1070"/>
      <c r="O452" s="1070"/>
      <c r="P452" s="1070"/>
      <c r="Q452" s="1070"/>
      <c r="R452" s="1070"/>
      <c r="S452" s="1070"/>
      <c r="T452" s="1070"/>
      <c r="U452" s="1070"/>
      <c r="V452" s="1070"/>
      <c r="W452" s="1070"/>
      <c r="X452" s="1070"/>
      <c r="Y452" s="1070"/>
      <c r="Z452" s="1070"/>
      <c r="AA452" s="1070"/>
      <c r="AB452" s="1070"/>
      <c r="AC452" s="1070"/>
      <c r="AD452" s="1070"/>
      <c r="AE452" s="1070"/>
      <c r="AF452" s="1070"/>
      <c r="AG452" s="1070"/>
      <c r="AH452" s="1070"/>
      <c r="AI452" s="1070"/>
      <c r="AJ452" s="1070"/>
      <c r="AK452" s="1070"/>
      <c r="AL452" s="1070"/>
      <c r="AM452" s="1070"/>
      <c r="AN452" s="1070"/>
      <c r="AO452" s="1070"/>
      <c r="AP452" s="1070"/>
      <c r="AQ452" s="1070"/>
      <c r="AR452" s="1070"/>
      <c r="AS452" s="1070"/>
      <c r="AT452" s="1070"/>
      <c r="AU452" s="1070"/>
      <c r="AV452" s="1070"/>
      <c r="AW452" s="1070"/>
      <c r="AX452" s="1070"/>
      <c r="AY452" s="1070"/>
      <c r="AZ452" s="1070"/>
      <c r="BA452" s="1070"/>
      <c r="BB452" s="1070"/>
      <c r="BC452" s="1070"/>
      <c r="BD452" s="1070"/>
      <c r="BE452" s="1070"/>
      <c r="BF452" s="1070"/>
      <c r="BG452" s="1070"/>
      <c r="BH452" s="1070"/>
      <c r="BI452" s="1070"/>
      <c r="BJ452" s="1070"/>
      <c r="BK452" s="1070"/>
      <c r="BL452" s="1070"/>
      <c r="BM452" s="1070"/>
      <c r="BN452" s="1070"/>
      <c r="BO452" s="1070"/>
      <c r="BP452" s="1070"/>
      <c r="BQ452" s="1070"/>
      <c r="BR452" s="1070"/>
      <c r="BS452" s="1070"/>
      <c r="BT452" s="1070"/>
      <c r="BU452" s="1070"/>
      <c r="BV452" s="1070"/>
      <c r="BW452" s="1070"/>
      <c r="BX452" s="1070"/>
      <c r="BY452" s="1070"/>
      <c r="BZ452" s="1070"/>
      <c r="CA452" s="1070"/>
      <c r="CB452" s="1070"/>
      <c r="CC452" s="1070"/>
      <c r="CD452" s="1070"/>
      <c r="CE452" s="1070"/>
      <c r="CF452" s="1070"/>
      <c r="CG452" s="1070"/>
      <c r="CH452" s="1070"/>
      <c r="CI452" s="1070"/>
      <c r="CJ452" s="1070"/>
      <c r="CK452" s="1070"/>
      <c r="CL452" s="1070"/>
      <c r="CM452" s="1070"/>
      <c r="CN452" s="1070"/>
      <c r="CO452" s="1070"/>
      <c r="CP452" s="1070"/>
      <c r="CQ452" s="1070"/>
      <c r="CR452" s="1070"/>
      <c r="CS452" s="1070"/>
      <c r="CT452" s="1070"/>
      <c r="CU452" s="1070"/>
      <c r="CV452" s="1070"/>
      <c r="CW452" s="1070"/>
      <c r="CX452" s="1070"/>
      <c r="CY452" s="1070"/>
      <c r="CZ452" s="1070"/>
      <c r="DA452" s="1070"/>
      <c r="DB452" s="1070"/>
      <c r="DC452" s="1070"/>
      <c r="DD452" s="1070"/>
      <c r="DE452" s="1070"/>
      <c r="DF452" s="1070"/>
      <c r="DG452" s="1070"/>
      <c r="DH452" s="1070"/>
      <c r="DI452" s="1070"/>
      <c r="DJ452" s="1070"/>
    </row>
    <row r="453" spans="1:114" s="1136" customFormat="1" ht="15" x14ac:dyDescent="0.2">
      <c r="A453" s="1981" t="s">
        <v>1385</v>
      </c>
      <c r="B453" s="1982" t="e">
        <f>IF(B177=1,1705,IF(B177=2,1041,IF(B177=3,1377,IF(B177=4,1388,IF(B177=5,1244,IF(B177=6,1768,IF(B177=7,1414,IF(B177=8,1135,0))))))))</f>
        <v>#VALUE!</v>
      </c>
      <c r="C453" s="1983"/>
      <c r="D453" s="1983"/>
      <c r="E453" s="1983"/>
      <c r="F453" s="1983"/>
      <c r="G453" s="1983"/>
      <c r="H453" s="1070"/>
      <c r="I453" s="1070"/>
      <c r="J453" s="1070"/>
      <c r="K453" s="1070"/>
      <c r="L453" s="1070"/>
      <c r="M453" s="1070"/>
      <c r="N453" s="1070"/>
      <c r="O453" s="1070"/>
      <c r="P453" s="1070"/>
      <c r="Q453" s="1070"/>
      <c r="R453" s="1070"/>
      <c r="S453" s="1070"/>
      <c r="T453" s="1070"/>
      <c r="U453" s="1070"/>
      <c r="V453" s="1070"/>
      <c r="W453" s="1070"/>
      <c r="X453" s="1070"/>
      <c r="Y453" s="1070"/>
      <c r="Z453" s="1070"/>
      <c r="AA453" s="1070"/>
      <c r="AB453" s="1070"/>
      <c r="AC453" s="1070"/>
      <c r="AD453" s="1070"/>
      <c r="AE453" s="1070"/>
      <c r="AF453" s="1070"/>
      <c r="AG453" s="1070"/>
      <c r="AH453" s="1070"/>
      <c r="AI453" s="1070"/>
      <c r="AJ453" s="1070"/>
      <c r="AK453" s="1070"/>
      <c r="AL453" s="1070"/>
      <c r="AM453" s="1070"/>
      <c r="AN453" s="1070"/>
      <c r="AO453" s="1070"/>
      <c r="AP453" s="1070"/>
      <c r="AQ453" s="1070"/>
      <c r="AR453" s="1070"/>
      <c r="AS453" s="1070"/>
      <c r="AT453" s="1070"/>
      <c r="AU453" s="1070"/>
      <c r="AV453" s="1070"/>
      <c r="AW453" s="1070"/>
      <c r="AX453" s="1070"/>
      <c r="AY453" s="1070"/>
      <c r="AZ453" s="1070"/>
      <c r="BA453" s="1070"/>
      <c r="BB453" s="1070"/>
      <c r="BC453" s="1070"/>
      <c r="BD453" s="1070"/>
      <c r="BE453" s="1070"/>
      <c r="BF453" s="1070"/>
      <c r="BG453" s="1070"/>
      <c r="BH453" s="1070"/>
      <c r="BI453" s="1070"/>
      <c r="BJ453" s="1070"/>
      <c r="BK453" s="1070"/>
      <c r="BL453" s="1070"/>
      <c r="BM453" s="1070"/>
      <c r="BN453" s="1070"/>
      <c r="BO453" s="1070"/>
      <c r="BP453" s="1070"/>
      <c r="BQ453" s="1070"/>
      <c r="BR453" s="1070"/>
      <c r="BS453" s="1070"/>
      <c r="BT453" s="1070"/>
      <c r="BU453" s="1070"/>
      <c r="BV453" s="1070"/>
      <c r="BW453" s="1070"/>
      <c r="BX453" s="1070"/>
      <c r="BY453" s="1070"/>
      <c r="BZ453" s="1070"/>
      <c r="CA453" s="1070"/>
      <c r="CB453" s="1070"/>
      <c r="CC453" s="1070"/>
      <c r="CD453" s="1070"/>
      <c r="CE453" s="1070"/>
      <c r="CF453" s="1070"/>
      <c r="CG453" s="1070"/>
      <c r="CH453" s="1070"/>
      <c r="CI453" s="1070"/>
      <c r="CJ453" s="1070"/>
      <c r="CK453" s="1070"/>
      <c r="CL453" s="1070"/>
      <c r="CM453" s="1070"/>
      <c r="CN453" s="1070"/>
      <c r="CO453" s="1070"/>
      <c r="CP453" s="1070"/>
      <c r="CQ453" s="1070"/>
      <c r="CR453" s="1070"/>
      <c r="CS453" s="1070"/>
      <c r="CT453" s="1070"/>
      <c r="CU453" s="1070"/>
      <c r="CV453" s="1070"/>
      <c r="CW453" s="1070"/>
      <c r="CX453" s="1070"/>
      <c r="CY453" s="1070"/>
      <c r="CZ453" s="1070"/>
      <c r="DA453" s="1070"/>
      <c r="DB453" s="1070"/>
      <c r="DC453" s="1070"/>
      <c r="DD453" s="1070"/>
      <c r="DE453" s="1070"/>
      <c r="DF453" s="1070"/>
      <c r="DG453" s="1070"/>
      <c r="DH453" s="1070"/>
      <c r="DI453" s="1070"/>
      <c r="DJ453" s="1070"/>
    </row>
    <row r="454" spans="1:114" s="1136" customFormat="1" ht="15" x14ac:dyDescent="0.2">
      <c r="A454" s="1984" t="s">
        <v>1387</v>
      </c>
      <c r="B454" s="1982" t="e">
        <f>IF(B175=1,1533,IF(B175=2,2038,IF(B175=3,2961,IF(B175=4,2611,IF(B175=5,2611,0)))))</f>
        <v>#VALUE!</v>
      </c>
      <c r="C454" s="1983"/>
      <c r="D454" s="1983"/>
      <c r="E454" s="1983"/>
      <c r="F454" s="1983"/>
      <c r="G454" s="1983"/>
      <c r="H454" s="1070"/>
      <c r="I454" s="1070"/>
      <c r="J454" s="1070"/>
      <c r="K454" s="1070"/>
      <c r="L454" s="1070"/>
      <c r="M454" s="1070"/>
      <c r="N454" s="1070"/>
      <c r="O454" s="1070"/>
      <c r="P454" s="1070"/>
      <c r="Q454" s="1070"/>
      <c r="R454" s="1070"/>
      <c r="S454" s="1070"/>
      <c r="T454" s="1070"/>
      <c r="U454" s="1070"/>
      <c r="V454" s="1070"/>
      <c r="W454" s="1070"/>
      <c r="X454" s="1070"/>
      <c r="Y454" s="1070"/>
      <c r="Z454" s="1070"/>
      <c r="AA454" s="1070"/>
      <c r="AB454" s="1070"/>
      <c r="AC454" s="1070"/>
      <c r="AD454" s="1070"/>
      <c r="AE454" s="1070"/>
      <c r="AF454" s="1070"/>
      <c r="AG454" s="1070"/>
      <c r="AH454" s="1070"/>
      <c r="AI454" s="1070"/>
      <c r="AJ454" s="1070"/>
      <c r="AK454" s="1070"/>
      <c r="AL454" s="1070"/>
      <c r="AM454" s="1070"/>
      <c r="AN454" s="1070"/>
      <c r="AO454" s="1070"/>
      <c r="AP454" s="1070"/>
      <c r="AQ454" s="1070"/>
      <c r="AR454" s="1070"/>
      <c r="AS454" s="1070"/>
      <c r="AT454" s="1070"/>
      <c r="AU454" s="1070"/>
      <c r="AV454" s="1070"/>
      <c r="AW454" s="1070"/>
      <c r="AX454" s="1070"/>
      <c r="AY454" s="1070"/>
      <c r="AZ454" s="1070"/>
      <c r="BA454" s="1070"/>
      <c r="BB454" s="1070"/>
      <c r="BC454" s="1070"/>
      <c r="BD454" s="1070"/>
      <c r="BE454" s="1070"/>
      <c r="BF454" s="1070"/>
      <c r="BG454" s="1070"/>
      <c r="BH454" s="1070"/>
      <c r="BI454" s="1070"/>
      <c r="BJ454" s="1070"/>
      <c r="BK454" s="1070"/>
      <c r="BL454" s="1070"/>
      <c r="BM454" s="1070"/>
      <c r="BN454" s="1070"/>
      <c r="BO454" s="1070"/>
      <c r="BP454" s="1070"/>
      <c r="BQ454" s="1070"/>
      <c r="BR454" s="1070"/>
      <c r="BS454" s="1070"/>
      <c r="BT454" s="1070"/>
      <c r="BU454" s="1070"/>
      <c r="BV454" s="1070"/>
      <c r="BW454" s="1070"/>
      <c r="BX454" s="1070"/>
      <c r="BY454" s="1070"/>
      <c r="BZ454" s="1070"/>
      <c r="CA454" s="1070"/>
      <c r="CB454" s="1070"/>
      <c r="CC454" s="1070"/>
      <c r="CD454" s="1070"/>
      <c r="CE454" s="1070"/>
      <c r="CF454" s="1070"/>
      <c r="CG454" s="1070"/>
      <c r="CH454" s="1070"/>
      <c r="CI454" s="1070"/>
      <c r="CJ454" s="1070"/>
      <c r="CK454" s="1070"/>
      <c r="CL454" s="1070"/>
      <c r="CM454" s="1070"/>
      <c r="CN454" s="1070"/>
      <c r="CO454" s="1070"/>
      <c r="CP454" s="1070"/>
      <c r="CQ454" s="1070"/>
      <c r="CR454" s="1070"/>
      <c r="CS454" s="1070"/>
      <c r="CT454" s="1070"/>
      <c r="CU454" s="1070"/>
      <c r="CV454" s="1070"/>
      <c r="CW454" s="1070"/>
      <c r="CX454" s="1070"/>
      <c r="CY454" s="1070"/>
      <c r="CZ454" s="1070"/>
      <c r="DA454" s="1070"/>
      <c r="DB454" s="1070"/>
      <c r="DC454" s="1070"/>
      <c r="DD454" s="1070"/>
      <c r="DE454" s="1070"/>
      <c r="DF454" s="1070"/>
      <c r="DG454" s="1070"/>
      <c r="DH454" s="1070"/>
      <c r="DI454" s="1070"/>
      <c r="DJ454" s="1070"/>
    </row>
    <row r="455" spans="1:114" s="1136" customFormat="1" ht="30" x14ac:dyDescent="0.2">
      <c r="A455" s="1981" t="s">
        <v>1388</v>
      </c>
      <c r="B455" s="1985" t="e">
        <f>B454*B171/170</f>
        <v>#VALUE!</v>
      </c>
      <c r="C455" s="1986"/>
      <c r="D455" s="1986"/>
      <c r="E455" s="1986"/>
      <c r="F455" s="1986"/>
      <c r="G455" s="1986"/>
      <c r="H455" s="1070"/>
      <c r="I455" s="1070"/>
      <c r="J455" s="1070"/>
      <c r="K455" s="1070"/>
      <c r="L455" s="1070"/>
      <c r="M455" s="1070"/>
      <c r="N455" s="1070"/>
      <c r="O455" s="1070"/>
      <c r="P455" s="1070"/>
      <c r="Q455" s="1070"/>
      <c r="R455" s="1070"/>
      <c r="S455" s="1070"/>
      <c r="T455" s="1070"/>
      <c r="U455" s="1070"/>
      <c r="V455" s="1070"/>
      <c r="W455" s="1070"/>
      <c r="X455" s="1070"/>
      <c r="Y455" s="1070"/>
      <c r="Z455" s="1070"/>
      <c r="AA455" s="1070"/>
      <c r="AB455" s="1070"/>
      <c r="AC455" s="1070"/>
      <c r="AD455" s="1070"/>
      <c r="AE455" s="1070"/>
      <c r="AF455" s="1070"/>
      <c r="AG455" s="1070"/>
      <c r="AH455" s="1070"/>
      <c r="AI455" s="1070"/>
      <c r="AJ455" s="1070"/>
      <c r="AK455" s="1070"/>
      <c r="AL455" s="1070"/>
      <c r="AM455" s="1070"/>
      <c r="AN455" s="1070"/>
      <c r="AO455" s="1070"/>
      <c r="AP455" s="1070"/>
      <c r="AQ455" s="1070"/>
      <c r="AR455" s="1070"/>
      <c r="AS455" s="1070"/>
      <c r="AT455" s="1070"/>
      <c r="AU455" s="1070"/>
      <c r="AV455" s="1070"/>
      <c r="AW455" s="1070"/>
      <c r="AX455" s="1070"/>
      <c r="AY455" s="1070"/>
      <c r="AZ455" s="1070"/>
      <c r="BA455" s="1070"/>
      <c r="BB455" s="1070"/>
      <c r="BC455" s="1070"/>
      <c r="BD455" s="1070"/>
      <c r="BE455" s="1070"/>
      <c r="BF455" s="1070"/>
      <c r="BG455" s="1070"/>
      <c r="BH455" s="1070"/>
      <c r="BI455" s="1070"/>
      <c r="BJ455" s="1070"/>
      <c r="BK455" s="1070"/>
      <c r="BL455" s="1070"/>
      <c r="BM455" s="1070"/>
      <c r="BN455" s="1070"/>
      <c r="BO455" s="1070"/>
      <c r="BP455" s="1070"/>
      <c r="BQ455" s="1070"/>
      <c r="BR455" s="1070"/>
      <c r="BS455" s="1070"/>
      <c r="BT455" s="1070"/>
      <c r="BU455" s="1070"/>
      <c r="BV455" s="1070"/>
      <c r="BW455" s="1070"/>
      <c r="BX455" s="1070"/>
      <c r="BY455" s="1070"/>
      <c r="BZ455" s="1070"/>
      <c r="CA455" s="1070"/>
      <c r="CB455" s="1070"/>
      <c r="CC455" s="1070"/>
      <c r="CD455" s="1070"/>
      <c r="CE455" s="1070"/>
      <c r="CF455" s="1070"/>
      <c r="CG455" s="1070"/>
      <c r="CH455" s="1070"/>
      <c r="CI455" s="1070"/>
      <c r="CJ455" s="1070"/>
      <c r="CK455" s="1070"/>
      <c r="CL455" s="1070"/>
      <c r="CM455" s="1070"/>
      <c r="CN455" s="1070"/>
      <c r="CO455" s="1070"/>
      <c r="CP455" s="1070"/>
      <c r="CQ455" s="1070"/>
      <c r="CR455" s="1070"/>
      <c r="CS455" s="1070"/>
      <c r="CT455" s="1070"/>
      <c r="CU455" s="1070"/>
      <c r="CV455" s="1070"/>
      <c r="CW455" s="1070"/>
      <c r="CX455" s="1070"/>
      <c r="CY455" s="1070"/>
      <c r="CZ455" s="1070"/>
      <c r="DA455" s="1070"/>
      <c r="DB455" s="1070"/>
      <c r="DC455" s="1070"/>
      <c r="DD455" s="1070"/>
      <c r="DE455" s="1070"/>
      <c r="DF455" s="1070"/>
      <c r="DG455" s="1070"/>
      <c r="DH455" s="1070"/>
      <c r="DI455" s="1070"/>
      <c r="DJ455" s="1070"/>
    </row>
    <row r="456" spans="1:114" s="1136" customFormat="1" ht="15" x14ac:dyDescent="0.2">
      <c r="A456" s="1981" t="s">
        <v>1389</v>
      </c>
      <c r="B456" s="1982">
        <f>IF(B178=1,2043,IF(B178=2,1079,IF(B178=3,1681,0)))</f>
        <v>2043</v>
      </c>
      <c r="C456" s="1983"/>
      <c r="D456" s="1983"/>
      <c r="E456" s="1983"/>
      <c r="F456" s="1983"/>
      <c r="G456" s="1983"/>
      <c r="H456" s="1070"/>
      <c r="I456" s="1070"/>
      <c r="J456" s="1070"/>
      <c r="K456" s="1070"/>
      <c r="L456" s="1070"/>
      <c r="M456" s="1070"/>
      <c r="N456" s="1070"/>
      <c r="O456" s="1070"/>
      <c r="P456" s="1070"/>
      <c r="Q456" s="1070"/>
      <c r="R456" s="1070"/>
      <c r="S456" s="1070"/>
      <c r="T456" s="1070"/>
      <c r="U456" s="1070"/>
      <c r="V456" s="1070"/>
      <c r="W456" s="1070"/>
      <c r="X456" s="1070"/>
      <c r="Y456" s="1070"/>
      <c r="Z456" s="1070"/>
      <c r="AA456" s="1070"/>
      <c r="AB456" s="1070"/>
      <c r="AC456" s="1070"/>
      <c r="AD456" s="1070"/>
      <c r="AE456" s="1070"/>
      <c r="AF456" s="1070"/>
      <c r="AG456" s="1070"/>
      <c r="AH456" s="1070"/>
      <c r="AI456" s="1070"/>
      <c r="AJ456" s="1070"/>
      <c r="AK456" s="1070"/>
      <c r="AL456" s="1070"/>
      <c r="AM456" s="1070"/>
      <c r="AN456" s="1070"/>
      <c r="AO456" s="1070"/>
      <c r="AP456" s="1070"/>
      <c r="AQ456" s="1070"/>
      <c r="AR456" s="1070"/>
      <c r="AS456" s="1070"/>
      <c r="AT456" s="1070"/>
      <c r="AU456" s="1070"/>
      <c r="AV456" s="1070"/>
      <c r="AW456" s="1070"/>
      <c r="AX456" s="1070"/>
      <c r="AY456" s="1070"/>
      <c r="AZ456" s="1070"/>
      <c r="BA456" s="1070"/>
      <c r="BB456" s="1070"/>
      <c r="BC456" s="1070"/>
      <c r="BD456" s="1070"/>
      <c r="BE456" s="1070"/>
      <c r="BF456" s="1070"/>
      <c r="BG456" s="1070"/>
      <c r="BH456" s="1070"/>
      <c r="BI456" s="1070"/>
      <c r="BJ456" s="1070"/>
      <c r="BK456" s="1070"/>
      <c r="BL456" s="1070"/>
      <c r="BM456" s="1070"/>
      <c r="BN456" s="1070"/>
      <c r="BO456" s="1070"/>
      <c r="BP456" s="1070"/>
      <c r="BQ456" s="1070"/>
      <c r="BR456" s="1070"/>
      <c r="BS456" s="1070"/>
      <c r="BT456" s="1070"/>
      <c r="BU456" s="1070"/>
      <c r="BV456" s="1070"/>
      <c r="BW456" s="1070"/>
      <c r="BX456" s="1070"/>
      <c r="BY456" s="1070"/>
      <c r="BZ456" s="1070"/>
      <c r="CA456" s="1070"/>
      <c r="CB456" s="1070"/>
      <c r="CC456" s="1070"/>
      <c r="CD456" s="1070"/>
      <c r="CE456" s="1070"/>
      <c r="CF456" s="1070"/>
      <c r="CG456" s="1070"/>
      <c r="CH456" s="1070"/>
      <c r="CI456" s="1070"/>
      <c r="CJ456" s="1070"/>
      <c r="CK456" s="1070"/>
      <c r="CL456" s="1070"/>
      <c r="CM456" s="1070"/>
      <c r="CN456" s="1070"/>
      <c r="CO456" s="1070"/>
      <c r="CP456" s="1070"/>
      <c r="CQ456" s="1070"/>
      <c r="CR456" s="1070"/>
      <c r="CS456" s="1070"/>
      <c r="CT456" s="1070"/>
      <c r="CU456" s="1070"/>
      <c r="CV456" s="1070"/>
      <c r="CW456" s="1070"/>
      <c r="CX456" s="1070"/>
      <c r="CY456" s="1070"/>
      <c r="CZ456" s="1070"/>
      <c r="DA456" s="1070"/>
      <c r="DB456" s="1070"/>
      <c r="DC456" s="1070"/>
      <c r="DD456" s="1070"/>
      <c r="DE456" s="1070"/>
      <c r="DF456" s="1070"/>
      <c r="DG456" s="1070"/>
      <c r="DH456" s="1070"/>
      <c r="DI456" s="1070"/>
      <c r="DJ456" s="1070"/>
    </row>
    <row r="457" spans="1:114" s="1136" customFormat="1" ht="30" x14ac:dyDescent="0.2">
      <c r="A457" s="1981" t="s">
        <v>1390</v>
      </c>
      <c r="B457" s="1982">
        <f>IF(B220=1,171,0)</f>
        <v>171</v>
      </c>
      <c r="C457" s="1983"/>
      <c r="D457" s="1983"/>
      <c r="E457" s="1983"/>
      <c r="F457" s="1983"/>
      <c r="G457" s="1983"/>
      <c r="H457" s="1070"/>
      <c r="I457" s="1070"/>
      <c r="J457" s="1070"/>
      <c r="K457" s="1070"/>
      <c r="L457" s="1070"/>
      <c r="M457" s="1070"/>
      <c r="N457" s="1070"/>
      <c r="O457" s="1070"/>
      <c r="P457" s="1070"/>
      <c r="Q457" s="1070"/>
      <c r="R457" s="1070"/>
      <c r="S457" s="1070"/>
      <c r="T457" s="1070"/>
      <c r="U457" s="1070"/>
      <c r="V457" s="1070"/>
      <c r="W457" s="1070"/>
      <c r="X457" s="1070"/>
      <c r="Y457" s="1070"/>
      <c r="Z457" s="1070"/>
      <c r="AA457" s="1070"/>
      <c r="AB457" s="1070"/>
      <c r="AC457" s="1070"/>
      <c r="AD457" s="1070"/>
      <c r="AE457" s="1070"/>
      <c r="AF457" s="1070"/>
      <c r="AG457" s="1070"/>
      <c r="AH457" s="1070"/>
      <c r="AI457" s="1070"/>
      <c r="AJ457" s="1070"/>
      <c r="AK457" s="1070"/>
      <c r="AL457" s="1070"/>
      <c r="AM457" s="1070"/>
      <c r="AN457" s="1070"/>
      <c r="AO457" s="1070"/>
      <c r="AP457" s="1070"/>
      <c r="AQ457" s="1070"/>
      <c r="AR457" s="1070"/>
      <c r="AS457" s="1070"/>
      <c r="AT457" s="1070"/>
      <c r="AU457" s="1070"/>
      <c r="AV457" s="1070"/>
      <c r="AW457" s="1070"/>
      <c r="AX457" s="1070"/>
      <c r="AY457" s="1070"/>
      <c r="AZ457" s="1070"/>
      <c r="BA457" s="1070"/>
      <c r="BB457" s="1070"/>
      <c r="BC457" s="1070"/>
      <c r="BD457" s="1070"/>
      <c r="BE457" s="1070"/>
      <c r="BF457" s="1070"/>
      <c r="BG457" s="1070"/>
      <c r="BH457" s="1070"/>
      <c r="BI457" s="1070"/>
      <c r="BJ457" s="1070"/>
      <c r="BK457" s="1070"/>
      <c r="BL457" s="1070"/>
      <c r="BM457" s="1070"/>
      <c r="BN457" s="1070"/>
      <c r="BO457" s="1070"/>
      <c r="BP457" s="1070"/>
      <c r="BQ457" s="1070"/>
      <c r="BR457" s="1070"/>
      <c r="BS457" s="1070"/>
      <c r="BT457" s="1070"/>
      <c r="BU457" s="1070"/>
      <c r="BV457" s="1070"/>
      <c r="BW457" s="1070"/>
      <c r="BX457" s="1070"/>
      <c r="BY457" s="1070"/>
      <c r="BZ457" s="1070"/>
      <c r="CA457" s="1070"/>
      <c r="CB457" s="1070"/>
      <c r="CC457" s="1070"/>
      <c r="CD457" s="1070"/>
      <c r="CE457" s="1070"/>
      <c r="CF457" s="1070"/>
      <c r="CG457" s="1070"/>
      <c r="CH457" s="1070"/>
      <c r="CI457" s="1070"/>
      <c r="CJ457" s="1070"/>
      <c r="CK457" s="1070"/>
      <c r="CL457" s="1070"/>
      <c r="CM457" s="1070"/>
      <c r="CN457" s="1070"/>
      <c r="CO457" s="1070"/>
      <c r="CP457" s="1070"/>
      <c r="CQ457" s="1070"/>
      <c r="CR457" s="1070"/>
      <c r="CS457" s="1070"/>
      <c r="CT457" s="1070"/>
      <c r="CU457" s="1070"/>
      <c r="CV457" s="1070"/>
      <c r="CW457" s="1070"/>
      <c r="CX457" s="1070"/>
      <c r="CY457" s="1070"/>
      <c r="CZ457" s="1070"/>
      <c r="DA457" s="1070"/>
      <c r="DB457" s="1070"/>
      <c r="DC457" s="1070"/>
      <c r="DD457" s="1070"/>
      <c r="DE457" s="1070"/>
      <c r="DF457" s="1070"/>
      <c r="DG457" s="1070"/>
      <c r="DH457" s="1070"/>
      <c r="DI457" s="1070"/>
      <c r="DJ457" s="1070"/>
    </row>
    <row r="458" spans="1:114" s="1136" customFormat="1" ht="15" x14ac:dyDescent="0.2">
      <c r="A458" s="1981" t="s">
        <v>1391</v>
      </c>
      <c r="B458" s="1982">
        <f>IF(B216=1,188,0)</f>
        <v>188</v>
      </c>
      <c r="C458" s="1983"/>
      <c r="D458" s="1983"/>
      <c r="E458" s="1983"/>
      <c r="F458" s="1983"/>
      <c r="G458" s="1983"/>
      <c r="H458" s="1070"/>
      <c r="I458" s="1070"/>
      <c r="J458" s="1070"/>
      <c r="K458" s="1070"/>
      <c r="L458" s="1070"/>
      <c r="M458" s="1070"/>
      <c r="N458" s="1070"/>
      <c r="O458" s="1070"/>
      <c r="P458" s="1070"/>
      <c r="Q458" s="1070"/>
      <c r="R458" s="1070"/>
      <c r="S458" s="1070"/>
      <c r="T458" s="1070"/>
      <c r="U458" s="1070"/>
      <c r="V458" s="1070"/>
      <c r="W458" s="1070"/>
      <c r="X458" s="1070"/>
      <c r="Y458" s="1070"/>
      <c r="Z458" s="1070"/>
      <c r="AA458" s="1070"/>
      <c r="AB458" s="1070"/>
      <c r="AC458" s="1070"/>
      <c r="AD458" s="1070"/>
      <c r="AE458" s="1070"/>
      <c r="AF458" s="1070"/>
      <c r="AG458" s="1070"/>
      <c r="AH458" s="1070"/>
      <c r="AI458" s="1070"/>
      <c r="AJ458" s="1070"/>
      <c r="AK458" s="1070"/>
      <c r="AL458" s="1070"/>
      <c r="AM458" s="1070"/>
      <c r="AN458" s="1070"/>
      <c r="AO458" s="1070"/>
      <c r="AP458" s="1070"/>
      <c r="AQ458" s="1070"/>
      <c r="AR458" s="1070"/>
      <c r="AS458" s="1070"/>
      <c r="AT458" s="1070"/>
      <c r="AU458" s="1070"/>
      <c r="AV458" s="1070"/>
      <c r="AW458" s="1070"/>
      <c r="AX458" s="1070"/>
      <c r="AY458" s="1070"/>
      <c r="AZ458" s="1070"/>
      <c r="BA458" s="1070"/>
      <c r="BB458" s="1070"/>
      <c r="BC458" s="1070"/>
      <c r="BD458" s="1070"/>
      <c r="BE458" s="1070"/>
      <c r="BF458" s="1070"/>
      <c r="BG458" s="1070"/>
      <c r="BH458" s="1070"/>
      <c r="BI458" s="1070"/>
      <c r="BJ458" s="1070"/>
      <c r="BK458" s="1070"/>
      <c r="BL458" s="1070"/>
      <c r="BM458" s="1070"/>
      <c r="BN458" s="1070"/>
      <c r="BO458" s="1070"/>
      <c r="BP458" s="1070"/>
      <c r="BQ458" s="1070"/>
      <c r="BR458" s="1070"/>
      <c r="BS458" s="1070"/>
      <c r="BT458" s="1070"/>
      <c r="BU458" s="1070"/>
      <c r="BV458" s="1070"/>
      <c r="BW458" s="1070"/>
      <c r="BX458" s="1070"/>
      <c r="BY458" s="1070"/>
      <c r="BZ458" s="1070"/>
      <c r="CA458" s="1070"/>
      <c r="CB458" s="1070"/>
      <c r="CC458" s="1070"/>
      <c r="CD458" s="1070"/>
      <c r="CE458" s="1070"/>
      <c r="CF458" s="1070"/>
      <c r="CG458" s="1070"/>
      <c r="CH458" s="1070"/>
      <c r="CI458" s="1070"/>
      <c r="CJ458" s="1070"/>
      <c r="CK458" s="1070"/>
      <c r="CL458" s="1070"/>
      <c r="CM458" s="1070"/>
      <c r="CN458" s="1070"/>
      <c r="CO458" s="1070"/>
      <c r="CP458" s="1070"/>
      <c r="CQ458" s="1070"/>
      <c r="CR458" s="1070"/>
      <c r="CS458" s="1070"/>
      <c r="CT458" s="1070"/>
      <c r="CU458" s="1070"/>
      <c r="CV458" s="1070"/>
      <c r="CW458" s="1070"/>
      <c r="CX458" s="1070"/>
      <c r="CY458" s="1070"/>
      <c r="CZ458" s="1070"/>
      <c r="DA458" s="1070"/>
      <c r="DB458" s="1070"/>
      <c r="DC458" s="1070"/>
      <c r="DD458" s="1070"/>
      <c r="DE458" s="1070"/>
      <c r="DF458" s="1070"/>
      <c r="DG458" s="1070"/>
      <c r="DH458" s="1070"/>
      <c r="DI458" s="1070"/>
      <c r="DJ458" s="1070"/>
    </row>
    <row r="459" spans="1:114" s="1136" customFormat="1" ht="15" x14ac:dyDescent="0.2">
      <c r="A459" s="1981" t="s">
        <v>1392</v>
      </c>
      <c r="B459" s="1982">
        <f>IF(B216=2,94,0)</f>
        <v>0</v>
      </c>
      <c r="C459" s="1983"/>
      <c r="D459" s="1983"/>
      <c r="E459" s="1983"/>
      <c r="F459" s="1983"/>
      <c r="G459" s="1983"/>
      <c r="H459" s="1070"/>
      <c r="I459" s="1070"/>
      <c r="J459" s="1070"/>
      <c r="K459" s="1070"/>
      <c r="L459" s="1070"/>
      <c r="M459" s="1070"/>
      <c r="N459" s="1070"/>
      <c r="O459" s="1070"/>
      <c r="P459" s="1070"/>
      <c r="Q459" s="1070"/>
      <c r="R459" s="1070"/>
      <c r="S459" s="1070"/>
      <c r="T459" s="1070"/>
      <c r="U459" s="1070"/>
      <c r="V459" s="1070"/>
      <c r="W459" s="1070"/>
      <c r="X459" s="1070"/>
      <c r="Y459" s="1070"/>
      <c r="Z459" s="1070"/>
      <c r="AA459" s="1070"/>
      <c r="AB459" s="1070"/>
      <c r="AC459" s="1070"/>
      <c r="AD459" s="1070"/>
      <c r="AE459" s="1070"/>
      <c r="AF459" s="1070"/>
      <c r="AG459" s="1070"/>
      <c r="AH459" s="1070"/>
      <c r="AI459" s="1070"/>
      <c r="AJ459" s="1070"/>
      <c r="AK459" s="1070"/>
      <c r="AL459" s="1070"/>
      <c r="AM459" s="1070"/>
      <c r="AN459" s="1070"/>
      <c r="AO459" s="1070"/>
      <c r="AP459" s="1070"/>
      <c r="AQ459" s="1070"/>
      <c r="AR459" s="1070"/>
      <c r="AS459" s="1070"/>
      <c r="AT459" s="1070"/>
      <c r="AU459" s="1070"/>
      <c r="AV459" s="1070"/>
      <c r="AW459" s="1070"/>
      <c r="AX459" s="1070"/>
      <c r="AY459" s="1070"/>
      <c r="AZ459" s="1070"/>
      <c r="BA459" s="1070"/>
      <c r="BB459" s="1070"/>
      <c r="BC459" s="1070"/>
      <c r="BD459" s="1070"/>
      <c r="BE459" s="1070"/>
      <c r="BF459" s="1070"/>
      <c r="BG459" s="1070"/>
      <c r="BH459" s="1070"/>
      <c r="BI459" s="1070"/>
      <c r="BJ459" s="1070"/>
      <c r="BK459" s="1070"/>
      <c r="BL459" s="1070"/>
      <c r="BM459" s="1070"/>
      <c r="BN459" s="1070"/>
      <c r="BO459" s="1070"/>
      <c r="BP459" s="1070"/>
      <c r="BQ459" s="1070"/>
      <c r="BR459" s="1070"/>
      <c r="BS459" s="1070"/>
      <c r="BT459" s="1070"/>
      <c r="BU459" s="1070"/>
      <c r="BV459" s="1070"/>
      <c r="BW459" s="1070"/>
      <c r="BX459" s="1070"/>
      <c r="BY459" s="1070"/>
      <c r="BZ459" s="1070"/>
      <c r="CA459" s="1070"/>
      <c r="CB459" s="1070"/>
      <c r="CC459" s="1070"/>
      <c r="CD459" s="1070"/>
      <c r="CE459" s="1070"/>
      <c r="CF459" s="1070"/>
      <c r="CG459" s="1070"/>
      <c r="CH459" s="1070"/>
      <c r="CI459" s="1070"/>
      <c r="CJ459" s="1070"/>
      <c r="CK459" s="1070"/>
      <c r="CL459" s="1070"/>
      <c r="CM459" s="1070"/>
      <c r="CN459" s="1070"/>
      <c r="CO459" s="1070"/>
      <c r="CP459" s="1070"/>
      <c r="CQ459" s="1070"/>
      <c r="CR459" s="1070"/>
      <c r="CS459" s="1070"/>
      <c r="CT459" s="1070"/>
      <c r="CU459" s="1070"/>
      <c r="CV459" s="1070"/>
      <c r="CW459" s="1070"/>
      <c r="CX459" s="1070"/>
      <c r="CY459" s="1070"/>
      <c r="CZ459" s="1070"/>
      <c r="DA459" s="1070"/>
      <c r="DB459" s="1070"/>
      <c r="DC459" s="1070"/>
      <c r="DD459" s="1070"/>
      <c r="DE459" s="1070"/>
      <c r="DF459" s="1070"/>
      <c r="DG459" s="1070"/>
      <c r="DH459" s="1070"/>
      <c r="DI459" s="1070"/>
      <c r="DJ459" s="1070"/>
    </row>
    <row r="460" spans="1:114" s="1136" customFormat="1" ht="30" x14ac:dyDescent="0.2">
      <c r="A460" s="1981" t="s">
        <v>1393</v>
      </c>
      <c r="B460" s="1982">
        <f>IF(B212=1,257,0)</f>
        <v>0</v>
      </c>
      <c r="C460" s="1983"/>
      <c r="D460" s="1983"/>
      <c r="E460" s="1983"/>
      <c r="F460" s="1983"/>
      <c r="G460" s="1983"/>
      <c r="H460" s="1070"/>
      <c r="I460" s="1070"/>
      <c r="J460" s="1070"/>
      <c r="K460" s="1070"/>
      <c r="L460" s="1070"/>
      <c r="M460" s="1070"/>
      <c r="N460" s="1070"/>
      <c r="O460" s="1070"/>
      <c r="P460" s="1070"/>
      <c r="Q460" s="1070"/>
      <c r="R460" s="1070"/>
      <c r="S460" s="1070"/>
      <c r="T460" s="1070"/>
      <c r="U460" s="1070"/>
      <c r="V460" s="1070"/>
      <c r="W460" s="1070"/>
      <c r="X460" s="1070"/>
      <c r="Y460" s="1070"/>
      <c r="Z460" s="1070"/>
      <c r="AA460" s="1070"/>
      <c r="AB460" s="1070"/>
      <c r="AC460" s="1070"/>
      <c r="AD460" s="1070"/>
      <c r="AE460" s="1070"/>
      <c r="AF460" s="1070"/>
      <c r="AG460" s="1070"/>
      <c r="AH460" s="1070"/>
      <c r="AI460" s="1070"/>
      <c r="AJ460" s="1070"/>
      <c r="AK460" s="1070"/>
      <c r="AL460" s="1070"/>
      <c r="AM460" s="1070"/>
      <c r="AN460" s="1070"/>
      <c r="AO460" s="1070"/>
      <c r="AP460" s="1070"/>
      <c r="AQ460" s="1070"/>
      <c r="AR460" s="1070"/>
      <c r="AS460" s="1070"/>
      <c r="AT460" s="1070"/>
      <c r="AU460" s="1070"/>
      <c r="AV460" s="1070"/>
      <c r="AW460" s="1070"/>
      <c r="AX460" s="1070"/>
      <c r="AY460" s="1070"/>
      <c r="AZ460" s="1070"/>
      <c r="BA460" s="1070"/>
      <c r="BB460" s="1070"/>
      <c r="BC460" s="1070"/>
      <c r="BD460" s="1070"/>
      <c r="BE460" s="1070"/>
      <c r="BF460" s="1070"/>
      <c r="BG460" s="1070"/>
      <c r="BH460" s="1070"/>
      <c r="BI460" s="1070"/>
      <c r="BJ460" s="1070"/>
      <c r="BK460" s="1070"/>
      <c r="BL460" s="1070"/>
      <c r="BM460" s="1070"/>
      <c r="BN460" s="1070"/>
      <c r="BO460" s="1070"/>
      <c r="BP460" s="1070"/>
      <c r="BQ460" s="1070"/>
      <c r="BR460" s="1070"/>
      <c r="BS460" s="1070"/>
      <c r="BT460" s="1070"/>
      <c r="BU460" s="1070"/>
      <c r="BV460" s="1070"/>
      <c r="BW460" s="1070"/>
      <c r="BX460" s="1070"/>
      <c r="BY460" s="1070"/>
      <c r="BZ460" s="1070"/>
      <c r="CA460" s="1070"/>
      <c r="CB460" s="1070"/>
      <c r="CC460" s="1070"/>
      <c r="CD460" s="1070"/>
      <c r="CE460" s="1070"/>
      <c r="CF460" s="1070"/>
      <c r="CG460" s="1070"/>
      <c r="CH460" s="1070"/>
      <c r="CI460" s="1070"/>
      <c r="CJ460" s="1070"/>
      <c r="CK460" s="1070"/>
      <c r="CL460" s="1070"/>
      <c r="CM460" s="1070"/>
      <c r="CN460" s="1070"/>
      <c r="CO460" s="1070"/>
      <c r="CP460" s="1070"/>
      <c r="CQ460" s="1070"/>
      <c r="CR460" s="1070"/>
      <c r="CS460" s="1070"/>
      <c r="CT460" s="1070"/>
      <c r="CU460" s="1070"/>
      <c r="CV460" s="1070"/>
      <c r="CW460" s="1070"/>
      <c r="CX460" s="1070"/>
      <c r="CY460" s="1070"/>
      <c r="CZ460" s="1070"/>
      <c r="DA460" s="1070"/>
      <c r="DB460" s="1070"/>
      <c r="DC460" s="1070"/>
      <c r="DD460" s="1070"/>
      <c r="DE460" s="1070"/>
      <c r="DF460" s="1070"/>
      <c r="DG460" s="1070"/>
      <c r="DH460" s="1070"/>
      <c r="DI460" s="1070"/>
      <c r="DJ460" s="1070"/>
    </row>
    <row r="461" spans="1:114" s="1136" customFormat="1" ht="31.5" x14ac:dyDescent="0.25">
      <c r="A461" s="1435" t="s">
        <v>5573</v>
      </c>
      <c r="B461" s="1442">
        <v>0</v>
      </c>
      <c r="C461" s="1983"/>
      <c r="D461" s="1983"/>
      <c r="E461" s="1983"/>
      <c r="F461" s="1983"/>
      <c r="G461" s="1983"/>
      <c r="H461" s="1070"/>
      <c r="I461" s="1070"/>
      <c r="J461" s="1070"/>
      <c r="K461" s="1070"/>
      <c r="L461" s="1070"/>
      <c r="M461" s="1070"/>
      <c r="N461" s="1070"/>
      <c r="O461" s="1070"/>
      <c r="P461" s="1070"/>
      <c r="Q461" s="1070"/>
      <c r="R461" s="1070"/>
      <c r="S461" s="1070"/>
      <c r="T461" s="1070"/>
      <c r="U461" s="1070"/>
      <c r="V461" s="1070"/>
      <c r="W461" s="1070"/>
      <c r="X461" s="1070"/>
      <c r="Y461" s="1070"/>
      <c r="Z461" s="1070"/>
      <c r="AA461" s="1070"/>
      <c r="AB461" s="1070"/>
      <c r="AC461" s="1070"/>
      <c r="AD461" s="1070"/>
      <c r="AE461" s="1070"/>
      <c r="AF461" s="1070"/>
      <c r="AG461" s="1070"/>
      <c r="AH461" s="1070"/>
      <c r="AI461" s="1070"/>
      <c r="AJ461" s="1070"/>
      <c r="AK461" s="1070"/>
      <c r="AL461" s="1070"/>
      <c r="AM461" s="1070"/>
      <c r="AN461" s="1070"/>
      <c r="AO461" s="1070"/>
      <c r="AP461" s="1070"/>
      <c r="AQ461" s="1070"/>
      <c r="AR461" s="1070"/>
      <c r="AS461" s="1070"/>
      <c r="AT461" s="1070"/>
      <c r="AU461" s="1070"/>
      <c r="AV461" s="1070"/>
      <c r="AW461" s="1070"/>
      <c r="AX461" s="1070"/>
      <c r="AY461" s="1070"/>
      <c r="AZ461" s="1070"/>
      <c r="BA461" s="1070"/>
      <c r="BB461" s="1070"/>
      <c r="BC461" s="1070"/>
      <c r="BD461" s="1070"/>
      <c r="BE461" s="1070"/>
      <c r="BF461" s="1070"/>
      <c r="BG461" s="1070"/>
      <c r="BH461" s="1070"/>
      <c r="BI461" s="1070"/>
      <c r="BJ461" s="1070"/>
      <c r="BK461" s="1070"/>
      <c r="BL461" s="1070"/>
      <c r="BM461" s="1070"/>
      <c r="BN461" s="1070"/>
      <c r="BO461" s="1070"/>
      <c r="BP461" s="1070"/>
      <c r="BQ461" s="1070"/>
      <c r="BR461" s="1070"/>
      <c r="BS461" s="1070"/>
      <c r="BT461" s="1070"/>
      <c r="BU461" s="1070"/>
      <c r="BV461" s="1070"/>
      <c r="BW461" s="1070"/>
      <c r="BX461" s="1070"/>
      <c r="BY461" s="1070"/>
      <c r="BZ461" s="1070"/>
      <c r="CA461" s="1070"/>
      <c r="CB461" s="1070"/>
      <c r="CC461" s="1070"/>
      <c r="CD461" s="1070"/>
      <c r="CE461" s="1070"/>
      <c r="CF461" s="1070"/>
      <c r="CG461" s="1070"/>
      <c r="CH461" s="1070"/>
      <c r="CI461" s="1070"/>
      <c r="CJ461" s="1070"/>
      <c r="CK461" s="1070"/>
      <c r="CL461" s="1070"/>
      <c r="CM461" s="1070"/>
      <c r="CN461" s="1070"/>
      <c r="CO461" s="1070"/>
      <c r="CP461" s="1070"/>
      <c r="CQ461" s="1070"/>
      <c r="CR461" s="1070"/>
      <c r="CS461" s="1070"/>
      <c r="CT461" s="1070"/>
      <c r="CU461" s="1070"/>
      <c r="CV461" s="1070"/>
      <c r="CW461" s="1070"/>
      <c r="CX461" s="1070"/>
      <c r="CY461" s="1070"/>
      <c r="CZ461" s="1070"/>
      <c r="DA461" s="1070"/>
      <c r="DB461" s="1070"/>
      <c r="DC461" s="1070"/>
      <c r="DD461" s="1070"/>
      <c r="DE461" s="1070"/>
      <c r="DF461" s="1070"/>
      <c r="DG461" s="1070"/>
      <c r="DH461" s="1070"/>
      <c r="DI461" s="1070"/>
      <c r="DJ461" s="1070"/>
    </row>
    <row r="462" spans="1:114" s="1136" customFormat="1" ht="15" x14ac:dyDescent="0.2">
      <c r="A462" s="1981" t="s">
        <v>1394</v>
      </c>
      <c r="B462" s="1982">
        <f>IF(B461=1,172,0)</f>
        <v>0</v>
      </c>
      <c r="C462" s="1983"/>
      <c r="D462" s="1983"/>
      <c r="E462" s="1983"/>
      <c r="F462" s="1983"/>
      <c r="G462" s="1983"/>
      <c r="H462" s="1070"/>
      <c r="I462" s="1070"/>
      <c r="J462" s="1070"/>
      <c r="K462" s="1070"/>
      <c r="L462" s="1070"/>
      <c r="M462" s="1070"/>
      <c r="N462" s="1070"/>
      <c r="O462" s="1070"/>
      <c r="P462" s="1070"/>
      <c r="Q462" s="1070"/>
      <c r="R462" s="1070"/>
      <c r="S462" s="1070"/>
      <c r="T462" s="1070"/>
      <c r="U462" s="1070"/>
      <c r="V462" s="1070"/>
      <c r="W462" s="1070"/>
      <c r="X462" s="1070"/>
      <c r="Y462" s="1070"/>
      <c r="Z462" s="1070"/>
      <c r="AA462" s="1070"/>
      <c r="AB462" s="1070"/>
      <c r="AC462" s="1070"/>
      <c r="AD462" s="1070"/>
      <c r="AE462" s="1070"/>
      <c r="AF462" s="1070"/>
      <c r="AG462" s="1070"/>
      <c r="AH462" s="1070"/>
      <c r="AI462" s="1070"/>
      <c r="AJ462" s="1070"/>
      <c r="AK462" s="1070"/>
      <c r="AL462" s="1070"/>
      <c r="AM462" s="1070"/>
      <c r="AN462" s="1070"/>
      <c r="AO462" s="1070"/>
      <c r="AP462" s="1070"/>
      <c r="AQ462" s="1070"/>
      <c r="AR462" s="1070"/>
      <c r="AS462" s="1070"/>
      <c r="AT462" s="1070"/>
      <c r="AU462" s="1070"/>
      <c r="AV462" s="1070"/>
      <c r="AW462" s="1070"/>
      <c r="AX462" s="1070"/>
      <c r="AY462" s="1070"/>
      <c r="AZ462" s="1070"/>
      <c r="BA462" s="1070"/>
      <c r="BB462" s="1070"/>
      <c r="BC462" s="1070"/>
      <c r="BD462" s="1070"/>
      <c r="BE462" s="1070"/>
      <c r="BF462" s="1070"/>
      <c r="BG462" s="1070"/>
      <c r="BH462" s="1070"/>
      <c r="BI462" s="1070"/>
      <c r="BJ462" s="1070"/>
      <c r="BK462" s="1070"/>
      <c r="BL462" s="1070"/>
      <c r="BM462" s="1070"/>
      <c r="BN462" s="1070"/>
      <c r="BO462" s="1070"/>
      <c r="BP462" s="1070"/>
      <c r="BQ462" s="1070"/>
      <c r="BR462" s="1070"/>
      <c r="BS462" s="1070"/>
      <c r="BT462" s="1070"/>
      <c r="BU462" s="1070"/>
      <c r="BV462" s="1070"/>
      <c r="BW462" s="1070"/>
      <c r="BX462" s="1070"/>
      <c r="BY462" s="1070"/>
      <c r="BZ462" s="1070"/>
      <c r="CA462" s="1070"/>
      <c r="CB462" s="1070"/>
      <c r="CC462" s="1070"/>
      <c r="CD462" s="1070"/>
      <c r="CE462" s="1070"/>
      <c r="CF462" s="1070"/>
      <c r="CG462" s="1070"/>
      <c r="CH462" s="1070"/>
      <c r="CI462" s="1070"/>
      <c r="CJ462" s="1070"/>
      <c r="CK462" s="1070"/>
      <c r="CL462" s="1070"/>
      <c r="CM462" s="1070"/>
      <c r="CN462" s="1070"/>
      <c r="CO462" s="1070"/>
      <c r="CP462" s="1070"/>
      <c r="CQ462" s="1070"/>
      <c r="CR462" s="1070"/>
      <c r="CS462" s="1070"/>
      <c r="CT462" s="1070"/>
      <c r="CU462" s="1070"/>
      <c r="CV462" s="1070"/>
      <c r="CW462" s="1070"/>
      <c r="CX462" s="1070"/>
      <c r="CY462" s="1070"/>
      <c r="CZ462" s="1070"/>
      <c r="DA462" s="1070"/>
      <c r="DB462" s="1070"/>
      <c r="DC462" s="1070"/>
      <c r="DD462" s="1070"/>
      <c r="DE462" s="1070"/>
      <c r="DF462" s="1070"/>
      <c r="DG462" s="1070"/>
      <c r="DH462" s="1070"/>
      <c r="DI462" s="1070"/>
      <c r="DJ462" s="1070"/>
    </row>
    <row r="463" spans="1:114" s="1136" customFormat="1" ht="45" x14ac:dyDescent="0.2">
      <c r="A463" s="1987" t="s">
        <v>1395</v>
      </c>
      <c r="B463" s="1988" t="e">
        <f>B452+B453+B455+B456+B457+B458+B459+B460+B462</f>
        <v>#VALUE!</v>
      </c>
      <c r="C463" s="1989"/>
      <c r="D463" s="1989"/>
      <c r="E463" s="1989"/>
      <c r="F463" s="1989"/>
      <c r="G463" s="1989"/>
      <c r="H463" s="1070"/>
      <c r="I463" s="1070"/>
      <c r="J463" s="1070"/>
      <c r="K463" s="1070"/>
      <c r="L463" s="1070"/>
      <c r="M463" s="1070"/>
      <c r="N463" s="1070"/>
      <c r="O463" s="1070"/>
      <c r="P463" s="1070"/>
      <c r="Q463" s="1070"/>
      <c r="R463" s="1070"/>
      <c r="S463" s="1070"/>
      <c r="T463" s="1070"/>
      <c r="U463" s="1070"/>
      <c r="V463" s="1070"/>
      <c r="W463" s="1070"/>
      <c r="X463" s="1070"/>
      <c r="Y463" s="1070"/>
      <c r="Z463" s="1070"/>
      <c r="AA463" s="1070"/>
      <c r="AB463" s="1070"/>
      <c r="AC463" s="1070"/>
      <c r="AD463" s="1070"/>
      <c r="AE463" s="1070"/>
      <c r="AF463" s="1070"/>
      <c r="AG463" s="1070"/>
      <c r="AH463" s="1070"/>
      <c r="AI463" s="1070"/>
      <c r="AJ463" s="1070"/>
      <c r="AK463" s="1070"/>
      <c r="AL463" s="1070"/>
      <c r="AM463" s="1070"/>
      <c r="AN463" s="1070"/>
      <c r="AO463" s="1070"/>
      <c r="AP463" s="1070"/>
      <c r="AQ463" s="1070"/>
      <c r="AR463" s="1070"/>
      <c r="AS463" s="1070"/>
      <c r="AT463" s="1070"/>
      <c r="AU463" s="1070"/>
      <c r="AV463" s="1070"/>
      <c r="AW463" s="1070"/>
      <c r="AX463" s="1070"/>
      <c r="AY463" s="1070"/>
      <c r="AZ463" s="1070"/>
      <c r="BA463" s="1070"/>
      <c r="BB463" s="1070"/>
      <c r="BC463" s="1070"/>
      <c r="BD463" s="1070"/>
      <c r="BE463" s="1070"/>
      <c r="BF463" s="1070"/>
      <c r="BG463" s="1070"/>
      <c r="BH463" s="1070"/>
      <c r="BI463" s="1070"/>
      <c r="BJ463" s="1070"/>
      <c r="BK463" s="1070"/>
      <c r="BL463" s="1070"/>
      <c r="BM463" s="1070"/>
      <c r="BN463" s="1070"/>
      <c r="BO463" s="1070"/>
      <c r="BP463" s="1070"/>
      <c r="BQ463" s="1070"/>
      <c r="BR463" s="1070"/>
      <c r="BS463" s="1070"/>
      <c r="BT463" s="1070"/>
      <c r="BU463" s="1070"/>
      <c r="BV463" s="1070"/>
      <c r="BW463" s="1070"/>
      <c r="BX463" s="1070"/>
      <c r="BY463" s="1070"/>
      <c r="BZ463" s="1070"/>
      <c r="CA463" s="1070"/>
      <c r="CB463" s="1070"/>
      <c r="CC463" s="1070"/>
      <c r="CD463" s="1070"/>
      <c r="CE463" s="1070"/>
      <c r="CF463" s="1070"/>
      <c r="CG463" s="1070"/>
      <c r="CH463" s="1070"/>
      <c r="CI463" s="1070"/>
      <c r="CJ463" s="1070"/>
      <c r="CK463" s="1070"/>
      <c r="CL463" s="1070"/>
      <c r="CM463" s="1070"/>
      <c r="CN463" s="1070"/>
      <c r="CO463" s="1070"/>
      <c r="CP463" s="1070"/>
      <c r="CQ463" s="1070"/>
      <c r="CR463" s="1070"/>
      <c r="CS463" s="1070"/>
      <c r="CT463" s="1070"/>
      <c r="CU463" s="1070"/>
      <c r="CV463" s="1070"/>
      <c r="CW463" s="1070"/>
      <c r="CX463" s="1070"/>
      <c r="CY463" s="1070"/>
      <c r="CZ463" s="1070"/>
      <c r="DA463" s="1070"/>
      <c r="DB463" s="1070"/>
      <c r="DC463" s="1070"/>
      <c r="DD463" s="1070"/>
      <c r="DE463" s="1070"/>
      <c r="DF463" s="1070"/>
      <c r="DG463" s="1070"/>
      <c r="DH463" s="1070"/>
      <c r="DI463" s="1070"/>
      <c r="DJ463" s="1070"/>
    </row>
    <row r="464" spans="1:114" s="1136" customFormat="1" ht="30" x14ac:dyDescent="0.2">
      <c r="A464" s="1981" t="s">
        <v>4610</v>
      </c>
      <c r="B464" s="1990" t="e">
        <f>0.9*1.2*1.3*B463/(357*6)</f>
        <v>#VALUE!</v>
      </c>
      <c r="C464" s="1991"/>
      <c r="D464" s="1991"/>
      <c r="E464" s="1991"/>
      <c r="F464" s="1991"/>
      <c r="G464" s="1991"/>
      <c r="H464" s="1070"/>
      <c r="I464" s="1070"/>
      <c r="J464" s="1070"/>
      <c r="K464" s="1070"/>
      <c r="L464" s="1070"/>
      <c r="M464" s="1070"/>
      <c r="N464" s="1070"/>
      <c r="O464" s="1070"/>
      <c r="P464" s="1070"/>
      <c r="Q464" s="1070"/>
      <c r="R464" s="1070"/>
      <c r="S464" s="1070"/>
      <c r="T464" s="1070"/>
      <c r="U464" s="1070"/>
      <c r="V464" s="1070"/>
      <c r="W464" s="1070"/>
      <c r="X464" s="1070"/>
      <c r="Y464" s="1070"/>
      <c r="Z464" s="1070"/>
      <c r="AA464" s="1070"/>
      <c r="AB464" s="1070"/>
      <c r="AC464" s="1070"/>
      <c r="AD464" s="1070"/>
      <c r="AE464" s="1070"/>
      <c r="AF464" s="1070"/>
      <c r="AG464" s="1070"/>
      <c r="AH464" s="1070"/>
      <c r="AI464" s="1070"/>
      <c r="AJ464" s="1070"/>
      <c r="AK464" s="1070"/>
      <c r="AL464" s="1070"/>
      <c r="AM464" s="1070"/>
      <c r="AN464" s="1070"/>
      <c r="AO464" s="1070"/>
      <c r="AP464" s="1070"/>
      <c r="AQ464" s="1070"/>
      <c r="AR464" s="1070"/>
      <c r="AS464" s="1070"/>
      <c r="AT464" s="1070"/>
      <c r="AU464" s="1070"/>
      <c r="AV464" s="1070"/>
      <c r="AW464" s="1070"/>
      <c r="AX464" s="1070"/>
      <c r="AY464" s="1070"/>
      <c r="AZ464" s="1070"/>
      <c r="BA464" s="1070"/>
      <c r="BB464" s="1070"/>
      <c r="BC464" s="1070"/>
      <c r="BD464" s="1070"/>
      <c r="BE464" s="1070"/>
      <c r="BF464" s="1070"/>
      <c r="BG464" s="1070"/>
      <c r="BH464" s="1070"/>
      <c r="BI464" s="1070"/>
      <c r="BJ464" s="1070"/>
      <c r="BK464" s="1070"/>
      <c r="BL464" s="1070"/>
      <c r="BM464" s="1070"/>
      <c r="BN464" s="1070"/>
      <c r="BO464" s="1070"/>
      <c r="BP464" s="1070"/>
      <c r="BQ464" s="1070"/>
      <c r="BR464" s="1070"/>
      <c r="BS464" s="1070"/>
      <c r="BT464" s="1070"/>
      <c r="BU464" s="1070"/>
      <c r="BV464" s="1070"/>
      <c r="BW464" s="1070"/>
      <c r="BX464" s="1070"/>
      <c r="BY464" s="1070"/>
      <c r="BZ464" s="1070"/>
      <c r="CA464" s="1070"/>
      <c r="CB464" s="1070"/>
      <c r="CC464" s="1070"/>
      <c r="CD464" s="1070"/>
      <c r="CE464" s="1070"/>
      <c r="CF464" s="1070"/>
      <c r="CG464" s="1070"/>
      <c r="CH464" s="1070"/>
      <c r="CI464" s="1070"/>
      <c r="CJ464" s="1070"/>
      <c r="CK464" s="1070"/>
      <c r="CL464" s="1070"/>
      <c r="CM464" s="1070"/>
      <c r="CN464" s="1070"/>
      <c r="CO464" s="1070"/>
      <c r="CP464" s="1070"/>
      <c r="CQ464" s="1070"/>
      <c r="CR464" s="1070"/>
      <c r="CS464" s="1070"/>
      <c r="CT464" s="1070"/>
      <c r="CU464" s="1070"/>
      <c r="CV464" s="1070"/>
      <c r="CW464" s="1070"/>
      <c r="CX464" s="1070"/>
      <c r="CY464" s="1070"/>
      <c r="CZ464" s="1070"/>
      <c r="DA464" s="1070"/>
      <c r="DB464" s="1070"/>
      <c r="DC464" s="1070"/>
      <c r="DD464" s="1070"/>
      <c r="DE464" s="1070"/>
      <c r="DF464" s="1070"/>
      <c r="DG464" s="1070"/>
      <c r="DH464" s="1070"/>
      <c r="DI464" s="1070"/>
      <c r="DJ464" s="1070"/>
    </row>
    <row r="465" spans="1:114" s="1136" customFormat="1" ht="30" x14ac:dyDescent="0.2">
      <c r="A465" s="1981" t="s">
        <v>1397</v>
      </c>
      <c r="B465" s="1982" t="e">
        <f>CEILING(B464,1)</f>
        <v>#VALUE!</v>
      </c>
      <c r="C465" s="1983"/>
      <c r="D465" s="1983"/>
      <c r="E465" s="1983"/>
      <c r="F465" s="1983"/>
      <c r="G465" s="1983"/>
      <c r="H465" s="1070"/>
      <c r="I465" s="1070"/>
      <c r="J465" s="1070"/>
      <c r="K465" s="1070"/>
      <c r="L465" s="1070"/>
      <c r="M465" s="1070"/>
      <c r="N465" s="1070"/>
      <c r="O465" s="1070"/>
      <c r="P465" s="1070"/>
      <c r="Q465" s="1070"/>
      <c r="R465" s="1070"/>
      <c r="S465" s="1070"/>
      <c r="T465" s="1070"/>
      <c r="U465" s="1070"/>
      <c r="V465" s="1070"/>
      <c r="W465" s="1070"/>
      <c r="X465" s="1070"/>
      <c r="Y465" s="1070"/>
      <c r="Z465" s="1070"/>
      <c r="AA465" s="1070"/>
      <c r="AB465" s="1070"/>
      <c r="AC465" s="1070"/>
      <c r="AD465" s="1070"/>
      <c r="AE465" s="1070"/>
      <c r="AF465" s="1070"/>
      <c r="AG465" s="1070"/>
      <c r="AH465" s="1070"/>
      <c r="AI465" s="1070"/>
      <c r="AJ465" s="1070"/>
      <c r="AK465" s="1070"/>
      <c r="AL465" s="1070"/>
      <c r="AM465" s="1070"/>
      <c r="AN465" s="1070"/>
      <c r="AO465" s="1070"/>
      <c r="AP465" s="1070"/>
      <c r="AQ465" s="1070"/>
      <c r="AR465" s="1070"/>
      <c r="AS465" s="1070"/>
      <c r="AT465" s="1070"/>
      <c r="AU465" s="1070"/>
      <c r="AV465" s="1070"/>
      <c r="AW465" s="1070"/>
      <c r="AX465" s="1070"/>
      <c r="AY465" s="1070"/>
      <c r="AZ465" s="1070"/>
      <c r="BA465" s="1070"/>
      <c r="BB465" s="1070"/>
      <c r="BC465" s="1070"/>
      <c r="BD465" s="1070"/>
      <c r="BE465" s="1070"/>
      <c r="BF465" s="1070"/>
      <c r="BG465" s="1070"/>
      <c r="BH465" s="1070"/>
      <c r="BI465" s="1070"/>
      <c r="BJ465" s="1070"/>
      <c r="BK465" s="1070"/>
      <c r="BL465" s="1070"/>
      <c r="BM465" s="1070"/>
      <c r="BN465" s="1070"/>
      <c r="BO465" s="1070"/>
      <c r="BP465" s="1070"/>
      <c r="BQ465" s="1070"/>
      <c r="BR465" s="1070"/>
      <c r="BS465" s="1070"/>
      <c r="BT465" s="1070"/>
      <c r="BU465" s="1070"/>
      <c r="BV465" s="1070"/>
      <c r="BW465" s="1070"/>
      <c r="BX465" s="1070"/>
      <c r="BY465" s="1070"/>
      <c r="BZ465" s="1070"/>
      <c r="CA465" s="1070"/>
      <c r="CB465" s="1070"/>
      <c r="CC465" s="1070"/>
      <c r="CD465" s="1070"/>
      <c r="CE465" s="1070"/>
      <c r="CF465" s="1070"/>
      <c r="CG465" s="1070"/>
      <c r="CH465" s="1070"/>
      <c r="CI465" s="1070"/>
      <c r="CJ465" s="1070"/>
      <c r="CK465" s="1070"/>
      <c r="CL465" s="1070"/>
      <c r="CM465" s="1070"/>
      <c r="CN465" s="1070"/>
      <c r="CO465" s="1070"/>
      <c r="CP465" s="1070"/>
      <c r="CQ465" s="1070"/>
      <c r="CR465" s="1070"/>
      <c r="CS465" s="1070"/>
      <c r="CT465" s="1070"/>
      <c r="CU465" s="1070"/>
      <c r="CV465" s="1070"/>
      <c r="CW465" s="1070"/>
      <c r="CX465" s="1070"/>
      <c r="CY465" s="1070"/>
      <c r="CZ465" s="1070"/>
      <c r="DA465" s="1070"/>
      <c r="DB465" s="1070"/>
      <c r="DC465" s="1070"/>
      <c r="DD465" s="1070"/>
      <c r="DE465" s="1070"/>
      <c r="DF465" s="1070"/>
      <c r="DG465" s="1070"/>
      <c r="DH465" s="1070"/>
      <c r="DI465" s="1070"/>
      <c r="DJ465" s="1070"/>
    </row>
    <row r="466" spans="1:114" s="1136" customFormat="1" ht="15.75" x14ac:dyDescent="0.2">
      <c r="A466" s="1992"/>
      <c r="B466" s="1978"/>
      <c r="C466" s="1979"/>
      <c r="D466" s="1979"/>
      <c r="E466" s="1979"/>
      <c r="F466" s="1979"/>
      <c r="G466" s="1979"/>
      <c r="H466" s="1070"/>
      <c r="I466" s="1070"/>
      <c r="J466" s="1070"/>
      <c r="K466" s="1070"/>
      <c r="L466" s="1070"/>
      <c r="M466" s="1070"/>
      <c r="N466" s="1070"/>
      <c r="O466" s="1070"/>
      <c r="P466" s="1070"/>
      <c r="Q466" s="1070"/>
      <c r="R466" s="1070"/>
      <c r="S466" s="1070"/>
      <c r="T466" s="1070"/>
      <c r="U466" s="1070"/>
      <c r="V466" s="1070"/>
      <c r="W466" s="1070"/>
      <c r="X466" s="1070"/>
      <c r="Y466" s="1070"/>
      <c r="Z466" s="1070"/>
      <c r="AA466" s="1070"/>
      <c r="AB466" s="1070"/>
      <c r="AC466" s="1070"/>
      <c r="AD466" s="1070"/>
      <c r="AE466" s="1070"/>
      <c r="AF466" s="1070"/>
      <c r="AG466" s="1070"/>
      <c r="AH466" s="1070"/>
      <c r="AI466" s="1070"/>
      <c r="AJ466" s="1070"/>
      <c r="AK466" s="1070"/>
      <c r="AL466" s="1070"/>
      <c r="AM466" s="1070"/>
      <c r="AN466" s="1070"/>
      <c r="AO466" s="1070"/>
      <c r="AP466" s="1070"/>
      <c r="AQ466" s="1070"/>
      <c r="AR466" s="1070"/>
      <c r="AS466" s="1070"/>
      <c r="AT466" s="1070"/>
      <c r="AU466" s="1070"/>
      <c r="AV466" s="1070"/>
      <c r="AW466" s="1070"/>
      <c r="AX466" s="1070"/>
      <c r="AY466" s="1070"/>
      <c r="AZ466" s="1070"/>
      <c r="BA466" s="1070"/>
      <c r="BB466" s="1070"/>
      <c r="BC466" s="1070"/>
      <c r="BD466" s="1070"/>
      <c r="BE466" s="1070"/>
      <c r="BF466" s="1070"/>
      <c r="BG466" s="1070"/>
      <c r="BH466" s="1070"/>
      <c r="BI466" s="1070"/>
      <c r="BJ466" s="1070"/>
      <c r="BK466" s="1070"/>
      <c r="BL466" s="1070"/>
      <c r="BM466" s="1070"/>
      <c r="BN466" s="1070"/>
      <c r="BO466" s="1070"/>
      <c r="BP466" s="1070"/>
      <c r="BQ466" s="1070"/>
      <c r="BR466" s="1070"/>
      <c r="BS466" s="1070"/>
      <c r="BT466" s="1070"/>
      <c r="BU466" s="1070"/>
      <c r="BV466" s="1070"/>
      <c r="BW466" s="1070"/>
      <c r="BX466" s="1070"/>
      <c r="BY466" s="1070"/>
      <c r="BZ466" s="1070"/>
      <c r="CA466" s="1070"/>
      <c r="CB466" s="1070"/>
      <c r="CC466" s="1070"/>
      <c r="CD466" s="1070"/>
      <c r="CE466" s="1070"/>
      <c r="CF466" s="1070"/>
      <c r="CG466" s="1070"/>
      <c r="CH466" s="1070"/>
      <c r="CI466" s="1070"/>
      <c r="CJ466" s="1070"/>
      <c r="CK466" s="1070"/>
      <c r="CL466" s="1070"/>
      <c r="CM466" s="1070"/>
      <c r="CN466" s="1070"/>
      <c r="CO466" s="1070"/>
      <c r="CP466" s="1070"/>
      <c r="CQ466" s="1070"/>
      <c r="CR466" s="1070"/>
      <c r="CS466" s="1070"/>
      <c r="CT466" s="1070"/>
      <c r="CU466" s="1070"/>
      <c r="CV466" s="1070"/>
      <c r="CW466" s="1070"/>
      <c r="CX466" s="1070"/>
      <c r="CY466" s="1070"/>
      <c r="CZ466" s="1070"/>
      <c r="DA466" s="1070"/>
      <c r="DB466" s="1070"/>
      <c r="DC466" s="1070"/>
      <c r="DD466" s="1070"/>
      <c r="DE466" s="1070"/>
      <c r="DF466" s="1070"/>
      <c r="DG466" s="1070"/>
      <c r="DH466" s="1070"/>
      <c r="DI466" s="1070"/>
      <c r="DJ466" s="1070"/>
    </row>
    <row r="467" spans="1:114" s="1136" customFormat="1" ht="15.75" x14ac:dyDescent="0.25">
      <c r="A467" s="1993" t="s">
        <v>4611</v>
      </c>
      <c r="B467" s="1421" t="e">
        <f>IF(B175=1,0.95,IF(B175=2,1.25,IF(B175=3,1.1,IF(B175=4,1,1))))</f>
        <v>#VALUE!</v>
      </c>
      <c r="C467" s="1416"/>
      <c r="D467" s="1416"/>
      <c r="E467" s="1416"/>
      <c r="F467" s="1416"/>
      <c r="G467" s="1416"/>
      <c r="H467" s="1070"/>
      <c r="I467" s="1070"/>
      <c r="J467" s="1070"/>
      <c r="K467" s="1070"/>
      <c r="L467" s="1070"/>
      <c r="M467" s="1070"/>
      <c r="N467" s="1070"/>
      <c r="O467" s="1070"/>
      <c r="P467" s="1070"/>
      <c r="Q467" s="1070"/>
      <c r="R467" s="1070"/>
      <c r="S467" s="1070"/>
      <c r="T467" s="1070"/>
      <c r="U467" s="1070"/>
      <c r="V467" s="1070"/>
      <c r="W467" s="1070"/>
      <c r="X467" s="1070"/>
      <c r="Y467" s="1070"/>
      <c r="Z467" s="1070"/>
      <c r="AA467" s="1070"/>
      <c r="AB467" s="1070"/>
      <c r="AC467" s="1070"/>
      <c r="AD467" s="1070"/>
      <c r="AE467" s="1070"/>
      <c r="AF467" s="1070"/>
      <c r="AG467" s="1070"/>
      <c r="AH467" s="1070"/>
      <c r="AI467" s="1070"/>
      <c r="AJ467" s="1070"/>
      <c r="AK467" s="1070"/>
      <c r="AL467" s="1070"/>
      <c r="AM467" s="1070"/>
      <c r="AN467" s="1070"/>
      <c r="AO467" s="1070"/>
      <c r="AP467" s="1070"/>
      <c r="AQ467" s="1070"/>
      <c r="AR467" s="1070"/>
      <c r="AS467" s="1070"/>
      <c r="AT467" s="1070"/>
      <c r="AU467" s="1070"/>
      <c r="AV467" s="1070"/>
      <c r="AW467" s="1070"/>
      <c r="AX467" s="1070"/>
      <c r="AY467" s="1070"/>
      <c r="AZ467" s="1070"/>
      <c r="BA467" s="1070"/>
      <c r="BB467" s="1070"/>
      <c r="BC467" s="1070"/>
      <c r="BD467" s="1070"/>
      <c r="BE467" s="1070"/>
      <c r="BF467" s="1070"/>
      <c r="BG467" s="1070"/>
      <c r="BH467" s="1070"/>
      <c r="BI467" s="1070"/>
      <c r="BJ467" s="1070"/>
      <c r="BK467" s="1070"/>
      <c r="BL467" s="1070"/>
      <c r="BM467" s="1070"/>
      <c r="BN467" s="1070"/>
      <c r="BO467" s="1070"/>
      <c r="BP467" s="1070"/>
      <c r="BQ467" s="1070"/>
      <c r="BR467" s="1070"/>
      <c r="BS467" s="1070"/>
      <c r="BT467" s="1070"/>
      <c r="BU467" s="1070"/>
      <c r="BV467" s="1070"/>
      <c r="BW467" s="1070"/>
      <c r="BX467" s="1070"/>
      <c r="BY467" s="1070"/>
      <c r="BZ467" s="1070"/>
      <c r="CA467" s="1070"/>
      <c r="CB467" s="1070"/>
      <c r="CC467" s="1070"/>
      <c r="CD467" s="1070"/>
      <c r="CE467" s="1070"/>
      <c r="CF467" s="1070"/>
      <c r="CG467" s="1070"/>
      <c r="CH467" s="1070"/>
      <c r="CI467" s="1070"/>
      <c r="CJ467" s="1070"/>
      <c r="CK467" s="1070"/>
      <c r="CL467" s="1070"/>
      <c r="CM467" s="1070"/>
      <c r="CN467" s="1070"/>
      <c r="CO467" s="1070"/>
      <c r="CP467" s="1070"/>
      <c r="CQ467" s="1070"/>
      <c r="CR467" s="1070"/>
      <c r="CS467" s="1070"/>
      <c r="CT467" s="1070"/>
      <c r="CU467" s="1070"/>
      <c r="CV467" s="1070"/>
      <c r="CW467" s="1070"/>
      <c r="CX467" s="1070"/>
      <c r="CY467" s="1070"/>
      <c r="CZ467" s="1070"/>
      <c r="DA467" s="1070"/>
      <c r="DB467" s="1070"/>
      <c r="DC467" s="1070"/>
      <c r="DD467" s="1070"/>
      <c r="DE467" s="1070"/>
      <c r="DF467" s="1070"/>
      <c r="DG467" s="1070"/>
      <c r="DH467" s="1070"/>
      <c r="DI467" s="1070"/>
      <c r="DJ467" s="1070"/>
    </row>
    <row r="468" spans="1:114" s="1136" customFormat="1" ht="15.75" x14ac:dyDescent="0.25">
      <c r="A468" s="1993" t="s">
        <v>4612</v>
      </c>
      <c r="B468" s="1421" t="e">
        <f>ROUNDUP(B171/B467,0)</f>
        <v>#VALUE!</v>
      </c>
      <c r="C468" s="1416"/>
      <c r="D468" s="1416"/>
      <c r="E468" s="1416"/>
      <c r="F468" s="1416"/>
      <c r="G468" s="1416"/>
      <c r="H468" s="1070"/>
      <c r="I468" s="1070"/>
      <c r="J468" s="1070"/>
      <c r="K468" s="1070"/>
      <c r="L468" s="1070"/>
      <c r="M468" s="1070"/>
      <c r="N468" s="1070"/>
      <c r="O468" s="1070"/>
      <c r="P468" s="1070"/>
      <c r="Q468" s="1070"/>
      <c r="R468" s="1070"/>
      <c r="S468" s="1070"/>
      <c r="T468" s="1070"/>
      <c r="U468" s="1070"/>
      <c r="V468" s="1070"/>
      <c r="W468" s="1070"/>
      <c r="X468" s="1070"/>
      <c r="Y468" s="1070"/>
      <c r="Z468" s="1070"/>
      <c r="AA468" s="1070"/>
      <c r="AB468" s="1070"/>
      <c r="AC468" s="1070"/>
      <c r="AD468" s="1070"/>
      <c r="AE468" s="1070"/>
      <c r="AF468" s="1070"/>
      <c r="AG468" s="1070"/>
      <c r="AH468" s="1070"/>
      <c r="AI468" s="1070"/>
      <c r="AJ468" s="1070"/>
      <c r="AK468" s="1070"/>
      <c r="AL468" s="1070"/>
      <c r="AM468" s="1070"/>
      <c r="AN468" s="1070"/>
      <c r="AO468" s="1070"/>
      <c r="AP468" s="1070"/>
      <c r="AQ468" s="1070"/>
      <c r="AR468" s="1070"/>
      <c r="AS468" s="1070"/>
      <c r="AT468" s="1070"/>
      <c r="AU468" s="1070"/>
      <c r="AV468" s="1070"/>
      <c r="AW468" s="1070"/>
      <c r="AX468" s="1070"/>
      <c r="AY468" s="1070"/>
      <c r="AZ468" s="1070"/>
      <c r="BA468" s="1070"/>
      <c r="BB468" s="1070"/>
      <c r="BC468" s="1070"/>
      <c r="BD468" s="1070"/>
      <c r="BE468" s="1070"/>
      <c r="BF468" s="1070"/>
      <c r="BG468" s="1070"/>
      <c r="BH468" s="1070"/>
      <c r="BI468" s="1070"/>
      <c r="BJ468" s="1070"/>
      <c r="BK468" s="1070"/>
      <c r="BL468" s="1070"/>
      <c r="BM468" s="1070"/>
      <c r="BN468" s="1070"/>
      <c r="BO468" s="1070"/>
      <c r="BP468" s="1070"/>
      <c r="BQ468" s="1070"/>
      <c r="BR468" s="1070"/>
      <c r="BS468" s="1070"/>
      <c r="BT468" s="1070"/>
      <c r="BU468" s="1070"/>
      <c r="BV468" s="1070"/>
      <c r="BW468" s="1070"/>
      <c r="BX468" s="1070"/>
      <c r="BY468" s="1070"/>
      <c r="BZ468" s="1070"/>
      <c r="CA468" s="1070"/>
      <c r="CB468" s="1070"/>
      <c r="CC468" s="1070"/>
      <c r="CD468" s="1070"/>
      <c r="CE468" s="1070"/>
      <c r="CF468" s="1070"/>
      <c r="CG468" s="1070"/>
      <c r="CH468" s="1070"/>
      <c r="CI468" s="1070"/>
      <c r="CJ468" s="1070"/>
      <c r="CK468" s="1070"/>
      <c r="CL468" s="1070"/>
      <c r="CM468" s="1070"/>
      <c r="CN468" s="1070"/>
      <c r="CO468" s="1070"/>
      <c r="CP468" s="1070"/>
      <c r="CQ468" s="1070"/>
      <c r="CR468" s="1070"/>
      <c r="CS468" s="1070"/>
      <c r="CT468" s="1070"/>
      <c r="CU468" s="1070"/>
      <c r="CV468" s="1070"/>
      <c r="CW468" s="1070"/>
      <c r="CX468" s="1070"/>
      <c r="CY468" s="1070"/>
      <c r="CZ468" s="1070"/>
      <c r="DA468" s="1070"/>
      <c r="DB468" s="1070"/>
      <c r="DC468" s="1070"/>
      <c r="DD468" s="1070"/>
      <c r="DE468" s="1070"/>
      <c r="DF468" s="1070"/>
      <c r="DG468" s="1070"/>
      <c r="DH468" s="1070"/>
      <c r="DI468" s="1070"/>
      <c r="DJ468" s="1070"/>
    </row>
    <row r="469" spans="1:114" s="1136" customFormat="1" ht="15.75" x14ac:dyDescent="0.25">
      <c r="A469" s="1993"/>
      <c r="B469" s="1421"/>
      <c r="C469" s="1416"/>
      <c r="D469" s="1416"/>
      <c r="E469" s="1416"/>
      <c r="F469" s="1416"/>
      <c r="G469" s="1416"/>
      <c r="H469" s="1070"/>
      <c r="I469" s="1070"/>
      <c r="J469" s="1070"/>
      <c r="K469" s="1070"/>
      <c r="L469" s="1070"/>
      <c r="M469" s="1070"/>
      <c r="N469" s="1070"/>
      <c r="O469" s="1070"/>
      <c r="P469" s="1070"/>
      <c r="Q469" s="1070"/>
      <c r="R469" s="1070"/>
      <c r="S469" s="1070"/>
      <c r="T469" s="1070"/>
      <c r="U469" s="1070"/>
      <c r="V469" s="1070"/>
      <c r="W469" s="1070"/>
      <c r="X469" s="1070"/>
      <c r="Y469" s="1070"/>
      <c r="Z469" s="1070"/>
      <c r="AA469" s="1070"/>
      <c r="AB469" s="1070"/>
      <c r="AC469" s="1070"/>
      <c r="AD469" s="1070"/>
      <c r="AE469" s="1070"/>
      <c r="AF469" s="1070"/>
      <c r="AG469" s="1070"/>
      <c r="AH469" s="1070"/>
      <c r="AI469" s="1070"/>
      <c r="AJ469" s="1070"/>
      <c r="AK469" s="1070"/>
      <c r="AL469" s="1070"/>
      <c r="AM469" s="1070"/>
      <c r="AN469" s="1070"/>
      <c r="AO469" s="1070"/>
      <c r="AP469" s="1070"/>
      <c r="AQ469" s="1070"/>
      <c r="AR469" s="1070"/>
      <c r="AS469" s="1070"/>
      <c r="AT469" s="1070"/>
      <c r="AU469" s="1070"/>
      <c r="AV469" s="1070"/>
      <c r="AW469" s="1070"/>
      <c r="AX469" s="1070"/>
      <c r="AY469" s="1070"/>
      <c r="AZ469" s="1070"/>
      <c r="BA469" s="1070"/>
      <c r="BB469" s="1070"/>
      <c r="BC469" s="1070"/>
      <c r="BD469" s="1070"/>
      <c r="BE469" s="1070"/>
      <c r="BF469" s="1070"/>
      <c r="BG469" s="1070"/>
      <c r="BH469" s="1070"/>
      <c r="BI469" s="1070"/>
      <c r="BJ469" s="1070"/>
      <c r="BK469" s="1070"/>
      <c r="BL469" s="1070"/>
      <c r="BM469" s="1070"/>
      <c r="BN469" s="1070"/>
      <c r="BO469" s="1070"/>
      <c r="BP469" s="1070"/>
      <c r="BQ469" s="1070"/>
      <c r="BR469" s="1070"/>
      <c r="BS469" s="1070"/>
      <c r="BT469" s="1070"/>
      <c r="BU469" s="1070"/>
      <c r="BV469" s="1070"/>
      <c r="BW469" s="1070"/>
      <c r="BX469" s="1070"/>
      <c r="BY469" s="1070"/>
      <c r="BZ469" s="1070"/>
      <c r="CA469" s="1070"/>
      <c r="CB469" s="1070"/>
      <c r="CC469" s="1070"/>
      <c r="CD469" s="1070"/>
      <c r="CE469" s="1070"/>
      <c r="CF469" s="1070"/>
      <c r="CG469" s="1070"/>
      <c r="CH469" s="1070"/>
      <c r="CI469" s="1070"/>
      <c r="CJ469" s="1070"/>
      <c r="CK469" s="1070"/>
      <c r="CL469" s="1070"/>
      <c r="CM469" s="1070"/>
      <c r="CN469" s="1070"/>
      <c r="CO469" s="1070"/>
      <c r="CP469" s="1070"/>
      <c r="CQ469" s="1070"/>
      <c r="CR469" s="1070"/>
      <c r="CS469" s="1070"/>
      <c r="CT469" s="1070"/>
      <c r="CU469" s="1070"/>
      <c r="CV469" s="1070"/>
      <c r="CW469" s="1070"/>
      <c r="CX469" s="1070"/>
      <c r="CY469" s="1070"/>
      <c r="CZ469" s="1070"/>
      <c r="DA469" s="1070"/>
      <c r="DB469" s="1070"/>
      <c r="DC469" s="1070"/>
      <c r="DD469" s="1070"/>
      <c r="DE469" s="1070"/>
      <c r="DF469" s="1070"/>
      <c r="DG469" s="1070"/>
      <c r="DH469" s="1070"/>
      <c r="DI469" s="1070"/>
      <c r="DJ469" s="1070"/>
    </row>
    <row r="470" spans="1:114" s="1136" customFormat="1" ht="15.75" x14ac:dyDescent="0.25">
      <c r="A470" s="1993"/>
      <c r="B470" s="1421"/>
      <c r="C470" s="1416"/>
      <c r="D470" s="1416"/>
      <c r="E470" s="1416"/>
      <c r="F470" s="1416"/>
      <c r="G470" s="1416"/>
      <c r="H470" s="1070"/>
      <c r="I470" s="1070"/>
      <c r="J470" s="1070"/>
      <c r="K470" s="1070"/>
      <c r="L470" s="1070"/>
      <c r="M470" s="1070"/>
      <c r="N470" s="1070"/>
      <c r="O470" s="1070"/>
      <c r="P470" s="1070"/>
      <c r="Q470" s="1070"/>
      <c r="R470" s="1070"/>
      <c r="S470" s="1070"/>
      <c r="T470" s="1070"/>
      <c r="U470" s="1070"/>
      <c r="V470" s="1070"/>
      <c r="W470" s="1070"/>
      <c r="X470" s="1070"/>
      <c r="Y470" s="1070"/>
      <c r="Z470" s="1070"/>
      <c r="AA470" s="1070"/>
      <c r="AB470" s="1070"/>
      <c r="AC470" s="1070"/>
      <c r="AD470" s="1070"/>
      <c r="AE470" s="1070"/>
      <c r="AF470" s="1070"/>
      <c r="AG470" s="1070"/>
      <c r="AH470" s="1070"/>
      <c r="AI470" s="1070"/>
      <c r="AJ470" s="1070"/>
      <c r="AK470" s="1070"/>
      <c r="AL470" s="1070"/>
      <c r="AM470" s="1070"/>
      <c r="AN470" s="1070"/>
      <c r="AO470" s="1070"/>
      <c r="AP470" s="1070"/>
      <c r="AQ470" s="1070"/>
      <c r="AR470" s="1070"/>
      <c r="AS470" s="1070"/>
      <c r="AT470" s="1070"/>
      <c r="AU470" s="1070"/>
      <c r="AV470" s="1070"/>
      <c r="AW470" s="1070"/>
      <c r="AX470" s="1070"/>
      <c r="AY470" s="1070"/>
      <c r="AZ470" s="1070"/>
      <c r="BA470" s="1070"/>
      <c r="BB470" s="1070"/>
      <c r="BC470" s="1070"/>
      <c r="BD470" s="1070"/>
      <c r="BE470" s="1070"/>
      <c r="BF470" s="1070"/>
      <c r="BG470" s="1070"/>
      <c r="BH470" s="1070"/>
      <c r="BI470" s="1070"/>
      <c r="BJ470" s="1070"/>
      <c r="BK470" s="1070"/>
      <c r="BL470" s="1070"/>
      <c r="BM470" s="1070"/>
      <c r="BN470" s="1070"/>
      <c r="BO470" s="1070"/>
      <c r="BP470" s="1070"/>
      <c r="BQ470" s="1070"/>
      <c r="BR470" s="1070"/>
      <c r="BS470" s="1070"/>
      <c r="BT470" s="1070"/>
      <c r="BU470" s="1070"/>
      <c r="BV470" s="1070"/>
      <c r="BW470" s="1070"/>
      <c r="BX470" s="1070"/>
      <c r="BY470" s="1070"/>
      <c r="BZ470" s="1070"/>
      <c r="CA470" s="1070"/>
      <c r="CB470" s="1070"/>
      <c r="CC470" s="1070"/>
      <c r="CD470" s="1070"/>
      <c r="CE470" s="1070"/>
      <c r="CF470" s="1070"/>
      <c r="CG470" s="1070"/>
      <c r="CH470" s="1070"/>
      <c r="CI470" s="1070"/>
      <c r="CJ470" s="1070"/>
      <c r="CK470" s="1070"/>
      <c r="CL470" s="1070"/>
      <c r="CM470" s="1070"/>
      <c r="CN470" s="1070"/>
      <c r="CO470" s="1070"/>
      <c r="CP470" s="1070"/>
      <c r="CQ470" s="1070"/>
      <c r="CR470" s="1070"/>
      <c r="CS470" s="1070"/>
      <c r="CT470" s="1070"/>
      <c r="CU470" s="1070"/>
      <c r="CV470" s="1070"/>
      <c r="CW470" s="1070"/>
      <c r="CX470" s="1070"/>
      <c r="CY470" s="1070"/>
      <c r="CZ470" s="1070"/>
      <c r="DA470" s="1070"/>
      <c r="DB470" s="1070"/>
      <c r="DC470" s="1070"/>
      <c r="DD470" s="1070"/>
      <c r="DE470" s="1070"/>
      <c r="DF470" s="1070"/>
      <c r="DG470" s="1070"/>
      <c r="DH470" s="1070"/>
      <c r="DI470" s="1070"/>
      <c r="DJ470" s="1070"/>
    </row>
    <row r="471" spans="1:114" s="1136" customFormat="1" ht="15.75" x14ac:dyDescent="0.25">
      <c r="A471" s="1460"/>
      <c r="B471" s="1443"/>
      <c r="C471" s="1437"/>
      <c r="D471" s="1350"/>
      <c r="E471" s="1350"/>
      <c r="F471" s="1350"/>
      <c r="G471" s="1350"/>
      <c r="H471" s="1350"/>
      <c r="I471" s="1350"/>
      <c r="J471" s="1350"/>
      <c r="K471" s="1070"/>
      <c r="L471" s="1070"/>
      <c r="M471" s="1070"/>
      <c r="N471" s="1070"/>
      <c r="O471" s="1070"/>
      <c r="P471" s="1070"/>
      <c r="Q471" s="1070"/>
      <c r="R471" s="1070"/>
      <c r="S471" s="1070"/>
      <c r="T471" s="1070"/>
      <c r="U471" s="1070"/>
      <c r="V471" s="1070"/>
      <c r="W471" s="1070"/>
      <c r="X471" s="1070"/>
      <c r="Y471" s="1070"/>
      <c r="Z471" s="1070"/>
      <c r="AA471" s="1070"/>
      <c r="AB471" s="1070"/>
      <c r="AC471" s="1070"/>
      <c r="AD471" s="1070"/>
      <c r="AE471" s="1070"/>
      <c r="AF471" s="1070"/>
      <c r="AG471" s="1070"/>
      <c r="AH471" s="1070"/>
      <c r="AI471" s="1350"/>
      <c r="AJ471" s="1350"/>
      <c r="AK471" s="1350"/>
      <c r="AL471" s="1350"/>
      <c r="AM471" s="1350"/>
      <c r="AN471" s="1350"/>
      <c r="AO471" s="1350"/>
      <c r="AP471" s="1350"/>
      <c r="AQ471" s="1350"/>
      <c r="AR471" s="1350"/>
      <c r="AS471" s="1350"/>
      <c r="AT471" s="1350"/>
      <c r="AU471" s="1350"/>
      <c r="AV471" s="1350"/>
      <c r="AW471" s="1350"/>
      <c r="AX471" s="1350"/>
      <c r="AY471" s="1350"/>
      <c r="AZ471" s="1350"/>
      <c r="BA471" s="1070"/>
      <c r="BB471" s="1070"/>
      <c r="BC471" s="1070"/>
      <c r="BD471" s="1070"/>
      <c r="BE471" s="1070"/>
      <c r="BF471" s="1070"/>
      <c r="BG471" s="1070"/>
      <c r="BH471" s="1070"/>
      <c r="BI471" s="1070"/>
      <c r="BJ471" s="1070"/>
      <c r="BK471" s="1070"/>
      <c r="BL471" s="1070"/>
      <c r="BM471" s="1070"/>
      <c r="BN471" s="1070"/>
      <c r="BO471" s="1070"/>
      <c r="BP471" s="1070"/>
      <c r="BQ471" s="1070"/>
      <c r="BR471" s="1070"/>
      <c r="BS471" s="1070"/>
      <c r="BT471" s="1070"/>
      <c r="BU471" s="1070"/>
      <c r="BV471" s="1070"/>
      <c r="BW471" s="1070"/>
      <c r="BX471" s="1070"/>
      <c r="BY471" s="1070"/>
      <c r="BZ471" s="1070"/>
      <c r="CA471" s="1070"/>
      <c r="CB471" s="1070"/>
      <c r="CC471" s="1070"/>
      <c r="CD471" s="1070"/>
      <c r="CE471" s="1070"/>
      <c r="CF471" s="1070"/>
      <c r="CG471" s="1070"/>
      <c r="CH471" s="1070"/>
      <c r="CI471" s="1070"/>
      <c r="CJ471" s="1070"/>
      <c r="CK471" s="1070"/>
      <c r="CL471" s="1070"/>
      <c r="CM471" s="1070"/>
      <c r="CN471" s="1070"/>
      <c r="CO471" s="1070"/>
      <c r="CP471" s="1070"/>
      <c r="CQ471" s="1070"/>
      <c r="CR471" s="1070"/>
      <c r="CS471" s="1070"/>
      <c r="CT471" s="1070"/>
      <c r="CU471" s="1070"/>
      <c r="CV471" s="1070"/>
      <c r="CW471" s="1070"/>
      <c r="CX471" s="1070"/>
      <c r="CY471" s="1070"/>
      <c r="CZ471" s="1070"/>
      <c r="DA471" s="1070"/>
      <c r="DB471" s="1070"/>
      <c r="DC471" s="1070"/>
      <c r="DD471" s="1070"/>
      <c r="DE471" s="1070"/>
      <c r="DF471" s="1070"/>
      <c r="DG471" s="1070"/>
      <c r="DH471" s="1070"/>
      <c r="DI471" s="1070"/>
      <c r="DJ471" s="1070"/>
    </row>
    <row r="472" spans="1:114" s="1136" customFormat="1" ht="15.75" x14ac:dyDescent="0.25">
      <c r="A472" s="1461" t="s">
        <v>832</v>
      </c>
      <c r="B472" s="1443"/>
      <c r="C472" s="1437"/>
      <c r="D472" s="1350"/>
      <c r="E472" s="1350"/>
      <c r="F472" s="1350"/>
      <c r="G472" s="1350"/>
      <c r="H472" s="1350"/>
      <c r="I472" s="1350"/>
      <c r="J472" s="1350"/>
      <c r="K472" s="1070"/>
      <c r="L472" s="1070"/>
      <c r="M472" s="1070"/>
      <c r="N472" s="1070"/>
      <c r="O472" s="1070"/>
      <c r="P472" s="1070"/>
      <c r="Q472" s="1070"/>
      <c r="R472" s="1070"/>
      <c r="S472" s="1070"/>
      <c r="T472" s="1070"/>
      <c r="U472" s="1070"/>
      <c r="V472" s="1070"/>
      <c r="W472" s="1070"/>
      <c r="X472" s="1070"/>
      <c r="Y472" s="1070"/>
      <c r="Z472" s="1070"/>
      <c r="AA472" s="1070"/>
      <c r="AB472" s="1070"/>
      <c r="AC472" s="1070"/>
      <c r="AD472" s="1070"/>
      <c r="AE472" s="1070"/>
      <c r="AF472" s="1070"/>
      <c r="AG472" s="1070"/>
      <c r="AH472" s="1070"/>
      <c r="AI472" s="1350"/>
      <c r="AJ472" s="1350"/>
      <c r="AK472" s="1350"/>
      <c r="AL472" s="1350"/>
      <c r="AM472" s="1350"/>
      <c r="AN472" s="1350"/>
      <c r="AO472" s="1350"/>
      <c r="AP472" s="1350"/>
      <c r="AQ472" s="1350"/>
      <c r="AR472" s="1350"/>
      <c r="AS472" s="1350"/>
      <c r="AT472" s="1350"/>
      <c r="AU472" s="1350"/>
      <c r="AV472" s="1350"/>
      <c r="AW472" s="1350"/>
      <c r="AX472" s="1350"/>
      <c r="AY472" s="1350"/>
      <c r="AZ472" s="1350"/>
      <c r="BA472" s="1070"/>
      <c r="BB472" s="1070"/>
      <c r="BC472" s="1070"/>
      <c r="BD472" s="1070"/>
      <c r="BE472" s="1070"/>
      <c r="BF472" s="1070"/>
      <c r="BG472" s="1070"/>
      <c r="BH472" s="1070"/>
      <c r="BI472" s="1070"/>
      <c r="BJ472" s="1070"/>
      <c r="BK472" s="1070"/>
      <c r="BL472" s="1070"/>
      <c r="BM472" s="1070"/>
      <c r="BN472" s="1070"/>
      <c r="BO472" s="1070"/>
      <c r="BP472" s="1070"/>
      <c r="BQ472" s="1070"/>
      <c r="BR472" s="1070"/>
      <c r="BS472" s="1070"/>
      <c r="BT472" s="1070"/>
      <c r="BU472" s="1070"/>
      <c r="BV472" s="1070"/>
      <c r="BW472" s="1070"/>
      <c r="BX472" s="1070"/>
      <c r="BY472" s="1070"/>
      <c r="BZ472" s="1070"/>
      <c r="CA472" s="1070"/>
      <c r="CB472" s="1070"/>
      <c r="CC472" s="1070"/>
      <c r="CD472" s="1070"/>
      <c r="CE472" s="1070"/>
      <c r="CF472" s="1070"/>
      <c r="CG472" s="1070"/>
      <c r="CH472" s="1070"/>
      <c r="CI472" s="1070"/>
      <c r="CJ472" s="1070"/>
      <c r="CK472" s="1070"/>
      <c r="CL472" s="1070"/>
      <c r="CM472" s="1070"/>
      <c r="CN472" s="1070"/>
      <c r="CO472" s="1070"/>
      <c r="CP472" s="1070"/>
      <c r="CQ472" s="1070"/>
      <c r="CR472" s="1070"/>
      <c r="CS472" s="1070"/>
      <c r="CT472" s="1070"/>
      <c r="CU472" s="1070"/>
      <c r="CV472" s="1070"/>
      <c r="CW472" s="1070"/>
      <c r="CX472" s="1070"/>
      <c r="CY472" s="1070"/>
      <c r="CZ472" s="1070"/>
      <c r="DA472" s="1070"/>
      <c r="DB472" s="1070"/>
      <c r="DC472" s="1070"/>
      <c r="DD472" s="1070"/>
      <c r="DE472" s="1070"/>
      <c r="DF472" s="1070"/>
      <c r="DG472" s="1070"/>
      <c r="DH472" s="1070"/>
      <c r="DI472" s="1070"/>
      <c r="DJ472" s="1070"/>
    </row>
    <row r="473" spans="1:114" s="1136" customFormat="1" ht="15.75" x14ac:dyDescent="0.25">
      <c r="A473" s="1456" t="s">
        <v>833</v>
      </c>
      <c r="B473" s="1457"/>
      <c r="C473" s="1458"/>
      <c r="D473" s="1458"/>
      <c r="E473" s="1458"/>
      <c r="F473" s="1458"/>
      <c r="G473" s="1458"/>
      <c r="H473" s="1350"/>
      <c r="I473" s="1350"/>
      <c r="J473" s="1350"/>
      <c r="K473" s="1070"/>
      <c r="L473" s="1070"/>
      <c r="M473" s="1070"/>
      <c r="N473" s="1070"/>
      <c r="O473" s="1070"/>
      <c r="P473" s="1070"/>
      <c r="Q473" s="1070"/>
      <c r="R473" s="1070"/>
      <c r="S473" s="1070"/>
      <c r="T473" s="1070"/>
      <c r="U473" s="1070"/>
      <c r="V473" s="1070"/>
      <c r="W473" s="1070"/>
      <c r="X473" s="1070"/>
      <c r="Y473" s="1070"/>
      <c r="Z473" s="1070"/>
      <c r="AA473" s="1070"/>
      <c r="AB473" s="1070"/>
      <c r="AC473" s="1070"/>
      <c r="AD473" s="1070"/>
      <c r="AE473" s="1070"/>
      <c r="AF473" s="1070"/>
      <c r="AG473" s="1070"/>
      <c r="AH473" s="1070"/>
      <c r="AI473" s="1350"/>
      <c r="AJ473" s="1350"/>
      <c r="AK473" s="1350"/>
      <c r="AL473" s="1350"/>
      <c r="AM473" s="1350"/>
      <c r="AN473" s="1350"/>
      <c r="AO473" s="1350"/>
      <c r="AP473" s="1350"/>
      <c r="AQ473" s="1350"/>
      <c r="AR473" s="1350"/>
      <c r="AS473" s="1350"/>
      <c r="AT473" s="1350"/>
      <c r="AU473" s="1350"/>
      <c r="AV473" s="1350"/>
      <c r="AW473" s="1350"/>
      <c r="AX473" s="1350"/>
      <c r="AY473" s="1350"/>
      <c r="AZ473" s="1350"/>
      <c r="BA473" s="1070"/>
      <c r="BB473" s="1070"/>
      <c r="BC473" s="1070"/>
      <c r="BD473" s="1070"/>
      <c r="BE473" s="1070"/>
      <c r="BF473" s="1070"/>
      <c r="BG473" s="1070"/>
      <c r="BH473" s="1070"/>
      <c r="BI473" s="1070"/>
      <c r="BJ473" s="1070"/>
      <c r="BK473" s="1070"/>
      <c r="BL473" s="1070"/>
      <c r="BM473" s="1070"/>
      <c r="BN473" s="1070"/>
      <c r="BO473" s="1070"/>
      <c r="BP473" s="1070"/>
      <c r="BQ473" s="1070"/>
      <c r="BR473" s="1070"/>
      <c r="BS473" s="1070"/>
      <c r="BT473" s="1070"/>
      <c r="BU473" s="1070"/>
      <c r="BV473" s="1070"/>
      <c r="BW473" s="1070"/>
      <c r="BX473" s="1070"/>
      <c r="BY473" s="1070"/>
      <c r="BZ473" s="1070"/>
      <c r="CA473" s="1070"/>
      <c r="CB473" s="1070"/>
      <c r="CC473" s="1070"/>
      <c r="CD473" s="1070"/>
      <c r="CE473" s="1070"/>
      <c r="CF473" s="1070"/>
      <c r="CG473" s="1070"/>
      <c r="CH473" s="1070"/>
      <c r="CI473" s="1070"/>
      <c r="CJ473" s="1070"/>
      <c r="CK473" s="1070"/>
      <c r="CL473" s="1070"/>
      <c r="CM473" s="1070"/>
      <c r="CN473" s="1070"/>
      <c r="CO473" s="1070"/>
      <c r="CP473" s="1070"/>
      <c r="CQ473" s="1070"/>
      <c r="CR473" s="1070"/>
      <c r="CS473" s="1070"/>
      <c r="CT473" s="1070"/>
      <c r="CU473" s="1070"/>
      <c r="CV473" s="1070"/>
      <c r="CW473" s="1070"/>
      <c r="CX473" s="1070"/>
      <c r="CY473" s="1070"/>
      <c r="CZ473" s="1070"/>
      <c r="DA473" s="1070"/>
      <c r="DB473" s="1070"/>
      <c r="DC473" s="1070"/>
      <c r="DD473" s="1070"/>
      <c r="DE473" s="1070"/>
      <c r="DF473" s="1070"/>
      <c r="DG473" s="1070"/>
      <c r="DH473" s="1070"/>
      <c r="DI473" s="1070"/>
      <c r="DJ473" s="1070"/>
    </row>
    <row r="474" spans="1:114" s="1136" customFormat="1" ht="15.75" x14ac:dyDescent="0.25">
      <c r="A474" s="1430" t="s">
        <v>834</v>
      </c>
      <c r="B474" s="1424"/>
      <c r="C474" s="1429"/>
      <c r="D474" s="1429"/>
      <c r="E474" s="1429"/>
      <c r="F474" s="1429"/>
      <c r="G474" s="1429"/>
      <c r="H474" s="1350"/>
      <c r="I474" s="1350"/>
      <c r="J474" s="1350"/>
      <c r="K474" s="1070"/>
      <c r="L474" s="1070"/>
      <c r="M474" s="1070"/>
      <c r="N474" s="1070"/>
      <c r="O474" s="1070"/>
      <c r="P474" s="1070"/>
      <c r="Q474" s="1070"/>
      <c r="R474" s="1070"/>
      <c r="S474" s="1070"/>
      <c r="T474" s="1070"/>
      <c r="U474" s="1070"/>
      <c r="V474" s="1070"/>
      <c r="W474" s="1070"/>
      <c r="X474" s="1070"/>
      <c r="Y474" s="1070"/>
      <c r="Z474" s="1070"/>
      <c r="AA474" s="1070"/>
      <c r="AB474" s="1070"/>
      <c r="AC474" s="1070"/>
      <c r="AD474" s="1070"/>
      <c r="AE474" s="1070"/>
      <c r="AF474" s="1070"/>
      <c r="AG474" s="1070"/>
      <c r="AH474" s="1070"/>
      <c r="AI474" s="1350"/>
      <c r="AJ474" s="1350"/>
      <c r="AK474" s="1350"/>
      <c r="AL474" s="1350"/>
      <c r="AM474" s="1350"/>
      <c r="AN474" s="1350"/>
      <c r="AO474" s="1350"/>
      <c r="AP474" s="1350"/>
      <c r="AQ474" s="1350"/>
      <c r="AR474" s="1350"/>
      <c r="AS474" s="1350"/>
      <c r="AT474" s="1350"/>
      <c r="AU474" s="1350"/>
      <c r="AV474" s="1350"/>
      <c r="AW474" s="1350"/>
      <c r="AX474" s="1350"/>
      <c r="AY474" s="1350"/>
      <c r="AZ474" s="1350"/>
      <c r="BA474" s="1070"/>
      <c r="BB474" s="1070"/>
      <c r="BC474" s="1070"/>
      <c r="BD474" s="1070"/>
      <c r="BE474" s="1070"/>
      <c r="BF474" s="1070"/>
      <c r="BG474" s="1070"/>
      <c r="BH474" s="1070"/>
      <c r="BI474" s="1070"/>
      <c r="BJ474" s="1070"/>
      <c r="BK474" s="1070"/>
      <c r="BL474" s="1070"/>
      <c r="BM474" s="1070"/>
      <c r="BN474" s="1070"/>
      <c r="BO474" s="1070"/>
      <c r="BP474" s="1070"/>
      <c r="BQ474" s="1070"/>
      <c r="BR474" s="1070"/>
      <c r="BS474" s="1070"/>
      <c r="BT474" s="1070"/>
      <c r="BU474" s="1070"/>
      <c r="BV474" s="1070"/>
      <c r="BW474" s="1070"/>
      <c r="BX474" s="1070"/>
      <c r="BY474" s="1070"/>
      <c r="BZ474" s="1070"/>
      <c r="CA474" s="1070"/>
      <c r="CB474" s="1070"/>
      <c r="CC474" s="1070"/>
      <c r="CD474" s="1070"/>
      <c r="CE474" s="1070"/>
      <c r="CF474" s="1070"/>
      <c r="CG474" s="1070"/>
      <c r="CH474" s="1070"/>
      <c r="CI474" s="1070"/>
      <c r="CJ474" s="1070"/>
      <c r="CK474" s="1070"/>
      <c r="CL474" s="1070"/>
      <c r="CM474" s="1070"/>
      <c r="CN474" s="1070"/>
      <c r="CO474" s="1070"/>
      <c r="CP474" s="1070"/>
      <c r="CQ474" s="1070"/>
      <c r="CR474" s="1070"/>
      <c r="CS474" s="1070"/>
      <c r="CT474" s="1070"/>
      <c r="CU474" s="1070"/>
      <c r="CV474" s="1070"/>
      <c r="CW474" s="1070"/>
      <c r="CX474" s="1070"/>
      <c r="CY474" s="1070"/>
      <c r="CZ474" s="1070"/>
      <c r="DA474" s="1070"/>
      <c r="DB474" s="1070"/>
      <c r="DC474" s="1070"/>
      <c r="DD474" s="1070"/>
      <c r="DE474" s="1070"/>
      <c r="DF474" s="1070"/>
      <c r="DG474" s="1070"/>
      <c r="DH474" s="1070"/>
      <c r="DI474" s="1070"/>
      <c r="DJ474" s="1070"/>
    </row>
    <row r="475" spans="1:114" s="1136" customFormat="1" ht="15.75" x14ac:dyDescent="0.25">
      <c r="A475" s="1417" t="s">
        <v>5572</v>
      </c>
      <c r="B475" s="1469">
        <v>3</v>
      </c>
      <c r="C475" s="1470"/>
      <c r="D475" s="1470"/>
      <c r="E475" s="1470"/>
      <c r="F475" s="1470"/>
      <c r="G475" s="1470"/>
      <c r="H475" s="1350"/>
      <c r="I475" s="1350"/>
      <c r="J475" s="1350"/>
      <c r="K475" s="1070"/>
      <c r="L475" s="1070"/>
      <c r="M475" s="1070"/>
      <c r="N475" s="1070"/>
      <c r="O475" s="1070"/>
      <c r="P475" s="1070"/>
      <c r="Q475" s="1070"/>
      <c r="R475" s="1070"/>
      <c r="S475" s="1070"/>
      <c r="T475" s="1070"/>
      <c r="U475" s="1070"/>
      <c r="V475" s="1070"/>
      <c r="W475" s="1070"/>
      <c r="X475" s="1070"/>
      <c r="Y475" s="1070"/>
      <c r="Z475" s="1070"/>
      <c r="AA475" s="1070"/>
      <c r="AB475" s="1070"/>
      <c r="AC475" s="1070"/>
      <c r="AD475" s="1070"/>
      <c r="AE475" s="1070"/>
      <c r="AF475" s="1070"/>
      <c r="AG475" s="1070"/>
      <c r="AH475" s="1070"/>
      <c r="AI475" s="1350"/>
      <c r="AJ475" s="1350"/>
      <c r="AK475" s="1350"/>
      <c r="AL475" s="1350"/>
      <c r="AM475" s="1350"/>
      <c r="AN475" s="1350"/>
      <c r="AO475" s="1350"/>
      <c r="AP475" s="1350"/>
      <c r="AQ475" s="1350"/>
      <c r="AR475" s="1350"/>
      <c r="AS475" s="1350"/>
      <c r="AT475" s="1350"/>
      <c r="AU475" s="1350"/>
      <c r="AV475" s="1350"/>
      <c r="AW475" s="1350"/>
      <c r="AX475" s="1350"/>
      <c r="AY475" s="1350"/>
      <c r="AZ475" s="1350"/>
      <c r="BA475" s="1070"/>
      <c r="BB475" s="1070"/>
      <c r="BC475" s="1070"/>
      <c r="BD475" s="1070"/>
      <c r="BE475" s="1070"/>
      <c r="BF475" s="1070"/>
      <c r="BG475" s="1070"/>
      <c r="BH475" s="1070"/>
      <c r="BI475" s="1070"/>
      <c r="BJ475" s="1070"/>
      <c r="BK475" s="1070"/>
      <c r="BL475" s="1070"/>
      <c r="BM475" s="1070"/>
      <c r="BN475" s="1070"/>
      <c r="BO475" s="1070"/>
      <c r="BP475" s="1070"/>
      <c r="BQ475" s="1070"/>
      <c r="BR475" s="1070"/>
      <c r="BS475" s="1070"/>
      <c r="BT475" s="1070"/>
      <c r="BU475" s="1070"/>
      <c r="BV475" s="1070"/>
      <c r="BW475" s="1070"/>
      <c r="BX475" s="1070"/>
      <c r="BY475" s="1070"/>
      <c r="BZ475" s="1070"/>
      <c r="CA475" s="1070"/>
      <c r="CB475" s="1070"/>
      <c r="CC475" s="1070"/>
      <c r="CD475" s="1070"/>
      <c r="CE475" s="1070"/>
      <c r="CF475" s="1070"/>
      <c r="CG475" s="1070"/>
      <c r="CH475" s="1070"/>
      <c r="CI475" s="1070"/>
      <c r="CJ475" s="1070"/>
      <c r="CK475" s="1070"/>
      <c r="CL475" s="1070"/>
      <c r="CM475" s="1070"/>
      <c r="CN475" s="1070"/>
      <c r="CO475" s="1070"/>
      <c r="CP475" s="1070"/>
      <c r="CQ475" s="1070"/>
      <c r="CR475" s="1070"/>
      <c r="CS475" s="1070"/>
      <c r="CT475" s="1070"/>
      <c r="CU475" s="1070"/>
      <c r="CV475" s="1070"/>
      <c r="CW475" s="1070"/>
      <c r="CX475" s="1070"/>
      <c r="CY475" s="1070"/>
      <c r="CZ475" s="1070"/>
      <c r="DA475" s="1070"/>
      <c r="DB475" s="1070"/>
      <c r="DC475" s="1070"/>
      <c r="DD475" s="1070"/>
      <c r="DE475" s="1070"/>
      <c r="DF475" s="1070"/>
      <c r="DG475" s="1070"/>
      <c r="DH475" s="1070"/>
      <c r="DI475" s="1070"/>
      <c r="DJ475" s="1070"/>
    </row>
    <row r="476" spans="1:114" s="1136" customFormat="1" ht="15.75" x14ac:dyDescent="0.25">
      <c r="A476" s="1430" t="s">
        <v>425</v>
      </c>
      <c r="B476" s="1441">
        <f>IF(B475&lt;2,B480,IF(B475&lt;3,B481,IF(B475&lt;4,B482,IF(B475&lt;5,B483,B484))))</f>
        <v>158</v>
      </c>
      <c r="C476" s="1434"/>
      <c r="D476" s="1434"/>
      <c r="E476" s="1434"/>
      <c r="F476" s="1434"/>
      <c r="G476" s="1434"/>
      <c r="H476" s="1350"/>
      <c r="I476" s="1350"/>
      <c r="J476" s="1350"/>
      <c r="K476" s="1070"/>
      <c r="L476" s="1070"/>
      <c r="M476" s="1070"/>
      <c r="N476" s="1070"/>
      <c r="O476" s="1070"/>
      <c r="P476" s="1070"/>
      <c r="Q476" s="1070"/>
      <c r="R476" s="1070"/>
      <c r="S476" s="1070"/>
      <c r="T476" s="1070"/>
      <c r="U476" s="1070"/>
      <c r="V476" s="1070"/>
      <c r="W476" s="1070"/>
      <c r="X476" s="1070"/>
      <c r="Y476" s="1070"/>
      <c r="Z476" s="1070"/>
      <c r="AA476" s="1070"/>
      <c r="AB476" s="1070"/>
      <c r="AC476" s="1070"/>
      <c r="AD476" s="1070"/>
      <c r="AE476" s="1070"/>
      <c r="AF476" s="1070"/>
      <c r="AG476" s="1070"/>
      <c r="AH476" s="1070"/>
      <c r="AI476" s="1350"/>
      <c r="AJ476" s="1350"/>
      <c r="AK476" s="1350"/>
      <c r="AL476" s="1350"/>
      <c r="AM476" s="1350"/>
      <c r="AN476" s="1350"/>
      <c r="AO476" s="1350"/>
      <c r="AP476" s="1350"/>
      <c r="AQ476" s="1350"/>
      <c r="AR476" s="1350"/>
      <c r="AS476" s="1350"/>
      <c r="AT476" s="1350"/>
      <c r="AU476" s="1350"/>
      <c r="AV476" s="1350"/>
      <c r="AW476" s="1350"/>
      <c r="AX476" s="1350"/>
      <c r="AY476" s="1350"/>
      <c r="AZ476" s="1350"/>
      <c r="BA476" s="1070"/>
      <c r="BB476" s="1070"/>
      <c r="BC476" s="1070"/>
      <c r="BD476" s="1070"/>
      <c r="BE476" s="1070"/>
      <c r="BF476" s="1070"/>
      <c r="BG476" s="1070"/>
      <c r="BH476" s="1070"/>
      <c r="BI476" s="1070"/>
      <c r="BJ476" s="1070"/>
      <c r="BK476" s="1070"/>
      <c r="BL476" s="1070"/>
      <c r="BM476" s="1070"/>
      <c r="BN476" s="1070"/>
      <c r="BO476" s="1070"/>
      <c r="BP476" s="1070"/>
      <c r="BQ476" s="1070"/>
      <c r="BR476" s="1070"/>
      <c r="BS476" s="1070"/>
      <c r="BT476" s="1070"/>
      <c r="BU476" s="1070"/>
      <c r="BV476" s="1070"/>
      <c r="BW476" s="1070"/>
      <c r="BX476" s="1070"/>
      <c r="BY476" s="1070"/>
      <c r="BZ476" s="1070"/>
      <c r="CA476" s="1070"/>
      <c r="CB476" s="1070"/>
      <c r="CC476" s="1070"/>
      <c r="CD476" s="1070"/>
      <c r="CE476" s="1070"/>
      <c r="CF476" s="1070"/>
      <c r="CG476" s="1070"/>
      <c r="CH476" s="1070"/>
      <c r="CI476" s="1070"/>
      <c r="CJ476" s="1070"/>
      <c r="CK476" s="1070"/>
      <c r="CL476" s="1070"/>
      <c r="CM476" s="1070"/>
      <c r="CN476" s="1070"/>
      <c r="CO476" s="1070"/>
      <c r="CP476" s="1070"/>
      <c r="CQ476" s="1070"/>
      <c r="CR476" s="1070"/>
      <c r="CS476" s="1070"/>
      <c r="CT476" s="1070"/>
      <c r="CU476" s="1070"/>
      <c r="CV476" s="1070"/>
      <c r="CW476" s="1070"/>
      <c r="CX476" s="1070"/>
      <c r="CY476" s="1070"/>
      <c r="CZ476" s="1070"/>
      <c r="DA476" s="1070"/>
      <c r="DB476" s="1070"/>
      <c r="DC476" s="1070"/>
      <c r="DD476" s="1070"/>
      <c r="DE476" s="1070"/>
      <c r="DF476" s="1070"/>
      <c r="DG476" s="1070"/>
      <c r="DH476" s="1070"/>
      <c r="DI476" s="1070"/>
      <c r="DJ476" s="1070"/>
    </row>
    <row r="477" spans="1:114" s="1136" customFormat="1" ht="15.75" x14ac:dyDescent="0.25">
      <c r="A477" s="1430" t="s">
        <v>835</v>
      </c>
      <c r="B477" s="1441">
        <f>IF(B173&lt;0.61,1,IF(B173&lt;0.81,2,IF(B173&lt;1.41,3,IF(B173&lt;1.81,4,5))))</f>
        <v>5</v>
      </c>
      <c r="C477" s="1434"/>
      <c r="D477" s="1434"/>
      <c r="E477" s="1434"/>
      <c r="F477" s="1434"/>
      <c r="G477" s="1434"/>
      <c r="H477" s="1350"/>
      <c r="I477" s="1350"/>
      <c r="J477" s="1350"/>
      <c r="K477" s="1070"/>
      <c r="L477" s="1070"/>
      <c r="M477" s="1070"/>
      <c r="N477" s="1070"/>
      <c r="O477" s="1070"/>
      <c r="P477" s="1070"/>
      <c r="Q477" s="1070"/>
      <c r="R477" s="1070"/>
      <c r="S477" s="1070"/>
      <c r="T477" s="1070"/>
      <c r="U477" s="1070"/>
      <c r="V477" s="1070"/>
      <c r="W477" s="1070"/>
      <c r="X477" s="1070"/>
      <c r="Y477" s="1070"/>
      <c r="Z477" s="1070"/>
      <c r="AA477" s="1070"/>
      <c r="AB477" s="1070"/>
      <c r="AC477" s="1070"/>
      <c r="AD477" s="1070"/>
      <c r="AE477" s="1070"/>
      <c r="AF477" s="1070"/>
      <c r="AG477" s="1070"/>
      <c r="AH477" s="1070"/>
      <c r="AI477" s="1350"/>
      <c r="AJ477" s="1350"/>
      <c r="AK477" s="1350"/>
      <c r="AL477" s="1350"/>
      <c r="AM477" s="1350"/>
      <c r="AN477" s="1350"/>
      <c r="AO477" s="1350"/>
      <c r="AP477" s="1350"/>
      <c r="AQ477" s="1350"/>
      <c r="AR477" s="1350"/>
      <c r="AS477" s="1350"/>
      <c r="AT477" s="1350"/>
      <c r="AU477" s="1350"/>
      <c r="AV477" s="1350"/>
      <c r="AW477" s="1350"/>
      <c r="AX477" s="1350"/>
      <c r="AY477" s="1350"/>
      <c r="AZ477" s="1350"/>
      <c r="BA477" s="1070"/>
      <c r="BB477" s="1070"/>
      <c r="BC477" s="1070"/>
      <c r="BD477" s="1070"/>
      <c r="BE477" s="1070"/>
      <c r="BF477" s="1070"/>
      <c r="BG477" s="1070"/>
      <c r="BH477" s="1070"/>
      <c r="BI477" s="1070"/>
      <c r="BJ477" s="1070"/>
      <c r="BK477" s="1070"/>
      <c r="BL477" s="1070"/>
      <c r="BM477" s="1070"/>
      <c r="BN477" s="1070"/>
      <c r="BO477" s="1070"/>
      <c r="BP477" s="1070"/>
      <c r="BQ477" s="1070"/>
      <c r="BR477" s="1070"/>
      <c r="BS477" s="1070"/>
      <c r="BT477" s="1070"/>
      <c r="BU477" s="1070"/>
      <c r="BV477" s="1070"/>
      <c r="BW477" s="1070"/>
      <c r="BX477" s="1070"/>
      <c r="BY477" s="1070"/>
      <c r="BZ477" s="1070"/>
      <c r="CA477" s="1070"/>
      <c r="CB477" s="1070"/>
      <c r="CC477" s="1070"/>
      <c r="CD477" s="1070"/>
      <c r="CE477" s="1070"/>
      <c r="CF477" s="1070"/>
      <c r="CG477" s="1070"/>
      <c r="CH477" s="1070"/>
      <c r="CI477" s="1070"/>
      <c r="CJ477" s="1070"/>
      <c r="CK477" s="1070"/>
      <c r="CL477" s="1070"/>
      <c r="CM477" s="1070"/>
      <c r="CN477" s="1070"/>
      <c r="CO477" s="1070"/>
      <c r="CP477" s="1070"/>
      <c r="CQ477" s="1070"/>
      <c r="CR477" s="1070"/>
      <c r="CS477" s="1070"/>
      <c r="CT477" s="1070"/>
      <c r="CU477" s="1070"/>
      <c r="CV477" s="1070"/>
      <c r="CW477" s="1070"/>
      <c r="CX477" s="1070"/>
      <c r="CY477" s="1070"/>
      <c r="CZ477" s="1070"/>
      <c r="DA477" s="1070"/>
      <c r="DB477" s="1070"/>
      <c r="DC477" s="1070"/>
      <c r="DD477" s="1070"/>
      <c r="DE477" s="1070"/>
      <c r="DF477" s="1070"/>
      <c r="DG477" s="1070"/>
      <c r="DH477" s="1070"/>
      <c r="DI477" s="1070"/>
      <c r="DJ477" s="1070"/>
    </row>
    <row r="478" spans="1:114" s="1136" customFormat="1" ht="15.75" x14ac:dyDescent="0.25">
      <c r="A478" s="1430" t="s">
        <v>836</v>
      </c>
      <c r="B478" s="1441">
        <f>IF(B191&lt;25,1,IF(B191&lt;46,2,3))</f>
        <v>1</v>
      </c>
      <c r="C478" s="1434"/>
      <c r="D478" s="1434"/>
      <c r="E478" s="1434"/>
      <c r="F478" s="1434"/>
      <c r="G478" s="1434"/>
      <c r="H478" s="1350"/>
      <c r="I478" s="1350"/>
      <c r="J478" s="1350"/>
      <c r="K478" s="1070"/>
      <c r="L478" s="1070"/>
      <c r="M478" s="1070"/>
      <c r="N478" s="1070"/>
      <c r="O478" s="1070"/>
      <c r="P478" s="1070"/>
      <c r="Q478" s="1070"/>
      <c r="R478" s="1070"/>
      <c r="S478" s="1070"/>
      <c r="T478" s="1070"/>
      <c r="U478" s="1070"/>
      <c r="V478" s="1070"/>
      <c r="W478" s="1070"/>
      <c r="X478" s="1070"/>
      <c r="Y478" s="1070"/>
      <c r="Z478" s="1070"/>
      <c r="AA478" s="1070"/>
      <c r="AB478" s="1070"/>
      <c r="AC478" s="1070"/>
      <c r="AD478" s="1070"/>
      <c r="AE478" s="1070"/>
      <c r="AF478" s="1070"/>
      <c r="AG478" s="1070"/>
      <c r="AH478" s="1070"/>
      <c r="AI478" s="1350"/>
      <c r="AJ478" s="1350"/>
      <c r="AK478" s="1350"/>
      <c r="AL478" s="1350"/>
      <c r="AM478" s="1350"/>
      <c r="AN478" s="1350"/>
      <c r="AO478" s="1350"/>
      <c r="AP478" s="1350"/>
      <c r="AQ478" s="1350"/>
      <c r="AR478" s="1350"/>
      <c r="AS478" s="1350"/>
      <c r="AT478" s="1350"/>
      <c r="AU478" s="1350"/>
      <c r="AV478" s="1350"/>
      <c r="AW478" s="1350"/>
      <c r="AX478" s="1350"/>
      <c r="AY478" s="1350"/>
      <c r="AZ478" s="1350"/>
      <c r="BA478" s="1070"/>
      <c r="BB478" s="1070"/>
      <c r="BC478" s="1070"/>
      <c r="BD478" s="1070"/>
      <c r="BE478" s="1070"/>
      <c r="BF478" s="1070"/>
      <c r="BG478" s="1070"/>
      <c r="BH478" s="1070"/>
      <c r="BI478" s="1070"/>
      <c r="BJ478" s="1070"/>
      <c r="BK478" s="1070"/>
      <c r="BL478" s="1070"/>
      <c r="BM478" s="1070"/>
      <c r="BN478" s="1070"/>
      <c r="BO478" s="1070"/>
      <c r="BP478" s="1070"/>
      <c r="BQ478" s="1070"/>
      <c r="BR478" s="1070"/>
      <c r="BS478" s="1070"/>
      <c r="BT478" s="1070"/>
      <c r="BU478" s="1070"/>
      <c r="BV478" s="1070"/>
      <c r="BW478" s="1070"/>
      <c r="BX478" s="1070"/>
      <c r="BY478" s="1070"/>
      <c r="BZ478" s="1070"/>
      <c r="CA478" s="1070"/>
      <c r="CB478" s="1070"/>
      <c r="CC478" s="1070"/>
      <c r="CD478" s="1070"/>
      <c r="CE478" s="1070"/>
      <c r="CF478" s="1070"/>
      <c r="CG478" s="1070"/>
      <c r="CH478" s="1070"/>
      <c r="CI478" s="1070"/>
      <c r="CJ478" s="1070"/>
      <c r="CK478" s="1070"/>
      <c r="CL478" s="1070"/>
      <c r="CM478" s="1070"/>
      <c r="CN478" s="1070"/>
      <c r="CO478" s="1070"/>
      <c r="CP478" s="1070"/>
      <c r="CQ478" s="1070"/>
      <c r="CR478" s="1070"/>
      <c r="CS478" s="1070"/>
      <c r="CT478" s="1070"/>
      <c r="CU478" s="1070"/>
      <c r="CV478" s="1070"/>
      <c r="CW478" s="1070"/>
      <c r="CX478" s="1070"/>
      <c r="CY478" s="1070"/>
      <c r="CZ478" s="1070"/>
      <c r="DA478" s="1070"/>
      <c r="DB478" s="1070"/>
      <c r="DC478" s="1070"/>
      <c r="DD478" s="1070"/>
      <c r="DE478" s="1070"/>
      <c r="DF478" s="1070"/>
      <c r="DG478" s="1070"/>
      <c r="DH478" s="1070"/>
      <c r="DI478" s="1070"/>
      <c r="DJ478" s="1070"/>
    </row>
    <row r="479" spans="1:114" s="1136" customFormat="1" ht="15.75" x14ac:dyDescent="0.25">
      <c r="A479" s="1456" t="s">
        <v>1719</v>
      </c>
      <c r="B479" s="1443"/>
      <c r="C479" s="1437"/>
      <c r="D479" s="1350"/>
      <c r="E479" s="1350"/>
      <c r="F479" s="1350"/>
      <c r="G479" s="1350"/>
      <c r="H479" s="1350"/>
      <c r="I479" s="1350"/>
      <c r="J479" s="1350"/>
      <c r="K479" s="1070"/>
      <c r="L479" s="1070"/>
      <c r="M479" s="1070"/>
      <c r="N479" s="1070"/>
      <c r="O479" s="1070"/>
      <c r="P479" s="1070"/>
      <c r="Q479" s="1070"/>
      <c r="R479" s="1070"/>
      <c r="S479" s="1070"/>
      <c r="T479" s="1070"/>
      <c r="U479" s="1070"/>
      <c r="V479" s="1070"/>
      <c r="W479" s="1070"/>
      <c r="X479" s="1070"/>
      <c r="Y479" s="1070"/>
      <c r="Z479" s="1070"/>
      <c r="AA479" s="1070"/>
      <c r="AB479" s="1070"/>
      <c r="AC479" s="1070"/>
      <c r="AD479" s="1070"/>
      <c r="AE479" s="1070"/>
      <c r="AF479" s="1070"/>
      <c r="AG479" s="1070"/>
      <c r="AH479" s="1070"/>
      <c r="AI479" s="1350"/>
      <c r="AJ479" s="1350"/>
      <c r="AK479" s="1350"/>
      <c r="AL479" s="1350"/>
      <c r="AM479" s="1350"/>
      <c r="AN479" s="1350"/>
      <c r="AO479" s="1350"/>
      <c r="AP479" s="1350"/>
      <c r="AQ479" s="1350"/>
      <c r="AR479" s="1350"/>
      <c r="AS479" s="1350"/>
      <c r="AT479" s="1350"/>
      <c r="AU479" s="1350"/>
      <c r="AV479" s="1350"/>
      <c r="AW479" s="1350"/>
      <c r="AX479" s="1350"/>
      <c r="AY479" s="1350"/>
      <c r="AZ479" s="1350"/>
      <c r="BA479" s="1070"/>
      <c r="BB479" s="1070"/>
      <c r="BC479" s="1070"/>
      <c r="BD479" s="1070"/>
      <c r="BE479" s="1070"/>
      <c r="BF479" s="1070"/>
      <c r="BG479" s="1070"/>
      <c r="BH479" s="1070"/>
      <c r="BI479" s="1070"/>
      <c r="BJ479" s="1070"/>
      <c r="BK479" s="1070"/>
      <c r="BL479" s="1070"/>
      <c r="BM479" s="1070"/>
      <c r="BN479" s="1070"/>
      <c r="BO479" s="1070"/>
      <c r="BP479" s="1070"/>
      <c r="BQ479" s="1070"/>
      <c r="BR479" s="1070"/>
      <c r="BS479" s="1070"/>
      <c r="BT479" s="1070"/>
      <c r="BU479" s="1070"/>
      <c r="BV479" s="1070"/>
      <c r="BW479" s="1070"/>
      <c r="BX479" s="1070"/>
      <c r="BY479" s="1070"/>
      <c r="BZ479" s="1070"/>
      <c r="CA479" s="1070"/>
      <c r="CB479" s="1070"/>
      <c r="CC479" s="1070"/>
      <c r="CD479" s="1070"/>
      <c r="CE479" s="1070"/>
      <c r="CF479" s="1070"/>
      <c r="CG479" s="1070"/>
      <c r="CH479" s="1070"/>
      <c r="CI479" s="1070"/>
      <c r="CJ479" s="1070"/>
      <c r="CK479" s="1070"/>
      <c r="CL479" s="1070"/>
      <c r="CM479" s="1070"/>
      <c r="CN479" s="1070"/>
      <c r="CO479" s="1070"/>
      <c r="CP479" s="1070"/>
      <c r="CQ479" s="1070"/>
      <c r="CR479" s="1070"/>
      <c r="CS479" s="1070"/>
      <c r="CT479" s="1070"/>
      <c r="CU479" s="1070"/>
      <c r="CV479" s="1070"/>
      <c r="CW479" s="1070"/>
      <c r="CX479" s="1070"/>
      <c r="CY479" s="1070"/>
      <c r="CZ479" s="1070"/>
      <c r="DA479" s="1070"/>
      <c r="DB479" s="1070"/>
      <c r="DC479" s="1070"/>
      <c r="DD479" s="1070"/>
      <c r="DE479" s="1070"/>
      <c r="DF479" s="1070"/>
      <c r="DG479" s="1070"/>
      <c r="DH479" s="1070"/>
      <c r="DI479" s="1070"/>
      <c r="DJ479" s="1070"/>
    </row>
    <row r="480" spans="1:114" s="1136" customFormat="1" ht="15.75" x14ac:dyDescent="0.25">
      <c r="A480" s="1456" t="s">
        <v>837</v>
      </c>
      <c r="B480" s="1441"/>
      <c r="C480" s="1434"/>
      <c r="D480" s="1434"/>
      <c r="E480" s="1434"/>
      <c r="F480" s="1434"/>
      <c r="G480" s="1434"/>
      <c r="H480" s="1350"/>
      <c r="I480" s="1350"/>
      <c r="J480" s="1350"/>
      <c r="K480" s="1070"/>
      <c r="L480" s="1070"/>
      <c r="M480" s="1070"/>
      <c r="N480" s="1070"/>
      <c r="O480" s="1070"/>
      <c r="P480" s="1070"/>
      <c r="Q480" s="1070"/>
      <c r="R480" s="1070"/>
      <c r="S480" s="1070"/>
      <c r="T480" s="1070"/>
      <c r="U480" s="1070"/>
      <c r="V480" s="1070"/>
      <c r="W480" s="1070"/>
      <c r="X480" s="1070"/>
      <c r="Y480" s="1070"/>
      <c r="Z480" s="1070"/>
      <c r="AA480" s="1070"/>
      <c r="AB480" s="1070"/>
      <c r="AC480" s="1070"/>
      <c r="AD480" s="1070"/>
      <c r="AE480" s="1070"/>
      <c r="AF480" s="1070"/>
      <c r="AG480" s="1070"/>
      <c r="AH480" s="1070"/>
      <c r="AI480" s="1350"/>
      <c r="AJ480" s="1350"/>
      <c r="AK480" s="1350"/>
      <c r="AL480" s="1350"/>
      <c r="AM480" s="1350"/>
      <c r="AN480" s="1350"/>
      <c r="AO480" s="1350"/>
      <c r="AP480" s="1350"/>
      <c r="AQ480" s="1350"/>
      <c r="AR480" s="1350"/>
      <c r="AS480" s="1350"/>
      <c r="AT480" s="1350"/>
      <c r="AU480" s="1350"/>
      <c r="AV480" s="1350"/>
      <c r="AW480" s="1350"/>
      <c r="AX480" s="1350"/>
      <c r="AY480" s="1350"/>
      <c r="AZ480" s="1350"/>
      <c r="BA480" s="1070"/>
      <c r="BB480" s="1070"/>
      <c r="BC480" s="1070"/>
      <c r="BD480" s="1070"/>
      <c r="BE480" s="1070"/>
      <c r="BF480" s="1070"/>
      <c r="BG480" s="1070"/>
      <c r="BH480" s="1070"/>
      <c r="BI480" s="1070"/>
      <c r="BJ480" s="1070"/>
      <c r="BK480" s="1070"/>
      <c r="BL480" s="1070"/>
      <c r="BM480" s="1070"/>
      <c r="BN480" s="1070"/>
      <c r="BO480" s="1070"/>
      <c r="BP480" s="1070"/>
      <c r="BQ480" s="1070"/>
      <c r="BR480" s="1070"/>
      <c r="BS480" s="1070"/>
      <c r="BT480" s="1070"/>
      <c r="BU480" s="1070"/>
      <c r="BV480" s="1070"/>
      <c r="BW480" s="1070"/>
      <c r="BX480" s="1070"/>
      <c r="BY480" s="1070"/>
      <c r="BZ480" s="1070"/>
      <c r="CA480" s="1070"/>
      <c r="CB480" s="1070"/>
      <c r="CC480" s="1070"/>
      <c r="CD480" s="1070"/>
      <c r="CE480" s="1070"/>
      <c r="CF480" s="1070"/>
      <c r="CG480" s="1070"/>
      <c r="CH480" s="1070"/>
      <c r="CI480" s="1070"/>
      <c r="CJ480" s="1070"/>
      <c r="CK480" s="1070"/>
      <c r="CL480" s="1070"/>
      <c r="CM480" s="1070"/>
      <c r="CN480" s="1070"/>
      <c r="CO480" s="1070"/>
      <c r="CP480" s="1070"/>
      <c r="CQ480" s="1070"/>
      <c r="CR480" s="1070"/>
      <c r="CS480" s="1070"/>
      <c r="CT480" s="1070"/>
      <c r="CU480" s="1070"/>
      <c r="CV480" s="1070"/>
      <c r="CW480" s="1070"/>
      <c r="CX480" s="1070"/>
      <c r="CY480" s="1070"/>
      <c r="CZ480" s="1070"/>
      <c r="DA480" s="1070"/>
      <c r="DB480" s="1070"/>
      <c r="DC480" s="1070"/>
      <c r="DD480" s="1070"/>
      <c r="DE480" s="1070"/>
      <c r="DF480" s="1070"/>
      <c r="DG480" s="1070"/>
      <c r="DH480" s="1070"/>
      <c r="DI480" s="1070"/>
      <c r="DJ480" s="1070"/>
    </row>
    <row r="481" spans="1:114" s="1136" customFormat="1" ht="15.75" x14ac:dyDescent="0.25">
      <c r="A481" s="1417" t="s">
        <v>491</v>
      </c>
      <c r="B481" s="1441">
        <f>INDEX($J$1559:$L$1563,B477,B478)</f>
        <v>217</v>
      </c>
      <c r="C481" s="1434"/>
      <c r="D481" s="1434"/>
      <c r="E481" s="1434"/>
      <c r="F481" s="1434"/>
      <c r="G481" s="1434"/>
      <c r="H481" s="1350"/>
      <c r="I481" s="1350"/>
      <c r="J481" s="1350"/>
      <c r="K481" s="1070"/>
      <c r="L481" s="1070"/>
      <c r="M481" s="1070"/>
      <c r="N481" s="1070"/>
      <c r="O481" s="1070"/>
      <c r="P481" s="1070"/>
      <c r="Q481" s="1070"/>
      <c r="R481" s="1070"/>
      <c r="S481" s="1070"/>
      <c r="T481" s="1070"/>
      <c r="U481" s="1070"/>
      <c r="V481" s="1070"/>
      <c r="W481" s="1070"/>
      <c r="X481" s="1070"/>
      <c r="Y481" s="1070"/>
      <c r="Z481" s="1070"/>
      <c r="AA481" s="1070"/>
      <c r="AB481" s="1070"/>
      <c r="AC481" s="1070"/>
      <c r="AD481" s="1070"/>
      <c r="AE481" s="1070"/>
      <c r="AF481" s="1070"/>
      <c r="AG481" s="1070"/>
      <c r="AH481" s="1070"/>
      <c r="AI481" s="1350"/>
      <c r="AJ481" s="1350"/>
      <c r="AK481" s="1350"/>
      <c r="AL481" s="1350"/>
      <c r="AM481" s="1350"/>
      <c r="AN481" s="1350"/>
      <c r="AO481" s="1350"/>
      <c r="AP481" s="1350"/>
      <c r="AQ481" s="1350"/>
      <c r="AR481" s="1350"/>
      <c r="AS481" s="1350"/>
      <c r="AT481" s="1350"/>
      <c r="AU481" s="1350"/>
      <c r="AV481" s="1350"/>
      <c r="AW481" s="1350"/>
      <c r="AX481" s="1350"/>
      <c r="AY481" s="1350"/>
      <c r="AZ481" s="1350"/>
      <c r="BA481" s="1070"/>
      <c r="BB481" s="1070"/>
      <c r="BC481" s="1070"/>
      <c r="BD481" s="1070"/>
      <c r="BE481" s="1070"/>
      <c r="BF481" s="1070"/>
      <c r="BG481" s="1070"/>
      <c r="BH481" s="1070"/>
      <c r="BI481" s="1070"/>
      <c r="BJ481" s="1070"/>
      <c r="BK481" s="1070"/>
      <c r="BL481" s="1070"/>
      <c r="BM481" s="1070"/>
      <c r="BN481" s="1070"/>
      <c r="BO481" s="1070"/>
      <c r="BP481" s="1070"/>
      <c r="BQ481" s="1070"/>
      <c r="BR481" s="1070"/>
      <c r="BS481" s="1070"/>
      <c r="BT481" s="1070"/>
      <c r="BU481" s="1070"/>
      <c r="BV481" s="1070"/>
      <c r="BW481" s="1070"/>
      <c r="BX481" s="1070"/>
      <c r="BY481" s="1070"/>
      <c r="BZ481" s="1070"/>
      <c r="CA481" s="1070"/>
      <c r="CB481" s="1070"/>
      <c r="CC481" s="1070"/>
      <c r="CD481" s="1070"/>
      <c r="CE481" s="1070"/>
      <c r="CF481" s="1070"/>
      <c r="CG481" s="1070"/>
      <c r="CH481" s="1070"/>
      <c r="CI481" s="1070"/>
      <c r="CJ481" s="1070"/>
      <c r="CK481" s="1070"/>
      <c r="CL481" s="1070"/>
      <c r="CM481" s="1070"/>
      <c r="CN481" s="1070"/>
      <c r="CO481" s="1070"/>
      <c r="CP481" s="1070"/>
      <c r="CQ481" s="1070"/>
      <c r="CR481" s="1070"/>
      <c r="CS481" s="1070"/>
      <c r="CT481" s="1070"/>
      <c r="CU481" s="1070"/>
      <c r="CV481" s="1070"/>
      <c r="CW481" s="1070"/>
      <c r="CX481" s="1070"/>
      <c r="CY481" s="1070"/>
      <c r="CZ481" s="1070"/>
      <c r="DA481" s="1070"/>
      <c r="DB481" s="1070"/>
      <c r="DC481" s="1070"/>
      <c r="DD481" s="1070"/>
      <c r="DE481" s="1070"/>
      <c r="DF481" s="1070"/>
      <c r="DG481" s="1070"/>
      <c r="DH481" s="1070"/>
      <c r="DI481" s="1070"/>
      <c r="DJ481" s="1070"/>
    </row>
    <row r="482" spans="1:114" s="1136" customFormat="1" ht="15.75" x14ac:dyDescent="0.25">
      <c r="A482" s="1417" t="s">
        <v>492</v>
      </c>
      <c r="B482" s="1441">
        <f>INDEX($M$1559:$O$1563,B477,B478)</f>
        <v>158</v>
      </c>
      <c r="C482" s="1434"/>
      <c r="D482" s="1434"/>
      <c r="E482" s="1434"/>
      <c r="F482" s="1434"/>
      <c r="G482" s="1434"/>
      <c r="H482" s="1350"/>
      <c r="I482" s="1350"/>
      <c r="J482" s="1350"/>
      <c r="K482" s="1070"/>
      <c r="L482" s="1070"/>
      <c r="M482" s="1070"/>
      <c r="N482" s="1070"/>
      <c r="O482" s="1070"/>
      <c r="P482" s="1070"/>
      <c r="Q482" s="1070"/>
      <c r="R482" s="1070"/>
      <c r="S482" s="1070"/>
      <c r="T482" s="1070"/>
      <c r="U482" s="1070"/>
      <c r="V482" s="1070"/>
      <c r="W482" s="1070"/>
      <c r="X482" s="1070"/>
      <c r="Y482" s="1070"/>
      <c r="Z482" s="1070"/>
      <c r="AA482" s="1070"/>
      <c r="AB482" s="1070"/>
      <c r="AC482" s="1070"/>
      <c r="AD482" s="1070"/>
      <c r="AE482" s="1070"/>
      <c r="AF482" s="1070"/>
      <c r="AG482" s="1070"/>
      <c r="AH482" s="1070"/>
      <c r="AI482" s="1350"/>
      <c r="AJ482" s="1350"/>
      <c r="AK482" s="1350"/>
      <c r="AL482" s="1350"/>
      <c r="AM482" s="1350"/>
      <c r="AN482" s="1350"/>
      <c r="AO482" s="1350"/>
      <c r="AP482" s="1350"/>
      <c r="AQ482" s="1350"/>
      <c r="AR482" s="1350"/>
      <c r="AS482" s="1350"/>
      <c r="AT482" s="1350"/>
      <c r="AU482" s="1350"/>
      <c r="AV482" s="1350"/>
      <c r="AW482" s="1350"/>
      <c r="AX482" s="1350"/>
      <c r="AY482" s="1350"/>
      <c r="AZ482" s="1350"/>
      <c r="BA482" s="1070"/>
      <c r="BB482" s="1070"/>
      <c r="BC482" s="1070"/>
      <c r="BD482" s="1070"/>
      <c r="BE482" s="1070"/>
      <c r="BF482" s="1070"/>
      <c r="BG482" s="1070"/>
      <c r="BH482" s="1070"/>
      <c r="BI482" s="1070"/>
      <c r="BJ482" s="1070"/>
      <c r="BK482" s="1070"/>
      <c r="BL482" s="1070"/>
      <c r="BM482" s="1070"/>
      <c r="BN482" s="1070"/>
      <c r="BO482" s="1070"/>
      <c r="BP482" s="1070"/>
      <c r="BQ482" s="1070"/>
      <c r="BR482" s="1070"/>
      <c r="BS482" s="1070"/>
      <c r="BT482" s="1070"/>
      <c r="BU482" s="1070"/>
      <c r="BV482" s="1070"/>
      <c r="BW482" s="1070"/>
      <c r="BX482" s="1070"/>
      <c r="BY482" s="1070"/>
      <c r="BZ482" s="1070"/>
      <c r="CA482" s="1070"/>
      <c r="CB482" s="1070"/>
      <c r="CC482" s="1070"/>
      <c r="CD482" s="1070"/>
      <c r="CE482" s="1070"/>
      <c r="CF482" s="1070"/>
      <c r="CG482" s="1070"/>
      <c r="CH482" s="1070"/>
      <c r="CI482" s="1070"/>
      <c r="CJ482" s="1070"/>
      <c r="CK482" s="1070"/>
      <c r="CL482" s="1070"/>
      <c r="CM482" s="1070"/>
      <c r="CN482" s="1070"/>
      <c r="CO482" s="1070"/>
      <c r="CP482" s="1070"/>
      <c r="CQ482" s="1070"/>
      <c r="CR482" s="1070"/>
      <c r="CS482" s="1070"/>
      <c r="CT482" s="1070"/>
      <c r="CU482" s="1070"/>
      <c r="CV482" s="1070"/>
      <c r="CW482" s="1070"/>
      <c r="CX482" s="1070"/>
      <c r="CY482" s="1070"/>
      <c r="CZ482" s="1070"/>
      <c r="DA482" s="1070"/>
      <c r="DB482" s="1070"/>
      <c r="DC482" s="1070"/>
      <c r="DD482" s="1070"/>
      <c r="DE482" s="1070"/>
      <c r="DF482" s="1070"/>
      <c r="DG482" s="1070"/>
      <c r="DH482" s="1070"/>
      <c r="DI482" s="1070"/>
      <c r="DJ482" s="1070"/>
    </row>
    <row r="483" spans="1:114" s="1136" customFormat="1" ht="15.75" x14ac:dyDescent="0.25">
      <c r="A483" s="1417" t="s">
        <v>493</v>
      </c>
      <c r="B483" s="1441">
        <f>INDEX($P$1559:$R$1563,B477,B478)</f>
        <v>121</v>
      </c>
      <c r="C483" s="1434"/>
      <c r="D483" s="1434"/>
      <c r="E483" s="1434"/>
      <c r="F483" s="1434"/>
      <c r="G483" s="1434"/>
      <c r="H483" s="1350"/>
      <c r="I483" s="1350"/>
      <c r="J483" s="1350"/>
      <c r="K483" s="1070"/>
      <c r="L483" s="1070"/>
      <c r="M483" s="1070"/>
      <c r="N483" s="1070"/>
      <c r="O483" s="1070"/>
      <c r="P483" s="1070"/>
      <c r="Q483" s="1070"/>
      <c r="R483" s="1070"/>
      <c r="S483" s="1070"/>
      <c r="T483" s="1070"/>
      <c r="U483" s="1070"/>
      <c r="V483" s="1070"/>
      <c r="W483" s="1070"/>
      <c r="X483" s="1070"/>
      <c r="Y483" s="1070"/>
      <c r="Z483" s="1070"/>
      <c r="AA483" s="1070"/>
      <c r="AB483" s="1070"/>
      <c r="AC483" s="1070"/>
      <c r="AD483" s="1070"/>
      <c r="AE483" s="1070"/>
      <c r="AF483" s="1070"/>
      <c r="AG483" s="1070"/>
      <c r="AH483" s="1070"/>
      <c r="AI483" s="1350"/>
      <c r="AJ483" s="1350"/>
      <c r="AK483" s="1350"/>
      <c r="AL483" s="1350"/>
      <c r="AM483" s="1350"/>
      <c r="AN483" s="1350"/>
      <c r="AO483" s="1350"/>
      <c r="AP483" s="1350"/>
      <c r="AQ483" s="1350"/>
      <c r="AR483" s="1350"/>
      <c r="AS483" s="1350"/>
      <c r="AT483" s="1350"/>
      <c r="AU483" s="1350"/>
      <c r="AV483" s="1350"/>
      <c r="AW483" s="1350"/>
      <c r="AX483" s="1350"/>
      <c r="AY483" s="1350"/>
      <c r="AZ483" s="1350"/>
      <c r="BA483" s="1070"/>
      <c r="BB483" s="1070"/>
      <c r="BC483" s="1070"/>
      <c r="BD483" s="1070"/>
      <c r="BE483" s="1070"/>
      <c r="BF483" s="1070"/>
      <c r="BG483" s="1070"/>
      <c r="BH483" s="1070"/>
      <c r="BI483" s="1070"/>
      <c r="BJ483" s="1070"/>
      <c r="BK483" s="1070"/>
      <c r="BL483" s="1070"/>
      <c r="BM483" s="1070"/>
      <c r="BN483" s="1070"/>
      <c r="BO483" s="1070"/>
      <c r="BP483" s="1070"/>
      <c r="BQ483" s="1070"/>
      <c r="BR483" s="1070"/>
      <c r="BS483" s="1070"/>
      <c r="BT483" s="1070"/>
      <c r="BU483" s="1070"/>
      <c r="BV483" s="1070"/>
      <c r="BW483" s="1070"/>
      <c r="BX483" s="1070"/>
      <c r="BY483" s="1070"/>
      <c r="BZ483" s="1070"/>
      <c r="CA483" s="1070"/>
      <c r="CB483" s="1070"/>
      <c r="CC483" s="1070"/>
      <c r="CD483" s="1070"/>
      <c r="CE483" s="1070"/>
      <c r="CF483" s="1070"/>
      <c r="CG483" s="1070"/>
      <c r="CH483" s="1070"/>
      <c r="CI483" s="1070"/>
      <c r="CJ483" s="1070"/>
      <c r="CK483" s="1070"/>
      <c r="CL483" s="1070"/>
      <c r="CM483" s="1070"/>
      <c r="CN483" s="1070"/>
      <c r="CO483" s="1070"/>
      <c r="CP483" s="1070"/>
      <c r="CQ483" s="1070"/>
      <c r="CR483" s="1070"/>
      <c r="CS483" s="1070"/>
      <c r="CT483" s="1070"/>
      <c r="CU483" s="1070"/>
      <c r="CV483" s="1070"/>
      <c r="CW483" s="1070"/>
      <c r="CX483" s="1070"/>
      <c r="CY483" s="1070"/>
      <c r="CZ483" s="1070"/>
      <c r="DA483" s="1070"/>
      <c r="DB483" s="1070"/>
      <c r="DC483" s="1070"/>
      <c r="DD483" s="1070"/>
      <c r="DE483" s="1070"/>
      <c r="DF483" s="1070"/>
      <c r="DG483" s="1070"/>
      <c r="DH483" s="1070"/>
      <c r="DI483" s="1070"/>
      <c r="DJ483" s="1070"/>
    </row>
    <row r="484" spans="1:114" s="1136" customFormat="1" ht="15.75" x14ac:dyDescent="0.25">
      <c r="A484" s="1417" t="s">
        <v>494</v>
      </c>
      <c r="B484" s="1441">
        <f>INDEX($S$1559:$U$1563,B477,B478)</f>
        <v>93</v>
      </c>
      <c r="C484" s="1434"/>
      <c r="D484" s="1434"/>
      <c r="E484" s="1434"/>
      <c r="F484" s="1434"/>
      <c r="G484" s="1434"/>
      <c r="H484" s="1350"/>
      <c r="I484" s="1350"/>
      <c r="J484" s="1350"/>
      <c r="K484" s="1070"/>
      <c r="L484" s="1070"/>
      <c r="M484" s="1070"/>
      <c r="N484" s="1070"/>
      <c r="O484" s="1070"/>
      <c r="P484" s="1070"/>
      <c r="Q484" s="1070"/>
      <c r="R484" s="1070"/>
      <c r="S484" s="1070"/>
      <c r="T484" s="1070"/>
      <c r="U484" s="1070"/>
      <c r="V484" s="1070"/>
      <c r="W484" s="1070"/>
      <c r="X484" s="1070"/>
      <c r="Y484" s="1070"/>
      <c r="Z484" s="1070"/>
      <c r="AA484" s="1070"/>
      <c r="AB484" s="1070"/>
      <c r="AC484" s="1070"/>
      <c r="AD484" s="1070"/>
      <c r="AE484" s="1070"/>
      <c r="AF484" s="1070"/>
      <c r="AG484" s="1070"/>
      <c r="AH484" s="1070"/>
      <c r="AI484" s="1350"/>
      <c r="AJ484" s="1350"/>
      <c r="AK484" s="1350"/>
      <c r="AL484" s="1350"/>
      <c r="AM484" s="1350"/>
      <c r="AN484" s="1350"/>
      <c r="AO484" s="1350"/>
      <c r="AP484" s="1350"/>
      <c r="AQ484" s="1350"/>
      <c r="AR484" s="1350"/>
      <c r="AS484" s="1350"/>
      <c r="AT484" s="1350"/>
      <c r="AU484" s="1350"/>
      <c r="AV484" s="1350"/>
      <c r="AW484" s="1350"/>
      <c r="AX484" s="1350"/>
      <c r="AY484" s="1350"/>
      <c r="AZ484" s="1350"/>
      <c r="BA484" s="1070"/>
      <c r="BB484" s="1070"/>
      <c r="BC484" s="1070"/>
      <c r="BD484" s="1070"/>
      <c r="BE484" s="1070"/>
      <c r="BF484" s="1070"/>
      <c r="BG484" s="1070"/>
      <c r="BH484" s="1070"/>
      <c r="BI484" s="1070"/>
      <c r="BJ484" s="1070"/>
      <c r="BK484" s="1070"/>
      <c r="BL484" s="1070"/>
      <c r="BM484" s="1070"/>
      <c r="BN484" s="1070"/>
      <c r="BO484" s="1070"/>
      <c r="BP484" s="1070"/>
      <c r="BQ484" s="1070"/>
      <c r="BR484" s="1070"/>
      <c r="BS484" s="1070"/>
      <c r="BT484" s="1070"/>
      <c r="BU484" s="1070"/>
      <c r="BV484" s="1070"/>
      <c r="BW484" s="1070"/>
      <c r="BX484" s="1070"/>
      <c r="BY484" s="1070"/>
      <c r="BZ484" s="1070"/>
      <c r="CA484" s="1070"/>
      <c r="CB484" s="1070"/>
      <c r="CC484" s="1070"/>
      <c r="CD484" s="1070"/>
      <c r="CE484" s="1070"/>
      <c r="CF484" s="1070"/>
      <c r="CG484" s="1070"/>
      <c r="CH484" s="1070"/>
      <c r="CI484" s="1070"/>
      <c r="CJ484" s="1070"/>
      <c r="CK484" s="1070"/>
      <c r="CL484" s="1070"/>
      <c r="CM484" s="1070"/>
      <c r="CN484" s="1070"/>
      <c r="CO484" s="1070"/>
      <c r="CP484" s="1070"/>
      <c r="CQ484" s="1070"/>
      <c r="CR484" s="1070"/>
      <c r="CS484" s="1070"/>
      <c r="CT484" s="1070"/>
      <c r="CU484" s="1070"/>
      <c r="CV484" s="1070"/>
      <c r="CW484" s="1070"/>
      <c r="CX484" s="1070"/>
      <c r="CY484" s="1070"/>
      <c r="CZ484" s="1070"/>
      <c r="DA484" s="1070"/>
      <c r="DB484" s="1070"/>
      <c r="DC484" s="1070"/>
      <c r="DD484" s="1070"/>
      <c r="DE484" s="1070"/>
      <c r="DF484" s="1070"/>
      <c r="DG484" s="1070"/>
      <c r="DH484" s="1070"/>
      <c r="DI484" s="1070"/>
      <c r="DJ484" s="1070"/>
    </row>
    <row r="485" spans="1:114" s="1136" customFormat="1" ht="15.75" x14ac:dyDescent="0.25">
      <c r="A485" s="1430" t="s">
        <v>1322</v>
      </c>
      <c r="B485" s="1443"/>
      <c r="C485" s="1437"/>
      <c r="D485" s="1350"/>
      <c r="E485" s="1350"/>
      <c r="F485" s="1350"/>
      <c r="G485" s="1350"/>
      <c r="H485" s="1350"/>
      <c r="I485" s="1350"/>
      <c r="J485" s="1350"/>
      <c r="K485" s="1070"/>
      <c r="L485" s="1070"/>
      <c r="M485" s="1070"/>
      <c r="N485" s="1070"/>
      <c r="O485" s="1070"/>
      <c r="P485" s="1070"/>
      <c r="Q485" s="1070"/>
      <c r="R485" s="1070"/>
      <c r="S485" s="1070"/>
      <c r="T485" s="1070"/>
      <c r="U485" s="1070"/>
      <c r="V485" s="1070"/>
      <c r="W485" s="1070"/>
      <c r="X485" s="1070"/>
      <c r="Y485" s="1070"/>
      <c r="Z485" s="1070"/>
      <c r="AA485" s="1070"/>
      <c r="AB485" s="1070"/>
      <c r="AC485" s="1070"/>
      <c r="AD485" s="1070"/>
      <c r="AE485" s="1070"/>
      <c r="AF485" s="1070"/>
      <c r="AG485" s="1070"/>
      <c r="AH485" s="1070"/>
      <c r="AI485" s="1350"/>
      <c r="AJ485" s="1350"/>
      <c r="AK485" s="1350"/>
      <c r="AL485" s="1350"/>
      <c r="AM485" s="1350"/>
      <c r="AN485" s="1350"/>
      <c r="AO485" s="1350"/>
      <c r="AP485" s="1350"/>
      <c r="AQ485" s="1350"/>
      <c r="AR485" s="1350"/>
      <c r="AS485" s="1350"/>
      <c r="AT485" s="1350"/>
      <c r="AU485" s="1350"/>
      <c r="AV485" s="1350"/>
      <c r="AW485" s="1350"/>
      <c r="AX485" s="1350"/>
      <c r="AY485" s="1350"/>
      <c r="AZ485" s="1350"/>
      <c r="BA485" s="1070"/>
      <c r="BB485" s="1070"/>
      <c r="BC485" s="1070"/>
      <c r="BD485" s="1070"/>
      <c r="BE485" s="1070"/>
      <c r="BF485" s="1070"/>
      <c r="BG485" s="1070"/>
      <c r="BH485" s="1070"/>
      <c r="BI485" s="1070"/>
      <c r="BJ485" s="1070"/>
      <c r="BK485" s="1070"/>
      <c r="BL485" s="1070"/>
      <c r="BM485" s="1070"/>
      <c r="BN485" s="1070"/>
      <c r="BO485" s="1070"/>
      <c r="BP485" s="1070"/>
      <c r="BQ485" s="1070"/>
      <c r="BR485" s="1070"/>
      <c r="BS485" s="1070"/>
      <c r="BT485" s="1070"/>
      <c r="BU485" s="1070"/>
      <c r="BV485" s="1070"/>
      <c r="BW485" s="1070"/>
      <c r="BX485" s="1070"/>
      <c r="BY485" s="1070"/>
      <c r="BZ485" s="1070"/>
      <c r="CA485" s="1070"/>
      <c r="CB485" s="1070"/>
      <c r="CC485" s="1070"/>
      <c r="CD485" s="1070"/>
      <c r="CE485" s="1070"/>
      <c r="CF485" s="1070"/>
      <c r="CG485" s="1070"/>
      <c r="CH485" s="1070"/>
      <c r="CI485" s="1070"/>
      <c r="CJ485" s="1070"/>
      <c r="CK485" s="1070"/>
      <c r="CL485" s="1070"/>
      <c r="CM485" s="1070"/>
      <c r="CN485" s="1070"/>
      <c r="CO485" s="1070"/>
      <c r="CP485" s="1070"/>
      <c r="CQ485" s="1070"/>
      <c r="CR485" s="1070"/>
      <c r="CS485" s="1070"/>
      <c r="CT485" s="1070"/>
      <c r="CU485" s="1070"/>
      <c r="CV485" s="1070"/>
      <c r="CW485" s="1070"/>
      <c r="CX485" s="1070"/>
      <c r="CY485" s="1070"/>
      <c r="CZ485" s="1070"/>
      <c r="DA485" s="1070"/>
      <c r="DB485" s="1070"/>
      <c r="DC485" s="1070"/>
      <c r="DD485" s="1070"/>
      <c r="DE485" s="1070"/>
      <c r="DF485" s="1070"/>
      <c r="DG485" s="1070"/>
      <c r="DH485" s="1070"/>
      <c r="DI485" s="1070"/>
      <c r="DJ485" s="1070"/>
    </row>
    <row r="486" spans="1:114" s="1136" customFormat="1" ht="15.75" x14ac:dyDescent="0.25">
      <c r="A486" s="1430" t="s">
        <v>495</v>
      </c>
      <c r="B486" s="1450">
        <v>0.7</v>
      </c>
      <c r="C486" s="1440"/>
      <c r="D486" s="1440"/>
      <c r="E486" s="1440"/>
      <c r="F486" s="1440"/>
      <c r="G486" s="1440"/>
      <c r="H486" s="1350"/>
      <c r="I486" s="1350"/>
      <c r="J486" s="1350"/>
      <c r="K486" s="1070"/>
      <c r="L486" s="1070"/>
      <c r="M486" s="1070"/>
      <c r="N486" s="1070"/>
      <c r="O486" s="1070"/>
      <c r="P486" s="1070"/>
      <c r="Q486" s="1070"/>
      <c r="R486" s="1070"/>
      <c r="S486" s="1070"/>
      <c r="T486" s="1070"/>
      <c r="U486" s="1070"/>
      <c r="V486" s="1070"/>
      <c r="W486" s="1070"/>
      <c r="X486" s="1070"/>
      <c r="Y486" s="1070"/>
      <c r="Z486" s="1070"/>
      <c r="AA486" s="1070"/>
      <c r="AB486" s="1070"/>
      <c r="AC486" s="1070"/>
      <c r="AD486" s="1070"/>
      <c r="AE486" s="1070"/>
      <c r="AF486" s="1070"/>
      <c r="AG486" s="1070"/>
      <c r="AH486" s="1070"/>
      <c r="AI486" s="1350"/>
      <c r="AJ486" s="1350"/>
      <c r="AK486" s="1350"/>
      <c r="AL486" s="1350"/>
      <c r="AM486" s="1350"/>
      <c r="AN486" s="1350"/>
      <c r="AO486" s="1350"/>
      <c r="AP486" s="1350"/>
      <c r="AQ486" s="1350"/>
      <c r="AR486" s="1350"/>
      <c r="AS486" s="1350"/>
      <c r="AT486" s="1350"/>
      <c r="AU486" s="1350"/>
      <c r="AV486" s="1350"/>
      <c r="AW486" s="1350"/>
      <c r="AX486" s="1350"/>
      <c r="AY486" s="1350"/>
      <c r="AZ486" s="1350"/>
      <c r="BA486" s="1070"/>
      <c r="BB486" s="1070"/>
      <c r="BC486" s="1070"/>
      <c r="BD486" s="1070"/>
      <c r="BE486" s="1070"/>
      <c r="BF486" s="1070"/>
      <c r="BG486" s="1070"/>
      <c r="BH486" s="1070"/>
      <c r="BI486" s="1070"/>
      <c r="BJ486" s="1070"/>
      <c r="BK486" s="1070"/>
      <c r="BL486" s="1070"/>
      <c r="BM486" s="1070"/>
      <c r="BN486" s="1070"/>
      <c r="BO486" s="1070"/>
      <c r="BP486" s="1070"/>
      <c r="BQ486" s="1070"/>
      <c r="BR486" s="1070"/>
      <c r="BS486" s="1070"/>
      <c r="BT486" s="1070"/>
      <c r="BU486" s="1070"/>
      <c r="BV486" s="1070"/>
      <c r="BW486" s="1070"/>
      <c r="BX486" s="1070"/>
      <c r="BY486" s="1070"/>
      <c r="BZ486" s="1070"/>
      <c r="CA486" s="1070"/>
      <c r="CB486" s="1070"/>
      <c r="CC486" s="1070"/>
      <c r="CD486" s="1070"/>
      <c r="CE486" s="1070"/>
      <c r="CF486" s="1070"/>
      <c r="CG486" s="1070"/>
      <c r="CH486" s="1070"/>
      <c r="CI486" s="1070"/>
      <c r="CJ486" s="1070"/>
      <c r="CK486" s="1070"/>
      <c r="CL486" s="1070"/>
      <c r="CM486" s="1070"/>
      <c r="CN486" s="1070"/>
      <c r="CO486" s="1070"/>
      <c r="CP486" s="1070"/>
      <c r="CQ486" s="1070"/>
      <c r="CR486" s="1070"/>
      <c r="CS486" s="1070"/>
      <c r="CT486" s="1070"/>
      <c r="CU486" s="1070"/>
      <c r="CV486" s="1070"/>
      <c r="CW486" s="1070"/>
      <c r="CX486" s="1070"/>
      <c r="CY486" s="1070"/>
      <c r="CZ486" s="1070"/>
      <c r="DA486" s="1070"/>
      <c r="DB486" s="1070"/>
      <c r="DC486" s="1070"/>
      <c r="DD486" s="1070"/>
      <c r="DE486" s="1070"/>
      <c r="DF486" s="1070"/>
      <c r="DG486" s="1070"/>
      <c r="DH486" s="1070"/>
      <c r="DI486" s="1070"/>
      <c r="DJ486" s="1070"/>
    </row>
    <row r="487" spans="1:114" s="1136" customFormat="1" ht="47.25" x14ac:dyDescent="0.25">
      <c r="A487" s="1471" t="s">
        <v>496</v>
      </c>
      <c r="B487" s="1469">
        <v>0</v>
      </c>
      <c r="C487" s="1470"/>
      <c r="D487" s="1470"/>
      <c r="E487" s="1470"/>
      <c r="F487" s="1470"/>
      <c r="G487" s="1470"/>
      <c r="H487" s="1350"/>
      <c r="I487" s="1350"/>
      <c r="J487" s="1350"/>
      <c r="K487" s="1070"/>
      <c r="L487" s="1070"/>
      <c r="M487" s="1070"/>
      <c r="N487" s="1070"/>
      <c r="O487" s="1070"/>
      <c r="P487" s="1070"/>
      <c r="Q487" s="1070"/>
      <c r="R487" s="1070"/>
      <c r="S487" s="1070"/>
      <c r="T487" s="1070"/>
      <c r="U487" s="1070"/>
      <c r="V487" s="1070"/>
      <c r="W487" s="1070"/>
      <c r="X487" s="1070"/>
      <c r="Y487" s="1070"/>
      <c r="Z487" s="1070"/>
      <c r="AA487" s="1070"/>
      <c r="AB487" s="1070"/>
      <c r="AC487" s="1070"/>
      <c r="AD487" s="1070"/>
      <c r="AE487" s="1070"/>
      <c r="AF487" s="1070"/>
      <c r="AG487" s="1070"/>
      <c r="AH487" s="1070"/>
      <c r="AI487" s="1350"/>
      <c r="AJ487" s="1350"/>
      <c r="AK487" s="1350"/>
      <c r="AL487" s="1350"/>
      <c r="AM487" s="1350"/>
      <c r="AN487" s="1350"/>
      <c r="AO487" s="1350"/>
      <c r="AP487" s="1350"/>
      <c r="AQ487" s="1350"/>
      <c r="AR487" s="1350"/>
      <c r="AS487" s="1350"/>
      <c r="AT487" s="1350"/>
      <c r="AU487" s="1350"/>
      <c r="AV487" s="1350"/>
      <c r="AW487" s="1350"/>
      <c r="AX487" s="1350"/>
      <c r="AY487" s="1350"/>
      <c r="AZ487" s="1350"/>
      <c r="BA487" s="1070"/>
      <c r="BB487" s="1070"/>
      <c r="BC487" s="1070"/>
      <c r="BD487" s="1070"/>
      <c r="BE487" s="1070"/>
      <c r="BF487" s="1070"/>
      <c r="BG487" s="1070"/>
      <c r="BH487" s="1070"/>
      <c r="BI487" s="1070"/>
      <c r="BJ487" s="1070"/>
      <c r="BK487" s="1070"/>
      <c r="BL487" s="1070"/>
      <c r="BM487" s="1070"/>
      <c r="BN487" s="1070"/>
      <c r="BO487" s="1070"/>
      <c r="BP487" s="1070"/>
      <c r="BQ487" s="1070"/>
      <c r="BR487" s="1070"/>
      <c r="BS487" s="1070"/>
      <c r="BT487" s="1070"/>
      <c r="BU487" s="1070"/>
      <c r="BV487" s="1070"/>
      <c r="BW487" s="1070"/>
      <c r="BX487" s="1070"/>
      <c r="BY487" s="1070"/>
      <c r="BZ487" s="1070"/>
      <c r="CA487" s="1070"/>
      <c r="CB487" s="1070"/>
      <c r="CC487" s="1070"/>
      <c r="CD487" s="1070"/>
      <c r="CE487" s="1070"/>
      <c r="CF487" s="1070"/>
      <c r="CG487" s="1070"/>
      <c r="CH487" s="1070"/>
      <c r="CI487" s="1070"/>
      <c r="CJ487" s="1070"/>
      <c r="CK487" s="1070"/>
      <c r="CL487" s="1070"/>
      <c r="CM487" s="1070"/>
      <c r="CN487" s="1070"/>
      <c r="CO487" s="1070"/>
      <c r="CP487" s="1070"/>
      <c r="CQ487" s="1070"/>
      <c r="CR487" s="1070"/>
      <c r="CS487" s="1070"/>
      <c r="CT487" s="1070"/>
      <c r="CU487" s="1070"/>
      <c r="CV487" s="1070"/>
      <c r="CW487" s="1070"/>
      <c r="CX487" s="1070"/>
      <c r="CY487" s="1070"/>
      <c r="CZ487" s="1070"/>
      <c r="DA487" s="1070"/>
      <c r="DB487" s="1070"/>
      <c r="DC487" s="1070"/>
      <c r="DD487" s="1070"/>
      <c r="DE487" s="1070"/>
      <c r="DF487" s="1070"/>
      <c r="DG487" s="1070"/>
      <c r="DH487" s="1070"/>
      <c r="DI487" s="1070"/>
      <c r="DJ487" s="1070"/>
    </row>
    <row r="488" spans="1:114" s="1136" customFormat="1" ht="15.75" x14ac:dyDescent="0.25">
      <c r="A488" s="1420" t="s">
        <v>2978</v>
      </c>
      <c r="B488" s="1423">
        <f>IF(B487=1,0.8,1)</f>
        <v>1</v>
      </c>
      <c r="C488" s="1429"/>
      <c r="D488" s="1429"/>
      <c r="E488" s="1429"/>
      <c r="F488" s="1429"/>
      <c r="G488" s="1429"/>
      <c r="H488" s="1350"/>
      <c r="I488" s="1350"/>
      <c r="J488" s="1350"/>
      <c r="K488" s="1070"/>
      <c r="L488" s="1070"/>
      <c r="M488" s="1070"/>
      <c r="N488" s="1070"/>
      <c r="O488" s="1070"/>
      <c r="P488" s="1070"/>
      <c r="Q488" s="1070"/>
      <c r="R488" s="1070"/>
      <c r="S488" s="1070"/>
      <c r="T488" s="1070"/>
      <c r="U488" s="1070"/>
      <c r="V488" s="1070"/>
      <c r="W488" s="1070"/>
      <c r="X488" s="1070"/>
      <c r="Y488" s="1070"/>
      <c r="Z488" s="1070"/>
      <c r="AA488" s="1070"/>
      <c r="AB488" s="1070"/>
      <c r="AC488" s="1070"/>
      <c r="AD488" s="1070"/>
      <c r="AE488" s="1070"/>
      <c r="AF488" s="1070"/>
      <c r="AG488" s="1070"/>
      <c r="AH488" s="1070"/>
      <c r="AI488" s="1350"/>
      <c r="AJ488" s="1350"/>
      <c r="AK488" s="1350"/>
      <c r="AL488" s="1350"/>
      <c r="AM488" s="1350"/>
      <c r="AN488" s="1350"/>
      <c r="AO488" s="1350"/>
      <c r="AP488" s="1350"/>
      <c r="AQ488" s="1350"/>
      <c r="AR488" s="1350"/>
      <c r="AS488" s="1350"/>
      <c r="AT488" s="1350"/>
      <c r="AU488" s="1350"/>
      <c r="AV488" s="1350"/>
      <c r="AW488" s="1350"/>
      <c r="AX488" s="1350"/>
      <c r="AY488" s="1350"/>
      <c r="AZ488" s="1350"/>
      <c r="BA488" s="1070"/>
      <c r="BB488" s="1070"/>
      <c r="BC488" s="1070"/>
      <c r="BD488" s="1070"/>
      <c r="BE488" s="1070"/>
      <c r="BF488" s="1070"/>
      <c r="BG488" s="1070"/>
      <c r="BH488" s="1070"/>
      <c r="BI488" s="1070"/>
      <c r="BJ488" s="1070"/>
      <c r="BK488" s="1070"/>
      <c r="BL488" s="1070"/>
      <c r="BM488" s="1070"/>
      <c r="BN488" s="1070"/>
      <c r="BO488" s="1070"/>
      <c r="BP488" s="1070"/>
      <c r="BQ488" s="1070"/>
      <c r="BR488" s="1070"/>
      <c r="BS488" s="1070"/>
      <c r="BT488" s="1070"/>
      <c r="BU488" s="1070"/>
      <c r="BV488" s="1070"/>
      <c r="BW488" s="1070"/>
      <c r="BX488" s="1070"/>
      <c r="BY488" s="1070"/>
      <c r="BZ488" s="1070"/>
      <c r="CA488" s="1070"/>
      <c r="CB488" s="1070"/>
      <c r="CC488" s="1070"/>
      <c r="CD488" s="1070"/>
      <c r="CE488" s="1070"/>
      <c r="CF488" s="1070"/>
      <c r="CG488" s="1070"/>
      <c r="CH488" s="1070"/>
      <c r="CI488" s="1070"/>
      <c r="CJ488" s="1070"/>
      <c r="CK488" s="1070"/>
      <c r="CL488" s="1070"/>
      <c r="CM488" s="1070"/>
      <c r="CN488" s="1070"/>
      <c r="CO488" s="1070"/>
      <c r="CP488" s="1070"/>
      <c r="CQ488" s="1070"/>
      <c r="CR488" s="1070"/>
      <c r="CS488" s="1070"/>
      <c r="CT488" s="1070"/>
      <c r="CU488" s="1070"/>
      <c r="CV488" s="1070"/>
      <c r="CW488" s="1070"/>
      <c r="CX488" s="1070"/>
      <c r="CY488" s="1070"/>
      <c r="CZ488" s="1070"/>
      <c r="DA488" s="1070"/>
      <c r="DB488" s="1070"/>
      <c r="DC488" s="1070"/>
      <c r="DD488" s="1070"/>
      <c r="DE488" s="1070"/>
      <c r="DF488" s="1070"/>
      <c r="DG488" s="1070"/>
      <c r="DH488" s="1070"/>
      <c r="DI488" s="1070"/>
      <c r="DJ488" s="1070"/>
    </row>
    <row r="489" spans="1:114" s="1136" customFormat="1" ht="94.5" x14ac:dyDescent="0.25">
      <c r="A489" s="1471" t="s">
        <v>3968</v>
      </c>
      <c r="B489" s="1469">
        <v>0</v>
      </c>
      <c r="C489" s="1470"/>
      <c r="D489" s="1470"/>
      <c r="E489" s="1470"/>
      <c r="F489" s="1470"/>
      <c r="G489" s="1470"/>
      <c r="H489" s="1350"/>
      <c r="I489" s="1350"/>
      <c r="J489" s="1350"/>
      <c r="K489" s="1070"/>
      <c r="L489" s="1070"/>
      <c r="M489" s="1070"/>
      <c r="N489" s="1070"/>
      <c r="O489" s="1070"/>
      <c r="P489" s="1070"/>
      <c r="Q489" s="1070"/>
      <c r="R489" s="1070"/>
      <c r="S489" s="1070"/>
      <c r="T489" s="1070"/>
      <c r="U489" s="1070"/>
      <c r="V489" s="1070"/>
      <c r="W489" s="1070"/>
      <c r="X489" s="1070"/>
      <c r="Y489" s="1070"/>
      <c r="Z489" s="1070"/>
      <c r="AA489" s="1070"/>
      <c r="AB489" s="1070"/>
      <c r="AC489" s="1070"/>
      <c r="AD489" s="1070"/>
      <c r="AE489" s="1070"/>
      <c r="AF489" s="1070"/>
      <c r="AG489" s="1070"/>
      <c r="AH489" s="1070"/>
      <c r="AI489" s="1350"/>
      <c r="AJ489" s="1350"/>
      <c r="AK489" s="1350"/>
      <c r="AL489" s="1350"/>
      <c r="AM489" s="1350"/>
      <c r="AN489" s="1350"/>
      <c r="AO489" s="1350"/>
      <c r="AP489" s="1350"/>
      <c r="AQ489" s="1350"/>
      <c r="AR489" s="1350"/>
      <c r="AS489" s="1350"/>
      <c r="AT489" s="1350"/>
      <c r="AU489" s="1350"/>
      <c r="AV489" s="1350"/>
      <c r="AW489" s="1350"/>
      <c r="AX489" s="1350"/>
      <c r="AY489" s="1350"/>
      <c r="AZ489" s="1350"/>
      <c r="BA489" s="1070"/>
      <c r="BB489" s="1070"/>
      <c r="BC489" s="1070"/>
      <c r="BD489" s="1070"/>
      <c r="BE489" s="1070"/>
      <c r="BF489" s="1070"/>
      <c r="BG489" s="1070"/>
      <c r="BH489" s="1070"/>
      <c r="BI489" s="1070"/>
      <c r="BJ489" s="1070"/>
      <c r="BK489" s="1070"/>
      <c r="BL489" s="1070"/>
      <c r="BM489" s="1070"/>
      <c r="BN489" s="1070"/>
      <c r="BO489" s="1070"/>
      <c r="BP489" s="1070"/>
      <c r="BQ489" s="1070"/>
      <c r="BR489" s="1070"/>
      <c r="BS489" s="1070"/>
      <c r="BT489" s="1070"/>
      <c r="BU489" s="1070"/>
      <c r="BV489" s="1070"/>
      <c r="BW489" s="1070"/>
      <c r="BX489" s="1070"/>
      <c r="BY489" s="1070"/>
      <c r="BZ489" s="1070"/>
      <c r="CA489" s="1070"/>
      <c r="CB489" s="1070"/>
      <c r="CC489" s="1070"/>
      <c r="CD489" s="1070"/>
      <c r="CE489" s="1070"/>
      <c r="CF489" s="1070"/>
      <c r="CG489" s="1070"/>
      <c r="CH489" s="1070"/>
      <c r="CI489" s="1070"/>
      <c r="CJ489" s="1070"/>
      <c r="CK489" s="1070"/>
      <c r="CL489" s="1070"/>
      <c r="CM489" s="1070"/>
      <c r="CN489" s="1070"/>
      <c r="CO489" s="1070"/>
      <c r="CP489" s="1070"/>
      <c r="CQ489" s="1070"/>
      <c r="CR489" s="1070"/>
      <c r="CS489" s="1070"/>
      <c r="CT489" s="1070"/>
      <c r="CU489" s="1070"/>
      <c r="CV489" s="1070"/>
      <c r="CW489" s="1070"/>
      <c r="CX489" s="1070"/>
      <c r="CY489" s="1070"/>
      <c r="CZ489" s="1070"/>
      <c r="DA489" s="1070"/>
      <c r="DB489" s="1070"/>
      <c r="DC489" s="1070"/>
      <c r="DD489" s="1070"/>
      <c r="DE489" s="1070"/>
      <c r="DF489" s="1070"/>
      <c r="DG489" s="1070"/>
      <c r="DH489" s="1070"/>
      <c r="DI489" s="1070"/>
      <c r="DJ489" s="1070"/>
    </row>
    <row r="490" spans="1:114" s="1136" customFormat="1" ht="31.5" x14ac:dyDescent="0.25">
      <c r="A490" s="1420" t="s">
        <v>3969</v>
      </c>
      <c r="B490" s="1423">
        <f>IF(B489=1,0.9,1)</f>
        <v>1</v>
      </c>
      <c r="C490" s="1429"/>
      <c r="D490" s="1429"/>
      <c r="E490" s="1429"/>
      <c r="F490" s="1429"/>
      <c r="G490" s="1429"/>
      <c r="H490" s="1350"/>
      <c r="I490" s="1350"/>
      <c r="J490" s="1350"/>
      <c r="K490" s="1070"/>
      <c r="L490" s="1070"/>
      <c r="M490" s="1070"/>
      <c r="N490" s="1070"/>
      <c r="O490" s="1070"/>
      <c r="P490" s="1070"/>
      <c r="Q490" s="1070"/>
      <c r="R490" s="1070"/>
      <c r="S490" s="1070"/>
      <c r="T490" s="1070"/>
      <c r="U490" s="1070"/>
      <c r="V490" s="1070"/>
      <c r="W490" s="1070"/>
      <c r="X490" s="1070"/>
      <c r="Y490" s="1070"/>
      <c r="Z490" s="1070"/>
      <c r="AA490" s="1070"/>
      <c r="AB490" s="1070"/>
      <c r="AC490" s="1070"/>
      <c r="AD490" s="1070"/>
      <c r="AE490" s="1070"/>
      <c r="AF490" s="1070"/>
      <c r="AG490" s="1070"/>
      <c r="AH490" s="1070"/>
      <c r="AI490" s="1350"/>
      <c r="AJ490" s="1350"/>
      <c r="AK490" s="1350"/>
      <c r="AL490" s="1350"/>
      <c r="AM490" s="1350"/>
      <c r="AN490" s="1350"/>
      <c r="AO490" s="1350"/>
      <c r="AP490" s="1350"/>
      <c r="AQ490" s="1350"/>
      <c r="AR490" s="1350"/>
      <c r="AS490" s="1350"/>
      <c r="AT490" s="1350"/>
      <c r="AU490" s="1350"/>
      <c r="AV490" s="1350"/>
      <c r="AW490" s="1350"/>
      <c r="AX490" s="1350"/>
      <c r="AY490" s="1350"/>
      <c r="AZ490" s="1350"/>
      <c r="BA490" s="1070"/>
      <c r="BB490" s="1070"/>
      <c r="BC490" s="1070"/>
      <c r="BD490" s="1070"/>
      <c r="BE490" s="1070"/>
      <c r="BF490" s="1070"/>
      <c r="BG490" s="1070"/>
      <c r="BH490" s="1070"/>
      <c r="BI490" s="1070"/>
      <c r="BJ490" s="1070"/>
      <c r="BK490" s="1070"/>
      <c r="BL490" s="1070"/>
      <c r="BM490" s="1070"/>
      <c r="BN490" s="1070"/>
      <c r="BO490" s="1070"/>
      <c r="BP490" s="1070"/>
      <c r="BQ490" s="1070"/>
      <c r="BR490" s="1070"/>
      <c r="BS490" s="1070"/>
      <c r="BT490" s="1070"/>
      <c r="BU490" s="1070"/>
      <c r="BV490" s="1070"/>
      <c r="BW490" s="1070"/>
      <c r="BX490" s="1070"/>
      <c r="BY490" s="1070"/>
      <c r="BZ490" s="1070"/>
      <c r="CA490" s="1070"/>
      <c r="CB490" s="1070"/>
      <c r="CC490" s="1070"/>
      <c r="CD490" s="1070"/>
      <c r="CE490" s="1070"/>
      <c r="CF490" s="1070"/>
      <c r="CG490" s="1070"/>
      <c r="CH490" s="1070"/>
      <c r="CI490" s="1070"/>
      <c r="CJ490" s="1070"/>
      <c r="CK490" s="1070"/>
      <c r="CL490" s="1070"/>
      <c r="CM490" s="1070"/>
      <c r="CN490" s="1070"/>
      <c r="CO490" s="1070"/>
      <c r="CP490" s="1070"/>
      <c r="CQ490" s="1070"/>
      <c r="CR490" s="1070"/>
      <c r="CS490" s="1070"/>
      <c r="CT490" s="1070"/>
      <c r="CU490" s="1070"/>
      <c r="CV490" s="1070"/>
      <c r="CW490" s="1070"/>
      <c r="CX490" s="1070"/>
      <c r="CY490" s="1070"/>
      <c r="CZ490" s="1070"/>
      <c r="DA490" s="1070"/>
      <c r="DB490" s="1070"/>
      <c r="DC490" s="1070"/>
      <c r="DD490" s="1070"/>
      <c r="DE490" s="1070"/>
      <c r="DF490" s="1070"/>
      <c r="DG490" s="1070"/>
      <c r="DH490" s="1070"/>
      <c r="DI490" s="1070"/>
      <c r="DJ490" s="1070"/>
    </row>
    <row r="491" spans="1:114" s="1136" customFormat="1" ht="63" x14ac:dyDescent="0.25">
      <c r="A491" s="1471" t="s">
        <v>1335</v>
      </c>
      <c r="B491" s="1469">
        <v>0</v>
      </c>
      <c r="C491" s="1470"/>
      <c r="D491" s="1470"/>
      <c r="E491" s="1470"/>
      <c r="F491" s="1470"/>
      <c r="G491" s="1470"/>
      <c r="H491" s="1350"/>
      <c r="I491" s="1350"/>
      <c r="J491" s="1350"/>
      <c r="K491" s="1350"/>
      <c r="L491" s="1350"/>
      <c r="M491" s="1350"/>
      <c r="N491" s="1350"/>
      <c r="O491" s="1350"/>
      <c r="P491" s="1350"/>
      <c r="Q491" s="1350"/>
      <c r="R491" s="1350"/>
      <c r="S491" s="1350"/>
      <c r="T491" s="1350"/>
      <c r="U491" s="1350"/>
      <c r="V491" s="1350"/>
      <c r="W491" s="1350"/>
      <c r="X491" s="1350"/>
      <c r="Y491" s="1350"/>
      <c r="Z491" s="1350"/>
      <c r="AA491" s="1350"/>
      <c r="AB491" s="1350"/>
      <c r="AC491" s="1350"/>
      <c r="AD491" s="1350"/>
      <c r="AE491" s="1350"/>
      <c r="AF491" s="1350"/>
      <c r="AG491" s="1350"/>
      <c r="AH491" s="1350"/>
      <c r="AI491" s="1350"/>
      <c r="AJ491" s="1350"/>
      <c r="AK491" s="1350"/>
      <c r="AL491" s="1350"/>
      <c r="AM491" s="1350"/>
      <c r="AN491" s="1350"/>
      <c r="AO491" s="1350"/>
      <c r="AP491" s="1350"/>
      <c r="AQ491" s="1350"/>
      <c r="AR491" s="1350"/>
      <c r="AS491" s="1350"/>
      <c r="AT491" s="1350"/>
      <c r="AU491" s="1350"/>
      <c r="AV491" s="1350"/>
      <c r="AW491" s="1350"/>
      <c r="AX491" s="1350"/>
      <c r="AY491" s="1350"/>
      <c r="AZ491" s="1350"/>
      <c r="BA491" s="1070"/>
      <c r="BB491" s="1070"/>
      <c r="BC491" s="1070"/>
      <c r="BD491" s="1070"/>
      <c r="BE491" s="1070"/>
      <c r="BF491" s="1070"/>
      <c r="BG491" s="1070"/>
      <c r="BH491" s="1070"/>
      <c r="BI491" s="1070"/>
      <c r="BJ491" s="1070"/>
      <c r="BK491" s="1070"/>
      <c r="BL491" s="1070"/>
      <c r="BM491" s="1070"/>
      <c r="BN491" s="1070"/>
      <c r="BO491" s="1070"/>
      <c r="BP491" s="1070"/>
      <c r="BQ491" s="1070"/>
      <c r="BR491" s="1070"/>
      <c r="BS491" s="1070"/>
      <c r="BT491" s="1070"/>
      <c r="BU491" s="1070"/>
      <c r="BV491" s="1070"/>
      <c r="BW491" s="1070"/>
      <c r="BX491" s="1070"/>
      <c r="BY491" s="1070"/>
      <c r="BZ491" s="1070"/>
      <c r="CA491" s="1070"/>
      <c r="CB491" s="1070"/>
      <c r="CC491" s="1070"/>
      <c r="CD491" s="1070"/>
      <c r="CE491" s="1070"/>
      <c r="CF491" s="1070"/>
      <c r="CG491" s="1070"/>
      <c r="CH491" s="1070"/>
      <c r="CI491" s="1070"/>
      <c r="CJ491" s="1070"/>
      <c r="CK491" s="1070"/>
      <c r="CL491" s="1070"/>
      <c r="CM491" s="1070"/>
      <c r="CN491" s="1070"/>
      <c r="CO491" s="1070"/>
      <c r="CP491" s="1070"/>
      <c r="CQ491" s="1070"/>
      <c r="CR491" s="1070"/>
      <c r="CS491" s="1070"/>
      <c r="CT491" s="1070"/>
      <c r="CU491" s="1070"/>
      <c r="CV491" s="1070"/>
      <c r="CW491" s="1070"/>
      <c r="CX491" s="1070"/>
      <c r="CY491" s="1070"/>
      <c r="CZ491" s="1070"/>
      <c r="DA491" s="1070"/>
      <c r="DB491" s="1070"/>
      <c r="DC491" s="1070"/>
      <c r="DD491" s="1070"/>
      <c r="DE491" s="1070"/>
      <c r="DF491" s="1070"/>
      <c r="DG491" s="1070"/>
      <c r="DH491" s="1070"/>
      <c r="DI491" s="1070"/>
      <c r="DJ491" s="1070"/>
    </row>
    <row r="492" spans="1:114" s="1136" customFormat="1" ht="15.75" x14ac:dyDescent="0.25">
      <c r="A492" s="1420" t="s">
        <v>1336</v>
      </c>
      <c r="B492" s="1433">
        <f>IF(B491=1,0.95,1)</f>
        <v>1</v>
      </c>
      <c r="C492" s="1437"/>
      <c r="D492" s="1437"/>
      <c r="E492" s="1437"/>
      <c r="F492" s="1437"/>
      <c r="G492" s="1437"/>
      <c r="H492" s="1350"/>
      <c r="I492" s="1350"/>
      <c r="J492" s="1350"/>
      <c r="K492" s="1350"/>
      <c r="L492" s="1350"/>
      <c r="M492" s="1350"/>
      <c r="N492" s="1350"/>
      <c r="O492" s="1350"/>
      <c r="P492" s="1350"/>
      <c r="Q492" s="1350"/>
      <c r="R492" s="1350"/>
      <c r="S492" s="1350"/>
      <c r="T492" s="1350"/>
      <c r="U492" s="1350"/>
      <c r="V492" s="1350"/>
      <c r="W492" s="1350"/>
      <c r="X492" s="1350"/>
      <c r="Y492" s="1350"/>
      <c r="Z492" s="1350"/>
      <c r="AA492" s="1350"/>
      <c r="AB492" s="1350"/>
      <c r="AC492" s="1350"/>
      <c r="AD492" s="1350"/>
      <c r="AE492" s="1350"/>
      <c r="AF492" s="1350"/>
      <c r="AG492" s="1350"/>
      <c r="AH492" s="1350"/>
      <c r="AI492" s="1350"/>
      <c r="AJ492" s="1350"/>
      <c r="AK492" s="1350"/>
      <c r="AL492" s="1350"/>
      <c r="AM492" s="1350"/>
      <c r="AN492" s="1350"/>
      <c r="AO492" s="1350"/>
      <c r="AP492" s="1350"/>
      <c r="AQ492" s="1350"/>
      <c r="AR492" s="1350"/>
      <c r="AS492" s="1350"/>
      <c r="AT492" s="1350"/>
      <c r="AU492" s="1350"/>
      <c r="AV492" s="1350"/>
      <c r="AW492" s="1350"/>
      <c r="AX492" s="1350"/>
      <c r="AY492" s="1350"/>
      <c r="AZ492" s="1350"/>
      <c r="BA492" s="1070"/>
      <c r="BB492" s="1070"/>
      <c r="BC492" s="1070"/>
      <c r="BD492" s="1070"/>
      <c r="BE492" s="1070"/>
      <c r="BF492" s="1070"/>
      <c r="BG492" s="1070"/>
      <c r="BH492" s="1070"/>
      <c r="BI492" s="1070"/>
      <c r="BJ492" s="1070"/>
      <c r="BK492" s="1070"/>
      <c r="BL492" s="1070"/>
      <c r="BM492" s="1070"/>
      <c r="BN492" s="1070"/>
      <c r="BO492" s="1070"/>
      <c r="BP492" s="1070"/>
      <c r="BQ492" s="1070"/>
      <c r="BR492" s="1070"/>
      <c r="BS492" s="1070"/>
      <c r="BT492" s="1070"/>
      <c r="BU492" s="1070"/>
      <c r="BV492" s="1070"/>
      <c r="BW492" s="1070"/>
      <c r="BX492" s="1070"/>
      <c r="BY492" s="1070"/>
      <c r="BZ492" s="1070"/>
      <c r="CA492" s="1070"/>
      <c r="CB492" s="1070"/>
      <c r="CC492" s="1070"/>
      <c r="CD492" s="1070"/>
      <c r="CE492" s="1070"/>
      <c r="CF492" s="1070"/>
      <c r="CG492" s="1070"/>
      <c r="CH492" s="1070"/>
      <c r="CI492" s="1070"/>
      <c r="CJ492" s="1070"/>
      <c r="CK492" s="1070"/>
      <c r="CL492" s="1070"/>
      <c r="CM492" s="1070"/>
      <c r="CN492" s="1070"/>
      <c r="CO492" s="1070"/>
      <c r="CP492" s="1070"/>
      <c r="CQ492" s="1070"/>
      <c r="CR492" s="1070"/>
      <c r="CS492" s="1070"/>
      <c r="CT492" s="1070"/>
      <c r="CU492" s="1070"/>
      <c r="CV492" s="1070"/>
      <c r="CW492" s="1070"/>
      <c r="CX492" s="1070"/>
      <c r="CY492" s="1070"/>
      <c r="CZ492" s="1070"/>
      <c r="DA492" s="1070"/>
      <c r="DB492" s="1070"/>
      <c r="DC492" s="1070"/>
      <c r="DD492" s="1070"/>
      <c r="DE492" s="1070"/>
      <c r="DF492" s="1070"/>
      <c r="DG492" s="1070"/>
      <c r="DH492" s="1070"/>
      <c r="DI492" s="1070"/>
      <c r="DJ492" s="1070"/>
    </row>
    <row r="493" spans="1:114" s="1136" customFormat="1" ht="15.75" x14ac:dyDescent="0.25">
      <c r="A493" s="1430" t="s">
        <v>1</v>
      </c>
      <c r="B493" s="1433" t="e">
        <f>B476*B486*B488*B490*B492*B377</f>
        <v>#VALUE!</v>
      </c>
      <c r="C493" s="1437"/>
      <c r="D493" s="1437"/>
      <c r="E493" s="1437"/>
      <c r="F493" s="1437"/>
      <c r="G493" s="1437"/>
      <c r="H493" s="1350"/>
      <c r="I493" s="1350"/>
      <c r="J493" s="1350"/>
      <c r="K493" s="1350"/>
      <c r="L493" s="1350"/>
      <c r="M493" s="1350"/>
      <c r="N493" s="1350"/>
      <c r="O493" s="1350"/>
      <c r="P493" s="1350"/>
      <c r="Q493" s="1350"/>
      <c r="R493" s="1350"/>
      <c r="S493" s="1350"/>
      <c r="T493" s="1350"/>
      <c r="U493" s="1350"/>
      <c r="V493" s="1350"/>
      <c r="W493" s="1350"/>
      <c r="X493" s="1350"/>
      <c r="Y493" s="1350"/>
      <c r="Z493" s="1350"/>
      <c r="AA493" s="1350"/>
      <c r="AB493" s="1350"/>
      <c r="AC493" s="1350"/>
      <c r="AD493" s="1350"/>
      <c r="AE493" s="1350"/>
      <c r="AF493" s="1350"/>
      <c r="AG493" s="1350"/>
      <c r="AH493" s="1350"/>
      <c r="AI493" s="1350"/>
      <c r="AJ493" s="1350"/>
      <c r="AK493" s="1350"/>
      <c r="AL493" s="1350"/>
      <c r="AM493" s="1350"/>
      <c r="AN493" s="1350"/>
      <c r="AO493" s="1350"/>
      <c r="AP493" s="1350"/>
      <c r="AQ493" s="1350"/>
      <c r="AR493" s="1350"/>
      <c r="AS493" s="1350"/>
      <c r="AT493" s="1350"/>
      <c r="AU493" s="1350"/>
      <c r="AV493" s="1350"/>
      <c r="AW493" s="1350"/>
      <c r="AX493" s="1350"/>
      <c r="AY493" s="1350"/>
      <c r="AZ493" s="1350"/>
      <c r="BA493" s="1070"/>
      <c r="BB493" s="1070"/>
      <c r="BC493" s="1070"/>
      <c r="BD493" s="1070"/>
      <c r="BE493" s="1070"/>
      <c r="BF493" s="1070"/>
      <c r="BG493" s="1070"/>
      <c r="BH493" s="1070"/>
      <c r="BI493" s="1070"/>
      <c r="BJ493" s="1070"/>
      <c r="BK493" s="1070"/>
      <c r="BL493" s="1070"/>
      <c r="BM493" s="1070"/>
      <c r="BN493" s="1070"/>
      <c r="BO493" s="1070"/>
      <c r="BP493" s="1070"/>
      <c r="BQ493" s="1070"/>
      <c r="BR493" s="1070"/>
      <c r="BS493" s="1070"/>
      <c r="BT493" s="1070"/>
      <c r="BU493" s="1070"/>
      <c r="BV493" s="1070"/>
      <c r="BW493" s="1070"/>
      <c r="BX493" s="1070"/>
      <c r="BY493" s="1070"/>
      <c r="BZ493" s="1070"/>
      <c r="CA493" s="1070"/>
      <c r="CB493" s="1070"/>
      <c r="CC493" s="1070"/>
      <c r="CD493" s="1070"/>
      <c r="CE493" s="1070"/>
      <c r="CF493" s="1070"/>
      <c r="CG493" s="1070"/>
      <c r="CH493" s="1070"/>
      <c r="CI493" s="1070"/>
      <c r="CJ493" s="1070"/>
      <c r="CK493" s="1070"/>
      <c r="CL493" s="1070"/>
      <c r="CM493" s="1070"/>
      <c r="CN493" s="1070"/>
      <c r="CO493" s="1070"/>
      <c r="CP493" s="1070"/>
      <c r="CQ493" s="1070"/>
      <c r="CR493" s="1070"/>
      <c r="CS493" s="1070"/>
      <c r="CT493" s="1070"/>
      <c r="CU493" s="1070"/>
      <c r="CV493" s="1070"/>
      <c r="CW493" s="1070"/>
      <c r="CX493" s="1070"/>
      <c r="CY493" s="1070"/>
      <c r="CZ493" s="1070"/>
      <c r="DA493" s="1070"/>
      <c r="DB493" s="1070"/>
      <c r="DC493" s="1070"/>
      <c r="DD493" s="1070"/>
      <c r="DE493" s="1070"/>
      <c r="DF493" s="1070"/>
      <c r="DG493" s="1070"/>
      <c r="DH493" s="1070"/>
      <c r="DI493" s="1070"/>
      <c r="DJ493" s="1070"/>
    </row>
    <row r="494" spans="1:114" s="1136" customFormat="1" ht="15.75" x14ac:dyDescent="0.25">
      <c r="A494" s="1430" t="s">
        <v>429</v>
      </c>
      <c r="B494" s="1428" t="e">
        <f>B474/B493</f>
        <v>#VALUE!</v>
      </c>
      <c r="C494" s="1432"/>
      <c r="D494" s="1432"/>
      <c r="E494" s="1432"/>
      <c r="F494" s="1432"/>
      <c r="G494" s="1432"/>
      <c r="H494" s="1350"/>
      <c r="I494" s="1350"/>
      <c r="J494" s="1350"/>
      <c r="K494" s="1350"/>
      <c r="L494" s="1350"/>
      <c r="M494" s="1350"/>
      <c r="N494" s="1350"/>
      <c r="O494" s="1350"/>
      <c r="P494" s="1350"/>
      <c r="Q494" s="1350"/>
      <c r="R494" s="1350"/>
      <c r="S494" s="1350"/>
      <c r="T494" s="1350"/>
      <c r="U494" s="1350"/>
      <c r="V494" s="1350"/>
      <c r="W494" s="1350"/>
      <c r="X494" s="1350"/>
      <c r="Y494" s="1350"/>
      <c r="Z494" s="1350"/>
      <c r="AA494" s="1350"/>
      <c r="AB494" s="1350"/>
      <c r="AC494" s="1350"/>
      <c r="AD494" s="1350"/>
      <c r="AE494" s="1350"/>
      <c r="AF494" s="1350"/>
      <c r="AG494" s="1350"/>
      <c r="AH494" s="1350"/>
      <c r="AI494" s="1350"/>
      <c r="AJ494" s="1350"/>
      <c r="AK494" s="1350"/>
      <c r="AL494" s="1350"/>
      <c r="AM494" s="1350"/>
      <c r="AN494" s="1350"/>
      <c r="AO494" s="1350"/>
      <c r="AP494" s="1350"/>
      <c r="AQ494" s="1350"/>
      <c r="AR494" s="1350"/>
      <c r="AS494" s="1350"/>
      <c r="AT494" s="1350"/>
      <c r="AU494" s="1350"/>
      <c r="AV494" s="1350"/>
      <c r="AW494" s="1350"/>
      <c r="AX494" s="1350"/>
      <c r="AY494" s="1350"/>
      <c r="AZ494" s="1350"/>
      <c r="BA494" s="1070"/>
      <c r="BB494" s="1070"/>
      <c r="BC494" s="1070"/>
      <c r="BD494" s="1070"/>
      <c r="BE494" s="1070"/>
      <c r="BF494" s="1070"/>
      <c r="BG494" s="1070"/>
      <c r="BH494" s="1070"/>
      <c r="BI494" s="1070"/>
      <c r="BJ494" s="1070"/>
      <c r="BK494" s="1070"/>
      <c r="BL494" s="1070"/>
      <c r="BM494" s="1070"/>
      <c r="BN494" s="1070"/>
      <c r="BO494" s="1070"/>
      <c r="BP494" s="1070"/>
      <c r="BQ494" s="1070"/>
      <c r="BR494" s="1070"/>
      <c r="BS494" s="1070"/>
      <c r="BT494" s="1070"/>
      <c r="BU494" s="1070"/>
      <c r="BV494" s="1070"/>
      <c r="BW494" s="1070"/>
      <c r="BX494" s="1070"/>
      <c r="BY494" s="1070"/>
      <c r="BZ494" s="1070"/>
      <c r="CA494" s="1070"/>
      <c r="CB494" s="1070"/>
      <c r="CC494" s="1070"/>
      <c r="CD494" s="1070"/>
      <c r="CE494" s="1070"/>
      <c r="CF494" s="1070"/>
      <c r="CG494" s="1070"/>
      <c r="CH494" s="1070"/>
      <c r="CI494" s="1070"/>
      <c r="CJ494" s="1070"/>
      <c r="CK494" s="1070"/>
      <c r="CL494" s="1070"/>
      <c r="CM494" s="1070"/>
      <c r="CN494" s="1070"/>
      <c r="CO494" s="1070"/>
      <c r="CP494" s="1070"/>
      <c r="CQ494" s="1070"/>
      <c r="CR494" s="1070"/>
      <c r="CS494" s="1070"/>
      <c r="CT494" s="1070"/>
      <c r="CU494" s="1070"/>
      <c r="CV494" s="1070"/>
      <c r="CW494" s="1070"/>
      <c r="CX494" s="1070"/>
      <c r="CY494" s="1070"/>
      <c r="CZ494" s="1070"/>
      <c r="DA494" s="1070"/>
      <c r="DB494" s="1070"/>
      <c r="DC494" s="1070"/>
      <c r="DD494" s="1070"/>
      <c r="DE494" s="1070"/>
      <c r="DF494" s="1070"/>
      <c r="DG494" s="1070"/>
      <c r="DH494" s="1070"/>
      <c r="DI494" s="1070"/>
      <c r="DJ494" s="1070"/>
    </row>
    <row r="495" spans="1:114" s="1136" customFormat="1" ht="15.75" x14ac:dyDescent="0.25">
      <c r="A495" s="1466" t="s">
        <v>831</v>
      </c>
      <c r="B495" s="1459">
        <f>IF(B216=2,B494,0)</f>
        <v>0</v>
      </c>
      <c r="C495" s="1454"/>
      <c r="D495" s="1454"/>
      <c r="E495" s="1454"/>
      <c r="F495" s="1454"/>
      <c r="G495" s="1454"/>
      <c r="H495" s="1350"/>
      <c r="I495" s="1350"/>
      <c r="J495" s="1350"/>
      <c r="K495" s="1350"/>
      <c r="L495" s="1350"/>
      <c r="M495" s="1350"/>
      <c r="N495" s="1350"/>
      <c r="O495" s="1350"/>
      <c r="P495" s="1350"/>
      <c r="Q495" s="1350"/>
      <c r="R495" s="1350"/>
      <c r="S495" s="1350"/>
      <c r="T495" s="1350"/>
      <c r="U495" s="1350"/>
      <c r="V495" s="1350"/>
      <c r="W495" s="1350"/>
      <c r="X495" s="1350"/>
      <c r="Y495" s="1350"/>
      <c r="Z495" s="1350"/>
      <c r="AA495" s="1350"/>
      <c r="AB495" s="1350"/>
      <c r="AC495" s="1350"/>
      <c r="AD495" s="1350"/>
      <c r="AE495" s="1350"/>
      <c r="AF495" s="1350"/>
      <c r="AG495" s="1350"/>
      <c r="AH495" s="1350"/>
      <c r="AI495" s="1350"/>
      <c r="AJ495" s="1350"/>
      <c r="AK495" s="1350"/>
      <c r="AL495" s="1350"/>
      <c r="AM495" s="1350"/>
      <c r="AN495" s="1350"/>
      <c r="AO495" s="1350"/>
      <c r="AP495" s="1350"/>
      <c r="AQ495" s="1350"/>
      <c r="AR495" s="1350"/>
      <c r="AS495" s="1350"/>
      <c r="AT495" s="1350"/>
      <c r="AU495" s="1350"/>
      <c r="AV495" s="1350"/>
      <c r="AW495" s="1350"/>
      <c r="AX495" s="1350"/>
      <c r="AY495" s="1350"/>
      <c r="AZ495" s="1350"/>
      <c r="BA495" s="1070"/>
      <c r="BB495" s="1070"/>
      <c r="BC495" s="1070"/>
      <c r="BD495" s="1070"/>
      <c r="BE495" s="1070"/>
      <c r="BF495" s="1070"/>
      <c r="BG495" s="1070"/>
      <c r="BH495" s="1070"/>
      <c r="BI495" s="1070"/>
      <c r="BJ495" s="1070"/>
      <c r="BK495" s="1070"/>
      <c r="BL495" s="1070"/>
      <c r="BM495" s="1070"/>
      <c r="BN495" s="1070"/>
      <c r="BO495" s="1070"/>
      <c r="BP495" s="1070"/>
      <c r="BQ495" s="1070"/>
      <c r="BR495" s="1070"/>
      <c r="BS495" s="1070"/>
      <c r="BT495" s="1070"/>
      <c r="BU495" s="1070"/>
      <c r="BV495" s="1070"/>
      <c r="BW495" s="1070"/>
      <c r="BX495" s="1070"/>
      <c r="BY495" s="1070"/>
      <c r="BZ495" s="1070"/>
      <c r="CA495" s="1070"/>
      <c r="CB495" s="1070"/>
      <c r="CC495" s="1070"/>
      <c r="CD495" s="1070"/>
      <c r="CE495" s="1070"/>
      <c r="CF495" s="1070"/>
      <c r="CG495" s="1070"/>
      <c r="CH495" s="1070"/>
      <c r="CI495" s="1070"/>
      <c r="CJ495" s="1070"/>
      <c r="CK495" s="1070"/>
      <c r="CL495" s="1070"/>
      <c r="CM495" s="1070"/>
      <c r="CN495" s="1070"/>
      <c r="CO495" s="1070"/>
      <c r="CP495" s="1070"/>
      <c r="CQ495" s="1070"/>
      <c r="CR495" s="1070"/>
      <c r="CS495" s="1070"/>
      <c r="CT495" s="1070"/>
      <c r="CU495" s="1070"/>
      <c r="CV495" s="1070"/>
      <c r="CW495" s="1070"/>
      <c r="CX495" s="1070"/>
      <c r="CY495" s="1070"/>
      <c r="CZ495" s="1070"/>
      <c r="DA495" s="1070"/>
      <c r="DB495" s="1070"/>
      <c r="DC495" s="1070"/>
      <c r="DD495" s="1070"/>
      <c r="DE495" s="1070"/>
      <c r="DF495" s="1070"/>
      <c r="DG495" s="1070"/>
      <c r="DH495" s="1070"/>
      <c r="DI495" s="1070"/>
      <c r="DJ495" s="1070"/>
    </row>
    <row r="496" spans="1:114" s="1136" customFormat="1" ht="15.75" x14ac:dyDescent="0.25">
      <c r="A496" s="1472"/>
      <c r="B496" s="1459"/>
      <c r="C496" s="1454"/>
      <c r="D496" s="1454"/>
      <c r="E496" s="1454"/>
      <c r="F496" s="1454"/>
      <c r="G496" s="1454"/>
      <c r="H496" s="1350"/>
      <c r="I496" s="1350"/>
      <c r="J496" s="1350"/>
      <c r="K496" s="1350"/>
      <c r="L496" s="1350"/>
      <c r="M496" s="1350"/>
      <c r="N496" s="1350"/>
      <c r="O496" s="1350"/>
      <c r="P496" s="1350"/>
      <c r="Q496" s="1350"/>
      <c r="R496" s="1350"/>
      <c r="S496" s="1350"/>
      <c r="T496" s="1350"/>
      <c r="U496" s="1350"/>
      <c r="V496" s="1350"/>
      <c r="W496" s="1350"/>
      <c r="X496" s="1350"/>
      <c r="Y496" s="1350"/>
      <c r="Z496" s="1350"/>
      <c r="AA496" s="1350"/>
      <c r="AB496" s="1350"/>
      <c r="AC496" s="1350"/>
      <c r="AD496" s="1350"/>
      <c r="AE496" s="1350"/>
      <c r="AF496" s="1350"/>
      <c r="AG496" s="1350"/>
      <c r="AH496" s="1350"/>
      <c r="AI496" s="1350"/>
      <c r="AJ496" s="1350"/>
      <c r="AK496" s="1350"/>
      <c r="AL496" s="1350"/>
      <c r="AM496" s="1350"/>
      <c r="AN496" s="1350"/>
      <c r="AO496" s="1350"/>
      <c r="AP496" s="1350"/>
      <c r="AQ496" s="1350"/>
      <c r="AR496" s="1350"/>
      <c r="AS496" s="1350"/>
      <c r="AT496" s="1350"/>
      <c r="AU496" s="1350"/>
      <c r="AV496" s="1350"/>
      <c r="AW496" s="1350"/>
      <c r="AX496" s="1350"/>
      <c r="AY496" s="1350"/>
      <c r="AZ496" s="1350"/>
      <c r="BA496" s="1070"/>
      <c r="BB496" s="1070"/>
      <c r="BC496" s="1070"/>
      <c r="BD496" s="1070"/>
      <c r="BE496" s="1070"/>
      <c r="BF496" s="1070"/>
      <c r="BG496" s="1070"/>
      <c r="BH496" s="1070"/>
      <c r="BI496" s="1070"/>
      <c r="BJ496" s="1070"/>
      <c r="BK496" s="1070"/>
      <c r="BL496" s="1070"/>
      <c r="BM496" s="1070"/>
      <c r="BN496" s="1070"/>
      <c r="BO496" s="1070"/>
      <c r="BP496" s="1070"/>
      <c r="BQ496" s="1070"/>
      <c r="BR496" s="1070"/>
      <c r="BS496" s="1070"/>
      <c r="BT496" s="1070"/>
      <c r="BU496" s="1070"/>
      <c r="BV496" s="1070"/>
      <c r="BW496" s="1070"/>
      <c r="BX496" s="1070"/>
      <c r="BY496" s="1070"/>
      <c r="BZ496" s="1070"/>
      <c r="CA496" s="1070"/>
      <c r="CB496" s="1070"/>
      <c r="CC496" s="1070"/>
      <c r="CD496" s="1070"/>
      <c r="CE496" s="1070"/>
      <c r="CF496" s="1070"/>
      <c r="CG496" s="1070"/>
      <c r="CH496" s="1070"/>
      <c r="CI496" s="1070"/>
      <c r="CJ496" s="1070"/>
      <c r="CK496" s="1070"/>
      <c r="CL496" s="1070"/>
      <c r="CM496" s="1070"/>
      <c r="CN496" s="1070"/>
      <c r="CO496" s="1070"/>
      <c r="CP496" s="1070"/>
      <c r="CQ496" s="1070"/>
      <c r="CR496" s="1070"/>
      <c r="CS496" s="1070"/>
      <c r="CT496" s="1070"/>
      <c r="CU496" s="1070"/>
      <c r="CV496" s="1070"/>
      <c r="CW496" s="1070"/>
      <c r="CX496" s="1070"/>
      <c r="CY496" s="1070"/>
      <c r="CZ496" s="1070"/>
      <c r="DA496" s="1070"/>
      <c r="DB496" s="1070"/>
      <c r="DC496" s="1070"/>
      <c r="DD496" s="1070"/>
      <c r="DE496" s="1070"/>
      <c r="DF496" s="1070"/>
      <c r="DG496" s="1070"/>
      <c r="DH496" s="1070"/>
      <c r="DI496" s="1070"/>
      <c r="DJ496" s="1070"/>
    </row>
    <row r="497" spans="1:114" s="1136" customFormat="1" ht="15.75" x14ac:dyDescent="0.25">
      <c r="A497" s="1461" t="s">
        <v>3377</v>
      </c>
      <c r="B497" s="1459"/>
      <c r="C497" s="1454"/>
      <c r="D497" s="1454"/>
      <c r="E497" s="1454"/>
      <c r="F497" s="1454"/>
      <c r="G497" s="1454"/>
      <c r="H497" s="1350"/>
      <c r="I497" s="1350"/>
      <c r="J497" s="1350"/>
      <c r="K497" s="1350"/>
      <c r="L497" s="1350"/>
      <c r="M497" s="1350"/>
      <c r="N497" s="1350"/>
      <c r="O497" s="1350"/>
      <c r="P497" s="1350"/>
      <c r="Q497" s="1350"/>
      <c r="R497" s="1350"/>
      <c r="S497" s="1350"/>
      <c r="T497" s="1350"/>
      <c r="U497" s="1350"/>
      <c r="V497" s="1350"/>
      <c r="W497" s="1350"/>
      <c r="X497" s="1350"/>
      <c r="Y497" s="1350"/>
      <c r="Z497" s="1350"/>
      <c r="AA497" s="1350"/>
      <c r="AB497" s="1350"/>
      <c r="AC497" s="1350"/>
      <c r="AD497" s="1350"/>
      <c r="AE497" s="1350"/>
      <c r="AF497" s="1350"/>
      <c r="AG497" s="1350"/>
      <c r="AH497" s="1350"/>
      <c r="AI497" s="1350"/>
      <c r="AJ497" s="1350"/>
      <c r="AK497" s="1350"/>
      <c r="AL497" s="1350"/>
      <c r="AM497" s="1350"/>
      <c r="AN497" s="1350"/>
      <c r="AO497" s="1350"/>
      <c r="AP497" s="1350"/>
      <c r="AQ497" s="1350"/>
      <c r="AR497" s="1350"/>
      <c r="AS497" s="1350"/>
      <c r="AT497" s="1350"/>
      <c r="AU497" s="1350"/>
      <c r="AV497" s="1350"/>
      <c r="AW497" s="1350"/>
      <c r="AX497" s="1350"/>
      <c r="AY497" s="1350"/>
      <c r="AZ497" s="1350"/>
      <c r="BA497" s="1070"/>
      <c r="BB497" s="1070"/>
      <c r="BC497" s="1070"/>
      <c r="BD497" s="1070"/>
      <c r="BE497" s="1070"/>
      <c r="BF497" s="1070"/>
      <c r="BG497" s="1070"/>
      <c r="BH497" s="1070"/>
      <c r="BI497" s="1070"/>
      <c r="BJ497" s="1070"/>
      <c r="BK497" s="1070"/>
      <c r="BL497" s="1070"/>
      <c r="BM497" s="1070"/>
      <c r="BN497" s="1070"/>
      <c r="BO497" s="1070"/>
      <c r="BP497" s="1070"/>
      <c r="BQ497" s="1070"/>
      <c r="BR497" s="1070"/>
      <c r="BS497" s="1070"/>
      <c r="BT497" s="1070"/>
      <c r="BU497" s="1070"/>
      <c r="BV497" s="1070"/>
      <c r="BW497" s="1070"/>
      <c r="BX497" s="1070"/>
      <c r="BY497" s="1070"/>
      <c r="BZ497" s="1070"/>
      <c r="CA497" s="1070"/>
      <c r="CB497" s="1070"/>
      <c r="CC497" s="1070"/>
      <c r="CD497" s="1070"/>
      <c r="CE497" s="1070"/>
      <c r="CF497" s="1070"/>
      <c r="CG497" s="1070"/>
      <c r="CH497" s="1070"/>
      <c r="CI497" s="1070"/>
      <c r="CJ497" s="1070"/>
      <c r="CK497" s="1070"/>
      <c r="CL497" s="1070"/>
      <c r="CM497" s="1070"/>
      <c r="CN497" s="1070"/>
      <c r="CO497" s="1070"/>
      <c r="CP497" s="1070"/>
      <c r="CQ497" s="1070"/>
      <c r="CR497" s="1070"/>
      <c r="CS497" s="1070"/>
      <c r="CT497" s="1070"/>
      <c r="CU497" s="1070"/>
      <c r="CV497" s="1070"/>
      <c r="CW497" s="1070"/>
      <c r="CX497" s="1070"/>
      <c r="CY497" s="1070"/>
      <c r="CZ497" s="1070"/>
      <c r="DA497" s="1070"/>
      <c r="DB497" s="1070"/>
      <c r="DC497" s="1070"/>
      <c r="DD497" s="1070"/>
      <c r="DE497" s="1070"/>
      <c r="DF497" s="1070"/>
      <c r="DG497" s="1070"/>
      <c r="DH497" s="1070"/>
      <c r="DI497" s="1070"/>
      <c r="DJ497" s="1070"/>
    </row>
    <row r="498" spans="1:114" s="1136" customFormat="1" ht="15.75" x14ac:dyDescent="0.25">
      <c r="A498" s="1456" t="s">
        <v>833</v>
      </c>
      <c r="B498" s="1457">
        <v>0.5</v>
      </c>
      <c r="C498" s="1458"/>
      <c r="E498" s="1458"/>
      <c r="F498" s="1458"/>
      <c r="G498" s="1458"/>
      <c r="H498" s="1350"/>
      <c r="I498" s="1350"/>
      <c r="J498" s="1350"/>
      <c r="K498" s="1350"/>
      <c r="L498" s="1350"/>
      <c r="M498" s="1350"/>
      <c r="N498" s="1350"/>
      <c r="O498" s="1350"/>
      <c r="P498" s="1350"/>
      <c r="Q498" s="1350"/>
      <c r="R498" s="1350"/>
      <c r="S498" s="1350"/>
      <c r="T498" s="1350"/>
      <c r="U498" s="1350"/>
      <c r="V498" s="1350"/>
      <c r="W498" s="1350"/>
      <c r="X498" s="1350"/>
      <c r="Y498" s="1350"/>
      <c r="Z498" s="1350"/>
      <c r="AA498" s="1350"/>
      <c r="AB498" s="1350"/>
      <c r="AC498" s="1350"/>
      <c r="AD498" s="1350"/>
      <c r="AE498" s="1350"/>
      <c r="AF498" s="1350"/>
      <c r="AG498" s="1350"/>
      <c r="AH498" s="1350"/>
      <c r="AI498" s="1350"/>
      <c r="AJ498" s="1350"/>
      <c r="AK498" s="1350"/>
      <c r="AL498" s="1350"/>
      <c r="AM498" s="1350"/>
      <c r="AN498" s="1350"/>
      <c r="AO498" s="1350"/>
      <c r="AP498" s="1350"/>
      <c r="AQ498" s="1350"/>
      <c r="AR498" s="1350"/>
      <c r="AS498" s="1350"/>
      <c r="AT498" s="1350"/>
      <c r="AU498" s="1350"/>
      <c r="AV498" s="1350"/>
      <c r="AW498" s="1350"/>
      <c r="AX498" s="1350"/>
      <c r="AY498" s="1350"/>
      <c r="AZ498" s="1350"/>
      <c r="BA498" s="1070"/>
      <c r="BB498" s="1070"/>
      <c r="BC498" s="1070"/>
      <c r="BD498" s="1070"/>
      <c r="BE498" s="1070"/>
      <c r="BF498" s="1070"/>
      <c r="BG498" s="1070"/>
      <c r="BH498" s="1070"/>
      <c r="BI498" s="1070"/>
      <c r="BJ498" s="1070"/>
      <c r="BK498" s="1070"/>
      <c r="BL498" s="1070"/>
      <c r="BM498" s="1070"/>
      <c r="BN498" s="1070"/>
      <c r="BO498" s="1070"/>
      <c r="BP498" s="1070"/>
      <c r="BQ498" s="1070"/>
      <c r="BR498" s="1070"/>
      <c r="BS498" s="1070"/>
      <c r="BT498" s="1070"/>
      <c r="BU498" s="1070"/>
      <c r="BV498" s="1070"/>
      <c r="BW498" s="1070"/>
      <c r="BX498" s="1070"/>
      <c r="BY498" s="1070"/>
      <c r="BZ498" s="1070"/>
      <c r="CA498" s="1070"/>
      <c r="CB498" s="1070"/>
      <c r="CC498" s="1070"/>
      <c r="CD498" s="1070"/>
      <c r="CE498" s="1070"/>
      <c r="CF498" s="1070"/>
      <c r="CG498" s="1070"/>
      <c r="CH498" s="1070"/>
      <c r="CI498" s="1070"/>
      <c r="CJ498" s="1070"/>
      <c r="CK498" s="1070"/>
      <c r="CL498" s="1070"/>
      <c r="CM498" s="1070"/>
      <c r="CN498" s="1070"/>
      <c r="CO498" s="1070"/>
      <c r="CP498" s="1070"/>
      <c r="CQ498" s="1070"/>
      <c r="CR498" s="1070"/>
      <c r="CS498" s="1070"/>
      <c r="CT498" s="1070"/>
      <c r="CU498" s="1070"/>
      <c r="CV498" s="1070"/>
      <c r="CW498" s="1070"/>
      <c r="CX498" s="1070"/>
      <c r="CY498" s="1070"/>
      <c r="CZ498" s="1070"/>
      <c r="DA498" s="1070"/>
      <c r="DB498" s="1070"/>
      <c r="DC498" s="1070"/>
      <c r="DD498" s="1070"/>
      <c r="DE498" s="1070"/>
      <c r="DF498" s="1070"/>
      <c r="DG498" s="1070"/>
      <c r="DH498" s="1070"/>
      <c r="DI498" s="1070"/>
      <c r="DJ498" s="1070"/>
    </row>
    <row r="499" spans="1:114" s="1136" customFormat="1" ht="15.75" x14ac:dyDescent="0.25">
      <c r="A499" s="1430" t="s">
        <v>834</v>
      </c>
      <c r="B499" s="1433" t="e">
        <f>B171*B498*B180</f>
        <v>#VALUE!</v>
      </c>
      <c r="C499" s="1437"/>
      <c r="D499" s="1458"/>
      <c r="E499" s="1437"/>
      <c r="F499" s="1437"/>
      <c r="G499" s="1437"/>
      <c r="H499" s="1350"/>
      <c r="I499" s="1350"/>
      <c r="J499" s="1350"/>
      <c r="K499" s="1350"/>
      <c r="L499" s="1350"/>
      <c r="M499" s="1350"/>
      <c r="N499" s="1350"/>
      <c r="O499" s="1350"/>
      <c r="P499" s="1350"/>
      <c r="Q499" s="1350"/>
      <c r="R499" s="1350"/>
      <c r="S499" s="1350"/>
      <c r="T499" s="1350"/>
      <c r="U499" s="1350"/>
      <c r="V499" s="1350"/>
      <c r="W499" s="1350"/>
      <c r="X499" s="1350"/>
      <c r="Y499" s="1350"/>
      <c r="Z499" s="1350"/>
      <c r="AA499" s="1350"/>
      <c r="AB499" s="1350"/>
      <c r="AC499" s="1350"/>
      <c r="AD499" s="1350"/>
      <c r="AE499" s="1350"/>
      <c r="AF499" s="1350"/>
      <c r="AG499" s="1350"/>
      <c r="AH499" s="1350"/>
      <c r="AI499" s="1350"/>
      <c r="AJ499" s="1350"/>
      <c r="AK499" s="1350"/>
      <c r="AL499" s="1350"/>
      <c r="AM499" s="1350"/>
      <c r="AN499" s="1350"/>
      <c r="AO499" s="1350"/>
      <c r="AP499" s="1350"/>
      <c r="AQ499" s="1350"/>
      <c r="AR499" s="1350"/>
      <c r="AS499" s="1350"/>
      <c r="AT499" s="1350"/>
      <c r="AU499" s="1350"/>
      <c r="AV499" s="1350"/>
      <c r="AW499" s="1350"/>
      <c r="AX499" s="1350"/>
      <c r="AY499" s="1350"/>
      <c r="AZ499" s="1350"/>
      <c r="BA499" s="1070"/>
      <c r="BB499" s="1070"/>
      <c r="BC499" s="1070"/>
      <c r="BD499" s="1070"/>
      <c r="BE499" s="1070"/>
      <c r="BF499" s="1070"/>
      <c r="BG499" s="1070"/>
      <c r="BH499" s="1070"/>
      <c r="BI499" s="1070"/>
      <c r="BJ499" s="1070"/>
      <c r="BK499" s="1070"/>
      <c r="BL499" s="1070"/>
      <c r="BM499" s="1070"/>
      <c r="BN499" s="1070"/>
      <c r="BO499" s="1070"/>
      <c r="BP499" s="1070"/>
      <c r="BQ499" s="1070"/>
      <c r="BR499" s="1070"/>
      <c r="BS499" s="1070"/>
      <c r="BT499" s="1070"/>
      <c r="BU499" s="1070"/>
      <c r="BV499" s="1070"/>
      <c r="BW499" s="1070"/>
      <c r="BX499" s="1070"/>
      <c r="BY499" s="1070"/>
      <c r="BZ499" s="1070"/>
      <c r="CA499" s="1070"/>
      <c r="CB499" s="1070"/>
      <c r="CC499" s="1070"/>
      <c r="CD499" s="1070"/>
      <c r="CE499" s="1070"/>
      <c r="CF499" s="1070"/>
      <c r="CG499" s="1070"/>
      <c r="CH499" s="1070"/>
      <c r="CI499" s="1070"/>
      <c r="CJ499" s="1070"/>
      <c r="CK499" s="1070"/>
      <c r="CL499" s="1070"/>
      <c r="CM499" s="1070"/>
      <c r="CN499" s="1070"/>
      <c r="CO499" s="1070"/>
      <c r="CP499" s="1070"/>
      <c r="CQ499" s="1070"/>
      <c r="CR499" s="1070"/>
      <c r="CS499" s="1070"/>
      <c r="CT499" s="1070"/>
      <c r="CU499" s="1070"/>
      <c r="CV499" s="1070"/>
      <c r="CW499" s="1070"/>
      <c r="CX499" s="1070"/>
      <c r="CY499" s="1070"/>
      <c r="CZ499" s="1070"/>
      <c r="DA499" s="1070"/>
      <c r="DB499" s="1070"/>
      <c r="DC499" s="1070"/>
      <c r="DD499" s="1070"/>
      <c r="DE499" s="1070"/>
      <c r="DF499" s="1070"/>
      <c r="DG499" s="1070"/>
      <c r="DH499" s="1070"/>
      <c r="DI499" s="1070"/>
      <c r="DJ499" s="1070"/>
    </row>
    <row r="500" spans="1:114" s="1136" customFormat="1" ht="15.75" x14ac:dyDescent="0.25">
      <c r="A500" s="1417" t="s">
        <v>5572</v>
      </c>
      <c r="B500" s="1431">
        <f>B475</f>
        <v>3</v>
      </c>
      <c r="C500" s="1434"/>
      <c r="D500" s="1434"/>
      <c r="E500" s="1434"/>
      <c r="F500" s="1434"/>
      <c r="G500" s="1434"/>
      <c r="H500" s="1350"/>
      <c r="I500" s="1350"/>
      <c r="J500" s="1350"/>
      <c r="K500" s="1350"/>
      <c r="L500" s="1350"/>
      <c r="M500" s="1350"/>
      <c r="N500" s="1350"/>
      <c r="O500" s="1350"/>
      <c r="P500" s="1350"/>
      <c r="Q500" s="1350"/>
      <c r="R500" s="1350"/>
      <c r="S500" s="1350"/>
      <c r="T500" s="1350"/>
      <c r="U500" s="1350"/>
      <c r="V500" s="1350"/>
      <c r="W500" s="1350"/>
      <c r="X500" s="1350"/>
      <c r="Y500" s="1350"/>
      <c r="Z500" s="1350"/>
      <c r="AA500" s="1350"/>
      <c r="AB500" s="1350"/>
      <c r="AC500" s="1350"/>
      <c r="AD500" s="1350"/>
      <c r="AE500" s="1350"/>
      <c r="AF500" s="1350"/>
      <c r="AG500" s="1350"/>
      <c r="AH500" s="1350"/>
      <c r="AI500" s="1350"/>
      <c r="AJ500" s="1350"/>
      <c r="AK500" s="1350"/>
      <c r="AL500" s="1350"/>
      <c r="AM500" s="1350"/>
      <c r="AN500" s="1350"/>
      <c r="AO500" s="1350"/>
      <c r="AP500" s="1350"/>
      <c r="AQ500" s="1350"/>
      <c r="AR500" s="1350"/>
      <c r="AS500" s="1350"/>
      <c r="AT500" s="1350"/>
      <c r="AU500" s="1350"/>
      <c r="AV500" s="1350"/>
      <c r="AW500" s="1350"/>
      <c r="AX500" s="1350"/>
      <c r="AY500" s="1350"/>
      <c r="AZ500" s="1350"/>
      <c r="BA500" s="1070"/>
      <c r="BB500" s="1070"/>
      <c r="BC500" s="1070"/>
      <c r="BD500" s="1070"/>
      <c r="BE500" s="1070"/>
      <c r="BF500" s="1070"/>
      <c r="BG500" s="1070"/>
      <c r="BH500" s="1070"/>
      <c r="BI500" s="1070"/>
      <c r="BJ500" s="1070"/>
      <c r="BK500" s="1070"/>
      <c r="BL500" s="1070"/>
      <c r="BM500" s="1070"/>
      <c r="BN500" s="1070"/>
      <c r="BO500" s="1070"/>
      <c r="BP500" s="1070"/>
      <c r="BQ500" s="1070"/>
      <c r="BR500" s="1070"/>
      <c r="BS500" s="1070"/>
      <c r="BT500" s="1070"/>
      <c r="BU500" s="1070"/>
      <c r="BV500" s="1070"/>
      <c r="BW500" s="1070"/>
      <c r="BX500" s="1070"/>
      <c r="BY500" s="1070"/>
      <c r="BZ500" s="1070"/>
      <c r="CA500" s="1070"/>
      <c r="CB500" s="1070"/>
      <c r="CC500" s="1070"/>
      <c r="CD500" s="1070"/>
      <c r="CE500" s="1070"/>
      <c r="CF500" s="1070"/>
      <c r="CG500" s="1070"/>
      <c r="CH500" s="1070"/>
      <c r="CI500" s="1070"/>
      <c r="CJ500" s="1070"/>
      <c r="CK500" s="1070"/>
      <c r="CL500" s="1070"/>
      <c r="CM500" s="1070"/>
      <c r="CN500" s="1070"/>
      <c r="CO500" s="1070"/>
      <c r="CP500" s="1070"/>
      <c r="CQ500" s="1070"/>
      <c r="CR500" s="1070"/>
      <c r="CS500" s="1070"/>
      <c r="CT500" s="1070"/>
      <c r="CU500" s="1070"/>
      <c r="CV500" s="1070"/>
      <c r="CW500" s="1070"/>
      <c r="CX500" s="1070"/>
      <c r="CY500" s="1070"/>
      <c r="CZ500" s="1070"/>
      <c r="DA500" s="1070"/>
      <c r="DB500" s="1070"/>
      <c r="DC500" s="1070"/>
      <c r="DD500" s="1070"/>
      <c r="DE500" s="1070"/>
      <c r="DF500" s="1070"/>
      <c r="DG500" s="1070"/>
      <c r="DH500" s="1070"/>
      <c r="DI500" s="1070"/>
      <c r="DJ500" s="1070"/>
    </row>
    <row r="501" spans="1:114" s="1136" customFormat="1" ht="15.75" x14ac:dyDescent="0.25">
      <c r="A501" s="1430" t="s">
        <v>425</v>
      </c>
      <c r="B501" s="1423">
        <f>B476</f>
        <v>158</v>
      </c>
      <c r="C501" s="1429"/>
      <c r="D501" s="1429"/>
      <c r="E501" s="1429"/>
      <c r="F501" s="1429"/>
      <c r="G501" s="1429"/>
      <c r="H501" s="1350"/>
      <c r="I501" s="1350"/>
      <c r="J501" s="1350"/>
      <c r="K501" s="1350"/>
      <c r="L501" s="1350"/>
      <c r="M501" s="1350"/>
      <c r="N501" s="1350"/>
      <c r="O501" s="1350"/>
      <c r="P501" s="1350"/>
      <c r="Q501" s="1350"/>
      <c r="R501" s="1350"/>
      <c r="S501" s="1350"/>
      <c r="T501" s="1350"/>
      <c r="U501" s="1350"/>
      <c r="V501" s="1350"/>
      <c r="W501" s="1350"/>
      <c r="X501" s="1350"/>
      <c r="Y501" s="1350"/>
      <c r="Z501" s="1350"/>
      <c r="AA501" s="1350"/>
      <c r="AB501" s="1350"/>
      <c r="AC501" s="1350"/>
      <c r="AD501" s="1350"/>
      <c r="AE501" s="1350"/>
      <c r="AF501" s="1350"/>
      <c r="AG501" s="1350"/>
      <c r="AH501" s="1350"/>
      <c r="AI501" s="1350"/>
      <c r="AJ501" s="1350"/>
      <c r="AK501" s="1350"/>
      <c r="AL501" s="1350"/>
      <c r="AM501" s="1350"/>
      <c r="AN501" s="1350"/>
      <c r="AO501" s="1350"/>
      <c r="AP501" s="1350"/>
      <c r="AQ501" s="1350"/>
      <c r="AR501" s="1350"/>
      <c r="AS501" s="1350"/>
      <c r="AT501" s="1350"/>
      <c r="AU501" s="1350"/>
      <c r="AV501" s="1350"/>
      <c r="AW501" s="1350"/>
      <c r="AX501" s="1350"/>
      <c r="AY501" s="1350"/>
      <c r="AZ501" s="1350"/>
      <c r="BA501" s="1070"/>
      <c r="BB501" s="1070"/>
      <c r="BC501" s="1070"/>
      <c r="BD501" s="1070"/>
      <c r="BE501" s="1070"/>
      <c r="BF501" s="1070"/>
      <c r="BG501" s="1070"/>
      <c r="BH501" s="1070"/>
      <c r="BI501" s="1070"/>
      <c r="BJ501" s="1070"/>
      <c r="BK501" s="1070"/>
      <c r="BL501" s="1070"/>
      <c r="BM501" s="1070"/>
      <c r="BN501" s="1070"/>
      <c r="BO501" s="1070"/>
      <c r="BP501" s="1070"/>
      <c r="BQ501" s="1070"/>
      <c r="BR501" s="1070"/>
      <c r="BS501" s="1070"/>
      <c r="BT501" s="1070"/>
      <c r="BU501" s="1070"/>
      <c r="BV501" s="1070"/>
      <c r="BW501" s="1070"/>
      <c r="BX501" s="1070"/>
      <c r="BY501" s="1070"/>
      <c r="BZ501" s="1070"/>
      <c r="CA501" s="1070"/>
      <c r="CB501" s="1070"/>
      <c r="CC501" s="1070"/>
      <c r="CD501" s="1070"/>
      <c r="CE501" s="1070"/>
      <c r="CF501" s="1070"/>
      <c r="CG501" s="1070"/>
      <c r="CH501" s="1070"/>
      <c r="CI501" s="1070"/>
      <c r="CJ501" s="1070"/>
      <c r="CK501" s="1070"/>
      <c r="CL501" s="1070"/>
      <c r="CM501" s="1070"/>
      <c r="CN501" s="1070"/>
      <c r="CO501" s="1070"/>
      <c r="CP501" s="1070"/>
      <c r="CQ501" s="1070"/>
      <c r="CR501" s="1070"/>
      <c r="CS501" s="1070"/>
      <c r="CT501" s="1070"/>
      <c r="CU501" s="1070"/>
      <c r="CV501" s="1070"/>
      <c r="CW501" s="1070"/>
      <c r="CX501" s="1070"/>
      <c r="CY501" s="1070"/>
      <c r="CZ501" s="1070"/>
      <c r="DA501" s="1070"/>
      <c r="DB501" s="1070"/>
      <c r="DC501" s="1070"/>
      <c r="DD501" s="1070"/>
      <c r="DE501" s="1070"/>
      <c r="DF501" s="1070"/>
      <c r="DG501" s="1070"/>
      <c r="DH501" s="1070"/>
      <c r="DI501" s="1070"/>
      <c r="DJ501" s="1070"/>
    </row>
    <row r="502" spans="1:114" s="1136" customFormat="1" ht="15.75" x14ac:dyDescent="0.25">
      <c r="A502" s="1430" t="s">
        <v>1322</v>
      </c>
      <c r="B502" s="1433" t="e">
        <f>B486*B488*B490*B492*B377</f>
        <v>#VALUE!</v>
      </c>
      <c r="C502" s="1437"/>
      <c r="D502" s="1437"/>
      <c r="E502" s="1437"/>
      <c r="F502" s="1437"/>
      <c r="G502" s="1437"/>
      <c r="H502" s="1350"/>
      <c r="I502" s="1350"/>
      <c r="J502" s="1350"/>
      <c r="K502" s="1350"/>
      <c r="L502" s="1350"/>
      <c r="M502" s="1350"/>
      <c r="N502" s="1350"/>
      <c r="O502" s="1350"/>
      <c r="P502" s="1350"/>
      <c r="Q502" s="1350"/>
      <c r="R502" s="1350"/>
      <c r="S502" s="1350"/>
      <c r="T502" s="1350"/>
      <c r="U502" s="1350"/>
      <c r="V502" s="1350"/>
      <c r="W502" s="1350"/>
      <c r="X502" s="1350"/>
      <c r="Y502" s="1350"/>
      <c r="Z502" s="1350"/>
      <c r="AA502" s="1350"/>
      <c r="AB502" s="1350"/>
      <c r="AC502" s="1350"/>
      <c r="AD502" s="1350"/>
      <c r="AE502" s="1350"/>
      <c r="AF502" s="1350"/>
      <c r="AG502" s="1350"/>
      <c r="AH502" s="1350"/>
      <c r="AI502" s="1350"/>
      <c r="AJ502" s="1350"/>
      <c r="AK502" s="1350"/>
      <c r="AL502" s="1350"/>
      <c r="AM502" s="1350"/>
      <c r="AN502" s="1350"/>
      <c r="AO502" s="1350"/>
      <c r="AP502" s="1350"/>
      <c r="AQ502" s="1350"/>
      <c r="AR502" s="1350"/>
      <c r="AS502" s="1350"/>
      <c r="AT502" s="1350"/>
      <c r="AU502" s="1350"/>
      <c r="AV502" s="1350"/>
      <c r="AW502" s="1350"/>
      <c r="AX502" s="1350"/>
      <c r="AY502" s="1350"/>
      <c r="AZ502" s="1350"/>
      <c r="BA502" s="1070"/>
      <c r="BB502" s="1070"/>
      <c r="BC502" s="1070"/>
      <c r="BD502" s="1070"/>
      <c r="BE502" s="1070"/>
      <c r="BF502" s="1070"/>
      <c r="BG502" s="1070"/>
      <c r="BH502" s="1070"/>
      <c r="BI502" s="1070"/>
      <c r="BJ502" s="1070"/>
      <c r="BK502" s="1070"/>
      <c r="BL502" s="1070"/>
      <c r="BM502" s="1070"/>
      <c r="BN502" s="1070"/>
      <c r="BO502" s="1070"/>
      <c r="BP502" s="1070"/>
      <c r="BQ502" s="1070"/>
      <c r="BR502" s="1070"/>
      <c r="BS502" s="1070"/>
      <c r="BT502" s="1070"/>
      <c r="BU502" s="1070"/>
      <c r="BV502" s="1070"/>
      <c r="BW502" s="1070"/>
      <c r="BX502" s="1070"/>
      <c r="BY502" s="1070"/>
      <c r="BZ502" s="1070"/>
      <c r="CA502" s="1070"/>
      <c r="CB502" s="1070"/>
      <c r="CC502" s="1070"/>
      <c r="CD502" s="1070"/>
      <c r="CE502" s="1070"/>
      <c r="CF502" s="1070"/>
      <c r="CG502" s="1070"/>
      <c r="CH502" s="1070"/>
      <c r="CI502" s="1070"/>
      <c r="CJ502" s="1070"/>
      <c r="CK502" s="1070"/>
      <c r="CL502" s="1070"/>
      <c r="CM502" s="1070"/>
      <c r="CN502" s="1070"/>
      <c r="CO502" s="1070"/>
      <c r="CP502" s="1070"/>
      <c r="CQ502" s="1070"/>
      <c r="CR502" s="1070"/>
      <c r="CS502" s="1070"/>
      <c r="CT502" s="1070"/>
      <c r="CU502" s="1070"/>
      <c r="CV502" s="1070"/>
      <c r="CW502" s="1070"/>
      <c r="CX502" s="1070"/>
      <c r="CY502" s="1070"/>
      <c r="CZ502" s="1070"/>
      <c r="DA502" s="1070"/>
      <c r="DB502" s="1070"/>
      <c r="DC502" s="1070"/>
      <c r="DD502" s="1070"/>
      <c r="DE502" s="1070"/>
      <c r="DF502" s="1070"/>
      <c r="DG502" s="1070"/>
      <c r="DH502" s="1070"/>
      <c r="DI502" s="1070"/>
      <c r="DJ502" s="1070"/>
    </row>
    <row r="503" spans="1:114" s="1136" customFormat="1" ht="15.75" x14ac:dyDescent="0.25">
      <c r="A503" s="1430" t="s">
        <v>1</v>
      </c>
      <c r="B503" s="1433" t="e">
        <f>B501*B502</f>
        <v>#VALUE!</v>
      </c>
      <c r="C503" s="1437"/>
      <c r="D503" s="1437"/>
      <c r="E503" s="1437"/>
      <c r="F503" s="1437"/>
      <c r="G503" s="1437"/>
      <c r="H503" s="1350"/>
      <c r="I503" s="1350"/>
      <c r="J503" s="1350"/>
      <c r="K503" s="1350"/>
      <c r="L503" s="1350"/>
      <c r="M503" s="1350"/>
      <c r="N503" s="1350"/>
      <c r="O503" s="1350"/>
      <c r="P503" s="1350"/>
      <c r="Q503" s="1350"/>
      <c r="R503" s="1350"/>
      <c r="S503" s="1350"/>
      <c r="T503" s="1350"/>
      <c r="U503" s="1350"/>
      <c r="V503" s="1350"/>
      <c r="W503" s="1350"/>
      <c r="X503" s="1350"/>
      <c r="Y503" s="1350"/>
      <c r="Z503" s="1350"/>
      <c r="AA503" s="1350"/>
      <c r="AB503" s="1350"/>
      <c r="AC503" s="1350"/>
      <c r="AD503" s="1350"/>
      <c r="AE503" s="1350"/>
      <c r="AF503" s="1350"/>
      <c r="AG503" s="1350"/>
      <c r="AH503" s="1350"/>
      <c r="AI503" s="1350"/>
      <c r="AJ503" s="1350"/>
      <c r="AK503" s="1350"/>
      <c r="AL503" s="1350"/>
      <c r="AM503" s="1350"/>
      <c r="AN503" s="1350"/>
      <c r="AO503" s="1350"/>
      <c r="AP503" s="1350"/>
      <c r="AQ503" s="1350"/>
      <c r="AR503" s="1350"/>
      <c r="AS503" s="1350"/>
      <c r="AT503" s="1350"/>
      <c r="AU503" s="1350"/>
      <c r="AV503" s="1350"/>
      <c r="AW503" s="1350"/>
      <c r="AX503" s="1350"/>
      <c r="AY503" s="1350"/>
      <c r="AZ503" s="1350"/>
      <c r="BA503" s="1070"/>
      <c r="BB503" s="1070"/>
      <c r="BC503" s="1070"/>
      <c r="BD503" s="1070"/>
      <c r="BE503" s="1070"/>
      <c r="BF503" s="1070"/>
      <c r="BG503" s="1070"/>
      <c r="BH503" s="1070"/>
      <c r="BI503" s="1070"/>
      <c r="BJ503" s="1070"/>
      <c r="BK503" s="1070"/>
      <c r="BL503" s="1070"/>
      <c r="BM503" s="1070"/>
      <c r="BN503" s="1070"/>
      <c r="BO503" s="1070"/>
      <c r="BP503" s="1070"/>
      <c r="BQ503" s="1070"/>
      <c r="BR503" s="1070"/>
      <c r="BS503" s="1070"/>
      <c r="BT503" s="1070"/>
      <c r="BU503" s="1070"/>
      <c r="BV503" s="1070"/>
      <c r="BW503" s="1070"/>
      <c r="BX503" s="1070"/>
      <c r="BY503" s="1070"/>
      <c r="BZ503" s="1070"/>
      <c r="CA503" s="1070"/>
      <c r="CB503" s="1070"/>
      <c r="CC503" s="1070"/>
      <c r="CD503" s="1070"/>
      <c r="CE503" s="1070"/>
      <c r="CF503" s="1070"/>
      <c r="CG503" s="1070"/>
      <c r="CH503" s="1070"/>
      <c r="CI503" s="1070"/>
      <c r="CJ503" s="1070"/>
      <c r="CK503" s="1070"/>
      <c r="CL503" s="1070"/>
      <c r="CM503" s="1070"/>
      <c r="CN503" s="1070"/>
      <c r="CO503" s="1070"/>
      <c r="CP503" s="1070"/>
      <c r="CQ503" s="1070"/>
      <c r="CR503" s="1070"/>
      <c r="CS503" s="1070"/>
      <c r="CT503" s="1070"/>
      <c r="CU503" s="1070"/>
      <c r="CV503" s="1070"/>
      <c r="CW503" s="1070"/>
      <c r="CX503" s="1070"/>
      <c r="CY503" s="1070"/>
      <c r="CZ503" s="1070"/>
      <c r="DA503" s="1070"/>
      <c r="DB503" s="1070"/>
      <c r="DC503" s="1070"/>
      <c r="DD503" s="1070"/>
      <c r="DE503" s="1070"/>
      <c r="DF503" s="1070"/>
      <c r="DG503" s="1070"/>
      <c r="DH503" s="1070"/>
      <c r="DI503" s="1070"/>
      <c r="DJ503" s="1070"/>
    </row>
    <row r="504" spans="1:114" s="1136" customFormat="1" ht="15.75" x14ac:dyDescent="0.25">
      <c r="A504" s="1430" t="s">
        <v>4351</v>
      </c>
      <c r="B504" s="1433" t="e">
        <f>B499/B503</f>
        <v>#VALUE!</v>
      </c>
      <c r="C504" s="1437"/>
      <c r="D504" s="1437"/>
      <c r="E504" s="1437"/>
      <c r="F504" s="1437"/>
      <c r="G504" s="1437"/>
      <c r="H504" s="1350"/>
      <c r="I504" s="1350"/>
      <c r="J504" s="1350"/>
      <c r="K504" s="1350"/>
      <c r="L504" s="1350"/>
      <c r="M504" s="1350"/>
      <c r="N504" s="1350"/>
      <c r="O504" s="1350"/>
      <c r="P504" s="1350"/>
      <c r="Q504" s="1350"/>
      <c r="R504" s="1350"/>
      <c r="S504" s="1350"/>
      <c r="T504" s="1350"/>
      <c r="U504" s="1350"/>
      <c r="V504" s="1350"/>
      <c r="W504" s="1350"/>
      <c r="X504" s="1350"/>
      <c r="Y504" s="1350"/>
      <c r="Z504" s="1350"/>
      <c r="AA504" s="1350"/>
      <c r="AB504" s="1350"/>
      <c r="AC504" s="1350"/>
      <c r="AD504" s="1350"/>
      <c r="AE504" s="1350"/>
      <c r="AF504" s="1350"/>
      <c r="AG504" s="1350"/>
      <c r="AH504" s="1350"/>
      <c r="AI504" s="1350"/>
      <c r="AJ504" s="1350"/>
      <c r="AK504" s="1350"/>
      <c r="AL504" s="1350"/>
      <c r="AM504" s="1350"/>
      <c r="AN504" s="1350"/>
      <c r="AO504" s="1350"/>
      <c r="AP504" s="1350"/>
      <c r="AQ504" s="1350"/>
      <c r="AR504" s="1350"/>
      <c r="AS504" s="1350"/>
      <c r="AT504" s="1350"/>
      <c r="AU504" s="1350"/>
      <c r="AV504" s="1350"/>
      <c r="AW504" s="1350"/>
      <c r="AX504" s="1350"/>
      <c r="AY504" s="1350"/>
      <c r="AZ504" s="1350"/>
      <c r="BA504" s="1070"/>
      <c r="BB504" s="1070"/>
      <c r="BC504" s="1070"/>
      <c r="BD504" s="1070"/>
      <c r="BE504" s="1070"/>
      <c r="BF504" s="1070"/>
      <c r="BG504" s="1070"/>
      <c r="BH504" s="1070"/>
      <c r="BI504" s="1070"/>
      <c r="BJ504" s="1070"/>
      <c r="BK504" s="1070"/>
      <c r="BL504" s="1070"/>
      <c r="BM504" s="1070"/>
      <c r="BN504" s="1070"/>
      <c r="BO504" s="1070"/>
      <c r="BP504" s="1070"/>
      <c r="BQ504" s="1070"/>
      <c r="BR504" s="1070"/>
      <c r="BS504" s="1070"/>
      <c r="BT504" s="1070"/>
      <c r="BU504" s="1070"/>
      <c r="BV504" s="1070"/>
      <c r="BW504" s="1070"/>
      <c r="BX504" s="1070"/>
      <c r="BY504" s="1070"/>
      <c r="BZ504" s="1070"/>
      <c r="CA504" s="1070"/>
      <c r="CB504" s="1070"/>
      <c r="CC504" s="1070"/>
      <c r="CD504" s="1070"/>
      <c r="CE504" s="1070"/>
      <c r="CF504" s="1070"/>
      <c r="CG504" s="1070"/>
      <c r="CH504" s="1070"/>
      <c r="CI504" s="1070"/>
      <c r="CJ504" s="1070"/>
      <c r="CK504" s="1070"/>
      <c r="CL504" s="1070"/>
      <c r="CM504" s="1070"/>
      <c r="CN504" s="1070"/>
      <c r="CO504" s="1070"/>
      <c r="CP504" s="1070"/>
      <c r="CQ504" s="1070"/>
      <c r="CR504" s="1070"/>
      <c r="CS504" s="1070"/>
      <c r="CT504" s="1070"/>
      <c r="CU504" s="1070"/>
      <c r="CV504" s="1070"/>
      <c r="CW504" s="1070"/>
      <c r="CX504" s="1070"/>
      <c r="CY504" s="1070"/>
      <c r="CZ504" s="1070"/>
      <c r="DA504" s="1070"/>
      <c r="DB504" s="1070"/>
      <c r="DC504" s="1070"/>
      <c r="DD504" s="1070"/>
      <c r="DE504" s="1070"/>
      <c r="DF504" s="1070"/>
      <c r="DG504" s="1070"/>
      <c r="DH504" s="1070"/>
      <c r="DI504" s="1070"/>
      <c r="DJ504" s="1070"/>
    </row>
    <row r="505" spans="1:114" s="1136" customFormat="1" ht="15.75" x14ac:dyDescent="0.25">
      <c r="A505" s="1466" t="s">
        <v>831</v>
      </c>
      <c r="B505" s="1433">
        <f>IF(B212=1,B504,0)</f>
        <v>0</v>
      </c>
      <c r="C505" s="1437"/>
      <c r="D505" s="1437"/>
      <c r="E505" s="1437"/>
      <c r="F505" s="1437"/>
      <c r="G505" s="1437"/>
      <c r="H505" s="1350"/>
      <c r="I505" s="1350"/>
      <c r="J505" s="1350"/>
      <c r="K505" s="1350"/>
      <c r="L505" s="1350"/>
      <c r="M505" s="1350"/>
      <c r="N505" s="1350"/>
      <c r="O505" s="1350"/>
      <c r="P505" s="1350"/>
      <c r="Q505" s="1350"/>
      <c r="R505" s="1350"/>
      <c r="S505" s="1350"/>
      <c r="T505" s="1350"/>
      <c r="U505" s="1350"/>
      <c r="V505" s="1350"/>
      <c r="W505" s="1350"/>
      <c r="X505" s="1350"/>
      <c r="Y505" s="1350"/>
      <c r="Z505" s="1350"/>
      <c r="AA505" s="1350"/>
      <c r="AB505" s="1350"/>
      <c r="AC505" s="1350"/>
      <c r="AD505" s="1350"/>
      <c r="AE505" s="1350"/>
      <c r="AF505" s="1350"/>
      <c r="AG505" s="1350"/>
      <c r="AH505" s="1350"/>
      <c r="AI505" s="1350"/>
      <c r="AJ505" s="1350"/>
      <c r="AK505" s="1350"/>
      <c r="AL505" s="1350"/>
      <c r="AM505" s="1350"/>
      <c r="AN505" s="1350"/>
      <c r="AO505" s="1350"/>
      <c r="AP505" s="1350"/>
      <c r="AQ505" s="1350"/>
      <c r="AR505" s="1350"/>
      <c r="AS505" s="1350"/>
      <c r="AT505" s="1350"/>
      <c r="AU505" s="1350"/>
      <c r="AV505" s="1350"/>
      <c r="AW505" s="1350"/>
      <c r="AX505" s="1350"/>
      <c r="AY505" s="1350"/>
      <c r="AZ505" s="1350"/>
      <c r="BA505" s="1070"/>
      <c r="BB505" s="1070"/>
      <c r="BC505" s="1070"/>
      <c r="BD505" s="1070"/>
      <c r="BE505" s="1070"/>
      <c r="BF505" s="1070"/>
      <c r="BG505" s="1070"/>
      <c r="BH505" s="1070"/>
      <c r="BI505" s="1070"/>
      <c r="BJ505" s="1070"/>
      <c r="BK505" s="1070"/>
      <c r="BL505" s="1070"/>
      <c r="BM505" s="1070"/>
      <c r="BN505" s="1070"/>
      <c r="BO505" s="1070"/>
      <c r="BP505" s="1070"/>
      <c r="BQ505" s="1070"/>
      <c r="BR505" s="1070"/>
      <c r="BS505" s="1070"/>
      <c r="BT505" s="1070"/>
      <c r="BU505" s="1070"/>
      <c r="BV505" s="1070"/>
      <c r="BW505" s="1070"/>
      <c r="BX505" s="1070"/>
      <c r="BY505" s="1070"/>
      <c r="BZ505" s="1070"/>
      <c r="CA505" s="1070"/>
      <c r="CB505" s="1070"/>
      <c r="CC505" s="1070"/>
      <c r="CD505" s="1070"/>
      <c r="CE505" s="1070"/>
      <c r="CF505" s="1070"/>
      <c r="CG505" s="1070"/>
      <c r="CH505" s="1070"/>
      <c r="CI505" s="1070"/>
      <c r="CJ505" s="1070"/>
      <c r="CK505" s="1070"/>
      <c r="CL505" s="1070"/>
      <c r="CM505" s="1070"/>
      <c r="CN505" s="1070"/>
      <c r="CO505" s="1070"/>
      <c r="CP505" s="1070"/>
      <c r="CQ505" s="1070"/>
      <c r="CR505" s="1070"/>
      <c r="CS505" s="1070"/>
      <c r="CT505" s="1070"/>
      <c r="CU505" s="1070"/>
      <c r="CV505" s="1070"/>
      <c r="CW505" s="1070"/>
      <c r="CX505" s="1070"/>
      <c r="CY505" s="1070"/>
      <c r="CZ505" s="1070"/>
      <c r="DA505" s="1070"/>
      <c r="DB505" s="1070"/>
      <c r="DC505" s="1070"/>
      <c r="DD505" s="1070"/>
      <c r="DE505" s="1070"/>
      <c r="DF505" s="1070"/>
      <c r="DG505" s="1070"/>
      <c r="DH505" s="1070"/>
      <c r="DI505" s="1070"/>
      <c r="DJ505" s="1070"/>
    </row>
    <row r="506" spans="1:114" s="1136" customFormat="1" ht="15.75" x14ac:dyDescent="0.25">
      <c r="A506" s="1460"/>
      <c r="B506" s="1428"/>
      <c r="C506" s="1432"/>
      <c r="D506" s="1350"/>
      <c r="E506" s="1350"/>
      <c r="F506" s="1350"/>
      <c r="G506" s="1350"/>
      <c r="H506" s="1350"/>
      <c r="I506" s="1350"/>
      <c r="J506" s="1350"/>
      <c r="K506" s="1350"/>
      <c r="L506" s="1350"/>
      <c r="M506" s="1350"/>
      <c r="N506" s="1350"/>
      <c r="O506" s="1350"/>
      <c r="P506" s="1350"/>
      <c r="Q506" s="1350"/>
      <c r="R506" s="1350"/>
      <c r="S506" s="1350"/>
      <c r="T506" s="1350"/>
      <c r="U506" s="1350"/>
      <c r="V506" s="1350"/>
      <c r="W506" s="1350"/>
      <c r="X506" s="1350"/>
      <c r="Y506" s="1350"/>
      <c r="Z506" s="1350"/>
      <c r="AA506" s="1350"/>
      <c r="AB506" s="1350"/>
      <c r="AC506" s="1350"/>
      <c r="AD506" s="1350"/>
      <c r="AE506" s="1350"/>
      <c r="AF506" s="1350"/>
      <c r="AG506" s="1350"/>
      <c r="AH506" s="1350"/>
      <c r="AI506" s="1350"/>
      <c r="AJ506" s="1350"/>
      <c r="AK506" s="1350"/>
      <c r="AL506" s="1350"/>
      <c r="AM506" s="1350"/>
      <c r="AN506" s="1350"/>
      <c r="AO506" s="1350"/>
      <c r="AP506" s="1350"/>
      <c r="AQ506" s="1350"/>
      <c r="AR506" s="1350"/>
      <c r="AS506" s="1350"/>
      <c r="AT506" s="1350"/>
      <c r="AU506" s="1350"/>
      <c r="AV506" s="1350"/>
      <c r="AW506" s="1350"/>
      <c r="AX506" s="1350"/>
      <c r="AY506" s="1350"/>
      <c r="AZ506" s="1350"/>
      <c r="BA506" s="1070"/>
      <c r="BB506" s="1070"/>
      <c r="BC506" s="1070"/>
      <c r="BD506" s="1070"/>
      <c r="BE506" s="1070"/>
      <c r="BF506" s="1070"/>
      <c r="BG506" s="1070"/>
      <c r="BH506" s="1070"/>
      <c r="BI506" s="1070"/>
      <c r="BJ506" s="1070"/>
      <c r="BK506" s="1070"/>
      <c r="BL506" s="1070"/>
      <c r="BM506" s="1070"/>
      <c r="BN506" s="1070"/>
      <c r="BO506" s="1070"/>
      <c r="BP506" s="1070"/>
      <c r="BQ506" s="1070"/>
      <c r="BR506" s="1070"/>
      <c r="BS506" s="1070"/>
      <c r="BT506" s="1070"/>
      <c r="BU506" s="1070"/>
      <c r="BV506" s="1070"/>
      <c r="BW506" s="1070"/>
      <c r="BX506" s="1070"/>
      <c r="BY506" s="1070"/>
      <c r="BZ506" s="1070"/>
      <c r="CA506" s="1070"/>
      <c r="CB506" s="1070"/>
      <c r="CC506" s="1070"/>
      <c r="CD506" s="1070"/>
      <c r="CE506" s="1070"/>
      <c r="CF506" s="1070"/>
      <c r="CG506" s="1070"/>
      <c r="CH506" s="1070"/>
      <c r="CI506" s="1070"/>
      <c r="CJ506" s="1070"/>
      <c r="CK506" s="1070"/>
      <c r="CL506" s="1070"/>
      <c r="CM506" s="1070"/>
      <c r="CN506" s="1070"/>
      <c r="CO506" s="1070"/>
      <c r="CP506" s="1070"/>
      <c r="CQ506" s="1070"/>
      <c r="CR506" s="1070"/>
      <c r="CS506" s="1070"/>
      <c r="CT506" s="1070"/>
      <c r="CU506" s="1070"/>
      <c r="CV506" s="1070"/>
      <c r="CW506" s="1070"/>
      <c r="CX506" s="1070"/>
      <c r="CY506" s="1070"/>
      <c r="CZ506" s="1070"/>
      <c r="DA506" s="1070"/>
      <c r="DB506" s="1070"/>
      <c r="DC506" s="1070"/>
      <c r="DD506" s="1070"/>
      <c r="DE506" s="1070"/>
      <c r="DF506" s="1070"/>
      <c r="DG506" s="1070"/>
      <c r="DH506" s="1070"/>
      <c r="DI506" s="1070"/>
      <c r="DJ506" s="1070"/>
    </row>
    <row r="507" spans="1:114" s="1136" customFormat="1" ht="15.75" x14ac:dyDescent="0.25">
      <c r="A507" s="1664" t="s">
        <v>4613</v>
      </c>
      <c r="B507" s="1665"/>
      <c r="C507" s="1070"/>
      <c r="D507" s="1070"/>
      <c r="E507" s="1070"/>
      <c r="F507" s="1070"/>
      <c r="G507" s="1070"/>
      <c r="H507" s="1070"/>
      <c r="I507" s="1645"/>
      <c r="J507" s="1645"/>
      <c r="K507" s="1645"/>
      <c r="L507" s="1645"/>
      <c r="M507" s="1645"/>
      <c r="N507" s="1645"/>
      <c r="O507" s="1645"/>
      <c r="P507" s="1645"/>
      <c r="Q507" s="1645"/>
      <c r="R507" s="1645"/>
      <c r="S507" s="1645"/>
      <c r="T507" s="1645"/>
      <c r="U507" s="1645"/>
      <c r="V507" s="1645"/>
      <c r="W507" s="1645"/>
      <c r="X507" s="1645"/>
      <c r="Y507" s="1645"/>
      <c r="Z507" s="1645"/>
      <c r="AA507" s="1645"/>
      <c r="AB507" s="1645"/>
      <c r="AC507" s="1645"/>
      <c r="AD507" s="1645"/>
      <c r="AE507" s="1645"/>
      <c r="AF507" s="1645"/>
      <c r="AG507" s="1645"/>
      <c r="AH507" s="1645"/>
      <c r="AI507" s="1645"/>
      <c r="AJ507" s="1645"/>
      <c r="AK507" s="1645"/>
      <c r="AL507" s="1645"/>
      <c r="AM507" s="1645"/>
      <c r="AN507" s="1645"/>
      <c r="AO507" s="1645"/>
      <c r="AP507" s="1645"/>
      <c r="AQ507" s="1645"/>
      <c r="AR507" s="1645"/>
      <c r="AS507" s="1645"/>
      <c r="AT507" s="1645"/>
      <c r="AU507" s="1645"/>
      <c r="AV507" s="1645"/>
      <c r="AW507" s="1645"/>
      <c r="AX507" s="1645"/>
      <c r="AY507" s="1645"/>
      <c r="AZ507" s="1645"/>
      <c r="BA507" s="1645"/>
      <c r="BB507" s="1645"/>
      <c r="BC507" s="1645"/>
      <c r="BD507" s="1645"/>
      <c r="BE507" s="1645"/>
      <c r="BF507" s="1645"/>
      <c r="BG507" s="1645"/>
      <c r="BH507" s="1645"/>
      <c r="BI507" s="1645"/>
      <c r="BJ507" s="1645"/>
      <c r="BK507" s="1645"/>
      <c r="BL507" s="1645"/>
      <c r="BM507" s="1645"/>
      <c r="BN507" s="1645"/>
      <c r="BO507" s="1645"/>
      <c r="BP507" s="1645"/>
      <c r="BQ507" s="1645"/>
      <c r="BR507" s="1645"/>
      <c r="BS507" s="1645"/>
      <c r="BT507" s="1645"/>
      <c r="BU507" s="1645"/>
      <c r="BV507" s="1645"/>
      <c r="BW507" s="1645"/>
      <c r="BX507" s="1645"/>
      <c r="BY507" s="1645"/>
      <c r="BZ507" s="1645"/>
      <c r="CA507" s="1645"/>
      <c r="CB507" s="1645"/>
      <c r="CC507" s="1645"/>
      <c r="CD507" s="1645"/>
      <c r="CE507" s="1645"/>
      <c r="CF507" s="1645"/>
      <c r="CG507" s="1645"/>
      <c r="CH507" s="1645"/>
      <c r="CI507" s="1645"/>
      <c r="CJ507" s="1645"/>
      <c r="CK507" s="1645"/>
      <c r="CL507" s="1645"/>
      <c r="CM507" s="1645"/>
      <c r="CN507" s="1645"/>
      <c r="CO507" s="1645"/>
    </row>
    <row r="508" spans="1:114" s="1136" customFormat="1" ht="15" x14ac:dyDescent="0.2">
      <c r="A508" s="1994" t="s">
        <v>4614</v>
      </c>
      <c r="B508" s="1995"/>
      <c r="C508" s="1669"/>
      <c r="D508" s="1669"/>
      <c r="E508" s="1669"/>
      <c r="F508" s="1669"/>
      <c r="G508" s="1669"/>
      <c r="H508" s="1070"/>
      <c r="I508" s="1645"/>
      <c r="J508" s="1645"/>
      <c r="K508" s="1645"/>
      <c r="L508" s="1645"/>
      <c r="M508" s="1645"/>
      <c r="N508" s="1645"/>
      <c r="O508" s="1645"/>
      <c r="P508" s="1645"/>
      <c r="Q508" s="1645"/>
      <c r="R508" s="1645"/>
      <c r="S508" s="1645"/>
      <c r="T508" s="1645"/>
      <c r="U508" s="1645"/>
      <c r="V508" s="1645"/>
      <c r="W508" s="1645"/>
      <c r="X508" s="1645"/>
      <c r="Y508" s="1645"/>
      <c r="Z508" s="1645"/>
      <c r="AA508" s="1645"/>
      <c r="AB508" s="1645"/>
      <c r="AC508" s="1645"/>
      <c r="AD508" s="1645"/>
      <c r="AE508" s="1645"/>
      <c r="AF508" s="1645"/>
      <c r="AG508" s="1645"/>
      <c r="AH508" s="1645"/>
      <c r="AI508" s="1645"/>
      <c r="AJ508" s="1645"/>
      <c r="AK508" s="1645"/>
      <c r="AL508" s="1645"/>
      <c r="AM508" s="1645"/>
      <c r="AN508" s="1645"/>
      <c r="AO508" s="1645"/>
      <c r="AP508" s="1645"/>
      <c r="AQ508" s="1645"/>
      <c r="AR508" s="1645"/>
      <c r="AS508" s="1645"/>
      <c r="AT508" s="1645"/>
      <c r="AU508" s="1645"/>
      <c r="AV508" s="1645"/>
      <c r="AW508" s="1645"/>
      <c r="AX508" s="1645"/>
      <c r="AY508" s="1645"/>
      <c r="AZ508" s="1645"/>
      <c r="BA508" s="1645"/>
      <c r="BB508" s="1645"/>
      <c r="BC508" s="1645"/>
      <c r="BD508" s="1645"/>
      <c r="BE508" s="1645"/>
      <c r="BF508" s="1645"/>
      <c r="BG508" s="1645"/>
      <c r="BH508" s="1645"/>
      <c r="BI508" s="1645"/>
      <c r="BJ508" s="1645"/>
      <c r="BK508" s="1645"/>
      <c r="BL508" s="1645"/>
      <c r="BM508" s="1645"/>
      <c r="BN508" s="1645"/>
      <c r="BO508" s="1645"/>
      <c r="BP508" s="1645"/>
      <c r="BQ508" s="1645"/>
      <c r="BR508" s="1645"/>
      <c r="BS508" s="1645"/>
      <c r="BT508" s="1645"/>
      <c r="BU508" s="1645"/>
      <c r="BV508" s="1645"/>
      <c r="BW508" s="1645"/>
      <c r="BX508" s="1645"/>
      <c r="BY508" s="1645"/>
      <c r="BZ508" s="1645"/>
      <c r="CA508" s="1645"/>
      <c r="CB508" s="1645"/>
      <c r="CC508" s="1645"/>
      <c r="CD508" s="1645"/>
      <c r="CE508" s="1645"/>
      <c r="CF508" s="1645"/>
      <c r="CG508" s="1645"/>
      <c r="CH508" s="1645"/>
      <c r="CI508" s="1645"/>
      <c r="CJ508" s="1645"/>
      <c r="CK508" s="1645"/>
      <c r="CL508" s="1645"/>
      <c r="CM508" s="1645"/>
      <c r="CN508" s="1645"/>
      <c r="CO508" s="1645"/>
    </row>
    <row r="509" spans="1:114" s="1136" customFormat="1" ht="15" x14ac:dyDescent="0.2">
      <c r="A509" s="1996" t="s">
        <v>3720</v>
      </c>
      <c r="B509" s="1995">
        <f>B294</f>
        <v>152</v>
      </c>
      <c r="C509" s="1668"/>
      <c r="D509" s="1668"/>
      <c r="E509" s="1668"/>
      <c r="F509" s="1668"/>
      <c r="G509" s="1668"/>
      <c r="H509" s="1070"/>
      <c r="I509" s="1645"/>
      <c r="J509" s="1645"/>
      <c r="K509" s="1645"/>
      <c r="L509" s="1645"/>
      <c r="M509" s="1645"/>
      <c r="N509" s="1645"/>
      <c r="O509" s="1645"/>
      <c r="P509" s="1645"/>
      <c r="Q509" s="1645"/>
      <c r="R509" s="1645"/>
      <c r="S509" s="1645"/>
      <c r="T509" s="1645"/>
      <c r="U509" s="1645"/>
      <c r="V509" s="1645"/>
      <c r="W509" s="1645"/>
      <c r="X509" s="1645"/>
      <c r="Y509" s="1645"/>
      <c r="Z509" s="1645"/>
      <c r="AA509" s="1645"/>
      <c r="AB509" s="1645"/>
      <c r="AC509" s="1645"/>
      <c r="AD509" s="1645"/>
      <c r="AE509" s="1645"/>
      <c r="AF509" s="1645"/>
      <c r="AG509" s="1645"/>
      <c r="AH509" s="1645"/>
      <c r="AI509" s="1645"/>
      <c r="AJ509" s="1645"/>
      <c r="AK509" s="1645"/>
      <c r="AL509" s="1645"/>
      <c r="AM509" s="1645"/>
      <c r="AN509" s="1645"/>
      <c r="AO509" s="1645"/>
      <c r="AP509" s="1645"/>
      <c r="AQ509" s="1645"/>
      <c r="AR509" s="1645"/>
      <c r="AS509" s="1645"/>
      <c r="AT509" s="1645"/>
      <c r="AU509" s="1645"/>
      <c r="AV509" s="1645"/>
      <c r="AW509" s="1645"/>
      <c r="AX509" s="1645"/>
      <c r="AY509" s="1645"/>
      <c r="AZ509" s="1645"/>
      <c r="BA509" s="1645"/>
      <c r="BB509" s="1645"/>
      <c r="BC509" s="1645"/>
      <c r="BD509" s="1645"/>
      <c r="BE509" s="1645"/>
      <c r="BF509" s="1645"/>
      <c r="BG509" s="1645"/>
      <c r="BH509" s="1645"/>
      <c r="BI509" s="1645"/>
      <c r="BJ509" s="1645"/>
      <c r="BK509" s="1645"/>
      <c r="BL509" s="1645"/>
      <c r="BM509" s="1645"/>
      <c r="BN509" s="1645"/>
      <c r="BO509" s="1645"/>
      <c r="BP509" s="1645"/>
      <c r="BQ509" s="1645"/>
      <c r="BR509" s="1645"/>
      <c r="BS509" s="1645"/>
      <c r="BT509" s="1645"/>
      <c r="BU509" s="1645"/>
      <c r="BV509" s="1645"/>
      <c r="BW509" s="1645"/>
      <c r="BX509" s="1645"/>
      <c r="BY509" s="1645"/>
      <c r="BZ509" s="1645"/>
      <c r="CA509" s="1645"/>
      <c r="CB509" s="1645"/>
      <c r="CC509" s="1645"/>
      <c r="CD509" s="1645"/>
      <c r="CE509" s="1645"/>
      <c r="CF509" s="1645"/>
      <c r="CG509" s="1645"/>
      <c r="CH509" s="1645"/>
      <c r="CI509" s="1645"/>
      <c r="CJ509" s="1645"/>
      <c r="CK509" s="1645"/>
      <c r="CL509" s="1645"/>
      <c r="CM509" s="1645"/>
      <c r="CN509" s="1645"/>
      <c r="CO509" s="1645"/>
    </row>
    <row r="510" spans="1:114" s="1136" customFormat="1" ht="15" x14ac:dyDescent="0.2">
      <c r="A510" s="1996" t="s">
        <v>4820</v>
      </c>
      <c r="B510" s="1995">
        <f>B311</f>
        <v>217</v>
      </c>
      <c r="C510" s="1668"/>
      <c r="D510" s="1668"/>
      <c r="E510" s="1668"/>
      <c r="F510" s="1668"/>
      <c r="G510" s="1668"/>
      <c r="H510" s="1070"/>
      <c r="I510" s="1645"/>
      <c r="J510" s="1645"/>
      <c r="K510" s="1645"/>
      <c r="L510" s="1645"/>
      <c r="M510" s="1645"/>
      <c r="N510" s="1645"/>
      <c r="O510" s="1645"/>
      <c r="P510" s="1645"/>
      <c r="Q510" s="1645"/>
      <c r="R510" s="1645"/>
      <c r="S510" s="1645"/>
      <c r="T510" s="1645"/>
      <c r="U510" s="1645"/>
      <c r="V510" s="1645"/>
      <c r="W510" s="1645"/>
      <c r="X510" s="1645"/>
      <c r="Y510" s="1645"/>
      <c r="Z510" s="1645"/>
      <c r="AA510" s="1645"/>
      <c r="AB510" s="1645"/>
      <c r="AC510" s="1645"/>
      <c r="AD510" s="1645"/>
      <c r="AE510" s="1645"/>
      <c r="AF510" s="1645"/>
      <c r="AG510" s="1645"/>
      <c r="AH510" s="1645"/>
      <c r="AI510" s="1645"/>
      <c r="AJ510" s="1645"/>
      <c r="AK510" s="1645"/>
      <c r="AL510" s="1645"/>
      <c r="AM510" s="1645"/>
      <c r="AN510" s="1645"/>
      <c r="AO510" s="1645"/>
      <c r="AP510" s="1645"/>
      <c r="AQ510" s="1645"/>
      <c r="AR510" s="1645"/>
      <c r="AS510" s="1645"/>
      <c r="AT510" s="1645"/>
      <c r="AU510" s="1645"/>
      <c r="AV510" s="1645"/>
      <c r="AW510" s="1645"/>
      <c r="AX510" s="1645"/>
      <c r="AY510" s="1645"/>
      <c r="AZ510" s="1645"/>
      <c r="BA510" s="1645"/>
      <c r="BB510" s="1645"/>
      <c r="BC510" s="1645"/>
      <c r="BD510" s="1645"/>
      <c r="BE510" s="1645"/>
      <c r="BF510" s="1645"/>
      <c r="BG510" s="1645"/>
      <c r="BH510" s="1645"/>
      <c r="BI510" s="1645"/>
      <c r="BJ510" s="1645"/>
      <c r="BK510" s="1645"/>
      <c r="BL510" s="1645"/>
      <c r="BM510" s="1645"/>
      <c r="BN510" s="1645"/>
      <c r="BO510" s="1645"/>
      <c r="BP510" s="1645"/>
      <c r="BQ510" s="1645"/>
      <c r="BR510" s="1645"/>
      <c r="BS510" s="1645"/>
      <c r="BT510" s="1645"/>
      <c r="BU510" s="1645"/>
      <c r="BV510" s="1645"/>
      <c r="BW510" s="1645"/>
      <c r="BX510" s="1645"/>
      <c r="BY510" s="1645"/>
      <c r="BZ510" s="1645"/>
      <c r="CA510" s="1645"/>
      <c r="CB510" s="1645"/>
      <c r="CC510" s="1645"/>
      <c r="CD510" s="1645"/>
      <c r="CE510" s="1645"/>
      <c r="CF510" s="1645"/>
      <c r="CG510" s="1645"/>
      <c r="CH510" s="1645"/>
      <c r="CI510" s="1645"/>
      <c r="CJ510" s="1645"/>
      <c r="CK510" s="1645"/>
      <c r="CL510" s="1645"/>
      <c r="CM510" s="1645"/>
      <c r="CN510" s="1645"/>
      <c r="CO510" s="1645"/>
    </row>
    <row r="511" spans="1:114" s="1136" customFormat="1" ht="15" x14ac:dyDescent="0.2">
      <c r="A511" s="1996" t="s">
        <v>4821</v>
      </c>
      <c r="B511" s="1995">
        <f>B325</f>
        <v>262</v>
      </c>
      <c r="C511" s="1668"/>
      <c r="D511" s="1668"/>
      <c r="E511" s="1668"/>
      <c r="F511" s="1668"/>
      <c r="G511" s="1668"/>
      <c r="H511" s="1070"/>
      <c r="I511" s="1645"/>
      <c r="J511" s="1645"/>
      <c r="K511" s="1645"/>
      <c r="L511" s="1645"/>
      <c r="M511" s="1645"/>
      <c r="N511" s="1645"/>
      <c r="O511" s="1645"/>
      <c r="P511" s="1645"/>
      <c r="Q511" s="1645"/>
      <c r="R511" s="1645"/>
      <c r="S511" s="1645"/>
      <c r="T511" s="1645"/>
      <c r="U511" s="1645"/>
      <c r="V511" s="1645"/>
      <c r="W511" s="1645"/>
      <c r="X511" s="1645"/>
      <c r="Y511" s="1645"/>
      <c r="Z511" s="1645"/>
      <c r="AA511" s="1645"/>
      <c r="AB511" s="1645"/>
      <c r="AC511" s="1645"/>
      <c r="AD511" s="1645"/>
      <c r="AE511" s="1645"/>
      <c r="AF511" s="1645"/>
      <c r="AG511" s="1645"/>
      <c r="AH511" s="1645"/>
      <c r="AI511" s="1645"/>
      <c r="AJ511" s="1645"/>
      <c r="AK511" s="1645"/>
      <c r="AL511" s="1645"/>
      <c r="AM511" s="1645"/>
      <c r="AN511" s="1645"/>
      <c r="AO511" s="1645"/>
      <c r="AP511" s="1645"/>
      <c r="AQ511" s="1645"/>
      <c r="AR511" s="1645"/>
      <c r="AS511" s="1645"/>
      <c r="AT511" s="1645"/>
      <c r="AU511" s="1645"/>
      <c r="AV511" s="1645"/>
      <c r="AW511" s="1645"/>
      <c r="AX511" s="1645"/>
      <c r="AY511" s="1645"/>
      <c r="AZ511" s="1645"/>
      <c r="BA511" s="1645"/>
      <c r="BB511" s="1645"/>
      <c r="BC511" s="1645"/>
      <c r="BD511" s="1645"/>
      <c r="BE511" s="1645"/>
      <c r="BF511" s="1645"/>
      <c r="BG511" s="1645"/>
      <c r="BH511" s="1645"/>
      <c r="BI511" s="1645"/>
      <c r="BJ511" s="1645"/>
      <c r="BK511" s="1645"/>
      <c r="BL511" s="1645"/>
      <c r="BM511" s="1645"/>
      <c r="BN511" s="1645"/>
      <c r="BO511" s="1645"/>
      <c r="BP511" s="1645"/>
      <c r="BQ511" s="1645"/>
      <c r="BR511" s="1645"/>
      <c r="BS511" s="1645"/>
      <c r="BT511" s="1645"/>
      <c r="BU511" s="1645"/>
      <c r="BV511" s="1645"/>
      <c r="BW511" s="1645"/>
      <c r="BX511" s="1645"/>
      <c r="BY511" s="1645"/>
      <c r="BZ511" s="1645"/>
      <c r="CA511" s="1645"/>
      <c r="CB511" s="1645"/>
      <c r="CC511" s="1645"/>
      <c r="CD511" s="1645"/>
      <c r="CE511" s="1645"/>
      <c r="CF511" s="1645"/>
      <c r="CG511" s="1645"/>
      <c r="CH511" s="1645"/>
      <c r="CI511" s="1645"/>
      <c r="CJ511" s="1645"/>
      <c r="CK511" s="1645"/>
      <c r="CL511" s="1645"/>
      <c r="CM511" s="1645"/>
      <c r="CN511" s="1645"/>
      <c r="CO511" s="1645"/>
    </row>
    <row r="512" spans="1:114" s="1136" customFormat="1" ht="15" x14ac:dyDescent="0.2">
      <c r="A512" s="1996" t="s">
        <v>4822</v>
      </c>
      <c r="B512" s="1995">
        <f>B332</f>
        <v>267</v>
      </c>
      <c r="C512" s="1668"/>
      <c r="D512" s="1668"/>
      <c r="E512" s="1668"/>
      <c r="F512" s="1668"/>
      <c r="G512" s="1668"/>
      <c r="H512" s="1070"/>
      <c r="I512" s="1645"/>
      <c r="J512" s="1645"/>
      <c r="K512" s="1645"/>
      <c r="L512" s="1645"/>
      <c r="M512" s="1645"/>
      <c r="N512" s="1645"/>
      <c r="O512" s="1645"/>
      <c r="P512" s="1645"/>
      <c r="Q512" s="1645"/>
      <c r="R512" s="1645"/>
      <c r="S512" s="1645"/>
      <c r="T512" s="1645"/>
      <c r="U512" s="1645"/>
      <c r="V512" s="1645"/>
      <c r="W512" s="1645"/>
      <c r="X512" s="1645"/>
      <c r="Y512" s="1645"/>
      <c r="Z512" s="1645"/>
      <c r="AA512" s="1645"/>
      <c r="AB512" s="1645"/>
      <c r="AC512" s="1645"/>
      <c r="AD512" s="1645"/>
      <c r="AE512" s="1645"/>
      <c r="AF512" s="1645"/>
      <c r="AG512" s="1645"/>
      <c r="AH512" s="1645"/>
      <c r="AI512" s="1645"/>
      <c r="AJ512" s="1645"/>
      <c r="AK512" s="1645"/>
      <c r="AL512" s="1645"/>
      <c r="AM512" s="1645"/>
      <c r="AN512" s="1645"/>
      <c r="AO512" s="1645"/>
      <c r="AP512" s="1645"/>
      <c r="AQ512" s="1645"/>
      <c r="AR512" s="1645"/>
      <c r="AS512" s="1645"/>
      <c r="AT512" s="1645"/>
      <c r="AU512" s="1645"/>
      <c r="AV512" s="1645"/>
      <c r="AW512" s="1645"/>
      <c r="AX512" s="1645"/>
      <c r="AY512" s="1645"/>
      <c r="AZ512" s="1645"/>
      <c r="BA512" s="1645"/>
      <c r="BB512" s="1645"/>
      <c r="BC512" s="1645"/>
      <c r="BD512" s="1645"/>
      <c r="BE512" s="1645"/>
      <c r="BF512" s="1645"/>
      <c r="BG512" s="1645"/>
      <c r="BH512" s="1645"/>
      <c r="BI512" s="1645"/>
      <c r="BJ512" s="1645"/>
      <c r="BK512" s="1645"/>
      <c r="BL512" s="1645"/>
      <c r="BM512" s="1645"/>
      <c r="BN512" s="1645"/>
      <c r="BO512" s="1645"/>
      <c r="BP512" s="1645"/>
      <c r="BQ512" s="1645"/>
      <c r="BR512" s="1645"/>
      <c r="BS512" s="1645"/>
      <c r="BT512" s="1645"/>
      <c r="BU512" s="1645"/>
      <c r="BV512" s="1645"/>
      <c r="BW512" s="1645"/>
      <c r="BX512" s="1645"/>
      <c r="BY512" s="1645"/>
      <c r="BZ512" s="1645"/>
      <c r="CA512" s="1645"/>
      <c r="CB512" s="1645"/>
      <c r="CC512" s="1645"/>
      <c r="CD512" s="1645"/>
      <c r="CE512" s="1645"/>
      <c r="CF512" s="1645"/>
      <c r="CG512" s="1645"/>
      <c r="CH512" s="1645"/>
      <c r="CI512" s="1645"/>
      <c r="CJ512" s="1645"/>
      <c r="CK512" s="1645"/>
      <c r="CL512" s="1645"/>
      <c r="CM512" s="1645"/>
      <c r="CN512" s="1645"/>
      <c r="CO512" s="1645"/>
    </row>
    <row r="513" spans="1:93" s="1136" customFormat="1" ht="15" x14ac:dyDescent="0.2">
      <c r="A513" s="1996" t="s">
        <v>4823</v>
      </c>
      <c r="B513" s="1995">
        <f>B345</f>
        <v>254</v>
      </c>
      <c r="C513" s="1668"/>
      <c r="D513" s="1668"/>
      <c r="E513" s="1668"/>
      <c r="F513" s="1668"/>
      <c r="G513" s="1668"/>
      <c r="H513" s="1070"/>
      <c r="I513" s="1645"/>
      <c r="J513" s="1645"/>
      <c r="K513" s="1645"/>
      <c r="L513" s="1645"/>
      <c r="M513" s="1645"/>
      <c r="N513" s="1645"/>
      <c r="O513" s="1645"/>
      <c r="P513" s="1645"/>
      <c r="Q513" s="1645"/>
      <c r="R513" s="1645"/>
      <c r="S513" s="1645"/>
      <c r="T513" s="1645"/>
      <c r="U513" s="1645"/>
      <c r="V513" s="1645"/>
      <c r="W513" s="1645"/>
      <c r="X513" s="1645"/>
      <c r="Y513" s="1645"/>
      <c r="Z513" s="1645"/>
      <c r="AA513" s="1645"/>
      <c r="AB513" s="1645"/>
      <c r="AC513" s="1645"/>
      <c r="AD513" s="1645"/>
      <c r="AE513" s="1645"/>
      <c r="AF513" s="1645"/>
      <c r="AG513" s="1645"/>
      <c r="AH513" s="1645"/>
      <c r="AI513" s="1645"/>
      <c r="AJ513" s="1645"/>
      <c r="AK513" s="1645"/>
      <c r="AL513" s="1645"/>
      <c r="AM513" s="1645"/>
      <c r="AN513" s="1645"/>
      <c r="AO513" s="1645"/>
      <c r="AP513" s="1645"/>
      <c r="AQ513" s="1645"/>
      <c r="AR513" s="1645"/>
      <c r="AS513" s="1645"/>
      <c r="AT513" s="1645"/>
      <c r="AU513" s="1645"/>
      <c r="AV513" s="1645"/>
      <c r="AW513" s="1645"/>
      <c r="AX513" s="1645"/>
      <c r="AY513" s="1645"/>
      <c r="AZ513" s="1645"/>
      <c r="BA513" s="1645"/>
      <c r="BB513" s="1645"/>
      <c r="BC513" s="1645"/>
      <c r="BD513" s="1645"/>
      <c r="BE513" s="1645"/>
      <c r="BF513" s="1645"/>
      <c r="BG513" s="1645"/>
      <c r="BH513" s="1645"/>
      <c r="BI513" s="1645"/>
      <c r="BJ513" s="1645"/>
      <c r="BK513" s="1645"/>
      <c r="BL513" s="1645"/>
      <c r="BM513" s="1645"/>
      <c r="BN513" s="1645"/>
      <c r="BO513" s="1645"/>
      <c r="BP513" s="1645"/>
      <c r="BQ513" s="1645"/>
      <c r="BR513" s="1645"/>
      <c r="BS513" s="1645"/>
      <c r="BT513" s="1645"/>
      <c r="BU513" s="1645"/>
      <c r="BV513" s="1645"/>
      <c r="BW513" s="1645"/>
      <c r="BX513" s="1645"/>
      <c r="BY513" s="1645"/>
      <c r="BZ513" s="1645"/>
      <c r="CA513" s="1645"/>
      <c r="CB513" s="1645"/>
      <c r="CC513" s="1645"/>
      <c r="CD513" s="1645"/>
      <c r="CE513" s="1645"/>
      <c r="CF513" s="1645"/>
      <c r="CG513" s="1645"/>
      <c r="CH513" s="1645"/>
      <c r="CI513" s="1645"/>
      <c r="CJ513" s="1645"/>
      <c r="CK513" s="1645"/>
      <c r="CL513" s="1645"/>
      <c r="CM513" s="1645"/>
      <c r="CN513" s="1645"/>
      <c r="CO513" s="1645"/>
    </row>
    <row r="514" spans="1:93" s="1136" customFormat="1" ht="15.75" x14ac:dyDescent="0.25">
      <c r="A514" s="1996" t="s">
        <v>4615</v>
      </c>
      <c r="B514" s="1997" t="e">
        <f>INDEX(B509:B513,B175)</f>
        <v>#VALUE!</v>
      </c>
      <c r="C514" s="1998"/>
      <c r="D514" s="1998"/>
      <c r="E514" s="1998"/>
      <c r="F514" s="1998"/>
      <c r="G514" s="1998"/>
      <c r="H514" s="1070"/>
      <c r="I514" s="1645"/>
      <c r="J514" s="1645"/>
      <c r="K514" s="1645"/>
      <c r="L514" s="1645"/>
      <c r="M514" s="1645"/>
      <c r="N514" s="1645"/>
      <c r="O514" s="1645"/>
      <c r="P514" s="1645"/>
      <c r="Q514" s="1645"/>
      <c r="R514" s="1645"/>
      <c r="S514" s="1645"/>
      <c r="T514" s="1645"/>
      <c r="U514" s="1645"/>
      <c r="V514" s="1645"/>
      <c r="W514" s="1645"/>
      <c r="X514" s="1645"/>
      <c r="Y514" s="1645"/>
      <c r="Z514" s="1645"/>
      <c r="AA514" s="1645"/>
      <c r="AB514" s="1645"/>
      <c r="AC514" s="1645"/>
      <c r="AD514" s="1645"/>
      <c r="AE514" s="1645"/>
      <c r="AF514" s="1645"/>
      <c r="AG514" s="1645"/>
      <c r="AH514" s="1645"/>
      <c r="AI514" s="1645"/>
      <c r="AJ514" s="1645"/>
      <c r="AK514" s="1645"/>
      <c r="AL514" s="1645"/>
      <c r="AM514" s="1645"/>
      <c r="AN514" s="1645"/>
      <c r="AO514" s="1645"/>
      <c r="AP514" s="1645"/>
      <c r="AQ514" s="1645"/>
      <c r="AR514" s="1645"/>
      <c r="AS514" s="1645"/>
      <c r="AT514" s="1645"/>
      <c r="AU514" s="1645"/>
      <c r="AV514" s="1645"/>
      <c r="AW514" s="1645"/>
      <c r="AX514" s="1645"/>
      <c r="AY514" s="1645"/>
      <c r="AZ514" s="1645"/>
      <c r="BA514" s="1645"/>
      <c r="BB514" s="1645"/>
      <c r="BC514" s="1645"/>
      <c r="BD514" s="1645"/>
      <c r="BE514" s="1645"/>
      <c r="BF514" s="1645"/>
      <c r="BG514" s="1645"/>
      <c r="BH514" s="1645"/>
      <c r="BI514" s="1645"/>
      <c r="BJ514" s="1645"/>
      <c r="BK514" s="1645"/>
      <c r="BL514" s="1645"/>
      <c r="BM514" s="1645"/>
      <c r="BN514" s="1645"/>
      <c r="BO514" s="1645"/>
      <c r="BP514" s="1645"/>
      <c r="BQ514" s="1645"/>
      <c r="BR514" s="1645"/>
      <c r="BS514" s="1645"/>
      <c r="BT514" s="1645"/>
      <c r="BU514" s="1645"/>
      <c r="BV514" s="1645"/>
      <c r="BW514" s="1645"/>
      <c r="BX514" s="1645"/>
      <c r="BY514" s="1645"/>
      <c r="BZ514" s="1645"/>
      <c r="CA514" s="1645"/>
      <c r="CB514" s="1645"/>
      <c r="CC514" s="1645"/>
      <c r="CD514" s="1645"/>
      <c r="CE514" s="1645"/>
      <c r="CF514" s="1645"/>
      <c r="CG514" s="1645"/>
      <c r="CH514" s="1645"/>
      <c r="CI514" s="1645"/>
      <c r="CJ514" s="1645"/>
      <c r="CK514" s="1645"/>
      <c r="CL514" s="1645"/>
      <c r="CM514" s="1645"/>
      <c r="CN514" s="1645"/>
      <c r="CO514" s="1645"/>
    </row>
    <row r="515" spans="1:93" s="1136" customFormat="1" ht="15" x14ac:dyDescent="0.2">
      <c r="A515" s="1405" t="s">
        <v>4616</v>
      </c>
      <c r="B515" s="1999" t="e">
        <f>INDEX(B411:B415,B175)</f>
        <v>#VALUE!</v>
      </c>
      <c r="C515" s="1328"/>
      <c r="D515" s="1328"/>
      <c r="E515" s="1328"/>
      <c r="F515" s="1328"/>
      <c r="G515" s="1328"/>
      <c r="H515" s="1070"/>
      <c r="I515" s="1645"/>
      <c r="J515" s="1645"/>
      <c r="K515" s="1645"/>
      <c r="L515" s="1645"/>
      <c r="M515" s="1645"/>
      <c r="N515" s="1645"/>
      <c r="O515" s="1645"/>
      <c r="P515" s="1645"/>
      <c r="Q515" s="1645"/>
      <c r="R515" s="1645"/>
      <c r="S515" s="1645"/>
      <c r="T515" s="1645"/>
      <c r="U515" s="1645"/>
      <c r="V515" s="1645"/>
      <c r="W515" s="1645"/>
      <c r="X515" s="1645"/>
      <c r="Y515" s="1645"/>
      <c r="Z515" s="1645"/>
      <c r="AA515" s="1645"/>
      <c r="AB515" s="1645"/>
      <c r="AC515" s="1645"/>
      <c r="AD515" s="1645"/>
      <c r="AE515" s="1645"/>
      <c r="AF515" s="1645"/>
      <c r="AG515" s="1645"/>
      <c r="AH515" s="1645"/>
      <c r="AI515" s="1645"/>
      <c r="AJ515" s="1645"/>
      <c r="AK515" s="1645"/>
      <c r="AL515" s="1645"/>
      <c r="AM515" s="1645"/>
      <c r="AN515" s="1645"/>
      <c r="AO515" s="1645"/>
      <c r="AP515" s="1645"/>
      <c r="AQ515" s="1645"/>
      <c r="AR515" s="1645"/>
      <c r="AS515" s="1645"/>
      <c r="AT515" s="1645"/>
      <c r="AU515" s="1645"/>
      <c r="AV515" s="1645"/>
      <c r="AW515" s="1645"/>
      <c r="AX515" s="1645"/>
      <c r="AY515" s="1645"/>
      <c r="AZ515" s="1645"/>
      <c r="BA515" s="1645"/>
      <c r="BB515" s="1645"/>
      <c r="BC515" s="1645"/>
      <c r="BD515" s="1645"/>
      <c r="BE515" s="1645"/>
      <c r="BF515" s="1645"/>
      <c r="BG515" s="1645"/>
      <c r="BH515" s="1645"/>
      <c r="BI515" s="1645"/>
      <c r="BJ515" s="1645"/>
      <c r="BK515" s="1645"/>
      <c r="BL515" s="1645"/>
      <c r="BM515" s="1645"/>
      <c r="BN515" s="1645"/>
      <c r="BO515" s="1645"/>
      <c r="BP515" s="1645"/>
      <c r="BQ515" s="1645"/>
      <c r="BR515" s="1645"/>
      <c r="BS515" s="1645"/>
      <c r="BT515" s="1645"/>
      <c r="BU515" s="1645"/>
      <c r="BV515" s="1645"/>
      <c r="BW515" s="1645"/>
      <c r="BX515" s="1645"/>
      <c r="BY515" s="1645"/>
      <c r="BZ515" s="1645"/>
      <c r="CA515" s="1645"/>
      <c r="CB515" s="1645"/>
      <c r="CC515" s="1645"/>
      <c r="CD515" s="1645"/>
      <c r="CE515" s="1645"/>
      <c r="CF515" s="1645"/>
      <c r="CG515" s="1645"/>
      <c r="CH515" s="1645"/>
      <c r="CI515" s="1645"/>
      <c r="CJ515" s="1645"/>
      <c r="CK515" s="1645"/>
      <c r="CL515" s="1645"/>
      <c r="CM515" s="1645"/>
      <c r="CN515" s="1645"/>
      <c r="CO515" s="1645"/>
    </row>
    <row r="516" spans="1:93" s="1136" customFormat="1" ht="15" x14ac:dyDescent="0.2">
      <c r="A516" s="1405" t="s">
        <v>4617</v>
      </c>
      <c r="B516" s="1999" t="e">
        <f>B514*B515</f>
        <v>#VALUE!</v>
      </c>
      <c r="C516" s="1328"/>
      <c r="D516" s="1328"/>
      <c r="E516" s="1328"/>
      <c r="F516" s="1328"/>
      <c r="G516" s="1328"/>
      <c r="H516" s="1070"/>
      <c r="I516" s="1645"/>
      <c r="J516" s="1645"/>
      <c r="K516" s="1645"/>
      <c r="L516" s="1645"/>
      <c r="M516" s="1645"/>
      <c r="N516" s="1645"/>
      <c r="O516" s="1645"/>
      <c r="P516" s="1645"/>
      <c r="Q516" s="1645"/>
      <c r="R516" s="1645"/>
      <c r="S516" s="1645"/>
      <c r="T516" s="1645"/>
      <c r="U516" s="1645"/>
      <c r="V516" s="1645"/>
      <c r="W516" s="1645"/>
      <c r="X516" s="1645"/>
      <c r="Y516" s="1645"/>
      <c r="Z516" s="1645"/>
      <c r="AA516" s="1645"/>
      <c r="AB516" s="1645"/>
      <c r="AC516" s="1645"/>
      <c r="AD516" s="1645"/>
      <c r="AE516" s="1645"/>
      <c r="AF516" s="1645"/>
      <c r="AG516" s="1645"/>
      <c r="AH516" s="1645"/>
      <c r="AI516" s="1645"/>
      <c r="AJ516" s="1645"/>
      <c r="AK516" s="1645"/>
      <c r="AL516" s="1645"/>
      <c r="AM516" s="1645"/>
      <c r="AN516" s="1645"/>
      <c r="AO516" s="1645"/>
      <c r="AP516" s="1645"/>
      <c r="AQ516" s="1645"/>
      <c r="AR516" s="1645"/>
      <c r="AS516" s="1645"/>
      <c r="AT516" s="1645"/>
      <c r="AU516" s="1645"/>
      <c r="AV516" s="1645"/>
      <c r="AW516" s="1645"/>
      <c r="AX516" s="1645"/>
      <c r="AY516" s="1645"/>
      <c r="AZ516" s="1645"/>
      <c r="BA516" s="1645"/>
      <c r="BB516" s="1645"/>
      <c r="BC516" s="1645"/>
      <c r="BD516" s="1645"/>
      <c r="BE516" s="1645"/>
      <c r="BF516" s="1645"/>
      <c r="BG516" s="1645"/>
      <c r="BH516" s="1645"/>
      <c r="BI516" s="1645"/>
      <c r="BJ516" s="1645"/>
      <c r="BK516" s="1645"/>
      <c r="BL516" s="1645"/>
      <c r="BM516" s="1645"/>
      <c r="BN516" s="1645"/>
      <c r="BO516" s="1645"/>
      <c r="BP516" s="1645"/>
      <c r="BQ516" s="1645"/>
      <c r="BR516" s="1645"/>
      <c r="BS516" s="1645"/>
      <c r="BT516" s="1645"/>
      <c r="BU516" s="1645"/>
      <c r="BV516" s="1645"/>
      <c r="BW516" s="1645"/>
      <c r="BX516" s="1645"/>
      <c r="BY516" s="1645"/>
      <c r="BZ516" s="1645"/>
      <c r="CA516" s="1645"/>
      <c r="CB516" s="1645"/>
      <c r="CC516" s="1645"/>
      <c r="CD516" s="1645"/>
      <c r="CE516" s="1645"/>
      <c r="CF516" s="1645"/>
      <c r="CG516" s="1645"/>
      <c r="CH516" s="1645"/>
      <c r="CI516" s="1645"/>
      <c r="CJ516" s="1645"/>
      <c r="CK516" s="1645"/>
      <c r="CL516" s="1645"/>
      <c r="CM516" s="1645"/>
      <c r="CN516" s="1645"/>
      <c r="CO516" s="1645"/>
    </row>
    <row r="517" spans="1:93" s="1136" customFormat="1" ht="15" x14ac:dyDescent="0.2">
      <c r="A517" s="1718" t="s">
        <v>4618</v>
      </c>
      <c r="B517" s="1999"/>
      <c r="C517" s="1070"/>
      <c r="D517" s="1070"/>
      <c r="E517" s="1070"/>
      <c r="F517" s="1070"/>
      <c r="G517" s="1070"/>
      <c r="H517" s="1070"/>
      <c r="I517" s="1645"/>
      <c r="J517" s="1645"/>
      <c r="K517" s="1645"/>
      <c r="L517" s="1645"/>
      <c r="M517" s="1645"/>
      <c r="N517" s="1645"/>
      <c r="O517" s="1645"/>
      <c r="P517" s="1645"/>
      <c r="Q517" s="1645"/>
      <c r="R517" s="1645"/>
      <c r="S517" s="1645"/>
      <c r="T517" s="1645"/>
      <c r="U517" s="1645"/>
      <c r="V517" s="1645"/>
      <c r="W517" s="1645"/>
      <c r="X517" s="1645"/>
      <c r="Y517" s="1645"/>
      <c r="Z517" s="1645"/>
      <c r="AA517" s="1645"/>
      <c r="AB517" s="1645"/>
      <c r="AC517" s="1645"/>
      <c r="AD517" s="1645"/>
      <c r="AE517" s="1645"/>
      <c r="AF517" s="1645"/>
      <c r="AG517" s="1645"/>
      <c r="AH517" s="1645"/>
      <c r="AI517" s="1645"/>
      <c r="AJ517" s="1645"/>
      <c r="AK517" s="1645"/>
      <c r="AL517" s="1645"/>
      <c r="AM517" s="1645"/>
      <c r="AN517" s="1645"/>
      <c r="AO517" s="1645"/>
      <c r="AP517" s="1645"/>
      <c r="AQ517" s="1645"/>
      <c r="AR517" s="1645"/>
      <c r="AS517" s="1645"/>
      <c r="AT517" s="1645"/>
      <c r="AU517" s="1645"/>
      <c r="AV517" s="1645"/>
      <c r="AW517" s="1645"/>
      <c r="AX517" s="1645"/>
      <c r="AY517" s="1645"/>
      <c r="AZ517" s="1645"/>
      <c r="BA517" s="1645"/>
      <c r="BB517" s="1645"/>
      <c r="BC517" s="1645"/>
      <c r="BD517" s="1645"/>
      <c r="BE517" s="1645"/>
      <c r="BF517" s="1645"/>
      <c r="BG517" s="1645"/>
      <c r="BH517" s="1645"/>
      <c r="BI517" s="1645"/>
      <c r="BJ517" s="1645"/>
      <c r="BK517" s="1645"/>
      <c r="BL517" s="1645"/>
      <c r="BM517" s="1645"/>
      <c r="BN517" s="1645"/>
      <c r="BO517" s="1645"/>
      <c r="BP517" s="1645"/>
      <c r="BQ517" s="1645"/>
      <c r="BR517" s="1645"/>
      <c r="BS517" s="1645"/>
      <c r="BT517" s="1645"/>
      <c r="BU517" s="1645"/>
      <c r="BV517" s="1645"/>
      <c r="BW517" s="1645"/>
      <c r="BX517" s="1645"/>
      <c r="BY517" s="1645"/>
      <c r="BZ517" s="1645"/>
      <c r="CA517" s="1645"/>
      <c r="CB517" s="1645"/>
      <c r="CC517" s="1645"/>
      <c r="CD517" s="1645"/>
      <c r="CE517" s="1645"/>
      <c r="CF517" s="1645"/>
      <c r="CG517" s="1645"/>
      <c r="CH517" s="1645"/>
      <c r="CI517" s="1645"/>
      <c r="CJ517" s="1645"/>
      <c r="CK517" s="1645"/>
      <c r="CL517" s="1645"/>
      <c r="CM517" s="1645"/>
      <c r="CN517" s="1645"/>
      <c r="CO517" s="1645"/>
    </row>
    <row r="518" spans="1:93" s="1136" customFormat="1" ht="15" x14ac:dyDescent="0.2">
      <c r="A518" s="1996" t="s">
        <v>3720</v>
      </c>
      <c r="B518" s="1995">
        <f>B290</f>
        <v>5.4320000000000004</v>
      </c>
      <c r="C518" s="1668"/>
      <c r="D518" s="1668"/>
      <c r="E518" s="1668"/>
      <c r="F518" s="1668"/>
      <c r="G518" s="1668"/>
      <c r="H518" s="1070"/>
      <c r="I518" s="1645"/>
      <c r="J518" s="1645"/>
      <c r="K518" s="1645"/>
      <c r="L518" s="1645"/>
      <c r="M518" s="1645"/>
      <c r="N518" s="1645"/>
      <c r="O518" s="1645"/>
      <c r="P518" s="1645"/>
      <c r="Q518" s="1645"/>
      <c r="R518" s="1645"/>
      <c r="S518" s="1645"/>
      <c r="T518" s="1645"/>
      <c r="U518" s="1645"/>
      <c r="V518" s="1645"/>
      <c r="W518" s="1645"/>
      <c r="X518" s="1645"/>
      <c r="Y518" s="1645"/>
      <c r="Z518" s="1645"/>
      <c r="AA518" s="1645"/>
      <c r="AB518" s="1645"/>
      <c r="AC518" s="1645"/>
      <c r="AD518" s="1645"/>
      <c r="AE518" s="1645"/>
      <c r="AF518" s="1645"/>
      <c r="AG518" s="1645"/>
      <c r="AH518" s="1645"/>
      <c r="AI518" s="1645"/>
      <c r="AJ518" s="1645"/>
      <c r="AK518" s="1645"/>
      <c r="AL518" s="1645"/>
      <c r="AM518" s="1645"/>
      <c r="AN518" s="1645"/>
      <c r="AO518" s="1645"/>
      <c r="AP518" s="1645"/>
      <c r="AQ518" s="1645"/>
      <c r="AR518" s="1645"/>
      <c r="AS518" s="1645"/>
      <c r="AT518" s="1645"/>
      <c r="AU518" s="1645"/>
      <c r="AV518" s="1645"/>
      <c r="AW518" s="1645"/>
      <c r="AX518" s="1645"/>
      <c r="AY518" s="1645"/>
      <c r="AZ518" s="1645"/>
      <c r="BA518" s="1645"/>
      <c r="BB518" s="1645"/>
      <c r="BC518" s="1645"/>
      <c r="BD518" s="1645"/>
      <c r="BE518" s="1645"/>
      <c r="BF518" s="1645"/>
      <c r="BG518" s="1645"/>
      <c r="BH518" s="1645"/>
      <c r="BI518" s="1645"/>
      <c r="BJ518" s="1645"/>
      <c r="BK518" s="1645"/>
      <c r="BL518" s="1645"/>
      <c r="BM518" s="1645"/>
      <c r="BN518" s="1645"/>
      <c r="BO518" s="1645"/>
      <c r="BP518" s="1645"/>
      <c r="BQ518" s="1645"/>
      <c r="BR518" s="1645"/>
      <c r="BS518" s="1645"/>
      <c r="BT518" s="1645"/>
      <c r="BU518" s="1645"/>
      <c r="BV518" s="1645"/>
      <c r="BW518" s="1645"/>
      <c r="BX518" s="1645"/>
      <c r="BY518" s="1645"/>
      <c r="BZ518" s="1645"/>
      <c r="CA518" s="1645"/>
      <c r="CB518" s="1645"/>
      <c r="CC518" s="1645"/>
      <c r="CD518" s="1645"/>
      <c r="CE518" s="1645"/>
      <c r="CF518" s="1645"/>
      <c r="CG518" s="1645"/>
      <c r="CH518" s="1645"/>
      <c r="CI518" s="1645"/>
      <c r="CJ518" s="1645"/>
      <c r="CK518" s="1645"/>
      <c r="CL518" s="1645"/>
      <c r="CM518" s="1645"/>
      <c r="CN518" s="1645"/>
      <c r="CO518" s="1645"/>
    </row>
    <row r="519" spans="1:93" s="1136" customFormat="1" ht="15" x14ac:dyDescent="0.2">
      <c r="A519" s="1996" t="s">
        <v>4820</v>
      </c>
      <c r="B519" s="1995">
        <f>B307</f>
        <v>4.8959999999999999</v>
      </c>
      <c r="C519" s="1668"/>
      <c r="D519" s="1668"/>
      <c r="E519" s="1668"/>
      <c r="F519" s="1668"/>
      <c r="G519" s="1668"/>
      <c r="H519" s="1070"/>
      <c r="I519" s="1645"/>
      <c r="J519" s="1645"/>
      <c r="K519" s="1645"/>
      <c r="L519" s="1645"/>
      <c r="M519" s="1645"/>
      <c r="N519" s="1645"/>
      <c r="O519" s="1645"/>
      <c r="P519" s="1645"/>
      <c r="Q519" s="1645"/>
      <c r="R519" s="1645"/>
      <c r="S519" s="1645"/>
      <c r="T519" s="1645"/>
      <c r="U519" s="1645"/>
      <c r="V519" s="1645"/>
      <c r="W519" s="1645"/>
      <c r="X519" s="1645"/>
      <c r="Y519" s="1645"/>
      <c r="Z519" s="1645"/>
      <c r="AA519" s="1645"/>
      <c r="AB519" s="1645"/>
      <c r="AC519" s="1645"/>
      <c r="AD519" s="1645"/>
      <c r="AE519" s="1645"/>
      <c r="AF519" s="1645"/>
      <c r="AG519" s="1645"/>
      <c r="AH519" s="1645"/>
      <c r="AI519" s="1645"/>
      <c r="AJ519" s="1645"/>
      <c r="AK519" s="1645"/>
      <c r="AL519" s="1645"/>
      <c r="AM519" s="1645"/>
      <c r="AN519" s="1645"/>
      <c r="AO519" s="1645"/>
      <c r="AP519" s="1645"/>
      <c r="AQ519" s="1645"/>
      <c r="AR519" s="1645"/>
      <c r="AS519" s="1645"/>
      <c r="AT519" s="1645"/>
      <c r="AU519" s="1645"/>
      <c r="AV519" s="1645"/>
      <c r="AW519" s="1645"/>
      <c r="AX519" s="1645"/>
      <c r="AY519" s="1645"/>
      <c r="AZ519" s="1645"/>
      <c r="BA519" s="1645"/>
      <c r="BB519" s="1645"/>
      <c r="BC519" s="1645"/>
      <c r="BD519" s="1645"/>
      <c r="BE519" s="1645"/>
      <c r="BF519" s="1645"/>
      <c r="BG519" s="1645"/>
      <c r="BH519" s="1645"/>
      <c r="BI519" s="1645"/>
      <c r="BJ519" s="1645"/>
      <c r="BK519" s="1645"/>
      <c r="BL519" s="1645"/>
      <c r="BM519" s="1645"/>
      <c r="BN519" s="1645"/>
      <c r="BO519" s="1645"/>
      <c r="BP519" s="1645"/>
      <c r="BQ519" s="1645"/>
      <c r="BR519" s="1645"/>
      <c r="BS519" s="1645"/>
      <c r="BT519" s="1645"/>
      <c r="BU519" s="1645"/>
      <c r="BV519" s="1645"/>
      <c r="BW519" s="1645"/>
      <c r="BX519" s="1645"/>
      <c r="BY519" s="1645"/>
      <c r="BZ519" s="1645"/>
      <c r="CA519" s="1645"/>
      <c r="CB519" s="1645"/>
      <c r="CC519" s="1645"/>
      <c r="CD519" s="1645"/>
      <c r="CE519" s="1645"/>
      <c r="CF519" s="1645"/>
      <c r="CG519" s="1645"/>
      <c r="CH519" s="1645"/>
      <c r="CI519" s="1645"/>
      <c r="CJ519" s="1645"/>
      <c r="CK519" s="1645"/>
      <c r="CL519" s="1645"/>
      <c r="CM519" s="1645"/>
      <c r="CN519" s="1645"/>
      <c r="CO519" s="1645"/>
    </row>
    <row r="520" spans="1:93" s="1136" customFormat="1" ht="15" x14ac:dyDescent="0.2">
      <c r="A520" s="1996" t="s">
        <v>4821</v>
      </c>
      <c r="B520" s="1995">
        <f>B324</f>
        <v>4.5529999999999999</v>
      </c>
      <c r="C520" s="1668"/>
      <c r="D520" s="1668"/>
      <c r="E520" s="1668"/>
      <c r="F520" s="1668"/>
      <c r="G520" s="1668"/>
      <c r="H520" s="1070"/>
      <c r="I520" s="1645"/>
      <c r="J520" s="1645"/>
      <c r="K520" s="1645"/>
      <c r="L520" s="1645"/>
      <c r="M520" s="1645"/>
      <c r="N520" s="1645"/>
      <c r="O520" s="1645"/>
      <c r="P520" s="1645"/>
      <c r="Q520" s="1645"/>
      <c r="R520" s="1645"/>
      <c r="S520" s="1645"/>
      <c r="T520" s="1645"/>
      <c r="U520" s="1645"/>
      <c r="V520" s="1645"/>
      <c r="W520" s="1645"/>
      <c r="X520" s="1645"/>
      <c r="Y520" s="1645"/>
      <c r="Z520" s="1645"/>
      <c r="AA520" s="1645"/>
      <c r="AB520" s="1645"/>
      <c r="AC520" s="1645"/>
      <c r="AD520" s="1645"/>
      <c r="AE520" s="1645"/>
      <c r="AF520" s="1645"/>
      <c r="AG520" s="1645"/>
      <c r="AH520" s="1645"/>
      <c r="AI520" s="1645"/>
      <c r="AJ520" s="1645"/>
      <c r="AK520" s="1645"/>
      <c r="AL520" s="1645"/>
      <c r="AM520" s="1645"/>
      <c r="AN520" s="1645"/>
      <c r="AO520" s="1645"/>
      <c r="AP520" s="1645"/>
      <c r="AQ520" s="1645"/>
      <c r="AR520" s="1645"/>
      <c r="AS520" s="1645"/>
      <c r="AT520" s="1645"/>
      <c r="AU520" s="1645"/>
      <c r="AV520" s="1645"/>
      <c r="AW520" s="1645"/>
      <c r="AX520" s="1645"/>
      <c r="AY520" s="1645"/>
      <c r="AZ520" s="1645"/>
      <c r="BA520" s="1645"/>
      <c r="BB520" s="1645"/>
      <c r="BC520" s="1645"/>
      <c r="BD520" s="1645"/>
      <c r="BE520" s="1645"/>
      <c r="BF520" s="1645"/>
      <c r="BG520" s="1645"/>
      <c r="BH520" s="1645"/>
      <c r="BI520" s="1645"/>
      <c r="BJ520" s="1645"/>
      <c r="BK520" s="1645"/>
      <c r="BL520" s="1645"/>
      <c r="BM520" s="1645"/>
      <c r="BN520" s="1645"/>
      <c r="BO520" s="1645"/>
      <c r="BP520" s="1645"/>
      <c r="BQ520" s="1645"/>
      <c r="BR520" s="1645"/>
      <c r="BS520" s="1645"/>
      <c r="BT520" s="1645"/>
      <c r="BU520" s="1645"/>
      <c r="BV520" s="1645"/>
      <c r="BW520" s="1645"/>
      <c r="BX520" s="1645"/>
      <c r="BY520" s="1645"/>
      <c r="BZ520" s="1645"/>
      <c r="CA520" s="1645"/>
      <c r="CB520" s="1645"/>
      <c r="CC520" s="1645"/>
      <c r="CD520" s="1645"/>
      <c r="CE520" s="1645"/>
      <c r="CF520" s="1645"/>
      <c r="CG520" s="1645"/>
      <c r="CH520" s="1645"/>
      <c r="CI520" s="1645"/>
      <c r="CJ520" s="1645"/>
      <c r="CK520" s="1645"/>
      <c r="CL520" s="1645"/>
      <c r="CM520" s="1645"/>
      <c r="CN520" s="1645"/>
      <c r="CO520" s="1645"/>
    </row>
    <row r="521" spans="1:93" s="1136" customFormat="1" ht="15" x14ac:dyDescent="0.2">
      <c r="A521" s="1996" t="s">
        <v>4822</v>
      </c>
      <c r="B521" s="1995">
        <f>B331</f>
        <v>4.9470000000000001</v>
      </c>
      <c r="C521" s="1668"/>
      <c r="D521" s="1668"/>
      <c r="E521" s="1668"/>
      <c r="F521" s="1668"/>
      <c r="G521" s="1668"/>
      <c r="H521" s="1070"/>
      <c r="I521" s="1645"/>
      <c r="J521" s="1645"/>
      <c r="K521" s="1645"/>
      <c r="L521" s="1645"/>
      <c r="M521" s="1645"/>
      <c r="N521" s="1645"/>
      <c r="O521" s="1645"/>
      <c r="P521" s="1645"/>
      <c r="Q521" s="1645"/>
      <c r="R521" s="1645"/>
      <c r="S521" s="1645"/>
      <c r="T521" s="1645"/>
      <c r="U521" s="1645"/>
      <c r="V521" s="1645"/>
      <c r="W521" s="1645"/>
      <c r="X521" s="1645"/>
      <c r="Y521" s="1645"/>
      <c r="Z521" s="1645"/>
      <c r="AA521" s="1645"/>
      <c r="AB521" s="1645"/>
      <c r="AC521" s="1645"/>
      <c r="AD521" s="1645"/>
      <c r="AE521" s="1645"/>
      <c r="AF521" s="1645"/>
      <c r="AG521" s="1645"/>
      <c r="AH521" s="1645"/>
      <c r="AI521" s="1645"/>
      <c r="AJ521" s="1645"/>
      <c r="AK521" s="1645"/>
      <c r="AL521" s="1645"/>
      <c r="AM521" s="1645"/>
      <c r="AN521" s="1645"/>
      <c r="AO521" s="1645"/>
      <c r="AP521" s="1645"/>
      <c r="AQ521" s="1645"/>
      <c r="AR521" s="1645"/>
      <c r="AS521" s="1645"/>
      <c r="AT521" s="1645"/>
      <c r="AU521" s="1645"/>
      <c r="AV521" s="1645"/>
      <c r="AW521" s="1645"/>
      <c r="AX521" s="1645"/>
      <c r="AY521" s="1645"/>
      <c r="AZ521" s="1645"/>
      <c r="BA521" s="1645"/>
      <c r="BB521" s="1645"/>
      <c r="BC521" s="1645"/>
      <c r="BD521" s="1645"/>
      <c r="BE521" s="1645"/>
      <c r="BF521" s="1645"/>
      <c r="BG521" s="1645"/>
      <c r="BH521" s="1645"/>
      <c r="BI521" s="1645"/>
      <c r="BJ521" s="1645"/>
      <c r="BK521" s="1645"/>
      <c r="BL521" s="1645"/>
      <c r="BM521" s="1645"/>
      <c r="BN521" s="1645"/>
      <c r="BO521" s="1645"/>
      <c r="BP521" s="1645"/>
      <c r="BQ521" s="1645"/>
      <c r="BR521" s="1645"/>
      <c r="BS521" s="1645"/>
      <c r="BT521" s="1645"/>
      <c r="BU521" s="1645"/>
      <c r="BV521" s="1645"/>
      <c r="BW521" s="1645"/>
      <c r="BX521" s="1645"/>
      <c r="BY521" s="1645"/>
      <c r="BZ521" s="1645"/>
      <c r="CA521" s="1645"/>
      <c r="CB521" s="1645"/>
      <c r="CC521" s="1645"/>
      <c r="CD521" s="1645"/>
      <c r="CE521" s="1645"/>
      <c r="CF521" s="1645"/>
      <c r="CG521" s="1645"/>
      <c r="CH521" s="1645"/>
      <c r="CI521" s="1645"/>
      <c r="CJ521" s="1645"/>
      <c r="CK521" s="1645"/>
      <c r="CL521" s="1645"/>
      <c r="CM521" s="1645"/>
      <c r="CN521" s="1645"/>
      <c r="CO521" s="1645"/>
    </row>
    <row r="522" spans="1:93" s="1136" customFormat="1" ht="15" x14ac:dyDescent="0.2">
      <c r="A522" s="1996" t="s">
        <v>4823</v>
      </c>
      <c r="B522" s="1995">
        <f>B341</f>
        <v>5.4450000000000003</v>
      </c>
      <c r="C522" s="1668"/>
      <c r="D522" s="1668"/>
      <c r="E522" s="1668"/>
      <c r="F522" s="1668"/>
      <c r="G522" s="1668"/>
      <c r="H522" s="1070"/>
      <c r="I522" s="1645"/>
      <c r="J522" s="1645"/>
      <c r="K522" s="1645"/>
      <c r="L522" s="1645"/>
      <c r="M522" s="1645"/>
      <c r="N522" s="1645"/>
      <c r="O522" s="1645"/>
      <c r="P522" s="1645"/>
      <c r="Q522" s="1645"/>
      <c r="R522" s="1645"/>
      <c r="S522" s="1645"/>
      <c r="T522" s="1645"/>
      <c r="U522" s="1645"/>
      <c r="V522" s="1645"/>
      <c r="W522" s="1645"/>
      <c r="X522" s="1645"/>
      <c r="Y522" s="1645"/>
      <c r="Z522" s="1645"/>
      <c r="AA522" s="1645"/>
      <c r="AB522" s="1645"/>
      <c r="AC522" s="1645"/>
      <c r="AD522" s="1645"/>
      <c r="AE522" s="1645"/>
      <c r="AF522" s="1645"/>
      <c r="AG522" s="1645"/>
      <c r="AH522" s="1645"/>
      <c r="AI522" s="1645"/>
      <c r="AJ522" s="1645"/>
      <c r="AK522" s="1645"/>
      <c r="AL522" s="1645"/>
      <c r="AM522" s="1645"/>
      <c r="AN522" s="1645"/>
      <c r="AO522" s="1645"/>
      <c r="AP522" s="1645"/>
      <c r="AQ522" s="1645"/>
      <c r="AR522" s="1645"/>
      <c r="AS522" s="1645"/>
      <c r="AT522" s="1645"/>
      <c r="AU522" s="1645"/>
      <c r="AV522" s="1645"/>
      <c r="AW522" s="1645"/>
      <c r="AX522" s="1645"/>
      <c r="AY522" s="1645"/>
      <c r="AZ522" s="1645"/>
      <c r="BA522" s="1645"/>
      <c r="BB522" s="1645"/>
      <c r="BC522" s="1645"/>
      <c r="BD522" s="1645"/>
      <c r="BE522" s="1645"/>
      <c r="BF522" s="1645"/>
      <c r="BG522" s="1645"/>
      <c r="BH522" s="1645"/>
      <c r="BI522" s="1645"/>
      <c r="BJ522" s="1645"/>
      <c r="BK522" s="1645"/>
      <c r="BL522" s="1645"/>
      <c r="BM522" s="1645"/>
      <c r="BN522" s="1645"/>
      <c r="BO522" s="1645"/>
      <c r="BP522" s="1645"/>
      <c r="BQ522" s="1645"/>
      <c r="BR522" s="1645"/>
      <c r="BS522" s="1645"/>
      <c r="BT522" s="1645"/>
      <c r="BU522" s="1645"/>
      <c r="BV522" s="1645"/>
      <c r="BW522" s="1645"/>
      <c r="BX522" s="1645"/>
      <c r="BY522" s="1645"/>
      <c r="BZ522" s="1645"/>
      <c r="CA522" s="1645"/>
      <c r="CB522" s="1645"/>
      <c r="CC522" s="1645"/>
      <c r="CD522" s="1645"/>
      <c r="CE522" s="1645"/>
      <c r="CF522" s="1645"/>
      <c r="CG522" s="1645"/>
      <c r="CH522" s="1645"/>
      <c r="CI522" s="1645"/>
      <c r="CJ522" s="1645"/>
      <c r="CK522" s="1645"/>
      <c r="CL522" s="1645"/>
      <c r="CM522" s="1645"/>
      <c r="CN522" s="1645"/>
      <c r="CO522" s="1645"/>
    </row>
    <row r="523" spans="1:93" s="1136" customFormat="1" ht="15.75" x14ac:dyDescent="0.25">
      <c r="A523" s="1405" t="s">
        <v>4619</v>
      </c>
      <c r="B523" s="1997" t="e">
        <f>INDEX(B518:B522,B175)</f>
        <v>#VALUE!</v>
      </c>
      <c r="C523" s="1998"/>
      <c r="D523" s="1998"/>
      <c r="E523" s="1998"/>
      <c r="F523" s="1998"/>
      <c r="G523" s="1998"/>
      <c r="H523" s="1070"/>
      <c r="I523" s="1645"/>
      <c r="J523" s="1645"/>
      <c r="K523" s="1645"/>
      <c r="L523" s="1645"/>
      <c r="M523" s="1645"/>
      <c r="N523" s="1645"/>
      <c r="O523" s="1645"/>
      <c r="P523" s="1645"/>
      <c r="Q523" s="1645"/>
      <c r="R523" s="1645"/>
      <c r="S523" s="1645"/>
      <c r="T523" s="1645"/>
      <c r="U523" s="1645"/>
      <c r="V523" s="1645"/>
      <c r="W523" s="1645"/>
      <c r="X523" s="1645"/>
      <c r="Y523" s="1645"/>
      <c r="Z523" s="1645"/>
      <c r="AA523" s="1645"/>
      <c r="AB523" s="1645"/>
      <c r="AC523" s="1645"/>
      <c r="AD523" s="1645"/>
      <c r="AE523" s="1645"/>
      <c r="AF523" s="1645"/>
      <c r="AG523" s="1645"/>
      <c r="AH523" s="1645"/>
      <c r="AI523" s="1645"/>
      <c r="AJ523" s="1645"/>
      <c r="AK523" s="1645"/>
      <c r="AL523" s="1645"/>
      <c r="AM523" s="1645"/>
      <c r="AN523" s="1645"/>
      <c r="AO523" s="1645"/>
      <c r="AP523" s="1645"/>
      <c r="AQ523" s="1645"/>
      <c r="AR523" s="1645"/>
      <c r="AS523" s="1645"/>
      <c r="AT523" s="1645"/>
      <c r="AU523" s="1645"/>
      <c r="AV523" s="1645"/>
      <c r="AW523" s="1645"/>
      <c r="AX523" s="1645"/>
      <c r="AY523" s="1645"/>
      <c r="AZ523" s="1645"/>
      <c r="BA523" s="1645"/>
      <c r="BB523" s="1645"/>
      <c r="BC523" s="1645"/>
      <c r="BD523" s="1645"/>
      <c r="BE523" s="1645"/>
      <c r="BF523" s="1645"/>
      <c r="BG523" s="1645"/>
      <c r="BH523" s="1645"/>
      <c r="BI523" s="1645"/>
      <c r="BJ523" s="1645"/>
      <c r="BK523" s="1645"/>
      <c r="BL523" s="1645"/>
      <c r="BM523" s="1645"/>
      <c r="BN523" s="1645"/>
      <c r="BO523" s="1645"/>
      <c r="BP523" s="1645"/>
      <c r="BQ523" s="1645"/>
      <c r="BR523" s="1645"/>
      <c r="BS523" s="1645"/>
      <c r="BT523" s="1645"/>
      <c r="BU523" s="1645"/>
      <c r="BV523" s="1645"/>
      <c r="BW523" s="1645"/>
      <c r="BX523" s="1645"/>
      <c r="BY523" s="1645"/>
      <c r="BZ523" s="1645"/>
      <c r="CA523" s="1645"/>
      <c r="CB523" s="1645"/>
      <c r="CC523" s="1645"/>
      <c r="CD523" s="1645"/>
      <c r="CE523" s="1645"/>
      <c r="CF523" s="1645"/>
      <c r="CG523" s="1645"/>
      <c r="CH523" s="1645"/>
      <c r="CI523" s="1645"/>
      <c r="CJ523" s="1645"/>
      <c r="CK523" s="1645"/>
      <c r="CL523" s="1645"/>
      <c r="CM523" s="1645"/>
      <c r="CN523" s="1645"/>
      <c r="CO523" s="1645"/>
    </row>
    <row r="524" spans="1:93" s="1136" customFormat="1" ht="15" x14ac:dyDescent="0.2">
      <c r="A524" s="1666" t="s">
        <v>3105</v>
      </c>
      <c r="B524" s="1667" t="e">
        <f>B355</f>
        <v>#VALUE!</v>
      </c>
      <c r="C524" s="1668"/>
      <c r="D524" s="1668"/>
      <c r="E524" s="1668"/>
      <c r="F524" s="1668"/>
      <c r="G524" s="1668"/>
      <c r="H524" s="1070"/>
      <c r="I524" s="1645"/>
      <c r="J524" s="1645"/>
      <c r="K524" s="1645"/>
      <c r="L524" s="1645"/>
      <c r="M524" s="1645"/>
      <c r="N524" s="1645"/>
      <c r="O524" s="1645"/>
      <c r="P524" s="1645"/>
      <c r="Q524" s="1645"/>
      <c r="R524" s="1645"/>
      <c r="S524" s="1645"/>
      <c r="T524" s="1645"/>
      <c r="U524" s="1645"/>
      <c r="V524" s="1645"/>
      <c r="W524" s="1645"/>
      <c r="X524" s="1645"/>
      <c r="Y524" s="1645"/>
      <c r="Z524" s="1645"/>
      <c r="AA524" s="1645"/>
      <c r="AB524" s="1645"/>
      <c r="AC524" s="1645"/>
      <c r="AD524" s="1645"/>
      <c r="AE524" s="1645"/>
      <c r="AF524" s="1645"/>
      <c r="AG524" s="1645"/>
      <c r="AH524" s="1645"/>
      <c r="AI524" s="1645"/>
      <c r="AJ524" s="1645"/>
      <c r="AK524" s="1645"/>
      <c r="AL524" s="1645"/>
      <c r="AM524" s="1645"/>
      <c r="AN524" s="1645"/>
      <c r="AO524" s="1645"/>
      <c r="AP524" s="1645"/>
      <c r="AQ524" s="1645"/>
      <c r="AR524" s="1645"/>
      <c r="AS524" s="1645"/>
      <c r="AT524" s="1645"/>
      <c r="AU524" s="1645"/>
      <c r="AV524" s="1645"/>
      <c r="AW524" s="1645"/>
      <c r="AX524" s="1645"/>
      <c r="AY524" s="1645"/>
      <c r="AZ524" s="1645"/>
      <c r="BA524" s="1645"/>
      <c r="BB524" s="1645"/>
      <c r="BC524" s="1645"/>
      <c r="BD524" s="1645"/>
      <c r="BE524" s="1645"/>
      <c r="BF524" s="1645"/>
      <c r="BG524" s="1645"/>
      <c r="BH524" s="1645"/>
      <c r="BI524" s="1645"/>
      <c r="BJ524" s="1645"/>
      <c r="BK524" s="1645"/>
      <c r="BL524" s="1645"/>
      <c r="BM524" s="1645"/>
      <c r="BN524" s="1645"/>
      <c r="BO524" s="1645"/>
      <c r="BP524" s="1645"/>
      <c r="BQ524" s="1645"/>
      <c r="BR524" s="1645"/>
      <c r="BS524" s="1645"/>
      <c r="BT524" s="1645"/>
      <c r="BU524" s="1645"/>
      <c r="BV524" s="1645"/>
      <c r="BW524" s="1645"/>
      <c r="BX524" s="1645"/>
      <c r="BY524" s="1645"/>
      <c r="BZ524" s="1645"/>
      <c r="CA524" s="1645"/>
      <c r="CB524" s="1645"/>
      <c r="CC524" s="1645"/>
      <c r="CD524" s="1645"/>
      <c r="CE524" s="1645"/>
      <c r="CF524" s="1645"/>
      <c r="CG524" s="1645"/>
      <c r="CH524" s="1645"/>
      <c r="CI524" s="1645"/>
      <c r="CJ524" s="1645"/>
      <c r="CK524" s="1645"/>
      <c r="CL524" s="1645"/>
      <c r="CM524" s="1645"/>
      <c r="CN524" s="1645"/>
      <c r="CO524" s="1645"/>
    </row>
    <row r="525" spans="1:93" s="1136" customFormat="1" ht="15" x14ac:dyDescent="0.2">
      <c r="A525" s="1666" t="s">
        <v>3106</v>
      </c>
      <c r="B525" s="1667" t="e">
        <f>B357</f>
        <v>#VALUE!</v>
      </c>
      <c r="C525" s="1668"/>
      <c r="D525" s="1668"/>
      <c r="E525" s="1668"/>
      <c r="F525" s="1668"/>
      <c r="G525" s="1668"/>
      <c r="H525" s="1070"/>
      <c r="I525" s="1645"/>
      <c r="J525" s="1645"/>
      <c r="K525" s="1645"/>
      <c r="L525" s="1645"/>
      <c r="M525" s="1645"/>
      <c r="N525" s="1645"/>
      <c r="O525" s="1645"/>
      <c r="P525" s="1645"/>
      <c r="Q525" s="1645"/>
      <c r="R525" s="1645"/>
      <c r="S525" s="1645"/>
      <c r="T525" s="1645"/>
      <c r="U525" s="1645"/>
      <c r="V525" s="1645"/>
      <c r="W525" s="1645"/>
      <c r="X525" s="1645"/>
      <c r="Y525" s="1645"/>
      <c r="Z525" s="1645"/>
      <c r="AA525" s="1645"/>
      <c r="AB525" s="1645"/>
      <c r="AC525" s="1645"/>
      <c r="AD525" s="1645"/>
      <c r="AE525" s="1645"/>
      <c r="AF525" s="1645"/>
      <c r="AG525" s="1645"/>
      <c r="AH525" s="1645"/>
      <c r="AI525" s="1645"/>
      <c r="AJ525" s="1645"/>
      <c r="AK525" s="1645"/>
      <c r="AL525" s="1645"/>
      <c r="AM525" s="1645"/>
      <c r="AN525" s="1645"/>
      <c r="AO525" s="1645"/>
      <c r="AP525" s="1645"/>
      <c r="AQ525" s="1645"/>
      <c r="AR525" s="1645"/>
      <c r="AS525" s="1645"/>
      <c r="AT525" s="1645"/>
      <c r="AU525" s="1645"/>
      <c r="AV525" s="1645"/>
      <c r="AW525" s="1645"/>
      <c r="AX525" s="1645"/>
      <c r="AY525" s="1645"/>
      <c r="AZ525" s="1645"/>
      <c r="BA525" s="1645"/>
      <c r="BB525" s="1645"/>
      <c r="BC525" s="1645"/>
      <c r="BD525" s="1645"/>
      <c r="BE525" s="1645"/>
      <c r="BF525" s="1645"/>
      <c r="BG525" s="1645"/>
      <c r="BH525" s="1645"/>
      <c r="BI525" s="1645"/>
      <c r="BJ525" s="1645"/>
      <c r="BK525" s="1645"/>
      <c r="BL525" s="1645"/>
      <c r="BM525" s="1645"/>
      <c r="BN525" s="1645"/>
      <c r="BO525" s="1645"/>
      <c r="BP525" s="1645"/>
      <c r="BQ525" s="1645"/>
      <c r="BR525" s="1645"/>
      <c r="BS525" s="1645"/>
      <c r="BT525" s="1645"/>
      <c r="BU525" s="1645"/>
      <c r="BV525" s="1645"/>
      <c r="BW525" s="1645"/>
      <c r="BX525" s="1645"/>
      <c r="BY525" s="1645"/>
      <c r="BZ525" s="1645"/>
      <c r="CA525" s="1645"/>
      <c r="CB525" s="1645"/>
      <c r="CC525" s="1645"/>
      <c r="CD525" s="1645"/>
      <c r="CE525" s="1645"/>
      <c r="CF525" s="1645"/>
      <c r="CG525" s="1645"/>
      <c r="CH525" s="1645"/>
      <c r="CI525" s="1645"/>
      <c r="CJ525" s="1645"/>
      <c r="CK525" s="1645"/>
      <c r="CL525" s="1645"/>
      <c r="CM525" s="1645"/>
      <c r="CN525" s="1645"/>
      <c r="CO525" s="1645"/>
    </row>
    <row r="526" spans="1:93" s="1136" customFormat="1" ht="15" x14ac:dyDescent="0.2">
      <c r="A526" s="1666" t="s">
        <v>3107</v>
      </c>
      <c r="B526" s="1667" t="e">
        <f>B356</f>
        <v>#VALUE!</v>
      </c>
      <c r="C526" s="1668"/>
      <c r="D526" s="1668"/>
      <c r="E526" s="1668"/>
      <c r="F526" s="1668"/>
      <c r="G526" s="1668"/>
      <c r="H526" s="1070"/>
      <c r="I526" s="1645"/>
      <c r="J526" s="1645"/>
      <c r="K526" s="1645"/>
      <c r="L526" s="1645"/>
      <c r="M526" s="1645"/>
      <c r="N526" s="1645"/>
      <c r="O526" s="1645"/>
      <c r="P526" s="1645"/>
      <c r="Q526" s="1645"/>
      <c r="R526" s="1645"/>
      <c r="S526" s="1645"/>
      <c r="T526" s="1645"/>
      <c r="U526" s="1645"/>
      <c r="V526" s="1645"/>
      <c r="W526" s="1645"/>
      <c r="X526" s="1645"/>
      <c r="Y526" s="1645"/>
      <c r="Z526" s="1645"/>
      <c r="AA526" s="1645"/>
      <c r="AB526" s="1645"/>
      <c r="AC526" s="1645"/>
      <c r="AD526" s="1645"/>
      <c r="AE526" s="1645"/>
      <c r="AF526" s="1645"/>
      <c r="AG526" s="1645"/>
      <c r="AH526" s="1645"/>
      <c r="AI526" s="1645"/>
      <c r="AJ526" s="1645"/>
      <c r="AK526" s="1645"/>
      <c r="AL526" s="1645"/>
      <c r="AM526" s="1645"/>
      <c r="AN526" s="1645"/>
      <c r="AO526" s="1645"/>
      <c r="AP526" s="1645"/>
      <c r="AQ526" s="1645"/>
      <c r="AR526" s="1645"/>
      <c r="AS526" s="1645"/>
      <c r="AT526" s="1645"/>
      <c r="AU526" s="1645"/>
      <c r="AV526" s="1645"/>
      <c r="AW526" s="1645"/>
      <c r="AX526" s="1645"/>
      <c r="AY526" s="1645"/>
      <c r="AZ526" s="1645"/>
      <c r="BA526" s="1645"/>
      <c r="BB526" s="1645"/>
      <c r="BC526" s="1645"/>
      <c r="BD526" s="1645"/>
      <c r="BE526" s="1645"/>
      <c r="BF526" s="1645"/>
      <c r="BG526" s="1645"/>
      <c r="BH526" s="1645"/>
      <c r="BI526" s="1645"/>
      <c r="BJ526" s="1645"/>
      <c r="BK526" s="1645"/>
      <c r="BL526" s="1645"/>
      <c r="BM526" s="1645"/>
      <c r="BN526" s="1645"/>
      <c r="BO526" s="1645"/>
      <c r="BP526" s="1645"/>
      <c r="BQ526" s="1645"/>
      <c r="BR526" s="1645"/>
      <c r="BS526" s="1645"/>
      <c r="BT526" s="1645"/>
      <c r="BU526" s="1645"/>
      <c r="BV526" s="1645"/>
      <c r="BW526" s="1645"/>
      <c r="BX526" s="1645"/>
      <c r="BY526" s="1645"/>
      <c r="BZ526" s="1645"/>
      <c r="CA526" s="1645"/>
      <c r="CB526" s="1645"/>
      <c r="CC526" s="1645"/>
      <c r="CD526" s="1645"/>
      <c r="CE526" s="1645"/>
      <c r="CF526" s="1645"/>
      <c r="CG526" s="1645"/>
      <c r="CH526" s="1645"/>
      <c r="CI526" s="1645"/>
      <c r="CJ526" s="1645"/>
      <c r="CK526" s="1645"/>
      <c r="CL526" s="1645"/>
      <c r="CM526" s="1645"/>
      <c r="CN526" s="1645"/>
      <c r="CO526" s="1645"/>
    </row>
    <row r="527" spans="1:93" s="1136" customFormat="1" ht="15" x14ac:dyDescent="0.2">
      <c r="A527" s="2000" t="s">
        <v>2770</v>
      </c>
      <c r="B527" s="1667" t="e">
        <f>B430</f>
        <v>#VALUE!</v>
      </c>
      <c r="C527" s="1668"/>
      <c r="D527" s="1668"/>
      <c r="E527" s="1668"/>
      <c r="F527" s="1668"/>
      <c r="G527" s="1668"/>
      <c r="H527" s="1070"/>
      <c r="I527" s="1645"/>
      <c r="J527" s="1645"/>
      <c r="K527" s="1645"/>
      <c r="L527" s="1645"/>
      <c r="M527" s="1645"/>
      <c r="N527" s="1645"/>
      <c r="O527" s="1645"/>
      <c r="P527" s="1645"/>
      <c r="Q527" s="1645"/>
      <c r="R527" s="1645"/>
      <c r="S527" s="1645"/>
      <c r="T527" s="1645"/>
      <c r="U527" s="1645"/>
      <c r="V527" s="1645"/>
      <c r="W527" s="1645"/>
      <c r="X527" s="1645"/>
      <c r="Y527" s="1645"/>
      <c r="Z527" s="1645"/>
      <c r="AA527" s="1645"/>
      <c r="AB527" s="1645"/>
      <c r="AC527" s="1645"/>
      <c r="AD527" s="1645"/>
      <c r="AE527" s="1645"/>
      <c r="AF527" s="1645"/>
      <c r="AG527" s="1645"/>
      <c r="AH527" s="1645"/>
      <c r="AI527" s="1645"/>
      <c r="AJ527" s="1645"/>
      <c r="AK527" s="1645"/>
      <c r="AL527" s="1645"/>
      <c r="AM527" s="1645"/>
      <c r="AN527" s="1645"/>
      <c r="AO527" s="1645"/>
      <c r="AP527" s="1645"/>
      <c r="AQ527" s="1645"/>
      <c r="AR527" s="1645"/>
      <c r="AS527" s="1645"/>
      <c r="AT527" s="1645"/>
      <c r="AU527" s="1645"/>
      <c r="AV527" s="1645"/>
      <c r="AW527" s="1645"/>
      <c r="AX527" s="1645"/>
      <c r="AY527" s="1645"/>
      <c r="AZ527" s="1645"/>
      <c r="BA527" s="1645"/>
      <c r="BB527" s="1645"/>
      <c r="BC527" s="1645"/>
      <c r="BD527" s="1645"/>
      <c r="BE527" s="1645"/>
      <c r="BF527" s="1645"/>
      <c r="BG527" s="1645"/>
      <c r="BH527" s="1645"/>
      <c r="BI527" s="1645"/>
      <c r="BJ527" s="1645"/>
      <c r="BK527" s="1645"/>
      <c r="BL527" s="1645"/>
      <c r="BM527" s="1645"/>
      <c r="BN527" s="1645"/>
      <c r="BO527" s="1645"/>
      <c r="BP527" s="1645"/>
      <c r="BQ527" s="1645"/>
      <c r="BR527" s="1645"/>
      <c r="BS527" s="1645"/>
      <c r="BT527" s="1645"/>
      <c r="BU527" s="1645"/>
      <c r="BV527" s="1645"/>
      <c r="BW527" s="1645"/>
      <c r="BX527" s="1645"/>
      <c r="BY527" s="1645"/>
      <c r="BZ527" s="1645"/>
      <c r="CA527" s="1645"/>
      <c r="CB527" s="1645"/>
      <c r="CC527" s="1645"/>
      <c r="CD527" s="1645"/>
      <c r="CE527" s="1645"/>
      <c r="CF527" s="1645"/>
      <c r="CG527" s="1645"/>
      <c r="CH527" s="1645"/>
      <c r="CI527" s="1645"/>
      <c r="CJ527" s="1645"/>
      <c r="CK527" s="1645"/>
      <c r="CL527" s="1645"/>
      <c r="CM527" s="1645"/>
      <c r="CN527" s="1645"/>
      <c r="CO527" s="1645"/>
    </row>
    <row r="528" spans="1:93" s="1136" customFormat="1" ht="15" x14ac:dyDescent="0.2">
      <c r="A528" s="2000" t="s">
        <v>4424</v>
      </c>
      <c r="B528" s="1667" t="e">
        <f>B431</f>
        <v>#VALUE!</v>
      </c>
      <c r="C528" s="1668"/>
      <c r="D528" s="1668"/>
      <c r="E528" s="1668"/>
      <c r="F528" s="1668"/>
      <c r="G528" s="1668"/>
      <c r="H528" s="1070"/>
      <c r="I528" s="1645"/>
      <c r="J528" s="1645"/>
      <c r="K528" s="1645"/>
      <c r="L528" s="1645"/>
      <c r="M528" s="1645"/>
      <c r="N528" s="1645"/>
      <c r="O528" s="1645"/>
      <c r="P528" s="1645"/>
      <c r="Q528" s="1645"/>
      <c r="R528" s="1645"/>
      <c r="S528" s="1645"/>
      <c r="T528" s="1645"/>
      <c r="U528" s="1645"/>
      <c r="V528" s="1645"/>
      <c r="W528" s="1645"/>
      <c r="X528" s="1645"/>
      <c r="Y528" s="1645"/>
      <c r="Z528" s="1645"/>
      <c r="AA528" s="1645"/>
      <c r="AB528" s="1645"/>
      <c r="AC528" s="1645"/>
      <c r="AD528" s="1645"/>
      <c r="AE528" s="1645"/>
      <c r="AF528" s="1645"/>
      <c r="AG528" s="1645"/>
      <c r="AH528" s="1645"/>
      <c r="AI528" s="1645"/>
      <c r="AJ528" s="1645"/>
      <c r="AK528" s="1645"/>
      <c r="AL528" s="1645"/>
      <c r="AM528" s="1645"/>
      <c r="AN528" s="1645"/>
      <c r="AO528" s="1645"/>
      <c r="AP528" s="1645"/>
      <c r="AQ528" s="1645"/>
      <c r="AR528" s="1645"/>
      <c r="AS528" s="1645"/>
      <c r="AT528" s="1645"/>
      <c r="AU528" s="1645"/>
      <c r="AV528" s="1645"/>
      <c r="AW528" s="1645"/>
      <c r="AX528" s="1645"/>
      <c r="AY528" s="1645"/>
      <c r="AZ528" s="1645"/>
      <c r="BA528" s="1645"/>
      <c r="BB528" s="1645"/>
      <c r="BC528" s="1645"/>
      <c r="BD528" s="1645"/>
      <c r="BE528" s="1645"/>
      <c r="BF528" s="1645"/>
      <c r="BG528" s="1645"/>
      <c r="BH528" s="1645"/>
      <c r="BI528" s="1645"/>
      <c r="BJ528" s="1645"/>
      <c r="BK528" s="1645"/>
      <c r="BL528" s="1645"/>
      <c r="BM528" s="1645"/>
      <c r="BN528" s="1645"/>
      <c r="BO528" s="1645"/>
      <c r="BP528" s="1645"/>
      <c r="BQ528" s="1645"/>
      <c r="BR528" s="1645"/>
      <c r="BS528" s="1645"/>
      <c r="BT528" s="1645"/>
      <c r="BU528" s="1645"/>
      <c r="BV528" s="1645"/>
      <c r="BW528" s="1645"/>
      <c r="BX528" s="1645"/>
      <c r="BY528" s="1645"/>
      <c r="BZ528" s="1645"/>
      <c r="CA528" s="1645"/>
      <c r="CB528" s="1645"/>
      <c r="CC528" s="1645"/>
      <c r="CD528" s="1645"/>
      <c r="CE528" s="1645"/>
      <c r="CF528" s="1645"/>
      <c r="CG528" s="1645"/>
      <c r="CH528" s="1645"/>
      <c r="CI528" s="1645"/>
      <c r="CJ528" s="1645"/>
      <c r="CK528" s="1645"/>
      <c r="CL528" s="1645"/>
      <c r="CM528" s="1645"/>
      <c r="CN528" s="1645"/>
      <c r="CO528" s="1645"/>
    </row>
    <row r="529" spans="1:93" s="1136" customFormat="1" ht="15" x14ac:dyDescent="0.2">
      <c r="A529" s="2000" t="s">
        <v>4425</v>
      </c>
      <c r="B529" s="1667">
        <f>B432</f>
        <v>1</v>
      </c>
      <c r="C529" s="1668"/>
      <c r="D529" s="1668"/>
      <c r="E529" s="1668"/>
      <c r="F529" s="1668"/>
      <c r="G529" s="1668"/>
      <c r="H529" s="1070"/>
      <c r="I529" s="1645"/>
      <c r="J529" s="1645"/>
      <c r="K529" s="1645"/>
      <c r="L529" s="1645"/>
      <c r="M529" s="1645"/>
      <c r="N529" s="1645"/>
      <c r="O529" s="1645"/>
      <c r="P529" s="1645"/>
      <c r="Q529" s="1645"/>
      <c r="R529" s="1645"/>
      <c r="S529" s="1645"/>
      <c r="T529" s="1645"/>
      <c r="U529" s="1645"/>
      <c r="V529" s="1645"/>
      <c r="W529" s="1645"/>
      <c r="X529" s="1645"/>
      <c r="Y529" s="1645"/>
      <c r="Z529" s="1645"/>
      <c r="AA529" s="1645"/>
      <c r="AB529" s="1645"/>
      <c r="AC529" s="1645"/>
      <c r="AD529" s="1645"/>
      <c r="AE529" s="1645"/>
      <c r="AF529" s="1645"/>
      <c r="AG529" s="1645"/>
      <c r="AH529" s="1645"/>
      <c r="AI529" s="1645"/>
      <c r="AJ529" s="1645"/>
      <c r="AK529" s="1645"/>
      <c r="AL529" s="1645"/>
      <c r="AM529" s="1645"/>
      <c r="AN529" s="1645"/>
      <c r="AO529" s="1645"/>
      <c r="AP529" s="1645"/>
      <c r="AQ529" s="1645"/>
      <c r="AR529" s="1645"/>
      <c r="AS529" s="1645"/>
      <c r="AT529" s="1645"/>
      <c r="AU529" s="1645"/>
      <c r="AV529" s="1645"/>
      <c r="AW529" s="1645"/>
      <c r="AX529" s="1645"/>
      <c r="AY529" s="1645"/>
      <c r="AZ529" s="1645"/>
      <c r="BA529" s="1645"/>
      <c r="BB529" s="1645"/>
      <c r="BC529" s="1645"/>
      <c r="BD529" s="1645"/>
      <c r="BE529" s="1645"/>
      <c r="BF529" s="1645"/>
      <c r="BG529" s="1645"/>
      <c r="BH529" s="1645"/>
      <c r="BI529" s="1645"/>
      <c r="BJ529" s="1645"/>
      <c r="BK529" s="1645"/>
      <c r="BL529" s="1645"/>
      <c r="BM529" s="1645"/>
      <c r="BN529" s="1645"/>
      <c r="BO529" s="1645"/>
      <c r="BP529" s="1645"/>
      <c r="BQ529" s="1645"/>
      <c r="BR529" s="1645"/>
      <c r="BS529" s="1645"/>
      <c r="BT529" s="1645"/>
      <c r="BU529" s="1645"/>
      <c r="BV529" s="1645"/>
      <c r="BW529" s="1645"/>
      <c r="BX529" s="1645"/>
      <c r="BY529" s="1645"/>
      <c r="BZ529" s="1645"/>
      <c r="CA529" s="1645"/>
      <c r="CB529" s="1645"/>
      <c r="CC529" s="1645"/>
      <c r="CD529" s="1645"/>
      <c r="CE529" s="1645"/>
      <c r="CF529" s="1645"/>
      <c r="CG529" s="1645"/>
      <c r="CH529" s="1645"/>
      <c r="CI529" s="1645"/>
      <c r="CJ529" s="1645"/>
      <c r="CK529" s="1645"/>
      <c r="CL529" s="1645"/>
      <c r="CM529" s="1645"/>
      <c r="CN529" s="1645"/>
      <c r="CO529" s="1645"/>
    </row>
    <row r="530" spans="1:93" s="1136" customFormat="1" ht="15" x14ac:dyDescent="0.2">
      <c r="A530" s="2000" t="s">
        <v>4426</v>
      </c>
      <c r="B530" s="1667" t="e">
        <f>B433</f>
        <v>#VALUE!</v>
      </c>
      <c r="C530" s="1668"/>
      <c r="D530" s="1668"/>
      <c r="E530" s="1668"/>
      <c r="F530" s="1668"/>
      <c r="G530" s="1668"/>
      <c r="H530" s="1070"/>
      <c r="I530" s="1645"/>
      <c r="J530" s="1645"/>
      <c r="K530" s="1645"/>
      <c r="L530" s="1645"/>
      <c r="M530" s="1645"/>
      <c r="N530" s="1645"/>
      <c r="O530" s="1645"/>
      <c r="P530" s="1645"/>
      <c r="Q530" s="1645"/>
      <c r="R530" s="1645"/>
      <c r="S530" s="1645"/>
      <c r="T530" s="1645"/>
      <c r="U530" s="1645"/>
      <c r="V530" s="1645"/>
      <c r="W530" s="1645"/>
      <c r="X530" s="1645"/>
      <c r="Y530" s="1645"/>
      <c r="Z530" s="1645"/>
      <c r="AA530" s="1645"/>
      <c r="AB530" s="1645"/>
      <c r="AC530" s="1645"/>
      <c r="AD530" s="1645"/>
      <c r="AE530" s="1645"/>
      <c r="AF530" s="1645"/>
      <c r="AG530" s="1645"/>
      <c r="AH530" s="1645"/>
      <c r="AI530" s="1645"/>
      <c r="AJ530" s="1645"/>
      <c r="AK530" s="1645"/>
      <c r="AL530" s="1645"/>
      <c r="AM530" s="1645"/>
      <c r="AN530" s="1645"/>
      <c r="AO530" s="1645"/>
      <c r="AP530" s="1645"/>
      <c r="AQ530" s="1645"/>
      <c r="AR530" s="1645"/>
      <c r="AS530" s="1645"/>
      <c r="AT530" s="1645"/>
      <c r="AU530" s="1645"/>
      <c r="AV530" s="1645"/>
      <c r="AW530" s="1645"/>
      <c r="AX530" s="1645"/>
      <c r="AY530" s="1645"/>
      <c r="AZ530" s="1645"/>
      <c r="BA530" s="1645"/>
      <c r="BB530" s="1645"/>
      <c r="BC530" s="1645"/>
      <c r="BD530" s="1645"/>
      <c r="BE530" s="1645"/>
      <c r="BF530" s="1645"/>
      <c r="BG530" s="1645"/>
      <c r="BH530" s="1645"/>
      <c r="BI530" s="1645"/>
      <c r="BJ530" s="1645"/>
      <c r="BK530" s="1645"/>
      <c r="BL530" s="1645"/>
      <c r="BM530" s="1645"/>
      <c r="BN530" s="1645"/>
      <c r="BO530" s="1645"/>
      <c r="BP530" s="1645"/>
      <c r="BQ530" s="1645"/>
      <c r="BR530" s="1645"/>
      <c r="BS530" s="1645"/>
      <c r="BT530" s="1645"/>
      <c r="BU530" s="1645"/>
      <c r="BV530" s="1645"/>
      <c r="BW530" s="1645"/>
      <c r="BX530" s="1645"/>
      <c r="BY530" s="1645"/>
      <c r="BZ530" s="1645"/>
      <c r="CA530" s="1645"/>
      <c r="CB530" s="1645"/>
      <c r="CC530" s="1645"/>
      <c r="CD530" s="1645"/>
      <c r="CE530" s="1645"/>
      <c r="CF530" s="1645"/>
      <c r="CG530" s="1645"/>
      <c r="CH530" s="1645"/>
      <c r="CI530" s="1645"/>
      <c r="CJ530" s="1645"/>
      <c r="CK530" s="1645"/>
      <c r="CL530" s="1645"/>
      <c r="CM530" s="1645"/>
      <c r="CN530" s="1645"/>
      <c r="CO530" s="1645"/>
    </row>
    <row r="531" spans="1:93" s="1136" customFormat="1" ht="15" x14ac:dyDescent="0.2">
      <c r="A531" s="1391" t="s">
        <v>3108</v>
      </c>
      <c r="B531" s="1667">
        <f>B436</f>
        <v>3</v>
      </c>
      <c r="C531" s="1668"/>
      <c r="D531" s="1668"/>
      <c r="E531" s="1668"/>
      <c r="F531" s="1668"/>
      <c r="G531" s="1668"/>
      <c r="H531" s="1070"/>
      <c r="I531" s="1645"/>
      <c r="J531" s="1645"/>
      <c r="K531" s="1645"/>
      <c r="L531" s="1645"/>
      <c r="M531" s="1645"/>
      <c r="N531" s="1645"/>
      <c r="O531" s="1645"/>
      <c r="P531" s="1645"/>
      <c r="Q531" s="1645"/>
      <c r="R531" s="1645"/>
      <c r="S531" s="1645"/>
      <c r="T531" s="1645"/>
      <c r="U531" s="1645"/>
      <c r="V531" s="1645"/>
      <c r="W531" s="1645"/>
      <c r="X531" s="1645"/>
      <c r="Y531" s="1645"/>
      <c r="Z531" s="1645"/>
      <c r="AA531" s="1645"/>
      <c r="AB531" s="1645"/>
      <c r="AC531" s="1645"/>
      <c r="AD531" s="1645"/>
      <c r="AE531" s="1645"/>
      <c r="AF531" s="1645"/>
      <c r="AG531" s="1645"/>
      <c r="AH531" s="1645"/>
      <c r="AI531" s="1645"/>
      <c r="AJ531" s="1645"/>
      <c r="AK531" s="1645"/>
      <c r="AL531" s="1645"/>
      <c r="AM531" s="1645"/>
      <c r="AN531" s="1645"/>
      <c r="AO531" s="1645"/>
      <c r="AP531" s="1645"/>
      <c r="AQ531" s="1645"/>
      <c r="AR531" s="1645"/>
      <c r="AS531" s="1645"/>
      <c r="AT531" s="1645"/>
      <c r="AU531" s="1645"/>
      <c r="AV531" s="1645"/>
      <c r="AW531" s="1645"/>
      <c r="AX531" s="1645"/>
      <c r="AY531" s="1645"/>
      <c r="AZ531" s="1645"/>
      <c r="BA531" s="1645"/>
      <c r="BB531" s="1645"/>
      <c r="BC531" s="1645"/>
      <c r="BD531" s="1645"/>
      <c r="BE531" s="1645"/>
      <c r="BF531" s="1645"/>
      <c r="BG531" s="1645"/>
      <c r="BH531" s="1645"/>
      <c r="BI531" s="1645"/>
      <c r="BJ531" s="1645"/>
      <c r="BK531" s="1645"/>
      <c r="BL531" s="1645"/>
      <c r="BM531" s="1645"/>
      <c r="BN531" s="1645"/>
      <c r="BO531" s="1645"/>
      <c r="BP531" s="1645"/>
      <c r="BQ531" s="1645"/>
      <c r="BR531" s="1645"/>
      <c r="BS531" s="1645"/>
      <c r="BT531" s="1645"/>
      <c r="BU531" s="1645"/>
      <c r="BV531" s="1645"/>
      <c r="BW531" s="1645"/>
      <c r="BX531" s="1645"/>
      <c r="BY531" s="1645"/>
      <c r="BZ531" s="1645"/>
      <c r="CA531" s="1645"/>
      <c r="CB531" s="1645"/>
      <c r="CC531" s="1645"/>
      <c r="CD531" s="1645"/>
      <c r="CE531" s="1645"/>
      <c r="CF531" s="1645"/>
      <c r="CG531" s="1645"/>
      <c r="CH531" s="1645"/>
      <c r="CI531" s="1645"/>
      <c r="CJ531" s="1645"/>
      <c r="CK531" s="1645"/>
      <c r="CL531" s="1645"/>
      <c r="CM531" s="1645"/>
      <c r="CN531" s="1645"/>
      <c r="CO531" s="1645"/>
    </row>
    <row r="532" spans="1:93" s="1136" customFormat="1" ht="15" x14ac:dyDescent="0.2">
      <c r="A532" s="1666" t="s">
        <v>4620</v>
      </c>
      <c r="B532" s="1667" t="e">
        <f>B528*B531</f>
        <v>#VALUE!</v>
      </c>
      <c r="C532" s="1668"/>
      <c r="D532" s="1668"/>
      <c r="E532" s="1668"/>
      <c r="F532" s="1668"/>
      <c r="G532" s="1668"/>
      <c r="H532" s="1070"/>
      <c r="I532" s="1645"/>
      <c r="J532" s="1645"/>
      <c r="K532" s="1645"/>
      <c r="L532" s="1645"/>
      <c r="M532" s="1645"/>
      <c r="N532" s="1645"/>
      <c r="O532" s="1645"/>
      <c r="P532" s="1645"/>
      <c r="Q532" s="1645"/>
      <c r="R532" s="1645"/>
      <c r="S532" s="1645"/>
      <c r="T532" s="1645"/>
      <c r="U532" s="1645"/>
      <c r="V532" s="1645"/>
      <c r="W532" s="1645"/>
      <c r="X532" s="1645"/>
      <c r="Y532" s="1645"/>
      <c r="Z532" s="1645"/>
      <c r="AA532" s="1645"/>
      <c r="AB532" s="1645"/>
      <c r="AC532" s="1645"/>
      <c r="AD532" s="1645"/>
      <c r="AE532" s="1645"/>
      <c r="AF532" s="1645"/>
      <c r="AG532" s="1645"/>
      <c r="AH532" s="1645"/>
      <c r="AI532" s="1645"/>
      <c r="AJ532" s="1645"/>
      <c r="AK532" s="1645"/>
      <c r="AL532" s="1645"/>
      <c r="AM532" s="1645"/>
      <c r="AN532" s="1645"/>
      <c r="AO532" s="1645"/>
      <c r="AP532" s="1645"/>
      <c r="AQ532" s="1645"/>
      <c r="AR532" s="1645"/>
      <c r="AS532" s="1645"/>
      <c r="AT532" s="1645"/>
      <c r="AU532" s="1645"/>
      <c r="AV532" s="1645"/>
      <c r="AW532" s="1645"/>
      <c r="AX532" s="1645"/>
      <c r="AY532" s="1645"/>
      <c r="AZ532" s="1645"/>
      <c r="BA532" s="1645"/>
      <c r="BB532" s="1645"/>
      <c r="BC532" s="1645"/>
      <c r="BD532" s="1645"/>
      <c r="BE532" s="1645"/>
      <c r="BF532" s="1645"/>
      <c r="BG532" s="1645"/>
      <c r="BH532" s="1645"/>
      <c r="BI532" s="1645"/>
      <c r="BJ532" s="1645"/>
      <c r="BK532" s="1645"/>
      <c r="BL532" s="1645"/>
      <c r="BM532" s="1645"/>
      <c r="BN532" s="1645"/>
      <c r="BO532" s="1645"/>
      <c r="BP532" s="1645"/>
      <c r="BQ532" s="1645"/>
      <c r="BR532" s="1645"/>
      <c r="BS532" s="1645"/>
      <c r="BT532" s="1645"/>
      <c r="BU532" s="1645"/>
      <c r="BV532" s="1645"/>
      <c r="BW532" s="1645"/>
      <c r="BX532" s="1645"/>
      <c r="BY532" s="1645"/>
      <c r="BZ532" s="1645"/>
      <c r="CA532" s="1645"/>
      <c r="CB532" s="1645"/>
      <c r="CC532" s="1645"/>
      <c r="CD532" s="1645"/>
      <c r="CE532" s="1645"/>
      <c r="CF532" s="1645"/>
      <c r="CG532" s="1645"/>
      <c r="CH532" s="1645"/>
      <c r="CI532" s="1645"/>
      <c r="CJ532" s="1645"/>
      <c r="CK532" s="1645"/>
      <c r="CL532" s="1645"/>
      <c r="CM532" s="1645"/>
      <c r="CN532" s="1645"/>
      <c r="CO532" s="1645"/>
    </row>
    <row r="533" spans="1:93" s="1136" customFormat="1" ht="15" x14ac:dyDescent="0.2">
      <c r="A533" s="2000" t="s">
        <v>4425</v>
      </c>
      <c r="B533" s="1667">
        <f>B529*B531</f>
        <v>3</v>
      </c>
      <c r="C533" s="1668"/>
      <c r="D533" s="1668"/>
      <c r="E533" s="1668"/>
      <c r="F533" s="1668"/>
      <c r="G533" s="1668"/>
      <c r="H533" s="1070"/>
      <c r="I533" s="1645"/>
      <c r="J533" s="1645"/>
      <c r="K533" s="1645"/>
      <c r="L533" s="1645"/>
      <c r="M533" s="1645"/>
      <c r="N533" s="1645"/>
      <c r="O533" s="1645"/>
      <c r="P533" s="1645"/>
      <c r="Q533" s="1645"/>
      <c r="R533" s="1645"/>
      <c r="S533" s="1645"/>
      <c r="T533" s="1645"/>
      <c r="U533" s="1645"/>
      <c r="V533" s="1645"/>
      <c r="W533" s="1645"/>
      <c r="X533" s="1645"/>
      <c r="Y533" s="1645"/>
      <c r="Z533" s="1645"/>
      <c r="AA533" s="1645"/>
      <c r="AB533" s="1645"/>
      <c r="AC533" s="1645"/>
      <c r="AD533" s="1645"/>
      <c r="AE533" s="1645"/>
      <c r="AF533" s="1645"/>
      <c r="AG533" s="1645"/>
      <c r="AH533" s="1645"/>
      <c r="AI533" s="1645"/>
      <c r="AJ533" s="1645"/>
      <c r="AK533" s="1645"/>
      <c r="AL533" s="1645"/>
      <c r="AM533" s="1645"/>
      <c r="AN533" s="1645"/>
      <c r="AO533" s="1645"/>
      <c r="AP533" s="1645"/>
      <c r="AQ533" s="1645"/>
      <c r="AR533" s="1645"/>
      <c r="AS533" s="1645"/>
      <c r="AT533" s="1645"/>
      <c r="AU533" s="1645"/>
      <c r="AV533" s="1645"/>
      <c r="AW533" s="1645"/>
      <c r="AX533" s="1645"/>
      <c r="AY533" s="1645"/>
      <c r="AZ533" s="1645"/>
      <c r="BA533" s="1645"/>
      <c r="BB533" s="1645"/>
      <c r="BC533" s="1645"/>
      <c r="BD533" s="1645"/>
      <c r="BE533" s="1645"/>
      <c r="BF533" s="1645"/>
      <c r="BG533" s="1645"/>
      <c r="BH533" s="1645"/>
      <c r="BI533" s="1645"/>
      <c r="BJ533" s="1645"/>
      <c r="BK533" s="1645"/>
      <c r="BL533" s="1645"/>
      <c r="BM533" s="1645"/>
      <c r="BN533" s="1645"/>
      <c r="BO533" s="1645"/>
      <c r="BP533" s="1645"/>
      <c r="BQ533" s="1645"/>
      <c r="BR533" s="1645"/>
      <c r="BS533" s="1645"/>
      <c r="BT533" s="1645"/>
      <c r="BU533" s="1645"/>
      <c r="BV533" s="1645"/>
      <c r="BW533" s="1645"/>
      <c r="BX533" s="1645"/>
      <c r="BY533" s="1645"/>
      <c r="BZ533" s="1645"/>
      <c r="CA533" s="1645"/>
      <c r="CB533" s="1645"/>
      <c r="CC533" s="1645"/>
      <c r="CD533" s="1645"/>
      <c r="CE533" s="1645"/>
      <c r="CF533" s="1645"/>
      <c r="CG533" s="1645"/>
      <c r="CH533" s="1645"/>
      <c r="CI533" s="1645"/>
      <c r="CJ533" s="1645"/>
      <c r="CK533" s="1645"/>
      <c r="CL533" s="1645"/>
      <c r="CM533" s="1645"/>
      <c r="CN533" s="1645"/>
      <c r="CO533" s="1645"/>
    </row>
    <row r="534" spans="1:93" s="1136" customFormat="1" ht="15" x14ac:dyDescent="0.2">
      <c r="A534" s="2000" t="s">
        <v>4426</v>
      </c>
      <c r="B534" s="1667" t="e">
        <f>B530*B531</f>
        <v>#VALUE!</v>
      </c>
      <c r="C534" s="1668"/>
      <c r="D534" s="1668"/>
      <c r="E534" s="1668"/>
      <c r="F534" s="1668"/>
      <c r="G534" s="1668"/>
      <c r="H534" s="1070"/>
      <c r="I534" s="1645"/>
      <c r="J534" s="1645"/>
      <c r="K534" s="1645"/>
      <c r="L534" s="1645"/>
      <c r="M534" s="1645"/>
      <c r="N534" s="1645"/>
      <c r="O534" s="1645"/>
      <c r="P534" s="1645"/>
      <c r="Q534" s="1645"/>
      <c r="R534" s="1645"/>
      <c r="S534" s="1645"/>
      <c r="T534" s="1645"/>
      <c r="U534" s="1645"/>
      <c r="V534" s="1645"/>
      <c r="W534" s="1645"/>
      <c r="X534" s="1645"/>
      <c r="Y534" s="1645"/>
      <c r="Z534" s="1645"/>
      <c r="AA534" s="1645"/>
      <c r="AB534" s="1645"/>
      <c r="AC534" s="1645"/>
      <c r="AD534" s="1645"/>
      <c r="AE534" s="1645"/>
      <c r="AF534" s="1645"/>
      <c r="AG534" s="1645"/>
      <c r="AH534" s="1645"/>
      <c r="AI534" s="1645"/>
      <c r="AJ534" s="1645"/>
      <c r="AK534" s="1645"/>
      <c r="AL534" s="1645"/>
      <c r="AM534" s="1645"/>
      <c r="AN534" s="1645"/>
      <c r="AO534" s="1645"/>
      <c r="AP534" s="1645"/>
      <c r="AQ534" s="1645"/>
      <c r="AR534" s="1645"/>
      <c r="AS534" s="1645"/>
      <c r="AT534" s="1645"/>
      <c r="AU534" s="1645"/>
      <c r="AV534" s="1645"/>
      <c r="AW534" s="1645"/>
      <c r="AX534" s="1645"/>
      <c r="AY534" s="1645"/>
      <c r="AZ534" s="1645"/>
      <c r="BA534" s="1645"/>
      <c r="BB534" s="1645"/>
      <c r="BC534" s="1645"/>
      <c r="BD534" s="1645"/>
      <c r="BE534" s="1645"/>
      <c r="BF534" s="1645"/>
      <c r="BG534" s="1645"/>
      <c r="BH534" s="1645"/>
      <c r="BI534" s="1645"/>
      <c r="BJ534" s="1645"/>
      <c r="BK534" s="1645"/>
      <c r="BL534" s="1645"/>
      <c r="BM534" s="1645"/>
      <c r="BN534" s="1645"/>
      <c r="BO534" s="1645"/>
      <c r="BP534" s="1645"/>
      <c r="BQ534" s="1645"/>
      <c r="BR534" s="1645"/>
      <c r="BS534" s="1645"/>
      <c r="BT534" s="1645"/>
      <c r="BU534" s="1645"/>
      <c r="BV534" s="1645"/>
      <c r="BW534" s="1645"/>
      <c r="BX534" s="1645"/>
      <c r="BY534" s="1645"/>
      <c r="BZ534" s="1645"/>
      <c r="CA534" s="1645"/>
      <c r="CB534" s="1645"/>
      <c r="CC534" s="1645"/>
      <c r="CD534" s="1645"/>
      <c r="CE534" s="1645"/>
      <c r="CF534" s="1645"/>
      <c r="CG534" s="1645"/>
      <c r="CH534" s="1645"/>
      <c r="CI534" s="1645"/>
      <c r="CJ534" s="1645"/>
      <c r="CK534" s="1645"/>
      <c r="CL534" s="1645"/>
      <c r="CM534" s="1645"/>
      <c r="CN534" s="1645"/>
      <c r="CO534" s="1645"/>
    </row>
    <row r="535" spans="1:93" s="1136" customFormat="1" ht="15" x14ac:dyDescent="0.2">
      <c r="A535" s="2001" t="s">
        <v>4621</v>
      </c>
      <c r="B535" s="1667"/>
      <c r="C535" s="1668"/>
      <c r="D535" s="1668"/>
      <c r="E535" s="1668"/>
      <c r="F535" s="1668"/>
      <c r="G535" s="1668"/>
      <c r="H535" s="1070"/>
      <c r="I535" s="1645"/>
      <c r="J535" s="1645"/>
      <c r="K535" s="1645"/>
      <c r="L535" s="1645"/>
      <c r="M535" s="1645"/>
      <c r="N535" s="1645"/>
      <c r="O535" s="1645"/>
      <c r="P535" s="1645"/>
      <c r="Q535" s="1645"/>
      <c r="R535" s="1645"/>
      <c r="S535" s="1645"/>
      <c r="T535" s="1645"/>
      <c r="U535" s="1645"/>
      <c r="V535" s="1645"/>
      <c r="W535" s="1645"/>
      <c r="X535" s="1645"/>
      <c r="Y535" s="1645"/>
      <c r="Z535" s="1645"/>
      <c r="AA535" s="1645"/>
      <c r="AB535" s="1645"/>
      <c r="AC535" s="1645"/>
      <c r="AD535" s="1645"/>
      <c r="AE535" s="1645"/>
      <c r="AF535" s="1645"/>
      <c r="AG535" s="1645"/>
      <c r="AH535" s="1645"/>
      <c r="AI535" s="1645"/>
      <c r="AJ535" s="1645"/>
      <c r="AK535" s="1645"/>
      <c r="AL535" s="1645"/>
      <c r="AM535" s="1645"/>
      <c r="AN535" s="1645"/>
      <c r="AO535" s="1645"/>
      <c r="AP535" s="1645"/>
      <c r="AQ535" s="1645"/>
      <c r="AR535" s="1645"/>
      <c r="AS535" s="1645"/>
      <c r="AT535" s="1645"/>
      <c r="AU535" s="1645"/>
      <c r="AV535" s="1645"/>
      <c r="AW535" s="1645"/>
      <c r="AX535" s="1645"/>
      <c r="AY535" s="1645"/>
      <c r="AZ535" s="1645"/>
      <c r="BA535" s="1645"/>
      <c r="BB535" s="1645"/>
      <c r="BC535" s="1645"/>
      <c r="BD535" s="1645"/>
      <c r="BE535" s="1645"/>
      <c r="BF535" s="1645"/>
      <c r="BG535" s="1645"/>
      <c r="BH535" s="1645"/>
      <c r="BI535" s="1645"/>
      <c r="BJ535" s="1645"/>
      <c r="BK535" s="1645"/>
      <c r="BL535" s="1645"/>
      <c r="BM535" s="1645"/>
      <c r="BN535" s="1645"/>
      <c r="BO535" s="1645"/>
      <c r="BP535" s="1645"/>
      <c r="BQ535" s="1645"/>
      <c r="BR535" s="1645"/>
      <c r="BS535" s="1645"/>
      <c r="BT535" s="1645"/>
      <c r="BU535" s="1645"/>
      <c r="BV535" s="1645"/>
      <c r="BW535" s="1645"/>
      <c r="BX535" s="1645"/>
      <c r="BY535" s="1645"/>
      <c r="BZ535" s="1645"/>
      <c r="CA535" s="1645"/>
      <c r="CB535" s="1645"/>
      <c r="CC535" s="1645"/>
      <c r="CD535" s="1645"/>
      <c r="CE535" s="1645"/>
      <c r="CF535" s="1645"/>
      <c r="CG535" s="1645"/>
      <c r="CH535" s="1645"/>
      <c r="CI535" s="1645"/>
      <c r="CJ535" s="1645"/>
      <c r="CK535" s="1645"/>
      <c r="CL535" s="1645"/>
      <c r="CM535" s="1645"/>
      <c r="CN535" s="1645"/>
      <c r="CO535" s="1645"/>
    </row>
    <row r="536" spans="1:93" s="1136" customFormat="1" ht="15" x14ac:dyDescent="0.2">
      <c r="A536" s="1666" t="s">
        <v>4622</v>
      </c>
      <c r="B536" s="1667">
        <v>1</v>
      </c>
      <c r="C536" s="1668"/>
      <c r="D536" s="1668"/>
      <c r="E536" s="1668"/>
      <c r="F536" s="1668"/>
      <c r="G536" s="1668"/>
      <c r="H536" s="1070"/>
      <c r="I536" s="1645"/>
      <c r="J536" s="1645"/>
      <c r="K536" s="1645"/>
      <c r="L536" s="1645"/>
      <c r="M536" s="1645"/>
      <c r="N536" s="1645"/>
      <c r="O536" s="1645"/>
      <c r="P536" s="1645"/>
      <c r="Q536" s="1645"/>
      <c r="R536" s="1645"/>
      <c r="S536" s="1645"/>
      <c r="T536" s="1645"/>
      <c r="U536" s="1645"/>
      <c r="V536" s="1645"/>
      <c r="W536" s="1645"/>
      <c r="X536" s="1645"/>
      <c r="Y536" s="1645"/>
      <c r="Z536" s="1645"/>
      <c r="AA536" s="1645"/>
      <c r="AB536" s="1645"/>
      <c r="AC536" s="1645"/>
      <c r="AD536" s="1645"/>
      <c r="AE536" s="1645"/>
      <c r="AF536" s="1645"/>
      <c r="AG536" s="1645"/>
      <c r="AH536" s="1645"/>
      <c r="AI536" s="1645"/>
      <c r="AJ536" s="1645"/>
      <c r="AK536" s="1645"/>
      <c r="AL536" s="1645"/>
      <c r="AM536" s="1645"/>
      <c r="AN536" s="1645"/>
      <c r="AO536" s="1645"/>
      <c r="AP536" s="1645"/>
      <c r="AQ536" s="1645"/>
      <c r="AR536" s="1645"/>
      <c r="AS536" s="1645"/>
      <c r="AT536" s="1645"/>
      <c r="AU536" s="1645"/>
      <c r="AV536" s="1645"/>
      <c r="AW536" s="1645"/>
      <c r="AX536" s="1645"/>
      <c r="AY536" s="1645"/>
      <c r="AZ536" s="1645"/>
      <c r="BA536" s="1645"/>
      <c r="BB536" s="1645"/>
      <c r="BC536" s="1645"/>
      <c r="BD536" s="1645"/>
      <c r="BE536" s="1645"/>
      <c r="BF536" s="1645"/>
      <c r="BG536" s="1645"/>
      <c r="BH536" s="1645"/>
      <c r="BI536" s="1645"/>
      <c r="BJ536" s="1645"/>
      <c r="BK536" s="1645"/>
      <c r="BL536" s="1645"/>
      <c r="BM536" s="1645"/>
      <c r="BN536" s="1645"/>
      <c r="BO536" s="1645"/>
      <c r="BP536" s="1645"/>
      <c r="BQ536" s="1645"/>
      <c r="BR536" s="1645"/>
      <c r="BS536" s="1645"/>
      <c r="BT536" s="1645"/>
      <c r="BU536" s="1645"/>
      <c r="BV536" s="1645"/>
      <c r="BW536" s="1645"/>
      <c r="BX536" s="1645"/>
      <c r="BY536" s="1645"/>
      <c r="BZ536" s="1645"/>
      <c r="CA536" s="1645"/>
      <c r="CB536" s="1645"/>
      <c r="CC536" s="1645"/>
      <c r="CD536" s="1645"/>
      <c r="CE536" s="1645"/>
      <c r="CF536" s="1645"/>
      <c r="CG536" s="1645"/>
      <c r="CH536" s="1645"/>
      <c r="CI536" s="1645"/>
      <c r="CJ536" s="1645"/>
      <c r="CK536" s="1645"/>
      <c r="CL536" s="1645"/>
      <c r="CM536" s="1645"/>
      <c r="CN536" s="1645"/>
      <c r="CO536" s="1645"/>
    </row>
    <row r="537" spans="1:93" s="1136" customFormat="1" ht="15" x14ac:dyDescent="0.2">
      <c r="A537" s="1666" t="s">
        <v>4388</v>
      </c>
      <c r="B537" s="1667">
        <v>8</v>
      </c>
      <c r="C537" s="1668"/>
      <c r="D537" s="1668"/>
      <c r="E537" s="1668"/>
      <c r="F537" s="1668"/>
      <c r="G537" s="1668"/>
      <c r="H537" s="1070"/>
      <c r="I537" s="1645"/>
      <c r="J537" s="1645"/>
      <c r="K537" s="1645"/>
      <c r="L537" s="1645"/>
      <c r="M537" s="1645"/>
      <c r="N537" s="1645"/>
      <c r="O537" s="1645"/>
      <c r="P537" s="1645"/>
      <c r="Q537" s="1645"/>
      <c r="R537" s="1645"/>
      <c r="S537" s="1645"/>
      <c r="T537" s="1645"/>
      <c r="U537" s="1645"/>
      <c r="V537" s="1645"/>
      <c r="W537" s="1645"/>
      <c r="X537" s="1645"/>
      <c r="Y537" s="1645"/>
      <c r="Z537" s="1645"/>
      <c r="AA537" s="1645"/>
      <c r="AB537" s="1645"/>
      <c r="AC537" s="1645"/>
      <c r="AD537" s="1645"/>
      <c r="AE537" s="1645"/>
      <c r="AF537" s="1645"/>
      <c r="AG537" s="1645"/>
      <c r="AH537" s="1645"/>
      <c r="AI537" s="1645"/>
      <c r="AJ537" s="1645"/>
      <c r="AK537" s="1645"/>
      <c r="AL537" s="1645"/>
      <c r="AM537" s="1645"/>
      <c r="AN537" s="1645"/>
      <c r="AO537" s="1645"/>
      <c r="AP537" s="1645"/>
      <c r="AQ537" s="1645"/>
      <c r="AR537" s="1645"/>
      <c r="AS537" s="1645"/>
      <c r="AT537" s="1645"/>
      <c r="AU537" s="1645"/>
      <c r="AV537" s="1645"/>
      <c r="AW537" s="1645"/>
      <c r="AX537" s="1645"/>
      <c r="AY537" s="1645"/>
      <c r="AZ537" s="1645"/>
      <c r="BA537" s="1645"/>
      <c r="BB537" s="1645"/>
      <c r="BC537" s="1645"/>
      <c r="BD537" s="1645"/>
      <c r="BE537" s="1645"/>
      <c r="BF537" s="1645"/>
      <c r="BG537" s="1645"/>
      <c r="BH537" s="1645"/>
      <c r="BI537" s="1645"/>
      <c r="BJ537" s="1645"/>
      <c r="BK537" s="1645"/>
      <c r="BL537" s="1645"/>
      <c r="BM537" s="1645"/>
      <c r="BN537" s="1645"/>
      <c r="BO537" s="1645"/>
      <c r="BP537" s="1645"/>
      <c r="BQ537" s="1645"/>
      <c r="BR537" s="1645"/>
      <c r="BS537" s="1645"/>
      <c r="BT537" s="1645"/>
      <c r="BU537" s="1645"/>
      <c r="BV537" s="1645"/>
      <c r="BW537" s="1645"/>
      <c r="BX537" s="1645"/>
      <c r="BY537" s="1645"/>
      <c r="BZ537" s="1645"/>
      <c r="CA537" s="1645"/>
      <c r="CB537" s="1645"/>
      <c r="CC537" s="1645"/>
      <c r="CD537" s="1645"/>
      <c r="CE537" s="1645"/>
      <c r="CF537" s="1645"/>
      <c r="CG537" s="1645"/>
      <c r="CH537" s="1645"/>
      <c r="CI537" s="1645"/>
      <c r="CJ537" s="1645"/>
      <c r="CK537" s="1645"/>
      <c r="CL537" s="1645"/>
      <c r="CM537" s="1645"/>
      <c r="CN537" s="1645"/>
      <c r="CO537" s="1645"/>
    </row>
    <row r="538" spans="1:93" s="1136" customFormat="1" ht="15" x14ac:dyDescent="0.2">
      <c r="A538" s="1666" t="s">
        <v>4623</v>
      </c>
      <c r="B538" s="1667" t="e">
        <f>B465</f>
        <v>#VALUE!</v>
      </c>
      <c r="C538" s="1668"/>
      <c r="D538" s="1668"/>
      <c r="E538" s="1668"/>
      <c r="F538" s="1668"/>
      <c r="G538" s="1668"/>
      <c r="H538" s="1070"/>
      <c r="I538" s="1645"/>
      <c r="J538" s="1645"/>
      <c r="K538" s="1645"/>
      <c r="L538" s="1645"/>
      <c r="M538" s="1645"/>
      <c r="N538" s="1645"/>
      <c r="O538" s="1645"/>
      <c r="P538" s="1645"/>
      <c r="Q538" s="1645"/>
      <c r="R538" s="1645"/>
      <c r="S538" s="1645"/>
      <c r="T538" s="1645"/>
      <c r="U538" s="1645"/>
      <c r="V538" s="1645"/>
      <c r="W538" s="1645"/>
      <c r="X538" s="1645"/>
      <c r="Y538" s="1645"/>
      <c r="Z538" s="1645"/>
      <c r="AA538" s="1645"/>
      <c r="AB538" s="1645"/>
      <c r="AC538" s="1645"/>
      <c r="AD538" s="1645"/>
      <c r="AE538" s="1645"/>
      <c r="AF538" s="1645"/>
      <c r="AG538" s="1645"/>
      <c r="AH538" s="1645"/>
      <c r="AI538" s="1645"/>
      <c r="AJ538" s="1645"/>
      <c r="AK538" s="1645"/>
      <c r="AL538" s="1645"/>
      <c r="AM538" s="1645"/>
      <c r="AN538" s="1645"/>
      <c r="AO538" s="1645"/>
      <c r="AP538" s="1645"/>
      <c r="AQ538" s="1645"/>
      <c r="AR538" s="1645"/>
      <c r="AS538" s="1645"/>
      <c r="AT538" s="1645"/>
      <c r="AU538" s="1645"/>
      <c r="AV538" s="1645"/>
      <c r="AW538" s="1645"/>
      <c r="AX538" s="1645"/>
      <c r="AY538" s="1645"/>
      <c r="AZ538" s="1645"/>
      <c r="BA538" s="1645"/>
      <c r="BB538" s="1645"/>
      <c r="BC538" s="1645"/>
      <c r="BD538" s="1645"/>
      <c r="BE538" s="1645"/>
      <c r="BF538" s="1645"/>
      <c r="BG538" s="1645"/>
      <c r="BH538" s="1645"/>
      <c r="BI538" s="1645"/>
      <c r="BJ538" s="1645"/>
      <c r="BK538" s="1645"/>
      <c r="BL538" s="1645"/>
      <c r="BM538" s="1645"/>
      <c r="BN538" s="1645"/>
      <c r="BO538" s="1645"/>
      <c r="BP538" s="1645"/>
      <c r="BQ538" s="1645"/>
      <c r="BR538" s="1645"/>
      <c r="BS538" s="1645"/>
      <c r="BT538" s="1645"/>
      <c r="BU538" s="1645"/>
      <c r="BV538" s="1645"/>
      <c r="BW538" s="1645"/>
      <c r="BX538" s="1645"/>
      <c r="BY538" s="1645"/>
      <c r="BZ538" s="1645"/>
      <c r="CA538" s="1645"/>
      <c r="CB538" s="1645"/>
      <c r="CC538" s="1645"/>
      <c r="CD538" s="1645"/>
      <c r="CE538" s="1645"/>
      <c r="CF538" s="1645"/>
      <c r="CG538" s="1645"/>
      <c r="CH538" s="1645"/>
      <c r="CI538" s="1645"/>
      <c r="CJ538" s="1645"/>
      <c r="CK538" s="1645"/>
      <c r="CL538" s="1645"/>
      <c r="CM538" s="1645"/>
      <c r="CN538" s="1645"/>
      <c r="CO538" s="1645"/>
    </row>
    <row r="539" spans="1:93" s="1136" customFormat="1" ht="15" x14ac:dyDescent="0.2">
      <c r="A539" s="1391" t="s">
        <v>3123</v>
      </c>
      <c r="B539" s="1667">
        <f>B505</f>
        <v>0</v>
      </c>
      <c r="C539" s="1668"/>
      <c r="D539" s="1668"/>
      <c r="E539" s="1668"/>
      <c r="F539" s="1668"/>
      <c r="G539" s="1668"/>
      <c r="H539" s="1070"/>
      <c r="I539" s="1645"/>
      <c r="J539" s="1645"/>
      <c r="K539" s="1645"/>
      <c r="L539" s="1645"/>
      <c r="M539" s="1645"/>
      <c r="N539" s="1645"/>
      <c r="O539" s="1645"/>
      <c r="P539" s="1645"/>
      <c r="Q539" s="1645"/>
      <c r="R539" s="1645"/>
      <c r="S539" s="1645"/>
      <c r="T539" s="1645"/>
      <c r="U539" s="1645"/>
      <c r="V539" s="1645"/>
      <c r="W539" s="1645"/>
      <c r="X539" s="1645"/>
      <c r="Y539" s="1645"/>
      <c r="Z539" s="1645"/>
      <c r="AA539" s="1645"/>
      <c r="AB539" s="1645"/>
      <c r="AC539" s="1645"/>
      <c r="AD539" s="1645"/>
      <c r="AE539" s="1645"/>
      <c r="AF539" s="1645"/>
      <c r="AG539" s="1645"/>
      <c r="AH539" s="1645"/>
      <c r="AI539" s="1645"/>
      <c r="AJ539" s="1645"/>
      <c r="AK539" s="1645"/>
      <c r="AL539" s="1645"/>
      <c r="AM539" s="1645"/>
      <c r="AN539" s="1645"/>
      <c r="AO539" s="1645"/>
      <c r="AP539" s="1645"/>
      <c r="AQ539" s="1645"/>
      <c r="AR539" s="1645"/>
      <c r="AS539" s="1645"/>
      <c r="AT539" s="1645"/>
      <c r="AU539" s="1645"/>
      <c r="AV539" s="1645"/>
      <c r="AW539" s="1645"/>
      <c r="AX539" s="1645"/>
      <c r="AY539" s="1645"/>
      <c r="AZ539" s="1645"/>
      <c r="BA539" s="1645"/>
      <c r="BB539" s="1645"/>
      <c r="BC539" s="1645"/>
      <c r="BD539" s="1645"/>
      <c r="BE539" s="1645"/>
      <c r="BF539" s="1645"/>
      <c r="BG539" s="1645"/>
      <c r="BH539" s="1645"/>
      <c r="BI539" s="1645"/>
      <c r="BJ539" s="1645"/>
      <c r="BK539" s="1645"/>
      <c r="BL539" s="1645"/>
      <c r="BM539" s="1645"/>
      <c r="BN539" s="1645"/>
      <c r="BO539" s="1645"/>
      <c r="BP539" s="1645"/>
      <c r="BQ539" s="1645"/>
      <c r="BR539" s="1645"/>
      <c r="BS539" s="1645"/>
      <c r="BT539" s="1645"/>
      <c r="BU539" s="1645"/>
      <c r="BV539" s="1645"/>
      <c r="BW539" s="1645"/>
      <c r="BX539" s="1645"/>
      <c r="BY539" s="1645"/>
      <c r="BZ539" s="1645"/>
      <c r="CA539" s="1645"/>
      <c r="CB539" s="1645"/>
      <c r="CC539" s="1645"/>
      <c r="CD539" s="1645"/>
      <c r="CE539" s="1645"/>
      <c r="CF539" s="1645"/>
      <c r="CG539" s="1645"/>
      <c r="CH539" s="1645"/>
      <c r="CI539" s="1645"/>
      <c r="CJ539" s="1645"/>
      <c r="CK539" s="1645"/>
      <c r="CL539" s="1645"/>
      <c r="CM539" s="1645"/>
      <c r="CN539" s="1645"/>
      <c r="CO539" s="1645"/>
    </row>
    <row r="540" spans="1:93" s="1136" customFormat="1" ht="15" x14ac:dyDescent="0.2">
      <c r="A540" s="1391"/>
      <c r="B540" s="2002"/>
      <c r="C540" s="1679"/>
      <c r="D540" s="1679"/>
      <c r="E540" s="1679"/>
      <c r="F540" s="1679"/>
      <c r="G540" s="1679"/>
      <c r="H540" s="1645"/>
      <c r="I540" s="1645"/>
      <c r="J540" s="1645"/>
      <c r="K540" s="1645"/>
      <c r="L540" s="1645"/>
      <c r="M540" s="1645"/>
      <c r="N540" s="1645"/>
      <c r="O540" s="1645"/>
      <c r="P540" s="1645"/>
      <c r="Q540" s="1645"/>
      <c r="R540" s="1645"/>
      <c r="S540" s="1645"/>
      <c r="T540" s="1645"/>
      <c r="U540" s="1645"/>
      <c r="V540" s="1645"/>
      <c r="W540" s="1645"/>
      <c r="X540" s="1645"/>
      <c r="Y540" s="1645"/>
      <c r="Z540" s="1645"/>
      <c r="AA540" s="1645"/>
      <c r="AB540" s="1645"/>
      <c r="AC540" s="1645"/>
      <c r="AD540" s="1645"/>
      <c r="AE540" s="1645"/>
      <c r="AF540" s="1645"/>
      <c r="AG540" s="1645"/>
      <c r="AH540" s="1645"/>
      <c r="AI540" s="1645"/>
      <c r="AJ540" s="1645"/>
      <c r="AK540" s="1645"/>
      <c r="AL540" s="1645"/>
      <c r="AM540" s="1645"/>
      <c r="AN540" s="1645"/>
      <c r="AO540" s="1645"/>
      <c r="AP540" s="1645"/>
      <c r="AQ540" s="1645"/>
      <c r="AR540" s="1645"/>
      <c r="AS540" s="1645"/>
      <c r="AT540" s="1645"/>
      <c r="AU540" s="1645"/>
      <c r="AV540" s="1645"/>
      <c r="AW540" s="1645"/>
      <c r="AX540" s="1645"/>
      <c r="AY540" s="1645"/>
      <c r="AZ540" s="1645"/>
      <c r="BA540" s="1645"/>
      <c r="BB540" s="1645"/>
      <c r="BC540" s="1645"/>
      <c r="BD540" s="1645"/>
      <c r="BE540" s="1645"/>
      <c r="BF540" s="1645"/>
      <c r="BG540" s="1645"/>
      <c r="BH540" s="1645"/>
      <c r="BI540" s="1645"/>
      <c r="BJ540" s="1645"/>
      <c r="BK540" s="1645"/>
      <c r="BL540" s="1645"/>
      <c r="BM540" s="1645"/>
      <c r="BN540" s="1645"/>
      <c r="BO540" s="1645"/>
      <c r="BP540" s="1645"/>
      <c r="BQ540" s="1645"/>
      <c r="BR540" s="1645"/>
      <c r="BS540" s="1645"/>
      <c r="BT540" s="1645"/>
      <c r="BU540" s="1645"/>
      <c r="BV540" s="1645"/>
      <c r="BW540" s="1645"/>
      <c r="BX540" s="1645"/>
      <c r="BY540" s="1645"/>
      <c r="BZ540" s="1645"/>
      <c r="CA540" s="1645"/>
      <c r="CB540" s="1645"/>
      <c r="CC540" s="1645"/>
      <c r="CD540" s="1645"/>
      <c r="CE540" s="1645"/>
      <c r="CF540" s="1645"/>
      <c r="CG540" s="1645"/>
      <c r="CH540" s="1645"/>
      <c r="CI540" s="1645"/>
      <c r="CJ540" s="1645"/>
      <c r="CK540" s="1645"/>
      <c r="CL540" s="1645"/>
      <c r="CM540" s="1645"/>
      <c r="CN540" s="1645"/>
      <c r="CO540" s="1645"/>
    </row>
    <row r="541" spans="1:93" s="1136" customFormat="1" ht="20.25" x14ac:dyDescent="0.3">
      <c r="A541" s="2003" t="s">
        <v>2825</v>
      </c>
      <c r="B541" s="2004"/>
      <c r="C541" s="1682"/>
      <c r="D541" s="1683"/>
      <c r="E541" s="1683"/>
      <c r="F541" s="1683"/>
      <c r="G541" s="1683"/>
      <c r="H541" s="1683"/>
      <c r="I541" s="1683"/>
      <c r="J541" s="1683"/>
      <c r="K541" s="1683"/>
      <c r="L541" s="1645"/>
      <c r="M541" s="1645"/>
      <c r="N541" s="1645"/>
      <c r="O541" s="1645"/>
      <c r="P541" s="1645"/>
      <c r="Q541" s="1645"/>
      <c r="R541" s="1645"/>
      <c r="S541" s="1645"/>
      <c r="T541" s="1645"/>
      <c r="U541" s="1645"/>
      <c r="V541" s="1645"/>
      <c r="W541" s="1645"/>
      <c r="X541" s="1645"/>
      <c r="Y541" s="1645"/>
      <c r="Z541" s="1645"/>
      <c r="AA541" s="1645"/>
      <c r="AB541" s="1645"/>
      <c r="AC541" s="1645"/>
      <c r="AD541" s="1645"/>
      <c r="AE541" s="1645"/>
      <c r="AF541" s="1645"/>
      <c r="AG541" s="1645"/>
      <c r="AH541" s="1645"/>
      <c r="AI541" s="1645"/>
      <c r="AJ541" s="1645"/>
      <c r="AK541" s="1645"/>
      <c r="AL541" s="1645"/>
      <c r="AM541" s="1645"/>
      <c r="AN541" s="1645"/>
      <c r="AO541" s="1645"/>
      <c r="AP541" s="1645"/>
      <c r="AQ541" s="1645"/>
      <c r="AR541" s="1645"/>
      <c r="AS541" s="1645"/>
      <c r="AT541" s="1645"/>
      <c r="AU541" s="1645"/>
      <c r="AV541" s="1645"/>
      <c r="AW541" s="1645"/>
      <c r="AX541" s="1645"/>
      <c r="AY541" s="1645"/>
      <c r="AZ541" s="1645"/>
      <c r="BA541" s="1645"/>
      <c r="BB541" s="1645"/>
      <c r="BC541" s="1645"/>
      <c r="BD541" s="1645"/>
      <c r="BE541" s="1645"/>
      <c r="BF541" s="1645"/>
      <c r="BG541" s="1645"/>
      <c r="BH541" s="1645"/>
      <c r="BI541" s="1645"/>
      <c r="BJ541" s="1645"/>
      <c r="BK541" s="1645"/>
      <c r="BL541" s="1645"/>
      <c r="BM541" s="1645"/>
      <c r="BN541" s="1645"/>
      <c r="BO541" s="1645"/>
      <c r="BP541" s="1645"/>
      <c r="BQ541" s="1645"/>
      <c r="BR541" s="1645"/>
      <c r="BS541" s="1645"/>
      <c r="BT541" s="1645"/>
      <c r="BU541" s="1645"/>
      <c r="BV541" s="1645"/>
      <c r="BW541" s="1645"/>
      <c r="BX541" s="1645"/>
      <c r="BY541" s="1645"/>
      <c r="BZ541" s="1645"/>
      <c r="CA541" s="1645"/>
      <c r="CB541" s="1645"/>
      <c r="CC541" s="1645"/>
      <c r="CD541" s="1645"/>
      <c r="CE541" s="1645"/>
      <c r="CF541" s="1645"/>
      <c r="CG541" s="1645"/>
      <c r="CH541" s="1645"/>
      <c r="CI541" s="1645"/>
      <c r="CJ541" s="1645"/>
      <c r="CK541" s="1645"/>
      <c r="CL541" s="1645"/>
      <c r="CM541" s="1645"/>
      <c r="CN541" s="1645"/>
      <c r="CO541" s="1645"/>
    </row>
    <row r="542" spans="1:93" s="1136" customFormat="1" ht="15" x14ac:dyDescent="0.2">
      <c r="A542" s="2005"/>
      <c r="B542" s="2002"/>
      <c r="C542" s="1679"/>
      <c r="D542" s="1645"/>
      <c r="E542" s="1645"/>
      <c r="F542" s="1645"/>
      <c r="G542" s="1645"/>
      <c r="H542" s="1645"/>
      <c r="I542" s="1645"/>
      <c r="J542" s="1645"/>
      <c r="K542" s="1645"/>
      <c r="L542" s="1645"/>
      <c r="M542" s="1645"/>
      <c r="N542" s="1645"/>
      <c r="O542" s="1645"/>
      <c r="P542" s="1645"/>
      <c r="Q542" s="1645"/>
      <c r="R542" s="1645"/>
      <c r="S542" s="1645"/>
      <c r="T542" s="1645"/>
      <c r="U542" s="1645"/>
      <c r="V542" s="1645"/>
      <c r="W542" s="1645"/>
      <c r="X542" s="1645"/>
      <c r="Y542" s="1645"/>
      <c r="Z542" s="1645"/>
      <c r="AA542" s="1645"/>
      <c r="AB542" s="1645"/>
      <c r="AC542" s="1645"/>
      <c r="AD542" s="1645"/>
      <c r="AE542" s="1645"/>
      <c r="AF542" s="1645"/>
      <c r="AG542" s="1645"/>
      <c r="AH542" s="1645"/>
      <c r="AI542" s="1645"/>
      <c r="AJ542" s="1645"/>
      <c r="AK542" s="1645"/>
      <c r="AL542" s="1645"/>
      <c r="AM542" s="1645"/>
      <c r="AN542" s="1645"/>
      <c r="AO542" s="1645"/>
      <c r="AP542" s="1645"/>
      <c r="AQ542" s="1645"/>
      <c r="AR542" s="1645"/>
      <c r="AS542" s="1645"/>
      <c r="AT542" s="1645"/>
      <c r="AU542" s="1645"/>
      <c r="AV542" s="1645"/>
      <c r="AW542" s="1645"/>
      <c r="AX542" s="1645"/>
      <c r="AY542" s="1645"/>
      <c r="AZ542" s="1645"/>
      <c r="BA542" s="1645"/>
      <c r="BB542" s="1645"/>
      <c r="BC542" s="1645"/>
      <c r="BD542" s="1645"/>
      <c r="BE542" s="1645"/>
      <c r="BF542" s="1645"/>
      <c r="BG542" s="1645"/>
      <c r="BH542" s="1645"/>
      <c r="BI542" s="1645"/>
      <c r="BJ542" s="1645"/>
      <c r="BK542" s="1645"/>
      <c r="BL542" s="1645"/>
      <c r="BM542" s="1645"/>
      <c r="BN542" s="1645"/>
      <c r="BO542" s="1645"/>
      <c r="BP542" s="1645"/>
      <c r="BQ542" s="1645"/>
      <c r="BR542" s="1645"/>
      <c r="BS542" s="1645"/>
      <c r="BT542" s="1645"/>
      <c r="BU542" s="1645"/>
      <c r="BV542" s="1645"/>
      <c r="BW542" s="1645"/>
      <c r="BX542" s="1645"/>
      <c r="BY542" s="1645"/>
      <c r="BZ542" s="1645"/>
      <c r="CA542" s="1645"/>
      <c r="CB542" s="1645"/>
      <c r="CC542" s="1645"/>
      <c r="CD542" s="1645"/>
      <c r="CE542" s="1645"/>
      <c r="CF542" s="1645"/>
      <c r="CG542" s="1645"/>
      <c r="CH542" s="1645"/>
      <c r="CI542" s="1645"/>
      <c r="CJ542" s="1645"/>
      <c r="CK542" s="1645"/>
      <c r="CL542" s="1645"/>
      <c r="CM542" s="1645"/>
      <c r="CN542" s="1645"/>
      <c r="CO542" s="1645"/>
    </row>
    <row r="543" spans="1:93" s="1136" customFormat="1" ht="15" x14ac:dyDescent="0.2">
      <c r="A543" s="2005"/>
      <c r="B543" s="2002"/>
      <c r="C543" s="1679"/>
      <c r="D543" s="1645"/>
      <c r="E543" s="1645"/>
      <c r="F543" s="1645"/>
      <c r="G543" s="1645"/>
      <c r="H543" s="1645"/>
      <c r="I543" s="1645"/>
      <c r="J543" s="1645"/>
      <c r="K543" s="1645"/>
      <c r="L543" s="1645"/>
      <c r="M543" s="1645"/>
      <c r="N543" s="1645"/>
      <c r="O543" s="1645"/>
      <c r="P543" s="1645"/>
      <c r="Q543" s="1645"/>
      <c r="R543" s="1645"/>
      <c r="S543" s="1645"/>
      <c r="T543" s="1645"/>
      <c r="U543" s="1645"/>
      <c r="V543" s="1645"/>
      <c r="W543" s="1645"/>
      <c r="X543" s="1645"/>
      <c r="Y543" s="1645"/>
      <c r="Z543" s="1645"/>
      <c r="AA543" s="1645"/>
      <c r="AB543" s="1645"/>
      <c r="AC543" s="1645"/>
      <c r="AD543" s="1645"/>
      <c r="AE543" s="1645"/>
      <c r="AF543" s="1645"/>
      <c r="AG543" s="1645"/>
      <c r="AH543" s="1645"/>
      <c r="AI543" s="1645"/>
      <c r="AJ543" s="1645"/>
      <c r="AK543" s="1645"/>
      <c r="AL543" s="1645"/>
      <c r="AM543" s="1645"/>
      <c r="AN543" s="1645"/>
      <c r="AO543" s="1645"/>
      <c r="AP543" s="1645"/>
      <c r="AQ543" s="1645"/>
      <c r="AR543" s="1645"/>
      <c r="AS543" s="1645"/>
      <c r="AT543" s="1645"/>
      <c r="AU543" s="1645"/>
      <c r="AV543" s="1645"/>
      <c r="AW543" s="1645"/>
      <c r="AX543" s="1645"/>
      <c r="AY543" s="1645"/>
      <c r="AZ543" s="1645"/>
      <c r="BA543" s="1645"/>
      <c r="BB543" s="1645"/>
      <c r="BC543" s="1645"/>
      <c r="BD543" s="1645"/>
      <c r="BE543" s="1645"/>
      <c r="BF543" s="1645"/>
      <c r="BG543" s="1645"/>
      <c r="BH543" s="1645"/>
      <c r="BI543" s="1645"/>
      <c r="BJ543" s="1645"/>
      <c r="BK543" s="1645"/>
      <c r="BL543" s="1645"/>
      <c r="BM543" s="1645"/>
      <c r="BN543" s="1645"/>
      <c r="BO543" s="1645"/>
      <c r="BP543" s="1645"/>
      <c r="BQ543" s="1645"/>
      <c r="BR543" s="1645"/>
      <c r="BS543" s="1645"/>
      <c r="BT543" s="1645"/>
      <c r="BU543" s="1645"/>
      <c r="BV543" s="1645"/>
      <c r="BW543" s="1645"/>
      <c r="BX543" s="1645"/>
      <c r="BY543" s="1645"/>
      <c r="BZ543" s="1645"/>
      <c r="CA543" s="1645"/>
      <c r="CB543" s="1645"/>
      <c r="CC543" s="1645"/>
      <c r="CD543" s="1645"/>
      <c r="CE543" s="1645"/>
      <c r="CF543" s="1645"/>
      <c r="CG543" s="1645"/>
      <c r="CH543" s="1645"/>
      <c r="CI543" s="1645"/>
      <c r="CJ543" s="1645"/>
      <c r="CK543" s="1645"/>
      <c r="CL543" s="1645"/>
      <c r="CM543" s="1645"/>
      <c r="CN543" s="1645"/>
      <c r="CO543" s="1645"/>
    </row>
    <row r="544" spans="1:93" s="1136" customFormat="1" ht="15" x14ac:dyDescent="0.2">
      <c r="A544" s="2005"/>
      <c r="B544" s="2002"/>
      <c r="C544" s="1679"/>
      <c r="D544" s="1645"/>
      <c r="E544" s="1645"/>
      <c r="F544" s="1645"/>
      <c r="G544" s="1645"/>
      <c r="H544" s="1645"/>
      <c r="I544" s="1645"/>
      <c r="J544" s="1645"/>
      <c r="K544" s="1645"/>
      <c r="L544" s="1645"/>
      <c r="M544" s="1645"/>
      <c r="N544" s="1645"/>
      <c r="O544" s="1645"/>
      <c r="P544" s="1645"/>
      <c r="Q544" s="1645"/>
      <c r="R544" s="1645"/>
      <c r="S544" s="1645"/>
      <c r="T544" s="1645"/>
      <c r="U544" s="1645"/>
      <c r="V544" s="1645"/>
      <c r="W544" s="1645"/>
      <c r="X544" s="1645"/>
      <c r="Y544" s="1645"/>
      <c r="Z544" s="1645"/>
      <c r="AA544" s="1645"/>
      <c r="AB544" s="1645"/>
      <c r="AC544" s="1645"/>
      <c r="AD544" s="1645"/>
      <c r="AE544" s="1645"/>
      <c r="AF544" s="1645"/>
      <c r="AG544" s="1645"/>
      <c r="AH544" s="1645"/>
      <c r="AI544" s="1645"/>
      <c r="AJ544" s="1645"/>
      <c r="AK544" s="1645"/>
      <c r="AL544" s="1645"/>
      <c r="AM544" s="1645"/>
      <c r="AN544" s="1645"/>
      <c r="AO544" s="1645"/>
      <c r="AP544" s="1645"/>
      <c r="AQ544" s="1645"/>
      <c r="AR544" s="1645"/>
      <c r="AS544" s="1645"/>
      <c r="AT544" s="1645"/>
      <c r="AU544" s="1645"/>
      <c r="AV544" s="1645"/>
      <c r="AW544" s="1645"/>
      <c r="AX544" s="1645"/>
      <c r="AY544" s="1645"/>
      <c r="AZ544" s="1645"/>
      <c r="BA544" s="1645"/>
      <c r="BB544" s="1645"/>
      <c r="BC544" s="1645"/>
      <c r="BD544" s="1645"/>
      <c r="BE544" s="1645"/>
      <c r="BF544" s="1645"/>
      <c r="BG544" s="1645"/>
      <c r="BH544" s="1645"/>
      <c r="BI544" s="1645"/>
      <c r="BJ544" s="1645"/>
      <c r="BK544" s="1645"/>
      <c r="BL544" s="1645"/>
      <c r="BM544" s="1645"/>
      <c r="BN544" s="1645"/>
      <c r="BO544" s="1645"/>
      <c r="BP544" s="1645"/>
      <c r="BQ544" s="1645"/>
      <c r="BR544" s="1645"/>
      <c r="BS544" s="1645"/>
      <c r="BT544" s="1645"/>
      <c r="BU544" s="1645"/>
      <c r="BV544" s="1645"/>
      <c r="BW544" s="1645"/>
      <c r="BX544" s="1645"/>
      <c r="BY544" s="1645"/>
      <c r="BZ544" s="1645"/>
      <c r="CA544" s="1645"/>
      <c r="CB544" s="1645"/>
      <c r="CC544" s="1645"/>
      <c r="CD544" s="1645"/>
      <c r="CE544" s="1645"/>
      <c r="CF544" s="1645"/>
      <c r="CG544" s="1645"/>
      <c r="CH544" s="1645"/>
      <c r="CI544" s="1645"/>
      <c r="CJ544" s="1645"/>
      <c r="CK544" s="1645"/>
      <c r="CL544" s="1645"/>
      <c r="CM544" s="1645"/>
      <c r="CN544" s="1645"/>
      <c r="CO544" s="1645"/>
    </row>
    <row r="545" spans="1:93" s="1136" customFormat="1" ht="15" x14ac:dyDescent="0.2">
      <c r="A545" s="2006"/>
      <c r="B545" s="1690"/>
      <c r="C545" s="1645"/>
      <c r="D545" s="1645"/>
      <c r="E545" s="1645"/>
      <c r="F545" s="1645"/>
      <c r="G545" s="1645"/>
      <c r="H545" s="1645"/>
      <c r="I545" s="1645"/>
      <c r="J545" s="1645"/>
      <c r="K545" s="1645"/>
      <c r="L545" s="1645"/>
      <c r="M545" s="1645"/>
      <c r="N545" s="1645"/>
      <c r="O545" s="1645"/>
      <c r="P545" s="1645"/>
      <c r="Q545" s="1645"/>
      <c r="R545" s="1645"/>
      <c r="S545" s="1645"/>
      <c r="T545" s="1645"/>
      <c r="U545" s="1645"/>
      <c r="V545" s="1645"/>
      <c r="W545" s="1645"/>
      <c r="X545" s="1645"/>
      <c r="Y545" s="1645"/>
      <c r="Z545" s="1645"/>
      <c r="AA545" s="1645"/>
      <c r="AB545" s="1645"/>
      <c r="AC545" s="1645"/>
      <c r="AD545" s="1645"/>
      <c r="AE545" s="1645"/>
      <c r="AF545" s="1645"/>
      <c r="AG545" s="1645"/>
      <c r="AH545" s="1645"/>
      <c r="AI545" s="1645"/>
      <c r="AJ545" s="1645"/>
      <c r="AK545" s="1645"/>
      <c r="AL545" s="1645"/>
      <c r="AM545" s="1645"/>
      <c r="AN545" s="1645"/>
      <c r="AO545" s="1645"/>
      <c r="AP545" s="1645"/>
      <c r="AQ545" s="1645"/>
      <c r="AR545" s="1645"/>
      <c r="AS545" s="1645"/>
      <c r="AT545" s="1645"/>
      <c r="AU545" s="1645"/>
      <c r="AV545" s="1645"/>
      <c r="AW545" s="1645"/>
      <c r="AX545" s="1645"/>
      <c r="AY545" s="1645"/>
      <c r="AZ545" s="1645"/>
      <c r="BA545" s="1645"/>
      <c r="BB545" s="1645"/>
      <c r="BC545" s="1645"/>
      <c r="BD545" s="1645"/>
      <c r="BE545" s="1645"/>
      <c r="BF545" s="1645"/>
      <c r="BG545" s="1645"/>
      <c r="BH545" s="1645"/>
      <c r="BI545" s="1645"/>
      <c r="BJ545" s="1645"/>
      <c r="BK545" s="1645"/>
      <c r="BL545" s="1645"/>
      <c r="BM545" s="1645"/>
      <c r="BN545" s="1645"/>
      <c r="BO545" s="1645"/>
      <c r="BP545" s="1645"/>
      <c r="BQ545" s="1645"/>
      <c r="BR545" s="1645"/>
      <c r="BS545" s="1645"/>
      <c r="BT545" s="1645"/>
      <c r="BU545" s="1645"/>
      <c r="BV545" s="1645"/>
      <c r="BW545" s="1645"/>
      <c r="BX545" s="1645"/>
      <c r="BY545" s="1645"/>
      <c r="BZ545" s="1645"/>
      <c r="CA545" s="1645"/>
      <c r="CB545" s="1645"/>
      <c r="CC545" s="1645"/>
      <c r="CD545" s="1645"/>
      <c r="CE545" s="1645"/>
      <c r="CF545" s="1645"/>
      <c r="CG545" s="1645"/>
      <c r="CH545" s="1645"/>
      <c r="CI545" s="1645"/>
      <c r="CJ545" s="1645"/>
      <c r="CK545" s="1645"/>
      <c r="CL545" s="1645"/>
      <c r="CM545" s="1645"/>
      <c r="CN545" s="1645"/>
      <c r="CO545" s="1645"/>
    </row>
    <row r="546" spans="1:93" s="1136" customFormat="1" ht="15" x14ac:dyDescent="0.2">
      <c r="A546" s="1684"/>
      <c r="B546" s="2007"/>
      <c r="C546" s="2008" t="s">
        <v>4624</v>
      </c>
      <c r="D546" s="2009"/>
      <c r="E546" s="1"/>
      <c r="F546" s="1" t="s">
        <v>1962</v>
      </c>
      <c r="G546" s="1"/>
      <c r="H546" s="1"/>
      <c r="I546" s="1"/>
      <c r="J546" s="1"/>
      <c r="K546" s="1"/>
      <c r="L546" s="1"/>
      <c r="M546" s="1"/>
      <c r="N546" s="1"/>
      <c r="O546" s="1"/>
      <c r="P546" s="1"/>
      <c r="Q546" s="1"/>
      <c r="R546" s="1"/>
      <c r="S546" s="1645"/>
      <c r="T546" s="1645"/>
      <c r="U546" s="1645"/>
      <c r="V546" s="1645"/>
      <c r="W546" s="1645"/>
      <c r="X546" s="1645"/>
      <c r="Y546" s="1645"/>
      <c r="Z546" s="1645"/>
      <c r="AA546" s="1645"/>
      <c r="AB546" s="1645"/>
      <c r="AC546" s="1645"/>
      <c r="AD546" s="1645"/>
      <c r="AE546" s="1645"/>
      <c r="AF546" s="1645"/>
      <c r="AG546" s="1645"/>
      <c r="AH546" s="1645"/>
      <c r="AI546" s="1645"/>
      <c r="AJ546" s="1645"/>
      <c r="AK546" s="1645"/>
      <c r="AL546" s="1645"/>
      <c r="AM546" s="1645"/>
      <c r="AN546" s="1645"/>
      <c r="AO546" s="1645"/>
      <c r="AP546" s="1645"/>
      <c r="AQ546" s="1645"/>
      <c r="AR546" s="1645"/>
      <c r="AS546" s="1645"/>
      <c r="AT546" s="1645"/>
      <c r="AU546" s="1645"/>
      <c r="AV546" s="1645"/>
      <c r="AW546" s="1645"/>
      <c r="AX546" s="1645"/>
      <c r="AY546" s="1645"/>
      <c r="AZ546" s="1645"/>
      <c r="BA546" s="1645"/>
      <c r="BB546" s="1645"/>
      <c r="BC546" s="1645"/>
      <c r="BD546" s="1645"/>
      <c r="BE546" s="1645"/>
      <c r="BF546" s="1645"/>
      <c r="BG546" s="1645"/>
      <c r="BH546" s="1645"/>
      <c r="BI546" s="1645"/>
      <c r="BJ546" s="1645"/>
      <c r="BK546" s="1645"/>
      <c r="BL546" s="1645"/>
      <c r="BM546" s="1645"/>
      <c r="BN546" s="1645"/>
      <c r="BO546" s="1645"/>
      <c r="BP546" s="1645"/>
      <c r="BQ546" s="1645"/>
      <c r="BR546" s="1645"/>
      <c r="BS546" s="1645"/>
      <c r="BT546" s="1645"/>
      <c r="BU546" s="1645"/>
      <c r="BV546" s="1645"/>
      <c r="BW546" s="1645"/>
      <c r="BX546" s="1645"/>
      <c r="BY546" s="1645"/>
      <c r="BZ546" s="1645"/>
      <c r="CA546" s="1645"/>
      <c r="CB546" s="1645"/>
      <c r="CC546" s="1645"/>
      <c r="CD546" s="1645"/>
      <c r="CE546" s="1645"/>
      <c r="CF546" s="1645"/>
      <c r="CG546" s="1645"/>
      <c r="CH546" s="1645"/>
      <c r="CI546" s="1645"/>
      <c r="CJ546" s="1645"/>
      <c r="CK546" s="1645"/>
      <c r="CL546" s="1645"/>
      <c r="CM546" s="1645"/>
      <c r="CN546" s="1645"/>
      <c r="CO546" s="1645"/>
    </row>
    <row r="547" spans="1:93" s="1136" customFormat="1" ht="15" x14ac:dyDescent="0.2">
      <c r="A547" s="1684"/>
      <c r="B547" s="1046"/>
      <c r="C547" s="4677" t="s">
        <v>1963</v>
      </c>
      <c r="D547" s="4677"/>
      <c r="E547" s="4677"/>
      <c r="F547" s="4677"/>
      <c r="G547" s="4677"/>
      <c r="H547" s="4677"/>
      <c r="I547" s="4677"/>
      <c r="J547" s="4677"/>
      <c r="K547" s="4677"/>
      <c r="L547" s="4677"/>
      <c r="M547" s="4677"/>
      <c r="N547" s="4677"/>
      <c r="O547" s="4677"/>
      <c r="P547" s="4677"/>
      <c r="Q547" s="4677"/>
      <c r="R547" s="1"/>
      <c r="S547" s="1645"/>
      <c r="T547" s="1645"/>
      <c r="U547" s="1645"/>
      <c r="V547" s="1645"/>
      <c r="W547" s="1645"/>
      <c r="X547" s="1645"/>
      <c r="Y547" s="1645"/>
      <c r="Z547" s="1645"/>
      <c r="AA547" s="1645"/>
      <c r="AB547" s="1645"/>
      <c r="AC547" s="1645"/>
      <c r="AD547" s="1645"/>
      <c r="AE547" s="1645"/>
      <c r="AF547" s="1645"/>
      <c r="AG547" s="1645"/>
      <c r="AH547" s="1645"/>
      <c r="AI547" s="1645"/>
      <c r="AJ547" s="1645"/>
      <c r="AK547" s="1645"/>
      <c r="AL547" s="1645"/>
      <c r="AM547" s="1645"/>
      <c r="AN547" s="1645"/>
      <c r="AO547" s="1645"/>
      <c r="AP547" s="1645"/>
      <c r="AQ547" s="1645"/>
      <c r="AR547" s="1645"/>
      <c r="AS547" s="1645"/>
      <c r="AT547" s="1645"/>
      <c r="AU547" s="1645"/>
      <c r="AV547" s="1645"/>
      <c r="AW547" s="1645"/>
      <c r="AX547" s="1645"/>
      <c r="AY547" s="1645"/>
      <c r="AZ547" s="1645"/>
      <c r="BA547" s="1645"/>
      <c r="BB547" s="1645"/>
      <c r="BC547" s="1645"/>
      <c r="BD547" s="1645"/>
      <c r="BE547" s="1645"/>
      <c r="BF547" s="1645"/>
      <c r="BG547" s="1645"/>
      <c r="BH547" s="1645"/>
      <c r="BI547" s="1645"/>
      <c r="BJ547" s="1645"/>
      <c r="BK547" s="1645"/>
      <c r="BL547" s="1645"/>
      <c r="BM547" s="1645"/>
      <c r="BN547" s="1645"/>
      <c r="BO547" s="1645"/>
      <c r="BP547" s="1645"/>
      <c r="BQ547" s="1645"/>
      <c r="BR547" s="1645"/>
      <c r="BS547" s="1645"/>
      <c r="BT547" s="1645"/>
      <c r="BU547" s="1645"/>
      <c r="BV547" s="1645"/>
      <c r="BW547" s="1645"/>
      <c r="BX547" s="1645"/>
      <c r="BY547" s="1645"/>
      <c r="BZ547" s="1645"/>
      <c r="CA547" s="1645"/>
      <c r="CB547" s="1645"/>
      <c r="CC547" s="1645"/>
      <c r="CD547" s="1645"/>
      <c r="CE547" s="1645"/>
      <c r="CF547" s="1645"/>
      <c r="CG547" s="1645"/>
      <c r="CH547" s="1645"/>
      <c r="CI547" s="1645"/>
      <c r="CJ547" s="1645"/>
      <c r="CK547" s="1645"/>
      <c r="CL547" s="1645"/>
      <c r="CM547" s="1645"/>
      <c r="CN547" s="1645"/>
      <c r="CO547" s="1645"/>
    </row>
    <row r="548" spans="1:93" s="1136" customFormat="1" ht="15" x14ac:dyDescent="0.2">
      <c r="A548" s="1684"/>
      <c r="B548" s="1690"/>
      <c r="C548" s="4677"/>
      <c r="D548" s="4677"/>
      <c r="E548" s="4677"/>
      <c r="F548" s="4677"/>
      <c r="G548" s="4677"/>
      <c r="H548" s="4677"/>
      <c r="I548" s="4677"/>
      <c r="J548" s="4677"/>
      <c r="K548" s="4677"/>
      <c r="L548" s="4677"/>
      <c r="M548" s="4677"/>
      <c r="N548" s="4677"/>
      <c r="O548" s="4677"/>
      <c r="P548" s="4677"/>
      <c r="Q548" s="4677"/>
      <c r="R548" s="1"/>
      <c r="S548" s="1645"/>
      <c r="T548" s="1645"/>
      <c r="U548" s="1645"/>
      <c r="V548" s="1645"/>
      <c r="W548" s="1645"/>
      <c r="X548" s="1645"/>
      <c r="Y548" s="1645"/>
      <c r="Z548" s="1645"/>
      <c r="AA548" s="1645"/>
      <c r="AB548" s="1645"/>
      <c r="AC548" s="1645"/>
      <c r="AD548" s="1645"/>
      <c r="AE548" s="1645"/>
      <c r="AF548" s="1645"/>
      <c r="AG548" s="1645"/>
      <c r="AH548" s="1645"/>
      <c r="AI548" s="1645"/>
      <c r="AJ548" s="1645"/>
      <c r="AK548" s="1645"/>
      <c r="AL548" s="1645"/>
      <c r="AM548" s="1645"/>
      <c r="AN548" s="1645"/>
      <c r="AO548" s="1645"/>
      <c r="AP548" s="1645"/>
      <c r="AQ548" s="1645"/>
      <c r="AR548" s="1645"/>
      <c r="AS548" s="1645"/>
      <c r="AT548" s="1645"/>
      <c r="AU548" s="1645"/>
      <c r="AV548" s="1645"/>
      <c r="AW548" s="1645"/>
      <c r="AX548" s="1645"/>
      <c r="AY548" s="1645"/>
      <c r="AZ548" s="1645"/>
      <c r="BA548" s="1645"/>
      <c r="BB548" s="1645"/>
      <c r="BC548" s="1645"/>
      <c r="BD548" s="1645"/>
      <c r="BE548" s="1645"/>
      <c r="BF548" s="1645"/>
      <c r="BG548" s="1645"/>
      <c r="BH548" s="1645"/>
      <c r="BI548" s="1645"/>
      <c r="BJ548" s="1645"/>
      <c r="BK548" s="1645"/>
      <c r="BL548" s="1645"/>
      <c r="BM548" s="1645"/>
      <c r="BN548" s="1645"/>
      <c r="BO548" s="1645"/>
      <c r="BP548" s="1645"/>
      <c r="BQ548" s="1645"/>
      <c r="BR548" s="1645"/>
      <c r="BS548" s="1645"/>
      <c r="BT548" s="1645"/>
      <c r="BU548" s="1645"/>
      <c r="BV548" s="1645"/>
      <c r="BW548" s="1645"/>
      <c r="BX548" s="1645"/>
      <c r="BY548" s="1645"/>
      <c r="BZ548" s="1645"/>
      <c r="CA548" s="1645"/>
      <c r="CB548" s="1645"/>
      <c r="CC548" s="1645"/>
      <c r="CD548" s="1645"/>
      <c r="CE548" s="1645"/>
      <c r="CF548" s="1645"/>
      <c r="CG548" s="1645"/>
      <c r="CH548" s="1645"/>
      <c r="CI548" s="1645"/>
      <c r="CJ548" s="1645"/>
      <c r="CK548" s="1645"/>
      <c r="CL548" s="1645"/>
      <c r="CM548" s="1645"/>
      <c r="CN548" s="1645"/>
      <c r="CO548" s="1645"/>
    </row>
    <row r="549" spans="1:93" s="1136" customFormat="1" ht="15" x14ac:dyDescent="0.2">
      <c r="A549" s="1684"/>
      <c r="B549" s="1690"/>
      <c r="C549" s="4677"/>
      <c r="D549" s="4677"/>
      <c r="E549" s="4677"/>
      <c r="F549" s="4677"/>
      <c r="G549" s="4677"/>
      <c r="H549" s="4677"/>
      <c r="I549" s="4677"/>
      <c r="J549" s="4677"/>
      <c r="K549" s="4677"/>
      <c r="L549" s="4677"/>
      <c r="M549" s="4677"/>
      <c r="N549" s="4677"/>
      <c r="O549" s="4677"/>
      <c r="P549" s="4677"/>
      <c r="Q549" s="4677"/>
      <c r="R549" s="1"/>
      <c r="S549" s="1645"/>
      <c r="T549" s="1645"/>
      <c r="U549" s="1645"/>
      <c r="V549" s="1645"/>
      <c r="W549" s="1645"/>
      <c r="X549" s="1645"/>
      <c r="Y549" s="1645"/>
      <c r="Z549" s="1645"/>
      <c r="AA549" s="1645"/>
      <c r="AB549" s="1645"/>
      <c r="AC549" s="1645"/>
      <c r="AD549" s="1645"/>
      <c r="AE549" s="1645"/>
      <c r="AF549" s="1645"/>
      <c r="AG549" s="1645"/>
      <c r="AH549" s="1645"/>
      <c r="AI549" s="1645"/>
      <c r="AJ549" s="1645"/>
      <c r="AK549" s="1645"/>
      <c r="AL549" s="1645"/>
      <c r="AM549" s="1645"/>
      <c r="AN549" s="1645"/>
      <c r="AO549" s="1645"/>
      <c r="AP549" s="1645"/>
      <c r="AQ549" s="1645"/>
      <c r="AR549" s="1645"/>
      <c r="AS549" s="1645"/>
      <c r="AT549" s="1645"/>
      <c r="AU549" s="1645"/>
      <c r="AV549" s="1645"/>
      <c r="AW549" s="1645"/>
      <c r="AX549" s="1645"/>
      <c r="AY549" s="1645"/>
      <c r="AZ549" s="1645"/>
      <c r="BA549" s="1645"/>
      <c r="BB549" s="1645"/>
      <c r="BC549" s="1645"/>
      <c r="BD549" s="1645"/>
      <c r="BE549" s="1645"/>
      <c r="BF549" s="1645"/>
      <c r="BG549" s="1645"/>
      <c r="BH549" s="1645"/>
      <c r="BI549" s="1645"/>
      <c r="BJ549" s="1645"/>
      <c r="BK549" s="1645"/>
      <c r="BL549" s="1645"/>
      <c r="BM549" s="1645"/>
      <c r="BN549" s="1645"/>
      <c r="BO549" s="1645"/>
      <c r="BP549" s="1645"/>
      <c r="BQ549" s="1645"/>
      <c r="BR549" s="1645"/>
      <c r="BS549" s="1645"/>
      <c r="BT549" s="1645"/>
      <c r="BU549" s="1645"/>
      <c r="BV549" s="1645"/>
      <c r="BW549" s="1645"/>
      <c r="BX549" s="1645"/>
      <c r="BY549" s="1645"/>
      <c r="BZ549" s="1645"/>
      <c r="CA549" s="1645"/>
      <c r="CB549" s="1645"/>
      <c r="CC549" s="1645"/>
      <c r="CD549" s="1645"/>
      <c r="CE549" s="1645"/>
      <c r="CF549" s="1645"/>
      <c r="CG549" s="1645"/>
      <c r="CH549" s="1645"/>
      <c r="CI549" s="1645"/>
      <c r="CJ549" s="1645"/>
      <c r="CK549" s="1645"/>
      <c r="CL549" s="1645"/>
      <c r="CM549" s="1645"/>
      <c r="CN549" s="1645"/>
      <c r="CO549" s="1645"/>
    </row>
    <row r="550" spans="1:93" s="1136" customFormat="1" ht="15" x14ac:dyDescent="0.2">
      <c r="A550" s="1684"/>
      <c r="B550" s="1690"/>
      <c r="C550" s="1"/>
      <c r="D550" s="1"/>
      <c r="E550" s="1"/>
      <c r="F550" s="1"/>
      <c r="G550" s="1"/>
      <c r="H550" s="1"/>
      <c r="I550" s="1"/>
      <c r="J550" s="1"/>
      <c r="K550" s="1"/>
      <c r="L550" s="1"/>
      <c r="M550" s="1"/>
      <c r="N550" s="1"/>
      <c r="O550" s="1"/>
      <c r="P550" s="1"/>
      <c r="Q550" s="1"/>
      <c r="R550" s="1"/>
      <c r="S550" s="1645"/>
      <c r="T550" s="1645"/>
      <c r="U550" s="1645"/>
      <c r="V550" s="1645"/>
      <c r="W550" s="1645"/>
      <c r="X550" s="1645"/>
      <c r="Y550" s="1645"/>
      <c r="Z550" s="1645"/>
      <c r="AA550" s="1645"/>
      <c r="AB550" s="1645"/>
      <c r="AC550" s="1645"/>
      <c r="AD550" s="1645"/>
      <c r="AE550" s="1645"/>
      <c r="AF550" s="1645"/>
      <c r="AG550" s="1645"/>
      <c r="AH550" s="1645"/>
      <c r="AI550" s="1645"/>
      <c r="AJ550" s="1645"/>
      <c r="AK550" s="1645"/>
      <c r="AL550" s="1645"/>
      <c r="AM550" s="1645"/>
      <c r="AN550" s="1645"/>
      <c r="AO550" s="1645"/>
      <c r="AP550" s="1645"/>
      <c r="AQ550" s="1645"/>
      <c r="AR550" s="1645"/>
      <c r="AS550" s="1645"/>
      <c r="AT550" s="1645"/>
      <c r="AU550" s="1645"/>
      <c r="AV550" s="1645"/>
      <c r="AW550" s="1645"/>
      <c r="AX550" s="1645"/>
      <c r="AY550" s="1645"/>
      <c r="AZ550" s="1645"/>
      <c r="BA550" s="1645"/>
      <c r="BB550" s="1645"/>
      <c r="BC550" s="1645"/>
      <c r="BD550" s="1645"/>
      <c r="BE550" s="1645"/>
      <c r="BF550" s="1645"/>
      <c r="BG550" s="1645"/>
      <c r="BH550" s="1645"/>
      <c r="BI550" s="1645"/>
      <c r="BJ550" s="1645"/>
      <c r="BK550" s="1645"/>
      <c r="BL550" s="1645"/>
      <c r="BM550" s="1645"/>
      <c r="BN550" s="1645"/>
      <c r="BO550" s="1645"/>
      <c r="BP550" s="1645"/>
      <c r="BQ550" s="1645"/>
      <c r="BR550" s="1645"/>
      <c r="BS550" s="1645"/>
      <c r="BT550" s="1645"/>
      <c r="BU550" s="1645"/>
      <c r="BV550" s="1645"/>
      <c r="BW550" s="1645"/>
      <c r="BX550" s="1645"/>
      <c r="BY550" s="1645"/>
      <c r="BZ550" s="1645"/>
      <c r="CA550" s="1645"/>
      <c r="CB550" s="1645"/>
      <c r="CC550" s="1645"/>
      <c r="CD550" s="1645"/>
      <c r="CE550" s="1645"/>
      <c r="CF550" s="1645"/>
      <c r="CG550" s="1645"/>
      <c r="CH550" s="1645"/>
      <c r="CI550" s="1645"/>
      <c r="CJ550" s="1645"/>
      <c r="CK550" s="1645"/>
      <c r="CL550" s="1645"/>
      <c r="CM550" s="1645"/>
      <c r="CN550" s="1645"/>
      <c r="CO550" s="1645"/>
    </row>
    <row r="551" spans="1:93" s="1136" customFormat="1" ht="15" x14ac:dyDescent="0.2">
      <c r="A551" s="1684"/>
      <c r="B551" s="1690"/>
      <c r="C551" s="4675" t="s">
        <v>1964</v>
      </c>
      <c r="D551" s="4675" t="s">
        <v>1965</v>
      </c>
      <c r="E551" s="4490" t="s">
        <v>5602</v>
      </c>
      <c r="F551" s="4490"/>
      <c r="G551" s="4490"/>
      <c r="H551" s="4490"/>
      <c r="I551" s="4490"/>
      <c r="J551" s="4490"/>
      <c r="K551" s="4490"/>
      <c r="L551" s="4490"/>
      <c r="M551" s="4490"/>
      <c r="N551" s="4490"/>
      <c r="O551" s="4490"/>
      <c r="P551" s="4490"/>
      <c r="Q551" s="4694" t="s">
        <v>2490</v>
      </c>
      <c r="R551" s="1"/>
      <c r="S551" s="1645"/>
      <c r="T551" s="1645"/>
      <c r="U551" s="1645"/>
      <c r="V551" s="1645"/>
      <c r="W551" s="1645"/>
      <c r="X551" s="1645"/>
      <c r="Y551" s="1645"/>
      <c r="Z551" s="1645"/>
      <c r="AA551" s="1645"/>
      <c r="AB551" s="1645"/>
      <c r="AC551" s="1645"/>
      <c r="AD551" s="1645"/>
      <c r="AE551" s="1645"/>
      <c r="AF551" s="1645"/>
      <c r="AG551" s="1645"/>
      <c r="AH551" s="1645"/>
      <c r="AI551" s="1645"/>
      <c r="AJ551" s="1645"/>
      <c r="AK551" s="1645"/>
      <c r="AL551" s="1645"/>
      <c r="AM551" s="1645"/>
      <c r="AN551" s="1645"/>
      <c r="AO551" s="1645"/>
      <c r="AP551" s="1645"/>
      <c r="AQ551" s="1645"/>
      <c r="AR551" s="1645"/>
      <c r="AS551" s="1645"/>
      <c r="AT551" s="1645"/>
      <c r="AU551" s="1645"/>
      <c r="AV551" s="1645"/>
      <c r="AW551" s="1645"/>
      <c r="AX551" s="1645"/>
      <c r="AY551" s="1645"/>
      <c r="AZ551" s="1645"/>
      <c r="BA551" s="1645"/>
      <c r="BB551" s="1645"/>
      <c r="BC551" s="1645"/>
      <c r="BD551" s="1645"/>
      <c r="BE551" s="1645"/>
      <c r="BF551" s="1645"/>
      <c r="BG551" s="1645"/>
      <c r="BH551" s="1645"/>
      <c r="BI551" s="1645"/>
      <c r="BJ551" s="1645"/>
      <c r="BK551" s="1645"/>
      <c r="BL551" s="1645"/>
      <c r="BM551" s="1645"/>
      <c r="BN551" s="1645"/>
      <c r="BO551" s="1645"/>
      <c r="BP551" s="1645"/>
      <c r="BQ551" s="1645"/>
      <c r="BR551" s="1645"/>
      <c r="BS551" s="1645"/>
      <c r="BT551" s="1645"/>
      <c r="BU551" s="1645"/>
      <c r="BV551" s="1645"/>
      <c r="BW551" s="1645"/>
      <c r="BX551" s="1645"/>
      <c r="BY551" s="1645"/>
      <c r="BZ551" s="1645"/>
      <c r="CA551" s="1645"/>
      <c r="CB551" s="1645"/>
      <c r="CC551" s="1645"/>
      <c r="CD551" s="1645"/>
      <c r="CE551" s="1645"/>
      <c r="CF551" s="1645"/>
      <c r="CG551" s="1645"/>
      <c r="CH551" s="1645"/>
      <c r="CI551" s="1645"/>
      <c r="CJ551" s="1645"/>
      <c r="CK551" s="1645"/>
      <c r="CL551" s="1645"/>
      <c r="CM551" s="1645"/>
      <c r="CN551" s="1645"/>
      <c r="CO551" s="1645"/>
    </row>
    <row r="552" spans="1:93" s="1136" customFormat="1" ht="31.5" x14ac:dyDescent="0.2">
      <c r="A552" s="1684"/>
      <c r="B552" s="1690"/>
      <c r="C552" s="4675"/>
      <c r="D552" s="4675"/>
      <c r="E552" s="2011" t="s">
        <v>1966</v>
      </c>
      <c r="F552" s="2011" t="s">
        <v>3014</v>
      </c>
      <c r="G552" s="2011" t="s">
        <v>1967</v>
      </c>
      <c r="H552" s="2011" t="s">
        <v>1968</v>
      </c>
      <c r="I552" s="2011" t="s">
        <v>1969</v>
      </c>
      <c r="J552" s="2011" t="s">
        <v>1970</v>
      </c>
      <c r="K552" s="2011" t="s">
        <v>1971</v>
      </c>
      <c r="L552" s="2011" t="s">
        <v>1972</v>
      </c>
      <c r="M552" s="2011" t="s">
        <v>1973</v>
      </c>
      <c r="N552" s="2011" t="s">
        <v>1974</v>
      </c>
      <c r="O552" s="2011" t="s">
        <v>1975</v>
      </c>
      <c r="P552" s="2011" t="s">
        <v>3020</v>
      </c>
      <c r="Q552" s="4694"/>
      <c r="R552" s="1"/>
      <c r="S552" s="1645"/>
      <c r="T552" s="1645"/>
      <c r="U552" s="1645"/>
      <c r="V552" s="1645"/>
      <c r="W552" s="1645"/>
      <c r="X552" s="1645"/>
      <c r="Y552" s="1645"/>
      <c r="Z552" s="1645"/>
      <c r="AA552" s="1645"/>
      <c r="AB552" s="1645"/>
      <c r="AC552" s="1645"/>
      <c r="AD552" s="1645"/>
      <c r="AE552" s="1645"/>
      <c r="AF552" s="1645"/>
      <c r="AG552" s="1645"/>
      <c r="AH552" s="1645"/>
      <c r="AI552" s="1645"/>
      <c r="AJ552" s="1645"/>
      <c r="AK552" s="1645"/>
      <c r="AL552" s="1645"/>
      <c r="AM552" s="1645"/>
      <c r="AN552" s="1645"/>
      <c r="AO552" s="1645"/>
      <c r="AP552" s="1645"/>
      <c r="AQ552" s="1645"/>
      <c r="AR552" s="1645"/>
      <c r="AS552" s="1645"/>
      <c r="AT552" s="1645"/>
      <c r="AU552" s="1645"/>
      <c r="AV552" s="1645"/>
      <c r="AW552" s="1645"/>
      <c r="AX552" s="1645"/>
      <c r="AY552" s="1645"/>
      <c r="AZ552" s="1645"/>
      <c r="BA552" s="1645"/>
      <c r="BB552" s="1645"/>
      <c r="BC552" s="1645"/>
      <c r="BD552" s="1645"/>
      <c r="BE552" s="1645"/>
      <c r="BF552" s="1645"/>
      <c r="BG552" s="1645"/>
      <c r="BH552" s="1645"/>
      <c r="BI552" s="1645"/>
      <c r="BJ552" s="1645"/>
      <c r="BK552" s="1645"/>
      <c r="BL552" s="1645"/>
      <c r="BM552" s="1645"/>
      <c r="BN552" s="1645"/>
      <c r="BO552" s="1645"/>
      <c r="BP552" s="1645"/>
      <c r="BQ552" s="1645"/>
      <c r="BR552" s="1645"/>
      <c r="BS552" s="1645"/>
      <c r="BT552" s="1645"/>
      <c r="BU552" s="1645"/>
      <c r="BV552" s="1645"/>
      <c r="BW552" s="1645"/>
      <c r="BX552" s="1645"/>
      <c r="BY552" s="1645"/>
      <c r="BZ552" s="1645"/>
      <c r="CA552" s="1645"/>
      <c r="CB552" s="1645"/>
      <c r="CC552" s="1645"/>
      <c r="CD552" s="1645"/>
      <c r="CE552" s="1645"/>
      <c r="CF552" s="1645"/>
      <c r="CG552" s="1645"/>
      <c r="CH552" s="1645"/>
      <c r="CI552" s="1645"/>
      <c r="CJ552" s="1645"/>
      <c r="CK552" s="1645"/>
      <c r="CL552" s="1645"/>
      <c r="CM552" s="1645"/>
      <c r="CN552" s="1645"/>
      <c r="CO552" s="1645"/>
    </row>
    <row r="553" spans="1:93" s="1136" customFormat="1" ht="15" x14ac:dyDescent="0.2">
      <c r="A553" s="1684"/>
      <c r="B553" s="1690"/>
      <c r="C553" s="4675"/>
      <c r="D553" s="4675"/>
      <c r="E553" s="4490" t="s">
        <v>1781</v>
      </c>
      <c r="F553" s="4490"/>
      <c r="G553" s="4490"/>
      <c r="H553" s="4490"/>
      <c r="I553" s="4490"/>
      <c r="J553" s="4490"/>
      <c r="K553" s="4490"/>
      <c r="L553" s="4490"/>
      <c r="M553" s="4490"/>
      <c r="N553" s="4490"/>
      <c r="O553" s="4490"/>
      <c r="P553" s="4490"/>
      <c r="Q553" s="4694"/>
      <c r="R553" s="1"/>
      <c r="S553" s="1645"/>
      <c r="T553" s="1645"/>
      <c r="U553" s="1645"/>
      <c r="V553" s="1645"/>
      <c r="W553" s="1645"/>
      <c r="X553" s="1645"/>
      <c r="Y553" s="1645"/>
      <c r="Z553" s="1645"/>
      <c r="AA553" s="1645"/>
      <c r="AB553" s="1645"/>
      <c r="AC553" s="1645"/>
      <c r="AD553" s="1645"/>
      <c r="AE553" s="1645"/>
      <c r="AF553" s="1645"/>
      <c r="AG553" s="1645"/>
      <c r="AH553" s="1645"/>
      <c r="AI553" s="1645"/>
      <c r="AJ553" s="1645"/>
      <c r="AK553" s="1645"/>
      <c r="AL553" s="1645"/>
      <c r="AM553" s="1645"/>
      <c r="AN553" s="1645"/>
      <c r="AO553" s="1645"/>
      <c r="AP553" s="1645"/>
      <c r="AQ553" s="1645"/>
      <c r="AR553" s="1645"/>
      <c r="AS553" s="1645"/>
      <c r="AT553" s="1645"/>
      <c r="AU553" s="1645"/>
      <c r="AV553" s="1645"/>
      <c r="AW553" s="1645"/>
      <c r="AX553" s="1645"/>
      <c r="AY553" s="1645"/>
      <c r="AZ553" s="1645"/>
      <c r="BA553" s="1645"/>
      <c r="BB553" s="1645"/>
      <c r="BC553" s="1645"/>
      <c r="BD553" s="1645"/>
      <c r="BE553" s="1645"/>
      <c r="BF553" s="1645"/>
      <c r="BG553" s="1645"/>
      <c r="BH553" s="1645"/>
      <c r="BI553" s="1645"/>
      <c r="BJ553" s="1645"/>
      <c r="BK553" s="1645"/>
      <c r="BL553" s="1645"/>
      <c r="BM553" s="1645"/>
      <c r="BN553" s="1645"/>
      <c r="BO553" s="1645"/>
      <c r="BP553" s="1645"/>
      <c r="BQ553" s="1645"/>
      <c r="BR553" s="1645"/>
      <c r="BS553" s="1645"/>
      <c r="BT553" s="1645"/>
      <c r="BU553" s="1645"/>
      <c r="BV553" s="1645"/>
      <c r="BW553" s="1645"/>
      <c r="BX553" s="1645"/>
      <c r="BY553" s="1645"/>
      <c r="BZ553" s="1645"/>
      <c r="CA553" s="1645"/>
      <c r="CB553" s="1645"/>
      <c r="CC553" s="1645"/>
      <c r="CD553" s="1645"/>
      <c r="CE553" s="1645"/>
      <c r="CF553" s="1645"/>
      <c r="CG553" s="1645"/>
      <c r="CH553" s="1645"/>
      <c r="CI553" s="1645"/>
      <c r="CJ553" s="1645"/>
      <c r="CK553" s="1645"/>
      <c r="CL553" s="1645"/>
      <c r="CM553" s="1645"/>
      <c r="CN553" s="1645"/>
      <c r="CO553" s="1645"/>
    </row>
    <row r="554" spans="1:93" s="1136" customFormat="1" ht="15" x14ac:dyDescent="0.2">
      <c r="A554" s="1684"/>
      <c r="B554" s="1690"/>
      <c r="C554" s="4694" t="s">
        <v>3689</v>
      </c>
      <c r="D554" s="4694"/>
      <c r="E554" s="4694"/>
      <c r="F554" s="4694"/>
      <c r="G554" s="4694"/>
      <c r="H554" s="4694"/>
      <c r="I554" s="4694"/>
      <c r="J554" s="4694"/>
      <c r="K554" s="4694"/>
      <c r="L554" s="4694"/>
      <c r="M554" s="4694"/>
      <c r="N554" s="4694"/>
      <c r="O554" s="4694"/>
      <c r="P554" s="4694"/>
      <c r="Q554" s="4694"/>
      <c r="R554" s="1"/>
      <c r="S554" s="1645"/>
      <c r="T554" s="1645"/>
      <c r="U554" s="1645"/>
      <c r="V554" s="1645"/>
      <c r="W554" s="1645"/>
      <c r="X554" s="1645"/>
      <c r="Y554" s="1645"/>
      <c r="Z554" s="1645"/>
      <c r="AA554" s="1645"/>
      <c r="AB554" s="1645"/>
      <c r="AC554" s="1645"/>
      <c r="AD554" s="1645"/>
      <c r="AE554" s="1645"/>
      <c r="AF554" s="1645"/>
      <c r="AG554" s="1645"/>
      <c r="AH554" s="1645"/>
      <c r="AI554" s="1645"/>
      <c r="AJ554" s="1645"/>
      <c r="AK554" s="1645"/>
      <c r="AL554" s="1645"/>
      <c r="AM554" s="1645"/>
      <c r="AN554" s="1645"/>
      <c r="AO554" s="1645"/>
      <c r="AP554" s="1645"/>
      <c r="AQ554" s="1645"/>
      <c r="AR554" s="1645"/>
      <c r="AS554" s="1645"/>
      <c r="AT554" s="1645"/>
      <c r="AU554" s="1645"/>
      <c r="AV554" s="1645"/>
      <c r="AW554" s="1645"/>
      <c r="AX554" s="1645"/>
      <c r="AY554" s="1645"/>
      <c r="AZ554" s="1645"/>
      <c r="BA554" s="1645"/>
      <c r="BB554" s="1645"/>
      <c r="BC554" s="1645"/>
      <c r="BD554" s="1645"/>
      <c r="BE554" s="1645"/>
      <c r="BF554" s="1645"/>
      <c r="BG554" s="1645"/>
      <c r="BH554" s="1645"/>
      <c r="BI554" s="1645"/>
      <c r="BJ554" s="1645"/>
      <c r="BK554" s="1645"/>
      <c r="BL554" s="1645"/>
      <c r="BM554" s="1645"/>
      <c r="BN554" s="1645"/>
      <c r="BO554" s="1645"/>
      <c r="BP554" s="1645"/>
      <c r="BQ554" s="1645"/>
      <c r="BR554" s="1645"/>
      <c r="BS554" s="1645"/>
      <c r="BT554" s="1645"/>
      <c r="BU554" s="1645"/>
      <c r="BV554" s="1645"/>
      <c r="BW554" s="1645"/>
      <c r="BX554" s="1645"/>
      <c r="BY554" s="1645"/>
      <c r="BZ554" s="1645"/>
      <c r="CA554" s="1645"/>
      <c r="CB554" s="1645"/>
      <c r="CC554" s="1645"/>
      <c r="CD554" s="1645"/>
      <c r="CE554" s="1645"/>
      <c r="CF554" s="1645"/>
      <c r="CG554" s="1645"/>
      <c r="CH554" s="1645"/>
      <c r="CI554" s="1645"/>
      <c r="CJ554" s="1645"/>
      <c r="CK554" s="1645"/>
      <c r="CL554" s="1645"/>
      <c r="CM554" s="1645"/>
      <c r="CN554" s="1645"/>
      <c r="CO554" s="1645"/>
    </row>
    <row r="555" spans="1:93" s="1136" customFormat="1" ht="15" x14ac:dyDescent="0.2">
      <c r="A555" s="1684"/>
      <c r="B555" s="1690"/>
      <c r="C555" s="4694"/>
      <c r="D555" s="4694"/>
      <c r="E555" s="4694"/>
      <c r="F555" s="4694"/>
      <c r="G555" s="4694"/>
      <c r="H555" s="4694"/>
      <c r="I555" s="4694"/>
      <c r="J555" s="4694"/>
      <c r="K555" s="4694"/>
      <c r="L555" s="4694"/>
      <c r="M555" s="4694"/>
      <c r="N555" s="4694"/>
      <c r="O555" s="4694"/>
      <c r="P555" s="4694"/>
      <c r="Q555" s="4694"/>
      <c r="R555" s="1"/>
      <c r="S555" s="1645"/>
      <c r="T555" s="1645"/>
      <c r="U555" s="1645"/>
      <c r="V555" s="1645"/>
      <c r="W555" s="1645"/>
      <c r="X555" s="1645"/>
      <c r="Y555" s="1645"/>
      <c r="Z555" s="1645"/>
      <c r="AA555" s="1645"/>
      <c r="AB555" s="1645"/>
      <c r="AC555" s="1645"/>
      <c r="AD555" s="1645"/>
      <c r="AE555" s="1645"/>
      <c r="AF555" s="1645"/>
      <c r="AG555" s="1645"/>
      <c r="AH555" s="1645"/>
      <c r="AI555" s="1645"/>
      <c r="AJ555" s="1645"/>
      <c r="AK555" s="1645"/>
      <c r="AL555" s="1645"/>
      <c r="AM555" s="1645"/>
      <c r="AN555" s="1645"/>
      <c r="AO555" s="1645"/>
      <c r="AP555" s="1645"/>
      <c r="AQ555" s="1645"/>
      <c r="AR555" s="1645"/>
      <c r="AS555" s="1645"/>
      <c r="AT555" s="1645"/>
      <c r="AU555" s="1645"/>
      <c r="AV555" s="1645"/>
      <c r="AW555" s="1645"/>
      <c r="AX555" s="1645"/>
      <c r="AY555" s="1645"/>
      <c r="AZ555" s="1645"/>
      <c r="BA555" s="1645"/>
      <c r="BB555" s="1645"/>
      <c r="BC555" s="1645"/>
      <c r="BD555" s="1645"/>
      <c r="BE555" s="1645"/>
      <c r="BF555" s="1645"/>
      <c r="BG555" s="1645"/>
      <c r="BH555" s="1645"/>
      <c r="BI555" s="1645"/>
      <c r="BJ555" s="1645"/>
      <c r="BK555" s="1645"/>
      <c r="BL555" s="1645"/>
      <c r="BM555" s="1645"/>
      <c r="BN555" s="1645"/>
      <c r="BO555" s="1645"/>
      <c r="BP555" s="1645"/>
      <c r="BQ555" s="1645"/>
      <c r="BR555" s="1645"/>
      <c r="BS555" s="1645"/>
      <c r="BT555" s="1645"/>
      <c r="BU555" s="1645"/>
      <c r="BV555" s="1645"/>
      <c r="BW555" s="1645"/>
      <c r="BX555" s="1645"/>
      <c r="BY555" s="1645"/>
      <c r="BZ555" s="1645"/>
      <c r="CA555" s="1645"/>
      <c r="CB555" s="1645"/>
      <c r="CC555" s="1645"/>
      <c r="CD555" s="1645"/>
      <c r="CE555" s="1645"/>
      <c r="CF555" s="1645"/>
      <c r="CG555" s="1645"/>
      <c r="CH555" s="1645"/>
      <c r="CI555" s="1645"/>
      <c r="CJ555" s="1645"/>
      <c r="CK555" s="1645"/>
      <c r="CL555" s="1645"/>
      <c r="CM555" s="1645"/>
      <c r="CN555" s="1645"/>
      <c r="CO555" s="1645"/>
    </row>
    <row r="556" spans="1:93" s="1136" customFormat="1" ht="15" x14ac:dyDescent="0.2">
      <c r="A556" s="1684"/>
      <c r="B556" s="1690"/>
      <c r="C556" s="4694" t="s">
        <v>3690</v>
      </c>
      <c r="D556" s="4694"/>
      <c r="E556" s="4694"/>
      <c r="F556" s="4694"/>
      <c r="G556" s="4694"/>
      <c r="H556" s="4694"/>
      <c r="I556" s="4694"/>
      <c r="J556" s="4694"/>
      <c r="K556" s="4694"/>
      <c r="L556" s="4694"/>
      <c r="M556" s="4694"/>
      <c r="N556" s="4694"/>
      <c r="O556" s="4694"/>
      <c r="P556" s="4694"/>
      <c r="Q556" s="4694"/>
      <c r="R556" s="1"/>
      <c r="S556" s="1645"/>
      <c r="T556" s="1645"/>
      <c r="U556" s="1645"/>
      <c r="V556" s="1645"/>
      <c r="W556" s="1645"/>
      <c r="X556" s="1645"/>
      <c r="Y556" s="1645"/>
      <c r="Z556" s="1645"/>
      <c r="AA556" s="1645"/>
      <c r="AB556" s="1645"/>
      <c r="AC556" s="1645"/>
      <c r="AD556" s="1645"/>
      <c r="AE556" s="1645"/>
      <c r="AF556" s="1645"/>
      <c r="AG556" s="1645"/>
      <c r="AH556" s="1645"/>
      <c r="AI556" s="1645"/>
      <c r="AJ556" s="1645"/>
      <c r="AK556" s="1645"/>
      <c r="AL556" s="1645"/>
      <c r="AM556" s="1645"/>
      <c r="AN556" s="1645"/>
      <c r="AO556" s="1645"/>
      <c r="AP556" s="1645"/>
      <c r="AQ556" s="1645"/>
      <c r="AR556" s="1645"/>
      <c r="AS556" s="1645"/>
      <c r="AT556" s="1645"/>
      <c r="AU556" s="1645"/>
      <c r="AV556" s="1645"/>
      <c r="AW556" s="1645"/>
      <c r="AX556" s="1645"/>
      <c r="AY556" s="1645"/>
      <c r="AZ556" s="1645"/>
      <c r="BA556" s="1645"/>
      <c r="BB556" s="1645"/>
      <c r="BC556" s="1645"/>
      <c r="BD556" s="1645"/>
      <c r="BE556" s="1645"/>
      <c r="BF556" s="1645"/>
      <c r="BG556" s="1645"/>
      <c r="BH556" s="1645"/>
      <c r="BI556" s="1645"/>
      <c r="BJ556" s="1645"/>
      <c r="BK556" s="1645"/>
      <c r="BL556" s="1645"/>
      <c r="BM556" s="1645"/>
      <c r="BN556" s="1645"/>
      <c r="BO556" s="1645"/>
      <c r="BP556" s="1645"/>
      <c r="BQ556" s="1645"/>
      <c r="BR556" s="1645"/>
      <c r="BS556" s="1645"/>
      <c r="BT556" s="1645"/>
      <c r="BU556" s="1645"/>
      <c r="BV556" s="1645"/>
      <c r="BW556" s="1645"/>
      <c r="BX556" s="1645"/>
      <c r="BY556" s="1645"/>
      <c r="BZ556" s="1645"/>
      <c r="CA556" s="1645"/>
      <c r="CB556" s="1645"/>
      <c r="CC556" s="1645"/>
      <c r="CD556" s="1645"/>
      <c r="CE556" s="1645"/>
      <c r="CF556" s="1645"/>
      <c r="CG556" s="1645"/>
      <c r="CH556" s="1645"/>
      <c r="CI556" s="1645"/>
      <c r="CJ556" s="1645"/>
      <c r="CK556" s="1645"/>
      <c r="CL556" s="1645"/>
      <c r="CM556" s="1645"/>
      <c r="CN556" s="1645"/>
      <c r="CO556" s="1645"/>
    </row>
    <row r="557" spans="1:93" s="1136" customFormat="1" ht="15" x14ac:dyDescent="0.2">
      <c r="A557" s="1684"/>
      <c r="B557" s="1690"/>
      <c r="C557" s="4694"/>
      <c r="D557" s="4694"/>
      <c r="E557" s="4694"/>
      <c r="F557" s="4694"/>
      <c r="G557" s="4694"/>
      <c r="H557" s="4694"/>
      <c r="I557" s="4694"/>
      <c r="J557" s="4694"/>
      <c r="K557" s="4694"/>
      <c r="L557" s="4694"/>
      <c r="M557" s="4694"/>
      <c r="N557" s="4694"/>
      <c r="O557" s="4694"/>
      <c r="P557" s="4694"/>
      <c r="Q557" s="4694"/>
      <c r="R557" s="1"/>
      <c r="S557" s="1645"/>
      <c r="T557" s="1645"/>
      <c r="U557" s="1645"/>
      <c r="V557" s="1645"/>
      <c r="W557" s="1645"/>
      <c r="X557" s="1645"/>
      <c r="Y557" s="1645"/>
      <c r="Z557" s="1645"/>
      <c r="AA557" s="1645"/>
      <c r="AB557" s="1645"/>
      <c r="AC557" s="1645"/>
      <c r="AD557" s="1645"/>
      <c r="AE557" s="1645"/>
      <c r="AF557" s="1645"/>
      <c r="AG557" s="1645"/>
      <c r="AH557" s="1645"/>
      <c r="AI557" s="1645"/>
      <c r="AJ557" s="1645"/>
      <c r="AK557" s="1645"/>
      <c r="AL557" s="1645"/>
      <c r="AM557" s="1645"/>
      <c r="AN557" s="1645"/>
      <c r="AO557" s="1645"/>
      <c r="AP557" s="1645"/>
      <c r="AQ557" s="1645"/>
      <c r="AR557" s="1645"/>
      <c r="AS557" s="1645"/>
      <c r="AT557" s="1645"/>
      <c r="AU557" s="1645"/>
      <c r="AV557" s="1645"/>
      <c r="AW557" s="1645"/>
      <c r="AX557" s="1645"/>
      <c r="AY557" s="1645"/>
      <c r="AZ557" s="1645"/>
      <c r="BA557" s="1645"/>
      <c r="BB557" s="1645"/>
      <c r="BC557" s="1645"/>
      <c r="BD557" s="1645"/>
      <c r="BE557" s="1645"/>
      <c r="BF557" s="1645"/>
      <c r="BG557" s="1645"/>
      <c r="BH557" s="1645"/>
      <c r="BI557" s="1645"/>
      <c r="BJ557" s="1645"/>
      <c r="BK557" s="1645"/>
      <c r="BL557" s="1645"/>
      <c r="BM557" s="1645"/>
      <c r="BN557" s="1645"/>
      <c r="BO557" s="1645"/>
      <c r="BP557" s="1645"/>
      <c r="BQ557" s="1645"/>
      <c r="BR557" s="1645"/>
      <c r="BS557" s="1645"/>
      <c r="BT557" s="1645"/>
      <c r="BU557" s="1645"/>
      <c r="BV557" s="1645"/>
      <c r="BW557" s="1645"/>
      <c r="BX557" s="1645"/>
      <c r="BY557" s="1645"/>
      <c r="BZ557" s="1645"/>
      <c r="CA557" s="1645"/>
      <c r="CB557" s="1645"/>
      <c r="CC557" s="1645"/>
      <c r="CD557" s="1645"/>
      <c r="CE557" s="1645"/>
      <c r="CF557" s="1645"/>
      <c r="CG557" s="1645"/>
      <c r="CH557" s="1645"/>
      <c r="CI557" s="1645"/>
      <c r="CJ557" s="1645"/>
      <c r="CK557" s="1645"/>
      <c r="CL557" s="1645"/>
      <c r="CM557" s="1645"/>
      <c r="CN557" s="1645"/>
      <c r="CO557" s="1645"/>
    </row>
    <row r="558" spans="1:93" s="1136" customFormat="1" ht="15" x14ac:dyDescent="0.2">
      <c r="A558" s="1684"/>
      <c r="B558" s="1690"/>
      <c r="C558" s="2010"/>
      <c r="D558" s="2010"/>
      <c r="E558" s="2010">
        <v>1</v>
      </c>
      <c r="F558" s="2010">
        <v>2</v>
      </c>
      <c r="G558" s="2010">
        <v>3</v>
      </c>
      <c r="H558" s="2010">
        <v>4</v>
      </c>
      <c r="I558" s="2010">
        <v>5</v>
      </c>
      <c r="J558" s="2010">
        <v>6</v>
      </c>
      <c r="K558" s="2010">
        <v>7</v>
      </c>
      <c r="L558" s="2010">
        <v>8</v>
      </c>
      <c r="M558" s="2010">
        <v>9</v>
      </c>
      <c r="N558" s="2010">
        <v>10</v>
      </c>
      <c r="O558" s="2010">
        <v>11</v>
      </c>
      <c r="P558" s="2010">
        <v>12</v>
      </c>
      <c r="Q558" s="2010"/>
      <c r="R558" s="1"/>
      <c r="S558" s="1645"/>
      <c r="T558" s="1645"/>
      <c r="U558" s="1645"/>
      <c r="V558" s="1645"/>
      <c r="W558" s="1645"/>
      <c r="X558" s="1645"/>
      <c r="Y558" s="1645"/>
      <c r="Z558" s="1645"/>
      <c r="AA558" s="1645"/>
      <c r="AB558" s="1645"/>
      <c r="AC558" s="1645"/>
      <c r="AD558" s="1645"/>
      <c r="AE558" s="1645"/>
      <c r="AF558" s="1645"/>
      <c r="AG558" s="1645"/>
      <c r="AH558" s="1645"/>
      <c r="AI558" s="1645"/>
      <c r="AJ558" s="1645"/>
      <c r="AK558" s="1645"/>
      <c r="AL558" s="1645"/>
      <c r="AM558" s="1645"/>
      <c r="AN558" s="1645"/>
      <c r="AO558" s="1645"/>
      <c r="AP558" s="1645"/>
      <c r="AQ558" s="1645"/>
      <c r="AR558" s="1645"/>
      <c r="AS558" s="1645"/>
      <c r="AT558" s="1645"/>
      <c r="AU558" s="1645"/>
      <c r="AV558" s="1645"/>
      <c r="AW558" s="1645"/>
      <c r="AX558" s="1645"/>
      <c r="AY558" s="1645"/>
      <c r="AZ558" s="1645"/>
      <c r="BA558" s="1645"/>
      <c r="BB558" s="1645"/>
      <c r="BC558" s="1645"/>
      <c r="BD558" s="1645"/>
      <c r="BE558" s="1645"/>
      <c r="BF558" s="1645"/>
      <c r="BG558" s="1645"/>
      <c r="BH558" s="1645"/>
      <c r="BI558" s="1645"/>
      <c r="BJ558" s="1645"/>
      <c r="BK558" s="1645"/>
      <c r="BL558" s="1645"/>
      <c r="BM558" s="1645"/>
      <c r="BN558" s="1645"/>
      <c r="BO558" s="1645"/>
      <c r="BP558" s="1645"/>
      <c r="BQ558" s="1645"/>
      <c r="BR558" s="1645"/>
      <c r="BS558" s="1645"/>
      <c r="BT558" s="1645"/>
      <c r="BU558" s="1645"/>
      <c r="BV558" s="1645"/>
      <c r="BW558" s="1645"/>
      <c r="BX558" s="1645"/>
      <c r="BY558" s="1645"/>
      <c r="BZ558" s="1645"/>
      <c r="CA558" s="1645"/>
      <c r="CB558" s="1645"/>
      <c r="CC558" s="1645"/>
      <c r="CD558" s="1645"/>
      <c r="CE558" s="1645"/>
      <c r="CF558" s="1645"/>
      <c r="CG558" s="1645"/>
      <c r="CH558" s="1645"/>
      <c r="CI558" s="1645"/>
      <c r="CJ558" s="1645"/>
      <c r="CK558" s="1645"/>
      <c r="CL558" s="1645"/>
      <c r="CM558" s="1645"/>
      <c r="CN558" s="1645"/>
      <c r="CO558" s="1645"/>
    </row>
    <row r="559" spans="1:93" s="1136" customFormat="1" ht="15" x14ac:dyDescent="0.2">
      <c r="A559" s="1684"/>
      <c r="B559" s="1690"/>
      <c r="C559" s="1">
        <v>8</v>
      </c>
      <c r="D559" s="1">
        <v>5.4320000000000004</v>
      </c>
      <c r="E559" s="1">
        <v>137</v>
      </c>
      <c r="F559" s="1">
        <v>152</v>
      </c>
      <c r="G559" s="1">
        <v>166</v>
      </c>
      <c r="H559" s="1">
        <v>181</v>
      </c>
      <c r="I559" s="1">
        <v>195</v>
      </c>
      <c r="J559" s="1">
        <v>210</v>
      </c>
      <c r="K559" s="1">
        <v>224</v>
      </c>
      <c r="L559" s="1">
        <v>239</v>
      </c>
      <c r="M559" s="1">
        <v>253</v>
      </c>
      <c r="N559" s="1">
        <v>267</v>
      </c>
      <c r="O559" s="1">
        <v>282</v>
      </c>
      <c r="P559" s="1">
        <v>296</v>
      </c>
      <c r="Q559" s="1">
        <v>1</v>
      </c>
      <c r="R559" s="1"/>
      <c r="S559" s="1645"/>
      <c r="T559" s="1645"/>
      <c r="U559" s="1645"/>
      <c r="V559" s="1645"/>
      <c r="W559" s="1645"/>
      <c r="X559" s="1645"/>
      <c r="Y559" s="1645"/>
      <c r="Z559" s="1645"/>
      <c r="AA559" s="1645"/>
      <c r="AB559" s="1645"/>
      <c r="AC559" s="1645"/>
      <c r="AD559" s="1645"/>
      <c r="AE559" s="1645"/>
      <c r="AF559" s="1645"/>
      <c r="AG559" s="1645"/>
      <c r="AH559" s="1645"/>
      <c r="AI559" s="1645"/>
      <c r="AJ559" s="1645"/>
      <c r="AK559" s="1645"/>
      <c r="AL559" s="1645"/>
      <c r="AM559" s="1645"/>
      <c r="AN559" s="1645"/>
      <c r="AO559" s="1645"/>
      <c r="AP559" s="1645"/>
      <c r="AQ559" s="1645"/>
      <c r="AR559" s="1645"/>
      <c r="AS559" s="1645"/>
      <c r="AT559" s="1645"/>
      <c r="AU559" s="1645"/>
      <c r="AV559" s="1645"/>
      <c r="AW559" s="1645"/>
      <c r="AX559" s="1645"/>
      <c r="AY559" s="1645"/>
      <c r="AZ559" s="1645"/>
      <c r="BA559" s="1645"/>
      <c r="BB559" s="1645"/>
      <c r="BC559" s="1645"/>
      <c r="BD559" s="1645"/>
      <c r="BE559" s="1645"/>
      <c r="BF559" s="1645"/>
      <c r="BG559" s="1645"/>
      <c r="BH559" s="1645"/>
      <c r="BI559" s="1645"/>
      <c r="BJ559" s="1645"/>
      <c r="BK559" s="1645"/>
      <c r="BL559" s="1645"/>
      <c r="BM559" s="1645"/>
      <c r="BN559" s="1645"/>
      <c r="BO559" s="1645"/>
      <c r="BP559" s="1645"/>
      <c r="BQ559" s="1645"/>
      <c r="BR559" s="1645"/>
      <c r="BS559" s="1645"/>
      <c r="BT559" s="1645"/>
      <c r="BU559" s="1645"/>
      <c r="BV559" s="1645"/>
      <c r="BW559" s="1645"/>
      <c r="BX559" s="1645"/>
      <c r="BY559" s="1645"/>
      <c r="BZ559" s="1645"/>
      <c r="CA559" s="1645"/>
      <c r="CB559" s="1645"/>
      <c r="CC559" s="1645"/>
      <c r="CD559" s="1645"/>
      <c r="CE559" s="1645"/>
      <c r="CF559" s="1645"/>
      <c r="CG559" s="1645"/>
      <c r="CH559" s="1645"/>
      <c r="CI559" s="1645"/>
      <c r="CJ559" s="1645"/>
      <c r="CK559" s="1645"/>
      <c r="CL559" s="1645"/>
      <c r="CM559" s="1645"/>
      <c r="CN559" s="1645"/>
      <c r="CO559" s="1645"/>
    </row>
    <row r="560" spans="1:93" s="1136" customFormat="1" ht="15" x14ac:dyDescent="0.2">
      <c r="A560" s="1684"/>
      <c r="B560" s="1690"/>
      <c r="C560" s="1">
        <v>9</v>
      </c>
      <c r="D560" s="1">
        <v>5.742</v>
      </c>
      <c r="E560" s="1">
        <v>150</v>
      </c>
      <c r="F560" s="1">
        <v>166</v>
      </c>
      <c r="G560" s="1">
        <v>182</v>
      </c>
      <c r="H560" s="1">
        <v>198</v>
      </c>
      <c r="I560" s="1">
        <v>214</v>
      </c>
      <c r="J560" s="1">
        <v>229</v>
      </c>
      <c r="K560" s="1">
        <v>245</v>
      </c>
      <c r="L560" s="1">
        <v>262</v>
      </c>
      <c r="M560" s="1">
        <v>277</v>
      </c>
      <c r="N560" s="1">
        <v>292</v>
      </c>
      <c r="O560" s="1">
        <v>308</v>
      </c>
      <c r="P560" s="1">
        <v>324</v>
      </c>
      <c r="Q560" s="1">
        <v>2</v>
      </c>
      <c r="R560" s="1"/>
      <c r="S560" s="1645"/>
      <c r="T560" s="1645"/>
      <c r="U560" s="1645"/>
      <c r="V560" s="1645"/>
      <c r="W560" s="1645"/>
      <c r="X560" s="1645"/>
      <c r="Y560" s="1645"/>
      <c r="Z560" s="1645"/>
      <c r="AA560" s="1645"/>
      <c r="AB560" s="1645"/>
      <c r="AC560" s="1645"/>
      <c r="AD560" s="1645"/>
      <c r="AE560" s="1645"/>
      <c r="AF560" s="1645"/>
      <c r="AG560" s="1645"/>
      <c r="AH560" s="1645"/>
      <c r="AI560" s="1645"/>
      <c r="AJ560" s="1645"/>
      <c r="AK560" s="1645"/>
      <c r="AL560" s="1645"/>
      <c r="AM560" s="1645"/>
      <c r="AN560" s="1645"/>
      <c r="AO560" s="1645"/>
      <c r="AP560" s="1645"/>
      <c r="AQ560" s="1645"/>
      <c r="AR560" s="1645"/>
      <c r="AS560" s="1645"/>
      <c r="AT560" s="1645"/>
      <c r="AU560" s="1645"/>
      <c r="AV560" s="1645"/>
      <c r="AW560" s="1645"/>
      <c r="AX560" s="1645"/>
      <c r="AY560" s="1645"/>
      <c r="AZ560" s="1645"/>
      <c r="BA560" s="1645"/>
      <c r="BB560" s="1645"/>
      <c r="BC560" s="1645"/>
      <c r="BD560" s="1645"/>
      <c r="BE560" s="1645"/>
      <c r="BF560" s="1645"/>
      <c r="BG560" s="1645"/>
      <c r="BH560" s="1645"/>
      <c r="BI560" s="1645"/>
      <c r="BJ560" s="1645"/>
      <c r="BK560" s="1645"/>
      <c r="BL560" s="1645"/>
      <c r="BM560" s="1645"/>
      <c r="BN560" s="1645"/>
      <c r="BO560" s="1645"/>
      <c r="BP560" s="1645"/>
      <c r="BQ560" s="1645"/>
      <c r="BR560" s="1645"/>
      <c r="BS560" s="1645"/>
      <c r="BT560" s="1645"/>
      <c r="BU560" s="1645"/>
      <c r="BV560" s="1645"/>
      <c r="BW560" s="1645"/>
      <c r="BX560" s="1645"/>
      <c r="BY560" s="1645"/>
      <c r="BZ560" s="1645"/>
      <c r="CA560" s="1645"/>
      <c r="CB560" s="1645"/>
      <c r="CC560" s="1645"/>
      <c r="CD560" s="1645"/>
      <c r="CE560" s="1645"/>
      <c r="CF560" s="1645"/>
      <c r="CG560" s="1645"/>
      <c r="CH560" s="1645"/>
      <c r="CI560" s="1645"/>
      <c r="CJ560" s="1645"/>
      <c r="CK560" s="1645"/>
      <c r="CL560" s="1645"/>
      <c r="CM560" s="1645"/>
      <c r="CN560" s="1645"/>
      <c r="CO560" s="1645"/>
    </row>
    <row r="561" spans="1:93" s="1136" customFormat="1" ht="15" x14ac:dyDescent="0.2">
      <c r="A561" s="1684"/>
      <c r="B561" s="1690"/>
      <c r="C561" s="1">
        <v>10</v>
      </c>
      <c r="D561" s="1">
        <v>6.0620000000000003</v>
      </c>
      <c r="E561" s="1">
        <v>163</v>
      </c>
      <c r="F561" s="1">
        <v>181</v>
      </c>
      <c r="G561" s="1">
        <v>198</v>
      </c>
      <c r="H561" s="1">
        <v>215</v>
      </c>
      <c r="I561" s="1">
        <v>233</v>
      </c>
      <c r="J561" s="1">
        <v>250</v>
      </c>
      <c r="K561" s="1">
        <v>267</v>
      </c>
      <c r="L561" s="1">
        <v>285</v>
      </c>
      <c r="M561" s="1">
        <v>301</v>
      </c>
      <c r="N561" s="1">
        <v>318</v>
      </c>
      <c r="O561" s="1">
        <v>336</v>
      </c>
      <c r="P561" s="1">
        <v>353</v>
      </c>
      <c r="Q561" s="1">
        <v>3</v>
      </c>
      <c r="R561" s="1"/>
      <c r="S561" s="1645"/>
      <c r="T561" s="1645"/>
      <c r="U561" s="1645"/>
      <c r="V561" s="1645"/>
      <c r="W561" s="1645"/>
      <c r="X561" s="1645"/>
      <c r="Y561" s="1645"/>
      <c r="Z561" s="1645"/>
      <c r="AA561" s="1645"/>
      <c r="AB561" s="1645"/>
      <c r="AC561" s="1645"/>
      <c r="AD561" s="1645"/>
      <c r="AE561" s="1645"/>
      <c r="AF561" s="1645"/>
      <c r="AG561" s="1645"/>
      <c r="AH561" s="1645"/>
      <c r="AI561" s="1645"/>
      <c r="AJ561" s="1645"/>
      <c r="AK561" s="1645"/>
      <c r="AL561" s="1645"/>
      <c r="AM561" s="1645"/>
      <c r="AN561" s="1645"/>
      <c r="AO561" s="1645"/>
      <c r="AP561" s="1645"/>
      <c r="AQ561" s="1645"/>
      <c r="AR561" s="1645"/>
      <c r="AS561" s="1645"/>
      <c r="AT561" s="1645"/>
      <c r="AU561" s="1645"/>
      <c r="AV561" s="1645"/>
      <c r="AW561" s="1645"/>
      <c r="AX561" s="1645"/>
      <c r="AY561" s="1645"/>
      <c r="AZ561" s="1645"/>
      <c r="BA561" s="1645"/>
      <c r="BB561" s="1645"/>
      <c r="BC561" s="1645"/>
      <c r="BD561" s="1645"/>
      <c r="BE561" s="1645"/>
      <c r="BF561" s="1645"/>
      <c r="BG561" s="1645"/>
      <c r="BH561" s="1645"/>
      <c r="BI561" s="1645"/>
      <c r="BJ561" s="1645"/>
      <c r="BK561" s="1645"/>
      <c r="BL561" s="1645"/>
      <c r="BM561" s="1645"/>
      <c r="BN561" s="1645"/>
      <c r="BO561" s="1645"/>
      <c r="BP561" s="1645"/>
      <c r="BQ561" s="1645"/>
      <c r="BR561" s="1645"/>
      <c r="BS561" s="1645"/>
      <c r="BT561" s="1645"/>
      <c r="BU561" s="1645"/>
      <c r="BV561" s="1645"/>
      <c r="BW561" s="1645"/>
      <c r="BX561" s="1645"/>
      <c r="BY561" s="1645"/>
      <c r="BZ561" s="1645"/>
      <c r="CA561" s="1645"/>
      <c r="CB561" s="1645"/>
      <c r="CC561" s="1645"/>
      <c r="CD561" s="1645"/>
      <c r="CE561" s="1645"/>
      <c r="CF561" s="1645"/>
      <c r="CG561" s="1645"/>
      <c r="CH561" s="1645"/>
      <c r="CI561" s="1645"/>
      <c r="CJ561" s="1645"/>
      <c r="CK561" s="1645"/>
      <c r="CL561" s="1645"/>
      <c r="CM561" s="1645"/>
      <c r="CN561" s="1645"/>
      <c r="CO561" s="1645"/>
    </row>
    <row r="562" spans="1:93" s="1136" customFormat="1" ht="15" x14ac:dyDescent="0.2">
      <c r="A562" s="1684"/>
      <c r="B562" s="1690"/>
      <c r="C562" s="1">
        <v>11</v>
      </c>
      <c r="D562" s="1">
        <v>6.415</v>
      </c>
      <c r="E562" s="1">
        <v>178</v>
      </c>
      <c r="F562" s="1">
        <v>197</v>
      </c>
      <c r="G562" s="1">
        <v>216</v>
      </c>
      <c r="H562" s="1">
        <v>235</v>
      </c>
      <c r="I562" s="1">
        <v>253</v>
      </c>
      <c r="J562" s="1">
        <v>272</v>
      </c>
      <c r="K562" s="1">
        <v>291</v>
      </c>
      <c r="L562" s="1">
        <v>311</v>
      </c>
      <c r="M562" s="1">
        <v>328</v>
      </c>
      <c r="N562" s="1">
        <v>347</v>
      </c>
      <c r="O562" s="1">
        <v>366</v>
      </c>
      <c r="P562" s="1">
        <v>384</v>
      </c>
      <c r="Q562" s="1">
        <v>4</v>
      </c>
      <c r="R562" s="1"/>
      <c r="S562" s="1645"/>
      <c r="T562" s="1645"/>
      <c r="U562" s="1645"/>
      <c r="V562" s="1645"/>
      <c r="W562" s="1645"/>
      <c r="X562" s="1645"/>
      <c r="Y562" s="1645"/>
      <c r="Z562" s="1645"/>
      <c r="AA562" s="1645"/>
      <c r="AB562" s="1645"/>
      <c r="AC562" s="1645"/>
      <c r="AD562" s="1645"/>
      <c r="AE562" s="1645"/>
      <c r="AF562" s="1645"/>
      <c r="AG562" s="1645"/>
      <c r="AH562" s="1645"/>
      <c r="AI562" s="1645"/>
      <c r="AJ562" s="1645"/>
      <c r="AK562" s="1645"/>
      <c r="AL562" s="1645"/>
      <c r="AM562" s="1645"/>
      <c r="AN562" s="1645"/>
      <c r="AO562" s="1645"/>
      <c r="AP562" s="1645"/>
      <c r="AQ562" s="1645"/>
      <c r="AR562" s="1645"/>
      <c r="AS562" s="1645"/>
      <c r="AT562" s="1645"/>
      <c r="AU562" s="1645"/>
      <c r="AV562" s="1645"/>
      <c r="AW562" s="1645"/>
      <c r="AX562" s="1645"/>
      <c r="AY562" s="1645"/>
      <c r="AZ562" s="1645"/>
      <c r="BA562" s="1645"/>
      <c r="BB562" s="1645"/>
      <c r="BC562" s="1645"/>
      <c r="BD562" s="1645"/>
      <c r="BE562" s="1645"/>
      <c r="BF562" s="1645"/>
      <c r="BG562" s="1645"/>
      <c r="BH562" s="1645"/>
      <c r="BI562" s="1645"/>
      <c r="BJ562" s="1645"/>
      <c r="BK562" s="1645"/>
      <c r="BL562" s="1645"/>
      <c r="BM562" s="1645"/>
      <c r="BN562" s="1645"/>
      <c r="BO562" s="1645"/>
      <c r="BP562" s="1645"/>
      <c r="BQ562" s="1645"/>
      <c r="BR562" s="1645"/>
      <c r="BS562" s="1645"/>
      <c r="BT562" s="1645"/>
      <c r="BU562" s="1645"/>
      <c r="BV562" s="1645"/>
      <c r="BW562" s="1645"/>
      <c r="BX562" s="1645"/>
      <c r="BY562" s="1645"/>
      <c r="BZ562" s="1645"/>
      <c r="CA562" s="1645"/>
      <c r="CB562" s="1645"/>
      <c r="CC562" s="1645"/>
      <c r="CD562" s="1645"/>
      <c r="CE562" s="1645"/>
      <c r="CF562" s="1645"/>
      <c r="CG562" s="1645"/>
      <c r="CH562" s="1645"/>
      <c r="CI562" s="1645"/>
      <c r="CJ562" s="1645"/>
      <c r="CK562" s="1645"/>
      <c r="CL562" s="1645"/>
      <c r="CM562" s="1645"/>
      <c r="CN562" s="1645"/>
      <c r="CO562" s="1645"/>
    </row>
    <row r="563" spans="1:93" s="1136" customFormat="1" ht="15" x14ac:dyDescent="0.2">
      <c r="A563" s="1684"/>
      <c r="B563" s="1690"/>
      <c r="C563" s="1">
        <v>12</v>
      </c>
      <c r="D563" s="1">
        <v>6.7770000000000001</v>
      </c>
      <c r="E563" s="1">
        <v>193</v>
      </c>
      <c r="F563" s="1">
        <v>214</v>
      </c>
      <c r="G563" s="1">
        <v>234</v>
      </c>
      <c r="H563" s="1">
        <v>254</v>
      </c>
      <c r="I563" s="1">
        <v>275</v>
      </c>
      <c r="J563" s="1">
        <v>295</v>
      </c>
      <c r="K563" s="1">
        <v>315</v>
      </c>
      <c r="L563" s="1">
        <v>337</v>
      </c>
      <c r="M563" s="1">
        <v>356</v>
      </c>
      <c r="N563" s="1">
        <v>376</v>
      </c>
      <c r="O563" s="1">
        <v>396</v>
      </c>
      <c r="P563" s="1">
        <v>417</v>
      </c>
      <c r="Q563" s="1">
        <v>5</v>
      </c>
      <c r="R563" s="1"/>
      <c r="S563" s="1645"/>
      <c r="T563" s="1645"/>
      <c r="U563" s="1645"/>
      <c r="V563" s="1645"/>
      <c r="W563" s="1645"/>
      <c r="X563" s="1645"/>
      <c r="Y563" s="1645"/>
      <c r="Z563" s="1645"/>
      <c r="AA563" s="1645"/>
      <c r="AB563" s="1645"/>
      <c r="AC563" s="1645"/>
      <c r="AD563" s="1645"/>
      <c r="AE563" s="1645"/>
      <c r="AF563" s="1645"/>
      <c r="AG563" s="1645"/>
      <c r="AH563" s="1645"/>
      <c r="AI563" s="1645"/>
      <c r="AJ563" s="1645"/>
      <c r="AK563" s="1645"/>
      <c r="AL563" s="1645"/>
      <c r="AM563" s="1645"/>
      <c r="AN563" s="1645"/>
      <c r="AO563" s="1645"/>
      <c r="AP563" s="1645"/>
      <c r="AQ563" s="1645"/>
      <c r="AR563" s="1645"/>
      <c r="AS563" s="1645"/>
      <c r="AT563" s="1645"/>
      <c r="AU563" s="1645"/>
      <c r="AV563" s="1645"/>
      <c r="AW563" s="1645"/>
      <c r="AX563" s="1645"/>
      <c r="AY563" s="1645"/>
      <c r="AZ563" s="1645"/>
      <c r="BA563" s="1645"/>
      <c r="BB563" s="1645"/>
      <c r="BC563" s="1645"/>
      <c r="BD563" s="1645"/>
      <c r="BE563" s="1645"/>
      <c r="BF563" s="1645"/>
      <c r="BG563" s="1645"/>
      <c r="BH563" s="1645"/>
      <c r="BI563" s="1645"/>
      <c r="BJ563" s="1645"/>
      <c r="BK563" s="1645"/>
      <c r="BL563" s="1645"/>
      <c r="BM563" s="1645"/>
      <c r="BN563" s="1645"/>
      <c r="BO563" s="1645"/>
      <c r="BP563" s="1645"/>
      <c r="BQ563" s="1645"/>
      <c r="BR563" s="1645"/>
      <c r="BS563" s="1645"/>
      <c r="BT563" s="1645"/>
      <c r="BU563" s="1645"/>
      <c r="BV563" s="1645"/>
      <c r="BW563" s="1645"/>
      <c r="BX563" s="1645"/>
      <c r="BY563" s="1645"/>
      <c r="BZ563" s="1645"/>
      <c r="CA563" s="1645"/>
      <c r="CB563" s="1645"/>
      <c r="CC563" s="1645"/>
      <c r="CD563" s="1645"/>
      <c r="CE563" s="1645"/>
      <c r="CF563" s="1645"/>
      <c r="CG563" s="1645"/>
      <c r="CH563" s="1645"/>
      <c r="CI563" s="1645"/>
      <c r="CJ563" s="1645"/>
      <c r="CK563" s="1645"/>
      <c r="CL563" s="1645"/>
      <c r="CM563" s="1645"/>
      <c r="CN563" s="1645"/>
      <c r="CO563" s="1645"/>
    </row>
    <row r="564" spans="1:93" s="1136" customFormat="1" ht="15" x14ac:dyDescent="0.2">
      <c r="A564" s="1684"/>
      <c r="B564" s="1690"/>
      <c r="C564" s="1">
        <v>13</v>
      </c>
      <c r="D564" s="1">
        <v>7.1390000000000002</v>
      </c>
      <c r="E564" s="1">
        <v>207</v>
      </c>
      <c r="F564" s="1">
        <v>230</v>
      </c>
      <c r="G564" s="1">
        <v>252</v>
      </c>
      <c r="H564" s="1">
        <v>274</v>
      </c>
      <c r="I564" s="1">
        <v>296</v>
      </c>
      <c r="J564" s="1">
        <v>318</v>
      </c>
      <c r="K564" s="1">
        <v>340</v>
      </c>
      <c r="L564" s="1">
        <v>362</v>
      </c>
      <c r="M564" s="1">
        <v>383</v>
      </c>
      <c r="N564" s="1">
        <v>405</v>
      </c>
      <c r="O564" s="1">
        <v>427</v>
      </c>
      <c r="P564" s="1">
        <v>449</v>
      </c>
      <c r="Q564" s="1">
        <v>6</v>
      </c>
      <c r="R564" s="1"/>
      <c r="S564" s="1645"/>
      <c r="T564" s="1645"/>
      <c r="U564" s="1645"/>
      <c r="V564" s="1645"/>
      <c r="W564" s="1645"/>
      <c r="X564" s="1645"/>
      <c r="Y564" s="1645"/>
      <c r="Z564" s="1645"/>
      <c r="AA564" s="1645"/>
      <c r="AB564" s="1645"/>
      <c r="AC564" s="1645"/>
      <c r="AD564" s="1645"/>
      <c r="AE564" s="1645"/>
      <c r="AF564" s="1645"/>
      <c r="AG564" s="1645"/>
      <c r="AH564" s="1645"/>
      <c r="AI564" s="1645"/>
      <c r="AJ564" s="1645"/>
      <c r="AK564" s="1645"/>
      <c r="AL564" s="1645"/>
      <c r="AM564" s="1645"/>
      <c r="AN564" s="1645"/>
      <c r="AO564" s="1645"/>
      <c r="AP564" s="1645"/>
      <c r="AQ564" s="1645"/>
      <c r="AR564" s="1645"/>
      <c r="AS564" s="1645"/>
      <c r="AT564" s="1645"/>
      <c r="AU564" s="1645"/>
      <c r="AV564" s="1645"/>
      <c r="AW564" s="1645"/>
      <c r="AX564" s="1645"/>
      <c r="AY564" s="1645"/>
      <c r="AZ564" s="1645"/>
      <c r="BA564" s="1645"/>
      <c r="BB564" s="1645"/>
      <c r="BC564" s="1645"/>
      <c r="BD564" s="1645"/>
      <c r="BE564" s="1645"/>
      <c r="BF564" s="1645"/>
      <c r="BG564" s="1645"/>
      <c r="BH564" s="1645"/>
      <c r="BI564" s="1645"/>
      <c r="BJ564" s="1645"/>
      <c r="BK564" s="1645"/>
      <c r="BL564" s="1645"/>
      <c r="BM564" s="1645"/>
      <c r="BN564" s="1645"/>
      <c r="BO564" s="1645"/>
      <c r="BP564" s="1645"/>
      <c r="BQ564" s="1645"/>
      <c r="BR564" s="1645"/>
      <c r="BS564" s="1645"/>
      <c r="BT564" s="1645"/>
      <c r="BU564" s="1645"/>
      <c r="BV564" s="1645"/>
      <c r="BW564" s="1645"/>
      <c r="BX564" s="1645"/>
      <c r="BY564" s="1645"/>
      <c r="BZ564" s="1645"/>
      <c r="CA564" s="1645"/>
      <c r="CB564" s="1645"/>
      <c r="CC564" s="1645"/>
      <c r="CD564" s="1645"/>
      <c r="CE564" s="1645"/>
      <c r="CF564" s="1645"/>
      <c r="CG564" s="1645"/>
      <c r="CH564" s="1645"/>
      <c r="CI564" s="1645"/>
      <c r="CJ564" s="1645"/>
      <c r="CK564" s="1645"/>
      <c r="CL564" s="1645"/>
      <c r="CM564" s="1645"/>
      <c r="CN564" s="1645"/>
      <c r="CO564" s="1645"/>
    </row>
    <row r="565" spans="1:93" s="1136" customFormat="1" ht="15" x14ac:dyDescent="0.2">
      <c r="A565" s="1684"/>
      <c r="B565" s="1690"/>
      <c r="C565" s="1">
        <v>14</v>
      </c>
      <c r="D565" s="1">
        <v>7.5129999999999999</v>
      </c>
      <c r="E565" s="1">
        <v>223</v>
      </c>
      <c r="F565" s="1">
        <v>247</v>
      </c>
      <c r="G565" s="1">
        <v>271</v>
      </c>
      <c r="H565" s="1">
        <v>294</v>
      </c>
      <c r="I565" s="1">
        <v>318</v>
      </c>
      <c r="J565" s="1">
        <v>341</v>
      </c>
      <c r="K565" s="1">
        <v>364</v>
      </c>
      <c r="L565" s="1">
        <v>389</v>
      </c>
      <c r="M565" s="1">
        <v>411</v>
      </c>
      <c r="N565" s="1">
        <v>439</v>
      </c>
      <c r="O565" s="1">
        <v>458</v>
      </c>
      <c r="P565" s="1">
        <v>482</v>
      </c>
      <c r="Q565" s="1">
        <v>7</v>
      </c>
      <c r="R565" s="1"/>
      <c r="S565" s="1645"/>
      <c r="T565" s="1645"/>
      <c r="U565" s="1645"/>
      <c r="V565" s="1645"/>
      <c r="W565" s="1645"/>
      <c r="X565" s="1645"/>
      <c r="Y565" s="1645"/>
      <c r="Z565" s="1645"/>
      <c r="AA565" s="1645"/>
      <c r="AB565" s="1645"/>
      <c r="AC565" s="1645"/>
      <c r="AD565" s="1645"/>
      <c r="AE565" s="1645"/>
      <c r="AF565" s="1645"/>
      <c r="AG565" s="1645"/>
      <c r="AH565" s="1645"/>
      <c r="AI565" s="1645"/>
      <c r="AJ565" s="1645"/>
      <c r="AK565" s="1645"/>
      <c r="AL565" s="1645"/>
      <c r="AM565" s="1645"/>
      <c r="AN565" s="1645"/>
      <c r="AO565" s="1645"/>
      <c r="AP565" s="1645"/>
      <c r="AQ565" s="1645"/>
      <c r="AR565" s="1645"/>
      <c r="AS565" s="1645"/>
      <c r="AT565" s="1645"/>
      <c r="AU565" s="1645"/>
      <c r="AV565" s="1645"/>
      <c r="AW565" s="1645"/>
      <c r="AX565" s="1645"/>
      <c r="AY565" s="1645"/>
      <c r="AZ565" s="1645"/>
      <c r="BA565" s="1645"/>
      <c r="BB565" s="1645"/>
      <c r="BC565" s="1645"/>
      <c r="BD565" s="1645"/>
      <c r="BE565" s="1645"/>
      <c r="BF565" s="1645"/>
      <c r="BG565" s="1645"/>
      <c r="BH565" s="1645"/>
      <c r="BI565" s="1645"/>
      <c r="BJ565" s="1645"/>
      <c r="BK565" s="1645"/>
      <c r="BL565" s="1645"/>
      <c r="BM565" s="1645"/>
      <c r="BN565" s="1645"/>
      <c r="BO565" s="1645"/>
      <c r="BP565" s="1645"/>
      <c r="BQ565" s="1645"/>
      <c r="BR565" s="1645"/>
      <c r="BS565" s="1645"/>
      <c r="BT565" s="1645"/>
      <c r="BU565" s="1645"/>
      <c r="BV565" s="1645"/>
      <c r="BW565" s="1645"/>
      <c r="BX565" s="1645"/>
      <c r="BY565" s="1645"/>
      <c r="BZ565" s="1645"/>
      <c r="CA565" s="1645"/>
      <c r="CB565" s="1645"/>
      <c r="CC565" s="1645"/>
      <c r="CD565" s="1645"/>
      <c r="CE565" s="1645"/>
      <c r="CF565" s="1645"/>
      <c r="CG565" s="1645"/>
      <c r="CH565" s="1645"/>
      <c r="CI565" s="1645"/>
      <c r="CJ565" s="1645"/>
      <c r="CK565" s="1645"/>
      <c r="CL565" s="1645"/>
      <c r="CM565" s="1645"/>
      <c r="CN565" s="1645"/>
      <c r="CO565" s="1645"/>
    </row>
    <row r="566" spans="1:93" s="1136" customFormat="1" ht="15" x14ac:dyDescent="0.2">
      <c r="A566" s="1684"/>
      <c r="B566" s="1690"/>
      <c r="C566" s="1">
        <v>15</v>
      </c>
      <c r="D566" s="1">
        <v>7.89</v>
      </c>
      <c r="E566" s="1">
        <v>238</v>
      </c>
      <c r="F566" s="1">
        <v>264</v>
      </c>
      <c r="G566" s="1">
        <v>289</v>
      </c>
      <c r="H566" s="1">
        <v>314</v>
      </c>
      <c r="I566" s="1">
        <v>339</v>
      </c>
      <c r="J566" s="1">
        <v>364</v>
      </c>
      <c r="K566" s="1">
        <v>389</v>
      </c>
      <c r="L566" s="1">
        <v>416</v>
      </c>
      <c r="M566" s="1">
        <v>440</v>
      </c>
      <c r="N566" s="1">
        <v>465</v>
      </c>
      <c r="O566" s="1">
        <v>490</v>
      </c>
      <c r="P566" s="1">
        <v>515</v>
      </c>
      <c r="Q566" s="1">
        <v>8</v>
      </c>
      <c r="R566" s="1"/>
      <c r="S566" s="1645"/>
      <c r="T566" s="1645"/>
      <c r="U566" s="1645"/>
      <c r="V566" s="1645"/>
      <c r="W566" s="1645"/>
      <c r="X566" s="1645"/>
      <c r="Y566" s="1645"/>
      <c r="Z566" s="1645"/>
      <c r="AA566" s="1645"/>
      <c r="AB566" s="1645"/>
      <c r="AC566" s="1645"/>
      <c r="AD566" s="1645"/>
      <c r="AE566" s="1645"/>
      <c r="AF566" s="1645"/>
      <c r="AG566" s="1645"/>
      <c r="AH566" s="1645"/>
      <c r="AI566" s="1645"/>
      <c r="AJ566" s="1645"/>
      <c r="AK566" s="1645"/>
      <c r="AL566" s="1645"/>
      <c r="AM566" s="1645"/>
      <c r="AN566" s="1645"/>
      <c r="AO566" s="1645"/>
      <c r="AP566" s="1645"/>
      <c r="AQ566" s="1645"/>
      <c r="AR566" s="1645"/>
      <c r="AS566" s="1645"/>
      <c r="AT566" s="1645"/>
      <c r="AU566" s="1645"/>
      <c r="AV566" s="1645"/>
      <c r="AW566" s="1645"/>
      <c r="AX566" s="1645"/>
      <c r="AY566" s="1645"/>
      <c r="AZ566" s="1645"/>
      <c r="BA566" s="1645"/>
      <c r="BB566" s="1645"/>
      <c r="BC566" s="1645"/>
      <c r="BD566" s="1645"/>
      <c r="BE566" s="1645"/>
      <c r="BF566" s="1645"/>
      <c r="BG566" s="1645"/>
      <c r="BH566" s="1645"/>
      <c r="BI566" s="1645"/>
      <c r="BJ566" s="1645"/>
      <c r="BK566" s="1645"/>
      <c r="BL566" s="1645"/>
      <c r="BM566" s="1645"/>
      <c r="BN566" s="1645"/>
      <c r="BO566" s="1645"/>
      <c r="BP566" s="1645"/>
      <c r="BQ566" s="1645"/>
      <c r="BR566" s="1645"/>
      <c r="BS566" s="1645"/>
      <c r="BT566" s="1645"/>
      <c r="BU566" s="1645"/>
      <c r="BV566" s="1645"/>
      <c r="BW566" s="1645"/>
      <c r="BX566" s="1645"/>
      <c r="BY566" s="1645"/>
      <c r="BZ566" s="1645"/>
      <c r="CA566" s="1645"/>
      <c r="CB566" s="1645"/>
      <c r="CC566" s="1645"/>
      <c r="CD566" s="1645"/>
      <c r="CE566" s="1645"/>
      <c r="CF566" s="1645"/>
      <c r="CG566" s="1645"/>
      <c r="CH566" s="1645"/>
      <c r="CI566" s="1645"/>
      <c r="CJ566" s="1645"/>
      <c r="CK566" s="1645"/>
      <c r="CL566" s="1645"/>
      <c r="CM566" s="1645"/>
      <c r="CN566" s="1645"/>
      <c r="CO566" s="1645"/>
    </row>
    <row r="567" spans="1:93" s="1136" customFormat="1" ht="15" x14ac:dyDescent="0.2">
      <c r="A567" s="1684"/>
      <c r="B567" s="1690"/>
      <c r="C567" s="1">
        <v>16</v>
      </c>
      <c r="D567" s="1">
        <v>8.39</v>
      </c>
      <c r="E567" s="1">
        <v>253</v>
      </c>
      <c r="F567" s="1">
        <v>280</v>
      </c>
      <c r="G567" s="1">
        <v>307</v>
      </c>
      <c r="H567" s="1">
        <v>334</v>
      </c>
      <c r="I567" s="1">
        <v>360</v>
      </c>
      <c r="J567" s="1">
        <v>387</v>
      </c>
      <c r="K567" s="1">
        <v>413</v>
      </c>
      <c r="L567" s="1">
        <v>441</v>
      </c>
      <c r="M567" s="1">
        <v>467</v>
      </c>
      <c r="N567" s="1">
        <v>493</v>
      </c>
      <c r="O567" s="1">
        <v>520</v>
      </c>
      <c r="P567" s="1">
        <v>546</v>
      </c>
      <c r="Q567" s="1">
        <v>9</v>
      </c>
      <c r="R567" s="1"/>
      <c r="S567" s="1645"/>
      <c r="T567" s="1645"/>
      <c r="U567" s="1645"/>
      <c r="V567" s="1645"/>
      <c r="W567" s="1645"/>
      <c r="X567" s="1645"/>
      <c r="Y567" s="1645"/>
      <c r="Z567" s="1645"/>
      <c r="AA567" s="1645"/>
      <c r="AB567" s="1645"/>
      <c r="AC567" s="1645"/>
      <c r="AD567" s="1645"/>
      <c r="AE567" s="1645"/>
      <c r="AF567" s="1645"/>
      <c r="AG567" s="1645"/>
      <c r="AH567" s="1645"/>
      <c r="AI567" s="1645"/>
      <c r="AJ567" s="1645"/>
      <c r="AK567" s="1645"/>
      <c r="AL567" s="1645"/>
      <c r="AM567" s="1645"/>
      <c r="AN567" s="1645"/>
      <c r="AO567" s="1645"/>
      <c r="AP567" s="1645"/>
      <c r="AQ567" s="1645"/>
      <c r="AR567" s="1645"/>
      <c r="AS567" s="1645"/>
      <c r="AT567" s="1645"/>
      <c r="AU567" s="1645"/>
      <c r="AV567" s="1645"/>
      <c r="AW567" s="1645"/>
      <c r="AX567" s="1645"/>
      <c r="AY567" s="1645"/>
      <c r="AZ567" s="1645"/>
      <c r="BA567" s="1645"/>
      <c r="BB567" s="1645"/>
      <c r="BC567" s="1645"/>
      <c r="BD567" s="1645"/>
      <c r="BE567" s="1645"/>
      <c r="BF567" s="1645"/>
      <c r="BG567" s="1645"/>
      <c r="BH567" s="1645"/>
      <c r="BI567" s="1645"/>
      <c r="BJ567" s="1645"/>
      <c r="BK567" s="1645"/>
      <c r="BL567" s="1645"/>
      <c r="BM567" s="1645"/>
      <c r="BN567" s="1645"/>
      <c r="BO567" s="1645"/>
      <c r="BP567" s="1645"/>
      <c r="BQ567" s="1645"/>
      <c r="BR567" s="1645"/>
      <c r="BS567" s="1645"/>
      <c r="BT567" s="1645"/>
      <c r="BU567" s="1645"/>
      <c r="BV567" s="1645"/>
      <c r="BW567" s="1645"/>
      <c r="BX567" s="1645"/>
      <c r="BY567" s="1645"/>
      <c r="BZ567" s="1645"/>
      <c r="CA567" s="1645"/>
      <c r="CB567" s="1645"/>
      <c r="CC567" s="1645"/>
      <c r="CD567" s="1645"/>
      <c r="CE567" s="1645"/>
      <c r="CF567" s="1645"/>
      <c r="CG567" s="1645"/>
      <c r="CH567" s="1645"/>
      <c r="CI567" s="1645"/>
      <c r="CJ567" s="1645"/>
      <c r="CK567" s="1645"/>
      <c r="CL567" s="1645"/>
      <c r="CM567" s="1645"/>
      <c r="CN567" s="1645"/>
      <c r="CO567" s="1645"/>
    </row>
    <row r="568" spans="1:93" s="1136" customFormat="1" ht="15" x14ac:dyDescent="0.2">
      <c r="A568" s="1684"/>
      <c r="B568" s="1690"/>
      <c r="C568" s="1">
        <v>17</v>
      </c>
      <c r="D568" s="1">
        <v>8.9329999999999998</v>
      </c>
      <c r="E568" s="1">
        <v>266</v>
      </c>
      <c r="F568" s="1">
        <v>295</v>
      </c>
      <c r="G568" s="1">
        <v>323</v>
      </c>
      <c r="H568" s="1">
        <v>351</v>
      </c>
      <c r="I568" s="1">
        <v>379</v>
      </c>
      <c r="J568" s="1">
        <v>407</v>
      </c>
      <c r="K568" s="1">
        <v>435</v>
      </c>
      <c r="L568" s="1">
        <v>464</v>
      </c>
      <c r="M568" s="1">
        <v>491</v>
      </c>
      <c r="N568" s="1">
        <v>519</v>
      </c>
      <c r="O568" s="1">
        <v>547</v>
      </c>
      <c r="P568" s="1">
        <v>575</v>
      </c>
      <c r="Q568" s="1">
        <v>10</v>
      </c>
      <c r="R568" s="1"/>
      <c r="S568" s="1645"/>
      <c r="T568" s="1645"/>
      <c r="U568" s="1645"/>
      <c r="V568" s="1645"/>
      <c r="W568" s="1645"/>
      <c r="X568" s="1645"/>
      <c r="Y568" s="1645"/>
      <c r="Z568" s="1645"/>
      <c r="AA568" s="1645"/>
      <c r="AB568" s="1645"/>
      <c r="AC568" s="1645"/>
      <c r="AD568" s="1645"/>
      <c r="AE568" s="1645"/>
      <c r="AF568" s="1645"/>
      <c r="AG568" s="1645"/>
      <c r="AH568" s="1645"/>
      <c r="AI568" s="1645"/>
      <c r="AJ568" s="1645"/>
      <c r="AK568" s="1645"/>
      <c r="AL568" s="1645"/>
      <c r="AM568" s="1645"/>
      <c r="AN568" s="1645"/>
      <c r="AO568" s="1645"/>
      <c r="AP568" s="1645"/>
      <c r="AQ568" s="1645"/>
      <c r="AR568" s="1645"/>
      <c r="AS568" s="1645"/>
      <c r="AT568" s="1645"/>
      <c r="AU568" s="1645"/>
      <c r="AV568" s="1645"/>
      <c r="AW568" s="1645"/>
      <c r="AX568" s="1645"/>
      <c r="AY568" s="1645"/>
      <c r="AZ568" s="1645"/>
      <c r="BA568" s="1645"/>
      <c r="BB568" s="1645"/>
      <c r="BC568" s="1645"/>
      <c r="BD568" s="1645"/>
      <c r="BE568" s="1645"/>
      <c r="BF568" s="1645"/>
      <c r="BG568" s="1645"/>
      <c r="BH568" s="1645"/>
      <c r="BI568" s="1645"/>
      <c r="BJ568" s="1645"/>
      <c r="BK568" s="1645"/>
      <c r="BL568" s="1645"/>
      <c r="BM568" s="1645"/>
      <c r="BN568" s="1645"/>
      <c r="BO568" s="1645"/>
      <c r="BP568" s="1645"/>
      <c r="BQ568" s="1645"/>
      <c r="BR568" s="1645"/>
      <c r="BS568" s="1645"/>
      <c r="BT568" s="1645"/>
      <c r="BU568" s="1645"/>
      <c r="BV568" s="1645"/>
      <c r="BW568" s="1645"/>
      <c r="BX568" s="1645"/>
      <c r="BY568" s="1645"/>
      <c r="BZ568" s="1645"/>
      <c r="CA568" s="1645"/>
      <c r="CB568" s="1645"/>
      <c r="CC568" s="1645"/>
      <c r="CD568" s="1645"/>
      <c r="CE568" s="1645"/>
      <c r="CF568" s="1645"/>
      <c r="CG568" s="1645"/>
      <c r="CH568" s="1645"/>
      <c r="CI568" s="1645"/>
      <c r="CJ568" s="1645"/>
      <c r="CK568" s="1645"/>
      <c r="CL568" s="1645"/>
      <c r="CM568" s="1645"/>
      <c r="CN568" s="1645"/>
      <c r="CO568" s="1645"/>
    </row>
    <row r="569" spans="1:93" s="1136" customFormat="1" ht="15" x14ac:dyDescent="0.2">
      <c r="A569" s="1684"/>
      <c r="B569" s="1690"/>
      <c r="C569" s="1">
        <v>18</v>
      </c>
      <c r="D569" s="1">
        <v>9.2370000000000001</v>
      </c>
      <c r="E569" s="1">
        <v>278</v>
      </c>
      <c r="F569" s="1">
        <v>308</v>
      </c>
      <c r="G569" s="1">
        <v>337</v>
      </c>
      <c r="H569" s="1">
        <v>367</v>
      </c>
      <c r="I569" s="1">
        <v>396</v>
      </c>
      <c r="J569" s="1">
        <v>425</v>
      </c>
      <c r="K569" s="1">
        <v>454</v>
      </c>
      <c r="L569" s="1">
        <v>485</v>
      </c>
      <c r="M569" s="1">
        <v>513</v>
      </c>
      <c r="N569" s="1">
        <v>542</v>
      </c>
      <c r="O569" s="1">
        <v>571</v>
      </c>
      <c r="P569" s="1">
        <v>600</v>
      </c>
      <c r="Q569" s="1">
        <v>11</v>
      </c>
      <c r="R569" s="1"/>
      <c r="S569" s="1645"/>
      <c r="T569" s="1645"/>
      <c r="U569" s="1645"/>
      <c r="V569" s="1645"/>
      <c r="W569" s="1645"/>
      <c r="X569" s="1645"/>
      <c r="Y569" s="1645"/>
      <c r="Z569" s="1645"/>
      <c r="AA569" s="1645"/>
      <c r="AB569" s="1645"/>
      <c r="AC569" s="1645"/>
      <c r="AD569" s="1645"/>
      <c r="AE569" s="1645"/>
      <c r="AF569" s="1645"/>
      <c r="AG569" s="1645"/>
      <c r="AH569" s="1645"/>
      <c r="AI569" s="1645"/>
      <c r="AJ569" s="1645"/>
      <c r="AK569" s="1645"/>
      <c r="AL569" s="1645"/>
      <c r="AM569" s="1645"/>
      <c r="AN569" s="1645"/>
      <c r="AO569" s="1645"/>
      <c r="AP569" s="1645"/>
      <c r="AQ569" s="1645"/>
      <c r="AR569" s="1645"/>
      <c r="AS569" s="1645"/>
      <c r="AT569" s="1645"/>
      <c r="AU569" s="1645"/>
      <c r="AV569" s="1645"/>
      <c r="AW569" s="1645"/>
      <c r="AX569" s="1645"/>
      <c r="AY569" s="1645"/>
      <c r="AZ569" s="1645"/>
      <c r="BA569" s="1645"/>
      <c r="BB569" s="1645"/>
      <c r="BC569" s="1645"/>
      <c r="BD569" s="1645"/>
      <c r="BE569" s="1645"/>
      <c r="BF569" s="1645"/>
      <c r="BG569" s="1645"/>
      <c r="BH569" s="1645"/>
      <c r="BI569" s="1645"/>
      <c r="BJ569" s="1645"/>
      <c r="BK569" s="1645"/>
      <c r="BL569" s="1645"/>
      <c r="BM569" s="1645"/>
      <c r="BN569" s="1645"/>
      <c r="BO569" s="1645"/>
      <c r="BP569" s="1645"/>
      <c r="BQ569" s="1645"/>
      <c r="BR569" s="1645"/>
      <c r="BS569" s="1645"/>
      <c r="BT569" s="1645"/>
      <c r="BU569" s="1645"/>
      <c r="BV569" s="1645"/>
      <c r="BW569" s="1645"/>
      <c r="BX569" s="1645"/>
      <c r="BY569" s="1645"/>
      <c r="BZ569" s="1645"/>
      <c r="CA569" s="1645"/>
      <c r="CB569" s="1645"/>
      <c r="CC569" s="1645"/>
      <c r="CD569" s="1645"/>
      <c r="CE569" s="1645"/>
      <c r="CF569" s="1645"/>
      <c r="CG569" s="1645"/>
      <c r="CH569" s="1645"/>
      <c r="CI569" s="1645"/>
      <c r="CJ569" s="1645"/>
      <c r="CK569" s="1645"/>
      <c r="CL569" s="1645"/>
      <c r="CM569" s="1645"/>
      <c r="CN569" s="1645"/>
      <c r="CO569" s="1645"/>
    </row>
    <row r="570" spans="1:93" s="1136" customFormat="1" ht="15" x14ac:dyDescent="0.2">
      <c r="A570" s="1684"/>
      <c r="B570" s="1690"/>
      <c r="C570" s="4694" t="s">
        <v>3691</v>
      </c>
      <c r="D570" s="4694"/>
      <c r="E570" s="4694"/>
      <c r="F570" s="4694"/>
      <c r="G570" s="4694"/>
      <c r="H570" s="4694"/>
      <c r="I570" s="4694"/>
      <c r="J570" s="4694"/>
      <c r="K570" s="4694"/>
      <c r="L570" s="4694"/>
      <c r="M570" s="4694"/>
      <c r="N570" s="4694"/>
      <c r="O570" s="4694"/>
      <c r="P570" s="4694"/>
      <c r="Q570" s="4694"/>
      <c r="R570" s="1"/>
      <c r="S570" s="1645"/>
      <c r="T570" s="1645"/>
      <c r="U570" s="1645"/>
      <c r="V570" s="1645"/>
      <c r="W570" s="1645"/>
      <c r="X570" s="1645"/>
      <c r="Y570" s="1645"/>
      <c r="Z570" s="1645"/>
      <c r="AA570" s="1645"/>
      <c r="AB570" s="1645"/>
      <c r="AC570" s="1645"/>
      <c r="AD570" s="1645"/>
      <c r="AE570" s="1645"/>
      <c r="AF570" s="1645"/>
      <c r="AG570" s="1645"/>
      <c r="AH570" s="1645"/>
      <c r="AI570" s="1645"/>
      <c r="AJ570" s="1645"/>
      <c r="AK570" s="1645"/>
      <c r="AL570" s="1645"/>
      <c r="AM570" s="1645"/>
      <c r="AN570" s="1645"/>
      <c r="AO570" s="1645"/>
      <c r="AP570" s="1645"/>
      <c r="AQ570" s="1645"/>
      <c r="AR570" s="1645"/>
      <c r="AS570" s="1645"/>
      <c r="AT570" s="1645"/>
      <c r="AU570" s="1645"/>
      <c r="AV570" s="1645"/>
      <c r="AW570" s="1645"/>
      <c r="AX570" s="1645"/>
      <c r="AY570" s="1645"/>
      <c r="AZ570" s="1645"/>
      <c r="BA570" s="1645"/>
      <c r="BB570" s="1645"/>
      <c r="BC570" s="1645"/>
      <c r="BD570" s="1645"/>
      <c r="BE570" s="1645"/>
      <c r="BF570" s="1645"/>
      <c r="BG570" s="1645"/>
      <c r="BH570" s="1645"/>
      <c r="BI570" s="1645"/>
      <c r="BJ570" s="1645"/>
      <c r="BK570" s="1645"/>
      <c r="BL570" s="1645"/>
      <c r="BM570" s="1645"/>
      <c r="BN570" s="1645"/>
      <c r="BO570" s="1645"/>
      <c r="BP570" s="1645"/>
      <c r="BQ570" s="1645"/>
      <c r="BR570" s="1645"/>
      <c r="BS570" s="1645"/>
      <c r="BT570" s="1645"/>
      <c r="BU570" s="1645"/>
      <c r="BV570" s="1645"/>
      <c r="BW570" s="1645"/>
      <c r="BX570" s="1645"/>
      <c r="BY570" s="1645"/>
      <c r="BZ570" s="1645"/>
      <c r="CA570" s="1645"/>
      <c r="CB570" s="1645"/>
      <c r="CC570" s="1645"/>
      <c r="CD570" s="1645"/>
      <c r="CE570" s="1645"/>
      <c r="CF570" s="1645"/>
      <c r="CG570" s="1645"/>
      <c r="CH570" s="1645"/>
      <c r="CI570" s="1645"/>
      <c r="CJ570" s="1645"/>
      <c r="CK570" s="1645"/>
      <c r="CL570" s="1645"/>
      <c r="CM570" s="1645"/>
      <c r="CN570" s="1645"/>
      <c r="CO570" s="1645"/>
    </row>
    <row r="571" spans="1:93" s="1136" customFormat="1" ht="15" x14ac:dyDescent="0.2">
      <c r="A571" s="1684"/>
      <c r="B571" s="1690"/>
      <c r="C571" s="4694"/>
      <c r="D571" s="4694"/>
      <c r="E571" s="4694"/>
      <c r="F571" s="4694"/>
      <c r="G571" s="4694"/>
      <c r="H571" s="4694"/>
      <c r="I571" s="4694"/>
      <c r="J571" s="4694"/>
      <c r="K571" s="4694"/>
      <c r="L571" s="4694"/>
      <c r="M571" s="4694"/>
      <c r="N571" s="4694"/>
      <c r="O571" s="4694"/>
      <c r="P571" s="4694"/>
      <c r="Q571" s="4694"/>
      <c r="R571" s="1"/>
      <c r="S571" s="1645"/>
      <c r="T571" s="1645"/>
      <c r="U571" s="1645"/>
      <c r="V571" s="1645"/>
      <c r="W571" s="1645"/>
      <c r="X571" s="1645"/>
      <c r="Y571" s="1645"/>
      <c r="Z571" s="1645"/>
      <c r="AA571" s="1645"/>
      <c r="AB571" s="1645"/>
      <c r="AC571" s="1645"/>
      <c r="AD571" s="1645"/>
      <c r="AE571" s="1645"/>
      <c r="AF571" s="1645"/>
      <c r="AG571" s="1645"/>
      <c r="AH571" s="1645"/>
      <c r="AI571" s="1645"/>
      <c r="AJ571" s="1645"/>
      <c r="AK571" s="1645"/>
      <c r="AL571" s="1645"/>
      <c r="AM571" s="1645"/>
      <c r="AN571" s="1645"/>
      <c r="AO571" s="1645"/>
      <c r="AP571" s="1645"/>
      <c r="AQ571" s="1645"/>
      <c r="AR571" s="1645"/>
      <c r="AS571" s="1645"/>
      <c r="AT571" s="1645"/>
      <c r="AU571" s="1645"/>
      <c r="AV571" s="1645"/>
      <c r="AW571" s="1645"/>
      <c r="AX571" s="1645"/>
      <c r="AY571" s="1645"/>
      <c r="AZ571" s="1645"/>
      <c r="BA571" s="1645"/>
      <c r="BB571" s="1645"/>
      <c r="BC571" s="1645"/>
      <c r="BD571" s="1645"/>
      <c r="BE571" s="1645"/>
      <c r="BF571" s="1645"/>
      <c r="BG571" s="1645"/>
      <c r="BH571" s="1645"/>
      <c r="BI571" s="1645"/>
      <c r="BJ571" s="1645"/>
      <c r="BK571" s="1645"/>
      <c r="BL571" s="1645"/>
      <c r="BM571" s="1645"/>
      <c r="BN571" s="1645"/>
      <c r="BO571" s="1645"/>
      <c r="BP571" s="1645"/>
      <c r="BQ571" s="1645"/>
      <c r="BR571" s="1645"/>
      <c r="BS571" s="1645"/>
      <c r="BT571" s="1645"/>
      <c r="BU571" s="1645"/>
      <c r="BV571" s="1645"/>
      <c r="BW571" s="1645"/>
      <c r="BX571" s="1645"/>
      <c r="BY571" s="1645"/>
      <c r="BZ571" s="1645"/>
      <c r="CA571" s="1645"/>
      <c r="CB571" s="1645"/>
      <c r="CC571" s="1645"/>
      <c r="CD571" s="1645"/>
      <c r="CE571" s="1645"/>
      <c r="CF571" s="1645"/>
      <c r="CG571" s="1645"/>
      <c r="CH571" s="1645"/>
      <c r="CI571" s="1645"/>
      <c r="CJ571" s="1645"/>
      <c r="CK571" s="1645"/>
      <c r="CL571" s="1645"/>
      <c r="CM571" s="1645"/>
      <c r="CN571" s="1645"/>
      <c r="CO571" s="1645"/>
    </row>
    <row r="572" spans="1:93" s="1136" customFormat="1" ht="15" x14ac:dyDescent="0.2">
      <c r="A572" s="1684"/>
      <c r="B572" s="1690"/>
      <c r="C572" s="2010"/>
      <c r="D572" s="2010"/>
      <c r="E572" s="2010">
        <v>1</v>
      </c>
      <c r="F572" s="2010">
        <v>2</v>
      </c>
      <c r="G572" s="2010">
        <v>3</v>
      </c>
      <c r="H572" s="2010">
        <v>4</v>
      </c>
      <c r="I572" s="2010">
        <v>5</v>
      </c>
      <c r="J572" s="2010">
        <v>6</v>
      </c>
      <c r="K572" s="2010">
        <v>7</v>
      </c>
      <c r="L572" s="2010">
        <v>8</v>
      </c>
      <c r="M572" s="2010">
        <v>9</v>
      </c>
      <c r="N572" s="2010">
        <v>10</v>
      </c>
      <c r="O572" s="2010">
        <v>11</v>
      </c>
      <c r="P572" s="2010">
        <v>12</v>
      </c>
      <c r="Q572" s="2010"/>
      <c r="R572" s="1"/>
      <c r="S572" s="1645"/>
      <c r="T572" s="1645"/>
      <c r="U572" s="1645"/>
      <c r="V572" s="1645"/>
      <c r="W572" s="1645"/>
      <c r="X572" s="1645"/>
      <c r="Y572" s="1645"/>
      <c r="Z572" s="1645"/>
      <c r="AA572" s="1645"/>
      <c r="AB572" s="1645"/>
      <c r="AC572" s="1645"/>
      <c r="AD572" s="1645"/>
      <c r="AE572" s="1645"/>
      <c r="AF572" s="1645"/>
      <c r="AG572" s="1645"/>
      <c r="AH572" s="1645"/>
      <c r="AI572" s="1645"/>
      <c r="AJ572" s="1645"/>
      <c r="AK572" s="1645"/>
      <c r="AL572" s="1645"/>
      <c r="AM572" s="1645"/>
      <c r="AN572" s="1645"/>
      <c r="AO572" s="1645"/>
      <c r="AP572" s="1645"/>
      <c r="AQ572" s="1645"/>
      <c r="AR572" s="1645"/>
      <c r="AS572" s="1645"/>
      <c r="AT572" s="1645"/>
      <c r="AU572" s="1645"/>
      <c r="AV572" s="1645"/>
      <c r="AW572" s="1645"/>
      <c r="AX572" s="1645"/>
      <c r="AY572" s="1645"/>
      <c r="AZ572" s="1645"/>
      <c r="BA572" s="1645"/>
      <c r="BB572" s="1645"/>
      <c r="BC572" s="1645"/>
      <c r="BD572" s="1645"/>
      <c r="BE572" s="1645"/>
      <c r="BF572" s="1645"/>
      <c r="BG572" s="1645"/>
      <c r="BH572" s="1645"/>
      <c r="BI572" s="1645"/>
      <c r="BJ572" s="1645"/>
      <c r="BK572" s="1645"/>
      <c r="BL572" s="1645"/>
      <c r="BM572" s="1645"/>
      <c r="BN572" s="1645"/>
      <c r="BO572" s="1645"/>
      <c r="BP572" s="1645"/>
      <c r="BQ572" s="1645"/>
      <c r="BR572" s="1645"/>
      <c r="BS572" s="1645"/>
      <c r="BT572" s="1645"/>
      <c r="BU572" s="1645"/>
      <c r="BV572" s="1645"/>
      <c r="BW572" s="1645"/>
      <c r="BX572" s="1645"/>
      <c r="BY572" s="1645"/>
      <c r="BZ572" s="1645"/>
      <c r="CA572" s="1645"/>
      <c r="CB572" s="1645"/>
      <c r="CC572" s="1645"/>
      <c r="CD572" s="1645"/>
      <c r="CE572" s="1645"/>
      <c r="CF572" s="1645"/>
      <c r="CG572" s="1645"/>
      <c r="CH572" s="1645"/>
      <c r="CI572" s="1645"/>
      <c r="CJ572" s="1645"/>
      <c r="CK572" s="1645"/>
      <c r="CL572" s="1645"/>
      <c r="CM572" s="1645"/>
      <c r="CN572" s="1645"/>
      <c r="CO572" s="1645"/>
    </row>
    <row r="573" spans="1:93" s="1136" customFormat="1" ht="15" x14ac:dyDescent="0.2">
      <c r="A573" s="1684"/>
      <c r="B573" s="1690"/>
      <c r="C573" s="1">
        <v>8</v>
      </c>
      <c r="D573" s="1">
        <v>5.5670000000000002</v>
      </c>
      <c r="E573" s="1">
        <v>143</v>
      </c>
      <c r="F573" s="1">
        <v>159</v>
      </c>
      <c r="G573" s="1">
        <v>174</v>
      </c>
      <c r="H573" s="1">
        <v>189</v>
      </c>
      <c r="I573" s="1">
        <v>204</v>
      </c>
      <c r="J573" s="1">
        <v>219</v>
      </c>
      <c r="K573" s="1">
        <v>234</v>
      </c>
      <c r="L573" s="1">
        <v>250</v>
      </c>
      <c r="M573" s="1">
        <v>265</v>
      </c>
      <c r="N573" s="1">
        <v>280</v>
      </c>
      <c r="O573" s="1">
        <v>295</v>
      </c>
      <c r="P573" s="1">
        <v>310</v>
      </c>
      <c r="Q573" s="1">
        <v>12</v>
      </c>
      <c r="R573" s="1"/>
      <c r="S573" s="1645"/>
      <c r="T573" s="1645"/>
      <c r="U573" s="1645"/>
      <c r="V573" s="1645"/>
      <c r="W573" s="1645"/>
      <c r="X573" s="1645"/>
      <c r="Y573" s="1645"/>
      <c r="Z573" s="1645"/>
      <c r="AA573" s="1645"/>
      <c r="AB573" s="1645"/>
      <c r="AC573" s="1645"/>
      <c r="AD573" s="1645"/>
      <c r="AE573" s="1645"/>
      <c r="AF573" s="1645"/>
      <c r="AG573" s="1645"/>
      <c r="AH573" s="1645"/>
      <c r="AI573" s="1645"/>
      <c r="AJ573" s="1645"/>
      <c r="AK573" s="1645"/>
      <c r="AL573" s="1645"/>
      <c r="AM573" s="1645"/>
      <c r="AN573" s="1645"/>
      <c r="AO573" s="1645"/>
      <c r="AP573" s="1645"/>
      <c r="AQ573" s="1645"/>
      <c r="AR573" s="1645"/>
      <c r="AS573" s="1645"/>
      <c r="AT573" s="1645"/>
      <c r="AU573" s="1645"/>
      <c r="AV573" s="1645"/>
      <c r="AW573" s="1645"/>
      <c r="AX573" s="1645"/>
      <c r="AY573" s="1645"/>
      <c r="AZ573" s="1645"/>
      <c r="BA573" s="1645"/>
      <c r="BB573" s="1645"/>
      <c r="BC573" s="1645"/>
      <c r="BD573" s="1645"/>
      <c r="BE573" s="1645"/>
      <c r="BF573" s="1645"/>
      <c r="BG573" s="1645"/>
      <c r="BH573" s="1645"/>
      <c r="BI573" s="1645"/>
      <c r="BJ573" s="1645"/>
      <c r="BK573" s="1645"/>
      <c r="BL573" s="1645"/>
      <c r="BM573" s="1645"/>
      <c r="BN573" s="1645"/>
      <c r="BO573" s="1645"/>
      <c r="BP573" s="1645"/>
      <c r="BQ573" s="1645"/>
      <c r="BR573" s="1645"/>
      <c r="BS573" s="1645"/>
      <c r="BT573" s="1645"/>
      <c r="BU573" s="1645"/>
      <c r="BV573" s="1645"/>
      <c r="BW573" s="1645"/>
      <c r="BX573" s="1645"/>
      <c r="BY573" s="1645"/>
      <c r="BZ573" s="1645"/>
      <c r="CA573" s="1645"/>
      <c r="CB573" s="1645"/>
      <c r="CC573" s="1645"/>
      <c r="CD573" s="1645"/>
      <c r="CE573" s="1645"/>
      <c r="CF573" s="1645"/>
      <c r="CG573" s="1645"/>
      <c r="CH573" s="1645"/>
      <c r="CI573" s="1645"/>
      <c r="CJ573" s="1645"/>
      <c r="CK573" s="1645"/>
      <c r="CL573" s="1645"/>
      <c r="CM573" s="1645"/>
      <c r="CN573" s="1645"/>
      <c r="CO573" s="1645"/>
    </row>
    <row r="574" spans="1:93" s="1136" customFormat="1" ht="15" x14ac:dyDescent="0.2">
      <c r="A574" s="1684"/>
      <c r="B574" s="1690"/>
      <c r="C574" s="1">
        <v>9</v>
      </c>
      <c r="D574" s="1">
        <v>5.8920000000000003</v>
      </c>
      <c r="E574" s="1">
        <v>157</v>
      </c>
      <c r="F574" s="1">
        <v>174</v>
      </c>
      <c r="G574" s="1">
        <v>191</v>
      </c>
      <c r="H574" s="1">
        <v>207</v>
      </c>
      <c r="I574" s="1">
        <v>224</v>
      </c>
      <c r="J574" s="1">
        <v>240</v>
      </c>
      <c r="K574" s="1">
        <v>257</v>
      </c>
      <c r="L574" s="1">
        <v>274</v>
      </c>
      <c r="M574" s="1">
        <v>290</v>
      </c>
      <c r="N574" s="1">
        <v>306</v>
      </c>
      <c r="O574" s="1">
        <v>323</v>
      </c>
      <c r="P574" s="1">
        <v>339</v>
      </c>
      <c r="Q574" s="1">
        <v>13</v>
      </c>
      <c r="R574" s="1"/>
      <c r="S574" s="1645"/>
      <c r="T574" s="1645"/>
      <c r="U574" s="1645"/>
      <c r="V574" s="1645"/>
      <c r="W574" s="1645"/>
      <c r="X574" s="1645"/>
      <c r="Y574" s="1645"/>
      <c r="Z574" s="1645"/>
      <c r="AA574" s="1645"/>
      <c r="AB574" s="1645"/>
      <c r="AC574" s="1645"/>
      <c r="AD574" s="1645"/>
      <c r="AE574" s="1645"/>
      <c r="AF574" s="1645"/>
      <c r="AG574" s="1645"/>
      <c r="AH574" s="1645"/>
      <c r="AI574" s="1645"/>
      <c r="AJ574" s="1645"/>
      <c r="AK574" s="1645"/>
      <c r="AL574" s="1645"/>
      <c r="AM574" s="1645"/>
      <c r="AN574" s="1645"/>
      <c r="AO574" s="1645"/>
      <c r="AP574" s="1645"/>
      <c r="AQ574" s="1645"/>
      <c r="AR574" s="1645"/>
      <c r="AS574" s="1645"/>
      <c r="AT574" s="1645"/>
      <c r="AU574" s="1645"/>
      <c r="AV574" s="1645"/>
      <c r="AW574" s="1645"/>
      <c r="AX574" s="1645"/>
      <c r="AY574" s="1645"/>
      <c r="AZ574" s="1645"/>
      <c r="BA574" s="1645"/>
      <c r="BB574" s="1645"/>
      <c r="BC574" s="1645"/>
      <c r="BD574" s="1645"/>
      <c r="BE574" s="1645"/>
      <c r="BF574" s="1645"/>
      <c r="BG574" s="1645"/>
      <c r="BH574" s="1645"/>
      <c r="BI574" s="1645"/>
      <c r="BJ574" s="1645"/>
      <c r="BK574" s="1645"/>
      <c r="BL574" s="1645"/>
      <c r="BM574" s="1645"/>
      <c r="BN574" s="1645"/>
      <c r="BO574" s="1645"/>
      <c r="BP574" s="1645"/>
      <c r="BQ574" s="1645"/>
      <c r="BR574" s="1645"/>
      <c r="BS574" s="1645"/>
      <c r="BT574" s="1645"/>
      <c r="BU574" s="1645"/>
      <c r="BV574" s="1645"/>
      <c r="BW574" s="1645"/>
      <c r="BX574" s="1645"/>
      <c r="BY574" s="1645"/>
      <c r="BZ574" s="1645"/>
      <c r="CA574" s="1645"/>
      <c r="CB574" s="1645"/>
      <c r="CC574" s="1645"/>
      <c r="CD574" s="1645"/>
      <c r="CE574" s="1645"/>
      <c r="CF574" s="1645"/>
      <c r="CG574" s="1645"/>
      <c r="CH574" s="1645"/>
      <c r="CI574" s="1645"/>
      <c r="CJ574" s="1645"/>
      <c r="CK574" s="1645"/>
      <c r="CL574" s="1645"/>
      <c r="CM574" s="1645"/>
      <c r="CN574" s="1645"/>
      <c r="CO574" s="1645"/>
    </row>
    <row r="575" spans="1:93" s="1136" customFormat="1" ht="15" x14ac:dyDescent="0.2">
      <c r="A575" s="1684"/>
      <c r="B575" s="1690"/>
      <c r="C575" s="1">
        <v>10</v>
      </c>
      <c r="D575" s="1">
        <v>6.2279999999999998</v>
      </c>
      <c r="E575" s="1">
        <v>171</v>
      </c>
      <c r="F575" s="1">
        <v>190</v>
      </c>
      <c r="G575" s="1">
        <v>208</v>
      </c>
      <c r="H575" s="1">
        <v>226</v>
      </c>
      <c r="I575" s="1">
        <v>244</v>
      </c>
      <c r="J575" s="1">
        <v>262</v>
      </c>
      <c r="K575" s="1">
        <v>280</v>
      </c>
      <c r="L575" s="1">
        <v>299</v>
      </c>
      <c r="M575" s="1">
        <v>316</v>
      </c>
      <c r="N575" s="1">
        <v>334</v>
      </c>
      <c r="O575" s="1">
        <v>352</v>
      </c>
      <c r="P575" s="1">
        <v>370</v>
      </c>
      <c r="Q575" s="1">
        <v>14</v>
      </c>
      <c r="R575" s="1"/>
      <c r="S575" s="1645"/>
      <c r="T575" s="1645"/>
      <c r="U575" s="1645"/>
      <c r="V575" s="1645"/>
      <c r="W575" s="1645"/>
      <c r="X575" s="1645"/>
      <c r="Y575" s="1645"/>
      <c r="Z575" s="1645"/>
      <c r="AA575" s="1645"/>
      <c r="AB575" s="1645"/>
      <c r="AC575" s="1645"/>
      <c r="AD575" s="1645"/>
      <c r="AE575" s="1645"/>
      <c r="AF575" s="1645"/>
      <c r="AG575" s="1645"/>
      <c r="AH575" s="1645"/>
      <c r="AI575" s="1645"/>
      <c r="AJ575" s="1645"/>
      <c r="AK575" s="1645"/>
      <c r="AL575" s="1645"/>
      <c r="AM575" s="1645"/>
      <c r="AN575" s="1645"/>
      <c r="AO575" s="1645"/>
      <c r="AP575" s="1645"/>
      <c r="AQ575" s="1645"/>
      <c r="AR575" s="1645"/>
      <c r="AS575" s="1645"/>
      <c r="AT575" s="1645"/>
      <c r="AU575" s="1645"/>
      <c r="AV575" s="1645"/>
      <c r="AW575" s="1645"/>
      <c r="AX575" s="1645"/>
      <c r="AY575" s="1645"/>
      <c r="AZ575" s="1645"/>
      <c r="BA575" s="1645"/>
      <c r="BB575" s="1645"/>
      <c r="BC575" s="1645"/>
      <c r="BD575" s="1645"/>
      <c r="BE575" s="1645"/>
      <c r="BF575" s="1645"/>
      <c r="BG575" s="1645"/>
      <c r="BH575" s="1645"/>
      <c r="BI575" s="1645"/>
      <c r="BJ575" s="1645"/>
      <c r="BK575" s="1645"/>
      <c r="BL575" s="1645"/>
      <c r="BM575" s="1645"/>
      <c r="BN575" s="1645"/>
      <c r="BO575" s="1645"/>
      <c r="BP575" s="1645"/>
      <c r="BQ575" s="1645"/>
      <c r="BR575" s="1645"/>
      <c r="BS575" s="1645"/>
      <c r="BT575" s="1645"/>
      <c r="BU575" s="1645"/>
      <c r="BV575" s="1645"/>
      <c r="BW575" s="1645"/>
      <c r="BX575" s="1645"/>
      <c r="BY575" s="1645"/>
      <c r="BZ575" s="1645"/>
      <c r="CA575" s="1645"/>
      <c r="CB575" s="1645"/>
      <c r="CC575" s="1645"/>
      <c r="CD575" s="1645"/>
      <c r="CE575" s="1645"/>
      <c r="CF575" s="1645"/>
      <c r="CG575" s="1645"/>
      <c r="CH575" s="1645"/>
      <c r="CI575" s="1645"/>
      <c r="CJ575" s="1645"/>
      <c r="CK575" s="1645"/>
      <c r="CL575" s="1645"/>
      <c r="CM575" s="1645"/>
      <c r="CN575" s="1645"/>
      <c r="CO575" s="1645"/>
    </row>
    <row r="576" spans="1:93" s="1136" customFormat="1" ht="15" x14ac:dyDescent="0.2">
      <c r="A576" s="1684"/>
      <c r="B576" s="1690"/>
      <c r="C576" s="1">
        <v>11</v>
      </c>
      <c r="D576" s="1">
        <v>6.5990000000000002</v>
      </c>
      <c r="E576" s="1">
        <v>187</v>
      </c>
      <c r="F576" s="1">
        <v>207</v>
      </c>
      <c r="G576" s="1">
        <v>227</v>
      </c>
      <c r="H576" s="1">
        <v>247</v>
      </c>
      <c r="I576" s="1">
        <v>266</v>
      </c>
      <c r="J576" s="1">
        <v>286</v>
      </c>
      <c r="K576" s="1">
        <v>305</v>
      </c>
      <c r="L576" s="1">
        <v>326</v>
      </c>
      <c r="M576" s="1">
        <v>345</v>
      </c>
      <c r="N576" s="1">
        <v>364</v>
      </c>
      <c r="O576" s="1">
        <v>384</v>
      </c>
      <c r="P576" s="1">
        <v>404</v>
      </c>
      <c r="Q576" s="1">
        <v>15</v>
      </c>
      <c r="R576" s="1"/>
      <c r="S576" s="1645"/>
      <c r="T576" s="1645"/>
      <c r="U576" s="1645"/>
      <c r="V576" s="1645"/>
      <c r="W576" s="1645"/>
      <c r="X576" s="1645"/>
      <c r="Y576" s="1645"/>
      <c r="Z576" s="1645"/>
      <c r="AA576" s="1645"/>
      <c r="AB576" s="1645"/>
      <c r="AC576" s="1645"/>
      <c r="AD576" s="1645"/>
      <c r="AE576" s="1645"/>
      <c r="AF576" s="1645"/>
      <c r="AG576" s="1645"/>
      <c r="AH576" s="1645"/>
      <c r="AI576" s="1645"/>
      <c r="AJ576" s="1645"/>
      <c r="AK576" s="1645"/>
      <c r="AL576" s="1645"/>
      <c r="AM576" s="1645"/>
      <c r="AN576" s="1645"/>
      <c r="AO576" s="1645"/>
      <c r="AP576" s="1645"/>
      <c r="AQ576" s="1645"/>
      <c r="AR576" s="1645"/>
      <c r="AS576" s="1645"/>
      <c r="AT576" s="1645"/>
      <c r="AU576" s="1645"/>
      <c r="AV576" s="1645"/>
      <c r="AW576" s="1645"/>
      <c r="AX576" s="1645"/>
      <c r="AY576" s="1645"/>
      <c r="AZ576" s="1645"/>
      <c r="BA576" s="1645"/>
      <c r="BB576" s="1645"/>
      <c r="BC576" s="1645"/>
      <c r="BD576" s="1645"/>
      <c r="BE576" s="1645"/>
      <c r="BF576" s="1645"/>
      <c r="BG576" s="1645"/>
      <c r="BH576" s="1645"/>
      <c r="BI576" s="1645"/>
      <c r="BJ576" s="1645"/>
      <c r="BK576" s="1645"/>
      <c r="BL576" s="1645"/>
      <c r="BM576" s="1645"/>
      <c r="BN576" s="1645"/>
      <c r="BO576" s="1645"/>
      <c r="BP576" s="1645"/>
      <c r="BQ576" s="1645"/>
      <c r="BR576" s="1645"/>
      <c r="BS576" s="1645"/>
      <c r="BT576" s="1645"/>
      <c r="BU576" s="1645"/>
      <c r="BV576" s="1645"/>
      <c r="BW576" s="1645"/>
      <c r="BX576" s="1645"/>
      <c r="BY576" s="1645"/>
      <c r="BZ576" s="1645"/>
      <c r="CA576" s="1645"/>
      <c r="CB576" s="1645"/>
      <c r="CC576" s="1645"/>
      <c r="CD576" s="1645"/>
      <c r="CE576" s="1645"/>
      <c r="CF576" s="1645"/>
      <c r="CG576" s="1645"/>
      <c r="CH576" s="1645"/>
      <c r="CI576" s="1645"/>
      <c r="CJ576" s="1645"/>
      <c r="CK576" s="1645"/>
      <c r="CL576" s="1645"/>
      <c r="CM576" s="1645"/>
      <c r="CN576" s="1645"/>
      <c r="CO576" s="1645"/>
    </row>
    <row r="577" spans="1:256" s="1136" customFormat="1" ht="15" x14ac:dyDescent="0.2">
      <c r="A577" s="1684"/>
      <c r="B577" s="1690"/>
      <c r="C577" s="1">
        <v>12</v>
      </c>
      <c r="D577" s="1">
        <v>6.98</v>
      </c>
      <c r="E577" s="1">
        <v>203</v>
      </c>
      <c r="F577" s="1">
        <v>225</v>
      </c>
      <c r="G577" s="1">
        <v>246</v>
      </c>
      <c r="H577" s="1">
        <v>268</v>
      </c>
      <c r="I577" s="1">
        <v>289</v>
      </c>
      <c r="J577" s="1">
        <v>310</v>
      </c>
      <c r="K577" s="1">
        <v>331</v>
      </c>
      <c r="L577" s="1">
        <v>354</v>
      </c>
      <c r="M577" s="1">
        <v>374</v>
      </c>
      <c r="N577" s="1">
        <v>395</v>
      </c>
      <c r="O577" s="1">
        <v>417</v>
      </c>
      <c r="P577" s="1">
        <v>438</v>
      </c>
      <c r="Q577" s="1">
        <v>16</v>
      </c>
      <c r="R577" s="1"/>
      <c r="S577" s="1645"/>
      <c r="T577" s="1645"/>
      <c r="U577" s="1645"/>
      <c r="V577" s="1645"/>
      <c r="W577" s="1645"/>
      <c r="X577" s="1645"/>
      <c r="Y577" s="1645"/>
      <c r="Z577" s="1645"/>
      <c r="AA577" s="1645"/>
      <c r="AB577" s="1645"/>
      <c r="AC577" s="1645"/>
      <c r="AD577" s="1645"/>
      <c r="AE577" s="1645"/>
      <c r="AF577" s="1645"/>
      <c r="AG577" s="1645"/>
      <c r="AH577" s="1645"/>
      <c r="AI577" s="1645"/>
      <c r="AJ577" s="1645"/>
      <c r="AK577" s="1645"/>
      <c r="AL577" s="1645"/>
      <c r="AM577" s="1645"/>
      <c r="AN577" s="1645"/>
      <c r="AO577" s="1645"/>
      <c r="AP577" s="1645"/>
      <c r="AQ577" s="1645"/>
      <c r="AR577" s="1645"/>
      <c r="AS577" s="1645"/>
      <c r="AT577" s="1645"/>
      <c r="AU577" s="1645"/>
      <c r="AV577" s="1645"/>
      <c r="AW577" s="1645"/>
      <c r="AX577" s="1645"/>
      <c r="AY577" s="1645"/>
      <c r="AZ577" s="1645"/>
      <c r="BA577" s="1645"/>
      <c r="BB577" s="1645"/>
      <c r="BC577" s="1645"/>
      <c r="BD577" s="1645"/>
      <c r="BE577" s="1645"/>
      <c r="BF577" s="1645"/>
      <c r="BG577" s="1645"/>
      <c r="BH577" s="1645"/>
      <c r="BI577" s="1645"/>
      <c r="BJ577" s="1645"/>
      <c r="BK577" s="1645"/>
      <c r="BL577" s="1645"/>
      <c r="BM577" s="1645"/>
      <c r="BN577" s="1645"/>
      <c r="BO577" s="1645"/>
      <c r="BP577" s="1645"/>
      <c r="BQ577" s="1645"/>
      <c r="BR577" s="1645"/>
      <c r="BS577" s="1645"/>
      <c r="BT577" s="1645"/>
      <c r="BU577" s="1645"/>
      <c r="BV577" s="1645"/>
      <c r="BW577" s="1645"/>
      <c r="BX577" s="1645"/>
      <c r="BY577" s="1645"/>
      <c r="BZ577" s="1645"/>
      <c r="CA577" s="1645"/>
      <c r="CB577" s="1645"/>
      <c r="CC577" s="1645"/>
      <c r="CD577" s="1645"/>
      <c r="CE577" s="1645"/>
      <c r="CF577" s="1645"/>
      <c r="CG577" s="1645"/>
      <c r="CH577" s="1645"/>
      <c r="CI577" s="1645"/>
      <c r="CJ577" s="1645"/>
      <c r="CK577" s="1645"/>
      <c r="CL577" s="1645"/>
      <c r="CM577" s="1645"/>
      <c r="CN577" s="1645"/>
      <c r="CO577" s="1645"/>
    </row>
    <row r="578" spans="1:256" s="1136" customFormat="1" ht="15" x14ac:dyDescent="0.2">
      <c r="A578" s="1684"/>
      <c r="B578" s="1690"/>
      <c r="C578" s="1">
        <v>13</v>
      </c>
      <c r="D578" s="1">
        <v>7.3620000000000001</v>
      </c>
      <c r="E578" s="1">
        <v>218</v>
      </c>
      <c r="F578" s="1">
        <v>243</v>
      </c>
      <c r="G578" s="1">
        <v>266</v>
      </c>
      <c r="H578" s="1">
        <v>289</v>
      </c>
      <c r="I578" s="1">
        <v>311</v>
      </c>
      <c r="J578" s="1">
        <v>334</v>
      </c>
      <c r="K578" s="1">
        <v>357</v>
      </c>
      <c r="L578" s="1">
        <v>382</v>
      </c>
      <c r="M578" s="1">
        <v>403</v>
      </c>
      <c r="N578" s="1">
        <v>426</v>
      </c>
      <c r="O578" s="1">
        <v>449</v>
      </c>
      <c r="P578" s="1">
        <v>472</v>
      </c>
      <c r="Q578" s="1">
        <v>17</v>
      </c>
      <c r="R578" s="1"/>
      <c r="S578" s="1645"/>
      <c r="T578" s="1645"/>
      <c r="U578" s="1645"/>
      <c r="V578" s="1645"/>
      <c r="W578" s="1645"/>
      <c r="X578" s="1645"/>
      <c r="Y578" s="1645"/>
      <c r="Z578" s="1645"/>
      <c r="AA578" s="1645"/>
      <c r="AB578" s="1645"/>
      <c r="AC578" s="1645"/>
      <c r="AD578" s="1645"/>
      <c r="AE578" s="1645"/>
      <c r="AF578" s="1645"/>
      <c r="AG578" s="1645"/>
      <c r="AH578" s="1645"/>
      <c r="AI578" s="1645"/>
      <c r="AJ578" s="1645"/>
      <c r="AK578" s="1645"/>
      <c r="AL578" s="1645"/>
      <c r="AM578" s="1645"/>
      <c r="AN578" s="1645"/>
      <c r="AO578" s="1645"/>
      <c r="AP578" s="1645"/>
      <c r="AQ578" s="1645"/>
      <c r="AR578" s="1645"/>
      <c r="AS578" s="1645"/>
      <c r="AT578" s="1645"/>
      <c r="AU578" s="1645"/>
      <c r="AV578" s="1645"/>
      <c r="AW578" s="1645"/>
      <c r="AX578" s="1645"/>
      <c r="AY578" s="1645"/>
      <c r="AZ578" s="1645"/>
      <c r="BA578" s="1645"/>
      <c r="BB578" s="1645"/>
      <c r="BC578" s="1645"/>
      <c r="BD578" s="1645"/>
      <c r="BE578" s="1645"/>
      <c r="BF578" s="1645"/>
      <c r="BG578" s="1645"/>
      <c r="BH578" s="1645"/>
      <c r="BI578" s="1645"/>
      <c r="BJ578" s="1645"/>
      <c r="BK578" s="1645"/>
      <c r="BL578" s="1645"/>
      <c r="BM578" s="1645"/>
      <c r="BN578" s="1645"/>
      <c r="BO578" s="1645"/>
      <c r="BP578" s="1645"/>
      <c r="BQ578" s="1645"/>
      <c r="BR578" s="1645"/>
      <c r="BS578" s="1645"/>
      <c r="BT578" s="1645"/>
      <c r="BU578" s="1645"/>
      <c r="BV578" s="1645"/>
      <c r="BW578" s="1645"/>
      <c r="BX578" s="1645"/>
      <c r="BY578" s="1645"/>
      <c r="BZ578" s="1645"/>
      <c r="CA578" s="1645"/>
      <c r="CB578" s="1645"/>
      <c r="CC578" s="1645"/>
      <c r="CD578" s="1645"/>
      <c r="CE578" s="1645"/>
      <c r="CF578" s="1645"/>
      <c r="CG578" s="1645"/>
      <c r="CH578" s="1645"/>
      <c r="CI578" s="1645"/>
      <c r="CJ578" s="1645"/>
      <c r="CK578" s="1645"/>
      <c r="CL578" s="1645"/>
      <c r="CM578" s="1645"/>
      <c r="CN578" s="1645"/>
      <c r="CO578" s="1645"/>
    </row>
    <row r="579" spans="1:256" s="1136" customFormat="1" ht="15" x14ac:dyDescent="0.2">
      <c r="A579" s="1684"/>
      <c r="B579" s="1690"/>
      <c r="C579" s="1">
        <v>14</v>
      </c>
      <c r="D579" s="1">
        <v>7.7569999999999997</v>
      </c>
      <c r="E579" s="1">
        <v>235</v>
      </c>
      <c r="F579" s="1">
        <v>261</v>
      </c>
      <c r="G579" s="1">
        <v>283</v>
      </c>
      <c r="H579" s="1">
        <v>310</v>
      </c>
      <c r="I579" s="1">
        <v>335</v>
      </c>
      <c r="J579" s="1">
        <v>360</v>
      </c>
      <c r="K579" s="1">
        <v>384</v>
      </c>
      <c r="L579" s="1">
        <v>410</v>
      </c>
      <c r="M579" s="1">
        <v>434</v>
      </c>
      <c r="N579" s="1">
        <v>458</v>
      </c>
      <c r="O579" s="1">
        <v>483</v>
      </c>
      <c r="P579" s="1">
        <v>508</v>
      </c>
      <c r="Q579" s="1">
        <v>18</v>
      </c>
      <c r="R579" s="1"/>
      <c r="S579" s="1645"/>
      <c r="T579" s="1645"/>
      <c r="U579" s="1645"/>
      <c r="V579" s="1645"/>
      <c r="W579" s="1645"/>
      <c r="X579" s="1645"/>
      <c r="Y579" s="1645"/>
      <c r="Z579" s="1645"/>
      <c r="AA579" s="1645"/>
      <c r="AB579" s="1645"/>
      <c r="AC579" s="1645"/>
      <c r="AD579" s="1645"/>
      <c r="AE579" s="1645"/>
      <c r="AF579" s="1645"/>
      <c r="AG579" s="1645"/>
      <c r="AH579" s="1645"/>
      <c r="AI579" s="1645"/>
      <c r="AJ579" s="1645"/>
      <c r="AK579" s="1645"/>
      <c r="AL579" s="1645"/>
      <c r="AM579" s="1645"/>
      <c r="AN579" s="1645"/>
      <c r="AO579" s="1645"/>
      <c r="AP579" s="1645"/>
      <c r="AQ579" s="1645"/>
      <c r="AR579" s="1645"/>
      <c r="AS579" s="1645"/>
      <c r="AT579" s="1645"/>
      <c r="AU579" s="1645"/>
      <c r="AV579" s="1645"/>
      <c r="AW579" s="1645"/>
      <c r="AX579" s="1645"/>
      <c r="AY579" s="1645"/>
      <c r="AZ579" s="1645"/>
      <c r="BA579" s="1645"/>
      <c r="BB579" s="1645"/>
      <c r="BC579" s="1645"/>
      <c r="BD579" s="1645"/>
      <c r="BE579" s="1645"/>
      <c r="BF579" s="1645"/>
      <c r="BG579" s="1645"/>
      <c r="BH579" s="1645"/>
      <c r="BI579" s="1645"/>
      <c r="BJ579" s="1645"/>
      <c r="BK579" s="1645"/>
      <c r="BL579" s="1645"/>
      <c r="BM579" s="1645"/>
      <c r="BN579" s="1645"/>
      <c r="BO579" s="1645"/>
      <c r="BP579" s="1645"/>
      <c r="BQ579" s="1645"/>
      <c r="BR579" s="1645"/>
      <c r="BS579" s="1645"/>
      <c r="BT579" s="1645"/>
      <c r="BU579" s="1645"/>
      <c r="BV579" s="1645"/>
      <c r="BW579" s="1645"/>
      <c r="BX579" s="1645"/>
      <c r="BY579" s="1645"/>
      <c r="BZ579" s="1645"/>
      <c r="CA579" s="1645"/>
      <c r="CB579" s="1645"/>
      <c r="CC579" s="1645"/>
      <c r="CD579" s="1645"/>
      <c r="CE579" s="1645"/>
      <c r="CF579" s="1645"/>
      <c r="CG579" s="1645"/>
      <c r="CH579" s="1645"/>
      <c r="CI579" s="1645"/>
      <c r="CJ579" s="1645"/>
      <c r="CK579" s="1645"/>
      <c r="CL579" s="1645"/>
      <c r="CM579" s="1645"/>
      <c r="CN579" s="1645"/>
      <c r="CO579" s="1645"/>
    </row>
    <row r="580" spans="1:256" s="1136" customFormat="1" ht="15" x14ac:dyDescent="0.2">
      <c r="A580" s="1684"/>
      <c r="B580" s="1690"/>
      <c r="C580" s="1">
        <v>15</v>
      </c>
      <c r="D580" s="1">
        <v>8.1560000000000006</v>
      </c>
      <c r="E580" s="1">
        <v>251</v>
      </c>
      <c r="F580" s="1">
        <v>279</v>
      </c>
      <c r="G580" s="1">
        <v>303</v>
      </c>
      <c r="H580" s="1">
        <v>332</v>
      </c>
      <c r="I580" s="1">
        <v>358</v>
      </c>
      <c r="J580" s="1">
        <v>385</v>
      </c>
      <c r="K580" s="1">
        <v>411</v>
      </c>
      <c r="L580" s="1">
        <v>439</v>
      </c>
      <c r="M580" s="1">
        <v>464</v>
      </c>
      <c r="N580" s="1">
        <v>494</v>
      </c>
      <c r="O580" s="1">
        <v>517</v>
      </c>
      <c r="P580" s="1">
        <v>543</v>
      </c>
      <c r="Q580" s="1">
        <v>19</v>
      </c>
      <c r="R580" s="1"/>
      <c r="S580" s="1645"/>
      <c r="T580" s="1645"/>
      <c r="U580" s="1645"/>
      <c r="V580" s="1645"/>
      <c r="W580" s="1645"/>
      <c r="X580" s="1645"/>
      <c r="Y580" s="1645"/>
      <c r="Z580" s="1645"/>
      <c r="AA580" s="1645"/>
      <c r="AB580" s="1645"/>
      <c r="AC580" s="1645"/>
      <c r="AD580" s="1645"/>
      <c r="AE580" s="1645"/>
      <c r="AF580" s="1645"/>
      <c r="AG580" s="1645"/>
      <c r="AH580" s="1645"/>
      <c r="AI580" s="1645"/>
      <c r="AJ580" s="1645"/>
      <c r="AK580" s="1645"/>
      <c r="AL580" s="1645"/>
      <c r="AM580" s="1645"/>
      <c r="AN580" s="1645"/>
      <c r="AO580" s="1645"/>
      <c r="AP580" s="1645"/>
      <c r="AQ580" s="1645"/>
      <c r="AR580" s="1645"/>
      <c r="AS580" s="1645"/>
      <c r="AT580" s="1645"/>
      <c r="AU580" s="1645"/>
      <c r="AV580" s="1645"/>
      <c r="AW580" s="1645"/>
      <c r="AX580" s="1645"/>
      <c r="AY580" s="1645"/>
      <c r="AZ580" s="1645"/>
      <c r="BA580" s="1645"/>
      <c r="BB580" s="1645"/>
      <c r="BC580" s="1645"/>
      <c r="BD580" s="1645"/>
      <c r="BE580" s="1645"/>
      <c r="BF580" s="1645"/>
      <c r="BG580" s="1645"/>
      <c r="BH580" s="1645"/>
      <c r="BI580" s="1645"/>
      <c r="BJ580" s="1645"/>
      <c r="BK580" s="1645"/>
      <c r="BL580" s="1645"/>
      <c r="BM580" s="1645"/>
      <c r="BN580" s="1645"/>
      <c r="BO580" s="1645"/>
      <c r="BP580" s="1645"/>
      <c r="BQ580" s="1645"/>
      <c r="BR580" s="1645"/>
      <c r="BS580" s="1645"/>
      <c r="BT580" s="1645"/>
      <c r="BU580" s="1645"/>
      <c r="BV580" s="1645"/>
      <c r="BW580" s="1645"/>
      <c r="BX580" s="1645"/>
      <c r="BY580" s="1645"/>
      <c r="BZ580" s="1645"/>
      <c r="CA580" s="1645"/>
      <c r="CB580" s="1645"/>
      <c r="CC580" s="1645"/>
      <c r="CD580" s="1645"/>
      <c r="CE580" s="1645"/>
      <c r="CF580" s="1645"/>
      <c r="CG580" s="1645"/>
      <c r="CH580" s="1645"/>
      <c r="CI580" s="1645"/>
      <c r="CJ580" s="1645"/>
      <c r="CK580" s="1645"/>
      <c r="CL580" s="1645"/>
      <c r="CM580" s="1645"/>
      <c r="CN580" s="1645"/>
      <c r="CO580" s="1645"/>
    </row>
    <row r="581" spans="1:256" s="1136" customFormat="1" ht="15" x14ac:dyDescent="0.2">
      <c r="A581" s="1684"/>
      <c r="B581" s="1690"/>
      <c r="C581" s="1">
        <v>16</v>
      </c>
      <c r="D581" s="1">
        <v>8.6890000000000001</v>
      </c>
      <c r="E581" s="1">
        <v>267</v>
      </c>
      <c r="F581" s="1">
        <v>296</v>
      </c>
      <c r="G581" s="1">
        <v>325</v>
      </c>
      <c r="H581" s="1">
        <v>353</v>
      </c>
      <c r="I581" s="1">
        <v>381</v>
      </c>
      <c r="J581" s="1">
        <v>409</v>
      </c>
      <c r="K581" s="1">
        <v>437</v>
      </c>
      <c r="L581" s="1">
        <v>466</v>
      </c>
      <c r="M581" s="1">
        <v>493</v>
      </c>
      <c r="N581" s="1">
        <v>521</v>
      </c>
      <c r="O581" s="1">
        <v>549</v>
      </c>
      <c r="P581" s="1">
        <v>577</v>
      </c>
      <c r="Q581" s="1">
        <v>20</v>
      </c>
      <c r="R581" s="1"/>
      <c r="S581" s="1645"/>
      <c r="T581" s="1645"/>
      <c r="U581" s="1645"/>
      <c r="V581" s="1645"/>
      <c r="W581" s="1645"/>
      <c r="X581" s="1645"/>
      <c r="Y581" s="1645"/>
      <c r="Z581" s="1645"/>
      <c r="AA581" s="1645"/>
      <c r="AB581" s="1645"/>
      <c r="AC581" s="1645"/>
      <c r="AD581" s="1645"/>
      <c r="AE581" s="1645"/>
      <c r="AF581" s="1645"/>
      <c r="AG581" s="1645"/>
      <c r="AH581" s="1645"/>
      <c r="AI581" s="1645"/>
      <c r="AJ581" s="1645"/>
      <c r="AK581" s="1645"/>
      <c r="AL581" s="1645"/>
      <c r="AM581" s="1645"/>
      <c r="AN581" s="1645"/>
      <c r="AO581" s="1645"/>
      <c r="AP581" s="1645"/>
      <c r="AQ581" s="1645"/>
      <c r="AR581" s="1645"/>
      <c r="AS581" s="1645"/>
      <c r="AT581" s="1645"/>
      <c r="AU581" s="1645"/>
      <c r="AV581" s="1645"/>
      <c r="AW581" s="1645"/>
      <c r="AX581" s="1645"/>
      <c r="AY581" s="1645"/>
      <c r="AZ581" s="1645"/>
      <c r="BA581" s="1645"/>
      <c r="BB581" s="1645"/>
      <c r="BC581" s="1645"/>
      <c r="BD581" s="1645"/>
      <c r="BE581" s="1645"/>
      <c r="BF581" s="1645"/>
      <c r="BG581" s="1645"/>
      <c r="BH581" s="1645"/>
      <c r="BI581" s="1645"/>
      <c r="BJ581" s="1645"/>
      <c r="BK581" s="1645"/>
      <c r="BL581" s="1645"/>
      <c r="BM581" s="1645"/>
      <c r="BN581" s="1645"/>
      <c r="BO581" s="1645"/>
      <c r="BP581" s="1645"/>
      <c r="BQ581" s="1645"/>
      <c r="BR581" s="1645"/>
      <c r="BS581" s="1645"/>
      <c r="BT581" s="1645"/>
      <c r="BU581" s="1645"/>
      <c r="BV581" s="1645"/>
      <c r="BW581" s="1645"/>
      <c r="BX581" s="1645"/>
      <c r="BY581" s="1645"/>
      <c r="BZ581" s="1645"/>
      <c r="CA581" s="1645"/>
      <c r="CB581" s="1645"/>
      <c r="CC581" s="1645"/>
      <c r="CD581" s="1645"/>
      <c r="CE581" s="1645"/>
      <c r="CF581" s="1645"/>
      <c r="CG581" s="1645"/>
      <c r="CH581" s="1645"/>
      <c r="CI581" s="1645"/>
      <c r="CJ581" s="1645"/>
      <c r="CK581" s="1645"/>
      <c r="CL581" s="1645"/>
      <c r="CM581" s="1645"/>
      <c r="CN581" s="1645"/>
      <c r="CO581" s="1645"/>
    </row>
    <row r="582" spans="1:256" s="1391" customFormat="1" ht="15" x14ac:dyDescent="0.2">
      <c r="A582" s="1684"/>
      <c r="B582" s="1684"/>
      <c r="C582" s="2012">
        <v>17</v>
      </c>
      <c r="D582" s="7">
        <v>9.2590000000000003</v>
      </c>
      <c r="E582" s="7">
        <v>281</v>
      </c>
      <c r="F582" s="7">
        <v>312</v>
      </c>
      <c r="G582" s="7">
        <v>342</v>
      </c>
      <c r="H582" s="7">
        <v>372</v>
      </c>
      <c r="I582" s="7">
        <v>401</v>
      </c>
      <c r="J582" s="7">
        <v>431</v>
      </c>
      <c r="K582" s="7">
        <v>460</v>
      </c>
      <c r="L582" s="7">
        <v>491</v>
      </c>
      <c r="M582" s="7">
        <v>520</v>
      </c>
      <c r="N582" s="7">
        <v>549</v>
      </c>
      <c r="O582" s="7">
        <v>579</v>
      </c>
      <c r="P582" s="7">
        <v>608</v>
      </c>
      <c r="Q582" s="251">
        <v>21</v>
      </c>
      <c r="R582"/>
      <c r="S582" s="1661"/>
      <c r="T582" s="1661"/>
      <c r="U582" s="1661"/>
      <c r="V582" s="1661"/>
      <c r="W582" s="1661"/>
      <c r="X582" s="1661"/>
      <c r="Y582" s="1661"/>
      <c r="Z582" s="1661"/>
      <c r="AA582" s="1661"/>
      <c r="AB582" s="1661"/>
      <c r="AC582" s="1661"/>
      <c r="AD582" s="1661"/>
      <c r="AE582" s="1661"/>
      <c r="AF582" s="1661"/>
      <c r="AG582" s="1661"/>
      <c r="AH582" s="1661"/>
      <c r="AI582" s="1661"/>
      <c r="AJ582" s="1661"/>
      <c r="AK582" s="1661"/>
      <c r="AL582" s="1661"/>
      <c r="AM582" s="1661"/>
      <c r="AN582" s="1661"/>
      <c r="AO582" s="1661"/>
      <c r="AP582" s="1661"/>
      <c r="AQ582" s="1661"/>
      <c r="AR582" s="1661"/>
      <c r="AS582" s="1661"/>
      <c r="AT582" s="1661"/>
      <c r="AU582" s="1661"/>
      <c r="AV582" s="1661"/>
      <c r="AW582" s="1661"/>
      <c r="AX582" s="1661"/>
      <c r="AY582" s="1661"/>
      <c r="AZ582" s="1661"/>
      <c r="BA582" s="1661"/>
      <c r="BB582" s="1661"/>
      <c r="BC582" s="1661"/>
      <c r="BD582" s="1661"/>
      <c r="BE582" s="1661"/>
      <c r="BF582" s="1661"/>
      <c r="BG582" s="1661"/>
      <c r="BH582" s="1661"/>
      <c r="BI582" s="1661"/>
      <c r="BJ582" s="1661"/>
      <c r="BK582" s="1661"/>
      <c r="BL582" s="1661"/>
      <c r="BM582" s="1661"/>
      <c r="BN582" s="1661"/>
      <c r="BO582" s="1661"/>
      <c r="BP582" s="1661"/>
      <c r="BQ582" s="1661"/>
      <c r="BR582" s="1661"/>
      <c r="BS582" s="1661"/>
      <c r="BT582" s="1661"/>
      <c r="BU582" s="1661"/>
      <c r="BV582" s="1661"/>
      <c r="BW582" s="1661"/>
      <c r="BX582" s="1661"/>
      <c r="BY582" s="1661"/>
      <c r="BZ582" s="1661"/>
      <c r="CA582" s="1661"/>
      <c r="CB582" s="1661"/>
      <c r="CC582" s="1661"/>
      <c r="CD582" s="1661"/>
      <c r="CE582" s="1661"/>
      <c r="CF582" s="1661"/>
      <c r="CG582" s="1661"/>
      <c r="CH582" s="1661"/>
      <c r="CI582" s="1661"/>
      <c r="CJ582" s="1661"/>
      <c r="CK582" s="1661"/>
      <c r="CL582" s="1661"/>
      <c r="CM582" s="1661"/>
      <c r="CN582" s="1661"/>
      <c r="CO582" s="1661"/>
      <c r="CP582" s="1216"/>
      <c r="CQ582" s="1216"/>
      <c r="CR582" s="1216"/>
      <c r="CS582" s="1216"/>
      <c r="CT582" s="1216"/>
      <c r="CU582" s="1216"/>
      <c r="CV582" s="1216"/>
      <c r="CW582" s="1216"/>
      <c r="CX582" s="1216"/>
      <c r="CY582" s="1216"/>
      <c r="CZ582" s="1216"/>
      <c r="DA582" s="1216"/>
      <c r="DB582" s="1216"/>
      <c r="DC582" s="1216"/>
      <c r="DD582" s="1216"/>
      <c r="DE582" s="1216"/>
      <c r="DF582" s="1216"/>
      <c r="DG582" s="1216"/>
      <c r="DH582" s="1216"/>
      <c r="DI582" s="1216"/>
      <c r="DJ582" s="1216"/>
      <c r="DK582" s="1216"/>
      <c r="DL582" s="1216"/>
      <c r="DM582" s="1216"/>
      <c r="DN582" s="1216"/>
      <c r="DO582" s="1216"/>
      <c r="DP582" s="1216"/>
      <c r="DQ582" s="1216"/>
      <c r="DR582" s="1216"/>
      <c r="DS582" s="1216"/>
      <c r="DT582" s="1216"/>
      <c r="DU582" s="1216"/>
      <c r="DV582" s="1216"/>
      <c r="DW582" s="1216"/>
      <c r="DX582" s="1216"/>
      <c r="DY582" s="1216"/>
      <c r="DZ582" s="1216"/>
      <c r="EA582" s="1216"/>
      <c r="EB582" s="1216"/>
      <c r="EC582" s="1216"/>
      <c r="ED582" s="1216"/>
      <c r="EE582" s="1216"/>
      <c r="EF582" s="1216"/>
      <c r="EG582" s="1216"/>
      <c r="EH582" s="1216"/>
      <c r="EI582" s="1216"/>
      <c r="EJ582" s="1216"/>
      <c r="EK582" s="1216"/>
      <c r="EL582" s="1216"/>
      <c r="EM582" s="1216"/>
      <c r="EN582" s="1216"/>
      <c r="EO582" s="1216"/>
      <c r="EP582" s="1216"/>
      <c r="EQ582" s="1216"/>
      <c r="ER582" s="1216"/>
      <c r="ES582" s="1216"/>
      <c r="ET582" s="1216"/>
      <c r="EU582" s="1216"/>
      <c r="EV582" s="1216"/>
      <c r="EW582" s="1216"/>
      <c r="EX582" s="1216"/>
      <c r="EY582" s="1216"/>
      <c r="EZ582" s="1216"/>
      <c r="FA582" s="1216"/>
      <c r="FB582" s="1216"/>
      <c r="FC582" s="1216"/>
      <c r="FD582" s="1216"/>
      <c r="FE582" s="1216"/>
      <c r="FF582" s="1216"/>
      <c r="FG582" s="1216"/>
      <c r="FH582" s="1216"/>
      <c r="FI582" s="1216"/>
      <c r="FJ582" s="1216"/>
      <c r="FK582" s="1216"/>
      <c r="FL582" s="1216"/>
      <c r="FM582" s="1216"/>
      <c r="FN582" s="1216"/>
      <c r="FO582" s="1216"/>
      <c r="FP582" s="1216"/>
      <c r="FQ582" s="1216"/>
      <c r="FR582" s="1216"/>
      <c r="FS582" s="1216"/>
      <c r="FT582" s="1216"/>
      <c r="FU582" s="1216"/>
      <c r="FV582" s="1216"/>
      <c r="FW582" s="1216"/>
      <c r="FX582" s="1216"/>
      <c r="FY582" s="1216"/>
      <c r="FZ582" s="1216"/>
      <c r="GA582" s="1216"/>
      <c r="GB582" s="1216"/>
      <c r="GC582" s="1216"/>
      <c r="GD582" s="1216"/>
      <c r="GE582" s="1216"/>
      <c r="GF582" s="1216"/>
      <c r="GG582" s="1216"/>
      <c r="GH582" s="1216"/>
      <c r="GI582" s="1216"/>
      <c r="GJ582" s="1216"/>
      <c r="GK582" s="1216"/>
      <c r="GL582" s="1216"/>
      <c r="GM582" s="1216"/>
      <c r="GN582" s="1216"/>
      <c r="GO582" s="1216"/>
      <c r="GP582" s="1216"/>
      <c r="GQ582" s="1216"/>
      <c r="GR582" s="1216"/>
      <c r="GS582" s="1216"/>
      <c r="GT582" s="1216"/>
      <c r="GU582" s="1216"/>
      <c r="GV582" s="1216"/>
      <c r="GW582" s="1216"/>
      <c r="GX582" s="1216"/>
      <c r="GY582" s="1216"/>
      <c r="GZ582" s="1216"/>
      <c r="HA582" s="1216"/>
      <c r="HB582" s="1216"/>
      <c r="HC582" s="1216"/>
      <c r="HD582" s="1216"/>
      <c r="HE582" s="1216"/>
      <c r="HF582" s="1216"/>
      <c r="HG582" s="1216"/>
      <c r="HH582" s="1216"/>
      <c r="HI582" s="1216"/>
      <c r="HJ582" s="1216"/>
      <c r="HK582" s="1216"/>
      <c r="HL582" s="1216"/>
      <c r="HM582" s="1216"/>
      <c r="HN582" s="1216"/>
      <c r="HO582" s="1216"/>
      <c r="HP582" s="1216"/>
      <c r="HQ582" s="1216"/>
      <c r="HR582" s="1216"/>
      <c r="HS582" s="1216"/>
      <c r="HT582" s="1216"/>
      <c r="HU582" s="1216"/>
      <c r="HV582" s="1216"/>
      <c r="HW582" s="1216"/>
      <c r="HX582" s="1216"/>
      <c r="HY582" s="1216"/>
      <c r="HZ582" s="1216"/>
      <c r="IA582" s="1216"/>
      <c r="IB582" s="1216"/>
      <c r="IC582" s="1216"/>
      <c r="ID582" s="1216"/>
      <c r="IE582" s="1216"/>
      <c r="IF582" s="1216"/>
      <c r="IG582" s="1216"/>
      <c r="IH582" s="1216"/>
      <c r="II582" s="1216"/>
      <c r="IJ582" s="1216"/>
      <c r="IK582" s="1216"/>
      <c r="IL582" s="1216"/>
      <c r="IM582" s="1216"/>
      <c r="IN582" s="1216"/>
      <c r="IO582" s="1216"/>
      <c r="IP582" s="1216"/>
      <c r="IQ582" s="1216"/>
      <c r="IR582" s="1216"/>
      <c r="IS582" s="1216"/>
      <c r="IT582" s="1216"/>
      <c r="IU582" s="1216"/>
      <c r="IV582" s="1216"/>
    </row>
    <row r="583" spans="1:256" s="1391" customFormat="1" ht="15" x14ac:dyDescent="0.2">
      <c r="A583" s="1684"/>
      <c r="B583" s="1684"/>
      <c r="C583" s="2013">
        <v>18</v>
      </c>
      <c r="D583" s="5">
        <v>9.5820000000000007</v>
      </c>
      <c r="E583" s="5">
        <v>294</v>
      </c>
      <c r="F583" s="5">
        <v>327</v>
      </c>
      <c r="G583" s="5">
        <v>358</v>
      </c>
      <c r="H583" s="5">
        <v>388</v>
      </c>
      <c r="I583" s="5">
        <v>419</v>
      </c>
      <c r="J583" s="5">
        <v>450</v>
      </c>
      <c r="K583" s="5">
        <v>481</v>
      </c>
      <c r="L583" s="5">
        <v>514</v>
      </c>
      <c r="M583" s="5">
        <v>543</v>
      </c>
      <c r="N583" s="5">
        <v>574</v>
      </c>
      <c r="O583" s="5">
        <v>605</v>
      </c>
      <c r="P583" s="5">
        <v>636</v>
      </c>
      <c r="Q583" s="1160">
        <v>22</v>
      </c>
      <c r="R583"/>
      <c r="S583" s="1684"/>
      <c r="T583" s="1684"/>
      <c r="U583" s="1684"/>
      <c r="V583" s="1684"/>
      <c r="W583" s="1684"/>
      <c r="X583" s="1684"/>
      <c r="Y583" s="1684"/>
      <c r="Z583" s="1684"/>
      <c r="AA583" s="1684"/>
      <c r="AB583" s="1684"/>
      <c r="AC583" s="1684"/>
      <c r="AD583" s="1684"/>
      <c r="AE583" s="1684"/>
      <c r="AF583" s="1684"/>
      <c r="AG583" s="1684"/>
      <c r="AH583" s="1684"/>
      <c r="AI583" s="1684"/>
      <c r="AJ583" s="1684"/>
      <c r="AK583" s="1684"/>
      <c r="AL583" s="1684"/>
      <c r="AM583" s="1684"/>
      <c r="AN583" s="1684"/>
      <c r="AO583" s="1684"/>
      <c r="AP583" s="1684"/>
      <c r="AQ583" s="1684"/>
      <c r="AR583" s="1684"/>
      <c r="AS583" s="1684"/>
      <c r="AT583" s="1684"/>
      <c r="AU583" s="1684"/>
      <c r="AV583" s="1684"/>
      <c r="AW583" s="1684"/>
      <c r="AX583" s="1684"/>
      <c r="AY583" s="1684"/>
      <c r="AZ583" s="1684"/>
      <c r="BA583" s="1684"/>
      <c r="BB583" s="1684"/>
      <c r="BC583" s="1684"/>
      <c r="BD583" s="1684"/>
      <c r="BE583" s="1684"/>
      <c r="BF583" s="1684"/>
      <c r="BG583" s="1684"/>
      <c r="BH583" s="1684"/>
      <c r="BI583" s="1684"/>
      <c r="BJ583" s="1684"/>
      <c r="BK583" s="1684"/>
      <c r="BL583" s="1684"/>
      <c r="BM583" s="1684"/>
      <c r="BN583" s="1684"/>
      <c r="BO583" s="1684"/>
      <c r="BP583" s="1684"/>
      <c r="BQ583" s="1684"/>
      <c r="BR583" s="1684"/>
      <c r="BS583" s="1684"/>
      <c r="BT583" s="1684"/>
      <c r="BU583" s="1684"/>
      <c r="BV583" s="1684"/>
      <c r="BW583" s="1684"/>
      <c r="BX583" s="1684"/>
      <c r="BY583" s="1684"/>
      <c r="BZ583" s="1684"/>
      <c r="CA583" s="1684"/>
      <c r="CB583" s="1684"/>
      <c r="CC583" s="1684"/>
      <c r="CD583" s="1684"/>
      <c r="CE583" s="1684"/>
      <c r="CF583" s="1684"/>
      <c r="CG583" s="1684"/>
      <c r="CH583" s="1684"/>
      <c r="CI583" s="1684"/>
      <c r="CJ583" s="1684"/>
      <c r="CK583" s="1684"/>
      <c r="CL583" s="1684"/>
      <c r="CM583" s="1684"/>
      <c r="CN583" s="1684"/>
      <c r="CO583" s="1684"/>
    </row>
    <row r="584" spans="1:256" s="1391" customFormat="1" ht="15" x14ac:dyDescent="0.2">
      <c r="A584" s="1684"/>
      <c r="B584" s="1684"/>
      <c r="C584" s="4680" t="s">
        <v>3692</v>
      </c>
      <c r="D584" s="4681"/>
      <c r="E584" s="4681"/>
      <c r="F584" s="4681"/>
      <c r="G584" s="4681"/>
      <c r="H584" s="4681"/>
      <c r="I584" s="4681"/>
      <c r="J584" s="4681"/>
      <c r="K584" s="4681"/>
      <c r="L584" s="4681"/>
      <c r="M584" s="4681"/>
      <c r="N584" s="4681"/>
      <c r="O584" s="4681"/>
      <c r="P584" s="4681"/>
      <c r="Q584" s="4682"/>
      <c r="R584"/>
      <c r="S584" s="1684"/>
      <c r="T584" s="1684"/>
      <c r="U584" s="1684"/>
      <c r="V584" s="1684"/>
      <c r="W584" s="1684"/>
      <c r="X584" s="1684"/>
      <c r="Y584" s="1684"/>
      <c r="Z584" s="1684"/>
      <c r="AA584" s="1684"/>
      <c r="AB584" s="1684"/>
      <c r="AC584" s="1684"/>
      <c r="AD584" s="1684"/>
      <c r="AE584" s="1684"/>
      <c r="AF584" s="1684"/>
      <c r="AG584" s="1684"/>
      <c r="AH584" s="1684"/>
      <c r="AI584" s="1684"/>
      <c r="AJ584" s="1684"/>
      <c r="AK584" s="1684"/>
      <c r="AL584" s="1684"/>
      <c r="AM584" s="1684"/>
      <c r="AN584" s="1684"/>
      <c r="AO584" s="1684"/>
      <c r="AP584" s="1684"/>
      <c r="AQ584" s="1684"/>
      <c r="AR584" s="1684"/>
      <c r="AS584" s="1684"/>
      <c r="AT584" s="1684"/>
      <c r="AU584" s="1684"/>
      <c r="AV584" s="1684"/>
      <c r="AW584" s="1684"/>
      <c r="AX584" s="1684"/>
      <c r="AY584" s="1684"/>
      <c r="AZ584" s="1684"/>
      <c r="BA584" s="1684"/>
      <c r="BB584" s="1684"/>
      <c r="BC584" s="1684"/>
      <c r="BD584" s="1684"/>
      <c r="BE584" s="1684"/>
      <c r="BF584" s="1684"/>
      <c r="BG584" s="1684"/>
      <c r="BH584" s="1684"/>
      <c r="BI584" s="1684"/>
      <c r="BJ584" s="1684"/>
      <c r="BK584" s="1684"/>
      <c r="BL584" s="1684"/>
      <c r="BM584" s="1684"/>
      <c r="BN584" s="1684"/>
      <c r="BO584" s="1684"/>
      <c r="BP584" s="1684"/>
      <c r="BQ584" s="1684"/>
      <c r="BR584" s="1684"/>
      <c r="BS584" s="1684"/>
      <c r="BT584" s="1684"/>
      <c r="BU584" s="1684"/>
      <c r="BV584" s="1684"/>
      <c r="BW584" s="1684"/>
      <c r="BX584" s="1684"/>
      <c r="BY584" s="1684"/>
      <c r="BZ584" s="1684"/>
      <c r="CA584" s="1684"/>
      <c r="CB584" s="1684"/>
      <c r="CC584" s="1684"/>
      <c r="CD584" s="1684"/>
      <c r="CE584" s="1684"/>
      <c r="CF584" s="1684"/>
      <c r="CG584" s="1684"/>
      <c r="CH584" s="1684"/>
      <c r="CI584" s="1684"/>
      <c r="CJ584" s="1684"/>
      <c r="CK584" s="1684"/>
      <c r="CL584" s="1684"/>
      <c r="CM584" s="1684"/>
      <c r="CN584" s="1684"/>
      <c r="CO584" s="1684"/>
    </row>
    <row r="585" spans="1:256" s="1391" customFormat="1" ht="15" x14ac:dyDescent="0.2">
      <c r="A585" s="1684"/>
      <c r="B585" s="1684"/>
      <c r="C585" s="4680"/>
      <c r="D585" s="4681"/>
      <c r="E585" s="4681"/>
      <c r="F585" s="4681"/>
      <c r="G585" s="4681"/>
      <c r="H585" s="4681"/>
      <c r="I585" s="4681"/>
      <c r="J585" s="4681"/>
      <c r="K585" s="4681"/>
      <c r="L585" s="4681"/>
      <c r="M585" s="4681"/>
      <c r="N585" s="4681"/>
      <c r="O585" s="4681"/>
      <c r="P585" s="4681"/>
      <c r="Q585" s="4682"/>
      <c r="R585"/>
      <c r="S585" s="1684"/>
      <c r="T585" s="1684"/>
      <c r="U585" s="1684"/>
      <c r="V585" s="1684"/>
      <c r="W585" s="1684"/>
      <c r="X585" s="1684"/>
      <c r="Y585" s="1684"/>
      <c r="Z585" s="1684"/>
      <c r="AA585" s="1684"/>
      <c r="AB585" s="1684"/>
      <c r="AC585" s="1684"/>
      <c r="AD585" s="1684"/>
      <c r="AE585" s="1684"/>
      <c r="AF585" s="1684"/>
      <c r="AG585" s="1684"/>
      <c r="AH585" s="1684"/>
      <c r="AI585" s="1684"/>
      <c r="AJ585" s="1684"/>
      <c r="AK585" s="1684"/>
      <c r="AL585" s="1684"/>
      <c r="AM585" s="1684"/>
      <c r="AN585" s="1684"/>
      <c r="AO585" s="1684"/>
      <c r="AP585" s="1684"/>
      <c r="AQ585" s="1684"/>
      <c r="AR585" s="1684"/>
      <c r="AS585" s="1684"/>
      <c r="AT585" s="1684"/>
      <c r="AU585" s="1684"/>
      <c r="AV585" s="1684"/>
      <c r="AW585" s="1684"/>
      <c r="AX585" s="1684"/>
      <c r="AY585" s="1684"/>
      <c r="AZ585" s="1684"/>
      <c r="BA585" s="1684"/>
      <c r="BB585" s="1684"/>
      <c r="BC585" s="1684"/>
      <c r="BD585" s="1684"/>
      <c r="BE585" s="1684"/>
      <c r="BF585" s="1684"/>
      <c r="BG585" s="1684"/>
      <c r="BH585" s="1684"/>
      <c r="BI585" s="1684"/>
      <c r="BJ585" s="1684"/>
      <c r="BK585" s="1684"/>
      <c r="BL585" s="1684"/>
      <c r="BM585" s="1684"/>
      <c r="BN585" s="1684"/>
      <c r="BO585" s="1684"/>
      <c r="BP585" s="1684"/>
      <c r="BQ585" s="1684"/>
      <c r="BR585" s="1684"/>
      <c r="BS585" s="1684"/>
      <c r="BT585" s="1684"/>
      <c r="BU585" s="1684"/>
      <c r="BV585" s="1684"/>
      <c r="BW585" s="1684"/>
      <c r="BX585" s="1684"/>
      <c r="BY585" s="1684"/>
      <c r="BZ585" s="1684"/>
      <c r="CA585" s="1684"/>
      <c r="CB585" s="1684"/>
      <c r="CC585" s="1684"/>
      <c r="CD585" s="1684"/>
      <c r="CE585" s="1684"/>
      <c r="CF585" s="1684"/>
      <c r="CG585" s="1684"/>
      <c r="CH585" s="1684"/>
      <c r="CI585" s="1684"/>
      <c r="CJ585" s="1684"/>
      <c r="CK585" s="1684"/>
      <c r="CL585" s="1684"/>
      <c r="CM585" s="1684"/>
      <c r="CN585" s="1684"/>
      <c r="CO585" s="1684"/>
    </row>
    <row r="586" spans="1:256" s="1391" customFormat="1" ht="15" x14ac:dyDescent="0.2">
      <c r="A586" s="1684"/>
      <c r="B586" s="1684"/>
      <c r="C586" s="2014"/>
      <c r="D586" s="2015"/>
      <c r="E586" s="2015">
        <v>1</v>
      </c>
      <c r="F586" s="2015">
        <v>2</v>
      </c>
      <c r="G586" s="2015">
        <v>3</v>
      </c>
      <c r="H586" s="2015">
        <v>4</v>
      </c>
      <c r="I586" s="2015">
        <v>5</v>
      </c>
      <c r="J586" s="2015">
        <v>6</v>
      </c>
      <c r="K586" s="2015">
        <v>7</v>
      </c>
      <c r="L586" s="2015">
        <v>8</v>
      </c>
      <c r="M586" s="2015">
        <v>9</v>
      </c>
      <c r="N586" s="2015">
        <v>10</v>
      </c>
      <c r="O586" s="2015">
        <v>11</v>
      </c>
      <c r="P586" s="2015">
        <v>12</v>
      </c>
      <c r="Q586" s="2016"/>
      <c r="R586"/>
      <c r="S586" s="1684"/>
      <c r="T586" s="1684"/>
      <c r="U586" s="1684"/>
      <c r="V586" s="1684"/>
      <c r="W586" s="1684"/>
      <c r="X586" s="1684"/>
      <c r="Y586" s="1684"/>
      <c r="Z586" s="1684"/>
      <c r="AA586" s="1684"/>
      <c r="AB586" s="1684"/>
      <c r="AC586" s="1684"/>
      <c r="AD586" s="1684"/>
      <c r="AE586" s="1684"/>
      <c r="AF586" s="1684"/>
      <c r="AG586" s="1684"/>
      <c r="AH586" s="1684"/>
      <c r="AI586" s="1684"/>
      <c r="AJ586" s="1684"/>
      <c r="AK586" s="1684"/>
      <c r="AL586" s="1684"/>
      <c r="AM586" s="1684"/>
      <c r="AN586" s="1684"/>
      <c r="AO586" s="1684"/>
      <c r="AP586" s="1684"/>
      <c r="AQ586" s="1684"/>
      <c r="AR586" s="1684"/>
      <c r="AS586" s="1684"/>
      <c r="AT586" s="1684"/>
      <c r="AU586" s="1684"/>
      <c r="AV586" s="1684"/>
      <c r="AW586" s="1684"/>
      <c r="AX586" s="1684"/>
      <c r="AY586" s="1684"/>
      <c r="AZ586" s="1684"/>
      <c r="BA586" s="1684"/>
      <c r="BB586" s="1684"/>
      <c r="BC586" s="1684"/>
      <c r="BD586" s="1684"/>
      <c r="BE586" s="1684"/>
      <c r="BF586" s="1684"/>
      <c r="BG586" s="1684"/>
      <c r="BH586" s="1684"/>
      <c r="BI586" s="1684"/>
      <c r="BJ586" s="1684"/>
      <c r="BK586" s="1684"/>
      <c r="BL586" s="1684"/>
      <c r="BM586" s="1684"/>
      <c r="BN586" s="1684"/>
      <c r="BO586" s="1684"/>
      <c r="BP586" s="1684"/>
      <c r="BQ586" s="1684"/>
      <c r="BR586" s="1684"/>
      <c r="BS586" s="1684"/>
      <c r="BT586" s="1684"/>
      <c r="BU586" s="1684"/>
      <c r="BV586" s="1684"/>
      <c r="BW586" s="1684"/>
      <c r="BX586" s="1684"/>
      <c r="BY586" s="1684"/>
      <c r="BZ586" s="1684"/>
      <c r="CA586" s="1684"/>
      <c r="CB586" s="1684"/>
      <c r="CC586" s="1684"/>
      <c r="CD586" s="1684"/>
      <c r="CE586" s="1684"/>
      <c r="CF586" s="1684"/>
      <c r="CG586" s="1684"/>
      <c r="CH586" s="1684"/>
      <c r="CI586" s="1684"/>
      <c r="CJ586" s="1684"/>
      <c r="CK586" s="1684"/>
      <c r="CL586" s="1684"/>
      <c r="CM586" s="1684"/>
      <c r="CN586" s="1684"/>
      <c r="CO586" s="1684"/>
    </row>
    <row r="587" spans="1:256" s="1391" customFormat="1" ht="15" x14ac:dyDescent="0.2">
      <c r="A587" s="1684"/>
      <c r="B587" s="1684"/>
      <c r="C587" s="2013">
        <v>8</v>
      </c>
      <c r="D587" s="5">
        <v>5.6449999999999996</v>
      </c>
      <c r="E587" s="5">
        <v>147</v>
      </c>
      <c r="F587" s="5">
        <v>163</v>
      </c>
      <c r="G587" s="5">
        <v>175</v>
      </c>
      <c r="H587" s="5">
        <v>194</v>
      </c>
      <c r="I587" s="5">
        <v>209</v>
      </c>
      <c r="J587" s="5">
        <v>225</v>
      </c>
      <c r="K587" s="5">
        <v>240</v>
      </c>
      <c r="L587" s="5">
        <v>256</v>
      </c>
      <c r="M587" s="5">
        <v>271</v>
      </c>
      <c r="N587" s="5">
        <v>287</v>
      </c>
      <c r="O587" s="5">
        <v>302</v>
      </c>
      <c r="P587" s="5">
        <v>317</v>
      </c>
      <c r="Q587" s="1160">
        <v>23</v>
      </c>
      <c r="R587"/>
      <c r="S587" s="1684"/>
      <c r="T587" s="1684"/>
      <c r="U587" s="1684"/>
      <c r="V587" s="1684"/>
      <c r="W587" s="1684"/>
      <c r="X587" s="1684"/>
      <c r="Y587" s="1684"/>
      <c r="Z587" s="1684"/>
      <c r="AA587" s="1684"/>
      <c r="AB587" s="1684"/>
      <c r="AC587" s="1684"/>
      <c r="AD587" s="1684"/>
      <c r="AE587" s="1684"/>
      <c r="AF587" s="1684"/>
      <c r="AG587" s="1684"/>
      <c r="AH587" s="1684"/>
      <c r="AI587" s="1684"/>
      <c r="AJ587" s="1684"/>
      <c r="AK587" s="1684"/>
      <c r="AL587" s="1684"/>
      <c r="AM587" s="1684"/>
      <c r="AN587" s="1684"/>
      <c r="AO587" s="1684"/>
      <c r="AP587" s="1684"/>
      <c r="AQ587" s="1684"/>
      <c r="AR587" s="1684"/>
      <c r="AS587" s="1684"/>
      <c r="AT587" s="1684"/>
      <c r="AU587" s="1684"/>
      <c r="AV587" s="1684"/>
      <c r="AW587" s="1684"/>
      <c r="AX587" s="1684"/>
      <c r="AY587" s="1684"/>
      <c r="AZ587" s="1684"/>
      <c r="BA587" s="1684"/>
      <c r="BB587" s="1684"/>
      <c r="BC587" s="1684"/>
      <c r="BD587" s="1684"/>
      <c r="BE587" s="1684"/>
      <c r="BF587" s="1684"/>
      <c r="BG587" s="1684"/>
      <c r="BH587" s="1684"/>
      <c r="BI587" s="1684"/>
      <c r="BJ587" s="1684"/>
      <c r="BK587" s="1684"/>
      <c r="BL587" s="1684"/>
      <c r="BM587" s="1684"/>
      <c r="BN587" s="1684"/>
      <c r="BO587" s="1684"/>
      <c r="BP587" s="1684"/>
      <c r="BQ587" s="1684"/>
      <c r="BR587" s="1684"/>
      <c r="BS587" s="1684"/>
      <c r="BT587" s="1684"/>
      <c r="BU587" s="1684"/>
      <c r="BV587" s="1684"/>
      <c r="BW587" s="1684"/>
      <c r="BX587" s="1684"/>
      <c r="BY587" s="1684"/>
      <c r="BZ587" s="1684"/>
      <c r="CA587" s="1684"/>
      <c r="CB587" s="1684"/>
      <c r="CC587" s="1684"/>
      <c r="CD587" s="1684"/>
      <c r="CE587" s="1684"/>
      <c r="CF587" s="1684"/>
      <c r="CG587" s="1684"/>
      <c r="CH587" s="1684"/>
      <c r="CI587" s="1684"/>
      <c r="CJ587" s="1684"/>
      <c r="CK587" s="1684"/>
      <c r="CL587" s="1684"/>
      <c r="CM587" s="1684"/>
      <c r="CN587" s="1684"/>
      <c r="CO587" s="1684"/>
    </row>
    <row r="588" spans="1:256" s="1391" customFormat="1" ht="15" x14ac:dyDescent="0.2">
      <c r="A588" s="1684"/>
      <c r="B588" s="1684"/>
      <c r="C588" s="2013">
        <v>9</v>
      </c>
      <c r="D588" s="5">
        <v>57780</v>
      </c>
      <c r="E588" s="5">
        <v>161</v>
      </c>
      <c r="F588" s="5">
        <v>179</v>
      </c>
      <c r="G588" s="5">
        <v>196</v>
      </c>
      <c r="H588" s="5">
        <v>213</v>
      </c>
      <c r="I588" s="5">
        <v>229</v>
      </c>
      <c r="J588" s="5">
        <v>246</v>
      </c>
      <c r="K588" s="5">
        <v>263</v>
      </c>
      <c r="L588" s="5">
        <v>281</v>
      </c>
      <c r="M588" s="5">
        <v>297</v>
      </c>
      <c r="N588" s="5">
        <v>314</v>
      </c>
      <c r="O588" s="5">
        <v>331</v>
      </c>
      <c r="P588" s="5">
        <v>348</v>
      </c>
      <c r="Q588" s="1160">
        <v>24</v>
      </c>
      <c r="R588"/>
      <c r="S588" s="1684"/>
      <c r="T588" s="1684"/>
      <c r="U588" s="1684"/>
      <c r="V588" s="1684"/>
      <c r="W588" s="1684"/>
      <c r="X588" s="1684"/>
      <c r="Y588" s="1684"/>
      <c r="Z588" s="1684"/>
      <c r="AA588" s="1684"/>
      <c r="AB588" s="1684"/>
      <c r="AC588" s="1684"/>
      <c r="AD588" s="1684"/>
      <c r="AE588" s="1684"/>
      <c r="AF588" s="1684"/>
      <c r="AG588" s="1684"/>
      <c r="AH588" s="1684"/>
      <c r="AI588" s="1684"/>
      <c r="AJ588" s="1684"/>
      <c r="AK588" s="1684"/>
      <c r="AL588" s="1684"/>
      <c r="AM588" s="1684"/>
      <c r="AN588" s="1684"/>
      <c r="AO588" s="1684"/>
      <c r="AP588" s="1684"/>
      <c r="AQ588" s="1684"/>
      <c r="AR588" s="1684"/>
      <c r="AS588" s="1684"/>
      <c r="AT588" s="1684"/>
      <c r="AU588" s="1684"/>
      <c r="AV588" s="1684"/>
      <c r="AW588" s="1684"/>
      <c r="AX588" s="1684"/>
      <c r="AY588" s="1684"/>
      <c r="AZ588" s="1684"/>
      <c r="BA588" s="1684"/>
      <c r="BB588" s="1684"/>
      <c r="BC588" s="1684"/>
      <c r="BD588" s="1684"/>
      <c r="BE588" s="1684"/>
      <c r="BF588" s="1684"/>
      <c r="BG588" s="1684"/>
      <c r="BH588" s="1684"/>
      <c r="BI588" s="1684"/>
      <c r="BJ588" s="1684"/>
      <c r="BK588" s="1684"/>
      <c r="BL588" s="1684"/>
      <c r="BM588" s="1684"/>
      <c r="BN588" s="1684"/>
      <c r="BO588" s="1684"/>
      <c r="BP588" s="1684"/>
      <c r="BQ588" s="1684"/>
      <c r="BR588" s="1684"/>
      <c r="BS588" s="1684"/>
      <c r="BT588" s="1684"/>
      <c r="BU588" s="1684"/>
      <c r="BV588" s="1684"/>
      <c r="BW588" s="1684"/>
      <c r="BX588" s="1684"/>
      <c r="BY588" s="1684"/>
      <c r="BZ588" s="1684"/>
      <c r="CA588" s="1684"/>
      <c r="CB588" s="1684"/>
      <c r="CC588" s="1684"/>
      <c r="CD588" s="1684"/>
      <c r="CE588" s="1684"/>
      <c r="CF588" s="1684"/>
      <c r="CG588" s="1684"/>
      <c r="CH588" s="1684"/>
      <c r="CI588" s="1684"/>
      <c r="CJ588" s="1684"/>
      <c r="CK588" s="1684"/>
      <c r="CL588" s="1684"/>
      <c r="CM588" s="1684"/>
      <c r="CN588" s="1684"/>
      <c r="CO588" s="1684"/>
    </row>
    <row r="589" spans="1:256" s="1391" customFormat="1" ht="15" x14ac:dyDescent="0.2">
      <c r="A589" s="1684"/>
      <c r="B589" s="1684"/>
      <c r="C589" s="2013">
        <v>10</v>
      </c>
      <c r="D589" s="5">
        <v>6.3239999999999998</v>
      </c>
      <c r="E589" s="5">
        <v>176</v>
      </c>
      <c r="F589" s="5">
        <v>195</v>
      </c>
      <c r="G589" s="5">
        <v>213</v>
      </c>
      <c r="H589" s="5">
        <v>232</v>
      </c>
      <c r="I589" s="5">
        <v>250</v>
      </c>
      <c r="J589" s="5">
        <v>269</v>
      </c>
      <c r="K589" s="5">
        <v>287</v>
      </c>
      <c r="L589" s="5">
        <v>307</v>
      </c>
      <c r="M589" s="5">
        <v>324</v>
      </c>
      <c r="N589" s="5">
        <v>343</v>
      </c>
      <c r="O589" s="5">
        <v>361</v>
      </c>
      <c r="P589" s="5">
        <v>380</v>
      </c>
      <c r="Q589" s="1160">
        <v>25</v>
      </c>
      <c r="R589"/>
      <c r="S589" s="1684"/>
      <c r="T589" s="1684"/>
      <c r="U589" s="1684"/>
      <c r="V589" s="1684"/>
      <c r="W589" s="1684"/>
      <c r="X589" s="1684"/>
      <c r="Y589" s="1684"/>
      <c r="Z589" s="1684"/>
      <c r="AA589" s="1684"/>
      <c r="AB589" s="1684"/>
      <c r="AC589" s="1684"/>
      <c r="AD589" s="1684"/>
      <c r="AE589" s="1684"/>
      <c r="AF589" s="1684"/>
      <c r="AG589" s="1684"/>
      <c r="AH589" s="1684"/>
      <c r="AI589" s="1684"/>
      <c r="AJ589" s="1684"/>
      <c r="AK589" s="1684"/>
      <c r="AL589" s="1684"/>
      <c r="AM589" s="1684"/>
      <c r="AN589" s="1684"/>
      <c r="AO589" s="1684"/>
      <c r="AP589" s="1684"/>
      <c r="AQ589" s="1684"/>
      <c r="AR589" s="1684"/>
      <c r="AS589" s="1684"/>
      <c r="AT589" s="1684"/>
      <c r="AU589" s="1684"/>
      <c r="AV589" s="1684"/>
      <c r="AW589" s="1684"/>
      <c r="AX589" s="1684"/>
      <c r="AY589" s="1684"/>
      <c r="AZ589" s="1684"/>
      <c r="BA589" s="1684"/>
      <c r="BB589" s="1684"/>
      <c r="BC589" s="1684"/>
      <c r="BD589" s="1684"/>
      <c r="BE589" s="1684"/>
      <c r="BF589" s="1684"/>
      <c r="BG589" s="1684"/>
      <c r="BH589" s="1684"/>
      <c r="BI589" s="1684"/>
      <c r="BJ589" s="1684"/>
      <c r="BK589" s="1684"/>
      <c r="BL589" s="1684"/>
      <c r="BM589" s="1684"/>
      <c r="BN589" s="1684"/>
      <c r="BO589" s="1684"/>
      <c r="BP589" s="1684"/>
      <c r="BQ589" s="1684"/>
      <c r="BR589" s="1684"/>
      <c r="BS589" s="1684"/>
      <c r="BT589" s="1684"/>
      <c r="BU589" s="1684"/>
      <c r="BV589" s="1684"/>
      <c r="BW589" s="1684"/>
      <c r="BX589" s="1684"/>
      <c r="BY589" s="1684"/>
      <c r="BZ589" s="1684"/>
      <c r="CA589" s="1684"/>
      <c r="CB589" s="1684"/>
      <c r="CC589" s="1684"/>
      <c r="CD589" s="1684"/>
      <c r="CE589" s="1684"/>
      <c r="CF589" s="1684"/>
      <c r="CG589" s="1684"/>
      <c r="CH589" s="1684"/>
      <c r="CI589" s="1684"/>
      <c r="CJ589" s="1684"/>
      <c r="CK589" s="1684"/>
      <c r="CL589" s="1684"/>
      <c r="CM589" s="1684"/>
      <c r="CN589" s="1684"/>
      <c r="CO589" s="1684"/>
    </row>
    <row r="590" spans="1:256" s="1391" customFormat="1" ht="15" x14ac:dyDescent="0.2">
      <c r="A590" s="1684"/>
      <c r="B590" s="1684"/>
      <c r="C590" s="2013">
        <v>11</v>
      </c>
      <c r="D590" s="5">
        <v>6.7060000000000004</v>
      </c>
      <c r="E590" s="5">
        <v>192</v>
      </c>
      <c r="F590" s="5">
        <v>213</v>
      </c>
      <c r="G590" s="5">
        <v>233</v>
      </c>
      <c r="H590" s="5">
        <v>253</v>
      </c>
      <c r="I590" s="5">
        <v>273</v>
      </c>
      <c r="J590" s="5">
        <v>293</v>
      </c>
      <c r="K590" s="5">
        <v>314</v>
      </c>
      <c r="L590" s="5">
        <v>335</v>
      </c>
      <c r="M590" s="5">
        <v>354</v>
      </c>
      <c r="N590" s="5">
        <v>374</v>
      </c>
      <c r="O590" s="5">
        <v>394</v>
      </c>
      <c r="P590" s="5">
        <v>414</v>
      </c>
      <c r="Q590" s="1160">
        <v>26</v>
      </c>
      <c r="R590"/>
      <c r="S590" s="1684"/>
      <c r="T590" s="1684"/>
      <c r="U590" s="1684"/>
      <c r="V590" s="1684"/>
      <c r="W590" s="1684"/>
      <c r="X590" s="1684"/>
      <c r="Y590" s="1684"/>
      <c r="Z590" s="1684"/>
      <c r="AA590" s="1684"/>
      <c r="AB590" s="1684"/>
      <c r="AC590" s="1684"/>
      <c r="AD590" s="1684"/>
      <c r="AE590" s="1684"/>
      <c r="AF590" s="1684"/>
      <c r="AG590" s="1684"/>
      <c r="AH590" s="1684"/>
      <c r="AI590" s="1684"/>
      <c r="AJ590" s="1684"/>
      <c r="AK590" s="1684"/>
      <c r="AL590" s="1684"/>
      <c r="AM590" s="1684"/>
      <c r="AN590" s="1684"/>
      <c r="AO590" s="1684"/>
      <c r="AP590" s="1684"/>
      <c r="AQ590" s="1684"/>
      <c r="AR590" s="1684"/>
      <c r="AS590" s="1684"/>
      <c r="AT590" s="1684"/>
      <c r="AU590" s="1684"/>
      <c r="AV590" s="1684"/>
      <c r="AW590" s="1684"/>
      <c r="AX590" s="1684"/>
      <c r="AY590" s="1684"/>
      <c r="AZ590" s="1684"/>
      <c r="BA590" s="1684"/>
      <c r="BB590" s="1684"/>
      <c r="BC590" s="1684"/>
      <c r="BD590" s="1684"/>
      <c r="BE590" s="1684"/>
      <c r="BF590" s="1684"/>
      <c r="BG590" s="1684"/>
      <c r="BH590" s="1684"/>
      <c r="BI590" s="1684"/>
      <c r="BJ590" s="1684"/>
      <c r="BK590" s="1684"/>
      <c r="BL590" s="1684"/>
      <c r="BM590" s="1684"/>
      <c r="BN590" s="1684"/>
      <c r="BO590" s="1684"/>
      <c r="BP590" s="1684"/>
      <c r="BQ590" s="1684"/>
      <c r="BR590" s="1684"/>
      <c r="BS590" s="1684"/>
      <c r="BT590" s="1684"/>
      <c r="BU590" s="1684"/>
      <c r="BV590" s="1684"/>
      <c r="BW590" s="1684"/>
      <c r="BX590" s="1684"/>
      <c r="BY590" s="1684"/>
      <c r="BZ590" s="1684"/>
      <c r="CA590" s="1684"/>
      <c r="CB590" s="1684"/>
      <c r="CC590" s="1684"/>
      <c r="CD590" s="1684"/>
      <c r="CE590" s="1684"/>
      <c r="CF590" s="1684"/>
      <c r="CG590" s="1684"/>
      <c r="CH590" s="1684"/>
      <c r="CI590" s="1684"/>
      <c r="CJ590" s="1684"/>
      <c r="CK590" s="1684"/>
      <c r="CL590" s="1684"/>
      <c r="CM590" s="1684"/>
      <c r="CN590" s="1684"/>
      <c r="CO590" s="1684"/>
    </row>
    <row r="591" spans="1:256" s="1391" customFormat="1" ht="15" x14ac:dyDescent="0.2">
      <c r="A591" s="1684"/>
      <c r="B591" s="1684"/>
      <c r="C591" s="2013">
        <v>12</v>
      </c>
      <c r="D591" s="5">
        <v>7.0979999999999999</v>
      </c>
      <c r="E591" s="5">
        <v>208</v>
      </c>
      <c r="F591" s="5">
        <v>231</v>
      </c>
      <c r="G591" s="5">
        <v>253</v>
      </c>
      <c r="H591" s="5">
        <v>275</v>
      </c>
      <c r="I591" s="5">
        <v>297</v>
      </c>
      <c r="J591" s="5">
        <v>319</v>
      </c>
      <c r="K591" s="5">
        <v>341</v>
      </c>
      <c r="L591" s="5">
        <v>364</v>
      </c>
      <c r="M591" s="5">
        <v>384</v>
      </c>
      <c r="N591" s="5">
        <v>406</v>
      </c>
      <c r="O591" s="5">
        <v>428</v>
      </c>
      <c r="P591" s="5">
        <v>450</v>
      </c>
      <c r="Q591" s="1160">
        <v>27</v>
      </c>
      <c r="R591"/>
      <c r="S591" s="1684"/>
      <c r="T591" s="1684"/>
      <c r="U591" s="1684"/>
      <c r="V591" s="1684"/>
      <c r="W591" s="1684"/>
      <c r="X591" s="1684"/>
      <c r="Y591" s="1684"/>
      <c r="Z591" s="1684"/>
      <c r="AA591" s="1684"/>
      <c r="AB591" s="1684"/>
      <c r="AC591" s="1684"/>
      <c r="AD591" s="1684"/>
      <c r="AE591" s="1684"/>
      <c r="AF591" s="1684"/>
      <c r="AG591" s="1684"/>
      <c r="AH591" s="1684"/>
      <c r="AI591" s="1684"/>
      <c r="AJ591" s="1684"/>
      <c r="AK591" s="1684"/>
      <c r="AL591" s="1684"/>
      <c r="AM591" s="1684"/>
      <c r="AN591" s="1684"/>
      <c r="AO591" s="1684"/>
      <c r="AP591" s="1684"/>
      <c r="AQ591" s="1684"/>
      <c r="AR591" s="1684"/>
      <c r="AS591" s="1684"/>
      <c r="AT591" s="1684"/>
      <c r="AU591" s="1684"/>
      <c r="AV591" s="1684"/>
      <c r="AW591" s="1684"/>
      <c r="AX591" s="1684"/>
      <c r="AY591" s="1684"/>
      <c r="AZ591" s="1684"/>
      <c r="BA591" s="1684"/>
      <c r="BB591" s="1684"/>
      <c r="BC591" s="1684"/>
      <c r="BD591" s="1684"/>
      <c r="BE591" s="1684"/>
      <c r="BF591" s="1684"/>
      <c r="BG591" s="1684"/>
      <c r="BH591" s="1684"/>
      <c r="BI591" s="1684"/>
      <c r="BJ591" s="1684"/>
      <c r="BK591" s="1684"/>
      <c r="BL591" s="1684"/>
      <c r="BM591" s="1684"/>
      <c r="BN591" s="1684"/>
      <c r="BO591" s="1684"/>
      <c r="BP591" s="1684"/>
      <c r="BQ591" s="1684"/>
      <c r="BR591" s="1684"/>
      <c r="BS591" s="1684"/>
      <c r="BT591" s="1684"/>
      <c r="BU591" s="1684"/>
      <c r="BV591" s="1684"/>
      <c r="BW591" s="1684"/>
      <c r="BX591" s="1684"/>
      <c r="BY591" s="1684"/>
      <c r="BZ591" s="1684"/>
      <c r="CA591" s="1684"/>
      <c r="CB591" s="1684"/>
      <c r="CC591" s="1684"/>
      <c r="CD591" s="1684"/>
      <c r="CE591" s="1684"/>
      <c r="CF591" s="1684"/>
      <c r="CG591" s="1684"/>
      <c r="CH591" s="1684"/>
      <c r="CI591" s="1684"/>
      <c r="CJ591" s="1684"/>
      <c r="CK591" s="1684"/>
      <c r="CL591" s="1684"/>
      <c r="CM591" s="1684"/>
      <c r="CN591" s="1684"/>
      <c r="CO591" s="1684"/>
    </row>
    <row r="592" spans="1:256" s="1391" customFormat="1" ht="15" x14ac:dyDescent="0.2">
      <c r="A592" s="1684"/>
      <c r="B592" s="1684"/>
      <c r="C592" s="2013">
        <v>13</v>
      </c>
      <c r="D592" s="5">
        <v>7.4909999999999997</v>
      </c>
      <c r="E592" s="5">
        <v>225</v>
      </c>
      <c r="F592" s="5">
        <v>249</v>
      </c>
      <c r="G592" s="5">
        <v>273</v>
      </c>
      <c r="H592" s="5">
        <v>297</v>
      </c>
      <c r="I592" s="5">
        <v>320</v>
      </c>
      <c r="J592" s="5">
        <v>344</v>
      </c>
      <c r="K592" s="5">
        <v>368</v>
      </c>
      <c r="L592" s="5">
        <v>392</v>
      </c>
      <c r="M592" s="5">
        <v>415</v>
      </c>
      <c r="N592" s="5">
        <v>438</v>
      </c>
      <c r="O592" s="5">
        <v>462</v>
      </c>
      <c r="P592" s="5">
        <v>486</v>
      </c>
      <c r="Q592" s="1160">
        <v>28</v>
      </c>
      <c r="R592"/>
      <c r="S592" s="1684"/>
      <c r="T592" s="1684"/>
      <c r="U592" s="1684"/>
      <c r="V592" s="1684"/>
      <c r="W592" s="1684"/>
      <c r="X592" s="1684"/>
      <c r="Y592" s="1684"/>
      <c r="Z592" s="1684"/>
      <c r="AA592" s="1684"/>
      <c r="AB592" s="1684"/>
      <c r="AC592" s="1684"/>
      <c r="AD592" s="1684"/>
      <c r="AE592" s="1684"/>
      <c r="AF592" s="1684"/>
      <c r="AG592" s="1684"/>
      <c r="AH592" s="1684"/>
      <c r="AI592" s="1684"/>
      <c r="AJ592" s="1684"/>
      <c r="AK592" s="1684"/>
      <c r="AL592" s="1684"/>
      <c r="AM592" s="1684"/>
      <c r="AN592" s="1684"/>
      <c r="AO592" s="1684"/>
      <c r="AP592" s="1684"/>
      <c r="AQ592" s="1684"/>
      <c r="AR592" s="1684"/>
      <c r="AS592" s="1684"/>
      <c r="AT592" s="1684"/>
      <c r="AU592" s="1684"/>
      <c r="AV592" s="1684"/>
      <c r="AW592" s="1684"/>
      <c r="AX592" s="1684"/>
      <c r="AY592" s="1684"/>
      <c r="AZ592" s="1684"/>
      <c r="BA592" s="1684"/>
      <c r="BB592" s="1684"/>
      <c r="BC592" s="1684"/>
      <c r="BD592" s="1684"/>
      <c r="BE592" s="1684"/>
      <c r="BF592" s="1684"/>
      <c r="BG592" s="1684"/>
      <c r="BH592" s="1684"/>
      <c r="BI592" s="1684"/>
      <c r="BJ592" s="1684"/>
      <c r="BK592" s="1684"/>
      <c r="BL592" s="1684"/>
      <c r="BM592" s="1684"/>
      <c r="BN592" s="1684"/>
      <c r="BO592" s="1684"/>
      <c r="BP592" s="1684"/>
      <c r="BQ592" s="1684"/>
      <c r="BR592" s="1684"/>
      <c r="BS592" s="1684"/>
      <c r="BT592" s="1684"/>
      <c r="BU592" s="1684"/>
      <c r="BV592" s="1684"/>
      <c r="BW592" s="1684"/>
      <c r="BX592" s="1684"/>
      <c r="BY592" s="1684"/>
      <c r="BZ592" s="1684"/>
      <c r="CA592" s="1684"/>
      <c r="CB592" s="1684"/>
      <c r="CC592" s="1684"/>
      <c r="CD592" s="1684"/>
      <c r="CE592" s="1684"/>
      <c r="CF592" s="1684"/>
      <c r="CG592" s="1684"/>
      <c r="CH592" s="1684"/>
      <c r="CI592" s="1684"/>
      <c r="CJ592" s="1684"/>
      <c r="CK592" s="1684"/>
      <c r="CL592" s="1684"/>
      <c r="CM592" s="1684"/>
      <c r="CN592" s="1684"/>
      <c r="CO592" s="1684"/>
    </row>
    <row r="593" spans="1:93" s="1391" customFormat="1" ht="15" x14ac:dyDescent="0.2">
      <c r="A593" s="1684"/>
      <c r="B593" s="1684"/>
      <c r="C593" s="2013">
        <v>14</v>
      </c>
      <c r="D593" s="5">
        <v>7.8979999999999997</v>
      </c>
      <c r="E593" s="5">
        <v>242</v>
      </c>
      <c r="F593" s="5">
        <v>268</v>
      </c>
      <c r="G593" s="5">
        <v>294</v>
      </c>
      <c r="H593" s="5">
        <v>319</v>
      </c>
      <c r="I593" s="5">
        <v>345</v>
      </c>
      <c r="J593" s="5">
        <v>370</v>
      </c>
      <c r="K593" s="5">
        <v>395</v>
      </c>
      <c r="L593" s="5">
        <v>422</v>
      </c>
      <c r="M593" s="5">
        <v>446</v>
      </c>
      <c r="N593" s="5">
        <v>472</v>
      </c>
      <c r="O593" s="5">
        <v>497</v>
      </c>
      <c r="P593" s="5">
        <v>523</v>
      </c>
      <c r="Q593" s="1160">
        <v>29</v>
      </c>
      <c r="R593"/>
      <c r="S593" s="1684"/>
      <c r="T593" s="1684"/>
      <c r="U593" s="1684"/>
      <c r="V593" s="1684"/>
      <c r="W593" s="1684"/>
      <c r="X593" s="1684"/>
      <c r="Y593" s="1684"/>
      <c r="Z593" s="1684"/>
      <c r="AA593" s="1684"/>
      <c r="AB593" s="1684"/>
      <c r="AC593" s="1684"/>
      <c r="AD593" s="1684"/>
      <c r="AE593" s="1684"/>
      <c r="AF593" s="1684"/>
      <c r="AG593" s="1684"/>
      <c r="AH593" s="1684"/>
      <c r="AI593" s="1684"/>
      <c r="AJ593" s="1684"/>
      <c r="AK593" s="1684"/>
      <c r="AL593" s="1684"/>
      <c r="AM593" s="1684"/>
      <c r="AN593" s="1684"/>
      <c r="AO593" s="1684"/>
      <c r="AP593" s="1684"/>
      <c r="AQ593" s="1684"/>
      <c r="AR593" s="1684"/>
      <c r="AS593" s="1684"/>
      <c r="AT593" s="1684"/>
      <c r="AU593" s="1684"/>
      <c r="AV593" s="1684"/>
      <c r="AW593" s="1684"/>
      <c r="AX593" s="1684"/>
      <c r="AY593" s="1684"/>
      <c r="AZ593" s="1684"/>
      <c r="BA593" s="1684"/>
      <c r="BB593" s="1684"/>
      <c r="BC593" s="1684"/>
      <c r="BD593" s="1684"/>
      <c r="BE593" s="1684"/>
      <c r="BF593" s="1684"/>
      <c r="BG593" s="1684"/>
      <c r="BH593" s="1684"/>
      <c r="BI593" s="1684"/>
      <c r="BJ593" s="1684"/>
      <c r="BK593" s="1684"/>
      <c r="BL593" s="1684"/>
      <c r="BM593" s="1684"/>
      <c r="BN593" s="1684"/>
      <c r="BO593" s="1684"/>
      <c r="BP593" s="1684"/>
      <c r="BQ593" s="1684"/>
      <c r="BR593" s="1684"/>
      <c r="BS593" s="1684"/>
      <c r="BT593" s="1684"/>
      <c r="BU593" s="1684"/>
      <c r="BV593" s="1684"/>
      <c r="BW593" s="1684"/>
      <c r="BX593" s="1684"/>
      <c r="BY593" s="1684"/>
      <c r="BZ593" s="1684"/>
      <c r="CA593" s="1684"/>
      <c r="CB593" s="1684"/>
      <c r="CC593" s="1684"/>
      <c r="CD593" s="1684"/>
      <c r="CE593" s="1684"/>
      <c r="CF593" s="1684"/>
      <c r="CG593" s="1684"/>
      <c r="CH593" s="1684"/>
      <c r="CI593" s="1684"/>
      <c r="CJ593" s="1684"/>
      <c r="CK593" s="1684"/>
      <c r="CL593" s="1684"/>
      <c r="CM593" s="1684"/>
      <c r="CN593" s="1684"/>
      <c r="CO593" s="1684"/>
    </row>
    <row r="594" spans="1:93" s="1391" customFormat="1" ht="15" x14ac:dyDescent="0.2">
      <c r="A594" s="1684"/>
      <c r="B594" s="1684"/>
      <c r="C594" s="2013">
        <v>15</v>
      </c>
      <c r="D594" s="5">
        <v>8.31</v>
      </c>
      <c r="E594" s="5">
        <v>259</v>
      </c>
      <c r="F594" s="5">
        <v>287</v>
      </c>
      <c r="G594" s="5">
        <v>315</v>
      </c>
      <c r="H594" s="5">
        <v>342</v>
      </c>
      <c r="I594" s="5">
        <v>369</v>
      </c>
      <c r="J594" s="5">
        <v>396</v>
      </c>
      <c r="K594" s="5">
        <v>423</v>
      </c>
      <c r="L594" s="5">
        <v>452</v>
      </c>
      <c r="M594" s="5">
        <v>478</v>
      </c>
      <c r="N594" s="5">
        <v>505</v>
      </c>
      <c r="O594" s="5">
        <v>532</v>
      </c>
      <c r="P594" s="5">
        <v>560</v>
      </c>
      <c r="Q594" s="1160">
        <v>30</v>
      </c>
      <c r="R594"/>
      <c r="S594" s="1684"/>
      <c r="T594" s="1684"/>
      <c r="U594" s="1684"/>
      <c r="V594" s="1684"/>
      <c r="W594" s="1684"/>
      <c r="X594" s="1684"/>
      <c r="Y594" s="1684"/>
      <c r="Z594" s="1684"/>
      <c r="AA594" s="1684"/>
      <c r="AB594" s="1684"/>
      <c r="AC594" s="1684"/>
      <c r="AD594" s="1684"/>
      <c r="AE594" s="1684"/>
      <c r="AF594" s="1684"/>
      <c r="AG594" s="1684"/>
      <c r="AH594" s="1684"/>
      <c r="AI594" s="1684"/>
      <c r="AJ594" s="1684"/>
      <c r="AK594" s="1684"/>
      <c r="AL594" s="1684"/>
      <c r="AM594" s="1684"/>
      <c r="AN594" s="1684"/>
      <c r="AO594" s="1684"/>
      <c r="AP594" s="1684"/>
      <c r="AQ594" s="1684"/>
      <c r="AR594" s="1684"/>
      <c r="AS594" s="1684"/>
      <c r="AT594" s="1684"/>
      <c r="AU594" s="1684"/>
      <c r="AV594" s="1684"/>
      <c r="AW594" s="1684"/>
      <c r="AX594" s="1684"/>
      <c r="AY594" s="1684"/>
      <c r="AZ594" s="1684"/>
      <c r="BA594" s="1684"/>
      <c r="BB594" s="1684"/>
      <c r="BC594" s="1684"/>
      <c r="BD594" s="1684"/>
      <c r="BE594" s="1684"/>
      <c r="BF594" s="1684"/>
      <c r="BG594" s="1684"/>
      <c r="BH594" s="1684"/>
      <c r="BI594" s="1684"/>
      <c r="BJ594" s="1684"/>
      <c r="BK594" s="1684"/>
      <c r="BL594" s="1684"/>
      <c r="BM594" s="1684"/>
      <c r="BN594" s="1684"/>
      <c r="BO594" s="1684"/>
      <c r="BP594" s="1684"/>
      <c r="BQ594" s="1684"/>
      <c r="BR594" s="1684"/>
      <c r="BS594" s="1684"/>
      <c r="BT594" s="1684"/>
      <c r="BU594" s="1684"/>
      <c r="BV594" s="1684"/>
      <c r="BW594" s="1684"/>
      <c r="BX594" s="1684"/>
      <c r="BY594" s="1684"/>
      <c r="BZ594" s="1684"/>
      <c r="CA594" s="1684"/>
      <c r="CB594" s="1684"/>
      <c r="CC594" s="1684"/>
      <c r="CD594" s="1684"/>
      <c r="CE594" s="1684"/>
      <c r="CF594" s="1684"/>
      <c r="CG594" s="1684"/>
      <c r="CH594" s="1684"/>
      <c r="CI594" s="1684"/>
      <c r="CJ594" s="1684"/>
      <c r="CK594" s="1684"/>
      <c r="CL594" s="1684"/>
      <c r="CM594" s="1684"/>
      <c r="CN594" s="1684"/>
      <c r="CO594" s="1684"/>
    </row>
    <row r="595" spans="1:93" s="1391" customFormat="1" ht="15" x14ac:dyDescent="0.2">
      <c r="A595" s="1684"/>
      <c r="B595" s="1684"/>
      <c r="C595" s="2013">
        <v>16</v>
      </c>
      <c r="D595" s="5">
        <v>8.86</v>
      </c>
      <c r="E595" s="5">
        <v>275</v>
      </c>
      <c r="F595" s="5">
        <v>306</v>
      </c>
      <c r="G595" s="5">
        <v>334</v>
      </c>
      <c r="H595" s="5">
        <v>363</v>
      </c>
      <c r="I595" s="5">
        <v>392</v>
      </c>
      <c r="J595" s="5">
        <v>421</v>
      </c>
      <c r="K595" s="5">
        <v>450</v>
      </c>
      <c r="L595" s="5">
        <v>481</v>
      </c>
      <c r="M595" s="5">
        <v>508</v>
      </c>
      <c r="N595" s="5">
        <v>537</v>
      </c>
      <c r="O595" s="5">
        <v>566</v>
      </c>
      <c r="P595" s="5">
        <v>595</v>
      </c>
      <c r="Q595" s="1160">
        <v>31</v>
      </c>
      <c r="R595"/>
      <c r="S595" s="1684"/>
      <c r="T595" s="1684"/>
      <c r="U595" s="1684"/>
      <c r="V595" s="1684"/>
      <c r="W595" s="1684"/>
      <c r="X595" s="1684"/>
      <c r="Y595" s="1684"/>
      <c r="Z595" s="1684"/>
      <c r="AA595" s="1684"/>
      <c r="AB595" s="1684"/>
      <c r="AC595" s="1684"/>
      <c r="AD595" s="1684"/>
      <c r="AE595" s="1684"/>
      <c r="AF595" s="1684"/>
      <c r="AG595" s="1684"/>
      <c r="AH595" s="1684"/>
      <c r="AI595" s="1684"/>
      <c r="AJ595" s="1684"/>
      <c r="AK595" s="1684"/>
      <c r="AL595" s="1684"/>
      <c r="AM595" s="1684"/>
      <c r="AN595" s="1684"/>
      <c r="AO595" s="1684"/>
      <c r="AP595" s="1684"/>
      <c r="AQ595" s="1684"/>
      <c r="AR595" s="1684"/>
      <c r="AS595" s="1684"/>
      <c r="AT595" s="1684"/>
      <c r="AU595" s="1684"/>
      <c r="AV595" s="1684"/>
      <c r="AW595" s="1684"/>
      <c r="AX595" s="1684"/>
      <c r="AY595" s="1684"/>
      <c r="AZ595" s="1684"/>
      <c r="BA595" s="1684"/>
      <c r="BB595" s="1684"/>
      <c r="BC595" s="1684"/>
      <c r="BD595" s="1684"/>
      <c r="BE595" s="1684"/>
      <c r="BF595" s="1684"/>
      <c r="BG595" s="1684"/>
      <c r="BH595" s="1684"/>
      <c r="BI595" s="1684"/>
      <c r="BJ595" s="1684"/>
      <c r="BK595" s="1684"/>
      <c r="BL595" s="1684"/>
      <c r="BM595" s="1684"/>
      <c r="BN595" s="1684"/>
      <c r="BO595" s="1684"/>
      <c r="BP595" s="1684"/>
      <c r="BQ595" s="1684"/>
      <c r="BR595" s="1684"/>
      <c r="BS595" s="1684"/>
      <c r="BT595" s="1684"/>
      <c r="BU595" s="1684"/>
      <c r="BV595" s="1684"/>
      <c r="BW595" s="1684"/>
      <c r="BX595" s="1684"/>
      <c r="BY595" s="1684"/>
      <c r="BZ595" s="1684"/>
      <c r="CA595" s="1684"/>
      <c r="CB595" s="1684"/>
      <c r="CC595" s="1684"/>
      <c r="CD595" s="1684"/>
      <c r="CE595" s="1684"/>
      <c r="CF595" s="1684"/>
      <c r="CG595" s="1684"/>
      <c r="CH595" s="1684"/>
      <c r="CI595" s="1684"/>
      <c r="CJ595" s="1684"/>
      <c r="CK595" s="1684"/>
      <c r="CL595" s="1684"/>
      <c r="CM595" s="1684"/>
      <c r="CN595" s="1684"/>
      <c r="CO595" s="1684"/>
    </row>
    <row r="596" spans="1:93" s="1391" customFormat="1" ht="15" x14ac:dyDescent="0.2">
      <c r="A596" s="1684"/>
      <c r="B596" s="1684"/>
      <c r="C596" s="2013">
        <v>17</v>
      </c>
      <c r="D596" s="5">
        <v>9.4489999999999998</v>
      </c>
      <c r="E596" s="5">
        <v>290</v>
      </c>
      <c r="F596" s="5">
        <v>322</v>
      </c>
      <c r="G596" s="5">
        <v>353</v>
      </c>
      <c r="H596" s="5">
        <v>383</v>
      </c>
      <c r="I596" s="5">
        <v>414</v>
      </c>
      <c r="J596" s="5">
        <v>444</v>
      </c>
      <c r="K596" s="5">
        <v>475</v>
      </c>
      <c r="L596" s="5">
        <v>507</v>
      </c>
      <c r="M596" s="5">
        <v>536</v>
      </c>
      <c r="N596" s="5">
        <v>566</v>
      </c>
      <c r="O596" s="5">
        <v>597</v>
      </c>
      <c r="P596" s="5">
        <v>627</v>
      </c>
      <c r="Q596" s="1160">
        <v>32</v>
      </c>
      <c r="R596"/>
      <c r="S596" s="1684"/>
      <c r="T596" s="1684"/>
      <c r="U596" s="1684"/>
      <c r="V596" s="1684"/>
      <c r="W596" s="1684"/>
      <c r="X596" s="1684"/>
      <c r="Y596" s="1684"/>
      <c r="Z596" s="1684"/>
      <c r="AA596" s="1684"/>
      <c r="AB596" s="1684"/>
      <c r="AC596" s="1684"/>
      <c r="AD596" s="1684"/>
      <c r="AE596" s="1684"/>
      <c r="AF596" s="1684"/>
      <c r="AG596" s="1684"/>
      <c r="AH596" s="1684"/>
      <c r="AI596" s="1684"/>
      <c r="AJ596" s="1684"/>
      <c r="AK596" s="1684"/>
      <c r="AL596" s="1684"/>
      <c r="AM596" s="1684"/>
      <c r="AN596" s="1684"/>
      <c r="AO596" s="1684"/>
      <c r="AP596" s="1684"/>
      <c r="AQ596" s="1684"/>
      <c r="AR596" s="1684"/>
      <c r="AS596" s="1684"/>
      <c r="AT596" s="1684"/>
      <c r="AU596" s="1684"/>
      <c r="AV596" s="1684"/>
      <c r="AW596" s="1684"/>
      <c r="AX596" s="1684"/>
      <c r="AY596" s="1684"/>
      <c r="AZ596" s="1684"/>
      <c r="BA596" s="1684"/>
      <c r="BB596" s="1684"/>
      <c r="BC596" s="1684"/>
      <c r="BD596" s="1684"/>
      <c r="BE596" s="1684"/>
      <c r="BF596" s="1684"/>
      <c r="BG596" s="1684"/>
      <c r="BH596" s="1684"/>
      <c r="BI596" s="1684"/>
      <c r="BJ596" s="1684"/>
      <c r="BK596" s="1684"/>
      <c r="BL596" s="1684"/>
      <c r="BM596" s="1684"/>
      <c r="BN596" s="1684"/>
      <c r="BO596" s="1684"/>
      <c r="BP596" s="1684"/>
      <c r="BQ596" s="1684"/>
      <c r="BR596" s="1684"/>
      <c r="BS596" s="1684"/>
      <c r="BT596" s="1684"/>
      <c r="BU596" s="1684"/>
      <c r="BV596" s="1684"/>
      <c r="BW596" s="1684"/>
      <c r="BX596" s="1684"/>
      <c r="BY596" s="1684"/>
      <c r="BZ596" s="1684"/>
      <c r="CA596" s="1684"/>
      <c r="CB596" s="1684"/>
      <c r="CC596" s="1684"/>
      <c r="CD596" s="1684"/>
      <c r="CE596" s="1684"/>
      <c r="CF596" s="1684"/>
      <c r="CG596" s="1684"/>
      <c r="CH596" s="1684"/>
      <c r="CI596" s="1684"/>
      <c r="CJ596" s="1684"/>
      <c r="CK596" s="1684"/>
      <c r="CL596" s="1684"/>
      <c r="CM596" s="1684"/>
      <c r="CN596" s="1684"/>
      <c r="CO596" s="1684"/>
    </row>
    <row r="597" spans="1:93" s="1391" customFormat="1" ht="15" x14ac:dyDescent="0.2">
      <c r="A597" s="1684"/>
      <c r="B597" s="1684"/>
      <c r="C597" s="2013">
        <v>18</v>
      </c>
      <c r="D597" s="5">
        <v>9.7829999999999995</v>
      </c>
      <c r="E597" s="5">
        <v>303</v>
      </c>
      <c r="F597" s="5">
        <v>337</v>
      </c>
      <c r="G597" s="5">
        <v>369</v>
      </c>
      <c r="H597" s="5">
        <v>401</v>
      </c>
      <c r="I597" s="5">
        <v>433</v>
      </c>
      <c r="J597" s="5">
        <v>465</v>
      </c>
      <c r="K597" s="5">
        <v>497</v>
      </c>
      <c r="L597" s="5">
        <v>530</v>
      </c>
      <c r="M597" s="5">
        <v>561</v>
      </c>
      <c r="N597" s="5">
        <v>593</v>
      </c>
      <c r="O597" s="5">
        <v>625</v>
      </c>
      <c r="P597" s="5">
        <v>656</v>
      </c>
      <c r="Q597" s="1160">
        <v>33</v>
      </c>
      <c r="R597"/>
      <c r="S597" s="1684"/>
      <c r="T597" s="1684"/>
      <c r="U597" s="1684"/>
      <c r="V597" s="1684"/>
      <c r="W597" s="1684"/>
      <c r="X597" s="1684"/>
      <c r="Y597" s="1684"/>
      <c r="Z597" s="1684"/>
      <c r="AA597" s="1684"/>
      <c r="AB597" s="1684"/>
      <c r="AC597" s="1684"/>
      <c r="AD597" s="1684"/>
      <c r="AE597" s="1684"/>
      <c r="AF597" s="1684"/>
      <c r="AG597" s="1684"/>
      <c r="AH597" s="1684"/>
      <c r="AI597" s="1684"/>
      <c r="AJ597" s="1684"/>
      <c r="AK597" s="1684"/>
      <c r="AL597" s="1684"/>
      <c r="AM597" s="1684"/>
      <c r="AN597" s="1684"/>
      <c r="AO597" s="1684"/>
      <c r="AP597" s="1684"/>
      <c r="AQ597" s="1684"/>
      <c r="AR597" s="1684"/>
      <c r="AS597" s="1684"/>
      <c r="AT597" s="1684"/>
      <c r="AU597" s="1684"/>
      <c r="AV597" s="1684"/>
      <c r="AW597" s="1684"/>
      <c r="AX597" s="1684"/>
      <c r="AY597" s="1684"/>
      <c r="AZ597" s="1684"/>
      <c r="BA597" s="1684"/>
      <c r="BB597" s="1684"/>
      <c r="BC597" s="1684"/>
      <c r="BD597" s="1684"/>
      <c r="BE597" s="1684"/>
      <c r="BF597" s="1684"/>
      <c r="BG597" s="1684"/>
      <c r="BH597" s="1684"/>
      <c r="BI597" s="1684"/>
      <c r="BJ597" s="1684"/>
      <c r="BK597" s="1684"/>
      <c r="BL597" s="1684"/>
      <c r="BM597" s="1684"/>
      <c r="BN597" s="1684"/>
      <c r="BO597" s="1684"/>
      <c r="BP597" s="1684"/>
      <c r="BQ597" s="1684"/>
      <c r="BR597" s="1684"/>
      <c r="BS597" s="1684"/>
      <c r="BT597" s="1684"/>
      <c r="BU597" s="1684"/>
      <c r="BV597" s="1684"/>
      <c r="BW597" s="1684"/>
      <c r="BX597" s="1684"/>
      <c r="BY597" s="1684"/>
      <c r="BZ597" s="1684"/>
      <c r="CA597" s="1684"/>
      <c r="CB597" s="1684"/>
      <c r="CC597" s="1684"/>
      <c r="CD597" s="1684"/>
      <c r="CE597" s="1684"/>
      <c r="CF597" s="1684"/>
      <c r="CG597" s="1684"/>
      <c r="CH597" s="1684"/>
      <c r="CI597" s="1684"/>
      <c r="CJ597" s="1684"/>
      <c r="CK597" s="1684"/>
      <c r="CL597" s="1684"/>
      <c r="CM597" s="1684"/>
      <c r="CN597" s="1684"/>
      <c r="CO597" s="1684"/>
    </row>
    <row r="598" spans="1:93" s="1391" customFormat="1" ht="15" x14ac:dyDescent="0.2">
      <c r="A598" s="1684"/>
      <c r="B598" s="1684"/>
      <c r="C598" s="4680" t="s">
        <v>3693</v>
      </c>
      <c r="D598" s="4681"/>
      <c r="E598" s="4681"/>
      <c r="F598" s="4681"/>
      <c r="G598" s="4681"/>
      <c r="H598" s="4681"/>
      <c r="I598" s="4681"/>
      <c r="J598" s="4681"/>
      <c r="K598" s="4681"/>
      <c r="L598" s="4681"/>
      <c r="M598" s="4681"/>
      <c r="N598" s="4681"/>
      <c r="O598" s="4681"/>
      <c r="P598" s="4681"/>
      <c r="Q598" s="4682"/>
      <c r="R598"/>
      <c r="S598" s="1684"/>
      <c r="T598" s="1684"/>
      <c r="U598" s="1684"/>
      <c r="V598" s="1684"/>
      <c r="W598" s="1684"/>
      <c r="X598" s="1684"/>
      <c r="Y598" s="1684"/>
      <c r="Z598" s="1684"/>
      <c r="AA598" s="1684"/>
      <c r="AB598" s="1684"/>
      <c r="AC598" s="1684"/>
      <c r="AD598" s="1684"/>
      <c r="AE598" s="1684"/>
      <c r="AF598" s="1684"/>
      <c r="AG598" s="1684"/>
      <c r="AH598" s="1684"/>
      <c r="AI598" s="1684"/>
      <c r="AJ598" s="1684"/>
      <c r="AK598" s="1684"/>
      <c r="AL598" s="1684"/>
      <c r="AM598" s="1684"/>
      <c r="AN598" s="1684"/>
      <c r="AO598" s="1684"/>
      <c r="AP598" s="1684"/>
      <c r="AQ598" s="1684"/>
      <c r="AR598" s="1684"/>
      <c r="AS598" s="1684"/>
      <c r="AT598" s="1684"/>
      <c r="AU598" s="1684"/>
      <c r="AV598" s="1684"/>
      <c r="AW598" s="1684"/>
      <c r="AX598" s="1684"/>
      <c r="AY598" s="1684"/>
      <c r="AZ598" s="1684"/>
      <c r="BA598" s="1684"/>
      <c r="BB598" s="1684"/>
      <c r="BC598" s="1684"/>
      <c r="BD598" s="1684"/>
      <c r="BE598" s="1684"/>
      <c r="BF598" s="1684"/>
      <c r="BG598" s="1684"/>
      <c r="BH598" s="1684"/>
      <c r="BI598" s="1684"/>
      <c r="BJ598" s="1684"/>
      <c r="BK598" s="1684"/>
      <c r="BL598" s="1684"/>
      <c r="BM598" s="1684"/>
      <c r="BN598" s="1684"/>
      <c r="BO598" s="1684"/>
      <c r="BP598" s="1684"/>
      <c r="BQ598" s="1684"/>
      <c r="BR598" s="1684"/>
      <c r="BS598" s="1684"/>
      <c r="BT598" s="1684"/>
      <c r="BU598" s="1684"/>
      <c r="BV598" s="1684"/>
      <c r="BW598" s="1684"/>
      <c r="BX598" s="1684"/>
      <c r="BY598" s="1684"/>
      <c r="BZ598" s="1684"/>
      <c r="CA598" s="1684"/>
      <c r="CB598" s="1684"/>
      <c r="CC598" s="1684"/>
      <c r="CD598" s="1684"/>
      <c r="CE598" s="1684"/>
      <c r="CF598" s="1684"/>
      <c r="CG598" s="1684"/>
      <c r="CH598" s="1684"/>
      <c r="CI598" s="1684"/>
      <c r="CJ598" s="1684"/>
      <c r="CK598" s="1684"/>
      <c r="CL598" s="1684"/>
      <c r="CM598" s="1684"/>
      <c r="CN598" s="1684"/>
      <c r="CO598" s="1684"/>
    </row>
    <row r="599" spans="1:93" s="1391" customFormat="1" ht="15" x14ac:dyDescent="0.2">
      <c r="A599" s="1684"/>
      <c r="B599" s="1684"/>
      <c r="C599" s="4680"/>
      <c r="D599" s="4681"/>
      <c r="E599" s="4681"/>
      <c r="F599" s="4681"/>
      <c r="G599" s="4681"/>
      <c r="H599" s="4681"/>
      <c r="I599" s="4681"/>
      <c r="J599" s="4681"/>
      <c r="K599" s="4681"/>
      <c r="L599" s="4681"/>
      <c r="M599" s="4681"/>
      <c r="N599" s="4681"/>
      <c r="O599" s="4681"/>
      <c r="P599" s="4681"/>
      <c r="Q599" s="4682"/>
      <c r="R599"/>
      <c r="S599" s="1684"/>
      <c r="T599" s="1684"/>
      <c r="U599" s="1684"/>
      <c r="V599" s="1684"/>
      <c r="W599" s="1684"/>
      <c r="X599" s="1684"/>
      <c r="Y599" s="1684"/>
      <c r="Z599" s="1684"/>
      <c r="AA599" s="1684"/>
      <c r="AB599" s="1684"/>
      <c r="AC599" s="1684"/>
      <c r="AD599" s="1684"/>
      <c r="AE599" s="1684"/>
      <c r="AF599" s="1684"/>
      <c r="AG599" s="1684"/>
      <c r="AH599" s="1684"/>
      <c r="AI599" s="1684"/>
      <c r="AJ599" s="1684"/>
      <c r="AK599" s="1684"/>
      <c r="AL599" s="1684"/>
      <c r="AM599" s="1684"/>
      <c r="AN599" s="1684"/>
      <c r="AO599" s="1684"/>
      <c r="AP599" s="1684"/>
      <c r="AQ599" s="1684"/>
      <c r="AR599" s="1684"/>
      <c r="AS599" s="1684"/>
      <c r="AT599" s="1684"/>
      <c r="AU599" s="1684"/>
      <c r="AV599" s="1684"/>
      <c r="AW599" s="1684"/>
      <c r="AX599" s="1684"/>
      <c r="AY599" s="1684"/>
      <c r="AZ599" s="1684"/>
      <c r="BA599" s="1684"/>
      <c r="BB599" s="1684"/>
      <c r="BC599" s="1684"/>
      <c r="BD599" s="1684"/>
      <c r="BE599" s="1684"/>
      <c r="BF599" s="1684"/>
      <c r="BG599" s="1684"/>
      <c r="BH599" s="1684"/>
      <c r="BI599" s="1684"/>
      <c r="BJ599" s="1684"/>
      <c r="BK599" s="1684"/>
      <c r="BL599" s="1684"/>
      <c r="BM599" s="1684"/>
      <c r="BN599" s="1684"/>
      <c r="BO599" s="1684"/>
      <c r="BP599" s="1684"/>
      <c r="BQ599" s="1684"/>
      <c r="BR599" s="1684"/>
      <c r="BS599" s="1684"/>
      <c r="BT599" s="1684"/>
      <c r="BU599" s="1684"/>
      <c r="BV599" s="1684"/>
      <c r="BW599" s="1684"/>
      <c r="BX599" s="1684"/>
      <c r="BY599" s="1684"/>
      <c r="BZ599" s="1684"/>
      <c r="CA599" s="1684"/>
      <c r="CB599" s="1684"/>
      <c r="CC599" s="1684"/>
      <c r="CD599" s="1684"/>
      <c r="CE599" s="1684"/>
      <c r="CF599" s="1684"/>
      <c r="CG599" s="1684"/>
      <c r="CH599" s="1684"/>
      <c r="CI599" s="1684"/>
      <c r="CJ599" s="1684"/>
      <c r="CK599" s="1684"/>
      <c r="CL599" s="1684"/>
      <c r="CM599" s="1684"/>
      <c r="CN599" s="1684"/>
      <c r="CO599" s="1684"/>
    </row>
    <row r="600" spans="1:93" s="1391" customFormat="1" ht="15" x14ac:dyDescent="0.2">
      <c r="A600" s="1684"/>
      <c r="B600" s="1684"/>
      <c r="C600" s="2013"/>
      <c r="D600" s="5"/>
      <c r="E600" s="5">
        <v>1</v>
      </c>
      <c r="F600" s="5">
        <v>2</v>
      </c>
      <c r="G600" s="5">
        <v>3</v>
      </c>
      <c r="H600" s="5">
        <v>4</v>
      </c>
      <c r="I600" s="5">
        <v>5</v>
      </c>
      <c r="J600" s="5">
        <v>6</v>
      </c>
      <c r="K600" s="5">
        <v>7</v>
      </c>
      <c r="L600" s="5">
        <v>8</v>
      </c>
      <c r="M600" s="5">
        <v>9</v>
      </c>
      <c r="N600" s="5">
        <v>10</v>
      </c>
      <c r="O600" s="5">
        <v>11</v>
      </c>
      <c r="P600" s="5">
        <v>12</v>
      </c>
      <c r="Q600" s="1160"/>
      <c r="R600"/>
      <c r="S600" s="1684"/>
      <c r="T600" s="1684"/>
      <c r="U600" s="1684"/>
      <c r="V600" s="1684"/>
      <c r="W600" s="1684"/>
      <c r="X600" s="1684"/>
      <c r="Y600" s="1684"/>
      <c r="Z600" s="1684"/>
      <c r="AA600" s="1684"/>
      <c r="AB600" s="1684"/>
      <c r="AC600" s="1684"/>
      <c r="AD600" s="1684"/>
      <c r="AE600" s="1684"/>
      <c r="AF600" s="1684"/>
      <c r="AG600" s="1684"/>
      <c r="AH600" s="1684"/>
      <c r="AI600" s="1684"/>
      <c r="AJ600" s="1684"/>
      <c r="AK600" s="1684"/>
      <c r="AL600" s="1684"/>
      <c r="AM600" s="1684"/>
      <c r="AN600" s="1684"/>
      <c r="AO600" s="1684"/>
      <c r="AP600" s="1684"/>
      <c r="AQ600" s="1684"/>
      <c r="AR600" s="1684"/>
      <c r="AS600" s="1684"/>
      <c r="AT600" s="1684"/>
      <c r="AU600" s="1684"/>
      <c r="AV600" s="1684"/>
      <c r="AW600" s="1684"/>
      <c r="AX600" s="1684"/>
      <c r="AY600" s="1684"/>
      <c r="AZ600" s="1684"/>
      <c r="BA600" s="1684"/>
      <c r="BB600" s="1684"/>
      <c r="BC600" s="1684"/>
      <c r="BD600" s="1684"/>
      <c r="BE600" s="1684"/>
      <c r="BF600" s="1684"/>
      <c r="BG600" s="1684"/>
      <c r="BH600" s="1684"/>
      <c r="BI600" s="1684"/>
      <c r="BJ600" s="1684"/>
      <c r="BK600" s="1684"/>
      <c r="BL600" s="1684"/>
      <c r="BM600" s="1684"/>
      <c r="BN600" s="1684"/>
      <c r="BO600" s="1684"/>
      <c r="BP600" s="1684"/>
      <c r="BQ600" s="1684"/>
      <c r="BR600" s="1684"/>
      <c r="BS600" s="1684"/>
      <c r="BT600" s="1684"/>
      <c r="BU600" s="1684"/>
      <c r="BV600" s="1684"/>
      <c r="BW600" s="1684"/>
      <c r="BX600" s="1684"/>
      <c r="BY600" s="1684"/>
      <c r="BZ600" s="1684"/>
      <c r="CA600" s="1684"/>
      <c r="CB600" s="1684"/>
      <c r="CC600" s="1684"/>
      <c r="CD600" s="1684"/>
      <c r="CE600" s="1684"/>
      <c r="CF600" s="1684"/>
      <c r="CG600" s="1684"/>
      <c r="CH600" s="1684"/>
      <c r="CI600" s="1684"/>
      <c r="CJ600" s="1684"/>
      <c r="CK600" s="1684"/>
      <c r="CL600" s="1684"/>
      <c r="CM600" s="1684"/>
      <c r="CN600" s="1684"/>
      <c r="CO600" s="1684"/>
    </row>
    <row r="601" spans="1:93" s="1391" customFormat="1" ht="15" x14ac:dyDescent="0.2">
      <c r="A601" s="1684"/>
      <c r="B601" s="1684"/>
      <c r="C601" s="2013">
        <v>8</v>
      </c>
      <c r="D601" s="5">
        <v>5.6950000000000003</v>
      </c>
      <c r="E601" s="5">
        <v>149</v>
      </c>
      <c r="F601" s="5">
        <v>165</v>
      </c>
      <c r="G601" s="5">
        <v>181</v>
      </c>
      <c r="H601" s="5">
        <v>197</v>
      </c>
      <c r="I601" s="5">
        <v>212</v>
      </c>
      <c r="J601" s="5">
        <v>228</v>
      </c>
      <c r="K601" s="5">
        <v>244</v>
      </c>
      <c r="L601" s="5">
        <v>260</v>
      </c>
      <c r="M601" s="5">
        <v>275</v>
      </c>
      <c r="N601" s="5">
        <v>291</v>
      </c>
      <c r="O601" s="5">
        <v>307</v>
      </c>
      <c r="P601" s="5">
        <v>322</v>
      </c>
      <c r="Q601" s="1160">
        <v>34</v>
      </c>
      <c r="R601"/>
      <c r="S601" s="1684"/>
      <c r="T601" s="1684"/>
      <c r="U601" s="1684"/>
      <c r="V601" s="1684"/>
      <c r="W601" s="1684"/>
      <c r="X601" s="1684"/>
      <c r="Y601" s="1684"/>
      <c r="Z601" s="1684"/>
      <c r="AA601" s="1684"/>
      <c r="AB601" s="1684"/>
      <c r="AC601" s="1684"/>
      <c r="AD601" s="1684"/>
      <c r="AE601" s="1684"/>
      <c r="AF601" s="1684"/>
      <c r="AG601" s="1684"/>
      <c r="AH601" s="1684"/>
      <c r="AI601" s="1684"/>
      <c r="AJ601" s="1684"/>
      <c r="AK601" s="1684"/>
      <c r="AL601" s="1684"/>
      <c r="AM601" s="1684"/>
      <c r="AN601" s="1684"/>
      <c r="AO601" s="1684"/>
      <c r="AP601" s="1684"/>
      <c r="AQ601" s="1684"/>
      <c r="AR601" s="1684"/>
      <c r="AS601" s="1684"/>
      <c r="AT601" s="1684"/>
      <c r="AU601" s="1684"/>
      <c r="AV601" s="1684"/>
      <c r="AW601" s="1684"/>
      <c r="AX601" s="1684"/>
      <c r="AY601" s="1684"/>
      <c r="AZ601" s="1684"/>
      <c r="BA601" s="1684"/>
      <c r="BB601" s="1684"/>
      <c r="BC601" s="1684"/>
      <c r="BD601" s="1684"/>
      <c r="BE601" s="1684"/>
      <c r="BF601" s="1684"/>
      <c r="BG601" s="1684"/>
      <c r="BH601" s="1684"/>
      <c r="BI601" s="1684"/>
      <c r="BJ601" s="1684"/>
      <c r="BK601" s="1684"/>
      <c r="BL601" s="1684"/>
      <c r="BM601" s="1684"/>
      <c r="BN601" s="1684"/>
      <c r="BO601" s="1684"/>
      <c r="BP601" s="1684"/>
      <c r="BQ601" s="1684"/>
      <c r="BR601" s="1684"/>
      <c r="BS601" s="1684"/>
      <c r="BT601" s="1684"/>
      <c r="BU601" s="1684"/>
      <c r="BV601" s="1684"/>
      <c r="BW601" s="1684"/>
      <c r="BX601" s="1684"/>
      <c r="BY601" s="1684"/>
      <c r="BZ601" s="1684"/>
      <c r="CA601" s="1684"/>
      <c r="CB601" s="1684"/>
      <c r="CC601" s="1684"/>
      <c r="CD601" s="1684"/>
      <c r="CE601" s="1684"/>
      <c r="CF601" s="1684"/>
      <c r="CG601" s="1684"/>
      <c r="CH601" s="1684"/>
      <c r="CI601" s="1684"/>
      <c r="CJ601" s="1684"/>
      <c r="CK601" s="1684"/>
      <c r="CL601" s="1684"/>
      <c r="CM601" s="1684"/>
      <c r="CN601" s="1684"/>
      <c r="CO601" s="1684"/>
    </row>
    <row r="602" spans="1:93" s="1391" customFormat="1" ht="15" x14ac:dyDescent="0.2">
      <c r="A602" s="1684"/>
      <c r="B602" s="1684"/>
      <c r="C602" s="2013">
        <v>9</v>
      </c>
      <c r="D602" s="5">
        <v>6.0350000000000001</v>
      </c>
      <c r="E602" s="5">
        <v>163</v>
      </c>
      <c r="F602" s="5">
        <v>181</v>
      </c>
      <c r="G602" s="5">
        <v>199</v>
      </c>
      <c r="H602" s="5">
        <v>215</v>
      </c>
      <c r="I602" s="5">
        <v>233</v>
      </c>
      <c r="J602" s="5">
        <v>250</v>
      </c>
      <c r="K602" s="5">
        <v>267</v>
      </c>
      <c r="L602" s="5">
        <v>286</v>
      </c>
      <c r="M602" s="5">
        <v>302</v>
      </c>
      <c r="N602" s="5">
        <v>319</v>
      </c>
      <c r="O602" s="5">
        <v>336</v>
      </c>
      <c r="P602" s="5">
        <v>353</v>
      </c>
      <c r="Q602" s="1160">
        <v>35</v>
      </c>
      <c r="R602"/>
      <c r="S602" s="1684"/>
      <c r="T602" s="1684"/>
      <c r="U602" s="1684"/>
      <c r="V602" s="1684"/>
      <c r="W602" s="1684"/>
      <c r="X602" s="1684"/>
      <c r="Y602" s="1684"/>
      <c r="Z602" s="1684"/>
      <c r="AA602" s="1684"/>
      <c r="AB602" s="1684"/>
      <c r="AC602" s="1684"/>
      <c r="AD602" s="1684"/>
      <c r="AE602" s="1684"/>
      <c r="AF602" s="1684"/>
      <c r="AG602" s="1684"/>
      <c r="AH602" s="1684"/>
      <c r="AI602" s="1684"/>
      <c r="AJ602" s="1684"/>
      <c r="AK602" s="1684"/>
      <c r="AL602" s="1684"/>
      <c r="AM602" s="1684"/>
      <c r="AN602" s="1684"/>
      <c r="AO602" s="1684"/>
      <c r="AP602" s="1684"/>
      <c r="AQ602" s="1684"/>
      <c r="AR602" s="1684"/>
      <c r="AS602" s="1684"/>
      <c r="AT602" s="1684"/>
      <c r="AU602" s="1684"/>
      <c r="AV602" s="1684"/>
      <c r="AW602" s="1684"/>
      <c r="AX602" s="1684"/>
      <c r="AY602" s="1684"/>
      <c r="AZ602" s="1684"/>
      <c r="BA602" s="1684"/>
      <c r="BB602" s="1684"/>
      <c r="BC602" s="1684"/>
      <c r="BD602" s="1684"/>
      <c r="BE602" s="1684"/>
      <c r="BF602" s="1684"/>
      <c r="BG602" s="1684"/>
      <c r="BH602" s="1684"/>
      <c r="BI602" s="1684"/>
      <c r="BJ602" s="1684"/>
      <c r="BK602" s="1684"/>
      <c r="BL602" s="1684"/>
      <c r="BM602" s="1684"/>
      <c r="BN602" s="1684"/>
      <c r="BO602" s="1684"/>
      <c r="BP602" s="1684"/>
      <c r="BQ602" s="1684"/>
      <c r="BR602" s="1684"/>
      <c r="BS602" s="1684"/>
      <c r="BT602" s="1684"/>
      <c r="BU602" s="1684"/>
      <c r="BV602" s="1684"/>
      <c r="BW602" s="1684"/>
      <c r="BX602" s="1684"/>
      <c r="BY602" s="1684"/>
      <c r="BZ602" s="1684"/>
      <c r="CA602" s="1684"/>
      <c r="CB602" s="1684"/>
      <c r="CC602" s="1684"/>
      <c r="CD602" s="1684"/>
      <c r="CE602" s="1684"/>
      <c r="CF602" s="1684"/>
      <c r="CG602" s="1684"/>
      <c r="CH602" s="1684"/>
      <c r="CI602" s="1684"/>
      <c r="CJ602" s="1684"/>
      <c r="CK602" s="1684"/>
      <c r="CL602" s="1684"/>
      <c r="CM602" s="1684"/>
      <c r="CN602" s="1684"/>
      <c r="CO602" s="1684"/>
    </row>
    <row r="603" spans="1:93" s="1391" customFormat="1" ht="15" x14ac:dyDescent="0.2">
      <c r="A603" s="1684"/>
      <c r="B603" s="1684"/>
      <c r="C603" s="2013">
        <v>10</v>
      </c>
      <c r="D603" s="5">
        <v>6.3869999999999996</v>
      </c>
      <c r="E603" s="5">
        <v>178</v>
      </c>
      <c r="F603" s="5">
        <v>198</v>
      </c>
      <c r="G603" s="5">
        <v>217</v>
      </c>
      <c r="H603" s="5">
        <v>236</v>
      </c>
      <c r="I603" s="5">
        <v>254</v>
      </c>
      <c r="J603" s="5">
        <v>273</v>
      </c>
      <c r="K603" s="5">
        <v>292</v>
      </c>
      <c r="L603" s="5">
        <v>312</v>
      </c>
      <c r="M603" s="5">
        <v>329</v>
      </c>
      <c r="N603" s="5">
        <v>348</v>
      </c>
      <c r="O603" s="5">
        <v>367</v>
      </c>
      <c r="P603" s="5">
        <v>386</v>
      </c>
      <c r="Q603" s="1160">
        <v>36</v>
      </c>
      <c r="R603"/>
      <c r="S603" s="1684"/>
      <c r="T603" s="1684"/>
      <c r="U603" s="1684"/>
      <c r="V603" s="1684"/>
      <c r="W603" s="1684"/>
      <c r="X603" s="1684"/>
      <c r="Y603" s="1684"/>
      <c r="Z603" s="1684"/>
      <c r="AA603" s="1684"/>
      <c r="AB603" s="1684"/>
      <c r="AC603" s="1684"/>
      <c r="AD603" s="1684"/>
      <c r="AE603" s="1684"/>
      <c r="AF603" s="1684"/>
      <c r="AG603" s="1684"/>
      <c r="AH603" s="1684"/>
      <c r="AI603" s="1684"/>
      <c r="AJ603" s="1684"/>
      <c r="AK603" s="1684"/>
      <c r="AL603" s="1684"/>
      <c r="AM603" s="1684"/>
      <c r="AN603" s="1684"/>
      <c r="AO603" s="1684"/>
      <c r="AP603" s="1684"/>
      <c r="AQ603" s="1684"/>
      <c r="AR603" s="1684"/>
      <c r="AS603" s="1684"/>
      <c r="AT603" s="1684"/>
      <c r="AU603" s="1684"/>
      <c r="AV603" s="1684"/>
      <c r="AW603" s="1684"/>
      <c r="AX603" s="1684"/>
      <c r="AY603" s="1684"/>
      <c r="AZ603" s="1684"/>
      <c r="BA603" s="1684"/>
      <c r="BB603" s="1684"/>
      <c r="BC603" s="1684"/>
      <c r="BD603" s="1684"/>
      <c r="BE603" s="1684"/>
      <c r="BF603" s="1684"/>
      <c r="BG603" s="1684"/>
      <c r="BH603" s="1684"/>
      <c r="BI603" s="1684"/>
      <c r="BJ603" s="1684"/>
      <c r="BK603" s="1684"/>
      <c r="BL603" s="1684"/>
      <c r="BM603" s="1684"/>
      <c r="BN603" s="1684"/>
      <c r="BO603" s="1684"/>
      <c r="BP603" s="1684"/>
      <c r="BQ603" s="1684"/>
      <c r="BR603" s="1684"/>
      <c r="BS603" s="1684"/>
      <c r="BT603" s="1684"/>
      <c r="BU603" s="1684"/>
      <c r="BV603" s="1684"/>
      <c r="BW603" s="1684"/>
      <c r="BX603" s="1684"/>
      <c r="BY603" s="1684"/>
      <c r="BZ603" s="1684"/>
      <c r="CA603" s="1684"/>
      <c r="CB603" s="1684"/>
      <c r="CC603" s="1684"/>
      <c r="CD603" s="1684"/>
      <c r="CE603" s="1684"/>
      <c r="CF603" s="1684"/>
      <c r="CG603" s="1684"/>
      <c r="CH603" s="1684"/>
      <c r="CI603" s="1684"/>
      <c r="CJ603" s="1684"/>
      <c r="CK603" s="1684"/>
      <c r="CL603" s="1684"/>
      <c r="CM603" s="1684"/>
      <c r="CN603" s="1684"/>
      <c r="CO603" s="1684"/>
    </row>
    <row r="604" spans="1:93" s="1391" customFormat="1" ht="15" x14ac:dyDescent="0.2">
      <c r="A604" s="1684"/>
      <c r="B604" s="1684"/>
      <c r="C604" s="2013">
        <v>11</v>
      </c>
      <c r="D604" s="5">
        <v>6.7750000000000004</v>
      </c>
      <c r="E604" s="5">
        <v>195</v>
      </c>
      <c r="F604" s="5">
        <v>216</v>
      </c>
      <c r="G604" s="5">
        <v>237</v>
      </c>
      <c r="H604" s="5">
        <v>257</v>
      </c>
      <c r="I604" s="5">
        <v>278</v>
      </c>
      <c r="J604" s="5">
        <v>298</v>
      </c>
      <c r="K604" s="5">
        <v>319</v>
      </c>
      <c r="L604" s="5">
        <v>340</v>
      </c>
      <c r="M604" s="5">
        <v>360</v>
      </c>
      <c r="N604" s="5">
        <v>380</v>
      </c>
      <c r="O604" s="5">
        <v>401</v>
      </c>
      <c r="P604" s="5">
        <v>421</v>
      </c>
      <c r="Q604" s="1160">
        <v>37</v>
      </c>
      <c r="R604"/>
      <c r="S604" s="1684"/>
      <c r="T604" s="1684"/>
      <c r="U604" s="1684"/>
      <c r="V604" s="1684"/>
      <c r="W604" s="1684"/>
      <c r="X604" s="1684"/>
      <c r="Y604" s="1684"/>
      <c r="Z604" s="1684"/>
      <c r="AA604" s="1684"/>
      <c r="AB604" s="1684"/>
      <c r="AC604" s="1684"/>
      <c r="AD604" s="1684"/>
      <c r="AE604" s="1684"/>
      <c r="AF604" s="1684"/>
      <c r="AG604" s="1684"/>
      <c r="AH604" s="1684"/>
      <c r="AI604" s="1684"/>
      <c r="AJ604" s="1684"/>
      <c r="AK604" s="1684"/>
      <c r="AL604" s="1684"/>
      <c r="AM604" s="1684"/>
      <c r="AN604" s="1684"/>
      <c r="AO604" s="1684"/>
      <c r="AP604" s="1684"/>
      <c r="AQ604" s="1684"/>
      <c r="AR604" s="1684"/>
      <c r="AS604" s="1684"/>
      <c r="AT604" s="1684"/>
      <c r="AU604" s="1684"/>
      <c r="AV604" s="1684"/>
      <c r="AW604" s="1684"/>
      <c r="AX604" s="1684"/>
      <c r="AY604" s="1684"/>
      <c r="AZ604" s="1684"/>
      <c r="BA604" s="1684"/>
      <c r="BB604" s="1684"/>
      <c r="BC604" s="1684"/>
      <c r="BD604" s="1684"/>
      <c r="BE604" s="1684"/>
      <c r="BF604" s="1684"/>
      <c r="BG604" s="1684"/>
      <c r="BH604" s="1684"/>
      <c r="BI604" s="1684"/>
      <c r="BJ604" s="1684"/>
      <c r="BK604" s="1684"/>
      <c r="BL604" s="1684"/>
      <c r="BM604" s="1684"/>
      <c r="BN604" s="1684"/>
      <c r="BO604" s="1684"/>
      <c r="BP604" s="1684"/>
      <c r="BQ604" s="1684"/>
      <c r="BR604" s="1684"/>
      <c r="BS604" s="1684"/>
      <c r="BT604" s="1684"/>
      <c r="BU604" s="1684"/>
      <c r="BV604" s="1684"/>
      <c r="BW604" s="1684"/>
      <c r="BX604" s="1684"/>
      <c r="BY604" s="1684"/>
      <c r="BZ604" s="1684"/>
      <c r="CA604" s="1684"/>
      <c r="CB604" s="1684"/>
      <c r="CC604" s="1684"/>
      <c r="CD604" s="1684"/>
      <c r="CE604" s="1684"/>
      <c r="CF604" s="1684"/>
      <c r="CG604" s="1684"/>
      <c r="CH604" s="1684"/>
      <c r="CI604" s="1684"/>
      <c r="CJ604" s="1684"/>
      <c r="CK604" s="1684"/>
      <c r="CL604" s="1684"/>
      <c r="CM604" s="1684"/>
      <c r="CN604" s="1684"/>
      <c r="CO604" s="1684"/>
    </row>
    <row r="605" spans="1:93" s="1391" customFormat="1" ht="15" x14ac:dyDescent="0.2">
      <c r="A605" s="1684"/>
      <c r="B605" s="1684"/>
      <c r="C605" s="2013">
        <v>12</v>
      </c>
      <c r="D605" s="5">
        <v>7.1749999999999998</v>
      </c>
      <c r="E605" s="5">
        <v>212</v>
      </c>
      <c r="F605" s="5">
        <v>235</v>
      </c>
      <c r="G605" s="5">
        <v>257</v>
      </c>
      <c r="H605" s="5">
        <v>280</v>
      </c>
      <c r="I605" s="5">
        <v>302</v>
      </c>
      <c r="J605" s="5">
        <v>324</v>
      </c>
      <c r="K605" s="5">
        <v>346</v>
      </c>
      <c r="L605" s="5">
        <v>370</v>
      </c>
      <c r="M605" s="5">
        <v>391</v>
      </c>
      <c r="N605" s="5">
        <v>413</v>
      </c>
      <c r="O605" s="5">
        <v>436</v>
      </c>
      <c r="P605" s="5">
        <v>456</v>
      </c>
      <c r="Q605" s="1160">
        <v>38</v>
      </c>
      <c r="R605"/>
      <c r="S605" s="1684"/>
      <c r="T605" s="1684"/>
      <c r="U605" s="1684"/>
      <c r="V605" s="1684"/>
      <c r="W605" s="1684"/>
      <c r="X605" s="1684"/>
      <c r="Y605" s="1684"/>
      <c r="Z605" s="1684"/>
      <c r="AA605" s="1684"/>
      <c r="AB605" s="1684"/>
      <c r="AC605" s="1684"/>
      <c r="AD605" s="1684"/>
      <c r="AE605" s="1684"/>
      <c r="AF605" s="1684"/>
      <c r="AG605" s="1684"/>
      <c r="AH605" s="1684"/>
      <c r="AI605" s="1684"/>
      <c r="AJ605" s="1684"/>
      <c r="AK605" s="1684"/>
      <c r="AL605" s="1684"/>
      <c r="AM605" s="1684"/>
      <c r="AN605" s="1684"/>
      <c r="AO605" s="1684"/>
      <c r="AP605" s="1684"/>
      <c r="AQ605" s="1684"/>
      <c r="AR605" s="1684"/>
      <c r="AS605" s="1684"/>
      <c r="AT605" s="1684"/>
      <c r="AU605" s="1684"/>
      <c r="AV605" s="1684"/>
      <c r="AW605" s="1684"/>
      <c r="AX605" s="1684"/>
      <c r="AY605" s="1684"/>
      <c r="AZ605" s="1684"/>
      <c r="BA605" s="1684"/>
      <c r="BB605" s="1684"/>
      <c r="BC605" s="1684"/>
      <c r="BD605" s="1684"/>
      <c r="BE605" s="1684"/>
      <c r="BF605" s="1684"/>
      <c r="BG605" s="1684"/>
      <c r="BH605" s="1684"/>
      <c r="BI605" s="1684"/>
      <c r="BJ605" s="1684"/>
      <c r="BK605" s="1684"/>
      <c r="BL605" s="1684"/>
      <c r="BM605" s="1684"/>
      <c r="BN605" s="1684"/>
      <c r="BO605" s="1684"/>
      <c r="BP605" s="1684"/>
      <c r="BQ605" s="1684"/>
      <c r="BR605" s="1684"/>
      <c r="BS605" s="1684"/>
      <c r="BT605" s="1684"/>
      <c r="BU605" s="1684"/>
      <c r="BV605" s="1684"/>
      <c r="BW605" s="1684"/>
      <c r="BX605" s="1684"/>
      <c r="BY605" s="1684"/>
      <c r="BZ605" s="1684"/>
      <c r="CA605" s="1684"/>
      <c r="CB605" s="1684"/>
      <c r="CC605" s="1684"/>
      <c r="CD605" s="1684"/>
      <c r="CE605" s="1684"/>
      <c r="CF605" s="1684"/>
      <c r="CG605" s="1684"/>
      <c r="CH605" s="1684"/>
      <c r="CI605" s="1684"/>
      <c r="CJ605" s="1684"/>
      <c r="CK605" s="1684"/>
      <c r="CL605" s="1684"/>
      <c r="CM605" s="1684"/>
      <c r="CN605" s="1684"/>
      <c r="CO605" s="1684"/>
    </row>
    <row r="606" spans="1:93" s="1391" customFormat="1" ht="15" x14ac:dyDescent="0.2">
      <c r="A606" s="1684"/>
      <c r="B606" s="1684"/>
      <c r="C606" s="2013">
        <v>13</v>
      </c>
      <c r="D606" s="5">
        <v>7.5759999999999996</v>
      </c>
      <c r="E606" s="5">
        <v>229</v>
      </c>
      <c r="F606" s="5">
        <v>254</v>
      </c>
      <c r="G606" s="5">
        <v>278</v>
      </c>
      <c r="H606" s="5">
        <v>302</v>
      </c>
      <c r="I606" s="5">
        <v>326</v>
      </c>
      <c r="J606" s="5">
        <v>350</v>
      </c>
      <c r="K606" s="5">
        <v>374</v>
      </c>
      <c r="L606" s="5">
        <v>399</v>
      </c>
      <c r="M606" s="5">
        <v>422</v>
      </c>
      <c r="N606" s="5">
        <v>446</v>
      </c>
      <c r="O606" s="5">
        <v>470</v>
      </c>
      <c r="P606" s="5">
        <v>494</v>
      </c>
      <c r="Q606" s="1160">
        <v>39</v>
      </c>
      <c r="R606"/>
      <c r="S606" s="1684"/>
      <c r="T606" s="1684"/>
      <c r="U606" s="1684"/>
      <c r="V606" s="1684"/>
      <c r="W606" s="1684"/>
      <c r="X606" s="1684"/>
      <c r="Y606" s="1684"/>
      <c r="Z606" s="1684"/>
      <c r="AA606" s="1684"/>
      <c r="AB606" s="1684"/>
      <c r="AC606" s="1684"/>
      <c r="AD606" s="1684"/>
      <c r="AE606" s="1684"/>
      <c r="AF606" s="1684"/>
      <c r="AG606" s="1684"/>
      <c r="AH606" s="1684"/>
      <c r="AI606" s="1684"/>
      <c r="AJ606" s="1684"/>
      <c r="AK606" s="1684"/>
      <c r="AL606" s="1684"/>
      <c r="AM606" s="1684"/>
      <c r="AN606" s="1684"/>
      <c r="AO606" s="1684"/>
      <c r="AP606" s="1684"/>
      <c r="AQ606" s="1684"/>
      <c r="AR606" s="1684"/>
      <c r="AS606" s="1684"/>
      <c r="AT606" s="1684"/>
      <c r="AU606" s="1684"/>
      <c r="AV606" s="1684"/>
      <c r="AW606" s="1684"/>
      <c r="AX606" s="1684"/>
      <c r="AY606" s="1684"/>
      <c r="AZ606" s="1684"/>
      <c r="BA606" s="1684"/>
      <c r="BB606" s="1684"/>
      <c r="BC606" s="1684"/>
      <c r="BD606" s="1684"/>
      <c r="BE606" s="1684"/>
      <c r="BF606" s="1684"/>
      <c r="BG606" s="1684"/>
      <c r="BH606" s="1684"/>
      <c r="BI606" s="1684"/>
      <c r="BJ606" s="1684"/>
      <c r="BK606" s="1684"/>
      <c r="BL606" s="1684"/>
      <c r="BM606" s="1684"/>
      <c r="BN606" s="1684"/>
      <c r="BO606" s="1684"/>
      <c r="BP606" s="1684"/>
      <c r="BQ606" s="1684"/>
      <c r="BR606" s="1684"/>
      <c r="BS606" s="1684"/>
      <c r="BT606" s="1684"/>
      <c r="BU606" s="1684"/>
      <c r="BV606" s="1684"/>
      <c r="BW606" s="1684"/>
      <c r="BX606" s="1684"/>
      <c r="BY606" s="1684"/>
      <c r="BZ606" s="1684"/>
      <c r="CA606" s="1684"/>
      <c r="CB606" s="1684"/>
      <c r="CC606" s="1684"/>
      <c r="CD606" s="1684"/>
      <c r="CE606" s="1684"/>
      <c r="CF606" s="1684"/>
      <c r="CG606" s="1684"/>
      <c r="CH606" s="1684"/>
      <c r="CI606" s="1684"/>
      <c r="CJ606" s="1684"/>
      <c r="CK606" s="1684"/>
      <c r="CL606" s="1684"/>
      <c r="CM606" s="1684"/>
      <c r="CN606" s="1684"/>
      <c r="CO606" s="1684"/>
    </row>
    <row r="607" spans="1:93" s="1391" customFormat="1" ht="15" x14ac:dyDescent="0.2">
      <c r="A607" s="1684"/>
      <c r="B607" s="1684"/>
      <c r="C607" s="2013">
        <v>14</v>
      </c>
      <c r="D607" s="5">
        <v>7.9909999999999997</v>
      </c>
      <c r="E607" s="5">
        <v>246</v>
      </c>
      <c r="F607" s="5">
        <v>273</v>
      </c>
      <c r="G607" s="5">
        <v>299</v>
      </c>
      <c r="H607" s="5">
        <v>325</v>
      </c>
      <c r="I607" s="5">
        <v>351</v>
      </c>
      <c r="J607" s="5">
        <v>377</v>
      </c>
      <c r="K607" s="5">
        <v>403</v>
      </c>
      <c r="L607" s="5">
        <v>430</v>
      </c>
      <c r="M607" s="5">
        <v>454</v>
      </c>
      <c r="N607" s="5">
        <v>480</v>
      </c>
      <c r="O607" s="5">
        <v>506</v>
      </c>
      <c r="P607" s="5">
        <v>532</v>
      </c>
      <c r="Q607" s="1160">
        <v>40</v>
      </c>
      <c r="R607"/>
      <c r="S607" s="1684"/>
      <c r="T607" s="1684"/>
      <c r="U607" s="1684"/>
      <c r="V607" s="1684"/>
      <c r="W607" s="1684"/>
      <c r="X607" s="1684"/>
      <c r="Y607" s="1684"/>
      <c r="Z607" s="1684"/>
      <c r="AA607" s="1684"/>
      <c r="AB607" s="1684"/>
      <c r="AC607" s="1684"/>
      <c r="AD607" s="1684"/>
      <c r="AE607" s="1684"/>
      <c r="AF607" s="1684"/>
      <c r="AG607" s="1684"/>
      <c r="AH607" s="1684"/>
      <c r="AI607" s="1684"/>
      <c r="AJ607" s="1684"/>
      <c r="AK607" s="1684"/>
      <c r="AL607" s="1684"/>
      <c r="AM607" s="1684"/>
      <c r="AN607" s="1684"/>
      <c r="AO607" s="1684"/>
      <c r="AP607" s="1684"/>
      <c r="AQ607" s="1684"/>
      <c r="AR607" s="1684"/>
      <c r="AS607" s="1684"/>
      <c r="AT607" s="1684"/>
      <c r="AU607" s="1684"/>
      <c r="AV607" s="1684"/>
      <c r="AW607" s="1684"/>
      <c r="AX607" s="1684"/>
      <c r="AY607" s="1684"/>
      <c r="AZ607" s="1684"/>
      <c r="BA607" s="1684"/>
      <c r="BB607" s="1684"/>
      <c r="BC607" s="1684"/>
      <c r="BD607" s="1684"/>
      <c r="BE607" s="1684"/>
      <c r="BF607" s="1684"/>
      <c r="BG607" s="1684"/>
      <c r="BH607" s="1684"/>
      <c r="BI607" s="1684"/>
      <c r="BJ607" s="1684"/>
      <c r="BK607" s="1684"/>
      <c r="BL607" s="1684"/>
      <c r="BM607" s="1684"/>
      <c r="BN607" s="1684"/>
      <c r="BO607" s="1684"/>
      <c r="BP607" s="1684"/>
      <c r="BQ607" s="1684"/>
      <c r="BR607" s="1684"/>
      <c r="BS607" s="1684"/>
      <c r="BT607" s="1684"/>
      <c r="BU607" s="1684"/>
      <c r="BV607" s="1684"/>
      <c r="BW607" s="1684"/>
      <c r="BX607" s="1684"/>
      <c r="BY607" s="1684"/>
      <c r="BZ607" s="1684"/>
      <c r="CA607" s="1684"/>
      <c r="CB607" s="1684"/>
      <c r="CC607" s="1684"/>
      <c r="CD607" s="1684"/>
      <c r="CE607" s="1684"/>
      <c r="CF607" s="1684"/>
      <c r="CG607" s="1684"/>
      <c r="CH607" s="1684"/>
      <c r="CI607" s="1684"/>
      <c r="CJ607" s="1684"/>
      <c r="CK607" s="1684"/>
      <c r="CL607" s="1684"/>
      <c r="CM607" s="1684"/>
      <c r="CN607" s="1684"/>
      <c r="CO607" s="1684"/>
    </row>
    <row r="608" spans="1:93" s="1391" customFormat="1" ht="15" x14ac:dyDescent="0.2">
      <c r="A608" s="1684"/>
      <c r="B608" s="1684"/>
      <c r="C608" s="2013">
        <v>15</v>
      </c>
      <c r="D608" s="5">
        <v>8.4109999999999996</v>
      </c>
      <c r="E608" s="5">
        <v>264</v>
      </c>
      <c r="F608" s="5">
        <v>293</v>
      </c>
      <c r="G608" s="5">
        <v>320</v>
      </c>
      <c r="H608" s="5">
        <v>348</v>
      </c>
      <c r="I608" s="5">
        <v>376</v>
      </c>
      <c r="J608" s="5">
        <v>404</v>
      </c>
      <c r="K608" s="5">
        <v>431</v>
      </c>
      <c r="L608" s="5">
        <v>460</v>
      </c>
      <c r="M608" s="5">
        <v>487</v>
      </c>
      <c r="N608" s="5">
        <v>515</v>
      </c>
      <c r="O608" s="5">
        <v>542</v>
      </c>
      <c r="P608" s="5">
        <v>570</v>
      </c>
      <c r="Q608" s="1160">
        <v>41</v>
      </c>
      <c r="R608"/>
      <c r="S608" s="1684"/>
      <c r="T608" s="1684"/>
      <c r="U608" s="1684"/>
      <c r="V608" s="1684"/>
      <c r="W608" s="1684"/>
      <c r="X608" s="1684"/>
      <c r="Y608" s="1684"/>
      <c r="Z608" s="1684"/>
      <c r="AA608" s="1684"/>
      <c r="AB608" s="1684"/>
      <c r="AC608" s="1684"/>
      <c r="AD608" s="1684"/>
      <c r="AE608" s="1684"/>
      <c r="AF608" s="1684"/>
      <c r="AG608" s="1684"/>
      <c r="AH608" s="1684"/>
      <c r="AI608" s="1684"/>
      <c r="AJ608" s="1684"/>
      <c r="AK608" s="1684"/>
      <c r="AL608" s="1684"/>
      <c r="AM608" s="1684"/>
      <c r="AN608" s="1684"/>
      <c r="AO608" s="1684"/>
      <c r="AP608" s="1684"/>
      <c r="AQ608" s="1684"/>
      <c r="AR608" s="1684"/>
      <c r="AS608" s="1684"/>
      <c r="AT608" s="1684"/>
      <c r="AU608" s="1684"/>
      <c r="AV608" s="1684"/>
      <c r="AW608" s="1684"/>
      <c r="AX608" s="1684"/>
      <c r="AY608" s="1684"/>
      <c r="AZ608" s="1684"/>
      <c r="BA608" s="1684"/>
      <c r="BB608" s="1684"/>
      <c r="BC608" s="1684"/>
      <c r="BD608" s="1684"/>
      <c r="BE608" s="1684"/>
      <c r="BF608" s="1684"/>
      <c r="BG608" s="1684"/>
      <c r="BH608" s="1684"/>
      <c r="BI608" s="1684"/>
      <c r="BJ608" s="1684"/>
      <c r="BK608" s="1684"/>
      <c r="BL608" s="1684"/>
      <c r="BM608" s="1684"/>
      <c r="BN608" s="1684"/>
      <c r="BO608" s="1684"/>
      <c r="BP608" s="1684"/>
      <c r="BQ608" s="1684"/>
      <c r="BR608" s="1684"/>
      <c r="BS608" s="1684"/>
      <c r="BT608" s="1684"/>
      <c r="BU608" s="1684"/>
      <c r="BV608" s="1684"/>
      <c r="BW608" s="1684"/>
      <c r="BX608" s="1684"/>
      <c r="BY608" s="1684"/>
      <c r="BZ608" s="1684"/>
      <c r="CA608" s="1684"/>
      <c r="CB608" s="1684"/>
      <c r="CC608" s="1684"/>
      <c r="CD608" s="1684"/>
      <c r="CE608" s="1684"/>
      <c r="CF608" s="1684"/>
      <c r="CG608" s="1684"/>
      <c r="CH608" s="1684"/>
      <c r="CI608" s="1684"/>
      <c r="CJ608" s="1684"/>
      <c r="CK608" s="1684"/>
      <c r="CL608" s="1684"/>
      <c r="CM608" s="1684"/>
      <c r="CN608" s="1684"/>
      <c r="CO608" s="1684"/>
    </row>
    <row r="609" spans="1:93" s="1391" customFormat="1" ht="15" x14ac:dyDescent="0.2">
      <c r="A609" s="1684"/>
      <c r="B609" s="1684"/>
      <c r="C609" s="2013">
        <v>16</v>
      </c>
      <c r="D609" s="5">
        <v>8.9719999999999995</v>
      </c>
      <c r="E609" s="5">
        <v>280</v>
      </c>
      <c r="F609" s="5">
        <v>311</v>
      </c>
      <c r="G609" s="5">
        <v>341</v>
      </c>
      <c r="H609" s="5">
        <v>370</v>
      </c>
      <c r="I609" s="5">
        <v>400</v>
      </c>
      <c r="J609" s="5">
        <v>429</v>
      </c>
      <c r="K609" s="5">
        <v>459</v>
      </c>
      <c r="L609" s="5">
        <v>490</v>
      </c>
      <c r="M609" s="5">
        <v>518</v>
      </c>
      <c r="N609" s="5">
        <v>547</v>
      </c>
      <c r="O609" s="5">
        <v>577</v>
      </c>
      <c r="P609" s="5">
        <v>607</v>
      </c>
      <c r="Q609" s="1160">
        <v>42</v>
      </c>
      <c r="R609"/>
      <c r="S609" s="1684"/>
      <c r="T609" s="1684"/>
      <c r="U609" s="1684"/>
      <c r="V609" s="1684"/>
      <c r="W609" s="1684"/>
      <c r="X609" s="1684"/>
      <c r="Y609" s="1684"/>
      <c r="Z609" s="1684"/>
      <c r="AA609" s="1684"/>
      <c r="AB609" s="1684"/>
      <c r="AC609" s="1684"/>
      <c r="AD609" s="1684"/>
      <c r="AE609" s="1684"/>
      <c r="AF609" s="1684"/>
      <c r="AG609" s="1684"/>
      <c r="AH609" s="1684"/>
      <c r="AI609" s="1684"/>
      <c r="AJ609" s="1684"/>
      <c r="AK609" s="1684"/>
      <c r="AL609" s="1684"/>
      <c r="AM609" s="1684"/>
      <c r="AN609" s="1684"/>
      <c r="AO609" s="1684"/>
      <c r="AP609" s="1684"/>
      <c r="AQ609" s="1684"/>
      <c r="AR609" s="1684"/>
      <c r="AS609" s="1684"/>
      <c r="AT609" s="1684"/>
      <c r="AU609" s="1684"/>
      <c r="AV609" s="1684"/>
      <c r="AW609" s="1684"/>
      <c r="AX609" s="1684"/>
      <c r="AY609" s="1684"/>
      <c r="AZ609" s="1684"/>
      <c r="BA609" s="1684"/>
      <c r="BB609" s="1684"/>
      <c r="BC609" s="1684"/>
      <c r="BD609" s="1684"/>
      <c r="BE609" s="1684"/>
      <c r="BF609" s="1684"/>
      <c r="BG609" s="1684"/>
      <c r="BH609" s="1684"/>
      <c r="BI609" s="1684"/>
      <c r="BJ609" s="1684"/>
      <c r="BK609" s="1684"/>
      <c r="BL609" s="1684"/>
      <c r="BM609" s="1684"/>
      <c r="BN609" s="1684"/>
      <c r="BO609" s="1684"/>
      <c r="BP609" s="1684"/>
      <c r="BQ609" s="1684"/>
      <c r="BR609" s="1684"/>
      <c r="BS609" s="1684"/>
      <c r="BT609" s="1684"/>
      <c r="BU609" s="1684"/>
      <c r="BV609" s="1684"/>
      <c r="BW609" s="1684"/>
      <c r="BX609" s="1684"/>
      <c r="BY609" s="1684"/>
      <c r="BZ609" s="1684"/>
      <c r="CA609" s="1684"/>
      <c r="CB609" s="1684"/>
      <c r="CC609" s="1684"/>
      <c r="CD609" s="1684"/>
      <c r="CE609" s="1684"/>
      <c r="CF609" s="1684"/>
      <c r="CG609" s="1684"/>
      <c r="CH609" s="1684"/>
      <c r="CI609" s="1684"/>
      <c r="CJ609" s="1684"/>
      <c r="CK609" s="1684"/>
      <c r="CL609" s="1684"/>
      <c r="CM609" s="1684"/>
      <c r="CN609" s="1684"/>
      <c r="CO609" s="1684"/>
    </row>
    <row r="610" spans="1:93" s="1391" customFormat="1" ht="15" x14ac:dyDescent="0.2">
      <c r="A610" s="1684"/>
      <c r="B610" s="1684"/>
      <c r="C610" s="2013">
        <v>17</v>
      </c>
      <c r="D610" s="5">
        <v>9.5730000000000004</v>
      </c>
      <c r="E610" s="5">
        <v>296</v>
      </c>
      <c r="F610" s="5">
        <v>328</v>
      </c>
      <c r="G610" s="5">
        <v>360</v>
      </c>
      <c r="H610" s="5">
        <v>391</v>
      </c>
      <c r="I610" s="5">
        <v>422</v>
      </c>
      <c r="J610" s="5">
        <v>453</v>
      </c>
      <c r="K610" s="5">
        <v>484</v>
      </c>
      <c r="L610" s="5">
        <v>517</v>
      </c>
      <c r="M610" s="5">
        <v>546</v>
      </c>
      <c r="N610" s="5">
        <v>577</v>
      </c>
      <c r="O610" s="5">
        <v>609</v>
      </c>
      <c r="P610" s="5">
        <v>640</v>
      </c>
      <c r="Q610" s="1160">
        <v>43</v>
      </c>
      <c r="R610"/>
      <c r="S610" s="1684"/>
      <c r="T610" s="1684"/>
      <c r="U610" s="1684"/>
      <c r="V610" s="1684"/>
      <c r="W610" s="1684"/>
      <c r="X610" s="1684"/>
      <c r="Y610" s="1684"/>
      <c r="Z610" s="1684"/>
      <c r="AA610" s="1684"/>
      <c r="AB610" s="1684"/>
      <c r="AC610" s="1684"/>
      <c r="AD610" s="1684"/>
      <c r="AE610" s="1684"/>
      <c r="AF610" s="1684"/>
      <c r="AG610" s="1684"/>
      <c r="AH610" s="1684"/>
      <c r="AI610" s="1684"/>
      <c r="AJ610" s="1684"/>
      <c r="AK610" s="1684"/>
      <c r="AL610" s="1684"/>
      <c r="AM610" s="1684"/>
      <c r="AN610" s="1684"/>
      <c r="AO610" s="1684"/>
      <c r="AP610" s="1684"/>
      <c r="AQ610" s="1684"/>
      <c r="AR610" s="1684"/>
      <c r="AS610" s="1684"/>
      <c r="AT610" s="1684"/>
      <c r="AU610" s="1684"/>
      <c r="AV610" s="1684"/>
      <c r="AW610" s="1684"/>
      <c r="AX610" s="1684"/>
      <c r="AY610" s="1684"/>
      <c r="AZ610" s="1684"/>
      <c r="BA610" s="1684"/>
      <c r="BB610" s="1684"/>
      <c r="BC610" s="1684"/>
      <c r="BD610" s="1684"/>
      <c r="BE610" s="1684"/>
      <c r="BF610" s="1684"/>
      <c r="BG610" s="1684"/>
      <c r="BH610" s="1684"/>
      <c r="BI610" s="1684"/>
      <c r="BJ610" s="1684"/>
      <c r="BK610" s="1684"/>
      <c r="BL610" s="1684"/>
      <c r="BM610" s="1684"/>
      <c r="BN610" s="1684"/>
      <c r="BO610" s="1684"/>
      <c r="BP610" s="1684"/>
      <c r="BQ610" s="1684"/>
      <c r="BR610" s="1684"/>
      <c r="BS610" s="1684"/>
      <c r="BT610" s="1684"/>
      <c r="BU610" s="1684"/>
      <c r="BV610" s="1684"/>
      <c r="BW610" s="1684"/>
      <c r="BX610" s="1684"/>
      <c r="BY610" s="1684"/>
      <c r="BZ610" s="1684"/>
      <c r="CA610" s="1684"/>
      <c r="CB610" s="1684"/>
      <c r="CC610" s="1684"/>
      <c r="CD610" s="1684"/>
      <c r="CE610" s="1684"/>
      <c r="CF610" s="1684"/>
      <c r="CG610" s="1684"/>
      <c r="CH610" s="1684"/>
      <c r="CI610" s="1684"/>
      <c r="CJ610" s="1684"/>
      <c r="CK610" s="1684"/>
      <c r="CL610" s="1684"/>
      <c r="CM610" s="1684"/>
      <c r="CN610" s="1684"/>
      <c r="CO610" s="1684"/>
    </row>
    <row r="611" spans="1:93" s="1391" customFormat="1" ht="15" x14ac:dyDescent="0.2">
      <c r="A611" s="1684"/>
      <c r="B611" s="1684"/>
      <c r="C611" s="2013">
        <v>18</v>
      </c>
      <c r="D611" s="5">
        <v>9.9139999999999997</v>
      </c>
      <c r="E611" s="5">
        <v>310</v>
      </c>
      <c r="F611" s="5">
        <v>344</v>
      </c>
      <c r="G611" s="5">
        <v>376</v>
      </c>
      <c r="H611" s="5">
        <v>409</v>
      </c>
      <c r="I611" s="5">
        <v>441</v>
      </c>
      <c r="J611" s="5">
        <v>474</v>
      </c>
      <c r="K611" s="5">
        <v>507</v>
      </c>
      <c r="L611" s="5">
        <v>541</v>
      </c>
      <c r="M611" s="5">
        <v>572</v>
      </c>
      <c r="N611" s="5">
        <v>604</v>
      </c>
      <c r="O611" s="5">
        <v>637</v>
      </c>
      <c r="P611" s="5">
        <v>670</v>
      </c>
      <c r="Q611" s="1160">
        <v>44</v>
      </c>
      <c r="R611"/>
      <c r="S611" s="1684"/>
      <c r="T611" s="1684"/>
      <c r="U611" s="1684"/>
      <c r="V611" s="1684"/>
      <c r="W611" s="1684"/>
      <c r="X611" s="1684"/>
      <c r="Y611" s="1684"/>
      <c r="Z611" s="1684"/>
      <c r="AA611" s="1684"/>
      <c r="AB611" s="1684"/>
      <c r="AC611" s="1684"/>
      <c r="AD611" s="1684"/>
      <c r="AE611" s="1684"/>
      <c r="AF611" s="1684"/>
      <c r="AG611" s="1684"/>
      <c r="AH611" s="1684"/>
      <c r="AI611" s="1684"/>
      <c r="AJ611" s="1684"/>
      <c r="AK611" s="1684"/>
      <c r="AL611" s="1684"/>
      <c r="AM611" s="1684"/>
      <c r="AN611" s="1684"/>
      <c r="AO611" s="1684"/>
      <c r="AP611" s="1684"/>
      <c r="AQ611" s="1684"/>
      <c r="AR611" s="1684"/>
      <c r="AS611" s="1684"/>
      <c r="AT611" s="1684"/>
      <c r="AU611" s="1684"/>
      <c r="AV611" s="1684"/>
      <c r="AW611" s="1684"/>
      <c r="AX611" s="1684"/>
      <c r="AY611" s="1684"/>
      <c r="AZ611" s="1684"/>
      <c r="BA611" s="1684"/>
      <c r="BB611" s="1684"/>
      <c r="BC611" s="1684"/>
      <c r="BD611" s="1684"/>
      <c r="BE611" s="1684"/>
      <c r="BF611" s="1684"/>
      <c r="BG611" s="1684"/>
      <c r="BH611" s="1684"/>
      <c r="BI611" s="1684"/>
      <c r="BJ611" s="1684"/>
      <c r="BK611" s="1684"/>
      <c r="BL611" s="1684"/>
      <c r="BM611" s="1684"/>
      <c r="BN611" s="1684"/>
      <c r="BO611" s="1684"/>
      <c r="BP611" s="1684"/>
      <c r="BQ611" s="1684"/>
      <c r="BR611" s="1684"/>
      <c r="BS611" s="1684"/>
      <c r="BT611" s="1684"/>
      <c r="BU611" s="1684"/>
      <c r="BV611" s="1684"/>
      <c r="BW611" s="1684"/>
      <c r="BX611" s="1684"/>
      <c r="BY611" s="1684"/>
      <c r="BZ611" s="1684"/>
      <c r="CA611" s="1684"/>
      <c r="CB611" s="1684"/>
      <c r="CC611" s="1684"/>
      <c r="CD611" s="1684"/>
      <c r="CE611" s="1684"/>
      <c r="CF611" s="1684"/>
      <c r="CG611" s="1684"/>
      <c r="CH611" s="1684"/>
      <c r="CI611" s="1684"/>
      <c r="CJ611" s="1684"/>
      <c r="CK611" s="1684"/>
      <c r="CL611" s="1684"/>
      <c r="CM611" s="1684"/>
      <c r="CN611" s="1684"/>
      <c r="CO611" s="1684"/>
    </row>
    <row r="612" spans="1:93" s="1391" customFormat="1" ht="15" x14ac:dyDescent="0.2">
      <c r="A612" s="1684"/>
      <c r="B612" s="1684"/>
      <c r="C612" s="4680" t="s">
        <v>1906</v>
      </c>
      <c r="D612" s="4681"/>
      <c r="E612" s="4681"/>
      <c r="F612" s="4681"/>
      <c r="G612" s="4681"/>
      <c r="H612" s="4681"/>
      <c r="I612" s="4681"/>
      <c r="J612" s="4681"/>
      <c r="K612" s="4681"/>
      <c r="L612" s="4681"/>
      <c r="M612" s="4681"/>
      <c r="N612" s="4681"/>
      <c r="O612" s="4681"/>
      <c r="P612" s="4681"/>
      <c r="Q612" s="4682"/>
      <c r="R612"/>
      <c r="S612" s="1684"/>
      <c r="T612" s="1684"/>
      <c r="U612" s="1684"/>
      <c r="V612" s="1684"/>
      <c r="W612" s="1684"/>
      <c r="X612" s="1684"/>
      <c r="Y612" s="1684"/>
      <c r="Z612" s="1684"/>
      <c r="AA612" s="1684"/>
      <c r="AB612" s="1684"/>
      <c r="AC612" s="1684"/>
      <c r="AD612" s="1684"/>
      <c r="AE612" s="1684"/>
      <c r="AF612" s="1684"/>
      <c r="AG612" s="1684"/>
      <c r="AH612" s="1684"/>
      <c r="AI612" s="1684"/>
      <c r="AJ612" s="1684"/>
      <c r="AK612" s="1684"/>
      <c r="AL612" s="1684"/>
      <c r="AM612" s="1684"/>
      <c r="AN612" s="1684"/>
      <c r="AO612" s="1684"/>
      <c r="AP612" s="1684"/>
      <c r="AQ612" s="1684"/>
      <c r="AR612" s="1684"/>
      <c r="AS612" s="1684"/>
      <c r="AT612" s="1684"/>
      <c r="AU612" s="1684"/>
      <c r="AV612" s="1684"/>
      <c r="AW612" s="1684"/>
      <c r="AX612" s="1684"/>
      <c r="AY612" s="1684"/>
      <c r="AZ612" s="1684"/>
      <c r="BA612" s="1684"/>
      <c r="BB612" s="1684"/>
      <c r="BC612" s="1684"/>
      <c r="BD612" s="1684"/>
      <c r="BE612" s="1684"/>
      <c r="BF612" s="1684"/>
      <c r="BG612" s="1684"/>
      <c r="BH612" s="1684"/>
      <c r="BI612" s="1684"/>
      <c r="BJ612" s="1684"/>
      <c r="BK612" s="1684"/>
      <c r="BL612" s="1684"/>
      <c r="BM612" s="1684"/>
      <c r="BN612" s="1684"/>
      <c r="BO612" s="1684"/>
      <c r="BP612" s="1684"/>
      <c r="BQ612" s="1684"/>
      <c r="BR612" s="1684"/>
      <c r="BS612" s="1684"/>
      <c r="BT612" s="1684"/>
      <c r="BU612" s="1684"/>
      <c r="BV612" s="1684"/>
      <c r="BW612" s="1684"/>
      <c r="BX612" s="1684"/>
      <c r="BY612" s="1684"/>
      <c r="BZ612" s="1684"/>
      <c r="CA612" s="1684"/>
      <c r="CB612" s="1684"/>
      <c r="CC612" s="1684"/>
      <c r="CD612" s="1684"/>
      <c r="CE612" s="1684"/>
      <c r="CF612" s="1684"/>
      <c r="CG612" s="1684"/>
      <c r="CH612" s="1684"/>
      <c r="CI612" s="1684"/>
      <c r="CJ612" s="1684"/>
      <c r="CK612" s="1684"/>
      <c r="CL612" s="1684"/>
      <c r="CM612" s="1684"/>
      <c r="CN612" s="1684"/>
      <c r="CO612" s="1684"/>
    </row>
    <row r="613" spans="1:93" s="1391" customFormat="1" ht="15" x14ac:dyDescent="0.2">
      <c r="A613" s="1684"/>
      <c r="B613" s="1684"/>
      <c r="C613" s="4680"/>
      <c r="D613" s="4681"/>
      <c r="E613" s="4681"/>
      <c r="F613" s="4681"/>
      <c r="G613" s="4681"/>
      <c r="H613" s="4681"/>
      <c r="I613" s="4681"/>
      <c r="J613" s="4681"/>
      <c r="K613" s="4681"/>
      <c r="L613" s="4681"/>
      <c r="M613" s="4681"/>
      <c r="N613" s="4681"/>
      <c r="O613" s="4681"/>
      <c r="P613" s="4681"/>
      <c r="Q613" s="4682"/>
      <c r="R613"/>
      <c r="S613" s="1684"/>
      <c r="T613" s="1684"/>
      <c r="U613" s="1684"/>
      <c r="V613" s="1684"/>
      <c r="W613" s="1684"/>
      <c r="X613" s="1684"/>
      <c r="Y613" s="1684"/>
      <c r="Z613" s="1684"/>
      <c r="AA613" s="1684"/>
      <c r="AB613" s="1684"/>
      <c r="AC613" s="1684"/>
      <c r="AD613" s="1684"/>
      <c r="AE613" s="1684"/>
      <c r="AF613" s="1684"/>
      <c r="AG613" s="1684"/>
      <c r="AH613" s="1684"/>
      <c r="AI613" s="1684"/>
      <c r="AJ613" s="1684"/>
      <c r="AK613" s="1684"/>
      <c r="AL613" s="1684"/>
      <c r="AM613" s="1684"/>
      <c r="AN613" s="1684"/>
      <c r="AO613" s="1684"/>
      <c r="AP613" s="1684"/>
      <c r="AQ613" s="1684"/>
      <c r="AR613" s="1684"/>
      <c r="AS613" s="1684"/>
      <c r="AT613" s="1684"/>
      <c r="AU613" s="1684"/>
      <c r="AV613" s="1684"/>
      <c r="AW613" s="1684"/>
      <c r="AX613" s="1684"/>
      <c r="AY613" s="1684"/>
      <c r="AZ613" s="1684"/>
      <c r="BA613" s="1684"/>
      <c r="BB613" s="1684"/>
      <c r="BC613" s="1684"/>
      <c r="BD613" s="1684"/>
      <c r="BE613" s="1684"/>
      <c r="BF613" s="1684"/>
      <c r="BG613" s="1684"/>
      <c r="BH613" s="1684"/>
      <c r="BI613" s="1684"/>
      <c r="BJ613" s="1684"/>
      <c r="BK613" s="1684"/>
      <c r="BL613" s="1684"/>
      <c r="BM613" s="1684"/>
      <c r="BN613" s="1684"/>
      <c r="BO613" s="1684"/>
      <c r="BP613" s="1684"/>
      <c r="BQ613" s="1684"/>
      <c r="BR613" s="1684"/>
      <c r="BS613" s="1684"/>
      <c r="BT613" s="1684"/>
      <c r="BU613" s="1684"/>
      <c r="BV613" s="1684"/>
      <c r="BW613" s="1684"/>
      <c r="BX613" s="1684"/>
      <c r="BY613" s="1684"/>
      <c r="BZ613" s="1684"/>
      <c r="CA613" s="1684"/>
      <c r="CB613" s="1684"/>
      <c r="CC613" s="1684"/>
      <c r="CD613" s="1684"/>
      <c r="CE613" s="1684"/>
      <c r="CF613" s="1684"/>
      <c r="CG613" s="1684"/>
      <c r="CH613" s="1684"/>
      <c r="CI613" s="1684"/>
      <c r="CJ613" s="1684"/>
      <c r="CK613" s="1684"/>
      <c r="CL613" s="1684"/>
      <c r="CM613" s="1684"/>
      <c r="CN613" s="1684"/>
      <c r="CO613" s="1684"/>
    </row>
    <row r="614" spans="1:93" s="1391" customFormat="1" ht="15" x14ac:dyDescent="0.2">
      <c r="A614" s="1684"/>
      <c r="B614" s="1684"/>
      <c r="C614" s="4680" t="s">
        <v>3690</v>
      </c>
      <c r="D614" s="4681"/>
      <c r="E614" s="4681"/>
      <c r="F614" s="4681"/>
      <c r="G614" s="4681"/>
      <c r="H614" s="4681"/>
      <c r="I614" s="4681"/>
      <c r="J614" s="4681"/>
      <c r="K614" s="4681"/>
      <c r="L614" s="4681"/>
      <c r="M614" s="4681"/>
      <c r="N614" s="4681"/>
      <c r="O614" s="4681"/>
      <c r="P614" s="4681"/>
      <c r="Q614" s="4682"/>
      <c r="R614"/>
      <c r="S614" s="1684"/>
      <c r="T614" s="1684"/>
      <c r="U614" s="1684"/>
      <c r="V614" s="1684"/>
      <c r="W614" s="1684"/>
      <c r="X614" s="1684"/>
      <c r="Y614" s="1684"/>
      <c r="Z614" s="1684"/>
      <c r="AA614" s="1684"/>
      <c r="AB614" s="1684"/>
      <c r="AC614" s="1684"/>
      <c r="AD614" s="1684"/>
      <c r="AE614" s="1684"/>
      <c r="AF614" s="1684"/>
      <c r="AG614" s="1684"/>
      <c r="AH614" s="1684"/>
      <c r="AI614" s="1684"/>
      <c r="AJ614" s="1684"/>
      <c r="AK614" s="1684"/>
      <c r="AL614" s="1684"/>
      <c r="AM614" s="1684"/>
      <c r="AN614" s="1684"/>
      <c r="AO614" s="1684"/>
      <c r="AP614" s="1684"/>
      <c r="AQ614" s="1684"/>
      <c r="AR614" s="1684"/>
      <c r="AS614" s="1684"/>
      <c r="AT614" s="1684"/>
      <c r="AU614" s="1684"/>
      <c r="AV614" s="1684"/>
      <c r="AW614" s="1684"/>
      <c r="AX614" s="1684"/>
      <c r="AY614" s="1684"/>
      <c r="AZ614" s="1684"/>
      <c r="BA614" s="1684"/>
      <c r="BB614" s="1684"/>
      <c r="BC614" s="1684"/>
      <c r="BD614" s="1684"/>
      <c r="BE614" s="1684"/>
      <c r="BF614" s="1684"/>
      <c r="BG614" s="1684"/>
      <c r="BH614" s="1684"/>
      <c r="BI614" s="1684"/>
      <c r="BJ614" s="1684"/>
      <c r="BK614" s="1684"/>
      <c r="BL614" s="1684"/>
      <c r="BM614" s="1684"/>
      <c r="BN614" s="1684"/>
      <c r="BO614" s="1684"/>
      <c r="BP614" s="1684"/>
      <c r="BQ614" s="1684"/>
      <c r="BR614" s="1684"/>
      <c r="BS614" s="1684"/>
      <c r="BT614" s="1684"/>
      <c r="BU614" s="1684"/>
      <c r="BV614" s="1684"/>
      <c r="BW614" s="1684"/>
      <c r="BX614" s="1684"/>
      <c r="BY614" s="1684"/>
      <c r="BZ614" s="1684"/>
      <c r="CA614" s="1684"/>
      <c r="CB614" s="1684"/>
      <c r="CC614" s="1684"/>
      <c r="CD614" s="1684"/>
      <c r="CE614" s="1684"/>
      <c r="CF614" s="1684"/>
      <c r="CG614" s="1684"/>
      <c r="CH614" s="1684"/>
      <c r="CI614" s="1684"/>
      <c r="CJ614" s="1684"/>
      <c r="CK614" s="1684"/>
      <c r="CL614" s="1684"/>
      <c r="CM614" s="1684"/>
      <c r="CN614" s="1684"/>
      <c r="CO614" s="1684"/>
    </row>
    <row r="615" spans="1:93" s="1391" customFormat="1" ht="15" x14ac:dyDescent="0.2">
      <c r="A615" s="1684"/>
      <c r="B615" s="1684"/>
      <c r="C615" s="4680"/>
      <c r="D615" s="4681"/>
      <c r="E615" s="4681"/>
      <c r="F615" s="4681"/>
      <c r="G615" s="4681"/>
      <c r="H615" s="4681"/>
      <c r="I615" s="4681"/>
      <c r="J615" s="4681"/>
      <c r="K615" s="4681"/>
      <c r="L615" s="4681"/>
      <c r="M615" s="4681"/>
      <c r="N615" s="4681"/>
      <c r="O615" s="4681"/>
      <c r="P615" s="4681"/>
      <c r="Q615" s="4682"/>
      <c r="R615"/>
      <c r="S615" s="1684"/>
      <c r="T615" s="1684"/>
      <c r="U615" s="1684"/>
      <c r="V615" s="1684"/>
      <c r="W615" s="1684"/>
      <c r="X615" s="1684"/>
      <c r="Y615" s="1684"/>
      <c r="Z615" s="1684"/>
      <c r="AA615" s="1684"/>
      <c r="AB615" s="1684"/>
      <c r="AC615" s="1684"/>
      <c r="AD615" s="1684"/>
      <c r="AE615" s="1684"/>
      <c r="AF615" s="1684"/>
      <c r="AG615" s="1684"/>
      <c r="AH615" s="1684"/>
      <c r="AI615" s="1684"/>
      <c r="AJ615" s="1684"/>
      <c r="AK615" s="1684"/>
      <c r="AL615" s="1684"/>
      <c r="AM615" s="1684"/>
      <c r="AN615" s="1684"/>
      <c r="AO615" s="1684"/>
      <c r="AP615" s="1684"/>
      <c r="AQ615" s="1684"/>
      <c r="AR615" s="1684"/>
      <c r="AS615" s="1684"/>
      <c r="AT615" s="1684"/>
      <c r="AU615" s="1684"/>
      <c r="AV615" s="1684"/>
      <c r="AW615" s="1684"/>
      <c r="AX615" s="1684"/>
      <c r="AY615" s="1684"/>
      <c r="AZ615" s="1684"/>
      <c r="BA615" s="1684"/>
      <c r="BB615" s="1684"/>
      <c r="BC615" s="1684"/>
      <c r="BD615" s="1684"/>
      <c r="BE615" s="1684"/>
      <c r="BF615" s="1684"/>
      <c r="BG615" s="1684"/>
      <c r="BH615" s="1684"/>
      <c r="BI615" s="1684"/>
      <c r="BJ615" s="1684"/>
      <c r="BK615" s="1684"/>
      <c r="BL615" s="1684"/>
      <c r="BM615" s="1684"/>
      <c r="BN615" s="1684"/>
      <c r="BO615" s="1684"/>
      <c r="BP615" s="1684"/>
      <c r="BQ615" s="1684"/>
      <c r="BR615" s="1684"/>
      <c r="BS615" s="1684"/>
      <c r="BT615" s="1684"/>
      <c r="BU615" s="1684"/>
      <c r="BV615" s="1684"/>
      <c r="BW615" s="1684"/>
      <c r="BX615" s="1684"/>
      <c r="BY615" s="1684"/>
      <c r="BZ615" s="1684"/>
      <c r="CA615" s="1684"/>
      <c r="CB615" s="1684"/>
      <c r="CC615" s="1684"/>
      <c r="CD615" s="1684"/>
      <c r="CE615" s="1684"/>
      <c r="CF615" s="1684"/>
      <c r="CG615" s="1684"/>
      <c r="CH615" s="1684"/>
      <c r="CI615" s="1684"/>
      <c r="CJ615" s="1684"/>
      <c r="CK615" s="1684"/>
      <c r="CL615" s="1684"/>
      <c r="CM615" s="1684"/>
      <c r="CN615" s="1684"/>
      <c r="CO615" s="1684"/>
    </row>
    <row r="616" spans="1:93" s="1391" customFormat="1" ht="15" x14ac:dyDescent="0.2">
      <c r="A616" s="1684"/>
      <c r="B616" s="1684"/>
      <c r="C616" s="2013"/>
      <c r="D616" s="5"/>
      <c r="E616" s="5">
        <v>1</v>
      </c>
      <c r="F616" s="5">
        <v>2</v>
      </c>
      <c r="G616" s="5">
        <v>3</v>
      </c>
      <c r="H616" s="5">
        <v>4</v>
      </c>
      <c r="I616" s="5">
        <v>5</v>
      </c>
      <c r="J616" s="5">
        <v>6</v>
      </c>
      <c r="K616" s="5">
        <v>7</v>
      </c>
      <c r="L616" s="5">
        <v>8</v>
      </c>
      <c r="M616" s="5">
        <v>9</v>
      </c>
      <c r="N616" s="5">
        <v>10</v>
      </c>
      <c r="O616" s="5">
        <v>11</v>
      </c>
      <c r="P616" s="5">
        <v>12</v>
      </c>
      <c r="Q616" s="1160"/>
      <c r="R616"/>
      <c r="S616" s="1684"/>
      <c r="T616" s="1684"/>
      <c r="U616" s="1684"/>
      <c r="V616" s="1684"/>
      <c r="W616" s="1684"/>
      <c r="X616" s="1684"/>
      <c r="Y616" s="1684"/>
      <c r="Z616" s="1684"/>
      <c r="AA616" s="1684"/>
      <c r="AB616" s="1684"/>
      <c r="AC616" s="1684"/>
      <c r="AD616" s="1684"/>
      <c r="AE616" s="1684"/>
      <c r="AF616" s="1684"/>
      <c r="AG616" s="1684"/>
      <c r="AH616" s="1684"/>
      <c r="AI616" s="1684"/>
      <c r="AJ616" s="1684"/>
      <c r="AK616" s="1684"/>
      <c r="AL616" s="1684"/>
      <c r="AM616" s="1684"/>
      <c r="AN616" s="1684"/>
      <c r="AO616" s="1684"/>
      <c r="AP616" s="1684"/>
      <c r="AQ616" s="1684"/>
      <c r="AR616" s="1684"/>
      <c r="AS616" s="1684"/>
      <c r="AT616" s="1684"/>
      <c r="AU616" s="1684"/>
      <c r="AV616" s="1684"/>
      <c r="AW616" s="1684"/>
      <c r="AX616" s="1684"/>
      <c r="AY616" s="1684"/>
      <c r="AZ616" s="1684"/>
      <c r="BA616" s="1684"/>
      <c r="BB616" s="1684"/>
      <c r="BC616" s="1684"/>
      <c r="BD616" s="1684"/>
      <c r="BE616" s="1684"/>
      <c r="BF616" s="1684"/>
      <c r="BG616" s="1684"/>
      <c r="BH616" s="1684"/>
      <c r="BI616" s="1684"/>
      <c r="BJ616" s="1684"/>
      <c r="BK616" s="1684"/>
      <c r="BL616" s="1684"/>
      <c r="BM616" s="1684"/>
      <c r="BN616" s="1684"/>
      <c r="BO616" s="1684"/>
      <c r="BP616" s="1684"/>
      <c r="BQ616" s="1684"/>
      <c r="BR616" s="1684"/>
      <c r="BS616" s="1684"/>
      <c r="BT616" s="1684"/>
      <c r="BU616" s="1684"/>
      <c r="BV616" s="1684"/>
      <c r="BW616" s="1684"/>
      <c r="BX616" s="1684"/>
      <c r="BY616" s="1684"/>
      <c r="BZ616" s="1684"/>
      <c r="CA616" s="1684"/>
      <c r="CB616" s="1684"/>
      <c r="CC616" s="1684"/>
      <c r="CD616" s="1684"/>
      <c r="CE616" s="1684"/>
      <c r="CF616" s="1684"/>
      <c r="CG616" s="1684"/>
      <c r="CH616" s="1684"/>
      <c r="CI616" s="1684"/>
      <c r="CJ616" s="1684"/>
      <c r="CK616" s="1684"/>
      <c r="CL616" s="1684"/>
      <c r="CM616" s="1684"/>
      <c r="CN616" s="1684"/>
      <c r="CO616" s="1684"/>
    </row>
    <row r="617" spans="1:93" s="1391" customFormat="1" ht="15" x14ac:dyDescent="0.2">
      <c r="A617" s="1684"/>
      <c r="B617" s="1684"/>
      <c r="C617" s="2013">
        <v>8</v>
      </c>
      <c r="D617" s="5">
        <v>5.4320000000000004</v>
      </c>
      <c r="E617" s="5">
        <v>131</v>
      </c>
      <c r="F617" s="5">
        <v>145</v>
      </c>
      <c r="G617" s="5">
        <v>159</v>
      </c>
      <c r="H617" s="5">
        <v>172</v>
      </c>
      <c r="I617" s="5">
        <v>184</v>
      </c>
      <c r="J617" s="5">
        <v>197</v>
      </c>
      <c r="K617" s="5">
        <v>210</v>
      </c>
      <c r="L617" s="5">
        <v>223</v>
      </c>
      <c r="M617" s="5">
        <v>235</v>
      </c>
      <c r="N617" s="5">
        <v>247</v>
      </c>
      <c r="O617" s="5">
        <v>260</v>
      </c>
      <c r="P617" s="5">
        <v>272</v>
      </c>
      <c r="Q617" s="1160">
        <v>45</v>
      </c>
      <c r="R617"/>
      <c r="S617" s="1684"/>
      <c r="T617" s="1684"/>
      <c r="U617" s="1684"/>
      <c r="V617" s="1684"/>
      <c r="W617" s="1684"/>
      <c r="X617" s="1684"/>
      <c r="Y617" s="1684"/>
      <c r="Z617" s="1684"/>
      <c r="AA617" s="1684"/>
      <c r="AB617" s="1684"/>
      <c r="AC617" s="1684"/>
      <c r="AD617" s="1684"/>
      <c r="AE617" s="1684"/>
      <c r="AF617" s="1684"/>
      <c r="AG617" s="1684"/>
      <c r="AH617" s="1684"/>
      <c r="AI617" s="1684"/>
      <c r="AJ617" s="1684"/>
      <c r="AK617" s="1684"/>
      <c r="AL617" s="1684"/>
      <c r="AM617" s="1684"/>
      <c r="AN617" s="1684"/>
      <c r="AO617" s="1684"/>
      <c r="AP617" s="1684"/>
      <c r="AQ617" s="1684"/>
      <c r="AR617" s="1684"/>
      <c r="AS617" s="1684"/>
      <c r="AT617" s="1684"/>
      <c r="AU617" s="1684"/>
      <c r="AV617" s="1684"/>
      <c r="AW617" s="1684"/>
      <c r="AX617" s="1684"/>
      <c r="AY617" s="1684"/>
      <c r="AZ617" s="1684"/>
      <c r="BA617" s="1684"/>
      <c r="BB617" s="1684"/>
      <c r="BC617" s="1684"/>
      <c r="BD617" s="1684"/>
      <c r="BE617" s="1684"/>
      <c r="BF617" s="1684"/>
      <c r="BG617" s="1684"/>
      <c r="BH617" s="1684"/>
      <c r="BI617" s="1684"/>
      <c r="BJ617" s="1684"/>
      <c r="BK617" s="1684"/>
      <c r="BL617" s="1684"/>
      <c r="BM617" s="1684"/>
      <c r="BN617" s="1684"/>
      <c r="BO617" s="1684"/>
      <c r="BP617" s="1684"/>
      <c r="BQ617" s="1684"/>
      <c r="BR617" s="1684"/>
      <c r="BS617" s="1684"/>
      <c r="BT617" s="1684"/>
      <c r="BU617" s="1684"/>
      <c r="BV617" s="1684"/>
      <c r="BW617" s="1684"/>
      <c r="BX617" s="1684"/>
      <c r="BY617" s="1684"/>
      <c r="BZ617" s="1684"/>
      <c r="CA617" s="1684"/>
      <c r="CB617" s="1684"/>
      <c r="CC617" s="1684"/>
      <c r="CD617" s="1684"/>
      <c r="CE617" s="1684"/>
      <c r="CF617" s="1684"/>
      <c r="CG617" s="1684"/>
      <c r="CH617" s="1684"/>
      <c r="CI617" s="1684"/>
      <c r="CJ617" s="1684"/>
      <c r="CK617" s="1684"/>
      <c r="CL617" s="1684"/>
      <c r="CM617" s="1684"/>
      <c r="CN617" s="1684"/>
      <c r="CO617" s="1684"/>
    </row>
    <row r="618" spans="1:93" s="1391" customFormat="1" ht="15" x14ac:dyDescent="0.2">
      <c r="A618" s="1684"/>
      <c r="B618" s="1684"/>
      <c r="C618" s="2013">
        <v>9</v>
      </c>
      <c r="D618" s="5">
        <v>5.742</v>
      </c>
      <c r="E618" s="5">
        <v>143</v>
      </c>
      <c r="F618" s="5">
        <v>158</v>
      </c>
      <c r="G618" s="5">
        <v>173</v>
      </c>
      <c r="H618" s="5">
        <v>187</v>
      </c>
      <c r="I618" s="5">
        <v>201</v>
      </c>
      <c r="J618" s="5">
        <v>215</v>
      </c>
      <c r="K618" s="5">
        <v>228</v>
      </c>
      <c r="L618" s="5">
        <v>243</v>
      </c>
      <c r="M618" s="5">
        <v>256</v>
      </c>
      <c r="N618" s="5">
        <v>269</v>
      </c>
      <c r="O618" s="5">
        <v>282</v>
      </c>
      <c r="P618" s="5">
        <v>295</v>
      </c>
      <c r="Q618" s="1160">
        <v>46</v>
      </c>
      <c r="R618"/>
      <c r="S618" s="1684"/>
      <c r="T618" s="1684"/>
      <c r="U618" s="1684"/>
      <c r="V618" s="1684"/>
      <c r="W618" s="1684"/>
      <c r="X618" s="1684"/>
      <c r="Y618" s="1684"/>
      <c r="Z618" s="1684"/>
      <c r="AA618" s="1684"/>
      <c r="AB618" s="1684"/>
      <c r="AC618" s="1684"/>
      <c r="AD618" s="1684"/>
      <c r="AE618" s="1684"/>
      <c r="AF618" s="1684"/>
      <c r="AG618" s="1684"/>
      <c r="AH618" s="1684"/>
      <c r="AI618" s="1684"/>
      <c r="AJ618" s="1684"/>
      <c r="AK618" s="1684"/>
      <c r="AL618" s="1684"/>
      <c r="AM618" s="1684"/>
      <c r="AN618" s="1684"/>
      <c r="AO618" s="1684"/>
      <c r="AP618" s="1684"/>
      <c r="AQ618" s="1684"/>
      <c r="AR618" s="1684"/>
      <c r="AS618" s="1684"/>
      <c r="AT618" s="1684"/>
      <c r="AU618" s="1684"/>
      <c r="AV618" s="1684"/>
      <c r="AW618" s="1684"/>
      <c r="AX618" s="1684"/>
      <c r="AY618" s="1684"/>
      <c r="AZ618" s="1684"/>
      <c r="BA618" s="1684"/>
      <c r="BB618" s="1684"/>
      <c r="BC618" s="1684"/>
      <c r="BD618" s="1684"/>
      <c r="BE618" s="1684"/>
      <c r="BF618" s="1684"/>
      <c r="BG618" s="1684"/>
      <c r="BH618" s="1684"/>
      <c r="BI618" s="1684"/>
      <c r="BJ618" s="1684"/>
      <c r="BK618" s="1684"/>
      <c r="BL618" s="1684"/>
      <c r="BM618" s="1684"/>
      <c r="BN618" s="1684"/>
      <c r="BO618" s="1684"/>
      <c r="BP618" s="1684"/>
      <c r="BQ618" s="1684"/>
      <c r="BR618" s="1684"/>
      <c r="BS618" s="1684"/>
      <c r="BT618" s="1684"/>
      <c r="BU618" s="1684"/>
      <c r="BV618" s="1684"/>
      <c r="BW618" s="1684"/>
      <c r="BX618" s="1684"/>
      <c r="BY618" s="1684"/>
      <c r="BZ618" s="1684"/>
      <c r="CA618" s="1684"/>
      <c r="CB618" s="1684"/>
      <c r="CC618" s="1684"/>
      <c r="CD618" s="1684"/>
      <c r="CE618" s="1684"/>
      <c r="CF618" s="1684"/>
      <c r="CG618" s="1684"/>
      <c r="CH618" s="1684"/>
      <c r="CI618" s="1684"/>
      <c r="CJ618" s="1684"/>
      <c r="CK618" s="1684"/>
      <c r="CL618" s="1684"/>
      <c r="CM618" s="1684"/>
      <c r="CN618" s="1684"/>
      <c r="CO618" s="1684"/>
    </row>
    <row r="619" spans="1:93" s="1391" customFormat="1" ht="15" x14ac:dyDescent="0.2">
      <c r="A619" s="1684"/>
      <c r="B619" s="1684"/>
      <c r="C619" s="2013">
        <v>10</v>
      </c>
      <c r="D619" s="5">
        <v>6.0620000000000003</v>
      </c>
      <c r="E619" s="5">
        <v>156</v>
      </c>
      <c r="F619" s="5">
        <v>172</v>
      </c>
      <c r="G619" s="5">
        <v>187</v>
      </c>
      <c r="H619" s="5">
        <v>202</v>
      </c>
      <c r="I619" s="5">
        <v>217</v>
      </c>
      <c r="J619" s="5">
        <v>232</v>
      </c>
      <c r="K619" s="5">
        <v>247</v>
      </c>
      <c r="L619" s="5">
        <v>263</v>
      </c>
      <c r="M619" s="5">
        <v>276</v>
      </c>
      <c r="N619" s="5">
        <v>291</v>
      </c>
      <c r="O619" s="5">
        <v>305</v>
      </c>
      <c r="P619" s="5">
        <v>319</v>
      </c>
      <c r="Q619" s="1160">
        <v>47</v>
      </c>
      <c r="R619"/>
      <c r="S619" s="1684"/>
      <c r="T619" s="1684"/>
      <c r="U619" s="1684"/>
      <c r="V619" s="1684"/>
      <c r="W619" s="1684"/>
      <c r="X619" s="1684"/>
      <c r="Y619" s="1684"/>
      <c r="Z619" s="1684"/>
      <c r="AA619" s="1684"/>
      <c r="AB619" s="1684"/>
      <c r="AC619" s="1684"/>
      <c r="AD619" s="1684"/>
      <c r="AE619" s="1684"/>
      <c r="AF619" s="1684"/>
      <c r="AG619" s="1684"/>
      <c r="AH619" s="1684"/>
      <c r="AI619" s="1684"/>
      <c r="AJ619" s="1684"/>
      <c r="AK619" s="1684"/>
      <c r="AL619" s="1684"/>
      <c r="AM619" s="1684"/>
      <c r="AN619" s="1684"/>
      <c r="AO619" s="1684"/>
      <c r="AP619" s="1684"/>
      <c r="AQ619" s="1684"/>
      <c r="AR619" s="1684"/>
      <c r="AS619" s="1684"/>
      <c r="AT619" s="1684"/>
      <c r="AU619" s="1684"/>
      <c r="AV619" s="1684"/>
      <c r="AW619" s="1684"/>
      <c r="AX619" s="1684"/>
      <c r="AY619" s="1684"/>
      <c r="AZ619" s="1684"/>
      <c r="BA619" s="1684"/>
      <c r="BB619" s="1684"/>
      <c r="BC619" s="1684"/>
      <c r="BD619" s="1684"/>
      <c r="BE619" s="1684"/>
      <c r="BF619" s="1684"/>
      <c r="BG619" s="1684"/>
      <c r="BH619" s="1684"/>
      <c r="BI619" s="1684"/>
      <c r="BJ619" s="1684"/>
      <c r="BK619" s="1684"/>
      <c r="BL619" s="1684"/>
      <c r="BM619" s="1684"/>
      <c r="BN619" s="1684"/>
      <c r="BO619" s="1684"/>
      <c r="BP619" s="1684"/>
      <c r="BQ619" s="1684"/>
      <c r="BR619" s="1684"/>
      <c r="BS619" s="1684"/>
      <c r="BT619" s="1684"/>
      <c r="BU619" s="1684"/>
      <c r="BV619" s="1684"/>
      <c r="BW619" s="1684"/>
      <c r="BX619" s="1684"/>
      <c r="BY619" s="1684"/>
      <c r="BZ619" s="1684"/>
      <c r="CA619" s="1684"/>
      <c r="CB619" s="1684"/>
      <c r="CC619" s="1684"/>
      <c r="CD619" s="1684"/>
      <c r="CE619" s="1684"/>
      <c r="CF619" s="1684"/>
      <c r="CG619" s="1684"/>
      <c r="CH619" s="1684"/>
      <c r="CI619" s="1684"/>
      <c r="CJ619" s="1684"/>
      <c r="CK619" s="1684"/>
      <c r="CL619" s="1684"/>
      <c r="CM619" s="1684"/>
      <c r="CN619" s="1684"/>
      <c r="CO619" s="1684"/>
    </row>
    <row r="620" spans="1:93" s="1391" customFormat="1" ht="15" x14ac:dyDescent="0.2">
      <c r="A620" s="1684"/>
      <c r="B620" s="1684"/>
      <c r="C620" s="2013">
        <v>11</v>
      </c>
      <c r="D620" s="5">
        <v>6.415</v>
      </c>
      <c r="E620" s="5">
        <v>169</v>
      </c>
      <c r="F620" s="5">
        <v>186</v>
      </c>
      <c r="G620" s="5">
        <v>203</v>
      </c>
      <c r="H620" s="5">
        <v>219</v>
      </c>
      <c r="I620" s="5">
        <v>236</v>
      </c>
      <c r="J620" s="5">
        <v>252</v>
      </c>
      <c r="K620" s="5">
        <v>268</v>
      </c>
      <c r="L620" s="5">
        <v>284</v>
      </c>
      <c r="M620" s="5">
        <v>299</v>
      </c>
      <c r="N620" s="5">
        <v>314</v>
      </c>
      <c r="O620" s="5">
        <v>330</v>
      </c>
      <c r="P620" s="5">
        <v>345</v>
      </c>
      <c r="Q620" s="1160">
        <v>48</v>
      </c>
      <c r="R620"/>
      <c r="S620" s="1684"/>
      <c r="T620" s="1684"/>
      <c r="U620" s="1684"/>
      <c r="V620" s="1684"/>
      <c r="W620" s="1684"/>
      <c r="X620" s="1684"/>
      <c r="Y620" s="1684"/>
      <c r="Z620" s="1684"/>
      <c r="AA620" s="1684"/>
      <c r="AB620" s="1684"/>
      <c r="AC620" s="1684"/>
      <c r="AD620" s="1684"/>
      <c r="AE620" s="1684"/>
      <c r="AF620" s="1684"/>
      <c r="AG620" s="1684"/>
      <c r="AH620" s="1684"/>
      <c r="AI620" s="1684"/>
      <c r="AJ620" s="1684"/>
      <c r="AK620" s="1684"/>
      <c r="AL620" s="1684"/>
      <c r="AM620" s="1684"/>
      <c r="AN620" s="1684"/>
      <c r="AO620" s="1684"/>
      <c r="AP620" s="1684"/>
      <c r="AQ620" s="1684"/>
      <c r="AR620" s="1684"/>
      <c r="AS620" s="1684"/>
      <c r="AT620" s="1684"/>
      <c r="AU620" s="1684"/>
      <c r="AV620" s="1684"/>
      <c r="AW620" s="1684"/>
      <c r="AX620" s="1684"/>
      <c r="AY620" s="1684"/>
      <c r="AZ620" s="1684"/>
      <c r="BA620" s="1684"/>
      <c r="BB620" s="1684"/>
      <c r="BC620" s="1684"/>
      <c r="BD620" s="1684"/>
      <c r="BE620" s="1684"/>
      <c r="BF620" s="1684"/>
      <c r="BG620" s="1684"/>
      <c r="BH620" s="1684"/>
      <c r="BI620" s="1684"/>
      <c r="BJ620" s="1684"/>
      <c r="BK620" s="1684"/>
      <c r="BL620" s="1684"/>
      <c r="BM620" s="1684"/>
      <c r="BN620" s="1684"/>
      <c r="BO620" s="1684"/>
      <c r="BP620" s="1684"/>
      <c r="BQ620" s="1684"/>
      <c r="BR620" s="1684"/>
      <c r="BS620" s="1684"/>
      <c r="BT620" s="1684"/>
      <c r="BU620" s="1684"/>
      <c r="BV620" s="1684"/>
      <c r="BW620" s="1684"/>
      <c r="BX620" s="1684"/>
      <c r="BY620" s="1684"/>
      <c r="BZ620" s="1684"/>
      <c r="CA620" s="1684"/>
      <c r="CB620" s="1684"/>
      <c r="CC620" s="1684"/>
      <c r="CD620" s="1684"/>
      <c r="CE620" s="1684"/>
      <c r="CF620" s="1684"/>
      <c r="CG620" s="1684"/>
      <c r="CH620" s="1684"/>
      <c r="CI620" s="1684"/>
      <c r="CJ620" s="1684"/>
      <c r="CK620" s="1684"/>
      <c r="CL620" s="1684"/>
      <c r="CM620" s="1684"/>
      <c r="CN620" s="1684"/>
      <c r="CO620" s="1684"/>
    </row>
    <row r="621" spans="1:93" s="1391" customFormat="1" ht="15" x14ac:dyDescent="0.2">
      <c r="A621" s="1684"/>
      <c r="B621" s="1684"/>
      <c r="C621" s="2013">
        <v>12</v>
      </c>
      <c r="D621" s="5">
        <v>6.7770000000000001</v>
      </c>
      <c r="E621" s="5">
        <v>182</v>
      </c>
      <c r="F621" s="5">
        <v>201</v>
      </c>
      <c r="G621" s="5">
        <v>219</v>
      </c>
      <c r="H621" s="5">
        <v>236</v>
      </c>
      <c r="I621" s="5">
        <v>254</v>
      </c>
      <c r="J621" s="5">
        <v>271</v>
      </c>
      <c r="K621" s="5">
        <v>288</v>
      </c>
      <c r="L621" s="5">
        <v>306</v>
      </c>
      <c r="M621" s="5">
        <v>322</v>
      </c>
      <c r="N621" s="5">
        <v>338</v>
      </c>
      <c r="O621" s="5">
        <v>354</v>
      </c>
      <c r="P621" s="5">
        <v>370</v>
      </c>
      <c r="Q621" s="1160">
        <v>49</v>
      </c>
      <c r="R621"/>
      <c r="S621" s="1684"/>
      <c r="T621" s="1684"/>
      <c r="U621" s="1684"/>
      <c r="V621" s="1684"/>
      <c r="W621" s="1684"/>
      <c r="X621" s="1684"/>
      <c r="Y621" s="1684"/>
      <c r="Z621" s="1684"/>
      <c r="AA621" s="1684"/>
      <c r="AB621" s="1684"/>
      <c r="AC621" s="1684"/>
      <c r="AD621" s="1684"/>
      <c r="AE621" s="1684"/>
      <c r="AF621" s="1684"/>
      <c r="AG621" s="1684"/>
      <c r="AH621" s="1684"/>
      <c r="AI621" s="1684"/>
      <c r="AJ621" s="1684"/>
      <c r="AK621" s="1684"/>
      <c r="AL621" s="1684"/>
      <c r="AM621" s="1684"/>
      <c r="AN621" s="1684"/>
      <c r="AO621" s="1684"/>
      <c r="AP621" s="1684"/>
      <c r="AQ621" s="1684"/>
      <c r="AR621" s="1684"/>
      <c r="AS621" s="1684"/>
      <c r="AT621" s="1684"/>
      <c r="AU621" s="1684"/>
      <c r="AV621" s="1684"/>
      <c r="AW621" s="1684"/>
      <c r="AX621" s="1684"/>
      <c r="AY621" s="1684"/>
      <c r="AZ621" s="1684"/>
      <c r="BA621" s="1684"/>
      <c r="BB621" s="1684"/>
      <c r="BC621" s="1684"/>
      <c r="BD621" s="1684"/>
      <c r="BE621" s="1684"/>
      <c r="BF621" s="1684"/>
      <c r="BG621" s="1684"/>
      <c r="BH621" s="1684"/>
      <c r="BI621" s="1684"/>
      <c r="BJ621" s="1684"/>
      <c r="BK621" s="1684"/>
      <c r="BL621" s="1684"/>
      <c r="BM621" s="1684"/>
      <c r="BN621" s="1684"/>
      <c r="BO621" s="1684"/>
      <c r="BP621" s="1684"/>
      <c r="BQ621" s="1684"/>
      <c r="BR621" s="1684"/>
      <c r="BS621" s="1684"/>
      <c r="BT621" s="1684"/>
      <c r="BU621" s="1684"/>
      <c r="BV621" s="1684"/>
      <c r="BW621" s="1684"/>
      <c r="BX621" s="1684"/>
      <c r="BY621" s="1684"/>
      <c r="BZ621" s="1684"/>
      <c r="CA621" s="1684"/>
      <c r="CB621" s="1684"/>
      <c r="CC621" s="1684"/>
      <c r="CD621" s="1684"/>
      <c r="CE621" s="1684"/>
      <c r="CF621" s="1684"/>
      <c r="CG621" s="1684"/>
      <c r="CH621" s="1684"/>
      <c r="CI621" s="1684"/>
      <c r="CJ621" s="1684"/>
      <c r="CK621" s="1684"/>
      <c r="CL621" s="1684"/>
      <c r="CM621" s="1684"/>
      <c r="CN621" s="1684"/>
      <c r="CO621" s="1684"/>
    </row>
    <row r="622" spans="1:93" s="1391" customFormat="1" ht="15" x14ac:dyDescent="0.2">
      <c r="A622" s="1684"/>
      <c r="B622" s="1684"/>
      <c r="C622" s="2013">
        <v>13</v>
      </c>
      <c r="D622" s="5">
        <v>7.1390000000000002</v>
      </c>
      <c r="E622" s="5">
        <v>195</v>
      </c>
      <c r="F622" s="5">
        <v>215</v>
      </c>
      <c r="G622" s="5">
        <v>234</v>
      </c>
      <c r="H622" s="5">
        <v>253</v>
      </c>
      <c r="I622" s="5">
        <v>272</v>
      </c>
      <c r="J622" s="5">
        <v>290</v>
      </c>
      <c r="K622" s="5">
        <v>308</v>
      </c>
      <c r="L622" s="5">
        <v>327</v>
      </c>
      <c r="M622" s="5">
        <v>344</v>
      </c>
      <c r="N622" s="5">
        <v>361</v>
      </c>
      <c r="O622" s="5">
        <v>378</v>
      </c>
      <c r="P622" s="5">
        <v>396</v>
      </c>
      <c r="Q622" s="1160">
        <v>50</v>
      </c>
      <c r="R622"/>
      <c r="S622" s="1684"/>
      <c r="T622" s="1684"/>
      <c r="U622" s="1684"/>
      <c r="V622" s="1684"/>
      <c r="W622" s="1684"/>
      <c r="X622" s="1684"/>
      <c r="Y622" s="1684"/>
      <c r="Z622" s="1684"/>
      <c r="AA622" s="1684"/>
      <c r="AB622" s="1684"/>
      <c r="AC622" s="1684"/>
      <c r="AD622" s="1684"/>
      <c r="AE622" s="1684"/>
      <c r="AF622" s="1684"/>
      <c r="AG622" s="1684"/>
      <c r="AH622" s="1684"/>
      <c r="AI622" s="1684"/>
      <c r="AJ622" s="1684"/>
      <c r="AK622" s="1684"/>
      <c r="AL622" s="1684"/>
      <c r="AM622" s="1684"/>
      <c r="AN622" s="1684"/>
      <c r="AO622" s="1684"/>
      <c r="AP622" s="1684"/>
      <c r="AQ622" s="1684"/>
      <c r="AR622" s="1684"/>
      <c r="AS622" s="1684"/>
      <c r="AT622" s="1684"/>
      <c r="AU622" s="1684"/>
      <c r="AV622" s="1684"/>
      <c r="AW622" s="1684"/>
      <c r="AX622" s="1684"/>
      <c r="AY622" s="1684"/>
      <c r="AZ622" s="1684"/>
      <c r="BA622" s="1684"/>
      <c r="BB622" s="1684"/>
      <c r="BC622" s="1684"/>
      <c r="BD622" s="1684"/>
      <c r="BE622" s="1684"/>
      <c r="BF622" s="1684"/>
      <c r="BG622" s="1684"/>
      <c r="BH622" s="1684"/>
      <c r="BI622" s="1684"/>
      <c r="BJ622" s="1684"/>
      <c r="BK622" s="1684"/>
      <c r="BL622" s="1684"/>
      <c r="BM622" s="1684"/>
      <c r="BN622" s="1684"/>
      <c r="BO622" s="1684"/>
      <c r="BP622" s="1684"/>
      <c r="BQ622" s="1684"/>
      <c r="BR622" s="1684"/>
      <c r="BS622" s="1684"/>
      <c r="BT622" s="1684"/>
      <c r="BU622" s="1684"/>
      <c r="BV622" s="1684"/>
      <c r="BW622" s="1684"/>
      <c r="BX622" s="1684"/>
      <c r="BY622" s="1684"/>
      <c r="BZ622" s="1684"/>
      <c r="CA622" s="1684"/>
      <c r="CB622" s="1684"/>
      <c r="CC622" s="1684"/>
      <c r="CD622" s="1684"/>
      <c r="CE622" s="1684"/>
      <c r="CF622" s="1684"/>
      <c r="CG622" s="1684"/>
      <c r="CH622" s="1684"/>
      <c r="CI622" s="1684"/>
      <c r="CJ622" s="1684"/>
      <c r="CK622" s="1684"/>
      <c r="CL622" s="1684"/>
      <c r="CM622" s="1684"/>
      <c r="CN622" s="1684"/>
      <c r="CO622" s="1684"/>
    </row>
    <row r="623" spans="1:93" s="1391" customFormat="1" ht="15" x14ac:dyDescent="0.2">
      <c r="A623" s="1684"/>
      <c r="B623" s="1684"/>
      <c r="C623" s="2013">
        <v>14</v>
      </c>
      <c r="D623" s="5">
        <v>7.5309999999999997</v>
      </c>
      <c r="E623" s="5">
        <v>209</v>
      </c>
      <c r="F623" s="5">
        <v>230</v>
      </c>
      <c r="G623" s="5">
        <v>250</v>
      </c>
      <c r="H623" s="5">
        <v>270</v>
      </c>
      <c r="I623" s="5">
        <v>290</v>
      </c>
      <c r="J623" s="5">
        <v>309</v>
      </c>
      <c r="K623" s="5">
        <v>329</v>
      </c>
      <c r="L623" s="5">
        <v>348</v>
      </c>
      <c r="M623" s="5">
        <v>366</v>
      </c>
      <c r="N623" s="5">
        <v>385</v>
      </c>
      <c r="O623" s="5">
        <v>403</v>
      </c>
      <c r="P623" s="5">
        <v>421</v>
      </c>
      <c r="Q623" s="1160">
        <v>51</v>
      </c>
      <c r="R623"/>
      <c r="S623" s="1684"/>
      <c r="T623" s="1684"/>
      <c r="U623" s="1684"/>
      <c r="V623" s="1684"/>
      <c r="W623" s="1684"/>
      <c r="X623" s="1684"/>
      <c r="Y623" s="1684"/>
      <c r="Z623" s="1684"/>
      <c r="AA623" s="1684"/>
      <c r="AB623" s="1684"/>
      <c r="AC623" s="1684"/>
      <c r="AD623" s="1684"/>
      <c r="AE623" s="1684"/>
      <c r="AF623" s="1684"/>
      <c r="AG623" s="1684"/>
      <c r="AH623" s="1684"/>
      <c r="AI623" s="1684"/>
      <c r="AJ623" s="1684"/>
      <c r="AK623" s="1684"/>
      <c r="AL623" s="1684"/>
      <c r="AM623" s="1684"/>
      <c r="AN623" s="1684"/>
      <c r="AO623" s="1684"/>
      <c r="AP623" s="1684"/>
      <c r="AQ623" s="1684"/>
      <c r="AR623" s="1684"/>
      <c r="AS623" s="1684"/>
      <c r="AT623" s="1684"/>
      <c r="AU623" s="1684"/>
      <c r="AV623" s="1684"/>
      <c r="AW623" s="1684"/>
      <c r="AX623" s="1684"/>
      <c r="AY623" s="1684"/>
      <c r="AZ623" s="1684"/>
      <c r="BA623" s="1684"/>
      <c r="BB623" s="1684"/>
      <c r="BC623" s="1684"/>
      <c r="BD623" s="1684"/>
      <c r="BE623" s="1684"/>
      <c r="BF623" s="1684"/>
      <c r="BG623" s="1684"/>
      <c r="BH623" s="1684"/>
      <c r="BI623" s="1684"/>
      <c r="BJ623" s="1684"/>
      <c r="BK623" s="1684"/>
      <c r="BL623" s="1684"/>
      <c r="BM623" s="1684"/>
      <c r="BN623" s="1684"/>
      <c r="BO623" s="1684"/>
      <c r="BP623" s="1684"/>
      <c r="BQ623" s="1684"/>
      <c r="BR623" s="1684"/>
      <c r="BS623" s="1684"/>
      <c r="BT623" s="1684"/>
      <c r="BU623" s="1684"/>
      <c r="BV623" s="1684"/>
      <c r="BW623" s="1684"/>
      <c r="BX623" s="1684"/>
      <c r="BY623" s="1684"/>
      <c r="BZ623" s="1684"/>
      <c r="CA623" s="1684"/>
      <c r="CB623" s="1684"/>
      <c r="CC623" s="1684"/>
      <c r="CD623" s="1684"/>
      <c r="CE623" s="1684"/>
      <c r="CF623" s="1684"/>
      <c r="CG623" s="1684"/>
      <c r="CH623" s="1684"/>
      <c r="CI623" s="1684"/>
      <c r="CJ623" s="1684"/>
      <c r="CK623" s="1684"/>
      <c r="CL623" s="1684"/>
      <c r="CM623" s="1684"/>
      <c r="CN623" s="1684"/>
      <c r="CO623" s="1684"/>
    </row>
    <row r="624" spans="1:93" s="1391" customFormat="1" ht="15" x14ac:dyDescent="0.2">
      <c r="A624" s="1684"/>
      <c r="B624" s="1684"/>
      <c r="C624" s="2013">
        <v>15</v>
      </c>
      <c r="D624" s="5">
        <v>7.89</v>
      </c>
      <c r="E624" s="5">
        <v>222</v>
      </c>
      <c r="F624" s="5">
        <v>245</v>
      </c>
      <c r="G624" s="5">
        <v>266</v>
      </c>
      <c r="H624" s="5">
        <v>287</v>
      </c>
      <c r="I624" s="5">
        <v>308</v>
      </c>
      <c r="J624" s="5">
        <v>329</v>
      </c>
      <c r="K624" s="5">
        <v>349</v>
      </c>
      <c r="L624" s="5">
        <v>370</v>
      </c>
      <c r="M624" s="5">
        <v>388</v>
      </c>
      <c r="N624" s="5">
        <v>408</v>
      </c>
      <c r="O624" s="5">
        <v>427</v>
      </c>
      <c r="P624" s="5">
        <v>446</v>
      </c>
      <c r="Q624" s="1160">
        <v>52</v>
      </c>
      <c r="R624"/>
      <c r="S624" s="1684"/>
      <c r="T624" s="1684"/>
      <c r="U624" s="1684"/>
      <c r="V624" s="1684"/>
      <c r="W624" s="1684"/>
      <c r="X624" s="1684"/>
      <c r="Y624" s="1684"/>
      <c r="Z624" s="1684"/>
      <c r="AA624" s="1684"/>
      <c r="AB624" s="1684"/>
      <c r="AC624" s="1684"/>
      <c r="AD624" s="1684"/>
      <c r="AE624" s="1684"/>
      <c r="AF624" s="1684"/>
      <c r="AG624" s="1684"/>
      <c r="AH624" s="1684"/>
      <c r="AI624" s="1684"/>
      <c r="AJ624" s="1684"/>
      <c r="AK624" s="1684"/>
      <c r="AL624" s="1684"/>
      <c r="AM624" s="1684"/>
      <c r="AN624" s="1684"/>
      <c r="AO624" s="1684"/>
      <c r="AP624" s="1684"/>
      <c r="AQ624" s="1684"/>
      <c r="AR624" s="1684"/>
      <c r="AS624" s="1684"/>
      <c r="AT624" s="1684"/>
      <c r="AU624" s="1684"/>
      <c r="AV624" s="1684"/>
      <c r="AW624" s="1684"/>
      <c r="AX624" s="1684"/>
      <c r="AY624" s="1684"/>
      <c r="AZ624" s="1684"/>
      <c r="BA624" s="1684"/>
      <c r="BB624" s="1684"/>
      <c r="BC624" s="1684"/>
      <c r="BD624" s="1684"/>
      <c r="BE624" s="1684"/>
      <c r="BF624" s="1684"/>
      <c r="BG624" s="1684"/>
      <c r="BH624" s="1684"/>
      <c r="BI624" s="1684"/>
      <c r="BJ624" s="1684"/>
      <c r="BK624" s="1684"/>
      <c r="BL624" s="1684"/>
      <c r="BM624" s="1684"/>
      <c r="BN624" s="1684"/>
      <c r="BO624" s="1684"/>
      <c r="BP624" s="1684"/>
      <c r="BQ624" s="1684"/>
      <c r="BR624" s="1684"/>
      <c r="BS624" s="1684"/>
      <c r="BT624" s="1684"/>
      <c r="BU624" s="1684"/>
      <c r="BV624" s="1684"/>
      <c r="BW624" s="1684"/>
      <c r="BX624" s="1684"/>
      <c r="BY624" s="1684"/>
      <c r="BZ624" s="1684"/>
      <c r="CA624" s="1684"/>
      <c r="CB624" s="1684"/>
      <c r="CC624" s="1684"/>
      <c r="CD624" s="1684"/>
      <c r="CE624" s="1684"/>
      <c r="CF624" s="1684"/>
      <c r="CG624" s="1684"/>
      <c r="CH624" s="1684"/>
      <c r="CI624" s="1684"/>
      <c r="CJ624" s="1684"/>
      <c r="CK624" s="1684"/>
      <c r="CL624" s="1684"/>
      <c r="CM624" s="1684"/>
      <c r="CN624" s="1684"/>
      <c r="CO624" s="1684"/>
    </row>
    <row r="625" spans="1:93" s="1391" customFormat="1" ht="15" x14ac:dyDescent="0.2">
      <c r="A625" s="1684"/>
      <c r="B625" s="1684"/>
      <c r="C625" s="2013">
        <v>16</v>
      </c>
      <c r="D625" s="5">
        <v>8.3949999999999996</v>
      </c>
      <c r="E625" s="5">
        <v>235</v>
      </c>
      <c r="F625" s="5">
        <v>256</v>
      </c>
      <c r="G625" s="5">
        <v>281</v>
      </c>
      <c r="H625" s="5">
        <v>303</v>
      </c>
      <c r="I625" s="5">
        <v>325</v>
      </c>
      <c r="J625" s="5">
        <v>347</v>
      </c>
      <c r="K625" s="5">
        <v>368</v>
      </c>
      <c r="L625" s="5">
        <v>390</v>
      </c>
      <c r="M625" s="5">
        <v>409</v>
      </c>
      <c r="N625" s="5">
        <v>430</v>
      </c>
      <c r="O625" s="5">
        <v>450</v>
      </c>
      <c r="P625" s="5">
        <v>469</v>
      </c>
      <c r="Q625" s="1160">
        <v>53</v>
      </c>
      <c r="R625"/>
      <c r="S625" s="1684"/>
      <c r="T625" s="1684"/>
      <c r="U625" s="1684"/>
      <c r="V625" s="1684"/>
      <c r="W625" s="1684"/>
      <c r="X625" s="1684"/>
      <c r="Y625" s="1684"/>
      <c r="Z625" s="1684"/>
      <c r="AA625" s="1684"/>
      <c r="AB625" s="1684"/>
      <c r="AC625" s="1684"/>
      <c r="AD625" s="1684"/>
      <c r="AE625" s="1684"/>
      <c r="AF625" s="1684"/>
      <c r="AG625" s="1684"/>
      <c r="AH625" s="1684"/>
      <c r="AI625" s="1684"/>
      <c r="AJ625" s="1684"/>
      <c r="AK625" s="1684"/>
      <c r="AL625" s="1684"/>
      <c r="AM625" s="1684"/>
      <c r="AN625" s="1684"/>
      <c r="AO625" s="1684"/>
      <c r="AP625" s="1684"/>
      <c r="AQ625" s="1684"/>
      <c r="AR625" s="1684"/>
      <c r="AS625" s="1684"/>
      <c r="AT625" s="1684"/>
      <c r="AU625" s="1684"/>
      <c r="AV625" s="1684"/>
      <c r="AW625" s="1684"/>
      <c r="AX625" s="1684"/>
      <c r="AY625" s="1684"/>
      <c r="AZ625" s="1684"/>
      <c r="BA625" s="1684"/>
      <c r="BB625" s="1684"/>
      <c r="BC625" s="1684"/>
      <c r="BD625" s="1684"/>
      <c r="BE625" s="1684"/>
      <c r="BF625" s="1684"/>
      <c r="BG625" s="1684"/>
      <c r="BH625" s="1684"/>
      <c r="BI625" s="1684"/>
      <c r="BJ625" s="1684"/>
      <c r="BK625" s="1684"/>
      <c r="BL625" s="1684"/>
      <c r="BM625" s="1684"/>
      <c r="BN625" s="1684"/>
      <c r="BO625" s="1684"/>
      <c r="BP625" s="1684"/>
      <c r="BQ625" s="1684"/>
      <c r="BR625" s="1684"/>
      <c r="BS625" s="1684"/>
      <c r="BT625" s="1684"/>
      <c r="BU625" s="1684"/>
      <c r="BV625" s="1684"/>
      <c r="BW625" s="1684"/>
      <c r="BX625" s="1684"/>
      <c r="BY625" s="1684"/>
      <c r="BZ625" s="1684"/>
      <c r="CA625" s="1684"/>
      <c r="CB625" s="1684"/>
      <c r="CC625" s="1684"/>
      <c r="CD625" s="1684"/>
      <c r="CE625" s="1684"/>
      <c r="CF625" s="1684"/>
      <c r="CG625" s="1684"/>
      <c r="CH625" s="1684"/>
      <c r="CI625" s="1684"/>
      <c r="CJ625" s="1684"/>
      <c r="CK625" s="1684"/>
      <c r="CL625" s="1684"/>
      <c r="CM625" s="1684"/>
      <c r="CN625" s="1684"/>
      <c r="CO625" s="1684"/>
    </row>
    <row r="626" spans="1:93" s="1391" customFormat="1" ht="15" x14ac:dyDescent="0.2">
      <c r="A626" s="1684"/>
      <c r="B626" s="1684"/>
      <c r="C626" s="2013">
        <v>17</v>
      </c>
      <c r="D626" s="5">
        <v>8.9329999999999998</v>
      </c>
      <c r="E626" s="5">
        <v>246</v>
      </c>
      <c r="F626" s="5">
        <v>271</v>
      </c>
      <c r="G626" s="5">
        <v>295</v>
      </c>
      <c r="H626" s="5">
        <v>318</v>
      </c>
      <c r="I626" s="5">
        <v>340</v>
      </c>
      <c r="J626" s="5">
        <v>363</v>
      </c>
      <c r="K626" s="5">
        <v>385</v>
      </c>
      <c r="L626" s="5">
        <v>408</v>
      </c>
      <c r="M626" s="5">
        <v>428</v>
      </c>
      <c r="N626" s="5">
        <v>449</v>
      </c>
      <c r="O626" s="5">
        <v>470</v>
      </c>
      <c r="P626" s="5">
        <v>490</v>
      </c>
      <c r="Q626" s="1160">
        <v>54</v>
      </c>
      <c r="R626"/>
      <c r="S626" s="1684"/>
      <c r="T626" s="1684"/>
      <c r="U626" s="1684"/>
      <c r="V626" s="1684"/>
      <c r="W626" s="1684"/>
      <c r="X626" s="1684"/>
      <c r="Y626" s="1684"/>
      <c r="Z626" s="1684"/>
      <c r="AA626" s="1684"/>
      <c r="AB626" s="1684"/>
      <c r="AC626" s="1684"/>
      <c r="AD626" s="1684"/>
      <c r="AE626" s="1684"/>
      <c r="AF626" s="1684"/>
      <c r="AG626" s="1684"/>
      <c r="AH626" s="1684"/>
      <c r="AI626" s="1684"/>
      <c r="AJ626" s="1684"/>
      <c r="AK626" s="1684"/>
      <c r="AL626" s="1684"/>
      <c r="AM626" s="1684"/>
      <c r="AN626" s="1684"/>
      <c r="AO626" s="1684"/>
      <c r="AP626" s="1684"/>
      <c r="AQ626" s="1684"/>
      <c r="AR626" s="1684"/>
      <c r="AS626" s="1684"/>
      <c r="AT626" s="1684"/>
      <c r="AU626" s="1684"/>
      <c r="AV626" s="1684"/>
      <c r="AW626" s="1684"/>
      <c r="AX626" s="1684"/>
      <c r="AY626" s="1684"/>
      <c r="AZ626" s="1684"/>
      <c r="BA626" s="1684"/>
      <c r="BB626" s="1684"/>
      <c r="BC626" s="1684"/>
      <c r="BD626" s="1684"/>
      <c r="BE626" s="1684"/>
      <c r="BF626" s="1684"/>
      <c r="BG626" s="1684"/>
      <c r="BH626" s="1684"/>
      <c r="BI626" s="1684"/>
      <c r="BJ626" s="1684"/>
      <c r="BK626" s="1684"/>
      <c r="BL626" s="1684"/>
      <c r="BM626" s="1684"/>
      <c r="BN626" s="1684"/>
      <c r="BO626" s="1684"/>
      <c r="BP626" s="1684"/>
      <c r="BQ626" s="1684"/>
      <c r="BR626" s="1684"/>
      <c r="BS626" s="1684"/>
      <c r="BT626" s="1684"/>
      <c r="BU626" s="1684"/>
      <c r="BV626" s="1684"/>
      <c r="BW626" s="1684"/>
      <c r="BX626" s="1684"/>
      <c r="BY626" s="1684"/>
      <c r="BZ626" s="1684"/>
      <c r="CA626" s="1684"/>
      <c r="CB626" s="1684"/>
      <c r="CC626" s="1684"/>
      <c r="CD626" s="1684"/>
      <c r="CE626" s="1684"/>
      <c r="CF626" s="1684"/>
      <c r="CG626" s="1684"/>
      <c r="CH626" s="1684"/>
      <c r="CI626" s="1684"/>
      <c r="CJ626" s="1684"/>
      <c r="CK626" s="1684"/>
      <c r="CL626" s="1684"/>
      <c r="CM626" s="1684"/>
      <c r="CN626" s="1684"/>
      <c r="CO626" s="1684"/>
    </row>
    <row r="627" spans="1:93" s="1391" customFormat="1" ht="15" x14ac:dyDescent="0.2">
      <c r="A627" s="1684"/>
      <c r="B627" s="1684"/>
      <c r="C627" s="2013">
        <v>18</v>
      </c>
      <c r="D627" s="5">
        <v>9.2370000000000001</v>
      </c>
      <c r="E627" s="5">
        <v>256</v>
      </c>
      <c r="F627" s="5">
        <v>282</v>
      </c>
      <c r="G627" s="5">
        <v>306</v>
      </c>
      <c r="H627" s="5">
        <v>330</v>
      </c>
      <c r="I627" s="5">
        <v>354</v>
      </c>
      <c r="J627" s="5">
        <v>377</v>
      </c>
      <c r="K627" s="5">
        <v>400</v>
      </c>
      <c r="L627" s="5">
        <v>424</v>
      </c>
      <c r="M627" s="5">
        <v>445</v>
      </c>
      <c r="N627" s="5">
        <v>466</v>
      </c>
      <c r="O627" s="5">
        <v>488</v>
      </c>
      <c r="P627" s="5">
        <v>509</v>
      </c>
      <c r="Q627" s="1160">
        <v>55</v>
      </c>
      <c r="R627"/>
      <c r="S627" s="1684"/>
      <c r="T627" s="1684"/>
      <c r="U627" s="1684"/>
      <c r="V627" s="1684"/>
      <c r="W627" s="1684"/>
      <c r="X627" s="1684"/>
      <c r="Y627" s="1684"/>
      <c r="Z627" s="1684"/>
      <c r="AA627" s="1684"/>
      <c r="AB627" s="1684"/>
      <c r="AC627" s="1684"/>
      <c r="AD627" s="1684"/>
      <c r="AE627" s="1684"/>
      <c r="AF627" s="1684"/>
      <c r="AG627" s="1684"/>
      <c r="AH627" s="1684"/>
      <c r="AI627" s="1684"/>
      <c r="AJ627" s="1684"/>
      <c r="AK627" s="1684"/>
      <c r="AL627" s="1684"/>
      <c r="AM627" s="1684"/>
      <c r="AN627" s="1684"/>
      <c r="AO627" s="1684"/>
      <c r="AP627" s="1684"/>
      <c r="AQ627" s="1684"/>
      <c r="AR627" s="1684"/>
      <c r="AS627" s="1684"/>
      <c r="AT627" s="1684"/>
      <c r="AU627" s="1684"/>
      <c r="AV627" s="1684"/>
      <c r="AW627" s="1684"/>
      <c r="AX627" s="1684"/>
      <c r="AY627" s="1684"/>
      <c r="AZ627" s="1684"/>
      <c r="BA627" s="1684"/>
      <c r="BB627" s="1684"/>
      <c r="BC627" s="1684"/>
      <c r="BD627" s="1684"/>
      <c r="BE627" s="1684"/>
      <c r="BF627" s="1684"/>
      <c r="BG627" s="1684"/>
      <c r="BH627" s="1684"/>
      <c r="BI627" s="1684"/>
      <c r="BJ627" s="1684"/>
      <c r="BK627" s="1684"/>
      <c r="BL627" s="1684"/>
      <c r="BM627" s="1684"/>
      <c r="BN627" s="1684"/>
      <c r="BO627" s="1684"/>
      <c r="BP627" s="1684"/>
      <c r="BQ627" s="1684"/>
      <c r="BR627" s="1684"/>
      <c r="BS627" s="1684"/>
      <c r="BT627" s="1684"/>
      <c r="BU627" s="1684"/>
      <c r="BV627" s="1684"/>
      <c r="BW627" s="1684"/>
      <c r="BX627" s="1684"/>
      <c r="BY627" s="1684"/>
      <c r="BZ627" s="1684"/>
      <c r="CA627" s="1684"/>
      <c r="CB627" s="1684"/>
      <c r="CC627" s="1684"/>
      <c r="CD627" s="1684"/>
      <c r="CE627" s="1684"/>
      <c r="CF627" s="1684"/>
      <c r="CG627" s="1684"/>
      <c r="CH627" s="1684"/>
      <c r="CI627" s="1684"/>
      <c r="CJ627" s="1684"/>
      <c r="CK627" s="1684"/>
      <c r="CL627" s="1684"/>
      <c r="CM627" s="1684"/>
      <c r="CN627" s="1684"/>
      <c r="CO627" s="1684"/>
    </row>
    <row r="628" spans="1:93" s="1391" customFormat="1" ht="15" x14ac:dyDescent="0.2">
      <c r="A628" s="1684"/>
      <c r="B628" s="1684"/>
      <c r="C628" s="4680" t="s">
        <v>3691</v>
      </c>
      <c r="D628" s="4681"/>
      <c r="E628" s="4681"/>
      <c r="F628" s="4681"/>
      <c r="G628" s="4681"/>
      <c r="H628" s="4681"/>
      <c r="I628" s="4681"/>
      <c r="J628" s="4681"/>
      <c r="K628" s="4681"/>
      <c r="L628" s="4681"/>
      <c r="M628" s="4681"/>
      <c r="N628" s="4681"/>
      <c r="O628" s="4681"/>
      <c r="P628" s="4681"/>
      <c r="Q628" s="4682"/>
      <c r="R628"/>
      <c r="S628" s="1684"/>
      <c r="T628" s="1684"/>
      <c r="U628" s="1684"/>
      <c r="V628" s="1684"/>
      <c r="W628" s="1684"/>
      <c r="X628" s="1684"/>
      <c r="Y628" s="1684"/>
      <c r="Z628" s="1684"/>
      <c r="AA628" s="1684"/>
      <c r="AB628" s="1684"/>
      <c r="AC628" s="1684"/>
      <c r="AD628" s="1684"/>
      <c r="AE628" s="1684"/>
      <c r="AF628" s="1684"/>
      <c r="AG628" s="1684"/>
      <c r="AH628" s="1684"/>
      <c r="AI628" s="1684"/>
      <c r="AJ628" s="1684"/>
      <c r="AK628" s="1684"/>
      <c r="AL628" s="1684"/>
      <c r="AM628" s="1684"/>
      <c r="AN628" s="1684"/>
      <c r="AO628" s="1684"/>
      <c r="AP628" s="1684"/>
      <c r="AQ628" s="1684"/>
      <c r="AR628" s="1684"/>
      <c r="AS628" s="1684"/>
      <c r="AT628" s="1684"/>
      <c r="AU628" s="1684"/>
      <c r="AV628" s="1684"/>
      <c r="AW628" s="1684"/>
      <c r="AX628" s="1684"/>
      <c r="AY628" s="1684"/>
      <c r="AZ628" s="1684"/>
      <c r="BA628" s="1684"/>
      <c r="BB628" s="1684"/>
      <c r="BC628" s="1684"/>
      <c r="BD628" s="1684"/>
      <c r="BE628" s="1684"/>
      <c r="BF628" s="1684"/>
      <c r="BG628" s="1684"/>
      <c r="BH628" s="1684"/>
      <c r="BI628" s="1684"/>
      <c r="BJ628" s="1684"/>
      <c r="BK628" s="1684"/>
      <c r="BL628" s="1684"/>
      <c r="BM628" s="1684"/>
      <c r="BN628" s="1684"/>
      <c r="BO628" s="1684"/>
      <c r="BP628" s="1684"/>
      <c r="BQ628" s="1684"/>
      <c r="BR628" s="1684"/>
      <c r="BS628" s="1684"/>
      <c r="BT628" s="1684"/>
      <c r="BU628" s="1684"/>
      <c r="BV628" s="1684"/>
      <c r="BW628" s="1684"/>
      <c r="BX628" s="1684"/>
      <c r="BY628" s="1684"/>
      <c r="BZ628" s="1684"/>
      <c r="CA628" s="1684"/>
      <c r="CB628" s="1684"/>
      <c r="CC628" s="1684"/>
      <c r="CD628" s="1684"/>
      <c r="CE628" s="1684"/>
      <c r="CF628" s="1684"/>
      <c r="CG628" s="1684"/>
      <c r="CH628" s="1684"/>
      <c r="CI628" s="1684"/>
      <c r="CJ628" s="1684"/>
      <c r="CK628" s="1684"/>
      <c r="CL628" s="1684"/>
      <c r="CM628" s="1684"/>
      <c r="CN628" s="1684"/>
      <c r="CO628" s="1684"/>
    </row>
    <row r="629" spans="1:93" s="1391" customFormat="1" ht="15" x14ac:dyDescent="0.2">
      <c r="A629" s="1684"/>
      <c r="B629" s="1684"/>
      <c r="C629" s="4680"/>
      <c r="D629" s="4681"/>
      <c r="E629" s="4681"/>
      <c r="F629" s="4681"/>
      <c r="G629" s="4681"/>
      <c r="H629" s="4681"/>
      <c r="I629" s="4681"/>
      <c r="J629" s="4681"/>
      <c r="K629" s="4681"/>
      <c r="L629" s="4681"/>
      <c r="M629" s="4681"/>
      <c r="N629" s="4681"/>
      <c r="O629" s="4681"/>
      <c r="P629" s="4681"/>
      <c r="Q629" s="4682"/>
      <c r="R629"/>
      <c r="S629" s="1684"/>
      <c r="T629" s="1684"/>
      <c r="U629" s="1684"/>
      <c r="V629" s="1684"/>
      <c r="W629" s="1684"/>
      <c r="X629" s="1684"/>
      <c r="Y629" s="1684"/>
      <c r="Z629" s="1684"/>
      <c r="AA629" s="1684"/>
      <c r="AB629" s="1684"/>
      <c r="AC629" s="1684"/>
      <c r="AD629" s="1684"/>
      <c r="AE629" s="1684"/>
      <c r="AF629" s="1684"/>
      <c r="AG629" s="1684"/>
      <c r="AH629" s="1684"/>
      <c r="AI629" s="1684"/>
      <c r="AJ629" s="1684"/>
      <c r="AK629" s="1684"/>
      <c r="AL629" s="1684"/>
      <c r="AM629" s="1684"/>
      <c r="AN629" s="1684"/>
      <c r="AO629" s="1684"/>
      <c r="AP629" s="1684"/>
      <c r="AQ629" s="1684"/>
      <c r="AR629" s="1684"/>
      <c r="AS629" s="1684"/>
      <c r="AT629" s="1684"/>
      <c r="AU629" s="1684"/>
      <c r="AV629" s="1684"/>
      <c r="AW629" s="1684"/>
      <c r="AX629" s="1684"/>
      <c r="AY629" s="1684"/>
      <c r="AZ629" s="1684"/>
      <c r="BA629" s="1684"/>
      <c r="BB629" s="1684"/>
      <c r="BC629" s="1684"/>
      <c r="BD629" s="1684"/>
      <c r="BE629" s="1684"/>
      <c r="BF629" s="1684"/>
      <c r="BG629" s="1684"/>
      <c r="BH629" s="1684"/>
      <c r="BI629" s="1684"/>
      <c r="BJ629" s="1684"/>
      <c r="BK629" s="1684"/>
      <c r="BL629" s="1684"/>
      <c r="BM629" s="1684"/>
      <c r="BN629" s="1684"/>
      <c r="BO629" s="1684"/>
      <c r="BP629" s="1684"/>
      <c r="BQ629" s="1684"/>
      <c r="BR629" s="1684"/>
      <c r="BS629" s="1684"/>
      <c r="BT629" s="1684"/>
      <c r="BU629" s="1684"/>
      <c r="BV629" s="1684"/>
      <c r="BW629" s="1684"/>
      <c r="BX629" s="1684"/>
      <c r="BY629" s="1684"/>
      <c r="BZ629" s="1684"/>
      <c r="CA629" s="1684"/>
      <c r="CB629" s="1684"/>
      <c r="CC629" s="1684"/>
      <c r="CD629" s="1684"/>
      <c r="CE629" s="1684"/>
      <c r="CF629" s="1684"/>
      <c r="CG629" s="1684"/>
      <c r="CH629" s="1684"/>
      <c r="CI629" s="1684"/>
      <c r="CJ629" s="1684"/>
      <c r="CK629" s="1684"/>
      <c r="CL629" s="1684"/>
      <c r="CM629" s="1684"/>
      <c r="CN629" s="1684"/>
      <c r="CO629" s="1684"/>
    </row>
    <row r="630" spans="1:93" s="1391" customFormat="1" ht="15" x14ac:dyDescent="0.2">
      <c r="A630" s="1684"/>
      <c r="B630" s="1684"/>
      <c r="C630" s="2014"/>
      <c r="D630" s="2015"/>
      <c r="E630" s="2015">
        <v>1</v>
      </c>
      <c r="F630" s="2015">
        <v>2</v>
      </c>
      <c r="G630" s="2015">
        <v>3</v>
      </c>
      <c r="H630" s="2015">
        <v>4</v>
      </c>
      <c r="I630" s="2015">
        <v>5</v>
      </c>
      <c r="J630" s="2015">
        <v>6</v>
      </c>
      <c r="K630" s="2015">
        <v>7</v>
      </c>
      <c r="L630" s="2015">
        <v>8</v>
      </c>
      <c r="M630" s="2015">
        <v>9</v>
      </c>
      <c r="N630" s="2015">
        <v>10</v>
      </c>
      <c r="O630" s="2015">
        <v>11</v>
      </c>
      <c r="P630" s="2015">
        <v>12</v>
      </c>
      <c r="Q630" s="2016"/>
      <c r="R630"/>
      <c r="S630" s="1684"/>
      <c r="T630" s="1684"/>
      <c r="U630" s="1684"/>
      <c r="V630" s="1684"/>
      <c r="W630" s="1684"/>
      <c r="X630" s="1684"/>
      <c r="Y630" s="1684"/>
      <c r="Z630" s="1684"/>
      <c r="AA630" s="1684"/>
      <c r="AB630" s="1684"/>
      <c r="AC630" s="1684"/>
      <c r="AD630" s="1684"/>
      <c r="AE630" s="1684"/>
      <c r="AF630" s="1684"/>
      <c r="AG630" s="1684"/>
      <c r="AH630" s="1684"/>
      <c r="AI630" s="1684"/>
      <c r="AJ630" s="1684"/>
      <c r="AK630" s="1684"/>
      <c r="AL630" s="1684"/>
      <c r="AM630" s="1684"/>
      <c r="AN630" s="1684"/>
      <c r="AO630" s="1684"/>
      <c r="AP630" s="1684"/>
      <c r="AQ630" s="1684"/>
      <c r="AR630" s="1684"/>
      <c r="AS630" s="1684"/>
      <c r="AT630" s="1684"/>
      <c r="AU630" s="1684"/>
      <c r="AV630" s="1684"/>
      <c r="AW630" s="1684"/>
      <c r="AX630" s="1684"/>
      <c r="AY630" s="1684"/>
      <c r="AZ630" s="1684"/>
      <c r="BA630" s="1684"/>
      <c r="BB630" s="1684"/>
      <c r="BC630" s="1684"/>
      <c r="BD630" s="1684"/>
      <c r="BE630" s="1684"/>
      <c r="BF630" s="1684"/>
      <c r="BG630" s="1684"/>
      <c r="BH630" s="1684"/>
      <c r="BI630" s="1684"/>
      <c r="BJ630" s="1684"/>
      <c r="BK630" s="1684"/>
      <c r="BL630" s="1684"/>
      <c r="BM630" s="1684"/>
      <c r="BN630" s="1684"/>
      <c r="BO630" s="1684"/>
      <c r="BP630" s="1684"/>
      <c r="BQ630" s="1684"/>
      <c r="BR630" s="1684"/>
      <c r="BS630" s="1684"/>
      <c r="BT630" s="1684"/>
      <c r="BU630" s="1684"/>
      <c r="BV630" s="1684"/>
      <c r="BW630" s="1684"/>
      <c r="BX630" s="1684"/>
      <c r="BY630" s="1684"/>
      <c r="BZ630" s="1684"/>
      <c r="CA630" s="1684"/>
      <c r="CB630" s="1684"/>
      <c r="CC630" s="1684"/>
      <c r="CD630" s="1684"/>
      <c r="CE630" s="1684"/>
      <c r="CF630" s="1684"/>
      <c r="CG630" s="1684"/>
      <c r="CH630" s="1684"/>
      <c r="CI630" s="1684"/>
      <c r="CJ630" s="1684"/>
      <c r="CK630" s="1684"/>
      <c r="CL630" s="1684"/>
      <c r="CM630" s="1684"/>
      <c r="CN630" s="1684"/>
      <c r="CO630" s="1684"/>
    </row>
    <row r="631" spans="1:93" s="1391" customFormat="1" ht="15" x14ac:dyDescent="0.2">
      <c r="A631" s="1684"/>
      <c r="B631" s="1684"/>
      <c r="C631" s="2013">
        <v>8</v>
      </c>
      <c r="D631" s="5">
        <v>5.5670000000000002</v>
      </c>
      <c r="E631" s="5">
        <v>137</v>
      </c>
      <c r="F631" s="5">
        <v>152</v>
      </c>
      <c r="G631" s="5">
        <v>165</v>
      </c>
      <c r="H631" s="5">
        <v>179</v>
      </c>
      <c r="I631" s="5">
        <v>192</v>
      </c>
      <c r="J631" s="5">
        <v>206</v>
      </c>
      <c r="K631" s="5">
        <v>219</v>
      </c>
      <c r="L631" s="5">
        <v>233</v>
      </c>
      <c r="M631" s="5">
        <v>245</v>
      </c>
      <c r="N631" s="5">
        <v>258</v>
      </c>
      <c r="O631" s="5">
        <v>271</v>
      </c>
      <c r="P631" s="5">
        <v>283</v>
      </c>
      <c r="Q631" s="1160">
        <v>56</v>
      </c>
      <c r="R631"/>
      <c r="S631" s="1684"/>
      <c r="T631" s="1684"/>
      <c r="U631" s="1684"/>
      <c r="V631" s="1684"/>
      <c r="W631" s="1684"/>
      <c r="X631" s="1684"/>
      <c r="Y631" s="1684"/>
      <c r="Z631" s="1684"/>
      <c r="AA631" s="1684"/>
      <c r="AB631" s="1684"/>
      <c r="AC631" s="1684"/>
      <c r="AD631" s="1684"/>
      <c r="AE631" s="1684"/>
      <c r="AF631" s="1684"/>
      <c r="AG631" s="1684"/>
      <c r="AH631" s="1684"/>
      <c r="AI631" s="1684"/>
      <c r="AJ631" s="1684"/>
      <c r="AK631" s="1684"/>
      <c r="AL631" s="1684"/>
      <c r="AM631" s="1684"/>
      <c r="AN631" s="1684"/>
      <c r="AO631" s="1684"/>
      <c r="AP631" s="1684"/>
      <c r="AQ631" s="1684"/>
      <c r="AR631" s="1684"/>
      <c r="AS631" s="1684"/>
      <c r="AT631" s="1684"/>
      <c r="AU631" s="1684"/>
      <c r="AV631" s="1684"/>
      <c r="AW631" s="1684"/>
      <c r="AX631" s="1684"/>
      <c r="AY631" s="1684"/>
      <c r="AZ631" s="1684"/>
      <c r="BA631" s="1684"/>
      <c r="BB631" s="1684"/>
      <c r="BC631" s="1684"/>
      <c r="BD631" s="1684"/>
      <c r="BE631" s="1684"/>
      <c r="BF631" s="1684"/>
      <c r="BG631" s="1684"/>
      <c r="BH631" s="1684"/>
      <c r="BI631" s="1684"/>
      <c r="BJ631" s="1684"/>
      <c r="BK631" s="1684"/>
      <c r="BL631" s="1684"/>
      <c r="BM631" s="1684"/>
      <c r="BN631" s="1684"/>
      <c r="BO631" s="1684"/>
      <c r="BP631" s="1684"/>
      <c r="BQ631" s="1684"/>
      <c r="BR631" s="1684"/>
      <c r="BS631" s="1684"/>
      <c r="BT631" s="1684"/>
      <c r="BU631" s="1684"/>
      <c r="BV631" s="1684"/>
      <c r="BW631" s="1684"/>
      <c r="BX631" s="1684"/>
      <c r="BY631" s="1684"/>
      <c r="BZ631" s="1684"/>
      <c r="CA631" s="1684"/>
      <c r="CB631" s="1684"/>
      <c r="CC631" s="1684"/>
      <c r="CD631" s="1684"/>
      <c r="CE631" s="1684"/>
      <c r="CF631" s="1684"/>
      <c r="CG631" s="1684"/>
      <c r="CH631" s="1684"/>
      <c r="CI631" s="1684"/>
      <c r="CJ631" s="1684"/>
      <c r="CK631" s="1684"/>
      <c r="CL631" s="1684"/>
      <c r="CM631" s="1684"/>
      <c r="CN631" s="1684"/>
      <c r="CO631" s="1684"/>
    </row>
    <row r="632" spans="1:93" s="1391" customFormat="1" ht="15" x14ac:dyDescent="0.2">
      <c r="A632" s="1684"/>
      <c r="B632" s="1684"/>
      <c r="C632" s="2013">
        <v>9</v>
      </c>
      <c r="D632" s="5">
        <v>5.8920000000000003</v>
      </c>
      <c r="E632" s="5">
        <v>150</v>
      </c>
      <c r="F632" s="5">
        <v>166</v>
      </c>
      <c r="G632" s="5">
        <v>180</v>
      </c>
      <c r="H632" s="5">
        <v>195</v>
      </c>
      <c r="I632" s="5">
        <v>210</v>
      </c>
      <c r="J632" s="5">
        <v>224</v>
      </c>
      <c r="K632" s="5">
        <v>238</v>
      </c>
      <c r="L632" s="5">
        <v>253</v>
      </c>
      <c r="M632" s="5">
        <v>267</v>
      </c>
      <c r="N632" s="5">
        <v>281</v>
      </c>
      <c r="O632" s="5">
        <v>294</v>
      </c>
      <c r="P632" s="5">
        <v>306</v>
      </c>
      <c r="Q632" s="1160">
        <v>57</v>
      </c>
      <c r="R632"/>
      <c r="S632" s="1684"/>
      <c r="T632" s="1684"/>
      <c r="U632" s="1684"/>
      <c r="V632" s="1684"/>
      <c r="W632" s="1684"/>
      <c r="X632" s="1684"/>
      <c r="Y632" s="1684"/>
      <c r="Z632" s="1684"/>
      <c r="AA632" s="1684"/>
      <c r="AB632" s="1684"/>
      <c r="AC632" s="1684"/>
      <c r="AD632" s="1684"/>
      <c r="AE632" s="1684"/>
      <c r="AF632" s="1684"/>
      <c r="AG632" s="1684"/>
      <c r="AH632" s="1684"/>
      <c r="AI632" s="1684"/>
      <c r="AJ632" s="1684"/>
      <c r="AK632" s="1684"/>
      <c r="AL632" s="1684"/>
      <c r="AM632" s="1684"/>
      <c r="AN632" s="1684"/>
      <c r="AO632" s="1684"/>
      <c r="AP632" s="1684"/>
      <c r="AQ632" s="1684"/>
      <c r="AR632" s="1684"/>
      <c r="AS632" s="1684"/>
      <c r="AT632" s="1684"/>
      <c r="AU632" s="1684"/>
      <c r="AV632" s="1684"/>
      <c r="AW632" s="1684"/>
      <c r="AX632" s="1684"/>
      <c r="AY632" s="1684"/>
      <c r="AZ632" s="1684"/>
      <c r="BA632" s="1684"/>
      <c r="BB632" s="1684"/>
      <c r="BC632" s="1684"/>
      <c r="BD632" s="1684"/>
      <c r="BE632" s="1684"/>
      <c r="BF632" s="1684"/>
      <c r="BG632" s="1684"/>
      <c r="BH632" s="1684"/>
      <c r="BI632" s="1684"/>
      <c r="BJ632" s="1684"/>
      <c r="BK632" s="1684"/>
      <c r="BL632" s="1684"/>
      <c r="BM632" s="1684"/>
      <c r="BN632" s="1684"/>
      <c r="BO632" s="1684"/>
      <c r="BP632" s="1684"/>
      <c r="BQ632" s="1684"/>
      <c r="BR632" s="1684"/>
      <c r="BS632" s="1684"/>
      <c r="BT632" s="1684"/>
      <c r="BU632" s="1684"/>
      <c r="BV632" s="1684"/>
      <c r="BW632" s="1684"/>
      <c r="BX632" s="1684"/>
      <c r="BY632" s="1684"/>
      <c r="BZ632" s="1684"/>
      <c r="CA632" s="1684"/>
      <c r="CB632" s="1684"/>
      <c r="CC632" s="1684"/>
      <c r="CD632" s="1684"/>
      <c r="CE632" s="1684"/>
      <c r="CF632" s="1684"/>
      <c r="CG632" s="1684"/>
      <c r="CH632" s="1684"/>
      <c r="CI632" s="1684"/>
      <c r="CJ632" s="1684"/>
      <c r="CK632" s="1684"/>
      <c r="CL632" s="1684"/>
      <c r="CM632" s="1684"/>
      <c r="CN632" s="1684"/>
      <c r="CO632" s="1684"/>
    </row>
    <row r="633" spans="1:93" s="1391" customFormat="1" ht="15" x14ac:dyDescent="0.2">
      <c r="A633" s="1684"/>
      <c r="B633" s="1684"/>
      <c r="C633" s="2013">
        <v>10</v>
      </c>
      <c r="D633" s="5">
        <v>6.2279999999999998</v>
      </c>
      <c r="E633" s="5">
        <v>163</v>
      </c>
      <c r="F633" s="5">
        <v>180</v>
      </c>
      <c r="G633" s="5">
        <v>196</v>
      </c>
      <c r="H633" s="5">
        <v>212</v>
      </c>
      <c r="I633" s="5">
        <v>227</v>
      </c>
      <c r="J633" s="5">
        <v>243</v>
      </c>
      <c r="K633" s="5">
        <v>261</v>
      </c>
      <c r="L633" s="5">
        <v>274</v>
      </c>
      <c r="M633" s="5">
        <v>289</v>
      </c>
      <c r="N633" s="5">
        <v>304</v>
      </c>
      <c r="O633" s="5">
        <v>318</v>
      </c>
      <c r="P633" s="5">
        <v>333</v>
      </c>
      <c r="Q633" s="1160">
        <v>58</v>
      </c>
      <c r="R633"/>
      <c r="S633" s="1684"/>
      <c r="T633" s="1684"/>
      <c r="U633" s="1684"/>
      <c r="V633" s="1684"/>
      <c r="W633" s="1684"/>
      <c r="X633" s="1684"/>
      <c r="Y633" s="1684"/>
      <c r="Z633" s="1684"/>
      <c r="AA633" s="1684"/>
      <c r="AB633" s="1684"/>
      <c r="AC633" s="1684"/>
      <c r="AD633" s="1684"/>
      <c r="AE633" s="1684"/>
      <c r="AF633" s="1684"/>
      <c r="AG633" s="1684"/>
      <c r="AH633" s="1684"/>
      <c r="AI633" s="1684"/>
      <c r="AJ633" s="1684"/>
      <c r="AK633" s="1684"/>
      <c r="AL633" s="1684"/>
      <c r="AM633" s="1684"/>
      <c r="AN633" s="1684"/>
      <c r="AO633" s="1684"/>
      <c r="AP633" s="1684"/>
      <c r="AQ633" s="1684"/>
      <c r="AR633" s="1684"/>
      <c r="AS633" s="1684"/>
      <c r="AT633" s="1684"/>
      <c r="AU633" s="1684"/>
      <c r="AV633" s="1684"/>
      <c r="AW633" s="1684"/>
      <c r="AX633" s="1684"/>
      <c r="AY633" s="1684"/>
      <c r="AZ633" s="1684"/>
      <c r="BA633" s="1684"/>
      <c r="BB633" s="1684"/>
      <c r="BC633" s="1684"/>
      <c r="BD633" s="1684"/>
      <c r="BE633" s="1684"/>
      <c r="BF633" s="1684"/>
      <c r="BG633" s="1684"/>
      <c r="BH633" s="1684"/>
      <c r="BI633" s="1684"/>
      <c r="BJ633" s="1684"/>
      <c r="BK633" s="1684"/>
      <c r="BL633" s="1684"/>
      <c r="BM633" s="1684"/>
      <c r="BN633" s="1684"/>
      <c r="BO633" s="1684"/>
      <c r="BP633" s="1684"/>
      <c r="BQ633" s="1684"/>
      <c r="BR633" s="1684"/>
      <c r="BS633" s="1684"/>
      <c r="BT633" s="1684"/>
      <c r="BU633" s="1684"/>
      <c r="BV633" s="1684"/>
      <c r="BW633" s="1684"/>
      <c r="BX633" s="1684"/>
      <c r="BY633" s="1684"/>
      <c r="BZ633" s="1684"/>
      <c r="CA633" s="1684"/>
      <c r="CB633" s="1684"/>
      <c r="CC633" s="1684"/>
      <c r="CD633" s="1684"/>
      <c r="CE633" s="1684"/>
      <c r="CF633" s="1684"/>
      <c r="CG633" s="1684"/>
      <c r="CH633" s="1684"/>
      <c r="CI633" s="1684"/>
      <c r="CJ633" s="1684"/>
      <c r="CK633" s="1684"/>
      <c r="CL633" s="1684"/>
      <c r="CM633" s="1684"/>
      <c r="CN633" s="1684"/>
      <c r="CO633" s="1684"/>
    </row>
    <row r="634" spans="1:93" s="1391" customFormat="1" ht="15" x14ac:dyDescent="0.2">
      <c r="A634" s="1684"/>
      <c r="B634" s="1684"/>
      <c r="C634" s="2013">
        <v>11</v>
      </c>
      <c r="D634" s="5">
        <v>6.5990000000000002</v>
      </c>
      <c r="E634" s="5">
        <v>177</v>
      </c>
      <c r="F634" s="5">
        <v>195</v>
      </c>
      <c r="G634" s="5">
        <v>212</v>
      </c>
      <c r="H634" s="5">
        <v>230</v>
      </c>
      <c r="I634" s="5">
        <v>247</v>
      </c>
      <c r="J634" s="5">
        <v>263</v>
      </c>
      <c r="K634" s="5">
        <v>280</v>
      </c>
      <c r="L634" s="5">
        <v>297</v>
      </c>
      <c r="M634" s="5">
        <v>312</v>
      </c>
      <c r="N634" s="5">
        <v>329</v>
      </c>
      <c r="O634" s="5">
        <v>344</v>
      </c>
      <c r="P634" s="5">
        <v>360</v>
      </c>
      <c r="Q634" s="1160">
        <v>59</v>
      </c>
      <c r="R634"/>
      <c r="S634" s="1684"/>
      <c r="T634" s="1684"/>
      <c r="U634" s="1684"/>
      <c r="V634" s="1684"/>
      <c r="W634" s="1684"/>
      <c r="X634" s="1684"/>
      <c r="Y634" s="1684"/>
      <c r="Z634" s="1684"/>
      <c r="AA634" s="1684"/>
      <c r="AB634" s="1684"/>
      <c r="AC634" s="1684"/>
      <c r="AD634" s="1684"/>
      <c r="AE634" s="1684"/>
      <c r="AF634" s="1684"/>
      <c r="AG634" s="1684"/>
      <c r="AH634" s="1684"/>
      <c r="AI634" s="1684"/>
      <c r="AJ634" s="1684"/>
      <c r="AK634" s="1684"/>
      <c r="AL634" s="1684"/>
      <c r="AM634" s="1684"/>
      <c r="AN634" s="1684"/>
      <c r="AO634" s="1684"/>
      <c r="AP634" s="1684"/>
      <c r="AQ634" s="1684"/>
      <c r="AR634" s="1684"/>
      <c r="AS634" s="1684"/>
      <c r="AT634" s="1684"/>
      <c r="AU634" s="1684"/>
      <c r="AV634" s="1684"/>
      <c r="AW634" s="1684"/>
      <c r="AX634" s="1684"/>
      <c r="AY634" s="1684"/>
      <c r="AZ634" s="1684"/>
      <c r="BA634" s="1684"/>
      <c r="BB634" s="1684"/>
      <c r="BC634" s="1684"/>
      <c r="BD634" s="1684"/>
      <c r="BE634" s="1684"/>
      <c r="BF634" s="1684"/>
      <c r="BG634" s="1684"/>
      <c r="BH634" s="1684"/>
      <c r="BI634" s="1684"/>
      <c r="BJ634" s="1684"/>
      <c r="BK634" s="1684"/>
      <c r="BL634" s="1684"/>
      <c r="BM634" s="1684"/>
      <c r="BN634" s="1684"/>
      <c r="BO634" s="1684"/>
      <c r="BP634" s="1684"/>
      <c r="BQ634" s="1684"/>
      <c r="BR634" s="1684"/>
      <c r="BS634" s="1684"/>
      <c r="BT634" s="1684"/>
      <c r="BU634" s="1684"/>
      <c r="BV634" s="1684"/>
      <c r="BW634" s="1684"/>
      <c r="BX634" s="1684"/>
      <c r="BY634" s="1684"/>
      <c r="BZ634" s="1684"/>
      <c r="CA634" s="1684"/>
      <c r="CB634" s="1684"/>
      <c r="CC634" s="1684"/>
      <c r="CD634" s="1684"/>
      <c r="CE634" s="1684"/>
      <c r="CF634" s="1684"/>
      <c r="CG634" s="1684"/>
      <c r="CH634" s="1684"/>
      <c r="CI634" s="1684"/>
      <c r="CJ634" s="1684"/>
      <c r="CK634" s="1684"/>
      <c r="CL634" s="1684"/>
      <c r="CM634" s="1684"/>
      <c r="CN634" s="1684"/>
      <c r="CO634" s="1684"/>
    </row>
    <row r="635" spans="1:93" s="1391" customFormat="1" ht="15" x14ac:dyDescent="0.2">
      <c r="A635" s="1684"/>
      <c r="B635" s="1684"/>
      <c r="C635" s="2013">
        <v>12</v>
      </c>
      <c r="D635" s="5">
        <v>6.98</v>
      </c>
      <c r="E635" s="5">
        <v>191</v>
      </c>
      <c r="F635" s="5">
        <v>211</v>
      </c>
      <c r="G635" s="5">
        <v>229</v>
      </c>
      <c r="H635" s="5">
        <v>248</v>
      </c>
      <c r="I635" s="5">
        <v>266</v>
      </c>
      <c r="J635" s="5">
        <v>284</v>
      </c>
      <c r="K635" s="5">
        <v>302</v>
      </c>
      <c r="L635" s="5">
        <v>320</v>
      </c>
      <c r="M635" s="5">
        <v>336</v>
      </c>
      <c r="N635" s="5">
        <v>354</v>
      </c>
      <c r="O635" s="5">
        <v>371</v>
      </c>
      <c r="P635" s="5">
        <v>387</v>
      </c>
      <c r="Q635" s="1160">
        <v>60</v>
      </c>
      <c r="R635"/>
      <c r="S635" s="1684"/>
      <c r="T635" s="1684"/>
      <c r="U635" s="1684"/>
      <c r="V635" s="1684"/>
      <c r="W635" s="1684"/>
      <c r="X635" s="1684"/>
      <c r="Y635" s="1684"/>
      <c r="Z635" s="1684"/>
      <c r="AA635" s="1684"/>
      <c r="AB635" s="1684"/>
      <c r="AC635" s="1684"/>
      <c r="AD635" s="1684"/>
      <c r="AE635" s="1684"/>
      <c r="AF635" s="1684"/>
      <c r="AG635" s="1684"/>
      <c r="AH635" s="1684"/>
      <c r="AI635" s="1684"/>
      <c r="AJ635" s="1684"/>
      <c r="AK635" s="1684"/>
      <c r="AL635" s="1684"/>
      <c r="AM635" s="1684"/>
      <c r="AN635" s="1684"/>
      <c r="AO635" s="1684"/>
      <c r="AP635" s="1684"/>
      <c r="AQ635" s="1684"/>
      <c r="AR635" s="1684"/>
      <c r="AS635" s="1684"/>
      <c r="AT635" s="1684"/>
      <c r="AU635" s="1684"/>
      <c r="AV635" s="1684"/>
      <c r="AW635" s="1684"/>
      <c r="AX635" s="1684"/>
      <c r="AY635" s="1684"/>
      <c r="AZ635" s="1684"/>
      <c r="BA635" s="1684"/>
      <c r="BB635" s="1684"/>
      <c r="BC635" s="1684"/>
      <c r="BD635" s="1684"/>
      <c r="BE635" s="1684"/>
      <c r="BF635" s="1684"/>
      <c r="BG635" s="1684"/>
      <c r="BH635" s="1684"/>
      <c r="BI635" s="1684"/>
      <c r="BJ635" s="1684"/>
      <c r="BK635" s="1684"/>
      <c r="BL635" s="1684"/>
      <c r="BM635" s="1684"/>
      <c r="BN635" s="1684"/>
      <c r="BO635" s="1684"/>
      <c r="BP635" s="1684"/>
      <c r="BQ635" s="1684"/>
      <c r="BR635" s="1684"/>
      <c r="BS635" s="1684"/>
      <c r="BT635" s="1684"/>
      <c r="BU635" s="1684"/>
      <c r="BV635" s="1684"/>
      <c r="BW635" s="1684"/>
      <c r="BX635" s="1684"/>
      <c r="BY635" s="1684"/>
      <c r="BZ635" s="1684"/>
      <c r="CA635" s="1684"/>
      <c r="CB635" s="1684"/>
      <c r="CC635" s="1684"/>
      <c r="CD635" s="1684"/>
      <c r="CE635" s="1684"/>
      <c r="CF635" s="1684"/>
      <c r="CG635" s="1684"/>
      <c r="CH635" s="1684"/>
      <c r="CI635" s="1684"/>
      <c r="CJ635" s="1684"/>
      <c r="CK635" s="1684"/>
      <c r="CL635" s="1684"/>
      <c r="CM635" s="1684"/>
      <c r="CN635" s="1684"/>
      <c r="CO635" s="1684"/>
    </row>
    <row r="636" spans="1:93" s="1391" customFormat="1" ht="15" x14ac:dyDescent="0.2">
      <c r="A636" s="1684"/>
      <c r="B636" s="1684"/>
      <c r="C636" s="2013">
        <v>13</v>
      </c>
      <c r="D636" s="5">
        <v>7.3620000000000001</v>
      </c>
      <c r="E636" s="5">
        <v>205</v>
      </c>
      <c r="F636" s="5">
        <v>226</v>
      </c>
      <c r="G636" s="5">
        <v>246</v>
      </c>
      <c r="H636" s="5">
        <v>266</v>
      </c>
      <c r="I636" s="5">
        <v>285</v>
      </c>
      <c r="J636" s="5">
        <v>304</v>
      </c>
      <c r="K636" s="5">
        <v>323</v>
      </c>
      <c r="L636" s="5">
        <v>342</v>
      </c>
      <c r="M636" s="5">
        <v>360</v>
      </c>
      <c r="N636" s="5">
        <v>378</v>
      </c>
      <c r="O636" s="5">
        <v>396</v>
      </c>
      <c r="P636" s="5">
        <v>414</v>
      </c>
      <c r="Q636" s="1160">
        <v>61</v>
      </c>
      <c r="R636"/>
      <c r="S636" s="1684"/>
      <c r="T636" s="1684"/>
      <c r="U636" s="1684"/>
      <c r="V636" s="1684"/>
      <c r="W636" s="1684"/>
      <c r="X636" s="1684"/>
      <c r="Y636" s="1684"/>
      <c r="Z636" s="1684"/>
      <c r="AA636" s="1684"/>
      <c r="AB636" s="1684"/>
      <c r="AC636" s="1684"/>
      <c r="AD636" s="1684"/>
      <c r="AE636" s="1684"/>
      <c r="AF636" s="1684"/>
      <c r="AG636" s="1684"/>
      <c r="AH636" s="1684"/>
      <c r="AI636" s="1684"/>
      <c r="AJ636" s="1684"/>
      <c r="AK636" s="1684"/>
      <c r="AL636" s="1684"/>
      <c r="AM636" s="1684"/>
      <c r="AN636" s="1684"/>
      <c r="AO636" s="1684"/>
      <c r="AP636" s="1684"/>
      <c r="AQ636" s="1684"/>
      <c r="AR636" s="1684"/>
      <c r="AS636" s="1684"/>
      <c r="AT636" s="1684"/>
      <c r="AU636" s="1684"/>
      <c r="AV636" s="1684"/>
      <c r="AW636" s="1684"/>
      <c r="AX636" s="1684"/>
      <c r="AY636" s="1684"/>
      <c r="AZ636" s="1684"/>
      <c r="BA636" s="1684"/>
      <c r="BB636" s="1684"/>
      <c r="BC636" s="1684"/>
      <c r="BD636" s="1684"/>
      <c r="BE636" s="1684"/>
      <c r="BF636" s="1684"/>
      <c r="BG636" s="1684"/>
      <c r="BH636" s="1684"/>
      <c r="BI636" s="1684"/>
      <c r="BJ636" s="1684"/>
      <c r="BK636" s="1684"/>
      <c r="BL636" s="1684"/>
      <c r="BM636" s="1684"/>
      <c r="BN636" s="1684"/>
      <c r="BO636" s="1684"/>
      <c r="BP636" s="1684"/>
      <c r="BQ636" s="1684"/>
      <c r="BR636" s="1684"/>
      <c r="BS636" s="1684"/>
      <c r="BT636" s="1684"/>
      <c r="BU636" s="1684"/>
      <c r="BV636" s="1684"/>
      <c r="BW636" s="1684"/>
      <c r="BX636" s="1684"/>
      <c r="BY636" s="1684"/>
      <c r="BZ636" s="1684"/>
      <c r="CA636" s="1684"/>
      <c r="CB636" s="1684"/>
      <c r="CC636" s="1684"/>
      <c r="CD636" s="1684"/>
      <c r="CE636" s="1684"/>
      <c r="CF636" s="1684"/>
      <c r="CG636" s="1684"/>
      <c r="CH636" s="1684"/>
      <c r="CI636" s="1684"/>
      <c r="CJ636" s="1684"/>
      <c r="CK636" s="1684"/>
      <c r="CL636" s="1684"/>
      <c r="CM636" s="1684"/>
      <c r="CN636" s="1684"/>
      <c r="CO636" s="1684"/>
    </row>
    <row r="637" spans="1:93" s="1391" customFormat="1" ht="15" x14ac:dyDescent="0.2">
      <c r="A637" s="1684"/>
      <c r="B637" s="1684"/>
      <c r="C637" s="2013">
        <v>14</v>
      </c>
      <c r="D637" s="5">
        <v>7.7569999999999997</v>
      </c>
      <c r="E637" s="5">
        <v>219</v>
      </c>
      <c r="F637" s="5">
        <v>242</v>
      </c>
      <c r="G637" s="5">
        <v>263</v>
      </c>
      <c r="H637" s="5">
        <v>284</v>
      </c>
      <c r="I637" s="5">
        <v>304</v>
      </c>
      <c r="J637" s="5">
        <v>325</v>
      </c>
      <c r="K637" s="5">
        <v>345</v>
      </c>
      <c r="L637" s="5">
        <v>363</v>
      </c>
      <c r="M637" s="5">
        <v>384</v>
      </c>
      <c r="N637" s="5">
        <v>403</v>
      </c>
      <c r="O637" s="5">
        <v>422</v>
      </c>
      <c r="P637" s="5">
        <v>441</v>
      </c>
      <c r="Q637" s="1160">
        <v>62</v>
      </c>
      <c r="R637"/>
      <c r="S637" s="1684"/>
      <c r="T637" s="1684"/>
      <c r="U637" s="1684"/>
      <c r="V637" s="1684"/>
      <c r="W637" s="1684"/>
      <c r="X637" s="1684"/>
      <c r="Y637" s="1684"/>
      <c r="Z637" s="1684"/>
      <c r="AA637" s="1684"/>
      <c r="AB637" s="1684"/>
      <c r="AC637" s="1684"/>
      <c r="AD637" s="1684"/>
      <c r="AE637" s="1684"/>
      <c r="AF637" s="1684"/>
      <c r="AG637" s="1684"/>
      <c r="AH637" s="1684"/>
      <c r="AI637" s="1684"/>
      <c r="AJ637" s="1684"/>
      <c r="AK637" s="1684"/>
      <c r="AL637" s="1684"/>
      <c r="AM637" s="1684"/>
      <c r="AN637" s="1684"/>
      <c r="AO637" s="1684"/>
      <c r="AP637" s="1684"/>
      <c r="AQ637" s="1684"/>
      <c r="AR637" s="1684"/>
      <c r="AS637" s="1684"/>
      <c r="AT637" s="1684"/>
      <c r="AU637" s="1684"/>
      <c r="AV637" s="1684"/>
      <c r="AW637" s="1684"/>
      <c r="AX637" s="1684"/>
      <c r="AY637" s="1684"/>
      <c r="AZ637" s="1684"/>
      <c r="BA637" s="1684"/>
      <c r="BB637" s="1684"/>
      <c r="BC637" s="1684"/>
      <c r="BD637" s="1684"/>
      <c r="BE637" s="1684"/>
      <c r="BF637" s="1684"/>
      <c r="BG637" s="1684"/>
      <c r="BH637" s="1684"/>
      <c r="BI637" s="1684"/>
      <c r="BJ637" s="1684"/>
      <c r="BK637" s="1684"/>
      <c r="BL637" s="1684"/>
      <c r="BM637" s="1684"/>
      <c r="BN637" s="1684"/>
      <c r="BO637" s="1684"/>
      <c r="BP637" s="1684"/>
      <c r="BQ637" s="1684"/>
      <c r="BR637" s="1684"/>
      <c r="BS637" s="1684"/>
      <c r="BT637" s="1684"/>
      <c r="BU637" s="1684"/>
      <c r="BV637" s="1684"/>
      <c r="BW637" s="1684"/>
      <c r="BX637" s="1684"/>
      <c r="BY637" s="1684"/>
      <c r="BZ637" s="1684"/>
      <c r="CA637" s="1684"/>
      <c r="CB637" s="1684"/>
      <c r="CC637" s="1684"/>
      <c r="CD637" s="1684"/>
      <c r="CE637" s="1684"/>
      <c r="CF637" s="1684"/>
      <c r="CG637" s="1684"/>
      <c r="CH637" s="1684"/>
      <c r="CI637" s="1684"/>
      <c r="CJ637" s="1684"/>
      <c r="CK637" s="1684"/>
      <c r="CL637" s="1684"/>
      <c r="CM637" s="1684"/>
      <c r="CN637" s="1684"/>
      <c r="CO637" s="1684"/>
    </row>
    <row r="638" spans="1:93" s="1391" customFormat="1" ht="15" x14ac:dyDescent="0.2">
      <c r="A638" s="1684"/>
      <c r="B638" s="1684"/>
      <c r="C638" s="2013">
        <v>15</v>
      </c>
      <c r="D638" s="5">
        <v>8.1560000000000006</v>
      </c>
      <c r="E638" s="5">
        <v>234</v>
      </c>
      <c r="F638" s="5">
        <v>257</v>
      </c>
      <c r="G638" s="5">
        <v>280</v>
      </c>
      <c r="H638" s="5">
        <v>302</v>
      </c>
      <c r="I638" s="5">
        <v>324</v>
      </c>
      <c r="J638" s="5">
        <v>345</v>
      </c>
      <c r="K638" s="5">
        <v>366</v>
      </c>
      <c r="L638" s="5">
        <v>388</v>
      </c>
      <c r="M638" s="5">
        <v>407</v>
      </c>
      <c r="N638" s="5">
        <v>428</v>
      </c>
      <c r="O638" s="5">
        <v>448</v>
      </c>
      <c r="P638" s="5">
        <v>467</v>
      </c>
      <c r="Q638" s="1160">
        <v>63</v>
      </c>
      <c r="R638"/>
      <c r="S638" s="1684"/>
      <c r="T638" s="1684"/>
      <c r="U638" s="1684"/>
      <c r="V638" s="1684"/>
      <c r="W638" s="1684"/>
      <c r="X638" s="1684"/>
      <c r="Y638" s="1684"/>
      <c r="Z638" s="1684"/>
      <c r="AA638" s="1684"/>
      <c r="AB638" s="1684"/>
      <c r="AC638" s="1684"/>
      <c r="AD638" s="1684"/>
      <c r="AE638" s="1684"/>
      <c r="AF638" s="1684"/>
      <c r="AG638" s="1684"/>
      <c r="AH638" s="1684"/>
      <c r="AI638" s="1684"/>
      <c r="AJ638" s="1684"/>
      <c r="AK638" s="1684"/>
      <c r="AL638" s="1684"/>
      <c r="AM638" s="1684"/>
      <c r="AN638" s="1684"/>
      <c r="AO638" s="1684"/>
      <c r="AP638" s="1684"/>
      <c r="AQ638" s="1684"/>
      <c r="AR638" s="1684"/>
      <c r="AS638" s="1684"/>
      <c r="AT638" s="1684"/>
      <c r="AU638" s="1684"/>
      <c r="AV638" s="1684"/>
      <c r="AW638" s="1684"/>
      <c r="AX638" s="1684"/>
      <c r="AY638" s="1684"/>
      <c r="AZ638" s="1684"/>
      <c r="BA638" s="1684"/>
      <c r="BB638" s="1684"/>
      <c r="BC638" s="1684"/>
      <c r="BD638" s="1684"/>
      <c r="BE638" s="1684"/>
      <c r="BF638" s="1684"/>
      <c r="BG638" s="1684"/>
      <c r="BH638" s="1684"/>
      <c r="BI638" s="1684"/>
      <c r="BJ638" s="1684"/>
      <c r="BK638" s="1684"/>
      <c r="BL638" s="1684"/>
      <c r="BM638" s="1684"/>
      <c r="BN638" s="1684"/>
      <c r="BO638" s="1684"/>
      <c r="BP638" s="1684"/>
      <c r="BQ638" s="1684"/>
      <c r="BR638" s="1684"/>
      <c r="BS638" s="1684"/>
      <c r="BT638" s="1684"/>
      <c r="BU638" s="1684"/>
      <c r="BV638" s="1684"/>
      <c r="BW638" s="1684"/>
      <c r="BX638" s="1684"/>
      <c r="BY638" s="1684"/>
      <c r="BZ638" s="1684"/>
      <c r="CA638" s="1684"/>
      <c r="CB638" s="1684"/>
      <c r="CC638" s="1684"/>
      <c r="CD638" s="1684"/>
      <c r="CE638" s="1684"/>
      <c r="CF638" s="1684"/>
      <c r="CG638" s="1684"/>
      <c r="CH638" s="1684"/>
      <c r="CI638" s="1684"/>
      <c r="CJ638" s="1684"/>
      <c r="CK638" s="1684"/>
      <c r="CL638" s="1684"/>
      <c r="CM638" s="1684"/>
      <c r="CN638" s="1684"/>
      <c r="CO638" s="1684"/>
    </row>
    <row r="639" spans="1:93" s="1391" customFormat="1" ht="15" x14ac:dyDescent="0.2">
      <c r="A639" s="1684"/>
      <c r="B639" s="1684"/>
      <c r="C639" s="2013">
        <v>16</v>
      </c>
      <c r="D639" s="5">
        <v>8.6890000000000001</v>
      </c>
      <c r="E639" s="5">
        <v>247</v>
      </c>
      <c r="F639" s="5">
        <v>272</v>
      </c>
      <c r="G639" s="5">
        <v>296</v>
      </c>
      <c r="H639" s="5">
        <v>319</v>
      </c>
      <c r="I639" s="5">
        <v>342</v>
      </c>
      <c r="J639" s="5">
        <v>364</v>
      </c>
      <c r="K639" s="5">
        <v>386</v>
      </c>
      <c r="L639" s="5">
        <v>409</v>
      </c>
      <c r="M639" s="5">
        <v>430</v>
      </c>
      <c r="N639" s="5">
        <v>451</v>
      </c>
      <c r="O639" s="5">
        <v>472</v>
      </c>
      <c r="P639" s="5">
        <v>492</v>
      </c>
      <c r="Q639" s="1160">
        <v>64</v>
      </c>
      <c r="R639"/>
      <c r="S639" s="1684"/>
      <c r="T639" s="1684"/>
      <c r="U639" s="1684"/>
      <c r="V639" s="1684"/>
      <c r="W639" s="1684"/>
      <c r="X639" s="1684"/>
      <c r="Y639" s="1684"/>
      <c r="Z639" s="1684"/>
      <c r="AA639" s="1684"/>
      <c r="AB639" s="1684"/>
      <c r="AC639" s="1684"/>
      <c r="AD639" s="1684"/>
      <c r="AE639" s="1684"/>
      <c r="AF639" s="1684"/>
      <c r="AG639" s="1684"/>
      <c r="AH639" s="1684"/>
      <c r="AI639" s="1684"/>
      <c r="AJ639" s="1684"/>
      <c r="AK639" s="1684"/>
      <c r="AL639" s="1684"/>
      <c r="AM639" s="1684"/>
      <c r="AN639" s="1684"/>
      <c r="AO639" s="1684"/>
      <c r="AP639" s="1684"/>
      <c r="AQ639" s="1684"/>
      <c r="AR639" s="1684"/>
      <c r="AS639" s="1684"/>
      <c r="AT639" s="1684"/>
      <c r="AU639" s="1684"/>
      <c r="AV639" s="1684"/>
      <c r="AW639" s="1684"/>
      <c r="AX639" s="1684"/>
      <c r="AY639" s="1684"/>
      <c r="AZ639" s="1684"/>
      <c r="BA639" s="1684"/>
      <c r="BB639" s="1684"/>
      <c r="BC639" s="1684"/>
      <c r="BD639" s="1684"/>
      <c r="BE639" s="1684"/>
      <c r="BF639" s="1684"/>
      <c r="BG639" s="1684"/>
      <c r="BH639" s="1684"/>
      <c r="BI639" s="1684"/>
      <c r="BJ639" s="1684"/>
      <c r="BK639" s="1684"/>
      <c r="BL639" s="1684"/>
      <c r="BM639" s="1684"/>
      <c r="BN639" s="1684"/>
      <c r="BO639" s="1684"/>
      <c r="BP639" s="1684"/>
      <c r="BQ639" s="1684"/>
      <c r="BR639" s="1684"/>
      <c r="BS639" s="1684"/>
      <c r="BT639" s="1684"/>
      <c r="BU639" s="1684"/>
      <c r="BV639" s="1684"/>
      <c r="BW639" s="1684"/>
      <c r="BX639" s="1684"/>
      <c r="BY639" s="1684"/>
      <c r="BZ639" s="1684"/>
      <c r="CA639" s="1684"/>
      <c r="CB639" s="1684"/>
      <c r="CC639" s="1684"/>
      <c r="CD639" s="1684"/>
      <c r="CE639" s="1684"/>
      <c r="CF639" s="1684"/>
      <c r="CG639" s="1684"/>
      <c r="CH639" s="1684"/>
      <c r="CI639" s="1684"/>
      <c r="CJ639" s="1684"/>
      <c r="CK639" s="1684"/>
      <c r="CL639" s="1684"/>
      <c r="CM639" s="1684"/>
      <c r="CN639" s="1684"/>
      <c r="CO639" s="1684"/>
    </row>
    <row r="640" spans="1:93" s="1391" customFormat="1" ht="15" x14ac:dyDescent="0.2">
      <c r="A640" s="1684"/>
      <c r="B640" s="1684"/>
      <c r="C640" s="2013">
        <v>17</v>
      </c>
      <c r="D640" s="5">
        <v>9.2590000000000003</v>
      </c>
      <c r="E640" s="5">
        <v>259</v>
      </c>
      <c r="F640" s="5">
        <v>286</v>
      </c>
      <c r="G640" s="5">
        <v>310</v>
      </c>
      <c r="H640" s="5">
        <v>334</v>
      </c>
      <c r="I640" s="5">
        <v>358</v>
      </c>
      <c r="J640" s="5">
        <v>382</v>
      </c>
      <c r="K640" s="5">
        <v>405</v>
      </c>
      <c r="L640" s="5">
        <v>428</v>
      </c>
      <c r="M640" s="5">
        <v>450</v>
      </c>
      <c r="N640" s="5">
        <v>472</v>
      </c>
      <c r="O640" s="5">
        <v>493</v>
      </c>
      <c r="P640" s="5">
        <v>515</v>
      </c>
      <c r="Q640" s="1160">
        <v>65</v>
      </c>
      <c r="R640"/>
      <c r="S640" s="1684"/>
      <c r="T640" s="1684"/>
      <c r="U640" s="1684"/>
      <c r="V640" s="1684"/>
      <c r="W640" s="1684"/>
      <c r="X640" s="1684"/>
      <c r="Y640" s="1684"/>
      <c r="Z640" s="1684"/>
      <c r="AA640" s="1684"/>
      <c r="AB640" s="1684"/>
      <c r="AC640" s="1684"/>
      <c r="AD640" s="1684"/>
      <c r="AE640" s="1684"/>
      <c r="AF640" s="1684"/>
      <c r="AG640" s="1684"/>
      <c r="AH640" s="1684"/>
      <c r="AI640" s="1684"/>
      <c r="AJ640" s="1684"/>
      <c r="AK640" s="1684"/>
      <c r="AL640" s="1684"/>
      <c r="AM640" s="1684"/>
      <c r="AN640" s="1684"/>
      <c r="AO640" s="1684"/>
      <c r="AP640" s="1684"/>
      <c r="AQ640" s="1684"/>
      <c r="AR640" s="1684"/>
      <c r="AS640" s="1684"/>
      <c r="AT640" s="1684"/>
      <c r="AU640" s="1684"/>
      <c r="AV640" s="1684"/>
      <c r="AW640" s="1684"/>
      <c r="AX640" s="1684"/>
      <c r="AY640" s="1684"/>
      <c r="AZ640" s="1684"/>
      <c r="BA640" s="1684"/>
      <c r="BB640" s="1684"/>
      <c r="BC640" s="1684"/>
      <c r="BD640" s="1684"/>
      <c r="BE640" s="1684"/>
      <c r="BF640" s="1684"/>
      <c r="BG640" s="1684"/>
      <c r="BH640" s="1684"/>
      <c r="BI640" s="1684"/>
      <c r="BJ640" s="1684"/>
      <c r="BK640" s="1684"/>
      <c r="BL640" s="1684"/>
      <c r="BM640" s="1684"/>
      <c r="BN640" s="1684"/>
      <c r="BO640" s="1684"/>
      <c r="BP640" s="1684"/>
      <c r="BQ640" s="1684"/>
      <c r="BR640" s="1684"/>
      <c r="BS640" s="1684"/>
      <c r="BT640" s="1684"/>
      <c r="BU640" s="1684"/>
      <c r="BV640" s="1684"/>
      <c r="BW640" s="1684"/>
      <c r="BX640" s="1684"/>
      <c r="BY640" s="1684"/>
      <c r="BZ640" s="1684"/>
      <c r="CA640" s="1684"/>
      <c r="CB640" s="1684"/>
      <c r="CC640" s="1684"/>
      <c r="CD640" s="1684"/>
      <c r="CE640" s="1684"/>
      <c r="CF640" s="1684"/>
      <c r="CG640" s="1684"/>
      <c r="CH640" s="1684"/>
      <c r="CI640" s="1684"/>
      <c r="CJ640" s="1684"/>
      <c r="CK640" s="1684"/>
      <c r="CL640" s="1684"/>
      <c r="CM640" s="1684"/>
      <c r="CN640" s="1684"/>
      <c r="CO640" s="1684"/>
    </row>
    <row r="641" spans="1:93" s="1391" customFormat="1" ht="15" x14ac:dyDescent="0.2">
      <c r="A641" s="1684"/>
      <c r="B641" s="1684"/>
      <c r="C641" s="2013">
        <v>18</v>
      </c>
      <c r="D641" s="5">
        <v>9.5820000000000007</v>
      </c>
      <c r="E641" s="5">
        <v>270</v>
      </c>
      <c r="F641" s="5">
        <v>297</v>
      </c>
      <c r="G641" s="5">
        <v>323</v>
      </c>
      <c r="H641" s="5">
        <v>348</v>
      </c>
      <c r="I641" s="5">
        <v>373</v>
      </c>
      <c r="J641" s="5">
        <v>397</v>
      </c>
      <c r="K641" s="5">
        <v>421</v>
      </c>
      <c r="L641" s="5">
        <v>445</v>
      </c>
      <c r="M641" s="5">
        <v>467</v>
      </c>
      <c r="N641" s="5">
        <v>490</v>
      </c>
      <c r="O641" s="5">
        <v>512</v>
      </c>
      <c r="P641" s="5">
        <v>534</v>
      </c>
      <c r="Q641" s="1160">
        <v>66</v>
      </c>
      <c r="R641"/>
      <c r="S641" s="1684"/>
      <c r="T641" s="1684"/>
      <c r="U641" s="1684"/>
      <c r="V641" s="1684"/>
      <c r="W641" s="1684"/>
      <c r="X641" s="1684"/>
      <c r="Y641" s="1684"/>
      <c r="Z641" s="1684"/>
      <c r="AA641" s="1684"/>
      <c r="AB641" s="1684"/>
      <c r="AC641" s="1684"/>
      <c r="AD641" s="1684"/>
      <c r="AE641" s="1684"/>
      <c r="AF641" s="1684"/>
      <c r="AG641" s="1684"/>
      <c r="AH641" s="1684"/>
      <c r="AI641" s="1684"/>
      <c r="AJ641" s="1684"/>
      <c r="AK641" s="1684"/>
      <c r="AL641" s="1684"/>
      <c r="AM641" s="1684"/>
      <c r="AN641" s="1684"/>
      <c r="AO641" s="1684"/>
      <c r="AP641" s="1684"/>
      <c r="AQ641" s="1684"/>
      <c r="AR641" s="1684"/>
      <c r="AS641" s="1684"/>
      <c r="AT641" s="1684"/>
      <c r="AU641" s="1684"/>
      <c r="AV641" s="1684"/>
      <c r="AW641" s="1684"/>
      <c r="AX641" s="1684"/>
      <c r="AY641" s="1684"/>
      <c r="AZ641" s="1684"/>
      <c r="BA641" s="1684"/>
      <c r="BB641" s="1684"/>
      <c r="BC641" s="1684"/>
      <c r="BD641" s="1684"/>
      <c r="BE641" s="1684"/>
      <c r="BF641" s="1684"/>
      <c r="BG641" s="1684"/>
      <c r="BH641" s="1684"/>
      <c r="BI641" s="1684"/>
      <c r="BJ641" s="1684"/>
      <c r="BK641" s="1684"/>
      <c r="BL641" s="1684"/>
      <c r="BM641" s="1684"/>
      <c r="BN641" s="1684"/>
      <c r="BO641" s="1684"/>
      <c r="BP641" s="1684"/>
      <c r="BQ641" s="1684"/>
      <c r="BR641" s="1684"/>
      <c r="BS641" s="1684"/>
      <c r="BT641" s="1684"/>
      <c r="BU641" s="1684"/>
      <c r="BV641" s="1684"/>
      <c r="BW641" s="1684"/>
      <c r="BX641" s="1684"/>
      <c r="BY641" s="1684"/>
      <c r="BZ641" s="1684"/>
      <c r="CA641" s="1684"/>
      <c r="CB641" s="1684"/>
      <c r="CC641" s="1684"/>
      <c r="CD641" s="1684"/>
      <c r="CE641" s="1684"/>
      <c r="CF641" s="1684"/>
      <c r="CG641" s="1684"/>
      <c r="CH641" s="1684"/>
      <c r="CI641" s="1684"/>
      <c r="CJ641" s="1684"/>
      <c r="CK641" s="1684"/>
      <c r="CL641" s="1684"/>
      <c r="CM641" s="1684"/>
      <c r="CN641" s="1684"/>
      <c r="CO641" s="1684"/>
    </row>
    <row r="642" spans="1:93" s="1391" customFormat="1" ht="15" x14ac:dyDescent="0.2">
      <c r="A642" s="1684"/>
      <c r="B642" s="1684"/>
      <c r="C642" s="4680" t="s">
        <v>3692</v>
      </c>
      <c r="D642" s="4681"/>
      <c r="E642" s="4681"/>
      <c r="F642" s="4681"/>
      <c r="G642" s="4681"/>
      <c r="H642" s="4681"/>
      <c r="I642" s="4681"/>
      <c r="J642" s="4681"/>
      <c r="K642" s="4681"/>
      <c r="L642" s="4681"/>
      <c r="M642" s="4681"/>
      <c r="N642" s="4681"/>
      <c r="O642" s="4681"/>
      <c r="P642" s="4681"/>
      <c r="Q642" s="4682"/>
      <c r="R642"/>
      <c r="S642" s="1684"/>
      <c r="T642" s="1684"/>
      <c r="U642" s="1684"/>
      <c r="V642" s="1684"/>
      <c r="W642" s="1684"/>
      <c r="X642" s="1684"/>
      <c r="Y642" s="1684"/>
      <c r="Z642" s="1684"/>
      <c r="AA642" s="1684"/>
      <c r="AB642" s="1684"/>
      <c r="AC642" s="1684"/>
      <c r="AD642" s="1684"/>
      <c r="AE642" s="1684"/>
      <c r="AF642" s="1684"/>
      <c r="AG642" s="1684"/>
      <c r="AH642" s="1684"/>
      <c r="AI642" s="1684"/>
      <c r="AJ642" s="1684"/>
      <c r="AK642" s="1684"/>
      <c r="AL642" s="1684"/>
      <c r="AM642" s="1684"/>
      <c r="AN642" s="1684"/>
      <c r="AO642" s="1684"/>
      <c r="AP642" s="1684"/>
      <c r="AQ642" s="1684"/>
      <c r="AR642" s="1684"/>
      <c r="AS642" s="1684"/>
      <c r="AT642" s="1684"/>
      <c r="AU642" s="1684"/>
      <c r="AV642" s="1684"/>
      <c r="AW642" s="1684"/>
      <c r="AX642" s="1684"/>
      <c r="AY642" s="1684"/>
      <c r="AZ642" s="1684"/>
      <c r="BA642" s="1684"/>
      <c r="BB642" s="1684"/>
      <c r="BC642" s="1684"/>
      <c r="BD642" s="1684"/>
      <c r="BE642" s="1684"/>
      <c r="BF642" s="1684"/>
      <c r="BG642" s="1684"/>
      <c r="BH642" s="1684"/>
      <c r="BI642" s="1684"/>
      <c r="BJ642" s="1684"/>
      <c r="BK642" s="1684"/>
      <c r="BL642" s="1684"/>
      <c r="BM642" s="1684"/>
      <c r="BN642" s="1684"/>
      <c r="BO642" s="1684"/>
      <c r="BP642" s="1684"/>
      <c r="BQ642" s="1684"/>
      <c r="BR642" s="1684"/>
      <c r="BS642" s="1684"/>
      <c r="BT642" s="1684"/>
      <c r="BU642" s="1684"/>
      <c r="BV642" s="1684"/>
      <c r="BW642" s="1684"/>
      <c r="BX642" s="1684"/>
      <c r="BY642" s="1684"/>
      <c r="BZ642" s="1684"/>
      <c r="CA642" s="1684"/>
      <c r="CB642" s="1684"/>
      <c r="CC642" s="1684"/>
      <c r="CD642" s="1684"/>
      <c r="CE642" s="1684"/>
      <c r="CF642" s="1684"/>
      <c r="CG642" s="1684"/>
      <c r="CH642" s="1684"/>
      <c r="CI642" s="1684"/>
      <c r="CJ642" s="1684"/>
      <c r="CK642" s="1684"/>
      <c r="CL642" s="1684"/>
      <c r="CM642" s="1684"/>
      <c r="CN642" s="1684"/>
      <c r="CO642" s="1684"/>
    </row>
    <row r="643" spans="1:93" s="1391" customFormat="1" ht="15" x14ac:dyDescent="0.2">
      <c r="A643" s="1684"/>
      <c r="B643" s="1684"/>
      <c r="C643" s="4680"/>
      <c r="D643" s="4681"/>
      <c r="E643" s="4681"/>
      <c r="F643" s="4681"/>
      <c r="G643" s="4681"/>
      <c r="H643" s="4681"/>
      <c r="I643" s="4681"/>
      <c r="J643" s="4681"/>
      <c r="K643" s="4681"/>
      <c r="L643" s="4681"/>
      <c r="M643" s="4681"/>
      <c r="N643" s="4681"/>
      <c r="O643" s="4681"/>
      <c r="P643" s="4681"/>
      <c r="Q643" s="4682"/>
      <c r="R643"/>
      <c r="S643" s="1684"/>
      <c r="T643" s="1684"/>
      <c r="U643" s="1684"/>
      <c r="V643" s="1684"/>
      <c r="W643" s="1684"/>
      <c r="X643" s="1684"/>
      <c r="Y643" s="1684"/>
      <c r="Z643" s="1684"/>
      <c r="AA643" s="1684"/>
      <c r="AB643" s="1684"/>
      <c r="AC643" s="1684"/>
      <c r="AD643" s="1684"/>
      <c r="AE643" s="1684"/>
      <c r="AF643" s="1684"/>
      <c r="AG643" s="1684"/>
      <c r="AH643" s="1684"/>
      <c r="AI643" s="1684"/>
      <c r="AJ643" s="1684"/>
      <c r="AK643" s="1684"/>
      <c r="AL643" s="1684"/>
      <c r="AM643" s="1684"/>
      <c r="AN643" s="1684"/>
      <c r="AO643" s="1684"/>
      <c r="AP643" s="1684"/>
      <c r="AQ643" s="1684"/>
      <c r="AR643" s="1684"/>
      <c r="AS643" s="1684"/>
      <c r="AT643" s="1684"/>
      <c r="AU643" s="1684"/>
      <c r="AV643" s="1684"/>
      <c r="AW643" s="1684"/>
      <c r="AX643" s="1684"/>
      <c r="AY643" s="1684"/>
      <c r="AZ643" s="1684"/>
      <c r="BA643" s="1684"/>
      <c r="BB643" s="1684"/>
      <c r="BC643" s="1684"/>
      <c r="BD643" s="1684"/>
      <c r="BE643" s="1684"/>
      <c r="BF643" s="1684"/>
      <c r="BG643" s="1684"/>
      <c r="BH643" s="1684"/>
      <c r="BI643" s="1684"/>
      <c r="BJ643" s="1684"/>
      <c r="BK643" s="1684"/>
      <c r="BL643" s="1684"/>
      <c r="BM643" s="1684"/>
      <c r="BN643" s="1684"/>
      <c r="BO643" s="1684"/>
      <c r="BP643" s="1684"/>
      <c r="BQ643" s="1684"/>
      <c r="BR643" s="1684"/>
      <c r="BS643" s="1684"/>
      <c r="BT643" s="1684"/>
      <c r="BU643" s="1684"/>
      <c r="BV643" s="1684"/>
      <c r="BW643" s="1684"/>
      <c r="BX643" s="1684"/>
      <c r="BY643" s="1684"/>
      <c r="BZ643" s="1684"/>
      <c r="CA643" s="1684"/>
      <c r="CB643" s="1684"/>
      <c r="CC643" s="1684"/>
      <c r="CD643" s="1684"/>
      <c r="CE643" s="1684"/>
      <c r="CF643" s="1684"/>
      <c r="CG643" s="1684"/>
      <c r="CH643" s="1684"/>
      <c r="CI643" s="1684"/>
      <c r="CJ643" s="1684"/>
      <c r="CK643" s="1684"/>
      <c r="CL643" s="1684"/>
      <c r="CM643" s="1684"/>
      <c r="CN643" s="1684"/>
      <c r="CO643" s="1684"/>
    </row>
    <row r="644" spans="1:93" s="1391" customFormat="1" ht="15" x14ac:dyDescent="0.2">
      <c r="A644" s="1684"/>
      <c r="B644" s="1684"/>
      <c r="C644" s="2014"/>
      <c r="D644" s="2015"/>
      <c r="E644" s="2015">
        <v>1</v>
      </c>
      <c r="F644" s="2015">
        <v>2</v>
      </c>
      <c r="G644" s="2015">
        <v>3</v>
      </c>
      <c r="H644" s="2015">
        <v>4</v>
      </c>
      <c r="I644" s="2015">
        <v>5</v>
      </c>
      <c r="J644" s="2015">
        <v>6</v>
      </c>
      <c r="K644" s="2015">
        <v>7</v>
      </c>
      <c r="L644" s="2015">
        <v>8</v>
      </c>
      <c r="M644" s="2015">
        <v>9</v>
      </c>
      <c r="N644" s="2015">
        <v>10</v>
      </c>
      <c r="O644" s="2015">
        <v>11</v>
      </c>
      <c r="P644" s="2015">
        <v>12</v>
      </c>
      <c r="Q644" s="2016"/>
      <c r="R644"/>
      <c r="S644" s="1684"/>
      <c r="T644" s="1684"/>
      <c r="U644" s="1684"/>
      <c r="V644" s="1684"/>
      <c r="W644" s="1684"/>
      <c r="X644" s="1684"/>
      <c r="Y644" s="1684"/>
      <c r="Z644" s="1684"/>
      <c r="AA644" s="1684"/>
      <c r="AB644" s="1684"/>
      <c r="AC644" s="1684"/>
      <c r="AD644" s="1684"/>
      <c r="AE644" s="1684"/>
      <c r="AF644" s="1684"/>
      <c r="AG644" s="1684"/>
      <c r="AH644" s="1684"/>
      <c r="AI644" s="1684"/>
      <c r="AJ644" s="1684"/>
      <c r="AK644" s="1684"/>
      <c r="AL644" s="1684"/>
      <c r="AM644" s="1684"/>
      <c r="AN644" s="1684"/>
      <c r="AO644" s="1684"/>
      <c r="AP644" s="1684"/>
      <c r="AQ644" s="1684"/>
      <c r="AR644" s="1684"/>
      <c r="AS644" s="1684"/>
      <c r="AT644" s="1684"/>
      <c r="AU644" s="1684"/>
      <c r="AV644" s="1684"/>
      <c r="AW644" s="1684"/>
      <c r="AX644" s="1684"/>
      <c r="AY644" s="1684"/>
      <c r="AZ644" s="1684"/>
      <c r="BA644" s="1684"/>
      <c r="BB644" s="1684"/>
      <c r="BC644" s="1684"/>
      <c r="BD644" s="1684"/>
      <c r="BE644" s="1684"/>
      <c r="BF644" s="1684"/>
      <c r="BG644" s="1684"/>
      <c r="BH644" s="1684"/>
      <c r="BI644" s="1684"/>
      <c r="BJ644" s="1684"/>
      <c r="BK644" s="1684"/>
      <c r="BL644" s="1684"/>
      <c r="BM644" s="1684"/>
      <c r="BN644" s="1684"/>
      <c r="BO644" s="1684"/>
      <c r="BP644" s="1684"/>
      <c r="BQ644" s="1684"/>
      <c r="BR644" s="1684"/>
      <c r="BS644" s="1684"/>
      <c r="BT644" s="1684"/>
      <c r="BU644" s="1684"/>
      <c r="BV644" s="1684"/>
      <c r="BW644" s="1684"/>
      <c r="BX644" s="1684"/>
      <c r="BY644" s="1684"/>
      <c r="BZ644" s="1684"/>
      <c r="CA644" s="1684"/>
      <c r="CB644" s="1684"/>
      <c r="CC644" s="1684"/>
      <c r="CD644" s="1684"/>
      <c r="CE644" s="1684"/>
      <c r="CF644" s="1684"/>
      <c r="CG644" s="1684"/>
      <c r="CH644" s="1684"/>
      <c r="CI644" s="1684"/>
      <c r="CJ644" s="1684"/>
      <c r="CK644" s="1684"/>
      <c r="CL644" s="1684"/>
      <c r="CM644" s="1684"/>
      <c r="CN644" s="1684"/>
      <c r="CO644" s="1684"/>
    </row>
    <row r="645" spans="1:93" s="1391" customFormat="1" ht="15" x14ac:dyDescent="0.2">
      <c r="A645" s="1684"/>
      <c r="B645" s="1684"/>
      <c r="C645" s="2013">
        <v>8</v>
      </c>
      <c r="D645" s="5">
        <v>5.6449999999999996</v>
      </c>
      <c r="E645" s="5">
        <v>141</v>
      </c>
      <c r="F645" s="5">
        <v>155</v>
      </c>
      <c r="G645" s="5">
        <v>169</v>
      </c>
      <c r="H645" s="5">
        <v>183</v>
      </c>
      <c r="I645" s="5">
        <v>197</v>
      </c>
      <c r="J645" s="5">
        <v>211</v>
      </c>
      <c r="K645" s="5">
        <v>224</v>
      </c>
      <c r="L645" s="5">
        <v>238</v>
      </c>
      <c r="M645" s="5">
        <v>251</v>
      </c>
      <c r="N645" s="5">
        <v>264</v>
      </c>
      <c r="O645" s="5">
        <v>277</v>
      </c>
      <c r="P645" s="5">
        <v>290</v>
      </c>
      <c r="Q645" s="1160">
        <v>67</v>
      </c>
      <c r="R645"/>
      <c r="S645" s="1684"/>
      <c r="T645" s="1684"/>
      <c r="U645" s="1684"/>
      <c r="V645" s="1684"/>
      <c r="W645" s="1684"/>
      <c r="X645" s="1684"/>
      <c r="Y645" s="1684"/>
      <c r="Z645" s="1684"/>
      <c r="AA645" s="1684"/>
      <c r="AB645" s="1684"/>
      <c r="AC645" s="1684"/>
      <c r="AD645" s="1684"/>
      <c r="AE645" s="1684"/>
      <c r="AF645" s="1684"/>
      <c r="AG645" s="1684"/>
      <c r="AH645" s="1684"/>
      <c r="AI645" s="1684"/>
      <c r="AJ645" s="1684"/>
      <c r="AK645" s="1684"/>
      <c r="AL645" s="1684"/>
      <c r="AM645" s="1684"/>
      <c r="AN645" s="1684"/>
      <c r="AO645" s="1684"/>
      <c r="AP645" s="1684"/>
      <c r="AQ645" s="1684"/>
      <c r="AR645" s="1684"/>
      <c r="AS645" s="1684"/>
      <c r="AT645" s="1684"/>
      <c r="AU645" s="1684"/>
      <c r="AV645" s="1684"/>
      <c r="AW645" s="1684"/>
      <c r="AX645" s="1684"/>
      <c r="AY645" s="1684"/>
      <c r="AZ645" s="1684"/>
      <c r="BA645" s="1684"/>
      <c r="BB645" s="1684"/>
      <c r="BC645" s="1684"/>
      <c r="BD645" s="1684"/>
      <c r="BE645" s="1684"/>
      <c r="BF645" s="1684"/>
      <c r="BG645" s="1684"/>
      <c r="BH645" s="1684"/>
      <c r="BI645" s="1684"/>
      <c r="BJ645" s="1684"/>
      <c r="BK645" s="1684"/>
      <c r="BL645" s="1684"/>
      <c r="BM645" s="1684"/>
      <c r="BN645" s="1684"/>
      <c r="BO645" s="1684"/>
      <c r="BP645" s="1684"/>
      <c r="BQ645" s="1684"/>
      <c r="BR645" s="1684"/>
      <c r="BS645" s="1684"/>
      <c r="BT645" s="1684"/>
      <c r="BU645" s="1684"/>
      <c r="BV645" s="1684"/>
      <c r="BW645" s="1684"/>
      <c r="BX645" s="1684"/>
      <c r="BY645" s="1684"/>
      <c r="BZ645" s="1684"/>
      <c r="CA645" s="1684"/>
      <c r="CB645" s="1684"/>
      <c r="CC645" s="1684"/>
      <c r="CD645" s="1684"/>
      <c r="CE645" s="1684"/>
      <c r="CF645" s="1684"/>
      <c r="CG645" s="1684"/>
      <c r="CH645" s="1684"/>
      <c r="CI645" s="1684"/>
      <c r="CJ645" s="1684"/>
      <c r="CK645" s="1684"/>
      <c r="CL645" s="1684"/>
      <c r="CM645" s="1684"/>
      <c r="CN645" s="1684"/>
      <c r="CO645" s="1684"/>
    </row>
    <row r="646" spans="1:93" s="1391" customFormat="1" ht="15" x14ac:dyDescent="0.2">
      <c r="A646" s="1684"/>
      <c r="B646" s="1684"/>
      <c r="C646" s="2013">
        <v>9</v>
      </c>
      <c r="D646" s="5">
        <v>5.9779999999999998</v>
      </c>
      <c r="E646" s="5">
        <v>153</v>
      </c>
      <c r="F646" s="5">
        <v>170</v>
      </c>
      <c r="G646" s="5">
        <v>185</v>
      </c>
      <c r="H646" s="5">
        <v>200</v>
      </c>
      <c r="I646" s="5">
        <v>215</v>
      </c>
      <c r="J646" s="5">
        <v>229</v>
      </c>
      <c r="K646" s="5">
        <v>244</v>
      </c>
      <c r="L646" s="5">
        <v>259</v>
      </c>
      <c r="M646" s="5">
        <v>273</v>
      </c>
      <c r="N646" s="5">
        <v>287</v>
      </c>
      <c r="O646" s="5">
        <v>301</v>
      </c>
      <c r="P646" s="5">
        <v>315</v>
      </c>
      <c r="Q646" s="1160">
        <v>68</v>
      </c>
      <c r="R646"/>
      <c r="S646" s="1684"/>
      <c r="T646" s="1684"/>
      <c r="U646" s="1684"/>
      <c r="V646" s="1684"/>
      <c r="W646" s="1684"/>
      <c r="X646" s="1684"/>
      <c r="Y646" s="1684"/>
      <c r="Z646" s="1684"/>
      <c r="AA646" s="1684"/>
      <c r="AB646" s="1684"/>
      <c r="AC646" s="1684"/>
      <c r="AD646" s="1684"/>
      <c r="AE646" s="1684"/>
      <c r="AF646" s="1684"/>
      <c r="AG646" s="1684"/>
      <c r="AH646" s="1684"/>
      <c r="AI646" s="1684"/>
      <c r="AJ646" s="1684"/>
      <c r="AK646" s="1684"/>
      <c r="AL646" s="1684"/>
      <c r="AM646" s="1684"/>
      <c r="AN646" s="1684"/>
      <c r="AO646" s="1684"/>
      <c r="AP646" s="1684"/>
      <c r="AQ646" s="1684"/>
      <c r="AR646" s="1684"/>
      <c r="AS646" s="1684"/>
      <c r="AT646" s="1684"/>
      <c r="AU646" s="1684"/>
      <c r="AV646" s="1684"/>
      <c r="AW646" s="1684"/>
      <c r="AX646" s="1684"/>
      <c r="AY646" s="1684"/>
      <c r="AZ646" s="1684"/>
      <c r="BA646" s="1684"/>
      <c r="BB646" s="1684"/>
      <c r="BC646" s="1684"/>
      <c r="BD646" s="1684"/>
      <c r="BE646" s="1684"/>
      <c r="BF646" s="1684"/>
      <c r="BG646" s="1684"/>
      <c r="BH646" s="1684"/>
      <c r="BI646" s="1684"/>
      <c r="BJ646" s="1684"/>
      <c r="BK646" s="1684"/>
      <c r="BL646" s="1684"/>
      <c r="BM646" s="1684"/>
      <c r="BN646" s="1684"/>
      <c r="BO646" s="1684"/>
      <c r="BP646" s="1684"/>
      <c r="BQ646" s="1684"/>
      <c r="BR646" s="1684"/>
      <c r="BS646" s="1684"/>
      <c r="BT646" s="1684"/>
      <c r="BU646" s="1684"/>
      <c r="BV646" s="1684"/>
      <c r="BW646" s="1684"/>
      <c r="BX646" s="1684"/>
      <c r="BY646" s="1684"/>
      <c r="BZ646" s="1684"/>
      <c r="CA646" s="1684"/>
      <c r="CB646" s="1684"/>
      <c r="CC646" s="1684"/>
      <c r="CD646" s="1684"/>
      <c r="CE646" s="1684"/>
      <c r="CF646" s="1684"/>
      <c r="CG646" s="1684"/>
      <c r="CH646" s="1684"/>
      <c r="CI646" s="1684"/>
      <c r="CJ646" s="1684"/>
      <c r="CK646" s="1684"/>
      <c r="CL646" s="1684"/>
      <c r="CM646" s="1684"/>
      <c r="CN646" s="1684"/>
      <c r="CO646" s="1684"/>
    </row>
    <row r="647" spans="1:93" s="1391" customFormat="1" ht="15" x14ac:dyDescent="0.2">
      <c r="A647" s="1684"/>
      <c r="B647" s="1684"/>
      <c r="C647" s="2013">
        <v>10</v>
      </c>
      <c r="D647" s="5">
        <v>6.3239999999999998</v>
      </c>
      <c r="E647" s="5">
        <v>167</v>
      </c>
      <c r="F647" s="5">
        <v>184</v>
      </c>
      <c r="G647" s="5">
        <v>201</v>
      </c>
      <c r="H647" s="5">
        <v>217</v>
      </c>
      <c r="I647" s="5">
        <v>233</v>
      </c>
      <c r="J647" s="5">
        <v>249</v>
      </c>
      <c r="K647" s="5">
        <v>265</v>
      </c>
      <c r="L647" s="5">
        <v>281</v>
      </c>
      <c r="M647" s="5">
        <v>296</v>
      </c>
      <c r="N647" s="5">
        <v>311</v>
      </c>
      <c r="O647" s="5">
        <v>326</v>
      </c>
      <c r="P647" s="5">
        <v>341</v>
      </c>
      <c r="Q647" s="1160">
        <v>69</v>
      </c>
      <c r="R647"/>
      <c r="S647" s="1684"/>
      <c r="T647" s="1684"/>
      <c r="U647" s="1684"/>
      <c r="V647" s="1684"/>
      <c r="W647" s="1684"/>
      <c r="X647" s="1684"/>
      <c r="Y647" s="1684"/>
      <c r="Z647" s="1684"/>
      <c r="AA647" s="1684"/>
      <c r="AB647" s="1684"/>
      <c r="AC647" s="1684"/>
      <c r="AD647" s="1684"/>
      <c r="AE647" s="1684"/>
      <c r="AF647" s="1684"/>
      <c r="AG647" s="1684"/>
      <c r="AH647" s="1684"/>
      <c r="AI647" s="1684"/>
      <c r="AJ647" s="1684"/>
      <c r="AK647" s="1684"/>
      <c r="AL647" s="1684"/>
      <c r="AM647" s="1684"/>
      <c r="AN647" s="1684"/>
      <c r="AO647" s="1684"/>
      <c r="AP647" s="1684"/>
      <c r="AQ647" s="1684"/>
      <c r="AR647" s="1684"/>
      <c r="AS647" s="1684"/>
      <c r="AT647" s="1684"/>
      <c r="AU647" s="1684"/>
      <c r="AV647" s="1684"/>
      <c r="AW647" s="1684"/>
      <c r="AX647" s="1684"/>
      <c r="AY647" s="1684"/>
      <c r="AZ647" s="1684"/>
      <c r="BA647" s="1684"/>
      <c r="BB647" s="1684"/>
      <c r="BC647" s="1684"/>
      <c r="BD647" s="1684"/>
      <c r="BE647" s="1684"/>
      <c r="BF647" s="1684"/>
      <c r="BG647" s="1684"/>
      <c r="BH647" s="1684"/>
      <c r="BI647" s="1684"/>
      <c r="BJ647" s="1684"/>
      <c r="BK647" s="1684"/>
      <c r="BL647" s="1684"/>
      <c r="BM647" s="1684"/>
      <c r="BN647" s="1684"/>
      <c r="BO647" s="1684"/>
      <c r="BP647" s="1684"/>
      <c r="BQ647" s="1684"/>
      <c r="BR647" s="1684"/>
      <c r="BS647" s="1684"/>
      <c r="BT647" s="1684"/>
      <c r="BU647" s="1684"/>
      <c r="BV647" s="1684"/>
      <c r="BW647" s="1684"/>
      <c r="BX647" s="1684"/>
      <c r="BY647" s="1684"/>
      <c r="BZ647" s="1684"/>
      <c r="CA647" s="1684"/>
      <c r="CB647" s="1684"/>
      <c r="CC647" s="1684"/>
      <c r="CD647" s="1684"/>
      <c r="CE647" s="1684"/>
      <c r="CF647" s="1684"/>
      <c r="CG647" s="1684"/>
      <c r="CH647" s="1684"/>
      <c r="CI647" s="1684"/>
      <c r="CJ647" s="1684"/>
      <c r="CK647" s="1684"/>
      <c r="CL647" s="1684"/>
      <c r="CM647" s="1684"/>
      <c r="CN647" s="1684"/>
      <c r="CO647" s="1684"/>
    </row>
    <row r="648" spans="1:93" s="1391" customFormat="1" ht="15" x14ac:dyDescent="0.2">
      <c r="A648" s="1684"/>
      <c r="B648" s="1684"/>
      <c r="C648" s="2013">
        <v>11</v>
      </c>
      <c r="D648" s="5">
        <v>6.7060000000000004</v>
      </c>
      <c r="E648" s="5">
        <v>181</v>
      </c>
      <c r="F648" s="5">
        <v>200</v>
      </c>
      <c r="G648" s="5">
        <v>218</v>
      </c>
      <c r="H648" s="5">
        <v>235</v>
      </c>
      <c r="I648" s="5">
        <v>253</v>
      </c>
      <c r="J648" s="5">
        <v>270</v>
      </c>
      <c r="K648" s="5">
        <v>287</v>
      </c>
      <c r="L648" s="5">
        <v>304</v>
      </c>
      <c r="M648" s="5">
        <v>320</v>
      </c>
      <c r="N648" s="5">
        <v>336</v>
      </c>
      <c r="O648" s="5">
        <v>353</v>
      </c>
      <c r="P648" s="5">
        <v>369</v>
      </c>
      <c r="Q648" s="1160">
        <v>70</v>
      </c>
      <c r="R648"/>
      <c r="S648" s="1684"/>
      <c r="T648" s="1684"/>
      <c r="U648" s="1684"/>
      <c r="V648" s="1684"/>
      <c r="W648" s="1684"/>
      <c r="X648" s="1684"/>
      <c r="Y648" s="1684"/>
      <c r="Z648" s="1684"/>
      <c r="AA648" s="1684"/>
      <c r="AB648" s="1684"/>
      <c r="AC648" s="1684"/>
      <c r="AD648" s="1684"/>
      <c r="AE648" s="1684"/>
      <c r="AF648" s="1684"/>
      <c r="AG648" s="1684"/>
      <c r="AH648" s="1684"/>
      <c r="AI648" s="1684"/>
      <c r="AJ648" s="1684"/>
      <c r="AK648" s="1684"/>
      <c r="AL648" s="1684"/>
      <c r="AM648" s="1684"/>
      <c r="AN648" s="1684"/>
      <c r="AO648" s="1684"/>
      <c r="AP648" s="1684"/>
      <c r="AQ648" s="1684"/>
      <c r="AR648" s="1684"/>
      <c r="AS648" s="1684"/>
      <c r="AT648" s="1684"/>
      <c r="AU648" s="1684"/>
      <c r="AV648" s="1684"/>
      <c r="AW648" s="1684"/>
      <c r="AX648" s="1684"/>
      <c r="AY648" s="1684"/>
      <c r="AZ648" s="1684"/>
      <c r="BA648" s="1684"/>
      <c r="BB648" s="1684"/>
      <c r="BC648" s="1684"/>
      <c r="BD648" s="1684"/>
      <c r="BE648" s="1684"/>
      <c r="BF648" s="1684"/>
      <c r="BG648" s="1684"/>
      <c r="BH648" s="1684"/>
      <c r="BI648" s="1684"/>
      <c r="BJ648" s="1684"/>
      <c r="BK648" s="1684"/>
      <c r="BL648" s="1684"/>
      <c r="BM648" s="1684"/>
      <c r="BN648" s="1684"/>
      <c r="BO648" s="1684"/>
      <c r="BP648" s="1684"/>
      <c r="BQ648" s="1684"/>
      <c r="BR648" s="1684"/>
      <c r="BS648" s="1684"/>
      <c r="BT648" s="1684"/>
      <c r="BU648" s="1684"/>
      <c r="BV648" s="1684"/>
      <c r="BW648" s="1684"/>
      <c r="BX648" s="1684"/>
      <c r="BY648" s="1684"/>
      <c r="BZ648" s="1684"/>
      <c r="CA648" s="1684"/>
      <c r="CB648" s="1684"/>
      <c r="CC648" s="1684"/>
      <c r="CD648" s="1684"/>
      <c r="CE648" s="1684"/>
      <c r="CF648" s="1684"/>
      <c r="CG648" s="1684"/>
      <c r="CH648" s="1684"/>
      <c r="CI648" s="1684"/>
      <c r="CJ648" s="1684"/>
      <c r="CK648" s="1684"/>
      <c r="CL648" s="1684"/>
      <c r="CM648" s="1684"/>
      <c r="CN648" s="1684"/>
      <c r="CO648" s="1684"/>
    </row>
    <row r="649" spans="1:93" s="1391" customFormat="1" ht="15" x14ac:dyDescent="0.2">
      <c r="A649" s="1684"/>
      <c r="B649" s="1684"/>
      <c r="C649" s="2013">
        <v>12</v>
      </c>
      <c r="D649" s="5">
        <v>7.0979999999999999</v>
      </c>
      <c r="E649" s="5">
        <v>196</v>
      </c>
      <c r="F649" s="5">
        <v>216</v>
      </c>
      <c r="G649" s="5">
        <v>233</v>
      </c>
      <c r="H649" s="5">
        <v>254</v>
      </c>
      <c r="I649" s="5">
        <v>273</v>
      </c>
      <c r="J649" s="5">
        <v>291</v>
      </c>
      <c r="K649" s="5">
        <v>309</v>
      </c>
      <c r="L649" s="5">
        <v>328</v>
      </c>
      <c r="M649" s="5">
        <v>345</v>
      </c>
      <c r="N649" s="5">
        <v>362</v>
      </c>
      <c r="O649" s="5">
        <v>380</v>
      </c>
      <c r="P649" s="5">
        <v>397</v>
      </c>
      <c r="Q649" s="1160">
        <v>71</v>
      </c>
      <c r="R649"/>
      <c r="S649" s="1684"/>
      <c r="T649" s="1684"/>
      <c r="U649" s="1684"/>
      <c r="V649" s="1684"/>
      <c r="W649" s="1684"/>
      <c r="X649" s="1684"/>
      <c r="Y649" s="1684"/>
      <c r="Z649" s="1684"/>
      <c r="AA649" s="1684"/>
      <c r="AB649" s="1684"/>
      <c r="AC649" s="1684"/>
      <c r="AD649" s="1684"/>
      <c r="AE649" s="1684"/>
      <c r="AF649" s="1684"/>
      <c r="AG649" s="1684"/>
      <c r="AH649" s="1684"/>
      <c r="AI649" s="1684"/>
      <c r="AJ649" s="1684"/>
      <c r="AK649" s="1684"/>
      <c r="AL649" s="1684"/>
      <c r="AM649" s="1684"/>
      <c r="AN649" s="1684"/>
      <c r="AO649" s="1684"/>
      <c r="AP649" s="1684"/>
      <c r="AQ649" s="1684"/>
      <c r="AR649" s="1684"/>
      <c r="AS649" s="1684"/>
      <c r="AT649" s="1684"/>
      <c r="AU649" s="1684"/>
      <c r="AV649" s="1684"/>
      <c r="AW649" s="1684"/>
      <c r="AX649" s="1684"/>
      <c r="AY649" s="1684"/>
      <c r="AZ649" s="1684"/>
      <c r="BA649" s="1684"/>
      <c r="BB649" s="1684"/>
      <c r="BC649" s="1684"/>
      <c r="BD649" s="1684"/>
      <c r="BE649" s="1684"/>
      <c r="BF649" s="1684"/>
      <c r="BG649" s="1684"/>
      <c r="BH649" s="1684"/>
      <c r="BI649" s="1684"/>
      <c r="BJ649" s="1684"/>
      <c r="BK649" s="1684"/>
      <c r="BL649" s="1684"/>
      <c r="BM649" s="1684"/>
      <c r="BN649" s="1684"/>
      <c r="BO649" s="1684"/>
      <c r="BP649" s="1684"/>
      <c r="BQ649" s="1684"/>
      <c r="BR649" s="1684"/>
      <c r="BS649" s="1684"/>
      <c r="BT649" s="1684"/>
      <c r="BU649" s="1684"/>
      <c r="BV649" s="1684"/>
      <c r="BW649" s="1684"/>
      <c r="BX649" s="1684"/>
      <c r="BY649" s="1684"/>
      <c r="BZ649" s="1684"/>
      <c r="CA649" s="1684"/>
      <c r="CB649" s="1684"/>
      <c r="CC649" s="1684"/>
      <c r="CD649" s="1684"/>
      <c r="CE649" s="1684"/>
      <c r="CF649" s="1684"/>
      <c r="CG649" s="1684"/>
      <c r="CH649" s="1684"/>
      <c r="CI649" s="1684"/>
      <c r="CJ649" s="1684"/>
      <c r="CK649" s="1684"/>
      <c r="CL649" s="1684"/>
      <c r="CM649" s="1684"/>
      <c r="CN649" s="1684"/>
      <c r="CO649" s="1684"/>
    </row>
    <row r="650" spans="1:93" s="1391" customFormat="1" ht="15" x14ac:dyDescent="0.2">
      <c r="A650" s="1684"/>
      <c r="B650" s="1684"/>
      <c r="C650" s="2013">
        <v>13</v>
      </c>
      <c r="D650" s="5">
        <v>7.4909999999999997</v>
      </c>
      <c r="E650" s="5">
        <v>210</v>
      </c>
      <c r="F650" s="5">
        <v>232</v>
      </c>
      <c r="G650" s="5">
        <v>252</v>
      </c>
      <c r="H650" s="5">
        <v>272</v>
      </c>
      <c r="I650" s="5">
        <v>292</v>
      </c>
      <c r="J650" s="5">
        <v>312</v>
      </c>
      <c r="K650" s="5">
        <v>331</v>
      </c>
      <c r="L650" s="5">
        <v>351</v>
      </c>
      <c r="M650" s="5">
        <v>369</v>
      </c>
      <c r="N650" s="5">
        <v>388</v>
      </c>
      <c r="O650" s="5">
        <v>406</v>
      </c>
      <c r="P650" s="5">
        <v>424</v>
      </c>
      <c r="Q650" s="1160">
        <v>72</v>
      </c>
      <c r="R650"/>
      <c r="S650" s="1684"/>
      <c r="T650" s="1684"/>
      <c r="U650" s="1684"/>
      <c r="V650" s="1684"/>
      <c r="W650" s="1684"/>
      <c r="X650" s="1684"/>
      <c r="Y650" s="1684"/>
      <c r="Z650" s="1684"/>
      <c r="AA650" s="1684"/>
      <c r="AB650" s="1684"/>
      <c r="AC650" s="1684"/>
      <c r="AD650" s="1684"/>
      <c r="AE650" s="1684"/>
      <c r="AF650" s="1684"/>
      <c r="AG650" s="1684"/>
      <c r="AH650" s="1684"/>
      <c r="AI650" s="1684"/>
      <c r="AJ650" s="1684"/>
      <c r="AK650" s="1684"/>
      <c r="AL650" s="1684"/>
      <c r="AM650" s="1684"/>
      <c r="AN650" s="1684"/>
      <c r="AO650" s="1684"/>
      <c r="AP650" s="1684"/>
      <c r="AQ650" s="1684"/>
      <c r="AR650" s="1684"/>
      <c r="AS650" s="1684"/>
      <c r="AT650" s="1684"/>
      <c r="AU650" s="1684"/>
      <c r="AV650" s="1684"/>
      <c r="AW650" s="1684"/>
      <c r="AX650" s="1684"/>
      <c r="AY650" s="1684"/>
      <c r="AZ650" s="1684"/>
      <c r="BA650" s="1684"/>
      <c r="BB650" s="1684"/>
      <c r="BC650" s="1684"/>
      <c r="BD650" s="1684"/>
      <c r="BE650" s="1684"/>
      <c r="BF650" s="1684"/>
      <c r="BG650" s="1684"/>
      <c r="BH650" s="1684"/>
      <c r="BI650" s="1684"/>
      <c r="BJ650" s="1684"/>
      <c r="BK650" s="1684"/>
      <c r="BL650" s="1684"/>
      <c r="BM650" s="1684"/>
      <c r="BN650" s="1684"/>
      <c r="BO650" s="1684"/>
      <c r="BP650" s="1684"/>
      <c r="BQ650" s="1684"/>
      <c r="BR650" s="1684"/>
      <c r="BS650" s="1684"/>
      <c r="BT650" s="1684"/>
      <c r="BU650" s="1684"/>
      <c r="BV650" s="1684"/>
      <c r="BW650" s="1684"/>
      <c r="BX650" s="1684"/>
      <c r="BY650" s="1684"/>
      <c r="BZ650" s="1684"/>
      <c r="CA650" s="1684"/>
      <c r="CB650" s="1684"/>
      <c r="CC650" s="1684"/>
      <c r="CD650" s="1684"/>
      <c r="CE650" s="1684"/>
      <c r="CF650" s="1684"/>
      <c r="CG650" s="1684"/>
      <c r="CH650" s="1684"/>
      <c r="CI650" s="1684"/>
      <c r="CJ650" s="1684"/>
      <c r="CK650" s="1684"/>
      <c r="CL650" s="1684"/>
      <c r="CM650" s="1684"/>
      <c r="CN650" s="1684"/>
      <c r="CO650" s="1684"/>
    </row>
    <row r="651" spans="1:93" s="1391" customFormat="1" ht="15" x14ac:dyDescent="0.2">
      <c r="A651" s="1684"/>
      <c r="B651" s="1684"/>
      <c r="C651" s="2013">
        <v>14</v>
      </c>
      <c r="D651" s="5">
        <v>7.8979999999999997</v>
      </c>
      <c r="E651" s="5">
        <v>225</v>
      </c>
      <c r="F651" s="5">
        <v>248</v>
      </c>
      <c r="G651" s="5">
        <v>270</v>
      </c>
      <c r="H651" s="5">
        <v>291</v>
      </c>
      <c r="I651" s="5">
        <v>312</v>
      </c>
      <c r="J651" s="5">
        <v>333</v>
      </c>
      <c r="K651" s="5">
        <v>354</v>
      </c>
      <c r="L651" s="5">
        <v>379</v>
      </c>
      <c r="M651" s="5">
        <v>394</v>
      </c>
      <c r="N651" s="5">
        <v>413</v>
      </c>
      <c r="O651" s="5">
        <v>433</v>
      </c>
      <c r="P651" s="5">
        <v>452</v>
      </c>
      <c r="Q651" s="1160">
        <v>73</v>
      </c>
      <c r="R651"/>
      <c r="S651" s="1684"/>
      <c r="T651" s="1684"/>
      <c r="U651" s="1684"/>
      <c r="V651" s="1684"/>
      <c r="W651" s="1684"/>
      <c r="X651" s="1684"/>
      <c r="Y651" s="1684"/>
      <c r="Z651" s="1684"/>
      <c r="AA651" s="1684"/>
      <c r="AB651" s="1684"/>
      <c r="AC651" s="1684"/>
      <c r="AD651" s="1684"/>
      <c r="AE651" s="1684"/>
      <c r="AF651" s="1684"/>
      <c r="AG651" s="1684"/>
      <c r="AH651" s="1684"/>
      <c r="AI651" s="1684"/>
      <c r="AJ651" s="1684"/>
      <c r="AK651" s="1684"/>
      <c r="AL651" s="1684"/>
      <c r="AM651" s="1684"/>
      <c r="AN651" s="1684"/>
      <c r="AO651" s="1684"/>
      <c r="AP651" s="1684"/>
      <c r="AQ651" s="1684"/>
      <c r="AR651" s="1684"/>
      <c r="AS651" s="1684"/>
      <c r="AT651" s="1684"/>
      <c r="AU651" s="1684"/>
      <c r="AV651" s="1684"/>
      <c r="AW651" s="1684"/>
      <c r="AX651" s="1684"/>
      <c r="AY651" s="1684"/>
      <c r="AZ651" s="1684"/>
      <c r="BA651" s="1684"/>
      <c r="BB651" s="1684"/>
      <c r="BC651" s="1684"/>
      <c r="BD651" s="1684"/>
      <c r="BE651" s="1684"/>
      <c r="BF651" s="1684"/>
      <c r="BG651" s="1684"/>
      <c r="BH651" s="1684"/>
      <c r="BI651" s="1684"/>
      <c r="BJ651" s="1684"/>
      <c r="BK651" s="1684"/>
      <c r="BL651" s="1684"/>
      <c r="BM651" s="1684"/>
      <c r="BN651" s="1684"/>
      <c r="BO651" s="1684"/>
      <c r="BP651" s="1684"/>
      <c r="BQ651" s="1684"/>
      <c r="BR651" s="1684"/>
      <c r="BS651" s="1684"/>
      <c r="BT651" s="1684"/>
      <c r="BU651" s="1684"/>
      <c r="BV651" s="1684"/>
      <c r="BW651" s="1684"/>
      <c r="BX651" s="1684"/>
      <c r="BY651" s="1684"/>
      <c r="BZ651" s="1684"/>
      <c r="CA651" s="1684"/>
      <c r="CB651" s="1684"/>
      <c r="CC651" s="1684"/>
      <c r="CD651" s="1684"/>
      <c r="CE651" s="1684"/>
      <c r="CF651" s="1684"/>
      <c r="CG651" s="1684"/>
      <c r="CH651" s="1684"/>
      <c r="CI651" s="1684"/>
      <c r="CJ651" s="1684"/>
      <c r="CK651" s="1684"/>
      <c r="CL651" s="1684"/>
      <c r="CM651" s="1684"/>
      <c r="CN651" s="1684"/>
      <c r="CO651" s="1684"/>
    </row>
    <row r="652" spans="1:93" s="1391" customFormat="1" ht="15" x14ac:dyDescent="0.2">
      <c r="A652" s="1684"/>
      <c r="B652" s="1684"/>
      <c r="C652" s="2013">
        <v>15</v>
      </c>
      <c r="D652" s="5">
        <v>8.31</v>
      </c>
      <c r="E652" s="5">
        <v>240</v>
      </c>
      <c r="F652" s="5">
        <v>265</v>
      </c>
      <c r="G652" s="5">
        <v>287</v>
      </c>
      <c r="H652" s="5">
        <v>310</v>
      </c>
      <c r="I652" s="5">
        <v>332</v>
      </c>
      <c r="J652" s="5">
        <v>354</v>
      </c>
      <c r="K652" s="5">
        <v>375</v>
      </c>
      <c r="L652" s="5">
        <v>398</v>
      </c>
      <c r="M652" s="5">
        <v>418</v>
      </c>
      <c r="N652" s="5">
        <v>439</v>
      </c>
      <c r="O652" s="5">
        <v>459</v>
      </c>
      <c r="P652" s="5">
        <v>479</v>
      </c>
      <c r="Q652" s="1160">
        <v>74</v>
      </c>
      <c r="R652"/>
      <c r="S652" s="1684"/>
      <c r="T652" s="1684"/>
      <c r="U652" s="1684"/>
      <c r="V652" s="1684"/>
      <c r="W652" s="1684"/>
      <c r="X652" s="1684"/>
      <c r="Y652" s="1684"/>
      <c r="Z652" s="1684"/>
      <c r="AA652" s="1684"/>
      <c r="AB652" s="1684"/>
      <c r="AC652" s="1684"/>
      <c r="AD652" s="1684"/>
      <c r="AE652" s="1684"/>
      <c r="AF652" s="1684"/>
      <c r="AG652" s="1684"/>
      <c r="AH652" s="1684"/>
      <c r="AI652" s="1684"/>
      <c r="AJ652" s="1684"/>
      <c r="AK652" s="1684"/>
      <c r="AL652" s="1684"/>
      <c r="AM652" s="1684"/>
      <c r="AN652" s="1684"/>
      <c r="AO652" s="1684"/>
      <c r="AP652" s="1684"/>
      <c r="AQ652" s="1684"/>
      <c r="AR652" s="1684"/>
      <c r="AS652" s="1684"/>
      <c r="AT652" s="1684"/>
      <c r="AU652" s="1684"/>
      <c r="AV652" s="1684"/>
      <c r="AW652" s="1684"/>
      <c r="AX652" s="1684"/>
      <c r="AY652" s="1684"/>
      <c r="AZ652" s="1684"/>
      <c r="BA652" s="1684"/>
      <c r="BB652" s="1684"/>
      <c r="BC652" s="1684"/>
      <c r="BD652" s="1684"/>
      <c r="BE652" s="1684"/>
      <c r="BF652" s="1684"/>
      <c r="BG652" s="1684"/>
      <c r="BH652" s="1684"/>
      <c r="BI652" s="1684"/>
      <c r="BJ652" s="1684"/>
      <c r="BK652" s="1684"/>
      <c r="BL652" s="1684"/>
      <c r="BM652" s="1684"/>
      <c r="BN652" s="1684"/>
      <c r="BO652" s="1684"/>
      <c r="BP652" s="1684"/>
      <c r="BQ652" s="1684"/>
      <c r="BR652" s="1684"/>
      <c r="BS652" s="1684"/>
      <c r="BT652" s="1684"/>
      <c r="BU652" s="1684"/>
      <c r="BV652" s="1684"/>
      <c r="BW652" s="1684"/>
      <c r="BX652" s="1684"/>
      <c r="BY652" s="1684"/>
      <c r="BZ652" s="1684"/>
      <c r="CA652" s="1684"/>
      <c r="CB652" s="1684"/>
      <c r="CC652" s="1684"/>
      <c r="CD652" s="1684"/>
      <c r="CE652" s="1684"/>
      <c r="CF652" s="1684"/>
      <c r="CG652" s="1684"/>
      <c r="CH652" s="1684"/>
      <c r="CI652" s="1684"/>
      <c r="CJ652" s="1684"/>
      <c r="CK652" s="1684"/>
      <c r="CL652" s="1684"/>
      <c r="CM652" s="1684"/>
      <c r="CN652" s="1684"/>
      <c r="CO652" s="1684"/>
    </row>
    <row r="653" spans="1:93" s="1391" customFormat="1" ht="15" x14ac:dyDescent="0.2">
      <c r="A653" s="1684"/>
      <c r="B653" s="1684"/>
      <c r="C653" s="2013">
        <v>16</v>
      </c>
      <c r="D653" s="5">
        <v>8.86</v>
      </c>
      <c r="E653" s="5">
        <v>254</v>
      </c>
      <c r="F653" s="5">
        <v>280</v>
      </c>
      <c r="G653" s="5">
        <v>304</v>
      </c>
      <c r="H653" s="5">
        <v>328</v>
      </c>
      <c r="I653" s="5">
        <v>351</v>
      </c>
      <c r="J653" s="5">
        <v>374</v>
      </c>
      <c r="K653" s="5">
        <v>397</v>
      </c>
      <c r="L653" s="5">
        <v>420</v>
      </c>
      <c r="M653" s="5">
        <v>441</v>
      </c>
      <c r="N653" s="5">
        <v>463</v>
      </c>
      <c r="O653" s="5">
        <v>494</v>
      </c>
      <c r="P653" s="5">
        <v>505</v>
      </c>
      <c r="Q653" s="1160">
        <v>75</v>
      </c>
      <c r="R653"/>
      <c r="S653" s="1684"/>
      <c r="T653" s="1684"/>
      <c r="U653" s="1684"/>
      <c r="V653" s="1684"/>
      <c r="W653" s="1684"/>
      <c r="X653" s="1684"/>
      <c r="Y653" s="1684"/>
      <c r="Z653" s="1684"/>
      <c r="AA653" s="1684"/>
      <c r="AB653" s="1684"/>
      <c r="AC653" s="1684"/>
      <c r="AD653" s="1684"/>
      <c r="AE653" s="1684"/>
      <c r="AF653" s="1684"/>
      <c r="AG653" s="1684"/>
      <c r="AH653" s="1684"/>
      <c r="AI653" s="1684"/>
      <c r="AJ653" s="1684"/>
      <c r="AK653" s="1684"/>
      <c r="AL653" s="1684"/>
      <c r="AM653" s="1684"/>
      <c r="AN653" s="1684"/>
      <c r="AO653" s="1684"/>
      <c r="AP653" s="1684"/>
      <c r="AQ653" s="1684"/>
      <c r="AR653" s="1684"/>
      <c r="AS653" s="1684"/>
      <c r="AT653" s="1684"/>
      <c r="AU653" s="1684"/>
      <c r="AV653" s="1684"/>
      <c r="AW653" s="1684"/>
      <c r="AX653" s="1684"/>
      <c r="AY653" s="1684"/>
      <c r="AZ653" s="1684"/>
      <c r="BA653" s="1684"/>
      <c r="BB653" s="1684"/>
      <c r="BC653" s="1684"/>
      <c r="BD653" s="1684"/>
      <c r="BE653" s="1684"/>
      <c r="BF653" s="1684"/>
      <c r="BG653" s="1684"/>
      <c r="BH653" s="1684"/>
      <c r="BI653" s="1684"/>
      <c r="BJ653" s="1684"/>
      <c r="BK653" s="1684"/>
      <c r="BL653" s="1684"/>
      <c r="BM653" s="1684"/>
      <c r="BN653" s="1684"/>
      <c r="BO653" s="1684"/>
      <c r="BP653" s="1684"/>
      <c r="BQ653" s="1684"/>
      <c r="BR653" s="1684"/>
      <c r="BS653" s="1684"/>
      <c r="BT653" s="1684"/>
      <c r="BU653" s="1684"/>
      <c r="BV653" s="1684"/>
      <c r="BW653" s="1684"/>
      <c r="BX653" s="1684"/>
      <c r="BY653" s="1684"/>
      <c r="BZ653" s="1684"/>
      <c r="CA653" s="1684"/>
      <c r="CB653" s="1684"/>
      <c r="CC653" s="1684"/>
      <c r="CD653" s="1684"/>
      <c r="CE653" s="1684"/>
      <c r="CF653" s="1684"/>
      <c r="CG653" s="1684"/>
      <c r="CH653" s="1684"/>
      <c r="CI653" s="1684"/>
      <c r="CJ653" s="1684"/>
      <c r="CK653" s="1684"/>
      <c r="CL653" s="1684"/>
      <c r="CM653" s="1684"/>
      <c r="CN653" s="1684"/>
      <c r="CO653" s="1684"/>
    </row>
    <row r="654" spans="1:93" s="1391" customFormat="1" ht="15" x14ac:dyDescent="0.2">
      <c r="A654" s="1684"/>
      <c r="B654" s="1684"/>
      <c r="C654" s="2013">
        <v>17</v>
      </c>
      <c r="D654" s="5">
        <v>9.4489999999999998</v>
      </c>
      <c r="E654" s="5">
        <v>267</v>
      </c>
      <c r="F654" s="5">
        <v>294</v>
      </c>
      <c r="G654" s="5">
        <v>319</v>
      </c>
      <c r="H654" s="5">
        <v>344</v>
      </c>
      <c r="I654" s="5">
        <v>368</v>
      </c>
      <c r="J654" s="5">
        <v>392</v>
      </c>
      <c r="K654" s="5">
        <v>416</v>
      </c>
      <c r="L654" s="5">
        <v>440</v>
      </c>
      <c r="M654" s="5">
        <v>462</v>
      </c>
      <c r="N654" s="5">
        <v>484</v>
      </c>
      <c r="O654" s="5">
        <v>506</v>
      </c>
      <c r="P654" s="5">
        <v>528</v>
      </c>
      <c r="Q654" s="1160">
        <v>76</v>
      </c>
      <c r="R654"/>
      <c r="S654" s="1684"/>
      <c r="T654" s="1684"/>
      <c r="U654" s="1684"/>
      <c r="V654" s="1684"/>
      <c r="W654" s="1684"/>
      <c r="X654" s="1684"/>
      <c r="Y654" s="1684"/>
      <c r="Z654" s="1684"/>
      <c r="AA654" s="1684"/>
      <c r="AB654" s="1684"/>
      <c r="AC654" s="1684"/>
      <c r="AD654" s="1684"/>
      <c r="AE654" s="1684"/>
      <c r="AF654" s="1684"/>
      <c r="AG654" s="1684"/>
      <c r="AH654" s="1684"/>
      <c r="AI654" s="1684"/>
      <c r="AJ654" s="1684"/>
      <c r="AK654" s="1684"/>
      <c r="AL654" s="1684"/>
      <c r="AM654" s="1684"/>
      <c r="AN654" s="1684"/>
      <c r="AO654" s="1684"/>
      <c r="AP654" s="1684"/>
      <c r="AQ654" s="1684"/>
      <c r="AR654" s="1684"/>
      <c r="AS654" s="1684"/>
      <c r="AT654" s="1684"/>
      <c r="AU654" s="1684"/>
      <c r="AV654" s="1684"/>
      <c r="AW654" s="1684"/>
      <c r="AX654" s="1684"/>
      <c r="AY654" s="1684"/>
      <c r="AZ654" s="1684"/>
      <c r="BA654" s="1684"/>
      <c r="BB654" s="1684"/>
      <c r="BC654" s="1684"/>
      <c r="BD654" s="1684"/>
      <c r="BE654" s="1684"/>
      <c r="BF654" s="1684"/>
      <c r="BG654" s="1684"/>
      <c r="BH654" s="1684"/>
      <c r="BI654" s="1684"/>
      <c r="BJ654" s="1684"/>
      <c r="BK654" s="1684"/>
      <c r="BL654" s="1684"/>
      <c r="BM654" s="1684"/>
      <c r="BN654" s="1684"/>
      <c r="BO654" s="1684"/>
      <c r="BP654" s="1684"/>
      <c r="BQ654" s="1684"/>
      <c r="BR654" s="1684"/>
      <c r="BS654" s="1684"/>
      <c r="BT654" s="1684"/>
      <c r="BU654" s="1684"/>
      <c r="BV654" s="1684"/>
      <c r="BW654" s="1684"/>
      <c r="BX654" s="1684"/>
      <c r="BY654" s="1684"/>
      <c r="BZ654" s="1684"/>
      <c r="CA654" s="1684"/>
      <c r="CB654" s="1684"/>
      <c r="CC654" s="1684"/>
      <c r="CD654" s="1684"/>
      <c r="CE654" s="1684"/>
      <c r="CF654" s="1684"/>
      <c r="CG654" s="1684"/>
      <c r="CH654" s="1684"/>
      <c r="CI654" s="1684"/>
      <c r="CJ654" s="1684"/>
      <c r="CK654" s="1684"/>
      <c r="CL654" s="1684"/>
      <c r="CM654" s="1684"/>
      <c r="CN654" s="1684"/>
      <c r="CO654" s="1684"/>
    </row>
    <row r="655" spans="1:93" s="1391" customFormat="1" ht="15" x14ac:dyDescent="0.2">
      <c r="A655" s="1684"/>
      <c r="B655" s="1684"/>
      <c r="C655" s="2013">
        <v>18</v>
      </c>
      <c r="D655" s="5">
        <v>9.7829999999999995</v>
      </c>
      <c r="E655" s="5">
        <v>278</v>
      </c>
      <c r="F655" s="5">
        <v>306</v>
      </c>
      <c r="G655" s="5">
        <v>332</v>
      </c>
      <c r="H655" s="5">
        <v>358</v>
      </c>
      <c r="I655" s="5">
        <v>383</v>
      </c>
      <c r="J655" s="5">
        <v>408</v>
      </c>
      <c r="K655" s="5">
        <v>432</v>
      </c>
      <c r="L655" s="5">
        <v>458</v>
      </c>
      <c r="M655" s="5">
        <v>480</v>
      </c>
      <c r="N655" s="5">
        <v>503</v>
      </c>
      <c r="O655" s="5">
        <v>526</v>
      </c>
      <c r="P655" s="5">
        <v>549</v>
      </c>
      <c r="Q655" s="1160">
        <v>77</v>
      </c>
      <c r="R655"/>
      <c r="S655" s="1684"/>
      <c r="T655" s="1684"/>
      <c r="U655" s="1684"/>
      <c r="V655" s="1684"/>
      <c r="W655" s="1684"/>
      <c r="X655" s="1684"/>
      <c r="Y655" s="1684"/>
      <c r="Z655" s="1684"/>
      <c r="AA655" s="1684"/>
      <c r="AB655" s="1684"/>
      <c r="AC655" s="1684"/>
      <c r="AD655" s="1684"/>
      <c r="AE655" s="1684"/>
      <c r="AF655" s="1684"/>
      <c r="AG655" s="1684"/>
      <c r="AH655" s="1684"/>
      <c r="AI655" s="1684"/>
      <c r="AJ655" s="1684"/>
      <c r="AK655" s="1684"/>
      <c r="AL655" s="1684"/>
      <c r="AM655" s="1684"/>
      <c r="AN655" s="1684"/>
      <c r="AO655" s="1684"/>
      <c r="AP655" s="1684"/>
      <c r="AQ655" s="1684"/>
      <c r="AR655" s="1684"/>
      <c r="AS655" s="1684"/>
      <c r="AT655" s="1684"/>
      <c r="AU655" s="1684"/>
      <c r="AV655" s="1684"/>
      <c r="AW655" s="1684"/>
      <c r="AX655" s="1684"/>
      <c r="AY655" s="1684"/>
      <c r="AZ655" s="1684"/>
      <c r="BA655" s="1684"/>
      <c r="BB655" s="1684"/>
      <c r="BC655" s="1684"/>
      <c r="BD655" s="1684"/>
      <c r="BE655" s="1684"/>
      <c r="BF655" s="1684"/>
      <c r="BG655" s="1684"/>
      <c r="BH655" s="1684"/>
      <c r="BI655" s="1684"/>
      <c r="BJ655" s="1684"/>
      <c r="BK655" s="1684"/>
      <c r="BL655" s="1684"/>
      <c r="BM655" s="1684"/>
      <c r="BN655" s="1684"/>
      <c r="BO655" s="1684"/>
      <c r="BP655" s="1684"/>
      <c r="BQ655" s="1684"/>
      <c r="BR655" s="1684"/>
      <c r="BS655" s="1684"/>
      <c r="BT655" s="1684"/>
      <c r="BU655" s="1684"/>
      <c r="BV655" s="1684"/>
      <c r="BW655" s="1684"/>
      <c r="BX655" s="1684"/>
      <c r="BY655" s="1684"/>
      <c r="BZ655" s="1684"/>
      <c r="CA655" s="1684"/>
      <c r="CB655" s="1684"/>
      <c r="CC655" s="1684"/>
      <c r="CD655" s="1684"/>
      <c r="CE655" s="1684"/>
      <c r="CF655" s="1684"/>
      <c r="CG655" s="1684"/>
      <c r="CH655" s="1684"/>
      <c r="CI655" s="1684"/>
      <c r="CJ655" s="1684"/>
      <c r="CK655" s="1684"/>
      <c r="CL655" s="1684"/>
      <c r="CM655" s="1684"/>
      <c r="CN655" s="1684"/>
      <c r="CO655" s="1684"/>
    </row>
    <row r="656" spans="1:93" s="1391" customFormat="1" ht="15" x14ac:dyDescent="0.2">
      <c r="A656" s="1684"/>
      <c r="B656" s="1684"/>
      <c r="C656" s="4680" t="s">
        <v>3693</v>
      </c>
      <c r="D656" s="4681"/>
      <c r="E656" s="4681"/>
      <c r="F656" s="4681"/>
      <c r="G656" s="4681"/>
      <c r="H656" s="4681"/>
      <c r="I656" s="4681"/>
      <c r="J656" s="4681"/>
      <c r="K656" s="4681"/>
      <c r="L656" s="4681"/>
      <c r="M656" s="4681"/>
      <c r="N656" s="4681"/>
      <c r="O656" s="4681"/>
      <c r="P656" s="4681"/>
      <c r="Q656" s="4682"/>
      <c r="R656"/>
      <c r="S656" s="1684"/>
      <c r="T656" s="1684"/>
      <c r="U656" s="1684"/>
      <c r="V656" s="1684"/>
      <c r="W656" s="1684"/>
      <c r="X656" s="1684"/>
      <c r="Y656" s="1684"/>
      <c r="Z656" s="1684"/>
      <c r="AA656" s="1684"/>
      <c r="AB656" s="1684"/>
      <c r="AC656" s="1684"/>
      <c r="AD656" s="1684"/>
      <c r="AE656" s="1684"/>
      <c r="AF656" s="1684"/>
      <c r="AG656" s="1684"/>
      <c r="AH656" s="1684"/>
      <c r="AI656" s="1684"/>
      <c r="AJ656" s="1684"/>
      <c r="AK656" s="1684"/>
      <c r="AL656" s="1684"/>
      <c r="AM656" s="1684"/>
      <c r="AN656" s="1684"/>
      <c r="AO656" s="1684"/>
      <c r="AP656" s="1684"/>
      <c r="AQ656" s="1684"/>
      <c r="AR656" s="1684"/>
      <c r="AS656" s="1684"/>
      <c r="AT656" s="1684"/>
      <c r="AU656" s="1684"/>
      <c r="AV656" s="1684"/>
      <c r="AW656" s="1684"/>
      <c r="AX656" s="1684"/>
      <c r="AY656" s="1684"/>
      <c r="AZ656" s="1684"/>
      <c r="BA656" s="1684"/>
      <c r="BB656" s="1684"/>
      <c r="BC656" s="1684"/>
      <c r="BD656" s="1684"/>
      <c r="BE656" s="1684"/>
      <c r="BF656" s="1684"/>
      <c r="BG656" s="1684"/>
      <c r="BH656" s="1684"/>
      <c r="BI656" s="1684"/>
      <c r="BJ656" s="1684"/>
      <c r="BK656" s="1684"/>
      <c r="BL656" s="1684"/>
      <c r="BM656" s="1684"/>
      <c r="BN656" s="1684"/>
      <c r="BO656" s="1684"/>
      <c r="BP656" s="1684"/>
      <c r="BQ656" s="1684"/>
      <c r="BR656" s="1684"/>
      <c r="BS656" s="1684"/>
      <c r="BT656" s="1684"/>
      <c r="BU656" s="1684"/>
      <c r="BV656" s="1684"/>
      <c r="BW656" s="1684"/>
      <c r="BX656" s="1684"/>
      <c r="BY656" s="1684"/>
      <c r="BZ656" s="1684"/>
      <c r="CA656" s="1684"/>
      <c r="CB656" s="1684"/>
      <c r="CC656" s="1684"/>
      <c r="CD656" s="1684"/>
      <c r="CE656" s="1684"/>
      <c r="CF656" s="1684"/>
      <c r="CG656" s="1684"/>
      <c r="CH656" s="1684"/>
      <c r="CI656" s="1684"/>
      <c r="CJ656" s="1684"/>
      <c r="CK656" s="1684"/>
      <c r="CL656" s="1684"/>
      <c r="CM656" s="1684"/>
      <c r="CN656" s="1684"/>
      <c r="CO656" s="1684"/>
    </row>
    <row r="657" spans="1:93" s="1391" customFormat="1" ht="15" x14ac:dyDescent="0.2">
      <c r="A657" s="1684"/>
      <c r="B657" s="1684"/>
      <c r="C657" s="4680"/>
      <c r="D657" s="4681"/>
      <c r="E657" s="4681"/>
      <c r="F657" s="4681"/>
      <c r="G657" s="4681"/>
      <c r="H657" s="4681"/>
      <c r="I657" s="4681"/>
      <c r="J657" s="4681"/>
      <c r="K657" s="4681"/>
      <c r="L657" s="4681"/>
      <c r="M657" s="4681"/>
      <c r="N657" s="4681"/>
      <c r="O657" s="4681"/>
      <c r="P657" s="4681"/>
      <c r="Q657" s="4682"/>
      <c r="R657"/>
      <c r="S657" s="1684"/>
      <c r="T657" s="1684"/>
      <c r="U657" s="1684"/>
      <c r="V657" s="1684"/>
      <c r="W657" s="1684"/>
      <c r="X657" s="1684"/>
      <c r="Y657" s="1684"/>
      <c r="Z657" s="1684"/>
      <c r="AA657" s="1684"/>
      <c r="AB657" s="1684"/>
      <c r="AC657" s="1684"/>
      <c r="AD657" s="1684"/>
      <c r="AE657" s="1684"/>
      <c r="AF657" s="1684"/>
      <c r="AG657" s="1684"/>
      <c r="AH657" s="1684"/>
      <c r="AI657" s="1684"/>
      <c r="AJ657" s="1684"/>
      <c r="AK657" s="1684"/>
      <c r="AL657" s="1684"/>
      <c r="AM657" s="1684"/>
      <c r="AN657" s="1684"/>
      <c r="AO657" s="1684"/>
      <c r="AP657" s="1684"/>
      <c r="AQ657" s="1684"/>
      <c r="AR657" s="1684"/>
      <c r="AS657" s="1684"/>
      <c r="AT657" s="1684"/>
      <c r="AU657" s="1684"/>
      <c r="AV657" s="1684"/>
      <c r="AW657" s="1684"/>
      <c r="AX657" s="1684"/>
      <c r="AY657" s="1684"/>
      <c r="AZ657" s="1684"/>
      <c r="BA657" s="1684"/>
      <c r="BB657" s="1684"/>
      <c r="BC657" s="1684"/>
      <c r="BD657" s="1684"/>
      <c r="BE657" s="1684"/>
      <c r="BF657" s="1684"/>
      <c r="BG657" s="1684"/>
      <c r="BH657" s="1684"/>
      <c r="BI657" s="1684"/>
      <c r="BJ657" s="1684"/>
      <c r="BK657" s="1684"/>
      <c r="BL657" s="1684"/>
      <c r="BM657" s="1684"/>
      <c r="BN657" s="1684"/>
      <c r="BO657" s="1684"/>
      <c r="BP657" s="1684"/>
      <c r="BQ657" s="1684"/>
      <c r="BR657" s="1684"/>
      <c r="BS657" s="1684"/>
      <c r="BT657" s="1684"/>
      <c r="BU657" s="1684"/>
      <c r="BV657" s="1684"/>
      <c r="BW657" s="1684"/>
      <c r="BX657" s="1684"/>
      <c r="BY657" s="1684"/>
      <c r="BZ657" s="1684"/>
      <c r="CA657" s="1684"/>
      <c r="CB657" s="1684"/>
      <c r="CC657" s="1684"/>
      <c r="CD657" s="1684"/>
      <c r="CE657" s="1684"/>
      <c r="CF657" s="1684"/>
      <c r="CG657" s="1684"/>
      <c r="CH657" s="1684"/>
      <c r="CI657" s="1684"/>
      <c r="CJ657" s="1684"/>
      <c r="CK657" s="1684"/>
      <c r="CL657" s="1684"/>
      <c r="CM657" s="1684"/>
      <c r="CN657" s="1684"/>
      <c r="CO657" s="1684"/>
    </row>
    <row r="658" spans="1:93" s="1391" customFormat="1" ht="15" x14ac:dyDescent="0.2">
      <c r="A658" s="1684"/>
      <c r="B658" s="1684"/>
      <c r="C658" s="2013"/>
      <c r="D658" s="5"/>
      <c r="E658" s="5">
        <v>1</v>
      </c>
      <c r="F658" s="5">
        <v>2</v>
      </c>
      <c r="G658" s="5">
        <v>3</v>
      </c>
      <c r="H658" s="5">
        <v>4</v>
      </c>
      <c r="I658" s="5">
        <v>5</v>
      </c>
      <c r="J658" s="5">
        <v>6</v>
      </c>
      <c r="K658" s="5">
        <v>7</v>
      </c>
      <c r="L658" s="5">
        <v>8</v>
      </c>
      <c r="M658" s="5">
        <v>9</v>
      </c>
      <c r="N658" s="5">
        <v>10</v>
      </c>
      <c r="O658" s="5">
        <v>11</v>
      </c>
      <c r="P658" s="5">
        <v>12</v>
      </c>
      <c r="Q658" s="1160"/>
      <c r="R658"/>
      <c r="S658" s="1684"/>
      <c r="T658" s="1684"/>
      <c r="U658" s="1684"/>
      <c r="V658" s="1684"/>
      <c r="W658" s="1684"/>
      <c r="X658" s="1684"/>
      <c r="Y658" s="1684"/>
      <c r="Z658" s="1684"/>
      <c r="AA658" s="1684"/>
      <c r="AB658" s="1684"/>
      <c r="AC658" s="1684"/>
      <c r="AD658" s="1684"/>
      <c r="AE658" s="1684"/>
      <c r="AF658" s="1684"/>
      <c r="AG658" s="1684"/>
      <c r="AH658" s="1684"/>
      <c r="AI658" s="1684"/>
      <c r="AJ658" s="1684"/>
      <c r="AK658" s="1684"/>
      <c r="AL658" s="1684"/>
      <c r="AM658" s="1684"/>
      <c r="AN658" s="1684"/>
      <c r="AO658" s="1684"/>
      <c r="AP658" s="1684"/>
      <c r="AQ658" s="1684"/>
      <c r="AR658" s="1684"/>
      <c r="AS658" s="1684"/>
      <c r="AT658" s="1684"/>
      <c r="AU658" s="1684"/>
      <c r="AV658" s="1684"/>
      <c r="AW658" s="1684"/>
      <c r="AX658" s="1684"/>
      <c r="AY658" s="1684"/>
      <c r="AZ658" s="1684"/>
      <c r="BA658" s="1684"/>
      <c r="BB658" s="1684"/>
      <c r="BC658" s="1684"/>
      <c r="BD658" s="1684"/>
      <c r="BE658" s="1684"/>
      <c r="BF658" s="1684"/>
      <c r="BG658" s="1684"/>
      <c r="BH658" s="1684"/>
      <c r="BI658" s="1684"/>
      <c r="BJ658" s="1684"/>
      <c r="BK658" s="1684"/>
      <c r="BL658" s="1684"/>
      <c r="BM658" s="1684"/>
      <c r="BN658" s="1684"/>
      <c r="BO658" s="1684"/>
      <c r="BP658" s="1684"/>
      <c r="BQ658" s="1684"/>
      <c r="BR658" s="1684"/>
      <c r="BS658" s="1684"/>
      <c r="BT658" s="1684"/>
      <c r="BU658" s="1684"/>
      <c r="BV658" s="1684"/>
      <c r="BW658" s="1684"/>
      <c r="BX658" s="1684"/>
      <c r="BY658" s="1684"/>
      <c r="BZ658" s="1684"/>
      <c r="CA658" s="1684"/>
      <c r="CB658" s="1684"/>
      <c r="CC658" s="1684"/>
      <c r="CD658" s="1684"/>
      <c r="CE658" s="1684"/>
      <c r="CF658" s="1684"/>
      <c r="CG658" s="1684"/>
      <c r="CH658" s="1684"/>
      <c r="CI658" s="1684"/>
      <c r="CJ658" s="1684"/>
      <c r="CK658" s="1684"/>
      <c r="CL658" s="1684"/>
      <c r="CM658" s="1684"/>
      <c r="CN658" s="1684"/>
      <c r="CO658" s="1684"/>
    </row>
    <row r="659" spans="1:93" s="1391" customFormat="1" ht="15" x14ac:dyDescent="0.2">
      <c r="A659" s="1684"/>
      <c r="B659" s="1684"/>
      <c r="C659" s="2013">
        <v>8</v>
      </c>
      <c r="D659" s="5">
        <v>5.6950000000000003</v>
      </c>
      <c r="E659" s="5">
        <v>143</v>
      </c>
      <c r="F659" s="5">
        <v>158</v>
      </c>
      <c r="G659" s="5">
        <v>172</v>
      </c>
      <c r="H659" s="5">
        <v>186</v>
      </c>
      <c r="I659" s="5">
        <v>200</v>
      </c>
      <c r="J659" s="5">
        <v>214</v>
      </c>
      <c r="K659" s="5">
        <v>227</v>
      </c>
      <c r="L659" s="5">
        <v>242</v>
      </c>
      <c r="M659" s="5">
        <v>254</v>
      </c>
      <c r="N659" s="5">
        <v>268</v>
      </c>
      <c r="O659" s="5">
        <v>281</v>
      </c>
      <c r="P659" s="5">
        <v>294</v>
      </c>
      <c r="Q659" s="1160">
        <v>78</v>
      </c>
      <c r="R659"/>
      <c r="S659" s="1684"/>
      <c r="T659" s="1684"/>
      <c r="U659" s="1684"/>
      <c r="V659" s="1684"/>
      <c r="W659" s="1684"/>
      <c r="X659" s="1684"/>
      <c r="Y659" s="1684"/>
      <c r="Z659" s="1684"/>
      <c r="AA659" s="1684"/>
      <c r="AB659" s="1684"/>
      <c r="AC659" s="1684"/>
      <c r="AD659" s="1684"/>
      <c r="AE659" s="1684"/>
      <c r="AF659" s="1684"/>
      <c r="AG659" s="1684"/>
      <c r="AH659" s="1684"/>
      <c r="AI659" s="1684"/>
      <c r="AJ659" s="1684"/>
      <c r="AK659" s="1684"/>
      <c r="AL659" s="1684"/>
      <c r="AM659" s="1684"/>
      <c r="AN659" s="1684"/>
      <c r="AO659" s="1684"/>
      <c r="AP659" s="1684"/>
      <c r="AQ659" s="1684"/>
      <c r="AR659" s="1684"/>
      <c r="AS659" s="1684"/>
      <c r="AT659" s="1684"/>
      <c r="AU659" s="1684"/>
      <c r="AV659" s="1684"/>
      <c r="AW659" s="1684"/>
      <c r="AX659" s="1684"/>
      <c r="AY659" s="1684"/>
      <c r="AZ659" s="1684"/>
      <c r="BA659" s="1684"/>
      <c r="BB659" s="1684"/>
      <c r="BC659" s="1684"/>
      <c r="BD659" s="1684"/>
      <c r="BE659" s="1684"/>
      <c r="BF659" s="1684"/>
      <c r="BG659" s="1684"/>
      <c r="BH659" s="1684"/>
      <c r="BI659" s="1684"/>
      <c r="BJ659" s="1684"/>
      <c r="BK659" s="1684"/>
      <c r="BL659" s="1684"/>
      <c r="BM659" s="1684"/>
      <c r="BN659" s="1684"/>
      <c r="BO659" s="1684"/>
      <c r="BP659" s="1684"/>
      <c r="BQ659" s="1684"/>
      <c r="BR659" s="1684"/>
      <c r="BS659" s="1684"/>
      <c r="BT659" s="1684"/>
      <c r="BU659" s="1684"/>
      <c r="BV659" s="1684"/>
      <c r="BW659" s="1684"/>
      <c r="BX659" s="1684"/>
      <c r="BY659" s="1684"/>
      <c r="BZ659" s="1684"/>
      <c r="CA659" s="1684"/>
      <c r="CB659" s="1684"/>
      <c r="CC659" s="1684"/>
      <c r="CD659" s="1684"/>
      <c r="CE659" s="1684"/>
      <c r="CF659" s="1684"/>
      <c r="CG659" s="1684"/>
      <c r="CH659" s="1684"/>
      <c r="CI659" s="1684"/>
      <c r="CJ659" s="1684"/>
      <c r="CK659" s="1684"/>
      <c r="CL659" s="1684"/>
      <c r="CM659" s="1684"/>
      <c r="CN659" s="1684"/>
      <c r="CO659" s="1684"/>
    </row>
    <row r="660" spans="1:93" s="1391" customFormat="1" ht="15" x14ac:dyDescent="0.2">
      <c r="A660" s="1684"/>
      <c r="B660" s="1684"/>
      <c r="C660" s="2013">
        <v>9</v>
      </c>
      <c r="D660" s="5">
        <v>6.0350000000000001</v>
      </c>
      <c r="E660" s="5">
        <v>156</v>
      </c>
      <c r="F660" s="5">
        <v>172</v>
      </c>
      <c r="G660" s="5">
        <v>188</v>
      </c>
      <c r="H660" s="5">
        <v>203</v>
      </c>
      <c r="I660" s="5">
        <v>218</v>
      </c>
      <c r="J660" s="5">
        <v>233</v>
      </c>
      <c r="K660" s="5">
        <v>248</v>
      </c>
      <c r="L660" s="5">
        <v>263</v>
      </c>
      <c r="M660" s="5">
        <v>277</v>
      </c>
      <c r="N660" s="5">
        <v>291</v>
      </c>
      <c r="O660" s="5">
        <v>306</v>
      </c>
      <c r="P660" s="5">
        <v>320</v>
      </c>
      <c r="Q660" s="1160">
        <v>79</v>
      </c>
      <c r="R660"/>
      <c r="S660" s="1684"/>
      <c r="T660" s="1684"/>
      <c r="U660" s="1684"/>
      <c r="V660" s="1684"/>
      <c r="W660" s="1684"/>
      <c r="X660" s="1684"/>
      <c r="Y660" s="1684"/>
      <c r="Z660" s="1684"/>
      <c r="AA660" s="1684"/>
      <c r="AB660" s="1684"/>
      <c r="AC660" s="1684"/>
      <c r="AD660" s="1684"/>
      <c r="AE660" s="1684"/>
      <c r="AF660" s="1684"/>
      <c r="AG660" s="1684"/>
      <c r="AH660" s="1684"/>
      <c r="AI660" s="1684"/>
      <c r="AJ660" s="1684"/>
      <c r="AK660" s="1684"/>
      <c r="AL660" s="1684"/>
      <c r="AM660" s="1684"/>
      <c r="AN660" s="1684"/>
      <c r="AO660" s="1684"/>
      <c r="AP660" s="1684"/>
      <c r="AQ660" s="1684"/>
      <c r="AR660" s="1684"/>
      <c r="AS660" s="1684"/>
      <c r="AT660" s="1684"/>
      <c r="AU660" s="1684"/>
      <c r="AV660" s="1684"/>
      <c r="AW660" s="1684"/>
      <c r="AX660" s="1684"/>
      <c r="AY660" s="1684"/>
      <c r="AZ660" s="1684"/>
      <c r="BA660" s="1684"/>
      <c r="BB660" s="1684"/>
      <c r="BC660" s="1684"/>
      <c r="BD660" s="1684"/>
      <c r="BE660" s="1684"/>
      <c r="BF660" s="1684"/>
      <c r="BG660" s="1684"/>
      <c r="BH660" s="1684"/>
      <c r="BI660" s="1684"/>
      <c r="BJ660" s="1684"/>
      <c r="BK660" s="1684"/>
      <c r="BL660" s="1684"/>
      <c r="BM660" s="1684"/>
      <c r="BN660" s="1684"/>
      <c r="BO660" s="1684"/>
      <c r="BP660" s="1684"/>
      <c r="BQ660" s="1684"/>
      <c r="BR660" s="1684"/>
      <c r="BS660" s="1684"/>
      <c r="BT660" s="1684"/>
      <c r="BU660" s="1684"/>
      <c r="BV660" s="1684"/>
      <c r="BW660" s="1684"/>
      <c r="BX660" s="1684"/>
      <c r="BY660" s="1684"/>
      <c r="BZ660" s="1684"/>
      <c r="CA660" s="1684"/>
      <c r="CB660" s="1684"/>
      <c r="CC660" s="1684"/>
      <c r="CD660" s="1684"/>
      <c r="CE660" s="1684"/>
      <c r="CF660" s="1684"/>
      <c r="CG660" s="1684"/>
      <c r="CH660" s="1684"/>
      <c r="CI660" s="1684"/>
      <c r="CJ660" s="1684"/>
      <c r="CK660" s="1684"/>
      <c r="CL660" s="1684"/>
      <c r="CM660" s="1684"/>
      <c r="CN660" s="1684"/>
      <c r="CO660" s="1684"/>
    </row>
    <row r="661" spans="1:93" s="1391" customFormat="1" ht="15" x14ac:dyDescent="0.2">
      <c r="A661" s="1684"/>
      <c r="B661" s="1684"/>
      <c r="C661" s="2013">
        <v>10</v>
      </c>
      <c r="D661" s="5">
        <v>6.3869999999999996</v>
      </c>
      <c r="E661" s="5">
        <v>169</v>
      </c>
      <c r="F661" s="5">
        <v>187</v>
      </c>
      <c r="G661" s="5">
        <v>204</v>
      </c>
      <c r="H661" s="5">
        <v>220</v>
      </c>
      <c r="I661" s="5">
        <v>236</v>
      </c>
      <c r="J661" s="5">
        <v>252</v>
      </c>
      <c r="K661" s="5">
        <v>268</v>
      </c>
      <c r="L661" s="5">
        <v>285</v>
      </c>
      <c r="M661" s="5">
        <v>300</v>
      </c>
      <c r="N661" s="5">
        <v>315</v>
      </c>
      <c r="O661" s="5">
        <v>331</v>
      </c>
      <c r="P661" s="5">
        <v>346</v>
      </c>
      <c r="Q661" s="1160">
        <v>80</v>
      </c>
      <c r="R661"/>
      <c r="S661" s="1684"/>
      <c r="T661" s="1684"/>
      <c r="U661" s="1684"/>
      <c r="V661" s="1684"/>
      <c r="W661" s="1684"/>
      <c r="X661" s="1684"/>
      <c r="Y661" s="1684"/>
      <c r="Z661" s="1684"/>
      <c r="AA661" s="1684"/>
      <c r="AB661" s="1684"/>
      <c r="AC661" s="1684"/>
      <c r="AD661" s="1684"/>
      <c r="AE661" s="1684"/>
      <c r="AF661" s="1684"/>
      <c r="AG661" s="1684"/>
      <c r="AH661" s="1684"/>
      <c r="AI661" s="1684"/>
      <c r="AJ661" s="1684"/>
      <c r="AK661" s="1684"/>
      <c r="AL661" s="1684"/>
      <c r="AM661" s="1684"/>
      <c r="AN661" s="1684"/>
      <c r="AO661" s="1684"/>
      <c r="AP661" s="1684"/>
      <c r="AQ661" s="1684"/>
      <c r="AR661" s="1684"/>
      <c r="AS661" s="1684"/>
      <c r="AT661" s="1684"/>
      <c r="AU661" s="1684"/>
      <c r="AV661" s="1684"/>
      <c r="AW661" s="1684"/>
      <c r="AX661" s="1684"/>
      <c r="AY661" s="1684"/>
      <c r="AZ661" s="1684"/>
      <c r="BA661" s="1684"/>
      <c r="BB661" s="1684"/>
      <c r="BC661" s="1684"/>
      <c r="BD661" s="1684"/>
      <c r="BE661" s="1684"/>
      <c r="BF661" s="1684"/>
      <c r="BG661" s="1684"/>
      <c r="BH661" s="1684"/>
      <c r="BI661" s="1684"/>
      <c r="BJ661" s="1684"/>
      <c r="BK661" s="1684"/>
      <c r="BL661" s="1684"/>
      <c r="BM661" s="1684"/>
      <c r="BN661" s="1684"/>
      <c r="BO661" s="1684"/>
      <c r="BP661" s="1684"/>
      <c r="BQ661" s="1684"/>
      <c r="BR661" s="1684"/>
      <c r="BS661" s="1684"/>
      <c r="BT661" s="1684"/>
      <c r="BU661" s="1684"/>
      <c r="BV661" s="1684"/>
      <c r="BW661" s="1684"/>
      <c r="BX661" s="1684"/>
      <c r="BY661" s="1684"/>
      <c r="BZ661" s="1684"/>
      <c r="CA661" s="1684"/>
      <c r="CB661" s="1684"/>
      <c r="CC661" s="1684"/>
      <c r="CD661" s="1684"/>
      <c r="CE661" s="1684"/>
      <c r="CF661" s="1684"/>
      <c r="CG661" s="1684"/>
      <c r="CH661" s="1684"/>
      <c r="CI661" s="1684"/>
      <c r="CJ661" s="1684"/>
      <c r="CK661" s="1684"/>
      <c r="CL661" s="1684"/>
      <c r="CM661" s="1684"/>
      <c r="CN661" s="1684"/>
      <c r="CO661" s="1684"/>
    </row>
    <row r="662" spans="1:93" s="1391" customFormat="1" ht="15" x14ac:dyDescent="0.2">
      <c r="A662" s="1684"/>
      <c r="B662" s="1684"/>
      <c r="C662" s="2013">
        <v>11</v>
      </c>
      <c r="D662" s="5">
        <v>6.7750000000000004</v>
      </c>
      <c r="E662" s="5">
        <v>184</v>
      </c>
      <c r="F662" s="5">
        <v>203</v>
      </c>
      <c r="G662" s="5">
        <v>221</v>
      </c>
      <c r="H662" s="5">
        <v>239</v>
      </c>
      <c r="I662" s="5">
        <v>257</v>
      </c>
      <c r="J662" s="5">
        <v>274</v>
      </c>
      <c r="K662" s="5">
        <v>291</v>
      </c>
      <c r="L662" s="5">
        <v>309</v>
      </c>
      <c r="M662" s="5">
        <v>325</v>
      </c>
      <c r="N662" s="5">
        <v>341</v>
      </c>
      <c r="O662" s="5">
        <v>357</v>
      </c>
      <c r="P662" s="5">
        <v>374</v>
      </c>
      <c r="Q662" s="1160">
        <v>81</v>
      </c>
      <c r="R662"/>
      <c r="S662" s="1684"/>
      <c r="T662" s="1684"/>
      <c r="U662" s="1684"/>
      <c r="V662" s="1684"/>
      <c r="W662" s="1684"/>
      <c r="X662" s="1684"/>
      <c r="Y662" s="1684"/>
      <c r="Z662" s="1684"/>
      <c r="AA662" s="1684"/>
      <c r="AB662" s="1684"/>
      <c r="AC662" s="1684"/>
      <c r="AD662" s="1684"/>
      <c r="AE662" s="1684"/>
      <c r="AF662" s="1684"/>
      <c r="AG662" s="1684"/>
      <c r="AH662" s="1684"/>
      <c r="AI662" s="1684"/>
      <c r="AJ662" s="1684"/>
      <c r="AK662" s="1684"/>
      <c r="AL662" s="1684"/>
      <c r="AM662" s="1684"/>
      <c r="AN662" s="1684"/>
      <c r="AO662" s="1684"/>
      <c r="AP662" s="1684"/>
      <c r="AQ662" s="1684"/>
      <c r="AR662" s="1684"/>
      <c r="AS662" s="1684"/>
      <c r="AT662" s="1684"/>
      <c r="AU662" s="1684"/>
      <c r="AV662" s="1684"/>
      <c r="AW662" s="1684"/>
      <c r="AX662" s="1684"/>
      <c r="AY662" s="1684"/>
      <c r="AZ662" s="1684"/>
      <c r="BA662" s="1684"/>
      <c r="BB662" s="1684"/>
      <c r="BC662" s="1684"/>
      <c r="BD662" s="1684"/>
      <c r="BE662" s="1684"/>
      <c r="BF662" s="1684"/>
      <c r="BG662" s="1684"/>
      <c r="BH662" s="1684"/>
      <c r="BI662" s="1684"/>
      <c r="BJ662" s="1684"/>
      <c r="BK662" s="1684"/>
      <c r="BL662" s="1684"/>
      <c r="BM662" s="1684"/>
      <c r="BN662" s="1684"/>
      <c r="BO662" s="1684"/>
      <c r="BP662" s="1684"/>
      <c r="BQ662" s="1684"/>
      <c r="BR662" s="1684"/>
      <c r="BS662" s="1684"/>
      <c r="BT662" s="1684"/>
      <c r="BU662" s="1684"/>
      <c r="BV662" s="1684"/>
      <c r="BW662" s="1684"/>
      <c r="BX662" s="1684"/>
      <c r="BY662" s="1684"/>
      <c r="BZ662" s="1684"/>
      <c r="CA662" s="1684"/>
      <c r="CB662" s="1684"/>
      <c r="CC662" s="1684"/>
      <c r="CD662" s="1684"/>
      <c r="CE662" s="1684"/>
      <c r="CF662" s="1684"/>
      <c r="CG662" s="1684"/>
      <c r="CH662" s="1684"/>
      <c r="CI662" s="1684"/>
      <c r="CJ662" s="1684"/>
      <c r="CK662" s="1684"/>
      <c r="CL662" s="1684"/>
      <c r="CM662" s="1684"/>
      <c r="CN662" s="1684"/>
      <c r="CO662" s="1684"/>
    </row>
    <row r="663" spans="1:93" s="1391" customFormat="1" ht="15" x14ac:dyDescent="0.2">
      <c r="A663" s="1684"/>
      <c r="B663" s="1684"/>
      <c r="C663" s="2013">
        <v>12</v>
      </c>
      <c r="D663" s="5">
        <v>7.1749999999999998</v>
      </c>
      <c r="E663" s="5">
        <v>199</v>
      </c>
      <c r="F663" s="5">
        <v>220</v>
      </c>
      <c r="G663" s="5">
        <v>239</v>
      </c>
      <c r="H663" s="5">
        <v>258</v>
      </c>
      <c r="I663" s="5">
        <v>277</v>
      </c>
      <c r="J663" s="5">
        <v>295</v>
      </c>
      <c r="K663" s="5">
        <v>314</v>
      </c>
      <c r="L663" s="5">
        <v>333</v>
      </c>
      <c r="M663" s="5">
        <v>350</v>
      </c>
      <c r="N663" s="5">
        <v>368</v>
      </c>
      <c r="O663" s="5">
        <v>385</v>
      </c>
      <c r="P663" s="5">
        <v>403</v>
      </c>
      <c r="Q663" s="1160">
        <v>82</v>
      </c>
      <c r="R663"/>
      <c r="S663" s="1684"/>
      <c r="T663" s="1684"/>
      <c r="U663" s="1684"/>
      <c r="V663" s="1684"/>
      <c r="W663" s="1684"/>
      <c r="X663" s="1684"/>
      <c r="Y663" s="1684"/>
      <c r="Z663" s="1684"/>
      <c r="AA663" s="1684"/>
      <c r="AB663" s="1684"/>
      <c r="AC663" s="1684"/>
      <c r="AD663" s="1684"/>
      <c r="AE663" s="1684"/>
      <c r="AF663" s="1684"/>
      <c r="AG663" s="1684"/>
      <c r="AH663" s="1684"/>
      <c r="AI663" s="1684"/>
      <c r="AJ663" s="1684"/>
      <c r="AK663" s="1684"/>
      <c r="AL663" s="1684"/>
      <c r="AM663" s="1684"/>
      <c r="AN663" s="1684"/>
      <c r="AO663" s="1684"/>
      <c r="AP663" s="1684"/>
      <c r="AQ663" s="1684"/>
      <c r="AR663" s="1684"/>
      <c r="AS663" s="1684"/>
      <c r="AT663" s="1684"/>
      <c r="AU663" s="1684"/>
      <c r="AV663" s="1684"/>
      <c r="AW663" s="1684"/>
      <c r="AX663" s="1684"/>
      <c r="AY663" s="1684"/>
      <c r="AZ663" s="1684"/>
      <c r="BA663" s="1684"/>
      <c r="BB663" s="1684"/>
      <c r="BC663" s="1684"/>
      <c r="BD663" s="1684"/>
      <c r="BE663" s="1684"/>
      <c r="BF663" s="1684"/>
      <c r="BG663" s="1684"/>
      <c r="BH663" s="1684"/>
      <c r="BI663" s="1684"/>
      <c r="BJ663" s="1684"/>
      <c r="BK663" s="1684"/>
      <c r="BL663" s="1684"/>
      <c r="BM663" s="1684"/>
      <c r="BN663" s="1684"/>
      <c r="BO663" s="1684"/>
      <c r="BP663" s="1684"/>
      <c r="BQ663" s="1684"/>
      <c r="BR663" s="1684"/>
      <c r="BS663" s="1684"/>
      <c r="BT663" s="1684"/>
      <c r="BU663" s="1684"/>
      <c r="BV663" s="1684"/>
      <c r="BW663" s="1684"/>
      <c r="BX663" s="1684"/>
      <c r="BY663" s="1684"/>
      <c r="BZ663" s="1684"/>
      <c r="CA663" s="1684"/>
      <c r="CB663" s="1684"/>
      <c r="CC663" s="1684"/>
      <c r="CD663" s="1684"/>
      <c r="CE663" s="1684"/>
      <c r="CF663" s="1684"/>
      <c r="CG663" s="1684"/>
      <c r="CH663" s="1684"/>
      <c r="CI663" s="1684"/>
      <c r="CJ663" s="1684"/>
      <c r="CK663" s="1684"/>
      <c r="CL663" s="1684"/>
      <c r="CM663" s="1684"/>
      <c r="CN663" s="1684"/>
      <c r="CO663" s="1684"/>
    </row>
    <row r="664" spans="1:93" s="1391" customFormat="1" ht="15" x14ac:dyDescent="0.2">
      <c r="A664" s="1684"/>
      <c r="B664" s="1684"/>
      <c r="C664" s="2013">
        <v>13</v>
      </c>
      <c r="D664" s="5">
        <v>7.5759999999999996</v>
      </c>
      <c r="E664" s="5">
        <v>214</v>
      </c>
      <c r="F664" s="5">
        <v>236</v>
      </c>
      <c r="G664" s="5">
        <v>256</v>
      </c>
      <c r="H664" s="5">
        <v>277</v>
      </c>
      <c r="I664" s="5">
        <v>297</v>
      </c>
      <c r="J664" s="5">
        <v>317</v>
      </c>
      <c r="K664" s="5">
        <v>336</v>
      </c>
      <c r="L664" s="5">
        <v>357</v>
      </c>
      <c r="M664" s="5">
        <v>373</v>
      </c>
      <c r="N664" s="5">
        <v>394</v>
      </c>
      <c r="O664" s="5">
        <v>412</v>
      </c>
      <c r="P664" s="5">
        <v>431</v>
      </c>
      <c r="Q664" s="1160">
        <v>83</v>
      </c>
      <c r="R664"/>
      <c r="S664" s="1684"/>
      <c r="T664" s="1684"/>
      <c r="U664" s="1684"/>
      <c r="V664" s="1684"/>
      <c r="W664" s="1684"/>
      <c r="X664" s="1684"/>
      <c r="Y664" s="1684"/>
      <c r="Z664" s="1684"/>
      <c r="AA664" s="1684"/>
      <c r="AB664" s="1684"/>
      <c r="AC664" s="1684"/>
      <c r="AD664" s="1684"/>
      <c r="AE664" s="1684"/>
      <c r="AF664" s="1684"/>
      <c r="AG664" s="1684"/>
      <c r="AH664" s="1684"/>
      <c r="AI664" s="1684"/>
      <c r="AJ664" s="1684"/>
      <c r="AK664" s="1684"/>
      <c r="AL664" s="1684"/>
      <c r="AM664" s="1684"/>
      <c r="AN664" s="1684"/>
      <c r="AO664" s="1684"/>
      <c r="AP664" s="1684"/>
      <c r="AQ664" s="1684"/>
      <c r="AR664" s="1684"/>
      <c r="AS664" s="1684"/>
      <c r="AT664" s="1684"/>
      <c r="AU664" s="1684"/>
      <c r="AV664" s="1684"/>
      <c r="AW664" s="1684"/>
      <c r="AX664" s="1684"/>
      <c r="AY664" s="1684"/>
      <c r="AZ664" s="1684"/>
      <c r="BA664" s="1684"/>
      <c r="BB664" s="1684"/>
      <c r="BC664" s="1684"/>
      <c r="BD664" s="1684"/>
      <c r="BE664" s="1684"/>
      <c r="BF664" s="1684"/>
      <c r="BG664" s="1684"/>
      <c r="BH664" s="1684"/>
      <c r="BI664" s="1684"/>
      <c r="BJ664" s="1684"/>
      <c r="BK664" s="1684"/>
      <c r="BL664" s="1684"/>
      <c r="BM664" s="1684"/>
      <c r="BN664" s="1684"/>
      <c r="BO664" s="1684"/>
      <c r="BP664" s="1684"/>
      <c r="BQ664" s="1684"/>
      <c r="BR664" s="1684"/>
      <c r="BS664" s="1684"/>
      <c r="BT664" s="1684"/>
      <c r="BU664" s="1684"/>
      <c r="BV664" s="1684"/>
      <c r="BW664" s="1684"/>
      <c r="BX664" s="1684"/>
      <c r="BY664" s="1684"/>
      <c r="BZ664" s="1684"/>
      <c r="CA664" s="1684"/>
      <c r="CB664" s="1684"/>
      <c r="CC664" s="1684"/>
      <c r="CD664" s="1684"/>
      <c r="CE664" s="1684"/>
      <c r="CF664" s="1684"/>
      <c r="CG664" s="1684"/>
      <c r="CH664" s="1684"/>
      <c r="CI664" s="1684"/>
      <c r="CJ664" s="1684"/>
      <c r="CK664" s="1684"/>
      <c r="CL664" s="1684"/>
      <c r="CM664" s="1684"/>
      <c r="CN664" s="1684"/>
      <c r="CO664" s="1684"/>
    </row>
    <row r="665" spans="1:93" s="1391" customFormat="1" ht="15" x14ac:dyDescent="0.2">
      <c r="A665" s="1684"/>
      <c r="B665" s="1684"/>
      <c r="C665" s="2013">
        <v>14</v>
      </c>
      <c r="D665" s="5">
        <v>7.9909999999999997</v>
      </c>
      <c r="E665" s="5">
        <v>229</v>
      </c>
      <c r="F665" s="5">
        <v>252</v>
      </c>
      <c r="G665" s="5">
        <v>274</v>
      </c>
      <c r="H665" s="5">
        <v>296</v>
      </c>
      <c r="I665" s="5">
        <v>317</v>
      </c>
      <c r="J665" s="5">
        <v>339</v>
      </c>
      <c r="K665" s="5">
        <v>359</v>
      </c>
      <c r="L665" s="5">
        <v>381</v>
      </c>
      <c r="M665" s="5">
        <v>400</v>
      </c>
      <c r="N665" s="5">
        <v>420</v>
      </c>
      <c r="O665" s="5">
        <v>440</v>
      </c>
      <c r="P665" s="5">
        <v>459</v>
      </c>
      <c r="Q665" s="1160">
        <v>84</v>
      </c>
      <c r="R665"/>
      <c r="S665" s="1684"/>
      <c r="T665" s="1684"/>
      <c r="U665" s="1684"/>
      <c r="V665" s="1684"/>
      <c r="W665" s="1684"/>
      <c r="X665" s="1684"/>
      <c r="Y665" s="1684"/>
      <c r="Z665" s="1684"/>
      <c r="AA665" s="1684"/>
      <c r="AB665" s="1684"/>
      <c r="AC665" s="1684"/>
      <c r="AD665" s="1684"/>
      <c r="AE665" s="1684"/>
      <c r="AF665" s="1684"/>
      <c r="AG665" s="1684"/>
      <c r="AH665" s="1684"/>
      <c r="AI665" s="1684"/>
      <c r="AJ665" s="1684"/>
      <c r="AK665" s="1684"/>
      <c r="AL665" s="1684"/>
      <c r="AM665" s="1684"/>
      <c r="AN665" s="1684"/>
      <c r="AO665" s="1684"/>
      <c r="AP665" s="1684"/>
      <c r="AQ665" s="1684"/>
      <c r="AR665" s="1684"/>
      <c r="AS665" s="1684"/>
      <c r="AT665" s="1684"/>
      <c r="AU665" s="1684"/>
      <c r="AV665" s="1684"/>
      <c r="AW665" s="1684"/>
      <c r="AX665" s="1684"/>
      <c r="AY665" s="1684"/>
      <c r="AZ665" s="1684"/>
      <c r="BA665" s="1684"/>
      <c r="BB665" s="1684"/>
      <c r="BC665" s="1684"/>
      <c r="BD665" s="1684"/>
      <c r="BE665" s="1684"/>
      <c r="BF665" s="1684"/>
      <c r="BG665" s="1684"/>
      <c r="BH665" s="1684"/>
      <c r="BI665" s="1684"/>
      <c r="BJ665" s="1684"/>
      <c r="BK665" s="1684"/>
      <c r="BL665" s="1684"/>
      <c r="BM665" s="1684"/>
      <c r="BN665" s="1684"/>
      <c r="BO665" s="1684"/>
      <c r="BP665" s="1684"/>
      <c r="BQ665" s="1684"/>
      <c r="BR665" s="1684"/>
      <c r="BS665" s="1684"/>
      <c r="BT665" s="1684"/>
      <c r="BU665" s="1684"/>
      <c r="BV665" s="1684"/>
      <c r="BW665" s="1684"/>
      <c r="BX665" s="1684"/>
      <c r="BY665" s="1684"/>
      <c r="BZ665" s="1684"/>
      <c r="CA665" s="1684"/>
      <c r="CB665" s="1684"/>
      <c r="CC665" s="1684"/>
      <c r="CD665" s="1684"/>
      <c r="CE665" s="1684"/>
      <c r="CF665" s="1684"/>
      <c r="CG665" s="1684"/>
      <c r="CH665" s="1684"/>
      <c r="CI665" s="1684"/>
      <c r="CJ665" s="1684"/>
      <c r="CK665" s="1684"/>
      <c r="CL665" s="1684"/>
      <c r="CM665" s="1684"/>
      <c r="CN665" s="1684"/>
      <c r="CO665" s="1684"/>
    </row>
    <row r="666" spans="1:93" s="1391" customFormat="1" ht="15" x14ac:dyDescent="0.2">
      <c r="A666" s="1684"/>
      <c r="B666" s="1684"/>
      <c r="C666" s="2013">
        <v>15</v>
      </c>
      <c r="D666" s="5">
        <v>8.4109999999999996</v>
      </c>
      <c r="E666" s="5">
        <v>244</v>
      </c>
      <c r="F666" s="5">
        <v>269</v>
      </c>
      <c r="G666" s="5">
        <v>292</v>
      </c>
      <c r="H666" s="5">
        <v>315</v>
      </c>
      <c r="I666" s="5">
        <v>338</v>
      </c>
      <c r="J666" s="5">
        <v>360</v>
      </c>
      <c r="K666" s="5">
        <v>382</v>
      </c>
      <c r="L666" s="5">
        <v>405</v>
      </c>
      <c r="M666" s="5">
        <v>425</v>
      </c>
      <c r="N666" s="5">
        <v>446</v>
      </c>
      <c r="O666" s="5">
        <v>467</v>
      </c>
      <c r="P666" s="5">
        <v>487</v>
      </c>
      <c r="Q666" s="1160">
        <v>85</v>
      </c>
      <c r="R666"/>
      <c r="S666" s="1684"/>
      <c r="T666" s="1684"/>
      <c r="U666" s="1684"/>
      <c r="V666" s="1684"/>
      <c r="W666" s="1684"/>
      <c r="X666" s="1684"/>
      <c r="Y666" s="1684"/>
      <c r="Z666" s="1684"/>
      <c r="AA666" s="1684"/>
      <c r="AB666" s="1684"/>
      <c r="AC666" s="1684"/>
      <c r="AD666" s="1684"/>
      <c r="AE666" s="1684"/>
      <c r="AF666" s="1684"/>
      <c r="AG666" s="1684"/>
      <c r="AH666" s="1684"/>
      <c r="AI666" s="1684"/>
      <c r="AJ666" s="1684"/>
      <c r="AK666" s="1684"/>
      <c r="AL666" s="1684"/>
      <c r="AM666" s="1684"/>
      <c r="AN666" s="1684"/>
      <c r="AO666" s="1684"/>
      <c r="AP666" s="1684"/>
      <c r="AQ666" s="1684"/>
      <c r="AR666" s="1684"/>
      <c r="AS666" s="1684"/>
      <c r="AT666" s="1684"/>
      <c r="AU666" s="1684"/>
      <c r="AV666" s="1684"/>
      <c r="AW666" s="1684"/>
      <c r="AX666" s="1684"/>
      <c r="AY666" s="1684"/>
      <c r="AZ666" s="1684"/>
      <c r="BA666" s="1684"/>
      <c r="BB666" s="1684"/>
      <c r="BC666" s="1684"/>
      <c r="BD666" s="1684"/>
      <c r="BE666" s="1684"/>
      <c r="BF666" s="1684"/>
      <c r="BG666" s="1684"/>
      <c r="BH666" s="1684"/>
      <c r="BI666" s="1684"/>
      <c r="BJ666" s="1684"/>
      <c r="BK666" s="1684"/>
      <c r="BL666" s="1684"/>
      <c r="BM666" s="1684"/>
      <c r="BN666" s="1684"/>
      <c r="BO666" s="1684"/>
      <c r="BP666" s="1684"/>
      <c r="BQ666" s="1684"/>
      <c r="BR666" s="1684"/>
      <c r="BS666" s="1684"/>
      <c r="BT666" s="1684"/>
      <c r="BU666" s="1684"/>
      <c r="BV666" s="1684"/>
      <c r="BW666" s="1684"/>
      <c r="BX666" s="1684"/>
      <c r="BY666" s="1684"/>
      <c r="BZ666" s="1684"/>
      <c r="CA666" s="1684"/>
      <c r="CB666" s="1684"/>
      <c r="CC666" s="1684"/>
      <c r="CD666" s="1684"/>
      <c r="CE666" s="1684"/>
      <c r="CF666" s="1684"/>
      <c r="CG666" s="1684"/>
      <c r="CH666" s="1684"/>
      <c r="CI666" s="1684"/>
      <c r="CJ666" s="1684"/>
      <c r="CK666" s="1684"/>
      <c r="CL666" s="1684"/>
      <c r="CM666" s="1684"/>
      <c r="CN666" s="1684"/>
      <c r="CO666" s="1684"/>
    </row>
    <row r="667" spans="1:93" s="1391" customFormat="1" ht="15" x14ac:dyDescent="0.2">
      <c r="A667" s="1684"/>
      <c r="B667" s="1684"/>
      <c r="C667" s="2013">
        <v>16</v>
      </c>
      <c r="D667" s="5">
        <v>8.9719999999999995</v>
      </c>
      <c r="E667" s="5">
        <v>259</v>
      </c>
      <c r="F667" s="5">
        <v>285</v>
      </c>
      <c r="G667" s="5">
        <v>309</v>
      </c>
      <c r="H667" s="5">
        <v>333</v>
      </c>
      <c r="I667" s="5">
        <v>357</v>
      </c>
      <c r="J667" s="5">
        <v>380</v>
      </c>
      <c r="K667" s="5">
        <v>403</v>
      </c>
      <c r="L667" s="5">
        <v>427</v>
      </c>
      <c r="M667" s="5">
        <v>448</v>
      </c>
      <c r="N667" s="5">
        <v>470</v>
      </c>
      <c r="O667" s="5">
        <v>492</v>
      </c>
      <c r="P667" s="5">
        <v>515</v>
      </c>
      <c r="Q667" s="1160">
        <v>86</v>
      </c>
      <c r="R667"/>
      <c r="S667" s="1684"/>
      <c r="T667" s="1684"/>
      <c r="U667" s="1684"/>
      <c r="V667" s="1684"/>
      <c r="W667" s="1684"/>
      <c r="X667" s="1684"/>
      <c r="Y667" s="1684"/>
      <c r="Z667" s="1684"/>
      <c r="AA667" s="1684"/>
      <c r="AB667" s="1684"/>
      <c r="AC667" s="1684"/>
      <c r="AD667" s="1684"/>
      <c r="AE667" s="1684"/>
      <c r="AF667" s="1684"/>
      <c r="AG667" s="1684"/>
      <c r="AH667" s="1684"/>
      <c r="AI667" s="1684"/>
      <c r="AJ667" s="1684"/>
      <c r="AK667" s="1684"/>
      <c r="AL667" s="1684"/>
      <c r="AM667" s="1684"/>
      <c r="AN667" s="1684"/>
      <c r="AO667" s="1684"/>
      <c r="AP667" s="1684"/>
      <c r="AQ667" s="1684"/>
      <c r="AR667" s="1684"/>
      <c r="AS667" s="1684"/>
      <c r="AT667" s="1684"/>
      <c r="AU667" s="1684"/>
      <c r="AV667" s="1684"/>
      <c r="AW667" s="1684"/>
      <c r="AX667" s="1684"/>
      <c r="AY667" s="1684"/>
      <c r="AZ667" s="1684"/>
      <c r="BA667" s="1684"/>
      <c r="BB667" s="1684"/>
      <c r="BC667" s="1684"/>
      <c r="BD667" s="1684"/>
      <c r="BE667" s="1684"/>
      <c r="BF667" s="1684"/>
      <c r="BG667" s="1684"/>
      <c r="BH667" s="1684"/>
      <c r="BI667" s="1684"/>
      <c r="BJ667" s="1684"/>
      <c r="BK667" s="1684"/>
      <c r="BL667" s="1684"/>
      <c r="BM667" s="1684"/>
      <c r="BN667" s="1684"/>
      <c r="BO667" s="1684"/>
      <c r="BP667" s="1684"/>
      <c r="BQ667" s="1684"/>
      <c r="BR667" s="1684"/>
      <c r="BS667" s="1684"/>
      <c r="BT667" s="1684"/>
      <c r="BU667" s="1684"/>
      <c r="BV667" s="1684"/>
      <c r="BW667" s="1684"/>
      <c r="BX667" s="1684"/>
      <c r="BY667" s="1684"/>
      <c r="BZ667" s="1684"/>
      <c r="CA667" s="1684"/>
      <c r="CB667" s="1684"/>
      <c r="CC667" s="1684"/>
      <c r="CD667" s="1684"/>
      <c r="CE667" s="1684"/>
      <c r="CF667" s="1684"/>
      <c r="CG667" s="1684"/>
      <c r="CH667" s="1684"/>
      <c r="CI667" s="1684"/>
      <c r="CJ667" s="1684"/>
      <c r="CK667" s="1684"/>
      <c r="CL667" s="1684"/>
      <c r="CM667" s="1684"/>
      <c r="CN667" s="1684"/>
      <c r="CO667" s="1684"/>
    </row>
    <row r="668" spans="1:93" s="1391" customFormat="1" ht="15" x14ac:dyDescent="0.2">
      <c r="A668" s="1684"/>
      <c r="B668" s="1684"/>
      <c r="C668" s="5">
        <v>17</v>
      </c>
      <c r="D668" s="5">
        <v>9.5730000000000004</v>
      </c>
      <c r="E668" s="5">
        <v>272</v>
      </c>
      <c r="F668" s="5">
        <v>299</v>
      </c>
      <c r="G668" s="5">
        <v>325</v>
      </c>
      <c r="H668" s="5">
        <v>350</v>
      </c>
      <c r="I668" s="5">
        <v>375</v>
      </c>
      <c r="J668" s="5">
        <v>399</v>
      </c>
      <c r="K668" s="5">
        <v>423</v>
      </c>
      <c r="L668" s="5">
        <v>446</v>
      </c>
      <c r="M668" s="5">
        <v>470</v>
      </c>
      <c r="N668" s="5">
        <v>492</v>
      </c>
      <c r="O668" s="5">
        <v>515</v>
      </c>
      <c r="P668" s="5">
        <v>540</v>
      </c>
      <c r="Q668" s="5">
        <v>87</v>
      </c>
      <c r="R668"/>
      <c r="S668" s="1684"/>
      <c r="T668" s="1684"/>
      <c r="U668" s="1684"/>
      <c r="V668" s="1684"/>
      <c r="W668" s="1684"/>
      <c r="X668" s="1684"/>
      <c r="Y668" s="1684"/>
      <c r="Z668" s="1684"/>
      <c r="AA668" s="1684"/>
      <c r="AB668" s="1684"/>
      <c r="AC668" s="1684"/>
      <c r="AD668" s="1684"/>
      <c r="AE668" s="1684"/>
      <c r="AF668" s="1684"/>
      <c r="AG668" s="1684"/>
      <c r="AH668" s="1684"/>
      <c r="AI668" s="1684"/>
      <c r="AJ668" s="1684"/>
      <c r="AK668" s="1684"/>
      <c r="AL668" s="1684"/>
      <c r="AM668" s="1684"/>
      <c r="AN668" s="1684"/>
      <c r="AO668" s="1684"/>
      <c r="AP668" s="1684"/>
      <c r="AQ668" s="1684"/>
      <c r="AR668" s="1684"/>
      <c r="AS668" s="1684"/>
      <c r="AT668" s="1684"/>
      <c r="AU668" s="1684"/>
      <c r="AV668" s="1684"/>
      <c r="AW668" s="1684"/>
      <c r="AX668" s="1684"/>
      <c r="AY668" s="1684"/>
      <c r="AZ668" s="1684"/>
      <c r="BA668" s="1684"/>
      <c r="BB668" s="1684"/>
      <c r="BC668" s="1684"/>
      <c r="BD668" s="1684"/>
      <c r="BE668" s="1684"/>
      <c r="BF668" s="1684"/>
      <c r="BG668" s="1684"/>
      <c r="BH668" s="1684"/>
      <c r="BI668" s="1684"/>
      <c r="BJ668" s="1684"/>
      <c r="BK668" s="1684"/>
      <c r="BL668" s="1684"/>
      <c r="BM668" s="1684"/>
      <c r="BN668" s="1684"/>
      <c r="BO668" s="1684"/>
      <c r="BP668" s="1684"/>
      <c r="BQ668" s="1684"/>
      <c r="BR668" s="1684"/>
      <c r="BS668" s="1684"/>
      <c r="BT668" s="1684"/>
      <c r="BU668" s="1684"/>
      <c r="BV668" s="1684"/>
      <c r="BW668" s="1684"/>
      <c r="BX668" s="1684"/>
      <c r="BY668" s="1684"/>
      <c r="BZ668" s="1684"/>
      <c r="CA668" s="1684"/>
      <c r="CB668" s="1684"/>
      <c r="CC668" s="1684"/>
      <c r="CD668" s="1684"/>
      <c r="CE668" s="1684"/>
      <c r="CF668" s="1684"/>
      <c r="CG668" s="1684"/>
      <c r="CH668" s="1684"/>
      <c r="CI668" s="1684"/>
      <c r="CJ668" s="1684"/>
      <c r="CK668" s="1684"/>
      <c r="CL668" s="1684"/>
      <c r="CM668" s="1684"/>
      <c r="CN668" s="1684"/>
      <c r="CO668" s="1684"/>
    </row>
    <row r="669" spans="1:93" s="1391" customFormat="1" ht="15" x14ac:dyDescent="0.2">
      <c r="A669" s="1684"/>
      <c r="B669" s="1684"/>
      <c r="C669" s="5">
        <v>18</v>
      </c>
      <c r="D669" s="5">
        <v>9.9139999999999997</v>
      </c>
      <c r="E669" s="5">
        <v>283</v>
      </c>
      <c r="F669" s="5">
        <v>312</v>
      </c>
      <c r="G669" s="5">
        <v>338</v>
      </c>
      <c r="H669" s="5">
        <v>364</v>
      </c>
      <c r="I669" s="5">
        <v>390</v>
      </c>
      <c r="J669" s="5">
        <v>415</v>
      </c>
      <c r="K669" s="5">
        <v>440</v>
      </c>
      <c r="L669" s="5">
        <v>465</v>
      </c>
      <c r="M669" s="5">
        <v>488</v>
      </c>
      <c r="N669" s="5">
        <v>512</v>
      </c>
      <c r="O669" s="5">
        <v>535</v>
      </c>
      <c r="P669" s="5">
        <v>563</v>
      </c>
      <c r="Q669" s="5">
        <v>88</v>
      </c>
      <c r="R669"/>
      <c r="S669" s="1684"/>
      <c r="T669" s="1684"/>
      <c r="U669" s="1684"/>
      <c r="V669" s="1684"/>
      <c r="W669" s="1684"/>
      <c r="X669" s="1684"/>
      <c r="Y669" s="1684"/>
      <c r="Z669" s="1684"/>
      <c r="AA669" s="1684"/>
      <c r="AB669" s="1684"/>
      <c r="AC669" s="1684"/>
      <c r="AD669" s="1684"/>
      <c r="AE669" s="1684"/>
      <c r="AF669" s="1684"/>
      <c r="AG669" s="1684"/>
      <c r="AH669" s="1684"/>
      <c r="AI669" s="1684"/>
      <c r="AJ669" s="1684"/>
      <c r="AK669" s="1684"/>
      <c r="AL669" s="1684"/>
      <c r="AM669" s="1684"/>
      <c r="AN669" s="1684"/>
      <c r="AO669" s="1684"/>
      <c r="AP669" s="1684"/>
      <c r="AQ669" s="1684"/>
      <c r="AR669" s="1684"/>
      <c r="AS669" s="1684"/>
      <c r="AT669" s="1684"/>
      <c r="AU669" s="1684"/>
      <c r="AV669" s="1684"/>
      <c r="AW669" s="1684"/>
      <c r="AX669" s="1684"/>
      <c r="AY669" s="1684"/>
      <c r="AZ669" s="1684"/>
      <c r="BA669" s="1684"/>
      <c r="BB669" s="1684"/>
      <c r="BC669" s="1684"/>
      <c r="BD669" s="1684"/>
      <c r="BE669" s="1684"/>
      <c r="BF669" s="1684"/>
      <c r="BG669" s="1684"/>
      <c r="BH669" s="1684"/>
      <c r="BI669" s="1684"/>
      <c r="BJ669" s="1684"/>
      <c r="BK669" s="1684"/>
      <c r="BL669" s="1684"/>
      <c r="BM669" s="1684"/>
      <c r="BN669" s="1684"/>
      <c r="BO669" s="1684"/>
      <c r="BP669" s="1684"/>
      <c r="BQ669" s="1684"/>
      <c r="BR669" s="1684"/>
      <c r="BS669" s="1684"/>
      <c r="BT669" s="1684"/>
      <c r="BU669" s="1684"/>
      <c r="BV669" s="1684"/>
      <c r="BW669" s="1684"/>
      <c r="BX669" s="1684"/>
      <c r="BY669" s="1684"/>
      <c r="BZ669" s="1684"/>
      <c r="CA669" s="1684"/>
      <c r="CB669" s="1684"/>
      <c r="CC669" s="1684"/>
      <c r="CD669" s="1684"/>
      <c r="CE669" s="1684"/>
      <c r="CF669" s="1684"/>
      <c r="CG669" s="1684"/>
      <c r="CH669" s="1684"/>
      <c r="CI669" s="1684"/>
      <c r="CJ669" s="1684"/>
      <c r="CK669" s="1684"/>
      <c r="CL669" s="1684"/>
      <c r="CM669" s="1684"/>
      <c r="CN669" s="1684"/>
      <c r="CO669" s="1684"/>
    </row>
    <row r="670" spans="1:93" s="1391" customFormat="1" ht="15.75" thickBot="1" x14ac:dyDescent="0.25">
      <c r="A670" s="1684"/>
      <c r="B670" s="1684"/>
      <c r="C670" s="1"/>
      <c r="D670" s="1"/>
      <c r="E670" s="1" t="s">
        <v>1907</v>
      </c>
      <c r="F670" s="1"/>
      <c r="G670" s="1"/>
      <c r="H670" s="1"/>
      <c r="I670" s="1"/>
      <c r="J670" s="1"/>
      <c r="K670" s="1"/>
      <c r="L670" s="1"/>
      <c r="M670" s="1"/>
      <c r="N670" s="1"/>
      <c r="O670" s="1"/>
      <c r="P670" s="1"/>
      <c r="Q670" s="1"/>
      <c r="R670"/>
      <c r="S670" s="1684"/>
      <c r="T670" s="1684"/>
      <c r="U670" s="1684"/>
      <c r="V670" s="1684"/>
      <c r="W670" s="1684"/>
      <c r="X670" s="1684"/>
      <c r="Y670" s="1684"/>
      <c r="Z670" s="1684"/>
      <c r="AA670" s="1684"/>
      <c r="AB670" s="1684"/>
      <c r="AC670" s="1684"/>
      <c r="AD670" s="1684"/>
      <c r="AE670" s="1684"/>
      <c r="AF670" s="1684"/>
      <c r="AG670" s="1684"/>
      <c r="AH670" s="1684"/>
      <c r="AI670" s="1684"/>
      <c r="AJ670" s="1684"/>
      <c r="AK670" s="1684"/>
      <c r="AL670" s="1684"/>
      <c r="AM670" s="1684"/>
      <c r="AN670" s="1684"/>
      <c r="AO670" s="1684"/>
      <c r="AP670" s="1684"/>
      <c r="AQ670" s="1684"/>
      <c r="AR670" s="1684"/>
      <c r="AS670" s="1684"/>
      <c r="AT670" s="1684"/>
      <c r="AU670" s="1684"/>
      <c r="AV670" s="1684"/>
      <c r="AW670" s="1684"/>
      <c r="AX670" s="1684"/>
      <c r="AY670" s="1684"/>
      <c r="AZ670" s="1684"/>
      <c r="BA670" s="1684"/>
      <c r="BB670" s="1684"/>
      <c r="BC670" s="1684"/>
      <c r="BD670" s="1684"/>
      <c r="BE670" s="1684"/>
      <c r="BF670" s="1684"/>
      <c r="BG670" s="1684"/>
      <c r="BH670" s="1684"/>
      <c r="BI670" s="1684"/>
      <c r="BJ670" s="1684"/>
      <c r="BK670" s="1684"/>
      <c r="BL670" s="1684"/>
      <c r="BM670" s="1684"/>
      <c r="BN670" s="1684"/>
      <c r="BO670" s="1684"/>
      <c r="BP670" s="1684"/>
      <c r="BQ670" s="1684"/>
      <c r="BR670" s="1684"/>
      <c r="BS670" s="1684"/>
      <c r="BT670" s="1684"/>
      <c r="BU670" s="1684"/>
      <c r="BV670" s="1684"/>
      <c r="BW670" s="1684"/>
      <c r="BX670" s="1684"/>
      <c r="BY670" s="1684"/>
      <c r="BZ670" s="1684"/>
      <c r="CA670" s="1684"/>
      <c r="CB670" s="1684"/>
      <c r="CC670" s="1684"/>
      <c r="CD670" s="1684"/>
      <c r="CE670" s="1684"/>
      <c r="CF670" s="1684"/>
      <c r="CG670" s="1684"/>
      <c r="CH670" s="1684"/>
      <c r="CI670" s="1684"/>
      <c r="CJ670" s="1684"/>
      <c r="CK670" s="1684"/>
      <c r="CL670" s="1684"/>
      <c r="CM670" s="1684"/>
      <c r="CN670" s="1684"/>
      <c r="CO670" s="1684"/>
    </row>
    <row r="671" spans="1:93" s="1391" customFormat="1" ht="15" x14ac:dyDescent="0.2">
      <c r="A671" s="1684"/>
      <c r="B671" s="1684"/>
      <c r="C671" s="4683" t="s">
        <v>1214</v>
      </c>
      <c r="D671" s="4684"/>
      <c r="E671" s="4684"/>
      <c r="F671" s="4684"/>
      <c r="G671" s="4684"/>
      <c r="H671" s="4684"/>
      <c r="I671" s="4684"/>
      <c r="J671" s="4684"/>
      <c r="K671" s="4684"/>
      <c r="L671" s="4684"/>
      <c r="M671" s="4684"/>
      <c r="N671" s="4684"/>
      <c r="O671" s="4684"/>
      <c r="P671" s="4684"/>
      <c r="Q671" s="4685"/>
      <c r="R671"/>
      <c r="S671" s="1684"/>
      <c r="T671" s="1684"/>
      <c r="U671" s="1684"/>
      <c r="V671" s="1684"/>
      <c r="W671" s="1684"/>
      <c r="X671" s="1684"/>
      <c r="Y671" s="1684"/>
      <c r="Z671" s="1684"/>
      <c r="AA671" s="1684"/>
      <c r="AB671" s="1684"/>
      <c r="AC671" s="1684"/>
      <c r="AD671" s="1684"/>
      <c r="AE671" s="1684"/>
      <c r="AF671" s="1684"/>
      <c r="AG671" s="1684"/>
      <c r="AH671" s="1684"/>
      <c r="AI671" s="1684"/>
      <c r="AJ671" s="1684"/>
      <c r="AK671" s="1684"/>
      <c r="AL671" s="1684"/>
      <c r="AM671" s="1684"/>
      <c r="AN671" s="1684"/>
      <c r="AO671" s="1684"/>
      <c r="AP671" s="1684"/>
      <c r="AQ671" s="1684"/>
      <c r="AR671" s="1684"/>
      <c r="AS671" s="1684"/>
      <c r="AT671" s="1684"/>
      <c r="AU671" s="1684"/>
      <c r="AV671" s="1684"/>
      <c r="AW671" s="1684"/>
      <c r="AX671" s="1684"/>
      <c r="AY671" s="1684"/>
      <c r="AZ671" s="1684"/>
      <c r="BA671" s="1684"/>
      <c r="BB671" s="1684"/>
      <c r="BC671" s="1684"/>
      <c r="BD671" s="1684"/>
      <c r="BE671" s="1684"/>
      <c r="BF671" s="1684"/>
      <c r="BG671" s="1684"/>
      <c r="BH671" s="1684"/>
      <c r="BI671" s="1684"/>
      <c r="BJ671" s="1684"/>
      <c r="BK671" s="1684"/>
      <c r="BL671" s="1684"/>
      <c r="BM671" s="1684"/>
      <c r="BN671" s="1684"/>
      <c r="BO671" s="1684"/>
      <c r="BP671" s="1684"/>
      <c r="BQ671" s="1684"/>
      <c r="BR671" s="1684"/>
      <c r="BS671" s="1684"/>
      <c r="BT671" s="1684"/>
      <c r="BU671" s="1684"/>
      <c r="BV671" s="1684"/>
      <c r="BW671" s="1684"/>
      <c r="BX671" s="1684"/>
      <c r="BY671" s="1684"/>
      <c r="BZ671" s="1684"/>
      <c r="CA671" s="1684"/>
      <c r="CB671" s="1684"/>
      <c r="CC671" s="1684"/>
      <c r="CD671" s="1684"/>
      <c r="CE671" s="1684"/>
      <c r="CF671" s="1684"/>
      <c r="CG671" s="1684"/>
      <c r="CH671" s="1684"/>
      <c r="CI671" s="1684"/>
      <c r="CJ671" s="1684"/>
      <c r="CK671" s="1684"/>
      <c r="CL671" s="1684"/>
      <c r="CM671" s="1684"/>
      <c r="CN671" s="1684"/>
      <c r="CO671" s="1684"/>
    </row>
    <row r="672" spans="1:93" s="1391" customFormat="1" ht="15" x14ac:dyDescent="0.2">
      <c r="A672" s="1684"/>
      <c r="B672" s="1684"/>
      <c r="C672" s="4686"/>
      <c r="D672" s="4385"/>
      <c r="E672" s="4385"/>
      <c r="F672" s="4385"/>
      <c r="G672" s="4385"/>
      <c r="H672" s="4385"/>
      <c r="I672" s="4385"/>
      <c r="J672" s="4385"/>
      <c r="K672" s="4385"/>
      <c r="L672" s="4385"/>
      <c r="M672" s="4385"/>
      <c r="N672" s="4385"/>
      <c r="O672" s="4385"/>
      <c r="P672" s="4385"/>
      <c r="Q672" s="4687"/>
      <c r="R672"/>
      <c r="S672" s="1684"/>
      <c r="T672" s="1684"/>
      <c r="U672" s="1684"/>
      <c r="V672" s="1684"/>
      <c r="W672" s="1684"/>
      <c r="X672" s="1684"/>
      <c r="Y672" s="1684"/>
      <c r="Z672" s="1684"/>
      <c r="AA672" s="1684"/>
      <c r="AB672" s="1684"/>
      <c r="AC672" s="1684"/>
      <c r="AD672" s="1684"/>
      <c r="AE672" s="1684"/>
      <c r="AF672" s="1684"/>
      <c r="AG672" s="1684"/>
      <c r="AH672" s="1684"/>
      <c r="AI672" s="1684"/>
      <c r="AJ672" s="1684"/>
      <c r="AK672" s="1684"/>
      <c r="AL672" s="1684"/>
      <c r="AM672" s="1684"/>
      <c r="AN672" s="1684"/>
      <c r="AO672" s="1684"/>
      <c r="AP672" s="1684"/>
      <c r="AQ672" s="1684"/>
      <c r="AR672" s="1684"/>
      <c r="AS672" s="1684"/>
      <c r="AT672" s="1684"/>
      <c r="AU672" s="1684"/>
      <c r="AV672" s="1684"/>
      <c r="AW672" s="1684"/>
      <c r="AX672" s="1684"/>
      <c r="AY672" s="1684"/>
      <c r="AZ672" s="1684"/>
      <c r="BA672" s="1684"/>
      <c r="BB672" s="1684"/>
      <c r="BC672" s="1684"/>
      <c r="BD672" s="1684"/>
      <c r="BE672" s="1684"/>
      <c r="BF672" s="1684"/>
      <c r="BG672" s="1684"/>
      <c r="BH672" s="1684"/>
      <c r="BI672" s="1684"/>
      <c r="BJ672" s="1684"/>
      <c r="BK672" s="1684"/>
      <c r="BL672" s="1684"/>
      <c r="BM672" s="1684"/>
      <c r="BN672" s="1684"/>
      <c r="BO672" s="1684"/>
      <c r="BP672" s="1684"/>
      <c r="BQ672" s="1684"/>
      <c r="BR672" s="1684"/>
      <c r="BS672" s="1684"/>
      <c r="BT672" s="1684"/>
      <c r="BU672" s="1684"/>
      <c r="BV672" s="1684"/>
      <c r="BW672" s="1684"/>
      <c r="BX672" s="1684"/>
      <c r="BY672" s="1684"/>
      <c r="BZ672" s="1684"/>
      <c r="CA672" s="1684"/>
      <c r="CB672" s="1684"/>
      <c r="CC672" s="1684"/>
      <c r="CD672" s="1684"/>
      <c r="CE672" s="1684"/>
      <c r="CF672" s="1684"/>
      <c r="CG672" s="1684"/>
      <c r="CH672" s="1684"/>
      <c r="CI672" s="1684"/>
      <c r="CJ672" s="1684"/>
      <c r="CK672" s="1684"/>
      <c r="CL672" s="1684"/>
      <c r="CM672" s="1684"/>
      <c r="CN672" s="1684"/>
      <c r="CO672" s="1684"/>
    </row>
    <row r="673" spans="1:93" s="1391" customFormat="1" ht="15.75" thickBot="1" x14ac:dyDescent="0.25">
      <c r="A673" s="1684"/>
      <c r="B673" s="1684"/>
      <c r="C673" s="4688"/>
      <c r="D673" s="4689"/>
      <c r="E673" s="4689"/>
      <c r="F673" s="4689"/>
      <c r="G673" s="4689"/>
      <c r="H673" s="4689"/>
      <c r="I673" s="4689"/>
      <c r="J673" s="4689"/>
      <c r="K673" s="4689"/>
      <c r="L673" s="4689"/>
      <c r="M673" s="4689"/>
      <c r="N673" s="4689"/>
      <c r="O673" s="4689"/>
      <c r="P673" s="4689"/>
      <c r="Q673" s="4690"/>
      <c r="R673"/>
      <c r="S673" s="1684"/>
      <c r="T673" s="1684"/>
      <c r="U673" s="1684"/>
      <c r="V673" s="1684"/>
      <c r="W673" s="1684"/>
      <c r="X673" s="1684"/>
      <c r="Y673" s="1684"/>
      <c r="Z673" s="1684"/>
      <c r="AA673" s="1684"/>
      <c r="AB673" s="1684"/>
      <c r="AC673" s="1684"/>
      <c r="AD673" s="1684"/>
      <c r="AE673" s="1684"/>
      <c r="AF673" s="1684"/>
      <c r="AG673" s="1684"/>
      <c r="AH673" s="1684"/>
      <c r="AI673" s="1684"/>
      <c r="AJ673" s="1684"/>
      <c r="AK673" s="1684"/>
      <c r="AL673" s="1684"/>
      <c r="AM673" s="1684"/>
      <c r="AN673" s="1684"/>
      <c r="AO673" s="1684"/>
      <c r="AP673" s="1684"/>
      <c r="AQ673" s="1684"/>
      <c r="AR673" s="1684"/>
      <c r="AS673" s="1684"/>
      <c r="AT673" s="1684"/>
      <c r="AU673" s="1684"/>
      <c r="AV673" s="1684"/>
      <c r="AW673" s="1684"/>
      <c r="AX673" s="1684"/>
      <c r="AY673" s="1684"/>
      <c r="AZ673" s="1684"/>
      <c r="BA673" s="1684"/>
      <c r="BB673" s="1684"/>
      <c r="BC673" s="1684"/>
      <c r="BD673" s="1684"/>
      <c r="BE673" s="1684"/>
      <c r="BF673" s="1684"/>
      <c r="BG673" s="1684"/>
      <c r="BH673" s="1684"/>
      <c r="BI673" s="1684"/>
      <c r="BJ673" s="1684"/>
      <c r="BK673" s="1684"/>
      <c r="BL673" s="1684"/>
      <c r="BM673" s="1684"/>
      <c r="BN673" s="1684"/>
      <c r="BO673" s="1684"/>
      <c r="BP673" s="1684"/>
      <c r="BQ673" s="1684"/>
      <c r="BR673" s="1684"/>
      <c r="BS673" s="1684"/>
      <c r="BT673" s="1684"/>
      <c r="BU673" s="1684"/>
      <c r="BV673" s="1684"/>
      <c r="BW673" s="1684"/>
      <c r="BX673" s="1684"/>
      <c r="BY673" s="1684"/>
      <c r="BZ673" s="1684"/>
      <c r="CA673" s="1684"/>
      <c r="CB673" s="1684"/>
      <c r="CC673" s="1684"/>
      <c r="CD673" s="1684"/>
      <c r="CE673" s="1684"/>
      <c r="CF673" s="1684"/>
      <c r="CG673" s="1684"/>
      <c r="CH673" s="1684"/>
      <c r="CI673" s="1684"/>
      <c r="CJ673" s="1684"/>
      <c r="CK673" s="1684"/>
      <c r="CL673" s="1684"/>
      <c r="CM673" s="1684"/>
      <c r="CN673" s="1684"/>
      <c r="CO673" s="1684"/>
    </row>
    <row r="674" spans="1:93" s="1391" customFormat="1" ht="15" x14ac:dyDescent="0.2">
      <c r="A674" s="1684"/>
      <c r="B674" s="1684"/>
      <c r="C674" s="2012"/>
      <c r="D674" s="7"/>
      <c r="E674" s="7"/>
      <c r="F674" s="7"/>
      <c r="G674" s="7"/>
      <c r="H674" s="7"/>
      <c r="I674" s="7"/>
      <c r="J674" s="7"/>
      <c r="K674" s="7"/>
      <c r="L674" s="7"/>
      <c r="M674" s="7"/>
      <c r="N674" s="7"/>
      <c r="O674" s="7"/>
      <c r="P674" s="7"/>
      <c r="Q674" s="251"/>
      <c r="R674"/>
      <c r="S674" s="1684"/>
      <c r="T674" s="1684"/>
      <c r="U674" s="1684"/>
      <c r="V674" s="1684"/>
      <c r="W674" s="1684"/>
      <c r="X674" s="1684"/>
      <c r="Y674" s="1684"/>
      <c r="Z674" s="1684"/>
      <c r="AA674" s="1684"/>
      <c r="AB674" s="1684"/>
      <c r="AC674" s="1684"/>
      <c r="AD674" s="1684"/>
      <c r="AE674" s="1684"/>
      <c r="AF674" s="1684"/>
      <c r="AG674" s="1684"/>
      <c r="AH674" s="1684"/>
      <c r="AI674" s="1684"/>
      <c r="AJ674" s="1684"/>
      <c r="AK674" s="1684"/>
      <c r="AL674" s="1684"/>
      <c r="AM674" s="1684"/>
      <c r="AN674" s="1684"/>
      <c r="AO674" s="1684"/>
      <c r="AP674" s="1684"/>
      <c r="AQ674" s="1684"/>
      <c r="AR674" s="1684"/>
      <c r="AS674" s="1684"/>
      <c r="AT674" s="1684"/>
      <c r="AU674" s="1684"/>
      <c r="AV674" s="1684"/>
      <c r="AW674" s="1684"/>
      <c r="AX674" s="1684"/>
      <c r="AY674" s="1684"/>
      <c r="AZ674" s="1684"/>
      <c r="BA674" s="1684"/>
      <c r="BB674" s="1684"/>
      <c r="BC674" s="1684"/>
      <c r="BD674" s="1684"/>
      <c r="BE674" s="1684"/>
      <c r="BF674" s="1684"/>
      <c r="BG674" s="1684"/>
      <c r="BH674" s="1684"/>
      <c r="BI674" s="1684"/>
      <c r="BJ674" s="1684"/>
      <c r="BK674" s="1684"/>
      <c r="BL674" s="1684"/>
      <c r="BM674" s="1684"/>
      <c r="BN674" s="1684"/>
      <c r="BO674" s="1684"/>
      <c r="BP674" s="1684"/>
      <c r="BQ674" s="1684"/>
      <c r="BR674" s="1684"/>
      <c r="BS674" s="1684"/>
      <c r="BT674" s="1684"/>
      <c r="BU674" s="1684"/>
      <c r="BV674" s="1684"/>
      <c r="BW674" s="1684"/>
      <c r="BX674" s="1684"/>
      <c r="BY674" s="1684"/>
      <c r="BZ674" s="1684"/>
      <c r="CA674" s="1684"/>
      <c r="CB674" s="1684"/>
      <c r="CC674" s="1684"/>
      <c r="CD674" s="1684"/>
      <c r="CE674" s="1684"/>
      <c r="CF674" s="1684"/>
      <c r="CG674" s="1684"/>
      <c r="CH674" s="1684"/>
      <c r="CI674" s="1684"/>
      <c r="CJ674" s="1684"/>
      <c r="CK674" s="1684"/>
      <c r="CL674" s="1684"/>
      <c r="CM674" s="1684"/>
      <c r="CN674" s="1684"/>
      <c r="CO674" s="1684"/>
    </row>
    <row r="675" spans="1:93" s="1391" customFormat="1" ht="15" x14ac:dyDescent="0.2">
      <c r="A675" s="1684"/>
      <c r="B675" s="1684"/>
      <c r="C675" s="4691" t="s">
        <v>1964</v>
      </c>
      <c r="D675" s="4692" t="s">
        <v>1965</v>
      </c>
      <c r="E675" s="4693" t="s">
        <v>5602</v>
      </c>
      <c r="F675" s="4693"/>
      <c r="G675" s="4693"/>
      <c r="H675" s="4693"/>
      <c r="I675" s="4693"/>
      <c r="J675" s="4693"/>
      <c r="K675" s="4693"/>
      <c r="L675" s="4693"/>
      <c r="M675" s="4693"/>
      <c r="N675" s="4693"/>
      <c r="O675" s="4693"/>
      <c r="P675" s="4693"/>
      <c r="Q675" s="4682" t="s">
        <v>2490</v>
      </c>
      <c r="R675"/>
      <c r="S675" s="1684"/>
      <c r="T675" s="1684"/>
      <c r="U675" s="1684"/>
      <c r="V675" s="1684"/>
      <c r="W675" s="1684"/>
      <c r="X675" s="1684"/>
      <c r="Y675" s="1684"/>
      <c r="Z675" s="1684"/>
      <c r="AA675" s="1684"/>
      <c r="AB675" s="1684"/>
      <c r="AC675" s="1684"/>
      <c r="AD675" s="1684"/>
      <c r="AE675" s="1684"/>
      <c r="AF675" s="1684"/>
      <c r="AG675" s="1684"/>
      <c r="AH675" s="1684"/>
      <c r="AI675" s="1684"/>
      <c r="AJ675" s="1684"/>
      <c r="AK675" s="1684"/>
      <c r="AL675" s="1684"/>
      <c r="AM675" s="1684"/>
      <c r="AN675" s="1684"/>
      <c r="AO675" s="1684"/>
      <c r="AP675" s="1684"/>
      <c r="AQ675" s="1684"/>
      <c r="AR675" s="1684"/>
      <c r="AS675" s="1684"/>
      <c r="AT675" s="1684"/>
      <c r="AU675" s="1684"/>
      <c r="AV675" s="1684"/>
      <c r="AW675" s="1684"/>
      <c r="AX675" s="1684"/>
      <c r="AY675" s="1684"/>
      <c r="AZ675" s="1684"/>
      <c r="BA675" s="1684"/>
      <c r="BB675" s="1684"/>
      <c r="BC675" s="1684"/>
      <c r="BD675" s="1684"/>
      <c r="BE675" s="1684"/>
      <c r="BF675" s="1684"/>
      <c r="BG675" s="1684"/>
      <c r="BH675" s="1684"/>
      <c r="BI675" s="1684"/>
      <c r="BJ675" s="1684"/>
      <c r="BK675" s="1684"/>
      <c r="BL675" s="1684"/>
      <c r="BM675" s="1684"/>
      <c r="BN675" s="1684"/>
      <c r="BO675" s="1684"/>
      <c r="BP675" s="1684"/>
      <c r="BQ675" s="1684"/>
      <c r="BR675" s="1684"/>
      <c r="BS675" s="1684"/>
      <c r="BT675" s="1684"/>
      <c r="BU675" s="1684"/>
      <c r="BV675" s="1684"/>
      <c r="BW675" s="1684"/>
      <c r="BX675" s="1684"/>
      <c r="BY675" s="1684"/>
      <c r="BZ675" s="1684"/>
      <c r="CA675" s="1684"/>
      <c r="CB675" s="1684"/>
      <c r="CC675" s="1684"/>
      <c r="CD675" s="1684"/>
      <c r="CE675" s="1684"/>
      <c r="CF675" s="1684"/>
      <c r="CG675" s="1684"/>
      <c r="CH675" s="1684"/>
      <c r="CI675" s="1684"/>
      <c r="CJ675" s="1684"/>
      <c r="CK675" s="1684"/>
      <c r="CL675" s="1684"/>
      <c r="CM675" s="1684"/>
      <c r="CN675" s="1684"/>
      <c r="CO675" s="1684"/>
    </row>
    <row r="676" spans="1:93" s="1391" customFormat="1" ht="31.5" x14ac:dyDescent="0.2">
      <c r="A676" s="1684"/>
      <c r="B676" s="1684"/>
      <c r="C676" s="4691"/>
      <c r="D676" s="4692"/>
      <c r="E676" s="2017" t="s">
        <v>1966</v>
      </c>
      <c r="F676" s="2017" t="s">
        <v>3014</v>
      </c>
      <c r="G676" s="2017" t="s">
        <v>1967</v>
      </c>
      <c r="H676" s="2017" t="s">
        <v>1968</v>
      </c>
      <c r="I676" s="2017" t="s">
        <v>1969</v>
      </c>
      <c r="J676" s="2017" t="s">
        <v>1970</v>
      </c>
      <c r="K676" s="2017" t="s">
        <v>1971</v>
      </c>
      <c r="L676" s="2017" t="s">
        <v>1972</v>
      </c>
      <c r="M676" s="2017" t="s">
        <v>1973</v>
      </c>
      <c r="N676" s="2017" t="s">
        <v>1974</v>
      </c>
      <c r="O676" s="2017" t="s">
        <v>1975</v>
      </c>
      <c r="P676" s="2017" t="s">
        <v>3020</v>
      </c>
      <c r="Q676" s="4682"/>
      <c r="R676"/>
      <c r="S676" s="1684"/>
      <c r="T676" s="1684"/>
      <c r="U676" s="1684"/>
      <c r="V676" s="1684"/>
      <c r="W676" s="1684"/>
      <c r="X676" s="1684"/>
      <c r="Y676" s="1684"/>
      <c r="Z676" s="1684"/>
      <c r="AA676" s="1684"/>
      <c r="AB676" s="1684"/>
      <c r="AC676" s="1684"/>
      <c r="AD676" s="1684"/>
      <c r="AE676" s="1684"/>
      <c r="AF676" s="1684"/>
      <c r="AG676" s="1684"/>
      <c r="AH676" s="1684"/>
      <c r="AI676" s="1684"/>
      <c r="AJ676" s="1684"/>
      <c r="AK676" s="1684"/>
      <c r="AL676" s="1684"/>
      <c r="AM676" s="1684"/>
      <c r="AN676" s="1684"/>
      <c r="AO676" s="1684"/>
      <c r="AP676" s="1684"/>
      <c r="AQ676" s="1684"/>
      <c r="AR676" s="1684"/>
      <c r="AS676" s="1684"/>
      <c r="AT676" s="1684"/>
      <c r="AU676" s="1684"/>
      <c r="AV676" s="1684"/>
      <c r="AW676" s="1684"/>
      <c r="AX676" s="1684"/>
      <c r="AY676" s="1684"/>
      <c r="AZ676" s="1684"/>
      <c r="BA676" s="1684"/>
      <c r="BB676" s="1684"/>
      <c r="BC676" s="1684"/>
      <c r="BD676" s="1684"/>
      <c r="BE676" s="1684"/>
      <c r="BF676" s="1684"/>
      <c r="BG676" s="1684"/>
      <c r="BH676" s="1684"/>
      <c r="BI676" s="1684"/>
      <c r="BJ676" s="1684"/>
      <c r="BK676" s="1684"/>
      <c r="BL676" s="1684"/>
      <c r="BM676" s="1684"/>
      <c r="BN676" s="1684"/>
      <c r="BO676" s="1684"/>
      <c r="BP676" s="1684"/>
      <c r="BQ676" s="1684"/>
      <c r="BR676" s="1684"/>
      <c r="BS676" s="1684"/>
      <c r="BT676" s="1684"/>
      <c r="BU676" s="1684"/>
      <c r="BV676" s="1684"/>
      <c r="BW676" s="1684"/>
      <c r="BX676" s="1684"/>
      <c r="BY676" s="1684"/>
      <c r="BZ676" s="1684"/>
      <c r="CA676" s="1684"/>
      <c r="CB676" s="1684"/>
      <c r="CC676" s="1684"/>
      <c r="CD676" s="1684"/>
      <c r="CE676" s="1684"/>
      <c r="CF676" s="1684"/>
      <c r="CG676" s="1684"/>
      <c r="CH676" s="1684"/>
      <c r="CI676" s="1684"/>
      <c r="CJ676" s="1684"/>
      <c r="CK676" s="1684"/>
      <c r="CL676" s="1684"/>
      <c r="CM676" s="1684"/>
      <c r="CN676" s="1684"/>
      <c r="CO676" s="1684"/>
    </row>
    <row r="677" spans="1:93" s="1391" customFormat="1" ht="15" x14ac:dyDescent="0.2">
      <c r="A677" s="1684"/>
      <c r="B677" s="1684"/>
      <c r="C677" s="4691"/>
      <c r="D677" s="4692"/>
      <c r="E677" s="4693" t="s">
        <v>1781</v>
      </c>
      <c r="F677" s="4693"/>
      <c r="G677" s="4693"/>
      <c r="H677" s="4693"/>
      <c r="I677" s="4693"/>
      <c r="J677" s="4693"/>
      <c r="K677" s="4693"/>
      <c r="L677" s="4693"/>
      <c r="M677" s="4693"/>
      <c r="N677" s="4693"/>
      <c r="O677" s="4693"/>
      <c r="P677" s="4693"/>
      <c r="Q677" s="4682"/>
      <c r="R677"/>
      <c r="S677" s="1684"/>
      <c r="T677" s="1684"/>
      <c r="U677" s="1684"/>
      <c r="V677" s="1684"/>
      <c r="W677" s="1684"/>
      <c r="X677" s="1684"/>
      <c r="Y677" s="1684"/>
      <c r="Z677" s="1684"/>
      <c r="AA677" s="1684"/>
      <c r="AB677" s="1684"/>
      <c r="AC677" s="1684"/>
      <c r="AD677" s="1684"/>
      <c r="AE677" s="1684"/>
      <c r="AF677" s="1684"/>
      <c r="AG677" s="1684"/>
      <c r="AH677" s="1684"/>
      <c r="AI677" s="1684"/>
      <c r="AJ677" s="1684"/>
      <c r="AK677" s="1684"/>
      <c r="AL677" s="1684"/>
      <c r="AM677" s="1684"/>
      <c r="AN677" s="1684"/>
      <c r="AO677" s="1684"/>
      <c r="AP677" s="1684"/>
      <c r="AQ677" s="1684"/>
      <c r="AR677" s="1684"/>
      <c r="AS677" s="1684"/>
      <c r="AT677" s="1684"/>
      <c r="AU677" s="1684"/>
      <c r="AV677" s="1684"/>
      <c r="AW677" s="1684"/>
      <c r="AX677" s="1684"/>
      <c r="AY677" s="1684"/>
      <c r="AZ677" s="1684"/>
      <c r="BA677" s="1684"/>
      <c r="BB677" s="1684"/>
      <c r="BC677" s="1684"/>
      <c r="BD677" s="1684"/>
      <c r="BE677" s="1684"/>
      <c r="BF677" s="1684"/>
      <c r="BG677" s="1684"/>
      <c r="BH677" s="1684"/>
      <c r="BI677" s="1684"/>
      <c r="BJ677" s="1684"/>
      <c r="BK677" s="1684"/>
      <c r="BL677" s="1684"/>
      <c r="BM677" s="1684"/>
      <c r="BN677" s="1684"/>
      <c r="BO677" s="1684"/>
      <c r="BP677" s="1684"/>
      <c r="BQ677" s="1684"/>
      <c r="BR677" s="1684"/>
      <c r="BS677" s="1684"/>
      <c r="BT677" s="1684"/>
      <c r="BU677" s="1684"/>
      <c r="BV677" s="1684"/>
      <c r="BW677" s="1684"/>
      <c r="BX677" s="1684"/>
      <c r="BY677" s="1684"/>
      <c r="BZ677" s="1684"/>
      <c r="CA677" s="1684"/>
      <c r="CB677" s="1684"/>
      <c r="CC677" s="1684"/>
      <c r="CD677" s="1684"/>
      <c r="CE677" s="1684"/>
      <c r="CF677" s="1684"/>
      <c r="CG677" s="1684"/>
      <c r="CH677" s="1684"/>
      <c r="CI677" s="1684"/>
      <c r="CJ677" s="1684"/>
      <c r="CK677" s="1684"/>
      <c r="CL677" s="1684"/>
      <c r="CM677" s="1684"/>
      <c r="CN677" s="1684"/>
      <c r="CO677" s="1684"/>
    </row>
    <row r="678" spans="1:93" s="1391" customFormat="1" ht="15" x14ac:dyDescent="0.2">
      <c r="A678" s="1684"/>
      <c r="B678" s="1684"/>
      <c r="C678" s="4680" t="s">
        <v>3689</v>
      </c>
      <c r="D678" s="4681"/>
      <c r="E678" s="4681"/>
      <c r="F678" s="4681"/>
      <c r="G678" s="4681"/>
      <c r="H678" s="4681"/>
      <c r="I678" s="4681"/>
      <c r="J678" s="4681"/>
      <c r="K678" s="4681"/>
      <c r="L678" s="4681"/>
      <c r="M678" s="4681"/>
      <c r="N678" s="4681"/>
      <c r="O678" s="4681"/>
      <c r="P678" s="4681"/>
      <c r="Q678" s="4682"/>
      <c r="R678"/>
      <c r="S678" s="1684"/>
      <c r="T678" s="1684"/>
      <c r="U678" s="1684"/>
      <c r="V678" s="1684"/>
      <c r="W678" s="1684"/>
      <c r="X678" s="1684"/>
      <c r="Y678" s="1684"/>
      <c r="Z678" s="1684"/>
      <c r="AA678" s="1684"/>
      <c r="AB678" s="1684"/>
      <c r="AC678" s="1684"/>
      <c r="AD678" s="1684"/>
      <c r="AE678" s="1684"/>
      <c r="AF678" s="1684"/>
      <c r="AG678" s="1684"/>
      <c r="AH678" s="1684"/>
      <c r="AI678" s="1684"/>
      <c r="AJ678" s="1684"/>
      <c r="AK678" s="1684"/>
      <c r="AL678" s="1684"/>
      <c r="AM678" s="1684"/>
      <c r="AN678" s="1684"/>
      <c r="AO678" s="1684"/>
      <c r="AP678" s="1684"/>
      <c r="AQ678" s="1684"/>
      <c r="AR678" s="1684"/>
      <c r="AS678" s="1684"/>
      <c r="AT678" s="1684"/>
      <c r="AU678" s="1684"/>
      <c r="AV678" s="1684"/>
      <c r="AW678" s="1684"/>
      <c r="AX678" s="1684"/>
      <c r="AY678" s="1684"/>
      <c r="AZ678" s="1684"/>
      <c r="BA678" s="1684"/>
      <c r="BB678" s="1684"/>
      <c r="BC678" s="1684"/>
      <c r="BD678" s="1684"/>
      <c r="BE678" s="1684"/>
      <c r="BF678" s="1684"/>
      <c r="BG678" s="1684"/>
      <c r="BH678" s="1684"/>
      <c r="BI678" s="1684"/>
      <c r="BJ678" s="1684"/>
      <c r="BK678" s="1684"/>
      <c r="BL678" s="1684"/>
      <c r="BM678" s="1684"/>
      <c r="BN678" s="1684"/>
      <c r="BO678" s="1684"/>
      <c r="BP678" s="1684"/>
      <c r="BQ678" s="1684"/>
      <c r="BR678" s="1684"/>
      <c r="BS678" s="1684"/>
      <c r="BT678" s="1684"/>
      <c r="BU678" s="1684"/>
      <c r="BV678" s="1684"/>
      <c r="BW678" s="1684"/>
      <c r="BX678" s="1684"/>
      <c r="BY678" s="1684"/>
      <c r="BZ678" s="1684"/>
      <c r="CA678" s="1684"/>
      <c r="CB678" s="1684"/>
      <c r="CC678" s="1684"/>
      <c r="CD678" s="1684"/>
      <c r="CE678" s="1684"/>
      <c r="CF678" s="1684"/>
      <c r="CG678" s="1684"/>
      <c r="CH678" s="1684"/>
      <c r="CI678" s="1684"/>
      <c r="CJ678" s="1684"/>
      <c r="CK678" s="1684"/>
      <c r="CL678" s="1684"/>
      <c r="CM678" s="1684"/>
      <c r="CN678" s="1684"/>
      <c r="CO678" s="1684"/>
    </row>
    <row r="679" spans="1:93" s="1391" customFormat="1" ht="15" x14ac:dyDescent="0.2">
      <c r="A679" s="1684"/>
      <c r="B679" s="1684"/>
      <c r="C679" s="4680"/>
      <c r="D679" s="4681"/>
      <c r="E679" s="4681"/>
      <c r="F679" s="4681"/>
      <c r="G679" s="4681"/>
      <c r="H679" s="4681"/>
      <c r="I679" s="4681"/>
      <c r="J679" s="4681"/>
      <c r="K679" s="4681"/>
      <c r="L679" s="4681"/>
      <c r="M679" s="4681"/>
      <c r="N679" s="4681"/>
      <c r="O679" s="4681"/>
      <c r="P679" s="4681"/>
      <c r="Q679" s="4682"/>
      <c r="R679"/>
      <c r="S679" s="1684"/>
      <c r="T679" s="1684"/>
      <c r="U679" s="1684"/>
      <c r="V679" s="1684"/>
      <c r="W679" s="1684"/>
      <c r="X679" s="1684"/>
      <c r="Y679" s="1684"/>
      <c r="Z679" s="1684"/>
      <c r="AA679" s="1684"/>
      <c r="AB679" s="1684"/>
      <c r="AC679" s="1684"/>
      <c r="AD679" s="1684"/>
      <c r="AE679" s="1684"/>
      <c r="AF679" s="1684"/>
      <c r="AG679" s="1684"/>
      <c r="AH679" s="1684"/>
      <c r="AI679" s="1684"/>
      <c r="AJ679" s="1684"/>
      <c r="AK679" s="1684"/>
      <c r="AL679" s="1684"/>
      <c r="AM679" s="1684"/>
      <c r="AN679" s="1684"/>
      <c r="AO679" s="1684"/>
      <c r="AP679" s="1684"/>
      <c r="AQ679" s="1684"/>
      <c r="AR679" s="1684"/>
      <c r="AS679" s="1684"/>
      <c r="AT679" s="1684"/>
      <c r="AU679" s="1684"/>
      <c r="AV679" s="1684"/>
      <c r="AW679" s="1684"/>
      <c r="AX679" s="1684"/>
      <c r="AY679" s="1684"/>
      <c r="AZ679" s="1684"/>
      <c r="BA679" s="1684"/>
      <c r="BB679" s="1684"/>
      <c r="BC679" s="1684"/>
      <c r="BD679" s="1684"/>
      <c r="BE679" s="1684"/>
      <c r="BF679" s="1684"/>
      <c r="BG679" s="1684"/>
      <c r="BH679" s="1684"/>
      <c r="BI679" s="1684"/>
      <c r="BJ679" s="1684"/>
      <c r="BK679" s="1684"/>
      <c r="BL679" s="1684"/>
      <c r="BM679" s="1684"/>
      <c r="BN679" s="1684"/>
      <c r="BO679" s="1684"/>
      <c r="BP679" s="1684"/>
      <c r="BQ679" s="1684"/>
      <c r="BR679" s="1684"/>
      <c r="BS679" s="1684"/>
      <c r="BT679" s="1684"/>
      <c r="BU679" s="1684"/>
      <c r="BV679" s="1684"/>
      <c r="BW679" s="1684"/>
      <c r="BX679" s="1684"/>
      <c r="BY679" s="1684"/>
      <c r="BZ679" s="1684"/>
      <c r="CA679" s="1684"/>
      <c r="CB679" s="1684"/>
      <c r="CC679" s="1684"/>
      <c r="CD679" s="1684"/>
      <c r="CE679" s="1684"/>
      <c r="CF679" s="1684"/>
      <c r="CG679" s="1684"/>
      <c r="CH679" s="1684"/>
      <c r="CI679" s="1684"/>
      <c r="CJ679" s="1684"/>
      <c r="CK679" s="1684"/>
      <c r="CL679" s="1684"/>
      <c r="CM679" s="1684"/>
      <c r="CN679" s="1684"/>
      <c r="CO679" s="1684"/>
    </row>
    <row r="680" spans="1:93" s="1391" customFormat="1" ht="15" x14ac:dyDescent="0.2">
      <c r="A680" s="1684"/>
      <c r="B680" s="1684"/>
      <c r="C680" s="4680" t="s">
        <v>3690</v>
      </c>
      <c r="D680" s="4681"/>
      <c r="E680" s="4681"/>
      <c r="F680" s="4681"/>
      <c r="G680" s="4681"/>
      <c r="H680" s="4681"/>
      <c r="I680" s="4681"/>
      <c r="J680" s="4681"/>
      <c r="K680" s="4681"/>
      <c r="L680" s="4681"/>
      <c r="M680" s="4681"/>
      <c r="N680" s="4681"/>
      <c r="O680" s="4681"/>
      <c r="P680" s="4681"/>
      <c r="Q680" s="4682"/>
      <c r="R680"/>
      <c r="S680" s="1684"/>
      <c r="T680" s="1684"/>
      <c r="U680" s="1684"/>
      <c r="V680" s="1684"/>
      <c r="W680" s="1684"/>
      <c r="X680" s="1684"/>
      <c r="Y680" s="1684"/>
      <c r="Z680" s="1684"/>
      <c r="AA680" s="1684"/>
      <c r="AB680" s="1684"/>
      <c r="AC680" s="1684"/>
      <c r="AD680" s="1684"/>
      <c r="AE680" s="1684"/>
      <c r="AF680" s="1684"/>
      <c r="AG680" s="1684"/>
      <c r="AH680" s="1684"/>
      <c r="AI680" s="1684"/>
      <c r="AJ680" s="1684"/>
      <c r="AK680" s="1684"/>
      <c r="AL680" s="1684"/>
      <c r="AM680" s="1684"/>
      <c r="AN680" s="1684"/>
      <c r="AO680" s="1684"/>
      <c r="AP680" s="1684"/>
      <c r="AQ680" s="1684"/>
      <c r="AR680" s="1684"/>
      <c r="AS680" s="1684"/>
      <c r="AT680" s="1684"/>
      <c r="AU680" s="1684"/>
      <c r="AV680" s="1684"/>
      <c r="AW680" s="1684"/>
      <c r="AX680" s="1684"/>
      <c r="AY680" s="1684"/>
      <c r="AZ680" s="1684"/>
      <c r="BA680" s="1684"/>
      <c r="BB680" s="1684"/>
      <c r="BC680" s="1684"/>
      <c r="BD680" s="1684"/>
      <c r="BE680" s="1684"/>
      <c r="BF680" s="1684"/>
      <c r="BG680" s="1684"/>
      <c r="BH680" s="1684"/>
      <c r="BI680" s="1684"/>
      <c r="BJ680" s="1684"/>
      <c r="BK680" s="1684"/>
      <c r="BL680" s="1684"/>
      <c r="BM680" s="1684"/>
      <c r="BN680" s="1684"/>
      <c r="BO680" s="1684"/>
      <c r="BP680" s="1684"/>
      <c r="BQ680" s="1684"/>
      <c r="BR680" s="1684"/>
      <c r="BS680" s="1684"/>
      <c r="BT680" s="1684"/>
      <c r="BU680" s="1684"/>
      <c r="BV680" s="1684"/>
      <c r="BW680" s="1684"/>
      <c r="BX680" s="1684"/>
      <c r="BY680" s="1684"/>
      <c r="BZ680" s="1684"/>
      <c r="CA680" s="1684"/>
      <c r="CB680" s="1684"/>
      <c r="CC680" s="1684"/>
      <c r="CD680" s="1684"/>
      <c r="CE680" s="1684"/>
      <c r="CF680" s="1684"/>
      <c r="CG680" s="1684"/>
      <c r="CH680" s="1684"/>
      <c r="CI680" s="1684"/>
      <c r="CJ680" s="1684"/>
      <c r="CK680" s="1684"/>
      <c r="CL680" s="1684"/>
      <c r="CM680" s="1684"/>
      <c r="CN680" s="1684"/>
      <c r="CO680" s="1684"/>
    </row>
    <row r="681" spans="1:93" s="1391" customFormat="1" ht="15" x14ac:dyDescent="0.2">
      <c r="A681" s="1684"/>
      <c r="B681" s="1684"/>
      <c r="C681" s="4680"/>
      <c r="D681" s="4681"/>
      <c r="E681" s="4681"/>
      <c r="F681" s="4681"/>
      <c r="G681" s="4681"/>
      <c r="H681" s="4681"/>
      <c r="I681" s="4681"/>
      <c r="J681" s="4681"/>
      <c r="K681" s="4681"/>
      <c r="L681" s="4681"/>
      <c r="M681" s="4681"/>
      <c r="N681" s="4681"/>
      <c r="O681" s="4681"/>
      <c r="P681" s="4681"/>
      <c r="Q681" s="4682"/>
      <c r="R681"/>
      <c r="S681" s="1684"/>
      <c r="T681" s="1684"/>
      <c r="U681" s="1684"/>
      <c r="V681" s="1684"/>
      <c r="W681" s="1684"/>
      <c r="X681" s="1684"/>
      <c r="Y681" s="1684"/>
      <c r="Z681" s="1684"/>
      <c r="AA681" s="1684"/>
      <c r="AB681" s="1684"/>
      <c r="AC681" s="1684"/>
      <c r="AD681" s="1684"/>
      <c r="AE681" s="1684"/>
      <c r="AF681" s="1684"/>
      <c r="AG681" s="1684"/>
      <c r="AH681" s="1684"/>
      <c r="AI681" s="1684"/>
      <c r="AJ681" s="1684"/>
      <c r="AK681" s="1684"/>
      <c r="AL681" s="1684"/>
      <c r="AM681" s="1684"/>
      <c r="AN681" s="1684"/>
      <c r="AO681" s="1684"/>
      <c r="AP681" s="1684"/>
      <c r="AQ681" s="1684"/>
      <c r="AR681" s="1684"/>
      <c r="AS681" s="1684"/>
      <c r="AT681" s="1684"/>
      <c r="AU681" s="1684"/>
      <c r="AV681" s="1684"/>
      <c r="AW681" s="1684"/>
      <c r="AX681" s="1684"/>
      <c r="AY681" s="1684"/>
      <c r="AZ681" s="1684"/>
      <c r="BA681" s="1684"/>
      <c r="BB681" s="1684"/>
      <c r="BC681" s="1684"/>
      <c r="BD681" s="1684"/>
      <c r="BE681" s="1684"/>
      <c r="BF681" s="1684"/>
      <c r="BG681" s="1684"/>
      <c r="BH681" s="1684"/>
      <c r="BI681" s="1684"/>
      <c r="BJ681" s="1684"/>
      <c r="BK681" s="1684"/>
      <c r="BL681" s="1684"/>
      <c r="BM681" s="1684"/>
      <c r="BN681" s="1684"/>
      <c r="BO681" s="1684"/>
      <c r="BP681" s="1684"/>
      <c r="BQ681" s="1684"/>
      <c r="BR681" s="1684"/>
      <c r="BS681" s="1684"/>
      <c r="BT681" s="1684"/>
      <c r="BU681" s="1684"/>
      <c r="BV681" s="1684"/>
      <c r="BW681" s="1684"/>
      <c r="BX681" s="1684"/>
      <c r="BY681" s="1684"/>
      <c r="BZ681" s="1684"/>
      <c r="CA681" s="1684"/>
      <c r="CB681" s="1684"/>
      <c r="CC681" s="1684"/>
      <c r="CD681" s="1684"/>
      <c r="CE681" s="1684"/>
      <c r="CF681" s="1684"/>
      <c r="CG681" s="1684"/>
      <c r="CH681" s="1684"/>
      <c r="CI681" s="1684"/>
      <c r="CJ681" s="1684"/>
      <c r="CK681" s="1684"/>
      <c r="CL681" s="1684"/>
      <c r="CM681" s="1684"/>
      <c r="CN681" s="1684"/>
      <c r="CO681" s="1684"/>
    </row>
    <row r="682" spans="1:93" s="1391" customFormat="1" ht="15" x14ac:dyDescent="0.2">
      <c r="A682" s="1684"/>
      <c r="B682" s="1684"/>
      <c r="C682" s="2014"/>
      <c r="D682" s="2015"/>
      <c r="E682" s="2015">
        <v>1</v>
      </c>
      <c r="F682" s="2015">
        <v>2</v>
      </c>
      <c r="G682" s="2015">
        <v>3</v>
      </c>
      <c r="H682" s="2015">
        <v>4</v>
      </c>
      <c r="I682" s="2015">
        <v>5</v>
      </c>
      <c r="J682" s="2015">
        <v>6</v>
      </c>
      <c r="K682" s="2015">
        <v>7</v>
      </c>
      <c r="L682" s="2015">
        <v>8</v>
      </c>
      <c r="M682" s="2015">
        <v>9</v>
      </c>
      <c r="N682" s="2015">
        <v>10</v>
      </c>
      <c r="O682" s="2015">
        <v>11</v>
      </c>
      <c r="P682" s="2015">
        <v>12</v>
      </c>
      <c r="Q682" s="2016"/>
      <c r="R682"/>
      <c r="S682" s="1684"/>
      <c r="T682" s="1684"/>
      <c r="U682" s="1684"/>
      <c r="V682" s="1684"/>
      <c r="W682" s="1684"/>
      <c r="X682" s="1684"/>
      <c r="Y682" s="1684"/>
      <c r="Z682" s="1684"/>
      <c r="AA682" s="1684"/>
      <c r="AB682" s="1684"/>
      <c r="AC682" s="1684"/>
      <c r="AD682" s="1684"/>
      <c r="AE682" s="1684"/>
      <c r="AF682" s="1684"/>
      <c r="AG682" s="1684"/>
      <c r="AH682" s="1684"/>
      <c r="AI682" s="1684"/>
      <c r="AJ682" s="1684"/>
      <c r="AK682" s="1684"/>
      <c r="AL682" s="1684"/>
      <c r="AM682" s="1684"/>
      <c r="AN682" s="1684"/>
      <c r="AO682" s="1684"/>
      <c r="AP682" s="1684"/>
      <c r="AQ682" s="1684"/>
      <c r="AR682" s="1684"/>
      <c r="AS682" s="1684"/>
      <c r="AT682" s="1684"/>
      <c r="AU682" s="1684"/>
      <c r="AV682" s="1684"/>
      <c r="AW682" s="1684"/>
      <c r="AX682" s="1684"/>
      <c r="AY682" s="1684"/>
      <c r="AZ682" s="1684"/>
      <c r="BA682" s="1684"/>
      <c r="BB682" s="1684"/>
      <c r="BC682" s="1684"/>
      <c r="BD682" s="1684"/>
      <c r="BE682" s="1684"/>
      <c r="BF682" s="1684"/>
      <c r="BG682" s="1684"/>
      <c r="BH682" s="1684"/>
      <c r="BI682" s="1684"/>
      <c r="BJ682" s="1684"/>
      <c r="BK682" s="1684"/>
      <c r="BL682" s="1684"/>
      <c r="BM682" s="1684"/>
      <c r="BN682" s="1684"/>
      <c r="BO682" s="1684"/>
      <c r="BP682" s="1684"/>
      <c r="BQ682" s="1684"/>
      <c r="BR682" s="1684"/>
      <c r="BS682" s="1684"/>
      <c r="BT682" s="1684"/>
      <c r="BU682" s="1684"/>
      <c r="BV682" s="1684"/>
      <c r="BW682" s="1684"/>
      <c r="BX682" s="1684"/>
      <c r="BY682" s="1684"/>
      <c r="BZ682" s="1684"/>
      <c r="CA682" s="1684"/>
      <c r="CB682" s="1684"/>
      <c r="CC682" s="1684"/>
      <c r="CD682" s="1684"/>
      <c r="CE682" s="1684"/>
      <c r="CF682" s="1684"/>
      <c r="CG682" s="1684"/>
      <c r="CH682" s="1684"/>
      <c r="CI682" s="1684"/>
      <c r="CJ682" s="1684"/>
      <c r="CK682" s="1684"/>
      <c r="CL682" s="1684"/>
      <c r="CM682" s="1684"/>
      <c r="CN682" s="1684"/>
      <c r="CO682" s="1684"/>
    </row>
    <row r="683" spans="1:93" s="1391" customFormat="1" ht="15" x14ac:dyDescent="0.2">
      <c r="A683" s="1684"/>
      <c r="B683" s="1684"/>
      <c r="C683" s="2013">
        <v>8</v>
      </c>
      <c r="D683" s="5">
        <v>5.7960000000000003</v>
      </c>
      <c r="E683" s="5">
        <v>152</v>
      </c>
      <c r="F683" s="5">
        <v>169</v>
      </c>
      <c r="G683" s="5">
        <v>185</v>
      </c>
      <c r="H683" s="5">
        <v>201</v>
      </c>
      <c r="I683" s="5">
        <v>217</v>
      </c>
      <c r="J683" s="5">
        <v>233</v>
      </c>
      <c r="K683" s="5">
        <v>249</v>
      </c>
      <c r="L683" s="5">
        <v>265</v>
      </c>
      <c r="M683" s="5">
        <v>281</v>
      </c>
      <c r="N683" s="5">
        <v>297</v>
      </c>
      <c r="O683" s="5">
        <v>313</v>
      </c>
      <c r="P683" s="5">
        <v>329</v>
      </c>
      <c r="Q683" s="1160">
        <v>1</v>
      </c>
      <c r="R683"/>
      <c r="S683" s="1684"/>
      <c r="T683" s="1684"/>
      <c r="U683" s="1684"/>
      <c r="V683" s="1684"/>
      <c r="W683" s="1684"/>
      <c r="X683" s="1684"/>
      <c r="Y683" s="1684"/>
      <c r="Z683" s="1684"/>
      <c r="AA683" s="1684"/>
      <c r="AB683" s="1684"/>
      <c r="AC683" s="1684"/>
      <c r="AD683" s="1684"/>
      <c r="AE683" s="1684"/>
      <c r="AF683" s="1684"/>
      <c r="AG683" s="1684"/>
      <c r="AH683" s="1684"/>
      <c r="AI683" s="1684"/>
      <c r="AJ683" s="1684"/>
      <c r="AK683" s="1684"/>
      <c r="AL683" s="1684"/>
      <c r="AM683" s="1684"/>
      <c r="AN683" s="1684"/>
      <c r="AO683" s="1684"/>
      <c r="AP683" s="1684"/>
      <c r="AQ683" s="1684"/>
      <c r="AR683" s="1684"/>
      <c r="AS683" s="1684"/>
      <c r="AT683" s="1684"/>
      <c r="AU683" s="1684"/>
      <c r="AV683" s="1684"/>
      <c r="AW683" s="1684"/>
      <c r="AX683" s="1684"/>
      <c r="AY683" s="1684"/>
      <c r="AZ683" s="1684"/>
      <c r="BA683" s="1684"/>
      <c r="BB683" s="1684"/>
      <c r="BC683" s="1684"/>
      <c r="BD683" s="1684"/>
      <c r="BE683" s="1684"/>
      <c r="BF683" s="1684"/>
      <c r="BG683" s="1684"/>
      <c r="BH683" s="1684"/>
      <c r="BI683" s="1684"/>
      <c r="BJ683" s="1684"/>
      <c r="BK683" s="1684"/>
      <c r="BL683" s="1684"/>
      <c r="BM683" s="1684"/>
      <c r="BN683" s="1684"/>
      <c r="BO683" s="1684"/>
      <c r="BP683" s="1684"/>
      <c r="BQ683" s="1684"/>
      <c r="BR683" s="1684"/>
      <c r="BS683" s="1684"/>
      <c r="BT683" s="1684"/>
      <c r="BU683" s="1684"/>
      <c r="BV683" s="1684"/>
      <c r="BW683" s="1684"/>
      <c r="BX683" s="1684"/>
      <c r="BY683" s="1684"/>
      <c r="BZ683" s="1684"/>
      <c r="CA683" s="1684"/>
      <c r="CB683" s="1684"/>
      <c r="CC683" s="1684"/>
      <c r="CD683" s="1684"/>
      <c r="CE683" s="1684"/>
      <c r="CF683" s="1684"/>
      <c r="CG683" s="1684"/>
      <c r="CH683" s="1684"/>
      <c r="CI683" s="1684"/>
      <c r="CJ683" s="1684"/>
      <c r="CK683" s="1684"/>
      <c r="CL683" s="1684"/>
      <c r="CM683" s="1684"/>
      <c r="CN683" s="1684"/>
      <c r="CO683" s="1684"/>
    </row>
    <row r="684" spans="1:93" s="1391" customFormat="1" ht="15" x14ac:dyDescent="0.2">
      <c r="A684" s="1684"/>
      <c r="B684" s="1684"/>
      <c r="C684" s="2013">
        <v>9</v>
      </c>
      <c r="D684" s="5">
        <v>6.1849999999999996</v>
      </c>
      <c r="E684" s="5">
        <v>168</v>
      </c>
      <c r="F684" s="5">
        <v>187</v>
      </c>
      <c r="G684" s="5">
        <v>204</v>
      </c>
      <c r="H684" s="5">
        <v>222</v>
      </c>
      <c r="I684" s="5">
        <v>240</v>
      </c>
      <c r="J684" s="5">
        <v>257</v>
      </c>
      <c r="K684" s="5">
        <v>275</v>
      </c>
      <c r="L684" s="5">
        <v>294</v>
      </c>
      <c r="M684" s="5">
        <v>310</v>
      </c>
      <c r="N684" s="5">
        <v>328</v>
      </c>
      <c r="O684" s="5">
        <v>346</v>
      </c>
      <c r="P684" s="5">
        <v>363</v>
      </c>
      <c r="Q684" s="1160">
        <v>2</v>
      </c>
      <c r="R684"/>
      <c r="S684" s="1684"/>
      <c r="T684" s="1684"/>
      <c r="U684" s="1684"/>
      <c r="V684" s="1684"/>
      <c r="W684" s="1684"/>
      <c r="X684" s="1684"/>
      <c r="Y684" s="1684"/>
      <c r="Z684" s="1684"/>
      <c r="AA684" s="1684"/>
      <c r="AB684" s="1684"/>
      <c r="AC684" s="1684"/>
      <c r="AD684" s="1684"/>
      <c r="AE684" s="1684"/>
      <c r="AF684" s="1684"/>
      <c r="AG684" s="1684"/>
      <c r="AH684" s="1684"/>
      <c r="AI684" s="1684"/>
      <c r="AJ684" s="1684"/>
      <c r="AK684" s="1684"/>
      <c r="AL684" s="1684"/>
      <c r="AM684" s="1684"/>
      <c r="AN684" s="1684"/>
      <c r="AO684" s="1684"/>
      <c r="AP684" s="1684"/>
      <c r="AQ684" s="1684"/>
      <c r="AR684" s="1684"/>
      <c r="AS684" s="1684"/>
      <c r="AT684" s="1684"/>
      <c r="AU684" s="1684"/>
      <c r="AV684" s="1684"/>
      <c r="AW684" s="1684"/>
      <c r="AX684" s="1684"/>
      <c r="AY684" s="1684"/>
      <c r="AZ684" s="1684"/>
      <c r="BA684" s="1684"/>
      <c r="BB684" s="1684"/>
      <c r="BC684" s="1684"/>
      <c r="BD684" s="1684"/>
      <c r="BE684" s="1684"/>
      <c r="BF684" s="1684"/>
      <c r="BG684" s="1684"/>
      <c r="BH684" s="1684"/>
      <c r="BI684" s="1684"/>
      <c r="BJ684" s="1684"/>
      <c r="BK684" s="1684"/>
      <c r="BL684" s="1684"/>
      <c r="BM684" s="1684"/>
      <c r="BN684" s="1684"/>
      <c r="BO684" s="1684"/>
      <c r="BP684" s="1684"/>
      <c r="BQ684" s="1684"/>
      <c r="BR684" s="1684"/>
      <c r="BS684" s="1684"/>
      <c r="BT684" s="1684"/>
      <c r="BU684" s="1684"/>
      <c r="BV684" s="1684"/>
      <c r="BW684" s="1684"/>
      <c r="BX684" s="1684"/>
      <c r="BY684" s="1684"/>
      <c r="BZ684" s="1684"/>
      <c r="CA684" s="1684"/>
      <c r="CB684" s="1684"/>
      <c r="CC684" s="1684"/>
      <c r="CD684" s="1684"/>
      <c r="CE684" s="1684"/>
      <c r="CF684" s="1684"/>
      <c r="CG684" s="1684"/>
      <c r="CH684" s="1684"/>
      <c r="CI684" s="1684"/>
      <c r="CJ684" s="1684"/>
      <c r="CK684" s="1684"/>
      <c r="CL684" s="1684"/>
      <c r="CM684" s="1684"/>
      <c r="CN684" s="1684"/>
      <c r="CO684" s="1684"/>
    </row>
    <row r="685" spans="1:93" s="1391" customFormat="1" ht="15" x14ac:dyDescent="0.2">
      <c r="A685" s="1684"/>
      <c r="B685" s="1684"/>
      <c r="C685" s="2013">
        <v>10</v>
      </c>
      <c r="D685" s="5">
        <v>6.5960000000000001</v>
      </c>
      <c r="E685" s="5">
        <v>185</v>
      </c>
      <c r="F685" s="5">
        <v>205</v>
      </c>
      <c r="G685" s="5">
        <v>225</v>
      </c>
      <c r="H685" s="5">
        <v>244</v>
      </c>
      <c r="I685" s="5">
        <v>264</v>
      </c>
      <c r="J685" s="5">
        <v>283</v>
      </c>
      <c r="K685" s="5">
        <v>303</v>
      </c>
      <c r="L685" s="5">
        <v>323</v>
      </c>
      <c r="M685" s="5">
        <v>342</v>
      </c>
      <c r="N685" s="5">
        <v>361</v>
      </c>
      <c r="O685" s="5">
        <v>381</v>
      </c>
      <c r="P685" s="5">
        <v>400</v>
      </c>
      <c r="Q685" s="1160">
        <v>3</v>
      </c>
      <c r="R685"/>
      <c r="S685" s="1684"/>
      <c r="T685" s="1684"/>
      <c r="U685" s="1684"/>
      <c r="V685" s="1684"/>
      <c r="W685" s="1684"/>
      <c r="X685" s="1684"/>
      <c r="Y685" s="1684"/>
      <c r="Z685" s="1684"/>
      <c r="AA685" s="1684"/>
      <c r="AB685" s="1684"/>
      <c r="AC685" s="1684"/>
      <c r="AD685" s="1684"/>
      <c r="AE685" s="1684"/>
      <c r="AF685" s="1684"/>
      <c r="AG685" s="1684"/>
      <c r="AH685" s="1684"/>
      <c r="AI685" s="1684"/>
      <c r="AJ685" s="1684"/>
      <c r="AK685" s="1684"/>
      <c r="AL685" s="1684"/>
      <c r="AM685" s="1684"/>
      <c r="AN685" s="1684"/>
      <c r="AO685" s="1684"/>
      <c r="AP685" s="1684"/>
      <c r="AQ685" s="1684"/>
      <c r="AR685" s="1684"/>
      <c r="AS685" s="1684"/>
      <c r="AT685" s="1684"/>
      <c r="AU685" s="1684"/>
      <c r="AV685" s="1684"/>
      <c r="AW685" s="1684"/>
      <c r="AX685" s="1684"/>
      <c r="AY685" s="1684"/>
      <c r="AZ685" s="1684"/>
      <c r="BA685" s="1684"/>
      <c r="BB685" s="1684"/>
      <c r="BC685" s="1684"/>
      <c r="BD685" s="1684"/>
      <c r="BE685" s="1684"/>
      <c r="BF685" s="1684"/>
      <c r="BG685" s="1684"/>
      <c r="BH685" s="1684"/>
      <c r="BI685" s="1684"/>
      <c r="BJ685" s="1684"/>
      <c r="BK685" s="1684"/>
      <c r="BL685" s="1684"/>
      <c r="BM685" s="1684"/>
      <c r="BN685" s="1684"/>
      <c r="BO685" s="1684"/>
      <c r="BP685" s="1684"/>
      <c r="BQ685" s="1684"/>
      <c r="BR685" s="1684"/>
      <c r="BS685" s="1684"/>
      <c r="BT685" s="1684"/>
      <c r="BU685" s="1684"/>
      <c r="BV685" s="1684"/>
      <c r="BW685" s="1684"/>
      <c r="BX685" s="1684"/>
      <c r="BY685" s="1684"/>
      <c r="BZ685" s="1684"/>
      <c r="CA685" s="1684"/>
      <c r="CB685" s="1684"/>
      <c r="CC685" s="1684"/>
      <c r="CD685" s="1684"/>
      <c r="CE685" s="1684"/>
      <c r="CF685" s="1684"/>
      <c r="CG685" s="1684"/>
      <c r="CH685" s="1684"/>
      <c r="CI685" s="1684"/>
      <c r="CJ685" s="1684"/>
      <c r="CK685" s="1684"/>
      <c r="CL685" s="1684"/>
      <c r="CM685" s="1684"/>
      <c r="CN685" s="1684"/>
      <c r="CO685" s="1684"/>
    </row>
    <row r="686" spans="1:93" s="1391" customFormat="1" ht="15" x14ac:dyDescent="0.2">
      <c r="A686" s="1684"/>
      <c r="B686" s="1684"/>
      <c r="C686" s="2013">
        <v>11</v>
      </c>
      <c r="D686" s="5">
        <v>7.0609999999999999</v>
      </c>
      <c r="E686" s="5">
        <v>204</v>
      </c>
      <c r="F686" s="5">
        <v>226</v>
      </c>
      <c r="G686" s="5">
        <v>248</v>
      </c>
      <c r="H686" s="5">
        <v>269</v>
      </c>
      <c r="I686" s="5">
        <v>291</v>
      </c>
      <c r="J686" s="5">
        <v>312</v>
      </c>
      <c r="K686" s="5">
        <v>334</v>
      </c>
      <c r="L686" s="5">
        <v>356</v>
      </c>
      <c r="M686" s="5">
        <v>377</v>
      </c>
      <c r="N686" s="5">
        <v>398</v>
      </c>
      <c r="O686" s="5">
        <v>420</v>
      </c>
      <c r="P686" s="5">
        <v>441</v>
      </c>
      <c r="Q686" s="1160">
        <v>4</v>
      </c>
      <c r="R686"/>
      <c r="S686" s="1684"/>
      <c r="T686" s="1684"/>
      <c r="U686" s="1684"/>
      <c r="V686" s="1684"/>
      <c r="W686" s="1684"/>
      <c r="X686" s="1684"/>
      <c r="Y686" s="1684"/>
      <c r="Z686" s="1684"/>
      <c r="AA686" s="1684"/>
      <c r="AB686" s="1684"/>
      <c r="AC686" s="1684"/>
      <c r="AD686" s="1684"/>
      <c r="AE686" s="1684"/>
      <c r="AF686" s="1684"/>
      <c r="AG686" s="1684"/>
      <c r="AH686" s="1684"/>
      <c r="AI686" s="1684"/>
      <c r="AJ686" s="1684"/>
      <c r="AK686" s="1684"/>
      <c r="AL686" s="1684"/>
      <c r="AM686" s="1684"/>
      <c r="AN686" s="1684"/>
      <c r="AO686" s="1684"/>
      <c r="AP686" s="1684"/>
      <c r="AQ686" s="1684"/>
      <c r="AR686" s="1684"/>
      <c r="AS686" s="1684"/>
      <c r="AT686" s="1684"/>
      <c r="AU686" s="1684"/>
      <c r="AV686" s="1684"/>
      <c r="AW686" s="1684"/>
      <c r="AX686" s="1684"/>
      <c r="AY686" s="1684"/>
      <c r="AZ686" s="1684"/>
      <c r="BA686" s="1684"/>
      <c r="BB686" s="1684"/>
      <c r="BC686" s="1684"/>
      <c r="BD686" s="1684"/>
      <c r="BE686" s="1684"/>
      <c r="BF686" s="1684"/>
      <c r="BG686" s="1684"/>
      <c r="BH686" s="1684"/>
      <c r="BI686" s="1684"/>
      <c r="BJ686" s="1684"/>
      <c r="BK686" s="1684"/>
      <c r="BL686" s="1684"/>
      <c r="BM686" s="1684"/>
      <c r="BN686" s="1684"/>
      <c r="BO686" s="1684"/>
      <c r="BP686" s="1684"/>
      <c r="BQ686" s="1684"/>
      <c r="BR686" s="1684"/>
      <c r="BS686" s="1684"/>
      <c r="BT686" s="1684"/>
      <c r="BU686" s="1684"/>
      <c r="BV686" s="1684"/>
      <c r="BW686" s="1684"/>
      <c r="BX686" s="1684"/>
      <c r="BY686" s="1684"/>
      <c r="BZ686" s="1684"/>
      <c r="CA686" s="1684"/>
      <c r="CB686" s="1684"/>
      <c r="CC686" s="1684"/>
      <c r="CD686" s="1684"/>
      <c r="CE686" s="1684"/>
      <c r="CF686" s="1684"/>
      <c r="CG686" s="1684"/>
      <c r="CH686" s="1684"/>
      <c r="CI686" s="1684"/>
      <c r="CJ686" s="1684"/>
      <c r="CK686" s="1684"/>
      <c r="CL686" s="1684"/>
      <c r="CM686" s="1684"/>
      <c r="CN686" s="1684"/>
      <c r="CO686" s="1684"/>
    </row>
    <row r="687" spans="1:93" s="1391" customFormat="1" ht="15" x14ac:dyDescent="0.2">
      <c r="A687" s="1684"/>
      <c r="B687" s="1684"/>
      <c r="C687" s="2013">
        <v>12</v>
      </c>
      <c r="D687" s="5">
        <v>7.55</v>
      </c>
      <c r="E687" s="5">
        <v>224</v>
      </c>
      <c r="F687" s="5">
        <v>249</v>
      </c>
      <c r="G687" s="5">
        <v>272</v>
      </c>
      <c r="H687" s="5">
        <v>290</v>
      </c>
      <c r="I687" s="5">
        <v>319</v>
      </c>
      <c r="J687" s="5">
        <v>343</v>
      </c>
      <c r="K687" s="5">
        <v>366</v>
      </c>
      <c r="L687" s="5">
        <v>391</v>
      </c>
      <c r="M687" s="5">
        <v>413</v>
      </c>
      <c r="N687" s="5">
        <v>437</v>
      </c>
      <c r="O687" s="5">
        <v>461</v>
      </c>
      <c r="P687" s="5">
        <v>484</v>
      </c>
      <c r="Q687" s="1160">
        <v>5</v>
      </c>
      <c r="R687"/>
      <c r="S687" s="1684"/>
      <c r="T687" s="1684"/>
      <c r="U687" s="1684"/>
      <c r="V687" s="1684"/>
      <c r="W687" s="1684"/>
      <c r="X687" s="1684"/>
      <c r="Y687" s="1684"/>
      <c r="Z687" s="1684"/>
      <c r="AA687" s="1684"/>
      <c r="AB687" s="1684"/>
      <c r="AC687" s="1684"/>
      <c r="AD687" s="1684"/>
      <c r="AE687" s="1684"/>
      <c r="AF687" s="1684"/>
      <c r="AG687" s="1684"/>
      <c r="AH687" s="1684"/>
      <c r="AI687" s="1684"/>
      <c r="AJ687" s="1684"/>
      <c r="AK687" s="1684"/>
      <c r="AL687" s="1684"/>
      <c r="AM687" s="1684"/>
      <c r="AN687" s="1684"/>
      <c r="AO687" s="1684"/>
      <c r="AP687" s="1684"/>
      <c r="AQ687" s="1684"/>
      <c r="AR687" s="1684"/>
      <c r="AS687" s="1684"/>
      <c r="AT687" s="1684"/>
      <c r="AU687" s="1684"/>
      <c r="AV687" s="1684"/>
      <c r="AW687" s="1684"/>
      <c r="AX687" s="1684"/>
      <c r="AY687" s="1684"/>
      <c r="AZ687" s="1684"/>
      <c r="BA687" s="1684"/>
      <c r="BB687" s="1684"/>
      <c r="BC687" s="1684"/>
      <c r="BD687" s="1684"/>
      <c r="BE687" s="1684"/>
      <c r="BF687" s="1684"/>
      <c r="BG687" s="1684"/>
      <c r="BH687" s="1684"/>
      <c r="BI687" s="1684"/>
      <c r="BJ687" s="1684"/>
      <c r="BK687" s="1684"/>
      <c r="BL687" s="1684"/>
      <c r="BM687" s="1684"/>
      <c r="BN687" s="1684"/>
      <c r="BO687" s="1684"/>
      <c r="BP687" s="1684"/>
      <c r="BQ687" s="1684"/>
      <c r="BR687" s="1684"/>
      <c r="BS687" s="1684"/>
      <c r="BT687" s="1684"/>
      <c r="BU687" s="1684"/>
      <c r="BV687" s="1684"/>
      <c r="BW687" s="1684"/>
      <c r="BX687" s="1684"/>
      <c r="BY687" s="1684"/>
      <c r="BZ687" s="1684"/>
      <c r="CA687" s="1684"/>
      <c r="CB687" s="1684"/>
      <c r="CC687" s="1684"/>
      <c r="CD687" s="1684"/>
      <c r="CE687" s="1684"/>
      <c r="CF687" s="1684"/>
      <c r="CG687" s="1684"/>
      <c r="CH687" s="1684"/>
      <c r="CI687" s="1684"/>
      <c r="CJ687" s="1684"/>
      <c r="CK687" s="1684"/>
      <c r="CL687" s="1684"/>
      <c r="CM687" s="1684"/>
      <c r="CN687" s="1684"/>
      <c r="CO687" s="1684"/>
    </row>
    <row r="688" spans="1:93" s="1391" customFormat="1" ht="15" x14ac:dyDescent="0.2">
      <c r="A688" s="1684"/>
      <c r="B688" s="1684"/>
      <c r="C688" s="2013">
        <v>13</v>
      </c>
      <c r="D688" s="5">
        <v>8.0530000000000008</v>
      </c>
      <c r="E688" s="5">
        <v>244</v>
      </c>
      <c r="F688" s="5">
        <v>271</v>
      </c>
      <c r="G688" s="5">
        <v>297</v>
      </c>
      <c r="H688" s="5">
        <v>322</v>
      </c>
      <c r="I688" s="5">
        <v>348</v>
      </c>
      <c r="J688" s="5">
        <v>374</v>
      </c>
      <c r="K688" s="5">
        <v>399</v>
      </c>
      <c r="L688" s="5">
        <v>426</v>
      </c>
      <c r="M688" s="5">
        <v>451</v>
      </c>
      <c r="N688" s="5">
        <v>477</v>
      </c>
      <c r="O688" s="5">
        <v>502</v>
      </c>
      <c r="P688" s="5">
        <v>528</v>
      </c>
      <c r="Q688" s="1160">
        <v>6</v>
      </c>
      <c r="R688"/>
      <c r="S688" s="1684"/>
      <c r="T688" s="1684"/>
      <c r="U688" s="1684"/>
      <c r="V688" s="1684"/>
      <c r="W688" s="1684"/>
      <c r="X688" s="1684"/>
      <c r="Y688" s="1684"/>
      <c r="Z688" s="1684"/>
      <c r="AA688" s="1684"/>
      <c r="AB688" s="1684"/>
      <c r="AC688" s="1684"/>
      <c r="AD688" s="1684"/>
      <c r="AE688" s="1684"/>
      <c r="AF688" s="1684"/>
      <c r="AG688" s="1684"/>
      <c r="AH688" s="1684"/>
      <c r="AI688" s="1684"/>
      <c r="AJ688" s="1684"/>
      <c r="AK688" s="1684"/>
      <c r="AL688" s="1684"/>
      <c r="AM688" s="1684"/>
      <c r="AN688" s="1684"/>
      <c r="AO688" s="1684"/>
      <c r="AP688" s="1684"/>
      <c r="AQ688" s="1684"/>
      <c r="AR688" s="1684"/>
      <c r="AS688" s="1684"/>
      <c r="AT688" s="1684"/>
      <c r="AU688" s="1684"/>
      <c r="AV688" s="1684"/>
      <c r="AW688" s="1684"/>
      <c r="AX688" s="1684"/>
      <c r="AY688" s="1684"/>
      <c r="AZ688" s="1684"/>
      <c r="BA688" s="1684"/>
      <c r="BB688" s="1684"/>
      <c r="BC688" s="1684"/>
      <c r="BD688" s="1684"/>
      <c r="BE688" s="1684"/>
      <c r="BF688" s="1684"/>
      <c r="BG688" s="1684"/>
      <c r="BH688" s="1684"/>
      <c r="BI688" s="1684"/>
      <c r="BJ688" s="1684"/>
      <c r="BK688" s="1684"/>
      <c r="BL688" s="1684"/>
      <c r="BM688" s="1684"/>
      <c r="BN688" s="1684"/>
      <c r="BO688" s="1684"/>
      <c r="BP688" s="1684"/>
      <c r="BQ688" s="1684"/>
      <c r="BR688" s="1684"/>
      <c r="BS688" s="1684"/>
      <c r="BT688" s="1684"/>
      <c r="BU688" s="1684"/>
      <c r="BV688" s="1684"/>
      <c r="BW688" s="1684"/>
      <c r="BX688" s="1684"/>
      <c r="BY688" s="1684"/>
      <c r="BZ688" s="1684"/>
      <c r="CA688" s="1684"/>
      <c r="CB688" s="1684"/>
      <c r="CC688" s="1684"/>
      <c r="CD688" s="1684"/>
      <c r="CE688" s="1684"/>
      <c r="CF688" s="1684"/>
      <c r="CG688" s="1684"/>
      <c r="CH688" s="1684"/>
      <c r="CI688" s="1684"/>
      <c r="CJ688" s="1684"/>
      <c r="CK688" s="1684"/>
      <c r="CL688" s="1684"/>
      <c r="CM688" s="1684"/>
      <c r="CN688" s="1684"/>
      <c r="CO688" s="1684"/>
    </row>
    <row r="689" spans="1:93" s="1391" customFormat="1" ht="15" x14ac:dyDescent="0.2">
      <c r="A689" s="1684"/>
      <c r="B689" s="1684"/>
      <c r="C689" s="2013">
        <v>14</v>
      </c>
      <c r="D689" s="5">
        <v>8.5869999999999997</v>
      </c>
      <c r="E689" s="5">
        <v>265</v>
      </c>
      <c r="F689" s="5">
        <v>295</v>
      </c>
      <c r="G689" s="5">
        <v>323</v>
      </c>
      <c r="H689" s="5">
        <v>351</v>
      </c>
      <c r="I689" s="5">
        <v>379</v>
      </c>
      <c r="J689" s="5">
        <v>406</v>
      </c>
      <c r="K689" s="5">
        <v>434</v>
      </c>
      <c r="L689" s="5">
        <v>464</v>
      </c>
      <c r="M689" s="5">
        <v>490</v>
      </c>
      <c r="N689" s="5">
        <v>518</v>
      </c>
      <c r="O689" s="5">
        <v>546</v>
      </c>
      <c r="P689" s="5">
        <v>574</v>
      </c>
      <c r="Q689" s="1160">
        <v>7</v>
      </c>
      <c r="R689"/>
      <c r="S689" s="1684"/>
      <c r="T689" s="1684"/>
      <c r="U689" s="1684"/>
      <c r="V689" s="1684"/>
      <c r="W689" s="1684"/>
      <c r="X689" s="1684"/>
      <c r="Y689" s="1684"/>
      <c r="Z689" s="1684"/>
      <c r="AA689" s="1684"/>
      <c r="AB689" s="1684"/>
      <c r="AC689" s="1684"/>
      <c r="AD689" s="1684"/>
      <c r="AE689" s="1684"/>
      <c r="AF689" s="1684"/>
      <c r="AG689" s="1684"/>
      <c r="AH689" s="1684"/>
      <c r="AI689" s="1684"/>
      <c r="AJ689" s="1684"/>
      <c r="AK689" s="1684"/>
      <c r="AL689" s="1684"/>
      <c r="AM689" s="1684"/>
      <c r="AN689" s="1684"/>
      <c r="AO689" s="1684"/>
      <c r="AP689" s="1684"/>
      <c r="AQ689" s="1684"/>
      <c r="AR689" s="1684"/>
      <c r="AS689" s="1684"/>
      <c r="AT689" s="1684"/>
      <c r="AU689" s="1684"/>
      <c r="AV689" s="1684"/>
      <c r="AW689" s="1684"/>
      <c r="AX689" s="1684"/>
      <c r="AY689" s="1684"/>
      <c r="AZ689" s="1684"/>
      <c r="BA689" s="1684"/>
      <c r="BB689" s="1684"/>
      <c r="BC689" s="1684"/>
      <c r="BD689" s="1684"/>
      <c r="BE689" s="1684"/>
      <c r="BF689" s="1684"/>
      <c r="BG689" s="1684"/>
      <c r="BH689" s="1684"/>
      <c r="BI689" s="1684"/>
      <c r="BJ689" s="1684"/>
      <c r="BK689" s="1684"/>
      <c r="BL689" s="1684"/>
      <c r="BM689" s="1684"/>
      <c r="BN689" s="1684"/>
      <c r="BO689" s="1684"/>
      <c r="BP689" s="1684"/>
      <c r="BQ689" s="1684"/>
      <c r="BR689" s="1684"/>
      <c r="BS689" s="1684"/>
      <c r="BT689" s="1684"/>
      <c r="BU689" s="1684"/>
      <c r="BV689" s="1684"/>
      <c r="BW689" s="1684"/>
      <c r="BX689" s="1684"/>
      <c r="BY689" s="1684"/>
      <c r="BZ689" s="1684"/>
      <c r="CA689" s="1684"/>
      <c r="CB689" s="1684"/>
      <c r="CC689" s="1684"/>
      <c r="CD689" s="1684"/>
      <c r="CE689" s="1684"/>
      <c r="CF689" s="1684"/>
      <c r="CG689" s="1684"/>
      <c r="CH689" s="1684"/>
      <c r="CI689" s="1684"/>
      <c r="CJ689" s="1684"/>
      <c r="CK689" s="1684"/>
      <c r="CL689" s="1684"/>
      <c r="CM689" s="1684"/>
      <c r="CN689" s="1684"/>
      <c r="CO689" s="1684"/>
    </row>
    <row r="690" spans="1:93" s="1391" customFormat="1" ht="15" x14ac:dyDescent="0.2">
      <c r="A690" s="1684"/>
      <c r="B690" s="1684"/>
      <c r="C690" s="2013">
        <v>15</v>
      </c>
      <c r="D690" s="5">
        <v>9.1419999999999995</v>
      </c>
      <c r="E690" s="5">
        <v>287</v>
      </c>
      <c r="F690" s="5">
        <v>319</v>
      </c>
      <c r="G690" s="5">
        <v>349</v>
      </c>
      <c r="H690" s="5">
        <v>380</v>
      </c>
      <c r="I690" s="5">
        <v>410</v>
      </c>
      <c r="J690" s="5">
        <v>440</v>
      </c>
      <c r="K690" s="5">
        <v>470</v>
      </c>
      <c r="L690" s="5">
        <v>502</v>
      </c>
      <c r="M690" s="5">
        <v>531</v>
      </c>
      <c r="N690" s="5">
        <v>561</v>
      </c>
      <c r="O690" s="5">
        <v>591</v>
      </c>
      <c r="P690" s="5">
        <v>622</v>
      </c>
      <c r="Q690" s="1160">
        <v>8</v>
      </c>
      <c r="R690"/>
      <c r="S690" s="1684"/>
      <c r="T690" s="1684"/>
      <c r="U690" s="1684"/>
      <c r="V690" s="1684"/>
      <c r="W690" s="1684"/>
      <c r="X690" s="1684"/>
      <c r="Y690" s="1684"/>
      <c r="Z690" s="1684"/>
      <c r="AA690" s="1684"/>
      <c r="AB690" s="1684"/>
      <c r="AC690" s="1684"/>
      <c r="AD690" s="1684"/>
      <c r="AE690" s="1684"/>
      <c r="AF690" s="1684"/>
      <c r="AG690" s="1684"/>
      <c r="AH690" s="1684"/>
      <c r="AI690" s="1684"/>
      <c r="AJ690" s="1684"/>
      <c r="AK690" s="1684"/>
      <c r="AL690" s="1684"/>
      <c r="AM690" s="1684"/>
      <c r="AN690" s="1684"/>
      <c r="AO690" s="1684"/>
      <c r="AP690" s="1684"/>
      <c r="AQ690" s="1684"/>
      <c r="AR690" s="1684"/>
      <c r="AS690" s="1684"/>
      <c r="AT690" s="1684"/>
      <c r="AU690" s="1684"/>
      <c r="AV690" s="1684"/>
      <c r="AW690" s="1684"/>
      <c r="AX690" s="1684"/>
      <c r="AY690" s="1684"/>
      <c r="AZ690" s="1684"/>
      <c r="BA690" s="1684"/>
      <c r="BB690" s="1684"/>
      <c r="BC690" s="1684"/>
      <c r="BD690" s="1684"/>
      <c r="BE690" s="1684"/>
      <c r="BF690" s="1684"/>
      <c r="BG690" s="1684"/>
      <c r="BH690" s="1684"/>
      <c r="BI690" s="1684"/>
      <c r="BJ690" s="1684"/>
      <c r="BK690" s="1684"/>
      <c r="BL690" s="1684"/>
      <c r="BM690" s="1684"/>
      <c r="BN690" s="1684"/>
      <c r="BO690" s="1684"/>
      <c r="BP690" s="1684"/>
      <c r="BQ690" s="1684"/>
      <c r="BR690" s="1684"/>
      <c r="BS690" s="1684"/>
      <c r="BT690" s="1684"/>
      <c r="BU690" s="1684"/>
      <c r="BV690" s="1684"/>
      <c r="BW690" s="1684"/>
      <c r="BX690" s="1684"/>
      <c r="BY690" s="1684"/>
      <c r="BZ690" s="1684"/>
      <c r="CA690" s="1684"/>
      <c r="CB690" s="1684"/>
      <c r="CC690" s="1684"/>
      <c r="CD690" s="1684"/>
      <c r="CE690" s="1684"/>
      <c r="CF690" s="1684"/>
      <c r="CG690" s="1684"/>
      <c r="CH690" s="1684"/>
      <c r="CI690" s="1684"/>
      <c r="CJ690" s="1684"/>
      <c r="CK690" s="1684"/>
      <c r="CL690" s="1684"/>
      <c r="CM690" s="1684"/>
      <c r="CN690" s="1684"/>
      <c r="CO690" s="1684"/>
    </row>
    <row r="691" spans="1:93" s="1391" customFormat="1" ht="15" x14ac:dyDescent="0.2">
      <c r="A691" s="1684"/>
      <c r="B691" s="1684"/>
      <c r="C691" s="2013">
        <v>16</v>
      </c>
      <c r="D691" s="5">
        <v>9.8469999999999995</v>
      </c>
      <c r="E691" s="5">
        <v>309</v>
      </c>
      <c r="F691" s="5">
        <v>343</v>
      </c>
      <c r="G691" s="5">
        <v>376</v>
      </c>
      <c r="H691" s="5">
        <v>408</v>
      </c>
      <c r="I691" s="5">
        <v>441</v>
      </c>
      <c r="J691" s="5">
        <v>473</v>
      </c>
      <c r="K691" s="5">
        <v>506</v>
      </c>
      <c r="L691" s="5">
        <v>540</v>
      </c>
      <c r="M691" s="5">
        <v>571</v>
      </c>
      <c r="N691" s="5">
        <v>603</v>
      </c>
      <c r="O691" s="5">
        <v>636</v>
      </c>
      <c r="P691" s="5">
        <v>668</v>
      </c>
      <c r="Q691" s="1160">
        <v>9</v>
      </c>
      <c r="R691"/>
      <c r="S691" s="1684"/>
      <c r="T691" s="1684"/>
      <c r="U691" s="1684"/>
      <c r="V691" s="1684"/>
      <c r="W691" s="1684"/>
      <c r="X691" s="1684"/>
      <c r="Y691" s="1684"/>
      <c r="Z691" s="1684"/>
      <c r="AA691" s="1684"/>
      <c r="AB691" s="1684"/>
      <c r="AC691" s="1684"/>
      <c r="AD691" s="1684"/>
      <c r="AE691" s="1684"/>
      <c r="AF691" s="1684"/>
      <c r="AG691" s="1684"/>
      <c r="AH691" s="1684"/>
      <c r="AI691" s="1684"/>
      <c r="AJ691" s="1684"/>
      <c r="AK691" s="1684"/>
      <c r="AL691" s="1684"/>
      <c r="AM691" s="1684"/>
      <c r="AN691" s="1684"/>
      <c r="AO691" s="1684"/>
      <c r="AP691" s="1684"/>
      <c r="AQ691" s="1684"/>
      <c r="AR691" s="1684"/>
      <c r="AS691" s="1684"/>
      <c r="AT691" s="1684"/>
      <c r="AU691" s="1684"/>
      <c r="AV691" s="1684"/>
      <c r="AW691" s="1684"/>
      <c r="AX691" s="1684"/>
      <c r="AY691" s="1684"/>
      <c r="AZ691" s="1684"/>
      <c r="BA691" s="1684"/>
      <c r="BB691" s="1684"/>
      <c r="BC691" s="1684"/>
      <c r="BD691" s="1684"/>
      <c r="BE691" s="1684"/>
      <c r="BF691" s="1684"/>
      <c r="BG691" s="1684"/>
      <c r="BH691" s="1684"/>
      <c r="BI691" s="1684"/>
      <c r="BJ691" s="1684"/>
      <c r="BK691" s="1684"/>
      <c r="BL691" s="1684"/>
      <c r="BM691" s="1684"/>
      <c r="BN691" s="1684"/>
      <c r="BO691" s="1684"/>
      <c r="BP691" s="1684"/>
      <c r="BQ691" s="1684"/>
      <c r="BR691" s="1684"/>
      <c r="BS691" s="1684"/>
      <c r="BT691" s="1684"/>
      <c r="BU691" s="1684"/>
      <c r="BV691" s="1684"/>
      <c r="BW691" s="1684"/>
      <c r="BX691" s="1684"/>
      <c r="BY691" s="1684"/>
      <c r="BZ691" s="1684"/>
      <c r="CA691" s="1684"/>
      <c r="CB691" s="1684"/>
      <c r="CC691" s="1684"/>
      <c r="CD691" s="1684"/>
      <c r="CE691" s="1684"/>
      <c r="CF691" s="1684"/>
      <c r="CG691" s="1684"/>
      <c r="CH691" s="1684"/>
      <c r="CI691" s="1684"/>
      <c r="CJ691" s="1684"/>
      <c r="CK691" s="1684"/>
      <c r="CL691" s="1684"/>
      <c r="CM691" s="1684"/>
      <c r="CN691" s="1684"/>
      <c r="CO691" s="1684"/>
    </row>
    <row r="692" spans="1:93" s="1391" customFormat="1" ht="15" x14ac:dyDescent="0.2">
      <c r="A692" s="1684"/>
      <c r="B692" s="1684"/>
      <c r="C692" s="2013">
        <v>17</v>
      </c>
      <c r="D692" s="5">
        <v>10.593</v>
      </c>
      <c r="E692" s="5">
        <v>329</v>
      </c>
      <c r="F692" s="5">
        <v>363</v>
      </c>
      <c r="G692" s="5">
        <v>400</v>
      </c>
      <c r="H692" s="5">
        <v>433</v>
      </c>
      <c r="I692" s="5">
        <v>469</v>
      </c>
      <c r="J692" s="5">
        <v>504</v>
      </c>
      <c r="K692" s="5">
        <v>538</v>
      </c>
      <c r="L692" s="5">
        <v>575</v>
      </c>
      <c r="M692" s="5">
        <v>608</v>
      </c>
      <c r="N692" s="5">
        <v>642</v>
      </c>
      <c r="O692" s="5">
        <v>677</v>
      </c>
      <c r="P692" s="5">
        <v>712</v>
      </c>
      <c r="Q692" s="1160">
        <v>10</v>
      </c>
      <c r="R692"/>
      <c r="S692" s="1684"/>
      <c r="T692" s="1684"/>
      <c r="U692" s="1684"/>
      <c r="V692" s="1684"/>
      <c r="W692" s="1684"/>
      <c r="X692" s="1684"/>
      <c r="Y692" s="1684"/>
      <c r="Z692" s="1684"/>
      <c r="AA692" s="1684"/>
      <c r="AB692" s="1684"/>
      <c r="AC692" s="1684"/>
      <c r="AD692" s="1684"/>
      <c r="AE692" s="1684"/>
      <c r="AF692" s="1684"/>
      <c r="AG692" s="1684"/>
      <c r="AH692" s="1684"/>
      <c r="AI692" s="1684"/>
      <c r="AJ692" s="1684"/>
      <c r="AK692" s="1684"/>
      <c r="AL692" s="1684"/>
      <c r="AM692" s="1684"/>
      <c r="AN692" s="1684"/>
      <c r="AO692" s="1684"/>
      <c r="AP692" s="1684"/>
      <c r="AQ692" s="1684"/>
      <c r="AR692" s="1684"/>
      <c r="AS692" s="1684"/>
      <c r="AT692" s="1684"/>
      <c r="AU692" s="1684"/>
      <c r="AV692" s="1684"/>
      <c r="AW692" s="1684"/>
      <c r="AX692" s="1684"/>
      <c r="AY692" s="1684"/>
      <c r="AZ692" s="1684"/>
      <c r="BA692" s="1684"/>
      <c r="BB692" s="1684"/>
      <c r="BC692" s="1684"/>
      <c r="BD692" s="1684"/>
      <c r="BE692" s="1684"/>
      <c r="BF692" s="1684"/>
      <c r="BG692" s="1684"/>
      <c r="BH692" s="1684"/>
      <c r="BI692" s="1684"/>
      <c r="BJ692" s="1684"/>
      <c r="BK692" s="1684"/>
      <c r="BL692" s="1684"/>
      <c r="BM692" s="1684"/>
      <c r="BN692" s="1684"/>
      <c r="BO692" s="1684"/>
      <c r="BP692" s="1684"/>
      <c r="BQ692" s="1684"/>
      <c r="BR692" s="1684"/>
      <c r="BS692" s="1684"/>
      <c r="BT692" s="1684"/>
      <c r="BU692" s="1684"/>
      <c r="BV692" s="1684"/>
      <c r="BW692" s="1684"/>
      <c r="BX692" s="1684"/>
      <c r="BY692" s="1684"/>
      <c r="BZ692" s="1684"/>
      <c r="CA692" s="1684"/>
      <c r="CB692" s="1684"/>
      <c r="CC692" s="1684"/>
      <c r="CD692" s="1684"/>
      <c r="CE692" s="1684"/>
      <c r="CF692" s="1684"/>
      <c r="CG692" s="1684"/>
      <c r="CH692" s="1684"/>
      <c r="CI692" s="1684"/>
      <c r="CJ692" s="1684"/>
      <c r="CK692" s="1684"/>
      <c r="CL692" s="1684"/>
      <c r="CM692" s="1684"/>
      <c r="CN692" s="1684"/>
      <c r="CO692" s="1684"/>
    </row>
    <row r="693" spans="1:93" s="1391" customFormat="1" ht="15" x14ac:dyDescent="0.2">
      <c r="A693" s="1684"/>
      <c r="B693" s="1684"/>
      <c r="C693" s="2013">
        <v>18</v>
      </c>
      <c r="D693" s="5">
        <v>11.077</v>
      </c>
      <c r="E693" s="5">
        <v>347</v>
      </c>
      <c r="F693" s="5">
        <v>386</v>
      </c>
      <c r="G693" s="5">
        <v>422</v>
      </c>
      <c r="H693" s="5">
        <v>459</v>
      </c>
      <c r="I693" s="5">
        <v>495</v>
      </c>
      <c r="J693" s="5">
        <v>532</v>
      </c>
      <c r="K693" s="5">
        <v>568</v>
      </c>
      <c r="L693" s="5">
        <v>607</v>
      </c>
      <c r="M693" s="5">
        <v>642</v>
      </c>
      <c r="N693" s="5">
        <v>678</v>
      </c>
      <c r="O693" s="5">
        <v>715</v>
      </c>
      <c r="P693" s="5">
        <v>751</v>
      </c>
      <c r="Q693" s="1160">
        <v>11</v>
      </c>
      <c r="R693"/>
      <c r="S693" s="1684"/>
      <c r="T693" s="1684"/>
      <c r="U693" s="1684"/>
      <c r="V693" s="1684"/>
      <c r="W693" s="1684"/>
      <c r="X693" s="1684"/>
      <c r="Y693" s="1684"/>
      <c r="Z693" s="1684"/>
      <c r="AA693" s="1684"/>
      <c r="AB693" s="1684"/>
      <c r="AC693" s="1684"/>
      <c r="AD693" s="1684"/>
      <c r="AE693" s="1684"/>
      <c r="AF693" s="1684"/>
      <c r="AG693" s="1684"/>
      <c r="AH693" s="1684"/>
      <c r="AI693" s="1684"/>
      <c r="AJ693" s="1684"/>
      <c r="AK693" s="1684"/>
      <c r="AL693" s="1684"/>
      <c r="AM693" s="1684"/>
      <c r="AN693" s="1684"/>
      <c r="AO693" s="1684"/>
      <c r="AP693" s="1684"/>
      <c r="AQ693" s="1684"/>
      <c r="AR693" s="1684"/>
      <c r="AS693" s="1684"/>
      <c r="AT693" s="1684"/>
      <c r="AU693" s="1684"/>
      <c r="AV693" s="1684"/>
      <c r="AW693" s="1684"/>
      <c r="AX693" s="1684"/>
      <c r="AY693" s="1684"/>
      <c r="AZ693" s="1684"/>
      <c r="BA693" s="1684"/>
      <c r="BB693" s="1684"/>
      <c r="BC693" s="1684"/>
      <c r="BD693" s="1684"/>
      <c r="BE693" s="1684"/>
      <c r="BF693" s="1684"/>
      <c r="BG693" s="1684"/>
      <c r="BH693" s="1684"/>
      <c r="BI693" s="1684"/>
      <c r="BJ693" s="1684"/>
      <c r="BK693" s="1684"/>
      <c r="BL693" s="1684"/>
      <c r="BM693" s="1684"/>
      <c r="BN693" s="1684"/>
      <c r="BO693" s="1684"/>
      <c r="BP693" s="1684"/>
      <c r="BQ693" s="1684"/>
      <c r="BR693" s="1684"/>
      <c r="BS693" s="1684"/>
      <c r="BT693" s="1684"/>
      <c r="BU693" s="1684"/>
      <c r="BV693" s="1684"/>
      <c r="BW693" s="1684"/>
      <c r="BX693" s="1684"/>
      <c r="BY693" s="1684"/>
      <c r="BZ693" s="1684"/>
      <c r="CA693" s="1684"/>
      <c r="CB693" s="1684"/>
      <c r="CC693" s="1684"/>
      <c r="CD693" s="1684"/>
      <c r="CE693" s="1684"/>
      <c r="CF693" s="1684"/>
      <c r="CG693" s="1684"/>
      <c r="CH693" s="1684"/>
      <c r="CI693" s="1684"/>
      <c r="CJ693" s="1684"/>
      <c r="CK693" s="1684"/>
      <c r="CL693" s="1684"/>
      <c r="CM693" s="1684"/>
      <c r="CN693" s="1684"/>
      <c r="CO693" s="1684"/>
    </row>
    <row r="694" spans="1:93" s="1391" customFormat="1" ht="15" x14ac:dyDescent="0.2">
      <c r="A694" s="1684"/>
      <c r="B694" s="1684"/>
      <c r="C694" s="4680" t="s">
        <v>3691</v>
      </c>
      <c r="D694" s="4681"/>
      <c r="E694" s="4681"/>
      <c r="F694" s="4681"/>
      <c r="G694" s="4681"/>
      <c r="H694" s="4681"/>
      <c r="I694" s="4681"/>
      <c r="J694" s="4681"/>
      <c r="K694" s="4681"/>
      <c r="L694" s="4681"/>
      <c r="M694" s="4681"/>
      <c r="N694" s="4681"/>
      <c r="O694" s="4681"/>
      <c r="P694" s="4681"/>
      <c r="Q694" s="4682"/>
      <c r="R694"/>
      <c r="S694" s="1684"/>
      <c r="T694" s="1684"/>
      <c r="U694" s="1684"/>
      <c r="V694" s="1684"/>
      <c r="W694" s="1684"/>
      <c r="X694" s="1684"/>
      <c r="Y694" s="1684"/>
      <c r="Z694" s="1684"/>
      <c r="AA694" s="1684"/>
      <c r="AB694" s="1684"/>
      <c r="AC694" s="1684"/>
      <c r="AD694" s="1684"/>
      <c r="AE694" s="1684"/>
      <c r="AF694" s="1684"/>
      <c r="AG694" s="1684"/>
      <c r="AH694" s="1684"/>
      <c r="AI694" s="1684"/>
      <c r="AJ694" s="1684"/>
      <c r="AK694" s="1684"/>
      <c r="AL694" s="1684"/>
      <c r="AM694" s="1684"/>
      <c r="AN694" s="1684"/>
      <c r="AO694" s="1684"/>
      <c r="AP694" s="1684"/>
      <c r="AQ694" s="1684"/>
      <c r="AR694" s="1684"/>
      <c r="AS694" s="1684"/>
      <c r="AT694" s="1684"/>
      <c r="AU694" s="1684"/>
      <c r="AV694" s="1684"/>
      <c r="AW694" s="1684"/>
      <c r="AX694" s="1684"/>
      <c r="AY694" s="1684"/>
      <c r="AZ694" s="1684"/>
      <c r="BA694" s="1684"/>
      <c r="BB694" s="1684"/>
      <c r="BC694" s="1684"/>
      <c r="BD694" s="1684"/>
      <c r="BE694" s="1684"/>
      <c r="BF694" s="1684"/>
      <c r="BG694" s="1684"/>
      <c r="BH694" s="1684"/>
      <c r="BI694" s="1684"/>
      <c r="BJ694" s="1684"/>
      <c r="BK694" s="1684"/>
      <c r="BL694" s="1684"/>
      <c r="BM694" s="1684"/>
      <c r="BN694" s="1684"/>
      <c r="BO694" s="1684"/>
      <c r="BP694" s="1684"/>
      <c r="BQ694" s="1684"/>
      <c r="BR694" s="1684"/>
      <c r="BS694" s="1684"/>
      <c r="BT694" s="1684"/>
      <c r="BU694" s="1684"/>
      <c r="BV694" s="1684"/>
      <c r="BW694" s="1684"/>
      <c r="BX694" s="1684"/>
      <c r="BY694" s="1684"/>
      <c r="BZ694" s="1684"/>
      <c r="CA694" s="1684"/>
      <c r="CB694" s="1684"/>
      <c r="CC694" s="1684"/>
      <c r="CD694" s="1684"/>
      <c r="CE694" s="1684"/>
      <c r="CF694" s="1684"/>
      <c r="CG694" s="1684"/>
      <c r="CH694" s="1684"/>
      <c r="CI694" s="1684"/>
      <c r="CJ694" s="1684"/>
      <c r="CK694" s="1684"/>
      <c r="CL694" s="1684"/>
      <c r="CM694" s="1684"/>
      <c r="CN694" s="1684"/>
      <c r="CO694" s="1684"/>
    </row>
    <row r="695" spans="1:93" s="1391" customFormat="1" ht="15" x14ac:dyDescent="0.2">
      <c r="A695" s="1684"/>
      <c r="B695" s="1684"/>
      <c r="C695" s="4680"/>
      <c r="D695" s="4681"/>
      <c r="E695" s="4681"/>
      <c r="F695" s="4681"/>
      <c r="G695" s="4681"/>
      <c r="H695" s="4681"/>
      <c r="I695" s="4681"/>
      <c r="J695" s="4681"/>
      <c r="K695" s="4681"/>
      <c r="L695" s="4681"/>
      <c r="M695" s="4681"/>
      <c r="N695" s="4681"/>
      <c r="O695" s="4681"/>
      <c r="P695" s="4681"/>
      <c r="Q695" s="4682"/>
      <c r="R695"/>
      <c r="S695" s="1684"/>
      <c r="T695" s="1684"/>
      <c r="U695" s="1684"/>
      <c r="V695" s="1684"/>
      <c r="W695" s="1684"/>
      <c r="X695" s="1684"/>
      <c r="Y695" s="1684"/>
      <c r="Z695" s="1684"/>
      <c r="AA695" s="1684"/>
      <c r="AB695" s="1684"/>
      <c r="AC695" s="1684"/>
      <c r="AD695" s="1684"/>
      <c r="AE695" s="1684"/>
      <c r="AF695" s="1684"/>
      <c r="AG695" s="1684"/>
      <c r="AH695" s="1684"/>
      <c r="AI695" s="1684"/>
      <c r="AJ695" s="1684"/>
      <c r="AK695" s="1684"/>
      <c r="AL695" s="1684"/>
      <c r="AM695" s="1684"/>
      <c r="AN695" s="1684"/>
      <c r="AO695" s="1684"/>
      <c r="AP695" s="1684"/>
      <c r="AQ695" s="1684"/>
      <c r="AR695" s="1684"/>
      <c r="AS695" s="1684"/>
      <c r="AT695" s="1684"/>
      <c r="AU695" s="1684"/>
      <c r="AV695" s="1684"/>
      <c r="AW695" s="1684"/>
      <c r="AX695" s="1684"/>
      <c r="AY695" s="1684"/>
      <c r="AZ695" s="1684"/>
      <c r="BA695" s="1684"/>
      <c r="BB695" s="1684"/>
      <c r="BC695" s="1684"/>
      <c r="BD695" s="1684"/>
      <c r="BE695" s="1684"/>
      <c r="BF695" s="1684"/>
      <c r="BG695" s="1684"/>
      <c r="BH695" s="1684"/>
      <c r="BI695" s="1684"/>
      <c r="BJ695" s="1684"/>
      <c r="BK695" s="1684"/>
      <c r="BL695" s="1684"/>
      <c r="BM695" s="1684"/>
      <c r="BN695" s="1684"/>
      <c r="BO695" s="1684"/>
      <c r="BP695" s="1684"/>
      <c r="BQ695" s="1684"/>
      <c r="BR695" s="1684"/>
      <c r="BS695" s="1684"/>
      <c r="BT695" s="1684"/>
      <c r="BU695" s="1684"/>
      <c r="BV695" s="1684"/>
      <c r="BW695" s="1684"/>
      <c r="BX695" s="1684"/>
      <c r="BY695" s="1684"/>
      <c r="BZ695" s="1684"/>
      <c r="CA695" s="1684"/>
      <c r="CB695" s="1684"/>
      <c r="CC695" s="1684"/>
      <c r="CD695" s="1684"/>
      <c r="CE695" s="1684"/>
      <c r="CF695" s="1684"/>
      <c r="CG695" s="1684"/>
      <c r="CH695" s="1684"/>
      <c r="CI695" s="1684"/>
      <c r="CJ695" s="1684"/>
      <c r="CK695" s="1684"/>
      <c r="CL695" s="1684"/>
      <c r="CM695" s="1684"/>
      <c r="CN695" s="1684"/>
      <c r="CO695" s="1684"/>
    </row>
    <row r="696" spans="1:93" s="1391" customFormat="1" ht="15" x14ac:dyDescent="0.2">
      <c r="A696" s="1684"/>
      <c r="B696" s="1684"/>
      <c r="C696" s="2014"/>
      <c r="D696" s="2015"/>
      <c r="E696" s="2015">
        <v>1</v>
      </c>
      <c r="F696" s="2015">
        <v>2</v>
      </c>
      <c r="G696" s="2015">
        <v>3</v>
      </c>
      <c r="H696" s="2015">
        <v>4</v>
      </c>
      <c r="I696" s="2015">
        <v>5</v>
      </c>
      <c r="J696" s="2015">
        <v>6</v>
      </c>
      <c r="K696" s="2015">
        <v>7</v>
      </c>
      <c r="L696" s="2015">
        <v>8</v>
      </c>
      <c r="M696" s="2015">
        <v>9</v>
      </c>
      <c r="N696" s="2015">
        <v>10</v>
      </c>
      <c r="O696" s="2015">
        <v>11</v>
      </c>
      <c r="P696" s="2015">
        <v>12</v>
      </c>
      <c r="Q696" s="2016"/>
      <c r="R696"/>
      <c r="S696" s="1684"/>
      <c r="T696" s="1684"/>
      <c r="U696" s="1684"/>
      <c r="V696" s="1684"/>
      <c r="W696" s="1684"/>
      <c r="X696" s="1684"/>
      <c r="Y696" s="1684"/>
      <c r="Z696" s="1684"/>
      <c r="AA696" s="1684"/>
      <c r="AB696" s="1684"/>
      <c r="AC696" s="1684"/>
      <c r="AD696" s="1684"/>
      <c r="AE696" s="1684"/>
      <c r="AF696" s="1684"/>
      <c r="AG696" s="1684"/>
      <c r="AH696" s="1684"/>
      <c r="AI696" s="1684"/>
      <c r="AJ696" s="1684"/>
      <c r="AK696" s="1684"/>
      <c r="AL696" s="1684"/>
      <c r="AM696" s="1684"/>
      <c r="AN696" s="1684"/>
      <c r="AO696" s="1684"/>
      <c r="AP696" s="1684"/>
      <c r="AQ696" s="1684"/>
      <c r="AR696" s="1684"/>
      <c r="AS696" s="1684"/>
      <c r="AT696" s="1684"/>
      <c r="AU696" s="1684"/>
      <c r="AV696" s="1684"/>
      <c r="AW696" s="1684"/>
      <c r="AX696" s="1684"/>
      <c r="AY696" s="1684"/>
      <c r="AZ696" s="1684"/>
      <c r="BA696" s="1684"/>
      <c r="BB696" s="1684"/>
      <c r="BC696" s="1684"/>
      <c r="BD696" s="1684"/>
      <c r="BE696" s="1684"/>
      <c r="BF696" s="1684"/>
      <c r="BG696" s="1684"/>
      <c r="BH696" s="1684"/>
      <c r="BI696" s="1684"/>
      <c r="BJ696" s="1684"/>
      <c r="BK696" s="1684"/>
      <c r="BL696" s="1684"/>
      <c r="BM696" s="1684"/>
      <c r="BN696" s="1684"/>
      <c r="BO696" s="1684"/>
      <c r="BP696" s="1684"/>
      <c r="BQ696" s="1684"/>
      <c r="BR696" s="1684"/>
      <c r="BS696" s="1684"/>
      <c r="BT696" s="1684"/>
      <c r="BU696" s="1684"/>
      <c r="BV696" s="1684"/>
      <c r="BW696" s="1684"/>
      <c r="BX696" s="1684"/>
      <c r="BY696" s="1684"/>
      <c r="BZ696" s="1684"/>
      <c r="CA696" s="1684"/>
      <c r="CB696" s="1684"/>
      <c r="CC696" s="1684"/>
      <c r="CD696" s="1684"/>
      <c r="CE696" s="1684"/>
      <c r="CF696" s="1684"/>
      <c r="CG696" s="1684"/>
      <c r="CH696" s="1684"/>
      <c r="CI696" s="1684"/>
      <c r="CJ696" s="1684"/>
      <c r="CK696" s="1684"/>
      <c r="CL696" s="1684"/>
      <c r="CM696" s="1684"/>
      <c r="CN696" s="1684"/>
      <c r="CO696" s="1684"/>
    </row>
    <row r="697" spans="1:93" s="1391" customFormat="1" ht="15" x14ac:dyDescent="0.2">
      <c r="A697" s="1684"/>
      <c r="B697" s="1684"/>
      <c r="C697" s="2013">
        <v>8</v>
      </c>
      <c r="D697" s="5">
        <v>5.9610000000000003</v>
      </c>
      <c r="E697" s="5">
        <v>160</v>
      </c>
      <c r="F697" s="5">
        <v>177</v>
      </c>
      <c r="G697" s="5">
        <v>194</v>
      </c>
      <c r="H697" s="5">
        <v>211</v>
      </c>
      <c r="I697" s="5">
        <v>228</v>
      </c>
      <c r="J697" s="5">
        <v>245</v>
      </c>
      <c r="K697" s="5">
        <v>261</v>
      </c>
      <c r="L697" s="5">
        <v>279</v>
      </c>
      <c r="M697" s="5">
        <v>295</v>
      </c>
      <c r="N697" s="5">
        <v>312</v>
      </c>
      <c r="O697" s="5">
        <v>329</v>
      </c>
      <c r="P697" s="5">
        <v>346</v>
      </c>
      <c r="Q697" s="1160">
        <v>12</v>
      </c>
      <c r="R697"/>
      <c r="S697" s="1684"/>
      <c r="T697" s="1684"/>
      <c r="U697" s="1684"/>
      <c r="V697" s="1684"/>
      <c r="W697" s="1684"/>
      <c r="X697" s="1684"/>
      <c r="Y697" s="1684"/>
      <c r="Z697" s="1684"/>
      <c r="AA697" s="1684"/>
      <c r="AB697" s="1684"/>
      <c r="AC697" s="1684"/>
      <c r="AD697" s="1684"/>
      <c r="AE697" s="1684"/>
      <c r="AF697" s="1684"/>
      <c r="AG697" s="1684"/>
      <c r="AH697" s="1684"/>
      <c r="AI697" s="1684"/>
      <c r="AJ697" s="1684"/>
      <c r="AK697" s="1684"/>
      <c r="AL697" s="1684"/>
      <c r="AM697" s="1684"/>
      <c r="AN697" s="1684"/>
      <c r="AO697" s="1684"/>
      <c r="AP697" s="1684"/>
      <c r="AQ697" s="1684"/>
      <c r="AR697" s="1684"/>
      <c r="AS697" s="1684"/>
      <c r="AT697" s="1684"/>
      <c r="AU697" s="1684"/>
      <c r="AV697" s="1684"/>
      <c r="AW697" s="1684"/>
      <c r="AX697" s="1684"/>
      <c r="AY697" s="1684"/>
      <c r="AZ697" s="1684"/>
      <c r="BA697" s="1684"/>
      <c r="BB697" s="1684"/>
      <c r="BC697" s="1684"/>
      <c r="BD697" s="1684"/>
      <c r="BE697" s="1684"/>
      <c r="BF697" s="1684"/>
      <c r="BG697" s="1684"/>
      <c r="BH697" s="1684"/>
      <c r="BI697" s="1684"/>
      <c r="BJ697" s="1684"/>
      <c r="BK697" s="1684"/>
      <c r="BL697" s="1684"/>
      <c r="BM697" s="1684"/>
      <c r="BN697" s="1684"/>
      <c r="BO697" s="1684"/>
      <c r="BP697" s="1684"/>
      <c r="BQ697" s="1684"/>
      <c r="BR697" s="1684"/>
      <c r="BS697" s="1684"/>
      <c r="BT697" s="1684"/>
      <c r="BU697" s="1684"/>
      <c r="BV697" s="1684"/>
      <c r="BW697" s="1684"/>
      <c r="BX697" s="1684"/>
      <c r="BY697" s="1684"/>
      <c r="BZ697" s="1684"/>
      <c r="CA697" s="1684"/>
      <c r="CB697" s="1684"/>
      <c r="CC697" s="1684"/>
      <c r="CD697" s="1684"/>
      <c r="CE697" s="1684"/>
      <c r="CF697" s="1684"/>
      <c r="CG697" s="1684"/>
      <c r="CH697" s="1684"/>
      <c r="CI697" s="1684"/>
      <c r="CJ697" s="1684"/>
      <c r="CK697" s="1684"/>
      <c r="CL697" s="1684"/>
      <c r="CM697" s="1684"/>
      <c r="CN697" s="1684"/>
      <c r="CO697" s="1684"/>
    </row>
    <row r="698" spans="1:93" s="1391" customFormat="1" ht="15" x14ac:dyDescent="0.2">
      <c r="A698" s="1684"/>
      <c r="B698" s="1684"/>
      <c r="C698" s="2013">
        <v>9</v>
      </c>
      <c r="D698" s="5">
        <v>6.3719999999999999</v>
      </c>
      <c r="E698" s="5">
        <v>177</v>
      </c>
      <c r="F698" s="5">
        <v>197</v>
      </c>
      <c r="G698" s="5">
        <v>215</v>
      </c>
      <c r="H698" s="5">
        <v>234</v>
      </c>
      <c r="I698" s="5">
        <v>252</v>
      </c>
      <c r="J698" s="5">
        <v>271</v>
      </c>
      <c r="K698" s="5">
        <v>290</v>
      </c>
      <c r="L698" s="5">
        <v>309</v>
      </c>
      <c r="M698" s="5">
        <v>327</v>
      </c>
      <c r="N698" s="5">
        <v>346</v>
      </c>
      <c r="O698" s="5">
        <v>364</v>
      </c>
      <c r="P698" s="5">
        <v>383</v>
      </c>
      <c r="Q698" s="1160">
        <v>13</v>
      </c>
      <c r="R698"/>
      <c r="S698" s="1684"/>
      <c r="T698" s="1684"/>
      <c r="U698" s="1684"/>
      <c r="V698" s="1684"/>
      <c r="W698" s="1684"/>
      <c r="X698" s="1684"/>
      <c r="Y698" s="1684"/>
      <c r="Z698" s="1684"/>
      <c r="AA698" s="1684"/>
      <c r="AB698" s="1684"/>
      <c r="AC698" s="1684"/>
      <c r="AD698" s="1684"/>
      <c r="AE698" s="1684"/>
      <c r="AF698" s="1684"/>
      <c r="AG698" s="1684"/>
      <c r="AH698" s="1684"/>
      <c r="AI698" s="1684"/>
      <c r="AJ698" s="1684"/>
      <c r="AK698" s="1684"/>
      <c r="AL698" s="1684"/>
      <c r="AM698" s="1684"/>
      <c r="AN698" s="1684"/>
      <c r="AO698" s="1684"/>
      <c r="AP698" s="1684"/>
      <c r="AQ698" s="1684"/>
      <c r="AR698" s="1684"/>
      <c r="AS698" s="1684"/>
      <c r="AT698" s="1684"/>
      <c r="AU698" s="1684"/>
      <c r="AV698" s="1684"/>
      <c r="AW698" s="1684"/>
      <c r="AX698" s="1684"/>
      <c r="AY698" s="1684"/>
      <c r="AZ698" s="1684"/>
      <c r="BA698" s="1684"/>
      <c r="BB698" s="1684"/>
      <c r="BC698" s="1684"/>
      <c r="BD698" s="1684"/>
      <c r="BE698" s="1684"/>
      <c r="BF698" s="1684"/>
      <c r="BG698" s="1684"/>
      <c r="BH698" s="1684"/>
      <c r="BI698" s="1684"/>
      <c r="BJ698" s="1684"/>
      <c r="BK698" s="1684"/>
      <c r="BL698" s="1684"/>
      <c r="BM698" s="1684"/>
      <c r="BN698" s="1684"/>
      <c r="BO698" s="1684"/>
      <c r="BP698" s="1684"/>
      <c r="BQ698" s="1684"/>
      <c r="BR698" s="1684"/>
      <c r="BS698" s="1684"/>
      <c r="BT698" s="1684"/>
      <c r="BU698" s="1684"/>
      <c r="BV698" s="1684"/>
      <c r="BW698" s="1684"/>
      <c r="BX698" s="1684"/>
      <c r="BY698" s="1684"/>
      <c r="BZ698" s="1684"/>
      <c r="CA698" s="1684"/>
      <c r="CB698" s="1684"/>
      <c r="CC698" s="1684"/>
      <c r="CD698" s="1684"/>
      <c r="CE698" s="1684"/>
      <c r="CF698" s="1684"/>
      <c r="CG698" s="1684"/>
      <c r="CH698" s="1684"/>
      <c r="CI698" s="1684"/>
      <c r="CJ698" s="1684"/>
      <c r="CK698" s="1684"/>
      <c r="CL698" s="1684"/>
      <c r="CM698" s="1684"/>
      <c r="CN698" s="1684"/>
      <c r="CO698" s="1684"/>
    </row>
    <row r="699" spans="1:93" s="1391" customFormat="1" ht="15" x14ac:dyDescent="0.2">
      <c r="A699" s="1684"/>
      <c r="B699" s="1684"/>
      <c r="C699" s="2013">
        <v>10</v>
      </c>
      <c r="D699" s="5">
        <v>6.8079999999999998</v>
      </c>
      <c r="E699" s="5">
        <v>195</v>
      </c>
      <c r="F699" s="5">
        <v>217</v>
      </c>
      <c r="G699" s="5">
        <v>237</v>
      </c>
      <c r="H699" s="5">
        <v>258</v>
      </c>
      <c r="I699" s="5">
        <v>278</v>
      </c>
      <c r="J699" s="5">
        <v>299</v>
      </c>
      <c r="K699" s="5">
        <v>320</v>
      </c>
      <c r="L699" s="5">
        <v>341</v>
      </c>
      <c r="M699" s="5">
        <v>361</v>
      </c>
      <c r="N699" s="5">
        <v>381</v>
      </c>
      <c r="O699" s="5">
        <v>402</v>
      </c>
      <c r="P699" s="5">
        <v>422</v>
      </c>
      <c r="Q699" s="1160">
        <v>14</v>
      </c>
      <c r="R699"/>
      <c r="S699" s="1684"/>
      <c r="T699" s="1684"/>
      <c r="U699" s="1684"/>
      <c r="V699" s="1684"/>
      <c r="W699" s="1684"/>
      <c r="X699" s="1684"/>
      <c r="Y699" s="1684"/>
      <c r="Z699" s="1684"/>
      <c r="AA699" s="1684"/>
      <c r="AB699" s="1684"/>
      <c r="AC699" s="1684"/>
      <c r="AD699" s="1684"/>
      <c r="AE699" s="1684"/>
      <c r="AF699" s="1684"/>
      <c r="AG699" s="1684"/>
      <c r="AH699" s="1684"/>
      <c r="AI699" s="1684"/>
      <c r="AJ699" s="1684"/>
      <c r="AK699" s="1684"/>
      <c r="AL699" s="1684"/>
      <c r="AM699" s="1684"/>
      <c r="AN699" s="1684"/>
      <c r="AO699" s="1684"/>
      <c r="AP699" s="1684"/>
      <c r="AQ699" s="1684"/>
      <c r="AR699" s="1684"/>
      <c r="AS699" s="1684"/>
      <c r="AT699" s="1684"/>
      <c r="AU699" s="1684"/>
      <c r="AV699" s="1684"/>
      <c r="AW699" s="1684"/>
      <c r="AX699" s="1684"/>
      <c r="AY699" s="1684"/>
      <c r="AZ699" s="1684"/>
      <c r="BA699" s="1684"/>
      <c r="BB699" s="1684"/>
      <c r="BC699" s="1684"/>
      <c r="BD699" s="1684"/>
      <c r="BE699" s="1684"/>
      <c r="BF699" s="1684"/>
      <c r="BG699" s="1684"/>
      <c r="BH699" s="1684"/>
      <c r="BI699" s="1684"/>
      <c r="BJ699" s="1684"/>
      <c r="BK699" s="1684"/>
      <c r="BL699" s="1684"/>
      <c r="BM699" s="1684"/>
      <c r="BN699" s="1684"/>
      <c r="BO699" s="1684"/>
      <c r="BP699" s="1684"/>
      <c r="BQ699" s="1684"/>
      <c r="BR699" s="1684"/>
      <c r="BS699" s="1684"/>
      <c r="BT699" s="1684"/>
      <c r="BU699" s="1684"/>
      <c r="BV699" s="1684"/>
      <c r="BW699" s="1684"/>
      <c r="BX699" s="1684"/>
      <c r="BY699" s="1684"/>
      <c r="BZ699" s="1684"/>
      <c r="CA699" s="1684"/>
      <c r="CB699" s="1684"/>
      <c r="CC699" s="1684"/>
      <c r="CD699" s="1684"/>
      <c r="CE699" s="1684"/>
      <c r="CF699" s="1684"/>
      <c r="CG699" s="1684"/>
      <c r="CH699" s="1684"/>
      <c r="CI699" s="1684"/>
      <c r="CJ699" s="1684"/>
      <c r="CK699" s="1684"/>
      <c r="CL699" s="1684"/>
      <c r="CM699" s="1684"/>
      <c r="CN699" s="1684"/>
      <c r="CO699" s="1684"/>
    </row>
    <row r="700" spans="1:93" s="1391" customFormat="1" ht="15" x14ac:dyDescent="0.2">
      <c r="A700" s="1684"/>
      <c r="B700" s="1684"/>
      <c r="C700" s="2013">
        <v>11</v>
      </c>
      <c r="D700" s="5">
        <v>7.3019999999999996</v>
      </c>
      <c r="E700" s="5">
        <v>216</v>
      </c>
      <c r="F700" s="5">
        <v>240</v>
      </c>
      <c r="G700" s="5">
        <v>262</v>
      </c>
      <c r="H700" s="5">
        <v>285</v>
      </c>
      <c r="I700" s="5">
        <v>308</v>
      </c>
      <c r="J700" s="5">
        <v>330</v>
      </c>
      <c r="K700" s="5">
        <v>353</v>
      </c>
      <c r="L700" s="5">
        <v>377</v>
      </c>
      <c r="M700" s="5">
        <v>399</v>
      </c>
      <c r="N700" s="5">
        <v>421</v>
      </c>
      <c r="O700" s="5">
        <v>444</v>
      </c>
      <c r="P700" s="5">
        <v>467</v>
      </c>
      <c r="Q700" s="1160">
        <v>15</v>
      </c>
      <c r="R700"/>
      <c r="S700" s="1684"/>
      <c r="T700" s="1684"/>
      <c r="U700" s="1684"/>
      <c r="V700" s="1684"/>
      <c r="W700" s="1684"/>
      <c r="X700" s="1684"/>
      <c r="Y700" s="1684"/>
      <c r="Z700" s="1684"/>
      <c r="AA700" s="1684"/>
      <c r="AB700" s="1684"/>
      <c r="AC700" s="1684"/>
      <c r="AD700" s="1684"/>
      <c r="AE700" s="1684"/>
      <c r="AF700" s="1684"/>
      <c r="AG700" s="1684"/>
      <c r="AH700" s="1684"/>
      <c r="AI700" s="1684"/>
      <c r="AJ700" s="1684"/>
      <c r="AK700" s="1684"/>
      <c r="AL700" s="1684"/>
      <c r="AM700" s="1684"/>
      <c r="AN700" s="1684"/>
      <c r="AO700" s="1684"/>
      <c r="AP700" s="1684"/>
      <c r="AQ700" s="1684"/>
      <c r="AR700" s="1684"/>
      <c r="AS700" s="1684"/>
      <c r="AT700" s="1684"/>
      <c r="AU700" s="1684"/>
      <c r="AV700" s="1684"/>
      <c r="AW700" s="1684"/>
      <c r="AX700" s="1684"/>
      <c r="AY700" s="1684"/>
      <c r="AZ700" s="1684"/>
      <c r="BA700" s="1684"/>
      <c r="BB700" s="1684"/>
      <c r="BC700" s="1684"/>
      <c r="BD700" s="1684"/>
      <c r="BE700" s="1684"/>
      <c r="BF700" s="1684"/>
      <c r="BG700" s="1684"/>
      <c r="BH700" s="1684"/>
      <c r="BI700" s="1684"/>
      <c r="BJ700" s="1684"/>
      <c r="BK700" s="1684"/>
      <c r="BL700" s="1684"/>
      <c r="BM700" s="1684"/>
      <c r="BN700" s="1684"/>
      <c r="BO700" s="1684"/>
      <c r="BP700" s="1684"/>
      <c r="BQ700" s="1684"/>
      <c r="BR700" s="1684"/>
      <c r="BS700" s="1684"/>
      <c r="BT700" s="1684"/>
      <c r="BU700" s="1684"/>
      <c r="BV700" s="1684"/>
      <c r="BW700" s="1684"/>
      <c r="BX700" s="1684"/>
      <c r="BY700" s="1684"/>
      <c r="BZ700" s="1684"/>
      <c r="CA700" s="1684"/>
      <c r="CB700" s="1684"/>
      <c r="CC700" s="1684"/>
      <c r="CD700" s="1684"/>
      <c r="CE700" s="1684"/>
      <c r="CF700" s="1684"/>
      <c r="CG700" s="1684"/>
      <c r="CH700" s="1684"/>
      <c r="CI700" s="1684"/>
      <c r="CJ700" s="1684"/>
      <c r="CK700" s="1684"/>
      <c r="CL700" s="1684"/>
      <c r="CM700" s="1684"/>
      <c r="CN700" s="1684"/>
      <c r="CO700" s="1684"/>
    </row>
    <row r="701" spans="1:93" s="1391" customFormat="1" ht="15" x14ac:dyDescent="0.2">
      <c r="A701" s="1684"/>
      <c r="B701" s="1684"/>
      <c r="C701" s="2013">
        <v>12</v>
      </c>
      <c r="D701" s="5">
        <v>7.8230000000000004</v>
      </c>
      <c r="E701" s="5">
        <v>237</v>
      </c>
      <c r="F701" s="5">
        <v>263</v>
      </c>
      <c r="G701" s="5">
        <v>288</v>
      </c>
      <c r="H701" s="5">
        <v>313</v>
      </c>
      <c r="I701" s="5">
        <v>338</v>
      </c>
      <c r="J701" s="5">
        <v>363</v>
      </c>
      <c r="K701" s="5">
        <v>388</v>
      </c>
      <c r="L701" s="5">
        <v>415</v>
      </c>
      <c r="M701" s="5">
        <v>438</v>
      </c>
      <c r="N701" s="5">
        <v>463</v>
      </c>
      <c r="O701" s="5">
        <v>488</v>
      </c>
      <c r="P701" s="5">
        <v>513</v>
      </c>
      <c r="Q701" s="1160">
        <v>16</v>
      </c>
      <c r="R701"/>
      <c r="S701" s="1684"/>
      <c r="T701" s="1684"/>
      <c r="U701" s="1684"/>
      <c r="V701" s="1684"/>
      <c r="W701" s="1684"/>
      <c r="X701" s="1684"/>
      <c r="Y701" s="1684"/>
      <c r="Z701" s="1684"/>
      <c r="AA701" s="1684"/>
      <c r="AB701" s="1684"/>
      <c r="AC701" s="1684"/>
      <c r="AD701" s="1684"/>
      <c r="AE701" s="1684"/>
      <c r="AF701" s="1684"/>
      <c r="AG701" s="1684"/>
      <c r="AH701" s="1684"/>
      <c r="AI701" s="1684"/>
      <c r="AJ701" s="1684"/>
      <c r="AK701" s="1684"/>
      <c r="AL701" s="1684"/>
      <c r="AM701" s="1684"/>
      <c r="AN701" s="1684"/>
      <c r="AO701" s="1684"/>
      <c r="AP701" s="1684"/>
      <c r="AQ701" s="1684"/>
      <c r="AR701" s="1684"/>
      <c r="AS701" s="1684"/>
      <c r="AT701" s="1684"/>
      <c r="AU701" s="1684"/>
      <c r="AV701" s="1684"/>
      <c r="AW701" s="1684"/>
      <c r="AX701" s="1684"/>
      <c r="AY701" s="1684"/>
      <c r="AZ701" s="1684"/>
      <c r="BA701" s="1684"/>
      <c r="BB701" s="1684"/>
      <c r="BC701" s="1684"/>
      <c r="BD701" s="1684"/>
      <c r="BE701" s="1684"/>
      <c r="BF701" s="1684"/>
      <c r="BG701" s="1684"/>
      <c r="BH701" s="1684"/>
      <c r="BI701" s="1684"/>
      <c r="BJ701" s="1684"/>
      <c r="BK701" s="1684"/>
      <c r="BL701" s="1684"/>
      <c r="BM701" s="1684"/>
      <c r="BN701" s="1684"/>
      <c r="BO701" s="1684"/>
      <c r="BP701" s="1684"/>
      <c r="BQ701" s="1684"/>
      <c r="BR701" s="1684"/>
      <c r="BS701" s="1684"/>
      <c r="BT701" s="1684"/>
      <c r="BU701" s="1684"/>
      <c r="BV701" s="1684"/>
      <c r="BW701" s="1684"/>
      <c r="BX701" s="1684"/>
      <c r="BY701" s="1684"/>
      <c r="BZ701" s="1684"/>
      <c r="CA701" s="1684"/>
      <c r="CB701" s="1684"/>
      <c r="CC701" s="1684"/>
      <c r="CD701" s="1684"/>
      <c r="CE701" s="1684"/>
      <c r="CF701" s="1684"/>
      <c r="CG701" s="1684"/>
      <c r="CH701" s="1684"/>
      <c r="CI701" s="1684"/>
      <c r="CJ701" s="1684"/>
      <c r="CK701" s="1684"/>
      <c r="CL701" s="1684"/>
      <c r="CM701" s="1684"/>
      <c r="CN701" s="1684"/>
      <c r="CO701" s="1684"/>
    </row>
    <row r="702" spans="1:93" s="1391" customFormat="1" ht="15" x14ac:dyDescent="0.2">
      <c r="A702" s="1684"/>
      <c r="B702" s="1684"/>
      <c r="C702" s="2013">
        <v>13</v>
      </c>
      <c r="D702" s="5">
        <v>8.36</v>
      </c>
      <c r="E702" s="5">
        <v>259</v>
      </c>
      <c r="F702" s="5">
        <v>288</v>
      </c>
      <c r="G702" s="5">
        <v>315</v>
      </c>
      <c r="H702" s="5">
        <v>343</v>
      </c>
      <c r="I702" s="5">
        <v>370</v>
      </c>
      <c r="J702" s="5">
        <v>397</v>
      </c>
      <c r="K702" s="5">
        <v>425</v>
      </c>
      <c r="L702" s="5">
        <v>453</v>
      </c>
      <c r="M702" s="5">
        <v>479</v>
      </c>
      <c r="N702" s="5">
        <v>506</v>
      </c>
      <c r="O702" s="5">
        <v>534</v>
      </c>
      <c r="P702" s="5">
        <v>561</v>
      </c>
      <c r="Q702" s="1160">
        <v>17</v>
      </c>
      <c r="R702"/>
      <c r="S702" s="1684"/>
      <c r="T702" s="1684"/>
      <c r="U702" s="1684"/>
      <c r="V702" s="1684"/>
      <c r="W702" s="1684"/>
      <c r="X702" s="1684"/>
      <c r="Y702" s="1684"/>
      <c r="Z702" s="1684"/>
      <c r="AA702" s="1684"/>
      <c r="AB702" s="1684"/>
      <c r="AC702" s="1684"/>
      <c r="AD702" s="1684"/>
      <c r="AE702" s="1684"/>
      <c r="AF702" s="1684"/>
      <c r="AG702" s="1684"/>
      <c r="AH702" s="1684"/>
      <c r="AI702" s="1684"/>
      <c r="AJ702" s="1684"/>
      <c r="AK702" s="1684"/>
      <c r="AL702" s="1684"/>
      <c r="AM702" s="1684"/>
      <c r="AN702" s="1684"/>
      <c r="AO702" s="1684"/>
      <c r="AP702" s="1684"/>
      <c r="AQ702" s="1684"/>
      <c r="AR702" s="1684"/>
      <c r="AS702" s="1684"/>
      <c r="AT702" s="1684"/>
      <c r="AU702" s="1684"/>
      <c r="AV702" s="1684"/>
      <c r="AW702" s="1684"/>
      <c r="AX702" s="1684"/>
      <c r="AY702" s="1684"/>
      <c r="AZ702" s="1684"/>
      <c r="BA702" s="1684"/>
      <c r="BB702" s="1684"/>
      <c r="BC702" s="1684"/>
      <c r="BD702" s="1684"/>
      <c r="BE702" s="1684"/>
      <c r="BF702" s="1684"/>
      <c r="BG702" s="1684"/>
      <c r="BH702" s="1684"/>
      <c r="BI702" s="1684"/>
      <c r="BJ702" s="1684"/>
      <c r="BK702" s="1684"/>
      <c r="BL702" s="1684"/>
      <c r="BM702" s="1684"/>
      <c r="BN702" s="1684"/>
      <c r="BO702" s="1684"/>
      <c r="BP702" s="1684"/>
      <c r="BQ702" s="1684"/>
      <c r="BR702" s="1684"/>
      <c r="BS702" s="1684"/>
      <c r="BT702" s="1684"/>
      <c r="BU702" s="1684"/>
      <c r="BV702" s="1684"/>
      <c r="BW702" s="1684"/>
      <c r="BX702" s="1684"/>
      <c r="BY702" s="1684"/>
      <c r="BZ702" s="1684"/>
      <c r="CA702" s="1684"/>
      <c r="CB702" s="1684"/>
      <c r="CC702" s="1684"/>
      <c r="CD702" s="1684"/>
      <c r="CE702" s="1684"/>
      <c r="CF702" s="1684"/>
      <c r="CG702" s="1684"/>
      <c r="CH702" s="1684"/>
      <c r="CI702" s="1684"/>
      <c r="CJ702" s="1684"/>
      <c r="CK702" s="1684"/>
      <c r="CL702" s="1684"/>
      <c r="CM702" s="1684"/>
      <c r="CN702" s="1684"/>
      <c r="CO702" s="1684"/>
    </row>
    <row r="703" spans="1:93" s="1391" customFormat="1" ht="15" x14ac:dyDescent="0.2">
      <c r="A703" s="1684"/>
      <c r="B703" s="1684"/>
      <c r="C703" s="2013">
        <v>14</v>
      </c>
      <c r="D703" s="5">
        <v>8.9329999999999998</v>
      </c>
      <c r="E703" s="5">
        <v>283</v>
      </c>
      <c r="F703" s="5">
        <v>314</v>
      </c>
      <c r="G703" s="5">
        <v>344</v>
      </c>
      <c r="H703" s="5">
        <v>374</v>
      </c>
      <c r="I703" s="5">
        <v>403</v>
      </c>
      <c r="J703" s="5">
        <v>433</v>
      </c>
      <c r="K703" s="5">
        <v>463</v>
      </c>
      <c r="L703" s="5">
        <v>494</v>
      </c>
      <c r="M703" s="5">
        <v>522</v>
      </c>
      <c r="N703" s="5">
        <v>552</v>
      </c>
      <c r="O703" s="5">
        <v>582</v>
      </c>
      <c r="P703" s="5">
        <v>612</v>
      </c>
      <c r="Q703" s="1160">
        <v>18</v>
      </c>
      <c r="R703"/>
      <c r="S703" s="1684"/>
      <c r="T703" s="1684"/>
      <c r="U703" s="1684"/>
      <c r="V703" s="1684"/>
      <c r="W703" s="1684"/>
      <c r="X703" s="1684"/>
      <c r="Y703" s="1684"/>
      <c r="Z703" s="1684"/>
      <c r="AA703" s="1684"/>
      <c r="AB703" s="1684"/>
      <c r="AC703" s="1684"/>
      <c r="AD703" s="1684"/>
      <c r="AE703" s="1684"/>
      <c r="AF703" s="1684"/>
      <c r="AG703" s="1684"/>
      <c r="AH703" s="1684"/>
      <c r="AI703" s="1684"/>
      <c r="AJ703" s="1684"/>
      <c r="AK703" s="1684"/>
      <c r="AL703" s="1684"/>
      <c r="AM703" s="1684"/>
      <c r="AN703" s="1684"/>
      <c r="AO703" s="1684"/>
      <c r="AP703" s="1684"/>
      <c r="AQ703" s="1684"/>
      <c r="AR703" s="1684"/>
      <c r="AS703" s="1684"/>
      <c r="AT703" s="1684"/>
      <c r="AU703" s="1684"/>
      <c r="AV703" s="1684"/>
      <c r="AW703" s="1684"/>
      <c r="AX703" s="1684"/>
      <c r="AY703" s="1684"/>
      <c r="AZ703" s="1684"/>
      <c r="BA703" s="1684"/>
      <c r="BB703" s="1684"/>
      <c r="BC703" s="1684"/>
      <c r="BD703" s="1684"/>
      <c r="BE703" s="1684"/>
      <c r="BF703" s="1684"/>
      <c r="BG703" s="1684"/>
      <c r="BH703" s="1684"/>
      <c r="BI703" s="1684"/>
      <c r="BJ703" s="1684"/>
      <c r="BK703" s="1684"/>
      <c r="BL703" s="1684"/>
      <c r="BM703" s="1684"/>
      <c r="BN703" s="1684"/>
      <c r="BO703" s="1684"/>
      <c r="BP703" s="1684"/>
      <c r="BQ703" s="1684"/>
      <c r="BR703" s="1684"/>
      <c r="BS703" s="1684"/>
      <c r="BT703" s="1684"/>
      <c r="BU703" s="1684"/>
      <c r="BV703" s="1684"/>
      <c r="BW703" s="1684"/>
      <c r="BX703" s="1684"/>
      <c r="BY703" s="1684"/>
      <c r="BZ703" s="1684"/>
      <c r="CA703" s="1684"/>
      <c r="CB703" s="1684"/>
      <c r="CC703" s="1684"/>
      <c r="CD703" s="1684"/>
      <c r="CE703" s="1684"/>
      <c r="CF703" s="1684"/>
      <c r="CG703" s="1684"/>
      <c r="CH703" s="1684"/>
      <c r="CI703" s="1684"/>
      <c r="CJ703" s="1684"/>
      <c r="CK703" s="1684"/>
      <c r="CL703" s="1684"/>
      <c r="CM703" s="1684"/>
      <c r="CN703" s="1684"/>
      <c r="CO703" s="1684"/>
    </row>
    <row r="704" spans="1:93" s="1391" customFormat="1" ht="15" x14ac:dyDescent="0.2">
      <c r="A704" s="1684"/>
      <c r="B704" s="1684"/>
      <c r="C704" s="2013">
        <v>15</v>
      </c>
      <c r="D704" s="5">
        <v>9.5289999999999999</v>
      </c>
      <c r="E704" s="5">
        <v>307</v>
      </c>
      <c r="F704" s="5">
        <v>341</v>
      </c>
      <c r="G704" s="5">
        <v>373</v>
      </c>
      <c r="H704" s="5">
        <v>406</v>
      </c>
      <c r="I704" s="5">
        <v>438</v>
      </c>
      <c r="J704" s="5">
        <v>470</v>
      </c>
      <c r="K704" s="5">
        <v>502</v>
      </c>
      <c r="L704" s="5">
        <v>536</v>
      </c>
      <c r="M704" s="5">
        <v>567</v>
      </c>
      <c r="N704" s="5">
        <v>599</v>
      </c>
      <c r="O704" s="5">
        <v>632</v>
      </c>
      <c r="P704" s="5">
        <v>664</v>
      </c>
      <c r="Q704" s="1160">
        <v>19</v>
      </c>
      <c r="R704"/>
      <c r="S704" s="1684"/>
      <c r="T704" s="1684"/>
      <c r="U704" s="1684"/>
      <c r="V704" s="1684"/>
      <c r="W704" s="1684"/>
      <c r="X704" s="1684"/>
      <c r="Y704" s="1684"/>
      <c r="Z704" s="1684"/>
      <c r="AA704" s="1684"/>
      <c r="AB704" s="1684"/>
      <c r="AC704" s="1684"/>
      <c r="AD704" s="1684"/>
      <c r="AE704" s="1684"/>
      <c r="AF704" s="1684"/>
      <c r="AG704" s="1684"/>
      <c r="AH704" s="1684"/>
      <c r="AI704" s="1684"/>
      <c r="AJ704" s="1684"/>
      <c r="AK704" s="1684"/>
      <c r="AL704" s="1684"/>
      <c r="AM704" s="1684"/>
      <c r="AN704" s="1684"/>
      <c r="AO704" s="1684"/>
      <c r="AP704" s="1684"/>
      <c r="AQ704" s="1684"/>
      <c r="AR704" s="1684"/>
      <c r="AS704" s="1684"/>
      <c r="AT704" s="1684"/>
      <c r="AU704" s="1684"/>
      <c r="AV704" s="1684"/>
      <c r="AW704" s="1684"/>
      <c r="AX704" s="1684"/>
      <c r="AY704" s="1684"/>
      <c r="AZ704" s="1684"/>
      <c r="BA704" s="1684"/>
      <c r="BB704" s="1684"/>
      <c r="BC704" s="1684"/>
      <c r="BD704" s="1684"/>
      <c r="BE704" s="1684"/>
      <c r="BF704" s="1684"/>
      <c r="BG704" s="1684"/>
      <c r="BH704" s="1684"/>
      <c r="BI704" s="1684"/>
      <c r="BJ704" s="1684"/>
      <c r="BK704" s="1684"/>
      <c r="BL704" s="1684"/>
      <c r="BM704" s="1684"/>
      <c r="BN704" s="1684"/>
      <c r="BO704" s="1684"/>
      <c r="BP704" s="1684"/>
      <c r="BQ704" s="1684"/>
      <c r="BR704" s="1684"/>
      <c r="BS704" s="1684"/>
      <c r="BT704" s="1684"/>
      <c r="BU704" s="1684"/>
      <c r="BV704" s="1684"/>
      <c r="BW704" s="1684"/>
      <c r="BX704" s="1684"/>
      <c r="BY704" s="1684"/>
      <c r="BZ704" s="1684"/>
      <c r="CA704" s="1684"/>
      <c r="CB704" s="1684"/>
      <c r="CC704" s="1684"/>
      <c r="CD704" s="1684"/>
      <c r="CE704" s="1684"/>
      <c r="CF704" s="1684"/>
      <c r="CG704" s="1684"/>
      <c r="CH704" s="1684"/>
      <c r="CI704" s="1684"/>
      <c r="CJ704" s="1684"/>
      <c r="CK704" s="1684"/>
      <c r="CL704" s="1684"/>
      <c r="CM704" s="1684"/>
      <c r="CN704" s="1684"/>
      <c r="CO704" s="1684"/>
    </row>
    <row r="705" spans="1:93" s="1391" customFormat="1" ht="15" x14ac:dyDescent="0.2">
      <c r="A705" s="1684"/>
      <c r="B705" s="1684"/>
      <c r="C705" s="2013">
        <v>16</v>
      </c>
      <c r="D705" s="5">
        <v>10.288</v>
      </c>
      <c r="E705" s="5">
        <v>331</v>
      </c>
      <c r="F705" s="5">
        <v>367</v>
      </c>
      <c r="G705" s="5">
        <v>402</v>
      </c>
      <c r="H705" s="5">
        <v>437</v>
      </c>
      <c r="I705" s="5">
        <v>472</v>
      </c>
      <c r="J705" s="5">
        <v>507</v>
      </c>
      <c r="K705" s="5">
        <v>541</v>
      </c>
      <c r="L705" s="5">
        <v>578</v>
      </c>
      <c r="M705" s="5">
        <v>611</v>
      </c>
      <c r="N705" s="5">
        <v>646</v>
      </c>
      <c r="O705" s="5">
        <v>681</v>
      </c>
      <c r="P705" s="5">
        <v>716</v>
      </c>
      <c r="Q705" s="1160">
        <v>20</v>
      </c>
      <c r="R705"/>
      <c r="S705" s="1684"/>
      <c r="T705" s="1684"/>
      <c r="U705" s="1684"/>
      <c r="V705" s="1684"/>
      <c r="W705" s="1684"/>
      <c r="X705" s="1684"/>
      <c r="Y705" s="1684"/>
      <c r="Z705" s="1684"/>
      <c r="AA705" s="1684"/>
      <c r="AB705" s="1684"/>
      <c r="AC705" s="1684"/>
      <c r="AD705" s="1684"/>
      <c r="AE705" s="1684"/>
      <c r="AF705" s="1684"/>
      <c r="AG705" s="1684"/>
      <c r="AH705" s="1684"/>
      <c r="AI705" s="1684"/>
      <c r="AJ705" s="1684"/>
      <c r="AK705" s="1684"/>
      <c r="AL705" s="1684"/>
      <c r="AM705" s="1684"/>
      <c r="AN705" s="1684"/>
      <c r="AO705" s="1684"/>
      <c r="AP705" s="1684"/>
      <c r="AQ705" s="1684"/>
      <c r="AR705" s="1684"/>
      <c r="AS705" s="1684"/>
      <c r="AT705" s="1684"/>
      <c r="AU705" s="1684"/>
      <c r="AV705" s="1684"/>
      <c r="AW705" s="1684"/>
      <c r="AX705" s="1684"/>
      <c r="AY705" s="1684"/>
      <c r="AZ705" s="1684"/>
      <c r="BA705" s="1684"/>
      <c r="BB705" s="1684"/>
      <c r="BC705" s="1684"/>
      <c r="BD705" s="1684"/>
      <c r="BE705" s="1684"/>
      <c r="BF705" s="1684"/>
      <c r="BG705" s="1684"/>
      <c r="BH705" s="1684"/>
      <c r="BI705" s="1684"/>
      <c r="BJ705" s="1684"/>
      <c r="BK705" s="1684"/>
      <c r="BL705" s="1684"/>
      <c r="BM705" s="1684"/>
      <c r="BN705" s="1684"/>
      <c r="BO705" s="1684"/>
      <c r="BP705" s="1684"/>
      <c r="BQ705" s="1684"/>
      <c r="BR705" s="1684"/>
      <c r="BS705" s="1684"/>
      <c r="BT705" s="1684"/>
      <c r="BU705" s="1684"/>
      <c r="BV705" s="1684"/>
      <c r="BW705" s="1684"/>
      <c r="BX705" s="1684"/>
      <c r="BY705" s="1684"/>
      <c r="BZ705" s="1684"/>
      <c r="CA705" s="1684"/>
      <c r="CB705" s="1684"/>
      <c r="CC705" s="1684"/>
      <c r="CD705" s="1684"/>
      <c r="CE705" s="1684"/>
      <c r="CF705" s="1684"/>
      <c r="CG705" s="1684"/>
      <c r="CH705" s="1684"/>
      <c r="CI705" s="1684"/>
      <c r="CJ705" s="1684"/>
      <c r="CK705" s="1684"/>
      <c r="CL705" s="1684"/>
      <c r="CM705" s="1684"/>
      <c r="CN705" s="1684"/>
      <c r="CO705" s="1684"/>
    </row>
    <row r="706" spans="1:93" s="1391" customFormat="1" ht="15" x14ac:dyDescent="0.2">
      <c r="A706" s="1684"/>
      <c r="B706" s="1684"/>
      <c r="C706" s="2013">
        <v>17</v>
      </c>
      <c r="D706" s="5">
        <v>11.090999999999999</v>
      </c>
      <c r="E706" s="5">
        <v>353</v>
      </c>
      <c r="F706" s="5">
        <v>392</v>
      </c>
      <c r="G706" s="5">
        <v>429</v>
      </c>
      <c r="H706" s="5">
        <v>466</v>
      </c>
      <c r="I706" s="5">
        <v>504</v>
      </c>
      <c r="J706" s="5">
        <v>541</v>
      </c>
      <c r="K706" s="5">
        <v>578</v>
      </c>
      <c r="L706" s="5">
        <v>617</v>
      </c>
      <c r="M706" s="5">
        <v>652</v>
      </c>
      <c r="N706" s="5">
        <v>689</v>
      </c>
      <c r="O706" s="5">
        <v>727</v>
      </c>
      <c r="P706" s="5">
        <v>764</v>
      </c>
      <c r="Q706" s="1160">
        <v>21</v>
      </c>
      <c r="R706"/>
      <c r="S706" s="1684"/>
      <c r="T706" s="1684"/>
      <c r="U706" s="1684"/>
      <c r="V706" s="1684"/>
      <c r="W706" s="1684"/>
      <c r="X706" s="1684"/>
      <c r="Y706" s="1684"/>
      <c r="Z706" s="1684"/>
      <c r="AA706" s="1684"/>
      <c r="AB706" s="1684"/>
      <c r="AC706" s="1684"/>
      <c r="AD706" s="1684"/>
      <c r="AE706" s="1684"/>
      <c r="AF706" s="1684"/>
      <c r="AG706" s="1684"/>
      <c r="AH706" s="1684"/>
      <c r="AI706" s="1684"/>
      <c r="AJ706" s="1684"/>
      <c r="AK706" s="1684"/>
      <c r="AL706" s="1684"/>
      <c r="AM706" s="1684"/>
      <c r="AN706" s="1684"/>
      <c r="AO706" s="1684"/>
      <c r="AP706" s="1684"/>
      <c r="AQ706" s="1684"/>
      <c r="AR706" s="1684"/>
      <c r="AS706" s="1684"/>
      <c r="AT706" s="1684"/>
      <c r="AU706" s="1684"/>
      <c r="AV706" s="1684"/>
      <c r="AW706" s="1684"/>
      <c r="AX706" s="1684"/>
      <c r="AY706" s="1684"/>
      <c r="AZ706" s="1684"/>
      <c r="BA706" s="1684"/>
      <c r="BB706" s="1684"/>
      <c r="BC706" s="1684"/>
      <c r="BD706" s="1684"/>
      <c r="BE706" s="1684"/>
      <c r="BF706" s="1684"/>
      <c r="BG706" s="1684"/>
      <c r="BH706" s="1684"/>
      <c r="BI706" s="1684"/>
      <c r="BJ706" s="1684"/>
      <c r="BK706" s="1684"/>
      <c r="BL706" s="1684"/>
      <c r="BM706" s="1684"/>
      <c r="BN706" s="1684"/>
      <c r="BO706" s="1684"/>
      <c r="BP706" s="1684"/>
      <c r="BQ706" s="1684"/>
      <c r="BR706" s="1684"/>
      <c r="BS706" s="1684"/>
      <c r="BT706" s="1684"/>
      <c r="BU706" s="1684"/>
      <c r="BV706" s="1684"/>
      <c r="BW706" s="1684"/>
      <c r="BX706" s="1684"/>
      <c r="BY706" s="1684"/>
      <c r="BZ706" s="1684"/>
      <c r="CA706" s="1684"/>
      <c r="CB706" s="1684"/>
      <c r="CC706" s="1684"/>
      <c r="CD706" s="1684"/>
      <c r="CE706" s="1684"/>
      <c r="CF706" s="1684"/>
      <c r="CG706" s="1684"/>
      <c r="CH706" s="1684"/>
      <c r="CI706" s="1684"/>
      <c r="CJ706" s="1684"/>
      <c r="CK706" s="1684"/>
      <c r="CL706" s="1684"/>
      <c r="CM706" s="1684"/>
      <c r="CN706" s="1684"/>
      <c r="CO706" s="1684"/>
    </row>
    <row r="707" spans="1:93" s="1391" customFormat="1" ht="15" x14ac:dyDescent="0.2">
      <c r="A707" s="1684"/>
      <c r="B707" s="1684"/>
      <c r="C707" s="2013">
        <v>18</v>
      </c>
      <c r="D707" s="5">
        <v>11.617000000000001</v>
      </c>
      <c r="E707" s="5">
        <v>374</v>
      </c>
      <c r="F707" s="5">
        <v>415</v>
      </c>
      <c r="G707" s="5">
        <v>454</v>
      </c>
      <c r="H707" s="5">
        <v>493</v>
      </c>
      <c r="I707" s="5">
        <v>533</v>
      </c>
      <c r="J707" s="5">
        <v>572</v>
      </c>
      <c r="K707" s="5">
        <v>611</v>
      </c>
      <c r="L707" s="5">
        <v>653</v>
      </c>
      <c r="M707" s="5">
        <v>690</v>
      </c>
      <c r="N707" s="5">
        <v>729</v>
      </c>
      <c r="O707" s="5">
        <v>769</v>
      </c>
      <c r="P707" s="5">
        <v>808</v>
      </c>
      <c r="Q707" s="1160">
        <v>22</v>
      </c>
      <c r="R707"/>
      <c r="S707" s="1684"/>
      <c r="T707" s="1684"/>
      <c r="U707" s="1684"/>
      <c r="V707" s="1684"/>
      <c r="W707" s="1684"/>
      <c r="X707" s="1684"/>
      <c r="Y707" s="1684"/>
      <c r="Z707" s="1684"/>
      <c r="AA707" s="1684"/>
      <c r="AB707" s="1684"/>
      <c r="AC707" s="1684"/>
      <c r="AD707" s="1684"/>
      <c r="AE707" s="1684"/>
      <c r="AF707" s="1684"/>
      <c r="AG707" s="1684"/>
      <c r="AH707" s="1684"/>
      <c r="AI707" s="1684"/>
      <c r="AJ707" s="1684"/>
      <c r="AK707" s="1684"/>
      <c r="AL707" s="1684"/>
      <c r="AM707" s="1684"/>
      <c r="AN707" s="1684"/>
      <c r="AO707" s="1684"/>
      <c r="AP707" s="1684"/>
      <c r="AQ707" s="1684"/>
      <c r="AR707" s="1684"/>
      <c r="AS707" s="1684"/>
      <c r="AT707" s="1684"/>
      <c r="AU707" s="1684"/>
      <c r="AV707" s="1684"/>
      <c r="AW707" s="1684"/>
      <c r="AX707" s="1684"/>
      <c r="AY707" s="1684"/>
      <c r="AZ707" s="1684"/>
      <c r="BA707" s="1684"/>
      <c r="BB707" s="1684"/>
      <c r="BC707" s="1684"/>
      <c r="BD707" s="1684"/>
      <c r="BE707" s="1684"/>
      <c r="BF707" s="1684"/>
      <c r="BG707" s="1684"/>
      <c r="BH707" s="1684"/>
      <c r="BI707" s="1684"/>
      <c r="BJ707" s="1684"/>
      <c r="BK707" s="1684"/>
      <c r="BL707" s="1684"/>
      <c r="BM707" s="1684"/>
      <c r="BN707" s="1684"/>
      <c r="BO707" s="1684"/>
      <c r="BP707" s="1684"/>
      <c r="BQ707" s="1684"/>
      <c r="BR707" s="1684"/>
      <c r="BS707" s="1684"/>
      <c r="BT707" s="1684"/>
      <c r="BU707" s="1684"/>
      <c r="BV707" s="1684"/>
      <c r="BW707" s="1684"/>
      <c r="BX707" s="1684"/>
      <c r="BY707" s="1684"/>
      <c r="BZ707" s="1684"/>
      <c r="CA707" s="1684"/>
      <c r="CB707" s="1684"/>
      <c r="CC707" s="1684"/>
      <c r="CD707" s="1684"/>
      <c r="CE707" s="1684"/>
      <c r="CF707" s="1684"/>
      <c r="CG707" s="1684"/>
      <c r="CH707" s="1684"/>
      <c r="CI707" s="1684"/>
      <c r="CJ707" s="1684"/>
      <c r="CK707" s="1684"/>
      <c r="CL707" s="1684"/>
      <c r="CM707" s="1684"/>
      <c r="CN707" s="1684"/>
      <c r="CO707" s="1684"/>
    </row>
    <row r="708" spans="1:93" s="1391" customFormat="1" ht="15" x14ac:dyDescent="0.2">
      <c r="A708" s="1684"/>
      <c r="B708" s="1684"/>
      <c r="C708" s="4680" t="s">
        <v>3692</v>
      </c>
      <c r="D708" s="4681"/>
      <c r="E708" s="4681"/>
      <c r="F708" s="4681"/>
      <c r="G708" s="4681"/>
      <c r="H708" s="4681"/>
      <c r="I708" s="4681"/>
      <c r="J708" s="4681"/>
      <c r="K708" s="4681"/>
      <c r="L708" s="4681"/>
      <c r="M708" s="4681"/>
      <c r="N708" s="4681"/>
      <c r="O708" s="4681"/>
      <c r="P708" s="4681"/>
      <c r="Q708" s="4682"/>
      <c r="R708"/>
      <c r="S708" s="1684"/>
      <c r="T708" s="1684"/>
      <c r="U708" s="1684"/>
      <c r="V708" s="1684"/>
      <c r="W708" s="1684"/>
      <c r="X708" s="1684"/>
      <c r="Y708" s="1684"/>
      <c r="Z708" s="1684"/>
      <c r="AA708" s="1684"/>
      <c r="AB708" s="1684"/>
      <c r="AC708" s="1684"/>
      <c r="AD708" s="1684"/>
      <c r="AE708" s="1684"/>
      <c r="AF708" s="1684"/>
      <c r="AG708" s="1684"/>
      <c r="AH708" s="1684"/>
      <c r="AI708" s="1684"/>
      <c r="AJ708" s="1684"/>
      <c r="AK708" s="1684"/>
      <c r="AL708" s="1684"/>
      <c r="AM708" s="1684"/>
      <c r="AN708" s="1684"/>
      <c r="AO708" s="1684"/>
      <c r="AP708" s="1684"/>
      <c r="AQ708" s="1684"/>
      <c r="AR708" s="1684"/>
      <c r="AS708" s="1684"/>
      <c r="AT708" s="1684"/>
      <c r="AU708" s="1684"/>
      <c r="AV708" s="1684"/>
      <c r="AW708" s="1684"/>
      <c r="AX708" s="1684"/>
      <c r="AY708" s="1684"/>
      <c r="AZ708" s="1684"/>
      <c r="BA708" s="1684"/>
      <c r="BB708" s="1684"/>
      <c r="BC708" s="1684"/>
      <c r="BD708" s="1684"/>
      <c r="BE708" s="1684"/>
      <c r="BF708" s="1684"/>
      <c r="BG708" s="1684"/>
      <c r="BH708" s="1684"/>
      <c r="BI708" s="1684"/>
      <c r="BJ708" s="1684"/>
      <c r="BK708" s="1684"/>
      <c r="BL708" s="1684"/>
      <c r="BM708" s="1684"/>
      <c r="BN708" s="1684"/>
      <c r="BO708" s="1684"/>
      <c r="BP708" s="1684"/>
      <c r="BQ708" s="1684"/>
      <c r="BR708" s="1684"/>
      <c r="BS708" s="1684"/>
      <c r="BT708" s="1684"/>
      <c r="BU708" s="1684"/>
      <c r="BV708" s="1684"/>
      <c r="BW708" s="1684"/>
      <c r="BX708" s="1684"/>
      <c r="BY708" s="1684"/>
      <c r="BZ708" s="1684"/>
      <c r="CA708" s="1684"/>
      <c r="CB708" s="1684"/>
      <c r="CC708" s="1684"/>
      <c r="CD708" s="1684"/>
      <c r="CE708" s="1684"/>
      <c r="CF708" s="1684"/>
      <c r="CG708" s="1684"/>
      <c r="CH708" s="1684"/>
      <c r="CI708" s="1684"/>
      <c r="CJ708" s="1684"/>
      <c r="CK708" s="1684"/>
      <c r="CL708" s="1684"/>
      <c r="CM708" s="1684"/>
      <c r="CN708" s="1684"/>
      <c r="CO708" s="1684"/>
    </row>
    <row r="709" spans="1:93" s="1391" customFormat="1" ht="15" x14ac:dyDescent="0.2">
      <c r="A709" s="1684"/>
      <c r="B709" s="1684"/>
      <c r="C709" s="4680"/>
      <c r="D709" s="4681"/>
      <c r="E709" s="4681"/>
      <c r="F709" s="4681"/>
      <c r="G709" s="4681"/>
      <c r="H709" s="4681"/>
      <c r="I709" s="4681"/>
      <c r="J709" s="4681"/>
      <c r="K709" s="4681"/>
      <c r="L709" s="4681"/>
      <c r="M709" s="4681"/>
      <c r="N709" s="4681"/>
      <c r="O709" s="4681"/>
      <c r="P709" s="4681"/>
      <c r="Q709" s="4682"/>
      <c r="R709"/>
      <c r="S709" s="1684"/>
      <c r="T709" s="1684"/>
      <c r="U709" s="1684"/>
      <c r="V709" s="1684"/>
      <c r="W709" s="1684"/>
      <c r="X709" s="1684"/>
      <c r="Y709" s="1684"/>
      <c r="Z709" s="1684"/>
      <c r="AA709" s="1684"/>
      <c r="AB709" s="1684"/>
      <c r="AC709" s="1684"/>
      <c r="AD709" s="1684"/>
      <c r="AE709" s="1684"/>
      <c r="AF709" s="1684"/>
      <c r="AG709" s="1684"/>
      <c r="AH709" s="1684"/>
      <c r="AI709" s="1684"/>
      <c r="AJ709" s="1684"/>
      <c r="AK709" s="1684"/>
      <c r="AL709" s="1684"/>
      <c r="AM709" s="1684"/>
      <c r="AN709" s="1684"/>
      <c r="AO709" s="1684"/>
      <c r="AP709" s="1684"/>
      <c r="AQ709" s="1684"/>
      <c r="AR709" s="1684"/>
      <c r="AS709" s="1684"/>
      <c r="AT709" s="1684"/>
      <c r="AU709" s="1684"/>
      <c r="AV709" s="1684"/>
      <c r="AW709" s="1684"/>
      <c r="AX709" s="1684"/>
      <c r="AY709" s="1684"/>
      <c r="AZ709" s="1684"/>
      <c r="BA709" s="1684"/>
      <c r="BB709" s="1684"/>
      <c r="BC709" s="1684"/>
      <c r="BD709" s="1684"/>
      <c r="BE709" s="1684"/>
      <c r="BF709" s="1684"/>
      <c r="BG709" s="1684"/>
      <c r="BH709" s="1684"/>
      <c r="BI709" s="1684"/>
      <c r="BJ709" s="1684"/>
      <c r="BK709" s="1684"/>
      <c r="BL709" s="1684"/>
      <c r="BM709" s="1684"/>
      <c r="BN709" s="1684"/>
      <c r="BO709" s="1684"/>
      <c r="BP709" s="1684"/>
      <c r="BQ709" s="1684"/>
      <c r="BR709" s="1684"/>
      <c r="BS709" s="1684"/>
      <c r="BT709" s="1684"/>
      <c r="BU709" s="1684"/>
      <c r="BV709" s="1684"/>
      <c r="BW709" s="1684"/>
      <c r="BX709" s="1684"/>
      <c r="BY709" s="1684"/>
      <c r="BZ709" s="1684"/>
      <c r="CA709" s="1684"/>
      <c r="CB709" s="1684"/>
      <c r="CC709" s="1684"/>
      <c r="CD709" s="1684"/>
      <c r="CE709" s="1684"/>
      <c r="CF709" s="1684"/>
      <c r="CG709" s="1684"/>
      <c r="CH709" s="1684"/>
      <c r="CI709" s="1684"/>
      <c r="CJ709" s="1684"/>
      <c r="CK709" s="1684"/>
      <c r="CL709" s="1684"/>
      <c r="CM709" s="1684"/>
      <c r="CN709" s="1684"/>
      <c r="CO709" s="1684"/>
    </row>
    <row r="710" spans="1:93" s="1391" customFormat="1" ht="15" x14ac:dyDescent="0.2">
      <c r="A710" s="1684"/>
      <c r="B710" s="1684"/>
      <c r="C710" s="2014"/>
      <c r="D710" s="2015"/>
      <c r="E710" s="2015">
        <v>1</v>
      </c>
      <c r="F710" s="2015">
        <v>2</v>
      </c>
      <c r="G710" s="2015">
        <v>3</v>
      </c>
      <c r="H710" s="2015">
        <v>4</v>
      </c>
      <c r="I710" s="2015">
        <v>5</v>
      </c>
      <c r="J710" s="2015">
        <v>6</v>
      </c>
      <c r="K710" s="2015">
        <v>7</v>
      </c>
      <c r="L710" s="2015">
        <v>8</v>
      </c>
      <c r="M710" s="2015">
        <v>9</v>
      </c>
      <c r="N710" s="2015">
        <v>10</v>
      </c>
      <c r="O710" s="2015">
        <v>11</v>
      </c>
      <c r="P710" s="2015">
        <v>12</v>
      </c>
      <c r="Q710" s="2016"/>
      <c r="R710"/>
      <c r="S710" s="1684"/>
      <c r="T710" s="1684"/>
      <c r="U710" s="1684"/>
      <c r="V710" s="1684"/>
      <c r="W710" s="1684"/>
      <c r="X710" s="1684"/>
      <c r="Y710" s="1684"/>
      <c r="Z710" s="1684"/>
      <c r="AA710" s="1684"/>
      <c r="AB710" s="1684"/>
      <c r="AC710" s="1684"/>
      <c r="AD710" s="1684"/>
      <c r="AE710" s="1684"/>
      <c r="AF710" s="1684"/>
      <c r="AG710" s="1684"/>
      <c r="AH710" s="1684"/>
      <c r="AI710" s="1684"/>
      <c r="AJ710" s="1684"/>
      <c r="AK710" s="1684"/>
      <c r="AL710" s="1684"/>
      <c r="AM710" s="1684"/>
      <c r="AN710" s="1684"/>
      <c r="AO710" s="1684"/>
      <c r="AP710" s="1684"/>
      <c r="AQ710" s="1684"/>
      <c r="AR710" s="1684"/>
      <c r="AS710" s="1684"/>
      <c r="AT710" s="1684"/>
      <c r="AU710" s="1684"/>
      <c r="AV710" s="1684"/>
      <c r="AW710" s="1684"/>
      <c r="AX710" s="1684"/>
      <c r="AY710" s="1684"/>
      <c r="AZ710" s="1684"/>
      <c r="BA710" s="1684"/>
      <c r="BB710" s="1684"/>
      <c r="BC710" s="1684"/>
      <c r="BD710" s="1684"/>
      <c r="BE710" s="1684"/>
      <c r="BF710" s="1684"/>
      <c r="BG710" s="1684"/>
      <c r="BH710" s="1684"/>
      <c r="BI710" s="1684"/>
      <c r="BJ710" s="1684"/>
      <c r="BK710" s="1684"/>
      <c r="BL710" s="1684"/>
      <c r="BM710" s="1684"/>
      <c r="BN710" s="1684"/>
      <c r="BO710" s="1684"/>
      <c r="BP710" s="1684"/>
      <c r="BQ710" s="1684"/>
      <c r="BR710" s="1684"/>
      <c r="BS710" s="1684"/>
      <c r="BT710" s="1684"/>
      <c r="BU710" s="1684"/>
      <c r="BV710" s="1684"/>
      <c r="BW710" s="1684"/>
      <c r="BX710" s="1684"/>
      <c r="BY710" s="1684"/>
      <c r="BZ710" s="1684"/>
      <c r="CA710" s="1684"/>
      <c r="CB710" s="1684"/>
      <c r="CC710" s="1684"/>
      <c r="CD710" s="1684"/>
      <c r="CE710" s="1684"/>
      <c r="CF710" s="1684"/>
      <c r="CG710" s="1684"/>
      <c r="CH710" s="1684"/>
      <c r="CI710" s="1684"/>
      <c r="CJ710" s="1684"/>
      <c r="CK710" s="1684"/>
      <c r="CL710" s="1684"/>
      <c r="CM710" s="1684"/>
      <c r="CN710" s="1684"/>
      <c r="CO710" s="1684"/>
    </row>
    <row r="711" spans="1:93" s="1391" customFormat="1" ht="15" x14ac:dyDescent="0.2">
      <c r="A711" s="1684"/>
      <c r="B711" s="1684"/>
      <c r="C711" s="2013">
        <v>8</v>
      </c>
      <c r="D711" s="5">
        <v>6.0570000000000004</v>
      </c>
      <c r="E711" s="5">
        <v>164</v>
      </c>
      <c r="F711" s="5">
        <v>182</v>
      </c>
      <c r="G711" s="5">
        <v>200</v>
      </c>
      <c r="H711" s="5">
        <v>217</v>
      </c>
      <c r="I711" s="5">
        <v>234</v>
      </c>
      <c r="J711" s="5">
        <v>251</v>
      </c>
      <c r="K711" s="5">
        <v>269</v>
      </c>
      <c r="L711" s="5">
        <v>287</v>
      </c>
      <c r="M711" s="5">
        <v>303</v>
      </c>
      <c r="N711" s="5">
        <v>321</v>
      </c>
      <c r="O711" s="5">
        <v>338</v>
      </c>
      <c r="P711" s="5">
        <v>355</v>
      </c>
      <c r="Q711" s="1160">
        <v>23</v>
      </c>
      <c r="R711"/>
      <c r="S711" s="1684"/>
      <c r="T711" s="1684"/>
      <c r="U711" s="1684"/>
      <c r="V711" s="1684"/>
      <c r="W711" s="1684"/>
      <c r="X711" s="1684"/>
      <c r="Y711" s="1684"/>
      <c r="Z711" s="1684"/>
      <c r="AA711" s="1684"/>
      <c r="AB711" s="1684"/>
      <c r="AC711" s="1684"/>
      <c r="AD711" s="1684"/>
      <c r="AE711" s="1684"/>
      <c r="AF711" s="1684"/>
      <c r="AG711" s="1684"/>
      <c r="AH711" s="1684"/>
      <c r="AI711" s="1684"/>
      <c r="AJ711" s="1684"/>
      <c r="AK711" s="1684"/>
      <c r="AL711" s="1684"/>
      <c r="AM711" s="1684"/>
      <c r="AN711" s="1684"/>
      <c r="AO711" s="1684"/>
      <c r="AP711" s="1684"/>
      <c r="AQ711" s="1684"/>
      <c r="AR711" s="1684"/>
      <c r="AS711" s="1684"/>
      <c r="AT711" s="1684"/>
      <c r="AU711" s="1684"/>
      <c r="AV711" s="1684"/>
      <c r="AW711" s="1684"/>
      <c r="AX711" s="1684"/>
      <c r="AY711" s="1684"/>
      <c r="AZ711" s="1684"/>
      <c r="BA711" s="1684"/>
      <c r="BB711" s="1684"/>
      <c r="BC711" s="1684"/>
      <c r="BD711" s="1684"/>
      <c r="BE711" s="1684"/>
      <c r="BF711" s="1684"/>
      <c r="BG711" s="1684"/>
      <c r="BH711" s="1684"/>
      <c r="BI711" s="1684"/>
      <c r="BJ711" s="1684"/>
      <c r="BK711" s="1684"/>
      <c r="BL711" s="1684"/>
      <c r="BM711" s="1684"/>
      <c r="BN711" s="1684"/>
      <c r="BO711" s="1684"/>
      <c r="BP711" s="1684"/>
      <c r="BQ711" s="1684"/>
      <c r="BR711" s="1684"/>
      <c r="BS711" s="1684"/>
      <c r="BT711" s="1684"/>
      <c r="BU711" s="1684"/>
      <c r="BV711" s="1684"/>
      <c r="BW711" s="1684"/>
      <c r="BX711" s="1684"/>
      <c r="BY711" s="1684"/>
      <c r="BZ711" s="1684"/>
      <c r="CA711" s="1684"/>
      <c r="CB711" s="1684"/>
      <c r="CC711" s="1684"/>
      <c r="CD711" s="1684"/>
      <c r="CE711" s="1684"/>
      <c r="CF711" s="1684"/>
      <c r="CG711" s="1684"/>
      <c r="CH711" s="1684"/>
      <c r="CI711" s="1684"/>
      <c r="CJ711" s="1684"/>
      <c r="CK711" s="1684"/>
      <c r="CL711" s="1684"/>
      <c r="CM711" s="1684"/>
      <c r="CN711" s="1684"/>
      <c r="CO711" s="1684"/>
    </row>
    <row r="712" spans="1:93" s="1391" customFormat="1" ht="15" x14ac:dyDescent="0.2">
      <c r="A712" s="1684"/>
      <c r="B712" s="1684"/>
      <c r="C712" s="2013">
        <v>9</v>
      </c>
      <c r="D712" s="5">
        <v>6.431</v>
      </c>
      <c r="E712" s="5">
        <v>182</v>
      </c>
      <c r="F712" s="5">
        <v>202</v>
      </c>
      <c r="G712" s="5">
        <v>221</v>
      </c>
      <c r="H712" s="5">
        <v>241</v>
      </c>
      <c r="I712" s="5">
        <v>260</v>
      </c>
      <c r="J712" s="5">
        <v>279</v>
      </c>
      <c r="K712" s="5">
        <v>298</v>
      </c>
      <c r="L712" s="5">
        <v>318</v>
      </c>
      <c r="M712" s="5">
        <v>336</v>
      </c>
      <c r="N712" s="5">
        <v>355</v>
      </c>
      <c r="O712" s="5">
        <v>375</v>
      </c>
      <c r="P712" s="5">
        <v>394</v>
      </c>
      <c r="Q712" s="1160">
        <v>24</v>
      </c>
      <c r="R712"/>
      <c r="S712" s="1684"/>
      <c r="T712" s="1684"/>
      <c r="U712" s="1684"/>
      <c r="V712" s="1684"/>
      <c r="W712" s="1684"/>
      <c r="X712" s="1684"/>
      <c r="Y712" s="1684"/>
      <c r="Z712" s="1684"/>
      <c r="AA712" s="1684"/>
      <c r="AB712" s="1684"/>
      <c r="AC712" s="1684"/>
      <c r="AD712" s="1684"/>
      <c r="AE712" s="1684"/>
      <c r="AF712" s="1684"/>
      <c r="AG712" s="1684"/>
      <c r="AH712" s="1684"/>
      <c r="AI712" s="1684"/>
      <c r="AJ712" s="1684"/>
      <c r="AK712" s="1684"/>
      <c r="AL712" s="1684"/>
      <c r="AM712" s="1684"/>
      <c r="AN712" s="1684"/>
      <c r="AO712" s="1684"/>
      <c r="AP712" s="1684"/>
      <c r="AQ712" s="1684"/>
      <c r="AR712" s="1684"/>
      <c r="AS712" s="1684"/>
      <c r="AT712" s="1684"/>
      <c r="AU712" s="1684"/>
      <c r="AV712" s="1684"/>
      <c r="AW712" s="1684"/>
      <c r="AX712" s="1684"/>
      <c r="AY712" s="1684"/>
      <c r="AZ712" s="1684"/>
      <c r="BA712" s="1684"/>
      <c r="BB712" s="1684"/>
      <c r="BC712" s="1684"/>
      <c r="BD712" s="1684"/>
      <c r="BE712" s="1684"/>
      <c r="BF712" s="1684"/>
      <c r="BG712" s="1684"/>
      <c r="BH712" s="1684"/>
      <c r="BI712" s="1684"/>
      <c r="BJ712" s="1684"/>
      <c r="BK712" s="1684"/>
      <c r="BL712" s="1684"/>
      <c r="BM712" s="1684"/>
      <c r="BN712" s="1684"/>
      <c r="BO712" s="1684"/>
      <c r="BP712" s="1684"/>
      <c r="BQ712" s="1684"/>
      <c r="BR712" s="1684"/>
      <c r="BS712" s="1684"/>
      <c r="BT712" s="1684"/>
      <c r="BU712" s="1684"/>
      <c r="BV712" s="1684"/>
      <c r="BW712" s="1684"/>
      <c r="BX712" s="1684"/>
      <c r="BY712" s="1684"/>
      <c r="BZ712" s="1684"/>
      <c r="CA712" s="1684"/>
      <c r="CB712" s="1684"/>
      <c r="CC712" s="1684"/>
      <c r="CD712" s="1684"/>
      <c r="CE712" s="1684"/>
      <c r="CF712" s="1684"/>
      <c r="CG712" s="1684"/>
      <c r="CH712" s="1684"/>
      <c r="CI712" s="1684"/>
      <c r="CJ712" s="1684"/>
      <c r="CK712" s="1684"/>
      <c r="CL712" s="1684"/>
      <c r="CM712" s="1684"/>
      <c r="CN712" s="1684"/>
      <c r="CO712" s="1684"/>
    </row>
    <row r="713" spans="1:93" s="1391" customFormat="1" ht="15" x14ac:dyDescent="0.2">
      <c r="A713" s="1684"/>
      <c r="B713" s="1684"/>
      <c r="C713" s="2013">
        <v>10</v>
      </c>
      <c r="D713" s="5">
        <v>6.9320000000000004</v>
      </c>
      <c r="E713" s="5">
        <v>201</v>
      </c>
      <c r="F713" s="5">
        <v>223</v>
      </c>
      <c r="G713" s="5">
        <v>244</v>
      </c>
      <c r="H713" s="5">
        <v>266</v>
      </c>
      <c r="I713" s="5">
        <v>287</v>
      </c>
      <c r="J713" s="5">
        <v>308</v>
      </c>
      <c r="K713" s="5">
        <v>329</v>
      </c>
      <c r="L713" s="5">
        <v>351</v>
      </c>
      <c r="M713" s="5">
        <v>371</v>
      </c>
      <c r="N713" s="5">
        <v>393</v>
      </c>
      <c r="O713" s="5">
        <v>414</v>
      </c>
      <c r="P713" s="5">
        <v>435</v>
      </c>
      <c r="Q713" s="1160">
        <v>25</v>
      </c>
      <c r="R713"/>
      <c r="S713" s="1684"/>
      <c r="T713" s="1684"/>
      <c r="U713" s="1684"/>
      <c r="V713" s="1684"/>
      <c r="W713" s="1684"/>
      <c r="X713" s="1684"/>
      <c r="Y713" s="1684"/>
      <c r="Z713" s="1684"/>
      <c r="AA713" s="1684"/>
      <c r="AB713" s="1684"/>
      <c r="AC713" s="1684"/>
      <c r="AD713" s="1684"/>
      <c r="AE713" s="1684"/>
      <c r="AF713" s="1684"/>
      <c r="AG713" s="1684"/>
      <c r="AH713" s="1684"/>
      <c r="AI713" s="1684"/>
      <c r="AJ713" s="1684"/>
      <c r="AK713" s="1684"/>
      <c r="AL713" s="1684"/>
      <c r="AM713" s="1684"/>
      <c r="AN713" s="1684"/>
      <c r="AO713" s="1684"/>
      <c r="AP713" s="1684"/>
      <c r="AQ713" s="1684"/>
      <c r="AR713" s="1684"/>
      <c r="AS713" s="1684"/>
      <c r="AT713" s="1684"/>
      <c r="AU713" s="1684"/>
      <c r="AV713" s="1684"/>
      <c r="AW713" s="1684"/>
      <c r="AX713" s="1684"/>
      <c r="AY713" s="1684"/>
      <c r="AZ713" s="1684"/>
      <c r="BA713" s="1684"/>
      <c r="BB713" s="1684"/>
      <c r="BC713" s="1684"/>
      <c r="BD713" s="1684"/>
      <c r="BE713" s="1684"/>
      <c r="BF713" s="1684"/>
      <c r="BG713" s="1684"/>
      <c r="BH713" s="1684"/>
      <c r="BI713" s="1684"/>
      <c r="BJ713" s="1684"/>
      <c r="BK713" s="1684"/>
      <c r="BL713" s="1684"/>
      <c r="BM713" s="1684"/>
      <c r="BN713" s="1684"/>
      <c r="BO713" s="1684"/>
      <c r="BP713" s="1684"/>
      <c r="BQ713" s="1684"/>
      <c r="BR713" s="1684"/>
      <c r="BS713" s="1684"/>
      <c r="BT713" s="1684"/>
      <c r="BU713" s="1684"/>
      <c r="BV713" s="1684"/>
      <c r="BW713" s="1684"/>
      <c r="BX713" s="1684"/>
      <c r="BY713" s="1684"/>
      <c r="BZ713" s="1684"/>
      <c r="CA713" s="1684"/>
      <c r="CB713" s="1684"/>
      <c r="CC713" s="1684"/>
      <c r="CD713" s="1684"/>
      <c r="CE713" s="1684"/>
      <c r="CF713" s="1684"/>
      <c r="CG713" s="1684"/>
      <c r="CH713" s="1684"/>
      <c r="CI713" s="1684"/>
      <c r="CJ713" s="1684"/>
      <c r="CK713" s="1684"/>
      <c r="CL713" s="1684"/>
      <c r="CM713" s="1684"/>
      <c r="CN713" s="1684"/>
      <c r="CO713" s="1684"/>
    </row>
    <row r="714" spans="1:93" s="1391" customFormat="1" ht="15" x14ac:dyDescent="0.2">
      <c r="A714" s="1684"/>
      <c r="B714" s="1684"/>
      <c r="C714" s="2013">
        <v>11</v>
      </c>
      <c r="D714" s="5">
        <v>7.4429999999999996</v>
      </c>
      <c r="E714" s="5">
        <v>222</v>
      </c>
      <c r="F714" s="5">
        <v>247</v>
      </c>
      <c r="G714" s="5">
        <v>270</v>
      </c>
      <c r="H714" s="5">
        <v>294</v>
      </c>
      <c r="I714" s="5">
        <v>317</v>
      </c>
      <c r="J714" s="5">
        <v>341</v>
      </c>
      <c r="K714" s="5">
        <v>364</v>
      </c>
      <c r="L714" s="5">
        <v>389</v>
      </c>
      <c r="M714" s="5">
        <v>411</v>
      </c>
      <c r="N714" s="5">
        <v>434</v>
      </c>
      <c r="O714" s="5">
        <v>458</v>
      </c>
      <c r="P714" s="5">
        <v>481</v>
      </c>
      <c r="Q714" s="1160">
        <v>26</v>
      </c>
      <c r="R714"/>
      <c r="S714" s="1684"/>
      <c r="T714" s="1684"/>
      <c r="U714" s="1684"/>
      <c r="V714" s="1684"/>
      <c r="W714" s="1684"/>
      <c r="X714" s="1684"/>
      <c r="Y714" s="1684"/>
      <c r="Z714" s="1684"/>
      <c r="AA714" s="1684"/>
      <c r="AB714" s="1684"/>
      <c r="AC714" s="1684"/>
      <c r="AD714" s="1684"/>
      <c r="AE714" s="1684"/>
      <c r="AF714" s="1684"/>
      <c r="AG714" s="1684"/>
      <c r="AH714" s="1684"/>
      <c r="AI714" s="1684"/>
      <c r="AJ714" s="1684"/>
      <c r="AK714" s="1684"/>
      <c r="AL714" s="1684"/>
      <c r="AM714" s="1684"/>
      <c r="AN714" s="1684"/>
      <c r="AO714" s="1684"/>
      <c r="AP714" s="1684"/>
      <c r="AQ714" s="1684"/>
      <c r="AR714" s="1684"/>
      <c r="AS714" s="1684"/>
      <c r="AT714" s="1684"/>
      <c r="AU714" s="1684"/>
      <c r="AV714" s="1684"/>
      <c r="AW714" s="1684"/>
      <c r="AX714" s="1684"/>
      <c r="AY714" s="1684"/>
      <c r="AZ714" s="1684"/>
      <c r="BA714" s="1684"/>
      <c r="BB714" s="1684"/>
      <c r="BC714" s="1684"/>
      <c r="BD714" s="1684"/>
      <c r="BE714" s="1684"/>
      <c r="BF714" s="1684"/>
      <c r="BG714" s="1684"/>
      <c r="BH714" s="1684"/>
      <c r="BI714" s="1684"/>
      <c r="BJ714" s="1684"/>
      <c r="BK714" s="1684"/>
      <c r="BL714" s="1684"/>
      <c r="BM714" s="1684"/>
      <c r="BN714" s="1684"/>
      <c r="BO714" s="1684"/>
      <c r="BP714" s="1684"/>
      <c r="BQ714" s="1684"/>
      <c r="BR714" s="1684"/>
      <c r="BS714" s="1684"/>
      <c r="BT714" s="1684"/>
      <c r="BU714" s="1684"/>
      <c r="BV714" s="1684"/>
      <c r="BW714" s="1684"/>
      <c r="BX714" s="1684"/>
      <c r="BY714" s="1684"/>
      <c r="BZ714" s="1684"/>
      <c r="CA714" s="1684"/>
      <c r="CB714" s="1684"/>
      <c r="CC714" s="1684"/>
      <c r="CD714" s="1684"/>
      <c r="CE714" s="1684"/>
      <c r="CF714" s="1684"/>
      <c r="CG714" s="1684"/>
      <c r="CH714" s="1684"/>
      <c r="CI714" s="1684"/>
      <c r="CJ714" s="1684"/>
      <c r="CK714" s="1684"/>
      <c r="CL714" s="1684"/>
      <c r="CM714" s="1684"/>
      <c r="CN714" s="1684"/>
      <c r="CO714" s="1684"/>
    </row>
    <row r="715" spans="1:93" s="1391" customFormat="1" ht="15" x14ac:dyDescent="0.2">
      <c r="A715" s="1684"/>
      <c r="B715" s="1684"/>
      <c r="C715" s="2013">
        <v>12</v>
      </c>
      <c r="D715" s="5">
        <v>7.9829999999999997</v>
      </c>
      <c r="E715" s="5">
        <v>245</v>
      </c>
      <c r="F715" s="5">
        <v>272</v>
      </c>
      <c r="G715" s="5">
        <v>298</v>
      </c>
      <c r="H715" s="5">
        <v>324</v>
      </c>
      <c r="I715" s="5">
        <v>349</v>
      </c>
      <c r="J715" s="5">
        <v>375</v>
      </c>
      <c r="K715" s="5">
        <v>401</v>
      </c>
      <c r="L715" s="5">
        <v>428</v>
      </c>
      <c r="M715" s="5">
        <v>453</v>
      </c>
      <c r="N715" s="5">
        <v>478</v>
      </c>
      <c r="O715" s="5">
        <v>508</v>
      </c>
      <c r="P715" s="5">
        <v>530</v>
      </c>
      <c r="Q715" s="1160">
        <v>27</v>
      </c>
      <c r="R715"/>
      <c r="S715" s="1684"/>
      <c r="T715" s="1684"/>
      <c r="U715" s="1684"/>
      <c r="V715" s="1684"/>
      <c r="W715" s="1684"/>
      <c r="X715" s="1684"/>
      <c r="Y715" s="1684"/>
      <c r="Z715" s="1684"/>
      <c r="AA715" s="1684"/>
      <c r="AB715" s="1684"/>
      <c r="AC715" s="1684"/>
      <c r="AD715" s="1684"/>
      <c r="AE715" s="1684"/>
      <c r="AF715" s="1684"/>
      <c r="AG715" s="1684"/>
      <c r="AH715" s="1684"/>
      <c r="AI715" s="1684"/>
      <c r="AJ715" s="1684"/>
      <c r="AK715" s="1684"/>
      <c r="AL715" s="1684"/>
      <c r="AM715" s="1684"/>
      <c r="AN715" s="1684"/>
      <c r="AO715" s="1684"/>
      <c r="AP715" s="1684"/>
      <c r="AQ715" s="1684"/>
      <c r="AR715" s="1684"/>
      <c r="AS715" s="1684"/>
      <c r="AT715" s="1684"/>
      <c r="AU715" s="1684"/>
      <c r="AV715" s="1684"/>
      <c r="AW715" s="1684"/>
      <c r="AX715" s="1684"/>
      <c r="AY715" s="1684"/>
      <c r="AZ715" s="1684"/>
      <c r="BA715" s="1684"/>
      <c r="BB715" s="1684"/>
      <c r="BC715" s="1684"/>
      <c r="BD715" s="1684"/>
      <c r="BE715" s="1684"/>
      <c r="BF715" s="1684"/>
      <c r="BG715" s="1684"/>
      <c r="BH715" s="1684"/>
      <c r="BI715" s="1684"/>
      <c r="BJ715" s="1684"/>
      <c r="BK715" s="1684"/>
      <c r="BL715" s="1684"/>
      <c r="BM715" s="1684"/>
      <c r="BN715" s="1684"/>
      <c r="BO715" s="1684"/>
      <c r="BP715" s="1684"/>
      <c r="BQ715" s="1684"/>
      <c r="BR715" s="1684"/>
      <c r="BS715" s="1684"/>
      <c r="BT715" s="1684"/>
      <c r="BU715" s="1684"/>
      <c r="BV715" s="1684"/>
      <c r="BW715" s="1684"/>
      <c r="BX715" s="1684"/>
      <c r="BY715" s="1684"/>
      <c r="BZ715" s="1684"/>
      <c r="CA715" s="1684"/>
      <c r="CB715" s="1684"/>
      <c r="CC715" s="1684"/>
      <c r="CD715" s="1684"/>
      <c r="CE715" s="1684"/>
      <c r="CF715" s="1684"/>
      <c r="CG715" s="1684"/>
      <c r="CH715" s="1684"/>
      <c r="CI715" s="1684"/>
      <c r="CJ715" s="1684"/>
      <c r="CK715" s="1684"/>
      <c r="CL715" s="1684"/>
      <c r="CM715" s="1684"/>
      <c r="CN715" s="1684"/>
      <c r="CO715" s="1684"/>
    </row>
    <row r="716" spans="1:93" s="1391" customFormat="1" ht="15" x14ac:dyDescent="0.2">
      <c r="A716" s="1684"/>
      <c r="B716" s="1684"/>
      <c r="C716" s="2013">
        <v>13</v>
      </c>
      <c r="D716" s="5">
        <v>8.5410000000000004</v>
      </c>
      <c r="E716" s="5">
        <v>263</v>
      </c>
      <c r="F716" s="5">
        <v>298</v>
      </c>
      <c r="G716" s="5">
        <v>326</v>
      </c>
      <c r="H716" s="5">
        <v>354</v>
      </c>
      <c r="I716" s="5">
        <v>382</v>
      </c>
      <c r="J716" s="5">
        <v>411</v>
      </c>
      <c r="K716" s="5">
        <v>439</v>
      </c>
      <c r="L716" s="5">
        <v>468</v>
      </c>
      <c r="M716" s="5">
        <v>495</v>
      </c>
      <c r="N716" s="5">
        <v>524</v>
      </c>
      <c r="O716" s="5">
        <v>552</v>
      </c>
      <c r="P716" s="5">
        <v>580</v>
      </c>
      <c r="Q716" s="1160">
        <v>28</v>
      </c>
      <c r="R716"/>
      <c r="S716" s="1684"/>
      <c r="T716" s="1684"/>
      <c r="U716" s="1684"/>
      <c r="V716" s="1684"/>
      <c r="W716" s="1684"/>
      <c r="X716" s="1684"/>
      <c r="Y716" s="1684"/>
      <c r="Z716" s="1684"/>
      <c r="AA716" s="1684"/>
      <c r="AB716" s="1684"/>
      <c r="AC716" s="1684"/>
      <c r="AD716" s="1684"/>
      <c r="AE716" s="1684"/>
      <c r="AF716" s="1684"/>
      <c r="AG716" s="1684"/>
      <c r="AH716" s="1684"/>
      <c r="AI716" s="1684"/>
      <c r="AJ716" s="1684"/>
      <c r="AK716" s="1684"/>
      <c r="AL716" s="1684"/>
      <c r="AM716" s="1684"/>
      <c r="AN716" s="1684"/>
      <c r="AO716" s="1684"/>
      <c r="AP716" s="1684"/>
      <c r="AQ716" s="1684"/>
      <c r="AR716" s="1684"/>
      <c r="AS716" s="1684"/>
      <c r="AT716" s="1684"/>
      <c r="AU716" s="1684"/>
      <c r="AV716" s="1684"/>
      <c r="AW716" s="1684"/>
      <c r="AX716" s="1684"/>
      <c r="AY716" s="1684"/>
      <c r="AZ716" s="1684"/>
      <c r="BA716" s="1684"/>
      <c r="BB716" s="1684"/>
      <c r="BC716" s="1684"/>
      <c r="BD716" s="1684"/>
      <c r="BE716" s="1684"/>
      <c r="BF716" s="1684"/>
      <c r="BG716" s="1684"/>
      <c r="BH716" s="1684"/>
      <c r="BI716" s="1684"/>
      <c r="BJ716" s="1684"/>
      <c r="BK716" s="1684"/>
      <c r="BL716" s="1684"/>
      <c r="BM716" s="1684"/>
      <c r="BN716" s="1684"/>
      <c r="BO716" s="1684"/>
      <c r="BP716" s="1684"/>
      <c r="BQ716" s="1684"/>
      <c r="BR716" s="1684"/>
      <c r="BS716" s="1684"/>
      <c r="BT716" s="1684"/>
      <c r="BU716" s="1684"/>
      <c r="BV716" s="1684"/>
      <c r="BW716" s="1684"/>
      <c r="BX716" s="1684"/>
      <c r="BY716" s="1684"/>
      <c r="BZ716" s="1684"/>
      <c r="CA716" s="1684"/>
      <c r="CB716" s="1684"/>
      <c r="CC716" s="1684"/>
      <c r="CD716" s="1684"/>
      <c r="CE716" s="1684"/>
      <c r="CF716" s="1684"/>
      <c r="CG716" s="1684"/>
      <c r="CH716" s="1684"/>
      <c r="CI716" s="1684"/>
      <c r="CJ716" s="1684"/>
      <c r="CK716" s="1684"/>
      <c r="CL716" s="1684"/>
      <c r="CM716" s="1684"/>
      <c r="CN716" s="1684"/>
      <c r="CO716" s="1684"/>
    </row>
    <row r="717" spans="1:93" s="1391" customFormat="1" ht="15" x14ac:dyDescent="0.2">
      <c r="A717" s="1684"/>
      <c r="B717" s="1684"/>
      <c r="C717" s="2013">
        <v>14</v>
      </c>
      <c r="D717" s="5">
        <v>9.1359999999999992</v>
      </c>
      <c r="E717" s="5">
        <v>293</v>
      </c>
      <c r="F717" s="5">
        <v>320</v>
      </c>
      <c r="G717" s="5">
        <v>356</v>
      </c>
      <c r="H717" s="5">
        <v>387</v>
      </c>
      <c r="I717" s="5">
        <v>417</v>
      </c>
      <c r="J717" s="5">
        <v>448</v>
      </c>
      <c r="K717" s="5">
        <v>479</v>
      </c>
      <c r="L717" s="5">
        <v>511</v>
      </c>
      <c r="M717" s="5">
        <v>541</v>
      </c>
      <c r="N717" s="5">
        <v>572</v>
      </c>
      <c r="O717" s="5">
        <v>602</v>
      </c>
      <c r="P717" s="5">
        <v>633</v>
      </c>
      <c r="Q717" s="1160">
        <v>29</v>
      </c>
      <c r="R717"/>
      <c r="S717" s="1684"/>
      <c r="T717" s="1684"/>
      <c r="U717" s="1684"/>
      <c r="V717" s="1684"/>
      <c r="W717" s="1684"/>
      <c r="X717" s="1684"/>
      <c r="Y717" s="1684"/>
      <c r="Z717" s="1684"/>
      <c r="AA717" s="1684"/>
      <c r="AB717" s="1684"/>
      <c r="AC717" s="1684"/>
      <c r="AD717" s="1684"/>
      <c r="AE717" s="1684"/>
      <c r="AF717" s="1684"/>
      <c r="AG717" s="1684"/>
      <c r="AH717" s="1684"/>
      <c r="AI717" s="1684"/>
      <c r="AJ717" s="1684"/>
      <c r="AK717" s="1684"/>
      <c r="AL717" s="1684"/>
      <c r="AM717" s="1684"/>
      <c r="AN717" s="1684"/>
      <c r="AO717" s="1684"/>
      <c r="AP717" s="1684"/>
      <c r="AQ717" s="1684"/>
      <c r="AR717" s="1684"/>
      <c r="AS717" s="1684"/>
      <c r="AT717" s="1684"/>
      <c r="AU717" s="1684"/>
      <c r="AV717" s="1684"/>
      <c r="AW717" s="1684"/>
      <c r="AX717" s="1684"/>
      <c r="AY717" s="1684"/>
      <c r="AZ717" s="1684"/>
      <c r="BA717" s="1684"/>
      <c r="BB717" s="1684"/>
      <c r="BC717" s="1684"/>
      <c r="BD717" s="1684"/>
      <c r="BE717" s="1684"/>
      <c r="BF717" s="1684"/>
      <c r="BG717" s="1684"/>
      <c r="BH717" s="1684"/>
      <c r="BI717" s="1684"/>
      <c r="BJ717" s="1684"/>
      <c r="BK717" s="1684"/>
      <c r="BL717" s="1684"/>
      <c r="BM717" s="1684"/>
      <c r="BN717" s="1684"/>
      <c r="BO717" s="1684"/>
      <c r="BP717" s="1684"/>
      <c r="BQ717" s="1684"/>
      <c r="BR717" s="1684"/>
      <c r="BS717" s="1684"/>
      <c r="BT717" s="1684"/>
      <c r="BU717" s="1684"/>
      <c r="BV717" s="1684"/>
      <c r="BW717" s="1684"/>
      <c r="BX717" s="1684"/>
      <c r="BY717" s="1684"/>
      <c r="BZ717" s="1684"/>
      <c r="CA717" s="1684"/>
      <c r="CB717" s="1684"/>
      <c r="CC717" s="1684"/>
      <c r="CD717" s="1684"/>
      <c r="CE717" s="1684"/>
      <c r="CF717" s="1684"/>
      <c r="CG717" s="1684"/>
      <c r="CH717" s="1684"/>
      <c r="CI717" s="1684"/>
      <c r="CJ717" s="1684"/>
      <c r="CK717" s="1684"/>
      <c r="CL717" s="1684"/>
      <c r="CM717" s="1684"/>
      <c r="CN717" s="1684"/>
      <c r="CO717" s="1684"/>
    </row>
    <row r="718" spans="1:93" s="1391" customFormat="1" ht="15" x14ac:dyDescent="0.2">
      <c r="A718" s="1684"/>
      <c r="B718" s="1684"/>
      <c r="C718" s="2013">
        <v>15</v>
      </c>
      <c r="D718" s="5">
        <v>9.7579999999999991</v>
      </c>
      <c r="E718" s="5">
        <v>318</v>
      </c>
      <c r="F718" s="5">
        <v>350</v>
      </c>
      <c r="G718" s="5">
        <v>387</v>
      </c>
      <c r="H718" s="5">
        <v>420</v>
      </c>
      <c r="I718" s="5">
        <v>452</v>
      </c>
      <c r="J718" s="5">
        <v>487</v>
      </c>
      <c r="K718" s="5">
        <v>521</v>
      </c>
      <c r="L718" s="5">
        <v>556</v>
      </c>
      <c r="M718" s="5">
        <v>588</v>
      </c>
      <c r="N718" s="5">
        <v>621</v>
      </c>
      <c r="O718" s="5">
        <v>655</v>
      </c>
      <c r="P718" s="5">
        <v>688</v>
      </c>
      <c r="Q718" s="1160">
        <v>30</v>
      </c>
      <c r="R718"/>
      <c r="S718" s="1684"/>
      <c r="T718" s="1684"/>
      <c r="U718" s="1684"/>
      <c r="V718" s="1684"/>
      <c r="W718" s="1684"/>
      <c r="X718" s="1684"/>
      <c r="Y718" s="1684"/>
      <c r="Z718" s="1684"/>
      <c r="AA718" s="1684"/>
      <c r="AB718" s="1684"/>
      <c r="AC718" s="1684"/>
      <c r="AD718" s="1684"/>
      <c r="AE718" s="1684"/>
      <c r="AF718" s="1684"/>
      <c r="AG718" s="1684"/>
      <c r="AH718" s="1684"/>
      <c r="AI718" s="1684"/>
      <c r="AJ718" s="1684"/>
      <c r="AK718" s="1684"/>
      <c r="AL718" s="1684"/>
      <c r="AM718" s="1684"/>
      <c r="AN718" s="1684"/>
      <c r="AO718" s="1684"/>
      <c r="AP718" s="1684"/>
      <c r="AQ718" s="1684"/>
      <c r="AR718" s="1684"/>
      <c r="AS718" s="1684"/>
      <c r="AT718" s="1684"/>
      <c r="AU718" s="1684"/>
      <c r="AV718" s="1684"/>
      <c r="AW718" s="1684"/>
      <c r="AX718" s="1684"/>
      <c r="AY718" s="1684"/>
      <c r="AZ718" s="1684"/>
      <c r="BA718" s="1684"/>
      <c r="BB718" s="1684"/>
      <c r="BC718" s="1684"/>
      <c r="BD718" s="1684"/>
      <c r="BE718" s="1684"/>
      <c r="BF718" s="1684"/>
      <c r="BG718" s="1684"/>
      <c r="BH718" s="1684"/>
      <c r="BI718" s="1684"/>
      <c r="BJ718" s="1684"/>
      <c r="BK718" s="1684"/>
      <c r="BL718" s="1684"/>
      <c r="BM718" s="1684"/>
      <c r="BN718" s="1684"/>
      <c r="BO718" s="1684"/>
      <c r="BP718" s="1684"/>
      <c r="BQ718" s="1684"/>
      <c r="BR718" s="1684"/>
      <c r="BS718" s="1684"/>
      <c r="BT718" s="1684"/>
      <c r="BU718" s="1684"/>
      <c r="BV718" s="1684"/>
      <c r="BW718" s="1684"/>
      <c r="BX718" s="1684"/>
      <c r="BY718" s="1684"/>
      <c r="BZ718" s="1684"/>
      <c r="CA718" s="1684"/>
      <c r="CB718" s="1684"/>
      <c r="CC718" s="1684"/>
      <c r="CD718" s="1684"/>
      <c r="CE718" s="1684"/>
      <c r="CF718" s="1684"/>
      <c r="CG718" s="1684"/>
      <c r="CH718" s="1684"/>
      <c r="CI718" s="1684"/>
      <c r="CJ718" s="1684"/>
      <c r="CK718" s="1684"/>
      <c r="CL718" s="1684"/>
      <c r="CM718" s="1684"/>
      <c r="CN718" s="1684"/>
      <c r="CO718" s="1684"/>
    </row>
    <row r="719" spans="1:93" s="1391" customFormat="1" ht="15" x14ac:dyDescent="0.2">
      <c r="A719" s="1684"/>
      <c r="B719" s="1684"/>
      <c r="C719" s="2013">
        <v>16</v>
      </c>
      <c r="D719" s="5">
        <v>10.548</v>
      </c>
      <c r="E719" s="5">
        <v>343</v>
      </c>
      <c r="F719" s="5">
        <v>381</v>
      </c>
      <c r="G719" s="5">
        <v>418</v>
      </c>
      <c r="H719" s="5">
        <v>454</v>
      </c>
      <c r="I719" s="5">
        <v>490</v>
      </c>
      <c r="J719" s="5">
        <v>526</v>
      </c>
      <c r="K719" s="5">
        <v>562</v>
      </c>
      <c r="L719" s="5">
        <v>600</v>
      </c>
      <c r="M719" s="5">
        <v>634</v>
      </c>
      <c r="N719" s="5">
        <v>671</v>
      </c>
      <c r="O719" s="5">
        <v>707</v>
      </c>
      <c r="P719" s="5">
        <v>743</v>
      </c>
      <c r="Q719" s="1160">
        <v>31</v>
      </c>
      <c r="R719"/>
      <c r="S719" s="1684"/>
      <c r="T719" s="1684"/>
      <c r="U719" s="1684"/>
      <c r="V719" s="1684"/>
      <c r="W719" s="1684"/>
      <c r="X719" s="1684"/>
      <c r="Y719" s="1684"/>
      <c r="Z719" s="1684"/>
      <c r="AA719" s="1684"/>
      <c r="AB719" s="1684"/>
      <c r="AC719" s="1684"/>
      <c r="AD719" s="1684"/>
      <c r="AE719" s="1684"/>
      <c r="AF719" s="1684"/>
      <c r="AG719" s="1684"/>
      <c r="AH719" s="1684"/>
      <c r="AI719" s="1684"/>
      <c r="AJ719" s="1684"/>
      <c r="AK719" s="1684"/>
      <c r="AL719" s="1684"/>
      <c r="AM719" s="1684"/>
      <c r="AN719" s="1684"/>
      <c r="AO719" s="1684"/>
      <c r="AP719" s="1684"/>
      <c r="AQ719" s="1684"/>
      <c r="AR719" s="1684"/>
      <c r="AS719" s="1684"/>
      <c r="AT719" s="1684"/>
      <c r="AU719" s="1684"/>
      <c r="AV719" s="1684"/>
      <c r="AW719" s="1684"/>
      <c r="AX719" s="1684"/>
      <c r="AY719" s="1684"/>
      <c r="AZ719" s="1684"/>
      <c r="BA719" s="1684"/>
      <c r="BB719" s="1684"/>
      <c r="BC719" s="1684"/>
      <c r="BD719" s="1684"/>
      <c r="BE719" s="1684"/>
      <c r="BF719" s="1684"/>
      <c r="BG719" s="1684"/>
      <c r="BH719" s="1684"/>
      <c r="BI719" s="1684"/>
      <c r="BJ719" s="1684"/>
      <c r="BK719" s="1684"/>
      <c r="BL719" s="1684"/>
      <c r="BM719" s="1684"/>
      <c r="BN719" s="1684"/>
      <c r="BO719" s="1684"/>
      <c r="BP719" s="1684"/>
      <c r="BQ719" s="1684"/>
      <c r="BR719" s="1684"/>
      <c r="BS719" s="1684"/>
      <c r="BT719" s="1684"/>
      <c r="BU719" s="1684"/>
      <c r="BV719" s="1684"/>
      <c r="BW719" s="1684"/>
      <c r="BX719" s="1684"/>
      <c r="BY719" s="1684"/>
      <c r="BZ719" s="1684"/>
      <c r="CA719" s="1684"/>
      <c r="CB719" s="1684"/>
      <c r="CC719" s="1684"/>
      <c r="CD719" s="1684"/>
      <c r="CE719" s="1684"/>
      <c r="CF719" s="1684"/>
      <c r="CG719" s="1684"/>
      <c r="CH719" s="1684"/>
      <c r="CI719" s="1684"/>
      <c r="CJ719" s="1684"/>
      <c r="CK719" s="1684"/>
      <c r="CL719" s="1684"/>
      <c r="CM719" s="1684"/>
      <c r="CN719" s="1684"/>
      <c r="CO719" s="1684"/>
    </row>
    <row r="720" spans="1:93" s="1391" customFormat="1" ht="15" x14ac:dyDescent="0.2">
      <c r="A720" s="1684"/>
      <c r="B720" s="1684"/>
      <c r="C720" s="2013">
        <v>17</v>
      </c>
      <c r="D720" s="5">
        <v>11.385999999999999</v>
      </c>
      <c r="E720" s="5">
        <v>367</v>
      </c>
      <c r="F720" s="5">
        <v>408</v>
      </c>
      <c r="G720" s="5">
        <v>446</v>
      </c>
      <c r="H720" s="5">
        <v>485</v>
      </c>
      <c r="I720" s="5">
        <v>524</v>
      </c>
      <c r="J720" s="5">
        <v>562</v>
      </c>
      <c r="K720" s="5">
        <v>601</v>
      </c>
      <c r="L720" s="5">
        <v>641</v>
      </c>
      <c r="M720" s="5">
        <v>678</v>
      </c>
      <c r="N720" s="5">
        <v>717</v>
      </c>
      <c r="O720" s="5">
        <v>755</v>
      </c>
      <c r="P720" s="5">
        <v>794</v>
      </c>
      <c r="Q720" s="1160">
        <v>32</v>
      </c>
      <c r="R720"/>
      <c r="S720" s="1684"/>
      <c r="T720" s="1684"/>
      <c r="U720" s="1684"/>
      <c r="V720" s="1684"/>
      <c r="W720" s="1684"/>
      <c r="X720" s="1684"/>
      <c r="Y720" s="1684"/>
      <c r="Z720" s="1684"/>
      <c r="AA720" s="1684"/>
      <c r="AB720" s="1684"/>
      <c r="AC720" s="1684"/>
      <c r="AD720" s="1684"/>
      <c r="AE720" s="1684"/>
      <c r="AF720" s="1684"/>
      <c r="AG720" s="1684"/>
      <c r="AH720" s="1684"/>
      <c r="AI720" s="1684"/>
      <c r="AJ720" s="1684"/>
      <c r="AK720" s="1684"/>
      <c r="AL720" s="1684"/>
      <c r="AM720" s="1684"/>
      <c r="AN720" s="1684"/>
      <c r="AO720" s="1684"/>
      <c r="AP720" s="1684"/>
      <c r="AQ720" s="1684"/>
      <c r="AR720" s="1684"/>
      <c r="AS720" s="1684"/>
      <c r="AT720" s="1684"/>
      <c r="AU720" s="1684"/>
      <c r="AV720" s="1684"/>
      <c r="AW720" s="1684"/>
      <c r="AX720" s="1684"/>
      <c r="AY720" s="1684"/>
      <c r="AZ720" s="1684"/>
      <c r="BA720" s="1684"/>
      <c r="BB720" s="1684"/>
      <c r="BC720" s="1684"/>
      <c r="BD720" s="1684"/>
      <c r="BE720" s="1684"/>
      <c r="BF720" s="1684"/>
      <c r="BG720" s="1684"/>
      <c r="BH720" s="1684"/>
      <c r="BI720" s="1684"/>
      <c r="BJ720" s="1684"/>
      <c r="BK720" s="1684"/>
      <c r="BL720" s="1684"/>
      <c r="BM720" s="1684"/>
      <c r="BN720" s="1684"/>
      <c r="BO720" s="1684"/>
      <c r="BP720" s="1684"/>
      <c r="BQ720" s="1684"/>
      <c r="BR720" s="1684"/>
      <c r="BS720" s="1684"/>
      <c r="BT720" s="1684"/>
      <c r="BU720" s="1684"/>
      <c r="BV720" s="1684"/>
      <c r="BW720" s="1684"/>
      <c r="BX720" s="1684"/>
      <c r="BY720" s="1684"/>
      <c r="BZ720" s="1684"/>
      <c r="CA720" s="1684"/>
      <c r="CB720" s="1684"/>
      <c r="CC720" s="1684"/>
      <c r="CD720" s="1684"/>
      <c r="CE720" s="1684"/>
      <c r="CF720" s="1684"/>
      <c r="CG720" s="1684"/>
      <c r="CH720" s="1684"/>
      <c r="CI720" s="1684"/>
      <c r="CJ720" s="1684"/>
      <c r="CK720" s="1684"/>
      <c r="CL720" s="1684"/>
      <c r="CM720" s="1684"/>
      <c r="CN720" s="1684"/>
      <c r="CO720" s="1684"/>
    </row>
    <row r="721" spans="1:93" s="1391" customFormat="1" ht="15" x14ac:dyDescent="0.2">
      <c r="A721" s="1684"/>
      <c r="B721" s="1684"/>
      <c r="C721" s="2013">
        <v>18</v>
      </c>
      <c r="D721" s="5">
        <v>11.936999999999999</v>
      </c>
      <c r="E721" s="5">
        <v>389</v>
      </c>
      <c r="F721" s="5">
        <v>432</v>
      </c>
      <c r="G721" s="5">
        <v>473</v>
      </c>
      <c r="H721" s="5">
        <v>514</v>
      </c>
      <c r="I721" s="5">
        <v>555</v>
      </c>
      <c r="J721" s="5">
        <v>595</v>
      </c>
      <c r="K721" s="5">
        <v>636</v>
      </c>
      <c r="L721" s="5">
        <v>679</v>
      </c>
      <c r="M721" s="5">
        <v>718</v>
      </c>
      <c r="N721" s="5">
        <v>759</v>
      </c>
      <c r="O721" s="5">
        <v>800</v>
      </c>
      <c r="P721" s="5">
        <v>841</v>
      </c>
      <c r="Q721" s="1160">
        <v>33</v>
      </c>
      <c r="R721"/>
      <c r="S721" s="1684"/>
      <c r="T721" s="1684"/>
      <c r="U721" s="1684"/>
      <c r="V721" s="1684"/>
      <c r="W721" s="1684"/>
      <c r="X721" s="1684"/>
      <c r="Y721" s="1684"/>
      <c r="Z721" s="1684"/>
      <c r="AA721" s="1684"/>
      <c r="AB721" s="1684"/>
      <c r="AC721" s="1684"/>
      <c r="AD721" s="1684"/>
      <c r="AE721" s="1684"/>
      <c r="AF721" s="1684"/>
      <c r="AG721" s="1684"/>
      <c r="AH721" s="1684"/>
      <c r="AI721" s="1684"/>
      <c r="AJ721" s="1684"/>
      <c r="AK721" s="1684"/>
      <c r="AL721" s="1684"/>
      <c r="AM721" s="1684"/>
      <c r="AN721" s="1684"/>
      <c r="AO721" s="1684"/>
      <c r="AP721" s="1684"/>
      <c r="AQ721" s="1684"/>
      <c r="AR721" s="1684"/>
      <c r="AS721" s="1684"/>
      <c r="AT721" s="1684"/>
      <c r="AU721" s="1684"/>
      <c r="AV721" s="1684"/>
      <c r="AW721" s="1684"/>
      <c r="AX721" s="1684"/>
      <c r="AY721" s="1684"/>
      <c r="AZ721" s="1684"/>
      <c r="BA721" s="1684"/>
      <c r="BB721" s="1684"/>
      <c r="BC721" s="1684"/>
      <c r="BD721" s="1684"/>
      <c r="BE721" s="1684"/>
      <c r="BF721" s="1684"/>
      <c r="BG721" s="1684"/>
      <c r="BH721" s="1684"/>
      <c r="BI721" s="1684"/>
      <c r="BJ721" s="1684"/>
      <c r="BK721" s="1684"/>
      <c r="BL721" s="1684"/>
      <c r="BM721" s="1684"/>
      <c r="BN721" s="1684"/>
      <c r="BO721" s="1684"/>
      <c r="BP721" s="1684"/>
      <c r="BQ721" s="1684"/>
      <c r="BR721" s="1684"/>
      <c r="BS721" s="1684"/>
      <c r="BT721" s="1684"/>
      <c r="BU721" s="1684"/>
      <c r="BV721" s="1684"/>
      <c r="BW721" s="1684"/>
      <c r="BX721" s="1684"/>
      <c r="BY721" s="1684"/>
      <c r="BZ721" s="1684"/>
      <c r="CA721" s="1684"/>
      <c r="CB721" s="1684"/>
      <c r="CC721" s="1684"/>
      <c r="CD721" s="1684"/>
      <c r="CE721" s="1684"/>
      <c r="CF721" s="1684"/>
      <c r="CG721" s="1684"/>
      <c r="CH721" s="1684"/>
      <c r="CI721" s="1684"/>
      <c r="CJ721" s="1684"/>
      <c r="CK721" s="1684"/>
      <c r="CL721" s="1684"/>
      <c r="CM721" s="1684"/>
      <c r="CN721" s="1684"/>
      <c r="CO721" s="1684"/>
    </row>
    <row r="722" spans="1:93" s="1391" customFormat="1" ht="15" x14ac:dyDescent="0.2">
      <c r="A722" s="1684"/>
      <c r="B722" s="1684"/>
      <c r="C722" s="4680" t="s">
        <v>3693</v>
      </c>
      <c r="D722" s="4681"/>
      <c r="E722" s="4681"/>
      <c r="F722" s="4681"/>
      <c r="G722" s="4681"/>
      <c r="H722" s="4681"/>
      <c r="I722" s="4681"/>
      <c r="J722" s="4681"/>
      <c r="K722" s="4681"/>
      <c r="L722" s="4681"/>
      <c r="M722" s="4681"/>
      <c r="N722" s="4681"/>
      <c r="O722" s="4681"/>
      <c r="P722" s="4681"/>
      <c r="Q722" s="4682"/>
      <c r="R722"/>
      <c r="S722" s="1684"/>
      <c r="T722" s="1684"/>
      <c r="U722" s="1684"/>
      <c r="V722" s="1684"/>
      <c r="W722" s="1684"/>
      <c r="X722" s="1684"/>
      <c r="Y722" s="1684"/>
      <c r="Z722" s="1684"/>
      <c r="AA722" s="1684"/>
      <c r="AB722" s="1684"/>
      <c r="AC722" s="1684"/>
      <c r="AD722" s="1684"/>
      <c r="AE722" s="1684"/>
      <c r="AF722" s="1684"/>
      <c r="AG722" s="1684"/>
      <c r="AH722" s="1684"/>
      <c r="AI722" s="1684"/>
      <c r="AJ722" s="1684"/>
      <c r="AK722" s="1684"/>
      <c r="AL722" s="1684"/>
      <c r="AM722" s="1684"/>
      <c r="AN722" s="1684"/>
      <c r="AO722" s="1684"/>
      <c r="AP722" s="1684"/>
      <c r="AQ722" s="1684"/>
      <c r="AR722" s="1684"/>
      <c r="AS722" s="1684"/>
      <c r="AT722" s="1684"/>
      <c r="AU722" s="1684"/>
      <c r="AV722" s="1684"/>
      <c r="AW722" s="1684"/>
      <c r="AX722" s="1684"/>
      <c r="AY722" s="1684"/>
      <c r="AZ722" s="1684"/>
      <c r="BA722" s="1684"/>
      <c r="BB722" s="1684"/>
      <c r="BC722" s="1684"/>
      <c r="BD722" s="1684"/>
      <c r="BE722" s="1684"/>
      <c r="BF722" s="1684"/>
      <c r="BG722" s="1684"/>
      <c r="BH722" s="1684"/>
      <c r="BI722" s="1684"/>
      <c r="BJ722" s="1684"/>
      <c r="BK722" s="1684"/>
      <c r="BL722" s="1684"/>
      <c r="BM722" s="1684"/>
      <c r="BN722" s="1684"/>
      <c r="BO722" s="1684"/>
      <c r="BP722" s="1684"/>
      <c r="BQ722" s="1684"/>
      <c r="BR722" s="1684"/>
      <c r="BS722" s="1684"/>
      <c r="BT722" s="1684"/>
      <c r="BU722" s="1684"/>
      <c r="BV722" s="1684"/>
      <c r="BW722" s="1684"/>
      <c r="BX722" s="1684"/>
      <c r="BY722" s="1684"/>
      <c r="BZ722" s="1684"/>
      <c r="CA722" s="1684"/>
      <c r="CB722" s="1684"/>
      <c r="CC722" s="1684"/>
      <c r="CD722" s="1684"/>
      <c r="CE722" s="1684"/>
      <c r="CF722" s="1684"/>
      <c r="CG722" s="1684"/>
      <c r="CH722" s="1684"/>
      <c r="CI722" s="1684"/>
      <c r="CJ722" s="1684"/>
      <c r="CK722" s="1684"/>
      <c r="CL722" s="1684"/>
      <c r="CM722" s="1684"/>
      <c r="CN722" s="1684"/>
      <c r="CO722" s="1684"/>
    </row>
    <row r="723" spans="1:93" s="1391" customFormat="1" ht="15" x14ac:dyDescent="0.2">
      <c r="A723" s="1684"/>
      <c r="B723" s="1684"/>
      <c r="C723" s="4680"/>
      <c r="D723" s="4681"/>
      <c r="E723" s="4681"/>
      <c r="F723" s="4681"/>
      <c r="G723" s="4681"/>
      <c r="H723" s="4681"/>
      <c r="I723" s="4681"/>
      <c r="J723" s="4681"/>
      <c r="K723" s="4681"/>
      <c r="L723" s="4681"/>
      <c r="M723" s="4681"/>
      <c r="N723" s="4681"/>
      <c r="O723" s="4681"/>
      <c r="P723" s="4681"/>
      <c r="Q723" s="4682"/>
      <c r="R723"/>
      <c r="S723" s="1684"/>
      <c r="T723" s="1684"/>
      <c r="U723" s="1684"/>
      <c r="V723" s="1684"/>
      <c r="W723" s="1684"/>
      <c r="X723" s="1684"/>
      <c r="Y723" s="1684"/>
      <c r="Z723" s="1684"/>
      <c r="AA723" s="1684"/>
      <c r="AB723" s="1684"/>
      <c r="AC723" s="1684"/>
      <c r="AD723" s="1684"/>
      <c r="AE723" s="1684"/>
      <c r="AF723" s="1684"/>
      <c r="AG723" s="1684"/>
      <c r="AH723" s="1684"/>
      <c r="AI723" s="1684"/>
      <c r="AJ723" s="1684"/>
      <c r="AK723" s="1684"/>
      <c r="AL723" s="1684"/>
      <c r="AM723" s="1684"/>
      <c r="AN723" s="1684"/>
      <c r="AO723" s="1684"/>
      <c r="AP723" s="1684"/>
      <c r="AQ723" s="1684"/>
      <c r="AR723" s="1684"/>
      <c r="AS723" s="1684"/>
      <c r="AT723" s="1684"/>
      <c r="AU723" s="1684"/>
      <c r="AV723" s="1684"/>
      <c r="AW723" s="1684"/>
      <c r="AX723" s="1684"/>
      <c r="AY723" s="1684"/>
      <c r="AZ723" s="1684"/>
      <c r="BA723" s="1684"/>
      <c r="BB723" s="1684"/>
      <c r="BC723" s="1684"/>
      <c r="BD723" s="1684"/>
      <c r="BE723" s="1684"/>
      <c r="BF723" s="1684"/>
      <c r="BG723" s="1684"/>
      <c r="BH723" s="1684"/>
      <c r="BI723" s="1684"/>
      <c r="BJ723" s="1684"/>
      <c r="BK723" s="1684"/>
      <c r="BL723" s="1684"/>
      <c r="BM723" s="1684"/>
      <c r="BN723" s="1684"/>
      <c r="BO723" s="1684"/>
      <c r="BP723" s="1684"/>
      <c r="BQ723" s="1684"/>
      <c r="BR723" s="1684"/>
      <c r="BS723" s="1684"/>
      <c r="BT723" s="1684"/>
      <c r="BU723" s="1684"/>
      <c r="BV723" s="1684"/>
      <c r="BW723" s="1684"/>
      <c r="BX723" s="1684"/>
      <c r="BY723" s="1684"/>
      <c r="BZ723" s="1684"/>
      <c r="CA723" s="1684"/>
      <c r="CB723" s="1684"/>
      <c r="CC723" s="1684"/>
      <c r="CD723" s="1684"/>
      <c r="CE723" s="1684"/>
      <c r="CF723" s="1684"/>
      <c r="CG723" s="1684"/>
      <c r="CH723" s="1684"/>
      <c r="CI723" s="1684"/>
      <c r="CJ723" s="1684"/>
      <c r="CK723" s="1684"/>
      <c r="CL723" s="1684"/>
      <c r="CM723" s="1684"/>
      <c r="CN723" s="1684"/>
      <c r="CO723" s="1684"/>
    </row>
    <row r="724" spans="1:93" s="1391" customFormat="1" ht="15" x14ac:dyDescent="0.2">
      <c r="A724" s="1684"/>
      <c r="B724" s="1684"/>
      <c r="C724" s="2013"/>
      <c r="D724" s="5"/>
      <c r="E724" s="5">
        <v>1</v>
      </c>
      <c r="F724" s="5">
        <v>2</v>
      </c>
      <c r="G724" s="5">
        <v>3</v>
      </c>
      <c r="H724" s="5">
        <v>4</v>
      </c>
      <c r="I724" s="5">
        <v>5</v>
      </c>
      <c r="J724" s="5">
        <v>6</v>
      </c>
      <c r="K724" s="5">
        <v>7</v>
      </c>
      <c r="L724" s="5">
        <v>8</v>
      </c>
      <c r="M724" s="5">
        <v>9</v>
      </c>
      <c r="N724" s="5">
        <v>10</v>
      </c>
      <c r="O724" s="5">
        <v>11</v>
      </c>
      <c r="P724" s="5">
        <v>12</v>
      </c>
      <c r="Q724" s="1160"/>
      <c r="R724"/>
      <c r="S724" s="1684"/>
      <c r="T724" s="1684"/>
      <c r="U724" s="1684"/>
      <c r="V724" s="1684"/>
      <c r="W724" s="1684"/>
      <c r="X724" s="1684"/>
      <c r="Y724" s="1684"/>
      <c r="Z724" s="1684"/>
      <c r="AA724" s="1684"/>
      <c r="AB724" s="1684"/>
      <c r="AC724" s="1684"/>
      <c r="AD724" s="1684"/>
      <c r="AE724" s="1684"/>
      <c r="AF724" s="1684"/>
      <c r="AG724" s="1684"/>
      <c r="AH724" s="1684"/>
      <c r="AI724" s="1684"/>
      <c r="AJ724" s="1684"/>
      <c r="AK724" s="1684"/>
      <c r="AL724" s="1684"/>
      <c r="AM724" s="1684"/>
      <c r="AN724" s="1684"/>
      <c r="AO724" s="1684"/>
      <c r="AP724" s="1684"/>
      <c r="AQ724" s="1684"/>
      <c r="AR724" s="1684"/>
      <c r="AS724" s="1684"/>
      <c r="AT724" s="1684"/>
      <c r="AU724" s="1684"/>
      <c r="AV724" s="1684"/>
      <c r="AW724" s="1684"/>
      <c r="AX724" s="1684"/>
      <c r="AY724" s="1684"/>
      <c r="AZ724" s="1684"/>
      <c r="BA724" s="1684"/>
      <c r="BB724" s="1684"/>
      <c r="BC724" s="1684"/>
      <c r="BD724" s="1684"/>
      <c r="BE724" s="1684"/>
      <c r="BF724" s="1684"/>
      <c r="BG724" s="1684"/>
      <c r="BH724" s="1684"/>
      <c r="BI724" s="1684"/>
      <c r="BJ724" s="1684"/>
      <c r="BK724" s="1684"/>
      <c r="BL724" s="1684"/>
      <c r="BM724" s="1684"/>
      <c r="BN724" s="1684"/>
      <c r="BO724" s="1684"/>
      <c r="BP724" s="1684"/>
      <c r="BQ724" s="1684"/>
      <c r="BR724" s="1684"/>
      <c r="BS724" s="1684"/>
      <c r="BT724" s="1684"/>
      <c r="BU724" s="1684"/>
      <c r="BV724" s="1684"/>
      <c r="BW724" s="1684"/>
      <c r="BX724" s="1684"/>
      <c r="BY724" s="1684"/>
      <c r="BZ724" s="1684"/>
      <c r="CA724" s="1684"/>
      <c r="CB724" s="1684"/>
      <c r="CC724" s="1684"/>
      <c r="CD724" s="1684"/>
      <c r="CE724" s="1684"/>
      <c r="CF724" s="1684"/>
      <c r="CG724" s="1684"/>
      <c r="CH724" s="1684"/>
      <c r="CI724" s="1684"/>
      <c r="CJ724" s="1684"/>
      <c r="CK724" s="1684"/>
      <c r="CL724" s="1684"/>
      <c r="CM724" s="1684"/>
      <c r="CN724" s="1684"/>
      <c r="CO724" s="1684"/>
    </row>
    <row r="725" spans="1:93" s="1391" customFormat="1" ht="15" x14ac:dyDescent="0.2">
      <c r="A725" s="1684"/>
      <c r="B725" s="1684"/>
      <c r="C725" s="2013">
        <v>8</v>
      </c>
      <c r="D725" s="5">
        <v>6.1189999999999998</v>
      </c>
      <c r="E725" s="5">
        <v>167</v>
      </c>
      <c r="F725" s="5">
        <v>185</v>
      </c>
      <c r="G725" s="5">
        <v>203</v>
      </c>
      <c r="H725" s="5">
        <v>221</v>
      </c>
      <c r="I725" s="5">
        <v>238</v>
      </c>
      <c r="J725" s="5">
        <v>256</v>
      </c>
      <c r="K725" s="5">
        <v>273</v>
      </c>
      <c r="L725" s="5">
        <v>292</v>
      </c>
      <c r="M725" s="5">
        <v>308</v>
      </c>
      <c r="N725" s="5">
        <v>326</v>
      </c>
      <c r="O725" s="5">
        <v>344</v>
      </c>
      <c r="P725" s="5">
        <v>361</v>
      </c>
      <c r="Q725" s="1160">
        <v>34</v>
      </c>
      <c r="R725"/>
      <c r="S725" s="1684"/>
      <c r="T725" s="1684"/>
      <c r="U725" s="1684"/>
      <c r="V725" s="1684"/>
      <c r="W725" s="1684"/>
      <c r="X725" s="1684"/>
      <c r="Y725" s="1684"/>
      <c r="Z725" s="1684"/>
      <c r="AA725" s="1684"/>
      <c r="AB725" s="1684"/>
      <c r="AC725" s="1684"/>
      <c r="AD725" s="1684"/>
      <c r="AE725" s="1684"/>
      <c r="AF725" s="1684"/>
      <c r="AG725" s="1684"/>
      <c r="AH725" s="1684"/>
      <c r="AI725" s="1684"/>
      <c r="AJ725" s="1684"/>
      <c r="AK725" s="1684"/>
      <c r="AL725" s="1684"/>
      <c r="AM725" s="1684"/>
      <c r="AN725" s="1684"/>
      <c r="AO725" s="1684"/>
      <c r="AP725" s="1684"/>
      <c r="AQ725" s="1684"/>
      <c r="AR725" s="1684"/>
      <c r="AS725" s="1684"/>
      <c r="AT725" s="1684"/>
      <c r="AU725" s="1684"/>
      <c r="AV725" s="1684"/>
      <c r="AW725" s="1684"/>
      <c r="AX725" s="1684"/>
      <c r="AY725" s="1684"/>
      <c r="AZ725" s="1684"/>
      <c r="BA725" s="1684"/>
      <c r="BB725" s="1684"/>
      <c r="BC725" s="1684"/>
      <c r="BD725" s="1684"/>
      <c r="BE725" s="1684"/>
      <c r="BF725" s="1684"/>
      <c r="BG725" s="1684"/>
      <c r="BH725" s="1684"/>
      <c r="BI725" s="1684"/>
      <c r="BJ725" s="1684"/>
      <c r="BK725" s="1684"/>
      <c r="BL725" s="1684"/>
      <c r="BM725" s="1684"/>
      <c r="BN725" s="1684"/>
      <c r="BO725" s="1684"/>
      <c r="BP725" s="1684"/>
      <c r="BQ725" s="1684"/>
      <c r="BR725" s="1684"/>
      <c r="BS725" s="1684"/>
      <c r="BT725" s="1684"/>
      <c r="BU725" s="1684"/>
      <c r="BV725" s="1684"/>
      <c r="BW725" s="1684"/>
      <c r="BX725" s="1684"/>
      <c r="BY725" s="1684"/>
      <c r="BZ725" s="1684"/>
      <c r="CA725" s="1684"/>
      <c r="CB725" s="1684"/>
      <c r="CC725" s="1684"/>
      <c r="CD725" s="1684"/>
      <c r="CE725" s="1684"/>
      <c r="CF725" s="1684"/>
      <c r="CG725" s="1684"/>
      <c r="CH725" s="1684"/>
      <c r="CI725" s="1684"/>
      <c r="CJ725" s="1684"/>
      <c r="CK725" s="1684"/>
      <c r="CL725" s="1684"/>
      <c r="CM725" s="1684"/>
      <c r="CN725" s="1684"/>
      <c r="CO725" s="1684"/>
    </row>
    <row r="726" spans="1:93" s="1391" customFormat="1" ht="15" x14ac:dyDescent="0.2">
      <c r="A726" s="1684"/>
      <c r="B726" s="1684"/>
      <c r="C726" s="2013">
        <v>9</v>
      </c>
      <c r="D726" s="5">
        <v>6.5519999999999996</v>
      </c>
      <c r="E726" s="5">
        <v>185</v>
      </c>
      <c r="F726" s="5">
        <v>206</v>
      </c>
      <c r="G726" s="5">
        <v>225</v>
      </c>
      <c r="H726" s="5">
        <v>245</v>
      </c>
      <c r="I726" s="5">
        <v>264</v>
      </c>
      <c r="J726" s="5">
        <v>284</v>
      </c>
      <c r="K726" s="5">
        <v>303</v>
      </c>
      <c r="L726" s="5">
        <v>324</v>
      </c>
      <c r="M726" s="5">
        <v>342</v>
      </c>
      <c r="N726" s="5">
        <v>362</v>
      </c>
      <c r="O726" s="5">
        <v>381</v>
      </c>
      <c r="P726" s="5">
        <v>401</v>
      </c>
      <c r="Q726" s="1160">
        <v>35</v>
      </c>
      <c r="R726"/>
      <c r="S726" s="1684"/>
      <c r="T726" s="1684"/>
      <c r="U726" s="1684"/>
      <c r="V726" s="1684"/>
      <c r="W726" s="1684"/>
      <c r="X726" s="1684"/>
      <c r="Y726" s="1684"/>
      <c r="Z726" s="1684"/>
      <c r="AA726" s="1684"/>
      <c r="AB726" s="1684"/>
      <c r="AC726" s="1684"/>
      <c r="AD726" s="1684"/>
      <c r="AE726" s="1684"/>
      <c r="AF726" s="1684"/>
      <c r="AG726" s="1684"/>
      <c r="AH726" s="1684"/>
      <c r="AI726" s="1684"/>
      <c r="AJ726" s="1684"/>
      <c r="AK726" s="1684"/>
      <c r="AL726" s="1684"/>
      <c r="AM726" s="1684"/>
      <c r="AN726" s="1684"/>
      <c r="AO726" s="1684"/>
      <c r="AP726" s="1684"/>
      <c r="AQ726" s="1684"/>
      <c r="AR726" s="1684"/>
      <c r="AS726" s="1684"/>
      <c r="AT726" s="1684"/>
      <c r="AU726" s="1684"/>
      <c r="AV726" s="1684"/>
      <c r="AW726" s="1684"/>
      <c r="AX726" s="1684"/>
      <c r="AY726" s="1684"/>
      <c r="AZ726" s="1684"/>
      <c r="BA726" s="1684"/>
      <c r="BB726" s="1684"/>
      <c r="BC726" s="1684"/>
      <c r="BD726" s="1684"/>
      <c r="BE726" s="1684"/>
      <c r="BF726" s="1684"/>
      <c r="BG726" s="1684"/>
      <c r="BH726" s="1684"/>
      <c r="BI726" s="1684"/>
      <c r="BJ726" s="1684"/>
      <c r="BK726" s="1684"/>
      <c r="BL726" s="1684"/>
      <c r="BM726" s="1684"/>
      <c r="BN726" s="1684"/>
      <c r="BO726" s="1684"/>
      <c r="BP726" s="1684"/>
      <c r="BQ726" s="1684"/>
      <c r="BR726" s="1684"/>
      <c r="BS726" s="1684"/>
      <c r="BT726" s="1684"/>
      <c r="BU726" s="1684"/>
      <c r="BV726" s="1684"/>
      <c r="BW726" s="1684"/>
      <c r="BX726" s="1684"/>
      <c r="BY726" s="1684"/>
      <c r="BZ726" s="1684"/>
      <c r="CA726" s="1684"/>
      <c r="CB726" s="1684"/>
      <c r="CC726" s="1684"/>
      <c r="CD726" s="1684"/>
      <c r="CE726" s="1684"/>
      <c r="CF726" s="1684"/>
      <c r="CG726" s="1684"/>
      <c r="CH726" s="1684"/>
      <c r="CI726" s="1684"/>
      <c r="CJ726" s="1684"/>
      <c r="CK726" s="1684"/>
      <c r="CL726" s="1684"/>
      <c r="CM726" s="1684"/>
      <c r="CN726" s="1684"/>
      <c r="CO726" s="1684"/>
    </row>
    <row r="727" spans="1:93" s="1391" customFormat="1" ht="15" x14ac:dyDescent="0.2">
      <c r="A727" s="1684"/>
      <c r="B727" s="1684"/>
      <c r="C727" s="2013">
        <v>10</v>
      </c>
      <c r="D727" s="5">
        <v>7.0129999999999999</v>
      </c>
      <c r="E727" s="5">
        <v>205</v>
      </c>
      <c r="F727" s="5">
        <v>227</v>
      </c>
      <c r="G727" s="5">
        <v>249</v>
      </c>
      <c r="H727" s="5">
        <v>270</v>
      </c>
      <c r="I727" s="5">
        <v>292</v>
      </c>
      <c r="J727" s="5">
        <v>314</v>
      </c>
      <c r="K727" s="5">
        <v>335</v>
      </c>
      <c r="L727" s="5">
        <v>358</v>
      </c>
      <c r="M727" s="5">
        <v>378</v>
      </c>
      <c r="N727" s="5">
        <v>400</v>
      </c>
      <c r="O727" s="5">
        <v>421</v>
      </c>
      <c r="P727" s="5">
        <v>443</v>
      </c>
      <c r="Q727" s="1160">
        <v>36</v>
      </c>
      <c r="R727"/>
      <c r="S727" s="1684"/>
      <c r="T727" s="1684"/>
      <c r="U727" s="1684"/>
      <c r="V727" s="1684"/>
      <c r="W727" s="1684"/>
      <c r="X727" s="1684"/>
      <c r="Y727" s="1684"/>
      <c r="Z727" s="1684"/>
      <c r="AA727" s="1684"/>
      <c r="AB727" s="1684"/>
      <c r="AC727" s="1684"/>
      <c r="AD727" s="1684"/>
      <c r="AE727" s="1684"/>
      <c r="AF727" s="1684"/>
      <c r="AG727" s="1684"/>
      <c r="AH727" s="1684"/>
      <c r="AI727" s="1684"/>
      <c r="AJ727" s="1684"/>
      <c r="AK727" s="1684"/>
      <c r="AL727" s="1684"/>
      <c r="AM727" s="1684"/>
      <c r="AN727" s="1684"/>
      <c r="AO727" s="1684"/>
      <c r="AP727" s="1684"/>
      <c r="AQ727" s="1684"/>
      <c r="AR727" s="1684"/>
      <c r="AS727" s="1684"/>
      <c r="AT727" s="1684"/>
      <c r="AU727" s="1684"/>
      <c r="AV727" s="1684"/>
      <c r="AW727" s="1684"/>
      <c r="AX727" s="1684"/>
      <c r="AY727" s="1684"/>
      <c r="AZ727" s="1684"/>
      <c r="BA727" s="1684"/>
      <c r="BB727" s="1684"/>
      <c r="BC727" s="1684"/>
      <c r="BD727" s="1684"/>
      <c r="BE727" s="1684"/>
      <c r="BF727" s="1684"/>
      <c r="BG727" s="1684"/>
      <c r="BH727" s="1684"/>
      <c r="BI727" s="1684"/>
      <c r="BJ727" s="1684"/>
      <c r="BK727" s="1684"/>
      <c r="BL727" s="1684"/>
      <c r="BM727" s="1684"/>
      <c r="BN727" s="1684"/>
      <c r="BO727" s="1684"/>
      <c r="BP727" s="1684"/>
      <c r="BQ727" s="1684"/>
      <c r="BR727" s="1684"/>
      <c r="BS727" s="1684"/>
      <c r="BT727" s="1684"/>
      <c r="BU727" s="1684"/>
      <c r="BV727" s="1684"/>
      <c r="BW727" s="1684"/>
      <c r="BX727" s="1684"/>
      <c r="BY727" s="1684"/>
      <c r="BZ727" s="1684"/>
      <c r="CA727" s="1684"/>
      <c r="CB727" s="1684"/>
      <c r="CC727" s="1684"/>
      <c r="CD727" s="1684"/>
      <c r="CE727" s="1684"/>
      <c r="CF727" s="1684"/>
      <c r="CG727" s="1684"/>
      <c r="CH727" s="1684"/>
      <c r="CI727" s="1684"/>
      <c r="CJ727" s="1684"/>
      <c r="CK727" s="1684"/>
      <c r="CL727" s="1684"/>
      <c r="CM727" s="1684"/>
      <c r="CN727" s="1684"/>
      <c r="CO727" s="1684"/>
    </row>
    <row r="728" spans="1:93" s="1391" customFormat="1" ht="15" x14ac:dyDescent="0.2">
      <c r="A728" s="1684"/>
      <c r="B728" s="1684"/>
      <c r="C728" s="2013">
        <v>11</v>
      </c>
      <c r="D728" s="5">
        <v>7.5350000000000001</v>
      </c>
      <c r="E728" s="5">
        <v>227</v>
      </c>
      <c r="F728" s="5">
        <v>252</v>
      </c>
      <c r="G728" s="5">
        <v>276</v>
      </c>
      <c r="H728" s="5">
        <v>300</v>
      </c>
      <c r="I728" s="5">
        <v>323</v>
      </c>
      <c r="J728" s="5">
        <v>347</v>
      </c>
      <c r="K728" s="5">
        <v>371</v>
      </c>
      <c r="L728" s="5">
        <v>396</v>
      </c>
      <c r="M728" s="5">
        <v>419</v>
      </c>
      <c r="N728" s="5">
        <v>443</v>
      </c>
      <c r="O728" s="5">
        <v>467</v>
      </c>
      <c r="P728" s="5">
        <v>490</v>
      </c>
      <c r="Q728" s="1160">
        <v>37</v>
      </c>
      <c r="R728"/>
      <c r="S728" s="1684"/>
      <c r="T728" s="1684"/>
      <c r="U728" s="1684"/>
      <c r="V728" s="1684"/>
      <c r="W728" s="1684"/>
      <c r="X728" s="1684"/>
      <c r="Y728" s="1684"/>
      <c r="Z728" s="1684"/>
      <c r="AA728" s="1684"/>
      <c r="AB728" s="1684"/>
      <c r="AC728" s="1684"/>
      <c r="AD728" s="1684"/>
      <c r="AE728" s="1684"/>
      <c r="AF728" s="1684"/>
      <c r="AG728" s="1684"/>
      <c r="AH728" s="1684"/>
      <c r="AI728" s="1684"/>
      <c r="AJ728" s="1684"/>
      <c r="AK728" s="1684"/>
      <c r="AL728" s="1684"/>
      <c r="AM728" s="1684"/>
      <c r="AN728" s="1684"/>
      <c r="AO728" s="1684"/>
      <c r="AP728" s="1684"/>
      <c r="AQ728" s="1684"/>
      <c r="AR728" s="1684"/>
      <c r="AS728" s="1684"/>
      <c r="AT728" s="1684"/>
      <c r="AU728" s="1684"/>
      <c r="AV728" s="1684"/>
      <c r="AW728" s="1684"/>
      <c r="AX728" s="1684"/>
      <c r="AY728" s="1684"/>
      <c r="AZ728" s="1684"/>
      <c r="BA728" s="1684"/>
      <c r="BB728" s="1684"/>
      <c r="BC728" s="1684"/>
      <c r="BD728" s="1684"/>
      <c r="BE728" s="1684"/>
      <c r="BF728" s="1684"/>
      <c r="BG728" s="1684"/>
      <c r="BH728" s="1684"/>
      <c r="BI728" s="1684"/>
      <c r="BJ728" s="1684"/>
      <c r="BK728" s="1684"/>
      <c r="BL728" s="1684"/>
      <c r="BM728" s="1684"/>
      <c r="BN728" s="1684"/>
      <c r="BO728" s="1684"/>
      <c r="BP728" s="1684"/>
      <c r="BQ728" s="1684"/>
      <c r="BR728" s="1684"/>
      <c r="BS728" s="1684"/>
      <c r="BT728" s="1684"/>
      <c r="BU728" s="1684"/>
      <c r="BV728" s="1684"/>
      <c r="BW728" s="1684"/>
      <c r="BX728" s="1684"/>
      <c r="BY728" s="1684"/>
      <c r="BZ728" s="1684"/>
      <c r="CA728" s="1684"/>
      <c r="CB728" s="1684"/>
      <c r="CC728" s="1684"/>
      <c r="CD728" s="1684"/>
      <c r="CE728" s="1684"/>
      <c r="CF728" s="1684"/>
      <c r="CG728" s="1684"/>
      <c r="CH728" s="1684"/>
      <c r="CI728" s="1684"/>
      <c r="CJ728" s="1684"/>
      <c r="CK728" s="1684"/>
      <c r="CL728" s="1684"/>
      <c r="CM728" s="1684"/>
      <c r="CN728" s="1684"/>
      <c r="CO728" s="1684"/>
    </row>
    <row r="729" spans="1:93" s="1391" customFormat="1" ht="15" x14ac:dyDescent="0.2">
      <c r="A729" s="1684"/>
      <c r="B729" s="1684"/>
      <c r="C729" s="2013">
        <v>12</v>
      </c>
      <c r="D729" s="5">
        <v>8.0879999999999992</v>
      </c>
      <c r="E729" s="5">
        <v>250</v>
      </c>
      <c r="F729" s="5">
        <v>278</v>
      </c>
      <c r="G729" s="5">
        <v>304</v>
      </c>
      <c r="H729" s="5">
        <v>330</v>
      </c>
      <c r="I729" s="5">
        <v>356</v>
      </c>
      <c r="J729" s="5">
        <v>383</v>
      </c>
      <c r="K729" s="5">
        <v>409</v>
      </c>
      <c r="L729" s="5">
        <v>437</v>
      </c>
      <c r="M729" s="5">
        <v>462</v>
      </c>
      <c r="N729" s="5">
        <v>488</v>
      </c>
      <c r="O729" s="5">
        <v>514</v>
      </c>
      <c r="P729" s="5">
        <v>541</v>
      </c>
      <c r="Q729" s="1160">
        <v>38</v>
      </c>
      <c r="R729"/>
      <c r="S729" s="1684"/>
      <c r="T729" s="1684"/>
      <c r="U729" s="1684"/>
      <c r="V729" s="1684"/>
      <c r="W729" s="1684"/>
      <c r="X729" s="1684"/>
      <c r="Y729" s="1684"/>
      <c r="Z729" s="1684"/>
      <c r="AA729" s="1684"/>
      <c r="AB729" s="1684"/>
      <c r="AC729" s="1684"/>
      <c r="AD729" s="1684"/>
      <c r="AE729" s="1684"/>
      <c r="AF729" s="1684"/>
      <c r="AG729" s="1684"/>
      <c r="AH729" s="1684"/>
      <c r="AI729" s="1684"/>
      <c r="AJ729" s="1684"/>
      <c r="AK729" s="1684"/>
      <c r="AL729" s="1684"/>
      <c r="AM729" s="1684"/>
      <c r="AN729" s="1684"/>
      <c r="AO729" s="1684"/>
      <c r="AP729" s="1684"/>
      <c r="AQ729" s="1684"/>
      <c r="AR729" s="1684"/>
      <c r="AS729" s="1684"/>
      <c r="AT729" s="1684"/>
      <c r="AU729" s="1684"/>
      <c r="AV729" s="1684"/>
      <c r="AW729" s="1684"/>
      <c r="AX729" s="1684"/>
      <c r="AY729" s="1684"/>
      <c r="AZ729" s="1684"/>
      <c r="BA729" s="1684"/>
      <c r="BB729" s="1684"/>
      <c r="BC729" s="1684"/>
      <c r="BD729" s="1684"/>
      <c r="BE729" s="1684"/>
      <c r="BF729" s="1684"/>
      <c r="BG729" s="1684"/>
      <c r="BH729" s="1684"/>
      <c r="BI729" s="1684"/>
      <c r="BJ729" s="1684"/>
      <c r="BK729" s="1684"/>
      <c r="BL729" s="1684"/>
      <c r="BM729" s="1684"/>
      <c r="BN729" s="1684"/>
      <c r="BO729" s="1684"/>
      <c r="BP729" s="1684"/>
      <c r="BQ729" s="1684"/>
      <c r="BR729" s="1684"/>
      <c r="BS729" s="1684"/>
      <c r="BT729" s="1684"/>
      <c r="BU729" s="1684"/>
      <c r="BV729" s="1684"/>
      <c r="BW729" s="1684"/>
      <c r="BX729" s="1684"/>
      <c r="BY729" s="1684"/>
      <c r="BZ729" s="1684"/>
      <c r="CA729" s="1684"/>
      <c r="CB729" s="1684"/>
      <c r="CC729" s="1684"/>
      <c r="CD729" s="1684"/>
      <c r="CE729" s="1684"/>
      <c r="CF729" s="1684"/>
      <c r="CG729" s="1684"/>
      <c r="CH729" s="1684"/>
      <c r="CI729" s="1684"/>
      <c r="CJ729" s="1684"/>
      <c r="CK729" s="1684"/>
      <c r="CL729" s="1684"/>
      <c r="CM729" s="1684"/>
      <c r="CN729" s="1684"/>
      <c r="CO729" s="1684"/>
    </row>
    <row r="730" spans="1:93" s="1391" customFormat="1" ht="15" x14ac:dyDescent="0.2">
      <c r="A730" s="1684"/>
      <c r="B730" s="1684"/>
      <c r="C730" s="2013">
        <v>13</v>
      </c>
      <c r="D730" s="5">
        <v>8.6389999999999993</v>
      </c>
      <c r="E730" s="5">
        <v>274</v>
      </c>
      <c r="F730" s="5">
        <v>304</v>
      </c>
      <c r="G730" s="5">
        <v>333</v>
      </c>
      <c r="H730" s="5">
        <v>362</v>
      </c>
      <c r="I730" s="5">
        <v>370</v>
      </c>
      <c r="J730" s="5">
        <v>419</v>
      </c>
      <c r="K730" s="5">
        <v>448</v>
      </c>
      <c r="L730" s="5">
        <v>478</v>
      </c>
      <c r="M730" s="5">
        <v>506</v>
      </c>
      <c r="N730" s="5">
        <v>535</v>
      </c>
      <c r="O730" s="5">
        <v>563</v>
      </c>
      <c r="P730" s="5">
        <v>592</v>
      </c>
      <c r="Q730" s="1160">
        <v>39</v>
      </c>
      <c r="R730"/>
      <c r="S730" s="1684"/>
      <c r="T730" s="1684"/>
      <c r="U730" s="1684"/>
      <c r="V730" s="1684"/>
      <c r="W730" s="1684"/>
      <c r="X730" s="1684"/>
      <c r="Y730" s="1684"/>
      <c r="Z730" s="1684"/>
      <c r="AA730" s="1684"/>
      <c r="AB730" s="1684"/>
      <c r="AC730" s="1684"/>
      <c r="AD730" s="1684"/>
      <c r="AE730" s="1684"/>
      <c r="AF730" s="1684"/>
      <c r="AG730" s="1684"/>
      <c r="AH730" s="1684"/>
      <c r="AI730" s="1684"/>
      <c r="AJ730" s="1684"/>
      <c r="AK730" s="1684"/>
      <c r="AL730" s="1684"/>
      <c r="AM730" s="1684"/>
      <c r="AN730" s="1684"/>
      <c r="AO730" s="1684"/>
      <c r="AP730" s="1684"/>
      <c r="AQ730" s="1684"/>
      <c r="AR730" s="1684"/>
      <c r="AS730" s="1684"/>
      <c r="AT730" s="1684"/>
      <c r="AU730" s="1684"/>
      <c r="AV730" s="1684"/>
      <c r="AW730" s="1684"/>
      <c r="AX730" s="1684"/>
      <c r="AY730" s="1684"/>
      <c r="AZ730" s="1684"/>
      <c r="BA730" s="1684"/>
      <c r="BB730" s="1684"/>
      <c r="BC730" s="1684"/>
      <c r="BD730" s="1684"/>
      <c r="BE730" s="1684"/>
      <c r="BF730" s="1684"/>
      <c r="BG730" s="1684"/>
      <c r="BH730" s="1684"/>
      <c r="BI730" s="1684"/>
      <c r="BJ730" s="1684"/>
      <c r="BK730" s="1684"/>
      <c r="BL730" s="1684"/>
      <c r="BM730" s="1684"/>
      <c r="BN730" s="1684"/>
      <c r="BO730" s="1684"/>
      <c r="BP730" s="1684"/>
      <c r="BQ730" s="1684"/>
      <c r="BR730" s="1684"/>
      <c r="BS730" s="1684"/>
      <c r="BT730" s="1684"/>
      <c r="BU730" s="1684"/>
      <c r="BV730" s="1684"/>
      <c r="BW730" s="1684"/>
      <c r="BX730" s="1684"/>
      <c r="BY730" s="1684"/>
      <c r="BZ730" s="1684"/>
      <c r="CA730" s="1684"/>
      <c r="CB730" s="1684"/>
      <c r="CC730" s="1684"/>
      <c r="CD730" s="1684"/>
      <c r="CE730" s="1684"/>
      <c r="CF730" s="1684"/>
      <c r="CG730" s="1684"/>
      <c r="CH730" s="1684"/>
      <c r="CI730" s="1684"/>
      <c r="CJ730" s="1684"/>
      <c r="CK730" s="1684"/>
      <c r="CL730" s="1684"/>
      <c r="CM730" s="1684"/>
      <c r="CN730" s="1684"/>
      <c r="CO730" s="1684"/>
    </row>
    <row r="731" spans="1:93" s="1391" customFormat="1" ht="15" x14ac:dyDescent="0.2">
      <c r="A731" s="1684"/>
      <c r="B731" s="1684"/>
      <c r="C731" s="2013">
        <v>14</v>
      </c>
      <c r="D731" s="5">
        <v>9.27</v>
      </c>
      <c r="E731" s="5">
        <v>299</v>
      </c>
      <c r="F731" s="5">
        <v>332</v>
      </c>
      <c r="G731" s="5">
        <v>364</v>
      </c>
      <c r="H731" s="5">
        <v>395</v>
      </c>
      <c r="I731" s="5">
        <v>427</v>
      </c>
      <c r="J731" s="5">
        <v>458</v>
      </c>
      <c r="K731" s="5">
        <v>490</v>
      </c>
      <c r="L731" s="5">
        <v>523</v>
      </c>
      <c r="M731" s="5">
        <v>553</v>
      </c>
      <c r="N731" s="5">
        <v>584</v>
      </c>
      <c r="O731" s="5">
        <v>616</v>
      </c>
      <c r="P731" s="5">
        <v>647</v>
      </c>
      <c r="Q731" s="1160">
        <v>40</v>
      </c>
      <c r="R731"/>
      <c r="S731" s="1684"/>
      <c r="T731" s="1684"/>
      <c r="U731" s="1684"/>
      <c r="V731" s="1684"/>
      <c r="W731" s="1684"/>
      <c r="X731" s="1684"/>
      <c r="Y731" s="1684"/>
      <c r="Z731" s="1684"/>
      <c r="AA731" s="1684"/>
      <c r="AB731" s="1684"/>
      <c r="AC731" s="1684"/>
      <c r="AD731" s="1684"/>
      <c r="AE731" s="1684"/>
      <c r="AF731" s="1684"/>
      <c r="AG731" s="1684"/>
      <c r="AH731" s="1684"/>
      <c r="AI731" s="1684"/>
      <c r="AJ731" s="1684"/>
      <c r="AK731" s="1684"/>
      <c r="AL731" s="1684"/>
      <c r="AM731" s="1684"/>
      <c r="AN731" s="1684"/>
      <c r="AO731" s="1684"/>
      <c r="AP731" s="1684"/>
      <c r="AQ731" s="1684"/>
      <c r="AR731" s="1684"/>
      <c r="AS731" s="1684"/>
      <c r="AT731" s="1684"/>
      <c r="AU731" s="1684"/>
      <c r="AV731" s="1684"/>
      <c r="AW731" s="1684"/>
      <c r="AX731" s="1684"/>
      <c r="AY731" s="1684"/>
      <c r="AZ731" s="1684"/>
      <c r="BA731" s="1684"/>
      <c r="BB731" s="1684"/>
      <c r="BC731" s="1684"/>
      <c r="BD731" s="1684"/>
      <c r="BE731" s="1684"/>
      <c r="BF731" s="1684"/>
      <c r="BG731" s="1684"/>
      <c r="BH731" s="1684"/>
      <c r="BI731" s="1684"/>
      <c r="BJ731" s="1684"/>
      <c r="BK731" s="1684"/>
      <c r="BL731" s="1684"/>
      <c r="BM731" s="1684"/>
      <c r="BN731" s="1684"/>
      <c r="BO731" s="1684"/>
      <c r="BP731" s="1684"/>
      <c r="BQ731" s="1684"/>
      <c r="BR731" s="1684"/>
      <c r="BS731" s="1684"/>
      <c r="BT731" s="1684"/>
      <c r="BU731" s="1684"/>
      <c r="BV731" s="1684"/>
      <c r="BW731" s="1684"/>
      <c r="BX731" s="1684"/>
      <c r="BY731" s="1684"/>
      <c r="BZ731" s="1684"/>
      <c r="CA731" s="1684"/>
      <c r="CB731" s="1684"/>
      <c r="CC731" s="1684"/>
      <c r="CD731" s="1684"/>
      <c r="CE731" s="1684"/>
      <c r="CF731" s="1684"/>
      <c r="CG731" s="1684"/>
      <c r="CH731" s="1684"/>
      <c r="CI731" s="1684"/>
      <c r="CJ731" s="1684"/>
      <c r="CK731" s="1684"/>
      <c r="CL731" s="1684"/>
      <c r="CM731" s="1684"/>
      <c r="CN731" s="1684"/>
      <c r="CO731" s="1684"/>
    </row>
    <row r="732" spans="1:93" s="1391" customFormat="1" ht="15" x14ac:dyDescent="0.2">
      <c r="A732" s="1684"/>
      <c r="B732" s="1684"/>
      <c r="C732" s="2013">
        <v>15</v>
      </c>
      <c r="D732" s="5">
        <v>9.9079999999999995</v>
      </c>
      <c r="E732" s="5">
        <v>326</v>
      </c>
      <c r="F732" s="5">
        <v>362</v>
      </c>
      <c r="G732" s="5">
        <v>396</v>
      </c>
      <c r="H732" s="5">
        <v>430</v>
      </c>
      <c r="I732" s="5">
        <v>464</v>
      </c>
      <c r="J732" s="5">
        <v>499</v>
      </c>
      <c r="K732" s="5">
        <v>533</v>
      </c>
      <c r="L732" s="5">
        <v>569</v>
      </c>
      <c r="M732" s="5">
        <v>601</v>
      </c>
      <c r="N732" s="5">
        <v>636</v>
      </c>
      <c r="O732" s="5">
        <v>670</v>
      </c>
      <c r="P732" s="5">
        <v>704</v>
      </c>
      <c r="Q732" s="1160">
        <v>41</v>
      </c>
      <c r="R732"/>
      <c r="S732" s="1684"/>
      <c r="T732" s="1684"/>
      <c r="U732" s="1684"/>
      <c r="V732" s="1684"/>
      <c r="W732" s="1684"/>
      <c r="X732" s="1684"/>
      <c r="Y732" s="1684"/>
      <c r="Z732" s="1684"/>
      <c r="AA732" s="1684"/>
      <c r="AB732" s="1684"/>
      <c r="AC732" s="1684"/>
      <c r="AD732" s="1684"/>
      <c r="AE732" s="1684"/>
      <c r="AF732" s="1684"/>
      <c r="AG732" s="1684"/>
      <c r="AH732" s="1684"/>
      <c r="AI732" s="1684"/>
      <c r="AJ732" s="1684"/>
      <c r="AK732" s="1684"/>
      <c r="AL732" s="1684"/>
      <c r="AM732" s="1684"/>
      <c r="AN732" s="1684"/>
      <c r="AO732" s="1684"/>
      <c r="AP732" s="1684"/>
      <c r="AQ732" s="1684"/>
      <c r="AR732" s="1684"/>
      <c r="AS732" s="1684"/>
      <c r="AT732" s="1684"/>
      <c r="AU732" s="1684"/>
      <c r="AV732" s="1684"/>
      <c r="AW732" s="1684"/>
      <c r="AX732" s="1684"/>
      <c r="AY732" s="1684"/>
      <c r="AZ732" s="1684"/>
      <c r="BA732" s="1684"/>
      <c r="BB732" s="1684"/>
      <c r="BC732" s="1684"/>
      <c r="BD732" s="1684"/>
      <c r="BE732" s="1684"/>
      <c r="BF732" s="1684"/>
      <c r="BG732" s="1684"/>
      <c r="BH732" s="1684"/>
      <c r="BI732" s="1684"/>
      <c r="BJ732" s="1684"/>
      <c r="BK732" s="1684"/>
      <c r="BL732" s="1684"/>
      <c r="BM732" s="1684"/>
      <c r="BN732" s="1684"/>
      <c r="BO732" s="1684"/>
      <c r="BP732" s="1684"/>
      <c r="BQ732" s="1684"/>
      <c r="BR732" s="1684"/>
      <c r="BS732" s="1684"/>
      <c r="BT732" s="1684"/>
      <c r="BU732" s="1684"/>
      <c r="BV732" s="1684"/>
      <c r="BW732" s="1684"/>
      <c r="BX732" s="1684"/>
      <c r="BY732" s="1684"/>
      <c r="BZ732" s="1684"/>
      <c r="CA732" s="1684"/>
      <c r="CB732" s="1684"/>
      <c r="CC732" s="1684"/>
      <c r="CD732" s="1684"/>
      <c r="CE732" s="1684"/>
      <c r="CF732" s="1684"/>
      <c r="CG732" s="1684"/>
      <c r="CH732" s="1684"/>
      <c r="CI732" s="1684"/>
      <c r="CJ732" s="1684"/>
      <c r="CK732" s="1684"/>
      <c r="CL732" s="1684"/>
      <c r="CM732" s="1684"/>
      <c r="CN732" s="1684"/>
      <c r="CO732" s="1684"/>
    </row>
    <row r="733" spans="1:93" s="1391" customFormat="1" ht="15" x14ac:dyDescent="0.2">
      <c r="A733" s="1684"/>
      <c r="B733" s="1684"/>
      <c r="C733" s="2013">
        <v>16</v>
      </c>
      <c r="D733" s="5">
        <v>10.718999999999999</v>
      </c>
      <c r="E733" s="5">
        <v>352</v>
      </c>
      <c r="F733" s="5">
        <v>391</v>
      </c>
      <c r="G733" s="5">
        <v>428</v>
      </c>
      <c r="H733" s="5">
        <v>469</v>
      </c>
      <c r="I733" s="5">
        <v>502</v>
      </c>
      <c r="J733" s="5">
        <v>539</v>
      </c>
      <c r="K733" s="5">
        <v>576</v>
      </c>
      <c r="L733" s="5">
        <v>615</v>
      </c>
      <c r="M733" s="5">
        <v>650</v>
      </c>
      <c r="N733" s="5">
        <v>687</v>
      </c>
      <c r="O733" s="5">
        <v>724</v>
      </c>
      <c r="P733" s="5">
        <v>761</v>
      </c>
      <c r="Q733" s="1160">
        <v>42</v>
      </c>
      <c r="R733"/>
      <c r="S733" s="1684"/>
      <c r="T733" s="1684"/>
      <c r="U733" s="1684"/>
      <c r="V733" s="1684"/>
      <c r="W733" s="1684"/>
      <c r="X733" s="1684"/>
      <c r="Y733" s="1684"/>
      <c r="Z733" s="1684"/>
      <c r="AA733" s="1684"/>
      <c r="AB733" s="1684"/>
      <c r="AC733" s="1684"/>
      <c r="AD733" s="1684"/>
      <c r="AE733" s="1684"/>
      <c r="AF733" s="1684"/>
      <c r="AG733" s="1684"/>
      <c r="AH733" s="1684"/>
      <c r="AI733" s="1684"/>
      <c r="AJ733" s="1684"/>
      <c r="AK733" s="1684"/>
      <c r="AL733" s="1684"/>
      <c r="AM733" s="1684"/>
      <c r="AN733" s="1684"/>
      <c r="AO733" s="1684"/>
      <c r="AP733" s="1684"/>
      <c r="AQ733" s="1684"/>
      <c r="AR733" s="1684"/>
      <c r="AS733" s="1684"/>
      <c r="AT733" s="1684"/>
      <c r="AU733" s="1684"/>
      <c r="AV733" s="1684"/>
      <c r="AW733" s="1684"/>
      <c r="AX733" s="1684"/>
      <c r="AY733" s="1684"/>
      <c r="AZ733" s="1684"/>
      <c r="BA733" s="1684"/>
      <c r="BB733" s="1684"/>
      <c r="BC733" s="1684"/>
      <c r="BD733" s="1684"/>
      <c r="BE733" s="1684"/>
      <c r="BF733" s="1684"/>
      <c r="BG733" s="1684"/>
      <c r="BH733" s="1684"/>
      <c r="BI733" s="1684"/>
      <c r="BJ733" s="1684"/>
      <c r="BK733" s="1684"/>
      <c r="BL733" s="1684"/>
      <c r="BM733" s="1684"/>
      <c r="BN733" s="1684"/>
      <c r="BO733" s="1684"/>
      <c r="BP733" s="1684"/>
      <c r="BQ733" s="1684"/>
      <c r="BR733" s="1684"/>
      <c r="BS733" s="1684"/>
      <c r="BT733" s="1684"/>
      <c r="BU733" s="1684"/>
      <c r="BV733" s="1684"/>
      <c r="BW733" s="1684"/>
      <c r="BX733" s="1684"/>
      <c r="BY733" s="1684"/>
      <c r="BZ733" s="1684"/>
      <c r="CA733" s="1684"/>
      <c r="CB733" s="1684"/>
      <c r="CC733" s="1684"/>
      <c r="CD733" s="1684"/>
      <c r="CE733" s="1684"/>
      <c r="CF733" s="1684"/>
      <c r="CG733" s="1684"/>
      <c r="CH733" s="1684"/>
      <c r="CI733" s="1684"/>
      <c r="CJ733" s="1684"/>
      <c r="CK733" s="1684"/>
      <c r="CL733" s="1684"/>
      <c r="CM733" s="1684"/>
      <c r="CN733" s="1684"/>
      <c r="CO733" s="1684"/>
    </row>
    <row r="734" spans="1:93" s="1391" customFormat="1" ht="15" x14ac:dyDescent="0.2">
      <c r="A734" s="1684"/>
      <c r="B734" s="1684"/>
      <c r="C734" s="2013">
        <v>17</v>
      </c>
      <c r="D734" s="5">
        <v>11.581</v>
      </c>
      <c r="E734" s="5">
        <v>376</v>
      </c>
      <c r="F734" s="5">
        <v>418</v>
      </c>
      <c r="G734" s="5">
        <v>457</v>
      </c>
      <c r="H734" s="5">
        <v>497</v>
      </c>
      <c r="I734" s="5">
        <v>537</v>
      </c>
      <c r="J734" s="5">
        <v>576</v>
      </c>
      <c r="K734" s="5">
        <v>616</v>
      </c>
      <c r="L734" s="5">
        <v>657</v>
      </c>
      <c r="M734" s="5">
        <v>695</v>
      </c>
      <c r="N734" s="5">
        <v>735</v>
      </c>
      <c r="O734" s="5">
        <v>774</v>
      </c>
      <c r="P734" s="5">
        <v>814</v>
      </c>
      <c r="Q734" s="1160">
        <v>43</v>
      </c>
      <c r="R734"/>
      <c r="S734" s="1684"/>
      <c r="T734" s="1684"/>
      <c r="U734" s="1684"/>
      <c r="V734" s="1684"/>
      <c r="W734" s="1684"/>
      <c r="X734" s="1684"/>
      <c r="Y734" s="1684"/>
      <c r="Z734" s="1684"/>
      <c r="AA734" s="1684"/>
      <c r="AB734" s="1684"/>
      <c r="AC734" s="1684"/>
      <c r="AD734" s="1684"/>
      <c r="AE734" s="1684"/>
      <c r="AF734" s="1684"/>
      <c r="AG734" s="1684"/>
      <c r="AH734" s="1684"/>
      <c r="AI734" s="1684"/>
      <c r="AJ734" s="1684"/>
      <c r="AK734" s="1684"/>
      <c r="AL734" s="1684"/>
      <c r="AM734" s="1684"/>
      <c r="AN734" s="1684"/>
      <c r="AO734" s="1684"/>
      <c r="AP734" s="1684"/>
      <c r="AQ734" s="1684"/>
      <c r="AR734" s="1684"/>
      <c r="AS734" s="1684"/>
      <c r="AT734" s="1684"/>
      <c r="AU734" s="1684"/>
      <c r="AV734" s="1684"/>
      <c r="AW734" s="1684"/>
      <c r="AX734" s="1684"/>
      <c r="AY734" s="1684"/>
      <c r="AZ734" s="1684"/>
      <c r="BA734" s="1684"/>
      <c r="BB734" s="1684"/>
      <c r="BC734" s="1684"/>
      <c r="BD734" s="1684"/>
      <c r="BE734" s="1684"/>
      <c r="BF734" s="1684"/>
      <c r="BG734" s="1684"/>
      <c r="BH734" s="1684"/>
      <c r="BI734" s="1684"/>
      <c r="BJ734" s="1684"/>
      <c r="BK734" s="1684"/>
      <c r="BL734" s="1684"/>
      <c r="BM734" s="1684"/>
      <c r="BN734" s="1684"/>
      <c r="BO734" s="1684"/>
      <c r="BP734" s="1684"/>
      <c r="BQ734" s="1684"/>
      <c r="BR734" s="1684"/>
      <c r="BS734" s="1684"/>
      <c r="BT734" s="1684"/>
      <c r="BU734" s="1684"/>
      <c r="BV734" s="1684"/>
      <c r="BW734" s="1684"/>
      <c r="BX734" s="1684"/>
      <c r="BY734" s="1684"/>
      <c r="BZ734" s="1684"/>
      <c r="CA734" s="1684"/>
      <c r="CB734" s="1684"/>
      <c r="CC734" s="1684"/>
      <c r="CD734" s="1684"/>
      <c r="CE734" s="1684"/>
      <c r="CF734" s="1684"/>
      <c r="CG734" s="1684"/>
      <c r="CH734" s="1684"/>
      <c r="CI734" s="1684"/>
      <c r="CJ734" s="1684"/>
      <c r="CK734" s="1684"/>
      <c r="CL734" s="1684"/>
      <c r="CM734" s="1684"/>
      <c r="CN734" s="1684"/>
      <c r="CO734" s="1684"/>
    </row>
    <row r="735" spans="1:93" s="1391" customFormat="1" ht="15" x14ac:dyDescent="0.2">
      <c r="A735" s="1684"/>
      <c r="B735" s="1684"/>
      <c r="C735" s="2013">
        <v>18</v>
      </c>
      <c r="D735" s="5">
        <v>12.148999999999999</v>
      </c>
      <c r="E735" s="5">
        <v>399</v>
      </c>
      <c r="F735" s="5">
        <v>443</v>
      </c>
      <c r="G735" s="5">
        <v>485</v>
      </c>
      <c r="H735" s="5">
        <v>527</v>
      </c>
      <c r="I735" s="5">
        <v>569</v>
      </c>
      <c r="J735" s="5">
        <v>611</v>
      </c>
      <c r="K735" s="5">
        <v>653</v>
      </c>
      <c r="L735" s="5">
        <v>697</v>
      </c>
      <c r="M735" s="5">
        <v>737</v>
      </c>
      <c r="N735" s="5">
        <v>779</v>
      </c>
      <c r="O735" s="5">
        <v>821</v>
      </c>
      <c r="P735" s="5">
        <v>863</v>
      </c>
      <c r="Q735" s="1160">
        <v>44</v>
      </c>
      <c r="R735"/>
      <c r="S735" s="1684"/>
      <c r="T735" s="1684"/>
      <c r="U735" s="1684"/>
      <c r="V735" s="1684"/>
      <c r="W735" s="1684"/>
      <c r="X735" s="1684"/>
      <c r="Y735" s="1684"/>
      <c r="Z735" s="1684"/>
      <c r="AA735" s="1684"/>
      <c r="AB735" s="1684"/>
      <c r="AC735" s="1684"/>
      <c r="AD735" s="1684"/>
      <c r="AE735" s="1684"/>
      <c r="AF735" s="1684"/>
      <c r="AG735" s="1684"/>
      <c r="AH735" s="1684"/>
      <c r="AI735" s="1684"/>
      <c r="AJ735" s="1684"/>
      <c r="AK735" s="1684"/>
      <c r="AL735" s="1684"/>
      <c r="AM735" s="1684"/>
      <c r="AN735" s="1684"/>
      <c r="AO735" s="1684"/>
      <c r="AP735" s="1684"/>
      <c r="AQ735" s="1684"/>
      <c r="AR735" s="1684"/>
      <c r="AS735" s="1684"/>
      <c r="AT735" s="1684"/>
      <c r="AU735" s="1684"/>
      <c r="AV735" s="1684"/>
      <c r="AW735" s="1684"/>
      <c r="AX735" s="1684"/>
      <c r="AY735" s="1684"/>
      <c r="AZ735" s="1684"/>
      <c r="BA735" s="1684"/>
      <c r="BB735" s="1684"/>
      <c r="BC735" s="1684"/>
      <c r="BD735" s="1684"/>
      <c r="BE735" s="1684"/>
      <c r="BF735" s="1684"/>
      <c r="BG735" s="1684"/>
      <c r="BH735" s="1684"/>
      <c r="BI735" s="1684"/>
      <c r="BJ735" s="1684"/>
      <c r="BK735" s="1684"/>
      <c r="BL735" s="1684"/>
      <c r="BM735" s="1684"/>
      <c r="BN735" s="1684"/>
      <c r="BO735" s="1684"/>
      <c r="BP735" s="1684"/>
      <c r="BQ735" s="1684"/>
      <c r="BR735" s="1684"/>
      <c r="BS735" s="1684"/>
      <c r="BT735" s="1684"/>
      <c r="BU735" s="1684"/>
      <c r="BV735" s="1684"/>
      <c r="BW735" s="1684"/>
      <c r="BX735" s="1684"/>
      <c r="BY735" s="1684"/>
      <c r="BZ735" s="1684"/>
      <c r="CA735" s="1684"/>
      <c r="CB735" s="1684"/>
      <c r="CC735" s="1684"/>
      <c r="CD735" s="1684"/>
      <c r="CE735" s="1684"/>
      <c r="CF735" s="1684"/>
      <c r="CG735" s="1684"/>
      <c r="CH735" s="1684"/>
      <c r="CI735" s="1684"/>
      <c r="CJ735" s="1684"/>
      <c r="CK735" s="1684"/>
      <c r="CL735" s="1684"/>
      <c r="CM735" s="1684"/>
      <c r="CN735" s="1684"/>
      <c r="CO735" s="1684"/>
    </row>
    <row r="736" spans="1:93" s="1391" customFormat="1" ht="15" x14ac:dyDescent="0.2">
      <c r="A736" s="1684"/>
      <c r="B736" s="1684"/>
      <c r="C736" s="4680" t="s">
        <v>1906</v>
      </c>
      <c r="D736" s="4681"/>
      <c r="E736" s="4681"/>
      <c r="F736" s="4681"/>
      <c r="G736" s="4681"/>
      <c r="H736" s="4681"/>
      <c r="I736" s="4681"/>
      <c r="J736" s="4681"/>
      <c r="K736" s="4681"/>
      <c r="L736" s="4681"/>
      <c r="M736" s="4681"/>
      <c r="N736" s="4681"/>
      <c r="O736" s="4681"/>
      <c r="P736" s="4681"/>
      <c r="Q736" s="4682"/>
      <c r="R736"/>
      <c r="S736" s="1684"/>
      <c r="T736" s="1684"/>
      <c r="U736" s="1684"/>
      <c r="V736" s="1684"/>
      <c r="W736" s="1684"/>
      <c r="X736" s="1684"/>
      <c r="Y736" s="1684"/>
      <c r="Z736" s="1684"/>
      <c r="AA736" s="1684"/>
      <c r="AB736" s="1684"/>
      <c r="AC736" s="1684"/>
      <c r="AD736" s="1684"/>
      <c r="AE736" s="1684"/>
      <c r="AF736" s="1684"/>
      <c r="AG736" s="1684"/>
      <c r="AH736" s="1684"/>
      <c r="AI736" s="1684"/>
      <c r="AJ736" s="1684"/>
      <c r="AK736" s="1684"/>
      <c r="AL736" s="1684"/>
      <c r="AM736" s="1684"/>
      <c r="AN736" s="1684"/>
      <c r="AO736" s="1684"/>
      <c r="AP736" s="1684"/>
      <c r="AQ736" s="1684"/>
      <c r="AR736" s="1684"/>
      <c r="AS736" s="1684"/>
      <c r="AT736" s="1684"/>
      <c r="AU736" s="1684"/>
      <c r="AV736" s="1684"/>
      <c r="AW736" s="1684"/>
      <c r="AX736" s="1684"/>
      <c r="AY736" s="1684"/>
      <c r="AZ736" s="1684"/>
      <c r="BA736" s="1684"/>
      <c r="BB736" s="1684"/>
      <c r="BC736" s="1684"/>
      <c r="BD736" s="1684"/>
      <c r="BE736" s="1684"/>
      <c r="BF736" s="1684"/>
      <c r="BG736" s="1684"/>
      <c r="BH736" s="1684"/>
      <c r="BI736" s="1684"/>
      <c r="BJ736" s="1684"/>
      <c r="BK736" s="1684"/>
      <c r="BL736" s="1684"/>
      <c r="BM736" s="1684"/>
      <c r="BN736" s="1684"/>
      <c r="BO736" s="1684"/>
      <c r="BP736" s="1684"/>
      <c r="BQ736" s="1684"/>
      <c r="BR736" s="1684"/>
      <c r="BS736" s="1684"/>
      <c r="BT736" s="1684"/>
      <c r="BU736" s="1684"/>
      <c r="BV736" s="1684"/>
      <c r="BW736" s="1684"/>
      <c r="BX736" s="1684"/>
      <c r="BY736" s="1684"/>
      <c r="BZ736" s="1684"/>
      <c r="CA736" s="1684"/>
      <c r="CB736" s="1684"/>
      <c r="CC736" s="1684"/>
      <c r="CD736" s="1684"/>
      <c r="CE736" s="1684"/>
      <c r="CF736" s="1684"/>
      <c r="CG736" s="1684"/>
      <c r="CH736" s="1684"/>
      <c r="CI736" s="1684"/>
      <c r="CJ736" s="1684"/>
      <c r="CK736" s="1684"/>
      <c r="CL736" s="1684"/>
      <c r="CM736" s="1684"/>
      <c r="CN736" s="1684"/>
      <c r="CO736" s="1684"/>
    </row>
    <row r="737" spans="1:93" s="1391" customFormat="1" ht="15" x14ac:dyDescent="0.2">
      <c r="A737" s="1684"/>
      <c r="B737" s="1684"/>
      <c r="C737" s="4680"/>
      <c r="D737" s="4681"/>
      <c r="E737" s="4681"/>
      <c r="F737" s="4681"/>
      <c r="G737" s="4681"/>
      <c r="H737" s="4681"/>
      <c r="I737" s="4681"/>
      <c r="J737" s="4681"/>
      <c r="K737" s="4681"/>
      <c r="L737" s="4681"/>
      <c r="M737" s="4681"/>
      <c r="N737" s="4681"/>
      <c r="O737" s="4681"/>
      <c r="P737" s="4681"/>
      <c r="Q737" s="4682"/>
      <c r="R737"/>
      <c r="S737" s="1684"/>
      <c r="T737" s="1684"/>
      <c r="U737" s="1684"/>
      <c r="V737" s="1684"/>
      <c r="W737" s="1684"/>
      <c r="X737" s="1684"/>
      <c r="Y737" s="1684"/>
      <c r="Z737" s="1684"/>
      <c r="AA737" s="1684"/>
      <c r="AB737" s="1684"/>
      <c r="AC737" s="1684"/>
      <c r="AD737" s="1684"/>
      <c r="AE737" s="1684"/>
      <c r="AF737" s="1684"/>
      <c r="AG737" s="1684"/>
      <c r="AH737" s="1684"/>
      <c r="AI737" s="1684"/>
      <c r="AJ737" s="1684"/>
      <c r="AK737" s="1684"/>
      <c r="AL737" s="1684"/>
      <c r="AM737" s="1684"/>
      <c r="AN737" s="1684"/>
      <c r="AO737" s="1684"/>
      <c r="AP737" s="1684"/>
      <c r="AQ737" s="1684"/>
      <c r="AR737" s="1684"/>
      <c r="AS737" s="1684"/>
      <c r="AT737" s="1684"/>
      <c r="AU737" s="1684"/>
      <c r="AV737" s="1684"/>
      <c r="AW737" s="1684"/>
      <c r="AX737" s="1684"/>
      <c r="AY737" s="1684"/>
      <c r="AZ737" s="1684"/>
      <c r="BA737" s="1684"/>
      <c r="BB737" s="1684"/>
      <c r="BC737" s="1684"/>
      <c r="BD737" s="1684"/>
      <c r="BE737" s="1684"/>
      <c r="BF737" s="1684"/>
      <c r="BG737" s="1684"/>
      <c r="BH737" s="1684"/>
      <c r="BI737" s="1684"/>
      <c r="BJ737" s="1684"/>
      <c r="BK737" s="1684"/>
      <c r="BL737" s="1684"/>
      <c r="BM737" s="1684"/>
      <c r="BN737" s="1684"/>
      <c r="BO737" s="1684"/>
      <c r="BP737" s="1684"/>
      <c r="BQ737" s="1684"/>
      <c r="BR737" s="1684"/>
      <c r="BS737" s="1684"/>
      <c r="BT737" s="1684"/>
      <c r="BU737" s="1684"/>
      <c r="BV737" s="1684"/>
      <c r="BW737" s="1684"/>
      <c r="BX737" s="1684"/>
      <c r="BY737" s="1684"/>
      <c r="BZ737" s="1684"/>
      <c r="CA737" s="1684"/>
      <c r="CB737" s="1684"/>
      <c r="CC737" s="1684"/>
      <c r="CD737" s="1684"/>
      <c r="CE737" s="1684"/>
      <c r="CF737" s="1684"/>
      <c r="CG737" s="1684"/>
      <c r="CH737" s="1684"/>
      <c r="CI737" s="1684"/>
      <c r="CJ737" s="1684"/>
      <c r="CK737" s="1684"/>
      <c r="CL737" s="1684"/>
      <c r="CM737" s="1684"/>
      <c r="CN737" s="1684"/>
      <c r="CO737" s="1684"/>
    </row>
    <row r="738" spans="1:93" s="1391" customFormat="1" ht="15" x14ac:dyDescent="0.2">
      <c r="A738" s="1684"/>
      <c r="B738" s="1684"/>
      <c r="C738" s="4680" t="s">
        <v>3690</v>
      </c>
      <c r="D738" s="4681"/>
      <c r="E738" s="4681"/>
      <c r="F738" s="4681"/>
      <c r="G738" s="4681"/>
      <c r="H738" s="4681"/>
      <c r="I738" s="4681"/>
      <c r="J738" s="4681"/>
      <c r="K738" s="4681"/>
      <c r="L738" s="4681"/>
      <c r="M738" s="4681"/>
      <c r="N738" s="4681"/>
      <c r="O738" s="4681"/>
      <c r="P738" s="4681"/>
      <c r="Q738" s="4682"/>
      <c r="R738"/>
      <c r="S738" s="1684"/>
      <c r="T738" s="1684"/>
      <c r="U738" s="1684"/>
      <c r="V738" s="1684"/>
      <c r="W738" s="1684"/>
      <c r="X738" s="1684"/>
      <c r="Y738" s="1684"/>
      <c r="Z738" s="1684"/>
      <c r="AA738" s="1684"/>
      <c r="AB738" s="1684"/>
      <c r="AC738" s="1684"/>
      <c r="AD738" s="1684"/>
      <c r="AE738" s="1684"/>
      <c r="AF738" s="1684"/>
      <c r="AG738" s="1684"/>
      <c r="AH738" s="1684"/>
      <c r="AI738" s="1684"/>
      <c r="AJ738" s="1684"/>
      <c r="AK738" s="1684"/>
      <c r="AL738" s="1684"/>
      <c r="AM738" s="1684"/>
      <c r="AN738" s="1684"/>
      <c r="AO738" s="1684"/>
      <c r="AP738" s="1684"/>
      <c r="AQ738" s="1684"/>
      <c r="AR738" s="1684"/>
      <c r="AS738" s="1684"/>
      <c r="AT738" s="1684"/>
      <c r="AU738" s="1684"/>
      <c r="AV738" s="1684"/>
      <c r="AW738" s="1684"/>
      <c r="AX738" s="1684"/>
      <c r="AY738" s="1684"/>
      <c r="AZ738" s="1684"/>
      <c r="BA738" s="1684"/>
      <c r="BB738" s="1684"/>
      <c r="BC738" s="1684"/>
      <c r="BD738" s="1684"/>
      <c r="BE738" s="1684"/>
      <c r="BF738" s="1684"/>
      <c r="BG738" s="1684"/>
      <c r="BH738" s="1684"/>
      <c r="BI738" s="1684"/>
      <c r="BJ738" s="1684"/>
      <c r="BK738" s="1684"/>
      <c r="BL738" s="1684"/>
      <c r="BM738" s="1684"/>
      <c r="BN738" s="1684"/>
      <c r="BO738" s="1684"/>
      <c r="BP738" s="1684"/>
      <c r="BQ738" s="1684"/>
      <c r="BR738" s="1684"/>
      <c r="BS738" s="1684"/>
      <c r="BT738" s="1684"/>
      <c r="BU738" s="1684"/>
      <c r="BV738" s="1684"/>
      <c r="BW738" s="1684"/>
      <c r="BX738" s="1684"/>
      <c r="BY738" s="1684"/>
      <c r="BZ738" s="1684"/>
      <c r="CA738" s="1684"/>
      <c r="CB738" s="1684"/>
      <c r="CC738" s="1684"/>
      <c r="CD738" s="1684"/>
      <c r="CE738" s="1684"/>
      <c r="CF738" s="1684"/>
      <c r="CG738" s="1684"/>
      <c r="CH738" s="1684"/>
      <c r="CI738" s="1684"/>
      <c r="CJ738" s="1684"/>
      <c r="CK738" s="1684"/>
      <c r="CL738" s="1684"/>
      <c r="CM738" s="1684"/>
      <c r="CN738" s="1684"/>
      <c r="CO738" s="1684"/>
    </row>
    <row r="739" spans="1:93" s="1391" customFormat="1" ht="15" x14ac:dyDescent="0.2">
      <c r="A739" s="1684"/>
      <c r="B739" s="1684"/>
      <c r="C739" s="4680"/>
      <c r="D739" s="4681"/>
      <c r="E739" s="4681"/>
      <c r="F739" s="4681"/>
      <c r="G739" s="4681"/>
      <c r="H739" s="4681"/>
      <c r="I739" s="4681"/>
      <c r="J739" s="4681"/>
      <c r="K739" s="4681"/>
      <c r="L739" s="4681"/>
      <c r="M739" s="4681"/>
      <c r="N739" s="4681"/>
      <c r="O739" s="4681"/>
      <c r="P739" s="4681"/>
      <c r="Q739" s="4682"/>
      <c r="R739"/>
      <c r="S739" s="1684"/>
      <c r="T739" s="1684"/>
      <c r="U739" s="1684"/>
      <c r="V739" s="1684"/>
      <c r="W739" s="1684"/>
      <c r="X739" s="1684"/>
      <c r="Y739" s="1684"/>
      <c r="Z739" s="1684"/>
      <c r="AA739" s="1684"/>
      <c r="AB739" s="1684"/>
      <c r="AC739" s="1684"/>
      <c r="AD739" s="1684"/>
      <c r="AE739" s="1684"/>
      <c r="AF739" s="1684"/>
      <c r="AG739" s="1684"/>
      <c r="AH739" s="1684"/>
      <c r="AI739" s="1684"/>
      <c r="AJ739" s="1684"/>
      <c r="AK739" s="1684"/>
      <c r="AL739" s="1684"/>
      <c r="AM739" s="1684"/>
      <c r="AN739" s="1684"/>
      <c r="AO739" s="1684"/>
      <c r="AP739" s="1684"/>
      <c r="AQ739" s="1684"/>
      <c r="AR739" s="1684"/>
      <c r="AS739" s="1684"/>
      <c r="AT739" s="1684"/>
      <c r="AU739" s="1684"/>
      <c r="AV739" s="1684"/>
      <c r="AW739" s="1684"/>
      <c r="AX739" s="1684"/>
      <c r="AY739" s="1684"/>
      <c r="AZ739" s="1684"/>
      <c r="BA739" s="1684"/>
      <c r="BB739" s="1684"/>
      <c r="BC739" s="1684"/>
      <c r="BD739" s="1684"/>
      <c r="BE739" s="1684"/>
      <c r="BF739" s="1684"/>
      <c r="BG739" s="1684"/>
      <c r="BH739" s="1684"/>
      <c r="BI739" s="1684"/>
      <c r="BJ739" s="1684"/>
      <c r="BK739" s="1684"/>
      <c r="BL739" s="1684"/>
      <c r="BM739" s="1684"/>
      <c r="BN739" s="1684"/>
      <c r="BO739" s="1684"/>
      <c r="BP739" s="1684"/>
      <c r="BQ739" s="1684"/>
      <c r="BR739" s="1684"/>
      <c r="BS739" s="1684"/>
      <c r="BT739" s="1684"/>
      <c r="BU739" s="1684"/>
      <c r="BV739" s="1684"/>
      <c r="BW739" s="1684"/>
      <c r="BX739" s="1684"/>
      <c r="BY739" s="1684"/>
      <c r="BZ739" s="1684"/>
      <c r="CA739" s="1684"/>
      <c r="CB739" s="1684"/>
      <c r="CC739" s="1684"/>
      <c r="CD739" s="1684"/>
      <c r="CE739" s="1684"/>
      <c r="CF739" s="1684"/>
      <c r="CG739" s="1684"/>
      <c r="CH739" s="1684"/>
      <c r="CI739" s="1684"/>
      <c r="CJ739" s="1684"/>
      <c r="CK739" s="1684"/>
      <c r="CL739" s="1684"/>
      <c r="CM739" s="1684"/>
      <c r="CN739" s="1684"/>
      <c r="CO739" s="1684"/>
    </row>
    <row r="740" spans="1:93" s="1391" customFormat="1" ht="15" x14ac:dyDescent="0.2">
      <c r="A740" s="1684"/>
      <c r="B740" s="1684"/>
      <c r="C740" s="2013"/>
      <c r="D740" s="5"/>
      <c r="E740" s="5">
        <v>1</v>
      </c>
      <c r="F740" s="5">
        <v>2</v>
      </c>
      <c r="G740" s="5">
        <v>3</v>
      </c>
      <c r="H740" s="5">
        <v>4</v>
      </c>
      <c r="I740" s="5">
        <v>5</v>
      </c>
      <c r="J740" s="5">
        <v>6</v>
      </c>
      <c r="K740" s="5">
        <v>7</v>
      </c>
      <c r="L740" s="5">
        <v>8</v>
      </c>
      <c r="M740" s="5">
        <v>9</v>
      </c>
      <c r="N740" s="5">
        <v>10</v>
      </c>
      <c r="O740" s="5">
        <v>11</v>
      </c>
      <c r="P740" s="5">
        <v>12</v>
      </c>
      <c r="Q740" s="1160"/>
      <c r="R740"/>
      <c r="S740" s="1684"/>
      <c r="T740" s="1684"/>
      <c r="U740" s="1684"/>
      <c r="V740" s="1684"/>
      <c r="W740" s="1684"/>
      <c r="X740" s="1684"/>
      <c r="Y740" s="1684"/>
      <c r="Z740" s="1684"/>
      <c r="AA740" s="1684"/>
      <c r="AB740" s="1684"/>
      <c r="AC740" s="1684"/>
      <c r="AD740" s="1684"/>
      <c r="AE740" s="1684"/>
      <c r="AF740" s="1684"/>
      <c r="AG740" s="1684"/>
      <c r="AH740" s="1684"/>
      <c r="AI740" s="1684"/>
      <c r="AJ740" s="1684"/>
      <c r="AK740" s="1684"/>
      <c r="AL740" s="1684"/>
      <c r="AM740" s="1684"/>
      <c r="AN740" s="1684"/>
      <c r="AO740" s="1684"/>
      <c r="AP740" s="1684"/>
      <c r="AQ740" s="1684"/>
      <c r="AR740" s="1684"/>
      <c r="AS740" s="1684"/>
      <c r="AT740" s="1684"/>
      <c r="AU740" s="1684"/>
      <c r="AV740" s="1684"/>
      <c r="AW740" s="1684"/>
      <c r="AX740" s="1684"/>
      <c r="AY740" s="1684"/>
      <c r="AZ740" s="1684"/>
      <c r="BA740" s="1684"/>
      <c r="BB740" s="1684"/>
      <c r="BC740" s="1684"/>
      <c r="BD740" s="1684"/>
      <c r="BE740" s="1684"/>
      <c r="BF740" s="1684"/>
      <c r="BG740" s="1684"/>
      <c r="BH740" s="1684"/>
      <c r="BI740" s="1684"/>
      <c r="BJ740" s="1684"/>
      <c r="BK740" s="1684"/>
      <c r="BL740" s="1684"/>
      <c r="BM740" s="1684"/>
      <c r="BN740" s="1684"/>
      <c r="BO740" s="1684"/>
      <c r="BP740" s="1684"/>
      <c r="BQ740" s="1684"/>
      <c r="BR740" s="1684"/>
      <c r="BS740" s="1684"/>
      <c r="BT740" s="1684"/>
      <c r="BU740" s="1684"/>
      <c r="BV740" s="1684"/>
      <c r="BW740" s="1684"/>
      <c r="BX740" s="1684"/>
      <c r="BY740" s="1684"/>
      <c r="BZ740" s="1684"/>
      <c r="CA740" s="1684"/>
      <c r="CB740" s="1684"/>
      <c r="CC740" s="1684"/>
      <c r="CD740" s="1684"/>
      <c r="CE740" s="1684"/>
      <c r="CF740" s="1684"/>
      <c r="CG740" s="1684"/>
      <c r="CH740" s="1684"/>
      <c r="CI740" s="1684"/>
      <c r="CJ740" s="1684"/>
      <c r="CK740" s="1684"/>
      <c r="CL740" s="1684"/>
      <c r="CM740" s="1684"/>
      <c r="CN740" s="1684"/>
      <c r="CO740" s="1684"/>
    </row>
    <row r="741" spans="1:93" s="1391" customFormat="1" ht="15" x14ac:dyDescent="0.2">
      <c r="A741" s="1684"/>
      <c r="B741" s="1684"/>
      <c r="C741" s="2013">
        <v>8</v>
      </c>
      <c r="D741" s="5">
        <v>5.7960000000000003</v>
      </c>
      <c r="E741" s="5">
        <v>145</v>
      </c>
      <c r="F741" s="5">
        <v>161</v>
      </c>
      <c r="G741" s="5">
        <v>175</v>
      </c>
      <c r="H741" s="5">
        <v>189</v>
      </c>
      <c r="I741" s="5">
        <v>203</v>
      </c>
      <c r="J741" s="5">
        <v>217</v>
      </c>
      <c r="K741" s="5">
        <v>231</v>
      </c>
      <c r="L741" s="5">
        <v>246</v>
      </c>
      <c r="M741" s="5">
        <v>259</v>
      </c>
      <c r="N741" s="5">
        <v>272</v>
      </c>
      <c r="O741" s="5">
        <v>286</v>
      </c>
      <c r="P741" s="5">
        <v>299</v>
      </c>
      <c r="Q741" s="1160">
        <v>45</v>
      </c>
      <c r="R741"/>
      <c r="S741" s="1684"/>
      <c r="T741" s="1684"/>
      <c r="U741" s="1684"/>
      <c r="V741" s="1684"/>
      <c r="W741" s="1684"/>
      <c r="X741" s="1684"/>
      <c r="Y741" s="1684"/>
      <c r="Z741" s="1684"/>
      <c r="AA741" s="1684"/>
      <c r="AB741" s="1684"/>
      <c r="AC741" s="1684"/>
      <c r="AD741" s="1684"/>
      <c r="AE741" s="1684"/>
      <c r="AF741" s="1684"/>
      <c r="AG741" s="1684"/>
      <c r="AH741" s="1684"/>
      <c r="AI741" s="1684"/>
      <c r="AJ741" s="1684"/>
      <c r="AK741" s="1684"/>
      <c r="AL741" s="1684"/>
      <c r="AM741" s="1684"/>
      <c r="AN741" s="1684"/>
      <c r="AO741" s="1684"/>
      <c r="AP741" s="1684"/>
      <c r="AQ741" s="1684"/>
      <c r="AR741" s="1684"/>
      <c r="AS741" s="1684"/>
      <c r="AT741" s="1684"/>
      <c r="AU741" s="1684"/>
      <c r="AV741" s="1684"/>
      <c r="AW741" s="1684"/>
      <c r="AX741" s="1684"/>
      <c r="AY741" s="1684"/>
      <c r="AZ741" s="1684"/>
      <c r="BA741" s="1684"/>
      <c r="BB741" s="1684"/>
      <c r="BC741" s="1684"/>
      <c r="BD741" s="1684"/>
      <c r="BE741" s="1684"/>
      <c r="BF741" s="1684"/>
      <c r="BG741" s="1684"/>
      <c r="BH741" s="1684"/>
      <c r="BI741" s="1684"/>
      <c r="BJ741" s="1684"/>
      <c r="BK741" s="1684"/>
      <c r="BL741" s="1684"/>
      <c r="BM741" s="1684"/>
      <c r="BN741" s="1684"/>
      <c r="BO741" s="1684"/>
      <c r="BP741" s="1684"/>
      <c r="BQ741" s="1684"/>
      <c r="BR741" s="1684"/>
      <c r="BS741" s="1684"/>
      <c r="BT741" s="1684"/>
      <c r="BU741" s="1684"/>
      <c r="BV741" s="1684"/>
      <c r="BW741" s="1684"/>
      <c r="BX741" s="1684"/>
      <c r="BY741" s="1684"/>
      <c r="BZ741" s="1684"/>
      <c r="CA741" s="1684"/>
      <c r="CB741" s="1684"/>
      <c r="CC741" s="1684"/>
      <c r="CD741" s="1684"/>
      <c r="CE741" s="1684"/>
      <c r="CF741" s="1684"/>
      <c r="CG741" s="1684"/>
      <c r="CH741" s="1684"/>
      <c r="CI741" s="1684"/>
      <c r="CJ741" s="1684"/>
      <c r="CK741" s="1684"/>
      <c r="CL741" s="1684"/>
      <c r="CM741" s="1684"/>
      <c r="CN741" s="1684"/>
      <c r="CO741" s="1684"/>
    </row>
    <row r="742" spans="1:93" s="1391" customFormat="1" ht="15" x14ac:dyDescent="0.2">
      <c r="A742" s="1684"/>
      <c r="B742" s="1684"/>
      <c r="C742" s="2013">
        <v>9</v>
      </c>
      <c r="D742" s="5">
        <v>6.1849999999999996</v>
      </c>
      <c r="E742" s="5">
        <v>160</v>
      </c>
      <c r="F742" s="5">
        <v>177</v>
      </c>
      <c r="G742" s="5">
        <v>192</v>
      </c>
      <c r="H742" s="5">
        <v>208</v>
      </c>
      <c r="I742" s="5">
        <v>224</v>
      </c>
      <c r="J742" s="5">
        <v>239</v>
      </c>
      <c r="K742" s="5">
        <v>254</v>
      </c>
      <c r="L742" s="5">
        <v>270</v>
      </c>
      <c r="M742" s="5">
        <v>284</v>
      </c>
      <c r="N742" s="5">
        <v>299</v>
      </c>
      <c r="O742" s="5">
        <v>313</v>
      </c>
      <c r="P742" s="5">
        <v>323</v>
      </c>
      <c r="Q742" s="1160">
        <v>46</v>
      </c>
      <c r="R742"/>
      <c r="S742" s="1684"/>
      <c r="T742" s="1684"/>
      <c r="U742" s="1684"/>
      <c r="V742" s="1684"/>
      <c r="W742" s="1684"/>
      <c r="X742" s="1684"/>
      <c r="Y742" s="1684"/>
      <c r="Z742" s="1684"/>
      <c r="AA742" s="1684"/>
      <c r="AB742" s="1684"/>
      <c r="AC742" s="1684"/>
      <c r="AD742" s="1684"/>
      <c r="AE742" s="1684"/>
      <c r="AF742" s="1684"/>
      <c r="AG742" s="1684"/>
      <c r="AH742" s="1684"/>
      <c r="AI742" s="1684"/>
      <c r="AJ742" s="1684"/>
      <c r="AK742" s="1684"/>
      <c r="AL742" s="1684"/>
      <c r="AM742" s="1684"/>
      <c r="AN742" s="1684"/>
      <c r="AO742" s="1684"/>
      <c r="AP742" s="1684"/>
      <c r="AQ742" s="1684"/>
      <c r="AR742" s="1684"/>
      <c r="AS742" s="1684"/>
      <c r="AT742" s="1684"/>
      <c r="AU742" s="1684"/>
      <c r="AV742" s="1684"/>
      <c r="AW742" s="1684"/>
      <c r="AX742" s="1684"/>
      <c r="AY742" s="1684"/>
      <c r="AZ742" s="1684"/>
      <c r="BA742" s="1684"/>
      <c r="BB742" s="1684"/>
      <c r="BC742" s="1684"/>
      <c r="BD742" s="1684"/>
      <c r="BE742" s="1684"/>
      <c r="BF742" s="1684"/>
      <c r="BG742" s="1684"/>
      <c r="BH742" s="1684"/>
      <c r="BI742" s="1684"/>
      <c r="BJ742" s="1684"/>
      <c r="BK742" s="1684"/>
      <c r="BL742" s="1684"/>
      <c r="BM742" s="1684"/>
      <c r="BN742" s="1684"/>
      <c r="BO742" s="1684"/>
      <c r="BP742" s="1684"/>
      <c r="BQ742" s="1684"/>
      <c r="BR742" s="1684"/>
      <c r="BS742" s="1684"/>
      <c r="BT742" s="1684"/>
      <c r="BU742" s="1684"/>
      <c r="BV742" s="1684"/>
      <c r="BW742" s="1684"/>
      <c r="BX742" s="1684"/>
      <c r="BY742" s="1684"/>
      <c r="BZ742" s="1684"/>
      <c r="CA742" s="1684"/>
      <c r="CB742" s="1684"/>
      <c r="CC742" s="1684"/>
      <c r="CD742" s="1684"/>
      <c r="CE742" s="1684"/>
      <c r="CF742" s="1684"/>
      <c r="CG742" s="1684"/>
      <c r="CH742" s="1684"/>
      <c r="CI742" s="1684"/>
      <c r="CJ742" s="1684"/>
      <c r="CK742" s="1684"/>
      <c r="CL742" s="1684"/>
      <c r="CM742" s="1684"/>
      <c r="CN742" s="1684"/>
      <c r="CO742" s="1684"/>
    </row>
    <row r="743" spans="1:93" s="1391" customFormat="1" ht="15" x14ac:dyDescent="0.2">
      <c r="A743" s="1684"/>
      <c r="B743" s="1684"/>
      <c r="C743" s="2013">
        <v>10</v>
      </c>
      <c r="D743" s="5">
        <v>6.5960000000000001</v>
      </c>
      <c r="E743" s="5">
        <v>175</v>
      </c>
      <c r="F743" s="5">
        <v>193</v>
      </c>
      <c r="G743" s="5">
        <v>211</v>
      </c>
      <c r="H743" s="5">
        <v>228</v>
      </c>
      <c r="I743" s="5">
        <v>244</v>
      </c>
      <c r="J743" s="5">
        <v>261</v>
      </c>
      <c r="K743" s="5">
        <v>278</v>
      </c>
      <c r="L743" s="5">
        <v>295</v>
      </c>
      <c r="M743" s="5">
        <v>310</v>
      </c>
      <c r="N743" s="5">
        <v>326</v>
      </c>
      <c r="O743" s="5">
        <v>342</v>
      </c>
      <c r="P743" s="5">
        <v>357</v>
      </c>
      <c r="Q743" s="1160">
        <v>47</v>
      </c>
      <c r="R743"/>
      <c r="S743" s="1684"/>
      <c r="T743" s="1684"/>
      <c r="U743" s="1684"/>
      <c r="V743" s="1684"/>
      <c r="W743" s="1684"/>
      <c r="X743" s="1684"/>
      <c r="Y743" s="1684"/>
      <c r="Z743" s="1684"/>
      <c r="AA743" s="1684"/>
      <c r="AB743" s="1684"/>
      <c r="AC743" s="1684"/>
      <c r="AD743" s="1684"/>
      <c r="AE743" s="1684"/>
      <c r="AF743" s="1684"/>
      <c r="AG743" s="1684"/>
      <c r="AH743" s="1684"/>
      <c r="AI743" s="1684"/>
      <c r="AJ743" s="1684"/>
      <c r="AK743" s="1684"/>
      <c r="AL743" s="1684"/>
      <c r="AM743" s="1684"/>
      <c r="AN743" s="1684"/>
      <c r="AO743" s="1684"/>
      <c r="AP743" s="1684"/>
      <c r="AQ743" s="1684"/>
      <c r="AR743" s="1684"/>
      <c r="AS743" s="1684"/>
      <c r="AT743" s="1684"/>
      <c r="AU743" s="1684"/>
      <c r="AV743" s="1684"/>
      <c r="AW743" s="1684"/>
      <c r="AX743" s="1684"/>
      <c r="AY743" s="1684"/>
      <c r="AZ743" s="1684"/>
      <c r="BA743" s="1684"/>
      <c r="BB743" s="1684"/>
      <c r="BC743" s="1684"/>
      <c r="BD743" s="1684"/>
      <c r="BE743" s="1684"/>
      <c r="BF743" s="1684"/>
      <c r="BG743" s="1684"/>
      <c r="BH743" s="1684"/>
      <c r="BI743" s="1684"/>
      <c r="BJ743" s="1684"/>
      <c r="BK743" s="1684"/>
      <c r="BL743" s="1684"/>
      <c r="BM743" s="1684"/>
      <c r="BN743" s="1684"/>
      <c r="BO743" s="1684"/>
      <c r="BP743" s="1684"/>
      <c r="BQ743" s="1684"/>
      <c r="BR743" s="1684"/>
      <c r="BS743" s="1684"/>
      <c r="BT743" s="1684"/>
      <c r="BU743" s="1684"/>
      <c r="BV743" s="1684"/>
      <c r="BW743" s="1684"/>
      <c r="BX743" s="1684"/>
      <c r="BY743" s="1684"/>
      <c r="BZ743" s="1684"/>
      <c r="CA743" s="1684"/>
      <c r="CB743" s="1684"/>
      <c r="CC743" s="1684"/>
      <c r="CD743" s="1684"/>
      <c r="CE743" s="1684"/>
      <c r="CF743" s="1684"/>
      <c r="CG743" s="1684"/>
      <c r="CH743" s="1684"/>
      <c r="CI743" s="1684"/>
      <c r="CJ743" s="1684"/>
      <c r="CK743" s="1684"/>
      <c r="CL743" s="1684"/>
      <c r="CM743" s="1684"/>
      <c r="CN743" s="1684"/>
      <c r="CO743" s="1684"/>
    </row>
    <row r="744" spans="1:93" s="1391" customFormat="1" ht="15" x14ac:dyDescent="0.2">
      <c r="A744" s="1684"/>
      <c r="B744" s="1684"/>
      <c r="C744" s="2013">
        <v>11</v>
      </c>
      <c r="D744" s="5">
        <v>7.0609999999999999</v>
      </c>
      <c r="E744" s="5">
        <v>192</v>
      </c>
      <c r="F744" s="5">
        <v>212</v>
      </c>
      <c r="G744" s="5">
        <v>231</v>
      </c>
      <c r="H744" s="5">
        <v>249</v>
      </c>
      <c r="I744" s="5">
        <v>268</v>
      </c>
      <c r="J744" s="5">
        <v>286</v>
      </c>
      <c r="K744" s="5">
        <v>303</v>
      </c>
      <c r="L744" s="5">
        <v>322</v>
      </c>
      <c r="M744" s="5">
        <v>339</v>
      </c>
      <c r="N744" s="5">
        <v>356</v>
      </c>
      <c r="O744" s="5">
        <v>373</v>
      </c>
      <c r="P744" s="5">
        <v>390</v>
      </c>
      <c r="Q744" s="1160">
        <v>48</v>
      </c>
      <c r="R744"/>
      <c r="S744" s="1684"/>
      <c r="T744" s="1684"/>
      <c r="U744" s="1684"/>
      <c r="V744" s="1684"/>
      <c r="W744" s="1684"/>
      <c r="X744" s="1684"/>
      <c r="Y744" s="1684"/>
      <c r="Z744" s="1684"/>
      <c r="AA744" s="1684"/>
      <c r="AB744" s="1684"/>
      <c r="AC744" s="1684"/>
      <c r="AD744" s="1684"/>
      <c r="AE744" s="1684"/>
      <c r="AF744" s="1684"/>
      <c r="AG744" s="1684"/>
      <c r="AH744" s="1684"/>
      <c r="AI744" s="1684"/>
      <c r="AJ744" s="1684"/>
      <c r="AK744" s="1684"/>
      <c r="AL744" s="1684"/>
      <c r="AM744" s="1684"/>
      <c r="AN744" s="1684"/>
      <c r="AO744" s="1684"/>
      <c r="AP744" s="1684"/>
      <c r="AQ744" s="1684"/>
      <c r="AR744" s="1684"/>
      <c r="AS744" s="1684"/>
      <c r="AT744" s="1684"/>
      <c r="AU744" s="1684"/>
      <c r="AV744" s="1684"/>
      <c r="AW744" s="1684"/>
      <c r="AX744" s="1684"/>
      <c r="AY744" s="1684"/>
      <c r="AZ744" s="1684"/>
      <c r="BA744" s="1684"/>
      <c r="BB744" s="1684"/>
      <c r="BC744" s="1684"/>
      <c r="BD744" s="1684"/>
      <c r="BE744" s="1684"/>
      <c r="BF744" s="1684"/>
      <c r="BG744" s="1684"/>
      <c r="BH744" s="1684"/>
      <c r="BI744" s="1684"/>
      <c r="BJ744" s="1684"/>
      <c r="BK744" s="1684"/>
      <c r="BL744" s="1684"/>
      <c r="BM744" s="1684"/>
      <c r="BN744" s="1684"/>
      <c r="BO744" s="1684"/>
      <c r="BP744" s="1684"/>
      <c r="BQ744" s="1684"/>
      <c r="BR744" s="1684"/>
      <c r="BS744" s="1684"/>
      <c r="BT744" s="1684"/>
      <c r="BU744" s="1684"/>
      <c r="BV744" s="1684"/>
      <c r="BW744" s="1684"/>
      <c r="BX744" s="1684"/>
      <c r="BY744" s="1684"/>
      <c r="BZ744" s="1684"/>
      <c r="CA744" s="1684"/>
      <c r="CB744" s="1684"/>
      <c r="CC744" s="1684"/>
      <c r="CD744" s="1684"/>
      <c r="CE744" s="1684"/>
      <c r="CF744" s="1684"/>
      <c r="CG744" s="1684"/>
      <c r="CH744" s="1684"/>
      <c r="CI744" s="1684"/>
      <c r="CJ744" s="1684"/>
      <c r="CK744" s="1684"/>
      <c r="CL744" s="1684"/>
      <c r="CM744" s="1684"/>
      <c r="CN744" s="1684"/>
      <c r="CO744" s="1684"/>
    </row>
    <row r="745" spans="1:93" s="1391" customFormat="1" ht="15" x14ac:dyDescent="0.2">
      <c r="A745" s="1684"/>
      <c r="B745" s="1684"/>
      <c r="C745" s="2013">
        <v>12</v>
      </c>
      <c r="D745" s="5">
        <v>7.55</v>
      </c>
      <c r="E745" s="5">
        <v>210</v>
      </c>
      <c r="F745" s="5">
        <v>231</v>
      </c>
      <c r="G745" s="5">
        <v>252</v>
      </c>
      <c r="H745" s="5">
        <v>272</v>
      </c>
      <c r="I745" s="5">
        <v>291</v>
      </c>
      <c r="J745" s="5">
        <v>311</v>
      </c>
      <c r="K745" s="5">
        <v>330</v>
      </c>
      <c r="L745" s="5">
        <v>350</v>
      </c>
      <c r="M745" s="5">
        <v>368</v>
      </c>
      <c r="N745" s="5">
        <v>386</v>
      </c>
      <c r="O745" s="5">
        <v>405</v>
      </c>
      <c r="P745" s="5">
        <v>423</v>
      </c>
      <c r="Q745" s="1160">
        <v>49</v>
      </c>
      <c r="R745"/>
      <c r="S745" s="1684"/>
      <c r="T745" s="1684"/>
      <c r="U745" s="1684"/>
      <c r="V745" s="1684"/>
      <c r="W745" s="1684"/>
      <c r="X745" s="1684"/>
      <c r="Y745" s="1684"/>
      <c r="Z745" s="1684"/>
      <c r="AA745" s="1684"/>
      <c r="AB745" s="1684"/>
      <c r="AC745" s="1684"/>
      <c r="AD745" s="1684"/>
      <c r="AE745" s="1684"/>
      <c r="AF745" s="1684"/>
      <c r="AG745" s="1684"/>
      <c r="AH745" s="1684"/>
      <c r="AI745" s="1684"/>
      <c r="AJ745" s="1684"/>
      <c r="AK745" s="1684"/>
      <c r="AL745" s="1684"/>
      <c r="AM745" s="1684"/>
      <c r="AN745" s="1684"/>
      <c r="AO745" s="1684"/>
      <c r="AP745" s="1684"/>
      <c r="AQ745" s="1684"/>
      <c r="AR745" s="1684"/>
      <c r="AS745" s="1684"/>
      <c r="AT745" s="1684"/>
      <c r="AU745" s="1684"/>
      <c r="AV745" s="1684"/>
      <c r="AW745" s="1684"/>
      <c r="AX745" s="1684"/>
      <c r="AY745" s="1684"/>
      <c r="AZ745" s="1684"/>
      <c r="BA745" s="1684"/>
      <c r="BB745" s="1684"/>
      <c r="BC745" s="1684"/>
      <c r="BD745" s="1684"/>
      <c r="BE745" s="1684"/>
      <c r="BF745" s="1684"/>
      <c r="BG745" s="1684"/>
      <c r="BH745" s="1684"/>
      <c r="BI745" s="1684"/>
      <c r="BJ745" s="1684"/>
      <c r="BK745" s="1684"/>
      <c r="BL745" s="1684"/>
      <c r="BM745" s="1684"/>
      <c r="BN745" s="1684"/>
      <c r="BO745" s="1684"/>
      <c r="BP745" s="1684"/>
      <c r="BQ745" s="1684"/>
      <c r="BR745" s="1684"/>
      <c r="BS745" s="1684"/>
      <c r="BT745" s="1684"/>
      <c r="BU745" s="1684"/>
      <c r="BV745" s="1684"/>
      <c r="BW745" s="1684"/>
      <c r="BX745" s="1684"/>
      <c r="BY745" s="1684"/>
      <c r="BZ745" s="1684"/>
      <c r="CA745" s="1684"/>
      <c r="CB745" s="1684"/>
      <c r="CC745" s="1684"/>
      <c r="CD745" s="1684"/>
      <c r="CE745" s="1684"/>
      <c r="CF745" s="1684"/>
      <c r="CG745" s="1684"/>
      <c r="CH745" s="1684"/>
      <c r="CI745" s="1684"/>
      <c r="CJ745" s="1684"/>
      <c r="CK745" s="1684"/>
      <c r="CL745" s="1684"/>
      <c r="CM745" s="1684"/>
      <c r="CN745" s="1684"/>
      <c r="CO745" s="1684"/>
    </row>
    <row r="746" spans="1:93" s="1391" customFormat="1" ht="15" x14ac:dyDescent="0.2">
      <c r="A746" s="1684"/>
      <c r="B746" s="1684"/>
      <c r="C746" s="2013">
        <v>13</v>
      </c>
      <c r="D746" s="5">
        <v>8.0530000000000008</v>
      </c>
      <c r="E746" s="5">
        <v>227</v>
      </c>
      <c r="F746" s="5">
        <v>251</v>
      </c>
      <c r="G746" s="5">
        <v>272</v>
      </c>
      <c r="H746" s="5">
        <v>294</v>
      </c>
      <c r="I746" s="5">
        <v>315</v>
      </c>
      <c r="J746" s="5">
        <v>336</v>
      </c>
      <c r="K746" s="5">
        <v>357</v>
      </c>
      <c r="L746" s="5">
        <v>378</v>
      </c>
      <c r="M746" s="5">
        <v>397</v>
      </c>
      <c r="N746" s="5">
        <v>417</v>
      </c>
      <c r="O746" s="5">
        <v>437</v>
      </c>
      <c r="P746" s="5">
        <v>456</v>
      </c>
      <c r="Q746" s="1160">
        <v>50</v>
      </c>
      <c r="R746"/>
      <c r="S746" s="1684"/>
      <c r="T746" s="1684"/>
      <c r="U746" s="1684"/>
      <c r="V746" s="1684"/>
      <c r="W746" s="1684"/>
      <c r="X746" s="1684"/>
      <c r="Y746" s="1684"/>
      <c r="Z746" s="1684"/>
      <c r="AA746" s="1684"/>
      <c r="AB746" s="1684"/>
      <c r="AC746" s="1684"/>
      <c r="AD746" s="1684"/>
      <c r="AE746" s="1684"/>
      <c r="AF746" s="1684"/>
      <c r="AG746" s="1684"/>
      <c r="AH746" s="1684"/>
      <c r="AI746" s="1684"/>
      <c r="AJ746" s="1684"/>
      <c r="AK746" s="1684"/>
      <c r="AL746" s="1684"/>
      <c r="AM746" s="1684"/>
      <c r="AN746" s="1684"/>
      <c r="AO746" s="1684"/>
      <c r="AP746" s="1684"/>
      <c r="AQ746" s="1684"/>
      <c r="AR746" s="1684"/>
      <c r="AS746" s="1684"/>
      <c r="AT746" s="1684"/>
      <c r="AU746" s="1684"/>
      <c r="AV746" s="1684"/>
      <c r="AW746" s="1684"/>
      <c r="AX746" s="1684"/>
      <c r="AY746" s="1684"/>
      <c r="AZ746" s="1684"/>
      <c r="BA746" s="1684"/>
      <c r="BB746" s="1684"/>
      <c r="BC746" s="1684"/>
      <c r="BD746" s="1684"/>
      <c r="BE746" s="1684"/>
      <c r="BF746" s="1684"/>
      <c r="BG746" s="1684"/>
      <c r="BH746" s="1684"/>
      <c r="BI746" s="1684"/>
      <c r="BJ746" s="1684"/>
      <c r="BK746" s="1684"/>
      <c r="BL746" s="1684"/>
      <c r="BM746" s="1684"/>
      <c r="BN746" s="1684"/>
      <c r="BO746" s="1684"/>
      <c r="BP746" s="1684"/>
      <c r="BQ746" s="1684"/>
      <c r="BR746" s="1684"/>
      <c r="BS746" s="1684"/>
      <c r="BT746" s="1684"/>
      <c r="BU746" s="1684"/>
      <c r="BV746" s="1684"/>
      <c r="BW746" s="1684"/>
      <c r="BX746" s="1684"/>
      <c r="BY746" s="1684"/>
      <c r="BZ746" s="1684"/>
      <c r="CA746" s="1684"/>
      <c r="CB746" s="1684"/>
      <c r="CC746" s="1684"/>
      <c r="CD746" s="1684"/>
      <c r="CE746" s="1684"/>
      <c r="CF746" s="1684"/>
      <c r="CG746" s="1684"/>
      <c r="CH746" s="1684"/>
      <c r="CI746" s="1684"/>
      <c r="CJ746" s="1684"/>
      <c r="CK746" s="1684"/>
      <c r="CL746" s="1684"/>
      <c r="CM746" s="1684"/>
      <c r="CN746" s="1684"/>
      <c r="CO746" s="1684"/>
    </row>
    <row r="747" spans="1:93" s="1391" customFormat="1" ht="15" x14ac:dyDescent="0.2">
      <c r="A747" s="1684"/>
      <c r="B747" s="1684"/>
      <c r="C747" s="2013">
        <v>14</v>
      </c>
      <c r="D747" s="5">
        <v>8.5869999999999997</v>
      </c>
      <c r="E747" s="5">
        <v>246</v>
      </c>
      <c r="F747" s="5">
        <v>271</v>
      </c>
      <c r="G747" s="5">
        <v>294</v>
      </c>
      <c r="H747" s="5">
        <v>317</v>
      </c>
      <c r="I747" s="5">
        <v>340</v>
      </c>
      <c r="J747" s="5">
        <v>362</v>
      </c>
      <c r="K747" s="5">
        <v>384</v>
      </c>
      <c r="L747" s="5">
        <v>407</v>
      </c>
      <c r="M747" s="5">
        <v>428</v>
      </c>
      <c r="N747" s="5">
        <v>449</v>
      </c>
      <c r="O747" s="5">
        <v>469</v>
      </c>
      <c r="P747" s="5">
        <v>490</v>
      </c>
      <c r="Q747" s="1160">
        <v>51</v>
      </c>
      <c r="R747"/>
      <c r="S747" s="1684"/>
      <c r="T747" s="1684"/>
      <c r="U747" s="1684"/>
      <c r="V747" s="1684"/>
      <c r="W747" s="1684"/>
      <c r="X747" s="1684"/>
      <c r="Y747" s="1684"/>
      <c r="Z747" s="1684"/>
      <c r="AA747" s="1684"/>
      <c r="AB747" s="1684"/>
      <c r="AC747" s="1684"/>
      <c r="AD747" s="1684"/>
      <c r="AE747" s="1684"/>
      <c r="AF747" s="1684"/>
      <c r="AG747" s="1684"/>
      <c r="AH747" s="1684"/>
      <c r="AI747" s="1684"/>
      <c r="AJ747" s="1684"/>
      <c r="AK747" s="1684"/>
      <c r="AL747" s="1684"/>
      <c r="AM747" s="1684"/>
      <c r="AN747" s="1684"/>
      <c r="AO747" s="1684"/>
      <c r="AP747" s="1684"/>
      <c r="AQ747" s="1684"/>
      <c r="AR747" s="1684"/>
      <c r="AS747" s="1684"/>
      <c r="AT747" s="1684"/>
      <c r="AU747" s="1684"/>
      <c r="AV747" s="1684"/>
      <c r="AW747" s="1684"/>
      <c r="AX747" s="1684"/>
      <c r="AY747" s="1684"/>
      <c r="AZ747" s="1684"/>
      <c r="BA747" s="1684"/>
      <c r="BB747" s="1684"/>
      <c r="BC747" s="1684"/>
      <c r="BD747" s="1684"/>
      <c r="BE747" s="1684"/>
      <c r="BF747" s="1684"/>
      <c r="BG747" s="1684"/>
      <c r="BH747" s="1684"/>
      <c r="BI747" s="1684"/>
      <c r="BJ747" s="1684"/>
      <c r="BK747" s="1684"/>
      <c r="BL747" s="1684"/>
      <c r="BM747" s="1684"/>
      <c r="BN747" s="1684"/>
      <c r="BO747" s="1684"/>
      <c r="BP747" s="1684"/>
      <c r="BQ747" s="1684"/>
      <c r="BR747" s="1684"/>
      <c r="BS747" s="1684"/>
      <c r="BT747" s="1684"/>
      <c r="BU747" s="1684"/>
      <c r="BV747" s="1684"/>
      <c r="BW747" s="1684"/>
      <c r="BX747" s="1684"/>
      <c r="BY747" s="1684"/>
      <c r="BZ747" s="1684"/>
      <c r="CA747" s="1684"/>
      <c r="CB747" s="1684"/>
      <c r="CC747" s="1684"/>
      <c r="CD747" s="1684"/>
      <c r="CE747" s="1684"/>
      <c r="CF747" s="1684"/>
      <c r="CG747" s="1684"/>
      <c r="CH747" s="1684"/>
      <c r="CI747" s="1684"/>
      <c r="CJ747" s="1684"/>
      <c r="CK747" s="1684"/>
      <c r="CL747" s="1684"/>
      <c r="CM747" s="1684"/>
      <c r="CN747" s="1684"/>
      <c r="CO747" s="1684"/>
    </row>
    <row r="748" spans="1:93" s="1391" customFormat="1" ht="15" x14ac:dyDescent="0.2">
      <c r="A748" s="1684"/>
      <c r="B748" s="1684"/>
      <c r="C748" s="2013">
        <v>15</v>
      </c>
      <c r="D748" s="5">
        <v>9.1419999999999995</v>
      </c>
      <c r="E748" s="5">
        <v>265</v>
      </c>
      <c r="F748" s="5">
        <v>291</v>
      </c>
      <c r="G748" s="5">
        <v>316</v>
      </c>
      <c r="H748" s="5">
        <v>341</v>
      </c>
      <c r="I748" s="5">
        <v>365</v>
      </c>
      <c r="J748" s="5">
        <v>389</v>
      </c>
      <c r="K748" s="5">
        <v>412</v>
      </c>
      <c r="L748" s="5">
        <v>437</v>
      </c>
      <c r="M748" s="5">
        <v>458</v>
      </c>
      <c r="N748" s="5">
        <v>480</v>
      </c>
      <c r="O748" s="5">
        <v>502</v>
      </c>
      <c r="P748" s="5">
        <v>524</v>
      </c>
      <c r="Q748" s="1160">
        <v>52</v>
      </c>
      <c r="R748"/>
      <c r="S748" s="1684"/>
      <c r="T748" s="1684"/>
      <c r="U748" s="1684"/>
      <c r="V748" s="1684"/>
      <c r="W748" s="1684"/>
      <c r="X748" s="1684"/>
      <c r="Y748" s="1684"/>
      <c r="Z748" s="1684"/>
      <c r="AA748" s="1684"/>
      <c r="AB748" s="1684"/>
      <c r="AC748" s="1684"/>
      <c r="AD748" s="1684"/>
      <c r="AE748" s="1684"/>
      <c r="AF748" s="1684"/>
      <c r="AG748" s="1684"/>
      <c r="AH748" s="1684"/>
      <c r="AI748" s="1684"/>
      <c r="AJ748" s="1684"/>
      <c r="AK748" s="1684"/>
      <c r="AL748" s="1684"/>
      <c r="AM748" s="1684"/>
      <c r="AN748" s="1684"/>
      <c r="AO748" s="1684"/>
      <c r="AP748" s="1684"/>
      <c r="AQ748" s="1684"/>
      <c r="AR748" s="1684"/>
      <c r="AS748" s="1684"/>
      <c r="AT748" s="1684"/>
      <c r="AU748" s="1684"/>
      <c r="AV748" s="1684"/>
      <c r="AW748" s="1684"/>
      <c r="AX748" s="1684"/>
      <c r="AY748" s="1684"/>
      <c r="AZ748" s="1684"/>
      <c r="BA748" s="1684"/>
      <c r="BB748" s="1684"/>
      <c r="BC748" s="1684"/>
      <c r="BD748" s="1684"/>
      <c r="BE748" s="1684"/>
      <c r="BF748" s="1684"/>
      <c r="BG748" s="1684"/>
      <c r="BH748" s="1684"/>
      <c r="BI748" s="1684"/>
      <c r="BJ748" s="1684"/>
      <c r="BK748" s="1684"/>
      <c r="BL748" s="1684"/>
      <c r="BM748" s="1684"/>
      <c r="BN748" s="1684"/>
      <c r="BO748" s="1684"/>
      <c r="BP748" s="1684"/>
      <c r="BQ748" s="1684"/>
      <c r="BR748" s="1684"/>
      <c r="BS748" s="1684"/>
      <c r="BT748" s="1684"/>
      <c r="BU748" s="1684"/>
      <c r="BV748" s="1684"/>
      <c r="BW748" s="1684"/>
      <c r="BX748" s="1684"/>
      <c r="BY748" s="1684"/>
      <c r="BZ748" s="1684"/>
      <c r="CA748" s="1684"/>
      <c r="CB748" s="1684"/>
      <c r="CC748" s="1684"/>
      <c r="CD748" s="1684"/>
      <c r="CE748" s="1684"/>
      <c r="CF748" s="1684"/>
      <c r="CG748" s="1684"/>
      <c r="CH748" s="1684"/>
      <c r="CI748" s="1684"/>
      <c r="CJ748" s="1684"/>
      <c r="CK748" s="1684"/>
      <c r="CL748" s="1684"/>
      <c r="CM748" s="1684"/>
      <c r="CN748" s="1684"/>
      <c r="CO748" s="1684"/>
    </row>
    <row r="749" spans="1:93" s="1391" customFormat="1" ht="15" x14ac:dyDescent="0.2">
      <c r="A749" s="1684"/>
      <c r="B749" s="1684"/>
      <c r="C749" s="2013">
        <v>16</v>
      </c>
      <c r="D749" s="5">
        <v>9.8469999999999995</v>
      </c>
      <c r="E749" s="5">
        <v>283</v>
      </c>
      <c r="F749" s="5">
        <v>311</v>
      </c>
      <c r="G749" s="5">
        <v>338</v>
      </c>
      <c r="H749" s="5">
        <v>364</v>
      </c>
      <c r="I749" s="5">
        <v>389</v>
      </c>
      <c r="J749" s="5">
        <v>414</v>
      </c>
      <c r="K749" s="5">
        <v>439</v>
      </c>
      <c r="L749" s="5">
        <v>465</v>
      </c>
      <c r="M749" s="5">
        <v>487</v>
      </c>
      <c r="N749" s="5">
        <v>511</v>
      </c>
      <c r="O749" s="5">
        <v>534</v>
      </c>
      <c r="P749" s="5">
        <v>557</v>
      </c>
      <c r="Q749" s="1160">
        <v>53</v>
      </c>
      <c r="R749"/>
      <c r="S749" s="1684"/>
      <c r="T749" s="1684"/>
      <c r="U749" s="1684"/>
      <c r="V749" s="1684"/>
      <c r="W749" s="1684"/>
      <c r="X749" s="1684"/>
      <c r="Y749" s="1684"/>
      <c r="Z749" s="1684"/>
      <c r="AA749" s="1684"/>
      <c r="AB749" s="1684"/>
      <c r="AC749" s="1684"/>
      <c r="AD749" s="1684"/>
      <c r="AE749" s="1684"/>
      <c r="AF749" s="1684"/>
      <c r="AG749" s="1684"/>
      <c r="AH749" s="1684"/>
      <c r="AI749" s="1684"/>
      <c r="AJ749" s="1684"/>
      <c r="AK749" s="1684"/>
      <c r="AL749" s="1684"/>
      <c r="AM749" s="1684"/>
      <c r="AN749" s="1684"/>
      <c r="AO749" s="1684"/>
      <c r="AP749" s="1684"/>
      <c r="AQ749" s="1684"/>
      <c r="AR749" s="1684"/>
      <c r="AS749" s="1684"/>
      <c r="AT749" s="1684"/>
      <c r="AU749" s="1684"/>
      <c r="AV749" s="1684"/>
      <c r="AW749" s="1684"/>
      <c r="AX749" s="1684"/>
      <c r="AY749" s="1684"/>
      <c r="AZ749" s="1684"/>
      <c r="BA749" s="1684"/>
      <c r="BB749" s="1684"/>
      <c r="BC749" s="1684"/>
      <c r="BD749" s="1684"/>
      <c r="BE749" s="1684"/>
      <c r="BF749" s="1684"/>
      <c r="BG749" s="1684"/>
      <c r="BH749" s="1684"/>
      <c r="BI749" s="1684"/>
      <c r="BJ749" s="1684"/>
      <c r="BK749" s="1684"/>
      <c r="BL749" s="1684"/>
      <c r="BM749" s="1684"/>
      <c r="BN749" s="1684"/>
      <c r="BO749" s="1684"/>
      <c r="BP749" s="1684"/>
      <c r="BQ749" s="1684"/>
      <c r="BR749" s="1684"/>
      <c r="BS749" s="1684"/>
      <c r="BT749" s="1684"/>
      <c r="BU749" s="1684"/>
      <c r="BV749" s="1684"/>
      <c r="BW749" s="1684"/>
      <c r="BX749" s="1684"/>
      <c r="BY749" s="1684"/>
      <c r="BZ749" s="1684"/>
      <c r="CA749" s="1684"/>
      <c r="CB749" s="1684"/>
      <c r="CC749" s="1684"/>
      <c r="CD749" s="1684"/>
      <c r="CE749" s="1684"/>
      <c r="CF749" s="1684"/>
      <c r="CG749" s="1684"/>
      <c r="CH749" s="1684"/>
      <c r="CI749" s="1684"/>
      <c r="CJ749" s="1684"/>
      <c r="CK749" s="1684"/>
      <c r="CL749" s="1684"/>
      <c r="CM749" s="1684"/>
      <c r="CN749" s="1684"/>
      <c r="CO749" s="1684"/>
    </row>
    <row r="750" spans="1:93" s="1391" customFormat="1" ht="15" x14ac:dyDescent="0.2">
      <c r="A750" s="1684"/>
      <c r="B750" s="1684"/>
      <c r="C750" s="2013">
        <v>17</v>
      </c>
      <c r="D750" s="5">
        <v>10.393000000000001</v>
      </c>
      <c r="E750" s="5">
        <v>299</v>
      </c>
      <c r="F750" s="5">
        <v>329</v>
      </c>
      <c r="G750" s="5">
        <v>357</v>
      </c>
      <c r="H750" s="5">
        <v>385</v>
      </c>
      <c r="I750" s="5">
        <v>411</v>
      </c>
      <c r="J750" s="5">
        <v>438</v>
      </c>
      <c r="K750" s="5">
        <v>464</v>
      </c>
      <c r="L750" s="5">
        <v>490</v>
      </c>
      <c r="M750" s="5">
        <v>514</v>
      </c>
      <c r="N750" s="5">
        <v>539</v>
      </c>
      <c r="O750" s="5">
        <v>563</v>
      </c>
      <c r="P750" s="5">
        <v>587</v>
      </c>
      <c r="Q750" s="1160">
        <v>54</v>
      </c>
      <c r="R750"/>
      <c r="S750" s="1684"/>
      <c r="T750" s="1684"/>
      <c r="U750" s="1684"/>
      <c r="V750" s="1684"/>
      <c r="W750" s="1684"/>
      <c r="X750" s="1684"/>
      <c r="Y750" s="1684"/>
      <c r="Z750" s="1684"/>
      <c r="AA750" s="1684"/>
      <c r="AB750" s="1684"/>
      <c r="AC750" s="1684"/>
      <c r="AD750" s="1684"/>
      <c r="AE750" s="1684"/>
      <c r="AF750" s="1684"/>
      <c r="AG750" s="1684"/>
      <c r="AH750" s="1684"/>
      <c r="AI750" s="1684"/>
      <c r="AJ750" s="1684"/>
      <c r="AK750" s="1684"/>
      <c r="AL750" s="1684"/>
      <c r="AM750" s="1684"/>
      <c r="AN750" s="1684"/>
      <c r="AO750" s="1684"/>
      <c r="AP750" s="1684"/>
      <c r="AQ750" s="1684"/>
      <c r="AR750" s="1684"/>
      <c r="AS750" s="1684"/>
      <c r="AT750" s="1684"/>
      <c r="AU750" s="1684"/>
      <c r="AV750" s="1684"/>
      <c r="AW750" s="1684"/>
      <c r="AX750" s="1684"/>
      <c r="AY750" s="1684"/>
      <c r="AZ750" s="1684"/>
      <c r="BA750" s="1684"/>
      <c r="BB750" s="1684"/>
      <c r="BC750" s="1684"/>
      <c r="BD750" s="1684"/>
      <c r="BE750" s="1684"/>
      <c r="BF750" s="1684"/>
      <c r="BG750" s="1684"/>
      <c r="BH750" s="1684"/>
      <c r="BI750" s="1684"/>
      <c r="BJ750" s="1684"/>
      <c r="BK750" s="1684"/>
      <c r="BL750" s="1684"/>
      <c r="BM750" s="1684"/>
      <c r="BN750" s="1684"/>
      <c r="BO750" s="1684"/>
      <c r="BP750" s="1684"/>
      <c r="BQ750" s="1684"/>
      <c r="BR750" s="1684"/>
      <c r="BS750" s="1684"/>
      <c r="BT750" s="1684"/>
      <c r="BU750" s="1684"/>
      <c r="BV750" s="1684"/>
      <c r="BW750" s="1684"/>
      <c r="BX750" s="1684"/>
      <c r="BY750" s="1684"/>
      <c r="BZ750" s="1684"/>
      <c r="CA750" s="1684"/>
      <c r="CB750" s="1684"/>
      <c r="CC750" s="1684"/>
      <c r="CD750" s="1684"/>
      <c r="CE750" s="1684"/>
      <c r="CF750" s="1684"/>
      <c r="CG750" s="1684"/>
      <c r="CH750" s="1684"/>
      <c r="CI750" s="1684"/>
      <c r="CJ750" s="1684"/>
      <c r="CK750" s="1684"/>
      <c r="CL750" s="1684"/>
      <c r="CM750" s="1684"/>
      <c r="CN750" s="1684"/>
      <c r="CO750" s="1684"/>
    </row>
    <row r="751" spans="1:93" s="1391" customFormat="1" ht="15" x14ac:dyDescent="0.2">
      <c r="A751" s="1684"/>
      <c r="B751" s="1684"/>
      <c r="C751" s="2013">
        <v>18</v>
      </c>
      <c r="D751" s="5">
        <v>11.077</v>
      </c>
      <c r="E751" s="5">
        <v>315</v>
      </c>
      <c r="F751" s="5">
        <v>346</v>
      </c>
      <c r="G751" s="5">
        <v>375</v>
      </c>
      <c r="H751" s="5">
        <v>403</v>
      </c>
      <c r="I751" s="5">
        <v>431</v>
      </c>
      <c r="J751" s="5">
        <v>459</v>
      </c>
      <c r="K751" s="5">
        <v>486</v>
      </c>
      <c r="L751" s="5">
        <v>514</v>
      </c>
      <c r="M751" s="5">
        <v>538</v>
      </c>
      <c r="N751" s="5">
        <v>564</v>
      </c>
      <c r="O751" s="5">
        <v>589</v>
      </c>
      <c r="P751" s="5">
        <v>613</v>
      </c>
      <c r="Q751" s="1160">
        <v>55</v>
      </c>
      <c r="R751"/>
      <c r="S751" s="1684"/>
      <c r="T751" s="1684"/>
      <c r="U751" s="1684"/>
      <c r="V751" s="1684"/>
      <c r="W751" s="1684"/>
      <c r="X751" s="1684"/>
      <c r="Y751" s="1684"/>
      <c r="Z751" s="1684"/>
      <c r="AA751" s="1684"/>
      <c r="AB751" s="1684"/>
      <c r="AC751" s="1684"/>
      <c r="AD751" s="1684"/>
      <c r="AE751" s="1684"/>
      <c r="AF751" s="1684"/>
      <c r="AG751" s="1684"/>
      <c r="AH751" s="1684"/>
      <c r="AI751" s="1684"/>
      <c r="AJ751" s="1684"/>
      <c r="AK751" s="1684"/>
      <c r="AL751" s="1684"/>
      <c r="AM751" s="1684"/>
      <c r="AN751" s="1684"/>
      <c r="AO751" s="1684"/>
      <c r="AP751" s="1684"/>
      <c r="AQ751" s="1684"/>
      <c r="AR751" s="1684"/>
      <c r="AS751" s="1684"/>
      <c r="AT751" s="1684"/>
      <c r="AU751" s="1684"/>
      <c r="AV751" s="1684"/>
      <c r="AW751" s="1684"/>
      <c r="AX751" s="1684"/>
      <c r="AY751" s="1684"/>
      <c r="AZ751" s="1684"/>
      <c r="BA751" s="1684"/>
      <c r="BB751" s="1684"/>
      <c r="BC751" s="1684"/>
      <c r="BD751" s="1684"/>
      <c r="BE751" s="1684"/>
      <c r="BF751" s="1684"/>
      <c r="BG751" s="1684"/>
      <c r="BH751" s="1684"/>
      <c r="BI751" s="1684"/>
      <c r="BJ751" s="1684"/>
      <c r="BK751" s="1684"/>
      <c r="BL751" s="1684"/>
      <c r="BM751" s="1684"/>
      <c r="BN751" s="1684"/>
      <c r="BO751" s="1684"/>
      <c r="BP751" s="1684"/>
      <c r="BQ751" s="1684"/>
      <c r="BR751" s="1684"/>
      <c r="BS751" s="1684"/>
      <c r="BT751" s="1684"/>
      <c r="BU751" s="1684"/>
      <c r="BV751" s="1684"/>
      <c r="BW751" s="1684"/>
      <c r="BX751" s="1684"/>
      <c r="BY751" s="1684"/>
      <c r="BZ751" s="1684"/>
      <c r="CA751" s="1684"/>
      <c r="CB751" s="1684"/>
      <c r="CC751" s="1684"/>
      <c r="CD751" s="1684"/>
      <c r="CE751" s="1684"/>
      <c r="CF751" s="1684"/>
      <c r="CG751" s="1684"/>
      <c r="CH751" s="1684"/>
      <c r="CI751" s="1684"/>
      <c r="CJ751" s="1684"/>
      <c r="CK751" s="1684"/>
      <c r="CL751" s="1684"/>
      <c r="CM751" s="1684"/>
      <c r="CN751" s="1684"/>
      <c r="CO751" s="1684"/>
    </row>
    <row r="752" spans="1:93" s="1391" customFormat="1" ht="15" x14ac:dyDescent="0.2">
      <c r="A752" s="1684"/>
      <c r="B752" s="1684"/>
      <c r="C752" s="4680" t="s">
        <v>1215</v>
      </c>
      <c r="D752" s="4681"/>
      <c r="E752" s="4681"/>
      <c r="F752" s="4681"/>
      <c r="G752" s="4681"/>
      <c r="H752" s="4681"/>
      <c r="I752" s="4681"/>
      <c r="J752" s="4681"/>
      <c r="K752" s="4681"/>
      <c r="L752" s="4681"/>
      <c r="M752" s="4681"/>
      <c r="N752" s="4681"/>
      <c r="O752" s="4681"/>
      <c r="P752" s="4681"/>
      <c r="Q752" s="4682"/>
      <c r="R752"/>
      <c r="S752" s="1684"/>
      <c r="T752" s="1684"/>
      <c r="U752" s="1684"/>
      <c r="V752" s="1684"/>
      <c r="W752" s="1684"/>
      <c r="X752" s="1684"/>
      <c r="Y752" s="1684"/>
      <c r="Z752" s="1684"/>
      <c r="AA752" s="1684"/>
      <c r="AB752" s="1684"/>
      <c r="AC752" s="1684"/>
      <c r="AD752" s="1684"/>
      <c r="AE752" s="1684"/>
      <c r="AF752" s="1684"/>
      <c r="AG752" s="1684"/>
      <c r="AH752" s="1684"/>
      <c r="AI752" s="1684"/>
      <c r="AJ752" s="1684"/>
      <c r="AK752" s="1684"/>
      <c r="AL752" s="1684"/>
      <c r="AM752" s="1684"/>
      <c r="AN752" s="1684"/>
      <c r="AO752" s="1684"/>
      <c r="AP752" s="1684"/>
      <c r="AQ752" s="1684"/>
      <c r="AR752" s="1684"/>
      <c r="AS752" s="1684"/>
      <c r="AT752" s="1684"/>
      <c r="AU752" s="1684"/>
      <c r="AV752" s="1684"/>
      <c r="AW752" s="1684"/>
      <c r="AX752" s="1684"/>
      <c r="AY752" s="1684"/>
      <c r="AZ752" s="1684"/>
      <c r="BA752" s="1684"/>
      <c r="BB752" s="1684"/>
      <c r="BC752" s="1684"/>
      <c r="BD752" s="1684"/>
      <c r="BE752" s="1684"/>
      <c r="BF752" s="1684"/>
      <c r="BG752" s="1684"/>
      <c r="BH752" s="1684"/>
      <c r="BI752" s="1684"/>
      <c r="BJ752" s="1684"/>
      <c r="BK752" s="1684"/>
      <c r="BL752" s="1684"/>
      <c r="BM752" s="1684"/>
      <c r="BN752" s="1684"/>
      <c r="BO752" s="1684"/>
      <c r="BP752" s="1684"/>
      <c r="BQ752" s="1684"/>
      <c r="BR752" s="1684"/>
      <c r="BS752" s="1684"/>
      <c r="BT752" s="1684"/>
      <c r="BU752" s="1684"/>
      <c r="BV752" s="1684"/>
      <c r="BW752" s="1684"/>
      <c r="BX752" s="1684"/>
      <c r="BY752" s="1684"/>
      <c r="BZ752" s="1684"/>
      <c r="CA752" s="1684"/>
      <c r="CB752" s="1684"/>
      <c r="CC752" s="1684"/>
      <c r="CD752" s="1684"/>
      <c r="CE752" s="1684"/>
      <c r="CF752" s="1684"/>
      <c r="CG752" s="1684"/>
      <c r="CH752" s="1684"/>
      <c r="CI752" s="1684"/>
      <c r="CJ752" s="1684"/>
      <c r="CK752" s="1684"/>
      <c r="CL752" s="1684"/>
      <c r="CM752" s="1684"/>
      <c r="CN752" s="1684"/>
      <c r="CO752" s="1684"/>
    </row>
    <row r="753" spans="1:93" s="1391" customFormat="1" ht="15" x14ac:dyDescent="0.2">
      <c r="A753" s="1684"/>
      <c r="B753" s="1684"/>
      <c r="C753" s="4680"/>
      <c r="D753" s="4681"/>
      <c r="E753" s="4681"/>
      <c r="F753" s="4681"/>
      <c r="G753" s="4681"/>
      <c r="H753" s="4681"/>
      <c r="I753" s="4681"/>
      <c r="J753" s="4681"/>
      <c r="K753" s="4681"/>
      <c r="L753" s="4681"/>
      <c r="M753" s="4681"/>
      <c r="N753" s="4681"/>
      <c r="O753" s="4681"/>
      <c r="P753" s="4681"/>
      <c r="Q753" s="4682"/>
      <c r="R753"/>
      <c r="S753" s="1684"/>
      <c r="T753" s="1684"/>
      <c r="U753" s="1684"/>
      <c r="V753" s="1684"/>
      <c r="W753" s="1684"/>
      <c r="X753" s="1684"/>
      <c r="Y753" s="1684"/>
      <c r="Z753" s="1684"/>
      <c r="AA753" s="1684"/>
      <c r="AB753" s="1684"/>
      <c r="AC753" s="1684"/>
      <c r="AD753" s="1684"/>
      <c r="AE753" s="1684"/>
      <c r="AF753" s="1684"/>
      <c r="AG753" s="1684"/>
      <c r="AH753" s="1684"/>
      <c r="AI753" s="1684"/>
      <c r="AJ753" s="1684"/>
      <c r="AK753" s="1684"/>
      <c r="AL753" s="1684"/>
      <c r="AM753" s="1684"/>
      <c r="AN753" s="1684"/>
      <c r="AO753" s="1684"/>
      <c r="AP753" s="1684"/>
      <c r="AQ753" s="1684"/>
      <c r="AR753" s="1684"/>
      <c r="AS753" s="1684"/>
      <c r="AT753" s="1684"/>
      <c r="AU753" s="1684"/>
      <c r="AV753" s="1684"/>
      <c r="AW753" s="1684"/>
      <c r="AX753" s="1684"/>
      <c r="AY753" s="1684"/>
      <c r="AZ753" s="1684"/>
      <c r="BA753" s="1684"/>
      <c r="BB753" s="1684"/>
      <c r="BC753" s="1684"/>
      <c r="BD753" s="1684"/>
      <c r="BE753" s="1684"/>
      <c r="BF753" s="1684"/>
      <c r="BG753" s="1684"/>
      <c r="BH753" s="1684"/>
      <c r="BI753" s="1684"/>
      <c r="BJ753" s="1684"/>
      <c r="BK753" s="1684"/>
      <c r="BL753" s="1684"/>
      <c r="BM753" s="1684"/>
      <c r="BN753" s="1684"/>
      <c r="BO753" s="1684"/>
      <c r="BP753" s="1684"/>
      <c r="BQ753" s="1684"/>
      <c r="BR753" s="1684"/>
      <c r="BS753" s="1684"/>
      <c r="BT753" s="1684"/>
      <c r="BU753" s="1684"/>
      <c r="BV753" s="1684"/>
      <c r="BW753" s="1684"/>
      <c r="BX753" s="1684"/>
      <c r="BY753" s="1684"/>
      <c r="BZ753" s="1684"/>
      <c r="CA753" s="1684"/>
      <c r="CB753" s="1684"/>
      <c r="CC753" s="1684"/>
      <c r="CD753" s="1684"/>
      <c r="CE753" s="1684"/>
      <c r="CF753" s="1684"/>
      <c r="CG753" s="1684"/>
      <c r="CH753" s="1684"/>
      <c r="CI753" s="1684"/>
      <c r="CJ753" s="1684"/>
      <c r="CK753" s="1684"/>
      <c r="CL753" s="1684"/>
      <c r="CM753" s="1684"/>
      <c r="CN753" s="1684"/>
      <c r="CO753" s="1684"/>
    </row>
    <row r="754" spans="1:93" s="1391" customFormat="1" ht="15" x14ac:dyDescent="0.2">
      <c r="A754" s="1684"/>
      <c r="B754" s="1684"/>
      <c r="C754" s="2014"/>
      <c r="D754" s="2015"/>
      <c r="E754" s="2015">
        <v>1</v>
      </c>
      <c r="F754" s="2015">
        <v>2</v>
      </c>
      <c r="G754" s="2015">
        <v>3</v>
      </c>
      <c r="H754" s="2015">
        <v>4</v>
      </c>
      <c r="I754" s="2015">
        <v>5</v>
      </c>
      <c r="J754" s="2015">
        <v>6</v>
      </c>
      <c r="K754" s="2015">
        <v>7</v>
      </c>
      <c r="L754" s="2015">
        <v>8</v>
      </c>
      <c r="M754" s="2015">
        <v>9</v>
      </c>
      <c r="N754" s="2015">
        <v>10</v>
      </c>
      <c r="O754" s="2015">
        <v>11</v>
      </c>
      <c r="P754" s="2015">
        <v>12</v>
      </c>
      <c r="Q754" s="2016"/>
      <c r="R754"/>
      <c r="S754" s="1684"/>
      <c r="T754" s="1684"/>
      <c r="U754" s="1684"/>
      <c r="V754" s="1684"/>
      <c r="W754" s="1684"/>
      <c r="X754" s="1684"/>
      <c r="Y754" s="1684"/>
      <c r="Z754" s="1684"/>
      <c r="AA754" s="1684"/>
      <c r="AB754" s="1684"/>
      <c r="AC754" s="1684"/>
      <c r="AD754" s="1684"/>
      <c r="AE754" s="1684"/>
      <c r="AF754" s="1684"/>
      <c r="AG754" s="1684"/>
      <c r="AH754" s="1684"/>
      <c r="AI754" s="1684"/>
      <c r="AJ754" s="1684"/>
      <c r="AK754" s="1684"/>
      <c r="AL754" s="1684"/>
      <c r="AM754" s="1684"/>
      <c r="AN754" s="1684"/>
      <c r="AO754" s="1684"/>
      <c r="AP754" s="1684"/>
      <c r="AQ754" s="1684"/>
      <c r="AR754" s="1684"/>
      <c r="AS754" s="1684"/>
      <c r="AT754" s="1684"/>
      <c r="AU754" s="1684"/>
      <c r="AV754" s="1684"/>
      <c r="AW754" s="1684"/>
      <c r="AX754" s="1684"/>
      <c r="AY754" s="1684"/>
      <c r="AZ754" s="1684"/>
      <c r="BA754" s="1684"/>
      <c r="BB754" s="1684"/>
      <c r="BC754" s="1684"/>
      <c r="BD754" s="1684"/>
      <c r="BE754" s="1684"/>
      <c r="BF754" s="1684"/>
      <c r="BG754" s="1684"/>
      <c r="BH754" s="1684"/>
      <c r="BI754" s="1684"/>
      <c r="BJ754" s="1684"/>
      <c r="BK754" s="1684"/>
      <c r="BL754" s="1684"/>
      <c r="BM754" s="1684"/>
      <c r="BN754" s="1684"/>
      <c r="BO754" s="1684"/>
      <c r="BP754" s="1684"/>
      <c r="BQ754" s="1684"/>
      <c r="BR754" s="1684"/>
      <c r="BS754" s="1684"/>
      <c r="BT754" s="1684"/>
      <c r="BU754" s="1684"/>
      <c r="BV754" s="1684"/>
      <c r="BW754" s="1684"/>
      <c r="BX754" s="1684"/>
      <c r="BY754" s="1684"/>
      <c r="BZ754" s="1684"/>
      <c r="CA754" s="1684"/>
      <c r="CB754" s="1684"/>
      <c r="CC754" s="1684"/>
      <c r="CD754" s="1684"/>
      <c r="CE754" s="1684"/>
      <c r="CF754" s="1684"/>
      <c r="CG754" s="1684"/>
      <c r="CH754" s="1684"/>
      <c r="CI754" s="1684"/>
      <c r="CJ754" s="1684"/>
      <c r="CK754" s="1684"/>
      <c r="CL754" s="1684"/>
      <c r="CM754" s="1684"/>
      <c r="CN754" s="1684"/>
      <c r="CO754" s="1684"/>
    </row>
    <row r="755" spans="1:93" s="1391" customFormat="1" ht="15" x14ac:dyDescent="0.2">
      <c r="A755" s="1684"/>
      <c r="B755" s="1684"/>
      <c r="C755" s="2013">
        <v>8</v>
      </c>
      <c r="D755" s="5">
        <v>5.9610000000000003</v>
      </c>
      <c r="E755" s="5">
        <v>152</v>
      </c>
      <c r="F755" s="5">
        <v>168</v>
      </c>
      <c r="G755" s="5">
        <v>184</v>
      </c>
      <c r="H755" s="5">
        <v>198</v>
      </c>
      <c r="I755" s="5">
        <v>213</v>
      </c>
      <c r="J755" s="5">
        <v>228</v>
      </c>
      <c r="K755" s="5">
        <v>242</v>
      </c>
      <c r="L755" s="5">
        <v>258</v>
      </c>
      <c r="M755" s="5">
        <v>271</v>
      </c>
      <c r="N755" s="5">
        <v>285</v>
      </c>
      <c r="O755" s="5">
        <v>299</v>
      </c>
      <c r="P755" s="5">
        <v>313</v>
      </c>
      <c r="Q755" s="1160">
        <v>56</v>
      </c>
      <c r="R755"/>
      <c r="S755" s="1684"/>
      <c r="T755" s="1684"/>
      <c r="U755" s="1684"/>
      <c r="V755" s="1684"/>
      <c r="W755" s="1684"/>
      <c r="X755" s="1684"/>
      <c r="Y755" s="1684"/>
      <c r="Z755" s="1684"/>
      <c r="AA755" s="1684"/>
      <c r="AB755" s="1684"/>
      <c r="AC755" s="1684"/>
      <c r="AD755" s="1684"/>
      <c r="AE755" s="1684"/>
      <c r="AF755" s="1684"/>
      <c r="AG755" s="1684"/>
      <c r="AH755" s="1684"/>
      <c r="AI755" s="1684"/>
      <c r="AJ755" s="1684"/>
      <c r="AK755" s="1684"/>
      <c r="AL755" s="1684"/>
      <c r="AM755" s="1684"/>
      <c r="AN755" s="1684"/>
      <c r="AO755" s="1684"/>
      <c r="AP755" s="1684"/>
      <c r="AQ755" s="1684"/>
      <c r="AR755" s="1684"/>
      <c r="AS755" s="1684"/>
      <c r="AT755" s="1684"/>
      <c r="AU755" s="1684"/>
      <c r="AV755" s="1684"/>
      <c r="AW755" s="1684"/>
      <c r="AX755" s="1684"/>
      <c r="AY755" s="1684"/>
      <c r="AZ755" s="1684"/>
      <c r="BA755" s="1684"/>
      <c r="BB755" s="1684"/>
      <c r="BC755" s="1684"/>
      <c r="BD755" s="1684"/>
      <c r="BE755" s="1684"/>
      <c r="BF755" s="1684"/>
      <c r="BG755" s="1684"/>
      <c r="BH755" s="1684"/>
      <c r="BI755" s="1684"/>
      <c r="BJ755" s="1684"/>
      <c r="BK755" s="1684"/>
      <c r="BL755" s="1684"/>
      <c r="BM755" s="1684"/>
      <c r="BN755" s="1684"/>
      <c r="BO755" s="1684"/>
      <c r="BP755" s="1684"/>
      <c r="BQ755" s="1684"/>
      <c r="BR755" s="1684"/>
      <c r="BS755" s="1684"/>
      <c r="BT755" s="1684"/>
      <c r="BU755" s="1684"/>
      <c r="BV755" s="1684"/>
      <c r="BW755" s="1684"/>
      <c r="BX755" s="1684"/>
      <c r="BY755" s="1684"/>
      <c r="BZ755" s="1684"/>
      <c r="CA755" s="1684"/>
      <c r="CB755" s="1684"/>
      <c r="CC755" s="1684"/>
      <c r="CD755" s="1684"/>
      <c r="CE755" s="1684"/>
      <c r="CF755" s="1684"/>
      <c r="CG755" s="1684"/>
      <c r="CH755" s="1684"/>
      <c r="CI755" s="1684"/>
      <c r="CJ755" s="1684"/>
      <c r="CK755" s="1684"/>
      <c r="CL755" s="1684"/>
      <c r="CM755" s="1684"/>
      <c r="CN755" s="1684"/>
      <c r="CO755" s="1684"/>
    </row>
    <row r="756" spans="1:93" s="1391" customFormat="1" ht="15" x14ac:dyDescent="0.2">
      <c r="A756" s="1684"/>
      <c r="B756" s="1684"/>
      <c r="C756" s="2013">
        <v>9</v>
      </c>
      <c r="D756" s="5">
        <v>6.3719999999999999</v>
      </c>
      <c r="E756" s="5">
        <v>168</v>
      </c>
      <c r="F756" s="5">
        <v>186</v>
      </c>
      <c r="G756" s="5">
        <v>202</v>
      </c>
      <c r="H756" s="5">
        <v>219</v>
      </c>
      <c r="I756" s="5">
        <v>235</v>
      </c>
      <c r="J756" s="5">
        <v>251</v>
      </c>
      <c r="K756" s="5">
        <v>267</v>
      </c>
      <c r="L756" s="5">
        <v>283</v>
      </c>
      <c r="M756" s="5">
        <v>298</v>
      </c>
      <c r="N756" s="5">
        <v>313</v>
      </c>
      <c r="O756" s="5">
        <v>328</v>
      </c>
      <c r="P756" s="5">
        <v>343</v>
      </c>
      <c r="Q756" s="1160">
        <v>57</v>
      </c>
      <c r="R756"/>
      <c r="S756" s="1684"/>
      <c r="T756" s="1684"/>
      <c r="U756" s="1684"/>
      <c r="V756" s="1684"/>
      <c r="W756" s="1684"/>
      <c r="X756" s="1684"/>
      <c r="Y756" s="1684"/>
      <c r="Z756" s="1684"/>
      <c r="AA756" s="1684"/>
      <c r="AB756" s="1684"/>
      <c r="AC756" s="1684"/>
      <c r="AD756" s="1684"/>
      <c r="AE756" s="1684"/>
      <c r="AF756" s="1684"/>
      <c r="AG756" s="1684"/>
      <c r="AH756" s="1684"/>
      <c r="AI756" s="1684"/>
      <c r="AJ756" s="1684"/>
      <c r="AK756" s="1684"/>
      <c r="AL756" s="1684"/>
      <c r="AM756" s="1684"/>
      <c r="AN756" s="1684"/>
      <c r="AO756" s="1684"/>
      <c r="AP756" s="1684"/>
      <c r="AQ756" s="1684"/>
      <c r="AR756" s="1684"/>
      <c r="AS756" s="1684"/>
      <c r="AT756" s="1684"/>
      <c r="AU756" s="1684"/>
      <c r="AV756" s="1684"/>
      <c r="AW756" s="1684"/>
      <c r="AX756" s="1684"/>
      <c r="AY756" s="1684"/>
      <c r="AZ756" s="1684"/>
      <c r="BA756" s="1684"/>
      <c r="BB756" s="1684"/>
      <c r="BC756" s="1684"/>
      <c r="BD756" s="1684"/>
      <c r="BE756" s="1684"/>
      <c r="BF756" s="1684"/>
      <c r="BG756" s="1684"/>
      <c r="BH756" s="1684"/>
      <c r="BI756" s="1684"/>
      <c r="BJ756" s="1684"/>
      <c r="BK756" s="1684"/>
      <c r="BL756" s="1684"/>
      <c r="BM756" s="1684"/>
      <c r="BN756" s="1684"/>
      <c r="BO756" s="1684"/>
      <c r="BP756" s="1684"/>
      <c r="BQ756" s="1684"/>
      <c r="BR756" s="1684"/>
      <c r="BS756" s="1684"/>
      <c r="BT756" s="1684"/>
      <c r="BU756" s="1684"/>
      <c r="BV756" s="1684"/>
      <c r="BW756" s="1684"/>
      <c r="BX756" s="1684"/>
      <c r="BY756" s="1684"/>
      <c r="BZ756" s="1684"/>
      <c r="CA756" s="1684"/>
      <c r="CB756" s="1684"/>
      <c r="CC756" s="1684"/>
      <c r="CD756" s="1684"/>
      <c r="CE756" s="1684"/>
      <c r="CF756" s="1684"/>
      <c r="CG756" s="1684"/>
      <c r="CH756" s="1684"/>
      <c r="CI756" s="1684"/>
      <c r="CJ756" s="1684"/>
      <c r="CK756" s="1684"/>
      <c r="CL756" s="1684"/>
      <c r="CM756" s="1684"/>
      <c r="CN756" s="1684"/>
      <c r="CO756" s="1684"/>
    </row>
    <row r="757" spans="1:93" s="1391" customFormat="1" ht="15" x14ac:dyDescent="0.2">
      <c r="A757" s="1684"/>
      <c r="B757" s="1684"/>
      <c r="C757" s="2013">
        <v>10</v>
      </c>
      <c r="D757" s="5">
        <v>6.8079999999999998</v>
      </c>
      <c r="E757" s="5">
        <v>184</v>
      </c>
      <c r="F757" s="5">
        <v>204</v>
      </c>
      <c r="G757" s="5">
        <v>222</v>
      </c>
      <c r="H757" s="5">
        <v>239</v>
      </c>
      <c r="I757" s="5">
        <v>257</v>
      </c>
      <c r="J757" s="5">
        <v>274</v>
      </c>
      <c r="K757" s="5">
        <v>292</v>
      </c>
      <c r="L757" s="5">
        <v>309</v>
      </c>
      <c r="M757" s="5">
        <v>325</v>
      </c>
      <c r="N757" s="5">
        <v>342</v>
      </c>
      <c r="O757" s="5">
        <v>359</v>
      </c>
      <c r="P757" s="5">
        <v>375</v>
      </c>
      <c r="Q757" s="1160">
        <v>58</v>
      </c>
      <c r="R757"/>
      <c r="S757" s="1684"/>
      <c r="T757" s="1684"/>
      <c r="U757" s="1684"/>
      <c r="V757" s="1684"/>
      <c r="W757" s="1684"/>
      <c r="X757" s="1684"/>
      <c r="Y757" s="1684"/>
      <c r="Z757" s="1684"/>
      <c r="AA757" s="1684"/>
      <c r="AB757" s="1684"/>
      <c r="AC757" s="1684"/>
      <c r="AD757" s="1684"/>
      <c r="AE757" s="1684"/>
      <c r="AF757" s="1684"/>
      <c r="AG757" s="1684"/>
      <c r="AH757" s="1684"/>
      <c r="AI757" s="1684"/>
      <c r="AJ757" s="1684"/>
      <c r="AK757" s="1684"/>
      <c r="AL757" s="1684"/>
      <c r="AM757" s="1684"/>
      <c r="AN757" s="1684"/>
      <c r="AO757" s="1684"/>
      <c r="AP757" s="1684"/>
      <c r="AQ757" s="1684"/>
      <c r="AR757" s="1684"/>
      <c r="AS757" s="1684"/>
      <c r="AT757" s="1684"/>
      <c r="AU757" s="1684"/>
      <c r="AV757" s="1684"/>
      <c r="AW757" s="1684"/>
      <c r="AX757" s="1684"/>
      <c r="AY757" s="1684"/>
      <c r="AZ757" s="1684"/>
      <c r="BA757" s="1684"/>
      <c r="BB757" s="1684"/>
      <c r="BC757" s="1684"/>
      <c r="BD757" s="1684"/>
      <c r="BE757" s="1684"/>
      <c r="BF757" s="1684"/>
      <c r="BG757" s="1684"/>
      <c r="BH757" s="1684"/>
      <c r="BI757" s="1684"/>
      <c r="BJ757" s="1684"/>
      <c r="BK757" s="1684"/>
      <c r="BL757" s="1684"/>
      <c r="BM757" s="1684"/>
      <c r="BN757" s="1684"/>
      <c r="BO757" s="1684"/>
      <c r="BP757" s="1684"/>
      <c r="BQ757" s="1684"/>
      <c r="BR757" s="1684"/>
      <c r="BS757" s="1684"/>
      <c r="BT757" s="1684"/>
      <c r="BU757" s="1684"/>
      <c r="BV757" s="1684"/>
      <c r="BW757" s="1684"/>
      <c r="BX757" s="1684"/>
      <c r="BY757" s="1684"/>
      <c r="BZ757" s="1684"/>
      <c r="CA757" s="1684"/>
      <c r="CB757" s="1684"/>
      <c r="CC757" s="1684"/>
      <c r="CD757" s="1684"/>
      <c r="CE757" s="1684"/>
      <c r="CF757" s="1684"/>
      <c r="CG757" s="1684"/>
      <c r="CH757" s="1684"/>
      <c r="CI757" s="1684"/>
      <c r="CJ757" s="1684"/>
      <c r="CK757" s="1684"/>
      <c r="CL757" s="1684"/>
      <c r="CM757" s="1684"/>
      <c r="CN757" s="1684"/>
      <c r="CO757" s="1684"/>
    </row>
    <row r="758" spans="1:93" s="1391" customFormat="1" ht="15" x14ac:dyDescent="0.2">
      <c r="A758" s="1684"/>
      <c r="B758" s="1684"/>
      <c r="C758" s="2013">
        <v>11</v>
      </c>
      <c r="D758" s="5">
        <v>7.3019999999999996</v>
      </c>
      <c r="E758" s="5">
        <v>203</v>
      </c>
      <c r="F758" s="5">
        <v>224</v>
      </c>
      <c r="G758" s="5">
        <v>243</v>
      </c>
      <c r="H758" s="5">
        <v>263</v>
      </c>
      <c r="I758" s="5">
        <v>282</v>
      </c>
      <c r="J758" s="5">
        <v>301</v>
      </c>
      <c r="K758" s="5">
        <v>319</v>
      </c>
      <c r="L758" s="5">
        <v>339</v>
      </c>
      <c r="M758" s="5">
        <v>356</v>
      </c>
      <c r="N758" s="5">
        <v>374</v>
      </c>
      <c r="O758" s="5">
        <v>392</v>
      </c>
      <c r="P758" s="5">
        <v>409</v>
      </c>
      <c r="Q758" s="1160">
        <v>59</v>
      </c>
      <c r="R758"/>
      <c r="S758" s="1684"/>
      <c r="T758" s="1684"/>
      <c r="U758" s="1684"/>
      <c r="V758" s="1684"/>
      <c r="W758" s="1684"/>
      <c r="X758" s="1684"/>
      <c r="Y758" s="1684"/>
      <c r="Z758" s="1684"/>
      <c r="AA758" s="1684"/>
      <c r="AB758" s="1684"/>
      <c r="AC758" s="1684"/>
      <c r="AD758" s="1684"/>
      <c r="AE758" s="1684"/>
      <c r="AF758" s="1684"/>
      <c r="AG758" s="1684"/>
      <c r="AH758" s="1684"/>
      <c r="AI758" s="1684"/>
      <c r="AJ758" s="1684"/>
      <c r="AK758" s="1684"/>
      <c r="AL758" s="1684"/>
      <c r="AM758" s="1684"/>
      <c r="AN758" s="1684"/>
      <c r="AO758" s="1684"/>
      <c r="AP758" s="1684"/>
      <c r="AQ758" s="1684"/>
      <c r="AR758" s="1684"/>
      <c r="AS758" s="1684"/>
      <c r="AT758" s="1684"/>
      <c r="AU758" s="1684"/>
      <c r="AV758" s="1684"/>
      <c r="AW758" s="1684"/>
      <c r="AX758" s="1684"/>
      <c r="AY758" s="1684"/>
      <c r="AZ758" s="1684"/>
      <c r="BA758" s="1684"/>
      <c r="BB758" s="1684"/>
      <c r="BC758" s="1684"/>
      <c r="BD758" s="1684"/>
      <c r="BE758" s="1684"/>
      <c r="BF758" s="1684"/>
      <c r="BG758" s="1684"/>
      <c r="BH758" s="1684"/>
      <c r="BI758" s="1684"/>
      <c r="BJ758" s="1684"/>
      <c r="BK758" s="1684"/>
      <c r="BL758" s="1684"/>
      <c r="BM758" s="1684"/>
      <c r="BN758" s="1684"/>
      <c r="BO758" s="1684"/>
      <c r="BP758" s="1684"/>
      <c r="BQ758" s="1684"/>
      <c r="BR758" s="1684"/>
      <c r="BS758" s="1684"/>
      <c r="BT758" s="1684"/>
      <c r="BU758" s="1684"/>
      <c r="BV758" s="1684"/>
      <c r="BW758" s="1684"/>
      <c r="BX758" s="1684"/>
      <c r="BY758" s="1684"/>
      <c r="BZ758" s="1684"/>
      <c r="CA758" s="1684"/>
      <c r="CB758" s="1684"/>
      <c r="CC758" s="1684"/>
      <c r="CD758" s="1684"/>
      <c r="CE758" s="1684"/>
      <c r="CF758" s="1684"/>
      <c r="CG758" s="1684"/>
      <c r="CH758" s="1684"/>
      <c r="CI758" s="1684"/>
      <c r="CJ758" s="1684"/>
      <c r="CK758" s="1684"/>
      <c r="CL758" s="1684"/>
      <c r="CM758" s="1684"/>
      <c r="CN758" s="1684"/>
      <c r="CO758" s="1684"/>
    </row>
    <row r="759" spans="1:93" s="1391" customFormat="1" ht="15" x14ac:dyDescent="0.2">
      <c r="A759" s="1684"/>
      <c r="B759" s="1684"/>
      <c r="C759" s="2013">
        <v>12</v>
      </c>
      <c r="D759" s="5">
        <v>7.8230000000000004</v>
      </c>
      <c r="E759" s="5">
        <v>222</v>
      </c>
      <c r="F759" s="5">
        <v>244</v>
      </c>
      <c r="G759" s="5">
        <v>266</v>
      </c>
      <c r="H759" s="5">
        <v>287</v>
      </c>
      <c r="I759" s="5">
        <v>307</v>
      </c>
      <c r="J759" s="5">
        <v>328</v>
      </c>
      <c r="K759" s="5">
        <v>348</v>
      </c>
      <c r="L759" s="5">
        <v>369</v>
      </c>
      <c r="M759" s="5">
        <v>387</v>
      </c>
      <c r="N759" s="5">
        <v>407</v>
      </c>
      <c r="O759" s="5">
        <v>426</v>
      </c>
      <c r="P759" s="5">
        <v>445</v>
      </c>
      <c r="Q759" s="1160">
        <v>60</v>
      </c>
      <c r="R759"/>
      <c r="S759" s="1684"/>
      <c r="T759" s="1684"/>
      <c r="U759" s="1684"/>
      <c r="V759" s="1684"/>
      <c r="W759" s="1684"/>
      <c r="X759" s="1684"/>
      <c r="Y759" s="1684"/>
      <c r="Z759" s="1684"/>
      <c r="AA759" s="1684"/>
      <c r="AB759" s="1684"/>
      <c r="AC759" s="1684"/>
      <c r="AD759" s="1684"/>
      <c r="AE759" s="1684"/>
      <c r="AF759" s="1684"/>
      <c r="AG759" s="1684"/>
      <c r="AH759" s="1684"/>
      <c r="AI759" s="1684"/>
      <c r="AJ759" s="1684"/>
      <c r="AK759" s="1684"/>
      <c r="AL759" s="1684"/>
      <c r="AM759" s="1684"/>
      <c r="AN759" s="1684"/>
      <c r="AO759" s="1684"/>
      <c r="AP759" s="1684"/>
      <c r="AQ759" s="1684"/>
      <c r="AR759" s="1684"/>
      <c r="AS759" s="1684"/>
      <c r="AT759" s="1684"/>
      <c r="AU759" s="1684"/>
      <c r="AV759" s="1684"/>
      <c r="AW759" s="1684"/>
      <c r="AX759" s="1684"/>
      <c r="AY759" s="1684"/>
      <c r="AZ759" s="1684"/>
      <c r="BA759" s="1684"/>
      <c r="BB759" s="1684"/>
      <c r="BC759" s="1684"/>
      <c r="BD759" s="1684"/>
      <c r="BE759" s="1684"/>
      <c r="BF759" s="1684"/>
      <c r="BG759" s="1684"/>
      <c r="BH759" s="1684"/>
      <c r="BI759" s="1684"/>
      <c r="BJ759" s="1684"/>
      <c r="BK759" s="1684"/>
      <c r="BL759" s="1684"/>
      <c r="BM759" s="1684"/>
      <c r="BN759" s="1684"/>
      <c r="BO759" s="1684"/>
      <c r="BP759" s="1684"/>
      <c r="BQ759" s="1684"/>
      <c r="BR759" s="1684"/>
      <c r="BS759" s="1684"/>
      <c r="BT759" s="1684"/>
      <c r="BU759" s="1684"/>
      <c r="BV759" s="1684"/>
      <c r="BW759" s="1684"/>
      <c r="BX759" s="1684"/>
      <c r="BY759" s="1684"/>
      <c r="BZ759" s="1684"/>
      <c r="CA759" s="1684"/>
      <c r="CB759" s="1684"/>
      <c r="CC759" s="1684"/>
      <c r="CD759" s="1684"/>
      <c r="CE759" s="1684"/>
      <c r="CF759" s="1684"/>
      <c r="CG759" s="1684"/>
      <c r="CH759" s="1684"/>
      <c r="CI759" s="1684"/>
      <c r="CJ759" s="1684"/>
      <c r="CK759" s="1684"/>
      <c r="CL759" s="1684"/>
      <c r="CM759" s="1684"/>
      <c r="CN759" s="1684"/>
      <c r="CO759" s="1684"/>
    </row>
    <row r="760" spans="1:93" s="1391" customFormat="1" ht="15" x14ac:dyDescent="0.2">
      <c r="A760" s="1684"/>
      <c r="B760" s="1684"/>
      <c r="C760" s="2013">
        <v>13</v>
      </c>
      <c r="D760" s="5">
        <v>8.36</v>
      </c>
      <c r="E760" s="5">
        <v>241</v>
      </c>
      <c r="F760" s="5">
        <v>265</v>
      </c>
      <c r="G760" s="5">
        <v>288</v>
      </c>
      <c r="H760" s="5">
        <v>311</v>
      </c>
      <c r="I760" s="5">
        <v>333</v>
      </c>
      <c r="J760" s="5">
        <v>355</v>
      </c>
      <c r="K760" s="5">
        <v>377</v>
      </c>
      <c r="L760" s="5">
        <v>399</v>
      </c>
      <c r="M760" s="5">
        <v>419</v>
      </c>
      <c r="N760" s="5">
        <v>440</v>
      </c>
      <c r="O760" s="5">
        <v>460</v>
      </c>
      <c r="P760" s="5">
        <v>480</v>
      </c>
      <c r="Q760" s="1160">
        <v>61</v>
      </c>
      <c r="R760"/>
      <c r="S760" s="1684"/>
      <c r="T760" s="1684"/>
      <c r="U760" s="1684"/>
      <c r="V760" s="1684"/>
      <c r="W760" s="1684"/>
      <c r="X760" s="1684"/>
      <c r="Y760" s="1684"/>
      <c r="Z760" s="1684"/>
      <c r="AA760" s="1684"/>
      <c r="AB760" s="1684"/>
      <c r="AC760" s="1684"/>
      <c r="AD760" s="1684"/>
      <c r="AE760" s="1684"/>
      <c r="AF760" s="1684"/>
      <c r="AG760" s="1684"/>
      <c r="AH760" s="1684"/>
      <c r="AI760" s="1684"/>
      <c r="AJ760" s="1684"/>
      <c r="AK760" s="1684"/>
      <c r="AL760" s="1684"/>
      <c r="AM760" s="1684"/>
      <c r="AN760" s="1684"/>
      <c r="AO760" s="1684"/>
      <c r="AP760" s="1684"/>
      <c r="AQ760" s="1684"/>
      <c r="AR760" s="1684"/>
      <c r="AS760" s="1684"/>
      <c r="AT760" s="1684"/>
      <c r="AU760" s="1684"/>
      <c r="AV760" s="1684"/>
      <c r="AW760" s="1684"/>
      <c r="AX760" s="1684"/>
      <c r="AY760" s="1684"/>
      <c r="AZ760" s="1684"/>
      <c r="BA760" s="1684"/>
      <c r="BB760" s="1684"/>
      <c r="BC760" s="1684"/>
      <c r="BD760" s="1684"/>
      <c r="BE760" s="1684"/>
      <c r="BF760" s="1684"/>
      <c r="BG760" s="1684"/>
      <c r="BH760" s="1684"/>
      <c r="BI760" s="1684"/>
      <c r="BJ760" s="1684"/>
      <c r="BK760" s="1684"/>
      <c r="BL760" s="1684"/>
      <c r="BM760" s="1684"/>
      <c r="BN760" s="1684"/>
      <c r="BO760" s="1684"/>
      <c r="BP760" s="1684"/>
      <c r="BQ760" s="1684"/>
      <c r="BR760" s="1684"/>
      <c r="BS760" s="1684"/>
      <c r="BT760" s="1684"/>
      <c r="BU760" s="1684"/>
      <c r="BV760" s="1684"/>
      <c r="BW760" s="1684"/>
      <c r="BX760" s="1684"/>
      <c r="BY760" s="1684"/>
      <c r="BZ760" s="1684"/>
      <c r="CA760" s="1684"/>
      <c r="CB760" s="1684"/>
      <c r="CC760" s="1684"/>
      <c r="CD760" s="1684"/>
      <c r="CE760" s="1684"/>
      <c r="CF760" s="1684"/>
      <c r="CG760" s="1684"/>
      <c r="CH760" s="1684"/>
      <c r="CI760" s="1684"/>
      <c r="CJ760" s="1684"/>
      <c r="CK760" s="1684"/>
      <c r="CL760" s="1684"/>
      <c r="CM760" s="1684"/>
      <c r="CN760" s="1684"/>
      <c r="CO760" s="1684"/>
    </row>
    <row r="761" spans="1:93" s="1391" customFormat="1" ht="15" x14ac:dyDescent="0.2">
      <c r="A761" s="1684"/>
      <c r="B761" s="1684"/>
      <c r="C761" s="2013">
        <v>14</v>
      </c>
      <c r="D761" s="5">
        <v>8.9329999999999998</v>
      </c>
      <c r="E761" s="5">
        <v>261</v>
      </c>
      <c r="F761" s="5">
        <v>287</v>
      </c>
      <c r="G761" s="5">
        <v>312</v>
      </c>
      <c r="H761" s="5">
        <v>336</v>
      </c>
      <c r="I761" s="5">
        <v>360</v>
      </c>
      <c r="J761" s="5">
        <v>383</v>
      </c>
      <c r="K761" s="5">
        <v>406</v>
      </c>
      <c r="L761" s="5">
        <v>430</v>
      </c>
      <c r="M761" s="5">
        <v>452</v>
      </c>
      <c r="N761" s="5">
        <v>474</v>
      </c>
      <c r="O761" s="5">
        <v>496</v>
      </c>
      <c r="P761" s="5">
        <v>517</v>
      </c>
      <c r="Q761" s="1160">
        <v>62</v>
      </c>
      <c r="R761"/>
      <c r="S761" s="1684"/>
      <c r="T761" s="1684"/>
      <c r="U761" s="1684"/>
      <c r="V761" s="1684"/>
      <c r="W761" s="1684"/>
      <c r="X761" s="1684"/>
      <c r="Y761" s="1684"/>
      <c r="Z761" s="1684"/>
      <c r="AA761" s="1684"/>
      <c r="AB761" s="1684"/>
      <c r="AC761" s="1684"/>
      <c r="AD761" s="1684"/>
      <c r="AE761" s="1684"/>
      <c r="AF761" s="1684"/>
      <c r="AG761" s="1684"/>
      <c r="AH761" s="1684"/>
      <c r="AI761" s="1684"/>
      <c r="AJ761" s="1684"/>
      <c r="AK761" s="1684"/>
      <c r="AL761" s="1684"/>
      <c r="AM761" s="1684"/>
      <c r="AN761" s="1684"/>
      <c r="AO761" s="1684"/>
      <c r="AP761" s="1684"/>
      <c r="AQ761" s="1684"/>
      <c r="AR761" s="1684"/>
      <c r="AS761" s="1684"/>
      <c r="AT761" s="1684"/>
      <c r="AU761" s="1684"/>
      <c r="AV761" s="1684"/>
      <c r="AW761" s="1684"/>
      <c r="AX761" s="1684"/>
      <c r="AY761" s="1684"/>
      <c r="AZ761" s="1684"/>
      <c r="BA761" s="1684"/>
      <c r="BB761" s="1684"/>
      <c r="BC761" s="1684"/>
      <c r="BD761" s="1684"/>
      <c r="BE761" s="1684"/>
      <c r="BF761" s="1684"/>
      <c r="BG761" s="1684"/>
      <c r="BH761" s="1684"/>
      <c r="BI761" s="1684"/>
      <c r="BJ761" s="1684"/>
      <c r="BK761" s="1684"/>
      <c r="BL761" s="1684"/>
      <c r="BM761" s="1684"/>
      <c r="BN761" s="1684"/>
      <c r="BO761" s="1684"/>
      <c r="BP761" s="1684"/>
      <c r="BQ761" s="1684"/>
      <c r="BR761" s="1684"/>
      <c r="BS761" s="1684"/>
      <c r="BT761" s="1684"/>
      <c r="BU761" s="1684"/>
      <c r="BV761" s="1684"/>
      <c r="BW761" s="1684"/>
      <c r="BX761" s="1684"/>
      <c r="BY761" s="1684"/>
      <c r="BZ761" s="1684"/>
      <c r="CA761" s="1684"/>
      <c r="CB761" s="1684"/>
      <c r="CC761" s="1684"/>
      <c r="CD761" s="1684"/>
      <c r="CE761" s="1684"/>
      <c r="CF761" s="1684"/>
      <c r="CG761" s="1684"/>
      <c r="CH761" s="1684"/>
      <c r="CI761" s="1684"/>
      <c r="CJ761" s="1684"/>
      <c r="CK761" s="1684"/>
      <c r="CL761" s="1684"/>
      <c r="CM761" s="1684"/>
      <c r="CN761" s="1684"/>
      <c r="CO761" s="1684"/>
    </row>
    <row r="762" spans="1:93" s="1391" customFormat="1" ht="15" x14ac:dyDescent="0.2">
      <c r="A762" s="1684"/>
      <c r="B762" s="1684"/>
      <c r="C762" s="2013">
        <v>15</v>
      </c>
      <c r="D762" s="5">
        <v>9.5289999999999999</v>
      </c>
      <c r="E762" s="5">
        <v>281</v>
      </c>
      <c r="F762" s="5">
        <v>309</v>
      </c>
      <c r="G762" s="5">
        <v>336</v>
      </c>
      <c r="H762" s="5">
        <v>362</v>
      </c>
      <c r="I762" s="5">
        <v>387</v>
      </c>
      <c r="J762" s="5">
        <v>412</v>
      </c>
      <c r="K762" s="5">
        <v>437</v>
      </c>
      <c r="L762" s="5">
        <v>462</v>
      </c>
      <c r="M762" s="5">
        <v>485</v>
      </c>
      <c r="N762" s="5">
        <v>508</v>
      </c>
      <c r="O762" s="5">
        <v>531</v>
      </c>
      <c r="P762" s="5">
        <v>554</v>
      </c>
      <c r="Q762" s="1160">
        <v>63</v>
      </c>
      <c r="R762"/>
      <c r="S762" s="1684"/>
      <c r="T762" s="1684"/>
      <c r="U762" s="1684"/>
      <c r="V762" s="1684"/>
      <c r="W762" s="1684"/>
      <c r="X762" s="1684"/>
      <c r="Y762" s="1684"/>
      <c r="Z762" s="1684"/>
      <c r="AA762" s="1684"/>
      <c r="AB762" s="1684"/>
      <c r="AC762" s="1684"/>
      <c r="AD762" s="1684"/>
      <c r="AE762" s="1684"/>
      <c r="AF762" s="1684"/>
      <c r="AG762" s="1684"/>
      <c r="AH762" s="1684"/>
      <c r="AI762" s="1684"/>
      <c r="AJ762" s="1684"/>
      <c r="AK762" s="1684"/>
      <c r="AL762" s="1684"/>
      <c r="AM762" s="1684"/>
      <c r="AN762" s="1684"/>
      <c r="AO762" s="1684"/>
      <c r="AP762" s="1684"/>
      <c r="AQ762" s="1684"/>
      <c r="AR762" s="1684"/>
      <c r="AS762" s="1684"/>
      <c r="AT762" s="1684"/>
      <c r="AU762" s="1684"/>
      <c r="AV762" s="1684"/>
      <c r="AW762" s="1684"/>
      <c r="AX762" s="1684"/>
      <c r="AY762" s="1684"/>
      <c r="AZ762" s="1684"/>
      <c r="BA762" s="1684"/>
      <c r="BB762" s="1684"/>
      <c r="BC762" s="1684"/>
      <c r="BD762" s="1684"/>
      <c r="BE762" s="1684"/>
      <c r="BF762" s="1684"/>
      <c r="BG762" s="1684"/>
      <c r="BH762" s="1684"/>
      <c r="BI762" s="1684"/>
      <c r="BJ762" s="1684"/>
      <c r="BK762" s="1684"/>
      <c r="BL762" s="1684"/>
      <c r="BM762" s="1684"/>
      <c r="BN762" s="1684"/>
      <c r="BO762" s="1684"/>
      <c r="BP762" s="1684"/>
      <c r="BQ762" s="1684"/>
      <c r="BR762" s="1684"/>
      <c r="BS762" s="1684"/>
      <c r="BT762" s="1684"/>
      <c r="BU762" s="1684"/>
      <c r="BV762" s="1684"/>
      <c r="BW762" s="1684"/>
      <c r="BX762" s="1684"/>
      <c r="BY762" s="1684"/>
      <c r="BZ762" s="1684"/>
      <c r="CA762" s="1684"/>
      <c r="CB762" s="1684"/>
      <c r="CC762" s="1684"/>
      <c r="CD762" s="1684"/>
      <c r="CE762" s="1684"/>
      <c r="CF762" s="1684"/>
      <c r="CG762" s="1684"/>
      <c r="CH762" s="1684"/>
      <c r="CI762" s="1684"/>
      <c r="CJ762" s="1684"/>
      <c r="CK762" s="1684"/>
      <c r="CL762" s="1684"/>
      <c r="CM762" s="1684"/>
      <c r="CN762" s="1684"/>
      <c r="CO762" s="1684"/>
    </row>
    <row r="763" spans="1:93" s="1391" customFormat="1" ht="15" x14ac:dyDescent="0.2">
      <c r="A763" s="1684"/>
      <c r="B763" s="1684"/>
      <c r="C763" s="2013">
        <v>16</v>
      </c>
      <c r="D763" s="5">
        <v>10.288</v>
      </c>
      <c r="E763" s="5">
        <v>301</v>
      </c>
      <c r="F763" s="5">
        <v>331</v>
      </c>
      <c r="G763" s="5">
        <v>359</v>
      </c>
      <c r="H763" s="5">
        <v>386</v>
      </c>
      <c r="I763" s="5">
        <v>413</v>
      </c>
      <c r="J763" s="5">
        <v>440</v>
      </c>
      <c r="K763" s="5">
        <v>466</v>
      </c>
      <c r="L763" s="5">
        <v>493</v>
      </c>
      <c r="M763" s="5">
        <v>517</v>
      </c>
      <c r="N763" s="5">
        <v>541</v>
      </c>
      <c r="O763" s="5">
        <v>565</v>
      </c>
      <c r="P763" s="5">
        <v>589</v>
      </c>
      <c r="Q763" s="1160">
        <v>64</v>
      </c>
      <c r="R763"/>
      <c r="S763" s="1684"/>
      <c r="T763" s="1684"/>
      <c r="U763" s="1684"/>
      <c r="V763" s="1684"/>
      <c r="W763" s="1684"/>
      <c r="X763" s="1684"/>
      <c r="Y763" s="1684"/>
      <c r="Z763" s="1684"/>
      <c r="AA763" s="1684"/>
      <c r="AB763" s="1684"/>
      <c r="AC763" s="1684"/>
      <c r="AD763" s="1684"/>
      <c r="AE763" s="1684"/>
      <c r="AF763" s="1684"/>
      <c r="AG763" s="1684"/>
      <c r="AH763" s="1684"/>
      <c r="AI763" s="1684"/>
      <c r="AJ763" s="1684"/>
      <c r="AK763" s="1684"/>
      <c r="AL763" s="1684"/>
      <c r="AM763" s="1684"/>
      <c r="AN763" s="1684"/>
      <c r="AO763" s="1684"/>
      <c r="AP763" s="1684"/>
      <c r="AQ763" s="1684"/>
      <c r="AR763" s="1684"/>
      <c r="AS763" s="1684"/>
      <c r="AT763" s="1684"/>
      <c r="AU763" s="1684"/>
      <c r="AV763" s="1684"/>
      <c r="AW763" s="1684"/>
      <c r="AX763" s="1684"/>
      <c r="AY763" s="1684"/>
      <c r="AZ763" s="1684"/>
      <c r="BA763" s="1684"/>
      <c r="BB763" s="1684"/>
      <c r="BC763" s="1684"/>
      <c r="BD763" s="1684"/>
      <c r="BE763" s="1684"/>
      <c r="BF763" s="1684"/>
      <c r="BG763" s="1684"/>
      <c r="BH763" s="1684"/>
      <c r="BI763" s="1684"/>
      <c r="BJ763" s="1684"/>
      <c r="BK763" s="1684"/>
      <c r="BL763" s="1684"/>
      <c r="BM763" s="1684"/>
      <c r="BN763" s="1684"/>
      <c r="BO763" s="1684"/>
      <c r="BP763" s="1684"/>
      <c r="BQ763" s="1684"/>
      <c r="BR763" s="1684"/>
      <c r="BS763" s="1684"/>
      <c r="BT763" s="1684"/>
      <c r="BU763" s="1684"/>
      <c r="BV763" s="1684"/>
      <c r="BW763" s="1684"/>
      <c r="BX763" s="1684"/>
      <c r="BY763" s="1684"/>
      <c r="BZ763" s="1684"/>
      <c r="CA763" s="1684"/>
      <c r="CB763" s="1684"/>
      <c r="CC763" s="1684"/>
      <c r="CD763" s="1684"/>
      <c r="CE763" s="1684"/>
      <c r="CF763" s="1684"/>
      <c r="CG763" s="1684"/>
      <c r="CH763" s="1684"/>
      <c r="CI763" s="1684"/>
      <c r="CJ763" s="1684"/>
      <c r="CK763" s="1684"/>
      <c r="CL763" s="1684"/>
      <c r="CM763" s="1684"/>
      <c r="CN763" s="1684"/>
      <c r="CO763" s="1684"/>
    </row>
    <row r="764" spans="1:93" s="1391" customFormat="1" ht="15" x14ac:dyDescent="0.2">
      <c r="A764" s="1684"/>
      <c r="B764" s="1684"/>
      <c r="C764" s="2013">
        <v>17</v>
      </c>
      <c r="D764" s="5">
        <v>11.090999999999999</v>
      </c>
      <c r="E764" s="5">
        <v>319</v>
      </c>
      <c r="F764" s="5">
        <v>351</v>
      </c>
      <c r="G764" s="5">
        <v>380</v>
      </c>
      <c r="H764" s="5">
        <v>409</v>
      </c>
      <c r="I764" s="5">
        <v>438</v>
      </c>
      <c r="J764" s="5">
        <v>465</v>
      </c>
      <c r="K764" s="5">
        <v>493</v>
      </c>
      <c r="L764" s="5">
        <v>521</v>
      </c>
      <c r="M764" s="5">
        <v>546</v>
      </c>
      <c r="N764" s="5">
        <v>571</v>
      </c>
      <c r="O764" s="5">
        <v>597</v>
      </c>
      <c r="P764" s="5">
        <v>622</v>
      </c>
      <c r="Q764" s="1160">
        <v>65</v>
      </c>
      <c r="R764"/>
      <c r="S764" s="1684"/>
      <c r="T764" s="1684"/>
      <c r="U764" s="1684"/>
      <c r="V764" s="1684"/>
      <c r="W764" s="1684"/>
      <c r="X764" s="1684"/>
      <c r="Y764" s="1684"/>
      <c r="Z764" s="1684"/>
      <c r="AA764" s="1684"/>
      <c r="AB764" s="1684"/>
      <c r="AC764" s="1684"/>
      <c r="AD764" s="1684"/>
      <c r="AE764" s="1684"/>
      <c r="AF764" s="1684"/>
      <c r="AG764" s="1684"/>
      <c r="AH764" s="1684"/>
      <c r="AI764" s="1684"/>
      <c r="AJ764" s="1684"/>
      <c r="AK764" s="1684"/>
      <c r="AL764" s="1684"/>
      <c r="AM764" s="1684"/>
      <c r="AN764" s="1684"/>
      <c r="AO764" s="1684"/>
      <c r="AP764" s="1684"/>
      <c r="AQ764" s="1684"/>
      <c r="AR764" s="1684"/>
      <c r="AS764" s="1684"/>
      <c r="AT764" s="1684"/>
      <c r="AU764" s="1684"/>
      <c r="AV764" s="1684"/>
      <c r="AW764" s="1684"/>
      <c r="AX764" s="1684"/>
      <c r="AY764" s="1684"/>
      <c r="AZ764" s="1684"/>
      <c r="BA764" s="1684"/>
      <c r="BB764" s="1684"/>
      <c r="BC764" s="1684"/>
      <c r="BD764" s="1684"/>
      <c r="BE764" s="1684"/>
      <c r="BF764" s="1684"/>
      <c r="BG764" s="1684"/>
      <c r="BH764" s="1684"/>
      <c r="BI764" s="1684"/>
      <c r="BJ764" s="1684"/>
      <c r="BK764" s="1684"/>
      <c r="BL764" s="1684"/>
      <c r="BM764" s="1684"/>
      <c r="BN764" s="1684"/>
      <c r="BO764" s="1684"/>
      <c r="BP764" s="1684"/>
      <c r="BQ764" s="1684"/>
      <c r="BR764" s="1684"/>
      <c r="BS764" s="1684"/>
      <c r="BT764" s="1684"/>
      <c r="BU764" s="1684"/>
      <c r="BV764" s="1684"/>
      <c r="BW764" s="1684"/>
      <c r="BX764" s="1684"/>
      <c r="BY764" s="1684"/>
      <c r="BZ764" s="1684"/>
      <c r="CA764" s="1684"/>
      <c r="CB764" s="1684"/>
      <c r="CC764" s="1684"/>
      <c r="CD764" s="1684"/>
      <c r="CE764" s="1684"/>
      <c r="CF764" s="1684"/>
      <c r="CG764" s="1684"/>
      <c r="CH764" s="1684"/>
      <c r="CI764" s="1684"/>
      <c r="CJ764" s="1684"/>
      <c r="CK764" s="1684"/>
      <c r="CL764" s="1684"/>
      <c r="CM764" s="1684"/>
      <c r="CN764" s="1684"/>
      <c r="CO764" s="1684"/>
    </row>
    <row r="765" spans="1:93" s="1391" customFormat="1" ht="15" x14ac:dyDescent="0.2">
      <c r="A765" s="1684"/>
      <c r="B765" s="1684"/>
      <c r="C765" s="2013">
        <v>18</v>
      </c>
      <c r="D765" s="5">
        <v>11.617000000000001</v>
      </c>
      <c r="E765" s="5">
        <v>336</v>
      </c>
      <c r="F765" s="5">
        <v>369</v>
      </c>
      <c r="G765" s="5">
        <v>400</v>
      </c>
      <c r="H765" s="5">
        <v>430</v>
      </c>
      <c r="I765" s="5">
        <v>459</v>
      </c>
      <c r="J765" s="5">
        <v>488</v>
      </c>
      <c r="K765" s="5">
        <v>517</v>
      </c>
      <c r="L765" s="5">
        <v>546</v>
      </c>
      <c r="M765" s="5">
        <v>572</v>
      </c>
      <c r="N765" s="5">
        <v>599</v>
      </c>
      <c r="O765" s="5">
        <v>625</v>
      </c>
      <c r="P765" s="5">
        <v>651</v>
      </c>
      <c r="Q765" s="1160">
        <v>66</v>
      </c>
      <c r="R765"/>
      <c r="S765" s="1684"/>
      <c r="T765" s="1684"/>
      <c r="U765" s="1684"/>
      <c r="V765" s="1684"/>
      <c r="W765" s="1684"/>
      <c r="X765" s="1684"/>
      <c r="Y765" s="1684"/>
      <c r="Z765" s="1684"/>
      <c r="AA765" s="1684"/>
      <c r="AB765" s="1684"/>
      <c r="AC765" s="1684"/>
      <c r="AD765" s="1684"/>
      <c r="AE765" s="1684"/>
      <c r="AF765" s="1684"/>
      <c r="AG765" s="1684"/>
      <c r="AH765" s="1684"/>
      <c r="AI765" s="1684"/>
      <c r="AJ765" s="1684"/>
      <c r="AK765" s="1684"/>
      <c r="AL765" s="1684"/>
      <c r="AM765" s="1684"/>
      <c r="AN765" s="1684"/>
      <c r="AO765" s="1684"/>
      <c r="AP765" s="1684"/>
      <c r="AQ765" s="1684"/>
      <c r="AR765" s="1684"/>
      <c r="AS765" s="1684"/>
      <c r="AT765" s="1684"/>
      <c r="AU765" s="1684"/>
      <c r="AV765" s="1684"/>
      <c r="AW765" s="1684"/>
      <c r="AX765" s="1684"/>
      <c r="AY765" s="1684"/>
      <c r="AZ765" s="1684"/>
      <c r="BA765" s="1684"/>
      <c r="BB765" s="1684"/>
      <c r="BC765" s="1684"/>
      <c r="BD765" s="1684"/>
      <c r="BE765" s="1684"/>
      <c r="BF765" s="1684"/>
      <c r="BG765" s="1684"/>
      <c r="BH765" s="1684"/>
      <c r="BI765" s="1684"/>
      <c r="BJ765" s="1684"/>
      <c r="BK765" s="1684"/>
      <c r="BL765" s="1684"/>
      <c r="BM765" s="1684"/>
      <c r="BN765" s="1684"/>
      <c r="BO765" s="1684"/>
      <c r="BP765" s="1684"/>
      <c r="BQ765" s="1684"/>
      <c r="BR765" s="1684"/>
      <c r="BS765" s="1684"/>
      <c r="BT765" s="1684"/>
      <c r="BU765" s="1684"/>
      <c r="BV765" s="1684"/>
      <c r="BW765" s="1684"/>
      <c r="BX765" s="1684"/>
      <c r="BY765" s="1684"/>
      <c r="BZ765" s="1684"/>
      <c r="CA765" s="1684"/>
      <c r="CB765" s="1684"/>
      <c r="CC765" s="1684"/>
      <c r="CD765" s="1684"/>
      <c r="CE765" s="1684"/>
      <c r="CF765" s="1684"/>
      <c r="CG765" s="1684"/>
      <c r="CH765" s="1684"/>
      <c r="CI765" s="1684"/>
      <c r="CJ765" s="1684"/>
      <c r="CK765" s="1684"/>
      <c r="CL765" s="1684"/>
      <c r="CM765" s="1684"/>
      <c r="CN765" s="1684"/>
      <c r="CO765" s="1684"/>
    </row>
    <row r="766" spans="1:93" s="1391" customFormat="1" ht="15" x14ac:dyDescent="0.2">
      <c r="A766" s="1684"/>
      <c r="B766" s="1684"/>
      <c r="C766" s="4680" t="s">
        <v>3692</v>
      </c>
      <c r="D766" s="4681"/>
      <c r="E766" s="4681"/>
      <c r="F766" s="4681"/>
      <c r="G766" s="4681"/>
      <c r="H766" s="4681"/>
      <c r="I766" s="4681"/>
      <c r="J766" s="4681"/>
      <c r="K766" s="4681"/>
      <c r="L766" s="4681"/>
      <c r="M766" s="4681"/>
      <c r="N766" s="4681"/>
      <c r="O766" s="4681"/>
      <c r="P766" s="4681"/>
      <c r="Q766" s="4682"/>
      <c r="R766"/>
      <c r="S766" s="1684"/>
      <c r="T766" s="1684"/>
      <c r="U766" s="1684"/>
      <c r="V766" s="1684"/>
      <c r="W766" s="1684"/>
      <c r="X766" s="1684"/>
      <c r="Y766" s="1684"/>
      <c r="Z766" s="1684"/>
      <c r="AA766" s="1684"/>
      <c r="AB766" s="1684"/>
      <c r="AC766" s="1684"/>
      <c r="AD766" s="1684"/>
      <c r="AE766" s="1684"/>
      <c r="AF766" s="1684"/>
      <c r="AG766" s="1684"/>
      <c r="AH766" s="1684"/>
      <c r="AI766" s="1684"/>
      <c r="AJ766" s="1684"/>
      <c r="AK766" s="1684"/>
      <c r="AL766" s="1684"/>
      <c r="AM766" s="1684"/>
      <c r="AN766" s="1684"/>
      <c r="AO766" s="1684"/>
      <c r="AP766" s="1684"/>
      <c r="AQ766" s="1684"/>
      <c r="AR766" s="1684"/>
      <c r="AS766" s="1684"/>
      <c r="AT766" s="1684"/>
      <c r="AU766" s="1684"/>
      <c r="AV766" s="1684"/>
      <c r="AW766" s="1684"/>
      <c r="AX766" s="1684"/>
      <c r="AY766" s="1684"/>
      <c r="AZ766" s="1684"/>
      <c r="BA766" s="1684"/>
      <c r="BB766" s="1684"/>
      <c r="BC766" s="1684"/>
      <c r="BD766" s="1684"/>
      <c r="BE766" s="1684"/>
      <c r="BF766" s="1684"/>
      <c r="BG766" s="1684"/>
      <c r="BH766" s="1684"/>
      <c r="BI766" s="1684"/>
      <c r="BJ766" s="1684"/>
      <c r="BK766" s="1684"/>
      <c r="BL766" s="1684"/>
      <c r="BM766" s="1684"/>
      <c r="BN766" s="1684"/>
      <c r="BO766" s="1684"/>
      <c r="BP766" s="1684"/>
      <c r="BQ766" s="1684"/>
      <c r="BR766" s="1684"/>
      <c r="BS766" s="1684"/>
      <c r="BT766" s="1684"/>
      <c r="BU766" s="1684"/>
      <c r="BV766" s="1684"/>
      <c r="BW766" s="1684"/>
      <c r="BX766" s="1684"/>
      <c r="BY766" s="1684"/>
      <c r="BZ766" s="1684"/>
      <c r="CA766" s="1684"/>
      <c r="CB766" s="1684"/>
      <c r="CC766" s="1684"/>
      <c r="CD766" s="1684"/>
      <c r="CE766" s="1684"/>
      <c r="CF766" s="1684"/>
      <c r="CG766" s="1684"/>
      <c r="CH766" s="1684"/>
      <c r="CI766" s="1684"/>
      <c r="CJ766" s="1684"/>
      <c r="CK766" s="1684"/>
      <c r="CL766" s="1684"/>
      <c r="CM766" s="1684"/>
      <c r="CN766" s="1684"/>
      <c r="CO766" s="1684"/>
    </row>
    <row r="767" spans="1:93" s="1391" customFormat="1" ht="15" x14ac:dyDescent="0.2">
      <c r="A767" s="1684"/>
      <c r="B767" s="1684"/>
      <c r="C767" s="4680"/>
      <c r="D767" s="4681"/>
      <c r="E767" s="4681"/>
      <c r="F767" s="4681"/>
      <c r="G767" s="4681"/>
      <c r="H767" s="4681"/>
      <c r="I767" s="4681"/>
      <c r="J767" s="4681"/>
      <c r="K767" s="4681"/>
      <c r="L767" s="4681"/>
      <c r="M767" s="4681"/>
      <c r="N767" s="4681"/>
      <c r="O767" s="4681"/>
      <c r="P767" s="4681"/>
      <c r="Q767" s="4682"/>
      <c r="R767"/>
      <c r="S767" s="1684"/>
      <c r="T767" s="1684"/>
      <c r="U767" s="1684"/>
      <c r="V767" s="1684"/>
      <c r="W767" s="1684"/>
      <c r="X767" s="1684"/>
      <c r="Y767" s="1684"/>
      <c r="Z767" s="1684"/>
      <c r="AA767" s="1684"/>
      <c r="AB767" s="1684"/>
      <c r="AC767" s="1684"/>
      <c r="AD767" s="1684"/>
      <c r="AE767" s="1684"/>
      <c r="AF767" s="1684"/>
      <c r="AG767" s="1684"/>
      <c r="AH767" s="1684"/>
      <c r="AI767" s="1684"/>
      <c r="AJ767" s="1684"/>
      <c r="AK767" s="1684"/>
      <c r="AL767" s="1684"/>
      <c r="AM767" s="1684"/>
      <c r="AN767" s="1684"/>
      <c r="AO767" s="1684"/>
      <c r="AP767" s="1684"/>
      <c r="AQ767" s="1684"/>
      <c r="AR767" s="1684"/>
      <c r="AS767" s="1684"/>
      <c r="AT767" s="1684"/>
      <c r="AU767" s="1684"/>
      <c r="AV767" s="1684"/>
      <c r="AW767" s="1684"/>
      <c r="AX767" s="1684"/>
      <c r="AY767" s="1684"/>
      <c r="AZ767" s="1684"/>
      <c r="BA767" s="1684"/>
      <c r="BB767" s="1684"/>
      <c r="BC767" s="1684"/>
      <c r="BD767" s="1684"/>
      <c r="BE767" s="1684"/>
      <c r="BF767" s="1684"/>
      <c r="BG767" s="1684"/>
      <c r="BH767" s="1684"/>
      <c r="BI767" s="1684"/>
      <c r="BJ767" s="1684"/>
      <c r="BK767" s="1684"/>
      <c r="BL767" s="1684"/>
      <c r="BM767" s="1684"/>
      <c r="BN767" s="1684"/>
      <c r="BO767" s="1684"/>
      <c r="BP767" s="1684"/>
      <c r="BQ767" s="1684"/>
      <c r="BR767" s="1684"/>
      <c r="BS767" s="1684"/>
      <c r="BT767" s="1684"/>
      <c r="BU767" s="1684"/>
      <c r="BV767" s="1684"/>
      <c r="BW767" s="1684"/>
      <c r="BX767" s="1684"/>
      <c r="BY767" s="1684"/>
      <c r="BZ767" s="1684"/>
      <c r="CA767" s="1684"/>
      <c r="CB767" s="1684"/>
      <c r="CC767" s="1684"/>
      <c r="CD767" s="1684"/>
      <c r="CE767" s="1684"/>
      <c r="CF767" s="1684"/>
      <c r="CG767" s="1684"/>
      <c r="CH767" s="1684"/>
      <c r="CI767" s="1684"/>
      <c r="CJ767" s="1684"/>
      <c r="CK767" s="1684"/>
      <c r="CL767" s="1684"/>
      <c r="CM767" s="1684"/>
      <c r="CN767" s="1684"/>
      <c r="CO767" s="1684"/>
    </row>
    <row r="768" spans="1:93" s="1391" customFormat="1" ht="15" x14ac:dyDescent="0.2">
      <c r="A768" s="1684"/>
      <c r="B768" s="1684"/>
      <c r="C768" s="2014"/>
      <c r="D768" s="2015"/>
      <c r="E768" s="2015">
        <v>1</v>
      </c>
      <c r="F768" s="2015">
        <v>2</v>
      </c>
      <c r="G768" s="2015">
        <v>3</v>
      </c>
      <c r="H768" s="2015">
        <v>4</v>
      </c>
      <c r="I768" s="2015">
        <v>5</v>
      </c>
      <c r="J768" s="2015">
        <v>6</v>
      </c>
      <c r="K768" s="2015">
        <v>7</v>
      </c>
      <c r="L768" s="2015">
        <v>8.07</v>
      </c>
      <c r="M768" s="2015">
        <v>9</v>
      </c>
      <c r="N768" s="2015">
        <v>10</v>
      </c>
      <c r="O768" s="2015">
        <v>11</v>
      </c>
      <c r="P768" s="2015">
        <v>12</v>
      </c>
      <c r="Q768" s="2016"/>
      <c r="R768"/>
      <c r="S768" s="1684"/>
      <c r="T768" s="1684"/>
      <c r="U768" s="1684"/>
      <c r="V768" s="1684"/>
      <c r="W768" s="1684"/>
      <c r="X768" s="1684"/>
      <c r="Y768" s="1684"/>
      <c r="Z768" s="1684"/>
      <c r="AA768" s="1684"/>
      <c r="AB768" s="1684"/>
      <c r="AC768" s="1684"/>
      <c r="AD768" s="1684"/>
      <c r="AE768" s="1684"/>
      <c r="AF768" s="1684"/>
      <c r="AG768" s="1684"/>
      <c r="AH768" s="1684"/>
      <c r="AI768" s="1684"/>
      <c r="AJ768" s="1684"/>
      <c r="AK768" s="1684"/>
      <c r="AL768" s="1684"/>
      <c r="AM768" s="1684"/>
      <c r="AN768" s="1684"/>
      <c r="AO768" s="1684"/>
      <c r="AP768" s="1684"/>
      <c r="AQ768" s="1684"/>
      <c r="AR768" s="1684"/>
      <c r="AS768" s="1684"/>
      <c r="AT768" s="1684"/>
      <c r="AU768" s="1684"/>
      <c r="AV768" s="1684"/>
      <c r="AW768" s="1684"/>
      <c r="AX768" s="1684"/>
      <c r="AY768" s="1684"/>
      <c r="AZ768" s="1684"/>
      <c r="BA768" s="1684"/>
      <c r="BB768" s="1684"/>
      <c r="BC768" s="1684"/>
      <c r="BD768" s="1684"/>
      <c r="BE768" s="1684"/>
      <c r="BF768" s="1684"/>
      <c r="BG768" s="1684"/>
      <c r="BH768" s="1684"/>
      <c r="BI768" s="1684"/>
      <c r="BJ768" s="1684"/>
      <c r="BK768" s="1684"/>
      <c r="BL768" s="1684"/>
      <c r="BM768" s="1684"/>
      <c r="BN768" s="1684"/>
      <c r="BO768" s="1684"/>
      <c r="BP768" s="1684"/>
      <c r="BQ768" s="1684"/>
      <c r="BR768" s="1684"/>
      <c r="BS768" s="1684"/>
      <c r="BT768" s="1684"/>
      <c r="BU768" s="1684"/>
      <c r="BV768" s="1684"/>
      <c r="BW768" s="1684"/>
      <c r="BX768" s="1684"/>
      <c r="BY768" s="1684"/>
      <c r="BZ768" s="1684"/>
      <c r="CA768" s="1684"/>
      <c r="CB768" s="1684"/>
      <c r="CC768" s="1684"/>
      <c r="CD768" s="1684"/>
      <c r="CE768" s="1684"/>
      <c r="CF768" s="1684"/>
      <c r="CG768" s="1684"/>
      <c r="CH768" s="1684"/>
      <c r="CI768" s="1684"/>
      <c r="CJ768" s="1684"/>
      <c r="CK768" s="1684"/>
      <c r="CL768" s="1684"/>
      <c r="CM768" s="1684"/>
      <c r="CN768" s="1684"/>
      <c r="CO768" s="1684"/>
    </row>
    <row r="769" spans="1:93" s="1391" customFormat="1" ht="15" x14ac:dyDescent="0.2">
      <c r="A769" s="1684"/>
      <c r="B769" s="1684"/>
      <c r="C769" s="2013">
        <v>8</v>
      </c>
      <c r="D769" s="5">
        <v>6.0570000000000004</v>
      </c>
      <c r="E769" s="5">
        <v>156</v>
      </c>
      <c r="F769" s="5">
        <v>173</v>
      </c>
      <c r="G769" s="5">
        <v>188</v>
      </c>
      <c r="H769" s="5">
        <v>204</v>
      </c>
      <c r="I769" s="5">
        <v>219</v>
      </c>
      <c r="J769" s="5">
        <v>234</v>
      </c>
      <c r="K769" s="5">
        <v>249</v>
      </c>
      <c r="L769" s="5">
        <v>264</v>
      </c>
      <c r="M769" s="5">
        <v>278</v>
      </c>
      <c r="N769" s="5">
        <v>292</v>
      </c>
      <c r="O769" s="5">
        <v>307</v>
      </c>
      <c r="P769" s="5">
        <v>321</v>
      </c>
      <c r="Q769" s="1160">
        <v>67</v>
      </c>
      <c r="R769"/>
      <c r="S769" s="1684"/>
      <c r="T769" s="1684"/>
      <c r="U769" s="1684"/>
      <c r="V769" s="1684"/>
      <c r="W769" s="1684"/>
      <c r="X769" s="1684"/>
      <c r="Y769" s="1684"/>
      <c r="Z769" s="1684"/>
      <c r="AA769" s="1684"/>
      <c r="AB769" s="1684"/>
      <c r="AC769" s="1684"/>
      <c r="AD769" s="1684"/>
      <c r="AE769" s="1684"/>
      <c r="AF769" s="1684"/>
      <c r="AG769" s="1684"/>
      <c r="AH769" s="1684"/>
      <c r="AI769" s="1684"/>
      <c r="AJ769" s="1684"/>
      <c r="AK769" s="1684"/>
      <c r="AL769" s="1684"/>
      <c r="AM769" s="1684"/>
      <c r="AN769" s="1684"/>
      <c r="AO769" s="1684"/>
      <c r="AP769" s="1684"/>
      <c r="AQ769" s="1684"/>
      <c r="AR769" s="1684"/>
      <c r="AS769" s="1684"/>
      <c r="AT769" s="1684"/>
      <c r="AU769" s="1684"/>
      <c r="AV769" s="1684"/>
      <c r="AW769" s="1684"/>
      <c r="AX769" s="1684"/>
      <c r="AY769" s="1684"/>
      <c r="AZ769" s="1684"/>
      <c r="BA769" s="1684"/>
      <c r="BB769" s="1684"/>
      <c r="BC769" s="1684"/>
      <c r="BD769" s="1684"/>
      <c r="BE769" s="1684"/>
      <c r="BF769" s="1684"/>
      <c r="BG769" s="1684"/>
      <c r="BH769" s="1684"/>
      <c r="BI769" s="1684"/>
      <c r="BJ769" s="1684"/>
      <c r="BK769" s="1684"/>
      <c r="BL769" s="1684"/>
      <c r="BM769" s="1684"/>
      <c r="BN769" s="1684"/>
      <c r="BO769" s="1684"/>
      <c r="BP769" s="1684"/>
      <c r="BQ769" s="1684"/>
      <c r="BR769" s="1684"/>
      <c r="BS769" s="1684"/>
      <c r="BT769" s="1684"/>
      <c r="BU769" s="1684"/>
      <c r="BV769" s="1684"/>
      <c r="BW769" s="1684"/>
      <c r="BX769" s="1684"/>
      <c r="BY769" s="1684"/>
      <c r="BZ769" s="1684"/>
      <c r="CA769" s="1684"/>
      <c r="CB769" s="1684"/>
      <c r="CC769" s="1684"/>
      <c r="CD769" s="1684"/>
      <c r="CE769" s="1684"/>
      <c r="CF769" s="1684"/>
      <c r="CG769" s="1684"/>
      <c r="CH769" s="1684"/>
      <c r="CI769" s="1684"/>
      <c r="CJ769" s="1684"/>
      <c r="CK769" s="1684"/>
      <c r="CL769" s="1684"/>
      <c r="CM769" s="1684"/>
      <c r="CN769" s="1684"/>
      <c r="CO769" s="1684"/>
    </row>
    <row r="770" spans="1:93" s="1391" customFormat="1" ht="15" x14ac:dyDescent="0.2">
      <c r="A770" s="1684"/>
      <c r="B770" s="1684"/>
      <c r="C770" s="2013">
        <v>9</v>
      </c>
      <c r="D770" s="5">
        <v>6.431</v>
      </c>
      <c r="E770" s="5">
        <v>173</v>
      </c>
      <c r="F770" s="5">
        <v>191</v>
      </c>
      <c r="G770" s="5">
        <v>208</v>
      </c>
      <c r="H770" s="5">
        <v>224</v>
      </c>
      <c r="I770" s="5">
        <v>241</v>
      </c>
      <c r="J770" s="5">
        <v>257</v>
      </c>
      <c r="K770" s="5">
        <v>274</v>
      </c>
      <c r="L770" s="5">
        <v>290</v>
      </c>
      <c r="M770" s="5">
        <v>306</v>
      </c>
      <c r="N770" s="5">
        <v>321</v>
      </c>
      <c r="O770" s="5">
        <v>337</v>
      </c>
      <c r="P770" s="5">
        <v>352</v>
      </c>
      <c r="Q770" s="1160">
        <v>68</v>
      </c>
      <c r="R770"/>
      <c r="S770" s="1684"/>
      <c r="T770" s="1684"/>
      <c r="U770" s="1684"/>
      <c r="V770" s="1684"/>
      <c r="W770" s="1684"/>
      <c r="X770" s="1684"/>
      <c r="Y770" s="1684"/>
      <c r="Z770" s="1684"/>
      <c r="AA770" s="1684"/>
      <c r="AB770" s="1684"/>
      <c r="AC770" s="1684"/>
      <c r="AD770" s="1684"/>
      <c r="AE770" s="1684"/>
      <c r="AF770" s="1684"/>
      <c r="AG770" s="1684"/>
      <c r="AH770" s="1684"/>
      <c r="AI770" s="1684"/>
      <c r="AJ770" s="1684"/>
      <c r="AK770" s="1684"/>
      <c r="AL770" s="1684"/>
      <c r="AM770" s="1684"/>
      <c r="AN770" s="1684"/>
      <c r="AO770" s="1684"/>
      <c r="AP770" s="1684"/>
      <c r="AQ770" s="1684"/>
      <c r="AR770" s="1684"/>
      <c r="AS770" s="1684"/>
      <c r="AT770" s="1684"/>
      <c r="AU770" s="1684"/>
      <c r="AV770" s="1684"/>
      <c r="AW770" s="1684"/>
      <c r="AX770" s="1684"/>
      <c r="AY770" s="1684"/>
      <c r="AZ770" s="1684"/>
      <c r="BA770" s="1684"/>
      <c r="BB770" s="1684"/>
      <c r="BC770" s="1684"/>
      <c r="BD770" s="1684"/>
      <c r="BE770" s="1684"/>
      <c r="BF770" s="1684"/>
      <c r="BG770" s="1684"/>
      <c r="BH770" s="1684"/>
      <c r="BI770" s="1684"/>
      <c r="BJ770" s="1684"/>
      <c r="BK770" s="1684"/>
      <c r="BL770" s="1684"/>
      <c r="BM770" s="1684"/>
      <c r="BN770" s="1684"/>
      <c r="BO770" s="1684"/>
      <c r="BP770" s="1684"/>
      <c r="BQ770" s="1684"/>
      <c r="BR770" s="1684"/>
      <c r="BS770" s="1684"/>
      <c r="BT770" s="1684"/>
      <c r="BU770" s="1684"/>
      <c r="BV770" s="1684"/>
      <c r="BW770" s="1684"/>
      <c r="BX770" s="1684"/>
      <c r="BY770" s="1684"/>
      <c r="BZ770" s="1684"/>
      <c r="CA770" s="1684"/>
      <c r="CB770" s="1684"/>
      <c r="CC770" s="1684"/>
      <c r="CD770" s="1684"/>
      <c r="CE770" s="1684"/>
      <c r="CF770" s="1684"/>
      <c r="CG770" s="1684"/>
      <c r="CH770" s="1684"/>
      <c r="CI770" s="1684"/>
      <c r="CJ770" s="1684"/>
      <c r="CK770" s="1684"/>
      <c r="CL770" s="1684"/>
      <c r="CM770" s="1684"/>
      <c r="CN770" s="1684"/>
      <c r="CO770" s="1684"/>
    </row>
    <row r="771" spans="1:93" s="1391" customFormat="1" ht="15" x14ac:dyDescent="0.2">
      <c r="A771" s="1684"/>
      <c r="B771" s="1684"/>
      <c r="C771" s="2013">
        <v>10</v>
      </c>
      <c r="D771" s="5">
        <v>6.9320000000000004</v>
      </c>
      <c r="E771" s="5">
        <v>190</v>
      </c>
      <c r="F771" s="5">
        <v>209</v>
      </c>
      <c r="G771" s="5">
        <v>228</v>
      </c>
      <c r="H771" s="5">
        <v>246</v>
      </c>
      <c r="I771" s="5">
        <v>264</v>
      </c>
      <c r="J771" s="5">
        <v>282</v>
      </c>
      <c r="K771" s="5">
        <v>300</v>
      </c>
      <c r="L771" s="5">
        <v>318</v>
      </c>
      <c r="M771" s="5">
        <v>334</v>
      </c>
      <c r="N771" s="5">
        <v>351</v>
      </c>
      <c r="O771" s="5">
        <v>368</v>
      </c>
      <c r="P771" s="5">
        <v>385</v>
      </c>
      <c r="Q771" s="1160">
        <v>69</v>
      </c>
      <c r="R771"/>
      <c r="S771" s="1684"/>
      <c r="T771" s="1684"/>
      <c r="U771" s="1684"/>
      <c r="V771" s="1684"/>
      <c r="W771" s="1684"/>
      <c r="X771" s="1684"/>
      <c r="Y771" s="1684"/>
      <c r="Z771" s="1684"/>
      <c r="AA771" s="1684"/>
      <c r="AB771" s="1684"/>
      <c r="AC771" s="1684"/>
      <c r="AD771" s="1684"/>
      <c r="AE771" s="1684"/>
      <c r="AF771" s="1684"/>
      <c r="AG771" s="1684"/>
      <c r="AH771" s="1684"/>
      <c r="AI771" s="1684"/>
      <c r="AJ771" s="1684"/>
      <c r="AK771" s="1684"/>
      <c r="AL771" s="1684"/>
      <c r="AM771" s="1684"/>
      <c r="AN771" s="1684"/>
      <c r="AO771" s="1684"/>
      <c r="AP771" s="1684"/>
      <c r="AQ771" s="1684"/>
      <c r="AR771" s="1684"/>
      <c r="AS771" s="1684"/>
      <c r="AT771" s="1684"/>
      <c r="AU771" s="1684"/>
      <c r="AV771" s="1684"/>
      <c r="AW771" s="1684"/>
      <c r="AX771" s="1684"/>
      <c r="AY771" s="1684"/>
      <c r="AZ771" s="1684"/>
      <c r="BA771" s="1684"/>
      <c r="BB771" s="1684"/>
      <c r="BC771" s="1684"/>
      <c r="BD771" s="1684"/>
      <c r="BE771" s="1684"/>
      <c r="BF771" s="1684"/>
      <c r="BG771" s="1684"/>
      <c r="BH771" s="1684"/>
      <c r="BI771" s="1684"/>
      <c r="BJ771" s="1684"/>
      <c r="BK771" s="1684"/>
      <c r="BL771" s="1684"/>
      <c r="BM771" s="1684"/>
      <c r="BN771" s="1684"/>
      <c r="BO771" s="1684"/>
      <c r="BP771" s="1684"/>
      <c r="BQ771" s="1684"/>
      <c r="BR771" s="1684"/>
      <c r="BS771" s="1684"/>
      <c r="BT771" s="1684"/>
      <c r="BU771" s="1684"/>
      <c r="BV771" s="1684"/>
      <c r="BW771" s="1684"/>
      <c r="BX771" s="1684"/>
      <c r="BY771" s="1684"/>
      <c r="BZ771" s="1684"/>
      <c r="CA771" s="1684"/>
      <c r="CB771" s="1684"/>
      <c r="CC771" s="1684"/>
      <c r="CD771" s="1684"/>
      <c r="CE771" s="1684"/>
      <c r="CF771" s="1684"/>
      <c r="CG771" s="1684"/>
      <c r="CH771" s="1684"/>
      <c r="CI771" s="1684"/>
      <c r="CJ771" s="1684"/>
      <c r="CK771" s="1684"/>
      <c r="CL771" s="1684"/>
      <c r="CM771" s="1684"/>
      <c r="CN771" s="1684"/>
      <c r="CO771" s="1684"/>
    </row>
    <row r="772" spans="1:93" s="1391" customFormat="1" ht="15" x14ac:dyDescent="0.2">
      <c r="A772" s="1684"/>
      <c r="B772" s="1684"/>
      <c r="C772" s="2013">
        <v>11</v>
      </c>
      <c r="D772" s="5">
        <v>7.4429999999999996</v>
      </c>
      <c r="E772" s="5">
        <v>209</v>
      </c>
      <c r="F772" s="5">
        <v>230</v>
      </c>
      <c r="G772" s="5">
        <v>250</v>
      </c>
      <c r="H772" s="5">
        <v>270</v>
      </c>
      <c r="I772" s="5">
        <v>290</v>
      </c>
      <c r="J772" s="5">
        <v>309</v>
      </c>
      <c r="K772" s="5">
        <v>328</v>
      </c>
      <c r="L772" s="5">
        <v>348</v>
      </c>
      <c r="M772" s="5">
        <v>366</v>
      </c>
      <c r="N772" s="5">
        <v>384</v>
      </c>
      <c r="O772" s="5">
        <v>403</v>
      </c>
      <c r="P772" s="5">
        <v>421</v>
      </c>
      <c r="Q772" s="1160">
        <v>70</v>
      </c>
      <c r="R772"/>
      <c r="S772" s="1684"/>
      <c r="T772" s="1684"/>
      <c r="U772" s="1684"/>
      <c r="V772" s="1684"/>
      <c r="W772" s="1684"/>
      <c r="X772" s="1684"/>
      <c r="Y772" s="1684"/>
      <c r="Z772" s="1684"/>
      <c r="AA772" s="1684"/>
      <c r="AB772" s="1684"/>
      <c r="AC772" s="1684"/>
      <c r="AD772" s="1684"/>
      <c r="AE772" s="1684"/>
      <c r="AF772" s="1684"/>
      <c r="AG772" s="1684"/>
      <c r="AH772" s="1684"/>
      <c r="AI772" s="1684"/>
      <c r="AJ772" s="1684"/>
      <c r="AK772" s="1684"/>
      <c r="AL772" s="1684"/>
      <c r="AM772" s="1684"/>
      <c r="AN772" s="1684"/>
      <c r="AO772" s="1684"/>
      <c r="AP772" s="1684"/>
      <c r="AQ772" s="1684"/>
      <c r="AR772" s="1684"/>
      <c r="AS772" s="1684"/>
      <c r="AT772" s="1684"/>
      <c r="AU772" s="1684"/>
      <c r="AV772" s="1684"/>
      <c r="AW772" s="1684"/>
      <c r="AX772" s="1684"/>
      <c r="AY772" s="1684"/>
      <c r="AZ772" s="1684"/>
      <c r="BA772" s="1684"/>
      <c r="BB772" s="1684"/>
      <c r="BC772" s="1684"/>
      <c r="BD772" s="1684"/>
      <c r="BE772" s="1684"/>
      <c r="BF772" s="1684"/>
      <c r="BG772" s="1684"/>
      <c r="BH772" s="1684"/>
      <c r="BI772" s="1684"/>
      <c r="BJ772" s="1684"/>
      <c r="BK772" s="1684"/>
      <c r="BL772" s="1684"/>
      <c r="BM772" s="1684"/>
      <c r="BN772" s="1684"/>
      <c r="BO772" s="1684"/>
      <c r="BP772" s="1684"/>
      <c r="BQ772" s="1684"/>
      <c r="BR772" s="1684"/>
      <c r="BS772" s="1684"/>
      <c r="BT772" s="1684"/>
      <c r="BU772" s="1684"/>
      <c r="BV772" s="1684"/>
      <c r="BW772" s="1684"/>
      <c r="BX772" s="1684"/>
      <c r="BY772" s="1684"/>
      <c r="BZ772" s="1684"/>
      <c r="CA772" s="1684"/>
      <c r="CB772" s="1684"/>
      <c r="CC772" s="1684"/>
      <c r="CD772" s="1684"/>
      <c r="CE772" s="1684"/>
      <c r="CF772" s="1684"/>
      <c r="CG772" s="1684"/>
      <c r="CH772" s="1684"/>
      <c r="CI772" s="1684"/>
      <c r="CJ772" s="1684"/>
      <c r="CK772" s="1684"/>
      <c r="CL772" s="1684"/>
      <c r="CM772" s="1684"/>
      <c r="CN772" s="1684"/>
      <c r="CO772" s="1684"/>
    </row>
    <row r="773" spans="1:93" s="1391" customFormat="1" ht="15" x14ac:dyDescent="0.2">
      <c r="A773" s="1684"/>
      <c r="B773" s="1684"/>
      <c r="C773" s="2013">
        <v>12</v>
      </c>
      <c r="D773" s="5">
        <v>7.9829999999999997</v>
      </c>
      <c r="E773" s="5">
        <v>228</v>
      </c>
      <c r="F773" s="5">
        <v>252</v>
      </c>
      <c r="G773" s="5">
        <v>273</v>
      </c>
      <c r="H773" s="5">
        <v>295</v>
      </c>
      <c r="I773" s="5">
        <v>316</v>
      </c>
      <c r="J773" s="5">
        <v>337</v>
      </c>
      <c r="K773" s="5">
        <v>356</v>
      </c>
      <c r="L773" s="5">
        <v>379</v>
      </c>
      <c r="M773" s="5">
        <v>399</v>
      </c>
      <c r="N773" s="5">
        <v>418</v>
      </c>
      <c r="O773" s="5">
        <v>436</v>
      </c>
      <c r="P773" s="5">
        <v>457</v>
      </c>
      <c r="Q773" s="1160">
        <v>71</v>
      </c>
      <c r="R773"/>
      <c r="S773" s="1684"/>
      <c r="T773" s="1684"/>
      <c r="U773" s="1684"/>
      <c r="V773" s="1684"/>
      <c r="W773" s="1684"/>
      <c r="X773" s="1684"/>
      <c r="Y773" s="1684"/>
      <c r="Z773" s="1684"/>
      <c r="AA773" s="1684"/>
      <c r="AB773" s="1684"/>
      <c r="AC773" s="1684"/>
      <c r="AD773" s="1684"/>
      <c r="AE773" s="1684"/>
      <c r="AF773" s="1684"/>
      <c r="AG773" s="1684"/>
      <c r="AH773" s="1684"/>
      <c r="AI773" s="1684"/>
      <c r="AJ773" s="1684"/>
      <c r="AK773" s="1684"/>
      <c r="AL773" s="1684"/>
      <c r="AM773" s="1684"/>
      <c r="AN773" s="1684"/>
      <c r="AO773" s="1684"/>
      <c r="AP773" s="1684"/>
      <c r="AQ773" s="1684"/>
      <c r="AR773" s="1684"/>
      <c r="AS773" s="1684"/>
      <c r="AT773" s="1684"/>
      <c r="AU773" s="1684"/>
      <c r="AV773" s="1684"/>
      <c r="AW773" s="1684"/>
      <c r="AX773" s="1684"/>
      <c r="AY773" s="1684"/>
      <c r="AZ773" s="1684"/>
      <c r="BA773" s="1684"/>
      <c r="BB773" s="1684"/>
      <c r="BC773" s="1684"/>
      <c r="BD773" s="1684"/>
      <c r="BE773" s="1684"/>
      <c r="BF773" s="1684"/>
      <c r="BG773" s="1684"/>
      <c r="BH773" s="1684"/>
      <c r="BI773" s="1684"/>
      <c r="BJ773" s="1684"/>
      <c r="BK773" s="1684"/>
      <c r="BL773" s="1684"/>
      <c r="BM773" s="1684"/>
      <c r="BN773" s="1684"/>
      <c r="BO773" s="1684"/>
      <c r="BP773" s="1684"/>
      <c r="BQ773" s="1684"/>
      <c r="BR773" s="1684"/>
      <c r="BS773" s="1684"/>
      <c r="BT773" s="1684"/>
      <c r="BU773" s="1684"/>
      <c r="BV773" s="1684"/>
      <c r="BW773" s="1684"/>
      <c r="BX773" s="1684"/>
      <c r="BY773" s="1684"/>
      <c r="BZ773" s="1684"/>
      <c r="CA773" s="1684"/>
      <c r="CB773" s="1684"/>
      <c r="CC773" s="1684"/>
      <c r="CD773" s="1684"/>
      <c r="CE773" s="1684"/>
      <c r="CF773" s="1684"/>
      <c r="CG773" s="1684"/>
      <c r="CH773" s="1684"/>
      <c r="CI773" s="1684"/>
      <c r="CJ773" s="1684"/>
      <c r="CK773" s="1684"/>
      <c r="CL773" s="1684"/>
      <c r="CM773" s="1684"/>
      <c r="CN773" s="1684"/>
      <c r="CO773" s="1684"/>
    </row>
    <row r="774" spans="1:93" s="1391" customFormat="1" ht="15" x14ac:dyDescent="0.2">
      <c r="A774" s="1684"/>
      <c r="B774" s="1684"/>
      <c r="C774" s="2013">
        <v>13</v>
      </c>
      <c r="D774" s="5">
        <v>8.5410000000000004</v>
      </c>
      <c r="E774" s="5">
        <v>248</v>
      </c>
      <c r="F774" s="5">
        <v>273</v>
      </c>
      <c r="G774" s="5">
        <v>297</v>
      </c>
      <c r="H774" s="5">
        <v>320</v>
      </c>
      <c r="I774" s="5">
        <v>343</v>
      </c>
      <c r="J774" s="5">
        <v>366</v>
      </c>
      <c r="K774" s="5">
        <v>389</v>
      </c>
      <c r="L774" s="5">
        <v>411</v>
      </c>
      <c r="M774" s="5">
        <v>431</v>
      </c>
      <c r="N774" s="5">
        <v>453</v>
      </c>
      <c r="O774" s="5">
        <v>473</v>
      </c>
      <c r="P774" s="5">
        <v>494</v>
      </c>
      <c r="Q774" s="1160">
        <v>72</v>
      </c>
      <c r="R774"/>
      <c r="S774" s="1684"/>
      <c r="T774" s="1684"/>
      <c r="U774" s="1684"/>
      <c r="V774" s="1684"/>
      <c r="W774" s="1684"/>
      <c r="X774" s="1684"/>
      <c r="Y774" s="1684"/>
      <c r="Z774" s="1684"/>
      <c r="AA774" s="1684"/>
      <c r="AB774" s="1684"/>
      <c r="AC774" s="1684"/>
      <c r="AD774" s="1684"/>
      <c r="AE774" s="1684"/>
      <c r="AF774" s="1684"/>
      <c r="AG774" s="1684"/>
      <c r="AH774" s="1684"/>
      <c r="AI774" s="1684"/>
      <c r="AJ774" s="1684"/>
      <c r="AK774" s="1684"/>
      <c r="AL774" s="1684"/>
      <c r="AM774" s="1684"/>
      <c r="AN774" s="1684"/>
      <c r="AO774" s="1684"/>
      <c r="AP774" s="1684"/>
      <c r="AQ774" s="1684"/>
      <c r="AR774" s="1684"/>
      <c r="AS774" s="1684"/>
      <c r="AT774" s="1684"/>
      <c r="AU774" s="1684"/>
      <c r="AV774" s="1684"/>
      <c r="AW774" s="1684"/>
      <c r="AX774" s="1684"/>
      <c r="AY774" s="1684"/>
      <c r="AZ774" s="1684"/>
      <c r="BA774" s="1684"/>
      <c r="BB774" s="1684"/>
      <c r="BC774" s="1684"/>
      <c r="BD774" s="1684"/>
      <c r="BE774" s="1684"/>
      <c r="BF774" s="1684"/>
      <c r="BG774" s="1684"/>
      <c r="BH774" s="1684"/>
      <c r="BI774" s="1684"/>
      <c r="BJ774" s="1684"/>
      <c r="BK774" s="1684"/>
      <c r="BL774" s="1684"/>
      <c r="BM774" s="1684"/>
      <c r="BN774" s="1684"/>
      <c r="BO774" s="1684"/>
      <c r="BP774" s="1684"/>
      <c r="BQ774" s="1684"/>
      <c r="BR774" s="1684"/>
      <c r="BS774" s="1684"/>
      <c r="BT774" s="1684"/>
      <c r="BU774" s="1684"/>
      <c r="BV774" s="1684"/>
      <c r="BW774" s="1684"/>
      <c r="BX774" s="1684"/>
      <c r="BY774" s="1684"/>
      <c r="BZ774" s="1684"/>
      <c r="CA774" s="1684"/>
      <c r="CB774" s="1684"/>
      <c r="CC774" s="1684"/>
      <c r="CD774" s="1684"/>
      <c r="CE774" s="1684"/>
      <c r="CF774" s="1684"/>
      <c r="CG774" s="1684"/>
      <c r="CH774" s="1684"/>
      <c r="CI774" s="1684"/>
      <c r="CJ774" s="1684"/>
      <c r="CK774" s="1684"/>
      <c r="CL774" s="1684"/>
      <c r="CM774" s="1684"/>
      <c r="CN774" s="1684"/>
      <c r="CO774" s="1684"/>
    </row>
    <row r="775" spans="1:93" s="1391" customFormat="1" ht="15" x14ac:dyDescent="0.2">
      <c r="A775" s="1684"/>
      <c r="B775" s="1684"/>
      <c r="C775" s="2013">
        <v>14</v>
      </c>
      <c r="D775" s="5">
        <v>9.1359999999999992</v>
      </c>
      <c r="E775" s="5">
        <v>269</v>
      </c>
      <c r="F775" s="5">
        <v>296</v>
      </c>
      <c r="G775" s="5">
        <v>322</v>
      </c>
      <c r="H775" s="5">
        <v>347</v>
      </c>
      <c r="I775" s="5">
        <v>371</v>
      </c>
      <c r="J775" s="5">
        <v>395</v>
      </c>
      <c r="K775" s="5">
        <v>415</v>
      </c>
      <c r="L775" s="5">
        <v>440</v>
      </c>
      <c r="M775" s="5">
        <v>465</v>
      </c>
      <c r="N775" s="5">
        <v>488</v>
      </c>
      <c r="O775" s="5">
        <v>510</v>
      </c>
      <c r="P775" s="5">
        <v>532</v>
      </c>
      <c r="Q775" s="1160">
        <v>73</v>
      </c>
      <c r="R775"/>
      <c r="S775" s="1684"/>
      <c r="T775" s="1684"/>
      <c r="U775" s="1684"/>
      <c r="V775" s="1684"/>
      <c r="W775" s="1684"/>
      <c r="X775" s="1684"/>
      <c r="Y775" s="1684"/>
      <c r="Z775" s="1684"/>
      <c r="AA775" s="1684"/>
      <c r="AB775" s="1684"/>
      <c r="AC775" s="1684"/>
      <c r="AD775" s="1684"/>
      <c r="AE775" s="1684"/>
      <c r="AF775" s="1684"/>
      <c r="AG775" s="1684"/>
      <c r="AH775" s="1684"/>
      <c r="AI775" s="1684"/>
      <c r="AJ775" s="1684"/>
      <c r="AK775" s="1684"/>
      <c r="AL775" s="1684"/>
      <c r="AM775" s="1684"/>
      <c r="AN775" s="1684"/>
      <c r="AO775" s="1684"/>
      <c r="AP775" s="1684"/>
      <c r="AQ775" s="1684"/>
      <c r="AR775" s="1684"/>
      <c r="AS775" s="1684"/>
      <c r="AT775" s="1684"/>
      <c r="AU775" s="1684"/>
      <c r="AV775" s="1684"/>
      <c r="AW775" s="1684"/>
      <c r="AX775" s="1684"/>
      <c r="AY775" s="1684"/>
      <c r="AZ775" s="1684"/>
      <c r="BA775" s="1684"/>
      <c r="BB775" s="1684"/>
      <c r="BC775" s="1684"/>
      <c r="BD775" s="1684"/>
      <c r="BE775" s="1684"/>
      <c r="BF775" s="1684"/>
      <c r="BG775" s="1684"/>
      <c r="BH775" s="1684"/>
      <c r="BI775" s="1684"/>
      <c r="BJ775" s="1684"/>
      <c r="BK775" s="1684"/>
      <c r="BL775" s="1684"/>
      <c r="BM775" s="1684"/>
      <c r="BN775" s="1684"/>
      <c r="BO775" s="1684"/>
      <c r="BP775" s="1684"/>
      <c r="BQ775" s="1684"/>
      <c r="BR775" s="1684"/>
      <c r="BS775" s="1684"/>
      <c r="BT775" s="1684"/>
      <c r="BU775" s="1684"/>
      <c r="BV775" s="1684"/>
      <c r="BW775" s="1684"/>
      <c r="BX775" s="1684"/>
      <c r="BY775" s="1684"/>
      <c r="BZ775" s="1684"/>
      <c r="CA775" s="1684"/>
      <c r="CB775" s="1684"/>
      <c r="CC775" s="1684"/>
      <c r="CD775" s="1684"/>
      <c r="CE775" s="1684"/>
      <c r="CF775" s="1684"/>
      <c r="CG775" s="1684"/>
      <c r="CH775" s="1684"/>
      <c r="CI775" s="1684"/>
      <c r="CJ775" s="1684"/>
      <c r="CK775" s="1684"/>
      <c r="CL775" s="1684"/>
      <c r="CM775" s="1684"/>
      <c r="CN775" s="1684"/>
      <c r="CO775" s="1684"/>
    </row>
    <row r="776" spans="1:93" s="1391" customFormat="1" ht="15" x14ac:dyDescent="0.2">
      <c r="A776" s="1684"/>
      <c r="B776" s="1684"/>
      <c r="C776" s="2013">
        <v>15</v>
      </c>
      <c r="D776" s="5">
        <v>9.7579999999999991</v>
      </c>
      <c r="E776" s="5">
        <v>291</v>
      </c>
      <c r="F776" s="5">
        <v>320</v>
      </c>
      <c r="G776" s="5">
        <v>347</v>
      </c>
      <c r="H776" s="5">
        <v>373</v>
      </c>
      <c r="I776" s="5">
        <v>400</v>
      </c>
      <c r="J776" s="5">
        <v>425</v>
      </c>
      <c r="K776" s="5">
        <v>448</v>
      </c>
      <c r="L776" s="5">
        <v>474</v>
      </c>
      <c r="M776" s="5">
        <v>500</v>
      </c>
      <c r="N776" s="5">
        <v>524</v>
      </c>
      <c r="O776" s="5">
        <v>548</v>
      </c>
      <c r="P776" s="5">
        <v>571</v>
      </c>
      <c r="Q776" s="1160">
        <v>74</v>
      </c>
      <c r="R776"/>
      <c r="S776" s="1684"/>
      <c r="T776" s="1684"/>
      <c r="U776" s="1684"/>
      <c r="V776" s="1684"/>
      <c r="W776" s="1684"/>
      <c r="X776" s="1684"/>
      <c r="Y776" s="1684"/>
      <c r="Z776" s="1684"/>
      <c r="AA776" s="1684"/>
      <c r="AB776" s="1684"/>
      <c r="AC776" s="1684"/>
      <c r="AD776" s="1684"/>
      <c r="AE776" s="1684"/>
      <c r="AF776" s="1684"/>
      <c r="AG776" s="1684"/>
      <c r="AH776" s="1684"/>
      <c r="AI776" s="1684"/>
      <c r="AJ776" s="1684"/>
      <c r="AK776" s="1684"/>
      <c r="AL776" s="1684"/>
      <c r="AM776" s="1684"/>
      <c r="AN776" s="1684"/>
      <c r="AO776" s="1684"/>
      <c r="AP776" s="1684"/>
      <c r="AQ776" s="1684"/>
      <c r="AR776" s="1684"/>
      <c r="AS776" s="1684"/>
      <c r="AT776" s="1684"/>
      <c r="AU776" s="1684"/>
      <c r="AV776" s="1684"/>
      <c r="AW776" s="1684"/>
      <c r="AX776" s="1684"/>
      <c r="AY776" s="1684"/>
      <c r="AZ776" s="1684"/>
      <c r="BA776" s="1684"/>
      <c r="BB776" s="1684"/>
      <c r="BC776" s="1684"/>
      <c r="BD776" s="1684"/>
      <c r="BE776" s="1684"/>
      <c r="BF776" s="1684"/>
      <c r="BG776" s="1684"/>
      <c r="BH776" s="1684"/>
      <c r="BI776" s="1684"/>
      <c r="BJ776" s="1684"/>
      <c r="BK776" s="1684"/>
      <c r="BL776" s="1684"/>
      <c r="BM776" s="1684"/>
      <c r="BN776" s="1684"/>
      <c r="BO776" s="1684"/>
      <c r="BP776" s="1684"/>
      <c r="BQ776" s="1684"/>
      <c r="BR776" s="1684"/>
      <c r="BS776" s="1684"/>
      <c r="BT776" s="1684"/>
      <c r="BU776" s="1684"/>
      <c r="BV776" s="1684"/>
      <c r="BW776" s="1684"/>
      <c r="BX776" s="1684"/>
      <c r="BY776" s="1684"/>
      <c r="BZ776" s="1684"/>
      <c r="CA776" s="1684"/>
      <c r="CB776" s="1684"/>
      <c r="CC776" s="1684"/>
      <c r="CD776" s="1684"/>
      <c r="CE776" s="1684"/>
      <c r="CF776" s="1684"/>
      <c r="CG776" s="1684"/>
      <c r="CH776" s="1684"/>
      <c r="CI776" s="1684"/>
      <c r="CJ776" s="1684"/>
      <c r="CK776" s="1684"/>
      <c r="CL776" s="1684"/>
      <c r="CM776" s="1684"/>
      <c r="CN776" s="1684"/>
      <c r="CO776" s="1684"/>
    </row>
    <row r="777" spans="1:93" s="1391" customFormat="1" ht="15" x14ac:dyDescent="0.2">
      <c r="A777" s="1684"/>
      <c r="B777" s="1684"/>
      <c r="C777" s="2013">
        <v>16</v>
      </c>
      <c r="D777" s="5">
        <v>10.548</v>
      </c>
      <c r="E777" s="5">
        <v>311</v>
      </c>
      <c r="F777" s="5">
        <v>342</v>
      </c>
      <c r="G777" s="5">
        <v>371</v>
      </c>
      <c r="H777" s="5">
        <v>399</v>
      </c>
      <c r="I777" s="5">
        <v>427</v>
      </c>
      <c r="J777" s="5">
        <v>454</v>
      </c>
      <c r="K777" s="5">
        <v>480</v>
      </c>
      <c r="L777" s="5">
        <v>503</v>
      </c>
      <c r="M777" s="5">
        <v>533</v>
      </c>
      <c r="N777" s="5">
        <v>558</v>
      </c>
      <c r="O777" s="5">
        <v>583</v>
      </c>
      <c r="P777" s="5">
        <v>608</v>
      </c>
      <c r="Q777" s="1160">
        <v>75</v>
      </c>
      <c r="R777"/>
      <c r="S777" s="1684"/>
      <c r="T777" s="1684"/>
      <c r="U777" s="1684"/>
      <c r="V777" s="1684"/>
      <c r="W777" s="1684"/>
      <c r="X777" s="1684"/>
      <c r="Y777" s="1684"/>
      <c r="Z777" s="1684"/>
      <c r="AA777" s="1684"/>
      <c r="AB777" s="1684"/>
      <c r="AC777" s="1684"/>
      <c r="AD777" s="1684"/>
      <c r="AE777" s="1684"/>
      <c r="AF777" s="1684"/>
      <c r="AG777" s="1684"/>
      <c r="AH777" s="1684"/>
      <c r="AI777" s="1684"/>
      <c r="AJ777" s="1684"/>
      <c r="AK777" s="1684"/>
      <c r="AL777" s="1684"/>
      <c r="AM777" s="1684"/>
      <c r="AN777" s="1684"/>
      <c r="AO777" s="1684"/>
      <c r="AP777" s="1684"/>
      <c r="AQ777" s="1684"/>
      <c r="AR777" s="1684"/>
      <c r="AS777" s="1684"/>
      <c r="AT777" s="1684"/>
      <c r="AU777" s="1684"/>
      <c r="AV777" s="1684"/>
      <c r="AW777" s="1684"/>
      <c r="AX777" s="1684"/>
      <c r="AY777" s="1684"/>
      <c r="AZ777" s="1684"/>
      <c r="BA777" s="1684"/>
      <c r="BB777" s="1684"/>
      <c r="BC777" s="1684"/>
      <c r="BD777" s="1684"/>
      <c r="BE777" s="1684"/>
      <c r="BF777" s="1684"/>
      <c r="BG777" s="1684"/>
      <c r="BH777" s="1684"/>
      <c r="BI777" s="1684"/>
      <c r="BJ777" s="1684"/>
      <c r="BK777" s="1684"/>
      <c r="BL777" s="1684"/>
      <c r="BM777" s="1684"/>
      <c r="BN777" s="1684"/>
      <c r="BO777" s="1684"/>
      <c r="BP777" s="1684"/>
      <c r="BQ777" s="1684"/>
      <c r="BR777" s="1684"/>
      <c r="BS777" s="1684"/>
      <c r="BT777" s="1684"/>
      <c r="BU777" s="1684"/>
      <c r="BV777" s="1684"/>
      <c r="BW777" s="1684"/>
      <c r="BX777" s="1684"/>
      <c r="BY777" s="1684"/>
      <c r="BZ777" s="1684"/>
      <c r="CA777" s="1684"/>
      <c r="CB777" s="1684"/>
      <c r="CC777" s="1684"/>
      <c r="CD777" s="1684"/>
      <c r="CE777" s="1684"/>
      <c r="CF777" s="1684"/>
      <c r="CG777" s="1684"/>
      <c r="CH777" s="1684"/>
      <c r="CI777" s="1684"/>
      <c r="CJ777" s="1684"/>
      <c r="CK777" s="1684"/>
      <c r="CL777" s="1684"/>
      <c r="CM777" s="1684"/>
      <c r="CN777" s="1684"/>
      <c r="CO777" s="1684"/>
    </row>
    <row r="778" spans="1:93" s="1391" customFormat="1" ht="15" x14ac:dyDescent="0.2">
      <c r="A778" s="1684"/>
      <c r="B778" s="1684"/>
      <c r="C778" s="2013">
        <v>17</v>
      </c>
      <c r="D778" s="5">
        <v>11.385999999999999</v>
      </c>
      <c r="E778" s="5">
        <v>331</v>
      </c>
      <c r="F778" s="5">
        <v>363</v>
      </c>
      <c r="G778" s="5">
        <v>394</v>
      </c>
      <c r="H778" s="5">
        <v>423</v>
      </c>
      <c r="I778" s="5">
        <v>453</v>
      </c>
      <c r="J778" s="5">
        <v>481</v>
      </c>
      <c r="K778" s="5">
        <v>509</v>
      </c>
      <c r="L778" s="5">
        <v>533</v>
      </c>
      <c r="M778" s="5">
        <v>564</v>
      </c>
      <c r="N778" s="5">
        <v>590</v>
      </c>
      <c r="O778" s="5">
        <v>616</v>
      </c>
      <c r="P778" s="5">
        <v>641</v>
      </c>
      <c r="Q778" s="1160">
        <v>76</v>
      </c>
      <c r="R778"/>
      <c r="S778" s="1684"/>
      <c r="T778" s="1684"/>
      <c r="U778" s="1684"/>
      <c r="V778" s="1684"/>
      <c r="W778" s="1684"/>
      <c r="X778" s="1684"/>
      <c r="Y778" s="1684"/>
      <c r="Z778" s="1684"/>
      <c r="AA778" s="1684"/>
      <c r="AB778" s="1684"/>
      <c r="AC778" s="1684"/>
      <c r="AD778" s="1684"/>
      <c r="AE778" s="1684"/>
      <c r="AF778" s="1684"/>
      <c r="AG778" s="1684"/>
      <c r="AH778" s="1684"/>
      <c r="AI778" s="1684"/>
      <c r="AJ778" s="1684"/>
      <c r="AK778" s="1684"/>
      <c r="AL778" s="1684"/>
      <c r="AM778" s="1684"/>
      <c r="AN778" s="1684"/>
      <c r="AO778" s="1684"/>
      <c r="AP778" s="1684"/>
      <c r="AQ778" s="1684"/>
      <c r="AR778" s="1684"/>
      <c r="AS778" s="1684"/>
      <c r="AT778" s="1684"/>
      <c r="AU778" s="1684"/>
      <c r="AV778" s="1684"/>
      <c r="AW778" s="1684"/>
      <c r="AX778" s="1684"/>
      <c r="AY778" s="1684"/>
      <c r="AZ778" s="1684"/>
      <c r="BA778" s="1684"/>
      <c r="BB778" s="1684"/>
      <c r="BC778" s="1684"/>
      <c r="BD778" s="1684"/>
      <c r="BE778" s="1684"/>
      <c r="BF778" s="1684"/>
      <c r="BG778" s="1684"/>
      <c r="BH778" s="1684"/>
      <c r="BI778" s="1684"/>
      <c r="BJ778" s="1684"/>
      <c r="BK778" s="1684"/>
      <c r="BL778" s="1684"/>
      <c r="BM778" s="1684"/>
      <c r="BN778" s="1684"/>
      <c r="BO778" s="1684"/>
      <c r="BP778" s="1684"/>
      <c r="BQ778" s="1684"/>
      <c r="BR778" s="1684"/>
      <c r="BS778" s="1684"/>
      <c r="BT778" s="1684"/>
      <c r="BU778" s="1684"/>
      <c r="BV778" s="1684"/>
      <c r="BW778" s="1684"/>
      <c r="BX778" s="1684"/>
      <c r="BY778" s="1684"/>
      <c r="BZ778" s="1684"/>
      <c r="CA778" s="1684"/>
      <c r="CB778" s="1684"/>
      <c r="CC778" s="1684"/>
      <c r="CD778" s="1684"/>
      <c r="CE778" s="1684"/>
      <c r="CF778" s="1684"/>
      <c r="CG778" s="1684"/>
      <c r="CH778" s="1684"/>
      <c r="CI778" s="1684"/>
      <c r="CJ778" s="1684"/>
      <c r="CK778" s="1684"/>
      <c r="CL778" s="1684"/>
      <c r="CM778" s="1684"/>
      <c r="CN778" s="1684"/>
      <c r="CO778" s="1684"/>
    </row>
    <row r="779" spans="1:93" s="1391" customFormat="1" ht="15" x14ac:dyDescent="0.2">
      <c r="A779" s="1684"/>
      <c r="B779" s="1684"/>
      <c r="C779" s="2013">
        <v>18</v>
      </c>
      <c r="D779" s="5">
        <v>11.936999999999999</v>
      </c>
      <c r="E779" s="5">
        <v>348</v>
      </c>
      <c r="F779" s="5">
        <v>382</v>
      </c>
      <c r="G779" s="5">
        <v>414</v>
      </c>
      <c r="H779" s="5">
        <v>445</v>
      </c>
      <c r="I779" s="5">
        <v>476</v>
      </c>
      <c r="J779" s="5">
        <v>503</v>
      </c>
      <c r="K779" s="5">
        <v>535</v>
      </c>
      <c r="L779" s="5">
        <v>562</v>
      </c>
      <c r="M779" s="5">
        <v>591</v>
      </c>
      <c r="N779" s="5">
        <v>619</v>
      </c>
      <c r="O779" s="5">
        <v>645</v>
      </c>
      <c r="P779" s="5">
        <v>672</v>
      </c>
      <c r="Q779" s="1160">
        <v>77</v>
      </c>
      <c r="R779"/>
      <c r="S779" s="1684"/>
      <c r="T779" s="1684"/>
      <c r="U779" s="1684"/>
      <c r="V779" s="1684"/>
      <c r="W779" s="1684"/>
      <c r="X779" s="1684"/>
      <c r="Y779" s="1684"/>
      <c r="Z779" s="1684"/>
      <c r="AA779" s="1684"/>
      <c r="AB779" s="1684"/>
      <c r="AC779" s="1684"/>
      <c r="AD779" s="1684"/>
      <c r="AE779" s="1684"/>
      <c r="AF779" s="1684"/>
      <c r="AG779" s="1684"/>
      <c r="AH779" s="1684"/>
      <c r="AI779" s="1684"/>
      <c r="AJ779" s="1684"/>
      <c r="AK779" s="1684"/>
      <c r="AL779" s="1684"/>
      <c r="AM779" s="1684"/>
      <c r="AN779" s="1684"/>
      <c r="AO779" s="1684"/>
      <c r="AP779" s="1684"/>
      <c r="AQ779" s="1684"/>
      <c r="AR779" s="1684"/>
      <c r="AS779" s="1684"/>
      <c r="AT779" s="1684"/>
      <c r="AU779" s="1684"/>
      <c r="AV779" s="1684"/>
      <c r="AW779" s="1684"/>
      <c r="AX779" s="1684"/>
      <c r="AY779" s="1684"/>
      <c r="AZ779" s="1684"/>
      <c r="BA779" s="1684"/>
      <c r="BB779" s="1684"/>
      <c r="BC779" s="1684"/>
      <c r="BD779" s="1684"/>
      <c r="BE779" s="1684"/>
      <c r="BF779" s="1684"/>
      <c r="BG779" s="1684"/>
      <c r="BH779" s="1684"/>
      <c r="BI779" s="1684"/>
      <c r="BJ779" s="1684"/>
      <c r="BK779" s="1684"/>
      <c r="BL779" s="1684"/>
      <c r="BM779" s="1684"/>
      <c r="BN779" s="1684"/>
      <c r="BO779" s="1684"/>
      <c r="BP779" s="1684"/>
      <c r="BQ779" s="1684"/>
      <c r="BR779" s="1684"/>
      <c r="BS779" s="1684"/>
      <c r="BT779" s="1684"/>
      <c r="BU779" s="1684"/>
      <c r="BV779" s="1684"/>
      <c r="BW779" s="1684"/>
      <c r="BX779" s="1684"/>
      <c r="BY779" s="1684"/>
      <c r="BZ779" s="1684"/>
      <c r="CA779" s="1684"/>
      <c r="CB779" s="1684"/>
      <c r="CC779" s="1684"/>
      <c r="CD779" s="1684"/>
      <c r="CE779" s="1684"/>
      <c r="CF779" s="1684"/>
      <c r="CG779" s="1684"/>
      <c r="CH779" s="1684"/>
      <c r="CI779" s="1684"/>
      <c r="CJ779" s="1684"/>
      <c r="CK779" s="1684"/>
      <c r="CL779" s="1684"/>
      <c r="CM779" s="1684"/>
      <c r="CN779" s="1684"/>
      <c r="CO779" s="1684"/>
    </row>
    <row r="780" spans="1:93" s="1391" customFormat="1" ht="15" x14ac:dyDescent="0.2">
      <c r="A780" s="1684"/>
      <c r="B780" s="1684"/>
      <c r="C780" s="4680" t="s">
        <v>3693</v>
      </c>
      <c r="D780" s="4681"/>
      <c r="E780" s="4681"/>
      <c r="F780" s="4681"/>
      <c r="G780" s="4681"/>
      <c r="H780" s="4681"/>
      <c r="I780" s="4681"/>
      <c r="J780" s="4681"/>
      <c r="K780" s="4681"/>
      <c r="L780" s="4681"/>
      <c r="M780" s="4681"/>
      <c r="N780" s="4681"/>
      <c r="O780" s="4681"/>
      <c r="P780" s="4681"/>
      <c r="Q780" s="4682"/>
      <c r="R780"/>
      <c r="S780" s="1684"/>
      <c r="T780" s="1684"/>
      <c r="U780" s="1684"/>
      <c r="V780" s="1684"/>
      <c r="W780" s="1684"/>
      <c r="X780" s="1684"/>
      <c r="Y780" s="1684"/>
      <c r="Z780" s="1684"/>
      <c r="AA780" s="1684"/>
      <c r="AB780" s="1684"/>
      <c r="AC780" s="1684"/>
      <c r="AD780" s="1684"/>
      <c r="AE780" s="1684"/>
      <c r="AF780" s="1684"/>
      <c r="AG780" s="1684"/>
      <c r="AH780" s="1684"/>
      <c r="AI780" s="1684"/>
      <c r="AJ780" s="1684"/>
      <c r="AK780" s="1684"/>
      <c r="AL780" s="1684"/>
      <c r="AM780" s="1684"/>
      <c r="AN780" s="1684"/>
      <c r="AO780" s="1684"/>
      <c r="AP780" s="1684"/>
      <c r="AQ780" s="1684"/>
      <c r="AR780" s="1684"/>
      <c r="AS780" s="1684"/>
      <c r="AT780" s="1684"/>
      <c r="AU780" s="1684"/>
      <c r="AV780" s="1684"/>
      <c r="AW780" s="1684"/>
      <c r="AX780" s="1684"/>
      <c r="AY780" s="1684"/>
      <c r="AZ780" s="1684"/>
      <c r="BA780" s="1684"/>
      <c r="BB780" s="1684"/>
      <c r="BC780" s="1684"/>
      <c r="BD780" s="1684"/>
      <c r="BE780" s="1684"/>
      <c r="BF780" s="1684"/>
      <c r="BG780" s="1684"/>
      <c r="BH780" s="1684"/>
      <c r="BI780" s="1684"/>
      <c r="BJ780" s="1684"/>
      <c r="BK780" s="1684"/>
      <c r="BL780" s="1684"/>
      <c r="BM780" s="1684"/>
      <c r="BN780" s="1684"/>
      <c r="BO780" s="1684"/>
      <c r="BP780" s="1684"/>
      <c r="BQ780" s="1684"/>
      <c r="BR780" s="1684"/>
      <c r="BS780" s="1684"/>
      <c r="BT780" s="1684"/>
      <c r="BU780" s="1684"/>
      <c r="BV780" s="1684"/>
      <c r="BW780" s="1684"/>
      <c r="BX780" s="1684"/>
      <c r="BY780" s="1684"/>
      <c r="BZ780" s="1684"/>
      <c r="CA780" s="1684"/>
      <c r="CB780" s="1684"/>
      <c r="CC780" s="1684"/>
      <c r="CD780" s="1684"/>
      <c r="CE780" s="1684"/>
      <c r="CF780" s="1684"/>
      <c r="CG780" s="1684"/>
      <c r="CH780" s="1684"/>
      <c r="CI780" s="1684"/>
      <c r="CJ780" s="1684"/>
      <c r="CK780" s="1684"/>
      <c r="CL780" s="1684"/>
      <c r="CM780" s="1684"/>
      <c r="CN780" s="1684"/>
      <c r="CO780" s="1684"/>
    </row>
    <row r="781" spans="1:93" s="1391" customFormat="1" ht="15" x14ac:dyDescent="0.2">
      <c r="A781" s="1684"/>
      <c r="B781" s="1684"/>
      <c r="C781" s="4680"/>
      <c r="D781" s="4681"/>
      <c r="E781" s="4681"/>
      <c r="F781" s="4681"/>
      <c r="G781" s="4681"/>
      <c r="H781" s="4681"/>
      <c r="I781" s="4681"/>
      <c r="J781" s="4681"/>
      <c r="K781" s="4681"/>
      <c r="L781" s="4681"/>
      <c r="M781" s="4681"/>
      <c r="N781" s="4681"/>
      <c r="O781" s="4681"/>
      <c r="P781" s="4681"/>
      <c r="Q781" s="4682"/>
      <c r="R781"/>
      <c r="S781" s="1684"/>
      <c r="T781" s="1684"/>
      <c r="U781" s="1684"/>
      <c r="V781" s="1684"/>
      <c r="W781" s="1684"/>
      <c r="X781" s="1684"/>
      <c r="Y781" s="1684"/>
      <c r="Z781" s="1684"/>
      <c r="AA781" s="1684"/>
      <c r="AB781" s="1684"/>
      <c r="AC781" s="1684"/>
      <c r="AD781" s="1684"/>
      <c r="AE781" s="1684"/>
      <c r="AF781" s="1684"/>
      <c r="AG781" s="1684"/>
      <c r="AH781" s="1684"/>
      <c r="AI781" s="1684"/>
      <c r="AJ781" s="1684"/>
      <c r="AK781" s="1684"/>
      <c r="AL781" s="1684"/>
      <c r="AM781" s="1684"/>
      <c r="AN781" s="1684"/>
      <c r="AO781" s="1684"/>
      <c r="AP781" s="1684"/>
      <c r="AQ781" s="1684"/>
      <c r="AR781" s="1684"/>
      <c r="AS781" s="1684"/>
      <c r="AT781" s="1684"/>
      <c r="AU781" s="1684"/>
      <c r="AV781" s="1684"/>
      <c r="AW781" s="1684"/>
      <c r="AX781" s="1684"/>
      <c r="AY781" s="1684"/>
      <c r="AZ781" s="1684"/>
      <c r="BA781" s="1684"/>
      <c r="BB781" s="1684"/>
      <c r="BC781" s="1684"/>
      <c r="BD781" s="1684"/>
      <c r="BE781" s="1684"/>
      <c r="BF781" s="1684"/>
      <c r="BG781" s="1684"/>
      <c r="BH781" s="1684"/>
      <c r="BI781" s="1684"/>
      <c r="BJ781" s="1684"/>
      <c r="BK781" s="1684"/>
      <c r="BL781" s="1684"/>
      <c r="BM781" s="1684"/>
      <c r="BN781" s="1684"/>
      <c r="BO781" s="1684"/>
      <c r="BP781" s="1684"/>
      <c r="BQ781" s="1684"/>
      <c r="BR781" s="1684"/>
      <c r="BS781" s="1684"/>
      <c r="BT781" s="1684"/>
      <c r="BU781" s="1684"/>
      <c r="BV781" s="1684"/>
      <c r="BW781" s="1684"/>
      <c r="BX781" s="1684"/>
      <c r="BY781" s="1684"/>
      <c r="BZ781" s="1684"/>
      <c r="CA781" s="1684"/>
      <c r="CB781" s="1684"/>
      <c r="CC781" s="1684"/>
      <c r="CD781" s="1684"/>
      <c r="CE781" s="1684"/>
      <c r="CF781" s="1684"/>
      <c r="CG781" s="1684"/>
      <c r="CH781" s="1684"/>
      <c r="CI781" s="1684"/>
      <c r="CJ781" s="1684"/>
      <c r="CK781" s="1684"/>
      <c r="CL781" s="1684"/>
      <c r="CM781" s="1684"/>
      <c r="CN781" s="1684"/>
      <c r="CO781" s="1684"/>
    </row>
    <row r="782" spans="1:93" s="1391" customFormat="1" ht="15" x14ac:dyDescent="0.2">
      <c r="A782" s="1684"/>
      <c r="B782" s="1684"/>
      <c r="C782" s="2013"/>
      <c r="D782" s="5"/>
      <c r="E782" s="5">
        <v>1</v>
      </c>
      <c r="F782" s="5">
        <v>2</v>
      </c>
      <c r="G782" s="5">
        <v>3</v>
      </c>
      <c r="H782" s="5">
        <v>4</v>
      </c>
      <c r="I782" s="5">
        <v>5</v>
      </c>
      <c r="J782" s="5">
        <v>6</v>
      </c>
      <c r="K782" s="5">
        <v>7</v>
      </c>
      <c r="L782" s="5">
        <v>8</v>
      </c>
      <c r="M782" s="5">
        <v>9</v>
      </c>
      <c r="N782" s="5">
        <v>10</v>
      </c>
      <c r="O782" s="5">
        <v>11</v>
      </c>
      <c r="P782" s="5">
        <v>12</v>
      </c>
      <c r="Q782" s="1160"/>
      <c r="R782"/>
      <c r="S782" s="1684"/>
      <c r="T782" s="1684"/>
      <c r="U782" s="1684"/>
      <c r="V782" s="1684"/>
      <c r="W782" s="1684"/>
      <c r="X782" s="1684"/>
      <c r="Y782" s="1684"/>
      <c r="Z782" s="1684"/>
      <c r="AA782" s="1684"/>
      <c r="AB782" s="1684"/>
      <c r="AC782" s="1684"/>
      <c r="AD782" s="1684"/>
      <c r="AE782" s="1684"/>
      <c r="AF782" s="1684"/>
      <c r="AG782" s="1684"/>
      <c r="AH782" s="1684"/>
      <c r="AI782" s="1684"/>
      <c r="AJ782" s="1684"/>
      <c r="AK782" s="1684"/>
      <c r="AL782" s="1684"/>
      <c r="AM782" s="1684"/>
      <c r="AN782" s="1684"/>
      <c r="AO782" s="1684"/>
      <c r="AP782" s="1684"/>
      <c r="AQ782" s="1684"/>
      <c r="AR782" s="1684"/>
      <c r="AS782" s="1684"/>
      <c r="AT782" s="1684"/>
      <c r="AU782" s="1684"/>
      <c r="AV782" s="1684"/>
      <c r="AW782" s="1684"/>
      <c r="AX782" s="1684"/>
      <c r="AY782" s="1684"/>
      <c r="AZ782" s="1684"/>
      <c r="BA782" s="1684"/>
      <c r="BB782" s="1684"/>
      <c r="BC782" s="1684"/>
      <c r="BD782" s="1684"/>
      <c r="BE782" s="1684"/>
      <c r="BF782" s="1684"/>
      <c r="BG782" s="1684"/>
      <c r="BH782" s="1684"/>
      <c r="BI782" s="1684"/>
      <c r="BJ782" s="1684"/>
      <c r="BK782" s="1684"/>
      <c r="BL782" s="1684"/>
      <c r="BM782" s="1684"/>
      <c r="BN782" s="1684"/>
      <c r="BO782" s="1684"/>
      <c r="BP782" s="1684"/>
      <c r="BQ782" s="1684"/>
      <c r="BR782" s="1684"/>
      <c r="BS782" s="1684"/>
      <c r="BT782" s="1684"/>
      <c r="BU782" s="1684"/>
      <c r="BV782" s="1684"/>
      <c r="BW782" s="1684"/>
      <c r="BX782" s="1684"/>
      <c r="BY782" s="1684"/>
      <c r="BZ782" s="1684"/>
      <c r="CA782" s="1684"/>
      <c r="CB782" s="1684"/>
      <c r="CC782" s="1684"/>
      <c r="CD782" s="1684"/>
      <c r="CE782" s="1684"/>
      <c r="CF782" s="1684"/>
      <c r="CG782" s="1684"/>
      <c r="CH782" s="1684"/>
      <c r="CI782" s="1684"/>
      <c r="CJ782" s="1684"/>
      <c r="CK782" s="1684"/>
      <c r="CL782" s="1684"/>
      <c r="CM782" s="1684"/>
      <c r="CN782" s="1684"/>
      <c r="CO782" s="1684"/>
    </row>
    <row r="783" spans="1:93" s="1391" customFormat="1" ht="15" x14ac:dyDescent="0.2">
      <c r="A783" s="1684"/>
      <c r="B783" s="1684"/>
      <c r="C783" s="2013">
        <v>8</v>
      </c>
      <c r="D783" s="5">
        <v>6.1189999999999998</v>
      </c>
      <c r="E783" s="5">
        <v>159</v>
      </c>
      <c r="F783" s="5">
        <v>176</v>
      </c>
      <c r="G783" s="5">
        <v>191</v>
      </c>
      <c r="H783" s="5">
        <v>207</v>
      </c>
      <c r="I783" s="5">
        <v>222</v>
      </c>
      <c r="J783" s="5">
        <v>238</v>
      </c>
      <c r="K783" s="5">
        <v>253</v>
      </c>
      <c r="L783" s="5">
        <v>268</v>
      </c>
      <c r="M783" s="5">
        <v>282</v>
      </c>
      <c r="N783" s="5">
        <v>297</v>
      </c>
      <c r="O783" s="5">
        <v>312</v>
      </c>
      <c r="P783" s="5">
        <v>326</v>
      </c>
      <c r="Q783" s="1160">
        <v>78</v>
      </c>
      <c r="R783"/>
      <c r="S783" s="1684"/>
      <c r="T783" s="1684"/>
      <c r="U783" s="1684"/>
      <c r="V783" s="1684"/>
      <c r="W783" s="1684"/>
      <c r="X783" s="1684"/>
      <c r="Y783" s="1684"/>
      <c r="Z783" s="1684"/>
      <c r="AA783" s="1684"/>
      <c r="AB783" s="1684"/>
      <c r="AC783" s="1684"/>
      <c r="AD783" s="1684"/>
      <c r="AE783" s="1684"/>
      <c r="AF783" s="1684"/>
      <c r="AG783" s="1684"/>
      <c r="AH783" s="1684"/>
      <c r="AI783" s="1684"/>
      <c r="AJ783" s="1684"/>
      <c r="AK783" s="1684"/>
      <c r="AL783" s="1684"/>
      <c r="AM783" s="1684"/>
      <c r="AN783" s="1684"/>
      <c r="AO783" s="1684"/>
      <c r="AP783" s="1684"/>
      <c r="AQ783" s="1684"/>
      <c r="AR783" s="1684"/>
      <c r="AS783" s="1684"/>
      <c r="AT783" s="1684"/>
      <c r="AU783" s="1684"/>
      <c r="AV783" s="1684"/>
      <c r="AW783" s="1684"/>
      <c r="AX783" s="1684"/>
      <c r="AY783" s="1684"/>
      <c r="AZ783" s="1684"/>
      <c r="BA783" s="1684"/>
      <c r="BB783" s="1684"/>
      <c r="BC783" s="1684"/>
      <c r="BD783" s="1684"/>
      <c r="BE783" s="1684"/>
      <c r="BF783" s="1684"/>
      <c r="BG783" s="1684"/>
      <c r="BH783" s="1684"/>
      <c r="BI783" s="1684"/>
      <c r="BJ783" s="1684"/>
      <c r="BK783" s="1684"/>
      <c r="BL783" s="1684"/>
      <c r="BM783" s="1684"/>
      <c r="BN783" s="1684"/>
      <c r="BO783" s="1684"/>
      <c r="BP783" s="1684"/>
      <c r="BQ783" s="1684"/>
      <c r="BR783" s="1684"/>
      <c r="BS783" s="1684"/>
      <c r="BT783" s="1684"/>
      <c r="BU783" s="1684"/>
      <c r="BV783" s="1684"/>
      <c r="BW783" s="1684"/>
      <c r="BX783" s="1684"/>
      <c r="BY783" s="1684"/>
      <c r="BZ783" s="1684"/>
      <c r="CA783" s="1684"/>
      <c r="CB783" s="1684"/>
      <c r="CC783" s="1684"/>
      <c r="CD783" s="1684"/>
      <c r="CE783" s="1684"/>
      <c r="CF783" s="1684"/>
      <c r="CG783" s="1684"/>
      <c r="CH783" s="1684"/>
      <c r="CI783" s="1684"/>
      <c r="CJ783" s="1684"/>
      <c r="CK783" s="1684"/>
      <c r="CL783" s="1684"/>
      <c r="CM783" s="1684"/>
      <c r="CN783" s="1684"/>
      <c r="CO783" s="1684"/>
    </row>
    <row r="784" spans="1:93" s="1391" customFormat="1" ht="15" x14ac:dyDescent="0.2">
      <c r="A784" s="1684"/>
      <c r="B784" s="1684"/>
      <c r="C784" s="2013">
        <v>9</v>
      </c>
      <c r="D784" s="5">
        <v>6.5519999999999996</v>
      </c>
      <c r="E784" s="5">
        <v>176</v>
      </c>
      <c r="F784" s="5">
        <v>194</v>
      </c>
      <c r="G784" s="5">
        <v>211</v>
      </c>
      <c r="H784" s="5">
        <v>228</v>
      </c>
      <c r="I784" s="5">
        <v>245</v>
      </c>
      <c r="J784" s="5">
        <v>262</v>
      </c>
      <c r="K784" s="5">
        <v>278</v>
      </c>
      <c r="L784" s="5">
        <v>295</v>
      </c>
      <c r="M784" s="5">
        <v>311</v>
      </c>
      <c r="N784" s="5">
        <v>326</v>
      </c>
      <c r="O784" s="5">
        <v>342</v>
      </c>
      <c r="P784" s="5">
        <v>358</v>
      </c>
      <c r="Q784" s="1160">
        <v>79</v>
      </c>
      <c r="R784"/>
      <c r="S784" s="1684"/>
      <c r="T784" s="1684"/>
      <c r="U784" s="1684"/>
      <c r="V784" s="1684"/>
      <c r="W784" s="1684"/>
      <c r="X784" s="1684"/>
      <c r="Y784" s="1684"/>
      <c r="Z784" s="1684"/>
      <c r="AA784" s="1684"/>
      <c r="AB784" s="1684"/>
      <c r="AC784" s="1684"/>
      <c r="AD784" s="1684"/>
      <c r="AE784" s="1684"/>
      <c r="AF784" s="1684"/>
      <c r="AG784" s="1684"/>
      <c r="AH784" s="1684"/>
      <c r="AI784" s="1684"/>
      <c r="AJ784" s="1684"/>
      <c r="AK784" s="1684"/>
      <c r="AL784" s="1684"/>
      <c r="AM784" s="1684"/>
      <c r="AN784" s="1684"/>
      <c r="AO784" s="1684"/>
      <c r="AP784" s="1684"/>
      <c r="AQ784" s="1684"/>
      <c r="AR784" s="1684"/>
      <c r="AS784" s="1684"/>
      <c r="AT784" s="1684"/>
      <c r="AU784" s="1684"/>
      <c r="AV784" s="1684"/>
      <c r="AW784" s="1684"/>
      <c r="AX784" s="1684"/>
      <c r="AY784" s="1684"/>
      <c r="AZ784" s="1684"/>
      <c r="BA784" s="1684"/>
      <c r="BB784" s="1684"/>
      <c r="BC784" s="1684"/>
      <c r="BD784" s="1684"/>
      <c r="BE784" s="1684"/>
      <c r="BF784" s="1684"/>
      <c r="BG784" s="1684"/>
      <c r="BH784" s="1684"/>
      <c r="BI784" s="1684"/>
      <c r="BJ784" s="1684"/>
      <c r="BK784" s="1684"/>
      <c r="BL784" s="1684"/>
      <c r="BM784" s="1684"/>
      <c r="BN784" s="1684"/>
      <c r="BO784" s="1684"/>
      <c r="BP784" s="1684"/>
      <c r="BQ784" s="1684"/>
      <c r="BR784" s="1684"/>
      <c r="BS784" s="1684"/>
      <c r="BT784" s="1684"/>
      <c r="BU784" s="1684"/>
      <c r="BV784" s="1684"/>
      <c r="BW784" s="1684"/>
      <c r="BX784" s="1684"/>
      <c r="BY784" s="1684"/>
      <c r="BZ784" s="1684"/>
      <c r="CA784" s="1684"/>
      <c r="CB784" s="1684"/>
      <c r="CC784" s="1684"/>
      <c r="CD784" s="1684"/>
      <c r="CE784" s="1684"/>
      <c r="CF784" s="1684"/>
      <c r="CG784" s="1684"/>
      <c r="CH784" s="1684"/>
      <c r="CI784" s="1684"/>
      <c r="CJ784" s="1684"/>
      <c r="CK784" s="1684"/>
      <c r="CL784" s="1684"/>
      <c r="CM784" s="1684"/>
      <c r="CN784" s="1684"/>
      <c r="CO784" s="1684"/>
    </row>
    <row r="785" spans="1:93" s="1391" customFormat="1" ht="15" x14ac:dyDescent="0.2">
      <c r="A785" s="1684"/>
      <c r="B785" s="1684"/>
      <c r="C785" s="2013">
        <v>10</v>
      </c>
      <c r="D785" s="5">
        <v>7.0129999999999999</v>
      </c>
      <c r="E785" s="5">
        <v>193</v>
      </c>
      <c r="F785" s="5">
        <v>213</v>
      </c>
      <c r="G785" s="5">
        <v>232</v>
      </c>
      <c r="H785" s="5">
        <v>250</v>
      </c>
      <c r="I785" s="5">
        <v>269</v>
      </c>
      <c r="J785" s="5">
        <v>287</v>
      </c>
      <c r="K785" s="5">
        <v>305</v>
      </c>
      <c r="L785" s="5">
        <v>323</v>
      </c>
      <c r="M785" s="5">
        <v>340</v>
      </c>
      <c r="N785" s="5">
        <v>357</v>
      </c>
      <c r="O785" s="5">
        <v>374</v>
      </c>
      <c r="P785" s="5">
        <v>391</v>
      </c>
      <c r="Q785" s="1160">
        <v>80</v>
      </c>
      <c r="R785"/>
      <c r="S785" s="1684"/>
      <c r="T785" s="1684"/>
      <c r="U785" s="1684"/>
      <c r="V785" s="1684"/>
      <c r="W785" s="1684"/>
      <c r="X785" s="1684"/>
      <c r="Y785" s="1684"/>
      <c r="Z785" s="1684"/>
      <c r="AA785" s="1684"/>
      <c r="AB785" s="1684"/>
      <c r="AC785" s="1684"/>
      <c r="AD785" s="1684"/>
      <c r="AE785" s="1684"/>
      <c r="AF785" s="1684"/>
      <c r="AG785" s="1684"/>
      <c r="AH785" s="1684"/>
      <c r="AI785" s="1684"/>
      <c r="AJ785" s="1684"/>
      <c r="AK785" s="1684"/>
      <c r="AL785" s="1684"/>
      <c r="AM785" s="1684"/>
      <c r="AN785" s="1684"/>
      <c r="AO785" s="1684"/>
      <c r="AP785" s="1684"/>
      <c r="AQ785" s="1684"/>
      <c r="AR785" s="1684"/>
      <c r="AS785" s="1684"/>
      <c r="AT785" s="1684"/>
      <c r="AU785" s="1684"/>
      <c r="AV785" s="1684"/>
      <c r="AW785" s="1684"/>
      <c r="AX785" s="1684"/>
      <c r="AY785" s="1684"/>
      <c r="AZ785" s="1684"/>
      <c r="BA785" s="1684"/>
      <c r="BB785" s="1684"/>
      <c r="BC785" s="1684"/>
      <c r="BD785" s="1684"/>
      <c r="BE785" s="1684"/>
      <c r="BF785" s="1684"/>
      <c r="BG785" s="1684"/>
      <c r="BH785" s="1684"/>
      <c r="BI785" s="1684"/>
      <c r="BJ785" s="1684"/>
      <c r="BK785" s="1684"/>
      <c r="BL785" s="1684"/>
      <c r="BM785" s="1684"/>
      <c r="BN785" s="1684"/>
      <c r="BO785" s="1684"/>
      <c r="BP785" s="1684"/>
      <c r="BQ785" s="1684"/>
      <c r="BR785" s="1684"/>
      <c r="BS785" s="1684"/>
      <c r="BT785" s="1684"/>
      <c r="BU785" s="1684"/>
      <c r="BV785" s="1684"/>
      <c r="BW785" s="1684"/>
      <c r="BX785" s="1684"/>
      <c r="BY785" s="1684"/>
      <c r="BZ785" s="1684"/>
      <c r="CA785" s="1684"/>
      <c r="CB785" s="1684"/>
      <c r="CC785" s="1684"/>
      <c r="CD785" s="1684"/>
      <c r="CE785" s="1684"/>
      <c r="CF785" s="1684"/>
      <c r="CG785" s="1684"/>
      <c r="CH785" s="1684"/>
      <c r="CI785" s="1684"/>
      <c r="CJ785" s="1684"/>
      <c r="CK785" s="1684"/>
      <c r="CL785" s="1684"/>
      <c r="CM785" s="1684"/>
      <c r="CN785" s="1684"/>
      <c r="CO785" s="1684"/>
    </row>
    <row r="786" spans="1:93" s="1391" customFormat="1" ht="15" x14ac:dyDescent="0.2">
      <c r="A786" s="1684"/>
      <c r="B786" s="1684"/>
      <c r="C786" s="2013">
        <v>11</v>
      </c>
      <c r="D786" s="5">
        <v>7.5350000000000001</v>
      </c>
      <c r="E786" s="5">
        <v>212</v>
      </c>
      <c r="F786" s="5">
        <v>234</v>
      </c>
      <c r="G786" s="5">
        <v>255</v>
      </c>
      <c r="H786" s="5">
        <v>275</v>
      </c>
      <c r="I786" s="5">
        <v>295</v>
      </c>
      <c r="J786" s="5">
        <v>315</v>
      </c>
      <c r="K786" s="5">
        <v>334</v>
      </c>
      <c r="L786" s="5">
        <v>354</v>
      </c>
      <c r="M786" s="5">
        <v>372</v>
      </c>
      <c r="N786" s="5">
        <v>391</v>
      </c>
      <c r="O786" s="5">
        <v>409</v>
      </c>
      <c r="P786" s="5">
        <v>428</v>
      </c>
      <c r="Q786" s="1160">
        <v>81</v>
      </c>
      <c r="R786"/>
      <c r="S786" s="1684"/>
      <c r="T786" s="1684"/>
      <c r="U786" s="1684"/>
      <c r="V786" s="1684"/>
      <c r="W786" s="1684"/>
      <c r="X786" s="1684"/>
      <c r="Y786" s="1684"/>
      <c r="Z786" s="1684"/>
      <c r="AA786" s="1684"/>
      <c r="AB786" s="1684"/>
      <c r="AC786" s="1684"/>
      <c r="AD786" s="1684"/>
      <c r="AE786" s="1684"/>
      <c r="AF786" s="1684"/>
      <c r="AG786" s="1684"/>
      <c r="AH786" s="1684"/>
      <c r="AI786" s="1684"/>
      <c r="AJ786" s="1684"/>
      <c r="AK786" s="1684"/>
      <c r="AL786" s="1684"/>
      <c r="AM786" s="1684"/>
      <c r="AN786" s="1684"/>
      <c r="AO786" s="1684"/>
      <c r="AP786" s="1684"/>
      <c r="AQ786" s="1684"/>
      <c r="AR786" s="1684"/>
      <c r="AS786" s="1684"/>
      <c r="AT786" s="1684"/>
      <c r="AU786" s="1684"/>
      <c r="AV786" s="1684"/>
      <c r="AW786" s="1684"/>
      <c r="AX786" s="1684"/>
      <c r="AY786" s="1684"/>
      <c r="AZ786" s="1684"/>
      <c r="BA786" s="1684"/>
      <c r="BB786" s="1684"/>
      <c r="BC786" s="1684"/>
      <c r="BD786" s="1684"/>
      <c r="BE786" s="1684"/>
      <c r="BF786" s="1684"/>
      <c r="BG786" s="1684"/>
      <c r="BH786" s="1684"/>
      <c r="BI786" s="1684"/>
      <c r="BJ786" s="1684"/>
      <c r="BK786" s="1684"/>
      <c r="BL786" s="1684"/>
      <c r="BM786" s="1684"/>
      <c r="BN786" s="1684"/>
      <c r="BO786" s="1684"/>
      <c r="BP786" s="1684"/>
      <c r="BQ786" s="1684"/>
      <c r="BR786" s="1684"/>
      <c r="BS786" s="1684"/>
      <c r="BT786" s="1684"/>
      <c r="BU786" s="1684"/>
      <c r="BV786" s="1684"/>
      <c r="BW786" s="1684"/>
      <c r="BX786" s="1684"/>
      <c r="BY786" s="1684"/>
      <c r="BZ786" s="1684"/>
      <c r="CA786" s="1684"/>
      <c r="CB786" s="1684"/>
      <c r="CC786" s="1684"/>
      <c r="CD786" s="1684"/>
      <c r="CE786" s="1684"/>
      <c r="CF786" s="1684"/>
      <c r="CG786" s="1684"/>
      <c r="CH786" s="1684"/>
      <c r="CI786" s="1684"/>
      <c r="CJ786" s="1684"/>
      <c r="CK786" s="1684"/>
      <c r="CL786" s="1684"/>
      <c r="CM786" s="1684"/>
      <c r="CN786" s="1684"/>
      <c r="CO786" s="1684"/>
    </row>
    <row r="787" spans="1:93" s="1391" customFormat="1" ht="15" x14ac:dyDescent="0.2">
      <c r="A787" s="1684"/>
      <c r="B787" s="1684"/>
      <c r="C787" s="2013">
        <v>12</v>
      </c>
      <c r="D787" s="5">
        <v>8.0879999999999992</v>
      </c>
      <c r="E787" s="5">
        <v>233</v>
      </c>
      <c r="F787" s="5">
        <v>256</v>
      </c>
      <c r="G787" s="5">
        <v>278</v>
      </c>
      <c r="H787" s="5">
        <v>300</v>
      </c>
      <c r="I787" s="5">
        <v>322</v>
      </c>
      <c r="J787" s="5">
        <v>343</v>
      </c>
      <c r="K787" s="5">
        <v>364</v>
      </c>
      <c r="L787" s="5">
        <v>386</v>
      </c>
      <c r="M787" s="5">
        <v>406</v>
      </c>
      <c r="N787" s="5">
        <v>426</v>
      </c>
      <c r="O787" s="5">
        <v>446</v>
      </c>
      <c r="P787" s="5">
        <v>465</v>
      </c>
      <c r="Q787" s="1160">
        <v>82</v>
      </c>
      <c r="R787"/>
      <c r="S787" s="1684"/>
      <c r="T787" s="1684"/>
      <c r="U787" s="1684"/>
      <c r="V787" s="1684"/>
      <c r="W787" s="1684"/>
      <c r="X787" s="1684"/>
      <c r="Y787" s="1684"/>
      <c r="Z787" s="1684"/>
      <c r="AA787" s="1684"/>
      <c r="AB787" s="1684"/>
      <c r="AC787" s="1684"/>
      <c r="AD787" s="1684"/>
      <c r="AE787" s="1684"/>
      <c r="AF787" s="1684"/>
      <c r="AG787" s="1684"/>
      <c r="AH787" s="1684"/>
      <c r="AI787" s="1684"/>
      <c r="AJ787" s="1684"/>
      <c r="AK787" s="1684"/>
      <c r="AL787" s="1684"/>
      <c r="AM787" s="1684"/>
      <c r="AN787" s="1684"/>
      <c r="AO787" s="1684"/>
      <c r="AP787" s="1684"/>
      <c r="AQ787" s="1684"/>
      <c r="AR787" s="1684"/>
      <c r="AS787" s="1684"/>
      <c r="AT787" s="1684"/>
      <c r="AU787" s="1684"/>
      <c r="AV787" s="1684"/>
      <c r="AW787" s="1684"/>
      <c r="AX787" s="1684"/>
      <c r="AY787" s="1684"/>
      <c r="AZ787" s="1684"/>
      <c r="BA787" s="1684"/>
      <c r="BB787" s="1684"/>
      <c r="BC787" s="1684"/>
      <c r="BD787" s="1684"/>
      <c r="BE787" s="1684"/>
      <c r="BF787" s="1684"/>
      <c r="BG787" s="1684"/>
      <c r="BH787" s="1684"/>
      <c r="BI787" s="1684"/>
      <c r="BJ787" s="1684"/>
      <c r="BK787" s="1684"/>
      <c r="BL787" s="1684"/>
      <c r="BM787" s="1684"/>
      <c r="BN787" s="1684"/>
      <c r="BO787" s="1684"/>
      <c r="BP787" s="1684"/>
      <c r="BQ787" s="1684"/>
      <c r="BR787" s="1684"/>
      <c r="BS787" s="1684"/>
      <c r="BT787" s="1684"/>
      <c r="BU787" s="1684"/>
      <c r="BV787" s="1684"/>
      <c r="BW787" s="1684"/>
      <c r="BX787" s="1684"/>
      <c r="BY787" s="1684"/>
      <c r="BZ787" s="1684"/>
      <c r="CA787" s="1684"/>
      <c r="CB787" s="1684"/>
      <c r="CC787" s="1684"/>
      <c r="CD787" s="1684"/>
      <c r="CE787" s="1684"/>
      <c r="CF787" s="1684"/>
      <c r="CG787" s="1684"/>
      <c r="CH787" s="1684"/>
      <c r="CI787" s="1684"/>
      <c r="CJ787" s="1684"/>
      <c r="CK787" s="1684"/>
      <c r="CL787" s="1684"/>
      <c r="CM787" s="1684"/>
      <c r="CN787" s="1684"/>
      <c r="CO787" s="1684"/>
    </row>
    <row r="788" spans="1:93" s="1391" customFormat="1" ht="15" x14ac:dyDescent="0.2">
      <c r="A788" s="1684"/>
      <c r="B788" s="1684"/>
      <c r="C788" s="2013">
        <v>13</v>
      </c>
      <c r="D788" s="5">
        <v>8.6389999999999993</v>
      </c>
      <c r="E788" s="5">
        <v>253</v>
      </c>
      <c r="F788" s="5">
        <v>279</v>
      </c>
      <c r="G788" s="5">
        <v>303</v>
      </c>
      <c r="H788" s="5">
        <v>326</v>
      </c>
      <c r="I788" s="5">
        <v>350</v>
      </c>
      <c r="J788" s="5">
        <v>373</v>
      </c>
      <c r="K788" s="5">
        <v>395</v>
      </c>
      <c r="L788" s="5">
        <v>418</v>
      </c>
      <c r="M788" s="5">
        <v>439</v>
      </c>
      <c r="N788" s="5">
        <v>461</v>
      </c>
      <c r="O788" s="5">
        <v>482</v>
      </c>
      <c r="P788" s="5">
        <v>503</v>
      </c>
      <c r="Q788" s="1160">
        <v>83</v>
      </c>
      <c r="R788"/>
      <c r="S788" s="1684"/>
      <c r="T788" s="1684"/>
      <c r="U788" s="1684"/>
      <c r="V788" s="1684"/>
      <c r="W788" s="1684"/>
      <c r="X788" s="1684"/>
      <c r="Y788" s="1684"/>
      <c r="Z788" s="1684"/>
      <c r="AA788" s="1684"/>
      <c r="AB788" s="1684"/>
      <c r="AC788" s="1684"/>
      <c r="AD788" s="1684"/>
      <c r="AE788" s="1684"/>
      <c r="AF788" s="1684"/>
      <c r="AG788" s="1684"/>
      <c r="AH788" s="1684"/>
      <c r="AI788" s="1684"/>
      <c r="AJ788" s="1684"/>
      <c r="AK788" s="1684"/>
      <c r="AL788" s="1684"/>
      <c r="AM788" s="1684"/>
      <c r="AN788" s="1684"/>
      <c r="AO788" s="1684"/>
      <c r="AP788" s="1684"/>
      <c r="AQ788" s="1684"/>
      <c r="AR788" s="1684"/>
      <c r="AS788" s="1684"/>
      <c r="AT788" s="1684"/>
      <c r="AU788" s="1684"/>
      <c r="AV788" s="1684"/>
      <c r="AW788" s="1684"/>
      <c r="AX788" s="1684"/>
      <c r="AY788" s="1684"/>
      <c r="AZ788" s="1684"/>
      <c r="BA788" s="1684"/>
      <c r="BB788" s="1684"/>
      <c r="BC788" s="1684"/>
      <c r="BD788" s="1684"/>
      <c r="BE788" s="1684"/>
      <c r="BF788" s="1684"/>
      <c r="BG788" s="1684"/>
      <c r="BH788" s="1684"/>
      <c r="BI788" s="1684"/>
      <c r="BJ788" s="1684"/>
      <c r="BK788" s="1684"/>
      <c r="BL788" s="1684"/>
      <c r="BM788" s="1684"/>
      <c r="BN788" s="1684"/>
      <c r="BO788" s="1684"/>
      <c r="BP788" s="1684"/>
      <c r="BQ788" s="1684"/>
      <c r="BR788" s="1684"/>
      <c r="BS788" s="1684"/>
      <c r="BT788" s="1684"/>
      <c r="BU788" s="1684"/>
      <c r="BV788" s="1684"/>
      <c r="BW788" s="1684"/>
      <c r="BX788" s="1684"/>
      <c r="BY788" s="1684"/>
      <c r="BZ788" s="1684"/>
      <c r="CA788" s="1684"/>
      <c r="CB788" s="1684"/>
      <c r="CC788" s="1684"/>
      <c r="CD788" s="1684"/>
      <c r="CE788" s="1684"/>
      <c r="CF788" s="1684"/>
      <c r="CG788" s="1684"/>
      <c r="CH788" s="1684"/>
      <c r="CI788" s="1684"/>
      <c r="CJ788" s="1684"/>
      <c r="CK788" s="1684"/>
      <c r="CL788" s="1684"/>
      <c r="CM788" s="1684"/>
      <c r="CN788" s="1684"/>
      <c r="CO788" s="1684"/>
    </row>
    <row r="789" spans="1:93" s="1391" customFormat="1" ht="15" x14ac:dyDescent="0.2">
      <c r="A789" s="1684"/>
      <c r="B789" s="1684"/>
      <c r="C789" s="2013">
        <v>14</v>
      </c>
      <c r="D789" s="5">
        <v>9.27</v>
      </c>
      <c r="E789" s="5">
        <v>275</v>
      </c>
      <c r="F789" s="5">
        <v>302</v>
      </c>
      <c r="G789" s="5">
        <v>328</v>
      </c>
      <c r="H789" s="5">
        <v>353</v>
      </c>
      <c r="I789" s="5">
        <v>378</v>
      </c>
      <c r="J789" s="5">
        <v>403</v>
      </c>
      <c r="K789" s="5">
        <v>427</v>
      </c>
      <c r="L789" s="5">
        <v>452</v>
      </c>
      <c r="M789" s="5">
        <v>474</v>
      </c>
      <c r="N789" s="5">
        <v>497</v>
      </c>
      <c r="O789" s="5">
        <v>520</v>
      </c>
      <c r="P789" s="5">
        <v>542</v>
      </c>
      <c r="Q789" s="1160">
        <v>84</v>
      </c>
      <c r="R789"/>
      <c r="S789" s="1684"/>
      <c r="T789" s="1684"/>
      <c r="U789" s="1684"/>
      <c r="V789" s="1684"/>
      <c r="W789" s="1684"/>
      <c r="X789" s="1684"/>
      <c r="Y789" s="1684"/>
      <c r="Z789" s="1684"/>
      <c r="AA789" s="1684"/>
      <c r="AB789" s="1684"/>
      <c r="AC789" s="1684"/>
      <c r="AD789" s="1684"/>
      <c r="AE789" s="1684"/>
      <c r="AF789" s="1684"/>
      <c r="AG789" s="1684"/>
      <c r="AH789" s="1684"/>
      <c r="AI789" s="1684"/>
      <c r="AJ789" s="1684"/>
      <c r="AK789" s="1684"/>
      <c r="AL789" s="1684"/>
      <c r="AM789" s="1684"/>
      <c r="AN789" s="1684"/>
      <c r="AO789" s="1684"/>
      <c r="AP789" s="1684"/>
      <c r="AQ789" s="1684"/>
      <c r="AR789" s="1684"/>
      <c r="AS789" s="1684"/>
      <c r="AT789" s="1684"/>
      <c r="AU789" s="1684"/>
      <c r="AV789" s="1684"/>
      <c r="AW789" s="1684"/>
      <c r="AX789" s="1684"/>
      <c r="AY789" s="1684"/>
      <c r="AZ789" s="1684"/>
      <c r="BA789" s="1684"/>
      <c r="BB789" s="1684"/>
      <c r="BC789" s="1684"/>
      <c r="BD789" s="1684"/>
      <c r="BE789" s="1684"/>
      <c r="BF789" s="1684"/>
      <c r="BG789" s="1684"/>
      <c r="BH789" s="1684"/>
      <c r="BI789" s="1684"/>
      <c r="BJ789" s="1684"/>
      <c r="BK789" s="1684"/>
      <c r="BL789" s="1684"/>
      <c r="BM789" s="1684"/>
      <c r="BN789" s="1684"/>
      <c r="BO789" s="1684"/>
      <c r="BP789" s="1684"/>
      <c r="BQ789" s="1684"/>
      <c r="BR789" s="1684"/>
      <c r="BS789" s="1684"/>
      <c r="BT789" s="1684"/>
      <c r="BU789" s="1684"/>
      <c r="BV789" s="1684"/>
      <c r="BW789" s="1684"/>
      <c r="BX789" s="1684"/>
      <c r="BY789" s="1684"/>
      <c r="BZ789" s="1684"/>
      <c r="CA789" s="1684"/>
      <c r="CB789" s="1684"/>
      <c r="CC789" s="1684"/>
      <c r="CD789" s="1684"/>
      <c r="CE789" s="1684"/>
      <c r="CF789" s="1684"/>
      <c r="CG789" s="1684"/>
      <c r="CH789" s="1684"/>
      <c r="CI789" s="1684"/>
      <c r="CJ789" s="1684"/>
      <c r="CK789" s="1684"/>
      <c r="CL789" s="1684"/>
      <c r="CM789" s="1684"/>
      <c r="CN789" s="1684"/>
      <c r="CO789" s="1684"/>
    </row>
    <row r="790" spans="1:93" s="1391" customFormat="1" ht="15" x14ac:dyDescent="0.2">
      <c r="A790" s="1684"/>
      <c r="B790" s="1684"/>
      <c r="C790" s="2013">
        <v>15</v>
      </c>
      <c r="D790" s="5">
        <v>9.9079999999999995</v>
      </c>
      <c r="E790" s="5">
        <v>297</v>
      </c>
      <c r="F790" s="5">
        <v>326</v>
      </c>
      <c r="G790" s="5">
        <v>354</v>
      </c>
      <c r="H790" s="5">
        <v>381</v>
      </c>
      <c r="I790" s="5">
        <v>408</v>
      </c>
      <c r="J790" s="5">
        <v>434</v>
      </c>
      <c r="K790" s="5">
        <v>460</v>
      </c>
      <c r="L790" s="5">
        <v>486</v>
      </c>
      <c r="M790" s="5">
        <v>510</v>
      </c>
      <c r="N790" s="5">
        <v>534</v>
      </c>
      <c r="O790" s="5">
        <v>558</v>
      </c>
      <c r="P790" s="5">
        <v>582</v>
      </c>
      <c r="Q790" s="1160">
        <v>85</v>
      </c>
      <c r="R790"/>
      <c r="S790" s="1684"/>
      <c r="T790" s="1684"/>
      <c r="U790" s="1684"/>
      <c r="V790" s="1684"/>
      <c r="W790" s="1684"/>
      <c r="X790" s="1684"/>
      <c r="Y790" s="1684"/>
      <c r="Z790" s="1684"/>
      <c r="AA790" s="1684"/>
      <c r="AB790" s="1684"/>
      <c r="AC790" s="1684"/>
      <c r="AD790" s="1684"/>
      <c r="AE790" s="1684"/>
      <c r="AF790" s="1684"/>
      <c r="AG790" s="1684"/>
      <c r="AH790" s="1684"/>
      <c r="AI790" s="1684"/>
      <c r="AJ790" s="1684"/>
      <c r="AK790" s="1684"/>
      <c r="AL790" s="1684"/>
      <c r="AM790" s="1684"/>
      <c r="AN790" s="1684"/>
      <c r="AO790" s="1684"/>
      <c r="AP790" s="1684"/>
      <c r="AQ790" s="1684"/>
      <c r="AR790" s="1684"/>
      <c r="AS790" s="1684"/>
      <c r="AT790" s="1684"/>
      <c r="AU790" s="1684"/>
      <c r="AV790" s="1684"/>
      <c r="AW790" s="1684"/>
      <c r="AX790" s="1684"/>
      <c r="AY790" s="1684"/>
      <c r="AZ790" s="1684"/>
      <c r="BA790" s="1684"/>
      <c r="BB790" s="1684"/>
      <c r="BC790" s="1684"/>
      <c r="BD790" s="1684"/>
      <c r="BE790" s="1684"/>
      <c r="BF790" s="1684"/>
      <c r="BG790" s="1684"/>
      <c r="BH790" s="1684"/>
      <c r="BI790" s="1684"/>
      <c r="BJ790" s="1684"/>
      <c r="BK790" s="1684"/>
      <c r="BL790" s="1684"/>
      <c r="BM790" s="1684"/>
      <c r="BN790" s="1684"/>
      <c r="BO790" s="1684"/>
      <c r="BP790" s="1684"/>
      <c r="BQ790" s="1684"/>
      <c r="BR790" s="1684"/>
      <c r="BS790" s="1684"/>
      <c r="BT790" s="1684"/>
      <c r="BU790" s="1684"/>
      <c r="BV790" s="1684"/>
      <c r="BW790" s="1684"/>
      <c r="BX790" s="1684"/>
      <c r="BY790" s="1684"/>
      <c r="BZ790" s="1684"/>
      <c r="CA790" s="1684"/>
      <c r="CB790" s="1684"/>
      <c r="CC790" s="1684"/>
      <c r="CD790" s="1684"/>
      <c r="CE790" s="1684"/>
      <c r="CF790" s="1684"/>
      <c r="CG790" s="1684"/>
      <c r="CH790" s="1684"/>
      <c r="CI790" s="1684"/>
      <c r="CJ790" s="1684"/>
      <c r="CK790" s="1684"/>
      <c r="CL790" s="1684"/>
      <c r="CM790" s="1684"/>
      <c r="CN790" s="1684"/>
      <c r="CO790" s="1684"/>
    </row>
    <row r="791" spans="1:93" s="1391" customFormat="1" ht="15" x14ac:dyDescent="0.2">
      <c r="A791" s="1684"/>
      <c r="B791" s="1684"/>
      <c r="C791" s="2013">
        <v>16</v>
      </c>
      <c r="D791" s="5">
        <v>10.718999999999999</v>
      </c>
      <c r="E791" s="5">
        <v>318</v>
      </c>
      <c r="F791" s="5">
        <v>350</v>
      </c>
      <c r="G791" s="5">
        <v>379</v>
      </c>
      <c r="H791" s="5">
        <v>408</v>
      </c>
      <c r="I791" s="5">
        <v>436</v>
      </c>
      <c r="J791" s="5">
        <v>464</v>
      </c>
      <c r="K791" s="5">
        <v>491</v>
      </c>
      <c r="L791" s="5">
        <v>519</v>
      </c>
      <c r="M791" s="5">
        <v>544</v>
      </c>
      <c r="N791" s="5">
        <v>570</v>
      </c>
      <c r="O791" s="5">
        <v>590</v>
      </c>
      <c r="P791" s="5">
        <v>620</v>
      </c>
      <c r="Q791" s="1160">
        <v>86</v>
      </c>
      <c r="R791"/>
      <c r="S791" s="1684"/>
      <c r="T791" s="1684"/>
      <c r="U791" s="1684"/>
      <c r="V791" s="1684"/>
      <c r="W791" s="1684"/>
      <c r="X791" s="1684"/>
      <c r="Y791" s="1684"/>
      <c r="Z791" s="1684"/>
      <c r="AA791" s="1684"/>
      <c r="AB791" s="1684"/>
      <c r="AC791" s="1684"/>
      <c r="AD791" s="1684"/>
      <c r="AE791" s="1684"/>
      <c r="AF791" s="1684"/>
      <c r="AG791" s="1684"/>
      <c r="AH791" s="1684"/>
      <c r="AI791" s="1684"/>
      <c r="AJ791" s="1684"/>
      <c r="AK791" s="1684"/>
      <c r="AL791" s="1684"/>
      <c r="AM791" s="1684"/>
      <c r="AN791" s="1684"/>
      <c r="AO791" s="1684"/>
      <c r="AP791" s="1684"/>
      <c r="AQ791" s="1684"/>
      <c r="AR791" s="1684"/>
      <c r="AS791" s="1684"/>
      <c r="AT791" s="1684"/>
      <c r="AU791" s="1684"/>
      <c r="AV791" s="1684"/>
      <c r="AW791" s="1684"/>
      <c r="AX791" s="1684"/>
      <c r="AY791" s="1684"/>
      <c r="AZ791" s="1684"/>
      <c r="BA791" s="1684"/>
      <c r="BB791" s="1684"/>
      <c r="BC791" s="1684"/>
      <c r="BD791" s="1684"/>
      <c r="BE791" s="1684"/>
      <c r="BF791" s="1684"/>
      <c r="BG791" s="1684"/>
      <c r="BH791" s="1684"/>
      <c r="BI791" s="1684"/>
      <c r="BJ791" s="1684"/>
      <c r="BK791" s="1684"/>
      <c r="BL791" s="1684"/>
      <c r="BM791" s="1684"/>
      <c r="BN791" s="1684"/>
      <c r="BO791" s="1684"/>
      <c r="BP791" s="1684"/>
      <c r="BQ791" s="1684"/>
      <c r="BR791" s="1684"/>
      <c r="BS791" s="1684"/>
      <c r="BT791" s="1684"/>
      <c r="BU791" s="1684"/>
      <c r="BV791" s="1684"/>
      <c r="BW791" s="1684"/>
      <c r="BX791" s="1684"/>
      <c r="BY791" s="1684"/>
      <c r="BZ791" s="1684"/>
      <c r="CA791" s="1684"/>
      <c r="CB791" s="1684"/>
      <c r="CC791" s="1684"/>
      <c r="CD791" s="1684"/>
      <c r="CE791" s="1684"/>
      <c r="CF791" s="1684"/>
      <c r="CG791" s="1684"/>
      <c r="CH791" s="1684"/>
      <c r="CI791" s="1684"/>
      <c r="CJ791" s="1684"/>
      <c r="CK791" s="1684"/>
      <c r="CL791" s="1684"/>
      <c r="CM791" s="1684"/>
      <c r="CN791" s="1684"/>
      <c r="CO791" s="1684"/>
    </row>
    <row r="792" spans="1:93" s="1391" customFormat="1" ht="15" x14ac:dyDescent="0.2">
      <c r="A792" s="1684"/>
      <c r="B792" s="1684"/>
      <c r="C792" s="2013">
        <v>17</v>
      </c>
      <c r="D792" s="5">
        <v>11.581</v>
      </c>
      <c r="E792" s="5">
        <v>338</v>
      </c>
      <c r="F792" s="5">
        <v>371</v>
      </c>
      <c r="G792" s="5">
        <v>402</v>
      </c>
      <c r="H792" s="5">
        <v>433</v>
      </c>
      <c r="I792" s="5">
        <v>462</v>
      </c>
      <c r="J792" s="5">
        <v>491</v>
      </c>
      <c r="K792" s="5">
        <v>520</v>
      </c>
      <c r="L792" s="5">
        <v>549</v>
      </c>
      <c r="M792" s="5">
        <v>575</v>
      </c>
      <c r="N792" s="5">
        <v>602</v>
      </c>
      <c r="O792" s="5">
        <v>628</v>
      </c>
      <c r="P792" s="5">
        <v>634</v>
      </c>
      <c r="Q792" s="1160">
        <v>87</v>
      </c>
      <c r="R792"/>
      <c r="S792" s="1684"/>
      <c r="T792" s="1684"/>
      <c r="U792" s="1684"/>
      <c r="V792" s="1684"/>
      <c r="W792" s="1684"/>
      <c r="X792" s="1684"/>
      <c r="Y792" s="1684"/>
      <c r="Z792" s="1684"/>
      <c r="AA792" s="1684"/>
      <c r="AB792" s="1684"/>
      <c r="AC792" s="1684"/>
      <c r="AD792" s="1684"/>
      <c r="AE792" s="1684"/>
      <c r="AF792" s="1684"/>
      <c r="AG792" s="1684"/>
      <c r="AH792" s="1684"/>
      <c r="AI792" s="1684"/>
      <c r="AJ792" s="1684"/>
      <c r="AK792" s="1684"/>
      <c r="AL792" s="1684"/>
      <c r="AM792" s="1684"/>
      <c r="AN792" s="1684"/>
      <c r="AO792" s="1684"/>
      <c r="AP792" s="1684"/>
      <c r="AQ792" s="1684"/>
      <c r="AR792" s="1684"/>
      <c r="AS792" s="1684"/>
      <c r="AT792" s="1684"/>
      <c r="AU792" s="1684"/>
      <c r="AV792" s="1684"/>
      <c r="AW792" s="1684"/>
      <c r="AX792" s="1684"/>
      <c r="AY792" s="1684"/>
      <c r="AZ792" s="1684"/>
      <c r="BA792" s="1684"/>
      <c r="BB792" s="1684"/>
      <c r="BC792" s="1684"/>
      <c r="BD792" s="1684"/>
      <c r="BE792" s="1684"/>
      <c r="BF792" s="1684"/>
      <c r="BG792" s="1684"/>
      <c r="BH792" s="1684"/>
      <c r="BI792" s="1684"/>
      <c r="BJ792" s="1684"/>
      <c r="BK792" s="1684"/>
      <c r="BL792" s="1684"/>
      <c r="BM792" s="1684"/>
      <c r="BN792" s="1684"/>
      <c r="BO792" s="1684"/>
      <c r="BP792" s="1684"/>
      <c r="BQ792" s="1684"/>
      <c r="BR792" s="1684"/>
      <c r="BS792" s="1684"/>
      <c r="BT792" s="1684"/>
      <c r="BU792" s="1684"/>
      <c r="BV792" s="1684"/>
      <c r="BW792" s="1684"/>
      <c r="BX792" s="1684"/>
      <c r="BY792" s="1684"/>
      <c r="BZ792" s="1684"/>
      <c r="CA792" s="1684"/>
      <c r="CB792" s="1684"/>
      <c r="CC792" s="1684"/>
      <c r="CD792" s="1684"/>
      <c r="CE792" s="1684"/>
      <c r="CF792" s="1684"/>
      <c r="CG792" s="1684"/>
      <c r="CH792" s="1684"/>
      <c r="CI792" s="1684"/>
      <c r="CJ792" s="1684"/>
      <c r="CK792" s="1684"/>
      <c r="CL792" s="1684"/>
      <c r="CM792" s="1684"/>
      <c r="CN792" s="1684"/>
      <c r="CO792" s="1684"/>
    </row>
    <row r="793" spans="1:93" s="1391" customFormat="1" ht="15.75" thickBot="1" x14ac:dyDescent="0.25">
      <c r="A793" s="1684"/>
      <c r="B793" s="1684"/>
      <c r="C793" s="2018">
        <v>18</v>
      </c>
      <c r="D793" s="976">
        <v>12.148999999999999</v>
      </c>
      <c r="E793" s="976">
        <v>356</v>
      </c>
      <c r="F793" s="976">
        <v>391</v>
      </c>
      <c r="G793" s="976">
        <v>423</v>
      </c>
      <c r="H793" s="976">
        <v>455</v>
      </c>
      <c r="I793" s="976">
        <v>486</v>
      </c>
      <c r="J793" s="976">
        <v>516</v>
      </c>
      <c r="K793" s="976">
        <v>546</v>
      </c>
      <c r="L793" s="976">
        <v>577</v>
      </c>
      <c r="M793" s="976">
        <v>604</v>
      </c>
      <c r="N793" s="976">
        <v>631</v>
      </c>
      <c r="O793" s="976">
        <v>659</v>
      </c>
      <c r="P793" s="976">
        <v>686</v>
      </c>
      <c r="Q793" s="2019">
        <v>88</v>
      </c>
      <c r="R793"/>
      <c r="S793" s="1684"/>
      <c r="T793" s="1684"/>
      <c r="U793" s="1684"/>
      <c r="V793" s="1684"/>
      <c r="W793" s="1684"/>
      <c r="X793" s="1684"/>
      <c r="Y793" s="1684"/>
      <c r="Z793" s="1684"/>
      <c r="AA793" s="1684"/>
      <c r="AB793" s="1684"/>
      <c r="AC793" s="1684"/>
      <c r="AD793" s="1684"/>
      <c r="AE793" s="1684"/>
      <c r="AF793" s="1684"/>
      <c r="AG793" s="1684"/>
      <c r="AH793" s="1684"/>
      <c r="AI793" s="1684"/>
      <c r="AJ793" s="1684"/>
      <c r="AK793" s="1684"/>
      <c r="AL793" s="1684"/>
      <c r="AM793" s="1684"/>
      <c r="AN793" s="1684"/>
      <c r="AO793" s="1684"/>
      <c r="AP793" s="1684"/>
      <c r="AQ793" s="1684"/>
      <c r="AR793" s="1684"/>
      <c r="AS793" s="1684"/>
      <c r="AT793" s="1684"/>
      <c r="AU793" s="1684"/>
      <c r="AV793" s="1684"/>
      <c r="AW793" s="1684"/>
      <c r="AX793" s="1684"/>
      <c r="AY793" s="1684"/>
      <c r="AZ793" s="1684"/>
      <c r="BA793" s="1684"/>
      <c r="BB793" s="1684"/>
      <c r="BC793" s="1684"/>
      <c r="BD793" s="1684"/>
      <c r="BE793" s="1684"/>
      <c r="BF793" s="1684"/>
      <c r="BG793" s="1684"/>
      <c r="BH793" s="1684"/>
      <c r="BI793" s="1684"/>
      <c r="BJ793" s="1684"/>
      <c r="BK793" s="1684"/>
      <c r="BL793" s="1684"/>
      <c r="BM793" s="1684"/>
      <c r="BN793" s="1684"/>
      <c r="BO793" s="1684"/>
      <c r="BP793" s="1684"/>
      <c r="BQ793" s="1684"/>
      <c r="BR793" s="1684"/>
      <c r="BS793" s="1684"/>
      <c r="BT793" s="1684"/>
      <c r="BU793" s="1684"/>
      <c r="BV793" s="1684"/>
      <c r="BW793" s="1684"/>
      <c r="BX793" s="1684"/>
      <c r="BY793" s="1684"/>
      <c r="BZ793" s="1684"/>
      <c r="CA793" s="1684"/>
      <c r="CB793" s="1684"/>
      <c r="CC793" s="1684"/>
      <c r="CD793" s="1684"/>
      <c r="CE793" s="1684"/>
      <c r="CF793" s="1684"/>
      <c r="CG793" s="1684"/>
      <c r="CH793" s="1684"/>
      <c r="CI793" s="1684"/>
      <c r="CJ793" s="1684"/>
      <c r="CK793" s="1684"/>
      <c r="CL793" s="1684"/>
      <c r="CM793" s="1684"/>
      <c r="CN793" s="1684"/>
      <c r="CO793" s="1684"/>
    </row>
    <row r="794" spans="1:93" s="1391" customFormat="1" ht="15.75" thickBot="1" x14ac:dyDescent="0.25">
      <c r="A794" s="1684"/>
      <c r="B794" s="1684"/>
      <c r="C794" s="248"/>
      <c r="D794" s="249" t="s">
        <v>1216</v>
      </c>
      <c r="E794" s="249"/>
      <c r="F794" s="249"/>
      <c r="G794" s="249"/>
      <c r="H794" s="249"/>
      <c r="I794" s="249"/>
      <c r="J794" s="249"/>
      <c r="K794" s="249"/>
      <c r="L794" s="249"/>
      <c r="M794" s="249"/>
      <c r="N794" s="249"/>
      <c r="O794" s="249"/>
      <c r="P794" s="249"/>
      <c r="Q794" s="250"/>
      <c r="R794"/>
      <c r="S794" s="1684"/>
      <c r="T794" s="1684"/>
      <c r="U794" s="1684"/>
      <c r="V794" s="1684"/>
      <c r="W794" s="1684"/>
      <c r="X794" s="1684"/>
      <c r="Y794" s="1684"/>
      <c r="Z794" s="1684"/>
      <c r="AA794" s="1684"/>
      <c r="AB794" s="1684"/>
      <c r="AC794" s="1684"/>
      <c r="AD794" s="1684"/>
      <c r="AE794" s="1684"/>
      <c r="AF794" s="1684"/>
      <c r="AG794" s="1684"/>
      <c r="AH794" s="1684"/>
      <c r="AI794" s="1684"/>
      <c r="AJ794" s="1684"/>
      <c r="AK794" s="1684"/>
      <c r="AL794" s="1684"/>
      <c r="AM794" s="1684"/>
      <c r="AN794" s="1684"/>
      <c r="AO794" s="1684"/>
      <c r="AP794" s="1684"/>
      <c r="AQ794" s="1684"/>
      <c r="AR794" s="1684"/>
      <c r="AS794" s="1684"/>
      <c r="AT794" s="1684"/>
      <c r="AU794" s="1684"/>
      <c r="AV794" s="1684"/>
      <c r="AW794" s="1684"/>
      <c r="AX794" s="1684"/>
      <c r="AY794" s="1684"/>
      <c r="AZ794" s="1684"/>
      <c r="BA794" s="1684"/>
      <c r="BB794" s="1684"/>
      <c r="BC794" s="1684"/>
      <c r="BD794" s="1684"/>
      <c r="BE794" s="1684"/>
      <c r="BF794" s="1684"/>
      <c r="BG794" s="1684"/>
      <c r="BH794" s="1684"/>
      <c r="BI794" s="1684"/>
      <c r="BJ794" s="1684"/>
      <c r="BK794" s="1684"/>
      <c r="BL794" s="1684"/>
      <c r="BM794" s="1684"/>
      <c r="BN794" s="1684"/>
      <c r="BO794" s="1684"/>
      <c r="BP794" s="1684"/>
      <c r="BQ794" s="1684"/>
      <c r="BR794" s="1684"/>
      <c r="BS794" s="1684"/>
      <c r="BT794" s="1684"/>
      <c r="BU794" s="1684"/>
      <c r="BV794" s="1684"/>
      <c r="BW794" s="1684"/>
      <c r="BX794" s="1684"/>
      <c r="BY794" s="1684"/>
      <c r="BZ794" s="1684"/>
      <c r="CA794" s="1684"/>
      <c r="CB794" s="1684"/>
      <c r="CC794" s="1684"/>
      <c r="CD794" s="1684"/>
      <c r="CE794" s="1684"/>
      <c r="CF794" s="1684"/>
      <c r="CG794" s="1684"/>
      <c r="CH794" s="1684"/>
      <c r="CI794" s="1684"/>
      <c r="CJ794" s="1684"/>
      <c r="CK794" s="1684"/>
      <c r="CL794" s="1684"/>
      <c r="CM794" s="1684"/>
      <c r="CN794" s="1684"/>
      <c r="CO794" s="1684"/>
    </row>
    <row r="795" spans="1:93" s="1391" customFormat="1" ht="15" x14ac:dyDescent="0.2">
      <c r="A795" s="1684"/>
      <c r="B795" s="1684"/>
      <c r="C795" s="4695" t="s">
        <v>5325</v>
      </c>
      <c r="D795" s="4696"/>
      <c r="E795" s="4696"/>
      <c r="F795" s="4696"/>
      <c r="G795" s="4696"/>
      <c r="H795" s="4696"/>
      <c r="I795" s="4696"/>
      <c r="J795" s="4696"/>
      <c r="K795" s="4696"/>
      <c r="L795" s="4696"/>
      <c r="M795" s="4696"/>
      <c r="N795" s="4696"/>
      <c r="O795" s="4696"/>
      <c r="P795" s="4696"/>
      <c r="Q795" s="4697"/>
      <c r="R795"/>
      <c r="S795" s="1684"/>
      <c r="T795" s="1684"/>
      <c r="U795" s="1684"/>
      <c r="V795" s="1684"/>
      <c r="W795" s="1684"/>
      <c r="X795" s="1684"/>
      <c r="Y795" s="1684"/>
      <c r="Z795" s="1684"/>
      <c r="AA795" s="1684"/>
      <c r="AB795" s="1684"/>
      <c r="AC795" s="1684"/>
      <c r="AD795" s="1684"/>
      <c r="AE795" s="1684"/>
      <c r="AF795" s="1684"/>
      <c r="AG795" s="1684"/>
      <c r="AH795" s="1684"/>
      <c r="AI795" s="1684"/>
      <c r="AJ795" s="1684"/>
      <c r="AK795" s="1684"/>
      <c r="AL795" s="1684"/>
      <c r="AM795" s="1684"/>
      <c r="AN795" s="1684"/>
      <c r="AO795" s="1684"/>
      <c r="AP795" s="1684"/>
      <c r="AQ795" s="1684"/>
      <c r="AR795" s="1684"/>
      <c r="AS795" s="1684"/>
      <c r="AT795" s="1684"/>
      <c r="AU795" s="1684"/>
      <c r="AV795" s="1684"/>
      <c r="AW795" s="1684"/>
      <c r="AX795" s="1684"/>
      <c r="AY795" s="1684"/>
      <c r="AZ795" s="1684"/>
      <c r="BA795" s="1684"/>
      <c r="BB795" s="1684"/>
      <c r="BC795" s="1684"/>
      <c r="BD795" s="1684"/>
      <c r="BE795" s="1684"/>
      <c r="BF795" s="1684"/>
      <c r="BG795" s="1684"/>
      <c r="BH795" s="1684"/>
      <c r="BI795" s="1684"/>
      <c r="BJ795" s="1684"/>
      <c r="BK795" s="1684"/>
      <c r="BL795" s="1684"/>
      <c r="BM795" s="1684"/>
      <c r="BN795" s="1684"/>
      <c r="BO795" s="1684"/>
      <c r="BP795" s="1684"/>
      <c r="BQ795" s="1684"/>
      <c r="BR795" s="1684"/>
      <c r="BS795" s="1684"/>
      <c r="BT795" s="1684"/>
      <c r="BU795" s="1684"/>
      <c r="BV795" s="1684"/>
      <c r="BW795" s="1684"/>
      <c r="BX795" s="1684"/>
      <c r="BY795" s="1684"/>
      <c r="BZ795" s="1684"/>
      <c r="CA795" s="1684"/>
      <c r="CB795" s="1684"/>
      <c r="CC795" s="1684"/>
      <c r="CD795" s="1684"/>
      <c r="CE795" s="1684"/>
      <c r="CF795" s="1684"/>
      <c r="CG795" s="1684"/>
      <c r="CH795" s="1684"/>
      <c r="CI795" s="1684"/>
      <c r="CJ795" s="1684"/>
      <c r="CK795" s="1684"/>
      <c r="CL795" s="1684"/>
      <c r="CM795" s="1684"/>
      <c r="CN795" s="1684"/>
      <c r="CO795" s="1684"/>
    </row>
    <row r="796" spans="1:93" s="1391" customFormat="1" ht="15" x14ac:dyDescent="0.2">
      <c r="A796" s="1684"/>
      <c r="B796" s="1684"/>
      <c r="C796" s="4686"/>
      <c r="D796" s="4385"/>
      <c r="E796" s="4385"/>
      <c r="F796" s="4385"/>
      <c r="G796" s="4385"/>
      <c r="H796" s="4385"/>
      <c r="I796" s="4385"/>
      <c r="J796" s="4385"/>
      <c r="K796" s="4385"/>
      <c r="L796" s="4385"/>
      <c r="M796" s="4385"/>
      <c r="N796" s="4385"/>
      <c r="O796" s="4385"/>
      <c r="P796" s="4385"/>
      <c r="Q796" s="4687"/>
      <c r="R796"/>
      <c r="S796" s="1684"/>
      <c r="T796" s="1684"/>
      <c r="U796" s="1684"/>
      <c r="V796" s="1684"/>
      <c r="W796" s="1684"/>
      <c r="X796" s="1684"/>
      <c r="Y796" s="1684"/>
      <c r="Z796" s="1684"/>
      <c r="AA796" s="1684"/>
      <c r="AB796" s="1684"/>
      <c r="AC796" s="1684"/>
      <c r="AD796" s="1684"/>
      <c r="AE796" s="1684"/>
      <c r="AF796" s="1684"/>
      <c r="AG796" s="1684"/>
      <c r="AH796" s="1684"/>
      <c r="AI796" s="1684"/>
      <c r="AJ796" s="1684"/>
      <c r="AK796" s="1684"/>
      <c r="AL796" s="1684"/>
      <c r="AM796" s="1684"/>
      <c r="AN796" s="1684"/>
      <c r="AO796" s="1684"/>
      <c r="AP796" s="1684"/>
      <c r="AQ796" s="1684"/>
      <c r="AR796" s="1684"/>
      <c r="AS796" s="1684"/>
      <c r="AT796" s="1684"/>
      <c r="AU796" s="1684"/>
      <c r="AV796" s="1684"/>
      <c r="AW796" s="1684"/>
      <c r="AX796" s="1684"/>
      <c r="AY796" s="1684"/>
      <c r="AZ796" s="1684"/>
      <c r="BA796" s="1684"/>
      <c r="BB796" s="1684"/>
      <c r="BC796" s="1684"/>
      <c r="BD796" s="1684"/>
      <c r="BE796" s="1684"/>
      <c r="BF796" s="1684"/>
      <c r="BG796" s="1684"/>
      <c r="BH796" s="1684"/>
      <c r="BI796" s="1684"/>
      <c r="BJ796" s="1684"/>
      <c r="BK796" s="1684"/>
      <c r="BL796" s="1684"/>
      <c r="BM796" s="1684"/>
      <c r="BN796" s="1684"/>
      <c r="BO796" s="1684"/>
      <c r="BP796" s="1684"/>
      <c r="BQ796" s="1684"/>
      <c r="BR796" s="1684"/>
      <c r="BS796" s="1684"/>
      <c r="BT796" s="1684"/>
      <c r="BU796" s="1684"/>
      <c r="BV796" s="1684"/>
      <c r="BW796" s="1684"/>
      <c r="BX796" s="1684"/>
      <c r="BY796" s="1684"/>
      <c r="BZ796" s="1684"/>
      <c r="CA796" s="1684"/>
      <c r="CB796" s="1684"/>
      <c r="CC796" s="1684"/>
      <c r="CD796" s="1684"/>
      <c r="CE796" s="1684"/>
      <c r="CF796" s="1684"/>
      <c r="CG796" s="1684"/>
      <c r="CH796" s="1684"/>
      <c r="CI796" s="1684"/>
      <c r="CJ796" s="1684"/>
      <c r="CK796" s="1684"/>
      <c r="CL796" s="1684"/>
      <c r="CM796" s="1684"/>
      <c r="CN796" s="1684"/>
      <c r="CO796" s="1684"/>
    </row>
    <row r="797" spans="1:93" s="1391" customFormat="1" ht="15.75" thickBot="1" x14ac:dyDescent="0.25">
      <c r="A797" s="1684"/>
      <c r="B797" s="1684"/>
      <c r="C797" s="4688"/>
      <c r="D797" s="4689"/>
      <c r="E797" s="4689"/>
      <c r="F797" s="4689"/>
      <c r="G797" s="4689"/>
      <c r="H797" s="4689"/>
      <c r="I797" s="4689"/>
      <c r="J797" s="4689"/>
      <c r="K797" s="4689"/>
      <c r="L797" s="4689"/>
      <c r="M797" s="4689"/>
      <c r="N797" s="4689"/>
      <c r="O797" s="4689"/>
      <c r="P797" s="4689"/>
      <c r="Q797" s="4690"/>
      <c r="R797"/>
      <c r="S797" s="1684"/>
      <c r="T797" s="1684"/>
      <c r="U797" s="1684"/>
      <c r="V797" s="1684"/>
      <c r="W797" s="1684"/>
      <c r="X797" s="1684"/>
      <c r="Y797" s="1684"/>
      <c r="Z797" s="1684"/>
      <c r="AA797" s="1684"/>
      <c r="AB797" s="1684"/>
      <c r="AC797" s="1684"/>
      <c r="AD797" s="1684"/>
      <c r="AE797" s="1684"/>
      <c r="AF797" s="1684"/>
      <c r="AG797" s="1684"/>
      <c r="AH797" s="1684"/>
      <c r="AI797" s="1684"/>
      <c r="AJ797" s="1684"/>
      <c r="AK797" s="1684"/>
      <c r="AL797" s="1684"/>
      <c r="AM797" s="1684"/>
      <c r="AN797" s="1684"/>
      <c r="AO797" s="1684"/>
      <c r="AP797" s="1684"/>
      <c r="AQ797" s="1684"/>
      <c r="AR797" s="1684"/>
      <c r="AS797" s="1684"/>
      <c r="AT797" s="1684"/>
      <c r="AU797" s="1684"/>
      <c r="AV797" s="1684"/>
      <c r="AW797" s="1684"/>
      <c r="AX797" s="1684"/>
      <c r="AY797" s="1684"/>
      <c r="AZ797" s="1684"/>
      <c r="BA797" s="1684"/>
      <c r="BB797" s="1684"/>
      <c r="BC797" s="1684"/>
      <c r="BD797" s="1684"/>
      <c r="BE797" s="1684"/>
      <c r="BF797" s="1684"/>
      <c r="BG797" s="1684"/>
      <c r="BH797" s="1684"/>
      <c r="BI797" s="1684"/>
      <c r="BJ797" s="1684"/>
      <c r="BK797" s="1684"/>
      <c r="BL797" s="1684"/>
      <c r="BM797" s="1684"/>
      <c r="BN797" s="1684"/>
      <c r="BO797" s="1684"/>
      <c r="BP797" s="1684"/>
      <c r="BQ797" s="1684"/>
      <c r="BR797" s="1684"/>
      <c r="BS797" s="1684"/>
      <c r="BT797" s="1684"/>
      <c r="BU797" s="1684"/>
      <c r="BV797" s="1684"/>
      <c r="BW797" s="1684"/>
      <c r="BX797" s="1684"/>
      <c r="BY797" s="1684"/>
      <c r="BZ797" s="1684"/>
      <c r="CA797" s="1684"/>
      <c r="CB797" s="1684"/>
      <c r="CC797" s="1684"/>
      <c r="CD797" s="1684"/>
      <c r="CE797" s="1684"/>
      <c r="CF797" s="1684"/>
      <c r="CG797" s="1684"/>
      <c r="CH797" s="1684"/>
      <c r="CI797" s="1684"/>
      <c r="CJ797" s="1684"/>
      <c r="CK797" s="1684"/>
      <c r="CL797" s="1684"/>
      <c r="CM797" s="1684"/>
      <c r="CN797" s="1684"/>
      <c r="CO797" s="1684"/>
    </row>
    <row r="798" spans="1:93" s="1391" customFormat="1" ht="15" x14ac:dyDescent="0.2">
      <c r="A798" s="1684"/>
      <c r="B798" s="1684"/>
      <c r="C798" s="2012"/>
      <c r="D798" s="7"/>
      <c r="E798" s="7"/>
      <c r="F798" s="7"/>
      <c r="G798" s="7"/>
      <c r="H798" s="7"/>
      <c r="I798" s="7"/>
      <c r="J798" s="7"/>
      <c r="K798" s="7"/>
      <c r="L798" s="7"/>
      <c r="M798" s="7"/>
      <c r="N798" s="7"/>
      <c r="O798" s="7"/>
      <c r="P798" s="7"/>
      <c r="Q798" s="251"/>
      <c r="R798"/>
      <c r="S798" s="1684"/>
      <c r="T798" s="1684"/>
      <c r="U798" s="1684"/>
      <c r="V798" s="1684"/>
      <c r="W798" s="1684"/>
      <c r="X798" s="1684"/>
      <c r="Y798" s="1684"/>
      <c r="Z798" s="1684"/>
      <c r="AA798" s="1684"/>
      <c r="AB798" s="1684"/>
      <c r="AC798" s="1684"/>
      <c r="AD798" s="1684"/>
      <c r="AE798" s="1684"/>
      <c r="AF798" s="1684"/>
      <c r="AG798" s="1684"/>
      <c r="AH798" s="1684"/>
      <c r="AI798" s="1684"/>
      <c r="AJ798" s="1684"/>
      <c r="AK798" s="1684"/>
      <c r="AL798" s="1684"/>
      <c r="AM798" s="1684"/>
      <c r="AN798" s="1684"/>
      <c r="AO798" s="1684"/>
      <c r="AP798" s="1684"/>
      <c r="AQ798" s="1684"/>
      <c r="AR798" s="1684"/>
      <c r="AS798" s="1684"/>
      <c r="AT798" s="1684"/>
      <c r="AU798" s="1684"/>
      <c r="AV798" s="1684"/>
      <c r="AW798" s="1684"/>
      <c r="AX798" s="1684"/>
      <c r="AY798" s="1684"/>
      <c r="AZ798" s="1684"/>
      <c r="BA798" s="1684"/>
      <c r="BB798" s="1684"/>
      <c r="BC798" s="1684"/>
      <c r="BD798" s="1684"/>
      <c r="BE798" s="1684"/>
      <c r="BF798" s="1684"/>
      <c r="BG798" s="1684"/>
      <c r="BH798" s="1684"/>
      <c r="BI798" s="1684"/>
      <c r="BJ798" s="1684"/>
      <c r="BK798" s="1684"/>
      <c r="BL798" s="1684"/>
      <c r="BM798" s="1684"/>
      <c r="BN798" s="1684"/>
      <c r="BO798" s="1684"/>
      <c r="BP798" s="1684"/>
      <c r="BQ798" s="1684"/>
      <c r="BR798" s="1684"/>
      <c r="BS798" s="1684"/>
      <c r="BT798" s="1684"/>
      <c r="BU798" s="1684"/>
      <c r="BV798" s="1684"/>
      <c r="BW798" s="1684"/>
      <c r="BX798" s="1684"/>
      <c r="BY798" s="1684"/>
      <c r="BZ798" s="1684"/>
      <c r="CA798" s="1684"/>
      <c r="CB798" s="1684"/>
      <c r="CC798" s="1684"/>
      <c r="CD798" s="1684"/>
      <c r="CE798" s="1684"/>
      <c r="CF798" s="1684"/>
      <c r="CG798" s="1684"/>
      <c r="CH798" s="1684"/>
      <c r="CI798" s="1684"/>
      <c r="CJ798" s="1684"/>
      <c r="CK798" s="1684"/>
      <c r="CL798" s="1684"/>
      <c r="CM798" s="1684"/>
      <c r="CN798" s="1684"/>
      <c r="CO798" s="1684"/>
    </row>
    <row r="799" spans="1:93" s="1391" customFormat="1" ht="15" x14ac:dyDescent="0.2">
      <c r="A799" s="1684"/>
      <c r="B799" s="1684"/>
      <c r="C799" s="4691" t="s">
        <v>1964</v>
      </c>
      <c r="D799" s="4692" t="s">
        <v>1965</v>
      </c>
      <c r="E799" s="4693" t="s">
        <v>5602</v>
      </c>
      <c r="F799" s="4693"/>
      <c r="G799" s="4693"/>
      <c r="H799" s="4693"/>
      <c r="I799" s="4693"/>
      <c r="J799" s="4693"/>
      <c r="K799" s="4693"/>
      <c r="L799" s="4693"/>
      <c r="M799" s="4693"/>
      <c r="N799" s="4693"/>
      <c r="O799" s="4693"/>
      <c r="P799" s="4693"/>
      <c r="Q799" s="4682" t="s">
        <v>2490</v>
      </c>
      <c r="R799"/>
      <c r="S799" s="1684"/>
      <c r="T799" s="1684"/>
      <c r="U799" s="1684"/>
      <c r="V799" s="1684"/>
      <c r="W799" s="1684"/>
      <c r="X799" s="1684"/>
      <c r="Y799" s="1684"/>
      <c r="Z799" s="1684"/>
      <c r="AA799" s="1684"/>
      <c r="AB799" s="1684"/>
      <c r="AC799" s="1684"/>
      <c r="AD799" s="1684"/>
      <c r="AE799" s="1684"/>
      <c r="AF799" s="1684"/>
      <c r="AG799" s="1684"/>
      <c r="AH799" s="1684"/>
      <c r="AI799" s="1684"/>
      <c r="AJ799" s="1684"/>
      <c r="AK799" s="1684"/>
      <c r="AL799" s="1684"/>
      <c r="AM799" s="1684"/>
      <c r="AN799" s="1684"/>
      <c r="AO799" s="1684"/>
      <c r="AP799" s="1684"/>
      <c r="AQ799" s="1684"/>
      <c r="AR799" s="1684"/>
      <c r="AS799" s="1684"/>
      <c r="AT799" s="1684"/>
      <c r="AU799" s="1684"/>
      <c r="AV799" s="1684"/>
      <c r="AW799" s="1684"/>
      <c r="AX799" s="1684"/>
      <c r="AY799" s="1684"/>
      <c r="AZ799" s="1684"/>
      <c r="BA799" s="1684"/>
      <c r="BB799" s="1684"/>
      <c r="BC799" s="1684"/>
      <c r="BD799" s="1684"/>
      <c r="BE799" s="1684"/>
      <c r="BF799" s="1684"/>
      <c r="BG799" s="1684"/>
      <c r="BH799" s="1684"/>
      <c r="BI799" s="1684"/>
      <c r="BJ799" s="1684"/>
      <c r="BK799" s="1684"/>
      <c r="BL799" s="1684"/>
      <c r="BM799" s="1684"/>
      <c r="BN799" s="1684"/>
      <c r="BO799" s="1684"/>
      <c r="BP799" s="1684"/>
      <c r="BQ799" s="1684"/>
      <c r="BR799" s="1684"/>
      <c r="BS799" s="1684"/>
      <c r="BT799" s="1684"/>
      <c r="BU799" s="1684"/>
      <c r="BV799" s="1684"/>
      <c r="BW799" s="1684"/>
      <c r="BX799" s="1684"/>
      <c r="BY799" s="1684"/>
      <c r="BZ799" s="1684"/>
      <c r="CA799" s="1684"/>
      <c r="CB799" s="1684"/>
      <c r="CC799" s="1684"/>
      <c r="CD799" s="1684"/>
      <c r="CE799" s="1684"/>
      <c r="CF799" s="1684"/>
      <c r="CG799" s="1684"/>
      <c r="CH799" s="1684"/>
      <c r="CI799" s="1684"/>
      <c r="CJ799" s="1684"/>
      <c r="CK799" s="1684"/>
      <c r="CL799" s="1684"/>
      <c r="CM799" s="1684"/>
      <c r="CN799" s="1684"/>
      <c r="CO799" s="1684"/>
    </row>
    <row r="800" spans="1:93" s="1391" customFormat="1" ht="31.5" x14ac:dyDescent="0.2">
      <c r="A800" s="1684"/>
      <c r="B800" s="1684"/>
      <c r="C800" s="4691"/>
      <c r="D800" s="4692"/>
      <c r="E800" s="2017" t="s">
        <v>1966</v>
      </c>
      <c r="F800" s="2017" t="s">
        <v>3014</v>
      </c>
      <c r="G800" s="2017" t="s">
        <v>1967</v>
      </c>
      <c r="H800" s="2017" t="s">
        <v>1968</v>
      </c>
      <c r="I800" s="2017" t="s">
        <v>1969</v>
      </c>
      <c r="J800" s="2017" t="s">
        <v>1970</v>
      </c>
      <c r="K800" s="2017" t="s">
        <v>1971</v>
      </c>
      <c r="L800" s="2017" t="s">
        <v>1972</v>
      </c>
      <c r="M800" s="2017" t="s">
        <v>1973</v>
      </c>
      <c r="N800" s="2017" t="s">
        <v>1974</v>
      </c>
      <c r="O800" s="2017" t="s">
        <v>1975</v>
      </c>
      <c r="P800" s="2017" t="s">
        <v>3020</v>
      </c>
      <c r="Q800" s="4682"/>
      <c r="R800"/>
      <c r="S800" s="1684"/>
      <c r="T800" s="1684"/>
      <c r="U800" s="1684"/>
      <c r="V800" s="1684"/>
      <c r="W800" s="1684"/>
      <c r="X800" s="1684"/>
      <c r="Y800" s="1684"/>
      <c r="Z800" s="1684"/>
      <c r="AA800" s="1684"/>
      <c r="AB800" s="1684"/>
      <c r="AC800" s="1684"/>
      <c r="AD800" s="1684"/>
      <c r="AE800" s="1684"/>
      <c r="AF800" s="1684"/>
      <c r="AG800" s="1684"/>
      <c r="AH800" s="1684"/>
      <c r="AI800" s="1684"/>
      <c r="AJ800" s="1684"/>
      <c r="AK800" s="1684"/>
      <c r="AL800" s="1684"/>
      <c r="AM800" s="1684"/>
      <c r="AN800" s="1684"/>
      <c r="AO800" s="1684"/>
      <c r="AP800" s="1684"/>
      <c r="AQ800" s="1684"/>
      <c r="AR800" s="1684"/>
      <c r="AS800" s="1684"/>
      <c r="AT800" s="1684"/>
      <c r="AU800" s="1684"/>
      <c r="AV800" s="1684"/>
      <c r="AW800" s="1684"/>
      <c r="AX800" s="1684"/>
      <c r="AY800" s="1684"/>
      <c r="AZ800" s="1684"/>
      <c r="BA800" s="1684"/>
      <c r="BB800" s="1684"/>
      <c r="BC800" s="1684"/>
      <c r="BD800" s="1684"/>
      <c r="BE800" s="1684"/>
      <c r="BF800" s="1684"/>
      <c r="BG800" s="1684"/>
      <c r="BH800" s="1684"/>
      <c r="BI800" s="1684"/>
      <c r="BJ800" s="1684"/>
      <c r="BK800" s="1684"/>
      <c r="BL800" s="1684"/>
      <c r="BM800" s="1684"/>
      <c r="BN800" s="1684"/>
      <c r="BO800" s="1684"/>
      <c r="BP800" s="1684"/>
      <c r="BQ800" s="1684"/>
      <c r="BR800" s="1684"/>
      <c r="BS800" s="1684"/>
      <c r="BT800" s="1684"/>
      <c r="BU800" s="1684"/>
      <c r="BV800" s="1684"/>
      <c r="BW800" s="1684"/>
      <c r="BX800" s="1684"/>
      <c r="BY800" s="1684"/>
      <c r="BZ800" s="1684"/>
      <c r="CA800" s="1684"/>
      <c r="CB800" s="1684"/>
      <c r="CC800" s="1684"/>
      <c r="CD800" s="1684"/>
      <c r="CE800" s="1684"/>
      <c r="CF800" s="1684"/>
      <c r="CG800" s="1684"/>
      <c r="CH800" s="1684"/>
      <c r="CI800" s="1684"/>
      <c r="CJ800" s="1684"/>
      <c r="CK800" s="1684"/>
      <c r="CL800" s="1684"/>
      <c r="CM800" s="1684"/>
      <c r="CN800" s="1684"/>
      <c r="CO800" s="1684"/>
    </row>
    <row r="801" spans="1:93" s="1391" customFormat="1" ht="15" x14ac:dyDescent="0.2">
      <c r="A801" s="1684"/>
      <c r="B801" s="1684"/>
      <c r="C801" s="4691"/>
      <c r="D801" s="4692"/>
      <c r="E801" s="4693" t="s">
        <v>1781</v>
      </c>
      <c r="F801" s="4693"/>
      <c r="G801" s="4693"/>
      <c r="H801" s="4693"/>
      <c r="I801" s="4693"/>
      <c r="J801" s="4693"/>
      <c r="K801" s="4693"/>
      <c r="L801" s="4693"/>
      <c r="M801" s="4693"/>
      <c r="N801" s="4693"/>
      <c r="O801" s="4693"/>
      <c r="P801" s="4693"/>
      <c r="Q801" s="4682"/>
      <c r="R801"/>
      <c r="S801" s="1684"/>
      <c r="T801" s="1684"/>
      <c r="U801" s="1684"/>
      <c r="V801" s="1684"/>
      <c r="W801" s="1684"/>
      <c r="X801" s="1684"/>
      <c r="Y801" s="1684"/>
      <c r="Z801" s="1684"/>
      <c r="AA801" s="1684"/>
      <c r="AB801" s="1684"/>
      <c r="AC801" s="1684"/>
      <c r="AD801" s="1684"/>
      <c r="AE801" s="1684"/>
      <c r="AF801" s="1684"/>
      <c r="AG801" s="1684"/>
      <c r="AH801" s="1684"/>
      <c r="AI801" s="1684"/>
      <c r="AJ801" s="1684"/>
      <c r="AK801" s="1684"/>
      <c r="AL801" s="1684"/>
      <c r="AM801" s="1684"/>
      <c r="AN801" s="1684"/>
      <c r="AO801" s="1684"/>
      <c r="AP801" s="1684"/>
      <c r="AQ801" s="1684"/>
      <c r="AR801" s="1684"/>
      <c r="AS801" s="1684"/>
      <c r="AT801" s="1684"/>
      <c r="AU801" s="1684"/>
      <c r="AV801" s="1684"/>
      <c r="AW801" s="1684"/>
      <c r="AX801" s="1684"/>
      <c r="AY801" s="1684"/>
      <c r="AZ801" s="1684"/>
      <c r="BA801" s="1684"/>
      <c r="BB801" s="1684"/>
      <c r="BC801" s="1684"/>
      <c r="BD801" s="1684"/>
      <c r="BE801" s="1684"/>
      <c r="BF801" s="1684"/>
      <c r="BG801" s="1684"/>
      <c r="BH801" s="1684"/>
      <c r="BI801" s="1684"/>
      <c r="BJ801" s="1684"/>
      <c r="BK801" s="1684"/>
      <c r="BL801" s="1684"/>
      <c r="BM801" s="1684"/>
      <c r="BN801" s="1684"/>
      <c r="BO801" s="1684"/>
      <c r="BP801" s="1684"/>
      <c r="BQ801" s="1684"/>
      <c r="BR801" s="1684"/>
      <c r="BS801" s="1684"/>
      <c r="BT801" s="1684"/>
      <c r="BU801" s="1684"/>
      <c r="BV801" s="1684"/>
      <c r="BW801" s="1684"/>
      <c r="BX801" s="1684"/>
      <c r="BY801" s="1684"/>
      <c r="BZ801" s="1684"/>
      <c r="CA801" s="1684"/>
      <c r="CB801" s="1684"/>
      <c r="CC801" s="1684"/>
      <c r="CD801" s="1684"/>
      <c r="CE801" s="1684"/>
      <c r="CF801" s="1684"/>
      <c r="CG801" s="1684"/>
      <c r="CH801" s="1684"/>
      <c r="CI801" s="1684"/>
      <c r="CJ801" s="1684"/>
      <c r="CK801" s="1684"/>
      <c r="CL801" s="1684"/>
      <c r="CM801" s="1684"/>
      <c r="CN801" s="1684"/>
      <c r="CO801" s="1684"/>
    </row>
    <row r="802" spans="1:93" s="1391" customFormat="1" ht="15" x14ac:dyDescent="0.2">
      <c r="A802" s="1684"/>
      <c r="B802" s="1684"/>
      <c r="C802" s="4680" t="s">
        <v>3689</v>
      </c>
      <c r="D802" s="4681"/>
      <c r="E802" s="4681"/>
      <c r="F802" s="4681"/>
      <c r="G802" s="4681"/>
      <c r="H802" s="4681"/>
      <c r="I802" s="4681"/>
      <c r="J802" s="4681"/>
      <c r="K802" s="4681"/>
      <c r="L802" s="4681"/>
      <c r="M802" s="4681"/>
      <c r="N802" s="4681"/>
      <c r="O802" s="4681"/>
      <c r="P802" s="4681"/>
      <c r="Q802" s="4682"/>
      <c r="R802"/>
      <c r="S802" s="1684"/>
      <c r="T802" s="1684"/>
      <c r="U802" s="1684"/>
      <c r="V802" s="1684"/>
      <c r="W802" s="1684"/>
      <c r="X802" s="1684"/>
      <c r="Y802" s="1684"/>
      <c r="Z802" s="1684"/>
      <c r="AA802" s="1684"/>
      <c r="AB802" s="1684"/>
      <c r="AC802" s="1684"/>
      <c r="AD802" s="1684"/>
      <c r="AE802" s="1684"/>
      <c r="AF802" s="1684"/>
      <c r="AG802" s="1684"/>
      <c r="AH802" s="1684"/>
      <c r="AI802" s="1684"/>
      <c r="AJ802" s="1684"/>
      <c r="AK802" s="1684"/>
      <c r="AL802" s="1684"/>
      <c r="AM802" s="1684"/>
      <c r="AN802" s="1684"/>
      <c r="AO802" s="1684"/>
      <c r="AP802" s="1684"/>
      <c r="AQ802" s="1684"/>
      <c r="AR802" s="1684"/>
      <c r="AS802" s="1684"/>
      <c r="AT802" s="1684"/>
      <c r="AU802" s="1684"/>
      <c r="AV802" s="1684"/>
      <c r="AW802" s="1684"/>
      <c r="AX802" s="1684"/>
      <c r="AY802" s="1684"/>
      <c r="AZ802" s="1684"/>
      <c r="BA802" s="1684"/>
      <c r="BB802" s="1684"/>
      <c r="BC802" s="1684"/>
      <c r="BD802" s="1684"/>
      <c r="BE802" s="1684"/>
      <c r="BF802" s="1684"/>
      <c r="BG802" s="1684"/>
      <c r="BH802" s="1684"/>
      <c r="BI802" s="1684"/>
      <c r="BJ802" s="1684"/>
      <c r="BK802" s="1684"/>
      <c r="BL802" s="1684"/>
      <c r="BM802" s="1684"/>
      <c r="BN802" s="1684"/>
      <c r="BO802" s="1684"/>
      <c r="BP802" s="1684"/>
      <c r="BQ802" s="1684"/>
      <c r="BR802" s="1684"/>
      <c r="BS802" s="1684"/>
      <c r="BT802" s="1684"/>
      <c r="BU802" s="1684"/>
      <c r="BV802" s="1684"/>
      <c r="BW802" s="1684"/>
      <c r="BX802" s="1684"/>
      <c r="BY802" s="1684"/>
      <c r="BZ802" s="1684"/>
      <c r="CA802" s="1684"/>
      <c r="CB802" s="1684"/>
      <c r="CC802" s="1684"/>
      <c r="CD802" s="1684"/>
      <c r="CE802" s="1684"/>
      <c r="CF802" s="1684"/>
      <c r="CG802" s="1684"/>
      <c r="CH802" s="1684"/>
      <c r="CI802" s="1684"/>
      <c r="CJ802" s="1684"/>
      <c r="CK802" s="1684"/>
      <c r="CL802" s="1684"/>
      <c r="CM802" s="1684"/>
      <c r="CN802" s="1684"/>
      <c r="CO802" s="1684"/>
    </row>
    <row r="803" spans="1:93" s="1391" customFormat="1" ht="15" x14ac:dyDescent="0.2">
      <c r="A803" s="1684"/>
      <c r="B803" s="1684"/>
      <c r="C803" s="4680"/>
      <c r="D803" s="4681"/>
      <c r="E803" s="4681"/>
      <c r="F803" s="4681"/>
      <c r="G803" s="4681"/>
      <c r="H803" s="4681"/>
      <c r="I803" s="4681"/>
      <c r="J803" s="4681"/>
      <c r="K803" s="4681"/>
      <c r="L803" s="4681"/>
      <c r="M803" s="4681"/>
      <c r="N803" s="4681"/>
      <c r="O803" s="4681"/>
      <c r="P803" s="4681"/>
      <c r="Q803" s="4682"/>
      <c r="R803"/>
      <c r="S803" s="1684"/>
      <c r="T803" s="1684"/>
      <c r="U803" s="1684"/>
      <c r="V803" s="1684"/>
      <c r="W803" s="1684"/>
      <c r="X803" s="1684"/>
      <c r="Y803" s="1684"/>
      <c r="Z803" s="1684"/>
      <c r="AA803" s="1684"/>
      <c r="AB803" s="1684"/>
      <c r="AC803" s="1684"/>
      <c r="AD803" s="1684"/>
      <c r="AE803" s="1684"/>
      <c r="AF803" s="1684"/>
      <c r="AG803" s="1684"/>
      <c r="AH803" s="1684"/>
      <c r="AI803" s="1684"/>
      <c r="AJ803" s="1684"/>
      <c r="AK803" s="1684"/>
      <c r="AL803" s="1684"/>
      <c r="AM803" s="1684"/>
      <c r="AN803" s="1684"/>
      <c r="AO803" s="1684"/>
      <c r="AP803" s="1684"/>
      <c r="AQ803" s="1684"/>
      <c r="AR803" s="1684"/>
      <c r="AS803" s="1684"/>
      <c r="AT803" s="1684"/>
      <c r="AU803" s="1684"/>
      <c r="AV803" s="1684"/>
      <c r="AW803" s="1684"/>
      <c r="AX803" s="1684"/>
      <c r="AY803" s="1684"/>
      <c r="AZ803" s="1684"/>
      <c r="BA803" s="1684"/>
      <c r="BB803" s="1684"/>
      <c r="BC803" s="1684"/>
      <c r="BD803" s="1684"/>
      <c r="BE803" s="1684"/>
      <c r="BF803" s="1684"/>
      <c r="BG803" s="1684"/>
      <c r="BH803" s="1684"/>
      <c r="BI803" s="1684"/>
      <c r="BJ803" s="1684"/>
      <c r="BK803" s="1684"/>
      <c r="BL803" s="1684"/>
      <c r="BM803" s="1684"/>
      <c r="BN803" s="1684"/>
      <c r="BO803" s="1684"/>
      <c r="BP803" s="1684"/>
      <c r="BQ803" s="1684"/>
      <c r="BR803" s="1684"/>
      <c r="BS803" s="1684"/>
      <c r="BT803" s="1684"/>
      <c r="BU803" s="1684"/>
      <c r="BV803" s="1684"/>
      <c r="BW803" s="1684"/>
      <c r="BX803" s="1684"/>
      <c r="BY803" s="1684"/>
      <c r="BZ803" s="1684"/>
      <c r="CA803" s="1684"/>
      <c r="CB803" s="1684"/>
      <c r="CC803" s="1684"/>
      <c r="CD803" s="1684"/>
      <c r="CE803" s="1684"/>
      <c r="CF803" s="1684"/>
      <c r="CG803" s="1684"/>
      <c r="CH803" s="1684"/>
      <c r="CI803" s="1684"/>
      <c r="CJ803" s="1684"/>
      <c r="CK803" s="1684"/>
      <c r="CL803" s="1684"/>
      <c r="CM803" s="1684"/>
      <c r="CN803" s="1684"/>
      <c r="CO803" s="1684"/>
    </row>
    <row r="804" spans="1:93" s="1391" customFormat="1" ht="15" x14ac:dyDescent="0.2">
      <c r="A804" s="1684"/>
      <c r="B804" s="1684"/>
      <c r="C804" s="4680" t="s">
        <v>3690</v>
      </c>
      <c r="D804" s="4681"/>
      <c r="E804" s="4681"/>
      <c r="F804" s="4681"/>
      <c r="G804" s="4681"/>
      <c r="H804" s="4681"/>
      <c r="I804" s="4681"/>
      <c r="J804" s="4681"/>
      <c r="K804" s="4681"/>
      <c r="L804" s="4681"/>
      <c r="M804" s="4681"/>
      <c r="N804" s="4681"/>
      <c r="O804" s="4681"/>
      <c r="P804" s="4681"/>
      <c r="Q804" s="4682"/>
      <c r="R804"/>
      <c r="S804" s="1684"/>
      <c r="T804" s="1684"/>
      <c r="U804" s="1684"/>
      <c r="V804" s="1684"/>
      <c r="W804" s="1684"/>
      <c r="X804" s="1684"/>
      <c r="Y804" s="1684"/>
      <c r="Z804" s="1684"/>
      <c r="AA804" s="1684"/>
      <c r="AB804" s="1684"/>
      <c r="AC804" s="1684"/>
      <c r="AD804" s="1684"/>
      <c r="AE804" s="1684"/>
      <c r="AF804" s="1684"/>
      <c r="AG804" s="1684"/>
      <c r="AH804" s="1684"/>
      <c r="AI804" s="1684"/>
      <c r="AJ804" s="1684"/>
      <c r="AK804" s="1684"/>
      <c r="AL804" s="1684"/>
      <c r="AM804" s="1684"/>
      <c r="AN804" s="1684"/>
      <c r="AO804" s="1684"/>
      <c r="AP804" s="1684"/>
      <c r="AQ804" s="1684"/>
      <c r="AR804" s="1684"/>
      <c r="AS804" s="1684"/>
      <c r="AT804" s="1684"/>
      <c r="AU804" s="1684"/>
      <c r="AV804" s="1684"/>
      <c r="AW804" s="1684"/>
      <c r="AX804" s="1684"/>
      <c r="AY804" s="1684"/>
      <c r="AZ804" s="1684"/>
      <c r="BA804" s="1684"/>
      <c r="BB804" s="1684"/>
      <c r="BC804" s="1684"/>
      <c r="BD804" s="1684"/>
      <c r="BE804" s="1684"/>
      <c r="BF804" s="1684"/>
      <c r="BG804" s="1684"/>
      <c r="BH804" s="1684"/>
      <c r="BI804" s="1684"/>
      <c r="BJ804" s="1684"/>
      <c r="BK804" s="1684"/>
      <c r="BL804" s="1684"/>
      <c r="BM804" s="1684"/>
      <c r="BN804" s="1684"/>
      <c r="BO804" s="1684"/>
      <c r="BP804" s="1684"/>
      <c r="BQ804" s="1684"/>
      <c r="BR804" s="1684"/>
      <c r="BS804" s="1684"/>
      <c r="BT804" s="1684"/>
      <c r="BU804" s="1684"/>
      <c r="BV804" s="1684"/>
      <c r="BW804" s="1684"/>
      <c r="BX804" s="1684"/>
      <c r="BY804" s="1684"/>
      <c r="BZ804" s="1684"/>
      <c r="CA804" s="1684"/>
      <c r="CB804" s="1684"/>
      <c r="CC804" s="1684"/>
      <c r="CD804" s="1684"/>
      <c r="CE804" s="1684"/>
      <c r="CF804" s="1684"/>
      <c r="CG804" s="1684"/>
      <c r="CH804" s="1684"/>
      <c r="CI804" s="1684"/>
      <c r="CJ804" s="1684"/>
      <c r="CK804" s="1684"/>
      <c r="CL804" s="1684"/>
      <c r="CM804" s="1684"/>
      <c r="CN804" s="1684"/>
      <c r="CO804" s="1684"/>
    </row>
    <row r="805" spans="1:93" s="1391" customFormat="1" ht="15" x14ac:dyDescent="0.2">
      <c r="A805" s="1684"/>
      <c r="B805" s="1684"/>
      <c r="C805" s="4680"/>
      <c r="D805" s="4681"/>
      <c r="E805" s="4681"/>
      <c r="F805" s="4681"/>
      <c r="G805" s="4681"/>
      <c r="H805" s="4681"/>
      <c r="I805" s="4681"/>
      <c r="J805" s="4681"/>
      <c r="K805" s="4681"/>
      <c r="L805" s="4681"/>
      <c r="M805" s="4681"/>
      <c r="N805" s="4681"/>
      <c r="O805" s="4681"/>
      <c r="P805" s="4681"/>
      <c r="Q805" s="4682"/>
      <c r="R805"/>
      <c r="S805" s="1684"/>
      <c r="T805" s="1684"/>
      <c r="U805" s="1684"/>
      <c r="V805" s="1684"/>
      <c r="W805" s="1684"/>
      <c r="X805" s="1684"/>
      <c r="Y805" s="1684"/>
      <c r="Z805" s="1684"/>
      <c r="AA805" s="1684"/>
      <c r="AB805" s="1684"/>
      <c r="AC805" s="1684"/>
      <c r="AD805" s="1684"/>
      <c r="AE805" s="1684"/>
      <c r="AF805" s="1684"/>
      <c r="AG805" s="1684"/>
      <c r="AH805" s="1684"/>
      <c r="AI805" s="1684"/>
      <c r="AJ805" s="1684"/>
      <c r="AK805" s="1684"/>
      <c r="AL805" s="1684"/>
      <c r="AM805" s="1684"/>
      <c r="AN805" s="1684"/>
      <c r="AO805" s="1684"/>
      <c r="AP805" s="1684"/>
      <c r="AQ805" s="1684"/>
      <c r="AR805" s="1684"/>
      <c r="AS805" s="1684"/>
      <c r="AT805" s="1684"/>
      <c r="AU805" s="1684"/>
      <c r="AV805" s="1684"/>
      <c r="AW805" s="1684"/>
      <c r="AX805" s="1684"/>
      <c r="AY805" s="1684"/>
      <c r="AZ805" s="1684"/>
      <c r="BA805" s="1684"/>
      <c r="BB805" s="1684"/>
      <c r="BC805" s="1684"/>
      <c r="BD805" s="1684"/>
      <c r="BE805" s="1684"/>
      <c r="BF805" s="1684"/>
      <c r="BG805" s="1684"/>
      <c r="BH805" s="1684"/>
      <c r="BI805" s="1684"/>
      <c r="BJ805" s="1684"/>
      <c r="BK805" s="1684"/>
      <c r="BL805" s="1684"/>
      <c r="BM805" s="1684"/>
      <c r="BN805" s="1684"/>
      <c r="BO805" s="1684"/>
      <c r="BP805" s="1684"/>
      <c r="BQ805" s="1684"/>
      <c r="BR805" s="1684"/>
      <c r="BS805" s="1684"/>
      <c r="BT805" s="1684"/>
      <c r="BU805" s="1684"/>
      <c r="BV805" s="1684"/>
      <c r="BW805" s="1684"/>
      <c r="BX805" s="1684"/>
      <c r="BY805" s="1684"/>
      <c r="BZ805" s="1684"/>
      <c r="CA805" s="1684"/>
      <c r="CB805" s="1684"/>
      <c r="CC805" s="1684"/>
      <c r="CD805" s="1684"/>
      <c r="CE805" s="1684"/>
      <c r="CF805" s="1684"/>
      <c r="CG805" s="1684"/>
      <c r="CH805" s="1684"/>
      <c r="CI805" s="1684"/>
      <c r="CJ805" s="1684"/>
      <c r="CK805" s="1684"/>
      <c r="CL805" s="1684"/>
      <c r="CM805" s="1684"/>
      <c r="CN805" s="1684"/>
      <c r="CO805" s="1684"/>
    </row>
    <row r="806" spans="1:93" s="1391" customFormat="1" ht="15" x14ac:dyDescent="0.2">
      <c r="A806" s="1684"/>
      <c r="B806" s="1684"/>
      <c r="C806" s="2014"/>
      <c r="D806" s="2015"/>
      <c r="E806" s="2015">
        <v>1</v>
      </c>
      <c r="F806" s="2015">
        <v>2</v>
      </c>
      <c r="G806" s="2015">
        <v>3</v>
      </c>
      <c r="H806" s="2015">
        <v>4</v>
      </c>
      <c r="I806" s="2015">
        <v>5</v>
      </c>
      <c r="J806" s="2015">
        <v>6</v>
      </c>
      <c r="K806" s="2015">
        <v>7</v>
      </c>
      <c r="L806" s="2015">
        <v>8</v>
      </c>
      <c r="M806" s="2015">
        <v>9</v>
      </c>
      <c r="N806" s="2015">
        <v>10</v>
      </c>
      <c r="O806" s="2015">
        <v>11</v>
      </c>
      <c r="P806" s="2015">
        <v>12</v>
      </c>
      <c r="Q806" s="2016"/>
      <c r="R806"/>
      <c r="S806" s="1684"/>
      <c r="T806" s="1684"/>
      <c r="U806" s="1684"/>
      <c r="V806" s="1684"/>
      <c r="W806" s="1684"/>
      <c r="X806" s="1684"/>
      <c r="Y806" s="1684"/>
      <c r="Z806" s="1684"/>
      <c r="AA806" s="1684"/>
      <c r="AB806" s="1684"/>
      <c r="AC806" s="1684"/>
      <c r="AD806" s="1684"/>
      <c r="AE806" s="1684"/>
      <c r="AF806" s="1684"/>
      <c r="AG806" s="1684"/>
      <c r="AH806" s="1684"/>
      <c r="AI806" s="1684"/>
      <c r="AJ806" s="1684"/>
      <c r="AK806" s="1684"/>
      <c r="AL806" s="1684"/>
      <c r="AM806" s="1684"/>
      <c r="AN806" s="1684"/>
      <c r="AO806" s="1684"/>
      <c r="AP806" s="1684"/>
      <c r="AQ806" s="1684"/>
      <c r="AR806" s="1684"/>
      <c r="AS806" s="1684"/>
      <c r="AT806" s="1684"/>
      <c r="AU806" s="1684"/>
      <c r="AV806" s="1684"/>
      <c r="AW806" s="1684"/>
      <c r="AX806" s="1684"/>
      <c r="AY806" s="1684"/>
      <c r="AZ806" s="1684"/>
      <c r="BA806" s="1684"/>
      <c r="BB806" s="1684"/>
      <c r="BC806" s="1684"/>
      <c r="BD806" s="1684"/>
      <c r="BE806" s="1684"/>
      <c r="BF806" s="1684"/>
      <c r="BG806" s="1684"/>
      <c r="BH806" s="1684"/>
      <c r="BI806" s="1684"/>
      <c r="BJ806" s="1684"/>
      <c r="BK806" s="1684"/>
      <c r="BL806" s="1684"/>
      <c r="BM806" s="1684"/>
      <c r="BN806" s="1684"/>
      <c r="BO806" s="1684"/>
      <c r="BP806" s="1684"/>
      <c r="BQ806" s="1684"/>
      <c r="BR806" s="1684"/>
      <c r="BS806" s="1684"/>
      <c r="BT806" s="1684"/>
      <c r="BU806" s="1684"/>
      <c r="BV806" s="1684"/>
      <c r="BW806" s="1684"/>
      <c r="BX806" s="1684"/>
      <c r="BY806" s="1684"/>
      <c r="BZ806" s="1684"/>
      <c r="CA806" s="1684"/>
      <c r="CB806" s="1684"/>
      <c r="CC806" s="1684"/>
      <c r="CD806" s="1684"/>
      <c r="CE806" s="1684"/>
      <c r="CF806" s="1684"/>
      <c r="CG806" s="1684"/>
      <c r="CH806" s="1684"/>
      <c r="CI806" s="1684"/>
      <c r="CJ806" s="1684"/>
      <c r="CK806" s="1684"/>
      <c r="CL806" s="1684"/>
      <c r="CM806" s="1684"/>
      <c r="CN806" s="1684"/>
      <c r="CO806" s="1684"/>
    </row>
    <row r="807" spans="1:93" s="1391" customFormat="1" ht="15" x14ac:dyDescent="0.2">
      <c r="A807" s="1684"/>
      <c r="B807" s="1684"/>
      <c r="C807" s="2013">
        <v>8</v>
      </c>
      <c r="D807" s="5">
        <v>5.351</v>
      </c>
      <c r="E807" s="5">
        <v>137</v>
      </c>
      <c r="F807" s="5">
        <v>152</v>
      </c>
      <c r="G807" s="5">
        <v>166</v>
      </c>
      <c r="H807" s="5">
        <v>181</v>
      </c>
      <c r="I807" s="5">
        <v>195</v>
      </c>
      <c r="J807" s="5">
        <v>210</v>
      </c>
      <c r="K807" s="5">
        <v>224</v>
      </c>
      <c r="L807" s="5">
        <v>239</v>
      </c>
      <c r="M807" s="5">
        <v>253</v>
      </c>
      <c r="N807" s="5">
        <v>267</v>
      </c>
      <c r="O807" s="5">
        <v>282</v>
      </c>
      <c r="P807" s="5">
        <v>296</v>
      </c>
      <c r="Q807" s="1160">
        <v>1</v>
      </c>
      <c r="R807"/>
      <c r="S807" s="1684"/>
      <c r="T807" s="1684"/>
      <c r="U807" s="1684"/>
      <c r="V807" s="1684"/>
      <c r="W807" s="1684"/>
      <c r="X807" s="1684"/>
      <c r="Y807" s="1684"/>
      <c r="Z807" s="1684"/>
      <c r="AA807" s="1684"/>
      <c r="AB807" s="1684"/>
      <c r="AC807" s="1684"/>
      <c r="AD807" s="1684"/>
      <c r="AE807" s="1684"/>
      <c r="AF807" s="1684"/>
      <c r="AG807" s="1684"/>
      <c r="AH807" s="1684"/>
      <c r="AI807" s="1684"/>
      <c r="AJ807" s="1684"/>
      <c r="AK807" s="1684"/>
      <c r="AL807" s="1684"/>
      <c r="AM807" s="1684"/>
      <c r="AN807" s="1684"/>
      <c r="AO807" s="1684"/>
      <c r="AP807" s="1684"/>
      <c r="AQ807" s="1684"/>
      <c r="AR807" s="1684"/>
      <c r="AS807" s="1684"/>
      <c r="AT807" s="1684"/>
      <c r="AU807" s="1684"/>
      <c r="AV807" s="1684"/>
      <c r="AW807" s="1684"/>
      <c r="AX807" s="1684"/>
      <c r="AY807" s="1684"/>
      <c r="AZ807" s="1684"/>
      <c r="BA807" s="1684"/>
      <c r="BB807" s="1684"/>
      <c r="BC807" s="1684"/>
      <c r="BD807" s="1684"/>
      <c r="BE807" s="1684"/>
      <c r="BF807" s="1684"/>
      <c r="BG807" s="1684"/>
      <c r="BH807" s="1684"/>
      <c r="BI807" s="1684"/>
      <c r="BJ807" s="1684"/>
      <c r="BK807" s="1684"/>
      <c r="BL807" s="1684"/>
      <c r="BM807" s="1684"/>
      <c r="BN807" s="1684"/>
      <c r="BO807" s="1684"/>
      <c r="BP807" s="1684"/>
      <c r="BQ807" s="1684"/>
      <c r="BR807" s="1684"/>
      <c r="BS807" s="1684"/>
      <c r="BT807" s="1684"/>
      <c r="BU807" s="1684"/>
      <c r="BV807" s="1684"/>
      <c r="BW807" s="1684"/>
      <c r="BX807" s="1684"/>
      <c r="BY807" s="1684"/>
      <c r="BZ807" s="1684"/>
      <c r="CA807" s="1684"/>
      <c r="CB807" s="1684"/>
      <c r="CC807" s="1684"/>
      <c r="CD807" s="1684"/>
      <c r="CE807" s="1684"/>
      <c r="CF807" s="1684"/>
      <c r="CG807" s="1684"/>
      <c r="CH807" s="1684"/>
      <c r="CI807" s="1684"/>
      <c r="CJ807" s="1684"/>
      <c r="CK807" s="1684"/>
      <c r="CL807" s="1684"/>
      <c r="CM807" s="1684"/>
      <c r="CN807" s="1684"/>
      <c r="CO807" s="1684"/>
    </row>
    <row r="808" spans="1:93" s="1391" customFormat="1" ht="15" x14ac:dyDescent="0.2">
      <c r="A808" s="1684"/>
      <c r="B808" s="1684"/>
      <c r="C808" s="2013">
        <v>9</v>
      </c>
      <c r="D808" s="5">
        <v>5.6529999999999996</v>
      </c>
      <c r="E808" s="5">
        <v>150</v>
      </c>
      <c r="F808" s="5">
        <v>166</v>
      </c>
      <c r="G808" s="5">
        <v>182</v>
      </c>
      <c r="H808" s="5">
        <v>193</v>
      </c>
      <c r="I808" s="5">
        <v>214</v>
      </c>
      <c r="J808" s="5">
        <v>229</v>
      </c>
      <c r="K808" s="5">
        <v>245</v>
      </c>
      <c r="L808" s="5">
        <v>262</v>
      </c>
      <c r="M808" s="5">
        <v>277</v>
      </c>
      <c r="N808" s="5">
        <v>292</v>
      </c>
      <c r="O808" s="5">
        <v>308</v>
      </c>
      <c r="P808" s="5">
        <v>324</v>
      </c>
      <c r="Q808" s="1160">
        <v>2</v>
      </c>
      <c r="R808"/>
      <c r="S808" s="1684"/>
      <c r="T808" s="1684"/>
      <c r="U808" s="1684"/>
      <c r="V808" s="1684"/>
      <c r="W808" s="1684"/>
      <c r="X808" s="1684"/>
      <c r="Y808" s="1684"/>
      <c r="Z808" s="1684"/>
      <c r="AA808" s="1684"/>
      <c r="AB808" s="1684"/>
      <c r="AC808" s="1684"/>
      <c r="AD808" s="1684"/>
      <c r="AE808" s="1684"/>
      <c r="AF808" s="1684"/>
      <c r="AG808" s="1684"/>
      <c r="AH808" s="1684"/>
      <c r="AI808" s="1684"/>
      <c r="AJ808" s="1684"/>
      <c r="AK808" s="1684"/>
      <c r="AL808" s="1684"/>
      <c r="AM808" s="1684"/>
      <c r="AN808" s="1684"/>
      <c r="AO808" s="1684"/>
      <c r="AP808" s="1684"/>
      <c r="AQ808" s="1684"/>
      <c r="AR808" s="1684"/>
      <c r="AS808" s="1684"/>
      <c r="AT808" s="1684"/>
      <c r="AU808" s="1684"/>
      <c r="AV808" s="1684"/>
      <c r="AW808" s="1684"/>
      <c r="AX808" s="1684"/>
      <c r="AY808" s="1684"/>
      <c r="AZ808" s="1684"/>
      <c r="BA808" s="1684"/>
      <c r="BB808" s="1684"/>
      <c r="BC808" s="1684"/>
      <c r="BD808" s="1684"/>
      <c r="BE808" s="1684"/>
      <c r="BF808" s="1684"/>
      <c r="BG808" s="1684"/>
      <c r="BH808" s="1684"/>
      <c r="BI808" s="1684"/>
      <c r="BJ808" s="1684"/>
      <c r="BK808" s="1684"/>
      <c r="BL808" s="1684"/>
      <c r="BM808" s="1684"/>
      <c r="BN808" s="1684"/>
      <c r="BO808" s="1684"/>
      <c r="BP808" s="1684"/>
      <c r="BQ808" s="1684"/>
      <c r="BR808" s="1684"/>
      <c r="BS808" s="1684"/>
      <c r="BT808" s="1684"/>
      <c r="BU808" s="1684"/>
      <c r="BV808" s="1684"/>
      <c r="BW808" s="1684"/>
      <c r="BX808" s="1684"/>
      <c r="BY808" s="1684"/>
      <c r="BZ808" s="1684"/>
      <c r="CA808" s="1684"/>
      <c r="CB808" s="1684"/>
      <c r="CC808" s="1684"/>
      <c r="CD808" s="1684"/>
      <c r="CE808" s="1684"/>
      <c r="CF808" s="1684"/>
      <c r="CG808" s="1684"/>
      <c r="CH808" s="1684"/>
      <c r="CI808" s="1684"/>
      <c r="CJ808" s="1684"/>
      <c r="CK808" s="1684"/>
      <c r="CL808" s="1684"/>
      <c r="CM808" s="1684"/>
      <c r="CN808" s="1684"/>
      <c r="CO808" s="1684"/>
    </row>
    <row r="809" spans="1:93" s="1391" customFormat="1" ht="15" x14ac:dyDescent="0.2">
      <c r="A809" s="1684"/>
      <c r="B809" s="1684"/>
      <c r="C809" s="2013">
        <v>10</v>
      </c>
      <c r="D809" s="5">
        <v>5.9649999999999999</v>
      </c>
      <c r="E809" s="5">
        <v>163</v>
      </c>
      <c r="F809" s="5">
        <v>181</v>
      </c>
      <c r="G809" s="5">
        <v>198</v>
      </c>
      <c r="H809" s="5">
        <v>215</v>
      </c>
      <c r="I809" s="5">
        <v>233</v>
      </c>
      <c r="J809" s="5">
        <v>250</v>
      </c>
      <c r="K809" s="5">
        <v>267</v>
      </c>
      <c r="L809" s="5">
        <v>285</v>
      </c>
      <c r="M809" s="5">
        <v>301</v>
      </c>
      <c r="N809" s="5">
        <v>318</v>
      </c>
      <c r="O809" s="5">
        <v>335</v>
      </c>
      <c r="P809" s="5">
        <v>353</v>
      </c>
      <c r="Q809" s="1160">
        <v>3</v>
      </c>
      <c r="R809"/>
      <c r="S809" s="1684"/>
      <c r="T809" s="1684"/>
      <c r="U809" s="1684"/>
      <c r="V809" s="1684"/>
      <c r="W809" s="1684"/>
      <c r="X809" s="1684"/>
      <c r="Y809" s="1684"/>
      <c r="Z809" s="1684"/>
      <c r="AA809" s="1684"/>
      <c r="AB809" s="1684"/>
      <c r="AC809" s="1684"/>
      <c r="AD809" s="1684"/>
      <c r="AE809" s="1684"/>
      <c r="AF809" s="1684"/>
      <c r="AG809" s="1684"/>
      <c r="AH809" s="1684"/>
      <c r="AI809" s="1684"/>
      <c r="AJ809" s="1684"/>
      <c r="AK809" s="1684"/>
      <c r="AL809" s="1684"/>
      <c r="AM809" s="1684"/>
      <c r="AN809" s="1684"/>
      <c r="AO809" s="1684"/>
      <c r="AP809" s="1684"/>
      <c r="AQ809" s="1684"/>
      <c r="AR809" s="1684"/>
      <c r="AS809" s="1684"/>
      <c r="AT809" s="1684"/>
      <c r="AU809" s="1684"/>
      <c r="AV809" s="1684"/>
      <c r="AW809" s="1684"/>
      <c r="AX809" s="1684"/>
      <c r="AY809" s="1684"/>
      <c r="AZ809" s="1684"/>
      <c r="BA809" s="1684"/>
      <c r="BB809" s="1684"/>
      <c r="BC809" s="1684"/>
      <c r="BD809" s="1684"/>
      <c r="BE809" s="1684"/>
      <c r="BF809" s="1684"/>
      <c r="BG809" s="1684"/>
      <c r="BH809" s="1684"/>
      <c r="BI809" s="1684"/>
      <c r="BJ809" s="1684"/>
      <c r="BK809" s="1684"/>
      <c r="BL809" s="1684"/>
      <c r="BM809" s="1684"/>
      <c r="BN809" s="1684"/>
      <c r="BO809" s="1684"/>
      <c r="BP809" s="1684"/>
      <c r="BQ809" s="1684"/>
      <c r="BR809" s="1684"/>
      <c r="BS809" s="1684"/>
      <c r="BT809" s="1684"/>
      <c r="BU809" s="1684"/>
      <c r="BV809" s="1684"/>
      <c r="BW809" s="1684"/>
      <c r="BX809" s="1684"/>
      <c r="BY809" s="1684"/>
      <c r="BZ809" s="1684"/>
      <c r="CA809" s="1684"/>
      <c r="CB809" s="1684"/>
      <c r="CC809" s="1684"/>
      <c r="CD809" s="1684"/>
      <c r="CE809" s="1684"/>
      <c r="CF809" s="1684"/>
      <c r="CG809" s="1684"/>
      <c r="CH809" s="1684"/>
      <c r="CI809" s="1684"/>
      <c r="CJ809" s="1684"/>
      <c r="CK809" s="1684"/>
      <c r="CL809" s="1684"/>
      <c r="CM809" s="1684"/>
      <c r="CN809" s="1684"/>
      <c r="CO809" s="1684"/>
    </row>
    <row r="810" spans="1:93" s="1391" customFormat="1" ht="15" x14ac:dyDescent="0.2">
      <c r="A810" s="1684"/>
      <c r="B810" s="1684"/>
      <c r="C810" s="2013">
        <v>11</v>
      </c>
      <c r="D810" s="5">
        <v>6.3090000000000002</v>
      </c>
      <c r="E810" s="5">
        <v>178</v>
      </c>
      <c r="F810" s="5">
        <v>197</v>
      </c>
      <c r="G810" s="5">
        <v>216</v>
      </c>
      <c r="H810" s="5">
        <v>235</v>
      </c>
      <c r="I810" s="5">
        <v>253</v>
      </c>
      <c r="J810" s="5">
        <v>272</v>
      </c>
      <c r="K810" s="5">
        <v>295</v>
      </c>
      <c r="L810" s="5">
        <v>310</v>
      </c>
      <c r="M810" s="5">
        <v>328</v>
      </c>
      <c r="N810" s="5">
        <v>347</v>
      </c>
      <c r="O810" s="5">
        <v>366</v>
      </c>
      <c r="P810" s="5">
        <v>384</v>
      </c>
      <c r="Q810" s="1160">
        <v>4</v>
      </c>
      <c r="R810"/>
      <c r="S810" s="1684"/>
      <c r="T810" s="1684"/>
      <c r="U810" s="1684"/>
      <c r="V810" s="1684"/>
      <c r="W810" s="1684"/>
      <c r="X810" s="1684"/>
      <c r="Y810" s="1684"/>
      <c r="Z810" s="1684"/>
      <c r="AA810" s="1684"/>
      <c r="AB810" s="1684"/>
      <c r="AC810" s="1684"/>
      <c r="AD810" s="1684"/>
      <c r="AE810" s="1684"/>
      <c r="AF810" s="1684"/>
      <c r="AG810" s="1684"/>
      <c r="AH810" s="1684"/>
      <c r="AI810" s="1684"/>
      <c r="AJ810" s="1684"/>
      <c r="AK810" s="1684"/>
      <c r="AL810" s="1684"/>
      <c r="AM810" s="1684"/>
      <c r="AN810" s="1684"/>
      <c r="AO810" s="1684"/>
      <c r="AP810" s="1684"/>
      <c r="AQ810" s="1684"/>
      <c r="AR810" s="1684"/>
      <c r="AS810" s="1684"/>
      <c r="AT810" s="1684"/>
      <c r="AU810" s="1684"/>
      <c r="AV810" s="1684"/>
      <c r="AW810" s="1684"/>
      <c r="AX810" s="1684"/>
      <c r="AY810" s="1684"/>
      <c r="AZ810" s="1684"/>
      <c r="BA810" s="1684"/>
      <c r="BB810" s="1684"/>
      <c r="BC810" s="1684"/>
      <c r="BD810" s="1684"/>
      <c r="BE810" s="1684"/>
      <c r="BF810" s="1684"/>
      <c r="BG810" s="1684"/>
      <c r="BH810" s="1684"/>
      <c r="BI810" s="1684"/>
      <c r="BJ810" s="1684"/>
      <c r="BK810" s="1684"/>
      <c r="BL810" s="1684"/>
      <c r="BM810" s="1684"/>
      <c r="BN810" s="1684"/>
      <c r="BO810" s="1684"/>
      <c r="BP810" s="1684"/>
      <c r="BQ810" s="1684"/>
      <c r="BR810" s="1684"/>
      <c r="BS810" s="1684"/>
      <c r="BT810" s="1684"/>
      <c r="BU810" s="1684"/>
      <c r="BV810" s="1684"/>
      <c r="BW810" s="1684"/>
      <c r="BX810" s="1684"/>
      <c r="BY810" s="1684"/>
      <c r="BZ810" s="1684"/>
      <c r="CA810" s="1684"/>
      <c r="CB810" s="1684"/>
      <c r="CC810" s="1684"/>
      <c r="CD810" s="1684"/>
      <c r="CE810" s="1684"/>
      <c r="CF810" s="1684"/>
      <c r="CG810" s="1684"/>
      <c r="CH810" s="1684"/>
      <c r="CI810" s="1684"/>
      <c r="CJ810" s="1684"/>
      <c r="CK810" s="1684"/>
      <c r="CL810" s="1684"/>
      <c r="CM810" s="1684"/>
      <c r="CN810" s="1684"/>
      <c r="CO810" s="1684"/>
    </row>
    <row r="811" spans="1:93" s="1391" customFormat="1" ht="15" x14ac:dyDescent="0.2">
      <c r="A811" s="1684"/>
      <c r="B811" s="1684"/>
      <c r="C811" s="2013">
        <v>12</v>
      </c>
      <c r="D811" s="5">
        <v>6.6619999999999999</v>
      </c>
      <c r="E811" s="5">
        <v>192</v>
      </c>
      <c r="F811" s="5">
        <v>214</v>
      </c>
      <c r="G811" s="5">
        <v>234</v>
      </c>
      <c r="H811" s="5">
        <v>254</v>
      </c>
      <c r="I811" s="5">
        <v>275</v>
      </c>
      <c r="J811" s="5">
        <v>295</v>
      </c>
      <c r="K811" s="5">
        <v>315</v>
      </c>
      <c r="L811" s="5">
        <v>336</v>
      </c>
      <c r="M811" s="5">
        <v>356</v>
      </c>
      <c r="N811" s="5">
        <v>376</v>
      </c>
      <c r="O811" s="5">
        <v>396</v>
      </c>
      <c r="P811" s="5">
        <v>416</v>
      </c>
      <c r="Q811" s="1160">
        <v>5</v>
      </c>
      <c r="R811"/>
      <c r="S811" s="1684"/>
      <c r="T811" s="1684"/>
      <c r="U811" s="1684"/>
      <c r="V811" s="1684"/>
      <c r="W811" s="1684"/>
      <c r="X811" s="1684"/>
      <c r="Y811" s="1684"/>
      <c r="Z811" s="1684"/>
      <c r="AA811" s="1684"/>
      <c r="AB811" s="1684"/>
      <c r="AC811" s="1684"/>
      <c r="AD811" s="1684"/>
      <c r="AE811" s="1684"/>
      <c r="AF811" s="1684"/>
      <c r="AG811" s="1684"/>
      <c r="AH811" s="1684"/>
      <c r="AI811" s="1684"/>
      <c r="AJ811" s="1684"/>
      <c r="AK811" s="1684"/>
      <c r="AL811" s="1684"/>
      <c r="AM811" s="1684"/>
      <c r="AN811" s="1684"/>
      <c r="AO811" s="1684"/>
      <c r="AP811" s="1684"/>
      <c r="AQ811" s="1684"/>
      <c r="AR811" s="1684"/>
      <c r="AS811" s="1684"/>
      <c r="AT811" s="1684"/>
      <c r="AU811" s="1684"/>
      <c r="AV811" s="1684"/>
      <c r="AW811" s="1684"/>
      <c r="AX811" s="1684"/>
      <c r="AY811" s="1684"/>
      <c r="AZ811" s="1684"/>
      <c r="BA811" s="1684"/>
      <c r="BB811" s="1684"/>
      <c r="BC811" s="1684"/>
      <c r="BD811" s="1684"/>
      <c r="BE811" s="1684"/>
      <c r="BF811" s="1684"/>
      <c r="BG811" s="1684"/>
      <c r="BH811" s="1684"/>
      <c r="BI811" s="1684"/>
      <c r="BJ811" s="1684"/>
      <c r="BK811" s="1684"/>
      <c r="BL811" s="1684"/>
      <c r="BM811" s="1684"/>
      <c r="BN811" s="1684"/>
      <c r="BO811" s="1684"/>
      <c r="BP811" s="1684"/>
      <c r="BQ811" s="1684"/>
      <c r="BR811" s="1684"/>
      <c r="BS811" s="1684"/>
      <c r="BT811" s="1684"/>
      <c r="BU811" s="1684"/>
      <c r="BV811" s="1684"/>
      <c r="BW811" s="1684"/>
      <c r="BX811" s="1684"/>
      <c r="BY811" s="1684"/>
      <c r="BZ811" s="1684"/>
      <c r="CA811" s="1684"/>
      <c r="CB811" s="1684"/>
      <c r="CC811" s="1684"/>
      <c r="CD811" s="1684"/>
      <c r="CE811" s="1684"/>
      <c r="CF811" s="1684"/>
      <c r="CG811" s="1684"/>
      <c r="CH811" s="1684"/>
      <c r="CI811" s="1684"/>
      <c r="CJ811" s="1684"/>
      <c r="CK811" s="1684"/>
      <c r="CL811" s="1684"/>
      <c r="CM811" s="1684"/>
      <c r="CN811" s="1684"/>
      <c r="CO811" s="1684"/>
    </row>
    <row r="812" spans="1:93" s="1391" customFormat="1" ht="15" x14ac:dyDescent="0.2">
      <c r="A812" s="1684"/>
      <c r="B812" s="1684"/>
      <c r="C812" s="2013">
        <v>13</v>
      </c>
      <c r="D812" s="5">
        <v>7.0140000000000002</v>
      </c>
      <c r="E812" s="5">
        <v>207</v>
      </c>
      <c r="F812" s="5">
        <v>230</v>
      </c>
      <c r="G812" s="5">
        <v>252</v>
      </c>
      <c r="H812" s="5">
        <v>274</v>
      </c>
      <c r="I812" s="5">
        <v>296</v>
      </c>
      <c r="J812" s="5">
        <v>317</v>
      </c>
      <c r="K812" s="5">
        <v>339</v>
      </c>
      <c r="L812" s="5">
        <v>362</v>
      </c>
      <c r="M812" s="5">
        <v>383</v>
      </c>
      <c r="N812" s="5">
        <v>403</v>
      </c>
      <c r="O812" s="5">
        <v>427</v>
      </c>
      <c r="P812" s="5">
        <v>448</v>
      </c>
      <c r="Q812" s="1160">
        <v>6</v>
      </c>
      <c r="R812"/>
      <c r="S812" s="1684"/>
      <c r="T812" s="1684"/>
      <c r="U812" s="1684"/>
      <c r="V812" s="1684"/>
      <c r="W812" s="1684"/>
      <c r="X812" s="1684"/>
      <c r="Y812" s="1684"/>
      <c r="Z812" s="1684"/>
      <c r="AA812" s="1684"/>
      <c r="AB812" s="1684"/>
      <c r="AC812" s="1684"/>
      <c r="AD812" s="1684"/>
      <c r="AE812" s="1684"/>
      <c r="AF812" s="1684"/>
      <c r="AG812" s="1684"/>
      <c r="AH812" s="1684"/>
      <c r="AI812" s="1684"/>
      <c r="AJ812" s="1684"/>
      <c r="AK812" s="1684"/>
      <c r="AL812" s="1684"/>
      <c r="AM812" s="1684"/>
      <c r="AN812" s="1684"/>
      <c r="AO812" s="1684"/>
      <c r="AP812" s="1684"/>
      <c r="AQ812" s="1684"/>
      <c r="AR812" s="1684"/>
      <c r="AS812" s="1684"/>
      <c r="AT812" s="1684"/>
      <c r="AU812" s="1684"/>
      <c r="AV812" s="1684"/>
      <c r="AW812" s="1684"/>
      <c r="AX812" s="1684"/>
      <c r="AY812" s="1684"/>
      <c r="AZ812" s="1684"/>
      <c r="BA812" s="1684"/>
      <c r="BB812" s="1684"/>
      <c r="BC812" s="1684"/>
      <c r="BD812" s="1684"/>
      <c r="BE812" s="1684"/>
      <c r="BF812" s="1684"/>
      <c r="BG812" s="1684"/>
      <c r="BH812" s="1684"/>
      <c r="BI812" s="1684"/>
      <c r="BJ812" s="1684"/>
      <c r="BK812" s="1684"/>
      <c r="BL812" s="1684"/>
      <c r="BM812" s="1684"/>
      <c r="BN812" s="1684"/>
      <c r="BO812" s="1684"/>
      <c r="BP812" s="1684"/>
      <c r="BQ812" s="1684"/>
      <c r="BR812" s="1684"/>
      <c r="BS812" s="1684"/>
      <c r="BT812" s="1684"/>
      <c r="BU812" s="1684"/>
      <c r="BV812" s="1684"/>
      <c r="BW812" s="1684"/>
      <c r="BX812" s="1684"/>
      <c r="BY812" s="1684"/>
      <c r="BZ812" s="1684"/>
      <c r="CA812" s="1684"/>
      <c r="CB812" s="1684"/>
      <c r="CC812" s="1684"/>
      <c r="CD812" s="1684"/>
      <c r="CE812" s="1684"/>
      <c r="CF812" s="1684"/>
      <c r="CG812" s="1684"/>
      <c r="CH812" s="1684"/>
      <c r="CI812" s="1684"/>
      <c r="CJ812" s="1684"/>
      <c r="CK812" s="1684"/>
      <c r="CL812" s="1684"/>
      <c r="CM812" s="1684"/>
      <c r="CN812" s="1684"/>
      <c r="CO812" s="1684"/>
    </row>
    <row r="813" spans="1:93" s="1391" customFormat="1" ht="15" x14ac:dyDescent="0.2">
      <c r="A813" s="1684"/>
      <c r="B813" s="1684"/>
      <c r="C813" s="2013">
        <v>14</v>
      </c>
      <c r="D813" s="5">
        <v>7.3789999999999996</v>
      </c>
      <c r="E813" s="5">
        <v>223</v>
      </c>
      <c r="F813" s="5">
        <v>247</v>
      </c>
      <c r="G813" s="5">
        <v>271</v>
      </c>
      <c r="H813" s="5">
        <v>294</v>
      </c>
      <c r="I813" s="5">
        <v>317</v>
      </c>
      <c r="J813" s="5">
        <v>341</v>
      </c>
      <c r="K813" s="5">
        <v>364</v>
      </c>
      <c r="L813" s="5">
        <v>389</v>
      </c>
      <c r="M813" s="5">
        <v>411</v>
      </c>
      <c r="N813" s="5">
        <v>434</v>
      </c>
      <c r="O813" s="5">
        <v>458</v>
      </c>
      <c r="P813" s="5">
        <v>481</v>
      </c>
      <c r="Q813" s="1160">
        <v>7</v>
      </c>
      <c r="R813"/>
      <c r="S813" s="1684"/>
      <c r="T813" s="1684"/>
      <c r="U813" s="1684"/>
      <c r="V813" s="1684"/>
      <c r="W813" s="1684"/>
      <c r="X813" s="1684"/>
      <c r="Y813" s="1684"/>
      <c r="Z813" s="1684"/>
      <c r="AA813" s="1684"/>
      <c r="AB813" s="1684"/>
      <c r="AC813" s="1684"/>
      <c r="AD813" s="1684"/>
      <c r="AE813" s="1684"/>
      <c r="AF813" s="1684"/>
      <c r="AG813" s="1684"/>
      <c r="AH813" s="1684"/>
      <c r="AI813" s="1684"/>
      <c r="AJ813" s="1684"/>
      <c r="AK813" s="1684"/>
      <c r="AL813" s="1684"/>
      <c r="AM813" s="1684"/>
      <c r="AN813" s="1684"/>
      <c r="AO813" s="1684"/>
      <c r="AP813" s="1684"/>
      <c r="AQ813" s="1684"/>
      <c r="AR813" s="1684"/>
      <c r="AS813" s="1684"/>
      <c r="AT813" s="1684"/>
      <c r="AU813" s="1684"/>
      <c r="AV813" s="1684"/>
      <c r="AW813" s="1684"/>
      <c r="AX813" s="1684"/>
      <c r="AY813" s="1684"/>
      <c r="AZ813" s="1684"/>
      <c r="BA813" s="1684"/>
      <c r="BB813" s="1684"/>
      <c r="BC813" s="1684"/>
      <c r="BD813" s="1684"/>
      <c r="BE813" s="1684"/>
      <c r="BF813" s="1684"/>
      <c r="BG813" s="1684"/>
      <c r="BH813" s="1684"/>
      <c r="BI813" s="1684"/>
      <c r="BJ813" s="1684"/>
      <c r="BK813" s="1684"/>
      <c r="BL813" s="1684"/>
      <c r="BM813" s="1684"/>
      <c r="BN813" s="1684"/>
      <c r="BO813" s="1684"/>
      <c r="BP813" s="1684"/>
      <c r="BQ813" s="1684"/>
      <c r="BR813" s="1684"/>
      <c r="BS813" s="1684"/>
      <c r="BT813" s="1684"/>
      <c r="BU813" s="1684"/>
      <c r="BV813" s="1684"/>
      <c r="BW813" s="1684"/>
      <c r="BX813" s="1684"/>
      <c r="BY813" s="1684"/>
      <c r="BZ813" s="1684"/>
      <c r="CA813" s="1684"/>
      <c r="CB813" s="1684"/>
      <c r="CC813" s="1684"/>
      <c r="CD813" s="1684"/>
      <c r="CE813" s="1684"/>
      <c r="CF813" s="1684"/>
      <c r="CG813" s="1684"/>
      <c r="CH813" s="1684"/>
      <c r="CI813" s="1684"/>
      <c r="CJ813" s="1684"/>
      <c r="CK813" s="1684"/>
      <c r="CL813" s="1684"/>
      <c r="CM813" s="1684"/>
      <c r="CN813" s="1684"/>
      <c r="CO813" s="1684"/>
    </row>
    <row r="814" spans="1:93" s="1391" customFormat="1" ht="15" x14ac:dyDescent="0.2">
      <c r="A814" s="1684"/>
      <c r="B814" s="1684"/>
      <c r="C814" s="2013">
        <v>15</v>
      </c>
      <c r="D814" s="5">
        <v>7.7469999999999999</v>
      </c>
      <c r="E814" s="5">
        <v>238</v>
      </c>
      <c r="F814" s="5">
        <v>264</v>
      </c>
      <c r="G814" s="5">
        <v>289</v>
      </c>
      <c r="H814" s="5">
        <v>314</v>
      </c>
      <c r="I814" s="5">
        <v>339</v>
      </c>
      <c r="J814" s="5">
        <v>364</v>
      </c>
      <c r="K814" s="5">
        <v>389</v>
      </c>
      <c r="L814" s="5">
        <v>413</v>
      </c>
      <c r="M814" s="5">
        <v>439</v>
      </c>
      <c r="N814" s="5">
        <v>464</v>
      </c>
      <c r="O814" s="5">
        <v>489</v>
      </c>
      <c r="P814" s="5">
        <v>514</v>
      </c>
      <c r="Q814" s="1160">
        <v>8</v>
      </c>
      <c r="R814"/>
      <c r="S814" s="1684"/>
      <c r="T814" s="1684"/>
      <c r="U814" s="1684"/>
      <c r="V814" s="1684"/>
      <c r="W814" s="1684"/>
      <c r="X814" s="1684"/>
      <c r="Y814" s="1684"/>
      <c r="Z814" s="1684"/>
      <c r="AA814" s="1684"/>
      <c r="AB814" s="1684"/>
      <c r="AC814" s="1684"/>
      <c r="AD814" s="1684"/>
      <c r="AE814" s="1684"/>
      <c r="AF814" s="1684"/>
      <c r="AG814" s="1684"/>
      <c r="AH814" s="1684"/>
      <c r="AI814" s="1684"/>
      <c r="AJ814" s="1684"/>
      <c r="AK814" s="1684"/>
      <c r="AL814" s="1684"/>
      <c r="AM814" s="1684"/>
      <c r="AN814" s="1684"/>
      <c r="AO814" s="1684"/>
      <c r="AP814" s="1684"/>
      <c r="AQ814" s="1684"/>
      <c r="AR814" s="1684"/>
      <c r="AS814" s="1684"/>
      <c r="AT814" s="1684"/>
      <c r="AU814" s="1684"/>
      <c r="AV814" s="1684"/>
      <c r="AW814" s="1684"/>
      <c r="AX814" s="1684"/>
      <c r="AY814" s="1684"/>
      <c r="AZ814" s="1684"/>
      <c r="BA814" s="1684"/>
      <c r="BB814" s="1684"/>
      <c r="BC814" s="1684"/>
      <c r="BD814" s="1684"/>
      <c r="BE814" s="1684"/>
      <c r="BF814" s="1684"/>
      <c r="BG814" s="1684"/>
      <c r="BH814" s="1684"/>
      <c r="BI814" s="1684"/>
      <c r="BJ814" s="1684"/>
      <c r="BK814" s="1684"/>
      <c r="BL814" s="1684"/>
      <c r="BM814" s="1684"/>
      <c r="BN814" s="1684"/>
      <c r="BO814" s="1684"/>
      <c r="BP814" s="1684"/>
      <c r="BQ814" s="1684"/>
      <c r="BR814" s="1684"/>
      <c r="BS814" s="1684"/>
      <c r="BT814" s="1684"/>
      <c r="BU814" s="1684"/>
      <c r="BV814" s="1684"/>
      <c r="BW814" s="1684"/>
      <c r="BX814" s="1684"/>
      <c r="BY814" s="1684"/>
      <c r="BZ814" s="1684"/>
      <c r="CA814" s="1684"/>
      <c r="CB814" s="1684"/>
      <c r="CC814" s="1684"/>
      <c r="CD814" s="1684"/>
      <c r="CE814" s="1684"/>
      <c r="CF814" s="1684"/>
      <c r="CG814" s="1684"/>
      <c r="CH814" s="1684"/>
      <c r="CI814" s="1684"/>
      <c r="CJ814" s="1684"/>
      <c r="CK814" s="1684"/>
      <c r="CL814" s="1684"/>
      <c r="CM814" s="1684"/>
      <c r="CN814" s="1684"/>
      <c r="CO814" s="1684"/>
    </row>
    <row r="815" spans="1:93" s="1391" customFormat="1" ht="15" x14ac:dyDescent="0.2">
      <c r="A815" s="1684"/>
      <c r="B815" s="1684"/>
      <c r="C815" s="2013">
        <v>16</v>
      </c>
      <c r="D815" s="5">
        <v>8.2370000000000001</v>
      </c>
      <c r="E815" s="5">
        <v>252</v>
      </c>
      <c r="F815" s="5">
        <v>280</v>
      </c>
      <c r="G815" s="5">
        <v>307</v>
      </c>
      <c r="H815" s="5">
        <v>333</v>
      </c>
      <c r="I815" s="5">
        <v>360</v>
      </c>
      <c r="J815" s="5">
        <v>386</v>
      </c>
      <c r="K815" s="5">
        <v>413</v>
      </c>
      <c r="L815" s="5">
        <v>441</v>
      </c>
      <c r="M815" s="5">
        <v>466</v>
      </c>
      <c r="N815" s="5">
        <v>493</v>
      </c>
      <c r="O815" s="5">
        <v>519</v>
      </c>
      <c r="P815" s="5">
        <v>546</v>
      </c>
      <c r="Q815" s="1160">
        <v>9</v>
      </c>
      <c r="R815"/>
      <c r="S815" s="1684"/>
      <c r="T815" s="1684"/>
      <c r="U815" s="1684"/>
      <c r="V815" s="1684"/>
      <c r="W815" s="1684"/>
      <c r="X815" s="1684"/>
      <c r="Y815" s="1684"/>
      <c r="Z815" s="1684"/>
      <c r="AA815" s="1684"/>
      <c r="AB815" s="1684"/>
      <c r="AC815" s="1684"/>
      <c r="AD815" s="1684"/>
      <c r="AE815" s="1684"/>
      <c r="AF815" s="1684"/>
      <c r="AG815" s="1684"/>
      <c r="AH815" s="1684"/>
      <c r="AI815" s="1684"/>
      <c r="AJ815" s="1684"/>
      <c r="AK815" s="1684"/>
      <c r="AL815" s="1684"/>
      <c r="AM815" s="1684"/>
      <c r="AN815" s="1684"/>
      <c r="AO815" s="1684"/>
      <c r="AP815" s="1684"/>
      <c r="AQ815" s="1684"/>
      <c r="AR815" s="1684"/>
      <c r="AS815" s="1684"/>
      <c r="AT815" s="1684"/>
      <c r="AU815" s="1684"/>
      <c r="AV815" s="1684"/>
      <c r="AW815" s="1684"/>
      <c r="AX815" s="1684"/>
      <c r="AY815" s="1684"/>
      <c r="AZ815" s="1684"/>
      <c r="BA815" s="1684"/>
      <c r="BB815" s="1684"/>
      <c r="BC815" s="1684"/>
      <c r="BD815" s="1684"/>
      <c r="BE815" s="1684"/>
      <c r="BF815" s="1684"/>
      <c r="BG815" s="1684"/>
      <c r="BH815" s="1684"/>
      <c r="BI815" s="1684"/>
      <c r="BJ815" s="1684"/>
      <c r="BK815" s="1684"/>
      <c r="BL815" s="1684"/>
      <c r="BM815" s="1684"/>
      <c r="BN815" s="1684"/>
      <c r="BO815" s="1684"/>
      <c r="BP815" s="1684"/>
      <c r="BQ815" s="1684"/>
      <c r="BR815" s="1684"/>
      <c r="BS815" s="1684"/>
      <c r="BT815" s="1684"/>
      <c r="BU815" s="1684"/>
      <c r="BV815" s="1684"/>
      <c r="BW815" s="1684"/>
      <c r="BX815" s="1684"/>
      <c r="BY815" s="1684"/>
      <c r="BZ815" s="1684"/>
      <c r="CA815" s="1684"/>
      <c r="CB815" s="1684"/>
      <c r="CC815" s="1684"/>
      <c r="CD815" s="1684"/>
      <c r="CE815" s="1684"/>
      <c r="CF815" s="1684"/>
      <c r="CG815" s="1684"/>
      <c r="CH815" s="1684"/>
      <c r="CI815" s="1684"/>
      <c r="CJ815" s="1684"/>
      <c r="CK815" s="1684"/>
      <c r="CL815" s="1684"/>
      <c r="CM815" s="1684"/>
      <c r="CN815" s="1684"/>
      <c r="CO815" s="1684"/>
    </row>
    <row r="816" spans="1:93" s="1391" customFormat="1" ht="15" x14ac:dyDescent="0.2">
      <c r="A816" s="1684"/>
      <c r="B816" s="1684"/>
      <c r="C816" s="2013">
        <v>17</v>
      </c>
      <c r="D816" s="5">
        <v>8.7579999999999991</v>
      </c>
      <c r="E816" s="5">
        <v>266</v>
      </c>
      <c r="F816" s="5">
        <v>295</v>
      </c>
      <c r="G816" s="5">
        <v>323</v>
      </c>
      <c r="H816" s="5">
        <v>351</v>
      </c>
      <c r="I816" s="5">
        <v>379</v>
      </c>
      <c r="J816" s="5">
        <v>407</v>
      </c>
      <c r="K816" s="5">
        <v>435</v>
      </c>
      <c r="L816" s="5">
        <v>464</v>
      </c>
      <c r="M816" s="5">
        <v>491</v>
      </c>
      <c r="N816" s="5">
        <v>518</v>
      </c>
      <c r="O816" s="5">
        <v>546</v>
      </c>
      <c r="P816" s="5">
        <v>574</v>
      </c>
      <c r="Q816" s="1160">
        <v>10</v>
      </c>
      <c r="R816"/>
      <c r="S816" s="1684"/>
      <c r="T816" s="1684"/>
      <c r="U816" s="1684"/>
      <c r="V816" s="1684"/>
      <c r="W816" s="1684"/>
      <c r="X816" s="1684"/>
      <c r="Y816" s="1684"/>
      <c r="Z816" s="1684"/>
      <c r="AA816" s="1684"/>
      <c r="AB816" s="1684"/>
      <c r="AC816" s="1684"/>
      <c r="AD816" s="1684"/>
      <c r="AE816" s="1684"/>
      <c r="AF816" s="1684"/>
      <c r="AG816" s="1684"/>
      <c r="AH816" s="1684"/>
      <c r="AI816" s="1684"/>
      <c r="AJ816" s="1684"/>
      <c r="AK816" s="1684"/>
      <c r="AL816" s="1684"/>
      <c r="AM816" s="1684"/>
      <c r="AN816" s="1684"/>
      <c r="AO816" s="1684"/>
      <c r="AP816" s="1684"/>
      <c r="AQ816" s="1684"/>
      <c r="AR816" s="1684"/>
      <c r="AS816" s="1684"/>
      <c r="AT816" s="1684"/>
      <c r="AU816" s="1684"/>
      <c r="AV816" s="1684"/>
      <c r="AW816" s="1684"/>
      <c r="AX816" s="1684"/>
      <c r="AY816" s="1684"/>
      <c r="AZ816" s="1684"/>
      <c r="BA816" s="1684"/>
      <c r="BB816" s="1684"/>
      <c r="BC816" s="1684"/>
      <c r="BD816" s="1684"/>
      <c r="BE816" s="1684"/>
      <c r="BF816" s="1684"/>
      <c r="BG816" s="1684"/>
      <c r="BH816" s="1684"/>
      <c r="BI816" s="1684"/>
      <c r="BJ816" s="1684"/>
      <c r="BK816" s="1684"/>
      <c r="BL816" s="1684"/>
      <c r="BM816" s="1684"/>
      <c r="BN816" s="1684"/>
      <c r="BO816" s="1684"/>
      <c r="BP816" s="1684"/>
      <c r="BQ816" s="1684"/>
      <c r="BR816" s="1684"/>
      <c r="BS816" s="1684"/>
      <c r="BT816" s="1684"/>
      <c r="BU816" s="1684"/>
      <c r="BV816" s="1684"/>
      <c r="BW816" s="1684"/>
      <c r="BX816" s="1684"/>
      <c r="BY816" s="1684"/>
      <c r="BZ816" s="1684"/>
      <c r="CA816" s="1684"/>
      <c r="CB816" s="1684"/>
      <c r="CC816" s="1684"/>
      <c r="CD816" s="1684"/>
      <c r="CE816" s="1684"/>
      <c r="CF816" s="1684"/>
      <c r="CG816" s="1684"/>
      <c r="CH816" s="1684"/>
      <c r="CI816" s="1684"/>
      <c r="CJ816" s="1684"/>
      <c r="CK816" s="1684"/>
      <c r="CL816" s="1684"/>
      <c r="CM816" s="1684"/>
      <c r="CN816" s="1684"/>
      <c r="CO816" s="1684"/>
    </row>
    <row r="817" spans="1:93" s="1391" customFormat="1" ht="15" x14ac:dyDescent="0.2">
      <c r="A817" s="1684"/>
      <c r="B817" s="1684"/>
      <c r="C817" s="2013">
        <v>18</v>
      </c>
      <c r="D817" s="5">
        <v>9.0530000000000008</v>
      </c>
      <c r="E817" s="5">
        <v>277</v>
      </c>
      <c r="F817" s="5">
        <v>308</v>
      </c>
      <c r="G817" s="5">
        <v>337</v>
      </c>
      <c r="H817" s="5">
        <v>366</v>
      </c>
      <c r="I817" s="5">
        <v>396</v>
      </c>
      <c r="J817" s="5">
        <v>425</v>
      </c>
      <c r="K817" s="5">
        <v>454</v>
      </c>
      <c r="L817" s="5">
        <v>485</v>
      </c>
      <c r="M817" s="5">
        <v>512</v>
      </c>
      <c r="N817" s="5">
        <v>542</v>
      </c>
      <c r="O817" s="5">
        <v>571</v>
      </c>
      <c r="P817" s="5">
        <v>600</v>
      </c>
      <c r="Q817" s="1160">
        <v>11</v>
      </c>
      <c r="R817"/>
      <c r="S817" s="1684"/>
      <c r="T817" s="1684"/>
      <c r="U817" s="1684"/>
      <c r="V817" s="1684"/>
      <c r="W817" s="1684"/>
      <c r="X817" s="1684"/>
      <c r="Y817" s="1684"/>
      <c r="Z817" s="1684"/>
      <c r="AA817" s="1684"/>
      <c r="AB817" s="1684"/>
      <c r="AC817" s="1684"/>
      <c r="AD817" s="1684"/>
      <c r="AE817" s="1684"/>
      <c r="AF817" s="1684"/>
      <c r="AG817" s="1684"/>
      <c r="AH817" s="1684"/>
      <c r="AI817" s="1684"/>
      <c r="AJ817" s="1684"/>
      <c r="AK817" s="1684"/>
      <c r="AL817" s="1684"/>
      <c r="AM817" s="1684"/>
      <c r="AN817" s="1684"/>
      <c r="AO817" s="1684"/>
      <c r="AP817" s="1684"/>
      <c r="AQ817" s="1684"/>
      <c r="AR817" s="1684"/>
      <c r="AS817" s="1684"/>
      <c r="AT817" s="1684"/>
      <c r="AU817" s="1684"/>
      <c r="AV817" s="1684"/>
      <c r="AW817" s="1684"/>
      <c r="AX817" s="1684"/>
      <c r="AY817" s="1684"/>
      <c r="AZ817" s="1684"/>
      <c r="BA817" s="1684"/>
      <c r="BB817" s="1684"/>
      <c r="BC817" s="1684"/>
      <c r="BD817" s="1684"/>
      <c r="BE817" s="1684"/>
      <c r="BF817" s="1684"/>
      <c r="BG817" s="1684"/>
      <c r="BH817" s="1684"/>
      <c r="BI817" s="1684"/>
      <c r="BJ817" s="1684"/>
      <c r="BK817" s="1684"/>
      <c r="BL817" s="1684"/>
      <c r="BM817" s="1684"/>
      <c r="BN817" s="1684"/>
      <c r="BO817" s="1684"/>
      <c r="BP817" s="1684"/>
      <c r="BQ817" s="1684"/>
      <c r="BR817" s="1684"/>
      <c r="BS817" s="1684"/>
      <c r="BT817" s="1684"/>
      <c r="BU817" s="1684"/>
      <c r="BV817" s="1684"/>
      <c r="BW817" s="1684"/>
      <c r="BX817" s="1684"/>
      <c r="BY817" s="1684"/>
      <c r="BZ817" s="1684"/>
      <c r="CA817" s="1684"/>
      <c r="CB817" s="1684"/>
      <c r="CC817" s="1684"/>
      <c r="CD817" s="1684"/>
      <c r="CE817" s="1684"/>
      <c r="CF817" s="1684"/>
      <c r="CG817" s="1684"/>
      <c r="CH817" s="1684"/>
      <c r="CI817" s="1684"/>
      <c r="CJ817" s="1684"/>
      <c r="CK817" s="1684"/>
      <c r="CL817" s="1684"/>
      <c r="CM817" s="1684"/>
      <c r="CN817" s="1684"/>
      <c r="CO817" s="1684"/>
    </row>
    <row r="818" spans="1:93" s="1391" customFormat="1" ht="15" x14ac:dyDescent="0.2">
      <c r="A818" s="1684"/>
      <c r="B818" s="1684"/>
      <c r="C818" s="4680" t="s">
        <v>3691</v>
      </c>
      <c r="D818" s="4681"/>
      <c r="E818" s="4681"/>
      <c r="F818" s="4681"/>
      <c r="G818" s="4681"/>
      <c r="H818" s="4681"/>
      <c r="I818" s="4681"/>
      <c r="J818" s="4681"/>
      <c r="K818" s="4681"/>
      <c r="L818" s="4681"/>
      <c r="M818" s="4681"/>
      <c r="N818" s="4681"/>
      <c r="O818" s="4681"/>
      <c r="P818" s="4681"/>
      <c r="Q818" s="4682"/>
      <c r="R818"/>
      <c r="S818" s="1684"/>
      <c r="T818" s="1684"/>
      <c r="U818" s="1684"/>
      <c r="V818" s="1684"/>
      <c r="W818" s="1684"/>
      <c r="X818" s="1684"/>
      <c r="Y818" s="1684"/>
      <c r="Z818" s="1684"/>
      <c r="AA818" s="1684"/>
      <c r="AB818" s="1684"/>
      <c r="AC818" s="1684"/>
      <c r="AD818" s="1684"/>
      <c r="AE818" s="1684"/>
      <c r="AF818" s="1684"/>
      <c r="AG818" s="1684"/>
      <c r="AH818" s="1684"/>
      <c r="AI818" s="1684"/>
      <c r="AJ818" s="1684"/>
      <c r="AK818" s="1684"/>
      <c r="AL818" s="1684"/>
      <c r="AM818" s="1684"/>
      <c r="AN818" s="1684"/>
      <c r="AO818" s="1684"/>
      <c r="AP818" s="1684"/>
      <c r="AQ818" s="1684"/>
      <c r="AR818" s="1684"/>
      <c r="AS818" s="1684"/>
      <c r="AT818" s="1684"/>
      <c r="AU818" s="1684"/>
      <c r="AV818" s="1684"/>
      <c r="AW818" s="1684"/>
      <c r="AX818" s="1684"/>
      <c r="AY818" s="1684"/>
      <c r="AZ818" s="1684"/>
      <c r="BA818" s="1684"/>
      <c r="BB818" s="1684"/>
      <c r="BC818" s="1684"/>
      <c r="BD818" s="1684"/>
      <c r="BE818" s="1684"/>
      <c r="BF818" s="1684"/>
      <c r="BG818" s="1684"/>
      <c r="BH818" s="1684"/>
      <c r="BI818" s="1684"/>
      <c r="BJ818" s="1684"/>
      <c r="BK818" s="1684"/>
      <c r="BL818" s="1684"/>
      <c r="BM818" s="1684"/>
      <c r="BN818" s="1684"/>
      <c r="BO818" s="1684"/>
      <c r="BP818" s="1684"/>
      <c r="BQ818" s="1684"/>
      <c r="BR818" s="1684"/>
      <c r="BS818" s="1684"/>
      <c r="BT818" s="1684"/>
      <c r="BU818" s="1684"/>
      <c r="BV818" s="1684"/>
      <c r="BW818" s="1684"/>
      <c r="BX818" s="1684"/>
      <c r="BY818" s="1684"/>
      <c r="BZ818" s="1684"/>
      <c r="CA818" s="1684"/>
      <c r="CB818" s="1684"/>
      <c r="CC818" s="1684"/>
      <c r="CD818" s="1684"/>
      <c r="CE818" s="1684"/>
      <c r="CF818" s="1684"/>
      <c r="CG818" s="1684"/>
      <c r="CH818" s="1684"/>
      <c r="CI818" s="1684"/>
      <c r="CJ818" s="1684"/>
      <c r="CK818" s="1684"/>
      <c r="CL818" s="1684"/>
      <c r="CM818" s="1684"/>
      <c r="CN818" s="1684"/>
      <c r="CO818" s="1684"/>
    </row>
    <row r="819" spans="1:93" s="1391" customFormat="1" ht="15" x14ac:dyDescent="0.2">
      <c r="A819" s="1684"/>
      <c r="B819" s="1684"/>
      <c r="C819" s="4680"/>
      <c r="D819" s="4681"/>
      <c r="E819" s="4681"/>
      <c r="F819" s="4681"/>
      <c r="G819" s="4681"/>
      <c r="H819" s="4681"/>
      <c r="I819" s="4681"/>
      <c r="J819" s="4681"/>
      <c r="K819" s="4681"/>
      <c r="L819" s="4681"/>
      <c r="M819" s="4681"/>
      <c r="N819" s="4681"/>
      <c r="O819" s="4681"/>
      <c r="P819" s="4681"/>
      <c r="Q819" s="4682"/>
      <c r="R819"/>
      <c r="S819" s="1684"/>
      <c r="T819" s="1684"/>
      <c r="U819" s="1684"/>
      <c r="V819" s="1684"/>
      <c r="W819" s="1684"/>
      <c r="X819" s="1684"/>
      <c r="Y819" s="1684"/>
      <c r="Z819" s="1684"/>
      <c r="AA819" s="1684"/>
      <c r="AB819" s="1684"/>
      <c r="AC819" s="1684"/>
      <c r="AD819" s="1684"/>
      <c r="AE819" s="1684"/>
      <c r="AF819" s="1684"/>
      <c r="AG819" s="1684"/>
      <c r="AH819" s="1684"/>
      <c r="AI819" s="1684"/>
      <c r="AJ819" s="1684"/>
      <c r="AK819" s="1684"/>
      <c r="AL819" s="1684"/>
      <c r="AM819" s="1684"/>
      <c r="AN819" s="1684"/>
      <c r="AO819" s="1684"/>
      <c r="AP819" s="1684"/>
      <c r="AQ819" s="1684"/>
      <c r="AR819" s="1684"/>
      <c r="AS819" s="1684"/>
      <c r="AT819" s="1684"/>
      <c r="AU819" s="1684"/>
      <c r="AV819" s="1684"/>
      <c r="AW819" s="1684"/>
      <c r="AX819" s="1684"/>
      <c r="AY819" s="1684"/>
      <c r="AZ819" s="1684"/>
      <c r="BA819" s="1684"/>
      <c r="BB819" s="1684"/>
      <c r="BC819" s="1684"/>
      <c r="BD819" s="1684"/>
      <c r="BE819" s="1684"/>
      <c r="BF819" s="1684"/>
      <c r="BG819" s="1684"/>
      <c r="BH819" s="1684"/>
      <c r="BI819" s="1684"/>
      <c r="BJ819" s="1684"/>
      <c r="BK819" s="1684"/>
      <c r="BL819" s="1684"/>
      <c r="BM819" s="1684"/>
      <c r="BN819" s="1684"/>
      <c r="BO819" s="1684"/>
      <c r="BP819" s="1684"/>
      <c r="BQ819" s="1684"/>
      <c r="BR819" s="1684"/>
      <c r="BS819" s="1684"/>
      <c r="BT819" s="1684"/>
      <c r="BU819" s="1684"/>
      <c r="BV819" s="1684"/>
      <c r="BW819" s="1684"/>
      <c r="BX819" s="1684"/>
      <c r="BY819" s="1684"/>
      <c r="BZ819" s="1684"/>
      <c r="CA819" s="1684"/>
      <c r="CB819" s="1684"/>
      <c r="CC819" s="1684"/>
      <c r="CD819" s="1684"/>
      <c r="CE819" s="1684"/>
      <c r="CF819" s="1684"/>
      <c r="CG819" s="1684"/>
      <c r="CH819" s="1684"/>
      <c r="CI819" s="1684"/>
      <c r="CJ819" s="1684"/>
      <c r="CK819" s="1684"/>
      <c r="CL819" s="1684"/>
      <c r="CM819" s="1684"/>
      <c r="CN819" s="1684"/>
      <c r="CO819" s="1684"/>
    </row>
    <row r="820" spans="1:93" s="1391" customFormat="1" ht="15" x14ac:dyDescent="0.2">
      <c r="A820" s="1684"/>
      <c r="B820" s="1684"/>
      <c r="C820" s="2014"/>
      <c r="D820" s="2015"/>
      <c r="E820" s="2015">
        <v>1</v>
      </c>
      <c r="F820" s="2015">
        <v>2</v>
      </c>
      <c r="G820" s="2015">
        <v>3</v>
      </c>
      <c r="H820" s="2015">
        <v>4</v>
      </c>
      <c r="I820" s="2015">
        <v>5</v>
      </c>
      <c r="J820" s="2015">
        <v>6</v>
      </c>
      <c r="K820" s="2015">
        <v>7</v>
      </c>
      <c r="L820" s="2015">
        <v>8</v>
      </c>
      <c r="M820" s="2015">
        <v>9</v>
      </c>
      <c r="N820" s="2015">
        <v>10</v>
      </c>
      <c r="O820" s="2015">
        <v>11</v>
      </c>
      <c r="P820" s="2015">
        <v>12</v>
      </c>
      <c r="Q820" s="2016"/>
      <c r="R820"/>
      <c r="S820" s="1684"/>
      <c r="T820" s="1684"/>
      <c r="U820" s="1684"/>
      <c r="V820" s="1684"/>
      <c r="W820" s="1684"/>
      <c r="X820" s="1684"/>
      <c r="Y820" s="1684"/>
      <c r="Z820" s="1684"/>
      <c r="AA820" s="1684"/>
      <c r="AB820" s="1684"/>
      <c r="AC820" s="1684"/>
      <c r="AD820" s="1684"/>
      <c r="AE820" s="1684"/>
      <c r="AF820" s="1684"/>
      <c r="AG820" s="1684"/>
      <c r="AH820" s="1684"/>
      <c r="AI820" s="1684"/>
      <c r="AJ820" s="1684"/>
      <c r="AK820" s="1684"/>
      <c r="AL820" s="1684"/>
      <c r="AM820" s="1684"/>
      <c r="AN820" s="1684"/>
      <c r="AO820" s="1684"/>
      <c r="AP820" s="1684"/>
      <c r="AQ820" s="1684"/>
      <c r="AR820" s="1684"/>
      <c r="AS820" s="1684"/>
      <c r="AT820" s="1684"/>
      <c r="AU820" s="1684"/>
      <c r="AV820" s="1684"/>
      <c r="AW820" s="1684"/>
      <c r="AX820" s="1684"/>
      <c r="AY820" s="1684"/>
      <c r="AZ820" s="1684"/>
      <c r="BA820" s="1684"/>
      <c r="BB820" s="1684"/>
      <c r="BC820" s="1684"/>
      <c r="BD820" s="1684"/>
      <c r="BE820" s="1684"/>
      <c r="BF820" s="1684"/>
      <c r="BG820" s="1684"/>
      <c r="BH820" s="1684"/>
      <c r="BI820" s="1684"/>
      <c r="BJ820" s="1684"/>
      <c r="BK820" s="1684"/>
      <c r="BL820" s="1684"/>
      <c r="BM820" s="1684"/>
      <c r="BN820" s="1684"/>
      <c r="BO820" s="1684"/>
      <c r="BP820" s="1684"/>
      <c r="BQ820" s="1684"/>
      <c r="BR820" s="1684"/>
      <c r="BS820" s="1684"/>
      <c r="BT820" s="1684"/>
      <c r="BU820" s="1684"/>
      <c r="BV820" s="1684"/>
      <c r="BW820" s="1684"/>
      <c r="BX820" s="1684"/>
      <c r="BY820" s="1684"/>
      <c r="BZ820" s="1684"/>
      <c r="CA820" s="1684"/>
      <c r="CB820" s="1684"/>
      <c r="CC820" s="1684"/>
      <c r="CD820" s="1684"/>
      <c r="CE820" s="1684"/>
      <c r="CF820" s="1684"/>
      <c r="CG820" s="1684"/>
      <c r="CH820" s="1684"/>
      <c r="CI820" s="1684"/>
      <c r="CJ820" s="1684"/>
      <c r="CK820" s="1684"/>
      <c r="CL820" s="1684"/>
      <c r="CM820" s="1684"/>
      <c r="CN820" s="1684"/>
      <c r="CO820" s="1684"/>
    </row>
    <row r="821" spans="1:93" s="1391" customFormat="1" ht="15" x14ac:dyDescent="0.2">
      <c r="A821" s="1684"/>
      <c r="B821" s="1684"/>
      <c r="C821" s="2013">
        <v>8</v>
      </c>
      <c r="D821" s="5">
        <v>5.48</v>
      </c>
      <c r="E821" s="5">
        <v>143</v>
      </c>
      <c r="F821" s="5">
        <v>159</v>
      </c>
      <c r="G821" s="5">
        <v>174</v>
      </c>
      <c r="H821" s="5">
        <v>189</v>
      </c>
      <c r="I821" s="5">
        <v>204</v>
      </c>
      <c r="J821" s="5">
        <v>219</v>
      </c>
      <c r="K821" s="5">
        <v>234</v>
      </c>
      <c r="L821" s="5">
        <v>250</v>
      </c>
      <c r="M821" s="5">
        <v>264</v>
      </c>
      <c r="N821" s="5">
        <v>280</v>
      </c>
      <c r="O821" s="5">
        <v>295</v>
      </c>
      <c r="P821" s="5">
        <v>310</v>
      </c>
      <c r="Q821" s="1160">
        <v>12</v>
      </c>
      <c r="R821"/>
      <c r="S821" s="1684"/>
      <c r="T821" s="1684"/>
      <c r="U821" s="1684"/>
      <c r="V821" s="1684"/>
      <c r="W821" s="1684"/>
      <c r="X821" s="1684"/>
      <c r="Y821" s="1684"/>
      <c r="Z821" s="1684"/>
      <c r="AA821" s="1684"/>
      <c r="AB821" s="1684"/>
      <c r="AC821" s="1684"/>
      <c r="AD821" s="1684"/>
      <c r="AE821" s="1684"/>
      <c r="AF821" s="1684"/>
      <c r="AG821" s="1684"/>
      <c r="AH821" s="1684"/>
      <c r="AI821" s="1684"/>
      <c r="AJ821" s="1684"/>
      <c r="AK821" s="1684"/>
      <c r="AL821" s="1684"/>
      <c r="AM821" s="1684"/>
      <c r="AN821" s="1684"/>
      <c r="AO821" s="1684"/>
      <c r="AP821" s="1684"/>
      <c r="AQ821" s="1684"/>
      <c r="AR821" s="1684"/>
      <c r="AS821" s="1684"/>
      <c r="AT821" s="1684"/>
      <c r="AU821" s="1684"/>
      <c r="AV821" s="1684"/>
      <c r="AW821" s="1684"/>
      <c r="AX821" s="1684"/>
      <c r="AY821" s="1684"/>
      <c r="AZ821" s="1684"/>
      <c r="BA821" s="1684"/>
      <c r="BB821" s="1684"/>
      <c r="BC821" s="1684"/>
      <c r="BD821" s="1684"/>
      <c r="BE821" s="1684"/>
      <c r="BF821" s="1684"/>
      <c r="BG821" s="1684"/>
      <c r="BH821" s="1684"/>
      <c r="BI821" s="1684"/>
      <c r="BJ821" s="1684"/>
      <c r="BK821" s="1684"/>
      <c r="BL821" s="1684"/>
      <c r="BM821" s="1684"/>
      <c r="BN821" s="1684"/>
      <c r="BO821" s="1684"/>
      <c r="BP821" s="1684"/>
      <c r="BQ821" s="1684"/>
      <c r="BR821" s="1684"/>
      <c r="BS821" s="1684"/>
      <c r="BT821" s="1684"/>
      <c r="BU821" s="1684"/>
      <c r="BV821" s="1684"/>
      <c r="BW821" s="1684"/>
      <c r="BX821" s="1684"/>
      <c r="BY821" s="1684"/>
      <c r="BZ821" s="1684"/>
      <c r="CA821" s="1684"/>
      <c r="CB821" s="1684"/>
      <c r="CC821" s="1684"/>
      <c r="CD821" s="1684"/>
      <c r="CE821" s="1684"/>
      <c r="CF821" s="1684"/>
      <c r="CG821" s="1684"/>
      <c r="CH821" s="1684"/>
      <c r="CI821" s="1684"/>
      <c r="CJ821" s="1684"/>
      <c r="CK821" s="1684"/>
      <c r="CL821" s="1684"/>
      <c r="CM821" s="1684"/>
      <c r="CN821" s="1684"/>
      <c r="CO821" s="1684"/>
    </row>
    <row r="822" spans="1:93" s="1391" customFormat="1" ht="15" x14ac:dyDescent="0.2">
      <c r="A822" s="1684"/>
      <c r="B822" s="1684"/>
      <c r="C822" s="2013">
        <v>9</v>
      </c>
      <c r="D822" s="5">
        <v>5.7969999999999997</v>
      </c>
      <c r="E822" s="5">
        <v>157</v>
      </c>
      <c r="F822" s="5">
        <v>174</v>
      </c>
      <c r="G822" s="5">
        <v>191</v>
      </c>
      <c r="H822" s="5">
        <v>207</v>
      </c>
      <c r="I822" s="5">
        <v>224</v>
      </c>
      <c r="J822" s="5">
        <v>240</v>
      </c>
      <c r="K822" s="5">
        <v>257</v>
      </c>
      <c r="L822" s="5">
        <v>274</v>
      </c>
      <c r="M822" s="5">
        <v>290</v>
      </c>
      <c r="N822" s="5">
        <v>306</v>
      </c>
      <c r="O822" s="5">
        <v>323</v>
      </c>
      <c r="P822" s="5">
        <v>339</v>
      </c>
      <c r="Q822" s="1160">
        <v>13</v>
      </c>
      <c r="R822"/>
      <c r="S822" s="1684"/>
      <c r="T822" s="1684"/>
      <c r="U822" s="1684"/>
      <c r="V822" s="1684"/>
      <c r="W822" s="1684"/>
      <c r="X822" s="1684"/>
      <c r="Y822" s="1684"/>
      <c r="Z822" s="1684"/>
      <c r="AA822" s="1684"/>
      <c r="AB822" s="1684"/>
      <c r="AC822" s="1684"/>
      <c r="AD822" s="1684"/>
      <c r="AE822" s="1684"/>
      <c r="AF822" s="1684"/>
      <c r="AG822" s="1684"/>
      <c r="AH822" s="1684"/>
      <c r="AI822" s="1684"/>
      <c r="AJ822" s="1684"/>
      <c r="AK822" s="1684"/>
      <c r="AL822" s="1684"/>
      <c r="AM822" s="1684"/>
      <c r="AN822" s="1684"/>
      <c r="AO822" s="1684"/>
      <c r="AP822" s="1684"/>
      <c r="AQ822" s="1684"/>
      <c r="AR822" s="1684"/>
      <c r="AS822" s="1684"/>
      <c r="AT822" s="1684"/>
      <c r="AU822" s="1684"/>
      <c r="AV822" s="1684"/>
      <c r="AW822" s="1684"/>
      <c r="AX822" s="1684"/>
      <c r="AY822" s="1684"/>
      <c r="AZ822" s="1684"/>
      <c r="BA822" s="1684"/>
      <c r="BB822" s="1684"/>
      <c r="BC822" s="1684"/>
      <c r="BD822" s="1684"/>
      <c r="BE822" s="1684"/>
      <c r="BF822" s="1684"/>
      <c r="BG822" s="1684"/>
      <c r="BH822" s="1684"/>
      <c r="BI822" s="1684"/>
      <c r="BJ822" s="1684"/>
      <c r="BK822" s="1684"/>
      <c r="BL822" s="1684"/>
      <c r="BM822" s="1684"/>
      <c r="BN822" s="1684"/>
      <c r="BO822" s="1684"/>
      <c r="BP822" s="1684"/>
      <c r="BQ822" s="1684"/>
      <c r="BR822" s="1684"/>
      <c r="BS822" s="1684"/>
      <c r="BT822" s="1684"/>
      <c r="BU822" s="1684"/>
      <c r="BV822" s="1684"/>
      <c r="BW822" s="1684"/>
      <c r="BX822" s="1684"/>
      <c r="BY822" s="1684"/>
      <c r="BZ822" s="1684"/>
      <c r="CA822" s="1684"/>
      <c r="CB822" s="1684"/>
      <c r="CC822" s="1684"/>
      <c r="CD822" s="1684"/>
      <c r="CE822" s="1684"/>
      <c r="CF822" s="1684"/>
      <c r="CG822" s="1684"/>
      <c r="CH822" s="1684"/>
      <c r="CI822" s="1684"/>
      <c r="CJ822" s="1684"/>
      <c r="CK822" s="1684"/>
      <c r="CL822" s="1684"/>
      <c r="CM822" s="1684"/>
      <c r="CN822" s="1684"/>
      <c r="CO822" s="1684"/>
    </row>
    <row r="823" spans="1:93" s="1391" customFormat="1" ht="15" x14ac:dyDescent="0.2">
      <c r="A823" s="1684"/>
      <c r="B823" s="1684"/>
      <c r="C823" s="2013">
        <v>10</v>
      </c>
      <c r="D823" s="5">
        <v>6.1239999999999997</v>
      </c>
      <c r="E823" s="5">
        <v>171</v>
      </c>
      <c r="F823" s="5">
        <v>190</v>
      </c>
      <c r="G823" s="5">
        <v>208</v>
      </c>
      <c r="H823" s="5">
        <v>226</v>
      </c>
      <c r="I823" s="5">
        <v>244</v>
      </c>
      <c r="J823" s="5">
        <v>262</v>
      </c>
      <c r="K823" s="5">
        <v>280</v>
      </c>
      <c r="L823" s="5">
        <v>299</v>
      </c>
      <c r="M823" s="5">
        <v>316</v>
      </c>
      <c r="N823" s="5">
        <v>334</v>
      </c>
      <c r="O823" s="5">
        <v>352</v>
      </c>
      <c r="P823" s="5">
        <v>370</v>
      </c>
      <c r="Q823" s="1160">
        <v>14</v>
      </c>
      <c r="R823"/>
      <c r="S823" s="1684"/>
      <c r="T823" s="1684"/>
      <c r="U823" s="1684"/>
      <c r="V823" s="1684"/>
      <c r="W823" s="1684"/>
      <c r="X823" s="1684"/>
      <c r="Y823" s="1684"/>
      <c r="Z823" s="1684"/>
      <c r="AA823" s="1684"/>
      <c r="AB823" s="1684"/>
      <c r="AC823" s="1684"/>
      <c r="AD823" s="1684"/>
      <c r="AE823" s="1684"/>
      <c r="AF823" s="1684"/>
      <c r="AG823" s="1684"/>
      <c r="AH823" s="1684"/>
      <c r="AI823" s="1684"/>
      <c r="AJ823" s="1684"/>
      <c r="AK823" s="1684"/>
      <c r="AL823" s="1684"/>
      <c r="AM823" s="1684"/>
      <c r="AN823" s="1684"/>
      <c r="AO823" s="1684"/>
      <c r="AP823" s="1684"/>
      <c r="AQ823" s="1684"/>
      <c r="AR823" s="1684"/>
      <c r="AS823" s="1684"/>
      <c r="AT823" s="1684"/>
      <c r="AU823" s="1684"/>
      <c r="AV823" s="1684"/>
      <c r="AW823" s="1684"/>
      <c r="AX823" s="1684"/>
      <c r="AY823" s="1684"/>
      <c r="AZ823" s="1684"/>
      <c r="BA823" s="1684"/>
      <c r="BB823" s="1684"/>
      <c r="BC823" s="1684"/>
      <c r="BD823" s="1684"/>
      <c r="BE823" s="1684"/>
      <c r="BF823" s="1684"/>
      <c r="BG823" s="1684"/>
      <c r="BH823" s="1684"/>
      <c r="BI823" s="1684"/>
      <c r="BJ823" s="1684"/>
      <c r="BK823" s="1684"/>
      <c r="BL823" s="1684"/>
      <c r="BM823" s="1684"/>
      <c r="BN823" s="1684"/>
      <c r="BO823" s="1684"/>
      <c r="BP823" s="1684"/>
      <c r="BQ823" s="1684"/>
      <c r="BR823" s="1684"/>
      <c r="BS823" s="1684"/>
      <c r="BT823" s="1684"/>
      <c r="BU823" s="1684"/>
      <c r="BV823" s="1684"/>
      <c r="BW823" s="1684"/>
      <c r="BX823" s="1684"/>
      <c r="BY823" s="1684"/>
      <c r="BZ823" s="1684"/>
      <c r="CA823" s="1684"/>
      <c r="CB823" s="1684"/>
      <c r="CC823" s="1684"/>
      <c r="CD823" s="1684"/>
      <c r="CE823" s="1684"/>
      <c r="CF823" s="1684"/>
      <c r="CG823" s="1684"/>
      <c r="CH823" s="1684"/>
      <c r="CI823" s="1684"/>
      <c r="CJ823" s="1684"/>
      <c r="CK823" s="1684"/>
      <c r="CL823" s="1684"/>
      <c r="CM823" s="1684"/>
      <c r="CN823" s="1684"/>
      <c r="CO823" s="1684"/>
    </row>
    <row r="824" spans="1:93" s="1391" customFormat="1" ht="15" x14ac:dyDescent="0.2">
      <c r="A824" s="1684"/>
      <c r="B824" s="1684"/>
      <c r="C824" s="2013">
        <v>11</v>
      </c>
      <c r="D824" s="5">
        <v>6.4859999999999998</v>
      </c>
      <c r="E824" s="5">
        <v>187</v>
      </c>
      <c r="F824" s="5">
        <v>207</v>
      </c>
      <c r="G824" s="5">
        <v>227</v>
      </c>
      <c r="H824" s="5">
        <v>246</v>
      </c>
      <c r="I824" s="5">
        <v>266</v>
      </c>
      <c r="J824" s="5">
        <v>286</v>
      </c>
      <c r="K824" s="5">
        <v>303</v>
      </c>
      <c r="L824" s="5">
        <v>326</v>
      </c>
      <c r="M824" s="5">
        <v>345</v>
      </c>
      <c r="N824" s="5">
        <v>364</v>
      </c>
      <c r="O824" s="5">
        <v>384</v>
      </c>
      <c r="P824" s="5">
        <v>404</v>
      </c>
      <c r="Q824" s="1160">
        <v>15</v>
      </c>
      <c r="R824"/>
      <c r="S824" s="1684"/>
      <c r="T824" s="1684"/>
      <c r="U824" s="1684"/>
      <c r="V824" s="1684"/>
      <c r="W824" s="1684"/>
      <c r="X824" s="1684"/>
      <c r="Y824" s="1684"/>
      <c r="Z824" s="1684"/>
      <c r="AA824" s="1684"/>
      <c r="AB824" s="1684"/>
      <c r="AC824" s="1684"/>
      <c r="AD824" s="1684"/>
      <c r="AE824" s="1684"/>
      <c r="AF824" s="1684"/>
      <c r="AG824" s="1684"/>
      <c r="AH824" s="1684"/>
      <c r="AI824" s="1684"/>
      <c r="AJ824" s="1684"/>
      <c r="AK824" s="1684"/>
      <c r="AL824" s="1684"/>
      <c r="AM824" s="1684"/>
      <c r="AN824" s="1684"/>
      <c r="AO824" s="1684"/>
      <c r="AP824" s="1684"/>
      <c r="AQ824" s="1684"/>
      <c r="AR824" s="1684"/>
      <c r="AS824" s="1684"/>
      <c r="AT824" s="1684"/>
      <c r="AU824" s="1684"/>
      <c r="AV824" s="1684"/>
      <c r="AW824" s="1684"/>
      <c r="AX824" s="1684"/>
      <c r="AY824" s="1684"/>
      <c r="AZ824" s="1684"/>
      <c r="BA824" s="1684"/>
      <c r="BB824" s="1684"/>
      <c r="BC824" s="1684"/>
      <c r="BD824" s="1684"/>
      <c r="BE824" s="1684"/>
      <c r="BF824" s="1684"/>
      <c r="BG824" s="1684"/>
      <c r="BH824" s="1684"/>
      <c r="BI824" s="1684"/>
      <c r="BJ824" s="1684"/>
      <c r="BK824" s="1684"/>
      <c r="BL824" s="1684"/>
      <c r="BM824" s="1684"/>
      <c r="BN824" s="1684"/>
      <c r="BO824" s="1684"/>
      <c r="BP824" s="1684"/>
      <c r="BQ824" s="1684"/>
      <c r="BR824" s="1684"/>
      <c r="BS824" s="1684"/>
      <c r="BT824" s="1684"/>
      <c r="BU824" s="1684"/>
      <c r="BV824" s="1684"/>
      <c r="BW824" s="1684"/>
      <c r="BX824" s="1684"/>
      <c r="BY824" s="1684"/>
      <c r="BZ824" s="1684"/>
      <c r="CA824" s="1684"/>
      <c r="CB824" s="1684"/>
      <c r="CC824" s="1684"/>
      <c r="CD824" s="1684"/>
      <c r="CE824" s="1684"/>
      <c r="CF824" s="1684"/>
      <c r="CG824" s="1684"/>
      <c r="CH824" s="1684"/>
      <c r="CI824" s="1684"/>
      <c r="CJ824" s="1684"/>
      <c r="CK824" s="1684"/>
      <c r="CL824" s="1684"/>
      <c r="CM824" s="1684"/>
      <c r="CN824" s="1684"/>
      <c r="CO824" s="1684"/>
    </row>
    <row r="825" spans="1:93" s="1391" customFormat="1" ht="15" x14ac:dyDescent="0.2">
      <c r="A825" s="1684"/>
      <c r="B825" s="1684"/>
      <c r="C825" s="2013">
        <v>12</v>
      </c>
      <c r="D825" s="5">
        <v>6.5570000000000004</v>
      </c>
      <c r="E825" s="5">
        <v>202</v>
      </c>
      <c r="F825" s="5">
        <v>225</v>
      </c>
      <c r="G825" s="5">
        <v>246</v>
      </c>
      <c r="H825" s="5">
        <v>267</v>
      </c>
      <c r="I825" s="5">
        <v>289</v>
      </c>
      <c r="J825" s="5">
        <v>310</v>
      </c>
      <c r="K825" s="5">
        <v>331</v>
      </c>
      <c r="L825" s="5">
        <v>354</v>
      </c>
      <c r="M825" s="5">
        <v>374</v>
      </c>
      <c r="N825" s="5">
        <v>395</v>
      </c>
      <c r="O825" s="5">
        <v>417</v>
      </c>
      <c r="P825" s="5">
        <v>438</v>
      </c>
      <c r="Q825" s="1160">
        <v>16</v>
      </c>
      <c r="R825"/>
      <c r="S825" s="1684"/>
      <c r="T825" s="1684"/>
      <c r="U825" s="1684"/>
      <c r="V825" s="1684"/>
      <c r="W825" s="1684"/>
      <c r="X825" s="1684"/>
      <c r="Y825" s="1684"/>
      <c r="Z825" s="1684"/>
      <c r="AA825" s="1684"/>
      <c r="AB825" s="1684"/>
      <c r="AC825" s="1684"/>
      <c r="AD825" s="1684"/>
      <c r="AE825" s="1684"/>
      <c r="AF825" s="1684"/>
      <c r="AG825" s="1684"/>
      <c r="AH825" s="1684"/>
      <c r="AI825" s="1684"/>
      <c r="AJ825" s="1684"/>
      <c r="AK825" s="1684"/>
      <c r="AL825" s="1684"/>
      <c r="AM825" s="1684"/>
      <c r="AN825" s="1684"/>
      <c r="AO825" s="1684"/>
      <c r="AP825" s="1684"/>
      <c r="AQ825" s="1684"/>
      <c r="AR825" s="1684"/>
      <c r="AS825" s="1684"/>
      <c r="AT825" s="1684"/>
      <c r="AU825" s="1684"/>
      <c r="AV825" s="1684"/>
      <c r="AW825" s="1684"/>
      <c r="AX825" s="1684"/>
      <c r="AY825" s="1684"/>
      <c r="AZ825" s="1684"/>
      <c r="BA825" s="1684"/>
      <c r="BB825" s="1684"/>
      <c r="BC825" s="1684"/>
      <c r="BD825" s="1684"/>
      <c r="BE825" s="1684"/>
      <c r="BF825" s="1684"/>
      <c r="BG825" s="1684"/>
      <c r="BH825" s="1684"/>
      <c r="BI825" s="1684"/>
      <c r="BJ825" s="1684"/>
      <c r="BK825" s="1684"/>
      <c r="BL825" s="1684"/>
      <c r="BM825" s="1684"/>
      <c r="BN825" s="1684"/>
      <c r="BO825" s="1684"/>
      <c r="BP825" s="1684"/>
      <c r="BQ825" s="1684"/>
      <c r="BR825" s="1684"/>
      <c r="BS825" s="1684"/>
      <c r="BT825" s="1684"/>
      <c r="BU825" s="1684"/>
      <c r="BV825" s="1684"/>
      <c r="BW825" s="1684"/>
      <c r="BX825" s="1684"/>
      <c r="BY825" s="1684"/>
      <c r="BZ825" s="1684"/>
      <c r="CA825" s="1684"/>
      <c r="CB825" s="1684"/>
      <c r="CC825" s="1684"/>
      <c r="CD825" s="1684"/>
      <c r="CE825" s="1684"/>
      <c r="CF825" s="1684"/>
      <c r="CG825" s="1684"/>
      <c r="CH825" s="1684"/>
      <c r="CI825" s="1684"/>
      <c r="CJ825" s="1684"/>
      <c r="CK825" s="1684"/>
      <c r="CL825" s="1684"/>
      <c r="CM825" s="1684"/>
      <c r="CN825" s="1684"/>
      <c r="CO825" s="1684"/>
    </row>
    <row r="826" spans="1:93" s="1391" customFormat="1" ht="15" x14ac:dyDescent="0.2">
      <c r="A826" s="1684"/>
      <c r="B826" s="1684"/>
      <c r="C826" s="2013">
        <v>13</v>
      </c>
      <c r="D826" s="5">
        <v>7.2279999999999998</v>
      </c>
      <c r="E826" s="5">
        <v>218</v>
      </c>
      <c r="F826" s="5">
        <v>242</v>
      </c>
      <c r="G826" s="5">
        <v>265</v>
      </c>
      <c r="H826" s="5">
        <v>288</v>
      </c>
      <c r="I826" s="5">
        <v>311</v>
      </c>
      <c r="J826" s="5">
        <v>334</v>
      </c>
      <c r="K826" s="5">
        <v>357</v>
      </c>
      <c r="L826" s="5">
        <v>381</v>
      </c>
      <c r="M826" s="5">
        <v>403</v>
      </c>
      <c r="N826" s="5">
        <v>426</v>
      </c>
      <c r="O826" s="5">
        <v>449</v>
      </c>
      <c r="P826" s="5">
        <v>472</v>
      </c>
      <c r="Q826" s="1160">
        <v>17</v>
      </c>
      <c r="R826"/>
      <c r="S826" s="1684"/>
      <c r="T826" s="1684"/>
      <c r="U826" s="1684"/>
      <c r="V826" s="1684"/>
      <c r="W826" s="1684"/>
      <c r="X826" s="1684"/>
      <c r="Y826" s="1684"/>
      <c r="Z826" s="1684"/>
      <c r="AA826" s="1684"/>
      <c r="AB826" s="1684"/>
      <c r="AC826" s="1684"/>
      <c r="AD826" s="1684"/>
      <c r="AE826" s="1684"/>
      <c r="AF826" s="1684"/>
      <c r="AG826" s="1684"/>
      <c r="AH826" s="1684"/>
      <c r="AI826" s="1684"/>
      <c r="AJ826" s="1684"/>
      <c r="AK826" s="1684"/>
      <c r="AL826" s="1684"/>
      <c r="AM826" s="1684"/>
      <c r="AN826" s="1684"/>
      <c r="AO826" s="1684"/>
      <c r="AP826" s="1684"/>
      <c r="AQ826" s="1684"/>
      <c r="AR826" s="1684"/>
      <c r="AS826" s="1684"/>
      <c r="AT826" s="1684"/>
      <c r="AU826" s="1684"/>
      <c r="AV826" s="1684"/>
      <c r="AW826" s="1684"/>
      <c r="AX826" s="1684"/>
      <c r="AY826" s="1684"/>
      <c r="AZ826" s="1684"/>
      <c r="BA826" s="1684"/>
      <c r="BB826" s="1684"/>
      <c r="BC826" s="1684"/>
      <c r="BD826" s="1684"/>
      <c r="BE826" s="1684"/>
      <c r="BF826" s="1684"/>
      <c r="BG826" s="1684"/>
      <c r="BH826" s="1684"/>
      <c r="BI826" s="1684"/>
      <c r="BJ826" s="1684"/>
      <c r="BK826" s="1684"/>
      <c r="BL826" s="1684"/>
      <c r="BM826" s="1684"/>
      <c r="BN826" s="1684"/>
      <c r="BO826" s="1684"/>
      <c r="BP826" s="1684"/>
      <c r="BQ826" s="1684"/>
      <c r="BR826" s="1684"/>
      <c r="BS826" s="1684"/>
      <c r="BT826" s="1684"/>
      <c r="BU826" s="1684"/>
      <c r="BV826" s="1684"/>
      <c r="BW826" s="1684"/>
      <c r="BX826" s="1684"/>
      <c r="BY826" s="1684"/>
      <c r="BZ826" s="1684"/>
      <c r="CA826" s="1684"/>
      <c r="CB826" s="1684"/>
      <c r="CC826" s="1684"/>
      <c r="CD826" s="1684"/>
      <c r="CE826" s="1684"/>
      <c r="CF826" s="1684"/>
      <c r="CG826" s="1684"/>
      <c r="CH826" s="1684"/>
      <c r="CI826" s="1684"/>
      <c r="CJ826" s="1684"/>
      <c r="CK826" s="1684"/>
      <c r="CL826" s="1684"/>
      <c r="CM826" s="1684"/>
      <c r="CN826" s="1684"/>
      <c r="CO826" s="1684"/>
    </row>
    <row r="827" spans="1:93" s="1391" customFormat="1" ht="15" x14ac:dyDescent="0.2">
      <c r="A827" s="1684"/>
      <c r="B827" s="1684"/>
      <c r="C827" s="2013">
        <v>14</v>
      </c>
      <c r="D827" s="5">
        <v>7.6130000000000004</v>
      </c>
      <c r="E827" s="5">
        <v>235</v>
      </c>
      <c r="F827" s="5">
        <v>261</v>
      </c>
      <c r="G827" s="5">
        <v>285</v>
      </c>
      <c r="H827" s="5">
        <v>310</v>
      </c>
      <c r="I827" s="5">
        <v>335</v>
      </c>
      <c r="J827" s="5">
        <v>359</v>
      </c>
      <c r="K827" s="5">
        <v>384</v>
      </c>
      <c r="L827" s="5">
        <v>410</v>
      </c>
      <c r="M827" s="5">
        <v>433</v>
      </c>
      <c r="N827" s="5">
        <v>458</v>
      </c>
      <c r="O827" s="5">
        <v>483</v>
      </c>
      <c r="P827" s="5">
        <v>508</v>
      </c>
      <c r="Q827" s="1160">
        <v>18</v>
      </c>
      <c r="R827"/>
      <c r="S827" s="1684"/>
      <c r="T827" s="1684"/>
      <c r="U827" s="1684"/>
      <c r="V827" s="1684"/>
      <c r="W827" s="1684"/>
      <c r="X827" s="1684"/>
      <c r="Y827" s="1684"/>
      <c r="Z827" s="1684"/>
      <c r="AA827" s="1684"/>
      <c r="AB827" s="1684"/>
      <c r="AC827" s="1684"/>
      <c r="AD827" s="1684"/>
      <c r="AE827" s="1684"/>
      <c r="AF827" s="1684"/>
      <c r="AG827" s="1684"/>
      <c r="AH827" s="1684"/>
      <c r="AI827" s="1684"/>
      <c r="AJ827" s="1684"/>
      <c r="AK827" s="1684"/>
      <c r="AL827" s="1684"/>
      <c r="AM827" s="1684"/>
      <c r="AN827" s="1684"/>
      <c r="AO827" s="1684"/>
      <c r="AP827" s="1684"/>
      <c r="AQ827" s="1684"/>
      <c r="AR827" s="1684"/>
      <c r="AS827" s="1684"/>
      <c r="AT827" s="1684"/>
      <c r="AU827" s="1684"/>
      <c r="AV827" s="1684"/>
      <c r="AW827" s="1684"/>
      <c r="AX827" s="1684"/>
      <c r="AY827" s="1684"/>
      <c r="AZ827" s="1684"/>
      <c r="BA827" s="1684"/>
      <c r="BB827" s="1684"/>
      <c r="BC827" s="1684"/>
      <c r="BD827" s="1684"/>
      <c r="BE827" s="1684"/>
      <c r="BF827" s="1684"/>
      <c r="BG827" s="1684"/>
      <c r="BH827" s="1684"/>
      <c r="BI827" s="1684"/>
      <c r="BJ827" s="1684"/>
      <c r="BK827" s="1684"/>
      <c r="BL827" s="1684"/>
      <c r="BM827" s="1684"/>
      <c r="BN827" s="1684"/>
      <c r="BO827" s="1684"/>
      <c r="BP827" s="1684"/>
      <c r="BQ827" s="1684"/>
      <c r="BR827" s="1684"/>
      <c r="BS827" s="1684"/>
      <c r="BT827" s="1684"/>
      <c r="BU827" s="1684"/>
      <c r="BV827" s="1684"/>
      <c r="BW827" s="1684"/>
      <c r="BX827" s="1684"/>
      <c r="BY827" s="1684"/>
      <c r="BZ827" s="1684"/>
      <c r="CA827" s="1684"/>
      <c r="CB827" s="1684"/>
      <c r="CC827" s="1684"/>
      <c r="CD827" s="1684"/>
      <c r="CE827" s="1684"/>
      <c r="CF827" s="1684"/>
      <c r="CG827" s="1684"/>
      <c r="CH827" s="1684"/>
      <c r="CI827" s="1684"/>
      <c r="CJ827" s="1684"/>
      <c r="CK827" s="1684"/>
      <c r="CL827" s="1684"/>
      <c r="CM827" s="1684"/>
      <c r="CN827" s="1684"/>
      <c r="CO827" s="1684"/>
    </row>
    <row r="828" spans="1:93" s="1391" customFormat="1" ht="15" x14ac:dyDescent="0.2">
      <c r="A828" s="1684"/>
      <c r="B828" s="1684"/>
      <c r="C828" s="2013">
        <v>15</v>
      </c>
      <c r="D828" s="5">
        <v>8.0020000000000007</v>
      </c>
      <c r="E828" s="5">
        <v>251</v>
      </c>
      <c r="F828" s="5">
        <v>279</v>
      </c>
      <c r="G828" s="5">
        <v>305</v>
      </c>
      <c r="H828" s="5">
        <v>332</v>
      </c>
      <c r="I828" s="5">
        <v>358</v>
      </c>
      <c r="J828" s="5">
        <v>383</v>
      </c>
      <c r="K828" s="5">
        <v>411</v>
      </c>
      <c r="L828" s="5">
        <v>439</v>
      </c>
      <c r="M828" s="5">
        <v>464</v>
      </c>
      <c r="N828" s="5">
        <v>490</v>
      </c>
      <c r="O828" s="5">
        <v>517</v>
      </c>
      <c r="P828" s="5">
        <v>543</v>
      </c>
      <c r="Q828" s="1160">
        <v>19</v>
      </c>
      <c r="R828"/>
      <c r="S828" s="1684"/>
      <c r="T828" s="1684"/>
      <c r="U828" s="1684"/>
      <c r="V828" s="1684"/>
      <c r="W828" s="1684"/>
      <c r="X828" s="1684"/>
      <c r="Y828" s="1684"/>
      <c r="Z828" s="1684"/>
      <c r="AA828" s="1684"/>
      <c r="AB828" s="1684"/>
      <c r="AC828" s="1684"/>
      <c r="AD828" s="1684"/>
      <c r="AE828" s="1684"/>
      <c r="AF828" s="1684"/>
      <c r="AG828" s="1684"/>
      <c r="AH828" s="1684"/>
      <c r="AI828" s="1684"/>
      <c r="AJ828" s="1684"/>
      <c r="AK828" s="1684"/>
      <c r="AL828" s="1684"/>
      <c r="AM828" s="1684"/>
      <c r="AN828" s="1684"/>
      <c r="AO828" s="1684"/>
      <c r="AP828" s="1684"/>
      <c r="AQ828" s="1684"/>
      <c r="AR828" s="1684"/>
      <c r="AS828" s="1684"/>
      <c r="AT828" s="1684"/>
      <c r="AU828" s="1684"/>
      <c r="AV828" s="1684"/>
      <c r="AW828" s="1684"/>
      <c r="AX828" s="1684"/>
      <c r="AY828" s="1684"/>
      <c r="AZ828" s="1684"/>
      <c r="BA828" s="1684"/>
      <c r="BB828" s="1684"/>
      <c r="BC828" s="1684"/>
      <c r="BD828" s="1684"/>
      <c r="BE828" s="1684"/>
      <c r="BF828" s="1684"/>
      <c r="BG828" s="1684"/>
      <c r="BH828" s="1684"/>
      <c r="BI828" s="1684"/>
      <c r="BJ828" s="1684"/>
      <c r="BK828" s="1684"/>
      <c r="BL828" s="1684"/>
      <c r="BM828" s="1684"/>
      <c r="BN828" s="1684"/>
      <c r="BO828" s="1684"/>
      <c r="BP828" s="1684"/>
      <c r="BQ828" s="1684"/>
      <c r="BR828" s="1684"/>
      <c r="BS828" s="1684"/>
      <c r="BT828" s="1684"/>
      <c r="BU828" s="1684"/>
      <c r="BV828" s="1684"/>
      <c r="BW828" s="1684"/>
      <c r="BX828" s="1684"/>
      <c r="BY828" s="1684"/>
      <c r="BZ828" s="1684"/>
      <c r="CA828" s="1684"/>
      <c r="CB828" s="1684"/>
      <c r="CC828" s="1684"/>
      <c r="CD828" s="1684"/>
      <c r="CE828" s="1684"/>
      <c r="CF828" s="1684"/>
      <c r="CG828" s="1684"/>
      <c r="CH828" s="1684"/>
      <c r="CI828" s="1684"/>
      <c r="CJ828" s="1684"/>
      <c r="CK828" s="1684"/>
      <c r="CL828" s="1684"/>
      <c r="CM828" s="1684"/>
      <c r="CN828" s="1684"/>
      <c r="CO828" s="1684"/>
    </row>
    <row r="829" spans="1:93" s="1391" customFormat="1" ht="15" x14ac:dyDescent="0.2">
      <c r="A829" s="1684"/>
      <c r="B829" s="1684"/>
      <c r="C829" s="2013">
        <v>16</v>
      </c>
      <c r="D829" s="5">
        <v>8.5190000000000001</v>
      </c>
      <c r="E829" s="5">
        <v>267</v>
      </c>
      <c r="F829" s="5">
        <v>296</v>
      </c>
      <c r="G829" s="5">
        <v>324</v>
      </c>
      <c r="H829" s="5">
        <v>352</v>
      </c>
      <c r="I829" s="5">
        <v>381</v>
      </c>
      <c r="J829" s="5">
        <v>409</v>
      </c>
      <c r="K829" s="5">
        <v>437</v>
      </c>
      <c r="L829" s="5">
        <v>466</v>
      </c>
      <c r="M829" s="5">
        <v>493</v>
      </c>
      <c r="N829" s="5">
        <v>521</v>
      </c>
      <c r="O829" s="5">
        <v>549</v>
      </c>
      <c r="P829" s="5">
        <v>577</v>
      </c>
      <c r="Q829" s="1160">
        <v>20</v>
      </c>
      <c r="R829"/>
      <c r="S829" s="1684"/>
      <c r="T829" s="1684"/>
      <c r="U829" s="1684"/>
      <c r="V829" s="1684"/>
      <c r="W829" s="1684"/>
      <c r="X829" s="1684"/>
      <c r="Y829" s="1684"/>
      <c r="Z829" s="1684"/>
      <c r="AA829" s="1684"/>
      <c r="AB829" s="1684"/>
      <c r="AC829" s="1684"/>
      <c r="AD829" s="1684"/>
      <c r="AE829" s="1684"/>
      <c r="AF829" s="1684"/>
      <c r="AG829" s="1684"/>
      <c r="AH829" s="1684"/>
      <c r="AI829" s="1684"/>
      <c r="AJ829" s="1684"/>
      <c r="AK829" s="1684"/>
      <c r="AL829" s="1684"/>
      <c r="AM829" s="1684"/>
      <c r="AN829" s="1684"/>
      <c r="AO829" s="1684"/>
      <c r="AP829" s="1684"/>
      <c r="AQ829" s="1684"/>
      <c r="AR829" s="1684"/>
      <c r="AS829" s="1684"/>
      <c r="AT829" s="1684"/>
      <c r="AU829" s="1684"/>
      <c r="AV829" s="1684"/>
      <c r="AW829" s="1684"/>
      <c r="AX829" s="1684"/>
      <c r="AY829" s="1684"/>
      <c r="AZ829" s="1684"/>
      <c r="BA829" s="1684"/>
      <c r="BB829" s="1684"/>
      <c r="BC829" s="1684"/>
      <c r="BD829" s="1684"/>
      <c r="BE829" s="1684"/>
      <c r="BF829" s="1684"/>
      <c r="BG829" s="1684"/>
      <c r="BH829" s="1684"/>
      <c r="BI829" s="1684"/>
      <c r="BJ829" s="1684"/>
      <c r="BK829" s="1684"/>
      <c r="BL829" s="1684"/>
      <c r="BM829" s="1684"/>
      <c r="BN829" s="1684"/>
      <c r="BO829" s="1684"/>
      <c r="BP829" s="1684"/>
      <c r="BQ829" s="1684"/>
      <c r="BR829" s="1684"/>
      <c r="BS829" s="1684"/>
      <c r="BT829" s="1684"/>
      <c r="BU829" s="1684"/>
      <c r="BV829" s="1684"/>
      <c r="BW829" s="1684"/>
      <c r="BX829" s="1684"/>
      <c r="BY829" s="1684"/>
      <c r="BZ829" s="1684"/>
      <c r="CA829" s="1684"/>
      <c r="CB829" s="1684"/>
      <c r="CC829" s="1684"/>
      <c r="CD829" s="1684"/>
      <c r="CE829" s="1684"/>
      <c r="CF829" s="1684"/>
      <c r="CG829" s="1684"/>
      <c r="CH829" s="1684"/>
      <c r="CI829" s="1684"/>
      <c r="CJ829" s="1684"/>
      <c r="CK829" s="1684"/>
      <c r="CL829" s="1684"/>
      <c r="CM829" s="1684"/>
      <c r="CN829" s="1684"/>
      <c r="CO829" s="1684"/>
    </row>
    <row r="830" spans="1:93" s="1391" customFormat="1" ht="15" x14ac:dyDescent="0.2">
      <c r="A830" s="1684"/>
      <c r="B830" s="1684"/>
      <c r="C830" s="2013">
        <v>17</v>
      </c>
      <c r="D830" s="5">
        <v>9.07</v>
      </c>
      <c r="E830" s="5">
        <v>281</v>
      </c>
      <c r="F830" s="5">
        <v>312</v>
      </c>
      <c r="G830" s="5">
        <v>342</v>
      </c>
      <c r="H830" s="5">
        <v>371</v>
      </c>
      <c r="I830" s="5">
        <v>401</v>
      </c>
      <c r="J830" s="5">
        <v>431</v>
      </c>
      <c r="K830" s="5">
        <v>460</v>
      </c>
      <c r="L830" s="5">
        <v>491</v>
      </c>
      <c r="M830" s="5">
        <v>519</v>
      </c>
      <c r="N830" s="5">
        <v>549</v>
      </c>
      <c r="O830" s="5">
        <v>578</v>
      </c>
      <c r="P830" s="5">
        <v>608</v>
      </c>
      <c r="Q830" s="1160">
        <v>21</v>
      </c>
      <c r="R830"/>
      <c r="S830" s="1684"/>
      <c r="T830" s="1684"/>
      <c r="U830" s="1684"/>
      <c r="V830" s="1684"/>
      <c r="W830" s="1684"/>
      <c r="X830" s="1684"/>
      <c r="Y830" s="1684"/>
      <c r="Z830" s="1684"/>
      <c r="AA830" s="1684"/>
      <c r="AB830" s="1684"/>
      <c r="AC830" s="1684"/>
      <c r="AD830" s="1684"/>
      <c r="AE830" s="1684"/>
      <c r="AF830" s="1684"/>
      <c r="AG830" s="1684"/>
      <c r="AH830" s="1684"/>
      <c r="AI830" s="1684"/>
      <c r="AJ830" s="1684"/>
      <c r="AK830" s="1684"/>
      <c r="AL830" s="1684"/>
      <c r="AM830" s="1684"/>
      <c r="AN830" s="1684"/>
      <c r="AO830" s="1684"/>
      <c r="AP830" s="1684"/>
      <c r="AQ830" s="1684"/>
      <c r="AR830" s="1684"/>
      <c r="AS830" s="1684"/>
      <c r="AT830" s="1684"/>
      <c r="AU830" s="1684"/>
      <c r="AV830" s="1684"/>
      <c r="AW830" s="1684"/>
      <c r="AX830" s="1684"/>
      <c r="AY830" s="1684"/>
      <c r="AZ830" s="1684"/>
      <c r="BA830" s="1684"/>
      <c r="BB830" s="1684"/>
      <c r="BC830" s="1684"/>
      <c r="BD830" s="1684"/>
      <c r="BE830" s="1684"/>
      <c r="BF830" s="1684"/>
      <c r="BG830" s="1684"/>
      <c r="BH830" s="1684"/>
      <c r="BI830" s="1684"/>
      <c r="BJ830" s="1684"/>
      <c r="BK830" s="1684"/>
      <c r="BL830" s="1684"/>
      <c r="BM830" s="1684"/>
      <c r="BN830" s="1684"/>
      <c r="BO830" s="1684"/>
      <c r="BP830" s="1684"/>
      <c r="BQ830" s="1684"/>
      <c r="BR830" s="1684"/>
      <c r="BS830" s="1684"/>
      <c r="BT830" s="1684"/>
      <c r="BU830" s="1684"/>
      <c r="BV830" s="1684"/>
      <c r="BW830" s="1684"/>
      <c r="BX830" s="1684"/>
      <c r="BY830" s="1684"/>
      <c r="BZ830" s="1684"/>
      <c r="CA830" s="1684"/>
      <c r="CB830" s="1684"/>
      <c r="CC830" s="1684"/>
      <c r="CD830" s="1684"/>
      <c r="CE830" s="1684"/>
      <c r="CF830" s="1684"/>
      <c r="CG830" s="1684"/>
      <c r="CH830" s="1684"/>
      <c r="CI830" s="1684"/>
      <c r="CJ830" s="1684"/>
      <c r="CK830" s="1684"/>
      <c r="CL830" s="1684"/>
      <c r="CM830" s="1684"/>
      <c r="CN830" s="1684"/>
      <c r="CO830" s="1684"/>
    </row>
    <row r="831" spans="1:93" s="1391" customFormat="1" ht="15" x14ac:dyDescent="0.2">
      <c r="A831" s="1684"/>
      <c r="B831" s="1684"/>
      <c r="C831" s="2013">
        <v>18</v>
      </c>
      <c r="D831" s="5">
        <v>9.3840000000000003</v>
      </c>
      <c r="E831" s="5">
        <v>294</v>
      </c>
      <c r="F831" s="5">
        <v>326</v>
      </c>
      <c r="G831" s="5">
        <v>357</v>
      </c>
      <c r="H831" s="5">
        <v>386</v>
      </c>
      <c r="I831" s="5">
        <v>419</v>
      </c>
      <c r="J831" s="5">
        <v>450</v>
      </c>
      <c r="K831" s="5">
        <v>481</v>
      </c>
      <c r="L831" s="5">
        <v>514</v>
      </c>
      <c r="M831" s="5">
        <v>543</v>
      </c>
      <c r="N831" s="5">
        <v>574</v>
      </c>
      <c r="O831" s="5">
        <v>605</v>
      </c>
      <c r="P831" s="5">
        <v>636</v>
      </c>
      <c r="Q831" s="1160">
        <v>22</v>
      </c>
      <c r="R831"/>
      <c r="S831" s="1684"/>
      <c r="T831" s="1684"/>
      <c r="U831" s="1684"/>
      <c r="V831" s="1684"/>
      <c r="W831" s="1684"/>
      <c r="X831" s="1684"/>
      <c r="Y831" s="1684"/>
      <c r="Z831" s="1684"/>
      <c r="AA831" s="1684"/>
      <c r="AB831" s="1684"/>
      <c r="AC831" s="1684"/>
      <c r="AD831" s="1684"/>
      <c r="AE831" s="1684"/>
      <c r="AF831" s="1684"/>
      <c r="AG831" s="1684"/>
      <c r="AH831" s="1684"/>
      <c r="AI831" s="1684"/>
      <c r="AJ831" s="1684"/>
      <c r="AK831" s="1684"/>
      <c r="AL831" s="1684"/>
      <c r="AM831" s="1684"/>
      <c r="AN831" s="1684"/>
      <c r="AO831" s="1684"/>
      <c r="AP831" s="1684"/>
      <c r="AQ831" s="1684"/>
      <c r="AR831" s="1684"/>
      <c r="AS831" s="1684"/>
      <c r="AT831" s="1684"/>
      <c r="AU831" s="1684"/>
      <c r="AV831" s="1684"/>
      <c r="AW831" s="1684"/>
      <c r="AX831" s="1684"/>
      <c r="AY831" s="1684"/>
      <c r="AZ831" s="1684"/>
      <c r="BA831" s="1684"/>
      <c r="BB831" s="1684"/>
      <c r="BC831" s="1684"/>
      <c r="BD831" s="1684"/>
      <c r="BE831" s="1684"/>
      <c r="BF831" s="1684"/>
      <c r="BG831" s="1684"/>
      <c r="BH831" s="1684"/>
      <c r="BI831" s="1684"/>
      <c r="BJ831" s="1684"/>
      <c r="BK831" s="1684"/>
      <c r="BL831" s="1684"/>
      <c r="BM831" s="1684"/>
      <c r="BN831" s="1684"/>
      <c r="BO831" s="1684"/>
      <c r="BP831" s="1684"/>
      <c r="BQ831" s="1684"/>
      <c r="BR831" s="1684"/>
      <c r="BS831" s="1684"/>
      <c r="BT831" s="1684"/>
      <c r="BU831" s="1684"/>
      <c r="BV831" s="1684"/>
      <c r="BW831" s="1684"/>
      <c r="BX831" s="1684"/>
      <c r="BY831" s="1684"/>
      <c r="BZ831" s="1684"/>
      <c r="CA831" s="1684"/>
      <c r="CB831" s="1684"/>
      <c r="CC831" s="1684"/>
      <c r="CD831" s="1684"/>
      <c r="CE831" s="1684"/>
      <c r="CF831" s="1684"/>
      <c r="CG831" s="1684"/>
      <c r="CH831" s="1684"/>
      <c r="CI831" s="1684"/>
      <c r="CJ831" s="1684"/>
      <c r="CK831" s="1684"/>
      <c r="CL831" s="1684"/>
      <c r="CM831" s="1684"/>
      <c r="CN831" s="1684"/>
      <c r="CO831" s="1684"/>
    </row>
    <row r="832" spans="1:93" s="1391" customFormat="1" ht="15" x14ac:dyDescent="0.2">
      <c r="A832" s="1684"/>
      <c r="B832" s="1684"/>
      <c r="C832" s="4680" t="s">
        <v>3692</v>
      </c>
      <c r="D832" s="4681"/>
      <c r="E832" s="4681"/>
      <c r="F832" s="4681"/>
      <c r="G832" s="4681"/>
      <c r="H832" s="4681"/>
      <c r="I832" s="4681"/>
      <c r="J832" s="4681"/>
      <c r="K832" s="4681"/>
      <c r="L832" s="4681"/>
      <c r="M832" s="4681"/>
      <c r="N832" s="4681"/>
      <c r="O832" s="4681"/>
      <c r="P832" s="4681"/>
      <c r="Q832" s="4682"/>
      <c r="R832"/>
      <c r="S832" s="1684"/>
      <c r="T832" s="1684"/>
      <c r="U832" s="1684"/>
      <c r="V832" s="1684"/>
      <c r="W832" s="1684"/>
      <c r="X832" s="1684"/>
      <c r="Y832" s="1684"/>
      <c r="Z832" s="1684"/>
      <c r="AA832" s="1684"/>
      <c r="AB832" s="1684"/>
      <c r="AC832" s="1684"/>
      <c r="AD832" s="1684"/>
      <c r="AE832" s="1684"/>
      <c r="AF832" s="1684"/>
      <c r="AG832" s="1684"/>
      <c r="AH832" s="1684"/>
      <c r="AI832" s="1684"/>
      <c r="AJ832" s="1684"/>
      <c r="AK832" s="1684"/>
      <c r="AL832" s="1684"/>
      <c r="AM832" s="1684"/>
      <c r="AN832" s="1684"/>
      <c r="AO832" s="1684"/>
      <c r="AP832" s="1684"/>
      <c r="AQ832" s="1684"/>
      <c r="AR832" s="1684"/>
      <c r="AS832" s="1684"/>
      <c r="AT832" s="1684"/>
      <c r="AU832" s="1684"/>
      <c r="AV832" s="1684"/>
      <c r="AW832" s="1684"/>
      <c r="AX832" s="1684"/>
      <c r="AY832" s="1684"/>
      <c r="AZ832" s="1684"/>
      <c r="BA832" s="1684"/>
      <c r="BB832" s="1684"/>
      <c r="BC832" s="1684"/>
      <c r="BD832" s="1684"/>
      <c r="BE832" s="1684"/>
      <c r="BF832" s="1684"/>
      <c r="BG832" s="1684"/>
      <c r="BH832" s="1684"/>
      <c r="BI832" s="1684"/>
      <c r="BJ832" s="1684"/>
      <c r="BK832" s="1684"/>
      <c r="BL832" s="1684"/>
      <c r="BM832" s="1684"/>
      <c r="BN832" s="1684"/>
      <c r="BO832" s="1684"/>
      <c r="BP832" s="1684"/>
      <c r="BQ832" s="1684"/>
      <c r="BR832" s="1684"/>
      <c r="BS832" s="1684"/>
      <c r="BT832" s="1684"/>
      <c r="BU832" s="1684"/>
      <c r="BV832" s="1684"/>
      <c r="BW832" s="1684"/>
      <c r="BX832" s="1684"/>
      <c r="BY832" s="1684"/>
      <c r="BZ832" s="1684"/>
      <c r="CA832" s="1684"/>
      <c r="CB832" s="1684"/>
      <c r="CC832" s="1684"/>
      <c r="CD832" s="1684"/>
      <c r="CE832" s="1684"/>
      <c r="CF832" s="1684"/>
      <c r="CG832" s="1684"/>
      <c r="CH832" s="1684"/>
      <c r="CI832" s="1684"/>
      <c r="CJ832" s="1684"/>
      <c r="CK832" s="1684"/>
      <c r="CL832" s="1684"/>
      <c r="CM832" s="1684"/>
      <c r="CN832" s="1684"/>
      <c r="CO832" s="1684"/>
    </row>
    <row r="833" spans="1:93" s="1391" customFormat="1" ht="15" x14ac:dyDescent="0.2">
      <c r="A833" s="1684"/>
      <c r="B833" s="1684"/>
      <c r="C833" s="4680"/>
      <c r="D833" s="4681"/>
      <c r="E833" s="4681"/>
      <c r="F833" s="4681"/>
      <c r="G833" s="4681"/>
      <c r="H833" s="4681"/>
      <c r="I833" s="4681"/>
      <c r="J833" s="4681"/>
      <c r="K833" s="4681"/>
      <c r="L833" s="4681"/>
      <c r="M833" s="4681"/>
      <c r="N833" s="4681"/>
      <c r="O833" s="4681"/>
      <c r="P833" s="4681"/>
      <c r="Q833" s="4682"/>
      <c r="R833"/>
      <c r="S833" s="1684"/>
      <c r="T833" s="1684"/>
      <c r="U833" s="1684"/>
      <c r="V833" s="1684"/>
      <c r="W833" s="1684"/>
      <c r="X833" s="1684"/>
      <c r="Y833" s="1684"/>
      <c r="Z833" s="1684"/>
      <c r="AA833" s="1684"/>
      <c r="AB833" s="1684"/>
      <c r="AC833" s="1684"/>
      <c r="AD833" s="1684"/>
      <c r="AE833" s="1684"/>
      <c r="AF833" s="1684"/>
      <c r="AG833" s="1684"/>
      <c r="AH833" s="1684"/>
      <c r="AI833" s="1684"/>
      <c r="AJ833" s="1684"/>
      <c r="AK833" s="1684"/>
      <c r="AL833" s="1684"/>
      <c r="AM833" s="1684"/>
      <c r="AN833" s="1684"/>
      <c r="AO833" s="1684"/>
      <c r="AP833" s="1684"/>
      <c r="AQ833" s="1684"/>
      <c r="AR833" s="1684"/>
      <c r="AS833" s="1684"/>
      <c r="AT833" s="1684"/>
      <c r="AU833" s="1684"/>
      <c r="AV833" s="1684"/>
      <c r="AW833" s="1684"/>
      <c r="AX833" s="1684"/>
      <c r="AY833" s="1684"/>
      <c r="AZ833" s="1684"/>
      <c r="BA833" s="1684"/>
      <c r="BB833" s="1684"/>
      <c r="BC833" s="1684"/>
      <c r="BD833" s="1684"/>
      <c r="BE833" s="1684"/>
      <c r="BF833" s="1684"/>
      <c r="BG833" s="1684"/>
      <c r="BH833" s="1684"/>
      <c r="BI833" s="1684"/>
      <c r="BJ833" s="1684"/>
      <c r="BK833" s="1684"/>
      <c r="BL833" s="1684"/>
      <c r="BM833" s="1684"/>
      <c r="BN833" s="1684"/>
      <c r="BO833" s="1684"/>
      <c r="BP833" s="1684"/>
      <c r="BQ833" s="1684"/>
      <c r="BR833" s="1684"/>
      <c r="BS833" s="1684"/>
      <c r="BT833" s="1684"/>
      <c r="BU833" s="1684"/>
      <c r="BV833" s="1684"/>
      <c r="BW833" s="1684"/>
      <c r="BX833" s="1684"/>
      <c r="BY833" s="1684"/>
      <c r="BZ833" s="1684"/>
      <c r="CA833" s="1684"/>
      <c r="CB833" s="1684"/>
      <c r="CC833" s="1684"/>
      <c r="CD833" s="1684"/>
      <c r="CE833" s="1684"/>
      <c r="CF833" s="1684"/>
      <c r="CG833" s="1684"/>
      <c r="CH833" s="1684"/>
      <c r="CI833" s="1684"/>
      <c r="CJ833" s="1684"/>
      <c r="CK833" s="1684"/>
      <c r="CL833" s="1684"/>
      <c r="CM833" s="1684"/>
      <c r="CN833" s="1684"/>
      <c r="CO833" s="1684"/>
    </row>
    <row r="834" spans="1:93" s="1391" customFormat="1" ht="15" x14ac:dyDescent="0.2">
      <c r="A834" s="1684"/>
      <c r="B834" s="1684"/>
      <c r="C834" s="2014"/>
      <c r="D834" s="2015"/>
      <c r="E834" s="2015">
        <v>1</v>
      </c>
      <c r="F834" s="2015">
        <v>2</v>
      </c>
      <c r="G834" s="2015">
        <v>3</v>
      </c>
      <c r="H834" s="2015">
        <v>4</v>
      </c>
      <c r="I834" s="2015">
        <v>5</v>
      </c>
      <c r="J834" s="2015">
        <v>6</v>
      </c>
      <c r="K834" s="2015">
        <v>7</v>
      </c>
      <c r="L834" s="2015">
        <v>8</v>
      </c>
      <c r="M834" s="2015">
        <v>9</v>
      </c>
      <c r="N834" s="2015">
        <v>10</v>
      </c>
      <c r="O834" s="2015">
        <v>11</v>
      </c>
      <c r="P834" s="2015">
        <v>12</v>
      </c>
      <c r="Q834" s="2016"/>
      <c r="R834"/>
      <c r="S834" s="1684"/>
      <c r="T834" s="1684"/>
      <c r="U834" s="1684"/>
      <c r="V834" s="1684"/>
      <c r="W834" s="1684"/>
      <c r="X834" s="1684"/>
      <c r="Y834" s="1684"/>
      <c r="Z834" s="1684"/>
      <c r="AA834" s="1684"/>
      <c r="AB834" s="1684"/>
      <c r="AC834" s="1684"/>
      <c r="AD834" s="1684"/>
      <c r="AE834" s="1684"/>
      <c r="AF834" s="1684"/>
      <c r="AG834" s="1684"/>
      <c r="AH834" s="1684"/>
      <c r="AI834" s="1684"/>
      <c r="AJ834" s="1684"/>
      <c r="AK834" s="1684"/>
      <c r="AL834" s="1684"/>
      <c r="AM834" s="1684"/>
      <c r="AN834" s="1684"/>
      <c r="AO834" s="1684"/>
      <c r="AP834" s="1684"/>
      <c r="AQ834" s="1684"/>
      <c r="AR834" s="1684"/>
      <c r="AS834" s="1684"/>
      <c r="AT834" s="1684"/>
      <c r="AU834" s="1684"/>
      <c r="AV834" s="1684"/>
      <c r="AW834" s="1684"/>
      <c r="AX834" s="1684"/>
      <c r="AY834" s="1684"/>
      <c r="AZ834" s="1684"/>
      <c r="BA834" s="1684"/>
      <c r="BB834" s="1684"/>
      <c r="BC834" s="1684"/>
      <c r="BD834" s="1684"/>
      <c r="BE834" s="1684"/>
      <c r="BF834" s="1684"/>
      <c r="BG834" s="1684"/>
      <c r="BH834" s="1684"/>
      <c r="BI834" s="1684"/>
      <c r="BJ834" s="1684"/>
      <c r="BK834" s="1684"/>
      <c r="BL834" s="1684"/>
      <c r="BM834" s="1684"/>
      <c r="BN834" s="1684"/>
      <c r="BO834" s="1684"/>
      <c r="BP834" s="1684"/>
      <c r="BQ834" s="1684"/>
      <c r="BR834" s="1684"/>
      <c r="BS834" s="1684"/>
      <c r="BT834" s="1684"/>
      <c r="BU834" s="1684"/>
      <c r="BV834" s="1684"/>
      <c r="BW834" s="1684"/>
      <c r="BX834" s="1684"/>
      <c r="BY834" s="1684"/>
      <c r="BZ834" s="1684"/>
      <c r="CA834" s="1684"/>
      <c r="CB834" s="1684"/>
      <c r="CC834" s="1684"/>
      <c r="CD834" s="1684"/>
      <c r="CE834" s="1684"/>
      <c r="CF834" s="1684"/>
      <c r="CG834" s="1684"/>
      <c r="CH834" s="1684"/>
      <c r="CI834" s="1684"/>
      <c r="CJ834" s="1684"/>
      <c r="CK834" s="1684"/>
      <c r="CL834" s="1684"/>
      <c r="CM834" s="1684"/>
      <c r="CN834" s="1684"/>
      <c r="CO834" s="1684"/>
    </row>
    <row r="835" spans="1:93" s="1391" customFormat="1" ht="15" x14ac:dyDescent="0.2">
      <c r="A835" s="1684"/>
      <c r="B835" s="1684"/>
      <c r="C835" s="2013">
        <v>8</v>
      </c>
      <c r="D835" s="5">
        <v>5.5549999999999997</v>
      </c>
      <c r="E835" s="5">
        <v>147</v>
      </c>
      <c r="F835" s="5">
        <v>163</v>
      </c>
      <c r="G835" s="5">
        <v>178</v>
      </c>
      <c r="H835" s="5">
        <v>194</v>
      </c>
      <c r="I835" s="5">
        <v>209</v>
      </c>
      <c r="J835" s="5">
        <v>225</v>
      </c>
      <c r="K835" s="5">
        <v>240</v>
      </c>
      <c r="L835" s="5">
        <v>256</v>
      </c>
      <c r="M835" s="5">
        <v>271</v>
      </c>
      <c r="N835" s="5">
        <v>286</v>
      </c>
      <c r="O835" s="5">
        <v>302</v>
      </c>
      <c r="P835" s="5">
        <v>317</v>
      </c>
      <c r="Q835" s="1160">
        <v>23</v>
      </c>
      <c r="R835"/>
      <c r="S835" s="1684"/>
      <c r="T835" s="1684"/>
      <c r="U835" s="1684"/>
      <c r="V835" s="1684"/>
      <c r="W835" s="1684"/>
      <c r="X835" s="1684"/>
      <c r="Y835" s="1684"/>
      <c r="Z835" s="1684"/>
      <c r="AA835" s="1684"/>
      <c r="AB835" s="1684"/>
      <c r="AC835" s="1684"/>
      <c r="AD835" s="1684"/>
      <c r="AE835" s="1684"/>
      <c r="AF835" s="1684"/>
      <c r="AG835" s="1684"/>
      <c r="AH835" s="1684"/>
      <c r="AI835" s="1684"/>
      <c r="AJ835" s="1684"/>
      <c r="AK835" s="1684"/>
      <c r="AL835" s="1684"/>
      <c r="AM835" s="1684"/>
      <c r="AN835" s="1684"/>
      <c r="AO835" s="1684"/>
      <c r="AP835" s="1684"/>
      <c r="AQ835" s="1684"/>
      <c r="AR835" s="1684"/>
      <c r="AS835" s="1684"/>
      <c r="AT835" s="1684"/>
      <c r="AU835" s="1684"/>
      <c r="AV835" s="1684"/>
      <c r="AW835" s="1684"/>
      <c r="AX835" s="1684"/>
      <c r="AY835" s="1684"/>
      <c r="AZ835" s="1684"/>
      <c r="BA835" s="1684"/>
      <c r="BB835" s="1684"/>
      <c r="BC835" s="1684"/>
      <c r="BD835" s="1684"/>
      <c r="BE835" s="1684"/>
      <c r="BF835" s="1684"/>
      <c r="BG835" s="1684"/>
      <c r="BH835" s="1684"/>
      <c r="BI835" s="1684"/>
      <c r="BJ835" s="1684"/>
      <c r="BK835" s="1684"/>
      <c r="BL835" s="1684"/>
      <c r="BM835" s="1684"/>
      <c r="BN835" s="1684"/>
      <c r="BO835" s="1684"/>
      <c r="BP835" s="1684"/>
      <c r="BQ835" s="1684"/>
      <c r="BR835" s="1684"/>
      <c r="BS835" s="1684"/>
      <c r="BT835" s="1684"/>
      <c r="BU835" s="1684"/>
      <c r="BV835" s="1684"/>
      <c r="BW835" s="1684"/>
      <c r="BX835" s="1684"/>
      <c r="BY835" s="1684"/>
      <c r="BZ835" s="1684"/>
      <c r="CA835" s="1684"/>
      <c r="CB835" s="1684"/>
      <c r="CC835" s="1684"/>
      <c r="CD835" s="1684"/>
      <c r="CE835" s="1684"/>
      <c r="CF835" s="1684"/>
      <c r="CG835" s="1684"/>
      <c r="CH835" s="1684"/>
      <c r="CI835" s="1684"/>
      <c r="CJ835" s="1684"/>
      <c r="CK835" s="1684"/>
      <c r="CL835" s="1684"/>
      <c r="CM835" s="1684"/>
      <c r="CN835" s="1684"/>
      <c r="CO835" s="1684"/>
    </row>
    <row r="836" spans="1:93" s="1391" customFormat="1" ht="15" x14ac:dyDescent="0.2">
      <c r="A836" s="1684"/>
      <c r="B836" s="1684"/>
      <c r="C836" s="2013">
        <v>9</v>
      </c>
      <c r="D836" s="5">
        <v>5.98</v>
      </c>
      <c r="E836" s="5">
        <v>161</v>
      </c>
      <c r="F836" s="5">
        <v>179</v>
      </c>
      <c r="G836" s="5">
        <v>196</v>
      </c>
      <c r="H836" s="5">
        <v>212</v>
      </c>
      <c r="I836" s="5">
        <v>229</v>
      </c>
      <c r="J836" s="5">
        <v>246</v>
      </c>
      <c r="K836" s="5">
        <v>263</v>
      </c>
      <c r="L836" s="5">
        <v>281</v>
      </c>
      <c r="M836" s="5">
        <v>297</v>
      </c>
      <c r="N836" s="5">
        <v>314</v>
      </c>
      <c r="O836" s="5">
        <v>331</v>
      </c>
      <c r="P836" s="5">
        <v>348</v>
      </c>
      <c r="Q836" s="1160">
        <v>24</v>
      </c>
      <c r="R836"/>
      <c r="S836" s="1684"/>
      <c r="T836" s="1684"/>
      <c r="U836" s="1684"/>
      <c r="V836" s="1684"/>
      <c r="W836" s="1684"/>
      <c r="X836" s="1684"/>
      <c r="Y836" s="1684"/>
      <c r="Z836" s="1684"/>
      <c r="AA836" s="1684"/>
      <c r="AB836" s="1684"/>
      <c r="AC836" s="1684"/>
      <c r="AD836" s="1684"/>
      <c r="AE836" s="1684"/>
      <c r="AF836" s="1684"/>
      <c r="AG836" s="1684"/>
      <c r="AH836" s="1684"/>
      <c r="AI836" s="1684"/>
      <c r="AJ836" s="1684"/>
      <c r="AK836" s="1684"/>
      <c r="AL836" s="1684"/>
      <c r="AM836" s="1684"/>
      <c r="AN836" s="1684"/>
      <c r="AO836" s="1684"/>
      <c r="AP836" s="1684"/>
      <c r="AQ836" s="1684"/>
      <c r="AR836" s="1684"/>
      <c r="AS836" s="1684"/>
      <c r="AT836" s="1684"/>
      <c r="AU836" s="1684"/>
      <c r="AV836" s="1684"/>
      <c r="AW836" s="1684"/>
      <c r="AX836" s="1684"/>
      <c r="AY836" s="1684"/>
      <c r="AZ836" s="1684"/>
      <c r="BA836" s="1684"/>
      <c r="BB836" s="1684"/>
      <c r="BC836" s="1684"/>
      <c r="BD836" s="1684"/>
      <c r="BE836" s="1684"/>
      <c r="BF836" s="1684"/>
      <c r="BG836" s="1684"/>
      <c r="BH836" s="1684"/>
      <c r="BI836" s="1684"/>
      <c r="BJ836" s="1684"/>
      <c r="BK836" s="1684"/>
      <c r="BL836" s="1684"/>
      <c r="BM836" s="1684"/>
      <c r="BN836" s="1684"/>
      <c r="BO836" s="1684"/>
      <c r="BP836" s="1684"/>
      <c r="BQ836" s="1684"/>
      <c r="BR836" s="1684"/>
      <c r="BS836" s="1684"/>
      <c r="BT836" s="1684"/>
      <c r="BU836" s="1684"/>
      <c r="BV836" s="1684"/>
      <c r="BW836" s="1684"/>
      <c r="BX836" s="1684"/>
      <c r="BY836" s="1684"/>
      <c r="BZ836" s="1684"/>
      <c r="CA836" s="1684"/>
      <c r="CB836" s="1684"/>
      <c r="CC836" s="1684"/>
      <c r="CD836" s="1684"/>
      <c r="CE836" s="1684"/>
      <c r="CF836" s="1684"/>
      <c r="CG836" s="1684"/>
      <c r="CH836" s="1684"/>
      <c r="CI836" s="1684"/>
      <c r="CJ836" s="1684"/>
      <c r="CK836" s="1684"/>
      <c r="CL836" s="1684"/>
      <c r="CM836" s="1684"/>
      <c r="CN836" s="1684"/>
      <c r="CO836" s="1684"/>
    </row>
    <row r="837" spans="1:93" s="1391" customFormat="1" ht="15" x14ac:dyDescent="0.2">
      <c r="A837" s="1684"/>
      <c r="B837" s="1684"/>
      <c r="C837" s="2013">
        <v>10</v>
      </c>
      <c r="D837" s="5">
        <v>6.2160000000000002</v>
      </c>
      <c r="E837" s="5">
        <v>175</v>
      </c>
      <c r="F837" s="5">
        <v>195</v>
      </c>
      <c r="G837" s="5">
        <v>213</v>
      </c>
      <c r="H837" s="5">
        <v>232</v>
      </c>
      <c r="I837" s="5">
        <v>250</v>
      </c>
      <c r="J837" s="5">
        <v>269</v>
      </c>
      <c r="K837" s="5">
        <v>287</v>
      </c>
      <c r="L837" s="5">
        <v>307</v>
      </c>
      <c r="M837" s="5">
        <v>324</v>
      </c>
      <c r="N837" s="5">
        <v>343</v>
      </c>
      <c r="O837" s="5">
        <v>361</v>
      </c>
      <c r="P837" s="5">
        <v>380</v>
      </c>
      <c r="Q837" s="1160">
        <v>25</v>
      </c>
      <c r="R837"/>
      <c r="S837" s="1684"/>
      <c r="T837" s="1684"/>
      <c r="U837" s="1684"/>
      <c r="V837" s="1684"/>
      <c r="W837" s="1684"/>
      <c r="X837" s="1684"/>
      <c r="Y837" s="1684"/>
      <c r="Z837" s="1684"/>
      <c r="AA837" s="1684"/>
      <c r="AB837" s="1684"/>
      <c r="AC837" s="1684"/>
      <c r="AD837" s="1684"/>
      <c r="AE837" s="1684"/>
      <c r="AF837" s="1684"/>
      <c r="AG837" s="1684"/>
      <c r="AH837" s="1684"/>
      <c r="AI837" s="1684"/>
      <c r="AJ837" s="1684"/>
      <c r="AK837" s="1684"/>
      <c r="AL837" s="1684"/>
      <c r="AM837" s="1684"/>
      <c r="AN837" s="1684"/>
      <c r="AO837" s="1684"/>
      <c r="AP837" s="1684"/>
      <c r="AQ837" s="1684"/>
      <c r="AR837" s="1684"/>
      <c r="AS837" s="1684"/>
      <c r="AT837" s="1684"/>
      <c r="AU837" s="1684"/>
      <c r="AV837" s="1684"/>
      <c r="AW837" s="1684"/>
      <c r="AX837" s="1684"/>
      <c r="AY837" s="1684"/>
      <c r="AZ837" s="1684"/>
      <c r="BA837" s="1684"/>
      <c r="BB837" s="1684"/>
      <c r="BC837" s="1684"/>
      <c r="BD837" s="1684"/>
      <c r="BE837" s="1684"/>
      <c r="BF837" s="1684"/>
      <c r="BG837" s="1684"/>
      <c r="BH837" s="1684"/>
      <c r="BI837" s="1684"/>
      <c r="BJ837" s="1684"/>
      <c r="BK837" s="1684"/>
      <c r="BL837" s="1684"/>
      <c r="BM837" s="1684"/>
      <c r="BN837" s="1684"/>
      <c r="BO837" s="1684"/>
      <c r="BP837" s="1684"/>
      <c r="BQ837" s="1684"/>
      <c r="BR837" s="1684"/>
      <c r="BS837" s="1684"/>
      <c r="BT837" s="1684"/>
      <c r="BU837" s="1684"/>
      <c r="BV837" s="1684"/>
      <c r="BW837" s="1684"/>
      <c r="BX837" s="1684"/>
      <c r="BY837" s="1684"/>
      <c r="BZ837" s="1684"/>
      <c r="CA837" s="1684"/>
      <c r="CB837" s="1684"/>
      <c r="CC837" s="1684"/>
      <c r="CD837" s="1684"/>
      <c r="CE837" s="1684"/>
      <c r="CF837" s="1684"/>
      <c r="CG837" s="1684"/>
      <c r="CH837" s="1684"/>
      <c r="CI837" s="1684"/>
      <c r="CJ837" s="1684"/>
      <c r="CK837" s="1684"/>
      <c r="CL837" s="1684"/>
      <c r="CM837" s="1684"/>
      <c r="CN837" s="1684"/>
      <c r="CO837" s="1684"/>
    </row>
    <row r="838" spans="1:93" s="1391" customFormat="1" ht="15" x14ac:dyDescent="0.2">
      <c r="A838" s="1684"/>
      <c r="B838" s="1684"/>
      <c r="C838" s="2013">
        <v>11</v>
      </c>
      <c r="D838" s="5">
        <v>6.5880000000000001</v>
      </c>
      <c r="E838" s="5">
        <v>192</v>
      </c>
      <c r="F838" s="5">
        <v>213</v>
      </c>
      <c r="G838" s="5">
        <v>233</v>
      </c>
      <c r="H838" s="5">
        <v>253</v>
      </c>
      <c r="I838" s="5">
        <v>273</v>
      </c>
      <c r="J838" s="5">
        <v>293</v>
      </c>
      <c r="K838" s="5">
        <v>314</v>
      </c>
      <c r="L838" s="5">
        <v>335</v>
      </c>
      <c r="M838" s="5">
        <v>354</v>
      </c>
      <c r="N838" s="5">
        <v>374</v>
      </c>
      <c r="O838" s="5">
        <v>394</v>
      </c>
      <c r="P838" s="5">
        <v>414</v>
      </c>
      <c r="Q838" s="1160">
        <v>26</v>
      </c>
      <c r="R838"/>
      <c r="S838" s="1684"/>
      <c r="T838" s="1684"/>
      <c r="U838" s="1684"/>
      <c r="V838" s="1684"/>
      <c r="W838" s="1684"/>
      <c r="X838" s="1684"/>
      <c r="Y838" s="1684"/>
      <c r="Z838" s="1684"/>
      <c r="AA838" s="1684"/>
      <c r="AB838" s="1684"/>
      <c r="AC838" s="1684"/>
      <c r="AD838" s="1684"/>
      <c r="AE838" s="1684"/>
      <c r="AF838" s="1684"/>
      <c r="AG838" s="1684"/>
      <c r="AH838" s="1684"/>
      <c r="AI838" s="1684"/>
      <c r="AJ838" s="1684"/>
      <c r="AK838" s="1684"/>
      <c r="AL838" s="1684"/>
      <c r="AM838" s="1684"/>
      <c r="AN838" s="1684"/>
      <c r="AO838" s="1684"/>
      <c r="AP838" s="1684"/>
      <c r="AQ838" s="1684"/>
      <c r="AR838" s="1684"/>
      <c r="AS838" s="1684"/>
      <c r="AT838" s="1684"/>
      <c r="AU838" s="1684"/>
      <c r="AV838" s="1684"/>
      <c r="AW838" s="1684"/>
      <c r="AX838" s="1684"/>
      <c r="AY838" s="1684"/>
      <c r="AZ838" s="1684"/>
      <c r="BA838" s="1684"/>
      <c r="BB838" s="1684"/>
      <c r="BC838" s="1684"/>
      <c r="BD838" s="1684"/>
      <c r="BE838" s="1684"/>
      <c r="BF838" s="1684"/>
      <c r="BG838" s="1684"/>
      <c r="BH838" s="1684"/>
      <c r="BI838" s="1684"/>
      <c r="BJ838" s="1684"/>
      <c r="BK838" s="1684"/>
      <c r="BL838" s="1684"/>
      <c r="BM838" s="1684"/>
      <c r="BN838" s="1684"/>
      <c r="BO838" s="1684"/>
      <c r="BP838" s="1684"/>
      <c r="BQ838" s="1684"/>
      <c r="BR838" s="1684"/>
      <c r="BS838" s="1684"/>
      <c r="BT838" s="1684"/>
      <c r="BU838" s="1684"/>
      <c r="BV838" s="1684"/>
      <c r="BW838" s="1684"/>
      <c r="BX838" s="1684"/>
      <c r="BY838" s="1684"/>
      <c r="BZ838" s="1684"/>
      <c r="CA838" s="1684"/>
      <c r="CB838" s="1684"/>
      <c r="CC838" s="1684"/>
      <c r="CD838" s="1684"/>
      <c r="CE838" s="1684"/>
      <c r="CF838" s="1684"/>
      <c r="CG838" s="1684"/>
      <c r="CH838" s="1684"/>
      <c r="CI838" s="1684"/>
      <c r="CJ838" s="1684"/>
      <c r="CK838" s="1684"/>
      <c r="CL838" s="1684"/>
      <c r="CM838" s="1684"/>
      <c r="CN838" s="1684"/>
      <c r="CO838" s="1684"/>
    </row>
    <row r="839" spans="1:93" s="1391" customFormat="1" ht="15" x14ac:dyDescent="0.2">
      <c r="A839" s="1684"/>
      <c r="B839" s="1684"/>
      <c r="C839" s="2013">
        <v>12</v>
      </c>
      <c r="D839" s="5">
        <v>6.97</v>
      </c>
      <c r="E839" s="5">
        <v>208</v>
      </c>
      <c r="F839" s="5">
        <v>231</v>
      </c>
      <c r="G839" s="5">
        <v>253</v>
      </c>
      <c r="H839" s="5">
        <v>275</v>
      </c>
      <c r="I839" s="5">
        <v>297</v>
      </c>
      <c r="J839" s="5">
        <v>319</v>
      </c>
      <c r="K839" s="5">
        <v>340</v>
      </c>
      <c r="L839" s="5">
        <v>363</v>
      </c>
      <c r="M839" s="5">
        <v>384</v>
      </c>
      <c r="N839" s="5">
        <v>406</v>
      </c>
      <c r="O839" s="5">
        <v>428</v>
      </c>
      <c r="P839" s="5">
        <v>450</v>
      </c>
      <c r="Q839" s="1160">
        <v>27</v>
      </c>
      <c r="R839"/>
      <c r="S839" s="1684"/>
      <c r="T839" s="1684"/>
      <c r="U839" s="1684"/>
      <c r="V839" s="1684"/>
      <c r="W839" s="1684"/>
      <c r="X839" s="1684"/>
      <c r="Y839" s="1684"/>
      <c r="Z839" s="1684"/>
      <c r="AA839" s="1684"/>
      <c r="AB839" s="1684"/>
      <c r="AC839" s="1684"/>
      <c r="AD839" s="1684"/>
      <c r="AE839" s="1684"/>
      <c r="AF839" s="1684"/>
      <c r="AG839" s="1684"/>
      <c r="AH839" s="1684"/>
      <c r="AI839" s="1684"/>
      <c r="AJ839" s="1684"/>
      <c r="AK839" s="1684"/>
      <c r="AL839" s="1684"/>
      <c r="AM839" s="1684"/>
      <c r="AN839" s="1684"/>
      <c r="AO839" s="1684"/>
      <c r="AP839" s="1684"/>
      <c r="AQ839" s="1684"/>
      <c r="AR839" s="1684"/>
      <c r="AS839" s="1684"/>
      <c r="AT839" s="1684"/>
      <c r="AU839" s="1684"/>
      <c r="AV839" s="1684"/>
      <c r="AW839" s="1684"/>
      <c r="AX839" s="1684"/>
      <c r="AY839" s="1684"/>
      <c r="AZ839" s="1684"/>
      <c r="BA839" s="1684"/>
      <c r="BB839" s="1684"/>
      <c r="BC839" s="1684"/>
      <c r="BD839" s="1684"/>
      <c r="BE839" s="1684"/>
      <c r="BF839" s="1684"/>
      <c r="BG839" s="1684"/>
      <c r="BH839" s="1684"/>
      <c r="BI839" s="1684"/>
      <c r="BJ839" s="1684"/>
      <c r="BK839" s="1684"/>
      <c r="BL839" s="1684"/>
      <c r="BM839" s="1684"/>
      <c r="BN839" s="1684"/>
      <c r="BO839" s="1684"/>
      <c r="BP839" s="1684"/>
      <c r="BQ839" s="1684"/>
      <c r="BR839" s="1684"/>
      <c r="BS839" s="1684"/>
      <c r="BT839" s="1684"/>
      <c r="BU839" s="1684"/>
      <c r="BV839" s="1684"/>
      <c r="BW839" s="1684"/>
      <c r="BX839" s="1684"/>
      <c r="BY839" s="1684"/>
      <c r="BZ839" s="1684"/>
      <c r="CA839" s="1684"/>
      <c r="CB839" s="1684"/>
      <c r="CC839" s="1684"/>
      <c r="CD839" s="1684"/>
      <c r="CE839" s="1684"/>
      <c r="CF839" s="1684"/>
      <c r="CG839" s="1684"/>
      <c r="CH839" s="1684"/>
      <c r="CI839" s="1684"/>
      <c r="CJ839" s="1684"/>
      <c r="CK839" s="1684"/>
      <c r="CL839" s="1684"/>
      <c r="CM839" s="1684"/>
      <c r="CN839" s="1684"/>
      <c r="CO839" s="1684"/>
    </row>
    <row r="840" spans="1:93" s="1391" customFormat="1" ht="15" x14ac:dyDescent="0.2">
      <c r="A840" s="1684"/>
      <c r="B840" s="1684"/>
      <c r="C840" s="2013">
        <v>13</v>
      </c>
      <c r="D840" s="5">
        <v>7.3529999999999998</v>
      </c>
      <c r="E840" s="5">
        <v>224</v>
      </c>
      <c r="F840" s="5">
        <v>247</v>
      </c>
      <c r="G840" s="5">
        <v>273</v>
      </c>
      <c r="H840" s="5">
        <v>297</v>
      </c>
      <c r="I840" s="5">
        <v>320</v>
      </c>
      <c r="J840" s="5">
        <v>344</v>
      </c>
      <c r="K840" s="5">
        <v>367</v>
      </c>
      <c r="L840" s="5">
        <v>392</v>
      </c>
      <c r="M840" s="5">
        <v>415</v>
      </c>
      <c r="N840" s="5">
        <v>438</v>
      </c>
      <c r="O840" s="5">
        <v>462</v>
      </c>
      <c r="P840" s="5">
        <v>486</v>
      </c>
      <c r="Q840" s="1160">
        <v>28</v>
      </c>
      <c r="R840"/>
      <c r="S840" s="1684"/>
      <c r="T840" s="1684"/>
      <c r="U840" s="1684"/>
      <c r="V840" s="1684"/>
      <c r="W840" s="1684"/>
      <c r="X840" s="1684"/>
      <c r="Y840" s="1684"/>
      <c r="Z840" s="1684"/>
      <c r="AA840" s="1684"/>
      <c r="AB840" s="1684"/>
      <c r="AC840" s="1684"/>
      <c r="AD840" s="1684"/>
      <c r="AE840" s="1684"/>
      <c r="AF840" s="1684"/>
      <c r="AG840" s="1684"/>
      <c r="AH840" s="1684"/>
      <c r="AI840" s="1684"/>
      <c r="AJ840" s="1684"/>
      <c r="AK840" s="1684"/>
      <c r="AL840" s="1684"/>
      <c r="AM840" s="1684"/>
      <c r="AN840" s="1684"/>
      <c r="AO840" s="1684"/>
      <c r="AP840" s="1684"/>
      <c r="AQ840" s="1684"/>
      <c r="AR840" s="1684"/>
      <c r="AS840" s="1684"/>
      <c r="AT840" s="1684"/>
      <c r="AU840" s="1684"/>
      <c r="AV840" s="1684"/>
      <c r="AW840" s="1684"/>
      <c r="AX840" s="1684"/>
      <c r="AY840" s="1684"/>
      <c r="AZ840" s="1684"/>
      <c r="BA840" s="1684"/>
      <c r="BB840" s="1684"/>
      <c r="BC840" s="1684"/>
      <c r="BD840" s="1684"/>
      <c r="BE840" s="1684"/>
      <c r="BF840" s="1684"/>
      <c r="BG840" s="1684"/>
      <c r="BH840" s="1684"/>
      <c r="BI840" s="1684"/>
      <c r="BJ840" s="1684"/>
      <c r="BK840" s="1684"/>
      <c r="BL840" s="1684"/>
      <c r="BM840" s="1684"/>
      <c r="BN840" s="1684"/>
      <c r="BO840" s="1684"/>
      <c r="BP840" s="1684"/>
      <c r="BQ840" s="1684"/>
      <c r="BR840" s="1684"/>
      <c r="BS840" s="1684"/>
      <c r="BT840" s="1684"/>
      <c r="BU840" s="1684"/>
      <c r="BV840" s="1684"/>
      <c r="BW840" s="1684"/>
      <c r="BX840" s="1684"/>
      <c r="BY840" s="1684"/>
      <c r="BZ840" s="1684"/>
      <c r="CA840" s="1684"/>
      <c r="CB840" s="1684"/>
      <c r="CC840" s="1684"/>
      <c r="CD840" s="1684"/>
      <c r="CE840" s="1684"/>
      <c r="CF840" s="1684"/>
      <c r="CG840" s="1684"/>
      <c r="CH840" s="1684"/>
      <c r="CI840" s="1684"/>
      <c r="CJ840" s="1684"/>
      <c r="CK840" s="1684"/>
      <c r="CL840" s="1684"/>
      <c r="CM840" s="1684"/>
      <c r="CN840" s="1684"/>
      <c r="CO840" s="1684"/>
    </row>
    <row r="841" spans="1:93" s="1391" customFormat="1" ht="15" x14ac:dyDescent="0.2">
      <c r="A841" s="1684"/>
      <c r="B841" s="1684"/>
      <c r="C841" s="2013">
        <v>14</v>
      </c>
      <c r="D841" s="5">
        <v>7.7489999999999997</v>
      </c>
      <c r="E841" s="5">
        <v>241</v>
      </c>
      <c r="F841" s="5">
        <v>268</v>
      </c>
      <c r="G841" s="5">
        <v>294</v>
      </c>
      <c r="H841" s="5">
        <v>319</v>
      </c>
      <c r="I841" s="5">
        <v>344</v>
      </c>
      <c r="J841" s="5">
        <v>370</v>
      </c>
      <c r="K841" s="5">
        <v>395</v>
      </c>
      <c r="L841" s="5">
        <v>422</v>
      </c>
      <c r="M841" s="5">
        <v>446</v>
      </c>
      <c r="N841" s="5">
        <v>472</v>
      </c>
      <c r="O841" s="5">
        <v>497</v>
      </c>
      <c r="P841" s="5">
        <v>522</v>
      </c>
      <c r="Q841" s="1160">
        <v>29</v>
      </c>
      <c r="R841"/>
      <c r="S841" s="1684"/>
      <c r="T841" s="1684"/>
      <c r="U841" s="1684"/>
      <c r="V841" s="1684"/>
      <c r="W841" s="1684"/>
      <c r="X841" s="1684"/>
      <c r="Y841" s="1684"/>
      <c r="Z841" s="1684"/>
      <c r="AA841" s="1684"/>
      <c r="AB841" s="1684"/>
      <c r="AC841" s="1684"/>
      <c r="AD841" s="1684"/>
      <c r="AE841" s="1684"/>
      <c r="AF841" s="1684"/>
      <c r="AG841" s="1684"/>
      <c r="AH841" s="1684"/>
      <c r="AI841" s="1684"/>
      <c r="AJ841" s="1684"/>
      <c r="AK841" s="1684"/>
      <c r="AL841" s="1684"/>
      <c r="AM841" s="1684"/>
      <c r="AN841" s="1684"/>
      <c r="AO841" s="1684"/>
      <c r="AP841" s="1684"/>
      <c r="AQ841" s="1684"/>
      <c r="AR841" s="1684"/>
      <c r="AS841" s="1684"/>
      <c r="AT841" s="1684"/>
      <c r="AU841" s="1684"/>
      <c r="AV841" s="1684"/>
      <c r="AW841" s="1684"/>
      <c r="AX841" s="1684"/>
      <c r="AY841" s="1684"/>
      <c r="AZ841" s="1684"/>
      <c r="BA841" s="1684"/>
      <c r="BB841" s="1684"/>
      <c r="BC841" s="1684"/>
      <c r="BD841" s="1684"/>
      <c r="BE841" s="1684"/>
      <c r="BF841" s="1684"/>
      <c r="BG841" s="1684"/>
      <c r="BH841" s="1684"/>
      <c r="BI841" s="1684"/>
      <c r="BJ841" s="1684"/>
      <c r="BK841" s="1684"/>
      <c r="BL841" s="1684"/>
      <c r="BM841" s="1684"/>
      <c r="BN841" s="1684"/>
      <c r="BO841" s="1684"/>
      <c r="BP841" s="1684"/>
      <c r="BQ841" s="1684"/>
      <c r="BR841" s="1684"/>
      <c r="BS841" s="1684"/>
      <c r="BT841" s="1684"/>
      <c r="BU841" s="1684"/>
      <c r="BV841" s="1684"/>
      <c r="BW841" s="1684"/>
      <c r="BX841" s="1684"/>
      <c r="BY841" s="1684"/>
      <c r="BZ841" s="1684"/>
      <c r="CA841" s="1684"/>
      <c r="CB841" s="1684"/>
      <c r="CC841" s="1684"/>
      <c r="CD841" s="1684"/>
      <c r="CE841" s="1684"/>
      <c r="CF841" s="1684"/>
      <c r="CG841" s="1684"/>
      <c r="CH841" s="1684"/>
      <c r="CI841" s="1684"/>
      <c r="CJ841" s="1684"/>
      <c r="CK841" s="1684"/>
      <c r="CL841" s="1684"/>
      <c r="CM841" s="1684"/>
      <c r="CN841" s="1684"/>
      <c r="CO841" s="1684"/>
    </row>
    <row r="842" spans="1:93" s="1391" customFormat="1" ht="15" x14ac:dyDescent="0.2">
      <c r="A842" s="1684"/>
      <c r="B842" s="1684"/>
      <c r="C842" s="2013">
        <v>15</v>
      </c>
      <c r="D842" s="5">
        <v>8.15</v>
      </c>
      <c r="E842" s="5">
        <v>259</v>
      </c>
      <c r="F842" s="5">
        <v>287</v>
      </c>
      <c r="G842" s="5">
        <v>314</v>
      </c>
      <c r="H842" s="5">
        <v>342</v>
      </c>
      <c r="I842" s="5">
        <v>369</v>
      </c>
      <c r="J842" s="5">
        <v>396</v>
      </c>
      <c r="K842" s="5">
        <v>423</v>
      </c>
      <c r="L842" s="5">
        <v>452</v>
      </c>
      <c r="M842" s="5">
        <v>478</v>
      </c>
      <c r="N842" s="5">
        <v>505</v>
      </c>
      <c r="O842" s="5">
        <v>532</v>
      </c>
      <c r="P842" s="5">
        <v>559</v>
      </c>
      <c r="Q842" s="1160">
        <v>30</v>
      </c>
      <c r="R842"/>
      <c r="S842" s="1684"/>
      <c r="T842" s="1684"/>
      <c r="U842" s="1684"/>
      <c r="V842" s="1684"/>
      <c r="W842" s="1684"/>
      <c r="X842" s="1684"/>
      <c r="Y842" s="1684"/>
      <c r="Z842" s="1684"/>
      <c r="AA842" s="1684"/>
      <c r="AB842" s="1684"/>
      <c r="AC842" s="1684"/>
      <c r="AD842" s="1684"/>
      <c r="AE842" s="1684"/>
      <c r="AF842" s="1684"/>
      <c r="AG842" s="1684"/>
      <c r="AH842" s="1684"/>
      <c r="AI842" s="1684"/>
      <c r="AJ842" s="1684"/>
      <c r="AK842" s="1684"/>
      <c r="AL842" s="1684"/>
      <c r="AM842" s="1684"/>
      <c r="AN842" s="1684"/>
      <c r="AO842" s="1684"/>
      <c r="AP842" s="1684"/>
      <c r="AQ842" s="1684"/>
      <c r="AR842" s="1684"/>
      <c r="AS842" s="1684"/>
      <c r="AT842" s="1684"/>
      <c r="AU842" s="1684"/>
      <c r="AV842" s="1684"/>
      <c r="AW842" s="1684"/>
      <c r="AX842" s="1684"/>
      <c r="AY842" s="1684"/>
      <c r="AZ842" s="1684"/>
      <c r="BA842" s="1684"/>
      <c r="BB842" s="1684"/>
      <c r="BC842" s="1684"/>
      <c r="BD842" s="1684"/>
      <c r="BE842" s="1684"/>
      <c r="BF842" s="1684"/>
      <c r="BG842" s="1684"/>
      <c r="BH842" s="1684"/>
      <c r="BI842" s="1684"/>
      <c r="BJ842" s="1684"/>
      <c r="BK842" s="1684"/>
      <c r="BL842" s="1684"/>
      <c r="BM842" s="1684"/>
      <c r="BN842" s="1684"/>
      <c r="BO842" s="1684"/>
      <c r="BP842" s="1684"/>
      <c r="BQ842" s="1684"/>
      <c r="BR842" s="1684"/>
      <c r="BS842" s="1684"/>
      <c r="BT842" s="1684"/>
      <c r="BU842" s="1684"/>
      <c r="BV842" s="1684"/>
      <c r="BW842" s="1684"/>
      <c r="BX842" s="1684"/>
      <c r="BY842" s="1684"/>
      <c r="BZ842" s="1684"/>
      <c r="CA842" s="1684"/>
      <c r="CB842" s="1684"/>
      <c r="CC842" s="1684"/>
      <c r="CD842" s="1684"/>
      <c r="CE842" s="1684"/>
      <c r="CF842" s="1684"/>
      <c r="CG842" s="1684"/>
      <c r="CH842" s="1684"/>
      <c r="CI842" s="1684"/>
      <c r="CJ842" s="1684"/>
      <c r="CK842" s="1684"/>
      <c r="CL842" s="1684"/>
      <c r="CM842" s="1684"/>
      <c r="CN842" s="1684"/>
      <c r="CO842" s="1684"/>
    </row>
    <row r="843" spans="1:93" s="1391" customFormat="1" ht="15" x14ac:dyDescent="0.2">
      <c r="A843" s="1684"/>
      <c r="B843" s="1684"/>
      <c r="C843" s="2013">
        <v>16</v>
      </c>
      <c r="D843" s="5">
        <v>8.6839999999999993</v>
      </c>
      <c r="E843" s="5">
        <v>275</v>
      </c>
      <c r="F843" s="5">
        <v>305</v>
      </c>
      <c r="G843" s="5">
        <v>334</v>
      </c>
      <c r="H843" s="5">
        <v>363</v>
      </c>
      <c r="I843" s="5">
        <v>392</v>
      </c>
      <c r="J843" s="5">
        <v>421</v>
      </c>
      <c r="K843" s="5">
        <v>450</v>
      </c>
      <c r="L843" s="5">
        <v>481</v>
      </c>
      <c r="M843" s="5">
        <v>508</v>
      </c>
      <c r="N843" s="5">
        <v>537</v>
      </c>
      <c r="O843" s="5">
        <v>566</v>
      </c>
      <c r="P843" s="5">
        <v>595</v>
      </c>
      <c r="Q843" s="1160">
        <v>31</v>
      </c>
      <c r="R843"/>
      <c r="S843" s="1684"/>
      <c r="T843" s="1684"/>
      <c r="U843" s="1684"/>
      <c r="V843" s="1684"/>
      <c r="W843" s="1684"/>
      <c r="X843" s="1684"/>
      <c r="Y843" s="1684"/>
      <c r="Z843" s="1684"/>
      <c r="AA843" s="1684"/>
      <c r="AB843" s="1684"/>
      <c r="AC843" s="1684"/>
      <c r="AD843" s="1684"/>
      <c r="AE843" s="1684"/>
      <c r="AF843" s="1684"/>
      <c r="AG843" s="1684"/>
      <c r="AH843" s="1684"/>
      <c r="AI843" s="1684"/>
      <c r="AJ843" s="1684"/>
      <c r="AK843" s="1684"/>
      <c r="AL843" s="1684"/>
      <c r="AM843" s="1684"/>
      <c r="AN843" s="1684"/>
      <c r="AO843" s="1684"/>
      <c r="AP843" s="1684"/>
      <c r="AQ843" s="1684"/>
      <c r="AR843" s="1684"/>
      <c r="AS843" s="1684"/>
      <c r="AT843" s="1684"/>
      <c r="AU843" s="1684"/>
      <c r="AV843" s="1684"/>
      <c r="AW843" s="1684"/>
      <c r="AX843" s="1684"/>
      <c r="AY843" s="1684"/>
      <c r="AZ843" s="1684"/>
      <c r="BA843" s="1684"/>
      <c r="BB843" s="1684"/>
      <c r="BC843" s="1684"/>
      <c r="BD843" s="1684"/>
      <c r="BE843" s="1684"/>
      <c r="BF843" s="1684"/>
      <c r="BG843" s="1684"/>
      <c r="BH843" s="1684"/>
      <c r="BI843" s="1684"/>
      <c r="BJ843" s="1684"/>
      <c r="BK843" s="1684"/>
      <c r="BL843" s="1684"/>
      <c r="BM843" s="1684"/>
      <c r="BN843" s="1684"/>
      <c r="BO843" s="1684"/>
      <c r="BP843" s="1684"/>
      <c r="BQ843" s="1684"/>
      <c r="BR843" s="1684"/>
      <c r="BS843" s="1684"/>
      <c r="BT843" s="1684"/>
      <c r="BU843" s="1684"/>
      <c r="BV843" s="1684"/>
      <c r="BW843" s="1684"/>
      <c r="BX843" s="1684"/>
      <c r="BY843" s="1684"/>
      <c r="BZ843" s="1684"/>
      <c r="CA843" s="1684"/>
      <c r="CB843" s="1684"/>
      <c r="CC843" s="1684"/>
      <c r="CD843" s="1684"/>
      <c r="CE843" s="1684"/>
      <c r="CF843" s="1684"/>
      <c r="CG843" s="1684"/>
      <c r="CH843" s="1684"/>
      <c r="CI843" s="1684"/>
      <c r="CJ843" s="1684"/>
      <c r="CK843" s="1684"/>
      <c r="CL843" s="1684"/>
      <c r="CM843" s="1684"/>
      <c r="CN843" s="1684"/>
      <c r="CO843" s="1684"/>
    </row>
    <row r="844" spans="1:93" s="1391" customFormat="1" ht="15" x14ac:dyDescent="0.2">
      <c r="A844" s="1684"/>
      <c r="B844" s="1684"/>
      <c r="C844" s="2013">
        <v>17</v>
      </c>
      <c r="D844" s="5">
        <v>9.2520000000000007</v>
      </c>
      <c r="E844" s="5">
        <v>290</v>
      </c>
      <c r="F844" s="5">
        <v>334</v>
      </c>
      <c r="G844" s="5">
        <v>352</v>
      </c>
      <c r="H844" s="5">
        <v>383</v>
      </c>
      <c r="I844" s="5">
        <v>414</v>
      </c>
      <c r="J844" s="5">
        <v>444</v>
      </c>
      <c r="K844" s="5">
        <v>475</v>
      </c>
      <c r="L844" s="5">
        <v>507</v>
      </c>
      <c r="M844" s="5">
        <v>536</v>
      </c>
      <c r="N844" s="5">
        <v>566</v>
      </c>
      <c r="O844" s="5">
        <v>597</v>
      </c>
      <c r="P844" s="5">
        <v>627</v>
      </c>
      <c r="Q844" s="1160">
        <v>32</v>
      </c>
      <c r="R844"/>
      <c r="S844" s="1684"/>
      <c r="T844" s="1684"/>
      <c r="U844" s="1684"/>
      <c r="V844" s="1684"/>
      <c r="W844" s="1684"/>
      <c r="X844" s="1684"/>
      <c r="Y844" s="1684"/>
      <c r="Z844" s="1684"/>
      <c r="AA844" s="1684"/>
      <c r="AB844" s="1684"/>
      <c r="AC844" s="1684"/>
      <c r="AD844" s="1684"/>
      <c r="AE844" s="1684"/>
      <c r="AF844" s="1684"/>
      <c r="AG844" s="1684"/>
      <c r="AH844" s="1684"/>
      <c r="AI844" s="1684"/>
      <c r="AJ844" s="1684"/>
      <c r="AK844" s="1684"/>
      <c r="AL844" s="1684"/>
      <c r="AM844" s="1684"/>
      <c r="AN844" s="1684"/>
      <c r="AO844" s="1684"/>
      <c r="AP844" s="1684"/>
      <c r="AQ844" s="1684"/>
      <c r="AR844" s="1684"/>
      <c r="AS844" s="1684"/>
      <c r="AT844" s="1684"/>
      <c r="AU844" s="1684"/>
      <c r="AV844" s="1684"/>
      <c r="AW844" s="1684"/>
      <c r="AX844" s="1684"/>
      <c r="AY844" s="1684"/>
      <c r="AZ844" s="1684"/>
      <c r="BA844" s="1684"/>
      <c r="BB844" s="1684"/>
      <c r="BC844" s="1684"/>
      <c r="BD844" s="1684"/>
      <c r="BE844" s="1684"/>
      <c r="BF844" s="1684"/>
      <c r="BG844" s="1684"/>
      <c r="BH844" s="1684"/>
      <c r="BI844" s="1684"/>
      <c r="BJ844" s="1684"/>
      <c r="BK844" s="1684"/>
      <c r="BL844" s="1684"/>
      <c r="BM844" s="1684"/>
      <c r="BN844" s="1684"/>
      <c r="BO844" s="1684"/>
      <c r="BP844" s="1684"/>
      <c r="BQ844" s="1684"/>
      <c r="BR844" s="1684"/>
      <c r="BS844" s="1684"/>
      <c r="BT844" s="1684"/>
      <c r="BU844" s="1684"/>
      <c r="BV844" s="1684"/>
      <c r="BW844" s="1684"/>
      <c r="BX844" s="1684"/>
      <c r="BY844" s="1684"/>
      <c r="BZ844" s="1684"/>
      <c r="CA844" s="1684"/>
      <c r="CB844" s="1684"/>
      <c r="CC844" s="1684"/>
      <c r="CD844" s="1684"/>
      <c r="CE844" s="1684"/>
      <c r="CF844" s="1684"/>
      <c r="CG844" s="1684"/>
      <c r="CH844" s="1684"/>
      <c r="CI844" s="1684"/>
      <c r="CJ844" s="1684"/>
      <c r="CK844" s="1684"/>
      <c r="CL844" s="1684"/>
      <c r="CM844" s="1684"/>
      <c r="CN844" s="1684"/>
      <c r="CO844" s="1684"/>
    </row>
    <row r="845" spans="1:93" s="1391" customFormat="1" ht="15" x14ac:dyDescent="0.2">
      <c r="A845" s="1684"/>
      <c r="B845" s="1684"/>
      <c r="C845" s="2013">
        <v>18</v>
      </c>
      <c r="D845" s="5">
        <v>9.577</v>
      </c>
      <c r="E845" s="5">
        <v>300</v>
      </c>
      <c r="F845" s="5">
        <v>337</v>
      </c>
      <c r="G845" s="5">
        <v>369</v>
      </c>
      <c r="H845" s="5">
        <v>401</v>
      </c>
      <c r="I845" s="5">
        <v>433</v>
      </c>
      <c r="J845" s="5">
        <v>465</v>
      </c>
      <c r="K845" s="5">
        <v>496</v>
      </c>
      <c r="L845" s="5">
        <v>530</v>
      </c>
      <c r="M845" s="5">
        <v>560</v>
      </c>
      <c r="N845" s="5">
        <v>592</v>
      </c>
      <c r="O845" s="5">
        <v>624</v>
      </c>
      <c r="P845" s="5">
        <v>656</v>
      </c>
      <c r="Q845" s="1160">
        <v>33</v>
      </c>
      <c r="R845"/>
      <c r="S845" s="1684"/>
      <c r="T845" s="1684"/>
      <c r="U845" s="1684"/>
      <c r="V845" s="1684"/>
      <c r="W845" s="1684"/>
      <c r="X845" s="1684"/>
      <c r="Y845" s="1684"/>
      <c r="Z845" s="1684"/>
      <c r="AA845" s="1684"/>
      <c r="AB845" s="1684"/>
      <c r="AC845" s="1684"/>
      <c r="AD845" s="1684"/>
      <c r="AE845" s="1684"/>
      <c r="AF845" s="1684"/>
      <c r="AG845" s="1684"/>
      <c r="AH845" s="1684"/>
      <c r="AI845" s="1684"/>
      <c r="AJ845" s="1684"/>
      <c r="AK845" s="1684"/>
      <c r="AL845" s="1684"/>
      <c r="AM845" s="1684"/>
      <c r="AN845" s="1684"/>
      <c r="AO845" s="1684"/>
      <c r="AP845" s="1684"/>
      <c r="AQ845" s="1684"/>
      <c r="AR845" s="1684"/>
      <c r="AS845" s="1684"/>
      <c r="AT845" s="1684"/>
      <c r="AU845" s="1684"/>
      <c r="AV845" s="1684"/>
      <c r="AW845" s="1684"/>
      <c r="AX845" s="1684"/>
      <c r="AY845" s="1684"/>
      <c r="AZ845" s="1684"/>
      <c r="BA845" s="1684"/>
      <c r="BB845" s="1684"/>
      <c r="BC845" s="1684"/>
      <c r="BD845" s="1684"/>
      <c r="BE845" s="1684"/>
      <c r="BF845" s="1684"/>
      <c r="BG845" s="1684"/>
      <c r="BH845" s="1684"/>
      <c r="BI845" s="1684"/>
      <c r="BJ845" s="1684"/>
      <c r="BK845" s="1684"/>
      <c r="BL845" s="1684"/>
      <c r="BM845" s="1684"/>
      <c r="BN845" s="1684"/>
      <c r="BO845" s="1684"/>
      <c r="BP845" s="1684"/>
      <c r="BQ845" s="1684"/>
      <c r="BR845" s="1684"/>
      <c r="BS845" s="1684"/>
      <c r="BT845" s="1684"/>
      <c r="BU845" s="1684"/>
      <c r="BV845" s="1684"/>
      <c r="BW845" s="1684"/>
      <c r="BX845" s="1684"/>
      <c r="BY845" s="1684"/>
      <c r="BZ845" s="1684"/>
      <c r="CA845" s="1684"/>
      <c r="CB845" s="1684"/>
      <c r="CC845" s="1684"/>
      <c r="CD845" s="1684"/>
      <c r="CE845" s="1684"/>
      <c r="CF845" s="1684"/>
      <c r="CG845" s="1684"/>
      <c r="CH845" s="1684"/>
      <c r="CI845" s="1684"/>
      <c r="CJ845" s="1684"/>
      <c r="CK845" s="1684"/>
      <c r="CL845" s="1684"/>
      <c r="CM845" s="1684"/>
      <c r="CN845" s="1684"/>
      <c r="CO845" s="1684"/>
    </row>
    <row r="846" spans="1:93" s="1391" customFormat="1" ht="15" x14ac:dyDescent="0.2">
      <c r="A846" s="1684"/>
      <c r="B846" s="1684"/>
      <c r="C846" s="4680" t="s">
        <v>3693</v>
      </c>
      <c r="D846" s="4681"/>
      <c r="E846" s="4681"/>
      <c r="F846" s="4681"/>
      <c r="G846" s="4681"/>
      <c r="H846" s="4681"/>
      <c r="I846" s="4681"/>
      <c r="J846" s="4681"/>
      <c r="K846" s="4681"/>
      <c r="L846" s="4681"/>
      <c r="M846" s="4681"/>
      <c r="N846" s="4681"/>
      <c r="O846" s="4681"/>
      <c r="P846" s="4681"/>
      <c r="Q846" s="4682"/>
      <c r="R846"/>
      <c r="S846" s="1684"/>
      <c r="T846" s="1684"/>
      <c r="U846" s="1684"/>
      <c r="V846" s="1684"/>
      <c r="W846" s="1684"/>
      <c r="X846" s="1684"/>
      <c r="Y846" s="1684"/>
      <c r="Z846" s="1684"/>
      <c r="AA846" s="1684"/>
      <c r="AB846" s="1684"/>
      <c r="AC846" s="1684"/>
      <c r="AD846" s="1684"/>
      <c r="AE846" s="1684"/>
      <c r="AF846" s="1684"/>
      <c r="AG846" s="1684"/>
      <c r="AH846" s="1684"/>
      <c r="AI846" s="1684"/>
      <c r="AJ846" s="1684"/>
      <c r="AK846" s="1684"/>
      <c r="AL846" s="1684"/>
      <c r="AM846" s="1684"/>
      <c r="AN846" s="1684"/>
      <c r="AO846" s="1684"/>
      <c r="AP846" s="1684"/>
      <c r="AQ846" s="1684"/>
      <c r="AR846" s="1684"/>
      <c r="AS846" s="1684"/>
      <c r="AT846" s="1684"/>
      <c r="AU846" s="1684"/>
      <c r="AV846" s="1684"/>
      <c r="AW846" s="1684"/>
      <c r="AX846" s="1684"/>
      <c r="AY846" s="1684"/>
      <c r="AZ846" s="1684"/>
      <c r="BA846" s="1684"/>
      <c r="BB846" s="1684"/>
      <c r="BC846" s="1684"/>
      <c r="BD846" s="1684"/>
      <c r="BE846" s="1684"/>
      <c r="BF846" s="1684"/>
      <c r="BG846" s="1684"/>
      <c r="BH846" s="1684"/>
      <c r="BI846" s="1684"/>
      <c r="BJ846" s="1684"/>
      <c r="BK846" s="1684"/>
      <c r="BL846" s="1684"/>
      <c r="BM846" s="1684"/>
      <c r="BN846" s="1684"/>
      <c r="BO846" s="1684"/>
      <c r="BP846" s="1684"/>
      <c r="BQ846" s="1684"/>
      <c r="BR846" s="1684"/>
      <c r="BS846" s="1684"/>
      <c r="BT846" s="1684"/>
      <c r="BU846" s="1684"/>
      <c r="BV846" s="1684"/>
      <c r="BW846" s="1684"/>
      <c r="BX846" s="1684"/>
      <c r="BY846" s="1684"/>
      <c r="BZ846" s="1684"/>
      <c r="CA846" s="1684"/>
      <c r="CB846" s="1684"/>
      <c r="CC846" s="1684"/>
      <c r="CD846" s="1684"/>
      <c r="CE846" s="1684"/>
      <c r="CF846" s="1684"/>
      <c r="CG846" s="1684"/>
      <c r="CH846" s="1684"/>
      <c r="CI846" s="1684"/>
      <c r="CJ846" s="1684"/>
      <c r="CK846" s="1684"/>
      <c r="CL846" s="1684"/>
      <c r="CM846" s="1684"/>
      <c r="CN846" s="1684"/>
      <c r="CO846" s="1684"/>
    </row>
    <row r="847" spans="1:93" s="1391" customFormat="1" ht="15" x14ac:dyDescent="0.2">
      <c r="A847" s="1684"/>
      <c r="B847" s="1684"/>
      <c r="C847" s="4680"/>
      <c r="D847" s="4681"/>
      <c r="E847" s="4681"/>
      <c r="F847" s="4681"/>
      <c r="G847" s="4681"/>
      <c r="H847" s="4681"/>
      <c r="I847" s="4681"/>
      <c r="J847" s="4681"/>
      <c r="K847" s="4681"/>
      <c r="L847" s="4681"/>
      <c r="M847" s="4681"/>
      <c r="N847" s="4681"/>
      <c r="O847" s="4681"/>
      <c r="P847" s="4681"/>
      <c r="Q847" s="4682"/>
      <c r="R847"/>
      <c r="S847" s="1684"/>
      <c r="T847" s="1684"/>
      <c r="U847" s="1684"/>
      <c r="V847" s="1684"/>
      <c r="W847" s="1684"/>
      <c r="X847" s="1684"/>
      <c r="Y847" s="1684"/>
      <c r="Z847" s="1684"/>
      <c r="AA847" s="1684"/>
      <c r="AB847" s="1684"/>
      <c r="AC847" s="1684"/>
      <c r="AD847" s="1684"/>
      <c r="AE847" s="1684"/>
      <c r="AF847" s="1684"/>
      <c r="AG847" s="1684"/>
      <c r="AH847" s="1684"/>
      <c r="AI847" s="1684"/>
      <c r="AJ847" s="1684"/>
      <c r="AK847" s="1684"/>
      <c r="AL847" s="1684"/>
      <c r="AM847" s="1684"/>
      <c r="AN847" s="1684"/>
      <c r="AO847" s="1684"/>
      <c r="AP847" s="1684"/>
      <c r="AQ847" s="1684"/>
      <c r="AR847" s="1684"/>
      <c r="AS847" s="1684"/>
      <c r="AT847" s="1684"/>
      <c r="AU847" s="1684"/>
      <c r="AV847" s="1684"/>
      <c r="AW847" s="1684"/>
      <c r="AX847" s="1684"/>
      <c r="AY847" s="1684"/>
      <c r="AZ847" s="1684"/>
      <c r="BA847" s="1684"/>
      <c r="BB847" s="1684"/>
      <c r="BC847" s="1684"/>
      <c r="BD847" s="1684"/>
      <c r="BE847" s="1684"/>
      <c r="BF847" s="1684"/>
      <c r="BG847" s="1684"/>
      <c r="BH847" s="1684"/>
      <c r="BI847" s="1684"/>
      <c r="BJ847" s="1684"/>
      <c r="BK847" s="1684"/>
      <c r="BL847" s="1684"/>
      <c r="BM847" s="1684"/>
      <c r="BN847" s="1684"/>
      <c r="BO847" s="1684"/>
      <c r="BP847" s="1684"/>
      <c r="BQ847" s="1684"/>
      <c r="BR847" s="1684"/>
      <c r="BS847" s="1684"/>
      <c r="BT847" s="1684"/>
      <c r="BU847" s="1684"/>
      <c r="BV847" s="1684"/>
      <c r="BW847" s="1684"/>
      <c r="BX847" s="1684"/>
      <c r="BY847" s="1684"/>
      <c r="BZ847" s="1684"/>
      <c r="CA847" s="1684"/>
      <c r="CB847" s="1684"/>
      <c r="CC847" s="1684"/>
      <c r="CD847" s="1684"/>
      <c r="CE847" s="1684"/>
      <c r="CF847" s="1684"/>
      <c r="CG847" s="1684"/>
      <c r="CH847" s="1684"/>
      <c r="CI847" s="1684"/>
      <c r="CJ847" s="1684"/>
      <c r="CK847" s="1684"/>
      <c r="CL847" s="1684"/>
      <c r="CM847" s="1684"/>
      <c r="CN847" s="1684"/>
      <c r="CO847" s="1684"/>
    </row>
    <row r="848" spans="1:93" s="1391" customFormat="1" ht="15" x14ac:dyDescent="0.2">
      <c r="A848" s="1684"/>
      <c r="B848" s="1684"/>
      <c r="C848" s="2013"/>
      <c r="D848" s="5"/>
      <c r="E848" s="5">
        <v>1</v>
      </c>
      <c r="F848" s="5">
        <v>2</v>
      </c>
      <c r="G848" s="5">
        <v>3</v>
      </c>
      <c r="H848" s="5">
        <v>4</v>
      </c>
      <c r="I848" s="5">
        <v>5</v>
      </c>
      <c r="J848" s="5">
        <v>6</v>
      </c>
      <c r="K848" s="5">
        <v>7</v>
      </c>
      <c r="L848" s="5">
        <v>8</v>
      </c>
      <c r="M848" s="5">
        <v>9</v>
      </c>
      <c r="N848" s="5">
        <v>10</v>
      </c>
      <c r="O848" s="5">
        <v>11</v>
      </c>
      <c r="P848" s="5">
        <v>12</v>
      </c>
      <c r="Q848" s="1160"/>
      <c r="R848"/>
      <c r="S848" s="1684"/>
      <c r="T848" s="1684"/>
      <c r="U848" s="1684"/>
      <c r="V848" s="1684"/>
      <c r="W848" s="1684"/>
      <c r="X848" s="1684"/>
      <c r="Y848" s="1684"/>
      <c r="Z848" s="1684"/>
      <c r="AA848" s="1684"/>
      <c r="AB848" s="1684"/>
      <c r="AC848" s="1684"/>
      <c r="AD848" s="1684"/>
      <c r="AE848" s="1684"/>
      <c r="AF848" s="1684"/>
      <c r="AG848" s="1684"/>
      <c r="AH848" s="1684"/>
      <c r="AI848" s="1684"/>
      <c r="AJ848" s="1684"/>
      <c r="AK848" s="1684"/>
      <c r="AL848" s="1684"/>
      <c r="AM848" s="1684"/>
      <c r="AN848" s="1684"/>
      <c r="AO848" s="1684"/>
      <c r="AP848" s="1684"/>
      <c r="AQ848" s="1684"/>
      <c r="AR848" s="1684"/>
      <c r="AS848" s="1684"/>
      <c r="AT848" s="1684"/>
      <c r="AU848" s="1684"/>
      <c r="AV848" s="1684"/>
      <c r="AW848" s="1684"/>
      <c r="AX848" s="1684"/>
      <c r="AY848" s="1684"/>
      <c r="AZ848" s="1684"/>
      <c r="BA848" s="1684"/>
      <c r="BB848" s="1684"/>
      <c r="BC848" s="1684"/>
      <c r="BD848" s="1684"/>
      <c r="BE848" s="1684"/>
      <c r="BF848" s="1684"/>
      <c r="BG848" s="1684"/>
      <c r="BH848" s="1684"/>
      <c r="BI848" s="1684"/>
      <c r="BJ848" s="1684"/>
      <c r="BK848" s="1684"/>
      <c r="BL848" s="1684"/>
      <c r="BM848" s="1684"/>
      <c r="BN848" s="1684"/>
      <c r="BO848" s="1684"/>
      <c r="BP848" s="1684"/>
      <c r="BQ848" s="1684"/>
      <c r="BR848" s="1684"/>
      <c r="BS848" s="1684"/>
      <c r="BT848" s="1684"/>
      <c r="BU848" s="1684"/>
      <c r="BV848" s="1684"/>
      <c r="BW848" s="1684"/>
      <c r="BX848" s="1684"/>
      <c r="BY848" s="1684"/>
      <c r="BZ848" s="1684"/>
      <c r="CA848" s="1684"/>
      <c r="CB848" s="1684"/>
      <c r="CC848" s="1684"/>
      <c r="CD848" s="1684"/>
      <c r="CE848" s="1684"/>
      <c r="CF848" s="1684"/>
      <c r="CG848" s="1684"/>
      <c r="CH848" s="1684"/>
      <c r="CI848" s="1684"/>
      <c r="CJ848" s="1684"/>
      <c r="CK848" s="1684"/>
      <c r="CL848" s="1684"/>
      <c r="CM848" s="1684"/>
      <c r="CN848" s="1684"/>
      <c r="CO848" s="1684"/>
    </row>
    <row r="849" spans="1:93" s="1391" customFormat="1" ht="15" x14ac:dyDescent="0.2">
      <c r="A849" s="1684"/>
      <c r="B849" s="1684"/>
      <c r="C849" s="2013">
        <v>8</v>
      </c>
      <c r="D849" s="5">
        <v>5.6029999999999998</v>
      </c>
      <c r="E849" s="5">
        <v>149</v>
      </c>
      <c r="F849" s="5">
        <v>165</v>
      </c>
      <c r="G849" s="5">
        <v>181</v>
      </c>
      <c r="H849" s="5">
        <v>197</v>
      </c>
      <c r="I849" s="5">
        <v>212</v>
      </c>
      <c r="J849" s="5">
        <v>228</v>
      </c>
      <c r="K849" s="5">
        <v>244</v>
      </c>
      <c r="L849" s="5">
        <v>260</v>
      </c>
      <c r="M849" s="5">
        <v>275</v>
      </c>
      <c r="N849" s="5">
        <v>291</v>
      </c>
      <c r="O849" s="5">
        <v>307</v>
      </c>
      <c r="P849" s="5">
        <v>322</v>
      </c>
      <c r="Q849" s="1160">
        <v>34</v>
      </c>
      <c r="R849"/>
      <c r="S849" s="1684"/>
      <c r="T849" s="1684"/>
      <c r="U849" s="1684"/>
      <c r="V849" s="1684"/>
      <c r="W849" s="1684"/>
      <c r="X849" s="1684"/>
      <c r="Y849" s="1684"/>
      <c r="Z849" s="1684"/>
      <c r="AA849" s="1684"/>
      <c r="AB849" s="1684"/>
      <c r="AC849" s="1684"/>
      <c r="AD849" s="1684"/>
      <c r="AE849" s="1684"/>
      <c r="AF849" s="1684"/>
      <c r="AG849" s="1684"/>
      <c r="AH849" s="1684"/>
      <c r="AI849" s="1684"/>
      <c r="AJ849" s="1684"/>
      <c r="AK849" s="1684"/>
      <c r="AL849" s="1684"/>
      <c r="AM849" s="1684"/>
      <c r="AN849" s="1684"/>
      <c r="AO849" s="1684"/>
      <c r="AP849" s="1684"/>
      <c r="AQ849" s="1684"/>
      <c r="AR849" s="1684"/>
      <c r="AS849" s="1684"/>
      <c r="AT849" s="1684"/>
      <c r="AU849" s="1684"/>
      <c r="AV849" s="1684"/>
      <c r="AW849" s="1684"/>
      <c r="AX849" s="1684"/>
      <c r="AY849" s="1684"/>
      <c r="AZ849" s="1684"/>
      <c r="BA849" s="1684"/>
      <c r="BB849" s="1684"/>
      <c r="BC849" s="1684"/>
      <c r="BD849" s="1684"/>
      <c r="BE849" s="1684"/>
      <c r="BF849" s="1684"/>
      <c r="BG849" s="1684"/>
      <c r="BH849" s="1684"/>
      <c r="BI849" s="1684"/>
      <c r="BJ849" s="1684"/>
      <c r="BK849" s="1684"/>
      <c r="BL849" s="1684"/>
      <c r="BM849" s="1684"/>
      <c r="BN849" s="1684"/>
      <c r="BO849" s="1684"/>
      <c r="BP849" s="1684"/>
      <c r="BQ849" s="1684"/>
      <c r="BR849" s="1684"/>
      <c r="BS849" s="1684"/>
      <c r="BT849" s="1684"/>
      <c r="BU849" s="1684"/>
      <c r="BV849" s="1684"/>
      <c r="BW849" s="1684"/>
      <c r="BX849" s="1684"/>
      <c r="BY849" s="1684"/>
      <c r="BZ849" s="1684"/>
      <c r="CA849" s="1684"/>
      <c r="CB849" s="1684"/>
      <c r="CC849" s="1684"/>
      <c r="CD849" s="1684"/>
      <c r="CE849" s="1684"/>
      <c r="CF849" s="1684"/>
      <c r="CG849" s="1684"/>
      <c r="CH849" s="1684"/>
      <c r="CI849" s="1684"/>
      <c r="CJ849" s="1684"/>
      <c r="CK849" s="1684"/>
      <c r="CL849" s="1684"/>
      <c r="CM849" s="1684"/>
      <c r="CN849" s="1684"/>
      <c r="CO849" s="1684"/>
    </row>
    <row r="850" spans="1:93" s="1391" customFormat="1" ht="15" x14ac:dyDescent="0.2">
      <c r="A850" s="1684"/>
      <c r="B850" s="1684"/>
      <c r="C850" s="2013">
        <v>9</v>
      </c>
      <c r="D850" s="5">
        <v>5.9340000000000002</v>
      </c>
      <c r="E850" s="5">
        <v>163</v>
      </c>
      <c r="F850" s="5">
        <v>181</v>
      </c>
      <c r="G850" s="5">
        <v>199</v>
      </c>
      <c r="H850" s="5">
        <v>216</v>
      </c>
      <c r="I850" s="5">
        <v>233</v>
      </c>
      <c r="J850" s="5">
        <v>250</v>
      </c>
      <c r="K850" s="5">
        <v>267</v>
      </c>
      <c r="L850" s="5">
        <v>285</v>
      </c>
      <c r="M850" s="5">
        <v>302</v>
      </c>
      <c r="N850" s="5">
        <v>319</v>
      </c>
      <c r="O850" s="5">
        <v>336</v>
      </c>
      <c r="P850" s="5">
        <v>353</v>
      </c>
      <c r="Q850" s="1160">
        <v>35</v>
      </c>
      <c r="R850"/>
      <c r="S850" s="1684"/>
      <c r="T850" s="1684"/>
      <c r="U850" s="1684"/>
      <c r="V850" s="1684"/>
      <c r="W850" s="1684"/>
      <c r="X850" s="1684"/>
      <c r="Y850" s="1684"/>
      <c r="Z850" s="1684"/>
      <c r="AA850" s="1684"/>
      <c r="AB850" s="1684"/>
      <c r="AC850" s="1684"/>
      <c r="AD850" s="1684"/>
      <c r="AE850" s="1684"/>
      <c r="AF850" s="1684"/>
      <c r="AG850" s="1684"/>
      <c r="AH850" s="1684"/>
      <c r="AI850" s="1684"/>
      <c r="AJ850" s="1684"/>
      <c r="AK850" s="1684"/>
      <c r="AL850" s="1684"/>
      <c r="AM850" s="1684"/>
      <c r="AN850" s="1684"/>
      <c r="AO850" s="1684"/>
      <c r="AP850" s="1684"/>
      <c r="AQ850" s="1684"/>
      <c r="AR850" s="1684"/>
      <c r="AS850" s="1684"/>
      <c r="AT850" s="1684"/>
      <c r="AU850" s="1684"/>
      <c r="AV850" s="1684"/>
      <c r="AW850" s="1684"/>
      <c r="AX850" s="1684"/>
      <c r="AY850" s="1684"/>
      <c r="AZ850" s="1684"/>
      <c r="BA850" s="1684"/>
      <c r="BB850" s="1684"/>
      <c r="BC850" s="1684"/>
      <c r="BD850" s="1684"/>
      <c r="BE850" s="1684"/>
      <c r="BF850" s="1684"/>
      <c r="BG850" s="1684"/>
      <c r="BH850" s="1684"/>
      <c r="BI850" s="1684"/>
      <c r="BJ850" s="1684"/>
      <c r="BK850" s="1684"/>
      <c r="BL850" s="1684"/>
      <c r="BM850" s="1684"/>
      <c r="BN850" s="1684"/>
      <c r="BO850" s="1684"/>
      <c r="BP850" s="1684"/>
      <c r="BQ850" s="1684"/>
      <c r="BR850" s="1684"/>
      <c r="BS850" s="1684"/>
      <c r="BT850" s="1684"/>
      <c r="BU850" s="1684"/>
      <c r="BV850" s="1684"/>
      <c r="BW850" s="1684"/>
      <c r="BX850" s="1684"/>
      <c r="BY850" s="1684"/>
      <c r="BZ850" s="1684"/>
      <c r="CA850" s="1684"/>
      <c r="CB850" s="1684"/>
      <c r="CC850" s="1684"/>
      <c r="CD850" s="1684"/>
      <c r="CE850" s="1684"/>
      <c r="CF850" s="1684"/>
      <c r="CG850" s="1684"/>
      <c r="CH850" s="1684"/>
      <c r="CI850" s="1684"/>
      <c r="CJ850" s="1684"/>
      <c r="CK850" s="1684"/>
      <c r="CL850" s="1684"/>
      <c r="CM850" s="1684"/>
      <c r="CN850" s="1684"/>
      <c r="CO850" s="1684"/>
    </row>
    <row r="851" spans="1:93" s="1391" customFormat="1" ht="15" x14ac:dyDescent="0.2">
      <c r="A851" s="1684"/>
      <c r="B851" s="1684"/>
      <c r="C851" s="2013">
        <v>10</v>
      </c>
      <c r="D851" s="5">
        <v>6.2759999999999998</v>
      </c>
      <c r="E851" s="5">
        <v>178</v>
      </c>
      <c r="F851" s="5">
        <v>198</v>
      </c>
      <c r="G851" s="5">
        <v>217</v>
      </c>
      <c r="H851" s="5">
        <v>236</v>
      </c>
      <c r="I851" s="5">
        <v>254</v>
      </c>
      <c r="J851" s="5">
        <v>278</v>
      </c>
      <c r="K851" s="5">
        <v>292</v>
      </c>
      <c r="L851" s="5">
        <v>312</v>
      </c>
      <c r="M851" s="5">
        <v>329</v>
      </c>
      <c r="N851" s="5">
        <v>348</v>
      </c>
      <c r="O851" s="5">
        <v>367</v>
      </c>
      <c r="P851" s="5">
        <v>386</v>
      </c>
      <c r="Q851" s="1160">
        <v>36</v>
      </c>
      <c r="R851"/>
      <c r="S851" s="1684"/>
      <c r="T851" s="1684"/>
      <c r="U851" s="1684"/>
      <c r="V851" s="1684"/>
      <c r="W851" s="1684"/>
      <c r="X851" s="1684"/>
      <c r="Y851" s="1684"/>
      <c r="Z851" s="1684"/>
      <c r="AA851" s="1684"/>
      <c r="AB851" s="1684"/>
      <c r="AC851" s="1684"/>
      <c r="AD851" s="1684"/>
      <c r="AE851" s="1684"/>
      <c r="AF851" s="1684"/>
      <c r="AG851" s="1684"/>
      <c r="AH851" s="1684"/>
      <c r="AI851" s="1684"/>
      <c r="AJ851" s="1684"/>
      <c r="AK851" s="1684"/>
      <c r="AL851" s="1684"/>
      <c r="AM851" s="1684"/>
      <c r="AN851" s="1684"/>
      <c r="AO851" s="1684"/>
      <c r="AP851" s="1684"/>
      <c r="AQ851" s="1684"/>
      <c r="AR851" s="1684"/>
      <c r="AS851" s="1684"/>
      <c r="AT851" s="1684"/>
      <c r="AU851" s="1684"/>
      <c r="AV851" s="1684"/>
      <c r="AW851" s="1684"/>
      <c r="AX851" s="1684"/>
      <c r="AY851" s="1684"/>
      <c r="AZ851" s="1684"/>
      <c r="BA851" s="1684"/>
      <c r="BB851" s="1684"/>
      <c r="BC851" s="1684"/>
      <c r="BD851" s="1684"/>
      <c r="BE851" s="1684"/>
      <c r="BF851" s="1684"/>
      <c r="BG851" s="1684"/>
      <c r="BH851" s="1684"/>
      <c r="BI851" s="1684"/>
      <c r="BJ851" s="1684"/>
      <c r="BK851" s="1684"/>
      <c r="BL851" s="1684"/>
      <c r="BM851" s="1684"/>
      <c r="BN851" s="1684"/>
      <c r="BO851" s="1684"/>
      <c r="BP851" s="1684"/>
      <c r="BQ851" s="1684"/>
      <c r="BR851" s="1684"/>
      <c r="BS851" s="1684"/>
      <c r="BT851" s="1684"/>
      <c r="BU851" s="1684"/>
      <c r="BV851" s="1684"/>
      <c r="BW851" s="1684"/>
      <c r="BX851" s="1684"/>
      <c r="BY851" s="1684"/>
      <c r="BZ851" s="1684"/>
      <c r="CA851" s="1684"/>
      <c r="CB851" s="1684"/>
      <c r="CC851" s="1684"/>
      <c r="CD851" s="1684"/>
      <c r="CE851" s="1684"/>
      <c r="CF851" s="1684"/>
      <c r="CG851" s="1684"/>
      <c r="CH851" s="1684"/>
      <c r="CI851" s="1684"/>
      <c r="CJ851" s="1684"/>
      <c r="CK851" s="1684"/>
      <c r="CL851" s="1684"/>
      <c r="CM851" s="1684"/>
      <c r="CN851" s="1684"/>
      <c r="CO851" s="1684"/>
    </row>
    <row r="852" spans="1:93" s="1391" customFormat="1" ht="15" x14ac:dyDescent="0.2">
      <c r="A852" s="1684"/>
      <c r="B852" s="1684"/>
      <c r="C852" s="2013">
        <v>11</v>
      </c>
      <c r="D852" s="5">
        <v>6.6550000000000002</v>
      </c>
      <c r="E852" s="5">
        <v>193</v>
      </c>
      <c r="F852" s="5">
        <v>216</v>
      </c>
      <c r="G852" s="5">
        <v>237</v>
      </c>
      <c r="H852" s="5">
        <v>257</v>
      </c>
      <c r="I852" s="5">
        <v>278</v>
      </c>
      <c r="J852" s="5">
        <v>298</v>
      </c>
      <c r="K852" s="5">
        <v>319</v>
      </c>
      <c r="L852" s="5">
        <v>340</v>
      </c>
      <c r="M852" s="5">
        <v>360</v>
      </c>
      <c r="N852" s="5">
        <v>380</v>
      </c>
      <c r="O852" s="5">
        <v>401</v>
      </c>
      <c r="P852" s="5">
        <v>421</v>
      </c>
      <c r="Q852" s="1160">
        <v>37</v>
      </c>
      <c r="R852"/>
      <c r="S852" s="1684"/>
      <c r="T852" s="1684"/>
      <c r="U852" s="1684"/>
      <c r="V852" s="1684"/>
      <c r="W852" s="1684"/>
      <c r="X852" s="1684"/>
      <c r="Y852" s="1684"/>
      <c r="Z852" s="1684"/>
      <c r="AA852" s="1684"/>
      <c r="AB852" s="1684"/>
      <c r="AC852" s="1684"/>
      <c r="AD852" s="1684"/>
      <c r="AE852" s="1684"/>
      <c r="AF852" s="1684"/>
      <c r="AG852" s="1684"/>
      <c r="AH852" s="1684"/>
      <c r="AI852" s="1684"/>
      <c r="AJ852" s="1684"/>
      <c r="AK852" s="1684"/>
      <c r="AL852" s="1684"/>
      <c r="AM852" s="1684"/>
      <c r="AN852" s="1684"/>
      <c r="AO852" s="1684"/>
      <c r="AP852" s="1684"/>
      <c r="AQ852" s="1684"/>
      <c r="AR852" s="1684"/>
      <c r="AS852" s="1684"/>
      <c r="AT852" s="1684"/>
      <c r="AU852" s="1684"/>
      <c r="AV852" s="1684"/>
      <c r="AW852" s="1684"/>
      <c r="AX852" s="1684"/>
      <c r="AY852" s="1684"/>
      <c r="AZ852" s="1684"/>
      <c r="BA852" s="1684"/>
      <c r="BB852" s="1684"/>
      <c r="BC852" s="1684"/>
      <c r="BD852" s="1684"/>
      <c r="BE852" s="1684"/>
      <c r="BF852" s="1684"/>
      <c r="BG852" s="1684"/>
      <c r="BH852" s="1684"/>
      <c r="BI852" s="1684"/>
      <c r="BJ852" s="1684"/>
      <c r="BK852" s="1684"/>
      <c r="BL852" s="1684"/>
      <c r="BM852" s="1684"/>
      <c r="BN852" s="1684"/>
      <c r="BO852" s="1684"/>
      <c r="BP852" s="1684"/>
      <c r="BQ852" s="1684"/>
      <c r="BR852" s="1684"/>
      <c r="BS852" s="1684"/>
      <c r="BT852" s="1684"/>
      <c r="BU852" s="1684"/>
      <c r="BV852" s="1684"/>
      <c r="BW852" s="1684"/>
      <c r="BX852" s="1684"/>
      <c r="BY852" s="1684"/>
      <c r="BZ852" s="1684"/>
      <c r="CA852" s="1684"/>
      <c r="CB852" s="1684"/>
      <c r="CC852" s="1684"/>
      <c r="CD852" s="1684"/>
      <c r="CE852" s="1684"/>
      <c r="CF852" s="1684"/>
      <c r="CG852" s="1684"/>
      <c r="CH852" s="1684"/>
      <c r="CI852" s="1684"/>
      <c r="CJ852" s="1684"/>
      <c r="CK852" s="1684"/>
      <c r="CL852" s="1684"/>
      <c r="CM852" s="1684"/>
      <c r="CN852" s="1684"/>
      <c r="CO852" s="1684"/>
    </row>
    <row r="853" spans="1:93" s="1391" customFormat="1" ht="15" x14ac:dyDescent="0.2">
      <c r="A853" s="1684"/>
      <c r="B853" s="1684"/>
      <c r="C853" s="2013">
        <v>12</v>
      </c>
      <c r="D853" s="5">
        <v>7.0430000000000001</v>
      </c>
      <c r="E853" s="5">
        <v>212</v>
      </c>
      <c r="F853" s="5">
        <v>235</v>
      </c>
      <c r="G853" s="5">
        <v>257</v>
      </c>
      <c r="H853" s="5">
        <v>280</v>
      </c>
      <c r="I853" s="5">
        <v>302</v>
      </c>
      <c r="J853" s="5">
        <v>324</v>
      </c>
      <c r="K853" s="5">
        <v>346</v>
      </c>
      <c r="L853" s="5">
        <v>370</v>
      </c>
      <c r="M853" s="5">
        <v>391</v>
      </c>
      <c r="N853" s="5">
        <v>413</v>
      </c>
      <c r="O853" s="5">
        <v>435</v>
      </c>
      <c r="P853" s="5">
        <v>458</v>
      </c>
      <c r="Q853" s="1160">
        <v>38</v>
      </c>
      <c r="R853"/>
      <c r="S853" s="1684"/>
      <c r="T853" s="1684"/>
      <c r="U853" s="1684"/>
      <c r="V853" s="1684"/>
      <c r="W853" s="1684"/>
      <c r="X853" s="1684"/>
      <c r="Y853" s="1684"/>
      <c r="Z853" s="1684"/>
      <c r="AA853" s="1684"/>
      <c r="AB853" s="1684"/>
      <c r="AC853" s="1684"/>
      <c r="AD853" s="1684"/>
      <c r="AE853" s="1684"/>
      <c r="AF853" s="1684"/>
      <c r="AG853" s="1684"/>
      <c r="AH853" s="1684"/>
      <c r="AI853" s="1684"/>
      <c r="AJ853" s="1684"/>
      <c r="AK853" s="1684"/>
      <c r="AL853" s="1684"/>
      <c r="AM853" s="1684"/>
      <c r="AN853" s="1684"/>
      <c r="AO853" s="1684"/>
      <c r="AP853" s="1684"/>
      <c r="AQ853" s="1684"/>
      <c r="AR853" s="1684"/>
      <c r="AS853" s="1684"/>
      <c r="AT853" s="1684"/>
      <c r="AU853" s="1684"/>
      <c r="AV853" s="1684"/>
      <c r="AW853" s="1684"/>
      <c r="AX853" s="1684"/>
      <c r="AY853" s="1684"/>
      <c r="AZ853" s="1684"/>
      <c r="BA853" s="1684"/>
      <c r="BB853" s="1684"/>
      <c r="BC853" s="1684"/>
      <c r="BD853" s="1684"/>
      <c r="BE853" s="1684"/>
      <c r="BF853" s="1684"/>
      <c r="BG853" s="1684"/>
      <c r="BH853" s="1684"/>
      <c r="BI853" s="1684"/>
      <c r="BJ853" s="1684"/>
      <c r="BK853" s="1684"/>
      <c r="BL853" s="1684"/>
      <c r="BM853" s="1684"/>
      <c r="BN853" s="1684"/>
      <c r="BO853" s="1684"/>
      <c r="BP853" s="1684"/>
      <c r="BQ853" s="1684"/>
      <c r="BR853" s="1684"/>
      <c r="BS853" s="1684"/>
      <c r="BT853" s="1684"/>
      <c r="BU853" s="1684"/>
      <c r="BV853" s="1684"/>
      <c r="BW853" s="1684"/>
      <c r="BX853" s="1684"/>
      <c r="BY853" s="1684"/>
      <c r="BZ853" s="1684"/>
      <c r="CA853" s="1684"/>
      <c r="CB853" s="1684"/>
      <c r="CC853" s="1684"/>
      <c r="CD853" s="1684"/>
      <c r="CE853" s="1684"/>
      <c r="CF853" s="1684"/>
      <c r="CG853" s="1684"/>
      <c r="CH853" s="1684"/>
      <c r="CI853" s="1684"/>
      <c r="CJ853" s="1684"/>
      <c r="CK853" s="1684"/>
      <c r="CL853" s="1684"/>
      <c r="CM853" s="1684"/>
      <c r="CN853" s="1684"/>
      <c r="CO853" s="1684"/>
    </row>
    <row r="854" spans="1:93" s="1391" customFormat="1" ht="15" x14ac:dyDescent="0.2">
      <c r="A854" s="1684"/>
      <c r="B854" s="1684"/>
      <c r="C854" s="2013">
        <v>13</v>
      </c>
      <c r="D854" s="5">
        <v>7.4340000000000002</v>
      </c>
      <c r="E854" s="5">
        <v>228</v>
      </c>
      <c r="F854" s="5">
        <v>254</v>
      </c>
      <c r="G854" s="5">
        <v>278</v>
      </c>
      <c r="H854" s="5">
        <v>302</v>
      </c>
      <c r="I854" s="5">
        <v>326</v>
      </c>
      <c r="J854" s="5">
        <v>350</v>
      </c>
      <c r="K854" s="5">
        <v>374</v>
      </c>
      <c r="L854" s="5">
        <v>399</v>
      </c>
      <c r="M854" s="5">
        <v>422</v>
      </c>
      <c r="N854" s="5">
        <v>446</v>
      </c>
      <c r="O854" s="5">
        <v>470</v>
      </c>
      <c r="P854" s="5">
        <v>494</v>
      </c>
      <c r="Q854" s="1160">
        <v>39</v>
      </c>
      <c r="R854"/>
      <c r="S854" s="1684"/>
      <c r="T854" s="1684"/>
      <c r="U854" s="1684"/>
      <c r="V854" s="1684"/>
      <c r="W854" s="1684"/>
      <c r="X854" s="1684"/>
      <c r="Y854" s="1684"/>
      <c r="Z854" s="1684"/>
      <c r="AA854" s="1684"/>
      <c r="AB854" s="1684"/>
      <c r="AC854" s="1684"/>
      <c r="AD854" s="1684"/>
      <c r="AE854" s="1684"/>
      <c r="AF854" s="1684"/>
      <c r="AG854" s="1684"/>
      <c r="AH854" s="1684"/>
      <c r="AI854" s="1684"/>
      <c r="AJ854" s="1684"/>
      <c r="AK854" s="1684"/>
      <c r="AL854" s="1684"/>
      <c r="AM854" s="1684"/>
      <c r="AN854" s="1684"/>
      <c r="AO854" s="1684"/>
      <c r="AP854" s="1684"/>
      <c r="AQ854" s="1684"/>
      <c r="AR854" s="1684"/>
      <c r="AS854" s="1684"/>
      <c r="AT854" s="1684"/>
      <c r="AU854" s="1684"/>
      <c r="AV854" s="1684"/>
      <c r="AW854" s="1684"/>
      <c r="AX854" s="1684"/>
      <c r="AY854" s="1684"/>
      <c r="AZ854" s="1684"/>
      <c r="BA854" s="1684"/>
      <c r="BB854" s="1684"/>
      <c r="BC854" s="1684"/>
      <c r="BD854" s="1684"/>
      <c r="BE854" s="1684"/>
      <c r="BF854" s="1684"/>
      <c r="BG854" s="1684"/>
      <c r="BH854" s="1684"/>
      <c r="BI854" s="1684"/>
      <c r="BJ854" s="1684"/>
      <c r="BK854" s="1684"/>
      <c r="BL854" s="1684"/>
      <c r="BM854" s="1684"/>
      <c r="BN854" s="1684"/>
      <c r="BO854" s="1684"/>
      <c r="BP854" s="1684"/>
      <c r="BQ854" s="1684"/>
      <c r="BR854" s="1684"/>
      <c r="BS854" s="1684"/>
      <c r="BT854" s="1684"/>
      <c r="BU854" s="1684"/>
      <c r="BV854" s="1684"/>
      <c r="BW854" s="1684"/>
      <c r="BX854" s="1684"/>
      <c r="BY854" s="1684"/>
      <c r="BZ854" s="1684"/>
      <c r="CA854" s="1684"/>
      <c r="CB854" s="1684"/>
      <c r="CC854" s="1684"/>
      <c r="CD854" s="1684"/>
      <c r="CE854" s="1684"/>
      <c r="CF854" s="1684"/>
      <c r="CG854" s="1684"/>
      <c r="CH854" s="1684"/>
      <c r="CI854" s="1684"/>
      <c r="CJ854" s="1684"/>
      <c r="CK854" s="1684"/>
      <c r="CL854" s="1684"/>
      <c r="CM854" s="1684"/>
      <c r="CN854" s="1684"/>
      <c r="CO854" s="1684"/>
    </row>
    <row r="855" spans="1:93" s="1391" customFormat="1" ht="15" x14ac:dyDescent="0.2">
      <c r="A855" s="1684"/>
      <c r="B855" s="1684"/>
      <c r="C855" s="2013">
        <v>14</v>
      </c>
      <c r="D855" s="5">
        <v>7.8380000000000001</v>
      </c>
      <c r="E855" s="5">
        <v>246</v>
      </c>
      <c r="F855" s="5">
        <v>273</v>
      </c>
      <c r="G855" s="5">
        <v>299</v>
      </c>
      <c r="H855" s="5">
        <v>325</v>
      </c>
      <c r="I855" s="5">
        <v>351</v>
      </c>
      <c r="J855" s="5">
        <v>377</v>
      </c>
      <c r="K855" s="5">
        <v>402</v>
      </c>
      <c r="L855" s="5">
        <v>430</v>
      </c>
      <c r="M855" s="5">
        <v>454</v>
      </c>
      <c r="N855" s="5">
        <v>480</v>
      </c>
      <c r="O855" s="5">
        <v>506</v>
      </c>
      <c r="P855" s="5">
        <v>532</v>
      </c>
      <c r="Q855" s="1160">
        <v>40</v>
      </c>
      <c r="R855"/>
      <c r="S855" s="1684"/>
      <c r="T855" s="1684"/>
      <c r="U855" s="1684"/>
      <c r="V855" s="1684"/>
      <c r="W855" s="1684"/>
      <c r="X855" s="1684"/>
      <c r="Y855" s="1684"/>
      <c r="Z855" s="1684"/>
      <c r="AA855" s="1684"/>
      <c r="AB855" s="1684"/>
      <c r="AC855" s="1684"/>
      <c r="AD855" s="1684"/>
      <c r="AE855" s="1684"/>
      <c r="AF855" s="1684"/>
      <c r="AG855" s="1684"/>
      <c r="AH855" s="1684"/>
      <c r="AI855" s="1684"/>
      <c r="AJ855" s="1684"/>
      <c r="AK855" s="1684"/>
      <c r="AL855" s="1684"/>
      <c r="AM855" s="1684"/>
      <c r="AN855" s="1684"/>
      <c r="AO855" s="1684"/>
      <c r="AP855" s="1684"/>
      <c r="AQ855" s="1684"/>
      <c r="AR855" s="1684"/>
      <c r="AS855" s="1684"/>
      <c r="AT855" s="1684"/>
      <c r="AU855" s="1684"/>
      <c r="AV855" s="1684"/>
      <c r="AW855" s="1684"/>
      <c r="AX855" s="1684"/>
      <c r="AY855" s="1684"/>
      <c r="AZ855" s="1684"/>
      <c r="BA855" s="1684"/>
      <c r="BB855" s="1684"/>
      <c r="BC855" s="1684"/>
      <c r="BD855" s="1684"/>
      <c r="BE855" s="1684"/>
      <c r="BF855" s="1684"/>
      <c r="BG855" s="1684"/>
      <c r="BH855" s="1684"/>
      <c r="BI855" s="1684"/>
      <c r="BJ855" s="1684"/>
      <c r="BK855" s="1684"/>
      <c r="BL855" s="1684"/>
      <c r="BM855" s="1684"/>
      <c r="BN855" s="1684"/>
      <c r="BO855" s="1684"/>
      <c r="BP855" s="1684"/>
      <c r="BQ855" s="1684"/>
      <c r="BR855" s="1684"/>
      <c r="BS855" s="1684"/>
      <c r="BT855" s="1684"/>
      <c r="BU855" s="1684"/>
      <c r="BV855" s="1684"/>
      <c r="BW855" s="1684"/>
      <c r="BX855" s="1684"/>
      <c r="BY855" s="1684"/>
      <c r="BZ855" s="1684"/>
      <c r="CA855" s="1684"/>
      <c r="CB855" s="1684"/>
      <c r="CC855" s="1684"/>
      <c r="CD855" s="1684"/>
      <c r="CE855" s="1684"/>
      <c r="CF855" s="1684"/>
      <c r="CG855" s="1684"/>
      <c r="CH855" s="1684"/>
      <c r="CI855" s="1684"/>
      <c r="CJ855" s="1684"/>
      <c r="CK855" s="1684"/>
      <c r="CL855" s="1684"/>
      <c r="CM855" s="1684"/>
      <c r="CN855" s="1684"/>
      <c r="CO855" s="1684"/>
    </row>
    <row r="856" spans="1:93" s="1391" customFormat="1" ht="15" x14ac:dyDescent="0.2">
      <c r="A856" s="1684"/>
      <c r="B856" s="1684"/>
      <c r="C856" s="2013">
        <v>15</v>
      </c>
      <c r="D856" s="5">
        <v>8.2469999999999999</v>
      </c>
      <c r="E856" s="5">
        <v>263</v>
      </c>
      <c r="F856" s="5">
        <v>293</v>
      </c>
      <c r="G856" s="5">
        <v>320</v>
      </c>
      <c r="H856" s="5">
        <v>348</v>
      </c>
      <c r="I856" s="5">
        <v>376</v>
      </c>
      <c r="J856" s="5">
        <v>403</v>
      </c>
      <c r="K856" s="5">
        <v>431</v>
      </c>
      <c r="L856" s="5">
        <v>460</v>
      </c>
      <c r="M856" s="5">
        <v>487</v>
      </c>
      <c r="N856" s="5">
        <v>514</v>
      </c>
      <c r="O856" s="5">
        <v>542</v>
      </c>
      <c r="P856" s="5">
        <v>570</v>
      </c>
      <c r="Q856" s="1160">
        <v>41</v>
      </c>
      <c r="R856"/>
      <c r="S856" s="1684"/>
      <c r="T856" s="1684"/>
      <c r="U856" s="1684"/>
      <c r="V856" s="1684"/>
      <c r="W856" s="1684"/>
      <c r="X856" s="1684"/>
      <c r="Y856" s="1684"/>
      <c r="Z856" s="1684"/>
      <c r="AA856" s="1684"/>
      <c r="AB856" s="1684"/>
      <c r="AC856" s="1684"/>
      <c r="AD856" s="1684"/>
      <c r="AE856" s="1684"/>
      <c r="AF856" s="1684"/>
      <c r="AG856" s="1684"/>
      <c r="AH856" s="1684"/>
      <c r="AI856" s="1684"/>
      <c r="AJ856" s="1684"/>
      <c r="AK856" s="1684"/>
      <c r="AL856" s="1684"/>
      <c r="AM856" s="1684"/>
      <c r="AN856" s="1684"/>
      <c r="AO856" s="1684"/>
      <c r="AP856" s="1684"/>
      <c r="AQ856" s="1684"/>
      <c r="AR856" s="1684"/>
      <c r="AS856" s="1684"/>
      <c r="AT856" s="1684"/>
      <c r="AU856" s="1684"/>
      <c r="AV856" s="1684"/>
      <c r="AW856" s="1684"/>
      <c r="AX856" s="1684"/>
      <c r="AY856" s="1684"/>
      <c r="AZ856" s="1684"/>
      <c r="BA856" s="1684"/>
      <c r="BB856" s="1684"/>
      <c r="BC856" s="1684"/>
      <c r="BD856" s="1684"/>
      <c r="BE856" s="1684"/>
      <c r="BF856" s="1684"/>
      <c r="BG856" s="1684"/>
      <c r="BH856" s="1684"/>
      <c r="BI856" s="1684"/>
      <c r="BJ856" s="1684"/>
      <c r="BK856" s="1684"/>
      <c r="BL856" s="1684"/>
      <c r="BM856" s="1684"/>
      <c r="BN856" s="1684"/>
      <c r="BO856" s="1684"/>
      <c r="BP856" s="1684"/>
      <c r="BQ856" s="1684"/>
      <c r="BR856" s="1684"/>
      <c r="BS856" s="1684"/>
      <c r="BT856" s="1684"/>
      <c r="BU856" s="1684"/>
      <c r="BV856" s="1684"/>
      <c r="BW856" s="1684"/>
      <c r="BX856" s="1684"/>
      <c r="BY856" s="1684"/>
      <c r="BZ856" s="1684"/>
      <c r="CA856" s="1684"/>
      <c r="CB856" s="1684"/>
      <c r="CC856" s="1684"/>
      <c r="CD856" s="1684"/>
      <c r="CE856" s="1684"/>
      <c r="CF856" s="1684"/>
      <c r="CG856" s="1684"/>
      <c r="CH856" s="1684"/>
      <c r="CI856" s="1684"/>
      <c r="CJ856" s="1684"/>
      <c r="CK856" s="1684"/>
      <c r="CL856" s="1684"/>
      <c r="CM856" s="1684"/>
      <c r="CN856" s="1684"/>
      <c r="CO856" s="1684"/>
    </row>
    <row r="857" spans="1:93" s="1391" customFormat="1" ht="15" x14ac:dyDescent="0.2">
      <c r="A857" s="1684"/>
      <c r="B857" s="1684"/>
      <c r="C857" s="2013">
        <v>16</v>
      </c>
      <c r="D857" s="5">
        <v>8.7910000000000004</v>
      </c>
      <c r="E857" s="5">
        <v>280</v>
      </c>
      <c r="F857" s="5">
        <v>311</v>
      </c>
      <c r="G857" s="5">
        <v>341</v>
      </c>
      <c r="H857" s="5">
        <v>370</v>
      </c>
      <c r="I857" s="5">
        <v>400</v>
      </c>
      <c r="J857" s="5">
        <v>429</v>
      </c>
      <c r="K857" s="5">
        <v>459</v>
      </c>
      <c r="L857" s="5">
        <v>490</v>
      </c>
      <c r="M857" s="5">
        <v>518</v>
      </c>
      <c r="N857" s="5">
        <v>547</v>
      </c>
      <c r="O857" s="5">
        <v>577</v>
      </c>
      <c r="P857" s="5">
        <v>606</v>
      </c>
      <c r="Q857" s="1160">
        <v>42</v>
      </c>
      <c r="R857"/>
      <c r="S857" s="1684"/>
      <c r="T857" s="1684"/>
      <c r="U857" s="1684"/>
      <c r="V857" s="1684"/>
      <c r="W857" s="1684"/>
      <c r="X857" s="1684"/>
      <c r="Y857" s="1684"/>
      <c r="Z857" s="1684"/>
      <c r="AA857" s="1684"/>
      <c r="AB857" s="1684"/>
      <c r="AC857" s="1684"/>
      <c r="AD857" s="1684"/>
      <c r="AE857" s="1684"/>
      <c r="AF857" s="1684"/>
      <c r="AG857" s="1684"/>
      <c r="AH857" s="1684"/>
      <c r="AI857" s="1684"/>
      <c r="AJ857" s="1684"/>
      <c r="AK857" s="1684"/>
      <c r="AL857" s="1684"/>
      <c r="AM857" s="1684"/>
      <c r="AN857" s="1684"/>
      <c r="AO857" s="1684"/>
      <c r="AP857" s="1684"/>
      <c r="AQ857" s="1684"/>
      <c r="AR857" s="1684"/>
      <c r="AS857" s="1684"/>
      <c r="AT857" s="1684"/>
      <c r="AU857" s="1684"/>
      <c r="AV857" s="1684"/>
      <c r="AW857" s="1684"/>
      <c r="AX857" s="1684"/>
      <c r="AY857" s="1684"/>
      <c r="AZ857" s="1684"/>
      <c r="BA857" s="1684"/>
      <c r="BB857" s="1684"/>
      <c r="BC857" s="1684"/>
      <c r="BD857" s="1684"/>
      <c r="BE857" s="1684"/>
      <c r="BF857" s="1684"/>
      <c r="BG857" s="1684"/>
      <c r="BH857" s="1684"/>
      <c r="BI857" s="1684"/>
      <c r="BJ857" s="1684"/>
      <c r="BK857" s="1684"/>
      <c r="BL857" s="1684"/>
      <c r="BM857" s="1684"/>
      <c r="BN857" s="1684"/>
      <c r="BO857" s="1684"/>
      <c r="BP857" s="1684"/>
      <c r="BQ857" s="1684"/>
      <c r="BR857" s="1684"/>
      <c r="BS857" s="1684"/>
      <c r="BT857" s="1684"/>
      <c r="BU857" s="1684"/>
      <c r="BV857" s="1684"/>
      <c r="BW857" s="1684"/>
      <c r="BX857" s="1684"/>
      <c r="BY857" s="1684"/>
      <c r="BZ857" s="1684"/>
      <c r="CA857" s="1684"/>
      <c r="CB857" s="1684"/>
      <c r="CC857" s="1684"/>
      <c r="CD857" s="1684"/>
      <c r="CE857" s="1684"/>
      <c r="CF857" s="1684"/>
      <c r="CG857" s="1684"/>
      <c r="CH857" s="1684"/>
      <c r="CI857" s="1684"/>
      <c r="CJ857" s="1684"/>
      <c r="CK857" s="1684"/>
      <c r="CL857" s="1684"/>
      <c r="CM857" s="1684"/>
      <c r="CN857" s="1684"/>
      <c r="CO857" s="1684"/>
    </row>
    <row r="858" spans="1:93" s="1391" customFormat="1" ht="15" x14ac:dyDescent="0.2">
      <c r="A858" s="1684"/>
      <c r="B858" s="1684"/>
      <c r="C858" s="2013">
        <v>17</v>
      </c>
      <c r="D858" s="5">
        <v>9.3710000000000004</v>
      </c>
      <c r="E858" s="5">
        <v>296</v>
      </c>
      <c r="F858" s="5">
        <v>328</v>
      </c>
      <c r="G858" s="5">
        <v>359</v>
      </c>
      <c r="H858" s="5">
        <v>391</v>
      </c>
      <c r="I858" s="5">
        <v>422</v>
      </c>
      <c r="J858" s="5">
        <v>453</v>
      </c>
      <c r="K858" s="5">
        <v>484</v>
      </c>
      <c r="L858" s="5">
        <v>517</v>
      </c>
      <c r="M858" s="5">
        <v>546</v>
      </c>
      <c r="N858" s="5">
        <v>577</v>
      </c>
      <c r="O858" s="5">
        <v>608</v>
      </c>
      <c r="P858" s="5">
        <v>639</v>
      </c>
      <c r="Q858" s="1160">
        <v>43</v>
      </c>
      <c r="R858"/>
      <c r="S858" s="1684"/>
      <c r="T858" s="1684"/>
      <c r="U858" s="1684"/>
      <c r="V858" s="1684"/>
      <c r="W858" s="1684"/>
      <c r="X858" s="1684"/>
      <c r="Y858" s="1684"/>
      <c r="Z858" s="1684"/>
      <c r="AA858" s="1684"/>
      <c r="AB858" s="1684"/>
      <c r="AC858" s="1684"/>
      <c r="AD858" s="1684"/>
      <c r="AE858" s="1684"/>
      <c r="AF858" s="1684"/>
      <c r="AG858" s="1684"/>
      <c r="AH858" s="1684"/>
      <c r="AI858" s="1684"/>
      <c r="AJ858" s="1684"/>
      <c r="AK858" s="1684"/>
      <c r="AL858" s="1684"/>
      <c r="AM858" s="1684"/>
      <c r="AN858" s="1684"/>
      <c r="AO858" s="1684"/>
      <c r="AP858" s="1684"/>
      <c r="AQ858" s="1684"/>
      <c r="AR858" s="1684"/>
      <c r="AS858" s="1684"/>
      <c r="AT858" s="1684"/>
      <c r="AU858" s="1684"/>
      <c r="AV858" s="1684"/>
      <c r="AW858" s="1684"/>
      <c r="AX858" s="1684"/>
      <c r="AY858" s="1684"/>
      <c r="AZ858" s="1684"/>
      <c r="BA858" s="1684"/>
      <c r="BB858" s="1684"/>
      <c r="BC858" s="1684"/>
      <c r="BD858" s="1684"/>
      <c r="BE858" s="1684"/>
      <c r="BF858" s="1684"/>
      <c r="BG858" s="1684"/>
      <c r="BH858" s="1684"/>
      <c r="BI858" s="1684"/>
      <c r="BJ858" s="1684"/>
      <c r="BK858" s="1684"/>
      <c r="BL858" s="1684"/>
      <c r="BM858" s="1684"/>
      <c r="BN858" s="1684"/>
      <c r="BO858" s="1684"/>
      <c r="BP858" s="1684"/>
      <c r="BQ858" s="1684"/>
      <c r="BR858" s="1684"/>
      <c r="BS858" s="1684"/>
      <c r="BT858" s="1684"/>
      <c r="BU858" s="1684"/>
      <c r="BV858" s="1684"/>
      <c r="BW858" s="1684"/>
      <c r="BX858" s="1684"/>
      <c r="BY858" s="1684"/>
      <c r="BZ858" s="1684"/>
      <c r="CA858" s="1684"/>
      <c r="CB858" s="1684"/>
      <c r="CC858" s="1684"/>
      <c r="CD858" s="1684"/>
      <c r="CE858" s="1684"/>
      <c r="CF858" s="1684"/>
      <c r="CG858" s="1684"/>
      <c r="CH858" s="1684"/>
      <c r="CI858" s="1684"/>
      <c r="CJ858" s="1684"/>
      <c r="CK858" s="1684"/>
      <c r="CL858" s="1684"/>
      <c r="CM858" s="1684"/>
      <c r="CN858" s="1684"/>
      <c r="CO858" s="1684"/>
    </row>
    <row r="859" spans="1:93" s="1391" customFormat="1" ht="15" x14ac:dyDescent="0.2">
      <c r="A859" s="1684"/>
      <c r="B859" s="1684"/>
      <c r="C859" s="2013">
        <v>18</v>
      </c>
      <c r="D859" s="5">
        <v>9.7029999999999994</v>
      </c>
      <c r="E859" s="5">
        <v>309</v>
      </c>
      <c r="F859" s="5">
        <v>344</v>
      </c>
      <c r="G859" s="5">
        <v>376</v>
      </c>
      <c r="H859" s="5">
        <v>409</v>
      </c>
      <c r="I859" s="5">
        <v>441</v>
      </c>
      <c r="J859" s="5">
        <v>474</v>
      </c>
      <c r="K859" s="5">
        <v>506</v>
      </c>
      <c r="L859" s="5">
        <v>541</v>
      </c>
      <c r="M859" s="5">
        <v>572</v>
      </c>
      <c r="N859" s="5">
        <v>604</v>
      </c>
      <c r="O859" s="5">
        <v>637</v>
      </c>
      <c r="P859" s="5">
        <v>669</v>
      </c>
      <c r="Q859" s="1160">
        <v>44</v>
      </c>
      <c r="R859"/>
      <c r="S859" s="1684"/>
      <c r="T859" s="1684"/>
      <c r="U859" s="1684"/>
      <c r="V859" s="1684"/>
      <c r="W859" s="1684"/>
      <c r="X859" s="1684"/>
      <c r="Y859" s="1684"/>
      <c r="Z859" s="1684"/>
      <c r="AA859" s="1684"/>
      <c r="AB859" s="1684"/>
      <c r="AC859" s="1684"/>
      <c r="AD859" s="1684"/>
      <c r="AE859" s="1684"/>
      <c r="AF859" s="1684"/>
      <c r="AG859" s="1684"/>
      <c r="AH859" s="1684"/>
      <c r="AI859" s="1684"/>
      <c r="AJ859" s="1684"/>
      <c r="AK859" s="1684"/>
      <c r="AL859" s="1684"/>
      <c r="AM859" s="1684"/>
      <c r="AN859" s="1684"/>
      <c r="AO859" s="1684"/>
      <c r="AP859" s="1684"/>
      <c r="AQ859" s="1684"/>
      <c r="AR859" s="1684"/>
      <c r="AS859" s="1684"/>
      <c r="AT859" s="1684"/>
      <c r="AU859" s="1684"/>
      <c r="AV859" s="1684"/>
      <c r="AW859" s="1684"/>
      <c r="AX859" s="1684"/>
      <c r="AY859" s="1684"/>
      <c r="AZ859" s="1684"/>
      <c r="BA859" s="1684"/>
      <c r="BB859" s="1684"/>
      <c r="BC859" s="1684"/>
      <c r="BD859" s="1684"/>
      <c r="BE859" s="1684"/>
      <c r="BF859" s="1684"/>
      <c r="BG859" s="1684"/>
      <c r="BH859" s="1684"/>
      <c r="BI859" s="1684"/>
      <c r="BJ859" s="1684"/>
      <c r="BK859" s="1684"/>
      <c r="BL859" s="1684"/>
      <c r="BM859" s="1684"/>
      <c r="BN859" s="1684"/>
      <c r="BO859" s="1684"/>
      <c r="BP859" s="1684"/>
      <c r="BQ859" s="1684"/>
      <c r="BR859" s="1684"/>
      <c r="BS859" s="1684"/>
      <c r="BT859" s="1684"/>
      <c r="BU859" s="1684"/>
      <c r="BV859" s="1684"/>
      <c r="BW859" s="1684"/>
      <c r="BX859" s="1684"/>
      <c r="BY859" s="1684"/>
      <c r="BZ859" s="1684"/>
      <c r="CA859" s="1684"/>
      <c r="CB859" s="1684"/>
      <c r="CC859" s="1684"/>
      <c r="CD859" s="1684"/>
      <c r="CE859" s="1684"/>
      <c r="CF859" s="1684"/>
      <c r="CG859" s="1684"/>
      <c r="CH859" s="1684"/>
      <c r="CI859" s="1684"/>
      <c r="CJ859" s="1684"/>
      <c r="CK859" s="1684"/>
      <c r="CL859" s="1684"/>
      <c r="CM859" s="1684"/>
      <c r="CN859" s="1684"/>
      <c r="CO859" s="1684"/>
    </row>
    <row r="860" spans="1:93" s="1391" customFormat="1" ht="15" x14ac:dyDescent="0.2">
      <c r="A860" s="1684"/>
      <c r="B860" s="1684"/>
      <c r="C860" s="4680" t="s">
        <v>1906</v>
      </c>
      <c r="D860" s="4681"/>
      <c r="E860" s="4681"/>
      <c r="F860" s="4681"/>
      <c r="G860" s="4681"/>
      <c r="H860" s="4681"/>
      <c r="I860" s="4681"/>
      <c r="J860" s="4681"/>
      <c r="K860" s="4681"/>
      <c r="L860" s="4681"/>
      <c r="M860" s="4681"/>
      <c r="N860" s="4681"/>
      <c r="O860" s="4681"/>
      <c r="P860" s="4681"/>
      <c r="Q860" s="4682"/>
      <c r="R860"/>
      <c r="S860" s="1684"/>
      <c r="T860" s="1684"/>
      <c r="U860" s="1684"/>
      <c r="V860" s="1684"/>
      <c r="W860" s="1684"/>
      <c r="X860" s="1684"/>
      <c r="Y860" s="1684"/>
      <c r="Z860" s="1684"/>
      <c r="AA860" s="1684"/>
      <c r="AB860" s="1684"/>
      <c r="AC860" s="1684"/>
      <c r="AD860" s="1684"/>
      <c r="AE860" s="1684"/>
      <c r="AF860" s="1684"/>
      <c r="AG860" s="1684"/>
      <c r="AH860" s="1684"/>
      <c r="AI860" s="1684"/>
      <c r="AJ860" s="1684"/>
      <c r="AK860" s="1684"/>
      <c r="AL860" s="1684"/>
      <c r="AM860" s="1684"/>
      <c r="AN860" s="1684"/>
      <c r="AO860" s="1684"/>
      <c r="AP860" s="1684"/>
      <c r="AQ860" s="1684"/>
      <c r="AR860" s="1684"/>
      <c r="AS860" s="1684"/>
      <c r="AT860" s="1684"/>
      <c r="AU860" s="1684"/>
      <c r="AV860" s="1684"/>
      <c r="AW860" s="1684"/>
      <c r="AX860" s="1684"/>
      <c r="AY860" s="1684"/>
      <c r="AZ860" s="1684"/>
      <c r="BA860" s="1684"/>
      <c r="BB860" s="1684"/>
      <c r="BC860" s="1684"/>
      <c r="BD860" s="1684"/>
      <c r="BE860" s="1684"/>
      <c r="BF860" s="1684"/>
      <c r="BG860" s="1684"/>
      <c r="BH860" s="1684"/>
      <c r="BI860" s="1684"/>
      <c r="BJ860" s="1684"/>
      <c r="BK860" s="1684"/>
      <c r="BL860" s="1684"/>
      <c r="BM860" s="1684"/>
      <c r="BN860" s="1684"/>
      <c r="BO860" s="1684"/>
      <c r="BP860" s="1684"/>
      <c r="BQ860" s="1684"/>
      <c r="BR860" s="1684"/>
      <c r="BS860" s="1684"/>
      <c r="BT860" s="1684"/>
      <c r="BU860" s="1684"/>
      <c r="BV860" s="1684"/>
      <c r="BW860" s="1684"/>
      <c r="BX860" s="1684"/>
      <c r="BY860" s="1684"/>
      <c r="BZ860" s="1684"/>
      <c r="CA860" s="1684"/>
      <c r="CB860" s="1684"/>
      <c r="CC860" s="1684"/>
      <c r="CD860" s="1684"/>
      <c r="CE860" s="1684"/>
      <c r="CF860" s="1684"/>
      <c r="CG860" s="1684"/>
      <c r="CH860" s="1684"/>
      <c r="CI860" s="1684"/>
      <c r="CJ860" s="1684"/>
      <c r="CK860" s="1684"/>
      <c r="CL860" s="1684"/>
      <c r="CM860" s="1684"/>
      <c r="CN860" s="1684"/>
      <c r="CO860" s="1684"/>
    </row>
    <row r="861" spans="1:93" s="1391" customFormat="1" ht="15" x14ac:dyDescent="0.2">
      <c r="A861" s="1684"/>
      <c r="B861" s="1684"/>
      <c r="C861" s="4680"/>
      <c r="D861" s="4681"/>
      <c r="E861" s="4681"/>
      <c r="F861" s="4681"/>
      <c r="G861" s="4681"/>
      <c r="H861" s="4681"/>
      <c r="I861" s="4681"/>
      <c r="J861" s="4681"/>
      <c r="K861" s="4681"/>
      <c r="L861" s="4681"/>
      <c r="M861" s="4681"/>
      <c r="N861" s="4681"/>
      <c r="O861" s="4681"/>
      <c r="P861" s="4681"/>
      <c r="Q861" s="4682"/>
      <c r="R861"/>
      <c r="S861" s="1684"/>
      <c r="T861" s="1684"/>
      <c r="U861" s="1684"/>
      <c r="V861" s="1684"/>
      <c r="W861" s="1684"/>
      <c r="X861" s="1684"/>
      <c r="Y861" s="1684"/>
      <c r="Z861" s="1684"/>
      <c r="AA861" s="1684"/>
      <c r="AB861" s="1684"/>
      <c r="AC861" s="1684"/>
      <c r="AD861" s="1684"/>
      <c r="AE861" s="1684"/>
      <c r="AF861" s="1684"/>
      <c r="AG861" s="1684"/>
      <c r="AH861" s="1684"/>
      <c r="AI861" s="1684"/>
      <c r="AJ861" s="1684"/>
      <c r="AK861" s="1684"/>
      <c r="AL861" s="1684"/>
      <c r="AM861" s="1684"/>
      <c r="AN861" s="1684"/>
      <c r="AO861" s="1684"/>
      <c r="AP861" s="1684"/>
      <c r="AQ861" s="1684"/>
      <c r="AR861" s="1684"/>
      <c r="AS861" s="1684"/>
      <c r="AT861" s="1684"/>
      <c r="AU861" s="1684"/>
      <c r="AV861" s="1684"/>
      <c r="AW861" s="1684"/>
      <c r="AX861" s="1684"/>
      <c r="AY861" s="1684"/>
      <c r="AZ861" s="1684"/>
      <c r="BA861" s="1684"/>
      <c r="BB861" s="1684"/>
      <c r="BC861" s="1684"/>
      <c r="BD861" s="1684"/>
      <c r="BE861" s="1684"/>
      <c r="BF861" s="1684"/>
      <c r="BG861" s="1684"/>
      <c r="BH861" s="1684"/>
      <c r="BI861" s="1684"/>
      <c r="BJ861" s="1684"/>
      <c r="BK861" s="1684"/>
      <c r="BL861" s="1684"/>
      <c r="BM861" s="1684"/>
      <c r="BN861" s="1684"/>
      <c r="BO861" s="1684"/>
      <c r="BP861" s="1684"/>
      <c r="BQ861" s="1684"/>
      <c r="BR861" s="1684"/>
      <c r="BS861" s="1684"/>
      <c r="BT861" s="1684"/>
      <c r="BU861" s="1684"/>
      <c r="BV861" s="1684"/>
      <c r="BW861" s="1684"/>
      <c r="BX861" s="1684"/>
      <c r="BY861" s="1684"/>
      <c r="BZ861" s="1684"/>
      <c r="CA861" s="1684"/>
      <c r="CB861" s="1684"/>
      <c r="CC861" s="1684"/>
      <c r="CD861" s="1684"/>
      <c r="CE861" s="1684"/>
      <c r="CF861" s="1684"/>
      <c r="CG861" s="1684"/>
      <c r="CH861" s="1684"/>
      <c r="CI861" s="1684"/>
      <c r="CJ861" s="1684"/>
      <c r="CK861" s="1684"/>
      <c r="CL861" s="1684"/>
      <c r="CM861" s="1684"/>
      <c r="CN861" s="1684"/>
      <c r="CO861" s="1684"/>
    </row>
    <row r="862" spans="1:93" s="1391" customFormat="1" ht="15" x14ac:dyDescent="0.2">
      <c r="A862" s="1684"/>
      <c r="B862" s="1684"/>
      <c r="C862" s="4680" t="s">
        <v>3690</v>
      </c>
      <c r="D862" s="4681"/>
      <c r="E862" s="4681"/>
      <c r="F862" s="4681"/>
      <c r="G862" s="4681"/>
      <c r="H862" s="4681"/>
      <c r="I862" s="4681"/>
      <c r="J862" s="4681"/>
      <c r="K862" s="4681"/>
      <c r="L862" s="4681"/>
      <c r="M862" s="4681"/>
      <c r="N862" s="4681"/>
      <c r="O862" s="4681"/>
      <c r="P862" s="4681"/>
      <c r="Q862" s="4682"/>
      <c r="R862"/>
      <c r="S862" s="1684"/>
      <c r="T862" s="1684"/>
      <c r="U862" s="1684"/>
      <c r="V862" s="1684"/>
      <c r="W862" s="1684"/>
      <c r="X862" s="1684"/>
      <c r="Y862" s="1684"/>
      <c r="Z862" s="1684"/>
      <c r="AA862" s="1684"/>
      <c r="AB862" s="1684"/>
      <c r="AC862" s="1684"/>
      <c r="AD862" s="1684"/>
      <c r="AE862" s="1684"/>
      <c r="AF862" s="1684"/>
      <c r="AG862" s="1684"/>
      <c r="AH862" s="1684"/>
      <c r="AI862" s="1684"/>
      <c r="AJ862" s="1684"/>
      <c r="AK862" s="1684"/>
      <c r="AL862" s="1684"/>
      <c r="AM862" s="1684"/>
      <c r="AN862" s="1684"/>
      <c r="AO862" s="1684"/>
      <c r="AP862" s="1684"/>
      <c r="AQ862" s="1684"/>
      <c r="AR862" s="1684"/>
      <c r="AS862" s="1684"/>
      <c r="AT862" s="1684"/>
      <c r="AU862" s="1684"/>
      <c r="AV862" s="1684"/>
      <c r="AW862" s="1684"/>
      <c r="AX862" s="1684"/>
      <c r="AY862" s="1684"/>
      <c r="AZ862" s="1684"/>
      <c r="BA862" s="1684"/>
      <c r="BB862" s="1684"/>
      <c r="BC862" s="1684"/>
      <c r="BD862" s="1684"/>
      <c r="BE862" s="1684"/>
      <c r="BF862" s="1684"/>
      <c r="BG862" s="1684"/>
      <c r="BH862" s="1684"/>
      <c r="BI862" s="1684"/>
      <c r="BJ862" s="1684"/>
      <c r="BK862" s="1684"/>
      <c r="BL862" s="1684"/>
      <c r="BM862" s="1684"/>
      <c r="BN862" s="1684"/>
      <c r="BO862" s="1684"/>
      <c r="BP862" s="1684"/>
      <c r="BQ862" s="1684"/>
      <c r="BR862" s="1684"/>
      <c r="BS862" s="1684"/>
      <c r="BT862" s="1684"/>
      <c r="BU862" s="1684"/>
      <c r="BV862" s="1684"/>
      <c r="BW862" s="1684"/>
      <c r="BX862" s="1684"/>
      <c r="BY862" s="1684"/>
      <c r="BZ862" s="1684"/>
      <c r="CA862" s="1684"/>
      <c r="CB862" s="1684"/>
      <c r="CC862" s="1684"/>
      <c r="CD862" s="1684"/>
      <c r="CE862" s="1684"/>
      <c r="CF862" s="1684"/>
      <c r="CG862" s="1684"/>
      <c r="CH862" s="1684"/>
      <c r="CI862" s="1684"/>
      <c r="CJ862" s="1684"/>
      <c r="CK862" s="1684"/>
      <c r="CL862" s="1684"/>
      <c r="CM862" s="1684"/>
      <c r="CN862" s="1684"/>
      <c r="CO862" s="1684"/>
    </row>
    <row r="863" spans="1:93" s="1391" customFormat="1" ht="15" x14ac:dyDescent="0.2">
      <c r="A863" s="1684"/>
      <c r="B863" s="1684"/>
      <c r="C863" s="4680"/>
      <c r="D863" s="4681"/>
      <c r="E863" s="4681"/>
      <c r="F863" s="4681"/>
      <c r="G863" s="4681"/>
      <c r="H863" s="4681"/>
      <c r="I863" s="4681"/>
      <c r="J863" s="4681"/>
      <c r="K863" s="4681"/>
      <c r="L863" s="4681"/>
      <c r="M863" s="4681"/>
      <c r="N863" s="4681"/>
      <c r="O863" s="4681"/>
      <c r="P863" s="4681"/>
      <c r="Q863" s="4682"/>
      <c r="R863"/>
      <c r="S863" s="1684"/>
      <c r="T863" s="1684"/>
      <c r="U863" s="1684"/>
      <c r="V863" s="1684"/>
      <c r="W863" s="1684"/>
      <c r="X863" s="1684"/>
      <c r="Y863" s="1684"/>
      <c r="Z863" s="1684"/>
      <c r="AA863" s="1684"/>
      <c r="AB863" s="1684"/>
      <c r="AC863" s="1684"/>
      <c r="AD863" s="1684"/>
      <c r="AE863" s="1684"/>
      <c r="AF863" s="1684"/>
      <c r="AG863" s="1684"/>
      <c r="AH863" s="1684"/>
      <c r="AI863" s="1684"/>
      <c r="AJ863" s="1684"/>
      <c r="AK863" s="1684"/>
      <c r="AL863" s="1684"/>
      <c r="AM863" s="1684"/>
      <c r="AN863" s="1684"/>
      <c r="AO863" s="1684"/>
      <c r="AP863" s="1684"/>
      <c r="AQ863" s="1684"/>
      <c r="AR863" s="1684"/>
      <c r="AS863" s="1684"/>
      <c r="AT863" s="1684"/>
      <c r="AU863" s="1684"/>
      <c r="AV863" s="1684"/>
      <c r="AW863" s="1684"/>
      <c r="AX863" s="1684"/>
      <c r="AY863" s="1684"/>
      <c r="AZ863" s="1684"/>
      <c r="BA863" s="1684"/>
      <c r="BB863" s="1684"/>
      <c r="BC863" s="1684"/>
      <c r="BD863" s="1684"/>
      <c r="BE863" s="1684"/>
      <c r="BF863" s="1684"/>
      <c r="BG863" s="1684"/>
      <c r="BH863" s="1684"/>
      <c r="BI863" s="1684"/>
      <c r="BJ863" s="1684"/>
      <c r="BK863" s="1684"/>
      <c r="BL863" s="1684"/>
      <c r="BM863" s="1684"/>
      <c r="BN863" s="1684"/>
      <c r="BO863" s="1684"/>
      <c r="BP863" s="1684"/>
      <c r="BQ863" s="1684"/>
      <c r="BR863" s="1684"/>
      <c r="BS863" s="1684"/>
      <c r="BT863" s="1684"/>
      <c r="BU863" s="1684"/>
      <c r="BV863" s="1684"/>
      <c r="BW863" s="1684"/>
      <c r="BX863" s="1684"/>
      <c r="BY863" s="1684"/>
      <c r="BZ863" s="1684"/>
      <c r="CA863" s="1684"/>
      <c r="CB863" s="1684"/>
      <c r="CC863" s="1684"/>
      <c r="CD863" s="1684"/>
      <c r="CE863" s="1684"/>
      <c r="CF863" s="1684"/>
      <c r="CG863" s="1684"/>
      <c r="CH863" s="1684"/>
      <c r="CI863" s="1684"/>
      <c r="CJ863" s="1684"/>
      <c r="CK863" s="1684"/>
      <c r="CL863" s="1684"/>
      <c r="CM863" s="1684"/>
      <c r="CN863" s="1684"/>
      <c r="CO863" s="1684"/>
    </row>
    <row r="864" spans="1:93" s="1391" customFormat="1" ht="15" x14ac:dyDescent="0.2">
      <c r="A864" s="1684"/>
      <c r="B864" s="1684"/>
      <c r="C864" s="2013"/>
      <c r="D864" s="5"/>
      <c r="E864" s="5">
        <v>1</v>
      </c>
      <c r="F864" s="5">
        <v>2</v>
      </c>
      <c r="G864" s="5">
        <v>3</v>
      </c>
      <c r="H864" s="5">
        <v>4</v>
      </c>
      <c r="I864" s="5">
        <v>5</v>
      </c>
      <c r="J864" s="5">
        <v>6</v>
      </c>
      <c r="K864" s="5">
        <v>7</v>
      </c>
      <c r="L864" s="5">
        <v>8</v>
      </c>
      <c r="M864" s="5">
        <v>9</v>
      </c>
      <c r="N864" s="5">
        <v>10</v>
      </c>
      <c r="O864" s="5">
        <v>11</v>
      </c>
      <c r="P864" s="5">
        <v>12</v>
      </c>
      <c r="Q864" s="1160"/>
      <c r="R864"/>
      <c r="S864" s="1684"/>
      <c r="T864" s="1684"/>
      <c r="U864" s="1684"/>
      <c r="V864" s="1684"/>
      <c r="W864" s="1684"/>
      <c r="X864" s="1684"/>
      <c r="Y864" s="1684"/>
      <c r="Z864" s="1684"/>
      <c r="AA864" s="1684"/>
      <c r="AB864" s="1684"/>
      <c r="AC864" s="1684"/>
      <c r="AD864" s="1684"/>
      <c r="AE864" s="1684"/>
      <c r="AF864" s="1684"/>
      <c r="AG864" s="1684"/>
      <c r="AH864" s="1684"/>
      <c r="AI864" s="1684"/>
      <c r="AJ864" s="1684"/>
      <c r="AK864" s="1684"/>
      <c r="AL864" s="1684"/>
      <c r="AM864" s="1684"/>
      <c r="AN864" s="1684"/>
      <c r="AO864" s="1684"/>
      <c r="AP864" s="1684"/>
      <c r="AQ864" s="1684"/>
      <c r="AR864" s="1684"/>
      <c r="AS864" s="1684"/>
      <c r="AT864" s="1684"/>
      <c r="AU864" s="1684"/>
      <c r="AV864" s="1684"/>
      <c r="AW864" s="1684"/>
      <c r="AX864" s="1684"/>
      <c r="AY864" s="1684"/>
      <c r="AZ864" s="1684"/>
      <c r="BA864" s="1684"/>
      <c r="BB864" s="1684"/>
      <c r="BC864" s="1684"/>
      <c r="BD864" s="1684"/>
      <c r="BE864" s="1684"/>
      <c r="BF864" s="1684"/>
      <c r="BG864" s="1684"/>
      <c r="BH864" s="1684"/>
      <c r="BI864" s="1684"/>
      <c r="BJ864" s="1684"/>
      <c r="BK864" s="1684"/>
      <c r="BL864" s="1684"/>
      <c r="BM864" s="1684"/>
      <c r="BN864" s="1684"/>
      <c r="BO864" s="1684"/>
      <c r="BP864" s="1684"/>
      <c r="BQ864" s="1684"/>
      <c r="BR864" s="1684"/>
      <c r="BS864" s="1684"/>
      <c r="BT864" s="1684"/>
      <c r="BU864" s="1684"/>
      <c r="BV864" s="1684"/>
      <c r="BW864" s="1684"/>
      <c r="BX864" s="1684"/>
      <c r="BY864" s="1684"/>
      <c r="BZ864" s="1684"/>
      <c r="CA864" s="1684"/>
      <c r="CB864" s="1684"/>
      <c r="CC864" s="1684"/>
      <c r="CD864" s="1684"/>
      <c r="CE864" s="1684"/>
      <c r="CF864" s="1684"/>
      <c r="CG864" s="1684"/>
      <c r="CH864" s="1684"/>
      <c r="CI864" s="1684"/>
      <c r="CJ864" s="1684"/>
      <c r="CK864" s="1684"/>
      <c r="CL864" s="1684"/>
      <c r="CM864" s="1684"/>
      <c r="CN864" s="1684"/>
      <c r="CO864" s="1684"/>
    </row>
    <row r="865" spans="1:93" s="1391" customFormat="1" ht="15" x14ac:dyDescent="0.2">
      <c r="A865" s="1684"/>
      <c r="B865" s="1684"/>
      <c r="C865" s="2013">
        <v>8</v>
      </c>
      <c r="D865" s="5">
        <v>5.351</v>
      </c>
      <c r="E865" s="5">
        <v>131</v>
      </c>
      <c r="F865" s="5">
        <v>145</v>
      </c>
      <c r="G865" s="5">
        <v>158</v>
      </c>
      <c r="H865" s="5">
        <v>171</v>
      </c>
      <c r="I865" s="5">
        <v>184</v>
      </c>
      <c r="J865" s="5">
        <v>197</v>
      </c>
      <c r="K865" s="5">
        <v>210</v>
      </c>
      <c r="L865" s="5">
        <v>223</v>
      </c>
      <c r="M865" s="5">
        <v>235</v>
      </c>
      <c r="N865" s="5">
        <v>247</v>
      </c>
      <c r="O865" s="5">
        <v>260</v>
      </c>
      <c r="P865" s="5">
        <v>272</v>
      </c>
      <c r="Q865" s="1160">
        <v>45</v>
      </c>
      <c r="R865"/>
      <c r="S865" s="1684"/>
      <c r="T865" s="1684"/>
      <c r="U865" s="1684"/>
      <c r="V865" s="1684"/>
      <c r="W865" s="1684"/>
      <c r="X865" s="1684"/>
      <c r="Y865" s="1684"/>
      <c r="Z865" s="1684"/>
      <c r="AA865" s="1684"/>
      <c r="AB865" s="1684"/>
      <c r="AC865" s="1684"/>
      <c r="AD865" s="1684"/>
      <c r="AE865" s="1684"/>
      <c r="AF865" s="1684"/>
      <c r="AG865" s="1684"/>
      <c r="AH865" s="1684"/>
      <c r="AI865" s="1684"/>
      <c r="AJ865" s="1684"/>
      <c r="AK865" s="1684"/>
      <c r="AL865" s="1684"/>
      <c r="AM865" s="1684"/>
      <c r="AN865" s="1684"/>
      <c r="AO865" s="1684"/>
      <c r="AP865" s="1684"/>
      <c r="AQ865" s="1684"/>
      <c r="AR865" s="1684"/>
      <c r="AS865" s="1684"/>
      <c r="AT865" s="1684"/>
      <c r="AU865" s="1684"/>
      <c r="AV865" s="1684"/>
      <c r="AW865" s="1684"/>
      <c r="AX865" s="1684"/>
      <c r="AY865" s="1684"/>
      <c r="AZ865" s="1684"/>
      <c r="BA865" s="1684"/>
      <c r="BB865" s="1684"/>
      <c r="BC865" s="1684"/>
      <c r="BD865" s="1684"/>
      <c r="BE865" s="1684"/>
      <c r="BF865" s="1684"/>
      <c r="BG865" s="1684"/>
      <c r="BH865" s="1684"/>
      <c r="BI865" s="1684"/>
      <c r="BJ865" s="1684"/>
      <c r="BK865" s="1684"/>
      <c r="BL865" s="1684"/>
      <c r="BM865" s="1684"/>
      <c r="BN865" s="1684"/>
      <c r="BO865" s="1684"/>
      <c r="BP865" s="1684"/>
      <c r="BQ865" s="1684"/>
      <c r="BR865" s="1684"/>
      <c r="BS865" s="1684"/>
      <c r="BT865" s="1684"/>
      <c r="BU865" s="1684"/>
      <c r="BV865" s="1684"/>
      <c r="BW865" s="1684"/>
      <c r="BX865" s="1684"/>
      <c r="BY865" s="1684"/>
      <c r="BZ865" s="1684"/>
      <c r="CA865" s="1684"/>
      <c r="CB865" s="1684"/>
      <c r="CC865" s="1684"/>
      <c r="CD865" s="1684"/>
      <c r="CE865" s="1684"/>
      <c r="CF865" s="1684"/>
      <c r="CG865" s="1684"/>
      <c r="CH865" s="1684"/>
      <c r="CI865" s="1684"/>
      <c r="CJ865" s="1684"/>
      <c r="CK865" s="1684"/>
      <c r="CL865" s="1684"/>
      <c r="CM865" s="1684"/>
      <c r="CN865" s="1684"/>
      <c r="CO865" s="1684"/>
    </row>
    <row r="866" spans="1:93" s="1391" customFormat="1" ht="15" x14ac:dyDescent="0.2">
      <c r="A866" s="1684"/>
      <c r="B866" s="1684"/>
      <c r="C866" s="2013">
        <v>9</v>
      </c>
      <c r="D866" s="5">
        <v>5.6529999999999996</v>
      </c>
      <c r="E866" s="5">
        <v>143</v>
      </c>
      <c r="F866" s="5">
        <v>158</v>
      </c>
      <c r="G866" s="5">
        <v>173</v>
      </c>
      <c r="H866" s="5">
        <v>187</v>
      </c>
      <c r="I866" s="5">
        <v>201</v>
      </c>
      <c r="J866" s="5">
        <v>215</v>
      </c>
      <c r="K866" s="5">
        <v>228</v>
      </c>
      <c r="L866" s="5">
        <v>243</v>
      </c>
      <c r="M866" s="5">
        <v>255</v>
      </c>
      <c r="N866" s="5">
        <v>269</v>
      </c>
      <c r="O866" s="5">
        <v>282</v>
      </c>
      <c r="P866" s="5">
        <v>295</v>
      </c>
      <c r="Q866" s="1160">
        <v>46</v>
      </c>
      <c r="R866"/>
      <c r="S866" s="1684"/>
      <c r="T866" s="1684"/>
      <c r="U866" s="1684"/>
      <c r="V866" s="1684"/>
      <c r="W866" s="1684"/>
      <c r="X866" s="1684"/>
      <c r="Y866" s="1684"/>
      <c r="Z866" s="1684"/>
      <c r="AA866" s="1684"/>
      <c r="AB866" s="1684"/>
      <c r="AC866" s="1684"/>
      <c r="AD866" s="1684"/>
      <c r="AE866" s="1684"/>
      <c r="AF866" s="1684"/>
      <c r="AG866" s="1684"/>
      <c r="AH866" s="1684"/>
      <c r="AI866" s="1684"/>
      <c r="AJ866" s="1684"/>
      <c r="AK866" s="1684"/>
      <c r="AL866" s="1684"/>
      <c r="AM866" s="1684"/>
      <c r="AN866" s="1684"/>
      <c r="AO866" s="1684"/>
      <c r="AP866" s="1684"/>
      <c r="AQ866" s="1684"/>
      <c r="AR866" s="1684"/>
      <c r="AS866" s="1684"/>
      <c r="AT866" s="1684"/>
      <c r="AU866" s="1684"/>
      <c r="AV866" s="1684"/>
      <c r="AW866" s="1684"/>
      <c r="AX866" s="1684"/>
      <c r="AY866" s="1684"/>
      <c r="AZ866" s="1684"/>
      <c r="BA866" s="1684"/>
      <c r="BB866" s="1684"/>
      <c r="BC866" s="1684"/>
      <c r="BD866" s="1684"/>
      <c r="BE866" s="1684"/>
      <c r="BF866" s="1684"/>
      <c r="BG866" s="1684"/>
      <c r="BH866" s="1684"/>
      <c r="BI866" s="1684"/>
      <c r="BJ866" s="1684"/>
      <c r="BK866" s="1684"/>
      <c r="BL866" s="1684"/>
      <c r="BM866" s="1684"/>
      <c r="BN866" s="1684"/>
      <c r="BO866" s="1684"/>
      <c r="BP866" s="1684"/>
      <c r="BQ866" s="1684"/>
      <c r="BR866" s="1684"/>
      <c r="BS866" s="1684"/>
      <c r="BT866" s="1684"/>
      <c r="BU866" s="1684"/>
      <c r="BV866" s="1684"/>
      <c r="BW866" s="1684"/>
      <c r="BX866" s="1684"/>
      <c r="BY866" s="1684"/>
      <c r="BZ866" s="1684"/>
      <c r="CA866" s="1684"/>
      <c r="CB866" s="1684"/>
      <c r="CC866" s="1684"/>
      <c r="CD866" s="1684"/>
      <c r="CE866" s="1684"/>
      <c r="CF866" s="1684"/>
      <c r="CG866" s="1684"/>
      <c r="CH866" s="1684"/>
      <c r="CI866" s="1684"/>
      <c r="CJ866" s="1684"/>
      <c r="CK866" s="1684"/>
      <c r="CL866" s="1684"/>
      <c r="CM866" s="1684"/>
      <c r="CN866" s="1684"/>
      <c r="CO866" s="1684"/>
    </row>
    <row r="867" spans="1:93" s="1391" customFormat="1" ht="15" x14ac:dyDescent="0.2">
      <c r="A867" s="1684"/>
      <c r="B867" s="1684"/>
      <c r="C867" s="2013">
        <v>10</v>
      </c>
      <c r="D867" s="5">
        <v>5.9649999999999999</v>
      </c>
      <c r="E867" s="5">
        <v>155</v>
      </c>
      <c r="F867" s="5">
        <v>172</v>
      </c>
      <c r="G867" s="5">
        <v>187</v>
      </c>
      <c r="H867" s="5">
        <v>202</v>
      </c>
      <c r="I867" s="5">
        <v>217</v>
      </c>
      <c r="J867" s="5">
        <v>232</v>
      </c>
      <c r="K867" s="5">
        <v>248</v>
      </c>
      <c r="L867" s="5">
        <v>262</v>
      </c>
      <c r="M867" s="5">
        <v>276</v>
      </c>
      <c r="N867" s="5">
        <v>291</v>
      </c>
      <c r="O867" s="5">
        <v>305</v>
      </c>
      <c r="P867" s="5">
        <v>319</v>
      </c>
      <c r="Q867" s="1160">
        <v>47</v>
      </c>
      <c r="R867"/>
      <c r="S867" s="1684"/>
      <c r="T867" s="1684"/>
      <c r="U867" s="1684"/>
      <c r="V867" s="1684"/>
      <c r="W867" s="1684"/>
      <c r="X867" s="1684"/>
      <c r="Y867" s="1684"/>
      <c r="Z867" s="1684"/>
      <c r="AA867" s="1684"/>
      <c r="AB867" s="1684"/>
      <c r="AC867" s="1684"/>
      <c r="AD867" s="1684"/>
      <c r="AE867" s="1684"/>
      <c r="AF867" s="1684"/>
      <c r="AG867" s="1684"/>
      <c r="AH867" s="1684"/>
      <c r="AI867" s="1684"/>
      <c r="AJ867" s="1684"/>
      <c r="AK867" s="1684"/>
      <c r="AL867" s="1684"/>
      <c r="AM867" s="1684"/>
      <c r="AN867" s="1684"/>
      <c r="AO867" s="1684"/>
      <c r="AP867" s="1684"/>
      <c r="AQ867" s="1684"/>
      <c r="AR867" s="1684"/>
      <c r="AS867" s="1684"/>
      <c r="AT867" s="1684"/>
      <c r="AU867" s="1684"/>
      <c r="AV867" s="1684"/>
      <c r="AW867" s="1684"/>
      <c r="AX867" s="1684"/>
      <c r="AY867" s="1684"/>
      <c r="AZ867" s="1684"/>
      <c r="BA867" s="1684"/>
      <c r="BB867" s="1684"/>
      <c r="BC867" s="1684"/>
      <c r="BD867" s="1684"/>
      <c r="BE867" s="1684"/>
      <c r="BF867" s="1684"/>
      <c r="BG867" s="1684"/>
      <c r="BH867" s="1684"/>
      <c r="BI867" s="1684"/>
      <c r="BJ867" s="1684"/>
      <c r="BK867" s="1684"/>
      <c r="BL867" s="1684"/>
      <c r="BM867" s="1684"/>
      <c r="BN867" s="1684"/>
      <c r="BO867" s="1684"/>
      <c r="BP867" s="1684"/>
      <c r="BQ867" s="1684"/>
      <c r="BR867" s="1684"/>
      <c r="BS867" s="1684"/>
      <c r="BT867" s="1684"/>
      <c r="BU867" s="1684"/>
      <c r="BV867" s="1684"/>
      <c r="BW867" s="1684"/>
      <c r="BX867" s="1684"/>
      <c r="BY867" s="1684"/>
      <c r="BZ867" s="1684"/>
      <c r="CA867" s="1684"/>
      <c r="CB867" s="1684"/>
      <c r="CC867" s="1684"/>
      <c r="CD867" s="1684"/>
      <c r="CE867" s="1684"/>
      <c r="CF867" s="1684"/>
      <c r="CG867" s="1684"/>
      <c r="CH867" s="1684"/>
      <c r="CI867" s="1684"/>
      <c r="CJ867" s="1684"/>
      <c r="CK867" s="1684"/>
      <c r="CL867" s="1684"/>
      <c r="CM867" s="1684"/>
      <c r="CN867" s="1684"/>
      <c r="CO867" s="1684"/>
    </row>
    <row r="868" spans="1:93" s="1391" customFormat="1" ht="15" x14ac:dyDescent="0.2">
      <c r="A868" s="1684"/>
      <c r="B868" s="1684"/>
      <c r="C868" s="2013">
        <v>11</v>
      </c>
      <c r="D868" s="5">
        <v>6.3090000000000002</v>
      </c>
      <c r="E868" s="5">
        <v>169</v>
      </c>
      <c r="F868" s="5">
        <v>186</v>
      </c>
      <c r="G868" s="5">
        <v>203</v>
      </c>
      <c r="H868" s="5">
        <v>212</v>
      </c>
      <c r="I868" s="5">
        <v>235</v>
      </c>
      <c r="J868" s="5">
        <v>252</v>
      </c>
      <c r="K868" s="5">
        <v>267</v>
      </c>
      <c r="L868" s="5">
        <v>284</v>
      </c>
      <c r="M868" s="5">
        <v>299</v>
      </c>
      <c r="N868" s="5">
        <v>314</v>
      </c>
      <c r="O868" s="5">
        <v>329</v>
      </c>
      <c r="P868" s="5">
        <v>345</v>
      </c>
      <c r="Q868" s="1160">
        <v>48</v>
      </c>
      <c r="R868"/>
      <c r="S868" s="1684"/>
      <c r="T868" s="1684"/>
      <c r="U868" s="1684"/>
      <c r="V868" s="1684"/>
      <c r="W868" s="1684"/>
      <c r="X868" s="1684"/>
      <c r="Y868" s="1684"/>
      <c r="Z868" s="1684"/>
      <c r="AA868" s="1684"/>
      <c r="AB868" s="1684"/>
      <c r="AC868" s="1684"/>
      <c r="AD868" s="1684"/>
      <c r="AE868" s="1684"/>
      <c r="AF868" s="1684"/>
      <c r="AG868" s="1684"/>
      <c r="AH868" s="1684"/>
      <c r="AI868" s="1684"/>
      <c r="AJ868" s="1684"/>
      <c r="AK868" s="1684"/>
      <c r="AL868" s="1684"/>
      <c r="AM868" s="1684"/>
      <c r="AN868" s="1684"/>
      <c r="AO868" s="1684"/>
      <c r="AP868" s="1684"/>
      <c r="AQ868" s="1684"/>
      <c r="AR868" s="1684"/>
      <c r="AS868" s="1684"/>
      <c r="AT868" s="1684"/>
      <c r="AU868" s="1684"/>
      <c r="AV868" s="1684"/>
      <c r="AW868" s="1684"/>
      <c r="AX868" s="1684"/>
      <c r="AY868" s="1684"/>
      <c r="AZ868" s="1684"/>
      <c r="BA868" s="1684"/>
      <c r="BB868" s="1684"/>
      <c r="BC868" s="1684"/>
      <c r="BD868" s="1684"/>
      <c r="BE868" s="1684"/>
      <c r="BF868" s="1684"/>
      <c r="BG868" s="1684"/>
      <c r="BH868" s="1684"/>
      <c r="BI868" s="1684"/>
      <c r="BJ868" s="1684"/>
      <c r="BK868" s="1684"/>
      <c r="BL868" s="1684"/>
      <c r="BM868" s="1684"/>
      <c r="BN868" s="1684"/>
      <c r="BO868" s="1684"/>
      <c r="BP868" s="1684"/>
      <c r="BQ868" s="1684"/>
      <c r="BR868" s="1684"/>
      <c r="BS868" s="1684"/>
      <c r="BT868" s="1684"/>
      <c r="BU868" s="1684"/>
      <c r="BV868" s="1684"/>
      <c r="BW868" s="1684"/>
      <c r="BX868" s="1684"/>
      <c r="BY868" s="1684"/>
      <c r="BZ868" s="1684"/>
      <c r="CA868" s="1684"/>
      <c r="CB868" s="1684"/>
      <c r="CC868" s="1684"/>
      <c r="CD868" s="1684"/>
      <c r="CE868" s="1684"/>
      <c r="CF868" s="1684"/>
      <c r="CG868" s="1684"/>
      <c r="CH868" s="1684"/>
      <c r="CI868" s="1684"/>
      <c r="CJ868" s="1684"/>
      <c r="CK868" s="1684"/>
      <c r="CL868" s="1684"/>
      <c r="CM868" s="1684"/>
      <c r="CN868" s="1684"/>
      <c r="CO868" s="1684"/>
    </row>
    <row r="869" spans="1:93" s="1391" customFormat="1" ht="15" x14ac:dyDescent="0.2">
      <c r="A869" s="1684"/>
      <c r="B869" s="1684"/>
      <c r="C869" s="2013">
        <v>12</v>
      </c>
      <c r="D869" s="5">
        <v>6.6619999999999999</v>
      </c>
      <c r="E869" s="5">
        <v>182</v>
      </c>
      <c r="F869" s="5">
        <v>201</v>
      </c>
      <c r="G869" s="5">
        <v>219</v>
      </c>
      <c r="H869" s="5">
        <v>236</v>
      </c>
      <c r="I869" s="5">
        <v>254</v>
      </c>
      <c r="J869" s="5">
        <v>271</v>
      </c>
      <c r="K869" s="5">
        <v>288</v>
      </c>
      <c r="L869" s="5">
        <v>306</v>
      </c>
      <c r="M869" s="5">
        <v>321</v>
      </c>
      <c r="N869" s="5">
        <v>338</v>
      </c>
      <c r="O869" s="5">
        <v>354</v>
      </c>
      <c r="P869" s="5">
        <v>370</v>
      </c>
      <c r="Q869" s="1160">
        <v>49</v>
      </c>
      <c r="R869"/>
      <c r="S869" s="1684"/>
      <c r="T869" s="1684"/>
      <c r="U869" s="1684"/>
      <c r="V869" s="1684"/>
      <c r="W869" s="1684"/>
      <c r="X869" s="1684"/>
      <c r="Y869" s="1684"/>
      <c r="Z869" s="1684"/>
      <c r="AA869" s="1684"/>
      <c r="AB869" s="1684"/>
      <c r="AC869" s="1684"/>
      <c r="AD869" s="1684"/>
      <c r="AE869" s="1684"/>
      <c r="AF869" s="1684"/>
      <c r="AG869" s="1684"/>
      <c r="AH869" s="1684"/>
      <c r="AI869" s="1684"/>
      <c r="AJ869" s="1684"/>
      <c r="AK869" s="1684"/>
      <c r="AL869" s="1684"/>
      <c r="AM869" s="1684"/>
      <c r="AN869" s="1684"/>
      <c r="AO869" s="1684"/>
      <c r="AP869" s="1684"/>
      <c r="AQ869" s="1684"/>
      <c r="AR869" s="1684"/>
      <c r="AS869" s="1684"/>
      <c r="AT869" s="1684"/>
      <c r="AU869" s="1684"/>
      <c r="AV869" s="1684"/>
      <c r="AW869" s="1684"/>
      <c r="AX869" s="1684"/>
      <c r="AY869" s="1684"/>
      <c r="AZ869" s="1684"/>
      <c r="BA869" s="1684"/>
      <c r="BB869" s="1684"/>
      <c r="BC869" s="1684"/>
      <c r="BD869" s="1684"/>
      <c r="BE869" s="1684"/>
      <c r="BF869" s="1684"/>
      <c r="BG869" s="1684"/>
      <c r="BH869" s="1684"/>
      <c r="BI869" s="1684"/>
      <c r="BJ869" s="1684"/>
      <c r="BK869" s="1684"/>
      <c r="BL869" s="1684"/>
      <c r="BM869" s="1684"/>
      <c r="BN869" s="1684"/>
      <c r="BO869" s="1684"/>
      <c r="BP869" s="1684"/>
      <c r="BQ869" s="1684"/>
      <c r="BR869" s="1684"/>
      <c r="BS869" s="1684"/>
      <c r="BT869" s="1684"/>
      <c r="BU869" s="1684"/>
      <c r="BV869" s="1684"/>
      <c r="BW869" s="1684"/>
      <c r="BX869" s="1684"/>
      <c r="BY869" s="1684"/>
      <c r="BZ869" s="1684"/>
      <c r="CA869" s="1684"/>
      <c r="CB869" s="1684"/>
      <c r="CC869" s="1684"/>
      <c r="CD869" s="1684"/>
      <c r="CE869" s="1684"/>
      <c r="CF869" s="1684"/>
      <c r="CG869" s="1684"/>
      <c r="CH869" s="1684"/>
      <c r="CI869" s="1684"/>
      <c r="CJ869" s="1684"/>
      <c r="CK869" s="1684"/>
      <c r="CL869" s="1684"/>
      <c r="CM869" s="1684"/>
      <c r="CN869" s="1684"/>
      <c r="CO869" s="1684"/>
    </row>
    <row r="870" spans="1:93" s="1391" customFormat="1" ht="15" x14ac:dyDescent="0.2">
      <c r="A870" s="1684"/>
      <c r="B870" s="1684"/>
      <c r="C870" s="2013">
        <v>13</v>
      </c>
      <c r="D870" s="5">
        <v>7.0140000000000002</v>
      </c>
      <c r="E870" s="5">
        <v>195</v>
      </c>
      <c r="F870" s="5">
        <v>215</v>
      </c>
      <c r="G870" s="5">
        <v>234</v>
      </c>
      <c r="H870" s="5">
        <v>253</v>
      </c>
      <c r="I870" s="5">
        <v>272</v>
      </c>
      <c r="J870" s="5">
        <v>290</v>
      </c>
      <c r="K870" s="5">
        <v>303</v>
      </c>
      <c r="L870" s="5">
        <v>327</v>
      </c>
      <c r="M870" s="5">
        <v>344</v>
      </c>
      <c r="N870" s="5">
        <v>361</v>
      </c>
      <c r="O870" s="5">
        <v>378</v>
      </c>
      <c r="P870" s="5">
        <v>395</v>
      </c>
      <c r="Q870" s="1160">
        <v>50</v>
      </c>
      <c r="R870"/>
      <c r="S870" s="1684"/>
      <c r="T870" s="1684"/>
      <c r="U870" s="1684"/>
      <c r="V870" s="1684"/>
      <c r="W870" s="1684"/>
      <c r="X870" s="1684"/>
      <c r="Y870" s="1684"/>
      <c r="Z870" s="1684"/>
      <c r="AA870" s="1684"/>
      <c r="AB870" s="1684"/>
      <c r="AC870" s="1684"/>
      <c r="AD870" s="1684"/>
      <c r="AE870" s="1684"/>
      <c r="AF870" s="1684"/>
      <c r="AG870" s="1684"/>
      <c r="AH870" s="1684"/>
      <c r="AI870" s="1684"/>
      <c r="AJ870" s="1684"/>
      <c r="AK870" s="1684"/>
      <c r="AL870" s="1684"/>
      <c r="AM870" s="1684"/>
      <c r="AN870" s="1684"/>
      <c r="AO870" s="1684"/>
      <c r="AP870" s="1684"/>
      <c r="AQ870" s="1684"/>
      <c r="AR870" s="1684"/>
      <c r="AS870" s="1684"/>
      <c r="AT870" s="1684"/>
      <c r="AU870" s="1684"/>
      <c r="AV870" s="1684"/>
      <c r="AW870" s="1684"/>
      <c r="AX870" s="1684"/>
      <c r="AY870" s="1684"/>
      <c r="AZ870" s="1684"/>
      <c r="BA870" s="1684"/>
      <c r="BB870" s="1684"/>
      <c r="BC870" s="1684"/>
      <c r="BD870" s="1684"/>
      <c r="BE870" s="1684"/>
      <c r="BF870" s="1684"/>
      <c r="BG870" s="1684"/>
      <c r="BH870" s="1684"/>
      <c r="BI870" s="1684"/>
      <c r="BJ870" s="1684"/>
      <c r="BK870" s="1684"/>
      <c r="BL870" s="1684"/>
      <c r="BM870" s="1684"/>
      <c r="BN870" s="1684"/>
      <c r="BO870" s="1684"/>
      <c r="BP870" s="1684"/>
      <c r="BQ870" s="1684"/>
      <c r="BR870" s="1684"/>
      <c r="BS870" s="1684"/>
      <c r="BT870" s="1684"/>
      <c r="BU870" s="1684"/>
      <c r="BV870" s="1684"/>
      <c r="BW870" s="1684"/>
      <c r="BX870" s="1684"/>
      <c r="BY870" s="1684"/>
      <c r="BZ870" s="1684"/>
      <c r="CA870" s="1684"/>
      <c r="CB870" s="1684"/>
      <c r="CC870" s="1684"/>
      <c r="CD870" s="1684"/>
      <c r="CE870" s="1684"/>
      <c r="CF870" s="1684"/>
      <c r="CG870" s="1684"/>
      <c r="CH870" s="1684"/>
      <c r="CI870" s="1684"/>
      <c r="CJ870" s="1684"/>
      <c r="CK870" s="1684"/>
      <c r="CL870" s="1684"/>
      <c r="CM870" s="1684"/>
      <c r="CN870" s="1684"/>
      <c r="CO870" s="1684"/>
    </row>
    <row r="871" spans="1:93" s="1391" customFormat="1" ht="15" x14ac:dyDescent="0.2">
      <c r="A871" s="1684"/>
      <c r="B871" s="1684"/>
      <c r="C871" s="2013">
        <v>14</v>
      </c>
      <c r="D871" s="5">
        <v>7.3789999999999996</v>
      </c>
      <c r="E871" s="5">
        <v>209</v>
      </c>
      <c r="F871" s="5">
        <v>230</v>
      </c>
      <c r="G871" s="5">
        <v>250</v>
      </c>
      <c r="H871" s="5">
        <v>270</v>
      </c>
      <c r="I871" s="5">
        <v>290</v>
      </c>
      <c r="J871" s="5">
        <v>309</v>
      </c>
      <c r="K871" s="5">
        <v>320</v>
      </c>
      <c r="L871" s="5">
        <v>348</v>
      </c>
      <c r="M871" s="5">
        <v>366</v>
      </c>
      <c r="N871" s="5">
        <v>384</v>
      </c>
      <c r="O871" s="5">
        <v>403</v>
      </c>
      <c r="P871" s="5">
        <v>421</v>
      </c>
      <c r="Q871" s="1160">
        <v>51</v>
      </c>
      <c r="R871"/>
      <c r="S871" s="1684"/>
      <c r="T871" s="1684"/>
      <c r="U871" s="1684"/>
      <c r="V871" s="1684"/>
      <c r="W871" s="1684"/>
      <c r="X871" s="1684"/>
      <c r="Y871" s="1684"/>
      <c r="Z871" s="1684"/>
      <c r="AA871" s="1684"/>
      <c r="AB871" s="1684"/>
      <c r="AC871" s="1684"/>
      <c r="AD871" s="1684"/>
      <c r="AE871" s="1684"/>
      <c r="AF871" s="1684"/>
      <c r="AG871" s="1684"/>
      <c r="AH871" s="1684"/>
      <c r="AI871" s="1684"/>
      <c r="AJ871" s="1684"/>
      <c r="AK871" s="1684"/>
      <c r="AL871" s="1684"/>
      <c r="AM871" s="1684"/>
      <c r="AN871" s="1684"/>
      <c r="AO871" s="1684"/>
      <c r="AP871" s="1684"/>
      <c r="AQ871" s="1684"/>
      <c r="AR871" s="1684"/>
      <c r="AS871" s="1684"/>
      <c r="AT871" s="1684"/>
      <c r="AU871" s="1684"/>
      <c r="AV871" s="1684"/>
      <c r="AW871" s="1684"/>
      <c r="AX871" s="1684"/>
      <c r="AY871" s="1684"/>
      <c r="AZ871" s="1684"/>
      <c r="BA871" s="1684"/>
      <c r="BB871" s="1684"/>
      <c r="BC871" s="1684"/>
      <c r="BD871" s="1684"/>
      <c r="BE871" s="1684"/>
      <c r="BF871" s="1684"/>
      <c r="BG871" s="1684"/>
      <c r="BH871" s="1684"/>
      <c r="BI871" s="1684"/>
      <c r="BJ871" s="1684"/>
      <c r="BK871" s="1684"/>
      <c r="BL871" s="1684"/>
      <c r="BM871" s="1684"/>
      <c r="BN871" s="1684"/>
      <c r="BO871" s="1684"/>
      <c r="BP871" s="1684"/>
      <c r="BQ871" s="1684"/>
      <c r="BR871" s="1684"/>
      <c r="BS871" s="1684"/>
      <c r="BT871" s="1684"/>
      <c r="BU871" s="1684"/>
      <c r="BV871" s="1684"/>
      <c r="BW871" s="1684"/>
      <c r="BX871" s="1684"/>
      <c r="BY871" s="1684"/>
      <c r="BZ871" s="1684"/>
      <c r="CA871" s="1684"/>
      <c r="CB871" s="1684"/>
      <c r="CC871" s="1684"/>
      <c r="CD871" s="1684"/>
      <c r="CE871" s="1684"/>
      <c r="CF871" s="1684"/>
      <c r="CG871" s="1684"/>
      <c r="CH871" s="1684"/>
      <c r="CI871" s="1684"/>
      <c r="CJ871" s="1684"/>
      <c r="CK871" s="1684"/>
      <c r="CL871" s="1684"/>
      <c r="CM871" s="1684"/>
      <c r="CN871" s="1684"/>
      <c r="CO871" s="1684"/>
    </row>
    <row r="872" spans="1:93" s="1391" customFormat="1" ht="15" x14ac:dyDescent="0.2">
      <c r="A872" s="1684"/>
      <c r="B872" s="1684"/>
      <c r="C872" s="2013">
        <v>15</v>
      </c>
      <c r="D872" s="5">
        <v>7.7469999999999999</v>
      </c>
      <c r="E872" s="5">
        <v>222</v>
      </c>
      <c r="F872" s="5">
        <v>245</v>
      </c>
      <c r="G872" s="5">
        <v>266</v>
      </c>
      <c r="H872" s="5">
        <v>287</v>
      </c>
      <c r="I872" s="5">
        <v>308</v>
      </c>
      <c r="J872" s="5">
        <v>328</v>
      </c>
      <c r="K872" s="5">
        <v>347</v>
      </c>
      <c r="L872" s="5">
        <v>369</v>
      </c>
      <c r="M872" s="5">
        <v>388</v>
      </c>
      <c r="N872" s="5">
        <v>408</v>
      </c>
      <c r="O872" s="5">
        <v>427</v>
      </c>
      <c r="P872" s="5">
        <v>446</v>
      </c>
      <c r="Q872" s="1160">
        <v>52</v>
      </c>
      <c r="R872"/>
      <c r="S872" s="1684"/>
      <c r="T872" s="1684"/>
      <c r="U872" s="1684"/>
      <c r="V872" s="1684"/>
      <c r="W872" s="1684"/>
      <c r="X872" s="1684"/>
      <c r="Y872" s="1684"/>
      <c r="Z872" s="1684"/>
      <c r="AA872" s="1684"/>
      <c r="AB872" s="1684"/>
      <c r="AC872" s="1684"/>
      <c r="AD872" s="1684"/>
      <c r="AE872" s="1684"/>
      <c r="AF872" s="1684"/>
      <c r="AG872" s="1684"/>
      <c r="AH872" s="1684"/>
      <c r="AI872" s="1684"/>
      <c r="AJ872" s="1684"/>
      <c r="AK872" s="1684"/>
      <c r="AL872" s="1684"/>
      <c r="AM872" s="1684"/>
      <c r="AN872" s="1684"/>
      <c r="AO872" s="1684"/>
      <c r="AP872" s="1684"/>
      <c r="AQ872" s="1684"/>
      <c r="AR872" s="1684"/>
      <c r="AS872" s="1684"/>
      <c r="AT872" s="1684"/>
      <c r="AU872" s="1684"/>
      <c r="AV872" s="1684"/>
      <c r="AW872" s="1684"/>
      <c r="AX872" s="1684"/>
      <c r="AY872" s="1684"/>
      <c r="AZ872" s="1684"/>
      <c r="BA872" s="1684"/>
      <c r="BB872" s="1684"/>
      <c r="BC872" s="1684"/>
      <c r="BD872" s="1684"/>
      <c r="BE872" s="1684"/>
      <c r="BF872" s="1684"/>
      <c r="BG872" s="1684"/>
      <c r="BH872" s="1684"/>
      <c r="BI872" s="1684"/>
      <c r="BJ872" s="1684"/>
      <c r="BK872" s="1684"/>
      <c r="BL872" s="1684"/>
      <c r="BM872" s="1684"/>
      <c r="BN872" s="1684"/>
      <c r="BO872" s="1684"/>
      <c r="BP872" s="1684"/>
      <c r="BQ872" s="1684"/>
      <c r="BR872" s="1684"/>
      <c r="BS872" s="1684"/>
      <c r="BT872" s="1684"/>
      <c r="BU872" s="1684"/>
      <c r="BV872" s="1684"/>
      <c r="BW872" s="1684"/>
      <c r="BX872" s="1684"/>
      <c r="BY872" s="1684"/>
      <c r="BZ872" s="1684"/>
      <c r="CA872" s="1684"/>
      <c r="CB872" s="1684"/>
      <c r="CC872" s="1684"/>
      <c r="CD872" s="1684"/>
      <c r="CE872" s="1684"/>
      <c r="CF872" s="1684"/>
      <c r="CG872" s="1684"/>
      <c r="CH872" s="1684"/>
      <c r="CI872" s="1684"/>
      <c r="CJ872" s="1684"/>
      <c r="CK872" s="1684"/>
      <c r="CL872" s="1684"/>
      <c r="CM872" s="1684"/>
      <c r="CN872" s="1684"/>
      <c r="CO872" s="1684"/>
    </row>
    <row r="873" spans="1:93" s="1391" customFormat="1" ht="15" x14ac:dyDescent="0.2">
      <c r="A873" s="1684"/>
      <c r="B873" s="1684"/>
      <c r="C873" s="2013">
        <v>16</v>
      </c>
      <c r="D873" s="5">
        <v>8.2370000000000001</v>
      </c>
      <c r="E873" s="5">
        <v>235</v>
      </c>
      <c r="F873" s="5">
        <v>259</v>
      </c>
      <c r="G873" s="5">
        <v>281</v>
      </c>
      <c r="H873" s="5">
        <v>303</v>
      </c>
      <c r="I873" s="5">
        <v>325</v>
      </c>
      <c r="J873" s="5">
        <v>346</v>
      </c>
      <c r="K873" s="5">
        <v>368</v>
      </c>
      <c r="L873" s="5">
        <v>389</v>
      </c>
      <c r="M873" s="5">
        <v>409</v>
      </c>
      <c r="N873" s="5">
        <v>429</v>
      </c>
      <c r="O873" s="5">
        <v>449</v>
      </c>
      <c r="P873" s="5">
        <v>469</v>
      </c>
      <c r="Q873" s="1160">
        <v>53</v>
      </c>
      <c r="R873"/>
      <c r="S873" s="1684"/>
      <c r="T873" s="1684"/>
      <c r="U873" s="1684"/>
      <c r="V873" s="1684"/>
      <c r="W873" s="1684"/>
      <c r="X873" s="1684"/>
      <c r="Y873" s="1684"/>
      <c r="Z873" s="1684"/>
      <c r="AA873" s="1684"/>
      <c r="AB873" s="1684"/>
      <c r="AC873" s="1684"/>
      <c r="AD873" s="1684"/>
      <c r="AE873" s="1684"/>
      <c r="AF873" s="1684"/>
      <c r="AG873" s="1684"/>
      <c r="AH873" s="1684"/>
      <c r="AI873" s="1684"/>
      <c r="AJ873" s="1684"/>
      <c r="AK873" s="1684"/>
      <c r="AL873" s="1684"/>
      <c r="AM873" s="1684"/>
      <c r="AN873" s="1684"/>
      <c r="AO873" s="1684"/>
      <c r="AP873" s="1684"/>
      <c r="AQ873" s="1684"/>
      <c r="AR873" s="1684"/>
      <c r="AS873" s="1684"/>
      <c r="AT873" s="1684"/>
      <c r="AU873" s="1684"/>
      <c r="AV873" s="1684"/>
      <c r="AW873" s="1684"/>
      <c r="AX873" s="1684"/>
      <c r="AY873" s="1684"/>
      <c r="AZ873" s="1684"/>
      <c r="BA873" s="1684"/>
      <c r="BB873" s="1684"/>
      <c r="BC873" s="1684"/>
      <c r="BD873" s="1684"/>
      <c r="BE873" s="1684"/>
      <c r="BF873" s="1684"/>
      <c r="BG873" s="1684"/>
      <c r="BH873" s="1684"/>
      <c r="BI873" s="1684"/>
      <c r="BJ873" s="1684"/>
      <c r="BK873" s="1684"/>
      <c r="BL873" s="1684"/>
      <c r="BM873" s="1684"/>
      <c r="BN873" s="1684"/>
      <c r="BO873" s="1684"/>
      <c r="BP873" s="1684"/>
      <c r="BQ873" s="1684"/>
      <c r="BR873" s="1684"/>
      <c r="BS873" s="1684"/>
      <c r="BT873" s="1684"/>
      <c r="BU873" s="1684"/>
      <c r="BV873" s="1684"/>
      <c r="BW873" s="1684"/>
      <c r="BX873" s="1684"/>
      <c r="BY873" s="1684"/>
      <c r="BZ873" s="1684"/>
      <c r="CA873" s="1684"/>
      <c r="CB873" s="1684"/>
      <c r="CC873" s="1684"/>
      <c r="CD873" s="1684"/>
      <c r="CE873" s="1684"/>
      <c r="CF873" s="1684"/>
      <c r="CG873" s="1684"/>
      <c r="CH873" s="1684"/>
      <c r="CI873" s="1684"/>
      <c r="CJ873" s="1684"/>
      <c r="CK873" s="1684"/>
      <c r="CL873" s="1684"/>
      <c r="CM873" s="1684"/>
      <c r="CN873" s="1684"/>
      <c r="CO873" s="1684"/>
    </row>
    <row r="874" spans="1:93" s="1391" customFormat="1" ht="15" x14ac:dyDescent="0.2">
      <c r="A874" s="1684"/>
      <c r="B874" s="1684"/>
      <c r="C874" s="2013">
        <v>17</v>
      </c>
      <c r="D874" s="5">
        <v>8.7579999999999991</v>
      </c>
      <c r="E874" s="5">
        <v>246</v>
      </c>
      <c r="F874" s="5">
        <v>271</v>
      </c>
      <c r="G874" s="5">
        <v>294</v>
      </c>
      <c r="H874" s="5">
        <v>317</v>
      </c>
      <c r="I874" s="5">
        <v>340</v>
      </c>
      <c r="J874" s="5">
        <v>363</v>
      </c>
      <c r="K874" s="5">
        <v>385</v>
      </c>
      <c r="L874" s="5">
        <v>407</v>
      </c>
      <c r="M874" s="5">
        <v>428</v>
      </c>
      <c r="N874" s="5">
        <v>449</v>
      </c>
      <c r="O874" s="5">
        <v>470</v>
      </c>
      <c r="P874" s="5">
        <v>490</v>
      </c>
      <c r="Q874" s="1160">
        <v>54</v>
      </c>
      <c r="R874"/>
      <c r="S874" s="1684"/>
      <c r="T874" s="1684"/>
      <c r="U874" s="1684"/>
      <c r="V874" s="1684"/>
      <c r="W874" s="1684"/>
      <c r="X874" s="1684"/>
      <c r="Y874" s="1684"/>
      <c r="Z874" s="1684"/>
      <c r="AA874" s="1684"/>
      <c r="AB874" s="1684"/>
      <c r="AC874" s="1684"/>
      <c r="AD874" s="1684"/>
      <c r="AE874" s="1684"/>
      <c r="AF874" s="1684"/>
      <c r="AG874" s="1684"/>
      <c r="AH874" s="1684"/>
      <c r="AI874" s="1684"/>
      <c r="AJ874" s="1684"/>
      <c r="AK874" s="1684"/>
      <c r="AL874" s="1684"/>
      <c r="AM874" s="1684"/>
      <c r="AN874" s="1684"/>
      <c r="AO874" s="1684"/>
      <c r="AP874" s="1684"/>
      <c r="AQ874" s="1684"/>
      <c r="AR874" s="1684"/>
      <c r="AS874" s="1684"/>
      <c r="AT874" s="1684"/>
      <c r="AU874" s="1684"/>
      <c r="AV874" s="1684"/>
      <c r="AW874" s="1684"/>
      <c r="AX874" s="1684"/>
      <c r="AY874" s="1684"/>
      <c r="AZ874" s="1684"/>
      <c r="BA874" s="1684"/>
      <c r="BB874" s="1684"/>
      <c r="BC874" s="1684"/>
      <c r="BD874" s="1684"/>
      <c r="BE874" s="1684"/>
      <c r="BF874" s="1684"/>
      <c r="BG874" s="1684"/>
      <c r="BH874" s="1684"/>
      <c r="BI874" s="1684"/>
      <c r="BJ874" s="1684"/>
      <c r="BK874" s="1684"/>
      <c r="BL874" s="1684"/>
      <c r="BM874" s="1684"/>
      <c r="BN874" s="1684"/>
      <c r="BO874" s="1684"/>
      <c r="BP874" s="1684"/>
      <c r="BQ874" s="1684"/>
      <c r="BR874" s="1684"/>
      <c r="BS874" s="1684"/>
      <c r="BT874" s="1684"/>
      <c r="BU874" s="1684"/>
      <c r="BV874" s="1684"/>
      <c r="BW874" s="1684"/>
      <c r="BX874" s="1684"/>
      <c r="BY874" s="1684"/>
      <c r="BZ874" s="1684"/>
      <c r="CA874" s="1684"/>
      <c r="CB874" s="1684"/>
      <c r="CC874" s="1684"/>
      <c r="CD874" s="1684"/>
      <c r="CE874" s="1684"/>
      <c r="CF874" s="1684"/>
      <c r="CG874" s="1684"/>
      <c r="CH874" s="1684"/>
      <c r="CI874" s="1684"/>
      <c r="CJ874" s="1684"/>
      <c r="CK874" s="1684"/>
      <c r="CL874" s="1684"/>
      <c r="CM874" s="1684"/>
      <c r="CN874" s="1684"/>
      <c r="CO874" s="1684"/>
    </row>
    <row r="875" spans="1:93" s="1391" customFormat="1" ht="15" x14ac:dyDescent="0.2">
      <c r="A875" s="1684"/>
      <c r="B875" s="1684"/>
      <c r="C875" s="2013">
        <v>18</v>
      </c>
      <c r="D875" s="5">
        <v>9.0530000000000008</v>
      </c>
      <c r="E875" s="5">
        <v>256</v>
      </c>
      <c r="F875" s="5">
        <v>282</v>
      </c>
      <c r="G875" s="5">
        <v>306</v>
      </c>
      <c r="H875" s="5">
        <v>330</v>
      </c>
      <c r="I875" s="5">
        <v>354</v>
      </c>
      <c r="J875" s="5">
        <v>377</v>
      </c>
      <c r="K875" s="5">
        <v>400</v>
      </c>
      <c r="L875" s="5">
        <v>423</v>
      </c>
      <c r="M875" s="5">
        <v>444</v>
      </c>
      <c r="N875" s="5">
        <v>466</v>
      </c>
      <c r="O875" s="5">
        <v>487</v>
      </c>
      <c r="P875" s="5">
        <v>509</v>
      </c>
      <c r="Q875" s="1160">
        <v>55</v>
      </c>
      <c r="R875"/>
      <c r="S875" s="1684"/>
      <c r="T875" s="1684"/>
      <c r="U875" s="1684"/>
      <c r="V875" s="1684"/>
      <c r="W875" s="1684"/>
      <c r="X875" s="1684"/>
      <c r="Y875" s="1684"/>
      <c r="Z875" s="1684"/>
      <c r="AA875" s="1684"/>
      <c r="AB875" s="1684"/>
      <c r="AC875" s="1684"/>
      <c r="AD875" s="1684"/>
      <c r="AE875" s="1684"/>
      <c r="AF875" s="1684"/>
      <c r="AG875" s="1684"/>
      <c r="AH875" s="1684"/>
      <c r="AI875" s="1684"/>
      <c r="AJ875" s="1684"/>
      <c r="AK875" s="1684"/>
      <c r="AL875" s="1684"/>
      <c r="AM875" s="1684"/>
      <c r="AN875" s="1684"/>
      <c r="AO875" s="1684"/>
      <c r="AP875" s="1684"/>
      <c r="AQ875" s="1684"/>
      <c r="AR875" s="1684"/>
      <c r="AS875" s="1684"/>
      <c r="AT875" s="1684"/>
      <c r="AU875" s="1684"/>
      <c r="AV875" s="1684"/>
      <c r="AW875" s="1684"/>
      <c r="AX875" s="1684"/>
      <c r="AY875" s="1684"/>
      <c r="AZ875" s="1684"/>
      <c r="BA875" s="1684"/>
      <c r="BB875" s="1684"/>
      <c r="BC875" s="1684"/>
      <c r="BD875" s="1684"/>
      <c r="BE875" s="1684"/>
      <c r="BF875" s="1684"/>
      <c r="BG875" s="1684"/>
      <c r="BH875" s="1684"/>
      <c r="BI875" s="1684"/>
      <c r="BJ875" s="1684"/>
      <c r="BK875" s="1684"/>
      <c r="BL875" s="1684"/>
      <c r="BM875" s="1684"/>
      <c r="BN875" s="1684"/>
      <c r="BO875" s="1684"/>
      <c r="BP875" s="1684"/>
      <c r="BQ875" s="1684"/>
      <c r="BR875" s="1684"/>
      <c r="BS875" s="1684"/>
      <c r="BT875" s="1684"/>
      <c r="BU875" s="1684"/>
      <c r="BV875" s="1684"/>
      <c r="BW875" s="1684"/>
      <c r="BX875" s="1684"/>
      <c r="BY875" s="1684"/>
      <c r="BZ875" s="1684"/>
      <c r="CA875" s="1684"/>
      <c r="CB875" s="1684"/>
      <c r="CC875" s="1684"/>
      <c r="CD875" s="1684"/>
      <c r="CE875" s="1684"/>
      <c r="CF875" s="1684"/>
      <c r="CG875" s="1684"/>
      <c r="CH875" s="1684"/>
      <c r="CI875" s="1684"/>
      <c r="CJ875" s="1684"/>
      <c r="CK875" s="1684"/>
      <c r="CL875" s="1684"/>
      <c r="CM875" s="1684"/>
      <c r="CN875" s="1684"/>
      <c r="CO875" s="1684"/>
    </row>
    <row r="876" spans="1:93" s="1391" customFormat="1" ht="15" x14ac:dyDescent="0.2">
      <c r="A876" s="1684"/>
      <c r="B876" s="1684"/>
      <c r="C876" s="4680" t="s">
        <v>3691</v>
      </c>
      <c r="D876" s="4681"/>
      <c r="E876" s="4681"/>
      <c r="F876" s="4681"/>
      <c r="G876" s="4681"/>
      <c r="H876" s="4681"/>
      <c r="I876" s="4681"/>
      <c r="J876" s="4681"/>
      <c r="K876" s="4681"/>
      <c r="L876" s="4681"/>
      <c r="M876" s="4681"/>
      <c r="N876" s="4681"/>
      <c r="O876" s="4681"/>
      <c r="P876" s="4681"/>
      <c r="Q876" s="4682"/>
      <c r="R876"/>
      <c r="S876" s="1684"/>
      <c r="T876" s="1684"/>
      <c r="U876" s="1684"/>
      <c r="V876" s="1684"/>
      <c r="W876" s="1684"/>
      <c r="X876" s="1684"/>
      <c r="Y876" s="1684"/>
      <c r="Z876" s="1684"/>
      <c r="AA876" s="1684"/>
      <c r="AB876" s="1684"/>
      <c r="AC876" s="1684"/>
      <c r="AD876" s="1684"/>
      <c r="AE876" s="1684"/>
      <c r="AF876" s="1684"/>
      <c r="AG876" s="1684"/>
      <c r="AH876" s="1684"/>
      <c r="AI876" s="1684"/>
      <c r="AJ876" s="1684"/>
      <c r="AK876" s="1684"/>
      <c r="AL876" s="1684"/>
      <c r="AM876" s="1684"/>
      <c r="AN876" s="1684"/>
      <c r="AO876" s="1684"/>
      <c r="AP876" s="1684"/>
      <c r="AQ876" s="1684"/>
      <c r="AR876" s="1684"/>
      <c r="AS876" s="1684"/>
      <c r="AT876" s="1684"/>
      <c r="AU876" s="1684"/>
      <c r="AV876" s="1684"/>
      <c r="AW876" s="1684"/>
      <c r="AX876" s="1684"/>
      <c r="AY876" s="1684"/>
      <c r="AZ876" s="1684"/>
      <c r="BA876" s="1684"/>
      <c r="BB876" s="1684"/>
      <c r="BC876" s="1684"/>
      <c r="BD876" s="1684"/>
      <c r="BE876" s="1684"/>
      <c r="BF876" s="1684"/>
      <c r="BG876" s="1684"/>
      <c r="BH876" s="1684"/>
      <c r="BI876" s="1684"/>
      <c r="BJ876" s="1684"/>
      <c r="BK876" s="1684"/>
      <c r="BL876" s="1684"/>
      <c r="BM876" s="1684"/>
      <c r="BN876" s="1684"/>
      <c r="BO876" s="1684"/>
      <c r="BP876" s="1684"/>
      <c r="BQ876" s="1684"/>
      <c r="BR876" s="1684"/>
      <c r="BS876" s="1684"/>
      <c r="BT876" s="1684"/>
      <c r="BU876" s="1684"/>
      <c r="BV876" s="1684"/>
      <c r="BW876" s="1684"/>
      <c r="BX876" s="1684"/>
      <c r="BY876" s="1684"/>
      <c r="BZ876" s="1684"/>
      <c r="CA876" s="1684"/>
      <c r="CB876" s="1684"/>
      <c r="CC876" s="1684"/>
      <c r="CD876" s="1684"/>
      <c r="CE876" s="1684"/>
      <c r="CF876" s="1684"/>
      <c r="CG876" s="1684"/>
      <c r="CH876" s="1684"/>
      <c r="CI876" s="1684"/>
      <c r="CJ876" s="1684"/>
      <c r="CK876" s="1684"/>
      <c r="CL876" s="1684"/>
      <c r="CM876" s="1684"/>
      <c r="CN876" s="1684"/>
      <c r="CO876" s="1684"/>
    </row>
    <row r="877" spans="1:93" s="1391" customFormat="1" ht="15" x14ac:dyDescent="0.2">
      <c r="A877" s="1684"/>
      <c r="B877" s="1684"/>
      <c r="C877" s="4680"/>
      <c r="D877" s="4681"/>
      <c r="E877" s="4681"/>
      <c r="F877" s="4681"/>
      <c r="G877" s="4681"/>
      <c r="H877" s="4681"/>
      <c r="I877" s="4681"/>
      <c r="J877" s="4681"/>
      <c r="K877" s="4681"/>
      <c r="L877" s="4681"/>
      <c r="M877" s="4681"/>
      <c r="N877" s="4681"/>
      <c r="O877" s="4681"/>
      <c r="P877" s="4681"/>
      <c r="Q877" s="4682"/>
      <c r="R877"/>
      <c r="S877" s="1684"/>
      <c r="T877" s="1684"/>
      <c r="U877" s="1684"/>
      <c r="V877" s="1684"/>
      <c r="W877" s="1684"/>
      <c r="X877" s="1684"/>
      <c r="Y877" s="1684"/>
      <c r="Z877" s="1684"/>
      <c r="AA877" s="1684"/>
      <c r="AB877" s="1684"/>
      <c r="AC877" s="1684"/>
      <c r="AD877" s="1684"/>
      <c r="AE877" s="1684"/>
      <c r="AF877" s="1684"/>
      <c r="AG877" s="1684"/>
      <c r="AH877" s="1684"/>
      <c r="AI877" s="1684"/>
      <c r="AJ877" s="1684"/>
      <c r="AK877" s="1684"/>
      <c r="AL877" s="1684"/>
      <c r="AM877" s="1684"/>
      <c r="AN877" s="1684"/>
      <c r="AO877" s="1684"/>
      <c r="AP877" s="1684"/>
      <c r="AQ877" s="1684"/>
      <c r="AR877" s="1684"/>
      <c r="AS877" s="1684"/>
      <c r="AT877" s="1684"/>
      <c r="AU877" s="1684"/>
      <c r="AV877" s="1684"/>
      <c r="AW877" s="1684"/>
      <c r="AX877" s="1684"/>
      <c r="AY877" s="1684"/>
      <c r="AZ877" s="1684"/>
      <c r="BA877" s="1684"/>
      <c r="BB877" s="1684"/>
      <c r="BC877" s="1684"/>
      <c r="BD877" s="1684"/>
      <c r="BE877" s="1684"/>
      <c r="BF877" s="1684"/>
      <c r="BG877" s="1684"/>
      <c r="BH877" s="1684"/>
      <c r="BI877" s="1684"/>
      <c r="BJ877" s="1684"/>
      <c r="BK877" s="1684"/>
      <c r="BL877" s="1684"/>
      <c r="BM877" s="1684"/>
      <c r="BN877" s="1684"/>
      <c r="BO877" s="1684"/>
      <c r="BP877" s="1684"/>
      <c r="BQ877" s="1684"/>
      <c r="BR877" s="1684"/>
      <c r="BS877" s="1684"/>
      <c r="BT877" s="1684"/>
      <c r="BU877" s="1684"/>
      <c r="BV877" s="1684"/>
      <c r="BW877" s="1684"/>
      <c r="BX877" s="1684"/>
      <c r="BY877" s="1684"/>
      <c r="BZ877" s="1684"/>
      <c r="CA877" s="1684"/>
      <c r="CB877" s="1684"/>
      <c r="CC877" s="1684"/>
      <c r="CD877" s="1684"/>
      <c r="CE877" s="1684"/>
      <c r="CF877" s="1684"/>
      <c r="CG877" s="1684"/>
      <c r="CH877" s="1684"/>
      <c r="CI877" s="1684"/>
      <c r="CJ877" s="1684"/>
      <c r="CK877" s="1684"/>
      <c r="CL877" s="1684"/>
      <c r="CM877" s="1684"/>
      <c r="CN877" s="1684"/>
      <c r="CO877" s="1684"/>
    </row>
    <row r="878" spans="1:93" s="1391" customFormat="1" ht="15" x14ac:dyDescent="0.2">
      <c r="A878" s="1684"/>
      <c r="B878" s="1684"/>
      <c r="C878" s="2014"/>
      <c r="D878" s="2015"/>
      <c r="E878" s="2015">
        <v>1</v>
      </c>
      <c r="F878" s="2015">
        <v>2</v>
      </c>
      <c r="G878" s="2015">
        <v>3</v>
      </c>
      <c r="H878" s="2015">
        <v>4</v>
      </c>
      <c r="I878" s="2015">
        <v>5</v>
      </c>
      <c r="J878" s="2015">
        <v>6</v>
      </c>
      <c r="K878" s="2015">
        <v>7</v>
      </c>
      <c r="L878" s="2015">
        <v>8</v>
      </c>
      <c r="M878" s="2015">
        <v>9</v>
      </c>
      <c r="N878" s="2015">
        <v>10</v>
      </c>
      <c r="O878" s="2015">
        <v>11</v>
      </c>
      <c r="P878" s="2015">
        <v>12</v>
      </c>
      <c r="Q878" s="2016"/>
      <c r="R878"/>
      <c r="S878" s="1684"/>
      <c r="T878" s="1684"/>
      <c r="U878" s="1684"/>
      <c r="V878" s="1684"/>
      <c r="W878" s="1684"/>
      <c r="X878" s="1684"/>
      <c r="Y878" s="1684"/>
      <c r="Z878" s="1684"/>
      <c r="AA878" s="1684"/>
      <c r="AB878" s="1684"/>
      <c r="AC878" s="1684"/>
      <c r="AD878" s="1684"/>
      <c r="AE878" s="1684"/>
      <c r="AF878" s="1684"/>
      <c r="AG878" s="1684"/>
      <c r="AH878" s="1684"/>
      <c r="AI878" s="1684"/>
      <c r="AJ878" s="1684"/>
      <c r="AK878" s="1684"/>
      <c r="AL878" s="1684"/>
      <c r="AM878" s="1684"/>
      <c r="AN878" s="1684"/>
      <c r="AO878" s="1684"/>
      <c r="AP878" s="1684"/>
      <c r="AQ878" s="1684"/>
      <c r="AR878" s="1684"/>
      <c r="AS878" s="1684"/>
      <c r="AT878" s="1684"/>
      <c r="AU878" s="1684"/>
      <c r="AV878" s="1684"/>
      <c r="AW878" s="1684"/>
      <c r="AX878" s="1684"/>
      <c r="AY878" s="1684"/>
      <c r="AZ878" s="1684"/>
      <c r="BA878" s="1684"/>
      <c r="BB878" s="1684"/>
      <c r="BC878" s="1684"/>
      <c r="BD878" s="1684"/>
      <c r="BE878" s="1684"/>
      <c r="BF878" s="1684"/>
      <c r="BG878" s="1684"/>
      <c r="BH878" s="1684"/>
      <c r="BI878" s="1684"/>
      <c r="BJ878" s="1684"/>
      <c r="BK878" s="1684"/>
      <c r="BL878" s="1684"/>
      <c r="BM878" s="1684"/>
      <c r="BN878" s="1684"/>
      <c r="BO878" s="1684"/>
      <c r="BP878" s="1684"/>
      <c r="BQ878" s="1684"/>
      <c r="BR878" s="1684"/>
      <c r="BS878" s="1684"/>
      <c r="BT878" s="1684"/>
      <c r="BU878" s="1684"/>
      <c r="BV878" s="1684"/>
      <c r="BW878" s="1684"/>
      <c r="BX878" s="1684"/>
      <c r="BY878" s="1684"/>
      <c r="BZ878" s="1684"/>
      <c r="CA878" s="1684"/>
      <c r="CB878" s="1684"/>
      <c r="CC878" s="1684"/>
      <c r="CD878" s="1684"/>
      <c r="CE878" s="1684"/>
      <c r="CF878" s="1684"/>
      <c r="CG878" s="1684"/>
      <c r="CH878" s="1684"/>
      <c r="CI878" s="1684"/>
      <c r="CJ878" s="1684"/>
      <c r="CK878" s="1684"/>
      <c r="CL878" s="1684"/>
      <c r="CM878" s="1684"/>
      <c r="CN878" s="1684"/>
      <c r="CO878" s="1684"/>
    </row>
    <row r="879" spans="1:93" s="1391" customFormat="1" ht="15" x14ac:dyDescent="0.2">
      <c r="A879" s="1684"/>
      <c r="B879" s="1684"/>
      <c r="C879" s="2013">
        <v>8</v>
      </c>
      <c r="D879" s="5">
        <v>5.48</v>
      </c>
      <c r="E879" s="5">
        <v>137</v>
      </c>
      <c r="F879" s="5">
        <v>152</v>
      </c>
      <c r="G879" s="5">
        <v>165</v>
      </c>
      <c r="H879" s="5">
        <v>179</v>
      </c>
      <c r="I879" s="5">
        <v>192</v>
      </c>
      <c r="J879" s="5">
        <v>206</v>
      </c>
      <c r="K879" s="5">
        <v>219</v>
      </c>
      <c r="L879" s="5">
        <v>233</v>
      </c>
      <c r="M879" s="5">
        <v>245</v>
      </c>
      <c r="N879" s="5">
        <v>258</v>
      </c>
      <c r="O879" s="5">
        <v>271</v>
      </c>
      <c r="P879" s="5">
        <v>283</v>
      </c>
      <c r="Q879" s="1160">
        <v>56</v>
      </c>
      <c r="R879"/>
      <c r="S879" s="1684"/>
      <c r="T879" s="1684"/>
      <c r="U879" s="1684"/>
      <c r="V879" s="1684"/>
      <c r="W879" s="1684"/>
      <c r="X879" s="1684"/>
      <c r="Y879" s="1684"/>
      <c r="Z879" s="1684"/>
      <c r="AA879" s="1684"/>
      <c r="AB879" s="1684"/>
      <c r="AC879" s="1684"/>
      <c r="AD879" s="1684"/>
      <c r="AE879" s="1684"/>
      <c r="AF879" s="1684"/>
      <c r="AG879" s="1684"/>
      <c r="AH879" s="1684"/>
      <c r="AI879" s="1684"/>
      <c r="AJ879" s="1684"/>
      <c r="AK879" s="1684"/>
      <c r="AL879" s="1684"/>
      <c r="AM879" s="1684"/>
      <c r="AN879" s="1684"/>
      <c r="AO879" s="1684"/>
      <c r="AP879" s="1684"/>
      <c r="AQ879" s="1684"/>
      <c r="AR879" s="1684"/>
      <c r="AS879" s="1684"/>
      <c r="AT879" s="1684"/>
      <c r="AU879" s="1684"/>
      <c r="AV879" s="1684"/>
      <c r="AW879" s="1684"/>
      <c r="AX879" s="1684"/>
      <c r="AY879" s="1684"/>
      <c r="AZ879" s="1684"/>
      <c r="BA879" s="1684"/>
      <c r="BB879" s="1684"/>
      <c r="BC879" s="1684"/>
      <c r="BD879" s="1684"/>
      <c r="BE879" s="1684"/>
      <c r="BF879" s="1684"/>
      <c r="BG879" s="1684"/>
      <c r="BH879" s="1684"/>
      <c r="BI879" s="1684"/>
      <c r="BJ879" s="1684"/>
      <c r="BK879" s="1684"/>
      <c r="BL879" s="1684"/>
      <c r="BM879" s="1684"/>
      <c r="BN879" s="1684"/>
      <c r="BO879" s="1684"/>
      <c r="BP879" s="1684"/>
      <c r="BQ879" s="1684"/>
      <c r="BR879" s="1684"/>
      <c r="BS879" s="1684"/>
      <c r="BT879" s="1684"/>
      <c r="BU879" s="1684"/>
      <c r="BV879" s="1684"/>
      <c r="BW879" s="1684"/>
      <c r="BX879" s="1684"/>
      <c r="BY879" s="1684"/>
      <c r="BZ879" s="1684"/>
      <c r="CA879" s="1684"/>
      <c r="CB879" s="1684"/>
      <c r="CC879" s="1684"/>
      <c r="CD879" s="1684"/>
      <c r="CE879" s="1684"/>
      <c r="CF879" s="1684"/>
      <c r="CG879" s="1684"/>
      <c r="CH879" s="1684"/>
      <c r="CI879" s="1684"/>
      <c r="CJ879" s="1684"/>
      <c r="CK879" s="1684"/>
      <c r="CL879" s="1684"/>
      <c r="CM879" s="1684"/>
      <c r="CN879" s="1684"/>
      <c r="CO879" s="1684"/>
    </row>
    <row r="880" spans="1:93" s="1391" customFormat="1" ht="15" x14ac:dyDescent="0.2">
      <c r="A880" s="1684"/>
      <c r="B880" s="1684"/>
      <c r="C880" s="2013">
        <v>9</v>
      </c>
      <c r="D880" s="5">
        <v>5.7969999999999997</v>
      </c>
      <c r="E880" s="5">
        <v>150</v>
      </c>
      <c r="F880" s="5">
        <v>166</v>
      </c>
      <c r="G880" s="5">
        <v>180</v>
      </c>
      <c r="H880" s="5">
        <v>195</v>
      </c>
      <c r="I880" s="5">
        <v>210</v>
      </c>
      <c r="J880" s="5">
        <v>224</v>
      </c>
      <c r="K880" s="5">
        <v>238</v>
      </c>
      <c r="L880" s="5">
        <v>253</v>
      </c>
      <c r="M880" s="5">
        <v>267</v>
      </c>
      <c r="N880" s="5">
        <v>281</v>
      </c>
      <c r="O880" s="5">
        <v>294</v>
      </c>
      <c r="P880" s="5">
        <v>308</v>
      </c>
      <c r="Q880" s="1160">
        <v>57</v>
      </c>
      <c r="R880"/>
      <c r="S880" s="1684"/>
      <c r="T880" s="1684"/>
      <c r="U880" s="1684"/>
      <c r="V880" s="1684"/>
      <c r="W880" s="1684"/>
      <c r="X880" s="1684"/>
      <c r="Y880" s="1684"/>
      <c r="Z880" s="1684"/>
      <c r="AA880" s="1684"/>
      <c r="AB880" s="1684"/>
      <c r="AC880" s="1684"/>
      <c r="AD880" s="1684"/>
      <c r="AE880" s="1684"/>
      <c r="AF880" s="1684"/>
      <c r="AG880" s="1684"/>
      <c r="AH880" s="1684"/>
      <c r="AI880" s="1684"/>
      <c r="AJ880" s="1684"/>
      <c r="AK880" s="1684"/>
      <c r="AL880" s="1684"/>
      <c r="AM880" s="1684"/>
      <c r="AN880" s="1684"/>
      <c r="AO880" s="1684"/>
      <c r="AP880" s="1684"/>
      <c r="AQ880" s="1684"/>
      <c r="AR880" s="1684"/>
      <c r="AS880" s="1684"/>
      <c r="AT880" s="1684"/>
      <c r="AU880" s="1684"/>
      <c r="AV880" s="1684"/>
      <c r="AW880" s="1684"/>
      <c r="AX880" s="1684"/>
      <c r="AY880" s="1684"/>
      <c r="AZ880" s="1684"/>
      <c r="BA880" s="1684"/>
      <c r="BB880" s="1684"/>
      <c r="BC880" s="1684"/>
      <c r="BD880" s="1684"/>
      <c r="BE880" s="1684"/>
      <c r="BF880" s="1684"/>
      <c r="BG880" s="1684"/>
      <c r="BH880" s="1684"/>
      <c r="BI880" s="1684"/>
      <c r="BJ880" s="1684"/>
      <c r="BK880" s="1684"/>
      <c r="BL880" s="1684"/>
      <c r="BM880" s="1684"/>
      <c r="BN880" s="1684"/>
      <c r="BO880" s="1684"/>
      <c r="BP880" s="1684"/>
      <c r="BQ880" s="1684"/>
      <c r="BR880" s="1684"/>
      <c r="BS880" s="1684"/>
      <c r="BT880" s="1684"/>
      <c r="BU880" s="1684"/>
      <c r="BV880" s="1684"/>
      <c r="BW880" s="1684"/>
      <c r="BX880" s="1684"/>
      <c r="BY880" s="1684"/>
      <c r="BZ880" s="1684"/>
      <c r="CA880" s="1684"/>
      <c r="CB880" s="1684"/>
      <c r="CC880" s="1684"/>
      <c r="CD880" s="1684"/>
      <c r="CE880" s="1684"/>
      <c r="CF880" s="1684"/>
      <c r="CG880" s="1684"/>
      <c r="CH880" s="1684"/>
      <c r="CI880" s="1684"/>
      <c r="CJ880" s="1684"/>
      <c r="CK880" s="1684"/>
      <c r="CL880" s="1684"/>
      <c r="CM880" s="1684"/>
      <c r="CN880" s="1684"/>
      <c r="CO880" s="1684"/>
    </row>
    <row r="881" spans="1:93" s="1391" customFormat="1" ht="15" x14ac:dyDescent="0.2">
      <c r="A881" s="1684"/>
      <c r="B881" s="1684"/>
      <c r="C881" s="2013">
        <v>10</v>
      </c>
      <c r="D881" s="5">
        <v>6.1239999999999997</v>
      </c>
      <c r="E881" s="5">
        <v>163</v>
      </c>
      <c r="F881" s="5">
        <v>180</v>
      </c>
      <c r="G881" s="5">
        <v>196</v>
      </c>
      <c r="H881" s="5">
        <v>212</v>
      </c>
      <c r="I881" s="5">
        <v>227</v>
      </c>
      <c r="J881" s="5">
        <v>243</v>
      </c>
      <c r="K881" s="5">
        <v>258</v>
      </c>
      <c r="L881" s="5">
        <v>274</v>
      </c>
      <c r="M881" s="5">
        <v>289</v>
      </c>
      <c r="N881" s="5">
        <v>304</v>
      </c>
      <c r="O881" s="5">
        <v>318</v>
      </c>
      <c r="P881" s="5">
        <v>333</v>
      </c>
      <c r="Q881" s="1160">
        <v>58</v>
      </c>
      <c r="R881"/>
      <c r="S881" s="1684"/>
      <c r="T881" s="1684"/>
      <c r="U881" s="1684"/>
      <c r="V881" s="1684"/>
      <c r="W881" s="1684"/>
      <c r="X881" s="1684"/>
      <c r="Y881" s="1684"/>
      <c r="Z881" s="1684"/>
      <c r="AA881" s="1684"/>
      <c r="AB881" s="1684"/>
      <c r="AC881" s="1684"/>
      <c r="AD881" s="1684"/>
      <c r="AE881" s="1684"/>
      <c r="AF881" s="1684"/>
      <c r="AG881" s="1684"/>
      <c r="AH881" s="1684"/>
      <c r="AI881" s="1684"/>
      <c r="AJ881" s="1684"/>
      <c r="AK881" s="1684"/>
      <c r="AL881" s="1684"/>
      <c r="AM881" s="1684"/>
      <c r="AN881" s="1684"/>
      <c r="AO881" s="1684"/>
      <c r="AP881" s="1684"/>
      <c r="AQ881" s="1684"/>
      <c r="AR881" s="1684"/>
      <c r="AS881" s="1684"/>
      <c r="AT881" s="1684"/>
      <c r="AU881" s="1684"/>
      <c r="AV881" s="1684"/>
      <c r="AW881" s="1684"/>
      <c r="AX881" s="1684"/>
      <c r="AY881" s="1684"/>
      <c r="AZ881" s="1684"/>
      <c r="BA881" s="1684"/>
      <c r="BB881" s="1684"/>
      <c r="BC881" s="1684"/>
      <c r="BD881" s="1684"/>
      <c r="BE881" s="1684"/>
      <c r="BF881" s="1684"/>
      <c r="BG881" s="1684"/>
      <c r="BH881" s="1684"/>
      <c r="BI881" s="1684"/>
      <c r="BJ881" s="1684"/>
      <c r="BK881" s="1684"/>
      <c r="BL881" s="1684"/>
      <c r="BM881" s="1684"/>
      <c r="BN881" s="1684"/>
      <c r="BO881" s="1684"/>
      <c r="BP881" s="1684"/>
      <c r="BQ881" s="1684"/>
      <c r="BR881" s="1684"/>
      <c r="BS881" s="1684"/>
      <c r="BT881" s="1684"/>
      <c r="BU881" s="1684"/>
      <c r="BV881" s="1684"/>
      <c r="BW881" s="1684"/>
      <c r="BX881" s="1684"/>
      <c r="BY881" s="1684"/>
      <c r="BZ881" s="1684"/>
      <c r="CA881" s="1684"/>
      <c r="CB881" s="1684"/>
      <c r="CC881" s="1684"/>
      <c r="CD881" s="1684"/>
      <c r="CE881" s="1684"/>
      <c r="CF881" s="1684"/>
      <c r="CG881" s="1684"/>
      <c r="CH881" s="1684"/>
      <c r="CI881" s="1684"/>
      <c r="CJ881" s="1684"/>
      <c r="CK881" s="1684"/>
      <c r="CL881" s="1684"/>
      <c r="CM881" s="1684"/>
      <c r="CN881" s="1684"/>
      <c r="CO881" s="1684"/>
    </row>
    <row r="882" spans="1:93" s="1391" customFormat="1" ht="15" x14ac:dyDescent="0.2">
      <c r="A882" s="1684"/>
      <c r="B882" s="1684"/>
      <c r="C882" s="2013">
        <v>11</v>
      </c>
      <c r="D882" s="5">
        <v>6.4859999999999998</v>
      </c>
      <c r="E882" s="5">
        <v>177</v>
      </c>
      <c r="F882" s="5">
        <v>195</v>
      </c>
      <c r="G882" s="5">
        <v>212</v>
      </c>
      <c r="H882" s="5">
        <v>229</v>
      </c>
      <c r="I882" s="5">
        <v>246</v>
      </c>
      <c r="J882" s="5">
        <v>263</v>
      </c>
      <c r="K882" s="5">
        <v>280</v>
      </c>
      <c r="L882" s="5">
        <v>297</v>
      </c>
      <c r="M882" s="5">
        <v>312</v>
      </c>
      <c r="N882" s="5">
        <v>328</v>
      </c>
      <c r="O882" s="5">
        <v>344</v>
      </c>
      <c r="P882" s="5">
        <v>360</v>
      </c>
      <c r="Q882" s="1160">
        <v>59</v>
      </c>
      <c r="R882"/>
      <c r="S882" s="1684"/>
      <c r="T882" s="1684"/>
      <c r="U882" s="1684"/>
      <c r="V882" s="1684"/>
      <c r="W882" s="1684"/>
      <c r="X882" s="1684"/>
      <c r="Y882" s="1684"/>
      <c r="Z882" s="1684"/>
      <c r="AA882" s="1684"/>
      <c r="AB882" s="1684"/>
      <c r="AC882" s="1684"/>
      <c r="AD882" s="1684"/>
      <c r="AE882" s="1684"/>
      <c r="AF882" s="1684"/>
      <c r="AG882" s="1684"/>
      <c r="AH882" s="1684"/>
      <c r="AI882" s="1684"/>
      <c r="AJ882" s="1684"/>
      <c r="AK882" s="1684"/>
      <c r="AL882" s="1684"/>
      <c r="AM882" s="1684"/>
      <c r="AN882" s="1684"/>
      <c r="AO882" s="1684"/>
      <c r="AP882" s="1684"/>
      <c r="AQ882" s="1684"/>
      <c r="AR882" s="1684"/>
      <c r="AS882" s="1684"/>
      <c r="AT882" s="1684"/>
      <c r="AU882" s="1684"/>
      <c r="AV882" s="1684"/>
      <c r="AW882" s="1684"/>
      <c r="AX882" s="1684"/>
      <c r="AY882" s="1684"/>
      <c r="AZ882" s="1684"/>
      <c r="BA882" s="1684"/>
      <c r="BB882" s="1684"/>
      <c r="BC882" s="1684"/>
      <c r="BD882" s="1684"/>
      <c r="BE882" s="1684"/>
      <c r="BF882" s="1684"/>
      <c r="BG882" s="1684"/>
      <c r="BH882" s="1684"/>
      <c r="BI882" s="1684"/>
      <c r="BJ882" s="1684"/>
      <c r="BK882" s="1684"/>
      <c r="BL882" s="1684"/>
      <c r="BM882" s="1684"/>
      <c r="BN882" s="1684"/>
      <c r="BO882" s="1684"/>
      <c r="BP882" s="1684"/>
      <c r="BQ882" s="1684"/>
      <c r="BR882" s="1684"/>
      <c r="BS882" s="1684"/>
      <c r="BT882" s="1684"/>
      <c r="BU882" s="1684"/>
      <c r="BV882" s="1684"/>
      <c r="BW882" s="1684"/>
      <c r="BX882" s="1684"/>
      <c r="BY882" s="1684"/>
      <c r="BZ882" s="1684"/>
      <c r="CA882" s="1684"/>
      <c r="CB882" s="1684"/>
      <c r="CC882" s="1684"/>
      <c r="CD882" s="1684"/>
      <c r="CE882" s="1684"/>
      <c r="CF882" s="1684"/>
      <c r="CG882" s="1684"/>
      <c r="CH882" s="1684"/>
      <c r="CI882" s="1684"/>
      <c r="CJ882" s="1684"/>
      <c r="CK882" s="1684"/>
      <c r="CL882" s="1684"/>
      <c r="CM882" s="1684"/>
      <c r="CN882" s="1684"/>
      <c r="CO882" s="1684"/>
    </row>
    <row r="883" spans="1:93" s="1391" customFormat="1" ht="15" x14ac:dyDescent="0.2">
      <c r="A883" s="1684"/>
      <c r="B883" s="1684"/>
      <c r="C883" s="2013">
        <v>12</v>
      </c>
      <c r="D883" s="5">
        <v>6.5570000000000004</v>
      </c>
      <c r="E883" s="5">
        <v>191</v>
      </c>
      <c r="F883" s="5">
        <v>211</v>
      </c>
      <c r="G883" s="5">
        <v>229</v>
      </c>
      <c r="H883" s="5">
        <v>248</v>
      </c>
      <c r="I883" s="5">
        <v>266</v>
      </c>
      <c r="J883" s="5">
        <v>284</v>
      </c>
      <c r="K883" s="5">
        <v>301</v>
      </c>
      <c r="L883" s="5">
        <v>320</v>
      </c>
      <c r="M883" s="5">
        <v>336</v>
      </c>
      <c r="N883" s="5">
        <v>353</v>
      </c>
      <c r="O883" s="5">
        <v>370</v>
      </c>
      <c r="P883" s="5">
        <v>387</v>
      </c>
      <c r="Q883" s="1160">
        <v>60</v>
      </c>
      <c r="R883"/>
      <c r="S883" s="1684"/>
      <c r="T883" s="1684"/>
      <c r="U883" s="1684"/>
      <c r="V883" s="1684"/>
      <c r="W883" s="1684"/>
      <c r="X883" s="1684"/>
      <c r="Y883" s="1684"/>
      <c r="Z883" s="1684"/>
      <c r="AA883" s="1684"/>
      <c r="AB883" s="1684"/>
      <c r="AC883" s="1684"/>
      <c r="AD883" s="1684"/>
      <c r="AE883" s="1684"/>
      <c r="AF883" s="1684"/>
      <c r="AG883" s="1684"/>
      <c r="AH883" s="1684"/>
      <c r="AI883" s="1684"/>
      <c r="AJ883" s="1684"/>
      <c r="AK883" s="1684"/>
      <c r="AL883" s="1684"/>
      <c r="AM883" s="1684"/>
      <c r="AN883" s="1684"/>
      <c r="AO883" s="1684"/>
      <c r="AP883" s="1684"/>
      <c r="AQ883" s="1684"/>
      <c r="AR883" s="1684"/>
      <c r="AS883" s="1684"/>
      <c r="AT883" s="1684"/>
      <c r="AU883" s="1684"/>
      <c r="AV883" s="1684"/>
      <c r="AW883" s="1684"/>
      <c r="AX883" s="1684"/>
      <c r="AY883" s="1684"/>
      <c r="AZ883" s="1684"/>
      <c r="BA883" s="1684"/>
      <c r="BB883" s="1684"/>
      <c r="BC883" s="1684"/>
      <c r="BD883" s="1684"/>
      <c r="BE883" s="1684"/>
      <c r="BF883" s="1684"/>
      <c r="BG883" s="1684"/>
      <c r="BH883" s="1684"/>
      <c r="BI883" s="1684"/>
      <c r="BJ883" s="1684"/>
      <c r="BK883" s="1684"/>
      <c r="BL883" s="1684"/>
      <c r="BM883" s="1684"/>
      <c r="BN883" s="1684"/>
      <c r="BO883" s="1684"/>
      <c r="BP883" s="1684"/>
      <c r="BQ883" s="1684"/>
      <c r="BR883" s="1684"/>
      <c r="BS883" s="1684"/>
      <c r="BT883" s="1684"/>
      <c r="BU883" s="1684"/>
      <c r="BV883" s="1684"/>
      <c r="BW883" s="1684"/>
      <c r="BX883" s="1684"/>
      <c r="BY883" s="1684"/>
      <c r="BZ883" s="1684"/>
      <c r="CA883" s="1684"/>
      <c r="CB883" s="1684"/>
      <c r="CC883" s="1684"/>
      <c r="CD883" s="1684"/>
      <c r="CE883" s="1684"/>
      <c r="CF883" s="1684"/>
      <c r="CG883" s="1684"/>
      <c r="CH883" s="1684"/>
      <c r="CI883" s="1684"/>
      <c r="CJ883" s="1684"/>
      <c r="CK883" s="1684"/>
      <c r="CL883" s="1684"/>
      <c r="CM883" s="1684"/>
      <c r="CN883" s="1684"/>
      <c r="CO883" s="1684"/>
    </row>
    <row r="884" spans="1:93" s="1391" customFormat="1" ht="15" x14ac:dyDescent="0.2">
      <c r="A884" s="1684"/>
      <c r="B884" s="1684"/>
      <c r="C884" s="2013">
        <v>13</v>
      </c>
      <c r="D884" s="5">
        <v>7.2279999999999998</v>
      </c>
      <c r="E884" s="5">
        <v>205</v>
      </c>
      <c r="F884" s="5">
        <v>226</v>
      </c>
      <c r="G884" s="5">
        <v>246</v>
      </c>
      <c r="H884" s="5">
        <v>263</v>
      </c>
      <c r="I884" s="5">
        <v>285</v>
      </c>
      <c r="J884" s="5">
        <v>304</v>
      </c>
      <c r="K884" s="5">
        <v>323</v>
      </c>
      <c r="L884" s="5">
        <v>342</v>
      </c>
      <c r="M884" s="5">
        <v>360</v>
      </c>
      <c r="N884" s="5">
        <v>378</v>
      </c>
      <c r="O884" s="5">
        <v>396</v>
      </c>
      <c r="P884" s="5">
        <v>414</v>
      </c>
      <c r="Q884" s="1160">
        <v>61</v>
      </c>
      <c r="R884"/>
      <c r="S884" s="1684"/>
      <c r="T884" s="1684"/>
      <c r="U884" s="1684"/>
      <c r="V884" s="1684"/>
      <c r="W884" s="1684"/>
      <c r="X884" s="1684"/>
      <c r="Y884" s="1684"/>
      <c r="Z884" s="1684"/>
      <c r="AA884" s="1684"/>
      <c r="AB884" s="1684"/>
      <c r="AC884" s="1684"/>
      <c r="AD884" s="1684"/>
      <c r="AE884" s="1684"/>
      <c r="AF884" s="1684"/>
      <c r="AG884" s="1684"/>
      <c r="AH884" s="1684"/>
      <c r="AI884" s="1684"/>
      <c r="AJ884" s="1684"/>
      <c r="AK884" s="1684"/>
      <c r="AL884" s="1684"/>
      <c r="AM884" s="1684"/>
      <c r="AN884" s="1684"/>
      <c r="AO884" s="1684"/>
      <c r="AP884" s="1684"/>
      <c r="AQ884" s="1684"/>
      <c r="AR884" s="1684"/>
      <c r="AS884" s="1684"/>
      <c r="AT884" s="1684"/>
      <c r="AU884" s="1684"/>
      <c r="AV884" s="1684"/>
      <c r="AW884" s="1684"/>
      <c r="AX884" s="1684"/>
      <c r="AY884" s="1684"/>
      <c r="AZ884" s="1684"/>
      <c r="BA884" s="1684"/>
      <c r="BB884" s="1684"/>
      <c r="BC884" s="1684"/>
      <c r="BD884" s="1684"/>
      <c r="BE884" s="1684"/>
      <c r="BF884" s="1684"/>
      <c r="BG884" s="1684"/>
      <c r="BH884" s="1684"/>
      <c r="BI884" s="1684"/>
      <c r="BJ884" s="1684"/>
      <c r="BK884" s="1684"/>
      <c r="BL884" s="1684"/>
      <c r="BM884" s="1684"/>
      <c r="BN884" s="1684"/>
      <c r="BO884" s="1684"/>
      <c r="BP884" s="1684"/>
      <c r="BQ884" s="1684"/>
      <c r="BR884" s="1684"/>
      <c r="BS884" s="1684"/>
      <c r="BT884" s="1684"/>
      <c r="BU884" s="1684"/>
      <c r="BV884" s="1684"/>
      <c r="BW884" s="1684"/>
      <c r="BX884" s="1684"/>
      <c r="BY884" s="1684"/>
      <c r="BZ884" s="1684"/>
      <c r="CA884" s="1684"/>
      <c r="CB884" s="1684"/>
      <c r="CC884" s="1684"/>
      <c r="CD884" s="1684"/>
      <c r="CE884" s="1684"/>
      <c r="CF884" s="1684"/>
      <c r="CG884" s="1684"/>
      <c r="CH884" s="1684"/>
      <c r="CI884" s="1684"/>
      <c r="CJ884" s="1684"/>
      <c r="CK884" s="1684"/>
      <c r="CL884" s="1684"/>
      <c r="CM884" s="1684"/>
      <c r="CN884" s="1684"/>
      <c r="CO884" s="1684"/>
    </row>
    <row r="885" spans="1:93" s="1391" customFormat="1" ht="15" x14ac:dyDescent="0.2">
      <c r="A885" s="1684"/>
      <c r="B885" s="1684"/>
      <c r="C885" s="2013">
        <v>14</v>
      </c>
      <c r="D885" s="5">
        <v>7.6130000000000004</v>
      </c>
      <c r="E885" s="5">
        <v>219</v>
      </c>
      <c r="F885" s="5">
        <v>242</v>
      </c>
      <c r="G885" s="5">
        <v>263</v>
      </c>
      <c r="H885" s="5">
        <v>284</v>
      </c>
      <c r="I885" s="5">
        <v>304</v>
      </c>
      <c r="J885" s="5">
        <v>324</v>
      </c>
      <c r="K885" s="5">
        <v>344</v>
      </c>
      <c r="L885" s="5">
        <v>363</v>
      </c>
      <c r="M885" s="5">
        <v>384</v>
      </c>
      <c r="N885" s="5">
        <v>403</v>
      </c>
      <c r="O885" s="5">
        <v>422</v>
      </c>
      <c r="P885" s="5">
        <v>441</v>
      </c>
      <c r="Q885" s="1160">
        <v>62</v>
      </c>
      <c r="R885"/>
      <c r="S885" s="1684"/>
      <c r="T885" s="1684"/>
      <c r="U885" s="1684"/>
      <c r="V885" s="1684"/>
      <c r="W885" s="1684"/>
      <c r="X885" s="1684"/>
      <c r="Y885" s="1684"/>
      <c r="Z885" s="1684"/>
      <c r="AA885" s="1684"/>
      <c r="AB885" s="1684"/>
      <c r="AC885" s="1684"/>
      <c r="AD885" s="1684"/>
      <c r="AE885" s="1684"/>
      <c r="AF885" s="1684"/>
      <c r="AG885" s="1684"/>
      <c r="AH885" s="1684"/>
      <c r="AI885" s="1684"/>
      <c r="AJ885" s="1684"/>
      <c r="AK885" s="1684"/>
      <c r="AL885" s="1684"/>
      <c r="AM885" s="1684"/>
      <c r="AN885" s="1684"/>
      <c r="AO885" s="1684"/>
      <c r="AP885" s="1684"/>
      <c r="AQ885" s="1684"/>
      <c r="AR885" s="1684"/>
      <c r="AS885" s="1684"/>
      <c r="AT885" s="1684"/>
      <c r="AU885" s="1684"/>
      <c r="AV885" s="1684"/>
      <c r="AW885" s="1684"/>
      <c r="AX885" s="1684"/>
      <c r="AY885" s="1684"/>
      <c r="AZ885" s="1684"/>
      <c r="BA885" s="1684"/>
      <c r="BB885" s="1684"/>
      <c r="BC885" s="1684"/>
      <c r="BD885" s="1684"/>
      <c r="BE885" s="1684"/>
      <c r="BF885" s="1684"/>
      <c r="BG885" s="1684"/>
      <c r="BH885" s="1684"/>
      <c r="BI885" s="1684"/>
      <c r="BJ885" s="1684"/>
      <c r="BK885" s="1684"/>
      <c r="BL885" s="1684"/>
      <c r="BM885" s="1684"/>
      <c r="BN885" s="1684"/>
      <c r="BO885" s="1684"/>
      <c r="BP885" s="1684"/>
      <c r="BQ885" s="1684"/>
      <c r="BR885" s="1684"/>
      <c r="BS885" s="1684"/>
      <c r="BT885" s="1684"/>
      <c r="BU885" s="1684"/>
      <c r="BV885" s="1684"/>
      <c r="BW885" s="1684"/>
      <c r="BX885" s="1684"/>
      <c r="BY885" s="1684"/>
      <c r="BZ885" s="1684"/>
      <c r="CA885" s="1684"/>
      <c r="CB885" s="1684"/>
      <c r="CC885" s="1684"/>
      <c r="CD885" s="1684"/>
      <c r="CE885" s="1684"/>
      <c r="CF885" s="1684"/>
      <c r="CG885" s="1684"/>
      <c r="CH885" s="1684"/>
      <c r="CI885" s="1684"/>
      <c r="CJ885" s="1684"/>
      <c r="CK885" s="1684"/>
      <c r="CL885" s="1684"/>
      <c r="CM885" s="1684"/>
      <c r="CN885" s="1684"/>
      <c r="CO885" s="1684"/>
    </row>
    <row r="886" spans="1:93" s="1391" customFormat="1" ht="15" x14ac:dyDescent="0.2">
      <c r="A886" s="1684"/>
      <c r="B886" s="1684"/>
      <c r="C886" s="2013">
        <v>15</v>
      </c>
      <c r="D886" s="5">
        <v>8.0020000000000007</v>
      </c>
      <c r="E886" s="5">
        <v>234</v>
      </c>
      <c r="F886" s="5">
        <v>257</v>
      </c>
      <c r="G886" s="5">
        <v>280</v>
      </c>
      <c r="H886" s="5">
        <v>302</v>
      </c>
      <c r="I886" s="5">
        <v>323</v>
      </c>
      <c r="J886" s="5">
        <v>343</v>
      </c>
      <c r="K886" s="5">
        <v>366</v>
      </c>
      <c r="L886" s="5">
        <v>388</v>
      </c>
      <c r="M886" s="5">
        <v>407</v>
      </c>
      <c r="N886" s="5">
        <v>427</v>
      </c>
      <c r="O886" s="5">
        <v>447</v>
      </c>
      <c r="P886" s="5">
        <v>467</v>
      </c>
      <c r="Q886" s="1160">
        <v>63</v>
      </c>
      <c r="R886"/>
      <c r="S886" s="1684"/>
      <c r="T886" s="1684"/>
      <c r="U886" s="1684"/>
      <c r="V886" s="1684"/>
      <c r="W886" s="1684"/>
      <c r="X886" s="1684"/>
      <c r="Y886" s="1684"/>
      <c r="Z886" s="1684"/>
      <c r="AA886" s="1684"/>
      <c r="AB886" s="1684"/>
      <c r="AC886" s="1684"/>
      <c r="AD886" s="1684"/>
      <c r="AE886" s="1684"/>
      <c r="AF886" s="1684"/>
      <c r="AG886" s="1684"/>
      <c r="AH886" s="1684"/>
      <c r="AI886" s="1684"/>
      <c r="AJ886" s="1684"/>
      <c r="AK886" s="1684"/>
      <c r="AL886" s="1684"/>
      <c r="AM886" s="1684"/>
      <c r="AN886" s="1684"/>
      <c r="AO886" s="1684"/>
      <c r="AP886" s="1684"/>
      <c r="AQ886" s="1684"/>
      <c r="AR886" s="1684"/>
      <c r="AS886" s="1684"/>
      <c r="AT886" s="1684"/>
      <c r="AU886" s="1684"/>
      <c r="AV886" s="1684"/>
      <c r="AW886" s="1684"/>
      <c r="AX886" s="1684"/>
      <c r="AY886" s="1684"/>
      <c r="AZ886" s="1684"/>
      <c r="BA886" s="1684"/>
      <c r="BB886" s="1684"/>
      <c r="BC886" s="1684"/>
      <c r="BD886" s="1684"/>
      <c r="BE886" s="1684"/>
      <c r="BF886" s="1684"/>
      <c r="BG886" s="1684"/>
      <c r="BH886" s="1684"/>
      <c r="BI886" s="1684"/>
      <c r="BJ886" s="1684"/>
      <c r="BK886" s="1684"/>
      <c r="BL886" s="1684"/>
      <c r="BM886" s="1684"/>
      <c r="BN886" s="1684"/>
      <c r="BO886" s="1684"/>
      <c r="BP886" s="1684"/>
      <c r="BQ886" s="1684"/>
      <c r="BR886" s="1684"/>
      <c r="BS886" s="1684"/>
      <c r="BT886" s="1684"/>
      <c r="BU886" s="1684"/>
      <c r="BV886" s="1684"/>
      <c r="BW886" s="1684"/>
      <c r="BX886" s="1684"/>
      <c r="BY886" s="1684"/>
      <c r="BZ886" s="1684"/>
      <c r="CA886" s="1684"/>
      <c r="CB886" s="1684"/>
      <c r="CC886" s="1684"/>
      <c r="CD886" s="1684"/>
      <c r="CE886" s="1684"/>
      <c r="CF886" s="1684"/>
      <c r="CG886" s="1684"/>
      <c r="CH886" s="1684"/>
      <c r="CI886" s="1684"/>
      <c r="CJ886" s="1684"/>
      <c r="CK886" s="1684"/>
      <c r="CL886" s="1684"/>
      <c r="CM886" s="1684"/>
      <c r="CN886" s="1684"/>
      <c r="CO886" s="1684"/>
    </row>
    <row r="887" spans="1:93" s="1391" customFormat="1" ht="15" x14ac:dyDescent="0.2">
      <c r="A887" s="1684"/>
      <c r="B887" s="1684"/>
      <c r="C887" s="2013">
        <v>16</v>
      </c>
      <c r="D887" s="5">
        <v>8.5190000000000001</v>
      </c>
      <c r="E887" s="5">
        <v>247</v>
      </c>
      <c r="F887" s="5">
        <v>272</v>
      </c>
      <c r="G887" s="5">
        <v>296</v>
      </c>
      <c r="H887" s="5">
        <v>319</v>
      </c>
      <c r="I887" s="5">
        <v>342</v>
      </c>
      <c r="J887" s="5">
        <v>364</v>
      </c>
      <c r="K887" s="5">
        <v>386</v>
      </c>
      <c r="L887" s="5">
        <v>409</v>
      </c>
      <c r="M887" s="5">
        <v>429</v>
      </c>
      <c r="N887" s="5">
        <v>451</v>
      </c>
      <c r="O887" s="5">
        <v>472</v>
      </c>
      <c r="P887" s="5">
        <v>492</v>
      </c>
      <c r="Q887" s="1160">
        <v>64</v>
      </c>
      <c r="R887"/>
      <c r="S887" s="1684"/>
      <c r="T887" s="1684"/>
      <c r="U887" s="1684"/>
      <c r="V887" s="1684"/>
      <c r="W887" s="1684"/>
      <c r="X887" s="1684"/>
      <c r="Y887" s="1684"/>
      <c r="Z887" s="1684"/>
      <c r="AA887" s="1684"/>
      <c r="AB887" s="1684"/>
      <c r="AC887" s="1684"/>
      <c r="AD887" s="1684"/>
      <c r="AE887" s="1684"/>
      <c r="AF887" s="1684"/>
      <c r="AG887" s="1684"/>
      <c r="AH887" s="1684"/>
      <c r="AI887" s="1684"/>
      <c r="AJ887" s="1684"/>
      <c r="AK887" s="1684"/>
      <c r="AL887" s="1684"/>
      <c r="AM887" s="1684"/>
      <c r="AN887" s="1684"/>
      <c r="AO887" s="1684"/>
      <c r="AP887" s="1684"/>
      <c r="AQ887" s="1684"/>
      <c r="AR887" s="1684"/>
      <c r="AS887" s="1684"/>
      <c r="AT887" s="1684"/>
      <c r="AU887" s="1684"/>
      <c r="AV887" s="1684"/>
      <c r="AW887" s="1684"/>
      <c r="AX887" s="1684"/>
      <c r="AY887" s="1684"/>
      <c r="AZ887" s="1684"/>
      <c r="BA887" s="1684"/>
      <c r="BB887" s="1684"/>
      <c r="BC887" s="1684"/>
      <c r="BD887" s="1684"/>
      <c r="BE887" s="1684"/>
      <c r="BF887" s="1684"/>
      <c r="BG887" s="1684"/>
      <c r="BH887" s="1684"/>
      <c r="BI887" s="1684"/>
      <c r="BJ887" s="1684"/>
      <c r="BK887" s="1684"/>
      <c r="BL887" s="1684"/>
      <c r="BM887" s="1684"/>
      <c r="BN887" s="1684"/>
      <c r="BO887" s="1684"/>
      <c r="BP887" s="1684"/>
      <c r="BQ887" s="1684"/>
      <c r="BR887" s="1684"/>
      <c r="BS887" s="1684"/>
      <c r="BT887" s="1684"/>
      <c r="BU887" s="1684"/>
      <c r="BV887" s="1684"/>
      <c r="BW887" s="1684"/>
      <c r="BX887" s="1684"/>
      <c r="BY887" s="1684"/>
      <c r="BZ887" s="1684"/>
      <c r="CA887" s="1684"/>
      <c r="CB887" s="1684"/>
      <c r="CC887" s="1684"/>
      <c r="CD887" s="1684"/>
      <c r="CE887" s="1684"/>
      <c r="CF887" s="1684"/>
      <c r="CG887" s="1684"/>
      <c r="CH887" s="1684"/>
      <c r="CI887" s="1684"/>
      <c r="CJ887" s="1684"/>
      <c r="CK887" s="1684"/>
      <c r="CL887" s="1684"/>
      <c r="CM887" s="1684"/>
      <c r="CN887" s="1684"/>
      <c r="CO887" s="1684"/>
    </row>
    <row r="888" spans="1:93" s="1391" customFormat="1" ht="15" x14ac:dyDescent="0.2">
      <c r="A888" s="1684"/>
      <c r="B888" s="1684"/>
      <c r="C888" s="2013">
        <v>17</v>
      </c>
      <c r="D888" s="5">
        <v>9.07</v>
      </c>
      <c r="E888" s="5">
        <v>259</v>
      </c>
      <c r="F888" s="5">
        <v>285</v>
      </c>
      <c r="G888" s="5">
        <v>310</v>
      </c>
      <c r="H888" s="5">
        <v>334</v>
      </c>
      <c r="I888" s="5">
        <v>358</v>
      </c>
      <c r="J888" s="5">
        <v>381</v>
      </c>
      <c r="K888" s="5">
        <v>404</v>
      </c>
      <c r="L888" s="5">
        <v>428</v>
      </c>
      <c r="M888" s="5">
        <v>449</v>
      </c>
      <c r="N888" s="5">
        <v>471</v>
      </c>
      <c r="O888" s="5">
        <v>493</v>
      </c>
      <c r="P888" s="5">
        <v>514</v>
      </c>
      <c r="Q888" s="1160">
        <v>65</v>
      </c>
      <c r="R888"/>
      <c r="S888" s="1684"/>
      <c r="T888" s="1684"/>
      <c r="U888" s="1684"/>
      <c r="V888" s="1684"/>
      <c r="W888" s="1684"/>
      <c r="X888" s="1684"/>
      <c r="Y888" s="1684"/>
      <c r="Z888" s="1684"/>
      <c r="AA888" s="1684"/>
      <c r="AB888" s="1684"/>
      <c r="AC888" s="1684"/>
      <c r="AD888" s="1684"/>
      <c r="AE888" s="1684"/>
      <c r="AF888" s="1684"/>
      <c r="AG888" s="1684"/>
      <c r="AH888" s="1684"/>
      <c r="AI888" s="1684"/>
      <c r="AJ888" s="1684"/>
      <c r="AK888" s="1684"/>
      <c r="AL888" s="1684"/>
      <c r="AM888" s="1684"/>
      <c r="AN888" s="1684"/>
      <c r="AO888" s="1684"/>
      <c r="AP888" s="1684"/>
      <c r="AQ888" s="1684"/>
      <c r="AR888" s="1684"/>
      <c r="AS888" s="1684"/>
      <c r="AT888" s="1684"/>
      <c r="AU888" s="1684"/>
      <c r="AV888" s="1684"/>
      <c r="AW888" s="1684"/>
      <c r="AX888" s="1684"/>
      <c r="AY888" s="1684"/>
      <c r="AZ888" s="1684"/>
      <c r="BA888" s="1684"/>
      <c r="BB888" s="1684"/>
      <c r="BC888" s="1684"/>
      <c r="BD888" s="1684"/>
      <c r="BE888" s="1684"/>
      <c r="BF888" s="1684"/>
      <c r="BG888" s="1684"/>
      <c r="BH888" s="1684"/>
      <c r="BI888" s="1684"/>
      <c r="BJ888" s="1684"/>
      <c r="BK888" s="1684"/>
      <c r="BL888" s="1684"/>
      <c r="BM888" s="1684"/>
      <c r="BN888" s="1684"/>
      <c r="BO888" s="1684"/>
      <c r="BP888" s="1684"/>
      <c r="BQ888" s="1684"/>
      <c r="BR888" s="1684"/>
      <c r="BS888" s="1684"/>
      <c r="BT888" s="1684"/>
      <c r="BU888" s="1684"/>
      <c r="BV888" s="1684"/>
      <c r="BW888" s="1684"/>
      <c r="BX888" s="1684"/>
      <c r="BY888" s="1684"/>
      <c r="BZ888" s="1684"/>
      <c r="CA888" s="1684"/>
      <c r="CB888" s="1684"/>
      <c r="CC888" s="1684"/>
      <c r="CD888" s="1684"/>
      <c r="CE888" s="1684"/>
      <c r="CF888" s="1684"/>
      <c r="CG888" s="1684"/>
      <c r="CH888" s="1684"/>
      <c r="CI888" s="1684"/>
      <c r="CJ888" s="1684"/>
      <c r="CK888" s="1684"/>
      <c r="CL888" s="1684"/>
      <c r="CM888" s="1684"/>
      <c r="CN888" s="1684"/>
      <c r="CO888" s="1684"/>
    </row>
    <row r="889" spans="1:93" s="1391" customFormat="1" ht="15" x14ac:dyDescent="0.2">
      <c r="A889" s="1684"/>
      <c r="B889" s="1684"/>
      <c r="C889" s="2013">
        <v>18</v>
      </c>
      <c r="D889" s="5">
        <v>9.3840000000000003</v>
      </c>
      <c r="E889" s="5">
        <v>270</v>
      </c>
      <c r="F889" s="5">
        <v>297</v>
      </c>
      <c r="G889" s="5">
        <v>323</v>
      </c>
      <c r="H889" s="5">
        <v>348</v>
      </c>
      <c r="I889" s="5">
        <v>372</v>
      </c>
      <c r="J889" s="5">
        <v>397</v>
      </c>
      <c r="K889" s="5">
        <v>420</v>
      </c>
      <c r="L889" s="5">
        <v>445</v>
      </c>
      <c r="M889" s="5">
        <v>467</v>
      </c>
      <c r="N889" s="5">
        <v>490</v>
      </c>
      <c r="O889" s="5">
        <v>512</v>
      </c>
      <c r="P889" s="5">
        <v>534</v>
      </c>
      <c r="Q889" s="1160">
        <v>66</v>
      </c>
      <c r="R889"/>
      <c r="S889" s="1684"/>
      <c r="T889" s="1684"/>
      <c r="U889" s="1684"/>
      <c r="V889" s="1684"/>
      <c r="W889" s="1684"/>
      <c r="X889" s="1684"/>
      <c r="Y889" s="1684"/>
      <c r="Z889" s="1684"/>
      <c r="AA889" s="1684"/>
      <c r="AB889" s="1684"/>
      <c r="AC889" s="1684"/>
      <c r="AD889" s="1684"/>
      <c r="AE889" s="1684"/>
      <c r="AF889" s="1684"/>
      <c r="AG889" s="1684"/>
      <c r="AH889" s="1684"/>
      <c r="AI889" s="1684"/>
      <c r="AJ889" s="1684"/>
      <c r="AK889" s="1684"/>
      <c r="AL889" s="1684"/>
      <c r="AM889" s="1684"/>
      <c r="AN889" s="1684"/>
      <c r="AO889" s="1684"/>
      <c r="AP889" s="1684"/>
      <c r="AQ889" s="1684"/>
      <c r="AR889" s="1684"/>
      <c r="AS889" s="1684"/>
      <c r="AT889" s="1684"/>
      <c r="AU889" s="1684"/>
      <c r="AV889" s="1684"/>
      <c r="AW889" s="1684"/>
      <c r="AX889" s="1684"/>
      <c r="AY889" s="1684"/>
      <c r="AZ889" s="1684"/>
      <c r="BA889" s="1684"/>
      <c r="BB889" s="1684"/>
      <c r="BC889" s="1684"/>
      <c r="BD889" s="1684"/>
      <c r="BE889" s="1684"/>
      <c r="BF889" s="1684"/>
      <c r="BG889" s="1684"/>
      <c r="BH889" s="1684"/>
      <c r="BI889" s="1684"/>
      <c r="BJ889" s="1684"/>
      <c r="BK889" s="1684"/>
      <c r="BL889" s="1684"/>
      <c r="BM889" s="1684"/>
      <c r="BN889" s="1684"/>
      <c r="BO889" s="1684"/>
      <c r="BP889" s="1684"/>
      <c r="BQ889" s="1684"/>
      <c r="BR889" s="1684"/>
      <c r="BS889" s="1684"/>
      <c r="BT889" s="1684"/>
      <c r="BU889" s="1684"/>
      <c r="BV889" s="1684"/>
      <c r="BW889" s="1684"/>
      <c r="BX889" s="1684"/>
      <c r="BY889" s="1684"/>
      <c r="BZ889" s="1684"/>
      <c r="CA889" s="1684"/>
      <c r="CB889" s="1684"/>
      <c r="CC889" s="1684"/>
      <c r="CD889" s="1684"/>
      <c r="CE889" s="1684"/>
      <c r="CF889" s="1684"/>
      <c r="CG889" s="1684"/>
      <c r="CH889" s="1684"/>
      <c r="CI889" s="1684"/>
      <c r="CJ889" s="1684"/>
      <c r="CK889" s="1684"/>
      <c r="CL889" s="1684"/>
      <c r="CM889" s="1684"/>
      <c r="CN889" s="1684"/>
      <c r="CO889" s="1684"/>
    </row>
    <row r="890" spans="1:93" s="1391" customFormat="1" ht="15" x14ac:dyDescent="0.2">
      <c r="A890" s="1684"/>
      <c r="B890" s="1684"/>
      <c r="C890" s="4680" t="s">
        <v>3692</v>
      </c>
      <c r="D890" s="4681"/>
      <c r="E890" s="4681"/>
      <c r="F890" s="4681"/>
      <c r="G890" s="4681"/>
      <c r="H890" s="4681"/>
      <c r="I890" s="4681"/>
      <c r="J890" s="4681"/>
      <c r="K890" s="4681"/>
      <c r="L890" s="4681"/>
      <c r="M890" s="4681"/>
      <c r="N890" s="4681"/>
      <c r="O890" s="4681"/>
      <c r="P890" s="4681"/>
      <c r="Q890" s="4682"/>
      <c r="R890"/>
      <c r="S890" s="1684"/>
      <c r="T890" s="1684"/>
      <c r="U890" s="1684"/>
      <c r="V890" s="1684"/>
      <c r="W890" s="1684"/>
      <c r="X890" s="1684"/>
      <c r="Y890" s="1684"/>
      <c r="Z890" s="1684"/>
      <c r="AA890" s="1684"/>
      <c r="AB890" s="1684"/>
      <c r="AC890" s="1684"/>
      <c r="AD890" s="1684"/>
      <c r="AE890" s="1684"/>
      <c r="AF890" s="1684"/>
      <c r="AG890" s="1684"/>
      <c r="AH890" s="1684"/>
      <c r="AI890" s="1684"/>
      <c r="AJ890" s="1684"/>
      <c r="AK890" s="1684"/>
      <c r="AL890" s="1684"/>
      <c r="AM890" s="1684"/>
      <c r="AN890" s="1684"/>
      <c r="AO890" s="1684"/>
      <c r="AP890" s="1684"/>
      <c r="AQ890" s="1684"/>
      <c r="AR890" s="1684"/>
      <c r="AS890" s="1684"/>
      <c r="AT890" s="1684"/>
      <c r="AU890" s="1684"/>
      <c r="AV890" s="1684"/>
      <c r="AW890" s="1684"/>
      <c r="AX890" s="1684"/>
      <c r="AY890" s="1684"/>
      <c r="AZ890" s="1684"/>
      <c r="BA890" s="1684"/>
      <c r="BB890" s="1684"/>
      <c r="BC890" s="1684"/>
      <c r="BD890" s="1684"/>
      <c r="BE890" s="1684"/>
      <c r="BF890" s="1684"/>
      <c r="BG890" s="1684"/>
      <c r="BH890" s="1684"/>
      <c r="BI890" s="1684"/>
      <c r="BJ890" s="1684"/>
      <c r="BK890" s="1684"/>
      <c r="BL890" s="1684"/>
      <c r="BM890" s="1684"/>
      <c r="BN890" s="1684"/>
      <c r="BO890" s="1684"/>
      <c r="BP890" s="1684"/>
      <c r="BQ890" s="1684"/>
      <c r="BR890" s="1684"/>
      <c r="BS890" s="1684"/>
      <c r="BT890" s="1684"/>
      <c r="BU890" s="1684"/>
      <c r="BV890" s="1684"/>
      <c r="BW890" s="1684"/>
      <c r="BX890" s="1684"/>
      <c r="BY890" s="1684"/>
      <c r="BZ890" s="1684"/>
      <c r="CA890" s="1684"/>
      <c r="CB890" s="1684"/>
      <c r="CC890" s="1684"/>
      <c r="CD890" s="1684"/>
      <c r="CE890" s="1684"/>
      <c r="CF890" s="1684"/>
      <c r="CG890" s="1684"/>
      <c r="CH890" s="1684"/>
      <c r="CI890" s="1684"/>
      <c r="CJ890" s="1684"/>
      <c r="CK890" s="1684"/>
      <c r="CL890" s="1684"/>
      <c r="CM890" s="1684"/>
      <c r="CN890" s="1684"/>
      <c r="CO890" s="1684"/>
    </row>
    <row r="891" spans="1:93" s="1391" customFormat="1" ht="15" x14ac:dyDescent="0.2">
      <c r="A891" s="1684"/>
      <c r="B891" s="1684"/>
      <c r="C891" s="4680"/>
      <c r="D891" s="4681"/>
      <c r="E891" s="4681"/>
      <c r="F891" s="4681"/>
      <c r="G891" s="4681"/>
      <c r="H891" s="4681"/>
      <c r="I891" s="4681"/>
      <c r="J891" s="4681"/>
      <c r="K891" s="4681"/>
      <c r="L891" s="4681"/>
      <c r="M891" s="4681"/>
      <c r="N891" s="4681"/>
      <c r="O891" s="4681"/>
      <c r="P891" s="4681"/>
      <c r="Q891" s="4682"/>
      <c r="R891"/>
      <c r="S891" s="1684"/>
      <c r="T891" s="1684"/>
      <c r="U891" s="1684"/>
      <c r="V891" s="1684"/>
      <c r="W891" s="1684"/>
      <c r="X891" s="1684"/>
      <c r="Y891" s="1684"/>
      <c r="Z891" s="1684"/>
      <c r="AA891" s="1684"/>
      <c r="AB891" s="1684"/>
      <c r="AC891" s="1684"/>
      <c r="AD891" s="1684"/>
      <c r="AE891" s="1684"/>
      <c r="AF891" s="1684"/>
      <c r="AG891" s="1684"/>
      <c r="AH891" s="1684"/>
      <c r="AI891" s="1684"/>
      <c r="AJ891" s="1684"/>
      <c r="AK891" s="1684"/>
      <c r="AL891" s="1684"/>
      <c r="AM891" s="1684"/>
      <c r="AN891" s="1684"/>
      <c r="AO891" s="1684"/>
      <c r="AP891" s="1684"/>
      <c r="AQ891" s="1684"/>
      <c r="AR891" s="1684"/>
      <c r="AS891" s="1684"/>
      <c r="AT891" s="1684"/>
      <c r="AU891" s="1684"/>
      <c r="AV891" s="1684"/>
      <c r="AW891" s="1684"/>
      <c r="AX891" s="1684"/>
      <c r="AY891" s="1684"/>
      <c r="AZ891" s="1684"/>
      <c r="BA891" s="1684"/>
      <c r="BB891" s="1684"/>
      <c r="BC891" s="1684"/>
      <c r="BD891" s="1684"/>
      <c r="BE891" s="1684"/>
      <c r="BF891" s="1684"/>
      <c r="BG891" s="1684"/>
      <c r="BH891" s="1684"/>
      <c r="BI891" s="1684"/>
      <c r="BJ891" s="1684"/>
      <c r="BK891" s="1684"/>
      <c r="BL891" s="1684"/>
      <c r="BM891" s="1684"/>
      <c r="BN891" s="1684"/>
      <c r="BO891" s="1684"/>
      <c r="BP891" s="1684"/>
      <c r="BQ891" s="1684"/>
      <c r="BR891" s="1684"/>
      <c r="BS891" s="1684"/>
      <c r="BT891" s="1684"/>
      <c r="BU891" s="1684"/>
      <c r="BV891" s="1684"/>
      <c r="BW891" s="1684"/>
      <c r="BX891" s="1684"/>
      <c r="BY891" s="1684"/>
      <c r="BZ891" s="1684"/>
      <c r="CA891" s="1684"/>
      <c r="CB891" s="1684"/>
      <c r="CC891" s="1684"/>
      <c r="CD891" s="1684"/>
      <c r="CE891" s="1684"/>
      <c r="CF891" s="1684"/>
      <c r="CG891" s="1684"/>
      <c r="CH891" s="1684"/>
      <c r="CI891" s="1684"/>
      <c r="CJ891" s="1684"/>
      <c r="CK891" s="1684"/>
      <c r="CL891" s="1684"/>
      <c r="CM891" s="1684"/>
      <c r="CN891" s="1684"/>
      <c r="CO891" s="1684"/>
    </row>
    <row r="892" spans="1:93" s="1391" customFormat="1" ht="15" x14ac:dyDescent="0.2">
      <c r="A892" s="1684"/>
      <c r="B892" s="1684"/>
      <c r="C892" s="2014"/>
      <c r="D892" s="2015"/>
      <c r="E892" s="2015">
        <v>1</v>
      </c>
      <c r="F892" s="2015">
        <v>2</v>
      </c>
      <c r="G892" s="2015">
        <v>3</v>
      </c>
      <c r="H892" s="2015">
        <v>4</v>
      </c>
      <c r="I892" s="2015">
        <v>5</v>
      </c>
      <c r="J892" s="2015">
        <v>6</v>
      </c>
      <c r="K892" s="2015">
        <v>7</v>
      </c>
      <c r="L892" s="2015">
        <v>8</v>
      </c>
      <c r="M892" s="2015">
        <v>9</v>
      </c>
      <c r="N892" s="2015">
        <v>10</v>
      </c>
      <c r="O892" s="2015">
        <v>11</v>
      </c>
      <c r="P892" s="2015">
        <v>12</v>
      </c>
      <c r="Q892" s="2016"/>
      <c r="R892"/>
      <c r="S892" s="1684"/>
      <c r="T892" s="1684"/>
      <c r="U892" s="1684"/>
      <c r="V892" s="1684"/>
      <c r="W892" s="1684"/>
      <c r="X892" s="1684"/>
      <c r="Y892" s="1684"/>
      <c r="Z892" s="1684"/>
      <c r="AA892" s="1684"/>
      <c r="AB892" s="1684"/>
      <c r="AC892" s="1684"/>
      <c r="AD892" s="1684"/>
      <c r="AE892" s="1684"/>
      <c r="AF892" s="1684"/>
      <c r="AG892" s="1684"/>
      <c r="AH892" s="1684"/>
      <c r="AI892" s="1684"/>
      <c r="AJ892" s="1684"/>
      <c r="AK892" s="1684"/>
      <c r="AL892" s="1684"/>
      <c r="AM892" s="1684"/>
      <c r="AN892" s="1684"/>
      <c r="AO892" s="1684"/>
      <c r="AP892" s="1684"/>
      <c r="AQ892" s="1684"/>
      <c r="AR892" s="1684"/>
      <c r="AS892" s="1684"/>
      <c r="AT892" s="1684"/>
      <c r="AU892" s="1684"/>
      <c r="AV892" s="1684"/>
      <c r="AW892" s="1684"/>
      <c r="AX892" s="1684"/>
      <c r="AY892" s="1684"/>
      <c r="AZ892" s="1684"/>
      <c r="BA892" s="1684"/>
      <c r="BB892" s="1684"/>
      <c r="BC892" s="1684"/>
      <c r="BD892" s="1684"/>
      <c r="BE892" s="1684"/>
      <c r="BF892" s="1684"/>
      <c r="BG892" s="1684"/>
      <c r="BH892" s="1684"/>
      <c r="BI892" s="1684"/>
      <c r="BJ892" s="1684"/>
      <c r="BK892" s="1684"/>
      <c r="BL892" s="1684"/>
      <c r="BM892" s="1684"/>
      <c r="BN892" s="1684"/>
      <c r="BO892" s="1684"/>
      <c r="BP892" s="1684"/>
      <c r="BQ892" s="1684"/>
      <c r="BR892" s="1684"/>
      <c r="BS892" s="1684"/>
      <c r="BT892" s="1684"/>
      <c r="BU892" s="1684"/>
      <c r="BV892" s="1684"/>
      <c r="BW892" s="1684"/>
      <c r="BX892" s="1684"/>
      <c r="BY892" s="1684"/>
      <c r="BZ892" s="1684"/>
      <c r="CA892" s="1684"/>
      <c r="CB892" s="1684"/>
      <c r="CC892" s="1684"/>
      <c r="CD892" s="1684"/>
      <c r="CE892" s="1684"/>
      <c r="CF892" s="1684"/>
      <c r="CG892" s="1684"/>
      <c r="CH892" s="1684"/>
      <c r="CI892" s="1684"/>
      <c r="CJ892" s="1684"/>
      <c r="CK892" s="1684"/>
      <c r="CL892" s="1684"/>
      <c r="CM892" s="1684"/>
      <c r="CN892" s="1684"/>
      <c r="CO892" s="1684"/>
    </row>
    <row r="893" spans="1:93" s="1391" customFormat="1" ht="15" x14ac:dyDescent="0.2">
      <c r="A893" s="1684"/>
      <c r="B893" s="1684"/>
      <c r="C893" s="2013">
        <v>8</v>
      </c>
      <c r="D893" s="5">
        <v>5.5549999999999997</v>
      </c>
      <c r="E893" s="5">
        <v>141</v>
      </c>
      <c r="F893" s="5">
        <v>155</v>
      </c>
      <c r="G893" s="5">
        <v>169</v>
      </c>
      <c r="H893" s="5">
        <v>183</v>
      </c>
      <c r="I893" s="5">
        <v>197</v>
      </c>
      <c r="J893" s="5">
        <v>211</v>
      </c>
      <c r="K893" s="5">
        <v>224</v>
      </c>
      <c r="L893" s="5">
        <v>238</v>
      </c>
      <c r="M893" s="5">
        <v>251</v>
      </c>
      <c r="N893" s="5">
        <v>264</v>
      </c>
      <c r="O893" s="5">
        <v>277</v>
      </c>
      <c r="P893" s="5">
        <v>290</v>
      </c>
      <c r="Q893" s="1160">
        <v>67</v>
      </c>
      <c r="R893"/>
      <c r="S893" s="1684"/>
      <c r="T893" s="1684"/>
      <c r="U893" s="1684"/>
      <c r="V893" s="1684"/>
      <c r="W893" s="1684"/>
      <c r="X893" s="1684"/>
      <c r="Y893" s="1684"/>
      <c r="Z893" s="1684"/>
      <c r="AA893" s="1684"/>
      <c r="AB893" s="1684"/>
      <c r="AC893" s="1684"/>
      <c r="AD893" s="1684"/>
      <c r="AE893" s="1684"/>
      <c r="AF893" s="1684"/>
      <c r="AG893" s="1684"/>
      <c r="AH893" s="1684"/>
      <c r="AI893" s="1684"/>
      <c r="AJ893" s="1684"/>
      <c r="AK893" s="1684"/>
      <c r="AL893" s="1684"/>
      <c r="AM893" s="1684"/>
      <c r="AN893" s="1684"/>
      <c r="AO893" s="1684"/>
      <c r="AP893" s="1684"/>
      <c r="AQ893" s="1684"/>
      <c r="AR893" s="1684"/>
      <c r="AS893" s="1684"/>
      <c r="AT893" s="1684"/>
      <c r="AU893" s="1684"/>
      <c r="AV893" s="1684"/>
      <c r="AW893" s="1684"/>
      <c r="AX893" s="1684"/>
      <c r="AY893" s="1684"/>
      <c r="AZ893" s="1684"/>
      <c r="BA893" s="1684"/>
      <c r="BB893" s="1684"/>
      <c r="BC893" s="1684"/>
      <c r="BD893" s="1684"/>
      <c r="BE893" s="1684"/>
      <c r="BF893" s="1684"/>
      <c r="BG893" s="1684"/>
      <c r="BH893" s="1684"/>
      <c r="BI893" s="1684"/>
      <c r="BJ893" s="1684"/>
      <c r="BK893" s="1684"/>
      <c r="BL893" s="1684"/>
      <c r="BM893" s="1684"/>
      <c r="BN893" s="1684"/>
      <c r="BO893" s="1684"/>
      <c r="BP893" s="1684"/>
      <c r="BQ893" s="1684"/>
      <c r="BR893" s="1684"/>
      <c r="BS893" s="1684"/>
      <c r="BT893" s="1684"/>
      <c r="BU893" s="1684"/>
      <c r="BV893" s="1684"/>
      <c r="BW893" s="1684"/>
      <c r="BX893" s="1684"/>
      <c r="BY893" s="1684"/>
      <c r="BZ893" s="1684"/>
      <c r="CA893" s="1684"/>
      <c r="CB893" s="1684"/>
      <c r="CC893" s="1684"/>
      <c r="CD893" s="1684"/>
      <c r="CE893" s="1684"/>
      <c r="CF893" s="1684"/>
      <c r="CG893" s="1684"/>
      <c r="CH893" s="1684"/>
      <c r="CI893" s="1684"/>
      <c r="CJ893" s="1684"/>
      <c r="CK893" s="1684"/>
      <c r="CL893" s="1684"/>
      <c r="CM893" s="1684"/>
      <c r="CN893" s="1684"/>
      <c r="CO893" s="1684"/>
    </row>
    <row r="894" spans="1:93" s="1391" customFormat="1" ht="15" x14ac:dyDescent="0.2">
      <c r="A894" s="1684"/>
      <c r="B894" s="1684"/>
      <c r="C894" s="2013">
        <v>9</v>
      </c>
      <c r="D894" s="5">
        <v>5.98</v>
      </c>
      <c r="E894" s="5">
        <v>153</v>
      </c>
      <c r="F894" s="5">
        <v>170</v>
      </c>
      <c r="G894" s="5">
        <v>185</v>
      </c>
      <c r="H894" s="5">
        <v>200</v>
      </c>
      <c r="I894" s="5">
        <v>215</v>
      </c>
      <c r="J894" s="5">
        <v>229</v>
      </c>
      <c r="K894" s="5">
        <v>244</v>
      </c>
      <c r="L894" s="5">
        <v>259</v>
      </c>
      <c r="M894" s="5">
        <v>273</v>
      </c>
      <c r="N894" s="5">
        <v>287</v>
      </c>
      <c r="O894" s="5">
        <v>301</v>
      </c>
      <c r="P894" s="5">
        <v>315</v>
      </c>
      <c r="Q894" s="1160">
        <v>68</v>
      </c>
      <c r="R894"/>
      <c r="S894" s="1684"/>
      <c r="T894" s="1684"/>
      <c r="U894" s="1684"/>
      <c r="V894" s="1684"/>
      <c r="W894" s="1684"/>
      <c r="X894" s="1684"/>
      <c r="Y894" s="1684"/>
      <c r="Z894" s="1684"/>
      <c r="AA894" s="1684"/>
      <c r="AB894" s="1684"/>
      <c r="AC894" s="1684"/>
      <c r="AD894" s="1684"/>
      <c r="AE894" s="1684"/>
      <c r="AF894" s="1684"/>
      <c r="AG894" s="1684"/>
      <c r="AH894" s="1684"/>
      <c r="AI894" s="1684"/>
      <c r="AJ894" s="1684"/>
      <c r="AK894" s="1684"/>
      <c r="AL894" s="1684"/>
      <c r="AM894" s="1684"/>
      <c r="AN894" s="1684"/>
      <c r="AO894" s="1684"/>
      <c r="AP894" s="1684"/>
      <c r="AQ894" s="1684"/>
      <c r="AR894" s="1684"/>
      <c r="AS894" s="1684"/>
      <c r="AT894" s="1684"/>
      <c r="AU894" s="1684"/>
      <c r="AV894" s="1684"/>
      <c r="AW894" s="1684"/>
      <c r="AX894" s="1684"/>
      <c r="AY894" s="1684"/>
      <c r="AZ894" s="1684"/>
      <c r="BA894" s="1684"/>
      <c r="BB894" s="1684"/>
      <c r="BC894" s="1684"/>
      <c r="BD894" s="1684"/>
      <c r="BE894" s="1684"/>
      <c r="BF894" s="1684"/>
      <c r="BG894" s="1684"/>
      <c r="BH894" s="1684"/>
      <c r="BI894" s="1684"/>
      <c r="BJ894" s="1684"/>
      <c r="BK894" s="1684"/>
      <c r="BL894" s="1684"/>
      <c r="BM894" s="1684"/>
      <c r="BN894" s="1684"/>
      <c r="BO894" s="1684"/>
      <c r="BP894" s="1684"/>
      <c r="BQ894" s="1684"/>
      <c r="BR894" s="1684"/>
      <c r="BS894" s="1684"/>
      <c r="BT894" s="1684"/>
      <c r="BU894" s="1684"/>
      <c r="BV894" s="1684"/>
      <c r="BW894" s="1684"/>
      <c r="BX894" s="1684"/>
      <c r="BY894" s="1684"/>
      <c r="BZ894" s="1684"/>
      <c r="CA894" s="1684"/>
      <c r="CB894" s="1684"/>
      <c r="CC894" s="1684"/>
      <c r="CD894" s="1684"/>
      <c r="CE894" s="1684"/>
      <c r="CF894" s="1684"/>
      <c r="CG894" s="1684"/>
      <c r="CH894" s="1684"/>
      <c r="CI894" s="1684"/>
      <c r="CJ894" s="1684"/>
      <c r="CK894" s="1684"/>
      <c r="CL894" s="1684"/>
      <c r="CM894" s="1684"/>
      <c r="CN894" s="1684"/>
      <c r="CO894" s="1684"/>
    </row>
    <row r="895" spans="1:93" s="1391" customFormat="1" ht="15" x14ac:dyDescent="0.2">
      <c r="A895" s="1684"/>
      <c r="B895" s="1684"/>
      <c r="C895" s="2013">
        <v>10</v>
      </c>
      <c r="D895" s="5">
        <v>6.2160000000000002</v>
      </c>
      <c r="E895" s="5">
        <v>167</v>
      </c>
      <c r="F895" s="5">
        <v>184</v>
      </c>
      <c r="G895" s="5">
        <v>201</v>
      </c>
      <c r="H895" s="5">
        <v>217</v>
      </c>
      <c r="I895" s="5">
        <v>233</v>
      </c>
      <c r="J895" s="5">
        <v>249</v>
      </c>
      <c r="K895" s="5">
        <v>264</v>
      </c>
      <c r="L895" s="5">
        <v>281</v>
      </c>
      <c r="M895" s="5">
        <v>295</v>
      </c>
      <c r="N895" s="5">
        <v>311</v>
      </c>
      <c r="O895" s="5">
        <v>326</v>
      </c>
      <c r="P895" s="5">
        <v>341</v>
      </c>
      <c r="Q895" s="1160">
        <v>69</v>
      </c>
      <c r="R895"/>
      <c r="S895" s="1684"/>
      <c r="T895" s="1684"/>
      <c r="U895" s="1684"/>
      <c r="V895" s="1684"/>
      <c r="W895" s="1684"/>
      <c r="X895" s="1684"/>
      <c r="Y895" s="1684"/>
      <c r="Z895" s="1684"/>
      <c r="AA895" s="1684"/>
      <c r="AB895" s="1684"/>
      <c r="AC895" s="1684"/>
      <c r="AD895" s="1684"/>
      <c r="AE895" s="1684"/>
      <c r="AF895" s="1684"/>
      <c r="AG895" s="1684"/>
      <c r="AH895" s="1684"/>
      <c r="AI895" s="1684"/>
      <c r="AJ895" s="1684"/>
      <c r="AK895" s="1684"/>
      <c r="AL895" s="1684"/>
      <c r="AM895" s="1684"/>
      <c r="AN895" s="1684"/>
      <c r="AO895" s="1684"/>
      <c r="AP895" s="1684"/>
      <c r="AQ895" s="1684"/>
      <c r="AR895" s="1684"/>
      <c r="AS895" s="1684"/>
      <c r="AT895" s="1684"/>
      <c r="AU895" s="1684"/>
      <c r="AV895" s="1684"/>
      <c r="AW895" s="1684"/>
      <c r="AX895" s="1684"/>
      <c r="AY895" s="1684"/>
      <c r="AZ895" s="1684"/>
      <c r="BA895" s="1684"/>
      <c r="BB895" s="1684"/>
      <c r="BC895" s="1684"/>
      <c r="BD895" s="1684"/>
      <c r="BE895" s="1684"/>
      <c r="BF895" s="1684"/>
      <c r="BG895" s="1684"/>
      <c r="BH895" s="1684"/>
      <c r="BI895" s="1684"/>
      <c r="BJ895" s="1684"/>
      <c r="BK895" s="1684"/>
      <c r="BL895" s="1684"/>
      <c r="BM895" s="1684"/>
      <c r="BN895" s="1684"/>
      <c r="BO895" s="1684"/>
      <c r="BP895" s="1684"/>
      <c r="BQ895" s="1684"/>
      <c r="BR895" s="1684"/>
      <c r="BS895" s="1684"/>
      <c r="BT895" s="1684"/>
      <c r="BU895" s="1684"/>
      <c r="BV895" s="1684"/>
      <c r="BW895" s="1684"/>
      <c r="BX895" s="1684"/>
      <c r="BY895" s="1684"/>
      <c r="BZ895" s="1684"/>
      <c r="CA895" s="1684"/>
      <c r="CB895" s="1684"/>
      <c r="CC895" s="1684"/>
      <c r="CD895" s="1684"/>
      <c r="CE895" s="1684"/>
      <c r="CF895" s="1684"/>
      <c r="CG895" s="1684"/>
      <c r="CH895" s="1684"/>
      <c r="CI895" s="1684"/>
      <c r="CJ895" s="1684"/>
      <c r="CK895" s="1684"/>
      <c r="CL895" s="1684"/>
      <c r="CM895" s="1684"/>
      <c r="CN895" s="1684"/>
      <c r="CO895" s="1684"/>
    </row>
    <row r="896" spans="1:93" s="1391" customFormat="1" ht="15" x14ac:dyDescent="0.2">
      <c r="A896" s="1684"/>
      <c r="B896" s="1684"/>
      <c r="C896" s="2013">
        <v>11</v>
      </c>
      <c r="D896" s="5">
        <v>6.5880000000000001</v>
      </c>
      <c r="E896" s="5">
        <v>181</v>
      </c>
      <c r="F896" s="5">
        <v>200</v>
      </c>
      <c r="G896" s="5">
        <v>218</v>
      </c>
      <c r="H896" s="5">
        <v>235</v>
      </c>
      <c r="I896" s="5">
        <v>253</v>
      </c>
      <c r="J896" s="5">
        <v>270</v>
      </c>
      <c r="K896" s="5">
        <v>287</v>
      </c>
      <c r="L896" s="5">
        <v>304</v>
      </c>
      <c r="M896" s="5">
        <v>320</v>
      </c>
      <c r="N896" s="5">
        <v>336</v>
      </c>
      <c r="O896" s="5">
        <v>353</v>
      </c>
      <c r="P896" s="5">
        <v>369</v>
      </c>
      <c r="Q896" s="1160">
        <v>70</v>
      </c>
      <c r="R896"/>
      <c r="S896" s="1684"/>
      <c r="T896" s="1684"/>
      <c r="U896" s="1684"/>
      <c r="V896" s="1684"/>
      <c r="W896" s="1684"/>
      <c r="X896" s="1684"/>
      <c r="Y896" s="1684"/>
      <c r="Z896" s="1684"/>
      <c r="AA896" s="1684"/>
      <c r="AB896" s="1684"/>
      <c r="AC896" s="1684"/>
      <c r="AD896" s="1684"/>
      <c r="AE896" s="1684"/>
      <c r="AF896" s="1684"/>
      <c r="AG896" s="1684"/>
      <c r="AH896" s="1684"/>
      <c r="AI896" s="1684"/>
      <c r="AJ896" s="1684"/>
      <c r="AK896" s="1684"/>
      <c r="AL896" s="1684"/>
      <c r="AM896" s="1684"/>
      <c r="AN896" s="1684"/>
      <c r="AO896" s="1684"/>
      <c r="AP896" s="1684"/>
      <c r="AQ896" s="1684"/>
      <c r="AR896" s="1684"/>
      <c r="AS896" s="1684"/>
      <c r="AT896" s="1684"/>
      <c r="AU896" s="1684"/>
      <c r="AV896" s="1684"/>
      <c r="AW896" s="1684"/>
      <c r="AX896" s="1684"/>
      <c r="AY896" s="1684"/>
      <c r="AZ896" s="1684"/>
      <c r="BA896" s="1684"/>
      <c r="BB896" s="1684"/>
      <c r="BC896" s="1684"/>
      <c r="BD896" s="1684"/>
      <c r="BE896" s="1684"/>
      <c r="BF896" s="1684"/>
      <c r="BG896" s="1684"/>
      <c r="BH896" s="1684"/>
      <c r="BI896" s="1684"/>
      <c r="BJ896" s="1684"/>
      <c r="BK896" s="1684"/>
      <c r="BL896" s="1684"/>
      <c r="BM896" s="1684"/>
      <c r="BN896" s="1684"/>
      <c r="BO896" s="1684"/>
      <c r="BP896" s="1684"/>
      <c r="BQ896" s="1684"/>
      <c r="BR896" s="1684"/>
      <c r="BS896" s="1684"/>
      <c r="BT896" s="1684"/>
      <c r="BU896" s="1684"/>
      <c r="BV896" s="1684"/>
      <c r="BW896" s="1684"/>
      <c r="BX896" s="1684"/>
      <c r="BY896" s="1684"/>
      <c r="BZ896" s="1684"/>
      <c r="CA896" s="1684"/>
      <c r="CB896" s="1684"/>
      <c r="CC896" s="1684"/>
      <c r="CD896" s="1684"/>
      <c r="CE896" s="1684"/>
      <c r="CF896" s="1684"/>
      <c r="CG896" s="1684"/>
      <c r="CH896" s="1684"/>
      <c r="CI896" s="1684"/>
      <c r="CJ896" s="1684"/>
      <c r="CK896" s="1684"/>
      <c r="CL896" s="1684"/>
      <c r="CM896" s="1684"/>
      <c r="CN896" s="1684"/>
      <c r="CO896" s="1684"/>
    </row>
    <row r="897" spans="1:93" s="1391" customFormat="1" ht="15" x14ac:dyDescent="0.2">
      <c r="A897" s="1684"/>
      <c r="B897" s="1684"/>
      <c r="C897" s="2013">
        <v>12</v>
      </c>
      <c r="D897" s="5">
        <v>6.97</v>
      </c>
      <c r="E897" s="5">
        <v>196</v>
      </c>
      <c r="F897" s="5">
        <v>216</v>
      </c>
      <c r="G897" s="5">
        <v>235</v>
      </c>
      <c r="H897" s="5">
        <v>254</v>
      </c>
      <c r="I897" s="5">
        <v>272</v>
      </c>
      <c r="J897" s="5">
        <v>291</v>
      </c>
      <c r="K897" s="5">
        <v>309</v>
      </c>
      <c r="L897" s="5">
        <v>328</v>
      </c>
      <c r="M897" s="5">
        <v>345</v>
      </c>
      <c r="N897" s="5">
        <v>362</v>
      </c>
      <c r="O897" s="5">
        <v>379</v>
      </c>
      <c r="P897" s="5">
        <v>397</v>
      </c>
      <c r="Q897" s="1160">
        <v>71</v>
      </c>
      <c r="R897"/>
      <c r="S897" s="1684"/>
      <c r="T897" s="1684"/>
      <c r="U897" s="1684"/>
      <c r="V897" s="1684"/>
      <c r="W897" s="1684"/>
      <c r="X897" s="1684"/>
      <c r="Y897" s="1684"/>
      <c r="Z897" s="1684"/>
      <c r="AA897" s="1684"/>
      <c r="AB897" s="1684"/>
      <c r="AC897" s="1684"/>
      <c r="AD897" s="1684"/>
      <c r="AE897" s="1684"/>
      <c r="AF897" s="1684"/>
      <c r="AG897" s="1684"/>
      <c r="AH897" s="1684"/>
      <c r="AI897" s="1684"/>
      <c r="AJ897" s="1684"/>
      <c r="AK897" s="1684"/>
      <c r="AL897" s="1684"/>
      <c r="AM897" s="1684"/>
      <c r="AN897" s="1684"/>
      <c r="AO897" s="1684"/>
      <c r="AP897" s="1684"/>
      <c r="AQ897" s="1684"/>
      <c r="AR897" s="1684"/>
      <c r="AS897" s="1684"/>
      <c r="AT897" s="1684"/>
      <c r="AU897" s="1684"/>
      <c r="AV897" s="1684"/>
      <c r="AW897" s="1684"/>
      <c r="AX897" s="1684"/>
      <c r="AY897" s="1684"/>
      <c r="AZ897" s="1684"/>
      <c r="BA897" s="1684"/>
      <c r="BB897" s="1684"/>
      <c r="BC897" s="1684"/>
      <c r="BD897" s="1684"/>
      <c r="BE897" s="1684"/>
      <c r="BF897" s="1684"/>
      <c r="BG897" s="1684"/>
      <c r="BH897" s="1684"/>
      <c r="BI897" s="1684"/>
      <c r="BJ897" s="1684"/>
      <c r="BK897" s="1684"/>
      <c r="BL897" s="1684"/>
      <c r="BM897" s="1684"/>
      <c r="BN897" s="1684"/>
      <c r="BO897" s="1684"/>
      <c r="BP897" s="1684"/>
      <c r="BQ897" s="1684"/>
      <c r="BR897" s="1684"/>
      <c r="BS897" s="1684"/>
      <c r="BT897" s="1684"/>
      <c r="BU897" s="1684"/>
      <c r="BV897" s="1684"/>
      <c r="BW897" s="1684"/>
      <c r="BX897" s="1684"/>
      <c r="BY897" s="1684"/>
      <c r="BZ897" s="1684"/>
      <c r="CA897" s="1684"/>
      <c r="CB897" s="1684"/>
      <c r="CC897" s="1684"/>
      <c r="CD897" s="1684"/>
      <c r="CE897" s="1684"/>
      <c r="CF897" s="1684"/>
      <c r="CG897" s="1684"/>
      <c r="CH897" s="1684"/>
      <c r="CI897" s="1684"/>
      <c r="CJ897" s="1684"/>
      <c r="CK897" s="1684"/>
      <c r="CL897" s="1684"/>
      <c r="CM897" s="1684"/>
      <c r="CN897" s="1684"/>
      <c r="CO897" s="1684"/>
    </row>
    <row r="898" spans="1:93" s="1391" customFormat="1" ht="15" x14ac:dyDescent="0.2">
      <c r="A898" s="1684"/>
      <c r="B898" s="1684"/>
      <c r="C898" s="2013">
        <v>13</v>
      </c>
      <c r="D898" s="5">
        <v>7.3529999999999998</v>
      </c>
      <c r="E898" s="5">
        <v>210</v>
      </c>
      <c r="F898" s="5">
        <v>232</v>
      </c>
      <c r="G898" s="5">
        <v>252</v>
      </c>
      <c r="H898" s="5">
        <v>272</v>
      </c>
      <c r="I898" s="5">
        <v>292</v>
      </c>
      <c r="J898" s="5">
        <v>312</v>
      </c>
      <c r="K898" s="5">
        <v>331</v>
      </c>
      <c r="L898" s="5">
        <v>351</v>
      </c>
      <c r="M898" s="5">
        <v>369</v>
      </c>
      <c r="N898" s="5">
        <v>387</v>
      </c>
      <c r="O898" s="5">
        <v>406</v>
      </c>
      <c r="P898" s="5">
        <v>424</v>
      </c>
      <c r="Q898" s="1160">
        <v>72</v>
      </c>
      <c r="R898"/>
      <c r="S898" s="1684"/>
      <c r="T898" s="1684"/>
      <c r="U898" s="1684"/>
      <c r="V898" s="1684"/>
      <c r="W898" s="1684"/>
      <c r="X898" s="1684"/>
      <c r="Y898" s="1684"/>
      <c r="Z898" s="1684"/>
      <c r="AA898" s="1684"/>
      <c r="AB898" s="1684"/>
      <c r="AC898" s="1684"/>
      <c r="AD898" s="1684"/>
      <c r="AE898" s="1684"/>
      <c r="AF898" s="1684"/>
      <c r="AG898" s="1684"/>
      <c r="AH898" s="1684"/>
      <c r="AI898" s="1684"/>
      <c r="AJ898" s="1684"/>
      <c r="AK898" s="1684"/>
      <c r="AL898" s="1684"/>
      <c r="AM898" s="1684"/>
      <c r="AN898" s="1684"/>
      <c r="AO898" s="1684"/>
      <c r="AP898" s="1684"/>
      <c r="AQ898" s="1684"/>
      <c r="AR898" s="1684"/>
      <c r="AS898" s="1684"/>
      <c r="AT898" s="1684"/>
      <c r="AU898" s="1684"/>
      <c r="AV898" s="1684"/>
      <c r="AW898" s="1684"/>
      <c r="AX898" s="1684"/>
      <c r="AY898" s="1684"/>
      <c r="AZ898" s="1684"/>
      <c r="BA898" s="1684"/>
      <c r="BB898" s="1684"/>
      <c r="BC898" s="1684"/>
      <c r="BD898" s="1684"/>
      <c r="BE898" s="1684"/>
      <c r="BF898" s="1684"/>
      <c r="BG898" s="1684"/>
      <c r="BH898" s="1684"/>
      <c r="BI898" s="1684"/>
      <c r="BJ898" s="1684"/>
      <c r="BK898" s="1684"/>
      <c r="BL898" s="1684"/>
      <c r="BM898" s="1684"/>
      <c r="BN898" s="1684"/>
      <c r="BO898" s="1684"/>
      <c r="BP898" s="1684"/>
      <c r="BQ898" s="1684"/>
      <c r="BR898" s="1684"/>
      <c r="BS898" s="1684"/>
      <c r="BT898" s="1684"/>
      <c r="BU898" s="1684"/>
      <c r="BV898" s="1684"/>
      <c r="BW898" s="1684"/>
      <c r="BX898" s="1684"/>
      <c r="BY898" s="1684"/>
      <c r="BZ898" s="1684"/>
      <c r="CA898" s="1684"/>
      <c r="CB898" s="1684"/>
      <c r="CC898" s="1684"/>
      <c r="CD898" s="1684"/>
      <c r="CE898" s="1684"/>
      <c r="CF898" s="1684"/>
      <c r="CG898" s="1684"/>
      <c r="CH898" s="1684"/>
      <c r="CI898" s="1684"/>
      <c r="CJ898" s="1684"/>
      <c r="CK898" s="1684"/>
      <c r="CL898" s="1684"/>
      <c r="CM898" s="1684"/>
      <c r="CN898" s="1684"/>
      <c r="CO898" s="1684"/>
    </row>
    <row r="899" spans="1:93" s="1391" customFormat="1" ht="15" x14ac:dyDescent="0.2">
      <c r="A899" s="1684"/>
      <c r="B899" s="1684"/>
      <c r="C899" s="2013">
        <v>14</v>
      </c>
      <c r="D899" s="5">
        <v>7.7489999999999997</v>
      </c>
      <c r="E899" s="5">
        <v>225</v>
      </c>
      <c r="F899" s="5">
        <v>248</v>
      </c>
      <c r="G899" s="5">
        <v>270</v>
      </c>
      <c r="H899" s="5">
        <v>291</v>
      </c>
      <c r="I899" s="5">
        <v>312</v>
      </c>
      <c r="J899" s="5">
        <v>333</v>
      </c>
      <c r="K899" s="5">
        <v>353</v>
      </c>
      <c r="L899" s="5">
        <v>375</v>
      </c>
      <c r="M899" s="5">
        <v>394</v>
      </c>
      <c r="N899" s="5">
        <v>413</v>
      </c>
      <c r="O899" s="5">
        <v>433</v>
      </c>
      <c r="P899" s="5">
        <v>452</v>
      </c>
      <c r="Q899" s="1160">
        <v>73</v>
      </c>
      <c r="R899"/>
      <c r="S899" s="1684"/>
      <c r="T899" s="1684"/>
      <c r="U899" s="1684"/>
      <c r="V899" s="1684"/>
      <c r="W899" s="1684"/>
      <c r="X899" s="1684"/>
      <c r="Y899" s="1684"/>
      <c r="Z899" s="1684"/>
      <c r="AA899" s="1684"/>
      <c r="AB899" s="1684"/>
      <c r="AC899" s="1684"/>
      <c r="AD899" s="1684"/>
      <c r="AE899" s="1684"/>
      <c r="AF899" s="1684"/>
      <c r="AG899" s="1684"/>
      <c r="AH899" s="1684"/>
      <c r="AI899" s="1684"/>
      <c r="AJ899" s="1684"/>
      <c r="AK899" s="1684"/>
      <c r="AL899" s="1684"/>
      <c r="AM899" s="1684"/>
      <c r="AN899" s="1684"/>
      <c r="AO899" s="1684"/>
      <c r="AP899" s="1684"/>
      <c r="AQ899" s="1684"/>
      <c r="AR899" s="1684"/>
      <c r="AS899" s="1684"/>
      <c r="AT899" s="1684"/>
      <c r="AU899" s="1684"/>
      <c r="AV899" s="1684"/>
      <c r="AW899" s="1684"/>
      <c r="AX899" s="1684"/>
      <c r="AY899" s="1684"/>
      <c r="AZ899" s="1684"/>
      <c r="BA899" s="1684"/>
      <c r="BB899" s="1684"/>
      <c r="BC899" s="1684"/>
      <c r="BD899" s="1684"/>
      <c r="BE899" s="1684"/>
      <c r="BF899" s="1684"/>
      <c r="BG899" s="1684"/>
      <c r="BH899" s="1684"/>
      <c r="BI899" s="1684"/>
      <c r="BJ899" s="1684"/>
      <c r="BK899" s="1684"/>
      <c r="BL899" s="1684"/>
      <c r="BM899" s="1684"/>
      <c r="BN899" s="1684"/>
      <c r="BO899" s="1684"/>
      <c r="BP899" s="1684"/>
      <c r="BQ899" s="1684"/>
      <c r="BR899" s="1684"/>
      <c r="BS899" s="1684"/>
      <c r="BT899" s="1684"/>
      <c r="BU899" s="1684"/>
      <c r="BV899" s="1684"/>
      <c r="BW899" s="1684"/>
      <c r="BX899" s="1684"/>
      <c r="BY899" s="1684"/>
      <c r="BZ899" s="1684"/>
      <c r="CA899" s="1684"/>
      <c r="CB899" s="1684"/>
      <c r="CC899" s="1684"/>
      <c r="CD899" s="1684"/>
      <c r="CE899" s="1684"/>
      <c r="CF899" s="1684"/>
      <c r="CG899" s="1684"/>
      <c r="CH899" s="1684"/>
      <c r="CI899" s="1684"/>
      <c r="CJ899" s="1684"/>
      <c r="CK899" s="1684"/>
      <c r="CL899" s="1684"/>
      <c r="CM899" s="1684"/>
      <c r="CN899" s="1684"/>
      <c r="CO899" s="1684"/>
    </row>
    <row r="900" spans="1:93" s="1391" customFormat="1" ht="15" x14ac:dyDescent="0.2">
      <c r="A900" s="1684"/>
      <c r="B900" s="1684"/>
      <c r="C900" s="2013">
        <v>15</v>
      </c>
      <c r="D900" s="5">
        <v>8.15</v>
      </c>
      <c r="E900" s="5">
        <v>240</v>
      </c>
      <c r="F900" s="5">
        <v>261</v>
      </c>
      <c r="G900" s="5">
        <v>287</v>
      </c>
      <c r="H900" s="5">
        <v>310</v>
      </c>
      <c r="I900" s="5">
        <v>332</v>
      </c>
      <c r="J900" s="5">
        <v>354</v>
      </c>
      <c r="K900" s="5">
        <v>376</v>
      </c>
      <c r="L900" s="5">
        <v>398</v>
      </c>
      <c r="M900" s="5">
        <v>418</v>
      </c>
      <c r="N900" s="5">
        <v>439</v>
      </c>
      <c r="O900" s="5">
        <v>459</v>
      </c>
      <c r="P900" s="5">
        <v>479</v>
      </c>
      <c r="Q900" s="1160">
        <v>74</v>
      </c>
      <c r="R900"/>
      <c r="S900" s="1684"/>
      <c r="T900" s="1684"/>
      <c r="U900" s="1684"/>
      <c r="V900" s="1684"/>
      <c r="W900" s="1684"/>
      <c r="X900" s="1684"/>
      <c r="Y900" s="1684"/>
      <c r="Z900" s="1684"/>
      <c r="AA900" s="1684"/>
      <c r="AB900" s="1684"/>
      <c r="AC900" s="1684"/>
      <c r="AD900" s="1684"/>
      <c r="AE900" s="1684"/>
      <c r="AF900" s="1684"/>
      <c r="AG900" s="1684"/>
      <c r="AH900" s="1684"/>
      <c r="AI900" s="1684"/>
      <c r="AJ900" s="1684"/>
      <c r="AK900" s="1684"/>
      <c r="AL900" s="1684"/>
      <c r="AM900" s="1684"/>
      <c r="AN900" s="1684"/>
      <c r="AO900" s="1684"/>
      <c r="AP900" s="1684"/>
      <c r="AQ900" s="1684"/>
      <c r="AR900" s="1684"/>
      <c r="AS900" s="1684"/>
      <c r="AT900" s="1684"/>
      <c r="AU900" s="1684"/>
      <c r="AV900" s="1684"/>
      <c r="AW900" s="1684"/>
      <c r="AX900" s="1684"/>
      <c r="AY900" s="1684"/>
      <c r="AZ900" s="1684"/>
      <c r="BA900" s="1684"/>
      <c r="BB900" s="1684"/>
      <c r="BC900" s="1684"/>
      <c r="BD900" s="1684"/>
      <c r="BE900" s="1684"/>
      <c r="BF900" s="1684"/>
      <c r="BG900" s="1684"/>
      <c r="BH900" s="1684"/>
      <c r="BI900" s="1684"/>
      <c r="BJ900" s="1684"/>
      <c r="BK900" s="1684"/>
      <c r="BL900" s="1684"/>
      <c r="BM900" s="1684"/>
      <c r="BN900" s="1684"/>
      <c r="BO900" s="1684"/>
      <c r="BP900" s="1684"/>
      <c r="BQ900" s="1684"/>
      <c r="BR900" s="1684"/>
      <c r="BS900" s="1684"/>
      <c r="BT900" s="1684"/>
      <c r="BU900" s="1684"/>
      <c r="BV900" s="1684"/>
      <c r="BW900" s="1684"/>
      <c r="BX900" s="1684"/>
      <c r="BY900" s="1684"/>
      <c r="BZ900" s="1684"/>
      <c r="CA900" s="1684"/>
      <c r="CB900" s="1684"/>
      <c r="CC900" s="1684"/>
      <c r="CD900" s="1684"/>
      <c r="CE900" s="1684"/>
      <c r="CF900" s="1684"/>
      <c r="CG900" s="1684"/>
      <c r="CH900" s="1684"/>
      <c r="CI900" s="1684"/>
      <c r="CJ900" s="1684"/>
      <c r="CK900" s="1684"/>
      <c r="CL900" s="1684"/>
      <c r="CM900" s="1684"/>
      <c r="CN900" s="1684"/>
      <c r="CO900" s="1684"/>
    </row>
    <row r="901" spans="1:93" s="1391" customFormat="1" ht="15" x14ac:dyDescent="0.2">
      <c r="A901" s="1684"/>
      <c r="B901" s="1684"/>
      <c r="C901" s="2013">
        <v>16</v>
      </c>
      <c r="D901" s="5">
        <v>8.6839999999999993</v>
      </c>
      <c r="E901" s="5">
        <v>254</v>
      </c>
      <c r="F901" s="5">
        <v>280</v>
      </c>
      <c r="G901" s="5">
        <v>304</v>
      </c>
      <c r="H901" s="5">
        <v>328</v>
      </c>
      <c r="I901" s="5">
        <v>351</v>
      </c>
      <c r="J901" s="5">
        <v>374</v>
      </c>
      <c r="K901" s="5">
        <v>397</v>
      </c>
      <c r="L901" s="5">
        <v>420</v>
      </c>
      <c r="M901" s="5">
        <v>441</v>
      </c>
      <c r="N901" s="5">
        <v>463</v>
      </c>
      <c r="O901" s="5">
        <v>484</v>
      </c>
      <c r="P901" s="5">
        <v>505</v>
      </c>
      <c r="Q901" s="1160">
        <v>75</v>
      </c>
      <c r="R901"/>
      <c r="S901" s="1684"/>
      <c r="T901" s="1684"/>
      <c r="U901" s="1684"/>
      <c r="V901" s="1684"/>
      <c r="W901" s="1684"/>
      <c r="X901" s="1684"/>
      <c r="Y901" s="1684"/>
      <c r="Z901" s="1684"/>
      <c r="AA901" s="1684"/>
      <c r="AB901" s="1684"/>
      <c r="AC901" s="1684"/>
      <c r="AD901" s="1684"/>
      <c r="AE901" s="1684"/>
      <c r="AF901" s="1684"/>
      <c r="AG901" s="1684"/>
      <c r="AH901" s="1684"/>
      <c r="AI901" s="1684"/>
      <c r="AJ901" s="1684"/>
      <c r="AK901" s="1684"/>
      <c r="AL901" s="1684"/>
      <c r="AM901" s="1684"/>
      <c r="AN901" s="1684"/>
      <c r="AO901" s="1684"/>
      <c r="AP901" s="1684"/>
      <c r="AQ901" s="1684"/>
      <c r="AR901" s="1684"/>
      <c r="AS901" s="1684"/>
      <c r="AT901" s="1684"/>
      <c r="AU901" s="1684"/>
      <c r="AV901" s="1684"/>
      <c r="AW901" s="1684"/>
      <c r="AX901" s="1684"/>
      <c r="AY901" s="1684"/>
      <c r="AZ901" s="1684"/>
      <c r="BA901" s="1684"/>
      <c r="BB901" s="1684"/>
      <c r="BC901" s="1684"/>
      <c r="BD901" s="1684"/>
      <c r="BE901" s="1684"/>
      <c r="BF901" s="1684"/>
      <c r="BG901" s="1684"/>
      <c r="BH901" s="1684"/>
      <c r="BI901" s="1684"/>
      <c r="BJ901" s="1684"/>
      <c r="BK901" s="1684"/>
      <c r="BL901" s="1684"/>
      <c r="BM901" s="1684"/>
      <c r="BN901" s="1684"/>
      <c r="BO901" s="1684"/>
      <c r="BP901" s="1684"/>
      <c r="BQ901" s="1684"/>
      <c r="BR901" s="1684"/>
      <c r="BS901" s="1684"/>
      <c r="BT901" s="1684"/>
      <c r="BU901" s="1684"/>
      <c r="BV901" s="1684"/>
      <c r="BW901" s="1684"/>
      <c r="BX901" s="1684"/>
      <c r="BY901" s="1684"/>
      <c r="BZ901" s="1684"/>
      <c r="CA901" s="1684"/>
      <c r="CB901" s="1684"/>
      <c r="CC901" s="1684"/>
      <c r="CD901" s="1684"/>
      <c r="CE901" s="1684"/>
      <c r="CF901" s="1684"/>
      <c r="CG901" s="1684"/>
      <c r="CH901" s="1684"/>
      <c r="CI901" s="1684"/>
      <c r="CJ901" s="1684"/>
      <c r="CK901" s="1684"/>
      <c r="CL901" s="1684"/>
      <c r="CM901" s="1684"/>
      <c r="CN901" s="1684"/>
      <c r="CO901" s="1684"/>
    </row>
    <row r="902" spans="1:93" s="1391" customFormat="1" ht="15" x14ac:dyDescent="0.2">
      <c r="A902" s="1684"/>
      <c r="B902" s="1684"/>
      <c r="C902" s="2013">
        <v>17</v>
      </c>
      <c r="D902" s="5">
        <v>9.2520000000000007</v>
      </c>
      <c r="E902" s="5">
        <v>267</v>
      </c>
      <c r="F902" s="5">
        <v>294</v>
      </c>
      <c r="G902" s="5">
        <v>319</v>
      </c>
      <c r="H902" s="5">
        <v>344</v>
      </c>
      <c r="I902" s="5">
        <v>368</v>
      </c>
      <c r="J902" s="5">
        <v>392</v>
      </c>
      <c r="K902" s="5">
        <v>415</v>
      </c>
      <c r="L902" s="5">
        <v>440</v>
      </c>
      <c r="M902" s="5">
        <v>462</v>
      </c>
      <c r="N902" s="5">
        <v>484</v>
      </c>
      <c r="O902" s="5">
        <v>506</v>
      </c>
      <c r="P902" s="5">
        <v>528</v>
      </c>
      <c r="Q902" s="1160">
        <v>76</v>
      </c>
      <c r="R902"/>
      <c r="S902" s="1684"/>
      <c r="T902" s="1684"/>
      <c r="U902" s="1684"/>
      <c r="V902" s="1684"/>
      <c r="W902" s="1684"/>
      <c r="X902" s="1684"/>
      <c r="Y902" s="1684"/>
      <c r="Z902" s="1684"/>
      <c r="AA902" s="1684"/>
      <c r="AB902" s="1684"/>
      <c r="AC902" s="1684"/>
      <c r="AD902" s="1684"/>
      <c r="AE902" s="1684"/>
      <c r="AF902" s="1684"/>
      <c r="AG902" s="1684"/>
      <c r="AH902" s="1684"/>
      <c r="AI902" s="1684"/>
      <c r="AJ902" s="1684"/>
      <c r="AK902" s="1684"/>
      <c r="AL902" s="1684"/>
      <c r="AM902" s="1684"/>
      <c r="AN902" s="1684"/>
      <c r="AO902" s="1684"/>
      <c r="AP902" s="1684"/>
      <c r="AQ902" s="1684"/>
      <c r="AR902" s="1684"/>
      <c r="AS902" s="1684"/>
      <c r="AT902" s="1684"/>
      <c r="AU902" s="1684"/>
      <c r="AV902" s="1684"/>
      <c r="AW902" s="1684"/>
      <c r="AX902" s="1684"/>
      <c r="AY902" s="1684"/>
      <c r="AZ902" s="1684"/>
      <c r="BA902" s="1684"/>
      <c r="BB902" s="1684"/>
      <c r="BC902" s="1684"/>
      <c r="BD902" s="1684"/>
      <c r="BE902" s="1684"/>
      <c r="BF902" s="1684"/>
      <c r="BG902" s="1684"/>
      <c r="BH902" s="1684"/>
      <c r="BI902" s="1684"/>
      <c r="BJ902" s="1684"/>
      <c r="BK902" s="1684"/>
      <c r="BL902" s="1684"/>
      <c r="BM902" s="1684"/>
      <c r="BN902" s="1684"/>
      <c r="BO902" s="1684"/>
      <c r="BP902" s="1684"/>
      <c r="BQ902" s="1684"/>
      <c r="BR902" s="1684"/>
      <c r="BS902" s="1684"/>
      <c r="BT902" s="1684"/>
      <c r="BU902" s="1684"/>
      <c r="BV902" s="1684"/>
      <c r="BW902" s="1684"/>
      <c r="BX902" s="1684"/>
      <c r="BY902" s="1684"/>
      <c r="BZ902" s="1684"/>
      <c r="CA902" s="1684"/>
      <c r="CB902" s="1684"/>
      <c r="CC902" s="1684"/>
      <c r="CD902" s="1684"/>
      <c r="CE902" s="1684"/>
      <c r="CF902" s="1684"/>
      <c r="CG902" s="1684"/>
      <c r="CH902" s="1684"/>
      <c r="CI902" s="1684"/>
      <c r="CJ902" s="1684"/>
      <c r="CK902" s="1684"/>
      <c r="CL902" s="1684"/>
      <c r="CM902" s="1684"/>
      <c r="CN902" s="1684"/>
      <c r="CO902" s="1684"/>
    </row>
    <row r="903" spans="1:93" s="1391" customFormat="1" ht="15" x14ac:dyDescent="0.2">
      <c r="A903" s="1684"/>
      <c r="B903" s="1684"/>
      <c r="C903" s="2013">
        <v>18</v>
      </c>
      <c r="D903" s="5">
        <v>9.577</v>
      </c>
      <c r="E903" s="5">
        <v>286</v>
      </c>
      <c r="F903" s="5">
        <v>306</v>
      </c>
      <c r="G903" s="5">
        <v>332</v>
      </c>
      <c r="H903" s="5">
        <v>358</v>
      </c>
      <c r="I903" s="5">
        <v>383</v>
      </c>
      <c r="J903" s="5">
        <v>408</v>
      </c>
      <c r="K903" s="5">
        <v>432</v>
      </c>
      <c r="L903" s="5">
        <v>457</v>
      </c>
      <c r="M903" s="5">
        <v>480</v>
      </c>
      <c r="N903" s="5">
        <v>503</v>
      </c>
      <c r="O903" s="5">
        <v>526</v>
      </c>
      <c r="P903" s="5">
        <v>548</v>
      </c>
      <c r="Q903" s="1160">
        <v>77</v>
      </c>
      <c r="R903"/>
      <c r="S903" s="1684"/>
      <c r="T903" s="1684"/>
      <c r="U903" s="1684"/>
      <c r="V903" s="1684"/>
      <c r="W903" s="1684"/>
      <c r="X903" s="1684"/>
      <c r="Y903" s="1684"/>
      <c r="Z903" s="1684"/>
      <c r="AA903" s="1684"/>
      <c r="AB903" s="1684"/>
      <c r="AC903" s="1684"/>
      <c r="AD903" s="1684"/>
      <c r="AE903" s="1684"/>
      <c r="AF903" s="1684"/>
      <c r="AG903" s="1684"/>
      <c r="AH903" s="1684"/>
      <c r="AI903" s="1684"/>
      <c r="AJ903" s="1684"/>
      <c r="AK903" s="1684"/>
      <c r="AL903" s="1684"/>
      <c r="AM903" s="1684"/>
      <c r="AN903" s="1684"/>
      <c r="AO903" s="1684"/>
      <c r="AP903" s="1684"/>
      <c r="AQ903" s="1684"/>
      <c r="AR903" s="1684"/>
      <c r="AS903" s="1684"/>
      <c r="AT903" s="1684"/>
      <c r="AU903" s="1684"/>
      <c r="AV903" s="1684"/>
      <c r="AW903" s="1684"/>
      <c r="AX903" s="1684"/>
      <c r="AY903" s="1684"/>
      <c r="AZ903" s="1684"/>
      <c r="BA903" s="1684"/>
      <c r="BB903" s="1684"/>
      <c r="BC903" s="1684"/>
      <c r="BD903" s="1684"/>
      <c r="BE903" s="1684"/>
      <c r="BF903" s="1684"/>
      <c r="BG903" s="1684"/>
      <c r="BH903" s="1684"/>
      <c r="BI903" s="1684"/>
      <c r="BJ903" s="1684"/>
      <c r="BK903" s="1684"/>
      <c r="BL903" s="1684"/>
      <c r="BM903" s="1684"/>
      <c r="BN903" s="1684"/>
      <c r="BO903" s="1684"/>
      <c r="BP903" s="1684"/>
      <c r="BQ903" s="1684"/>
      <c r="BR903" s="1684"/>
      <c r="BS903" s="1684"/>
      <c r="BT903" s="1684"/>
      <c r="BU903" s="1684"/>
      <c r="BV903" s="1684"/>
      <c r="BW903" s="1684"/>
      <c r="BX903" s="1684"/>
      <c r="BY903" s="1684"/>
      <c r="BZ903" s="1684"/>
      <c r="CA903" s="1684"/>
      <c r="CB903" s="1684"/>
      <c r="CC903" s="1684"/>
      <c r="CD903" s="1684"/>
      <c r="CE903" s="1684"/>
      <c r="CF903" s="1684"/>
      <c r="CG903" s="1684"/>
      <c r="CH903" s="1684"/>
      <c r="CI903" s="1684"/>
      <c r="CJ903" s="1684"/>
      <c r="CK903" s="1684"/>
      <c r="CL903" s="1684"/>
      <c r="CM903" s="1684"/>
      <c r="CN903" s="1684"/>
      <c r="CO903" s="1684"/>
    </row>
    <row r="904" spans="1:93" s="1391" customFormat="1" ht="15" x14ac:dyDescent="0.2">
      <c r="A904" s="1684"/>
      <c r="B904" s="1684"/>
      <c r="C904" s="4680" t="s">
        <v>3693</v>
      </c>
      <c r="D904" s="4681"/>
      <c r="E904" s="4681"/>
      <c r="F904" s="4681"/>
      <c r="G904" s="4681"/>
      <c r="H904" s="4681"/>
      <c r="I904" s="4681"/>
      <c r="J904" s="4681"/>
      <c r="K904" s="4681"/>
      <c r="L904" s="4681"/>
      <c r="M904" s="4681"/>
      <c r="N904" s="4681"/>
      <c r="O904" s="4681"/>
      <c r="P904" s="4681"/>
      <c r="Q904" s="4682"/>
      <c r="R904"/>
      <c r="S904" s="1684"/>
      <c r="T904" s="1684"/>
      <c r="U904" s="1684"/>
      <c r="V904" s="1684"/>
      <c r="W904" s="1684"/>
      <c r="X904" s="1684"/>
      <c r="Y904" s="1684"/>
      <c r="Z904" s="1684"/>
      <c r="AA904" s="1684"/>
      <c r="AB904" s="1684"/>
      <c r="AC904" s="1684"/>
      <c r="AD904" s="1684"/>
      <c r="AE904" s="1684"/>
      <c r="AF904" s="1684"/>
      <c r="AG904" s="1684"/>
      <c r="AH904" s="1684"/>
      <c r="AI904" s="1684"/>
      <c r="AJ904" s="1684"/>
      <c r="AK904" s="1684"/>
      <c r="AL904" s="1684"/>
      <c r="AM904" s="1684"/>
      <c r="AN904" s="1684"/>
      <c r="AO904" s="1684"/>
      <c r="AP904" s="1684"/>
      <c r="AQ904" s="1684"/>
      <c r="AR904" s="1684"/>
      <c r="AS904" s="1684"/>
      <c r="AT904" s="1684"/>
      <c r="AU904" s="1684"/>
      <c r="AV904" s="1684"/>
      <c r="AW904" s="1684"/>
      <c r="AX904" s="1684"/>
      <c r="AY904" s="1684"/>
      <c r="AZ904" s="1684"/>
      <c r="BA904" s="1684"/>
      <c r="BB904" s="1684"/>
      <c r="BC904" s="1684"/>
      <c r="BD904" s="1684"/>
      <c r="BE904" s="1684"/>
      <c r="BF904" s="1684"/>
      <c r="BG904" s="1684"/>
      <c r="BH904" s="1684"/>
      <c r="BI904" s="1684"/>
      <c r="BJ904" s="1684"/>
      <c r="BK904" s="1684"/>
      <c r="BL904" s="1684"/>
      <c r="BM904" s="1684"/>
      <c r="BN904" s="1684"/>
      <c r="BO904" s="1684"/>
      <c r="BP904" s="1684"/>
      <c r="BQ904" s="1684"/>
      <c r="BR904" s="1684"/>
      <c r="BS904" s="1684"/>
      <c r="BT904" s="1684"/>
      <c r="BU904" s="1684"/>
      <c r="BV904" s="1684"/>
      <c r="BW904" s="1684"/>
      <c r="BX904" s="1684"/>
      <c r="BY904" s="1684"/>
      <c r="BZ904" s="1684"/>
      <c r="CA904" s="1684"/>
      <c r="CB904" s="1684"/>
      <c r="CC904" s="1684"/>
      <c r="CD904" s="1684"/>
      <c r="CE904" s="1684"/>
      <c r="CF904" s="1684"/>
      <c r="CG904" s="1684"/>
      <c r="CH904" s="1684"/>
      <c r="CI904" s="1684"/>
      <c r="CJ904" s="1684"/>
      <c r="CK904" s="1684"/>
      <c r="CL904" s="1684"/>
      <c r="CM904" s="1684"/>
      <c r="CN904" s="1684"/>
      <c r="CO904" s="1684"/>
    </row>
    <row r="905" spans="1:93" s="1391" customFormat="1" ht="15" x14ac:dyDescent="0.2">
      <c r="A905" s="1684"/>
      <c r="B905" s="1684"/>
      <c r="C905" s="4680"/>
      <c r="D905" s="4681"/>
      <c r="E905" s="4681"/>
      <c r="F905" s="4681"/>
      <c r="G905" s="4681"/>
      <c r="H905" s="4681"/>
      <c r="I905" s="4681"/>
      <c r="J905" s="4681"/>
      <c r="K905" s="4681"/>
      <c r="L905" s="4681"/>
      <c r="M905" s="4681"/>
      <c r="N905" s="4681"/>
      <c r="O905" s="4681"/>
      <c r="P905" s="4681"/>
      <c r="Q905" s="4682"/>
      <c r="R905"/>
      <c r="S905" s="1684"/>
      <c r="T905" s="1684"/>
      <c r="U905" s="1684"/>
      <c r="V905" s="1684"/>
      <c r="W905" s="1684"/>
      <c r="X905" s="1684"/>
      <c r="Y905" s="1684"/>
      <c r="Z905" s="1684"/>
      <c r="AA905" s="1684"/>
      <c r="AB905" s="1684"/>
      <c r="AC905" s="1684"/>
      <c r="AD905" s="1684"/>
      <c r="AE905" s="1684"/>
      <c r="AF905" s="1684"/>
      <c r="AG905" s="1684"/>
      <c r="AH905" s="1684"/>
      <c r="AI905" s="1684"/>
      <c r="AJ905" s="1684"/>
      <c r="AK905" s="1684"/>
      <c r="AL905" s="1684"/>
      <c r="AM905" s="1684"/>
      <c r="AN905" s="1684"/>
      <c r="AO905" s="1684"/>
      <c r="AP905" s="1684"/>
      <c r="AQ905" s="1684"/>
      <c r="AR905" s="1684"/>
      <c r="AS905" s="1684"/>
      <c r="AT905" s="1684"/>
      <c r="AU905" s="1684"/>
      <c r="AV905" s="1684"/>
      <c r="AW905" s="1684"/>
      <c r="AX905" s="1684"/>
      <c r="AY905" s="1684"/>
      <c r="AZ905" s="1684"/>
      <c r="BA905" s="1684"/>
      <c r="BB905" s="1684"/>
      <c r="BC905" s="1684"/>
      <c r="BD905" s="1684"/>
      <c r="BE905" s="1684"/>
      <c r="BF905" s="1684"/>
      <c r="BG905" s="1684"/>
      <c r="BH905" s="1684"/>
      <c r="BI905" s="1684"/>
      <c r="BJ905" s="1684"/>
      <c r="BK905" s="1684"/>
      <c r="BL905" s="1684"/>
      <c r="BM905" s="1684"/>
      <c r="BN905" s="1684"/>
      <c r="BO905" s="1684"/>
      <c r="BP905" s="1684"/>
      <c r="BQ905" s="1684"/>
      <c r="BR905" s="1684"/>
      <c r="BS905" s="1684"/>
      <c r="BT905" s="1684"/>
      <c r="BU905" s="1684"/>
      <c r="BV905" s="1684"/>
      <c r="BW905" s="1684"/>
      <c r="BX905" s="1684"/>
      <c r="BY905" s="1684"/>
      <c r="BZ905" s="1684"/>
      <c r="CA905" s="1684"/>
      <c r="CB905" s="1684"/>
      <c r="CC905" s="1684"/>
      <c r="CD905" s="1684"/>
      <c r="CE905" s="1684"/>
      <c r="CF905" s="1684"/>
      <c r="CG905" s="1684"/>
      <c r="CH905" s="1684"/>
      <c r="CI905" s="1684"/>
      <c r="CJ905" s="1684"/>
      <c r="CK905" s="1684"/>
      <c r="CL905" s="1684"/>
      <c r="CM905" s="1684"/>
      <c r="CN905" s="1684"/>
      <c r="CO905" s="1684"/>
    </row>
    <row r="906" spans="1:93" s="1391" customFormat="1" ht="15" x14ac:dyDescent="0.2">
      <c r="A906" s="1684"/>
      <c r="B906" s="1684"/>
      <c r="C906" s="2013"/>
      <c r="D906" s="5"/>
      <c r="E906" s="5">
        <v>1</v>
      </c>
      <c r="F906" s="5">
        <v>2</v>
      </c>
      <c r="G906" s="5">
        <v>3</v>
      </c>
      <c r="H906" s="5">
        <v>4</v>
      </c>
      <c r="I906" s="5">
        <v>5</v>
      </c>
      <c r="J906" s="5">
        <v>6</v>
      </c>
      <c r="K906" s="5">
        <v>7</v>
      </c>
      <c r="L906" s="5">
        <v>8</v>
      </c>
      <c r="M906" s="5">
        <v>9</v>
      </c>
      <c r="N906" s="5">
        <v>10</v>
      </c>
      <c r="O906" s="5">
        <v>11</v>
      </c>
      <c r="P906" s="5">
        <v>12</v>
      </c>
      <c r="Q906" s="1160"/>
      <c r="R906"/>
      <c r="S906" s="1684"/>
      <c r="T906" s="1684"/>
      <c r="U906" s="1684"/>
      <c r="V906" s="1684"/>
      <c r="W906" s="1684"/>
      <c r="X906" s="1684"/>
      <c r="Y906" s="1684"/>
      <c r="Z906" s="1684"/>
      <c r="AA906" s="1684"/>
      <c r="AB906" s="1684"/>
      <c r="AC906" s="1684"/>
      <c r="AD906" s="1684"/>
      <c r="AE906" s="1684"/>
      <c r="AF906" s="1684"/>
      <c r="AG906" s="1684"/>
      <c r="AH906" s="1684"/>
      <c r="AI906" s="1684"/>
      <c r="AJ906" s="1684"/>
      <c r="AK906" s="1684"/>
      <c r="AL906" s="1684"/>
      <c r="AM906" s="1684"/>
      <c r="AN906" s="1684"/>
      <c r="AO906" s="1684"/>
      <c r="AP906" s="1684"/>
      <c r="AQ906" s="1684"/>
      <c r="AR906" s="1684"/>
      <c r="AS906" s="1684"/>
      <c r="AT906" s="1684"/>
      <c r="AU906" s="1684"/>
      <c r="AV906" s="1684"/>
      <c r="AW906" s="1684"/>
      <c r="AX906" s="1684"/>
      <c r="AY906" s="1684"/>
      <c r="AZ906" s="1684"/>
      <c r="BA906" s="1684"/>
      <c r="BB906" s="1684"/>
      <c r="BC906" s="1684"/>
      <c r="BD906" s="1684"/>
      <c r="BE906" s="1684"/>
      <c r="BF906" s="1684"/>
      <c r="BG906" s="1684"/>
      <c r="BH906" s="1684"/>
      <c r="BI906" s="1684"/>
      <c r="BJ906" s="1684"/>
      <c r="BK906" s="1684"/>
      <c r="BL906" s="1684"/>
      <c r="BM906" s="1684"/>
      <c r="BN906" s="1684"/>
      <c r="BO906" s="1684"/>
      <c r="BP906" s="1684"/>
      <c r="BQ906" s="1684"/>
      <c r="BR906" s="1684"/>
      <c r="BS906" s="1684"/>
      <c r="BT906" s="1684"/>
      <c r="BU906" s="1684"/>
      <c r="BV906" s="1684"/>
      <c r="BW906" s="1684"/>
      <c r="BX906" s="1684"/>
      <c r="BY906" s="1684"/>
      <c r="BZ906" s="1684"/>
      <c r="CA906" s="1684"/>
      <c r="CB906" s="1684"/>
      <c r="CC906" s="1684"/>
      <c r="CD906" s="1684"/>
      <c r="CE906" s="1684"/>
      <c r="CF906" s="1684"/>
      <c r="CG906" s="1684"/>
      <c r="CH906" s="1684"/>
      <c r="CI906" s="1684"/>
      <c r="CJ906" s="1684"/>
      <c r="CK906" s="1684"/>
      <c r="CL906" s="1684"/>
      <c r="CM906" s="1684"/>
      <c r="CN906" s="1684"/>
      <c r="CO906" s="1684"/>
    </row>
    <row r="907" spans="1:93" s="1391" customFormat="1" ht="15" x14ac:dyDescent="0.2">
      <c r="A907" s="1684"/>
      <c r="B907" s="1684"/>
      <c r="C907" s="2013">
        <v>8</v>
      </c>
      <c r="D907" s="5">
        <v>5.6029999999999998</v>
      </c>
      <c r="E907" s="5">
        <v>143</v>
      </c>
      <c r="F907" s="5">
        <v>158</v>
      </c>
      <c r="G907" s="5">
        <v>172</v>
      </c>
      <c r="H907" s="5">
        <v>186</v>
      </c>
      <c r="I907" s="5">
        <v>200</v>
      </c>
      <c r="J907" s="5">
        <v>214</v>
      </c>
      <c r="K907" s="5">
        <v>227</v>
      </c>
      <c r="L907" s="5">
        <v>241</v>
      </c>
      <c r="M907" s="5">
        <v>254</v>
      </c>
      <c r="N907" s="5">
        <v>268</v>
      </c>
      <c r="O907" s="5">
        <v>281</v>
      </c>
      <c r="P907" s="5">
        <v>294</v>
      </c>
      <c r="Q907" s="1160">
        <v>78</v>
      </c>
      <c r="R907"/>
      <c r="S907" s="1684"/>
      <c r="T907" s="1684"/>
      <c r="U907" s="1684"/>
      <c r="V907" s="1684"/>
      <c r="W907" s="1684"/>
      <c r="X907" s="1684"/>
      <c r="Y907" s="1684"/>
      <c r="Z907" s="1684"/>
      <c r="AA907" s="1684"/>
      <c r="AB907" s="1684"/>
      <c r="AC907" s="1684"/>
      <c r="AD907" s="1684"/>
      <c r="AE907" s="1684"/>
      <c r="AF907" s="1684"/>
      <c r="AG907" s="1684"/>
      <c r="AH907" s="1684"/>
      <c r="AI907" s="1684"/>
      <c r="AJ907" s="1684"/>
      <c r="AK907" s="1684"/>
      <c r="AL907" s="1684"/>
      <c r="AM907" s="1684"/>
      <c r="AN907" s="1684"/>
      <c r="AO907" s="1684"/>
      <c r="AP907" s="1684"/>
      <c r="AQ907" s="1684"/>
      <c r="AR907" s="1684"/>
      <c r="AS907" s="1684"/>
      <c r="AT907" s="1684"/>
      <c r="AU907" s="1684"/>
      <c r="AV907" s="1684"/>
      <c r="AW907" s="1684"/>
      <c r="AX907" s="1684"/>
      <c r="AY907" s="1684"/>
      <c r="AZ907" s="1684"/>
      <c r="BA907" s="1684"/>
      <c r="BB907" s="1684"/>
      <c r="BC907" s="1684"/>
      <c r="BD907" s="1684"/>
      <c r="BE907" s="1684"/>
      <c r="BF907" s="1684"/>
      <c r="BG907" s="1684"/>
      <c r="BH907" s="1684"/>
      <c r="BI907" s="1684"/>
      <c r="BJ907" s="1684"/>
      <c r="BK907" s="1684"/>
      <c r="BL907" s="1684"/>
      <c r="BM907" s="1684"/>
      <c r="BN907" s="1684"/>
      <c r="BO907" s="1684"/>
      <c r="BP907" s="1684"/>
      <c r="BQ907" s="1684"/>
      <c r="BR907" s="1684"/>
      <c r="BS907" s="1684"/>
      <c r="BT907" s="1684"/>
      <c r="BU907" s="1684"/>
      <c r="BV907" s="1684"/>
      <c r="BW907" s="1684"/>
      <c r="BX907" s="1684"/>
      <c r="BY907" s="1684"/>
      <c r="BZ907" s="1684"/>
      <c r="CA907" s="1684"/>
      <c r="CB907" s="1684"/>
      <c r="CC907" s="1684"/>
      <c r="CD907" s="1684"/>
      <c r="CE907" s="1684"/>
      <c r="CF907" s="1684"/>
      <c r="CG907" s="1684"/>
      <c r="CH907" s="1684"/>
      <c r="CI907" s="1684"/>
      <c r="CJ907" s="1684"/>
      <c r="CK907" s="1684"/>
      <c r="CL907" s="1684"/>
      <c r="CM907" s="1684"/>
      <c r="CN907" s="1684"/>
      <c r="CO907" s="1684"/>
    </row>
    <row r="908" spans="1:93" s="1391" customFormat="1" ht="15" x14ac:dyDescent="0.2">
      <c r="A908" s="1684"/>
      <c r="B908" s="1684"/>
      <c r="C908" s="2013">
        <v>9</v>
      </c>
      <c r="D908" s="5">
        <v>5.9340000000000002</v>
      </c>
      <c r="E908" s="5">
        <v>156</v>
      </c>
      <c r="F908" s="5">
        <v>172</v>
      </c>
      <c r="G908" s="5">
        <v>187</v>
      </c>
      <c r="H908" s="5">
        <v>203</v>
      </c>
      <c r="I908" s="5">
        <v>218</v>
      </c>
      <c r="J908" s="5">
        <v>233</v>
      </c>
      <c r="K908" s="5">
        <v>248</v>
      </c>
      <c r="L908" s="5">
        <v>263</v>
      </c>
      <c r="M908" s="5">
        <v>277</v>
      </c>
      <c r="N908" s="5">
        <v>291</v>
      </c>
      <c r="O908" s="5">
        <v>305</v>
      </c>
      <c r="P908" s="5">
        <v>320</v>
      </c>
      <c r="Q908" s="1160">
        <v>79</v>
      </c>
      <c r="R908"/>
      <c r="S908" s="1684"/>
      <c r="T908" s="1684"/>
      <c r="U908" s="1684"/>
      <c r="V908" s="1684"/>
      <c r="W908" s="1684"/>
      <c r="X908" s="1684"/>
      <c r="Y908" s="1684"/>
      <c r="Z908" s="1684"/>
      <c r="AA908" s="1684"/>
      <c r="AB908" s="1684"/>
      <c r="AC908" s="1684"/>
      <c r="AD908" s="1684"/>
      <c r="AE908" s="1684"/>
      <c r="AF908" s="1684"/>
      <c r="AG908" s="1684"/>
      <c r="AH908" s="1684"/>
      <c r="AI908" s="1684"/>
      <c r="AJ908" s="1684"/>
      <c r="AK908" s="1684"/>
      <c r="AL908" s="1684"/>
      <c r="AM908" s="1684"/>
      <c r="AN908" s="1684"/>
      <c r="AO908" s="1684"/>
      <c r="AP908" s="1684"/>
      <c r="AQ908" s="1684"/>
      <c r="AR908" s="1684"/>
      <c r="AS908" s="1684"/>
      <c r="AT908" s="1684"/>
      <c r="AU908" s="1684"/>
      <c r="AV908" s="1684"/>
      <c r="AW908" s="1684"/>
      <c r="AX908" s="1684"/>
      <c r="AY908" s="1684"/>
      <c r="AZ908" s="1684"/>
      <c r="BA908" s="1684"/>
      <c r="BB908" s="1684"/>
      <c r="BC908" s="1684"/>
      <c r="BD908" s="1684"/>
      <c r="BE908" s="1684"/>
      <c r="BF908" s="1684"/>
      <c r="BG908" s="1684"/>
      <c r="BH908" s="1684"/>
      <c r="BI908" s="1684"/>
      <c r="BJ908" s="1684"/>
      <c r="BK908" s="1684"/>
      <c r="BL908" s="1684"/>
      <c r="BM908" s="1684"/>
      <c r="BN908" s="1684"/>
      <c r="BO908" s="1684"/>
      <c r="BP908" s="1684"/>
      <c r="BQ908" s="1684"/>
      <c r="BR908" s="1684"/>
      <c r="BS908" s="1684"/>
      <c r="BT908" s="1684"/>
      <c r="BU908" s="1684"/>
      <c r="BV908" s="1684"/>
      <c r="BW908" s="1684"/>
      <c r="BX908" s="1684"/>
      <c r="BY908" s="1684"/>
      <c r="BZ908" s="1684"/>
      <c r="CA908" s="1684"/>
      <c r="CB908" s="1684"/>
      <c r="CC908" s="1684"/>
      <c r="CD908" s="1684"/>
      <c r="CE908" s="1684"/>
      <c r="CF908" s="1684"/>
      <c r="CG908" s="1684"/>
      <c r="CH908" s="1684"/>
      <c r="CI908" s="1684"/>
      <c r="CJ908" s="1684"/>
      <c r="CK908" s="1684"/>
      <c r="CL908" s="1684"/>
      <c r="CM908" s="1684"/>
      <c r="CN908" s="1684"/>
      <c r="CO908" s="1684"/>
    </row>
    <row r="909" spans="1:93" s="1391" customFormat="1" ht="15" x14ac:dyDescent="0.2">
      <c r="A909" s="1684"/>
      <c r="B909" s="1684"/>
      <c r="C909" s="2013">
        <v>10</v>
      </c>
      <c r="D909" s="5">
        <v>6.2759999999999998</v>
      </c>
      <c r="E909" s="5">
        <v>169</v>
      </c>
      <c r="F909" s="5">
        <v>187</v>
      </c>
      <c r="G909" s="5">
        <v>204</v>
      </c>
      <c r="H909" s="5">
        <v>220</v>
      </c>
      <c r="I909" s="5">
        <v>236</v>
      </c>
      <c r="J909" s="5">
        <v>252</v>
      </c>
      <c r="K909" s="5">
        <v>268</v>
      </c>
      <c r="L909" s="5">
        <v>285</v>
      </c>
      <c r="M909" s="5">
        <v>300</v>
      </c>
      <c r="N909" s="5">
        <v>315</v>
      </c>
      <c r="O909" s="5">
        <v>331</v>
      </c>
      <c r="P909" s="5">
        <v>346</v>
      </c>
      <c r="Q909" s="1160">
        <v>80</v>
      </c>
      <c r="R909"/>
      <c r="S909" s="1684"/>
      <c r="T909" s="1684"/>
      <c r="U909" s="1684"/>
      <c r="V909" s="1684"/>
      <c r="W909" s="1684"/>
      <c r="X909" s="1684"/>
      <c r="Y909" s="1684"/>
      <c r="Z909" s="1684"/>
      <c r="AA909" s="1684"/>
      <c r="AB909" s="1684"/>
      <c r="AC909" s="1684"/>
      <c r="AD909" s="1684"/>
      <c r="AE909" s="1684"/>
      <c r="AF909" s="1684"/>
      <c r="AG909" s="1684"/>
      <c r="AH909" s="1684"/>
      <c r="AI909" s="1684"/>
      <c r="AJ909" s="1684"/>
      <c r="AK909" s="1684"/>
      <c r="AL909" s="1684"/>
      <c r="AM909" s="1684"/>
      <c r="AN909" s="1684"/>
      <c r="AO909" s="1684"/>
      <c r="AP909" s="1684"/>
      <c r="AQ909" s="1684"/>
      <c r="AR909" s="1684"/>
      <c r="AS909" s="1684"/>
      <c r="AT909" s="1684"/>
      <c r="AU909" s="1684"/>
      <c r="AV909" s="1684"/>
      <c r="AW909" s="1684"/>
      <c r="AX909" s="1684"/>
      <c r="AY909" s="1684"/>
      <c r="AZ909" s="1684"/>
      <c r="BA909" s="1684"/>
      <c r="BB909" s="1684"/>
      <c r="BC909" s="1684"/>
      <c r="BD909" s="1684"/>
      <c r="BE909" s="1684"/>
      <c r="BF909" s="1684"/>
      <c r="BG909" s="1684"/>
      <c r="BH909" s="1684"/>
      <c r="BI909" s="1684"/>
      <c r="BJ909" s="1684"/>
      <c r="BK909" s="1684"/>
      <c r="BL909" s="1684"/>
      <c r="BM909" s="1684"/>
      <c r="BN909" s="1684"/>
      <c r="BO909" s="1684"/>
      <c r="BP909" s="1684"/>
      <c r="BQ909" s="1684"/>
      <c r="BR909" s="1684"/>
      <c r="BS909" s="1684"/>
      <c r="BT909" s="1684"/>
      <c r="BU909" s="1684"/>
      <c r="BV909" s="1684"/>
      <c r="BW909" s="1684"/>
      <c r="BX909" s="1684"/>
      <c r="BY909" s="1684"/>
      <c r="BZ909" s="1684"/>
      <c r="CA909" s="1684"/>
      <c r="CB909" s="1684"/>
      <c r="CC909" s="1684"/>
      <c r="CD909" s="1684"/>
      <c r="CE909" s="1684"/>
      <c r="CF909" s="1684"/>
      <c r="CG909" s="1684"/>
      <c r="CH909" s="1684"/>
      <c r="CI909" s="1684"/>
      <c r="CJ909" s="1684"/>
      <c r="CK909" s="1684"/>
      <c r="CL909" s="1684"/>
      <c r="CM909" s="1684"/>
      <c r="CN909" s="1684"/>
      <c r="CO909" s="1684"/>
    </row>
    <row r="910" spans="1:93" s="1391" customFormat="1" ht="15" x14ac:dyDescent="0.2">
      <c r="A910" s="1684"/>
      <c r="B910" s="1684"/>
      <c r="C910" s="2013">
        <v>11</v>
      </c>
      <c r="D910" s="5">
        <v>6.6550000000000002</v>
      </c>
      <c r="E910" s="5">
        <v>184</v>
      </c>
      <c r="F910" s="5">
        <v>203</v>
      </c>
      <c r="G910" s="5">
        <v>221</v>
      </c>
      <c r="H910" s="5">
        <v>239</v>
      </c>
      <c r="I910" s="5">
        <v>256</v>
      </c>
      <c r="J910" s="5">
        <v>274</v>
      </c>
      <c r="K910" s="5">
        <v>291</v>
      </c>
      <c r="L910" s="5">
        <v>309</v>
      </c>
      <c r="M910" s="5">
        <v>325</v>
      </c>
      <c r="N910" s="5">
        <v>341</v>
      </c>
      <c r="O910" s="5">
        <v>358</v>
      </c>
      <c r="P910" s="5">
        <v>374</v>
      </c>
      <c r="Q910" s="1160">
        <v>81</v>
      </c>
      <c r="R910"/>
      <c r="S910" s="1684"/>
      <c r="T910" s="1684"/>
      <c r="U910" s="1684"/>
      <c r="V910" s="1684"/>
      <c r="W910" s="1684"/>
      <c r="X910" s="1684"/>
      <c r="Y910" s="1684"/>
      <c r="Z910" s="1684"/>
      <c r="AA910" s="1684"/>
      <c r="AB910" s="1684"/>
      <c r="AC910" s="1684"/>
      <c r="AD910" s="1684"/>
      <c r="AE910" s="1684"/>
      <c r="AF910" s="1684"/>
      <c r="AG910" s="1684"/>
      <c r="AH910" s="1684"/>
      <c r="AI910" s="1684"/>
      <c r="AJ910" s="1684"/>
      <c r="AK910" s="1684"/>
      <c r="AL910" s="1684"/>
      <c r="AM910" s="1684"/>
      <c r="AN910" s="1684"/>
      <c r="AO910" s="1684"/>
      <c r="AP910" s="1684"/>
      <c r="AQ910" s="1684"/>
      <c r="AR910" s="1684"/>
      <c r="AS910" s="1684"/>
      <c r="AT910" s="1684"/>
      <c r="AU910" s="1684"/>
      <c r="AV910" s="1684"/>
      <c r="AW910" s="1684"/>
      <c r="AX910" s="1684"/>
      <c r="AY910" s="1684"/>
      <c r="AZ910" s="1684"/>
      <c r="BA910" s="1684"/>
      <c r="BB910" s="1684"/>
      <c r="BC910" s="1684"/>
      <c r="BD910" s="1684"/>
      <c r="BE910" s="1684"/>
      <c r="BF910" s="1684"/>
      <c r="BG910" s="1684"/>
      <c r="BH910" s="1684"/>
      <c r="BI910" s="1684"/>
      <c r="BJ910" s="1684"/>
      <c r="BK910" s="1684"/>
      <c r="BL910" s="1684"/>
      <c r="BM910" s="1684"/>
      <c r="BN910" s="1684"/>
      <c r="BO910" s="1684"/>
      <c r="BP910" s="1684"/>
      <c r="BQ910" s="1684"/>
      <c r="BR910" s="1684"/>
      <c r="BS910" s="1684"/>
      <c r="BT910" s="1684"/>
      <c r="BU910" s="1684"/>
      <c r="BV910" s="1684"/>
      <c r="BW910" s="1684"/>
      <c r="BX910" s="1684"/>
      <c r="BY910" s="1684"/>
      <c r="BZ910" s="1684"/>
      <c r="CA910" s="1684"/>
      <c r="CB910" s="1684"/>
      <c r="CC910" s="1684"/>
      <c r="CD910" s="1684"/>
      <c r="CE910" s="1684"/>
      <c r="CF910" s="1684"/>
      <c r="CG910" s="1684"/>
      <c r="CH910" s="1684"/>
      <c r="CI910" s="1684"/>
      <c r="CJ910" s="1684"/>
      <c r="CK910" s="1684"/>
      <c r="CL910" s="1684"/>
      <c r="CM910" s="1684"/>
      <c r="CN910" s="1684"/>
      <c r="CO910" s="1684"/>
    </row>
    <row r="911" spans="1:93" s="1391" customFormat="1" ht="15" x14ac:dyDescent="0.2">
      <c r="A911" s="1684"/>
      <c r="B911" s="1684"/>
      <c r="C911" s="2013">
        <v>12</v>
      </c>
      <c r="D911" s="5">
        <v>7.0430000000000001</v>
      </c>
      <c r="E911" s="5">
        <v>199</v>
      </c>
      <c r="F911" s="5">
        <v>220</v>
      </c>
      <c r="G911" s="5">
        <v>239</v>
      </c>
      <c r="H911" s="5">
        <v>256</v>
      </c>
      <c r="I911" s="5">
        <v>277</v>
      </c>
      <c r="J911" s="5">
        <v>295</v>
      </c>
      <c r="K911" s="5">
        <v>314</v>
      </c>
      <c r="L911" s="5">
        <v>333</v>
      </c>
      <c r="M911" s="5">
        <v>350</v>
      </c>
      <c r="N911" s="5">
        <v>368</v>
      </c>
      <c r="O911" s="5">
        <v>385</v>
      </c>
      <c r="P911" s="5">
        <v>403</v>
      </c>
      <c r="Q911" s="1160">
        <v>82</v>
      </c>
      <c r="R911"/>
      <c r="S911" s="1684"/>
      <c r="T911" s="1684"/>
      <c r="U911" s="1684"/>
      <c r="V911" s="1684"/>
      <c r="W911" s="1684"/>
      <c r="X911" s="1684"/>
      <c r="Y911" s="1684"/>
      <c r="Z911" s="1684"/>
      <c r="AA911" s="1684"/>
      <c r="AB911" s="1684"/>
      <c r="AC911" s="1684"/>
      <c r="AD911" s="1684"/>
      <c r="AE911" s="1684"/>
      <c r="AF911" s="1684"/>
      <c r="AG911" s="1684"/>
      <c r="AH911" s="1684"/>
      <c r="AI911" s="1684"/>
      <c r="AJ911" s="1684"/>
      <c r="AK911" s="1684"/>
      <c r="AL911" s="1684"/>
      <c r="AM911" s="1684"/>
      <c r="AN911" s="1684"/>
      <c r="AO911" s="1684"/>
      <c r="AP911" s="1684"/>
      <c r="AQ911" s="1684"/>
      <c r="AR911" s="1684"/>
      <c r="AS911" s="1684"/>
      <c r="AT911" s="1684"/>
      <c r="AU911" s="1684"/>
      <c r="AV911" s="1684"/>
      <c r="AW911" s="1684"/>
      <c r="AX911" s="1684"/>
      <c r="AY911" s="1684"/>
      <c r="AZ911" s="1684"/>
      <c r="BA911" s="1684"/>
      <c r="BB911" s="1684"/>
      <c r="BC911" s="1684"/>
      <c r="BD911" s="1684"/>
      <c r="BE911" s="1684"/>
      <c r="BF911" s="1684"/>
      <c r="BG911" s="1684"/>
      <c r="BH911" s="1684"/>
      <c r="BI911" s="1684"/>
      <c r="BJ911" s="1684"/>
      <c r="BK911" s="1684"/>
      <c r="BL911" s="1684"/>
      <c r="BM911" s="1684"/>
      <c r="BN911" s="1684"/>
      <c r="BO911" s="1684"/>
      <c r="BP911" s="1684"/>
      <c r="BQ911" s="1684"/>
      <c r="BR911" s="1684"/>
      <c r="BS911" s="1684"/>
      <c r="BT911" s="1684"/>
      <c r="BU911" s="1684"/>
      <c r="BV911" s="1684"/>
      <c r="BW911" s="1684"/>
      <c r="BX911" s="1684"/>
      <c r="BY911" s="1684"/>
      <c r="BZ911" s="1684"/>
      <c r="CA911" s="1684"/>
      <c r="CB911" s="1684"/>
      <c r="CC911" s="1684"/>
      <c r="CD911" s="1684"/>
      <c r="CE911" s="1684"/>
      <c r="CF911" s="1684"/>
      <c r="CG911" s="1684"/>
      <c r="CH911" s="1684"/>
      <c r="CI911" s="1684"/>
      <c r="CJ911" s="1684"/>
      <c r="CK911" s="1684"/>
      <c r="CL911" s="1684"/>
      <c r="CM911" s="1684"/>
      <c r="CN911" s="1684"/>
      <c r="CO911" s="1684"/>
    </row>
    <row r="912" spans="1:93" s="1391" customFormat="1" ht="15" x14ac:dyDescent="0.2">
      <c r="A912" s="1684"/>
      <c r="B912" s="1684"/>
      <c r="C912" s="2013">
        <v>13</v>
      </c>
      <c r="D912" s="5">
        <v>7.4340000000000002</v>
      </c>
      <c r="E912" s="5">
        <v>214</v>
      </c>
      <c r="F912" s="5">
        <v>236</v>
      </c>
      <c r="G912" s="5">
        <v>256</v>
      </c>
      <c r="H912" s="5">
        <v>277</v>
      </c>
      <c r="I912" s="5">
        <v>297</v>
      </c>
      <c r="J912" s="5">
        <v>317</v>
      </c>
      <c r="K912" s="5">
        <v>336</v>
      </c>
      <c r="L912" s="5">
        <v>357</v>
      </c>
      <c r="M912" s="5">
        <v>375</v>
      </c>
      <c r="N912" s="5">
        <v>394</v>
      </c>
      <c r="O912" s="5">
        <v>412</v>
      </c>
      <c r="P912" s="5">
        <v>430</v>
      </c>
      <c r="Q912" s="1160">
        <v>83</v>
      </c>
      <c r="R912"/>
      <c r="S912" s="1684"/>
      <c r="T912" s="1684"/>
      <c r="U912" s="1684"/>
      <c r="V912" s="1684"/>
      <c r="W912" s="1684"/>
      <c r="X912" s="1684"/>
      <c r="Y912" s="1684"/>
      <c r="Z912" s="1684"/>
      <c r="AA912" s="1684"/>
      <c r="AB912" s="1684"/>
      <c r="AC912" s="1684"/>
      <c r="AD912" s="1684"/>
      <c r="AE912" s="1684"/>
      <c r="AF912" s="1684"/>
      <c r="AG912" s="1684"/>
      <c r="AH912" s="1684"/>
      <c r="AI912" s="1684"/>
      <c r="AJ912" s="1684"/>
      <c r="AK912" s="1684"/>
      <c r="AL912" s="1684"/>
      <c r="AM912" s="1684"/>
      <c r="AN912" s="1684"/>
      <c r="AO912" s="1684"/>
      <c r="AP912" s="1684"/>
      <c r="AQ912" s="1684"/>
      <c r="AR912" s="1684"/>
      <c r="AS912" s="1684"/>
      <c r="AT912" s="1684"/>
      <c r="AU912" s="1684"/>
      <c r="AV912" s="1684"/>
      <c r="AW912" s="1684"/>
      <c r="AX912" s="1684"/>
      <c r="AY912" s="1684"/>
      <c r="AZ912" s="1684"/>
      <c r="BA912" s="1684"/>
      <c r="BB912" s="1684"/>
      <c r="BC912" s="1684"/>
      <c r="BD912" s="1684"/>
      <c r="BE912" s="1684"/>
      <c r="BF912" s="1684"/>
      <c r="BG912" s="1684"/>
      <c r="BH912" s="1684"/>
      <c r="BI912" s="1684"/>
      <c r="BJ912" s="1684"/>
      <c r="BK912" s="1684"/>
      <c r="BL912" s="1684"/>
      <c r="BM912" s="1684"/>
      <c r="BN912" s="1684"/>
      <c r="BO912" s="1684"/>
      <c r="BP912" s="1684"/>
      <c r="BQ912" s="1684"/>
      <c r="BR912" s="1684"/>
      <c r="BS912" s="1684"/>
      <c r="BT912" s="1684"/>
      <c r="BU912" s="1684"/>
      <c r="BV912" s="1684"/>
      <c r="BW912" s="1684"/>
      <c r="BX912" s="1684"/>
      <c r="BY912" s="1684"/>
      <c r="BZ912" s="1684"/>
      <c r="CA912" s="1684"/>
      <c r="CB912" s="1684"/>
      <c r="CC912" s="1684"/>
      <c r="CD912" s="1684"/>
      <c r="CE912" s="1684"/>
      <c r="CF912" s="1684"/>
      <c r="CG912" s="1684"/>
      <c r="CH912" s="1684"/>
      <c r="CI912" s="1684"/>
      <c r="CJ912" s="1684"/>
      <c r="CK912" s="1684"/>
      <c r="CL912" s="1684"/>
      <c r="CM912" s="1684"/>
      <c r="CN912" s="1684"/>
      <c r="CO912" s="1684"/>
    </row>
    <row r="913" spans="1:93" s="1391" customFormat="1" ht="15" x14ac:dyDescent="0.2">
      <c r="A913" s="1684"/>
      <c r="B913" s="1684"/>
      <c r="C913" s="2013">
        <v>14</v>
      </c>
      <c r="D913" s="5">
        <v>7.8380000000000001</v>
      </c>
      <c r="E913" s="5">
        <v>229</v>
      </c>
      <c r="F913" s="5">
        <v>252</v>
      </c>
      <c r="G913" s="5">
        <v>274</v>
      </c>
      <c r="H913" s="5">
        <v>296</v>
      </c>
      <c r="I913" s="5">
        <v>317</v>
      </c>
      <c r="J913" s="5">
        <v>338</v>
      </c>
      <c r="K913" s="5">
        <v>359</v>
      </c>
      <c r="L913" s="5">
        <v>381</v>
      </c>
      <c r="M913" s="5">
        <v>400</v>
      </c>
      <c r="N913" s="5">
        <v>420</v>
      </c>
      <c r="O913" s="5">
        <v>439</v>
      </c>
      <c r="P913" s="5">
        <v>459</v>
      </c>
      <c r="Q913" s="1160">
        <v>84</v>
      </c>
      <c r="R913"/>
      <c r="S913" s="1684"/>
      <c r="T913" s="1684"/>
      <c r="U913" s="1684"/>
      <c r="V913" s="1684"/>
      <c r="W913" s="1684"/>
      <c r="X913" s="1684"/>
      <c r="Y913" s="1684"/>
      <c r="Z913" s="1684"/>
      <c r="AA913" s="1684"/>
      <c r="AB913" s="1684"/>
      <c r="AC913" s="1684"/>
      <c r="AD913" s="1684"/>
      <c r="AE913" s="1684"/>
      <c r="AF913" s="1684"/>
      <c r="AG913" s="1684"/>
      <c r="AH913" s="1684"/>
      <c r="AI913" s="1684"/>
      <c r="AJ913" s="1684"/>
      <c r="AK913" s="1684"/>
      <c r="AL913" s="1684"/>
      <c r="AM913" s="1684"/>
      <c r="AN913" s="1684"/>
      <c r="AO913" s="1684"/>
      <c r="AP913" s="1684"/>
      <c r="AQ913" s="1684"/>
      <c r="AR913" s="1684"/>
      <c r="AS913" s="1684"/>
      <c r="AT913" s="1684"/>
      <c r="AU913" s="1684"/>
      <c r="AV913" s="1684"/>
      <c r="AW913" s="1684"/>
      <c r="AX913" s="1684"/>
      <c r="AY913" s="1684"/>
      <c r="AZ913" s="1684"/>
      <c r="BA913" s="1684"/>
      <c r="BB913" s="1684"/>
      <c r="BC913" s="1684"/>
      <c r="BD913" s="1684"/>
      <c r="BE913" s="1684"/>
      <c r="BF913" s="1684"/>
      <c r="BG913" s="1684"/>
      <c r="BH913" s="1684"/>
      <c r="BI913" s="1684"/>
      <c r="BJ913" s="1684"/>
      <c r="BK913" s="1684"/>
      <c r="BL913" s="1684"/>
      <c r="BM913" s="1684"/>
      <c r="BN913" s="1684"/>
      <c r="BO913" s="1684"/>
      <c r="BP913" s="1684"/>
      <c r="BQ913" s="1684"/>
      <c r="BR913" s="1684"/>
      <c r="BS913" s="1684"/>
      <c r="BT913" s="1684"/>
      <c r="BU913" s="1684"/>
      <c r="BV913" s="1684"/>
      <c r="BW913" s="1684"/>
      <c r="BX913" s="1684"/>
      <c r="BY913" s="1684"/>
      <c r="BZ913" s="1684"/>
      <c r="CA913" s="1684"/>
      <c r="CB913" s="1684"/>
      <c r="CC913" s="1684"/>
      <c r="CD913" s="1684"/>
      <c r="CE913" s="1684"/>
      <c r="CF913" s="1684"/>
      <c r="CG913" s="1684"/>
      <c r="CH913" s="1684"/>
      <c r="CI913" s="1684"/>
      <c r="CJ913" s="1684"/>
      <c r="CK913" s="1684"/>
      <c r="CL913" s="1684"/>
      <c r="CM913" s="1684"/>
      <c r="CN913" s="1684"/>
      <c r="CO913" s="1684"/>
    </row>
    <row r="914" spans="1:93" s="1391" customFormat="1" ht="15" x14ac:dyDescent="0.2">
      <c r="A914" s="1684"/>
      <c r="B914" s="1684"/>
      <c r="C914" s="2013">
        <v>15</v>
      </c>
      <c r="D914" s="5">
        <v>8.2469999999999999</v>
      </c>
      <c r="E914" s="5">
        <v>244</v>
      </c>
      <c r="F914" s="5">
        <v>269</v>
      </c>
      <c r="G914" s="5">
        <v>292</v>
      </c>
      <c r="H914" s="5">
        <v>315</v>
      </c>
      <c r="I914" s="5">
        <v>338</v>
      </c>
      <c r="J914" s="5">
        <v>360</v>
      </c>
      <c r="K914" s="5">
        <v>382</v>
      </c>
      <c r="L914" s="5">
        <v>405</v>
      </c>
      <c r="M914" s="5">
        <v>425</v>
      </c>
      <c r="N914" s="5">
        <v>446</v>
      </c>
      <c r="O914" s="5">
        <v>466</v>
      </c>
      <c r="P914" s="5">
        <v>487</v>
      </c>
      <c r="Q914" s="1160">
        <v>85</v>
      </c>
      <c r="R914"/>
      <c r="S914" s="1684"/>
      <c r="T914" s="1684"/>
      <c r="U914" s="1684"/>
      <c r="V914" s="1684"/>
      <c r="W914" s="1684"/>
      <c r="X914" s="1684"/>
      <c r="Y914" s="1684"/>
      <c r="Z914" s="1684"/>
      <c r="AA914" s="1684"/>
      <c r="AB914" s="1684"/>
      <c r="AC914" s="1684"/>
      <c r="AD914" s="1684"/>
      <c r="AE914" s="1684"/>
      <c r="AF914" s="1684"/>
      <c r="AG914" s="1684"/>
      <c r="AH914" s="1684"/>
      <c r="AI914" s="1684"/>
      <c r="AJ914" s="1684"/>
      <c r="AK914" s="1684"/>
      <c r="AL914" s="1684"/>
      <c r="AM914" s="1684"/>
      <c r="AN914" s="1684"/>
      <c r="AO914" s="1684"/>
      <c r="AP914" s="1684"/>
      <c r="AQ914" s="1684"/>
      <c r="AR914" s="1684"/>
      <c r="AS914" s="1684"/>
      <c r="AT914" s="1684"/>
      <c r="AU914" s="1684"/>
      <c r="AV914" s="1684"/>
      <c r="AW914" s="1684"/>
      <c r="AX914" s="1684"/>
      <c r="AY914" s="1684"/>
      <c r="AZ914" s="1684"/>
      <c r="BA914" s="1684"/>
      <c r="BB914" s="1684"/>
      <c r="BC914" s="1684"/>
      <c r="BD914" s="1684"/>
      <c r="BE914" s="1684"/>
      <c r="BF914" s="1684"/>
      <c r="BG914" s="1684"/>
      <c r="BH914" s="1684"/>
      <c r="BI914" s="1684"/>
      <c r="BJ914" s="1684"/>
      <c r="BK914" s="1684"/>
      <c r="BL914" s="1684"/>
      <c r="BM914" s="1684"/>
      <c r="BN914" s="1684"/>
      <c r="BO914" s="1684"/>
      <c r="BP914" s="1684"/>
      <c r="BQ914" s="1684"/>
      <c r="BR914" s="1684"/>
      <c r="BS914" s="1684"/>
      <c r="BT914" s="1684"/>
      <c r="BU914" s="1684"/>
      <c r="BV914" s="1684"/>
      <c r="BW914" s="1684"/>
      <c r="BX914" s="1684"/>
      <c r="BY914" s="1684"/>
      <c r="BZ914" s="1684"/>
      <c r="CA914" s="1684"/>
      <c r="CB914" s="1684"/>
      <c r="CC914" s="1684"/>
      <c r="CD914" s="1684"/>
      <c r="CE914" s="1684"/>
      <c r="CF914" s="1684"/>
      <c r="CG914" s="1684"/>
      <c r="CH914" s="1684"/>
      <c r="CI914" s="1684"/>
      <c r="CJ914" s="1684"/>
      <c r="CK914" s="1684"/>
      <c r="CL914" s="1684"/>
      <c r="CM914" s="1684"/>
      <c r="CN914" s="1684"/>
      <c r="CO914" s="1684"/>
    </row>
    <row r="915" spans="1:93" s="1391" customFormat="1" ht="15" x14ac:dyDescent="0.2">
      <c r="A915" s="1684"/>
      <c r="B915" s="1684"/>
      <c r="C915" s="2013">
        <v>16</v>
      </c>
      <c r="D915" s="5">
        <v>8.7910000000000004</v>
      </c>
      <c r="E915" s="5">
        <v>259</v>
      </c>
      <c r="F915" s="5">
        <v>285</v>
      </c>
      <c r="G915" s="5">
        <v>309</v>
      </c>
      <c r="H915" s="5">
        <v>333</v>
      </c>
      <c r="I915" s="5">
        <v>357</v>
      </c>
      <c r="J915" s="5">
        <v>380</v>
      </c>
      <c r="K915" s="5">
        <v>403</v>
      </c>
      <c r="L915" s="5">
        <v>427</v>
      </c>
      <c r="M915" s="5">
        <v>448</v>
      </c>
      <c r="N915" s="5">
        <v>470</v>
      </c>
      <c r="O915" s="5">
        <v>492</v>
      </c>
      <c r="P915" s="5">
        <v>513</v>
      </c>
      <c r="Q915" s="1160">
        <v>86</v>
      </c>
      <c r="R915"/>
      <c r="S915" s="1684"/>
      <c r="T915" s="1684"/>
      <c r="U915" s="1684"/>
      <c r="V915" s="1684"/>
      <c r="W915" s="1684"/>
      <c r="X915" s="1684"/>
      <c r="Y915" s="1684"/>
      <c r="Z915" s="1684"/>
      <c r="AA915" s="1684"/>
      <c r="AB915" s="1684"/>
      <c r="AC915" s="1684"/>
      <c r="AD915" s="1684"/>
      <c r="AE915" s="1684"/>
      <c r="AF915" s="1684"/>
      <c r="AG915" s="1684"/>
      <c r="AH915" s="1684"/>
      <c r="AI915" s="1684"/>
      <c r="AJ915" s="1684"/>
      <c r="AK915" s="1684"/>
      <c r="AL915" s="1684"/>
      <c r="AM915" s="1684"/>
      <c r="AN915" s="1684"/>
      <c r="AO915" s="1684"/>
      <c r="AP915" s="1684"/>
      <c r="AQ915" s="1684"/>
      <c r="AR915" s="1684"/>
      <c r="AS915" s="1684"/>
      <c r="AT915" s="1684"/>
      <c r="AU915" s="1684"/>
      <c r="AV915" s="1684"/>
      <c r="AW915" s="1684"/>
      <c r="AX915" s="1684"/>
      <c r="AY915" s="1684"/>
      <c r="AZ915" s="1684"/>
      <c r="BA915" s="1684"/>
      <c r="BB915" s="1684"/>
      <c r="BC915" s="1684"/>
      <c r="BD915" s="1684"/>
      <c r="BE915" s="1684"/>
      <c r="BF915" s="1684"/>
      <c r="BG915" s="1684"/>
      <c r="BH915" s="1684"/>
      <c r="BI915" s="1684"/>
      <c r="BJ915" s="1684"/>
      <c r="BK915" s="1684"/>
      <c r="BL915" s="1684"/>
      <c r="BM915" s="1684"/>
      <c r="BN915" s="1684"/>
      <c r="BO915" s="1684"/>
      <c r="BP915" s="1684"/>
      <c r="BQ915" s="1684"/>
      <c r="BR915" s="1684"/>
      <c r="BS915" s="1684"/>
      <c r="BT915" s="1684"/>
      <c r="BU915" s="1684"/>
      <c r="BV915" s="1684"/>
      <c r="BW915" s="1684"/>
      <c r="BX915" s="1684"/>
      <c r="BY915" s="1684"/>
      <c r="BZ915" s="1684"/>
      <c r="CA915" s="1684"/>
      <c r="CB915" s="1684"/>
      <c r="CC915" s="1684"/>
      <c r="CD915" s="1684"/>
      <c r="CE915" s="1684"/>
      <c r="CF915" s="1684"/>
      <c r="CG915" s="1684"/>
      <c r="CH915" s="1684"/>
      <c r="CI915" s="1684"/>
      <c r="CJ915" s="1684"/>
      <c r="CK915" s="1684"/>
      <c r="CL915" s="1684"/>
      <c r="CM915" s="1684"/>
      <c r="CN915" s="1684"/>
      <c r="CO915" s="1684"/>
    </row>
    <row r="916" spans="1:93" s="1391" customFormat="1" ht="15" x14ac:dyDescent="0.2">
      <c r="A916" s="1684"/>
      <c r="B916" s="1684"/>
      <c r="C916" s="2013">
        <v>17</v>
      </c>
      <c r="D916" s="5">
        <v>9.3710000000000004</v>
      </c>
      <c r="E916" s="5">
        <v>272</v>
      </c>
      <c r="F916" s="5">
        <v>299</v>
      </c>
      <c r="G916" s="5">
        <v>324</v>
      </c>
      <c r="H916" s="5">
        <v>347</v>
      </c>
      <c r="I916" s="5">
        <v>374</v>
      </c>
      <c r="J916" s="5">
        <v>399</v>
      </c>
      <c r="K916" s="5">
        <v>423</v>
      </c>
      <c r="L916" s="5">
        <v>447</v>
      </c>
      <c r="M916" s="5">
        <v>469</v>
      </c>
      <c r="N916" s="5">
        <v>492</v>
      </c>
      <c r="O916" s="5">
        <v>515</v>
      </c>
      <c r="P916" s="5">
        <v>537</v>
      </c>
      <c r="Q916" s="1160">
        <v>87</v>
      </c>
      <c r="R916"/>
      <c r="S916" s="1684"/>
      <c r="T916" s="1684"/>
      <c r="U916" s="1684"/>
      <c r="V916" s="1684"/>
      <c r="W916" s="1684"/>
      <c r="X916" s="1684"/>
      <c r="Y916" s="1684"/>
      <c r="Z916" s="1684"/>
      <c r="AA916" s="1684"/>
      <c r="AB916" s="1684"/>
      <c r="AC916" s="1684"/>
      <c r="AD916" s="1684"/>
      <c r="AE916" s="1684"/>
      <c r="AF916" s="1684"/>
      <c r="AG916" s="1684"/>
      <c r="AH916" s="1684"/>
      <c r="AI916" s="1684"/>
      <c r="AJ916" s="1684"/>
      <c r="AK916" s="1684"/>
      <c r="AL916" s="1684"/>
      <c r="AM916" s="1684"/>
      <c r="AN916" s="1684"/>
      <c r="AO916" s="1684"/>
      <c r="AP916" s="1684"/>
      <c r="AQ916" s="1684"/>
      <c r="AR916" s="1684"/>
      <c r="AS916" s="1684"/>
      <c r="AT916" s="1684"/>
      <c r="AU916" s="1684"/>
      <c r="AV916" s="1684"/>
      <c r="AW916" s="1684"/>
      <c r="AX916" s="1684"/>
      <c r="AY916" s="1684"/>
      <c r="AZ916" s="1684"/>
      <c r="BA916" s="1684"/>
      <c r="BB916" s="1684"/>
      <c r="BC916" s="1684"/>
      <c r="BD916" s="1684"/>
      <c r="BE916" s="1684"/>
      <c r="BF916" s="1684"/>
      <c r="BG916" s="1684"/>
      <c r="BH916" s="1684"/>
      <c r="BI916" s="1684"/>
      <c r="BJ916" s="1684"/>
      <c r="BK916" s="1684"/>
      <c r="BL916" s="1684"/>
      <c r="BM916" s="1684"/>
      <c r="BN916" s="1684"/>
      <c r="BO916" s="1684"/>
      <c r="BP916" s="1684"/>
      <c r="BQ916" s="1684"/>
      <c r="BR916" s="1684"/>
      <c r="BS916" s="1684"/>
      <c r="BT916" s="1684"/>
      <c r="BU916" s="1684"/>
      <c r="BV916" s="1684"/>
      <c r="BW916" s="1684"/>
      <c r="BX916" s="1684"/>
      <c r="BY916" s="1684"/>
      <c r="BZ916" s="1684"/>
      <c r="CA916" s="1684"/>
      <c r="CB916" s="1684"/>
      <c r="CC916" s="1684"/>
      <c r="CD916" s="1684"/>
      <c r="CE916" s="1684"/>
      <c r="CF916" s="1684"/>
      <c r="CG916" s="1684"/>
      <c r="CH916" s="1684"/>
      <c r="CI916" s="1684"/>
      <c r="CJ916" s="1684"/>
      <c r="CK916" s="1684"/>
      <c r="CL916" s="1684"/>
      <c r="CM916" s="1684"/>
      <c r="CN916" s="1684"/>
      <c r="CO916" s="1684"/>
    </row>
    <row r="917" spans="1:93" s="1391" customFormat="1" ht="15.75" thickBot="1" x14ac:dyDescent="0.25">
      <c r="A917" s="1684"/>
      <c r="B917" s="1684"/>
      <c r="C917" s="2018">
        <v>18</v>
      </c>
      <c r="D917" s="976">
        <v>9.7029999999999994</v>
      </c>
      <c r="E917" s="976">
        <v>283</v>
      </c>
      <c r="F917" s="976">
        <v>312</v>
      </c>
      <c r="G917" s="976">
        <v>338</v>
      </c>
      <c r="H917" s="976">
        <v>364</v>
      </c>
      <c r="I917" s="976">
        <v>390</v>
      </c>
      <c r="J917" s="976">
        <v>415</v>
      </c>
      <c r="K917" s="976">
        <v>440</v>
      </c>
      <c r="L917" s="976">
        <v>465</v>
      </c>
      <c r="M917" s="976">
        <v>488</v>
      </c>
      <c r="N917" s="976">
        <v>512</v>
      </c>
      <c r="O917" s="976">
        <v>535</v>
      </c>
      <c r="P917" s="976">
        <v>558</v>
      </c>
      <c r="Q917" s="2019">
        <v>88</v>
      </c>
      <c r="R917"/>
      <c r="S917" s="1684"/>
      <c r="T917" s="1684"/>
      <c r="U917" s="1684"/>
      <c r="V917" s="1684"/>
      <c r="W917" s="1684"/>
      <c r="X917" s="1684"/>
      <c r="Y917" s="1684"/>
      <c r="Z917" s="1684"/>
      <c r="AA917" s="1684"/>
      <c r="AB917" s="1684"/>
      <c r="AC917" s="1684"/>
      <c r="AD917" s="1684"/>
      <c r="AE917" s="1684"/>
      <c r="AF917" s="1684"/>
      <c r="AG917" s="1684"/>
      <c r="AH917" s="1684"/>
      <c r="AI917" s="1684"/>
      <c r="AJ917" s="1684"/>
      <c r="AK917" s="1684"/>
      <c r="AL917" s="1684"/>
      <c r="AM917" s="1684"/>
      <c r="AN917" s="1684"/>
      <c r="AO917" s="1684"/>
      <c r="AP917" s="1684"/>
      <c r="AQ917" s="1684"/>
      <c r="AR917" s="1684"/>
      <c r="AS917" s="1684"/>
      <c r="AT917" s="1684"/>
      <c r="AU917" s="1684"/>
      <c r="AV917" s="1684"/>
      <c r="AW917" s="1684"/>
      <c r="AX917" s="1684"/>
      <c r="AY917" s="1684"/>
      <c r="AZ917" s="1684"/>
      <c r="BA917" s="1684"/>
      <c r="BB917" s="1684"/>
      <c r="BC917" s="1684"/>
      <c r="BD917" s="1684"/>
      <c r="BE917" s="1684"/>
      <c r="BF917" s="1684"/>
      <c r="BG917" s="1684"/>
      <c r="BH917" s="1684"/>
      <c r="BI917" s="1684"/>
      <c r="BJ917" s="1684"/>
      <c r="BK917" s="1684"/>
      <c r="BL917" s="1684"/>
      <c r="BM917" s="1684"/>
      <c r="BN917" s="1684"/>
      <c r="BO917" s="1684"/>
      <c r="BP917" s="1684"/>
      <c r="BQ917" s="1684"/>
      <c r="BR917" s="1684"/>
      <c r="BS917" s="1684"/>
      <c r="BT917" s="1684"/>
      <c r="BU917" s="1684"/>
      <c r="BV917" s="1684"/>
      <c r="BW917" s="1684"/>
      <c r="BX917" s="1684"/>
      <c r="BY917" s="1684"/>
      <c r="BZ917" s="1684"/>
      <c r="CA917" s="1684"/>
      <c r="CB917" s="1684"/>
      <c r="CC917" s="1684"/>
      <c r="CD917" s="1684"/>
      <c r="CE917" s="1684"/>
      <c r="CF917" s="1684"/>
      <c r="CG917" s="1684"/>
      <c r="CH917" s="1684"/>
      <c r="CI917" s="1684"/>
      <c r="CJ917" s="1684"/>
      <c r="CK917" s="1684"/>
      <c r="CL917" s="1684"/>
      <c r="CM917" s="1684"/>
      <c r="CN917" s="1684"/>
      <c r="CO917" s="1684"/>
    </row>
    <row r="918" spans="1:93" s="1391" customFormat="1" ht="15.75" thickBot="1" x14ac:dyDescent="0.25">
      <c r="A918" s="1684"/>
      <c r="B918" s="1684"/>
      <c r="C918" s="248"/>
      <c r="D918" s="249" t="s">
        <v>5326</v>
      </c>
      <c r="E918" s="249"/>
      <c r="F918" s="249"/>
      <c r="G918" s="249"/>
      <c r="H918" s="249"/>
      <c r="I918" s="249"/>
      <c r="J918" s="249"/>
      <c r="K918" s="249"/>
      <c r="L918" s="249"/>
      <c r="M918" s="249"/>
      <c r="N918" s="249"/>
      <c r="O918" s="249"/>
      <c r="P918" s="249"/>
      <c r="Q918" s="250"/>
      <c r="R918"/>
      <c r="S918" s="1684"/>
      <c r="T918" s="1684"/>
      <c r="U918" s="1684"/>
      <c r="V918" s="1684"/>
      <c r="W918" s="1684"/>
      <c r="X918" s="1684"/>
      <c r="Y918" s="1684"/>
      <c r="Z918" s="1684"/>
      <c r="AA918" s="1684"/>
      <c r="AB918" s="1684"/>
      <c r="AC918" s="1684"/>
      <c r="AD918" s="1684"/>
      <c r="AE918" s="1684"/>
      <c r="AF918" s="1684"/>
      <c r="AG918" s="1684"/>
      <c r="AH918" s="1684"/>
      <c r="AI918" s="1684"/>
      <c r="AJ918" s="1684"/>
      <c r="AK918" s="1684"/>
      <c r="AL918" s="1684"/>
      <c r="AM918" s="1684"/>
      <c r="AN918" s="1684"/>
      <c r="AO918" s="1684"/>
      <c r="AP918" s="1684"/>
      <c r="AQ918" s="1684"/>
      <c r="AR918" s="1684"/>
      <c r="AS918" s="1684"/>
      <c r="AT918" s="1684"/>
      <c r="AU918" s="1684"/>
      <c r="AV918" s="1684"/>
      <c r="AW918" s="1684"/>
      <c r="AX918" s="1684"/>
      <c r="AY918" s="1684"/>
      <c r="AZ918" s="1684"/>
      <c r="BA918" s="1684"/>
      <c r="BB918" s="1684"/>
      <c r="BC918" s="1684"/>
      <c r="BD918" s="1684"/>
      <c r="BE918" s="1684"/>
      <c r="BF918" s="1684"/>
      <c r="BG918" s="1684"/>
      <c r="BH918" s="1684"/>
      <c r="BI918" s="1684"/>
      <c r="BJ918" s="1684"/>
      <c r="BK918" s="1684"/>
      <c r="BL918" s="1684"/>
      <c r="BM918" s="1684"/>
      <c r="BN918" s="1684"/>
      <c r="BO918" s="1684"/>
      <c r="BP918" s="1684"/>
      <c r="BQ918" s="1684"/>
      <c r="BR918" s="1684"/>
      <c r="BS918" s="1684"/>
      <c r="BT918" s="1684"/>
      <c r="BU918" s="1684"/>
      <c r="BV918" s="1684"/>
      <c r="BW918" s="1684"/>
      <c r="BX918" s="1684"/>
      <c r="BY918" s="1684"/>
      <c r="BZ918" s="1684"/>
      <c r="CA918" s="1684"/>
      <c r="CB918" s="1684"/>
      <c r="CC918" s="1684"/>
      <c r="CD918" s="1684"/>
      <c r="CE918" s="1684"/>
      <c r="CF918" s="1684"/>
      <c r="CG918" s="1684"/>
      <c r="CH918" s="1684"/>
      <c r="CI918" s="1684"/>
      <c r="CJ918" s="1684"/>
      <c r="CK918" s="1684"/>
      <c r="CL918" s="1684"/>
      <c r="CM918" s="1684"/>
      <c r="CN918" s="1684"/>
      <c r="CO918" s="1684"/>
    </row>
    <row r="919" spans="1:93" s="1391" customFormat="1" ht="15" x14ac:dyDescent="0.2">
      <c r="A919" s="1684"/>
      <c r="B919" s="1684"/>
      <c r="C919" s="4695" t="s">
        <v>5327</v>
      </c>
      <c r="D919" s="4696"/>
      <c r="E919" s="4696"/>
      <c r="F919" s="4696"/>
      <c r="G919" s="4696"/>
      <c r="H919" s="4696"/>
      <c r="I919" s="4696"/>
      <c r="J919" s="4696"/>
      <c r="K919" s="4696"/>
      <c r="L919" s="4696"/>
      <c r="M919" s="4696"/>
      <c r="N919" s="4696"/>
      <c r="O919" s="4696"/>
      <c r="P919" s="4696"/>
      <c r="Q919" s="4697"/>
      <c r="R919"/>
      <c r="S919" s="1684"/>
      <c r="T919" s="1684"/>
      <c r="U919" s="1684"/>
      <c r="V919" s="1684"/>
      <c r="W919" s="1684"/>
      <c r="X919" s="1684"/>
      <c r="Y919" s="1684"/>
      <c r="Z919" s="1684"/>
      <c r="AA919" s="1684"/>
      <c r="AB919" s="1684"/>
      <c r="AC919" s="1684"/>
      <c r="AD919" s="1684"/>
      <c r="AE919" s="1684"/>
      <c r="AF919" s="1684"/>
      <c r="AG919" s="1684"/>
      <c r="AH919" s="1684"/>
      <c r="AI919" s="1684"/>
      <c r="AJ919" s="1684"/>
      <c r="AK919" s="1684"/>
      <c r="AL919" s="1684"/>
      <c r="AM919" s="1684"/>
      <c r="AN919" s="1684"/>
      <c r="AO919" s="1684"/>
      <c r="AP919" s="1684"/>
      <c r="AQ919" s="1684"/>
      <c r="AR919" s="1684"/>
      <c r="AS919" s="1684"/>
      <c r="AT919" s="1684"/>
      <c r="AU919" s="1684"/>
      <c r="AV919" s="1684"/>
      <c r="AW919" s="1684"/>
      <c r="AX919" s="1684"/>
      <c r="AY919" s="1684"/>
      <c r="AZ919" s="1684"/>
      <c r="BA919" s="1684"/>
      <c r="BB919" s="1684"/>
      <c r="BC919" s="1684"/>
      <c r="BD919" s="1684"/>
      <c r="BE919" s="1684"/>
      <c r="BF919" s="1684"/>
      <c r="BG919" s="1684"/>
      <c r="BH919" s="1684"/>
      <c r="BI919" s="1684"/>
      <c r="BJ919" s="1684"/>
      <c r="BK919" s="1684"/>
      <c r="BL919" s="1684"/>
      <c r="BM919" s="1684"/>
      <c r="BN919" s="1684"/>
      <c r="BO919" s="1684"/>
      <c r="BP919" s="1684"/>
      <c r="BQ919" s="1684"/>
      <c r="BR919" s="1684"/>
      <c r="BS919" s="1684"/>
      <c r="BT919" s="1684"/>
      <c r="BU919" s="1684"/>
      <c r="BV919" s="1684"/>
      <c r="BW919" s="1684"/>
      <c r="BX919" s="1684"/>
      <c r="BY919" s="1684"/>
      <c r="BZ919" s="1684"/>
      <c r="CA919" s="1684"/>
      <c r="CB919" s="1684"/>
      <c r="CC919" s="1684"/>
      <c r="CD919" s="1684"/>
      <c r="CE919" s="1684"/>
      <c r="CF919" s="1684"/>
      <c r="CG919" s="1684"/>
      <c r="CH919" s="1684"/>
      <c r="CI919" s="1684"/>
      <c r="CJ919" s="1684"/>
      <c r="CK919" s="1684"/>
      <c r="CL919" s="1684"/>
      <c r="CM919" s="1684"/>
      <c r="CN919" s="1684"/>
      <c r="CO919" s="1684"/>
    </row>
    <row r="920" spans="1:93" s="1391" customFormat="1" ht="15" x14ac:dyDescent="0.2">
      <c r="A920" s="1684"/>
      <c r="B920" s="1684"/>
      <c r="C920" s="4686"/>
      <c r="D920" s="4385"/>
      <c r="E920" s="4385"/>
      <c r="F920" s="4385"/>
      <c r="G920" s="4385"/>
      <c r="H920" s="4385"/>
      <c r="I920" s="4385"/>
      <c r="J920" s="4385"/>
      <c r="K920" s="4385"/>
      <c r="L920" s="4385"/>
      <c r="M920" s="4385"/>
      <c r="N920" s="4385"/>
      <c r="O920" s="4385"/>
      <c r="P920" s="4385"/>
      <c r="Q920" s="4687"/>
      <c r="R920"/>
      <c r="S920" s="1684"/>
      <c r="T920" s="1684"/>
      <c r="U920" s="1684"/>
      <c r="V920" s="1684"/>
      <c r="W920" s="1684"/>
      <c r="X920" s="1684"/>
      <c r="Y920" s="1684"/>
      <c r="Z920" s="1684"/>
      <c r="AA920" s="1684"/>
      <c r="AB920" s="1684"/>
      <c r="AC920" s="1684"/>
      <c r="AD920" s="1684"/>
      <c r="AE920" s="1684"/>
      <c r="AF920" s="1684"/>
      <c r="AG920" s="1684"/>
      <c r="AH920" s="1684"/>
      <c r="AI920" s="1684"/>
      <c r="AJ920" s="1684"/>
      <c r="AK920" s="1684"/>
      <c r="AL920" s="1684"/>
      <c r="AM920" s="1684"/>
      <c r="AN920" s="1684"/>
      <c r="AO920" s="1684"/>
      <c r="AP920" s="1684"/>
      <c r="AQ920" s="1684"/>
      <c r="AR920" s="1684"/>
      <c r="AS920" s="1684"/>
      <c r="AT920" s="1684"/>
      <c r="AU920" s="1684"/>
      <c r="AV920" s="1684"/>
      <c r="AW920" s="1684"/>
      <c r="AX920" s="1684"/>
      <c r="AY920" s="1684"/>
      <c r="AZ920" s="1684"/>
      <c r="BA920" s="1684"/>
      <c r="BB920" s="1684"/>
      <c r="BC920" s="1684"/>
      <c r="BD920" s="1684"/>
      <c r="BE920" s="1684"/>
      <c r="BF920" s="1684"/>
      <c r="BG920" s="1684"/>
      <c r="BH920" s="1684"/>
      <c r="BI920" s="1684"/>
      <c r="BJ920" s="1684"/>
      <c r="BK920" s="1684"/>
      <c r="BL920" s="1684"/>
      <c r="BM920" s="1684"/>
      <c r="BN920" s="1684"/>
      <c r="BO920" s="1684"/>
      <c r="BP920" s="1684"/>
      <c r="BQ920" s="1684"/>
      <c r="BR920" s="1684"/>
      <c r="BS920" s="1684"/>
      <c r="BT920" s="1684"/>
      <c r="BU920" s="1684"/>
      <c r="BV920" s="1684"/>
      <c r="BW920" s="1684"/>
      <c r="BX920" s="1684"/>
      <c r="BY920" s="1684"/>
      <c r="BZ920" s="1684"/>
      <c r="CA920" s="1684"/>
      <c r="CB920" s="1684"/>
      <c r="CC920" s="1684"/>
      <c r="CD920" s="1684"/>
      <c r="CE920" s="1684"/>
      <c r="CF920" s="1684"/>
      <c r="CG920" s="1684"/>
      <c r="CH920" s="1684"/>
      <c r="CI920" s="1684"/>
      <c r="CJ920" s="1684"/>
      <c r="CK920" s="1684"/>
      <c r="CL920" s="1684"/>
      <c r="CM920" s="1684"/>
      <c r="CN920" s="1684"/>
      <c r="CO920" s="1684"/>
    </row>
    <row r="921" spans="1:93" s="1391" customFormat="1" ht="15.75" thickBot="1" x14ac:dyDescent="0.25">
      <c r="A921" s="1684"/>
      <c r="B921" s="1684"/>
      <c r="C921" s="4688"/>
      <c r="D921" s="4689"/>
      <c r="E921" s="4689"/>
      <c r="F921" s="4689"/>
      <c r="G921" s="4689"/>
      <c r="H921" s="4689"/>
      <c r="I921" s="4689"/>
      <c r="J921" s="4689"/>
      <c r="K921" s="4689"/>
      <c r="L921" s="4689"/>
      <c r="M921" s="4689"/>
      <c r="N921" s="4689"/>
      <c r="O921" s="4689"/>
      <c r="P921" s="4689"/>
      <c r="Q921" s="4690"/>
      <c r="R921"/>
      <c r="S921" s="1684"/>
      <c r="T921" s="1684"/>
      <c r="U921" s="1684"/>
      <c r="V921" s="1684"/>
      <c r="W921" s="1684"/>
      <c r="X921" s="1684"/>
      <c r="Y921" s="1684"/>
      <c r="Z921" s="1684"/>
      <c r="AA921" s="1684"/>
      <c r="AB921" s="1684"/>
      <c r="AC921" s="1684"/>
      <c r="AD921" s="1684"/>
      <c r="AE921" s="1684"/>
      <c r="AF921" s="1684"/>
      <c r="AG921" s="1684"/>
      <c r="AH921" s="1684"/>
      <c r="AI921" s="1684"/>
      <c r="AJ921" s="1684"/>
      <c r="AK921" s="1684"/>
      <c r="AL921" s="1684"/>
      <c r="AM921" s="1684"/>
      <c r="AN921" s="1684"/>
      <c r="AO921" s="1684"/>
      <c r="AP921" s="1684"/>
      <c r="AQ921" s="1684"/>
      <c r="AR921" s="1684"/>
      <c r="AS921" s="1684"/>
      <c r="AT921" s="1684"/>
      <c r="AU921" s="1684"/>
      <c r="AV921" s="1684"/>
      <c r="AW921" s="1684"/>
      <c r="AX921" s="1684"/>
      <c r="AY921" s="1684"/>
      <c r="AZ921" s="1684"/>
      <c r="BA921" s="1684"/>
      <c r="BB921" s="1684"/>
      <c r="BC921" s="1684"/>
      <c r="BD921" s="1684"/>
      <c r="BE921" s="1684"/>
      <c r="BF921" s="1684"/>
      <c r="BG921" s="1684"/>
      <c r="BH921" s="1684"/>
      <c r="BI921" s="1684"/>
      <c r="BJ921" s="1684"/>
      <c r="BK921" s="1684"/>
      <c r="BL921" s="1684"/>
      <c r="BM921" s="1684"/>
      <c r="BN921" s="1684"/>
      <c r="BO921" s="1684"/>
      <c r="BP921" s="1684"/>
      <c r="BQ921" s="1684"/>
      <c r="BR921" s="1684"/>
      <c r="BS921" s="1684"/>
      <c r="BT921" s="1684"/>
      <c r="BU921" s="1684"/>
      <c r="BV921" s="1684"/>
      <c r="BW921" s="1684"/>
      <c r="BX921" s="1684"/>
      <c r="BY921" s="1684"/>
      <c r="BZ921" s="1684"/>
      <c r="CA921" s="1684"/>
      <c r="CB921" s="1684"/>
      <c r="CC921" s="1684"/>
      <c r="CD921" s="1684"/>
      <c r="CE921" s="1684"/>
      <c r="CF921" s="1684"/>
      <c r="CG921" s="1684"/>
      <c r="CH921" s="1684"/>
      <c r="CI921" s="1684"/>
      <c r="CJ921" s="1684"/>
      <c r="CK921" s="1684"/>
      <c r="CL921" s="1684"/>
      <c r="CM921" s="1684"/>
      <c r="CN921" s="1684"/>
      <c r="CO921" s="1684"/>
    </row>
    <row r="922" spans="1:93" s="1391" customFormat="1" ht="15" x14ac:dyDescent="0.2">
      <c r="A922" s="1684"/>
      <c r="B922" s="1684"/>
      <c r="C922" s="2012"/>
      <c r="D922" s="7"/>
      <c r="E922" s="7"/>
      <c r="F922" s="7"/>
      <c r="G922" s="7"/>
      <c r="H922" s="7"/>
      <c r="I922" s="7"/>
      <c r="J922" s="7"/>
      <c r="K922" s="7"/>
      <c r="L922" s="7"/>
      <c r="M922" s="7"/>
      <c r="N922" s="7"/>
      <c r="O922" s="7"/>
      <c r="P922" s="7"/>
      <c r="Q922" s="251"/>
      <c r="R922"/>
      <c r="S922" s="1684"/>
      <c r="T922" s="1684"/>
      <c r="U922" s="1684"/>
      <c r="V922" s="1684"/>
      <c r="W922" s="1684"/>
      <c r="X922" s="1684"/>
      <c r="Y922" s="1684"/>
      <c r="Z922" s="1684"/>
      <c r="AA922" s="1684"/>
      <c r="AB922" s="1684"/>
      <c r="AC922" s="1684"/>
      <c r="AD922" s="1684"/>
      <c r="AE922" s="1684"/>
      <c r="AF922" s="1684"/>
      <c r="AG922" s="1684"/>
      <c r="AH922" s="1684"/>
      <c r="AI922" s="1684"/>
      <c r="AJ922" s="1684"/>
      <c r="AK922" s="1684"/>
      <c r="AL922" s="1684"/>
      <c r="AM922" s="1684"/>
      <c r="AN922" s="1684"/>
      <c r="AO922" s="1684"/>
      <c r="AP922" s="1684"/>
      <c r="AQ922" s="1684"/>
      <c r="AR922" s="1684"/>
      <c r="AS922" s="1684"/>
      <c r="AT922" s="1684"/>
      <c r="AU922" s="1684"/>
      <c r="AV922" s="1684"/>
      <c r="AW922" s="1684"/>
      <c r="AX922" s="1684"/>
      <c r="AY922" s="1684"/>
      <c r="AZ922" s="1684"/>
      <c r="BA922" s="1684"/>
      <c r="BB922" s="1684"/>
      <c r="BC922" s="1684"/>
      <c r="BD922" s="1684"/>
      <c r="BE922" s="1684"/>
      <c r="BF922" s="1684"/>
      <c r="BG922" s="1684"/>
      <c r="BH922" s="1684"/>
      <c r="BI922" s="1684"/>
      <c r="BJ922" s="1684"/>
      <c r="BK922" s="1684"/>
      <c r="BL922" s="1684"/>
      <c r="BM922" s="1684"/>
      <c r="BN922" s="1684"/>
      <c r="BO922" s="1684"/>
      <c r="BP922" s="1684"/>
      <c r="BQ922" s="1684"/>
      <c r="BR922" s="1684"/>
      <c r="BS922" s="1684"/>
      <c r="BT922" s="1684"/>
      <c r="BU922" s="1684"/>
      <c r="BV922" s="1684"/>
      <c r="BW922" s="1684"/>
      <c r="BX922" s="1684"/>
      <c r="BY922" s="1684"/>
      <c r="BZ922" s="1684"/>
      <c r="CA922" s="1684"/>
      <c r="CB922" s="1684"/>
      <c r="CC922" s="1684"/>
      <c r="CD922" s="1684"/>
      <c r="CE922" s="1684"/>
      <c r="CF922" s="1684"/>
      <c r="CG922" s="1684"/>
      <c r="CH922" s="1684"/>
      <c r="CI922" s="1684"/>
      <c r="CJ922" s="1684"/>
      <c r="CK922" s="1684"/>
      <c r="CL922" s="1684"/>
      <c r="CM922" s="1684"/>
      <c r="CN922" s="1684"/>
      <c r="CO922" s="1684"/>
    </row>
    <row r="923" spans="1:93" s="1391" customFormat="1" ht="15" x14ac:dyDescent="0.2">
      <c r="A923" s="1684"/>
      <c r="B923" s="1684"/>
      <c r="C923" s="4691" t="s">
        <v>1964</v>
      </c>
      <c r="D923" s="4692" t="s">
        <v>1965</v>
      </c>
      <c r="E923" s="4693" t="s">
        <v>5602</v>
      </c>
      <c r="F923" s="4693"/>
      <c r="G923" s="4693"/>
      <c r="H923" s="4693"/>
      <c r="I923" s="4693"/>
      <c r="J923" s="4693"/>
      <c r="K923" s="4693"/>
      <c r="L923" s="4693"/>
      <c r="M923" s="4693"/>
      <c r="N923" s="4693"/>
      <c r="O923" s="4693"/>
      <c r="P923" s="4693"/>
      <c r="Q923" s="4682" t="s">
        <v>2490</v>
      </c>
      <c r="R923"/>
      <c r="S923" s="1684"/>
      <c r="T923" s="1684"/>
      <c r="U923" s="1684"/>
      <c r="V923" s="1684"/>
      <c r="W923" s="1684"/>
      <c r="X923" s="1684"/>
      <c r="Y923" s="1684"/>
      <c r="Z923" s="1684"/>
      <c r="AA923" s="1684"/>
      <c r="AB923" s="1684"/>
      <c r="AC923" s="1684"/>
      <c r="AD923" s="1684"/>
      <c r="AE923" s="1684"/>
      <c r="AF923" s="1684"/>
      <c r="AG923" s="1684"/>
      <c r="AH923" s="1684"/>
      <c r="AI923" s="1684"/>
      <c r="AJ923" s="1684"/>
      <c r="AK923" s="1684"/>
      <c r="AL923" s="1684"/>
      <c r="AM923" s="1684"/>
      <c r="AN923" s="1684"/>
      <c r="AO923" s="1684"/>
      <c r="AP923" s="1684"/>
      <c r="AQ923" s="1684"/>
      <c r="AR923" s="1684"/>
      <c r="AS923" s="1684"/>
      <c r="AT923" s="1684"/>
      <c r="AU923" s="1684"/>
      <c r="AV923" s="1684"/>
      <c r="AW923" s="1684"/>
      <c r="AX923" s="1684"/>
      <c r="AY923" s="1684"/>
      <c r="AZ923" s="1684"/>
      <c r="BA923" s="1684"/>
      <c r="BB923" s="1684"/>
      <c r="BC923" s="1684"/>
      <c r="BD923" s="1684"/>
      <c r="BE923" s="1684"/>
      <c r="BF923" s="1684"/>
      <c r="BG923" s="1684"/>
      <c r="BH923" s="1684"/>
      <c r="BI923" s="1684"/>
      <c r="BJ923" s="1684"/>
      <c r="BK923" s="1684"/>
      <c r="BL923" s="1684"/>
      <c r="BM923" s="1684"/>
      <c r="BN923" s="1684"/>
      <c r="BO923" s="1684"/>
      <c r="BP923" s="1684"/>
      <c r="BQ923" s="1684"/>
      <c r="BR923" s="1684"/>
      <c r="BS923" s="1684"/>
      <c r="BT923" s="1684"/>
      <c r="BU923" s="1684"/>
      <c r="BV923" s="1684"/>
      <c r="BW923" s="1684"/>
      <c r="BX923" s="1684"/>
      <c r="BY923" s="1684"/>
      <c r="BZ923" s="1684"/>
      <c r="CA923" s="1684"/>
      <c r="CB923" s="1684"/>
      <c r="CC923" s="1684"/>
      <c r="CD923" s="1684"/>
      <c r="CE923" s="1684"/>
      <c r="CF923" s="1684"/>
      <c r="CG923" s="1684"/>
      <c r="CH923" s="1684"/>
      <c r="CI923" s="1684"/>
      <c r="CJ923" s="1684"/>
      <c r="CK923" s="1684"/>
      <c r="CL923" s="1684"/>
      <c r="CM923" s="1684"/>
      <c r="CN923" s="1684"/>
      <c r="CO923" s="1684"/>
    </row>
    <row r="924" spans="1:93" s="1391" customFormat="1" ht="31.5" x14ac:dyDescent="0.2">
      <c r="A924" s="1684"/>
      <c r="B924" s="1684"/>
      <c r="C924" s="4691"/>
      <c r="D924" s="4692"/>
      <c r="E924" s="2017" t="s">
        <v>1966</v>
      </c>
      <c r="F924" s="2017" t="s">
        <v>3014</v>
      </c>
      <c r="G924" s="2017" t="s">
        <v>1967</v>
      </c>
      <c r="H924" s="2017" t="s">
        <v>1968</v>
      </c>
      <c r="I924" s="2017" t="s">
        <v>1969</v>
      </c>
      <c r="J924" s="2017" t="s">
        <v>1970</v>
      </c>
      <c r="K924" s="2017" t="s">
        <v>1971</v>
      </c>
      <c r="L924" s="2017" t="s">
        <v>1972</v>
      </c>
      <c r="M924" s="2017" t="s">
        <v>1973</v>
      </c>
      <c r="N924" s="2017" t="s">
        <v>1974</v>
      </c>
      <c r="O924" s="2017" t="s">
        <v>1975</v>
      </c>
      <c r="P924" s="2017" t="s">
        <v>3020</v>
      </c>
      <c r="Q924" s="4682"/>
      <c r="R924"/>
      <c r="S924" s="1684"/>
      <c r="T924" s="1684"/>
      <c r="U924" s="1684"/>
      <c r="V924" s="1684"/>
      <c r="W924" s="1684"/>
      <c r="X924" s="1684"/>
      <c r="Y924" s="1684"/>
      <c r="Z924" s="1684"/>
      <c r="AA924" s="1684"/>
      <c r="AB924" s="1684"/>
      <c r="AC924" s="1684"/>
      <c r="AD924" s="1684"/>
      <c r="AE924" s="1684"/>
      <c r="AF924" s="1684"/>
      <c r="AG924" s="1684"/>
      <c r="AH924" s="1684"/>
      <c r="AI924" s="1684"/>
      <c r="AJ924" s="1684"/>
      <c r="AK924" s="1684"/>
      <c r="AL924" s="1684"/>
      <c r="AM924" s="1684"/>
      <c r="AN924" s="1684"/>
      <c r="AO924" s="1684"/>
      <c r="AP924" s="1684"/>
      <c r="AQ924" s="1684"/>
      <c r="AR924" s="1684"/>
      <c r="AS924" s="1684"/>
      <c r="AT924" s="1684"/>
      <c r="AU924" s="1684"/>
      <c r="AV924" s="1684"/>
      <c r="AW924" s="1684"/>
      <c r="AX924" s="1684"/>
      <c r="AY924" s="1684"/>
      <c r="AZ924" s="1684"/>
      <c r="BA924" s="1684"/>
      <c r="BB924" s="1684"/>
      <c r="BC924" s="1684"/>
      <c r="BD924" s="1684"/>
      <c r="BE924" s="1684"/>
      <c r="BF924" s="1684"/>
      <c r="BG924" s="1684"/>
      <c r="BH924" s="1684"/>
      <c r="BI924" s="1684"/>
      <c r="BJ924" s="1684"/>
      <c r="BK924" s="1684"/>
      <c r="BL924" s="1684"/>
      <c r="BM924" s="1684"/>
      <c r="BN924" s="1684"/>
      <c r="BO924" s="1684"/>
      <c r="BP924" s="1684"/>
      <c r="BQ924" s="1684"/>
      <c r="BR924" s="1684"/>
      <c r="BS924" s="1684"/>
      <c r="BT924" s="1684"/>
      <c r="BU924" s="1684"/>
      <c r="BV924" s="1684"/>
      <c r="BW924" s="1684"/>
      <c r="BX924" s="1684"/>
      <c r="BY924" s="1684"/>
      <c r="BZ924" s="1684"/>
      <c r="CA924" s="1684"/>
      <c r="CB924" s="1684"/>
      <c r="CC924" s="1684"/>
      <c r="CD924" s="1684"/>
      <c r="CE924" s="1684"/>
      <c r="CF924" s="1684"/>
      <c r="CG924" s="1684"/>
      <c r="CH924" s="1684"/>
      <c r="CI924" s="1684"/>
      <c r="CJ924" s="1684"/>
      <c r="CK924" s="1684"/>
      <c r="CL924" s="1684"/>
      <c r="CM924" s="1684"/>
      <c r="CN924" s="1684"/>
      <c r="CO924" s="1684"/>
    </row>
    <row r="925" spans="1:93" s="1391" customFormat="1" ht="15" x14ac:dyDescent="0.2">
      <c r="A925" s="1684"/>
      <c r="B925" s="1684"/>
      <c r="C925" s="4691"/>
      <c r="D925" s="4692"/>
      <c r="E925" s="4693" t="s">
        <v>1781</v>
      </c>
      <c r="F925" s="4693"/>
      <c r="G925" s="4693"/>
      <c r="H925" s="4693"/>
      <c r="I925" s="4693"/>
      <c r="J925" s="4693"/>
      <c r="K925" s="4693"/>
      <c r="L925" s="4693"/>
      <c r="M925" s="4693"/>
      <c r="N925" s="4693"/>
      <c r="O925" s="4693"/>
      <c r="P925" s="4693"/>
      <c r="Q925" s="4682"/>
      <c r="R925"/>
      <c r="S925" s="1684"/>
      <c r="T925" s="1684"/>
      <c r="U925" s="1684"/>
      <c r="V925" s="1684"/>
      <c r="W925" s="1684"/>
      <c r="X925" s="1684"/>
      <c r="Y925" s="1684"/>
      <c r="Z925" s="1684"/>
      <c r="AA925" s="1684"/>
      <c r="AB925" s="1684"/>
      <c r="AC925" s="1684"/>
      <c r="AD925" s="1684"/>
      <c r="AE925" s="1684"/>
      <c r="AF925" s="1684"/>
      <c r="AG925" s="1684"/>
      <c r="AH925" s="1684"/>
      <c r="AI925" s="1684"/>
      <c r="AJ925" s="1684"/>
      <c r="AK925" s="1684"/>
      <c r="AL925" s="1684"/>
      <c r="AM925" s="1684"/>
      <c r="AN925" s="1684"/>
      <c r="AO925" s="1684"/>
      <c r="AP925" s="1684"/>
      <c r="AQ925" s="1684"/>
      <c r="AR925" s="1684"/>
      <c r="AS925" s="1684"/>
      <c r="AT925" s="1684"/>
      <c r="AU925" s="1684"/>
      <c r="AV925" s="1684"/>
      <c r="AW925" s="1684"/>
      <c r="AX925" s="1684"/>
      <c r="AY925" s="1684"/>
      <c r="AZ925" s="1684"/>
      <c r="BA925" s="1684"/>
      <c r="BB925" s="1684"/>
      <c r="BC925" s="1684"/>
      <c r="BD925" s="1684"/>
      <c r="BE925" s="1684"/>
      <c r="BF925" s="1684"/>
      <c r="BG925" s="1684"/>
      <c r="BH925" s="1684"/>
      <c r="BI925" s="1684"/>
      <c r="BJ925" s="1684"/>
      <c r="BK925" s="1684"/>
      <c r="BL925" s="1684"/>
      <c r="BM925" s="1684"/>
      <c r="BN925" s="1684"/>
      <c r="BO925" s="1684"/>
      <c r="BP925" s="1684"/>
      <c r="BQ925" s="1684"/>
      <c r="BR925" s="1684"/>
      <c r="BS925" s="1684"/>
      <c r="BT925" s="1684"/>
      <c r="BU925" s="1684"/>
      <c r="BV925" s="1684"/>
      <c r="BW925" s="1684"/>
      <c r="BX925" s="1684"/>
      <c r="BY925" s="1684"/>
      <c r="BZ925" s="1684"/>
      <c r="CA925" s="1684"/>
      <c r="CB925" s="1684"/>
      <c r="CC925" s="1684"/>
      <c r="CD925" s="1684"/>
      <c r="CE925" s="1684"/>
      <c r="CF925" s="1684"/>
      <c r="CG925" s="1684"/>
      <c r="CH925" s="1684"/>
      <c r="CI925" s="1684"/>
      <c r="CJ925" s="1684"/>
      <c r="CK925" s="1684"/>
      <c r="CL925" s="1684"/>
      <c r="CM925" s="1684"/>
      <c r="CN925" s="1684"/>
      <c r="CO925" s="1684"/>
    </row>
    <row r="926" spans="1:93" s="1391" customFormat="1" ht="15" x14ac:dyDescent="0.2">
      <c r="A926" s="1684"/>
      <c r="B926" s="1684"/>
      <c r="C926" s="4680" t="s">
        <v>3689</v>
      </c>
      <c r="D926" s="4681"/>
      <c r="E926" s="4681"/>
      <c r="F926" s="4681"/>
      <c r="G926" s="4681"/>
      <c r="H926" s="4681"/>
      <c r="I926" s="4681"/>
      <c r="J926" s="4681"/>
      <c r="K926" s="4681"/>
      <c r="L926" s="4681"/>
      <c r="M926" s="4681"/>
      <c r="N926" s="4681"/>
      <c r="O926" s="4681"/>
      <c r="P926" s="4681"/>
      <c r="Q926" s="4682"/>
      <c r="R926"/>
      <c r="S926" s="1684"/>
      <c r="T926" s="1684"/>
      <c r="U926" s="1684"/>
      <c r="V926" s="1684"/>
      <c r="W926" s="1684"/>
      <c r="X926" s="1684"/>
      <c r="Y926" s="1684"/>
      <c r="Z926" s="1684"/>
      <c r="AA926" s="1684"/>
      <c r="AB926" s="1684"/>
      <c r="AC926" s="1684"/>
      <c r="AD926" s="1684"/>
      <c r="AE926" s="1684"/>
      <c r="AF926" s="1684"/>
      <c r="AG926" s="1684"/>
      <c r="AH926" s="1684"/>
      <c r="AI926" s="1684"/>
      <c r="AJ926" s="1684"/>
      <c r="AK926" s="1684"/>
      <c r="AL926" s="1684"/>
      <c r="AM926" s="1684"/>
      <c r="AN926" s="1684"/>
      <c r="AO926" s="1684"/>
      <c r="AP926" s="1684"/>
      <c r="AQ926" s="1684"/>
      <c r="AR926" s="1684"/>
      <c r="AS926" s="1684"/>
      <c r="AT926" s="1684"/>
      <c r="AU926" s="1684"/>
      <c r="AV926" s="1684"/>
      <c r="AW926" s="1684"/>
      <c r="AX926" s="1684"/>
      <c r="AY926" s="1684"/>
      <c r="AZ926" s="1684"/>
      <c r="BA926" s="1684"/>
      <c r="BB926" s="1684"/>
      <c r="BC926" s="1684"/>
      <c r="BD926" s="1684"/>
      <c r="BE926" s="1684"/>
      <c r="BF926" s="1684"/>
      <c r="BG926" s="1684"/>
      <c r="BH926" s="1684"/>
      <c r="BI926" s="1684"/>
      <c r="BJ926" s="1684"/>
      <c r="BK926" s="1684"/>
      <c r="BL926" s="1684"/>
      <c r="BM926" s="1684"/>
      <c r="BN926" s="1684"/>
      <c r="BO926" s="1684"/>
      <c r="BP926" s="1684"/>
      <c r="BQ926" s="1684"/>
      <c r="BR926" s="1684"/>
      <c r="BS926" s="1684"/>
      <c r="BT926" s="1684"/>
      <c r="BU926" s="1684"/>
      <c r="BV926" s="1684"/>
      <c r="BW926" s="1684"/>
      <c r="BX926" s="1684"/>
      <c r="BY926" s="1684"/>
      <c r="BZ926" s="1684"/>
      <c r="CA926" s="1684"/>
      <c r="CB926" s="1684"/>
      <c r="CC926" s="1684"/>
      <c r="CD926" s="1684"/>
      <c r="CE926" s="1684"/>
      <c r="CF926" s="1684"/>
      <c r="CG926" s="1684"/>
      <c r="CH926" s="1684"/>
      <c r="CI926" s="1684"/>
      <c r="CJ926" s="1684"/>
      <c r="CK926" s="1684"/>
      <c r="CL926" s="1684"/>
      <c r="CM926" s="1684"/>
      <c r="CN926" s="1684"/>
      <c r="CO926" s="1684"/>
    </row>
    <row r="927" spans="1:93" s="1391" customFormat="1" ht="15" x14ac:dyDescent="0.2">
      <c r="A927" s="1684"/>
      <c r="B927" s="1684"/>
      <c r="C927" s="4680"/>
      <c r="D927" s="4681"/>
      <c r="E927" s="4681"/>
      <c r="F927" s="4681"/>
      <c r="G927" s="4681"/>
      <c r="H927" s="4681"/>
      <c r="I927" s="4681"/>
      <c r="J927" s="4681"/>
      <c r="K927" s="4681"/>
      <c r="L927" s="4681"/>
      <c r="M927" s="4681"/>
      <c r="N927" s="4681"/>
      <c r="O927" s="4681"/>
      <c r="P927" s="4681"/>
      <c r="Q927" s="4682"/>
      <c r="R927"/>
      <c r="S927" s="1684"/>
      <c r="T927" s="1684"/>
      <c r="U927" s="1684"/>
      <c r="V927" s="1684"/>
      <c r="W927" s="1684"/>
      <c r="X927" s="1684"/>
      <c r="Y927" s="1684"/>
      <c r="Z927" s="1684"/>
      <c r="AA927" s="1684"/>
      <c r="AB927" s="1684"/>
      <c r="AC927" s="1684"/>
      <c r="AD927" s="1684"/>
      <c r="AE927" s="1684"/>
      <c r="AF927" s="1684"/>
      <c r="AG927" s="1684"/>
      <c r="AH927" s="1684"/>
      <c r="AI927" s="1684"/>
      <c r="AJ927" s="1684"/>
      <c r="AK927" s="1684"/>
      <c r="AL927" s="1684"/>
      <c r="AM927" s="1684"/>
      <c r="AN927" s="1684"/>
      <c r="AO927" s="1684"/>
      <c r="AP927" s="1684"/>
      <c r="AQ927" s="1684"/>
      <c r="AR927" s="1684"/>
      <c r="AS927" s="1684"/>
      <c r="AT927" s="1684"/>
      <c r="AU927" s="1684"/>
      <c r="AV927" s="1684"/>
      <c r="AW927" s="1684"/>
      <c r="AX927" s="1684"/>
      <c r="AY927" s="1684"/>
      <c r="AZ927" s="1684"/>
      <c r="BA927" s="1684"/>
      <c r="BB927" s="1684"/>
      <c r="BC927" s="1684"/>
      <c r="BD927" s="1684"/>
      <c r="BE927" s="1684"/>
      <c r="BF927" s="1684"/>
      <c r="BG927" s="1684"/>
      <c r="BH927" s="1684"/>
      <c r="BI927" s="1684"/>
      <c r="BJ927" s="1684"/>
      <c r="BK927" s="1684"/>
      <c r="BL927" s="1684"/>
      <c r="BM927" s="1684"/>
      <c r="BN927" s="1684"/>
      <c r="BO927" s="1684"/>
      <c r="BP927" s="1684"/>
      <c r="BQ927" s="1684"/>
      <c r="BR927" s="1684"/>
      <c r="BS927" s="1684"/>
      <c r="BT927" s="1684"/>
      <c r="BU927" s="1684"/>
      <c r="BV927" s="1684"/>
      <c r="BW927" s="1684"/>
      <c r="BX927" s="1684"/>
      <c r="BY927" s="1684"/>
      <c r="BZ927" s="1684"/>
      <c r="CA927" s="1684"/>
      <c r="CB927" s="1684"/>
      <c r="CC927" s="1684"/>
      <c r="CD927" s="1684"/>
      <c r="CE927" s="1684"/>
      <c r="CF927" s="1684"/>
      <c r="CG927" s="1684"/>
      <c r="CH927" s="1684"/>
      <c r="CI927" s="1684"/>
      <c r="CJ927" s="1684"/>
      <c r="CK927" s="1684"/>
      <c r="CL927" s="1684"/>
      <c r="CM927" s="1684"/>
      <c r="CN927" s="1684"/>
      <c r="CO927" s="1684"/>
    </row>
    <row r="928" spans="1:93" s="1391" customFormat="1" ht="15" x14ac:dyDescent="0.2">
      <c r="A928" s="1684"/>
      <c r="B928" s="1684"/>
      <c r="C928" s="4680" t="s">
        <v>3690</v>
      </c>
      <c r="D928" s="4681"/>
      <c r="E928" s="4681"/>
      <c r="F928" s="4681"/>
      <c r="G928" s="4681"/>
      <c r="H928" s="4681"/>
      <c r="I928" s="4681"/>
      <c r="J928" s="4681"/>
      <c r="K928" s="4681"/>
      <c r="L928" s="4681"/>
      <c r="M928" s="4681"/>
      <c r="N928" s="4681"/>
      <c r="O928" s="4681"/>
      <c r="P928" s="4681"/>
      <c r="Q928" s="4682"/>
      <c r="R928"/>
      <c r="S928" s="1684"/>
      <c r="T928" s="1684"/>
      <c r="U928" s="1684"/>
      <c r="V928" s="1684"/>
      <c r="W928" s="1684"/>
      <c r="X928" s="1684"/>
      <c r="Y928" s="1684"/>
      <c r="Z928" s="1684"/>
      <c r="AA928" s="1684"/>
      <c r="AB928" s="1684"/>
      <c r="AC928" s="1684"/>
      <c r="AD928" s="1684"/>
      <c r="AE928" s="1684"/>
      <c r="AF928" s="1684"/>
      <c r="AG928" s="1684"/>
      <c r="AH928" s="1684"/>
      <c r="AI928" s="1684"/>
      <c r="AJ928" s="1684"/>
      <c r="AK928" s="1684"/>
      <c r="AL928" s="1684"/>
      <c r="AM928" s="1684"/>
      <c r="AN928" s="1684"/>
      <c r="AO928" s="1684"/>
      <c r="AP928" s="1684"/>
      <c r="AQ928" s="1684"/>
      <c r="AR928" s="1684"/>
      <c r="AS928" s="1684"/>
      <c r="AT928" s="1684"/>
      <c r="AU928" s="1684"/>
      <c r="AV928" s="1684"/>
      <c r="AW928" s="1684"/>
      <c r="AX928" s="1684"/>
      <c r="AY928" s="1684"/>
      <c r="AZ928" s="1684"/>
      <c r="BA928" s="1684"/>
      <c r="BB928" s="1684"/>
      <c r="BC928" s="1684"/>
      <c r="BD928" s="1684"/>
      <c r="BE928" s="1684"/>
      <c r="BF928" s="1684"/>
      <c r="BG928" s="1684"/>
      <c r="BH928" s="1684"/>
      <c r="BI928" s="1684"/>
      <c r="BJ928" s="1684"/>
      <c r="BK928" s="1684"/>
      <c r="BL928" s="1684"/>
      <c r="BM928" s="1684"/>
      <c r="BN928" s="1684"/>
      <c r="BO928" s="1684"/>
      <c r="BP928" s="1684"/>
      <c r="BQ928" s="1684"/>
      <c r="BR928" s="1684"/>
      <c r="BS928" s="1684"/>
      <c r="BT928" s="1684"/>
      <c r="BU928" s="1684"/>
      <c r="BV928" s="1684"/>
      <c r="BW928" s="1684"/>
      <c r="BX928" s="1684"/>
      <c r="BY928" s="1684"/>
      <c r="BZ928" s="1684"/>
      <c r="CA928" s="1684"/>
      <c r="CB928" s="1684"/>
      <c r="CC928" s="1684"/>
      <c r="CD928" s="1684"/>
      <c r="CE928" s="1684"/>
      <c r="CF928" s="1684"/>
      <c r="CG928" s="1684"/>
      <c r="CH928" s="1684"/>
      <c r="CI928" s="1684"/>
      <c r="CJ928" s="1684"/>
      <c r="CK928" s="1684"/>
      <c r="CL928" s="1684"/>
      <c r="CM928" s="1684"/>
      <c r="CN928" s="1684"/>
      <c r="CO928" s="1684"/>
    </row>
    <row r="929" spans="1:93" s="1391" customFormat="1" ht="15" x14ac:dyDescent="0.2">
      <c r="A929" s="1684"/>
      <c r="B929" s="1684"/>
      <c r="C929" s="4680"/>
      <c r="D929" s="4681"/>
      <c r="E929" s="4681"/>
      <c r="F929" s="4681"/>
      <c r="G929" s="4681"/>
      <c r="H929" s="4681"/>
      <c r="I929" s="4681"/>
      <c r="J929" s="4681"/>
      <c r="K929" s="4681"/>
      <c r="L929" s="4681"/>
      <c r="M929" s="4681"/>
      <c r="N929" s="4681"/>
      <c r="O929" s="4681"/>
      <c r="P929" s="4681"/>
      <c r="Q929" s="4682"/>
      <c r="R929"/>
      <c r="S929" s="1684"/>
      <c r="T929" s="1684"/>
      <c r="U929" s="1684"/>
      <c r="V929" s="1684"/>
      <c r="W929" s="1684"/>
      <c r="X929" s="1684"/>
      <c r="Y929" s="1684"/>
      <c r="Z929" s="1684"/>
      <c r="AA929" s="1684"/>
      <c r="AB929" s="1684"/>
      <c r="AC929" s="1684"/>
      <c r="AD929" s="1684"/>
      <c r="AE929" s="1684"/>
      <c r="AF929" s="1684"/>
      <c r="AG929" s="1684"/>
      <c r="AH929" s="1684"/>
      <c r="AI929" s="1684"/>
      <c r="AJ929" s="1684"/>
      <c r="AK929" s="1684"/>
      <c r="AL929" s="1684"/>
      <c r="AM929" s="1684"/>
      <c r="AN929" s="1684"/>
      <c r="AO929" s="1684"/>
      <c r="AP929" s="1684"/>
      <c r="AQ929" s="1684"/>
      <c r="AR929" s="1684"/>
      <c r="AS929" s="1684"/>
      <c r="AT929" s="1684"/>
      <c r="AU929" s="1684"/>
      <c r="AV929" s="1684"/>
      <c r="AW929" s="1684"/>
      <c r="AX929" s="1684"/>
      <c r="AY929" s="1684"/>
      <c r="AZ929" s="1684"/>
      <c r="BA929" s="1684"/>
      <c r="BB929" s="1684"/>
      <c r="BC929" s="1684"/>
      <c r="BD929" s="1684"/>
      <c r="BE929" s="1684"/>
      <c r="BF929" s="1684"/>
      <c r="BG929" s="1684"/>
      <c r="BH929" s="1684"/>
      <c r="BI929" s="1684"/>
      <c r="BJ929" s="1684"/>
      <c r="BK929" s="1684"/>
      <c r="BL929" s="1684"/>
      <c r="BM929" s="1684"/>
      <c r="BN929" s="1684"/>
      <c r="BO929" s="1684"/>
      <c r="BP929" s="1684"/>
      <c r="BQ929" s="1684"/>
      <c r="BR929" s="1684"/>
      <c r="BS929" s="1684"/>
      <c r="BT929" s="1684"/>
      <c r="BU929" s="1684"/>
      <c r="BV929" s="1684"/>
      <c r="BW929" s="1684"/>
      <c r="BX929" s="1684"/>
      <c r="BY929" s="1684"/>
      <c r="BZ929" s="1684"/>
      <c r="CA929" s="1684"/>
      <c r="CB929" s="1684"/>
      <c r="CC929" s="1684"/>
      <c r="CD929" s="1684"/>
      <c r="CE929" s="1684"/>
      <c r="CF929" s="1684"/>
      <c r="CG929" s="1684"/>
      <c r="CH929" s="1684"/>
      <c r="CI929" s="1684"/>
      <c r="CJ929" s="1684"/>
      <c r="CK929" s="1684"/>
      <c r="CL929" s="1684"/>
      <c r="CM929" s="1684"/>
      <c r="CN929" s="1684"/>
      <c r="CO929" s="1684"/>
    </row>
    <row r="930" spans="1:93" s="1391" customFormat="1" ht="15" x14ac:dyDescent="0.2">
      <c r="A930" s="1684"/>
      <c r="B930" s="1684"/>
      <c r="C930" s="2014"/>
      <c r="D930" s="2015"/>
      <c r="E930" s="2015">
        <v>1</v>
      </c>
      <c r="F930" s="2015">
        <v>2</v>
      </c>
      <c r="G930" s="2015">
        <v>3</v>
      </c>
      <c r="H930" s="2015">
        <v>4</v>
      </c>
      <c r="I930" s="2015">
        <v>5</v>
      </c>
      <c r="J930" s="2015">
        <v>6</v>
      </c>
      <c r="K930" s="2015">
        <v>7</v>
      </c>
      <c r="L930" s="2015">
        <v>8</v>
      </c>
      <c r="M930" s="2015">
        <v>9</v>
      </c>
      <c r="N930" s="2015">
        <v>10</v>
      </c>
      <c r="O930" s="2015">
        <v>11</v>
      </c>
      <c r="P930" s="2015">
        <v>12</v>
      </c>
      <c r="Q930" s="2016"/>
      <c r="R930"/>
      <c r="S930" s="1684"/>
      <c r="T930" s="1684"/>
      <c r="U930" s="1684"/>
      <c r="V930" s="1684"/>
      <c r="W930" s="1684"/>
      <c r="X930" s="1684"/>
      <c r="Y930" s="1684"/>
      <c r="Z930" s="1684"/>
      <c r="AA930" s="1684"/>
      <c r="AB930" s="1684"/>
      <c r="AC930" s="1684"/>
      <c r="AD930" s="1684"/>
      <c r="AE930" s="1684"/>
      <c r="AF930" s="1684"/>
      <c r="AG930" s="1684"/>
      <c r="AH930" s="1684"/>
      <c r="AI930" s="1684"/>
      <c r="AJ930" s="1684"/>
      <c r="AK930" s="1684"/>
      <c r="AL930" s="1684"/>
      <c r="AM930" s="1684"/>
      <c r="AN930" s="1684"/>
      <c r="AO930" s="1684"/>
      <c r="AP930" s="1684"/>
      <c r="AQ930" s="1684"/>
      <c r="AR930" s="1684"/>
      <c r="AS930" s="1684"/>
      <c r="AT930" s="1684"/>
      <c r="AU930" s="1684"/>
      <c r="AV930" s="1684"/>
      <c r="AW930" s="1684"/>
      <c r="AX930" s="1684"/>
      <c r="AY930" s="1684"/>
      <c r="AZ930" s="1684"/>
      <c r="BA930" s="1684"/>
      <c r="BB930" s="1684"/>
      <c r="BC930" s="1684"/>
      <c r="BD930" s="1684"/>
      <c r="BE930" s="1684"/>
      <c r="BF930" s="1684"/>
      <c r="BG930" s="1684"/>
      <c r="BH930" s="1684"/>
      <c r="BI930" s="1684"/>
      <c r="BJ930" s="1684"/>
      <c r="BK930" s="1684"/>
      <c r="BL930" s="1684"/>
      <c r="BM930" s="1684"/>
      <c r="BN930" s="1684"/>
      <c r="BO930" s="1684"/>
      <c r="BP930" s="1684"/>
      <c r="BQ930" s="1684"/>
      <c r="BR930" s="1684"/>
      <c r="BS930" s="1684"/>
      <c r="BT930" s="1684"/>
      <c r="BU930" s="1684"/>
      <c r="BV930" s="1684"/>
      <c r="BW930" s="1684"/>
      <c r="BX930" s="1684"/>
      <c r="BY930" s="1684"/>
      <c r="BZ930" s="1684"/>
      <c r="CA930" s="1684"/>
      <c r="CB930" s="1684"/>
      <c r="CC930" s="1684"/>
      <c r="CD930" s="1684"/>
      <c r="CE930" s="1684"/>
      <c r="CF930" s="1684"/>
      <c r="CG930" s="1684"/>
      <c r="CH930" s="1684"/>
      <c r="CI930" s="1684"/>
      <c r="CJ930" s="1684"/>
      <c r="CK930" s="1684"/>
      <c r="CL930" s="1684"/>
      <c r="CM930" s="1684"/>
      <c r="CN930" s="1684"/>
      <c r="CO930" s="1684"/>
    </row>
    <row r="931" spans="1:93" s="1391" customFormat="1" ht="15" x14ac:dyDescent="0.2">
      <c r="A931" s="1684"/>
      <c r="B931" s="1684"/>
      <c r="C931" s="2013">
        <v>8</v>
      </c>
      <c r="D931" s="5">
        <v>5.7060000000000004</v>
      </c>
      <c r="E931" s="5">
        <v>152</v>
      </c>
      <c r="F931" s="5">
        <v>169</v>
      </c>
      <c r="G931" s="5">
        <v>185</v>
      </c>
      <c r="H931" s="5">
        <v>201</v>
      </c>
      <c r="I931" s="5">
        <v>217</v>
      </c>
      <c r="J931" s="5">
        <v>233</v>
      </c>
      <c r="K931" s="5">
        <v>249</v>
      </c>
      <c r="L931" s="5">
        <v>265</v>
      </c>
      <c r="M931" s="5">
        <v>280</v>
      </c>
      <c r="N931" s="5">
        <v>296</v>
      </c>
      <c r="O931" s="5">
        <v>312</v>
      </c>
      <c r="P931" s="5">
        <v>328</v>
      </c>
      <c r="Q931" s="1160">
        <v>1</v>
      </c>
      <c r="R931"/>
      <c r="S931" s="1684"/>
      <c r="T931" s="1684"/>
      <c r="U931" s="1684"/>
      <c r="V931" s="1684"/>
      <c r="W931" s="1684"/>
      <c r="X931" s="1684"/>
      <c r="Y931" s="1684"/>
      <c r="Z931" s="1684"/>
      <c r="AA931" s="1684"/>
      <c r="AB931" s="1684"/>
      <c r="AC931" s="1684"/>
      <c r="AD931" s="1684"/>
      <c r="AE931" s="1684"/>
      <c r="AF931" s="1684"/>
      <c r="AG931" s="1684"/>
      <c r="AH931" s="1684"/>
      <c r="AI931" s="1684"/>
      <c r="AJ931" s="1684"/>
      <c r="AK931" s="1684"/>
      <c r="AL931" s="1684"/>
      <c r="AM931" s="1684"/>
      <c r="AN931" s="1684"/>
      <c r="AO931" s="1684"/>
      <c r="AP931" s="1684"/>
      <c r="AQ931" s="1684"/>
      <c r="AR931" s="1684"/>
      <c r="AS931" s="1684"/>
      <c r="AT931" s="1684"/>
      <c r="AU931" s="1684"/>
      <c r="AV931" s="1684"/>
      <c r="AW931" s="1684"/>
      <c r="AX931" s="1684"/>
      <c r="AY931" s="1684"/>
      <c r="AZ931" s="1684"/>
      <c r="BA931" s="1684"/>
      <c r="BB931" s="1684"/>
      <c r="BC931" s="1684"/>
      <c r="BD931" s="1684"/>
      <c r="BE931" s="1684"/>
      <c r="BF931" s="1684"/>
      <c r="BG931" s="1684"/>
      <c r="BH931" s="1684"/>
      <c r="BI931" s="1684"/>
      <c r="BJ931" s="1684"/>
      <c r="BK931" s="1684"/>
      <c r="BL931" s="1684"/>
      <c r="BM931" s="1684"/>
      <c r="BN931" s="1684"/>
      <c r="BO931" s="1684"/>
      <c r="BP931" s="1684"/>
      <c r="BQ931" s="1684"/>
      <c r="BR931" s="1684"/>
      <c r="BS931" s="1684"/>
      <c r="BT931" s="1684"/>
      <c r="BU931" s="1684"/>
      <c r="BV931" s="1684"/>
      <c r="BW931" s="1684"/>
      <c r="BX931" s="1684"/>
      <c r="BY931" s="1684"/>
      <c r="BZ931" s="1684"/>
      <c r="CA931" s="1684"/>
      <c r="CB931" s="1684"/>
      <c r="CC931" s="1684"/>
      <c r="CD931" s="1684"/>
      <c r="CE931" s="1684"/>
      <c r="CF931" s="1684"/>
      <c r="CG931" s="1684"/>
      <c r="CH931" s="1684"/>
      <c r="CI931" s="1684"/>
      <c r="CJ931" s="1684"/>
      <c r="CK931" s="1684"/>
      <c r="CL931" s="1684"/>
      <c r="CM931" s="1684"/>
      <c r="CN931" s="1684"/>
      <c r="CO931" s="1684"/>
    </row>
    <row r="932" spans="1:93" s="1391" customFormat="1" ht="15" x14ac:dyDescent="0.2">
      <c r="A932" s="1684"/>
      <c r="B932" s="1684"/>
      <c r="C932" s="2013">
        <v>9</v>
      </c>
      <c r="D932" s="5">
        <v>6.085</v>
      </c>
      <c r="E932" s="5">
        <v>168</v>
      </c>
      <c r="F932" s="5">
        <v>186</v>
      </c>
      <c r="G932" s="5">
        <v>204</v>
      </c>
      <c r="H932" s="5">
        <v>222</v>
      </c>
      <c r="I932" s="5">
        <v>239</v>
      </c>
      <c r="J932" s="5">
        <v>257</v>
      </c>
      <c r="K932" s="5">
        <v>275</v>
      </c>
      <c r="L932" s="5">
        <v>293</v>
      </c>
      <c r="M932" s="5">
        <v>310</v>
      </c>
      <c r="N932" s="5">
        <v>328</v>
      </c>
      <c r="O932" s="5">
        <v>346</v>
      </c>
      <c r="P932" s="5">
        <v>363</v>
      </c>
      <c r="Q932" s="1160">
        <v>2</v>
      </c>
      <c r="R932"/>
      <c r="S932" s="1684"/>
      <c r="T932" s="1684"/>
      <c r="U932" s="1684"/>
      <c r="V932" s="1684"/>
      <c r="W932" s="1684"/>
      <c r="X932" s="1684"/>
      <c r="Y932" s="1684"/>
      <c r="Z932" s="1684"/>
      <c r="AA932" s="1684"/>
      <c r="AB932" s="1684"/>
      <c r="AC932" s="1684"/>
      <c r="AD932" s="1684"/>
      <c r="AE932" s="1684"/>
      <c r="AF932" s="1684"/>
      <c r="AG932" s="1684"/>
      <c r="AH932" s="1684"/>
      <c r="AI932" s="1684"/>
      <c r="AJ932" s="1684"/>
      <c r="AK932" s="1684"/>
      <c r="AL932" s="1684"/>
      <c r="AM932" s="1684"/>
      <c r="AN932" s="1684"/>
      <c r="AO932" s="1684"/>
      <c r="AP932" s="1684"/>
      <c r="AQ932" s="1684"/>
      <c r="AR932" s="1684"/>
      <c r="AS932" s="1684"/>
      <c r="AT932" s="1684"/>
      <c r="AU932" s="1684"/>
      <c r="AV932" s="1684"/>
      <c r="AW932" s="1684"/>
      <c r="AX932" s="1684"/>
      <c r="AY932" s="1684"/>
      <c r="AZ932" s="1684"/>
      <c r="BA932" s="1684"/>
      <c r="BB932" s="1684"/>
      <c r="BC932" s="1684"/>
      <c r="BD932" s="1684"/>
      <c r="BE932" s="1684"/>
      <c r="BF932" s="1684"/>
      <c r="BG932" s="1684"/>
      <c r="BH932" s="1684"/>
      <c r="BI932" s="1684"/>
      <c r="BJ932" s="1684"/>
      <c r="BK932" s="1684"/>
      <c r="BL932" s="1684"/>
      <c r="BM932" s="1684"/>
      <c r="BN932" s="1684"/>
      <c r="BO932" s="1684"/>
      <c r="BP932" s="1684"/>
      <c r="BQ932" s="1684"/>
      <c r="BR932" s="1684"/>
      <c r="BS932" s="1684"/>
      <c r="BT932" s="1684"/>
      <c r="BU932" s="1684"/>
      <c r="BV932" s="1684"/>
      <c r="BW932" s="1684"/>
      <c r="BX932" s="1684"/>
      <c r="BY932" s="1684"/>
      <c r="BZ932" s="1684"/>
      <c r="CA932" s="1684"/>
      <c r="CB932" s="1684"/>
      <c r="CC932" s="1684"/>
      <c r="CD932" s="1684"/>
      <c r="CE932" s="1684"/>
      <c r="CF932" s="1684"/>
      <c r="CG932" s="1684"/>
      <c r="CH932" s="1684"/>
      <c r="CI932" s="1684"/>
      <c r="CJ932" s="1684"/>
      <c r="CK932" s="1684"/>
      <c r="CL932" s="1684"/>
      <c r="CM932" s="1684"/>
      <c r="CN932" s="1684"/>
      <c r="CO932" s="1684"/>
    </row>
    <row r="933" spans="1:93" s="1391" customFormat="1" ht="15" x14ac:dyDescent="0.2">
      <c r="A933" s="1684"/>
      <c r="B933" s="1684"/>
      <c r="C933" s="2013">
        <v>10</v>
      </c>
      <c r="D933" s="5">
        <v>6.4859999999999998</v>
      </c>
      <c r="E933" s="5">
        <v>185</v>
      </c>
      <c r="F933" s="5">
        <v>205</v>
      </c>
      <c r="G933" s="5">
        <v>225</v>
      </c>
      <c r="H933" s="5">
        <v>244</v>
      </c>
      <c r="I933" s="5">
        <v>264</v>
      </c>
      <c r="J933" s="5">
        <v>283</v>
      </c>
      <c r="K933" s="5">
        <v>303</v>
      </c>
      <c r="L933" s="5">
        <v>323</v>
      </c>
      <c r="M933" s="5">
        <v>341</v>
      </c>
      <c r="N933" s="5">
        <v>361</v>
      </c>
      <c r="O933" s="5">
        <v>380</v>
      </c>
      <c r="P933" s="5">
        <v>400</v>
      </c>
      <c r="Q933" s="1160">
        <v>3</v>
      </c>
      <c r="R933"/>
      <c r="S933" s="1684"/>
      <c r="T933" s="1684"/>
      <c r="U933" s="1684"/>
      <c r="V933" s="1684"/>
      <c r="W933" s="1684"/>
      <c r="X933" s="1684"/>
      <c r="Y933" s="1684"/>
      <c r="Z933" s="1684"/>
      <c r="AA933" s="1684"/>
      <c r="AB933" s="1684"/>
      <c r="AC933" s="1684"/>
      <c r="AD933" s="1684"/>
      <c r="AE933" s="1684"/>
      <c r="AF933" s="1684"/>
      <c r="AG933" s="1684"/>
      <c r="AH933" s="1684"/>
      <c r="AI933" s="1684"/>
      <c r="AJ933" s="1684"/>
      <c r="AK933" s="1684"/>
      <c r="AL933" s="1684"/>
      <c r="AM933" s="1684"/>
      <c r="AN933" s="1684"/>
      <c r="AO933" s="1684"/>
      <c r="AP933" s="1684"/>
      <c r="AQ933" s="1684"/>
      <c r="AR933" s="1684"/>
      <c r="AS933" s="1684"/>
      <c r="AT933" s="1684"/>
      <c r="AU933" s="1684"/>
      <c r="AV933" s="1684"/>
      <c r="AW933" s="1684"/>
      <c r="AX933" s="1684"/>
      <c r="AY933" s="1684"/>
      <c r="AZ933" s="1684"/>
      <c r="BA933" s="1684"/>
      <c r="BB933" s="1684"/>
      <c r="BC933" s="1684"/>
      <c r="BD933" s="1684"/>
      <c r="BE933" s="1684"/>
      <c r="BF933" s="1684"/>
      <c r="BG933" s="1684"/>
      <c r="BH933" s="1684"/>
      <c r="BI933" s="1684"/>
      <c r="BJ933" s="1684"/>
      <c r="BK933" s="1684"/>
      <c r="BL933" s="1684"/>
      <c r="BM933" s="1684"/>
      <c r="BN933" s="1684"/>
      <c r="BO933" s="1684"/>
      <c r="BP933" s="1684"/>
      <c r="BQ933" s="1684"/>
      <c r="BR933" s="1684"/>
      <c r="BS933" s="1684"/>
      <c r="BT933" s="1684"/>
      <c r="BU933" s="1684"/>
      <c r="BV933" s="1684"/>
      <c r="BW933" s="1684"/>
      <c r="BX933" s="1684"/>
      <c r="BY933" s="1684"/>
      <c r="BZ933" s="1684"/>
      <c r="CA933" s="1684"/>
      <c r="CB933" s="1684"/>
      <c r="CC933" s="1684"/>
      <c r="CD933" s="1684"/>
      <c r="CE933" s="1684"/>
      <c r="CF933" s="1684"/>
      <c r="CG933" s="1684"/>
      <c r="CH933" s="1684"/>
      <c r="CI933" s="1684"/>
      <c r="CJ933" s="1684"/>
      <c r="CK933" s="1684"/>
      <c r="CL933" s="1684"/>
      <c r="CM933" s="1684"/>
      <c r="CN933" s="1684"/>
      <c r="CO933" s="1684"/>
    </row>
    <row r="934" spans="1:93" s="1391" customFormat="1" ht="15" x14ac:dyDescent="0.2">
      <c r="A934" s="1684"/>
      <c r="B934" s="1684"/>
      <c r="C934" s="2013">
        <v>11</v>
      </c>
      <c r="D934" s="5">
        <v>6.9379999999999997</v>
      </c>
      <c r="E934" s="5">
        <v>204</v>
      </c>
      <c r="F934" s="5">
        <v>226</v>
      </c>
      <c r="G934" s="5">
        <v>248</v>
      </c>
      <c r="H934" s="5">
        <v>269</v>
      </c>
      <c r="I934" s="5">
        <v>291</v>
      </c>
      <c r="J934" s="5">
        <v>312</v>
      </c>
      <c r="K934" s="5">
        <v>334</v>
      </c>
      <c r="L934" s="5">
        <v>356</v>
      </c>
      <c r="M934" s="5">
        <v>376</v>
      </c>
      <c r="N934" s="5">
        <v>398</v>
      </c>
      <c r="O934" s="5">
        <v>419</v>
      </c>
      <c r="P934" s="5">
        <v>441</v>
      </c>
      <c r="Q934" s="1160">
        <v>4</v>
      </c>
      <c r="R934"/>
      <c r="S934" s="1684"/>
      <c r="T934" s="1684"/>
      <c r="U934" s="1684"/>
      <c r="V934" s="1684"/>
      <c r="W934" s="1684"/>
      <c r="X934" s="1684"/>
      <c r="Y934" s="1684"/>
      <c r="Z934" s="1684"/>
      <c r="AA934" s="1684"/>
      <c r="AB934" s="1684"/>
      <c r="AC934" s="1684"/>
      <c r="AD934" s="1684"/>
      <c r="AE934" s="1684"/>
      <c r="AF934" s="1684"/>
      <c r="AG934" s="1684"/>
      <c r="AH934" s="1684"/>
      <c r="AI934" s="1684"/>
      <c r="AJ934" s="1684"/>
      <c r="AK934" s="1684"/>
      <c r="AL934" s="1684"/>
      <c r="AM934" s="1684"/>
      <c r="AN934" s="1684"/>
      <c r="AO934" s="1684"/>
      <c r="AP934" s="1684"/>
      <c r="AQ934" s="1684"/>
      <c r="AR934" s="1684"/>
      <c r="AS934" s="1684"/>
      <c r="AT934" s="1684"/>
      <c r="AU934" s="1684"/>
      <c r="AV934" s="1684"/>
      <c r="AW934" s="1684"/>
      <c r="AX934" s="1684"/>
      <c r="AY934" s="1684"/>
      <c r="AZ934" s="1684"/>
      <c r="BA934" s="1684"/>
      <c r="BB934" s="1684"/>
      <c r="BC934" s="1684"/>
      <c r="BD934" s="1684"/>
      <c r="BE934" s="1684"/>
      <c r="BF934" s="1684"/>
      <c r="BG934" s="1684"/>
      <c r="BH934" s="1684"/>
      <c r="BI934" s="1684"/>
      <c r="BJ934" s="1684"/>
      <c r="BK934" s="1684"/>
      <c r="BL934" s="1684"/>
      <c r="BM934" s="1684"/>
      <c r="BN934" s="1684"/>
      <c r="BO934" s="1684"/>
      <c r="BP934" s="1684"/>
      <c r="BQ934" s="1684"/>
      <c r="BR934" s="1684"/>
      <c r="BS934" s="1684"/>
      <c r="BT934" s="1684"/>
      <c r="BU934" s="1684"/>
      <c r="BV934" s="1684"/>
      <c r="BW934" s="1684"/>
      <c r="BX934" s="1684"/>
      <c r="BY934" s="1684"/>
      <c r="BZ934" s="1684"/>
      <c r="CA934" s="1684"/>
      <c r="CB934" s="1684"/>
      <c r="CC934" s="1684"/>
      <c r="CD934" s="1684"/>
      <c r="CE934" s="1684"/>
      <c r="CF934" s="1684"/>
      <c r="CG934" s="1684"/>
      <c r="CH934" s="1684"/>
      <c r="CI934" s="1684"/>
      <c r="CJ934" s="1684"/>
      <c r="CK934" s="1684"/>
      <c r="CL934" s="1684"/>
      <c r="CM934" s="1684"/>
      <c r="CN934" s="1684"/>
      <c r="CO934" s="1684"/>
    </row>
    <row r="935" spans="1:93" s="1391" customFormat="1" ht="15" x14ac:dyDescent="0.2">
      <c r="A935" s="1684"/>
      <c r="B935" s="1684"/>
      <c r="C935" s="2013">
        <v>12</v>
      </c>
      <c r="D935" s="5">
        <v>7.415</v>
      </c>
      <c r="E935" s="5">
        <v>224</v>
      </c>
      <c r="F935" s="5">
        <v>248</v>
      </c>
      <c r="G935" s="5">
        <v>272</v>
      </c>
      <c r="H935" s="5">
        <v>295</v>
      </c>
      <c r="I935" s="5">
        <v>319</v>
      </c>
      <c r="J935" s="5">
        <v>342</v>
      </c>
      <c r="K935" s="5">
        <v>366</v>
      </c>
      <c r="L935" s="5">
        <v>391</v>
      </c>
      <c r="M935" s="5">
        <v>413</v>
      </c>
      <c r="N935" s="5">
        <v>437</v>
      </c>
      <c r="O935" s="5">
        <v>460</v>
      </c>
      <c r="P935" s="5">
        <v>484</v>
      </c>
      <c r="Q935" s="1160">
        <v>5</v>
      </c>
      <c r="R935"/>
      <c r="S935" s="1684"/>
      <c r="T935" s="1684"/>
      <c r="U935" s="1684"/>
      <c r="V935" s="1684"/>
      <c r="W935" s="1684"/>
      <c r="X935" s="1684"/>
      <c r="Y935" s="1684"/>
      <c r="Z935" s="1684"/>
      <c r="AA935" s="1684"/>
      <c r="AB935" s="1684"/>
      <c r="AC935" s="1684"/>
      <c r="AD935" s="1684"/>
      <c r="AE935" s="1684"/>
      <c r="AF935" s="1684"/>
      <c r="AG935" s="1684"/>
      <c r="AH935" s="1684"/>
      <c r="AI935" s="1684"/>
      <c r="AJ935" s="1684"/>
      <c r="AK935" s="1684"/>
      <c r="AL935" s="1684"/>
      <c r="AM935" s="1684"/>
      <c r="AN935" s="1684"/>
      <c r="AO935" s="1684"/>
      <c r="AP935" s="1684"/>
      <c r="AQ935" s="1684"/>
      <c r="AR935" s="1684"/>
      <c r="AS935" s="1684"/>
      <c r="AT935" s="1684"/>
      <c r="AU935" s="1684"/>
      <c r="AV935" s="1684"/>
      <c r="AW935" s="1684"/>
      <c r="AX935" s="1684"/>
      <c r="AY935" s="1684"/>
      <c r="AZ935" s="1684"/>
      <c r="BA935" s="1684"/>
      <c r="BB935" s="1684"/>
      <c r="BC935" s="1684"/>
      <c r="BD935" s="1684"/>
      <c r="BE935" s="1684"/>
      <c r="BF935" s="1684"/>
      <c r="BG935" s="1684"/>
      <c r="BH935" s="1684"/>
      <c r="BI935" s="1684"/>
      <c r="BJ935" s="1684"/>
      <c r="BK935" s="1684"/>
      <c r="BL935" s="1684"/>
      <c r="BM935" s="1684"/>
      <c r="BN935" s="1684"/>
      <c r="BO935" s="1684"/>
      <c r="BP935" s="1684"/>
      <c r="BQ935" s="1684"/>
      <c r="BR935" s="1684"/>
      <c r="BS935" s="1684"/>
      <c r="BT935" s="1684"/>
      <c r="BU935" s="1684"/>
      <c r="BV935" s="1684"/>
      <c r="BW935" s="1684"/>
      <c r="BX935" s="1684"/>
      <c r="BY935" s="1684"/>
      <c r="BZ935" s="1684"/>
      <c r="CA935" s="1684"/>
      <c r="CB935" s="1684"/>
      <c r="CC935" s="1684"/>
      <c r="CD935" s="1684"/>
      <c r="CE935" s="1684"/>
      <c r="CF935" s="1684"/>
      <c r="CG935" s="1684"/>
      <c r="CH935" s="1684"/>
      <c r="CI935" s="1684"/>
      <c r="CJ935" s="1684"/>
      <c r="CK935" s="1684"/>
      <c r="CL935" s="1684"/>
      <c r="CM935" s="1684"/>
      <c r="CN935" s="1684"/>
      <c r="CO935" s="1684"/>
    </row>
    <row r="936" spans="1:93" s="1391" customFormat="1" ht="15" x14ac:dyDescent="0.2">
      <c r="A936" s="1684"/>
      <c r="B936" s="1684"/>
      <c r="C936" s="2013">
        <v>13</v>
      </c>
      <c r="D936" s="5">
        <v>7.9050000000000002</v>
      </c>
      <c r="E936" s="5">
        <v>244</v>
      </c>
      <c r="F936" s="5">
        <v>271</v>
      </c>
      <c r="G936" s="5">
        <v>296</v>
      </c>
      <c r="H936" s="5">
        <v>322</v>
      </c>
      <c r="I936" s="5">
        <v>348</v>
      </c>
      <c r="J936" s="5">
        <v>373</v>
      </c>
      <c r="K936" s="5">
        <v>399</v>
      </c>
      <c r="L936" s="5">
        <v>426</v>
      </c>
      <c r="M936" s="5">
        <v>450</v>
      </c>
      <c r="N936" s="5">
        <v>476</v>
      </c>
      <c r="O936" s="5">
        <v>502</v>
      </c>
      <c r="P936" s="5">
        <v>527</v>
      </c>
      <c r="Q936" s="1160">
        <v>6</v>
      </c>
      <c r="R936"/>
      <c r="S936" s="1684"/>
      <c r="T936" s="1684"/>
      <c r="U936" s="1684"/>
      <c r="V936" s="1684"/>
      <c r="W936" s="1684"/>
      <c r="X936" s="1684"/>
      <c r="Y936" s="1684"/>
      <c r="Z936" s="1684"/>
      <c r="AA936" s="1684"/>
      <c r="AB936" s="1684"/>
      <c r="AC936" s="1684"/>
      <c r="AD936" s="1684"/>
      <c r="AE936" s="1684"/>
      <c r="AF936" s="1684"/>
      <c r="AG936" s="1684"/>
      <c r="AH936" s="1684"/>
      <c r="AI936" s="1684"/>
      <c r="AJ936" s="1684"/>
      <c r="AK936" s="1684"/>
      <c r="AL936" s="1684"/>
      <c r="AM936" s="1684"/>
      <c r="AN936" s="1684"/>
      <c r="AO936" s="1684"/>
      <c r="AP936" s="1684"/>
      <c r="AQ936" s="1684"/>
      <c r="AR936" s="1684"/>
      <c r="AS936" s="1684"/>
      <c r="AT936" s="1684"/>
      <c r="AU936" s="1684"/>
      <c r="AV936" s="1684"/>
      <c r="AW936" s="1684"/>
      <c r="AX936" s="1684"/>
      <c r="AY936" s="1684"/>
      <c r="AZ936" s="1684"/>
      <c r="BA936" s="1684"/>
      <c r="BB936" s="1684"/>
      <c r="BC936" s="1684"/>
      <c r="BD936" s="1684"/>
      <c r="BE936" s="1684"/>
      <c r="BF936" s="1684"/>
      <c r="BG936" s="1684"/>
      <c r="BH936" s="1684"/>
      <c r="BI936" s="1684"/>
      <c r="BJ936" s="1684"/>
      <c r="BK936" s="1684"/>
      <c r="BL936" s="1684"/>
      <c r="BM936" s="1684"/>
      <c r="BN936" s="1684"/>
      <c r="BO936" s="1684"/>
      <c r="BP936" s="1684"/>
      <c r="BQ936" s="1684"/>
      <c r="BR936" s="1684"/>
      <c r="BS936" s="1684"/>
      <c r="BT936" s="1684"/>
      <c r="BU936" s="1684"/>
      <c r="BV936" s="1684"/>
      <c r="BW936" s="1684"/>
      <c r="BX936" s="1684"/>
      <c r="BY936" s="1684"/>
      <c r="BZ936" s="1684"/>
      <c r="CA936" s="1684"/>
      <c r="CB936" s="1684"/>
      <c r="CC936" s="1684"/>
      <c r="CD936" s="1684"/>
      <c r="CE936" s="1684"/>
      <c r="CF936" s="1684"/>
      <c r="CG936" s="1684"/>
      <c r="CH936" s="1684"/>
      <c r="CI936" s="1684"/>
      <c r="CJ936" s="1684"/>
      <c r="CK936" s="1684"/>
      <c r="CL936" s="1684"/>
      <c r="CM936" s="1684"/>
      <c r="CN936" s="1684"/>
      <c r="CO936" s="1684"/>
    </row>
    <row r="937" spans="1:93" s="1391" customFormat="1" ht="15" x14ac:dyDescent="0.2">
      <c r="A937" s="1684"/>
      <c r="B937" s="1684"/>
      <c r="C937" s="2013">
        <v>14</v>
      </c>
      <c r="D937" s="5">
        <v>8.4260000000000002</v>
      </c>
      <c r="E937" s="5">
        <v>265</v>
      </c>
      <c r="F937" s="5">
        <v>294</v>
      </c>
      <c r="G937" s="5">
        <v>322</v>
      </c>
      <c r="H937" s="5">
        <v>350</v>
      </c>
      <c r="I937" s="5">
        <v>378</v>
      </c>
      <c r="J937" s="5">
        <v>406</v>
      </c>
      <c r="K937" s="5">
        <v>434</v>
      </c>
      <c r="L937" s="5">
        <v>463</v>
      </c>
      <c r="M937" s="5">
        <v>490</v>
      </c>
      <c r="N937" s="5">
        <v>518</v>
      </c>
      <c r="O937" s="5">
        <v>546</v>
      </c>
      <c r="P937" s="5">
        <v>574</v>
      </c>
      <c r="Q937" s="1160">
        <v>7</v>
      </c>
      <c r="R937"/>
      <c r="S937" s="1684"/>
      <c r="T937" s="1684"/>
      <c r="U937" s="1684"/>
      <c r="V937" s="1684"/>
      <c r="W937" s="1684"/>
      <c r="X937" s="1684"/>
      <c r="Y937" s="1684"/>
      <c r="Z937" s="1684"/>
      <c r="AA937" s="1684"/>
      <c r="AB937" s="1684"/>
      <c r="AC937" s="1684"/>
      <c r="AD937" s="1684"/>
      <c r="AE937" s="1684"/>
      <c r="AF937" s="1684"/>
      <c r="AG937" s="1684"/>
      <c r="AH937" s="1684"/>
      <c r="AI937" s="1684"/>
      <c r="AJ937" s="1684"/>
      <c r="AK937" s="1684"/>
      <c r="AL937" s="1684"/>
      <c r="AM937" s="1684"/>
      <c r="AN937" s="1684"/>
      <c r="AO937" s="1684"/>
      <c r="AP937" s="1684"/>
      <c r="AQ937" s="1684"/>
      <c r="AR937" s="1684"/>
      <c r="AS937" s="1684"/>
      <c r="AT937" s="1684"/>
      <c r="AU937" s="1684"/>
      <c r="AV937" s="1684"/>
      <c r="AW937" s="1684"/>
      <c r="AX937" s="1684"/>
      <c r="AY937" s="1684"/>
      <c r="AZ937" s="1684"/>
      <c r="BA937" s="1684"/>
      <c r="BB937" s="1684"/>
      <c r="BC937" s="1684"/>
      <c r="BD937" s="1684"/>
      <c r="BE937" s="1684"/>
      <c r="BF937" s="1684"/>
      <c r="BG937" s="1684"/>
      <c r="BH937" s="1684"/>
      <c r="BI937" s="1684"/>
      <c r="BJ937" s="1684"/>
      <c r="BK937" s="1684"/>
      <c r="BL937" s="1684"/>
      <c r="BM937" s="1684"/>
      <c r="BN937" s="1684"/>
      <c r="BO937" s="1684"/>
      <c r="BP937" s="1684"/>
      <c r="BQ937" s="1684"/>
      <c r="BR937" s="1684"/>
      <c r="BS937" s="1684"/>
      <c r="BT937" s="1684"/>
      <c r="BU937" s="1684"/>
      <c r="BV937" s="1684"/>
      <c r="BW937" s="1684"/>
      <c r="BX937" s="1684"/>
      <c r="BY937" s="1684"/>
      <c r="BZ937" s="1684"/>
      <c r="CA937" s="1684"/>
      <c r="CB937" s="1684"/>
      <c r="CC937" s="1684"/>
      <c r="CD937" s="1684"/>
      <c r="CE937" s="1684"/>
      <c r="CF937" s="1684"/>
      <c r="CG937" s="1684"/>
      <c r="CH937" s="1684"/>
      <c r="CI937" s="1684"/>
      <c r="CJ937" s="1684"/>
      <c r="CK937" s="1684"/>
      <c r="CL937" s="1684"/>
      <c r="CM937" s="1684"/>
      <c r="CN937" s="1684"/>
      <c r="CO937" s="1684"/>
    </row>
    <row r="938" spans="1:93" s="1391" customFormat="1" ht="15" x14ac:dyDescent="0.2">
      <c r="A938" s="1684"/>
      <c r="B938" s="1684"/>
      <c r="C938" s="2013">
        <v>15</v>
      </c>
      <c r="D938" s="5">
        <v>8.9670000000000005</v>
      </c>
      <c r="E938" s="5">
        <v>287</v>
      </c>
      <c r="F938" s="5">
        <v>319</v>
      </c>
      <c r="G938" s="5">
        <v>349</v>
      </c>
      <c r="H938" s="5">
        <v>379</v>
      </c>
      <c r="I938" s="5">
        <v>410</v>
      </c>
      <c r="J938" s="5">
        <v>440</v>
      </c>
      <c r="K938" s="5">
        <v>470</v>
      </c>
      <c r="L938" s="5">
        <v>502</v>
      </c>
      <c r="M938" s="5">
        <v>530</v>
      </c>
      <c r="N938" s="5">
        <v>561</v>
      </c>
      <c r="O938" s="5">
        <v>591</v>
      </c>
      <c r="P938" s="5">
        <v>621</v>
      </c>
      <c r="Q938" s="1160">
        <v>8</v>
      </c>
      <c r="R938"/>
      <c r="S938" s="1684"/>
      <c r="T938" s="1684"/>
      <c r="U938" s="1684"/>
      <c r="V938" s="1684"/>
      <c r="W938" s="1684"/>
      <c r="X938" s="1684"/>
      <c r="Y938" s="1684"/>
      <c r="Z938" s="1684"/>
      <c r="AA938" s="1684"/>
      <c r="AB938" s="1684"/>
      <c r="AC938" s="1684"/>
      <c r="AD938" s="1684"/>
      <c r="AE938" s="1684"/>
      <c r="AF938" s="1684"/>
      <c r="AG938" s="1684"/>
      <c r="AH938" s="1684"/>
      <c r="AI938" s="1684"/>
      <c r="AJ938" s="1684"/>
      <c r="AK938" s="1684"/>
      <c r="AL938" s="1684"/>
      <c r="AM938" s="1684"/>
      <c r="AN938" s="1684"/>
      <c r="AO938" s="1684"/>
      <c r="AP938" s="1684"/>
      <c r="AQ938" s="1684"/>
      <c r="AR938" s="1684"/>
      <c r="AS938" s="1684"/>
      <c r="AT938" s="1684"/>
      <c r="AU938" s="1684"/>
      <c r="AV938" s="1684"/>
      <c r="AW938" s="1684"/>
      <c r="AX938" s="1684"/>
      <c r="AY938" s="1684"/>
      <c r="AZ938" s="1684"/>
      <c r="BA938" s="1684"/>
      <c r="BB938" s="1684"/>
      <c r="BC938" s="1684"/>
      <c r="BD938" s="1684"/>
      <c r="BE938" s="1684"/>
      <c r="BF938" s="1684"/>
      <c r="BG938" s="1684"/>
      <c r="BH938" s="1684"/>
      <c r="BI938" s="1684"/>
      <c r="BJ938" s="1684"/>
      <c r="BK938" s="1684"/>
      <c r="BL938" s="1684"/>
      <c r="BM938" s="1684"/>
      <c r="BN938" s="1684"/>
      <c r="BO938" s="1684"/>
      <c r="BP938" s="1684"/>
      <c r="BQ938" s="1684"/>
      <c r="BR938" s="1684"/>
      <c r="BS938" s="1684"/>
      <c r="BT938" s="1684"/>
      <c r="BU938" s="1684"/>
      <c r="BV938" s="1684"/>
      <c r="BW938" s="1684"/>
      <c r="BX938" s="1684"/>
      <c r="BY938" s="1684"/>
      <c r="BZ938" s="1684"/>
      <c r="CA938" s="1684"/>
      <c r="CB938" s="1684"/>
      <c r="CC938" s="1684"/>
      <c r="CD938" s="1684"/>
      <c r="CE938" s="1684"/>
      <c r="CF938" s="1684"/>
      <c r="CG938" s="1684"/>
      <c r="CH938" s="1684"/>
      <c r="CI938" s="1684"/>
      <c r="CJ938" s="1684"/>
      <c r="CK938" s="1684"/>
      <c r="CL938" s="1684"/>
      <c r="CM938" s="1684"/>
      <c r="CN938" s="1684"/>
      <c r="CO938" s="1684"/>
    </row>
    <row r="939" spans="1:93" s="1391" customFormat="1" ht="15" x14ac:dyDescent="0.2">
      <c r="A939" s="1684"/>
      <c r="B939" s="1684"/>
      <c r="C939" s="2013">
        <v>16</v>
      </c>
      <c r="D939" s="5">
        <v>9.6509999999999998</v>
      </c>
      <c r="E939" s="5">
        <v>309</v>
      </c>
      <c r="F939" s="5">
        <v>343</v>
      </c>
      <c r="G939" s="5">
        <v>375</v>
      </c>
      <c r="H939" s="5">
        <v>408</v>
      </c>
      <c r="I939" s="5">
        <v>440</v>
      </c>
      <c r="J939" s="5">
        <v>473</v>
      </c>
      <c r="K939" s="5">
        <v>505</v>
      </c>
      <c r="L939" s="5">
        <v>539</v>
      </c>
      <c r="M939" s="5">
        <v>570</v>
      </c>
      <c r="N939" s="5">
        <v>603</v>
      </c>
      <c r="O939" s="5">
        <v>635</v>
      </c>
      <c r="P939" s="5">
        <v>668</v>
      </c>
      <c r="Q939" s="1160">
        <v>9</v>
      </c>
      <c r="R939"/>
      <c r="S939" s="1684"/>
      <c r="T939" s="1684"/>
      <c r="U939" s="1684"/>
      <c r="V939" s="1684"/>
      <c r="W939" s="1684"/>
      <c r="X939" s="1684"/>
      <c r="Y939" s="1684"/>
      <c r="Z939" s="1684"/>
      <c r="AA939" s="1684"/>
      <c r="AB939" s="1684"/>
      <c r="AC939" s="1684"/>
      <c r="AD939" s="1684"/>
      <c r="AE939" s="1684"/>
      <c r="AF939" s="1684"/>
      <c r="AG939" s="1684"/>
      <c r="AH939" s="1684"/>
      <c r="AI939" s="1684"/>
      <c r="AJ939" s="1684"/>
      <c r="AK939" s="1684"/>
      <c r="AL939" s="1684"/>
      <c r="AM939" s="1684"/>
      <c r="AN939" s="1684"/>
      <c r="AO939" s="1684"/>
      <c r="AP939" s="1684"/>
      <c r="AQ939" s="1684"/>
      <c r="AR939" s="1684"/>
      <c r="AS939" s="1684"/>
      <c r="AT939" s="1684"/>
      <c r="AU939" s="1684"/>
      <c r="AV939" s="1684"/>
      <c r="AW939" s="1684"/>
      <c r="AX939" s="1684"/>
      <c r="AY939" s="1684"/>
      <c r="AZ939" s="1684"/>
      <c r="BA939" s="1684"/>
      <c r="BB939" s="1684"/>
      <c r="BC939" s="1684"/>
      <c r="BD939" s="1684"/>
      <c r="BE939" s="1684"/>
      <c r="BF939" s="1684"/>
      <c r="BG939" s="1684"/>
      <c r="BH939" s="1684"/>
      <c r="BI939" s="1684"/>
      <c r="BJ939" s="1684"/>
      <c r="BK939" s="1684"/>
      <c r="BL939" s="1684"/>
      <c r="BM939" s="1684"/>
      <c r="BN939" s="1684"/>
      <c r="BO939" s="1684"/>
      <c r="BP939" s="1684"/>
      <c r="BQ939" s="1684"/>
      <c r="BR939" s="1684"/>
      <c r="BS939" s="1684"/>
      <c r="BT939" s="1684"/>
      <c r="BU939" s="1684"/>
      <c r="BV939" s="1684"/>
      <c r="BW939" s="1684"/>
      <c r="BX939" s="1684"/>
      <c r="BY939" s="1684"/>
      <c r="BZ939" s="1684"/>
      <c r="CA939" s="1684"/>
      <c r="CB939" s="1684"/>
      <c r="CC939" s="1684"/>
      <c r="CD939" s="1684"/>
      <c r="CE939" s="1684"/>
      <c r="CF939" s="1684"/>
      <c r="CG939" s="1684"/>
      <c r="CH939" s="1684"/>
      <c r="CI939" s="1684"/>
      <c r="CJ939" s="1684"/>
      <c r="CK939" s="1684"/>
      <c r="CL939" s="1684"/>
      <c r="CM939" s="1684"/>
      <c r="CN939" s="1684"/>
      <c r="CO939" s="1684"/>
    </row>
    <row r="940" spans="1:93" s="1391" customFormat="1" ht="15" x14ac:dyDescent="0.2">
      <c r="A940" s="1684"/>
      <c r="B940" s="1684"/>
      <c r="C940" s="2013">
        <v>17</v>
      </c>
      <c r="D940" s="5">
        <v>10.372</v>
      </c>
      <c r="E940" s="5">
        <v>329</v>
      </c>
      <c r="F940" s="5">
        <v>365</v>
      </c>
      <c r="G940" s="5">
        <v>400</v>
      </c>
      <c r="H940" s="5">
        <v>434</v>
      </c>
      <c r="I940" s="5">
        <v>469</v>
      </c>
      <c r="J940" s="5">
        <v>503</v>
      </c>
      <c r="K940" s="5">
        <v>538</v>
      </c>
      <c r="L940" s="5">
        <v>574</v>
      </c>
      <c r="M940" s="5">
        <v>607</v>
      </c>
      <c r="N940" s="5">
        <v>642</v>
      </c>
      <c r="O940" s="5">
        <v>676</v>
      </c>
      <c r="P940" s="5">
        <v>711</v>
      </c>
      <c r="Q940" s="1160">
        <v>10</v>
      </c>
      <c r="R940"/>
      <c r="S940" s="1684"/>
      <c r="T940" s="1684"/>
      <c r="U940" s="1684"/>
      <c r="V940" s="1684"/>
      <c r="W940" s="1684"/>
      <c r="X940" s="1684"/>
      <c r="Y940" s="1684"/>
      <c r="Z940" s="1684"/>
      <c r="AA940" s="1684"/>
      <c r="AB940" s="1684"/>
      <c r="AC940" s="1684"/>
      <c r="AD940" s="1684"/>
      <c r="AE940" s="1684"/>
      <c r="AF940" s="1684"/>
      <c r="AG940" s="1684"/>
      <c r="AH940" s="1684"/>
      <c r="AI940" s="1684"/>
      <c r="AJ940" s="1684"/>
      <c r="AK940" s="1684"/>
      <c r="AL940" s="1684"/>
      <c r="AM940" s="1684"/>
      <c r="AN940" s="1684"/>
      <c r="AO940" s="1684"/>
      <c r="AP940" s="1684"/>
      <c r="AQ940" s="1684"/>
      <c r="AR940" s="1684"/>
      <c r="AS940" s="1684"/>
      <c r="AT940" s="1684"/>
      <c r="AU940" s="1684"/>
      <c r="AV940" s="1684"/>
      <c r="AW940" s="1684"/>
      <c r="AX940" s="1684"/>
      <c r="AY940" s="1684"/>
      <c r="AZ940" s="1684"/>
      <c r="BA940" s="1684"/>
      <c r="BB940" s="1684"/>
      <c r="BC940" s="1684"/>
      <c r="BD940" s="1684"/>
      <c r="BE940" s="1684"/>
      <c r="BF940" s="1684"/>
      <c r="BG940" s="1684"/>
      <c r="BH940" s="1684"/>
      <c r="BI940" s="1684"/>
      <c r="BJ940" s="1684"/>
      <c r="BK940" s="1684"/>
      <c r="BL940" s="1684"/>
      <c r="BM940" s="1684"/>
      <c r="BN940" s="1684"/>
      <c r="BO940" s="1684"/>
      <c r="BP940" s="1684"/>
      <c r="BQ940" s="1684"/>
      <c r="BR940" s="1684"/>
      <c r="BS940" s="1684"/>
      <c r="BT940" s="1684"/>
      <c r="BU940" s="1684"/>
      <c r="BV940" s="1684"/>
      <c r="BW940" s="1684"/>
      <c r="BX940" s="1684"/>
      <c r="BY940" s="1684"/>
      <c r="BZ940" s="1684"/>
      <c r="CA940" s="1684"/>
      <c r="CB940" s="1684"/>
      <c r="CC940" s="1684"/>
      <c r="CD940" s="1684"/>
      <c r="CE940" s="1684"/>
      <c r="CF940" s="1684"/>
      <c r="CG940" s="1684"/>
      <c r="CH940" s="1684"/>
      <c r="CI940" s="1684"/>
      <c r="CJ940" s="1684"/>
      <c r="CK940" s="1684"/>
      <c r="CL940" s="1684"/>
      <c r="CM940" s="1684"/>
      <c r="CN940" s="1684"/>
      <c r="CO940" s="1684"/>
    </row>
    <row r="941" spans="1:93" s="1391" customFormat="1" ht="15" x14ac:dyDescent="0.2">
      <c r="A941" s="1684"/>
      <c r="B941" s="1684"/>
      <c r="C941" s="2013">
        <v>18</v>
      </c>
      <c r="D941" s="5">
        <v>10.843</v>
      </c>
      <c r="E941" s="5">
        <v>347</v>
      </c>
      <c r="F941" s="5">
        <v>385</v>
      </c>
      <c r="G941" s="5">
        <v>422</v>
      </c>
      <c r="H941" s="5">
        <v>458</v>
      </c>
      <c r="I941" s="5">
        <v>495</v>
      </c>
      <c r="J941" s="5">
        <v>531</v>
      </c>
      <c r="K941" s="5">
        <v>568</v>
      </c>
      <c r="L941" s="5">
        <v>605</v>
      </c>
      <c r="M941" s="5">
        <v>641</v>
      </c>
      <c r="N941" s="5">
        <v>677</v>
      </c>
      <c r="O941" s="5">
        <v>714</v>
      </c>
      <c r="P941" s="5">
        <v>750</v>
      </c>
      <c r="Q941" s="1160">
        <v>11</v>
      </c>
      <c r="R941"/>
      <c r="S941" s="1684"/>
      <c r="T941" s="1684"/>
      <c r="U941" s="1684"/>
      <c r="V941" s="1684"/>
      <c r="W941" s="1684"/>
      <c r="X941" s="1684"/>
      <c r="Y941" s="1684"/>
      <c r="Z941" s="1684"/>
      <c r="AA941" s="1684"/>
      <c r="AB941" s="1684"/>
      <c r="AC941" s="1684"/>
      <c r="AD941" s="1684"/>
      <c r="AE941" s="1684"/>
      <c r="AF941" s="1684"/>
      <c r="AG941" s="1684"/>
      <c r="AH941" s="1684"/>
      <c r="AI941" s="1684"/>
      <c r="AJ941" s="1684"/>
      <c r="AK941" s="1684"/>
      <c r="AL941" s="1684"/>
      <c r="AM941" s="1684"/>
      <c r="AN941" s="1684"/>
      <c r="AO941" s="1684"/>
      <c r="AP941" s="1684"/>
      <c r="AQ941" s="1684"/>
      <c r="AR941" s="1684"/>
      <c r="AS941" s="1684"/>
      <c r="AT941" s="1684"/>
      <c r="AU941" s="1684"/>
      <c r="AV941" s="1684"/>
      <c r="AW941" s="1684"/>
      <c r="AX941" s="1684"/>
      <c r="AY941" s="1684"/>
      <c r="AZ941" s="1684"/>
      <c r="BA941" s="1684"/>
      <c r="BB941" s="1684"/>
      <c r="BC941" s="1684"/>
      <c r="BD941" s="1684"/>
      <c r="BE941" s="1684"/>
      <c r="BF941" s="1684"/>
      <c r="BG941" s="1684"/>
      <c r="BH941" s="1684"/>
      <c r="BI941" s="1684"/>
      <c r="BJ941" s="1684"/>
      <c r="BK941" s="1684"/>
      <c r="BL941" s="1684"/>
      <c r="BM941" s="1684"/>
      <c r="BN941" s="1684"/>
      <c r="BO941" s="1684"/>
      <c r="BP941" s="1684"/>
      <c r="BQ941" s="1684"/>
      <c r="BR941" s="1684"/>
      <c r="BS941" s="1684"/>
      <c r="BT941" s="1684"/>
      <c r="BU941" s="1684"/>
      <c r="BV941" s="1684"/>
      <c r="BW941" s="1684"/>
      <c r="BX941" s="1684"/>
      <c r="BY941" s="1684"/>
      <c r="BZ941" s="1684"/>
      <c r="CA941" s="1684"/>
      <c r="CB941" s="1684"/>
      <c r="CC941" s="1684"/>
      <c r="CD941" s="1684"/>
      <c r="CE941" s="1684"/>
      <c r="CF941" s="1684"/>
      <c r="CG941" s="1684"/>
      <c r="CH941" s="1684"/>
      <c r="CI941" s="1684"/>
      <c r="CJ941" s="1684"/>
      <c r="CK941" s="1684"/>
      <c r="CL941" s="1684"/>
      <c r="CM941" s="1684"/>
      <c r="CN941" s="1684"/>
      <c r="CO941" s="1684"/>
    </row>
    <row r="942" spans="1:93" s="1391" customFormat="1" ht="15" x14ac:dyDescent="0.2">
      <c r="A942" s="1684"/>
      <c r="B942" s="1684"/>
      <c r="C942" s="4680" t="s">
        <v>3691</v>
      </c>
      <c r="D942" s="4681"/>
      <c r="E942" s="4681"/>
      <c r="F942" s="4681"/>
      <c r="G942" s="4681"/>
      <c r="H942" s="4681"/>
      <c r="I942" s="4681"/>
      <c r="J942" s="4681"/>
      <c r="K942" s="4681"/>
      <c r="L942" s="4681"/>
      <c r="M942" s="4681"/>
      <c r="N942" s="4681"/>
      <c r="O942" s="4681"/>
      <c r="P942" s="4681"/>
      <c r="Q942" s="4682"/>
      <c r="R942"/>
      <c r="S942" s="1684"/>
      <c r="T942" s="1684"/>
      <c r="U942" s="1684"/>
      <c r="V942" s="1684"/>
      <c r="W942" s="1684"/>
      <c r="X942" s="1684"/>
      <c r="Y942" s="1684"/>
      <c r="Z942" s="1684"/>
      <c r="AA942" s="1684"/>
      <c r="AB942" s="1684"/>
      <c r="AC942" s="1684"/>
      <c r="AD942" s="1684"/>
      <c r="AE942" s="1684"/>
      <c r="AF942" s="1684"/>
      <c r="AG942" s="1684"/>
      <c r="AH942" s="1684"/>
      <c r="AI942" s="1684"/>
      <c r="AJ942" s="1684"/>
      <c r="AK942" s="1684"/>
      <c r="AL942" s="1684"/>
      <c r="AM942" s="1684"/>
      <c r="AN942" s="1684"/>
      <c r="AO942" s="1684"/>
      <c r="AP942" s="1684"/>
      <c r="AQ942" s="1684"/>
      <c r="AR942" s="1684"/>
      <c r="AS942" s="1684"/>
      <c r="AT942" s="1684"/>
      <c r="AU942" s="1684"/>
      <c r="AV942" s="1684"/>
      <c r="AW942" s="1684"/>
      <c r="AX942" s="1684"/>
      <c r="AY942" s="1684"/>
      <c r="AZ942" s="1684"/>
      <c r="BA942" s="1684"/>
      <c r="BB942" s="1684"/>
      <c r="BC942" s="1684"/>
      <c r="BD942" s="1684"/>
      <c r="BE942" s="1684"/>
      <c r="BF942" s="1684"/>
      <c r="BG942" s="1684"/>
      <c r="BH942" s="1684"/>
      <c r="BI942" s="1684"/>
      <c r="BJ942" s="1684"/>
      <c r="BK942" s="1684"/>
      <c r="BL942" s="1684"/>
      <c r="BM942" s="1684"/>
      <c r="BN942" s="1684"/>
      <c r="BO942" s="1684"/>
      <c r="BP942" s="1684"/>
      <c r="BQ942" s="1684"/>
      <c r="BR942" s="1684"/>
      <c r="BS942" s="1684"/>
      <c r="BT942" s="1684"/>
      <c r="BU942" s="1684"/>
      <c r="BV942" s="1684"/>
      <c r="BW942" s="1684"/>
      <c r="BX942" s="1684"/>
      <c r="BY942" s="1684"/>
      <c r="BZ942" s="1684"/>
      <c r="CA942" s="1684"/>
      <c r="CB942" s="1684"/>
      <c r="CC942" s="1684"/>
      <c r="CD942" s="1684"/>
      <c r="CE942" s="1684"/>
      <c r="CF942" s="1684"/>
      <c r="CG942" s="1684"/>
      <c r="CH942" s="1684"/>
      <c r="CI942" s="1684"/>
      <c r="CJ942" s="1684"/>
      <c r="CK942" s="1684"/>
      <c r="CL942" s="1684"/>
      <c r="CM942" s="1684"/>
      <c r="CN942" s="1684"/>
      <c r="CO942" s="1684"/>
    </row>
    <row r="943" spans="1:93" s="1391" customFormat="1" ht="15" x14ac:dyDescent="0.2">
      <c r="A943" s="1684"/>
      <c r="B943" s="1684"/>
      <c r="C943" s="4680"/>
      <c r="D943" s="4681"/>
      <c r="E943" s="4681"/>
      <c r="F943" s="4681"/>
      <c r="G943" s="4681"/>
      <c r="H943" s="4681"/>
      <c r="I943" s="4681"/>
      <c r="J943" s="4681"/>
      <c r="K943" s="4681"/>
      <c r="L943" s="4681"/>
      <c r="M943" s="4681"/>
      <c r="N943" s="4681"/>
      <c r="O943" s="4681"/>
      <c r="P943" s="4681"/>
      <c r="Q943" s="4682"/>
      <c r="R943"/>
      <c r="S943" s="1684"/>
      <c r="T943" s="1684"/>
      <c r="U943" s="1684"/>
      <c r="V943" s="1684"/>
      <c r="W943" s="1684"/>
      <c r="X943" s="1684"/>
      <c r="Y943" s="1684"/>
      <c r="Z943" s="1684"/>
      <c r="AA943" s="1684"/>
      <c r="AB943" s="1684"/>
      <c r="AC943" s="1684"/>
      <c r="AD943" s="1684"/>
      <c r="AE943" s="1684"/>
      <c r="AF943" s="1684"/>
      <c r="AG943" s="1684"/>
      <c r="AH943" s="1684"/>
      <c r="AI943" s="1684"/>
      <c r="AJ943" s="1684"/>
      <c r="AK943" s="1684"/>
      <c r="AL943" s="1684"/>
      <c r="AM943" s="1684"/>
      <c r="AN943" s="1684"/>
      <c r="AO943" s="1684"/>
      <c r="AP943" s="1684"/>
      <c r="AQ943" s="1684"/>
      <c r="AR943" s="1684"/>
      <c r="AS943" s="1684"/>
      <c r="AT943" s="1684"/>
      <c r="AU943" s="1684"/>
      <c r="AV943" s="1684"/>
      <c r="AW943" s="1684"/>
      <c r="AX943" s="1684"/>
      <c r="AY943" s="1684"/>
      <c r="AZ943" s="1684"/>
      <c r="BA943" s="1684"/>
      <c r="BB943" s="1684"/>
      <c r="BC943" s="1684"/>
      <c r="BD943" s="1684"/>
      <c r="BE943" s="1684"/>
      <c r="BF943" s="1684"/>
      <c r="BG943" s="1684"/>
      <c r="BH943" s="1684"/>
      <c r="BI943" s="1684"/>
      <c r="BJ943" s="1684"/>
      <c r="BK943" s="1684"/>
      <c r="BL943" s="1684"/>
      <c r="BM943" s="1684"/>
      <c r="BN943" s="1684"/>
      <c r="BO943" s="1684"/>
      <c r="BP943" s="1684"/>
      <c r="BQ943" s="1684"/>
      <c r="BR943" s="1684"/>
      <c r="BS943" s="1684"/>
      <c r="BT943" s="1684"/>
      <c r="BU943" s="1684"/>
      <c r="BV943" s="1684"/>
      <c r="BW943" s="1684"/>
      <c r="BX943" s="1684"/>
      <c r="BY943" s="1684"/>
      <c r="BZ943" s="1684"/>
      <c r="CA943" s="1684"/>
      <c r="CB943" s="1684"/>
      <c r="CC943" s="1684"/>
      <c r="CD943" s="1684"/>
      <c r="CE943" s="1684"/>
      <c r="CF943" s="1684"/>
      <c r="CG943" s="1684"/>
      <c r="CH943" s="1684"/>
      <c r="CI943" s="1684"/>
      <c r="CJ943" s="1684"/>
      <c r="CK943" s="1684"/>
      <c r="CL943" s="1684"/>
      <c r="CM943" s="1684"/>
      <c r="CN943" s="1684"/>
      <c r="CO943" s="1684"/>
    </row>
    <row r="944" spans="1:93" s="1391" customFormat="1" ht="15" x14ac:dyDescent="0.2">
      <c r="A944" s="1684"/>
      <c r="B944" s="1684"/>
      <c r="C944" s="2014"/>
      <c r="D944" s="2015"/>
      <c r="E944" s="2015">
        <v>1</v>
      </c>
      <c r="F944" s="2015">
        <v>2</v>
      </c>
      <c r="G944" s="2015">
        <v>3</v>
      </c>
      <c r="H944" s="2015">
        <v>4</v>
      </c>
      <c r="I944" s="2015">
        <v>5</v>
      </c>
      <c r="J944" s="2015">
        <v>6</v>
      </c>
      <c r="K944" s="2015">
        <v>7</v>
      </c>
      <c r="L944" s="2015">
        <v>8</v>
      </c>
      <c r="M944" s="2015">
        <v>9</v>
      </c>
      <c r="N944" s="2015">
        <v>10</v>
      </c>
      <c r="O944" s="2015">
        <v>11</v>
      </c>
      <c r="P944" s="2015">
        <v>12</v>
      </c>
      <c r="Q944" s="2016"/>
      <c r="R944"/>
      <c r="S944" s="1684"/>
      <c r="T944" s="1684"/>
      <c r="U944" s="1684"/>
      <c r="V944" s="1684"/>
      <c r="W944" s="1684"/>
      <c r="X944" s="1684"/>
      <c r="Y944" s="1684"/>
      <c r="Z944" s="1684"/>
      <c r="AA944" s="1684"/>
      <c r="AB944" s="1684"/>
      <c r="AC944" s="1684"/>
      <c r="AD944" s="1684"/>
      <c r="AE944" s="1684"/>
      <c r="AF944" s="1684"/>
      <c r="AG944" s="1684"/>
      <c r="AH944" s="1684"/>
      <c r="AI944" s="1684"/>
      <c r="AJ944" s="1684"/>
      <c r="AK944" s="1684"/>
      <c r="AL944" s="1684"/>
      <c r="AM944" s="1684"/>
      <c r="AN944" s="1684"/>
      <c r="AO944" s="1684"/>
      <c r="AP944" s="1684"/>
      <c r="AQ944" s="1684"/>
      <c r="AR944" s="1684"/>
      <c r="AS944" s="1684"/>
      <c r="AT944" s="1684"/>
      <c r="AU944" s="1684"/>
      <c r="AV944" s="1684"/>
      <c r="AW944" s="1684"/>
      <c r="AX944" s="1684"/>
      <c r="AY944" s="1684"/>
      <c r="AZ944" s="1684"/>
      <c r="BA944" s="1684"/>
      <c r="BB944" s="1684"/>
      <c r="BC944" s="1684"/>
      <c r="BD944" s="1684"/>
      <c r="BE944" s="1684"/>
      <c r="BF944" s="1684"/>
      <c r="BG944" s="1684"/>
      <c r="BH944" s="1684"/>
      <c r="BI944" s="1684"/>
      <c r="BJ944" s="1684"/>
      <c r="BK944" s="1684"/>
      <c r="BL944" s="1684"/>
      <c r="BM944" s="1684"/>
      <c r="BN944" s="1684"/>
      <c r="BO944" s="1684"/>
      <c r="BP944" s="1684"/>
      <c r="BQ944" s="1684"/>
      <c r="BR944" s="1684"/>
      <c r="BS944" s="1684"/>
      <c r="BT944" s="1684"/>
      <c r="BU944" s="1684"/>
      <c r="BV944" s="1684"/>
      <c r="BW944" s="1684"/>
      <c r="BX944" s="1684"/>
      <c r="BY944" s="1684"/>
      <c r="BZ944" s="1684"/>
      <c r="CA944" s="1684"/>
      <c r="CB944" s="1684"/>
      <c r="CC944" s="1684"/>
      <c r="CD944" s="1684"/>
      <c r="CE944" s="1684"/>
      <c r="CF944" s="1684"/>
      <c r="CG944" s="1684"/>
      <c r="CH944" s="1684"/>
      <c r="CI944" s="1684"/>
      <c r="CJ944" s="1684"/>
      <c r="CK944" s="1684"/>
      <c r="CL944" s="1684"/>
      <c r="CM944" s="1684"/>
      <c r="CN944" s="1684"/>
      <c r="CO944" s="1684"/>
    </row>
    <row r="945" spans="1:93" s="1391" customFormat="1" ht="15" x14ac:dyDescent="0.2">
      <c r="A945" s="1684"/>
      <c r="B945" s="1684"/>
      <c r="C945" s="2013">
        <v>8</v>
      </c>
      <c r="D945" s="5">
        <v>5.8639999999999999</v>
      </c>
      <c r="E945" s="5">
        <v>160</v>
      </c>
      <c r="F945" s="5">
        <v>177</v>
      </c>
      <c r="G945" s="5">
        <v>194</v>
      </c>
      <c r="H945" s="5">
        <v>211</v>
      </c>
      <c r="I945" s="5">
        <v>228</v>
      </c>
      <c r="J945" s="5">
        <v>245</v>
      </c>
      <c r="K945" s="5">
        <v>261</v>
      </c>
      <c r="L945" s="5">
        <v>279</v>
      </c>
      <c r="M945" s="5">
        <v>295</v>
      </c>
      <c r="N945" s="5">
        <v>312</v>
      </c>
      <c r="O945" s="5">
        <v>329</v>
      </c>
      <c r="P945" s="5">
        <v>345</v>
      </c>
      <c r="Q945" s="1160">
        <v>12</v>
      </c>
      <c r="R945"/>
      <c r="S945" s="1684"/>
      <c r="T945" s="1684"/>
      <c r="U945" s="1684"/>
      <c r="V945" s="1684"/>
      <c r="W945" s="1684"/>
      <c r="X945" s="1684"/>
      <c r="Y945" s="1684"/>
      <c r="Z945" s="1684"/>
      <c r="AA945" s="1684"/>
      <c r="AB945" s="1684"/>
      <c r="AC945" s="1684"/>
      <c r="AD945" s="1684"/>
      <c r="AE945" s="1684"/>
      <c r="AF945" s="1684"/>
      <c r="AG945" s="1684"/>
      <c r="AH945" s="1684"/>
      <c r="AI945" s="1684"/>
      <c r="AJ945" s="1684"/>
      <c r="AK945" s="1684"/>
      <c r="AL945" s="1684"/>
      <c r="AM945" s="1684"/>
      <c r="AN945" s="1684"/>
      <c r="AO945" s="1684"/>
      <c r="AP945" s="1684"/>
      <c r="AQ945" s="1684"/>
      <c r="AR945" s="1684"/>
      <c r="AS945" s="1684"/>
      <c r="AT945" s="1684"/>
      <c r="AU945" s="1684"/>
      <c r="AV945" s="1684"/>
      <c r="AW945" s="1684"/>
      <c r="AX945" s="1684"/>
      <c r="AY945" s="1684"/>
      <c r="AZ945" s="1684"/>
      <c r="BA945" s="1684"/>
      <c r="BB945" s="1684"/>
      <c r="BC945" s="1684"/>
      <c r="BD945" s="1684"/>
      <c r="BE945" s="1684"/>
      <c r="BF945" s="1684"/>
      <c r="BG945" s="1684"/>
      <c r="BH945" s="1684"/>
      <c r="BI945" s="1684"/>
      <c r="BJ945" s="1684"/>
      <c r="BK945" s="1684"/>
      <c r="BL945" s="1684"/>
      <c r="BM945" s="1684"/>
      <c r="BN945" s="1684"/>
      <c r="BO945" s="1684"/>
      <c r="BP945" s="1684"/>
      <c r="BQ945" s="1684"/>
      <c r="BR945" s="1684"/>
      <c r="BS945" s="1684"/>
      <c r="BT945" s="1684"/>
      <c r="BU945" s="1684"/>
      <c r="BV945" s="1684"/>
      <c r="BW945" s="1684"/>
      <c r="BX945" s="1684"/>
      <c r="BY945" s="1684"/>
      <c r="BZ945" s="1684"/>
      <c r="CA945" s="1684"/>
      <c r="CB945" s="1684"/>
      <c r="CC945" s="1684"/>
      <c r="CD945" s="1684"/>
      <c r="CE945" s="1684"/>
      <c r="CF945" s="1684"/>
      <c r="CG945" s="1684"/>
      <c r="CH945" s="1684"/>
      <c r="CI945" s="1684"/>
      <c r="CJ945" s="1684"/>
      <c r="CK945" s="1684"/>
      <c r="CL945" s="1684"/>
      <c r="CM945" s="1684"/>
      <c r="CN945" s="1684"/>
      <c r="CO945" s="1684"/>
    </row>
    <row r="946" spans="1:93" s="1391" customFormat="1" ht="15" x14ac:dyDescent="0.2">
      <c r="A946" s="1684"/>
      <c r="B946" s="1684"/>
      <c r="C946" s="2013">
        <v>9</v>
      </c>
      <c r="D946" s="5">
        <v>6.2649999999999997</v>
      </c>
      <c r="E946" s="5">
        <v>177</v>
      </c>
      <c r="F946" s="5">
        <v>196</v>
      </c>
      <c r="G946" s="5">
        <v>215</v>
      </c>
      <c r="H946" s="5">
        <v>234</v>
      </c>
      <c r="I946" s="5">
        <v>252</v>
      </c>
      <c r="J946" s="5">
        <v>271</v>
      </c>
      <c r="K946" s="5">
        <v>290</v>
      </c>
      <c r="L946" s="5">
        <v>309</v>
      </c>
      <c r="M946" s="5">
        <v>327</v>
      </c>
      <c r="N946" s="5">
        <v>345</v>
      </c>
      <c r="O946" s="5">
        <v>364</v>
      </c>
      <c r="P946" s="5">
        <v>383</v>
      </c>
      <c r="Q946" s="1160">
        <v>13</v>
      </c>
      <c r="R946"/>
      <c r="S946" s="1684"/>
      <c r="T946" s="1684"/>
      <c r="U946" s="1684"/>
      <c r="V946" s="1684"/>
      <c r="W946" s="1684"/>
      <c r="X946" s="1684"/>
      <c r="Y946" s="1684"/>
      <c r="Z946" s="1684"/>
      <c r="AA946" s="1684"/>
      <c r="AB946" s="1684"/>
      <c r="AC946" s="1684"/>
      <c r="AD946" s="1684"/>
      <c r="AE946" s="1684"/>
      <c r="AF946" s="1684"/>
      <c r="AG946" s="1684"/>
      <c r="AH946" s="1684"/>
      <c r="AI946" s="1684"/>
      <c r="AJ946" s="1684"/>
      <c r="AK946" s="1684"/>
      <c r="AL946" s="1684"/>
      <c r="AM946" s="1684"/>
      <c r="AN946" s="1684"/>
      <c r="AO946" s="1684"/>
      <c r="AP946" s="1684"/>
      <c r="AQ946" s="1684"/>
      <c r="AR946" s="1684"/>
      <c r="AS946" s="1684"/>
      <c r="AT946" s="1684"/>
      <c r="AU946" s="1684"/>
      <c r="AV946" s="1684"/>
      <c r="AW946" s="1684"/>
      <c r="AX946" s="1684"/>
      <c r="AY946" s="1684"/>
      <c r="AZ946" s="1684"/>
      <c r="BA946" s="1684"/>
      <c r="BB946" s="1684"/>
      <c r="BC946" s="1684"/>
      <c r="BD946" s="1684"/>
      <c r="BE946" s="1684"/>
      <c r="BF946" s="1684"/>
      <c r="BG946" s="1684"/>
      <c r="BH946" s="1684"/>
      <c r="BI946" s="1684"/>
      <c r="BJ946" s="1684"/>
      <c r="BK946" s="1684"/>
      <c r="BL946" s="1684"/>
      <c r="BM946" s="1684"/>
      <c r="BN946" s="1684"/>
      <c r="BO946" s="1684"/>
      <c r="BP946" s="1684"/>
      <c r="BQ946" s="1684"/>
      <c r="BR946" s="1684"/>
      <c r="BS946" s="1684"/>
      <c r="BT946" s="1684"/>
      <c r="BU946" s="1684"/>
      <c r="BV946" s="1684"/>
      <c r="BW946" s="1684"/>
      <c r="BX946" s="1684"/>
      <c r="BY946" s="1684"/>
      <c r="BZ946" s="1684"/>
      <c r="CA946" s="1684"/>
      <c r="CB946" s="1684"/>
      <c r="CC946" s="1684"/>
      <c r="CD946" s="1684"/>
      <c r="CE946" s="1684"/>
      <c r="CF946" s="1684"/>
      <c r="CG946" s="1684"/>
      <c r="CH946" s="1684"/>
      <c r="CI946" s="1684"/>
      <c r="CJ946" s="1684"/>
      <c r="CK946" s="1684"/>
      <c r="CL946" s="1684"/>
      <c r="CM946" s="1684"/>
      <c r="CN946" s="1684"/>
      <c r="CO946" s="1684"/>
    </row>
    <row r="947" spans="1:93" s="1391" customFormat="1" ht="15" x14ac:dyDescent="0.2">
      <c r="A947" s="1684"/>
      <c r="B947" s="1684"/>
      <c r="C947" s="2013">
        <v>10</v>
      </c>
      <c r="D947" s="5">
        <v>6.6890000000000001</v>
      </c>
      <c r="E947" s="5">
        <v>195</v>
      </c>
      <c r="F947" s="5">
        <v>217</v>
      </c>
      <c r="G947" s="5">
        <v>237</v>
      </c>
      <c r="H947" s="5">
        <v>258</v>
      </c>
      <c r="I947" s="5">
        <v>278</v>
      </c>
      <c r="J947" s="5">
        <v>299</v>
      </c>
      <c r="K947" s="5">
        <v>319</v>
      </c>
      <c r="L947" s="5">
        <v>341</v>
      </c>
      <c r="M947" s="5">
        <v>360</v>
      </c>
      <c r="N947" s="5">
        <v>381</v>
      </c>
      <c r="O947" s="5">
        <v>402</v>
      </c>
      <c r="P947" s="5">
        <v>422</v>
      </c>
      <c r="Q947" s="1160">
        <v>14</v>
      </c>
      <c r="R947"/>
      <c r="S947" s="1684"/>
      <c r="T947" s="1684"/>
      <c r="U947" s="1684"/>
      <c r="V947" s="1684"/>
      <c r="W947" s="1684"/>
      <c r="X947" s="1684"/>
      <c r="Y947" s="1684"/>
      <c r="Z947" s="1684"/>
      <c r="AA947" s="1684"/>
      <c r="AB947" s="1684"/>
      <c r="AC947" s="1684"/>
      <c r="AD947" s="1684"/>
      <c r="AE947" s="1684"/>
      <c r="AF947" s="1684"/>
      <c r="AG947" s="1684"/>
      <c r="AH947" s="1684"/>
      <c r="AI947" s="1684"/>
      <c r="AJ947" s="1684"/>
      <c r="AK947" s="1684"/>
      <c r="AL947" s="1684"/>
      <c r="AM947" s="1684"/>
      <c r="AN947" s="1684"/>
      <c r="AO947" s="1684"/>
      <c r="AP947" s="1684"/>
      <c r="AQ947" s="1684"/>
      <c r="AR947" s="1684"/>
      <c r="AS947" s="1684"/>
      <c r="AT947" s="1684"/>
      <c r="AU947" s="1684"/>
      <c r="AV947" s="1684"/>
      <c r="AW947" s="1684"/>
      <c r="AX947" s="1684"/>
      <c r="AY947" s="1684"/>
      <c r="AZ947" s="1684"/>
      <c r="BA947" s="1684"/>
      <c r="BB947" s="1684"/>
      <c r="BC947" s="1684"/>
      <c r="BD947" s="1684"/>
      <c r="BE947" s="1684"/>
      <c r="BF947" s="1684"/>
      <c r="BG947" s="1684"/>
      <c r="BH947" s="1684"/>
      <c r="BI947" s="1684"/>
      <c r="BJ947" s="1684"/>
      <c r="BK947" s="1684"/>
      <c r="BL947" s="1684"/>
      <c r="BM947" s="1684"/>
      <c r="BN947" s="1684"/>
      <c r="BO947" s="1684"/>
      <c r="BP947" s="1684"/>
      <c r="BQ947" s="1684"/>
      <c r="BR947" s="1684"/>
      <c r="BS947" s="1684"/>
      <c r="BT947" s="1684"/>
      <c r="BU947" s="1684"/>
      <c r="BV947" s="1684"/>
      <c r="BW947" s="1684"/>
      <c r="BX947" s="1684"/>
      <c r="BY947" s="1684"/>
      <c r="BZ947" s="1684"/>
      <c r="CA947" s="1684"/>
      <c r="CB947" s="1684"/>
      <c r="CC947" s="1684"/>
      <c r="CD947" s="1684"/>
      <c r="CE947" s="1684"/>
      <c r="CF947" s="1684"/>
      <c r="CG947" s="1684"/>
      <c r="CH947" s="1684"/>
      <c r="CI947" s="1684"/>
      <c r="CJ947" s="1684"/>
      <c r="CK947" s="1684"/>
      <c r="CL947" s="1684"/>
      <c r="CM947" s="1684"/>
      <c r="CN947" s="1684"/>
      <c r="CO947" s="1684"/>
    </row>
    <row r="948" spans="1:93" s="1391" customFormat="1" ht="15" x14ac:dyDescent="0.2">
      <c r="A948" s="1684"/>
      <c r="B948" s="1684"/>
      <c r="C948" s="2013">
        <v>11</v>
      </c>
      <c r="D948" s="5">
        <v>7.17</v>
      </c>
      <c r="E948" s="5">
        <v>216</v>
      </c>
      <c r="F948" s="5">
        <v>239</v>
      </c>
      <c r="G948" s="5">
        <v>262</v>
      </c>
      <c r="H948" s="5">
        <v>285</v>
      </c>
      <c r="I948" s="5">
        <v>308</v>
      </c>
      <c r="J948" s="5">
        <v>330</v>
      </c>
      <c r="K948" s="5">
        <v>353</v>
      </c>
      <c r="L948" s="5">
        <v>377</v>
      </c>
      <c r="M948" s="5">
        <v>398</v>
      </c>
      <c r="N948" s="5">
        <v>421</v>
      </c>
      <c r="O948" s="5">
        <v>444</v>
      </c>
      <c r="P948" s="5">
        <v>466</v>
      </c>
      <c r="Q948" s="1160">
        <v>15</v>
      </c>
      <c r="R948"/>
      <c r="S948" s="1684"/>
      <c r="T948" s="1684"/>
      <c r="U948" s="1684"/>
      <c r="V948" s="1684"/>
      <c r="W948" s="1684"/>
      <c r="X948" s="1684"/>
      <c r="Y948" s="1684"/>
      <c r="Z948" s="1684"/>
      <c r="AA948" s="1684"/>
      <c r="AB948" s="1684"/>
      <c r="AC948" s="1684"/>
      <c r="AD948" s="1684"/>
      <c r="AE948" s="1684"/>
      <c r="AF948" s="1684"/>
      <c r="AG948" s="1684"/>
      <c r="AH948" s="1684"/>
      <c r="AI948" s="1684"/>
      <c r="AJ948" s="1684"/>
      <c r="AK948" s="1684"/>
      <c r="AL948" s="1684"/>
      <c r="AM948" s="1684"/>
      <c r="AN948" s="1684"/>
      <c r="AO948" s="1684"/>
      <c r="AP948" s="1684"/>
      <c r="AQ948" s="1684"/>
      <c r="AR948" s="1684"/>
      <c r="AS948" s="1684"/>
      <c r="AT948" s="1684"/>
      <c r="AU948" s="1684"/>
      <c r="AV948" s="1684"/>
      <c r="AW948" s="1684"/>
      <c r="AX948" s="1684"/>
      <c r="AY948" s="1684"/>
      <c r="AZ948" s="1684"/>
      <c r="BA948" s="1684"/>
      <c r="BB948" s="1684"/>
      <c r="BC948" s="1684"/>
      <c r="BD948" s="1684"/>
      <c r="BE948" s="1684"/>
      <c r="BF948" s="1684"/>
      <c r="BG948" s="1684"/>
      <c r="BH948" s="1684"/>
      <c r="BI948" s="1684"/>
      <c r="BJ948" s="1684"/>
      <c r="BK948" s="1684"/>
      <c r="BL948" s="1684"/>
      <c r="BM948" s="1684"/>
      <c r="BN948" s="1684"/>
      <c r="BO948" s="1684"/>
      <c r="BP948" s="1684"/>
      <c r="BQ948" s="1684"/>
      <c r="BR948" s="1684"/>
      <c r="BS948" s="1684"/>
      <c r="BT948" s="1684"/>
      <c r="BU948" s="1684"/>
      <c r="BV948" s="1684"/>
      <c r="BW948" s="1684"/>
      <c r="BX948" s="1684"/>
      <c r="BY948" s="1684"/>
      <c r="BZ948" s="1684"/>
      <c r="CA948" s="1684"/>
      <c r="CB948" s="1684"/>
      <c r="CC948" s="1684"/>
      <c r="CD948" s="1684"/>
      <c r="CE948" s="1684"/>
      <c r="CF948" s="1684"/>
      <c r="CG948" s="1684"/>
      <c r="CH948" s="1684"/>
      <c r="CI948" s="1684"/>
      <c r="CJ948" s="1684"/>
      <c r="CK948" s="1684"/>
      <c r="CL948" s="1684"/>
      <c r="CM948" s="1684"/>
      <c r="CN948" s="1684"/>
      <c r="CO948" s="1684"/>
    </row>
    <row r="949" spans="1:93" s="1391" customFormat="1" ht="15" x14ac:dyDescent="0.2">
      <c r="A949" s="1684"/>
      <c r="B949" s="1684"/>
      <c r="C949" s="2013">
        <v>12</v>
      </c>
      <c r="D949" s="5">
        <v>7.6790000000000003</v>
      </c>
      <c r="E949" s="5">
        <v>237</v>
      </c>
      <c r="F949" s="5">
        <v>263</v>
      </c>
      <c r="G949" s="5">
        <v>288</v>
      </c>
      <c r="H949" s="5">
        <v>313</v>
      </c>
      <c r="I949" s="5">
        <v>338</v>
      </c>
      <c r="J949" s="5">
        <v>363</v>
      </c>
      <c r="K949" s="5">
        <v>388</v>
      </c>
      <c r="L949" s="5">
        <v>414</v>
      </c>
      <c r="M949" s="5">
        <v>438</v>
      </c>
      <c r="N949" s="5">
        <v>463</v>
      </c>
      <c r="O949" s="5">
        <v>488</v>
      </c>
      <c r="P949" s="5">
        <v>513</v>
      </c>
      <c r="Q949" s="1160">
        <v>16</v>
      </c>
      <c r="R949"/>
      <c r="S949" s="1684"/>
      <c r="T949" s="1684"/>
      <c r="U949" s="1684"/>
      <c r="V949" s="1684"/>
      <c r="W949" s="1684"/>
      <c r="X949" s="1684"/>
      <c r="Y949" s="1684"/>
      <c r="Z949" s="1684"/>
      <c r="AA949" s="1684"/>
      <c r="AB949" s="1684"/>
      <c r="AC949" s="1684"/>
      <c r="AD949" s="1684"/>
      <c r="AE949" s="1684"/>
      <c r="AF949" s="1684"/>
      <c r="AG949" s="1684"/>
      <c r="AH949" s="1684"/>
      <c r="AI949" s="1684"/>
      <c r="AJ949" s="1684"/>
      <c r="AK949" s="1684"/>
      <c r="AL949" s="1684"/>
      <c r="AM949" s="1684"/>
      <c r="AN949" s="1684"/>
      <c r="AO949" s="1684"/>
      <c r="AP949" s="1684"/>
      <c r="AQ949" s="1684"/>
      <c r="AR949" s="1684"/>
      <c r="AS949" s="1684"/>
      <c r="AT949" s="1684"/>
      <c r="AU949" s="1684"/>
      <c r="AV949" s="1684"/>
      <c r="AW949" s="1684"/>
      <c r="AX949" s="1684"/>
      <c r="AY949" s="1684"/>
      <c r="AZ949" s="1684"/>
      <c r="BA949" s="1684"/>
      <c r="BB949" s="1684"/>
      <c r="BC949" s="1684"/>
      <c r="BD949" s="1684"/>
      <c r="BE949" s="1684"/>
      <c r="BF949" s="1684"/>
      <c r="BG949" s="1684"/>
      <c r="BH949" s="1684"/>
      <c r="BI949" s="1684"/>
      <c r="BJ949" s="1684"/>
      <c r="BK949" s="1684"/>
      <c r="BL949" s="1684"/>
      <c r="BM949" s="1684"/>
      <c r="BN949" s="1684"/>
      <c r="BO949" s="1684"/>
      <c r="BP949" s="1684"/>
      <c r="BQ949" s="1684"/>
      <c r="BR949" s="1684"/>
      <c r="BS949" s="1684"/>
      <c r="BT949" s="1684"/>
      <c r="BU949" s="1684"/>
      <c r="BV949" s="1684"/>
      <c r="BW949" s="1684"/>
      <c r="BX949" s="1684"/>
      <c r="BY949" s="1684"/>
      <c r="BZ949" s="1684"/>
      <c r="CA949" s="1684"/>
      <c r="CB949" s="1684"/>
      <c r="CC949" s="1684"/>
      <c r="CD949" s="1684"/>
      <c r="CE949" s="1684"/>
      <c r="CF949" s="1684"/>
      <c r="CG949" s="1684"/>
      <c r="CH949" s="1684"/>
      <c r="CI949" s="1684"/>
      <c r="CJ949" s="1684"/>
      <c r="CK949" s="1684"/>
      <c r="CL949" s="1684"/>
      <c r="CM949" s="1684"/>
      <c r="CN949" s="1684"/>
      <c r="CO949" s="1684"/>
    </row>
    <row r="950" spans="1:93" s="1391" customFormat="1" ht="15" x14ac:dyDescent="0.2">
      <c r="A950" s="1684"/>
      <c r="B950" s="1684"/>
      <c r="C950" s="2013">
        <v>13</v>
      </c>
      <c r="D950" s="5">
        <v>8.2010000000000005</v>
      </c>
      <c r="E950" s="5">
        <v>259</v>
      </c>
      <c r="F950" s="5">
        <v>288</v>
      </c>
      <c r="G950" s="5">
        <v>315</v>
      </c>
      <c r="H950" s="5">
        <v>342</v>
      </c>
      <c r="I950" s="5">
        <v>370</v>
      </c>
      <c r="J950" s="5">
        <v>397</v>
      </c>
      <c r="K950" s="5">
        <v>424</v>
      </c>
      <c r="L950" s="5">
        <v>453</v>
      </c>
      <c r="M950" s="5">
        <v>479</v>
      </c>
      <c r="N950" s="5">
        <v>506</v>
      </c>
      <c r="O950" s="5">
        <v>533</v>
      </c>
      <c r="P950" s="5">
        <v>561</v>
      </c>
      <c r="Q950" s="1160">
        <v>17</v>
      </c>
      <c r="R950"/>
      <c r="S950" s="1684"/>
      <c r="T950" s="1684"/>
      <c r="U950" s="1684"/>
      <c r="V950" s="1684"/>
      <c r="W950" s="1684"/>
      <c r="X950" s="1684"/>
      <c r="Y950" s="1684"/>
      <c r="Z950" s="1684"/>
      <c r="AA950" s="1684"/>
      <c r="AB950" s="1684"/>
      <c r="AC950" s="1684"/>
      <c r="AD950" s="1684"/>
      <c r="AE950" s="1684"/>
      <c r="AF950" s="1684"/>
      <c r="AG950" s="1684"/>
      <c r="AH950" s="1684"/>
      <c r="AI950" s="1684"/>
      <c r="AJ950" s="1684"/>
      <c r="AK950" s="1684"/>
      <c r="AL950" s="1684"/>
      <c r="AM950" s="1684"/>
      <c r="AN950" s="1684"/>
      <c r="AO950" s="1684"/>
      <c r="AP950" s="1684"/>
      <c r="AQ950" s="1684"/>
      <c r="AR950" s="1684"/>
      <c r="AS950" s="1684"/>
      <c r="AT950" s="1684"/>
      <c r="AU950" s="1684"/>
      <c r="AV950" s="1684"/>
      <c r="AW950" s="1684"/>
      <c r="AX950" s="1684"/>
      <c r="AY950" s="1684"/>
      <c r="AZ950" s="1684"/>
      <c r="BA950" s="1684"/>
      <c r="BB950" s="1684"/>
      <c r="BC950" s="1684"/>
      <c r="BD950" s="1684"/>
      <c r="BE950" s="1684"/>
      <c r="BF950" s="1684"/>
      <c r="BG950" s="1684"/>
      <c r="BH950" s="1684"/>
      <c r="BI950" s="1684"/>
      <c r="BJ950" s="1684"/>
      <c r="BK950" s="1684"/>
      <c r="BL950" s="1684"/>
      <c r="BM950" s="1684"/>
      <c r="BN950" s="1684"/>
      <c r="BO950" s="1684"/>
      <c r="BP950" s="1684"/>
      <c r="BQ950" s="1684"/>
      <c r="BR950" s="1684"/>
      <c r="BS950" s="1684"/>
      <c r="BT950" s="1684"/>
      <c r="BU950" s="1684"/>
      <c r="BV950" s="1684"/>
      <c r="BW950" s="1684"/>
      <c r="BX950" s="1684"/>
      <c r="BY950" s="1684"/>
      <c r="BZ950" s="1684"/>
      <c r="CA950" s="1684"/>
      <c r="CB950" s="1684"/>
      <c r="CC950" s="1684"/>
      <c r="CD950" s="1684"/>
      <c r="CE950" s="1684"/>
      <c r="CF950" s="1684"/>
      <c r="CG950" s="1684"/>
      <c r="CH950" s="1684"/>
      <c r="CI950" s="1684"/>
      <c r="CJ950" s="1684"/>
      <c r="CK950" s="1684"/>
      <c r="CL950" s="1684"/>
      <c r="CM950" s="1684"/>
      <c r="CN950" s="1684"/>
      <c r="CO950" s="1684"/>
    </row>
    <row r="951" spans="1:93" s="1391" customFormat="1" ht="15" x14ac:dyDescent="0.2">
      <c r="A951" s="1684"/>
      <c r="B951" s="1684"/>
      <c r="C951" s="2013">
        <v>14</v>
      </c>
      <c r="D951" s="5">
        <v>8.7579999999999991</v>
      </c>
      <c r="E951" s="5">
        <v>283</v>
      </c>
      <c r="F951" s="5">
        <v>314</v>
      </c>
      <c r="G951" s="5">
        <v>344</v>
      </c>
      <c r="H951" s="5">
        <v>373</v>
      </c>
      <c r="I951" s="5">
        <v>403</v>
      </c>
      <c r="J951" s="5">
        <v>433</v>
      </c>
      <c r="K951" s="5">
        <v>463</v>
      </c>
      <c r="L951" s="5">
        <v>494</v>
      </c>
      <c r="M951" s="5">
        <v>522</v>
      </c>
      <c r="N951" s="5">
        <v>552</v>
      </c>
      <c r="O951" s="5">
        <v>582</v>
      </c>
      <c r="P951" s="5">
        <v>611</v>
      </c>
      <c r="Q951" s="1160">
        <v>18</v>
      </c>
      <c r="R951"/>
      <c r="S951" s="1684"/>
      <c r="T951" s="1684"/>
      <c r="U951" s="1684"/>
      <c r="V951" s="1684"/>
      <c r="W951" s="1684"/>
      <c r="X951" s="1684"/>
      <c r="Y951" s="1684"/>
      <c r="Z951" s="1684"/>
      <c r="AA951" s="1684"/>
      <c r="AB951" s="1684"/>
      <c r="AC951" s="1684"/>
      <c r="AD951" s="1684"/>
      <c r="AE951" s="1684"/>
      <c r="AF951" s="1684"/>
      <c r="AG951" s="1684"/>
      <c r="AH951" s="1684"/>
      <c r="AI951" s="1684"/>
      <c r="AJ951" s="1684"/>
      <c r="AK951" s="1684"/>
      <c r="AL951" s="1684"/>
      <c r="AM951" s="1684"/>
      <c r="AN951" s="1684"/>
      <c r="AO951" s="1684"/>
      <c r="AP951" s="1684"/>
      <c r="AQ951" s="1684"/>
      <c r="AR951" s="1684"/>
      <c r="AS951" s="1684"/>
      <c r="AT951" s="1684"/>
      <c r="AU951" s="1684"/>
      <c r="AV951" s="1684"/>
      <c r="AW951" s="1684"/>
      <c r="AX951" s="1684"/>
      <c r="AY951" s="1684"/>
      <c r="AZ951" s="1684"/>
      <c r="BA951" s="1684"/>
      <c r="BB951" s="1684"/>
      <c r="BC951" s="1684"/>
      <c r="BD951" s="1684"/>
      <c r="BE951" s="1684"/>
      <c r="BF951" s="1684"/>
      <c r="BG951" s="1684"/>
      <c r="BH951" s="1684"/>
      <c r="BI951" s="1684"/>
      <c r="BJ951" s="1684"/>
      <c r="BK951" s="1684"/>
      <c r="BL951" s="1684"/>
      <c r="BM951" s="1684"/>
      <c r="BN951" s="1684"/>
      <c r="BO951" s="1684"/>
      <c r="BP951" s="1684"/>
      <c r="BQ951" s="1684"/>
      <c r="BR951" s="1684"/>
      <c r="BS951" s="1684"/>
      <c r="BT951" s="1684"/>
      <c r="BU951" s="1684"/>
      <c r="BV951" s="1684"/>
      <c r="BW951" s="1684"/>
      <c r="BX951" s="1684"/>
      <c r="BY951" s="1684"/>
      <c r="BZ951" s="1684"/>
      <c r="CA951" s="1684"/>
      <c r="CB951" s="1684"/>
      <c r="CC951" s="1684"/>
      <c r="CD951" s="1684"/>
      <c r="CE951" s="1684"/>
      <c r="CF951" s="1684"/>
      <c r="CG951" s="1684"/>
      <c r="CH951" s="1684"/>
      <c r="CI951" s="1684"/>
      <c r="CJ951" s="1684"/>
      <c r="CK951" s="1684"/>
      <c r="CL951" s="1684"/>
      <c r="CM951" s="1684"/>
      <c r="CN951" s="1684"/>
      <c r="CO951" s="1684"/>
    </row>
    <row r="952" spans="1:93" s="1391" customFormat="1" ht="15" x14ac:dyDescent="0.2">
      <c r="A952" s="1684"/>
      <c r="B952" s="1684"/>
      <c r="C952" s="2013">
        <v>15</v>
      </c>
      <c r="D952" s="5">
        <v>9.34</v>
      </c>
      <c r="E952" s="5">
        <v>307</v>
      </c>
      <c r="F952" s="5">
        <v>341</v>
      </c>
      <c r="G952" s="5">
        <v>373</v>
      </c>
      <c r="H952" s="5">
        <v>405</v>
      </c>
      <c r="I952" s="5">
        <v>438</v>
      </c>
      <c r="J952" s="5">
        <v>470</v>
      </c>
      <c r="K952" s="5">
        <v>502</v>
      </c>
      <c r="L952" s="5">
        <v>536</v>
      </c>
      <c r="M952" s="5">
        <v>567</v>
      </c>
      <c r="N952" s="5">
        <v>599</v>
      </c>
      <c r="O952" s="5">
        <v>631</v>
      </c>
      <c r="P952" s="5">
        <v>664</v>
      </c>
      <c r="Q952" s="1160">
        <v>19</v>
      </c>
      <c r="R952"/>
      <c r="S952" s="1684"/>
      <c r="T952" s="1684"/>
      <c r="U952" s="1684"/>
      <c r="V952" s="1684"/>
      <c r="W952" s="1684"/>
      <c r="X952" s="1684"/>
      <c r="Y952" s="1684"/>
      <c r="Z952" s="1684"/>
      <c r="AA952" s="1684"/>
      <c r="AB952" s="1684"/>
      <c r="AC952" s="1684"/>
      <c r="AD952" s="1684"/>
      <c r="AE952" s="1684"/>
      <c r="AF952" s="1684"/>
      <c r="AG952" s="1684"/>
      <c r="AH952" s="1684"/>
      <c r="AI952" s="1684"/>
      <c r="AJ952" s="1684"/>
      <c r="AK952" s="1684"/>
      <c r="AL952" s="1684"/>
      <c r="AM952" s="1684"/>
      <c r="AN952" s="1684"/>
      <c r="AO952" s="1684"/>
      <c r="AP952" s="1684"/>
      <c r="AQ952" s="1684"/>
      <c r="AR952" s="1684"/>
      <c r="AS952" s="1684"/>
      <c r="AT952" s="1684"/>
      <c r="AU952" s="1684"/>
      <c r="AV952" s="1684"/>
      <c r="AW952" s="1684"/>
      <c r="AX952" s="1684"/>
      <c r="AY952" s="1684"/>
      <c r="AZ952" s="1684"/>
      <c r="BA952" s="1684"/>
      <c r="BB952" s="1684"/>
      <c r="BC952" s="1684"/>
      <c r="BD952" s="1684"/>
      <c r="BE952" s="1684"/>
      <c r="BF952" s="1684"/>
      <c r="BG952" s="1684"/>
      <c r="BH952" s="1684"/>
      <c r="BI952" s="1684"/>
      <c r="BJ952" s="1684"/>
      <c r="BK952" s="1684"/>
      <c r="BL952" s="1684"/>
      <c r="BM952" s="1684"/>
      <c r="BN952" s="1684"/>
      <c r="BO952" s="1684"/>
      <c r="BP952" s="1684"/>
      <c r="BQ952" s="1684"/>
      <c r="BR952" s="1684"/>
      <c r="BS952" s="1684"/>
      <c r="BT952" s="1684"/>
      <c r="BU952" s="1684"/>
      <c r="BV952" s="1684"/>
      <c r="BW952" s="1684"/>
      <c r="BX952" s="1684"/>
      <c r="BY952" s="1684"/>
      <c r="BZ952" s="1684"/>
      <c r="CA952" s="1684"/>
      <c r="CB952" s="1684"/>
      <c r="CC952" s="1684"/>
      <c r="CD952" s="1684"/>
      <c r="CE952" s="1684"/>
      <c r="CF952" s="1684"/>
      <c r="CG952" s="1684"/>
      <c r="CH952" s="1684"/>
      <c r="CI952" s="1684"/>
      <c r="CJ952" s="1684"/>
      <c r="CK952" s="1684"/>
      <c r="CL952" s="1684"/>
      <c r="CM952" s="1684"/>
      <c r="CN952" s="1684"/>
      <c r="CO952" s="1684"/>
    </row>
    <row r="953" spans="1:93" s="1391" customFormat="1" ht="15" x14ac:dyDescent="0.2">
      <c r="A953" s="1684"/>
      <c r="B953" s="1684"/>
      <c r="C953" s="2013">
        <v>16</v>
      </c>
      <c r="D953" s="5">
        <v>10.074999999999999</v>
      </c>
      <c r="E953" s="5">
        <v>330</v>
      </c>
      <c r="F953" s="5">
        <v>367</v>
      </c>
      <c r="G953" s="5">
        <v>402</v>
      </c>
      <c r="H953" s="5">
        <v>437</v>
      </c>
      <c r="I953" s="5">
        <v>472</v>
      </c>
      <c r="J953" s="5">
        <v>506</v>
      </c>
      <c r="K953" s="5">
        <v>541</v>
      </c>
      <c r="L953" s="5">
        <v>578</v>
      </c>
      <c r="M953" s="5">
        <v>611</v>
      </c>
      <c r="N953" s="5">
        <v>643</v>
      </c>
      <c r="O953" s="5">
        <v>680</v>
      </c>
      <c r="P953" s="5">
        <v>715</v>
      </c>
      <c r="Q953" s="1160">
        <v>20</v>
      </c>
      <c r="R953"/>
      <c r="S953" s="1684"/>
      <c r="T953" s="1684"/>
      <c r="U953" s="1684"/>
      <c r="V953" s="1684"/>
      <c r="W953" s="1684"/>
      <c r="X953" s="1684"/>
      <c r="Y953" s="1684"/>
      <c r="Z953" s="1684"/>
      <c r="AA953" s="1684"/>
      <c r="AB953" s="1684"/>
      <c r="AC953" s="1684"/>
      <c r="AD953" s="1684"/>
      <c r="AE953" s="1684"/>
      <c r="AF953" s="1684"/>
      <c r="AG953" s="1684"/>
      <c r="AH953" s="1684"/>
      <c r="AI953" s="1684"/>
      <c r="AJ953" s="1684"/>
      <c r="AK953" s="1684"/>
      <c r="AL953" s="1684"/>
      <c r="AM953" s="1684"/>
      <c r="AN953" s="1684"/>
      <c r="AO953" s="1684"/>
      <c r="AP953" s="1684"/>
      <c r="AQ953" s="1684"/>
      <c r="AR953" s="1684"/>
      <c r="AS953" s="1684"/>
      <c r="AT953" s="1684"/>
      <c r="AU953" s="1684"/>
      <c r="AV953" s="1684"/>
      <c r="AW953" s="1684"/>
      <c r="AX953" s="1684"/>
      <c r="AY953" s="1684"/>
      <c r="AZ953" s="1684"/>
      <c r="BA953" s="1684"/>
      <c r="BB953" s="1684"/>
      <c r="BC953" s="1684"/>
      <c r="BD953" s="1684"/>
      <c r="BE953" s="1684"/>
      <c r="BF953" s="1684"/>
      <c r="BG953" s="1684"/>
      <c r="BH953" s="1684"/>
      <c r="BI953" s="1684"/>
      <c r="BJ953" s="1684"/>
      <c r="BK953" s="1684"/>
      <c r="BL953" s="1684"/>
      <c r="BM953" s="1684"/>
      <c r="BN953" s="1684"/>
      <c r="BO953" s="1684"/>
      <c r="BP953" s="1684"/>
      <c r="BQ953" s="1684"/>
      <c r="BR953" s="1684"/>
      <c r="BS953" s="1684"/>
      <c r="BT953" s="1684"/>
      <c r="BU953" s="1684"/>
      <c r="BV953" s="1684"/>
      <c r="BW953" s="1684"/>
      <c r="BX953" s="1684"/>
      <c r="BY953" s="1684"/>
      <c r="BZ953" s="1684"/>
      <c r="CA953" s="1684"/>
      <c r="CB953" s="1684"/>
      <c r="CC953" s="1684"/>
      <c r="CD953" s="1684"/>
      <c r="CE953" s="1684"/>
      <c r="CF953" s="1684"/>
      <c r="CG953" s="1684"/>
      <c r="CH953" s="1684"/>
      <c r="CI953" s="1684"/>
      <c r="CJ953" s="1684"/>
      <c r="CK953" s="1684"/>
      <c r="CL953" s="1684"/>
      <c r="CM953" s="1684"/>
      <c r="CN953" s="1684"/>
      <c r="CO953" s="1684"/>
    </row>
    <row r="954" spans="1:93" s="1391" customFormat="1" ht="15" x14ac:dyDescent="0.2">
      <c r="A954" s="1684"/>
      <c r="B954" s="1684"/>
      <c r="C954" s="2013">
        <v>17</v>
      </c>
      <c r="D954" s="5">
        <v>10.852</v>
      </c>
      <c r="E954" s="5">
        <v>353</v>
      </c>
      <c r="F954" s="5">
        <v>392</v>
      </c>
      <c r="G954" s="5">
        <v>429</v>
      </c>
      <c r="H954" s="5">
        <v>466</v>
      </c>
      <c r="I954" s="5">
        <v>503</v>
      </c>
      <c r="J954" s="5">
        <v>540</v>
      </c>
      <c r="K954" s="5">
        <v>577</v>
      </c>
      <c r="L954" s="5">
        <v>616</v>
      </c>
      <c r="M954" s="5">
        <v>652</v>
      </c>
      <c r="N954" s="5">
        <v>689</v>
      </c>
      <c r="O954" s="5">
        <v>726</v>
      </c>
      <c r="P954" s="5">
        <v>763</v>
      </c>
      <c r="Q954" s="1160">
        <v>21</v>
      </c>
      <c r="R954"/>
      <c r="S954" s="1684"/>
      <c r="T954" s="1684"/>
      <c r="U954" s="1684"/>
      <c r="V954" s="1684"/>
      <c r="W954" s="1684"/>
      <c r="X954" s="1684"/>
      <c r="Y954" s="1684"/>
      <c r="Z954" s="1684"/>
      <c r="AA954" s="1684"/>
      <c r="AB954" s="1684"/>
      <c r="AC954" s="1684"/>
      <c r="AD954" s="1684"/>
      <c r="AE954" s="1684"/>
      <c r="AF954" s="1684"/>
      <c r="AG954" s="1684"/>
      <c r="AH954" s="1684"/>
      <c r="AI954" s="1684"/>
      <c r="AJ954" s="1684"/>
      <c r="AK954" s="1684"/>
      <c r="AL954" s="1684"/>
      <c r="AM954" s="1684"/>
      <c r="AN954" s="1684"/>
      <c r="AO954" s="1684"/>
      <c r="AP954" s="1684"/>
      <c r="AQ954" s="1684"/>
      <c r="AR954" s="1684"/>
      <c r="AS954" s="1684"/>
      <c r="AT954" s="1684"/>
      <c r="AU954" s="1684"/>
      <c r="AV954" s="1684"/>
      <c r="AW954" s="1684"/>
      <c r="AX954" s="1684"/>
      <c r="AY954" s="1684"/>
      <c r="AZ954" s="1684"/>
      <c r="BA954" s="1684"/>
      <c r="BB954" s="1684"/>
      <c r="BC954" s="1684"/>
      <c r="BD954" s="1684"/>
      <c r="BE954" s="1684"/>
      <c r="BF954" s="1684"/>
      <c r="BG954" s="1684"/>
      <c r="BH954" s="1684"/>
      <c r="BI954" s="1684"/>
      <c r="BJ954" s="1684"/>
      <c r="BK954" s="1684"/>
      <c r="BL954" s="1684"/>
      <c r="BM954" s="1684"/>
      <c r="BN954" s="1684"/>
      <c r="BO954" s="1684"/>
      <c r="BP954" s="1684"/>
      <c r="BQ954" s="1684"/>
      <c r="BR954" s="1684"/>
      <c r="BS954" s="1684"/>
      <c r="BT954" s="1684"/>
      <c r="BU954" s="1684"/>
      <c r="BV954" s="1684"/>
      <c r="BW954" s="1684"/>
      <c r="BX954" s="1684"/>
      <c r="BY954" s="1684"/>
      <c r="BZ954" s="1684"/>
      <c r="CA954" s="1684"/>
      <c r="CB954" s="1684"/>
      <c r="CC954" s="1684"/>
      <c r="CD954" s="1684"/>
      <c r="CE954" s="1684"/>
      <c r="CF954" s="1684"/>
      <c r="CG954" s="1684"/>
      <c r="CH954" s="1684"/>
      <c r="CI954" s="1684"/>
      <c r="CJ954" s="1684"/>
      <c r="CK954" s="1684"/>
      <c r="CL954" s="1684"/>
      <c r="CM954" s="1684"/>
      <c r="CN954" s="1684"/>
      <c r="CO954" s="1684"/>
    </row>
    <row r="955" spans="1:93" s="1391" customFormat="1" ht="15" x14ac:dyDescent="0.2">
      <c r="A955" s="1684"/>
      <c r="B955" s="1684"/>
      <c r="C955" s="2013">
        <v>18</v>
      </c>
      <c r="D955" s="5">
        <v>11.363</v>
      </c>
      <c r="E955" s="5">
        <v>373</v>
      </c>
      <c r="F955" s="5">
        <v>414</v>
      </c>
      <c r="G955" s="5">
        <v>454</v>
      </c>
      <c r="H955" s="5">
        <v>493</v>
      </c>
      <c r="I955" s="5">
        <v>532</v>
      </c>
      <c r="J955" s="5">
        <v>572</v>
      </c>
      <c r="K955" s="5">
        <v>611</v>
      </c>
      <c r="L955" s="5">
        <v>652</v>
      </c>
      <c r="M955" s="5">
        <v>689</v>
      </c>
      <c r="N955" s="5">
        <v>729</v>
      </c>
      <c r="O955" s="5">
        <v>768</v>
      </c>
      <c r="P955" s="5">
        <v>807</v>
      </c>
      <c r="Q955" s="1160">
        <v>22</v>
      </c>
      <c r="R955"/>
      <c r="S955" s="1684"/>
      <c r="T955" s="1684"/>
      <c r="U955" s="1684"/>
      <c r="V955" s="1684"/>
      <c r="W955" s="1684"/>
      <c r="X955" s="1684"/>
      <c r="Y955" s="1684"/>
      <c r="Z955" s="1684"/>
      <c r="AA955" s="1684"/>
      <c r="AB955" s="1684"/>
      <c r="AC955" s="1684"/>
      <c r="AD955" s="1684"/>
      <c r="AE955" s="1684"/>
      <c r="AF955" s="1684"/>
      <c r="AG955" s="1684"/>
      <c r="AH955" s="1684"/>
      <c r="AI955" s="1684"/>
      <c r="AJ955" s="1684"/>
      <c r="AK955" s="1684"/>
      <c r="AL955" s="1684"/>
      <c r="AM955" s="1684"/>
      <c r="AN955" s="1684"/>
      <c r="AO955" s="1684"/>
      <c r="AP955" s="1684"/>
      <c r="AQ955" s="1684"/>
      <c r="AR955" s="1684"/>
      <c r="AS955" s="1684"/>
      <c r="AT955" s="1684"/>
      <c r="AU955" s="1684"/>
      <c r="AV955" s="1684"/>
      <c r="AW955" s="1684"/>
      <c r="AX955" s="1684"/>
      <c r="AY955" s="1684"/>
      <c r="AZ955" s="1684"/>
      <c r="BA955" s="1684"/>
      <c r="BB955" s="1684"/>
      <c r="BC955" s="1684"/>
      <c r="BD955" s="1684"/>
      <c r="BE955" s="1684"/>
      <c r="BF955" s="1684"/>
      <c r="BG955" s="1684"/>
      <c r="BH955" s="1684"/>
      <c r="BI955" s="1684"/>
      <c r="BJ955" s="1684"/>
      <c r="BK955" s="1684"/>
      <c r="BL955" s="1684"/>
      <c r="BM955" s="1684"/>
      <c r="BN955" s="1684"/>
      <c r="BO955" s="1684"/>
      <c r="BP955" s="1684"/>
      <c r="BQ955" s="1684"/>
      <c r="BR955" s="1684"/>
      <c r="BS955" s="1684"/>
      <c r="BT955" s="1684"/>
      <c r="BU955" s="1684"/>
      <c r="BV955" s="1684"/>
      <c r="BW955" s="1684"/>
      <c r="BX955" s="1684"/>
      <c r="BY955" s="1684"/>
      <c r="BZ955" s="1684"/>
      <c r="CA955" s="1684"/>
      <c r="CB955" s="1684"/>
      <c r="CC955" s="1684"/>
      <c r="CD955" s="1684"/>
      <c r="CE955" s="1684"/>
      <c r="CF955" s="1684"/>
      <c r="CG955" s="1684"/>
      <c r="CH955" s="1684"/>
      <c r="CI955" s="1684"/>
      <c r="CJ955" s="1684"/>
      <c r="CK955" s="1684"/>
      <c r="CL955" s="1684"/>
      <c r="CM955" s="1684"/>
      <c r="CN955" s="1684"/>
      <c r="CO955" s="1684"/>
    </row>
    <row r="956" spans="1:93" s="1391" customFormat="1" ht="15" x14ac:dyDescent="0.2">
      <c r="A956" s="1684"/>
      <c r="B956" s="1684"/>
      <c r="C956" s="4680" t="s">
        <v>3692</v>
      </c>
      <c r="D956" s="4681"/>
      <c r="E956" s="4681"/>
      <c r="F956" s="4681"/>
      <c r="G956" s="4681"/>
      <c r="H956" s="4681"/>
      <c r="I956" s="4681"/>
      <c r="J956" s="4681"/>
      <c r="K956" s="4681"/>
      <c r="L956" s="4681"/>
      <c r="M956" s="4681"/>
      <c r="N956" s="4681"/>
      <c r="O956" s="4681"/>
      <c r="P956" s="4681"/>
      <c r="Q956" s="4682"/>
      <c r="R956"/>
      <c r="S956" s="1684"/>
      <c r="T956" s="1684"/>
      <c r="U956" s="1684"/>
      <c r="V956" s="1684"/>
      <c r="W956" s="1684"/>
      <c r="X956" s="1684"/>
      <c r="Y956" s="1684"/>
      <c r="Z956" s="1684"/>
      <c r="AA956" s="1684"/>
      <c r="AB956" s="1684"/>
      <c r="AC956" s="1684"/>
      <c r="AD956" s="1684"/>
      <c r="AE956" s="1684"/>
      <c r="AF956" s="1684"/>
      <c r="AG956" s="1684"/>
      <c r="AH956" s="1684"/>
      <c r="AI956" s="1684"/>
      <c r="AJ956" s="1684"/>
      <c r="AK956" s="1684"/>
      <c r="AL956" s="1684"/>
      <c r="AM956" s="1684"/>
      <c r="AN956" s="1684"/>
      <c r="AO956" s="1684"/>
      <c r="AP956" s="1684"/>
      <c r="AQ956" s="1684"/>
      <c r="AR956" s="1684"/>
      <c r="AS956" s="1684"/>
      <c r="AT956" s="1684"/>
      <c r="AU956" s="1684"/>
      <c r="AV956" s="1684"/>
      <c r="AW956" s="1684"/>
      <c r="AX956" s="1684"/>
      <c r="AY956" s="1684"/>
      <c r="AZ956" s="1684"/>
      <c r="BA956" s="1684"/>
      <c r="BB956" s="1684"/>
      <c r="BC956" s="1684"/>
      <c r="BD956" s="1684"/>
      <c r="BE956" s="1684"/>
      <c r="BF956" s="1684"/>
      <c r="BG956" s="1684"/>
      <c r="BH956" s="1684"/>
      <c r="BI956" s="1684"/>
      <c r="BJ956" s="1684"/>
      <c r="BK956" s="1684"/>
      <c r="BL956" s="1684"/>
      <c r="BM956" s="1684"/>
      <c r="BN956" s="1684"/>
      <c r="BO956" s="1684"/>
      <c r="BP956" s="1684"/>
      <c r="BQ956" s="1684"/>
      <c r="BR956" s="1684"/>
      <c r="BS956" s="1684"/>
      <c r="BT956" s="1684"/>
      <c r="BU956" s="1684"/>
      <c r="BV956" s="1684"/>
      <c r="BW956" s="1684"/>
      <c r="BX956" s="1684"/>
      <c r="BY956" s="1684"/>
      <c r="BZ956" s="1684"/>
      <c r="CA956" s="1684"/>
      <c r="CB956" s="1684"/>
      <c r="CC956" s="1684"/>
      <c r="CD956" s="1684"/>
      <c r="CE956" s="1684"/>
      <c r="CF956" s="1684"/>
      <c r="CG956" s="1684"/>
      <c r="CH956" s="1684"/>
      <c r="CI956" s="1684"/>
      <c r="CJ956" s="1684"/>
      <c r="CK956" s="1684"/>
      <c r="CL956" s="1684"/>
      <c r="CM956" s="1684"/>
      <c r="CN956" s="1684"/>
      <c r="CO956" s="1684"/>
    </row>
    <row r="957" spans="1:93" s="1391" customFormat="1" ht="15" x14ac:dyDescent="0.2">
      <c r="A957" s="1684"/>
      <c r="B957" s="1684"/>
      <c r="C957" s="4680"/>
      <c r="D957" s="4681"/>
      <c r="E957" s="4681"/>
      <c r="F957" s="4681"/>
      <c r="G957" s="4681"/>
      <c r="H957" s="4681"/>
      <c r="I957" s="4681"/>
      <c r="J957" s="4681"/>
      <c r="K957" s="4681"/>
      <c r="L957" s="4681"/>
      <c r="M957" s="4681"/>
      <c r="N957" s="4681"/>
      <c r="O957" s="4681"/>
      <c r="P957" s="4681"/>
      <c r="Q957" s="4682"/>
      <c r="R957"/>
      <c r="S957" s="1684"/>
      <c r="T957" s="1684"/>
      <c r="U957" s="1684"/>
      <c r="V957" s="1684"/>
      <c r="W957" s="1684"/>
      <c r="X957" s="1684"/>
      <c r="Y957" s="1684"/>
      <c r="Z957" s="1684"/>
      <c r="AA957" s="1684"/>
      <c r="AB957" s="1684"/>
      <c r="AC957" s="1684"/>
      <c r="AD957" s="1684"/>
      <c r="AE957" s="1684"/>
      <c r="AF957" s="1684"/>
      <c r="AG957" s="1684"/>
      <c r="AH957" s="1684"/>
      <c r="AI957" s="1684"/>
      <c r="AJ957" s="1684"/>
      <c r="AK957" s="1684"/>
      <c r="AL957" s="1684"/>
      <c r="AM957" s="1684"/>
      <c r="AN957" s="1684"/>
      <c r="AO957" s="1684"/>
      <c r="AP957" s="1684"/>
      <c r="AQ957" s="1684"/>
      <c r="AR957" s="1684"/>
      <c r="AS957" s="1684"/>
      <c r="AT957" s="1684"/>
      <c r="AU957" s="1684"/>
      <c r="AV957" s="1684"/>
      <c r="AW957" s="1684"/>
      <c r="AX957" s="1684"/>
      <c r="AY957" s="1684"/>
      <c r="AZ957" s="1684"/>
      <c r="BA957" s="1684"/>
      <c r="BB957" s="1684"/>
      <c r="BC957" s="1684"/>
      <c r="BD957" s="1684"/>
      <c r="BE957" s="1684"/>
      <c r="BF957" s="1684"/>
      <c r="BG957" s="1684"/>
      <c r="BH957" s="1684"/>
      <c r="BI957" s="1684"/>
      <c r="BJ957" s="1684"/>
      <c r="BK957" s="1684"/>
      <c r="BL957" s="1684"/>
      <c r="BM957" s="1684"/>
      <c r="BN957" s="1684"/>
      <c r="BO957" s="1684"/>
      <c r="BP957" s="1684"/>
      <c r="BQ957" s="1684"/>
      <c r="BR957" s="1684"/>
      <c r="BS957" s="1684"/>
      <c r="BT957" s="1684"/>
      <c r="BU957" s="1684"/>
      <c r="BV957" s="1684"/>
      <c r="BW957" s="1684"/>
      <c r="BX957" s="1684"/>
      <c r="BY957" s="1684"/>
      <c r="BZ957" s="1684"/>
      <c r="CA957" s="1684"/>
      <c r="CB957" s="1684"/>
      <c r="CC957" s="1684"/>
      <c r="CD957" s="1684"/>
      <c r="CE957" s="1684"/>
      <c r="CF957" s="1684"/>
      <c r="CG957" s="1684"/>
      <c r="CH957" s="1684"/>
      <c r="CI957" s="1684"/>
      <c r="CJ957" s="1684"/>
      <c r="CK957" s="1684"/>
      <c r="CL957" s="1684"/>
      <c r="CM957" s="1684"/>
      <c r="CN957" s="1684"/>
      <c r="CO957" s="1684"/>
    </row>
    <row r="958" spans="1:93" s="1391" customFormat="1" ht="15" x14ac:dyDescent="0.2">
      <c r="A958" s="1684"/>
      <c r="B958" s="1684"/>
      <c r="C958" s="2014"/>
      <c r="D958" s="2015"/>
      <c r="E958" s="2015">
        <v>1</v>
      </c>
      <c r="F958" s="2015">
        <v>2</v>
      </c>
      <c r="G958" s="2015">
        <v>3</v>
      </c>
      <c r="H958" s="2015">
        <v>4</v>
      </c>
      <c r="I958" s="2015">
        <v>5</v>
      </c>
      <c r="J958" s="2015">
        <v>6</v>
      </c>
      <c r="K958" s="2015">
        <v>7</v>
      </c>
      <c r="L958" s="2015">
        <v>8</v>
      </c>
      <c r="M958" s="2015">
        <v>9</v>
      </c>
      <c r="N958" s="2015">
        <v>10</v>
      </c>
      <c r="O958" s="2015">
        <v>11</v>
      </c>
      <c r="P958" s="2015">
        <v>12</v>
      </c>
      <c r="Q958" s="2016"/>
      <c r="R958"/>
      <c r="S958" s="1684"/>
      <c r="T958" s="1684"/>
      <c r="U958" s="1684"/>
      <c r="V958" s="1684"/>
      <c r="W958" s="1684"/>
      <c r="X958" s="1684"/>
      <c r="Y958" s="1684"/>
      <c r="Z958" s="1684"/>
      <c r="AA958" s="1684"/>
      <c r="AB958" s="1684"/>
      <c r="AC958" s="1684"/>
      <c r="AD958" s="1684"/>
      <c r="AE958" s="1684"/>
      <c r="AF958" s="1684"/>
      <c r="AG958" s="1684"/>
      <c r="AH958" s="1684"/>
      <c r="AI958" s="1684"/>
      <c r="AJ958" s="1684"/>
      <c r="AK958" s="1684"/>
      <c r="AL958" s="1684"/>
      <c r="AM958" s="1684"/>
      <c r="AN958" s="1684"/>
      <c r="AO958" s="1684"/>
      <c r="AP958" s="1684"/>
      <c r="AQ958" s="1684"/>
      <c r="AR958" s="1684"/>
      <c r="AS958" s="1684"/>
      <c r="AT958" s="1684"/>
      <c r="AU958" s="1684"/>
      <c r="AV958" s="1684"/>
      <c r="AW958" s="1684"/>
      <c r="AX958" s="1684"/>
      <c r="AY958" s="1684"/>
      <c r="AZ958" s="1684"/>
      <c r="BA958" s="1684"/>
      <c r="BB958" s="1684"/>
      <c r="BC958" s="1684"/>
      <c r="BD958" s="1684"/>
      <c r="BE958" s="1684"/>
      <c r="BF958" s="1684"/>
      <c r="BG958" s="1684"/>
      <c r="BH958" s="1684"/>
      <c r="BI958" s="1684"/>
      <c r="BJ958" s="1684"/>
      <c r="BK958" s="1684"/>
      <c r="BL958" s="1684"/>
      <c r="BM958" s="1684"/>
      <c r="BN958" s="1684"/>
      <c r="BO958" s="1684"/>
      <c r="BP958" s="1684"/>
      <c r="BQ958" s="1684"/>
      <c r="BR958" s="1684"/>
      <c r="BS958" s="1684"/>
      <c r="BT958" s="1684"/>
      <c r="BU958" s="1684"/>
      <c r="BV958" s="1684"/>
      <c r="BW958" s="1684"/>
      <c r="BX958" s="1684"/>
      <c r="BY958" s="1684"/>
      <c r="BZ958" s="1684"/>
      <c r="CA958" s="1684"/>
      <c r="CB958" s="1684"/>
      <c r="CC958" s="1684"/>
      <c r="CD958" s="1684"/>
      <c r="CE958" s="1684"/>
      <c r="CF958" s="1684"/>
      <c r="CG958" s="1684"/>
      <c r="CH958" s="1684"/>
      <c r="CI958" s="1684"/>
      <c r="CJ958" s="1684"/>
      <c r="CK958" s="1684"/>
      <c r="CL958" s="1684"/>
      <c r="CM958" s="1684"/>
      <c r="CN958" s="1684"/>
      <c r="CO958" s="1684"/>
    </row>
    <row r="959" spans="1:93" s="1391" customFormat="1" ht="15" x14ac:dyDescent="0.2">
      <c r="A959" s="1684"/>
      <c r="B959" s="1684"/>
      <c r="C959" s="2013">
        <v>8</v>
      </c>
      <c r="D959" s="5">
        <v>5.9539999999999997</v>
      </c>
      <c r="E959" s="5">
        <v>164</v>
      </c>
      <c r="F959" s="5">
        <v>182</v>
      </c>
      <c r="G959" s="5">
        <v>200</v>
      </c>
      <c r="H959" s="5">
        <v>217</v>
      </c>
      <c r="I959" s="5">
        <v>234</v>
      </c>
      <c r="J959" s="5">
        <v>251</v>
      </c>
      <c r="K959" s="5">
        <v>269</v>
      </c>
      <c r="L959" s="5">
        <v>287</v>
      </c>
      <c r="M959" s="5">
        <v>303</v>
      </c>
      <c r="N959" s="5">
        <v>320</v>
      </c>
      <c r="O959" s="5">
        <v>338</v>
      </c>
      <c r="P959" s="5">
        <v>355</v>
      </c>
      <c r="Q959" s="1160">
        <v>23</v>
      </c>
      <c r="R959"/>
      <c r="S959" s="1684"/>
      <c r="T959" s="1684"/>
      <c r="U959" s="1684"/>
      <c r="V959" s="1684"/>
      <c r="W959" s="1684"/>
      <c r="X959" s="1684"/>
      <c r="Y959" s="1684"/>
      <c r="Z959" s="1684"/>
      <c r="AA959" s="1684"/>
      <c r="AB959" s="1684"/>
      <c r="AC959" s="1684"/>
      <c r="AD959" s="1684"/>
      <c r="AE959" s="1684"/>
      <c r="AF959" s="1684"/>
      <c r="AG959" s="1684"/>
      <c r="AH959" s="1684"/>
      <c r="AI959" s="1684"/>
      <c r="AJ959" s="1684"/>
      <c r="AK959" s="1684"/>
      <c r="AL959" s="1684"/>
      <c r="AM959" s="1684"/>
      <c r="AN959" s="1684"/>
      <c r="AO959" s="1684"/>
      <c r="AP959" s="1684"/>
      <c r="AQ959" s="1684"/>
      <c r="AR959" s="1684"/>
      <c r="AS959" s="1684"/>
      <c r="AT959" s="1684"/>
      <c r="AU959" s="1684"/>
      <c r="AV959" s="1684"/>
      <c r="AW959" s="1684"/>
      <c r="AX959" s="1684"/>
      <c r="AY959" s="1684"/>
      <c r="AZ959" s="1684"/>
      <c r="BA959" s="1684"/>
      <c r="BB959" s="1684"/>
      <c r="BC959" s="1684"/>
      <c r="BD959" s="1684"/>
      <c r="BE959" s="1684"/>
      <c r="BF959" s="1684"/>
      <c r="BG959" s="1684"/>
      <c r="BH959" s="1684"/>
      <c r="BI959" s="1684"/>
      <c r="BJ959" s="1684"/>
      <c r="BK959" s="1684"/>
      <c r="BL959" s="1684"/>
      <c r="BM959" s="1684"/>
      <c r="BN959" s="1684"/>
      <c r="BO959" s="1684"/>
      <c r="BP959" s="1684"/>
      <c r="BQ959" s="1684"/>
      <c r="BR959" s="1684"/>
      <c r="BS959" s="1684"/>
      <c r="BT959" s="1684"/>
      <c r="BU959" s="1684"/>
      <c r="BV959" s="1684"/>
      <c r="BW959" s="1684"/>
      <c r="BX959" s="1684"/>
      <c r="BY959" s="1684"/>
      <c r="BZ959" s="1684"/>
      <c r="CA959" s="1684"/>
      <c r="CB959" s="1684"/>
      <c r="CC959" s="1684"/>
      <c r="CD959" s="1684"/>
      <c r="CE959" s="1684"/>
      <c r="CF959" s="1684"/>
      <c r="CG959" s="1684"/>
      <c r="CH959" s="1684"/>
      <c r="CI959" s="1684"/>
      <c r="CJ959" s="1684"/>
      <c r="CK959" s="1684"/>
      <c r="CL959" s="1684"/>
      <c r="CM959" s="1684"/>
      <c r="CN959" s="1684"/>
      <c r="CO959" s="1684"/>
    </row>
    <row r="960" spans="1:93" s="1391" customFormat="1" ht="15" x14ac:dyDescent="0.2">
      <c r="A960" s="1684"/>
      <c r="B960" s="1684"/>
      <c r="C960" s="2013">
        <v>9</v>
      </c>
      <c r="D960" s="5">
        <v>6.3689999999999998</v>
      </c>
      <c r="E960" s="5">
        <v>182</v>
      </c>
      <c r="F960" s="5">
        <v>202</v>
      </c>
      <c r="G960" s="5">
        <v>221</v>
      </c>
      <c r="H960" s="5">
        <v>240</v>
      </c>
      <c r="I960" s="5">
        <v>260</v>
      </c>
      <c r="J960" s="5">
        <v>279</v>
      </c>
      <c r="K960" s="5">
        <v>298</v>
      </c>
      <c r="L960" s="5">
        <v>318</v>
      </c>
      <c r="M960" s="5">
        <v>336</v>
      </c>
      <c r="N960" s="5">
        <v>355</v>
      </c>
      <c r="O960" s="5">
        <v>375</v>
      </c>
      <c r="P960" s="5">
        <v>394</v>
      </c>
      <c r="Q960" s="1160">
        <v>24</v>
      </c>
      <c r="R960"/>
      <c r="S960" s="1684"/>
      <c r="T960" s="1684"/>
      <c r="U960" s="1684"/>
      <c r="V960" s="1684"/>
      <c r="W960" s="1684"/>
      <c r="X960" s="1684"/>
      <c r="Y960" s="1684"/>
      <c r="Z960" s="1684"/>
      <c r="AA960" s="1684"/>
      <c r="AB960" s="1684"/>
      <c r="AC960" s="1684"/>
      <c r="AD960" s="1684"/>
      <c r="AE960" s="1684"/>
      <c r="AF960" s="1684"/>
      <c r="AG960" s="1684"/>
      <c r="AH960" s="1684"/>
      <c r="AI960" s="1684"/>
      <c r="AJ960" s="1684"/>
      <c r="AK960" s="1684"/>
      <c r="AL960" s="1684"/>
      <c r="AM960" s="1684"/>
      <c r="AN960" s="1684"/>
      <c r="AO960" s="1684"/>
      <c r="AP960" s="1684"/>
      <c r="AQ960" s="1684"/>
      <c r="AR960" s="1684"/>
      <c r="AS960" s="1684"/>
      <c r="AT960" s="1684"/>
      <c r="AU960" s="1684"/>
      <c r="AV960" s="1684"/>
      <c r="AW960" s="1684"/>
      <c r="AX960" s="1684"/>
      <c r="AY960" s="1684"/>
      <c r="AZ960" s="1684"/>
      <c r="BA960" s="1684"/>
      <c r="BB960" s="1684"/>
      <c r="BC960" s="1684"/>
      <c r="BD960" s="1684"/>
      <c r="BE960" s="1684"/>
      <c r="BF960" s="1684"/>
      <c r="BG960" s="1684"/>
      <c r="BH960" s="1684"/>
      <c r="BI960" s="1684"/>
      <c r="BJ960" s="1684"/>
      <c r="BK960" s="1684"/>
      <c r="BL960" s="1684"/>
      <c r="BM960" s="1684"/>
      <c r="BN960" s="1684"/>
      <c r="BO960" s="1684"/>
      <c r="BP960" s="1684"/>
      <c r="BQ960" s="1684"/>
      <c r="BR960" s="1684"/>
      <c r="BS960" s="1684"/>
      <c r="BT960" s="1684"/>
      <c r="BU960" s="1684"/>
      <c r="BV960" s="1684"/>
      <c r="BW960" s="1684"/>
      <c r="BX960" s="1684"/>
      <c r="BY960" s="1684"/>
      <c r="BZ960" s="1684"/>
      <c r="CA960" s="1684"/>
      <c r="CB960" s="1684"/>
      <c r="CC960" s="1684"/>
      <c r="CD960" s="1684"/>
      <c r="CE960" s="1684"/>
      <c r="CF960" s="1684"/>
      <c r="CG960" s="1684"/>
      <c r="CH960" s="1684"/>
      <c r="CI960" s="1684"/>
      <c r="CJ960" s="1684"/>
      <c r="CK960" s="1684"/>
      <c r="CL960" s="1684"/>
      <c r="CM960" s="1684"/>
      <c r="CN960" s="1684"/>
      <c r="CO960" s="1684"/>
    </row>
    <row r="961" spans="1:93" s="1391" customFormat="1" ht="15" x14ac:dyDescent="0.2">
      <c r="A961" s="1684"/>
      <c r="B961" s="1684"/>
      <c r="C961" s="2013">
        <v>10</v>
      </c>
      <c r="D961" s="5">
        <v>6.8079999999999998</v>
      </c>
      <c r="E961" s="5">
        <v>201</v>
      </c>
      <c r="F961" s="5">
        <v>223</v>
      </c>
      <c r="G961" s="5">
        <v>244</v>
      </c>
      <c r="H961" s="5">
        <v>260</v>
      </c>
      <c r="I961" s="5">
        <v>287</v>
      </c>
      <c r="J961" s="5">
        <v>308</v>
      </c>
      <c r="K961" s="5">
        <v>329</v>
      </c>
      <c r="L961" s="5">
        <v>351</v>
      </c>
      <c r="M961" s="5">
        <v>371</v>
      </c>
      <c r="N961" s="5">
        <v>392</v>
      </c>
      <c r="O961" s="5">
        <v>414</v>
      </c>
      <c r="P961" s="5">
        <v>435</v>
      </c>
      <c r="Q961" s="1160">
        <v>25</v>
      </c>
      <c r="R961"/>
      <c r="S961" s="1684"/>
      <c r="T961" s="1684"/>
      <c r="U961" s="1684"/>
      <c r="V961" s="1684"/>
      <c r="W961" s="1684"/>
      <c r="X961" s="1684"/>
      <c r="Y961" s="1684"/>
      <c r="Z961" s="1684"/>
      <c r="AA961" s="1684"/>
      <c r="AB961" s="1684"/>
      <c r="AC961" s="1684"/>
      <c r="AD961" s="1684"/>
      <c r="AE961" s="1684"/>
      <c r="AF961" s="1684"/>
      <c r="AG961" s="1684"/>
      <c r="AH961" s="1684"/>
      <c r="AI961" s="1684"/>
      <c r="AJ961" s="1684"/>
      <c r="AK961" s="1684"/>
      <c r="AL961" s="1684"/>
      <c r="AM961" s="1684"/>
      <c r="AN961" s="1684"/>
      <c r="AO961" s="1684"/>
      <c r="AP961" s="1684"/>
      <c r="AQ961" s="1684"/>
      <c r="AR961" s="1684"/>
      <c r="AS961" s="1684"/>
      <c r="AT961" s="1684"/>
      <c r="AU961" s="1684"/>
      <c r="AV961" s="1684"/>
      <c r="AW961" s="1684"/>
      <c r="AX961" s="1684"/>
      <c r="AY961" s="1684"/>
      <c r="AZ961" s="1684"/>
      <c r="BA961" s="1684"/>
      <c r="BB961" s="1684"/>
      <c r="BC961" s="1684"/>
      <c r="BD961" s="1684"/>
      <c r="BE961" s="1684"/>
      <c r="BF961" s="1684"/>
      <c r="BG961" s="1684"/>
      <c r="BH961" s="1684"/>
      <c r="BI961" s="1684"/>
      <c r="BJ961" s="1684"/>
      <c r="BK961" s="1684"/>
      <c r="BL961" s="1684"/>
      <c r="BM961" s="1684"/>
      <c r="BN961" s="1684"/>
      <c r="BO961" s="1684"/>
      <c r="BP961" s="1684"/>
      <c r="BQ961" s="1684"/>
      <c r="BR961" s="1684"/>
      <c r="BS961" s="1684"/>
      <c r="BT961" s="1684"/>
      <c r="BU961" s="1684"/>
      <c r="BV961" s="1684"/>
      <c r="BW961" s="1684"/>
      <c r="BX961" s="1684"/>
      <c r="BY961" s="1684"/>
      <c r="BZ961" s="1684"/>
      <c r="CA961" s="1684"/>
      <c r="CB961" s="1684"/>
      <c r="CC961" s="1684"/>
      <c r="CD961" s="1684"/>
      <c r="CE961" s="1684"/>
      <c r="CF961" s="1684"/>
      <c r="CG961" s="1684"/>
      <c r="CH961" s="1684"/>
      <c r="CI961" s="1684"/>
      <c r="CJ961" s="1684"/>
      <c r="CK961" s="1684"/>
      <c r="CL961" s="1684"/>
      <c r="CM961" s="1684"/>
      <c r="CN961" s="1684"/>
      <c r="CO961" s="1684"/>
    </row>
    <row r="962" spans="1:93" s="1391" customFormat="1" ht="15" x14ac:dyDescent="0.2">
      <c r="A962" s="1684"/>
      <c r="B962" s="1684"/>
      <c r="C962" s="2013">
        <v>11</v>
      </c>
      <c r="D962" s="5">
        <v>7.3049999999999997</v>
      </c>
      <c r="E962" s="5">
        <v>222</v>
      </c>
      <c r="F962" s="5">
        <v>247</v>
      </c>
      <c r="G962" s="5">
        <v>270</v>
      </c>
      <c r="H962" s="5">
        <v>294</v>
      </c>
      <c r="I962" s="5">
        <v>317</v>
      </c>
      <c r="J962" s="5">
        <v>341</v>
      </c>
      <c r="K962" s="5">
        <v>364</v>
      </c>
      <c r="L962" s="5">
        <v>389</v>
      </c>
      <c r="M962" s="5">
        <v>411</v>
      </c>
      <c r="N962" s="5">
        <v>434</v>
      </c>
      <c r="O962" s="5">
        <v>458</v>
      </c>
      <c r="P962" s="5">
        <v>481</v>
      </c>
      <c r="Q962" s="1160">
        <v>26</v>
      </c>
      <c r="R962"/>
      <c r="S962" s="1684"/>
      <c r="T962" s="1684"/>
      <c r="U962" s="1684"/>
      <c r="V962" s="1684"/>
      <c r="W962" s="1684"/>
      <c r="X962" s="1684"/>
      <c r="Y962" s="1684"/>
      <c r="Z962" s="1684"/>
      <c r="AA962" s="1684"/>
      <c r="AB962" s="1684"/>
      <c r="AC962" s="1684"/>
      <c r="AD962" s="1684"/>
      <c r="AE962" s="1684"/>
      <c r="AF962" s="1684"/>
      <c r="AG962" s="1684"/>
      <c r="AH962" s="1684"/>
      <c r="AI962" s="1684"/>
      <c r="AJ962" s="1684"/>
      <c r="AK962" s="1684"/>
      <c r="AL962" s="1684"/>
      <c r="AM962" s="1684"/>
      <c r="AN962" s="1684"/>
      <c r="AO962" s="1684"/>
      <c r="AP962" s="1684"/>
      <c r="AQ962" s="1684"/>
      <c r="AR962" s="1684"/>
      <c r="AS962" s="1684"/>
      <c r="AT962" s="1684"/>
      <c r="AU962" s="1684"/>
      <c r="AV962" s="1684"/>
      <c r="AW962" s="1684"/>
      <c r="AX962" s="1684"/>
      <c r="AY962" s="1684"/>
      <c r="AZ962" s="1684"/>
      <c r="BA962" s="1684"/>
      <c r="BB962" s="1684"/>
      <c r="BC962" s="1684"/>
      <c r="BD962" s="1684"/>
      <c r="BE962" s="1684"/>
      <c r="BF962" s="1684"/>
      <c r="BG962" s="1684"/>
      <c r="BH962" s="1684"/>
      <c r="BI962" s="1684"/>
      <c r="BJ962" s="1684"/>
      <c r="BK962" s="1684"/>
      <c r="BL962" s="1684"/>
      <c r="BM962" s="1684"/>
      <c r="BN962" s="1684"/>
      <c r="BO962" s="1684"/>
      <c r="BP962" s="1684"/>
      <c r="BQ962" s="1684"/>
      <c r="BR962" s="1684"/>
      <c r="BS962" s="1684"/>
      <c r="BT962" s="1684"/>
      <c r="BU962" s="1684"/>
      <c r="BV962" s="1684"/>
      <c r="BW962" s="1684"/>
      <c r="BX962" s="1684"/>
      <c r="BY962" s="1684"/>
      <c r="BZ962" s="1684"/>
      <c r="CA962" s="1684"/>
      <c r="CB962" s="1684"/>
      <c r="CC962" s="1684"/>
      <c r="CD962" s="1684"/>
      <c r="CE962" s="1684"/>
      <c r="CF962" s="1684"/>
      <c r="CG962" s="1684"/>
      <c r="CH962" s="1684"/>
      <c r="CI962" s="1684"/>
      <c r="CJ962" s="1684"/>
      <c r="CK962" s="1684"/>
      <c r="CL962" s="1684"/>
      <c r="CM962" s="1684"/>
      <c r="CN962" s="1684"/>
      <c r="CO962" s="1684"/>
    </row>
    <row r="963" spans="1:93" s="1391" customFormat="1" ht="15" x14ac:dyDescent="0.2">
      <c r="A963" s="1684"/>
      <c r="B963" s="1684"/>
      <c r="C963" s="2013">
        <v>12</v>
      </c>
      <c r="D963" s="5">
        <v>7831</v>
      </c>
      <c r="E963" s="5">
        <v>245</v>
      </c>
      <c r="F963" s="5">
        <v>272</v>
      </c>
      <c r="G963" s="5">
        <v>298</v>
      </c>
      <c r="H963" s="5">
        <v>323</v>
      </c>
      <c r="I963" s="5">
        <v>349</v>
      </c>
      <c r="J963" s="5">
        <v>375</v>
      </c>
      <c r="K963" s="5">
        <v>401</v>
      </c>
      <c r="L963" s="5">
        <v>428</v>
      </c>
      <c r="M963" s="5">
        <v>452</v>
      </c>
      <c r="N963" s="5">
        <v>478</v>
      </c>
      <c r="O963" s="5">
        <v>504</v>
      </c>
      <c r="P963" s="5">
        <v>530</v>
      </c>
      <c r="Q963" s="1160">
        <v>27</v>
      </c>
      <c r="R963"/>
      <c r="S963" s="1684"/>
      <c r="T963" s="1684"/>
      <c r="U963" s="1684"/>
      <c r="V963" s="1684"/>
      <c r="W963" s="1684"/>
      <c r="X963" s="1684"/>
      <c r="Y963" s="1684"/>
      <c r="Z963" s="1684"/>
      <c r="AA963" s="1684"/>
      <c r="AB963" s="1684"/>
      <c r="AC963" s="1684"/>
      <c r="AD963" s="1684"/>
      <c r="AE963" s="1684"/>
      <c r="AF963" s="1684"/>
      <c r="AG963" s="1684"/>
      <c r="AH963" s="1684"/>
      <c r="AI963" s="1684"/>
      <c r="AJ963" s="1684"/>
      <c r="AK963" s="1684"/>
      <c r="AL963" s="1684"/>
      <c r="AM963" s="1684"/>
      <c r="AN963" s="1684"/>
      <c r="AO963" s="1684"/>
      <c r="AP963" s="1684"/>
      <c r="AQ963" s="1684"/>
      <c r="AR963" s="1684"/>
      <c r="AS963" s="1684"/>
      <c r="AT963" s="1684"/>
      <c r="AU963" s="1684"/>
      <c r="AV963" s="1684"/>
      <c r="AW963" s="1684"/>
      <c r="AX963" s="1684"/>
      <c r="AY963" s="1684"/>
      <c r="AZ963" s="1684"/>
      <c r="BA963" s="1684"/>
      <c r="BB963" s="1684"/>
      <c r="BC963" s="1684"/>
      <c r="BD963" s="1684"/>
      <c r="BE963" s="1684"/>
      <c r="BF963" s="1684"/>
      <c r="BG963" s="1684"/>
      <c r="BH963" s="1684"/>
      <c r="BI963" s="1684"/>
      <c r="BJ963" s="1684"/>
      <c r="BK963" s="1684"/>
      <c r="BL963" s="1684"/>
      <c r="BM963" s="1684"/>
      <c r="BN963" s="1684"/>
      <c r="BO963" s="1684"/>
      <c r="BP963" s="1684"/>
      <c r="BQ963" s="1684"/>
      <c r="BR963" s="1684"/>
      <c r="BS963" s="1684"/>
      <c r="BT963" s="1684"/>
      <c r="BU963" s="1684"/>
      <c r="BV963" s="1684"/>
      <c r="BW963" s="1684"/>
      <c r="BX963" s="1684"/>
      <c r="BY963" s="1684"/>
      <c r="BZ963" s="1684"/>
      <c r="CA963" s="1684"/>
      <c r="CB963" s="1684"/>
      <c r="CC963" s="1684"/>
      <c r="CD963" s="1684"/>
      <c r="CE963" s="1684"/>
      <c r="CF963" s="1684"/>
      <c r="CG963" s="1684"/>
      <c r="CH963" s="1684"/>
      <c r="CI963" s="1684"/>
      <c r="CJ963" s="1684"/>
      <c r="CK963" s="1684"/>
      <c r="CL963" s="1684"/>
      <c r="CM963" s="1684"/>
      <c r="CN963" s="1684"/>
      <c r="CO963" s="1684"/>
    </row>
    <row r="964" spans="1:93" s="1391" customFormat="1" ht="15" x14ac:dyDescent="0.2">
      <c r="A964" s="1684"/>
      <c r="B964" s="1684"/>
      <c r="C964" s="2013">
        <v>13</v>
      </c>
      <c r="D964" s="5">
        <v>8.3740000000000006</v>
      </c>
      <c r="E964" s="5">
        <v>268</v>
      </c>
      <c r="F964" s="5">
        <v>298</v>
      </c>
      <c r="G964" s="5">
        <v>326</v>
      </c>
      <c r="H964" s="5">
        <v>354</v>
      </c>
      <c r="I964" s="5">
        <v>382</v>
      </c>
      <c r="J964" s="5">
        <v>410</v>
      </c>
      <c r="K964" s="5">
        <v>439</v>
      </c>
      <c r="L964" s="5">
        <v>468</v>
      </c>
      <c r="M964" s="5">
        <v>495</v>
      </c>
      <c r="N964" s="5">
        <v>523</v>
      </c>
      <c r="O964" s="5">
        <v>551</v>
      </c>
      <c r="P964" s="5">
        <v>583</v>
      </c>
      <c r="Q964" s="1160">
        <v>28</v>
      </c>
      <c r="R964"/>
      <c r="S964" s="1684"/>
      <c r="T964" s="1684"/>
      <c r="U964" s="1684"/>
      <c r="V964" s="1684"/>
      <c r="W964" s="1684"/>
      <c r="X964" s="1684"/>
      <c r="Y964" s="1684"/>
      <c r="Z964" s="1684"/>
      <c r="AA964" s="1684"/>
      <c r="AB964" s="1684"/>
      <c r="AC964" s="1684"/>
      <c r="AD964" s="1684"/>
      <c r="AE964" s="1684"/>
      <c r="AF964" s="1684"/>
      <c r="AG964" s="1684"/>
      <c r="AH964" s="1684"/>
      <c r="AI964" s="1684"/>
      <c r="AJ964" s="1684"/>
      <c r="AK964" s="1684"/>
      <c r="AL964" s="1684"/>
      <c r="AM964" s="1684"/>
      <c r="AN964" s="1684"/>
      <c r="AO964" s="1684"/>
      <c r="AP964" s="1684"/>
      <c r="AQ964" s="1684"/>
      <c r="AR964" s="1684"/>
      <c r="AS964" s="1684"/>
      <c r="AT964" s="1684"/>
      <c r="AU964" s="1684"/>
      <c r="AV964" s="1684"/>
      <c r="AW964" s="1684"/>
      <c r="AX964" s="1684"/>
      <c r="AY964" s="1684"/>
      <c r="AZ964" s="1684"/>
      <c r="BA964" s="1684"/>
      <c r="BB964" s="1684"/>
      <c r="BC964" s="1684"/>
      <c r="BD964" s="1684"/>
      <c r="BE964" s="1684"/>
      <c r="BF964" s="1684"/>
      <c r="BG964" s="1684"/>
      <c r="BH964" s="1684"/>
      <c r="BI964" s="1684"/>
      <c r="BJ964" s="1684"/>
      <c r="BK964" s="1684"/>
      <c r="BL964" s="1684"/>
      <c r="BM964" s="1684"/>
      <c r="BN964" s="1684"/>
      <c r="BO964" s="1684"/>
      <c r="BP964" s="1684"/>
      <c r="BQ964" s="1684"/>
      <c r="BR964" s="1684"/>
      <c r="BS964" s="1684"/>
      <c r="BT964" s="1684"/>
      <c r="BU964" s="1684"/>
      <c r="BV964" s="1684"/>
      <c r="BW964" s="1684"/>
      <c r="BX964" s="1684"/>
      <c r="BY964" s="1684"/>
      <c r="BZ964" s="1684"/>
      <c r="CA964" s="1684"/>
      <c r="CB964" s="1684"/>
      <c r="CC964" s="1684"/>
      <c r="CD964" s="1684"/>
      <c r="CE964" s="1684"/>
      <c r="CF964" s="1684"/>
      <c r="CG964" s="1684"/>
      <c r="CH964" s="1684"/>
      <c r="CI964" s="1684"/>
      <c r="CJ964" s="1684"/>
      <c r="CK964" s="1684"/>
      <c r="CL964" s="1684"/>
      <c r="CM964" s="1684"/>
      <c r="CN964" s="1684"/>
      <c r="CO964" s="1684"/>
    </row>
    <row r="965" spans="1:93" s="1391" customFormat="1" ht="15" x14ac:dyDescent="0.2">
      <c r="A965" s="1684"/>
      <c r="B965" s="1684"/>
      <c r="C965" s="2013">
        <v>14</v>
      </c>
      <c r="D965" s="5">
        <v>8.9540000000000006</v>
      </c>
      <c r="E965" s="5">
        <v>293</v>
      </c>
      <c r="F965" s="5">
        <v>325</v>
      </c>
      <c r="G965" s="5">
        <v>356</v>
      </c>
      <c r="H965" s="5">
        <v>386</v>
      </c>
      <c r="I965" s="5">
        <v>417</v>
      </c>
      <c r="J965" s="5">
        <v>448</v>
      </c>
      <c r="K965" s="5">
        <v>479</v>
      </c>
      <c r="L965" s="5">
        <v>511</v>
      </c>
      <c r="M965" s="5">
        <v>540</v>
      </c>
      <c r="N965" s="5">
        <v>571</v>
      </c>
      <c r="O965" s="5">
        <v>602</v>
      </c>
      <c r="P965" s="5">
        <v>633</v>
      </c>
      <c r="Q965" s="1160">
        <v>29</v>
      </c>
      <c r="R965"/>
      <c r="S965" s="1684"/>
      <c r="T965" s="1684"/>
      <c r="U965" s="1684"/>
      <c r="V965" s="1684"/>
      <c r="W965" s="1684"/>
      <c r="X965" s="1684"/>
      <c r="Y965" s="1684"/>
      <c r="Z965" s="1684"/>
      <c r="AA965" s="1684"/>
      <c r="AB965" s="1684"/>
      <c r="AC965" s="1684"/>
      <c r="AD965" s="1684"/>
      <c r="AE965" s="1684"/>
      <c r="AF965" s="1684"/>
      <c r="AG965" s="1684"/>
      <c r="AH965" s="1684"/>
      <c r="AI965" s="1684"/>
      <c r="AJ965" s="1684"/>
      <c r="AK965" s="1684"/>
      <c r="AL965" s="1684"/>
      <c r="AM965" s="1684"/>
      <c r="AN965" s="1684"/>
      <c r="AO965" s="1684"/>
      <c r="AP965" s="1684"/>
      <c r="AQ965" s="1684"/>
      <c r="AR965" s="1684"/>
      <c r="AS965" s="1684"/>
      <c r="AT965" s="1684"/>
      <c r="AU965" s="1684"/>
      <c r="AV965" s="1684"/>
      <c r="AW965" s="1684"/>
      <c r="AX965" s="1684"/>
      <c r="AY965" s="1684"/>
      <c r="AZ965" s="1684"/>
      <c r="BA965" s="1684"/>
      <c r="BB965" s="1684"/>
      <c r="BC965" s="1684"/>
      <c r="BD965" s="1684"/>
      <c r="BE965" s="1684"/>
      <c r="BF965" s="1684"/>
      <c r="BG965" s="1684"/>
      <c r="BH965" s="1684"/>
      <c r="BI965" s="1684"/>
      <c r="BJ965" s="1684"/>
      <c r="BK965" s="1684"/>
      <c r="BL965" s="1684"/>
      <c r="BM965" s="1684"/>
      <c r="BN965" s="1684"/>
      <c r="BO965" s="1684"/>
      <c r="BP965" s="1684"/>
      <c r="BQ965" s="1684"/>
      <c r="BR965" s="1684"/>
      <c r="BS965" s="1684"/>
      <c r="BT965" s="1684"/>
      <c r="BU965" s="1684"/>
      <c r="BV965" s="1684"/>
      <c r="BW965" s="1684"/>
      <c r="BX965" s="1684"/>
      <c r="BY965" s="1684"/>
      <c r="BZ965" s="1684"/>
      <c r="CA965" s="1684"/>
      <c r="CB965" s="1684"/>
      <c r="CC965" s="1684"/>
      <c r="CD965" s="1684"/>
      <c r="CE965" s="1684"/>
      <c r="CF965" s="1684"/>
      <c r="CG965" s="1684"/>
      <c r="CH965" s="1684"/>
      <c r="CI965" s="1684"/>
      <c r="CJ965" s="1684"/>
      <c r="CK965" s="1684"/>
      <c r="CL965" s="1684"/>
      <c r="CM965" s="1684"/>
      <c r="CN965" s="1684"/>
      <c r="CO965" s="1684"/>
    </row>
    <row r="966" spans="1:93" s="1391" customFormat="1" ht="15" x14ac:dyDescent="0.2">
      <c r="A966" s="1684"/>
      <c r="B966" s="1684"/>
      <c r="C966" s="2013">
        <v>15</v>
      </c>
      <c r="D966" s="5">
        <v>9.5589999999999993</v>
      </c>
      <c r="E966" s="5">
        <v>318</v>
      </c>
      <c r="F966" s="5">
        <v>353</v>
      </c>
      <c r="G966" s="5">
        <v>387</v>
      </c>
      <c r="H966" s="5">
        <v>420</v>
      </c>
      <c r="I966" s="5">
        <v>454</v>
      </c>
      <c r="J966" s="5">
        <v>487</v>
      </c>
      <c r="K966" s="5">
        <v>521</v>
      </c>
      <c r="L966" s="5">
        <v>556</v>
      </c>
      <c r="M966" s="5">
        <v>588</v>
      </c>
      <c r="N966" s="5">
        <v>621</v>
      </c>
      <c r="O966" s="5">
        <v>655</v>
      </c>
      <c r="P966" s="5">
        <v>688</v>
      </c>
      <c r="Q966" s="1160">
        <v>30</v>
      </c>
      <c r="R966"/>
      <c r="S966" s="1684"/>
      <c r="T966" s="1684"/>
      <c r="U966" s="1684"/>
      <c r="V966" s="1684"/>
      <c r="W966" s="1684"/>
      <c r="X966" s="1684"/>
      <c r="Y966" s="1684"/>
      <c r="Z966" s="1684"/>
      <c r="AA966" s="1684"/>
      <c r="AB966" s="1684"/>
      <c r="AC966" s="1684"/>
      <c r="AD966" s="1684"/>
      <c r="AE966" s="1684"/>
      <c r="AF966" s="1684"/>
      <c r="AG966" s="1684"/>
      <c r="AH966" s="1684"/>
      <c r="AI966" s="1684"/>
      <c r="AJ966" s="1684"/>
      <c r="AK966" s="1684"/>
      <c r="AL966" s="1684"/>
      <c r="AM966" s="1684"/>
      <c r="AN966" s="1684"/>
      <c r="AO966" s="1684"/>
      <c r="AP966" s="1684"/>
      <c r="AQ966" s="1684"/>
      <c r="AR966" s="1684"/>
      <c r="AS966" s="1684"/>
      <c r="AT966" s="1684"/>
      <c r="AU966" s="1684"/>
      <c r="AV966" s="1684"/>
      <c r="AW966" s="1684"/>
      <c r="AX966" s="1684"/>
      <c r="AY966" s="1684"/>
      <c r="AZ966" s="1684"/>
      <c r="BA966" s="1684"/>
      <c r="BB966" s="1684"/>
      <c r="BC966" s="1684"/>
      <c r="BD966" s="1684"/>
      <c r="BE966" s="1684"/>
      <c r="BF966" s="1684"/>
      <c r="BG966" s="1684"/>
      <c r="BH966" s="1684"/>
      <c r="BI966" s="1684"/>
      <c r="BJ966" s="1684"/>
      <c r="BK966" s="1684"/>
      <c r="BL966" s="1684"/>
      <c r="BM966" s="1684"/>
      <c r="BN966" s="1684"/>
      <c r="BO966" s="1684"/>
      <c r="BP966" s="1684"/>
      <c r="BQ966" s="1684"/>
      <c r="BR966" s="1684"/>
      <c r="BS966" s="1684"/>
      <c r="BT966" s="1684"/>
      <c r="BU966" s="1684"/>
      <c r="BV966" s="1684"/>
      <c r="BW966" s="1684"/>
      <c r="BX966" s="1684"/>
      <c r="BY966" s="1684"/>
      <c r="BZ966" s="1684"/>
      <c r="CA966" s="1684"/>
      <c r="CB966" s="1684"/>
      <c r="CC966" s="1684"/>
      <c r="CD966" s="1684"/>
      <c r="CE966" s="1684"/>
      <c r="CF966" s="1684"/>
      <c r="CG966" s="1684"/>
      <c r="CH966" s="1684"/>
      <c r="CI966" s="1684"/>
      <c r="CJ966" s="1684"/>
      <c r="CK966" s="1684"/>
      <c r="CL966" s="1684"/>
      <c r="CM966" s="1684"/>
      <c r="CN966" s="1684"/>
      <c r="CO966" s="1684"/>
    </row>
    <row r="967" spans="1:93" s="1391" customFormat="1" ht="15" x14ac:dyDescent="0.2">
      <c r="A967" s="1684"/>
      <c r="B967" s="1684"/>
      <c r="C967" s="2013">
        <v>16</v>
      </c>
      <c r="D967" s="5">
        <v>10.324999999999999</v>
      </c>
      <c r="E967" s="5">
        <v>343</v>
      </c>
      <c r="F967" s="5">
        <v>381</v>
      </c>
      <c r="G967" s="5">
        <v>417</v>
      </c>
      <c r="H967" s="5">
        <v>453</v>
      </c>
      <c r="I967" s="5">
        <v>490</v>
      </c>
      <c r="J967" s="5">
        <v>526</v>
      </c>
      <c r="K967" s="5">
        <v>562</v>
      </c>
      <c r="L967" s="5">
        <v>600</v>
      </c>
      <c r="M967" s="5">
        <v>634</v>
      </c>
      <c r="N967" s="5">
        <v>670</v>
      </c>
      <c r="O967" s="5">
        <v>706</v>
      </c>
      <c r="P967" s="5">
        <v>743</v>
      </c>
      <c r="Q967" s="1160">
        <v>31</v>
      </c>
      <c r="R967"/>
      <c r="S967" s="1684"/>
      <c r="T967" s="1684"/>
      <c r="U967" s="1684"/>
      <c r="V967" s="1684"/>
      <c r="W967" s="1684"/>
      <c r="X967" s="1684"/>
      <c r="Y967" s="1684"/>
      <c r="Z967" s="1684"/>
      <c r="AA967" s="1684"/>
      <c r="AB967" s="1684"/>
      <c r="AC967" s="1684"/>
      <c r="AD967" s="1684"/>
      <c r="AE967" s="1684"/>
      <c r="AF967" s="1684"/>
      <c r="AG967" s="1684"/>
      <c r="AH967" s="1684"/>
      <c r="AI967" s="1684"/>
      <c r="AJ967" s="1684"/>
      <c r="AK967" s="1684"/>
      <c r="AL967" s="1684"/>
      <c r="AM967" s="1684"/>
      <c r="AN967" s="1684"/>
      <c r="AO967" s="1684"/>
      <c r="AP967" s="1684"/>
      <c r="AQ967" s="1684"/>
      <c r="AR967" s="1684"/>
      <c r="AS967" s="1684"/>
      <c r="AT967" s="1684"/>
      <c r="AU967" s="1684"/>
      <c r="AV967" s="1684"/>
      <c r="AW967" s="1684"/>
      <c r="AX967" s="1684"/>
      <c r="AY967" s="1684"/>
      <c r="AZ967" s="1684"/>
      <c r="BA967" s="1684"/>
      <c r="BB967" s="1684"/>
      <c r="BC967" s="1684"/>
      <c r="BD967" s="1684"/>
      <c r="BE967" s="1684"/>
      <c r="BF967" s="1684"/>
      <c r="BG967" s="1684"/>
      <c r="BH967" s="1684"/>
      <c r="BI967" s="1684"/>
      <c r="BJ967" s="1684"/>
      <c r="BK967" s="1684"/>
      <c r="BL967" s="1684"/>
      <c r="BM967" s="1684"/>
      <c r="BN967" s="1684"/>
      <c r="BO967" s="1684"/>
      <c r="BP967" s="1684"/>
      <c r="BQ967" s="1684"/>
      <c r="BR967" s="1684"/>
      <c r="BS967" s="1684"/>
      <c r="BT967" s="1684"/>
      <c r="BU967" s="1684"/>
      <c r="BV967" s="1684"/>
      <c r="BW967" s="1684"/>
      <c r="BX967" s="1684"/>
      <c r="BY967" s="1684"/>
      <c r="BZ967" s="1684"/>
      <c r="CA967" s="1684"/>
      <c r="CB967" s="1684"/>
      <c r="CC967" s="1684"/>
      <c r="CD967" s="1684"/>
      <c r="CE967" s="1684"/>
      <c r="CF967" s="1684"/>
      <c r="CG967" s="1684"/>
      <c r="CH967" s="1684"/>
      <c r="CI967" s="1684"/>
      <c r="CJ967" s="1684"/>
      <c r="CK967" s="1684"/>
      <c r="CL967" s="1684"/>
      <c r="CM967" s="1684"/>
      <c r="CN967" s="1684"/>
      <c r="CO967" s="1684"/>
    </row>
    <row r="968" spans="1:93" s="1391" customFormat="1" ht="15" x14ac:dyDescent="0.2">
      <c r="A968" s="1684"/>
      <c r="B968" s="1684"/>
      <c r="C968" s="2013">
        <v>17</v>
      </c>
      <c r="D968" s="5">
        <v>11.135</v>
      </c>
      <c r="E968" s="5">
        <v>367</v>
      </c>
      <c r="F968" s="5">
        <v>407</v>
      </c>
      <c r="G968" s="5">
        <v>446</v>
      </c>
      <c r="H968" s="5">
        <v>485</v>
      </c>
      <c r="I968" s="5">
        <v>523</v>
      </c>
      <c r="J968" s="5">
        <v>562</v>
      </c>
      <c r="K968" s="5">
        <v>600</v>
      </c>
      <c r="L968" s="5">
        <v>641</v>
      </c>
      <c r="M968" s="5">
        <v>678</v>
      </c>
      <c r="N968" s="5">
        <v>716</v>
      </c>
      <c r="O968" s="5">
        <v>755</v>
      </c>
      <c r="P968" s="5">
        <v>793</v>
      </c>
      <c r="Q968" s="1160">
        <v>32</v>
      </c>
      <c r="R968"/>
      <c r="S968" s="1684"/>
      <c r="T968" s="1684"/>
      <c r="U968" s="1684"/>
      <c r="V968" s="1684"/>
      <c r="W968" s="1684"/>
      <c r="X968" s="1684"/>
      <c r="Y968" s="1684"/>
      <c r="Z968" s="1684"/>
      <c r="AA968" s="1684"/>
      <c r="AB968" s="1684"/>
      <c r="AC968" s="1684"/>
      <c r="AD968" s="1684"/>
      <c r="AE968" s="1684"/>
      <c r="AF968" s="1684"/>
      <c r="AG968" s="1684"/>
      <c r="AH968" s="1684"/>
      <c r="AI968" s="1684"/>
      <c r="AJ968" s="1684"/>
      <c r="AK968" s="1684"/>
      <c r="AL968" s="1684"/>
      <c r="AM968" s="1684"/>
      <c r="AN968" s="1684"/>
      <c r="AO968" s="1684"/>
      <c r="AP968" s="1684"/>
      <c r="AQ968" s="1684"/>
      <c r="AR968" s="1684"/>
      <c r="AS968" s="1684"/>
      <c r="AT968" s="1684"/>
      <c r="AU968" s="1684"/>
      <c r="AV968" s="1684"/>
      <c r="AW968" s="1684"/>
      <c r="AX968" s="1684"/>
      <c r="AY968" s="1684"/>
      <c r="AZ968" s="1684"/>
      <c r="BA968" s="1684"/>
      <c r="BB968" s="1684"/>
      <c r="BC968" s="1684"/>
      <c r="BD968" s="1684"/>
      <c r="BE968" s="1684"/>
      <c r="BF968" s="1684"/>
      <c r="BG968" s="1684"/>
      <c r="BH968" s="1684"/>
      <c r="BI968" s="1684"/>
      <c r="BJ968" s="1684"/>
      <c r="BK968" s="1684"/>
      <c r="BL968" s="1684"/>
      <c r="BM968" s="1684"/>
      <c r="BN968" s="1684"/>
      <c r="BO968" s="1684"/>
      <c r="BP968" s="1684"/>
      <c r="BQ968" s="1684"/>
      <c r="BR968" s="1684"/>
      <c r="BS968" s="1684"/>
      <c r="BT968" s="1684"/>
      <c r="BU968" s="1684"/>
      <c r="BV968" s="1684"/>
      <c r="BW968" s="1684"/>
      <c r="BX968" s="1684"/>
      <c r="BY968" s="1684"/>
      <c r="BZ968" s="1684"/>
      <c r="CA968" s="1684"/>
      <c r="CB968" s="1684"/>
      <c r="CC968" s="1684"/>
      <c r="CD968" s="1684"/>
      <c r="CE968" s="1684"/>
      <c r="CF968" s="1684"/>
      <c r="CG968" s="1684"/>
      <c r="CH968" s="1684"/>
      <c r="CI968" s="1684"/>
      <c r="CJ968" s="1684"/>
      <c r="CK968" s="1684"/>
      <c r="CL968" s="1684"/>
      <c r="CM968" s="1684"/>
      <c r="CN968" s="1684"/>
      <c r="CO968" s="1684"/>
    </row>
    <row r="969" spans="1:93" s="1391" customFormat="1" ht="15" x14ac:dyDescent="0.2">
      <c r="A969" s="1684"/>
      <c r="B969" s="1684"/>
      <c r="C969" s="2013">
        <v>18</v>
      </c>
      <c r="D969" s="5">
        <v>11.670999999999999</v>
      </c>
      <c r="E969" s="5">
        <v>389</v>
      </c>
      <c r="F969" s="5">
        <v>431</v>
      </c>
      <c r="G969" s="5">
        <v>472</v>
      </c>
      <c r="H969" s="5">
        <v>513</v>
      </c>
      <c r="I969" s="5">
        <v>554</v>
      </c>
      <c r="J969" s="5">
        <v>595</v>
      </c>
      <c r="K969" s="5">
        <v>636</v>
      </c>
      <c r="L969" s="5">
        <v>679</v>
      </c>
      <c r="M969" s="5">
        <v>718</v>
      </c>
      <c r="N969" s="5">
        <v>759</v>
      </c>
      <c r="O969" s="5">
        <v>800</v>
      </c>
      <c r="P969" s="5">
        <v>840</v>
      </c>
      <c r="Q969" s="1160">
        <v>33</v>
      </c>
      <c r="R969"/>
      <c r="S969" s="1684"/>
      <c r="T969" s="1684"/>
      <c r="U969" s="1684"/>
      <c r="V969" s="1684"/>
      <c r="W969" s="1684"/>
      <c r="X969" s="1684"/>
      <c r="Y969" s="1684"/>
      <c r="Z969" s="1684"/>
      <c r="AA969" s="1684"/>
      <c r="AB969" s="1684"/>
      <c r="AC969" s="1684"/>
      <c r="AD969" s="1684"/>
      <c r="AE969" s="1684"/>
      <c r="AF969" s="1684"/>
      <c r="AG969" s="1684"/>
      <c r="AH969" s="1684"/>
      <c r="AI969" s="1684"/>
      <c r="AJ969" s="1684"/>
      <c r="AK969" s="1684"/>
      <c r="AL969" s="1684"/>
      <c r="AM969" s="1684"/>
      <c r="AN969" s="1684"/>
      <c r="AO969" s="1684"/>
      <c r="AP969" s="1684"/>
      <c r="AQ969" s="1684"/>
      <c r="AR969" s="1684"/>
      <c r="AS969" s="1684"/>
      <c r="AT969" s="1684"/>
      <c r="AU969" s="1684"/>
      <c r="AV969" s="1684"/>
      <c r="AW969" s="1684"/>
      <c r="AX969" s="1684"/>
      <c r="AY969" s="1684"/>
      <c r="AZ969" s="1684"/>
      <c r="BA969" s="1684"/>
      <c r="BB969" s="1684"/>
      <c r="BC969" s="1684"/>
      <c r="BD969" s="1684"/>
      <c r="BE969" s="1684"/>
      <c r="BF969" s="1684"/>
      <c r="BG969" s="1684"/>
      <c r="BH969" s="1684"/>
      <c r="BI969" s="1684"/>
      <c r="BJ969" s="1684"/>
      <c r="BK969" s="1684"/>
      <c r="BL969" s="1684"/>
      <c r="BM969" s="1684"/>
      <c r="BN969" s="1684"/>
      <c r="BO969" s="1684"/>
      <c r="BP969" s="1684"/>
      <c r="BQ969" s="1684"/>
      <c r="BR969" s="1684"/>
      <c r="BS969" s="1684"/>
      <c r="BT969" s="1684"/>
      <c r="BU969" s="1684"/>
      <c r="BV969" s="1684"/>
      <c r="BW969" s="1684"/>
      <c r="BX969" s="1684"/>
      <c r="BY969" s="1684"/>
      <c r="BZ969" s="1684"/>
      <c r="CA969" s="1684"/>
      <c r="CB969" s="1684"/>
      <c r="CC969" s="1684"/>
      <c r="CD969" s="1684"/>
      <c r="CE969" s="1684"/>
      <c r="CF969" s="1684"/>
      <c r="CG969" s="1684"/>
      <c r="CH969" s="1684"/>
      <c r="CI969" s="1684"/>
      <c r="CJ969" s="1684"/>
      <c r="CK969" s="1684"/>
      <c r="CL969" s="1684"/>
      <c r="CM969" s="1684"/>
      <c r="CN969" s="1684"/>
      <c r="CO969" s="1684"/>
    </row>
    <row r="970" spans="1:93" s="1391" customFormat="1" ht="15" x14ac:dyDescent="0.2">
      <c r="A970" s="1684"/>
      <c r="B970" s="1684"/>
      <c r="C970" s="4680" t="s">
        <v>3693</v>
      </c>
      <c r="D970" s="4681"/>
      <c r="E970" s="4681"/>
      <c r="F970" s="4681"/>
      <c r="G970" s="4681"/>
      <c r="H970" s="4681"/>
      <c r="I970" s="4681"/>
      <c r="J970" s="4681"/>
      <c r="K970" s="4681"/>
      <c r="L970" s="4681"/>
      <c r="M970" s="4681"/>
      <c r="N970" s="4681"/>
      <c r="O970" s="4681"/>
      <c r="P970" s="4681"/>
      <c r="Q970" s="4682"/>
      <c r="R970"/>
      <c r="S970" s="1684"/>
      <c r="T970" s="1684"/>
      <c r="U970" s="1684"/>
      <c r="V970" s="1684"/>
      <c r="W970" s="1684"/>
      <c r="X970" s="1684"/>
      <c r="Y970" s="1684"/>
      <c r="Z970" s="1684"/>
      <c r="AA970" s="1684"/>
      <c r="AB970" s="1684"/>
      <c r="AC970" s="1684"/>
      <c r="AD970" s="1684"/>
      <c r="AE970" s="1684"/>
      <c r="AF970" s="1684"/>
      <c r="AG970" s="1684"/>
      <c r="AH970" s="1684"/>
      <c r="AI970" s="1684"/>
      <c r="AJ970" s="1684"/>
      <c r="AK970" s="1684"/>
      <c r="AL970" s="1684"/>
      <c r="AM970" s="1684"/>
      <c r="AN970" s="1684"/>
      <c r="AO970" s="1684"/>
      <c r="AP970" s="1684"/>
      <c r="AQ970" s="1684"/>
      <c r="AR970" s="1684"/>
      <c r="AS970" s="1684"/>
      <c r="AT970" s="1684"/>
      <c r="AU970" s="1684"/>
      <c r="AV970" s="1684"/>
      <c r="AW970" s="1684"/>
      <c r="AX970" s="1684"/>
      <c r="AY970" s="1684"/>
      <c r="AZ970" s="1684"/>
      <c r="BA970" s="1684"/>
      <c r="BB970" s="1684"/>
      <c r="BC970" s="1684"/>
      <c r="BD970" s="1684"/>
      <c r="BE970" s="1684"/>
      <c r="BF970" s="1684"/>
      <c r="BG970" s="1684"/>
      <c r="BH970" s="1684"/>
      <c r="BI970" s="1684"/>
      <c r="BJ970" s="1684"/>
      <c r="BK970" s="1684"/>
      <c r="BL970" s="1684"/>
      <c r="BM970" s="1684"/>
      <c r="BN970" s="1684"/>
      <c r="BO970" s="1684"/>
      <c r="BP970" s="1684"/>
      <c r="BQ970" s="1684"/>
      <c r="BR970" s="1684"/>
      <c r="BS970" s="1684"/>
      <c r="BT970" s="1684"/>
      <c r="BU970" s="1684"/>
      <c r="BV970" s="1684"/>
      <c r="BW970" s="1684"/>
      <c r="BX970" s="1684"/>
      <c r="BY970" s="1684"/>
      <c r="BZ970" s="1684"/>
      <c r="CA970" s="1684"/>
      <c r="CB970" s="1684"/>
      <c r="CC970" s="1684"/>
      <c r="CD970" s="1684"/>
      <c r="CE970" s="1684"/>
      <c r="CF970" s="1684"/>
      <c r="CG970" s="1684"/>
      <c r="CH970" s="1684"/>
      <c r="CI970" s="1684"/>
      <c r="CJ970" s="1684"/>
      <c r="CK970" s="1684"/>
      <c r="CL970" s="1684"/>
      <c r="CM970" s="1684"/>
      <c r="CN970" s="1684"/>
      <c r="CO970" s="1684"/>
    </row>
    <row r="971" spans="1:93" s="1391" customFormat="1" ht="15" x14ac:dyDescent="0.2">
      <c r="A971" s="1684"/>
      <c r="B971" s="1684"/>
      <c r="C971" s="4680"/>
      <c r="D971" s="4681"/>
      <c r="E971" s="4681"/>
      <c r="F971" s="4681"/>
      <c r="G971" s="4681"/>
      <c r="H971" s="4681"/>
      <c r="I971" s="4681"/>
      <c r="J971" s="4681"/>
      <c r="K971" s="4681"/>
      <c r="L971" s="4681"/>
      <c r="M971" s="4681"/>
      <c r="N971" s="4681"/>
      <c r="O971" s="4681"/>
      <c r="P971" s="4681"/>
      <c r="Q971" s="4682"/>
      <c r="R971"/>
      <c r="S971" s="1684"/>
      <c r="T971" s="1684"/>
      <c r="U971" s="1684"/>
      <c r="V971" s="1684"/>
      <c r="W971" s="1684"/>
      <c r="X971" s="1684"/>
      <c r="Y971" s="1684"/>
      <c r="Z971" s="1684"/>
      <c r="AA971" s="1684"/>
      <c r="AB971" s="1684"/>
      <c r="AC971" s="1684"/>
      <c r="AD971" s="1684"/>
      <c r="AE971" s="1684"/>
      <c r="AF971" s="1684"/>
      <c r="AG971" s="1684"/>
      <c r="AH971" s="1684"/>
      <c r="AI971" s="1684"/>
      <c r="AJ971" s="1684"/>
      <c r="AK971" s="1684"/>
      <c r="AL971" s="1684"/>
      <c r="AM971" s="1684"/>
      <c r="AN971" s="1684"/>
      <c r="AO971" s="1684"/>
      <c r="AP971" s="1684"/>
      <c r="AQ971" s="1684"/>
      <c r="AR971" s="1684"/>
      <c r="AS971" s="1684"/>
      <c r="AT971" s="1684"/>
      <c r="AU971" s="1684"/>
      <c r="AV971" s="1684"/>
      <c r="AW971" s="1684"/>
      <c r="AX971" s="1684"/>
      <c r="AY971" s="1684"/>
      <c r="AZ971" s="1684"/>
      <c r="BA971" s="1684"/>
      <c r="BB971" s="1684"/>
      <c r="BC971" s="1684"/>
      <c r="BD971" s="1684"/>
      <c r="BE971" s="1684"/>
      <c r="BF971" s="1684"/>
      <c r="BG971" s="1684"/>
      <c r="BH971" s="1684"/>
      <c r="BI971" s="1684"/>
      <c r="BJ971" s="1684"/>
      <c r="BK971" s="1684"/>
      <c r="BL971" s="1684"/>
      <c r="BM971" s="1684"/>
      <c r="BN971" s="1684"/>
      <c r="BO971" s="1684"/>
      <c r="BP971" s="1684"/>
      <c r="BQ971" s="1684"/>
      <c r="BR971" s="1684"/>
      <c r="BS971" s="1684"/>
      <c r="BT971" s="1684"/>
      <c r="BU971" s="1684"/>
      <c r="BV971" s="1684"/>
      <c r="BW971" s="1684"/>
      <c r="BX971" s="1684"/>
      <c r="BY971" s="1684"/>
      <c r="BZ971" s="1684"/>
      <c r="CA971" s="1684"/>
      <c r="CB971" s="1684"/>
      <c r="CC971" s="1684"/>
      <c r="CD971" s="1684"/>
      <c r="CE971" s="1684"/>
      <c r="CF971" s="1684"/>
      <c r="CG971" s="1684"/>
      <c r="CH971" s="1684"/>
      <c r="CI971" s="1684"/>
      <c r="CJ971" s="1684"/>
      <c r="CK971" s="1684"/>
      <c r="CL971" s="1684"/>
      <c r="CM971" s="1684"/>
      <c r="CN971" s="1684"/>
      <c r="CO971" s="1684"/>
    </row>
    <row r="972" spans="1:93" s="1391" customFormat="1" ht="15" x14ac:dyDescent="0.2">
      <c r="A972" s="1684"/>
      <c r="B972" s="1684"/>
      <c r="C972" s="2013"/>
      <c r="D972" s="5"/>
      <c r="E972" s="5">
        <v>1</v>
      </c>
      <c r="F972" s="5">
        <v>2</v>
      </c>
      <c r="G972" s="5">
        <v>3</v>
      </c>
      <c r="H972" s="5">
        <v>4</v>
      </c>
      <c r="I972" s="5">
        <v>5</v>
      </c>
      <c r="J972" s="5">
        <v>6</v>
      </c>
      <c r="K972" s="5">
        <v>7</v>
      </c>
      <c r="L972" s="5">
        <v>8</v>
      </c>
      <c r="M972" s="5">
        <v>9</v>
      </c>
      <c r="N972" s="5">
        <v>10</v>
      </c>
      <c r="O972" s="5">
        <v>11</v>
      </c>
      <c r="P972" s="5">
        <v>12</v>
      </c>
      <c r="Q972" s="1160"/>
      <c r="R972"/>
      <c r="S972" s="1684"/>
      <c r="T972" s="1684"/>
      <c r="U972" s="1684"/>
      <c r="V972" s="1684"/>
      <c r="W972" s="1684"/>
      <c r="X972" s="1684"/>
      <c r="Y972" s="1684"/>
      <c r="Z972" s="1684"/>
      <c r="AA972" s="1684"/>
      <c r="AB972" s="1684"/>
      <c r="AC972" s="1684"/>
      <c r="AD972" s="1684"/>
      <c r="AE972" s="1684"/>
      <c r="AF972" s="1684"/>
      <c r="AG972" s="1684"/>
      <c r="AH972" s="1684"/>
      <c r="AI972" s="1684"/>
      <c r="AJ972" s="1684"/>
      <c r="AK972" s="1684"/>
      <c r="AL972" s="1684"/>
      <c r="AM972" s="1684"/>
      <c r="AN972" s="1684"/>
      <c r="AO972" s="1684"/>
      <c r="AP972" s="1684"/>
      <c r="AQ972" s="1684"/>
      <c r="AR972" s="1684"/>
      <c r="AS972" s="1684"/>
      <c r="AT972" s="1684"/>
      <c r="AU972" s="1684"/>
      <c r="AV972" s="1684"/>
      <c r="AW972" s="1684"/>
      <c r="AX972" s="1684"/>
      <c r="AY972" s="1684"/>
      <c r="AZ972" s="1684"/>
      <c r="BA972" s="1684"/>
      <c r="BB972" s="1684"/>
      <c r="BC972" s="1684"/>
      <c r="BD972" s="1684"/>
      <c r="BE972" s="1684"/>
      <c r="BF972" s="1684"/>
      <c r="BG972" s="1684"/>
      <c r="BH972" s="1684"/>
      <c r="BI972" s="1684"/>
      <c r="BJ972" s="1684"/>
      <c r="BK972" s="1684"/>
      <c r="BL972" s="1684"/>
      <c r="BM972" s="1684"/>
      <c r="BN972" s="1684"/>
      <c r="BO972" s="1684"/>
      <c r="BP972" s="1684"/>
      <c r="BQ972" s="1684"/>
      <c r="BR972" s="1684"/>
      <c r="BS972" s="1684"/>
      <c r="BT972" s="1684"/>
      <c r="BU972" s="1684"/>
      <c r="BV972" s="1684"/>
      <c r="BW972" s="1684"/>
      <c r="BX972" s="1684"/>
      <c r="BY972" s="1684"/>
      <c r="BZ972" s="1684"/>
      <c r="CA972" s="1684"/>
      <c r="CB972" s="1684"/>
      <c r="CC972" s="1684"/>
      <c r="CD972" s="1684"/>
      <c r="CE972" s="1684"/>
      <c r="CF972" s="1684"/>
      <c r="CG972" s="1684"/>
      <c r="CH972" s="1684"/>
      <c r="CI972" s="1684"/>
      <c r="CJ972" s="1684"/>
      <c r="CK972" s="1684"/>
      <c r="CL972" s="1684"/>
      <c r="CM972" s="1684"/>
      <c r="CN972" s="1684"/>
      <c r="CO972" s="1684"/>
    </row>
    <row r="973" spans="1:93" s="1391" customFormat="1" ht="15" x14ac:dyDescent="0.2">
      <c r="A973" s="1684"/>
      <c r="B973" s="1684"/>
      <c r="C973" s="2013">
        <v>8</v>
      </c>
      <c r="D973" s="5">
        <v>6.016</v>
      </c>
      <c r="E973" s="5">
        <v>167</v>
      </c>
      <c r="F973" s="5">
        <v>185</v>
      </c>
      <c r="G973" s="5">
        <v>203</v>
      </c>
      <c r="H973" s="5">
        <v>221</v>
      </c>
      <c r="I973" s="5">
        <v>238</v>
      </c>
      <c r="J973" s="5">
        <v>256</v>
      </c>
      <c r="K973" s="5">
        <v>273</v>
      </c>
      <c r="L973" s="5">
        <v>292</v>
      </c>
      <c r="M973" s="5">
        <v>308</v>
      </c>
      <c r="N973" s="5">
        <v>326</v>
      </c>
      <c r="O973" s="5">
        <v>344</v>
      </c>
      <c r="P973" s="5">
        <v>361</v>
      </c>
      <c r="Q973" s="1160">
        <v>34</v>
      </c>
      <c r="R973"/>
      <c r="S973" s="1684"/>
      <c r="T973" s="1684"/>
      <c r="U973" s="1684"/>
      <c r="V973" s="1684"/>
      <c r="W973" s="1684"/>
      <c r="X973" s="1684"/>
      <c r="Y973" s="1684"/>
      <c r="Z973" s="1684"/>
      <c r="AA973" s="1684"/>
      <c r="AB973" s="1684"/>
      <c r="AC973" s="1684"/>
      <c r="AD973" s="1684"/>
      <c r="AE973" s="1684"/>
      <c r="AF973" s="1684"/>
      <c r="AG973" s="1684"/>
      <c r="AH973" s="1684"/>
      <c r="AI973" s="1684"/>
      <c r="AJ973" s="1684"/>
      <c r="AK973" s="1684"/>
      <c r="AL973" s="1684"/>
      <c r="AM973" s="1684"/>
      <c r="AN973" s="1684"/>
      <c r="AO973" s="1684"/>
      <c r="AP973" s="1684"/>
      <c r="AQ973" s="1684"/>
      <c r="AR973" s="1684"/>
      <c r="AS973" s="1684"/>
      <c r="AT973" s="1684"/>
      <c r="AU973" s="1684"/>
      <c r="AV973" s="1684"/>
      <c r="AW973" s="1684"/>
      <c r="AX973" s="1684"/>
      <c r="AY973" s="1684"/>
      <c r="AZ973" s="1684"/>
      <c r="BA973" s="1684"/>
      <c r="BB973" s="1684"/>
      <c r="BC973" s="1684"/>
      <c r="BD973" s="1684"/>
      <c r="BE973" s="1684"/>
      <c r="BF973" s="1684"/>
      <c r="BG973" s="1684"/>
      <c r="BH973" s="1684"/>
      <c r="BI973" s="1684"/>
      <c r="BJ973" s="1684"/>
      <c r="BK973" s="1684"/>
      <c r="BL973" s="1684"/>
      <c r="BM973" s="1684"/>
      <c r="BN973" s="1684"/>
      <c r="BO973" s="1684"/>
      <c r="BP973" s="1684"/>
      <c r="BQ973" s="1684"/>
      <c r="BR973" s="1684"/>
      <c r="BS973" s="1684"/>
      <c r="BT973" s="1684"/>
      <c r="BU973" s="1684"/>
      <c r="BV973" s="1684"/>
      <c r="BW973" s="1684"/>
      <c r="BX973" s="1684"/>
      <c r="BY973" s="1684"/>
      <c r="BZ973" s="1684"/>
      <c r="CA973" s="1684"/>
      <c r="CB973" s="1684"/>
      <c r="CC973" s="1684"/>
      <c r="CD973" s="1684"/>
      <c r="CE973" s="1684"/>
      <c r="CF973" s="1684"/>
      <c r="CG973" s="1684"/>
      <c r="CH973" s="1684"/>
      <c r="CI973" s="1684"/>
      <c r="CJ973" s="1684"/>
      <c r="CK973" s="1684"/>
      <c r="CL973" s="1684"/>
      <c r="CM973" s="1684"/>
      <c r="CN973" s="1684"/>
      <c r="CO973" s="1684"/>
    </row>
    <row r="974" spans="1:93" s="1391" customFormat="1" ht="15" x14ac:dyDescent="0.2">
      <c r="A974" s="1684"/>
      <c r="B974" s="1684"/>
      <c r="C974" s="2013">
        <v>9</v>
      </c>
      <c r="D974" s="5">
        <v>6.4370000000000003</v>
      </c>
      <c r="E974" s="5">
        <v>185</v>
      </c>
      <c r="F974" s="5">
        <v>206</v>
      </c>
      <c r="G974" s="5">
        <v>225</v>
      </c>
      <c r="H974" s="5">
        <v>245</v>
      </c>
      <c r="I974" s="5">
        <v>264</v>
      </c>
      <c r="J974" s="5">
        <v>284</v>
      </c>
      <c r="K974" s="5">
        <v>303</v>
      </c>
      <c r="L974" s="5">
        <v>324</v>
      </c>
      <c r="M974" s="5">
        <v>342</v>
      </c>
      <c r="N974" s="5">
        <v>362</v>
      </c>
      <c r="O974" s="5">
        <v>381</v>
      </c>
      <c r="P974" s="5">
        <v>401</v>
      </c>
      <c r="Q974" s="1160">
        <v>35</v>
      </c>
      <c r="R974"/>
      <c r="S974" s="1684"/>
      <c r="T974" s="1684"/>
      <c r="U974" s="1684"/>
      <c r="V974" s="1684"/>
      <c r="W974" s="1684"/>
      <c r="X974" s="1684"/>
      <c r="Y974" s="1684"/>
      <c r="Z974" s="1684"/>
      <c r="AA974" s="1684"/>
      <c r="AB974" s="1684"/>
      <c r="AC974" s="1684"/>
      <c r="AD974" s="1684"/>
      <c r="AE974" s="1684"/>
      <c r="AF974" s="1684"/>
      <c r="AG974" s="1684"/>
      <c r="AH974" s="1684"/>
      <c r="AI974" s="1684"/>
      <c r="AJ974" s="1684"/>
      <c r="AK974" s="1684"/>
      <c r="AL974" s="1684"/>
      <c r="AM974" s="1684"/>
      <c r="AN974" s="1684"/>
      <c r="AO974" s="1684"/>
      <c r="AP974" s="1684"/>
      <c r="AQ974" s="1684"/>
      <c r="AR974" s="1684"/>
      <c r="AS974" s="1684"/>
      <c r="AT974" s="1684"/>
      <c r="AU974" s="1684"/>
      <c r="AV974" s="1684"/>
      <c r="AW974" s="1684"/>
      <c r="AX974" s="1684"/>
      <c r="AY974" s="1684"/>
      <c r="AZ974" s="1684"/>
      <c r="BA974" s="1684"/>
      <c r="BB974" s="1684"/>
      <c r="BC974" s="1684"/>
      <c r="BD974" s="1684"/>
      <c r="BE974" s="1684"/>
      <c r="BF974" s="1684"/>
      <c r="BG974" s="1684"/>
      <c r="BH974" s="1684"/>
      <c r="BI974" s="1684"/>
      <c r="BJ974" s="1684"/>
      <c r="BK974" s="1684"/>
      <c r="BL974" s="1684"/>
      <c r="BM974" s="1684"/>
      <c r="BN974" s="1684"/>
      <c r="BO974" s="1684"/>
      <c r="BP974" s="1684"/>
      <c r="BQ974" s="1684"/>
      <c r="BR974" s="1684"/>
      <c r="BS974" s="1684"/>
      <c r="BT974" s="1684"/>
      <c r="BU974" s="1684"/>
      <c r="BV974" s="1684"/>
      <c r="BW974" s="1684"/>
      <c r="BX974" s="1684"/>
      <c r="BY974" s="1684"/>
      <c r="BZ974" s="1684"/>
      <c r="CA974" s="1684"/>
      <c r="CB974" s="1684"/>
      <c r="CC974" s="1684"/>
      <c r="CD974" s="1684"/>
      <c r="CE974" s="1684"/>
      <c r="CF974" s="1684"/>
      <c r="CG974" s="1684"/>
      <c r="CH974" s="1684"/>
      <c r="CI974" s="1684"/>
      <c r="CJ974" s="1684"/>
      <c r="CK974" s="1684"/>
      <c r="CL974" s="1684"/>
      <c r="CM974" s="1684"/>
      <c r="CN974" s="1684"/>
      <c r="CO974" s="1684"/>
    </row>
    <row r="975" spans="1:93" s="1391" customFormat="1" ht="15" x14ac:dyDescent="0.2">
      <c r="A975" s="1684"/>
      <c r="B975" s="1684"/>
      <c r="C975" s="2013">
        <v>10</v>
      </c>
      <c r="D975" s="5">
        <v>6.8049999999999997</v>
      </c>
      <c r="E975" s="5">
        <v>205</v>
      </c>
      <c r="F975" s="5">
        <v>227</v>
      </c>
      <c r="G975" s="5">
        <v>249</v>
      </c>
      <c r="H975" s="5">
        <v>270</v>
      </c>
      <c r="I975" s="5">
        <v>292</v>
      </c>
      <c r="J975" s="5">
        <v>314</v>
      </c>
      <c r="K975" s="5">
        <v>335</v>
      </c>
      <c r="L975" s="5">
        <v>358</v>
      </c>
      <c r="M975" s="5">
        <v>378</v>
      </c>
      <c r="N975" s="5">
        <v>400</v>
      </c>
      <c r="O975" s="5">
        <v>421</v>
      </c>
      <c r="P975" s="5">
        <v>443</v>
      </c>
      <c r="Q975" s="1160">
        <v>36</v>
      </c>
      <c r="R975"/>
      <c r="S975" s="1684"/>
      <c r="T975" s="1684"/>
      <c r="U975" s="1684"/>
      <c r="V975" s="1684"/>
      <c r="W975" s="1684"/>
      <c r="X975" s="1684"/>
      <c r="Y975" s="1684"/>
      <c r="Z975" s="1684"/>
      <c r="AA975" s="1684"/>
      <c r="AB975" s="1684"/>
      <c r="AC975" s="1684"/>
      <c r="AD975" s="1684"/>
      <c r="AE975" s="1684"/>
      <c r="AF975" s="1684"/>
      <c r="AG975" s="1684"/>
      <c r="AH975" s="1684"/>
      <c r="AI975" s="1684"/>
      <c r="AJ975" s="1684"/>
      <c r="AK975" s="1684"/>
      <c r="AL975" s="1684"/>
      <c r="AM975" s="1684"/>
      <c r="AN975" s="1684"/>
      <c r="AO975" s="1684"/>
      <c r="AP975" s="1684"/>
      <c r="AQ975" s="1684"/>
      <c r="AR975" s="1684"/>
      <c r="AS975" s="1684"/>
      <c r="AT975" s="1684"/>
      <c r="AU975" s="1684"/>
      <c r="AV975" s="1684"/>
      <c r="AW975" s="1684"/>
      <c r="AX975" s="1684"/>
      <c r="AY975" s="1684"/>
      <c r="AZ975" s="1684"/>
      <c r="BA975" s="1684"/>
      <c r="BB975" s="1684"/>
      <c r="BC975" s="1684"/>
      <c r="BD975" s="1684"/>
      <c r="BE975" s="1684"/>
      <c r="BF975" s="1684"/>
      <c r="BG975" s="1684"/>
      <c r="BH975" s="1684"/>
      <c r="BI975" s="1684"/>
      <c r="BJ975" s="1684"/>
      <c r="BK975" s="1684"/>
      <c r="BL975" s="1684"/>
      <c r="BM975" s="1684"/>
      <c r="BN975" s="1684"/>
      <c r="BO975" s="1684"/>
      <c r="BP975" s="1684"/>
      <c r="BQ975" s="1684"/>
      <c r="BR975" s="1684"/>
      <c r="BS975" s="1684"/>
      <c r="BT975" s="1684"/>
      <c r="BU975" s="1684"/>
      <c r="BV975" s="1684"/>
      <c r="BW975" s="1684"/>
      <c r="BX975" s="1684"/>
      <c r="BY975" s="1684"/>
      <c r="BZ975" s="1684"/>
      <c r="CA975" s="1684"/>
      <c r="CB975" s="1684"/>
      <c r="CC975" s="1684"/>
      <c r="CD975" s="1684"/>
      <c r="CE975" s="1684"/>
      <c r="CF975" s="1684"/>
      <c r="CG975" s="1684"/>
      <c r="CH975" s="1684"/>
      <c r="CI975" s="1684"/>
      <c r="CJ975" s="1684"/>
      <c r="CK975" s="1684"/>
      <c r="CL975" s="1684"/>
      <c r="CM975" s="1684"/>
      <c r="CN975" s="1684"/>
      <c r="CO975" s="1684"/>
    </row>
    <row r="976" spans="1:93" s="1391" customFormat="1" ht="15" x14ac:dyDescent="0.2">
      <c r="A976" s="1684"/>
      <c r="B976" s="1684"/>
      <c r="C976" s="2013">
        <v>11</v>
      </c>
      <c r="D976" s="5">
        <v>7.3940000000000001</v>
      </c>
      <c r="E976" s="5">
        <v>227</v>
      </c>
      <c r="F976" s="5">
        <v>252</v>
      </c>
      <c r="G976" s="5">
        <v>276</v>
      </c>
      <c r="H976" s="5">
        <v>300</v>
      </c>
      <c r="I976" s="5">
        <v>323</v>
      </c>
      <c r="J976" s="5">
        <v>347</v>
      </c>
      <c r="K976" s="5">
        <v>371</v>
      </c>
      <c r="L976" s="5">
        <v>396</v>
      </c>
      <c r="M976" s="5">
        <v>419</v>
      </c>
      <c r="N976" s="5">
        <v>443</v>
      </c>
      <c r="O976" s="5">
        <v>467</v>
      </c>
      <c r="P976" s="5">
        <v>490</v>
      </c>
      <c r="Q976" s="1160">
        <v>37</v>
      </c>
      <c r="R976"/>
      <c r="S976" s="1684"/>
      <c r="T976" s="1684"/>
      <c r="U976" s="1684"/>
      <c r="V976" s="1684"/>
      <c r="W976" s="1684"/>
      <c r="X976" s="1684"/>
      <c r="Y976" s="1684"/>
      <c r="Z976" s="1684"/>
      <c r="AA976" s="1684"/>
      <c r="AB976" s="1684"/>
      <c r="AC976" s="1684"/>
      <c r="AD976" s="1684"/>
      <c r="AE976" s="1684"/>
      <c r="AF976" s="1684"/>
      <c r="AG976" s="1684"/>
      <c r="AH976" s="1684"/>
      <c r="AI976" s="1684"/>
      <c r="AJ976" s="1684"/>
      <c r="AK976" s="1684"/>
      <c r="AL976" s="1684"/>
      <c r="AM976" s="1684"/>
      <c r="AN976" s="1684"/>
      <c r="AO976" s="1684"/>
      <c r="AP976" s="1684"/>
      <c r="AQ976" s="1684"/>
      <c r="AR976" s="1684"/>
      <c r="AS976" s="1684"/>
      <c r="AT976" s="1684"/>
      <c r="AU976" s="1684"/>
      <c r="AV976" s="1684"/>
      <c r="AW976" s="1684"/>
      <c r="AX976" s="1684"/>
      <c r="AY976" s="1684"/>
      <c r="AZ976" s="1684"/>
      <c r="BA976" s="1684"/>
      <c r="BB976" s="1684"/>
      <c r="BC976" s="1684"/>
      <c r="BD976" s="1684"/>
      <c r="BE976" s="1684"/>
      <c r="BF976" s="1684"/>
      <c r="BG976" s="1684"/>
      <c r="BH976" s="1684"/>
      <c r="BI976" s="1684"/>
      <c r="BJ976" s="1684"/>
      <c r="BK976" s="1684"/>
      <c r="BL976" s="1684"/>
      <c r="BM976" s="1684"/>
      <c r="BN976" s="1684"/>
      <c r="BO976" s="1684"/>
      <c r="BP976" s="1684"/>
      <c r="BQ976" s="1684"/>
      <c r="BR976" s="1684"/>
      <c r="BS976" s="1684"/>
      <c r="BT976" s="1684"/>
      <c r="BU976" s="1684"/>
      <c r="BV976" s="1684"/>
      <c r="BW976" s="1684"/>
      <c r="BX976" s="1684"/>
      <c r="BY976" s="1684"/>
      <c r="BZ976" s="1684"/>
      <c r="CA976" s="1684"/>
      <c r="CB976" s="1684"/>
      <c r="CC976" s="1684"/>
      <c r="CD976" s="1684"/>
      <c r="CE976" s="1684"/>
      <c r="CF976" s="1684"/>
      <c r="CG976" s="1684"/>
      <c r="CH976" s="1684"/>
      <c r="CI976" s="1684"/>
      <c r="CJ976" s="1684"/>
      <c r="CK976" s="1684"/>
      <c r="CL976" s="1684"/>
      <c r="CM976" s="1684"/>
      <c r="CN976" s="1684"/>
      <c r="CO976" s="1684"/>
    </row>
    <row r="977" spans="1:93" s="1391" customFormat="1" ht="15" x14ac:dyDescent="0.2">
      <c r="A977" s="1684"/>
      <c r="B977" s="1684"/>
      <c r="C977" s="2013">
        <v>12</v>
      </c>
      <c r="D977" s="5">
        <v>7.9320000000000004</v>
      </c>
      <c r="E977" s="5">
        <v>250</v>
      </c>
      <c r="F977" s="5">
        <v>278</v>
      </c>
      <c r="G977" s="5">
        <v>304</v>
      </c>
      <c r="H977" s="5">
        <v>330</v>
      </c>
      <c r="I977" s="5">
        <v>356</v>
      </c>
      <c r="J977" s="5">
        <v>383</v>
      </c>
      <c r="K977" s="5">
        <v>409</v>
      </c>
      <c r="L977" s="5">
        <v>437</v>
      </c>
      <c r="M977" s="5">
        <v>462</v>
      </c>
      <c r="N977" s="5">
        <v>488</v>
      </c>
      <c r="O977" s="5">
        <v>514</v>
      </c>
      <c r="P977" s="5">
        <v>541</v>
      </c>
      <c r="Q977" s="1160">
        <v>38</v>
      </c>
      <c r="R977"/>
      <c r="S977" s="1684"/>
      <c r="T977" s="1684"/>
      <c r="U977" s="1684"/>
      <c r="V977" s="1684"/>
      <c r="W977" s="1684"/>
      <c r="X977" s="1684"/>
      <c r="Y977" s="1684"/>
      <c r="Z977" s="1684"/>
      <c r="AA977" s="1684"/>
      <c r="AB977" s="1684"/>
      <c r="AC977" s="1684"/>
      <c r="AD977" s="1684"/>
      <c r="AE977" s="1684"/>
      <c r="AF977" s="1684"/>
      <c r="AG977" s="1684"/>
      <c r="AH977" s="1684"/>
      <c r="AI977" s="1684"/>
      <c r="AJ977" s="1684"/>
      <c r="AK977" s="1684"/>
      <c r="AL977" s="1684"/>
      <c r="AM977" s="1684"/>
      <c r="AN977" s="1684"/>
      <c r="AO977" s="1684"/>
      <c r="AP977" s="1684"/>
      <c r="AQ977" s="1684"/>
      <c r="AR977" s="1684"/>
      <c r="AS977" s="1684"/>
      <c r="AT977" s="1684"/>
      <c r="AU977" s="1684"/>
      <c r="AV977" s="1684"/>
      <c r="AW977" s="1684"/>
      <c r="AX977" s="1684"/>
      <c r="AY977" s="1684"/>
      <c r="AZ977" s="1684"/>
      <c r="BA977" s="1684"/>
      <c r="BB977" s="1684"/>
      <c r="BC977" s="1684"/>
      <c r="BD977" s="1684"/>
      <c r="BE977" s="1684"/>
      <c r="BF977" s="1684"/>
      <c r="BG977" s="1684"/>
      <c r="BH977" s="1684"/>
      <c r="BI977" s="1684"/>
      <c r="BJ977" s="1684"/>
      <c r="BK977" s="1684"/>
      <c r="BL977" s="1684"/>
      <c r="BM977" s="1684"/>
      <c r="BN977" s="1684"/>
      <c r="BO977" s="1684"/>
      <c r="BP977" s="1684"/>
      <c r="BQ977" s="1684"/>
      <c r="BR977" s="1684"/>
      <c r="BS977" s="1684"/>
      <c r="BT977" s="1684"/>
      <c r="BU977" s="1684"/>
      <c r="BV977" s="1684"/>
      <c r="BW977" s="1684"/>
      <c r="BX977" s="1684"/>
      <c r="BY977" s="1684"/>
      <c r="BZ977" s="1684"/>
      <c r="CA977" s="1684"/>
      <c r="CB977" s="1684"/>
      <c r="CC977" s="1684"/>
      <c r="CD977" s="1684"/>
      <c r="CE977" s="1684"/>
      <c r="CF977" s="1684"/>
      <c r="CG977" s="1684"/>
      <c r="CH977" s="1684"/>
      <c r="CI977" s="1684"/>
      <c r="CJ977" s="1684"/>
      <c r="CK977" s="1684"/>
      <c r="CL977" s="1684"/>
      <c r="CM977" s="1684"/>
      <c r="CN977" s="1684"/>
      <c r="CO977" s="1684"/>
    </row>
    <row r="978" spans="1:93" s="1391" customFormat="1" ht="15" x14ac:dyDescent="0.2">
      <c r="A978" s="1684"/>
      <c r="B978" s="1684"/>
      <c r="C978" s="2013">
        <v>13</v>
      </c>
      <c r="D978" s="5">
        <v>8.4879999999999995</v>
      </c>
      <c r="E978" s="5">
        <v>274</v>
      </c>
      <c r="F978" s="5">
        <v>304</v>
      </c>
      <c r="G978" s="5">
        <v>333</v>
      </c>
      <c r="H978" s="5">
        <v>362</v>
      </c>
      <c r="I978" s="5">
        <v>370</v>
      </c>
      <c r="J978" s="5">
        <v>419</v>
      </c>
      <c r="K978" s="5">
        <v>448</v>
      </c>
      <c r="L978" s="5">
        <v>478</v>
      </c>
      <c r="M978" s="5">
        <v>506</v>
      </c>
      <c r="N978" s="5">
        <v>535</v>
      </c>
      <c r="O978" s="5">
        <v>563</v>
      </c>
      <c r="P978" s="5">
        <v>592</v>
      </c>
      <c r="Q978" s="1160">
        <v>39</v>
      </c>
      <c r="R978"/>
      <c r="S978" s="1684"/>
      <c r="T978" s="1684"/>
      <c r="U978" s="1684"/>
      <c r="V978" s="1684"/>
      <c r="W978" s="1684"/>
      <c r="X978" s="1684"/>
      <c r="Y978" s="1684"/>
      <c r="Z978" s="1684"/>
      <c r="AA978" s="1684"/>
      <c r="AB978" s="1684"/>
      <c r="AC978" s="1684"/>
      <c r="AD978" s="1684"/>
      <c r="AE978" s="1684"/>
      <c r="AF978" s="1684"/>
      <c r="AG978" s="1684"/>
      <c r="AH978" s="1684"/>
      <c r="AI978" s="1684"/>
      <c r="AJ978" s="1684"/>
      <c r="AK978" s="1684"/>
      <c r="AL978" s="1684"/>
      <c r="AM978" s="1684"/>
      <c r="AN978" s="1684"/>
      <c r="AO978" s="1684"/>
      <c r="AP978" s="1684"/>
      <c r="AQ978" s="1684"/>
      <c r="AR978" s="1684"/>
      <c r="AS978" s="1684"/>
      <c r="AT978" s="1684"/>
      <c r="AU978" s="1684"/>
      <c r="AV978" s="1684"/>
      <c r="AW978" s="1684"/>
      <c r="AX978" s="1684"/>
      <c r="AY978" s="1684"/>
      <c r="AZ978" s="1684"/>
      <c r="BA978" s="1684"/>
      <c r="BB978" s="1684"/>
      <c r="BC978" s="1684"/>
      <c r="BD978" s="1684"/>
      <c r="BE978" s="1684"/>
      <c r="BF978" s="1684"/>
      <c r="BG978" s="1684"/>
      <c r="BH978" s="1684"/>
      <c r="BI978" s="1684"/>
      <c r="BJ978" s="1684"/>
      <c r="BK978" s="1684"/>
      <c r="BL978" s="1684"/>
      <c r="BM978" s="1684"/>
      <c r="BN978" s="1684"/>
      <c r="BO978" s="1684"/>
      <c r="BP978" s="1684"/>
      <c r="BQ978" s="1684"/>
      <c r="BR978" s="1684"/>
      <c r="BS978" s="1684"/>
      <c r="BT978" s="1684"/>
      <c r="BU978" s="1684"/>
      <c r="BV978" s="1684"/>
      <c r="BW978" s="1684"/>
      <c r="BX978" s="1684"/>
      <c r="BY978" s="1684"/>
      <c r="BZ978" s="1684"/>
      <c r="CA978" s="1684"/>
      <c r="CB978" s="1684"/>
      <c r="CC978" s="1684"/>
      <c r="CD978" s="1684"/>
      <c r="CE978" s="1684"/>
      <c r="CF978" s="1684"/>
      <c r="CG978" s="1684"/>
      <c r="CH978" s="1684"/>
      <c r="CI978" s="1684"/>
      <c r="CJ978" s="1684"/>
      <c r="CK978" s="1684"/>
      <c r="CL978" s="1684"/>
      <c r="CM978" s="1684"/>
      <c r="CN978" s="1684"/>
      <c r="CO978" s="1684"/>
    </row>
    <row r="979" spans="1:93" s="1391" customFormat="1" ht="15" x14ac:dyDescent="0.2">
      <c r="A979" s="1684"/>
      <c r="B979" s="1684"/>
      <c r="C979" s="2013">
        <v>14</v>
      </c>
      <c r="D979" s="5">
        <v>9.0820000000000007</v>
      </c>
      <c r="E979" s="5">
        <v>299</v>
      </c>
      <c r="F979" s="5">
        <v>332</v>
      </c>
      <c r="G979" s="5">
        <v>364</v>
      </c>
      <c r="H979" s="5">
        <v>395</v>
      </c>
      <c r="I979" s="5">
        <v>427</v>
      </c>
      <c r="J979" s="5">
        <v>458</v>
      </c>
      <c r="K979" s="5">
        <v>490</v>
      </c>
      <c r="L979" s="5">
        <v>523</v>
      </c>
      <c r="M979" s="5">
        <v>553</v>
      </c>
      <c r="N979" s="5">
        <v>584</v>
      </c>
      <c r="O979" s="5">
        <v>616</v>
      </c>
      <c r="P979" s="5">
        <v>647</v>
      </c>
      <c r="Q979" s="1160">
        <v>40</v>
      </c>
      <c r="R979"/>
      <c r="S979" s="1684"/>
      <c r="T979" s="1684"/>
      <c r="U979" s="1684"/>
      <c r="V979" s="1684"/>
      <c r="W979" s="1684"/>
      <c r="X979" s="1684"/>
      <c r="Y979" s="1684"/>
      <c r="Z979" s="1684"/>
      <c r="AA979" s="1684"/>
      <c r="AB979" s="1684"/>
      <c r="AC979" s="1684"/>
      <c r="AD979" s="1684"/>
      <c r="AE979" s="1684"/>
      <c r="AF979" s="1684"/>
      <c r="AG979" s="1684"/>
      <c r="AH979" s="1684"/>
      <c r="AI979" s="1684"/>
      <c r="AJ979" s="1684"/>
      <c r="AK979" s="1684"/>
      <c r="AL979" s="1684"/>
      <c r="AM979" s="1684"/>
      <c r="AN979" s="1684"/>
      <c r="AO979" s="1684"/>
      <c r="AP979" s="1684"/>
      <c r="AQ979" s="1684"/>
      <c r="AR979" s="1684"/>
      <c r="AS979" s="1684"/>
      <c r="AT979" s="1684"/>
      <c r="AU979" s="1684"/>
      <c r="AV979" s="1684"/>
      <c r="AW979" s="1684"/>
      <c r="AX979" s="1684"/>
      <c r="AY979" s="1684"/>
      <c r="AZ979" s="1684"/>
      <c r="BA979" s="1684"/>
      <c r="BB979" s="1684"/>
      <c r="BC979" s="1684"/>
      <c r="BD979" s="1684"/>
      <c r="BE979" s="1684"/>
      <c r="BF979" s="1684"/>
      <c r="BG979" s="1684"/>
      <c r="BH979" s="1684"/>
      <c r="BI979" s="1684"/>
      <c r="BJ979" s="1684"/>
      <c r="BK979" s="1684"/>
      <c r="BL979" s="1684"/>
      <c r="BM979" s="1684"/>
      <c r="BN979" s="1684"/>
      <c r="BO979" s="1684"/>
      <c r="BP979" s="1684"/>
      <c r="BQ979" s="1684"/>
      <c r="BR979" s="1684"/>
      <c r="BS979" s="1684"/>
      <c r="BT979" s="1684"/>
      <c r="BU979" s="1684"/>
      <c r="BV979" s="1684"/>
      <c r="BW979" s="1684"/>
      <c r="BX979" s="1684"/>
      <c r="BY979" s="1684"/>
      <c r="BZ979" s="1684"/>
      <c r="CA979" s="1684"/>
      <c r="CB979" s="1684"/>
      <c r="CC979" s="1684"/>
      <c r="CD979" s="1684"/>
      <c r="CE979" s="1684"/>
      <c r="CF979" s="1684"/>
      <c r="CG979" s="1684"/>
      <c r="CH979" s="1684"/>
      <c r="CI979" s="1684"/>
      <c r="CJ979" s="1684"/>
      <c r="CK979" s="1684"/>
      <c r="CL979" s="1684"/>
      <c r="CM979" s="1684"/>
      <c r="CN979" s="1684"/>
      <c r="CO979" s="1684"/>
    </row>
    <row r="980" spans="1:93" s="1391" customFormat="1" ht="15" x14ac:dyDescent="0.2">
      <c r="A980" s="1684"/>
      <c r="B980" s="1684"/>
      <c r="C980" s="2013">
        <v>15</v>
      </c>
      <c r="D980" s="5">
        <v>9.7040000000000006</v>
      </c>
      <c r="E980" s="5">
        <v>326</v>
      </c>
      <c r="F980" s="5">
        <v>362</v>
      </c>
      <c r="G980" s="5">
        <v>396</v>
      </c>
      <c r="H980" s="5">
        <v>430</v>
      </c>
      <c r="I980" s="5">
        <v>464</v>
      </c>
      <c r="J980" s="5">
        <v>499</v>
      </c>
      <c r="K980" s="5">
        <v>533</v>
      </c>
      <c r="L980" s="5">
        <v>569</v>
      </c>
      <c r="M980" s="5">
        <v>601</v>
      </c>
      <c r="N980" s="5">
        <v>636</v>
      </c>
      <c r="O980" s="5">
        <v>670</v>
      </c>
      <c r="P980" s="5">
        <v>704</v>
      </c>
      <c r="Q980" s="1160">
        <v>41</v>
      </c>
      <c r="R980"/>
      <c r="S980" s="1684"/>
      <c r="T980" s="1684"/>
      <c r="U980" s="1684"/>
      <c r="V980" s="1684"/>
      <c r="W980" s="1684"/>
      <c r="X980" s="1684"/>
      <c r="Y980" s="1684"/>
      <c r="Z980" s="1684"/>
      <c r="AA980" s="1684"/>
      <c r="AB980" s="1684"/>
      <c r="AC980" s="1684"/>
      <c r="AD980" s="1684"/>
      <c r="AE980" s="1684"/>
      <c r="AF980" s="1684"/>
      <c r="AG980" s="1684"/>
      <c r="AH980" s="1684"/>
      <c r="AI980" s="1684"/>
      <c r="AJ980" s="1684"/>
      <c r="AK980" s="1684"/>
      <c r="AL980" s="1684"/>
      <c r="AM980" s="1684"/>
      <c r="AN980" s="1684"/>
      <c r="AO980" s="1684"/>
      <c r="AP980" s="1684"/>
      <c r="AQ980" s="1684"/>
      <c r="AR980" s="1684"/>
      <c r="AS980" s="1684"/>
      <c r="AT980" s="1684"/>
      <c r="AU980" s="1684"/>
      <c r="AV980" s="1684"/>
      <c r="AW980" s="1684"/>
      <c r="AX980" s="1684"/>
      <c r="AY980" s="1684"/>
      <c r="AZ980" s="1684"/>
      <c r="BA980" s="1684"/>
      <c r="BB980" s="1684"/>
      <c r="BC980" s="1684"/>
      <c r="BD980" s="1684"/>
      <c r="BE980" s="1684"/>
      <c r="BF980" s="1684"/>
      <c r="BG980" s="1684"/>
      <c r="BH980" s="1684"/>
      <c r="BI980" s="1684"/>
      <c r="BJ980" s="1684"/>
      <c r="BK980" s="1684"/>
      <c r="BL980" s="1684"/>
      <c r="BM980" s="1684"/>
      <c r="BN980" s="1684"/>
      <c r="BO980" s="1684"/>
      <c r="BP980" s="1684"/>
      <c r="BQ980" s="1684"/>
      <c r="BR980" s="1684"/>
      <c r="BS980" s="1684"/>
      <c r="BT980" s="1684"/>
      <c r="BU980" s="1684"/>
      <c r="BV980" s="1684"/>
      <c r="BW980" s="1684"/>
      <c r="BX980" s="1684"/>
      <c r="BY980" s="1684"/>
      <c r="BZ980" s="1684"/>
      <c r="CA980" s="1684"/>
      <c r="CB980" s="1684"/>
      <c r="CC980" s="1684"/>
      <c r="CD980" s="1684"/>
      <c r="CE980" s="1684"/>
      <c r="CF980" s="1684"/>
      <c r="CG980" s="1684"/>
      <c r="CH980" s="1684"/>
      <c r="CI980" s="1684"/>
      <c r="CJ980" s="1684"/>
      <c r="CK980" s="1684"/>
      <c r="CL980" s="1684"/>
      <c r="CM980" s="1684"/>
      <c r="CN980" s="1684"/>
      <c r="CO980" s="1684"/>
    </row>
    <row r="981" spans="1:93" s="1391" customFormat="1" ht="15" x14ac:dyDescent="0.2">
      <c r="A981" s="1684"/>
      <c r="B981" s="1684"/>
      <c r="C981" s="2013">
        <v>16</v>
      </c>
      <c r="D981" s="5">
        <v>10.49</v>
      </c>
      <c r="E981" s="5">
        <v>352</v>
      </c>
      <c r="F981" s="5">
        <v>391</v>
      </c>
      <c r="G981" s="5">
        <v>428</v>
      </c>
      <c r="H981" s="5">
        <v>469</v>
      </c>
      <c r="I981" s="5">
        <v>502</v>
      </c>
      <c r="J981" s="5">
        <v>539</v>
      </c>
      <c r="K981" s="5">
        <v>576</v>
      </c>
      <c r="L981" s="5">
        <v>615</v>
      </c>
      <c r="M981" s="5">
        <v>650</v>
      </c>
      <c r="N981" s="5">
        <v>687</v>
      </c>
      <c r="O981" s="5">
        <v>724</v>
      </c>
      <c r="P981" s="5">
        <v>761</v>
      </c>
      <c r="Q981" s="1160">
        <v>42</v>
      </c>
      <c r="R981"/>
      <c r="S981" s="1684"/>
      <c r="T981" s="1684"/>
      <c r="U981" s="1684"/>
      <c r="V981" s="1684"/>
      <c r="W981" s="1684"/>
      <c r="X981" s="1684"/>
      <c r="Y981" s="1684"/>
      <c r="Z981" s="1684"/>
      <c r="AA981" s="1684"/>
      <c r="AB981" s="1684"/>
      <c r="AC981" s="1684"/>
      <c r="AD981" s="1684"/>
      <c r="AE981" s="1684"/>
      <c r="AF981" s="1684"/>
      <c r="AG981" s="1684"/>
      <c r="AH981" s="1684"/>
      <c r="AI981" s="1684"/>
      <c r="AJ981" s="1684"/>
      <c r="AK981" s="1684"/>
      <c r="AL981" s="1684"/>
      <c r="AM981" s="1684"/>
      <c r="AN981" s="1684"/>
      <c r="AO981" s="1684"/>
      <c r="AP981" s="1684"/>
      <c r="AQ981" s="1684"/>
      <c r="AR981" s="1684"/>
      <c r="AS981" s="1684"/>
      <c r="AT981" s="1684"/>
      <c r="AU981" s="1684"/>
      <c r="AV981" s="1684"/>
      <c r="AW981" s="1684"/>
      <c r="AX981" s="1684"/>
      <c r="AY981" s="1684"/>
      <c r="AZ981" s="1684"/>
      <c r="BA981" s="1684"/>
      <c r="BB981" s="1684"/>
      <c r="BC981" s="1684"/>
      <c r="BD981" s="1684"/>
      <c r="BE981" s="1684"/>
      <c r="BF981" s="1684"/>
      <c r="BG981" s="1684"/>
      <c r="BH981" s="1684"/>
      <c r="BI981" s="1684"/>
      <c r="BJ981" s="1684"/>
      <c r="BK981" s="1684"/>
      <c r="BL981" s="1684"/>
      <c r="BM981" s="1684"/>
      <c r="BN981" s="1684"/>
      <c r="BO981" s="1684"/>
      <c r="BP981" s="1684"/>
      <c r="BQ981" s="1684"/>
      <c r="BR981" s="1684"/>
      <c r="BS981" s="1684"/>
      <c r="BT981" s="1684"/>
      <c r="BU981" s="1684"/>
      <c r="BV981" s="1684"/>
      <c r="BW981" s="1684"/>
      <c r="BX981" s="1684"/>
      <c r="BY981" s="1684"/>
      <c r="BZ981" s="1684"/>
      <c r="CA981" s="1684"/>
      <c r="CB981" s="1684"/>
      <c r="CC981" s="1684"/>
      <c r="CD981" s="1684"/>
      <c r="CE981" s="1684"/>
      <c r="CF981" s="1684"/>
      <c r="CG981" s="1684"/>
      <c r="CH981" s="1684"/>
      <c r="CI981" s="1684"/>
      <c r="CJ981" s="1684"/>
      <c r="CK981" s="1684"/>
      <c r="CL981" s="1684"/>
      <c r="CM981" s="1684"/>
      <c r="CN981" s="1684"/>
      <c r="CO981" s="1684"/>
    </row>
    <row r="982" spans="1:93" s="1391" customFormat="1" ht="15" x14ac:dyDescent="0.2">
      <c r="A982" s="1684"/>
      <c r="B982" s="1684"/>
      <c r="C982" s="2013">
        <v>17</v>
      </c>
      <c r="D982" s="5">
        <v>11.321999999999999</v>
      </c>
      <c r="E982" s="5">
        <v>376</v>
      </c>
      <c r="F982" s="5">
        <v>418</v>
      </c>
      <c r="G982" s="5">
        <v>457</v>
      </c>
      <c r="H982" s="5">
        <v>497</v>
      </c>
      <c r="I982" s="5">
        <v>537</v>
      </c>
      <c r="J982" s="5">
        <v>576</v>
      </c>
      <c r="K982" s="5">
        <v>616</v>
      </c>
      <c r="L982" s="5">
        <v>657</v>
      </c>
      <c r="M982" s="5">
        <v>695</v>
      </c>
      <c r="N982" s="5">
        <v>735</v>
      </c>
      <c r="O982" s="5">
        <v>774</v>
      </c>
      <c r="P982" s="5">
        <v>814</v>
      </c>
      <c r="Q982" s="1160">
        <v>43</v>
      </c>
      <c r="R982"/>
      <c r="S982" s="1684"/>
      <c r="T982" s="1684"/>
      <c r="U982" s="1684"/>
      <c r="V982" s="1684"/>
      <c r="W982" s="1684"/>
      <c r="X982" s="1684"/>
      <c r="Y982" s="1684"/>
      <c r="Z982" s="1684"/>
      <c r="AA982" s="1684"/>
      <c r="AB982" s="1684"/>
      <c r="AC982" s="1684"/>
      <c r="AD982" s="1684"/>
      <c r="AE982" s="1684"/>
      <c r="AF982" s="1684"/>
      <c r="AG982" s="1684"/>
      <c r="AH982" s="1684"/>
      <c r="AI982" s="1684"/>
      <c r="AJ982" s="1684"/>
      <c r="AK982" s="1684"/>
      <c r="AL982" s="1684"/>
      <c r="AM982" s="1684"/>
      <c r="AN982" s="1684"/>
      <c r="AO982" s="1684"/>
      <c r="AP982" s="1684"/>
      <c r="AQ982" s="1684"/>
      <c r="AR982" s="1684"/>
      <c r="AS982" s="1684"/>
      <c r="AT982" s="1684"/>
      <c r="AU982" s="1684"/>
      <c r="AV982" s="1684"/>
      <c r="AW982" s="1684"/>
      <c r="AX982" s="1684"/>
      <c r="AY982" s="1684"/>
      <c r="AZ982" s="1684"/>
      <c r="BA982" s="1684"/>
      <c r="BB982" s="1684"/>
      <c r="BC982" s="1684"/>
      <c r="BD982" s="1684"/>
      <c r="BE982" s="1684"/>
      <c r="BF982" s="1684"/>
      <c r="BG982" s="1684"/>
      <c r="BH982" s="1684"/>
      <c r="BI982" s="1684"/>
      <c r="BJ982" s="1684"/>
      <c r="BK982" s="1684"/>
      <c r="BL982" s="1684"/>
      <c r="BM982" s="1684"/>
      <c r="BN982" s="1684"/>
      <c r="BO982" s="1684"/>
      <c r="BP982" s="1684"/>
      <c r="BQ982" s="1684"/>
      <c r="BR982" s="1684"/>
      <c r="BS982" s="1684"/>
      <c r="BT982" s="1684"/>
      <c r="BU982" s="1684"/>
      <c r="BV982" s="1684"/>
      <c r="BW982" s="1684"/>
      <c r="BX982" s="1684"/>
      <c r="BY982" s="1684"/>
      <c r="BZ982" s="1684"/>
      <c r="CA982" s="1684"/>
      <c r="CB982" s="1684"/>
      <c r="CC982" s="1684"/>
      <c r="CD982" s="1684"/>
      <c r="CE982" s="1684"/>
      <c r="CF982" s="1684"/>
      <c r="CG982" s="1684"/>
      <c r="CH982" s="1684"/>
      <c r="CI982" s="1684"/>
      <c r="CJ982" s="1684"/>
      <c r="CK982" s="1684"/>
      <c r="CL982" s="1684"/>
      <c r="CM982" s="1684"/>
      <c r="CN982" s="1684"/>
      <c r="CO982" s="1684"/>
    </row>
    <row r="983" spans="1:93" s="1391" customFormat="1" ht="15" x14ac:dyDescent="0.2">
      <c r="A983" s="1684"/>
      <c r="B983" s="1684"/>
      <c r="C983" s="2013">
        <v>18</v>
      </c>
      <c r="D983" s="5">
        <v>11.875</v>
      </c>
      <c r="E983" s="5">
        <v>399</v>
      </c>
      <c r="F983" s="5">
        <v>443</v>
      </c>
      <c r="G983" s="5">
        <v>485</v>
      </c>
      <c r="H983" s="5">
        <v>527</v>
      </c>
      <c r="I983" s="5">
        <v>569</v>
      </c>
      <c r="J983" s="5">
        <v>611</v>
      </c>
      <c r="K983" s="5">
        <v>653</v>
      </c>
      <c r="L983" s="5">
        <v>697</v>
      </c>
      <c r="M983" s="5">
        <v>737</v>
      </c>
      <c r="N983" s="5">
        <v>779</v>
      </c>
      <c r="O983" s="5">
        <v>821</v>
      </c>
      <c r="P983" s="5">
        <v>863</v>
      </c>
      <c r="Q983" s="1160">
        <v>44</v>
      </c>
      <c r="R983"/>
      <c r="S983" s="1684"/>
      <c r="T983" s="1684"/>
      <c r="U983" s="1684"/>
      <c r="V983" s="1684"/>
      <c r="W983" s="1684"/>
      <c r="X983" s="1684"/>
      <c r="Y983" s="1684"/>
      <c r="Z983" s="1684"/>
      <c r="AA983" s="1684"/>
      <c r="AB983" s="1684"/>
      <c r="AC983" s="1684"/>
      <c r="AD983" s="1684"/>
      <c r="AE983" s="1684"/>
      <c r="AF983" s="1684"/>
      <c r="AG983" s="1684"/>
      <c r="AH983" s="1684"/>
      <c r="AI983" s="1684"/>
      <c r="AJ983" s="1684"/>
      <c r="AK983" s="1684"/>
      <c r="AL983" s="1684"/>
      <c r="AM983" s="1684"/>
      <c r="AN983" s="1684"/>
      <c r="AO983" s="1684"/>
      <c r="AP983" s="1684"/>
      <c r="AQ983" s="1684"/>
      <c r="AR983" s="1684"/>
      <c r="AS983" s="1684"/>
      <c r="AT983" s="1684"/>
      <c r="AU983" s="1684"/>
      <c r="AV983" s="1684"/>
      <c r="AW983" s="1684"/>
      <c r="AX983" s="1684"/>
      <c r="AY983" s="1684"/>
      <c r="AZ983" s="1684"/>
      <c r="BA983" s="1684"/>
      <c r="BB983" s="1684"/>
      <c r="BC983" s="1684"/>
      <c r="BD983" s="1684"/>
      <c r="BE983" s="1684"/>
      <c r="BF983" s="1684"/>
      <c r="BG983" s="1684"/>
      <c r="BH983" s="1684"/>
      <c r="BI983" s="1684"/>
      <c r="BJ983" s="1684"/>
      <c r="BK983" s="1684"/>
      <c r="BL983" s="1684"/>
      <c r="BM983" s="1684"/>
      <c r="BN983" s="1684"/>
      <c r="BO983" s="1684"/>
      <c r="BP983" s="1684"/>
      <c r="BQ983" s="1684"/>
      <c r="BR983" s="1684"/>
      <c r="BS983" s="1684"/>
      <c r="BT983" s="1684"/>
      <c r="BU983" s="1684"/>
      <c r="BV983" s="1684"/>
      <c r="BW983" s="1684"/>
      <c r="BX983" s="1684"/>
      <c r="BY983" s="1684"/>
      <c r="BZ983" s="1684"/>
      <c r="CA983" s="1684"/>
      <c r="CB983" s="1684"/>
      <c r="CC983" s="1684"/>
      <c r="CD983" s="1684"/>
      <c r="CE983" s="1684"/>
      <c r="CF983" s="1684"/>
      <c r="CG983" s="1684"/>
      <c r="CH983" s="1684"/>
      <c r="CI983" s="1684"/>
      <c r="CJ983" s="1684"/>
      <c r="CK983" s="1684"/>
      <c r="CL983" s="1684"/>
      <c r="CM983" s="1684"/>
      <c r="CN983" s="1684"/>
      <c r="CO983" s="1684"/>
    </row>
    <row r="984" spans="1:93" s="1391" customFormat="1" ht="15" x14ac:dyDescent="0.2">
      <c r="A984" s="1684"/>
      <c r="B984" s="1684"/>
      <c r="C984" s="4680" t="s">
        <v>1906</v>
      </c>
      <c r="D984" s="4681"/>
      <c r="E984" s="4681"/>
      <c r="F984" s="4681"/>
      <c r="G984" s="4681"/>
      <c r="H984" s="4681"/>
      <c r="I984" s="4681"/>
      <c r="J984" s="4681"/>
      <c r="K984" s="4681"/>
      <c r="L984" s="4681"/>
      <c r="M984" s="4681"/>
      <c r="N984" s="4681"/>
      <c r="O984" s="4681"/>
      <c r="P984" s="4681"/>
      <c r="Q984" s="4682"/>
      <c r="R984"/>
      <c r="S984" s="1684"/>
      <c r="T984" s="1684"/>
      <c r="U984" s="1684"/>
      <c r="V984" s="1684"/>
      <c r="W984" s="1684"/>
      <c r="X984" s="1684"/>
      <c r="Y984" s="1684"/>
      <c r="Z984" s="1684"/>
      <c r="AA984" s="1684"/>
      <c r="AB984" s="1684"/>
      <c r="AC984" s="1684"/>
      <c r="AD984" s="1684"/>
      <c r="AE984" s="1684"/>
      <c r="AF984" s="1684"/>
      <c r="AG984" s="1684"/>
      <c r="AH984" s="1684"/>
      <c r="AI984" s="1684"/>
      <c r="AJ984" s="1684"/>
      <c r="AK984" s="1684"/>
      <c r="AL984" s="1684"/>
      <c r="AM984" s="1684"/>
      <c r="AN984" s="1684"/>
      <c r="AO984" s="1684"/>
      <c r="AP984" s="1684"/>
      <c r="AQ984" s="1684"/>
      <c r="AR984" s="1684"/>
      <c r="AS984" s="1684"/>
      <c r="AT984" s="1684"/>
      <c r="AU984" s="1684"/>
      <c r="AV984" s="1684"/>
      <c r="AW984" s="1684"/>
      <c r="AX984" s="1684"/>
      <c r="AY984" s="1684"/>
      <c r="AZ984" s="1684"/>
      <c r="BA984" s="1684"/>
      <c r="BB984" s="1684"/>
      <c r="BC984" s="1684"/>
      <c r="BD984" s="1684"/>
      <c r="BE984" s="1684"/>
      <c r="BF984" s="1684"/>
      <c r="BG984" s="1684"/>
      <c r="BH984" s="1684"/>
      <c r="BI984" s="1684"/>
      <c r="BJ984" s="1684"/>
      <c r="BK984" s="1684"/>
      <c r="BL984" s="1684"/>
      <c r="BM984" s="1684"/>
      <c r="BN984" s="1684"/>
      <c r="BO984" s="1684"/>
      <c r="BP984" s="1684"/>
      <c r="BQ984" s="1684"/>
      <c r="BR984" s="1684"/>
      <c r="BS984" s="1684"/>
      <c r="BT984" s="1684"/>
      <c r="BU984" s="1684"/>
      <c r="BV984" s="1684"/>
      <c r="BW984" s="1684"/>
      <c r="BX984" s="1684"/>
      <c r="BY984" s="1684"/>
      <c r="BZ984" s="1684"/>
      <c r="CA984" s="1684"/>
      <c r="CB984" s="1684"/>
      <c r="CC984" s="1684"/>
      <c r="CD984" s="1684"/>
      <c r="CE984" s="1684"/>
      <c r="CF984" s="1684"/>
      <c r="CG984" s="1684"/>
      <c r="CH984" s="1684"/>
      <c r="CI984" s="1684"/>
      <c r="CJ984" s="1684"/>
      <c r="CK984" s="1684"/>
      <c r="CL984" s="1684"/>
      <c r="CM984" s="1684"/>
      <c r="CN984" s="1684"/>
      <c r="CO984" s="1684"/>
    </row>
    <row r="985" spans="1:93" s="1391" customFormat="1" ht="15" x14ac:dyDescent="0.2">
      <c r="A985" s="1684"/>
      <c r="B985" s="1684"/>
      <c r="C985" s="4680"/>
      <c r="D985" s="4681"/>
      <c r="E985" s="4681"/>
      <c r="F985" s="4681"/>
      <c r="G985" s="4681"/>
      <c r="H985" s="4681"/>
      <c r="I985" s="4681"/>
      <c r="J985" s="4681"/>
      <c r="K985" s="4681"/>
      <c r="L985" s="4681"/>
      <c r="M985" s="4681"/>
      <c r="N985" s="4681"/>
      <c r="O985" s="4681"/>
      <c r="P985" s="4681"/>
      <c r="Q985" s="4682"/>
      <c r="R985"/>
      <c r="S985" s="1684"/>
      <c r="T985" s="1684"/>
      <c r="U985" s="1684"/>
      <c r="V985" s="1684"/>
      <c r="W985" s="1684"/>
      <c r="X985" s="1684"/>
      <c r="Y985" s="1684"/>
      <c r="Z985" s="1684"/>
      <c r="AA985" s="1684"/>
      <c r="AB985" s="1684"/>
      <c r="AC985" s="1684"/>
      <c r="AD985" s="1684"/>
      <c r="AE985" s="1684"/>
      <c r="AF985" s="1684"/>
      <c r="AG985" s="1684"/>
      <c r="AH985" s="1684"/>
      <c r="AI985" s="1684"/>
      <c r="AJ985" s="1684"/>
      <c r="AK985" s="1684"/>
      <c r="AL985" s="1684"/>
      <c r="AM985" s="1684"/>
      <c r="AN985" s="1684"/>
      <c r="AO985" s="1684"/>
      <c r="AP985" s="1684"/>
      <c r="AQ985" s="1684"/>
      <c r="AR985" s="1684"/>
      <c r="AS985" s="1684"/>
      <c r="AT985" s="1684"/>
      <c r="AU985" s="1684"/>
      <c r="AV985" s="1684"/>
      <c r="AW985" s="1684"/>
      <c r="AX985" s="1684"/>
      <c r="AY985" s="1684"/>
      <c r="AZ985" s="1684"/>
      <c r="BA985" s="1684"/>
      <c r="BB985" s="1684"/>
      <c r="BC985" s="1684"/>
      <c r="BD985" s="1684"/>
      <c r="BE985" s="1684"/>
      <c r="BF985" s="1684"/>
      <c r="BG985" s="1684"/>
      <c r="BH985" s="1684"/>
      <c r="BI985" s="1684"/>
      <c r="BJ985" s="1684"/>
      <c r="BK985" s="1684"/>
      <c r="BL985" s="1684"/>
      <c r="BM985" s="1684"/>
      <c r="BN985" s="1684"/>
      <c r="BO985" s="1684"/>
      <c r="BP985" s="1684"/>
      <c r="BQ985" s="1684"/>
      <c r="BR985" s="1684"/>
      <c r="BS985" s="1684"/>
      <c r="BT985" s="1684"/>
      <c r="BU985" s="1684"/>
      <c r="BV985" s="1684"/>
      <c r="BW985" s="1684"/>
      <c r="BX985" s="1684"/>
      <c r="BY985" s="1684"/>
      <c r="BZ985" s="1684"/>
      <c r="CA985" s="1684"/>
      <c r="CB985" s="1684"/>
      <c r="CC985" s="1684"/>
      <c r="CD985" s="1684"/>
      <c r="CE985" s="1684"/>
      <c r="CF985" s="1684"/>
      <c r="CG985" s="1684"/>
      <c r="CH985" s="1684"/>
      <c r="CI985" s="1684"/>
      <c r="CJ985" s="1684"/>
      <c r="CK985" s="1684"/>
      <c r="CL985" s="1684"/>
      <c r="CM985" s="1684"/>
      <c r="CN985" s="1684"/>
      <c r="CO985" s="1684"/>
    </row>
    <row r="986" spans="1:93" s="1391" customFormat="1" ht="15" x14ac:dyDescent="0.2">
      <c r="A986" s="1684"/>
      <c r="B986" s="1684"/>
      <c r="C986" s="4680" t="s">
        <v>3690</v>
      </c>
      <c r="D986" s="4681"/>
      <c r="E986" s="4681"/>
      <c r="F986" s="4681"/>
      <c r="G986" s="4681"/>
      <c r="H986" s="4681"/>
      <c r="I986" s="4681"/>
      <c r="J986" s="4681"/>
      <c r="K986" s="4681"/>
      <c r="L986" s="4681"/>
      <c r="M986" s="4681"/>
      <c r="N986" s="4681"/>
      <c r="O986" s="4681"/>
      <c r="P986" s="4681"/>
      <c r="Q986" s="4682"/>
      <c r="R986"/>
      <c r="S986" s="1684"/>
      <c r="T986" s="1684"/>
      <c r="U986" s="1684"/>
      <c r="V986" s="1684"/>
      <c r="W986" s="1684"/>
      <c r="X986" s="1684"/>
      <c r="Y986" s="1684"/>
      <c r="Z986" s="1684"/>
      <c r="AA986" s="1684"/>
      <c r="AB986" s="1684"/>
      <c r="AC986" s="1684"/>
      <c r="AD986" s="1684"/>
      <c r="AE986" s="1684"/>
      <c r="AF986" s="1684"/>
      <c r="AG986" s="1684"/>
      <c r="AH986" s="1684"/>
      <c r="AI986" s="1684"/>
      <c r="AJ986" s="1684"/>
      <c r="AK986" s="1684"/>
      <c r="AL986" s="1684"/>
      <c r="AM986" s="1684"/>
      <c r="AN986" s="1684"/>
      <c r="AO986" s="1684"/>
      <c r="AP986" s="1684"/>
      <c r="AQ986" s="1684"/>
      <c r="AR986" s="1684"/>
      <c r="AS986" s="1684"/>
      <c r="AT986" s="1684"/>
      <c r="AU986" s="1684"/>
      <c r="AV986" s="1684"/>
      <c r="AW986" s="1684"/>
      <c r="AX986" s="1684"/>
      <c r="AY986" s="1684"/>
      <c r="AZ986" s="1684"/>
      <c r="BA986" s="1684"/>
      <c r="BB986" s="1684"/>
      <c r="BC986" s="1684"/>
      <c r="BD986" s="1684"/>
      <c r="BE986" s="1684"/>
      <c r="BF986" s="1684"/>
      <c r="BG986" s="1684"/>
      <c r="BH986" s="1684"/>
      <c r="BI986" s="1684"/>
      <c r="BJ986" s="1684"/>
      <c r="BK986" s="1684"/>
      <c r="BL986" s="1684"/>
      <c r="BM986" s="1684"/>
      <c r="BN986" s="1684"/>
      <c r="BO986" s="1684"/>
      <c r="BP986" s="1684"/>
      <c r="BQ986" s="1684"/>
      <c r="BR986" s="1684"/>
      <c r="BS986" s="1684"/>
      <c r="BT986" s="1684"/>
      <c r="BU986" s="1684"/>
      <c r="BV986" s="1684"/>
      <c r="BW986" s="1684"/>
      <c r="BX986" s="1684"/>
      <c r="BY986" s="1684"/>
      <c r="BZ986" s="1684"/>
      <c r="CA986" s="1684"/>
      <c r="CB986" s="1684"/>
      <c r="CC986" s="1684"/>
      <c r="CD986" s="1684"/>
      <c r="CE986" s="1684"/>
      <c r="CF986" s="1684"/>
      <c r="CG986" s="1684"/>
      <c r="CH986" s="1684"/>
      <c r="CI986" s="1684"/>
      <c r="CJ986" s="1684"/>
      <c r="CK986" s="1684"/>
      <c r="CL986" s="1684"/>
      <c r="CM986" s="1684"/>
      <c r="CN986" s="1684"/>
      <c r="CO986" s="1684"/>
    </row>
    <row r="987" spans="1:93" s="1391" customFormat="1" ht="15" x14ac:dyDescent="0.2">
      <c r="A987" s="1684"/>
      <c r="B987" s="1684"/>
      <c r="C987" s="4680"/>
      <c r="D987" s="4681"/>
      <c r="E987" s="4681"/>
      <c r="F987" s="4681"/>
      <c r="G987" s="4681"/>
      <c r="H987" s="4681"/>
      <c r="I987" s="4681"/>
      <c r="J987" s="4681"/>
      <c r="K987" s="4681"/>
      <c r="L987" s="4681"/>
      <c r="M987" s="4681"/>
      <c r="N987" s="4681"/>
      <c r="O987" s="4681"/>
      <c r="P987" s="4681"/>
      <c r="Q987" s="4682"/>
      <c r="R987"/>
      <c r="S987" s="1684"/>
      <c r="T987" s="1684"/>
      <c r="U987" s="1684"/>
      <c r="V987" s="1684"/>
      <c r="W987" s="1684"/>
      <c r="X987" s="1684"/>
      <c r="Y987" s="1684"/>
      <c r="Z987" s="1684"/>
      <c r="AA987" s="1684"/>
      <c r="AB987" s="1684"/>
      <c r="AC987" s="1684"/>
      <c r="AD987" s="1684"/>
      <c r="AE987" s="1684"/>
      <c r="AF987" s="1684"/>
      <c r="AG987" s="1684"/>
      <c r="AH987" s="1684"/>
      <c r="AI987" s="1684"/>
      <c r="AJ987" s="1684"/>
      <c r="AK987" s="1684"/>
      <c r="AL987" s="1684"/>
      <c r="AM987" s="1684"/>
      <c r="AN987" s="1684"/>
      <c r="AO987" s="1684"/>
      <c r="AP987" s="1684"/>
      <c r="AQ987" s="1684"/>
      <c r="AR987" s="1684"/>
      <c r="AS987" s="1684"/>
      <c r="AT987" s="1684"/>
      <c r="AU987" s="1684"/>
      <c r="AV987" s="1684"/>
      <c r="AW987" s="1684"/>
      <c r="AX987" s="1684"/>
      <c r="AY987" s="1684"/>
      <c r="AZ987" s="1684"/>
      <c r="BA987" s="1684"/>
      <c r="BB987" s="1684"/>
      <c r="BC987" s="1684"/>
      <c r="BD987" s="1684"/>
      <c r="BE987" s="1684"/>
      <c r="BF987" s="1684"/>
      <c r="BG987" s="1684"/>
      <c r="BH987" s="1684"/>
      <c r="BI987" s="1684"/>
      <c r="BJ987" s="1684"/>
      <c r="BK987" s="1684"/>
      <c r="BL987" s="1684"/>
      <c r="BM987" s="1684"/>
      <c r="BN987" s="1684"/>
      <c r="BO987" s="1684"/>
      <c r="BP987" s="1684"/>
      <c r="BQ987" s="1684"/>
      <c r="BR987" s="1684"/>
      <c r="BS987" s="1684"/>
      <c r="BT987" s="1684"/>
      <c r="BU987" s="1684"/>
      <c r="BV987" s="1684"/>
      <c r="BW987" s="1684"/>
      <c r="BX987" s="1684"/>
      <c r="BY987" s="1684"/>
      <c r="BZ987" s="1684"/>
      <c r="CA987" s="1684"/>
      <c r="CB987" s="1684"/>
      <c r="CC987" s="1684"/>
      <c r="CD987" s="1684"/>
      <c r="CE987" s="1684"/>
      <c r="CF987" s="1684"/>
      <c r="CG987" s="1684"/>
      <c r="CH987" s="1684"/>
      <c r="CI987" s="1684"/>
      <c r="CJ987" s="1684"/>
      <c r="CK987" s="1684"/>
      <c r="CL987" s="1684"/>
      <c r="CM987" s="1684"/>
      <c r="CN987" s="1684"/>
      <c r="CO987" s="1684"/>
    </row>
    <row r="988" spans="1:93" s="1391" customFormat="1" ht="15" x14ac:dyDescent="0.2">
      <c r="A988" s="1684"/>
      <c r="B988" s="1684"/>
      <c r="C988" s="2013"/>
      <c r="D988" s="5"/>
      <c r="E988" s="5">
        <v>1</v>
      </c>
      <c r="F988" s="5">
        <v>2</v>
      </c>
      <c r="G988" s="5">
        <v>3</v>
      </c>
      <c r="H988" s="5">
        <v>4</v>
      </c>
      <c r="I988" s="5">
        <v>5</v>
      </c>
      <c r="J988" s="5">
        <v>6</v>
      </c>
      <c r="K988" s="5">
        <v>7</v>
      </c>
      <c r="L988" s="5">
        <v>8</v>
      </c>
      <c r="M988" s="5">
        <v>9</v>
      </c>
      <c r="N988" s="5">
        <v>10</v>
      </c>
      <c r="O988" s="5">
        <v>11</v>
      </c>
      <c r="P988" s="5">
        <v>12</v>
      </c>
      <c r="Q988" s="1160"/>
      <c r="R988"/>
      <c r="S988" s="1684"/>
      <c r="T988" s="1684"/>
      <c r="U988" s="1684"/>
      <c r="V988" s="1684"/>
      <c r="W988" s="1684"/>
      <c r="X988" s="1684"/>
      <c r="Y988" s="1684"/>
      <c r="Z988" s="1684"/>
      <c r="AA988" s="1684"/>
      <c r="AB988" s="1684"/>
      <c r="AC988" s="1684"/>
      <c r="AD988" s="1684"/>
      <c r="AE988" s="1684"/>
      <c r="AF988" s="1684"/>
      <c r="AG988" s="1684"/>
      <c r="AH988" s="1684"/>
      <c r="AI988" s="1684"/>
      <c r="AJ988" s="1684"/>
      <c r="AK988" s="1684"/>
      <c r="AL988" s="1684"/>
      <c r="AM988" s="1684"/>
      <c r="AN988" s="1684"/>
      <c r="AO988" s="1684"/>
      <c r="AP988" s="1684"/>
      <c r="AQ988" s="1684"/>
      <c r="AR988" s="1684"/>
      <c r="AS988" s="1684"/>
      <c r="AT988" s="1684"/>
      <c r="AU988" s="1684"/>
      <c r="AV988" s="1684"/>
      <c r="AW988" s="1684"/>
      <c r="AX988" s="1684"/>
      <c r="AY988" s="1684"/>
      <c r="AZ988" s="1684"/>
      <c r="BA988" s="1684"/>
      <c r="BB988" s="1684"/>
      <c r="BC988" s="1684"/>
      <c r="BD988" s="1684"/>
      <c r="BE988" s="1684"/>
      <c r="BF988" s="1684"/>
      <c r="BG988" s="1684"/>
      <c r="BH988" s="1684"/>
      <c r="BI988" s="1684"/>
      <c r="BJ988" s="1684"/>
      <c r="BK988" s="1684"/>
      <c r="BL988" s="1684"/>
      <c r="BM988" s="1684"/>
      <c r="BN988" s="1684"/>
      <c r="BO988" s="1684"/>
      <c r="BP988" s="1684"/>
      <c r="BQ988" s="1684"/>
      <c r="BR988" s="1684"/>
      <c r="BS988" s="1684"/>
      <c r="BT988" s="1684"/>
      <c r="BU988" s="1684"/>
      <c r="BV988" s="1684"/>
      <c r="BW988" s="1684"/>
      <c r="BX988" s="1684"/>
      <c r="BY988" s="1684"/>
      <c r="BZ988" s="1684"/>
      <c r="CA988" s="1684"/>
      <c r="CB988" s="1684"/>
      <c r="CC988" s="1684"/>
      <c r="CD988" s="1684"/>
      <c r="CE988" s="1684"/>
      <c r="CF988" s="1684"/>
      <c r="CG988" s="1684"/>
      <c r="CH988" s="1684"/>
      <c r="CI988" s="1684"/>
      <c r="CJ988" s="1684"/>
      <c r="CK988" s="1684"/>
      <c r="CL988" s="1684"/>
      <c r="CM988" s="1684"/>
      <c r="CN988" s="1684"/>
      <c r="CO988" s="1684"/>
    </row>
    <row r="989" spans="1:93" s="1391" customFormat="1" ht="15" x14ac:dyDescent="0.2">
      <c r="A989" s="1684"/>
      <c r="B989" s="1684"/>
      <c r="C989" s="2013">
        <v>8</v>
      </c>
      <c r="D989" s="5">
        <v>5.7060000000000004</v>
      </c>
      <c r="E989" s="5">
        <v>145</v>
      </c>
      <c r="F989" s="5">
        <v>161</v>
      </c>
      <c r="G989" s="5">
        <v>175</v>
      </c>
      <c r="H989" s="5">
        <v>189</v>
      </c>
      <c r="I989" s="5">
        <v>203</v>
      </c>
      <c r="J989" s="5">
        <v>217</v>
      </c>
      <c r="K989" s="5">
        <v>231</v>
      </c>
      <c r="L989" s="5">
        <v>246</v>
      </c>
      <c r="M989" s="5">
        <v>259</v>
      </c>
      <c r="N989" s="5">
        <v>272</v>
      </c>
      <c r="O989" s="5">
        <v>286</v>
      </c>
      <c r="P989" s="5">
        <v>299</v>
      </c>
      <c r="Q989" s="1160">
        <v>45</v>
      </c>
      <c r="R989"/>
      <c r="S989" s="1684"/>
      <c r="T989" s="1684"/>
      <c r="U989" s="1684"/>
      <c r="V989" s="1684"/>
      <c r="W989" s="1684"/>
      <c r="X989" s="1684"/>
      <c r="Y989" s="1684"/>
      <c r="Z989" s="1684"/>
      <c r="AA989" s="1684"/>
      <c r="AB989" s="1684"/>
      <c r="AC989" s="1684"/>
      <c r="AD989" s="1684"/>
      <c r="AE989" s="1684"/>
      <c r="AF989" s="1684"/>
      <c r="AG989" s="1684"/>
      <c r="AH989" s="1684"/>
      <c r="AI989" s="1684"/>
      <c r="AJ989" s="1684"/>
      <c r="AK989" s="1684"/>
      <c r="AL989" s="1684"/>
      <c r="AM989" s="1684"/>
      <c r="AN989" s="1684"/>
      <c r="AO989" s="1684"/>
      <c r="AP989" s="1684"/>
      <c r="AQ989" s="1684"/>
      <c r="AR989" s="1684"/>
      <c r="AS989" s="1684"/>
      <c r="AT989" s="1684"/>
      <c r="AU989" s="1684"/>
      <c r="AV989" s="1684"/>
      <c r="AW989" s="1684"/>
      <c r="AX989" s="1684"/>
      <c r="AY989" s="1684"/>
      <c r="AZ989" s="1684"/>
      <c r="BA989" s="1684"/>
      <c r="BB989" s="1684"/>
      <c r="BC989" s="1684"/>
      <c r="BD989" s="1684"/>
      <c r="BE989" s="1684"/>
      <c r="BF989" s="1684"/>
      <c r="BG989" s="1684"/>
      <c r="BH989" s="1684"/>
      <c r="BI989" s="1684"/>
      <c r="BJ989" s="1684"/>
      <c r="BK989" s="1684"/>
      <c r="BL989" s="1684"/>
      <c r="BM989" s="1684"/>
      <c r="BN989" s="1684"/>
      <c r="BO989" s="1684"/>
      <c r="BP989" s="1684"/>
      <c r="BQ989" s="1684"/>
      <c r="BR989" s="1684"/>
      <c r="BS989" s="1684"/>
      <c r="BT989" s="1684"/>
      <c r="BU989" s="1684"/>
      <c r="BV989" s="1684"/>
      <c r="BW989" s="1684"/>
      <c r="BX989" s="1684"/>
      <c r="BY989" s="1684"/>
      <c r="BZ989" s="1684"/>
      <c r="CA989" s="1684"/>
      <c r="CB989" s="1684"/>
      <c r="CC989" s="1684"/>
      <c r="CD989" s="1684"/>
      <c r="CE989" s="1684"/>
      <c r="CF989" s="1684"/>
      <c r="CG989" s="1684"/>
      <c r="CH989" s="1684"/>
      <c r="CI989" s="1684"/>
      <c r="CJ989" s="1684"/>
      <c r="CK989" s="1684"/>
      <c r="CL989" s="1684"/>
      <c r="CM989" s="1684"/>
      <c r="CN989" s="1684"/>
      <c r="CO989" s="1684"/>
    </row>
    <row r="990" spans="1:93" s="1391" customFormat="1" ht="15" x14ac:dyDescent="0.2">
      <c r="A990" s="1684"/>
      <c r="B990" s="1684"/>
      <c r="C990" s="2013">
        <v>9</v>
      </c>
      <c r="D990" s="5">
        <v>6.085</v>
      </c>
      <c r="E990" s="5">
        <v>160</v>
      </c>
      <c r="F990" s="5">
        <v>177</v>
      </c>
      <c r="G990" s="5">
        <v>192</v>
      </c>
      <c r="H990" s="5">
        <v>208</v>
      </c>
      <c r="I990" s="5">
        <v>224</v>
      </c>
      <c r="J990" s="5">
        <v>239</v>
      </c>
      <c r="K990" s="5">
        <v>254</v>
      </c>
      <c r="L990" s="5">
        <v>270</v>
      </c>
      <c r="M990" s="5">
        <v>284</v>
      </c>
      <c r="N990" s="5">
        <v>299</v>
      </c>
      <c r="O990" s="5">
        <v>313</v>
      </c>
      <c r="P990" s="5">
        <v>323</v>
      </c>
      <c r="Q990" s="1160">
        <v>46</v>
      </c>
      <c r="R990"/>
      <c r="S990" s="1684"/>
      <c r="T990" s="1684"/>
      <c r="U990" s="1684"/>
      <c r="V990" s="1684"/>
      <c r="W990" s="1684"/>
      <c r="X990" s="1684"/>
      <c r="Y990" s="1684"/>
      <c r="Z990" s="1684"/>
      <c r="AA990" s="1684"/>
      <c r="AB990" s="1684"/>
      <c r="AC990" s="1684"/>
      <c r="AD990" s="1684"/>
      <c r="AE990" s="1684"/>
      <c r="AF990" s="1684"/>
      <c r="AG990" s="1684"/>
      <c r="AH990" s="1684"/>
      <c r="AI990" s="1684"/>
      <c r="AJ990" s="1684"/>
      <c r="AK990" s="1684"/>
      <c r="AL990" s="1684"/>
      <c r="AM990" s="1684"/>
      <c r="AN990" s="1684"/>
      <c r="AO990" s="1684"/>
      <c r="AP990" s="1684"/>
      <c r="AQ990" s="1684"/>
      <c r="AR990" s="1684"/>
      <c r="AS990" s="1684"/>
      <c r="AT990" s="1684"/>
      <c r="AU990" s="1684"/>
      <c r="AV990" s="1684"/>
      <c r="AW990" s="1684"/>
      <c r="AX990" s="1684"/>
      <c r="AY990" s="1684"/>
      <c r="AZ990" s="1684"/>
      <c r="BA990" s="1684"/>
      <c r="BB990" s="1684"/>
      <c r="BC990" s="1684"/>
      <c r="BD990" s="1684"/>
      <c r="BE990" s="1684"/>
      <c r="BF990" s="1684"/>
      <c r="BG990" s="1684"/>
      <c r="BH990" s="1684"/>
      <c r="BI990" s="1684"/>
      <c r="BJ990" s="1684"/>
      <c r="BK990" s="1684"/>
      <c r="BL990" s="1684"/>
      <c r="BM990" s="1684"/>
      <c r="BN990" s="1684"/>
      <c r="BO990" s="1684"/>
      <c r="BP990" s="1684"/>
      <c r="BQ990" s="1684"/>
      <c r="BR990" s="1684"/>
      <c r="BS990" s="1684"/>
      <c r="BT990" s="1684"/>
      <c r="BU990" s="1684"/>
      <c r="BV990" s="1684"/>
      <c r="BW990" s="1684"/>
      <c r="BX990" s="1684"/>
      <c r="BY990" s="1684"/>
      <c r="BZ990" s="1684"/>
      <c r="CA990" s="1684"/>
      <c r="CB990" s="1684"/>
      <c r="CC990" s="1684"/>
      <c r="CD990" s="1684"/>
      <c r="CE990" s="1684"/>
      <c r="CF990" s="1684"/>
      <c r="CG990" s="1684"/>
      <c r="CH990" s="1684"/>
      <c r="CI990" s="1684"/>
      <c r="CJ990" s="1684"/>
      <c r="CK990" s="1684"/>
      <c r="CL990" s="1684"/>
      <c r="CM990" s="1684"/>
      <c r="CN990" s="1684"/>
      <c r="CO990" s="1684"/>
    </row>
    <row r="991" spans="1:93" s="1391" customFormat="1" ht="15" x14ac:dyDescent="0.2">
      <c r="A991" s="1684"/>
      <c r="B991" s="1684"/>
      <c r="C991" s="2013">
        <v>10</v>
      </c>
      <c r="D991" s="5">
        <v>6.4859999999999998</v>
      </c>
      <c r="E991" s="5">
        <v>175</v>
      </c>
      <c r="F991" s="5">
        <v>193</v>
      </c>
      <c r="G991" s="5">
        <v>211</v>
      </c>
      <c r="H991" s="5">
        <v>228</v>
      </c>
      <c r="I991" s="5">
        <v>244</v>
      </c>
      <c r="J991" s="5">
        <v>261</v>
      </c>
      <c r="K991" s="5">
        <v>278</v>
      </c>
      <c r="L991" s="5">
        <v>295</v>
      </c>
      <c r="M991" s="5">
        <v>310</v>
      </c>
      <c r="N991" s="5">
        <v>326</v>
      </c>
      <c r="O991" s="5">
        <v>342</v>
      </c>
      <c r="P991" s="5">
        <v>357</v>
      </c>
      <c r="Q991" s="1160">
        <v>47</v>
      </c>
      <c r="R991"/>
      <c r="S991" s="1684"/>
      <c r="T991" s="1684"/>
      <c r="U991" s="1684"/>
      <c r="V991" s="1684"/>
      <c r="W991" s="1684"/>
      <c r="X991" s="1684"/>
      <c r="Y991" s="1684"/>
      <c r="Z991" s="1684"/>
      <c r="AA991" s="1684"/>
      <c r="AB991" s="1684"/>
      <c r="AC991" s="1684"/>
      <c r="AD991" s="1684"/>
      <c r="AE991" s="1684"/>
      <c r="AF991" s="1684"/>
      <c r="AG991" s="1684"/>
      <c r="AH991" s="1684"/>
      <c r="AI991" s="1684"/>
      <c r="AJ991" s="1684"/>
      <c r="AK991" s="1684"/>
      <c r="AL991" s="1684"/>
      <c r="AM991" s="1684"/>
      <c r="AN991" s="1684"/>
      <c r="AO991" s="1684"/>
      <c r="AP991" s="1684"/>
      <c r="AQ991" s="1684"/>
      <c r="AR991" s="1684"/>
      <c r="AS991" s="1684"/>
      <c r="AT991" s="1684"/>
      <c r="AU991" s="1684"/>
      <c r="AV991" s="1684"/>
      <c r="AW991" s="1684"/>
      <c r="AX991" s="1684"/>
      <c r="AY991" s="1684"/>
      <c r="AZ991" s="1684"/>
      <c r="BA991" s="1684"/>
      <c r="BB991" s="1684"/>
      <c r="BC991" s="1684"/>
      <c r="BD991" s="1684"/>
      <c r="BE991" s="1684"/>
      <c r="BF991" s="1684"/>
      <c r="BG991" s="1684"/>
      <c r="BH991" s="1684"/>
      <c r="BI991" s="1684"/>
      <c r="BJ991" s="1684"/>
      <c r="BK991" s="1684"/>
      <c r="BL991" s="1684"/>
      <c r="BM991" s="1684"/>
      <c r="BN991" s="1684"/>
      <c r="BO991" s="1684"/>
      <c r="BP991" s="1684"/>
      <c r="BQ991" s="1684"/>
      <c r="BR991" s="1684"/>
      <c r="BS991" s="1684"/>
      <c r="BT991" s="1684"/>
      <c r="BU991" s="1684"/>
      <c r="BV991" s="1684"/>
      <c r="BW991" s="1684"/>
      <c r="BX991" s="1684"/>
      <c r="BY991" s="1684"/>
      <c r="BZ991" s="1684"/>
      <c r="CA991" s="1684"/>
      <c r="CB991" s="1684"/>
      <c r="CC991" s="1684"/>
      <c r="CD991" s="1684"/>
      <c r="CE991" s="1684"/>
      <c r="CF991" s="1684"/>
      <c r="CG991" s="1684"/>
      <c r="CH991" s="1684"/>
      <c r="CI991" s="1684"/>
      <c r="CJ991" s="1684"/>
      <c r="CK991" s="1684"/>
      <c r="CL991" s="1684"/>
      <c r="CM991" s="1684"/>
      <c r="CN991" s="1684"/>
      <c r="CO991" s="1684"/>
    </row>
    <row r="992" spans="1:93" s="1391" customFormat="1" ht="15" x14ac:dyDescent="0.2">
      <c r="A992" s="1684"/>
      <c r="B992" s="1684"/>
      <c r="C992" s="2013">
        <v>11</v>
      </c>
      <c r="D992" s="5">
        <v>6.9379999999999997</v>
      </c>
      <c r="E992" s="5">
        <v>192</v>
      </c>
      <c r="F992" s="5">
        <v>212</v>
      </c>
      <c r="G992" s="5">
        <v>231</v>
      </c>
      <c r="H992" s="5">
        <v>249</v>
      </c>
      <c r="I992" s="5">
        <v>268</v>
      </c>
      <c r="J992" s="5">
        <v>286</v>
      </c>
      <c r="K992" s="5">
        <v>303</v>
      </c>
      <c r="L992" s="5">
        <v>322</v>
      </c>
      <c r="M992" s="5">
        <v>339</v>
      </c>
      <c r="N992" s="5">
        <v>356</v>
      </c>
      <c r="O992" s="5">
        <v>373</v>
      </c>
      <c r="P992" s="5">
        <v>390</v>
      </c>
      <c r="Q992" s="1160">
        <v>48</v>
      </c>
      <c r="R992"/>
      <c r="S992" s="1684"/>
      <c r="T992" s="1684"/>
      <c r="U992" s="1684"/>
      <c r="V992" s="1684"/>
      <c r="W992" s="1684"/>
      <c r="X992" s="1684"/>
      <c r="Y992" s="1684"/>
      <c r="Z992" s="1684"/>
      <c r="AA992" s="1684"/>
      <c r="AB992" s="1684"/>
      <c r="AC992" s="1684"/>
      <c r="AD992" s="1684"/>
      <c r="AE992" s="1684"/>
      <c r="AF992" s="1684"/>
      <c r="AG992" s="1684"/>
      <c r="AH992" s="1684"/>
      <c r="AI992" s="1684"/>
      <c r="AJ992" s="1684"/>
      <c r="AK992" s="1684"/>
      <c r="AL992" s="1684"/>
      <c r="AM992" s="1684"/>
      <c r="AN992" s="1684"/>
      <c r="AO992" s="1684"/>
      <c r="AP992" s="1684"/>
      <c r="AQ992" s="1684"/>
      <c r="AR992" s="1684"/>
      <c r="AS992" s="1684"/>
      <c r="AT992" s="1684"/>
      <c r="AU992" s="1684"/>
      <c r="AV992" s="1684"/>
      <c r="AW992" s="1684"/>
      <c r="AX992" s="1684"/>
      <c r="AY992" s="1684"/>
      <c r="AZ992" s="1684"/>
      <c r="BA992" s="1684"/>
      <c r="BB992" s="1684"/>
      <c r="BC992" s="1684"/>
      <c r="BD992" s="1684"/>
      <c r="BE992" s="1684"/>
      <c r="BF992" s="1684"/>
      <c r="BG992" s="1684"/>
      <c r="BH992" s="1684"/>
      <c r="BI992" s="1684"/>
      <c r="BJ992" s="1684"/>
      <c r="BK992" s="1684"/>
      <c r="BL992" s="1684"/>
      <c r="BM992" s="1684"/>
      <c r="BN992" s="1684"/>
      <c r="BO992" s="1684"/>
      <c r="BP992" s="1684"/>
      <c r="BQ992" s="1684"/>
      <c r="BR992" s="1684"/>
      <c r="BS992" s="1684"/>
      <c r="BT992" s="1684"/>
      <c r="BU992" s="1684"/>
      <c r="BV992" s="1684"/>
      <c r="BW992" s="1684"/>
      <c r="BX992" s="1684"/>
      <c r="BY992" s="1684"/>
      <c r="BZ992" s="1684"/>
      <c r="CA992" s="1684"/>
      <c r="CB992" s="1684"/>
      <c r="CC992" s="1684"/>
      <c r="CD992" s="1684"/>
      <c r="CE992" s="1684"/>
      <c r="CF992" s="1684"/>
      <c r="CG992" s="1684"/>
      <c r="CH992" s="1684"/>
      <c r="CI992" s="1684"/>
      <c r="CJ992" s="1684"/>
      <c r="CK992" s="1684"/>
      <c r="CL992" s="1684"/>
      <c r="CM992" s="1684"/>
      <c r="CN992" s="1684"/>
      <c r="CO992" s="1684"/>
    </row>
    <row r="993" spans="1:93" s="1391" customFormat="1" ht="15" x14ac:dyDescent="0.2">
      <c r="A993" s="1684"/>
      <c r="B993" s="1684"/>
      <c r="C993" s="2013">
        <v>12</v>
      </c>
      <c r="D993" s="5">
        <v>7.415</v>
      </c>
      <c r="E993" s="5">
        <v>210</v>
      </c>
      <c r="F993" s="5">
        <v>231</v>
      </c>
      <c r="G993" s="5">
        <v>252</v>
      </c>
      <c r="H993" s="5">
        <v>272</v>
      </c>
      <c r="I993" s="5">
        <v>291</v>
      </c>
      <c r="J993" s="5">
        <v>311</v>
      </c>
      <c r="K993" s="5">
        <v>330</v>
      </c>
      <c r="L993" s="5">
        <v>350</v>
      </c>
      <c r="M993" s="5">
        <v>368</v>
      </c>
      <c r="N993" s="5">
        <v>386</v>
      </c>
      <c r="O993" s="5">
        <v>405</v>
      </c>
      <c r="P993" s="5">
        <v>423</v>
      </c>
      <c r="Q993" s="1160">
        <v>49</v>
      </c>
      <c r="R993"/>
      <c r="S993" s="1684"/>
      <c r="T993" s="1684"/>
      <c r="U993" s="1684"/>
      <c r="V993" s="1684"/>
      <c r="W993" s="1684"/>
      <c r="X993" s="1684"/>
      <c r="Y993" s="1684"/>
      <c r="Z993" s="1684"/>
      <c r="AA993" s="1684"/>
      <c r="AB993" s="1684"/>
      <c r="AC993" s="1684"/>
      <c r="AD993" s="1684"/>
      <c r="AE993" s="1684"/>
      <c r="AF993" s="1684"/>
      <c r="AG993" s="1684"/>
      <c r="AH993" s="1684"/>
      <c r="AI993" s="1684"/>
      <c r="AJ993" s="1684"/>
      <c r="AK993" s="1684"/>
      <c r="AL993" s="1684"/>
      <c r="AM993" s="1684"/>
      <c r="AN993" s="1684"/>
      <c r="AO993" s="1684"/>
      <c r="AP993" s="1684"/>
      <c r="AQ993" s="1684"/>
      <c r="AR993" s="1684"/>
      <c r="AS993" s="1684"/>
      <c r="AT993" s="1684"/>
      <c r="AU993" s="1684"/>
      <c r="AV993" s="1684"/>
      <c r="AW993" s="1684"/>
      <c r="AX993" s="1684"/>
      <c r="AY993" s="1684"/>
      <c r="AZ993" s="1684"/>
      <c r="BA993" s="1684"/>
      <c r="BB993" s="1684"/>
      <c r="BC993" s="1684"/>
      <c r="BD993" s="1684"/>
      <c r="BE993" s="1684"/>
      <c r="BF993" s="1684"/>
      <c r="BG993" s="1684"/>
      <c r="BH993" s="1684"/>
      <c r="BI993" s="1684"/>
      <c r="BJ993" s="1684"/>
      <c r="BK993" s="1684"/>
      <c r="BL993" s="1684"/>
      <c r="BM993" s="1684"/>
      <c r="BN993" s="1684"/>
      <c r="BO993" s="1684"/>
      <c r="BP993" s="1684"/>
      <c r="BQ993" s="1684"/>
      <c r="BR993" s="1684"/>
      <c r="BS993" s="1684"/>
      <c r="BT993" s="1684"/>
      <c r="BU993" s="1684"/>
      <c r="BV993" s="1684"/>
      <c r="BW993" s="1684"/>
      <c r="BX993" s="1684"/>
      <c r="BY993" s="1684"/>
      <c r="BZ993" s="1684"/>
      <c r="CA993" s="1684"/>
      <c r="CB993" s="1684"/>
      <c r="CC993" s="1684"/>
      <c r="CD993" s="1684"/>
      <c r="CE993" s="1684"/>
      <c r="CF993" s="1684"/>
      <c r="CG993" s="1684"/>
      <c r="CH993" s="1684"/>
      <c r="CI993" s="1684"/>
      <c r="CJ993" s="1684"/>
      <c r="CK993" s="1684"/>
      <c r="CL993" s="1684"/>
      <c r="CM993" s="1684"/>
      <c r="CN993" s="1684"/>
      <c r="CO993" s="1684"/>
    </row>
    <row r="994" spans="1:93" s="1391" customFormat="1" ht="15" x14ac:dyDescent="0.2">
      <c r="A994" s="1684"/>
      <c r="B994" s="1684"/>
      <c r="C994" s="2013">
        <v>13</v>
      </c>
      <c r="D994" s="5">
        <v>7.9050000000000002</v>
      </c>
      <c r="E994" s="5">
        <v>227</v>
      </c>
      <c r="F994" s="5">
        <v>251</v>
      </c>
      <c r="G994" s="5">
        <v>272</v>
      </c>
      <c r="H994" s="5">
        <v>294</v>
      </c>
      <c r="I994" s="5">
        <v>315</v>
      </c>
      <c r="J994" s="5">
        <v>336</v>
      </c>
      <c r="K994" s="5">
        <v>357</v>
      </c>
      <c r="L994" s="5">
        <v>378</v>
      </c>
      <c r="M994" s="5">
        <v>397</v>
      </c>
      <c r="N994" s="5">
        <v>417</v>
      </c>
      <c r="O994" s="5">
        <v>437</v>
      </c>
      <c r="P994" s="5">
        <v>456</v>
      </c>
      <c r="Q994" s="1160">
        <v>50</v>
      </c>
      <c r="R994"/>
      <c r="S994" s="1684"/>
      <c r="T994" s="1684"/>
      <c r="U994" s="1684"/>
      <c r="V994" s="1684"/>
      <c r="W994" s="1684"/>
      <c r="X994" s="1684"/>
      <c r="Y994" s="1684"/>
      <c r="Z994" s="1684"/>
      <c r="AA994" s="1684"/>
      <c r="AB994" s="1684"/>
      <c r="AC994" s="1684"/>
      <c r="AD994" s="1684"/>
      <c r="AE994" s="1684"/>
      <c r="AF994" s="1684"/>
      <c r="AG994" s="1684"/>
      <c r="AH994" s="1684"/>
      <c r="AI994" s="1684"/>
      <c r="AJ994" s="1684"/>
      <c r="AK994" s="1684"/>
      <c r="AL994" s="1684"/>
      <c r="AM994" s="1684"/>
      <c r="AN994" s="1684"/>
      <c r="AO994" s="1684"/>
      <c r="AP994" s="1684"/>
      <c r="AQ994" s="1684"/>
      <c r="AR994" s="1684"/>
      <c r="AS994" s="1684"/>
      <c r="AT994" s="1684"/>
      <c r="AU994" s="1684"/>
      <c r="AV994" s="1684"/>
      <c r="AW994" s="1684"/>
      <c r="AX994" s="1684"/>
      <c r="AY994" s="1684"/>
      <c r="AZ994" s="1684"/>
      <c r="BA994" s="1684"/>
      <c r="BB994" s="1684"/>
      <c r="BC994" s="1684"/>
      <c r="BD994" s="1684"/>
      <c r="BE994" s="1684"/>
      <c r="BF994" s="1684"/>
      <c r="BG994" s="1684"/>
      <c r="BH994" s="1684"/>
      <c r="BI994" s="1684"/>
      <c r="BJ994" s="1684"/>
      <c r="BK994" s="1684"/>
      <c r="BL994" s="1684"/>
      <c r="BM994" s="1684"/>
      <c r="BN994" s="1684"/>
      <c r="BO994" s="1684"/>
      <c r="BP994" s="1684"/>
      <c r="BQ994" s="1684"/>
      <c r="BR994" s="1684"/>
      <c r="BS994" s="1684"/>
      <c r="BT994" s="1684"/>
      <c r="BU994" s="1684"/>
      <c r="BV994" s="1684"/>
      <c r="BW994" s="1684"/>
      <c r="BX994" s="1684"/>
      <c r="BY994" s="1684"/>
      <c r="BZ994" s="1684"/>
      <c r="CA994" s="1684"/>
      <c r="CB994" s="1684"/>
      <c r="CC994" s="1684"/>
      <c r="CD994" s="1684"/>
      <c r="CE994" s="1684"/>
      <c r="CF994" s="1684"/>
      <c r="CG994" s="1684"/>
      <c r="CH994" s="1684"/>
      <c r="CI994" s="1684"/>
      <c r="CJ994" s="1684"/>
      <c r="CK994" s="1684"/>
      <c r="CL994" s="1684"/>
      <c r="CM994" s="1684"/>
      <c r="CN994" s="1684"/>
      <c r="CO994" s="1684"/>
    </row>
    <row r="995" spans="1:93" s="1391" customFormat="1" ht="15" x14ac:dyDescent="0.2">
      <c r="A995" s="1684"/>
      <c r="B995" s="1684"/>
      <c r="C995" s="2013">
        <v>14</v>
      </c>
      <c r="D995" s="5">
        <v>8.4260000000000002</v>
      </c>
      <c r="E995" s="5">
        <v>246</v>
      </c>
      <c r="F995" s="5">
        <v>271</v>
      </c>
      <c r="G995" s="5">
        <v>294</v>
      </c>
      <c r="H995" s="5">
        <v>317</v>
      </c>
      <c r="I995" s="5">
        <v>340</v>
      </c>
      <c r="J995" s="5">
        <v>362</v>
      </c>
      <c r="K995" s="5">
        <v>384</v>
      </c>
      <c r="L995" s="5">
        <v>407</v>
      </c>
      <c r="M995" s="5">
        <v>428</v>
      </c>
      <c r="N995" s="5">
        <v>449</v>
      </c>
      <c r="O995" s="5">
        <v>469</v>
      </c>
      <c r="P995" s="5">
        <v>490</v>
      </c>
      <c r="Q995" s="1160">
        <v>51</v>
      </c>
      <c r="R995"/>
      <c r="S995" s="1684"/>
      <c r="T995" s="1684"/>
      <c r="U995" s="1684"/>
      <c r="V995" s="1684"/>
      <c r="W995" s="1684"/>
      <c r="X995" s="1684"/>
      <c r="Y995" s="1684"/>
      <c r="Z995" s="1684"/>
      <c r="AA995" s="1684"/>
      <c r="AB995" s="1684"/>
      <c r="AC995" s="1684"/>
      <c r="AD995" s="1684"/>
      <c r="AE995" s="1684"/>
      <c r="AF995" s="1684"/>
      <c r="AG995" s="1684"/>
      <c r="AH995" s="1684"/>
      <c r="AI995" s="1684"/>
      <c r="AJ995" s="1684"/>
      <c r="AK995" s="1684"/>
      <c r="AL995" s="1684"/>
      <c r="AM995" s="1684"/>
      <c r="AN995" s="1684"/>
      <c r="AO995" s="1684"/>
      <c r="AP995" s="1684"/>
      <c r="AQ995" s="1684"/>
      <c r="AR995" s="1684"/>
      <c r="AS995" s="1684"/>
      <c r="AT995" s="1684"/>
      <c r="AU995" s="1684"/>
      <c r="AV995" s="1684"/>
      <c r="AW995" s="1684"/>
      <c r="AX995" s="1684"/>
      <c r="AY995" s="1684"/>
      <c r="AZ995" s="1684"/>
      <c r="BA995" s="1684"/>
      <c r="BB995" s="1684"/>
      <c r="BC995" s="1684"/>
      <c r="BD995" s="1684"/>
      <c r="BE995" s="1684"/>
      <c r="BF995" s="1684"/>
      <c r="BG995" s="1684"/>
      <c r="BH995" s="1684"/>
      <c r="BI995" s="1684"/>
      <c r="BJ995" s="1684"/>
      <c r="BK995" s="1684"/>
      <c r="BL995" s="1684"/>
      <c r="BM995" s="1684"/>
      <c r="BN995" s="1684"/>
      <c r="BO995" s="1684"/>
      <c r="BP995" s="1684"/>
      <c r="BQ995" s="1684"/>
      <c r="BR995" s="1684"/>
      <c r="BS995" s="1684"/>
      <c r="BT995" s="1684"/>
      <c r="BU995" s="1684"/>
      <c r="BV995" s="1684"/>
      <c r="BW995" s="1684"/>
      <c r="BX995" s="1684"/>
      <c r="BY995" s="1684"/>
      <c r="BZ995" s="1684"/>
      <c r="CA995" s="1684"/>
      <c r="CB995" s="1684"/>
      <c r="CC995" s="1684"/>
      <c r="CD995" s="1684"/>
      <c r="CE995" s="1684"/>
      <c r="CF995" s="1684"/>
      <c r="CG995" s="1684"/>
      <c r="CH995" s="1684"/>
      <c r="CI995" s="1684"/>
      <c r="CJ995" s="1684"/>
      <c r="CK995" s="1684"/>
      <c r="CL995" s="1684"/>
      <c r="CM995" s="1684"/>
      <c r="CN995" s="1684"/>
      <c r="CO995" s="1684"/>
    </row>
    <row r="996" spans="1:93" s="1391" customFormat="1" ht="15" x14ac:dyDescent="0.2">
      <c r="A996" s="1684"/>
      <c r="B996" s="1684"/>
      <c r="C996" s="2013">
        <v>15</v>
      </c>
      <c r="D996" s="5">
        <v>8.9670000000000005</v>
      </c>
      <c r="E996" s="5">
        <v>265</v>
      </c>
      <c r="F996" s="5">
        <v>291</v>
      </c>
      <c r="G996" s="5">
        <v>316</v>
      </c>
      <c r="H996" s="5">
        <v>341</v>
      </c>
      <c r="I996" s="5">
        <v>365</v>
      </c>
      <c r="J996" s="5">
        <v>389</v>
      </c>
      <c r="K996" s="5">
        <v>412</v>
      </c>
      <c r="L996" s="5">
        <v>437</v>
      </c>
      <c r="M996" s="5">
        <v>458</v>
      </c>
      <c r="N996" s="5">
        <v>480</v>
      </c>
      <c r="O996" s="5">
        <v>502</v>
      </c>
      <c r="P996" s="5">
        <v>524</v>
      </c>
      <c r="Q996" s="1160">
        <v>52</v>
      </c>
      <c r="R996"/>
      <c r="S996" s="1684"/>
      <c r="T996" s="1684"/>
      <c r="U996" s="1684"/>
      <c r="V996" s="1684"/>
      <c r="W996" s="1684"/>
      <c r="X996" s="1684"/>
      <c r="Y996" s="1684"/>
      <c r="Z996" s="1684"/>
      <c r="AA996" s="1684"/>
      <c r="AB996" s="1684"/>
      <c r="AC996" s="1684"/>
      <c r="AD996" s="1684"/>
      <c r="AE996" s="1684"/>
      <c r="AF996" s="1684"/>
      <c r="AG996" s="1684"/>
      <c r="AH996" s="1684"/>
      <c r="AI996" s="1684"/>
      <c r="AJ996" s="1684"/>
      <c r="AK996" s="1684"/>
      <c r="AL996" s="1684"/>
      <c r="AM996" s="1684"/>
      <c r="AN996" s="1684"/>
      <c r="AO996" s="1684"/>
      <c r="AP996" s="1684"/>
      <c r="AQ996" s="1684"/>
      <c r="AR996" s="1684"/>
      <c r="AS996" s="1684"/>
      <c r="AT996" s="1684"/>
      <c r="AU996" s="1684"/>
      <c r="AV996" s="1684"/>
      <c r="AW996" s="1684"/>
      <c r="AX996" s="1684"/>
      <c r="AY996" s="1684"/>
      <c r="AZ996" s="1684"/>
      <c r="BA996" s="1684"/>
      <c r="BB996" s="1684"/>
      <c r="BC996" s="1684"/>
      <c r="BD996" s="1684"/>
      <c r="BE996" s="1684"/>
      <c r="BF996" s="1684"/>
      <c r="BG996" s="1684"/>
      <c r="BH996" s="1684"/>
      <c r="BI996" s="1684"/>
      <c r="BJ996" s="1684"/>
      <c r="BK996" s="1684"/>
      <c r="BL996" s="1684"/>
      <c r="BM996" s="1684"/>
      <c r="BN996" s="1684"/>
      <c r="BO996" s="1684"/>
      <c r="BP996" s="1684"/>
      <c r="BQ996" s="1684"/>
      <c r="BR996" s="1684"/>
      <c r="BS996" s="1684"/>
      <c r="BT996" s="1684"/>
      <c r="BU996" s="1684"/>
      <c r="BV996" s="1684"/>
      <c r="BW996" s="1684"/>
      <c r="BX996" s="1684"/>
      <c r="BY996" s="1684"/>
      <c r="BZ996" s="1684"/>
      <c r="CA996" s="1684"/>
      <c r="CB996" s="1684"/>
      <c r="CC996" s="1684"/>
      <c r="CD996" s="1684"/>
      <c r="CE996" s="1684"/>
      <c r="CF996" s="1684"/>
      <c r="CG996" s="1684"/>
      <c r="CH996" s="1684"/>
      <c r="CI996" s="1684"/>
      <c r="CJ996" s="1684"/>
      <c r="CK996" s="1684"/>
      <c r="CL996" s="1684"/>
      <c r="CM996" s="1684"/>
      <c r="CN996" s="1684"/>
      <c r="CO996" s="1684"/>
    </row>
    <row r="997" spans="1:93" s="1391" customFormat="1" ht="15" x14ac:dyDescent="0.2">
      <c r="A997" s="1684"/>
      <c r="B997" s="1684"/>
      <c r="C997" s="2013">
        <v>16</v>
      </c>
      <c r="D997" s="5">
        <v>9.6509999999999998</v>
      </c>
      <c r="E997" s="5">
        <v>283</v>
      </c>
      <c r="F997" s="5">
        <v>311</v>
      </c>
      <c r="G997" s="5">
        <v>338</v>
      </c>
      <c r="H997" s="5">
        <v>364</v>
      </c>
      <c r="I997" s="5">
        <v>389</v>
      </c>
      <c r="J997" s="5">
        <v>414</v>
      </c>
      <c r="K997" s="5">
        <v>439</v>
      </c>
      <c r="L997" s="5">
        <v>465</v>
      </c>
      <c r="M997" s="5">
        <v>487</v>
      </c>
      <c r="N997" s="5">
        <v>511</v>
      </c>
      <c r="O997" s="5">
        <v>534</v>
      </c>
      <c r="P997" s="5">
        <v>557</v>
      </c>
      <c r="Q997" s="1160">
        <v>53</v>
      </c>
      <c r="R997"/>
      <c r="S997" s="1684"/>
      <c r="T997" s="1684"/>
      <c r="U997" s="1684"/>
      <c r="V997" s="1684"/>
      <c r="W997" s="1684"/>
      <c r="X997" s="1684"/>
      <c r="Y997" s="1684"/>
      <c r="Z997" s="1684"/>
      <c r="AA997" s="1684"/>
      <c r="AB997" s="1684"/>
      <c r="AC997" s="1684"/>
      <c r="AD997" s="1684"/>
      <c r="AE997" s="1684"/>
      <c r="AF997" s="1684"/>
      <c r="AG997" s="1684"/>
      <c r="AH997" s="1684"/>
      <c r="AI997" s="1684"/>
      <c r="AJ997" s="1684"/>
      <c r="AK997" s="1684"/>
      <c r="AL997" s="1684"/>
      <c r="AM997" s="1684"/>
      <c r="AN997" s="1684"/>
      <c r="AO997" s="1684"/>
      <c r="AP997" s="1684"/>
      <c r="AQ997" s="1684"/>
      <c r="AR997" s="1684"/>
      <c r="AS997" s="1684"/>
      <c r="AT997" s="1684"/>
      <c r="AU997" s="1684"/>
      <c r="AV997" s="1684"/>
      <c r="AW997" s="1684"/>
      <c r="AX997" s="1684"/>
      <c r="AY997" s="1684"/>
      <c r="AZ997" s="1684"/>
      <c r="BA997" s="1684"/>
      <c r="BB997" s="1684"/>
      <c r="BC997" s="1684"/>
      <c r="BD997" s="1684"/>
      <c r="BE997" s="1684"/>
      <c r="BF997" s="1684"/>
      <c r="BG997" s="1684"/>
      <c r="BH997" s="1684"/>
      <c r="BI997" s="1684"/>
      <c r="BJ997" s="1684"/>
      <c r="BK997" s="1684"/>
      <c r="BL997" s="1684"/>
      <c r="BM997" s="1684"/>
      <c r="BN997" s="1684"/>
      <c r="BO997" s="1684"/>
      <c r="BP997" s="1684"/>
      <c r="BQ997" s="1684"/>
      <c r="BR997" s="1684"/>
      <c r="BS997" s="1684"/>
      <c r="BT997" s="1684"/>
      <c r="BU997" s="1684"/>
      <c r="BV997" s="1684"/>
      <c r="BW997" s="1684"/>
      <c r="BX997" s="1684"/>
      <c r="BY997" s="1684"/>
      <c r="BZ997" s="1684"/>
      <c r="CA997" s="1684"/>
      <c r="CB997" s="1684"/>
      <c r="CC997" s="1684"/>
      <c r="CD997" s="1684"/>
      <c r="CE997" s="1684"/>
      <c r="CF997" s="1684"/>
      <c r="CG997" s="1684"/>
      <c r="CH997" s="1684"/>
      <c r="CI997" s="1684"/>
      <c r="CJ997" s="1684"/>
      <c r="CK997" s="1684"/>
      <c r="CL997" s="1684"/>
      <c r="CM997" s="1684"/>
      <c r="CN997" s="1684"/>
      <c r="CO997" s="1684"/>
    </row>
    <row r="998" spans="1:93" s="1391" customFormat="1" ht="15" x14ac:dyDescent="0.2">
      <c r="A998" s="1684"/>
      <c r="B998" s="1684"/>
      <c r="C998" s="2013">
        <v>17</v>
      </c>
      <c r="D998" s="5">
        <v>10.372</v>
      </c>
      <c r="E998" s="5">
        <v>299</v>
      </c>
      <c r="F998" s="5">
        <v>329</v>
      </c>
      <c r="G998" s="5">
        <v>357</v>
      </c>
      <c r="H998" s="5">
        <v>385</v>
      </c>
      <c r="I998" s="5">
        <v>411</v>
      </c>
      <c r="J998" s="5">
        <v>438</v>
      </c>
      <c r="K998" s="5">
        <v>464</v>
      </c>
      <c r="L998" s="5">
        <v>490</v>
      </c>
      <c r="M998" s="5">
        <v>514</v>
      </c>
      <c r="N998" s="5">
        <v>539</v>
      </c>
      <c r="O998" s="5">
        <v>563</v>
      </c>
      <c r="P998" s="5">
        <v>587</v>
      </c>
      <c r="Q998" s="1160">
        <v>54</v>
      </c>
      <c r="R998"/>
      <c r="S998" s="1684"/>
      <c r="T998" s="1684"/>
      <c r="U998" s="1684"/>
      <c r="V998" s="1684"/>
      <c r="W998" s="1684"/>
      <c r="X998" s="1684"/>
      <c r="Y998" s="1684"/>
      <c r="Z998" s="1684"/>
      <c r="AA998" s="1684"/>
      <c r="AB998" s="1684"/>
      <c r="AC998" s="1684"/>
      <c r="AD998" s="1684"/>
      <c r="AE998" s="1684"/>
      <c r="AF998" s="1684"/>
      <c r="AG998" s="1684"/>
      <c r="AH998" s="1684"/>
      <c r="AI998" s="1684"/>
      <c r="AJ998" s="1684"/>
      <c r="AK998" s="1684"/>
      <c r="AL998" s="1684"/>
      <c r="AM998" s="1684"/>
      <c r="AN998" s="1684"/>
      <c r="AO998" s="1684"/>
      <c r="AP998" s="1684"/>
      <c r="AQ998" s="1684"/>
      <c r="AR998" s="1684"/>
      <c r="AS998" s="1684"/>
      <c r="AT998" s="1684"/>
      <c r="AU998" s="1684"/>
      <c r="AV998" s="1684"/>
      <c r="AW998" s="1684"/>
      <c r="AX998" s="1684"/>
      <c r="AY998" s="1684"/>
      <c r="AZ998" s="1684"/>
      <c r="BA998" s="1684"/>
      <c r="BB998" s="1684"/>
      <c r="BC998" s="1684"/>
      <c r="BD998" s="1684"/>
      <c r="BE998" s="1684"/>
      <c r="BF998" s="1684"/>
      <c r="BG998" s="1684"/>
      <c r="BH998" s="1684"/>
      <c r="BI998" s="1684"/>
      <c r="BJ998" s="1684"/>
      <c r="BK998" s="1684"/>
      <c r="BL998" s="1684"/>
      <c r="BM998" s="1684"/>
      <c r="BN998" s="1684"/>
      <c r="BO998" s="1684"/>
      <c r="BP998" s="1684"/>
      <c r="BQ998" s="1684"/>
      <c r="BR998" s="1684"/>
      <c r="BS998" s="1684"/>
      <c r="BT998" s="1684"/>
      <c r="BU998" s="1684"/>
      <c r="BV998" s="1684"/>
      <c r="BW998" s="1684"/>
      <c r="BX998" s="1684"/>
      <c r="BY998" s="1684"/>
      <c r="BZ998" s="1684"/>
      <c r="CA998" s="1684"/>
      <c r="CB998" s="1684"/>
      <c r="CC998" s="1684"/>
      <c r="CD998" s="1684"/>
      <c r="CE998" s="1684"/>
      <c r="CF998" s="1684"/>
      <c r="CG998" s="1684"/>
      <c r="CH998" s="1684"/>
      <c r="CI998" s="1684"/>
      <c r="CJ998" s="1684"/>
      <c r="CK998" s="1684"/>
      <c r="CL998" s="1684"/>
      <c r="CM998" s="1684"/>
      <c r="CN998" s="1684"/>
      <c r="CO998" s="1684"/>
    </row>
    <row r="999" spans="1:93" s="1391" customFormat="1" ht="15" x14ac:dyDescent="0.2">
      <c r="A999" s="1684"/>
      <c r="B999" s="1684"/>
      <c r="C999" s="2013">
        <v>18</v>
      </c>
      <c r="D999" s="5">
        <v>10.843</v>
      </c>
      <c r="E999" s="5">
        <v>315</v>
      </c>
      <c r="F999" s="5">
        <v>346</v>
      </c>
      <c r="G999" s="5">
        <v>375</v>
      </c>
      <c r="H999" s="5">
        <v>403</v>
      </c>
      <c r="I999" s="5">
        <v>431</v>
      </c>
      <c r="J999" s="5">
        <v>459</v>
      </c>
      <c r="K999" s="5">
        <v>486</v>
      </c>
      <c r="L999" s="5">
        <v>514</v>
      </c>
      <c r="M999" s="5">
        <v>538</v>
      </c>
      <c r="N999" s="5">
        <v>564</v>
      </c>
      <c r="O999" s="5">
        <v>589</v>
      </c>
      <c r="P999" s="5">
        <v>613</v>
      </c>
      <c r="Q999" s="1160">
        <v>55</v>
      </c>
      <c r="R999"/>
      <c r="S999" s="1684"/>
      <c r="T999" s="1684"/>
      <c r="U999" s="1684"/>
      <c r="V999" s="1684"/>
      <c r="W999" s="1684"/>
      <c r="X999" s="1684"/>
      <c r="Y999" s="1684"/>
      <c r="Z999" s="1684"/>
      <c r="AA999" s="1684"/>
      <c r="AB999" s="1684"/>
      <c r="AC999" s="1684"/>
      <c r="AD999" s="1684"/>
      <c r="AE999" s="1684"/>
      <c r="AF999" s="1684"/>
      <c r="AG999" s="1684"/>
      <c r="AH999" s="1684"/>
      <c r="AI999" s="1684"/>
      <c r="AJ999" s="1684"/>
      <c r="AK999" s="1684"/>
      <c r="AL999" s="1684"/>
      <c r="AM999" s="1684"/>
      <c r="AN999" s="1684"/>
      <c r="AO999" s="1684"/>
      <c r="AP999" s="1684"/>
      <c r="AQ999" s="1684"/>
      <c r="AR999" s="1684"/>
      <c r="AS999" s="1684"/>
      <c r="AT999" s="1684"/>
      <c r="AU999" s="1684"/>
      <c r="AV999" s="1684"/>
      <c r="AW999" s="1684"/>
      <c r="AX999" s="1684"/>
      <c r="AY999" s="1684"/>
      <c r="AZ999" s="1684"/>
      <c r="BA999" s="1684"/>
      <c r="BB999" s="1684"/>
      <c r="BC999" s="1684"/>
      <c r="BD999" s="1684"/>
      <c r="BE999" s="1684"/>
      <c r="BF999" s="1684"/>
      <c r="BG999" s="1684"/>
      <c r="BH999" s="1684"/>
      <c r="BI999" s="1684"/>
      <c r="BJ999" s="1684"/>
      <c r="BK999" s="1684"/>
      <c r="BL999" s="1684"/>
      <c r="BM999" s="1684"/>
      <c r="BN999" s="1684"/>
      <c r="BO999" s="1684"/>
      <c r="BP999" s="1684"/>
      <c r="BQ999" s="1684"/>
      <c r="BR999" s="1684"/>
      <c r="BS999" s="1684"/>
      <c r="BT999" s="1684"/>
      <c r="BU999" s="1684"/>
      <c r="BV999" s="1684"/>
      <c r="BW999" s="1684"/>
      <c r="BX999" s="1684"/>
      <c r="BY999" s="1684"/>
      <c r="BZ999" s="1684"/>
      <c r="CA999" s="1684"/>
      <c r="CB999" s="1684"/>
      <c r="CC999" s="1684"/>
      <c r="CD999" s="1684"/>
      <c r="CE999" s="1684"/>
      <c r="CF999" s="1684"/>
      <c r="CG999" s="1684"/>
      <c r="CH999" s="1684"/>
      <c r="CI999" s="1684"/>
      <c r="CJ999" s="1684"/>
      <c r="CK999" s="1684"/>
      <c r="CL999" s="1684"/>
      <c r="CM999" s="1684"/>
      <c r="CN999" s="1684"/>
      <c r="CO999" s="1684"/>
    </row>
    <row r="1000" spans="1:93" s="1391" customFormat="1" ht="15" x14ac:dyDescent="0.2">
      <c r="A1000" s="1684"/>
      <c r="B1000" s="1684"/>
      <c r="C1000" s="4680" t="s">
        <v>3691</v>
      </c>
      <c r="D1000" s="4681"/>
      <c r="E1000" s="4681"/>
      <c r="F1000" s="4681"/>
      <c r="G1000" s="4681"/>
      <c r="H1000" s="4681"/>
      <c r="I1000" s="4681"/>
      <c r="J1000" s="4681"/>
      <c r="K1000" s="4681"/>
      <c r="L1000" s="4681"/>
      <c r="M1000" s="4681"/>
      <c r="N1000" s="4681"/>
      <c r="O1000" s="4681"/>
      <c r="P1000" s="4681"/>
      <c r="Q1000" s="4682"/>
      <c r="R1000"/>
      <c r="S1000" s="1684"/>
      <c r="T1000" s="1684"/>
      <c r="U1000" s="1684"/>
      <c r="V1000" s="1684"/>
      <c r="W1000" s="1684"/>
      <c r="X1000" s="1684"/>
      <c r="Y1000" s="1684"/>
      <c r="Z1000" s="1684"/>
      <c r="AA1000" s="1684"/>
      <c r="AB1000" s="1684"/>
      <c r="AC1000" s="1684"/>
      <c r="AD1000" s="1684"/>
      <c r="AE1000" s="1684"/>
      <c r="AF1000" s="1684"/>
      <c r="AG1000" s="1684"/>
      <c r="AH1000" s="1684"/>
      <c r="AI1000" s="1684"/>
      <c r="AJ1000" s="1684"/>
      <c r="AK1000" s="1684"/>
      <c r="AL1000" s="1684"/>
      <c r="AM1000" s="1684"/>
      <c r="AN1000" s="1684"/>
      <c r="AO1000" s="1684"/>
      <c r="AP1000" s="1684"/>
      <c r="AQ1000" s="1684"/>
      <c r="AR1000" s="1684"/>
      <c r="AS1000" s="1684"/>
      <c r="AT1000" s="1684"/>
      <c r="AU1000" s="1684"/>
      <c r="AV1000" s="1684"/>
      <c r="AW1000" s="1684"/>
      <c r="AX1000" s="1684"/>
      <c r="AY1000" s="1684"/>
      <c r="AZ1000" s="1684"/>
      <c r="BA1000" s="1684"/>
      <c r="BB1000" s="1684"/>
      <c r="BC1000" s="1684"/>
      <c r="BD1000" s="1684"/>
      <c r="BE1000" s="1684"/>
      <c r="BF1000" s="1684"/>
      <c r="BG1000" s="1684"/>
      <c r="BH1000" s="1684"/>
      <c r="BI1000" s="1684"/>
      <c r="BJ1000" s="1684"/>
      <c r="BK1000" s="1684"/>
      <c r="BL1000" s="1684"/>
      <c r="BM1000" s="1684"/>
      <c r="BN1000" s="1684"/>
      <c r="BO1000" s="1684"/>
      <c r="BP1000" s="1684"/>
      <c r="BQ1000" s="1684"/>
      <c r="BR1000" s="1684"/>
      <c r="BS1000" s="1684"/>
      <c r="BT1000" s="1684"/>
      <c r="BU1000" s="1684"/>
      <c r="BV1000" s="1684"/>
      <c r="BW1000" s="1684"/>
      <c r="BX1000" s="1684"/>
      <c r="BY1000" s="1684"/>
      <c r="BZ1000" s="1684"/>
      <c r="CA1000" s="1684"/>
      <c r="CB1000" s="1684"/>
      <c r="CC1000" s="1684"/>
      <c r="CD1000" s="1684"/>
      <c r="CE1000" s="1684"/>
      <c r="CF1000" s="1684"/>
      <c r="CG1000" s="1684"/>
      <c r="CH1000" s="1684"/>
      <c r="CI1000" s="1684"/>
      <c r="CJ1000" s="1684"/>
      <c r="CK1000" s="1684"/>
      <c r="CL1000" s="1684"/>
      <c r="CM1000" s="1684"/>
      <c r="CN1000" s="1684"/>
      <c r="CO1000" s="1684"/>
    </row>
    <row r="1001" spans="1:93" s="1391" customFormat="1" ht="15" x14ac:dyDescent="0.2">
      <c r="A1001" s="1684"/>
      <c r="B1001" s="1684"/>
      <c r="C1001" s="4680"/>
      <c r="D1001" s="4681"/>
      <c r="E1001" s="4681"/>
      <c r="F1001" s="4681"/>
      <c r="G1001" s="4681"/>
      <c r="H1001" s="4681"/>
      <c r="I1001" s="4681"/>
      <c r="J1001" s="4681"/>
      <c r="K1001" s="4681"/>
      <c r="L1001" s="4681"/>
      <c r="M1001" s="4681"/>
      <c r="N1001" s="4681"/>
      <c r="O1001" s="4681"/>
      <c r="P1001" s="4681"/>
      <c r="Q1001" s="4682"/>
      <c r="R1001"/>
      <c r="S1001" s="1684"/>
      <c r="T1001" s="1684"/>
      <c r="U1001" s="1684"/>
      <c r="V1001" s="1684"/>
      <c r="W1001" s="1684"/>
      <c r="X1001" s="1684"/>
      <c r="Y1001" s="1684"/>
      <c r="Z1001" s="1684"/>
      <c r="AA1001" s="1684"/>
      <c r="AB1001" s="1684"/>
      <c r="AC1001" s="1684"/>
      <c r="AD1001" s="1684"/>
      <c r="AE1001" s="1684"/>
      <c r="AF1001" s="1684"/>
      <c r="AG1001" s="1684"/>
      <c r="AH1001" s="1684"/>
      <c r="AI1001" s="1684"/>
      <c r="AJ1001" s="1684"/>
      <c r="AK1001" s="1684"/>
      <c r="AL1001" s="1684"/>
      <c r="AM1001" s="1684"/>
      <c r="AN1001" s="1684"/>
      <c r="AO1001" s="1684"/>
      <c r="AP1001" s="1684"/>
      <c r="AQ1001" s="1684"/>
      <c r="AR1001" s="1684"/>
      <c r="AS1001" s="1684"/>
      <c r="AT1001" s="1684"/>
      <c r="AU1001" s="1684"/>
      <c r="AV1001" s="1684"/>
      <c r="AW1001" s="1684"/>
      <c r="AX1001" s="1684"/>
      <c r="AY1001" s="1684"/>
      <c r="AZ1001" s="1684"/>
      <c r="BA1001" s="1684"/>
      <c r="BB1001" s="1684"/>
      <c r="BC1001" s="1684"/>
      <c r="BD1001" s="1684"/>
      <c r="BE1001" s="1684"/>
      <c r="BF1001" s="1684"/>
      <c r="BG1001" s="1684"/>
      <c r="BH1001" s="1684"/>
      <c r="BI1001" s="1684"/>
      <c r="BJ1001" s="1684"/>
      <c r="BK1001" s="1684"/>
      <c r="BL1001" s="1684"/>
      <c r="BM1001" s="1684"/>
      <c r="BN1001" s="1684"/>
      <c r="BO1001" s="1684"/>
      <c r="BP1001" s="1684"/>
      <c r="BQ1001" s="1684"/>
      <c r="BR1001" s="1684"/>
      <c r="BS1001" s="1684"/>
      <c r="BT1001" s="1684"/>
      <c r="BU1001" s="1684"/>
      <c r="BV1001" s="1684"/>
      <c r="BW1001" s="1684"/>
      <c r="BX1001" s="1684"/>
      <c r="BY1001" s="1684"/>
      <c r="BZ1001" s="1684"/>
      <c r="CA1001" s="1684"/>
      <c r="CB1001" s="1684"/>
      <c r="CC1001" s="1684"/>
      <c r="CD1001" s="1684"/>
      <c r="CE1001" s="1684"/>
      <c r="CF1001" s="1684"/>
      <c r="CG1001" s="1684"/>
      <c r="CH1001" s="1684"/>
      <c r="CI1001" s="1684"/>
      <c r="CJ1001" s="1684"/>
      <c r="CK1001" s="1684"/>
      <c r="CL1001" s="1684"/>
      <c r="CM1001" s="1684"/>
      <c r="CN1001" s="1684"/>
      <c r="CO1001" s="1684"/>
    </row>
    <row r="1002" spans="1:93" s="1391" customFormat="1" ht="15" x14ac:dyDescent="0.2">
      <c r="A1002" s="1684"/>
      <c r="B1002" s="1684"/>
      <c r="C1002" s="2014"/>
      <c r="D1002" s="2015"/>
      <c r="E1002" s="2015">
        <v>1</v>
      </c>
      <c r="F1002" s="2015">
        <v>2</v>
      </c>
      <c r="G1002" s="2015">
        <v>3</v>
      </c>
      <c r="H1002" s="2015">
        <v>4</v>
      </c>
      <c r="I1002" s="2015">
        <v>5</v>
      </c>
      <c r="J1002" s="2015">
        <v>6</v>
      </c>
      <c r="K1002" s="2015">
        <v>7</v>
      </c>
      <c r="L1002" s="2015">
        <v>8</v>
      </c>
      <c r="M1002" s="2015">
        <v>9</v>
      </c>
      <c r="N1002" s="2015">
        <v>10</v>
      </c>
      <c r="O1002" s="2015">
        <v>11</v>
      </c>
      <c r="P1002" s="2015">
        <v>12</v>
      </c>
      <c r="Q1002" s="2016"/>
      <c r="R1002"/>
      <c r="S1002" s="1684"/>
      <c r="T1002" s="1684"/>
      <c r="U1002" s="1684"/>
      <c r="V1002" s="1684"/>
      <c r="W1002" s="1684"/>
      <c r="X1002" s="1684"/>
      <c r="Y1002" s="1684"/>
      <c r="Z1002" s="1684"/>
      <c r="AA1002" s="1684"/>
      <c r="AB1002" s="1684"/>
      <c r="AC1002" s="1684"/>
      <c r="AD1002" s="1684"/>
      <c r="AE1002" s="1684"/>
      <c r="AF1002" s="1684"/>
      <c r="AG1002" s="1684"/>
      <c r="AH1002" s="1684"/>
      <c r="AI1002" s="1684"/>
      <c r="AJ1002" s="1684"/>
      <c r="AK1002" s="1684"/>
      <c r="AL1002" s="1684"/>
      <c r="AM1002" s="1684"/>
      <c r="AN1002" s="1684"/>
      <c r="AO1002" s="1684"/>
      <c r="AP1002" s="1684"/>
      <c r="AQ1002" s="1684"/>
      <c r="AR1002" s="1684"/>
      <c r="AS1002" s="1684"/>
      <c r="AT1002" s="1684"/>
      <c r="AU1002" s="1684"/>
      <c r="AV1002" s="1684"/>
      <c r="AW1002" s="1684"/>
      <c r="AX1002" s="1684"/>
      <c r="AY1002" s="1684"/>
      <c r="AZ1002" s="1684"/>
      <c r="BA1002" s="1684"/>
      <c r="BB1002" s="1684"/>
      <c r="BC1002" s="1684"/>
      <c r="BD1002" s="1684"/>
      <c r="BE1002" s="1684"/>
      <c r="BF1002" s="1684"/>
      <c r="BG1002" s="1684"/>
      <c r="BH1002" s="1684"/>
      <c r="BI1002" s="1684"/>
      <c r="BJ1002" s="1684"/>
      <c r="BK1002" s="1684"/>
      <c r="BL1002" s="1684"/>
      <c r="BM1002" s="1684"/>
      <c r="BN1002" s="1684"/>
      <c r="BO1002" s="1684"/>
      <c r="BP1002" s="1684"/>
      <c r="BQ1002" s="1684"/>
      <c r="BR1002" s="1684"/>
      <c r="BS1002" s="1684"/>
      <c r="BT1002" s="1684"/>
      <c r="BU1002" s="1684"/>
      <c r="BV1002" s="1684"/>
      <c r="BW1002" s="1684"/>
      <c r="BX1002" s="1684"/>
      <c r="BY1002" s="1684"/>
      <c r="BZ1002" s="1684"/>
      <c r="CA1002" s="1684"/>
      <c r="CB1002" s="1684"/>
      <c r="CC1002" s="1684"/>
      <c r="CD1002" s="1684"/>
      <c r="CE1002" s="1684"/>
      <c r="CF1002" s="1684"/>
      <c r="CG1002" s="1684"/>
      <c r="CH1002" s="1684"/>
      <c r="CI1002" s="1684"/>
      <c r="CJ1002" s="1684"/>
      <c r="CK1002" s="1684"/>
      <c r="CL1002" s="1684"/>
      <c r="CM1002" s="1684"/>
      <c r="CN1002" s="1684"/>
      <c r="CO1002" s="1684"/>
    </row>
    <row r="1003" spans="1:93" s="1391" customFormat="1" ht="15" x14ac:dyDescent="0.2">
      <c r="A1003" s="1684"/>
      <c r="B1003" s="1684"/>
      <c r="C1003" s="2013">
        <v>8</v>
      </c>
      <c r="D1003" s="5">
        <v>5.8639999999999999</v>
      </c>
      <c r="E1003" s="5">
        <v>152</v>
      </c>
      <c r="F1003" s="5">
        <v>168</v>
      </c>
      <c r="G1003" s="5">
        <v>184</v>
      </c>
      <c r="H1003" s="5">
        <v>198</v>
      </c>
      <c r="I1003" s="5">
        <v>213</v>
      </c>
      <c r="J1003" s="5">
        <v>228</v>
      </c>
      <c r="K1003" s="5">
        <v>242</v>
      </c>
      <c r="L1003" s="5">
        <v>258</v>
      </c>
      <c r="M1003" s="5">
        <v>271</v>
      </c>
      <c r="N1003" s="5">
        <v>285</v>
      </c>
      <c r="O1003" s="5">
        <v>299</v>
      </c>
      <c r="P1003" s="5">
        <v>313</v>
      </c>
      <c r="Q1003" s="1160">
        <v>56</v>
      </c>
      <c r="R1003"/>
      <c r="S1003" s="1684"/>
      <c r="T1003" s="1684"/>
      <c r="U1003" s="1684"/>
      <c r="V1003" s="1684"/>
      <c r="W1003" s="1684"/>
      <c r="X1003" s="1684"/>
      <c r="Y1003" s="1684"/>
      <c r="Z1003" s="1684"/>
      <c r="AA1003" s="1684"/>
      <c r="AB1003" s="1684"/>
      <c r="AC1003" s="1684"/>
      <c r="AD1003" s="1684"/>
      <c r="AE1003" s="1684"/>
      <c r="AF1003" s="1684"/>
      <c r="AG1003" s="1684"/>
      <c r="AH1003" s="1684"/>
      <c r="AI1003" s="1684"/>
      <c r="AJ1003" s="1684"/>
      <c r="AK1003" s="1684"/>
      <c r="AL1003" s="1684"/>
      <c r="AM1003" s="1684"/>
      <c r="AN1003" s="1684"/>
      <c r="AO1003" s="1684"/>
      <c r="AP1003" s="1684"/>
      <c r="AQ1003" s="1684"/>
      <c r="AR1003" s="1684"/>
      <c r="AS1003" s="1684"/>
      <c r="AT1003" s="1684"/>
      <c r="AU1003" s="1684"/>
      <c r="AV1003" s="1684"/>
      <c r="AW1003" s="1684"/>
      <c r="AX1003" s="1684"/>
      <c r="AY1003" s="1684"/>
      <c r="AZ1003" s="1684"/>
      <c r="BA1003" s="1684"/>
      <c r="BB1003" s="1684"/>
      <c r="BC1003" s="1684"/>
      <c r="BD1003" s="1684"/>
      <c r="BE1003" s="1684"/>
      <c r="BF1003" s="1684"/>
      <c r="BG1003" s="1684"/>
      <c r="BH1003" s="1684"/>
      <c r="BI1003" s="1684"/>
      <c r="BJ1003" s="1684"/>
      <c r="BK1003" s="1684"/>
      <c r="BL1003" s="1684"/>
      <c r="BM1003" s="1684"/>
      <c r="BN1003" s="1684"/>
      <c r="BO1003" s="1684"/>
      <c r="BP1003" s="1684"/>
      <c r="BQ1003" s="1684"/>
      <c r="BR1003" s="1684"/>
      <c r="BS1003" s="1684"/>
      <c r="BT1003" s="1684"/>
      <c r="BU1003" s="1684"/>
      <c r="BV1003" s="1684"/>
      <c r="BW1003" s="1684"/>
      <c r="BX1003" s="1684"/>
      <c r="BY1003" s="1684"/>
      <c r="BZ1003" s="1684"/>
      <c r="CA1003" s="1684"/>
      <c r="CB1003" s="1684"/>
      <c r="CC1003" s="1684"/>
      <c r="CD1003" s="1684"/>
      <c r="CE1003" s="1684"/>
      <c r="CF1003" s="1684"/>
      <c r="CG1003" s="1684"/>
      <c r="CH1003" s="1684"/>
      <c r="CI1003" s="1684"/>
      <c r="CJ1003" s="1684"/>
      <c r="CK1003" s="1684"/>
      <c r="CL1003" s="1684"/>
      <c r="CM1003" s="1684"/>
      <c r="CN1003" s="1684"/>
      <c r="CO1003" s="1684"/>
    </row>
    <row r="1004" spans="1:93" s="1391" customFormat="1" ht="15" x14ac:dyDescent="0.2">
      <c r="A1004" s="1684"/>
      <c r="B1004" s="1684"/>
      <c r="C1004" s="2013">
        <v>9</v>
      </c>
      <c r="D1004" s="5">
        <v>6.2649999999999997</v>
      </c>
      <c r="E1004" s="5">
        <v>168</v>
      </c>
      <c r="F1004" s="5">
        <v>186</v>
      </c>
      <c r="G1004" s="5">
        <v>202</v>
      </c>
      <c r="H1004" s="5">
        <v>219</v>
      </c>
      <c r="I1004" s="5">
        <v>235</v>
      </c>
      <c r="J1004" s="5">
        <v>251</v>
      </c>
      <c r="K1004" s="5">
        <v>267</v>
      </c>
      <c r="L1004" s="5">
        <v>283</v>
      </c>
      <c r="M1004" s="5">
        <v>298</v>
      </c>
      <c r="N1004" s="5">
        <v>313</v>
      </c>
      <c r="O1004" s="5">
        <v>328</v>
      </c>
      <c r="P1004" s="5">
        <v>343</v>
      </c>
      <c r="Q1004" s="1160">
        <v>57</v>
      </c>
      <c r="R1004"/>
      <c r="S1004" s="1684"/>
      <c r="T1004" s="1684"/>
      <c r="U1004" s="1684"/>
      <c r="V1004" s="1684"/>
      <c r="W1004" s="1684"/>
      <c r="X1004" s="1684"/>
      <c r="Y1004" s="1684"/>
      <c r="Z1004" s="1684"/>
      <c r="AA1004" s="1684"/>
      <c r="AB1004" s="1684"/>
      <c r="AC1004" s="1684"/>
      <c r="AD1004" s="1684"/>
      <c r="AE1004" s="1684"/>
      <c r="AF1004" s="1684"/>
      <c r="AG1004" s="1684"/>
      <c r="AH1004" s="1684"/>
      <c r="AI1004" s="1684"/>
      <c r="AJ1004" s="1684"/>
      <c r="AK1004" s="1684"/>
      <c r="AL1004" s="1684"/>
      <c r="AM1004" s="1684"/>
      <c r="AN1004" s="1684"/>
      <c r="AO1004" s="1684"/>
      <c r="AP1004" s="1684"/>
      <c r="AQ1004" s="1684"/>
      <c r="AR1004" s="1684"/>
      <c r="AS1004" s="1684"/>
      <c r="AT1004" s="1684"/>
      <c r="AU1004" s="1684"/>
      <c r="AV1004" s="1684"/>
      <c r="AW1004" s="1684"/>
      <c r="AX1004" s="1684"/>
      <c r="AY1004" s="1684"/>
      <c r="AZ1004" s="1684"/>
      <c r="BA1004" s="1684"/>
      <c r="BB1004" s="1684"/>
      <c r="BC1004" s="1684"/>
      <c r="BD1004" s="1684"/>
      <c r="BE1004" s="1684"/>
      <c r="BF1004" s="1684"/>
      <c r="BG1004" s="1684"/>
      <c r="BH1004" s="1684"/>
      <c r="BI1004" s="1684"/>
      <c r="BJ1004" s="1684"/>
      <c r="BK1004" s="1684"/>
      <c r="BL1004" s="1684"/>
      <c r="BM1004" s="1684"/>
      <c r="BN1004" s="1684"/>
      <c r="BO1004" s="1684"/>
      <c r="BP1004" s="1684"/>
      <c r="BQ1004" s="1684"/>
      <c r="BR1004" s="1684"/>
      <c r="BS1004" s="1684"/>
      <c r="BT1004" s="1684"/>
      <c r="BU1004" s="1684"/>
      <c r="BV1004" s="1684"/>
      <c r="BW1004" s="1684"/>
      <c r="BX1004" s="1684"/>
      <c r="BY1004" s="1684"/>
      <c r="BZ1004" s="1684"/>
      <c r="CA1004" s="1684"/>
      <c r="CB1004" s="1684"/>
      <c r="CC1004" s="1684"/>
      <c r="CD1004" s="1684"/>
      <c r="CE1004" s="1684"/>
      <c r="CF1004" s="1684"/>
      <c r="CG1004" s="1684"/>
      <c r="CH1004" s="1684"/>
      <c r="CI1004" s="1684"/>
      <c r="CJ1004" s="1684"/>
      <c r="CK1004" s="1684"/>
      <c r="CL1004" s="1684"/>
      <c r="CM1004" s="1684"/>
      <c r="CN1004" s="1684"/>
      <c r="CO1004" s="1684"/>
    </row>
    <row r="1005" spans="1:93" s="1391" customFormat="1" ht="15" x14ac:dyDescent="0.2">
      <c r="A1005" s="1684"/>
      <c r="B1005" s="1684"/>
      <c r="C1005" s="2013">
        <v>10</v>
      </c>
      <c r="D1005" s="5">
        <v>6.6890000000000001</v>
      </c>
      <c r="E1005" s="5">
        <v>184</v>
      </c>
      <c r="F1005" s="5">
        <v>204</v>
      </c>
      <c r="G1005" s="5">
        <v>222</v>
      </c>
      <c r="H1005" s="5">
        <v>239</v>
      </c>
      <c r="I1005" s="5">
        <v>257</v>
      </c>
      <c r="J1005" s="5">
        <v>274</v>
      </c>
      <c r="K1005" s="5">
        <v>292</v>
      </c>
      <c r="L1005" s="5">
        <v>309</v>
      </c>
      <c r="M1005" s="5">
        <v>325</v>
      </c>
      <c r="N1005" s="5">
        <v>342</v>
      </c>
      <c r="O1005" s="5">
        <v>359</v>
      </c>
      <c r="P1005" s="5">
        <v>375</v>
      </c>
      <c r="Q1005" s="1160">
        <v>58</v>
      </c>
      <c r="R1005"/>
      <c r="S1005" s="1684"/>
      <c r="T1005" s="1684"/>
      <c r="U1005" s="1684"/>
      <c r="V1005" s="1684"/>
      <c r="W1005" s="1684"/>
      <c r="X1005" s="1684"/>
      <c r="Y1005" s="1684"/>
      <c r="Z1005" s="1684"/>
      <c r="AA1005" s="1684"/>
      <c r="AB1005" s="1684"/>
      <c r="AC1005" s="1684"/>
      <c r="AD1005" s="1684"/>
      <c r="AE1005" s="1684"/>
      <c r="AF1005" s="1684"/>
      <c r="AG1005" s="1684"/>
      <c r="AH1005" s="1684"/>
      <c r="AI1005" s="1684"/>
      <c r="AJ1005" s="1684"/>
      <c r="AK1005" s="1684"/>
      <c r="AL1005" s="1684"/>
      <c r="AM1005" s="1684"/>
      <c r="AN1005" s="1684"/>
      <c r="AO1005" s="1684"/>
      <c r="AP1005" s="1684"/>
      <c r="AQ1005" s="1684"/>
      <c r="AR1005" s="1684"/>
      <c r="AS1005" s="1684"/>
      <c r="AT1005" s="1684"/>
      <c r="AU1005" s="1684"/>
      <c r="AV1005" s="1684"/>
      <c r="AW1005" s="1684"/>
      <c r="AX1005" s="1684"/>
      <c r="AY1005" s="1684"/>
      <c r="AZ1005" s="1684"/>
      <c r="BA1005" s="1684"/>
      <c r="BB1005" s="1684"/>
      <c r="BC1005" s="1684"/>
      <c r="BD1005" s="1684"/>
      <c r="BE1005" s="1684"/>
      <c r="BF1005" s="1684"/>
      <c r="BG1005" s="1684"/>
      <c r="BH1005" s="1684"/>
      <c r="BI1005" s="1684"/>
      <c r="BJ1005" s="1684"/>
      <c r="BK1005" s="1684"/>
      <c r="BL1005" s="1684"/>
      <c r="BM1005" s="1684"/>
      <c r="BN1005" s="1684"/>
      <c r="BO1005" s="1684"/>
      <c r="BP1005" s="1684"/>
      <c r="BQ1005" s="1684"/>
      <c r="BR1005" s="1684"/>
      <c r="BS1005" s="1684"/>
      <c r="BT1005" s="1684"/>
      <c r="BU1005" s="1684"/>
      <c r="BV1005" s="1684"/>
      <c r="BW1005" s="1684"/>
      <c r="BX1005" s="1684"/>
      <c r="BY1005" s="1684"/>
      <c r="BZ1005" s="1684"/>
      <c r="CA1005" s="1684"/>
      <c r="CB1005" s="1684"/>
      <c r="CC1005" s="1684"/>
      <c r="CD1005" s="1684"/>
      <c r="CE1005" s="1684"/>
      <c r="CF1005" s="1684"/>
      <c r="CG1005" s="1684"/>
      <c r="CH1005" s="1684"/>
      <c r="CI1005" s="1684"/>
      <c r="CJ1005" s="1684"/>
      <c r="CK1005" s="1684"/>
      <c r="CL1005" s="1684"/>
      <c r="CM1005" s="1684"/>
      <c r="CN1005" s="1684"/>
      <c r="CO1005" s="1684"/>
    </row>
    <row r="1006" spans="1:93" s="1391" customFormat="1" ht="15" x14ac:dyDescent="0.2">
      <c r="A1006" s="1684"/>
      <c r="B1006" s="1684"/>
      <c r="C1006" s="2013">
        <v>11</v>
      </c>
      <c r="D1006" s="5">
        <v>7.17</v>
      </c>
      <c r="E1006" s="5">
        <v>203</v>
      </c>
      <c r="F1006" s="5">
        <v>224</v>
      </c>
      <c r="G1006" s="5">
        <v>243</v>
      </c>
      <c r="H1006" s="5">
        <v>263</v>
      </c>
      <c r="I1006" s="5">
        <v>282</v>
      </c>
      <c r="J1006" s="5">
        <v>301</v>
      </c>
      <c r="K1006" s="5">
        <v>319</v>
      </c>
      <c r="L1006" s="5">
        <v>339</v>
      </c>
      <c r="M1006" s="5">
        <v>356</v>
      </c>
      <c r="N1006" s="5">
        <v>374</v>
      </c>
      <c r="O1006" s="5">
        <v>392</v>
      </c>
      <c r="P1006" s="5">
        <v>409</v>
      </c>
      <c r="Q1006" s="1160">
        <v>59</v>
      </c>
      <c r="R1006"/>
      <c r="S1006" s="1684"/>
      <c r="T1006" s="1684"/>
      <c r="U1006" s="1684"/>
      <c r="V1006" s="1684"/>
      <c r="W1006" s="1684"/>
      <c r="X1006" s="1684"/>
      <c r="Y1006" s="1684"/>
      <c r="Z1006" s="1684"/>
      <c r="AA1006" s="1684"/>
      <c r="AB1006" s="1684"/>
      <c r="AC1006" s="1684"/>
      <c r="AD1006" s="1684"/>
      <c r="AE1006" s="1684"/>
      <c r="AF1006" s="1684"/>
      <c r="AG1006" s="1684"/>
      <c r="AH1006" s="1684"/>
      <c r="AI1006" s="1684"/>
      <c r="AJ1006" s="1684"/>
      <c r="AK1006" s="1684"/>
      <c r="AL1006" s="1684"/>
      <c r="AM1006" s="1684"/>
      <c r="AN1006" s="1684"/>
      <c r="AO1006" s="1684"/>
      <c r="AP1006" s="1684"/>
      <c r="AQ1006" s="1684"/>
      <c r="AR1006" s="1684"/>
      <c r="AS1006" s="1684"/>
      <c r="AT1006" s="1684"/>
      <c r="AU1006" s="1684"/>
      <c r="AV1006" s="1684"/>
      <c r="AW1006" s="1684"/>
      <c r="AX1006" s="1684"/>
      <c r="AY1006" s="1684"/>
      <c r="AZ1006" s="1684"/>
      <c r="BA1006" s="1684"/>
      <c r="BB1006" s="1684"/>
      <c r="BC1006" s="1684"/>
      <c r="BD1006" s="1684"/>
      <c r="BE1006" s="1684"/>
      <c r="BF1006" s="1684"/>
      <c r="BG1006" s="1684"/>
      <c r="BH1006" s="1684"/>
      <c r="BI1006" s="1684"/>
      <c r="BJ1006" s="1684"/>
      <c r="BK1006" s="1684"/>
      <c r="BL1006" s="1684"/>
      <c r="BM1006" s="1684"/>
      <c r="BN1006" s="1684"/>
      <c r="BO1006" s="1684"/>
      <c r="BP1006" s="1684"/>
      <c r="BQ1006" s="1684"/>
      <c r="BR1006" s="1684"/>
      <c r="BS1006" s="1684"/>
      <c r="BT1006" s="1684"/>
      <c r="BU1006" s="1684"/>
      <c r="BV1006" s="1684"/>
      <c r="BW1006" s="1684"/>
      <c r="BX1006" s="1684"/>
      <c r="BY1006" s="1684"/>
      <c r="BZ1006" s="1684"/>
      <c r="CA1006" s="1684"/>
      <c r="CB1006" s="1684"/>
      <c r="CC1006" s="1684"/>
      <c r="CD1006" s="1684"/>
      <c r="CE1006" s="1684"/>
      <c r="CF1006" s="1684"/>
      <c r="CG1006" s="1684"/>
      <c r="CH1006" s="1684"/>
      <c r="CI1006" s="1684"/>
      <c r="CJ1006" s="1684"/>
      <c r="CK1006" s="1684"/>
      <c r="CL1006" s="1684"/>
      <c r="CM1006" s="1684"/>
      <c r="CN1006" s="1684"/>
      <c r="CO1006" s="1684"/>
    </row>
    <row r="1007" spans="1:93" s="1391" customFormat="1" ht="15" x14ac:dyDescent="0.2">
      <c r="A1007" s="1684"/>
      <c r="B1007" s="1684"/>
      <c r="C1007" s="2013">
        <v>12</v>
      </c>
      <c r="D1007" s="5">
        <v>7.6790000000000003</v>
      </c>
      <c r="E1007" s="5">
        <v>222</v>
      </c>
      <c r="F1007" s="5">
        <v>244</v>
      </c>
      <c r="G1007" s="5">
        <v>266</v>
      </c>
      <c r="H1007" s="5">
        <v>287</v>
      </c>
      <c r="I1007" s="5">
        <v>307</v>
      </c>
      <c r="J1007" s="5">
        <v>328</v>
      </c>
      <c r="K1007" s="5">
        <v>348</v>
      </c>
      <c r="L1007" s="5">
        <v>369</v>
      </c>
      <c r="M1007" s="5">
        <v>387</v>
      </c>
      <c r="N1007" s="5">
        <v>407</v>
      </c>
      <c r="O1007" s="5">
        <v>426</v>
      </c>
      <c r="P1007" s="5">
        <v>445</v>
      </c>
      <c r="Q1007" s="1160">
        <v>60</v>
      </c>
      <c r="R1007"/>
      <c r="S1007" s="1684"/>
      <c r="T1007" s="1684"/>
      <c r="U1007" s="1684"/>
      <c r="V1007" s="1684"/>
      <c r="W1007" s="1684"/>
      <c r="X1007" s="1684"/>
      <c r="Y1007" s="1684"/>
      <c r="Z1007" s="1684"/>
      <c r="AA1007" s="1684"/>
      <c r="AB1007" s="1684"/>
      <c r="AC1007" s="1684"/>
      <c r="AD1007" s="1684"/>
      <c r="AE1007" s="1684"/>
      <c r="AF1007" s="1684"/>
      <c r="AG1007" s="1684"/>
      <c r="AH1007" s="1684"/>
      <c r="AI1007" s="1684"/>
      <c r="AJ1007" s="1684"/>
      <c r="AK1007" s="1684"/>
      <c r="AL1007" s="1684"/>
      <c r="AM1007" s="1684"/>
      <c r="AN1007" s="1684"/>
      <c r="AO1007" s="1684"/>
      <c r="AP1007" s="1684"/>
      <c r="AQ1007" s="1684"/>
      <c r="AR1007" s="1684"/>
      <c r="AS1007" s="1684"/>
      <c r="AT1007" s="1684"/>
      <c r="AU1007" s="1684"/>
      <c r="AV1007" s="1684"/>
      <c r="AW1007" s="1684"/>
      <c r="AX1007" s="1684"/>
      <c r="AY1007" s="1684"/>
      <c r="AZ1007" s="1684"/>
      <c r="BA1007" s="1684"/>
      <c r="BB1007" s="1684"/>
      <c r="BC1007" s="1684"/>
      <c r="BD1007" s="1684"/>
      <c r="BE1007" s="1684"/>
      <c r="BF1007" s="1684"/>
      <c r="BG1007" s="1684"/>
      <c r="BH1007" s="1684"/>
      <c r="BI1007" s="1684"/>
      <c r="BJ1007" s="1684"/>
      <c r="BK1007" s="1684"/>
      <c r="BL1007" s="1684"/>
      <c r="BM1007" s="1684"/>
      <c r="BN1007" s="1684"/>
      <c r="BO1007" s="1684"/>
      <c r="BP1007" s="1684"/>
      <c r="BQ1007" s="1684"/>
      <c r="BR1007" s="1684"/>
      <c r="BS1007" s="1684"/>
      <c r="BT1007" s="1684"/>
      <c r="BU1007" s="1684"/>
      <c r="BV1007" s="1684"/>
      <c r="BW1007" s="1684"/>
      <c r="BX1007" s="1684"/>
      <c r="BY1007" s="1684"/>
      <c r="BZ1007" s="1684"/>
      <c r="CA1007" s="1684"/>
      <c r="CB1007" s="1684"/>
      <c r="CC1007" s="1684"/>
      <c r="CD1007" s="1684"/>
      <c r="CE1007" s="1684"/>
      <c r="CF1007" s="1684"/>
      <c r="CG1007" s="1684"/>
      <c r="CH1007" s="1684"/>
      <c r="CI1007" s="1684"/>
      <c r="CJ1007" s="1684"/>
      <c r="CK1007" s="1684"/>
      <c r="CL1007" s="1684"/>
      <c r="CM1007" s="1684"/>
      <c r="CN1007" s="1684"/>
      <c r="CO1007" s="1684"/>
    </row>
    <row r="1008" spans="1:93" s="1391" customFormat="1" ht="15" x14ac:dyDescent="0.2">
      <c r="A1008" s="1684"/>
      <c r="B1008" s="1684"/>
      <c r="C1008" s="2013">
        <v>13</v>
      </c>
      <c r="D1008" s="5">
        <v>8.2010000000000005</v>
      </c>
      <c r="E1008" s="5">
        <v>241</v>
      </c>
      <c r="F1008" s="5">
        <v>265</v>
      </c>
      <c r="G1008" s="5">
        <v>288</v>
      </c>
      <c r="H1008" s="5">
        <v>311</v>
      </c>
      <c r="I1008" s="5">
        <v>333</v>
      </c>
      <c r="J1008" s="5">
        <v>355</v>
      </c>
      <c r="K1008" s="5">
        <v>377</v>
      </c>
      <c r="L1008" s="5">
        <v>399</v>
      </c>
      <c r="M1008" s="5">
        <v>419</v>
      </c>
      <c r="N1008" s="5">
        <v>440</v>
      </c>
      <c r="O1008" s="5">
        <v>460</v>
      </c>
      <c r="P1008" s="5">
        <v>480</v>
      </c>
      <c r="Q1008" s="1160">
        <v>61</v>
      </c>
      <c r="R1008"/>
      <c r="S1008" s="1684"/>
      <c r="T1008" s="1684"/>
      <c r="U1008" s="1684"/>
      <c r="V1008" s="1684"/>
      <c r="W1008" s="1684"/>
      <c r="X1008" s="1684"/>
      <c r="Y1008" s="1684"/>
      <c r="Z1008" s="1684"/>
      <c r="AA1008" s="1684"/>
      <c r="AB1008" s="1684"/>
      <c r="AC1008" s="1684"/>
      <c r="AD1008" s="1684"/>
      <c r="AE1008" s="1684"/>
      <c r="AF1008" s="1684"/>
      <c r="AG1008" s="1684"/>
      <c r="AH1008" s="1684"/>
      <c r="AI1008" s="1684"/>
      <c r="AJ1008" s="1684"/>
      <c r="AK1008" s="1684"/>
      <c r="AL1008" s="1684"/>
      <c r="AM1008" s="1684"/>
      <c r="AN1008" s="1684"/>
      <c r="AO1008" s="1684"/>
      <c r="AP1008" s="1684"/>
      <c r="AQ1008" s="1684"/>
      <c r="AR1008" s="1684"/>
      <c r="AS1008" s="1684"/>
      <c r="AT1008" s="1684"/>
      <c r="AU1008" s="1684"/>
      <c r="AV1008" s="1684"/>
      <c r="AW1008" s="1684"/>
      <c r="AX1008" s="1684"/>
      <c r="AY1008" s="1684"/>
      <c r="AZ1008" s="1684"/>
      <c r="BA1008" s="1684"/>
      <c r="BB1008" s="1684"/>
      <c r="BC1008" s="1684"/>
      <c r="BD1008" s="1684"/>
      <c r="BE1008" s="1684"/>
      <c r="BF1008" s="1684"/>
      <c r="BG1008" s="1684"/>
      <c r="BH1008" s="1684"/>
      <c r="BI1008" s="1684"/>
      <c r="BJ1008" s="1684"/>
      <c r="BK1008" s="1684"/>
      <c r="BL1008" s="1684"/>
      <c r="BM1008" s="1684"/>
      <c r="BN1008" s="1684"/>
      <c r="BO1008" s="1684"/>
      <c r="BP1008" s="1684"/>
      <c r="BQ1008" s="1684"/>
      <c r="BR1008" s="1684"/>
      <c r="BS1008" s="1684"/>
      <c r="BT1008" s="1684"/>
      <c r="BU1008" s="1684"/>
      <c r="BV1008" s="1684"/>
      <c r="BW1008" s="1684"/>
      <c r="BX1008" s="1684"/>
      <c r="BY1008" s="1684"/>
      <c r="BZ1008" s="1684"/>
      <c r="CA1008" s="1684"/>
      <c r="CB1008" s="1684"/>
      <c r="CC1008" s="1684"/>
      <c r="CD1008" s="1684"/>
      <c r="CE1008" s="1684"/>
      <c r="CF1008" s="1684"/>
      <c r="CG1008" s="1684"/>
      <c r="CH1008" s="1684"/>
      <c r="CI1008" s="1684"/>
      <c r="CJ1008" s="1684"/>
      <c r="CK1008" s="1684"/>
      <c r="CL1008" s="1684"/>
      <c r="CM1008" s="1684"/>
      <c r="CN1008" s="1684"/>
      <c r="CO1008" s="1684"/>
    </row>
    <row r="1009" spans="1:93" s="1391" customFormat="1" ht="15" x14ac:dyDescent="0.2">
      <c r="A1009" s="1684"/>
      <c r="B1009" s="1684"/>
      <c r="C1009" s="2013">
        <v>14</v>
      </c>
      <c r="D1009" s="5">
        <v>8.7579999999999991</v>
      </c>
      <c r="E1009" s="5">
        <v>261</v>
      </c>
      <c r="F1009" s="5">
        <v>287</v>
      </c>
      <c r="G1009" s="5">
        <v>312</v>
      </c>
      <c r="H1009" s="5">
        <v>336</v>
      </c>
      <c r="I1009" s="5">
        <v>360</v>
      </c>
      <c r="J1009" s="5">
        <v>383</v>
      </c>
      <c r="K1009" s="5">
        <v>406</v>
      </c>
      <c r="L1009" s="5">
        <v>430</v>
      </c>
      <c r="M1009" s="5">
        <v>452</v>
      </c>
      <c r="N1009" s="5">
        <v>474</v>
      </c>
      <c r="O1009" s="5">
        <v>496</v>
      </c>
      <c r="P1009" s="5">
        <v>517</v>
      </c>
      <c r="Q1009" s="1160">
        <v>62</v>
      </c>
      <c r="R1009"/>
      <c r="S1009" s="1684"/>
      <c r="T1009" s="1684"/>
      <c r="U1009" s="1684"/>
      <c r="V1009" s="1684"/>
      <c r="W1009" s="1684"/>
      <c r="X1009" s="1684"/>
      <c r="Y1009" s="1684"/>
      <c r="Z1009" s="1684"/>
      <c r="AA1009" s="1684"/>
      <c r="AB1009" s="1684"/>
      <c r="AC1009" s="1684"/>
      <c r="AD1009" s="1684"/>
      <c r="AE1009" s="1684"/>
      <c r="AF1009" s="1684"/>
      <c r="AG1009" s="1684"/>
      <c r="AH1009" s="1684"/>
      <c r="AI1009" s="1684"/>
      <c r="AJ1009" s="1684"/>
      <c r="AK1009" s="1684"/>
      <c r="AL1009" s="1684"/>
      <c r="AM1009" s="1684"/>
      <c r="AN1009" s="1684"/>
      <c r="AO1009" s="1684"/>
      <c r="AP1009" s="1684"/>
      <c r="AQ1009" s="1684"/>
      <c r="AR1009" s="1684"/>
      <c r="AS1009" s="1684"/>
      <c r="AT1009" s="1684"/>
      <c r="AU1009" s="1684"/>
      <c r="AV1009" s="1684"/>
      <c r="AW1009" s="1684"/>
      <c r="AX1009" s="1684"/>
      <c r="AY1009" s="1684"/>
      <c r="AZ1009" s="1684"/>
      <c r="BA1009" s="1684"/>
      <c r="BB1009" s="1684"/>
      <c r="BC1009" s="1684"/>
      <c r="BD1009" s="1684"/>
      <c r="BE1009" s="1684"/>
      <c r="BF1009" s="1684"/>
      <c r="BG1009" s="1684"/>
      <c r="BH1009" s="1684"/>
      <c r="BI1009" s="1684"/>
      <c r="BJ1009" s="1684"/>
      <c r="BK1009" s="1684"/>
      <c r="BL1009" s="1684"/>
      <c r="BM1009" s="1684"/>
      <c r="BN1009" s="1684"/>
      <c r="BO1009" s="1684"/>
      <c r="BP1009" s="1684"/>
      <c r="BQ1009" s="1684"/>
      <c r="BR1009" s="1684"/>
      <c r="BS1009" s="1684"/>
      <c r="BT1009" s="1684"/>
      <c r="BU1009" s="1684"/>
      <c r="BV1009" s="1684"/>
      <c r="BW1009" s="1684"/>
      <c r="BX1009" s="1684"/>
      <c r="BY1009" s="1684"/>
      <c r="BZ1009" s="1684"/>
      <c r="CA1009" s="1684"/>
      <c r="CB1009" s="1684"/>
      <c r="CC1009" s="1684"/>
      <c r="CD1009" s="1684"/>
      <c r="CE1009" s="1684"/>
      <c r="CF1009" s="1684"/>
      <c r="CG1009" s="1684"/>
      <c r="CH1009" s="1684"/>
      <c r="CI1009" s="1684"/>
      <c r="CJ1009" s="1684"/>
      <c r="CK1009" s="1684"/>
      <c r="CL1009" s="1684"/>
      <c r="CM1009" s="1684"/>
      <c r="CN1009" s="1684"/>
      <c r="CO1009" s="1684"/>
    </row>
    <row r="1010" spans="1:93" s="1391" customFormat="1" ht="15" x14ac:dyDescent="0.2">
      <c r="A1010" s="1684"/>
      <c r="B1010" s="1684"/>
      <c r="C1010" s="2013">
        <v>15</v>
      </c>
      <c r="D1010" s="5">
        <v>9.34</v>
      </c>
      <c r="E1010" s="5">
        <v>281</v>
      </c>
      <c r="F1010" s="5">
        <v>309</v>
      </c>
      <c r="G1010" s="5">
        <v>336</v>
      </c>
      <c r="H1010" s="5">
        <v>362</v>
      </c>
      <c r="I1010" s="5">
        <v>387</v>
      </c>
      <c r="J1010" s="5">
        <v>412</v>
      </c>
      <c r="K1010" s="5">
        <v>437</v>
      </c>
      <c r="L1010" s="5">
        <v>462</v>
      </c>
      <c r="M1010" s="5">
        <v>485</v>
      </c>
      <c r="N1010" s="5">
        <v>508</v>
      </c>
      <c r="O1010" s="5">
        <v>531</v>
      </c>
      <c r="P1010" s="5">
        <v>554</v>
      </c>
      <c r="Q1010" s="1160">
        <v>63</v>
      </c>
      <c r="R1010"/>
      <c r="S1010" s="1684"/>
      <c r="T1010" s="1684"/>
      <c r="U1010" s="1684"/>
      <c r="V1010" s="1684"/>
      <c r="W1010" s="1684"/>
      <c r="X1010" s="1684"/>
      <c r="Y1010" s="1684"/>
      <c r="Z1010" s="1684"/>
      <c r="AA1010" s="1684"/>
      <c r="AB1010" s="1684"/>
      <c r="AC1010" s="1684"/>
      <c r="AD1010" s="1684"/>
      <c r="AE1010" s="1684"/>
      <c r="AF1010" s="1684"/>
      <c r="AG1010" s="1684"/>
      <c r="AH1010" s="1684"/>
      <c r="AI1010" s="1684"/>
      <c r="AJ1010" s="1684"/>
      <c r="AK1010" s="1684"/>
      <c r="AL1010" s="1684"/>
      <c r="AM1010" s="1684"/>
      <c r="AN1010" s="1684"/>
      <c r="AO1010" s="1684"/>
      <c r="AP1010" s="1684"/>
      <c r="AQ1010" s="1684"/>
      <c r="AR1010" s="1684"/>
      <c r="AS1010" s="1684"/>
      <c r="AT1010" s="1684"/>
      <c r="AU1010" s="1684"/>
      <c r="AV1010" s="1684"/>
      <c r="AW1010" s="1684"/>
      <c r="AX1010" s="1684"/>
      <c r="AY1010" s="1684"/>
      <c r="AZ1010" s="1684"/>
      <c r="BA1010" s="1684"/>
      <c r="BB1010" s="1684"/>
      <c r="BC1010" s="1684"/>
      <c r="BD1010" s="1684"/>
      <c r="BE1010" s="1684"/>
      <c r="BF1010" s="1684"/>
      <c r="BG1010" s="1684"/>
      <c r="BH1010" s="1684"/>
      <c r="BI1010" s="1684"/>
      <c r="BJ1010" s="1684"/>
      <c r="BK1010" s="1684"/>
      <c r="BL1010" s="1684"/>
      <c r="BM1010" s="1684"/>
      <c r="BN1010" s="1684"/>
      <c r="BO1010" s="1684"/>
      <c r="BP1010" s="1684"/>
      <c r="BQ1010" s="1684"/>
      <c r="BR1010" s="1684"/>
      <c r="BS1010" s="1684"/>
      <c r="BT1010" s="1684"/>
      <c r="BU1010" s="1684"/>
      <c r="BV1010" s="1684"/>
      <c r="BW1010" s="1684"/>
      <c r="BX1010" s="1684"/>
      <c r="BY1010" s="1684"/>
      <c r="BZ1010" s="1684"/>
      <c r="CA1010" s="1684"/>
      <c r="CB1010" s="1684"/>
      <c r="CC1010" s="1684"/>
      <c r="CD1010" s="1684"/>
      <c r="CE1010" s="1684"/>
      <c r="CF1010" s="1684"/>
      <c r="CG1010" s="1684"/>
      <c r="CH1010" s="1684"/>
      <c r="CI1010" s="1684"/>
      <c r="CJ1010" s="1684"/>
      <c r="CK1010" s="1684"/>
      <c r="CL1010" s="1684"/>
      <c r="CM1010" s="1684"/>
      <c r="CN1010" s="1684"/>
      <c r="CO1010" s="1684"/>
    </row>
    <row r="1011" spans="1:93" s="1391" customFormat="1" ht="15" x14ac:dyDescent="0.2">
      <c r="A1011" s="1684"/>
      <c r="B1011" s="1684"/>
      <c r="C1011" s="2013">
        <v>16</v>
      </c>
      <c r="D1011" s="5">
        <v>10.074999999999999</v>
      </c>
      <c r="E1011" s="5">
        <v>301</v>
      </c>
      <c r="F1011" s="5">
        <v>331</v>
      </c>
      <c r="G1011" s="5">
        <v>359</v>
      </c>
      <c r="H1011" s="5">
        <v>386</v>
      </c>
      <c r="I1011" s="5">
        <v>413</v>
      </c>
      <c r="J1011" s="5">
        <v>440</v>
      </c>
      <c r="K1011" s="5">
        <v>466</v>
      </c>
      <c r="L1011" s="5">
        <v>493</v>
      </c>
      <c r="M1011" s="5">
        <v>517</v>
      </c>
      <c r="N1011" s="5">
        <v>541</v>
      </c>
      <c r="O1011" s="5">
        <v>565</v>
      </c>
      <c r="P1011" s="5">
        <v>589</v>
      </c>
      <c r="Q1011" s="1160">
        <v>64</v>
      </c>
      <c r="R1011"/>
      <c r="S1011" s="1684"/>
      <c r="T1011" s="1684"/>
      <c r="U1011" s="1684"/>
      <c r="V1011" s="1684"/>
      <c r="W1011" s="1684"/>
      <c r="X1011" s="1684"/>
      <c r="Y1011" s="1684"/>
      <c r="Z1011" s="1684"/>
      <c r="AA1011" s="1684"/>
      <c r="AB1011" s="1684"/>
      <c r="AC1011" s="1684"/>
      <c r="AD1011" s="1684"/>
      <c r="AE1011" s="1684"/>
      <c r="AF1011" s="1684"/>
      <c r="AG1011" s="1684"/>
      <c r="AH1011" s="1684"/>
      <c r="AI1011" s="1684"/>
      <c r="AJ1011" s="1684"/>
      <c r="AK1011" s="1684"/>
      <c r="AL1011" s="1684"/>
      <c r="AM1011" s="1684"/>
      <c r="AN1011" s="1684"/>
      <c r="AO1011" s="1684"/>
      <c r="AP1011" s="1684"/>
      <c r="AQ1011" s="1684"/>
      <c r="AR1011" s="1684"/>
      <c r="AS1011" s="1684"/>
      <c r="AT1011" s="1684"/>
      <c r="AU1011" s="1684"/>
      <c r="AV1011" s="1684"/>
      <c r="AW1011" s="1684"/>
      <c r="AX1011" s="1684"/>
      <c r="AY1011" s="1684"/>
      <c r="AZ1011" s="1684"/>
      <c r="BA1011" s="1684"/>
      <c r="BB1011" s="1684"/>
      <c r="BC1011" s="1684"/>
      <c r="BD1011" s="1684"/>
      <c r="BE1011" s="1684"/>
      <c r="BF1011" s="1684"/>
      <c r="BG1011" s="1684"/>
      <c r="BH1011" s="1684"/>
      <c r="BI1011" s="1684"/>
      <c r="BJ1011" s="1684"/>
      <c r="BK1011" s="1684"/>
      <c r="BL1011" s="1684"/>
      <c r="BM1011" s="1684"/>
      <c r="BN1011" s="1684"/>
      <c r="BO1011" s="1684"/>
      <c r="BP1011" s="1684"/>
      <c r="BQ1011" s="1684"/>
      <c r="BR1011" s="1684"/>
      <c r="BS1011" s="1684"/>
      <c r="BT1011" s="1684"/>
      <c r="BU1011" s="1684"/>
      <c r="BV1011" s="1684"/>
      <c r="BW1011" s="1684"/>
      <c r="BX1011" s="1684"/>
      <c r="BY1011" s="1684"/>
      <c r="BZ1011" s="1684"/>
      <c r="CA1011" s="1684"/>
      <c r="CB1011" s="1684"/>
      <c r="CC1011" s="1684"/>
      <c r="CD1011" s="1684"/>
      <c r="CE1011" s="1684"/>
      <c r="CF1011" s="1684"/>
      <c r="CG1011" s="1684"/>
      <c r="CH1011" s="1684"/>
      <c r="CI1011" s="1684"/>
      <c r="CJ1011" s="1684"/>
      <c r="CK1011" s="1684"/>
      <c r="CL1011" s="1684"/>
      <c r="CM1011" s="1684"/>
      <c r="CN1011" s="1684"/>
      <c r="CO1011" s="1684"/>
    </row>
    <row r="1012" spans="1:93" s="1391" customFormat="1" ht="15" x14ac:dyDescent="0.2">
      <c r="A1012" s="1684"/>
      <c r="B1012" s="1684"/>
      <c r="C1012" s="2013">
        <v>17</v>
      </c>
      <c r="D1012" s="5">
        <v>10.852</v>
      </c>
      <c r="E1012" s="5">
        <v>319</v>
      </c>
      <c r="F1012" s="5">
        <v>351</v>
      </c>
      <c r="G1012" s="5">
        <v>380</v>
      </c>
      <c r="H1012" s="5">
        <v>409</v>
      </c>
      <c r="I1012" s="5">
        <v>438</v>
      </c>
      <c r="J1012" s="5">
        <v>465</v>
      </c>
      <c r="K1012" s="5">
        <v>493</v>
      </c>
      <c r="L1012" s="5">
        <v>521</v>
      </c>
      <c r="M1012" s="5">
        <v>546</v>
      </c>
      <c r="N1012" s="5">
        <v>571</v>
      </c>
      <c r="O1012" s="5">
        <v>597</v>
      </c>
      <c r="P1012" s="5">
        <v>622</v>
      </c>
      <c r="Q1012" s="1160">
        <v>65</v>
      </c>
      <c r="R1012"/>
      <c r="S1012" s="1684"/>
      <c r="T1012" s="1684"/>
      <c r="U1012" s="1684"/>
      <c r="V1012" s="1684"/>
      <c r="W1012" s="1684"/>
      <c r="X1012" s="1684"/>
      <c r="Y1012" s="1684"/>
      <c r="Z1012" s="1684"/>
      <c r="AA1012" s="1684"/>
      <c r="AB1012" s="1684"/>
      <c r="AC1012" s="1684"/>
      <c r="AD1012" s="1684"/>
      <c r="AE1012" s="1684"/>
      <c r="AF1012" s="1684"/>
      <c r="AG1012" s="1684"/>
      <c r="AH1012" s="1684"/>
      <c r="AI1012" s="1684"/>
      <c r="AJ1012" s="1684"/>
      <c r="AK1012" s="1684"/>
      <c r="AL1012" s="1684"/>
      <c r="AM1012" s="1684"/>
      <c r="AN1012" s="1684"/>
      <c r="AO1012" s="1684"/>
      <c r="AP1012" s="1684"/>
      <c r="AQ1012" s="1684"/>
      <c r="AR1012" s="1684"/>
      <c r="AS1012" s="1684"/>
      <c r="AT1012" s="1684"/>
      <c r="AU1012" s="1684"/>
      <c r="AV1012" s="1684"/>
      <c r="AW1012" s="1684"/>
      <c r="AX1012" s="1684"/>
      <c r="AY1012" s="1684"/>
      <c r="AZ1012" s="1684"/>
      <c r="BA1012" s="1684"/>
      <c r="BB1012" s="1684"/>
      <c r="BC1012" s="1684"/>
      <c r="BD1012" s="1684"/>
      <c r="BE1012" s="1684"/>
      <c r="BF1012" s="1684"/>
      <c r="BG1012" s="1684"/>
      <c r="BH1012" s="1684"/>
      <c r="BI1012" s="1684"/>
      <c r="BJ1012" s="1684"/>
      <c r="BK1012" s="1684"/>
      <c r="BL1012" s="1684"/>
      <c r="BM1012" s="1684"/>
      <c r="BN1012" s="1684"/>
      <c r="BO1012" s="1684"/>
      <c r="BP1012" s="1684"/>
      <c r="BQ1012" s="1684"/>
      <c r="BR1012" s="1684"/>
      <c r="BS1012" s="1684"/>
      <c r="BT1012" s="1684"/>
      <c r="BU1012" s="1684"/>
      <c r="BV1012" s="1684"/>
      <c r="BW1012" s="1684"/>
      <c r="BX1012" s="1684"/>
      <c r="BY1012" s="1684"/>
      <c r="BZ1012" s="1684"/>
      <c r="CA1012" s="1684"/>
      <c r="CB1012" s="1684"/>
      <c r="CC1012" s="1684"/>
      <c r="CD1012" s="1684"/>
      <c r="CE1012" s="1684"/>
      <c r="CF1012" s="1684"/>
      <c r="CG1012" s="1684"/>
      <c r="CH1012" s="1684"/>
      <c r="CI1012" s="1684"/>
      <c r="CJ1012" s="1684"/>
      <c r="CK1012" s="1684"/>
      <c r="CL1012" s="1684"/>
      <c r="CM1012" s="1684"/>
      <c r="CN1012" s="1684"/>
      <c r="CO1012" s="1684"/>
    </row>
    <row r="1013" spans="1:93" s="1391" customFormat="1" ht="15" x14ac:dyDescent="0.2">
      <c r="A1013" s="1684"/>
      <c r="B1013" s="1684"/>
      <c r="C1013" s="2013">
        <v>18</v>
      </c>
      <c r="D1013" s="5">
        <v>11.363</v>
      </c>
      <c r="E1013" s="5">
        <v>336</v>
      </c>
      <c r="F1013" s="5">
        <v>369</v>
      </c>
      <c r="G1013" s="5">
        <v>400</v>
      </c>
      <c r="H1013" s="5">
        <v>430</v>
      </c>
      <c r="I1013" s="5">
        <v>459</v>
      </c>
      <c r="J1013" s="5">
        <v>488</v>
      </c>
      <c r="K1013" s="5">
        <v>517</v>
      </c>
      <c r="L1013" s="5">
        <v>546</v>
      </c>
      <c r="M1013" s="5">
        <v>572</v>
      </c>
      <c r="N1013" s="5">
        <v>599</v>
      </c>
      <c r="O1013" s="5">
        <v>625</v>
      </c>
      <c r="P1013" s="5">
        <v>651</v>
      </c>
      <c r="Q1013" s="1160">
        <v>66</v>
      </c>
      <c r="R1013"/>
      <c r="S1013" s="1684"/>
      <c r="T1013" s="1684"/>
      <c r="U1013" s="1684"/>
      <c r="V1013" s="1684"/>
      <c r="W1013" s="1684"/>
      <c r="X1013" s="1684"/>
      <c r="Y1013" s="1684"/>
      <c r="Z1013" s="1684"/>
      <c r="AA1013" s="1684"/>
      <c r="AB1013" s="1684"/>
      <c r="AC1013" s="1684"/>
      <c r="AD1013" s="1684"/>
      <c r="AE1013" s="1684"/>
      <c r="AF1013" s="1684"/>
      <c r="AG1013" s="1684"/>
      <c r="AH1013" s="1684"/>
      <c r="AI1013" s="1684"/>
      <c r="AJ1013" s="1684"/>
      <c r="AK1013" s="1684"/>
      <c r="AL1013" s="1684"/>
      <c r="AM1013" s="1684"/>
      <c r="AN1013" s="1684"/>
      <c r="AO1013" s="1684"/>
      <c r="AP1013" s="1684"/>
      <c r="AQ1013" s="1684"/>
      <c r="AR1013" s="1684"/>
      <c r="AS1013" s="1684"/>
      <c r="AT1013" s="1684"/>
      <c r="AU1013" s="1684"/>
      <c r="AV1013" s="1684"/>
      <c r="AW1013" s="1684"/>
      <c r="AX1013" s="1684"/>
      <c r="AY1013" s="1684"/>
      <c r="AZ1013" s="1684"/>
      <c r="BA1013" s="1684"/>
      <c r="BB1013" s="1684"/>
      <c r="BC1013" s="1684"/>
      <c r="BD1013" s="1684"/>
      <c r="BE1013" s="1684"/>
      <c r="BF1013" s="1684"/>
      <c r="BG1013" s="1684"/>
      <c r="BH1013" s="1684"/>
      <c r="BI1013" s="1684"/>
      <c r="BJ1013" s="1684"/>
      <c r="BK1013" s="1684"/>
      <c r="BL1013" s="1684"/>
      <c r="BM1013" s="1684"/>
      <c r="BN1013" s="1684"/>
      <c r="BO1013" s="1684"/>
      <c r="BP1013" s="1684"/>
      <c r="BQ1013" s="1684"/>
      <c r="BR1013" s="1684"/>
      <c r="BS1013" s="1684"/>
      <c r="BT1013" s="1684"/>
      <c r="BU1013" s="1684"/>
      <c r="BV1013" s="1684"/>
      <c r="BW1013" s="1684"/>
      <c r="BX1013" s="1684"/>
      <c r="BY1013" s="1684"/>
      <c r="BZ1013" s="1684"/>
      <c r="CA1013" s="1684"/>
      <c r="CB1013" s="1684"/>
      <c r="CC1013" s="1684"/>
      <c r="CD1013" s="1684"/>
      <c r="CE1013" s="1684"/>
      <c r="CF1013" s="1684"/>
      <c r="CG1013" s="1684"/>
      <c r="CH1013" s="1684"/>
      <c r="CI1013" s="1684"/>
      <c r="CJ1013" s="1684"/>
      <c r="CK1013" s="1684"/>
      <c r="CL1013" s="1684"/>
      <c r="CM1013" s="1684"/>
      <c r="CN1013" s="1684"/>
      <c r="CO1013" s="1684"/>
    </row>
    <row r="1014" spans="1:93" s="1391" customFormat="1" ht="15" x14ac:dyDescent="0.2">
      <c r="A1014" s="1684"/>
      <c r="B1014" s="1684"/>
      <c r="C1014" s="4680" t="s">
        <v>3692</v>
      </c>
      <c r="D1014" s="4681"/>
      <c r="E1014" s="4681"/>
      <c r="F1014" s="4681"/>
      <c r="G1014" s="4681"/>
      <c r="H1014" s="4681"/>
      <c r="I1014" s="4681"/>
      <c r="J1014" s="4681"/>
      <c r="K1014" s="4681"/>
      <c r="L1014" s="4681"/>
      <c r="M1014" s="4681"/>
      <c r="N1014" s="4681"/>
      <c r="O1014" s="4681"/>
      <c r="P1014" s="4681"/>
      <c r="Q1014" s="4682"/>
      <c r="R1014"/>
      <c r="S1014" s="1684"/>
      <c r="T1014" s="1684"/>
      <c r="U1014" s="1684"/>
      <c r="V1014" s="1684"/>
      <c r="W1014" s="1684"/>
      <c r="X1014" s="1684"/>
      <c r="Y1014" s="1684"/>
      <c r="Z1014" s="1684"/>
      <c r="AA1014" s="1684"/>
      <c r="AB1014" s="1684"/>
      <c r="AC1014" s="1684"/>
      <c r="AD1014" s="1684"/>
      <c r="AE1014" s="1684"/>
      <c r="AF1014" s="1684"/>
      <c r="AG1014" s="1684"/>
      <c r="AH1014" s="1684"/>
      <c r="AI1014" s="1684"/>
      <c r="AJ1014" s="1684"/>
      <c r="AK1014" s="1684"/>
      <c r="AL1014" s="1684"/>
      <c r="AM1014" s="1684"/>
      <c r="AN1014" s="1684"/>
      <c r="AO1014" s="1684"/>
      <c r="AP1014" s="1684"/>
      <c r="AQ1014" s="1684"/>
      <c r="AR1014" s="1684"/>
      <c r="AS1014" s="1684"/>
      <c r="AT1014" s="1684"/>
      <c r="AU1014" s="1684"/>
      <c r="AV1014" s="1684"/>
      <c r="AW1014" s="1684"/>
      <c r="AX1014" s="1684"/>
      <c r="AY1014" s="1684"/>
      <c r="AZ1014" s="1684"/>
      <c r="BA1014" s="1684"/>
      <c r="BB1014" s="1684"/>
      <c r="BC1014" s="1684"/>
      <c r="BD1014" s="1684"/>
      <c r="BE1014" s="1684"/>
      <c r="BF1014" s="1684"/>
      <c r="BG1014" s="1684"/>
      <c r="BH1014" s="1684"/>
      <c r="BI1014" s="1684"/>
      <c r="BJ1014" s="1684"/>
      <c r="BK1014" s="1684"/>
      <c r="BL1014" s="1684"/>
      <c r="BM1014" s="1684"/>
      <c r="BN1014" s="1684"/>
      <c r="BO1014" s="1684"/>
      <c r="BP1014" s="1684"/>
      <c r="BQ1014" s="1684"/>
      <c r="BR1014" s="1684"/>
      <c r="BS1014" s="1684"/>
      <c r="BT1014" s="1684"/>
      <c r="BU1014" s="1684"/>
      <c r="BV1014" s="1684"/>
      <c r="BW1014" s="1684"/>
      <c r="BX1014" s="1684"/>
      <c r="BY1014" s="1684"/>
      <c r="BZ1014" s="1684"/>
      <c r="CA1014" s="1684"/>
      <c r="CB1014" s="1684"/>
      <c r="CC1014" s="1684"/>
      <c r="CD1014" s="1684"/>
      <c r="CE1014" s="1684"/>
      <c r="CF1014" s="1684"/>
      <c r="CG1014" s="1684"/>
      <c r="CH1014" s="1684"/>
      <c r="CI1014" s="1684"/>
      <c r="CJ1014" s="1684"/>
      <c r="CK1014" s="1684"/>
      <c r="CL1014" s="1684"/>
      <c r="CM1014" s="1684"/>
      <c r="CN1014" s="1684"/>
      <c r="CO1014" s="1684"/>
    </row>
    <row r="1015" spans="1:93" s="1391" customFormat="1" ht="15" x14ac:dyDescent="0.2">
      <c r="A1015" s="1684"/>
      <c r="B1015" s="1684"/>
      <c r="C1015" s="4680"/>
      <c r="D1015" s="4681"/>
      <c r="E1015" s="4681"/>
      <c r="F1015" s="4681"/>
      <c r="G1015" s="4681"/>
      <c r="H1015" s="4681"/>
      <c r="I1015" s="4681"/>
      <c r="J1015" s="4681"/>
      <c r="K1015" s="4681"/>
      <c r="L1015" s="4681"/>
      <c r="M1015" s="4681"/>
      <c r="N1015" s="4681"/>
      <c r="O1015" s="4681"/>
      <c r="P1015" s="4681"/>
      <c r="Q1015" s="4682"/>
      <c r="R1015"/>
      <c r="S1015" s="1684"/>
      <c r="T1015" s="1684"/>
      <c r="U1015" s="1684"/>
      <c r="V1015" s="1684"/>
      <c r="W1015" s="1684"/>
      <c r="X1015" s="1684"/>
      <c r="Y1015" s="1684"/>
      <c r="Z1015" s="1684"/>
      <c r="AA1015" s="1684"/>
      <c r="AB1015" s="1684"/>
      <c r="AC1015" s="1684"/>
      <c r="AD1015" s="1684"/>
      <c r="AE1015" s="1684"/>
      <c r="AF1015" s="1684"/>
      <c r="AG1015" s="1684"/>
      <c r="AH1015" s="1684"/>
      <c r="AI1015" s="1684"/>
      <c r="AJ1015" s="1684"/>
      <c r="AK1015" s="1684"/>
      <c r="AL1015" s="1684"/>
      <c r="AM1015" s="1684"/>
      <c r="AN1015" s="1684"/>
      <c r="AO1015" s="1684"/>
      <c r="AP1015" s="1684"/>
      <c r="AQ1015" s="1684"/>
      <c r="AR1015" s="1684"/>
      <c r="AS1015" s="1684"/>
      <c r="AT1015" s="1684"/>
      <c r="AU1015" s="1684"/>
      <c r="AV1015" s="1684"/>
      <c r="AW1015" s="1684"/>
      <c r="AX1015" s="1684"/>
      <c r="AY1015" s="1684"/>
      <c r="AZ1015" s="1684"/>
      <c r="BA1015" s="1684"/>
      <c r="BB1015" s="1684"/>
      <c r="BC1015" s="1684"/>
      <c r="BD1015" s="1684"/>
      <c r="BE1015" s="1684"/>
      <c r="BF1015" s="1684"/>
      <c r="BG1015" s="1684"/>
      <c r="BH1015" s="1684"/>
      <c r="BI1015" s="1684"/>
      <c r="BJ1015" s="1684"/>
      <c r="BK1015" s="1684"/>
      <c r="BL1015" s="1684"/>
      <c r="BM1015" s="1684"/>
      <c r="BN1015" s="1684"/>
      <c r="BO1015" s="1684"/>
      <c r="BP1015" s="1684"/>
      <c r="BQ1015" s="1684"/>
      <c r="BR1015" s="1684"/>
      <c r="BS1015" s="1684"/>
      <c r="BT1015" s="1684"/>
      <c r="BU1015" s="1684"/>
      <c r="BV1015" s="1684"/>
      <c r="BW1015" s="1684"/>
      <c r="BX1015" s="1684"/>
      <c r="BY1015" s="1684"/>
      <c r="BZ1015" s="1684"/>
      <c r="CA1015" s="1684"/>
      <c r="CB1015" s="1684"/>
      <c r="CC1015" s="1684"/>
      <c r="CD1015" s="1684"/>
      <c r="CE1015" s="1684"/>
      <c r="CF1015" s="1684"/>
      <c r="CG1015" s="1684"/>
      <c r="CH1015" s="1684"/>
      <c r="CI1015" s="1684"/>
      <c r="CJ1015" s="1684"/>
      <c r="CK1015" s="1684"/>
      <c r="CL1015" s="1684"/>
      <c r="CM1015" s="1684"/>
      <c r="CN1015" s="1684"/>
      <c r="CO1015" s="1684"/>
    </row>
    <row r="1016" spans="1:93" s="1391" customFormat="1" ht="15" x14ac:dyDescent="0.2">
      <c r="A1016" s="1684"/>
      <c r="B1016" s="1684"/>
      <c r="C1016" s="2014"/>
      <c r="D1016" s="2015"/>
      <c r="E1016" s="2015">
        <v>1</v>
      </c>
      <c r="F1016" s="2015">
        <v>2</v>
      </c>
      <c r="G1016" s="2015">
        <v>3</v>
      </c>
      <c r="H1016" s="2015">
        <v>4</v>
      </c>
      <c r="I1016" s="2015">
        <v>5</v>
      </c>
      <c r="J1016" s="2015">
        <v>6</v>
      </c>
      <c r="K1016" s="2015">
        <v>7</v>
      </c>
      <c r="L1016" s="2015">
        <v>8</v>
      </c>
      <c r="M1016" s="2015">
        <v>9</v>
      </c>
      <c r="N1016" s="2015">
        <v>10</v>
      </c>
      <c r="O1016" s="2015">
        <v>11</v>
      </c>
      <c r="P1016" s="2015">
        <v>12</v>
      </c>
      <c r="Q1016" s="2016"/>
      <c r="R1016"/>
      <c r="S1016" s="1684"/>
      <c r="T1016" s="1684"/>
      <c r="U1016" s="1684"/>
      <c r="V1016" s="1684"/>
      <c r="W1016" s="1684"/>
      <c r="X1016" s="1684"/>
      <c r="Y1016" s="1684"/>
      <c r="Z1016" s="1684"/>
      <c r="AA1016" s="1684"/>
      <c r="AB1016" s="1684"/>
      <c r="AC1016" s="1684"/>
      <c r="AD1016" s="1684"/>
      <c r="AE1016" s="1684"/>
      <c r="AF1016" s="1684"/>
      <c r="AG1016" s="1684"/>
      <c r="AH1016" s="1684"/>
      <c r="AI1016" s="1684"/>
      <c r="AJ1016" s="1684"/>
      <c r="AK1016" s="1684"/>
      <c r="AL1016" s="1684"/>
      <c r="AM1016" s="1684"/>
      <c r="AN1016" s="1684"/>
      <c r="AO1016" s="1684"/>
      <c r="AP1016" s="1684"/>
      <c r="AQ1016" s="1684"/>
      <c r="AR1016" s="1684"/>
      <c r="AS1016" s="1684"/>
      <c r="AT1016" s="1684"/>
      <c r="AU1016" s="1684"/>
      <c r="AV1016" s="1684"/>
      <c r="AW1016" s="1684"/>
      <c r="AX1016" s="1684"/>
      <c r="AY1016" s="1684"/>
      <c r="AZ1016" s="1684"/>
      <c r="BA1016" s="1684"/>
      <c r="BB1016" s="1684"/>
      <c r="BC1016" s="1684"/>
      <c r="BD1016" s="1684"/>
      <c r="BE1016" s="1684"/>
      <c r="BF1016" s="1684"/>
      <c r="BG1016" s="1684"/>
      <c r="BH1016" s="1684"/>
      <c r="BI1016" s="1684"/>
      <c r="BJ1016" s="1684"/>
      <c r="BK1016" s="1684"/>
      <c r="BL1016" s="1684"/>
      <c r="BM1016" s="1684"/>
      <c r="BN1016" s="1684"/>
      <c r="BO1016" s="1684"/>
      <c r="BP1016" s="1684"/>
      <c r="BQ1016" s="1684"/>
      <c r="BR1016" s="1684"/>
      <c r="BS1016" s="1684"/>
      <c r="BT1016" s="1684"/>
      <c r="BU1016" s="1684"/>
      <c r="BV1016" s="1684"/>
      <c r="BW1016" s="1684"/>
      <c r="BX1016" s="1684"/>
      <c r="BY1016" s="1684"/>
      <c r="BZ1016" s="1684"/>
      <c r="CA1016" s="1684"/>
      <c r="CB1016" s="1684"/>
      <c r="CC1016" s="1684"/>
      <c r="CD1016" s="1684"/>
      <c r="CE1016" s="1684"/>
      <c r="CF1016" s="1684"/>
      <c r="CG1016" s="1684"/>
      <c r="CH1016" s="1684"/>
      <c r="CI1016" s="1684"/>
      <c r="CJ1016" s="1684"/>
      <c r="CK1016" s="1684"/>
      <c r="CL1016" s="1684"/>
      <c r="CM1016" s="1684"/>
      <c r="CN1016" s="1684"/>
      <c r="CO1016" s="1684"/>
    </row>
    <row r="1017" spans="1:93" s="1391" customFormat="1" ht="15" x14ac:dyDescent="0.2">
      <c r="A1017" s="1684"/>
      <c r="B1017" s="1684"/>
      <c r="C1017" s="2013">
        <v>8</v>
      </c>
      <c r="D1017" s="5">
        <v>5.9539999999999997</v>
      </c>
      <c r="E1017" s="5">
        <v>156</v>
      </c>
      <c r="F1017" s="5">
        <v>173</v>
      </c>
      <c r="G1017" s="5">
        <v>188</v>
      </c>
      <c r="H1017" s="5">
        <v>204</v>
      </c>
      <c r="I1017" s="5">
        <v>219</v>
      </c>
      <c r="J1017" s="5">
        <v>234</v>
      </c>
      <c r="K1017" s="5">
        <v>249</v>
      </c>
      <c r="L1017" s="5">
        <v>264</v>
      </c>
      <c r="M1017" s="5">
        <v>278</v>
      </c>
      <c r="N1017" s="5">
        <v>292</v>
      </c>
      <c r="O1017" s="5">
        <v>307</v>
      </c>
      <c r="P1017" s="5">
        <v>321</v>
      </c>
      <c r="Q1017" s="1160">
        <v>67</v>
      </c>
      <c r="R1017"/>
      <c r="S1017" s="1684"/>
      <c r="T1017" s="1684"/>
      <c r="U1017" s="1684"/>
      <c r="V1017" s="1684"/>
      <c r="W1017" s="1684"/>
      <c r="X1017" s="1684"/>
      <c r="Y1017" s="1684"/>
      <c r="Z1017" s="1684"/>
      <c r="AA1017" s="1684"/>
      <c r="AB1017" s="1684"/>
      <c r="AC1017" s="1684"/>
      <c r="AD1017" s="1684"/>
      <c r="AE1017" s="1684"/>
      <c r="AF1017" s="1684"/>
      <c r="AG1017" s="1684"/>
      <c r="AH1017" s="1684"/>
      <c r="AI1017" s="1684"/>
      <c r="AJ1017" s="1684"/>
      <c r="AK1017" s="1684"/>
      <c r="AL1017" s="1684"/>
      <c r="AM1017" s="1684"/>
      <c r="AN1017" s="1684"/>
      <c r="AO1017" s="1684"/>
      <c r="AP1017" s="1684"/>
      <c r="AQ1017" s="1684"/>
      <c r="AR1017" s="1684"/>
      <c r="AS1017" s="1684"/>
      <c r="AT1017" s="1684"/>
      <c r="AU1017" s="1684"/>
      <c r="AV1017" s="1684"/>
      <c r="AW1017" s="1684"/>
      <c r="AX1017" s="1684"/>
      <c r="AY1017" s="1684"/>
      <c r="AZ1017" s="1684"/>
      <c r="BA1017" s="1684"/>
      <c r="BB1017" s="1684"/>
      <c r="BC1017" s="1684"/>
      <c r="BD1017" s="1684"/>
      <c r="BE1017" s="1684"/>
      <c r="BF1017" s="1684"/>
      <c r="BG1017" s="1684"/>
      <c r="BH1017" s="1684"/>
      <c r="BI1017" s="1684"/>
      <c r="BJ1017" s="1684"/>
      <c r="BK1017" s="1684"/>
      <c r="BL1017" s="1684"/>
      <c r="BM1017" s="1684"/>
      <c r="BN1017" s="1684"/>
      <c r="BO1017" s="1684"/>
      <c r="BP1017" s="1684"/>
      <c r="BQ1017" s="1684"/>
      <c r="BR1017" s="1684"/>
      <c r="BS1017" s="1684"/>
      <c r="BT1017" s="1684"/>
      <c r="BU1017" s="1684"/>
      <c r="BV1017" s="1684"/>
      <c r="BW1017" s="1684"/>
      <c r="BX1017" s="1684"/>
      <c r="BY1017" s="1684"/>
      <c r="BZ1017" s="1684"/>
      <c r="CA1017" s="1684"/>
      <c r="CB1017" s="1684"/>
      <c r="CC1017" s="1684"/>
      <c r="CD1017" s="1684"/>
      <c r="CE1017" s="1684"/>
      <c r="CF1017" s="1684"/>
      <c r="CG1017" s="1684"/>
      <c r="CH1017" s="1684"/>
      <c r="CI1017" s="1684"/>
      <c r="CJ1017" s="1684"/>
      <c r="CK1017" s="1684"/>
      <c r="CL1017" s="1684"/>
      <c r="CM1017" s="1684"/>
      <c r="CN1017" s="1684"/>
      <c r="CO1017" s="1684"/>
    </row>
    <row r="1018" spans="1:93" s="1391" customFormat="1" ht="15" x14ac:dyDescent="0.2">
      <c r="A1018" s="1684"/>
      <c r="B1018" s="1684"/>
      <c r="C1018" s="2013">
        <v>9</v>
      </c>
      <c r="D1018" s="5">
        <v>6.3689999999999998</v>
      </c>
      <c r="E1018" s="5">
        <v>173</v>
      </c>
      <c r="F1018" s="5">
        <v>191</v>
      </c>
      <c r="G1018" s="5">
        <v>208</v>
      </c>
      <c r="H1018" s="5">
        <v>224</v>
      </c>
      <c r="I1018" s="5">
        <v>241</v>
      </c>
      <c r="J1018" s="5">
        <v>257</v>
      </c>
      <c r="K1018" s="5">
        <v>274</v>
      </c>
      <c r="L1018" s="5">
        <v>290</v>
      </c>
      <c r="M1018" s="5">
        <v>306</v>
      </c>
      <c r="N1018" s="5">
        <v>321</v>
      </c>
      <c r="O1018" s="5">
        <v>337</v>
      </c>
      <c r="P1018" s="5">
        <v>352</v>
      </c>
      <c r="Q1018" s="1160">
        <v>68</v>
      </c>
      <c r="R1018"/>
      <c r="S1018" s="1684"/>
      <c r="T1018" s="1684"/>
      <c r="U1018" s="1684"/>
      <c r="V1018" s="1684"/>
      <c r="W1018" s="1684"/>
      <c r="X1018" s="1684"/>
      <c r="Y1018" s="1684"/>
      <c r="Z1018" s="1684"/>
      <c r="AA1018" s="1684"/>
      <c r="AB1018" s="1684"/>
      <c r="AC1018" s="1684"/>
      <c r="AD1018" s="1684"/>
      <c r="AE1018" s="1684"/>
      <c r="AF1018" s="1684"/>
      <c r="AG1018" s="1684"/>
      <c r="AH1018" s="1684"/>
      <c r="AI1018" s="1684"/>
      <c r="AJ1018" s="1684"/>
      <c r="AK1018" s="1684"/>
      <c r="AL1018" s="1684"/>
      <c r="AM1018" s="1684"/>
      <c r="AN1018" s="1684"/>
      <c r="AO1018" s="1684"/>
      <c r="AP1018" s="1684"/>
      <c r="AQ1018" s="1684"/>
      <c r="AR1018" s="1684"/>
      <c r="AS1018" s="1684"/>
      <c r="AT1018" s="1684"/>
      <c r="AU1018" s="1684"/>
      <c r="AV1018" s="1684"/>
      <c r="AW1018" s="1684"/>
      <c r="AX1018" s="1684"/>
      <c r="AY1018" s="1684"/>
      <c r="AZ1018" s="1684"/>
      <c r="BA1018" s="1684"/>
      <c r="BB1018" s="1684"/>
      <c r="BC1018" s="1684"/>
      <c r="BD1018" s="1684"/>
      <c r="BE1018" s="1684"/>
      <c r="BF1018" s="1684"/>
      <c r="BG1018" s="1684"/>
      <c r="BH1018" s="1684"/>
      <c r="BI1018" s="1684"/>
      <c r="BJ1018" s="1684"/>
      <c r="BK1018" s="1684"/>
      <c r="BL1018" s="1684"/>
      <c r="BM1018" s="1684"/>
      <c r="BN1018" s="1684"/>
      <c r="BO1018" s="1684"/>
      <c r="BP1018" s="1684"/>
      <c r="BQ1018" s="1684"/>
      <c r="BR1018" s="1684"/>
      <c r="BS1018" s="1684"/>
      <c r="BT1018" s="1684"/>
      <c r="BU1018" s="1684"/>
      <c r="BV1018" s="1684"/>
      <c r="BW1018" s="1684"/>
      <c r="BX1018" s="1684"/>
      <c r="BY1018" s="1684"/>
      <c r="BZ1018" s="1684"/>
      <c r="CA1018" s="1684"/>
      <c r="CB1018" s="1684"/>
      <c r="CC1018" s="1684"/>
      <c r="CD1018" s="1684"/>
      <c r="CE1018" s="1684"/>
      <c r="CF1018" s="1684"/>
      <c r="CG1018" s="1684"/>
      <c r="CH1018" s="1684"/>
      <c r="CI1018" s="1684"/>
      <c r="CJ1018" s="1684"/>
      <c r="CK1018" s="1684"/>
      <c r="CL1018" s="1684"/>
      <c r="CM1018" s="1684"/>
      <c r="CN1018" s="1684"/>
      <c r="CO1018" s="1684"/>
    </row>
    <row r="1019" spans="1:93" s="1391" customFormat="1" ht="15" x14ac:dyDescent="0.2">
      <c r="A1019" s="1684"/>
      <c r="B1019" s="1684"/>
      <c r="C1019" s="2013">
        <v>10</v>
      </c>
      <c r="D1019" s="5">
        <v>6.8079999999999998</v>
      </c>
      <c r="E1019" s="5">
        <v>190</v>
      </c>
      <c r="F1019" s="5">
        <v>209</v>
      </c>
      <c r="G1019" s="5">
        <v>228</v>
      </c>
      <c r="H1019" s="5">
        <v>246</v>
      </c>
      <c r="I1019" s="5">
        <v>264</v>
      </c>
      <c r="J1019" s="5">
        <v>282</v>
      </c>
      <c r="K1019" s="5">
        <v>300</v>
      </c>
      <c r="L1019" s="5">
        <v>318</v>
      </c>
      <c r="M1019" s="5">
        <v>334</v>
      </c>
      <c r="N1019" s="5">
        <v>351</v>
      </c>
      <c r="O1019" s="5">
        <v>368</v>
      </c>
      <c r="P1019" s="5">
        <v>385</v>
      </c>
      <c r="Q1019" s="1160">
        <v>69</v>
      </c>
      <c r="R1019"/>
      <c r="S1019" s="1684"/>
      <c r="T1019" s="1684"/>
      <c r="U1019" s="1684"/>
      <c r="V1019" s="1684"/>
      <c r="W1019" s="1684"/>
      <c r="X1019" s="1684"/>
      <c r="Y1019" s="1684"/>
      <c r="Z1019" s="1684"/>
      <c r="AA1019" s="1684"/>
      <c r="AB1019" s="1684"/>
      <c r="AC1019" s="1684"/>
      <c r="AD1019" s="1684"/>
      <c r="AE1019" s="1684"/>
      <c r="AF1019" s="1684"/>
      <c r="AG1019" s="1684"/>
      <c r="AH1019" s="1684"/>
      <c r="AI1019" s="1684"/>
      <c r="AJ1019" s="1684"/>
      <c r="AK1019" s="1684"/>
      <c r="AL1019" s="1684"/>
      <c r="AM1019" s="1684"/>
      <c r="AN1019" s="1684"/>
      <c r="AO1019" s="1684"/>
      <c r="AP1019" s="1684"/>
      <c r="AQ1019" s="1684"/>
      <c r="AR1019" s="1684"/>
      <c r="AS1019" s="1684"/>
      <c r="AT1019" s="1684"/>
      <c r="AU1019" s="1684"/>
      <c r="AV1019" s="1684"/>
      <c r="AW1019" s="1684"/>
      <c r="AX1019" s="1684"/>
      <c r="AY1019" s="1684"/>
      <c r="AZ1019" s="1684"/>
      <c r="BA1019" s="1684"/>
      <c r="BB1019" s="1684"/>
      <c r="BC1019" s="1684"/>
      <c r="BD1019" s="1684"/>
      <c r="BE1019" s="1684"/>
      <c r="BF1019" s="1684"/>
      <c r="BG1019" s="1684"/>
      <c r="BH1019" s="1684"/>
      <c r="BI1019" s="1684"/>
      <c r="BJ1019" s="1684"/>
      <c r="BK1019" s="1684"/>
      <c r="BL1019" s="1684"/>
      <c r="BM1019" s="1684"/>
      <c r="BN1019" s="1684"/>
      <c r="BO1019" s="1684"/>
      <c r="BP1019" s="1684"/>
      <c r="BQ1019" s="1684"/>
      <c r="BR1019" s="1684"/>
      <c r="BS1019" s="1684"/>
      <c r="BT1019" s="1684"/>
      <c r="BU1019" s="1684"/>
      <c r="BV1019" s="1684"/>
      <c r="BW1019" s="1684"/>
      <c r="BX1019" s="1684"/>
      <c r="BY1019" s="1684"/>
      <c r="BZ1019" s="1684"/>
      <c r="CA1019" s="1684"/>
      <c r="CB1019" s="1684"/>
      <c r="CC1019" s="1684"/>
      <c r="CD1019" s="1684"/>
      <c r="CE1019" s="1684"/>
      <c r="CF1019" s="1684"/>
      <c r="CG1019" s="1684"/>
      <c r="CH1019" s="1684"/>
      <c r="CI1019" s="1684"/>
      <c r="CJ1019" s="1684"/>
      <c r="CK1019" s="1684"/>
      <c r="CL1019" s="1684"/>
      <c r="CM1019" s="1684"/>
      <c r="CN1019" s="1684"/>
      <c r="CO1019" s="1684"/>
    </row>
    <row r="1020" spans="1:93" s="1391" customFormat="1" ht="15" x14ac:dyDescent="0.2">
      <c r="A1020" s="1684"/>
      <c r="B1020" s="1684"/>
      <c r="C1020" s="2013">
        <v>11</v>
      </c>
      <c r="D1020" s="5">
        <v>7.3049999999999997</v>
      </c>
      <c r="E1020" s="5">
        <v>209</v>
      </c>
      <c r="F1020" s="5">
        <v>230</v>
      </c>
      <c r="G1020" s="5">
        <v>250</v>
      </c>
      <c r="H1020" s="5">
        <v>270</v>
      </c>
      <c r="I1020" s="5">
        <v>290</v>
      </c>
      <c r="J1020" s="5">
        <v>309</v>
      </c>
      <c r="K1020" s="5">
        <v>328</v>
      </c>
      <c r="L1020" s="5">
        <v>348</v>
      </c>
      <c r="M1020" s="5">
        <v>366</v>
      </c>
      <c r="N1020" s="5">
        <v>384</v>
      </c>
      <c r="O1020" s="5">
        <v>403</v>
      </c>
      <c r="P1020" s="5">
        <v>421</v>
      </c>
      <c r="Q1020" s="1160">
        <v>70</v>
      </c>
      <c r="R1020"/>
      <c r="S1020" s="1684"/>
      <c r="T1020" s="1684"/>
      <c r="U1020" s="1684"/>
      <c r="V1020" s="1684"/>
      <c r="W1020" s="1684"/>
      <c r="X1020" s="1684"/>
      <c r="Y1020" s="1684"/>
      <c r="Z1020" s="1684"/>
      <c r="AA1020" s="1684"/>
      <c r="AB1020" s="1684"/>
      <c r="AC1020" s="1684"/>
      <c r="AD1020" s="1684"/>
      <c r="AE1020" s="1684"/>
      <c r="AF1020" s="1684"/>
      <c r="AG1020" s="1684"/>
      <c r="AH1020" s="1684"/>
      <c r="AI1020" s="1684"/>
      <c r="AJ1020" s="1684"/>
      <c r="AK1020" s="1684"/>
      <c r="AL1020" s="1684"/>
      <c r="AM1020" s="1684"/>
      <c r="AN1020" s="1684"/>
      <c r="AO1020" s="1684"/>
      <c r="AP1020" s="1684"/>
      <c r="AQ1020" s="1684"/>
      <c r="AR1020" s="1684"/>
      <c r="AS1020" s="1684"/>
      <c r="AT1020" s="1684"/>
      <c r="AU1020" s="1684"/>
      <c r="AV1020" s="1684"/>
      <c r="AW1020" s="1684"/>
      <c r="AX1020" s="1684"/>
      <c r="AY1020" s="1684"/>
      <c r="AZ1020" s="1684"/>
      <c r="BA1020" s="1684"/>
      <c r="BB1020" s="1684"/>
      <c r="BC1020" s="1684"/>
      <c r="BD1020" s="1684"/>
      <c r="BE1020" s="1684"/>
      <c r="BF1020" s="1684"/>
      <c r="BG1020" s="1684"/>
      <c r="BH1020" s="1684"/>
      <c r="BI1020" s="1684"/>
      <c r="BJ1020" s="1684"/>
      <c r="BK1020" s="1684"/>
      <c r="BL1020" s="1684"/>
      <c r="BM1020" s="1684"/>
      <c r="BN1020" s="1684"/>
      <c r="BO1020" s="1684"/>
      <c r="BP1020" s="1684"/>
      <c r="BQ1020" s="1684"/>
      <c r="BR1020" s="1684"/>
      <c r="BS1020" s="1684"/>
      <c r="BT1020" s="1684"/>
      <c r="BU1020" s="1684"/>
      <c r="BV1020" s="1684"/>
      <c r="BW1020" s="1684"/>
      <c r="BX1020" s="1684"/>
      <c r="BY1020" s="1684"/>
      <c r="BZ1020" s="1684"/>
      <c r="CA1020" s="1684"/>
      <c r="CB1020" s="1684"/>
      <c r="CC1020" s="1684"/>
      <c r="CD1020" s="1684"/>
      <c r="CE1020" s="1684"/>
      <c r="CF1020" s="1684"/>
      <c r="CG1020" s="1684"/>
      <c r="CH1020" s="1684"/>
      <c r="CI1020" s="1684"/>
      <c r="CJ1020" s="1684"/>
      <c r="CK1020" s="1684"/>
      <c r="CL1020" s="1684"/>
      <c r="CM1020" s="1684"/>
      <c r="CN1020" s="1684"/>
      <c r="CO1020" s="1684"/>
    </row>
    <row r="1021" spans="1:93" s="1391" customFormat="1" ht="15" x14ac:dyDescent="0.2">
      <c r="A1021" s="1684"/>
      <c r="B1021" s="1684"/>
      <c r="C1021" s="2013">
        <v>12</v>
      </c>
      <c r="D1021" s="5">
        <v>7831</v>
      </c>
      <c r="E1021" s="5">
        <v>228</v>
      </c>
      <c r="F1021" s="5">
        <v>252</v>
      </c>
      <c r="G1021" s="5">
        <v>273</v>
      </c>
      <c r="H1021" s="5">
        <v>295</v>
      </c>
      <c r="I1021" s="5">
        <v>316</v>
      </c>
      <c r="J1021" s="5">
        <v>337</v>
      </c>
      <c r="K1021" s="5">
        <v>356</v>
      </c>
      <c r="L1021" s="5">
        <v>379</v>
      </c>
      <c r="M1021" s="5">
        <v>399</v>
      </c>
      <c r="N1021" s="5">
        <v>418</v>
      </c>
      <c r="O1021" s="5">
        <v>436</v>
      </c>
      <c r="P1021" s="5">
        <v>457</v>
      </c>
      <c r="Q1021" s="1160">
        <v>71</v>
      </c>
      <c r="R1021"/>
      <c r="S1021" s="1684"/>
      <c r="T1021" s="1684"/>
      <c r="U1021" s="1684"/>
      <c r="V1021" s="1684"/>
      <c r="W1021" s="1684"/>
      <c r="X1021" s="1684"/>
      <c r="Y1021" s="1684"/>
      <c r="Z1021" s="1684"/>
      <c r="AA1021" s="1684"/>
      <c r="AB1021" s="1684"/>
      <c r="AC1021" s="1684"/>
      <c r="AD1021" s="1684"/>
      <c r="AE1021" s="1684"/>
      <c r="AF1021" s="1684"/>
      <c r="AG1021" s="1684"/>
      <c r="AH1021" s="1684"/>
      <c r="AI1021" s="1684"/>
      <c r="AJ1021" s="1684"/>
      <c r="AK1021" s="1684"/>
      <c r="AL1021" s="1684"/>
      <c r="AM1021" s="1684"/>
      <c r="AN1021" s="1684"/>
      <c r="AO1021" s="1684"/>
      <c r="AP1021" s="1684"/>
      <c r="AQ1021" s="1684"/>
      <c r="AR1021" s="1684"/>
      <c r="AS1021" s="1684"/>
      <c r="AT1021" s="1684"/>
      <c r="AU1021" s="1684"/>
      <c r="AV1021" s="1684"/>
      <c r="AW1021" s="1684"/>
      <c r="AX1021" s="1684"/>
      <c r="AY1021" s="1684"/>
      <c r="AZ1021" s="1684"/>
      <c r="BA1021" s="1684"/>
      <c r="BB1021" s="1684"/>
      <c r="BC1021" s="1684"/>
      <c r="BD1021" s="1684"/>
      <c r="BE1021" s="1684"/>
      <c r="BF1021" s="1684"/>
      <c r="BG1021" s="1684"/>
      <c r="BH1021" s="1684"/>
      <c r="BI1021" s="1684"/>
      <c r="BJ1021" s="1684"/>
      <c r="BK1021" s="1684"/>
      <c r="BL1021" s="1684"/>
      <c r="BM1021" s="1684"/>
      <c r="BN1021" s="1684"/>
      <c r="BO1021" s="1684"/>
      <c r="BP1021" s="1684"/>
      <c r="BQ1021" s="1684"/>
      <c r="BR1021" s="1684"/>
      <c r="BS1021" s="1684"/>
      <c r="BT1021" s="1684"/>
      <c r="BU1021" s="1684"/>
      <c r="BV1021" s="1684"/>
      <c r="BW1021" s="1684"/>
      <c r="BX1021" s="1684"/>
      <c r="BY1021" s="1684"/>
      <c r="BZ1021" s="1684"/>
      <c r="CA1021" s="1684"/>
      <c r="CB1021" s="1684"/>
      <c r="CC1021" s="1684"/>
      <c r="CD1021" s="1684"/>
      <c r="CE1021" s="1684"/>
      <c r="CF1021" s="1684"/>
      <c r="CG1021" s="1684"/>
      <c r="CH1021" s="1684"/>
      <c r="CI1021" s="1684"/>
      <c r="CJ1021" s="1684"/>
      <c r="CK1021" s="1684"/>
      <c r="CL1021" s="1684"/>
      <c r="CM1021" s="1684"/>
      <c r="CN1021" s="1684"/>
      <c r="CO1021" s="1684"/>
    </row>
    <row r="1022" spans="1:93" s="1391" customFormat="1" ht="15" x14ac:dyDescent="0.2">
      <c r="A1022" s="1684"/>
      <c r="B1022" s="1684"/>
      <c r="C1022" s="2013">
        <v>13</v>
      </c>
      <c r="D1022" s="5">
        <v>8.3740000000000006</v>
      </c>
      <c r="E1022" s="5">
        <v>248</v>
      </c>
      <c r="F1022" s="5">
        <v>273</v>
      </c>
      <c r="G1022" s="5">
        <v>297</v>
      </c>
      <c r="H1022" s="5">
        <v>320</v>
      </c>
      <c r="I1022" s="5">
        <v>343</v>
      </c>
      <c r="J1022" s="5">
        <v>366</v>
      </c>
      <c r="K1022" s="5">
        <v>389</v>
      </c>
      <c r="L1022" s="5">
        <v>411</v>
      </c>
      <c r="M1022" s="5">
        <v>431</v>
      </c>
      <c r="N1022" s="5">
        <v>453</v>
      </c>
      <c r="O1022" s="5">
        <v>473</v>
      </c>
      <c r="P1022" s="5">
        <v>494</v>
      </c>
      <c r="Q1022" s="1160">
        <v>72</v>
      </c>
      <c r="R1022"/>
      <c r="S1022" s="1684"/>
      <c r="T1022" s="1684"/>
      <c r="U1022" s="1684"/>
      <c r="V1022" s="1684"/>
      <c r="W1022" s="1684"/>
      <c r="X1022" s="1684"/>
      <c r="Y1022" s="1684"/>
      <c r="Z1022" s="1684"/>
      <c r="AA1022" s="1684"/>
      <c r="AB1022" s="1684"/>
      <c r="AC1022" s="1684"/>
      <c r="AD1022" s="1684"/>
      <c r="AE1022" s="1684"/>
      <c r="AF1022" s="1684"/>
      <c r="AG1022" s="1684"/>
      <c r="AH1022" s="1684"/>
      <c r="AI1022" s="1684"/>
      <c r="AJ1022" s="1684"/>
      <c r="AK1022" s="1684"/>
      <c r="AL1022" s="1684"/>
      <c r="AM1022" s="1684"/>
      <c r="AN1022" s="1684"/>
      <c r="AO1022" s="1684"/>
      <c r="AP1022" s="1684"/>
      <c r="AQ1022" s="1684"/>
      <c r="AR1022" s="1684"/>
      <c r="AS1022" s="1684"/>
      <c r="AT1022" s="1684"/>
      <c r="AU1022" s="1684"/>
      <c r="AV1022" s="1684"/>
      <c r="AW1022" s="1684"/>
      <c r="AX1022" s="1684"/>
      <c r="AY1022" s="1684"/>
      <c r="AZ1022" s="1684"/>
      <c r="BA1022" s="1684"/>
      <c r="BB1022" s="1684"/>
      <c r="BC1022" s="1684"/>
      <c r="BD1022" s="1684"/>
      <c r="BE1022" s="1684"/>
      <c r="BF1022" s="1684"/>
      <c r="BG1022" s="1684"/>
      <c r="BH1022" s="1684"/>
      <c r="BI1022" s="1684"/>
      <c r="BJ1022" s="1684"/>
      <c r="BK1022" s="1684"/>
      <c r="BL1022" s="1684"/>
      <c r="BM1022" s="1684"/>
      <c r="BN1022" s="1684"/>
      <c r="BO1022" s="1684"/>
      <c r="BP1022" s="1684"/>
      <c r="BQ1022" s="1684"/>
      <c r="BR1022" s="1684"/>
      <c r="BS1022" s="1684"/>
      <c r="BT1022" s="1684"/>
      <c r="BU1022" s="1684"/>
      <c r="BV1022" s="1684"/>
      <c r="BW1022" s="1684"/>
      <c r="BX1022" s="1684"/>
      <c r="BY1022" s="1684"/>
      <c r="BZ1022" s="1684"/>
      <c r="CA1022" s="1684"/>
      <c r="CB1022" s="1684"/>
      <c r="CC1022" s="1684"/>
      <c r="CD1022" s="1684"/>
      <c r="CE1022" s="1684"/>
      <c r="CF1022" s="1684"/>
      <c r="CG1022" s="1684"/>
      <c r="CH1022" s="1684"/>
      <c r="CI1022" s="1684"/>
      <c r="CJ1022" s="1684"/>
      <c r="CK1022" s="1684"/>
      <c r="CL1022" s="1684"/>
      <c r="CM1022" s="1684"/>
      <c r="CN1022" s="1684"/>
      <c r="CO1022" s="1684"/>
    </row>
    <row r="1023" spans="1:93" s="1391" customFormat="1" ht="15" x14ac:dyDescent="0.2">
      <c r="A1023" s="1684"/>
      <c r="B1023" s="1684"/>
      <c r="C1023" s="2013">
        <v>14</v>
      </c>
      <c r="D1023" s="5">
        <v>8.9540000000000006</v>
      </c>
      <c r="E1023" s="5">
        <v>269</v>
      </c>
      <c r="F1023" s="5">
        <v>296</v>
      </c>
      <c r="G1023" s="5">
        <v>322</v>
      </c>
      <c r="H1023" s="5">
        <v>347</v>
      </c>
      <c r="I1023" s="5">
        <v>371</v>
      </c>
      <c r="J1023" s="5">
        <v>395</v>
      </c>
      <c r="K1023" s="5">
        <v>415</v>
      </c>
      <c r="L1023" s="5">
        <v>440</v>
      </c>
      <c r="M1023" s="5">
        <v>465</v>
      </c>
      <c r="N1023" s="5">
        <v>488</v>
      </c>
      <c r="O1023" s="5">
        <v>510</v>
      </c>
      <c r="P1023" s="5">
        <v>532</v>
      </c>
      <c r="Q1023" s="1160">
        <v>73</v>
      </c>
      <c r="R1023"/>
      <c r="S1023" s="1684"/>
      <c r="T1023" s="1684"/>
      <c r="U1023" s="1684"/>
      <c r="V1023" s="1684"/>
      <c r="W1023" s="1684"/>
      <c r="X1023" s="1684"/>
      <c r="Y1023" s="1684"/>
      <c r="Z1023" s="1684"/>
      <c r="AA1023" s="1684"/>
      <c r="AB1023" s="1684"/>
      <c r="AC1023" s="1684"/>
      <c r="AD1023" s="1684"/>
      <c r="AE1023" s="1684"/>
      <c r="AF1023" s="1684"/>
      <c r="AG1023" s="1684"/>
      <c r="AH1023" s="1684"/>
      <c r="AI1023" s="1684"/>
      <c r="AJ1023" s="1684"/>
      <c r="AK1023" s="1684"/>
      <c r="AL1023" s="1684"/>
      <c r="AM1023" s="1684"/>
      <c r="AN1023" s="1684"/>
      <c r="AO1023" s="1684"/>
      <c r="AP1023" s="1684"/>
      <c r="AQ1023" s="1684"/>
      <c r="AR1023" s="1684"/>
      <c r="AS1023" s="1684"/>
      <c r="AT1023" s="1684"/>
      <c r="AU1023" s="1684"/>
      <c r="AV1023" s="1684"/>
      <c r="AW1023" s="1684"/>
      <c r="AX1023" s="1684"/>
      <c r="AY1023" s="1684"/>
      <c r="AZ1023" s="1684"/>
      <c r="BA1023" s="1684"/>
      <c r="BB1023" s="1684"/>
      <c r="BC1023" s="1684"/>
      <c r="BD1023" s="1684"/>
      <c r="BE1023" s="1684"/>
      <c r="BF1023" s="1684"/>
      <c r="BG1023" s="1684"/>
      <c r="BH1023" s="1684"/>
      <c r="BI1023" s="1684"/>
      <c r="BJ1023" s="1684"/>
      <c r="BK1023" s="1684"/>
      <c r="BL1023" s="1684"/>
      <c r="BM1023" s="1684"/>
      <c r="BN1023" s="1684"/>
      <c r="BO1023" s="1684"/>
      <c r="BP1023" s="1684"/>
      <c r="BQ1023" s="1684"/>
      <c r="BR1023" s="1684"/>
      <c r="BS1023" s="1684"/>
      <c r="BT1023" s="1684"/>
      <c r="BU1023" s="1684"/>
      <c r="BV1023" s="1684"/>
      <c r="BW1023" s="1684"/>
      <c r="BX1023" s="1684"/>
      <c r="BY1023" s="1684"/>
      <c r="BZ1023" s="1684"/>
      <c r="CA1023" s="1684"/>
      <c r="CB1023" s="1684"/>
      <c r="CC1023" s="1684"/>
      <c r="CD1023" s="1684"/>
      <c r="CE1023" s="1684"/>
      <c r="CF1023" s="1684"/>
      <c r="CG1023" s="1684"/>
      <c r="CH1023" s="1684"/>
      <c r="CI1023" s="1684"/>
      <c r="CJ1023" s="1684"/>
      <c r="CK1023" s="1684"/>
      <c r="CL1023" s="1684"/>
      <c r="CM1023" s="1684"/>
      <c r="CN1023" s="1684"/>
      <c r="CO1023" s="1684"/>
    </row>
    <row r="1024" spans="1:93" s="1391" customFormat="1" ht="15" x14ac:dyDescent="0.2">
      <c r="A1024" s="1684"/>
      <c r="B1024" s="1684"/>
      <c r="C1024" s="2013">
        <v>15</v>
      </c>
      <c r="D1024" s="5">
        <v>9.5589999999999993</v>
      </c>
      <c r="E1024" s="5">
        <v>291</v>
      </c>
      <c r="F1024" s="5">
        <v>320</v>
      </c>
      <c r="G1024" s="5">
        <v>347</v>
      </c>
      <c r="H1024" s="5">
        <v>373</v>
      </c>
      <c r="I1024" s="5">
        <v>400</v>
      </c>
      <c r="J1024" s="5">
        <v>425</v>
      </c>
      <c r="K1024" s="5">
        <v>448</v>
      </c>
      <c r="L1024" s="5">
        <v>474</v>
      </c>
      <c r="M1024" s="5">
        <v>500</v>
      </c>
      <c r="N1024" s="5">
        <v>524</v>
      </c>
      <c r="O1024" s="5">
        <v>548</v>
      </c>
      <c r="P1024" s="5">
        <v>571</v>
      </c>
      <c r="Q1024" s="1160">
        <v>74</v>
      </c>
      <c r="R1024"/>
      <c r="S1024" s="1684"/>
      <c r="T1024" s="1684"/>
      <c r="U1024" s="1684"/>
      <c r="V1024" s="1684"/>
      <c r="W1024" s="1684"/>
      <c r="X1024" s="1684"/>
      <c r="Y1024" s="1684"/>
      <c r="Z1024" s="1684"/>
      <c r="AA1024" s="1684"/>
      <c r="AB1024" s="1684"/>
      <c r="AC1024" s="1684"/>
      <c r="AD1024" s="1684"/>
      <c r="AE1024" s="1684"/>
      <c r="AF1024" s="1684"/>
      <c r="AG1024" s="1684"/>
      <c r="AH1024" s="1684"/>
      <c r="AI1024" s="1684"/>
      <c r="AJ1024" s="1684"/>
      <c r="AK1024" s="1684"/>
      <c r="AL1024" s="1684"/>
      <c r="AM1024" s="1684"/>
      <c r="AN1024" s="1684"/>
      <c r="AO1024" s="1684"/>
      <c r="AP1024" s="1684"/>
      <c r="AQ1024" s="1684"/>
      <c r="AR1024" s="1684"/>
      <c r="AS1024" s="1684"/>
      <c r="AT1024" s="1684"/>
      <c r="AU1024" s="1684"/>
      <c r="AV1024" s="1684"/>
      <c r="AW1024" s="1684"/>
      <c r="AX1024" s="1684"/>
      <c r="AY1024" s="1684"/>
      <c r="AZ1024" s="1684"/>
      <c r="BA1024" s="1684"/>
      <c r="BB1024" s="1684"/>
      <c r="BC1024" s="1684"/>
      <c r="BD1024" s="1684"/>
      <c r="BE1024" s="1684"/>
      <c r="BF1024" s="1684"/>
      <c r="BG1024" s="1684"/>
      <c r="BH1024" s="1684"/>
      <c r="BI1024" s="1684"/>
      <c r="BJ1024" s="1684"/>
      <c r="BK1024" s="1684"/>
      <c r="BL1024" s="1684"/>
      <c r="BM1024" s="1684"/>
      <c r="BN1024" s="1684"/>
      <c r="BO1024" s="1684"/>
      <c r="BP1024" s="1684"/>
      <c r="BQ1024" s="1684"/>
      <c r="BR1024" s="1684"/>
      <c r="BS1024" s="1684"/>
      <c r="BT1024" s="1684"/>
      <c r="BU1024" s="1684"/>
      <c r="BV1024" s="1684"/>
      <c r="BW1024" s="1684"/>
      <c r="BX1024" s="1684"/>
      <c r="BY1024" s="1684"/>
      <c r="BZ1024" s="1684"/>
      <c r="CA1024" s="1684"/>
      <c r="CB1024" s="1684"/>
      <c r="CC1024" s="1684"/>
      <c r="CD1024" s="1684"/>
      <c r="CE1024" s="1684"/>
      <c r="CF1024" s="1684"/>
      <c r="CG1024" s="1684"/>
      <c r="CH1024" s="1684"/>
      <c r="CI1024" s="1684"/>
      <c r="CJ1024" s="1684"/>
      <c r="CK1024" s="1684"/>
      <c r="CL1024" s="1684"/>
      <c r="CM1024" s="1684"/>
      <c r="CN1024" s="1684"/>
      <c r="CO1024" s="1684"/>
    </row>
    <row r="1025" spans="1:93" s="1391" customFormat="1" ht="15" x14ac:dyDescent="0.2">
      <c r="A1025" s="1684"/>
      <c r="B1025" s="1684"/>
      <c r="C1025" s="2013">
        <v>16</v>
      </c>
      <c r="D1025" s="5">
        <v>10.324999999999999</v>
      </c>
      <c r="E1025" s="5">
        <v>311</v>
      </c>
      <c r="F1025" s="5">
        <v>342</v>
      </c>
      <c r="G1025" s="5">
        <v>371</v>
      </c>
      <c r="H1025" s="5">
        <v>399</v>
      </c>
      <c r="I1025" s="5">
        <v>427</v>
      </c>
      <c r="J1025" s="5">
        <v>454</v>
      </c>
      <c r="K1025" s="5">
        <v>480</v>
      </c>
      <c r="L1025" s="5">
        <v>503</v>
      </c>
      <c r="M1025" s="5">
        <v>533</v>
      </c>
      <c r="N1025" s="5">
        <v>558</v>
      </c>
      <c r="O1025" s="5">
        <v>583</v>
      </c>
      <c r="P1025" s="5">
        <v>608</v>
      </c>
      <c r="Q1025" s="1160">
        <v>75</v>
      </c>
      <c r="R1025"/>
      <c r="S1025" s="1684"/>
      <c r="T1025" s="1684"/>
      <c r="U1025" s="1684"/>
      <c r="V1025" s="1684"/>
      <c r="W1025" s="1684"/>
      <c r="X1025" s="1684"/>
      <c r="Y1025" s="1684"/>
      <c r="Z1025" s="1684"/>
      <c r="AA1025" s="1684"/>
      <c r="AB1025" s="1684"/>
      <c r="AC1025" s="1684"/>
      <c r="AD1025" s="1684"/>
      <c r="AE1025" s="1684"/>
      <c r="AF1025" s="1684"/>
      <c r="AG1025" s="1684"/>
      <c r="AH1025" s="1684"/>
      <c r="AI1025" s="1684"/>
      <c r="AJ1025" s="1684"/>
      <c r="AK1025" s="1684"/>
      <c r="AL1025" s="1684"/>
      <c r="AM1025" s="1684"/>
      <c r="AN1025" s="1684"/>
      <c r="AO1025" s="1684"/>
      <c r="AP1025" s="1684"/>
      <c r="AQ1025" s="1684"/>
      <c r="AR1025" s="1684"/>
      <c r="AS1025" s="1684"/>
      <c r="AT1025" s="1684"/>
      <c r="AU1025" s="1684"/>
      <c r="AV1025" s="1684"/>
      <c r="AW1025" s="1684"/>
      <c r="AX1025" s="1684"/>
      <c r="AY1025" s="1684"/>
      <c r="AZ1025" s="1684"/>
      <c r="BA1025" s="1684"/>
      <c r="BB1025" s="1684"/>
      <c r="BC1025" s="1684"/>
      <c r="BD1025" s="1684"/>
      <c r="BE1025" s="1684"/>
      <c r="BF1025" s="1684"/>
      <c r="BG1025" s="1684"/>
      <c r="BH1025" s="1684"/>
      <c r="BI1025" s="1684"/>
      <c r="BJ1025" s="1684"/>
      <c r="BK1025" s="1684"/>
      <c r="BL1025" s="1684"/>
      <c r="BM1025" s="1684"/>
      <c r="BN1025" s="1684"/>
      <c r="BO1025" s="1684"/>
      <c r="BP1025" s="1684"/>
      <c r="BQ1025" s="1684"/>
      <c r="BR1025" s="1684"/>
      <c r="BS1025" s="1684"/>
      <c r="BT1025" s="1684"/>
      <c r="BU1025" s="1684"/>
      <c r="BV1025" s="1684"/>
      <c r="BW1025" s="1684"/>
      <c r="BX1025" s="1684"/>
      <c r="BY1025" s="1684"/>
      <c r="BZ1025" s="1684"/>
      <c r="CA1025" s="1684"/>
      <c r="CB1025" s="1684"/>
      <c r="CC1025" s="1684"/>
      <c r="CD1025" s="1684"/>
      <c r="CE1025" s="1684"/>
      <c r="CF1025" s="1684"/>
      <c r="CG1025" s="1684"/>
      <c r="CH1025" s="1684"/>
      <c r="CI1025" s="1684"/>
      <c r="CJ1025" s="1684"/>
      <c r="CK1025" s="1684"/>
      <c r="CL1025" s="1684"/>
      <c r="CM1025" s="1684"/>
      <c r="CN1025" s="1684"/>
      <c r="CO1025" s="1684"/>
    </row>
    <row r="1026" spans="1:93" s="1391" customFormat="1" ht="15" x14ac:dyDescent="0.2">
      <c r="A1026" s="1684"/>
      <c r="B1026" s="1684"/>
      <c r="C1026" s="2013">
        <v>17</v>
      </c>
      <c r="D1026" s="5">
        <v>11.135</v>
      </c>
      <c r="E1026" s="5">
        <v>331</v>
      </c>
      <c r="F1026" s="5">
        <v>363</v>
      </c>
      <c r="G1026" s="5">
        <v>394</v>
      </c>
      <c r="H1026" s="5">
        <v>423</v>
      </c>
      <c r="I1026" s="5">
        <v>453</v>
      </c>
      <c r="J1026" s="5">
        <v>481</v>
      </c>
      <c r="K1026" s="5">
        <v>509</v>
      </c>
      <c r="L1026" s="5">
        <v>533</v>
      </c>
      <c r="M1026" s="5">
        <v>564</v>
      </c>
      <c r="N1026" s="5">
        <v>590</v>
      </c>
      <c r="O1026" s="5">
        <v>616</v>
      </c>
      <c r="P1026" s="5">
        <v>641</v>
      </c>
      <c r="Q1026" s="1160">
        <v>76</v>
      </c>
      <c r="R1026"/>
      <c r="S1026" s="1684"/>
      <c r="T1026" s="1684"/>
      <c r="U1026" s="1684"/>
      <c r="V1026" s="1684"/>
      <c r="W1026" s="1684"/>
      <c r="X1026" s="1684"/>
      <c r="Y1026" s="1684"/>
      <c r="Z1026" s="1684"/>
      <c r="AA1026" s="1684"/>
      <c r="AB1026" s="1684"/>
      <c r="AC1026" s="1684"/>
      <c r="AD1026" s="1684"/>
      <c r="AE1026" s="1684"/>
      <c r="AF1026" s="1684"/>
      <c r="AG1026" s="1684"/>
      <c r="AH1026" s="1684"/>
      <c r="AI1026" s="1684"/>
      <c r="AJ1026" s="1684"/>
      <c r="AK1026" s="1684"/>
      <c r="AL1026" s="1684"/>
      <c r="AM1026" s="1684"/>
      <c r="AN1026" s="1684"/>
      <c r="AO1026" s="1684"/>
      <c r="AP1026" s="1684"/>
      <c r="AQ1026" s="1684"/>
      <c r="AR1026" s="1684"/>
      <c r="AS1026" s="1684"/>
      <c r="AT1026" s="1684"/>
      <c r="AU1026" s="1684"/>
      <c r="AV1026" s="1684"/>
      <c r="AW1026" s="1684"/>
      <c r="AX1026" s="1684"/>
      <c r="AY1026" s="1684"/>
      <c r="AZ1026" s="1684"/>
      <c r="BA1026" s="1684"/>
      <c r="BB1026" s="1684"/>
      <c r="BC1026" s="1684"/>
      <c r="BD1026" s="1684"/>
      <c r="BE1026" s="1684"/>
      <c r="BF1026" s="1684"/>
      <c r="BG1026" s="1684"/>
      <c r="BH1026" s="1684"/>
      <c r="BI1026" s="1684"/>
      <c r="BJ1026" s="1684"/>
      <c r="BK1026" s="1684"/>
      <c r="BL1026" s="1684"/>
      <c r="BM1026" s="1684"/>
      <c r="BN1026" s="1684"/>
      <c r="BO1026" s="1684"/>
      <c r="BP1026" s="1684"/>
      <c r="BQ1026" s="1684"/>
      <c r="BR1026" s="1684"/>
      <c r="BS1026" s="1684"/>
      <c r="BT1026" s="1684"/>
      <c r="BU1026" s="1684"/>
      <c r="BV1026" s="1684"/>
      <c r="BW1026" s="1684"/>
      <c r="BX1026" s="1684"/>
      <c r="BY1026" s="1684"/>
      <c r="BZ1026" s="1684"/>
      <c r="CA1026" s="1684"/>
      <c r="CB1026" s="1684"/>
      <c r="CC1026" s="1684"/>
      <c r="CD1026" s="1684"/>
      <c r="CE1026" s="1684"/>
      <c r="CF1026" s="1684"/>
      <c r="CG1026" s="1684"/>
      <c r="CH1026" s="1684"/>
      <c r="CI1026" s="1684"/>
      <c r="CJ1026" s="1684"/>
      <c r="CK1026" s="1684"/>
      <c r="CL1026" s="1684"/>
      <c r="CM1026" s="1684"/>
      <c r="CN1026" s="1684"/>
      <c r="CO1026" s="1684"/>
    </row>
    <row r="1027" spans="1:93" s="1391" customFormat="1" ht="15" x14ac:dyDescent="0.2">
      <c r="A1027" s="1684"/>
      <c r="B1027" s="1684"/>
      <c r="C1027" s="2013">
        <v>18</v>
      </c>
      <c r="D1027" s="5">
        <v>11.670999999999999</v>
      </c>
      <c r="E1027" s="5">
        <v>348</v>
      </c>
      <c r="F1027" s="5">
        <v>382</v>
      </c>
      <c r="G1027" s="5">
        <v>414</v>
      </c>
      <c r="H1027" s="5">
        <v>445</v>
      </c>
      <c r="I1027" s="5">
        <v>476</v>
      </c>
      <c r="J1027" s="5">
        <v>503</v>
      </c>
      <c r="K1027" s="5">
        <v>535</v>
      </c>
      <c r="L1027" s="5">
        <v>562</v>
      </c>
      <c r="M1027" s="5">
        <v>591</v>
      </c>
      <c r="N1027" s="5">
        <v>619</v>
      </c>
      <c r="O1027" s="5">
        <v>645</v>
      </c>
      <c r="P1027" s="5">
        <v>672</v>
      </c>
      <c r="Q1027" s="1160">
        <v>77</v>
      </c>
      <c r="R1027"/>
      <c r="S1027" s="1684"/>
      <c r="T1027" s="1684"/>
      <c r="U1027" s="1684"/>
      <c r="V1027" s="1684"/>
      <c r="W1027" s="1684"/>
      <c r="X1027" s="1684"/>
      <c r="Y1027" s="1684"/>
      <c r="Z1027" s="1684"/>
      <c r="AA1027" s="1684"/>
      <c r="AB1027" s="1684"/>
      <c r="AC1027" s="1684"/>
      <c r="AD1027" s="1684"/>
      <c r="AE1027" s="1684"/>
      <c r="AF1027" s="1684"/>
      <c r="AG1027" s="1684"/>
      <c r="AH1027" s="1684"/>
      <c r="AI1027" s="1684"/>
      <c r="AJ1027" s="1684"/>
      <c r="AK1027" s="1684"/>
      <c r="AL1027" s="1684"/>
      <c r="AM1027" s="1684"/>
      <c r="AN1027" s="1684"/>
      <c r="AO1027" s="1684"/>
      <c r="AP1027" s="1684"/>
      <c r="AQ1027" s="1684"/>
      <c r="AR1027" s="1684"/>
      <c r="AS1027" s="1684"/>
      <c r="AT1027" s="1684"/>
      <c r="AU1027" s="1684"/>
      <c r="AV1027" s="1684"/>
      <c r="AW1027" s="1684"/>
      <c r="AX1027" s="1684"/>
      <c r="AY1027" s="1684"/>
      <c r="AZ1027" s="1684"/>
      <c r="BA1027" s="1684"/>
      <c r="BB1027" s="1684"/>
      <c r="BC1027" s="1684"/>
      <c r="BD1027" s="1684"/>
      <c r="BE1027" s="1684"/>
      <c r="BF1027" s="1684"/>
      <c r="BG1027" s="1684"/>
      <c r="BH1027" s="1684"/>
      <c r="BI1027" s="1684"/>
      <c r="BJ1027" s="1684"/>
      <c r="BK1027" s="1684"/>
      <c r="BL1027" s="1684"/>
      <c r="BM1027" s="1684"/>
      <c r="BN1027" s="1684"/>
      <c r="BO1027" s="1684"/>
      <c r="BP1027" s="1684"/>
      <c r="BQ1027" s="1684"/>
      <c r="BR1027" s="1684"/>
      <c r="BS1027" s="1684"/>
      <c r="BT1027" s="1684"/>
      <c r="BU1027" s="1684"/>
      <c r="BV1027" s="1684"/>
      <c r="BW1027" s="1684"/>
      <c r="BX1027" s="1684"/>
      <c r="BY1027" s="1684"/>
      <c r="BZ1027" s="1684"/>
      <c r="CA1027" s="1684"/>
      <c r="CB1027" s="1684"/>
      <c r="CC1027" s="1684"/>
      <c r="CD1027" s="1684"/>
      <c r="CE1027" s="1684"/>
      <c r="CF1027" s="1684"/>
      <c r="CG1027" s="1684"/>
      <c r="CH1027" s="1684"/>
      <c r="CI1027" s="1684"/>
      <c r="CJ1027" s="1684"/>
      <c r="CK1027" s="1684"/>
      <c r="CL1027" s="1684"/>
      <c r="CM1027" s="1684"/>
      <c r="CN1027" s="1684"/>
      <c r="CO1027" s="1684"/>
    </row>
    <row r="1028" spans="1:93" s="1391" customFormat="1" ht="15" x14ac:dyDescent="0.2">
      <c r="A1028" s="1684"/>
      <c r="B1028" s="1684"/>
      <c r="C1028" s="4680" t="s">
        <v>3693</v>
      </c>
      <c r="D1028" s="4681"/>
      <c r="E1028" s="4681"/>
      <c r="F1028" s="4681"/>
      <c r="G1028" s="4681"/>
      <c r="H1028" s="4681"/>
      <c r="I1028" s="4681"/>
      <c r="J1028" s="4681"/>
      <c r="K1028" s="4681"/>
      <c r="L1028" s="4681"/>
      <c r="M1028" s="4681"/>
      <c r="N1028" s="4681"/>
      <c r="O1028" s="4681"/>
      <c r="P1028" s="4681"/>
      <c r="Q1028" s="4682"/>
      <c r="R1028"/>
      <c r="S1028" s="1684"/>
      <c r="T1028" s="1684"/>
      <c r="U1028" s="1684"/>
      <c r="V1028" s="1684"/>
      <c r="W1028" s="1684"/>
      <c r="X1028" s="1684"/>
      <c r="Y1028" s="1684"/>
      <c r="Z1028" s="1684"/>
      <c r="AA1028" s="1684"/>
      <c r="AB1028" s="1684"/>
      <c r="AC1028" s="1684"/>
      <c r="AD1028" s="1684"/>
      <c r="AE1028" s="1684"/>
      <c r="AF1028" s="1684"/>
      <c r="AG1028" s="1684"/>
      <c r="AH1028" s="1684"/>
      <c r="AI1028" s="1684"/>
      <c r="AJ1028" s="1684"/>
      <c r="AK1028" s="1684"/>
      <c r="AL1028" s="1684"/>
      <c r="AM1028" s="1684"/>
      <c r="AN1028" s="1684"/>
      <c r="AO1028" s="1684"/>
      <c r="AP1028" s="1684"/>
      <c r="AQ1028" s="1684"/>
      <c r="AR1028" s="1684"/>
      <c r="AS1028" s="1684"/>
      <c r="AT1028" s="1684"/>
      <c r="AU1028" s="1684"/>
      <c r="AV1028" s="1684"/>
      <c r="AW1028" s="1684"/>
      <c r="AX1028" s="1684"/>
      <c r="AY1028" s="1684"/>
      <c r="AZ1028" s="1684"/>
      <c r="BA1028" s="1684"/>
      <c r="BB1028" s="1684"/>
      <c r="BC1028" s="1684"/>
      <c r="BD1028" s="1684"/>
      <c r="BE1028" s="1684"/>
      <c r="BF1028" s="1684"/>
      <c r="BG1028" s="1684"/>
      <c r="BH1028" s="1684"/>
      <c r="BI1028" s="1684"/>
      <c r="BJ1028" s="1684"/>
      <c r="BK1028" s="1684"/>
      <c r="BL1028" s="1684"/>
      <c r="BM1028" s="1684"/>
      <c r="BN1028" s="1684"/>
      <c r="BO1028" s="1684"/>
      <c r="BP1028" s="1684"/>
      <c r="BQ1028" s="1684"/>
      <c r="BR1028" s="1684"/>
      <c r="BS1028" s="1684"/>
      <c r="BT1028" s="1684"/>
      <c r="BU1028" s="1684"/>
      <c r="BV1028" s="1684"/>
      <c r="BW1028" s="1684"/>
      <c r="BX1028" s="1684"/>
      <c r="BY1028" s="1684"/>
      <c r="BZ1028" s="1684"/>
      <c r="CA1028" s="1684"/>
      <c r="CB1028" s="1684"/>
      <c r="CC1028" s="1684"/>
      <c r="CD1028" s="1684"/>
      <c r="CE1028" s="1684"/>
      <c r="CF1028" s="1684"/>
      <c r="CG1028" s="1684"/>
      <c r="CH1028" s="1684"/>
      <c r="CI1028" s="1684"/>
      <c r="CJ1028" s="1684"/>
      <c r="CK1028" s="1684"/>
      <c r="CL1028" s="1684"/>
      <c r="CM1028" s="1684"/>
      <c r="CN1028" s="1684"/>
      <c r="CO1028" s="1684"/>
    </row>
    <row r="1029" spans="1:93" s="1391" customFormat="1" ht="15" x14ac:dyDescent="0.2">
      <c r="A1029" s="1684"/>
      <c r="B1029" s="1684"/>
      <c r="C1029" s="4680"/>
      <c r="D1029" s="4681"/>
      <c r="E1029" s="4681"/>
      <c r="F1029" s="4681"/>
      <c r="G1029" s="4681"/>
      <c r="H1029" s="4681"/>
      <c r="I1029" s="4681"/>
      <c r="J1029" s="4681"/>
      <c r="K1029" s="4681"/>
      <c r="L1029" s="4681"/>
      <c r="M1029" s="4681"/>
      <c r="N1029" s="4681"/>
      <c r="O1029" s="4681"/>
      <c r="P1029" s="4681"/>
      <c r="Q1029" s="4682"/>
      <c r="R1029"/>
      <c r="S1029" s="1684"/>
      <c r="T1029" s="1684"/>
      <c r="U1029" s="1684"/>
      <c r="V1029" s="1684"/>
      <c r="W1029" s="1684"/>
      <c r="X1029" s="1684"/>
      <c r="Y1029" s="1684"/>
      <c r="Z1029" s="1684"/>
      <c r="AA1029" s="1684"/>
      <c r="AB1029" s="1684"/>
      <c r="AC1029" s="1684"/>
      <c r="AD1029" s="1684"/>
      <c r="AE1029" s="1684"/>
      <c r="AF1029" s="1684"/>
      <c r="AG1029" s="1684"/>
      <c r="AH1029" s="1684"/>
      <c r="AI1029" s="1684"/>
      <c r="AJ1029" s="1684"/>
      <c r="AK1029" s="1684"/>
      <c r="AL1029" s="1684"/>
      <c r="AM1029" s="1684"/>
      <c r="AN1029" s="1684"/>
      <c r="AO1029" s="1684"/>
      <c r="AP1029" s="1684"/>
      <c r="AQ1029" s="1684"/>
      <c r="AR1029" s="1684"/>
      <c r="AS1029" s="1684"/>
      <c r="AT1029" s="1684"/>
      <c r="AU1029" s="1684"/>
      <c r="AV1029" s="1684"/>
      <c r="AW1029" s="1684"/>
      <c r="AX1029" s="1684"/>
      <c r="AY1029" s="1684"/>
      <c r="AZ1029" s="1684"/>
      <c r="BA1029" s="1684"/>
      <c r="BB1029" s="1684"/>
      <c r="BC1029" s="1684"/>
      <c r="BD1029" s="1684"/>
      <c r="BE1029" s="1684"/>
      <c r="BF1029" s="1684"/>
      <c r="BG1029" s="1684"/>
      <c r="BH1029" s="1684"/>
      <c r="BI1029" s="1684"/>
      <c r="BJ1029" s="1684"/>
      <c r="BK1029" s="1684"/>
      <c r="BL1029" s="1684"/>
      <c r="BM1029" s="1684"/>
      <c r="BN1029" s="1684"/>
      <c r="BO1029" s="1684"/>
      <c r="BP1029" s="1684"/>
      <c r="BQ1029" s="1684"/>
      <c r="BR1029" s="1684"/>
      <c r="BS1029" s="1684"/>
      <c r="BT1029" s="1684"/>
      <c r="BU1029" s="1684"/>
      <c r="BV1029" s="1684"/>
      <c r="BW1029" s="1684"/>
      <c r="BX1029" s="1684"/>
      <c r="BY1029" s="1684"/>
      <c r="BZ1029" s="1684"/>
      <c r="CA1029" s="1684"/>
      <c r="CB1029" s="1684"/>
      <c r="CC1029" s="1684"/>
      <c r="CD1029" s="1684"/>
      <c r="CE1029" s="1684"/>
      <c r="CF1029" s="1684"/>
      <c r="CG1029" s="1684"/>
      <c r="CH1029" s="1684"/>
      <c r="CI1029" s="1684"/>
      <c r="CJ1029" s="1684"/>
      <c r="CK1029" s="1684"/>
      <c r="CL1029" s="1684"/>
      <c r="CM1029" s="1684"/>
      <c r="CN1029" s="1684"/>
      <c r="CO1029" s="1684"/>
    </row>
    <row r="1030" spans="1:93" s="1391" customFormat="1" ht="15" x14ac:dyDescent="0.2">
      <c r="A1030" s="1684"/>
      <c r="B1030" s="1684"/>
      <c r="C1030" s="2013"/>
      <c r="D1030" s="5"/>
      <c r="E1030" s="5">
        <v>1</v>
      </c>
      <c r="F1030" s="5">
        <v>2</v>
      </c>
      <c r="G1030" s="5">
        <v>3</v>
      </c>
      <c r="H1030" s="5">
        <v>4</v>
      </c>
      <c r="I1030" s="5">
        <v>5</v>
      </c>
      <c r="J1030" s="5">
        <v>6</v>
      </c>
      <c r="K1030" s="5">
        <v>7</v>
      </c>
      <c r="L1030" s="5">
        <v>8</v>
      </c>
      <c r="M1030" s="5">
        <v>9</v>
      </c>
      <c r="N1030" s="5">
        <v>10</v>
      </c>
      <c r="O1030" s="5">
        <v>11</v>
      </c>
      <c r="P1030" s="5">
        <v>12</v>
      </c>
      <c r="Q1030" s="1160"/>
      <c r="R1030"/>
      <c r="S1030" s="1684"/>
      <c r="T1030" s="1684"/>
      <c r="U1030" s="1684"/>
      <c r="V1030" s="1684"/>
      <c r="W1030" s="1684"/>
      <c r="X1030" s="1684"/>
      <c r="Y1030" s="1684"/>
      <c r="Z1030" s="1684"/>
      <c r="AA1030" s="1684"/>
      <c r="AB1030" s="1684"/>
      <c r="AC1030" s="1684"/>
      <c r="AD1030" s="1684"/>
      <c r="AE1030" s="1684"/>
      <c r="AF1030" s="1684"/>
      <c r="AG1030" s="1684"/>
      <c r="AH1030" s="1684"/>
      <c r="AI1030" s="1684"/>
      <c r="AJ1030" s="1684"/>
      <c r="AK1030" s="1684"/>
      <c r="AL1030" s="1684"/>
      <c r="AM1030" s="1684"/>
      <c r="AN1030" s="1684"/>
      <c r="AO1030" s="1684"/>
      <c r="AP1030" s="1684"/>
      <c r="AQ1030" s="1684"/>
      <c r="AR1030" s="1684"/>
      <c r="AS1030" s="1684"/>
      <c r="AT1030" s="1684"/>
      <c r="AU1030" s="1684"/>
      <c r="AV1030" s="1684"/>
      <c r="AW1030" s="1684"/>
      <c r="AX1030" s="1684"/>
      <c r="AY1030" s="1684"/>
      <c r="AZ1030" s="1684"/>
      <c r="BA1030" s="1684"/>
      <c r="BB1030" s="1684"/>
      <c r="BC1030" s="1684"/>
      <c r="BD1030" s="1684"/>
      <c r="BE1030" s="1684"/>
      <c r="BF1030" s="1684"/>
      <c r="BG1030" s="1684"/>
      <c r="BH1030" s="1684"/>
      <c r="BI1030" s="1684"/>
      <c r="BJ1030" s="1684"/>
      <c r="BK1030" s="1684"/>
      <c r="BL1030" s="1684"/>
      <c r="BM1030" s="1684"/>
      <c r="BN1030" s="1684"/>
      <c r="BO1030" s="1684"/>
      <c r="BP1030" s="1684"/>
      <c r="BQ1030" s="1684"/>
      <c r="BR1030" s="1684"/>
      <c r="BS1030" s="1684"/>
      <c r="BT1030" s="1684"/>
      <c r="BU1030" s="1684"/>
      <c r="BV1030" s="1684"/>
      <c r="BW1030" s="1684"/>
      <c r="BX1030" s="1684"/>
      <c r="BY1030" s="1684"/>
      <c r="BZ1030" s="1684"/>
      <c r="CA1030" s="1684"/>
      <c r="CB1030" s="1684"/>
      <c r="CC1030" s="1684"/>
      <c r="CD1030" s="1684"/>
      <c r="CE1030" s="1684"/>
      <c r="CF1030" s="1684"/>
      <c r="CG1030" s="1684"/>
      <c r="CH1030" s="1684"/>
      <c r="CI1030" s="1684"/>
      <c r="CJ1030" s="1684"/>
      <c r="CK1030" s="1684"/>
      <c r="CL1030" s="1684"/>
      <c r="CM1030" s="1684"/>
      <c r="CN1030" s="1684"/>
      <c r="CO1030" s="1684"/>
    </row>
    <row r="1031" spans="1:93" s="1391" customFormat="1" ht="15" x14ac:dyDescent="0.2">
      <c r="A1031" s="1684"/>
      <c r="B1031" s="1684"/>
      <c r="C1031" s="2013">
        <v>8</v>
      </c>
      <c r="D1031" s="5">
        <v>6.016</v>
      </c>
      <c r="E1031" s="5">
        <v>159</v>
      </c>
      <c r="F1031" s="5">
        <v>176</v>
      </c>
      <c r="G1031" s="5">
        <v>191</v>
      </c>
      <c r="H1031" s="5">
        <v>207</v>
      </c>
      <c r="I1031" s="5">
        <v>222</v>
      </c>
      <c r="J1031" s="5">
        <v>238</v>
      </c>
      <c r="K1031" s="5">
        <v>253</v>
      </c>
      <c r="L1031" s="5">
        <v>268</v>
      </c>
      <c r="M1031" s="5">
        <v>282</v>
      </c>
      <c r="N1031" s="5">
        <v>297</v>
      </c>
      <c r="O1031" s="5">
        <v>312</v>
      </c>
      <c r="P1031" s="5">
        <v>326</v>
      </c>
      <c r="Q1031" s="1160">
        <v>78</v>
      </c>
      <c r="R1031"/>
      <c r="S1031" s="1684"/>
      <c r="T1031" s="1684"/>
      <c r="U1031" s="1684"/>
      <c r="V1031" s="1684"/>
      <c r="W1031" s="1684"/>
      <c r="X1031" s="1684"/>
      <c r="Y1031" s="1684"/>
      <c r="Z1031" s="1684"/>
      <c r="AA1031" s="1684"/>
      <c r="AB1031" s="1684"/>
      <c r="AC1031" s="1684"/>
      <c r="AD1031" s="1684"/>
      <c r="AE1031" s="1684"/>
      <c r="AF1031" s="1684"/>
      <c r="AG1031" s="1684"/>
      <c r="AH1031" s="1684"/>
      <c r="AI1031" s="1684"/>
      <c r="AJ1031" s="1684"/>
      <c r="AK1031" s="1684"/>
      <c r="AL1031" s="1684"/>
      <c r="AM1031" s="1684"/>
      <c r="AN1031" s="1684"/>
      <c r="AO1031" s="1684"/>
      <c r="AP1031" s="1684"/>
      <c r="AQ1031" s="1684"/>
      <c r="AR1031" s="1684"/>
      <c r="AS1031" s="1684"/>
      <c r="AT1031" s="1684"/>
      <c r="AU1031" s="1684"/>
      <c r="AV1031" s="1684"/>
      <c r="AW1031" s="1684"/>
      <c r="AX1031" s="1684"/>
      <c r="AY1031" s="1684"/>
      <c r="AZ1031" s="1684"/>
      <c r="BA1031" s="1684"/>
      <c r="BB1031" s="1684"/>
      <c r="BC1031" s="1684"/>
      <c r="BD1031" s="1684"/>
      <c r="BE1031" s="1684"/>
      <c r="BF1031" s="1684"/>
      <c r="BG1031" s="1684"/>
      <c r="BH1031" s="1684"/>
      <c r="BI1031" s="1684"/>
      <c r="BJ1031" s="1684"/>
      <c r="BK1031" s="1684"/>
      <c r="BL1031" s="1684"/>
      <c r="BM1031" s="1684"/>
      <c r="BN1031" s="1684"/>
      <c r="BO1031" s="1684"/>
      <c r="BP1031" s="1684"/>
      <c r="BQ1031" s="1684"/>
      <c r="BR1031" s="1684"/>
      <c r="BS1031" s="1684"/>
      <c r="BT1031" s="1684"/>
      <c r="BU1031" s="1684"/>
      <c r="BV1031" s="1684"/>
      <c r="BW1031" s="1684"/>
      <c r="BX1031" s="1684"/>
      <c r="BY1031" s="1684"/>
      <c r="BZ1031" s="1684"/>
      <c r="CA1031" s="1684"/>
      <c r="CB1031" s="1684"/>
      <c r="CC1031" s="1684"/>
      <c r="CD1031" s="1684"/>
      <c r="CE1031" s="1684"/>
      <c r="CF1031" s="1684"/>
      <c r="CG1031" s="1684"/>
      <c r="CH1031" s="1684"/>
      <c r="CI1031" s="1684"/>
      <c r="CJ1031" s="1684"/>
      <c r="CK1031" s="1684"/>
      <c r="CL1031" s="1684"/>
      <c r="CM1031" s="1684"/>
      <c r="CN1031" s="1684"/>
      <c r="CO1031" s="1684"/>
    </row>
    <row r="1032" spans="1:93" s="1391" customFormat="1" ht="15" x14ac:dyDescent="0.2">
      <c r="A1032" s="1684"/>
      <c r="B1032" s="1684"/>
      <c r="C1032" s="2013">
        <v>9</v>
      </c>
      <c r="D1032" s="5">
        <v>6.4370000000000003</v>
      </c>
      <c r="E1032" s="5">
        <v>176</v>
      </c>
      <c r="F1032" s="5">
        <v>194</v>
      </c>
      <c r="G1032" s="5">
        <v>211</v>
      </c>
      <c r="H1032" s="5">
        <v>228</v>
      </c>
      <c r="I1032" s="5">
        <v>245</v>
      </c>
      <c r="J1032" s="5">
        <v>262</v>
      </c>
      <c r="K1032" s="5">
        <v>278</v>
      </c>
      <c r="L1032" s="5">
        <v>295</v>
      </c>
      <c r="M1032" s="5">
        <v>311</v>
      </c>
      <c r="N1032" s="5">
        <v>326</v>
      </c>
      <c r="O1032" s="5">
        <v>342</v>
      </c>
      <c r="P1032" s="5">
        <v>358</v>
      </c>
      <c r="Q1032" s="1160">
        <v>79</v>
      </c>
      <c r="R1032"/>
      <c r="S1032" s="1684"/>
      <c r="T1032" s="1684"/>
      <c r="U1032" s="1684"/>
      <c r="V1032" s="1684"/>
      <c r="W1032" s="1684"/>
      <c r="X1032" s="1684"/>
      <c r="Y1032" s="1684"/>
      <c r="Z1032" s="1684"/>
      <c r="AA1032" s="1684"/>
      <c r="AB1032" s="1684"/>
      <c r="AC1032" s="1684"/>
      <c r="AD1032" s="1684"/>
      <c r="AE1032" s="1684"/>
      <c r="AF1032" s="1684"/>
      <c r="AG1032" s="1684"/>
      <c r="AH1032" s="1684"/>
      <c r="AI1032" s="1684"/>
      <c r="AJ1032" s="1684"/>
      <c r="AK1032" s="1684"/>
      <c r="AL1032" s="1684"/>
      <c r="AM1032" s="1684"/>
      <c r="AN1032" s="1684"/>
      <c r="AO1032" s="1684"/>
      <c r="AP1032" s="1684"/>
      <c r="AQ1032" s="1684"/>
      <c r="AR1032" s="1684"/>
      <c r="AS1032" s="1684"/>
      <c r="AT1032" s="1684"/>
      <c r="AU1032" s="1684"/>
      <c r="AV1032" s="1684"/>
      <c r="AW1032" s="1684"/>
      <c r="AX1032" s="1684"/>
      <c r="AY1032" s="1684"/>
      <c r="AZ1032" s="1684"/>
      <c r="BA1032" s="1684"/>
      <c r="BB1032" s="1684"/>
      <c r="BC1032" s="1684"/>
      <c r="BD1032" s="1684"/>
      <c r="BE1032" s="1684"/>
      <c r="BF1032" s="1684"/>
      <c r="BG1032" s="1684"/>
      <c r="BH1032" s="1684"/>
      <c r="BI1032" s="1684"/>
      <c r="BJ1032" s="1684"/>
      <c r="BK1032" s="1684"/>
      <c r="BL1032" s="1684"/>
      <c r="BM1032" s="1684"/>
      <c r="BN1032" s="1684"/>
      <c r="BO1032" s="1684"/>
      <c r="BP1032" s="1684"/>
      <c r="BQ1032" s="1684"/>
      <c r="BR1032" s="1684"/>
      <c r="BS1032" s="1684"/>
      <c r="BT1032" s="1684"/>
      <c r="BU1032" s="1684"/>
      <c r="BV1032" s="1684"/>
      <c r="BW1032" s="1684"/>
      <c r="BX1032" s="1684"/>
      <c r="BY1032" s="1684"/>
      <c r="BZ1032" s="1684"/>
      <c r="CA1032" s="1684"/>
      <c r="CB1032" s="1684"/>
      <c r="CC1032" s="1684"/>
      <c r="CD1032" s="1684"/>
      <c r="CE1032" s="1684"/>
      <c r="CF1032" s="1684"/>
      <c r="CG1032" s="1684"/>
      <c r="CH1032" s="1684"/>
      <c r="CI1032" s="1684"/>
      <c r="CJ1032" s="1684"/>
      <c r="CK1032" s="1684"/>
      <c r="CL1032" s="1684"/>
      <c r="CM1032" s="1684"/>
      <c r="CN1032" s="1684"/>
      <c r="CO1032" s="1684"/>
    </row>
    <row r="1033" spans="1:93" s="1391" customFormat="1" ht="15" x14ac:dyDescent="0.2">
      <c r="A1033" s="1684"/>
      <c r="B1033" s="1684"/>
      <c r="C1033" s="2013">
        <v>10</v>
      </c>
      <c r="D1033" s="5">
        <v>6.8049999999999997</v>
      </c>
      <c r="E1033" s="5">
        <v>193</v>
      </c>
      <c r="F1033" s="5">
        <v>213</v>
      </c>
      <c r="G1033" s="5">
        <v>232</v>
      </c>
      <c r="H1033" s="5">
        <v>250</v>
      </c>
      <c r="I1033" s="5">
        <v>269</v>
      </c>
      <c r="J1033" s="5">
        <v>287</v>
      </c>
      <c r="K1033" s="5">
        <v>305</v>
      </c>
      <c r="L1033" s="5">
        <v>323</v>
      </c>
      <c r="M1033" s="5">
        <v>340</v>
      </c>
      <c r="N1033" s="5">
        <v>357</v>
      </c>
      <c r="O1033" s="5">
        <v>374</v>
      </c>
      <c r="P1033" s="5">
        <v>391</v>
      </c>
      <c r="Q1033" s="1160">
        <v>80</v>
      </c>
      <c r="R1033"/>
      <c r="S1033" s="1684"/>
      <c r="T1033" s="1684"/>
      <c r="U1033" s="1684"/>
      <c r="V1033" s="1684"/>
      <c r="W1033" s="1684"/>
      <c r="X1033" s="1684"/>
      <c r="Y1033" s="1684"/>
      <c r="Z1033" s="1684"/>
      <c r="AA1033" s="1684"/>
      <c r="AB1033" s="1684"/>
      <c r="AC1033" s="1684"/>
      <c r="AD1033" s="1684"/>
      <c r="AE1033" s="1684"/>
      <c r="AF1033" s="1684"/>
      <c r="AG1033" s="1684"/>
      <c r="AH1033" s="1684"/>
      <c r="AI1033" s="1684"/>
      <c r="AJ1033" s="1684"/>
      <c r="AK1033" s="1684"/>
      <c r="AL1033" s="1684"/>
      <c r="AM1033" s="1684"/>
      <c r="AN1033" s="1684"/>
      <c r="AO1033" s="1684"/>
      <c r="AP1033" s="1684"/>
      <c r="AQ1033" s="1684"/>
      <c r="AR1033" s="1684"/>
      <c r="AS1033" s="1684"/>
      <c r="AT1033" s="1684"/>
      <c r="AU1033" s="1684"/>
      <c r="AV1033" s="1684"/>
      <c r="AW1033" s="1684"/>
      <c r="AX1033" s="1684"/>
      <c r="AY1033" s="1684"/>
      <c r="AZ1033" s="1684"/>
      <c r="BA1033" s="1684"/>
      <c r="BB1033" s="1684"/>
      <c r="BC1033" s="1684"/>
      <c r="BD1033" s="1684"/>
      <c r="BE1033" s="1684"/>
      <c r="BF1033" s="1684"/>
      <c r="BG1033" s="1684"/>
      <c r="BH1033" s="1684"/>
      <c r="BI1033" s="1684"/>
      <c r="BJ1033" s="1684"/>
      <c r="BK1033" s="1684"/>
      <c r="BL1033" s="1684"/>
      <c r="BM1033" s="1684"/>
      <c r="BN1033" s="1684"/>
      <c r="BO1033" s="1684"/>
      <c r="BP1033" s="1684"/>
      <c r="BQ1033" s="1684"/>
      <c r="BR1033" s="1684"/>
      <c r="BS1033" s="1684"/>
      <c r="BT1033" s="1684"/>
      <c r="BU1033" s="1684"/>
      <c r="BV1033" s="1684"/>
      <c r="BW1033" s="1684"/>
      <c r="BX1033" s="1684"/>
      <c r="BY1033" s="1684"/>
      <c r="BZ1033" s="1684"/>
      <c r="CA1033" s="1684"/>
      <c r="CB1033" s="1684"/>
      <c r="CC1033" s="1684"/>
      <c r="CD1033" s="1684"/>
      <c r="CE1033" s="1684"/>
      <c r="CF1033" s="1684"/>
      <c r="CG1033" s="1684"/>
      <c r="CH1033" s="1684"/>
      <c r="CI1033" s="1684"/>
      <c r="CJ1033" s="1684"/>
      <c r="CK1033" s="1684"/>
      <c r="CL1033" s="1684"/>
      <c r="CM1033" s="1684"/>
      <c r="CN1033" s="1684"/>
      <c r="CO1033" s="1684"/>
    </row>
    <row r="1034" spans="1:93" s="1391" customFormat="1" ht="15" x14ac:dyDescent="0.2">
      <c r="A1034" s="1684"/>
      <c r="B1034" s="1684"/>
      <c r="C1034" s="2013">
        <v>11</v>
      </c>
      <c r="D1034" s="5">
        <v>7.3940000000000001</v>
      </c>
      <c r="E1034" s="5">
        <v>212</v>
      </c>
      <c r="F1034" s="5">
        <v>234</v>
      </c>
      <c r="G1034" s="5">
        <v>255</v>
      </c>
      <c r="H1034" s="5">
        <v>275</v>
      </c>
      <c r="I1034" s="5">
        <v>295</v>
      </c>
      <c r="J1034" s="5">
        <v>315</v>
      </c>
      <c r="K1034" s="5">
        <v>334</v>
      </c>
      <c r="L1034" s="5">
        <v>354</v>
      </c>
      <c r="M1034" s="5">
        <v>372</v>
      </c>
      <c r="N1034" s="5">
        <v>391</v>
      </c>
      <c r="O1034" s="5">
        <v>409</v>
      </c>
      <c r="P1034" s="5">
        <v>428</v>
      </c>
      <c r="Q1034" s="1160">
        <v>81</v>
      </c>
      <c r="R1034"/>
      <c r="S1034" s="1684"/>
      <c r="T1034" s="1684"/>
      <c r="U1034" s="1684"/>
      <c r="V1034" s="1684"/>
      <c r="W1034" s="1684"/>
      <c r="X1034" s="1684"/>
      <c r="Y1034" s="1684"/>
      <c r="Z1034" s="1684"/>
      <c r="AA1034" s="1684"/>
      <c r="AB1034" s="1684"/>
      <c r="AC1034" s="1684"/>
      <c r="AD1034" s="1684"/>
      <c r="AE1034" s="1684"/>
      <c r="AF1034" s="1684"/>
      <c r="AG1034" s="1684"/>
      <c r="AH1034" s="1684"/>
      <c r="AI1034" s="1684"/>
      <c r="AJ1034" s="1684"/>
      <c r="AK1034" s="1684"/>
      <c r="AL1034" s="1684"/>
      <c r="AM1034" s="1684"/>
      <c r="AN1034" s="1684"/>
      <c r="AO1034" s="1684"/>
      <c r="AP1034" s="1684"/>
      <c r="AQ1034" s="1684"/>
      <c r="AR1034" s="1684"/>
      <c r="AS1034" s="1684"/>
      <c r="AT1034" s="1684"/>
      <c r="AU1034" s="1684"/>
      <c r="AV1034" s="1684"/>
      <c r="AW1034" s="1684"/>
      <c r="AX1034" s="1684"/>
      <c r="AY1034" s="1684"/>
      <c r="AZ1034" s="1684"/>
      <c r="BA1034" s="1684"/>
      <c r="BB1034" s="1684"/>
      <c r="BC1034" s="1684"/>
      <c r="BD1034" s="1684"/>
      <c r="BE1034" s="1684"/>
      <c r="BF1034" s="1684"/>
      <c r="BG1034" s="1684"/>
      <c r="BH1034" s="1684"/>
      <c r="BI1034" s="1684"/>
      <c r="BJ1034" s="1684"/>
      <c r="BK1034" s="1684"/>
      <c r="BL1034" s="1684"/>
      <c r="BM1034" s="1684"/>
      <c r="BN1034" s="1684"/>
      <c r="BO1034" s="1684"/>
      <c r="BP1034" s="1684"/>
      <c r="BQ1034" s="1684"/>
      <c r="BR1034" s="1684"/>
      <c r="BS1034" s="1684"/>
      <c r="BT1034" s="1684"/>
      <c r="BU1034" s="1684"/>
      <c r="BV1034" s="1684"/>
      <c r="BW1034" s="1684"/>
      <c r="BX1034" s="1684"/>
      <c r="BY1034" s="1684"/>
      <c r="BZ1034" s="1684"/>
      <c r="CA1034" s="1684"/>
      <c r="CB1034" s="1684"/>
      <c r="CC1034" s="1684"/>
      <c r="CD1034" s="1684"/>
      <c r="CE1034" s="1684"/>
      <c r="CF1034" s="1684"/>
      <c r="CG1034" s="1684"/>
      <c r="CH1034" s="1684"/>
      <c r="CI1034" s="1684"/>
      <c r="CJ1034" s="1684"/>
      <c r="CK1034" s="1684"/>
      <c r="CL1034" s="1684"/>
      <c r="CM1034" s="1684"/>
      <c r="CN1034" s="1684"/>
      <c r="CO1034" s="1684"/>
    </row>
    <row r="1035" spans="1:93" s="1391" customFormat="1" ht="15" x14ac:dyDescent="0.2">
      <c r="A1035" s="1684"/>
      <c r="B1035" s="1684"/>
      <c r="C1035" s="2013">
        <v>12</v>
      </c>
      <c r="D1035" s="5">
        <v>7.9320000000000004</v>
      </c>
      <c r="E1035" s="5">
        <v>233</v>
      </c>
      <c r="F1035" s="5">
        <v>256</v>
      </c>
      <c r="G1035" s="5">
        <v>278</v>
      </c>
      <c r="H1035" s="5">
        <v>300</v>
      </c>
      <c r="I1035" s="5">
        <v>322</v>
      </c>
      <c r="J1035" s="5">
        <v>343</v>
      </c>
      <c r="K1035" s="5">
        <v>364</v>
      </c>
      <c r="L1035" s="5">
        <v>386</v>
      </c>
      <c r="M1035" s="5">
        <v>406</v>
      </c>
      <c r="N1035" s="5">
        <v>426</v>
      </c>
      <c r="O1035" s="5">
        <v>446</v>
      </c>
      <c r="P1035" s="5">
        <v>465</v>
      </c>
      <c r="Q1035" s="1160">
        <v>82</v>
      </c>
      <c r="R1035"/>
      <c r="S1035" s="1684"/>
      <c r="T1035" s="1684"/>
      <c r="U1035" s="1684"/>
      <c r="V1035" s="1684"/>
      <c r="W1035" s="1684"/>
      <c r="X1035" s="1684"/>
      <c r="Y1035" s="1684"/>
      <c r="Z1035" s="1684"/>
      <c r="AA1035" s="1684"/>
      <c r="AB1035" s="1684"/>
      <c r="AC1035" s="1684"/>
      <c r="AD1035" s="1684"/>
      <c r="AE1035" s="1684"/>
      <c r="AF1035" s="1684"/>
      <c r="AG1035" s="1684"/>
      <c r="AH1035" s="1684"/>
      <c r="AI1035" s="1684"/>
      <c r="AJ1035" s="1684"/>
      <c r="AK1035" s="1684"/>
      <c r="AL1035" s="1684"/>
      <c r="AM1035" s="1684"/>
      <c r="AN1035" s="1684"/>
      <c r="AO1035" s="1684"/>
      <c r="AP1035" s="1684"/>
      <c r="AQ1035" s="1684"/>
      <c r="AR1035" s="1684"/>
      <c r="AS1035" s="1684"/>
      <c r="AT1035" s="1684"/>
      <c r="AU1035" s="1684"/>
      <c r="AV1035" s="1684"/>
      <c r="AW1035" s="1684"/>
      <c r="AX1035" s="1684"/>
      <c r="AY1035" s="1684"/>
      <c r="AZ1035" s="1684"/>
      <c r="BA1035" s="1684"/>
      <c r="BB1035" s="1684"/>
      <c r="BC1035" s="1684"/>
      <c r="BD1035" s="1684"/>
      <c r="BE1035" s="1684"/>
      <c r="BF1035" s="1684"/>
      <c r="BG1035" s="1684"/>
      <c r="BH1035" s="1684"/>
      <c r="BI1035" s="1684"/>
      <c r="BJ1035" s="1684"/>
      <c r="BK1035" s="1684"/>
      <c r="BL1035" s="1684"/>
      <c r="BM1035" s="1684"/>
      <c r="BN1035" s="1684"/>
      <c r="BO1035" s="1684"/>
      <c r="BP1035" s="1684"/>
      <c r="BQ1035" s="1684"/>
      <c r="BR1035" s="1684"/>
      <c r="BS1035" s="1684"/>
      <c r="BT1035" s="1684"/>
      <c r="BU1035" s="1684"/>
      <c r="BV1035" s="1684"/>
      <c r="BW1035" s="1684"/>
      <c r="BX1035" s="1684"/>
      <c r="BY1035" s="1684"/>
      <c r="BZ1035" s="1684"/>
      <c r="CA1035" s="1684"/>
      <c r="CB1035" s="1684"/>
      <c r="CC1035" s="1684"/>
      <c r="CD1035" s="1684"/>
      <c r="CE1035" s="1684"/>
      <c r="CF1035" s="1684"/>
      <c r="CG1035" s="1684"/>
      <c r="CH1035" s="1684"/>
      <c r="CI1035" s="1684"/>
      <c r="CJ1035" s="1684"/>
      <c r="CK1035" s="1684"/>
      <c r="CL1035" s="1684"/>
      <c r="CM1035" s="1684"/>
      <c r="CN1035" s="1684"/>
      <c r="CO1035" s="1684"/>
    </row>
    <row r="1036" spans="1:93" s="1391" customFormat="1" ht="15" x14ac:dyDescent="0.2">
      <c r="A1036" s="1684"/>
      <c r="B1036" s="1684"/>
      <c r="C1036" s="2013">
        <v>13</v>
      </c>
      <c r="D1036" s="5">
        <v>8.4879999999999995</v>
      </c>
      <c r="E1036" s="5">
        <v>253</v>
      </c>
      <c r="F1036" s="5">
        <v>279</v>
      </c>
      <c r="G1036" s="5">
        <v>303</v>
      </c>
      <c r="H1036" s="5">
        <v>326</v>
      </c>
      <c r="I1036" s="5">
        <v>350</v>
      </c>
      <c r="J1036" s="5">
        <v>373</v>
      </c>
      <c r="K1036" s="5">
        <v>395</v>
      </c>
      <c r="L1036" s="5">
        <v>418</v>
      </c>
      <c r="M1036" s="5">
        <v>439</v>
      </c>
      <c r="N1036" s="5">
        <v>461</v>
      </c>
      <c r="O1036" s="5">
        <v>482</v>
      </c>
      <c r="P1036" s="5">
        <v>503</v>
      </c>
      <c r="Q1036" s="1160">
        <v>83</v>
      </c>
      <c r="R1036"/>
      <c r="S1036" s="1684"/>
      <c r="T1036" s="1684"/>
      <c r="U1036" s="1684"/>
      <c r="V1036" s="1684"/>
      <c r="W1036" s="1684"/>
      <c r="X1036" s="1684"/>
      <c r="Y1036" s="1684"/>
      <c r="Z1036" s="1684"/>
      <c r="AA1036" s="1684"/>
      <c r="AB1036" s="1684"/>
      <c r="AC1036" s="1684"/>
      <c r="AD1036" s="1684"/>
      <c r="AE1036" s="1684"/>
      <c r="AF1036" s="1684"/>
      <c r="AG1036" s="1684"/>
      <c r="AH1036" s="1684"/>
      <c r="AI1036" s="1684"/>
      <c r="AJ1036" s="1684"/>
      <c r="AK1036" s="1684"/>
      <c r="AL1036" s="1684"/>
      <c r="AM1036" s="1684"/>
      <c r="AN1036" s="1684"/>
      <c r="AO1036" s="1684"/>
      <c r="AP1036" s="1684"/>
      <c r="AQ1036" s="1684"/>
      <c r="AR1036" s="1684"/>
      <c r="AS1036" s="1684"/>
      <c r="AT1036" s="1684"/>
      <c r="AU1036" s="1684"/>
      <c r="AV1036" s="1684"/>
      <c r="AW1036" s="1684"/>
      <c r="AX1036" s="1684"/>
      <c r="AY1036" s="1684"/>
      <c r="AZ1036" s="1684"/>
      <c r="BA1036" s="1684"/>
      <c r="BB1036" s="1684"/>
      <c r="BC1036" s="1684"/>
      <c r="BD1036" s="1684"/>
      <c r="BE1036" s="1684"/>
      <c r="BF1036" s="1684"/>
      <c r="BG1036" s="1684"/>
      <c r="BH1036" s="1684"/>
      <c r="BI1036" s="1684"/>
      <c r="BJ1036" s="1684"/>
      <c r="BK1036" s="1684"/>
      <c r="BL1036" s="1684"/>
      <c r="BM1036" s="1684"/>
      <c r="BN1036" s="1684"/>
      <c r="BO1036" s="1684"/>
      <c r="BP1036" s="1684"/>
      <c r="BQ1036" s="1684"/>
      <c r="BR1036" s="1684"/>
      <c r="BS1036" s="1684"/>
      <c r="BT1036" s="1684"/>
      <c r="BU1036" s="1684"/>
      <c r="BV1036" s="1684"/>
      <c r="BW1036" s="1684"/>
      <c r="BX1036" s="1684"/>
      <c r="BY1036" s="1684"/>
      <c r="BZ1036" s="1684"/>
      <c r="CA1036" s="1684"/>
      <c r="CB1036" s="1684"/>
      <c r="CC1036" s="1684"/>
      <c r="CD1036" s="1684"/>
      <c r="CE1036" s="1684"/>
      <c r="CF1036" s="1684"/>
      <c r="CG1036" s="1684"/>
      <c r="CH1036" s="1684"/>
      <c r="CI1036" s="1684"/>
      <c r="CJ1036" s="1684"/>
      <c r="CK1036" s="1684"/>
      <c r="CL1036" s="1684"/>
      <c r="CM1036" s="1684"/>
      <c r="CN1036" s="1684"/>
      <c r="CO1036" s="1684"/>
    </row>
    <row r="1037" spans="1:93" s="1391" customFormat="1" ht="15" x14ac:dyDescent="0.2">
      <c r="A1037" s="1684"/>
      <c r="B1037" s="1684"/>
      <c r="C1037" s="2013">
        <v>14</v>
      </c>
      <c r="D1037" s="5">
        <v>9.0820000000000007</v>
      </c>
      <c r="E1037" s="5">
        <v>275</v>
      </c>
      <c r="F1037" s="5">
        <v>302</v>
      </c>
      <c r="G1037" s="5">
        <v>328</v>
      </c>
      <c r="H1037" s="5">
        <v>353</v>
      </c>
      <c r="I1037" s="5">
        <v>378</v>
      </c>
      <c r="J1037" s="5">
        <v>403</v>
      </c>
      <c r="K1037" s="5">
        <v>427</v>
      </c>
      <c r="L1037" s="5">
        <v>452</v>
      </c>
      <c r="M1037" s="5">
        <v>474</v>
      </c>
      <c r="N1037" s="5">
        <v>497</v>
      </c>
      <c r="O1037" s="5">
        <v>520</v>
      </c>
      <c r="P1037" s="5">
        <v>542</v>
      </c>
      <c r="Q1037" s="1160">
        <v>84</v>
      </c>
      <c r="R1037"/>
      <c r="S1037" s="1684"/>
      <c r="T1037" s="1684"/>
      <c r="U1037" s="1684"/>
      <c r="V1037" s="1684"/>
      <c r="W1037" s="1684"/>
      <c r="X1037" s="1684"/>
      <c r="Y1037" s="1684"/>
      <c r="Z1037" s="1684"/>
      <c r="AA1037" s="1684"/>
      <c r="AB1037" s="1684"/>
      <c r="AC1037" s="1684"/>
      <c r="AD1037" s="1684"/>
      <c r="AE1037" s="1684"/>
      <c r="AF1037" s="1684"/>
      <c r="AG1037" s="1684"/>
      <c r="AH1037" s="1684"/>
      <c r="AI1037" s="1684"/>
      <c r="AJ1037" s="1684"/>
      <c r="AK1037" s="1684"/>
      <c r="AL1037" s="1684"/>
      <c r="AM1037" s="1684"/>
      <c r="AN1037" s="1684"/>
      <c r="AO1037" s="1684"/>
      <c r="AP1037" s="1684"/>
      <c r="AQ1037" s="1684"/>
      <c r="AR1037" s="1684"/>
      <c r="AS1037" s="1684"/>
      <c r="AT1037" s="1684"/>
      <c r="AU1037" s="1684"/>
      <c r="AV1037" s="1684"/>
      <c r="AW1037" s="1684"/>
      <c r="AX1037" s="1684"/>
      <c r="AY1037" s="1684"/>
      <c r="AZ1037" s="1684"/>
      <c r="BA1037" s="1684"/>
      <c r="BB1037" s="1684"/>
      <c r="BC1037" s="1684"/>
      <c r="BD1037" s="1684"/>
      <c r="BE1037" s="1684"/>
      <c r="BF1037" s="1684"/>
      <c r="BG1037" s="1684"/>
      <c r="BH1037" s="1684"/>
      <c r="BI1037" s="1684"/>
      <c r="BJ1037" s="1684"/>
      <c r="BK1037" s="1684"/>
      <c r="BL1037" s="1684"/>
      <c r="BM1037" s="1684"/>
      <c r="BN1037" s="1684"/>
      <c r="BO1037" s="1684"/>
      <c r="BP1037" s="1684"/>
      <c r="BQ1037" s="1684"/>
      <c r="BR1037" s="1684"/>
      <c r="BS1037" s="1684"/>
      <c r="BT1037" s="1684"/>
      <c r="BU1037" s="1684"/>
      <c r="BV1037" s="1684"/>
      <c r="BW1037" s="1684"/>
      <c r="BX1037" s="1684"/>
      <c r="BY1037" s="1684"/>
      <c r="BZ1037" s="1684"/>
      <c r="CA1037" s="1684"/>
      <c r="CB1037" s="1684"/>
      <c r="CC1037" s="1684"/>
      <c r="CD1037" s="1684"/>
      <c r="CE1037" s="1684"/>
      <c r="CF1037" s="1684"/>
      <c r="CG1037" s="1684"/>
      <c r="CH1037" s="1684"/>
      <c r="CI1037" s="1684"/>
      <c r="CJ1037" s="1684"/>
      <c r="CK1037" s="1684"/>
      <c r="CL1037" s="1684"/>
      <c r="CM1037" s="1684"/>
      <c r="CN1037" s="1684"/>
      <c r="CO1037" s="1684"/>
    </row>
    <row r="1038" spans="1:93" s="1391" customFormat="1" ht="15" x14ac:dyDescent="0.2">
      <c r="A1038" s="1684"/>
      <c r="B1038" s="1684"/>
      <c r="C1038" s="2013">
        <v>15</v>
      </c>
      <c r="D1038" s="5">
        <v>9.7040000000000006</v>
      </c>
      <c r="E1038" s="5">
        <v>297</v>
      </c>
      <c r="F1038" s="5">
        <v>326</v>
      </c>
      <c r="G1038" s="5">
        <v>354</v>
      </c>
      <c r="H1038" s="5">
        <v>381</v>
      </c>
      <c r="I1038" s="5">
        <v>408</v>
      </c>
      <c r="J1038" s="5">
        <v>434</v>
      </c>
      <c r="K1038" s="5">
        <v>460</v>
      </c>
      <c r="L1038" s="5">
        <v>486</v>
      </c>
      <c r="M1038" s="5">
        <v>510</v>
      </c>
      <c r="N1038" s="5">
        <v>534</v>
      </c>
      <c r="O1038" s="5">
        <v>558</v>
      </c>
      <c r="P1038" s="5">
        <v>582</v>
      </c>
      <c r="Q1038" s="1160">
        <v>85</v>
      </c>
      <c r="R1038"/>
      <c r="S1038" s="1684"/>
      <c r="T1038" s="1684"/>
      <c r="U1038" s="1684"/>
      <c r="V1038" s="1684"/>
      <c r="W1038" s="1684"/>
      <c r="X1038" s="1684"/>
      <c r="Y1038" s="1684"/>
      <c r="Z1038" s="1684"/>
      <c r="AA1038" s="1684"/>
      <c r="AB1038" s="1684"/>
      <c r="AC1038" s="1684"/>
      <c r="AD1038" s="1684"/>
      <c r="AE1038" s="1684"/>
      <c r="AF1038" s="1684"/>
      <c r="AG1038" s="1684"/>
      <c r="AH1038" s="1684"/>
      <c r="AI1038" s="1684"/>
      <c r="AJ1038" s="1684"/>
      <c r="AK1038" s="1684"/>
      <c r="AL1038" s="1684"/>
      <c r="AM1038" s="1684"/>
      <c r="AN1038" s="1684"/>
      <c r="AO1038" s="1684"/>
      <c r="AP1038" s="1684"/>
      <c r="AQ1038" s="1684"/>
      <c r="AR1038" s="1684"/>
      <c r="AS1038" s="1684"/>
      <c r="AT1038" s="1684"/>
      <c r="AU1038" s="1684"/>
      <c r="AV1038" s="1684"/>
      <c r="AW1038" s="1684"/>
      <c r="AX1038" s="1684"/>
      <c r="AY1038" s="1684"/>
      <c r="AZ1038" s="1684"/>
      <c r="BA1038" s="1684"/>
      <c r="BB1038" s="1684"/>
      <c r="BC1038" s="1684"/>
      <c r="BD1038" s="1684"/>
      <c r="BE1038" s="1684"/>
      <c r="BF1038" s="1684"/>
      <c r="BG1038" s="1684"/>
      <c r="BH1038" s="1684"/>
      <c r="BI1038" s="1684"/>
      <c r="BJ1038" s="1684"/>
      <c r="BK1038" s="1684"/>
      <c r="BL1038" s="1684"/>
      <c r="BM1038" s="1684"/>
      <c r="BN1038" s="1684"/>
      <c r="BO1038" s="1684"/>
      <c r="BP1038" s="1684"/>
      <c r="BQ1038" s="1684"/>
      <c r="BR1038" s="1684"/>
      <c r="BS1038" s="1684"/>
      <c r="BT1038" s="1684"/>
      <c r="BU1038" s="1684"/>
      <c r="BV1038" s="1684"/>
      <c r="BW1038" s="1684"/>
      <c r="BX1038" s="1684"/>
      <c r="BY1038" s="1684"/>
      <c r="BZ1038" s="1684"/>
      <c r="CA1038" s="1684"/>
      <c r="CB1038" s="1684"/>
      <c r="CC1038" s="1684"/>
      <c r="CD1038" s="1684"/>
      <c r="CE1038" s="1684"/>
      <c r="CF1038" s="1684"/>
      <c r="CG1038" s="1684"/>
      <c r="CH1038" s="1684"/>
      <c r="CI1038" s="1684"/>
      <c r="CJ1038" s="1684"/>
      <c r="CK1038" s="1684"/>
      <c r="CL1038" s="1684"/>
      <c r="CM1038" s="1684"/>
      <c r="CN1038" s="1684"/>
      <c r="CO1038" s="1684"/>
    </row>
    <row r="1039" spans="1:93" s="1391" customFormat="1" ht="15" x14ac:dyDescent="0.2">
      <c r="A1039" s="1684"/>
      <c r="B1039" s="1684"/>
      <c r="C1039" s="2013">
        <v>16</v>
      </c>
      <c r="D1039" s="5">
        <v>10.49</v>
      </c>
      <c r="E1039" s="5">
        <v>318</v>
      </c>
      <c r="F1039" s="5">
        <v>350</v>
      </c>
      <c r="G1039" s="5">
        <v>379</v>
      </c>
      <c r="H1039" s="5">
        <v>408</v>
      </c>
      <c r="I1039" s="5">
        <v>436</v>
      </c>
      <c r="J1039" s="5">
        <v>464</v>
      </c>
      <c r="K1039" s="5">
        <v>491</v>
      </c>
      <c r="L1039" s="5">
        <v>519</v>
      </c>
      <c r="M1039" s="5">
        <v>544</v>
      </c>
      <c r="N1039" s="5">
        <v>570</v>
      </c>
      <c r="O1039" s="5">
        <v>590</v>
      </c>
      <c r="P1039" s="5">
        <v>620</v>
      </c>
      <c r="Q1039" s="1160">
        <v>86</v>
      </c>
      <c r="R1039"/>
      <c r="S1039" s="1684"/>
      <c r="T1039" s="1684"/>
      <c r="U1039" s="1684"/>
      <c r="V1039" s="1684"/>
      <c r="W1039" s="1684"/>
      <c r="X1039" s="1684"/>
      <c r="Y1039" s="1684"/>
      <c r="Z1039" s="1684"/>
      <c r="AA1039" s="1684"/>
      <c r="AB1039" s="1684"/>
      <c r="AC1039" s="1684"/>
      <c r="AD1039" s="1684"/>
      <c r="AE1039" s="1684"/>
      <c r="AF1039" s="1684"/>
      <c r="AG1039" s="1684"/>
      <c r="AH1039" s="1684"/>
      <c r="AI1039" s="1684"/>
      <c r="AJ1039" s="1684"/>
      <c r="AK1039" s="1684"/>
      <c r="AL1039" s="1684"/>
      <c r="AM1039" s="1684"/>
      <c r="AN1039" s="1684"/>
      <c r="AO1039" s="1684"/>
      <c r="AP1039" s="1684"/>
      <c r="AQ1039" s="1684"/>
      <c r="AR1039" s="1684"/>
      <c r="AS1039" s="1684"/>
      <c r="AT1039" s="1684"/>
      <c r="AU1039" s="1684"/>
      <c r="AV1039" s="1684"/>
      <c r="AW1039" s="1684"/>
      <c r="AX1039" s="1684"/>
      <c r="AY1039" s="1684"/>
      <c r="AZ1039" s="1684"/>
      <c r="BA1039" s="1684"/>
      <c r="BB1039" s="1684"/>
      <c r="BC1039" s="1684"/>
      <c r="BD1039" s="1684"/>
      <c r="BE1039" s="1684"/>
      <c r="BF1039" s="1684"/>
      <c r="BG1039" s="1684"/>
      <c r="BH1039" s="1684"/>
      <c r="BI1039" s="1684"/>
      <c r="BJ1039" s="1684"/>
      <c r="BK1039" s="1684"/>
      <c r="BL1039" s="1684"/>
      <c r="BM1039" s="1684"/>
      <c r="BN1039" s="1684"/>
      <c r="BO1039" s="1684"/>
      <c r="BP1039" s="1684"/>
      <c r="BQ1039" s="1684"/>
      <c r="BR1039" s="1684"/>
      <c r="BS1039" s="1684"/>
      <c r="BT1039" s="1684"/>
      <c r="BU1039" s="1684"/>
      <c r="BV1039" s="1684"/>
      <c r="BW1039" s="1684"/>
      <c r="BX1039" s="1684"/>
      <c r="BY1039" s="1684"/>
      <c r="BZ1039" s="1684"/>
      <c r="CA1039" s="1684"/>
      <c r="CB1039" s="1684"/>
      <c r="CC1039" s="1684"/>
      <c r="CD1039" s="1684"/>
      <c r="CE1039" s="1684"/>
      <c r="CF1039" s="1684"/>
      <c r="CG1039" s="1684"/>
      <c r="CH1039" s="1684"/>
      <c r="CI1039" s="1684"/>
      <c r="CJ1039" s="1684"/>
      <c r="CK1039" s="1684"/>
      <c r="CL1039" s="1684"/>
      <c r="CM1039" s="1684"/>
      <c r="CN1039" s="1684"/>
      <c r="CO1039" s="1684"/>
    </row>
    <row r="1040" spans="1:93" s="1391" customFormat="1" ht="15" x14ac:dyDescent="0.2">
      <c r="A1040" s="1684"/>
      <c r="B1040" s="1684"/>
      <c r="C1040" s="2013">
        <v>17</v>
      </c>
      <c r="D1040" s="5">
        <v>11.321999999999999</v>
      </c>
      <c r="E1040" s="5">
        <v>338</v>
      </c>
      <c r="F1040" s="5">
        <v>371</v>
      </c>
      <c r="G1040" s="5">
        <v>402</v>
      </c>
      <c r="H1040" s="5">
        <v>433</v>
      </c>
      <c r="I1040" s="5">
        <v>462</v>
      </c>
      <c r="J1040" s="5">
        <v>491</v>
      </c>
      <c r="K1040" s="5">
        <v>520</v>
      </c>
      <c r="L1040" s="5">
        <v>549</v>
      </c>
      <c r="M1040" s="5">
        <v>575</v>
      </c>
      <c r="N1040" s="5">
        <v>602</v>
      </c>
      <c r="O1040" s="5">
        <v>628</v>
      </c>
      <c r="P1040" s="5">
        <v>634</v>
      </c>
      <c r="Q1040" s="1160">
        <v>87</v>
      </c>
      <c r="R1040"/>
      <c r="S1040" s="1684"/>
      <c r="T1040" s="1684"/>
      <c r="U1040" s="1684"/>
      <c r="V1040" s="1684"/>
      <c r="W1040" s="1684"/>
      <c r="X1040" s="1684"/>
      <c r="Y1040" s="1684"/>
      <c r="Z1040" s="1684"/>
      <c r="AA1040" s="1684"/>
      <c r="AB1040" s="1684"/>
      <c r="AC1040" s="1684"/>
      <c r="AD1040" s="1684"/>
      <c r="AE1040" s="1684"/>
      <c r="AF1040" s="1684"/>
      <c r="AG1040" s="1684"/>
      <c r="AH1040" s="1684"/>
      <c r="AI1040" s="1684"/>
      <c r="AJ1040" s="1684"/>
      <c r="AK1040" s="1684"/>
      <c r="AL1040" s="1684"/>
      <c r="AM1040" s="1684"/>
      <c r="AN1040" s="1684"/>
      <c r="AO1040" s="1684"/>
      <c r="AP1040" s="1684"/>
      <c r="AQ1040" s="1684"/>
      <c r="AR1040" s="1684"/>
      <c r="AS1040" s="1684"/>
      <c r="AT1040" s="1684"/>
      <c r="AU1040" s="1684"/>
      <c r="AV1040" s="1684"/>
      <c r="AW1040" s="1684"/>
      <c r="AX1040" s="1684"/>
      <c r="AY1040" s="1684"/>
      <c r="AZ1040" s="1684"/>
      <c r="BA1040" s="1684"/>
      <c r="BB1040" s="1684"/>
      <c r="BC1040" s="1684"/>
      <c r="BD1040" s="1684"/>
      <c r="BE1040" s="1684"/>
      <c r="BF1040" s="1684"/>
      <c r="BG1040" s="1684"/>
      <c r="BH1040" s="1684"/>
      <c r="BI1040" s="1684"/>
      <c r="BJ1040" s="1684"/>
      <c r="BK1040" s="1684"/>
      <c r="BL1040" s="1684"/>
      <c r="BM1040" s="1684"/>
      <c r="BN1040" s="1684"/>
      <c r="BO1040" s="1684"/>
      <c r="BP1040" s="1684"/>
      <c r="BQ1040" s="1684"/>
      <c r="BR1040" s="1684"/>
      <c r="BS1040" s="1684"/>
      <c r="BT1040" s="1684"/>
      <c r="BU1040" s="1684"/>
      <c r="BV1040" s="1684"/>
      <c r="BW1040" s="1684"/>
      <c r="BX1040" s="1684"/>
      <c r="BY1040" s="1684"/>
      <c r="BZ1040" s="1684"/>
      <c r="CA1040" s="1684"/>
      <c r="CB1040" s="1684"/>
      <c r="CC1040" s="1684"/>
      <c r="CD1040" s="1684"/>
      <c r="CE1040" s="1684"/>
      <c r="CF1040" s="1684"/>
      <c r="CG1040" s="1684"/>
      <c r="CH1040" s="1684"/>
      <c r="CI1040" s="1684"/>
      <c r="CJ1040" s="1684"/>
      <c r="CK1040" s="1684"/>
      <c r="CL1040" s="1684"/>
      <c r="CM1040" s="1684"/>
      <c r="CN1040" s="1684"/>
      <c r="CO1040" s="1684"/>
    </row>
    <row r="1041" spans="1:93" s="1391" customFormat="1" ht="15.75" thickBot="1" x14ac:dyDescent="0.25">
      <c r="A1041" s="1684"/>
      <c r="B1041" s="1684"/>
      <c r="C1041" s="2018">
        <v>18</v>
      </c>
      <c r="D1041" s="976">
        <v>11.875</v>
      </c>
      <c r="E1041" s="976">
        <v>356</v>
      </c>
      <c r="F1041" s="976">
        <v>391</v>
      </c>
      <c r="G1041" s="976">
        <v>423</v>
      </c>
      <c r="H1041" s="976">
        <v>455</v>
      </c>
      <c r="I1041" s="976">
        <v>486</v>
      </c>
      <c r="J1041" s="976">
        <v>516</v>
      </c>
      <c r="K1041" s="976">
        <v>546</v>
      </c>
      <c r="L1041" s="976">
        <v>577</v>
      </c>
      <c r="M1041" s="976">
        <v>604</v>
      </c>
      <c r="N1041" s="976">
        <v>631</v>
      </c>
      <c r="O1041" s="976">
        <v>659</v>
      </c>
      <c r="P1041" s="976">
        <v>686</v>
      </c>
      <c r="Q1041" s="2019">
        <v>88</v>
      </c>
      <c r="R1041"/>
      <c r="S1041" s="1684"/>
      <c r="T1041" s="1684"/>
      <c r="U1041" s="1684"/>
      <c r="V1041" s="1684"/>
      <c r="W1041" s="1684"/>
      <c r="X1041" s="1684"/>
      <c r="Y1041" s="1684"/>
      <c r="Z1041" s="1684"/>
      <c r="AA1041" s="1684"/>
      <c r="AB1041" s="1684"/>
      <c r="AC1041" s="1684"/>
      <c r="AD1041" s="1684"/>
      <c r="AE1041" s="1684"/>
      <c r="AF1041" s="1684"/>
      <c r="AG1041" s="1684"/>
      <c r="AH1041" s="1684"/>
      <c r="AI1041" s="1684"/>
      <c r="AJ1041" s="1684"/>
      <c r="AK1041" s="1684"/>
      <c r="AL1041" s="1684"/>
      <c r="AM1041" s="1684"/>
      <c r="AN1041" s="1684"/>
      <c r="AO1041" s="1684"/>
      <c r="AP1041" s="1684"/>
      <c r="AQ1041" s="1684"/>
      <c r="AR1041" s="1684"/>
      <c r="AS1041" s="1684"/>
      <c r="AT1041" s="1684"/>
      <c r="AU1041" s="1684"/>
      <c r="AV1041" s="1684"/>
      <c r="AW1041" s="1684"/>
      <c r="AX1041" s="1684"/>
      <c r="AY1041" s="1684"/>
      <c r="AZ1041" s="1684"/>
      <c r="BA1041" s="1684"/>
      <c r="BB1041" s="1684"/>
      <c r="BC1041" s="1684"/>
      <c r="BD1041" s="1684"/>
      <c r="BE1041" s="1684"/>
      <c r="BF1041" s="1684"/>
      <c r="BG1041" s="1684"/>
      <c r="BH1041" s="1684"/>
      <c r="BI1041" s="1684"/>
      <c r="BJ1041" s="1684"/>
      <c r="BK1041" s="1684"/>
      <c r="BL1041" s="1684"/>
      <c r="BM1041" s="1684"/>
      <c r="BN1041" s="1684"/>
      <c r="BO1041" s="1684"/>
      <c r="BP1041" s="1684"/>
      <c r="BQ1041" s="1684"/>
      <c r="BR1041" s="1684"/>
      <c r="BS1041" s="1684"/>
      <c r="BT1041" s="1684"/>
      <c r="BU1041" s="1684"/>
      <c r="BV1041" s="1684"/>
      <c r="BW1041" s="1684"/>
      <c r="BX1041" s="1684"/>
      <c r="BY1041" s="1684"/>
      <c r="BZ1041" s="1684"/>
      <c r="CA1041" s="1684"/>
      <c r="CB1041" s="1684"/>
      <c r="CC1041" s="1684"/>
      <c r="CD1041" s="1684"/>
      <c r="CE1041" s="1684"/>
      <c r="CF1041" s="1684"/>
      <c r="CG1041" s="1684"/>
      <c r="CH1041" s="1684"/>
      <c r="CI1041" s="1684"/>
      <c r="CJ1041" s="1684"/>
      <c r="CK1041" s="1684"/>
      <c r="CL1041" s="1684"/>
      <c r="CM1041" s="1684"/>
      <c r="CN1041" s="1684"/>
      <c r="CO1041" s="1684"/>
    </row>
    <row r="1042" spans="1:93" s="1391" customFormat="1" ht="15.75" thickBot="1" x14ac:dyDescent="0.25">
      <c r="A1042" s="1684"/>
      <c r="B1042" s="1684"/>
      <c r="C1042" s="248"/>
      <c r="D1042" s="249" t="s">
        <v>5328</v>
      </c>
      <c r="E1042" s="249"/>
      <c r="F1042" s="249"/>
      <c r="G1042" s="249"/>
      <c r="H1042" s="249"/>
      <c r="I1042" s="249"/>
      <c r="J1042" s="249"/>
      <c r="K1042" s="249"/>
      <c r="L1042" s="249"/>
      <c r="M1042" s="249"/>
      <c r="N1042" s="249"/>
      <c r="O1042" s="249"/>
      <c r="P1042" s="249"/>
      <c r="Q1042" s="250"/>
      <c r="R1042"/>
      <c r="S1042" s="1684"/>
      <c r="T1042" s="1684"/>
      <c r="U1042" s="1684"/>
      <c r="V1042" s="1684"/>
      <c r="W1042" s="1684"/>
      <c r="X1042" s="1684"/>
      <c r="Y1042" s="1684"/>
      <c r="Z1042" s="1684"/>
      <c r="AA1042" s="1684"/>
      <c r="AB1042" s="1684"/>
      <c r="AC1042" s="1684"/>
      <c r="AD1042" s="1684"/>
      <c r="AE1042" s="1684"/>
      <c r="AF1042" s="1684"/>
      <c r="AG1042" s="1684"/>
      <c r="AH1042" s="1684"/>
      <c r="AI1042" s="1684"/>
      <c r="AJ1042" s="1684"/>
      <c r="AK1042" s="1684"/>
      <c r="AL1042" s="1684"/>
      <c r="AM1042" s="1684"/>
      <c r="AN1042" s="1684"/>
      <c r="AO1042" s="1684"/>
      <c r="AP1042" s="1684"/>
      <c r="AQ1042" s="1684"/>
      <c r="AR1042" s="1684"/>
      <c r="AS1042" s="1684"/>
      <c r="AT1042" s="1684"/>
      <c r="AU1042" s="1684"/>
      <c r="AV1042" s="1684"/>
      <c r="AW1042" s="1684"/>
      <c r="AX1042" s="1684"/>
      <c r="AY1042" s="1684"/>
      <c r="AZ1042" s="1684"/>
      <c r="BA1042" s="1684"/>
      <c r="BB1042" s="1684"/>
      <c r="BC1042" s="1684"/>
      <c r="BD1042" s="1684"/>
      <c r="BE1042" s="1684"/>
      <c r="BF1042" s="1684"/>
      <c r="BG1042" s="1684"/>
      <c r="BH1042" s="1684"/>
      <c r="BI1042" s="1684"/>
      <c r="BJ1042" s="1684"/>
      <c r="BK1042" s="1684"/>
      <c r="BL1042" s="1684"/>
      <c r="BM1042" s="1684"/>
      <c r="BN1042" s="1684"/>
      <c r="BO1042" s="1684"/>
      <c r="BP1042" s="1684"/>
      <c r="BQ1042" s="1684"/>
      <c r="BR1042" s="1684"/>
      <c r="BS1042" s="1684"/>
      <c r="BT1042" s="1684"/>
      <c r="BU1042" s="1684"/>
      <c r="BV1042" s="1684"/>
      <c r="BW1042" s="1684"/>
      <c r="BX1042" s="1684"/>
      <c r="BY1042" s="1684"/>
      <c r="BZ1042" s="1684"/>
      <c r="CA1042" s="1684"/>
      <c r="CB1042" s="1684"/>
      <c r="CC1042" s="1684"/>
      <c r="CD1042" s="1684"/>
      <c r="CE1042" s="1684"/>
      <c r="CF1042" s="1684"/>
      <c r="CG1042" s="1684"/>
      <c r="CH1042" s="1684"/>
      <c r="CI1042" s="1684"/>
      <c r="CJ1042" s="1684"/>
      <c r="CK1042" s="1684"/>
      <c r="CL1042" s="1684"/>
      <c r="CM1042" s="1684"/>
      <c r="CN1042" s="1684"/>
      <c r="CO1042" s="1684"/>
    </row>
    <row r="1043" spans="1:93" s="1391" customFormat="1" ht="15" x14ac:dyDescent="0.2">
      <c r="A1043" s="1684"/>
      <c r="B1043" s="1684"/>
      <c r="C1043" s="4683" t="s">
        <v>5329</v>
      </c>
      <c r="D1043" s="4684"/>
      <c r="E1043" s="4684"/>
      <c r="F1043" s="4684"/>
      <c r="G1043" s="4684"/>
      <c r="H1043" s="4684"/>
      <c r="I1043" s="4684"/>
      <c r="J1043" s="4684"/>
      <c r="K1043" s="4684"/>
      <c r="L1043" s="4684"/>
      <c r="M1043" s="4684"/>
      <c r="N1043" s="4684"/>
      <c r="O1043" s="4684"/>
      <c r="P1043" s="4684"/>
      <c r="Q1043" s="4685"/>
      <c r="R1043"/>
      <c r="S1043" s="1684"/>
      <c r="T1043" s="1684"/>
      <c r="U1043" s="1684"/>
      <c r="V1043" s="1684"/>
      <c r="W1043" s="1684"/>
      <c r="X1043" s="1684"/>
      <c r="Y1043" s="1684"/>
      <c r="Z1043" s="1684"/>
      <c r="AA1043" s="1684"/>
      <c r="AB1043" s="1684"/>
      <c r="AC1043" s="1684"/>
      <c r="AD1043" s="1684"/>
      <c r="AE1043" s="1684"/>
      <c r="AF1043" s="1684"/>
      <c r="AG1043" s="1684"/>
      <c r="AH1043" s="1684"/>
      <c r="AI1043" s="1684"/>
      <c r="AJ1043" s="1684"/>
      <c r="AK1043" s="1684"/>
      <c r="AL1043" s="1684"/>
      <c r="AM1043" s="1684"/>
      <c r="AN1043" s="1684"/>
      <c r="AO1043" s="1684"/>
      <c r="AP1043" s="1684"/>
      <c r="AQ1043" s="1684"/>
      <c r="AR1043" s="1684"/>
      <c r="AS1043" s="1684"/>
      <c r="AT1043" s="1684"/>
      <c r="AU1043" s="1684"/>
      <c r="AV1043" s="1684"/>
      <c r="AW1043" s="1684"/>
      <c r="AX1043" s="1684"/>
      <c r="AY1043" s="1684"/>
      <c r="AZ1043" s="1684"/>
      <c r="BA1043" s="1684"/>
      <c r="BB1043" s="1684"/>
      <c r="BC1043" s="1684"/>
      <c r="BD1043" s="1684"/>
      <c r="BE1043" s="1684"/>
      <c r="BF1043" s="1684"/>
      <c r="BG1043" s="1684"/>
      <c r="BH1043" s="1684"/>
      <c r="BI1043" s="1684"/>
      <c r="BJ1043" s="1684"/>
      <c r="BK1043" s="1684"/>
      <c r="BL1043" s="1684"/>
      <c r="BM1043" s="1684"/>
      <c r="BN1043" s="1684"/>
      <c r="BO1043" s="1684"/>
      <c r="BP1043" s="1684"/>
      <c r="BQ1043" s="1684"/>
      <c r="BR1043" s="1684"/>
      <c r="BS1043" s="1684"/>
      <c r="BT1043" s="1684"/>
      <c r="BU1043" s="1684"/>
      <c r="BV1043" s="1684"/>
      <c r="BW1043" s="1684"/>
      <c r="BX1043" s="1684"/>
      <c r="BY1043" s="1684"/>
      <c r="BZ1043" s="1684"/>
      <c r="CA1043" s="1684"/>
      <c r="CB1043" s="1684"/>
      <c r="CC1043" s="1684"/>
      <c r="CD1043" s="1684"/>
      <c r="CE1043" s="1684"/>
      <c r="CF1043" s="1684"/>
      <c r="CG1043" s="1684"/>
      <c r="CH1043" s="1684"/>
      <c r="CI1043" s="1684"/>
      <c r="CJ1043" s="1684"/>
      <c r="CK1043" s="1684"/>
      <c r="CL1043" s="1684"/>
      <c r="CM1043" s="1684"/>
      <c r="CN1043" s="1684"/>
      <c r="CO1043" s="1684"/>
    </row>
    <row r="1044" spans="1:93" s="1391" customFormat="1" ht="15" x14ac:dyDescent="0.2">
      <c r="A1044" s="1684"/>
      <c r="B1044" s="1684"/>
      <c r="C1044" s="4686"/>
      <c r="D1044" s="4385"/>
      <c r="E1044" s="4385"/>
      <c r="F1044" s="4385"/>
      <c r="G1044" s="4385"/>
      <c r="H1044" s="4385"/>
      <c r="I1044" s="4385"/>
      <c r="J1044" s="4385"/>
      <c r="K1044" s="4385"/>
      <c r="L1044" s="4385"/>
      <c r="M1044" s="4385"/>
      <c r="N1044" s="4385"/>
      <c r="O1044" s="4385"/>
      <c r="P1044" s="4385"/>
      <c r="Q1044" s="4687"/>
      <c r="R1044"/>
      <c r="S1044" s="1684"/>
      <c r="T1044" s="1684"/>
      <c r="U1044" s="1684"/>
      <c r="V1044" s="1684"/>
      <c r="W1044" s="1684"/>
      <c r="X1044" s="1684"/>
      <c r="Y1044" s="1684"/>
      <c r="Z1044" s="1684"/>
      <c r="AA1044" s="1684"/>
      <c r="AB1044" s="1684"/>
      <c r="AC1044" s="1684"/>
      <c r="AD1044" s="1684"/>
      <c r="AE1044" s="1684"/>
      <c r="AF1044" s="1684"/>
      <c r="AG1044" s="1684"/>
      <c r="AH1044" s="1684"/>
      <c r="AI1044" s="1684"/>
      <c r="AJ1044" s="1684"/>
      <c r="AK1044" s="1684"/>
      <c r="AL1044" s="1684"/>
      <c r="AM1044" s="1684"/>
      <c r="AN1044" s="1684"/>
      <c r="AO1044" s="1684"/>
      <c r="AP1044" s="1684"/>
      <c r="AQ1044" s="1684"/>
      <c r="AR1044" s="1684"/>
      <c r="AS1044" s="1684"/>
      <c r="AT1044" s="1684"/>
      <c r="AU1044" s="1684"/>
      <c r="AV1044" s="1684"/>
      <c r="AW1044" s="1684"/>
      <c r="AX1044" s="1684"/>
      <c r="AY1044" s="1684"/>
      <c r="AZ1044" s="1684"/>
      <c r="BA1044" s="1684"/>
      <c r="BB1044" s="1684"/>
      <c r="BC1044" s="1684"/>
      <c r="BD1044" s="1684"/>
      <c r="BE1044" s="1684"/>
      <c r="BF1044" s="1684"/>
      <c r="BG1044" s="1684"/>
      <c r="BH1044" s="1684"/>
      <c r="BI1044" s="1684"/>
      <c r="BJ1044" s="1684"/>
      <c r="BK1044" s="1684"/>
      <c r="BL1044" s="1684"/>
      <c r="BM1044" s="1684"/>
      <c r="BN1044" s="1684"/>
      <c r="BO1044" s="1684"/>
      <c r="BP1044" s="1684"/>
      <c r="BQ1044" s="1684"/>
      <c r="BR1044" s="1684"/>
      <c r="BS1044" s="1684"/>
      <c r="BT1044" s="1684"/>
      <c r="BU1044" s="1684"/>
      <c r="BV1044" s="1684"/>
      <c r="BW1044" s="1684"/>
      <c r="BX1044" s="1684"/>
      <c r="BY1044" s="1684"/>
      <c r="BZ1044" s="1684"/>
      <c r="CA1044" s="1684"/>
      <c r="CB1044" s="1684"/>
      <c r="CC1044" s="1684"/>
      <c r="CD1044" s="1684"/>
      <c r="CE1044" s="1684"/>
      <c r="CF1044" s="1684"/>
      <c r="CG1044" s="1684"/>
      <c r="CH1044" s="1684"/>
      <c r="CI1044" s="1684"/>
      <c r="CJ1044" s="1684"/>
      <c r="CK1044" s="1684"/>
      <c r="CL1044" s="1684"/>
      <c r="CM1044" s="1684"/>
      <c r="CN1044" s="1684"/>
      <c r="CO1044" s="1684"/>
    </row>
    <row r="1045" spans="1:93" s="1391" customFormat="1" ht="15.75" thickBot="1" x14ac:dyDescent="0.25">
      <c r="A1045" s="1684"/>
      <c r="B1045" s="1684"/>
      <c r="C1045" s="4688"/>
      <c r="D1045" s="4689"/>
      <c r="E1045" s="4689"/>
      <c r="F1045" s="4689"/>
      <c r="G1045" s="4689"/>
      <c r="H1045" s="4689"/>
      <c r="I1045" s="4689"/>
      <c r="J1045" s="4689"/>
      <c r="K1045" s="4689"/>
      <c r="L1045" s="4689"/>
      <c r="M1045" s="4689"/>
      <c r="N1045" s="4689"/>
      <c r="O1045" s="4689"/>
      <c r="P1045" s="4689"/>
      <c r="Q1045" s="4690"/>
      <c r="R1045"/>
      <c r="S1045" s="1684"/>
      <c r="T1045" s="1684"/>
      <c r="U1045" s="1684"/>
      <c r="V1045" s="1684"/>
      <c r="W1045" s="1684"/>
      <c r="X1045" s="1684"/>
      <c r="Y1045" s="1684"/>
      <c r="Z1045" s="1684"/>
      <c r="AA1045" s="1684"/>
      <c r="AB1045" s="1684"/>
      <c r="AC1045" s="1684"/>
      <c r="AD1045" s="1684"/>
      <c r="AE1045" s="1684"/>
      <c r="AF1045" s="1684"/>
      <c r="AG1045" s="1684"/>
      <c r="AH1045" s="1684"/>
      <c r="AI1045" s="1684"/>
      <c r="AJ1045" s="1684"/>
      <c r="AK1045" s="1684"/>
      <c r="AL1045" s="1684"/>
      <c r="AM1045" s="1684"/>
      <c r="AN1045" s="1684"/>
      <c r="AO1045" s="1684"/>
      <c r="AP1045" s="1684"/>
      <c r="AQ1045" s="1684"/>
      <c r="AR1045" s="1684"/>
      <c r="AS1045" s="1684"/>
      <c r="AT1045" s="1684"/>
      <c r="AU1045" s="1684"/>
      <c r="AV1045" s="1684"/>
      <c r="AW1045" s="1684"/>
      <c r="AX1045" s="1684"/>
      <c r="AY1045" s="1684"/>
      <c r="AZ1045" s="1684"/>
      <c r="BA1045" s="1684"/>
      <c r="BB1045" s="1684"/>
      <c r="BC1045" s="1684"/>
      <c r="BD1045" s="1684"/>
      <c r="BE1045" s="1684"/>
      <c r="BF1045" s="1684"/>
      <c r="BG1045" s="1684"/>
      <c r="BH1045" s="1684"/>
      <c r="BI1045" s="1684"/>
      <c r="BJ1045" s="1684"/>
      <c r="BK1045" s="1684"/>
      <c r="BL1045" s="1684"/>
      <c r="BM1045" s="1684"/>
      <c r="BN1045" s="1684"/>
      <c r="BO1045" s="1684"/>
      <c r="BP1045" s="1684"/>
      <c r="BQ1045" s="1684"/>
      <c r="BR1045" s="1684"/>
      <c r="BS1045" s="1684"/>
      <c r="BT1045" s="1684"/>
      <c r="BU1045" s="1684"/>
      <c r="BV1045" s="1684"/>
      <c r="BW1045" s="1684"/>
      <c r="BX1045" s="1684"/>
      <c r="BY1045" s="1684"/>
      <c r="BZ1045" s="1684"/>
      <c r="CA1045" s="1684"/>
      <c r="CB1045" s="1684"/>
      <c r="CC1045" s="1684"/>
      <c r="CD1045" s="1684"/>
      <c r="CE1045" s="1684"/>
      <c r="CF1045" s="1684"/>
      <c r="CG1045" s="1684"/>
      <c r="CH1045" s="1684"/>
      <c r="CI1045" s="1684"/>
      <c r="CJ1045" s="1684"/>
      <c r="CK1045" s="1684"/>
      <c r="CL1045" s="1684"/>
      <c r="CM1045" s="1684"/>
      <c r="CN1045" s="1684"/>
      <c r="CO1045" s="1684"/>
    </row>
    <row r="1046" spans="1:93" s="1391" customFormat="1" ht="15" x14ac:dyDescent="0.2">
      <c r="A1046" s="1684"/>
      <c r="B1046" s="1684"/>
      <c r="C1046" s="2012"/>
      <c r="D1046" s="7"/>
      <c r="E1046" s="7"/>
      <c r="F1046" s="7"/>
      <c r="G1046" s="7"/>
      <c r="H1046" s="7"/>
      <c r="I1046" s="7"/>
      <c r="J1046" s="7"/>
      <c r="K1046" s="7"/>
      <c r="L1046" s="7"/>
      <c r="M1046" s="7"/>
      <c r="N1046" s="7"/>
      <c r="O1046" s="7"/>
      <c r="P1046" s="7"/>
      <c r="Q1046" s="251"/>
      <c r="R1046"/>
      <c r="S1046" s="1684"/>
      <c r="T1046" s="1684"/>
      <c r="U1046" s="1684"/>
      <c r="V1046" s="1684"/>
      <c r="W1046" s="1684"/>
      <c r="X1046" s="1684"/>
      <c r="Y1046" s="1684"/>
      <c r="Z1046" s="1684"/>
      <c r="AA1046" s="1684"/>
      <c r="AB1046" s="1684"/>
      <c r="AC1046" s="1684"/>
      <c r="AD1046" s="1684"/>
      <c r="AE1046" s="1684"/>
      <c r="AF1046" s="1684"/>
      <c r="AG1046" s="1684"/>
      <c r="AH1046" s="1684"/>
      <c r="AI1046" s="1684"/>
      <c r="AJ1046" s="1684"/>
      <c r="AK1046" s="1684"/>
      <c r="AL1046" s="1684"/>
      <c r="AM1046" s="1684"/>
      <c r="AN1046" s="1684"/>
      <c r="AO1046" s="1684"/>
      <c r="AP1046" s="1684"/>
      <c r="AQ1046" s="1684"/>
      <c r="AR1046" s="1684"/>
      <c r="AS1046" s="1684"/>
      <c r="AT1046" s="1684"/>
      <c r="AU1046" s="1684"/>
      <c r="AV1046" s="1684"/>
      <c r="AW1046" s="1684"/>
      <c r="AX1046" s="1684"/>
      <c r="AY1046" s="1684"/>
      <c r="AZ1046" s="1684"/>
      <c r="BA1046" s="1684"/>
      <c r="BB1046" s="1684"/>
      <c r="BC1046" s="1684"/>
      <c r="BD1046" s="1684"/>
      <c r="BE1046" s="1684"/>
      <c r="BF1046" s="1684"/>
      <c r="BG1046" s="1684"/>
      <c r="BH1046" s="1684"/>
      <c r="BI1046" s="1684"/>
      <c r="BJ1046" s="1684"/>
      <c r="BK1046" s="1684"/>
      <c r="BL1046" s="1684"/>
      <c r="BM1046" s="1684"/>
      <c r="BN1046" s="1684"/>
      <c r="BO1046" s="1684"/>
      <c r="BP1046" s="1684"/>
      <c r="BQ1046" s="1684"/>
      <c r="BR1046" s="1684"/>
      <c r="BS1046" s="1684"/>
      <c r="BT1046" s="1684"/>
      <c r="BU1046" s="1684"/>
      <c r="BV1046" s="1684"/>
      <c r="BW1046" s="1684"/>
      <c r="BX1046" s="1684"/>
      <c r="BY1046" s="1684"/>
      <c r="BZ1046" s="1684"/>
      <c r="CA1046" s="1684"/>
      <c r="CB1046" s="1684"/>
      <c r="CC1046" s="1684"/>
      <c r="CD1046" s="1684"/>
      <c r="CE1046" s="1684"/>
      <c r="CF1046" s="1684"/>
      <c r="CG1046" s="1684"/>
      <c r="CH1046" s="1684"/>
      <c r="CI1046" s="1684"/>
      <c r="CJ1046" s="1684"/>
      <c r="CK1046" s="1684"/>
      <c r="CL1046" s="1684"/>
      <c r="CM1046" s="1684"/>
      <c r="CN1046" s="1684"/>
      <c r="CO1046" s="1684"/>
    </row>
    <row r="1047" spans="1:93" s="1391" customFormat="1" ht="15" x14ac:dyDescent="0.2">
      <c r="A1047" s="1684"/>
      <c r="B1047" s="1684"/>
      <c r="C1047" s="4691" t="s">
        <v>1964</v>
      </c>
      <c r="D1047" s="4692" t="s">
        <v>1965</v>
      </c>
      <c r="E1047" s="4693" t="s">
        <v>5602</v>
      </c>
      <c r="F1047" s="4693"/>
      <c r="G1047" s="4693"/>
      <c r="H1047" s="4693"/>
      <c r="I1047" s="4693"/>
      <c r="J1047" s="4693"/>
      <c r="K1047" s="4693"/>
      <c r="L1047" s="4693"/>
      <c r="M1047" s="4693"/>
      <c r="N1047" s="4693"/>
      <c r="O1047" s="4693"/>
      <c r="P1047" s="4693"/>
      <c r="Q1047" s="4682" t="s">
        <v>2490</v>
      </c>
      <c r="R1047"/>
      <c r="S1047" s="1684"/>
      <c r="T1047" s="1684"/>
      <c r="U1047" s="1684"/>
      <c r="V1047" s="1684"/>
      <c r="W1047" s="1684"/>
      <c r="X1047" s="1684"/>
      <c r="Y1047" s="1684"/>
      <c r="Z1047" s="1684"/>
      <c r="AA1047" s="1684"/>
      <c r="AB1047" s="1684"/>
      <c r="AC1047" s="1684"/>
      <c r="AD1047" s="1684"/>
      <c r="AE1047" s="1684"/>
      <c r="AF1047" s="1684"/>
      <c r="AG1047" s="1684"/>
      <c r="AH1047" s="1684"/>
      <c r="AI1047" s="1684"/>
      <c r="AJ1047" s="1684"/>
      <c r="AK1047" s="1684"/>
      <c r="AL1047" s="1684"/>
      <c r="AM1047" s="1684"/>
      <c r="AN1047" s="1684"/>
      <c r="AO1047" s="1684"/>
      <c r="AP1047" s="1684"/>
      <c r="AQ1047" s="1684"/>
      <c r="AR1047" s="1684"/>
      <c r="AS1047" s="1684"/>
      <c r="AT1047" s="1684"/>
      <c r="AU1047" s="1684"/>
      <c r="AV1047" s="1684"/>
      <c r="AW1047" s="1684"/>
      <c r="AX1047" s="1684"/>
      <c r="AY1047" s="1684"/>
      <c r="AZ1047" s="1684"/>
      <c r="BA1047" s="1684"/>
      <c r="BB1047" s="1684"/>
      <c r="BC1047" s="1684"/>
      <c r="BD1047" s="1684"/>
      <c r="BE1047" s="1684"/>
      <c r="BF1047" s="1684"/>
      <c r="BG1047" s="1684"/>
      <c r="BH1047" s="1684"/>
      <c r="BI1047" s="1684"/>
      <c r="BJ1047" s="1684"/>
      <c r="BK1047" s="1684"/>
      <c r="BL1047" s="1684"/>
      <c r="BM1047" s="1684"/>
      <c r="BN1047" s="1684"/>
      <c r="BO1047" s="1684"/>
      <c r="BP1047" s="1684"/>
      <c r="BQ1047" s="1684"/>
      <c r="BR1047" s="1684"/>
      <c r="BS1047" s="1684"/>
      <c r="BT1047" s="1684"/>
      <c r="BU1047" s="1684"/>
      <c r="BV1047" s="1684"/>
      <c r="BW1047" s="1684"/>
      <c r="BX1047" s="1684"/>
      <c r="BY1047" s="1684"/>
      <c r="BZ1047" s="1684"/>
      <c r="CA1047" s="1684"/>
      <c r="CB1047" s="1684"/>
      <c r="CC1047" s="1684"/>
      <c r="CD1047" s="1684"/>
      <c r="CE1047" s="1684"/>
      <c r="CF1047" s="1684"/>
      <c r="CG1047" s="1684"/>
      <c r="CH1047" s="1684"/>
      <c r="CI1047" s="1684"/>
      <c r="CJ1047" s="1684"/>
      <c r="CK1047" s="1684"/>
      <c r="CL1047" s="1684"/>
      <c r="CM1047" s="1684"/>
      <c r="CN1047" s="1684"/>
      <c r="CO1047" s="1684"/>
    </row>
    <row r="1048" spans="1:93" s="1391" customFormat="1" ht="31.5" x14ac:dyDescent="0.2">
      <c r="A1048" s="1684"/>
      <c r="B1048" s="1684"/>
      <c r="C1048" s="4691"/>
      <c r="D1048" s="4692"/>
      <c r="E1048" s="2017" t="s">
        <v>1966</v>
      </c>
      <c r="F1048" s="2017" t="s">
        <v>3014</v>
      </c>
      <c r="G1048" s="2017" t="s">
        <v>1967</v>
      </c>
      <c r="H1048" s="2017" t="s">
        <v>1968</v>
      </c>
      <c r="I1048" s="2017" t="s">
        <v>1969</v>
      </c>
      <c r="J1048" s="2017" t="s">
        <v>1970</v>
      </c>
      <c r="K1048" s="2017" t="s">
        <v>1971</v>
      </c>
      <c r="L1048" s="2017" t="s">
        <v>1972</v>
      </c>
      <c r="M1048" s="2017" t="s">
        <v>1973</v>
      </c>
      <c r="N1048" s="2017" t="s">
        <v>1974</v>
      </c>
      <c r="O1048" s="2017" t="s">
        <v>1975</v>
      </c>
      <c r="P1048" s="2017" t="s">
        <v>3020</v>
      </c>
      <c r="Q1048" s="4682"/>
      <c r="R1048"/>
      <c r="S1048" s="1684"/>
      <c r="T1048" s="1684"/>
      <c r="U1048" s="1684"/>
      <c r="V1048" s="1684"/>
      <c r="W1048" s="1684"/>
      <c r="X1048" s="1684"/>
      <c r="Y1048" s="1684"/>
      <c r="Z1048" s="1684"/>
      <c r="AA1048" s="1684"/>
      <c r="AB1048" s="1684"/>
      <c r="AC1048" s="1684"/>
      <c r="AD1048" s="1684"/>
      <c r="AE1048" s="1684"/>
      <c r="AF1048" s="1684"/>
      <c r="AG1048" s="1684"/>
      <c r="AH1048" s="1684"/>
      <c r="AI1048" s="1684"/>
      <c r="AJ1048" s="1684"/>
      <c r="AK1048" s="1684"/>
      <c r="AL1048" s="1684"/>
      <c r="AM1048" s="1684"/>
      <c r="AN1048" s="1684"/>
      <c r="AO1048" s="1684"/>
      <c r="AP1048" s="1684"/>
      <c r="AQ1048" s="1684"/>
      <c r="AR1048" s="1684"/>
      <c r="AS1048" s="1684"/>
      <c r="AT1048" s="1684"/>
      <c r="AU1048" s="1684"/>
      <c r="AV1048" s="1684"/>
      <c r="AW1048" s="1684"/>
      <c r="AX1048" s="1684"/>
      <c r="AY1048" s="1684"/>
      <c r="AZ1048" s="1684"/>
      <c r="BA1048" s="1684"/>
      <c r="BB1048" s="1684"/>
      <c r="BC1048" s="1684"/>
      <c r="BD1048" s="1684"/>
      <c r="BE1048" s="1684"/>
      <c r="BF1048" s="1684"/>
      <c r="BG1048" s="1684"/>
      <c r="BH1048" s="1684"/>
      <c r="BI1048" s="1684"/>
      <c r="BJ1048" s="1684"/>
      <c r="BK1048" s="1684"/>
      <c r="BL1048" s="1684"/>
      <c r="BM1048" s="1684"/>
      <c r="BN1048" s="1684"/>
      <c r="BO1048" s="1684"/>
      <c r="BP1048" s="1684"/>
      <c r="BQ1048" s="1684"/>
      <c r="BR1048" s="1684"/>
      <c r="BS1048" s="1684"/>
      <c r="BT1048" s="1684"/>
      <c r="BU1048" s="1684"/>
      <c r="BV1048" s="1684"/>
      <c r="BW1048" s="1684"/>
      <c r="BX1048" s="1684"/>
      <c r="BY1048" s="1684"/>
      <c r="BZ1048" s="1684"/>
      <c r="CA1048" s="1684"/>
      <c r="CB1048" s="1684"/>
      <c r="CC1048" s="1684"/>
      <c r="CD1048" s="1684"/>
      <c r="CE1048" s="1684"/>
      <c r="CF1048" s="1684"/>
      <c r="CG1048" s="1684"/>
      <c r="CH1048" s="1684"/>
      <c r="CI1048" s="1684"/>
      <c r="CJ1048" s="1684"/>
      <c r="CK1048" s="1684"/>
      <c r="CL1048" s="1684"/>
      <c r="CM1048" s="1684"/>
      <c r="CN1048" s="1684"/>
      <c r="CO1048" s="1684"/>
    </row>
    <row r="1049" spans="1:93" s="1391" customFormat="1" ht="15" x14ac:dyDescent="0.2">
      <c r="A1049" s="1684"/>
      <c r="B1049" s="1684"/>
      <c r="C1049" s="4691"/>
      <c r="D1049" s="4692"/>
      <c r="E1049" s="4693" t="s">
        <v>1781</v>
      </c>
      <c r="F1049" s="4693"/>
      <c r="G1049" s="4693"/>
      <c r="H1049" s="4693"/>
      <c r="I1049" s="4693"/>
      <c r="J1049" s="4693"/>
      <c r="K1049" s="4693"/>
      <c r="L1049" s="4693"/>
      <c r="M1049" s="4693"/>
      <c r="N1049" s="4693"/>
      <c r="O1049" s="4693"/>
      <c r="P1049" s="4693"/>
      <c r="Q1049" s="4682"/>
      <c r="R1049"/>
      <c r="S1049" s="1684"/>
      <c r="T1049" s="1684"/>
      <c r="U1049" s="1684"/>
      <c r="V1049" s="1684"/>
      <c r="W1049" s="1684"/>
      <c r="X1049" s="1684"/>
      <c r="Y1049" s="1684"/>
      <c r="Z1049" s="1684"/>
      <c r="AA1049" s="1684"/>
      <c r="AB1049" s="1684"/>
      <c r="AC1049" s="1684"/>
      <c r="AD1049" s="1684"/>
      <c r="AE1049" s="1684"/>
      <c r="AF1049" s="1684"/>
      <c r="AG1049" s="1684"/>
      <c r="AH1049" s="1684"/>
      <c r="AI1049" s="1684"/>
      <c r="AJ1049" s="1684"/>
      <c r="AK1049" s="1684"/>
      <c r="AL1049" s="1684"/>
      <c r="AM1049" s="1684"/>
      <c r="AN1049" s="1684"/>
      <c r="AO1049" s="1684"/>
      <c r="AP1049" s="1684"/>
      <c r="AQ1049" s="1684"/>
      <c r="AR1049" s="1684"/>
      <c r="AS1049" s="1684"/>
      <c r="AT1049" s="1684"/>
      <c r="AU1049" s="1684"/>
      <c r="AV1049" s="1684"/>
      <c r="AW1049" s="1684"/>
      <c r="AX1049" s="1684"/>
      <c r="AY1049" s="1684"/>
      <c r="AZ1049" s="1684"/>
      <c r="BA1049" s="1684"/>
      <c r="BB1049" s="1684"/>
      <c r="BC1049" s="1684"/>
      <c r="BD1049" s="1684"/>
      <c r="BE1049" s="1684"/>
      <c r="BF1049" s="1684"/>
      <c r="BG1049" s="1684"/>
      <c r="BH1049" s="1684"/>
      <c r="BI1049" s="1684"/>
      <c r="BJ1049" s="1684"/>
      <c r="BK1049" s="1684"/>
      <c r="BL1049" s="1684"/>
      <c r="BM1049" s="1684"/>
      <c r="BN1049" s="1684"/>
      <c r="BO1049" s="1684"/>
      <c r="BP1049" s="1684"/>
      <c r="BQ1049" s="1684"/>
      <c r="BR1049" s="1684"/>
      <c r="BS1049" s="1684"/>
      <c r="BT1049" s="1684"/>
      <c r="BU1049" s="1684"/>
      <c r="BV1049" s="1684"/>
      <c r="BW1049" s="1684"/>
      <c r="BX1049" s="1684"/>
      <c r="BY1049" s="1684"/>
      <c r="BZ1049" s="1684"/>
      <c r="CA1049" s="1684"/>
      <c r="CB1049" s="1684"/>
      <c r="CC1049" s="1684"/>
      <c r="CD1049" s="1684"/>
      <c r="CE1049" s="1684"/>
      <c r="CF1049" s="1684"/>
      <c r="CG1049" s="1684"/>
      <c r="CH1049" s="1684"/>
      <c r="CI1049" s="1684"/>
      <c r="CJ1049" s="1684"/>
      <c r="CK1049" s="1684"/>
      <c r="CL1049" s="1684"/>
      <c r="CM1049" s="1684"/>
      <c r="CN1049" s="1684"/>
      <c r="CO1049" s="1684"/>
    </row>
    <row r="1050" spans="1:93" s="1391" customFormat="1" ht="15" x14ac:dyDescent="0.2">
      <c r="A1050" s="1684"/>
      <c r="B1050" s="1684"/>
      <c r="C1050" s="4680" t="s">
        <v>3689</v>
      </c>
      <c r="D1050" s="4681"/>
      <c r="E1050" s="4681"/>
      <c r="F1050" s="4681"/>
      <c r="G1050" s="4681"/>
      <c r="H1050" s="4681"/>
      <c r="I1050" s="4681"/>
      <c r="J1050" s="4681"/>
      <c r="K1050" s="4681"/>
      <c r="L1050" s="4681"/>
      <c r="M1050" s="4681"/>
      <c r="N1050" s="4681"/>
      <c r="O1050" s="4681"/>
      <c r="P1050" s="4681"/>
      <c r="Q1050" s="4682"/>
      <c r="R1050"/>
      <c r="S1050" s="1684"/>
      <c r="T1050" s="1684"/>
      <c r="U1050" s="1684"/>
      <c r="V1050" s="1684"/>
      <c r="W1050" s="1684"/>
      <c r="X1050" s="1684"/>
      <c r="Y1050" s="1684"/>
      <c r="Z1050" s="1684"/>
      <c r="AA1050" s="1684"/>
      <c r="AB1050" s="1684"/>
      <c r="AC1050" s="1684"/>
      <c r="AD1050" s="1684"/>
      <c r="AE1050" s="1684"/>
      <c r="AF1050" s="1684"/>
      <c r="AG1050" s="1684"/>
      <c r="AH1050" s="1684"/>
      <c r="AI1050" s="1684"/>
      <c r="AJ1050" s="1684"/>
      <c r="AK1050" s="1684"/>
      <c r="AL1050" s="1684"/>
      <c r="AM1050" s="1684"/>
      <c r="AN1050" s="1684"/>
      <c r="AO1050" s="1684"/>
      <c r="AP1050" s="1684"/>
      <c r="AQ1050" s="1684"/>
      <c r="AR1050" s="1684"/>
      <c r="AS1050" s="1684"/>
      <c r="AT1050" s="1684"/>
      <c r="AU1050" s="1684"/>
      <c r="AV1050" s="1684"/>
      <c r="AW1050" s="1684"/>
      <c r="AX1050" s="1684"/>
      <c r="AY1050" s="1684"/>
      <c r="AZ1050" s="1684"/>
      <c r="BA1050" s="1684"/>
      <c r="BB1050" s="1684"/>
      <c r="BC1050" s="1684"/>
      <c r="BD1050" s="1684"/>
      <c r="BE1050" s="1684"/>
      <c r="BF1050" s="1684"/>
      <c r="BG1050" s="1684"/>
      <c r="BH1050" s="1684"/>
      <c r="BI1050" s="1684"/>
      <c r="BJ1050" s="1684"/>
      <c r="BK1050" s="1684"/>
      <c r="BL1050" s="1684"/>
      <c r="BM1050" s="1684"/>
      <c r="BN1050" s="1684"/>
      <c r="BO1050" s="1684"/>
      <c r="BP1050" s="1684"/>
      <c r="BQ1050" s="1684"/>
      <c r="BR1050" s="1684"/>
      <c r="BS1050" s="1684"/>
      <c r="BT1050" s="1684"/>
      <c r="BU1050" s="1684"/>
      <c r="BV1050" s="1684"/>
      <c r="BW1050" s="1684"/>
      <c r="BX1050" s="1684"/>
      <c r="BY1050" s="1684"/>
      <c r="BZ1050" s="1684"/>
      <c r="CA1050" s="1684"/>
      <c r="CB1050" s="1684"/>
      <c r="CC1050" s="1684"/>
      <c r="CD1050" s="1684"/>
      <c r="CE1050" s="1684"/>
      <c r="CF1050" s="1684"/>
      <c r="CG1050" s="1684"/>
      <c r="CH1050" s="1684"/>
      <c r="CI1050" s="1684"/>
      <c r="CJ1050" s="1684"/>
      <c r="CK1050" s="1684"/>
      <c r="CL1050" s="1684"/>
      <c r="CM1050" s="1684"/>
      <c r="CN1050" s="1684"/>
      <c r="CO1050" s="1684"/>
    </row>
    <row r="1051" spans="1:93" s="1391" customFormat="1" ht="15" x14ac:dyDescent="0.2">
      <c r="A1051" s="1684"/>
      <c r="B1051" s="1684"/>
      <c r="C1051" s="4680"/>
      <c r="D1051" s="4681"/>
      <c r="E1051" s="4681"/>
      <c r="F1051" s="4681"/>
      <c r="G1051" s="4681"/>
      <c r="H1051" s="4681"/>
      <c r="I1051" s="4681"/>
      <c r="J1051" s="4681"/>
      <c r="K1051" s="4681"/>
      <c r="L1051" s="4681"/>
      <c r="M1051" s="4681"/>
      <c r="N1051" s="4681"/>
      <c r="O1051" s="4681"/>
      <c r="P1051" s="4681"/>
      <c r="Q1051" s="4682"/>
      <c r="R1051"/>
      <c r="S1051" s="1684"/>
      <c r="T1051" s="1684"/>
      <c r="U1051" s="1684"/>
      <c r="V1051" s="1684"/>
      <c r="W1051" s="1684"/>
      <c r="X1051" s="1684"/>
      <c r="Y1051" s="1684"/>
      <c r="Z1051" s="1684"/>
      <c r="AA1051" s="1684"/>
      <c r="AB1051" s="1684"/>
      <c r="AC1051" s="1684"/>
      <c r="AD1051" s="1684"/>
      <c r="AE1051" s="1684"/>
      <c r="AF1051" s="1684"/>
      <c r="AG1051" s="1684"/>
      <c r="AH1051" s="1684"/>
      <c r="AI1051" s="1684"/>
      <c r="AJ1051" s="1684"/>
      <c r="AK1051" s="1684"/>
      <c r="AL1051" s="1684"/>
      <c r="AM1051" s="1684"/>
      <c r="AN1051" s="1684"/>
      <c r="AO1051" s="1684"/>
      <c r="AP1051" s="1684"/>
      <c r="AQ1051" s="1684"/>
      <c r="AR1051" s="1684"/>
      <c r="AS1051" s="1684"/>
      <c r="AT1051" s="1684"/>
      <c r="AU1051" s="1684"/>
      <c r="AV1051" s="1684"/>
      <c r="AW1051" s="1684"/>
      <c r="AX1051" s="1684"/>
      <c r="AY1051" s="1684"/>
      <c r="AZ1051" s="1684"/>
      <c r="BA1051" s="1684"/>
      <c r="BB1051" s="1684"/>
      <c r="BC1051" s="1684"/>
      <c r="BD1051" s="1684"/>
      <c r="BE1051" s="1684"/>
      <c r="BF1051" s="1684"/>
      <c r="BG1051" s="1684"/>
      <c r="BH1051" s="1684"/>
      <c r="BI1051" s="1684"/>
      <c r="BJ1051" s="1684"/>
      <c r="BK1051" s="1684"/>
      <c r="BL1051" s="1684"/>
      <c r="BM1051" s="1684"/>
      <c r="BN1051" s="1684"/>
      <c r="BO1051" s="1684"/>
      <c r="BP1051" s="1684"/>
      <c r="BQ1051" s="1684"/>
      <c r="BR1051" s="1684"/>
      <c r="BS1051" s="1684"/>
      <c r="BT1051" s="1684"/>
      <c r="BU1051" s="1684"/>
      <c r="BV1051" s="1684"/>
      <c r="BW1051" s="1684"/>
      <c r="BX1051" s="1684"/>
      <c r="BY1051" s="1684"/>
      <c r="BZ1051" s="1684"/>
      <c r="CA1051" s="1684"/>
      <c r="CB1051" s="1684"/>
      <c r="CC1051" s="1684"/>
      <c r="CD1051" s="1684"/>
      <c r="CE1051" s="1684"/>
      <c r="CF1051" s="1684"/>
      <c r="CG1051" s="1684"/>
      <c r="CH1051" s="1684"/>
      <c r="CI1051" s="1684"/>
      <c r="CJ1051" s="1684"/>
      <c r="CK1051" s="1684"/>
      <c r="CL1051" s="1684"/>
      <c r="CM1051" s="1684"/>
      <c r="CN1051" s="1684"/>
      <c r="CO1051" s="1684"/>
    </row>
    <row r="1052" spans="1:93" s="1391" customFormat="1" ht="15" x14ac:dyDescent="0.2">
      <c r="A1052" s="1684"/>
      <c r="B1052" s="1684"/>
      <c r="C1052" s="4680" t="s">
        <v>3690</v>
      </c>
      <c r="D1052" s="4681"/>
      <c r="E1052" s="4681"/>
      <c r="F1052" s="4681"/>
      <c r="G1052" s="4681"/>
      <c r="H1052" s="4681"/>
      <c r="I1052" s="4681"/>
      <c r="J1052" s="4681"/>
      <c r="K1052" s="4681"/>
      <c r="L1052" s="4681"/>
      <c r="M1052" s="4681"/>
      <c r="N1052" s="4681"/>
      <c r="O1052" s="4681"/>
      <c r="P1052" s="4681"/>
      <c r="Q1052" s="4682"/>
      <c r="R1052"/>
      <c r="S1052" s="1684"/>
      <c r="T1052" s="1684"/>
      <c r="U1052" s="1684"/>
      <c r="V1052" s="1684"/>
      <c r="W1052" s="1684"/>
      <c r="X1052" s="1684"/>
      <c r="Y1052" s="1684"/>
      <c r="Z1052" s="1684"/>
      <c r="AA1052" s="1684"/>
      <c r="AB1052" s="1684"/>
      <c r="AC1052" s="1684"/>
      <c r="AD1052" s="1684"/>
      <c r="AE1052" s="1684"/>
      <c r="AF1052" s="1684"/>
      <c r="AG1052" s="1684"/>
      <c r="AH1052" s="1684"/>
      <c r="AI1052" s="1684"/>
      <c r="AJ1052" s="1684"/>
      <c r="AK1052" s="1684"/>
      <c r="AL1052" s="1684"/>
      <c r="AM1052" s="1684"/>
      <c r="AN1052" s="1684"/>
      <c r="AO1052" s="1684"/>
      <c r="AP1052" s="1684"/>
      <c r="AQ1052" s="1684"/>
      <c r="AR1052" s="1684"/>
      <c r="AS1052" s="1684"/>
      <c r="AT1052" s="1684"/>
      <c r="AU1052" s="1684"/>
      <c r="AV1052" s="1684"/>
      <c r="AW1052" s="1684"/>
      <c r="AX1052" s="1684"/>
      <c r="AY1052" s="1684"/>
      <c r="AZ1052" s="1684"/>
      <c r="BA1052" s="1684"/>
      <c r="BB1052" s="1684"/>
      <c r="BC1052" s="1684"/>
      <c r="BD1052" s="1684"/>
      <c r="BE1052" s="1684"/>
      <c r="BF1052" s="1684"/>
      <c r="BG1052" s="1684"/>
      <c r="BH1052" s="1684"/>
      <c r="BI1052" s="1684"/>
      <c r="BJ1052" s="1684"/>
      <c r="BK1052" s="1684"/>
      <c r="BL1052" s="1684"/>
      <c r="BM1052" s="1684"/>
      <c r="BN1052" s="1684"/>
      <c r="BO1052" s="1684"/>
      <c r="BP1052" s="1684"/>
      <c r="BQ1052" s="1684"/>
      <c r="BR1052" s="1684"/>
      <c r="BS1052" s="1684"/>
      <c r="BT1052" s="1684"/>
      <c r="BU1052" s="1684"/>
      <c r="BV1052" s="1684"/>
      <c r="BW1052" s="1684"/>
      <c r="BX1052" s="1684"/>
      <c r="BY1052" s="1684"/>
      <c r="BZ1052" s="1684"/>
      <c r="CA1052" s="1684"/>
      <c r="CB1052" s="1684"/>
      <c r="CC1052" s="1684"/>
      <c r="CD1052" s="1684"/>
      <c r="CE1052" s="1684"/>
      <c r="CF1052" s="1684"/>
      <c r="CG1052" s="1684"/>
      <c r="CH1052" s="1684"/>
      <c r="CI1052" s="1684"/>
      <c r="CJ1052" s="1684"/>
      <c r="CK1052" s="1684"/>
      <c r="CL1052" s="1684"/>
      <c r="CM1052" s="1684"/>
      <c r="CN1052" s="1684"/>
      <c r="CO1052" s="1684"/>
    </row>
    <row r="1053" spans="1:93" s="1391" customFormat="1" ht="15" x14ac:dyDescent="0.2">
      <c r="A1053" s="1684"/>
      <c r="B1053" s="1684"/>
      <c r="C1053" s="4680"/>
      <c r="D1053" s="4681"/>
      <c r="E1053" s="4681"/>
      <c r="F1053" s="4681"/>
      <c r="G1053" s="4681"/>
      <c r="H1053" s="4681"/>
      <c r="I1053" s="4681"/>
      <c r="J1053" s="4681"/>
      <c r="K1053" s="4681"/>
      <c r="L1053" s="4681"/>
      <c r="M1053" s="4681"/>
      <c r="N1053" s="4681"/>
      <c r="O1053" s="4681"/>
      <c r="P1053" s="4681"/>
      <c r="Q1053" s="4682"/>
      <c r="R1053"/>
      <c r="S1053" s="1684"/>
      <c r="T1053" s="1684"/>
      <c r="U1053" s="1684"/>
      <c r="V1053" s="1684"/>
      <c r="W1053" s="1684"/>
      <c r="X1053" s="1684"/>
      <c r="Y1053" s="1684"/>
      <c r="Z1053" s="1684"/>
      <c r="AA1053" s="1684"/>
      <c r="AB1053" s="1684"/>
      <c r="AC1053" s="1684"/>
      <c r="AD1053" s="1684"/>
      <c r="AE1053" s="1684"/>
      <c r="AF1053" s="1684"/>
      <c r="AG1053" s="1684"/>
      <c r="AH1053" s="1684"/>
      <c r="AI1053" s="1684"/>
      <c r="AJ1053" s="1684"/>
      <c r="AK1053" s="1684"/>
      <c r="AL1053" s="1684"/>
      <c r="AM1053" s="1684"/>
      <c r="AN1053" s="1684"/>
      <c r="AO1053" s="1684"/>
      <c r="AP1053" s="1684"/>
      <c r="AQ1053" s="1684"/>
      <c r="AR1053" s="1684"/>
      <c r="AS1053" s="1684"/>
      <c r="AT1053" s="1684"/>
      <c r="AU1053" s="1684"/>
      <c r="AV1053" s="1684"/>
      <c r="AW1053" s="1684"/>
      <c r="AX1053" s="1684"/>
      <c r="AY1053" s="1684"/>
      <c r="AZ1053" s="1684"/>
      <c r="BA1053" s="1684"/>
      <c r="BB1053" s="1684"/>
      <c r="BC1053" s="1684"/>
      <c r="BD1053" s="1684"/>
      <c r="BE1053" s="1684"/>
      <c r="BF1053" s="1684"/>
      <c r="BG1053" s="1684"/>
      <c r="BH1053" s="1684"/>
      <c r="BI1053" s="1684"/>
      <c r="BJ1053" s="1684"/>
      <c r="BK1053" s="1684"/>
      <c r="BL1053" s="1684"/>
      <c r="BM1053" s="1684"/>
      <c r="BN1053" s="1684"/>
      <c r="BO1053" s="1684"/>
      <c r="BP1053" s="1684"/>
      <c r="BQ1053" s="1684"/>
      <c r="BR1053" s="1684"/>
      <c r="BS1053" s="1684"/>
      <c r="BT1053" s="1684"/>
      <c r="BU1053" s="1684"/>
      <c r="BV1053" s="1684"/>
      <c r="BW1053" s="1684"/>
      <c r="BX1053" s="1684"/>
      <c r="BY1053" s="1684"/>
      <c r="BZ1053" s="1684"/>
      <c r="CA1053" s="1684"/>
      <c r="CB1053" s="1684"/>
      <c r="CC1053" s="1684"/>
      <c r="CD1053" s="1684"/>
      <c r="CE1053" s="1684"/>
      <c r="CF1053" s="1684"/>
      <c r="CG1053" s="1684"/>
      <c r="CH1053" s="1684"/>
      <c r="CI1053" s="1684"/>
      <c r="CJ1053" s="1684"/>
      <c r="CK1053" s="1684"/>
      <c r="CL1053" s="1684"/>
      <c r="CM1053" s="1684"/>
      <c r="CN1053" s="1684"/>
      <c r="CO1053" s="1684"/>
    </row>
    <row r="1054" spans="1:93" s="1391" customFormat="1" ht="15" x14ac:dyDescent="0.2">
      <c r="A1054" s="1684"/>
      <c r="B1054" s="1684"/>
      <c r="C1054" s="2014"/>
      <c r="D1054" s="2015"/>
      <c r="E1054" s="2015">
        <v>1</v>
      </c>
      <c r="F1054" s="2015">
        <v>2</v>
      </c>
      <c r="G1054" s="2015">
        <v>3</v>
      </c>
      <c r="H1054" s="2015">
        <v>4</v>
      </c>
      <c r="I1054" s="2015">
        <v>5</v>
      </c>
      <c r="J1054" s="2015">
        <v>6</v>
      </c>
      <c r="K1054" s="2015">
        <v>7</v>
      </c>
      <c r="L1054" s="2015">
        <v>8</v>
      </c>
      <c r="M1054" s="2015">
        <v>9</v>
      </c>
      <c r="N1054" s="2015">
        <v>10</v>
      </c>
      <c r="O1054" s="2015">
        <v>11</v>
      </c>
      <c r="P1054" s="2015">
        <v>12</v>
      </c>
      <c r="Q1054" s="2016"/>
      <c r="R1054"/>
      <c r="S1054" s="1684"/>
      <c r="T1054" s="1684"/>
      <c r="U1054" s="1684"/>
      <c r="V1054" s="1684"/>
      <c r="W1054" s="1684"/>
      <c r="X1054" s="1684"/>
      <c r="Y1054" s="1684"/>
      <c r="Z1054" s="1684"/>
      <c r="AA1054" s="1684"/>
      <c r="AB1054" s="1684"/>
      <c r="AC1054" s="1684"/>
      <c r="AD1054" s="1684"/>
      <c r="AE1054" s="1684"/>
      <c r="AF1054" s="1684"/>
      <c r="AG1054" s="1684"/>
      <c r="AH1054" s="1684"/>
      <c r="AI1054" s="1684"/>
      <c r="AJ1054" s="1684"/>
      <c r="AK1054" s="1684"/>
      <c r="AL1054" s="1684"/>
      <c r="AM1054" s="1684"/>
      <c r="AN1054" s="1684"/>
      <c r="AO1054" s="1684"/>
      <c r="AP1054" s="1684"/>
      <c r="AQ1054" s="1684"/>
      <c r="AR1054" s="1684"/>
      <c r="AS1054" s="1684"/>
      <c r="AT1054" s="1684"/>
      <c r="AU1054" s="1684"/>
      <c r="AV1054" s="1684"/>
      <c r="AW1054" s="1684"/>
      <c r="AX1054" s="1684"/>
      <c r="AY1054" s="1684"/>
      <c r="AZ1054" s="1684"/>
      <c r="BA1054" s="1684"/>
      <c r="BB1054" s="1684"/>
      <c r="BC1054" s="1684"/>
      <c r="BD1054" s="1684"/>
      <c r="BE1054" s="1684"/>
      <c r="BF1054" s="1684"/>
      <c r="BG1054" s="1684"/>
      <c r="BH1054" s="1684"/>
      <c r="BI1054" s="1684"/>
      <c r="BJ1054" s="1684"/>
      <c r="BK1054" s="1684"/>
      <c r="BL1054" s="1684"/>
      <c r="BM1054" s="1684"/>
      <c r="BN1054" s="1684"/>
      <c r="BO1054" s="1684"/>
      <c r="BP1054" s="1684"/>
      <c r="BQ1054" s="1684"/>
      <c r="BR1054" s="1684"/>
      <c r="BS1054" s="1684"/>
      <c r="BT1054" s="1684"/>
      <c r="BU1054" s="1684"/>
      <c r="BV1054" s="1684"/>
      <c r="BW1054" s="1684"/>
      <c r="BX1054" s="1684"/>
      <c r="BY1054" s="1684"/>
      <c r="BZ1054" s="1684"/>
      <c r="CA1054" s="1684"/>
      <c r="CB1054" s="1684"/>
      <c r="CC1054" s="1684"/>
      <c r="CD1054" s="1684"/>
      <c r="CE1054" s="1684"/>
      <c r="CF1054" s="1684"/>
      <c r="CG1054" s="1684"/>
      <c r="CH1054" s="1684"/>
      <c r="CI1054" s="1684"/>
      <c r="CJ1054" s="1684"/>
      <c r="CK1054" s="1684"/>
      <c r="CL1054" s="1684"/>
      <c r="CM1054" s="1684"/>
      <c r="CN1054" s="1684"/>
      <c r="CO1054" s="1684"/>
    </row>
    <row r="1055" spans="1:93" s="1391" customFormat="1" ht="15" x14ac:dyDescent="0.2">
      <c r="A1055" s="1684"/>
      <c r="B1055" s="1684"/>
      <c r="C1055" s="2013">
        <v>8</v>
      </c>
      <c r="D1055" s="5">
        <v>4.8780000000000001</v>
      </c>
      <c r="E1055">
        <v>123</v>
      </c>
      <c r="F1055">
        <v>137</v>
      </c>
      <c r="G1055">
        <v>150</v>
      </c>
      <c r="H1055">
        <v>163</v>
      </c>
      <c r="I1055">
        <v>176</v>
      </c>
      <c r="J1055">
        <v>189</v>
      </c>
      <c r="K1055">
        <v>202</v>
      </c>
      <c r="L1055">
        <v>215</v>
      </c>
      <c r="M1055">
        <v>228</v>
      </c>
      <c r="N1055">
        <v>241</v>
      </c>
      <c r="O1055">
        <v>254</v>
      </c>
      <c r="P1055">
        <v>267</v>
      </c>
      <c r="Q1055" s="1160">
        <v>1</v>
      </c>
      <c r="R1055"/>
      <c r="S1055" s="1684"/>
      <c r="T1055" s="1684"/>
      <c r="U1055" s="1684"/>
      <c r="V1055" s="1684"/>
      <c r="W1055" s="1684"/>
      <c r="X1055" s="1684"/>
      <c r="Y1055" s="1684"/>
      <c r="Z1055" s="1684"/>
      <c r="AA1055" s="1684"/>
      <c r="AB1055" s="1684"/>
      <c r="AC1055" s="1684"/>
      <c r="AD1055" s="1684"/>
      <c r="AE1055" s="1684"/>
      <c r="AF1055" s="1684"/>
      <c r="AG1055" s="1684"/>
      <c r="AH1055" s="1684"/>
      <c r="AI1055" s="1684"/>
      <c r="AJ1055" s="1684"/>
      <c r="AK1055" s="1684"/>
      <c r="AL1055" s="1684"/>
      <c r="AM1055" s="1684"/>
      <c r="AN1055" s="1684"/>
      <c r="AO1055" s="1684"/>
      <c r="AP1055" s="1684"/>
      <c r="AQ1055" s="1684"/>
      <c r="AR1055" s="1684"/>
      <c r="AS1055" s="1684"/>
      <c r="AT1055" s="1684"/>
      <c r="AU1055" s="1684"/>
      <c r="AV1055" s="1684"/>
      <c r="AW1055" s="1684"/>
      <c r="AX1055" s="1684"/>
      <c r="AY1055" s="1684"/>
      <c r="AZ1055" s="1684"/>
      <c r="BA1055" s="1684"/>
      <c r="BB1055" s="1684"/>
      <c r="BC1055" s="1684"/>
      <c r="BD1055" s="1684"/>
      <c r="BE1055" s="1684"/>
      <c r="BF1055" s="1684"/>
      <c r="BG1055" s="1684"/>
      <c r="BH1055" s="1684"/>
      <c r="BI1055" s="1684"/>
      <c r="BJ1055" s="1684"/>
      <c r="BK1055" s="1684"/>
      <c r="BL1055" s="1684"/>
      <c r="BM1055" s="1684"/>
      <c r="BN1055" s="1684"/>
      <c r="BO1055" s="1684"/>
      <c r="BP1055" s="1684"/>
      <c r="BQ1055" s="1684"/>
      <c r="BR1055" s="1684"/>
      <c r="BS1055" s="1684"/>
      <c r="BT1055" s="1684"/>
      <c r="BU1055" s="1684"/>
      <c r="BV1055" s="1684"/>
      <c r="BW1055" s="1684"/>
      <c r="BX1055" s="1684"/>
      <c r="BY1055" s="1684"/>
      <c r="BZ1055" s="1684"/>
      <c r="CA1055" s="1684"/>
      <c r="CB1055" s="1684"/>
      <c r="CC1055" s="1684"/>
      <c r="CD1055" s="1684"/>
      <c r="CE1055" s="1684"/>
      <c r="CF1055" s="1684"/>
      <c r="CG1055" s="1684"/>
      <c r="CH1055" s="1684"/>
      <c r="CI1055" s="1684"/>
      <c r="CJ1055" s="1684"/>
      <c r="CK1055" s="1684"/>
      <c r="CL1055" s="1684"/>
      <c r="CM1055" s="1684"/>
      <c r="CN1055" s="1684"/>
      <c r="CO1055" s="1684"/>
    </row>
    <row r="1056" spans="1:93" s="1391" customFormat="1" ht="15" x14ac:dyDescent="0.2">
      <c r="A1056" s="1684"/>
      <c r="B1056" s="1684"/>
      <c r="C1056" s="2013">
        <v>9</v>
      </c>
      <c r="D1056" s="5">
        <v>5.1440000000000001</v>
      </c>
      <c r="E1056">
        <v>135</v>
      </c>
      <c r="F1056">
        <v>150</v>
      </c>
      <c r="G1056">
        <v>164</v>
      </c>
      <c r="H1056">
        <v>179</v>
      </c>
      <c r="I1056">
        <v>193</v>
      </c>
      <c r="J1056">
        <v>207</v>
      </c>
      <c r="K1056">
        <v>221</v>
      </c>
      <c r="L1056">
        <v>236</v>
      </c>
      <c r="M1056">
        <v>250</v>
      </c>
      <c r="N1056">
        <v>264</v>
      </c>
      <c r="O1056">
        <v>278</v>
      </c>
      <c r="P1056">
        <v>293</v>
      </c>
      <c r="Q1056" s="1160">
        <v>2</v>
      </c>
      <c r="R1056"/>
      <c r="S1056" s="1684"/>
      <c r="T1056" s="1684"/>
      <c r="U1056" s="1684"/>
      <c r="V1056" s="1684"/>
      <c r="W1056" s="1684"/>
      <c r="X1056" s="1684"/>
      <c r="Y1056" s="1684"/>
      <c r="Z1056" s="1684"/>
      <c r="AA1056" s="1684"/>
      <c r="AB1056" s="1684"/>
      <c r="AC1056" s="1684"/>
      <c r="AD1056" s="1684"/>
      <c r="AE1056" s="1684"/>
      <c r="AF1056" s="1684"/>
      <c r="AG1056" s="1684"/>
      <c r="AH1056" s="1684"/>
      <c r="AI1056" s="1684"/>
      <c r="AJ1056" s="1684"/>
      <c r="AK1056" s="1684"/>
      <c r="AL1056" s="1684"/>
      <c r="AM1056" s="1684"/>
      <c r="AN1056" s="1684"/>
      <c r="AO1056" s="1684"/>
      <c r="AP1056" s="1684"/>
      <c r="AQ1056" s="1684"/>
      <c r="AR1056" s="1684"/>
      <c r="AS1056" s="1684"/>
      <c r="AT1056" s="1684"/>
      <c r="AU1056" s="1684"/>
      <c r="AV1056" s="1684"/>
      <c r="AW1056" s="1684"/>
      <c r="AX1056" s="1684"/>
      <c r="AY1056" s="1684"/>
      <c r="AZ1056" s="1684"/>
      <c r="BA1056" s="1684"/>
      <c r="BB1056" s="1684"/>
      <c r="BC1056" s="1684"/>
      <c r="BD1056" s="1684"/>
      <c r="BE1056" s="1684"/>
      <c r="BF1056" s="1684"/>
      <c r="BG1056" s="1684"/>
      <c r="BH1056" s="1684"/>
      <c r="BI1056" s="1684"/>
      <c r="BJ1056" s="1684"/>
      <c r="BK1056" s="1684"/>
      <c r="BL1056" s="1684"/>
      <c r="BM1056" s="1684"/>
      <c r="BN1056" s="1684"/>
      <c r="BO1056" s="1684"/>
      <c r="BP1056" s="1684"/>
      <c r="BQ1056" s="1684"/>
      <c r="BR1056" s="1684"/>
      <c r="BS1056" s="1684"/>
      <c r="BT1056" s="1684"/>
      <c r="BU1056" s="1684"/>
      <c r="BV1056" s="1684"/>
      <c r="BW1056" s="1684"/>
      <c r="BX1056" s="1684"/>
      <c r="BY1056" s="1684"/>
      <c r="BZ1056" s="1684"/>
      <c r="CA1056" s="1684"/>
      <c r="CB1056" s="1684"/>
      <c r="CC1056" s="1684"/>
      <c r="CD1056" s="1684"/>
      <c r="CE1056" s="1684"/>
      <c r="CF1056" s="1684"/>
      <c r="CG1056" s="1684"/>
      <c r="CH1056" s="1684"/>
      <c r="CI1056" s="1684"/>
      <c r="CJ1056" s="1684"/>
      <c r="CK1056" s="1684"/>
      <c r="CL1056" s="1684"/>
      <c r="CM1056" s="1684"/>
      <c r="CN1056" s="1684"/>
      <c r="CO1056" s="1684"/>
    </row>
    <row r="1057" spans="1:93" s="1391" customFormat="1" ht="15" x14ac:dyDescent="0.2">
      <c r="A1057" s="1684"/>
      <c r="B1057" s="1684"/>
      <c r="C1057" s="2013">
        <v>10</v>
      </c>
      <c r="D1057" s="5">
        <v>5.42</v>
      </c>
      <c r="E1057">
        <v>148</v>
      </c>
      <c r="F1057">
        <v>164</v>
      </c>
      <c r="G1057">
        <v>179</v>
      </c>
      <c r="H1057">
        <v>195</v>
      </c>
      <c r="I1057">
        <v>211</v>
      </c>
      <c r="J1057">
        <v>226</v>
      </c>
      <c r="K1057">
        <v>242</v>
      </c>
      <c r="L1057">
        <v>258</v>
      </c>
      <c r="M1057">
        <v>273</v>
      </c>
      <c r="N1057">
        <v>288</v>
      </c>
      <c r="O1057">
        <v>304</v>
      </c>
      <c r="P1057">
        <v>319</v>
      </c>
      <c r="Q1057" s="1160">
        <v>3</v>
      </c>
      <c r="R1057"/>
      <c r="S1057" s="1684"/>
      <c r="T1057" s="1684"/>
      <c r="U1057" s="1684"/>
      <c r="V1057" s="1684"/>
      <c r="W1057" s="1684"/>
      <c r="X1057" s="1684"/>
      <c r="Y1057" s="1684"/>
      <c r="Z1057" s="1684"/>
      <c r="AA1057" s="1684"/>
      <c r="AB1057" s="1684"/>
      <c r="AC1057" s="1684"/>
      <c r="AD1057" s="1684"/>
      <c r="AE1057" s="1684"/>
      <c r="AF1057" s="1684"/>
      <c r="AG1057" s="1684"/>
      <c r="AH1057" s="1684"/>
      <c r="AI1057" s="1684"/>
      <c r="AJ1057" s="1684"/>
      <c r="AK1057" s="1684"/>
      <c r="AL1057" s="1684"/>
      <c r="AM1057" s="1684"/>
      <c r="AN1057" s="1684"/>
      <c r="AO1057" s="1684"/>
      <c r="AP1057" s="1684"/>
      <c r="AQ1057" s="1684"/>
      <c r="AR1057" s="1684"/>
      <c r="AS1057" s="1684"/>
      <c r="AT1057" s="1684"/>
      <c r="AU1057" s="1684"/>
      <c r="AV1057" s="1684"/>
      <c r="AW1057" s="1684"/>
      <c r="AX1057" s="1684"/>
      <c r="AY1057" s="1684"/>
      <c r="AZ1057" s="1684"/>
      <c r="BA1057" s="1684"/>
      <c r="BB1057" s="1684"/>
      <c r="BC1057" s="1684"/>
      <c r="BD1057" s="1684"/>
      <c r="BE1057" s="1684"/>
      <c r="BF1057" s="1684"/>
      <c r="BG1057" s="1684"/>
      <c r="BH1057" s="1684"/>
      <c r="BI1057" s="1684"/>
      <c r="BJ1057" s="1684"/>
      <c r="BK1057" s="1684"/>
      <c r="BL1057" s="1684"/>
      <c r="BM1057" s="1684"/>
      <c r="BN1057" s="1684"/>
      <c r="BO1057" s="1684"/>
      <c r="BP1057" s="1684"/>
      <c r="BQ1057" s="1684"/>
      <c r="BR1057" s="1684"/>
      <c r="BS1057" s="1684"/>
      <c r="BT1057" s="1684"/>
      <c r="BU1057" s="1684"/>
      <c r="BV1057" s="1684"/>
      <c r="BW1057" s="1684"/>
      <c r="BX1057" s="1684"/>
      <c r="BY1057" s="1684"/>
      <c r="BZ1057" s="1684"/>
      <c r="CA1057" s="1684"/>
      <c r="CB1057" s="1684"/>
      <c r="CC1057" s="1684"/>
      <c r="CD1057" s="1684"/>
      <c r="CE1057" s="1684"/>
      <c r="CF1057" s="1684"/>
      <c r="CG1057" s="1684"/>
      <c r="CH1057" s="1684"/>
      <c r="CI1057" s="1684"/>
      <c r="CJ1057" s="1684"/>
      <c r="CK1057" s="1684"/>
      <c r="CL1057" s="1684"/>
      <c r="CM1057" s="1684"/>
      <c r="CN1057" s="1684"/>
      <c r="CO1057" s="1684"/>
    </row>
    <row r="1058" spans="1:93" s="1391" customFormat="1" ht="15" x14ac:dyDescent="0.2">
      <c r="A1058" s="1684"/>
      <c r="B1058" s="1684"/>
      <c r="C1058" s="2013">
        <v>11</v>
      </c>
      <c r="D1058" s="5">
        <v>5.726</v>
      </c>
      <c r="E1058">
        <v>161</v>
      </c>
      <c r="F1058">
        <v>179</v>
      </c>
      <c r="G1058">
        <v>196</v>
      </c>
      <c r="H1058">
        <v>213</v>
      </c>
      <c r="I1058">
        <v>230</v>
      </c>
      <c r="J1058">
        <v>247</v>
      </c>
      <c r="K1058">
        <v>264</v>
      </c>
      <c r="L1058">
        <v>282</v>
      </c>
      <c r="M1058">
        <v>298</v>
      </c>
      <c r="N1058">
        <v>315</v>
      </c>
      <c r="O1058">
        <v>332</v>
      </c>
      <c r="P1058">
        <v>349</v>
      </c>
      <c r="Q1058" s="1160">
        <v>4</v>
      </c>
      <c r="R1058"/>
      <c r="S1058" s="1684"/>
      <c r="T1058" s="1684"/>
      <c r="U1058" s="1684"/>
      <c r="V1058" s="1684"/>
      <c r="W1058" s="1684"/>
      <c r="X1058" s="1684"/>
      <c r="Y1058" s="1684"/>
      <c r="Z1058" s="1684"/>
      <c r="AA1058" s="1684"/>
      <c r="AB1058" s="1684"/>
      <c r="AC1058" s="1684"/>
      <c r="AD1058" s="1684"/>
      <c r="AE1058" s="1684"/>
      <c r="AF1058" s="1684"/>
      <c r="AG1058" s="1684"/>
      <c r="AH1058" s="1684"/>
      <c r="AI1058" s="1684"/>
      <c r="AJ1058" s="1684"/>
      <c r="AK1058" s="1684"/>
      <c r="AL1058" s="1684"/>
      <c r="AM1058" s="1684"/>
      <c r="AN1058" s="1684"/>
      <c r="AO1058" s="1684"/>
      <c r="AP1058" s="1684"/>
      <c r="AQ1058" s="1684"/>
      <c r="AR1058" s="1684"/>
      <c r="AS1058" s="1684"/>
      <c r="AT1058" s="1684"/>
      <c r="AU1058" s="1684"/>
      <c r="AV1058" s="1684"/>
      <c r="AW1058" s="1684"/>
      <c r="AX1058" s="1684"/>
      <c r="AY1058" s="1684"/>
      <c r="AZ1058" s="1684"/>
      <c r="BA1058" s="1684"/>
      <c r="BB1058" s="1684"/>
      <c r="BC1058" s="1684"/>
      <c r="BD1058" s="1684"/>
      <c r="BE1058" s="1684"/>
      <c r="BF1058" s="1684"/>
      <c r="BG1058" s="1684"/>
      <c r="BH1058" s="1684"/>
      <c r="BI1058" s="1684"/>
      <c r="BJ1058" s="1684"/>
      <c r="BK1058" s="1684"/>
      <c r="BL1058" s="1684"/>
      <c r="BM1058" s="1684"/>
      <c r="BN1058" s="1684"/>
      <c r="BO1058" s="1684"/>
      <c r="BP1058" s="1684"/>
      <c r="BQ1058" s="1684"/>
      <c r="BR1058" s="1684"/>
      <c r="BS1058" s="1684"/>
      <c r="BT1058" s="1684"/>
      <c r="BU1058" s="1684"/>
      <c r="BV1058" s="1684"/>
      <c r="BW1058" s="1684"/>
      <c r="BX1058" s="1684"/>
      <c r="BY1058" s="1684"/>
      <c r="BZ1058" s="1684"/>
      <c r="CA1058" s="1684"/>
      <c r="CB1058" s="1684"/>
      <c r="CC1058" s="1684"/>
      <c r="CD1058" s="1684"/>
      <c r="CE1058" s="1684"/>
      <c r="CF1058" s="1684"/>
      <c r="CG1058" s="1684"/>
      <c r="CH1058" s="1684"/>
      <c r="CI1058" s="1684"/>
      <c r="CJ1058" s="1684"/>
      <c r="CK1058" s="1684"/>
      <c r="CL1058" s="1684"/>
      <c r="CM1058" s="1684"/>
      <c r="CN1058" s="1684"/>
      <c r="CO1058" s="1684"/>
    </row>
    <row r="1059" spans="1:93" s="1391" customFormat="1" ht="15" x14ac:dyDescent="0.2">
      <c r="A1059" s="1684"/>
      <c r="B1059" s="1684"/>
      <c r="C1059" s="2013">
        <v>12</v>
      </c>
      <c r="D1059" s="5">
        <v>6.0430000000000001</v>
      </c>
      <c r="E1059">
        <v>175</v>
      </c>
      <c r="F1059">
        <v>195</v>
      </c>
      <c r="G1059">
        <v>213</v>
      </c>
      <c r="H1059">
        <v>231</v>
      </c>
      <c r="I1059">
        <v>250</v>
      </c>
      <c r="J1059">
        <v>268</v>
      </c>
      <c r="K1059">
        <v>287</v>
      </c>
      <c r="L1059">
        <v>306</v>
      </c>
      <c r="M1059">
        <v>324</v>
      </c>
      <c r="N1059">
        <v>342</v>
      </c>
      <c r="O1059">
        <v>362</v>
      </c>
      <c r="P1059">
        <v>379</v>
      </c>
      <c r="Q1059" s="1160">
        <v>5</v>
      </c>
      <c r="R1059"/>
      <c r="S1059" s="1684"/>
      <c r="T1059" s="1684"/>
      <c r="U1059" s="1684"/>
      <c r="V1059" s="1684"/>
      <c r="W1059" s="1684"/>
      <c r="X1059" s="1684"/>
      <c r="Y1059" s="1684"/>
      <c r="Z1059" s="1684"/>
      <c r="AA1059" s="1684"/>
      <c r="AB1059" s="1684"/>
      <c r="AC1059" s="1684"/>
      <c r="AD1059" s="1684"/>
      <c r="AE1059" s="1684"/>
      <c r="AF1059" s="1684"/>
      <c r="AG1059" s="1684"/>
      <c r="AH1059" s="1684"/>
      <c r="AI1059" s="1684"/>
      <c r="AJ1059" s="1684"/>
      <c r="AK1059" s="1684"/>
      <c r="AL1059" s="1684"/>
      <c r="AM1059" s="1684"/>
      <c r="AN1059" s="1684"/>
      <c r="AO1059" s="1684"/>
      <c r="AP1059" s="1684"/>
      <c r="AQ1059" s="1684"/>
      <c r="AR1059" s="1684"/>
      <c r="AS1059" s="1684"/>
      <c r="AT1059" s="1684"/>
      <c r="AU1059" s="1684"/>
      <c r="AV1059" s="1684"/>
      <c r="AW1059" s="1684"/>
      <c r="AX1059" s="1684"/>
      <c r="AY1059" s="1684"/>
      <c r="AZ1059" s="1684"/>
      <c r="BA1059" s="1684"/>
      <c r="BB1059" s="1684"/>
      <c r="BC1059" s="1684"/>
      <c r="BD1059" s="1684"/>
      <c r="BE1059" s="1684"/>
      <c r="BF1059" s="1684"/>
      <c r="BG1059" s="1684"/>
      <c r="BH1059" s="1684"/>
      <c r="BI1059" s="1684"/>
      <c r="BJ1059" s="1684"/>
      <c r="BK1059" s="1684"/>
      <c r="BL1059" s="1684"/>
      <c r="BM1059" s="1684"/>
      <c r="BN1059" s="1684"/>
      <c r="BO1059" s="1684"/>
      <c r="BP1059" s="1684"/>
      <c r="BQ1059" s="1684"/>
      <c r="BR1059" s="1684"/>
      <c r="BS1059" s="1684"/>
      <c r="BT1059" s="1684"/>
      <c r="BU1059" s="1684"/>
      <c r="BV1059" s="1684"/>
      <c r="BW1059" s="1684"/>
      <c r="BX1059" s="1684"/>
      <c r="BY1059" s="1684"/>
      <c r="BZ1059" s="1684"/>
      <c r="CA1059" s="1684"/>
      <c r="CB1059" s="1684"/>
      <c r="CC1059" s="1684"/>
      <c r="CD1059" s="1684"/>
      <c r="CE1059" s="1684"/>
      <c r="CF1059" s="1684"/>
      <c r="CG1059" s="1684"/>
      <c r="CH1059" s="1684"/>
      <c r="CI1059" s="1684"/>
      <c r="CJ1059" s="1684"/>
      <c r="CK1059" s="1684"/>
      <c r="CL1059" s="1684"/>
      <c r="CM1059" s="1684"/>
      <c r="CN1059" s="1684"/>
      <c r="CO1059" s="1684"/>
    </row>
    <row r="1060" spans="1:93" s="1391" customFormat="1" ht="15" x14ac:dyDescent="0.2">
      <c r="A1060" s="1684"/>
      <c r="B1060" s="1684"/>
      <c r="C1060" s="2013">
        <v>13</v>
      </c>
      <c r="D1060" s="5">
        <v>6.3620000000000001</v>
      </c>
      <c r="E1060">
        <v>189</v>
      </c>
      <c r="F1060">
        <v>210</v>
      </c>
      <c r="G1060">
        <v>230</v>
      </c>
      <c r="H1060">
        <v>250</v>
      </c>
      <c r="I1060">
        <v>270</v>
      </c>
      <c r="J1060">
        <v>290</v>
      </c>
      <c r="K1060">
        <v>310</v>
      </c>
      <c r="L1060">
        <v>331</v>
      </c>
      <c r="M1060">
        <v>350</v>
      </c>
      <c r="N1060">
        <v>369</v>
      </c>
      <c r="O1060">
        <v>389</v>
      </c>
      <c r="P1060">
        <v>409</v>
      </c>
      <c r="Q1060" s="1160">
        <v>6</v>
      </c>
      <c r="R1060"/>
      <c r="S1060" s="1684"/>
      <c r="T1060" s="1684"/>
      <c r="U1060" s="1684"/>
      <c r="V1060" s="1684"/>
      <c r="W1060" s="1684"/>
      <c r="X1060" s="1684"/>
      <c r="Y1060" s="1684"/>
      <c r="Z1060" s="1684"/>
      <c r="AA1060" s="1684"/>
      <c r="AB1060" s="1684"/>
      <c r="AC1060" s="1684"/>
      <c r="AD1060" s="1684"/>
      <c r="AE1060" s="1684"/>
      <c r="AF1060" s="1684"/>
      <c r="AG1060" s="1684"/>
      <c r="AH1060" s="1684"/>
      <c r="AI1060" s="1684"/>
      <c r="AJ1060" s="1684"/>
      <c r="AK1060" s="1684"/>
      <c r="AL1060" s="1684"/>
      <c r="AM1060" s="1684"/>
      <c r="AN1060" s="1684"/>
      <c r="AO1060" s="1684"/>
      <c r="AP1060" s="1684"/>
      <c r="AQ1060" s="1684"/>
      <c r="AR1060" s="1684"/>
      <c r="AS1060" s="1684"/>
      <c r="AT1060" s="1684"/>
      <c r="AU1060" s="1684"/>
      <c r="AV1060" s="1684"/>
      <c r="AW1060" s="1684"/>
      <c r="AX1060" s="1684"/>
      <c r="AY1060" s="1684"/>
      <c r="AZ1060" s="1684"/>
      <c r="BA1060" s="1684"/>
      <c r="BB1060" s="1684"/>
      <c r="BC1060" s="1684"/>
      <c r="BD1060" s="1684"/>
      <c r="BE1060" s="1684"/>
      <c r="BF1060" s="1684"/>
      <c r="BG1060" s="1684"/>
      <c r="BH1060" s="1684"/>
      <c r="BI1060" s="1684"/>
      <c r="BJ1060" s="1684"/>
      <c r="BK1060" s="1684"/>
      <c r="BL1060" s="1684"/>
      <c r="BM1060" s="1684"/>
      <c r="BN1060" s="1684"/>
      <c r="BO1060" s="1684"/>
      <c r="BP1060" s="1684"/>
      <c r="BQ1060" s="1684"/>
      <c r="BR1060" s="1684"/>
      <c r="BS1060" s="1684"/>
      <c r="BT1060" s="1684"/>
      <c r="BU1060" s="1684"/>
      <c r="BV1060" s="1684"/>
      <c r="BW1060" s="1684"/>
      <c r="BX1060" s="1684"/>
      <c r="BY1060" s="1684"/>
      <c r="BZ1060" s="1684"/>
      <c r="CA1060" s="1684"/>
      <c r="CB1060" s="1684"/>
      <c r="CC1060" s="1684"/>
      <c r="CD1060" s="1684"/>
      <c r="CE1060" s="1684"/>
      <c r="CF1060" s="1684"/>
      <c r="CG1060" s="1684"/>
      <c r="CH1060" s="1684"/>
      <c r="CI1060" s="1684"/>
      <c r="CJ1060" s="1684"/>
      <c r="CK1060" s="1684"/>
      <c r="CL1060" s="1684"/>
      <c r="CM1060" s="1684"/>
      <c r="CN1060" s="1684"/>
      <c r="CO1060" s="1684"/>
    </row>
    <row r="1061" spans="1:93" s="1391" customFormat="1" ht="15" x14ac:dyDescent="0.2">
      <c r="A1061" s="1684"/>
      <c r="B1061" s="1684"/>
      <c r="C1061" s="2013">
        <v>14</v>
      </c>
      <c r="D1061" s="5">
        <v>6.694</v>
      </c>
      <c r="E1061">
        <v>204</v>
      </c>
      <c r="F1061">
        <v>226</v>
      </c>
      <c r="G1061">
        <v>248</v>
      </c>
      <c r="H1061">
        <v>269</v>
      </c>
      <c r="I1061">
        <v>291</v>
      </c>
      <c r="J1061">
        <v>312</v>
      </c>
      <c r="K1061">
        <v>333</v>
      </c>
      <c r="L1061">
        <v>356</v>
      </c>
      <c r="M1061">
        <v>376</v>
      </c>
      <c r="N1061">
        <v>398</v>
      </c>
      <c r="O1061">
        <v>419</v>
      </c>
      <c r="P1061">
        <v>441</v>
      </c>
      <c r="Q1061" s="1160">
        <v>7</v>
      </c>
      <c r="R1061"/>
      <c r="S1061" s="1684"/>
      <c r="T1061" s="1684"/>
      <c r="U1061" s="1684"/>
      <c r="V1061" s="1684"/>
      <c r="W1061" s="1684"/>
      <c r="X1061" s="1684"/>
      <c r="Y1061" s="1684"/>
      <c r="Z1061" s="1684"/>
      <c r="AA1061" s="1684"/>
      <c r="AB1061" s="1684"/>
      <c r="AC1061" s="1684"/>
      <c r="AD1061" s="1684"/>
      <c r="AE1061" s="1684"/>
      <c r="AF1061" s="1684"/>
      <c r="AG1061" s="1684"/>
      <c r="AH1061" s="1684"/>
      <c r="AI1061" s="1684"/>
      <c r="AJ1061" s="1684"/>
      <c r="AK1061" s="1684"/>
      <c r="AL1061" s="1684"/>
      <c r="AM1061" s="1684"/>
      <c r="AN1061" s="1684"/>
      <c r="AO1061" s="1684"/>
      <c r="AP1061" s="1684"/>
      <c r="AQ1061" s="1684"/>
      <c r="AR1061" s="1684"/>
      <c r="AS1061" s="1684"/>
      <c r="AT1061" s="1684"/>
      <c r="AU1061" s="1684"/>
      <c r="AV1061" s="1684"/>
      <c r="AW1061" s="1684"/>
      <c r="AX1061" s="1684"/>
      <c r="AY1061" s="1684"/>
      <c r="AZ1061" s="1684"/>
      <c r="BA1061" s="1684"/>
      <c r="BB1061" s="1684"/>
      <c r="BC1061" s="1684"/>
      <c r="BD1061" s="1684"/>
      <c r="BE1061" s="1684"/>
      <c r="BF1061" s="1684"/>
      <c r="BG1061" s="1684"/>
      <c r="BH1061" s="1684"/>
      <c r="BI1061" s="1684"/>
      <c r="BJ1061" s="1684"/>
      <c r="BK1061" s="1684"/>
      <c r="BL1061" s="1684"/>
      <c r="BM1061" s="1684"/>
      <c r="BN1061" s="1684"/>
      <c r="BO1061" s="1684"/>
      <c r="BP1061" s="1684"/>
      <c r="BQ1061" s="1684"/>
      <c r="BR1061" s="1684"/>
      <c r="BS1061" s="1684"/>
      <c r="BT1061" s="1684"/>
      <c r="BU1061" s="1684"/>
      <c r="BV1061" s="1684"/>
      <c r="BW1061" s="1684"/>
      <c r="BX1061" s="1684"/>
      <c r="BY1061" s="1684"/>
      <c r="BZ1061" s="1684"/>
      <c r="CA1061" s="1684"/>
      <c r="CB1061" s="1684"/>
      <c r="CC1061" s="1684"/>
      <c r="CD1061" s="1684"/>
      <c r="CE1061" s="1684"/>
      <c r="CF1061" s="1684"/>
      <c r="CG1061" s="1684"/>
      <c r="CH1061" s="1684"/>
      <c r="CI1061" s="1684"/>
      <c r="CJ1061" s="1684"/>
      <c r="CK1061" s="1684"/>
      <c r="CL1061" s="1684"/>
      <c r="CM1061" s="1684"/>
      <c r="CN1061" s="1684"/>
      <c r="CO1061" s="1684"/>
    </row>
    <row r="1062" spans="1:93" s="1391" customFormat="1" ht="15" x14ac:dyDescent="0.2">
      <c r="A1062" s="1684"/>
      <c r="B1062" s="1684"/>
      <c r="C1062" s="2013">
        <v>15</v>
      </c>
      <c r="D1062" s="5">
        <v>7.0330000000000004</v>
      </c>
      <c r="E1062">
        <v>218</v>
      </c>
      <c r="F1062">
        <v>242</v>
      </c>
      <c r="G1062">
        <v>265</v>
      </c>
      <c r="H1062">
        <v>288</v>
      </c>
      <c r="I1062">
        <v>311</v>
      </c>
      <c r="J1062">
        <v>334</v>
      </c>
      <c r="K1062">
        <v>357</v>
      </c>
      <c r="L1062">
        <v>381</v>
      </c>
      <c r="M1062">
        <v>403</v>
      </c>
      <c r="N1062">
        <v>426</v>
      </c>
      <c r="O1062">
        <v>449</v>
      </c>
      <c r="P1062">
        <v>472</v>
      </c>
      <c r="Q1062" s="1160">
        <v>8</v>
      </c>
      <c r="R1062"/>
      <c r="S1062" s="1684"/>
      <c r="T1062" s="1684"/>
      <c r="U1062" s="1684"/>
      <c r="V1062" s="1684"/>
      <c r="W1062" s="1684"/>
      <c r="X1062" s="1684"/>
      <c r="Y1062" s="1684"/>
      <c r="Z1062" s="1684"/>
      <c r="AA1062" s="1684"/>
      <c r="AB1062" s="1684"/>
      <c r="AC1062" s="1684"/>
      <c r="AD1062" s="1684"/>
      <c r="AE1062" s="1684"/>
      <c r="AF1062" s="1684"/>
      <c r="AG1062" s="1684"/>
      <c r="AH1062" s="1684"/>
      <c r="AI1062" s="1684"/>
      <c r="AJ1062" s="1684"/>
      <c r="AK1062" s="1684"/>
      <c r="AL1062" s="1684"/>
      <c r="AM1062" s="1684"/>
      <c r="AN1062" s="1684"/>
      <c r="AO1062" s="1684"/>
      <c r="AP1062" s="1684"/>
      <c r="AQ1062" s="1684"/>
      <c r="AR1062" s="1684"/>
      <c r="AS1062" s="1684"/>
      <c r="AT1062" s="1684"/>
      <c r="AU1062" s="1684"/>
      <c r="AV1062" s="1684"/>
      <c r="AW1062" s="1684"/>
      <c r="AX1062" s="1684"/>
      <c r="AY1062" s="1684"/>
      <c r="AZ1062" s="1684"/>
      <c r="BA1062" s="1684"/>
      <c r="BB1062" s="1684"/>
      <c r="BC1062" s="1684"/>
      <c r="BD1062" s="1684"/>
      <c r="BE1062" s="1684"/>
      <c r="BF1062" s="1684"/>
      <c r="BG1062" s="1684"/>
      <c r="BH1062" s="1684"/>
      <c r="BI1062" s="1684"/>
      <c r="BJ1062" s="1684"/>
      <c r="BK1062" s="1684"/>
      <c r="BL1062" s="1684"/>
      <c r="BM1062" s="1684"/>
      <c r="BN1062" s="1684"/>
      <c r="BO1062" s="1684"/>
      <c r="BP1062" s="1684"/>
      <c r="BQ1062" s="1684"/>
      <c r="BR1062" s="1684"/>
      <c r="BS1062" s="1684"/>
      <c r="BT1062" s="1684"/>
      <c r="BU1062" s="1684"/>
      <c r="BV1062" s="1684"/>
      <c r="BW1062" s="1684"/>
      <c r="BX1062" s="1684"/>
      <c r="BY1062" s="1684"/>
      <c r="BZ1062" s="1684"/>
      <c r="CA1062" s="1684"/>
      <c r="CB1062" s="1684"/>
      <c r="CC1062" s="1684"/>
      <c r="CD1062" s="1684"/>
      <c r="CE1062" s="1684"/>
      <c r="CF1062" s="1684"/>
      <c r="CG1062" s="1684"/>
      <c r="CH1062" s="1684"/>
      <c r="CI1062" s="1684"/>
      <c r="CJ1062" s="1684"/>
      <c r="CK1062" s="1684"/>
      <c r="CL1062" s="1684"/>
      <c r="CM1062" s="1684"/>
      <c r="CN1062" s="1684"/>
      <c r="CO1062" s="1684"/>
    </row>
    <row r="1063" spans="1:93" s="1391" customFormat="1" ht="15" x14ac:dyDescent="0.2">
      <c r="A1063" s="1684"/>
      <c r="B1063" s="1684"/>
      <c r="C1063" s="2013">
        <v>16</v>
      </c>
      <c r="D1063" s="5">
        <v>7.4909999999999997</v>
      </c>
      <c r="E1063">
        <v>232</v>
      </c>
      <c r="F1063">
        <v>258</v>
      </c>
      <c r="G1063">
        <v>282</v>
      </c>
      <c r="H1063">
        <v>307</v>
      </c>
      <c r="I1063">
        <v>331</v>
      </c>
      <c r="J1063">
        <v>356</v>
      </c>
      <c r="K1063">
        <v>380</v>
      </c>
      <c r="L1063">
        <v>406</v>
      </c>
      <c r="M1063">
        <v>429</v>
      </c>
      <c r="N1063">
        <v>454</v>
      </c>
      <c r="O1063">
        <v>478</v>
      </c>
      <c r="P1063">
        <v>503</v>
      </c>
      <c r="Q1063" s="1160">
        <v>9</v>
      </c>
      <c r="R1063"/>
      <c r="S1063" s="1684"/>
      <c r="T1063" s="1684"/>
      <c r="U1063" s="1684"/>
      <c r="V1063" s="1684"/>
      <c r="W1063" s="1684"/>
      <c r="X1063" s="1684"/>
      <c r="Y1063" s="1684"/>
      <c r="Z1063" s="1684"/>
      <c r="AA1063" s="1684"/>
      <c r="AB1063" s="1684"/>
      <c r="AC1063" s="1684"/>
      <c r="AD1063" s="1684"/>
      <c r="AE1063" s="1684"/>
      <c r="AF1063" s="1684"/>
      <c r="AG1063" s="1684"/>
      <c r="AH1063" s="1684"/>
      <c r="AI1063" s="1684"/>
      <c r="AJ1063" s="1684"/>
      <c r="AK1063" s="1684"/>
      <c r="AL1063" s="1684"/>
      <c r="AM1063" s="1684"/>
      <c r="AN1063" s="1684"/>
      <c r="AO1063" s="1684"/>
      <c r="AP1063" s="1684"/>
      <c r="AQ1063" s="1684"/>
      <c r="AR1063" s="1684"/>
      <c r="AS1063" s="1684"/>
      <c r="AT1063" s="1684"/>
      <c r="AU1063" s="1684"/>
      <c r="AV1063" s="1684"/>
      <c r="AW1063" s="1684"/>
      <c r="AX1063" s="1684"/>
      <c r="AY1063" s="1684"/>
      <c r="AZ1063" s="1684"/>
      <c r="BA1063" s="1684"/>
      <c r="BB1063" s="1684"/>
      <c r="BC1063" s="1684"/>
      <c r="BD1063" s="1684"/>
      <c r="BE1063" s="1684"/>
      <c r="BF1063" s="1684"/>
      <c r="BG1063" s="1684"/>
      <c r="BH1063" s="1684"/>
      <c r="BI1063" s="1684"/>
      <c r="BJ1063" s="1684"/>
      <c r="BK1063" s="1684"/>
      <c r="BL1063" s="1684"/>
      <c r="BM1063" s="1684"/>
      <c r="BN1063" s="1684"/>
      <c r="BO1063" s="1684"/>
      <c r="BP1063" s="1684"/>
      <c r="BQ1063" s="1684"/>
      <c r="BR1063" s="1684"/>
      <c r="BS1063" s="1684"/>
      <c r="BT1063" s="1684"/>
      <c r="BU1063" s="1684"/>
      <c r="BV1063" s="1684"/>
      <c r="BW1063" s="1684"/>
      <c r="BX1063" s="1684"/>
      <c r="BY1063" s="1684"/>
      <c r="BZ1063" s="1684"/>
      <c r="CA1063" s="1684"/>
      <c r="CB1063" s="1684"/>
      <c r="CC1063" s="1684"/>
      <c r="CD1063" s="1684"/>
      <c r="CE1063" s="1684"/>
      <c r="CF1063" s="1684"/>
      <c r="CG1063" s="1684"/>
      <c r="CH1063" s="1684"/>
      <c r="CI1063" s="1684"/>
      <c r="CJ1063" s="1684"/>
      <c r="CK1063" s="1684"/>
      <c r="CL1063" s="1684"/>
      <c r="CM1063" s="1684"/>
      <c r="CN1063" s="1684"/>
      <c r="CO1063" s="1684"/>
    </row>
    <row r="1064" spans="1:93" s="1391" customFormat="1" ht="15" x14ac:dyDescent="0.2">
      <c r="A1064" s="1684"/>
      <c r="B1064" s="1684"/>
      <c r="C1064" s="2013">
        <v>17</v>
      </c>
      <c r="D1064" s="5">
        <v>7.984</v>
      </c>
      <c r="E1064">
        <v>245</v>
      </c>
      <c r="F1064">
        <v>272</v>
      </c>
      <c r="G1064">
        <v>298</v>
      </c>
      <c r="H1064">
        <v>324</v>
      </c>
      <c r="I1064">
        <v>350</v>
      </c>
      <c r="J1064">
        <v>375</v>
      </c>
      <c r="K1064">
        <v>401</v>
      </c>
      <c r="L1064">
        <v>428</v>
      </c>
      <c r="M1064">
        <v>453</v>
      </c>
      <c r="N1064">
        <v>479</v>
      </c>
      <c r="O1064">
        <v>504</v>
      </c>
      <c r="P1064">
        <v>530</v>
      </c>
      <c r="Q1064" s="1160">
        <v>10</v>
      </c>
      <c r="R1064"/>
      <c r="S1064" s="1684"/>
      <c r="T1064" s="1684"/>
      <c r="U1064" s="1684"/>
      <c r="V1064" s="1684"/>
      <c r="W1064" s="1684"/>
      <c r="X1064" s="1684"/>
      <c r="Y1064" s="1684"/>
      <c r="Z1064" s="1684"/>
      <c r="AA1064" s="1684"/>
      <c r="AB1064" s="1684"/>
      <c r="AC1064" s="1684"/>
      <c r="AD1064" s="1684"/>
      <c r="AE1064" s="1684"/>
      <c r="AF1064" s="1684"/>
      <c r="AG1064" s="1684"/>
      <c r="AH1064" s="1684"/>
      <c r="AI1064" s="1684"/>
      <c r="AJ1064" s="1684"/>
      <c r="AK1064" s="1684"/>
      <c r="AL1064" s="1684"/>
      <c r="AM1064" s="1684"/>
      <c r="AN1064" s="1684"/>
      <c r="AO1064" s="1684"/>
      <c r="AP1064" s="1684"/>
      <c r="AQ1064" s="1684"/>
      <c r="AR1064" s="1684"/>
      <c r="AS1064" s="1684"/>
      <c r="AT1064" s="1684"/>
      <c r="AU1064" s="1684"/>
      <c r="AV1064" s="1684"/>
      <c r="AW1064" s="1684"/>
      <c r="AX1064" s="1684"/>
      <c r="AY1064" s="1684"/>
      <c r="AZ1064" s="1684"/>
      <c r="BA1064" s="1684"/>
      <c r="BB1064" s="1684"/>
      <c r="BC1064" s="1684"/>
      <c r="BD1064" s="1684"/>
      <c r="BE1064" s="1684"/>
      <c r="BF1064" s="1684"/>
      <c r="BG1064" s="1684"/>
      <c r="BH1064" s="1684"/>
      <c r="BI1064" s="1684"/>
      <c r="BJ1064" s="1684"/>
      <c r="BK1064" s="1684"/>
      <c r="BL1064" s="1684"/>
      <c r="BM1064" s="1684"/>
      <c r="BN1064" s="1684"/>
      <c r="BO1064" s="1684"/>
      <c r="BP1064" s="1684"/>
      <c r="BQ1064" s="1684"/>
      <c r="BR1064" s="1684"/>
      <c r="BS1064" s="1684"/>
      <c r="BT1064" s="1684"/>
      <c r="BU1064" s="1684"/>
      <c r="BV1064" s="1684"/>
      <c r="BW1064" s="1684"/>
      <c r="BX1064" s="1684"/>
      <c r="BY1064" s="1684"/>
      <c r="BZ1064" s="1684"/>
      <c r="CA1064" s="1684"/>
      <c r="CB1064" s="1684"/>
      <c r="CC1064" s="1684"/>
      <c r="CD1064" s="1684"/>
      <c r="CE1064" s="1684"/>
      <c r="CF1064" s="1684"/>
      <c r="CG1064" s="1684"/>
      <c r="CH1064" s="1684"/>
      <c r="CI1064" s="1684"/>
      <c r="CJ1064" s="1684"/>
      <c r="CK1064" s="1684"/>
      <c r="CL1064" s="1684"/>
      <c r="CM1064" s="1684"/>
      <c r="CN1064" s="1684"/>
      <c r="CO1064" s="1684"/>
    </row>
    <row r="1065" spans="1:93" s="1391" customFormat="1" ht="15" x14ac:dyDescent="0.2">
      <c r="A1065" s="1684"/>
      <c r="B1065" s="1684"/>
      <c r="C1065" s="2013">
        <v>18</v>
      </c>
      <c r="D1065" s="5">
        <v>8.2609999999999992</v>
      </c>
      <c r="E1065">
        <v>257</v>
      </c>
      <c r="F1065">
        <v>285</v>
      </c>
      <c r="G1065">
        <v>312</v>
      </c>
      <c r="H1065">
        <v>339</v>
      </c>
      <c r="I1065">
        <v>366</v>
      </c>
      <c r="J1065">
        <v>393</v>
      </c>
      <c r="K1065">
        <v>420</v>
      </c>
      <c r="L1065">
        <v>448</v>
      </c>
      <c r="M1065">
        <v>474</v>
      </c>
      <c r="N1065">
        <v>501</v>
      </c>
      <c r="O1065">
        <v>528</v>
      </c>
      <c r="P1065">
        <v>555</v>
      </c>
      <c r="Q1065" s="1160">
        <v>11</v>
      </c>
      <c r="R1065"/>
      <c r="S1065" s="1684"/>
      <c r="T1065" s="1684"/>
      <c r="U1065" s="1684"/>
      <c r="V1065" s="1684"/>
      <c r="W1065" s="1684"/>
      <c r="X1065" s="1684"/>
      <c r="Y1065" s="1684"/>
      <c r="Z1065" s="1684"/>
      <c r="AA1065" s="1684"/>
      <c r="AB1065" s="1684"/>
      <c r="AC1065" s="1684"/>
      <c r="AD1065" s="1684"/>
      <c r="AE1065" s="1684"/>
      <c r="AF1065" s="1684"/>
      <c r="AG1065" s="1684"/>
      <c r="AH1065" s="1684"/>
      <c r="AI1065" s="1684"/>
      <c r="AJ1065" s="1684"/>
      <c r="AK1065" s="1684"/>
      <c r="AL1065" s="1684"/>
      <c r="AM1065" s="1684"/>
      <c r="AN1065" s="1684"/>
      <c r="AO1065" s="1684"/>
      <c r="AP1065" s="1684"/>
      <c r="AQ1065" s="1684"/>
      <c r="AR1065" s="1684"/>
      <c r="AS1065" s="1684"/>
      <c r="AT1065" s="1684"/>
      <c r="AU1065" s="1684"/>
      <c r="AV1065" s="1684"/>
      <c r="AW1065" s="1684"/>
      <c r="AX1065" s="1684"/>
      <c r="AY1065" s="1684"/>
      <c r="AZ1065" s="1684"/>
      <c r="BA1065" s="1684"/>
      <c r="BB1065" s="1684"/>
      <c r="BC1065" s="1684"/>
      <c r="BD1065" s="1684"/>
      <c r="BE1065" s="1684"/>
      <c r="BF1065" s="1684"/>
      <c r="BG1065" s="1684"/>
      <c r="BH1065" s="1684"/>
      <c r="BI1065" s="1684"/>
      <c r="BJ1065" s="1684"/>
      <c r="BK1065" s="1684"/>
      <c r="BL1065" s="1684"/>
      <c r="BM1065" s="1684"/>
      <c r="BN1065" s="1684"/>
      <c r="BO1065" s="1684"/>
      <c r="BP1065" s="1684"/>
      <c r="BQ1065" s="1684"/>
      <c r="BR1065" s="1684"/>
      <c r="BS1065" s="1684"/>
      <c r="BT1065" s="1684"/>
      <c r="BU1065" s="1684"/>
      <c r="BV1065" s="1684"/>
      <c r="BW1065" s="1684"/>
      <c r="BX1065" s="1684"/>
      <c r="BY1065" s="1684"/>
      <c r="BZ1065" s="1684"/>
      <c r="CA1065" s="1684"/>
      <c r="CB1065" s="1684"/>
      <c r="CC1065" s="1684"/>
      <c r="CD1065" s="1684"/>
      <c r="CE1065" s="1684"/>
      <c r="CF1065" s="1684"/>
      <c r="CG1065" s="1684"/>
      <c r="CH1065" s="1684"/>
      <c r="CI1065" s="1684"/>
      <c r="CJ1065" s="1684"/>
      <c r="CK1065" s="1684"/>
      <c r="CL1065" s="1684"/>
      <c r="CM1065" s="1684"/>
      <c r="CN1065" s="1684"/>
      <c r="CO1065" s="1684"/>
    </row>
    <row r="1066" spans="1:93" s="1391" customFormat="1" ht="15" x14ac:dyDescent="0.2">
      <c r="A1066" s="1684"/>
      <c r="B1066" s="1684"/>
      <c r="C1066" s="4680" t="s">
        <v>3691</v>
      </c>
      <c r="D1066" s="4681"/>
      <c r="E1066" s="4681"/>
      <c r="F1066" s="4681"/>
      <c r="G1066" s="4681"/>
      <c r="H1066" s="4681"/>
      <c r="I1066" s="4681"/>
      <c r="J1066" s="4681"/>
      <c r="K1066" s="4681"/>
      <c r="L1066" s="4681"/>
      <c r="M1066" s="4681"/>
      <c r="N1066" s="4681"/>
      <c r="O1066" s="4681"/>
      <c r="P1066" s="4681"/>
      <c r="Q1066" s="4682"/>
      <c r="R1066"/>
      <c r="S1066" s="1684"/>
      <c r="T1066" s="1684"/>
      <c r="U1066" s="1684"/>
      <c r="V1066" s="1684"/>
      <c r="W1066" s="1684"/>
      <c r="X1066" s="1684"/>
      <c r="Y1066" s="1684"/>
      <c r="Z1066" s="1684"/>
      <c r="AA1066" s="1684"/>
      <c r="AB1066" s="1684"/>
      <c r="AC1066" s="1684"/>
      <c r="AD1066" s="1684"/>
      <c r="AE1066" s="1684"/>
      <c r="AF1066" s="1684"/>
      <c r="AG1066" s="1684"/>
      <c r="AH1066" s="1684"/>
      <c r="AI1066" s="1684"/>
      <c r="AJ1066" s="1684"/>
      <c r="AK1066" s="1684"/>
      <c r="AL1066" s="1684"/>
      <c r="AM1066" s="1684"/>
      <c r="AN1066" s="1684"/>
      <c r="AO1066" s="1684"/>
      <c r="AP1066" s="1684"/>
      <c r="AQ1066" s="1684"/>
      <c r="AR1066" s="1684"/>
      <c r="AS1066" s="1684"/>
      <c r="AT1066" s="1684"/>
      <c r="AU1066" s="1684"/>
      <c r="AV1066" s="1684"/>
      <c r="AW1066" s="1684"/>
      <c r="AX1066" s="1684"/>
      <c r="AY1066" s="1684"/>
      <c r="AZ1066" s="1684"/>
      <c r="BA1066" s="1684"/>
      <c r="BB1066" s="1684"/>
      <c r="BC1066" s="1684"/>
      <c r="BD1066" s="1684"/>
      <c r="BE1066" s="1684"/>
      <c r="BF1066" s="1684"/>
      <c r="BG1066" s="1684"/>
      <c r="BH1066" s="1684"/>
      <c r="BI1066" s="1684"/>
      <c r="BJ1066" s="1684"/>
      <c r="BK1066" s="1684"/>
      <c r="BL1066" s="1684"/>
      <c r="BM1066" s="1684"/>
      <c r="BN1066" s="1684"/>
      <c r="BO1066" s="1684"/>
      <c r="BP1066" s="1684"/>
      <c r="BQ1066" s="1684"/>
      <c r="BR1066" s="1684"/>
      <c r="BS1066" s="1684"/>
      <c r="BT1066" s="1684"/>
      <c r="BU1066" s="1684"/>
      <c r="BV1066" s="1684"/>
      <c r="BW1066" s="1684"/>
      <c r="BX1066" s="1684"/>
      <c r="BY1066" s="1684"/>
      <c r="BZ1066" s="1684"/>
      <c r="CA1066" s="1684"/>
      <c r="CB1066" s="1684"/>
      <c r="CC1066" s="1684"/>
      <c r="CD1066" s="1684"/>
      <c r="CE1066" s="1684"/>
      <c r="CF1066" s="1684"/>
      <c r="CG1066" s="1684"/>
      <c r="CH1066" s="1684"/>
      <c r="CI1066" s="1684"/>
      <c r="CJ1066" s="1684"/>
      <c r="CK1066" s="1684"/>
      <c r="CL1066" s="1684"/>
      <c r="CM1066" s="1684"/>
      <c r="CN1066" s="1684"/>
      <c r="CO1066" s="1684"/>
    </row>
    <row r="1067" spans="1:93" s="1391" customFormat="1" ht="15" x14ac:dyDescent="0.2">
      <c r="A1067" s="1684"/>
      <c r="B1067" s="1684"/>
      <c r="C1067" s="4680"/>
      <c r="D1067" s="4681"/>
      <c r="E1067" s="4681"/>
      <c r="F1067" s="4681"/>
      <c r="G1067" s="4681"/>
      <c r="H1067" s="4681"/>
      <c r="I1067" s="4681"/>
      <c r="J1067" s="4681"/>
      <c r="K1067" s="4681"/>
      <c r="L1067" s="4681"/>
      <c r="M1067" s="4681"/>
      <c r="N1067" s="4681"/>
      <c r="O1067" s="4681"/>
      <c r="P1067" s="4681"/>
      <c r="Q1067" s="4682"/>
      <c r="R1067"/>
      <c r="S1067" s="1684"/>
      <c r="T1067" s="1684"/>
      <c r="U1067" s="1684"/>
      <c r="V1067" s="1684"/>
      <c r="W1067" s="1684"/>
      <c r="X1067" s="1684"/>
      <c r="Y1067" s="1684"/>
      <c r="Z1067" s="1684"/>
      <c r="AA1067" s="1684"/>
      <c r="AB1067" s="1684"/>
      <c r="AC1067" s="1684"/>
      <c r="AD1067" s="1684"/>
      <c r="AE1067" s="1684"/>
      <c r="AF1067" s="1684"/>
      <c r="AG1067" s="1684"/>
      <c r="AH1067" s="1684"/>
      <c r="AI1067" s="1684"/>
      <c r="AJ1067" s="1684"/>
      <c r="AK1067" s="1684"/>
      <c r="AL1067" s="1684"/>
      <c r="AM1067" s="1684"/>
      <c r="AN1067" s="1684"/>
      <c r="AO1067" s="1684"/>
      <c r="AP1067" s="1684"/>
      <c r="AQ1067" s="1684"/>
      <c r="AR1067" s="1684"/>
      <c r="AS1067" s="1684"/>
      <c r="AT1067" s="1684"/>
      <c r="AU1067" s="1684"/>
      <c r="AV1067" s="1684"/>
      <c r="AW1067" s="1684"/>
      <c r="AX1067" s="1684"/>
      <c r="AY1067" s="1684"/>
      <c r="AZ1067" s="1684"/>
      <c r="BA1067" s="1684"/>
      <c r="BB1067" s="1684"/>
      <c r="BC1067" s="1684"/>
      <c r="BD1067" s="1684"/>
      <c r="BE1067" s="1684"/>
      <c r="BF1067" s="1684"/>
      <c r="BG1067" s="1684"/>
      <c r="BH1067" s="1684"/>
      <c r="BI1067" s="1684"/>
      <c r="BJ1067" s="1684"/>
      <c r="BK1067" s="1684"/>
      <c r="BL1067" s="1684"/>
      <c r="BM1067" s="1684"/>
      <c r="BN1067" s="1684"/>
      <c r="BO1067" s="1684"/>
      <c r="BP1067" s="1684"/>
      <c r="BQ1067" s="1684"/>
      <c r="BR1067" s="1684"/>
      <c r="BS1067" s="1684"/>
      <c r="BT1067" s="1684"/>
      <c r="BU1067" s="1684"/>
      <c r="BV1067" s="1684"/>
      <c r="BW1067" s="1684"/>
      <c r="BX1067" s="1684"/>
      <c r="BY1067" s="1684"/>
      <c r="BZ1067" s="1684"/>
      <c r="CA1067" s="1684"/>
      <c r="CB1067" s="1684"/>
      <c r="CC1067" s="1684"/>
      <c r="CD1067" s="1684"/>
      <c r="CE1067" s="1684"/>
      <c r="CF1067" s="1684"/>
      <c r="CG1067" s="1684"/>
      <c r="CH1067" s="1684"/>
      <c r="CI1067" s="1684"/>
      <c r="CJ1067" s="1684"/>
      <c r="CK1067" s="1684"/>
      <c r="CL1067" s="1684"/>
      <c r="CM1067" s="1684"/>
      <c r="CN1067" s="1684"/>
      <c r="CO1067" s="1684"/>
    </row>
    <row r="1068" spans="1:93" s="1391" customFormat="1" ht="15" x14ac:dyDescent="0.2">
      <c r="A1068" s="1684"/>
      <c r="B1068" s="1684"/>
      <c r="C1068" s="2014"/>
      <c r="D1068" s="2015"/>
      <c r="E1068" s="2015">
        <v>1</v>
      </c>
      <c r="F1068" s="2015">
        <v>2</v>
      </c>
      <c r="G1068" s="2015">
        <v>3</v>
      </c>
      <c r="H1068" s="2015">
        <v>4</v>
      </c>
      <c r="I1068" s="2015">
        <v>5</v>
      </c>
      <c r="J1068" s="2015">
        <v>6</v>
      </c>
      <c r="K1068" s="2015">
        <v>7</v>
      </c>
      <c r="L1068" s="2015">
        <v>8</v>
      </c>
      <c r="M1068" s="2015">
        <v>9</v>
      </c>
      <c r="N1068" s="2015">
        <v>10</v>
      </c>
      <c r="O1068" s="2015">
        <v>11</v>
      </c>
      <c r="P1068" s="2015">
        <v>12</v>
      </c>
      <c r="Q1068" s="2016"/>
      <c r="R1068"/>
      <c r="S1068" s="1684"/>
      <c r="T1068" s="1684"/>
      <c r="U1068" s="1684"/>
      <c r="V1068" s="1684"/>
      <c r="W1068" s="1684"/>
      <c r="X1068" s="1684"/>
      <c r="Y1068" s="1684"/>
      <c r="Z1068" s="1684"/>
      <c r="AA1068" s="1684"/>
      <c r="AB1068" s="1684"/>
      <c r="AC1068" s="1684"/>
      <c r="AD1068" s="1684"/>
      <c r="AE1068" s="1684"/>
      <c r="AF1068" s="1684"/>
      <c r="AG1068" s="1684"/>
      <c r="AH1068" s="1684"/>
      <c r="AI1068" s="1684"/>
      <c r="AJ1068" s="1684"/>
      <c r="AK1068" s="1684"/>
      <c r="AL1068" s="1684"/>
      <c r="AM1068" s="1684"/>
      <c r="AN1068" s="1684"/>
      <c r="AO1068" s="1684"/>
      <c r="AP1068" s="1684"/>
      <c r="AQ1068" s="1684"/>
      <c r="AR1068" s="1684"/>
      <c r="AS1068" s="1684"/>
      <c r="AT1068" s="1684"/>
      <c r="AU1068" s="1684"/>
      <c r="AV1068" s="1684"/>
      <c r="AW1068" s="1684"/>
      <c r="AX1068" s="1684"/>
      <c r="AY1068" s="1684"/>
      <c r="AZ1068" s="1684"/>
      <c r="BA1068" s="1684"/>
      <c r="BB1068" s="1684"/>
      <c r="BC1068" s="1684"/>
      <c r="BD1068" s="1684"/>
      <c r="BE1068" s="1684"/>
      <c r="BF1068" s="1684"/>
      <c r="BG1068" s="1684"/>
      <c r="BH1068" s="1684"/>
      <c r="BI1068" s="1684"/>
      <c r="BJ1068" s="1684"/>
      <c r="BK1068" s="1684"/>
      <c r="BL1068" s="1684"/>
      <c r="BM1068" s="1684"/>
      <c r="BN1068" s="1684"/>
      <c r="BO1068" s="1684"/>
      <c r="BP1068" s="1684"/>
      <c r="BQ1068" s="1684"/>
      <c r="BR1068" s="1684"/>
      <c r="BS1068" s="1684"/>
      <c r="BT1068" s="1684"/>
      <c r="BU1068" s="1684"/>
      <c r="BV1068" s="1684"/>
      <c r="BW1068" s="1684"/>
      <c r="BX1068" s="1684"/>
      <c r="BY1068" s="1684"/>
      <c r="BZ1068" s="1684"/>
      <c r="CA1068" s="1684"/>
      <c r="CB1068" s="1684"/>
      <c r="CC1068" s="1684"/>
      <c r="CD1068" s="1684"/>
      <c r="CE1068" s="1684"/>
      <c r="CF1068" s="1684"/>
      <c r="CG1068" s="1684"/>
      <c r="CH1068" s="1684"/>
      <c r="CI1068" s="1684"/>
      <c r="CJ1068" s="1684"/>
      <c r="CK1068" s="1684"/>
      <c r="CL1068" s="1684"/>
      <c r="CM1068" s="1684"/>
      <c r="CN1068" s="1684"/>
      <c r="CO1068" s="1684"/>
    </row>
    <row r="1069" spans="1:93" s="1391" customFormat="1" ht="15" x14ac:dyDescent="0.2">
      <c r="A1069" s="1684"/>
      <c r="B1069" s="1684"/>
      <c r="C1069" s="2013">
        <v>8</v>
      </c>
      <c r="D1069" s="5">
        <v>5.1239999999999997</v>
      </c>
      <c r="E1069">
        <v>133</v>
      </c>
      <c r="F1069">
        <v>147</v>
      </c>
      <c r="G1069">
        <v>161</v>
      </c>
      <c r="H1069">
        <v>175</v>
      </c>
      <c r="I1069">
        <v>189</v>
      </c>
      <c r="J1069">
        <v>203</v>
      </c>
      <c r="K1069">
        <v>217</v>
      </c>
      <c r="L1069">
        <v>232</v>
      </c>
      <c r="M1069">
        <v>245</v>
      </c>
      <c r="N1069">
        <v>259</v>
      </c>
      <c r="O1069">
        <v>273</v>
      </c>
      <c r="P1069">
        <v>287</v>
      </c>
      <c r="Q1069" s="1160">
        <v>12</v>
      </c>
      <c r="R1069"/>
      <c r="S1069" s="1684"/>
      <c r="T1069" s="1684"/>
      <c r="U1069" s="1684"/>
      <c r="V1069" s="1684"/>
      <c r="W1069" s="1684"/>
      <c r="X1069" s="1684"/>
      <c r="Y1069" s="1684"/>
      <c r="Z1069" s="1684"/>
      <c r="AA1069" s="1684"/>
      <c r="AB1069" s="1684"/>
      <c r="AC1069" s="1684"/>
      <c r="AD1069" s="1684"/>
      <c r="AE1069" s="1684"/>
      <c r="AF1069" s="1684"/>
      <c r="AG1069" s="1684"/>
      <c r="AH1069" s="1684"/>
      <c r="AI1069" s="1684"/>
      <c r="AJ1069" s="1684"/>
      <c r="AK1069" s="1684"/>
      <c r="AL1069" s="1684"/>
      <c r="AM1069" s="1684"/>
      <c r="AN1069" s="1684"/>
      <c r="AO1069" s="1684"/>
      <c r="AP1069" s="1684"/>
      <c r="AQ1069" s="1684"/>
      <c r="AR1069" s="1684"/>
      <c r="AS1069" s="1684"/>
      <c r="AT1069" s="1684"/>
      <c r="AU1069" s="1684"/>
      <c r="AV1069" s="1684"/>
      <c r="AW1069" s="1684"/>
      <c r="AX1069" s="1684"/>
      <c r="AY1069" s="1684"/>
      <c r="AZ1069" s="1684"/>
      <c r="BA1069" s="1684"/>
      <c r="BB1069" s="1684"/>
      <c r="BC1069" s="1684"/>
      <c r="BD1069" s="1684"/>
      <c r="BE1069" s="1684"/>
      <c r="BF1069" s="1684"/>
      <c r="BG1069" s="1684"/>
      <c r="BH1069" s="1684"/>
      <c r="BI1069" s="1684"/>
      <c r="BJ1069" s="1684"/>
      <c r="BK1069" s="1684"/>
      <c r="BL1069" s="1684"/>
      <c r="BM1069" s="1684"/>
      <c r="BN1069" s="1684"/>
      <c r="BO1069" s="1684"/>
      <c r="BP1069" s="1684"/>
      <c r="BQ1069" s="1684"/>
      <c r="BR1069" s="1684"/>
      <c r="BS1069" s="1684"/>
      <c r="BT1069" s="1684"/>
      <c r="BU1069" s="1684"/>
      <c r="BV1069" s="1684"/>
      <c r="BW1069" s="1684"/>
      <c r="BX1069" s="1684"/>
      <c r="BY1069" s="1684"/>
      <c r="BZ1069" s="1684"/>
      <c r="CA1069" s="1684"/>
      <c r="CB1069" s="1684"/>
      <c r="CC1069" s="1684"/>
      <c r="CD1069" s="1684"/>
      <c r="CE1069" s="1684"/>
      <c r="CF1069" s="1684"/>
      <c r="CG1069" s="1684"/>
      <c r="CH1069" s="1684"/>
      <c r="CI1069" s="1684"/>
      <c r="CJ1069" s="1684"/>
      <c r="CK1069" s="1684"/>
      <c r="CL1069" s="1684"/>
      <c r="CM1069" s="1684"/>
      <c r="CN1069" s="1684"/>
      <c r="CO1069" s="1684"/>
    </row>
    <row r="1070" spans="1:93" s="1391" customFormat="1" ht="15" x14ac:dyDescent="0.2">
      <c r="A1070" s="1684"/>
      <c r="B1070" s="1684"/>
      <c r="C1070" s="2013">
        <v>9</v>
      </c>
      <c r="D1070" s="5">
        <v>5.4130000000000003</v>
      </c>
      <c r="E1070">
        <v>146</v>
      </c>
      <c r="F1070">
        <v>162</v>
      </c>
      <c r="G1070">
        <v>177</v>
      </c>
      <c r="H1070">
        <v>192</v>
      </c>
      <c r="I1070">
        <v>208</v>
      </c>
      <c r="J1070">
        <v>223</v>
      </c>
      <c r="K1070">
        <v>238</v>
      </c>
      <c r="L1070">
        <v>255</v>
      </c>
      <c r="M1070">
        <v>269</v>
      </c>
      <c r="N1070">
        <v>284</v>
      </c>
      <c r="O1070">
        <v>300</v>
      </c>
      <c r="P1070">
        <v>313</v>
      </c>
      <c r="Q1070" s="1160">
        <v>13</v>
      </c>
      <c r="R1070"/>
      <c r="S1070" s="1684"/>
      <c r="T1070" s="1684"/>
      <c r="U1070" s="1684"/>
      <c r="V1070" s="1684"/>
      <c r="W1070" s="1684"/>
      <c r="X1070" s="1684"/>
      <c r="Y1070" s="1684"/>
      <c r="Z1070" s="1684"/>
      <c r="AA1070" s="1684"/>
      <c r="AB1070" s="1684"/>
      <c r="AC1070" s="1684"/>
      <c r="AD1070" s="1684"/>
      <c r="AE1070" s="1684"/>
      <c r="AF1070" s="1684"/>
      <c r="AG1070" s="1684"/>
      <c r="AH1070" s="1684"/>
      <c r="AI1070" s="1684"/>
      <c r="AJ1070" s="1684"/>
      <c r="AK1070" s="1684"/>
      <c r="AL1070" s="1684"/>
      <c r="AM1070" s="1684"/>
      <c r="AN1070" s="1684"/>
      <c r="AO1070" s="1684"/>
      <c r="AP1070" s="1684"/>
      <c r="AQ1070" s="1684"/>
      <c r="AR1070" s="1684"/>
      <c r="AS1070" s="1684"/>
      <c r="AT1070" s="1684"/>
      <c r="AU1070" s="1684"/>
      <c r="AV1070" s="1684"/>
      <c r="AW1070" s="1684"/>
      <c r="AX1070" s="1684"/>
      <c r="AY1070" s="1684"/>
      <c r="AZ1070" s="1684"/>
      <c r="BA1070" s="1684"/>
      <c r="BB1070" s="1684"/>
      <c r="BC1070" s="1684"/>
      <c r="BD1070" s="1684"/>
      <c r="BE1070" s="1684"/>
      <c r="BF1070" s="1684"/>
      <c r="BG1070" s="1684"/>
      <c r="BH1070" s="1684"/>
      <c r="BI1070" s="1684"/>
      <c r="BJ1070" s="1684"/>
      <c r="BK1070" s="1684"/>
      <c r="BL1070" s="1684"/>
      <c r="BM1070" s="1684"/>
      <c r="BN1070" s="1684"/>
      <c r="BO1070" s="1684"/>
      <c r="BP1070" s="1684"/>
      <c r="BQ1070" s="1684"/>
      <c r="BR1070" s="1684"/>
      <c r="BS1070" s="1684"/>
      <c r="BT1070" s="1684"/>
      <c r="BU1070" s="1684"/>
      <c r="BV1070" s="1684"/>
      <c r="BW1070" s="1684"/>
      <c r="BX1070" s="1684"/>
      <c r="BY1070" s="1684"/>
      <c r="BZ1070" s="1684"/>
      <c r="CA1070" s="1684"/>
      <c r="CB1070" s="1684"/>
      <c r="CC1070" s="1684"/>
      <c r="CD1070" s="1684"/>
      <c r="CE1070" s="1684"/>
      <c r="CF1070" s="1684"/>
      <c r="CG1070" s="1684"/>
      <c r="CH1070" s="1684"/>
      <c r="CI1070" s="1684"/>
      <c r="CJ1070" s="1684"/>
      <c r="CK1070" s="1684"/>
      <c r="CL1070" s="1684"/>
      <c r="CM1070" s="1684"/>
      <c r="CN1070" s="1684"/>
      <c r="CO1070" s="1684"/>
    </row>
    <row r="1071" spans="1:93" s="1391" customFormat="1" ht="15" x14ac:dyDescent="0.2">
      <c r="A1071" s="1684"/>
      <c r="B1071" s="1684"/>
      <c r="C1071" s="2013">
        <v>10</v>
      </c>
      <c r="D1071" s="5">
        <v>5.7140000000000004</v>
      </c>
      <c r="E1071">
        <v>159</v>
      </c>
      <c r="F1071">
        <v>177</v>
      </c>
      <c r="G1071">
        <v>193</v>
      </c>
      <c r="H1071">
        <v>210</v>
      </c>
      <c r="I1071">
        <v>227</v>
      </c>
      <c r="J1071">
        <v>244</v>
      </c>
      <c r="K1071">
        <v>260</v>
      </c>
      <c r="L1071">
        <v>278</v>
      </c>
      <c r="M1071">
        <v>294</v>
      </c>
      <c r="N1071">
        <v>311</v>
      </c>
      <c r="O1071">
        <v>327</v>
      </c>
      <c r="P1071">
        <v>344</v>
      </c>
      <c r="Q1071" s="1160">
        <v>14</v>
      </c>
      <c r="R1071"/>
      <c r="S1071" s="1684"/>
      <c r="T1071" s="1684"/>
      <c r="U1071" s="1684"/>
      <c r="V1071" s="1684"/>
      <c r="W1071" s="1684"/>
      <c r="X1071" s="1684"/>
      <c r="Y1071" s="1684"/>
      <c r="Z1071" s="1684"/>
      <c r="AA1071" s="1684"/>
      <c r="AB1071" s="1684"/>
      <c r="AC1071" s="1684"/>
      <c r="AD1071" s="1684"/>
      <c r="AE1071" s="1684"/>
      <c r="AF1071" s="1684"/>
      <c r="AG1071" s="1684"/>
      <c r="AH1071" s="1684"/>
      <c r="AI1071" s="1684"/>
      <c r="AJ1071" s="1684"/>
      <c r="AK1071" s="1684"/>
      <c r="AL1071" s="1684"/>
      <c r="AM1071" s="1684"/>
      <c r="AN1071" s="1684"/>
      <c r="AO1071" s="1684"/>
      <c r="AP1071" s="1684"/>
      <c r="AQ1071" s="1684"/>
      <c r="AR1071" s="1684"/>
      <c r="AS1071" s="1684"/>
      <c r="AT1071" s="1684"/>
      <c r="AU1071" s="1684"/>
      <c r="AV1071" s="1684"/>
      <c r="AW1071" s="1684"/>
      <c r="AX1071" s="1684"/>
      <c r="AY1071" s="1684"/>
      <c r="AZ1071" s="1684"/>
      <c r="BA1071" s="1684"/>
      <c r="BB1071" s="1684"/>
      <c r="BC1071" s="1684"/>
      <c r="BD1071" s="1684"/>
      <c r="BE1071" s="1684"/>
      <c r="BF1071" s="1684"/>
      <c r="BG1071" s="1684"/>
      <c r="BH1071" s="1684"/>
      <c r="BI1071" s="1684"/>
      <c r="BJ1071" s="1684"/>
      <c r="BK1071" s="1684"/>
      <c r="BL1071" s="1684"/>
      <c r="BM1071" s="1684"/>
      <c r="BN1071" s="1684"/>
      <c r="BO1071" s="1684"/>
      <c r="BP1071" s="1684"/>
      <c r="BQ1071" s="1684"/>
      <c r="BR1071" s="1684"/>
      <c r="BS1071" s="1684"/>
      <c r="BT1071" s="1684"/>
      <c r="BU1071" s="1684"/>
      <c r="BV1071" s="1684"/>
      <c r="BW1071" s="1684"/>
      <c r="BX1071" s="1684"/>
      <c r="BY1071" s="1684"/>
      <c r="BZ1071" s="1684"/>
      <c r="CA1071" s="1684"/>
      <c r="CB1071" s="1684"/>
      <c r="CC1071" s="1684"/>
      <c r="CD1071" s="1684"/>
      <c r="CE1071" s="1684"/>
      <c r="CF1071" s="1684"/>
      <c r="CG1071" s="1684"/>
      <c r="CH1071" s="1684"/>
      <c r="CI1071" s="1684"/>
      <c r="CJ1071" s="1684"/>
      <c r="CK1071" s="1684"/>
      <c r="CL1071" s="1684"/>
      <c r="CM1071" s="1684"/>
      <c r="CN1071" s="1684"/>
      <c r="CO1071" s="1684"/>
    </row>
    <row r="1072" spans="1:93" s="1391" customFormat="1" ht="15" x14ac:dyDescent="0.2">
      <c r="A1072" s="1684"/>
      <c r="B1072" s="1684"/>
      <c r="C1072" s="2013">
        <v>11</v>
      </c>
      <c r="D1072" s="5">
        <v>6.048</v>
      </c>
      <c r="E1072">
        <v>174</v>
      </c>
      <c r="F1072">
        <v>193</v>
      </c>
      <c r="G1072">
        <v>211</v>
      </c>
      <c r="H1072">
        <v>230</v>
      </c>
      <c r="I1072">
        <v>248</v>
      </c>
      <c r="J1072">
        <v>266</v>
      </c>
      <c r="K1072">
        <v>285</v>
      </c>
      <c r="L1072">
        <v>304</v>
      </c>
      <c r="M1072">
        <v>321</v>
      </c>
      <c r="N1072">
        <v>339</v>
      </c>
      <c r="O1072">
        <v>358</v>
      </c>
      <c r="P1072">
        <v>376</v>
      </c>
      <c r="Q1072" s="1160">
        <v>15</v>
      </c>
      <c r="R1072"/>
      <c r="S1072" s="1684"/>
      <c r="T1072" s="1684"/>
      <c r="U1072" s="1684"/>
      <c r="V1072" s="1684"/>
      <c r="W1072" s="1684"/>
      <c r="X1072" s="1684"/>
      <c r="Y1072" s="1684"/>
      <c r="Z1072" s="1684"/>
      <c r="AA1072" s="1684"/>
      <c r="AB1072" s="1684"/>
      <c r="AC1072" s="1684"/>
      <c r="AD1072" s="1684"/>
      <c r="AE1072" s="1684"/>
      <c r="AF1072" s="1684"/>
      <c r="AG1072" s="1684"/>
      <c r="AH1072" s="1684"/>
      <c r="AI1072" s="1684"/>
      <c r="AJ1072" s="1684"/>
      <c r="AK1072" s="1684"/>
      <c r="AL1072" s="1684"/>
      <c r="AM1072" s="1684"/>
      <c r="AN1072" s="1684"/>
      <c r="AO1072" s="1684"/>
      <c r="AP1072" s="1684"/>
      <c r="AQ1072" s="1684"/>
      <c r="AR1072" s="1684"/>
      <c r="AS1072" s="1684"/>
      <c r="AT1072" s="1684"/>
      <c r="AU1072" s="1684"/>
      <c r="AV1072" s="1684"/>
      <c r="AW1072" s="1684"/>
      <c r="AX1072" s="1684"/>
      <c r="AY1072" s="1684"/>
      <c r="AZ1072" s="1684"/>
      <c r="BA1072" s="1684"/>
      <c r="BB1072" s="1684"/>
      <c r="BC1072" s="1684"/>
      <c r="BD1072" s="1684"/>
      <c r="BE1072" s="1684"/>
      <c r="BF1072" s="1684"/>
      <c r="BG1072" s="1684"/>
      <c r="BH1072" s="1684"/>
      <c r="BI1072" s="1684"/>
      <c r="BJ1072" s="1684"/>
      <c r="BK1072" s="1684"/>
      <c r="BL1072" s="1684"/>
      <c r="BM1072" s="1684"/>
      <c r="BN1072" s="1684"/>
      <c r="BO1072" s="1684"/>
      <c r="BP1072" s="1684"/>
      <c r="BQ1072" s="1684"/>
      <c r="BR1072" s="1684"/>
      <c r="BS1072" s="1684"/>
      <c r="BT1072" s="1684"/>
      <c r="BU1072" s="1684"/>
      <c r="BV1072" s="1684"/>
      <c r="BW1072" s="1684"/>
      <c r="BX1072" s="1684"/>
      <c r="BY1072" s="1684"/>
      <c r="BZ1072" s="1684"/>
      <c r="CA1072" s="1684"/>
      <c r="CB1072" s="1684"/>
      <c r="CC1072" s="1684"/>
      <c r="CD1072" s="1684"/>
      <c r="CE1072" s="1684"/>
      <c r="CF1072" s="1684"/>
      <c r="CG1072" s="1684"/>
      <c r="CH1072" s="1684"/>
      <c r="CI1072" s="1684"/>
      <c r="CJ1072" s="1684"/>
      <c r="CK1072" s="1684"/>
      <c r="CL1072" s="1684"/>
      <c r="CM1072" s="1684"/>
      <c r="CN1072" s="1684"/>
      <c r="CO1072" s="1684"/>
    </row>
    <row r="1073" spans="1:93" s="1391" customFormat="1" ht="15" x14ac:dyDescent="0.2">
      <c r="A1073" s="1684"/>
      <c r="B1073" s="1684"/>
      <c r="C1073" s="2013">
        <v>12</v>
      </c>
      <c r="D1073" s="5">
        <v>6.39</v>
      </c>
      <c r="E1073">
        <v>189</v>
      </c>
      <c r="F1073">
        <v>210</v>
      </c>
      <c r="G1073">
        <v>230</v>
      </c>
      <c r="H1073">
        <v>250</v>
      </c>
      <c r="I1073">
        <v>270</v>
      </c>
      <c r="J1073">
        <v>290</v>
      </c>
      <c r="K1073">
        <v>309</v>
      </c>
      <c r="L1073">
        <v>330</v>
      </c>
      <c r="M1073">
        <v>349</v>
      </c>
      <c r="N1073">
        <v>369</v>
      </c>
      <c r="O1073">
        <v>389</v>
      </c>
      <c r="P1073">
        <v>409</v>
      </c>
      <c r="Q1073" s="1160">
        <v>16</v>
      </c>
      <c r="R1073"/>
      <c r="S1073" s="1684"/>
      <c r="T1073" s="1684"/>
      <c r="U1073" s="1684"/>
      <c r="V1073" s="1684"/>
      <c r="W1073" s="1684"/>
      <c r="X1073" s="1684"/>
      <c r="Y1073" s="1684"/>
      <c r="Z1073" s="1684"/>
      <c r="AA1073" s="1684"/>
      <c r="AB1073" s="1684"/>
      <c r="AC1073" s="1684"/>
      <c r="AD1073" s="1684"/>
      <c r="AE1073" s="1684"/>
      <c r="AF1073" s="1684"/>
      <c r="AG1073" s="1684"/>
      <c r="AH1073" s="1684"/>
      <c r="AI1073" s="1684"/>
      <c r="AJ1073" s="1684"/>
      <c r="AK1073" s="1684"/>
      <c r="AL1073" s="1684"/>
      <c r="AM1073" s="1684"/>
      <c r="AN1073" s="1684"/>
      <c r="AO1073" s="1684"/>
      <c r="AP1073" s="1684"/>
      <c r="AQ1073" s="1684"/>
      <c r="AR1073" s="1684"/>
      <c r="AS1073" s="1684"/>
      <c r="AT1073" s="1684"/>
      <c r="AU1073" s="1684"/>
      <c r="AV1073" s="1684"/>
      <c r="AW1073" s="1684"/>
      <c r="AX1073" s="1684"/>
      <c r="AY1073" s="1684"/>
      <c r="AZ1073" s="1684"/>
      <c r="BA1073" s="1684"/>
      <c r="BB1073" s="1684"/>
      <c r="BC1073" s="1684"/>
      <c r="BD1073" s="1684"/>
      <c r="BE1073" s="1684"/>
      <c r="BF1073" s="1684"/>
      <c r="BG1073" s="1684"/>
      <c r="BH1073" s="1684"/>
      <c r="BI1073" s="1684"/>
      <c r="BJ1073" s="1684"/>
      <c r="BK1073" s="1684"/>
      <c r="BL1073" s="1684"/>
      <c r="BM1073" s="1684"/>
      <c r="BN1073" s="1684"/>
      <c r="BO1073" s="1684"/>
      <c r="BP1073" s="1684"/>
      <c r="BQ1073" s="1684"/>
      <c r="BR1073" s="1684"/>
      <c r="BS1073" s="1684"/>
      <c r="BT1073" s="1684"/>
      <c r="BU1073" s="1684"/>
      <c r="BV1073" s="1684"/>
      <c r="BW1073" s="1684"/>
      <c r="BX1073" s="1684"/>
      <c r="BY1073" s="1684"/>
      <c r="BZ1073" s="1684"/>
      <c r="CA1073" s="1684"/>
      <c r="CB1073" s="1684"/>
      <c r="CC1073" s="1684"/>
      <c r="CD1073" s="1684"/>
      <c r="CE1073" s="1684"/>
      <c r="CF1073" s="1684"/>
      <c r="CG1073" s="1684"/>
      <c r="CH1073" s="1684"/>
      <c r="CI1073" s="1684"/>
      <c r="CJ1073" s="1684"/>
      <c r="CK1073" s="1684"/>
      <c r="CL1073" s="1684"/>
      <c r="CM1073" s="1684"/>
      <c r="CN1073" s="1684"/>
      <c r="CO1073" s="1684"/>
    </row>
    <row r="1074" spans="1:93" s="1391" customFormat="1" ht="15" x14ac:dyDescent="0.2">
      <c r="A1074" s="1684"/>
      <c r="B1074" s="1684"/>
      <c r="C1074" s="2013">
        <v>13</v>
      </c>
      <c r="D1074" s="5">
        <v>6.74</v>
      </c>
      <c r="E1074">
        <v>204</v>
      </c>
      <c r="F1074">
        <v>227</v>
      </c>
      <c r="G1074">
        <v>248</v>
      </c>
      <c r="H1074">
        <v>270</v>
      </c>
      <c r="I1074">
        <v>291</v>
      </c>
      <c r="J1074">
        <v>313</v>
      </c>
      <c r="K1074">
        <v>334</v>
      </c>
      <c r="L1074">
        <v>357</v>
      </c>
      <c r="M1074">
        <v>377</v>
      </c>
      <c r="N1074">
        <v>399</v>
      </c>
      <c r="O1074">
        <v>420</v>
      </c>
      <c r="P1074">
        <v>442</v>
      </c>
      <c r="Q1074" s="1160">
        <v>17</v>
      </c>
      <c r="R1074"/>
      <c r="S1074" s="1684"/>
      <c r="T1074" s="1684"/>
      <c r="U1074" s="1684"/>
      <c r="V1074" s="1684"/>
      <c r="W1074" s="1684"/>
      <c r="X1074" s="1684"/>
      <c r="Y1074" s="1684"/>
      <c r="Z1074" s="1684"/>
      <c r="AA1074" s="1684"/>
      <c r="AB1074" s="1684"/>
      <c r="AC1074" s="1684"/>
      <c r="AD1074" s="1684"/>
      <c r="AE1074" s="1684"/>
      <c r="AF1074" s="1684"/>
      <c r="AG1074" s="1684"/>
      <c r="AH1074" s="1684"/>
      <c r="AI1074" s="1684"/>
      <c r="AJ1074" s="1684"/>
      <c r="AK1074" s="1684"/>
      <c r="AL1074" s="1684"/>
      <c r="AM1074" s="1684"/>
      <c r="AN1074" s="1684"/>
      <c r="AO1074" s="1684"/>
      <c r="AP1074" s="1684"/>
      <c r="AQ1074" s="1684"/>
      <c r="AR1074" s="1684"/>
      <c r="AS1074" s="1684"/>
      <c r="AT1074" s="1684"/>
      <c r="AU1074" s="1684"/>
      <c r="AV1074" s="1684"/>
      <c r="AW1074" s="1684"/>
      <c r="AX1074" s="1684"/>
      <c r="AY1074" s="1684"/>
      <c r="AZ1074" s="1684"/>
      <c r="BA1074" s="1684"/>
      <c r="BB1074" s="1684"/>
      <c r="BC1074" s="1684"/>
      <c r="BD1074" s="1684"/>
      <c r="BE1074" s="1684"/>
      <c r="BF1074" s="1684"/>
      <c r="BG1074" s="1684"/>
      <c r="BH1074" s="1684"/>
      <c r="BI1074" s="1684"/>
      <c r="BJ1074" s="1684"/>
      <c r="BK1074" s="1684"/>
      <c r="BL1074" s="1684"/>
      <c r="BM1074" s="1684"/>
      <c r="BN1074" s="1684"/>
      <c r="BO1074" s="1684"/>
      <c r="BP1074" s="1684"/>
      <c r="BQ1074" s="1684"/>
      <c r="BR1074" s="1684"/>
      <c r="BS1074" s="1684"/>
      <c r="BT1074" s="1684"/>
      <c r="BU1074" s="1684"/>
      <c r="BV1074" s="1684"/>
      <c r="BW1074" s="1684"/>
      <c r="BX1074" s="1684"/>
      <c r="BY1074" s="1684"/>
      <c r="BZ1074" s="1684"/>
      <c r="CA1074" s="1684"/>
      <c r="CB1074" s="1684"/>
      <c r="CC1074" s="1684"/>
      <c r="CD1074" s="1684"/>
      <c r="CE1074" s="1684"/>
      <c r="CF1074" s="1684"/>
      <c r="CG1074" s="1684"/>
      <c r="CH1074" s="1684"/>
      <c r="CI1074" s="1684"/>
      <c r="CJ1074" s="1684"/>
      <c r="CK1074" s="1684"/>
      <c r="CL1074" s="1684"/>
      <c r="CM1074" s="1684"/>
      <c r="CN1074" s="1684"/>
      <c r="CO1074" s="1684"/>
    </row>
    <row r="1075" spans="1:93" s="1391" customFormat="1" ht="15" x14ac:dyDescent="0.2">
      <c r="A1075" s="1684"/>
      <c r="B1075" s="1684"/>
      <c r="C1075" s="2013">
        <v>14</v>
      </c>
      <c r="D1075" s="5">
        <v>7.101</v>
      </c>
      <c r="E1075">
        <v>220</v>
      </c>
      <c r="F1075">
        <v>244</v>
      </c>
      <c r="G1075">
        <v>267</v>
      </c>
      <c r="H1075">
        <v>291</v>
      </c>
      <c r="I1075">
        <v>314</v>
      </c>
      <c r="J1075">
        <v>337</v>
      </c>
      <c r="K1075">
        <v>360</v>
      </c>
      <c r="L1075">
        <v>384</v>
      </c>
      <c r="M1075">
        <v>406</v>
      </c>
      <c r="N1075">
        <v>430</v>
      </c>
      <c r="O1075">
        <v>453</v>
      </c>
      <c r="P1075">
        <v>476</v>
      </c>
      <c r="Q1075" s="1160">
        <v>18</v>
      </c>
      <c r="R1075"/>
      <c r="S1075" s="1684"/>
      <c r="T1075" s="1684"/>
      <c r="U1075" s="1684"/>
      <c r="V1075" s="1684"/>
      <c r="W1075" s="1684"/>
      <c r="X1075" s="1684"/>
      <c r="Y1075" s="1684"/>
      <c r="Z1075" s="1684"/>
      <c r="AA1075" s="1684"/>
      <c r="AB1075" s="1684"/>
      <c r="AC1075" s="1684"/>
      <c r="AD1075" s="1684"/>
      <c r="AE1075" s="1684"/>
      <c r="AF1075" s="1684"/>
      <c r="AG1075" s="1684"/>
      <c r="AH1075" s="1684"/>
      <c r="AI1075" s="1684"/>
      <c r="AJ1075" s="1684"/>
      <c r="AK1075" s="1684"/>
      <c r="AL1075" s="1684"/>
      <c r="AM1075" s="1684"/>
      <c r="AN1075" s="1684"/>
      <c r="AO1075" s="1684"/>
      <c r="AP1075" s="1684"/>
      <c r="AQ1075" s="1684"/>
      <c r="AR1075" s="1684"/>
      <c r="AS1075" s="1684"/>
      <c r="AT1075" s="1684"/>
      <c r="AU1075" s="1684"/>
      <c r="AV1075" s="1684"/>
      <c r="AW1075" s="1684"/>
      <c r="AX1075" s="1684"/>
      <c r="AY1075" s="1684"/>
      <c r="AZ1075" s="1684"/>
      <c r="BA1075" s="1684"/>
      <c r="BB1075" s="1684"/>
      <c r="BC1075" s="1684"/>
      <c r="BD1075" s="1684"/>
      <c r="BE1075" s="1684"/>
      <c r="BF1075" s="1684"/>
      <c r="BG1075" s="1684"/>
      <c r="BH1075" s="1684"/>
      <c r="BI1075" s="1684"/>
      <c r="BJ1075" s="1684"/>
      <c r="BK1075" s="1684"/>
      <c r="BL1075" s="1684"/>
      <c r="BM1075" s="1684"/>
      <c r="BN1075" s="1684"/>
      <c r="BO1075" s="1684"/>
      <c r="BP1075" s="1684"/>
      <c r="BQ1075" s="1684"/>
      <c r="BR1075" s="1684"/>
      <c r="BS1075" s="1684"/>
      <c r="BT1075" s="1684"/>
      <c r="BU1075" s="1684"/>
      <c r="BV1075" s="1684"/>
      <c r="BW1075" s="1684"/>
      <c r="BX1075" s="1684"/>
      <c r="BY1075" s="1684"/>
      <c r="BZ1075" s="1684"/>
      <c r="CA1075" s="1684"/>
      <c r="CB1075" s="1684"/>
      <c r="CC1075" s="1684"/>
      <c r="CD1075" s="1684"/>
      <c r="CE1075" s="1684"/>
      <c r="CF1075" s="1684"/>
      <c r="CG1075" s="1684"/>
      <c r="CH1075" s="1684"/>
      <c r="CI1075" s="1684"/>
      <c r="CJ1075" s="1684"/>
      <c r="CK1075" s="1684"/>
      <c r="CL1075" s="1684"/>
      <c r="CM1075" s="1684"/>
      <c r="CN1075" s="1684"/>
      <c r="CO1075" s="1684"/>
    </row>
    <row r="1076" spans="1:93" s="1391" customFormat="1" ht="15" x14ac:dyDescent="0.2">
      <c r="A1076" s="1684"/>
      <c r="B1076" s="1684"/>
      <c r="C1076" s="2013">
        <v>15</v>
      </c>
      <c r="D1076" s="5">
        <v>7.468</v>
      </c>
      <c r="E1076">
        <v>236</v>
      </c>
      <c r="F1076">
        <v>262</v>
      </c>
      <c r="G1076">
        <v>287</v>
      </c>
      <c r="H1076">
        <v>312</v>
      </c>
      <c r="I1076">
        <v>336</v>
      </c>
      <c r="J1076">
        <v>361</v>
      </c>
      <c r="K1076">
        <v>386</v>
      </c>
      <c r="L1076">
        <v>412</v>
      </c>
      <c r="M1076">
        <v>436</v>
      </c>
      <c r="N1076">
        <v>461</v>
      </c>
      <c r="O1076">
        <v>485</v>
      </c>
      <c r="P1076">
        <v>510</v>
      </c>
      <c r="Q1076" s="1160">
        <v>19</v>
      </c>
      <c r="R1076"/>
      <c r="S1076" s="1684"/>
      <c r="T1076" s="1684"/>
      <c r="U1076" s="1684"/>
      <c r="V1076" s="1684"/>
      <c r="W1076" s="1684"/>
      <c r="X1076" s="1684"/>
      <c r="Y1076" s="1684"/>
      <c r="Z1076" s="1684"/>
      <c r="AA1076" s="1684"/>
      <c r="AB1076" s="1684"/>
      <c r="AC1076" s="1684"/>
      <c r="AD1076" s="1684"/>
      <c r="AE1076" s="1684"/>
      <c r="AF1076" s="1684"/>
      <c r="AG1076" s="1684"/>
      <c r="AH1076" s="1684"/>
      <c r="AI1076" s="1684"/>
      <c r="AJ1076" s="1684"/>
      <c r="AK1076" s="1684"/>
      <c r="AL1076" s="1684"/>
      <c r="AM1076" s="1684"/>
      <c r="AN1076" s="1684"/>
      <c r="AO1076" s="1684"/>
      <c r="AP1076" s="1684"/>
      <c r="AQ1076" s="1684"/>
      <c r="AR1076" s="1684"/>
      <c r="AS1076" s="1684"/>
      <c r="AT1076" s="1684"/>
      <c r="AU1076" s="1684"/>
      <c r="AV1076" s="1684"/>
      <c r="AW1076" s="1684"/>
      <c r="AX1076" s="1684"/>
      <c r="AY1076" s="1684"/>
      <c r="AZ1076" s="1684"/>
      <c r="BA1076" s="1684"/>
      <c r="BB1076" s="1684"/>
      <c r="BC1076" s="1684"/>
      <c r="BD1076" s="1684"/>
      <c r="BE1076" s="1684"/>
      <c r="BF1076" s="1684"/>
      <c r="BG1076" s="1684"/>
      <c r="BH1076" s="1684"/>
      <c r="BI1076" s="1684"/>
      <c r="BJ1076" s="1684"/>
      <c r="BK1076" s="1684"/>
      <c r="BL1076" s="1684"/>
      <c r="BM1076" s="1684"/>
      <c r="BN1076" s="1684"/>
      <c r="BO1076" s="1684"/>
      <c r="BP1076" s="1684"/>
      <c r="BQ1076" s="1684"/>
      <c r="BR1076" s="1684"/>
      <c r="BS1076" s="1684"/>
      <c r="BT1076" s="1684"/>
      <c r="BU1076" s="1684"/>
      <c r="BV1076" s="1684"/>
      <c r="BW1076" s="1684"/>
      <c r="BX1076" s="1684"/>
      <c r="BY1076" s="1684"/>
      <c r="BZ1076" s="1684"/>
      <c r="CA1076" s="1684"/>
      <c r="CB1076" s="1684"/>
      <c r="CC1076" s="1684"/>
      <c r="CD1076" s="1684"/>
      <c r="CE1076" s="1684"/>
      <c r="CF1076" s="1684"/>
      <c r="CG1076" s="1684"/>
      <c r="CH1076" s="1684"/>
      <c r="CI1076" s="1684"/>
      <c r="CJ1076" s="1684"/>
      <c r="CK1076" s="1684"/>
      <c r="CL1076" s="1684"/>
      <c r="CM1076" s="1684"/>
      <c r="CN1076" s="1684"/>
      <c r="CO1076" s="1684"/>
    </row>
    <row r="1077" spans="1:93" s="1391" customFormat="1" ht="15" x14ac:dyDescent="0.2">
      <c r="A1077" s="1684"/>
      <c r="B1077" s="1684"/>
      <c r="C1077" s="2013">
        <v>16</v>
      </c>
      <c r="D1077" s="5">
        <v>7.9640000000000004</v>
      </c>
      <c r="E1077">
        <v>251</v>
      </c>
      <c r="F1077">
        <v>279</v>
      </c>
      <c r="G1077">
        <v>305</v>
      </c>
      <c r="H1077">
        <v>332</v>
      </c>
      <c r="I1077">
        <v>358</v>
      </c>
      <c r="J1077">
        <v>385</v>
      </c>
      <c r="K1077">
        <v>411</v>
      </c>
      <c r="L1077">
        <v>439</v>
      </c>
      <c r="M1077">
        <v>464</v>
      </c>
      <c r="N1077">
        <v>490</v>
      </c>
      <c r="O1077">
        <v>517</v>
      </c>
      <c r="P1077">
        <v>543</v>
      </c>
      <c r="Q1077" s="1160">
        <v>20</v>
      </c>
      <c r="R1077"/>
      <c r="S1077" s="1684"/>
      <c r="T1077" s="1684"/>
      <c r="U1077" s="1684"/>
      <c r="V1077" s="1684"/>
      <c r="W1077" s="1684"/>
      <c r="X1077" s="1684"/>
      <c r="Y1077" s="1684"/>
      <c r="Z1077" s="1684"/>
      <c r="AA1077" s="1684"/>
      <c r="AB1077" s="1684"/>
      <c r="AC1077" s="1684"/>
      <c r="AD1077" s="1684"/>
      <c r="AE1077" s="1684"/>
      <c r="AF1077" s="1684"/>
      <c r="AG1077" s="1684"/>
      <c r="AH1077" s="1684"/>
      <c r="AI1077" s="1684"/>
      <c r="AJ1077" s="1684"/>
      <c r="AK1077" s="1684"/>
      <c r="AL1077" s="1684"/>
      <c r="AM1077" s="1684"/>
      <c r="AN1077" s="1684"/>
      <c r="AO1077" s="1684"/>
      <c r="AP1077" s="1684"/>
      <c r="AQ1077" s="1684"/>
      <c r="AR1077" s="1684"/>
      <c r="AS1077" s="1684"/>
      <c r="AT1077" s="1684"/>
      <c r="AU1077" s="1684"/>
      <c r="AV1077" s="1684"/>
      <c r="AW1077" s="1684"/>
      <c r="AX1077" s="1684"/>
      <c r="AY1077" s="1684"/>
      <c r="AZ1077" s="1684"/>
      <c r="BA1077" s="1684"/>
      <c r="BB1077" s="1684"/>
      <c r="BC1077" s="1684"/>
      <c r="BD1077" s="1684"/>
      <c r="BE1077" s="1684"/>
      <c r="BF1077" s="1684"/>
      <c r="BG1077" s="1684"/>
      <c r="BH1077" s="1684"/>
      <c r="BI1077" s="1684"/>
      <c r="BJ1077" s="1684"/>
      <c r="BK1077" s="1684"/>
      <c r="BL1077" s="1684"/>
      <c r="BM1077" s="1684"/>
      <c r="BN1077" s="1684"/>
      <c r="BO1077" s="1684"/>
      <c r="BP1077" s="1684"/>
      <c r="BQ1077" s="1684"/>
      <c r="BR1077" s="1684"/>
      <c r="BS1077" s="1684"/>
      <c r="BT1077" s="1684"/>
      <c r="BU1077" s="1684"/>
      <c r="BV1077" s="1684"/>
      <c r="BW1077" s="1684"/>
      <c r="BX1077" s="1684"/>
      <c r="BY1077" s="1684"/>
      <c r="BZ1077" s="1684"/>
      <c r="CA1077" s="1684"/>
      <c r="CB1077" s="1684"/>
      <c r="CC1077" s="1684"/>
      <c r="CD1077" s="1684"/>
      <c r="CE1077" s="1684"/>
      <c r="CF1077" s="1684"/>
      <c r="CG1077" s="1684"/>
      <c r="CH1077" s="1684"/>
      <c r="CI1077" s="1684"/>
      <c r="CJ1077" s="1684"/>
      <c r="CK1077" s="1684"/>
      <c r="CL1077" s="1684"/>
      <c r="CM1077" s="1684"/>
      <c r="CN1077" s="1684"/>
      <c r="CO1077" s="1684"/>
    </row>
    <row r="1078" spans="1:93" s="1391" customFormat="1" ht="15" x14ac:dyDescent="0.2">
      <c r="A1078" s="1684"/>
      <c r="B1078" s="1684"/>
      <c r="C1078" s="2013">
        <v>17</v>
      </c>
      <c r="D1078" s="5">
        <v>8.4670000000000005</v>
      </c>
      <c r="E1078">
        <v>265</v>
      </c>
      <c r="F1078">
        <v>294</v>
      </c>
      <c r="G1078">
        <v>322</v>
      </c>
      <c r="H1078">
        <v>350</v>
      </c>
      <c r="I1078">
        <v>378</v>
      </c>
      <c r="J1078">
        <v>406</v>
      </c>
      <c r="K1078">
        <v>434</v>
      </c>
      <c r="L1078">
        <v>463</v>
      </c>
      <c r="M1078">
        <v>490</v>
      </c>
      <c r="N1078">
        <v>518</v>
      </c>
      <c r="O1078">
        <v>545</v>
      </c>
      <c r="P1078">
        <v>573</v>
      </c>
      <c r="Q1078" s="1160">
        <v>21</v>
      </c>
      <c r="R1078"/>
      <c r="S1078" s="1684"/>
      <c r="T1078" s="1684"/>
      <c r="U1078" s="1684"/>
      <c r="V1078" s="1684"/>
      <c r="W1078" s="1684"/>
      <c r="X1078" s="1684"/>
      <c r="Y1078" s="1684"/>
      <c r="Z1078" s="1684"/>
      <c r="AA1078" s="1684"/>
      <c r="AB1078" s="1684"/>
      <c r="AC1078" s="1684"/>
      <c r="AD1078" s="1684"/>
      <c r="AE1078" s="1684"/>
      <c r="AF1078" s="1684"/>
      <c r="AG1078" s="1684"/>
      <c r="AH1078" s="1684"/>
      <c r="AI1078" s="1684"/>
      <c r="AJ1078" s="1684"/>
      <c r="AK1078" s="1684"/>
      <c r="AL1078" s="1684"/>
      <c r="AM1078" s="1684"/>
      <c r="AN1078" s="1684"/>
      <c r="AO1078" s="1684"/>
      <c r="AP1078" s="1684"/>
      <c r="AQ1078" s="1684"/>
      <c r="AR1078" s="1684"/>
      <c r="AS1078" s="1684"/>
      <c r="AT1078" s="1684"/>
      <c r="AU1078" s="1684"/>
      <c r="AV1078" s="1684"/>
      <c r="AW1078" s="1684"/>
      <c r="AX1078" s="1684"/>
      <c r="AY1078" s="1684"/>
      <c r="AZ1078" s="1684"/>
      <c r="BA1078" s="1684"/>
      <c r="BB1078" s="1684"/>
      <c r="BC1078" s="1684"/>
      <c r="BD1078" s="1684"/>
      <c r="BE1078" s="1684"/>
      <c r="BF1078" s="1684"/>
      <c r="BG1078" s="1684"/>
      <c r="BH1078" s="1684"/>
      <c r="BI1078" s="1684"/>
      <c r="BJ1078" s="1684"/>
      <c r="BK1078" s="1684"/>
      <c r="BL1078" s="1684"/>
      <c r="BM1078" s="1684"/>
      <c r="BN1078" s="1684"/>
      <c r="BO1078" s="1684"/>
      <c r="BP1078" s="1684"/>
      <c r="BQ1078" s="1684"/>
      <c r="BR1078" s="1684"/>
      <c r="BS1078" s="1684"/>
      <c r="BT1078" s="1684"/>
      <c r="BU1078" s="1684"/>
      <c r="BV1078" s="1684"/>
      <c r="BW1078" s="1684"/>
      <c r="BX1078" s="1684"/>
      <c r="BY1078" s="1684"/>
      <c r="BZ1078" s="1684"/>
      <c r="CA1078" s="1684"/>
      <c r="CB1078" s="1684"/>
      <c r="CC1078" s="1684"/>
      <c r="CD1078" s="1684"/>
      <c r="CE1078" s="1684"/>
      <c r="CF1078" s="1684"/>
      <c r="CG1078" s="1684"/>
      <c r="CH1078" s="1684"/>
      <c r="CI1078" s="1684"/>
      <c r="CJ1078" s="1684"/>
      <c r="CK1078" s="1684"/>
      <c r="CL1078" s="1684"/>
      <c r="CM1078" s="1684"/>
      <c r="CN1078" s="1684"/>
      <c r="CO1078" s="1684"/>
    </row>
    <row r="1079" spans="1:93" s="1391" customFormat="1" ht="15" x14ac:dyDescent="0.2">
      <c r="A1079" s="1684"/>
      <c r="B1079" s="1684"/>
      <c r="C1079" s="2013">
        <v>18</v>
      </c>
      <c r="D1079" s="5">
        <v>8.798</v>
      </c>
      <c r="E1079">
        <v>278</v>
      </c>
      <c r="F1079">
        <v>308</v>
      </c>
      <c r="G1079">
        <v>337</v>
      </c>
      <c r="H1079">
        <v>367</v>
      </c>
      <c r="I1079">
        <v>396</v>
      </c>
      <c r="J1079">
        <v>425</v>
      </c>
      <c r="K1079">
        <v>454</v>
      </c>
      <c r="L1079">
        <v>485</v>
      </c>
      <c r="M1079">
        <v>513</v>
      </c>
      <c r="N1079">
        <v>542</v>
      </c>
      <c r="O1079">
        <v>571</v>
      </c>
      <c r="P1079">
        <v>600</v>
      </c>
      <c r="Q1079" s="1160">
        <v>22</v>
      </c>
      <c r="R1079"/>
      <c r="S1079" s="1684"/>
      <c r="T1079" s="1684"/>
      <c r="U1079" s="1684"/>
      <c r="V1079" s="1684"/>
      <c r="W1079" s="1684"/>
      <c r="X1079" s="1684"/>
      <c r="Y1079" s="1684"/>
      <c r="Z1079" s="1684"/>
      <c r="AA1079" s="1684"/>
      <c r="AB1079" s="1684"/>
      <c r="AC1079" s="1684"/>
      <c r="AD1079" s="1684"/>
      <c r="AE1079" s="1684"/>
      <c r="AF1079" s="1684"/>
      <c r="AG1079" s="1684"/>
      <c r="AH1079" s="1684"/>
      <c r="AI1079" s="1684"/>
      <c r="AJ1079" s="1684"/>
      <c r="AK1079" s="1684"/>
      <c r="AL1079" s="1684"/>
      <c r="AM1079" s="1684"/>
      <c r="AN1079" s="1684"/>
      <c r="AO1079" s="1684"/>
      <c r="AP1079" s="1684"/>
      <c r="AQ1079" s="1684"/>
      <c r="AR1079" s="1684"/>
      <c r="AS1079" s="1684"/>
      <c r="AT1079" s="1684"/>
      <c r="AU1079" s="1684"/>
      <c r="AV1079" s="1684"/>
      <c r="AW1079" s="1684"/>
      <c r="AX1079" s="1684"/>
      <c r="AY1079" s="1684"/>
      <c r="AZ1079" s="1684"/>
      <c r="BA1079" s="1684"/>
      <c r="BB1079" s="1684"/>
      <c r="BC1079" s="1684"/>
      <c r="BD1079" s="1684"/>
      <c r="BE1079" s="1684"/>
      <c r="BF1079" s="1684"/>
      <c r="BG1079" s="1684"/>
      <c r="BH1079" s="1684"/>
      <c r="BI1079" s="1684"/>
      <c r="BJ1079" s="1684"/>
      <c r="BK1079" s="1684"/>
      <c r="BL1079" s="1684"/>
      <c r="BM1079" s="1684"/>
      <c r="BN1079" s="1684"/>
      <c r="BO1079" s="1684"/>
      <c r="BP1079" s="1684"/>
      <c r="BQ1079" s="1684"/>
      <c r="BR1079" s="1684"/>
      <c r="BS1079" s="1684"/>
      <c r="BT1079" s="1684"/>
      <c r="BU1079" s="1684"/>
      <c r="BV1079" s="1684"/>
      <c r="BW1079" s="1684"/>
      <c r="BX1079" s="1684"/>
      <c r="BY1079" s="1684"/>
      <c r="BZ1079" s="1684"/>
      <c r="CA1079" s="1684"/>
      <c r="CB1079" s="1684"/>
      <c r="CC1079" s="1684"/>
      <c r="CD1079" s="1684"/>
      <c r="CE1079" s="1684"/>
      <c r="CF1079" s="1684"/>
      <c r="CG1079" s="1684"/>
      <c r="CH1079" s="1684"/>
      <c r="CI1079" s="1684"/>
      <c r="CJ1079" s="1684"/>
      <c r="CK1079" s="1684"/>
      <c r="CL1079" s="1684"/>
      <c r="CM1079" s="1684"/>
      <c r="CN1079" s="1684"/>
      <c r="CO1079" s="1684"/>
    </row>
    <row r="1080" spans="1:93" s="1391" customFormat="1" ht="15" x14ac:dyDescent="0.2">
      <c r="A1080" s="1684"/>
      <c r="B1080" s="1684"/>
      <c r="C1080" s="4680" t="s">
        <v>3692</v>
      </c>
      <c r="D1080" s="4681"/>
      <c r="E1080" s="4681"/>
      <c r="F1080" s="4681"/>
      <c r="G1080" s="4681"/>
      <c r="H1080" s="4681"/>
      <c r="I1080" s="4681"/>
      <c r="J1080" s="4681"/>
      <c r="K1080" s="4681"/>
      <c r="L1080" s="4681"/>
      <c r="M1080" s="4681"/>
      <c r="N1080" s="4681"/>
      <c r="O1080" s="4681"/>
      <c r="P1080" s="4681"/>
      <c r="Q1080" s="4682"/>
      <c r="R1080"/>
      <c r="S1080" s="1684"/>
      <c r="T1080" s="1684"/>
      <c r="U1080" s="1684"/>
      <c r="V1080" s="1684"/>
      <c r="W1080" s="1684"/>
      <c r="X1080" s="1684"/>
      <c r="Y1080" s="1684"/>
      <c r="Z1080" s="1684"/>
      <c r="AA1080" s="1684"/>
      <c r="AB1080" s="1684"/>
      <c r="AC1080" s="1684"/>
      <c r="AD1080" s="1684"/>
      <c r="AE1080" s="1684"/>
      <c r="AF1080" s="1684"/>
      <c r="AG1080" s="1684"/>
      <c r="AH1080" s="1684"/>
      <c r="AI1080" s="1684"/>
      <c r="AJ1080" s="1684"/>
      <c r="AK1080" s="1684"/>
      <c r="AL1080" s="1684"/>
      <c r="AM1080" s="1684"/>
      <c r="AN1080" s="1684"/>
      <c r="AO1080" s="1684"/>
      <c r="AP1080" s="1684"/>
      <c r="AQ1080" s="1684"/>
      <c r="AR1080" s="1684"/>
      <c r="AS1080" s="1684"/>
      <c r="AT1080" s="1684"/>
      <c r="AU1080" s="1684"/>
      <c r="AV1080" s="1684"/>
      <c r="AW1080" s="1684"/>
      <c r="AX1080" s="1684"/>
      <c r="AY1080" s="1684"/>
      <c r="AZ1080" s="1684"/>
      <c r="BA1080" s="1684"/>
      <c r="BB1080" s="1684"/>
      <c r="BC1080" s="1684"/>
      <c r="BD1080" s="1684"/>
      <c r="BE1080" s="1684"/>
      <c r="BF1080" s="1684"/>
      <c r="BG1080" s="1684"/>
      <c r="BH1080" s="1684"/>
      <c r="BI1080" s="1684"/>
      <c r="BJ1080" s="1684"/>
      <c r="BK1080" s="1684"/>
      <c r="BL1080" s="1684"/>
      <c r="BM1080" s="1684"/>
      <c r="BN1080" s="1684"/>
      <c r="BO1080" s="1684"/>
      <c r="BP1080" s="1684"/>
      <c r="BQ1080" s="1684"/>
      <c r="BR1080" s="1684"/>
      <c r="BS1080" s="1684"/>
      <c r="BT1080" s="1684"/>
      <c r="BU1080" s="1684"/>
      <c r="BV1080" s="1684"/>
      <c r="BW1080" s="1684"/>
      <c r="BX1080" s="1684"/>
      <c r="BY1080" s="1684"/>
      <c r="BZ1080" s="1684"/>
      <c r="CA1080" s="1684"/>
      <c r="CB1080" s="1684"/>
      <c r="CC1080" s="1684"/>
      <c r="CD1080" s="1684"/>
      <c r="CE1080" s="1684"/>
      <c r="CF1080" s="1684"/>
      <c r="CG1080" s="1684"/>
      <c r="CH1080" s="1684"/>
      <c r="CI1080" s="1684"/>
      <c r="CJ1080" s="1684"/>
      <c r="CK1080" s="1684"/>
      <c r="CL1080" s="1684"/>
      <c r="CM1080" s="1684"/>
      <c r="CN1080" s="1684"/>
      <c r="CO1080" s="1684"/>
    </row>
    <row r="1081" spans="1:93" s="1391" customFormat="1" ht="15" x14ac:dyDescent="0.2">
      <c r="A1081" s="1684"/>
      <c r="B1081" s="1684"/>
      <c r="C1081" s="4680"/>
      <c r="D1081" s="4681"/>
      <c r="E1081" s="4681"/>
      <c r="F1081" s="4681"/>
      <c r="G1081" s="4681"/>
      <c r="H1081" s="4681"/>
      <c r="I1081" s="4681"/>
      <c r="J1081" s="4681"/>
      <c r="K1081" s="4681"/>
      <c r="L1081" s="4681"/>
      <c r="M1081" s="4681"/>
      <c r="N1081" s="4681"/>
      <c r="O1081" s="4681"/>
      <c r="P1081" s="4681"/>
      <c r="Q1081" s="4682"/>
      <c r="R1081"/>
      <c r="S1081" s="1684"/>
      <c r="T1081" s="1684"/>
      <c r="U1081" s="1684"/>
      <c r="V1081" s="1684"/>
      <c r="W1081" s="1684"/>
      <c r="X1081" s="1684"/>
      <c r="Y1081" s="1684"/>
      <c r="Z1081" s="1684"/>
      <c r="AA1081" s="1684"/>
      <c r="AB1081" s="1684"/>
      <c r="AC1081" s="1684"/>
      <c r="AD1081" s="1684"/>
      <c r="AE1081" s="1684"/>
      <c r="AF1081" s="1684"/>
      <c r="AG1081" s="1684"/>
      <c r="AH1081" s="1684"/>
      <c r="AI1081" s="1684"/>
      <c r="AJ1081" s="1684"/>
      <c r="AK1081" s="1684"/>
      <c r="AL1081" s="1684"/>
      <c r="AM1081" s="1684"/>
      <c r="AN1081" s="1684"/>
      <c r="AO1081" s="1684"/>
      <c r="AP1081" s="1684"/>
      <c r="AQ1081" s="1684"/>
      <c r="AR1081" s="1684"/>
      <c r="AS1081" s="1684"/>
      <c r="AT1081" s="1684"/>
      <c r="AU1081" s="1684"/>
      <c r="AV1081" s="1684"/>
      <c r="AW1081" s="1684"/>
      <c r="AX1081" s="1684"/>
      <c r="AY1081" s="1684"/>
      <c r="AZ1081" s="1684"/>
      <c r="BA1081" s="1684"/>
      <c r="BB1081" s="1684"/>
      <c r="BC1081" s="1684"/>
      <c r="BD1081" s="1684"/>
      <c r="BE1081" s="1684"/>
      <c r="BF1081" s="1684"/>
      <c r="BG1081" s="1684"/>
      <c r="BH1081" s="1684"/>
      <c r="BI1081" s="1684"/>
      <c r="BJ1081" s="1684"/>
      <c r="BK1081" s="1684"/>
      <c r="BL1081" s="1684"/>
      <c r="BM1081" s="1684"/>
      <c r="BN1081" s="1684"/>
      <c r="BO1081" s="1684"/>
      <c r="BP1081" s="1684"/>
      <c r="BQ1081" s="1684"/>
      <c r="BR1081" s="1684"/>
      <c r="BS1081" s="1684"/>
      <c r="BT1081" s="1684"/>
      <c r="BU1081" s="1684"/>
      <c r="BV1081" s="1684"/>
      <c r="BW1081" s="1684"/>
      <c r="BX1081" s="1684"/>
      <c r="BY1081" s="1684"/>
      <c r="BZ1081" s="1684"/>
      <c r="CA1081" s="1684"/>
      <c r="CB1081" s="1684"/>
      <c r="CC1081" s="1684"/>
      <c r="CD1081" s="1684"/>
      <c r="CE1081" s="1684"/>
      <c r="CF1081" s="1684"/>
      <c r="CG1081" s="1684"/>
      <c r="CH1081" s="1684"/>
      <c r="CI1081" s="1684"/>
      <c r="CJ1081" s="1684"/>
      <c r="CK1081" s="1684"/>
      <c r="CL1081" s="1684"/>
      <c r="CM1081" s="1684"/>
      <c r="CN1081" s="1684"/>
      <c r="CO1081" s="1684"/>
    </row>
    <row r="1082" spans="1:93" s="1391" customFormat="1" ht="15" x14ac:dyDescent="0.2">
      <c r="A1082" s="1684"/>
      <c r="B1082" s="1684"/>
      <c r="C1082" s="2014"/>
      <c r="D1082" s="2015"/>
      <c r="E1082" s="2015">
        <v>1</v>
      </c>
      <c r="F1082" s="2015">
        <v>2</v>
      </c>
      <c r="G1082" s="2015">
        <v>3</v>
      </c>
      <c r="H1082" s="2015">
        <v>4</v>
      </c>
      <c r="I1082" s="2015">
        <v>5</v>
      </c>
      <c r="J1082" s="2015">
        <v>6</v>
      </c>
      <c r="K1082" s="2015">
        <v>7</v>
      </c>
      <c r="L1082" s="2015">
        <v>8</v>
      </c>
      <c r="M1082" s="2015">
        <v>9</v>
      </c>
      <c r="N1082" s="2015">
        <v>10</v>
      </c>
      <c r="O1082" s="2015">
        <v>11</v>
      </c>
      <c r="P1082" s="2015">
        <v>12</v>
      </c>
      <c r="Q1082" s="2016"/>
      <c r="R1082"/>
      <c r="S1082" s="1684"/>
      <c r="T1082" s="1684"/>
      <c r="U1082" s="1684"/>
      <c r="V1082" s="1684"/>
      <c r="W1082" s="1684"/>
      <c r="X1082" s="1684"/>
      <c r="Y1082" s="1684"/>
      <c r="Z1082" s="1684"/>
      <c r="AA1082" s="1684"/>
      <c r="AB1082" s="1684"/>
      <c r="AC1082" s="1684"/>
      <c r="AD1082" s="1684"/>
      <c r="AE1082" s="1684"/>
      <c r="AF1082" s="1684"/>
      <c r="AG1082" s="1684"/>
      <c r="AH1082" s="1684"/>
      <c r="AI1082" s="1684"/>
      <c r="AJ1082" s="1684"/>
      <c r="AK1082" s="1684"/>
      <c r="AL1082" s="1684"/>
      <c r="AM1082" s="1684"/>
      <c r="AN1082" s="1684"/>
      <c r="AO1082" s="1684"/>
      <c r="AP1082" s="1684"/>
      <c r="AQ1082" s="1684"/>
      <c r="AR1082" s="1684"/>
      <c r="AS1082" s="1684"/>
      <c r="AT1082" s="1684"/>
      <c r="AU1082" s="1684"/>
      <c r="AV1082" s="1684"/>
      <c r="AW1082" s="1684"/>
      <c r="AX1082" s="1684"/>
      <c r="AY1082" s="1684"/>
      <c r="AZ1082" s="1684"/>
      <c r="BA1082" s="1684"/>
      <c r="BB1082" s="1684"/>
      <c r="BC1082" s="1684"/>
      <c r="BD1082" s="1684"/>
      <c r="BE1082" s="1684"/>
      <c r="BF1082" s="1684"/>
      <c r="BG1082" s="1684"/>
      <c r="BH1082" s="1684"/>
      <c r="BI1082" s="1684"/>
      <c r="BJ1082" s="1684"/>
      <c r="BK1082" s="1684"/>
      <c r="BL1082" s="1684"/>
      <c r="BM1082" s="1684"/>
      <c r="BN1082" s="1684"/>
      <c r="BO1082" s="1684"/>
      <c r="BP1082" s="1684"/>
      <c r="BQ1082" s="1684"/>
      <c r="BR1082" s="1684"/>
      <c r="BS1082" s="1684"/>
      <c r="BT1082" s="1684"/>
      <c r="BU1082" s="1684"/>
      <c r="BV1082" s="1684"/>
      <c r="BW1082" s="1684"/>
      <c r="BX1082" s="1684"/>
      <c r="BY1082" s="1684"/>
      <c r="BZ1082" s="1684"/>
      <c r="CA1082" s="1684"/>
      <c r="CB1082" s="1684"/>
      <c r="CC1082" s="1684"/>
      <c r="CD1082" s="1684"/>
      <c r="CE1082" s="1684"/>
      <c r="CF1082" s="1684"/>
      <c r="CG1082" s="1684"/>
      <c r="CH1082" s="1684"/>
      <c r="CI1082" s="1684"/>
      <c r="CJ1082" s="1684"/>
      <c r="CK1082" s="1684"/>
      <c r="CL1082" s="1684"/>
      <c r="CM1082" s="1684"/>
      <c r="CN1082" s="1684"/>
      <c r="CO1082" s="1684"/>
    </row>
    <row r="1083" spans="1:93" s="1391" customFormat="1" ht="15" x14ac:dyDescent="0.2">
      <c r="A1083" s="1684"/>
      <c r="B1083" s="1684"/>
      <c r="C1083" s="2013">
        <v>8</v>
      </c>
      <c r="D1083" s="5">
        <v>5.2770000000000001</v>
      </c>
      <c r="E1083">
        <v>138</v>
      </c>
      <c r="F1083">
        <v>154</v>
      </c>
      <c r="G1083">
        <v>168</v>
      </c>
      <c r="H1083">
        <v>183</v>
      </c>
      <c r="I1083">
        <v>197</v>
      </c>
      <c r="J1083">
        <v>212</v>
      </c>
      <c r="K1083">
        <v>226</v>
      </c>
      <c r="L1083">
        <v>242</v>
      </c>
      <c r="M1083">
        <v>255</v>
      </c>
      <c r="N1083">
        <v>270</v>
      </c>
      <c r="O1083">
        <v>284</v>
      </c>
      <c r="P1083">
        <v>299</v>
      </c>
      <c r="Q1083" s="1160">
        <v>23</v>
      </c>
      <c r="R1083"/>
      <c r="S1083" s="1684"/>
      <c r="T1083" s="1684"/>
      <c r="U1083" s="1684"/>
      <c r="V1083" s="1684"/>
      <c r="W1083" s="1684"/>
      <c r="X1083" s="1684"/>
      <c r="Y1083" s="1684"/>
      <c r="Z1083" s="1684"/>
      <c r="AA1083" s="1684"/>
      <c r="AB1083" s="1684"/>
      <c r="AC1083" s="1684"/>
      <c r="AD1083" s="1684"/>
      <c r="AE1083" s="1684"/>
      <c r="AF1083" s="1684"/>
      <c r="AG1083" s="1684"/>
      <c r="AH1083" s="1684"/>
      <c r="AI1083" s="1684"/>
      <c r="AJ1083" s="1684"/>
      <c r="AK1083" s="1684"/>
      <c r="AL1083" s="1684"/>
      <c r="AM1083" s="1684"/>
      <c r="AN1083" s="1684"/>
      <c r="AO1083" s="1684"/>
      <c r="AP1083" s="1684"/>
      <c r="AQ1083" s="1684"/>
      <c r="AR1083" s="1684"/>
      <c r="AS1083" s="1684"/>
      <c r="AT1083" s="1684"/>
      <c r="AU1083" s="1684"/>
      <c r="AV1083" s="1684"/>
      <c r="AW1083" s="1684"/>
      <c r="AX1083" s="1684"/>
      <c r="AY1083" s="1684"/>
      <c r="AZ1083" s="1684"/>
      <c r="BA1083" s="1684"/>
      <c r="BB1083" s="1684"/>
      <c r="BC1083" s="1684"/>
      <c r="BD1083" s="1684"/>
      <c r="BE1083" s="1684"/>
      <c r="BF1083" s="1684"/>
      <c r="BG1083" s="1684"/>
      <c r="BH1083" s="1684"/>
      <c r="BI1083" s="1684"/>
      <c r="BJ1083" s="1684"/>
      <c r="BK1083" s="1684"/>
      <c r="BL1083" s="1684"/>
      <c r="BM1083" s="1684"/>
      <c r="BN1083" s="1684"/>
      <c r="BO1083" s="1684"/>
      <c r="BP1083" s="1684"/>
      <c r="BQ1083" s="1684"/>
      <c r="BR1083" s="1684"/>
      <c r="BS1083" s="1684"/>
      <c r="BT1083" s="1684"/>
      <c r="BU1083" s="1684"/>
      <c r="BV1083" s="1684"/>
      <c r="BW1083" s="1684"/>
      <c r="BX1083" s="1684"/>
      <c r="BY1083" s="1684"/>
      <c r="BZ1083" s="1684"/>
      <c r="CA1083" s="1684"/>
      <c r="CB1083" s="1684"/>
      <c r="CC1083" s="1684"/>
      <c r="CD1083" s="1684"/>
      <c r="CE1083" s="1684"/>
      <c r="CF1083" s="1684"/>
      <c r="CG1083" s="1684"/>
      <c r="CH1083" s="1684"/>
      <c r="CI1083" s="1684"/>
      <c r="CJ1083" s="1684"/>
      <c r="CK1083" s="1684"/>
      <c r="CL1083" s="1684"/>
      <c r="CM1083" s="1684"/>
      <c r="CN1083" s="1684"/>
      <c r="CO1083" s="1684"/>
    </row>
    <row r="1084" spans="1:93" s="1391" customFormat="1" ht="15" x14ac:dyDescent="0.2">
      <c r="A1084" s="1684"/>
      <c r="B1084" s="1684"/>
      <c r="C1084" s="2013">
        <v>9</v>
      </c>
      <c r="D1084" s="5">
        <v>5.5810000000000004</v>
      </c>
      <c r="E1084">
        <v>152</v>
      </c>
      <c r="F1084">
        <v>169</v>
      </c>
      <c r="G1084">
        <v>184</v>
      </c>
      <c r="H1084">
        <v>200</v>
      </c>
      <c r="I1084">
        <v>216</v>
      </c>
      <c r="J1084">
        <v>232</v>
      </c>
      <c r="K1084">
        <v>248</v>
      </c>
      <c r="L1084">
        <v>265</v>
      </c>
      <c r="M1084">
        <v>280</v>
      </c>
      <c r="N1084">
        <v>296</v>
      </c>
      <c r="O1084">
        <v>312</v>
      </c>
      <c r="P1084">
        <v>328</v>
      </c>
      <c r="Q1084" s="1160">
        <v>24</v>
      </c>
      <c r="R1084"/>
      <c r="S1084" s="1684"/>
      <c r="T1084" s="1684"/>
      <c r="U1084" s="1684"/>
      <c r="V1084" s="1684"/>
      <c r="W1084" s="1684"/>
      <c r="X1084" s="1684"/>
      <c r="Y1084" s="1684"/>
      <c r="Z1084" s="1684"/>
      <c r="AA1084" s="1684"/>
      <c r="AB1084" s="1684"/>
      <c r="AC1084" s="1684"/>
      <c r="AD1084" s="1684"/>
      <c r="AE1084" s="1684"/>
      <c r="AF1084" s="1684"/>
      <c r="AG1084" s="1684"/>
      <c r="AH1084" s="1684"/>
      <c r="AI1084" s="1684"/>
      <c r="AJ1084" s="1684"/>
      <c r="AK1084" s="1684"/>
      <c r="AL1084" s="1684"/>
      <c r="AM1084" s="1684"/>
      <c r="AN1084" s="1684"/>
      <c r="AO1084" s="1684"/>
      <c r="AP1084" s="1684"/>
      <c r="AQ1084" s="1684"/>
      <c r="AR1084" s="1684"/>
      <c r="AS1084" s="1684"/>
      <c r="AT1084" s="1684"/>
      <c r="AU1084" s="1684"/>
      <c r="AV1084" s="1684"/>
      <c r="AW1084" s="1684"/>
      <c r="AX1084" s="1684"/>
      <c r="AY1084" s="1684"/>
      <c r="AZ1084" s="1684"/>
      <c r="BA1084" s="1684"/>
      <c r="BB1084" s="1684"/>
      <c r="BC1084" s="1684"/>
      <c r="BD1084" s="1684"/>
      <c r="BE1084" s="1684"/>
      <c r="BF1084" s="1684"/>
      <c r="BG1084" s="1684"/>
      <c r="BH1084" s="1684"/>
      <c r="BI1084" s="1684"/>
      <c r="BJ1084" s="1684"/>
      <c r="BK1084" s="1684"/>
      <c r="BL1084" s="1684"/>
      <c r="BM1084" s="1684"/>
      <c r="BN1084" s="1684"/>
      <c r="BO1084" s="1684"/>
      <c r="BP1084" s="1684"/>
      <c r="BQ1084" s="1684"/>
      <c r="BR1084" s="1684"/>
      <c r="BS1084" s="1684"/>
      <c r="BT1084" s="1684"/>
      <c r="BU1084" s="1684"/>
      <c r="BV1084" s="1684"/>
      <c r="BW1084" s="1684"/>
      <c r="BX1084" s="1684"/>
      <c r="BY1084" s="1684"/>
      <c r="BZ1084" s="1684"/>
      <c r="CA1084" s="1684"/>
      <c r="CB1084" s="1684"/>
      <c r="CC1084" s="1684"/>
      <c r="CD1084" s="1684"/>
      <c r="CE1084" s="1684"/>
      <c r="CF1084" s="1684"/>
      <c r="CG1084" s="1684"/>
      <c r="CH1084" s="1684"/>
      <c r="CI1084" s="1684"/>
      <c r="CJ1084" s="1684"/>
      <c r="CK1084" s="1684"/>
      <c r="CL1084" s="1684"/>
      <c r="CM1084" s="1684"/>
      <c r="CN1084" s="1684"/>
      <c r="CO1084" s="1684"/>
    </row>
    <row r="1085" spans="1:93" s="1391" customFormat="1" ht="15" x14ac:dyDescent="0.2">
      <c r="A1085" s="1684"/>
      <c r="B1085" s="1684"/>
      <c r="C1085" s="2013">
        <v>10</v>
      </c>
      <c r="D1085" s="5">
        <v>5.8970000000000002</v>
      </c>
      <c r="E1085">
        <v>166</v>
      </c>
      <c r="F1085">
        <v>184</v>
      </c>
      <c r="G1085">
        <v>202</v>
      </c>
      <c r="H1085">
        <v>219</v>
      </c>
      <c r="I1085">
        <v>236</v>
      </c>
      <c r="J1085">
        <v>254</v>
      </c>
      <c r="K1085">
        <v>271</v>
      </c>
      <c r="L1085">
        <v>290</v>
      </c>
      <c r="M1085">
        <v>306</v>
      </c>
      <c r="N1085">
        <v>324</v>
      </c>
      <c r="O1085">
        <v>341</v>
      </c>
      <c r="P1085">
        <v>359</v>
      </c>
      <c r="Q1085" s="1160">
        <v>25</v>
      </c>
      <c r="R1085"/>
      <c r="S1085" s="1684"/>
      <c r="T1085" s="1684"/>
      <c r="U1085" s="1684"/>
      <c r="V1085" s="1684"/>
      <c r="W1085" s="1684"/>
      <c r="X1085" s="1684"/>
      <c r="Y1085" s="1684"/>
      <c r="Z1085" s="1684"/>
      <c r="AA1085" s="1684"/>
      <c r="AB1085" s="1684"/>
      <c r="AC1085" s="1684"/>
      <c r="AD1085" s="1684"/>
      <c r="AE1085" s="1684"/>
      <c r="AF1085" s="1684"/>
      <c r="AG1085" s="1684"/>
      <c r="AH1085" s="1684"/>
      <c r="AI1085" s="1684"/>
      <c r="AJ1085" s="1684"/>
      <c r="AK1085" s="1684"/>
      <c r="AL1085" s="1684"/>
      <c r="AM1085" s="1684"/>
      <c r="AN1085" s="1684"/>
      <c r="AO1085" s="1684"/>
      <c r="AP1085" s="1684"/>
      <c r="AQ1085" s="1684"/>
      <c r="AR1085" s="1684"/>
      <c r="AS1085" s="1684"/>
      <c r="AT1085" s="1684"/>
      <c r="AU1085" s="1684"/>
      <c r="AV1085" s="1684"/>
      <c r="AW1085" s="1684"/>
      <c r="AX1085" s="1684"/>
      <c r="AY1085" s="1684"/>
      <c r="AZ1085" s="1684"/>
      <c r="BA1085" s="1684"/>
      <c r="BB1085" s="1684"/>
      <c r="BC1085" s="1684"/>
      <c r="BD1085" s="1684"/>
      <c r="BE1085" s="1684"/>
      <c r="BF1085" s="1684"/>
      <c r="BG1085" s="1684"/>
      <c r="BH1085" s="1684"/>
      <c r="BI1085" s="1684"/>
      <c r="BJ1085" s="1684"/>
      <c r="BK1085" s="1684"/>
      <c r="BL1085" s="1684"/>
      <c r="BM1085" s="1684"/>
      <c r="BN1085" s="1684"/>
      <c r="BO1085" s="1684"/>
      <c r="BP1085" s="1684"/>
      <c r="BQ1085" s="1684"/>
      <c r="BR1085" s="1684"/>
      <c r="BS1085" s="1684"/>
      <c r="BT1085" s="1684"/>
      <c r="BU1085" s="1684"/>
      <c r="BV1085" s="1684"/>
      <c r="BW1085" s="1684"/>
      <c r="BX1085" s="1684"/>
      <c r="BY1085" s="1684"/>
      <c r="BZ1085" s="1684"/>
      <c r="CA1085" s="1684"/>
      <c r="CB1085" s="1684"/>
      <c r="CC1085" s="1684"/>
      <c r="CD1085" s="1684"/>
      <c r="CE1085" s="1684"/>
      <c r="CF1085" s="1684"/>
      <c r="CG1085" s="1684"/>
      <c r="CH1085" s="1684"/>
      <c r="CI1085" s="1684"/>
      <c r="CJ1085" s="1684"/>
      <c r="CK1085" s="1684"/>
      <c r="CL1085" s="1684"/>
      <c r="CM1085" s="1684"/>
      <c r="CN1085" s="1684"/>
      <c r="CO1085" s="1684"/>
    </row>
    <row r="1086" spans="1:93" s="1391" customFormat="1" ht="15" x14ac:dyDescent="0.2">
      <c r="A1086" s="1684"/>
      <c r="B1086" s="1684"/>
      <c r="C1086" s="2013">
        <v>11</v>
      </c>
      <c r="D1086" s="5">
        <v>6.2480000000000002</v>
      </c>
      <c r="E1086">
        <v>181</v>
      </c>
      <c r="F1086">
        <v>201</v>
      </c>
      <c r="G1086">
        <v>220</v>
      </c>
      <c r="H1086">
        <v>239</v>
      </c>
      <c r="I1086">
        <v>258</v>
      </c>
      <c r="J1086">
        <v>278</v>
      </c>
      <c r="K1086">
        <v>297</v>
      </c>
      <c r="L1086">
        <v>317</v>
      </c>
      <c r="M1086">
        <v>333</v>
      </c>
      <c r="N1086">
        <v>354</v>
      </c>
      <c r="O1086">
        <v>373</v>
      </c>
      <c r="P1086">
        <v>392</v>
      </c>
      <c r="Q1086" s="1160">
        <v>26</v>
      </c>
      <c r="R1086"/>
      <c r="S1086" s="1684"/>
      <c r="T1086" s="1684"/>
      <c r="U1086" s="1684"/>
      <c r="V1086" s="1684"/>
      <c r="W1086" s="1684"/>
      <c r="X1086" s="1684"/>
      <c r="Y1086" s="1684"/>
      <c r="Z1086" s="1684"/>
      <c r="AA1086" s="1684"/>
      <c r="AB1086" s="1684"/>
      <c r="AC1086" s="1684"/>
      <c r="AD1086" s="1684"/>
      <c r="AE1086" s="1684"/>
      <c r="AF1086" s="1684"/>
      <c r="AG1086" s="1684"/>
      <c r="AH1086" s="1684"/>
      <c r="AI1086" s="1684"/>
      <c r="AJ1086" s="1684"/>
      <c r="AK1086" s="1684"/>
      <c r="AL1086" s="1684"/>
      <c r="AM1086" s="1684"/>
      <c r="AN1086" s="1684"/>
      <c r="AO1086" s="1684"/>
      <c r="AP1086" s="1684"/>
      <c r="AQ1086" s="1684"/>
      <c r="AR1086" s="1684"/>
      <c r="AS1086" s="1684"/>
      <c r="AT1086" s="1684"/>
      <c r="AU1086" s="1684"/>
      <c r="AV1086" s="1684"/>
      <c r="AW1086" s="1684"/>
      <c r="AX1086" s="1684"/>
      <c r="AY1086" s="1684"/>
      <c r="AZ1086" s="1684"/>
      <c r="BA1086" s="1684"/>
      <c r="BB1086" s="1684"/>
      <c r="BC1086" s="1684"/>
      <c r="BD1086" s="1684"/>
      <c r="BE1086" s="1684"/>
      <c r="BF1086" s="1684"/>
      <c r="BG1086" s="1684"/>
      <c r="BH1086" s="1684"/>
      <c r="BI1086" s="1684"/>
      <c r="BJ1086" s="1684"/>
      <c r="BK1086" s="1684"/>
      <c r="BL1086" s="1684"/>
      <c r="BM1086" s="1684"/>
      <c r="BN1086" s="1684"/>
      <c r="BO1086" s="1684"/>
      <c r="BP1086" s="1684"/>
      <c r="BQ1086" s="1684"/>
      <c r="BR1086" s="1684"/>
      <c r="BS1086" s="1684"/>
      <c r="BT1086" s="1684"/>
      <c r="BU1086" s="1684"/>
      <c r="BV1086" s="1684"/>
      <c r="BW1086" s="1684"/>
      <c r="BX1086" s="1684"/>
      <c r="BY1086" s="1684"/>
      <c r="BZ1086" s="1684"/>
      <c r="CA1086" s="1684"/>
      <c r="CB1086" s="1684"/>
      <c r="CC1086" s="1684"/>
      <c r="CD1086" s="1684"/>
      <c r="CE1086" s="1684"/>
      <c r="CF1086" s="1684"/>
      <c r="CG1086" s="1684"/>
      <c r="CH1086" s="1684"/>
      <c r="CI1086" s="1684"/>
      <c r="CJ1086" s="1684"/>
      <c r="CK1086" s="1684"/>
      <c r="CL1086" s="1684"/>
      <c r="CM1086" s="1684"/>
      <c r="CN1086" s="1684"/>
      <c r="CO1086" s="1684"/>
    </row>
    <row r="1087" spans="1:93" s="1391" customFormat="1" ht="15" x14ac:dyDescent="0.2">
      <c r="A1087" s="1684"/>
      <c r="B1087" s="1684"/>
      <c r="C1087" s="2013">
        <v>12</v>
      </c>
      <c r="D1087" s="5">
        <v>6.61</v>
      </c>
      <c r="E1087">
        <v>197</v>
      </c>
      <c r="F1087">
        <v>219</v>
      </c>
      <c r="G1087">
        <v>240</v>
      </c>
      <c r="H1087">
        <v>260</v>
      </c>
      <c r="I1087">
        <v>281</v>
      </c>
      <c r="J1087">
        <v>302</v>
      </c>
      <c r="K1087">
        <v>323</v>
      </c>
      <c r="L1087">
        <v>344</v>
      </c>
      <c r="M1087">
        <v>364</v>
      </c>
      <c r="N1087">
        <v>385</v>
      </c>
      <c r="O1087">
        <v>406</v>
      </c>
      <c r="P1087">
        <v>426</v>
      </c>
      <c r="Q1087" s="1160">
        <v>27</v>
      </c>
      <c r="R1087"/>
      <c r="S1087" s="1684"/>
      <c r="T1087" s="1684"/>
      <c r="U1087" s="1684"/>
      <c r="V1087" s="1684"/>
      <c r="W1087" s="1684"/>
      <c r="X1087" s="1684"/>
      <c r="Y1087" s="1684"/>
      <c r="Z1087" s="1684"/>
      <c r="AA1087" s="1684"/>
      <c r="AB1087" s="1684"/>
      <c r="AC1087" s="1684"/>
      <c r="AD1087" s="1684"/>
      <c r="AE1087" s="1684"/>
      <c r="AF1087" s="1684"/>
      <c r="AG1087" s="1684"/>
      <c r="AH1087" s="1684"/>
      <c r="AI1087" s="1684"/>
      <c r="AJ1087" s="1684"/>
      <c r="AK1087" s="1684"/>
      <c r="AL1087" s="1684"/>
      <c r="AM1087" s="1684"/>
      <c r="AN1087" s="1684"/>
      <c r="AO1087" s="1684"/>
      <c r="AP1087" s="1684"/>
      <c r="AQ1087" s="1684"/>
      <c r="AR1087" s="1684"/>
      <c r="AS1087" s="1684"/>
      <c r="AT1087" s="1684"/>
      <c r="AU1087" s="1684"/>
      <c r="AV1087" s="1684"/>
      <c r="AW1087" s="1684"/>
      <c r="AX1087" s="1684"/>
      <c r="AY1087" s="1684"/>
      <c r="AZ1087" s="1684"/>
      <c r="BA1087" s="1684"/>
      <c r="BB1087" s="1684"/>
      <c r="BC1087" s="1684"/>
      <c r="BD1087" s="1684"/>
      <c r="BE1087" s="1684"/>
      <c r="BF1087" s="1684"/>
      <c r="BG1087" s="1684"/>
      <c r="BH1087" s="1684"/>
      <c r="BI1087" s="1684"/>
      <c r="BJ1087" s="1684"/>
      <c r="BK1087" s="1684"/>
      <c r="BL1087" s="1684"/>
      <c r="BM1087" s="1684"/>
      <c r="BN1087" s="1684"/>
      <c r="BO1087" s="1684"/>
      <c r="BP1087" s="1684"/>
      <c r="BQ1087" s="1684"/>
      <c r="BR1087" s="1684"/>
      <c r="BS1087" s="1684"/>
      <c r="BT1087" s="1684"/>
      <c r="BU1087" s="1684"/>
      <c r="BV1087" s="1684"/>
      <c r="BW1087" s="1684"/>
      <c r="BX1087" s="1684"/>
      <c r="BY1087" s="1684"/>
      <c r="BZ1087" s="1684"/>
      <c r="CA1087" s="1684"/>
      <c r="CB1087" s="1684"/>
      <c r="CC1087" s="1684"/>
      <c r="CD1087" s="1684"/>
      <c r="CE1087" s="1684"/>
      <c r="CF1087" s="1684"/>
      <c r="CG1087" s="1684"/>
      <c r="CH1087" s="1684"/>
      <c r="CI1087" s="1684"/>
      <c r="CJ1087" s="1684"/>
      <c r="CK1087" s="1684"/>
      <c r="CL1087" s="1684"/>
      <c r="CM1087" s="1684"/>
      <c r="CN1087" s="1684"/>
      <c r="CO1087" s="1684"/>
    </row>
    <row r="1088" spans="1:93" s="1391" customFormat="1" ht="15" x14ac:dyDescent="0.2">
      <c r="A1088" s="1684"/>
      <c r="B1088" s="1684"/>
      <c r="C1088" s="2013">
        <v>13</v>
      </c>
      <c r="D1088" s="5">
        <v>6.9740000000000002</v>
      </c>
      <c r="E1088">
        <v>213</v>
      </c>
      <c r="F1088">
        <v>237</v>
      </c>
      <c r="G1088">
        <v>259</v>
      </c>
      <c r="H1088">
        <v>281</v>
      </c>
      <c r="I1088">
        <v>304</v>
      </c>
      <c r="J1088">
        <v>326</v>
      </c>
      <c r="K1088">
        <v>349</v>
      </c>
      <c r="L1088">
        <v>372</v>
      </c>
      <c r="M1088">
        <v>394</v>
      </c>
      <c r="N1088">
        <v>416</v>
      </c>
      <c r="O1088">
        <v>438</v>
      </c>
      <c r="P1088">
        <v>461</v>
      </c>
      <c r="Q1088" s="1160">
        <v>28</v>
      </c>
      <c r="R1088"/>
      <c r="S1088" s="1684"/>
      <c r="T1088" s="1684"/>
      <c r="U1088" s="1684"/>
      <c r="V1088" s="1684"/>
      <c r="W1088" s="1684"/>
      <c r="X1088" s="1684"/>
      <c r="Y1088" s="1684"/>
      <c r="Z1088" s="1684"/>
      <c r="AA1088" s="1684"/>
      <c r="AB1088" s="1684"/>
      <c r="AC1088" s="1684"/>
      <c r="AD1088" s="1684"/>
      <c r="AE1088" s="1684"/>
      <c r="AF1088" s="1684"/>
      <c r="AG1088" s="1684"/>
      <c r="AH1088" s="1684"/>
      <c r="AI1088" s="1684"/>
      <c r="AJ1088" s="1684"/>
      <c r="AK1088" s="1684"/>
      <c r="AL1088" s="1684"/>
      <c r="AM1088" s="1684"/>
      <c r="AN1088" s="1684"/>
      <c r="AO1088" s="1684"/>
      <c r="AP1088" s="1684"/>
      <c r="AQ1088" s="1684"/>
      <c r="AR1088" s="1684"/>
      <c r="AS1088" s="1684"/>
      <c r="AT1088" s="1684"/>
      <c r="AU1088" s="1684"/>
      <c r="AV1088" s="1684"/>
      <c r="AW1088" s="1684"/>
      <c r="AX1088" s="1684"/>
      <c r="AY1088" s="1684"/>
      <c r="AZ1088" s="1684"/>
      <c r="BA1088" s="1684"/>
      <c r="BB1088" s="1684"/>
      <c r="BC1088" s="1684"/>
      <c r="BD1088" s="1684"/>
      <c r="BE1088" s="1684"/>
      <c r="BF1088" s="1684"/>
      <c r="BG1088" s="1684"/>
      <c r="BH1088" s="1684"/>
      <c r="BI1088" s="1684"/>
      <c r="BJ1088" s="1684"/>
      <c r="BK1088" s="1684"/>
      <c r="BL1088" s="1684"/>
      <c r="BM1088" s="1684"/>
      <c r="BN1088" s="1684"/>
      <c r="BO1088" s="1684"/>
      <c r="BP1088" s="1684"/>
      <c r="BQ1088" s="1684"/>
      <c r="BR1088" s="1684"/>
      <c r="BS1088" s="1684"/>
      <c r="BT1088" s="1684"/>
      <c r="BU1088" s="1684"/>
      <c r="BV1088" s="1684"/>
      <c r="BW1088" s="1684"/>
      <c r="BX1088" s="1684"/>
      <c r="BY1088" s="1684"/>
      <c r="BZ1088" s="1684"/>
      <c r="CA1088" s="1684"/>
      <c r="CB1088" s="1684"/>
      <c r="CC1088" s="1684"/>
      <c r="CD1088" s="1684"/>
      <c r="CE1088" s="1684"/>
      <c r="CF1088" s="1684"/>
      <c r="CG1088" s="1684"/>
      <c r="CH1088" s="1684"/>
      <c r="CI1088" s="1684"/>
      <c r="CJ1088" s="1684"/>
      <c r="CK1088" s="1684"/>
      <c r="CL1088" s="1684"/>
      <c r="CM1088" s="1684"/>
      <c r="CN1088" s="1684"/>
      <c r="CO1088" s="1684"/>
    </row>
    <row r="1089" spans="1:93" s="1391" customFormat="1" ht="15" x14ac:dyDescent="0.2">
      <c r="A1089" s="1684"/>
      <c r="B1089" s="1684"/>
      <c r="C1089" s="2013">
        <v>14</v>
      </c>
      <c r="D1089" s="5">
        <v>7.3529999999999998</v>
      </c>
      <c r="E1089">
        <v>230</v>
      </c>
      <c r="F1089">
        <v>255</v>
      </c>
      <c r="G1089">
        <v>279</v>
      </c>
      <c r="H1089">
        <v>303</v>
      </c>
      <c r="I1089">
        <v>327</v>
      </c>
      <c r="J1089">
        <v>352</v>
      </c>
      <c r="K1089">
        <v>376</v>
      </c>
      <c r="L1089">
        <v>401</v>
      </c>
      <c r="M1089">
        <v>424</v>
      </c>
      <c r="N1089">
        <v>448</v>
      </c>
      <c r="O1089">
        <v>472</v>
      </c>
      <c r="P1089">
        <v>496</v>
      </c>
      <c r="Q1089" s="1160">
        <v>29</v>
      </c>
      <c r="R1089"/>
      <c r="S1089" s="1684"/>
      <c r="T1089" s="1684"/>
      <c r="U1089" s="1684"/>
      <c r="V1089" s="1684"/>
      <c r="W1089" s="1684"/>
      <c r="X1089" s="1684"/>
      <c r="Y1089" s="1684"/>
      <c r="Z1089" s="1684"/>
      <c r="AA1089" s="1684"/>
      <c r="AB1089" s="1684"/>
      <c r="AC1089" s="1684"/>
      <c r="AD1089" s="1684"/>
      <c r="AE1089" s="1684"/>
      <c r="AF1089" s="1684"/>
      <c r="AG1089" s="1684"/>
      <c r="AH1089" s="1684"/>
      <c r="AI1089" s="1684"/>
      <c r="AJ1089" s="1684"/>
      <c r="AK1089" s="1684"/>
      <c r="AL1089" s="1684"/>
      <c r="AM1089" s="1684"/>
      <c r="AN1089" s="1684"/>
      <c r="AO1089" s="1684"/>
      <c r="AP1089" s="1684"/>
      <c r="AQ1089" s="1684"/>
      <c r="AR1089" s="1684"/>
      <c r="AS1089" s="1684"/>
      <c r="AT1089" s="1684"/>
      <c r="AU1089" s="1684"/>
      <c r="AV1089" s="1684"/>
      <c r="AW1089" s="1684"/>
      <c r="AX1089" s="1684"/>
      <c r="AY1089" s="1684"/>
      <c r="AZ1089" s="1684"/>
      <c r="BA1089" s="1684"/>
      <c r="BB1089" s="1684"/>
      <c r="BC1089" s="1684"/>
      <c r="BD1089" s="1684"/>
      <c r="BE1089" s="1684"/>
      <c r="BF1089" s="1684"/>
      <c r="BG1089" s="1684"/>
      <c r="BH1089" s="1684"/>
      <c r="BI1089" s="1684"/>
      <c r="BJ1089" s="1684"/>
      <c r="BK1089" s="1684"/>
      <c r="BL1089" s="1684"/>
      <c r="BM1089" s="1684"/>
      <c r="BN1089" s="1684"/>
      <c r="BO1089" s="1684"/>
      <c r="BP1089" s="1684"/>
      <c r="BQ1089" s="1684"/>
      <c r="BR1089" s="1684"/>
      <c r="BS1089" s="1684"/>
      <c r="BT1089" s="1684"/>
      <c r="BU1089" s="1684"/>
      <c r="BV1089" s="1684"/>
      <c r="BW1089" s="1684"/>
      <c r="BX1089" s="1684"/>
      <c r="BY1089" s="1684"/>
      <c r="BZ1089" s="1684"/>
      <c r="CA1089" s="1684"/>
      <c r="CB1089" s="1684"/>
      <c r="CC1089" s="1684"/>
      <c r="CD1089" s="1684"/>
      <c r="CE1089" s="1684"/>
      <c r="CF1089" s="1684"/>
      <c r="CG1089" s="1684"/>
      <c r="CH1089" s="1684"/>
      <c r="CI1089" s="1684"/>
      <c r="CJ1089" s="1684"/>
      <c r="CK1089" s="1684"/>
      <c r="CL1089" s="1684"/>
      <c r="CM1089" s="1684"/>
      <c r="CN1089" s="1684"/>
      <c r="CO1089" s="1684"/>
    </row>
    <row r="1090" spans="1:93" s="1391" customFormat="1" ht="15" x14ac:dyDescent="0.2">
      <c r="A1090" s="1684"/>
      <c r="B1090" s="1684"/>
      <c r="C1090" s="2013">
        <v>15</v>
      </c>
      <c r="D1090" s="5">
        <v>7.7389999999999999</v>
      </c>
      <c r="E1090">
        <v>246</v>
      </c>
      <c r="F1090">
        <v>273</v>
      </c>
      <c r="G1090">
        <v>299</v>
      </c>
      <c r="H1090">
        <v>323</v>
      </c>
      <c r="I1090">
        <v>351</v>
      </c>
      <c r="J1090">
        <v>377</v>
      </c>
      <c r="K1090">
        <v>403</v>
      </c>
      <c r="L1090">
        <v>430</v>
      </c>
      <c r="M1090">
        <v>455</v>
      </c>
      <c r="N1090">
        <v>481</v>
      </c>
      <c r="O1090">
        <v>507</v>
      </c>
      <c r="P1090">
        <v>533</v>
      </c>
      <c r="Q1090" s="1160">
        <v>30</v>
      </c>
      <c r="R1090"/>
      <c r="S1090" s="1684"/>
      <c r="T1090" s="1684"/>
      <c r="U1090" s="1684"/>
      <c r="V1090" s="1684"/>
      <c r="W1090" s="1684"/>
      <c r="X1090" s="1684"/>
      <c r="Y1090" s="1684"/>
      <c r="Z1090" s="1684"/>
      <c r="AA1090" s="1684"/>
      <c r="AB1090" s="1684"/>
      <c r="AC1090" s="1684"/>
      <c r="AD1090" s="1684"/>
      <c r="AE1090" s="1684"/>
      <c r="AF1090" s="1684"/>
      <c r="AG1090" s="1684"/>
      <c r="AH1090" s="1684"/>
      <c r="AI1090" s="1684"/>
      <c r="AJ1090" s="1684"/>
      <c r="AK1090" s="1684"/>
      <c r="AL1090" s="1684"/>
      <c r="AM1090" s="1684"/>
      <c r="AN1090" s="1684"/>
      <c r="AO1090" s="1684"/>
      <c r="AP1090" s="1684"/>
      <c r="AQ1090" s="1684"/>
      <c r="AR1090" s="1684"/>
      <c r="AS1090" s="1684"/>
      <c r="AT1090" s="1684"/>
      <c r="AU1090" s="1684"/>
      <c r="AV1090" s="1684"/>
      <c r="AW1090" s="1684"/>
      <c r="AX1090" s="1684"/>
      <c r="AY1090" s="1684"/>
      <c r="AZ1090" s="1684"/>
      <c r="BA1090" s="1684"/>
      <c r="BB1090" s="1684"/>
      <c r="BC1090" s="1684"/>
      <c r="BD1090" s="1684"/>
      <c r="BE1090" s="1684"/>
      <c r="BF1090" s="1684"/>
      <c r="BG1090" s="1684"/>
      <c r="BH1090" s="1684"/>
      <c r="BI1090" s="1684"/>
      <c r="BJ1090" s="1684"/>
      <c r="BK1090" s="1684"/>
      <c r="BL1090" s="1684"/>
      <c r="BM1090" s="1684"/>
      <c r="BN1090" s="1684"/>
      <c r="BO1090" s="1684"/>
      <c r="BP1090" s="1684"/>
      <c r="BQ1090" s="1684"/>
      <c r="BR1090" s="1684"/>
      <c r="BS1090" s="1684"/>
      <c r="BT1090" s="1684"/>
      <c r="BU1090" s="1684"/>
      <c r="BV1090" s="1684"/>
      <c r="BW1090" s="1684"/>
      <c r="BX1090" s="1684"/>
      <c r="BY1090" s="1684"/>
      <c r="BZ1090" s="1684"/>
      <c r="CA1090" s="1684"/>
      <c r="CB1090" s="1684"/>
      <c r="CC1090" s="1684"/>
      <c r="CD1090" s="1684"/>
      <c r="CE1090" s="1684"/>
      <c r="CF1090" s="1684"/>
      <c r="CG1090" s="1684"/>
      <c r="CH1090" s="1684"/>
      <c r="CI1090" s="1684"/>
      <c r="CJ1090" s="1684"/>
      <c r="CK1090" s="1684"/>
      <c r="CL1090" s="1684"/>
      <c r="CM1090" s="1684"/>
      <c r="CN1090" s="1684"/>
      <c r="CO1090" s="1684"/>
    </row>
    <row r="1091" spans="1:93" s="1391" customFormat="1" ht="15" x14ac:dyDescent="0.2">
      <c r="A1091" s="1684"/>
      <c r="B1091" s="1684"/>
      <c r="C1091" s="2013">
        <v>16</v>
      </c>
      <c r="D1091" s="5">
        <v>8.2569999999999997</v>
      </c>
      <c r="E1091">
        <v>262</v>
      </c>
      <c r="F1091">
        <v>291</v>
      </c>
      <c r="G1091">
        <v>319</v>
      </c>
      <c r="H1091">
        <v>346</v>
      </c>
      <c r="I1091">
        <v>374</v>
      </c>
      <c r="J1091">
        <v>402</v>
      </c>
      <c r="K1091">
        <v>429</v>
      </c>
      <c r="L1091">
        <v>458</v>
      </c>
      <c r="M1091">
        <v>484</v>
      </c>
      <c r="N1091">
        <v>512</v>
      </c>
      <c r="O1091">
        <v>540</v>
      </c>
      <c r="P1091">
        <v>567</v>
      </c>
      <c r="Q1091" s="1160">
        <v>31</v>
      </c>
      <c r="R1091"/>
      <c r="S1091" s="1684"/>
      <c r="T1091" s="1684"/>
      <c r="U1091" s="1684"/>
      <c r="V1091" s="1684"/>
      <c r="W1091" s="1684"/>
      <c r="X1091" s="1684"/>
      <c r="Y1091" s="1684"/>
      <c r="Z1091" s="1684"/>
      <c r="AA1091" s="1684"/>
      <c r="AB1091" s="1684"/>
      <c r="AC1091" s="1684"/>
      <c r="AD1091" s="1684"/>
      <c r="AE1091" s="1684"/>
      <c r="AF1091" s="1684"/>
      <c r="AG1091" s="1684"/>
      <c r="AH1091" s="1684"/>
      <c r="AI1091" s="1684"/>
      <c r="AJ1091" s="1684"/>
      <c r="AK1091" s="1684"/>
      <c r="AL1091" s="1684"/>
      <c r="AM1091" s="1684"/>
      <c r="AN1091" s="1684"/>
      <c r="AO1091" s="1684"/>
      <c r="AP1091" s="1684"/>
      <c r="AQ1091" s="1684"/>
      <c r="AR1091" s="1684"/>
      <c r="AS1091" s="1684"/>
      <c r="AT1091" s="1684"/>
      <c r="AU1091" s="1684"/>
      <c r="AV1091" s="1684"/>
      <c r="AW1091" s="1684"/>
      <c r="AX1091" s="1684"/>
      <c r="AY1091" s="1684"/>
      <c r="AZ1091" s="1684"/>
      <c r="BA1091" s="1684"/>
      <c r="BB1091" s="1684"/>
      <c r="BC1091" s="1684"/>
      <c r="BD1091" s="1684"/>
      <c r="BE1091" s="1684"/>
      <c r="BF1091" s="1684"/>
      <c r="BG1091" s="1684"/>
      <c r="BH1091" s="1684"/>
      <c r="BI1091" s="1684"/>
      <c r="BJ1091" s="1684"/>
      <c r="BK1091" s="1684"/>
      <c r="BL1091" s="1684"/>
      <c r="BM1091" s="1684"/>
      <c r="BN1091" s="1684"/>
      <c r="BO1091" s="1684"/>
      <c r="BP1091" s="1684"/>
      <c r="BQ1091" s="1684"/>
      <c r="BR1091" s="1684"/>
      <c r="BS1091" s="1684"/>
      <c r="BT1091" s="1684"/>
      <c r="BU1091" s="1684"/>
      <c r="BV1091" s="1684"/>
      <c r="BW1091" s="1684"/>
      <c r="BX1091" s="1684"/>
      <c r="BY1091" s="1684"/>
      <c r="BZ1091" s="1684"/>
      <c r="CA1091" s="1684"/>
      <c r="CB1091" s="1684"/>
      <c r="CC1091" s="1684"/>
      <c r="CD1091" s="1684"/>
      <c r="CE1091" s="1684"/>
      <c r="CF1091" s="1684"/>
      <c r="CG1091" s="1684"/>
      <c r="CH1091" s="1684"/>
      <c r="CI1091" s="1684"/>
      <c r="CJ1091" s="1684"/>
      <c r="CK1091" s="1684"/>
      <c r="CL1091" s="1684"/>
      <c r="CM1091" s="1684"/>
      <c r="CN1091" s="1684"/>
      <c r="CO1091" s="1684"/>
    </row>
    <row r="1092" spans="1:93" s="1391" customFormat="1" ht="15" x14ac:dyDescent="0.2">
      <c r="A1092" s="1684"/>
      <c r="B1092" s="1684"/>
      <c r="C1092" s="2013">
        <v>17</v>
      </c>
      <c r="D1092" s="5">
        <v>8.8140000000000001</v>
      </c>
      <c r="E1092">
        <v>277</v>
      </c>
      <c r="F1092">
        <v>307</v>
      </c>
      <c r="G1092">
        <v>337</v>
      </c>
      <c r="H1092">
        <v>366</v>
      </c>
      <c r="I1092">
        <v>395</v>
      </c>
      <c r="J1092">
        <v>424</v>
      </c>
      <c r="K1092">
        <v>453</v>
      </c>
      <c r="L1092">
        <v>484</v>
      </c>
      <c r="M1092">
        <v>511</v>
      </c>
      <c r="N1092">
        <v>540</v>
      </c>
      <c r="O1092">
        <v>570</v>
      </c>
      <c r="P1092">
        <v>599</v>
      </c>
      <c r="Q1092" s="1160">
        <v>32</v>
      </c>
      <c r="R1092"/>
      <c r="S1092" s="1684"/>
      <c r="T1092" s="1684"/>
      <c r="U1092" s="1684"/>
      <c r="V1092" s="1684"/>
      <c r="W1092" s="1684"/>
      <c r="X1092" s="1684"/>
      <c r="Y1092" s="1684"/>
      <c r="Z1092" s="1684"/>
      <c r="AA1092" s="1684"/>
      <c r="AB1092" s="1684"/>
      <c r="AC1092" s="1684"/>
      <c r="AD1092" s="1684"/>
      <c r="AE1092" s="1684"/>
      <c r="AF1092" s="1684"/>
      <c r="AG1092" s="1684"/>
      <c r="AH1092" s="1684"/>
      <c r="AI1092" s="1684"/>
      <c r="AJ1092" s="1684"/>
      <c r="AK1092" s="1684"/>
      <c r="AL1092" s="1684"/>
      <c r="AM1092" s="1684"/>
      <c r="AN1092" s="1684"/>
      <c r="AO1092" s="1684"/>
      <c r="AP1092" s="1684"/>
      <c r="AQ1092" s="1684"/>
      <c r="AR1092" s="1684"/>
      <c r="AS1092" s="1684"/>
      <c r="AT1092" s="1684"/>
      <c r="AU1092" s="1684"/>
      <c r="AV1092" s="1684"/>
      <c r="AW1092" s="1684"/>
      <c r="AX1092" s="1684"/>
      <c r="AY1092" s="1684"/>
      <c r="AZ1092" s="1684"/>
      <c r="BA1092" s="1684"/>
      <c r="BB1092" s="1684"/>
      <c r="BC1092" s="1684"/>
      <c r="BD1092" s="1684"/>
      <c r="BE1092" s="1684"/>
      <c r="BF1092" s="1684"/>
      <c r="BG1092" s="1684"/>
      <c r="BH1092" s="1684"/>
      <c r="BI1092" s="1684"/>
      <c r="BJ1092" s="1684"/>
      <c r="BK1092" s="1684"/>
      <c r="BL1092" s="1684"/>
      <c r="BM1092" s="1684"/>
      <c r="BN1092" s="1684"/>
      <c r="BO1092" s="1684"/>
      <c r="BP1092" s="1684"/>
      <c r="BQ1092" s="1684"/>
      <c r="BR1092" s="1684"/>
      <c r="BS1092" s="1684"/>
      <c r="BT1092" s="1684"/>
      <c r="BU1092" s="1684"/>
      <c r="BV1092" s="1684"/>
      <c r="BW1092" s="1684"/>
      <c r="BX1092" s="1684"/>
      <c r="BY1092" s="1684"/>
      <c r="BZ1092" s="1684"/>
      <c r="CA1092" s="1684"/>
      <c r="CB1092" s="1684"/>
      <c r="CC1092" s="1684"/>
      <c r="CD1092" s="1684"/>
      <c r="CE1092" s="1684"/>
      <c r="CF1092" s="1684"/>
      <c r="CG1092" s="1684"/>
      <c r="CH1092" s="1684"/>
      <c r="CI1092" s="1684"/>
      <c r="CJ1092" s="1684"/>
      <c r="CK1092" s="1684"/>
      <c r="CL1092" s="1684"/>
      <c r="CM1092" s="1684"/>
      <c r="CN1092" s="1684"/>
      <c r="CO1092" s="1684"/>
    </row>
    <row r="1093" spans="1:93" s="1391" customFormat="1" ht="15" x14ac:dyDescent="0.2">
      <c r="A1093" s="1684"/>
      <c r="B1093" s="1684"/>
      <c r="C1093" s="2013">
        <v>18</v>
      </c>
      <c r="D1093" s="5">
        <v>9.1300000000000008</v>
      </c>
      <c r="E1093">
        <v>290</v>
      </c>
      <c r="F1093">
        <v>322</v>
      </c>
      <c r="G1093">
        <v>353</v>
      </c>
      <c r="H1093">
        <v>383</v>
      </c>
      <c r="I1093">
        <v>414</v>
      </c>
      <c r="J1093">
        <v>444</v>
      </c>
      <c r="K1093">
        <v>475</v>
      </c>
      <c r="L1093">
        <v>507</v>
      </c>
      <c r="M1093">
        <v>536</v>
      </c>
      <c r="N1093">
        <v>566</v>
      </c>
      <c r="O1093">
        <v>597</v>
      </c>
      <c r="P1093">
        <v>627</v>
      </c>
      <c r="Q1093" s="1160">
        <v>33</v>
      </c>
      <c r="R1093"/>
      <c r="S1093" s="1684"/>
      <c r="T1093" s="1684"/>
      <c r="U1093" s="1684"/>
      <c r="V1093" s="1684"/>
      <c r="W1093" s="1684"/>
      <c r="X1093" s="1684"/>
      <c r="Y1093" s="1684"/>
      <c r="Z1093" s="1684"/>
      <c r="AA1093" s="1684"/>
      <c r="AB1093" s="1684"/>
      <c r="AC1093" s="1684"/>
      <c r="AD1093" s="1684"/>
      <c r="AE1093" s="1684"/>
      <c r="AF1093" s="1684"/>
      <c r="AG1093" s="1684"/>
      <c r="AH1093" s="1684"/>
      <c r="AI1093" s="1684"/>
      <c r="AJ1093" s="1684"/>
      <c r="AK1093" s="1684"/>
      <c r="AL1093" s="1684"/>
      <c r="AM1093" s="1684"/>
      <c r="AN1093" s="1684"/>
      <c r="AO1093" s="1684"/>
      <c r="AP1093" s="1684"/>
      <c r="AQ1093" s="1684"/>
      <c r="AR1093" s="1684"/>
      <c r="AS1093" s="1684"/>
      <c r="AT1093" s="1684"/>
      <c r="AU1093" s="1684"/>
      <c r="AV1093" s="1684"/>
      <c r="AW1093" s="1684"/>
      <c r="AX1093" s="1684"/>
      <c r="AY1093" s="1684"/>
      <c r="AZ1093" s="1684"/>
      <c r="BA1093" s="1684"/>
      <c r="BB1093" s="1684"/>
      <c r="BC1093" s="1684"/>
      <c r="BD1093" s="1684"/>
      <c r="BE1093" s="1684"/>
      <c r="BF1093" s="1684"/>
      <c r="BG1093" s="1684"/>
      <c r="BH1093" s="1684"/>
      <c r="BI1093" s="1684"/>
      <c r="BJ1093" s="1684"/>
      <c r="BK1093" s="1684"/>
      <c r="BL1093" s="1684"/>
      <c r="BM1093" s="1684"/>
      <c r="BN1093" s="1684"/>
      <c r="BO1093" s="1684"/>
      <c r="BP1093" s="1684"/>
      <c r="BQ1093" s="1684"/>
      <c r="BR1093" s="1684"/>
      <c r="BS1093" s="1684"/>
      <c r="BT1093" s="1684"/>
      <c r="BU1093" s="1684"/>
      <c r="BV1093" s="1684"/>
      <c r="BW1093" s="1684"/>
      <c r="BX1093" s="1684"/>
      <c r="BY1093" s="1684"/>
      <c r="BZ1093" s="1684"/>
      <c r="CA1093" s="1684"/>
      <c r="CB1093" s="1684"/>
      <c r="CC1093" s="1684"/>
      <c r="CD1093" s="1684"/>
      <c r="CE1093" s="1684"/>
      <c r="CF1093" s="1684"/>
      <c r="CG1093" s="1684"/>
      <c r="CH1093" s="1684"/>
      <c r="CI1093" s="1684"/>
      <c r="CJ1093" s="1684"/>
      <c r="CK1093" s="1684"/>
      <c r="CL1093" s="1684"/>
      <c r="CM1093" s="1684"/>
      <c r="CN1093" s="1684"/>
      <c r="CO1093" s="1684"/>
    </row>
    <row r="1094" spans="1:93" s="1391" customFormat="1" ht="15" x14ac:dyDescent="0.2">
      <c r="A1094" s="1684"/>
      <c r="B1094" s="1684"/>
      <c r="C1094" s="4680" t="s">
        <v>3693</v>
      </c>
      <c r="D1094" s="4681"/>
      <c r="E1094" s="4681"/>
      <c r="F1094" s="4681"/>
      <c r="G1094" s="4681"/>
      <c r="H1094" s="4681"/>
      <c r="I1094" s="4681"/>
      <c r="J1094" s="4681"/>
      <c r="K1094" s="4681"/>
      <c r="L1094" s="4681"/>
      <c r="M1094" s="4681"/>
      <c r="N1094" s="4681"/>
      <c r="O1094" s="4681"/>
      <c r="P1094" s="4681"/>
      <c r="Q1094" s="4682"/>
      <c r="R1094"/>
      <c r="S1094" s="1684"/>
      <c r="T1094" s="1684"/>
      <c r="U1094" s="1684"/>
      <c r="V1094" s="1684"/>
      <c r="W1094" s="1684"/>
      <c r="X1094" s="1684"/>
      <c r="Y1094" s="1684"/>
      <c r="Z1094" s="1684"/>
      <c r="AA1094" s="1684"/>
      <c r="AB1094" s="1684"/>
      <c r="AC1094" s="1684"/>
      <c r="AD1094" s="1684"/>
      <c r="AE1094" s="1684"/>
      <c r="AF1094" s="1684"/>
      <c r="AG1094" s="1684"/>
      <c r="AH1094" s="1684"/>
      <c r="AI1094" s="1684"/>
      <c r="AJ1094" s="1684"/>
      <c r="AK1094" s="1684"/>
      <c r="AL1094" s="1684"/>
      <c r="AM1094" s="1684"/>
      <c r="AN1094" s="1684"/>
      <c r="AO1094" s="1684"/>
      <c r="AP1094" s="1684"/>
      <c r="AQ1094" s="1684"/>
      <c r="AR1094" s="1684"/>
      <c r="AS1094" s="1684"/>
      <c r="AT1094" s="1684"/>
      <c r="AU1094" s="1684"/>
      <c r="AV1094" s="1684"/>
      <c r="AW1094" s="1684"/>
      <c r="AX1094" s="1684"/>
      <c r="AY1094" s="1684"/>
      <c r="AZ1094" s="1684"/>
      <c r="BA1094" s="1684"/>
      <c r="BB1094" s="1684"/>
      <c r="BC1094" s="1684"/>
      <c r="BD1094" s="1684"/>
      <c r="BE1094" s="1684"/>
      <c r="BF1094" s="1684"/>
      <c r="BG1094" s="1684"/>
      <c r="BH1094" s="1684"/>
      <c r="BI1094" s="1684"/>
      <c r="BJ1094" s="1684"/>
      <c r="BK1094" s="1684"/>
      <c r="BL1094" s="1684"/>
      <c r="BM1094" s="1684"/>
      <c r="BN1094" s="1684"/>
      <c r="BO1094" s="1684"/>
      <c r="BP1094" s="1684"/>
      <c r="BQ1094" s="1684"/>
      <c r="BR1094" s="1684"/>
      <c r="BS1094" s="1684"/>
      <c r="BT1094" s="1684"/>
      <c r="BU1094" s="1684"/>
      <c r="BV1094" s="1684"/>
      <c r="BW1094" s="1684"/>
      <c r="BX1094" s="1684"/>
      <c r="BY1094" s="1684"/>
      <c r="BZ1094" s="1684"/>
      <c r="CA1094" s="1684"/>
      <c r="CB1094" s="1684"/>
      <c r="CC1094" s="1684"/>
      <c r="CD1094" s="1684"/>
      <c r="CE1094" s="1684"/>
      <c r="CF1094" s="1684"/>
      <c r="CG1094" s="1684"/>
      <c r="CH1094" s="1684"/>
      <c r="CI1094" s="1684"/>
      <c r="CJ1094" s="1684"/>
      <c r="CK1094" s="1684"/>
      <c r="CL1094" s="1684"/>
      <c r="CM1094" s="1684"/>
      <c r="CN1094" s="1684"/>
      <c r="CO1094" s="1684"/>
    </row>
    <row r="1095" spans="1:93" s="1391" customFormat="1" ht="15" x14ac:dyDescent="0.2">
      <c r="A1095" s="1684"/>
      <c r="B1095" s="1684"/>
      <c r="C1095" s="4680"/>
      <c r="D1095" s="4681"/>
      <c r="E1095" s="4681"/>
      <c r="F1095" s="4681"/>
      <c r="G1095" s="4681"/>
      <c r="H1095" s="4681"/>
      <c r="I1095" s="4681"/>
      <c r="J1095" s="4681"/>
      <c r="K1095" s="4681"/>
      <c r="L1095" s="4681"/>
      <c r="M1095" s="4681"/>
      <c r="N1095" s="4681"/>
      <c r="O1095" s="4681"/>
      <c r="P1095" s="4681"/>
      <c r="Q1095" s="4682"/>
      <c r="R1095"/>
      <c r="S1095" s="1684"/>
      <c r="T1095" s="1684"/>
      <c r="U1095" s="1684"/>
      <c r="V1095" s="1684"/>
      <c r="W1095" s="1684"/>
      <c r="X1095" s="1684"/>
      <c r="Y1095" s="1684"/>
      <c r="Z1095" s="1684"/>
      <c r="AA1095" s="1684"/>
      <c r="AB1095" s="1684"/>
      <c r="AC1095" s="1684"/>
      <c r="AD1095" s="1684"/>
      <c r="AE1095" s="1684"/>
      <c r="AF1095" s="1684"/>
      <c r="AG1095" s="1684"/>
      <c r="AH1095" s="1684"/>
      <c r="AI1095" s="1684"/>
      <c r="AJ1095" s="1684"/>
      <c r="AK1095" s="1684"/>
      <c r="AL1095" s="1684"/>
      <c r="AM1095" s="1684"/>
      <c r="AN1095" s="1684"/>
      <c r="AO1095" s="1684"/>
      <c r="AP1095" s="1684"/>
      <c r="AQ1095" s="1684"/>
      <c r="AR1095" s="1684"/>
      <c r="AS1095" s="1684"/>
      <c r="AT1095" s="1684"/>
      <c r="AU1095" s="1684"/>
      <c r="AV1095" s="1684"/>
      <c r="AW1095" s="1684"/>
      <c r="AX1095" s="1684"/>
      <c r="AY1095" s="1684"/>
      <c r="AZ1095" s="1684"/>
      <c r="BA1095" s="1684"/>
      <c r="BB1095" s="1684"/>
      <c r="BC1095" s="1684"/>
      <c r="BD1095" s="1684"/>
      <c r="BE1095" s="1684"/>
      <c r="BF1095" s="1684"/>
      <c r="BG1095" s="1684"/>
      <c r="BH1095" s="1684"/>
      <c r="BI1095" s="1684"/>
      <c r="BJ1095" s="1684"/>
      <c r="BK1095" s="1684"/>
      <c r="BL1095" s="1684"/>
      <c r="BM1095" s="1684"/>
      <c r="BN1095" s="1684"/>
      <c r="BO1095" s="1684"/>
      <c r="BP1095" s="1684"/>
      <c r="BQ1095" s="1684"/>
      <c r="BR1095" s="1684"/>
      <c r="BS1095" s="1684"/>
      <c r="BT1095" s="1684"/>
      <c r="BU1095" s="1684"/>
      <c r="BV1095" s="1684"/>
      <c r="BW1095" s="1684"/>
      <c r="BX1095" s="1684"/>
      <c r="BY1095" s="1684"/>
      <c r="BZ1095" s="1684"/>
      <c r="CA1095" s="1684"/>
      <c r="CB1095" s="1684"/>
      <c r="CC1095" s="1684"/>
      <c r="CD1095" s="1684"/>
      <c r="CE1095" s="1684"/>
      <c r="CF1095" s="1684"/>
      <c r="CG1095" s="1684"/>
      <c r="CH1095" s="1684"/>
      <c r="CI1095" s="1684"/>
      <c r="CJ1095" s="1684"/>
      <c r="CK1095" s="1684"/>
      <c r="CL1095" s="1684"/>
      <c r="CM1095" s="1684"/>
      <c r="CN1095" s="1684"/>
      <c r="CO1095" s="1684"/>
    </row>
    <row r="1096" spans="1:93" s="1391" customFormat="1" ht="15" x14ac:dyDescent="0.2">
      <c r="A1096" s="1684"/>
      <c r="B1096" s="1684"/>
      <c r="C1096" s="2013"/>
      <c r="D1096" s="5"/>
      <c r="E1096" s="5">
        <v>1</v>
      </c>
      <c r="F1096" s="5">
        <v>2</v>
      </c>
      <c r="G1096" s="5">
        <v>3</v>
      </c>
      <c r="H1096" s="5">
        <v>4</v>
      </c>
      <c r="I1096" s="5">
        <v>5</v>
      </c>
      <c r="J1096" s="5">
        <v>6</v>
      </c>
      <c r="K1096" s="5">
        <v>7</v>
      </c>
      <c r="L1096" s="5">
        <v>8</v>
      </c>
      <c r="M1096" s="5">
        <v>9</v>
      </c>
      <c r="N1096" s="5">
        <v>10</v>
      </c>
      <c r="O1096" s="5">
        <v>11</v>
      </c>
      <c r="P1096" s="5">
        <v>12</v>
      </c>
      <c r="Q1096" s="1160"/>
      <c r="R1096"/>
      <c r="S1096" s="1684"/>
      <c r="T1096" s="1684"/>
      <c r="U1096" s="1684"/>
      <c r="V1096" s="1684"/>
      <c r="W1096" s="1684"/>
      <c r="X1096" s="1684"/>
      <c r="Y1096" s="1684"/>
      <c r="Z1096" s="1684"/>
      <c r="AA1096" s="1684"/>
      <c r="AB1096" s="1684"/>
      <c r="AC1096" s="1684"/>
      <c r="AD1096" s="1684"/>
      <c r="AE1096" s="1684"/>
      <c r="AF1096" s="1684"/>
      <c r="AG1096" s="1684"/>
      <c r="AH1096" s="1684"/>
      <c r="AI1096" s="1684"/>
      <c r="AJ1096" s="1684"/>
      <c r="AK1096" s="1684"/>
      <c r="AL1096" s="1684"/>
      <c r="AM1096" s="1684"/>
      <c r="AN1096" s="1684"/>
      <c r="AO1096" s="1684"/>
      <c r="AP1096" s="1684"/>
      <c r="AQ1096" s="1684"/>
      <c r="AR1096" s="1684"/>
      <c r="AS1096" s="1684"/>
      <c r="AT1096" s="1684"/>
      <c r="AU1096" s="1684"/>
      <c r="AV1096" s="1684"/>
      <c r="AW1096" s="1684"/>
      <c r="AX1096" s="1684"/>
      <c r="AY1096" s="1684"/>
      <c r="AZ1096" s="1684"/>
      <c r="BA1096" s="1684"/>
      <c r="BB1096" s="1684"/>
      <c r="BC1096" s="1684"/>
      <c r="BD1096" s="1684"/>
      <c r="BE1096" s="1684"/>
      <c r="BF1096" s="1684"/>
      <c r="BG1096" s="1684"/>
      <c r="BH1096" s="1684"/>
      <c r="BI1096" s="1684"/>
      <c r="BJ1096" s="1684"/>
      <c r="BK1096" s="1684"/>
      <c r="BL1096" s="1684"/>
      <c r="BM1096" s="1684"/>
      <c r="BN1096" s="1684"/>
      <c r="BO1096" s="1684"/>
      <c r="BP1096" s="1684"/>
      <c r="BQ1096" s="1684"/>
      <c r="BR1096" s="1684"/>
      <c r="BS1096" s="1684"/>
      <c r="BT1096" s="1684"/>
      <c r="BU1096" s="1684"/>
      <c r="BV1096" s="1684"/>
      <c r="BW1096" s="1684"/>
      <c r="BX1096" s="1684"/>
      <c r="BY1096" s="1684"/>
      <c r="BZ1096" s="1684"/>
      <c r="CA1096" s="1684"/>
      <c r="CB1096" s="1684"/>
      <c r="CC1096" s="1684"/>
      <c r="CD1096" s="1684"/>
      <c r="CE1096" s="1684"/>
      <c r="CF1096" s="1684"/>
      <c r="CG1096" s="1684"/>
      <c r="CH1096" s="1684"/>
      <c r="CI1096" s="1684"/>
      <c r="CJ1096" s="1684"/>
      <c r="CK1096" s="1684"/>
      <c r="CL1096" s="1684"/>
      <c r="CM1096" s="1684"/>
      <c r="CN1096" s="1684"/>
      <c r="CO1096" s="1684"/>
    </row>
    <row r="1097" spans="1:93" s="1391" customFormat="1" ht="15" x14ac:dyDescent="0.2">
      <c r="A1097" s="1684"/>
      <c r="B1097" s="1684"/>
      <c r="C1097" s="2013">
        <v>8</v>
      </c>
      <c r="D1097" s="5">
        <v>5.3819999999999997</v>
      </c>
      <c r="E1097">
        <v>142</v>
      </c>
      <c r="F1097">
        <v>158</v>
      </c>
      <c r="G1097">
        <v>172</v>
      </c>
      <c r="H1097">
        <v>187</v>
      </c>
      <c r="I1097">
        <v>202</v>
      </c>
      <c r="J1097">
        <v>217</v>
      </c>
      <c r="K1097">
        <v>232</v>
      </c>
      <c r="L1097">
        <v>248</v>
      </c>
      <c r="M1097">
        <v>262</v>
      </c>
      <c r="N1097">
        <v>277</v>
      </c>
      <c r="O1097">
        <v>292</v>
      </c>
      <c r="P1097">
        <v>307</v>
      </c>
      <c r="Q1097" s="1160">
        <v>34</v>
      </c>
      <c r="R1097"/>
      <c r="S1097" s="1684"/>
      <c r="T1097" s="1684"/>
      <c r="U1097" s="1684"/>
      <c r="V1097" s="1684"/>
      <c r="W1097" s="1684"/>
      <c r="X1097" s="1684"/>
      <c r="Y1097" s="1684"/>
      <c r="Z1097" s="1684"/>
      <c r="AA1097" s="1684"/>
      <c r="AB1097" s="1684"/>
      <c r="AC1097" s="1684"/>
      <c r="AD1097" s="1684"/>
      <c r="AE1097" s="1684"/>
      <c r="AF1097" s="1684"/>
      <c r="AG1097" s="1684"/>
      <c r="AH1097" s="1684"/>
      <c r="AI1097" s="1684"/>
      <c r="AJ1097" s="1684"/>
      <c r="AK1097" s="1684"/>
      <c r="AL1097" s="1684"/>
      <c r="AM1097" s="1684"/>
      <c r="AN1097" s="1684"/>
      <c r="AO1097" s="1684"/>
      <c r="AP1097" s="1684"/>
      <c r="AQ1097" s="1684"/>
      <c r="AR1097" s="1684"/>
      <c r="AS1097" s="1684"/>
      <c r="AT1097" s="1684"/>
      <c r="AU1097" s="1684"/>
      <c r="AV1097" s="1684"/>
      <c r="AW1097" s="1684"/>
      <c r="AX1097" s="1684"/>
      <c r="AY1097" s="1684"/>
      <c r="AZ1097" s="1684"/>
      <c r="BA1097" s="1684"/>
      <c r="BB1097" s="1684"/>
      <c r="BC1097" s="1684"/>
      <c r="BD1097" s="1684"/>
      <c r="BE1097" s="1684"/>
      <c r="BF1097" s="1684"/>
      <c r="BG1097" s="1684"/>
      <c r="BH1097" s="1684"/>
      <c r="BI1097" s="1684"/>
      <c r="BJ1097" s="1684"/>
      <c r="BK1097" s="1684"/>
      <c r="BL1097" s="1684"/>
      <c r="BM1097" s="1684"/>
      <c r="BN1097" s="1684"/>
      <c r="BO1097" s="1684"/>
      <c r="BP1097" s="1684"/>
      <c r="BQ1097" s="1684"/>
      <c r="BR1097" s="1684"/>
      <c r="BS1097" s="1684"/>
      <c r="BT1097" s="1684"/>
      <c r="BU1097" s="1684"/>
      <c r="BV1097" s="1684"/>
      <c r="BW1097" s="1684"/>
      <c r="BX1097" s="1684"/>
      <c r="BY1097" s="1684"/>
      <c r="BZ1097" s="1684"/>
      <c r="CA1097" s="1684"/>
      <c r="CB1097" s="1684"/>
      <c r="CC1097" s="1684"/>
      <c r="CD1097" s="1684"/>
      <c r="CE1097" s="1684"/>
      <c r="CF1097" s="1684"/>
      <c r="CG1097" s="1684"/>
      <c r="CH1097" s="1684"/>
      <c r="CI1097" s="1684"/>
      <c r="CJ1097" s="1684"/>
      <c r="CK1097" s="1684"/>
      <c r="CL1097" s="1684"/>
      <c r="CM1097" s="1684"/>
      <c r="CN1097" s="1684"/>
      <c r="CO1097" s="1684"/>
    </row>
    <row r="1098" spans="1:93" s="1391" customFormat="1" ht="15" x14ac:dyDescent="0.2">
      <c r="A1098" s="1684"/>
      <c r="B1098" s="1684"/>
      <c r="C1098" s="2013">
        <v>9</v>
      </c>
      <c r="D1098" s="5">
        <v>5.6959999999999997</v>
      </c>
      <c r="E1098">
        <v>156</v>
      </c>
      <c r="F1098">
        <v>173</v>
      </c>
      <c r="G1098">
        <v>189</v>
      </c>
      <c r="H1098">
        <v>206</v>
      </c>
      <c r="I1098">
        <v>222</v>
      </c>
      <c r="J1098">
        <v>239</v>
      </c>
      <c r="K1098">
        <v>255</v>
      </c>
      <c r="L1098">
        <v>272</v>
      </c>
      <c r="M1098">
        <v>288</v>
      </c>
      <c r="N1098">
        <v>304</v>
      </c>
      <c r="O1098">
        <v>320</v>
      </c>
      <c r="P1098">
        <v>337</v>
      </c>
      <c r="Q1098" s="1160">
        <v>35</v>
      </c>
      <c r="R1098"/>
      <c r="S1098" s="1684"/>
      <c r="T1098" s="1684"/>
      <c r="U1098" s="1684"/>
      <c r="V1098" s="1684"/>
      <c r="W1098" s="1684"/>
      <c r="X1098" s="1684"/>
      <c r="Y1098" s="1684"/>
      <c r="Z1098" s="1684"/>
      <c r="AA1098" s="1684"/>
      <c r="AB1098" s="1684"/>
      <c r="AC1098" s="1684"/>
      <c r="AD1098" s="1684"/>
      <c r="AE1098" s="1684"/>
      <c r="AF1098" s="1684"/>
      <c r="AG1098" s="1684"/>
      <c r="AH1098" s="1684"/>
      <c r="AI1098" s="1684"/>
      <c r="AJ1098" s="1684"/>
      <c r="AK1098" s="1684"/>
      <c r="AL1098" s="1684"/>
      <c r="AM1098" s="1684"/>
      <c r="AN1098" s="1684"/>
      <c r="AO1098" s="1684"/>
      <c r="AP1098" s="1684"/>
      <c r="AQ1098" s="1684"/>
      <c r="AR1098" s="1684"/>
      <c r="AS1098" s="1684"/>
      <c r="AT1098" s="1684"/>
      <c r="AU1098" s="1684"/>
      <c r="AV1098" s="1684"/>
      <c r="AW1098" s="1684"/>
      <c r="AX1098" s="1684"/>
      <c r="AY1098" s="1684"/>
      <c r="AZ1098" s="1684"/>
      <c r="BA1098" s="1684"/>
      <c r="BB1098" s="1684"/>
      <c r="BC1098" s="1684"/>
      <c r="BD1098" s="1684"/>
      <c r="BE1098" s="1684"/>
      <c r="BF1098" s="1684"/>
      <c r="BG1098" s="1684"/>
      <c r="BH1098" s="1684"/>
      <c r="BI1098" s="1684"/>
      <c r="BJ1098" s="1684"/>
      <c r="BK1098" s="1684"/>
      <c r="BL1098" s="1684"/>
      <c r="BM1098" s="1684"/>
      <c r="BN1098" s="1684"/>
      <c r="BO1098" s="1684"/>
      <c r="BP1098" s="1684"/>
      <c r="BQ1098" s="1684"/>
      <c r="BR1098" s="1684"/>
      <c r="BS1098" s="1684"/>
      <c r="BT1098" s="1684"/>
      <c r="BU1098" s="1684"/>
      <c r="BV1098" s="1684"/>
      <c r="BW1098" s="1684"/>
      <c r="BX1098" s="1684"/>
      <c r="BY1098" s="1684"/>
      <c r="BZ1098" s="1684"/>
      <c r="CA1098" s="1684"/>
      <c r="CB1098" s="1684"/>
      <c r="CC1098" s="1684"/>
      <c r="CD1098" s="1684"/>
      <c r="CE1098" s="1684"/>
      <c r="CF1098" s="1684"/>
      <c r="CG1098" s="1684"/>
      <c r="CH1098" s="1684"/>
      <c r="CI1098" s="1684"/>
      <c r="CJ1098" s="1684"/>
      <c r="CK1098" s="1684"/>
      <c r="CL1098" s="1684"/>
      <c r="CM1098" s="1684"/>
      <c r="CN1098" s="1684"/>
      <c r="CO1098" s="1684"/>
    </row>
    <row r="1099" spans="1:93" s="1391" customFormat="1" ht="15" x14ac:dyDescent="0.2">
      <c r="A1099" s="1684"/>
      <c r="B1099" s="1684"/>
      <c r="C1099" s="2013">
        <v>10</v>
      </c>
      <c r="D1099" s="5">
        <v>6.0220000000000002</v>
      </c>
      <c r="E1099">
        <v>170</v>
      </c>
      <c r="F1099">
        <v>189</v>
      </c>
      <c r="G1099">
        <v>207</v>
      </c>
      <c r="H1099">
        <v>225</v>
      </c>
      <c r="I1099">
        <v>243</v>
      </c>
      <c r="J1099">
        <v>261</v>
      </c>
      <c r="K1099">
        <v>279</v>
      </c>
      <c r="L1099">
        <v>297</v>
      </c>
      <c r="M1099">
        <v>314</v>
      </c>
      <c r="N1099">
        <v>332</v>
      </c>
      <c r="O1099">
        <v>350</v>
      </c>
      <c r="P1099">
        <v>368</v>
      </c>
      <c r="Q1099" s="1160">
        <v>36</v>
      </c>
      <c r="R1099"/>
      <c r="S1099" s="1684"/>
      <c r="T1099" s="1684"/>
      <c r="U1099" s="1684"/>
      <c r="V1099" s="1684"/>
      <c r="W1099" s="1684"/>
      <c r="X1099" s="1684"/>
      <c r="Y1099" s="1684"/>
      <c r="Z1099" s="1684"/>
      <c r="AA1099" s="1684"/>
      <c r="AB1099" s="1684"/>
      <c r="AC1099" s="1684"/>
      <c r="AD1099" s="1684"/>
      <c r="AE1099" s="1684"/>
      <c r="AF1099" s="1684"/>
      <c r="AG1099" s="1684"/>
      <c r="AH1099" s="1684"/>
      <c r="AI1099" s="1684"/>
      <c r="AJ1099" s="1684"/>
      <c r="AK1099" s="1684"/>
      <c r="AL1099" s="1684"/>
      <c r="AM1099" s="1684"/>
      <c r="AN1099" s="1684"/>
      <c r="AO1099" s="1684"/>
      <c r="AP1099" s="1684"/>
      <c r="AQ1099" s="1684"/>
      <c r="AR1099" s="1684"/>
      <c r="AS1099" s="1684"/>
      <c r="AT1099" s="1684"/>
      <c r="AU1099" s="1684"/>
      <c r="AV1099" s="1684"/>
      <c r="AW1099" s="1684"/>
      <c r="AX1099" s="1684"/>
      <c r="AY1099" s="1684"/>
      <c r="AZ1099" s="1684"/>
      <c r="BA1099" s="1684"/>
      <c r="BB1099" s="1684"/>
      <c r="BC1099" s="1684"/>
      <c r="BD1099" s="1684"/>
      <c r="BE1099" s="1684"/>
      <c r="BF1099" s="1684"/>
      <c r="BG1099" s="1684"/>
      <c r="BH1099" s="1684"/>
      <c r="BI1099" s="1684"/>
      <c r="BJ1099" s="1684"/>
      <c r="BK1099" s="1684"/>
      <c r="BL1099" s="1684"/>
      <c r="BM1099" s="1684"/>
      <c r="BN1099" s="1684"/>
      <c r="BO1099" s="1684"/>
      <c r="BP1099" s="1684"/>
      <c r="BQ1099" s="1684"/>
      <c r="BR1099" s="1684"/>
      <c r="BS1099" s="1684"/>
      <c r="BT1099" s="1684"/>
      <c r="BU1099" s="1684"/>
      <c r="BV1099" s="1684"/>
      <c r="BW1099" s="1684"/>
      <c r="BX1099" s="1684"/>
      <c r="BY1099" s="1684"/>
      <c r="BZ1099" s="1684"/>
      <c r="CA1099" s="1684"/>
      <c r="CB1099" s="1684"/>
      <c r="CC1099" s="1684"/>
      <c r="CD1099" s="1684"/>
      <c r="CE1099" s="1684"/>
      <c r="CF1099" s="1684"/>
      <c r="CG1099" s="1684"/>
      <c r="CH1099" s="1684"/>
      <c r="CI1099" s="1684"/>
      <c r="CJ1099" s="1684"/>
      <c r="CK1099" s="1684"/>
      <c r="CL1099" s="1684"/>
      <c r="CM1099" s="1684"/>
      <c r="CN1099" s="1684"/>
      <c r="CO1099" s="1684"/>
    </row>
    <row r="1100" spans="1:93" s="1391" customFormat="1" ht="15" x14ac:dyDescent="0.2">
      <c r="A1100" s="1684"/>
      <c r="B1100" s="1684"/>
      <c r="C1100" s="2013">
        <v>11</v>
      </c>
      <c r="D1100" s="5">
        <v>6.3840000000000003</v>
      </c>
      <c r="E1100">
        <v>186</v>
      </c>
      <c r="F1100">
        <v>207</v>
      </c>
      <c r="G1100">
        <v>226</v>
      </c>
      <c r="H1100">
        <v>246</v>
      </c>
      <c r="I1100">
        <v>263</v>
      </c>
      <c r="J1100">
        <v>283</v>
      </c>
      <c r="K1100">
        <v>303</v>
      </c>
      <c r="L1100">
        <v>325</v>
      </c>
      <c r="M1100">
        <v>344</v>
      </c>
      <c r="N1100">
        <v>363</v>
      </c>
      <c r="O1100">
        <v>383</v>
      </c>
      <c r="P1100">
        <v>402</v>
      </c>
      <c r="Q1100" s="1160">
        <v>37</v>
      </c>
      <c r="R1100"/>
      <c r="S1100" s="1684"/>
      <c r="T1100" s="1684"/>
      <c r="U1100" s="1684"/>
      <c r="V1100" s="1684"/>
      <c r="W1100" s="1684"/>
      <c r="X1100" s="1684"/>
      <c r="Y1100" s="1684"/>
      <c r="Z1100" s="1684"/>
      <c r="AA1100" s="1684"/>
      <c r="AB1100" s="1684"/>
      <c r="AC1100" s="1684"/>
      <c r="AD1100" s="1684"/>
      <c r="AE1100" s="1684"/>
      <c r="AF1100" s="1684"/>
      <c r="AG1100" s="1684"/>
      <c r="AH1100" s="1684"/>
      <c r="AI1100" s="1684"/>
      <c r="AJ1100" s="1684"/>
      <c r="AK1100" s="1684"/>
      <c r="AL1100" s="1684"/>
      <c r="AM1100" s="1684"/>
      <c r="AN1100" s="1684"/>
      <c r="AO1100" s="1684"/>
      <c r="AP1100" s="1684"/>
      <c r="AQ1100" s="1684"/>
      <c r="AR1100" s="1684"/>
      <c r="AS1100" s="1684"/>
      <c r="AT1100" s="1684"/>
      <c r="AU1100" s="1684"/>
      <c r="AV1100" s="1684"/>
      <c r="AW1100" s="1684"/>
      <c r="AX1100" s="1684"/>
      <c r="AY1100" s="1684"/>
      <c r="AZ1100" s="1684"/>
      <c r="BA1100" s="1684"/>
      <c r="BB1100" s="1684"/>
      <c r="BC1100" s="1684"/>
      <c r="BD1100" s="1684"/>
      <c r="BE1100" s="1684"/>
      <c r="BF1100" s="1684"/>
      <c r="BG1100" s="1684"/>
      <c r="BH1100" s="1684"/>
      <c r="BI1100" s="1684"/>
      <c r="BJ1100" s="1684"/>
      <c r="BK1100" s="1684"/>
      <c r="BL1100" s="1684"/>
      <c r="BM1100" s="1684"/>
      <c r="BN1100" s="1684"/>
      <c r="BO1100" s="1684"/>
      <c r="BP1100" s="1684"/>
      <c r="BQ1100" s="1684"/>
      <c r="BR1100" s="1684"/>
      <c r="BS1100" s="1684"/>
      <c r="BT1100" s="1684"/>
      <c r="BU1100" s="1684"/>
      <c r="BV1100" s="1684"/>
      <c r="BW1100" s="1684"/>
      <c r="BX1100" s="1684"/>
      <c r="BY1100" s="1684"/>
      <c r="BZ1100" s="1684"/>
      <c r="CA1100" s="1684"/>
      <c r="CB1100" s="1684"/>
      <c r="CC1100" s="1684"/>
      <c r="CD1100" s="1684"/>
      <c r="CE1100" s="1684"/>
      <c r="CF1100" s="1684"/>
      <c r="CG1100" s="1684"/>
      <c r="CH1100" s="1684"/>
      <c r="CI1100" s="1684"/>
      <c r="CJ1100" s="1684"/>
      <c r="CK1100" s="1684"/>
      <c r="CL1100" s="1684"/>
      <c r="CM1100" s="1684"/>
      <c r="CN1100" s="1684"/>
      <c r="CO1100" s="1684"/>
    </row>
    <row r="1101" spans="1:93" s="1391" customFormat="1" ht="15" x14ac:dyDescent="0.2">
      <c r="A1101" s="1684"/>
      <c r="B1101" s="1684"/>
      <c r="C1101" s="2013">
        <v>12</v>
      </c>
      <c r="D1101" s="5">
        <v>6.758</v>
      </c>
      <c r="E1101">
        <v>202</v>
      </c>
      <c r="F1101">
        <v>225</v>
      </c>
      <c r="G1101">
        <v>246</v>
      </c>
      <c r="H1101">
        <v>267</v>
      </c>
      <c r="I1101">
        <v>289</v>
      </c>
      <c r="J1101">
        <v>310</v>
      </c>
      <c r="K1101">
        <v>331</v>
      </c>
      <c r="L1101">
        <v>354</v>
      </c>
      <c r="M1101">
        <v>374</v>
      </c>
      <c r="N1101">
        <v>395</v>
      </c>
      <c r="O1101">
        <v>417</v>
      </c>
      <c r="P1101">
        <v>438</v>
      </c>
      <c r="Q1101" s="1160">
        <v>38</v>
      </c>
      <c r="R1101"/>
      <c r="S1101" s="1684"/>
      <c r="T1101" s="1684"/>
      <c r="U1101" s="1684"/>
      <c r="V1101" s="1684"/>
      <c r="W1101" s="1684"/>
      <c r="X1101" s="1684"/>
      <c r="Y1101" s="1684"/>
      <c r="Z1101" s="1684"/>
      <c r="AA1101" s="1684"/>
      <c r="AB1101" s="1684"/>
      <c r="AC1101" s="1684"/>
      <c r="AD1101" s="1684"/>
      <c r="AE1101" s="1684"/>
      <c r="AF1101" s="1684"/>
      <c r="AG1101" s="1684"/>
      <c r="AH1101" s="1684"/>
      <c r="AI1101" s="1684"/>
      <c r="AJ1101" s="1684"/>
      <c r="AK1101" s="1684"/>
      <c r="AL1101" s="1684"/>
      <c r="AM1101" s="1684"/>
      <c r="AN1101" s="1684"/>
      <c r="AO1101" s="1684"/>
      <c r="AP1101" s="1684"/>
      <c r="AQ1101" s="1684"/>
      <c r="AR1101" s="1684"/>
      <c r="AS1101" s="1684"/>
      <c r="AT1101" s="1684"/>
      <c r="AU1101" s="1684"/>
      <c r="AV1101" s="1684"/>
      <c r="AW1101" s="1684"/>
      <c r="AX1101" s="1684"/>
      <c r="AY1101" s="1684"/>
      <c r="AZ1101" s="1684"/>
      <c r="BA1101" s="1684"/>
      <c r="BB1101" s="1684"/>
      <c r="BC1101" s="1684"/>
      <c r="BD1101" s="1684"/>
      <c r="BE1101" s="1684"/>
      <c r="BF1101" s="1684"/>
      <c r="BG1101" s="1684"/>
      <c r="BH1101" s="1684"/>
      <c r="BI1101" s="1684"/>
      <c r="BJ1101" s="1684"/>
      <c r="BK1101" s="1684"/>
      <c r="BL1101" s="1684"/>
      <c r="BM1101" s="1684"/>
      <c r="BN1101" s="1684"/>
      <c r="BO1101" s="1684"/>
      <c r="BP1101" s="1684"/>
      <c r="BQ1101" s="1684"/>
      <c r="BR1101" s="1684"/>
      <c r="BS1101" s="1684"/>
      <c r="BT1101" s="1684"/>
      <c r="BU1101" s="1684"/>
      <c r="BV1101" s="1684"/>
      <c r="BW1101" s="1684"/>
      <c r="BX1101" s="1684"/>
      <c r="BY1101" s="1684"/>
      <c r="BZ1101" s="1684"/>
      <c r="CA1101" s="1684"/>
      <c r="CB1101" s="1684"/>
      <c r="CC1101" s="1684"/>
      <c r="CD1101" s="1684"/>
      <c r="CE1101" s="1684"/>
      <c r="CF1101" s="1684"/>
      <c r="CG1101" s="1684"/>
      <c r="CH1101" s="1684"/>
      <c r="CI1101" s="1684"/>
      <c r="CJ1101" s="1684"/>
      <c r="CK1101" s="1684"/>
      <c r="CL1101" s="1684"/>
      <c r="CM1101" s="1684"/>
      <c r="CN1101" s="1684"/>
      <c r="CO1101" s="1684"/>
    </row>
    <row r="1102" spans="1:93" s="1391" customFormat="1" ht="15" x14ac:dyDescent="0.2">
      <c r="A1102" s="1684"/>
      <c r="B1102" s="1684"/>
      <c r="C1102" s="2013">
        <v>13</v>
      </c>
      <c r="D1102" s="5">
        <v>7.1340000000000003</v>
      </c>
      <c r="E1102">
        <v>219</v>
      </c>
      <c r="F1102">
        <v>243</v>
      </c>
      <c r="G1102">
        <v>266</v>
      </c>
      <c r="H1102">
        <v>289</v>
      </c>
      <c r="I1102">
        <v>312</v>
      </c>
      <c r="J1102">
        <v>333</v>
      </c>
      <c r="K1102">
        <v>358</v>
      </c>
      <c r="L1102">
        <v>382</v>
      </c>
      <c r="M1102">
        <v>404</v>
      </c>
      <c r="N1102">
        <v>427</v>
      </c>
      <c r="O1102">
        <v>460</v>
      </c>
      <c r="P1102">
        <v>473</v>
      </c>
      <c r="Q1102" s="1160">
        <v>39</v>
      </c>
      <c r="R1102"/>
      <c r="S1102" s="1684"/>
      <c r="T1102" s="1684"/>
      <c r="U1102" s="1684"/>
      <c r="V1102" s="1684"/>
      <c r="W1102" s="1684"/>
      <c r="X1102" s="1684"/>
      <c r="Y1102" s="1684"/>
      <c r="Z1102" s="1684"/>
      <c r="AA1102" s="1684"/>
      <c r="AB1102" s="1684"/>
      <c r="AC1102" s="1684"/>
      <c r="AD1102" s="1684"/>
      <c r="AE1102" s="1684"/>
      <c r="AF1102" s="1684"/>
      <c r="AG1102" s="1684"/>
      <c r="AH1102" s="1684"/>
      <c r="AI1102" s="1684"/>
      <c r="AJ1102" s="1684"/>
      <c r="AK1102" s="1684"/>
      <c r="AL1102" s="1684"/>
      <c r="AM1102" s="1684"/>
      <c r="AN1102" s="1684"/>
      <c r="AO1102" s="1684"/>
      <c r="AP1102" s="1684"/>
      <c r="AQ1102" s="1684"/>
      <c r="AR1102" s="1684"/>
      <c r="AS1102" s="1684"/>
      <c r="AT1102" s="1684"/>
      <c r="AU1102" s="1684"/>
      <c r="AV1102" s="1684"/>
      <c r="AW1102" s="1684"/>
      <c r="AX1102" s="1684"/>
      <c r="AY1102" s="1684"/>
      <c r="AZ1102" s="1684"/>
      <c r="BA1102" s="1684"/>
      <c r="BB1102" s="1684"/>
      <c r="BC1102" s="1684"/>
      <c r="BD1102" s="1684"/>
      <c r="BE1102" s="1684"/>
      <c r="BF1102" s="1684"/>
      <c r="BG1102" s="1684"/>
      <c r="BH1102" s="1684"/>
      <c r="BI1102" s="1684"/>
      <c r="BJ1102" s="1684"/>
      <c r="BK1102" s="1684"/>
      <c r="BL1102" s="1684"/>
      <c r="BM1102" s="1684"/>
      <c r="BN1102" s="1684"/>
      <c r="BO1102" s="1684"/>
      <c r="BP1102" s="1684"/>
      <c r="BQ1102" s="1684"/>
      <c r="BR1102" s="1684"/>
      <c r="BS1102" s="1684"/>
      <c r="BT1102" s="1684"/>
      <c r="BU1102" s="1684"/>
      <c r="BV1102" s="1684"/>
      <c r="BW1102" s="1684"/>
      <c r="BX1102" s="1684"/>
      <c r="BY1102" s="1684"/>
      <c r="BZ1102" s="1684"/>
      <c r="CA1102" s="1684"/>
      <c r="CB1102" s="1684"/>
      <c r="CC1102" s="1684"/>
      <c r="CD1102" s="1684"/>
      <c r="CE1102" s="1684"/>
      <c r="CF1102" s="1684"/>
      <c r="CG1102" s="1684"/>
      <c r="CH1102" s="1684"/>
      <c r="CI1102" s="1684"/>
      <c r="CJ1102" s="1684"/>
      <c r="CK1102" s="1684"/>
      <c r="CL1102" s="1684"/>
      <c r="CM1102" s="1684"/>
      <c r="CN1102" s="1684"/>
      <c r="CO1102" s="1684"/>
    </row>
    <row r="1103" spans="1:93" s="1391" customFormat="1" ht="15" x14ac:dyDescent="0.2">
      <c r="A1103" s="1684"/>
      <c r="B1103" s="1684"/>
      <c r="C1103" s="2013">
        <v>14</v>
      </c>
      <c r="D1103" s="5">
        <v>7.5250000000000004</v>
      </c>
      <c r="E1103">
        <v>236</v>
      </c>
      <c r="F1103">
        <v>262</v>
      </c>
      <c r="G1103">
        <v>287</v>
      </c>
      <c r="H1103">
        <v>311</v>
      </c>
      <c r="I1103">
        <v>336</v>
      </c>
      <c r="J1103">
        <v>361</v>
      </c>
      <c r="K1103">
        <v>386</v>
      </c>
      <c r="L1103">
        <v>412</v>
      </c>
      <c r="M1103">
        <v>436</v>
      </c>
      <c r="N1103">
        <v>460</v>
      </c>
      <c r="O1103">
        <v>485</v>
      </c>
      <c r="P1103">
        <v>510</v>
      </c>
      <c r="Q1103" s="1160">
        <v>40</v>
      </c>
      <c r="R1103"/>
      <c r="S1103" s="1684"/>
      <c r="T1103" s="1684"/>
      <c r="U1103" s="1684"/>
      <c r="V1103" s="1684"/>
      <c r="W1103" s="1684"/>
      <c r="X1103" s="1684"/>
      <c r="Y1103" s="1684"/>
      <c r="Z1103" s="1684"/>
      <c r="AA1103" s="1684"/>
      <c r="AB1103" s="1684"/>
      <c r="AC1103" s="1684"/>
      <c r="AD1103" s="1684"/>
      <c r="AE1103" s="1684"/>
      <c r="AF1103" s="1684"/>
      <c r="AG1103" s="1684"/>
      <c r="AH1103" s="1684"/>
      <c r="AI1103" s="1684"/>
      <c r="AJ1103" s="1684"/>
      <c r="AK1103" s="1684"/>
      <c r="AL1103" s="1684"/>
      <c r="AM1103" s="1684"/>
      <c r="AN1103" s="1684"/>
      <c r="AO1103" s="1684"/>
      <c r="AP1103" s="1684"/>
      <c r="AQ1103" s="1684"/>
      <c r="AR1103" s="1684"/>
      <c r="AS1103" s="1684"/>
      <c r="AT1103" s="1684"/>
      <c r="AU1103" s="1684"/>
      <c r="AV1103" s="1684"/>
      <c r="AW1103" s="1684"/>
      <c r="AX1103" s="1684"/>
      <c r="AY1103" s="1684"/>
      <c r="AZ1103" s="1684"/>
      <c r="BA1103" s="1684"/>
      <c r="BB1103" s="1684"/>
      <c r="BC1103" s="1684"/>
      <c r="BD1103" s="1684"/>
      <c r="BE1103" s="1684"/>
      <c r="BF1103" s="1684"/>
      <c r="BG1103" s="1684"/>
      <c r="BH1103" s="1684"/>
      <c r="BI1103" s="1684"/>
      <c r="BJ1103" s="1684"/>
      <c r="BK1103" s="1684"/>
      <c r="BL1103" s="1684"/>
      <c r="BM1103" s="1684"/>
      <c r="BN1103" s="1684"/>
      <c r="BO1103" s="1684"/>
      <c r="BP1103" s="1684"/>
      <c r="BQ1103" s="1684"/>
      <c r="BR1103" s="1684"/>
      <c r="BS1103" s="1684"/>
      <c r="BT1103" s="1684"/>
      <c r="BU1103" s="1684"/>
      <c r="BV1103" s="1684"/>
      <c r="BW1103" s="1684"/>
      <c r="BX1103" s="1684"/>
      <c r="BY1103" s="1684"/>
      <c r="BZ1103" s="1684"/>
      <c r="CA1103" s="1684"/>
      <c r="CB1103" s="1684"/>
      <c r="CC1103" s="1684"/>
      <c r="CD1103" s="1684"/>
      <c r="CE1103" s="1684"/>
      <c r="CF1103" s="1684"/>
      <c r="CG1103" s="1684"/>
      <c r="CH1103" s="1684"/>
      <c r="CI1103" s="1684"/>
      <c r="CJ1103" s="1684"/>
      <c r="CK1103" s="1684"/>
      <c r="CL1103" s="1684"/>
      <c r="CM1103" s="1684"/>
      <c r="CN1103" s="1684"/>
      <c r="CO1103" s="1684"/>
    </row>
    <row r="1104" spans="1:93" s="1391" customFormat="1" ht="15" x14ac:dyDescent="0.2">
      <c r="A1104" s="1684"/>
      <c r="B1104" s="1684"/>
      <c r="C1104" s="2013">
        <v>15</v>
      </c>
      <c r="D1104" s="5">
        <v>7.923</v>
      </c>
      <c r="E1104">
        <v>253</v>
      </c>
      <c r="F1104">
        <v>281</v>
      </c>
      <c r="G1104">
        <v>308</v>
      </c>
      <c r="H1104">
        <v>334</v>
      </c>
      <c r="I1104">
        <v>361</v>
      </c>
      <c r="J1104">
        <v>387</v>
      </c>
      <c r="K1104">
        <v>414</v>
      </c>
      <c r="L1104">
        <v>442</v>
      </c>
      <c r="M1104">
        <v>467</v>
      </c>
      <c r="N1104">
        <v>494</v>
      </c>
      <c r="O1104">
        <v>521</v>
      </c>
      <c r="P1104">
        <v>547</v>
      </c>
      <c r="Q1104" s="1160">
        <v>41</v>
      </c>
      <c r="R1104"/>
      <c r="S1104" s="1684"/>
      <c r="T1104" s="1684"/>
      <c r="U1104" s="1684"/>
      <c r="V1104" s="1684"/>
      <c r="W1104" s="1684"/>
      <c r="X1104" s="1684"/>
      <c r="Y1104" s="1684"/>
      <c r="Z1104" s="1684"/>
      <c r="AA1104" s="1684"/>
      <c r="AB1104" s="1684"/>
      <c r="AC1104" s="1684"/>
      <c r="AD1104" s="1684"/>
      <c r="AE1104" s="1684"/>
      <c r="AF1104" s="1684"/>
      <c r="AG1104" s="1684"/>
      <c r="AH1104" s="1684"/>
      <c r="AI1104" s="1684"/>
      <c r="AJ1104" s="1684"/>
      <c r="AK1104" s="1684"/>
      <c r="AL1104" s="1684"/>
      <c r="AM1104" s="1684"/>
      <c r="AN1104" s="1684"/>
      <c r="AO1104" s="1684"/>
      <c r="AP1104" s="1684"/>
      <c r="AQ1104" s="1684"/>
      <c r="AR1104" s="1684"/>
      <c r="AS1104" s="1684"/>
      <c r="AT1104" s="1684"/>
      <c r="AU1104" s="1684"/>
      <c r="AV1104" s="1684"/>
      <c r="AW1104" s="1684"/>
      <c r="AX1104" s="1684"/>
      <c r="AY1104" s="1684"/>
      <c r="AZ1104" s="1684"/>
      <c r="BA1104" s="1684"/>
      <c r="BB1104" s="1684"/>
      <c r="BC1104" s="1684"/>
      <c r="BD1104" s="1684"/>
      <c r="BE1104" s="1684"/>
      <c r="BF1104" s="1684"/>
      <c r="BG1104" s="1684"/>
      <c r="BH1104" s="1684"/>
      <c r="BI1104" s="1684"/>
      <c r="BJ1104" s="1684"/>
      <c r="BK1104" s="1684"/>
      <c r="BL1104" s="1684"/>
      <c r="BM1104" s="1684"/>
      <c r="BN1104" s="1684"/>
      <c r="BO1104" s="1684"/>
      <c r="BP1104" s="1684"/>
      <c r="BQ1104" s="1684"/>
      <c r="BR1104" s="1684"/>
      <c r="BS1104" s="1684"/>
      <c r="BT1104" s="1684"/>
      <c r="BU1104" s="1684"/>
      <c r="BV1104" s="1684"/>
      <c r="BW1104" s="1684"/>
      <c r="BX1104" s="1684"/>
      <c r="BY1104" s="1684"/>
      <c r="BZ1104" s="1684"/>
      <c r="CA1104" s="1684"/>
      <c r="CB1104" s="1684"/>
      <c r="CC1104" s="1684"/>
      <c r="CD1104" s="1684"/>
      <c r="CE1104" s="1684"/>
      <c r="CF1104" s="1684"/>
      <c r="CG1104" s="1684"/>
      <c r="CH1104" s="1684"/>
      <c r="CI1104" s="1684"/>
      <c r="CJ1104" s="1684"/>
      <c r="CK1104" s="1684"/>
      <c r="CL1104" s="1684"/>
      <c r="CM1104" s="1684"/>
      <c r="CN1104" s="1684"/>
      <c r="CO1104" s="1684"/>
    </row>
    <row r="1105" spans="1:93" s="1391" customFormat="1" ht="15" x14ac:dyDescent="0.2">
      <c r="A1105" s="1684"/>
      <c r="B1105" s="1684"/>
      <c r="C1105" s="2013">
        <v>16</v>
      </c>
      <c r="D1105" s="5">
        <v>8.4570000000000007</v>
      </c>
      <c r="E1105">
        <v>269</v>
      </c>
      <c r="F1105">
        <v>299</v>
      </c>
      <c r="G1105">
        <v>328</v>
      </c>
      <c r="H1105">
        <v>356</v>
      </c>
      <c r="I1105">
        <v>384</v>
      </c>
      <c r="J1105">
        <v>413</v>
      </c>
      <c r="K1105">
        <v>441</v>
      </c>
      <c r="L1105">
        <v>471</v>
      </c>
      <c r="M1105">
        <v>498</v>
      </c>
      <c r="N1105">
        <v>526</v>
      </c>
      <c r="O1105">
        <v>555</v>
      </c>
      <c r="P1105">
        <v>583</v>
      </c>
      <c r="Q1105" s="1160">
        <v>42</v>
      </c>
      <c r="R1105"/>
      <c r="S1105" s="1684"/>
      <c r="T1105" s="1684"/>
      <c r="U1105" s="1684"/>
      <c r="V1105" s="1684"/>
      <c r="W1105" s="1684"/>
      <c r="X1105" s="1684"/>
      <c r="Y1105" s="1684"/>
      <c r="Z1105" s="1684"/>
      <c r="AA1105" s="1684"/>
      <c r="AB1105" s="1684"/>
      <c r="AC1105" s="1684"/>
      <c r="AD1105" s="1684"/>
      <c r="AE1105" s="1684"/>
      <c r="AF1105" s="1684"/>
      <c r="AG1105" s="1684"/>
      <c r="AH1105" s="1684"/>
      <c r="AI1105" s="1684"/>
      <c r="AJ1105" s="1684"/>
      <c r="AK1105" s="1684"/>
      <c r="AL1105" s="1684"/>
      <c r="AM1105" s="1684"/>
      <c r="AN1105" s="1684"/>
      <c r="AO1105" s="1684"/>
      <c r="AP1105" s="1684"/>
      <c r="AQ1105" s="1684"/>
      <c r="AR1105" s="1684"/>
      <c r="AS1105" s="1684"/>
      <c r="AT1105" s="1684"/>
      <c r="AU1105" s="1684"/>
      <c r="AV1105" s="1684"/>
      <c r="AW1105" s="1684"/>
      <c r="AX1105" s="1684"/>
      <c r="AY1105" s="1684"/>
      <c r="AZ1105" s="1684"/>
      <c r="BA1105" s="1684"/>
      <c r="BB1105" s="1684"/>
      <c r="BC1105" s="1684"/>
      <c r="BD1105" s="1684"/>
      <c r="BE1105" s="1684"/>
      <c r="BF1105" s="1684"/>
      <c r="BG1105" s="1684"/>
      <c r="BH1105" s="1684"/>
      <c r="BI1105" s="1684"/>
      <c r="BJ1105" s="1684"/>
      <c r="BK1105" s="1684"/>
      <c r="BL1105" s="1684"/>
      <c r="BM1105" s="1684"/>
      <c r="BN1105" s="1684"/>
      <c r="BO1105" s="1684"/>
      <c r="BP1105" s="1684"/>
      <c r="BQ1105" s="1684"/>
      <c r="BR1105" s="1684"/>
      <c r="BS1105" s="1684"/>
      <c r="BT1105" s="1684"/>
      <c r="BU1105" s="1684"/>
      <c r="BV1105" s="1684"/>
      <c r="BW1105" s="1684"/>
      <c r="BX1105" s="1684"/>
      <c r="BY1105" s="1684"/>
      <c r="BZ1105" s="1684"/>
      <c r="CA1105" s="1684"/>
      <c r="CB1105" s="1684"/>
      <c r="CC1105" s="1684"/>
      <c r="CD1105" s="1684"/>
      <c r="CE1105" s="1684"/>
      <c r="CF1105" s="1684"/>
      <c r="CG1105" s="1684"/>
      <c r="CH1105" s="1684"/>
      <c r="CI1105" s="1684"/>
      <c r="CJ1105" s="1684"/>
      <c r="CK1105" s="1684"/>
      <c r="CL1105" s="1684"/>
      <c r="CM1105" s="1684"/>
      <c r="CN1105" s="1684"/>
      <c r="CO1105" s="1684"/>
    </row>
    <row r="1106" spans="1:93" s="1391" customFormat="1" ht="15" x14ac:dyDescent="0.2">
      <c r="A1106" s="1684"/>
      <c r="B1106" s="1684"/>
      <c r="C1106" s="2013">
        <v>17</v>
      </c>
      <c r="D1106" s="5">
        <v>8.0299999999999994</v>
      </c>
      <c r="E1106">
        <v>285</v>
      </c>
      <c r="F1106">
        <v>316</v>
      </c>
      <c r="G1106">
        <v>346</v>
      </c>
      <c r="H1106">
        <v>376</v>
      </c>
      <c r="I1106">
        <v>406</v>
      </c>
      <c r="J1106">
        <v>436</v>
      </c>
      <c r="K1106">
        <v>466</v>
      </c>
      <c r="L1106">
        <v>497</v>
      </c>
      <c r="M1106">
        <v>526</v>
      </c>
      <c r="N1106">
        <v>556</v>
      </c>
      <c r="O1106">
        <v>586</v>
      </c>
      <c r="P1106">
        <v>615</v>
      </c>
      <c r="Q1106" s="1160">
        <v>43</v>
      </c>
      <c r="R1106"/>
      <c r="S1106" s="1684"/>
      <c r="T1106" s="1684"/>
      <c r="U1106" s="1684"/>
      <c r="V1106" s="1684"/>
      <c r="W1106" s="1684"/>
      <c r="X1106" s="1684"/>
      <c r="Y1106" s="1684"/>
      <c r="Z1106" s="1684"/>
      <c r="AA1106" s="1684"/>
      <c r="AB1106" s="1684"/>
      <c r="AC1106" s="1684"/>
      <c r="AD1106" s="1684"/>
      <c r="AE1106" s="1684"/>
      <c r="AF1106" s="1684"/>
      <c r="AG1106" s="1684"/>
      <c r="AH1106" s="1684"/>
      <c r="AI1106" s="1684"/>
      <c r="AJ1106" s="1684"/>
      <c r="AK1106" s="1684"/>
      <c r="AL1106" s="1684"/>
      <c r="AM1106" s="1684"/>
      <c r="AN1106" s="1684"/>
      <c r="AO1106" s="1684"/>
      <c r="AP1106" s="1684"/>
      <c r="AQ1106" s="1684"/>
      <c r="AR1106" s="1684"/>
      <c r="AS1106" s="1684"/>
      <c r="AT1106" s="1684"/>
      <c r="AU1106" s="1684"/>
      <c r="AV1106" s="1684"/>
      <c r="AW1106" s="1684"/>
      <c r="AX1106" s="1684"/>
      <c r="AY1106" s="1684"/>
      <c r="AZ1106" s="1684"/>
      <c r="BA1106" s="1684"/>
      <c r="BB1106" s="1684"/>
      <c r="BC1106" s="1684"/>
      <c r="BD1106" s="1684"/>
      <c r="BE1106" s="1684"/>
      <c r="BF1106" s="1684"/>
      <c r="BG1106" s="1684"/>
      <c r="BH1106" s="1684"/>
      <c r="BI1106" s="1684"/>
      <c r="BJ1106" s="1684"/>
      <c r="BK1106" s="1684"/>
      <c r="BL1106" s="1684"/>
      <c r="BM1106" s="1684"/>
      <c r="BN1106" s="1684"/>
      <c r="BO1106" s="1684"/>
      <c r="BP1106" s="1684"/>
      <c r="BQ1106" s="1684"/>
      <c r="BR1106" s="1684"/>
      <c r="BS1106" s="1684"/>
      <c r="BT1106" s="1684"/>
      <c r="BU1106" s="1684"/>
      <c r="BV1106" s="1684"/>
      <c r="BW1106" s="1684"/>
      <c r="BX1106" s="1684"/>
      <c r="BY1106" s="1684"/>
      <c r="BZ1106" s="1684"/>
      <c r="CA1106" s="1684"/>
      <c r="CB1106" s="1684"/>
      <c r="CC1106" s="1684"/>
      <c r="CD1106" s="1684"/>
      <c r="CE1106" s="1684"/>
      <c r="CF1106" s="1684"/>
      <c r="CG1106" s="1684"/>
      <c r="CH1106" s="1684"/>
      <c r="CI1106" s="1684"/>
      <c r="CJ1106" s="1684"/>
      <c r="CK1106" s="1684"/>
      <c r="CL1106" s="1684"/>
      <c r="CM1106" s="1684"/>
      <c r="CN1106" s="1684"/>
      <c r="CO1106" s="1684"/>
    </row>
    <row r="1107" spans="1:93" s="1391" customFormat="1" ht="15" x14ac:dyDescent="0.2">
      <c r="A1107" s="1684"/>
      <c r="B1107" s="1684"/>
      <c r="C1107" s="2013">
        <v>18</v>
      </c>
      <c r="D1107" s="5">
        <v>9.3059999999999992</v>
      </c>
      <c r="E1107">
        <v>298</v>
      </c>
      <c r="F1107">
        <v>331</v>
      </c>
      <c r="G1107">
        <v>362</v>
      </c>
      <c r="H1107">
        <v>394</v>
      </c>
      <c r="I1107">
        <v>425</v>
      </c>
      <c r="J1107">
        <v>457</v>
      </c>
      <c r="K1107">
        <v>488</v>
      </c>
      <c r="L1107">
        <v>521</v>
      </c>
      <c r="M1107">
        <v>551</v>
      </c>
      <c r="N1107">
        <v>582</v>
      </c>
      <c r="O1107">
        <v>613</v>
      </c>
      <c r="P1107">
        <v>645</v>
      </c>
      <c r="Q1107" s="1160">
        <v>44</v>
      </c>
      <c r="R1107"/>
      <c r="S1107" s="1684"/>
      <c r="T1107" s="1684"/>
      <c r="U1107" s="1684"/>
      <c r="V1107" s="1684"/>
      <c r="W1107" s="1684"/>
      <c r="X1107" s="1684"/>
      <c r="Y1107" s="1684"/>
      <c r="Z1107" s="1684"/>
      <c r="AA1107" s="1684"/>
      <c r="AB1107" s="1684"/>
      <c r="AC1107" s="1684"/>
      <c r="AD1107" s="1684"/>
      <c r="AE1107" s="1684"/>
      <c r="AF1107" s="1684"/>
      <c r="AG1107" s="1684"/>
      <c r="AH1107" s="1684"/>
      <c r="AI1107" s="1684"/>
      <c r="AJ1107" s="1684"/>
      <c r="AK1107" s="1684"/>
      <c r="AL1107" s="1684"/>
      <c r="AM1107" s="1684"/>
      <c r="AN1107" s="1684"/>
      <c r="AO1107" s="1684"/>
      <c r="AP1107" s="1684"/>
      <c r="AQ1107" s="1684"/>
      <c r="AR1107" s="1684"/>
      <c r="AS1107" s="1684"/>
      <c r="AT1107" s="1684"/>
      <c r="AU1107" s="1684"/>
      <c r="AV1107" s="1684"/>
      <c r="AW1107" s="1684"/>
      <c r="AX1107" s="1684"/>
      <c r="AY1107" s="1684"/>
      <c r="AZ1107" s="1684"/>
      <c r="BA1107" s="1684"/>
      <c r="BB1107" s="1684"/>
      <c r="BC1107" s="1684"/>
      <c r="BD1107" s="1684"/>
      <c r="BE1107" s="1684"/>
      <c r="BF1107" s="1684"/>
      <c r="BG1107" s="1684"/>
      <c r="BH1107" s="1684"/>
      <c r="BI1107" s="1684"/>
      <c r="BJ1107" s="1684"/>
      <c r="BK1107" s="1684"/>
      <c r="BL1107" s="1684"/>
      <c r="BM1107" s="1684"/>
      <c r="BN1107" s="1684"/>
      <c r="BO1107" s="1684"/>
      <c r="BP1107" s="1684"/>
      <c r="BQ1107" s="1684"/>
      <c r="BR1107" s="1684"/>
      <c r="BS1107" s="1684"/>
      <c r="BT1107" s="1684"/>
      <c r="BU1107" s="1684"/>
      <c r="BV1107" s="1684"/>
      <c r="BW1107" s="1684"/>
      <c r="BX1107" s="1684"/>
      <c r="BY1107" s="1684"/>
      <c r="BZ1107" s="1684"/>
      <c r="CA1107" s="1684"/>
      <c r="CB1107" s="1684"/>
      <c r="CC1107" s="1684"/>
      <c r="CD1107" s="1684"/>
      <c r="CE1107" s="1684"/>
      <c r="CF1107" s="1684"/>
      <c r="CG1107" s="1684"/>
      <c r="CH1107" s="1684"/>
      <c r="CI1107" s="1684"/>
      <c r="CJ1107" s="1684"/>
      <c r="CK1107" s="1684"/>
      <c r="CL1107" s="1684"/>
      <c r="CM1107" s="1684"/>
      <c r="CN1107" s="1684"/>
      <c r="CO1107" s="1684"/>
    </row>
    <row r="1108" spans="1:93" s="1391" customFormat="1" ht="15" x14ac:dyDescent="0.2">
      <c r="A1108" s="1684"/>
      <c r="B1108" s="1684"/>
      <c r="C1108" s="4680" t="s">
        <v>1906</v>
      </c>
      <c r="D1108" s="4681"/>
      <c r="E1108" s="4681"/>
      <c r="F1108" s="4681"/>
      <c r="G1108" s="4681"/>
      <c r="H1108" s="4681"/>
      <c r="I1108" s="4681"/>
      <c r="J1108" s="4681"/>
      <c r="K1108" s="4681"/>
      <c r="L1108" s="4681"/>
      <c r="M1108" s="4681"/>
      <c r="N1108" s="4681"/>
      <c r="O1108" s="4681"/>
      <c r="P1108" s="4681"/>
      <c r="Q1108" s="4682"/>
      <c r="R1108"/>
      <c r="S1108" s="1684"/>
      <c r="T1108" s="1684"/>
      <c r="U1108" s="1684"/>
      <c r="V1108" s="1684"/>
      <c r="W1108" s="1684"/>
      <c r="X1108" s="1684"/>
      <c r="Y1108" s="1684"/>
      <c r="Z1108" s="1684"/>
      <c r="AA1108" s="1684"/>
      <c r="AB1108" s="1684"/>
      <c r="AC1108" s="1684"/>
      <c r="AD1108" s="1684"/>
      <c r="AE1108" s="1684"/>
      <c r="AF1108" s="1684"/>
      <c r="AG1108" s="1684"/>
      <c r="AH1108" s="1684"/>
      <c r="AI1108" s="1684"/>
      <c r="AJ1108" s="1684"/>
      <c r="AK1108" s="1684"/>
      <c r="AL1108" s="1684"/>
      <c r="AM1108" s="1684"/>
      <c r="AN1108" s="1684"/>
      <c r="AO1108" s="1684"/>
      <c r="AP1108" s="1684"/>
      <c r="AQ1108" s="1684"/>
      <c r="AR1108" s="1684"/>
      <c r="AS1108" s="1684"/>
      <c r="AT1108" s="1684"/>
      <c r="AU1108" s="1684"/>
      <c r="AV1108" s="1684"/>
      <c r="AW1108" s="1684"/>
      <c r="AX1108" s="1684"/>
      <c r="AY1108" s="1684"/>
      <c r="AZ1108" s="1684"/>
      <c r="BA1108" s="1684"/>
      <c r="BB1108" s="1684"/>
      <c r="BC1108" s="1684"/>
      <c r="BD1108" s="1684"/>
      <c r="BE1108" s="1684"/>
      <c r="BF1108" s="1684"/>
      <c r="BG1108" s="1684"/>
      <c r="BH1108" s="1684"/>
      <c r="BI1108" s="1684"/>
      <c r="BJ1108" s="1684"/>
      <c r="BK1108" s="1684"/>
      <c r="BL1108" s="1684"/>
      <c r="BM1108" s="1684"/>
      <c r="BN1108" s="1684"/>
      <c r="BO1108" s="1684"/>
      <c r="BP1108" s="1684"/>
      <c r="BQ1108" s="1684"/>
      <c r="BR1108" s="1684"/>
      <c r="BS1108" s="1684"/>
      <c r="BT1108" s="1684"/>
      <c r="BU1108" s="1684"/>
      <c r="BV1108" s="1684"/>
      <c r="BW1108" s="1684"/>
      <c r="BX1108" s="1684"/>
      <c r="BY1108" s="1684"/>
      <c r="BZ1108" s="1684"/>
      <c r="CA1108" s="1684"/>
      <c r="CB1108" s="1684"/>
      <c r="CC1108" s="1684"/>
      <c r="CD1108" s="1684"/>
      <c r="CE1108" s="1684"/>
      <c r="CF1108" s="1684"/>
      <c r="CG1108" s="1684"/>
      <c r="CH1108" s="1684"/>
      <c r="CI1108" s="1684"/>
      <c r="CJ1108" s="1684"/>
      <c r="CK1108" s="1684"/>
      <c r="CL1108" s="1684"/>
      <c r="CM1108" s="1684"/>
      <c r="CN1108" s="1684"/>
      <c r="CO1108" s="1684"/>
    </row>
    <row r="1109" spans="1:93" s="1391" customFormat="1" ht="15" x14ac:dyDescent="0.2">
      <c r="A1109" s="1684"/>
      <c r="B1109" s="1684"/>
      <c r="C1109" s="4680"/>
      <c r="D1109" s="4681"/>
      <c r="E1109" s="4681"/>
      <c r="F1109" s="4681"/>
      <c r="G1109" s="4681"/>
      <c r="H1109" s="4681"/>
      <c r="I1109" s="4681"/>
      <c r="J1109" s="4681"/>
      <c r="K1109" s="4681"/>
      <c r="L1109" s="4681"/>
      <c r="M1109" s="4681"/>
      <c r="N1109" s="4681"/>
      <c r="O1109" s="4681"/>
      <c r="P1109" s="4681"/>
      <c r="Q1109" s="4682"/>
      <c r="R1109"/>
      <c r="S1109" s="1684"/>
      <c r="T1109" s="1684"/>
      <c r="U1109" s="1684"/>
      <c r="V1109" s="1684"/>
      <c r="W1109" s="1684"/>
      <c r="X1109" s="1684"/>
      <c r="Y1109" s="1684"/>
      <c r="Z1109" s="1684"/>
      <c r="AA1109" s="1684"/>
      <c r="AB1109" s="1684"/>
      <c r="AC1109" s="1684"/>
      <c r="AD1109" s="1684"/>
      <c r="AE1109" s="1684"/>
      <c r="AF1109" s="1684"/>
      <c r="AG1109" s="1684"/>
      <c r="AH1109" s="1684"/>
      <c r="AI1109" s="1684"/>
      <c r="AJ1109" s="1684"/>
      <c r="AK1109" s="1684"/>
      <c r="AL1109" s="1684"/>
      <c r="AM1109" s="1684"/>
      <c r="AN1109" s="1684"/>
      <c r="AO1109" s="1684"/>
      <c r="AP1109" s="1684"/>
      <c r="AQ1109" s="1684"/>
      <c r="AR1109" s="1684"/>
      <c r="AS1109" s="1684"/>
      <c r="AT1109" s="1684"/>
      <c r="AU1109" s="1684"/>
      <c r="AV1109" s="1684"/>
      <c r="AW1109" s="1684"/>
      <c r="AX1109" s="1684"/>
      <c r="AY1109" s="1684"/>
      <c r="AZ1109" s="1684"/>
      <c r="BA1109" s="1684"/>
      <c r="BB1109" s="1684"/>
      <c r="BC1109" s="1684"/>
      <c r="BD1109" s="1684"/>
      <c r="BE1109" s="1684"/>
      <c r="BF1109" s="1684"/>
      <c r="BG1109" s="1684"/>
      <c r="BH1109" s="1684"/>
      <c r="BI1109" s="1684"/>
      <c r="BJ1109" s="1684"/>
      <c r="BK1109" s="1684"/>
      <c r="BL1109" s="1684"/>
      <c r="BM1109" s="1684"/>
      <c r="BN1109" s="1684"/>
      <c r="BO1109" s="1684"/>
      <c r="BP1109" s="1684"/>
      <c r="BQ1109" s="1684"/>
      <c r="BR1109" s="1684"/>
      <c r="BS1109" s="1684"/>
      <c r="BT1109" s="1684"/>
      <c r="BU1109" s="1684"/>
      <c r="BV1109" s="1684"/>
      <c r="BW1109" s="1684"/>
      <c r="BX1109" s="1684"/>
      <c r="BY1109" s="1684"/>
      <c r="BZ1109" s="1684"/>
      <c r="CA1109" s="1684"/>
      <c r="CB1109" s="1684"/>
      <c r="CC1109" s="1684"/>
      <c r="CD1109" s="1684"/>
      <c r="CE1109" s="1684"/>
      <c r="CF1109" s="1684"/>
      <c r="CG1109" s="1684"/>
      <c r="CH1109" s="1684"/>
      <c r="CI1109" s="1684"/>
      <c r="CJ1109" s="1684"/>
      <c r="CK1109" s="1684"/>
      <c r="CL1109" s="1684"/>
      <c r="CM1109" s="1684"/>
      <c r="CN1109" s="1684"/>
      <c r="CO1109" s="1684"/>
    </row>
    <row r="1110" spans="1:93" s="1391" customFormat="1" ht="15" x14ac:dyDescent="0.2">
      <c r="A1110" s="1684"/>
      <c r="B1110" s="1684"/>
      <c r="C1110" s="4680" t="s">
        <v>3690</v>
      </c>
      <c r="D1110" s="4681"/>
      <c r="E1110" s="4681"/>
      <c r="F1110" s="4681"/>
      <c r="G1110" s="4681"/>
      <c r="H1110" s="4681"/>
      <c r="I1110" s="4681"/>
      <c r="J1110" s="4681"/>
      <c r="K1110" s="4681"/>
      <c r="L1110" s="4681"/>
      <c r="M1110" s="4681"/>
      <c r="N1110" s="4681"/>
      <c r="O1110" s="4681"/>
      <c r="P1110" s="4681"/>
      <c r="Q1110" s="4682"/>
      <c r="R1110"/>
      <c r="S1110" s="1684"/>
      <c r="T1110" s="1684"/>
      <c r="U1110" s="1684"/>
      <c r="V1110" s="1684"/>
      <c r="W1110" s="1684"/>
      <c r="X1110" s="1684"/>
      <c r="Y1110" s="1684"/>
      <c r="Z1110" s="1684"/>
      <c r="AA1110" s="1684"/>
      <c r="AB1110" s="1684"/>
      <c r="AC1110" s="1684"/>
      <c r="AD1110" s="1684"/>
      <c r="AE1110" s="1684"/>
      <c r="AF1110" s="1684"/>
      <c r="AG1110" s="1684"/>
      <c r="AH1110" s="1684"/>
      <c r="AI1110" s="1684"/>
      <c r="AJ1110" s="1684"/>
      <c r="AK1110" s="1684"/>
      <c r="AL1110" s="1684"/>
      <c r="AM1110" s="1684"/>
      <c r="AN1110" s="1684"/>
      <c r="AO1110" s="1684"/>
      <c r="AP1110" s="1684"/>
      <c r="AQ1110" s="1684"/>
      <c r="AR1110" s="1684"/>
      <c r="AS1110" s="1684"/>
      <c r="AT1110" s="1684"/>
      <c r="AU1110" s="1684"/>
      <c r="AV1110" s="1684"/>
      <c r="AW1110" s="1684"/>
      <c r="AX1110" s="1684"/>
      <c r="AY1110" s="1684"/>
      <c r="AZ1110" s="1684"/>
      <c r="BA1110" s="1684"/>
      <c r="BB1110" s="1684"/>
      <c r="BC1110" s="1684"/>
      <c r="BD1110" s="1684"/>
      <c r="BE1110" s="1684"/>
      <c r="BF1110" s="1684"/>
      <c r="BG1110" s="1684"/>
      <c r="BH1110" s="1684"/>
      <c r="BI1110" s="1684"/>
      <c r="BJ1110" s="1684"/>
      <c r="BK1110" s="1684"/>
      <c r="BL1110" s="1684"/>
      <c r="BM1110" s="1684"/>
      <c r="BN1110" s="1684"/>
      <c r="BO1110" s="1684"/>
      <c r="BP1110" s="1684"/>
      <c r="BQ1110" s="1684"/>
      <c r="BR1110" s="1684"/>
      <c r="BS1110" s="1684"/>
      <c r="BT1110" s="1684"/>
      <c r="BU1110" s="1684"/>
      <c r="BV1110" s="1684"/>
      <c r="BW1110" s="1684"/>
      <c r="BX1110" s="1684"/>
      <c r="BY1110" s="1684"/>
      <c r="BZ1110" s="1684"/>
      <c r="CA1110" s="1684"/>
      <c r="CB1110" s="1684"/>
      <c r="CC1110" s="1684"/>
      <c r="CD1110" s="1684"/>
      <c r="CE1110" s="1684"/>
      <c r="CF1110" s="1684"/>
      <c r="CG1110" s="1684"/>
      <c r="CH1110" s="1684"/>
      <c r="CI1110" s="1684"/>
      <c r="CJ1110" s="1684"/>
      <c r="CK1110" s="1684"/>
      <c r="CL1110" s="1684"/>
      <c r="CM1110" s="1684"/>
      <c r="CN1110" s="1684"/>
      <c r="CO1110" s="1684"/>
    </row>
    <row r="1111" spans="1:93" s="1391" customFormat="1" ht="15" x14ac:dyDescent="0.2">
      <c r="A1111" s="1684"/>
      <c r="B1111" s="1684"/>
      <c r="C1111" s="4680"/>
      <c r="D1111" s="4681"/>
      <c r="E1111" s="4681"/>
      <c r="F1111" s="4681"/>
      <c r="G1111" s="4681"/>
      <c r="H1111" s="4681"/>
      <c r="I1111" s="4681"/>
      <c r="J1111" s="4681"/>
      <c r="K1111" s="4681"/>
      <c r="L1111" s="4681"/>
      <c r="M1111" s="4681"/>
      <c r="N1111" s="4681"/>
      <c r="O1111" s="4681"/>
      <c r="P1111" s="4681"/>
      <c r="Q1111" s="4682"/>
      <c r="R1111"/>
      <c r="S1111" s="1684"/>
      <c r="T1111" s="1684"/>
      <c r="U1111" s="1684"/>
      <c r="V1111" s="1684"/>
      <c r="W1111" s="1684"/>
      <c r="X1111" s="1684"/>
      <c r="Y1111" s="1684"/>
      <c r="Z1111" s="1684"/>
      <c r="AA1111" s="1684"/>
      <c r="AB1111" s="1684"/>
      <c r="AC1111" s="1684"/>
      <c r="AD1111" s="1684"/>
      <c r="AE1111" s="1684"/>
      <c r="AF1111" s="1684"/>
      <c r="AG1111" s="1684"/>
      <c r="AH1111" s="1684"/>
      <c r="AI1111" s="1684"/>
      <c r="AJ1111" s="1684"/>
      <c r="AK1111" s="1684"/>
      <c r="AL1111" s="1684"/>
      <c r="AM1111" s="1684"/>
      <c r="AN1111" s="1684"/>
      <c r="AO1111" s="1684"/>
      <c r="AP1111" s="1684"/>
      <c r="AQ1111" s="1684"/>
      <c r="AR1111" s="1684"/>
      <c r="AS1111" s="1684"/>
      <c r="AT1111" s="1684"/>
      <c r="AU1111" s="1684"/>
      <c r="AV1111" s="1684"/>
      <c r="AW1111" s="1684"/>
      <c r="AX1111" s="1684"/>
      <c r="AY1111" s="1684"/>
      <c r="AZ1111" s="1684"/>
      <c r="BA1111" s="1684"/>
      <c r="BB1111" s="1684"/>
      <c r="BC1111" s="1684"/>
      <c r="BD1111" s="1684"/>
      <c r="BE1111" s="1684"/>
      <c r="BF1111" s="1684"/>
      <c r="BG1111" s="1684"/>
      <c r="BH1111" s="1684"/>
      <c r="BI1111" s="1684"/>
      <c r="BJ1111" s="1684"/>
      <c r="BK1111" s="1684"/>
      <c r="BL1111" s="1684"/>
      <c r="BM1111" s="1684"/>
      <c r="BN1111" s="1684"/>
      <c r="BO1111" s="1684"/>
      <c r="BP1111" s="1684"/>
      <c r="BQ1111" s="1684"/>
      <c r="BR1111" s="1684"/>
      <c r="BS1111" s="1684"/>
      <c r="BT1111" s="1684"/>
      <c r="BU1111" s="1684"/>
      <c r="BV1111" s="1684"/>
      <c r="BW1111" s="1684"/>
      <c r="BX1111" s="1684"/>
      <c r="BY1111" s="1684"/>
      <c r="BZ1111" s="1684"/>
      <c r="CA1111" s="1684"/>
      <c r="CB1111" s="1684"/>
      <c r="CC1111" s="1684"/>
      <c r="CD1111" s="1684"/>
      <c r="CE1111" s="1684"/>
      <c r="CF1111" s="1684"/>
      <c r="CG1111" s="1684"/>
      <c r="CH1111" s="1684"/>
      <c r="CI1111" s="1684"/>
      <c r="CJ1111" s="1684"/>
      <c r="CK1111" s="1684"/>
      <c r="CL1111" s="1684"/>
      <c r="CM1111" s="1684"/>
      <c r="CN1111" s="1684"/>
      <c r="CO1111" s="1684"/>
    </row>
    <row r="1112" spans="1:93" s="1391" customFormat="1" ht="15" x14ac:dyDescent="0.2">
      <c r="A1112" s="1684"/>
      <c r="B1112" s="1684"/>
      <c r="C1112" s="2013"/>
      <c r="D1112" s="5"/>
      <c r="E1112" s="5">
        <v>1</v>
      </c>
      <c r="F1112" s="5">
        <v>2</v>
      </c>
      <c r="G1112" s="5">
        <v>3</v>
      </c>
      <c r="H1112" s="5">
        <v>4</v>
      </c>
      <c r="I1112" s="5">
        <v>5</v>
      </c>
      <c r="J1112" s="5">
        <v>6</v>
      </c>
      <c r="K1112" s="5">
        <v>7</v>
      </c>
      <c r="L1112" s="5">
        <v>8</v>
      </c>
      <c r="M1112" s="5">
        <v>9</v>
      </c>
      <c r="N1112" s="5">
        <v>10</v>
      </c>
      <c r="O1112" s="5">
        <v>11</v>
      </c>
      <c r="P1112" s="5">
        <v>12</v>
      </c>
      <c r="Q1112" s="1160"/>
      <c r="R1112"/>
      <c r="S1112" s="1684"/>
      <c r="T1112" s="1684"/>
      <c r="U1112" s="1684"/>
      <c r="V1112" s="1684"/>
      <c r="W1112" s="1684"/>
      <c r="X1112" s="1684"/>
      <c r="Y1112" s="1684"/>
      <c r="Z1112" s="1684"/>
      <c r="AA1112" s="1684"/>
      <c r="AB1112" s="1684"/>
      <c r="AC1112" s="1684"/>
      <c r="AD1112" s="1684"/>
      <c r="AE1112" s="1684"/>
      <c r="AF1112" s="1684"/>
      <c r="AG1112" s="1684"/>
      <c r="AH1112" s="1684"/>
      <c r="AI1112" s="1684"/>
      <c r="AJ1112" s="1684"/>
      <c r="AK1112" s="1684"/>
      <c r="AL1112" s="1684"/>
      <c r="AM1112" s="1684"/>
      <c r="AN1112" s="1684"/>
      <c r="AO1112" s="1684"/>
      <c r="AP1112" s="1684"/>
      <c r="AQ1112" s="1684"/>
      <c r="AR1112" s="1684"/>
      <c r="AS1112" s="1684"/>
      <c r="AT1112" s="1684"/>
      <c r="AU1112" s="1684"/>
      <c r="AV1112" s="1684"/>
      <c r="AW1112" s="1684"/>
      <c r="AX1112" s="1684"/>
      <c r="AY1112" s="1684"/>
      <c r="AZ1112" s="1684"/>
      <c r="BA1112" s="1684"/>
      <c r="BB1112" s="1684"/>
      <c r="BC1112" s="1684"/>
      <c r="BD1112" s="1684"/>
      <c r="BE1112" s="1684"/>
      <c r="BF1112" s="1684"/>
      <c r="BG1112" s="1684"/>
      <c r="BH1112" s="1684"/>
      <c r="BI1112" s="1684"/>
      <c r="BJ1112" s="1684"/>
      <c r="BK1112" s="1684"/>
      <c r="BL1112" s="1684"/>
      <c r="BM1112" s="1684"/>
      <c r="BN1112" s="1684"/>
      <c r="BO1112" s="1684"/>
      <c r="BP1112" s="1684"/>
      <c r="BQ1112" s="1684"/>
      <c r="BR1112" s="1684"/>
      <c r="BS1112" s="1684"/>
      <c r="BT1112" s="1684"/>
      <c r="BU1112" s="1684"/>
      <c r="BV1112" s="1684"/>
      <c r="BW1112" s="1684"/>
      <c r="BX1112" s="1684"/>
      <c r="BY1112" s="1684"/>
      <c r="BZ1112" s="1684"/>
      <c r="CA1112" s="1684"/>
      <c r="CB1112" s="1684"/>
      <c r="CC1112" s="1684"/>
      <c r="CD1112" s="1684"/>
      <c r="CE1112" s="1684"/>
      <c r="CF1112" s="1684"/>
      <c r="CG1112" s="1684"/>
      <c r="CH1112" s="1684"/>
      <c r="CI1112" s="1684"/>
      <c r="CJ1112" s="1684"/>
      <c r="CK1112" s="1684"/>
      <c r="CL1112" s="1684"/>
      <c r="CM1112" s="1684"/>
      <c r="CN1112" s="1684"/>
      <c r="CO1112" s="1684"/>
    </row>
    <row r="1113" spans="1:93" s="1391" customFormat="1" ht="15" x14ac:dyDescent="0.2">
      <c r="A1113" s="1684"/>
      <c r="B1113" s="1684"/>
      <c r="C1113" s="2013">
        <v>8</v>
      </c>
      <c r="D1113" s="5">
        <v>4.8780000000000001</v>
      </c>
      <c r="E1113">
        <v>119</v>
      </c>
      <c r="F1113">
        <v>131</v>
      </c>
      <c r="G1113">
        <v>143</v>
      </c>
      <c r="H1113">
        <v>155</v>
      </c>
      <c r="I1113">
        <v>167</v>
      </c>
      <c r="J1113">
        <v>179</v>
      </c>
      <c r="K1113">
        <v>190</v>
      </c>
      <c r="L1113">
        <v>202</v>
      </c>
      <c r="M1113">
        <v>213</v>
      </c>
      <c r="N1113">
        <v>225</v>
      </c>
      <c r="O1113">
        <v>236</v>
      </c>
      <c r="P1113">
        <v>247</v>
      </c>
      <c r="Q1113" s="1160">
        <v>45</v>
      </c>
      <c r="R1113"/>
      <c r="S1113" s="1684"/>
      <c r="T1113" s="1684"/>
      <c r="U1113" s="1684"/>
      <c r="V1113" s="1684"/>
      <c r="W1113" s="1684"/>
      <c r="X1113" s="1684"/>
      <c r="Y1113" s="1684"/>
      <c r="Z1113" s="1684"/>
      <c r="AA1113" s="1684"/>
      <c r="AB1113" s="1684"/>
      <c r="AC1113" s="1684"/>
      <c r="AD1113" s="1684"/>
      <c r="AE1113" s="1684"/>
      <c r="AF1113" s="1684"/>
      <c r="AG1113" s="1684"/>
      <c r="AH1113" s="1684"/>
      <c r="AI1113" s="1684"/>
      <c r="AJ1113" s="1684"/>
      <c r="AK1113" s="1684"/>
      <c r="AL1113" s="1684"/>
      <c r="AM1113" s="1684"/>
      <c r="AN1113" s="1684"/>
      <c r="AO1113" s="1684"/>
      <c r="AP1113" s="1684"/>
      <c r="AQ1113" s="1684"/>
      <c r="AR1113" s="1684"/>
      <c r="AS1113" s="1684"/>
      <c r="AT1113" s="1684"/>
      <c r="AU1113" s="1684"/>
      <c r="AV1113" s="1684"/>
      <c r="AW1113" s="1684"/>
      <c r="AX1113" s="1684"/>
      <c r="AY1113" s="1684"/>
      <c r="AZ1113" s="1684"/>
      <c r="BA1113" s="1684"/>
      <c r="BB1113" s="1684"/>
      <c r="BC1113" s="1684"/>
      <c r="BD1113" s="1684"/>
      <c r="BE1113" s="1684"/>
      <c r="BF1113" s="1684"/>
      <c r="BG1113" s="1684"/>
      <c r="BH1113" s="1684"/>
      <c r="BI1113" s="1684"/>
      <c r="BJ1113" s="1684"/>
      <c r="BK1113" s="1684"/>
      <c r="BL1113" s="1684"/>
      <c r="BM1113" s="1684"/>
      <c r="BN1113" s="1684"/>
      <c r="BO1113" s="1684"/>
      <c r="BP1113" s="1684"/>
      <c r="BQ1113" s="1684"/>
      <c r="BR1113" s="1684"/>
      <c r="BS1113" s="1684"/>
      <c r="BT1113" s="1684"/>
      <c r="BU1113" s="1684"/>
      <c r="BV1113" s="1684"/>
      <c r="BW1113" s="1684"/>
      <c r="BX1113" s="1684"/>
      <c r="BY1113" s="1684"/>
      <c r="BZ1113" s="1684"/>
      <c r="CA1113" s="1684"/>
      <c r="CB1113" s="1684"/>
      <c r="CC1113" s="1684"/>
      <c r="CD1113" s="1684"/>
      <c r="CE1113" s="1684"/>
      <c r="CF1113" s="1684"/>
      <c r="CG1113" s="1684"/>
      <c r="CH1113" s="1684"/>
      <c r="CI1113" s="1684"/>
      <c r="CJ1113" s="1684"/>
      <c r="CK1113" s="1684"/>
      <c r="CL1113" s="1684"/>
      <c r="CM1113" s="1684"/>
      <c r="CN1113" s="1684"/>
      <c r="CO1113" s="1684"/>
    </row>
    <row r="1114" spans="1:93" s="1391" customFormat="1" ht="15" x14ac:dyDescent="0.2">
      <c r="A1114" s="1684"/>
      <c r="B1114" s="1684"/>
      <c r="C1114" s="2013">
        <v>9</v>
      </c>
      <c r="D1114" s="5">
        <v>5.1440000000000001</v>
      </c>
      <c r="E1114">
        <v>130</v>
      </c>
      <c r="F1114">
        <v>144</v>
      </c>
      <c r="G1114">
        <v>157</v>
      </c>
      <c r="H1114">
        <v>170</v>
      </c>
      <c r="I1114">
        <v>182</v>
      </c>
      <c r="J1114">
        <v>195</v>
      </c>
      <c r="K1114">
        <v>208</v>
      </c>
      <c r="L1114">
        <v>221</v>
      </c>
      <c r="M1114">
        <v>232</v>
      </c>
      <c r="N1114">
        <v>245</v>
      </c>
      <c r="O1114">
        <v>257</v>
      </c>
      <c r="P1114">
        <v>269</v>
      </c>
      <c r="Q1114" s="1160">
        <v>46</v>
      </c>
      <c r="R1114"/>
      <c r="S1114" s="1684"/>
      <c r="T1114" s="1684"/>
      <c r="U1114" s="1684"/>
      <c r="V1114" s="1684"/>
      <c r="W1114" s="1684"/>
      <c r="X1114" s="1684"/>
      <c r="Y1114" s="1684"/>
      <c r="Z1114" s="1684"/>
      <c r="AA1114" s="1684"/>
      <c r="AB1114" s="1684"/>
      <c r="AC1114" s="1684"/>
      <c r="AD1114" s="1684"/>
      <c r="AE1114" s="1684"/>
      <c r="AF1114" s="1684"/>
      <c r="AG1114" s="1684"/>
      <c r="AH1114" s="1684"/>
      <c r="AI1114" s="1684"/>
      <c r="AJ1114" s="1684"/>
      <c r="AK1114" s="1684"/>
      <c r="AL1114" s="1684"/>
      <c r="AM1114" s="1684"/>
      <c r="AN1114" s="1684"/>
      <c r="AO1114" s="1684"/>
      <c r="AP1114" s="1684"/>
      <c r="AQ1114" s="1684"/>
      <c r="AR1114" s="1684"/>
      <c r="AS1114" s="1684"/>
      <c r="AT1114" s="1684"/>
      <c r="AU1114" s="1684"/>
      <c r="AV1114" s="1684"/>
      <c r="AW1114" s="1684"/>
      <c r="AX1114" s="1684"/>
      <c r="AY1114" s="1684"/>
      <c r="AZ1114" s="1684"/>
      <c r="BA1114" s="1684"/>
      <c r="BB1114" s="1684"/>
      <c r="BC1114" s="1684"/>
      <c r="BD1114" s="1684"/>
      <c r="BE1114" s="1684"/>
      <c r="BF1114" s="1684"/>
      <c r="BG1114" s="1684"/>
      <c r="BH1114" s="1684"/>
      <c r="BI1114" s="1684"/>
      <c r="BJ1114" s="1684"/>
      <c r="BK1114" s="1684"/>
      <c r="BL1114" s="1684"/>
      <c r="BM1114" s="1684"/>
      <c r="BN1114" s="1684"/>
      <c r="BO1114" s="1684"/>
      <c r="BP1114" s="1684"/>
      <c r="BQ1114" s="1684"/>
      <c r="BR1114" s="1684"/>
      <c r="BS1114" s="1684"/>
      <c r="BT1114" s="1684"/>
      <c r="BU1114" s="1684"/>
      <c r="BV1114" s="1684"/>
      <c r="BW1114" s="1684"/>
      <c r="BX1114" s="1684"/>
      <c r="BY1114" s="1684"/>
      <c r="BZ1114" s="1684"/>
      <c r="CA1114" s="1684"/>
      <c r="CB1114" s="1684"/>
      <c r="CC1114" s="1684"/>
      <c r="CD1114" s="1684"/>
      <c r="CE1114" s="1684"/>
      <c r="CF1114" s="1684"/>
      <c r="CG1114" s="1684"/>
      <c r="CH1114" s="1684"/>
      <c r="CI1114" s="1684"/>
      <c r="CJ1114" s="1684"/>
      <c r="CK1114" s="1684"/>
      <c r="CL1114" s="1684"/>
      <c r="CM1114" s="1684"/>
      <c r="CN1114" s="1684"/>
      <c r="CO1114" s="1684"/>
    </row>
    <row r="1115" spans="1:93" s="1391" customFormat="1" ht="15" x14ac:dyDescent="0.2">
      <c r="A1115" s="1684"/>
      <c r="B1115" s="1684"/>
      <c r="C1115" s="2013">
        <v>10</v>
      </c>
      <c r="D1115" s="5">
        <v>5.42</v>
      </c>
      <c r="E1115">
        <v>141</v>
      </c>
      <c r="F1115">
        <v>156</v>
      </c>
      <c r="G1115">
        <v>170</v>
      </c>
      <c r="H1115">
        <v>184</v>
      </c>
      <c r="I1115">
        <v>198</v>
      </c>
      <c r="J1115">
        <v>212</v>
      </c>
      <c r="K1115">
        <v>225</v>
      </c>
      <c r="L1115">
        <v>239</v>
      </c>
      <c r="M1115">
        <v>252</v>
      </c>
      <c r="N1115">
        <v>265</v>
      </c>
      <c r="O1115">
        <v>278</v>
      </c>
      <c r="P1115">
        <v>291</v>
      </c>
      <c r="Q1115" s="1160">
        <v>47</v>
      </c>
      <c r="R1115"/>
      <c r="S1115" s="1684"/>
      <c r="T1115" s="1684"/>
      <c r="U1115" s="1684"/>
      <c r="V1115" s="1684"/>
      <c r="W1115" s="1684"/>
      <c r="X1115" s="1684"/>
      <c r="Y1115" s="1684"/>
      <c r="Z1115" s="1684"/>
      <c r="AA1115" s="1684"/>
      <c r="AB1115" s="1684"/>
      <c r="AC1115" s="1684"/>
      <c r="AD1115" s="1684"/>
      <c r="AE1115" s="1684"/>
      <c r="AF1115" s="1684"/>
      <c r="AG1115" s="1684"/>
      <c r="AH1115" s="1684"/>
      <c r="AI1115" s="1684"/>
      <c r="AJ1115" s="1684"/>
      <c r="AK1115" s="1684"/>
      <c r="AL1115" s="1684"/>
      <c r="AM1115" s="1684"/>
      <c r="AN1115" s="1684"/>
      <c r="AO1115" s="1684"/>
      <c r="AP1115" s="1684"/>
      <c r="AQ1115" s="1684"/>
      <c r="AR1115" s="1684"/>
      <c r="AS1115" s="1684"/>
      <c r="AT1115" s="1684"/>
      <c r="AU1115" s="1684"/>
      <c r="AV1115" s="1684"/>
      <c r="AW1115" s="1684"/>
      <c r="AX1115" s="1684"/>
      <c r="AY1115" s="1684"/>
      <c r="AZ1115" s="1684"/>
      <c r="BA1115" s="1684"/>
      <c r="BB1115" s="1684"/>
      <c r="BC1115" s="1684"/>
      <c r="BD1115" s="1684"/>
      <c r="BE1115" s="1684"/>
      <c r="BF1115" s="1684"/>
      <c r="BG1115" s="1684"/>
      <c r="BH1115" s="1684"/>
      <c r="BI1115" s="1684"/>
      <c r="BJ1115" s="1684"/>
      <c r="BK1115" s="1684"/>
      <c r="BL1115" s="1684"/>
      <c r="BM1115" s="1684"/>
      <c r="BN1115" s="1684"/>
      <c r="BO1115" s="1684"/>
      <c r="BP1115" s="1684"/>
      <c r="BQ1115" s="1684"/>
      <c r="BR1115" s="1684"/>
      <c r="BS1115" s="1684"/>
      <c r="BT1115" s="1684"/>
      <c r="BU1115" s="1684"/>
      <c r="BV1115" s="1684"/>
      <c r="BW1115" s="1684"/>
      <c r="BX1115" s="1684"/>
      <c r="BY1115" s="1684"/>
      <c r="BZ1115" s="1684"/>
      <c r="CA1115" s="1684"/>
      <c r="CB1115" s="1684"/>
      <c r="CC1115" s="1684"/>
      <c r="CD1115" s="1684"/>
      <c r="CE1115" s="1684"/>
      <c r="CF1115" s="1684"/>
      <c r="CG1115" s="1684"/>
      <c r="CH1115" s="1684"/>
      <c r="CI1115" s="1684"/>
      <c r="CJ1115" s="1684"/>
      <c r="CK1115" s="1684"/>
      <c r="CL1115" s="1684"/>
      <c r="CM1115" s="1684"/>
      <c r="CN1115" s="1684"/>
      <c r="CO1115" s="1684"/>
    </row>
    <row r="1116" spans="1:93" s="1391" customFormat="1" ht="15" x14ac:dyDescent="0.2">
      <c r="A1116" s="1684"/>
      <c r="B1116" s="1684"/>
      <c r="C1116" s="2013">
        <v>11</v>
      </c>
      <c r="D1116" s="5">
        <v>5.726</v>
      </c>
      <c r="E1116">
        <v>154</v>
      </c>
      <c r="F1116">
        <v>170</v>
      </c>
      <c r="G1116">
        <v>185</v>
      </c>
      <c r="H1116">
        <v>200</v>
      </c>
      <c r="I1116">
        <v>215</v>
      </c>
      <c r="J1116">
        <v>230</v>
      </c>
      <c r="K1116">
        <v>245</v>
      </c>
      <c r="L1116">
        <v>260</v>
      </c>
      <c r="M1116">
        <v>273</v>
      </c>
      <c r="N1116">
        <v>288</v>
      </c>
      <c r="O1116">
        <v>302</v>
      </c>
      <c r="P1116">
        <v>316</v>
      </c>
      <c r="Q1116" s="1160">
        <v>48</v>
      </c>
      <c r="R1116"/>
      <c r="S1116" s="1684"/>
      <c r="T1116" s="1684"/>
      <c r="U1116" s="1684"/>
      <c r="V1116" s="1684"/>
      <c r="W1116" s="1684"/>
      <c r="X1116" s="1684"/>
      <c r="Y1116" s="1684"/>
      <c r="Z1116" s="1684"/>
      <c r="AA1116" s="1684"/>
      <c r="AB1116" s="1684"/>
      <c r="AC1116" s="1684"/>
      <c r="AD1116" s="1684"/>
      <c r="AE1116" s="1684"/>
      <c r="AF1116" s="1684"/>
      <c r="AG1116" s="1684"/>
      <c r="AH1116" s="1684"/>
      <c r="AI1116" s="1684"/>
      <c r="AJ1116" s="1684"/>
      <c r="AK1116" s="1684"/>
      <c r="AL1116" s="1684"/>
      <c r="AM1116" s="1684"/>
      <c r="AN1116" s="1684"/>
      <c r="AO1116" s="1684"/>
      <c r="AP1116" s="1684"/>
      <c r="AQ1116" s="1684"/>
      <c r="AR1116" s="1684"/>
      <c r="AS1116" s="1684"/>
      <c r="AT1116" s="1684"/>
      <c r="AU1116" s="1684"/>
      <c r="AV1116" s="1684"/>
      <c r="AW1116" s="1684"/>
      <c r="AX1116" s="1684"/>
      <c r="AY1116" s="1684"/>
      <c r="AZ1116" s="1684"/>
      <c r="BA1116" s="1684"/>
      <c r="BB1116" s="1684"/>
      <c r="BC1116" s="1684"/>
      <c r="BD1116" s="1684"/>
      <c r="BE1116" s="1684"/>
      <c r="BF1116" s="1684"/>
      <c r="BG1116" s="1684"/>
      <c r="BH1116" s="1684"/>
      <c r="BI1116" s="1684"/>
      <c r="BJ1116" s="1684"/>
      <c r="BK1116" s="1684"/>
      <c r="BL1116" s="1684"/>
      <c r="BM1116" s="1684"/>
      <c r="BN1116" s="1684"/>
      <c r="BO1116" s="1684"/>
      <c r="BP1116" s="1684"/>
      <c r="BQ1116" s="1684"/>
      <c r="BR1116" s="1684"/>
      <c r="BS1116" s="1684"/>
      <c r="BT1116" s="1684"/>
      <c r="BU1116" s="1684"/>
      <c r="BV1116" s="1684"/>
      <c r="BW1116" s="1684"/>
      <c r="BX1116" s="1684"/>
      <c r="BY1116" s="1684"/>
      <c r="BZ1116" s="1684"/>
      <c r="CA1116" s="1684"/>
      <c r="CB1116" s="1684"/>
      <c r="CC1116" s="1684"/>
      <c r="CD1116" s="1684"/>
      <c r="CE1116" s="1684"/>
      <c r="CF1116" s="1684"/>
      <c r="CG1116" s="1684"/>
      <c r="CH1116" s="1684"/>
      <c r="CI1116" s="1684"/>
      <c r="CJ1116" s="1684"/>
      <c r="CK1116" s="1684"/>
      <c r="CL1116" s="1684"/>
      <c r="CM1116" s="1684"/>
      <c r="CN1116" s="1684"/>
      <c r="CO1116" s="1684"/>
    </row>
    <row r="1117" spans="1:93" s="1391" customFormat="1" ht="15" x14ac:dyDescent="0.2">
      <c r="A1117" s="1684"/>
      <c r="B1117" s="1684"/>
      <c r="C1117" s="2013">
        <v>12</v>
      </c>
      <c r="D1117" s="5">
        <v>6.0430000000000001</v>
      </c>
      <c r="E1117">
        <v>166</v>
      </c>
      <c r="F1117">
        <v>184</v>
      </c>
      <c r="G1117">
        <v>200</v>
      </c>
      <c r="H1117">
        <v>216</v>
      </c>
      <c r="I1117">
        <v>233</v>
      </c>
      <c r="J1117">
        <v>248</v>
      </c>
      <c r="K1117">
        <v>264</v>
      </c>
      <c r="L1117">
        <v>280</v>
      </c>
      <c r="M1117">
        <v>295</v>
      </c>
      <c r="N1117">
        <v>310</v>
      </c>
      <c r="O1117">
        <v>325</v>
      </c>
      <c r="P1117">
        <v>340</v>
      </c>
      <c r="Q1117" s="1160">
        <v>49</v>
      </c>
      <c r="R1117"/>
      <c r="S1117" s="1684"/>
      <c r="T1117" s="1684"/>
      <c r="U1117" s="1684"/>
      <c r="V1117" s="1684"/>
      <c r="W1117" s="1684"/>
      <c r="X1117" s="1684"/>
      <c r="Y1117" s="1684"/>
      <c r="Z1117" s="1684"/>
      <c r="AA1117" s="1684"/>
      <c r="AB1117" s="1684"/>
      <c r="AC1117" s="1684"/>
      <c r="AD1117" s="1684"/>
      <c r="AE1117" s="1684"/>
      <c r="AF1117" s="1684"/>
      <c r="AG1117" s="1684"/>
      <c r="AH1117" s="1684"/>
      <c r="AI1117" s="1684"/>
      <c r="AJ1117" s="1684"/>
      <c r="AK1117" s="1684"/>
      <c r="AL1117" s="1684"/>
      <c r="AM1117" s="1684"/>
      <c r="AN1117" s="1684"/>
      <c r="AO1117" s="1684"/>
      <c r="AP1117" s="1684"/>
      <c r="AQ1117" s="1684"/>
      <c r="AR1117" s="1684"/>
      <c r="AS1117" s="1684"/>
      <c r="AT1117" s="1684"/>
      <c r="AU1117" s="1684"/>
      <c r="AV1117" s="1684"/>
      <c r="AW1117" s="1684"/>
      <c r="AX1117" s="1684"/>
      <c r="AY1117" s="1684"/>
      <c r="AZ1117" s="1684"/>
      <c r="BA1117" s="1684"/>
      <c r="BB1117" s="1684"/>
      <c r="BC1117" s="1684"/>
      <c r="BD1117" s="1684"/>
      <c r="BE1117" s="1684"/>
      <c r="BF1117" s="1684"/>
      <c r="BG1117" s="1684"/>
      <c r="BH1117" s="1684"/>
      <c r="BI1117" s="1684"/>
      <c r="BJ1117" s="1684"/>
      <c r="BK1117" s="1684"/>
      <c r="BL1117" s="1684"/>
      <c r="BM1117" s="1684"/>
      <c r="BN1117" s="1684"/>
      <c r="BO1117" s="1684"/>
      <c r="BP1117" s="1684"/>
      <c r="BQ1117" s="1684"/>
      <c r="BR1117" s="1684"/>
      <c r="BS1117" s="1684"/>
      <c r="BT1117" s="1684"/>
      <c r="BU1117" s="1684"/>
      <c r="BV1117" s="1684"/>
      <c r="BW1117" s="1684"/>
      <c r="BX1117" s="1684"/>
      <c r="BY1117" s="1684"/>
      <c r="BZ1117" s="1684"/>
      <c r="CA1117" s="1684"/>
      <c r="CB1117" s="1684"/>
      <c r="CC1117" s="1684"/>
      <c r="CD1117" s="1684"/>
      <c r="CE1117" s="1684"/>
      <c r="CF1117" s="1684"/>
      <c r="CG1117" s="1684"/>
      <c r="CH1117" s="1684"/>
      <c r="CI1117" s="1684"/>
      <c r="CJ1117" s="1684"/>
      <c r="CK1117" s="1684"/>
      <c r="CL1117" s="1684"/>
      <c r="CM1117" s="1684"/>
      <c r="CN1117" s="1684"/>
      <c r="CO1117" s="1684"/>
    </row>
    <row r="1118" spans="1:93" s="1391" customFormat="1" ht="15" x14ac:dyDescent="0.2">
      <c r="A1118" s="1684"/>
      <c r="B1118" s="1684"/>
      <c r="C1118" s="2013">
        <v>13</v>
      </c>
      <c r="D1118" s="5">
        <v>6.3620000000000001</v>
      </c>
      <c r="E1118">
        <v>179</v>
      </c>
      <c r="F1118">
        <v>198</v>
      </c>
      <c r="G1118">
        <v>215</v>
      </c>
      <c r="H1118">
        <v>233</v>
      </c>
      <c r="I1118">
        <v>250</v>
      </c>
      <c r="J1118">
        <v>267</v>
      </c>
      <c r="K1118">
        <v>283</v>
      </c>
      <c r="L1118">
        <v>301</v>
      </c>
      <c r="M1118">
        <v>316</v>
      </c>
      <c r="N1118">
        <v>333</v>
      </c>
      <c r="O1118">
        <v>349</v>
      </c>
      <c r="P1118">
        <v>365</v>
      </c>
      <c r="Q1118" s="1160">
        <v>50</v>
      </c>
      <c r="R1118"/>
      <c r="S1118" s="1684"/>
      <c r="T1118" s="1684"/>
      <c r="U1118" s="1684"/>
      <c r="V1118" s="1684"/>
      <c r="W1118" s="1684"/>
      <c r="X1118" s="1684"/>
      <c r="Y1118" s="1684"/>
      <c r="Z1118" s="1684"/>
      <c r="AA1118" s="1684"/>
      <c r="AB1118" s="1684"/>
      <c r="AC1118" s="1684"/>
      <c r="AD1118" s="1684"/>
      <c r="AE1118" s="1684"/>
      <c r="AF1118" s="1684"/>
      <c r="AG1118" s="1684"/>
      <c r="AH1118" s="1684"/>
      <c r="AI1118" s="1684"/>
      <c r="AJ1118" s="1684"/>
      <c r="AK1118" s="1684"/>
      <c r="AL1118" s="1684"/>
      <c r="AM1118" s="1684"/>
      <c r="AN1118" s="1684"/>
      <c r="AO1118" s="1684"/>
      <c r="AP1118" s="1684"/>
      <c r="AQ1118" s="1684"/>
      <c r="AR1118" s="1684"/>
      <c r="AS1118" s="1684"/>
      <c r="AT1118" s="1684"/>
      <c r="AU1118" s="1684"/>
      <c r="AV1118" s="1684"/>
      <c r="AW1118" s="1684"/>
      <c r="AX1118" s="1684"/>
      <c r="AY1118" s="1684"/>
      <c r="AZ1118" s="1684"/>
      <c r="BA1118" s="1684"/>
      <c r="BB1118" s="1684"/>
      <c r="BC1118" s="1684"/>
      <c r="BD1118" s="1684"/>
      <c r="BE1118" s="1684"/>
      <c r="BF1118" s="1684"/>
      <c r="BG1118" s="1684"/>
      <c r="BH1118" s="1684"/>
      <c r="BI1118" s="1684"/>
      <c r="BJ1118" s="1684"/>
      <c r="BK1118" s="1684"/>
      <c r="BL1118" s="1684"/>
      <c r="BM1118" s="1684"/>
      <c r="BN1118" s="1684"/>
      <c r="BO1118" s="1684"/>
      <c r="BP1118" s="1684"/>
      <c r="BQ1118" s="1684"/>
      <c r="BR1118" s="1684"/>
      <c r="BS1118" s="1684"/>
      <c r="BT1118" s="1684"/>
      <c r="BU1118" s="1684"/>
      <c r="BV1118" s="1684"/>
      <c r="BW1118" s="1684"/>
      <c r="BX1118" s="1684"/>
      <c r="BY1118" s="1684"/>
      <c r="BZ1118" s="1684"/>
      <c r="CA1118" s="1684"/>
      <c r="CB1118" s="1684"/>
      <c r="CC1118" s="1684"/>
      <c r="CD1118" s="1684"/>
      <c r="CE1118" s="1684"/>
      <c r="CF1118" s="1684"/>
      <c r="CG1118" s="1684"/>
      <c r="CH1118" s="1684"/>
      <c r="CI1118" s="1684"/>
      <c r="CJ1118" s="1684"/>
      <c r="CK1118" s="1684"/>
      <c r="CL1118" s="1684"/>
      <c r="CM1118" s="1684"/>
      <c r="CN1118" s="1684"/>
      <c r="CO1118" s="1684"/>
    </row>
    <row r="1119" spans="1:93" s="1391" customFormat="1" ht="15" x14ac:dyDescent="0.2">
      <c r="A1119" s="1684"/>
      <c r="B1119" s="1684"/>
      <c r="C1119" s="2013">
        <v>14</v>
      </c>
      <c r="D1119" s="5">
        <v>6.694</v>
      </c>
      <c r="E1119">
        <v>192</v>
      </c>
      <c r="F1119">
        <v>212</v>
      </c>
      <c r="G1119">
        <v>231</v>
      </c>
      <c r="H1119">
        <v>249</v>
      </c>
      <c r="I1119">
        <v>267</v>
      </c>
      <c r="J1119">
        <v>285</v>
      </c>
      <c r="K1119">
        <v>303</v>
      </c>
      <c r="L1119">
        <v>322</v>
      </c>
      <c r="M1119">
        <v>338</v>
      </c>
      <c r="N1119">
        <v>355</v>
      </c>
      <c r="O1119">
        <v>372</v>
      </c>
      <c r="P1119">
        <v>389</v>
      </c>
      <c r="Q1119" s="1160">
        <v>51</v>
      </c>
      <c r="R1119"/>
      <c r="S1119" s="1684"/>
      <c r="T1119" s="1684"/>
      <c r="U1119" s="1684"/>
      <c r="V1119" s="1684"/>
      <c r="W1119" s="1684"/>
      <c r="X1119" s="1684"/>
      <c r="Y1119" s="1684"/>
      <c r="Z1119" s="1684"/>
      <c r="AA1119" s="1684"/>
      <c r="AB1119" s="1684"/>
      <c r="AC1119" s="1684"/>
      <c r="AD1119" s="1684"/>
      <c r="AE1119" s="1684"/>
      <c r="AF1119" s="1684"/>
      <c r="AG1119" s="1684"/>
      <c r="AH1119" s="1684"/>
      <c r="AI1119" s="1684"/>
      <c r="AJ1119" s="1684"/>
      <c r="AK1119" s="1684"/>
      <c r="AL1119" s="1684"/>
      <c r="AM1119" s="1684"/>
      <c r="AN1119" s="1684"/>
      <c r="AO1119" s="1684"/>
      <c r="AP1119" s="1684"/>
      <c r="AQ1119" s="1684"/>
      <c r="AR1119" s="1684"/>
      <c r="AS1119" s="1684"/>
      <c r="AT1119" s="1684"/>
      <c r="AU1119" s="1684"/>
      <c r="AV1119" s="1684"/>
      <c r="AW1119" s="1684"/>
      <c r="AX1119" s="1684"/>
      <c r="AY1119" s="1684"/>
      <c r="AZ1119" s="1684"/>
      <c r="BA1119" s="1684"/>
      <c r="BB1119" s="1684"/>
      <c r="BC1119" s="1684"/>
      <c r="BD1119" s="1684"/>
      <c r="BE1119" s="1684"/>
      <c r="BF1119" s="1684"/>
      <c r="BG1119" s="1684"/>
      <c r="BH1119" s="1684"/>
      <c r="BI1119" s="1684"/>
      <c r="BJ1119" s="1684"/>
      <c r="BK1119" s="1684"/>
      <c r="BL1119" s="1684"/>
      <c r="BM1119" s="1684"/>
      <c r="BN1119" s="1684"/>
      <c r="BO1119" s="1684"/>
      <c r="BP1119" s="1684"/>
      <c r="BQ1119" s="1684"/>
      <c r="BR1119" s="1684"/>
      <c r="BS1119" s="1684"/>
      <c r="BT1119" s="1684"/>
      <c r="BU1119" s="1684"/>
      <c r="BV1119" s="1684"/>
      <c r="BW1119" s="1684"/>
      <c r="BX1119" s="1684"/>
      <c r="BY1119" s="1684"/>
      <c r="BZ1119" s="1684"/>
      <c r="CA1119" s="1684"/>
      <c r="CB1119" s="1684"/>
      <c r="CC1119" s="1684"/>
      <c r="CD1119" s="1684"/>
      <c r="CE1119" s="1684"/>
      <c r="CF1119" s="1684"/>
      <c r="CG1119" s="1684"/>
      <c r="CH1119" s="1684"/>
      <c r="CI1119" s="1684"/>
      <c r="CJ1119" s="1684"/>
      <c r="CK1119" s="1684"/>
      <c r="CL1119" s="1684"/>
      <c r="CM1119" s="1684"/>
      <c r="CN1119" s="1684"/>
      <c r="CO1119" s="1684"/>
    </row>
    <row r="1120" spans="1:93" s="1391" customFormat="1" ht="15" x14ac:dyDescent="0.2">
      <c r="A1120" s="1684"/>
      <c r="B1120" s="1684"/>
      <c r="C1120" s="2013">
        <v>15</v>
      </c>
      <c r="D1120" s="5">
        <v>7.0330000000000004</v>
      </c>
      <c r="E1120">
        <v>205</v>
      </c>
      <c r="F1120">
        <v>226</v>
      </c>
      <c r="G1120">
        <v>246</v>
      </c>
      <c r="H1120">
        <v>265</v>
      </c>
      <c r="I1120">
        <v>285</v>
      </c>
      <c r="J1120">
        <v>304</v>
      </c>
      <c r="K1120">
        <v>323</v>
      </c>
      <c r="L1120">
        <v>342</v>
      </c>
      <c r="M1120">
        <v>360</v>
      </c>
      <c r="N1120">
        <v>378</v>
      </c>
      <c r="O1120">
        <v>396</v>
      </c>
      <c r="P1120">
        <v>414</v>
      </c>
      <c r="Q1120" s="1160">
        <v>52</v>
      </c>
      <c r="R1120"/>
      <c r="S1120" s="1684"/>
      <c r="T1120" s="1684"/>
      <c r="U1120" s="1684"/>
      <c r="V1120" s="1684"/>
      <c r="W1120" s="1684"/>
      <c r="X1120" s="1684"/>
      <c r="Y1120" s="1684"/>
      <c r="Z1120" s="1684"/>
      <c r="AA1120" s="1684"/>
      <c r="AB1120" s="1684"/>
      <c r="AC1120" s="1684"/>
      <c r="AD1120" s="1684"/>
      <c r="AE1120" s="1684"/>
      <c r="AF1120" s="1684"/>
      <c r="AG1120" s="1684"/>
      <c r="AH1120" s="1684"/>
      <c r="AI1120" s="1684"/>
      <c r="AJ1120" s="1684"/>
      <c r="AK1120" s="1684"/>
      <c r="AL1120" s="1684"/>
      <c r="AM1120" s="1684"/>
      <c r="AN1120" s="1684"/>
      <c r="AO1120" s="1684"/>
      <c r="AP1120" s="1684"/>
      <c r="AQ1120" s="1684"/>
      <c r="AR1120" s="1684"/>
      <c r="AS1120" s="1684"/>
      <c r="AT1120" s="1684"/>
      <c r="AU1120" s="1684"/>
      <c r="AV1120" s="1684"/>
      <c r="AW1120" s="1684"/>
      <c r="AX1120" s="1684"/>
      <c r="AY1120" s="1684"/>
      <c r="AZ1120" s="1684"/>
      <c r="BA1120" s="1684"/>
      <c r="BB1120" s="1684"/>
      <c r="BC1120" s="1684"/>
      <c r="BD1120" s="1684"/>
      <c r="BE1120" s="1684"/>
      <c r="BF1120" s="1684"/>
      <c r="BG1120" s="1684"/>
      <c r="BH1120" s="1684"/>
      <c r="BI1120" s="1684"/>
      <c r="BJ1120" s="1684"/>
      <c r="BK1120" s="1684"/>
      <c r="BL1120" s="1684"/>
      <c r="BM1120" s="1684"/>
      <c r="BN1120" s="1684"/>
      <c r="BO1120" s="1684"/>
      <c r="BP1120" s="1684"/>
      <c r="BQ1120" s="1684"/>
      <c r="BR1120" s="1684"/>
      <c r="BS1120" s="1684"/>
      <c r="BT1120" s="1684"/>
      <c r="BU1120" s="1684"/>
      <c r="BV1120" s="1684"/>
      <c r="BW1120" s="1684"/>
      <c r="BX1120" s="1684"/>
      <c r="BY1120" s="1684"/>
      <c r="BZ1120" s="1684"/>
      <c r="CA1120" s="1684"/>
      <c r="CB1120" s="1684"/>
      <c r="CC1120" s="1684"/>
      <c r="CD1120" s="1684"/>
      <c r="CE1120" s="1684"/>
      <c r="CF1120" s="1684"/>
      <c r="CG1120" s="1684"/>
      <c r="CH1120" s="1684"/>
      <c r="CI1120" s="1684"/>
      <c r="CJ1120" s="1684"/>
      <c r="CK1120" s="1684"/>
      <c r="CL1120" s="1684"/>
      <c r="CM1120" s="1684"/>
      <c r="CN1120" s="1684"/>
      <c r="CO1120" s="1684"/>
    </row>
    <row r="1121" spans="1:93" s="1391" customFormat="1" ht="15" x14ac:dyDescent="0.2">
      <c r="A1121" s="1684"/>
      <c r="B1121" s="1684"/>
      <c r="C1121" s="2013">
        <v>16</v>
      </c>
      <c r="D1121" s="5">
        <v>7.4909999999999997</v>
      </c>
      <c r="E1121">
        <v>217</v>
      </c>
      <c r="F1121">
        <v>239</v>
      </c>
      <c r="G1121">
        <v>260</v>
      </c>
      <c r="H1121">
        <v>281</v>
      </c>
      <c r="I1121">
        <v>301</v>
      </c>
      <c r="J1121">
        <v>322</v>
      </c>
      <c r="K1121">
        <v>341</v>
      </c>
      <c r="L1121">
        <v>362</v>
      </c>
      <c r="M1121">
        <v>380</v>
      </c>
      <c r="N1121">
        <v>399</v>
      </c>
      <c r="O1121">
        <v>418</v>
      </c>
      <c r="P1121">
        <v>437</v>
      </c>
      <c r="Q1121" s="1160">
        <v>53</v>
      </c>
      <c r="R1121"/>
      <c r="S1121" s="1684"/>
      <c r="T1121" s="1684"/>
      <c r="U1121" s="1684"/>
      <c r="V1121" s="1684"/>
      <c r="W1121" s="1684"/>
      <c r="X1121" s="1684"/>
      <c r="Y1121" s="1684"/>
      <c r="Z1121" s="1684"/>
      <c r="AA1121" s="1684"/>
      <c r="AB1121" s="1684"/>
      <c r="AC1121" s="1684"/>
      <c r="AD1121" s="1684"/>
      <c r="AE1121" s="1684"/>
      <c r="AF1121" s="1684"/>
      <c r="AG1121" s="1684"/>
      <c r="AH1121" s="1684"/>
      <c r="AI1121" s="1684"/>
      <c r="AJ1121" s="1684"/>
      <c r="AK1121" s="1684"/>
      <c r="AL1121" s="1684"/>
      <c r="AM1121" s="1684"/>
      <c r="AN1121" s="1684"/>
      <c r="AO1121" s="1684"/>
      <c r="AP1121" s="1684"/>
      <c r="AQ1121" s="1684"/>
      <c r="AR1121" s="1684"/>
      <c r="AS1121" s="1684"/>
      <c r="AT1121" s="1684"/>
      <c r="AU1121" s="1684"/>
      <c r="AV1121" s="1684"/>
      <c r="AW1121" s="1684"/>
      <c r="AX1121" s="1684"/>
      <c r="AY1121" s="1684"/>
      <c r="AZ1121" s="1684"/>
      <c r="BA1121" s="1684"/>
      <c r="BB1121" s="1684"/>
      <c r="BC1121" s="1684"/>
      <c r="BD1121" s="1684"/>
      <c r="BE1121" s="1684"/>
      <c r="BF1121" s="1684"/>
      <c r="BG1121" s="1684"/>
      <c r="BH1121" s="1684"/>
      <c r="BI1121" s="1684"/>
      <c r="BJ1121" s="1684"/>
      <c r="BK1121" s="1684"/>
      <c r="BL1121" s="1684"/>
      <c r="BM1121" s="1684"/>
      <c r="BN1121" s="1684"/>
      <c r="BO1121" s="1684"/>
      <c r="BP1121" s="1684"/>
      <c r="BQ1121" s="1684"/>
      <c r="BR1121" s="1684"/>
      <c r="BS1121" s="1684"/>
      <c r="BT1121" s="1684"/>
      <c r="BU1121" s="1684"/>
      <c r="BV1121" s="1684"/>
      <c r="BW1121" s="1684"/>
      <c r="BX1121" s="1684"/>
      <c r="BY1121" s="1684"/>
      <c r="BZ1121" s="1684"/>
      <c r="CA1121" s="1684"/>
      <c r="CB1121" s="1684"/>
      <c r="CC1121" s="1684"/>
      <c r="CD1121" s="1684"/>
      <c r="CE1121" s="1684"/>
      <c r="CF1121" s="1684"/>
      <c r="CG1121" s="1684"/>
      <c r="CH1121" s="1684"/>
      <c r="CI1121" s="1684"/>
      <c r="CJ1121" s="1684"/>
      <c r="CK1121" s="1684"/>
      <c r="CL1121" s="1684"/>
      <c r="CM1121" s="1684"/>
      <c r="CN1121" s="1684"/>
      <c r="CO1121" s="1684"/>
    </row>
    <row r="1122" spans="1:93" s="1391" customFormat="1" ht="15" x14ac:dyDescent="0.2">
      <c r="A1122" s="1684"/>
      <c r="B1122" s="1684"/>
      <c r="C1122" s="2013">
        <v>17</v>
      </c>
      <c r="D1122" s="5">
        <v>7.984</v>
      </c>
      <c r="E1122">
        <v>228</v>
      </c>
      <c r="F1122">
        <v>252</v>
      </c>
      <c r="G1122">
        <v>274</v>
      </c>
      <c r="H1122">
        <v>293</v>
      </c>
      <c r="I1122">
        <v>316</v>
      </c>
      <c r="J1122">
        <v>337</v>
      </c>
      <c r="K1122">
        <v>358</v>
      </c>
      <c r="L1122">
        <v>380</v>
      </c>
      <c r="M1122">
        <v>399</v>
      </c>
      <c r="N1122">
        <v>419</v>
      </c>
      <c r="O1122">
        <v>438</v>
      </c>
      <c r="P1122">
        <v>457</v>
      </c>
      <c r="Q1122" s="1160">
        <v>54</v>
      </c>
      <c r="R1122"/>
      <c r="S1122" s="1684"/>
      <c r="T1122" s="1684"/>
      <c r="U1122" s="1684"/>
      <c r="V1122" s="1684"/>
      <c r="W1122" s="1684"/>
      <c r="X1122" s="1684"/>
      <c r="Y1122" s="1684"/>
      <c r="Z1122" s="1684"/>
      <c r="AA1122" s="1684"/>
      <c r="AB1122" s="1684"/>
      <c r="AC1122" s="1684"/>
      <c r="AD1122" s="1684"/>
      <c r="AE1122" s="1684"/>
      <c r="AF1122" s="1684"/>
      <c r="AG1122" s="1684"/>
      <c r="AH1122" s="1684"/>
      <c r="AI1122" s="1684"/>
      <c r="AJ1122" s="1684"/>
      <c r="AK1122" s="1684"/>
      <c r="AL1122" s="1684"/>
      <c r="AM1122" s="1684"/>
      <c r="AN1122" s="1684"/>
      <c r="AO1122" s="1684"/>
      <c r="AP1122" s="1684"/>
      <c r="AQ1122" s="1684"/>
      <c r="AR1122" s="1684"/>
      <c r="AS1122" s="1684"/>
      <c r="AT1122" s="1684"/>
      <c r="AU1122" s="1684"/>
      <c r="AV1122" s="1684"/>
      <c r="AW1122" s="1684"/>
      <c r="AX1122" s="1684"/>
      <c r="AY1122" s="1684"/>
      <c r="AZ1122" s="1684"/>
      <c r="BA1122" s="1684"/>
      <c r="BB1122" s="1684"/>
      <c r="BC1122" s="1684"/>
      <c r="BD1122" s="1684"/>
      <c r="BE1122" s="1684"/>
      <c r="BF1122" s="1684"/>
      <c r="BG1122" s="1684"/>
      <c r="BH1122" s="1684"/>
      <c r="BI1122" s="1684"/>
      <c r="BJ1122" s="1684"/>
      <c r="BK1122" s="1684"/>
      <c r="BL1122" s="1684"/>
      <c r="BM1122" s="1684"/>
      <c r="BN1122" s="1684"/>
      <c r="BO1122" s="1684"/>
      <c r="BP1122" s="1684"/>
      <c r="BQ1122" s="1684"/>
      <c r="BR1122" s="1684"/>
      <c r="BS1122" s="1684"/>
      <c r="BT1122" s="1684"/>
      <c r="BU1122" s="1684"/>
      <c r="BV1122" s="1684"/>
      <c r="BW1122" s="1684"/>
      <c r="BX1122" s="1684"/>
      <c r="BY1122" s="1684"/>
      <c r="BZ1122" s="1684"/>
      <c r="CA1122" s="1684"/>
      <c r="CB1122" s="1684"/>
      <c r="CC1122" s="1684"/>
      <c r="CD1122" s="1684"/>
      <c r="CE1122" s="1684"/>
      <c r="CF1122" s="1684"/>
      <c r="CG1122" s="1684"/>
      <c r="CH1122" s="1684"/>
      <c r="CI1122" s="1684"/>
      <c r="CJ1122" s="1684"/>
      <c r="CK1122" s="1684"/>
      <c r="CL1122" s="1684"/>
      <c r="CM1122" s="1684"/>
      <c r="CN1122" s="1684"/>
      <c r="CO1122" s="1684"/>
    </row>
    <row r="1123" spans="1:93" s="1391" customFormat="1" ht="15" x14ac:dyDescent="0.2">
      <c r="A1123" s="1684"/>
      <c r="B1123" s="1684"/>
      <c r="C1123" s="2013">
        <v>18</v>
      </c>
      <c r="D1123" s="5">
        <v>8.2609999999999992</v>
      </c>
      <c r="E1123">
        <v>238</v>
      </c>
      <c r="F1123">
        <v>262</v>
      </c>
      <c r="G1123">
        <v>285</v>
      </c>
      <c r="H1123">
        <v>308</v>
      </c>
      <c r="I1123">
        <v>330</v>
      </c>
      <c r="J1123">
        <v>352</v>
      </c>
      <c r="K1123">
        <v>373</v>
      </c>
      <c r="L1123">
        <v>395</v>
      </c>
      <c r="M1123">
        <v>415</v>
      </c>
      <c r="N1123">
        <v>436</v>
      </c>
      <c r="O1123">
        <v>456</v>
      </c>
      <c r="P1123">
        <v>476</v>
      </c>
      <c r="Q1123" s="1160">
        <v>55</v>
      </c>
      <c r="R1123"/>
      <c r="S1123" s="1684"/>
      <c r="T1123" s="1684"/>
      <c r="U1123" s="1684"/>
      <c r="V1123" s="1684"/>
      <c r="W1123" s="1684"/>
      <c r="X1123" s="1684"/>
      <c r="Y1123" s="1684"/>
      <c r="Z1123" s="1684"/>
      <c r="AA1123" s="1684"/>
      <c r="AB1123" s="1684"/>
      <c r="AC1123" s="1684"/>
      <c r="AD1123" s="1684"/>
      <c r="AE1123" s="1684"/>
      <c r="AF1123" s="1684"/>
      <c r="AG1123" s="1684"/>
      <c r="AH1123" s="1684"/>
      <c r="AI1123" s="1684"/>
      <c r="AJ1123" s="1684"/>
      <c r="AK1123" s="1684"/>
      <c r="AL1123" s="1684"/>
      <c r="AM1123" s="1684"/>
      <c r="AN1123" s="1684"/>
      <c r="AO1123" s="1684"/>
      <c r="AP1123" s="1684"/>
      <c r="AQ1123" s="1684"/>
      <c r="AR1123" s="1684"/>
      <c r="AS1123" s="1684"/>
      <c r="AT1123" s="1684"/>
      <c r="AU1123" s="1684"/>
      <c r="AV1123" s="1684"/>
      <c r="AW1123" s="1684"/>
      <c r="AX1123" s="1684"/>
      <c r="AY1123" s="1684"/>
      <c r="AZ1123" s="1684"/>
      <c r="BA1123" s="1684"/>
      <c r="BB1123" s="1684"/>
      <c r="BC1123" s="1684"/>
      <c r="BD1123" s="1684"/>
      <c r="BE1123" s="1684"/>
      <c r="BF1123" s="1684"/>
      <c r="BG1123" s="1684"/>
      <c r="BH1123" s="1684"/>
      <c r="BI1123" s="1684"/>
      <c r="BJ1123" s="1684"/>
      <c r="BK1123" s="1684"/>
      <c r="BL1123" s="1684"/>
      <c r="BM1123" s="1684"/>
      <c r="BN1123" s="1684"/>
      <c r="BO1123" s="1684"/>
      <c r="BP1123" s="1684"/>
      <c r="BQ1123" s="1684"/>
      <c r="BR1123" s="1684"/>
      <c r="BS1123" s="1684"/>
      <c r="BT1123" s="1684"/>
      <c r="BU1123" s="1684"/>
      <c r="BV1123" s="1684"/>
      <c r="BW1123" s="1684"/>
      <c r="BX1123" s="1684"/>
      <c r="BY1123" s="1684"/>
      <c r="BZ1123" s="1684"/>
      <c r="CA1123" s="1684"/>
      <c r="CB1123" s="1684"/>
      <c r="CC1123" s="1684"/>
      <c r="CD1123" s="1684"/>
      <c r="CE1123" s="1684"/>
      <c r="CF1123" s="1684"/>
      <c r="CG1123" s="1684"/>
      <c r="CH1123" s="1684"/>
      <c r="CI1123" s="1684"/>
      <c r="CJ1123" s="1684"/>
      <c r="CK1123" s="1684"/>
      <c r="CL1123" s="1684"/>
      <c r="CM1123" s="1684"/>
      <c r="CN1123" s="1684"/>
      <c r="CO1123" s="1684"/>
    </row>
    <row r="1124" spans="1:93" s="1391" customFormat="1" ht="15" x14ac:dyDescent="0.2">
      <c r="A1124" s="1684"/>
      <c r="B1124" s="1684"/>
      <c r="C1124" s="4680" t="s">
        <v>3691</v>
      </c>
      <c r="D1124" s="4681"/>
      <c r="E1124" s="4681"/>
      <c r="F1124" s="4681"/>
      <c r="G1124" s="4681"/>
      <c r="H1124" s="4681"/>
      <c r="I1124" s="4681"/>
      <c r="J1124" s="4681"/>
      <c r="K1124" s="4681"/>
      <c r="L1124" s="4681"/>
      <c r="M1124" s="4681"/>
      <c r="N1124" s="4681"/>
      <c r="O1124" s="4681"/>
      <c r="P1124" s="4681"/>
      <c r="Q1124" s="4682"/>
      <c r="R1124"/>
      <c r="S1124" s="1684"/>
      <c r="T1124" s="1684"/>
      <c r="U1124" s="1684"/>
      <c r="V1124" s="1684"/>
      <c r="W1124" s="1684"/>
      <c r="X1124" s="1684"/>
      <c r="Y1124" s="1684"/>
      <c r="Z1124" s="1684"/>
      <c r="AA1124" s="1684"/>
      <c r="AB1124" s="1684"/>
      <c r="AC1124" s="1684"/>
      <c r="AD1124" s="1684"/>
      <c r="AE1124" s="1684"/>
      <c r="AF1124" s="1684"/>
      <c r="AG1124" s="1684"/>
      <c r="AH1124" s="1684"/>
      <c r="AI1124" s="1684"/>
      <c r="AJ1124" s="1684"/>
      <c r="AK1124" s="1684"/>
      <c r="AL1124" s="1684"/>
      <c r="AM1124" s="1684"/>
      <c r="AN1124" s="1684"/>
      <c r="AO1124" s="1684"/>
      <c r="AP1124" s="1684"/>
      <c r="AQ1124" s="1684"/>
      <c r="AR1124" s="1684"/>
      <c r="AS1124" s="1684"/>
      <c r="AT1124" s="1684"/>
      <c r="AU1124" s="1684"/>
      <c r="AV1124" s="1684"/>
      <c r="AW1124" s="1684"/>
      <c r="AX1124" s="1684"/>
      <c r="AY1124" s="1684"/>
      <c r="AZ1124" s="1684"/>
      <c r="BA1124" s="1684"/>
      <c r="BB1124" s="1684"/>
      <c r="BC1124" s="1684"/>
      <c r="BD1124" s="1684"/>
      <c r="BE1124" s="1684"/>
      <c r="BF1124" s="1684"/>
      <c r="BG1124" s="1684"/>
      <c r="BH1124" s="1684"/>
      <c r="BI1124" s="1684"/>
      <c r="BJ1124" s="1684"/>
      <c r="BK1124" s="1684"/>
      <c r="BL1124" s="1684"/>
      <c r="BM1124" s="1684"/>
      <c r="BN1124" s="1684"/>
      <c r="BO1124" s="1684"/>
      <c r="BP1124" s="1684"/>
      <c r="BQ1124" s="1684"/>
      <c r="BR1124" s="1684"/>
      <c r="BS1124" s="1684"/>
      <c r="BT1124" s="1684"/>
      <c r="BU1124" s="1684"/>
      <c r="BV1124" s="1684"/>
      <c r="BW1124" s="1684"/>
      <c r="BX1124" s="1684"/>
      <c r="BY1124" s="1684"/>
      <c r="BZ1124" s="1684"/>
      <c r="CA1124" s="1684"/>
      <c r="CB1124" s="1684"/>
      <c r="CC1124" s="1684"/>
      <c r="CD1124" s="1684"/>
      <c r="CE1124" s="1684"/>
      <c r="CF1124" s="1684"/>
      <c r="CG1124" s="1684"/>
      <c r="CH1124" s="1684"/>
      <c r="CI1124" s="1684"/>
      <c r="CJ1124" s="1684"/>
      <c r="CK1124" s="1684"/>
      <c r="CL1124" s="1684"/>
      <c r="CM1124" s="1684"/>
      <c r="CN1124" s="1684"/>
      <c r="CO1124" s="1684"/>
    </row>
    <row r="1125" spans="1:93" s="1391" customFormat="1" ht="15" x14ac:dyDescent="0.2">
      <c r="A1125" s="1684"/>
      <c r="B1125" s="1684"/>
      <c r="C1125" s="4680"/>
      <c r="D1125" s="4681"/>
      <c r="E1125" s="4681"/>
      <c r="F1125" s="4681"/>
      <c r="G1125" s="4681"/>
      <c r="H1125" s="4681"/>
      <c r="I1125" s="4681"/>
      <c r="J1125" s="4681"/>
      <c r="K1125" s="4681"/>
      <c r="L1125" s="4681"/>
      <c r="M1125" s="4681"/>
      <c r="N1125" s="4681"/>
      <c r="O1125" s="4681"/>
      <c r="P1125" s="4681"/>
      <c r="Q1125" s="4682"/>
      <c r="R1125"/>
      <c r="S1125" s="1684"/>
      <c r="T1125" s="1684"/>
      <c r="U1125" s="1684"/>
      <c r="V1125" s="1684"/>
      <c r="W1125" s="1684"/>
      <c r="X1125" s="1684"/>
      <c r="Y1125" s="1684"/>
      <c r="Z1125" s="1684"/>
      <c r="AA1125" s="1684"/>
      <c r="AB1125" s="1684"/>
      <c r="AC1125" s="1684"/>
      <c r="AD1125" s="1684"/>
      <c r="AE1125" s="1684"/>
      <c r="AF1125" s="1684"/>
      <c r="AG1125" s="1684"/>
      <c r="AH1125" s="1684"/>
      <c r="AI1125" s="1684"/>
      <c r="AJ1125" s="1684"/>
      <c r="AK1125" s="1684"/>
      <c r="AL1125" s="1684"/>
      <c r="AM1125" s="1684"/>
      <c r="AN1125" s="1684"/>
      <c r="AO1125" s="1684"/>
      <c r="AP1125" s="1684"/>
      <c r="AQ1125" s="1684"/>
      <c r="AR1125" s="1684"/>
      <c r="AS1125" s="1684"/>
      <c r="AT1125" s="1684"/>
      <c r="AU1125" s="1684"/>
      <c r="AV1125" s="1684"/>
      <c r="AW1125" s="1684"/>
      <c r="AX1125" s="1684"/>
      <c r="AY1125" s="1684"/>
      <c r="AZ1125" s="1684"/>
      <c r="BA1125" s="1684"/>
      <c r="BB1125" s="1684"/>
      <c r="BC1125" s="1684"/>
      <c r="BD1125" s="1684"/>
      <c r="BE1125" s="1684"/>
      <c r="BF1125" s="1684"/>
      <c r="BG1125" s="1684"/>
      <c r="BH1125" s="1684"/>
      <c r="BI1125" s="1684"/>
      <c r="BJ1125" s="1684"/>
      <c r="BK1125" s="1684"/>
      <c r="BL1125" s="1684"/>
      <c r="BM1125" s="1684"/>
      <c r="BN1125" s="1684"/>
      <c r="BO1125" s="1684"/>
      <c r="BP1125" s="1684"/>
      <c r="BQ1125" s="1684"/>
      <c r="BR1125" s="1684"/>
      <c r="BS1125" s="1684"/>
      <c r="BT1125" s="1684"/>
      <c r="BU1125" s="1684"/>
      <c r="BV1125" s="1684"/>
      <c r="BW1125" s="1684"/>
      <c r="BX1125" s="1684"/>
      <c r="BY1125" s="1684"/>
      <c r="BZ1125" s="1684"/>
      <c r="CA1125" s="1684"/>
      <c r="CB1125" s="1684"/>
      <c r="CC1125" s="1684"/>
      <c r="CD1125" s="1684"/>
      <c r="CE1125" s="1684"/>
      <c r="CF1125" s="1684"/>
      <c r="CG1125" s="1684"/>
      <c r="CH1125" s="1684"/>
      <c r="CI1125" s="1684"/>
      <c r="CJ1125" s="1684"/>
      <c r="CK1125" s="1684"/>
      <c r="CL1125" s="1684"/>
      <c r="CM1125" s="1684"/>
      <c r="CN1125" s="1684"/>
      <c r="CO1125" s="1684"/>
    </row>
    <row r="1126" spans="1:93" s="1391" customFormat="1" ht="15" x14ac:dyDescent="0.2">
      <c r="A1126" s="1684"/>
      <c r="B1126" s="1684"/>
      <c r="C1126" s="2014"/>
      <c r="D1126" s="2015"/>
      <c r="E1126" s="2015">
        <v>1</v>
      </c>
      <c r="F1126" s="2015">
        <v>2</v>
      </c>
      <c r="G1126" s="2015">
        <v>3</v>
      </c>
      <c r="H1126" s="2015">
        <v>4</v>
      </c>
      <c r="I1126" s="2015">
        <v>5</v>
      </c>
      <c r="J1126" s="2015">
        <v>6</v>
      </c>
      <c r="K1126" s="2015">
        <v>7</v>
      </c>
      <c r="L1126" s="2015">
        <v>8</v>
      </c>
      <c r="M1126" s="2015">
        <v>9</v>
      </c>
      <c r="N1126" s="2015">
        <v>10</v>
      </c>
      <c r="O1126" s="2015">
        <v>11</v>
      </c>
      <c r="P1126" s="2015">
        <v>12</v>
      </c>
      <c r="Q1126" s="2016"/>
      <c r="R1126"/>
      <c r="S1126" s="1684"/>
      <c r="T1126" s="1684"/>
      <c r="U1126" s="1684"/>
      <c r="V1126" s="1684"/>
      <c r="W1126" s="1684"/>
      <c r="X1126" s="1684"/>
      <c r="Y1126" s="1684"/>
      <c r="Z1126" s="1684"/>
      <c r="AA1126" s="1684"/>
      <c r="AB1126" s="1684"/>
      <c r="AC1126" s="1684"/>
      <c r="AD1126" s="1684"/>
      <c r="AE1126" s="1684"/>
      <c r="AF1126" s="1684"/>
      <c r="AG1126" s="1684"/>
      <c r="AH1126" s="1684"/>
      <c r="AI1126" s="1684"/>
      <c r="AJ1126" s="1684"/>
      <c r="AK1126" s="1684"/>
      <c r="AL1126" s="1684"/>
      <c r="AM1126" s="1684"/>
      <c r="AN1126" s="1684"/>
      <c r="AO1126" s="1684"/>
      <c r="AP1126" s="1684"/>
      <c r="AQ1126" s="1684"/>
      <c r="AR1126" s="1684"/>
      <c r="AS1126" s="1684"/>
      <c r="AT1126" s="1684"/>
      <c r="AU1126" s="1684"/>
      <c r="AV1126" s="1684"/>
      <c r="AW1126" s="1684"/>
      <c r="AX1126" s="1684"/>
      <c r="AY1126" s="1684"/>
      <c r="AZ1126" s="1684"/>
      <c r="BA1126" s="1684"/>
      <c r="BB1126" s="1684"/>
      <c r="BC1126" s="1684"/>
      <c r="BD1126" s="1684"/>
      <c r="BE1126" s="1684"/>
      <c r="BF1126" s="1684"/>
      <c r="BG1126" s="1684"/>
      <c r="BH1126" s="1684"/>
      <c r="BI1126" s="1684"/>
      <c r="BJ1126" s="1684"/>
      <c r="BK1126" s="1684"/>
      <c r="BL1126" s="1684"/>
      <c r="BM1126" s="1684"/>
      <c r="BN1126" s="1684"/>
      <c r="BO1126" s="1684"/>
      <c r="BP1126" s="1684"/>
      <c r="BQ1126" s="1684"/>
      <c r="BR1126" s="1684"/>
      <c r="BS1126" s="1684"/>
      <c r="BT1126" s="1684"/>
      <c r="BU1126" s="1684"/>
      <c r="BV1126" s="1684"/>
      <c r="BW1126" s="1684"/>
      <c r="BX1126" s="1684"/>
      <c r="BY1126" s="1684"/>
      <c r="BZ1126" s="1684"/>
      <c r="CA1126" s="1684"/>
      <c r="CB1126" s="1684"/>
      <c r="CC1126" s="1684"/>
      <c r="CD1126" s="1684"/>
      <c r="CE1126" s="1684"/>
      <c r="CF1126" s="1684"/>
      <c r="CG1126" s="1684"/>
      <c r="CH1126" s="1684"/>
      <c r="CI1126" s="1684"/>
      <c r="CJ1126" s="1684"/>
      <c r="CK1126" s="1684"/>
      <c r="CL1126" s="1684"/>
      <c r="CM1126" s="1684"/>
      <c r="CN1126" s="1684"/>
      <c r="CO1126" s="1684"/>
    </row>
    <row r="1127" spans="1:93" s="1391" customFormat="1" ht="15" x14ac:dyDescent="0.2">
      <c r="A1127" s="1684"/>
      <c r="B1127" s="1684"/>
      <c r="C1127" s="2013">
        <v>8</v>
      </c>
      <c r="D1127" s="5">
        <v>5.1239999999999997</v>
      </c>
      <c r="E1127" s="5">
        <v>128</v>
      </c>
      <c r="F1127" s="5">
        <v>141</v>
      </c>
      <c r="G1127" s="5">
        <v>154</v>
      </c>
      <c r="H1127" s="5">
        <v>167</v>
      </c>
      <c r="I1127" s="5">
        <v>179</v>
      </c>
      <c r="J1127" s="5">
        <v>192</v>
      </c>
      <c r="K1127" s="5">
        <v>204</v>
      </c>
      <c r="L1127" s="5">
        <v>217</v>
      </c>
      <c r="M1127" s="5">
        <v>228</v>
      </c>
      <c r="N1127" s="5">
        <v>240</v>
      </c>
      <c r="O1127" s="5">
        <v>252</v>
      </c>
      <c r="P1127" s="5">
        <v>264</v>
      </c>
      <c r="Q1127" s="1160">
        <v>56</v>
      </c>
      <c r="R1127"/>
      <c r="S1127" s="1684"/>
      <c r="T1127" s="1684"/>
      <c r="U1127" s="1684"/>
      <c r="V1127" s="1684"/>
      <c r="W1127" s="1684"/>
      <c r="X1127" s="1684"/>
      <c r="Y1127" s="1684"/>
      <c r="Z1127" s="1684"/>
      <c r="AA1127" s="1684"/>
      <c r="AB1127" s="1684"/>
      <c r="AC1127" s="1684"/>
      <c r="AD1127" s="1684"/>
      <c r="AE1127" s="1684"/>
      <c r="AF1127" s="1684"/>
      <c r="AG1127" s="1684"/>
      <c r="AH1127" s="1684"/>
      <c r="AI1127" s="1684"/>
      <c r="AJ1127" s="1684"/>
      <c r="AK1127" s="1684"/>
      <c r="AL1127" s="1684"/>
      <c r="AM1127" s="1684"/>
      <c r="AN1127" s="1684"/>
      <c r="AO1127" s="1684"/>
      <c r="AP1127" s="1684"/>
      <c r="AQ1127" s="1684"/>
      <c r="AR1127" s="1684"/>
      <c r="AS1127" s="1684"/>
      <c r="AT1127" s="1684"/>
      <c r="AU1127" s="1684"/>
      <c r="AV1127" s="1684"/>
      <c r="AW1127" s="1684"/>
      <c r="AX1127" s="1684"/>
      <c r="AY1127" s="1684"/>
      <c r="AZ1127" s="1684"/>
      <c r="BA1127" s="1684"/>
      <c r="BB1127" s="1684"/>
      <c r="BC1127" s="1684"/>
      <c r="BD1127" s="1684"/>
      <c r="BE1127" s="1684"/>
      <c r="BF1127" s="1684"/>
      <c r="BG1127" s="1684"/>
      <c r="BH1127" s="1684"/>
      <c r="BI1127" s="1684"/>
      <c r="BJ1127" s="1684"/>
      <c r="BK1127" s="1684"/>
      <c r="BL1127" s="1684"/>
      <c r="BM1127" s="1684"/>
      <c r="BN1127" s="1684"/>
      <c r="BO1127" s="1684"/>
      <c r="BP1127" s="1684"/>
      <c r="BQ1127" s="1684"/>
      <c r="BR1127" s="1684"/>
      <c r="BS1127" s="1684"/>
      <c r="BT1127" s="1684"/>
      <c r="BU1127" s="1684"/>
      <c r="BV1127" s="1684"/>
      <c r="BW1127" s="1684"/>
      <c r="BX1127" s="1684"/>
      <c r="BY1127" s="1684"/>
      <c r="BZ1127" s="1684"/>
      <c r="CA1127" s="1684"/>
      <c r="CB1127" s="1684"/>
      <c r="CC1127" s="1684"/>
      <c r="CD1127" s="1684"/>
      <c r="CE1127" s="1684"/>
      <c r="CF1127" s="1684"/>
      <c r="CG1127" s="1684"/>
      <c r="CH1127" s="1684"/>
      <c r="CI1127" s="1684"/>
      <c r="CJ1127" s="1684"/>
      <c r="CK1127" s="1684"/>
      <c r="CL1127" s="1684"/>
      <c r="CM1127" s="1684"/>
      <c r="CN1127" s="1684"/>
      <c r="CO1127" s="1684"/>
    </row>
    <row r="1128" spans="1:93" s="1391" customFormat="1" ht="15" x14ac:dyDescent="0.2">
      <c r="A1128" s="1684"/>
      <c r="B1128" s="1684"/>
      <c r="C1128" s="2013">
        <v>9</v>
      </c>
      <c r="D1128" s="5">
        <v>5.4130000000000003</v>
      </c>
      <c r="E1128" s="5">
        <v>140</v>
      </c>
      <c r="F1128" s="5">
        <v>154</v>
      </c>
      <c r="G1128" s="5">
        <v>168</v>
      </c>
      <c r="H1128" s="5">
        <v>182</v>
      </c>
      <c r="I1128" s="5">
        <v>196</v>
      </c>
      <c r="J1128" s="5">
        <v>209</v>
      </c>
      <c r="K1128" s="5">
        <v>223</v>
      </c>
      <c r="L1128" s="5">
        <v>236</v>
      </c>
      <c r="M1128" s="5">
        <v>249</v>
      </c>
      <c r="N1128" s="5">
        <v>262</v>
      </c>
      <c r="O1128" s="5">
        <v>275</v>
      </c>
      <c r="P1128" s="5">
        <v>288</v>
      </c>
      <c r="Q1128" s="1160">
        <v>57</v>
      </c>
      <c r="R1128"/>
      <c r="S1128" s="1684"/>
      <c r="T1128" s="1684"/>
      <c r="U1128" s="1684"/>
      <c r="V1128" s="1684"/>
      <c r="W1128" s="1684"/>
      <c r="X1128" s="1684"/>
      <c r="Y1128" s="1684"/>
      <c r="Z1128" s="1684"/>
      <c r="AA1128" s="1684"/>
      <c r="AB1128" s="1684"/>
      <c r="AC1128" s="1684"/>
      <c r="AD1128" s="1684"/>
      <c r="AE1128" s="1684"/>
      <c r="AF1128" s="1684"/>
      <c r="AG1128" s="1684"/>
      <c r="AH1128" s="1684"/>
      <c r="AI1128" s="1684"/>
      <c r="AJ1128" s="1684"/>
      <c r="AK1128" s="1684"/>
      <c r="AL1128" s="1684"/>
      <c r="AM1128" s="1684"/>
      <c r="AN1128" s="1684"/>
      <c r="AO1128" s="1684"/>
      <c r="AP1128" s="1684"/>
      <c r="AQ1128" s="1684"/>
      <c r="AR1128" s="1684"/>
      <c r="AS1128" s="1684"/>
      <c r="AT1128" s="1684"/>
      <c r="AU1128" s="1684"/>
      <c r="AV1128" s="1684"/>
      <c r="AW1128" s="1684"/>
      <c r="AX1128" s="1684"/>
      <c r="AY1128" s="1684"/>
      <c r="AZ1128" s="1684"/>
      <c r="BA1128" s="1684"/>
      <c r="BB1128" s="1684"/>
      <c r="BC1128" s="1684"/>
      <c r="BD1128" s="1684"/>
      <c r="BE1128" s="1684"/>
      <c r="BF1128" s="1684"/>
      <c r="BG1128" s="1684"/>
      <c r="BH1128" s="1684"/>
      <c r="BI1128" s="1684"/>
      <c r="BJ1128" s="1684"/>
      <c r="BK1128" s="1684"/>
      <c r="BL1128" s="1684"/>
      <c r="BM1128" s="1684"/>
      <c r="BN1128" s="1684"/>
      <c r="BO1128" s="1684"/>
      <c r="BP1128" s="1684"/>
      <c r="BQ1128" s="1684"/>
      <c r="BR1128" s="1684"/>
      <c r="BS1128" s="1684"/>
      <c r="BT1128" s="1684"/>
      <c r="BU1128" s="1684"/>
      <c r="BV1128" s="1684"/>
      <c r="BW1128" s="1684"/>
      <c r="BX1128" s="1684"/>
      <c r="BY1128" s="1684"/>
      <c r="BZ1128" s="1684"/>
      <c r="CA1128" s="1684"/>
      <c r="CB1128" s="1684"/>
      <c r="CC1128" s="1684"/>
      <c r="CD1128" s="1684"/>
      <c r="CE1128" s="1684"/>
      <c r="CF1128" s="1684"/>
      <c r="CG1128" s="1684"/>
      <c r="CH1128" s="1684"/>
      <c r="CI1128" s="1684"/>
      <c r="CJ1128" s="1684"/>
      <c r="CK1128" s="1684"/>
      <c r="CL1128" s="1684"/>
      <c r="CM1128" s="1684"/>
      <c r="CN1128" s="1684"/>
      <c r="CO1128" s="1684"/>
    </row>
    <row r="1129" spans="1:93" s="1391" customFormat="1" ht="15" x14ac:dyDescent="0.2">
      <c r="A1129" s="1684"/>
      <c r="B1129" s="1684"/>
      <c r="C1129" s="2013">
        <v>10</v>
      </c>
      <c r="D1129" s="5">
        <v>5.7140000000000004</v>
      </c>
      <c r="E1129" s="5">
        <v>152</v>
      </c>
      <c r="F1129" s="5">
        <v>168</v>
      </c>
      <c r="G1129" s="5">
        <v>183</v>
      </c>
      <c r="H1129" s="5">
        <v>198</v>
      </c>
      <c r="I1129" s="5">
        <v>212</v>
      </c>
      <c r="J1129" s="5">
        <v>227</v>
      </c>
      <c r="K1129" s="5">
        <v>242</v>
      </c>
      <c r="L1129" s="5">
        <v>257</v>
      </c>
      <c r="M1129" s="5">
        <v>270</v>
      </c>
      <c r="N1129" s="5">
        <v>284</v>
      </c>
      <c r="O1129" s="5">
        <v>298</v>
      </c>
      <c r="P1129" s="5">
        <v>312</v>
      </c>
      <c r="Q1129" s="1160">
        <v>58</v>
      </c>
      <c r="R1129"/>
      <c r="S1129" s="1684"/>
      <c r="T1129" s="1684"/>
      <c r="U1129" s="1684"/>
      <c r="V1129" s="1684"/>
      <c r="W1129" s="1684"/>
      <c r="X1129" s="1684"/>
      <c r="Y1129" s="1684"/>
      <c r="Z1129" s="1684"/>
      <c r="AA1129" s="1684"/>
      <c r="AB1129" s="1684"/>
      <c r="AC1129" s="1684"/>
      <c r="AD1129" s="1684"/>
      <c r="AE1129" s="1684"/>
      <c r="AF1129" s="1684"/>
      <c r="AG1129" s="1684"/>
      <c r="AH1129" s="1684"/>
      <c r="AI1129" s="1684"/>
      <c r="AJ1129" s="1684"/>
      <c r="AK1129" s="1684"/>
      <c r="AL1129" s="1684"/>
      <c r="AM1129" s="1684"/>
      <c r="AN1129" s="1684"/>
      <c r="AO1129" s="1684"/>
      <c r="AP1129" s="1684"/>
      <c r="AQ1129" s="1684"/>
      <c r="AR1129" s="1684"/>
      <c r="AS1129" s="1684"/>
      <c r="AT1129" s="1684"/>
      <c r="AU1129" s="1684"/>
      <c r="AV1129" s="1684"/>
      <c r="AW1129" s="1684"/>
      <c r="AX1129" s="1684"/>
      <c r="AY1129" s="1684"/>
      <c r="AZ1129" s="1684"/>
      <c r="BA1129" s="1684"/>
      <c r="BB1129" s="1684"/>
      <c r="BC1129" s="1684"/>
      <c r="BD1129" s="1684"/>
      <c r="BE1129" s="1684"/>
      <c r="BF1129" s="1684"/>
      <c r="BG1129" s="1684"/>
      <c r="BH1129" s="1684"/>
      <c r="BI1129" s="1684"/>
      <c r="BJ1129" s="1684"/>
      <c r="BK1129" s="1684"/>
      <c r="BL1129" s="1684"/>
      <c r="BM1129" s="1684"/>
      <c r="BN1129" s="1684"/>
      <c r="BO1129" s="1684"/>
      <c r="BP1129" s="1684"/>
      <c r="BQ1129" s="1684"/>
      <c r="BR1129" s="1684"/>
      <c r="BS1129" s="1684"/>
      <c r="BT1129" s="1684"/>
      <c r="BU1129" s="1684"/>
      <c r="BV1129" s="1684"/>
      <c r="BW1129" s="1684"/>
      <c r="BX1129" s="1684"/>
      <c r="BY1129" s="1684"/>
      <c r="BZ1129" s="1684"/>
      <c r="CA1129" s="1684"/>
      <c r="CB1129" s="1684"/>
      <c r="CC1129" s="1684"/>
      <c r="CD1129" s="1684"/>
      <c r="CE1129" s="1684"/>
      <c r="CF1129" s="1684"/>
      <c r="CG1129" s="1684"/>
      <c r="CH1129" s="1684"/>
      <c r="CI1129" s="1684"/>
      <c r="CJ1129" s="1684"/>
      <c r="CK1129" s="1684"/>
      <c r="CL1129" s="1684"/>
      <c r="CM1129" s="1684"/>
      <c r="CN1129" s="1684"/>
      <c r="CO1129" s="1684"/>
    </row>
    <row r="1130" spans="1:93" s="1391" customFormat="1" ht="15" x14ac:dyDescent="0.2">
      <c r="A1130" s="1684"/>
      <c r="B1130" s="1684"/>
      <c r="C1130" s="2013">
        <v>11</v>
      </c>
      <c r="D1130" s="5">
        <v>6.048</v>
      </c>
      <c r="E1130" s="5">
        <v>163</v>
      </c>
      <c r="F1130" s="5">
        <v>183</v>
      </c>
      <c r="G1130" s="5">
        <v>199</v>
      </c>
      <c r="H1130" s="5">
        <v>215</v>
      </c>
      <c r="I1130" s="5">
        <v>231</v>
      </c>
      <c r="J1130" s="5">
        <v>247</v>
      </c>
      <c r="K1130" s="5">
        <v>262</v>
      </c>
      <c r="L1130" s="5">
        <v>278</v>
      </c>
      <c r="M1130" s="5">
        <v>293</v>
      </c>
      <c r="N1130" s="5">
        <v>308</v>
      </c>
      <c r="O1130" s="5">
        <v>323</v>
      </c>
      <c r="P1130" s="5">
        <v>338</v>
      </c>
      <c r="Q1130" s="1160">
        <v>59</v>
      </c>
      <c r="R1130"/>
      <c r="S1130" s="1684"/>
      <c r="T1130" s="1684"/>
      <c r="U1130" s="1684"/>
      <c r="V1130" s="1684"/>
      <c r="W1130" s="1684"/>
      <c r="X1130" s="1684"/>
      <c r="Y1130" s="1684"/>
      <c r="Z1130" s="1684"/>
      <c r="AA1130" s="1684"/>
      <c r="AB1130" s="1684"/>
      <c r="AC1130" s="1684"/>
      <c r="AD1130" s="1684"/>
      <c r="AE1130" s="1684"/>
      <c r="AF1130" s="1684"/>
      <c r="AG1130" s="1684"/>
      <c r="AH1130" s="1684"/>
      <c r="AI1130" s="1684"/>
      <c r="AJ1130" s="1684"/>
      <c r="AK1130" s="1684"/>
      <c r="AL1130" s="1684"/>
      <c r="AM1130" s="1684"/>
      <c r="AN1130" s="1684"/>
      <c r="AO1130" s="1684"/>
      <c r="AP1130" s="1684"/>
      <c r="AQ1130" s="1684"/>
      <c r="AR1130" s="1684"/>
      <c r="AS1130" s="1684"/>
      <c r="AT1130" s="1684"/>
      <c r="AU1130" s="1684"/>
      <c r="AV1130" s="1684"/>
      <c r="AW1130" s="1684"/>
      <c r="AX1130" s="1684"/>
      <c r="AY1130" s="1684"/>
      <c r="AZ1130" s="1684"/>
      <c r="BA1130" s="1684"/>
      <c r="BB1130" s="1684"/>
      <c r="BC1130" s="1684"/>
      <c r="BD1130" s="1684"/>
      <c r="BE1130" s="1684"/>
      <c r="BF1130" s="1684"/>
      <c r="BG1130" s="1684"/>
      <c r="BH1130" s="1684"/>
      <c r="BI1130" s="1684"/>
      <c r="BJ1130" s="1684"/>
      <c r="BK1130" s="1684"/>
      <c r="BL1130" s="1684"/>
      <c r="BM1130" s="1684"/>
      <c r="BN1130" s="1684"/>
      <c r="BO1130" s="1684"/>
      <c r="BP1130" s="1684"/>
      <c r="BQ1130" s="1684"/>
      <c r="BR1130" s="1684"/>
      <c r="BS1130" s="1684"/>
      <c r="BT1130" s="1684"/>
      <c r="BU1130" s="1684"/>
      <c r="BV1130" s="1684"/>
      <c r="BW1130" s="1684"/>
      <c r="BX1130" s="1684"/>
      <c r="BY1130" s="1684"/>
      <c r="BZ1130" s="1684"/>
      <c r="CA1130" s="1684"/>
      <c r="CB1130" s="1684"/>
      <c r="CC1130" s="1684"/>
      <c r="CD1130" s="1684"/>
      <c r="CE1130" s="1684"/>
      <c r="CF1130" s="1684"/>
      <c r="CG1130" s="1684"/>
      <c r="CH1130" s="1684"/>
      <c r="CI1130" s="1684"/>
      <c r="CJ1130" s="1684"/>
      <c r="CK1130" s="1684"/>
      <c r="CL1130" s="1684"/>
      <c r="CM1130" s="1684"/>
      <c r="CN1130" s="1684"/>
      <c r="CO1130" s="1684"/>
    </row>
    <row r="1131" spans="1:93" s="1391" customFormat="1" ht="15" x14ac:dyDescent="0.2">
      <c r="A1131" s="1684"/>
      <c r="B1131" s="1684"/>
      <c r="C1131" s="2013">
        <v>12</v>
      </c>
      <c r="D1131" s="5">
        <v>6.39</v>
      </c>
      <c r="E1131" s="5">
        <v>179</v>
      </c>
      <c r="F1131" s="5">
        <v>198</v>
      </c>
      <c r="G1131" s="5">
        <v>215</v>
      </c>
      <c r="H1131" s="5">
        <v>232</v>
      </c>
      <c r="I1131" s="5">
        <v>249</v>
      </c>
      <c r="J1131" s="5">
        <v>266</v>
      </c>
      <c r="K1131" s="5">
        <v>283</v>
      </c>
      <c r="L1131" s="5">
        <v>301</v>
      </c>
      <c r="M1131" s="5">
        <v>316</v>
      </c>
      <c r="N1131" s="5">
        <v>332</v>
      </c>
      <c r="O1131" s="5">
        <v>348</v>
      </c>
      <c r="P1131" s="5">
        <v>364</v>
      </c>
      <c r="Q1131" s="1160">
        <v>60</v>
      </c>
      <c r="R1131"/>
      <c r="S1131" s="1684"/>
      <c r="T1131" s="1684"/>
      <c r="U1131" s="1684"/>
      <c r="V1131" s="1684"/>
      <c r="W1131" s="1684"/>
      <c r="X1131" s="1684"/>
      <c r="Y1131" s="1684"/>
      <c r="Z1131" s="1684"/>
      <c r="AA1131" s="1684"/>
      <c r="AB1131" s="1684"/>
      <c r="AC1131" s="1684"/>
      <c r="AD1131" s="1684"/>
      <c r="AE1131" s="1684"/>
      <c r="AF1131" s="1684"/>
      <c r="AG1131" s="1684"/>
      <c r="AH1131" s="1684"/>
      <c r="AI1131" s="1684"/>
      <c r="AJ1131" s="1684"/>
      <c r="AK1131" s="1684"/>
      <c r="AL1131" s="1684"/>
      <c r="AM1131" s="1684"/>
      <c r="AN1131" s="1684"/>
      <c r="AO1131" s="1684"/>
      <c r="AP1131" s="1684"/>
      <c r="AQ1131" s="1684"/>
      <c r="AR1131" s="1684"/>
      <c r="AS1131" s="1684"/>
      <c r="AT1131" s="1684"/>
      <c r="AU1131" s="1684"/>
      <c r="AV1131" s="1684"/>
      <c r="AW1131" s="1684"/>
      <c r="AX1131" s="1684"/>
      <c r="AY1131" s="1684"/>
      <c r="AZ1131" s="1684"/>
      <c r="BA1131" s="1684"/>
      <c r="BB1131" s="1684"/>
      <c r="BC1131" s="1684"/>
      <c r="BD1131" s="1684"/>
      <c r="BE1131" s="1684"/>
      <c r="BF1131" s="1684"/>
      <c r="BG1131" s="1684"/>
      <c r="BH1131" s="1684"/>
      <c r="BI1131" s="1684"/>
      <c r="BJ1131" s="1684"/>
      <c r="BK1131" s="1684"/>
      <c r="BL1131" s="1684"/>
      <c r="BM1131" s="1684"/>
      <c r="BN1131" s="1684"/>
      <c r="BO1131" s="1684"/>
      <c r="BP1131" s="1684"/>
      <c r="BQ1131" s="1684"/>
      <c r="BR1131" s="1684"/>
      <c r="BS1131" s="1684"/>
      <c r="BT1131" s="1684"/>
      <c r="BU1131" s="1684"/>
      <c r="BV1131" s="1684"/>
      <c r="BW1131" s="1684"/>
      <c r="BX1131" s="1684"/>
      <c r="BY1131" s="1684"/>
      <c r="BZ1131" s="1684"/>
      <c r="CA1131" s="1684"/>
      <c r="CB1131" s="1684"/>
      <c r="CC1131" s="1684"/>
      <c r="CD1131" s="1684"/>
      <c r="CE1131" s="1684"/>
      <c r="CF1131" s="1684"/>
      <c r="CG1131" s="1684"/>
      <c r="CH1131" s="1684"/>
      <c r="CI1131" s="1684"/>
      <c r="CJ1131" s="1684"/>
      <c r="CK1131" s="1684"/>
      <c r="CL1131" s="1684"/>
      <c r="CM1131" s="1684"/>
      <c r="CN1131" s="1684"/>
      <c r="CO1131" s="1684"/>
    </row>
    <row r="1132" spans="1:93" s="1391" customFormat="1" ht="15" x14ac:dyDescent="0.2">
      <c r="A1132" s="1684"/>
      <c r="B1132" s="1684"/>
      <c r="C1132" s="2013">
        <v>13</v>
      </c>
      <c r="D1132" s="5">
        <v>6.74</v>
      </c>
      <c r="E1132" s="5">
        <v>192</v>
      </c>
      <c r="F1132" s="5">
        <v>212</v>
      </c>
      <c r="G1132" s="5">
        <v>231</v>
      </c>
      <c r="H1132" s="5">
        <v>250</v>
      </c>
      <c r="I1132" s="5">
        <v>268</v>
      </c>
      <c r="J1132" s="5">
        <v>286</v>
      </c>
      <c r="K1132" s="5">
        <v>304</v>
      </c>
      <c r="L1132" s="5">
        <v>322</v>
      </c>
      <c r="M1132" s="5">
        <v>339</v>
      </c>
      <c r="N1132" s="5">
        <v>356</v>
      </c>
      <c r="O1132" s="5">
        <v>373</v>
      </c>
      <c r="P1132" s="5">
        <v>390</v>
      </c>
      <c r="Q1132" s="1160">
        <v>61</v>
      </c>
      <c r="R1132"/>
      <c r="S1132" s="1684"/>
      <c r="T1132" s="1684"/>
      <c r="U1132" s="1684"/>
      <c r="V1132" s="1684"/>
      <c r="W1132" s="1684"/>
      <c r="X1132" s="1684"/>
      <c r="Y1132" s="1684"/>
      <c r="Z1132" s="1684"/>
      <c r="AA1132" s="1684"/>
      <c r="AB1132" s="1684"/>
      <c r="AC1132" s="1684"/>
      <c r="AD1132" s="1684"/>
      <c r="AE1132" s="1684"/>
      <c r="AF1132" s="1684"/>
      <c r="AG1132" s="1684"/>
      <c r="AH1132" s="1684"/>
      <c r="AI1132" s="1684"/>
      <c r="AJ1132" s="1684"/>
      <c r="AK1132" s="1684"/>
      <c r="AL1132" s="1684"/>
      <c r="AM1132" s="1684"/>
      <c r="AN1132" s="1684"/>
      <c r="AO1132" s="1684"/>
      <c r="AP1132" s="1684"/>
      <c r="AQ1132" s="1684"/>
      <c r="AR1132" s="1684"/>
      <c r="AS1132" s="1684"/>
      <c r="AT1132" s="1684"/>
      <c r="AU1132" s="1684"/>
      <c r="AV1132" s="1684"/>
      <c r="AW1132" s="1684"/>
      <c r="AX1132" s="1684"/>
      <c r="AY1132" s="1684"/>
      <c r="AZ1132" s="1684"/>
      <c r="BA1132" s="1684"/>
      <c r="BB1132" s="1684"/>
      <c r="BC1132" s="1684"/>
      <c r="BD1132" s="1684"/>
      <c r="BE1132" s="1684"/>
      <c r="BF1132" s="1684"/>
      <c r="BG1132" s="1684"/>
      <c r="BH1132" s="1684"/>
      <c r="BI1132" s="1684"/>
      <c r="BJ1132" s="1684"/>
      <c r="BK1132" s="1684"/>
      <c r="BL1132" s="1684"/>
      <c r="BM1132" s="1684"/>
      <c r="BN1132" s="1684"/>
      <c r="BO1132" s="1684"/>
      <c r="BP1132" s="1684"/>
      <c r="BQ1132" s="1684"/>
      <c r="BR1132" s="1684"/>
      <c r="BS1132" s="1684"/>
      <c r="BT1132" s="1684"/>
      <c r="BU1132" s="1684"/>
      <c r="BV1132" s="1684"/>
      <c r="BW1132" s="1684"/>
      <c r="BX1132" s="1684"/>
      <c r="BY1132" s="1684"/>
      <c r="BZ1132" s="1684"/>
      <c r="CA1132" s="1684"/>
      <c r="CB1132" s="1684"/>
      <c r="CC1132" s="1684"/>
      <c r="CD1132" s="1684"/>
      <c r="CE1132" s="1684"/>
      <c r="CF1132" s="1684"/>
      <c r="CG1132" s="1684"/>
      <c r="CH1132" s="1684"/>
      <c r="CI1132" s="1684"/>
      <c r="CJ1132" s="1684"/>
      <c r="CK1132" s="1684"/>
      <c r="CL1132" s="1684"/>
      <c r="CM1132" s="1684"/>
      <c r="CN1132" s="1684"/>
      <c r="CO1132" s="1684"/>
    </row>
    <row r="1133" spans="1:93" s="1391" customFormat="1" ht="15" x14ac:dyDescent="0.2">
      <c r="A1133" s="1684"/>
      <c r="B1133" s="1684"/>
      <c r="C1133" s="2013">
        <v>14</v>
      </c>
      <c r="D1133" s="5">
        <v>7.101</v>
      </c>
      <c r="E1133" s="5">
        <v>206</v>
      </c>
      <c r="F1133" s="5">
        <v>223</v>
      </c>
      <c r="G1133" s="5">
        <v>248</v>
      </c>
      <c r="H1133" s="5">
        <v>267</v>
      </c>
      <c r="I1133" s="5">
        <v>287</v>
      </c>
      <c r="J1133" s="5">
        <v>306</v>
      </c>
      <c r="K1133" s="5">
        <v>325</v>
      </c>
      <c r="L1133" s="5">
        <v>345</v>
      </c>
      <c r="M1133" s="5">
        <v>362</v>
      </c>
      <c r="N1133" s="5">
        <v>381</v>
      </c>
      <c r="O1133" s="5">
        <v>399</v>
      </c>
      <c r="P1133" s="5">
        <v>416</v>
      </c>
      <c r="Q1133" s="1160">
        <v>62</v>
      </c>
      <c r="R1133"/>
      <c r="S1133" s="1684"/>
      <c r="T1133" s="1684"/>
      <c r="U1133" s="1684"/>
      <c r="V1133" s="1684"/>
      <c r="W1133" s="1684"/>
      <c r="X1133" s="1684"/>
      <c r="Y1133" s="1684"/>
      <c r="Z1133" s="1684"/>
      <c r="AA1133" s="1684"/>
      <c r="AB1133" s="1684"/>
      <c r="AC1133" s="1684"/>
      <c r="AD1133" s="1684"/>
      <c r="AE1133" s="1684"/>
      <c r="AF1133" s="1684"/>
      <c r="AG1133" s="1684"/>
      <c r="AH1133" s="1684"/>
      <c r="AI1133" s="1684"/>
      <c r="AJ1133" s="1684"/>
      <c r="AK1133" s="1684"/>
      <c r="AL1133" s="1684"/>
      <c r="AM1133" s="1684"/>
      <c r="AN1133" s="1684"/>
      <c r="AO1133" s="1684"/>
      <c r="AP1133" s="1684"/>
      <c r="AQ1133" s="1684"/>
      <c r="AR1133" s="1684"/>
      <c r="AS1133" s="1684"/>
      <c r="AT1133" s="1684"/>
      <c r="AU1133" s="1684"/>
      <c r="AV1133" s="1684"/>
      <c r="AW1133" s="1684"/>
      <c r="AX1133" s="1684"/>
      <c r="AY1133" s="1684"/>
      <c r="AZ1133" s="1684"/>
      <c r="BA1133" s="1684"/>
      <c r="BB1133" s="1684"/>
      <c r="BC1133" s="1684"/>
      <c r="BD1133" s="1684"/>
      <c r="BE1133" s="1684"/>
      <c r="BF1133" s="1684"/>
      <c r="BG1133" s="1684"/>
      <c r="BH1133" s="1684"/>
      <c r="BI1133" s="1684"/>
      <c r="BJ1133" s="1684"/>
      <c r="BK1133" s="1684"/>
      <c r="BL1133" s="1684"/>
      <c r="BM1133" s="1684"/>
      <c r="BN1133" s="1684"/>
      <c r="BO1133" s="1684"/>
      <c r="BP1133" s="1684"/>
      <c r="BQ1133" s="1684"/>
      <c r="BR1133" s="1684"/>
      <c r="BS1133" s="1684"/>
      <c r="BT1133" s="1684"/>
      <c r="BU1133" s="1684"/>
      <c r="BV1133" s="1684"/>
      <c r="BW1133" s="1684"/>
      <c r="BX1133" s="1684"/>
      <c r="BY1133" s="1684"/>
      <c r="BZ1133" s="1684"/>
      <c r="CA1133" s="1684"/>
      <c r="CB1133" s="1684"/>
      <c r="CC1133" s="1684"/>
      <c r="CD1133" s="1684"/>
      <c r="CE1133" s="1684"/>
      <c r="CF1133" s="1684"/>
      <c r="CG1133" s="1684"/>
      <c r="CH1133" s="1684"/>
      <c r="CI1133" s="1684"/>
      <c r="CJ1133" s="1684"/>
      <c r="CK1133" s="1684"/>
      <c r="CL1133" s="1684"/>
      <c r="CM1133" s="1684"/>
      <c r="CN1133" s="1684"/>
      <c r="CO1133" s="1684"/>
    </row>
    <row r="1134" spans="1:93" s="1391" customFormat="1" ht="15" x14ac:dyDescent="0.2">
      <c r="A1134" s="1684"/>
      <c r="B1134" s="1684"/>
      <c r="C1134" s="2013">
        <v>15</v>
      </c>
      <c r="D1134" s="5">
        <v>7.468</v>
      </c>
      <c r="E1134" s="5">
        <v>220</v>
      </c>
      <c r="F1134" s="5">
        <v>243</v>
      </c>
      <c r="G1134" s="5">
        <v>264</v>
      </c>
      <c r="H1134" s="5">
        <v>285</v>
      </c>
      <c r="I1134" s="5">
        <v>306</v>
      </c>
      <c r="J1134" s="5">
        <v>326</v>
      </c>
      <c r="K1134" s="5">
        <v>346</v>
      </c>
      <c r="L1134" s="5">
        <v>367</v>
      </c>
      <c r="M1134" s="5">
        <v>385</v>
      </c>
      <c r="N1134" s="5">
        <v>405</v>
      </c>
      <c r="O1134" s="5">
        <v>424</v>
      </c>
      <c r="P1134" s="5">
        <v>443</v>
      </c>
      <c r="Q1134" s="1160">
        <v>63</v>
      </c>
      <c r="R1134"/>
      <c r="S1134" s="1684"/>
      <c r="T1134" s="1684"/>
      <c r="U1134" s="1684"/>
      <c r="V1134" s="1684"/>
      <c r="W1134" s="1684"/>
      <c r="X1134" s="1684"/>
      <c r="Y1134" s="1684"/>
      <c r="Z1134" s="1684"/>
      <c r="AA1134" s="1684"/>
      <c r="AB1134" s="1684"/>
      <c r="AC1134" s="1684"/>
      <c r="AD1134" s="1684"/>
      <c r="AE1134" s="1684"/>
      <c r="AF1134" s="1684"/>
      <c r="AG1134" s="1684"/>
      <c r="AH1134" s="1684"/>
      <c r="AI1134" s="1684"/>
      <c r="AJ1134" s="1684"/>
      <c r="AK1134" s="1684"/>
      <c r="AL1134" s="1684"/>
      <c r="AM1134" s="1684"/>
      <c r="AN1134" s="1684"/>
      <c r="AO1134" s="1684"/>
      <c r="AP1134" s="1684"/>
      <c r="AQ1134" s="1684"/>
      <c r="AR1134" s="1684"/>
      <c r="AS1134" s="1684"/>
      <c r="AT1134" s="1684"/>
      <c r="AU1134" s="1684"/>
      <c r="AV1134" s="1684"/>
      <c r="AW1134" s="1684"/>
      <c r="AX1134" s="1684"/>
      <c r="AY1134" s="1684"/>
      <c r="AZ1134" s="1684"/>
      <c r="BA1134" s="1684"/>
      <c r="BB1134" s="1684"/>
      <c r="BC1134" s="1684"/>
      <c r="BD1134" s="1684"/>
      <c r="BE1134" s="1684"/>
      <c r="BF1134" s="1684"/>
      <c r="BG1134" s="1684"/>
      <c r="BH1134" s="1684"/>
      <c r="BI1134" s="1684"/>
      <c r="BJ1134" s="1684"/>
      <c r="BK1134" s="1684"/>
      <c r="BL1134" s="1684"/>
      <c r="BM1134" s="1684"/>
      <c r="BN1134" s="1684"/>
      <c r="BO1134" s="1684"/>
      <c r="BP1134" s="1684"/>
      <c r="BQ1134" s="1684"/>
      <c r="BR1134" s="1684"/>
      <c r="BS1134" s="1684"/>
      <c r="BT1134" s="1684"/>
      <c r="BU1134" s="1684"/>
      <c r="BV1134" s="1684"/>
      <c r="BW1134" s="1684"/>
      <c r="BX1134" s="1684"/>
      <c r="BY1134" s="1684"/>
      <c r="BZ1134" s="1684"/>
      <c r="CA1134" s="1684"/>
      <c r="CB1134" s="1684"/>
      <c r="CC1134" s="1684"/>
      <c r="CD1134" s="1684"/>
      <c r="CE1134" s="1684"/>
      <c r="CF1134" s="1684"/>
      <c r="CG1134" s="1684"/>
      <c r="CH1134" s="1684"/>
      <c r="CI1134" s="1684"/>
      <c r="CJ1134" s="1684"/>
      <c r="CK1134" s="1684"/>
      <c r="CL1134" s="1684"/>
      <c r="CM1134" s="1684"/>
      <c r="CN1134" s="1684"/>
      <c r="CO1134" s="1684"/>
    </row>
    <row r="1135" spans="1:93" s="1391" customFormat="1" ht="15" x14ac:dyDescent="0.2">
      <c r="A1135" s="1684"/>
      <c r="B1135" s="1684"/>
      <c r="C1135" s="2013">
        <v>16</v>
      </c>
      <c r="D1135" s="5">
        <v>7.9640000000000004</v>
      </c>
      <c r="E1135" s="5">
        <v>234</v>
      </c>
      <c r="F1135" s="5">
        <v>257</v>
      </c>
      <c r="G1135" s="5">
        <v>280</v>
      </c>
      <c r="H1135" s="5">
        <v>302</v>
      </c>
      <c r="I1135" s="5">
        <v>323</v>
      </c>
      <c r="J1135" s="5">
        <v>345</v>
      </c>
      <c r="K1135" s="5">
        <v>366</v>
      </c>
      <c r="L1135" s="5">
        <v>388</v>
      </c>
      <c r="M1135" s="5">
        <v>407</v>
      </c>
      <c r="N1135" s="5">
        <v>428</v>
      </c>
      <c r="O1135" s="5">
        <v>448</v>
      </c>
      <c r="P1135" s="5">
        <v>467</v>
      </c>
      <c r="Q1135" s="1160">
        <v>64</v>
      </c>
      <c r="R1135"/>
      <c r="S1135" s="1684"/>
      <c r="T1135" s="1684"/>
      <c r="U1135" s="1684"/>
      <c r="V1135" s="1684"/>
      <c r="W1135" s="1684"/>
      <c r="X1135" s="1684"/>
      <c r="Y1135" s="1684"/>
      <c r="Z1135" s="1684"/>
      <c r="AA1135" s="1684"/>
      <c r="AB1135" s="1684"/>
      <c r="AC1135" s="1684"/>
      <c r="AD1135" s="1684"/>
      <c r="AE1135" s="1684"/>
      <c r="AF1135" s="1684"/>
      <c r="AG1135" s="1684"/>
      <c r="AH1135" s="1684"/>
      <c r="AI1135" s="1684"/>
      <c r="AJ1135" s="1684"/>
      <c r="AK1135" s="1684"/>
      <c r="AL1135" s="1684"/>
      <c r="AM1135" s="1684"/>
      <c r="AN1135" s="1684"/>
      <c r="AO1135" s="1684"/>
      <c r="AP1135" s="1684"/>
      <c r="AQ1135" s="1684"/>
      <c r="AR1135" s="1684"/>
      <c r="AS1135" s="1684"/>
      <c r="AT1135" s="1684"/>
      <c r="AU1135" s="1684"/>
      <c r="AV1135" s="1684"/>
      <c r="AW1135" s="1684"/>
      <c r="AX1135" s="1684"/>
      <c r="AY1135" s="1684"/>
      <c r="AZ1135" s="1684"/>
      <c r="BA1135" s="1684"/>
      <c r="BB1135" s="1684"/>
      <c r="BC1135" s="1684"/>
      <c r="BD1135" s="1684"/>
      <c r="BE1135" s="1684"/>
      <c r="BF1135" s="1684"/>
      <c r="BG1135" s="1684"/>
      <c r="BH1135" s="1684"/>
      <c r="BI1135" s="1684"/>
      <c r="BJ1135" s="1684"/>
      <c r="BK1135" s="1684"/>
      <c r="BL1135" s="1684"/>
      <c r="BM1135" s="1684"/>
      <c r="BN1135" s="1684"/>
      <c r="BO1135" s="1684"/>
      <c r="BP1135" s="1684"/>
      <c r="BQ1135" s="1684"/>
      <c r="BR1135" s="1684"/>
      <c r="BS1135" s="1684"/>
      <c r="BT1135" s="1684"/>
      <c r="BU1135" s="1684"/>
      <c r="BV1135" s="1684"/>
      <c r="BW1135" s="1684"/>
      <c r="BX1135" s="1684"/>
      <c r="BY1135" s="1684"/>
      <c r="BZ1135" s="1684"/>
      <c r="CA1135" s="1684"/>
      <c r="CB1135" s="1684"/>
      <c r="CC1135" s="1684"/>
      <c r="CD1135" s="1684"/>
      <c r="CE1135" s="1684"/>
      <c r="CF1135" s="1684"/>
      <c r="CG1135" s="1684"/>
      <c r="CH1135" s="1684"/>
      <c r="CI1135" s="1684"/>
      <c r="CJ1135" s="1684"/>
      <c r="CK1135" s="1684"/>
      <c r="CL1135" s="1684"/>
      <c r="CM1135" s="1684"/>
      <c r="CN1135" s="1684"/>
      <c r="CO1135" s="1684"/>
    </row>
    <row r="1136" spans="1:93" s="1391" customFormat="1" ht="15" x14ac:dyDescent="0.2">
      <c r="A1136" s="1684"/>
      <c r="B1136" s="1684"/>
      <c r="C1136" s="2013">
        <v>17</v>
      </c>
      <c r="D1136" s="5">
        <v>8.4670000000000005</v>
      </c>
      <c r="E1136" s="5">
        <v>246</v>
      </c>
      <c r="F1136" s="5">
        <v>271</v>
      </c>
      <c r="G1136" s="5">
        <v>294</v>
      </c>
      <c r="H1136" s="5">
        <v>317</v>
      </c>
      <c r="I1136" s="5">
        <v>340</v>
      </c>
      <c r="J1136" s="5">
        <v>362</v>
      </c>
      <c r="K1136" s="5">
        <v>384</v>
      </c>
      <c r="L1136" s="5">
        <v>407</v>
      </c>
      <c r="M1136" s="5">
        <v>427</v>
      </c>
      <c r="N1136" s="5">
        <v>448</v>
      </c>
      <c r="O1136" s="5">
        <v>469</v>
      </c>
      <c r="P1136" s="5">
        <v>489</v>
      </c>
      <c r="Q1136" s="1160">
        <v>65</v>
      </c>
      <c r="R1136"/>
      <c r="S1136" s="1684"/>
      <c r="T1136" s="1684"/>
      <c r="U1136" s="1684"/>
      <c r="V1136" s="1684"/>
      <c r="W1136" s="1684"/>
      <c r="X1136" s="1684"/>
      <c r="Y1136" s="1684"/>
      <c r="Z1136" s="1684"/>
      <c r="AA1136" s="1684"/>
      <c r="AB1136" s="1684"/>
      <c r="AC1136" s="1684"/>
      <c r="AD1136" s="1684"/>
      <c r="AE1136" s="1684"/>
      <c r="AF1136" s="1684"/>
      <c r="AG1136" s="1684"/>
      <c r="AH1136" s="1684"/>
      <c r="AI1136" s="1684"/>
      <c r="AJ1136" s="1684"/>
      <c r="AK1136" s="1684"/>
      <c r="AL1136" s="1684"/>
      <c r="AM1136" s="1684"/>
      <c r="AN1136" s="1684"/>
      <c r="AO1136" s="1684"/>
      <c r="AP1136" s="1684"/>
      <c r="AQ1136" s="1684"/>
      <c r="AR1136" s="1684"/>
      <c r="AS1136" s="1684"/>
      <c r="AT1136" s="1684"/>
      <c r="AU1136" s="1684"/>
      <c r="AV1136" s="1684"/>
      <c r="AW1136" s="1684"/>
      <c r="AX1136" s="1684"/>
      <c r="AY1136" s="1684"/>
      <c r="AZ1136" s="1684"/>
      <c r="BA1136" s="1684"/>
      <c r="BB1136" s="1684"/>
      <c r="BC1136" s="1684"/>
      <c r="BD1136" s="1684"/>
      <c r="BE1136" s="1684"/>
      <c r="BF1136" s="1684"/>
      <c r="BG1136" s="1684"/>
      <c r="BH1136" s="1684"/>
      <c r="BI1136" s="1684"/>
      <c r="BJ1136" s="1684"/>
      <c r="BK1136" s="1684"/>
      <c r="BL1136" s="1684"/>
      <c r="BM1136" s="1684"/>
      <c r="BN1136" s="1684"/>
      <c r="BO1136" s="1684"/>
      <c r="BP1136" s="1684"/>
      <c r="BQ1136" s="1684"/>
      <c r="BR1136" s="1684"/>
      <c r="BS1136" s="1684"/>
      <c r="BT1136" s="1684"/>
      <c r="BU1136" s="1684"/>
      <c r="BV1136" s="1684"/>
      <c r="BW1136" s="1684"/>
      <c r="BX1136" s="1684"/>
      <c r="BY1136" s="1684"/>
      <c r="BZ1136" s="1684"/>
      <c r="CA1136" s="1684"/>
      <c r="CB1136" s="1684"/>
      <c r="CC1136" s="1684"/>
      <c r="CD1136" s="1684"/>
      <c r="CE1136" s="1684"/>
      <c r="CF1136" s="1684"/>
      <c r="CG1136" s="1684"/>
      <c r="CH1136" s="1684"/>
      <c r="CI1136" s="1684"/>
      <c r="CJ1136" s="1684"/>
      <c r="CK1136" s="1684"/>
      <c r="CL1136" s="1684"/>
      <c r="CM1136" s="1684"/>
      <c r="CN1136" s="1684"/>
      <c r="CO1136" s="1684"/>
    </row>
    <row r="1137" spans="1:93" s="1391" customFormat="1" ht="15" x14ac:dyDescent="0.2">
      <c r="A1137" s="1684"/>
      <c r="B1137" s="1684"/>
      <c r="C1137" s="2013">
        <v>18</v>
      </c>
      <c r="D1137" s="5">
        <v>8.798</v>
      </c>
      <c r="E1137" s="5">
        <v>256</v>
      </c>
      <c r="F1137" s="5">
        <v>282</v>
      </c>
      <c r="G1137" s="5">
        <v>306</v>
      </c>
      <c r="H1137" s="5">
        <v>330</v>
      </c>
      <c r="I1137" s="5">
        <v>354</v>
      </c>
      <c r="J1137" s="5">
        <v>377</v>
      </c>
      <c r="K1137" s="5">
        <v>400</v>
      </c>
      <c r="L1137" s="5">
        <v>424</v>
      </c>
      <c r="M1137" s="5">
        <v>445</v>
      </c>
      <c r="N1137" s="5">
        <v>466</v>
      </c>
      <c r="O1137" s="5">
        <v>488</v>
      </c>
      <c r="P1137" s="5">
        <v>509</v>
      </c>
      <c r="Q1137" s="1160">
        <v>66</v>
      </c>
      <c r="R1137"/>
      <c r="S1137" s="1684"/>
      <c r="T1137" s="1684"/>
      <c r="U1137" s="1684"/>
      <c r="V1137" s="1684"/>
      <c r="W1137" s="1684"/>
      <c r="X1137" s="1684"/>
      <c r="Y1137" s="1684"/>
      <c r="Z1137" s="1684"/>
      <c r="AA1137" s="1684"/>
      <c r="AB1137" s="1684"/>
      <c r="AC1137" s="1684"/>
      <c r="AD1137" s="1684"/>
      <c r="AE1137" s="1684"/>
      <c r="AF1137" s="1684"/>
      <c r="AG1137" s="1684"/>
      <c r="AH1137" s="1684"/>
      <c r="AI1137" s="1684"/>
      <c r="AJ1137" s="1684"/>
      <c r="AK1137" s="1684"/>
      <c r="AL1137" s="1684"/>
      <c r="AM1137" s="1684"/>
      <c r="AN1137" s="1684"/>
      <c r="AO1137" s="1684"/>
      <c r="AP1137" s="1684"/>
      <c r="AQ1137" s="1684"/>
      <c r="AR1137" s="1684"/>
      <c r="AS1137" s="1684"/>
      <c r="AT1137" s="1684"/>
      <c r="AU1137" s="1684"/>
      <c r="AV1137" s="1684"/>
      <c r="AW1137" s="1684"/>
      <c r="AX1137" s="1684"/>
      <c r="AY1137" s="1684"/>
      <c r="AZ1137" s="1684"/>
      <c r="BA1137" s="1684"/>
      <c r="BB1137" s="1684"/>
      <c r="BC1137" s="1684"/>
      <c r="BD1137" s="1684"/>
      <c r="BE1137" s="1684"/>
      <c r="BF1137" s="1684"/>
      <c r="BG1137" s="1684"/>
      <c r="BH1137" s="1684"/>
      <c r="BI1137" s="1684"/>
      <c r="BJ1137" s="1684"/>
      <c r="BK1137" s="1684"/>
      <c r="BL1137" s="1684"/>
      <c r="BM1137" s="1684"/>
      <c r="BN1137" s="1684"/>
      <c r="BO1137" s="1684"/>
      <c r="BP1137" s="1684"/>
      <c r="BQ1137" s="1684"/>
      <c r="BR1137" s="1684"/>
      <c r="BS1137" s="1684"/>
      <c r="BT1137" s="1684"/>
      <c r="BU1137" s="1684"/>
      <c r="BV1137" s="1684"/>
      <c r="BW1137" s="1684"/>
      <c r="BX1137" s="1684"/>
      <c r="BY1137" s="1684"/>
      <c r="BZ1137" s="1684"/>
      <c r="CA1137" s="1684"/>
      <c r="CB1137" s="1684"/>
      <c r="CC1137" s="1684"/>
      <c r="CD1137" s="1684"/>
      <c r="CE1137" s="1684"/>
      <c r="CF1137" s="1684"/>
      <c r="CG1137" s="1684"/>
      <c r="CH1137" s="1684"/>
      <c r="CI1137" s="1684"/>
      <c r="CJ1137" s="1684"/>
      <c r="CK1137" s="1684"/>
      <c r="CL1137" s="1684"/>
      <c r="CM1137" s="1684"/>
      <c r="CN1137" s="1684"/>
      <c r="CO1137" s="1684"/>
    </row>
    <row r="1138" spans="1:93" s="1391" customFormat="1" ht="15" x14ac:dyDescent="0.2">
      <c r="A1138" s="1684"/>
      <c r="B1138" s="1684"/>
      <c r="C1138" s="4680" t="s">
        <v>3692</v>
      </c>
      <c r="D1138" s="4681"/>
      <c r="E1138" s="4681"/>
      <c r="F1138" s="4681"/>
      <c r="G1138" s="4681"/>
      <c r="H1138" s="4681"/>
      <c r="I1138" s="4681"/>
      <c r="J1138" s="4681"/>
      <c r="K1138" s="4681"/>
      <c r="L1138" s="4681"/>
      <c r="M1138" s="4681"/>
      <c r="N1138" s="4681"/>
      <c r="O1138" s="4681"/>
      <c r="P1138" s="4681"/>
      <c r="Q1138" s="4682"/>
      <c r="R1138"/>
      <c r="S1138" s="1684"/>
      <c r="T1138" s="1684"/>
      <c r="U1138" s="1684"/>
      <c r="V1138" s="1684"/>
      <c r="W1138" s="1684"/>
      <c r="X1138" s="1684"/>
      <c r="Y1138" s="1684"/>
      <c r="Z1138" s="1684"/>
      <c r="AA1138" s="1684"/>
      <c r="AB1138" s="1684"/>
      <c r="AC1138" s="1684"/>
      <c r="AD1138" s="1684"/>
      <c r="AE1138" s="1684"/>
      <c r="AF1138" s="1684"/>
      <c r="AG1138" s="1684"/>
      <c r="AH1138" s="1684"/>
      <c r="AI1138" s="1684"/>
      <c r="AJ1138" s="1684"/>
      <c r="AK1138" s="1684"/>
      <c r="AL1138" s="1684"/>
      <c r="AM1138" s="1684"/>
      <c r="AN1138" s="1684"/>
      <c r="AO1138" s="1684"/>
      <c r="AP1138" s="1684"/>
      <c r="AQ1138" s="1684"/>
      <c r="AR1138" s="1684"/>
      <c r="AS1138" s="1684"/>
      <c r="AT1138" s="1684"/>
      <c r="AU1138" s="1684"/>
      <c r="AV1138" s="1684"/>
      <c r="AW1138" s="1684"/>
      <c r="AX1138" s="1684"/>
      <c r="AY1138" s="1684"/>
      <c r="AZ1138" s="1684"/>
      <c r="BA1138" s="1684"/>
      <c r="BB1138" s="1684"/>
      <c r="BC1138" s="1684"/>
      <c r="BD1138" s="1684"/>
      <c r="BE1138" s="1684"/>
      <c r="BF1138" s="1684"/>
      <c r="BG1138" s="1684"/>
      <c r="BH1138" s="1684"/>
      <c r="BI1138" s="1684"/>
      <c r="BJ1138" s="1684"/>
      <c r="BK1138" s="1684"/>
      <c r="BL1138" s="1684"/>
      <c r="BM1138" s="1684"/>
      <c r="BN1138" s="1684"/>
      <c r="BO1138" s="1684"/>
      <c r="BP1138" s="1684"/>
      <c r="BQ1138" s="1684"/>
      <c r="BR1138" s="1684"/>
      <c r="BS1138" s="1684"/>
      <c r="BT1138" s="1684"/>
      <c r="BU1138" s="1684"/>
      <c r="BV1138" s="1684"/>
      <c r="BW1138" s="1684"/>
      <c r="BX1138" s="1684"/>
      <c r="BY1138" s="1684"/>
      <c r="BZ1138" s="1684"/>
      <c r="CA1138" s="1684"/>
      <c r="CB1138" s="1684"/>
      <c r="CC1138" s="1684"/>
      <c r="CD1138" s="1684"/>
      <c r="CE1138" s="1684"/>
      <c r="CF1138" s="1684"/>
      <c r="CG1138" s="1684"/>
      <c r="CH1138" s="1684"/>
      <c r="CI1138" s="1684"/>
      <c r="CJ1138" s="1684"/>
      <c r="CK1138" s="1684"/>
      <c r="CL1138" s="1684"/>
      <c r="CM1138" s="1684"/>
      <c r="CN1138" s="1684"/>
      <c r="CO1138" s="1684"/>
    </row>
    <row r="1139" spans="1:93" s="1391" customFormat="1" ht="15" x14ac:dyDescent="0.2">
      <c r="A1139" s="1684"/>
      <c r="B1139" s="1684"/>
      <c r="C1139" s="4680"/>
      <c r="D1139" s="4681"/>
      <c r="E1139" s="4681"/>
      <c r="F1139" s="4681"/>
      <c r="G1139" s="4681"/>
      <c r="H1139" s="4681"/>
      <c r="I1139" s="4681"/>
      <c r="J1139" s="4681"/>
      <c r="K1139" s="4681"/>
      <c r="L1139" s="4681"/>
      <c r="M1139" s="4681"/>
      <c r="N1139" s="4681"/>
      <c r="O1139" s="4681"/>
      <c r="P1139" s="4681"/>
      <c r="Q1139" s="4682"/>
      <c r="R1139"/>
      <c r="S1139" s="1684"/>
      <c r="T1139" s="1684"/>
      <c r="U1139" s="1684"/>
      <c r="V1139" s="1684"/>
      <c r="W1139" s="1684"/>
      <c r="X1139" s="1684"/>
      <c r="Y1139" s="1684"/>
      <c r="Z1139" s="1684"/>
      <c r="AA1139" s="1684"/>
      <c r="AB1139" s="1684"/>
      <c r="AC1139" s="1684"/>
      <c r="AD1139" s="1684"/>
      <c r="AE1139" s="1684"/>
      <c r="AF1139" s="1684"/>
      <c r="AG1139" s="1684"/>
      <c r="AH1139" s="1684"/>
      <c r="AI1139" s="1684"/>
      <c r="AJ1139" s="1684"/>
      <c r="AK1139" s="1684"/>
      <c r="AL1139" s="1684"/>
      <c r="AM1139" s="1684"/>
      <c r="AN1139" s="1684"/>
      <c r="AO1139" s="1684"/>
      <c r="AP1139" s="1684"/>
      <c r="AQ1139" s="1684"/>
      <c r="AR1139" s="1684"/>
      <c r="AS1139" s="1684"/>
      <c r="AT1139" s="1684"/>
      <c r="AU1139" s="1684"/>
      <c r="AV1139" s="1684"/>
      <c r="AW1139" s="1684"/>
      <c r="AX1139" s="1684"/>
      <c r="AY1139" s="1684"/>
      <c r="AZ1139" s="1684"/>
      <c r="BA1139" s="1684"/>
      <c r="BB1139" s="1684"/>
      <c r="BC1139" s="1684"/>
      <c r="BD1139" s="1684"/>
      <c r="BE1139" s="1684"/>
      <c r="BF1139" s="1684"/>
      <c r="BG1139" s="1684"/>
      <c r="BH1139" s="1684"/>
      <c r="BI1139" s="1684"/>
      <c r="BJ1139" s="1684"/>
      <c r="BK1139" s="1684"/>
      <c r="BL1139" s="1684"/>
      <c r="BM1139" s="1684"/>
      <c r="BN1139" s="1684"/>
      <c r="BO1139" s="1684"/>
      <c r="BP1139" s="1684"/>
      <c r="BQ1139" s="1684"/>
      <c r="BR1139" s="1684"/>
      <c r="BS1139" s="1684"/>
      <c r="BT1139" s="1684"/>
      <c r="BU1139" s="1684"/>
      <c r="BV1139" s="1684"/>
      <c r="BW1139" s="1684"/>
      <c r="BX1139" s="1684"/>
      <c r="BY1139" s="1684"/>
      <c r="BZ1139" s="1684"/>
      <c r="CA1139" s="1684"/>
      <c r="CB1139" s="1684"/>
      <c r="CC1139" s="1684"/>
      <c r="CD1139" s="1684"/>
      <c r="CE1139" s="1684"/>
      <c r="CF1139" s="1684"/>
      <c r="CG1139" s="1684"/>
      <c r="CH1139" s="1684"/>
      <c r="CI1139" s="1684"/>
      <c r="CJ1139" s="1684"/>
      <c r="CK1139" s="1684"/>
      <c r="CL1139" s="1684"/>
      <c r="CM1139" s="1684"/>
      <c r="CN1139" s="1684"/>
      <c r="CO1139" s="1684"/>
    </row>
    <row r="1140" spans="1:93" s="1391" customFormat="1" ht="15" x14ac:dyDescent="0.2">
      <c r="A1140" s="1684"/>
      <c r="B1140" s="1684"/>
      <c r="C1140" s="2014"/>
      <c r="D1140" s="2015"/>
      <c r="E1140" s="2015">
        <v>1</v>
      </c>
      <c r="F1140" s="2015">
        <v>2</v>
      </c>
      <c r="G1140" s="2015">
        <v>3</v>
      </c>
      <c r="H1140" s="2015">
        <v>4</v>
      </c>
      <c r="I1140" s="2015">
        <v>5</v>
      </c>
      <c r="J1140" s="2015">
        <v>6</v>
      </c>
      <c r="K1140" s="2015">
        <v>7</v>
      </c>
      <c r="L1140" s="2015">
        <v>8</v>
      </c>
      <c r="M1140" s="2015">
        <v>9</v>
      </c>
      <c r="N1140" s="2015">
        <v>10</v>
      </c>
      <c r="O1140" s="2015">
        <v>11</v>
      </c>
      <c r="P1140" s="2015">
        <v>12</v>
      </c>
      <c r="Q1140" s="2016"/>
      <c r="R1140"/>
      <c r="S1140" s="1684"/>
      <c r="T1140" s="1684"/>
      <c r="U1140" s="1684"/>
      <c r="V1140" s="1684"/>
      <c r="W1140" s="1684"/>
      <c r="X1140" s="1684"/>
      <c r="Y1140" s="1684"/>
      <c r="Z1140" s="1684"/>
      <c r="AA1140" s="1684"/>
      <c r="AB1140" s="1684"/>
      <c r="AC1140" s="1684"/>
      <c r="AD1140" s="1684"/>
      <c r="AE1140" s="1684"/>
      <c r="AF1140" s="1684"/>
      <c r="AG1140" s="1684"/>
      <c r="AH1140" s="1684"/>
      <c r="AI1140" s="1684"/>
      <c r="AJ1140" s="1684"/>
      <c r="AK1140" s="1684"/>
      <c r="AL1140" s="1684"/>
      <c r="AM1140" s="1684"/>
      <c r="AN1140" s="1684"/>
      <c r="AO1140" s="1684"/>
      <c r="AP1140" s="1684"/>
      <c r="AQ1140" s="1684"/>
      <c r="AR1140" s="1684"/>
      <c r="AS1140" s="1684"/>
      <c r="AT1140" s="1684"/>
      <c r="AU1140" s="1684"/>
      <c r="AV1140" s="1684"/>
      <c r="AW1140" s="1684"/>
      <c r="AX1140" s="1684"/>
      <c r="AY1140" s="1684"/>
      <c r="AZ1140" s="1684"/>
      <c r="BA1140" s="1684"/>
      <c r="BB1140" s="1684"/>
      <c r="BC1140" s="1684"/>
      <c r="BD1140" s="1684"/>
      <c r="BE1140" s="1684"/>
      <c r="BF1140" s="1684"/>
      <c r="BG1140" s="1684"/>
      <c r="BH1140" s="1684"/>
      <c r="BI1140" s="1684"/>
      <c r="BJ1140" s="1684"/>
      <c r="BK1140" s="1684"/>
      <c r="BL1140" s="1684"/>
      <c r="BM1140" s="1684"/>
      <c r="BN1140" s="1684"/>
      <c r="BO1140" s="1684"/>
      <c r="BP1140" s="1684"/>
      <c r="BQ1140" s="1684"/>
      <c r="BR1140" s="1684"/>
      <c r="BS1140" s="1684"/>
      <c r="BT1140" s="1684"/>
      <c r="BU1140" s="1684"/>
      <c r="BV1140" s="1684"/>
      <c r="BW1140" s="1684"/>
      <c r="BX1140" s="1684"/>
      <c r="BY1140" s="1684"/>
      <c r="BZ1140" s="1684"/>
      <c r="CA1140" s="1684"/>
      <c r="CB1140" s="1684"/>
      <c r="CC1140" s="1684"/>
      <c r="CD1140" s="1684"/>
      <c r="CE1140" s="1684"/>
      <c r="CF1140" s="1684"/>
      <c r="CG1140" s="1684"/>
      <c r="CH1140" s="1684"/>
      <c r="CI1140" s="1684"/>
      <c r="CJ1140" s="1684"/>
      <c r="CK1140" s="1684"/>
      <c r="CL1140" s="1684"/>
      <c r="CM1140" s="1684"/>
      <c r="CN1140" s="1684"/>
      <c r="CO1140" s="1684"/>
    </row>
    <row r="1141" spans="1:93" s="1391" customFormat="1" ht="15" x14ac:dyDescent="0.2">
      <c r="A1141" s="1684"/>
      <c r="B1141" s="1684"/>
      <c r="C1141" s="2013">
        <v>8</v>
      </c>
      <c r="D1141" s="5">
        <v>5.2770000000000001</v>
      </c>
      <c r="E1141" s="5">
        <v>133</v>
      </c>
      <c r="F1141" s="5">
        <v>147</v>
      </c>
      <c r="G1141" s="5">
        <v>160</v>
      </c>
      <c r="H1141" s="5">
        <v>173</v>
      </c>
      <c r="I1141" s="5">
        <v>186</v>
      </c>
      <c r="J1141" s="5">
        <v>199</v>
      </c>
      <c r="K1141" s="5">
        <v>212</v>
      </c>
      <c r="L1141" s="5">
        <v>225</v>
      </c>
      <c r="M1141" s="5">
        <v>237</v>
      </c>
      <c r="N1141" s="5">
        <v>250</v>
      </c>
      <c r="O1141" s="5">
        <v>262</v>
      </c>
      <c r="P1141" s="5">
        <v>274</v>
      </c>
      <c r="Q1141" s="1160">
        <v>67</v>
      </c>
      <c r="R1141"/>
      <c r="S1141" s="1684"/>
      <c r="T1141" s="1684"/>
      <c r="U1141" s="1684"/>
      <c r="V1141" s="1684"/>
      <c r="W1141" s="1684"/>
      <c r="X1141" s="1684"/>
      <c r="Y1141" s="1684"/>
      <c r="Z1141" s="1684"/>
      <c r="AA1141" s="1684"/>
      <c r="AB1141" s="1684"/>
      <c r="AC1141" s="1684"/>
      <c r="AD1141" s="1684"/>
      <c r="AE1141" s="1684"/>
      <c r="AF1141" s="1684"/>
      <c r="AG1141" s="1684"/>
      <c r="AH1141" s="1684"/>
      <c r="AI1141" s="1684"/>
      <c r="AJ1141" s="1684"/>
      <c r="AK1141" s="1684"/>
      <c r="AL1141" s="1684"/>
      <c r="AM1141" s="1684"/>
      <c r="AN1141" s="1684"/>
      <c r="AO1141" s="1684"/>
      <c r="AP1141" s="1684"/>
      <c r="AQ1141" s="1684"/>
      <c r="AR1141" s="1684"/>
      <c r="AS1141" s="1684"/>
      <c r="AT1141" s="1684"/>
      <c r="AU1141" s="1684"/>
      <c r="AV1141" s="1684"/>
      <c r="AW1141" s="1684"/>
      <c r="AX1141" s="1684"/>
      <c r="AY1141" s="1684"/>
      <c r="AZ1141" s="1684"/>
      <c r="BA1141" s="1684"/>
      <c r="BB1141" s="1684"/>
      <c r="BC1141" s="1684"/>
      <c r="BD1141" s="1684"/>
      <c r="BE1141" s="1684"/>
      <c r="BF1141" s="1684"/>
      <c r="BG1141" s="1684"/>
      <c r="BH1141" s="1684"/>
      <c r="BI1141" s="1684"/>
      <c r="BJ1141" s="1684"/>
      <c r="BK1141" s="1684"/>
      <c r="BL1141" s="1684"/>
      <c r="BM1141" s="1684"/>
      <c r="BN1141" s="1684"/>
      <c r="BO1141" s="1684"/>
      <c r="BP1141" s="1684"/>
      <c r="BQ1141" s="1684"/>
      <c r="BR1141" s="1684"/>
      <c r="BS1141" s="1684"/>
      <c r="BT1141" s="1684"/>
      <c r="BU1141" s="1684"/>
      <c r="BV1141" s="1684"/>
      <c r="BW1141" s="1684"/>
      <c r="BX1141" s="1684"/>
      <c r="BY1141" s="1684"/>
      <c r="BZ1141" s="1684"/>
      <c r="CA1141" s="1684"/>
      <c r="CB1141" s="1684"/>
      <c r="CC1141" s="1684"/>
      <c r="CD1141" s="1684"/>
      <c r="CE1141" s="1684"/>
      <c r="CF1141" s="1684"/>
      <c r="CG1141" s="1684"/>
      <c r="CH1141" s="1684"/>
      <c r="CI1141" s="1684"/>
      <c r="CJ1141" s="1684"/>
      <c r="CK1141" s="1684"/>
      <c r="CL1141" s="1684"/>
      <c r="CM1141" s="1684"/>
      <c r="CN1141" s="1684"/>
      <c r="CO1141" s="1684"/>
    </row>
    <row r="1142" spans="1:93" s="1391" customFormat="1" ht="15" x14ac:dyDescent="0.2">
      <c r="A1142" s="1684"/>
      <c r="B1142" s="1684"/>
      <c r="C1142" s="2013">
        <v>9</v>
      </c>
      <c r="D1142" s="5">
        <v>5.5810000000000004</v>
      </c>
      <c r="E1142" s="5">
        <v>145</v>
      </c>
      <c r="F1142" s="5">
        <v>160</v>
      </c>
      <c r="G1142" s="5">
        <v>175</v>
      </c>
      <c r="H1142" s="5">
        <v>189</v>
      </c>
      <c r="I1142" s="5">
        <v>203</v>
      </c>
      <c r="J1142" s="5">
        <v>217</v>
      </c>
      <c r="K1142" s="5">
        <v>231</v>
      </c>
      <c r="L1142" s="5">
        <v>246</v>
      </c>
      <c r="M1142" s="5">
        <v>259</v>
      </c>
      <c r="N1142" s="5">
        <v>272</v>
      </c>
      <c r="O1142" s="5">
        <v>286</v>
      </c>
      <c r="P1142" s="5">
        <v>299</v>
      </c>
      <c r="Q1142" s="1160">
        <v>68</v>
      </c>
      <c r="R1142"/>
      <c r="S1142" s="1684"/>
      <c r="T1142" s="1684"/>
      <c r="U1142" s="1684"/>
      <c r="V1142" s="1684"/>
      <c r="W1142" s="1684"/>
      <c r="X1142" s="1684"/>
      <c r="Y1142" s="1684"/>
      <c r="Z1142" s="1684"/>
      <c r="AA1142" s="1684"/>
      <c r="AB1142" s="1684"/>
      <c r="AC1142" s="1684"/>
      <c r="AD1142" s="1684"/>
      <c r="AE1142" s="1684"/>
      <c r="AF1142" s="1684"/>
      <c r="AG1142" s="1684"/>
      <c r="AH1142" s="1684"/>
      <c r="AI1142" s="1684"/>
      <c r="AJ1142" s="1684"/>
      <c r="AK1142" s="1684"/>
      <c r="AL1142" s="1684"/>
      <c r="AM1142" s="1684"/>
      <c r="AN1142" s="1684"/>
      <c r="AO1142" s="1684"/>
      <c r="AP1142" s="1684"/>
      <c r="AQ1142" s="1684"/>
      <c r="AR1142" s="1684"/>
      <c r="AS1142" s="1684"/>
      <c r="AT1142" s="1684"/>
      <c r="AU1142" s="1684"/>
      <c r="AV1142" s="1684"/>
      <c r="AW1142" s="1684"/>
      <c r="AX1142" s="1684"/>
      <c r="AY1142" s="1684"/>
      <c r="AZ1142" s="1684"/>
      <c r="BA1142" s="1684"/>
      <c r="BB1142" s="1684"/>
      <c r="BC1142" s="1684"/>
      <c r="BD1142" s="1684"/>
      <c r="BE1142" s="1684"/>
      <c r="BF1142" s="1684"/>
      <c r="BG1142" s="1684"/>
      <c r="BH1142" s="1684"/>
      <c r="BI1142" s="1684"/>
      <c r="BJ1142" s="1684"/>
      <c r="BK1142" s="1684"/>
      <c r="BL1142" s="1684"/>
      <c r="BM1142" s="1684"/>
      <c r="BN1142" s="1684"/>
      <c r="BO1142" s="1684"/>
      <c r="BP1142" s="1684"/>
      <c r="BQ1142" s="1684"/>
      <c r="BR1142" s="1684"/>
      <c r="BS1142" s="1684"/>
      <c r="BT1142" s="1684"/>
      <c r="BU1142" s="1684"/>
      <c r="BV1142" s="1684"/>
      <c r="BW1142" s="1684"/>
      <c r="BX1142" s="1684"/>
      <c r="BY1142" s="1684"/>
      <c r="BZ1142" s="1684"/>
      <c r="CA1142" s="1684"/>
      <c r="CB1142" s="1684"/>
      <c r="CC1142" s="1684"/>
      <c r="CD1142" s="1684"/>
      <c r="CE1142" s="1684"/>
      <c r="CF1142" s="1684"/>
      <c r="CG1142" s="1684"/>
      <c r="CH1142" s="1684"/>
      <c r="CI1142" s="1684"/>
      <c r="CJ1142" s="1684"/>
      <c r="CK1142" s="1684"/>
      <c r="CL1142" s="1684"/>
      <c r="CM1142" s="1684"/>
      <c r="CN1142" s="1684"/>
      <c r="CO1142" s="1684"/>
    </row>
    <row r="1143" spans="1:93" s="1391" customFormat="1" ht="15" x14ac:dyDescent="0.2">
      <c r="A1143" s="1684"/>
      <c r="B1143" s="1684"/>
      <c r="C1143" s="2013">
        <v>10</v>
      </c>
      <c r="D1143" s="5">
        <v>5.8970000000000002</v>
      </c>
      <c r="E1143" s="5">
        <v>158</v>
      </c>
      <c r="F1143" s="5">
        <v>174</v>
      </c>
      <c r="G1143" s="5">
        <v>190</v>
      </c>
      <c r="H1143" s="5">
        <v>206</v>
      </c>
      <c r="I1143" s="5">
        <v>221</v>
      </c>
      <c r="J1143" s="5">
        <v>236</v>
      </c>
      <c r="K1143" s="5">
        <v>251</v>
      </c>
      <c r="L1143" s="5">
        <v>267</v>
      </c>
      <c r="M1143" s="5">
        <v>280</v>
      </c>
      <c r="N1143" s="5">
        <v>295</v>
      </c>
      <c r="O1143" s="5">
        <v>309</v>
      </c>
      <c r="P1143" s="5">
        <v>324</v>
      </c>
      <c r="Q1143" s="1160">
        <v>69</v>
      </c>
      <c r="R1143"/>
      <c r="S1143" s="1684"/>
      <c r="T1143" s="1684"/>
      <c r="U1143" s="1684"/>
      <c r="V1143" s="1684"/>
      <c r="W1143" s="1684"/>
      <c r="X1143" s="1684"/>
      <c r="Y1143" s="1684"/>
      <c r="Z1143" s="1684"/>
      <c r="AA1143" s="1684"/>
      <c r="AB1143" s="1684"/>
      <c r="AC1143" s="1684"/>
      <c r="AD1143" s="1684"/>
      <c r="AE1143" s="1684"/>
      <c r="AF1143" s="1684"/>
      <c r="AG1143" s="1684"/>
      <c r="AH1143" s="1684"/>
      <c r="AI1143" s="1684"/>
      <c r="AJ1143" s="1684"/>
      <c r="AK1143" s="1684"/>
      <c r="AL1143" s="1684"/>
      <c r="AM1143" s="1684"/>
      <c r="AN1143" s="1684"/>
      <c r="AO1143" s="1684"/>
      <c r="AP1143" s="1684"/>
      <c r="AQ1143" s="1684"/>
      <c r="AR1143" s="1684"/>
      <c r="AS1143" s="1684"/>
      <c r="AT1143" s="1684"/>
      <c r="AU1143" s="1684"/>
      <c r="AV1143" s="1684"/>
      <c r="AW1143" s="1684"/>
      <c r="AX1143" s="1684"/>
      <c r="AY1143" s="1684"/>
      <c r="AZ1143" s="1684"/>
      <c r="BA1143" s="1684"/>
      <c r="BB1143" s="1684"/>
      <c r="BC1143" s="1684"/>
      <c r="BD1143" s="1684"/>
      <c r="BE1143" s="1684"/>
      <c r="BF1143" s="1684"/>
      <c r="BG1143" s="1684"/>
      <c r="BH1143" s="1684"/>
      <c r="BI1143" s="1684"/>
      <c r="BJ1143" s="1684"/>
      <c r="BK1143" s="1684"/>
      <c r="BL1143" s="1684"/>
      <c r="BM1143" s="1684"/>
      <c r="BN1143" s="1684"/>
      <c r="BO1143" s="1684"/>
      <c r="BP1143" s="1684"/>
      <c r="BQ1143" s="1684"/>
      <c r="BR1143" s="1684"/>
      <c r="BS1143" s="1684"/>
      <c r="BT1143" s="1684"/>
      <c r="BU1143" s="1684"/>
      <c r="BV1143" s="1684"/>
      <c r="BW1143" s="1684"/>
      <c r="BX1143" s="1684"/>
      <c r="BY1143" s="1684"/>
      <c r="BZ1143" s="1684"/>
      <c r="CA1143" s="1684"/>
      <c r="CB1143" s="1684"/>
      <c r="CC1143" s="1684"/>
      <c r="CD1143" s="1684"/>
      <c r="CE1143" s="1684"/>
      <c r="CF1143" s="1684"/>
      <c r="CG1143" s="1684"/>
      <c r="CH1143" s="1684"/>
      <c r="CI1143" s="1684"/>
      <c r="CJ1143" s="1684"/>
      <c r="CK1143" s="1684"/>
      <c r="CL1143" s="1684"/>
      <c r="CM1143" s="1684"/>
      <c r="CN1143" s="1684"/>
      <c r="CO1143" s="1684"/>
    </row>
    <row r="1144" spans="1:93" s="1391" customFormat="1" ht="15" x14ac:dyDescent="0.2">
      <c r="A1144" s="1684"/>
      <c r="B1144" s="1684"/>
      <c r="C1144" s="2013">
        <v>11</v>
      </c>
      <c r="D1144" s="5">
        <v>6.2480000000000002</v>
      </c>
      <c r="E1144" s="5">
        <v>172</v>
      </c>
      <c r="F1144" s="5">
        <v>190</v>
      </c>
      <c r="G1144" s="5">
        <v>207</v>
      </c>
      <c r="H1144" s="5">
        <v>223</v>
      </c>
      <c r="I1144" s="5">
        <v>240</v>
      </c>
      <c r="J1144" s="5">
        <v>256</v>
      </c>
      <c r="K1144" s="5">
        <v>272</v>
      </c>
      <c r="L1144" s="5">
        <v>289</v>
      </c>
      <c r="M1144" s="5">
        <v>304</v>
      </c>
      <c r="N1144" s="5">
        <v>320</v>
      </c>
      <c r="O1144" s="5">
        <v>335</v>
      </c>
      <c r="P1144" s="5">
        <v>351</v>
      </c>
      <c r="Q1144" s="1160">
        <v>70</v>
      </c>
      <c r="R1144"/>
      <c r="S1144" s="1684"/>
      <c r="T1144" s="1684"/>
      <c r="U1144" s="1684"/>
      <c r="V1144" s="1684"/>
      <c r="W1144" s="1684"/>
      <c r="X1144" s="1684"/>
      <c r="Y1144" s="1684"/>
      <c r="Z1144" s="1684"/>
      <c r="AA1144" s="1684"/>
      <c r="AB1144" s="1684"/>
      <c r="AC1144" s="1684"/>
      <c r="AD1144" s="1684"/>
      <c r="AE1144" s="1684"/>
      <c r="AF1144" s="1684"/>
      <c r="AG1144" s="1684"/>
      <c r="AH1144" s="1684"/>
      <c r="AI1144" s="1684"/>
      <c r="AJ1144" s="1684"/>
      <c r="AK1144" s="1684"/>
      <c r="AL1144" s="1684"/>
      <c r="AM1144" s="1684"/>
      <c r="AN1144" s="1684"/>
      <c r="AO1144" s="1684"/>
      <c r="AP1144" s="1684"/>
      <c r="AQ1144" s="1684"/>
      <c r="AR1144" s="1684"/>
      <c r="AS1144" s="1684"/>
      <c r="AT1144" s="1684"/>
      <c r="AU1144" s="1684"/>
      <c r="AV1144" s="1684"/>
      <c r="AW1144" s="1684"/>
      <c r="AX1144" s="1684"/>
      <c r="AY1144" s="1684"/>
      <c r="AZ1144" s="1684"/>
      <c r="BA1144" s="1684"/>
      <c r="BB1144" s="1684"/>
      <c r="BC1144" s="1684"/>
      <c r="BD1144" s="1684"/>
      <c r="BE1144" s="1684"/>
      <c r="BF1144" s="1684"/>
      <c r="BG1144" s="1684"/>
      <c r="BH1144" s="1684"/>
      <c r="BI1144" s="1684"/>
      <c r="BJ1144" s="1684"/>
      <c r="BK1144" s="1684"/>
      <c r="BL1144" s="1684"/>
      <c r="BM1144" s="1684"/>
      <c r="BN1144" s="1684"/>
      <c r="BO1144" s="1684"/>
      <c r="BP1144" s="1684"/>
      <c r="BQ1144" s="1684"/>
      <c r="BR1144" s="1684"/>
      <c r="BS1144" s="1684"/>
      <c r="BT1144" s="1684"/>
      <c r="BU1144" s="1684"/>
      <c r="BV1144" s="1684"/>
      <c r="BW1144" s="1684"/>
      <c r="BX1144" s="1684"/>
      <c r="BY1144" s="1684"/>
      <c r="BZ1144" s="1684"/>
      <c r="CA1144" s="1684"/>
      <c r="CB1144" s="1684"/>
      <c r="CC1144" s="1684"/>
      <c r="CD1144" s="1684"/>
      <c r="CE1144" s="1684"/>
      <c r="CF1144" s="1684"/>
      <c r="CG1144" s="1684"/>
      <c r="CH1144" s="1684"/>
      <c r="CI1144" s="1684"/>
      <c r="CJ1144" s="1684"/>
      <c r="CK1144" s="1684"/>
      <c r="CL1144" s="1684"/>
      <c r="CM1144" s="1684"/>
      <c r="CN1144" s="1684"/>
      <c r="CO1144" s="1684"/>
    </row>
    <row r="1145" spans="1:93" s="1391" customFormat="1" ht="15" x14ac:dyDescent="0.2">
      <c r="A1145" s="1684"/>
      <c r="B1145" s="1684"/>
      <c r="C1145" s="2013">
        <v>12</v>
      </c>
      <c r="D1145" s="5">
        <v>6.61</v>
      </c>
      <c r="E1145" s="5">
        <v>186</v>
      </c>
      <c r="F1145" s="5">
        <v>205</v>
      </c>
      <c r="G1145" s="5">
        <v>224</v>
      </c>
      <c r="H1145" s="5">
        <v>242</v>
      </c>
      <c r="I1145" s="5">
        <v>259</v>
      </c>
      <c r="J1145" s="5">
        <v>277</v>
      </c>
      <c r="K1145" s="5">
        <v>294</v>
      </c>
      <c r="L1145" s="5">
        <v>312</v>
      </c>
      <c r="M1145" s="5">
        <v>328</v>
      </c>
      <c r="N1145" s="5">
        <v>345</v>
      </c>
      <c r="O1145" s="5">
        <v>362</v>
      </c>
      <c r="P1145" s="5">
        <v>378</v>
      </c>
      <c r="Q1145" s="1160">
        <v>71</v>
      </c>
      <c r="R1145"/>
      <c r="S1145" s="1684"/>
      <c r="T1145" s="1684"/>
      <c r="U1145" s="1684"/>
      <c r="V1145" s="1684"/>
      <c r="W1145" s="1684"/>
      <c r="X1145" s="1684"/>
      <c r="Y1145" s="1684"/>
      <c r="Z1145" s="1684"/>
      <c r="AA1145" s="1684"/>
      <c r="AB1145" s="1684"/>
      <c r="AC1145" s="1684"/>
      <c r="AD1145" s="1684"/>
      <c r="AE1145" s="1684"/>
      <c r="AF1145" s="1684"/>
      <c r="AG1145" s="1684"/>
      <c r="AH1145" s="1684"/>
      <c r="AI1145" s="1684"/>
      <c r="AJ1145" s="1684"/>
      <c r="AK1145" s="1684"/>
      <c r="AL1145" s="1684"/>
      <c r="AM1145" s="1684"/>
      <c r="AN1145" s="1684"/>
      <c r="AO1145" s="1684"/>
      <c r="AP1145" s="1684"/>
      <c r="AQ1145" s="1684"/>
      <c r="AR1145" s="1684"/>
      <c r="AS1145" s="1684"/>
      <c r="AT1145" s="1684"/>
      <c r="AU1145" s="1684"/>
      <c r="AV1145" s="1684"/>
      <c r="AW1145" s="1684"/>
      <c r="AX1145" s="1684"/>
      <c r="AY1145" s="1684"/>
      <c r="AZ1145" s="1684"/>
      <c r="BA1145" s="1684"/>
      <c r="BB1145" s="1684"/>
      <c r="BC1145" s="1684"/>
      <c r="BD1145" s="1684"/>
      <c r="BE1145" s="1684"/>
      <c r="BF1145" s="1684"/>
      <c r="BG1145" s="1684"/>
      <c r="BH1145" s="1684"/>
      <c r="BI1145" s="1684"/>
      <c r="BJ1145" s="1684"/>
      <c r="BK1145" s="1684"/>
      <c r="BL1145" s="1684"/>
      <c r="BM1145" s="1684"/>
      <c r="BN1145" s="1684"/>
      <c r="BO1145" s="1684"/>
      <c r="BP1145" s="1684"/>
      <c r="BQ1145" s="1684"/>
      <c r="BR1145" s="1684"/>
      <c r="BS1145" s="1684"/>
      <c r="BT1145" s="1684"/>
      <c r="BU1145" s="1684"/>
      <c r="BV1145" s="1684"/>
      <c r="BW1145" s="1684"/>
      <c r="BX1145" s="1684"/>
      <c r="BY1145" s="1684"/>
      <c r="BZ1145" s="1684"/>
      <c r="CA1145" s="1684"/>
      <c r="CB1145" s="1684"/>
      <c r="CC1145" s="1684"/>
      <c r="CD1145" s="1684"/>
      <c r="CE1145" s="1684"/>
      <c r="CF1145" s="1684"/>
      <c r="CG1145" s="1684"/>
      <c r="CH1145" s="1684"/>
      <c r="CI1145" s="1684"/>
      <c r="CJ1145" s="1684"/>
      <c r="CK1145" s="1684"/>
      <c r="CL1145" s="1684"/>
      <c r="CM1145" s="1684"/>
      <c r="CN1145" s="1684"/>
      <c r="CO1145" s="1684"/>
    </row>
    <row r="1146" spans="1:93" s="1391" customFormat="1" ht="15" x14ac:dyDescent="0.2">
      <c r="A1146" s="1684"/>
      <c r="B1146" s="1684"/>
      <c r="C1146" s="2013">
        <v>13</v>
      </c>
      <c r="D1146" s="5">
        <v>6.9740000000000002</v>
      </c>
      <c r="E1146" s="5">
        <v>200</v>
      </c>
      <c r="F1146" s="5">
        <v>221</v>
      </c>
      <c r="G1146" s="5">
        <v>240</v>
      </c>
      <c r="H1146" s="5">
        <v>260</v>
      </c>
      <c r="I1146" s="5">
        <v>279</v>
      </c>
      <c r="J1146" s="5">
        <v>297</v>
      </c>
      <c r="K1146" s="5">
        <v>316</v>
      </c>
      <c r="L1146" s="5">
        <v>338</v>
      </c>
      <c r="M1146" s="5">
        <v>352</v>
      </c>
      <c r="N1146" s="5">
        <v>370</v>
      </c>
      <c r="O1146" s="5">
        <v>388</v>
      </c>
      <c r="P1146" s="5">
        <v>405</v>
      </c>
      <c r="Q1146" s="1160">
        <v>72</v>
      </c>
      <c r="R1146"/>
      <c r="S1146" s="1684"/>
      <c r="T1146" s="1684"/>
      <c r="U1146" s="1684"/>
      <c r="V1146" s="1684"/>
      <c r="W1146" s="1684"/>
      <c r="X1146" s="1684"/>
      <c r="Y1146" s="1684"/>
      <c r="Z1146" s="1684"/>
      <c r="AA1146" s="1684"/>
      <c r="AB1146" s="1684"/>
      <c r="AC1146" s="1684"/>
      <c r="AD1146" s="1684"/>
      <c r="AE1146" s="1684"/>
      <c r="AF1146" s="1684"/>
      <c r="AG1146" s="1684"/>
      <c r="AH1146" s="1684"/>
      <c r="AI1146" s="1684"/>
      <c r="AJ1146" s="1684"/>
      <c r="AK1146" s="1684"/>
      <c r="AL1146" s="1684"/>
      <c r="AM1146" s="1684"/>
      <c r="AN1146" s="1684"/>
      <c r="AO1146" s="1684"/>
      <c r="AP1146" s="1684"/>
      <c r="AQ1146" s="1684"/>
      <c r="AR1146" s="1684"/>
      <c r="AS1146" s="1684"/>
      <c r="AT1146" s="1684"/>
      <c r="AU1146" s="1684"/>
      <c r="AV1146" s="1684"/>
      <c r="AW1146" s="1684"/>
      <c r="AX1146" s="1684"/>
      <c r="AY1146" s="1684"/>
      <c r="AZ1146" s="1684"/>
      <c r="BA1146" s="1684"/>
      <c r="BB1146" s="1684"/>
      <c r="BC1146" s="1684"/>
      <c r="BD1146" s="1684"/>
      <c r="BE1146" s="1684"/>
      <c r="BF1146" s="1684"/>
      <c r="BG1146" s="1684"/>
      <c r="BH1146" s="1684"/>
      <c r="BI1146" s="1684"/>
      <c r="BJ1146" s="1684"/>
      <c r="BK1146" s="1684"/>
      <c r="BL1146" s="1684"/>
      <c r="BM1146" s="1684"/>
      <c r="BN1146" s="1684"/>
      <c r="BO1146" s="1684"/>
      <c r="BP1146" s="1684"/>
      <c r="BQ1146" s="1684"/>
      <c r="BR1146" s="1684"/>
      <c r="BS1146" s="1684"/>
      <c r="BT1146" s="1684"/>
      <c r="BU1146" s="1684"/>
      <c r="BV1146" s="1684"/>
      <c r="BW1146" s="1684"/>
      <c r="BX1146" s="1684"/>
      <c r="BY1146" s="1684"/>
      <c r="BZ1146" s="1684"/>
      <c r="CA1146" s="1684"/>
      <c r="CB1146" s="1684"/>
      <c r="CC1146" s="1684"/>
      <c r="CD1146" s="1684"/>
      <c r="CE1146" s="1684"/>
      <c r="CF1146" s="1684"/>
      <c r="CG1146" s="1684"/>
      <c r="CH1146" s="1684"/>
      <c r="CI1146" s="1684"/>
      <c r="CJ1146" s="1684"/>
      <c r="CK1146" s="1684"/>
      <c r="CL1146" s="1684"/>
      <c r="CM1146" s="1684"/>
      <c r="CN1146" s="1684"/>
      <c r="CO1146" s="1684"/>
    </row>
    <row r="1147" spans="1:93" s="1391" customFormat="1" ht="15" x14ac:dyDescent="0.2">
      <c r="A1147" s="1684"/>
      <c r="B1147" s="1684"/>
      <c r="C1147" s="2013">
        <v>14</v>
      </c>
      <c r="D1147" s="5">
        <v>7.3529999999999998</v>
      </c>
      <c r="E1147" s="5">
        <v>215</v>
      </c>
      <c r="F1147" s="5">
        <v>237</v>
      </c>
      <c r="G1147" s="5">
        <v>258</v>
      </c>
      <c r="H1147" s="5">
        <v>278</v>
      </c>
      <c r="I1147" s="5">
        <v>298</v>
      </c>
      <c r="J1147" s="5">
        <v>318</v>
      </c>
      <c r="K1147" s="5">
        <v>338</v>
      </c>
      <c r="L1147" s="5">
        <v>358</v>
      </c>
      <c r="M1147" s="5">
        <v>376</v>
      </c>
      <c r="N1147" s="5">
        <v>395</v>
      </c>
      <c r="O1147" s="5">
        <v>414</v>
      </c>
      <c r="P1147" s="5">
        <v>432</v>
      </c>
      <c r="Q1147" s="1160">
        <v>73</v>
      </c>
      <c r="R1147"/>
      <c r="S1147" s="1684"/>
      <c r="T1147" s="1684"/>
      <c r="U1147" s="1684"/>
      <c r="V1147" s="1684"/>
      <c r="W1147" s="1684"/>
      <c r="X1147" s="1684"/>
      <c r="Y1147" s="1684"/>
      <c r="Z1147" s="1684"/>
      <c r="AA1147" s="1684"/>
      <c r="AB1147" s="1684"/>
      <c r="AC1147" s="1684"/>
      <c r="AD1147" s="1684"/>
      <c r="AE1147" s="1684"/>
      <c r="AF1147" s="1684"/>
      <c r="AG1147" s="1684"/>
      <c r="AH1147" s="1684"/>
      <c r="AI1147" s="1684"/>
      <c r="AJ1147" s="1684"/>
      <c r="AK1147" s="1684"/>
      <c r="AL1147" s="1684"/>
      <c r="AM1147" s="1684"/>
      <c r="AN1147" s="1684"/>
      <c r="AO1147" s="1684"/>
      <c r="AP1147" s="1684"/>
      <c r="AQ1147" s="1684"/>
      <c r="AR1147" s="1684"/>
      <c r="AS1147" s="1684"/>
      <c r="AT1147" s="1684"/>
      <c r="AU1147" s="1684"/>
      <c r="AV1147" s="1684"/>
      <c r="AW1147" s="1684"/>
      <c r="AX1147" s="1684"/>
      <c r="AY1147" s="1684"/>
      <c r="AZ1147" s="1684"/>
      <c r="BA1147" s="1684"/>
      <c r="BB1147" s="1684"/>
      <c r="BC1147" s="1684"/>
      <c r="BD1147" s="1684"/>
      <c r="BE1147" s="1684"/>
      <c r="BF1147" s="1684"/>
      <c r="BG1147" s="1684"/>
      <c r="BH1147" s="1684"/>
      <c r="BI1147" s="1684"/>
      <c r="BJ1147" s="1684"/>
      <c r="BK1147" s="1684"/>
      <c r="BL1147" s="1684"/>
      <c r="BM1147" s="1684"/>
      <c r="BN1147" s="1684"/>
      <c r="BO1147" s="1684"/>
      <c r="BP1147" s="1684"/>
      <c r="BQ1147" s="1684"/>
      <c r="BR1147" s="1684"/>
      <c r="BS1147" s="1684"/>
      <c r="BT1147" s="1684"/>
      <c r="BU1147" s="1684"/>
      <c r="BV1147" s="1684"/>
      <c r="BW1147" s="1684"/>
      <c r="BX1147" s="1684"/>
      <c r="BY1147" s="1684"/>
      <c r="BZ1147" s="1684"/>
      <c r="CA1147" s="1684"/>
      <c r="CB1147" s="1684"/>
      <c r="CC1147" s="1684"/>
      <c r="CD1147" s="1684"/>
      <c r="CE1147" s="1684"/>
      <c r="CF1147" s="1684"/>
      <c r="CG1147" s="1684"/>
      <c r="CH1147" s="1684"/>
      <c r="CI1147" s="1684"/>
      <c r="CJ1147" s="1684"/>
      <c r="CK1147" s="1684"/>
      <c r="CL1147" s="1684"/>
      <c r="CM1147" s="1684"/>
      <c r="CN1147" s="1684"/>
      <c r="CO1147" s="1684"/>
    </row>
    <row r="1148" spans="1:93" s="1391" customFormat="1" ht="15" x14ac:dyDescent="0.2">
      <c r="A1148" s="1684"/>
      <c r="B1148" s="1684"/>
      <c r="C1148" s="2013">
        <v>15</v>
      </c>
      <c r="D1148" s="5">
        <v>7.7389999999999999</v>
      </c>
      <c r="E1148" s="5">
        <v>229</v>
      </c>
      <c r="F1148" s="5">
        <v>253</v>
      </c>
      <c r="G1148" s="5">
        <v>275</v>
      </c>
      <c r="H1148" s="5">
        <v>296</v>
      </c>
      <c r="I1148" s="5">
        <v>318</v>
      </c>
      <c r="J1148" s="5">
        <v>339</v>
      </c>
      <c r="K1148" s="5">
        <v>360</v>
      </c>
      <c r="L1148" s="5">
        <v>381</v>
      </c>
      <c r="M1148" s="5">
        <v>400</v>
      </c>
      <c r="N1148" s="5">
        <v>420</v>
      </c>
      <c r="O1148" s="5">
        <v>440</v>
      </c>
      <c r="P1148" s="5">
        <v>459</v>
      </c>
      <c r="Q1148" s="1160">
        <v>74</v>
      </c>
      <c r="R1148"/>
      <c r="S1148" s="1684"/>
      <c r="T1148" s="1684"/>
      <c r="U1148" s="1684"/>
      <c r="V1148" s="1684"/>
      <c r="W1148" s="1684"/>
      <c r="X1148" s="1684"/>
      <c r="Y1148" s="1684"/>
      <c r="Z1148" s="1684"/>
      <c r="AA1148" s="1684"/>
      <c r="AB1148" s="1684"/>
      <c r="AC1148" s="1684"/>
      <c r="AD1148" s="1684"/>
      <c r="AE1148" s="1684"/>
      <c r="AF1148" s="1684"/>
      <c r="AG1148" s="1684"/>
      <c r="AH1148" s="1684"/>
      <c r="AI1148" s="1684"/>
      <c r="AJ1148" s="1684"/>
      <c r="AK1148" s="1684"/>
      <c r="AL1148" s="1684"/>
      <c r="AM1148" s="1684"/>
      <c r="AN1148" s="1684"/>
      <c r="AO1148" s="1684"/>
      <c r="AP1148" s="1684"/>
      <c r="AQ1148" s="1684"/>
      <c r="AR1148" s="1684"/>
      <c r="AS1148" s="1684"/>
      <c r="AT1148" s="1684"/>
      <c r="AU1148" s="1684"/>
      <c r="AV1148" s="1684"/>
      <c r="AW1148" s="1684"/>
      <c r="AX1148" s="1684"/>
      <c r="AY1148" s="1684"/>
      <c r="AZ1148" s="1684"/>
      <c r="BA1148" s="1684"/>
      <c r="BB1148" s="1684"/>
      <c r="BC1148" s="1684"/>
      <c r="BD1148" s="1684"/>
      <c r="BE1148" s="1684"/>
      <c r="BF1148" s="1684"/>
      <c r="BG1148" s="1684"/>
      <c r="BH1148" s="1684"/>
      <c r="BI1148" s="1684"/>
      <c r="BJ1148" s="1684"/>
      <c r="BK1148" s="1684"/>
      <c r="BL1148" s="1684"/>
      <c r="BM1148" s="1684"/>
      <c r="BN1148" s="1684"/>
      <c r="BO1148" s="1684"/>
      <c r="BP1148" s="1684"/>
      <c r="BQ1148" s="1684"/>
      <c r="BR1148" s="1684"/>
      <c r="BS1148" s="1684"/>
      <c r="BT1148" s="1684"/>
      <c r="BU1148" s="1684"/>
      <c r="BV1148" s="1684"/>
      <c r="BW1148" s="1684"/>
      <c r="BX1148" s="1684"/>
      <c r="BY1148" s="1684"/>
      <c r="BZ1148" s="1684"/>
      <c r="CA1148" s="1684"/>
      <c r="CB1148" s="1684"/>
      <c r="CC1148" s="1684"/>
      <c r="CD1148" s="1684"/>
      <c r="CE1148" s="1684"/>
      <c r="CF1148" s="1684"/>
      <c r="CG1148" s="1684"/>
      <c r="CH1148" s="1684"/>
      <c r="CI1148" s="1684"/>
      <c r="CJ1148" s="1684"/>
      <c r="CK1148" s="1684"/>
      <c r="CL1148" s="1684"/>
      <c r="CM1148" s="1684"/>
      <c r="CN1148" s="1684"/>
      <c r="CO1148" s="1684"/>
    </row>
    <row r="1149" spans="1:93" s="1391" customFormat="1" ht="15" x14ac:dyDescent="0.2">
      <c r="A1149" s="1684"/>
      <c r="B1149" s="1684"/>
      <c r="C1149" s="2013">
        <v>16</v>
      </c>
      <c r="D1149" s="5">
        <v>8.2569999999999997</v>
      </c>
      <c r="E1149" s="5">
        <v>243</v>
      </c>
      <c r="F1149" s="5">
        <v>268</v>
      </c>
      <c r="G1149" s="5">
        <v>291</v>
      </c>
      <c r="H1149" s="5">
        <v>314</v>
      </c>
      <c r="I1149" s="5">
        <v>336</v>
      </c>
      <c r="J1149" s="5">
        <v>358</v>
      </c>
      <c r="K1149" s="5">
        <v>380</v>
      </c>
      <c r="L1149" s="5">
        <v>403</v>
      </c>
      <c r="M1149" s="5">
        <v>423</v>
      </c>
      <c r="N1149" s="5">
        <v>444</v>
      </c>
      <c r="O1149" s="5">
        <v>465</v>
      </c>
      <c r="P1149" s="5">
        <v>485</v>
      </c>
      <c r="Q1149" s="1160">
        <v>75</v>
      </c>
      <c r="R1149"/>
      <c r="S1149" s="1684"/>
      <c r="T1149" s="1684"/>
      <c r="U1149" s="1684"/>
      <c r="V1149" s="1684"/>
      <c r="W1149" s="1684"/>
      <c r="X1149" s="1684"/>
      <c r="Y1149" s="1684"/>
      <c r="Z1149" s="1684"/>
      <c r="AA1149" s="1684"/>
      <c r="AB1149" s="1684"/>
      <c r="AC1149" s="1684"/>
      <c r="AD1149" s="1684"/>
      <c r="AE1149" s="1684"/>
      <c r="AF1149" s="1684"/>
      <c r="AG1149" s="1684"/>
      <c r="AH1149" s="1684"/>
      <c r="AI1149" s="1684"/>
      <c r="AJ1149" s="1684"/>
      <c r="AK1149" s="1684"/>
      <c r="AL1149" s="1684"/>
      <c r="AM1149" s="1684"/>
      <c r="AN1149" s="1684"/>
      <c r="AO1149" s="1684"/>
      <c r="AP1149" s="1684"/>
      <c r="AQ1149" s="1684"/>
      <c r="AR1149" s="1684"/>
      <c r="AS1149" s="1684"/>
      <c r="AT1149" s="1684"/>
      <c r="AU1149" s="1684"/>
      <c r="AV1149" s="1684"/>
      <c r="AW1149" s="1684"/>
      <c r="AX1149" s="1684"/>
      <c r="AY1149" s="1684"/>
      <c r="AZ1149" s="1684"/>
      <c r="BA1149" s="1684"/>
      <c r="BB1149" s="1684"/>
      <c r="BC1149" s="1684"/>
      <c r="BD1149" s="1684"/>
      <c r="BE1149" s="1684"/>
      <c r="BF1149" s="1684"/>
      <c r="BG1149" s="1684"/>
      <c r="BH1149" s="1684"/>
      <c r="BI1149" s="1684"/>
      <c r="BJ1149" s="1684"/>
      <c r="BK1149" s="1684"/>
      <c r="BL1149" s="1684"/>
      <c r="BM1149" s="1684"/>
      <c r="BN1149" s="1684"/>
      <c r="BO1149" s="1684"/>
      <c r="BP1149" s="1684"/>
      <c r="BQ1149" s="1684"/>
      <c r="BR1149" s="1684"/>
      <c r="BS1149" s="1684"/>
      <c r="BT1149" s="1684"/>
      <c r="BU1149" s="1684"/>
      <c r="BV1149" s="1684"/>
      <c r="BW1149" s="1684"/>
      <c r="BX1149" s="1684"/>
      <c r="BY1149" s="1684"/>
      <c r="BZ1149" s="1684"/>
      <c r="CA1149" s="1684"/>
      <c r="CB1149" s="1684"/>
      <c r="CC1149" s="1684"/>
      <c r="CD1149" s="1684"/>
      <c r="CE1149" s="1684"/>
      <c r="CF1149" s="1684"/>
      <c r="CG1149" s="1684"/>
      <c r="CH1149" s="1684"/>
      <c r="CI1149" s="1684"/>
      <c r="CJ1149" s="1684"/>
      <c r="CK1149" s="1684"/>
      <c r="CL1149" s="1684"/>
      <c r="CM1149" s="1684"/>
      <c r="CN1149" s="1684"/>
      <c r="CO1149" s="1684"/>
    </row>
    <row r="1150" spans="1:93" s="1391" customFormat="1" ht="15" x14ac:dyDescent="0.2">
      <c r="A1150" s="1684"/>
      <c r="B1150" s="1684"/>
      <c r="C1150" s="2013">
        <v>17</v>
      </c>
      <c r="D1150" s="5">
        <v>8.8140000000000001</v>
      </c>
      <c r="E1150" s="5">
        <v>256</v>
      </c>
      <c r="F1150" s="5">
        <v>281</v>
      </c>
      <c r="G1150" s="5">
        <v>306</v>
      </c>
      <c r="H1150" s="5">
        <v>330</v>
      </c>
      <c r="I1150" s="5">
        <v>353</v>
      </c>
      <c r="J1150" s="5">
        <v>376</v>
      </c>
      <c r="K1150" s="5">
        <v>399</v>
      </c>
      <c r="L1150" s="5">
        <v>422</v>
      </c>
      <c r="M1150" s="5">
        <v>443</v>
      </c>
      <c r="N1150" s="5">
        <v>465</v>
      </c>
      <c r="O1150" s="5">
        <v>487</v>
      </c>
      <c r="P1150" s="5">
        <v>508</v>
      </c>
      <c r="Q1150" s="1160">
        <v>76</v>
      </c>
      <c r="R1150"/>
      <c r="S1150" s="1684"/>
      <c r="T1150" s="1684"/>
      <c r="U1150" s="1684"/>
      <c r="V1150" s="1684"/>
      <c r="W1150" s="1684"/>
      <c r="X1150" s="1684"/>
      <c r="Y1150" s="1684"/>
      <c r="Z1150" s="1684"/>
      <c r="AA1150" s="1684"/>
      <c r="AB1150" s="1684"/>
      <c r="AC1150" s="1684"/>
      <c r="AD1150" s="1684"/>
      <c r="AE1150" s="1684"/>
      <c r="AF1150" s="1684"/>
      <c r="AG1150" s="1684"/>
      <c r="AH1150" s="1684"/>
      <c r="AI1150" s="1684"/>
      <c r="AJ1150" s="1684"/>
      <c r="AK1150" s="1684"/>
      <c r="AL1150" s="1684"/>
      <c r="AM1150" s="1684"/>
      <c r="AN1150" s="1684"/>
      <c r="AO1150" s="1684"/>
      <c r="AP1150" s="1684"/>
      <c r="AQ1150" s="1684"/>
      <c r="AR1150" s="1684"/>
      <c r="AS1150" s="1684"/>
      <c r="AT1150" s="1684"/>
      <c r="AU1150" s="1684"/>
      <c r="AV1150" s="1684"/>
      <c r="AW1150" s="1684"/>
      <c r="AX1150" s="1684"/>
      <c r="AY1150" s="1684"/>
      <c r="AZ1150" s="1684"/>
      <c r="BA1150" s="1684"/>
      <c r="BB1150" s="1684"/>
      <c r="BC1150" s="1684"/>
      <c r="BD1150" s="1684"/>
      <c r="BE1150" s="1684"/>
      <c r="BF1150" s="1684"/>
      <c r="BG1150" s="1684"/>
      <c r="BH1150" s="1684"/>
      <c r="BI1150" s="1684"/>
      <c r="BJ1150" s="1684"/>
      <c r="BK1150" s="1684"/>
      <c r="BL1150" s="1684"/>
      <c r="BM1150" s="1684"/>
      <c r="BN1150" s="1684"/>
      <c r="BO1150" s="1684"/>
      <c r="BP1150" s="1684"/>
      <c r="BQ1150" s="1684"/>
      <c r="BR1150" s="1684"/>
      <c r="BS1150" s="1684"/>
      <c r="BT1150" s="1684"/>
      <c r="BU1150" s="1684"/>
      <c r="BV1150" s="1684"/>
      <c r="BW1150" s="1684"/>
      <c r="BX1150" s="1684"/>
      <c r="BY1150" s="1684"/>
      <c r="BZ1150" s="1684"/>
      <c r="CA1150" s="1684"/>
      <c r="CB1150" s="1684"/>
      <c r="CC1150" s="1684"/>
      <c r="CD1150" s="1684"/>
      <c r="CE1150" s="1684"/>
      <c r="CF1150" s="1684"/>
      <c r="CG1150" s="1684"/>
      <c r="CH1150" s="1684"/>
      <c r="CI1150" s="1684"/>
      <c r="CJ1150" s="1684"/>
      <c r="CK1150" s="1684"/>
      <c r="CL1150" s="1684"/>
      <c r="CM1150" s="1684"/>
      <c r="CN1150" s="1684"/>
      <c r="CO1150" s="1684"/>
    </row>
    <row r="1151" spans="1:93" s="1391" customFormat="1" ht="15" x14ac:dyDescent="0.2">
      <c r="A1151" s="1684"/>
      <c r="B1151" s="1684"/>
      <c r="C1151" s="2013">
        <v>18</v>
      </c>
      <c r="D1151" s="5">
        <v>9.1300000000000008</v>
      </c>
      <c r="E1151" s="5">
        <v>267</v>
      </c>
      <c r="F1151" s="5">
        <v>294</v>
      </c>
      <c r="G1151" s="5">
        <v>319</v>
      </c>
      <c r="H1151" s="5">
        <v>344</v>
      </c>
      <c r="I1151" s="5">
        <v>368</v>
      </c>
      <c r="J1151" s="5">
        <v>392</v>
      </c>
      <c r="K1151" s="5">
        <v>416</v>
      </c>
      <c r="L1151" s="5">
        <v>440</v>
      </c>
      <c r="M1151" s="5">
        <v>462</v>
      </c>
      <c r="N1151" s="5">
        <v>484</v>
      </c>
      <c r="O1151" s="5">
        <v>506</v>
      </c>
      <c r="P1151" s="5">
        <v>528</v>
      </c>
      <c r="Q1151" s="1160">
        <v>77</v>
      </c>
      <c r="R1151"/>
      <c r="S1151" s="1684"/>
      <c r="T1151" s="1684"/>
      <c r="U1151" s="1684"/>
      <c r="V1151" s="1684"/>
      <c r="W1151" s="1684"/>
      <c r="X1151" s="1684"/>
      <c r="Y1151" s="1684"/>
      <c r="Z1151" s="1684"/>
      <c r="AA1151" s="1684"/>
      <c r="AB1151" s="1684"/>
      <c r="AC1151" s="1684"/>
      <c r="AD1151" s="1684"/>
      <c r="AE1151" s="1684"/>
      <c r="AF1151" s="1684"/>
      <c r="AG1151" s="1684"/>
      <c r="AH1151" s="1684"/>
      <c r="AI1151" s="1684"/>
      <c r="AJ1151" s="1684"/>
      <c r="AK1151" s="1684"/>
      <c r="AL1151" s="1684"/>
      <c r="AM1151" s="1684"/>
      <c r="AN1151" s="1684"/>
      <c r="AO1151" s="1684"/>
      <c r="AP1151" s="1684"/>
      <c r="AQ1151" s="1684"/>
      <c r="AR1151" s="1684"/>
      <c r="AS1151" s="1684"/>
      <c r="AT1151" s="1684"/>
      <c r="AU1151" s="1684"/>
      <c r="AV1151" s="1684"/>
      <c r="AW1151" s="1684"/>
      <c r="AX1151" s="1684"/>
      <c r="AY1151" s="1684"/>
      <c r="AZ1151" s="1684"/>
      <c r="BA1151" s="1684"/>
      <c r="BB1151" s="1684"/>
      <c r="BC1151" s="1684"/>
      <c r="BD1151" s="1684"/>
      <c r="BE1151" s="1684"/>
      <c r="BF1151" s="1684"/>
      <c r="BG1151" s="1684"/>
      <c r="BH1151" s="1684"/>
      <c r="BI1151" s="1684"/>
      <c r="BJ1151" s="1684"/>
      <c r="BK1151" s="1684"/>
      <c r="BL1151" s="1684"/>
      <c r="BM1151" s="1684"/>
      <c r="BN1151" s="1684"/>
      <c r="BO1151" s="1684"/>
      <c r="BP1151" s="1684"/>
      <c r="BQ1151" s="1684"/>
      <c r="BR1151" s="1684"/>
      <c r="BS1151" s="1684"/>
      <c r="BT1151" s="1684"/>
      <c r="BU1151" s="1684"/>
      <c r="BV1151" s="1684"/>
      <c r="BW1151" s="1684"/>
      <c r="BX1151" s="1684"/>
      <c r="BY1151" s="1684"/>
      <c r="BZ1151" s="1684"/>
      <c r="CA1151" s="1684"/>
      <c r="CB1151" s="1684"/>
      <c r="CC1151" s="1684"/>
      <c r="CD1151" s="1684"/>
      <c r="CE1151" s="1684"/>
      <c r="CF1151" s="1684"/>
      <c r="CG1151" s="1684"/>
      <c r="CH1151" s="1684"/>
      <c r="CI1151" s="1684"/>
      <c r="CJ1151" s="1684"/>
      <c r="CK1151" s="1684"/>
      <c r="CL1151" s="1684"/>
      <c r="CM1151" s="1684"/>
      <c r="CN1151" s="1684"/>
      <c r="CO1151" s="1684"/>
    </row>
    <row r="1152" spans="1:93" s="1391" customFormat="1" ht="15" x14ac:dyDescent="0.2">
      <c r="A1152" s="1684"/>
      <c r="B1152" s="1684"/>
      <c r="C1152" s="4680" t="s">
        <v>3693</v>
      </c>
      <c r="D1152" s="4681"/>
      <c r="E1152" s="4681"/>
      <c r="F1152" s="4681"/>
      <c r="G1152" s="4681"/>
      <c r="H1152" s="4681"/>
      <c r="I1152" s="4681"/>
      <c r="J1152" s="4681"/>
      <c r="K1152" s="4681"/>
      <c r="L1152" s="4681"/>
      <c r="M1152" s="4681"/>
      <c r="N1152" s="4681"/>
      <c r="O1152" s="4681"/>
      <c r="P1152" s="4681"/>
      <c r="Q1152" s="4682"/>
      <c r="R1152"/>
      <c r="S1152" s="1684"/>
      <c r="T1152" s="1684"/>
      <c r="U1152" s="1684"/>
      <c r="V1152" s="1684"/>
      <c r="W1152" s="1684"/>
      <c r="X1152" s="1684"/>
      <c r="Y1152" s="1684"/>
      <c r="Z1152" s="1684"/>
      <c r="AA1152" s="1684"/>
      <c r="AB1152" s="1684"/>
      <c r="AC1152" s="1684"/>
      <c r="AD1152" s="1684"/>
      <c r="AE1152" s="1684"/>
      <c r="AF1152" s="1684"/>
      <c r="AG1152" s="1684"/>
      <c r="AH1152" s="1684"/>
      <c r="AI1152" s="1684"/>
      <c r="AJ1152" s="1684"/>
      <c r="AK1152" s="1684"/>
      <c r="AL1152" s="1684"/>
      <c r="AM1152" s="1684"/>
      <c r="AN1152" s="1684"/>
      <c r="AO1152" s="1684"/>
      <c r="AP1152" s="1684"/>
      <c r="AQ1152" s="1684"/>
      <c r="AR1152" s="1684"/>
      <c r="AS1152" s="1684"/>
      <c r="AT1152" s="1684"/>
      <c r="AU1152" s="1684"/>
      <c r="AV1152" s="1684"/>
      <c r="AW1152" s="1684"/>
      <c r="AX1152" s="1684"/>
      <c r="AY1152" s="1684"/>
      <c r="AZ1152" s="1684"/>
      <c r="BA1152" s="1684"/>
      <c r="BB1152" s="1684"/>
      <c r="BC1152" s="1684"/>
      <c r="BD1152" s="1684"/>
      <c r="BE1152" s="1684"/>
      <c r="BF1152" s="1684"/>
      <c r="BG1152" s="1684"/>
      <c r="BH1152" s="1684"/>
      <c r="BI1152" s="1684"/>
      <c r="BJ1152" s="1684"/>
      <c r="BK1152" s="1684"/>
      <c r="BL1152" s="1684"/>
      <c r="BM1152" s="1684"/>
      <c r="BN1152" s="1684"/>
      <c r="BO1152" s="1684"/>
      <c r="BP1152" s="1684"/>
      <c r="BQ1152" s="1684"/>
      <c r="BR1152" s="1684"/>
      <c r="BS1152" s="1684"/>
      <c r="BT1152" s="1684"/>
      <c r="BU1152" s="1684"/>
      <c r="BV1152" s="1684"/>
      <c r="BW1152" s="1684"/>
      <c r="BX1152" s="1684"/>
      <c r="BY1152" s="1684"/>
      <c r="BZ1152" s="1684"/>
      <c r="CA1152" s="1684"/>
      <c r="CB1152" s="1684"/>
      <c r="CC1152" s="1684"/>
      <c r="CD1152" s="1684"/>
      <c r="CE1152" s="1684"/>
      <c r="CF1152" s="1684"/>
      <c r="CG1152" s="1684"/>
      <c r="CH1152" s="1684"/>
      <c r="CI1152" s="1684"/>
      <c r="CJ1152" s="1684"/>
      <c r="CK1152" s="1684"/>
      <c r="CL1152" s="1684"/>
      <c r="CM1152" s="1684"/>
      <c r="CN1152" s="1684"/>
      <c r="CO1152" s="1684"/>
    </row>
    <row r="1153" spans="1:93" s="1391" customFormat="1" ht="15" x14ac:dyDescent="0.2">
      <c r="A1153" s="1684"/>
      <c r="B1153" s="1684"/>
      <c r="C1153" s="4680"/>
      <c r="D1153" s="4681"/>
      <c r="E1153" s="4681"/>
      <c r="F1153" s="4681"/>
      <c r="G1153" s="4681"/>
      <c r="H1153" s="4681"/>
      <c r="I1153" s="4681"/>
      <c r="J1153" s="4681"/>
      <c r="K1153" s="4681"/>
      <c r="L1153" s="4681"/>
      <c r="M1153" s="4681"/>
      <c r="N1153" s="4681"/>
      <c r="O1153" s="4681"/>
      <c r="P1153" s="4681"/>
      <c r="Q1153" s="4682"/>
      <c r="R1153"/>
      <c r="S1153" s="1684"/>
      <c r="T1153" s="1684"/>
      <c r="U1153" s="1684"/>
      <c r="V1153" s="1684"/>
      <c r="W1153" s="1684"/>
      <c r="X1153" s="1684"/>
      <c r="Y1153" s="1684"/>
      <c r="Z1153" s="1684"/>
      <c r="AA1153" s="1684"/>
      <c r="AB1153" s="1684"/>
      <c r="AC1153" s="1684"/>
      <c r="AD1153" s="1684"/>
      <c r="AE1153" s="1684"/>
      <c r="AF1153" s="1684"/>
      <c r="AG1153" s="1684"/>
      <c r="AH1153" s="1684"/>
      <c r="AI1153" s="1684"/>
      <c r="AJ1153" s="1684"/>
      <c r="AK1153" s="1684"/>
      <c r="AL1153" s="1684"/>
      <c r="AM1153" s="1684"/>
      <c r="AN1153" s="1684"/>
      <c r="AO1153" s="1684"/>
      <c r="AP1153" s="1684"/>
      <c r="AQ1153" s="1684"/>
      <c r="AR1153" s="1684"/>
      <c r="AS1153" s="1684"/>
      <c r="AT1153" s="1684"/>
      <c r="AU1153" s="1684"/>
      <c r="AV1153" s="1684"/>
      <c r="AW1153" s="1684"/>
      <c r="AX1153" s="1684"/>
      <c r="AY1153" s="1684"/>
      <c r="AZ1153" s="1684"/>
      <c r="BA1153" s="1684"/>
      <c r="BB1153" s="1684"/>
      <c r="BC1153" s="1684"/>
      <c r="BD1153" s="1684"/>
      <c r="BE1153" s="1684"/>
      <c r="BF1153" s="1684"/>
      <c r="BG1153" s="1684"/>
      <c r="BH1153" s="1684"/>
      <c r="BI1153" s="1684"/>
      <c r="BJ1153" s="1684"/>
      <c r="BK1153" s="1684"/>
      <c r="BL1153" s="1684"/>
      <c r="BM1153" s="1684"/>
      <c r="BN1153" s="1684"/>
      <c r="BO1153" s="1684"/>
      <c r="BP1153" s="1684"/>
      <c r="BQ1153" s="1684"/>
      <c r="BR1153" s="1684"/>
      <c r="BS1153" s="1684"/>
      <c r="BT1153" s="1684"/>
      <c r="BU1153" s="1684"/>
      <c r="BV1153" s="1684"/>
      <c r="BW1153" s="1684"/>
      <c r="BX1153" s="1684"/>
      <c r="BY1153" s="1684"/>
      <c r="BZ1153" s="1684"/>
      <c r="CA1153" s="1684"/>
      <c r="CB1153" s="1684"/>
      <c r="CC1153" s="1684"/>
      <c r="CD1153" s="1684"/>
      <c r="CE1153" s="1684"/>
      <c r="CF1153" s="1684"/>
      <c r="CG1153" s="1684"/>
      <c r="CH1153" s="1684"/>
      <c r="CI1153" s="1684"/>
      <c r="CJ1153" s="1684"/>
      <c r="CK1153" s="1684"/>
      <c r="CL1153" s="1684"/>
      <c r="CM1153" s="1684"/>
      <c r="CN1153" s="1684"/>
      <c r="CO1153" s="1684"/>
    </row>
    <row r="1154" spans="1:93" s="1391" customFormat="1" ht="15" x14ac:dyDescent="0.2">
      <c r="A1154" s="1684"/>
      <c r="B1154" s="1684"/>
      <c r="C1154" s="2013"/>
      <c r="D1154" s="5"/>
      <c r="E1154" s="5">
        <v>1</v>
      </c>
      <c r="F1154" s="5">
        <v>2</v>
      </c>
      <c r="G1154" s="5">
        <v>3</v>
      </c>
      <c r="H1154" s="5">
        <v>4</v>
      </c>
      <c r="I1154" s="5">
        <v>5</v>
      </c>
      <c r="J1154" s="5">
        <v>6</v>
      </c>
      <c r="K1154" s="5">
        <v>7</v>
      </c>
      <c r="L1154" s="5">
        <v>8</v>
      </c>
      <c r="M1154" s="5">
        <v>9</v>
      </c>
      <c r="N1154" s="5">
        <v>10</v>
      </c>
      <c r="O1154" s="5">
        <v>11</v>
      </c>
      <c r="P1154" s="5">
        <v>12</v>
      </c>
      <c r="Q1154" s="1160"/>
      <c r="R1154"/>
      <c r="S1154" s="1684"/>
      <c r="T1154" s="1684"/>
      <c r="U1154" s="1684"/>
      <c r="V1154" s="1684"/>
      <c r="W1154" s="1684"/>
      <c r="X1154" s="1684"/>
      <c r="Y1154" s="1684"/>
      <c r="Z1154" s="1684"/>
      <c r="AA1154" s="1684"/>
      <c r="AB1154" s="1684"/>
      <c r="AC1154" s="1684"/>
      <c r="AD1154" s="1684"/>
      <c r="AE1154" s="1684"/>
      <c r="AF1154" s="1684"/>
      <c r="AG1154" s="1684"/>
      <c r="AH1154" s="1684"/>
      <c r="AI1154" s="1684"/>
      <c r="AJ1154" s="1684"/>
      <c r="AK1154" s="1684"/>
      <c r="AL1154" s="1684"/>
      <c r="AM1154" s="1684"/>
      <c r="AN1154" s="1684"/>
      <c r="AO1154" s="1684"/>
      <c r="AP1154" s="1684"/>
      <c r="AQ1154" s="1684"/>
      <c r="AR1154" s="1684"/>
      <c r="AS1154" s="1684"/>
      <c r="AT1154" s="1684"/>
      <c r="AU1154" s="1684"/>
      <c r="AV1154" s="1684"/>
      <c r="AW1154" s="1684"/>
      <c r="AX1154" s="1684"/>
      <c r="AY1154" s="1684"/>
      <c r="AZ1154" s="1684"/>
      <c r="BA1154" s="1684"/>
      <c r="BB1154" s="1684"/>
      <c r="BC1154" s="1684"/>
      <c r="BD1154" s="1684"/>
      <c r="BE1154" s="1684"/>
      <c r="BF1154" s="1684"/>
      <c r="BG1154" s="1684"/>
      <c r="BH1154" s="1684"/>
      <c r="BI1154" s="1684"/>
      <c r="BJ1154" s="1684"/>
      <c r="BK1154" s="1684"/>
      <c r="BL1154" s="1684"/>
      <c r="BM1154" s="1684"/>
      <c r="BN1154" s="1684"/>
      <c r="BO1154" s="1684"/>
      <c r="BP1154" s="1684"/>
      <c r="BQ1154" s="1684"/>
      <c r="BR1154" s="1684"/>
      <c r="BS1154" s="1684"/>
      <c r="BT1154" s="1684"/>
      <c r="BU1154" s="1684"/>
      <c r="BV1154" s="1684"/>
      <c r="BW1154" s="1684"/>
      <c r="BX1154" s="1684"/>
      <c r="BY1154" s="1684"/>
      <c r="BZ1154" s="1684"/>
      <c r="CA1154" s="1684"/>
      <c r="CB1154" s="1684"/>
      <c r="CC1154" s="1684"/>
      <c r="CD1154" s="1684"/>
      <c r="CE1154" s="1684"/>
      <c r="CF1154" s="1684"/>
      <c r="CG1154" s="1684"/>
      <c r="CH1154" s="1684"/>
      <c r="CI1154" s="1684"/>
      <c r="CJ1154" s="1684"/>
      <c r="CK1154" s="1684"/>
      <c r="CL1154" s="1684"/>
      <c r="CM1154" s="1684"/>
      <c r="CN1154" s="1684"/>
      <c r="CO1154" s="1684"/>
    </row>
    <row r="1155" spans="1:93" s="1391" customFormat="1" ht="15" x14ac:dyDescent="0.2">
      <c r="A1155" s="1684"/>
      <c r="B1155" s="1684"/>
      <c r="C1155" s="2013">
        <v>8</v>
      </c>
      <c r="D1155" s="5">
        <v>5.3819999999999997</v>
      </c>
      <c r="E1155" s="5">
        <v>136</v>
      </c>
      <c r="F1155" s="5">
        <v>150</v>
      </c>
      <c r="G1155" s="5">
        <v>164</v>
      </c>
      <c r="H1155" s="5">
        <v>177</v>
      </c>
      <c r="I1155" s="5">
        <v>191</v>
      </c>
      <c r="J1155" s="5">
        <v>204</v>
      </c>
      <c r="K1155" s="5">
        <v>217</v>
      </c>
      <c r="L1155" s="5">
        <v>231</v>
      </c>
      <c r="M1155" s="5">
        <v>243</v>
      </c>
      <c r="N1155" s="5">
        <v>256</v>
      </c>
      <c r="O1155" s="5">
        <v>268</v>
      </c>
      <c r="P1155" s="5">
        <v>281</v>
      </c>
      <c r="Q1155" s="1160">
        <v>78</v>
      </c>
      <c r="R1155"/>
      <c r="S1155" s="1684"/>
      <c r="T1155" s="1684"/>
      <c r="U1155" s="1684"/>
      <c r="V1155" s="1684"/>
      <c r="W1155" s="1684"/>
      <c r="X1155" s="1684"/>
      <c r="Y1155" s="1684"/>
      <c r="Z1155" s="1684"/>
      <c r="AA1155" s="1684"/>
      <c r="AB1155" s="1684"/>
      <c r="AC1155" s="1684"/>
      <c r="AD1155" s="1684"/>
      <c r="AE1155" s="1684"/>
      <c r="AF1155" s="1684"/>
      <c r="AG1155" s="1684"/>
      <c r="AH1155" s="1684"/>
      <c r="AI1155" s="1684"/>
      <c r="AJ1155" s="1684"/>
      <c r="AK1155" s="1684"/>
      <c r="AL1155" s="1684"/>
      <c r="AM1155" s="1684"/>
      <c r="AN1155" s="1684"/>
      <c r="AO1155" s="1684"/>
      <c r="AP1155" s="1684"/>
      <c r="AQ1155" s="1684"/>
      <c r="AR1155" s="1684"/>
      <c r="AS1155" s="1684"/>
      <c r="AT1155" s="1684"/>
      <c r="AU1155" s="1684"/>
      <c r="AV1155" s="1684"/>
      <c r="AW1155" s="1684"/>
      <c r="AX1155" s="1684"/>
      <c r="AY1155" s="1684"/>
      <c r="AZ1155" s="1684"/>
      <c r="BA1155" s="1684"/>
      <c r="BB1155" s="1684"/>
      <c r="BC1155" s="1684"/>
      <c r="BD1155" s="1684"/>
      <c r="BE1155" s="1684"/>
      <c r="BF1155" s="1684"/>
      <c r="BG1155" s="1684"/>
      <c r="BH1155" s="1684"/>
      <c r="BI1155" s="1684"/>
      <c r="BJ1155" s="1684"/>
      <c r="BK1155" s="1684"/>
      <c r="BL1155" s="1684"/>
      <c r="BM1155" s="1684"/>
      <c r="BN1155" s="1684"/>
      <c r="BO1155" s="1684"/>
      <c r="BP1155" s="1684"/>
      <c r="BQ1155" s="1684"/>
      <c r="BR1155" s="1684"/>
      <c r="BS1155" s="1684"/>
      <c r="BT1155" s="1684"/>
      <c r="BU1155" s="1684"/>
      <c r="BV1155" s="1684"/>
      <c r="BW1155" s="1684"/>
      <c r="BX1155" s="1684"/>
      <c r="BY1155" s="1684"/>
      <c r="BZ1155" s="1684"/>
      <c r="CA1155" s="1684"/>
      <c r="CB1155" s="1684"/>
      <c r="CC1155" s="1684"/>
      <c r="CD1155" s="1684"/>
      <c r="CE1155" s="1684"/>
      <c r="CF1155" s="1684"/>
      <c r="CG1155" s="1684"/>
      <c r="CH1155" s="1684"/>
      <c r="CI1155" s="1684"/>
      <c r="CJ1155" s="1684"/>
      <c r="CK1155" s="1684"/>
      <c r="CL1155" s="1684"/>
      <c r="CM1155" s="1684"/>
      <c r="CN1155" s="1684"/>
      <c r="CO1155" s="1684"/>
    </row>
    <row r="1156" spans="1:93" s="1391" customFormat="1" ht="15" x14ac:dyDescent="0.2">
      <c r="A1156" s="1684"/>
      <c r="B1156" s="1684"/>
      <c r="C1156" s="2013">
        <v>9</v>
      </c>
      <c r="D1156" s="5">
        <v>5.6959999999999997</v>
      </c>
      <c r="E1156" s="5">
        <v>149</v>
      </c>
      <c r="F1156" s="5">
        <v>164</v>
      </c>
      <c r="G1156" s="5">
        <v>179</v>
      </c>
      <c r="H1156" s="5">
        <v>194</v>
      </c>
      <c r="I1156" s="5">
        <v>208</v>
      </c>
      <c r="J1156" s="5">
        <v>223</v>
      </c>
      <c r="K1156" s="5">
        <v>237</v>
      </c>
      <c r="L1156" s="5">
        <v>252</v>
      </c>
      <c r="M1156" s="5">
        <v>265</v>
      </c>
      <c r="N1156" s="5">
        <v>279</v>
      </c>
      <c r="O1156" s="5">
        <v>292</v>
      </c>
      <c r="P1156" s="5">
        <v>306</v>
      </c>
      <c r="Q1156" s="1160">
        <v>79</v>
      </c>
      <c r="R1156"/>
      <c r="S1156" s="1684"/>
      <c r="T1156" s="1684"/>
      <c r="U1156" s="1684"/>
      <c r="V1156" s="1684"/>
      <c r="W1156" s="1684"/>
      <c r="X1156" s="1684"/>
      <c r="Y1156" s="1684"/>
      <c r="Z1156" s="1684"/>
      <c r="AA1156" s="1684"/>
      <c r="AB1156" s="1684"/>
      <c r="AC1156" s="1684"/>
      <c r="AD1156" s="1684"/>
      <c r="AE1156" s="1684"/>
      <c r="AF1156" s="1684"/>
      <c r="AG1156" s="1684"/>
      <c r="AH1156" s="1684"/>
      <c r="AI1156" s="1684"/>
      <c r="AJ1156" s="1684"/>
      <c r="AK1156" s="1684"/>
      <c r="AL1156" s="1684"/>
      <c r="AM1156" s="1684"/>
      <c r="AN1156" s="1684"/>
      <c r="AO1156" s="1684"/>
      <c r="AP1156" s="1684"/>
      <c r="AQ1156" s="1684"/>
      <c r="AR1156" s="1684"/>
      <c r="AS1156" s="1684"/>
      <c r="AT1156" s="1684"/>
      <c r="AU1156" s="1684"/>
      <c r="AV1156" s="1684"/>
      <c r="AW1156" s="1684"/>
      <c r="AX1156" s="1684"/>
      <c r="AY1156" s="1684"/>
      <c r="AZ1156" s="1684"/>
      <c r="BA1156" s="1684"/>
      <c r="BB1156" s="1684"/>
      <c r="BC1156" s="1684"/>
      <c r="BD1156" s="1684"/>
      <c r="BE1156" s="1684"/>
      <c r="BF1156" s="1684"/>
      <c r="BG1156" s="1684"/>
      <c r="BH1156" s="1684"/>
      <c r="BI1156" s="1684"/>
      <c r="BJ1156" s="1684"/>
      <c r="BK1156" s="1684"/>
      <c r="BL1156" s="1684"/>
      <c r="BM1156" s="1684"/>
      <c r="BN1156" s="1684"/>
      <c r="BO1156" s="1684"/>
      <c r="BP1156" s="1684"/>
      <c r="BQ1156" s="1684"/>
      <c r="BR1156" s="1684"/>
      <c r="BS1156" s="1684"/>
      <c r="BT1156" s="1684"/>
      <c r="BU1156" s="1684"/>
      <c r="BV1156" s="1684"/>
      <c r="BW1156" s="1684"/>
      <c r="BX1156" s="1684"/>
      <c r="BY1156" s="1684"/>
      <c r="BZ1156" s="1684"/>
      <c r="CA1156" s="1684"/>
      <c r="CB1156" s="1684"/>
      <c r="CC1156" s="1684"/>
      <c r="CD1156" s="1684"/>
      <c r="CE1156" s="1684"/>
      <c r="CF1156" s="1684"/>
      <c r="CG1156" s="1684"/>
      <c r="CH1156" s="1684"/>
      <c r="CI1156" s="1684"/>
      <c r="CJ1156" s="1684"/>
      <c r="CK1156" s="1684"/>
      <c r="CL1156" s="1684"/>
      <c r="CM1156" s="1684"/>
      <c r="CN1156" s="1684"/>
      <c r="CO1156" s="1684"/>
    </row>
    <row r="1157" spans="1:93" s="1391" customFormat="1" ht="15" x14ac:dyDescent="0.2">
      <c r="A1157" s="1684"/>
      <c r="B1157" s="1684"/>
      <c r="C1157" s="2013">
        <v>10</v>
      </c>
      <c r="D1157" s="5">
        <v>6.0220000000000002</v>
      </c>
      <c r="E1157" s="5">
        <v>162</v>
      </c>
      <c r="F1157" s="5">
        <v>179</v>
      </c>
      <c r="G1157" s="5">
        <v>195</v>
      </c>
      <c r="H1157" s="5">
        <v>211</v>
      </c>
      <c r="I1157" s="5">
        <v>226</v>
      </c>
      <c r="J1157" s="5">
        <v>242</v>
      </c>
      <c r="K1157" s="5">
        <v>257</v>
      </c>
      <c r="L1157" s="5">
        <v>273</v>
      </c>
      <c r="M1157" s="5">
        <v>287</v>
      </c>
      <c r="N1157" s="5">
        <v>302</v>
      </c>
      <c r="O1157" s="5">
        <v>317</v>
      </c>
      <c r="P1157" s="5">
        <v>332</v>
      </c>
      <c r="Q1157" s="1160">
        <v>80</v>
      </c>
      <c r="R1157"/>
      <c r="S1157" s="1684"/>
      <c r="T1157" s="1684"/>
      <c r="U1157" s="1684"/>
      <c r="V1157" s="1684"/>
      <c r="W1157" s="1684"/>
      <c r="X1157" s="1684"/>
      <c r="Y1157" s="1684"/>
      <c r="Z1157" s="1684"/>
      <c r="AA1157" s="1684"/>
      <c r="AB1157" s="1684"/>
      <c r="AC1157" s="1684"/>
      <c r="AD1157" s="1684"/>
      <c r="AE1157" s="1684"/>
      <c r="AF1157" s="1684"/>
      <c r="AG1157" s="1684"/>
      <c r="AH1157" s="1684"/>
      <c r="AI1157" s="1684"/>
      <c r="AJ1157" s="1684"/>
      <c r="AK1157" s="1684"/>
      <c r="AL1157" s="1684"/>
      <c r="AM1157" s="1684"/>
      <c r="AN1157" s="1684"/>
      <c r="AO1157" s="1684"/>
      <c r="AP1157" s="1684"/>
      <c r="AQ1157" s="1684"/>
      <c r="AR1157" s="1684"/>
      <c r="AS1157" s="1684"/>
      <c r="AT1157" s="1684"/>
      <c r="AU1157" s="1684"/>
      <c r="AV1157" s="1684"/>
      <c r="AW1157" s="1684"/>
      <c r="AX1157" s="1684"/>
      <c r="AY1157" s="1684"/>
      <c r="AZ1157" s="1684"/>
      <c r="BA1157" s="1684"/>
      <c r="BB1157" s="1684"/>
      <c r="BC1157" s="1684"/>
      <c r="BD1157" s="1684"/>
      <c r="BE1157" s="1684"/>
      <c r="BF1157" s="1684"/>
      <c r="BG1157" s="1684"/>
      <c r="BH1157" s="1684"/>
      <c r="BI1157" s="1684"/>
      <c r="BJ1157" s="1684"/>
      <c r="BK1157" s="1684"/>
      <c r="BL1157" s="1684"/>
      <c r="BM1157" s="1684"/>
      <c r="BN1157" s="1684"/>
      <c r="BO1157" s="1684"/>
      <c r="BP1157" s="1684"/>
      <c r="BQ1157" s="1684"/>
      <c r="BR1157" s="1684"/>
      <c r="BS1157" s="1684"/>
      <c r="BT1157" s="1684"/>
      <c r="BU1157" s="1684"/>
      <c r="BV1157" s="1684"/>
      <c r="BW1157" s="1684"/>
      <c r="BX1157" s="1684"/>
      <c r="BY1157" s="1684"/>
      <c r="BZ1157" s="1684"/>
      <c r="CA1157" s="1684"/>
      <c r="CB1157" s="1684"/>
      <c r="CC1157" s="1684"/>
      <c r="CD1157" s="1684"/>
      <c r="CE1157" s="1684"/>
      <c r="CF1157" s="1684"/>
      <c r="CG1157" s="1684"/>
      <c r="CH1157" s="1684"/>
      <c r="CI1157" s="1684"/>
      <c r="CJ1157" s="1684"/>
      <c r="CK1157" s="1684"/>
      <c r="CL1157" s="1684"/>
      <c r="CM1157" s="1684"/>
      <c r="CN1157" s="1684"/>
      <c r="CO1157" s="1684"/>
    </row>
    <row r="1158" spans="1:93" s="1391" customFormat="1" ht="15" x14ac:dyDescent="0.2">
      <c r="A1158" s="1684"/>
      <c r="B1158" s="1684"/>
      <c r="C1158" s="2013">
        <v>11</v>
      </c>
      <c r="D1158" s="5">
        <v>6.3840000000000003</v>
      </c>
      <c r="E1158" s="5">
        <v>176</v>
      </c>
      <c r="F1158" s="5">
        <v>195</v>
      </c>
      <c r="G1158" s="5">
        <v>212</v>
      </c>
      <c r="H1158" s="5">
        <v>229</v>
      </c>
      <c r="I1158" s="5">
        <v>246</v>
      </c>
      <c r="J1158" s="5">
        <v>263</v>
      </c>
      <c r="K1158" s="5">
        <v>279</v>
      </c>
      <c r="L1158" s="5">
        <v>296</v>
      </c>
      <c r="M1158" s="5">
        <v>312</v>
      </c>
      <c r="N1158" s="5">
        <v>328</v>
      </c>
      <c r="O1158" s="5">
        <v>344</v>
      </c>
      <c r="P1158" s="5">
        <v>359</v>
      </c>
      <c r="Q1158" s="1160">
        <v>81</v>
      </c>
      <c r="R1158"/>
      <c r="S1158" s="1684"/>
      <c r="T1158" s="1684"/>
      <c r="U1158" s="1684"/>
      <c r="V1158" s="1684"/>
      <c r="W1158" s="1684"/>
      <c r="X1158" s="1684"/>
      <c r="Y1158" s="1684"/>
      <c r="Z1158" s="1684"/>
      <c r="AA1158" s="1684"/>
      <c r="AB1158" s="1684"/>
      <c r="AC1158" s="1684"/>
      <c r="AD1158" s="1684"/>
      <c r="AE1158" s="1684"/>
      <c r="AF1158" s="1684"/>
      <c r="AG1158" s="1684"/>
      <c r="AH1158" s="1684"/>
      <c r="AI1158" s="1684"/>
      <c r="AJ1158" s="1684"/>
      <c r="AK1158" s="1684"/>
      <c r="AL1158" s="1684"/>
      <c r="AM1158" s="1684"/>
      <c r="AN1158" s="1684"/>
      <c r="AO1158" s="1684"/>
      <c r="AP1158" s="1684"/>
      <c r="AQ1158" s="1684"/>
      <c r="AR1158" s="1684"/>
      <c r="AS1158" s="1684"/>
      <c r="AT1158" s="1684"/>
      <c r="AU1158" s="1684"/>
      <c r="AV1158" s="1684"/>
      <c r="AW1158" s="1684"/>
      <c r="AX1158" s="1684"/>
      <c r="AY1158" s="1684"/>
      <c r="AZ1158" s="1684"/>
      <c r="BA1158" s="1684"/>
      <c r="BB1158" s="1684"/>
      <c r="BC1158" s="1684"/>
      <c r="BD1158" s="1684"/>
      <c r="BE1158" s="1684"/>
      <c r="BF1158" s="1684"/>
      <c r="BG1158" s="1684"/>
      <c r="BH1158" s="1684"/>
      <c r="BI1158" s="1684"/>
      <c r="BJ1158" s="1684"/>
      <c r="BK1158" s="1684"/>
      <c r="BL1158" s="1684"/>
      <c r="BM1158" s="1684"/>
      <c r="BN1158" s="1684"/>
      <c r="BO1158" s="1684"/>
      <c r="BP1158" s="1684"/>
      <c r="BQ1158" s="1684"/>
      <c r="BR1158" s="1684"/>
      <c r="BS1158" s="1684"/>
      <c r="BT1158" s="1684"/>
      <c r="BU1158" s="1684"/>
      <c r="BV1158" s="1684"/>
      <c r="BW1158" s="1684"/>
      <c r="BX1158" s="1684"/>
      <c r="BY1158" s="1684"/>
      <c r="BZ1158" s="1684"/>
      <c r="CA1158" s="1684"/>
      <c r="CB1158" s="1684"/>
      <c r="CC1158" s="1684"/>
      <c r="CD1158" s="1684"/>
      <c r="CE1158" s="1684"/>
      <c r="CF1158" s="1684"/>
      <c r="CG1158" s="1684"/>
      <c r="CH1158" s="1684"/>
      <c r="CI1158" s="1684"/>
      <c r="CJ1158" s="1684"/>
      <c r="CK1158" s="1684"/>
      <c r="CL1158" s="1684"/>
      <c r="CM1158" s="1684"/>
      <c r="CN1158" s="1684"/>
      <c r="CO1158" s="1684"/>
    </row>
    <row r="1159" spans="1:93" s="1391" customFormat="1" ht="15" x14ac:dyDescent="0.2">
      <c r="A1159" s="1684"/>
      <c r="B1159" s="1684"/>
      <c r="C1159" s="2013">
        <v>12</v>
      </c>
      <c r="D1159" s="5">
        <v>6.758</v>
      </c>
      <c r="E1159" s="5">
        <v>191</v>
      </c>
      <c r="F1159" s="5">
        <v>211</v>
      </c>
      <c r="G1159" s="5">
        <v>229</v>
      </c>
      <c r="H1159" s="5">
        <v>248</v>
      </c>
      <c r="I1159" s="5">
        <v>266</v>
      </c>
      <c r="J1159" s="5">
        <v>284</v>
      </c>
      <c r="K1159" s="5">
        <v>301</v>
      </c>
      <c r="L1159" s="5">
        <v>320</v>
      </c>
      <c r="M1159" s="5">
        <v>336</v>
      </c>
      <c r="N1159" s="5">
        <v>353</v>
      </c>
      <c r="O1159" s="5">
        <v>370</v>
      </c>
      <c r="P1159" s="5">
        <v>387</v>
      </c>
      <c r="Q1159" s="1160">
        <v>82</v>
      </c>
      <c r="R1159"/>
      <c r="S1159" s="1684"/>
      <c r="T1159" s="1684"/>
      <c r="U1159" s="1684"/>
      <c r="V1159" s="1684"/>
      <c r="W1159" s="1684"/>
      <c r="X1159" s="1684"/>
      <c r="Y1159" s="1684"/>
      <c r="Z1159" s="1684"/>
      <c r="AA1159" s="1684"/>
      <c r="AB1159" s="1684"/>
      <c r="AC1159" s="1684"/>
      <c r="AD1159" s="1684"/>
      <c r="AE1159" s="1684"/>
      <c r="AF1159" s="1684"/>
      <c r="AG1159" s="1684"/>
      <c r="AH1159" s="1684"/>
      <c r="AI1159" s="1684"/>
      <c r="AJ1159" s="1684"/>
      <c r="AK1159" s="1684"/>
      <c r="AL1159" s="1684"/>
      <c r="AM1159" s="1684"/>
      <c r="AN1159" s="1684"/>
      <c r="AO1159" s="1684"/>
      <c r="AP1159" s="1684"/>
      <c r="AQ1159" s="1684"/>
      <c r="AR1159" s="1684"/>
      <c r="AS1159" s="1684"/>
      <c r="AT1159" s="1684"/>
      <c r="AU1159" s="1684"/>
      <c r="AV1159" s="1684"/>
      <c r="AW1159" s="1684"/>
      <c r="AX1159" s="1684"/>
      <c r="AY1159" s="1684"/>
      <c r="AZ1159" s="1684"/>
      <c r="BA1159" s="1684"/>
      <c r="BB1159" s="1684"/>
      <c r="BC1159" s="1684"/>
      <c r="BD1159" s="1684"/>
      <c r="BE1159" s="1684"/>
      <c r="BF1159" s="1684"/>
      <c r="BG1159" s="1684"/>
      <c r="BH1159" s="1684"/>
      <c r="BI1159" s="1684"/>
      <c r="BJ1159" s="1684"/>
      <c r="BK1159" s="1684"/>
      <c r="BL1159" s="1684"/>
      <c r="BM1159" s="1684"/>
      <c r="BN1159" s="1684"/>
      <c r="BO1159" s="1684"/>
      <c r="BP1159" s="1684"/>
      <c r="BQ1159" s="1684"/>
      <c r="BR1159" s="1684"/>
      <c r="BS1159" s="1684"/>
      <c r="BT1159" s="1684"/>
      <c r="BU1159" s="1684"/>
      <c r="BV1159" s="1684"/>
      <c r="BW1159" s="1684"/>
      <c r="BX1159" s="1684"/>
      <c r="BY1159" s="1684"/>
      <c r="BZ1159" s="1684"/>
      <c r="CA1159" s="1684"/>
      <c r="CB1159" s="1684"/>
      <c r="CC1159" s="1684"/>
      <c r="CD1159" s="1684"/>
      <c r="CE1159" s="1684"/>
      <c r="CF1159" s="1684"/>
      <c r="CG1159" s="1684"/>
      <c r="CH1159" s="1684"/>
      <c r="CI1159" s="1684"/>
      <c r="CJ1159" s="1684"/>
      <c r="CK1159" s="1684"/>
      <c r="CL1159" s="1684"/>
      <c r="CM1159" s="1684"/>
      <c r="CN1159" s="1684"/>
      <c r="CO1159" s="1684"/>
    </row>
    <row r="1160" spans="1:93" s="1391" customFormat="1" ht="15" x14ac:dyDescent="0.2">
      <c r="A1160" s="1684"/>
      <c r="B1160" s="1684"/>
      <c r="C1160" s="2013">
        <v>13</v>
      </c>
      <c r="D1160" s="5">
        <v>7.1340000000000003</v>
      </c>
      <c r="E1160" s="5">
        <v>205</v>
      </c>
      <c r="F1160" s="5">
        <v>227</v>
      </c>
      <c r="G1160" s="5">
        <v>246</v>
      </c>
      <c r="H1160" s="5">
        <v>266</v>
      </c>
      <c r="I1160" s="5">
        <v>285</v>
      </c>
      <c r="J1160" s="5">
        <v>305</v>
      </c>
      <c r="K1160" s="5">
        <v>323</v>
      </c>
      <c r="L1160" s="5">
        <v>343</v>
      </c>
      <c r="M1160" s="5">
        <v>361</v>
      </c>
      <c r="N1160" s="5">
        <v>379</v>
      </c>
      <c r="O1160" s="5">
        <v>397</v>
      </c>
      <c r="P1160" s="5">
        <v>415</v>
      </c>
      <c r="Q1160" s="1160">
        <v>83</v>
      </c>
      <c r="R1160"/>
      <c r="S1160" s="1684"/>
      <c r="T1160" s="1684"/>
      <c r="U1160" s="1684"/>
      <c r="V1160" s="1684"/>
      <c r="W1160" s="1684"/>
      <c r="X1160" s="1684"/>
      <c r="Y1160" s="1684"/>
      <c r="Z1160" s="1684"/>
      <c r="AA1160" s="1684"/>
      <c r="AB1160" s="1684"/>
      <c r="AC1160" s="1684"/>
      <c r="AD1160" s="1684"/>
      <c r="AE1160" s="1684"/>
      <c r="AF1160" s="1684"/>
      <c r="AG1160" s="1684"/>
      <c r="AH1160" s="1684"/>
      <c r="AI1160" s="1684"/>
      <c r="AJ1160" s="1684"/>
      <c r="AK1160" s="1684"/>
      <c r="AL1160" s="1684"/>
      <c r="AM1160" s="1684"/>
      <c r="AN1160" s="1684"/>
      <c r="AO1160" s="1684"/>
      <c r="AP1160" s="1684"/>
      <c r="AQ1160" s="1684"/>
      <c r="AR1160" s="1684"/>
      <c r="AS1160" s="1684"/>
      <c r="AT1160" s="1684"/>
      <c r="AU1160" s="1684"/>
      <c r="AV1160" s="1684"/>
      <c r="AW1160" s="1684"/>
      <c r="AX1160" s="1684"/>
      <c r="AY1160" s="1684"/>
      <c r="AZ1160" s="1684"/>
      <c r="BA1160" s="1684"/>
      <c r="BB1160" s="1684"/>
      <c r="BC1160" s="1684"/>
      <c r="BD1160" s="1684"/>
      <c r="BE1160" s="1684"/>
      <c r="BF1160" s="1684"/>
      <c r="BG1160" s="1684"/>
      <c r="BH1160" s="1684"/>
      <c r="BI1160" s="1684"/>
      <c r="BJ1160" s="1684"/>
      <c r="BK1160" s="1684"/>
      <c r="BL1160" s="1684"/>
      <c r="BM1160" s="1684"/>
      <c r="BN1160" s="1684"/>
      <c r="BO1160" s="1684"/>
      <c r="BP1160" s="1684"/>
      <c r="BQ1160" s="1684"/>
      <c r="BR1160" s="1684"/>
      <c r="BS1160" s="1684"/>
      <c r="BT1160" s="1684"/>
      <c r="BU1160" s="1684"/>
      <c r="BV1160" s="1684"/>
      <c r="BW1160" s="1684"/>
      <c r="BX1160" s="1684"/>
      <c r="BY1160" s="1684"/>
      <c r="BZ1160" s="1684"/>
      <c r="CA1160" s="1684"/>
      <c r="CB1160" s="1684"/>
      <c r="CC1160" s="1684"/>
      <c r="CD1160" s="1684"/>
      <c r="CE1160" s="1684"/>
      <c r="CF1160" s="1684"/>
      <c r="CG1160" s="1684"/>
      <c r="CH1160" s="1684"/>
      <c r="CI1160" s="1684"/>
      <c r="CJ1160" s="1684"/>
      <c r="CK1160" s="1684"/>
      <c r="CL1160" s="1684"/>
      <c r="CM1160" s="1684"/>
      <c r="CN1160" s="1684"/>
      <c r="CO1160" s="1684"/>
    </row>
    <row r="1161" spans="1:93" s="1391" customFormat="1" ht="15" x14ac:dyDescent="0.2">
      <c r="A1161" s="1684"/>
      <c r="B1161" s="1684"/>
      <c r="C1161" s="2013">
        <v>14</v>
      </c>
      <c r="D1161" s="5">
        <v>7.5250000000000004</v>
      </c>
      <c r="E1161" s="5">
        <v>220</v>
      </c>
      <c r="F1161" s="5">
        <v>243</v>
      </c>
      <c r="G1161" s="5">
        <v>264</v>
      </c>
      <c r="H1161" s="5">
        <v>285</v>
      </c>
      <c r="I1161" s="5">
        <v>306</v>
      </c>
      <c r="J1161" s="5">
        <v>326</v>
      </c>
      <c r="K1161" s="5">
        <v>346</v>
      </c>
      <c r="L1161" s="5">
        <v>367</v>
      </c>
      <c r="M1161" s="5">
        <v>385</v>
      </c>
      <c r="N1161" s="5">
        <v>405</v>
      </c>
      <c r="O1161" s="5">
        <v>424</v>
      </c>
      <c r="P1161" s="5">
        <v>442</v>
      </c>
      <c r="Q1161" s="1160">
        <v>84</v>
      </c>
      <c r="R1161"/>
      <c r="S1161" s="1684"/>
      <c r="T1161" s="1684"/>
      <c r="U1161" s="1684"/>
      <c r="V1161" s="1684"/>
      <c r="W1161" s="1684"/>
      <c r="X1161" s="1684"/>
      <c r="Y1161" s="1684"/>
      <c r="Z1161" s="1684"/>
      <c r="AA1161" s="1684"/>
      <c r="AB1161" s="1684"/>
      <c r="AC1161" s="1684"/>
      <c r="AD1161" s="1684"/>
      <c r="AE1161" s="1684"/>
      <c r="AF1161" s="1684"/>
      <c r="AG1161" s="1684"/>
      <c r="AH1161" s="1684"/>
      <c r="AI1161" s="1684"/>
      <c r="AJ1161" s="1684"/>
      <c r="AK1161" s="1684"/>
      <c r="AL1161" s="1684"/>
      <c r="AM1161" s="1684"/>
      <c r="AN1161" s="1684"/>
      <c r="AO1161" s="1684"/>
      <c r="AP1161" s="1684"/>
      <c r="AQ1161" s="1684"/>
      <c r="AR1161" s="1684"/>
      <c r="AS1161" s="1684"/>
      <c r="AT1161" s="1684"/>
      <c r="AU1161" s="1684"/>
      <c r="AV1161" s="1684"/>
      <c r="AW1161" s="1684"/>
      <c r="AX1161" s="1684"/>
      <c r="AY1161" s="1684"/>
      <c r="AZ1161" s="1684"/>
      <c r="BA1161" s="1684"/>
      <c r="BB1161" s="1684"/>
      <c r="BC1161" s="1684"/>
      <c r="BD1161" s="1684"/>
      <c r="BE1161" s="1684"/>
      <c r="BF1161" s="1684"/>
      <c r="BG1161" s="1684"/>
      <c r="BH1161" s="1684"/>
      <c r="BI1161" s="1684"/>
      <c r="BJ1161" s="1684"/>
      <c r="BK1161" s="1684"/>
      <c r="BL1161" s="1684"/>
      <c r="BM1161" s="1684"/>
      <c r="BN1161" s="1684"/>
      <c r="BO1161" s="1684"/>
      <c r="BP1161" s="1684"/>
      <c r="BQ1161" s="1684"/>
      <c r="BR1161" s="1684"/>
      <c r="BS1161" s="1684"/>
      <c r="BT1161" s="1684"/>
      <c r="BU1161" s="1684"/>
      <c r="BV1161" s="1684"/>
      <c r="BW1161" s="1684"/>
      <c r="BX1161" s="1684"/>
      <c r="BY1161" s="1684"/>
      <c r="BZ1161" s="1684"/>
      <c r="CA1161" s="1684"/>
      <c r="CB1161" s="1684"/>
      <c r="CC1161" s="1684"/>
      <c r="CD1161" s="1684"/>
      <c r="CE1161" s="1684"/>
      <c r="CF1161" s="1684"/>
      <c r="CG1161" s="1684"/>
      <c r="CH1161" s="1684"/>
      <c r="CI1161" s="1684"/>
      <c r="CJ1161" s="1684"/>
      <c r="CK1161" s="1684"/>
      <c r="CL1161" s="1684"/>
      <c r="CM1161" s="1684"/>
      <c r="CN1161" s="1684"/>
      <c r="CO1161" s="1684"/>
    </row>
    <row r="1162" spans="1:93" s="1391" customFormat="1" ht="15" x14ac:dyDescent="0.2">
      <c r="A1162" s="1684"/>
      <c r="B1162" s="1684"/>
      <c r="C1162" s="2013">
        <v>15</v>
      </c>
      <c r="D1162" s="5">
        <v>7.923</v>
      </c>
      <c r="E1162" s="5">
        <v>235</v>
      </c>
      <c r="F1162" s="5">
        <v>259</v>
      </c>
      <c r="G1162" s="5">
        <v>282</v>
      </c>
      <c r="H1162" s="5">
        <v>304</v>
      </c>
      <c r="I1162" s="5">
        <v>326</v>
      </c>
      <c r="J1162" s="5">
        <v>347</v>
      </c>
      <c r="K1162" s="5">
        <v>368</v>
      </c>
      <c r="L1162" s="5">
        <v>390</v>
      </c>
      <c r="M1162" s="5">
        <v>410</v>
      </c>
      <c r="N1162" s="5">
        <v>430</v>
      </c>
      <c r="O1162" s="5">
        <v>450</v>
      </c>
      <c r="P1162" s="5">
        <v>470</v>
      </c>
      <c r="Q1162" s="1160">
        <v>85</v>
      </c>
      <c r="R1162"/>
      <c r="S1162" s="1684"/>
      <c r="T1162" s="1684"/>
      <c r="U1162" s="1684"/>
      <c r="V1162" s="1684"/>
      <c r="W1162" s="1684"/>
      <c r="X1162" s="1684"/>
      <c r="Y1162" s="1684"/>
      <c r="Z1162" s="1684"/>
      <c r="AA1162" s="1684"/>
      <c r="AB1162" s="1684"/>
      <c r="AC1162" s="1684"/>
      <c r="AD1162" s="1684"/>
      <c r="AE1162" s="1684"/>
      <c r="AF1162" s="1684"/>
      <c r="AG1162" s="1684"/>
      <c r="AH1162" s="1684"/>
      <c r="AI1162" s="1684"/>
      <c r="AJ1162" s="1684"/>
      <c r="AK1162" s="1684"/>
      <c r="AL1162" s="1684"/>
      <c r="AM1162" s="1684"/>
      <c r="AN1162" s="1684"/>
      <c r="AO1162" s="1684"/>
      <c r="AP1162" s="1684"/>
      <c r="AQ1162" s="1684"/>
      <c r="AR1162" s="1684"/>
      <c r="AS1162" s="1684"/>
      <c r="AT1162" s="1684"/>
      <c r="AU1162" s="1684"/>
      <c r="AV1162" s="1684"/>
      <c r="AW1162" s="1684"/>
      <c r="AX1162" s="1684"/>
      <c r="AY1162" s="1684"/>
      <c r="AZ1162" s="1684"/>
      <c r="BA1162" s="1684"/>
      <c r="BB1162" s="1684"/>
      <c r="BC1162" s="1684"/>
      <c r="BD1162" s="1684"/>
      <c r="BE1162" s="1684"/>
      <c r="BF1162" s="1684"/>
      <c r="BG1162" s="1684"/>
      <c r="BH1162" s="1684"/>
      <c r="BI1162" s="1684"/>
      <c r="BJ1162" s="1684"/>
      <c r="BK1162" s="1684"/>
      <c r="BL1162" s="1684"/>
      <c r="BM1162" s="1684"/>
      <c r="BN1162" s="1684"/>
      <c r="BO1162" s="1684"/>
      <c r="BP1162" s="1684"/>
      <c r="BQ1162" s="1684"/>
      <c r="BR1162" s="1684"/>
      <c r="BS1162" s="1684"/>
      <c r="BT1162" s="1684"/>
      <c r="BU1162" s="1684"/>
      <c r="BV1162" s="1684"/>
      <c r="BW1162" s="1684"/>
      <c r="BX1162" s="1684"/>
      <c r="BY1162" s="1684"/>
      <c r="BZ1162" s="1684"/>
      <c r="CA1162" s="1684"/>
      <c r="CB1162" s="1684"/>
      <c r="CC1162" s="1684"/>
      <c r="CD1162" s="1684"/>
      <c r="CE1162" s="1684"/>
      <c r="CF1162" s="1684"/>
      <c r="CG1162" s="1684"/>
      <c r="CH1162" s="1684"/>
      <c r="CI1162" s="1684"/>
      <c r="CJ1162" s="1684"/>
      <c r="CK1162" s="1684"/>
      <c r="CL1162" s="1684"/>
      <c r="CM1162" s="1684"/>
      <c r="CN1162" s="1684"/>
      <c r="CO1162" s="1684"/>
    </row>
    <row r="1163" spans="1:93" s="1391" customFormat="1" ht="15" x14ac:dyDescent="0.2">
      <c r="A1163" s="1684"/>
      <c r="B1163" s="1684"/>
      <c r="C1163" s="2013">
        <v>16</v>
      </c>
      <c r="D1163" s="5">
        <v>8.4570000000000007</v>
      </c>
      <c r="E1163" s="5">
        <v>249</v>
      </c>
      <c r="F1163" s="5">
        <v>275</v>
      </c>
      <c r="G1163" s="5">
        <v>298</v>
      </c>
      <c r="H1163" s="5">
        <v>322</v>
      </c>
      <c r="I1163" s="5">
        <v>345</v>
      </c>
      <c r="J1163" s="5">
        <v>367</v>
      </c>
      <c r="K1163" s="5">
        <v>390</v>
      </c>
      <c r="L1163" s="5">
        <v>413</v>
      </c>
      <c r="M1163" s="5">
        <v>433</v>
      </c>
      <c r="N1163" s="5">
        <v>455</v>
      </c>
      <c r="O1163" s="5">
        <v>476</v>
      </c>
      <c r="P1163" s="5">
        <v>496</v>
      </c>
      <c r="Q1163" s="1160">
        <v>86</v>
      </c>
      <c r="R1163"/>
      <c r="S1163" s="1684"/>
      <c r="T1163" s="1684"/>
      <c r="U1163" s="1684"/>
      <c r="V1163" s="1684"/>
      <c r="W1163" s="1684"/>
      <c r="X1163" s="1684"/>
      <c r="Y1163" s="1684"/>
      <c r="Z1163" s="1684"/>
      <c r="AA1163" s="1684"/>
      <c r="AB1163" s="1684"/>
      <c r="AC1163" s="1684"/>
      <c r="AD1163" s="1684"/>
      <c r="AE1163" s="1684"/>
      <c r="AF1163" s="1684"/>
      <c r="AG1163" s="1684"/>
      <c r="AH1163" s="1684"/>
      <c r="AI1163" s="1684"/>
      <c r="AJ1163" s="1684"/>
      <c r="AK1163" s="1684"/>
      <c r="AL1163" s="1684"/>
      <c r="AM1163" s="1684"/>
      <c r="AN1163" s="1684"/>
      <c r="AO1163" s="1684"/>
      <c r="AP1163" s="1684"/>
      <c r="AQ1163" s="1684"/>
      <c r="AR1163" s="1684"/>
      <c r="AS1163" s="1684"/>
      <c r="AT1163" s="1684"/>
      <c r="AU1163" s="1684"/>
      <c r="AV1163" s="1684"/>
      <c r="AW1163" s="1684"/>
      <c r="AX1163" s="1684"/>
      <c r="AY1163" s="1684"/>
      <c r="AZ1163" s="1684"/>
      <c r="BA1163" s="1684"/>
      <c r="BB1163" s="1684"/>
      <c r="BC1163" s="1684"/>
      <c r="BD1163" s="1684"/>
      <c r="BE1163" s="1684"/>
      <c r="BF1163" s="1684"/>
      <c r="BG1163" s="1684"/>
      <c r="BH1163" s="1684"/>
      <c r="BI1163" s="1684"/>
      <c r="BJ1163" s="1684"/>
      <c r="BK1163" s="1684"/>
      <c r="BL1163" s="1684"/>
      <c r="BM1163" s="1684"/>
      <c r="BN1163" s="1684"/>
      <c r="BO1163" s="1684"/>
      <c r="BP1163" s="1684"/>
      <c r="BQ1163" s="1684"/>
      <c r="BR1163" s="1684"/>
      <c r="BS1163" s="1684"/>
      <c r="BT1163" s="1684"/>
      <c r="BU1163" s="1684"/>
      <c r="BV1163" s="1684"/>
      <c r="BW1163" s="1684"/>
      <c r="BX1163" s="1684"/>
      <c r="BY1163" s="1684"/>
      <c r="BZ1163" s="1684"/>
      <c r="CA1163" s="1684"/>
      <c r="CB1163" s="1684"/>
      <c r="CC1163" s="1684"/>
      <c r="CD1163" s="1684"/>
      <c r="CE1163" s="1684"/>
      <c r="CF1163" s="1684"/>
      <c r="CG1163" s="1684"/>
      <c r="CH1163" s="1684"/>
      <c r="CI1163" s="1684"/>
      <c r="CJ1163" s="1684"/>
      <c r="CK1163" s="1684"/>
      <c r="CL1163" s="1684"/>
      <c r="CM1163" s="1684"/>
      <c r="CN1163" s="1684"/>
      <c r="CO1163" s="1684"/>
    </row>
    <row r="1164" spans="1:93" s="1391" customFormat="1" ht="15" x14ac:dyDescent="0.2">
      <c r="A1164" s="1684"/>
      <c r="B1164" s="1684"/>
      <c r="C1164" s="2013">
        <v>17</v>
      </c>
      <c r="D1164" s="5">
        <v>8.0299999999999994</v>
      </c>
      <c r="E1164" s="5">
        <v>262</v>
      </c>
      <c r="F1164" s="5">
        <v>289</v>
      </c>
      <c r="G1164" s="5">
        <v>313</v>
      </c>
      <c r="H1164" s="5">
        <v>338</v>
      </c>
      <c r="I1164" s="5">
        <v>362</v>
      </c>
      <c r="J1164" s="5">
        <v>383</v>
      </c>
      <c r="K1164" s="5">
        <v>409</v>
      </c>
      <c r="L1164" s="5">
        <v>433</v>
      </c>
      <c r="M1164" s="5">
        <v>454</v>
      </c>
      <c r="N1164" s="5">
        <v>476</v>
      </c>
      <c r="O1164" s="5">
        <v>498</v>
      </c>
      <c r="P1164" s="5">
        <v>520</v>
      </c>
      <c r="Q1164" s="1160">
        <v>87</v>
      </c>
      <c r="R1164"/>
      <c r="S1164" s="1684"/>
      <c r="T1164" s="1684"/>
      <c r="U1164" s="1684"/>
      <c r="V1164" s="1684"/>
      <c r="W1164" s="1684"/>
      <c r="X1164" s="1684"/>
      <c r="Y1164" s="1684"/>
      <c r="Z1164" s="1684"/>
      <c r="AA1164" s="1684"/>
      <c r="AB1164" s="1684"/>
      <c r="AC1164" s="1684"/>
      <c r="AD1164" s="1684"/>
      <c r="AE1164" s="1684"/>
      <c r="AF1164" s="1684"/>
      <c r="AG1164" s="1684"/>
      <c r="AH1164" s="1684"/>
      <c r="AI1164" s="1684"/>
      <c r="AJ1164" s="1684"/>
      <c r="AK1164" s="1684"/>
      <c r="AL1164" s="1684"/>
      <c r="AM1164" s="1684"/>
      <c r="AN1164" s="1684"/>
      <c r="AO1164" s="1684"/>
      <c r="AP1164" s="1684"/>
      <c r="AQ1164" s="1684"/>
      <c r="AR1164" s="1684"/>
      <c r="AS1164" s="1684"/>
      <c r="AT1164" s="1684"/>
      <c r="AU1164" s="1684"/>
      <c r="AV1164" s="1684"/>
      <c r="AW1164" s="1684"/>
      <c r="AX1164" s="1684"/>
      <c r="AY1164" s="1684"/>
      <c r="AZ1164" s="1684"/>
      <c r="BA1164" s="1684"/>
      <c r="BB1164" s="1684"/>
      <c r="BC1164" s="1684"/>
      <c r="BD1164" s="1684"/>
      <c r="BE1164" s="1684"/>
      <c r="BF1164" s="1684"/>
      <c r="BG1164" s="1684"/>
      <c r="BH1164" s="1684"/>
      <c r="BI1164" s="1684"/>
      <c r="BJ1164" s="1684"/>
      <c r="BK1164" s="1684"/>
      <c r="BL1164" s="1684"/>
      <c r="BM1164" s="1684"/>
      <c r="BN1164" s="1684"/>
      <c r="BO1164" s="1684"/>
      <c r="BP1164" s="1684"/>
      <c r="BQ1164" s="1684"/>
      <c r="BR1164" s="1684"/>
      <c r="BS1164" s="1684"/>
      <c r="BT1164" s="1684"/>
      <c r="BU1164" s="1684"/>
      <c r="BV1164" s="1684"/>
      <c r="BW1164" s="1684"/>
      <c r="BX1164" s="1684"/>
      <c r="BY1164" s="1684"/>
      <c r="BZ1164" s="1684"/>
      <c r="CA1164" s="1684"/>
      <c r="CB1164" s="1684"/>
      <c r="CC1164" s="1684"/>
      <c r="CD1164" s="1684"/>
      <c r="CE1164" s="1684"/>
      <c r="CF1164" s="1684"/>
      <c r="CG1164" s="1684"/>
      <c r="CH1164" s="1684"/>
      <c r="CI1164" s="1684"/>
      <c r="CJ1164" s="1684"/>
      <c r="CK1164" s="1684"/>
      <c r="CL1164" s="1684"/>
      <c r="CM1164" s="1684"/>
      <c r="CN1164" s="1684"/>
      <c r="CO1164" s="1684"/>
    </row>
    <row r="1165" spans="1:93" s="1391" customFormat="1" ht="15.75" thickBot="1" x14ac:dyDescent="0.25">
      <c r="A1165" s="1684"/>
      <c r="B1165" s="1684"/>
      <c r="C1165" s="2018">
        <v>18</v>
      </c>
      <c r="D1165" s="976">
        <v>9.3059999999999992</v>
      </c>
      <c r="E1165" s="976">
        <v>274</v>
      </c>
      <c r="F1165" s="976">
        <v>301</v>
      </c>
      <c r="G1165" s="976">
        <v>327</v>
      </c>
      <c r="H1165" s="976">
        <v>352</v>
      </c>
      <c r="I1165" s="976">
        <v>377</v>
      </c>
      <c r="J1165" s="976">
        <v>402</v>
      </c>
      <c r="K1165" s="976">
        <v>426</v>
      </c>
      <c r="L1165" s="976">
        <v>451</v>
      </c>
      <c r="M1165" s="976">
        <v>473</v>
      </c>
      <c r="N1165" s="976">
        <v>496</v>
      </c>
      <c r="O1165" s="976">
        <v>518</v>
      </c>
      <c r="P1165" s="976">
        <v>540</v>
      </c>
      <c r="Q1165" s="2019">
        <v>88</v>
      </c>
      <c r="R1165"/>
      <c r="S1165" s="1684"/>
      <c r="T1165" s="1684"/>
      <c r="U1165" s="1684"/>
      <c r="V1165" s="1684"/>
      <c r="W1165" s="1684"/>
      <c r="X1165" s="1684"/>
      <c r="Y1165" s="1684"/>
      <c r="Z1165" s="1684"/>
      <c r="AA1165" s="1684"/>
      <c r="AB1165" s="1684"/>
      <c r="AC1165" s="1684"/>
      <c r="AD1165" s="1684"/>
      <c r="AE1165" s="1684"/>
      <c r="AF1165" s="1684"/>
      <c r="AG1165" s="1684"/>
      <c r="AH1165" s="1684"/>
      <c r="AI1165" s="1684"/>
      <c r="AJ1165" s="1684"/>
      <c r="AK1165" s="1684"/>
      <c r="AL1165" s="1684"/>
      <c r="AM1165" s="1684"/>
      <c r="AN1165" s="1684"/>
      <c r="AO1165" s="1684"/>
      <c r="AP1165" s="1684"/>
      <c r="AQ1165" s="1684"/>
      <c r="AR1165" s="1684"/>
      <c r="AS1165" s="1684"/>
      <c r="AT1165" s="1684"/>
      <c r="AU1165" s="1684"/>
      <c r="AV1165" s="1684"/>
      <c r="AW1165" s="1684"/>
      <c r="AX1165" s="1684"/>
      <c r="AY1165" s="1684"/>
      <c r="AZ1165" s="1684"/>
      <c r="BA1165" s="1684"/>
      <c r="BB1165" s="1684"/>
      <c r="BC1165" s="1684"/>
      <c r="BD1165" s="1684"/>
      <c r="BE1165" s="1684"/>
      <c r="BF1165" s="1684"/>
      <c r="BG1165" s="1684"/>
      <c r="BH1165" s="1684"/>
      <c r="BI1165" s="1684"/>
      <c r="BJ1165" s="1684"/>
      <c r="BK1165" s="1684"/>
      <c r="BL1165" s="1684"/>
      <c r="BM1165" s="1684"/>
      <c r="BN1165" s="1684"/>
      <c r="BO1165" s="1684"/>
      <c r="BP1165" s="1684"/>
      <c r="BQ1165" s="1684"/>
      <c r="BR1165" s="1684"/>
      <c r="BS1165" s="1684"/>
      <c r="BT1165" s="1684"/>
      <c r="BU1165" s="1684"/>
      <c r="BV1165" s="1684"/>
      <c r="BW1165" s="1684"/>
      <c r="BX1165" s="1684"/>
      <c r="BY1165" s="1684"/>
      <c r="BZ1165" s="1684"/>
      <c r="CA1165" s="1684"/>
      <c r="CB1165" s="1684"/>
      <c r="CC1165" s="1684"/>
      <c r="CD1165" s="1684"/>
      <c r="CE1165" s="1684"/>
      <c r="CF1165" s="1684"/>
      <c r="CG1165" s="1684"/>
      <c r="CH1165" s="1684"/>
      <c r="CI1165" s="1684"/>
      <c r="CJ1165" s="1684"/>
      <c r="CK1165" s="1684"/>
      <c r="CL1165" s="1684"/>
      <c r="CM1165" s="1684"/>
      <c r="CN1165" s="1684"/>
      <c r="CO1165" s="1684"/>
    </row>
    <row r="1166" spans="1:93" s="1391" customFormat="1" ht="15.75" thickBot="1" x14ac:dyDescent="0.25">
      <c r="A1166" s="1684"/>
      <c r="B1166" s="1684"/>
      <c r="C1166" s="248"/>
      <c r="D1166" s="249" t="s">
        <v>5330</v>
      </c>
      <c r="E1166" s="249"/>
      <c r="F1166" s="249"/>
      <c r="G1166" s="249"/>
      <c r="H1166" s="249"/>
      <c r="I1166" s="249"/>
      <c r="J1166" s="249"/>
      <c r="K1166" s="249"/>
      <c r="L1166" s="249"/>
      <c r="M1166" s="249"/>
      <c r="N1166" s="249"/>
      <c r="O1166" s="249"/>
      <c r="P1166" s="249"/>
      <c r="Q1166" s="250"/>
      <c r="R1166"/>
      <c r="S1166" s="1684"/>
      <c r="T1166" s="1684"/>
      <c r="U1166" s="1684"/>
      <c r="V1166" s="1684"/>
      <c r="W1166" s="1684"/>
      <c r="X1166" s="1684"/>
      <c r="Y1166" s="1684"/>
      <c r="Z1166" s="1684"/>
      <c r="AA1166" s="1684"/>
      <c r="AB1166" s="1684"/>
      <c r="AC1166" s="1684"/>
      <c r="AD1166" s="1684"/>
      <c r="AE1166" s="1684"/>
      <c r="AF1166" s="1684"/>
      <c r="AG1166" s="1684"/>
      <c r="AH1166" s="1684"/>
      <c r="AI1166" s="1684"/>
      <c r="AJ1166" s="1684"/>
      <c r="AK1166" s="1684"/>
      <c r="AL1166" s="1684"/>
      <c r="AM1166" s="1684"/>
      <c r="AN1166" s="1684"/>
      <c r="AO1166" s="1684"/>
      <c r="AP1166" s="1684"/>
      <c r="AQ1166" s="1684"/>
      <c r="AR1166" s="1684"/>
      <c r="AS1166" s="1684"/>
      <c r="AT1166" s="1684"/>
      <c r="AU1166" s="1684"/>
      <c r="AV1166" s="1684"/>
      <c r="AW1166" s="1684"/>
      <c r="AX1166" s="1684"/>
      <c r="AY1166" s="1684"/>
      <c r="AZ1166" s="1684"/>
      <c r="BA1166" s="1684"/>
      <c r="BB1166" s="1684"/>
      <c r="BC1166" s="1684"/>
      <c r="BD1166" s="1684"/>
      <c r="BE1166" s="1684"/>
      <c r="BF1166" s="1684"/>
      <c r="BG1166" s="1684"/>
      <c r="BH1166" s="1684"/>
      <c r="BI1166" s="1684"/>
      <c r="BJ1166" s="1684"/>
      <c r="BK1166" s="1684"/>
      <c r="BL1166" s="1684"/>
      <c r="BM1166" s="1684"/>
      <c r="BN1166" s="1684"/>
      <c r="BO1166" s="1684"/>
      <c r="BP1166" s="1684"/>
      <c r="BQ1166" s="1684"/>
      <c r="BR1166" s="1684"/>
      <c r="BS1166" s="1684"/>
      <c r="BT1166" s="1684"/>
      <c r="BU1166" s="1684"/>
      <c r="BV1166" s="1684"/>
      <c r="BW1166" s="1684"/>
      <c r="BX1166" s="1684"/>
      <c r="BY1166" s="1684"/>
      <c r="BZ1166" s="1684"/>
      <c r="CA1166" s="1684"/>
      <c r="CB1166" s="1684"/>
      <c r="CC1166" s="1684"/>
      <c r="CD1166" s="1684"/>
      <c r="CE1166" s="1684"/>
      <c r="CF1166" s="1684"/>
      <c r="CG1166" s="1684"/>
      <c r="CH1166" s="1684"/>
      <c r="CI1166" s="1684"/>
      <c r="CJ1166" s="1684"/>
      <c r="CK1166" s="1684"/>
      <c r="CL1166" s="1684"/>
      <c r="CM1166" s="1684"/>
      <c r="CN1166" s="1684"/>
      <c r="CO1166" s="1684"/>
    </row>
    <row r="1167" spans="1:93" s="1391" customFormat="1" ht="15" x14ac:dyDescent="0.2">
      <c r="A1167" s="1684"/>
      <c r="B1167" s="1684"/>
      <c r="C1167" s="4683" t="s">
        <v>5331</v>
      </c>
      <c r="D1167" s="4684"/>
      <c r="E1167" s="4684"/>
      <c r="F1167" s="4684"/>
      <c r="G1167" s="4684"/>
      <c r="H1167" s="4684"/>
      <c r="I1167" s="4684"/>
      <c r="J1167" s="4684"/>
      <c r="K1167" s="4684"/>
      <c r="L1167" s="4684"/>
      <c r="M1167" s="4684"/>
      <c r="N1167" s="4684"/>
      <c r="O1167" s="4684"/>
      <c r="P1167" s="4684"/>
      <c r="Q1167" s="4685"/>
      <c r="R1167"/>
      <c r="S1167" s="1684"/>
      <c r="T1167" s="1684"/>
      <c r="U1167" s="1684"/>
      <c r="V1167" s="1684"/>
      <c r="W1167" s="1684"/>
      <c r="X1167" s="1684"/>
      <c r="Y1167" s="1684"/>
      <c r="Z1167" s="1684"/>
      <c r="AA1167" s="1684"/>
      <c r="AB1167" s="1684"/>
      <c r="AC1167" s="1684"/>
      <c r="AD1167" s="1684"/>
      <c r="AE1167" s="1684"/>
      <c r="AF1167" s="1684"/>
      <c r="AG1167" s="1684"/>
      <c r="AH1167" s="1684"/>
      <c r="AI1167" s="1684"/>
      <c r="AJ1167" s="1684"/>
      <c r="AK1167" s="1684"/>
      <c r="AL1167" s="1684"/>
      <c r="AM1167" s="1684"/>
      <c r="AN1167" s="1684"/>
      <c r="AO1167" s="1684"/>
      <c r="AP1167" s="1684"/>
      <c r="AQ1167" s="1684"/>
      <c r="AR1167" s="1684"/>
      <c r="AS1167" s="1684"/>
      <c r="AT1167" s="1684"/>
      <c r="AU1167" s="1684"/>
      <c r="AV1167" s="1684"/>
      <c r="AW1167" s="1684"/>
      <c r="AX1167" s="1684"/>
      <c r="AY1167" s="1684"/>
      <c r="AZ1167" s="1684"/>
      <c r="BA1167" s="1684"/>
      <c r="BB1167" s="1684"/>
      <c r="BC1167" s="1684"/>
      <c r="BD1167" s="1684"/>
      <c r="BE1167" s="1684"/>
      <c r="BF1167" s="1684"/>
      <c r="BG1167" s="1684"/>
      <c r="BH1167" s="1684"/>
      <c r="BI1167" s="1684"/>
      <c r="BJ1167" s="1684"/>
      <c r="BK1167" s="1684"/>
      <c r="BL1167" s="1684"/>
      <c r="BM1167" s="1684"/>
      <c r="BN1167" s="1684"/>
      <c r="BO1167" s="1684"/>
      <c r="BP1167" s="1684"/>
      <c r="BQ1167" s="1684"/>
      <c r="BR1167" s="1684"/>
      <c r="BS1167" s="1684"/>
      <c r="BT1167" s="1684"/>
      <c r="BU1167" s="1684"/>
      <c r="BV1167" s="1684"/>
      <c r="BW1167" s="1684"/>
      <c r="BX1167" s="1684"/>
      <c r="BY1167" s="1684"/>
      <c r="BZ1167" s="1684"/>
      <c r="CA1167" s="1684"/>
      <c r="CB1167" s="1684"/>
      <c r="CC1167" s="1684"/>
      <c r="CD1167" s="1684"/>
      <c r="CE1167" s="1684"/>
      <c r="CF1167" s="1684"/>
      <c r="CG1167" s="1684"/>
      <c r="CH1167" s="1684"/>
      <c r="CI1167" s="1684"/>
      <c r="CJ1167" s="1684"/>
      <c r="CK1167" s="1684"/>
      <c r="CL1167" s="1684"/>
      <c r="CM1167" s="1684"/>
      <c r="CN1167" s="1684"/>
      <c r="CO1167" s="1684"/>
    </row>
    <row r="1168" spans="1:93" s="1391" customFormat="1" ht="15" x14ac:dyDescent="0.2">
      <c r="A1168" s="1684"/>
      <c r="B1168" s="1684"/>
      <c r="C1168" s="4686"/>
      <c r="D1168" s="4385"/>
      <c r="E1168" s="4385"/>
      <c r="F1168" s="4385"/>
      <c r="G1168" s="4385"/>
      <c r="H1168" s="4385"/>
      <c r="I1168" s="4385"/>
      <c r="J1168" s="4385"/>
      <c r="K1168" s="4385"/>
      <c r="L1168" s="4385"/>
      <c r="M1168" s="4385"/>
      <c r="N1168" s="4385"/>
      <c r="O1168" s="4385"/>
      <c r="P1168" s="4385"/>
      <c r="Q1168" s="4687"/>
      <c r="R1168"/>
      <c r="S1168" s="1684"/>
      <c r="T1168" s="1684"/>
      <c r="U1168" s="1684"/>
      <c r="V1168" s="1684"/>
      <c r="W1168" s="1684"/>
      <c r="X1168" s="1684"/>
      <c r="Y1168" s="1684"/>
      <c r="Z1168" s="1684"/>
      <c r="AA1168" s="1684"/>
      <c r="AB1168" s="1684"/>
      <c r="AC1168" s="1684"/>
      <c r="AD1168" s="1684"/>
      <c r="AE1168" s="1684"/>
      <c r="AF1168" s="1684"/>
      <c r="AG1168" s="1684"/>
      <c r="AH1168" s="1684"/>
      <c r="AI1168" s="1684"/>
      <c r="AJ1168" s="1684"/>
      <c r="AK1168" s="1684"/>
      <c r="AL1168" s="1684"/>
      <c r="AM1168" s="1684"/>
      <c r="AN1168" s="1684"/>
      <c r="AO1168" s="1684"/>
      <c r="AP1168" s="1684"/>
      <c r="AQ1168" s="1684"/>
      <c r="AR1168" s="1684"/>
      <c r="AS1168" s="1684"/>
      <c r="AT1168" s="1684"/>
      <c r="AU1168" s="1684"/>
      <c r="AV1168" s="1684"/>
      <c r="AW1168" s="1684"/>
      <c r="AX1168" s="1684"/>
      <c r="AY1168" s="1684"/>
      <c r="AZ1168" s="1684"/>
      <c r="BA1168" s="1684"/>
      <c r="BB1168" s="1684"/>
      <c r="BC1168" s="1684"/>
      <c r="BD1168" s="1684"/>
      <c r="BE1168" s="1684"/>
      <c r="BF1168" s="1684"/>
      <c r="BG1168" s="1684"/>
      <c r="BH1168" s="1684"/>
      <c r="BI1168" s="1684"/>
      <c r="BJ1168" s="1684"/>
      <c r="BK1168" s="1684"/>
      <c r="BL1168" s="1684"/>
      <c r="BM1168" s="1684"/>
      <c r="BN1168" s="1684"/>
      <c r="BO1168" s="1684"/>
      <c r="BP1168" s="1684"/>
      <c r="BQ1168" s="1684"/>
      <c r="BR1168" s="1684"/>
      <c r="BS1168" s="1684"/>
      <c r="BT1168" s="1684"/>
      <c r="BU1168" s="1684"/>
      <c r="BV1168" s="1684"/>
      <c r="BW1168" s="1684"/>
      <c r="BX1168" s="1684"/>
      <c r="BY1168" s="1684"/>
      <c r="BZ1168" s="1684"/>
      <c r="CA1168" s="1684"/>
      <c r="CB1168" s="1684"/>
      <c r="CC1168" s="1684"/>
      <c r="CD1168" s="1684"/>
      <c r="CE1168" s="1684"/>
      <c r="CF1168" s="1684"/>
      <c r="CG1168" s="1684"/>
      <c r="CH1168" s="1684"/>
      <c r="CI1168" s="1684"/>
      <c r="CJ1168" s="1684"/>
      <c r="CK1168" s="1684"/>
      <c r="CL1168" s="1684"/>
      <c r="CM1168" s="1684"/>
      <c r="CN1168" s="1684"/>
      <c r="CO1168" s="1684"/>
    </row>
    <row r="1169" spans="1:93" s="1391" customFormat="1" ht="15.75" thickBot="1" x14ac:dyDescent="0.25">
      <c r="A1169" s="1684"/>
      <c r="B1169" s="1684"/>
      <c r="C1169" s="4688"/>
      <c r="D1169" s="4689"/>
      <c r="E1169" s="4689"/>
      <c r="F1169" s="4689"/>
      <c r="G1169" s="4689"/>
      <c r="H1169" s="4689"/>
      <c r="I1169" s="4689"/>
      <c r="J1169" s="4689"/>
      <c r="K1169" s="4689"/>
      <c r="L1169" s="4689"/>
      <c r="M1169" s="4689"/>
      <c r="N1169" s="4689"/>
      <c r="O1169" s="4689"/>
      <c r="P1169" s="4689"/>
      <c r="Q1169" s="4690"/>
      <c r="R1169"/>
      <c r="S1169" s="1684"/>
      <c r="T1169" s="1684"/>
      <c r="U1169" s="1684"/>
      <c r="V1169" s="1684"/>
      <c r="W1169" s="1684"/>
      <c r="X1169" s="1684"/>
      <c r="Y1169" s="1684"/>
      <c r="Z1169" s="1684"/>
      <c r="AA1169" s="1684"/>
      <c r="AB1169" s="1684"/>
      <c r="AC1169" s="1684"/>
      <c r="AD1169" s="1684"/>
      <c r="AE1169" s="1684"/>
      <c r="AF1169" s="1684"/>
      <c r="AG1169" s="1684"/>
      <c r="AH1169" s="1684"/>
      <c r="AI1169" s="1684"/>
      <c r="AJ1169" s="1684"/>
      <c r="AK1169" s="1684"/>
      <c r="AL1169" s="1684"/>
      <c r="AM1169" s="1684"/>
      <c r="AN1169" s="1684"/>
      <c r="AO1169" s="1684"/>
      <c r="AP1169" s="1684"/>
      <c r="AQ1169" s="1684"/>
      <c r="AR1169" s="1684"/>
      <c r="AS1169" s="1684"/>
      <c r="AT1169" s="1684"/>
      <c r="AU1169" s="1684"/>
      <c r="AV1169" s="1684"/>
      <c r="AW1169" s="1684"/>
      <c r="AX1169" s="1684"/>
      <c r="AY1169" s="1684"/>
      <c r="AZ1169" s="1684"/>
      <c r="BA1169" s="1684"/>
      <c r="BB1169" s="1684"/>
      <c r="BC1169" s="1684"/>
      <c r="BD1169" s="1684"/>
      <c r="BE1169" s="1684"/>
      <c r="BF1169" s="1684"/>
      <c r="BG1169" s="1684"/>
      <c r="BH1169" s="1684"/>
      <c r="BI1169" s="1684"/>
      <c r="BJ1169" s="1684"/>
      <c r="BK1169" s="1684"/>
      <c r="BL1169" s="1684"/>
      <c r="BM1169" s="1684"/>
      <c r="BN1169" s="1684"/>
      <c r="BO1169" s="1684"/>
      <c r="BP1169" s="1684"/>
      <c r="BQ1169" s="1684"/>
      <c r="BR1169" s="1684"/>
      <c r="BS1169" s="1684"/>
      <c r="BT1169" s="1684"/>
      <c r="BU1169" s="1684"/>
      <c r="BV1169" s="1684"/>
      <c r="BW1169" s="1684"/>
      <c r="BX1169" s="1684"/>
      <c r="BY1169" s="1684"/>
      <c r="BZ1169" s="1684"/>
      <c r="CA1169" s="1684"/>
      <c r="CB1169" s="1684"/>
      <c r="CC1169" s="1684"/>
      <c r="CD1169" s="1684"/>
      <c r="CE1169" s="1684"/>
      <c r="CF1169" s="1684"/>
      <c r="CG1169" s="1684"/>
      <c r="CH1169" s="1684"/>
      <c r="CI1169" s="1684"/>
      <c r="CJ1169" s="1684"/>
      <c r="CK1169" s="1684"/>
      <c r="CL1169" s="1684"/>
      <c r="CM1169" s="1684"/>
      <c r="CN1169" s="1684"/>
      <c r="CO1169" s="1684"/>
    </row>
    <row r="1170" spans="1:93" s="1391" customFormat="1" ht="15" x14ac:dyDescent="0.2">
      <c r="A1170" s="1684"/>
      <c r="B1170" s="1684"/>
      <c r="C1170" s="2012"/>
      <c r="D1170" s="7"/>
      <c r="E1170" s="7"/>
      <c r="F1170" s="7"/>
      <c r="G1170" s="7"/>
      <c r="H1170" s="7"/>
      <c r="I1170" s="7"/>
      <c r="J1170" s="7"/>
      <c r="K1170" s="7"/>
      <c r="L1170" s="7"/>
      <c r="M1170" s="7"/>
      <c r="N1170" s="7"/>
      <c r="O1170" s="7"/>
      <c r="P1170" s="7"/>
      <c r="Q1170" s="251"/>
      <c r="R1170"/>
      <c r="S1170" s="1684"/>
      <c r="T1170" s="1684"/>
      <c r="U1170" s="1684"/>
      <c r="V1170" s="1684"/>
      <c r="W1170" s="1684"/>
      <c r="X1170" s="1684"/>
      <c r="Y1170" s="1684"/>
      <c r="Z1170" s="1684"/>
      <c r="AA1170" s="1684"/>
      <c r="AB1170" s="1684"/>
      <c r="AC1170" s="1684"/>
      <c r="AD1170" s="1684"/>
      <c r="AE1170" s="1684"/>
      <c r="AF1170" s="1684"/>
      <c r="AG1170" s="1684"/>
      <c r="AH1170" s="1684"/>
      <c r="AI1170" s="1684"/>
      <c r="AJ1170" s="1684"/>
      <c r="AK1170" s="1684"/>
      <c r="AL1170" s="1684"/>
      <c r="AM1170" s="1684"/>
      <c r="AN1170" s="1684"/>
      <c r="AO1170" s="1684"/>
      <c r="AP1170" s="1684"/>
      <c r="AQ1170" s="1684"/>
      <c r="AR1170" s="1684"/>
      <c r="AS1170" s="1684"/>
      <c r="AT1170" s="1684"/>
      <c r="AU1170" s="1684"/>
      <c r="AV1170" s="1684"/>
      <c r="AW1170" s="1684"/>
      <c r="AX1170" s="1684"/>
      <c r="AY1170" s="1684"/>
      <c r="AZ1170" s="1684"/>
      <c r="BA1170" s="1684"/>
      <c r="BB1170" s="1684"/>
      <c r="BC1170" s="1684"/>
      <c r="BD1170" s="1684"/>
      <c r="BE1170" s="1684"/>
      <c r="BF1170" s="1684"/>
      <c r="BG1170" s="1684"/>
      <c r="BH1170" s="1684"/>
      <c r="BI1170" s="1684"/>
      <c r="BJ1170" s="1684"/>
      <c r="BK1170" s="1684"/>
      <c r="BL1170" s="1684"/>
      <c r="BM1170" s="1684"/>
      <c r="BN1170" s="1684"/>
      <c r="BO1170" s="1684"/>
      <c r="BP1170" s="1684"/>
      <c r="BQ1170" s="1684"/>
      <c r="BR1170" s="1684"/>
      <c r="BS1170" s="1684"/>
      <c r="BT1170" s="1684"/>
      <c r="BU1170" s="1684"/>
      <c r="BV1170" s="1684"/>
      <c r="BW1170" s="1684"/>
      <c r="BX1170" s="1684"/>
      <c r="BY1170" s="1684"/>
      <c r="BZ1170" s="1684"/>
      <c r="CA1170" s="1684"/>
      <c r="CB1170" s="1684"/>
      <c r="CC1170" s="1684"/>
      <c r="CD1170" s="1684"/>
      <c r="CE1170" s="1684"/>
      <c r="CF1170" s="1684"/>
      <c r="CG1170" s="1684"/>
      <c r="CH1170" s="1684"/>
      <c r="CI1170" s="1684"/>
      <c r="CJ1170" s="1684"/>
      <c r="CK1170" s="1684"/>
      <c r="CL1170" s="1684"/>
      <c r="CM1170" s="1684"/>
      <c r="CN1170" s="1684"/>
      <c r="CO1170" s="1684"/>
    </row>
    <row r="1171" spans="1:93" s="1391" customFormat="1" ht="15" x14ac:dyDescent="0.2">
      <c r="A1171" s="1684"/>
      <c r="B1171" s="1684"/>
      <c r="C1171" s="4691" t="s">
        <v>1964</v>
      </c>
      <c r="D1171" s="4692" t="s">
        <v>1965</v>
      </c>
      <c r="E1171" s="4693" t="s">
        <v>5602</v>
      </c>
      <c r="F1171" s="4693"/>
      <c r="G1171" s="4693"/>
      <c r="H1171" s="4693"/>
      <c r="I1171" s="4693"/>
      <c r="J1171" s="4693"/>
      <c r="K1171" s="4693"/>
      <c r="L1171" s="4693"/>
      <c r="M1171" s="4693"/>
      <c r="N1171" s="4693"/>
      <c r="O1171" s="4693"/>
      <c r="P1171" s="4693"/>
      <c r="Q1171" s="4682" t="s">
        <v>2490</v>
      </c>
      <c r="R1171"/>
      <c r="S1171" s="1684"/>
      <c r="T1171" s="1684"/>
      <c r="U1171" s="1684"/>
      <c r="V1171" s="1684"/>
      <c r="W1171" s="1684"/>
      <c r="X1171" s="1684"/>
      <c r="Y1171" s="1684"/>
      <c r="Z1171" s="1684"/>
      <c r="AA1171" s="1684"/>
      <c r="AB1171" s="1684"/>
      <c r="AC1171" s="1684"/>
      <c r="AD1171" s="1684"/>
      <c r="AE1171" s="1684"/>
      <c r="AF1171" s="1684"/>
      <c r="AG1171" s="1684"/>
      <c r="AH1171" s="1684"/>
      <c r="AI1171" s="1684"/>
      <c r="AJ1171" s="1684"/>
      <c r="AK1171" s="1684"/>
      <c r="AL1171" s="1684"/>
      <c r="AM1171" s="1684"/>
      <c r="AN1171" s="1684"/>
      <c r="AO1171" s="1684"/>
      <c r="AP1171" s="1684"/>
      <c r="AQ1171" s="1684"/>
      <c r="AR1171" s="1684"/>
      <c r="AS1171" s="1684"/>
      <c r="AT1171" s="1684"/>
      <c r="AU1171" s="1684"/>
      <c r="AV1171" s="1684"/>
      <c r="AW1171" s="1684"/>
      <c r="AX1171" s="1684"/>
      <c r="AY1171" s="1684"/>
      <c r="AZ1171" s="1684"/>
      <c r="BA1171" s="1684"/>
      <c r="BB1171" s="1684"/>
      <c r="BC1171" s="1684"/>
      <c r="BD1171" s="1684"/>
      <c r="BE1171" s="1684"/>
      <c r="BF1171" s="1684"/>
      <c r="BG1171" s="1684"/>
      <c r="BH1171" s="1684"/>
      <c r="BI1171" s="1684"/>
      <c r="BJ1171" s="1684"/>
      <c r="BK1171" s="1684"/>
      <c r="BL1171" s="1684"/>
      <c r="BM1171" s="1684"/>
      <c r="BN1171" s="1684"/>
      <c r="BO1171" s="1684"/>
      <c r="BP1171" s="1684"/>
      <c r="BQ1171" s="1684"/>
      <c r="BR1171" s="1684"/>
      <c r="BS1171" s="1684"/>
      <c r="BT1171" s="1684"/>
      <c r="BU1171" s="1684"/>
      <c r="BV1171" s="1684"/>
      <c r="BW1171" s="1684"/>
      <c r="BX1171" s="1684"/>
      <c r="BY1171" s="1684"/>
      <c r="BZ1171" s="1684"/>
      <c r="CA1171" s="1684"/>
      <c r="CB1171" s="1684"/>
      <c r="CC1171" s="1684"/>
      <c r="CD1171" s="1684"/>
      <c r="CE1171" s="1684"/>
      <c r="CF1171" s="1684"/>
      <c r="CG1171" s="1684"/>
      <c r="CH1171" s="1684"/>
      <c r="CI1171" s="1684"/>
      <c r="CJ1171" s="1684"/>
      <c r="CK1171" s="1684"/>
      <c r="CL1171" s="1684"/>
      <c r="CM1171" s="1684"/>
      <c r="CN1171" s="1684"/>
      <c r="CO1171" s="1684"/>
    </row>
    <row r="1172" spans="1:93" s="1391" customFormat="1" ht="31.5" x14ac:dyDescent="0.2">
      <c r="A1172" s="1684"/>
      <c r="B1172" s="1684"/>
      <c r="C1172" s="4691"/>
      <c r="D1172" s="4692"/>
      <c r="E1172" s="2017" t="s">
        <v>1966</v>
      </c>
      <c r="F1172" s="2017" t="s">
        <v>3014</v>
      </c>
      <c r="G1172" s="2017" t="s">
        <v>1967</v>
      </c>
      <c r="H1172" s="2017" t="s">
        <v>1968</v>
      </c>
      <c r="I1172" s="2017" t="s">
        <v>1969</v>
      </c>
      <c r="J1172" s="2017" t="s">
        <v>1970</v>
      </c>
      <c r="K1172" s="2017" t="s">
        <v>1971</v>
      </c>
      <c r="L1172" s="2017" t="s">
        <v>1972</v>
      </c>
      <c r="M1172" s="2017" t="s">
        <v>1973</v>
      </c>
      <c r="N1172" s="2017" t="s">
        <v>1974</v>
      </c>
      <c r="O1172" s="2017" t="s">
        <v>1975</v>
      </c>
      <c r="P1172" s="2017" t="s">
        <v>3020</v>
      </c>
      <c r="Q1172" s="4682"/>
      <c r="R1172"/>
      <c r="S1172" s="1684"/>
      <c r="T1172" s="1684"/>
      <c r="U1172" s="1684"/>
      <c r="V1172" s="1684"/>
      <c r="W1172" s="1684"/>
      <c r="X1172" s="1684"/>
      <c r="Y1172" s="1684"/>
      <c r="Z1172" s="1684"/>
      <c r="AA1172" s="1684"/>
      <c r="AB1172" s="1684"/>
      <c r="AC1172" s="1684"/>
      <c r="AD1172" s="1684"/>
      <c r="AE1172" s="1684"/>
      <c r="AF1172" s="1684"/>
      <c r="AG1172" s="1684"/>
      <c r="AH1172" s="1684"/>
      <c r="AI1172" s="1684"/>
      <c r="AJ1172" s="1684"/>
      <c r="AK1172" s="1684"/>
      <c r="AL1172" s="1684"/>
      <c r="AM1172" s="1684"/>
      <c r="AN1172" s="1684"/>
      <c r="AO1172" s="1684"/>
      <c r="AP1172" s="1684"/>
      <c r="AQ1172" s="1684"/>
      <c r="AR1172" s="1684"/>
      <c r="AS1172" s="1684"/>
      <c r="AT1172" s="1684"/>
      <c r="AU1172" s="1684"/>
      <c r="AV1172" s="1684"/>
      <c r="AW1172" s="1684"/>
      <c r="AX1172" s="1684"/>
      <c r="AY1172" s="1684"/>
      <c r="AZ1172" s="1684"/>
      <c r="BA1172" s="1684"/>
      <c r="BB1172" s="1684"/>
      <c r="BC1172" s="1684"/>
      <c r="BD1172" s="1684"/>
      <c r="BE1172" s="1684"/>
      <c r="BF1172" s="1684"/>
      <c r="BG1172" s="1684"/>
      <c r="BH1172" s="1684"/>
      <c r="BI1172" s="1684"/>
      <c r="BJ1172" s="1684"/>
      <c r="BK1172" s="1684"/>
      <c r="BL1172" s="1684"/>
      <c r="BM1172" s="1684"/>
      <c r="BN1172" s="1684"/>
      <c r="BO1172" s="1684"/>
      <c r="BP1172" s="1684"/>
      <c r="BQ1172" s="1684"/>
      <c r="BR1172" s="1684"/>
      <c r="BS1172" s="1684"/>
      <c r="BT1172" s="1684"/>
      <c r="BU1172" s="1684"/>
      <c r="BV1172" s="1684"/>
      <c r="BW1172" s="1684"/>
      <c r="BX1172" s="1684"/>
      <c r="BY1172" s="1684"/>
      <c r="BZ1172" s="1684"/>
      <c r="CA1172" s="1684"/>
      <c r="CB1172" s="1684"/>
      <c r="CC1172" s="1684"/>
      <c r="CD1172" s="1684"/>
      <c r="CE1172" s="1684"/>
      <c r="CF1172" s="1684"/>
      <c r="CG1172" s="1684"/>
      <c r="CH1172" s="1684"/>
      <c r="CI1172" s="1684"/>
      <c r="CJ1172" s="1684"/>
      <c r="CK1172" s="1684"/>
      <c r="CL1172" s="1684"/>
      <c r="CM1172" s="1684"/>
      <c r="CN1172" s="1684"/>
      <c r="CO1172" s="1684"/>
    </row>
    <row r="1173" spans="1:93" s="1391" customFormat="1" ht="15" x14ac:dyDescent="0.2">
      <c r="A1173" s="1684"/>
      <c r="B1173" s="1684"/>
      <c r="C1173" s="4691"/>
      <c r="D1173" s="4692"/>
      <c r="E1173" s="4693" t="s">
        <v>1781</v>
      </c>
      <c r="F1173" s="4693"/>
      <c r="G1173" s="4693"/>
      <c r="H1173" s="4693"/>
      <c r="I1173" s="4693"/>
      <c r="J1173" s="4693"/>
      <c r="K1173" s="4693"/>
      <c r="L1173" s="4693"/>
      <c r="M1173" s="4693"/>
      <c r="N1173" s="4693"/>
      <c r="O1173" s="4693"/>
      <c r="P1173" s="4693"/>
      <c r="Q1173" s="4682"/>
      <c r="R1173"/>
      <c r="S1173" s="1684"/>
      <c r="T1173" s="1684"/>
      <c r="U1173" s="1684"/>
      <c r="V1173" s="1684"/>
      <c r="W1173" s="1684"/>
      <c r="X1173" s="1684"/>
      <c r="Y1173" s="1684"/>
      <c r="Z1173" s="1684"/>
      <c r="AA1173" s="1684"/>
      <c r="AB1173" s="1684"/>
      <c r="AC1173" s="1684"/>
      <c r="AD1173" s="1684"/>
      <c r="AE1173" s="1684"/>
      <c r="AF1173" s="1684"/>
      <c r="AG1173" s="1684"/>
      <c r="AH1173" s="1684"/>
      <c r="AI1173" s="1684"/>
      <c r="AJ1173" s="1684"/>
      <c r="AK1173" s="1684"/>
      <c r="AL1173" s="1684"/>
      <c r="AM1173" s="1684"/>
      <c r="AN1173" s="1684"/>
      <c r="AO1173" s="1684"/>
      <c r="AP1173" s="1684"/>
      <c r="AQ1173" s="1684"/>
      <c r="AR1173" s="1684"/>
      <c r="AS1173" s="1684"/>
      <c r="AT1173" s="1684"/>
      <c r="AU1173" s="1684"/>
      <c r="AV1173" s="1684"/>
      <c r="AW1173" s="1684"/>
      <c r="AX1173" s="1684"/>
      <c r="AY1173" s="1684"/>
      <c r="AZ1173" s="1684"/>
      <c r="BA1173" s="1684"/>
      <c r="BB1173" s="1684"/>
      <c r="BC1173" s="1684"/>
      <c r="BD1173" s="1684"/>
      <c r="BE1173" s="1684"/>
      <c r="BF1173" s="1684"/>
      <c r="BG1173" s="1684"/>
      <c r="BH1173" s="1684"/>
      <c r="BI1173" s="1684"/>
      <c r="BJ1173" s="1684"/>
      <c r="BK1173" s="1684"/>
      <c r="BL1173" s="1684"/>
      <c r="BM1173" s="1684"/>
      <c r="BN1173" s="1684"/>
      <c r="BO1173" s="1684"/>
      <c r="BP1173" s="1684"/>
      <c r="BQ1173" s="1684"/>
      <c r="BR1173" s="1684"/>
      <c r="BS1173" s="1684"/>
      <c r="BT1173" s="1684"/>
      <c r="BU1173" s="1684"/>
      <c r="BV1173" s="1684"/>
      <c r="BW1173" s="1684"/>
      <c r="BX1173" s="1684"/>
      <c r="BY1173" s="1684"/>
      <c r="BZ1173" s="1684"/>
      <c r="CA1173" s="1684"/>
      <c r="CB1173" s="1684"/>
      <c r="CC1173" s="1684"/>
      <c r="CD1173" s="1684"/>
      <c r="CE1173" s="1684"/>
      <c r="CF1173" s="1684"/>
      <c r="CG1173" s="1684"/>
      <c r="CH1173" s="1684"/>
      <c r="CI1173" s="1684"/>
      <c r="CJ1173" s="1684"/>
      <c r="CK1173" s="1684"/>
      <c r="CL1173" s="1684"/>
      <c r="CM1173" s="1684"/>
      <c r="CN1173" s="1684"/>
      <c r="CO1173" s="1684"/>
    </row>
    <row r="1174" spans="1:93" s="1391" customFormat="1" ht="15" x14ac:dyDescent="0.2">
      <c r="A1174" s="1684"/>
      <c r="B1174" s="1684"/>
      <c r="C1174" s="4680" t="s">
        <v>3689</v>
      </c>
      <c r="D1174" s="4681"/>
      <c r="E1174" s="4681"/>
      <c r="F1174" s="4681"/>
      <c r="G1174" s="4681"/>
      <c r="H1174" s="4681"/>
      <c r="I1174" s="4681"/>
      <c r="J1174" s="4681"/>
      <c r="K1174" s="4681"/>
      <c r="L1174" s="4681"/>
      <c r="M1174" s="4681"/>
      <c r="N1174" s="4681"/>
      <c r="O1174" s="4681"/>
      <c r="P1174" s="4681"/>
      <c r="Q1174" s="4682"/>
      <c r="R1174"/>
      <c r="S1174" s="1684"/>
      <c r="T1174" s="1684"/>
      <c r="U1174" s="1684"/>
      <c r="V1174" s="1684"/>
      <c r="W1174" s="1684"/>
      <c r="X1174" s="1684"/>
      <c r="Y1174" s="1684"/>
      <c r="Z1174" s="1684"/>
      <c r="AA1174" s="1684"/>
      <c r="AB1174" s="1684"/>
      <c r="AC1174" s="1684"/>
      <c r="AD1174" s="1684"/>
      <c r="AE1174" s="1684"/>
      <c r="AF1174" s="1684"/>
      <c r="AG1174" s="1684"/>
      <c r="AH1174" s="1684"/>
      <c r="AI1174" s="1684"/>
      <c r="AJ1174" s="1684"/>
      <c r="AK1174" s="1684"/>
      <c r="AL1174" s="1684"/>
      <c r="AM1174" s="1684"/>
      <c r="AN1174" s="1684"/>
      <c r="AO1174" s="1684"/>
      <c r="AP1174" s="1684"/>
      <c r="AQ1174" s="1684"/>
      <c r="AR1174" s="1684"/>
      <c r="AS1174" s="1684"/>
      <c r="AT1174" s="1684"/>
      <c r="AU1174" s="1684"/>
      <c r="AV1174" s="1684"/>
      <c r="AW1174" s="1684"/>
      <c r="AX1174" s="1684"/>
      <c r="AY1174" s="1684"/>
      <c r="AZ1174" s="1684"/>
      <c r="BA1174" s="1684"/>
      <c r="BB1174" s="1684"/>
      <c r="BC1174" s="1684"/>
      <c r="BD1174" s="1684"/>
      <c r="BE1174" s="1684"/>
      <c r="BF1174" s="1684"/>
      <c r="BG1174" s="1684"/>
      <c r="BH1174" s="1684"/>
      <c r="BI1174" s="1684"/>
      <c r="BJ1174" s="1684"/>
      <c r="BK1174" s="1684"/>
      <c r="BL1174" s="1684"/>
      <c r="BM1174" s="1684"/>
      <c r="BN1174" s="1684"/>
      <c r="BO1174" s="1684"/>
      <c r="BP1174" s="1684"/>
      <c r="BQ1174" s="1684"/>
      <c r="BR1174" s="1684"/>
      <c r="BS1174" s="1684"/>
      <c r="BT1174" s="1684"/>
      <c r="BU1174" s="1684"/>
      <c r="BV1174" s="1684"/>
      <c r="BW1174" s="1684"/>
      <c r="BX1174" s="1684"/>
      <c r="BY1174" s="1684"/>
      <c r="BZ1174" s="1684"/>
      <c r="CA1174" s="1684"/>
      <c r="CB1174" s="1684"/>
      <c r="CC1174" s="1684"/>
      <c r="CD1174" s="1684"/>
      <c r="CE1174" s="1684"/>
      <c r="CF1174" s="1684"/>
      <c r="CG1174" s="1684"/>
      <c r="CH1174" s="1684"/>
      <c r="CI1174" s="1684"/>
      <c r="CJ1174" s="1684"/>
      <c r="CK1174" s="1684"/>
      <c r="CL1174" s="1684"/>
      <c r="CM1174" s="1684"/>
      <c r="CN1174" s="1684"/>
      <c r="CO1174" s="1684"/>
    </row>
    <row r="1175" spans="1:93" s="1391" customFormat="1" ht="15" x14ac:dyDescent="0.2">
      <c r="A1175" s="1684"/>
      <c r="B1175" s="1684"/>
      <c r="C1175" s="4680"/>
      <c r="D1175" s="4681"/>
      <c r="E1175" s="4681"/>
      <c r="F1175" s="4681"/>
      <c r="G1175" s="4681"/>
      <c r="H1175" s="4681"/>
      <c r="I1175" s="4681"/>
      <c r="J1175" s="4681"/>
      <c r="K1175" s="4681"/>
      <c r="L1175" s="4681"/>
      <c r="M1175" s="4681"/>
      <c r="N1175" s="4681"/>
      <c r="O1175" s="4681"/>
      <c r="P1175" s="4681"/>
      <c r="Q1175" s="4682"/>
      <c r="R1175"/>
      <c r="S1175" s="1684"/>
      <c r="T1175" s="1684"/>
      <c r="U1175" s="1684"/>
      <c r="V1175" s="1684"/>
      <c r="W1175" s="1684"/>
      <c r="X1175" s="1684"/>
      <c r="Y1175" s="1684"/>
      <c r="Z1175" s="1684"/>
      <c r="AA1175" s="1684"/>
      <c r="AB1175" s="1684"/>
      <c r="AC1175" s="1684"/>
      <c r="AD1175" s="1684"/>
      <c r="AE1175" s="1684"/>
      <c r="AF1175" s="1684"/>
      <c r="AG1175" s="1684"/>
      <c r="AH1175" s="1684"/>
      <c r="AI1175" s="1684"/>
      <c r="AJ1175" s="1684"/>
      <c r="AK1175" s="1684"/>
      <c r="AL1175" s="1684"/>
      <c r="AM1175" s="1684"/>
      <c r="AN1175" s="1684"/>
      <c r="AO1175" s="1684"/>
      <c r="AP1175" s="1684"/>
      <c r="AQ1175" s="1684"/>
      <c r="AR1175" s="1684"/>
      <c r="AS1175" s="1684"/>
      <c r="AT1175" s="1684"/>
      <c r="AU1175" s="1684"/>
      <c r="AV1175" s="1684"/>
      <c r="AW1175" s="1684"/>
      <c r="AX1175" s="1684"/>
      <c r="AY1175" s="1684"/>
      <c r="AZ1175" s="1684"/>
      <c r="BA1175" s="1684"/>
      <c r="BB1175" s="1684"/>
      <c r="BC1175" s="1684"/>
      <c r="BD1175" s="1684"/>
      <c r="BE1175" s="1684"/>
      <c r="BF1175" s="1684"/>
      <c r="BG1175" s="1684"/>
      <c r="BH1175" s="1684"/>
      <c r="BI1175" s="1684"/>
      <c r="BJ1175" s="1684"/>
      <c r="BK1175" s="1684"/>
      <c r="BL1175" s="1684"/>
      <c r="BM1175" s="1684"/>
      <c r="BN1175" s="1684"/>
      <c r="BO1175" s="1684"/>
      <c r="BP1175" s="1684"/>
      <c r="BQ1175" s="1684"/>
      <c r="BR1175" s="1684"/>
      <c r="BS1175" s="1684"/>
      <c r="BT1175" s="1684"/>
      <c r="BU1175" s="1684"/>
      <c r="BV1175" s="1684"/>
      <c r="BW1175" s="1684"/>
      <c r="BX1175" s="1684"/>
      <c r="BY1175" s="1684"/>
      <c r="BZ1175" s="1684"/>
      <c r="CA1175" s="1684"/>
      <c r="CB1175" s="1684"/>
      <c r="CC1175" s="1684"/>
      <c r="CD1175" s="1684"/>
      <c r="CE1175" s="1684"/>
      <c r="CF1175" s="1684"/>
      <c r="CG1175" s="1684"/>
      <c r="CH1175" s="1684"/>
      <c r="CI1175" s="1684"/>
      <c r="CJ1175" s="1684"/>
      <c r="CK1175" s="1684"/>
      <c r="CL1175" s="1684"/>
      <c r="CM1175" s="1684"/>
      <c r="CN1175" s="1684"/>
      <c r="CO1175" s="1684"/>
    </row>
    <row r="1176" spans="1:93" s="1391" customFormat="1" ht="15" x14ac:dyDescent="0.2">
      <c r="A1176" s="1684"/>
      <c r="B1176" s="1684"/>
      <c r="C1176" s="4680" t="s">
        <v>3690</v>
      </c>
      <c r="D1176" s="4681"/>
      <c r="E1176" s="4681"/>
      <c r="F1176" s="4681"/>
      <c r="G1176" s="4681"/>
      <c r="H1176" s="4681"/>
      <c r="I1176" s="4681"/>
      <c r="J1176" s="4681"/>
      <c r="K1176" s="4681"/>
      <c r="L1176" s="4681"/>
      <c r="M1176" s="4681"/>
      <c r="N1176" s="4681"/>
      <c r="O1176" s="4681"/>
      <c r="P1176" s="4681"/>
      <c r="Q1176" s="4682"/>
      <c r="R1176"/>
      <c r="S1176" s="1684"/>
      <c r="T1176" s="1684"/>
      <c r="U1176" s="1684"/>
      <c r="V1176" s="1684"/>
      <c r="W1176" s="1684"/>
      <c r="X1176" s="1684"/>
      <c r="Y1176" s="1684"/>
      <c r="Z1176" s="1684"/>
      <c r="AA1176" s="1684"/>
      <c r="AB1176" s="1684"/>
      <c r="AC1176" s="1684"/>
      <c r="AD1176" s="1684"/>
      <c r="AE1176" s="1684"/>
      <c r="AF1176" s="1684"/>
      <c r="AG1176" s="1684"/>
      <c r="AH1176" s="1684"/>
      <c r="AI1176" s="1684"/>
      <c r="AJ1176" s="1684"/>
      <c r="AK1176" s="1684"/>
      <c r="AL1176" s="1684"/>
      <c r="AM1176" s="1684"/>
      <c r="AN1176" s="1684"/>
      <c r="AO1176" s="1684"/>
      <c r="AP1176" s="1684"/>
      <c r="AQ1176" s="1684"/>
      <c r="AR1176" s="1684"/>
      <c r="AS1176" s="1684"/>
      <c r="AT1176" s="1684"/>
      <c r="AU1176" s="1684"/>
      <c r="AV1176" s="1684"/>
      <c r="AW1176" s="1684"/>
      <c r="AX1176" s="1684"/>
      <c r="AY1176" s="1684"/>
      <c r="AZ1176" s="1684"/>
      <c r="BA1176" s="1684"/>
      <c r="BB1176" s="1684"/>
      <c r="BC1176" s="1684"/>
      <c r="BD1176" s="1684"/>
      <c r="BE1176" s="1684"/>
      <c r="BF1176" s="1684"/>
      <c r="BG1176" s="1684"/>
      <c r="BH1176" s="1684"/>
      <c r="BI1176" s="1684"/>
      <c r="BJ1176" s="1684"/>
      <c r="BK1176" s="1684"/>
      <c r="BL1176" s="1684"/>
      <c r="BM1176" s="1684"/>
      <c r="BN1176" s="1684"/>
      <c r="BO1176" s="1684"/>
      <c r="BP1176" s="1684"/>
      <c r="BQ1176" s="1684"/>
      <c r="BR1176" s="1684"/>
      <c r="BS1176" s="1684"/>
      <c r="BT1176" s="1684"/>
      <c r="BU1176" s="1684"/>
      <c r="BV1176" s="1684"/>
      <c r="BW1176" s="1684"/>
      <c r="BX1176" s="1684"/>
      <c r="BY1176" s="1684"/>
      <c r="BZ1176" s="1684"/>
      <c r="CA1176" s="1684"/>
      <c r="CB1176" s="1684"/>
      <c r="CC1176" s="1684"/>
      <c r="CD1176" s="1684"/>
      <c r="CE1176" s="1684"/>
      <c r="CF1176" s="1684"/>
      <c r="CG1176" s="1684"/>
      <c r="CH1176" s="1684"/>
      <c r="CI1176" s="1684"/>
      <c r="CJ1176" s="1684"/>
      <c r="CK1176" s="1684"/>
      <c r="CL1176" s="1684"/>
      <c r="CM1176" s="1684"/>
      <c r="CN1176" s="1684"/>
      <c r="CO1176" s="1684"/>
    </row>
    <row r="1177" spans="1:93" s="1391" customFormat="1" ht="15" x14ac:dyDescent="0.2">
      <c r="A1177" s="1684"/>
      <c r="B1177" s="1684"/>
      <c r="C1177" s="4680"/>
      <c r="D1177" s="4681"/>
      <c r="E1177" s="4681"/>
      <c r="F1177" s="4681"/>
      <c r="G1177" s="4681"/>
      <c r="H1177" s="4681"/>
      <c r="I1177" s="4681"/>
      <c r="J1177" s="4681"/>
      <c r="K1177" s="4681"/>
      <c r="L1177" s="4681"/>
      <c r="M1177" s="4681"/>
      <c r="N1177" s="4681"/>
      <c r="O1177" s="4681"/>
      <c r="P1177" s="4681"/>
      <c r="Q1177" s="4682"/>
      <c r="R1177"/>
      <c r="S1177" s="1684"/>
      <c r="T1177" s="1684"/>
      <c r="U1177" s="1684"/>
      <c r="V1177" s="1684"/>
      <c r="W1177" s="1684"/>
      <c r="X1177" s="1684"/>
      <c r="Y1177" s="1684"/>
      <c r="Z1177" s="1684"/>
      <c r="AA1177" s="1684"/>
      <c r="AB1177" s="1684"/>
      <c r="AC1177" s="1684"/>
      <c r="AD1177" s="1684"/>
      <c r="AE1177" s="1684"/>
      <c r="AF1177" s="1684"/>
      <c r="AG1177" s="1684"/>
      <c r="AH1177" s="1684"/>
      <c r="AI1177" s="1684"/>
      <c r="AJ1177" s="1684"/>
      <c r="AK1177" s="1684"/>
      <c r="AL1177" s="1684"/>
      <c r="AM1177" s="1684"/>
      <c r="AN1177" s="1684"/>
      <c r="AO1177" s="1684"/>
      <c r="AP1177" s="1684"/>
      <c r="AQ1177" s="1684"/>
      <c r="AR1177" s="1684"/>
      <c r="AS1177" s="1684"/>
      <c r="AT1177" s="1684"/>
      <c r="AU1177" s="1684"/>
      <c r="AV1177" s="1684"/>
      <c r="AW1177" s="1684"/>
      <c r="AX1177" s="1684"/>
      <c r="AY1177" s="1684"/>
      <c r="AZ1177" s="1684"/>
      <c r="BA1177" s="1684"/>
      <c r="BB1177" s="1684"/>
      <c r="BC1177" s="1684"/>
      <c r="BD1177" s="1684"/>
      <c r="BE1177" s="1684"/>
      <c r="BF1177" s="1684"/>
      <c r="BG1177" s="1684"/>
      <c r="BH1177" s="1684"/>
      <c r="BI1177" s="1684"/>
      <c r="BJ1177" s="1684"/>
      <c r="BK1177" s="1684"/>
      <c r="BL1177" s="1684"/>
      <c r="BM1177" s="1684"/>
      <c r="BN1177" s="1684"/>
      <c r="BO1177" s="1684"/>
      <c r="BP1177" s="1684"/>
      <c r="BQ1177" s="1684"/>
      <c r="BR1177" s="1684"/>
      <c r="BS1177" s="1684"/>
      <c r="BT1177" s="1684"/>
      <c r="BU1177" s="1684"/>
      <c r="BV1177" s="1684"/>
      <c r="BW1177" s="1684"/>
      <c r="BX1177" s="1684"/>
      <c r="BY1177" s="1684"/>
      <c r="BZ1177" s="1684"/>
      <c r="CA1177" s="1684"/>
      <c r="CB1177" s="1684"/>
      <c r="CC1177" s="1684"/>
      <c r="CD1177" s="1684"/>
      <c r="CE1177" s="1684"/>
      <c r="CF1177" s="1684"/>
      <c r="CG1177" s="1684"/>
      <c r="CH1177" s="1684"/>
      <c r="CI1177" s="1684"/>
      <c r="CJ1177" s="1684"/>
      <c r="CK1177" s="1684"/>
      <c r="CL1177" s="1684"/>
      <c r="CM1177" s="1684"/>
      <c r="CN1177" s="1684"/>
      <c r="CO1177" s="1684"/>
    </row>
    <row r="1178" spans="1:93" s="1391" customFormat="1" ht="15" x14ac:dyDescent="0.2">
      <c r="A1178" s="1684"/>
      <c r="B1178" s="1684"/>
      <c r="C1178" s="2014"/>
      <c r="D1178" s="2015"/>
      <c r="E1178" s="2015">
        <v>1</v>
      </c>
      <c r="F1178" s="2015">
        <v>2</v>
      </c>
      <c r="G1178" s="2015">
        <v>3</v>
      </c>
      <c r="H1178" s="2015">
        <v>4</v>
      </c>
      <c r="I1178" s="2015">
        <v>5</v>
      </c>
      <c r="J1178" s="2015">
        <v>6</v>
      </c>
      <c r="K1178" s="2015">
        <v>7</v>
      </c>
      <c r="L1178" s="2015">
        <v>8</v>
      </c>
      <c r="M1178" s="2015">
        <v>9</v>
      </c>
      <c r="N1178" s="2015">
        <v>10</v>
      </c>
      <c r="O1178" s="2015">
        <v>11</v>
      </c>
      <c r="P1178" s="2015">
        <v>12</v>
      </c>
      <c r="Q1178" s="2016"/>
      <c r="R1178"/>
      <c r="S1178" s="1684"/>
      <c r="T1178" s="1684"/>
      <c r="U1178" s="1684"/>
      <c r="V1178" s="1684"/>
      <c r="W1178" s="1684"/>
      <c r="X1178" s="1684"/>
      <c r="Y1178" s="1684"/>
      <c r="Z1178" s="1684"/>
      <c r="AA1178" s="1684"/>
      <c r="AB1178" s="1684"/>
      <c r="AC1178" s="1684"/>
      <c r="AD1178" s="1684"/>
      <c r="AE1178" s="1684"/>
      <c r="AF1178" s="1684"/>
      <c r="AG1178" s="1684"/>
      <c r="AH1178" s="1684"/>
      <c r="AI1178" s="1684"/>
      <c r="AJ1178" s="1684"/>
      <c r="AK1178" s="1684"/>
      <c r="AL1178" s="1684"/>
      <c r="AM1178" s="1684"/>
      <c r="AN1178" s="1684"/>
      <c r="AO1178" s="1684"/>
      <c r="AP1178" s="1684"/>
      <c r="AQ1178" s="1684"/>
      <c r="AR1178" s="1684"/>
      <c r="AS1178" s="1684"/>
      <c r="AT1178" s="1684"/>
      <c r="AU1178" s="1684"/>
      <c r="AV1178" s="1684"/>
      <c r="AW1178" s="1684"/>
      <c r="AX1178" s="1684"/>
      <c r="AY1178" s="1684"/>
      <c r="AZ1178" s="1684"/>
      <c r="BA1178" s="1684"/>
      <c r="BB1178" s="1684"/>
      <c r="BC1178" s="1684"/>
      <c r="BD1178" s="1684"/>
      <c r="BE1178" s="1684"/>
      <c r="BF1178" s="1684"/>
      <c r="BG1178" s="1684"/>
      <c r="BH1178" s="1684"/>
      <c r="BI1178" s="1684"/>
      <c r="BJ1178" s="1684"/>
      <c r="BK1178" s="1684"/>
      <c r="BL1178" s="1684"/>
      <c r="BM1178" s="1684"/>
      <c r="BN1178" s="1684"/>
      <c r="BO1178" s="1684"/>
      <c r="BP1178" s="1684"/>
      <c r="BQ1178" s="1684"/>
      <c r="BR1178" s="1684"/>
      <c r="BS1178" s="1684"/>
      <c r="BT1178" s="1684"/>
      <c r="BU1178" s="1684"/>
      <c r="BV1178" s="1684"/>
      <c r="BW1178" s="1684"/>
      <c r="BX1178" s="1684"/>
      <c r="BY1178" s="1684"/>
      <c r="BZ1178" s="1684"/>
      <c r="CA1178" s="1684"/>
      <c r="CB1178" s="1684"/>
      <c r="CC1178" s="1684"/>
      <c r="CD1178" s="1684"/>
      <c r="CE1178" s="1684"/>
      <c r="CF1178" s="1684"/>
      <c r="CG1178" s="1684"/>
      <c r="CH1178" s="1684"/>
      <c r="CI1178" s="1684"/>
      <c r="CJ1178" s="1684"/>
      <c r="CK1178" s="1684"/>
      <c r="CL1178" s="1684"/>
      <c r="CM1178" s="1684"/>
      <c r="CN1178" s="1684"/>
      <c r="CO1178" s="1684"/>
    </row>
    <row r="1179" spans="1:93" s="1391" customFormat="1" ht="15" x14ac:dyDescent="0.2">
      <c r="A1179" s="1684"/>
      <c r="B1179" s="1684"/>
      <c r="C1179" s="2013">
        <v>8</v>
      </c>
      <c r="D1179" s="5">
        <v>5.16</v>
      </c>
      <c r="E1179" s="5">
        <v>135</v>
      </c>
      <c r="F1179" s="5">
        <v>150</v>
      </c>
      <c r="G1179" s="5">
        <v>165</v>
      </c>
      <c r="H1179" s="5">
        <v>179</v>
      </c>
      <c r="I1179" s="5">
        <v>193</v>
      </c>
      <c r="J1179" s="5">
        <v>207</v>
      </c>
      <c r="K1179" s="5">
        <v>221</v>
      </c>
      <c r="L1179" s="5">
        <v>236</v>
      </c>
      <c r="M1179" s="5">
        <v>250</v>
      </c>
      <c r="N1179" s="5">
        <v>264</v>
      </c>
      <c r="O1179" s="5">
        <v>278</v>
      </c>
      <c r="P1179" s="5">
        <v>293</v>
      </c>
      <c r="Q1179" s="1160">
        <v>1</v>
      </c>
      <c r="R1179"/>
      <c r="S1179" s="1684"/>
      <c r="T1179" s="1684"/>
      <c r="U1179" s="1684"/>
      <c r="V1179" s="1684"/>
      <c r="W1179" s="1684"/>
      <c r="X1179" s="1684"/>
      <c r="Y1179" s="1684"/>
      <c r="Z1179" s="1684"/>
      <c r="AA1179" s="1684"/>
      <c r="AB1179" s="1684"/>
      <c r="AC1179" s="1684"/>
      <c r="AD1179" s="1684"/>
      <c r="AE1179" s="1684"/>
      <c r="AF1179" s="1684"/>
      <c r="AG1179" s="1684"/>
      <c r="AH1179" s="1684"/>
      <c r="AI1179" s="1684"/>
      <c r="AJ1179" s="1684"/>
      <c r="AK1179" s="1684"/>
      <c r="AL1179" s="1684"/>
      <c r="AM1179" s="1684"/>
      <c r="AN1179" s="1684"/>
      <c r="AO1179" s="1684"/>
      <c r="AP1179" s="1684"/>
      <c r="AQ1179" s="1684"/>
      <c r="AR1179" s="1684"/>
      <c r="AS1179" s="1684"/>
      <c r="AT1179" s="1684"/>
      <c r="AU1179" s="1684"/>
      <c r="AV1179" s="1684"/>
      <c r="AW1179" s="1684"/>
      <c r="AX1179" s="1684"/>
      <c r="AY1179" s="1684"/>
      <c r="AZ1179" s="1684"/>
      <c r="BA1179" s="1684"/>
      <c r="BB1179" s="1684"/>
      <c r="BC1179" s="1684"/>
      <c r="BD1179" s="1684"/>
      <c r="BE1179" s="1684"/>
      <c r="BF1179" s="1684"/>
      <c r="BG1179" s="1684"/>
      <c r="BH1179" s="1684"/>
      <c r="BI1179" s="1684"/>
      <c r="BJ1179" s="1684"/>
      <c r="BK1179" s="1684"/>
      <c r="BL1179" s="1684"/>
      <c r="BM1179" s="1684"/>
      <c r="BN1179" s="1684"/>
      <c r="BO1179" s="1684"/>
      <c r="BP1179" s="1684"/>
      <c r="BQ1179" s="1684"/>
      <c r="BR1179" s="1684"/>
      <c r="BS1179" s="1684"/>
      <c r="BT1179" s="1684"/>
      <c r="BU1179" s="1684"/>
      <c r="BV1179" s="1684"/>
      <c r="BW1179" s="1684"/>
      <c r="BX1179" s="1684"/>
      <c r="BY1179" s="1684"/>
      <c r="BZ1179" s="1684"/>
      <c r="CA1179" s="1684"/>
      <c r="CB1179" s="1684"/>
      <c r="CC1179" s="1684"/>
      <c r="CD1179" s="1684"/>
      <c r="CE1179" s="1684"/>
      <c r="CF1179" s="1684"/>
      <c r="CG1179" s="1684"/>
      <c r="CH1179" s="1684"/>
      <c r="CI1179" s="1684"/>
      <c r="CJ1179" s="1684"/>
      <c r="CK1179" s="1684"/>
      <c r="CL1179" s="1684"/>
      <c r="CM1179" s="1684"/>
      <c r="CN1179" s="1684"/>
      <c r="CO1179" s="1684"/>
    </row>
    <row r="1180" spans="1:93" s="1391" customFormat="1" ht="15" x14ac:dyDescent="0.2">
      <c r="A1180" s="1684"/>
      <c r="B1180" s="1684"/>
      <c r="C1180" s="2013">
        <v>9</v>
      </c>
      <c r="D1180" s="5">
        <v>5.4880000000000004</v>
      </c>
      <c r="E1180" s="5">
        <v>150</v>
      </c>
      <c r="F1180" s="5">
        <v>166</v>
      </c>
      <c r="G1180" s="5">
        <v>182</v>
      </c>
      <c r="H1180" s="5">
        <v>198</v>
      </c>
      <c r="I1180" s="5">
        <v>214</v>
      </c>
      <c r="J1180" s="5">
        <v>230</v>
      </c>
      <c r="K1180" s="5">
        <v>245</v>
      </c>
      <c r="L1180" s="5">
        <v>262</v>
      </c>
      <c r="M1180" s="5">
        <v>277</v>
      </c>
      <c r="N1180" s="5">
        <v>293</v>
      </c>
      <c r="O1180" s="5">
        <v>308</v>
      </c>
      <c r="P1180" s="5">
        <v>324</v>
      </c>
      <c r="Q1180" s="1160">
        <v>2</v>
      </c>
      <c r="R1180"/>
      <c r="S1180" s="1684"/>
      <c r="T1180" s="1684"/>
      <c r="U1180" s="1684"/>
      <c r="V1180" s="1684"/>
      <c r="W1180" s="1684"/>
      <c r="X1180" s="1684"/>
      <c r="Y1180" s="1684"/>
      <c r="Z1180" s="1684"/>
      <c r="AA1180" s="1684"/>
      <c r="AB1180" s="1684"/>
      <c r="AC1180" s="1684"/>
      <c r="AD1180" s="1684"/>
      <c r="AE1180" s="1684"/>
      <c r="AF1180" s="1684"/>
      <c r="AG1180" s="1684"/>
      <c r="AH1180" s="1684"/>
      <c r="AI1180" s="1684"/>
      <c r="AJ1180" s="1684"/>
      <c r="AK1180" s="1684"/>
      <c r="AL1180" s="1684"/>
      <c r="AM1180" s="1684"/>
      <c r="AN1180" s="1684"/>
      <c r="AO1180" s="1684"/>
      <c r="AP1180" s="1684"/>
      <c r="AQ1180" s="1684"/>
      <c r="AR1180" s="1684"/>
      <c r="AS1180" s="1684"/>
      <c r="AT1180" s="1684"/>
      <c r="AU1180" s="1684"/>
      <c r="AV1180" s="1684"/>
      <c r="AW1180" s="1684"/>
      <c r="AX1180" s="1684"/>
      <c r="AY1180" s="1684"/>
      <c r="AZ1180" s="1684"/>
      <c r="BA1180" s="1684"/>
      <c r="BB1180" s="1684"/>
      <c r="BC1180" s="1684"/>
      <c r="BD1180" s="1684"/>
      <c r="BE1180" s="1684"/>
      <c r="BF1180" s="1684"/>
      <c r="BG1180" s="1684"/>
      <c r="BH1180" s="1684"/>
      <c r="BI1180" s="1684"/>
      <c r="BJ1180" s="1684"/>
      <c r="BK1180" s="1684"/>
      <c r="BL1180" s="1684"/>
      <c r="BM1180" s="1684"/>
      <c r="BN1180" s="1684"/>
      <c r="BO1180" s="1684"/>
      <c r="BP1180" s="1684"/>
      <c r="BQ1180" s="1684"/>
      <c r="BR1180" s="1684"/>
      <c r="BS1180" s="1684"/>
      <c r="BT1180" s="1684"/>
      <c r="BU1180" s="1684"/>
      <c r="BV1180" s="1684"/>
      <c r="BW1180" s="1684"/>
      <c r="BX1180" s="1684"/>
      <c r="BY1180" s="1684"/>
      <c r="BZ1180" s="1684"/>
      <c r="CA1180" s="1684"/>
      <c r="CB1180" s="1684"/>
      <c r="CC1180" s="1684"/>
      <c r="CD1180" s="1684"/>
      <c r="CE1180" s="1684"/>
      <c r="CF1180" s="1684"/>
      <c r="CG1180" s="1684"/>
      <c r="CH1180" s="1684"/>
      <c r="CI1180" s="1684"/>
      <c r="CJ1180" s="1684"/>
      <c r="CK1180" s="1684"/>
      <c r="CL1180" s="1684"/>
      <c r="CM1180" s="1684"/>
      <c r="CN1180" s="1684"/>
      <c r="CO1180" s="1684"/>
    </row>
    <row r="1181" spans="1:93" s="1391" customFormat="1" ht="15" x14ac:dyDescent="0.2">
      <c r="A1181" s="1684"/>
      <c r="B1181" s="1684"/>
      <c r="C1181" s="2013">
        <v>10</v>
      </c>
      <c r="D1181" s="5">
        <v>5.8380000000000001</v>
      </c>
      <c r="E1181" s="5">
        <v>165</v>
      </c>
      <c r="F1181" s="5">
        <v>183</v>
      </c>
      <c r="G1181" s="5">
        <v>201</v>
      </c>
      <c r="H1181" s="5">
        <v>218</v>
      </c>
      <c r="I1181" s="5">
        <v>236</v>
      </c>
      <c r="J1181" s="5">
        <v>253</v>
      </c>
      <c r="K1181" s="5">
        <v>270</v>
      </c>
      <c r="L1181" s="5">
        <v>289</v>
      </c>
      <c r="M1181" s="5">
        <v>305</v>
      </c>
      <c r="N1181" s="5">
        <v>323</v>
      </c>
      <c r="O1181" s="5">
        <v>340</v>
      </c>
      <c r="P1181" s="5">
        <v>357</v>
      </c>
      <c r="Q1181" s="1160">
        <v>3</v>
      </c>
      <c r="R1181"/>
      <c r="S1181" s="1684"/>
      <c r="T1181" s="1684"/>
      <c r="U1181" s="1684"/>
      <c r="V1181" s="1684"/>
      <c r="W1181" s="1684"/>
      <c r="X1181" s="1684"/>
      <c r="Y1181" s="1684"/>
      <c r="Z1181" s="1684"/>
      <c r="AA1181" s="1684"/>
      <c r="AB1181" s="1684"/>
      <c r="AC1181" s="1684"/>
      <c r="AD1181" s="1684"/>
      <c r="AE1181" s="1684"/>
      <c r="AF1181" s="1684"/>
      <c r="AG1181" s="1684"/>
      <c r="AH1181" s="1684"/>
      <c r="AI1181" s="1684"/>
      <c r="AJ1181" s="1684"/>
      <c r="AK1181" s="1684"/>
      <c r="AL1181" s="1684"/>
      <c r="AM1181" s="1684"/>
      <c r="AN1181" s="1684"/>
      <c r="AO1181" s="1684"/>
      <c r="AP1181" s="1684"/>
      <c r="AQ1181" s="1684"/>
      <c r="AR1181" s="1684"/>
      <c r="AS1181" s="1684"/>
      <c r="AT1181" s="1684"/>
      <c r="AU1181" s="1684"/>
      <c r="AV1181" s="1684"/>
      <c r="AW1181" s="1684"/>
      <c r="AX1181" s="1684"/>
      <c r="AY1181" s="1684"/>
      <c r="AZ1181" s="1684"/>
      <c r="BA1181" s="1684"/>
      <c r="BB1181" s="1684"/>
      <c r="BC1181" s="1684"/>
      <c r="BD1181" s="1684"/>
      <c r="BE1181" s="1684"/>
      <c r="BF1181" s="1684"/>
      <c r="BG1181" s="1684"/>
      <c r="BH1181" s="1684"/>
      <c r="BI1181" s="1684"/>
      <c r="BJ1181" s="1684"/>
      <c r="BK1181" s="1684"/>
      <c r="BL1181" s="1684"/>
      <c r="BM1181" s="1684"/>
      <c r="BN1181" s="1684"/>
      <c r="BO1181" s="1684"/>
      <c r="BP1181" s="1684"/>
      <c r="BQ1181" s="1684"/>
      <c r="BR1181" s="1684"/>
      <c r="BS1181" s="1684"/>
      <c r="BT1181" s="1684"/>
      <c r="BU1181" s="1684"/>
      <c r="BV1181" s="1684"/>
      <c r="BW1181" s="1684"/>
      <c r="BX1181" s="1684"/>
      <c r="BY1181" s="1684"/>
      <c r="BZ1181" s="1684"/>
      <c r="CA1181" s="1684"/>
      <c r="CB1181" s="1684"/>
      <c r="CC1181" s="1684"/>
      <c r="CD1181" s="1684"/>
      <c r="CE1181" s="1684"/>
      <c r="CF1181" s="1684"/>
      <c r="CG1181" s="1684"/>
      <c r="CH1181" s="1684"/>
      <c r="CI1181" s="1684"/>
      <c r="CJ1181" s="1684"/>
      <c r="CK1181" s="1684"/>
      <c r="CL1181" s="1684"/>
      <c r="CM1181" s="1684"/>
      <c r="CN1181" s="1684"/>
      <c r="CO1181" s="1684"/>
    </row>
    <row r="1182" spans="1:93" s="1391" customFormat="1" ht="15" x14ac:dyDescent="0.2">
      <c r="A1182" s="1684"/>
      <c r="B1182" s="1684"/>
      <c r="C1182" s="2013">
        <v>11</v>
      </c>
      <c r="D1182" s="5">
        <v>6.2350000000000003</v>
      </c>
      <c r="E1182" s="5">
        <v>183</v>
      </c>
      <c r="F1182" s="5">
        <v>203</v>
      </c>
      <c r="G1182" s="5">
        <v>222</v>
      </c>
      <c r="H1182" s="5">
        <v>241</v>
      </c>
      <c r="I1182" s="5">
        <v>260</v>
      </c>
      <c r="J1182" s="5">
        <v>280</v>
      </c>
      <c r="K1182" s="5">
        <v>299</v>
      </c>
      <c r="L1182" s="5">
        <v>319</v>
      </c>
      <c r="M1182" s="5">
        <v>337</v>
      </c>
      <c r="N1182" s="5">
        <v>356</v>
      </c>
      <c r="O1182" s="5">
        <v>376</v>
      </c>
      <c r="P1182" s="5">
        <v>395</v>
      </c>
      <c r="Q1182" s="1160">
        <v>4</v>
      </c>
      <c r="R1182"/>
      <c r="S1182" s="1684"/>
      <c r="T1182" s="1684"/>
      <c r="U1182" s="1684"/>
      <c r="V1182" s="1684"/>
      <c r="W1182" s="1684"/>
      <c r="X1182" s="1684"/>
      <c r="Y1182" s="1684"/>
      <c r="Z1182" s="1684"/>
      <c r="AA1182" s="1684"/>
      <c r="AB1182" s="1684"/>
      <c r="AC1182" s="1684"/>
      <c r="AD1182" s="1684"/>
      <c r="AE1182" s="1684"/>
      <c r="AF1182" s="1684"/>
      <c r="AG1182" s="1684"/>
      <c r="AH1182" s="1684"/>
      <c r="AI1182" s="1684"/>
      <c r="AJ1182" s="1684"/>
      <c r="AK1182" s="1684"/>
      <c r="AL1182" s="1684"/>
      <c r="AM1182" s="1684"/>
      <c r="AN1182" s="1684"/>
      <c r="AO1182" s="1684"/>
      <c r="AP1182" s="1684"/>
      <c r="AQ1182" s="1684"/>
      <c r="AR1182" s="1684"/>
      <c r="AS1182" s="1684"/>
      <c r="AT1182" s="1684"/>
      <c r="AU1182" s="1684"/>
      <c r="AV1182" s="1684"/>
      <c r="AW1182" s="1684"/>
      <c r="AX1182" s="1684"/>
      <c r="AY1182" s="1684"/>
      <c r="AZ1182" s="1684"/>
      <c r="BA1182" s="1684"/>
      <c r="BB1182" s="1684"/>
      <c r="BC1182" s="1684"/>
      <c r="BD1182" s="1684"/>
      <c r="BE1182" s="1684"/>
      <c r="BF1182" s="1684"/>
      <c r="BG1182" s="1684"/>
      <c r="BH1182" s="1684"/>
      <c r="BI1182" s="1684"/>
      <c r="BJ1182" s="1684"/>
      <c r="BK1182" s="1684"/>
      <c r="BL1182" s="1684"/>
      <c r="BM1182" s="1684"/>
      <c r="BN1182" s="1684"/>
      <c r="BO1182" s="1684"/>
      <c r="BP1182" s="1684"/>
      <c r="BQ1182" s="1684"/>
      <c r="BR1182" s="1684"/>
      <c r="BS1182" s="1684"/>
      <c r="BT1182" s="1684"/>
      <c r="BU1182" s="1684"/>
      <c r="BV1182" s="1684"/>
      <c r="BW1182" s="1684"/>
      <c r="BX1182" s="1684"/>
      <c r="BY1182" s="1684"/>
      <c r="BZ1182" s="1684"/>
      <c r="CA1182" s="1684"/>
      <c r="CB1182" s="1684"/>
      <c r="CC1182" s="1684"/>
      <c r="CD1182" s="1684"/>
      <c r="CE1182" s="1684"/>
      <c r="CF1182" s="1684"/>
      <c r="CG1182" s="1684"/>
      <c r="CH1182" s="1684"/>
      <c r="CI1182" s="1684"/>
      <c r="CJ1182" s="1684"/>
      <c r="CK1182" s="1684"/>
      <c r="CL1182" s="1684"/>
      <c r="CM1182" s="1684"/>
      <c r="CN1182" s="1684"/>
      <c r="CO1182" s="1684"/>
    </row>
    <row r="1183" spans="1:93" s="1391" customFormat="1" ht="15" x14ac:dyDescent="0.2">
      <c r="A1183" s="1684"/>
      <c r="B1183" s="1684"/>
      <c r="C1183" s="2013">
        <v>12</v>
      </c>
      <c r="D1183" s="5">
        <v>6.6559999999999997</v>
      </c>
      <c r="E1183" s="5">
        <v>201</v>
      </c>
      <c r="F1183" s="5">
        <v>223</v>
      </c>
      <c r="G1183" s="5">
        <v>244</v>
      </c>
      <c r="H1183" s="5">
        <v>265</v>
      </c>
      <c r="I1183" s="5">
        <v>286</v>
      </c>
      <c r="J1183" s="5">
        <v>307</v>
      </c>
      <c r="K1183" s="5">
        <v>328</v>
      </c>
      <c r="L1183" s="5">
        <v>351</v>
      </c>
      <c r="M1183" s="5">
        <v>371</v>
      </c>
      <c r="N1183" s="5">
        <v>392</v>
      </c>
      <c r="O1183" s="5">
        <v>403</v>
      </c>
      <c r="P1183" s="5">
        <v>434</v>
      </c>
      <c r="Q1183" s="1160">
        <v>5</v>
      </c>
      <c r="R1183"/>
      <c r="S1183" s="1684"/>
      <c r="T1183" s="1684"/>
      <c r="U1183" s="1684"/>
      <c r="V1183" s="1684"/>
      <c r="W1183" s="1684"/>
      <c r="X1183" s="1684"/>
      <c r="Y1183" s="1684"/>
      <c r="Z1183" s="1684"/>
      <c r="AA1183" s="1684"/>
      <c r="AB1183" s="1684"/>
      <c r="AC1183" s="1684"/>
      <c r="AD1183" s="1684"/>
      <c r="AE1183" s="1684"/>
      <c r="AF1183" s="1684"/>
      <c r="AG1183" s="1684"/>
      <c r="AH1183" s="1684"/>
      <c r="AI1183" s="1684"/>
      <c r="AJ1183" s="1684"/>
      <c r="AK1183" s="1684"/>
      <c r="AL1183" s="1684"/>
      <c r="AM1183" s="1684"/>
      <c r="AN1183" s="1684"/>
      <c r="AO1183" s="1684"/>
      <c r="AP1183" s="1684"/>
      <c r="AQ1183" s="1684"/>
      <c r="AR1183" s="1684"/>
      <c r="AS1183" s="1684"/>
      <c r="AT1183" s="1684"/>
      <c r="AU1183" s="1684"/>
      <c r="AV1183" s="1684"/>
      <c r="AW1183" s="1684"/>
      <c r="AX1183" s="1684"/>
      <c r="AY1183" s="1684"/>
      <c r="AZ1183" s="1684"/>
      <c r="BA1183" s="1684"/>
      <c r="BB1183" s="1684"/>
      <c r="BC1183" s="1684"/>
      <c r="BD1183" s="1684"/>
      <c r="BE1183" s="1684"/>
      <c r="BF1183" s="1684"/>
      <c r="BG1183" s="1684"/>
      <c r="BH1183" s="1684"/>
      <c r="BI1183" s="1684"/>
      <c r="BJ1183" s="1684"/>
      <c r="BK1183" s="1684"/>
      <c r="BL1183" s="1684"/>
      <c r="BM1183" s="1684"/>
      <c r="BN1183" s="1684"/>
      <c r="BO1183" s="1684"/>
      <c r="BP1183" s="1684"/>
      <c r="BQ1183" s="1684"/>
      <c r="BR1183" s="1684"/>
      <c r="BS1183" s="1684"/>
      <c r="BT1183" s="1684"/>
      <c r="BU1183" s="1684"/>
      <c r="BV1183" s="1684"/>
      <c r="BW1183" s="1684"/>
      <c r="BX1183" s="1684"/>
      <c r="BY1183" s="1684"/>
      <c r="BZ1183" s="1684"/>
      <c r="CA1183" s="1684"/>
      <c r="CB1183" s="1684"/>
      <c r="CC1183" s="1684"/>
      <c r="CD1183" s="1684"/>
      <c r="CE1183" s="1684"/>
      <c r="CF1183" s="1684"/>
      <c r="CG1183" s="1684"/>
      <c r="CH1183" s="1684"/>
      <c r="CI1183" s="1684"/>
      <c r="CJ1183" s="1684"/>
      <c r="CK1183" s="1684"/>
      <c r="CL1183" s="1684"/>
      <c r="CM1183" s="1684"/>
      <c r="CN1183" s="1684"/>
      <c r="CO1183" s="1684"/>
    </row>
    <row r="1184" spans="1:93" s="1391" customFormat="1" ht="15" x14ac:dyDescent="0.2">
      <c r="A1184" s="1684"/>
      <c r="B1184" s="1684"/>
      <c r="C1184" s="2013">
        <v>13</v>
      </c>
      <c r="D1184" s="5">
        <v>7.093</v>
      </c>
      <c r="E1184" s="5">
        <v>219</v>
      </c>
      <c r="F1184" s="5">
        <v>243</v>
      </c>
      <c r="G1184" s="5">
        <v>267</v>
      </c>
      <c r="H1184" s="5">
        <v>290</v>
      </c>
      <c r="I1184" s="5">
        <v>313</v>
      </c>
      <c r="J1184" s="5">
        <v>336</v>
      </c>
      <c r="K1184" s="5">
        <v>359</v>
      </c>
      <c r="L1184" s="5">
        <v>383</v>
      </c>
      <c r="M1184" s="5">
        <v>405</v>
      </c>
      <c r="N1184" s="5">
        <v>428</v>
      </c>
      <c r="O1184" s="5">
        <v>454</v>
      </c>
      <c r="P1184" s="5">
        <v>474</v>
      </c>
      <c r="Q1184" s="1160">
        <v>6</v>
      </c>
      <c r="R1184"/>
      <c r="S1184" s="1684"/>
      <c r="T1184" s="1684"/>
      <c r="U1184" s="1684"/>
      <c r="V1184" s="1684"/>
      <c r="W1184" s="1684"/>
      <c r="X1184" s="1684"/>
      <c r="Y1184" s="1684"/>
      <c r="Z1184" s="1684"/>
      <c r="AA1184" s="1684"/>
      <c r="AB1184" s="1684"/>
      <c r="AC1184" s="1684"/>
      <c r="AD1184" s="1684"/>
      <c r="AE1184" s="1684"/>
      <c r="AF1184" s="1684"/>
      <c r="AG1184" s="1684"/>
      <c r="AH1184" s="1684"/>
      <c r="AI1184" s="1684"/>
      <c r="AJ1184" s="1684"/>
      <c r="AK1184" s="1684"/>
      <c r="AL1184" s="1684"/>
      <c r="AM1184" s="1684"/>
      <c r="AN1184" s="1684"/>
      <c r="AO1184" s="1684"/>
      <c r="AP1184" s="1684"/>
      <c r="AQ1184" s="1684"/>
      <c r="AR1184" s="1684"/>
      <c r="AS1184" s="1684"/>
      <c r="AT1184" s="1684"/>
      <c r="AU1184" s="1684"/>
      <c r="AV1184" s="1684"/>
      <c r="AW1184" s="1684"/>
      <c r="AX1184" s="1684"/>
      <c r="AY1184" s="1684"/>
      <c r="AZ1184" s="1684"/>
      <c r="BA1184" s="1684"/>
      <c r="BB1184" s="1684"/>
      <c r="BC1184" s="1684"/>
      <c r="BD1184" s="1684"/>
      <c r="BE1184" s="1684"/>
      <c r="BF1184" s="1684"/>
      <c r="BG1184" s="1684"/>
      <c r="BH1184" s="1684"/>
      <c r="BI1184" s="1684"/>
      <c r="BJ1184" s="1684"/>
      <c r="BK1184" s="1684"/>
      <c r="BL1184" s="1684"/>
      <c r="BM1184" s="1684"/>
      <c r="BN1184" s="1684"/>
      <c r="BO1184" s="1684"/>
      <c r="BP1184" s="1684"/>
      <c r="BQ1184" s="1684"/>
      <c r="BR1184" s="1684"/>
      <c r="BS1184" s="1684"/>
      <c r="BT1184" s="1684"/>
      <c r="BU1184" s="1684"/>
      <c r="BV1184" s="1684"/>
      <c r="BW1184" s="1684"/>
      <c r="BX1184" s="1684"/>
      <c r="BY1184" s="1684"/>
      <c r="BZ1184" s="1684"/>
      <c r="CA1184" s="1684"/>
      <c r="CB1184" s="1684"/>
      <c r="CC1184" s="1684"/>
      <c r="CD1184" s="1684"/>
      <c r="CE1184" s="1684"/>
      <c r="CF1184" s="1684"/>
      <c r="CG1184" s="1684"/>
      <c r="CH1184" s="1684"/>
      <c r="CI1184" s="1684"/>
      <c r="CJ1184" s="1684"/>
      <c r="CK1184" s="1684"/>
      <c r="CL1184" s="1684"/>
      <c r="CM1184" s="1684"/>
      <c r="CN1184" s="1684"/>
      <c r="CO1184" s="1684"/>
    </row>
    <row r="1185" spans="1:93" s="1391" customFormat="1" ht="15" x14ac:dyDescent="0.2">
      <c r="A1185" s="1684"/>
      <c r="B1185" s="1684"/>
      <c r="C1185" s="2013">
        <v>14</v>
      </c>
      <c r="D1185" s="5">
        <v>7.56</v>
      </c>
      <c r="E1185" s="5">
        <v>239</v>
      </c>
      <c r="F1185" s="5">
        <v>265</v>
      </c>
      <c r="G1185" s="5">
        <v>290</v>
      </c>
      <c r="H1185" s="5">
        <v>316</v>
      </c>
      <c r="I1185" s="5">
        <v>341</v>
      </c>
      <c r="J1185" s="5">
        <v>366</v>
      </c>
      <c r="K1185" s="5">
        <v>391</v>
      </c>
      <c r="L1185" s="5">
        <v>417</v>
      </c>
      <c r="M1185" s="5">
        <v>441</v>
      </c>
      <c r="N1185" s="5">
        <v>466</v>
      </c>
      <c r="O1185" s="5">
        <v>482</v>
      </c>
      <c r="P1185" s="5">
        <v>517</v>
      </c>
      <c r="Q1185" s="1160">
        <v>7</v>
      </c>
      <c r="R1185"/>
      <c r="S1185" s="1684"/>
      <c r="T1185" s="1684"/>
      <c r="U1185" s="1684"/>
      <c r="V1185" s="1684"/>
      <c r="W1185" s="1684"/>
      <c r="X1185" s="1684"/>
      <c r="Y1185" s="1684"/>
      <c r="Z1185" s="1684"/>
      <c r="AA1185" s="1684"/>
      <c r="AB1185" s="1684"/>
      <c r="AC1185" s="1684"/>
      <c r="AD1185" s="1684"/>
      <c r="AE1185" s="1684"/>
      <c r="AF1185" s="1684"/>
      <c r="AG1185" s="1684"/>
      <c r="AH1185" s="1684"/>
      <c r="AI1185" s="1684"/>
      <c r="AJ1185" s="1684"/>
      <c r="AK1185" s="1684"/>
      <c r="AL1185" s="1684"/>
      <c r="AM1185" s="1684"/>
      <c r="AN1185" s="1684"/>
      <c r="AO1185" s="1684"/>
      <c r="AP1185" s="1684"/>
      <c r="AQ1185" s="1684"/>
      <c r="AR1185" s="1684"/>
      <c r="AS1185" s="1684"/>
      <c r="AT1185" s="1684"/>
      <c r="AU1185" s="1684"/>
      <c r="AV1185" s="1684"/>
      <c r="AW1185" s="1684"/>
      <c r="AX1185" s="1684"/>
      <c r="AY1185" s="1684"/>
      <c r="AZ1185" s="1684"/>
      <c r="BA1185" s="1684"/>
      <c r="BB1185" s="1684"/>
      <c r="BC1185" s="1684"/>
      <c r="BD1185" s="1684"/>
      <c r="BE1185" s="1684"/>
      <c r="BF1185" s="1684"/>
      <c r="BG1185" s="1684"/>
      <c r="BH1185" s="1684"/>
      <c r="BI1185" s="1684"/>
      <c r="BJ1185" s="1684"/>
      <c r="BK1185" s="1684"/>
      <c r="BL1185" s="1684"/>
      <c r="BM1185" s="1684"/>
      <c r="BN1185" s="1684"/>
      <c r="BO1185" s="1684"/>
      <c r="BP1185" s="1684"/>
      <c r="BQ1185" s="1684"/>
      <c r="BR1185" s="1684"/>
      <c r="BS1185" s="1684"/>
      <c r="BT1185" s="1684"/>
      <c r="BU1185" s="1684"/>
      <c r="BV1185" s="1684"/>
      <c r="BW1185" s="1684"/>
      <c r="BX1185" s="1684"/>
      <c r="BY1185" s="1684"/>
      <c r="BZ1185" s="1684"/>
      <c r="CA1185" s="1684"/>
      <c r="CB1185" s="1684"/>
      <c r="CC1185" s="1684"/>
      <c r="CD1185" s="1684"/>
      <c r="CE1185" s="1684"/>
      <c r="CF1185" s="1684"/>
      <c r="CG1185" s="1684"/>
      <c r="CH1185" s="1684"/>
      <c r="CI1185" s="1684"/>
      <c r="CJ1185" s="1684"/>
      <c r="CK1185" s="1684"/>
      <c r="CL1185" s="1684"/>
      <c r="CM1185" s="1684"/>
      <c r="CN1185" s="1684"/>
      <c r="CO1185" s="1684"/>
    </row>
    <row r="1186" spans="1:93" s="1391" customFormat="1" ht="15" x14ac:dyDescent="0.2">
      <c r="A1186" s="1684"/>
      <c r="B1186" s="1684"/>
      <c r="C1186" s="2013">
        <v>15</v>
      </c>
      <c r="D1186" s="5">
        <v>8.0489999999999995</v>
      </c>
      <c r="E1186" s="5">
        <v>259</v>
      </c>
      <c r="F1186" s="5">
        <v>288</v>
      </c>
      <c r="G1186" s="5">
        <v>315</v>
      </c>
      <c r="H1186" s="5">
        <v>342</v>
      </c>
      <c r="I1186" s="5">
        <v>370</v>
      </c>
      <c r="J1186" s="5">
        <v>397</v>
      </c>
      <c r="K1186" s="5">
        <v>424</v>
      </c>
      <c r="L1186" s="5">
        <v>453</v>
      </c>
      <c r="M1186" s="5">
        <v>479</v>
      </c>
      <c r="N1186" s="5">
        <v>506</v>
      </c>
      <c r="O1186" s="5">
        <v>533</v>
      </c>
      <c r="P1186" s="5">
        <v>561</v>
      </c>
      <c r="Q1186" s="1160">
        <v>8</v>
      </c>
      <c r="R1186"/>
      <c r="S1186" s="1684"/>
      <c r="T1186" s="1684"/>
      <c r="U1186" s="1684"/>
      <c r="V1186" s="1684"/>
      <c r="W1186" s="1684"/>
      <c r="X1186" s="1684"/>
      <c r="Y1186" s="1684"/>
      <c r="Z1186" s="1684"/>
      <c r="AA1186" s="1684"/>
      <c r="AB1186" s="1684"/>
      <c r="AC1186" s="1684"/>
      <c r="AD1186" s="1684"/>
      <c r="AE1186" s="1684"/>
      <c r="AF1186" s="1684"/>
      <c r="AG1186" s="1684"/>
      <c r="AH1186" s="1684"/>
      <c r="AI1186" s="1684"/>
      <c r="AJ1186" s="1684"/>
      <c r="AK1186" s="1684"/>
      <c r="AL1186" s="1684"/>
      <c r="AM1186" s="1684"/>
      <c r="AN1186" s="1684"/>
      <c r="AO1186" s="1684"/>
      <c r="AP1186" s="1684"/>
      <c r="AQ1186" s="1684"/>
      <c r="AR1186" s="1684"/>
      <c r="AS1186" s="1684"/>
      <c r="AT1186" s="1684"/>
      <c r="AU1186" s="1684"/>
      <c r="AV1186" s="1684"/>
      <c r="AW1186" s="1684"/>
      <c r="AX1186" s="1684"/>
      <c r="AY1186" s="1684"/>
      <c r="AZ1186" s="1684"/>
      <c r="BA1186" s="1684"/>
      <c r="BB1186" s="1684"/>
      <c r="BC1186" s="1684"/>
      <c r="BD1186" s="1684"/>
      <c r="BE1186" s="1684"/>
      <c r="BF1186" s="1684"/>
      <c r="BG1186" s="1684"/>
      <c r="BH1186" s="1684"/>
      <c r="BI1186" s="1684"/>
      <c r="BJ1186" s="1684"/>
      <c r="BK1186" s="1684"/>
      <c r="BL1186" s="1684"/>
      <c r="BM1186" s="1684"/>
      <c r="BN1186" s="1684"/>
      <c r="BO1186" s="1684"/>
      <c r="BP1186" s="1684"/>
      <c r="BQ1186" s="1684"/>
      <c r="BR1186" s="1684"/>
      <c r="BS1186" s="1684"/>
      <c r="BT1186" s="1684"/>
      <c r="BU1186" s="1684"/>
      <c r="BV1186" s="1684"/>
      <c r="BW1186" s="1684"/>
      <c r="BX1186" s="1684"/>
      <c r="BY1186" s="1684"/>
      <c r="BZ1186" s="1684"/>
      <c r="CA1186" s="1684"/>
      <c r="CB1186" s="1684"/>
      <c r="CC1186" s="1684"/>
      <c r="CD1186" s="1684"/>
      <c r="CE1186" s="1684"/>
      <c r="CF1186" s="1684"/>
      <c r="CG1186" s="1684"/>
      <c r="CH1186" s="1684"/>
      <c r="CI1186" s="1684"/>
      <c r="CJ1186" s="1684"/>
      <c r="CK1186" s="1684"/>
      <c r="CL1186" s="1684"/>
      <c r="CM1186" s="1684"/>
      <c r="CN1186" s="1684"/>
      <c r="CO1186" s="1684"/>
    </row>
    <row r="1187" spans="1:93" s="1391" customFormat="1" ht="15" x14ac:dyDescent="0.2">
      <c r="A1187" s="1684"/>
      <c r="B1187" s="1684"/>
      <c r="C1187" s="2013">
        <v>16</v>
      </c>
      <c r="D1187" s="5">
        <v>8.68</v>
      </c>
      <c r="E1187" s="5">
        <v>279</v>
      </c>
      <c r="F1187" s="5">
        <v>310</v>
      </c>
      <c r="G1187" s="5">
        <v>339</v>
      </c>
      <c r="H1187" s="5">
        <v>369</v>
      </c>
      <c r="I1187" s="5">
        <v>398</v>
      </c>
      <c r="J1187" s="5">
        <v>428</v>
      </c>
      <c r="K1187" s="5">
        <v>457</v>
      </c>
      <c r="L1187" s="5">
        <v>488</v>
      </c>
      <c r="M1187" s="5">
        <v>516</v>
      </c>
      <c r="N1187" s="5">
        <v>545</v>
      </c>
      <c r="O1187" s="5">
        <v>575</v>
      </c>
      <c r="P1187" s="5">
        <v>604</v>
      </c>
      <c r="Q1187" s="1160">
        <v>9</v>
      </c>
      <c r="R1187"/>
      <c r="S1187" s="1684"/>
      <c r="T1187" s="1684"/>
      <c r="U1187" s="1684"/>
      <c r="V1187" s="1684"/>
      <c r="W1187" s="1684"/>
      <c r="X1187" s="1684"/>
      <c r="Y1187" s="1684"/>
      <c r="Z1187" s="1684"/>
      <c r="AA1187" s="1684"/>
      <c r="AB1187" s="1684"/>
      <c r="AC1187" s="1684"/>
      <c r="AD1187" s="1684"/>
      <c r="AE1187" s="1684"/>
      <c r="AF1187" s="1684"/>
      <c r="AG1187" s="1684"/>
      <c r="AH1187" s="1684"/>
      <c r="AI1187" s="1684"/>
      <c r="AJ1187" s="1684"/>
      <c r="AK1187" s="1684"/>
      <c r="AL1187" s="1684"/>
      <c r="AM1187" s="1684"/>
      <c r="AN1187" s="1684"/>
      <c r="AO1187" s="1684"/>
      <c r="AP1187" s="1684"/>
      <c r="AQ1187" s="1684"/>
      <c r="AR1187" s="1684"/>
      <c r="AS1187" s="1684"/>
      <c r="AT1187" s="1684"/>
      <c r="AU1187" s="1684"/>
      <c r="AV1187" s="1684"/>
      <c r="AW1187" s="1684"/>
      <c r="AX1187" s="1684"/>
      <c r="AY1187" s="1684"/>
      <c r="AZ1187" s="1684"/>
      <c r="BA1187" s="1684"/>
      <c r="BB1187" s="1684"/>
      <c r="BC1187" s="1684"/>
      <c r="BD1187" s="1684"/>
      <c r="BE1187" s="1684"/>
      <c r="BF1187" s="1684"/>
      <c r="BG1187" s="1684"/>
      <c r="BH1187" s="1684"/>
      <c r="BI1187" s="1684"/>
      <c r="BJ1187" s="1684"/>
      <c r="BK1187" s="1684"/>
      <c r="BL1187" s="1684"/>
      <c r="BM1187" s="1684"/>
      <c r="BN1187" s="1684"/>
      <c r="BO1187" s="1684"/>
      <c r="BP1187" s="1684"/>
      <c r="BQ1187" s="1684"/>
      <c r="BR1187" s="1684"/>
      <c r="BS1187" s="1684"/>
      <c r="BT1187" s="1684"/>
      <c r="BU1187" s="1684"/>
      <c r="BV1187" s="1684"/>
      <c r="BW1187" s="1684"/>
      <c r="BX1187" s="1684"/>
      <c r="BY1187" s="1684"/>
      <c r="BZ1187" s="1684"/>
      <c r="CA1187" s="1684"/>
      <c r="CB1187" s="1684"/>
      <c r="CC1187" s="1684"/>
      <c r="CD1187" s="1684"/>
      <c r="CE1187" s="1684"/>
      <c r="CF1187" s="1684"/>
      <c r="CG1187" s="1684"/>
      <c r="CH1187" s="1684"/>
      <c r="CI1187" s="1684"/>
      <c r="CJ1187" s="1684"/>
      <c r="CK1187" s="1684"/>
      <c r="CL1187" s="1684"/>
      <c r="CM1187" s="1684"/>
      <c r="CN1187" s="1684"/>
      <c r="CO1187" s="1684"/>
    </row>
    <row r="1188" spans="1:93" s="1391" customFormat="1" ht="15" x14ac:dyDescent="0.2">
      <c r="A1188" s="1684"/>
      <c r="B1188" s="1684"/>
      <c r="C1188" s="2013">
        <v>17</v>
      </c>
      <c r="D1188" s="5">
        <v>9.3520000000000003</v>
      </c>
      <c r="E1188" s="5">
        <v>298</v>
      </c>
      <c r="F1188" s="5">
        <v>331</v>
      </c>
      <c r="G1188" s="5">
        <v>362</v>
      </c>
      <c r="H1188" s="5">
        <v>393</v>
      </c>
      <c r="I1188" s="5">
        <v>425</v>
      </c>
      <c r="J1188" s="5">
        <v>456</v>
      </c>
      <c r="K1188" s="5">
        <v>488</v>
      </c>
      <c r="L1188" s="5">
        <v>520</v>
      </c>
      <c r="M1188" s="5">
        <v>550</v>
      </c>
      <c r="N1188" s="5">
        <v>582</v>
      </c>
      <c r="O1188" s="5">
        <v>613</v>
      </c>
      <c r="P1188" s="5">
        <v>644</v>
      </c>
      <c r="Q1188" s="1160">
        <v>10</v>
      </c>
      <c r="R1188"/>
      <c r="S1188" s="1684"/>
      <c r="T1188" s="1684"/>
      <c r="U1188" s="1684"/>
      <c r="V1188" s="1684"/>
      <c r="W1188" s="1684"/>
      <c r="X1188" s="1684"/>
      <c r="Y1188" s="1684"/>
      <c r="Z1188" s="1684"/>
      <c r="AA1188" s="1684"/>
      <c r="AB1188" s="1684"/>
      <c r="AC1188" s="1684"/>
      <c r="AD1188" s="1684"/>
      <c r="AE1188" s="1684"/>
      <c r="AF1188" s="1684"/>
      <c r="AG1188" s="1684"/>
      <c r="AH1188" s="1684"/>
      <c r="AI1188" s="1684"/>
      <c r="AJ1188" s="1684"/>
      <c r="AK1188" s="1684"/>
      <c r="AL1188" s="1684"/>
      <c r="AM1188" s="1684"/>
      <c r="AN1188" s="1684"/>
      <c r="AO1188" s="1684"/>
      <c r="AP1188" s="1684"/>
      <c r="AQ1188" s="1684"/>
      <c r="AR1188" s="1684"/>
      <c r="AS1188" s="1684"/>
      <c r="AT1188" s="1684"/>
      <c r="AU1188" s="1684"/>
      <c r="AV1188" s="1684"/>
      <c r="AW1188" s="1684"/>
      <c r="AX1188" s="1684"/>
      <c r="AY1188" s="1684"/>
      <c r="AZ1188" s="1684"/>
      <c r="BA1188" s="1684"/>
      <c r="BB1188" s="1684"/>
      <c r="BC1188" s="1684"/>
      <c r="BD1188" s="1684"/>
      <c r="BE1188" s="1684"/>
      <c r="BF1188" s="1684"/>
      <c r="BG1188" s="1684"/>
      <c r="BH1188" s="1684"/>
      <c r="BI1188" s="1684"/>
      <c r="BJ1188" s="1684"/>
      <c r="BK1188" s="1684"/>
      <c r="BL1188" s="1684"/>
      <c r="BM1188" s="1684"/>
      <c r="BN1188" s="1684"/>
      <c r="BO1188" s="1684"/>
      <c r="BP1188" s="1684"/>
      <c r="BQ1188" s="1684"/>
      <c r="BR1188" s="1684"/>
      <c r="BS1188" s="1684"/>
      <c r="BT1188" s="1684"/>
      <c r="BU1188" s="1684"/>
      <c r="BV1188" s="1684"/>
      <c r="BW1188" s="1684"/>
      <c r="BX1188" s="1684"/>
      <c r="BY1188" s="1684"/>
      <c r="BZ1188" s="1684"/>
      <c r="CA1188" s="1684"/>
      <c r="CB1188" s="1684"/>
      <c r="CC1188" s="1684"/>
      <c r="CD1188" s="1684"/>
      <c r="CE1188" s="1684"/>
      <c r="CF1188" s="1684"/>
      <c r="CG1188" s="1684"/>
      <c r="CH1188" s="1684"/>
      <c r="CI1188" s="1684"/>
      <c r="CJ1188" s="1684"/>
      <c r="CK1188" s="1684"/>
      <c r="CL1188" s="1684"/>
      <c r="CM1188" s="1684"/>
      <c r="CN1188" s="1684"/>
      <c r="CO1188" s="1684"/>
    </row>
    <row r="1189" spans="1:93" s="1391" customFormat="1" ht="15" x14ac:dyDescent="0.2">
      <c r="A1189" s="1684"/>
      <c r="B1189" s="1684"/>
      <c r="C1189" s="2013">
        <v>18</v>
      </c>
      <c r="D1189" s="5">
        <v>9.7889999999999997</v>
      </c>
      <c r="E1189" s="5">
        <v>315</v>
      </c>
      <c r="F1189" s="5">
        <v>350</v>
      </c>
      <c r="G1189" s="5">
        <v>383</v>
      </c>
      <c r="H1189" s="5">
        <v>416</v>
      </c>
      <c r="I1189" s="5">
        <v>449</v>
      </c>
      <c r="J1189" s="5">
        <v>482</v>
      </c>
      <c r="K1189" s="5">
        <v>516</v>
      </c>
      <c r="L1189" s="5">
        <v>550</v>
      </c>
      <c r="M1189" s="5">
        <v>582</v>
      </c>
      <c r="N1189" s="5">
        <v>615</v>
      </c>
      <c r="O1189" s="5">
        <v>648</v>
      </c>
      <c r="P1189" s="5">
        <v>681</v>
      </c>
      <c r="Q1189" s="1160">
        <v>11</v>
      </c>
      <c r="R1189"/>
      <c r="S1189" s="1684"/>
      <c r="T1189" s="1684"/>
      <c r="U1189" s="1684"/>
      <c r="V1189" s="1684"/>
      <c r="W1189" s="1684"/>
      <c r="X1189" s="1684"/>
      <c r="Y1189" s="1684"/>
      <c r="Z1189" s="1684"/>
      <c r="AA1189" s="1684"/>
      <c r="AB1189" s="1684"/>
      <c r="AC1189" s="1684"/>
      <c r="AD1189" s="1684"/>
      <c r="AE1189" s="1684"/>
      <c r="AF1189" s="1684"/>
      <c r="AG1189" s="1684"/>
      <c r="AH1189" s="1684"/>
      <c r="AI1189" s="1684"/>
      <c r="AJ1189" s="1684"/>
      <c r="AK1189" s="1684"/>
      <c r="AL1189" s="1684"/>
      <c r="AM1189" s="1684"/>
      <c r="AN1189" s="1684"/>
      <c r="AO1189" s="1684"/>
      <c r="AP1189" s="1684"/>
      <c r="AQ1189" s="1684"/>
      <c r="AR1189" s="1684"/>
      <c r="AS1189" s="1684"/>
      <c r="AT1189" s="1684"/>
      <c r="AU1189" s="1684"/>
      <c r="AV1189" s="1684"/>
      <c r="AW1189" s="1684"/>
      <c r="AX1189" s="1684"/>
      <c r="AY1189" s="1684"/>
      <c r="AZ1189" s="1684"/>
      <c r="BA1189" s="1684"/>
      <c r="BB1189" s="1684"/>
      <c r="BC1189" s="1684"/>
      <c r="BD1189" s="1684"/>
      <c r="BE1189" s="1684"/>
      <c r="BF1189" s="1684"/>
      <c r="BG1189" s="1684"/>
      <c r="BH1189" s="1684"/>
      <c r="BI1189" s="1684"/>
      <c r="BJ1189" s="1684"/>
      <c r="BK1189" s="1684"/>
      <c r="BL1189" s="1684"/>
      <c r="BM1189" s="1684"/>
      <c r="BN1189" s="1684"/>
      <c r="BO1189" s="1684"/>
      <c r="BP1189" s="1684"/>
      <c r="BQ1189" s="1684"/>
      <c r="BR1189" s="1684"/>
      <c r="BS1189" s="1684"/>
      <c r="BT1189" s="1684"/>
      <c r="BU1189" s="1684"/>
      <c r="BV1189" s="1684"/>
      <c r="BW1189" s="1684"/>
      <c r="BX1189" s="1684"/>
      <c r="BY1189" s="1684"/>
      <c r="BZ1189" s="1684"/>
      <c r="CA1189" s="1684"/>
      <c r="CB1189" s="1684"/>
      <c r="CC1189" s="1684"/>
      <c r="CD1189" s="1684"/>
      <c r="CE1189" s="1684"/>
      <c r="CF1189" s="1684"/>
      <c r="CG1189" s="1684"/>
      <c r="CH1189" s="1684"/>
      <c r="CI1189" s="1684"/>
      <c r="CJ1189" s="1684"/>
      <c r="CK1189" s="1684"/>
      <c r="CL1189" s="1684"/>
      <c r="CM1189" s="1684"/>
      <c r="CN1189" s="1684"/>
      <c r="CO1189" s="1684"/>
    </row>
    <row r="1190" spans="1:93" s="1391" customFormat="1" ht="15" x14ac:dyDescent="0.2">
      <c r="A1190" s="1684"/>
      <c r="B1190" s="1684"/>
      <c r="C1190" s="4680" t="s">
        <v>3691</v>
      </c>
      <c r="D1190" s="4681"/>
      <c r="E1190" s="4681"/>
      <c r="F1190" s="4681"/>
      <c r="G1190" s="4681"/>
      <c r="H1190" s="4681"/>
      <c r="I1190" s="4681"/>
      <c r="J1190" s="4681"/>
      <c r="K1190" s="4681"/>
      <c r="L1190" s="4681"/>
      <c r="M1190" s="4681"/>
      <c r="N1190" s="4681"/>
      <c r="O1190" s="4681"/>
      <c r="P1190" s="4681"/>
      <c r="Q1190" s="4682"/>
      <c r="R1190"/>
      <c r="S1190" s="1684"/>
      <c r="T1190" s="1684"/>
      <c r="U1190" s="1684"/>
      <c r="V1190" s="1684"/>
      <c r="W1190" s="1684"/>
      <c r="X1190" s="1684"/>
      <c r="Y1190" s="1684"/>
      <c r="Z1190" s="1684"/>
      <c r="AA1190" s="1684"/>
      <c r="AB1190" s="1684"/>
      <c r="AC1190" s="1684"/>
      <c r="AD1190" s="1684"/>
      <c r="AE1190" s="1684"/>
      <c r="AF1190" s="1684"/>
      <c r="AG1190" s="1684"/>
      <c r="AH1190" s="1684"/>
      <c r="AI1190" s="1684"/>
      <c r="AJ1190" s="1684"/>
      <c r="AK1190" s="1684"/>
      <c r="AL1190" s="1684"/>
      <c r="AM1190" s="1684"/>
      <c r="AN1190" s="1684"/>
      <c r="AO1190" s="1684"/>
      <c r="AP1190" s="1684"/>
      <c r="AQ1190" s="1684"/>
      <c r="AR1190" s="1684"/>
      <c r="AS1190" s="1684"/>
      <c r="AT1190" s="1684"/>
      <c r="AU1190" s="1684"/>
      <c r="AV1190" s="1684"/>
      <c r="AW1190" s="1684"/>
      <c r="AX1190" s="1684"/>
      <c r="AY1190" s="1684"/>
      <c r="AZ1190" s="1684"/>
      <c r="BA1190" s="1684"/>
      <c r="BB1190" s="1684"/>
      <c r="BC1190" s="1684"/>
      <c r="BD1190" s="1684"/>
      <c r="BE1190" s="1684"/>
      <c r="BF1190" s="1684"/>
      <c r="BG1190" s="1684"/>
      <c r="BH1190" s="1684"/>
      <c r="BI1190" s="1684"/>
      <c r="BJ1190" s="1684"/>
      <c r="BK1190" s="1684"/>
      <c r="BL1190" s="1684"/>
      <c r="BM1190" s="1684"/>
      <c r="BN1190" s="1684"/>
      <c r="BO1190" s="1684"/>
      <c r="BP1190" s="1684"/>
      <c r="BQ1190" s="1684"/>
      <c r="BR1190" s="1684"/>
      <c r="BS1190" s="1684"/>
      <c r="BT1190" s="1684"/>
      <c r="BU1190" s="1684"/>
      <c r="BV1190" s="1684"/>
      <c r="BW1190" s="1684"/>
      <c r="BX1190" s="1684"/>
      <c r="BY1190" s="1684"/>
      <c r="BZ1190" s="1684"/>
      <c r="CA1190" s="1684"/>
      <c r="CB1190" s="1684"/>
      <c r="CC1190" s="1684"/>
      <c r="CD1190" s="1684"/>
      <c r="CE1190" s="1684"/>
      <c r="CF1190" s="1684"/>
      <c r="CG1190" s="1684"/>
      <c r="CH1190" s="1684"/>
      <c r="CI1190" s="1684"/>
      <c r="CJ1190" s="1684"/>
      <c r="CK1190" s="1684"/>
      <c r="CL1190" s="1684"/>
      <c r="CM1190" s="1684"/>
      <c r="CN1190" s="1684"/>
      <c r="CO1190" s="1684"/>
    </row>
    <row r="1191" spans="1:93" s="1391" customFormat="1" ht="15" x14ac:dyDescent="0.2">
      <c r="A1191" s="1684"/>
      <c r="B1191" s="1684"/>
      <c r="C1191" s="4680"/>
      <c r="D1191" s="4681"/>
      <c r="E1191" s="4681"/>
      <c r="F1191" s="4681"/>
      <c r="G1191" s="4681"/>
      <c r="H1191" s="4681"/>
      <c r="I1191" s="4681"/>
      <c r="J1191" s="4681"/>
      <c r="K1191" s="4681"/>
      <c r="L1191" s="4681"/>
      <c r="M1191" s="4681"/>
      <c r="N1191" s="4681"/>
      <c r="O1191" s="4681"/>
      <c r="P1191" s="4681"/>
      <c r="Q1191" s="4682"/>
      <c r="R1191"/>
      <c r="S1191" s="1684"/>
      <c r="T1191" s="1684"/>
      <c r="U1191" s="1684"/>
      <c r="V1191" s="1684"/>
      <c r="W1191" s="1684"/>
      <c r="X1191" s="1684"/>
      <c r="Y1191" s="1684"/>
      <c r="Z1191" s="1684"/>
      <c r="AA1191" s="1684"/>
      <c r="AB1191" s="1684"/>
      <c r="AC1191" s="1684"/>
      <c r="AD1191" s="1684"/>
      <c r="AE1191" s="1684"/>
      <c r="AF1191" s="1684"/>
      <c r="AG1191" s="1684"/>
      <c r="AH1191" s="1684"/>
      <c r="AI1191" s="1684"/>
      <c r="AJ1191" s="1684"/>
      <c r="AK1191" s="1684"/>
      <c r="AL1191" s="1684"/>
      <c r="AM1191" s="1684"/>
      <c r="AN1191" s="1684"/>
      <c r="AO1191" s="1684"/>
      <c r="AP1191" s="1684"/>
      <c r="AQ1191" s="1684"/>
      <c r="AR1191" s="1684"/>
      <c r="AS1191" s="1684"/>
      <c r="AT1191" s="1684"/>
      <c r="AU1191" s="1684"/>
      <c r="AV1191" s="1684"/>
      <c r="AW1191" s="1684"/>
      <c r="AX1191" s="1684"/>
      <c r="AY1191" s="1684"/>
      <c r="AZ1191" s="1684"/>
      <c r="BA1191" s="1684"/>
      <c r="BB1191" s="1684"/>
      <c r="BC1191" s="1684"/>
      <c r="BD1191" s="1684"/>
      <c r="BE1191" s="1684"/>
      <c r="BF1191" s="1684"/>
      <c r="BG1191" s="1684"/>
      <c r="BH1191" s="1684"/>
      <c r="BI1191" s="1684"/>
      <c r="BJ1191" s="1684"/>
      <c r="BK1191" s="1684"/>
      <c r="BL1191" s="1684"/>
      <c r="BM1191" s="1684"/>
      <c r="BN1191" s="1684"/>
      <c r="BO1191" s="1684"/>
      <c r="BP1191" s="1684"/>
      <c r="BQ1191" s="1684"/>
      <c r="BR1191" s="1684"/>
      <c r="BS1191" s="1684"/>
      <c r="BT1191" s="1684"/>
      <c r="BU1191" s="1684"/>
      <c r="BV1191" s="1684"/>
      <c r="BW1191" s="1684"/>
      <c r="BX1191" s="1684"/>
      <c r="BY1191" s="1684"/>
      <c r="BZ1191" s="1684"/>
      <c r="CA1191" s="1684"/>
      <c r="CB1191" s="1684"/>
      <c r="CC1191" s="1684"/>
      <c r="CD1191" s="1684"/>
      <c r="CE1191" s="1684"/>
      <c r="CF1191" s="1684"/>
      <c r="CG1191" s="1684"/>
      <c r="CH1191" s="1684"/>
      <c r="CI1191" s="1684"/>
      <c r="CJ1191" s="1684"/>
      <c r="CK1191" s="1684"/>
      <c r="CL1191" s="1684"/>
      <c r="CM1191" s="1684"/>
      <c r="CN1191" s="1684"/>
      <c r="CO1191" s="1684"/>
    </row>
    <row r="1192" spans="1:93" s="1391" customFormat="1" ht="15" x14ac:dyDescent="0.2">
      <c r="A1192" s="1684"/>
      <c r="B1192" s="1684"/>
      <c r="C1192" s="2014"/>
      <c r="D1192" s="2015"/>
      <c r="E1192" s="2015">
        <v>1</v>
      </c>
      <c r="F1192" s="2015">
        <v>2</v>
      </c>
      <c r="G1192" s="2015">
        <v>3</v>
      </c>
      <c r="H1192" s="2015">
        <v>4</v>
      </c>
      <c r="I1192" s="2015">
        <v>5</v>
      </c>
      <c r="J1192" s="2015">
        <v>6</v>
      </c>
      <c r="K1192" s="2015">
        <v>7</v>
      </c>
      <c r="L1192" s="2015">
        <v>8</v>
      </c>
      <c r="M1192" s="2015">
        <v>9</v>
      </c>
      <c r="N1192" s="2015">
        <v>10</v>
      </c>
      <c r="O1192" s="2015">
        <v>11</v>
      </c>
      <c r="P1192" s="2015">
        <v>12</v>
      </c>
      <c r="Q1192" s="2016"/>
      <c r="R1192"/>
      <c r="S1192" s="1684"/>
      <c r="T1192" s="1684"/>
      <c r="U1192" s="1684"/>
      <c r="V1192" s="1684"/>
      <c r="W1192" s="1684"/>
      <c r="X1192" s="1684"/>
      <c r="Y1192" s="1684"/>
      <c r="Z1192" s="1684"/>
      <c r="AA1192" s="1684"/>
      <c r="AB1192" s="1684"/>
      <c r="AC1192" s="1684"/>
      <c r="AD1192" s="1684"/>
      <c r="AE1192" s="1684"/>
      <c r="AF1192" s="1684"/>
      <c r="AG1192" s="1684"/>
      <c r="AH1192" s="1684"/>
      <c r="AI1192" s="1684"/>
      <c r="AJ1192" s="1684"/>
      <c r="AK1192" s="1684"/>
      <c r="AL1192" s="1684"/>
      <c r="AM1192" s="1684"/>
      <c r="AN1192" s="1684"/>
      <c r="AO1192" s="1684"/>
      <c r="AP1192" s="1684"/>
      <c r="AQ1192" s="1684"/>
      <c r="AR1192" s="1684"/>
      <c r="AS1192" s="1684"/>
      <c r="AT1192" s="1684"/>
      <c r="AU1192" s="1684"/>
      <c r="AV1192" s="1684"/>
      <c r="AW1192" s="1684"/>
      <c r="AX1192" s="1684"/>
      <c r="AY1192" s="1684"/>
      <c r="AZ1192" s="1684"/>
      <c r="BA1192" s="1684"/>
      <c r="BB1192" s="1684"/>
      <c r="BC1192" s="1684"/>
      <c r="BD1192" s="1684"/>
      <c r="BE1192" s="1684"/>
      <c r="BF1192" s="1684"/>
      <c r="BG1192" s="1684"/>
      <c r="BH1192" s="1684"/>
      <c r="BI1192" s="1684"/>
      <c r="BJ1192" s="1684"/>
      <c r="BK1192" s="1684"/>
      <c r="BL1192" s="1684"/>
      <c r="BM1192" s="1684"/>
      <c r="BN1192" s="1684"/>
      <c r="BO1192" s="1684"/>
      <c r="BP1192" s="1684"/>
      <c r="BQ1192" s="1684"/>
      <c r="BR1192" s="1684"/>
      <c r="BS1192" s="1684"/>
      <c r="BT1192" s="1684"/>
      <c r="BU1192" s="1684"/>
      <c r="BV1192" s="1684"/>
      <c r="BW1192" s="1684"/>
      <c r="BX1192" s="1684"/>
      <c r="BY1192" s="1684"/>
      <c r="BZ1192" s="1684"/>
      <c r="CA1192" s="1684"/>
      <c r="CB1192" s="1684"/>
      <c r="CC1192" s="1684"/>
      <c r="CD1192" s="1684"/>
      <c r="CE1192" s="1684"/>
      <c r="CF1192" s="1684"/>
      <c r="CG1192" s="1684"/>
      <c r="CH1192" s="1684"/>
      <c r="CI1192" s="1684"/>
      <c r="CJ1192" s="1684"/>
      <c r="CK1192" s="1684"/>
      <c r="CL1192" s="1684"/>
      <c r="CM1192" s="1684"/>
      <c r="CN1192" s="1684"/>
      <c r="CO1192" s="1684"/>
    </row>
    <row r="1193" spans="1:93" s="1391" customFormat="1" ht="15" x14ac:dyDescent="0.2">
      <c r="A1193" s="1684"/>
      <c r="B1193" s="1684"/>
      <c r="C1193" s="2013">
        <v>8</v>
      </c>
      <c r="D1193" s="5">
        <v>5.4480000000000004</v>
      </c>
      <c r="E1193" s="5">
        <v>147</v>
      </c>
      <c r="F1193" s="5">
        <v>163</v>
      </c>
      <c r="G1193" s="5">
        <v>178</v>
      </c>
      <c r="H1193" s="5">
        <v>194</v>
      </c>
      <c r="I1193" s="5">
        <v>209</v>
      </c>
      <c r="J1193" s="5">
        <v>225</v>
      </c>
      <c r="K1193" s="5">
        <v>240</v>
      </c>
      <c r="L1193" s="5">
        <v>257</v>
      </c>
      <c r="M1193" s="5">
        <v>271</v>
      </c>
      <c r="N1193" s="5">
        <v>287</v>
      </c>
      <c r="O1193" s="5">
        <v>302</v>
      </c>
      <c r="P1193" s="5">
        <v>318</v>
      </c>
      <c r="Q1193" s="1160">
        <v>12</v>
      </c>
      <c r="R1193"/>
      <c r="S1193" s="1684"/>
      <c r="T1193" s="1684"/>
      <c r="U1193" s="1684"/>
      <c r="V1193" s="1684"/>
      <c r="W1193" s="1684"/>
      <c r="X1193" s="1684"/>
      <c r="Y1193" s="1684"/>
      <c r="Z1193" s="1684"/>
      <c r="AA1193" s="1684"/>
      <c r="AB1193" s="1684"/>
      <c r="AC1193" s="1684"/>
      <c r="AD1193" s="1684"/>
      <c r="AE1193" s="1684"/>
      <c r="AF1193" s="1684"/>
      <c r="AG1193" s="1684"/>
      <c r="AH1193" s="1684"/>
      <c r="AI1193" s="1684"/>
      <c r="AJ1193" s="1684"/>
      <c r="AK1193" s="1684"/>
      <c r="AL1193" s="1684"/>
      <c r="AM1193" s="1684"/>
      <c r="AN1193" s="1684"/>
      <c r="AO1193" s="1684"/>
      <c r="AP1193" s="1684"/>
      <c r="AQ1193" s="1684"/>
      <c r="AR1193" s="1684"/>
      <c r="AS1193" s="1684"/>
      <c r="AT1193" s="1684"/>
      <c r="AU1193" s="1684"/>
      <c r="AV1193" s="1684"/>
      <c r="AW1193" s="1684"/>
      <c r="AX1193" s="1684"/>
      <c r="AY1193" s="1684"/>
      <c r="AZ1193" s="1684"/>
      <c r="BA1193" s="1684"/>
      <c r="BB1193" s="1684"/>
      <c r="BC1193" s="1684"/>
      <c r="BD1193" s="1684"/>
      <c r="BE1193" s="1684"/>
      <c r="BF1193" s="1684"/>
      <c r="BG1193" s="1684"/>
      <c r="BH1193" s="1684"/>
      <c r="BI1193" s="1684"/>
      <c r="BJ1193" s="1684"/>
      <c r="BK1193" s="1684"/>
      <c r="BL1193" s="1684"/>
      <c r="BM1193" s="1684"/>
      <c r="BN1193" s="1684"/>
      <c r="BO1193" s="1684"/>
      <c r="BP1193" s="1684"/>
      <c r="BQ1193" s="1684"/>
      <c r="BR1193" s="1684"/>
      <c r="BS1193" s="1684"/>
      <c r="BT1193" s="1684"/>
      <c r="BU1193" s="1684"/>
      <c r="BV1193" s="1684"/>
      <c r="BW1193" s="1684"/>
      <c r="BX1193" s="1684"/>
      <c r="BY1193" s="1684"/>
      <c r="BZ1193" s="1684"/>
      <c r="CA1193" s="1684"/>
      <c r="CB1193" s="1684"/>
      <c r="CC1193" s="1684"/>
      <c r="CD1193" s="1684"/>
      <c r="CE1193" s="1684"/>
      <c r="CF1193" s="1684"/>
      <c r="CG1193" s="1684"/>
      <c r="CH1193" s="1684"/>
      <c r="CI1193" s="1684"/>
      <c r="CJ1193" s="1684"/>
      <c r="CK1193" s="1684"/>
      <c r="CL1193" s="1684"/>
      <c r="CM1193" s="1684"/>
      <c r="CN1193" s="1684"/>
      <c r="CO1193" s="1684"/>
    </row>
    <row r="1194" spans="1:93" s="1391" customFormat="1" ht="15" x14ac:dyDescent="0.2">
      <c r="A1194" s="1684"/>
      <c r="B1194" s="1684"/>
      <c r="C1194" s="2013">
        <v>9</v>
      </c>
      <c r="D1194" s="5">
        <v>5.8090000000000002</v>
      </c>
      <c r="E1194" s="5">
        <v>163</v>
      </c>
      <c r="F1194" s="5">
        <v>181</v>
      </c>
      <c r="G1194" s="5">
        <v>198</v>
      </c>
      <c r="H1194" s="5">
        <v>215</v>
      </c>
      <c r="I1194" s="5">
        <v>232</v>
      </c>
      <c r="J1194" s="5">
        <v>246</v>
      </c>
      <c r="K1194" s="5">
        <v>266</v>
      </c>
      <c r="L1194" s="5">
        <v>284</v>
      </c>
      <c r="M1194" s="5">
        <v>301</v>
      </c>
      <c r="N1194" s="5">
        <v>318</v>
      </c>
      <c r="O1194" s="5">
        <v>335</v>
      </c>
      <c r="P1194" s="5">
        <v>352</v>
      </c>
      <c r="Q1194" s="1160">
        <v>13</v>
      </c>
      <c r="R1194"/>
      <c r="S1194" s="1684"/>
      <c r="T1194" s="1684"/>
      <c r="U1194" s="1684"/>
      <c r="V1194" s="1684"/>
      <c r="W1194" s="1684"/>
      <c r="X1194" s="1684"/>
      <c r="Y1194" s="1684"/>
      <c r="Z1194" s="1684"/>
      <c r="AA1194" s="1684"/>
      <c r="AB1194" s="1684"/>
      <c r="AC1194" s="1684"/>
      <c r="AD1194" s="1684"/>
      <c r="AE1194" s="1684"/>
      <c r="AF1194" s="1684"/>
      <c r="AG1194" s="1684"/>
      <c r="AH1194" s="1684"/>
      <c r="AI1194" s="1684"/>
      <c r="AJ1194" s="1684"/>
      <c r="AK1194" s="1684"/>
      <c r="AL1194" s="1684"/>
      <c r="AM1194" s="1684"/>
      <c r="AN1194" s="1684"/>
      <c r="AO1194" s="1684"/>
      <c r="AP1194" s="1684"/>
      <c r="AQ1194" s="1684"/>
      <c r="AR1194" s="1684"/>
      <c r="AS1194" s="1684"/>
      <c r="AT1194" s="1684"/>
      <c r="AU1194" s="1684"/>
      <c r="AV1194" s="1684"/>
      <c r="AW1194" s="1684"/>
      <c r="AX1194" s="1684"/>
      <c r="AY1194" s="1684"/>
      <c r="AZ1194" s="1684"/>
      <c r="BA1194" s="1684"/>
      <c r="BB1194" s="1684"/>
      <c r="BC1194" s="1684"/>
      <c r="BD1194" s="1684"/>
      <c r="BE1194" s="1684"/>
      <c r="BF1194" s="1684"/>
      <c r="BG1194" s="1684"/>
      <c r="BH1194" s="1684"/>
      <c r="BI1194" s="1684"/>
      <c r="BJ1194" s="1684"/>
      <c r="BK1194" s="1684"/>
      <c r="BL1194" s="1684"/>
      <c r="BM1194" s="1684"/>
      <c r="BN1194" s="1684"/>
      <c r="BO1194" s="1684"/>
      <c r="BP1194" s="1684"/>
      <c r="BQ1194" s="1684"/>
      <c r="BR1194" s="1684"/>
      <c r="BS1194" s="1684"/>
      <c r="BT1194" s="1684"/>
      <c r="BU1194" s="1684"/>
      <c r="BV1194" s="1684"/>
      <c r="BW1194" s="1684"/>
      <c r="BX1194" s="1684"/>
      <c r="BY1194" s="1684"/>
      <c r="BZ1194" s="1684"/>
      <c r="CA1194" s="1684"/>
      <c r="CB1194" s="1684"/>
      <c r="CC1194" s="1684"/>
      <c r="CD1194" s="1684"/>
      <c r="CE1194" s="1684"/>
      <c r="CF1194" s="1684"/>
      <c r="CG1194" s="1684"/>
      <c r="CH1194" s="1684"/>
      <c r="CI1194" s="1684"/>
      <c r="CJ1194" s="1684"/>
      <c r="CK1194" s="1684"/>
      <c r="CL1194" s="1684"/>
      <c r="CM1194" s="1684"/>
      <c r="CN1194" s="1684"/>
      <c r="CO1194" s="1684"/>
    </row>
    <row r="1195" spans="1:93" s="1391" customFormat="1" ht="15" x14ac:dyDescent="0.2">
      <c r="A1195" s="1684"/>
      <c r="B1195" s="1684"/>
      <c r="C1195" s="2013">
        <v>10</v>
      </c>
      <c r="D1195" s="5">
        <v>6.194</v>
      </c>
      <c r="E1195" s="5">
        <v>180</v>
      </c>
      <c r="F1195" s="5">
        <v>200</v>
      </c>
      <c r="G1195" s="5">
        <v>219</v>
      </c>
      <c r="H1195" s="5">
        <v>237</v>
      </c>
      <c r="I1195" s="5">
        <v>256</v>
      </c>
      <c r="J1195" s="5">
        <v>275</v>
      </c>
      <c r="K1195" s="5">
        <v>294</v>
      </c>
      <c r="L1195" s="5">
        <v>314</v>
      </c>
      <c r="M1195" s="5">
        <v>332</v>
      </c>
      <c r="N1195" s="5">
        <v>351</v>
      </c>
      <c r="O1195" s="5">
        <v>370</v>
      </c>
      <c r="P1195" s="5">
        <v>389</v>
      </c>
      <c r="Q1195" s="1160">
        <v>14</v>
      </c>
      <c r="R1195"/>
      <c r="S1195" s="1684"/>
      <c r="T1195" s="1684"/>
      <c r="U1195" s="1684"/>
      <c r="V1195" s="1684"/>
      <c r="W1195" s="1684"/>
      <c r="X1195" s="1684"/>
      <c r="Y1195" s="1684"/>
      <c r="Z1195" s="1684"/>
      <c r="AA1195" s="1684"/>
      <c r="AB1195" s="1684"/>
      <c r="AC1195" s="1684"/>
      <c r="AD1195" s="1684"/>
      <c r="AE1195" s="1684"/>
      <c r="AF1195" s="1684"/>
      <c r="AG1195" s="1684"/>
      <c r="AH1195" s="1684"/>
      <c r="AI1195" s="1684"/>
      <c r="AJ1195" s="1684"/>
      <c r="AK1195" s="1684"/>
      <c r="AL1195" s="1684"/>
      <c r="AM1195" s="1684"/>
      <c r="AN1195" s="1684"/>
      <c r="AO1195" s="1684"/>
      <c r="AP1195" s="1684"/>
      <c r="AQ1195" s="1684"/>
      <c r="AR1195" s="1684"/>
      <c r="AS1195" s="1684"/>
      <c r="AT1195" s="1684"/>
      <c r="AU1195" s="1684"/>
      <c r="AV1195" s="1684"/>
      <c r="AW1195" s="1684"/>
      <c r="AX1195" s="1684"/>
      <c r="AY1195" s="1684"/>
      <c r="AZ1195" s="1684"/>
      <c r="BA1195" s="1684"/>
      <c r="BB1195" s="1684"/>
      <c r="BC1195" s="1684"/>
      <c r="BD1195" s="1684"/>
      <c r="BE1195" s="1684"/>
      <c r="BF1195" s="1684"/>
      <c r="BG1195" s="1684"/>
      <c r="BH1195" s="1684"/>
      <c r="BI1195" s="1684"/>
      <c r="BJ1195" s="1684"/>
      <c r="BK1195" s="1684"/>
      <c r="BL1195" s="1684"/>
      <c r="BM1195" s="1684"/>
      <c r="BN1195" s="1684"/>
      <c r="BO1195" s="1684"/>
      <c r="BP1195" s="1684"/>
      <c r="BQ1195" s="1684"/>
      <c r="BR1195" s="1684"/>
      <c r="BS1195" s="1684"/>
      <c r="BT1195" s="1684"/>
      <c r="BU1195" s="1684"/>
      <c r="BV1195" s="1684"/>
      <c r="BW1195" s="1684"/>
      <c r="BX1195" s="1684"/>
      <c r="BY1195" s="1684"/>
      <c r="BZ1195" s="1684"/>
      <c r="CA1195" s="1684"/>
      <c r="CB1195" s="1684"/>
      <c r="CC1195" s="1684"/>
      <c r="CD1195" s="1684"/>
      <c r="CE1195" s="1684"/>
      <c r="CF1195" s="1684"/>
      <c r="CG1195" s="1684"/>
      <c r="CH1195" s="1684"/>
      <c r="CI1195" s="1684"/>
      <c r="CJ1195" s="1684"/>
      <c r="CK1195" s="1684"/>
      <c r="CL1195" s="1684"/>
      <c r="CM1195" s="1684"/>
      <c r="CN1195" s="1684"/>
      <c r="CO1195" s="1684"/>
    </row>
    <row r="1196" spans="1:93" s="1391" customFormat="1" ht="15" x14ac:dyDescent="0.2">
      <c r="A1196" s="1684"/>
      <c r="B1196" s="1684"/>
      <c r="C1196" s="2013">
        <v>11</v>
      </c>
      <c r="D1196" s="5">
        <v>6.8330000000000002</v>
      </c>
      <c r="E1196" s="5">
        <v>199</v>
      </c>
      <c r="F1196" s="5">
        <v>221</v>
      </c>
      <c r="G1196" s="5">
        <v>242</v>
      </c>
      <c r="H1196" s="5">
        <v>263</v>
      </c>
      <c r="I1196" s="5">
        <v>284</v>
      </c>
      <c r="J1196" s="5">
        <v>305</v>
      </c>
      <c r="K1196" s="5">
        <v>325</v>
      </c>
      <c r="L1196" s="5">
        <v>347</v>
      </c>
      <c r="M1196" s="5">
        <v>367</v>
      </c>
      <c r="N1196" s="5">
        <v>388</v>
      </c>
      <c r="O1196" s="5">
        <v>409</v>
      </c>
      <c r="P1196" s="5">
        <v>430</v>
      </c>
      <c r="Q1196" s="1160">
        <v>15</v>
      </c>
      <c r="R1196"/>
      <c r="S1196" s="1684"/>
      <c r="T1196" s="1684"/>
      <c r="U1196" s="1684"/>
      <c r="V1196" s="1684"/>
      <c r="W1196" s="1684"/>
      <c r="X1196" s="1684"/>
      <c r="Y1196" s="1684"/>
      <c r="Z1196" s="1684"/>
      <c r="AA1196" s="1684"/>
      <c r="AB1196" s="1684"/>
      <c r="AC1196" s="1684"/>
      <c r="AD1196" s="1684"/>
      <c r="AE1196" s="1684"/>
      <c r="AF1196" s="1684"/>
      <c r="AG1196" s="1684"/>
      <c r="AH1196" s="1684"/>
      <c r="AI1196" s="1684"/>
      <c r="AJ1196" s="1684"/>
      <c r="AK1196" s="1684"/>
      <c r="AL1196" s="1684"/>
      <c r="AM1196" s="1684"/>
      <c r="AN1196" s="1684"/>
      <c r="AO1196" s="1684"/>
      <c r="AP1196" s="1684"/>
      <c r="AQ1196" s="1684"/>
      <c r="AR1196" s="1684"/>
      <c r="AS1196" s="1684"/>
      <c r="AT1196" s="1684"/>
      <c r="AU1196" s="1684"/>
      <c r="AV1196" s="1684"/>
      <c r="AW1196" s="1684"/>
      <c r="AX1196" s="1684"/>
      <c r="AY1196" s="1684"/>
      <c r="AZ1196" s="1684"/>
      <c r="BA1196" s="1684"/>
      <c r="BB1196" s="1684"/>
      <c r="BC1196" s="1684"/>
      <c r="BD1196" s="1684"/>
      <c r="BE1196" s="1684"/>
      <c r="BF1196" s="1684"/>
      <c r="BG1196" s="1684"/>
      <c r="BH1196" s="1684"/>
      <c r="BI1196" s="1684"/>
      <c r="BJ1196" s="1684"/>
      <c r="BK1196" s="1684"/>
      <c r="BL1196" s="1684"/>
      <c r="BM1196" s="1684"/>
      <c r="BN1196" s="1684"/>
      <c r="BO1196" s="1684"/>
      <c r="BP1196" s="1684"/>
      <c r="BQ1196" s="1684"/>
      <c r="BR1196" s="1684"/>
      <c r="BS1196" s="1684"/>
      <c r="BT1196" s="1684"/>
      <c r="BU1196" s="1684"/>
      <c r="BV1196" s="1684"/>
      <c r="BW1196" s="1684"/>
      <c r="BX1196" s="1684"/>
      <c r="BY1196" s="1684"/>
      <c r="BZ1196" s="1684"/>
      <c r="CA1196" s="1684"/>
      <c r="CB1196" s="1684"/>
      <c r="CC1196" s="1684"/>
      <c r="CD1196" s="1684"/>
      <c r="CE1196" s="1684"/>
      <c r="CF1196" s="1684"/>
      <c r="CG1196" s="1684"/>
      <c r="CH1196" s="1684"/>
      <c r="CI1196" s="1684"/>
      <c r="CJ1196" s="1684"/>
      <c r="CK1196" s="1684"/>
      <c r="CL1196" s="1684"/>
      <c r="CM1196" s="1684"/>
      <c r="CN1196" s="1684"/>
      <c r="CO1196" s="1684"/>
    </row>
    <row r="1197" spans="1:93" s="1391" customFormat="1" ht="15" x14ac:dyDescent="0.2">
      <c r="A1197" s="1684"/>
      <c r="B1197" s="1684"/>
      <c r="C1197" s="2013">
        <v>12</v>
      </c>
      <c r="D1197" s="5">
        <v>7.0979999999999999</v>
      </c>
      <c r="E1197" s="5">
        <v>219</v>
      </c>
      <c r="F1197" s="5">
        <v>243</v>
      </c>
      <c r="G1197" s="5">
        <v>266</v>
      </c>
      <c r="H1197" s="5">
        <v>289</v>
      </c>
      <c r="I1197" s="5">
        <v>312</v>
      </c>
      <c r="J1197" s="5">
        <v>335</v>
      </c>
      <c r="K1197" s="5">
        <v>358</v>
      </c>
      <c r="L1197" s="5">
        <v>383</v>
      </c>
      <c r="M1197" s="5">
        <v>405</v>
      </c>
      <c r="N1197" s="5">
        <v>428</v>
      </c>
      <c r="O1197" s="5">
        <v>451</v>
      </c>
      <c r="P1197" s="5">
        <v>474</v>
      </c>
      <c r="Q1197" s="1160">
        <v>16</v>
      </c>
      <c r="R1197"/>
      <c r="S1197" s="1684"/>
      <c r="T1197" s="1684"/>
      <c r="U1197" s="1684"/>
      <c r="V1197" s="1684"/>
      <c r="W1197" s="1684"/>
      <c r="X1197" s="1684"/>
      <c r="Y1197" s="1684"/>
      <c r="Z1197" s="1684"/>
      <c r="AA1197" s="1684"/>
      <c r="AB1197" s="1684"/>
      <c r="AC1197" s="1684"/>
      <c r="AD1197" s="1684"/>
      <c r="AE1197" s="1684"/>
      <c r="AF1197" s="1684"/>
      <c r="AG1197" s="1684"/>
      <c r="AH1197" s="1684"/>
      <c r="AI1197" s="1684"/>
      <c r="AJ1197" s="1684"/>
      <c r="AK1197" s="1684"/>
      <c r="AL1197" s="1684"/>
      <c r="AM1197" s="1684"/>
      <c r="AN1197" s="1684"/>
      <c r="AO1197" s="1684"/>
      <c r="AP1197" s="1684"/>
      <c r="AQ1197" s="1684"/>
      <c r="AR1197" s="1684"/>
      <c r="AS1197" s="1684"/>
      <c r="AT1197" s="1684"/>
      <c r="AU1197" s="1684"/>
      <c r="AV1197" s="1684"/>
      <c r="AW1197" s="1684"/>
      <c r="AX1197" s="1684"/>
      <c r="AY1197" s="1684"/>
      <c r="AZ1197" s="1684"/>
      <c r="BA1197" s="1684"/>
      <c r="BB1197" s="1684"/>
      <c r="BC1197" s="1684"/>
      <c r="BD1197" s="1684"/>
      <c r="BE1197" s="1684"/>
      <c r="BF1197" s="1684"/>
      <c r="BG1197" s="1684"/>
      <c r="BH1197" s="1684"/>
      <c r="BI1197" s="1684"/>
      <c r="BJ1197" s="1684"/>
      <c r="BK1197" s="1684"/>
      <c r="BL1197" s="1684"/>
      <c r="BM1197" s="1684"/>
      <c r="BN1197" s="1684"/>
      <c r="BO1197" s="1684"/>
      <c r="BP1197" s="1684"/>
      <c r="BQ1197" s="1684"/>
      <c r="BR1197" s="1684"/>
      <c r="BS1197" s="1684"/>
      <c r="BT1197" s="1684"/>
      <c r="BU1197" s="1684"/>
      <c r="BV1197" s="1684"/>
      <c r="BW1197" s="1684"/>
      <c r="BX1197" s="1684"/>
      <c r="BY1197" s="1684"/>
      <c r="BZ1197" s="1684"/>
      <c r="CA1197" s="1684"/>
      <c r="CB1197" s="1684"/>
      <c r="CC1197" s="1684"/>
      <c r="CD1197" s="1684"/>
      <c r="CE1197" s="1684"/>
      <c r="CF1197" s="1684"/>
      <c r="CG1197" s="1684"/>
      <c r="CH1197" s="1684"/>
      <c r="CI1197" s="1684"/>
      <c r="CJ1197" s="1684"/>
      <c r="CK1197" s="1684"/>
      <c r="CL1197" s="1684"/>
      <c r="CM1197" s="1684"/>
      <c r="CN1197" s="1684"/>
      <c r="CO1197" s="1684"/>
    </row>
    <row r="1198" spans="1:93" s="1391" customFormat="1" ht="15" x14ac:dyDescent="0.2">
      <c r="A1198" s="1684"/>
      <c r="B1198" s="1684"/>
      <c r="C1198" s="2013">
        <v>13</v>
      </c>
      <c r="D1198" s="5">
        <v>7.58</v>
      </c>
      <c r="E1198" s="5">
        <v>240</v>
      </c>
      <c r="F1198" s="5">
        <v>266</v>
      </c>
      <c r="G1198" s="5">
        <v>291</v>
      </c>
      <c r="H1198" s="5">
        <v>317</v>
      </c>
      <c r="I1198" s="5">
        <v>342</v>
      </c>
      <c r="J1198" s="5">
        <v>367</v>
      </c>
      <c r="K1198" s="5">
        <v>392</v>
      </c>
      <c r="L1198" s="5">
        <v>419</v>
      </c>
      <c r="M1198" s="5">
        <v>443</v>
      </c>
      <c r="N1198" s="5">
        <v>468</v>
      </c>
      <c r="O1198" s="5">
        <v>493</v>
      </c>
      <c r="P1198" s="5">
        <v>518</v>
      </c>
      <c r="Q1198" s="1160">
        <v>17</v>
      </c>
      <c r="R1198"/>
      <c r="S1198" s="1684"/>
      <c r="T1198" s="1684"/>
      <c r="U1198" s="1684"/>
      <c r="V1198" s="1684"/>
      <c r="W1198" s="1684"/>
      <c r="X1198" s="1684"/>
      <c r="Y1198" s="1684"/>
      <c r="Z1198" s="1684"/>
      <c r="AA1198" s="1684"/>
      <c r="AB1198" s="1684"/>
      <c r="AC1198" s="1684"/>
      <c r="AD1198" s="1684"/>
      <c r="AE1198" s="1684"/>
      <c r="AF1198" s="1684"/>
      <c r="AG1198" s="1684"/>
      <c r="AH1198" s="1684"/>
      <c r="AI1198" s="1684"/>
      <c r="AJ1198" s="1684"/>
      <c r="AK1198" s="1684"/>
      <c r="AL1198" s="1684"/>
      <c r="AM1198" s="1684"/>
      <c r="AN1198" s="1684"/>
      <c r="AO1198" s="1684"/>
      <c r="AP1198" s="1684"/>
      <c r="AQ1198" s="1684"/>
      <c r="AR1198" s="1684"/>
      <c r="AS1198" s="1684"/>
      <c r="AT1198" s="1684"/>
      <c r="AU1198" s="1684"/>
      <c r="AV1198" s="1684"/>
      <c r="AW1198" s="1684"/>
      <c r="AX1198" s="1684"/>
      <c r="AY1198" s="1684"/>
      <c r="AZ1198" s="1684"/>
      <c r="BA1198" s="1684"/>
      <c r="BB1198" s="1684"/>
      <c r="BC1198" s="1684"/>
      <c r="BD1198" s="1684"/>
      <c r="BE1198" s="1684"/>
      <c r="BF1198" s="1684"/>
      <c r="BG1198" s="1684"/>
      <c r="BH1198" s="1684"/>
      <c r="BI1198" s="1684"/>
      <c r="BJ1198" s="1684"/>
      <c r="BK1198" s="1684"/>
      <c r="BL1198" s="1684"/>
      <c r="BM1198" s="1684"/>
      <c r="BN1198" s="1684"/>
      <c r="BO1198" s="1684"/>
      <c r="BP1198" s="1684"/>
      <c r="BQ1198" s="1684"/>
      <c r="BR1198" s="1684"/>
      <c r="BS1198" s="1684"/>
      <c r="BT1198" s="1684"/>
      <c r="BU1198" s="1684"/>
      <c r="BV1198" s="1684"/>
      <c r="BW1198" s="1684"/>
      <c r="BX1198" s="1684"/>
      <c r="BY1198" s="1684"/>
      <c r="BZ1198" s="1684"/>
      <c r="CA1198" s="1684"/>
      <c r="CB1198" s="1684"/>
      <c r="CC1198" s="1684"/>
      <c r="CD1198" s="1684"/>
      <c r="CE1198" s="1684"/>
      <c r="CF1198" s="1684"/>
      <c r="CG1198" s="1684"/>
      <c r="CH1198" s="1684"/>
      <c r="CI1198" s="1684"/>
      <c r="CJ1198" s="1684"/>
      <c r="CK1198" s="1684"/>
      <c r="CL1198" s="1684"/>
      <c r="CM1198" s="1684"/>
      <c r="CN1198" s="1684"/>
      <c r="CO1198" s="1684"/>
    </row>
    <row r="1199" spans="1:93" s="1391" customFormat="1" ht="15" x14ac:dyDescent="0.2">
      <c r="A1199" s="1684"/>
      <c r="B1199" s="1684"/>
      <c r="C1199" s="2013">
        <v>14</v>
      </c>
      <c r="D1199" s="5">
        <v>8.0960000000000001</v>
      </c>
      <c r="E1199" s="5">
        <v>261</v>
      </c>
      <c r="F1199" s="5">
        <v>290</v>
      </c>
      <c r="G1199" s="5">
        <v>318</v>
      </c>
      <c r="H1199" s="5">
        <v>346</v>
      </c>
      <c r="I1199" s="5">
        <v>373</v>
      </c>
      <c r="J1199" s="5">
        <v>401</v>
      </c>
      <c r="K1199" s="5">
        <v>428</v>
      </c>
      <c r="L1199" s="5">
        <v>457</v>
      </c>
      <c r="M1199" s="5">
        <v>483</v>
      </c>
      <c r="N1199" s="5">
        <v>511</v>
      </c>
      <c r="O1199" s="5">
        <v>538</v>
      </c>
      <c r="P1199" s="5">
        <v>566</v>
      </c>
      <c r="Q1199" s="1160">
        <v>18</v>
      </c>
      <c r="R1199"/>
      <c r="S1199" s="1684"/>
      <c r="T1199" s="1684"/>
      <c r="U1199" s="1684"/>
      <c r="V1199" s="1684"/>
      <c r="W1199" s="1684"/>
      <c r="X1199" s="1684"/>
      <c r="Y1199" s="1684"/>
      <c r="Z1199" s="1684"/>
      <c r="AA1199" s="1684"/>
      <c r="AB1199" s="1684"/>
      <c r="AC1199" s="1684"/>
      <c r="AD1199" s="1684"/>
      <c r="AE1199" s="1684"/>
      <c r="AF1199" s="1684"/>
      <c r="AG1199" s="1684"/>
      <c r="AH1199" s="1684"/>
      <c r="AI1199" s="1684"/>
      <c r="AJ1199" s="1684"/>
      <c r="AK1199" s="1684"/>
      <c r="AL1199" s="1684"/>
      <c r="AM1199" s="1684"/>
      <c r="AN1199" s="1684"/>
      <c r="AO1199" s="1684"/>
      <c r="AP1199" s="1684"/>
      <c r="AQ1199" s="1684"/>
      <c r="AR1199" s="1684"/>
      <c r="AS1199" s="1684"/>
      <c r="AT1199" s="1684"/>
      <c r="AU1199" s="1684"/>
      <c r="AV1199" s="1684"/>
      <c r="AW1199" s="1684"/>
      <c r="AX1199" s="1684"/>
      <c r="AY1199" s="1684"/>
      <c r="AZ1199" s="1684"/>
      <c r="BA1199" s="1684"/>
      <c r="BB1199" s="1684"/>
      <c r="BC1199" s="1684"/>
      <c r="BD1199" s="1684"/>
      <c r="BE1199" s="1684"/>
      <c r="BF1199" s="1684"/>
      <c r="BG1199" s="1684"/>
      <c r="BH1199" s="1684"/>
      <c r="BI1199" s="1684"/>
      <c r="BJ1199" s="1684"/>
      <c r="BK1199" s="1684"/>
      <c r="BL1199" s="1684"/>
      <c r="BM1199" s="1684"/>
      <c r="BN1199" s="1684"/>
      <c r="BO1199" s="1684"/>
      <c r="BP1199" s="1684"/>
      <c r="BQ1199" s="1684"/>
      <c r="BR1199" s="1684"/>
      <c r="BS1199" s="1684"/>
      <c r="BT1199" s="1684"/>
      <c r="BU1199" s="1684"/>
      <c r="BV1199" s="1684"/>
      <c r="BW1199" s="1684"/>
      <c r="BX1199" s="1684"/>
      <c r="BY1199" s="1684"/>
      <c r="BZ1199" s="1684"/>
      <c r="CA1199" s="1684"/>
      <c r="CB1199" s="1684"/>
      <c r="CC1199" s="1684"/>
      <c r="CD1199" s="1684"/>
      <c r="CE1199" s="1684"/>
      <c r="CF1199" s="1684"/>
      <c r="CG1199" s="1684"/>
      <c r="CH1199" s="1684"/>
      <c r="CI1199" s="1684"/>
      <c r="CJ1199" s="1684"/>
      <c r="CK1199" s="1684"/>
      <c r="CL1199" s="1684"/>
      <c r="CM1199" s="1684"/>
      <c r="CN1199" s="1684"/>
      <c r="CO1199" s="1684"/>
    </row>
    <row r="1200" spans="1:93" s="1391" customFormat="1" ht="15" x14ac:dyDescent="0.2">
      <c r="A1200" s="1684"/>
      <c r="B1200" s="1684"/>
      <c r="C1200" s="2013">
        <v>15</v>
      </c>
      <c r="D1200" s="5">
        <v>8.6379999999999999</v>
      </c>
      <c r="E1200" s="5">
        <v>284</v>
      </c>
      <c r="F1200" s="5">
        <v>316</v>
      </c>
      <c r="G1200" s="5">
        <v>346</v>
      </c>
      <c r="H1200" s="5">
        <v>376</v>
      </c>
      <c r="I1200" s="5">
        <v>406</v>
      </c>
      <c r="J1200" s="5">
        <v>436</v>
      </c>
      <c r="K1200" s="5">
        <v>465</v>
      </c>
      <c r="L1200" s="5">
        <v>497</v>
      </c>
      <c r="M1200" s="5">
        <v>525</v>
      </c>
      <c r="N1200" s="5">
        <v>555</v>
      </c>
      <c r="O1200" s="5">
        <v>585</v>
      </c>
      <c r="P1200" s="5">
        <v>615</v>
      </c>
      <c r="Q1200" s="1160">
        <v>19</v>
      </c>
      <c r="R1200"/>
      <c r="S1200" s="1684"/>
      <c r="T1200" s="1684"/>
      <c r="U1200" s="1684"/>
      <c r="V1200" s="1684"/>
      <c r="W1200" s="1684"/>
      <c r="X1200" s="1684"/>
      <c r="Y1200" s="1684"/>
      <c r="Z1200" s="1684"/>
      <c r="AA1200" s="1684"/>
      <c r="AB1200" s="1684"/>
      <c r="AC1200" s="1684"/>
      <c r="AD1200" s="1684"/>
      <c r="AE1200" s="1684"/>
      <c r="AF1200" s="1684"/>
      <c r="AG1200" s="1684"/>
      <c r="AH1200" s="1684"/>
      <c r="AI1200" s="1684"/>
      <c r="AJ1200" s="1684"/>
      <c r="AK1200" s="1684"/>
      <c r="AL1200" s="1684"/>
      <c r="AM1200" s="1684"/>
      <c r="AN1200" s="1684"/>
      <c r="AO1200" s="1684"/>
      <c r="AP1200" s="1684"/>
      <c r="AQ1200" s="1684"/>
      <c r="AR1200" s="1684"/>
      <c r="AS1200" s="1684"/>
      <c r="AT1200" s="1684"/>
      <c r="AU1200" s="1684"/>
      <c r="AV1200" s="1684"/>
      <c r="AW1200" s="1684"/>
      <c r="AX1200" s="1684"/>
      <c r="AY1200" s="1684"/>
      <c r="AZ1200" s="1684"/>
      <c r="BA1200" s="1684"/>
      <c r="BB1200" s="1684"/>
      <c r="BC1200" s="1684"/>
      <c r="BD1200" s="1684"/>
      <c r="BE1200" s="1684"/>
      <c r="BF1200" s="1684"/>
      <c r="BG1200" s="1684"/>
      <c r="BH1200" s="1684"/>
      <c r="BI1200" s="1684"/>
      <c r="BJ1200" s="1684"/>
      <c r="BK1200" s="1684"/>
      <c r="BL1200" s="1684"/>
      <c r="BM1200" s="1684"/>
      <c r="BN1200" s="1684"/>
      <c r="BO1200" s="1684"/>
      <c r="BP1200" s="1684"/>
      <c r="BQ1200" s="1684"/>
      <c r="BR1200" s="1684"/>
      <c r="BS1200" s="1684"/>
      <c r="BT1200" s="1684"/>
      <c r="BU1200" s="1684"/>
      <c r="BV1200" s="1684"/>
      <c r="BW1200" s="1684"/>
      <c r="BX1200" s="1684"/>
      <c r="BY1200" s="1684"/>
      <c r="BZ1200" s="1684"/>
      <c r="CA1200" s="1684"/>
      <c r="CB1200" s="1684"/>
      <c r="CC1200" s="1684"/>
      <c r="CD1200" s="1684"/>
      <c r="CE1200" s="1684"/>
      <c r="CF1200" s="1684"/>
      <c r="CG1200" s="1684"/>
      <c r="CH1200" s="1684"/>
      <c r="CI1200" s="1684"/>
      <c r="CJ1200" s="1684"/>
      <c r="CK1200" s="1684"/>
      <c r="CL1200" s="1684"/>
      <c r="CM1200" s="1684"/>
      <c r="CN1200" s="1684"/>
      <c r="CO1200" s="1684"/>
    </row>
    <row r="1201" spans="1:93" s="1391" customFormat="1" ht="15" x14ac:dyDescent="0.2">
      <c r="A1201" s="1684"/>
      <c r="B1201" s="1684"/>
      <c r="C1201" s="2013">
        <v>16</v>
      </c>
      <c r="D1201" s="5">
        <v>9.3320000000000007</v>
      </c>
      <c r="E1201" s="5">
        <v>307</v>
      </c>
      <c r="F1201" s="5">
        <v>341</v>
      </c>
      <c r="G1201" s="5">
        <v>373</v>
      </c>
      <c r="H1201" s="5">
        <v>405</v>
      </c>
      <c r="I1201" s="5">
        <v>438</v>
      </c>
      <c r="J1201" s="5">
        <v>470</v>
      </c>
      <c r="K1201" s="5">
        <v>502</v>
      </c>
      <c r="L1201" s="5">
        <v>536</v>
      </c>
      <c r="M1201" s="5">
        <v>567</v>
      </c>
      <c r="N1201" s="5">
        <v>599</v>
      </c>
      <c r="O1201" s="5">
        <v>631</v>
      </c>
      <c r="P1201" s="5">
        <v>664</v>
      </c>
      <c r="Q1201" s="1160">
        <v>20</v>
      </c>
      <c r="R1201"/>
      <c r="S1201" s="1684"/>
      <c r="T1201" s="1684"/>
      <c r="U1201" s="1684"/>
      <c r="V1201" s="1684"/>
      <c r="W1201" s="1684"/>
      <c r="X1201" s="1684"/>
      <c r="Y1201" s="1684"/>
      <c r="Z1201" s="1684"/>
      <c r="AA1201" s="1684"/>
      <c r="AB1201" s="1684"/>
      <c r="AC1201" s="1684"/>
      <c r="AD1201" s="1684"/>
      <c r="AE1201" s="1684"/>
      <c r="AF1201" s="1684"/>
      <c r="AG1201" s="1684"/>
      <c r="AH1201" s="1684"/>
      <c r="AI1201" s="1684"/>
      <c r="AJ1201" s="1684"/>
      <c r="AK1201" s="1684"/>
      <c r="AL1201" s="1684"/>
      <c r="AM1201" s="1684"/>
      <c r="AN1201" s="1684"/>
      <c r="AO1201" s="1684"/>
      <c r="AP1201" s="1684"/>
      <c r="AQ1201" s="1684"/>
      <c r="AR1201" s="1684"/>
      <c r="AS1201" s="1684"/>
      <c r="AT1201" s="1684"/>
      <c r="AU1201" s="1684"/>
      <c r="AV1201" s="1684"/>
      <c r="AW1201" s="1684"/>
      <c r="AX1201" s="1684"/>
      <c r="AY1201" s="1684"/>
      <c r="AZ1201" s="1684"/>
      <c r="BA1201" s="1684"/>
      <c r="BB1201" s="1684"/>
      <c r="BC1201" s="1684"/>
      <c r="BD1201" s="1684"/>
      <c r="BE1201" s="1684"/>
      <c r="BF1201" s="1684"/>
      <c r="BG1201" s="1684"/>
      <c r="BH1201" s="1684"/>
      <c r="BI1201" s="1684"/>
      <c r="BJ1201" s="1684"/>
      <c r="BK1201" s="1684"/>
      <c r="BL1201" s="1684"/>
      <c r="BM1201" s="1684"/>
      <c r="BN1201" s="1684"/>
      <c r="BO1201" s="1684"/>
      <c r="BP1201" s="1684"/>
      <c r="BQ1201" s="1684"/>
      <c r="BR1201" s="1684"/>
      <c r="BS1201" s="1684"/>
      <c r="BT1201" s="1684"/>
      <c r="BU1201" s="1684"/>
      <c r="BV1201" s="1684"/>
      <c r="BW1201" s="1684"/>
      <c r="BX1201" s="1684"/>
      <c r="BY1201" s="1684"/>
      <c r="BZ1201" s="1684"/>
      <c r="CA1201" s="1684"/>
      <c r="CB1201" s="1684"/>
      <c r="CC1201" s="1684"/>
      <c r="CD1201" s="1684"/>
      <c r="CE1201" s="1684"/>
      <c r="CF1201" s="1684"/>
      <c r="CG1201" s="1684"/>
      <c r="CH1201" s="1684"/>
      <c r="CI1201" s="1684"/>
      <c r="CJ1201" s="1684"/>
      <c r="CK1201" s="1684"/>
      <c r="CL1201" s="1684"/>
      <c r="CM1201" s="1684"/>
      <c r="CN1201" s="1684"/>
      <c r="CO1201" s="1684"/>
    </row>
    <row r="1202" spans="1:93" s="1391" customFormat="1" ht="15" x14ac:dyDescent="0.2">
      <c r="A1202" s="1684"/>
      <c r="B1202" s="1684"/>
      <c r="C1202" s="2013">
        <v>17</v>
      </c>
      <c r="D1202" s="5">
        <v>10.073</v>
      </c>
      <c r="E1202" s="5">
        <v>328</v>
      </c>
      <c r="F1202" s="5">
        <v>364</v>
      </c>
      <c r="G1202" s="5">
        <v>399</v>
      </c>
      <c r="H1202" s="5">
        <v>433</v>
      </c>
      <c r="I1202" s="5">
        <v>468</v>
      </c>
      <c r="J1202" s="5">
        <v>502</v>
      </c>
      <c r="K1202" s="5">
        <v>537</v>
      </c>
      <c r="L1202" s="5">
        <v>573</v>
      </c>
      <c r="M1202" s="5">
        <v>606</v>
      </c>
      <c r="N1202" s="5">
        <v>640</v>
      </c>
      <c r="O1202" s="5">
        <v>675</v>
      </c>
      <c r="P1202" s="5">
        <v>709</v>
      </c>
      <c r="Q1202" s="1160">
        <v>21</v>
      </c>
      <c r="R1202"/>
      <c r="S1202" s="1684"/>
      <c r="T1202" s="1684"/>
      <c r="U1202" s="1684"/>
      <c r="V1202" s="1684"/>
      <c r="W1202" s="1684"/>
      <c r="X1202" s="1684"/>
      <c r="Y1202" s="1684"/>
      <c r="Z1202" s="1684"/>
      <c r="AA1202" s="1684"/>
      <c r="AB1202" s="1684"/>
      <c r="AC1202" s="1684"/>
      <c r="AD1202" s="1684"/>
      <c r="AE1202" s="1684"/>
      <c r="AF1202" s="1684"/>
      <c r="AG1202" s="1684"/>
      <c r="AH1202" s="1684"/>
      <c r="AI1202" s="1684"/>
      <c r="AJ1202" s="1684"/>
      <c r="AK1202" s="1684"/>
      <c r="AL1202" s="1684"/>
      <c r="AM1202" s="1684"/>
      <c r="AN1202" s="1684"/>
      <c r="AO1202" s="1684"/>
      <c r="AP1202" s="1684"/>
      <c r="AQ1202" s="1684"/>
      <c r="AR1202" s="1684"/>
      <c r="AS1202" s="1684"/>
      <c r="AT1202" s="1684"/>
      <c r="AU1202" s="1684"/>
      <c r="AV1202" s="1684"/>
      <c r="AW1202" s="1684"/>
      <c r="AX1202" s="1684"/>
      <c r="AY1202" s="1684"/>
      <c r="AZ1202" s="1684"/>
      <c r="BA1202" s="1684"/>
      <c r="BB1202" s="1684"/>
      <c r="BC1202" s="1684"/>
      <c r="BD1202" s="1684"/>
      <c r="BE1202" s="1684"/>
      <c r="BF1202" s="1684"/>
      <c r="BG1202" s="1684"/>
      <c r="BH1202" s="1684"/>
      <c r="BI1202" s="1684"/>
      <c r="BJ1202" s="1684"/>
      <c r="BK1202" s="1684"/>
      <c r="BL1202" s="1684"/>
      <c r="BM1202" s="1684"/>
      <c r="BN1202" s="1684"/>
      <c r="BO1202" s="1684"/>
      <c r="BP1202" s="1684"/>
      <c r="BQ1202" s="1684"/>
      <c r="BR1202" s="1684"/>
      <c r="BS1202" s="1684"/>
      <c r="BT1202" s="1684"/>
      <c r="BU1202" s="1684"/>
      <c r="BV1202" s="1684"/>
      <c r="BW1202" s="1684"/>
      <c r="BX1202" s="1684"/>
      <c r="BY1202" s="1684"/>
      <c r="BZ1202" s="1684"/>
      <c r="CA1202" s="1684"/>
      <c r="CB1202" s="1684"/>
      <c r="CC1202" s="1684"/>
      <c r="CD1202" s="1684"/>
      <c r="CE1202" s="1684"/>
      <c r="CF1202" s="1684"/>
      <c r="CG1202" s="1684"/>
      <c r="CH1202" s="1684"/>
      <c r="CI1202" s="1684"/>
      <c r="CJ1202" s="1684"/>
      <c r="CK1202" s="1684"/>
      <c r="CL1202" s="1684"/>
      <c r="CM1202" s="1684"/>
      <c r="CN1202" s="1684"/>
      <c r="CO1202" s="1684"/>
    </row>
    <row r="1203" spans="1:93" s="1391" customFormat="1" ht="15" x14ac:dyDescent="0.2">
      <c r="A1203" s="1684"/>
      <c r="B1203" s="1684"/>
      <c r="C1203" s="2013">
        <v>18</v>
      </c>
      <c r="D1203" s="5">
        <v>10.558</v>
      </c>
      <c r="E1203" s="5">
        <v>347</v>
      </c>
      <c r="F1203" s="5">
        <v>386</v>
      </c>
      <c r="G1203" s="5">
        <v>422</v>
      </c>
      <c r="H1203" s="5">
        <v>459</v>
      </c>
      <c r="I1203" s="5">
        <v>496</v>
      </c>
      <c r="J1203" s="5">
        <v>532</v>
      </c>
      <c r="K1203" s="5">
        <v>568</v>
      </c>
      <c r="L1203" s="5">
        <v>607</v>
      </c>
      <c r="M1203" s="5">
        <v>642</v>
      </c>
      <c r="N1203" s="5">
        <v>678</v>
      </c>
      <c r="O1203" s="5">
        <v>715</v>
      </c>
      <c r="P1203" s="5">
        <v>751</v>
      </c>
      <c r="Q1203" s="1160">
        <v>22</v>
      </c>
      <c r="R1203"/>
      <c r="S1203" s="1684"/>
      <c r="T1203" s="1684"/>
      <c r="U1203" s="1684"/>
      <c r="V1203" s="1684"/>
      <c r="W1203" s="1684"/>
      <c r="X1203" s="1684"/>
      <c r="Y1203" s="1684"/>
      <c r="Z1203" s="1684"/>
      <c r="AA1203" s="1684"/>
      <c r="AB1203" s="1684"/>
      <c r="AC1203" s="1684"/>
      <c r="AD1203" s="1684"/>
      <c r="AE1203" s="1684"/>
      <c r="AF1203" s="1684"/>
      <c r="AG1203" s="1684"/>
      <c r="AH1203" s="1684"/>
      <c r="AI1203" s="1684"/>
      <c r="AJ1203" s="1684"/>
      <c r="AK1203" s="1684"/>
      <c r="AL1203" s="1684"/>
      <c r="AM1203" s="1684"/>
      <c r="AN1203" s="1684"/>
      <c r="AO1203" s="1684"/>
      <c r="AP1203" s="1684"/>
      <c r="AQ1203" s="1684"/>
      <c r="AR1203" s="1684"/>
      <c r="AS1203" s="1684"/>
      <c r="AT1203" s="1684"/>
      <c r="AU1203" s="1684"/>
      <c r="AV1203" s="1684"/>
      <c r="AW1203" s="1684"/>
      <c r="AX1203" s="1684"/>
      <c r="AY1203" s="1684"/>
      <c r="AZ1203" s="1684"/>
      <c r="BA1203" s="1684"/>
      <c r="BB1203" s="1684"/>
      <c r="BC1203" s="1684"/>
      <c r="BD1203" s="1684"/>
      <c r="BE1203" s="1684"/>
      <c r="BF1203" s="1684"/>
      <c r="BG1203" s="1684"/>
      <c r="BH1203" s="1684"/>
      <c r="BI1203" s="1684"/>
      <c r="BJ1203" s="1684"/>
      <c r="BK1203" s="1684"/>
      <c r="BL1203" s="1684"/>
      <c r="BM1203" s="1684"/>
      <c r="BN1203" s="1684"/>
      <c r="BO1203" s="1684"/>
      <c r="BP1203" s="1684"/>
      <c r="BQ1203" s="1684"/>
      <c r="BR1203" s="1684"/>
      <c r="BS1203" s="1684"/>
      <c r="BT1203" s="1684"/>
      <c r="BU1203" s="1684"/>
      <c r="BV1203" s="1684"/>
      <c r="BW1203" s="1684"/>
      <c r="BX1203" s="1684"/>
      <c r="BY1203" s="1684"/>
      <c r="BZ1203" s="1684"/>
      <c r="CA1203" s="1684"/>
      <c r="CB1203" s="1684"/>
      <c r="CC1203" s="1684"/>
      <c r="CD1203" s="1684"/>
      <c r="CE1203" s="1684"/>
      <c r="CF1203" s="1684"/>
      <c r="CG1203" s="1684"/>
      <c r="CH1203" s="1684"/>
      <c r="CI1203" s="1684"/>
      <c r="CJ1203" s="1684"/>
      <c r="CK1203" s="1684"/>
      <c r="CL1203" s="1684"/>
      <c r="CM1203" s="1684"/>
      <c r="CN1203" s="1684"/>
      <c r="CO1203" s="1684"/>
    </row>
    <row r="1204" spans="1:93" s="1391" customFormat="1" ht="15" x14ac:dyDescent="0.2">
      <c r="A1204" s="1684"/>
      <c r="B1204" s="1684"/>
      <c r="C1204" s="4680" t="s">
        <v>3692</v>
      </c>
      <c r="D1204" s="4681"/>
      <c r="E1204" s="4681"/>
      <c r="F1204" s="4681"/>
      <c r="G1204" s="4681"/>
      <c r="H1204" s="4681"/>
      <c r="I1204" s="4681"/>
      <c r="J1204" s="4681"/>
      <c r="K1204" s="4681"/>
      <c r="L1204" s="4681"/>
      <c r="M1204" s="4681"/>
      <c r="N1204" s="4681"/>
      <c r="O1204" s="4681"/>
      <c r="P1204" s="4681"/>
      <c r="Q1204" s="4682"/>
      <c r="R1204"/>
      <c r="S1204" s="1684"/>
      <c r="T1204" s="1684"/>
      <c r="U1204" s="1684"/>
      <c r="V1204" s="1684"/>
      <c r="W1204" s="1684"/>
      <c r="X1204" s="1684"/>
      <c r="Y1204" s="1684"/>
      <c r="Z1204" s="1684"/>
      <c r="AA1204" s="1684"/>
      <c r="AB1204" s="1684"/>
      <c r="AC1204" s="1684"/>
      <c r="AD1204" s="1684"/>
      <c r="AE1204" s="1684"/>
      <c r="AF1204" s="1684"/>
      <c r="AG1204" s="1684"/>
      <c r="AH1204" s="1684"/>
      <c r="AI1204" s="1684"/>
      <c r="AJ1204" s="1684"/>
      <c r="AK1204" s="1684"/>
      <c r="AL1204" s="1684"/>
      <c r="AM1204" s="1684"/>
      <c r="AN1204" s="1684"/>
      <c r="AO1204" s="1684"/>
      <c r="AP1204" s="1684"/>
      <c r="AQ1204" s="1684"/>
      <c r="AR1204" s="1684"/>
      <c r="AS1204" s="1684"/>
      <c r="AT1204" s="1684"/>
      <c r="AU1204" s="1684"/>
      <c r="AV1204" s="1684"/>
      <c r="AW1204" s="1684"/>
      <c r="AX1204" s="1684"/>
      <c r="AY1204" s="1684"/>
      <c r="AZ1204" s="1684"/>
      <c r="BA1204" s="1684"/>
      <c r="BB1204" s="1684"/>
      <c r="BC1204" s="1684"/>
      <c r="BD1204" s="1684"/>
      <c r="BE1204" s="1684"/>
      <c r="BF1204" s="1684"/>
      <c r="BG1204" s="1684"/>
      <c r="BH1204" s="1684"/>
      <c r="BI1204" s="1684"/>
      <c r="BJ1204" s="1684"/>
      <c r="BK1204" s="1684"/>
      <c r="BL1204" s="1684"/>
      <c r="BM1204" s="1684"/>
      <c r="BN1204" s="1684"/>
      <c r="BO1204" s="1684"/>
      <c r="BP1204" s="1684"/>
      <c r="BQ1204" s="1684"/>
      <c r="BR1204" s="1684"/>
      <c r="BS1204" s="1684"/>
      <c r="BT1204" s="1684"/>
      <c r="BU1204" s="1684"/>
      <c r="BV1204" s="1684"/>
      <c r="BW1204" s="1684"/>
      <c r="BX1204" s="1684"/>
      <c r="BY1204" s="1684"/>
      <c r="BZ1204" s="1684"/>
      <c r="CA1204" s="1684"/>
      <c r="CB1204" s="1684"/>
      <c r="CC1204" s="1684"/>
      <c r="CD1204" s="1684"/>
      <c r="CE1204" s="1684"/>
      <c r="CF1204" s="1684"/>
      <c r="CG1204" s="1684"/>
      <c r="CH1204" s="1684"/>
      <c r="CI1204" s="1684"/>
      <c r="CJ1204" s="1684"/>
      <c r="CK1204" s="1684"/>
      <c r="CL1204" s="1684"/>
      <c r="CM1204" s="1684"/>
      <c r="CN1204" s="1684"/>
      <c r="CO1204" s="1684"/>
    </row>
    <row r="1205" spans="1:93" s="1391" customFormat="1" ht="15" x14ac:dyDescent="0.2">
      <c r="A1205" s="1684"/>
      <c r="B1205" s="1684"/>
      <c r="C1205" s="4680"/>
      <c r="D1205" s="4681"/>
      <c r="E1205" s="4681"/>
      <c r="F1205" s="4681"/>
      <c r="G1205" s="4681"/>
      <c r="H1205" s="4681"/>
      <c r="I1205" s="4681"/>
      <c r="J1205" s="4681"/>
      <c r="K1205" s="4681"/>
      <c r="L1205" s="4681"/>
      <c r="M1205" s="4681"/>
      <c r="N1205" s="4681"/>
      <c r="O1205" s="4681"/>
      <c r="P1205" s="4681"/>
      <c r="Q1205" s="4682"/>
      <c r="R1205"/>
      <c r="S1205" s="1684"/>
      <c r="T1205" s="1684"/>
      <c r="U1205" s="1684"/>
      <c r="V1205" s="1684"/>
      <c r="W1205" s="1684"/>
      <c r="X1205" s="1684"/>
      <c r="Y1205" s="1684"/>
      <c r="Z1205" s="1684"/>
      <c r="AA1205" s="1684"/>
      <c r="AB1205" s="1684"/>
      <c r="AC1205" s="1684"/>
      <c r="AD1205" s="1684"/>
      <c r="AE1205" s="1684"/>
      <c r="AF1205" s="1684"/>
      <c r="AG1205" s="1684"/>
      <c r="AH1205" s="1684"/>
      <c r="AI1205" s="1684"/>
      <c r="AJ1205" s="1684"/>
      <c r="AK1205" s="1684"/>
      <c r="AL1205" s="1684"/>
      <c r="AM1205" s="1684"/>
      <c r="AN1205" s="1684"/>
      <c r="AO1205" s="1684"/>
      <c r="AP1205" s="1684"/>
      <c r="AQ1205" s="1684"/>
      <c r="AR1205" s="1684"/>
      <c r="AS1205" s="1684"/>
      <c r="AT1205" s="1684"/>
      <c r="AU1205" s="1684"/>
      <c r="AV1205" s="1684"/>
      <c r="AW1205" s="1684"/>
      <c r="AX1205" s="1684"/>
      <c r="AY1205" s="1684"/>
      <c r="AZ1205" s="1684"/>
      <c r="BA1205" s="1684"/>
      <c r="BB1205" s="1684"/>
      <c r="BC1205" s="1684"/>
      <c r="BD1205" s="1684"/>
      <c r="BE1205" s="1684"/>
      <c r="BF1205" s="1684"/>
      <c r="BG1205" s="1684"/>
      <c r="BH1205" s="1684"/>
      <c r="BI1205" s="1684"/>
      <c r="BJ1205" s="1684"/>
      <c r="BK1205" s="1684"/>
      <c r="BL1205" s="1684"/>
      <c r="BM1205" s="1684"/>
      <c r="BN1205" s="1684"/>
      <c r="BO1205" s="1684"/>
      <c r="BP1205" s="1684"/>
      <c r="BQ1205" s="1684"/>
      <c r="BR1205" s="1684"/>
      <c r="BS1205" s="1684"/>
      <c r="BT1205" s="1684"/>
      <c r="BU1205" s="1684"/>
      <c r="BV1205" s="1684"/>
      <c r="BW1205" s="1684"/>
      <c r="BX1205" s="1684"/>
      <c r="BY1205" s="1684"/>
      <c r="BZ1205" s="1684"/>
      <c r="CA1205" s="1684"/>
      <c r="CB1205" s="1684"/>
      <c r="CC1205" s="1684"/>
      <c r="CD1205" s="1684"/>
      <c r="CE1205" s="1684"/>
      <c r="CF1205" s="1684"/>
      <c r="CG1205" s="1684"/>
      <c r="CH1205" s="1684"/>
      <c r="CI1205" s="1684"/>
      <c r="CJ1205" s="1684"/>
      <c r="CK1205" s="1684"/>
      <c r="CL1205" s="1684"/>
      <c r="CM1205" s="1684"/>
      <c r="CN1205" s="1684"/>
      <c r="CO1205" s="1684"/>
    </row>
    <row r="1206" spans="1:93" s="1391" customFormat="1" ht="15" x14ac:dyDescent="0.2">
      <c r="A1206" s="1684"/>
      <c r="B1206" s="1684"/>
      <c r="C1206" s="2014"/>
      <c r="D1206" s="2015"/>
      <c r="E1206" s="2015">
        <v>1</v>
      </c>
      <c r="F1206" s="2015">
        <v>2</v>
      </c>
      <c r="G1206" s="2015">
        <v>3</v>
      </c>
      <c r="H1206" s="2015">
        <v>4</v>
      </c>
      <c r="I1206" s="2015">
        <v>5</v>
      </c>
      <c r="J1206" s="2015">
        <v>6</v>
      </c>
      <c r="K1206" s="2015">
        <v>7</v>
      </c>
      <c r="L1206" s="2015">
        <v>8</v>
      </c>
      <c r="M1206" s="2015">
        <v>9</v>
      </c>
      <c r="N1206" s="2015">
        <v>10</v>
      </c>
      <c r="O1206" s="2015">
        <v>11</v>
      </c>
      <c r="P1206" s="2015">
        <v>12</v>
      </c>
      <c r="Q1206" s="2016"/>
      <c r="R1206"/>
      <c r="S1206" s="1684"/>
      <c r="T1206" s="1684"/>
      <c r="U1206" s="1684"/>
      <c r="V1206" s="1684"/>
      <c r="W1206" s="1684"/>
      <c r="X1206" s="1684"/>
      <c r="Y1206" s="1684"/>
      <c r="Z1206" s="1684"/>
      <c r="AA1206" s="1684"/>
      <c r="AB1206" s="1684"/>
      <c r="AC1206" s="1684"/>
      <c r="AD1206" s="1684"/>
      <c r="AE1206" s="1684"/>
      <c r="AF1206" s="1684"/>
      <c r="AG1206" s="1684"/>
      <c r="AH1206" s="1684"/>
      <c r="AI1206" s="1684"/>
      <c r="AJ1206" s="1684"/>
      <c r="AK1206" s="1684"/>
      <c r="AL1206" s="1684"/>
      <c r="AM1206" s="1684"/>
      <c r="AN1206" s="1684"/>
      <c r="AO1206" s="1684"/>
      <c r="AP1206" s="1684"/>
      <c r="AQ1206" s="1684"/>
      <c r="AR1206" s="1684"/>
      <c r="AS1206" s="1684"/>
      <c r="AT1206" s="1684"/>
      <c r="AU1206" s="1684"/>
      <c r="AV1206" s="1684"/>
      <c r="AW1206" s="1684"/>
      <c r="AX1206" s="1684"/>
      <c r="AY1206" s="1684"/>
      <c r="AZ1206" s="1684"/>
      <c r="BA1206" s="1684"/>
      <c r="BB1206" s="1684"/>
      <c r="BC1206" s="1684"/>
      <c r="BD1206" s="1684"/>
      <c r="BE1206" s="1684"/>
      <c r="BF1206" s="1684"/>
      <c r="BG1206" s="1684"/>
      <c r="BH1206" s="1684"/>
      <c r="BI1206" s="1684"/>
      <c r="BJ1206" s="1684"/>
      <c r="BK1206" s="1684"/>
      <c r="BL1206" s="1684"/>
      <c r="BM1206" s="1684"/>
      <c r="BN1206" s="1684"/>
      <c r="BO1206" s="1684"/>
      <c r="BP1206" s="1684"/>
      <c r="BQ1206" s="1684"/>
      <c r="BR1206" s="1684"/>
      <c r="BS1206" s="1684"/>
      <c r="BT1206" s="1684"/>
      <c r="BU1206" s="1684"/>
      <c r="BV1206" s="1684"/>
      <c r="BW1206" s="1684"/>
      <c r="BX1206" s="1684"/>
      <c r="BY1206" s="1684"/>
      <c r="BZ1206" s="1684"/>
      <c r="CA1206" s="1684"/>
      <c r="CB1206" s="1684"/>
      <c r="CC1206" s="1684"/>
      <c r="CD1206" s="1684"/>
      <c r="CE1206" s="1684"/>
      <c r="CF1206" s="1684"/>
      <c r="CG1206" s="1684"/>
      <c r="CH1206" s="1684"/>
      <c r="CI1206" s="1684"/>
      <c r="CJ1206" s="1684"/>
      <c r="CK1206" s="1684"/>
      <c r="CL1206" s="1684"/>
      <c r="CM1206" s="1684"/>
      <c r="CN1206" s="1684"/>
      <c r="CO1206" s="1684"/>
    </row>
    <row r="1207" spans="1:93" s="1391" customFormat="1" ht="15" x14ac:dyDescent="0.2">
      <c r="A1207" s="1684"/>
      <c r="B1207" s="1684"/>
      <c r="C1207" s="2013">
        <v>8</v>
      </c>
      <c r="D1207" s="5">
        <v>5.4279999999999999</v>
      </c>
      <c r="E1207" s="5">
        <v>154</v>
      </c>
      <c r="F1207" s="5">
        <v>171</v>
      </c>
      <c r="G1207" s="5">
        <v>187</v>
      </c>
      <c r="H1207" s="5">
        <v>203</v>
      </c>
      <c r="I1207" s="5">
        <v>219</v>
      </c>
      <c r="J1207" s="5">
        <v>235</v>
      </c>
      <c r="K1207" s="5">
        <v>251</v>
      </c>
      <c r="L1207" s="5">
        <v>268</v>
      </c>
      <c r="M1207" s="5">
        <v>284</v>
      </c>
      <c r="N1207" s="5">
        <v>300</v>
      </c>
      <c r="O1207" s="5">
        <v>316</v>
      </c>
      <c r="P1207" s="5">
        <v>332</v>
      </c>
      <c r="Q1207" s="1160">
        <v>23</v>
      </c>
      <c r="R1207"/>
      <c r="S1207" s="1684"/>
      <c r="T1207" s="1684"/>
      <c r="U1207" s="1684"/>
      <c r="V1207" s="1684"/>
      <c r="W1207" s="1684"/>
      <c r="X1207" s="1684"/>
      <c r="Y1207" s="1684"/>
      <c r="Z1207" s="1684"/>
      <c r="AA1207" s="1684"/>
      <c r="AB1207" s="1684"/>
      <c r="AC1207" s="1684"/>
      <c r="AD1207" s="1684"/>
      <c r="AE1207" s="1684"/>
      <c r="AF1207" s="1684"/>
      <c r="AG1207" s="1684"/>
      <c r="AH1207" s="1684"/>
      <c r="AI1207" s="1684"/>
      <c r="AJ1207" s="1684"/>
      <c r="AK1207" s="1684"/>
      <c r="AL1207" s="1684"/>
      <c r="AM1207" s="1684"/>
      <c r="AN1207" s="1684"/>
      <c r="AO1207" s="1684"/>
      <c r="AP1207" s="1684"/>
      <c r="AQ1207" s="1684"/>
      <c r="AR1207" s="1684"/>
      <c r="AS1207" s="1684"/>
      <c r="AT1207" s="1684"/>
      <c r="AU1207" s="1684"/>
      <c r="AV1207" s="1684"/>
      <c r="AW1207" s="1684"/>
      <c r="AX1207" s="1684"/>
      <c r="AY1207" s="1684"/>
      <c r="AZ1207" s="1684"/>
      <c r="BA1207" s="1684"/>
      <c r="BB1207" s="1684"/>
      <c r="BC1207" s="1684"/>
      <c r="BD1207" s="1684"/>
      <c r="BE1207" s="1684"/>
      <c r="BF1207" s="1684"/>
      <c r="BG1207" s="1684"/>
      <c r="BH1207" s="1684"/>
      <c r="BI1207" s="1684"/>
      <c r="BJ1207" s="1684"/>
      <c r="BK1207" s="1684"/>
      <c r="BL1207" s="1684"/>
      <c r="BM1207" s="1684"/>
      <c r="BN1207" s="1684"/>
      <c r="BO1207" s="1684"/>
      <c r="BP1207" s="1684"/>
      <c r="BQ1207" s="1684"/>
      <c r="BR1207" s="1684"/>
      <c r="BS1207" s="1684"/>
      <c r="BT1207" s="1684"/>
      <c r="BU1207" s="1684"/>
      <c r="BV1207" s="1684"/>
      <c r="BW1207" s="1684"/>
      <c r="BX1207" s="1684"/>
      <c r="BY1207" s="1684"/>
      <c r="BZ1207" s="1684"/>
      <c r="CA1207" s="1684"/>
      <c r="CB1207" s="1684"/>
      <c r="CC1207" s="1684"/>
      <c r="CD1207" s="1684"/>
      <c r="CE1207" s="1684"/>
      <c r="CF1207" s="1684"/>
      <c r="CG1207" s="1684"/>
      <c r="CH1207" s="1684"/>
      <c r="CI1207" s="1684"/>
      <c r="CJ1207" s="1684"/>
      <c r="CK1207" s="1684"/>
      <c r="CL1207" s="1684"/>
      <c r="CM1207" s="1684"/>
      <c r="CN1207" s="1684"/>
      <c r="CO1207" s="1684"/>
    </row>
    <row r="1208" spans="1:93" s="1391" customFormat="1" ht="15" x14ac:dyDescent="0.2">
      <c r="A1208" s="1684"/>
      <c r="B1208" s="1684"/>
      <c r="C1208" s="2013">
        <v>9</v>
      </c>
      <c r="D1208" s="5">
        <v>6.0110000000000001</v>
      </c>
      <c r="E1208" s="5">
        <v>170</v>
      </c>
      <c r="F1208" s="5">
        <v>189</v>
      </c>
      <c r="G1208" s="5">
        <v>207</v>
      </c>
      <c r="H1208" s="5">
        <v>225</v>
      </c>
      <c r="I1208" s="5">
        <v>243</v>
      </c>
      <c r="J1208" s="5">
        <v>261</v>
      </c>
      <c r="K1208" s="5">
        <v>279</v>
      </c>
      <c r="L1208" s="5">
        <v>298</v>
      </c>
      <c r="M1208" s="5">
        <v>313</v>
      </c>
      <c r="N1208" s="5">
        <v>333</v>
      </c>
      <c r="O1208" s="5">
        <v>351</v>
      </c>
      <c r="P1208" s="5">
        <v>369</v>
      </c>
      <c r="Q1208" s="1160">
        <v>24</v>
      </c>
      <c r="R1208"/>
      <c r="S1208" s="1684"/>
      <c r="T1208" s="1684"/>
      <c r="U1208" s="1684"/>
      <c r="V1208" s="1684"/>
      <c r="W1208" s="1684"/>
      <c r="X1208" s="1684"/>
      <c r="Y1208" s="1684"/>
      <c r="Z1208" s="1684"/>
      <c r="AA1208" s="1684"/>
      <c r="AB1208" s="1684"/>
      <c r="AC1208" s="1684"/>
      <c r="AD1208" s="1684"/>
      <c r="AE1208" s="1684"/>
      <c r="AF1208" s="1684"/>
      <c r="AG1208" s="1684"/>
      <c r="AH1208" s="1684"/>
      <c r="AI1208" s="1684"/>
      <c r="AJ1208" s="1684"/>
      <c r="AK1208" s="1684"/>
      <c r="AL1208" s="1684"/>
      <c r="AM1208" s="1684"/>
      <c r="AN1208" s="1684"/>
      <c r="AO1208" s="1684"/>
      <c r="AP1208" s="1684"/>
      <c r="AQ1208" s="1684"/>
      <c r="AR1208" s="1684"/>
      <c r="AS1208" s="1684"/>
      <c r="AT1208" s="1684"/>
      <c r="AU1208" s="1684"/>
      <c r="AV1208" s="1684"/>
      <c r="AW1208" s="1684"/>
      <c r="AX1208" s="1684"/>
      <c r="AY1208" s="1684"/>
      <c r="AZ1208" s="1684"/>
      <c r="BA1208" s="1684"/>
      <c r="BB1208" s="1684"/>
      <c r="BC1208" s="1684"/>
      <c r="BD1208" s="1684"/>
      <c r="BE1208" s="1684"/>
      <c r="BF1208" s="1684"/>
      <c r="BG1208" s="1684"/>
      <c r="BH1208" s="1684"/>
      <c r="BI1208" s="1684"/>
      <c r="BJ1208" s="1684"/>
      <c r="BK1208" s="1684"/>
      <c r="BL1208" s="1684"/>
      <c r="BM1208" s="1684"/>
      <c r="BN1208" s="1684"/>
      <c r="BO1208" s="1684"/>
      <c r="BP1208" s="1684"/>
      <c r="BQ1208" s="1684"/>
      <c r="BR1208" s="1684"/>
      <c r="BS1208" s="1684"/>
      <c r="BT1208" s="1684"/>
      <c r="BU1208" s="1684"/>
      <c r="BV1208" s="1684"/>
      <c r="BW1208" s="1684"/>
      <c r="BX1208" s="1684"/>
      <c r="BY1208" s="1684"/>
      <c r="BZ1208" s="1684"/>
      <c r="CA1208" s="1684"/>
      <c r="CB1208" s="1684"/>
      <c r="CC1208" s="1684"/>
      <c r="CD1208" s="1684"/>
      <c r="CE1208" s="1684"/>
      <c r="CF1208" s="1684"/>
      <c r="CG1208" s="1684"/>
      <c r="CH1208" s="1684"/>
      <c r="CI1208" s="1684"/>
      <c r="CJ1208" s="1684"/>
      <c r="CK1208" s="1684"/>
      <c r="CL1208" s="1684"/>
      <c r="CM1208" s="1684"/>
      <c r="CN1208" s="1684"/>
      <c r="CO1208" s="1684"/>
    </row>
    <row r="1209" spans="1:93" s="1391" customFormat="1" ht="15" x14ac:dyDescent="0.2">
      <c r="A1209" s="1684"/>
      <c r="B1209" s="1684"/>
      <c r="C1209" s="2013">
        <v>10</v>
      </c>
      <c r="D1209" s="5">
        <v>6.4189999999999996</v>
      </c>
      <c r="E1209" s="5">
        <v>188</v>
      </c>
      <c r="F1209" s="5">
        <v>209</v>
      </c>
      <c r="G1209" s="5">
        <v>229</v>
      </c>
      <c r="H1209" s="5">
        <v>249</v>
      </c>
      <c r="I1209" s="5">
        <v>269</v>
      </c>
      <c r="J1209" s="5">
        <v>288</v>
      </c>
      <c r="K1209" s="5">
        <v>308</v>
      </c>
      <c r="L1209" s="5">
        <v>329</v>
      </c>
      <c r="M1209" s="5">
        <v>348</v>
      </c>
      <c r="N1209" s="5">
        <v>368</v>
      </c>
      <c r="O1209" s="5">
        <v>388</v>
      </c>
      <c r="P1209" s="5">
        <v>407</v>
      </c>
      <c r="Q1209" s="1160">
        <v>25</v>
      </c>
      <c r="R1209"/>
      <c r="S1209" s="1684"/>
      <c r="T1209" s="1684"/>
      <c r="U1209" s="1684"/>
      <c r="V1209" s="1684"/>
      <c r="W1209" s="1684"/>
      <c r="X1209" s="1684"/>
      <c r="Y1209" s="1684"/>
      <c r="Z1209" s="1684"/>
      <c r="AA1209" s="1684"/>
      <c r="AB1209" s="1684"/>
      <c r="AC1209" s="1684"/>
      <c r="AD1209" s="1684"/>
      <c r="AE1209" s="1684"/>
      <c r="AF1209" s="1684"/>
      <c r="AG1209" s="1684"/>
      <c r="AH1209" s="1684"/>
      <c r="AI1209" s="1684"/>
      <c r="AJ1209" s="1684"/>
      <c r="AK1209" s="1684"/>
      <c r="AL1209" s="1684"/>
      <c r="AM1209" s="1684"/>
      <c r="AN1209" s="1684"/>
      <c r="AO1209" s="1684"/>
      <c r="AP1209" s="1684"/>
      <c r="AQ1209" s="1684"/>
      <c r="AR1209" s="1684"/>
      <c r="AS1209" s="1684"/>
      <c r="AT1209" s="1684"/>
      <c r="AU1209" s="1684"/>
      <c r="AV1209" s="1684"/>
      <c r="AW1209" s="1684"/>
      <c r="AX1209" s="1684"/>
      <c r="AY1209" s="1684"/>
      <c r="AZ1209" s="1684"/>
      <c r="BA1209" s="1684"/>
      <c r="BB1209" s="1684"/>
      <c r="BC1209" s="1684"/>
      <c r="BD1209" s="1684"/>
      <c r="BE1209" s="1684"/>
      <c r="BF1209" s="1684"/>
      <c r="BG1209" s="1684"/>
      <c r="BH1209" s="1684"/>
      <c r="BI1209" s="1684"/>
      <c r="BJ1209" s="1684"/>
      <c r="BK1209" s="1684"/>
      <c r="BL1209" s="1684"/>
      <c r="BM1209" s="1684"/>
      <c r="BN1209" s="1684"/>
      <c r="BO1209" s="1684"/>
      <c r="BP1209" s="1684"/>
      <c r="BQ1209" s="1684"/>
      <c r="BR1209" s="1684"/>
      <c r="BS1209" s="1684"/>
      <c r="BT1209" s="1684"/>
      <c r="BU1209" s="1684"/>
      <c r="BV1209" s="1684"/>
      <c r="BW1209" s="1684"/>
      <c r="BX1209" s="1684"/>
      <c r="BY1209" s="1684"/>
      <c r="BZ1209" s="1684"/>
      <c r="CA1209" s="1684"/>
      <c r="CB1209" s="1684"/>
      <c r="CC1209" s="1684"/>
      <c r="CD1209" s="1684"/>
      <c r="CE1209" s="1684"/>
      <c r="CF1209" s="1684"/>
      <c r="CG1209" s="1684"/>
      <c r="CH1209" s="1684"/>
      <c r="CI1209" s="1684"/>
      <c r="CJ1209" s="1684"/>
      <c r="CK1209" s="1684"/>
      <c r="CL1209" s="1684"/>
      <c r="CM1209" s="1684"/>
      <c r="CN1209" s="1684"/>
      <c r="CO1209" s="1684"/>
    </row>
    <row r="1210" spans="1:93" s="1391" customFormat="1" ht="15" x14ac:dyDescent="0.2">
      <c r="A1210" s="1684"/>
      <c r="B1210" s="1684"/>
      <c r="C1210" s="2013">
        <v>11</v>
      </c>
      <c r="D1210" s="5">
        <v>6.8029999999999999</v>
      </c>
      <c r="E1210" s="5">
        <v>209</v>
      </c>
      <c r="F1210" s="5">
        <v>232</v>
      </c>
      <c r="G1210" s="5">
        <v>254</v>
      </c>
      <c r="H1210" s="5">
        <v>276</v>
      </c>
      <c r="I1210" s="5">
        <v>297</v>
      </c>
      <c r="J1210" s="5">
        <v>319</v>
      </c>
      <c r="K1210" s="5">
        <v>341</v>
      </c>
      <c r="L1210" s="5">
        <v>364</v>
      </c>
      <c r="M1210" s="5">
        <v>385</v>
      </c>
      <c r="N1210" s="5">
        <v>407</v>
      </c>
      <c r="O1210" s="5">
        <v>429</v>
      </c>
      <c r="P1210" s="5">
        <v>451</v>
      </c>
      <c r="Q1210" s="1160">
        <v>26</v>
      </c>
      <c r="R1210"/>
      <c r="S1210" s="1684"/>
      <c r="T1210" s="1684"/>
      <c r="U1210" s="1684"/>
      <c r="V1210" s="1684"/>
      <c r="W1210" s="1684"/>
      <c r="X1210" s="1684"/>
      <c r="Y1210" s="1684"/>
      <c r="Z1210" s="1684"/>
      <c r="AA1210" s="1684"/>
      <c r="AB1210" s="1684"/>
      <c r="AC1210" s="1684"/>
      <c r="AD1210" s="1684"/>
      <c r="AE1210" s="1684"/>
      <c r="AF1210" s="1684"/>
      <c r="AG1210" s="1684"/>
      <c r="AH1210" s="1684"/>
      <c r="AI1210" s="1684"/>
      <c r="AJ1210" s="1684"/>
      <c r="AK1210" s="1684"/>
      <c r="AL1210" s="1684"/>
      <c r="AM1210" s="1684"/>
      <c r="AN1210" s="1684"/>
      <c r="AO1210" s="1684"/>
      <c r="AP1210" s="1684"/>
      <c r="AQ1210" s="1684"/>
      <c r="AR1210" s="1684"/>
      <c r="AS1210" s="1684"/>
      <c r="AT1210" s="1684"/>
      <c r="AU1210" s="1684"/>
      <c r="AV1210" s="1684"/>
      <c r="AW1210" s="1684"/>
      <c r="AX1210" s="1684"/>
      <c r="AY1210" s="1684"/>
      <c r="AZ1210" s="1684"/>
      <c r="BA1210" s="1684"/>
      <c r="BB1210" s="1684"/>
      <c r="BC1210" s="1684"/>
      <c r="BD1210" s="1684"/>
      <c r="BE1210" s="1684"/>
      <c r="BF1210" s="1684"/>
      <c r="BG1210" s="1684"/>
      <c r="BH1210" s="1684"/>
      <c r="BI1210" s="1684"/>
      <c r="BJ1210" s="1684"/>
      <c r="BK1210" s="1684"/>
      <c r="BL1210" s="1684"/>
      <c r="BM1210" s="1684"/>
      <c r="BN1210" s="1684"/>
      <c r="BO1210" s="1684"/>
      <c r="BP1210" s="1684"/>
      <c r="BQ1210" s="1684"/>
      <c r="BR1210" s="1684"/>
      <c r="BS1210" s="1684"/>
      <c r="BT1210" s="1684"/>
      <c r="BU1210" s="1684"/>
      <c r="BV1210" s="1684"/>
      <c r="BW1210" s="1684"/>
      <c r="BX1210" s="1684"/>
      <c r="BY1210" s="1684"/>
      <c r="BZ1210" s="1684"/>
      <c r="CA1210" s="1684"/>
      <c r="CB1210" s="1684"/>
      <c r="CC1210" s="1684"/>
      <c r="CD1210" s="1684"/>
      <c r="CE1210" s="1684"/>
      <c r="CF1210" s="1684"/>
      <c r="CG1210" s="1684"/>
      <c r="CH1210" s="1684"/>
      <c r="CI1210" s="1684"/>
      <c r="CJ1210" s="1684"/>
      <c r="CK1210" s="1684"/>
      <c r="CL1210" s="1684"/>
      <c r="CM1210" s="1684"/>
      <c r="CN1210" s="1684"/>
      <c r="CO1210" s="1684"/>
    </row>
    <row r="1211" spans="1:93" s="1391" customFormat="1" ht="15" x14ac:dyDescent="0.2">
      <c r="A1211" s="1684"/>
      <c r="B1211" s="1684"/>
      <c r="C1211" s="2013">
        <v>12</v>
      </c>
      <c r="D1211" s="5">
        <v>7.37</v>
      </c>
      <c r="E1211" s="5">
        <v>230</v>
      </c>
      <c r="F1211" s="5">
        <v>255</v>
      </c>
      <c r="G1211" s="5">
        <v>279</v>
      </c>
      <c r="H1211" s="5">
        <v>304</v>
      </c>
      <c r="I1211" s="5">
        <v>328</v>
      </c>
      <c r="J1211" s="5">
        <v>352</v>
      </c>
      <c r="K1211" s="5">
        <v>376</v>
      </c>
      <c r="L1211" s="5">
        <v>402</v>
      </c>
      <c r="M1211" s="5">
        <v>425</v>
      </c>
      <c r="N1211" s="5">
        <v>449</v>
      </c>
      <c r="O1211" s="5">
        <v>473</v>
      </c>
      <c r="P1211" s="5">
        <v>497</v>
      </c>
      <c r="Q1211" s="1160">
        <v>27</v>
      </c>
      <c r="R1211"/>
      <c r="S1211" s="1684"/>
      <c r="T1211" s="1684"/>
      <c r="U1211" s="1684"/>
      <c r="V1211" s="1684"/>
      <c r="W1211" s="1684"/>
      <c r="X1211" s="1684"/>
      <c r="Y1211" s="1684"/>
      <c r="Z1211" s="1684"/>
      <c r="AA1211" s="1684"/>
      <c r="AB1211" s="1684"/>
      <c r="AC1211" s="1684"/>
      <c r="AD1211" s="1684"/>
      <c r="AE1211" s="1684"/>
      <c r="AF1211" s="1684"/>
      <c r="AG1211" s="1684"/>
      <c r="AH1211" s="1684"/>
      <c r="AI1211" s="1684"/>
      <c r="AJ1211" s="1684"/>
      <c r="AK1211" s="1684"/>
      <c r="AL1211" s="1684"/>
      <c r="AM1211" s="1684"/>
      <c r="AN1211" s="1684"/>
      <c r="AO1211" s="1684"/>
      <c r="AP1211" s="1684"/>
      <c r="AQ1211" s="1684"/>
      <c r="AR1211" s="1684"/>
      <c r="AS1211" s="1684"/>
      <c r="AT1211" s="1684"/>
      <c r="AU1211" s="1684"/>
      <c r="AV1211" s="1684"/>
      <c r="AW1211" s="1684"/>
      <c r="AX1211" s="1684"/>
      <c r="AY1211" s="1684"/>
      <c r="AZ1211" s="1684"/>
      <c r="BA1211" s="1684"/>
      <c r="BB1211" s="1684"/>
      <c r="BC1211" s="1684"/>
      <c r="BD1211" s="1684"/>
      <c r="BE1211" s="1684"/>
      <c r="BF1211" s="1684"/>
      <c r="BG1211" s="1684"/>
      <c r="BH1211" s="1684"/>
      <c r="BI1211" s="1684"/>
      <c r="BJ1211" s="1684"/>
      <c r="BK1211" s="1684"/>
      <c r="BL1211" s="1684"/>
      <c r="BM1211" s="1684"/>
      <c r="BN1211" s="1684"/>
      <c r="BO1211" s="1684"/>
      <c r="BP1211" s="1684"/>
      <c r="BQ1211" s="1684"/>
      <c r="BR1211" s="1684"/>
      <c r="BS1211" s="1684"/>
      <c r="BT1211" s="1684"/>
      <c r="BU1211" s="1684"/>
      <c r="BV1211" s="1684"/>
      <c r="BW1211" s="1684"/>
      <c r="BX1211" s="1684"/>
      <c r="BY1211" s="1684"/>
      <c r="BZ1211" s="1684"/>
      <c r="CA1211" s="1684"/>
      <c r="CB1211" s="1684"/>
      <c r="CC1211" s="1684"/>
      <c r="CD1211" s="1684"/>
      <c r="CE1211" s="1684"/>
      <c r="CF1211" s="1684"/>
      <c r="CG1211" s="1684"/>
      <c r="CH1211" s="1684"/>
      <c r="CI1211" s="1684"/>
      <c r="CJ1211" s="1684"/>
      <c r="CK1211" s="1684"/>
      <c r="CL1211" s="1684"/>
      <c r="CM1211" s="1684"/>
      <c r="CN1211" s="1684"/>
      <c r="CO1211" s="1684"/>
    </row>
    <row r="1212" spans="1:93" s="1391" customFormat="1" ht="15" x14ac:dyDescent="0.2">
      <c r="A1212" s="1684"/>
      <c r="B1212" s="1684"/>
      <c r="C1212" s="2013">
        <v>13</v>
      </c>
      <c r="D1212" s="5">
        <v>7.8860000000000001</v>
      </c>
      <c r="E1212" s="5">
        <v>252</v>
      </c>
      <c r="F1212" s="5">
        <v>280</v>
      </c>
      <c r="G1212" s="5">
        <v>306</v>
      </c>
      <c r="H1212" s="5">
        <v>333</v>
      </c>
      <c r="I1212" s="5">
        <v>359</v>
      </c>
      <c r="J1212" s="5">
        <v>386</v>
      </c>
      <c r="K1212" s="5">
        <v>412</v>
      </c>
      <c r="L1212" s="5">
        <v>440</v>
      </c>
      <c r="M1212" s="5">
        <v>465</v>
      </c>
      <c r="N1212" s="5">
        <v>492</v>
      </c>
      <c r="O1212" s="5">
        <v>518</v>
      </c>
      <c r="P1212" s="5">
        <v>545</v>
      </c>
      <c r="Q1212" s="1160">
        <v>28</v>
      </c>
      <c r="R1212"/>
      <c r="S1212" s="1684"/>
      <c r="T1212" s="1684"/>
      <c r="U1212" s="1684"/>
      <c r="V1212" s="1684"/>
      <c r="W1212" s="1684"/>
      <c r="X1212" s="1684"/>
      <c r="Y1212" s="1684"/>
      <c r="Z1212" s="1684"/>
      <c r="AA1212" s="1684"/>
      <c r="AB1212" s="1684"/>
      <c r="AC1212" s="1684"/>
      <c r="AD1212" s="1684"/>
      <c r="AE1212" s="1684"/>
      <c r="AF1212" s="1684"/>
      <c r="AG1212" s="1684"/>
      <c r="AH1212" s="1684"/>
      <c r="AI1212" s="1684"/>
      <c r="AJ1212" s="1684"/>
      <c r="AK1212" s="1684"/>
      <c r="AL1212" s="1684"/>
      <c r="AM1212" s="1684"/>
      <c r="AN1212" s="1684"/>
      <c r="AO1212" s="1684"/>
      <c r="AP1212" s="1684"/>
      <c r="AQ1212" s="1684"/>
      <c r="AR1212" s="1684"/>
      <c r="AS1212" s="1684"/>
      <c r="AT1212" s="1684"/>
      <c r="AU1212" s="1684"/>
      <c r="AV1212" s="1684"/>
      <c r="AW1212" s="1684"/>
      <c r="AX1212" s="1684"/>
      <c r="AY1212" s="1684"/>
      <c r="AZ1212" s="1684"/>
      <c r="BA1212" s="1684"/>
      <c r="BB1212" s="1684"/>
      <c r="BC1212" s="1684"/>
      <c r="BD1212" s="1684"/>
      <c r="BE1212" s="1684"/>
      <c r="BF1212" s="1684"/>
      <c r="BG1212" s="1684"/>
      <c r="BH1212" s="1684"/>
      <c r="BI1212" s="1684"/>
      <c r="BJ1212" s="1684"/>
      <c r="BK1212" s="1684"/>
      <c r="BL1212" s="1684"/>
      <c r="BM1212" s="1684"/>
      <c r="BN1212" s="1684"/>
      <c r="BO1212" s="1684"/>
      <c r="BP1212" s="1684"/>
      <c r="BQ1212" s="1684"/>
      <c r="BR1212" s="1684"/>
      <c r="BS1212" s="1684"/>
      <c r="BT1212" s="1684"/>
      <c r="BU1212" s="1684"/>
      <c r="BV1212" s="1684"/>
      <c r="BW1212" s="1684"/>
      <c r="BX1212" s="1684"/>
      <c r="BY1212" s="1684"/>
      <c r="BZ1212" s="1684"/>
      <c r="CA1212" s="1684"/>
      <c r="CB1212" s="1684"/>
      <c r="CC1212" s="1684"/>
      <c r="CD1212" s="1684"/>
      <c r="CE1212" s="1684"/>
      <c r="CF1212" s="1684"/>
      <c r="CG1212" s="1684"/>
      <c r="CH1212" s="1684"/>
      <c r="CI1212" s="1684"/>
      <c r="CJ1212" s="1684"/>
      <c r="CK1212" s="1684"/>
      <c r="CL1212" s="1684"/>
      <c r="CM1212" s="1684"/>
      <c r="CN1212" s="1684"/>
      <c r="CO1212" s="1684"/>
    </row>
    <row r="1213" spans="1:93" s="1391" customFormat="1" ht="15" x14ac:dyDescent="0.2">
      <c r="A1213" s="1684"/>
      <c r="B1213" s="1684"/>
      <c r="C1213" s="2013">
        <v>14</v>
      </c>
      <c r="D1213" s="5">
        <v>8.4339999999999993</v>
      </c>
      <c r="E1213" s="5">
        <v>275</v>
      </c>
      <c r="F1213" s="5">
        <v>304</v>
      </c>
      <c r="G1213" s="5">
        <v>335</v>
      </c>
      <c r="H1213" s="5">
        <v>364</v>
      </c>
      <c r="I1213" s="5">
        <v>392</v>
      </c>
      <c r="J1213" s="5">
        <v>421</v>
      </c>
      <c r="K1213" s="5">
        <v>450</v>
      </c>
      <c r="L1213" s="5">
        <v>481</v>
      </c>
      <c r="M1213" s="5">
        <v>508</v>
      </c>
      <c r="N1213" s="5">
        <v>537</v>
      </c>
      <c r="O1213" s="5">
        <v>566</v>
      </c>
      <c r="P1213" s="5">
        <v>595</v>
      </c>
      <c r="Q1213" s="1160">
        <v>29</v>
      </c>
      <c r="R1213"/>
      <c r="S1213" s="1684"/>
      <c r="T1213" s="1684"/>
      <c r="U1213" s="1684"/>
      <c r="V1213" s="1684"/>
      <c r="W1213" s="1684"/>
      <c r="X1213" s="1684"/>
      <c r="Y1213" s="1684"/>
      <c r="Z1213" s="1684"/>
      <c r="AA1213" s="1684"/>
      <c r="AB1213" s="1684"/>
      <c r="AC1213" s="1684"/>
      <c r="AD1213" s="1684"/>
      <c r="AE1213" s="1684"/>
      <c r="AF1213" s="1684"/>
      <c r="AG1213" s="1684"/>
      <c r="AH1213" s="1684"/>
      <c r="AI1213" s="1684"/>
      <c r="AJ1213" s="1684"/>
      <c r="AK1213" s="1684"/>
      <c r="AL1213" s="1684"/>
      <c r="AM1213" s="1684"/>
      <c r="AN1213" s="1684"/>
      <c r="AO1213" s="1684"/>
      <c r="AP1213" s="1684"/>
      <c r="AQ1213" s="1684"/>
      <c r="AR1213" s="1684"/>
      <c r="AS1213" s="1684"/>
      <c r="AT1213" s="1684"/>
      <c r="AU1213" s="1684"/>
      <c r="AV1213" s="1684"/>
      <c r="AW1213" s="1684"/>
      <c r="AX1213" s="1684"/>
      <c r="AY1213" s="1684"/>
      <c r="AZ1213" s="1684"/>
      <c r="BA1213" s="1684"/>
      <c r="BB1213" s="1684"/>
      <c r="BC1213" s="1684"/>
      <c r="BD1213" s="1684"/>
      <c r="BE1213" s="1684"/>
      <c r="BF1213" s="1684"/>
      <c r="BG1213" s="1684"/>
      <c r="BH1213" s="1684"/>
      <c r="BI1213" s="1684"/>
      <c r="BJ1213" s="1684"/>
      <c r="BK1213" s="1684"/>
      <c r="BL1213" s="1684"/>
      <c r="BM1213" s="1684"/>
      <c r="BN1213" s="1684"/>
      <c r="BO1213" s="1684"/>
      <c r="BP1213" s="1684"/>
      <c r="BQ1213" s="1684"/>
      <c r="BR1213" s="1684"/>
      <c r="BS1213" s="1684"/>
      <c r="BT1213" s="1684"/>
      <c r="BU1213" s="1684"/>
      <c r="BV1213" s="1684"/>
      <c r="BW1213" s="1684"/>
      <c r="BX1213" s="1684"/>
      <c r="BY1213" s="1684"/>
      <c r="BZ1213" s="1684"/>
      <c r="CA1213" s="1684"/>
      <c r="CB1213" s="1684"/>
      <c r="CC1213" s="1684"/>
      <c r="CD1213" s="1684"/>
      <c r="CE1213" s="1684"/>
      <c r="CF1213" s="1684"/>
      <c r="CG1213" s="1684"/>
      <c r="CH1213" s="1684"/>
      <c r="CI1213" s="1684"/>
      <c r="CJ1213" s="1684"/>
      <c r="CK1213" s="1684"/>
      <c r="CL1213" s="1684"/>
      <c r="CM1213" s="1684"/>
      <c r="CN1213" s="1684"/>
      <c r="CO1213" s="1684"/>
    </row>
    <row r="1214" spans="1:93" s="1391" customFormat="1" ht="15" x14ac:dyDescent="0.2">
      <c r="A1214" s="1684"/>
      <c r="B1214" s="1684"/>
      <c r="C1214" s="2013">
        <v>15</v>
      </c>
      <c r="D1214" s="5">
        <v>9.0079999999999991</v>
      </c>
      <c r="E1214" s="5">
        <v>299</v>
      </c>
      <c r="F1214" s="5">
        <v>333</v>
      </c>
      <c r="G1214" s="5">
        <v>364</v>
      </c>
      <c r="H1214" s="5">
        <v>396</v>
      </c>
      <c r="I1214" s="5">
        <v>427</v>
      </c>
      <c r="J1214" s="5">
        <v>459</v>
      </c>
      <c r="K1214" s="5">
        <v>490</v>
      </c>
      <c r="L1214" s="5">
        <v>523</v>
      </c>
      <c r="M1214" s="5">
        <v>553</v>
      </c>
      <c r="N1214" s="5">
        <v>585</v>
      </c>
      <c r="O1214" s="5">
        <v>616</v>
      </c>
      <c r="P1214" s="5">
        <v>648</v>
      </c>
      <c r="Q1214" s="1160">
        <v>30</v>
      </c>
      <c r="R1214"/>
      <c r="S1214" s="1684"/>
      <c r="T1214" s="1684"/>
      <c r="U1214" s="1684"/>
      <c r="V1214" s="1684"/>
      <c r="W1214" s="1684"/>
      <c r="X1214" s="1684"/>
      <c r="Y1214" s="1684"/>
      <c r="Z1214" s="1684"/>
      <c r="AA1214" s="1684"/>
      <c r="AB1214" s="1684"/>
      <c r="AC1214" s="1684"/>
      <c r="AD1214" s="1684"/>
      <c r="AE1214" s="1684"/>
      <c r="AF1214" s="1684"/>
      <c r="AG1214" s="1684"/>
      <c r="AH1214" s="1684"/>
      <c r="AI1214" s="1684"/>
      <c r="AJ1214" s="1684"/>
      <c r="AK1214" s="1684"/>
      <c r="AL1214" s="1684"/>
      <c r="AM1214" s="1684"/>
      <c r="AN1214" s="1684"/>
      <c r="AO1214" s="1684"/>
      <c r="AP1214" s="1684"/>
      <c r="AQ1214" s="1684"/>
      <c r="AR1214" s="1684"/>
      <c r="AS1214" s="1684"/>
      <c r="AT1214" s="1684"/>
      <c r="AU1214" s="1684"/>
      <c r="AV1214" s="1684"/>
      <c r="AW1214" s="1684"/>
      <c r="AX1214" s="1684"/>
      <c r="AY1214" s="1684"/>
      <c r="AZ1214" s="1684"/>
      <c r="BA1214" s="1684"/>
      <c r="BB1214" s="1684"/>
      <c r="BC1214" s="1684"/>
      <c r="BD1214" s="1684"/>
      <c r="BE1214" s="1684"/>
      <c r="BF1214" s="1684"/>
      <c r="BG1214" s="1684"/>
      <c r="BH1214" s="1684"/>
      <c r="BI1214" s="1684"/>
      <c r="BJ1214" s="1684"/>
      <c r="BK1214" s="1684"/>
      <c r="BL1214" s="1684"/>
      <c r="BM1214" s="1684"/>
      <c r="BN1214" s="1684"/>
      <c r="BO1214" s="1684"/>
      <c r="BP1214" s="1684"/>
      <c r="BQ1214" s="1684"/>
      <c r="BR1214" s="1684"/>
      <c r="BS1214" s="1684"/>
      <c r="BT1214" s="1684"/>
      <c r="BU1214" s="1684"/>
      <c r="BV1214" s="1684"/>
      <c r="BW1214" s="1684"/>
      <c r="BX1214" s="1684"/>
      <c r="BY1214" s="1684"/>
      <c r="BZ1214" s="1684"/>
      <c r="CA1214" s="1684"/>
      <c r="CB1214" s="1684"/>
      <c r="CC1214" s="1684"/>
      <c r="CD1214" s="1684"/>
      <c r="CE1214" s="1684"/>
      <c r="CF1214" s="1684"/>
      <c r="CG1214" s="1684"/>
      <c r="CH1214" s="1684"/>
      <c r="CI1214" s="1684"/>
      <c r="CJ1214" s="1684"/>
      <c r="CK1214" s="1684"/>
      <c r="CL1214" s="1684"/>
      <c r="CM1214" s="1684"/>
      <c r="CN1214" s="1684"/>
      <c r="CO1214" s="1684"/>
    </row>
    <row r="1215" spans="1:93" s="1391" customFormat="1" ht="15" x14ac:dyDescent="0.2">
      <c r="A1215" s="1684"/>
      <c r="B1215" s="1684"/>
      <c r="C1215" s="2013">
        <v>16</v>
      </c>
      <c r="D1215" s="5">
        <v>9.7439999999999998</v>
      </c>
      <c r="E1215" s="5">
        <v>324</v>
      </c>
      <c r="F1215" s="5">
        <v>359</v>
      </c>
      <c r="G1215" s="5">
        <v>393</v>
      </c>
      <c r="H1215" s="5">
        <v>427</v>
      </c>
      <c r="I1215" s="5">
        <v>461</v>
      </c>
      <c r="J1215" s="5">
        <v>496</v>
      </c>
      <c r="K1215" s="5">
        <v>530</v>
      </c>
      <c r="L1215" s="5">
        <v>565</v>
      </c>
      <c r="M1215" s="5">
        <v>598</v>
      </c>
      <c r="N1215" s="5">
        <v>632</v>
      </c>
      <c r="O1215" s="5">
        <v>666</v>
      </c>
      <c r="P1215" s="5">
        <v>700</v>
      </c>
      <c r="Q1215" s="1160">
        <v>31</v>
      </c>
      <c r="R1215"/>
      <c r="S1215" s="1684"/>
      <c r="T1215" s="1684"/>
      <c r="U1215" s="1684"/>
      <c r="V1215" s="1684"/>
      <c r="W1215" s="1684"/>
      <c r="X1215" s="1684"/>
      <c r="Y1215" s="1684"/>
      <c r="Z1215" s="1684"/>
      <c r="AA1215" s="1684"/>
      <c r="AB1215" s="1684"/>
      <c r="AC1215" s="1684"/>
      <c r="AD1215" s="1684"/>
      <c r="AE1215" s="1684"/>
      <c r="AF1215" s="1684"/>
      <c r="AG1215" s="1684"/>
      <c r="AH1215" s="1684"/>
      <c r="AI1215" s="1684"/>
      <c r="AJ1215" s="1684"/>
      <c r="AK1215" s="1684"/>
      <c r="AL1215" s="1684"/>
      <c r="AM1215" s="1684"/>
      <c r="AN1215" s="1684"/>
      <c r="AO1215" s="1684"/>
      <c r="AP1215" s="1684"/>
      <c r="AQ1215" s="1684"/>
      <c r="AR1215" s="1684"/>
      <c r="AS1215" s="1684"/>
      <c r="AT1215" s="1684"/>
      <c r="AU1215" s="1684"/>
      <c r="AV1215" s="1684"/>
      <c r="AW1215" s="1684"/>
      <c r="AX1215" s="1684"/>
      <c r="AY1215" s="1684"/>
      <c r="AZ1215" s="1684"/>
      <c r="BA1215" s="1684"/>
      <c r="BB1215" s="1684"/>
      <c r="BC1215" s="1684"/>
      <c r="BD1215" s="1684"/>
      <c r="BE1215" s="1684"/>
      <c r="BF1215" s="1684"/>
      <c r="BG1215" s="1684"/>
      <c r="BH1215" s="1684"/>
      <c r="BI1215" s="1684"/>
      <c r="BJ1215" s="1684"/>
      <c r="BK1215" s="1684"/>
      <c r="BL1215" s="1684"/>
      <c r="BM1215" s="1684"/>
      <c r="BN1215" s="1684"/>
      <c r="BO1215" s="1684"/>
      <c r="BP1215" s="1684"/>
      <c r="BQ1215" s="1684"/>
      <c r="BR1215" s="1684"/>
      <c r="BS1215" s="1684"/>
      <c r="BT1215" s="1684"/>
      <c r="BU1215" s="1684"/>
      <c r="BV1215" s="1684"/>
      <c r="BW1215" s="1684"/>
      <c r="BX1215" s="1684"/>
      <c r="BY1215" s="1684"/>
      <c r="BZ1215" s="1684"/>
      <c r="CA1215" s="1684"/>
      <c r="CB1215" s="1684"/>
      <c r="CC1215" s="1684"/>
      <c r="CD1215" s="1684"/>
      <c r="CE1215" s="1684"/>
      <c r="CF1215" s="1684"/>
      <c r="CG1215" s="1684"/>
      <c r="CH1215" s="1684"/>
      <c r="CI1215" s="1684"/>
      <c r="CJ1215" s="1684"/>
      <c r="CK1215" s="1684"/>
      <c r="CL1215" s="1684"/>
      <c r="CM1215" s="1684"/>
      <c r="CN1215" s="1684"/>
      <c r="CO1215" s="1684"/>
    </row>
    <row r="1216" spans="1:93" s="1391" customFormat="1" ht="15" x14ac:dyDescent="0.2">
      <c r="A1216" s="1684"/>
      <c r="B1216" s="1684"/>
      <c r="C1216" s="2013">
        <v>17</v>
      </c>
      <c r="D1216" s="5">
        <v>10.327</v>
      </c>
      <c r="E1216" s="5">
        <v>346</v>
      </c>
      <c r="F1216" s="5">
        <v>384</v>
      </c>
      <c r="G1216" s="5">
        <v>421</v>
      </c>
      <c r="H1216" s="5">
        <v>457</v>
      </c>
      <c r="I1216" s="5">
        <v>494</v>
      </c>
      <c r="J1216" s="5">
        <v>530</v>
      </c>
      <c r="K1216" s="5">
        <v>566</v>
      </c>
      <c r="L1216" s="5">
        <v>603</v>
      </c>
      <c r="M1216" s="5">
        <v>639</v>
      </c>
      <c r="N1216" s="5">
        <v>676</v>
      </c>
      <c r="O1216" s="5">
        <v>712</v>
      </c>
      <c r="P1216" s="5">
        <v>749</v>
      </c>
      <c r="Q1216" s="1160">
        <v>32</v>
      </c>
      <c r="R1216"/>
      <c r="S1216" s="1684"/>
      <c r="T1216" s="1684"/>
      <c r="U1216" s="1684"/>
      <c r="V1216" s="1684"/>
      <c r="W1216" s="1684"/>
      <c r="X1216" s="1684"/>
      <c r="Y1216" s="1684"/>
      <c r="Z1216" s="1684"/>
      <c r="AA1216" s="1684"/>
      <c r="AB1216" s="1684"/>
      <c r="AC1216" s="1684"/>
      <c r="AD1216" s="1684"/>
      <c r="AE1216" s="1684"/>
      <c r="AF1216" s="1684"/>
      <c r="AG1216" s="1684"/>
      <c r="AH1216" s="1684"/>
      <c r="AI1216" s="1684"/>
      <c r="AJ1216" s="1684"/>
      <c r="AK1216" s="1684"/>
      <c r="AL1216" s="1684"/>
      <c r="AM1216" s="1684"/>
      <c r="AN1216" s="1684"/>
      <c r="AO1216" s="1684"/>
      <c r="AP1216" s="1684"/>
      <c r="AQ1216" s="1684"/>
      <c r="AR1216" s="1684"/>
      <c r="AS1216" s="1684"/>
      <c r="AT1216" s="1684"/>
      <c r="AU1216" s="1684"/>
      <c r="AV1216" s="1684"/>
      <c r="AW1216" s="1684"/>
      <c r="AX1216" s="1684"/>
      <c r="AY1216" s="1684"/>
      <c r="AZ1216" s="1684"/>
      <c r="BA1216" s="1684"/>
      <c r="BB1216" s="1684"/>
      <c r="BC1216" s="1684"/>
      <c r="BD1216" s="1684"/>
      <c r="BE1216" s="1684"/>
      <c r="BF1216" s="1684"/>
      <c r="BG1216" s="1684"/>
      <c r="BH1216" s="1684"/>
      <c r="BI1216" s="1684"/>
      <c r="BJ1216" s="1684"/>
      <c r="BK1216" s="1684"/>
      <c r="BL1216" s="1684"/>
      <c r="BM1216" s="1684"/>
      <c r="BN1216" s="1684"/>
      <c r="BO1216" s="1684"/>
      <c r="BP1216" s="1684"/>
      <c r="BQ1216" s="1684"/>
      <c r="BR1216" s="1684"/>
      <c r="BS1216" s="1684"/>
      <c r="BT1216" s="1684"/>
      <c r="BU1216" s="1684"/>
      <c r="BV1216" s="1684"/>
      <c r="BW1216" s="1684"/>
      <c r="BX1216" s="1684"/>
      <c r="BY1216" s="1684"/>
      <c r="BZ1216" s="1684"/>
      <c r="CA1216" s="1684"/>
      <c r="CB1216" s="1684"/>
      <c r="CC1216" s="1684"/>
      <c r="CD1216" s="1684"/>
      <c r="CE1216" s="1684"/>
      <c r="CF1216" s="1684"/>
      <c r="CG1216" s="1684"/>
      <c r="CH1216" s="1684"/>
      <c r="CI1216" s="1684"/>
      <c r="CJ1216" s="1684"/>
      <c r="CK1216" s="1684"/>
      <c r="CL1216" s="1684"/>
      <c r="CM1216" s="1684"/>
      <c r="CN1216" s="1684"/>
      <c r="CO1216" s="1684"/>
    </row>
    <row r="1217" spans="1:93" s="1391" customFormat="1" ht="15" x14ac:dyDescent="0.2">
      <c r="A1217" s="1684"/>
      <c r="B1217" s="1684"/>
      <c r="C1217" s="2013">
        <v>18</v>
      </c>
      <c r="D1217" s="5">
        <v>11.042999999999999</v>
      </c>
      <c r="E1217" s="5">
        <v>367</v>
      </c>
      <c r="F1217" s="5">
        <v>407</v>
      </c>
      <c r="G1217" s="5">
        <v>446</v>
      </c>
      <c r="H1217" s="5">
        <v>485</v>
      </c>
      <c r="I1217" s="5">
        <v>523</v>
      </c>
      <c r="J1217" s="5">
        <v>562</v>
      </c>
      <c r="K1217" s="5">
        <v>600</v>
      </c>
      <c r="L1217" s="5">
        <v>641</v>
      </c>
      <c r="M1217" s="5">
        <v>678</v>
      </c>
      <c r="N1217" s="5">
        <v>716</v>
      </c>
      <c r="O1217" s="5">
        <v>755</v>
      </c>
      <c r="P1217" s="5">
        <v>794</v>
      </c>
      <c r="Q1217" s="1160">
        <v>33</v>
      </c>
      <c r="R1217"/>
      <c r="S1217" s="1684"/>
      <c r="T1217" s="1684"/>
      <c r="U1217" s="1684"/>
      <c r="V1217" s="1684"/>
      <c r="W1217" s="1684"/>
      <c r="X1217" s="1684"/>
      <c r="Y1217" s="1684"/>
      <c r="Z1217" s="1684"/>
      <c r="AA1217" s="1684"/>
      <c r="AB1217" s="1684"/>
      <c r="AC1217" s="1684"/>
      <c r="AD1217" s="1684"/>
      <c r="AE1217" s="1684"/>
      <c r="AF1217" s="1684"/>
      <c r="AG1217" s="1684"/>
      <c r="AH1217" s="1684"/>
      <c r="AI1217" s="1684"/>
      <c r="AJ1217" s="1684"/>
      <c r="AK1217" s="1684"/>
      <c r="AL1217" s="1684"/>
      <c r="AM1217" s="1684"/>
      <c r="AN1217" s="1684"/>
      <c r="AO1217" s="1684"/>
      <c r="AP1217" s="1684"/>
      <c r="AQ1217" s="1684"/>
      <c r="AR1217" s="1684"/>
      <c r="AS1217" s="1684"/>
      <c r="AT1217" s="1684"/>
      <c r="AU1217" s="1684"/>
      <c r="AV1217" s="1684"/>
      <c r="AW1217" s="1684"/>
      <c r="AX1217" s="1684"/>
      <c r="AY1217" s="1684"/>
      <c r="AZ1217" s="1684"/>
      <c r="BA1217" s="1684"/>
      <c r="BB1217" s="1684"/>
      <c r="BC1217" s="1684"/>
      <c r="BD1217" s="1684"/>
      <c r="BE1217" s="1684"/>
      <c r="BF1217" s="1684"/>
      <c r="BG1217" s="1684"/>
      <c r="BH1217" s="1684"/>
      <c r="BI1217" s="1684"/>
      <c r="BJ1217" s="1684"/>
      <c r="BK1217" s="1684"/>
      <c r="BL1217" s="1684"/>
      <c r="BM1217" s="1684"/>
      <c r="BN1217" s="1684"/>
      <c r="BO1217" s="1684"/>
      <c r="BP1217" s="1684"/>
      <c r="BQ1217" s="1684"/>
      <c r="BR1217" s="1684"/>
      <c r="BS1217" s="1684"/>
      <c r="BT1217" s="1684"/>
      <c r="BU1217" s="1684"/>
      <c r="BV1217" s="1684"/>
      <c r="BW1217" s="1684"/>
      <c r="BX1217" s="1684"/>
      <c r="BY1217" s="1684"/>
      <c r="BZ1217" s="1684"/>
      <c r="CA1217" s="1684"/>
      <c r="CB1217" s="1684"/>
      <c r="CC1217" s="1684"/>
      <c r="CD1217" s="1684"/>
      <c r="CE1217" s="1684"/>
      <c r="CF1217" s="1684"/>
      <c r="CG1217" s="1684"/>
      <c r="CH1217" s="1684"/>
      <c r="CI1217" s="1684"/>
      <c r="CJ1217" s="1684"/>
      <c r="CK1217" s="1684"/>
      <c r="CL1217" s="1684"/>
      <c r="CM1217" s="1684"/>
      <c r="CN1217" s="1684"/>
      <c r="CO1217" s="1684"/>
    </row>
    <row r="1218" spans="1:93" s="1391" customFormat="1" ht="15" x14ac:dyDescent="0.2">
      <c r="A1218" s="1684"/>
      <c r="B1218" s="1684"/>
      <c r="C1218" s="4680" t="s">
        <v>3693</v>
      </c>
      <c r="D1218" s="4681"/>
      <c r="E1218" s="4681"/>
      <c r="F1218" s="4681"/>
      <c r="G1218" s="4681"/>
      <c r="H1218" s="4681"/>
      <c r="I1218" s="4681"/>
      <c r="J1218" s="4681"/>
      <c r="K1218" s="4681"/>
      <c r="L1218" s="4681"/>
      <c r="M1218" s="4681"/>
      <c r="N1218" s="4681"/>
      <c r="O1218" s="4681"/>
      <c r="P1218" s="4681"/>
      <c r="Q1218" s="4682"/>
      <c r="R1218"/>
      <c r="S1218" s="1684"/>
      <c r="T1218" s="1684"/>
      <c r="U1218" s="1684"/>
      <c r="V1218" s="1684"/>
      <c r="W1218" s="1684"/>
      <c r="X1218" s="1684"/>
      <c r="Y1218" s="1684"/>
      <c r="Z1218" s="1684"/>
      <c r="AA1218" s="1684"/>
      <c r="AB1218" s="1684"/>
      <c r="AC1218" s="1684"/>
      <c r="AD1218" s="1684"/>
      <c r="AE1218" s="1684"/>
      <c r="AF1218" s="1684"/>
      <c r="AG1218" s="1684"/>
      <c r="AH1218" s="1684"/>
      <c r="AI1218" s="1684"/>
      <c r="AJ1218" s="1684"/>
      <c r="AK1218" s="1684"/>
      <c r="AL1218" s="1684"/>
      <c r="AM1218" s="1684"/>
      <c r="AN1218" s="1684"/>
      <c r="AO1218" s="1684"/>
      <c r="AP1218" s="1684"/>
      <c r="AQ1218" s="1684"/>
      <c r="AR1218" s="1684"/>
      <c r="AS1218" s="1684"/>
      <c r="AT1218" s="1684"/>
      <c r="AU1218" s="1684"/>
      <c r="AV1218" s="1684"/>
      <c r="AW1218" s="1684"/>
      <c r="AX1218" s="1684"/>
      <c r="AY1218" s="1684"/>
      <c r="AZ1218" s="1684"/>
      <c r="BA1218" s="1684"/>
      <c r="BB1218" s="1684"/>
      <c r="BC1218" s="1684"/>
      <c r="BD1218" s="1684"/>
      <c r="BE1218" s="1684"/>
      <c r="BF1218" s="1684"/>
      <c r="BG1218" s="1684"/>
      <c r="BH1218" s="1684"/>
      <c r="BI1218" s="1684"/>
      <c r="BJ1218" s="1684"/>
      <c r="BK1218" s="1684"/>
      <c r="BL1218" s="1684"/>
      <c r="BM1218" s="1684"/>
      <c r="BN1218" s="1684"/>
      <c r="BO1218" s="1684"/>
      <c r="BP1218" s="1684"/>
      <c r="BQ1218" s="1684"/>
      <c r="BR1218" s="1684"/>
      <c r="BS1218" s="1684"/>
      <c r="BT1218" s="1684"/>
      <c r="BU1218" s="1684"/>
      <c r="BV1218" s="1684"/>
      <c r="BW1218" s="1684"/>
      <c r="BX1218" s="1684"/>
      <c r="BY1218" s="1684"/>
      <c r="BZ1218" s="1684"/>
      <c r="CA1218" s="1684"/>
      <c r="CB1218" s="1684"/>
      <c r="CC1218" s="1684"/>
      <c r="CD1218" s="1684"/>
      <c r="CE1218" s="1684"/>
      <c r="CF1218" s="1684"/>
      <c r="CG1218" s="1684"/>
      <c r="CH1218" s="1684"/>
      <c r="CI1218" s="1684"/>
      <c r="CJ1218" s="1684"/>
      <c r="CK1218" s="1684"/>
      <c r="CL1218" s="1684"/>
      <c r="CM1218" s="1684"/>
      <c r="CN1218" s="1684"/>
      <c r="CO1218" s="1684"/>
    </row>
    <row r="1219" spans="1:93" s="1391" customFormat="1" ht="15" x14ac:dyDescent="0.2">
      <c r="A1219" s="1684"/>
      <c r="B1219" s="1684"/>
      <c r="C1219" s="4680"/>
      <c r="D1219" s="4681"/>
      <c r="E1219" s="4681"/>
      <c r="F1219" s="4681"/>
      <c r="G1219" s="4681"/>
      <c r="H1219" s="4681"/>
      <c r="I1219" s="4681"/>
      <c r="J1219" s="4681"/>
      <c r="K1219" s="4681"/>
      <c r="L1219" s="4681"/>
      <c r="M1219" s="4681"/>
      <c r="N1219" s="4681"/>
      <c r="O1219" s="4681"/>
      <c r="P1219" s="4681"/>
      <c r="Q1219" s="4682"/>
      <c r="R1219"/>
      <c r="S1219" s="1684"/>
      <c r="T1219" s="1684"/>
      <c r="U1219" s="1684"/>
      <c r="V1219" s="1684"/>
      <c r="W1219" s="1684"/>
      <c r="X1219" s="1684"/>
      <c r="Y1219" s="1684"/>
      <c r="Z1219" s="1684"/>
      <c r="AA1219" s="1684"/>
      <c r="AB1219" s="1684"/>
      <c r="AC1219" s="1684"/>
      <c r="AD1219" s="1684"/>
      <c r="AE1219" s="1684"/>
      <c r="AF1219" s="1684"/>
      <c r="AG1219" s="1684"/>
      <c r="AH1219" s="1684"/>
      <c r="AI1219" s="1684"/>
      <c r="AJ1219" s="1684"/>
      <c r="AK1219" s="1684"/>
      <c r="AL1219" s="1684"/>
      <c r="AM1219" s="1684"/>
      <c r="AN1219" s="1684"/>
      <c r="AO1219" s="1684"/>
      <c r="AP1219" s="1684"/>
      <c r="AQ1219" s="1684"/>
      <c r="AR1219" s="1684"/>
      <c r="AS1219" s="1684"/>
      <c r="AT1219" s="1684"/>
      <c r="AU1219" s="1684"/>
      <c r="AV1219" s="1684"/>
      <c r="AW1219" s="1684"/>
      <c r="AX1219" s="1684"/>
      <c r="AY1219" s="1684"/>
      <c r="AZ1219" s="1684"/>
      <c r="BA1219" s="1684"/>
      <c r="BB1219" s="1684"/>
      <c r="BC1219" s="1684"/>
      <c r="BD1219" s="1684"/>
      <c r="BE1219" s="1684"/>
      <c r="BF1219" s="1684"/>
      <c r="BG1219" s="1684"/>
      <c r="BH1219" s="1684"/>
      <c r="BI1219" s="1684"/>
      <c r="BJ1219" s="1684"/>
      <c r="BK1219" s="1684"/>
      <c r="BL1219" s="1684"/>
      <c r="BM1219" s="1684"/>
      <c r="BN1219" s="1684"/>
      <c r="BO1219" s="1684"/>
      <c r="BP1219" s="1684"/>
      <c r="BQ1219" s="1684"/>
      <c r="BR1219" s="1684"/>
      <c r="BS1219" s="1684"/>
      <c r="BT1219" s="1684"/>
      <c r="BU1219" s="1684"/>
      <c r="BV1219" s="1684"/>
      <c r="BW1219" s="1684"/>
      <c r="BX1219" s="1684"/>
      <c r="BY1219" s="1684"/>
      <c r="BZ1219" s="1684"/>
      <c r="CA1219" s="1684"/>
      <c r="CB1219" s="1684"/>
      <c r="CC1219" s="1684"/>
      <c r="CD1219" s="1684"/>
      <c r="CE1219" s="1684"/>
      <c r="CF1219" s="1684"/>
      <c r="CG1219" s="1684"/>
      <c r="CH1219" s="1684"/>
      <c r="CI1219" s="1684"/>
      <c r="CJ1219" s="1684"/>
      <c r="CK1219" s="1684"/>
      <c r="CL1219" s="1684"/>
      <c r="CM1219" s="1684"/>
      <c r="CN1219" s="1684"/>
      <c r="CO1219" s="1684"/>
    </row>
    <row r="1220" spans="1:93" s="1391" customFormat="1" ht="15" x14ac:dyDescent="0.2">
      <c r="A1220" s="1684"/>
      <c r="B1220" s="1684"/>
      <c r="C1220" s="2013"/>
      <c r="D1220" s="5"/>
      <c r="E1220" s="5">
        <v>1</v>
      </c>
      <c r="F1220" s="5">
        <v>2</v>
      </c>
      <c r="G1220" s="5">
        <v>3</v>
      </c>
      <c r="H1220" s="5">
        <v>4</v>
      </c>
      <c r="I1220" s="5">
        <v>5</v>
      </c>
      <c r="J1220" s="5">
        <v>6</v>
      </c>
      <c r="K1220" s="5">
        <v>7</v>
      </c>
      <c r="L1220" s="5">
        <v>8</v>
      </c>
      <c r="M1220" s="5">
        <v>9</v>
      </c>
      <c r="N1220" s="5">
        <v>10</v>
      </c>
      <c r="O1220" s="5">
        <v>11</v>
      </c>
      <c r="P1220" s="5">
        <v>12</v>
      </c>
      <c r="Q1220" s="1160"/>
      <c r="R1220"/>
      <c r="S1220" s="1684"/>
      <c r="T1220" s="1684"/>
      <c r="U1220" s="1684"/>
      <c r="V1220" s="1684"/>
      <c r="W1220" s="1684"/>
      <c r="X1220" s="1684"/>
      <c r="Y1220" s="1684"/>
      <c r="Z1220" s="1684"/>
      <c r="AA1220" s="1684"/>
      <c r="AB1220" s="1684"/>
      <c r="AC1220" s="1684"/>
      <c r="AD1220" s="1684"/>
      <c r="AE1220" s="1684"/>
      <c r="AF1220" s="1684"/>
      <c r="AG1220" s="1684"/>
      <c r="AH1220" s="1684"/>
      <c r="AI1220" s="1684"/>
      <c r="AJ1220" s="1684"/>
      <c r="AK1220" s="1684"/>
      <c r="AL1220" s="1684"/>
      <c r="AM1220" s="1684"/>
      <c r="AN1220" s="1684"/>
      <c r="AO1220" s="1684"/>
      <c r="AP1220" s="1684"/>
      <c r="AQ1220" s="1684"/>
      <c r="AR1220" s="1684"/>
      <c r="AS1220" s="1684"/>
      <c r="AT1220" s="1684"/>
      <c r="AU1220" s="1684"/>
      <c r="AV1220" s="1684"/>
      <c r="AW1220" s="1684"/>
      <c r="AX1220" s="1684"/>
      <c r="AY1220" s="1684"/>
      <c r="AZ1220" s="1684"/>
      <c r="BA1220" s="1684"/>
      <c r="BB1220" s="1684"/>
      <c r="BC1220" s="1684"/>
      <c r="BD1220" s="1684"/>
      <c r="BE1220" s="1684"/>
      <c r="BF1220" s="1684"/>
      <c r="BG1220" s="1684"/>
      <c r="BH1220" s="1684"/>
      <c r="BI1220" s="1684"/>
      <c r="BJ1220" s="1684"/>
      <c r="BK1220" s="1684"/>
      <c r="BL1220" s="1684"/>
      <c r="BM1220" s="1684"/>
      <c r="BN1220" s="1684"/>
      <c r="BO1220" s="1684"/>
      <c r="BP1220" s="1684"/>
      <c r="BQ1220" s="1684"/>
      <c r="BR1220" s="1684"/>
      <c r="BS1220" s="1684"/>
      <c r="BT1220" s="1684"/>
      <c r="BU1220" s="1684"/>
      <c r="BV1220" s="1684"/>
      <c r="BW1220" s="1684"/>
      <c r="BX1220" s="1684"/>
      <c r="BY1220" s="1684"/>
      <c r="BZ1220" s="1684"/>
      <c r="CA1220" s="1684"/>
      <c r="CB1220" s="1684"/>
      <c r="CC1220" s="1684"/>
      <c r="CD1220" s="1684"/>
      <c r="CE1220" s="1684"/>
      <c r="CF1220" s="1684"/>
      <c r="CG1220" s="1684"/>
      <c r="CH1220" s="1684"/>
      <c r="CI1220" s="1684"/>
      <c r="CJ1220" s="1684"/>
      <c r="CK1220" s="1684"/>
      <c r="CL1220" s="1684"/>
      <c r="CM1220" s="1684"/>
      <c r="CN1220" s="1684"/>
      <c r="CO1220" s="1684"/>
    </row>
    <row r="1221" spans="1:93" s="1391" customFormat="1" ht="15" x14ac:dyDescent="0.2">
      <c r="A1221" s="1684"/>
      <c r="B1221" s="1684"/>
      <c r="C1221" s="2013">
        <v>8</v>
      </c>
      <c r="D1221" s="5">
        <v>5.7519999999999998</v>
      </c>
      <c r="E1221" s="5">
        <v>158</v>
      </c>
      <c r="F1221" s="5">
        <v>176</v>
      </c>
      <c r="G1221" s="5">
        <v>192</v>
      </c>
      <c r="H1221" s="5">
        <v>209</v>
      </c>
      <c r="I1221" s="5">
        <v>225</v>
      </c>
      <c r="J1221" s="5">
        <v>242</v>
      </c>
      <c r="K1221" s="5">
        <v>259</v>
      </c>
      <c r="L1221" s="5">
        <v>276</v>
      </c>
      <c r="M1221" s="5">
        <v>292</v>
      </c>
      <c r="N1221" s="5">
        <v>309</v>
      </c>
      <c r="O1221" s="5">
        <v>325</v>
      </c>
      <c r="P1221" s="5">
        <v>342</v>
      </c>
      <c r="Q1221" s="1160">
        <v>34</v>
      </c>
      <c r="R1221"/>
      <c r="S1221" s="1684"/>
      <c r="T1221" s="1684"/>
      <c r="U1221" s="1684"/>
      <c r="V1221" s="1684"/>
      <c r="W1221" s="1684"/>
      <c r="X1221" s="1684"/>
      <c r="Y1221" s="1684"/>
      <c r="Z1221" s="1684"/>
      <c r="AA1221" s="1684"/>
      <c r="AB1221" s="1684"/>
      <c r="AC1221" s="1684"/>
      <c r="AD1221" s="1684"/>
      <c r="AE1221" s="1684"/>
      <c r="AF1221" s="1684"/>
      <c r="AG1221" s="1684"/>
      <c r="AH1221" s="1684"/>
      <c r="AI1221" s="1684"/>
      <c r="AJ1221" s="1684"/>
      <c r="AK1221" s="1684"/>
      <c r="AL1221" s="1684"/>
      <c r="AM1221" s="1684"/>
      <c r="AN1221" s="1684"/>
      <c r="AO1221" s="1684"/>
      <c r="AP1221" s="1684"/>
      <c r="AQ1221" s="1684"/>
      <c r="AR1221" s="1684"/>
      <c r="AS1221" s="1684"/>
      <c r="AT1221" s="1684"/>
      <c r="AU1221" s="1684"/>
      <c r="AV1221" s="1684"/>
      <c r="AW1221" s="1684"/>
      <c r="AX1221" s="1684"/>
      <c r="AY1221" s="1684"/>
      <c r="AZ1221" s="1684"/>
      <c r="BA1221" s="1684"/>
      <c r="BB1221" s="1684"/>
      <c r="BC1221" s="1684"/>
      <c r="BD1221" s="1684"/>
      <c r="BE1221" s="1684"/>
      <c r="BF1221" s="1684"/>
      <c r="BG1221" s="1684"/>
      <c r="BH1221" s="1684"/>
      <c r="BI1221" s="1684"/>
      <c r="BJ1221" s="1684"/>
      <c r="BK1221" s="1684"/>
      <c r="BL1221" s="1684"/>
      <c r="BM1221" s="1684"/>
      <c r="BN1221" s="1684"/>
      <c r="BO1221" s="1684"/>
      <c r="BP1221" s="1684"/>
      <c r="BQ1221" s="1684"/>
      <c r="BR1221" s="1684"/>
      <c r="BS1221" s="1684"/>
      <c r="BT1221" s="1684"/>
      <c r="BU1221" s="1684"/>
      <c r="BV1221" s="1684"/>
      <c r="BW1221" s="1684"/>
      <c r="BX1221" s="1684"/>
      <c r="BY1221" s="1684"/>
      <c r="BZ1221" s="1684"/>
      <c r="CA1221" s="1684"/>
      <c r="CB1221" s="1684"/>
      <c r="CC1221" s="1684"/>
      <c r="CD1221" s="1684"/>
      <c r="CE1221" s="1684"/>
      <c r="CF1221" s="1684"/>
      <c r="CG1221" s="1684"/>
      <c r="CH1221" s="1684"/>
      <c r="CI1221" s="1684"/>
      <c r="CJ1221" s="1684"/>
      <c r="CK1221" s="1684"/>
      <c r="CL1221" s="1684"/>
      <c r="CM1221" s="1684"/>
      <c r="CN1221" s="1684"/>
      <c r="CO1221" s="1684"/>
    </row>
    <row r="1222" spans="1:93" s="1391" customFormat="1" ht="15" x14ac:dyDescent="0.2">
      <c r="A1222" s="1684"/>
      <c r="B1222" s="1684"/>
      <c r="C1222" s="2013">
        <v>9</v>
      </c>
      <c r="D1222" s="5">
        <v>6.149</v>
      </c>
      <c r="E1222" s="5">
        <v>176</v>
      </c>
      <c r="F1222" s="5">
        <v>195</v>
      </c>
      <c r="G1222" s="5">
        <v>213</v>
      </c>
      <c r="H1222" s="5">
        <v>232</v>
      </c>
      <c r="I1222" s="5">
        <v>250</v>
      </c>
      <c r="J1222" s="5">
        <v>269</v>
      </c>
      <c r="K1222" s="5">
        <v>287</v>
      </c>
      <c r="L1222" s="5">
        <v>307</v>
      </c>
      <c r="M1222" s="5">
        <v>324</v>
      </c>
      <c r="N1222" s="5">
        <v>343</v>
      </c>
      <c r="O1222" s="5">
        <v>361</v>
      </c>
      <c r="P1222" s="5">
        <v>380</v>
      </c>
      <c r="Q1222" s="1160">
        <v>35</v>
      </c>
      <c r="R1222"/>
      <c r="S1222" s="1684"/>
      <c r="T1222" s="1684"/>
      <c r="U1222" s="1684"/>
      <c r="V1222" s="1684"/>
      <c r="W1222" s="1684"/>
      <c r="X1222" s="1684"/>
      <c r="Y1222" s="1684"/>
      <c r="Z1222" s="1684"/>
      <c r="AA1222" s="1684"/>
      <c r="AB1222" s="1684"/>
      <c r="AC1222" s="1684"/>
      <c r="AD1222" s="1684"/>
      <c r="AE1222" s="1684"/>
      <c r="AF1222" s="1684"/>
      <c r="AG1222" s="1684"/>
      <c r="AH1222" s="1684"/>
      <c r="AI1222" s="1684"/>
      <c r="AJ1222" s="1684"/>
      <c r="AK1222" s="1684"/>
      <c r="AL1222" s="1684"/>
      <c r="AM1222" s="1684"/>
      <c r="AN1222" s="1684"/>
      <c r="AO1222" s="1684"/>
      <c r="AP1222" s="1684"/>
      <c r="AQ1222" s="1684"/>
      <c r="AR1222" s="1684"/>
      <c r="AS1222" s="1684"/>
      <c r="AT1222" s="1684"/>
      <c r="AU1222" s="1684"/>
      <c r="AV1222" s="1684"/>
      <c r="AW1222" s="1684"/>
      <c r="AX1222" s="1684"/>
      <c r="AY1222" s="1684"/>
      <c r="AZ1222" s="1684"/>
      <c r="BA1222" s="1684"/>
      <c r="BB1222" s="1684"/>
      <c r="BC1222" s="1684"/>
      <c r="BD1222" s="1684"/>
      <c r="BE1222" s="1684"/>
      <c r="BF1222" s="1684"/>
      <c r="BG1222" s="1684"/>
      <c r="BH1222" s="1684"/>
      <c r="BI1222" s="1684"/>
      <c r="BJ1222" s="1684"/>
      <c r="BK1222" s="1684"/>
      <c r="BL1222" s="1684"/>
      <c r="BM1222" s="1684"/>
      <c r="BN1222" s="1684"/>
      <c r="BO1222" s="1684"/>
      <c r="BP1222" s="1684"/>
      <c r="BQ1222" s="1684"/>
      <c r="BR1222" s="1684"/>
      <c r="BS1222" s="1684"/>
      <c r="BT1222" s="1684"/>
      <c r="BU1222" s="1684"/>
      <c r="BV1222" s="1684"/>
      <c r="BW1222" s="1684"/>
      <c r="BX1222" s="1684"/>
      <c r="BY1222" s="1684"/>
      <c r="BZ1222" s="1684"/>
      <c r="CA1222" s="1684"/>
      <c r="CB1222" s="1684"/>
      <c r="CC1222" s="1684"/>
      <c r="CD1222" s="1684"/>
      <c r="CE1222" s="1684"/>
      <c r="CF1222" s="1684"/>
      <c r="CG1222" s="1684"/>
      <c r="CH1222" s="1684"/>
      <c r="CI1222" s="1684"/>
      <c r="CJ1222" s="1684"/>
      <c r="CK1222" s="1684"/>
      <c r="CL1222" s="1684"/>
      <c r="CM1222" s="1684"/>
      <c r="CN1222" s="1684"/>
      <c r="CO1222" s="1684"/>
    </row>
    <row r="1223" spans="1:93" s="1391" customFormat="1" ht="15" x14ac:dyDescent="0.2">
      <c r="A1223" s="1684"/>
      <c r="B1223" s="1684"/>
      <c r="C1223" s="2013">
        <v>10</v>
      </c>
      <c r="D1223" s="5">
        <v>6.5720000000000001</v>
      </c>
      <c r="E1223" s="5">
        <v>194</v>
      </c>
      <c r="F1223" s="5">
        <v>215</v>
      </c>
      <c r="G1223" s="5">
        <v>236</v>
      </c>
      <c r="H1223" s="5">
        <v>256</v>
      </c>
      <c r="I1223" s="5">
        <v>277</v>
      </c>
      <c r="J1223" s="5">
        <v>297</v>
      </c>
      <c r="K1223" s="5">
        <v>318</v>
      </c>
      <c r="L1223" s="5">
        <v>339</v>
      </c>
      <c r="M1223" s="5">
        <v>358</v>
      </c>
      <c r="N1223" s="5">
        <v>379</v>
      </c>
      <c r="O1223" s="5">
        <v>399</v>
      </c>
      <c r="P1223" s="5">
        <v>420</v>
      </c>
      <c r="Q1223" s="1160">
        <v>36</v>
      </c>
      <c r="R1223"/>
      <c r="S1223" s="1684"/>
      <c r="T1223" s="1684"/>
      <c r="U1223" s="1684"/>
      <c r="V1223" s="1684"/>
      <c r="W1223" s="1684"/>
      <c r="X1223" s="1684"/>
      <c r="Y1223" s="1684"/>
      <c r="Z1223" s="1684"/>
      <c r="AA1223" s="1684"/>
      <c r="AB1223" s="1684"/>
      <c r="AC1223" s="1684"/>
      <c r="AD1223" s="1684"/>
      <c r="AE1223" s="1684"/>
      <c r="AF1223" s="1684"/>
      <c r="AG1223" s="1684"/>
      <c r="AH1223" s="1684"/>
      <c r="AI1223" s="1684"/>
      <c r="AJ1223" s="1684"/>
      <c r="AK1223" s="1684"/>
      <c r="AL1223" s="1684"/>
      <c r="AM1223" s="1684"/>
      <c r="AN1223" s="1684"/>
      <c r="AO1223" s="1684"/>
      <c r="AP1223" s="1684"/>
      <c r="AQ1223" s="1684"/>
      <c r="AR1223" s="1684"/>
      <c r="AS1223" s="1684"/>
      <c r="AT1223" s="1684"/>
      <c r="AU1223" s="1684"/>
      <c r="AV1223" s="1684"/>
      <c r="AW1223" s="1684"/>
      <c r="AX1223" s="1684"/>
      <c r="AY1223" s="1684"/>
      <c r="AZ1223" s="1684"/>
      <c r="BA1223" s="1684"/>
      <c r="BB1223" s="1684"/>
      <c r="BC1223" s="1684"/>
      <c r="BD1223" s="1684"/>
      <c r="BE1223" s="1684"/>
      <c r="BF1223" s="1684"/>
      <c r="BG1223" s="1684"/>
      <c r="BH1223" s="1684"/>
      <c r="BI1223" s="1684"/>
      <c r="BJ1223" s="1684"/>
      <c r="BK1223" s="1684"/>
      <c r="BL1223" s="1684"/>
      <c r="BM1223" s="1684"/>
      <c r="BN1223" s="1684"/>
      <c r="BO1223" s="1684"/>
      <c r="BP1223" s="1684"/>
      <c r="BQ1223" s="1684"/>
      <c r="BR1223" s="1684"/>
      <c r="BS1223" s="1684"/>
      <c r="BT1223" s="1684"/>
      <c r="BU1223" s="1684"/>
      <c r="BV1223" s="1684"/>
      <c r="BW1223" s="1684"/>
      <c r="BX1223" s="1684"/>
      <c r="BY1223" s="1684"/>
      <c r="BZ1223" s="1684"/>
      <c r="CA1223" s="1684"/>
      <c r="CB1223" s="1684"/>
      <c r="CC1223" s="1684"/>
      <c r="CD1223" s="1684"/>
      <c r="CE1223" s="1684"/>
      <c r="CF1223" s="1684"/>
      <c r="CG1223" s="1684"/>
      <c r="CH1223" s="1684"/>
      <c r="CI1223" s="1684"/>
      <c r="CJ1223" s="1684"/>
      <c r="CK1223" s="1684"/>
      <c r="CL1223" s="1684"/>
      <c r="CM1223" s="1684"/>
      <c r="CN1223" s="1684"/>
      <c r="CO1223" s="1684"/>
    </row>
    <row r="1224" spans="1:93" s="1391" customFormat="1" ht="15" x14ac:dyDescent="0.2">
      <c r="A1224" s="1684"/>
      <c r="B1224" s="1684"/>
      <c r="C1224" s="2013">
        <v>11</v>
      </c>
      <c r="D1224" s="5">
        <v>7.0540000000000003</v>
      </c>
      <c r="E1224" s="5">
        <v>215</v>
      </c>
      <c r="F1224" s="5">
        <v>239</v>
      </c>
      <c r="G1224" s="5">
        <v>261</v>
      </c>
      <c r="H1224" s="5">
        <v>284</v>
      </c>
      <c r="I1224" s="5">
        <v>307</v>
      </c>
      <c r="J1224" s="5">
        <v>329</v>
      </c>
      <c r="K1224" s="5">
        <v>352</v>
      </c>
      <c r="L1224" s="5">
        <v>376</v>
      </c>
      <c r="M1224" s="5">
        <v>397</v>
      </c>
      <c r="N1224" s="5">
        <v>420</v>
      </c>
      <c r="O1224" s="5">
        <v>442</v>
      </c>
      <c r="P1224" s="5">
        <v>465</v>
      </c>
      <c r="Q1224" s="1160">
        <v>37</v>
      </c>
      <c r="R1224"/>
      <c r="S1224" s="1684"/>
      <c r="T1224" s="1684"/>
      <c r="U1224" s="1684"/>
      <c r="V1224" s="1684"/>
      <c r="W1224" s="1684"/>
      <c r="X1224" s="1684"/>
      <c r="Y1224" s="1684"/>
      <c r="Z1224" s="1684"/>
      <c r="AA1224" s="1684"/>
      <c r="AB1224" s="1684"/>
      <c r="AC1224" s="1684"/>
      <c r="AD1224" s="1684"/>
      <c r="AE1224" s="1684"/>
      <c r="AF1224" s="1684"/>
      <c r="AG1224" s="1684"/>
      <c r="AH1224" s="1684"/>
      <c r="AI1224" s="1684"/>
      <c r="AJ1224" s="1684"/>
      <c r="AK1224" s="1684"/>
      <c r="AL1224" s="1684"/>
      <c r="AM1224" s="1684"/>
      <c r="AN1224" s="1684"/>
      <c r="AO1224" s="1684"/>
      <c r="AP1224" s="1684"/>
      <c r="AQ1224" s="1684"/>
      <c r="AR1224" s="1684"/>
      <c r="AS1224" s="1684"/>
      <c r="AT1224" s="1684"/>
      <c r="AU1224" s="1684"/>
      <c r="AV1224" s="1684"/>
      <c r="AW1224" s="1684"/>
      <c r="AX1224" s="1684"/>
      <c r="AY1224" s="1684"/>
      <c r="AZ1224" s="1684"/>
      <c r="BA1224" s="1684"/>
      <c r="BB1224" s="1684"/>
      <c r="BC1224" s="1684"/>
      <c r="BD1224" s="1684"/>
      <c r="BE1224" s="1684"/>
      <c r="BF1224" s="1684"/>
      <c r="BG1224" s="1684"/>
      <c r="BH1224" s="1684"/>
      <c r="BI1224" s="1684"/>
      <c r="BJ1224" s="1684"/>
      <c r="BK1224" s="1684"/>
      <c r="BL1224" s="1684"/>
      <c r="BM1224" s="1684"/>
      <c r="BN1224" s="1684"/>
      <c r="BO1224" s="1684"/>
      <c r="BP1224" s="1684"/>
      <c r="BQ1224" s="1684"/>
      <c r="BR1224" s="1684"/>
      <c r="BS1224" s="1684"/>
      <c r="BT1224" s="1684"/>
      <c r="BU1224" s="1684"/>
      <c r="BV1224" s="1684"/>
      <c r="BW1224" s="1684"/>
      <c r="BX1224" s="1684"/>
      <c r="BY1224" s="1684"/>
      <c r="BZ1224" s="1684"/>
      <c r="CA1224" s="1684"/>
      <c r="CB1224" s="1684"/>
      <c r="CC1224" s="1684"/>
      <c r="CD1224" s="1684"/>
      <c r="CE1224" s="1684"/>
      <c r="CF1224" s="1684"/>
      <c r="CG1224" s="1684"/>
      <c r="CH1224" s="1684"/>
      <c r="CI1224" s="1684"/>
      <c r="CJ1224" s="1684"/>
      <c r="CK1224" s="1684"/>
      <c r="CL1224" s="1684"/>
      <c r="CM1224" s="1684"/>
      <c r="CN1224" s="1684"/>
      <c r="CO1224" s="1684"/>
    </row>
    <row r="1225" spans="1:93" s="1391" customFormat="1" ht="15" x14ac:dyDescent="0.2">
      <c r="A1225" s="1684"/>
      <c r="B1225" s="1684"/>
      <c r="C1225" s="2013">
        <v>12</v>
      </c>
      <c r="D1225" s="5">
        <v>7.5650000000000004</v>
      </c>
      <c r="E1225" s="5">
        <v>237</v>
      </c>
      <c r="F1225" s="5">
        <v>263</v>
      </c>
      <c r="G1225" s="5">
        <v>288</v>
      </c>
      <c r="H1225" s="5">
        <v>313</v>
      </c>
      <c r="I1225" s="5">
        <v>338</v>
      </c>
      <c r="J1225" s="5">
        <v>363</v>
      </c>
      <c r="K1225" s="5">
        <v>388</v>
      </c>
      <c r="L1225" s="5">
        <v>414</v>
      </c>
      <c r="M1225" s="5">
        <v>438</v>
      </c>
      <c r="N1225" s="5">
        <v>463</v>
      </c>
      <c r="O1225" s="5">
        <v>488</v>
      </c>
      <c r="P1225" s="5">
        <v>513</v>
      </c>
      <c r="Q1225" s="1160">
        <v>38</v>
      </c>
      <c r="R1225"/>
      <c r="S1225" s="1684"/>
      <c r="T1225" s="1684"/>
      <c r="U1225" s="1684"/>
      <c r="V1225" s="1684"/>
      <c r="W1225" s="1684"/>
      <c r="X1225" s="1684"/>
      <c r="Y1225" s="1684"/>
      <c r="Z1225" s="1684"/>
      <c r="AA1225" s="1684"/>
      <c r="AB1225" s="1684"/>
      <c r="AC1225" s="1684"/>
      <c r="AD1225" s="1684"/>
      <c r="AE1225" s="1684"/>
      <c r="AF1225" s="1684"/>
      <c r="AG1225" s="1684"/>
      <c r="AH1225" s="1684"/>
      <c r="AI1225" s="1684"/>
      <c r="AJ1225" s="1684"/>
      <c r="AK1225" s="1684"/>
      <c r="AL1225" s="1684"/>
      <c r="AM1225" s="1684"/>
      <c r="AN1225" s="1684"/>
      <c r="AO1225" s="1684"/>
      <c r="AP1225" s="1684"/>
      <c r="AQ1225" s="1684"/>
      <c r="AR1225" s="1684"/>
      <c r="AS1225" s="1684"/>
      <c r="AT1225" s="1684"/>
      <c r="AU1225" s="1684"/>
      <c r="AV1225" s="1684"/>
      <c r="AW1225" s="1684"/>
      <c r="AX1225" s="1684"/>
      <c r="AY1225" s="1684"/>
      <c r="AZ1225" s="1684"/>
      <c r="BA1225" s="1684"/>
      <c r="BB1225" s="1684"/>
      <c r="BC1225" s="1684"/>
      <c r="BD1225" s="1684"/>
      <c r="BE1225" s="1684"/>
      <c r="BF1225" s="1684"/>
      <c r="BG1225" s="1684"/>
      <c r="BH1225" s="1684"/>
      <c r="BI1225" s="1684"/>
      <c r="BJ1225" s="1684"/>
      <c r="BK1225" s="1684"/>
      <c r="BL1225" s="1684"/>
      <c r="BM1225" s="1684"/>
      <c r="BN1225" s="1684"/>
      <c r="BO1225" s="1684"/>
      <c r="BP1225" s="1684"/>
      <c r="BQ1225" s="1684"/>
      <c r="BR1225" s="1684"/>
      <c r="BS1225" s="1684"/>
      <c r="BT1225" s="1684"/>
      <c r="BU1225" s="1684"/>
      <c r="BV1225" s="1684"/>
      <c r="BW1225" s="1684"/>
      <c r="BX1225" s="1684"/>
      <c r="BY1225" s="1684"/>
      <c r="BZ1225" s="1684"/>
      <c r="CA1225" s="1684"/>
      <c r="CB1225" s="1684"/>
      <c r="CC1225" s="1684"/>
      <c r="CD1225" s="1684"/>
      <c r="CE1225" s="1684"/>
      <c r="CF1225" s="1684"/>
      <c r="CG1225" s="1684"/>
      <c r="CH1225" s="1684"/>
      <c r="CI1225" s="1684"/>
      <c r="CJ1225" s="1684"/>
      <c r="CK1225" s="1684"/>
      <c r="CL1225" s="1684"/>
      <c r="CM1225" s="1684"/>
      <c r="CN1225" s="1684"/>
      <c r="CO1225" s="1684"/>
    </row>
    <row r="1226" spans="1:93" s="1391" customFormat="1" ht="15" x14ac:dyDescent="0.2">
      <c r="A1226" s="1684"/>
      <c r="B1226" s="1684"/>
      <c r="C1226" s="2013">
        <v>13</v>
      </c>
      <c r="D1226" s="5">
        <v>8.0969999999999995</v>
      </c>
      <c r="E1226" s="5">
        <v>260</v>
      </c>
      <c r="F1226" s="5">
        <v>289</v>
      </c>
      <c r="G1226" s="5">
        <v>316</v>
      </c>
      <c r="H1226" s="5">
        <v>343</v>
      </c>
      <c r="I1226" s="5">
        <v>371</v>
      </c>
      <c r="J1226" s="5">
        <v>398</v>
      </c>
      <c r="K1226" s="5">
        <v>425</v>
      </c>
      <c r="L1226" s="5">
        <v>454</v>
      </c>
      <c r="M1226" s="5">
        <v>480</v>
      </c>
      <c r="N1226" s="5">
        <v>508</v>
      </c>
      <c r="O1226" s="5">
        <v>535</v>
      </c>
      <c r="P1226" s="5">
        <v>562</v>
      </c>
      <c r="Q1226" s="1160">
        <v>39</v>
      </c>
      <c r="R1226"/>
      <c r="S1226" s="1684"/>
      <c r="T1226" s="1684"/>
      <c r="U1226" s="1684"/>
      <c r="V1226" s="1684"/>
      <c r="W1226" s="1684"/>
      <c r="X1226" s="1684"/>
      <c r="Y1226" s="1684"/>
      <c r="Z1226" s="1684"/>
      <c r="AA1226" s="1684"/>
      <c r="AB1226" s="1684"/>
      <c r="AC1226" s="1684"/>
      <c r="AD1226" s="1684"/>
      <c r="AE1226" s="1684"/>
      <c r="AF1226" s="1684"/>
      <c r="AG1226" s="1684"/>
      <c r="AH1226" s="1684"/>
      <c r="AI1226" s="1684"/>
      <c r="AJ1226" s="1684"/>
      <c r="AK1226" s="1684"/>
      <c r="AL1226" s="1684"/>
      <c r="AM1226" s="1684"/>
      <c r="AN1226" s="1684"/>
      <c r="AO1226" s="1684"/>
      <c r="AP1226" s="1684"/>
      <c r="AQ1226" s="1684"/>
      <c r="AR1226" s="1684"/>
      <c r="AS1226" s="1684"/>
      <c r="AT1226" s="1684"/>
      <c r="AU1226" s="1684"/>
      <c r="AV1226" s="1684"/>
      <c r="AW1226" s="1684"/>
      <c r="AX1226" s="1684"/>
      <c r="AY1226" s="1684"/>
      <c r="AZ1226" s="1684"/>
      <c r="BA1226" s="1684"/>
      <c r="BB1226" s="1684"/>
      <c r="BC1226" s="1684"/>
      <c r="BD1226" s="1684"/>
      <c r="BE1226" s="1684"/>
      <c r="BF1226" s="1684"/>
      <c r="BG1226" s="1684"/>
      <c r="BH1226" s="1684"/>
      <c r="BI1226" s="1684"/>
      <c r="BJ1226" s="1684"/>
      <c r="BK1226" s="1684"/>
      <c r="BL1226" s="1684"/>
      <c r="BM1226" s="1684"/>
      <c r="BN1226" s="1684"/>
      <c r="BO1226" s="1684"/>
      <c r="BP1226" s="1684"/>
      <c r="BQ1226" s="1684"/>
      <c r="BR1226" s="1684"/>
      <c r="BS1226" s="1684"/>
      <c r="BT1226" s="1684"/>
      <c r="BU1226" s="1684"/>
      <c r="BV1226" s="1684"/>
      <c r="BW1226" s="1684"/>
      <c r="BX1226" s="1684"/>
      <c r="BY1226" s="1684"/>
      <c r="BZ1226" s="1684"/>
      <c r="CA1226" s="1684"/>
      <c r="CB1226" s="1684"/>
      <c r="CC1226" s="1684"/>
      <c r="CD1226" s="1684"/>
      <c r="CE1226" s="1684"/>
      <c r="CF1226" s="1684"/>
      <c r="CG1226" s="1684"/>
      <c r="CH1226" s="1684"/>
      <c r="CI1226" s="1684"/>
      <c r="CJ1226" s="1684"/>
      <c r="CK1226" s="1684"/>
      <c r="CL1226" s="1684"/>
      <c r="CM1226" s="1684"/>
      <c r="CN1226" s="1684"/>
      <c r="CO1226" s="1684"/>
    </row>
    <row r="1227" spans="1:93" s="1391" customFormat="1" ht="15" x14ac:dyDescent="0.2">
      <c r="A1227" s="1684"/>
      <c r="B1227" s="1684"/>
      <c r="C1227" s="2013">
        <v>14</v>
      </c>
      <c r="D1227" s="5">
        <v>8.6660000000000004</v>
      </c>
      <c r="E1227" s="5">
        <v>284</v>
      </c>
      <c r="F1227" s="5">
        <v>316</v>
      </c>
      <c r="G1227" s="5">
        <v>346</v>
      </c>
      <c r="H1227" s="5">
        <v>375</v>
      </c>
      <c r="I1227" s="5">
        <v>405</v>
      </c>
      <c r="J1227" s="5">
        <v>435</v>
      </c>
      <c r="K1227" s="5">
        <v>465</v>
      </c>
      <c r="L1227" s="5">
        <v>497</v>
      </c>
      <c r="M1227" s="5">
        <v>525</v>
      </c>
      <c r="N1227" s="5">
        <v>555</v>
      </c>
      <c r="O1227" s="5">
        <v>585</v>
      </c>
      <c r="P1227" s="5">
        <v>615</v>
      </c>
      <c r="Q1227" s="1160">
        <v>40</v>
      </c>
      <c r="R1227"/>
      <c r="S1227" s="1684"/>
      <c r="T1227" s="1684"/>
      <c r="U1227" s="1684"/>
      <c r="V1227" s="1684"/>
      <c r="W1227" s="1684"/>
      <c r="X1227" s="1684"/>
      <c r="Y1227" s="1684"/>
      <c r="Z1227" s="1684"/>
      <c r="AA1227" s="1684"/>
      <c r="AB1227" s="1684"/>
      <c r="AC1227" s="1684"/>
      <c r="AD1227" s="1684"/>
      <c r="AE1227" s="1684"/>
      <c r="AF1227" s="1684"/>
      <c r="AG1227" s="1684"/>
      <c r="AH1227" s="1684"/>
      <c r="AI1227" s="1684"/>
      <c r="AJ1227" s="1684"/>
      <c r="AK1227" s="1684"/>
      <c r="AL1227" s="1684"/>
      <c r="AM1227" s="1684"/>
      <c r="AN1227" s="1684"/>
      <c r="AO1227" s="1684"/>
      <c r="AP1227" s="1684"/>
      <c r="AQ1227" s="1684"/>
      <c r="AR1227" s="1684"/>
      <c r="AS1227" s="1684"/>
      <c r="AT1227" s="1684"/>
      <c r="AU1227" s="1684"/>
      <c r="AV1227" s="1684"/>
      <c r="AW1227" s="1684"/>
      <c r="AX1227" s="1684"/>
      <c r="AY1227" s="1684"/>
      <c r="AZ1227" s="1684"/>
      <c r="BA1227" s="1684"/>
      <c r="BB1227" s="1684"/>
      <c r="BC1227" s="1684"/>
      <c r="BD1227" s="1684"/>
      <c r="BE1227" s="1684"/>
      <c r="BF1227" s="1684"/>
      <c r="BG1227" s="1684"/>
      <c r="BH1227" s="1684"/>
      <c r="BI1227" s="1684"/>
      <c r="BJ1227" s="1684"/>
      <c r="BK1227" s="1684"/>
      <c r="BL1227" s="1684"/>
      <c r="BM1227" s="1684"/>
      <c r="BN1227" s="1684"/>
      <c r="BO1227" s="1684"/>
      <c r="BP1227" s="1684"/>
      <c r="BQ1227" s="1684"/>
      <c r="BR1227" s="1684"/>
      <c r="BS1227" s="1684"/>
      <c r="BT1227" s="1684"/>
      <c r="BU1227" s="1684"/>
      <c r="BV1227" s="1684"/>
      <c r="BW1227" s="1684"/>
      <c r="BX1227" s="1684"/>
      <c r="BY1227" s="1684"/>
      <c r="BZ1227" s="1684"/>
      <c r="CA1227" s="1684"/>
      <c r="CB1227" s="1684"/>
      <c r="CC1227" s="1684"/>
      <c r="CD1227" s="1684"/>
      <c r="CE1227" s="1684"/>
      <c r="CF1227" s="1684"/>
      <c r="CG1227" s="1684"/>
      <c r="CH1227" s="1684"/>
      <c r="CI1227" s="1684"/>
      <c r="CJ1227" s="1684"/>
      <c r="CK1227" s="1684"/>
      <c r="CL1227" s="1684"/>
      <c r="CM1227" s="1684"/>
      <c r="CN1227" s="1684"/>
      <c r="CO1227" s="1684"/>
    </row>
    <row r="1228" spans="1:93" s="1391" customFormat="1" ht="15" x14ac:dyDescent="0.2">
      <c r="A1228" s="1684"/>
      <c r="B1228" s="1684"/>
      <c r="C1228" s="2013">
        <v>15</v>
      </c>
      <c r="D1228" s="5">
        <v>9.2629999999999999</v>
      </c>
      <c r="E1228" s="5">
        <v>310</v>
      </c>
      <c r="F1228" s="5">
        <v>344</v>
      </c>
      <c r="G1228" s="5">
        <v>376</v>
      </c>
      <c r="H1228" s="5">
        <v>409</v>
      </c>
      <c r="I1228" s="5">
        <v>442</v>
      </c>
      <c r="J1228" s="5">
        <v>474</v>
      </c>
      <c r="K1228" s="5">
        <v>507</v>
      </c>
      <c r="L1228" s="5">
        <v>541</v>
      </c>
      <c r="M1228" s="5">
        <v>572</v>
      </c>
      <c r="N1228" s="5">
        <v>604</v>
      </c>
      <c r="O1228" s="5">
        <v>637</v>
      </c>
      <c r="P1228" s="5">
        <v>670</v>
      </c>
      <c r="Q1228" s="1160">
        <v>41</v>
      </c>
      <c r="R1228"/>
      <c r="S1228" s="1684"/>
      <c r="T1228" s="1684"/>
      <c r="U1228" s="1684"/>
      <c r="V1228" s="1684"/>
      <c r="W1228" s="1684"/>
      <c r="X1228" s="1684"/>
      <c r="Y1228" s="1684"/>
      <c r="Z1228" s="1684"/>
      <c r="AA1228" s="1684"/>
      <c r="AB1228" s="1684"/>
      <c r="AC1228" s="1684"/>
      <c r="AD1228" s="1684"/>
      <c r="AE1228" s="1684"/>
      <c r="AF1228" s="1684"/>
      <c r="AG1228" s="1684"/>
      <c r="AH1228" s="1684"/>
      <c r="AI1228" s="1684"/>
      <c r="AJ1228" s="1684"/>
      <c r="AK1228" s="1684"/>
      <c r="AL1228" s="1684"/>
      <c r="AM1228" s="1684"/>
      <c r="AN1228" s="1684"/>
      <c r="AO1228" s="1684"/>
      <c r="AP1228" s="1684"/>
      <c r="AQ1228" s="1684"/>
      <c r="AR1228" s="1684"/>
      <c r="AS1228" s="1684"/>
      <c r="AT1228" s="1684"/>
      <c r="AU1228" s="1684"/>
      <c r="AV1228" s="1684"/>
      <c r="AW1228" s="1684"/>
      <c r="AX1228" s="1684"/>
      <c r="AY1228" s="1684"/>
      <c r="AZ1228" s="1684"/>
      <c r="BA1228" s="1684"/>
      <c r="BB1228" s="1684"/>
      <c r="BC1228" s="1684"/>
      <c r="BD1228" s="1684"/>
      <c r="BE1228" s="1684"/>
      <c r="BF1228" s="1684"/>
      <c r="BG1228" s="1684"/>
      <c r="BH1228" s="1684"/>
      <c r="BI1228" s="1684"/>
      <c r="BJ1228" s="1684"/>
      <c r="BK1228" s="1684"/>
      <c r="BL1228" s="1684"/>
      <c r="BM1228" s="1684"/>
      <c r="BN1228" s="1684"/>
      <c r="BO1228" s="1684"/>
      <c r="BP1228" s="1684"/>
      <c r="BQ1228" s="1684"/>
      <c r="BR1228" s="1684"/>
      <c r="BS1228" s="1684"/>
      <c r="BT1228" s="1684"/>
      <c r="BU1228" s="1684"/>
      <c r="BV1228" s="1684"/>
      <c r="BW1228" s="1684"/>
      <c r="BX1228" s="1684"/>
      <c r="BY1228" s="1684"/>
      <c r="BZ1228" s="1684"/>
      <c r="CA1228" s="1684"/>
      <c r="CB1228" s="1684"/>
      <c r="CC1228" s="1684"/>
      <c r="CD1228" s="1684"/>
      <c r="CE1228" s="1684"/>
      <c r="CF1228" s="1684"/>
      <c r="CG1228" s="1684"/>
      <c r="CH1228" s="1684"/>
      <c r="CI1228" s="1684"/>
      <c r="CJ1228" s="1684"/>
      <c r="CK1228" s="1684"/>
      <c r="CL1228" s="1684"/>
      <c r="CM1228" s="1684"/>
      <c r="CN1228" s="1684"/>
      <c r="CO1228" s="1684"/>
    </row>
    <row r="1229" spans="1:93" s="1391" customFormat="1" ht="15" x14ac:dyDescent="0.2">
      <c r="A1229" s="1684"/>
      <c r="B1229" s="1684"/>
      <c r="C1229" s="2013">
        <v>16</v>
      </c>
      <c r="D1229" s="5">
        <v>10.026999999999999</v>
      </c>
      <c r="E1229" s="5">
        <v>335</v>
      </c>
      <c r="F1229" s="5">
        <v>372</v>
      </c>
      <c r="G1229" s="5">
        <v>407</v>
      </c>
      <c r="H1229" s="5">
        <v>442</v>
      </c>
      <c r="I1229" s="5">
        <v>477</v>
      </c>
      <c r="J1229" s="5">
        <v>513</v>
      </c>
      <c r="K1229" s="5">
        <v>548</v>
      </c>
      <c r="L1229" s="5">
        <v>585</v>
      </c>
      <c r="M1229" s="5">
        <v>618</v>
      </c>
      <c r="N1229" s="5">
        <v>653</v>
      </c>
      <c r="O1229" s="5">
        <v>689</v>
      </c>
      <c r="P1229" s="5">
        <v>724</v>
      </c>
      <c r="Q1229" s="1160">
        <v>42</v>
      </c>
      <c r="R1229"/>
      <c r="S1229" s="1684"/>
      <c r="T1229" s="1684"/>
      <c r="U1229" s="1684"/>
      <c r="V1229" s="1684"/>
      <c r="W1229" s="1684"/>
      <c r="X1229" s="1684"/>
      <c r="Y1229" s="1684"/>
      <c r="Z1229" s="1684"/>
      <c r="AA1229" s="1684"/>
      <c r="AB1229" s="1684"/>
      <c r="AC1229" s="1684"/>
      <c r="AD1229" s="1684"/>
      <c r="AE1229" s="1684"/>
      <c r="AF1229" s="1684"/>
      <c r="AG1229" s="1684"/>
      <c r="AH1229" s="1684"/>
      <c r="AI1229" s="1684"/>
      <c r="AJ1229" s="1684"/>
      <c r="AK1229" s="1684"/>
      <c r="AL1229" s="1684"/>
      <c r="AM1229" s="1684"/>
      <c r="AN1229" s="1684"/>
      <c r="AO1229" s="1684"/>
      <c r="AP1229" s="1684"/>
      <c r="AQ1229" s="1684"/>
      <c r="AR1229" s="1684"/>
      <c r="AS1229" s="1684"/>
      <c r="AT1229" s="1684"/>
      <c r="AU1229" s="1684"/>
      <c r="AV1229" s="1684"/>
      <c r="AW1229" s="1684"/>
      <c r="AX1229" s="1684"/>
      <c r="AY1229" s="1684"/>
      <c r="AZ1229" s="1684"/>
      <c r="BA1229" s="1684"/>
      <c r="BB1229" s="1684"/>
      <c r="BC1229" s="1684"/>
      <c r="BD1229" s="1684"/>
      <c r="BE1229" s="1684"/>
      <c r="BF1229" s="1684"/>
      <c r="BG1229" s="1684"/>
      <c r="BH1229" s="1684"/>
      <c r="BI1229" s="1684"/>
      <c r="BJ1229" s="1684"/>
      <c r="BK1229" s="1684"/>
      <c r="BL1229" s="1684"/>
      <c r="BM1229" s="1684"/>
      <c r="BN1229" s="1684"/>
      <c r="BO1229" s="1684"/>
      <c r="BP1229" s="1684"/>
      <c r="BQ1229" s="1684"/>
      <c r="BR1229" s="1684"/>
      <c r="BS1229" s="1684"/>
      <c r="BT1229" s="1684"/>
      <c r="BU1229" s="1684"/>
      <c r="BV1229" s="1684"/>
      <c r="BW1229" s="1684"/>
      <c r="BX1229" s="1684"/>
      <c r="BY1229" s="1684"/>
      <c r="BZ1229" s="1684"/>
      <c r="CA1229" s="1684"/>
      <c r="CB1229" s="1684"/>
      <c r="CC1229" s="1684"/>
      <c r="CD1229" s="1684"/>
      <c r="CE1229" s="1684"/>
      <c r="CF1229" s="1684"/>
      <c r="CG1229" s="1684"/>
      <c r="CH1229" s="1684"/>
      <c r="CI1229" s="1684"/>
      <c r="CJ1229" s="1684"/>
      <c r="CK1229" s="1684"/>
      <c r="CL1229" s="1684"/>
      <c r="CM1229" s="1684"/>
      <c r="CN1229" s="1684"/>
      <c r="CO1229" s="1684"/>
    </row>
    <row r="1230" spans="1:93" s="1391" customFormat="1" ht="15" x14ac:dyDescent="0.2">
      <c r="A1230" s="1684"/>
      <c r="B1230" s="1684"/>
      <c r="C1230" s="2013">
        <v>17</v>
      </c>
      <c r="D1230" s="5">
        <v>10.84</v>
      </c>
      <c r="E1230" s="5">
        <v>358</v>
      </c>
      <c r="F1230" s="5">
        <v>398</v>
      </c>
      <c r="G1230" s="5">
        <v>436</v>
      </c>
      <c r="H1230" s="5">
        <v>473</v>
      </c>
      <c r="I1230" s="5">
        <v>511</v>
      </c>
      <c r="J1230" s="5">
        <v>549</v>
      </c>
      <c r="K1230" s="5">
        <v>586</v>
      </c>
      <c r="L1230" s="5">
        <v>626</v>
      </c>
      <c r="M1230" s="5">
        <v>662</v>
      </c>
      <c r="N1230" s="5">
        <v>699</v>
      </c>
      <c r="O1230" s="5">
        <v>737</v>
      </c>
      <c r="P1230" s="5">
        <v>775</v>
      </c>
      <c r="Q1230" s="1160">
        <v>43</v>
      </c>
      <c r="R1230"/>
      <c r="S1230" s="1684"/>
      <c r="T1230" s="1684"/>
      <c r="U1230" s="1684"/>
      <c r="V1230" s="1684"/>
      <c r="W1230" s="1684"/>
      <c r="X1230" s="1684"/>
      <c r="Y1230" s="1684"/>
      <c r="Z1230" s="1684"/>
      <c r="AA1230" s="1684"/>
      <c r="AB1230" s="1684"/>
      <c r="AC1230" s="1684"/>
      <c r="AD1230" s="1684"/>
      <c r="AE1230" s="1684"/>
      <c r="AF1230" s="1684"/>
      <c r="AG1230" s="1684"/>
      <c r="AH1230" s="1684"/>
      <c r="AI1230" s="1684"/>
      <c r="AJ1230" s="1684"/>
      <c r="AK1230" s="1684"/>
      <c r="AL1230" s="1684"/>
      <c r="AM1230" s="1684"/>
      <c r="AN1230" s="1684"/>
      <c r="AO1230" s="1684"/>
      <c r="AP1230" s="1684"/>
      <c r="AQ1230" s="1684"/>
      <c r="AR1230" s="1684"/>
      <c r="AS1230" s="1684"/>
      <c r="AT1230" s="1684"/>
      <c r="AU1230" s="1684"/>
      <c r="AV1230" s="1684"/>
      <c r="AW1230" s="1684"/>
      <c r="AX1230" s="1684"/>
      <c r="AY1230" s="1684"/>
      <c r="AZ1230" s="1684"/>
      <c r="BA1230" s="1684"/>
      <c r="BB1230" s="1684"/>
      <c r="BC1230" s="1684"/>
      <c r="BD1230" s="1684"/>
      <c r="BE1230" s="1684"/>
      <c r="BF1230" s="1684"/>
      <c r="BG1230" s="1684"/>
      <c r="BH1230" s="1684"/>
      <c r="BI1230" s="1684"/>
      <c r="BJ1230" s="1684"/>
      <c r="BK1230" s="1684"/>
      <c r="BL1230" s="1684"/>
      <c r="BM1230" s="1684"/>
      <c r="BN1230" s="1684"/>
      <c r="BO1230" s="1684"/>
      <c r="BP1230" s="1684"/>
      <c r="BQ1230" s="1684"/>
      <c r="BR1230" s="1684"/>
      <c r="BS1230" s="1684"/>
      <c r="BT1230" s="1684"/>
      <c r="BU1230" s="1684"/>
      <c r="BV1230" s="1684"/>
      <c r="BW1230" s="1684"/>
      <c r="BX1230" s="1684"/>
      <c r="BY1230" s="1684"/>
      <c r="BZ1230" s="1684"/>
      <c r="CA1230" s="1684"/>
      <c r="CB1230" s="1684"/>
      <c r="CC1230" s="1684"/>
      <c r="CD1230" s="1684"/>
      <c r="CE1230" s="1684"/>
      <c r="CF1230" s="1684"/>
      <c r="CG1230" s="1684"/>
      <c r="CH1230" s="1684"/>
      <c r="CI1230" s="1684"/>
      <c r="CJ1230" s="1684"/>
      <c r="CK1230" s="1684"/>
      <c r="CL1230" s="1684"/>
      <c r="CM1230" s="1684"/>
      <c r="CN1230" s="1684"/>
      <c r="CO1230" s="1684"/>
    </row>
    <row r="1231" spans="1:93" s="1391" customFormat="1" ht="15" x14ac:dyDescent="0.2">
      <c r="A1231" s="1684"/>
      <c r="B1231" s="1684"/>
      <c r="C1231" s="2013">
        <v>18</v>
      </c>
      <c r="D1231" s="5">
        <v>11.378</v>
      </c>
      <c r="E1231" s="5">
        <v>380</v>
      </c>
      <c r="F1231" s="5">
        <v>422</v>
      </c>
      <c r="G1231" s="5">
        <v>462</v>
      </c>
      <c r="H1231" s="5">
        <v>502</v>
      </c>
      <c r="I1231" s="5">
        <v>542</v>
      </c>
      <c r="J1231" s="5">
        <v>582</v>
      </c>
      <c r="K1231" s="5">
        <v>622</v>
      </c>
      <c r="L1231" s="5">
        <v>664</v>
      </c>
      <c r="M1231" s="5">
        <v>702</v>
      </c>
      <c r="N1231" s="5">
        <v>742</v>
      </c>
      <c r="O1231" s="5">
        <v>782</v>
      </c>
      <c r="P1231" s="5">
        <v>822</v>
      </c>
      <c r="Q1231" s="1160">
        <v>44</v>
      </c>
      <c r="R1231"/>
      <c r="S1231" s="1684"/>
      <c r="T1231" s="1684"/>
      <c r="U1231" s="1684"/>
      <c r="V1231" s="1684"/>
      <c r="W1231" s="1684"/>
      <c r="X1231" s="1684"/>
      <c r="Y1231" s="1684"/>
      <c r="Z1231" s="1684"/>
      <c r="AA1231" s="1684"/>
      <c r="AB1231" s="1684"/>
      <c r="AC1231" s="1684"/>
      <c r="AD1231" s="1684"/>
      <c r="AE1231" s="1684"/>
      <c r="AF1231" s="1684"/>
      <c r="AG1231" s="1684"/>
      <c r="AH1231" s="1684"/>
      <c r="AI1231" s="1684"/>
      <c r="AJ1231" s="1684"/>
      <c r="AK1231" s="1684"/>
      <c r="AL1231" s="1684"/>
      <c r="AM1231" s="1684"/>
      <c r="AN1231" s="1684"/>
      <c r="AO1231" s="1684"/>
      <c r="AP1231" s="1684"/>
      <c r="AQ1231" s="1684"/>
      <c r="AR1231" s="1684"/>
      <c r="AS1231" s="1684"/>
      <c r="AT1231" s="1684"/>
      <c r="AU1231" s="1684"/>
      <c r="AV1231" s="1684"/>
      <c r="AW1231" s="1684"/>
      <c r="AX1231" s="1684"/>
      <c r="AY1231" s="1684"/>
      <c r="AZ1231" s="1684"/>
      <c r="BA1231" s="1684"/>
      <c r="BB1231" s="1684"/>
      <c r="BC1231" s="1684"/>
      <c r="BD1231" s="1684"/>
      <c r="BE1231" s="1684"/>
      <c r="BF1231" s="1684"/>
      <c r="BG1231" s="1684"/>
      <c r="BH1231" s="1684"/>
      <c r="BI1231" s="1684"/>
      <c r="BJ1231" s="1684"/>
      <c r="BK1231" s="1684"/>
      <c r="BL1231" s="1684"/>
      <c r="BM1231" s="1684"/>
      <c r="BN1231" s="1684"/>
      <c r="BO1231" s="1684"/>
      <c r="BP1231" s="1684"/>
      <c r="BQ1231" s="1684"/>
      <c r="BR1231" s="1684"/>
      <c r="BS1231" s="1684"/>
      <c r="BT1231" s="1684"/>
      <c r="BU1231" s="1684"/>
      <c r="BV1231" s="1684"/>
      <c r="BW1231" s="1684"/>
      <c r="BX1231" s="1684"/>
      <c r="BY1231" s="1684"/>
      <c r="BZ1231" s="1684"/>
      <c r="CA1231" s="1684"/>
      <c r="CB1231" s="1684"/>
      <c r="CC1231" s="1684"/>
      <c r="CD1231" s="1684"/>
      <c r="CE1231" s="1684"/>
      <c r="CF1231" s="1684"/>
      <c r="CG1231" s="1684"/>
      <c r="CH1231" s="1684"/>
      <c r="CI1231" s="1684"/>
      <c r="CJ1231" s="1684"/>
      <c r="CK1231" s="1684"/>
      <c r="CL1231" s="1684"/>
      <c r="CM1231" s="1684"/>
      <c r="CN1231" s="1684"/>
      <c r="CO1231" s="1684"/>
    </row>
    <row r="1232" spans="1:93" s="1391" customFormat="1" ht="15" x14ac:dyDescent="0.2">
      <c r="A1232" s="1684"/>
      <c r="B1232" s="1684"/>
      <c r="C1232" s="4680" t="s">
        <v>1906</v>
      </c>
      <c r="D1232" s="4681"/>
      <c r="E1232" s="4681"/>
      <c r="F1232" s="4681"/>
      <c r="G1232" s="4681"/>
      <c r="H1232" s="4681"/>
      <c r="I1232" s="4681"/>
      <c r="J1232" s="4681"/>
      <c r="K1232" s="4681"/>
      <c r="L1232" s="4681"/>
      <c r="M1232" s="4681"/>
      <c r="N1232" s="4681"/>
      <c r="O1232" s="4681"/>
      <c r="P1232" s="4681"/>
      <c r="Q1232" s="4682"/>
      <c r="R1232"/>
      <c r="S1232" s="1684"/>
      <c r="T1232" s="1684"/>
      <c r="U1232" s="1684"/>
      <c r="V1232" s="1684"/>
      <c r="W1232" s="1684"/>
      <c r="X1232" s="1684"/>
      <c r="Y1232" s="1684"/>
      <c r="Z1232" s="1684"/>
      <c r="AA1232" s="1684"/>
      <c r="AB1232" s="1684"/>
      <c r="AC1232" s="1684"/>
      <c r="AD1232" s="1684"/>
      <c r="AE1232" s="1684"/>
      <c r="AF1232" s="1684"/>
      <c r="AG1232" s="1684"/>
      <c r="AH1232" s="1684"/>
      <c r="AI1232" s="1684"/>
      <c r="AJ1232" s="1684"/>
      <c r="AK1232" s="1684"/>
      <c r="AL1232" s="1684"/>
      <c r="AM1232" s="1684"/>
      <c r="AN1232" s="1684"/>
      <c r="AO1232" s="1684"/>
      <c r="AP1232" s="1684"/>
      <c r="AQ1232" s="1684"/>
      <c r="AR1232" s="1684"/>
      <c r="AS1232" s="1684"/>
      <c r="AT1232" s="1684"/>
      <c r="AU1232" s="1684"/>
      <c r="AV1232" s="1684"/>
      <c r="AW1232" s="1684"/>
      <c r="AX1232" s="1684"/>
      <c r="AY1232" s="1684"/>
      <c r="AZ1232" s="1684"/>
      <c r="BA1232" s="1684"/>
      <c r="BB1232" s="1684"/>
      <c r="BC1232" s="1684"/>
      <c r="BD1232" s="1684"/>
      <c r="BE1232" s="1684"/>
      <c r="BF1232" s="1684"/>
      <c r="BG1232" s="1684"/>
      <c r="BH1232" s="1684"/>
      <c r="BI1232" s="1684"/>
      <c r="BJ1232" s="1684"/>
      <c r="BK1232" s="1684"/>
      <c r="BL1232" s="1684"/>
      <c r="BM1232" s="1684"/>
      <c r="BN1232" s="1684"/>
      <c r="BO1232" s="1684"/>
      <c r="BP1232" s="1684"/>
      <c r="BQ1232" s="1684"/>
      <c r="BR1232" s="1684"/>
      <c r="BS1232" s="1684"/>
      <c r="BT1232" s="1684"/>
      <c r="BU1232" s="1684"/>
      <c r="BV1232" s="1684"/>
      <c r="BW1232" s="1684"/>
      <c r="BX1232" s="1684"/>
      <c r="BY1232" s="1684"/>
      <c r="BZ1232" s="1684"/>
      <c r="CA1232" s="1684"/>
      <c r="CB1232" s="1684"/>
      <c r="CC1232" s="1684"/>
      <c r="CD1232" s="1684"/>
      <c r="CE1232" s="1684"/>
      <c r="CF1232" s="1684"/>
      <c r="CG1232" s="1684"/>
      <c r="CH1232" s="1684"/>
      <c r="CI1232" s="1684"/>
      <c r="CJ1232" s="1684"/>
      <c r="CK1232" s="1684"/>
      <c r="CL1232" s="1684"/>
      <c r="CM1232" s="1684"/>
      <c r="CN1232" s="1684"/>
      <c r="CO1232" s="1684"/>
    </row>
    <row r="1233" spans="1:93" s="1391" customFormat="1" ht="15" x14ac:dyDescent="0.2">
      <c r="A1233" s="1684"/>
      <c r="B1233" s="1684"/>
      <c r="C1233" s="4680"/>
      <c r="D1233" s="4681"/>
      <c r="E1233" s="4681"/>
      <c r="F1233" s="4681"/>
      <c r="G1233" s="4681"/>
      <c r="H1233" s="4681"/>
      <c r="I1233" s="4681"/>
      <c r="J1233" s="4681"/>
      <c r="K1233" s="4681"/>
      <c r="L1233" s="4681"/>
      <c r="M1233" s="4681"/>
      <c r="N1233" s="4681"/>
      <c r="O1233" s="4681"/>
      <c r="P1233" s="4681"/>
      <c r="Q1233" s="4682"/>
      <c r="R1233"/>
      <c r="S1233" s="1684"/>
      <c r="T1233" s="1684"/>
      <c r="U1233" s="1684"/>
      <c r="V1233" s="1684"/>
      <c r="W1233" s="1684"/>
      <c r="X1233" s="1684"/>
      <c r="Y1233" s="1684"/>
      <c r="Z1233" s="1684"/>
      <c r="AA1233" s="1684"/>
      <c r="AB1233" s="1684"/>
      <c r="AC1233" s="1684"/>
      <c r="AD1233" s="1684"/>
      <c r="AE1233" s="1684"/>
      <c r="AF1233" s="1684"/>
      <c r="AG1233" s="1684"/>
      <c r="AH1233" s="1684"/>
      <c r="AI1233" s="1684"/>
      <c r="AJ1233" s="1684"/>
      <c r="AK1233" s="1684"/>
      <c r="AL1233" s="1684"/>
      <c r="AM1233" s="1684"/>
      <c r="AN1233" s="1684"/>
      <c r="AO1233" s="1684"/>
      <c r="AP1233" s="1684"/>
      <c r="AQ1233" s="1684"/>
      <c r="AR1233" s="1684"/>
      <c r="AS1233" s="1684"/>
      <c r="AT1233" s="1684"/>
      <c r="AU1233" s="1684"/>
      <c r="AV1233" s="1684"/>
      <c r="AW1233" s="1684"/>
      <c r="AX1233" s="1684"/>
      <c r="AY1233" s="1684"/>
      <c r="AZ1233" s="1684"/>
      <c r="BA1233" s="1684"/>
      <c r="BB1233" s="1684"/>
      <c r="BC1233" s="1684"/>
      <c r="BD1233" s="1684"/>
      <c r="BE1233" s="1684"/>
      <c r="BF1233" s="1684"/>
      <c r="BG1233" s="1684"/>
      <c r="BH1233" s="1684"/>
      <c r="BI1233" s="1684"/>
      <c r="BJ1233" s="1684"/>
      <c r="BK1233" s="1684"/>
      <c r="BL1233" s="1684"/>
      <c r="BM1233" s="1684"/>
      <c r="BN1233" s="1684"/>
      <c r="BO1233" s="1684"/>
      <c r="BP1233" s="1684"/>
      <c r="BQ1233" s="1684"/>
      <c r="BR1233" s="1684"/>
      <c r="BS1233" s="1684"/>
      <c r="BT1233" s="1684"/>
      <c r="BU1233" s="1684"/>
      <c r="BV1233" s="1684"/>
      <c r="BW1233" s="1684"/>
      <c r="BX1233" s="1684"/>
      <c r="BY1233" s="1684"/>
      <c r="BZ1233" s="1684"/>
      <c r="CA1233" s="1684"/>
      <c r="CB1233" s="1684"/>
      <c r="CC1233" s="1684"/>
      <c r="CD1233" s="1684"/>
      <c r="CE1233" s="1684"/>
      <c r="CF1233" s="1684"/>
      <c r="CG1233" s="1684"/>
      <c r="CH1233" s="1684"/>
      <c r="CI1233" s="1684"/>
      <c r="CJ1233" s="1684"/>
      <c r="CK1233" s="1684"/>
      <c r="CL1233" s="1684"/>
      <c r="CM1233" s="1684"/>
      <c r="CN1233" s="1684"/>
      <c r="CO1233" s="1684"/>
    </row>
    <row r="1234" spans="1:93" s="1391" customFormat="1" ht="15" x14ac:dyDescent="0.2">
      <c r="A1234" s="1684"/>
      <c r="B1234" s="1684"/>
      <c r="C1234" s="4680" t="s">
        <v>3690</v>
      </c>
      <c r="D1234" s="4681"/>
      <c r="E1234" s="4681"/>
      <c r="F1234" s="4681"/>
      <c r="G1234" s="4681"/>
      <c r="H1234" s="4681"/>
      <c r="I1234" s="4681"/>
      <c r="J1234" s="4681"/>
      <c r="K1234" s="4681"/>
      <c r="L1234" s="4681"/>
      <c r="M1234" s="4681"/>
      <c r="N1234" s="4681"/>
      <c r="O1234" s="4681"/>
      <c r="P1234" s="4681"/>
      <c r="Q1234" s="4682"/>
      <c r="R1234"/>
      <c r="S1234" s="1684"/>
      <c r="T1234" s="1684"/>
      <c r="U1234" s="1684"/>
      <c r="V1234" s="1684"/>
      <c r="W1234" s="1684"/>
      <c r="X1234" s="1684"/>
      <c r="Y1234" s="1684"/>
      <c r="Z1234" s="1684"/>
      <c r="AA1234" s="1684"/>
      <c r="AB1234" s="1684"/>
      <c r="AC1234" s="1684"/>
      <c r="AD1234" s="1684"/>
      <c r="AE1234" s="1684"/>
      <c r="AF1234" s="1684"/>
      <c r="AG1234" s="1684"/>
      <c r="AH1234" s="1684"/>
      <c r="AI1234" s="1684"/>
      <c r="AJ1234" s="1684"/>
      <c r="AK1234" s="1684"/>
      <c r="AL1234" s="1684"/>
      <c r="AM1234" s="1684"/>
      <c r="AN1234" s="1684"/>
      <c r="AO1234" s="1684"/>
      <c r="AP1234" s="1684"/>
      <c r="AQ1234" s="1684"/>
      <c r="AR1234" s="1684"/>
      <c r="AS1234" s="1684"/>
      <c r="AT1234" s="1684"/>
      <c r="AU1234" s="1684"/>
      <c r="AV1234" s="1684"/>
      <c r="AW1234" s="1684"/>
      <c r="AX1234" s="1684"/>
      <c r="AY1234" s="1684"/>
      <c r="AZ1234" s="1684"/>
      <c r="BA1234" s="1684"/>
      <c r="BB1234" s="1684"/>
      <c r="BC1234" s="1684"/>
      <c r="BD1234" s="1684"/>
      <c r="BE1234" s="1684"/>
      <c r="BF1234" s="1684"/>
      <c r="BG1234" s="1684"/>
      <c r="BH1234" s="1684"/>
      <c r="BI1234" s="1684"/>
      <c r="BJ1234" s="1684"/>
      <c r="BK1234" s="1684"/>
      <c r="BL1234" s="1684"/>
      <c r="BM1234" s="1684"/>
      <c r="BN1234" s="1684"/>
      <c r="BO1234" s="1684"/>
      <c r="BP1234" s="1684"/>
      <c r="BQ1234" s="1684"/>
      <c r="BR1234" s="1684"/>
      <c r="BS1234" s="1684"/>
      <c r="BT1234" s="1684"/>
      <c r="BU1234" s="1684"/>
      <c r="BV1234" s="1684"/>
      <c r="BW1234" s="1684"/>
      <c r="BX1234" s="1684"/>
      <c r="BY1234" s="1684"/>
      <c r="BZ1234" s="1684"/>
      <c r="CA1234" s="1684"/>
      <c r="CB1234" s="1684"/>
      <c r="CC1234" s="1684"/>
      <c r="CD1234" s="1684"/>
      <c r="CE1234" s="1684"/>
      <c r="CF1234" s="1684"/>
      <c r="CG1234" s="1684"/>
      <c r="CH1234" s="1684"/>
      <c r="CI1234" s="1684"/>
      <c r="CJ1234" s="1684"/>
      <c r="CK1234" s="1684"/>
      <c r="CL1234" s="1684"/>
      <c r="CM1234" s="1684"/>
      <c r="CN1234" s="1684"/>
      <c r="CO1234" s="1684"/>
    </row>
    <row r="1235" spans="1:93" s="1391" customFormat="1" ht="15" x14ac:dyDescent="0.2">
      <c r="A1235" s="1684"/>
      <c r="B1235" s="1684"/>
      <c r="C1235" s="4680"/>
      <c r="D1235" s="4681"/>
      <c r="E1235" s="4681"/>
      <c r="F1235" s="4681"/>
      <c r="G1235" s="4681"/>
      <c r="H1235" s="4681"/>
      <c r="I1235" s="4681"/>
      <c r="J1235" s="4681"/>
      <c r="K1235" s="4681"/>
      <c r="L1235" s="4681"/>
      <c r="M1235" s="4681"/>
      <c r="N1235" s="4681"/>
      <c r="O1235" s="4681"/>
      <c r="P1235" s="4681"/>
      <c r="Q1235" s="4682"/>
      <c r="R1235"/>
      <c r="S1235" s="1684"/>
      <c r="T1235" s="1684"/>
      <c r="U1235" s="1684"/>
      <c r="V1235" s="1684"/>
      <c r="W1235" s="1684"/>
      <c r="X1235" s="1684"/>
      <c r="Y1235" s="1684"/>
      <c r="Z1235" s="1684"/>
      <c r="AA1235" s="1684"/>
      <c r="AB1235" s="1684"/>
      <c r="AC1235" s="1684"/>
      <c r="AD1235" s="1684"/>
      <c r="AE1235" s="1684"/>
      <c r="AF1235" s="1684"/>
      <c r="AG1235" s="1684"/>
      <c r="AH1235" s="1684"/>
      <c r="AI1235" s="1684"/>
      <c r="AJ1235" s="1684"/>
      <c r="AK1235" s="1684"/>
      <c r="AL1235" s="1684"/>
      <c r="AM1235" s="1684"/>
      <c r="AN1235" s="1684"/>
      <c r="AO1235" s="1684"/>
      <c r="AP1235" s="1684"/>
      <c r="AQ1235" s="1684"/>
      <c r="AR1235" s="1684"/>
      <c r="AS1235" s="1684"/>
      <c r="AT1235" s="1684"/>
      <c r="AU1235" s="1684"/>
      <c r="AV1235" s="1684"/>
      <c r="AW1235" s="1684"/>
      <c r="AX1235" s="1684"/>
      <c r="AY1235" s="1684"/>
      <c r="AZ1235" s="1684"/>
      <c r="BA1235" s="1684"/>
      <c r="BB1235" s="1684"/>
      <c r="BC1235" s="1684"/>
      <c r="BD1235" s="1684"/>
      <c r="BE1235" s="1684"/>
      <c r="BF1235" s="1684"/>
      <c r="BG1235" s="1684"/>
      <c r="BH1235" s="1684"/>
      <c r="BI1235" s="1684"/>
      <c r="BJ1235" s="1684"/>
      <c r="BK1235" s="1684"/>
      <c r="BL1235" s="1684"/>
      <c r="BM1235" s="1684"/>
      <c r="BN1235" s="1684"/>
      <c r="BO1235" s="1684"/>
      <c r="BP1235" s="1684"/>
      <c r="BQ1235" s="1684"/>
      <c r="BR1235" s="1684"/>
      <c r="BS1235" s="1684"/>
      <c r="BT1235" s="1684"/>
      <c r="BU1235" s="1684"/>
      <c r="BV1235" s="1684"/>
      <c r="BW1235" s="1684"/>
      <c r="BX1235" s="1684"/>
      <c r="BY1235" s="1684"/>
      <c r="BZ1235" s="1684"/>
      <c r="CA1235" s="1684"/>
      <c r="CB1235" s="1684"/>
      <c r="CC1235" s="1684"/>
      <c r="CD1235" s="1684"/>
      <c r="CE1235" s="1684"/>
      <c r="CF1235" s="1684"/>
      <c r="CG1235" s="1684"/>
      <c r="CH1235" s="1684"/>
      <c r="CI1235" s="1684"/>
      <c r="CJ1235" s="1684"/>
      <c r="CK1235" s="1684"/>
      <c r="CL1235" s="1684"/>
      <c r="CM1235" s="1684"/>
      <c r="CN1235" s="1684"/>
      <c r="CO1235" s="1684"/>
    </row>
    <row r="1236" spans="1:93" s="1391" customFormat="1" ht="15" x14ac:dyDescent="0.2">
      <c r="A1236" s="1684"/>
      <c r="B1236" s="1684"/>
      <c r="C1236" s="2013"/>
      <c r="D1236" s="5"/>
      <c r="E1236" s="5">
        <v>1</v>
      </c>
      <c r="F1236" s="5">
        <v>2</v>
      </c>
      <c r="G1236" s="5">
        <v>3</v>
      </c>
      <c r="H1236" s="5">
        <v>4</v>
      </c>
      <c r="I1236" s="5">
        <v>5</v>
      </c>
      <c r="J1236" s="5">
        <v>6</v>
      </c>
      <c r="K1236" s="5">
        <v>7</v>
      </c>
      <c r="L1236" s="5">
        <v>8</v>
      </c>
      <c r="M1236" s="5">
        <v>9</v>
      </c>
      <c r="N1236" s="5">
        <v>10</v>
      </c>
      <c r="O1236" s="5">
        <v>11</v>
      </c>
      <c r="P1236" s="5">
        <v>12</v>
      </c>
      <c r="Q1236" s="1160"/>
      <c r="R1236"/>
      <c r="S1236" s="1684"/>
      <c r="T1236" s="1684"/>
      <c r="U1236" s="1684"/>
      <c r="V1236" s="1684"/>
      <c r="W1236" s="1684"/>
      <c r="X1236" s="1684"/>
      <c r="Y1236" s="1684"/>
      <c r="Z1236" s="1684"/>
      <c r="AA1236" s="1684"/>
      <c r="AB1236" s="1684"/>
      <c r="AC1236" s="1684"/>
      <c r="AD1236" s="1684"/>
      <c r="AE1236" s="1684"/>
      <c r="AF1236" s="1684"/>
      <c r="AG1236" s="1684"/>
      <c r="AH1236" s="1684"/>
      <c r="AI1236" s="1684"/>
      <c r="AJ1236" s="1684"/>
      <c r="AK1236" s="1684"/>
      <c r="AL1236" s="1684"/>
      <c r="AM1236" s="1684"/>
      <c r="AN1236" s="1684"/>
      <c r="AO1236" s="1684"/>
      <c r="AP1236" s="1684"/>
      <c r="AQ1236" s="1684"/>
      <c r="AR1236" s="1684"/>
      <c r="AS1236" s="1684"/>
      <c r="AT1236" s="1684"/>
      <c r="AU1236" s="1684"/>
      <c r="AV1236" s="1684"/>
      <c r="AW1236" s="1684"/>
      <c r="AX1236" s="1684"/>
      <c r="AY1236" s="1684"/>
      <c r="AZ1236" s="1684"/>
      <c r="BA1236" s="1684"/>
      <c r="BB1236" s="1684"/>
      <c r="BC1236" s="1684"/>
      <c r="BD1236" s="1684"/>
      <c r="BE1236" s="1684"/>
      <c r="BF1236" s="1684"/>
      <c r="BG1236" s="1684"/>
      <c r="BH1236" s="1684"/>
      <c r="BI1236" s="1684"/>
      <c r="BJ1236" s="1684"/>
      <c r="BK1236" s="1684"/>
      <c r="BL1236" s="1684"/>
      <c r="BM1236" s="1684"/>
      <c r="BN1236" s="1684"/>
      <c r="BO1236" s="1684"/>
      <c r="BP1236" s="1684"/>
      <c r="BQ1236" s="1684"/>
      <c r="BR1236" s="1684"/>
      <c r="BS1236" s="1684"/>
      <c r="BT1236" s="1684"/>
      <c r="BU1236" s="1684"/>
      <c r="BV1236" s="1684"/>
      <c r="BW1236" s="1684"/>
      <c r="BX1236" s="1684"/>
      <c r="BY1236" s="1684"/>
      <c r="BZ1236" s="1684"/>
      <c r="CA1236" s="1684"/>
      <c r="CB1236" s="1684"/>
      <c r="CC1236" s="1684"/>
      <c r="CD1236" s="1684"/>
      <c r="CE1236" s="1684"/>
      <c r="CF1236" s="1684"/>
      <c r="CG1236" s="1684"/>
      <c r="CH1236" s="1684"/>
      <c r="CI1236" s="1684"/>
      <c r="CJ1236" s="1684"/>
      <c r="CK1236" s="1684"/>
      <c r="CL1236" s="1684"/>
      <c r="CM1236" s="1684"/>
      <c r="CN1236" s="1684"/>
      <c r="CO1236" s="1684"/>
    </row>
    <row r="1237" spans="1:93" s="1391" customFormat="1" ht="15" x14ac:dyDescent="0.2">
      <c r="A1237" s="1684"/>
      <c r="B1237" s="1684"/>
      <c r="C1237" s="2013">
        <v>8</v>
      </c>
      <c r="D1237" s="5">
        <v>5.16</v>
      </c>
      <c r="E1237" s="5">
        <v>130</v>
      </c>
      <c r="F1237" s="5">
        <v>144</v>
      </c>
      <c r="G1237" s="5">
        <v>157</v>
      </c>
      <c r="H1237" s="5">
        <v>170</v>
      </c>
      <c r="I1237" s="5">
        <v>182</v>
      </c>
      <c r="J1237" s="5">
        <v>195</v>
      </c>
      <c r="K1237" s="5">
        <v>208</v>
      </c>
      <c r="L1237" s="5">
        <v>221</v>
      </c>
      <c r="M1237" s="5">
        <v>233</v>
      </c>
      <c r="N1237" s="5">
        <v>245</v>
      </c>
      <c r="O1237" s="5">
        <v>257</v>
      </c>
      <c r="P1237" s="5">
        <v>269</v>
      </c>
      <c r="Q1237" s="1160">
        <v>45</v>
      </c>
      <c r="R1237"/>
      <c r="S1237" s="1684"/>
      <c r="T1237" s="1684"/>
      <c r="U1237" s="1684"/>
      <c r="V1237" s="1684"/>
      <c r="W1237" s="1684"/>
      <c r="X1237" s="1684"/>
      <c r="Y1237" s="1684"/>
      <c r="Z1237" s="1684"/>
      <c r="AA1237" s="1684"/>
      <c r="AB1237" s="1684"/>
      <c r="AC1237" s="1684"/>
      <c r="AD1237" s="1684"/>
      <c r="AE1237" s="1684"/>
      <c r="AF1237" s="1684"/>
      <c r="AG1237" s="1684"/>
      <c r="AH1237" s="1684"/>
      <c r="AI1237" s="1684"/>
      <c r="AJ1237" s="1684"/>
      <c r="AK1237" s="1684"/>
      <c r="AL1237" s="1684"/>
      <c r="AM1237" s="1684"/>
      <c r="AN1237" s="1684"/>
      <c r="AO1237" s="1684"/>
      <c r="AP1237" s="1684"/>
      <c r="AQ1237" s="1684"/>
      <c r="AR1237" s="1684"/>
      <c r="AS1237" s="1684"/>
      <c r="AT1237" s="1684"/>
      <c r="AU1237" s="1684"/>
      <c r="AV1237" s="1684"/>
      <c r="AW1237" s="1684"/>
      <c r="AX1237" s="1684"/>
      <c r="AY1237" s="1684"/>
      <c r="AZ1237" s="1684"/>
      <c r="BA1237" s="1684"/>
      <c r="BB1237" s="1684"/>
      <c r="BC1237" s="1684"/>
      <c r="BD1237" s="1684"/>
      <c r="BE1237" s="1684"/>
      <c r="BF1237" s="1684"/>
      <c r="BG1237" s="1684"/>
      <c r="BH1237" s="1684"/>
      <c r="BI1237" s="1684"/>
      <c r="BJ1237" s="1684"/>
      <c r="BK1237" s="1684"/>
      <c r="BL1237" s="1684"/>
      <c r="BM1237" s="1684"/>
      <c r="BN1237" s="1684"/>
      <c r="BO1237" s="1684"/>
      <c r="BP1237" s="1684"/>
      <c r="BQ1237" s="1684"/>
      <c r="BR1237" s="1684"/>
      <c r="BS1237" s="1684"/>
      <c r="BT1237" s="1684"/>
      <c r="BU1237" s="1684"/>
      <c r="BV1237" s="1684"/>
      <c r="BW1237" s="1684"/>
      <c r="BX1237" s="1684"/>
      <c r="BY1237" s="1684"/>
      <c r="BZ1237" s="1684"/>
      <c r="CA1237" s="1684"/>
      <c r="CB1237" s="1684"/>
      <c r="CC1237" s="1684"/>
      <c r="CD1237" s="1684"/>
      <c r="CE1237" s="1684"/>
      <c r="CF1237" s="1684"/>
      <c r="CG1237" s="1684"/>
      <c r="CH1237" s="1684"/>
      <c r="CI1237" s="1684"/>
      <c r="CJ1237" s="1684"/>
      <c r="CK1237" s="1684"/>
      <c r="CL1237" s="1684"/>
      <c r="CM1237" s="1684"/>
      <c r="CN1237" s="1684"/>
      <c r="CO1237" s="1684"/>
    </row>
    <row r="1238" spans="1:93" s="1391" customFormat="1" ht="15" x14ac:dyDescent="0.2">
      <c r="A1238" s="1684"/>
      <c r="B1238" s="1684"/>
      <c r="C1238" s="2013">
        <v>9</v>
      </c>
      <c r="D1238" s="5">
        <v>5.4880000000000004</v>
      </c>
      <c r="E1238" s="5">
        <v>143</v>
      </c>
      <c r="F1238" s="5">
        <v>159</v>
      </c>
      <c r="G1238" s="5">
        <v>173</v>
      </c>
      <c r="H1238" s="5">
        <v>187</v>
      </c>
      <c r="I1238" s="5">
        <v>201</v>
      </c>
      <c r="J1238" s="5">
        <v>215</v>
      </c>
      <c r="K1238" s="5">
        <v>229</v>
      </c>
      <c r="L1238" s="5">
        <v>243</v>
      </c>
      <c r="M1238" s="5">
        <v>256</v>
      </c>
      <c r="N1238" s="5">
        <v>269</v>
      </c>
      <c r="O1238" s="5">
        <v>282</v>
      </c>
      <c r="P1238" s="5">
        <v>296</v>
      </c>
      <c r="Q1238" s="1160">
        <v>46</v>
      </c>
      <c r="R1238"/>
      <c r="S1238" s="1684"/>
      <c r="T1238" s="1684"/>
      <c r="U1238" s="1684"/>
      <c r="V1238" s="1684"/>
      <c r="W1238" s="1684"/>
      <c r="X1238" s="1684"/>
      <c r="Y1238" s="1684"/>
      <c r="Z1238" s="1684"/>
      <c r="AA1238" s="1684"/>
      <c r="AB1238" s="1684"/>
      <c r="AC1238" s="1684"/>
      <c r="AD1238" s="1684"/>
      <c r="AE1238" s="1684"/>
      <c r="AF1238" s="1684"/>
      <c r="AG1238" s="1684"/>
      <c r="AH1238" s="1684"/>
      <c r="AI1238" s="1684"/>
      <c r="AJ1238" s="1684"/>
      <c r="AK1238" s="1684"/>
      <c r="AL1238" s="1684"/>
      <c r="AM1238" s="1684"/>
      <c r="AN1238" s="1684"/>
      <c r="AO1238" s="1684"/>
      <c r="AP1238" s="1684"/>
      <c r="AQ1238" s="1684"/>
      <c r="AR1238" s="1684"/>
      <c r="AS1238" s="1684"/>
      <c r="AT1238" s="1684"/>
      <c r="AU1238" s="1684"/>
      <c r="AV1238" s="1684"/>
      <c r="AW1238" s="1684"/>
      <c r="AX1238" s="1684"/>
      <c r="AY1238" s="1684"/>
      <c r="AZ1238" s="1684"/>
      <c r="BA1238" s="1684"/>
      <c r="BB1238" s="1684"/>
      <c r="BC1238" s="1684"/>
      <c r="BD1238" s="1684"/>
      <c r="BE1238" s="1684"/>
      <c r="BF1238" s="1684"/>
      <c r="BG1238" s="1684"/>
      <c r="BH1238" s="1684"/>
      <c r="BI1238" s="1684"/>
      <c r="BJ1238" s="1684"/>
      <c r="BK1238" s="1684"/>
      <c r="BL1238" s="1684"/>
      <c r="BM1238" s="1684"/>
      <c r="BN1238" s="1684"/>
      <c r="BO1238" s="1684"/>
      <c r="BP1238" s="1684"/>
      <c r="BQ1238" s="1684"/>
      <c r="BR1238" s="1684"/>
      <c r="BS1238" s="1684"/>
      <c r="BT1238" s="1684"/>
      <c r="BU1238" s="1684"/>
      <c r="BV1238" s="1684"/>
      <c r="BW1238" s="1684"/>
      <c r="BX1238" s="1684"/>
      <c r="BY1238" s="1684"/>
      <c r="BZ1238" s="1684"/>
      <c r="CA1238" s="1684"/>
      <c r="CB1238" s="1684"/>
      <c r="CC1238" s="1684"/>
      <c r="CD1238" s="1684"/>
      <c r="CE1238" s="1684"/>
      <c r="CF1238" s="1684"/>
      <c r="CG1238" s="1684"/>
      <c r="CH1238" s="1684"/>
      <c r="CI1238" s="1684"/>
      <c r="CJ1238" s="1684"/>
      <c r="CK1238" s="1684"/>
      <c r="CL1238" s="1684"/>
      <c r="CM1238" s="1684"/>
      <c r="CN1238" s="1684"/>
      <c r="CO1238" s="1684"/>
    </row>
    <row r="1239" spans="1:93" s="1391" customFormat="1" ht="15" x14ac:dyDescent="0.2">
      <c r="A1239" s="1684"/>
      <c r="B1239" s="1684"/>
      <c r="C1239" s="2013">
        <v>10</v>
      </c>
      <c r="D1239" s="5">
        <v>5.8380000000000001</v>
      </c>
      <c r="E1239" s="5">
        <v>157</v>
      </c>
      <c r="F1239" s="5">
        <v>174</v>
      </c>
      <c r="G1239" s="5">
        <v>189</v>
      </c>
      <c r="H1239" s="5">
        <v>205</v>
      </c>
      <c r="I1239" s="5">
        <v>220</v>
      </c>
      <c r="J1239" s="5">
        <v>235</v>
      </c>
      <c r="K1239" s="5">
        <v>250</v>
      </c>
      <c r="L1239" s="5">
        <v>266</v>
      </c>
      <c r="M1239" s="5">
        <v>280</v>
      </c>
      <c r="N1239" s="5">
        <v>294</v>
      </c>
      <c r="O1239" s="5">
        <v>309</v>
      </c>
      <c r="P1239" s="5">
        <v>323</v>
      </c>
      <c r="Q1239" s="1160">
        <v>47</v>
      </c>
      <c r="R1239"/>
      <c r="S1239" s="1684"/>
      <c r="T1239" s="1684"/>
      <c r="U1239" s="1684"/>
      <c r="V1239" s="1684"/>
      <c r="W1239" s="1684"/>
      <c r="X1239" s="1684"/>
      <c r="Y1239" s="1684"/>
      <c r="Z1239" s="1684"/>
      <c r="AA1239" s="1684"/>
      <c r="AB1239" s="1684"/>
      <c r="AC1239" s="1684"/>
      <c r="AD1239" s="1684"/>
      <c r="AE1239" s="1684"/>
      <c r="AF1239" s="1684"/>
      <c r="AG1239" s="1684"/>
      <c r="AH1239" s="1684"/>
      <c r="AI1239" s="1684"/>
      <c r="AJ1239" s="1684"/>
      <c r="AK1239" s="1684"/>
      <c r="AL1239" s="1684"/>
      <c r="AM1239" s="1684"/>
      <c r="AN1239" s="1684"/>
      <c r="AO1239" s="1684"/>
      <c r="AP1239" s="1684"/>
      <c r="AQ1239" s="1684"/>
      <c r="AR1239" s="1684"/>
      <c r="AS1239" s="1684"/>
      <c r="AT1239" s="1684"/>
      <c r="AU1239" s="1684"/>
      <c r="AV1239" s="1684"/>
      <c r="AW1239" s="1684"/>
      <c r="AX1239" s="1684"/>
      <c r="AY1239" s="1684"/>
      <c r="AZ1239" s="1684"/>
      <c r="BA1239" s="1684"/>
      <c r="BB1239" s="1684"/>
      <c r="BC1239" s="1684"/>
      <c r="BD1239" s="1684"/>
      <c r="BE1239" s="1684"/>
      <c r="BF1239" s="1684"/>
      <c r="BG1239" s="1684"/>
      <c r="BH1239" s="1684"/>
      <c r="BI1239" s="1684"/>
      <c r="BJ1239" s="1684"/>
      <c r="BK1239" s="1684"/>
      <c r="BL1239" s="1684"/>
      <c r="BM1239" s="1684"/>
      <c r="BN1239" s="1684"/>
      <c r="BO1239" s="1684"/>
      <c r="BP1239" s="1684"/>
      <c r="BQ1239" s="1684"/>
      <c r="BR1239" s="1684"/>
      <c r="BS1239" s="1684"/>
      <c r="BT1239" s="1684"/>
      <c r="BU1239" s="1684"/>
      <c r="BV1239" s="1684"/>
      <c r="BW1239" s="1684"/>
      <c r="BX1239" s="1684"/>
      <c r="BY1239" s="1684"/>
      <c r="BZ1239" s="1684"/>
      <c r="CA1239" s="1684"/>
      <c r="CB1239" s="1684"/>
      <c r="CC1239" s="1684"/>
      <c r="CD1239" s="1684"/>
      <c r="CE1239" s="1684"/>
      <c r="CF1239" s="1684"/>
      <c r="CG1239" s="1684"/>
      <c r="CH1239" s="1684"/>
      <c r="CI1239" s="1684"/>
      <c r="CJ1239" s="1684"/>
      <c r="CK1239" s="1684"/>
      <c r="CL1239" s="1684"/>
      <c r="CM1239" s="1684"/>
      <c r="CN1239" s="1684"/>
      <c r="CO1239" s="1684"/>
    </row>
    <row r="1240" spans="1:93" s="1391" customFormat="1" ht="15" x14ac:dyDescent="0.2">
      <c r="A1240" s="1684"/>
      <c r="B1240" s="1684"/>
      <c r="C1240" s="2013">
        <v>11</v>
      </c>
      <c r="D1240" s="5">
        <v>6.2350000000000003</v>
      </c>
      <c r="E1240" s="5">
        <v>173</v>
      </c>
      <c r="F1240" s="5">
        <v>191</v>
      </c>
      <c r="G1240" s="5">
        <v>208</v>
      </c>
      <c r="H1240" s="5">
        <v>225</v>
      </c>
      <c r="I1240" s="5">
        <v>242</v>
      </c>
      <c r="J1240" s="5">
        <v>256</v>
      </c>
      <c r="K1240" s="5">
        <v>274</v>
      </c>
      <c r="L1240" s="5">
        <v>291</v>
      </c>
      <c r="M1240" s="5">
        <v>306</v>
      </c>
      <c r="N1240" s="5">
        <v>322</v>
      </c>
      <c r="O1240" s="5">
        <v>338</v>
      </c>
      <c r="P1240" s="5">
        <v>353</v>
      </c>
      <c r="Q1240" s="1160">
        <v>48</v>
      </c>
      <c r="R1240"/>
      <c r="S1240" s="1684"/>
      <c r="T1240" s="1684"/>
      <c r="U1240" s="1684"/>
      <c r="V1240" s="1684"/>
      <c r="W1240" s="1684"/>
      <c r="X1240" s="1684"/>
      <c r="Y1240" s="1684"/>
      <c r="Z1240" s="1684"/>
      <c r="AA1240" s="1684"/>
      <c r="AB1240" s="1684"/>
      <c r="AC1240" s="1684"/>
      <c r="AD1240" s="1684"/>
      <c r="AE1240" s="1684"/>
      <c r="AF1240" s="1684"/>
      <c r="AG1240" s="1684"/>
      <c r="AH1240" s="1684"/>
      <c r="AI1240" s="1684"/>
      <c r="AJ1240" s="1684"/>
      <c r="AK1240" s="1684"/>
      <c r="AL1240" s="1684"/>
      <c r="AM1240" s="1684"/>
      <c r="AN1240" s="1684"/>
      <c r="AO1240" s="1684"/>
      <c r="AP1240" s="1684"/>
      <c r="AQ1240" s="1684"/>
      <c r="AR1240" s="1684"/>
      <c r="AS1240" s="1684"/>
      <c r="AT1240" s="1684"/>
      <c r="AU1240" s="1684"/>
      <c r="AV1240" s="1684"/>
      <c r="AW1240" s="1684"/>
      <c r="AX1240" s="1684"/>
      <c r="AY1240" s="1684"/>
      <c r="AZ1240" s="1684"/>
      <c r="BA1240" s="1684"/>
      <c r="BB1240" s="1684"/>
      <c r="BC1240" s="1684"/>
      <c r="BD1240" s="1684"/>
      <c r="BE1240" s="1684"/>
      <c r="BF1240" s="1684"/>
      <c r="BG1240" s="1684"/>
      <c r="BH1240" s="1684"/>
      <c r="BI1240" s="1684"/>
      <c r="BJ1240" s="1684"/>
      <c r="BK1240" s="1684"/>
      <c r="BL1240" s="1684"/>
      <c r="BM1240" s="1684"/>
      <c r="BN1240" s="1684"/>
      <c r="BO1240" s="1684"/>
      <c r="BP1240" s="1684"/>
      <c r="BQ1240" s="1684"/>
      <c r="BR1240" s="1684"/>
      <c r="BS1240" s="1684"/>
      <c r="BT1240" s="1684"/>
      <c r="BU1240" s="1684"/>
      <c r="BV1240" s="1684"/>
      <c r="BW1240" s="1684"/>
      <c r="BX1240" s="1684"/>
      <c r="BY1240" s="1684"/>
      <c r="BZ1240" s="1684"/>
      <c r="CA1240" s="1684"/>
      <c r="CB1240" s="1684"/>
      <c r="CC1240" s="1684"/>
      <c r="CD1240" s="1684"/>
      <c r="CE1240" s="1684"/>
      <c r="CF1240" s="1684"/>
      <c r="CG1240" s="1684"/>
      <c r="CH1240" s="1684"/>
      <c r="CI1240" s="1684"/>
      <c r="CJ1240" s="1684"/>
      <c r="CK1240" s="1684"/>
      <c r="CL1240" s="1684"/>
      <c r="CM1240" s="1684"/>
      <c r="CN1240" s="1684"/>
      <c r="CO1240" s="1684"/>
    </row>
    <row r="1241" spans="1:93" s="1391" customFormat="1" ht="15" x14ac:dyDescent="0.2">
      <c r="A1241" s="1684"/>
      <c r="B1241" s="1684"/>
      <c r="C1241" s="2013">
        <v>12</v>
      </c>
      <c r="D1241" s="5">
        <v>6.6559999999999997</v>
      </c>
      <c r="E1241" s="5">
        <v>189</v>
      </c>
      <c r="F1241" s="5">
        <v>209</v>
      </c>
      <c r="G1241" s="5">
        <v>227</v>
      </c>
      <c r="H1241" s="5">
        <v>246</v>
      </c>
      <c r="I1241" s="5">
        <v>264</v>
      </c>
      <c r="J1241" s="5">
        <v>281</v>
      </c>
      <c r="K1241" s="5">
        <v>299</v>
      </c>
      <c r="L1241" s="5">
        <v>317</v>
      </c>
      <c r="M1241" s="5">
        <v>334</v>
      </c>
      <c r="N1241" s="5">
        <v>351</v>
      </c>
      <c r="O1241" s="5">
        <v>367</v>
      </c>
      <c r="P1241" s="5">
        <v>384</v>
      </c>
      <c r="Q1241" s="1160">
        <v>49</v>
      </c>
      <c r="R1241"/>
      <c r="S1241" s="1684"/>
      <c r="T1241" s="1684"/>
      <c r="U1241" s="1684"/>
      <c r="V1241" s="1684"/>
      <c r="W1241" s="1684"/>
      <c r="X1241" s="1684"/>
      <c r="Y1241" s="1684"/>
      <c r="Z1241" s="1684"/>
      <c r="AA1241" s="1684"/>
      <c r="AB1241" s="1684"/>
      <c r="AC1241" s="1684"/>
      <c r="AD1241" s="1684"/>
      <c r="AE1241" s="1684"/>
      <c r="AF1241" s="1684"/>
      <c r="AG1241" s="1684"/>
      <c r="AH1241" s="1684"/>
      <c r="AI1241" s="1684"/>
      <c r="AJ1241" s="1684"/>
      <c r="AK1241" s="1684"/>
      <c r="AL1241" s="1684"/>
      <c r="AM1241" s="1684"/>
      <c r="AN1241" s="1684"/>
      <c r="AO1241" s="1684"/>
      <c r="AP1241" s="1684"/>
      <c r="AQ1241" s="1684"/>
      <c r="AR1241" s="1684"/>
      <c r="AS1241" s="1684"/>
      <c r="AT1241" s="1684"/>
      <c r="AU1241" s="1684"/>
      <c r="AV1241" s="1684"/>
      <c r="AW1241" s="1684"/>
      <c r="AX1241" s="1684"/>
      <c r="AY1241" s="1684"/>
      <c r="AZ1241" s="1684"/>
      <c r="BA1241" s="1684"/>
      <c r="BB1241" s="1684"/>
      <c r="BC1241" s="1684"/>
      <c r="BD1241" s="1684"/>
      <c r="BE1241" s="1684"/>
      <c r="BF1241" s="1684"/>
      <c r="BG1241" s="1684"/>
      <c r="BH1241" s="1684"/>
      <c r="BI1241" s="1684"/>
      <c r="BJ1241" s="1684"/>
      <c r="BK1241" s="1684"/>
      <c r="BL1241" s="1684"/>
      <c r="BM1241" s="1684"/>
      <c r="BN1241" s="1684"/>
      <c r="BO1241" s="1684"/>
      <c r="BP1241" s="1684"/>
      <c r="BQ1241" s="1684"/>
      <c r="BR1241" s="1684"/>
      <c r="BS1241" s="1684"/>
      <c r="BT1241" s="1684"/>
      <c r="BU1241" s="1684"/>
      <c r="BV1241" s="1684"/>
      <c r="BW1241" s="1684"/>
      <c r="BX1241" s="1684"/>
      <c r="BY1241" s="1684"/>
      <c r="BZ1241" s="1684"/>
      <c r="CA1241" s="1684"/>
      <c r="CB1241" s="1684"/>
      <c r="CC1241" s="1684"/>
      <c r="CD1241" s="1684"/>
      <c r="CE1241" s="1684"/>
      <c r="CF1241" s="1684"/>
      <c r="CG1241" s="1684"/>
      <c r="CH1241" s="1684"/>
      <c r="CI1241" s="1684"/>
      <c r="CJ1241" s="1684"/>
      <c r="CK1241" s="1684"/>
      <c r="CL1241" s="1684"/>
      <c r="CM1241" s="1684"/>
      <c r="CN1241" s="1684"/>
      <c r="CO1241" s="1684"/>
    </row>
    <row r="1242" spans="1:93" s="1391" customFormat="1" ht="15" x14ac:dyDescent="0.2">
      <c r="A1242" s="1684"/>
      <c r="B1242" s="1684"/>
      <c r="C1242" s="2013">
        <v>13</v>
      </c>
      <c r="D1242" s="5">
        <v>7.093</v>
      </c>
      <c r="E1242" s="5">
        <v>206</v>
      </c>
      <c r="F1242" s="5">
        <v>227</v>
      </c>
      <c r="G1242" s="5">
        <v>247</v>
      </c>
      <c r="H1242" s="5">
        <v>266</v>
      </c>
      <c r="I1242" s="5">
        <v>286</v>
      </c>
      <c r="J1242" s="5">
        <v>303</v>
      </c>
      <c r="K1242" s="5">
        <v>324</v>
      </c>
      <c r="L1242" s="5">
        <v>344</v>
      </c>
      <c r="M1242" s="5">
        <v>361</v>
      </c>
      <c r="N1242" s="5">
        <v>379</v>
      </c>
      <c r="O1242" s="5">
        <v>397</v>
      </c>
      <c r="P1242" s="5">
        <v>415</v>
      </c>
      <c r="Q1242" s="1160">
        <v>50</v>
      </c>
      <c r="R1242"/>
      <c r="S1242" s="1684"/>
      <c r="T1242" s="1684"/>
      <c r="U1242" s="1684"/>
      <c r="V1242" s="1684"/>
      <c r="W1242" s="1684"/>
      <c r="X1242" s="1684"/>
      <c r="Y1242" s="1684"/>
      <c r="Z1242" s="1684"/>
      <c r="AA1242" s="1684"/>
      <c r="AB1242" s="1684"/>
      <c r="AC1242" s="1684"/>
      <c r="AD1242" s="1684"/>
      <c r="AE1242" s="1684"/>
      <c r="AF1242" s="1684"/>
      <c r="AG1242" s="1684"/>
      <c r="AH1242" s="1684"/>
      <c r="AI1242" s="1684"/>
      <c r="AJ1242" s="1684"/>
      <c r="AK1242" s="1684"/>
      <c r="AL1242" s="1684"/>
      <c r="AM1242" s="1684"/>
      <c r="AN1242" s="1684"/>
      <c r="AO1242" s="1684"/>
      <c r="AP1242" s="1684"/>
      <c r="AQ1242" s="1684"/>
      <c r="AR1242" s="1684"/>
      <c r="AS1242" s="1684"/>
      <c r="AT1242" s="1684"/>
      <c r="AU1242" s="1684"/>
      <c r="AV1242" s="1684"/>
      <c r="AW1242" s="1684"/>
      <c r="AX1242" s="1684"/>
      <c r="AY1242" s="1684"/>
      <c r="AZ1242" s="1684"/>
      <c r="BA1242" s="1684"/>
      <c r="BB1242" s="1684"/>
      <c r="BC1242" s="1684"/>
      <c r="BD1242" s="1684"/>
      <c r="BE1242" s="1684"/>
      <c r="BF1242" s="1684"/>
      <c r="BG1242" s="1684"/>
      <c r="BH1242" s="1684"/>
      <c r="BI1242" s="1684"/>
      <c r="BJ1242" s="1684"/>
      <c r="BK1242" s="1684"/>
      <c r="BL1242" s="1684"/>
      <c r="BM1242" s="1684"/>
      <c r="BN1242" s="1684"/>
      <c r="BO1242" s="1684"/>
      <c r="BP1242" s="1684"/>
      <c r="BQ1242" s="1684"/>
      <c r="BR1242" s="1684"/>
      <c r="BS1242" s="1684"/>
      <c r="BT1242" s="1684"/>
      <c r="BU1242" s="1684"/>
      <c r="BV1242" s="1684"/>
      <c r="BW1242" s="1684"/>
      <c r="BX1242" s="1684"/>
      <c r="BY1242" s="1684"/>
      <c r="BZ1242" s="1684"/>
      <c r="CA1242" s="1684"/>
      <c r="CB1242" s="1684"/>
      <c r="CC1242" s="1684"/>
      <c r="CD1242" s="1684"/>
      <c r="CE1242" s="1684"/>
      <c r="CF1242" s="1684"/>
      <c r="CG1242" s="1684"/>
      <c r="CH1242" s="1684"/>
      <c r="CI1242" s="1684"/>
      <c r="CJ1242" s="1684"/>
      <c r="CK1242" s="1684"/>
      <c r="CL1242" s="1684"/>
      <c r="CM1242" s="1684"/>
      <c r="CN1242" s="1684"/>
      <c r="CO1242" s="1684"/>
    </row>
    <row r="1243" spans="1:93" s="1391" customFormat="1" ht="15" x14ac:dyDescent="0.2">
      <c r="A1243" s="1684"/>
      <c r="B1243" s="1684"/>
      <c r="C1243" s="2013">
        <v>14</v>
      </c>
      <c r="D1243" s="5">
        <v>7.56</v>
      </c>
      <c r="E1243" s="5">
        <v>223</v>
      </c>
      <c r="F1243" s="5">
        <v>246</v>
      </c>
      <c r="G1243" s="5">
        <v>267</v>
      </c>
      <c r="H1243" s="5">
        <v>288</v>
      </c>
      <c r="I1243" s="5">
        <v>309</v>
      </c>
      <c r="J1243" s="5">
        <v>330</v>
      </c>
      <c r="K1243" s="5">
        <v>350</v>
      </c>
      <c r="L1243" s="5">
        <v>371</v>
      </c>
      <c r="M1243" s="5">
        <v>390</v>
      </c>
      <c r="N1243" s="5">
        <v>409</v>
      </c>
      <c r="O1243" s="5">
        <v>429</v>
      </c>
      <c r="P1243" s="5">
        <v>447</v>
      </c>
      <c r="Q1243" s="1160">
        <v>51</v>
      </c>
      <c r="R1243"/>
      <c r="S1243" s="1684"/>
      <c r="T1243" s="1684"/>
      <c r="U1243" s="1684"/>
      <c r="V1243" s="1684"/>
      <c r="W1243" s="1684"/>
      <c r="X1243" s="1684"/>
      <c r="Y1243" s="1684"/>
      <c r="Z1243" s="1684"/>
      <c r="AA1243" s="1684"/>
      <c r="AB1243" s="1684"/>
      <c r="AC1243" s="1684"/>
      <c r="AD1243" s="1684"/>
      <c r="AE1243" s="1684"/>
      <c r="AF1243" s="1684"/>
      <c r="AG1243" s="1684"/>
      <c r="AH1243" s="1684"/>
      <c r="AI1243" s="1684"/>
      <c r="AJ1243" s="1684"/>
      <c r="AK1243" s="1684"/>
      <c r="AL1243" s="1684"/>
      <c r="AM1243" s="1684"/>
      <c r="AN1243" s="1684"/>
      <c r="AO1243" s="1684"/>
      <c r="AP1243" s="1684"/>
      <c r="AQ1243" s="1684"/>
      <c r="AR1243" s="1684"/>
      <c r="AS1243" s="1684"/>
      <c r="AT1243" s="1684"/>
      <c r="AU1243" s="1684"/>
      <c r="AV1243" s="1684"/>
      <c r="AW1243" s="1684"/>
      <c r="AX1243" s="1684"/>
      <c r="AY1243" s="1684"/>
      <c r="AZ1243" s="1684"/>
      <c r="BA1243" s="1684"/>
      <c r="BB1243" s="1684"/>
      <c r="BC1243" s="1684"/>
      <c r="BD1243" s="1684"/>
      <c r="BE1243" s="1684"/>
      <c r="BF1243" s="1684"/>
      <c r="BG1243" s="1684"/>
      <c r="BH1243" s="1684"/>
      <c r="BI1243" s="1684"/>
      <c r="BJ1243" s="1684"/>
      <c r="BK1243" s="1684"/>
      <c r="BL1243" s="1684"/>
      <c r="BM1243" s="1684"/>
      <c r="BN1243" s="1684"/>
      <c r="BO1243" s="1684"/>
      <c r="BP1243" s="1684"/>
      <c r="BQ1243" s="1684"/>
      <c r="BR1243" s="1684"/>
      <c r="BS1243" s="1684"/>
      <c r="BT1243" s="1684"/>
      <c r="BU1243" s="1684"/>
      <c r="BV1243" s="1684"/>
      <c r="BW1243" s="1684"/>
      <c r="BX1243" s="1684"/>
      <c r="BY1243" s="1684"/>
      <c r="BZ1243" s="1684"/>
      <c r="CA1243" s="1684"/>
      <c r="CB1243" s="1684"/>
      <c r="CC1243" s="1684"/>
      <c r="CD1243" s="1684"/>
      <c r="CE1243" s="1684"/>
      <c r="CF1243" s="1684"/>
      <c r="CG1243" s="1684"/>
      <c r="CH1243" s="1684"/>
      <c r="CI1243" s="1684"/>
      <c r="CJ1243" s="1684"/>
      <c r="CK1243" s="1684"/>
      <c r="CL1243" s="1684"/>
      <c r="CM1243" s="1684"/>
      <c r="CN1243" s="1684"/>
      <c r="CO1243" s="1684"/>
    </row>
    <row r="1244" spans="1:93" s="1391" customFormat="1" ht="15" x14ac:dyDescent="0.2">
      <c r="A1244" s="1684"/>
      <c r="B1244" s="1684"/>
      <c r="C1244" s="2013">
        <v>15</v>
      </c>
      <c r="D1244" s="5">
        <v>8.0489999999999995</v>
      </c>
      <c r="E1244" s="5">
        <v>241</v>
      </c>
      <c r="F1244" s="5">
        <v>265</v>
      </c>
      <c r="G1244" s="5">
        <v>288</v>
      </c>
      <c r="H1244" s="5">
        <v>311</v>
      </c>
      <c r="I1244" s="5">
        <v>333</v>
      </c>
      <c r="J1244" s="5">
        <v>355</v>
      </c>
      <c r="K1244" s="5">
        <v>376</v>
      </c>
      <c r="L1244" s="5">
        <v>399</v>
      </c>
      <c r="M1244" s="5">
        <v>419</v>
      </c>
      <c r="N1244" s="5">
        <v>440</v>
      </c>
      <c r="O1244" s="5">
        <v>460</v>
      </c>
      <c r="P1244" s="5">
        <v>480</v>
      </c>
      <c r="Q1244" s="1160">
        <v>52</v>
      </c>
      <c r="R1244"/>
      <c r="S1244" s="1684"/>
      <c r="T1244" s="1684"/>
      <c r="U1244" s="1684"/>
      <c r="V1244" s="1684"/>
      <c r="W1244" s="1684"/>
      <c r="X1244" s="1684"/>
      <c r="Y1244" s="1684"/>
      <c r="Z1244" s="1684"/>
      <c r="AA1244" s="1684"/>
      <c r="AB1244" s="1684"/>
      <c r="AC1244" s="1684"/>
      <c r="AD1244" s="1684"/>
      <c r="AE1244" s="1684"/>
      <c r="AF1244" s="1684"/>
      <c r="AG1244" s="1684"/>
      <c r="AH1244" s="1684"/>
      <c r="AI1244" s="1684"/>
      <c r="AJ1244" s="1684"/>
      <c r="AK1244" s="1684"/>
      <c r="AL1244" s="1684"/>
      <c r="AM1244" s="1684"/>
      <c r="AN1244" s="1684"/>
      <c r="AO1244" s="1684"/>
      <c r="AP1244" s="1684"/>
      <c r="AQ1244" s="1684"/>
      <c r="AR1244" s="1684"/>
      <c r="AS1244" s="1684"/>
      <c r="AT1244" s="1684"/>
      <c r="AU1244" s="1684"/>
      <c r="AV1244" s="1684"/>
      <c r="AW1244" s="1684"/>
      <c r="AX1244" s="1684"/>
      <c r="AY1244" s="1684"/>
      <c r="AZ1244" s="1684"/>
      <c r="BA1244" s="1684"/>
      <c r="BB1244" s="1684"/>
      <c r="BC1244" s="1684"/>
      <c r="BD1244" s="1684"/>
      <c r="BE1244" s="1684"/>
      <c r="BF1244" s="1684"/>
      <c r="BG1244" s="1684"/>
      <c r="BH1244" s="1684"/>
      <c r="BI1244" s="1684"/>
      <c r="BJ1244" s="1684"/>
      <c r="BK1244" s="1684"/>
      <c r="BL1244" s="1684"/>
      <c r="BM1244" s="1684"/>
      <c r="BN1244" s="1684"/>
      <c r="BO1244" s="1684"/>
      <c r="BP1244" s="1684"/>
      <c r="BQ1244" s="1684"/>
      <c r="BR1244" s="1684"/>
      <c r="BS1244" s="1684"/>
      <c r="BT1244" s="1684"/>
      <c r="BU1244" s="1684"/>
      <c r="BV1244" s="1684"/>
      <c r="BW1244" s="1684"/>
      <c r="BX1244" s="1684"/>
      <c r="BY1244" s="1684"/>
      <c r="BZ1244" s="1684"/>
      <c r="CA1244" s="1684"/>
      <c r="CB1244" s="1684"/>
      <c r="CC1244" s="1684"/>
      <c r="CD1244" s="1684"/>
      <c r="CE1244" s="1684"/>
      <c r="CF1244" s="1684"/>
      <c r="CG1244" s="1684"/>
      <c r="CH1244" s="1684"/>
      <c r="CI1244" s="1684"/>
      <c r="CJ1244" s="1684"/>
      <c r="CK1244" s="1684"/>
      <c r="CL1244" s="1684"/>
      <c r="CM1244" s="1684"/>
      <c r="CN1244" s="1684"/>
      <c r="CO1244" s="1684"/>
    </row>
    <row r="1245" spans="1:93" s="1391" customFormat="1" ht="15" x14ac:dyDescent="0.2">
      <c r="A1245" s="1684"/>
      <c r="B1245" s="1684"/>
      <c r="C1245" s="2013">
        <v>16</v>
      </c>
      <c r="D1245" s="5">
        <v>8.68</v>
      </c>
      <c r="E1245" s="5">
        <v>256</v>
      </c>
      <c r="F1245" s="5">
        <v>284</v>
      </c>
      <c r="G1245" s="5">
        <v>308</v>
      </c>
      <c r="H1245" s="5">
        <v>332</v>
      </c>
      <c r="I1245" s="5">
        <v>356</v>
      </c>
      <c r="J1245" s="5">
        <v>379</v>
      </c>
      <c r="K1245" s="5">
        <v>402</v>
      </c>
      <c r="L1245" s="5">
        <v>426</v>
      </c>
      <c r="M1245" s="5">
        <v>447</v>
      </c>
      <c r="N1245" s="5">
        <v>469</v>
      </c>
      <c r="O1245" s="5">
        <v>490</v>
      </c>
      <c r="P1245" s="5">
        <v>511</v>
      </c>
      <c r="Q1245" s="1160">
        <v>53</v>
      </c>
      <c r="R1245"/>
      <c r="S1245" s="1684"/>
      <c r="T1245" s="1684"/>
      <c r="U1245" s="1684"/>
      <c r="V1245" s="1684"/>
      <c r="W1245" s="1684"/>
      <c r="X1245" s="1684"/>
      <c r="Y1245" s="1684"/>
      <c r="Z1245" s="1684"/>
      <c r="AA1245" s="1684"/>
      <c r="AB1245" s="1684"/>
      <c r="AC1245" s="1684"/>
      <c r="AD1245" s="1684"/>
      <c r="AE1245" s="1684"/>
      <c r="AF1245" s="1684"/>
      <c r="AG1245" s="1684"/>
      <c r="AH1245" s="1684"/>
      <c r="AI1245" s="1684"/>
      <c r="AJ1245" s="1684"/>
      <c r="AK1245" s="1684"/>
      <c r="AL1245" s="1684"/>
      <c r="AM1245" s="1684"/>
      <c r="AN1245" s="1684"/>
      <c r="AO1245" s="1684"/>
      <c r="AP1245" s="1684"/>
      <c r="AQ1245" s="1684"/>
      <c r="AR1245" s="1684"/>
      <c r="AS1245" s="1684"/>
      <c r="AT1245" s="1684"/>
      <c r="AU1245" s="1684"/>
      <c r="AV1245" s="1684"/>
      <c r="AW1245" s="1684"/>
      <c r="AX1245" s="1684"/>
      <c r="AY1245" s="1684"/>
      <c r="AZ1245" s="1684"/>
      <c r="BA1245" s="1684"/>
      <c r="BB1245" s="1684"/>
      <c r="BC1245" s="1684"/>
      <c r="BD1245" s="1684"/>
      <c r="BE1245" s="1684"/>
      <c r="BF1245" s="1684"/>
      <c r="BG1245" s="1684"/>
      <c r="BH1245" s="1684"/>
      <c r="BI1245" s="1684"/>
      <c r="BJ1245" s="1684"/>
      <c r="BK1245" s="1684"/>
      <c r="BL1245" s="1684"/>
      <c r="BM1245" s="1684"/>
      <c r="BN1245" s="1684"/>
      <c r="BO1245" s="1684"/>
      <c r="BP1245" s="1684"/>
      <c r="BQ1245" s="1684"/>
      <c r="BR1245" s="1684"/>
      <c r="BS1245" s="1684"/>
      <c r="BT1245" s="1684"/>
      <c r="BU1245" s="1684"/>
      <c r="BV1245" s="1684"/>
      <c r="BW1245" s="1684"/>
      <c r="BX1245" s="1684"/>
      <c r="BY1245" s="1684"/>
      <c r="BZ1245" s="1684"/>
      <c r="CA1245" s="1684"/>
      <c r="CB1245" s="1684"/>
      <c r="CC1245" s="1684"/>
      <c r="CD1245" s="1684"/>
      <c r="CE1245" s="1684"/>
      <c r="CF1245" s="1684"/>
      <c r="CG1245" s="1684"/>
      <c r="CH1245" s="1684"/>
      <c r="CI1245" s="1684"/>
      <c r="CJ1245" s="1684"/>
      <c r="CK1245" s="1684"/>
      <c r="CL1245" s="1684"/>
      <c r="CM1245" s="1684"/>
      <c r="CN1245" s="1684"/>
      <c r="CO1245" s="1684"/>
    </row>
    <row r="1246" spans="1:93" s="1391" customFormat="1" ht="15" x14ac:dyDescent="0.2">
      <c r="A1246" s="1684"/>
      <c r="B1246" s="1684"/>
      <c r="C1246" s="2013">
        <v>17</v>
      </c>
      <c r="D1246" s="5">
        <v>9.3520000000000003</v>
      </c>
      <c r="E1246" s="5">
        <v>273</v>
      </c>
      <c r="F1246" s="5">
        <v>301</v>
      </c>
      <c r="G1246" s="5">
        <v>327</v>
      </c>
      <c r="H1246" s="5">
        <v>352</v>
      </c>
      <c r="I1246" s="5">
        <v>377</v>
      </c>
      <c r="J1246" s="5">
        <v>401</v>
      </c>
      <c r="K1246" s="5">
        <v>425</v>
      </c>
      <c r="L1246" s="5">
        <v>450</v>
      </c>
      <c r="M1246" s="5">
        <v>472</v>
      </c>
      <c r="N1246" s="5">
        <v>495</v>
      </c>
      <c r="O1246" s="5">
        <v>518</v>
      </c>
      <c r="P1246" s="5">
        <v>540</v>
      </c>
      <c r="Q1246" s="1160">
        <v>54</v>
      </c>
      <c r="R1246"/>
      <c r="S1246" s="1684"/>
      <c r="T1246" s="1684"/>
      <c r="U1246" s="1684"/>
      <c r="V1246" s="1684"/>
      <c r="W1246" s="1684"/>
      <c r="X1246" s="1684"/>
      <c r="Y1246" s="1684"/>
      <c r="Z1246" s="1684"/>
      <c r="AA1246" s="1684"/>
      <c r="AB1246" s="1684"/>
      <c r="AC1246" s="1684"/>
      <c r="AD1246" s="1684"/>
      <c r="AE1246" s="1684"/>
      <c r="AF1246" s="1684"/>
      <c r="AG1246" s="1684"/>
      <c r="AH1246" s="1684"/>
      <c r="AI1246" s="1684"/>
      <c r="AJ1246" s="1684"/>
      <c r="AK1246" s="1684"/>
      <c r="AL1246" s="1684"/>
      <c r="AM1246" s="1684"/>
      <c r="AN1246" s="1684"/>
      <c r="AO1246" s="1684"/>
      <c r="AP1246" s="1684"/>
      <c r="AQ1246" s="1684"/>
      <c r="AR1246" s="1684"/>
      <c r="AS1246" s="1684"/>
      <c r="AT1246" s="1684"/>
      <c r="AU1246" s="1684"/>
      <c r="AV1246" s="1684"/>
      <c r="AW1246" s="1684"/>
      <c r="AX1246" s="1684"/>
      <c r="AY1246" s="1684"/>
      <c r="AZ1246" s="1684"/>
      <c r="BA1246" s="1684"/>
      <c r="BB1246" s="1684"/>
      <c r="BC1246" s="1684"/>
      <c r="BD1246" s="1684"/>
      <c r="BE1246" s="1684"/>
      <c r="BF1246" s="1684"/>
      <c r="BG1246" s="1684"/>
      <c r="BH1246" s="1684"/>
      <c r="BI1246" s="1684"/>
      <c r="BJ1246" s="1684"/>
      <c r="BK1246" s="1684"/>
      <c r="BL1246" s="1684"/>
      <c r="BM1246" s="1684"/>
      <c r="BN1246" s="1684"/>
      <c r="BO1246" s="1684"/>
      <c r="BP1246" s="1684"/>
      <c r="BQ1246" s="1684"/>
      <c r="BR1246" s="1684"/>
      <c r="BS1246" s="1684"/>
      <c r="BT1246" s="1684"/>
      <c r="BU1246" s="1684"/>
      <c r="BV1246" s="1684"/>
      <c r="BW1246" s="1684"/>
      <c r="BX1246" s="1684"/>
      <c r="BY1246" s="1684"/>
      <c r="BZ1246" s="1684"/>
      <c r="CA1246" s="1684"/>
      <c r="CB1246" s="1684"/>
      <c r="CC1246" s="1684"/>
      <c r="CD1246" s="1684"/>
      <c r="CE1246" s="1684"/>
      <c r="CF1246" s="1684"/>
      <c r="CG1246" s="1684"/>
      <c r="CH1246" s="1684"/>
      <c r="CI1246" s="1684"/>
      <c r="CJ1246" s="1684"/>
      <c r="CK1246" s="1684"/>
      <c r="CL1246" s="1684"/>
      <c r="CM1246" s="1684"/>
      <c r="CN1246" s="1684"/>
      <c r="CO1246" s="1684"/>
    </row>
    <row r="1247" spans="1:93" s="1391" customFormat="1" ht="15" x14ac:dyDescent="0.2">
      <c r="A1247" s="1684"/>
      <c r="B1247" s="1684"/>
      <c r="C1247" s="2013">
        <v>18</v>
      </c>
      <c r="D1247" s="5">
        <v>9.7889999999999997</v>
      </c>
      <c r="E1247" s="5">
        <v>288</v>
      </c>
      <c r="F1247" s="5">
        <v>317</v>
      </c>
      <c r="G1247" s="5">
        <v>344</v>
      </c>
      <c r="H1247" s="5">
        <v>370</v>
      </c>
      <c r="I1247" s="5">
        <v>396</v>
      </c>
      <c r="J1247" s="5">
        <v>421</v>
      </c>
      <c r="K1247" s="5">
        <v>447</v>
      </c>
      <c r="L1247" s="5">
        <v>472</v>
      </c>
      <c r="M1247" s="5">
        <v>495</v>
      </c>
      <c r="N1247" s="5">
        <v>519</v>
      </c>
      <c r="O1247" s="5">
        <v>543</v>
      </c>
      <c r="P1247" s="5">
        <v>566</v>
      </c>
      <c r="Q1247" s="1160">
        <v>55</v>
      </c>
      <c r="R1247"/>
      <c r="S1247" s="1684"/>
      <c r="T1247" s="1684"/>
      <c r="U1247" s="1684"/>
      <c r="V1247" s="1684"/>
      <c r="W1247" s="1684"/>
      <c r="X1247" s="1684"/>
      <c r="Y1247" s="1684"/>
      <c r="Z1247" s="1684"/>
      <c r="AA1247" s="1684"/>
      <c r="AB1247" s="1684"/>
      <c r="AC1247" s="1684"/>
      <c r="AD1247" s="1684"/>
      <c r="AE1247" s="1684"/>
      <c r="AF1247" s="1684"/>
      <c r="AG1247" s="1684"/>
      <c r="AH1247" s="1684"/>
      <c r="AI1247" s="1684"/>
      <c r="AJ1247" s="1684"/>
      <c r="AK1247" s="1684"/>
      <c r="AL1247" s="1684"/>
      <c r="AM1247" s="1684"/>
      <c r="AN1247" s="1684"/>
      <c r="AO1247" s="1684"/>
      <c r="AP1247" s="1684"/>
      <c r="AQ1247" s="1684"/>
      <c r="AR1247" s="1684"/>
      <c r="AS1247" s="1684"/>
      <c r="AT1247" s="1684"/>
      <c r="AU1247" s="1684"/>
      <c r="AV1247" s="1684"/>
      <c r="AW1247" s="1684"/>
      <c r="AX1247" s="1684"/>
      <c r="AY1247" s="1684"/>
      <c r="AZ1247" s="1684"/>
      <c r="BA1247" s="1684"/>
      <c r="BB1247" s="1684"/>
      <c r="BC1247" s="1684"/>
      <c r="BD1247" s="1684"/>
      <c r="BE1247" s="1684"/>
      <c r="BF1247" s="1684"/>
      <c r="BG1247" s="1684"/>
      <c r="BH1247" s="1684"/>
      <c r="BI1247" s="1684"/>
      <c r="BJ1247" s="1684"/>
      <c r="BK1247" s="1684"/>
      <c r="BL1247" s="1684"/>
      <c r="BM1247" s="1684"/>
      <c r="BN1247" s="1684"/>
      <c r="BO1247" s="1684"/>
      <c r="BP1247" s="1684"/>
      <c r="BQ1247" s="1684"/>
      <c r="BR1247" s="1684"/>
      <c r="BS1247" s="1684"/>
      <c r="BT1247" s="1684"/>
      <c r="BU1247" s="1684"/>
      <c r="BV1247" s="1684"/>
      <c r="BW1247" s="1684"/>
      <c r="BX1247" s="1684"/>
      <c r="BY1247" s="1684"/>
      <c r="BZ1247" s="1684"/>
      <c r="CA1247" s="1684"/>
      <c r="CB1247" s="1684"/>
      <c r="CC1247" s="1684"/>
      <c r="CD1247" s="1684"/>
      <c r="CE1247" s="1684"/>
      <c r="CF1247" s="1684"/>
      <c r="CG1247" s="1684"/>
      <c r="CH1247" s="1684"/>
      <c r="CI1247" s="1684"/>
      <c r="CJ1247" s="1684"/>
      <c r="CK1247" s="1684"/>
      <c r="CL1247" s="1684"/>
      <c r="CM1247" s="1684"/>
      <c r="CN1247" s="1684"/>
      <c r="CO1247" s="1684"/>
    </row>
    <row r="1248" spans="1:93" s="1391" customFormat="1" ht="15" x14ac:dyDescent="0.2">
      <c r="A1248" s="1684"/>
      <c r="B1248" s="1684"/>
      <c r="C1248" s="4680" t="s">
        <v>3691</v>
      </c>
      <c r="D1248" s="4681"/>
      <c r="E1248" s="4681"/>
      <c r="F1248" s="4681"/>
      <c r="G1248" s="4681"/>
      <c r="H1248" s="4681"/>
      <c r="I1248" s="4681"/>
      <c r="J1248" s="4681"/>
      <c r="K1248" s="4681"/>
      <c r="L1248" s="4681"/>
      <c r="M1248" s="4681"/>
      <c r="N1248" s="4681"/>
      <c r="O1248" s="4681"/>
      <c r="P1248" s="4681"/>
      <c r="Q1248" s="4682"/>
      <c r="R1248"/>
      <c r="S1248" s="1684"/>
      <c r="T1248" s="1684"/>
      <c r="U1248" s="1684"/>
      <c r="V1248" s="1684"/>
      <c r="W1248" s="1684"/>
      <c r="X1248" s="1684"/>
      <c r="Y1248" s="1684"/>
      <c r="Z1248" s="1684"/>
      <c r="AA1248" s="1684"/>
      <c r="AB1248" s="1684"/>
      <c r="AC1248" s="1684"/>
      <c r="AD1248" s="1684"/>
      <c r="AE1248" s="1684"/>
      <c r="AF1248" s="1684"/>
      <c r="AG1248" s="1684"/>
      <c r="AH1248" s="1684"/>
      <c r="AI1248" s="1684"/>
      <c r="AJ1248" s="1684"/>
      <c r="AK1248" s="1684"/>
      <c r="AL1248" s="1684"/>
      <c r="AM1248" s="1684"/>
      <c r="AN1248" s="1684"/>
      <c r="AO1248" s="1684"/>
      <c r="AP1248" s="1684"/>
      <c r="AQ1248" s="1684"/>
      <c r="AR1248" s="1684"/>
      <c r="AS1248" s="1684"/>
      <c r="AT1248" s="1684"/>
      <c r="AU1248" s="1684"/>
      <c r="AV1248" s="1684"/>
      <c r="AW1248" s="1684"/>
      <c r="AX1248" s="1684"/>
      <c r="AY1248" s="1684"/>
      <c r="AZ1248" s="1684"/>
      <c r="BA1248" s="1684"/>
      <c r="BB1248" s="1684"/>
      <c r="BC1248" s="1684"/>
      <c r="BD1248" s="1684"/>
      <c r="BE1248" s="1684"/>
      <c r="BF1248" s="1684"/>
      <c r="BG1248" s="1684"/>
      <c r="BH1248" s="1684"/>
      <c r="BI1248" s="1684"/>
      <c r="BJ1248" s="1684"/>
      <c r="BK1248" s="1684"/>
      <c r="BL1248" s="1684"/>
      <c r="BM1248" s="1684"/>
      <c r="BN1248" s="1684"/>
      <c r="BO1248" s="1684"/>
      <c r="BP1248" s="1684"/>
      <c r="BQ1248" s="1684"/>
      <c r="BR1248" s="1684"/>
      <c r="BS1248" s="1684"/>
      <c r="BT1248" s="1684"/>
      <c r="BU1248" s="1684"/>
      <c r="BV1248" s="1684"/>
      <c r="BW1248" s="1684"/>
      <c r="BX1248" s="1684"/>
      <c r="BY1248" s="1684"/>
      <c r="BZ1248" s="1684"/>
      <c r="CA1248" s="1684"/>
      <c r="CB1248" s="1684"/>
      <c r="CC1248" s="1684"/>
      <c r="CD1248" s="1684"/>
      <c r="CE1248" s="1684"/>
      <c r="CF1248" s="1684"/>
      <c r="CG1248" s="1684"/>
      <c r="CH1248" s="1684"/>
      <c r="CI1248" s="1684"/>
      <c r="CJ1248" s="1684"/>
      <c r="CK1248" s="1684"/>
      <c r="CL1248" s="1684"/>
      <c r="CM1248" s="1684"/>
      <c r="CN1248" s="1684"/>
      <c r="CO1248" s="1684"/>
    </row>
    <row r="1249" spans="1:93" s="1391" customFormat="1" ht="15" x14ac:dyDescent="0.2">
      <c r="A1249" s="1684"/>
      <c r="B1249" s="1684"/>
      <c r="C1249" s="4680"/>
      <c r="D1249" s="4681"/>
      <c r="E1249" s="4681"/>
      <c r="F1249" s="4681"/>
      <c r="G1249" s="4681"/>
      <c r="H1249" s="4681"/>
      <c r="I1249" s="4681"/>
      <c r="J1249" s="4681"/>
      <c r="K1249" s="4681"/>
      <c r="L1249" s="4681"/>
      <c r="M1249" s="4681"/>
      <c r="N1249" s="4681"/>
      <c r="O1249" s="4681"/>
      <c r="P1249" s="4681"/>
      <c r="Q1249" s="4682"/>
      <c r="R1249"/>
      <c r="S1249" s="1684"/>
      <c r="T1249" s="1684"/>
      <c r="U1249" s="1684"/>
      <c r="V1249" s="1684"/>
      <c r="W1249" s="1684"/>
      <c r="X1249" s="1684"/>
      <c r="Y1249" s="1684"/>
      <c r="Z1249" s="1684"/>
      <c r="AA1249" s="1684"/>
      <c r="AB1249" s="1684"/>
      <c r="AC1249" s="1684"/>
      <c r="AD1249" s="1684"/>
      <c r="AE1249" s="1684"/>
      <c r="AF1249" s="1684"/>
      <c r="AG1249" s="1684"/>
      <c r="AH1249" s="1684"/>
      <c r="AI1249" s="1684"/>
      <c r="AJ1249" s="1684"/>
      <c r="AK1249" s="1684"/>
      <c r="AL1249" s="1684"/>
      <c r="AM1249" s="1684"/>
      <c r="AN1249" s="1684"/>
      <c r="AO1249" s="1684"/>
      <c r="AP1249" s="1684"/>
      <c r="AQ1249" s="1684"/>
      <c r="AR1249" s="1684"/>
      <c r="AS1249" s="1684"/>
      <c r="AT1249" s="1684"/>
      <c r="AU1249" s="1684"/>
      <c r="AV1249" s="1684"/>
      <c r="AW1249" s="1684"/>
      <c r="AX1249" s="1684"/>
      <c r="AY1249" s="1684"/>
      <c r="AZ1249" s="1684"/>
      <c r="BA1249" s="1684"/>
      <c r="BB1249" s="1684"/>
      <c r="BC1249" s="1684"/>
      <c r="BD1249" s="1684"/>
      <c r="BE1249" s="1684"/>
      <c r="BF1249" s="1684"/>
      <c r="BG1249" s="1684"/>
      <c r="BH1249" s="1684"/>
      <c r="BI1249" s="1684"/>
      <c r="BJ1249" s="1684"/>
      <c r="BK1249" s="1684"/>
      <c r="BL1249" s="1684"/>
      <c r="BM1249" s="1684"/>
      <c r="BN1249" s="1684"/>
      <c r="BO1249" s="1684"/>
      <c r="BP1249" s="1684"/>
      <c r="BQ1249" s="1684"/>
      <c r="BR1249" s="1684"/>
      <c r="BS1249" s="1684"/>
      <c r="BT1249" s="1684"/>
      <c r="BU1249" s="1684"/>
      <c r="BV1249" s="1684"/>
      <c r="BW1249" s="1684"/>
      <c r="BX1249" s="1684"/>
      <c r="BY1249" s="1684"/>
      <c r="BZ1249" s="1684"/>
      <c r="CA1249" s="1684"/>
      <c r="CB1249" s="1684"/>
      <c r="CC1249" s="1684"/>
      <c r="CD1249" s="1684"/>
      <c r="CE1249" s="1684"/>
      <c r="CF1249" s="1684"/>
      <c r="CG1249" s="1684"/>
      <c r="CH1249" s="1684"/>
      <c r="CI1249" s="1684"/>
      <c r="CJ1249" s="1684"/>
      <c r="CK1249" s="1684"/>
      <c r="CL1249" s="1684"/>
      <c r="CM1249" s="1684"/>
      <c r="CN1249" s="1684"/>
      <c r="CO1249" s="1684"/>
    </row>
    <row r="1250" spans="1:93" s="1391" customFormat="1" ht="15" x14ac:dyDescent="0.2">
      <c r="A1250" s="1684"/>
      <c r="B1250" s="1684"/>
      <c r="C1250" s="2014"/>
      <c r="D1250" s="2015"/>
      <c r="E1250" s="2015">
        <v>1</v>
      </c>
      <c r="F1250" s="2015">
        <v>2</v>
      </c>
      <c r="G1250" s="2015">
        <v>3</v>
      </c>
      <c r="H1250" s="2015">
        <v>4</v>
      </c>
      <c r="I1250" s="2015">
        <v>5</v>
      </c>
      <c r="J1250" s="2015">
        <v>6</v>
      </c>
      <c r="K1250" s="2015">
        <v>7</v>
      </c>
      <c r="L1250" s="2015">
        <v>8</v>
      </c>
      <c r="M1250" s="2015">
        <v>9</v>
      </c>
      <c r="N1250" s="2015">
        <v>10</v>
      </c>
      <c r="O1250" s="2015">
        <v>11</v>
      </c>
      <c r="P1250" s="2015">
        <v>12</v>
      </c>
      <c r="Q1250" s="2016"/>
      <c r="R1250"/>
      <c r="S1250" s="1684"/>
      <c r="T1250" s="1684"/>
      <c r="U1250" s="1684"/>
      <c r="V1250" s="1684"/>
      <c r="W1250" s="1684"/>
      <c r="X1250" s="1684"/>
      <c r="Y1250" s="1684"/>
      <c r="Z1250" s="1684"/>
      <c r="AA1250" s="1684"/>
      <c r="AB1250" s="1684"/>
      <c r="AC1250" s="1684"/>
      <c r="AD1250" s="1684"/>
      <c r="AE1250" s="1684"/>
      <c r="AF1250" s="1684"/>
      <c r="AG1250" s="1684"/>
      <c r="AH1250" s="1684"/>
      <c r="AI1250" s="1684"/>
      <c r="AJ1250" s="1684"/>
      <c r="AK1250" s="1684"/>
      <c r="AL1250" s="1684"/>
      <c r="AM1250" s="1684"/>
      <c r="AN1250" s="1684"/>
      <c r="AO1250" s="1684"/>
      <c r="AP1250" s="1684"/>
      <c r="AQ1250" s="1684"/>
      <c r="AR1250" s="1684"/>
      <c r="AS1250" s="1684"/>
      <c r="AT1250" s="1684"/>
      <c r="AU1250" s="1684"/>
      <c r="AV1250" s="1684"/>
      <c r="AW1250" s="1684"/>
      <c r="AX1250" s="1684"/>
      <c r="AY1250" s="1684"/>
      <c r="AZ1250" s="1684"/>
      <c r="BA1250" s="1684"/>
      <c r="BB1250" s="1684"/>
      <c r="BC1250" s="1684"/>
      <c r="BD1250" s="1684"/>
      <c r="BE1250" s="1684"/>
      <c r="BF1250" s="1684"/>
      <c r="BG1250" s="1684"/>
      <c r="BH1250" s="1684"/>
      <c r="BI1250" s="1684"/>
      <c r="BJ1250" s="1684"/>
      <c r="BK1250" s="1684"/>
      <c r="BL1250" s="1684"/>
      <c r="BM1250" s="1684"/>
      <c r="BN1250" s="1684"/>
      <c r="BO1250" s="1684"/>
      <c r="BP1250" s="1684"/>
      <c r="BQ1250" s="1684"/>
      <c r="BR1250" s="1684"/>
      <c r="BS1250" s="1684"/>
      <c r="BT1250" s="1684"/>
      <c r="BU1250" s="1684"/>
      <c r="BV1250" s="1684"/>
      <c r="BW1250" s="1684"/>
      <c r="BX1250" s="1684"/>
      <c r="BY1250" s="1684"/>
      <c r="BZ1250" s="1684"/>
      <c r="CA1250" s="1684"/>
      <c r="CB1250" s="1684"/>
      <c r="CC1250" s="1684"/>
      <c r="CD1250" s="1684"/>
      <c r="CE1250" s="1684"/>
      <c r="CF1250" s="1684"/>
      <c r="CG1250" s="1684"/>
      <c r="CH1250" s="1684"/>
      <c r="CI1250" s="1684"/>
      <c r="CJ1250" s="1684"/>
      <c r="CK1250" s="1684"/>
      <c r="CL1250" s="1684"/>
      <c r="CM1250" s="1684"/>
      <c r="CN1250" s="1684"/>
      <c r="CO1250" s="1684"/>
    </row>
    <row r="1251" spans="1:93" s="1391" customFormat="1" ht="15" x14ac:dyDescent="0.2">
      <c r="A1251" s="1684"/>
      <c r="B1251" s="1684"/>
      <c r="C1251" s="2013">
        <v>8</v>
      </c>
      <c r="D1251" s="5">
        <v>5.4480000000000004</v>
      </c>
      <c r="E1251" s="5">
        <v>141</v>
      </c>
      <c r="F1251" s="5">
        <v>155</v>
      </c>
      <c r="G1251" s="5">
        <v>169</v>
      </c>
      <c r="H1251" s="5">
        <v>183</v>
      </c>
      <c r="I1251" s="5">
        <v>197</v>
      </c>
      <c r="J1251" s="5">
        <v>211</v>
      </c>
      <c r="K1251" s="5">
        <v>224</v>
      </c>
      <c r="L1251" s="5">
        <v>238</v>
      </c>
      <c r="M1251" s="5">
        <v>251</v>
      </c>
      <c r="N1251" s="5">
        <v>264</v>
      </c>
      <c r="O1251" s="5">
        <v>277</v>
      </c>
      <c r="P1251" s="5">
        <v>290</v>
      </c>
      <c r="Q1251" s="1160">
        <v>56</v>
      </c>
      <c r="R1251"/>
      <c r="S1251" s="1684"/>
      <c r="T1251" s="1684"/>
      <c r="U1251" s="1684"/>
      <c r="V1251" s="1684"/>
      <c r="W1251" s="1684"/>
      <c r="X1251" s="1684"/>
      <c r="Y1251" s="1684"/>
      <c r="Z1251" s="1684"/>
      <c r="AA1251" s="1684"/>
      <c r="AB1251" s="1684"/>
      <c r="AC1251" s="1684"/>
      <c r="AD1251" s="1684"/>
      <c r="AE1251" s="1684"/>
      <c r="AF1251" s="1684"/>
      <c r="AG1251" s="1684"/>
      <c r="AH1251" s="1684"/>
      <c r="AI1251" s="1684"/>
      <c r="AJ1251" s="1684"/>
      <c r="AK1251" s="1684"/>
      <c r="AL1251" s="1684"/>
      <c r="AM1251" s="1684"/>
      <c r="AN1251" s="1684"/>
      <c r="AO1251" s="1684"/>
      <c r="AP1251" s="1684"/>
      <c r="AQ1251" s="1684"/>
      <c r="AR1251" s="1684"/>
      <c r="AS1251" s="1684"/>
      <c r="AT1251" s="1684"/>
      <c r="AU1251" s="1684"/>
      <c r="AV1251" s="1684"/>
      <c r="AW1251" s="1684"/>
      <c r="AX1251" s="1684"/>
      <c r="AY1251" s="1684"/>
      <c r="AZ1251" s="1684"/>
      <c r="BA1251" s="1684"/>
      <c r="BB1251" s="1684"/>
      <c r="BC1251" s="1684"/>
      <c r="BD1251" s="1684"/>
      <c r="BE1251" s="1684"/>
      <c r="BF1251" s="1684"/>
      <c r="BG1251" s="1684"/>
      <c r="BH1251" s="1684"/>
      <c r="BI1251" s="1684"/>
      <c r="BJ1251" s="1684"/>
      <c r="BK1251" s="1684"/>
      <c r="BL1251" s="1684"/>
      <c r="BM1251" s="1684"/>
      <c r="BN1251" s="1684"/>
      <c r="BO1251" s="1684"/>
      <c r="BP1251" s="1684"/>
      <c r="BQ1251" s="1684"/>
      <c r="BR1251" s="1684"/>
      <c r="BS1251" s="1684"/>
      <c r="BT1251" s="1684"/>
      <c r="BU1251" s="1684"/>
      <c r="BV1251" s="1684"/>
      <c r="BW1251" s="1684"/>
      <c r="BX1251" s="1684"/>
      <c r="BY1251" s="1684"/>
      <c r="BZ1251" s="1684"/>
      <c r="CA1251" s="1684"/>
      <c r="CB1251" s="1684"/>
      <c r="CC1251" s="1684"/>
      <c r="CD1251" s="1684"/>
      <c r="CE1251" s="1684"/>
      <c r="CF1251" s="1684"/>
      <c r="CG1251" s="1684"/>
      <c r="CH1251" s="1684"/>
      <c r="CI1251" s="1684"/>
      <c r="CJ1251" s="1684"/>
      <c r="CK1251" s="1684"/>
      <c r="CL1251" s="1684"/>
      <c r="CM1251" s="1684"/>
      <c r="CN1251" s="1684"/>
      <c r="CO1251" s="1684"/>
    </row>
    <row r="1252" spans="1:93" s="1391" customFormat="1" ht="15" x14ac:dyDescent="0.2">
      <c r="A1252" s="1684"/>
      <c r="B1252" s="1684"/>
      <c r="C1252" s="2013">
        <v>9</v>
      </c>
      <c r="D1252" s="5">
        <v>5.8090000000000002</v>
      </c>
      <c r="E1252" s="5">
        <v>155</v>
      </c>
      <c r="F1252" s="5">
        <v>172</v>
      </c>
      <c r="G1252" s="5">
        <v>187</v>
      </c>
      <c r="H1252" s="5">
        <v>202</v>
      </c>
      <c r="I1252" s="5">
        <v>217</v>
      </c>
      <c r="J1252" s="5">
        <v>232</v>
      </c>
      <c r="K1252" s="5">
        <v>247</v>
      </c>
      <c r="L1252" s="5">
        <v>262</v>
      </c>
      <c r="M1252" s="5">
        <v>276</v>
      </c>
      <c r="N1252" s="5">
        <v>290</v>
      </c>
      <c r="O1252" s="5">
        <v>304</v>
      </c>
      <c r="P1252" s="5">
        <v>319</v>
      </c>
      <c r="Q1252" s="1160">
        <v>57</v>
      </c>
      <c r="R1252"/>
      <c r="S1252" s="1684"/>
      <c r="T1252" s="1684"/>
      <c r="U1252" s="1684"/>
      <c r="V1252" s="1684"/>
      <c r="W1252" s="1684"/>
      <c r="X1252" s="1684"/>
      <c r="Y1252" s="1684"/>
      <c r="Z1252" s="1684"/>
      <c r="AA1252" s="1684"/>
      <c r="AB1252" s="1684"/>
      <c r="AC1252" s="1684"/>
      <c r="AD1252" s="1684"/>
      <c r="AE1252" s="1684"/>
      <c r="AF1252" s="1684"/>
      <c r="AG1252" s="1684"/>
      <c r="AH1252" s="1684"/>
      <c r="AI1252" s="1684"/>
      <c r="AJ1252" s="1684"/>
      <c r="AK1252" s="1684"/>
      <c r="AL1252" s="1684"/>
      <c r="AM1252" s="1684"/>
      <c r="AN1252" s="1684"/>
      <c r="AO1252" s="1684"/>
      <c r="AP1252" s="1684"/>
      <c r="AQ1252" s="1684"/>
      <c r="AR1252" s="1684"/>
      <c r="AS1252" s="1684"/>
      <c r="AT1252" s="1684"/>
      <c r="AU1252" s="1684"/>
      <c r="AV1252" s="1684"/>
      <c r="AW1252" s="1684"/>
      <c r="AX1252" s="1684"/>
      <c r="AY1252" s="1684"/>
      <c r="AZ1252" s="1684"/>
      <c r="BA1252" s="1684"/>
      <c r="BB1252" s="1684"/>
      <c r="BC1252" s="1684"/>
      <c r="BD1252" s="1684"/>
      <c r="BE1252" s="1684"/>
      <c r="BF1252" s="1684"/>
      <c r="BG1252" s="1684"/>
      <c r="BH1252" s="1684"/>
      <c r="BI1252" s="1684"/>
      <c r="BJ1252" s="1684"/>
      <c r="BK1252" s="1684"/>
      <c r="BL1252" s="1684"/>
      <c r="BM1252" s="1684"/>
      <c r="BN1252" s="1684"/>
      <c r="BO1252" s="1684"/>
      <c r="BP1252" s="1684"/>
      <c r="BQ1252" s="1684"/>
      <c r="BR1252" s="1684"/>
      <c r="BS1252" s="1684"/>
      <c r="BT1252" s="1684"/>
      <c r="BU1252" s="1684"/>
      <c r="BV1252" s="1684"/>
      <c r="BW1252" s="1684"/>
      <c r="BX1252" s="1684"/>
      <c r="BY1252" s="1684"/>
      <c r="BZ1252" s="1684"/>
      <c r="CA1252" s="1684"/>
      <c r="CB1252" s="1684"/>
      <c r="CC1252" s="1684"/>
      <c r="CD1252" s="1684"/>
      <c r="CE1252" s="1684"/>
      <c r="CF1252" s="1684"/>
      <c r="CG1252" s="1684"/>
      <c r="CH1252" s="1684"/>
      <c r="CI1252" s="1684"/>
      <c r="CJ1252" s="1684"/>
      <c r="CK1252" s="1684"/>
      <c r="CL1252" s="1684"/>
      <c r="CM1252" s="1684"/>
      <c r="CN1252" s="1684"/>
      <c r="CO1252" s="1684"/>
    </row>
    <row r="1253" spans="1:93" s="1391" customFormat="1" ht="15" x14ac:dyDescent="0.2">
      <c r="A1253" s="1684"/>
      <c r="B1253" s="1684"/>
      <c r="C1253" s="2013">
        <v>10</v>
      </c>
      <c r="D1253" s="5">
        <v>6.194</v>
      </c>
      <c r="E1253" s="5">
        <v>171</v>
      </c>
      <c r="F1253" s="5">
        <v>188</v>
      </c>
      <c r="G1253" s="5">
        <v>205</v>
      </c>
      <c r="H1253" s="5">
        <v>222</v>
      </c>
      <c r="I1253" s="5">
        <v>238</v>
      </c>
      <c r="J1253" s="5">
        <v>254</v>
      </c>
      <c r="K1253" s="5">
        <v>270</v>
      </c>
      <c r="L1253" s="5">
        <v>287</v>
      </c>
      <c r="M1253" s="5">
        <v>302</v>
      </c>
      <c r="N1253" s="5">
        <v>318</v>
      </c>
      <c r="O1253" s="5">
        <v>333</v>
      </c>
      <c r="P1253" s="5">
        <v>348</v>
      </c>
      <c r="Q1253" s="1160">
        <v>58</v>
      </c>
      <c r="R1253"/>
      <c r="S1253" s="1684"/>
      <c r="T1253" s="1684"/>
      <c r="U1253" s="1684"/>
      <c r="V1253" s="1684"/>
      <c r="W1253" s="1684"/>
      <c r="X1253" s="1684"/>
      <c r="Y1253" s="1684"/>
      <c r="Z1253" s="1684"/>
      <c r="AA1253" s="1684"/>
      <c r="AB1253" s="1684"/>
      <c r="AC1253" s="1684"/>
      <c r="AD1253" s="1684"/>
      <c r="AE1253" s="1684"/>
      <c r="AF1253" s="1684"/>
      <c r="AG1253" s="1684"/>
      <c r="AH1253" s="1684"/>
      <c r="AI1253" s="1684"/>
      <c r="AJ1253" s="1684"/>
      <c r="AK1253" s="1684"/>
      <c r="AL1253" s="1684"/>
      <c r="AM1253" s="1684"/>
      <c r="AN1253" s="1684"/>
      <c r="AO1253" s="1684"/>
      <c r="AP1253" s="1684"/>
      <c r="AQ1253" s="1684"/>
      <c r="AR1253" s="1684"/>
      <c r="AS1253" s="1684"/>
      <c r="AT1253" s="1684"/>
      <c r="AU1253" s="1684"/>
      <c r="AV1253" s="1684"/>
      <c r="AW1253" s="1684"/>
      <c r="AX1253" s="1684"/>
      <c r="AY1253" s="1684"/>
      <c r="AZ1253" s="1684"/>
      <c r="BA1253" s="1684"/>
      <c r="BB1253" s="1684"/>
      <c r="BC1253" s="1684"/>
      <c r="BD1253" s="1684"/>
      <c r="BE1253" s="1684"/>
      <c r="BF1253" s="1684"/>
      <c r="BG1253" s="1684"/>
      <c r="BH1253" s="1684"/>
      <c r="BI1253" s="1684"/>
      <c r="BJ1253" s="1684"/>
      <c r="BK1253" s="1684"/>
      <c r="BL1253" s="1684"/>
      <c r="BM1253" s="1684"/>
      <c r="BN1253" s="1684"/>
      <c r="BO1253" s="1684"/>
      <c r="BP1253" s="1684"/>
      <c r="BQ1253" s="1684"/>
      <c r="BR1253" s="1684"/>
      <c r="BS1253" s="1684"/>
      <c r="BT1253" s="1684"/>
      <c r="BU1253" s="1684"/>
      <c r="BV1253" s="1684"/>
      <c r="BW1253" s="1684"/>
      <c r="BX1253" s="1684"/>
      <c r="BY1253" s="1684"/>
      <c r="BZ1253" s="1684"/>
      <c r="CA1253" s="1684"/>
      <c r="CB1253" s="1684"/>
      <c r="CC1253" s="1684"/>
      <c r="CD1253" s="1684"/>
      <c r="CE1253" s="1684"/>
      <c r="CF1253" s="1684"/>
      <c r="CG1253" s="1684"/>
      <c r="CH1253" s="1684"/>
      <c r="CI1253" s="1684"/>
      <c r="CJ1253" s="1684"/>
      <c r="CK1253" s="1684"/>
      <c r="CL1253" s="1684"/>
      <c r="CM1253" s="1684"/>
      <c r="CN1253" s="1684"/>
      <c r="CO1253" s="1684"/>
    </row>
    <row r="1254" spans="1:93" s="1391" customFormat="1" ht="15" x14ac:dyDescent="0.2">
      <c r="A1254" s="1684"/>
      <c r="B1254" s="1684"/>
      <c r="C1254" s="2013">
        <v>11</v>
      </c>
      <c r="D1254" s="5">
        <v>6.8330000000000002</v>
      </c>
      <c r="E1254" s="5">
        <v>188</v>
      </c>
      <c r="F1254" s="5">
        <v>207</v>
      </c>
      <c r="G1254" s="5">
        <v>225</v>
      </c>
      <c r="H1254" s="5">
        <v>244</v>
      </c>
      <c r="I1254" s="5">
        <v>261</v>
      </c>
      <c r="J1254" s="5">
        <v>279</v>
      </c>
      <c r="K1254" s="5">
        <v>297</v>
      </c>
      <c r="L1254" s="5">
        <v>315</v>
      </c>
      <c r="M1254" s="5">
        <v>331</v>
      </c>
      <c r="N1254" s="5">
        <v>348</v>
      </c>
      <c r="O1254" s="5">
        <v>363</v>
      </c>
      <c r="P1254" s="5">
        <v>381</v>
      </c>
      <c r="Q1254" s="1160">
        <v>59</v>
      </c>
      <c r="R1254"/>
      <c r="S1254" s="1684"/>
      <c r="T1254" s="1684"/>
      <c r="U1254" s="1684"/>
      <c r="V1254" s="1684"/>
      <c r="W1254" s="1684"/>
      <c r="X1254" s="1684"/>
      <c r="Y1254" s="1684"/>
      <c r="Z1254" s="1684"/>
      <c r="AA1254" s="1684"/>
      <c r="AB1254" s="1684"/>
      <c r="AC1254" s="1684"/>
      <c r="AD1254" s="1684"/>
      <c r="AE1254" s="1684"/>
      <c r="AF1254" s="1684"/>
      <c r="AG1254" s="1684"/>
      <c r="AH1254" s="1684"/>
      <c r="AI1254" s="1684"/>
      <c r="AJ1254" s="1684"/>
      <c r="AK1254" s="1684"/>
      <c r="AL1254" s="1684"/>
      <c r="AM1254" s="1684"/>
      <c r="AN1254" s="1684"/>
      <c r="AO1254" s="1684"/>
      <c r="AP1254" s="1684"/>
      <c r="AQ1254" s="1684"/>
      <c r="AR1254" s="1684"/>
      <c r="AS1254" s="1684"/>
      <c r="AT1254" s="1684"/>
      <c r="AU1254" s="1684"/>
      <c r="AV1254" s="1684"/>
      <c r="AW1254" s="1684"/>
      <c r="AX1254" s="1684"/>
      <c r="AY1254" s="1684"/>
      <c r="AZ1254" s="1684"/>
      <c r="BA1254" s="1684"/>
      <c r="BB1254" s="1684"/>
      <c r="BC1254" s="1684"/>
      <c r="BD1254" s="1684"/>
      <c r="BE1254" s="1684"/>
      <c r="BF1254" s="1684"/>
      <c r="BG1254" s="1684"/>
      <c r="BH1254" s="1684"/>
      <c r="BI1254" s="1684"/>
      <c r="BJ1254" s="1684"/>
      <c r="BK1254" s="1684"/>
      <c r="BL1254" s="1684"/>
      <c r="BM1254" s="1684"/>
      <c r="BN1254" s="1684"/>
      <c r="BO1254" s="1684"/>
      <c r="BP1254" s="1684"/>
      <c r="BQ1254" s="1684"/>
      <c r="BR1254" s="1684"/>
      <c r="BS1254" s="1684"/>
      <c r="BT1254" s="1684"/>
      <c r="BU1254" s="1684"/>
      <c r="BV1254" s="1684"/>
      <c r="BW1254" s="1684"/>
      <c r="BX1254" s="1684"/>
      <c r="BY1254" s="1684"/>
      <c r="BZ1254" s="1684"/>
      <c r="CA1254" s="1684"/>
      <c r="CB1254" s="1684"/>
      <c r="CC1254" s="1684"/>
      <c r="CD1254" s="1684"/>
      <c r="CE1254" s="1684"/>
      <c r="CF1254" s="1684"/>
      <c r="CG1254" s="1684"/>
      <c r="CH1254" s="1684"/>
      <c r="CI1254" s="1684"/>
      <c r="CJ1254" s="1684"/>
      <c r="CK1254" s="1684"/>
      <c r="CL1254" s="1684"/>
      <c r="CM1254" s="1684"/>
      <c r="CN1254" s="1684"/>
      <c r="CO1254" s="1684"/>
    </row>
    <row r="1255" spans="1:93" s="1391" customFormat="1" ht="15" x14ac:dyDescent="0.2">
      <c r="A1255" s="1684"/>
      <c r="B1255" s="1684"/>
      <c r="C1255" s="2013">
        <v>12</v>
      </c>
      <c r="D1255" s="5">
        <v>7.0979999999999999</v>
      </c>
      <c r="E1255" s="5">
        <v>205</v>
      </c>
      <c r="F1255" s="5">
        <v>227</v>
      </c>
      <c r="G1255" s="5">
        <v>247</v>
      </c>
      <c r="H1255" s="5">
        <v>266</v>
      </c>
      <c r="I1255" s="5">
        <v>286</v>
      </c>
      <c r="J1255" s="5">
        <v>305</v>
      </c>
      <c r="K1255" s="5">
        <v>324</v>
      </c>
      <c r="L1255" s="5">
        <v>343</v>
      </c>
      <c r="M1255" s="5">
        <v>361</v>
      </c>
      <c r="N1255" s="5">
        <v>379</v>
      </c>
      <c r="O1255" s="5">
        <v>397</v>
      </c>
      <c r="P1255" s="5">
        <v>415</v>
      </c>
      <c r="Q1255" s="1160">
        <v>60</v>
      </c>
      <c r="R1255"/>
      <c r="S1255" s="1684"/>
      <c r="T1255" s="1684"/>
      <c r="U1255" s="1684"/>
      <c r="V1255" s="1684"/>
      <c r="W1255" s="1684"/>
      <c r="X1255" s="1684"/>
      <c r="Y1255" s="1684"/>
      <c r="Z1255" s="1684"/>
      <c r="AA1255" s="1684"/>
      <c r="AB1255" s="1684"/>
      <c r="AC1255" s="1684"/>
      <c r="AD1255" s="1684"/>
      <c r="AE1255" s="1684"/>
      <c r="AF1255" s="1684"/>
      <c r="AG1255" s="1684"/>
      <c r="AH1255" s="1684"/>
      <c r="AI1255" s="1684"/>
      <c r="AJ1255" s="1684"/>
      <c r="AK1255" s="1684"/>
      <c r="AL1255" s="1684"/>
      <c r="AM1255" s="1684"/>
      <c r="AN1255" s="1684"/>
      <c r="AO1255" s="1684"/>
      <c r="AP1255" s="1684"/>
      <c r="AQ1255" s="1684"/>
      <c r="AR1255" s="1684"/>
      <c r="AS1255" s="1684"/>
      <c r="AT1255" s="1684"/>
      <c r="AU1255" s="1684"/>
      <c r="AV1255" s="1684"/>
      <c r="AW1255" s="1684"/>
      <c r="AX1255" s="1684"/>
      <c r="AY1255" s="1684"/>
      <c r="AZ1255" s="1684"/>
      <c r="BA1255" s="1684"/>
      <c r="BB1255" s="1684"/>
      <c r="BC1255" s="1684"/>
      <c r="BD1255" s="1684"/>
      <c r="BE1255" s="1684"/>
      <c r="BF1255" s="1684"/>
      <c r="BG1255" s="1684"/>
      <c r="BH1255" s="1684"/>
      <c r="BI1255" s="1684"/>
      <c r="BJ1255" s="1684"/>
      <c r="BK1255" s="1684"/>
      <c r="BL1255" s="1684"/>
      <c r="BM1255" s="1684"/>
      <c r="BN1255" s="1684"/>
      <c r="BO1255" s="1684"/>
      <c r="BP1255" s="1684"/>
      <c r="BQ1255" s="1684"/>
      <c r="BR1255" s="1684"/>
      <c r="BS1255" s="1684"/>
      <c r="BT1255" s="1684"/>
      <c r="BU1255" s="1684"/>
      <c r="BV1255" s="1684"/>
      <c r="BW1255" s="1684"/>
      <c r="BX1255" s="1684"/>
      <c r="BY1255" s="1684"/>
      <c r="BZ1255" s="1684"/>
      <c r="CA1255" s="1684"/>
      <c r="CB1255" s="1684"/>
      <c r="CC1255" s="1684"/>
      <c r="CD1255" s="1684"/>
      <c r="CE1255" s="1684"/>
      <c r="CF1255" s="1684"/>
      <c r="CG1255" s="1684"/>
      <c r="CH1255" s="1684"/>
      <c r="CI1255" s="1684"/>
      <c r="CJ1255" s="1684"/>
      <c r="CK1255" s="1684"/>
      <c r="CL1255" s="1684"/>
      <c r="CM1255" s="1684"/>
      <c r="CN1255" s="1684"/>
      <c r="CO1255" s="1684"/>
    </row>
    <row r="1256" spans="1:93" s="1391" customFormat="1" ht="15" x14ac:dyDescent="0.2">
      <c r="A1256" s="1684"/>
      <c r="B1256" s="1684"/>
      <c r="C1256" s="2013">
        <v>13</v>
      </c>
      <c r="D1256" s="5">
        <v>7.58</v>
      </c>
      <c r="E1256" s="5">
        <v>224</v>
      </c>
      <c r="F1256" s="5">
        <v>246</v>
      </c>
      <c r="G1256" s="5">
        <v>268</v>
      </c>
      <c r="H1256" s="5">
        <v>289</v>
      </c>
      <c r="I1256" s="5">
        <v>310</v>
      </c>
      <c r="J1256" s="5">
        <v>331</v>
      </c>
      <c r="K1256" s="5">
        <v>351</v>
      </c>
      <c r="L1256" s="5">
        <v>372</v>
      </c>
      <c r="M1256" s="5">
        <v>391</v>
      </c>
      <c r="N1256" s="5">
        <v>410</v>
      </c>
      <c r="O1256" s="5">
        <v>430</v>
      </c>
      <c r="P1256" s="5">
        <v>449</v>
      </c>
      <c r="Q1256" s="1160">
        <v>61</v>
      </c>
      <c r="R1256"/>
      <c r="S1256" s="1684"/>
      <c r="T1256" s="1684"/>
      <c r="U1256" s="1684"/>
      <c r="V1256" s="1684"/>
      <c r="W1256" s="1684"/>
      <c r="X1256" s="1684"/>
      <c r="Y1256" s="1684"/>
      <c r="Z1256" s="1684"/>
      <c r="AA1256" s="1684"/>
      <c r="AB1256" s="1684"/>
      <c r="AC1256" s="1684"/>
      <c r="AD1256" s="1684"/>
      <c r="AE1256" s="1684"/>
      <c r="AF1256" s="1684"/>
      <c r="AG1256" s="1684"/>
      <c r="AH1256" s="1684"/>
      <c r="AI1256" s="1684"/>
      <c r="AJ1256" s="1684"/>
      <c r="AK1256" s="1684"/>
      <c r="AL1256" s="1684"/>
      <c r="AM1256" s="1684"/>
      <c r="AN1256" s="1684"/>
      <c r="AO1256" s="1684"/>
      <c r="AP1256" s="1684"/>
      <c r="AQ1256" s="1684"/>
      <c r="AR1256" s="1684"/>
      <c r="AS1256" s="1684"/>
      <c r="AT1256" s="1684"/>
      <c r="AU1256" s="1684"/>
      <c r="AV1256" s="1684"/>
      <c r="AW1256" s="1684"/>
      <c r="AX1256" s="1684"/>
      <c r="AY1256" s="1684"/>
      <c r="AZ1256" s="1684"/>
      <c r="BA1256" s="1684"/>
      <c r="BB1256" s="1684"/>
      <c r="BC1256" s="1684"/>
      <c r="BD1256" s="1684"/>
      <c r="BE1256" s="1684"/>
      <c r="BF1256" s="1684"/>
      <c r="BG1256" s="1684"/>
      <c r="BH1256" s="1684"/>
      <c r="BI1256" s="1684"/>
      <c r="BJ1256" s="1684"/>
      <c r="BK1256" s="1684"/>
      <c r="BL1256" s="1684"/>
      <c r="BM1256" s="1684"/>
      <c r="BN1256" s="1684"/>
      <c r="BO1256" s="1684"/>
      <c r="BP1256" s="1684"/>
      <c r="BQ1256" s="1684"/>
      <c r="BR1256" s="1684"/>
      <c r="BS1256" s="1684"/>
      <c r="BT1256" s="1684"/>
      <c r="BU1256" s="1684"/>
      <c r="BV1256" s="1684"/>
      <c r="BW1256" s="1684"/>
      <c r="BX1256" s="1684"/>
      <c r="BY1256" s="1684"/>
      <c r="BZ1256" s="1684"/>
      <c r="CA1256" s="1684"/>
      <c r="CB1256" s="1684"/>
      <c r="CC1256" s="1684"/>
      <c r="CD1256" s="1684"/>
      <c r="CE1256" s="1684"/>
      <c r="CF1256" s="1684"/>
      <c r="CG1256" s="1684"/>
      <c r="CH1256" s="1684"/>
      <c r="CI1256" s="1684"/>
      <c r="CJ1256" s="1684"/>
      <c r="CK1256" s="1684"/>
      <c r="CL1256" s="1684"/>
      <c r="CM1256" s="1684"/>
      <c r="CN1256" s="1684"/>
      <c r="CO1256" s="1684"/>
    </row>
    <row r="1257" spans="1:93" s="1391" customFormat="1" ht="15" x14ac:dyDescent="0.2">
      <c r="A1257" s="1684"/>
      <c r="B1257" s="1684"/>
      <c r="C1257" s="2013">
        <v>14</v>
      </c>
      <c r="D1257" s="5">
        <v>8.0960000000000001</v>
      </c>
      <c r="E1257" s="5">
        <v>243</v>
      </c>
      <c r="F1257" s="5">
        <v>267</v>
      </c>
      <c r="G1257" s="5">
        <v>290</v>
      </c>
      <c r="H1257" s="5">
        <v>313</v>
      </c>
      <c r="I1257" s="5">
        <v>336</v>
      </c>
      <c r="J1257" s="5">
        <v>358</v>
      </c>
      <c r="K1257" s="5">
        <v>380</v>
      </c>
      <c r="L1257" s="5">
        <v>402</v>
      </c>
      <c r="M1257" s="5">
        <v>422</v>
      </c>
      <c r="N1257" s="5">
        <v>443</v>
      </c>
      <c r="O1257" s="5">
        <v>464</v>
      </c>
      <c r="P1257" s="5">
        <v>484</v>
      </c>
      <c r="Q1257" s="1160">
        <v>62</v>
      </c>
      <c r="R1257"/>
      <c r="S1257" s="1684"/>
      <c r="T1257" s="1684"/>
      <c r="U1257" s="1684"/>
      <c r="V1257" s="1684"/>
      <c r="W1257" s="1684"/>
      <c r="X1257" s="1684"/>
      <c r="Y1257" s="1684"/>
      <c r="Z1257" s="1684"/>
      <c r="AA1257" s="1684"/>
      <c r="AB1257" s="1684"/>
      <c r="AC1257" s="1684"/>
      <c r="AD1257" s="1684"/>
      <c r="AE1257" s="1684"/>
      <c r="AF1257" s="1684"/>
      <c r="AG1257" s="1684"/>
      <c r="AH1257" s="1684"/>
      <c r="AI1257" s="1684"/>
      <c r="AJ1257" s="1684"/>
      <c r="AK1257" s="1684"/>
      <c r="AL1257" s="1684"/>
      <c r="AM1257" s="1684"/>
      <c r="AN1257" s="1684"/>
      <c r="AO1257" s="1684"/>
      <c r="AP1257" s="1684"/>
      <c r="AQ1257" s="1684"/>
      <c r="AR1257" s="1684"/>
      <c r="AS1257" s="1684"/>
      <c r="AT1257" s="1684"/>
      <c r="AU1257" s="1684"/>
      <c r="AV1257" s="1684"/>
      <c r="AW1257" s="1684"/>
      <c r="AX1257" s="1684"/>
      <c r="AY1257" s="1684"/>
      <c r="AZ1257" s="1684"/>
      <c r="BA1257" s="1684"/>
      <c r="BB1257" s="1684"/>
      <c r="BC1257" s="1684"/>
      <c r="BD1257" s="1684"/>
      <c r="BE1257" s="1684"/>
      <c r="BF1257" s="1684"/>
      <c r="BG1257" s="1684"/>
      <c r="BH1257" s="1684"/>
      <c r="BI1257" s="1684"/>
      <c r="BJ1257" s="1684"/>
      <c r="BK1257" s="1684"/>
      <c r="BL1257" s="1684"/>
      <c r="BM1257" s="1684"/>
      <c r="BN1257" s="1684"/>
      <c r="BO1257" s="1684"/>
      <c r="BP1257" s="1684"/>
      <c r="BQ1257" s="1684"/>
      <c r="BR1257" s="1684"/>
      <c r="BS1257" s="1684"/>
      <c r="BT1257" s="1684"/>
      <c r="BU1257" s="1684"/>
      <c r="BV1257" s="1684"/>
      <c r="BW1257" s="1684"/>
      <c r="BX1257" s="1684"/>
      <c r="BY1257" s="1684"/>
      <c r="BZ1257" s="1684"/>
      <c r="CA1257" s="1684"/>
      <c r="CB1257" s="1684"/>
      <c r="CC1257" s="1684"/>
      <c r="CD1257" s="1684"/>
      <c r="CE1257" s="1684"/>
      <c r="CF1257" s="1684"/>
      <c r="CG1257" s="1684"/>
      <c r="CH1257" s="1684"/>
      <c r="CI1257" s="1684"/>
      <c r="CJ1257" s="1684"/>
      <c r="CK1257" s="1684"/>
      <c r="CL1257" s="1684"/>
      <c r="CM1257" s="1684"/>
      <c r="CN1257" s="1684"/>
      <c r="CO1257" s="1684"/>
    </row>
    <row r="1258" spans="1:93" s="1391" customFormat="1" ht="15" x14ac:dyDescent="0.2">
      <c r="A1258" s="1684"/>
      <c r="B1258" s="1684"/>
      <c r="C1258" s="2013">
        <v>15</v>
      </c>
      <c r="D1258" s="5">
        <v>8.6379999999999999</v>
      </c>
      <c r="E1258" s="5">
        <v>262</v>
      </c>
      <c r="F1258" s="5">
        <v>289</v>
      </c>
      <c r="G1258" s="5">
        <v>313</v>
      </c>
      <c r="H1258" s="5">
        <v>338</v>
      </c>
      <c r="I1258" s="5">
        <v>362</v>
      </c>
      <c r="J1258" s="5">
        <v>385</v>
      </c>
      <c r="K1258" s="5">
        <v>409</v>
      </c>
      <c r="L1258" s="5">
        <v>433</v>
      </c>
      <c r="M1258" s="5">
        <v>454</v>
      </c>
      <c r="N1258" s="5">
        <v>476</v>
      </c>
      <c r="O1258" s="5">
        <v>498</v>
      </c>
      <c r="P1258" s="5">
        <v>519</v>
      </c>
      <c r="Q1258" s="1160">
        <v>63</v>
      </c>
      <c r="R1258"/>
      <c r="S1258" s="1684"/>
      <c r="T1258" s="1684"/>
      <c r="U1258" s="1684"/>
      <c r="V1258" s="1684"/>
      <c r="W1258" s="1684"/>
      <c r="X1258" s="1684"/>
      <c r="Y1258" s="1684"/>
      <c r="Z1258" s="1684"/>
      <c r="AA1258" s="1684"/>
      <c r="AB1258" s="1684"/>
      <c r="AC1258" s="1684"/>
      <c r="AD1258" s="1684"/>
      <c r="AE1258" s="1684"/>
      <c r="AF1258" s="1684"/>
      <c r="AG1258" s="1684"/>
      <c r="AH1258" s="1684"/>
      <c r="AI1258" s="1684"/>
      <c r="AJ1258" s="1684"/>
      <c r="AK1258" s="1684"/>
      <c r="AL1258" s="1684"/>
      <c r="AM1258" s="1684"/>
      <c r="AN1258" s="1684"/>
      <c r="AO1258" s="1684"/>
      <c r="AP1258" s="1684"/>
      <c r="AQ1258" s="1684"/>
      <c r="AR1258" s="1684"/>
      <c r="AS1258" s="1684"/>
      <c r="AT1258" s="1684"/>
      <c r="AU1258" s="1684"/>
      <c r="AV1258" s="1684"/>
      <c r="AW1258" s="1684"/>
      <c r="AX1258" s="1684"/>
      <c r="AY1258" s="1684"/>
      <c r="AZ1258" s="1684"/>
      <c r="BA1258" s="1684"/>
      <c r="BB1258" s="1684"/>
      <c r="BC1258" s="1684"/>
      <c r="BD1258" s="1684"/>
      <c r="BE1258" s="1684"/>
      <c r="BF1258" s="1684"/>
      <c r="BG1258" s="1684"/>
      <c r="BH1258" s="1684"/>
      <c r="BI1258" s="1684"/>
      <c r="BJ1258" s="1684"/>
      <c r="BK1258" s="1684"/>
      <c r="BL1258" s="1684"/>
      <c r="BM1258" s="1684"/>
      <c r="BN1258" s="1684"/>
      <c r="BO1258" s="1684"/>
      <c r="BP1258" s="1684"/>
      <c r="BQ1258" s="1684"/>
      <c r="BR1258" s="1684"/>
      <c r="BS1258" s="1684"/>
      <c r="BT1258" s="1684"/>
      <c r="BU1258" s="1684"/>
      <c r="BV1258" s="1684"/>
      <c r="BW1258" s="1684"/>
      <c r="BX1258" s="1684"/>
      <c r="BY1258" s="1684"/>
      <c r="BZ1258" s="1684"/>
      <c r="CA1258" s="1684"/>
      <c r="CB1258" s="1684"/>
      <c r="CC1258" s="1684"/>
      <c r="CD1258" s="1684"/>
      <c r="CE1258" s="1684"/>
      <c r="CF1258" s="1684"/>
      <c r="CG1258" s="1684"/>
      <c r="CH1258" s="1684"/>
      <c r="CI1258" s="1684"/>
      <c r="CJ1258" s="1684"/>
      <c r="CK1258" s="1684"/>
      <c r="CL1258" s="1684"/>
      <c r="CM1258" s="1684"/>
      <c r="CN1258" s="1684"/>
      <c r="CO1258" s="1684"/>
    </row>
    <row r="1259" spans="1:93" s="1391" customFormat="1" ht="15" x14ac:dyDescent="0.2">
      <c r="A1259" s="1684"/>
      <c r="B1259" s="1684"/>
      <c r="C1259" s="2013">
        <v>16</v>
      </c>
      <c r="D1259" s="5">
        <v>9.3320000000000007</v>
      </c>
      <c r="E1259" s="5">
        <v>281</v>
      </c>
      <c r="F1259" s="5">
        <v>309</v>
      </c>
      <c r="G1259" s="5">
        <v>336</v>
      </c>
      <c r="H1259" s="5">
        <v>361</v>
      </c>
      <c r="I1259" s="5">
        <v>387</v>
      </c>
      <c r="J1259" s="5">
        <v>412</v>
      </c>
      <c r="K1259" s="5">
        <v>437</v>
      </c>
      <c r="L1259" s="5">
        <v>462</v>
      </c>
      <c r="M1259" s="5">
        <v>485</v>
      </c>
      <c r="N1259" s="5">
        <v>508</v>
      </c>
      <c r="O1259" s="5">
        <v>531</v>
      </c>
      <c r="P1259" s="5">
        <v>554</v>
      </c>
      <c r="Q1259" s="1160">
        <v>64</v>
      </c>
      <c r="R1259"/>
      <c r="S1259" s="1684"/>
      <c r="T1259" s="1684"/>
      <c r="U1259" s="1684"/>
      <c r="V1259" s="1684"/>
      <c r="W1259" s="1684"/>
      <c r="X1259" s="1684"/>
      <c r="Y1259" s="1684"/>
      <c r="Z1259" s="1684"/>
      <c r="AA1259" s="1684"/>
      <c r="AB1259" s="1684"/>
      <c r="AC1259" s="1684"/>
      <c r="AD1259" s="1684"/>
      <c r="AE1259" s="1684"/>
      <c r="AF1259" s="1684"/>
      <c r="AG1259" s="1684"/>
      <c r="AH1259" s="1684"/>
      <c r="AI1259" s="1684"/>
      <c r="AJ1259" s="1684"/>
      <c r="AK1259" s="1684"/>
      <c r="AL1259" s="1684"/>
      <c r="AM1259" s="1684"/>
      <c r="AN1259" s="1684"/>
      <c r="AO1259" s="1684"/>
      <c r="AP1259" s="1684"/>
      <c r="AQ1259" s="1684"/>
      <c r="AR1259" s="1684"/>
      <c r="AS1259" s="1684"/>
      <c r="AT1259" s="1684"/>
      <c r="AU1259" s="1684"/>
      <c r="AV1259" s="1684"/>
      <c r="AW1259" s="1684"/>
      <c r="AX1259" s="1684"/>
      <c r="AY1259" s="1684"/>
      <c r="AZ1259" s="1684"/>
      <c r="BA1259" s="1684"/>
      <c r="BB1259" s="1684"/>
      <c r="BC1259" s="1684"/>
      <c r="BD1259" s="1684"/>
      <c r="BE1259" s="1684"/>
      <c r="BF1259" s="1684"/>
      <c r="BG1259" s="1684"/>
      <c r="BH1259" s="1684"/>
      <c r="BI1259" s="1684"/>
      <c r="BJ1259" s="1684"/>
      <c r="BK1259" s="1684"/>
      <c r="BL1259" s="1684"/>
      <c r="BM1259" s="1684"/>
      <c r="BN1259" s="1684"/>
      <c r="BO1259" s="1684"/>
      <c r="BP1259" s="1684"/>
      <c r="BQ1259" s="1684"/>
      <c r="BR1259" s="1684"/>
      <c r="BS1259" s="1684"/>
      <c r="BT1259" s="1684"/>
      <c r="BU1259" s="1684"/>
      <c r="BV1259" s="1684"/>
      <c r="BW1259" s="1684"/>
      <c r="BX1259" s="1684"/>
      <c r="BY1259" s="1684"/>
      <c r="BZ1259" s="1684"/>
      <c r="CA1259" s="1684"/>
      <c r="CB1259" s="1684"/>
      <c r="CC1259" s="1684"/>
      <c r="CD1259" s="1684"/>
      <c r="CE1259" s="1684"/>
      <c r="CF1259" s="1684"/>
      <c r="CG1259" s="1684"/>
      <c r="CH1259" s="1684"/>
      <c r="CI1259" s="1684"/>
      <c r="CJ1259" s="1684"/>
      <c r="CK1259" s="1684"/>
      <c r="CL1259" s="1684"/>
      <c r="CM1259" s="1684"/>
      <c r="CN1259" s="1684"/>
      <c r="CO1259" s="1684"/>
    </row>
    <row r="1260" spans="1:93" s="1391" customFormat="1" ht="15" x14ac:dyDescent="0.2">
      <c r="A1260" s="1684"/>
      <c r="B1260" s="1684"/>
      <c r="C1260" s="2013">
        <v>17</v>
      </c>
      <c r="D1260" s="5">
        <v>10.073</v>
      </c>
      <c r="E1260" s="5">
        <v>299</v>
      </c>
      <c r="F1260" s="5">
        <v>328</v>
      </c>
      <c r="G1260" s="5">
        <v>356</v>
      </c>
      <c r="H1260" s="5">
        <v>383</v>
      </c>
      <c r="I1260" s="5">
        <v>410</v>
      </c>
      <c r="J1260" s="5">
        <v>437</v>
      </c>
      <c r="K1260" s="5">
        <v>462</v>
      </c>
      <c r="L1260" s="5">
        <v>489</v>
      </c>
      <c r="M1260" s="5">
        <v>513</v>
      </c>
      <c r="N1260" s="5">
        <v>537</v>
      </c>
      <c r="O1260" s="5">
        <v>561</v>
      </c>
      <c r="P1260" s="5">
        <v>583</v>
      </c>
      <c r="Q1260" s="1160">
        <v>65</v>
      </c>
      <c r="R1260"/>
      <c r="S1260" s="1684"/>
      <c r="T1260" s="1684"/>
      <c r="U1260" s="1684"/>
      <c r="V1260" s="1684"/>
      <c r="W1260" s="1684"/>
      <c r="X1260" s="1684"/>
      <c r="Y1260" s="1684"/>
      <c r="Z1260" s="1684"/>
      <c r="AA1260" s="1684"/>
      <c r="AB1260" s="1684"/>
      <c r="AC1260" s="1684"/>
      <c r="AD1260" s="1684"/>
      <c r="AE1260" s="1684"/>
      <c r="AF1260" s="1684"/>
      <c r="AG1260" s="1684"/>
      <c r="AH1260" s="1684"/>
      <c r="AI1260" s="1684"/>
      <c r="AJ1260" s="1684"/>
      <c r="AK1260" s="1684"/>
      <c r="AL1260" s="1684"/>
      <c r="AM1260" s="1684"/>
      <c r="AN1260" s="1684"/>
      <c r="AO1260" s="1684"/>
      <c r="AP1260" s="1684"/>
      <c r="AQ1260" s="1684"/>
      <c r="AR1260" s="1684"/>
      <c r="AS1260" s="1684"/>
      <c r="AT1260" s="1684"/>
      <c r="AU1260" s="1684"/>
      <c r="AV1260" s="1684"/>
      <c r="AW1260" s="1684"/>
      <c r="AX1260" s="1684"/>
      <c r="AY1260" s="1684"/>
      <c r="AZ1260" s="1684"/>
      <c r="BA1260" s="1684"/>
      <c r="BB1260" s="1684"/>
      <c r="BC1260" s="1684"/>
      <c r="BD1260" s="1684"/>
      <c r="BE1260" s="1684"/>
      <c r="BF1260" s="1684"/>
      <c r="BG1260" s="1684"/>
      <c r="BH1260" s="1684"/>
      <c r="BI1260" s="1684"/>
      <c r="BJ1260" s="1684"/>
      <c r="BK1260" s="1684"/>
      <c r="BL1260" s="1684"/>
      <c r="BM1260" s="1684"/>
      <c r="BN1260" s="1684"/>
      <c r="BO1260" s="1684"/>
      <c r="BP1260" s="1684"/>
      <c r="BQ1260" s="1684"/>
      <c r="BR1260" s="1684"/>
      <c r="BS1260" s="1684"/>
      <c r="BT1260" s="1684"/>
      <c r="BU1260" s="1684"/>
      <c r="BV1260" s="1684"/>
      <c r="BW1260" s="1684"/>
      <c r="BX1260" s="1684"/>
      <c r="BY1260" s="1684"/>
      <c r="BZ1260" s="1684"/>
      <c r="CA1260" s="1684"/>
      <c r="CB1260" s="1684"/>
      <c r="CC1260" s="1684"/>
      <c r="CD1260" s="1684"/>
      <c r="CE1260" s="1684"/>
      <c r="CF1260" s="1684"/>
      <c r="CG1260" s="1684"/>
      <c r="CH1260" s="1684"/>
      <c r="CI1260" s="1684"/>
      <c r="CJ1260" s="1684"/>
      <c r="CK1260" s="1684"/>
      <c r="CL1260" s="1684"/>
      <c r="CM1260" s="1684"/>
      <c r="CN1260" s="1684"/>
      <c r="CO1260" s="1684"/>
    </row>
    <row r="1261" spans="1:93" s="1391" customFormat="1" ht="15" x14ac:dyDescent="0.2">
      <c r="A1261" s="1684"/>
      <c r="B1261" s="1684"/>
      <c r="C1261" s="2013">
        <v>18</v>
      </c>
      <c r="D1261" s="5">
        <v>10.558</v>
      </c>
      <c r="E1261" s="5">
        <v>315</v>
      </c>
      <c r="F1261" s="5">
        <v>346</v>
      </c>
      <c r="G1261" s="5">
        <v>375</v>
      </c>
      <c r="H1261" s="5">
        <v>403</v>
      </c>
      <c r="I1261" s="5">
        <v>431</v>
      </c>
      <c r="J1261" s="5">
        <v>459</v>
      </c>
      <c r="K1261" s="5">
        <v>486</v>
      </c>
      <c r="L1261" s="5">
        <v>514</v>
      </c>
      <c r="M1261" s="5">
        <v>538</v>
      </c>
      <c r="N1261" s="5">
        <v>564</v>
      </c>
      <c r="O1261" s="5">
        <v>589</v>
      </c>
      <c r="P1261" s="5">
        <v>613</v>
      </c>
      <c r="Q1261" s="1160">
        <v>66</v>
      </c>
      <c r="R1261"/>
      <c r="S1261" s="1684"/>
      <c r="T1261" s="1684"/>
      <c r="U1261" s="1684"/>
      <c r="V1261" s="1684"/>
      <c r="W1261" s="1684"/>
      <c r="X1261" s="1684"/>
      <c r="Y1261" s="1684"/>
      <c r="Z1261" s="1684"/>
      <c r="AA1261" s="1684"/>
      <c r="AB1261" s="1684"/>
      <c r="AC1261" s="1684"/>
      <c r="AD1261" s="1684"/>
      <c r="AE1261" s="1684"/>
      <c r="AF1261" s="1684"/>
      <c r="AG1261" s="1684"/>
      <c r="AH1261" s="1684"/>
      <c r="AI1261" s="1684"/>
      <c r="AJ1261" s="1684"/>
      <c r="AK1261" s="1684"/>
      <c r="AL1261" s="1684"/>
      <c r="AM1261" s="1684"/>
      <c r="AN1261" s="1684"/>
      <c r="AO1261" s="1684"/>
      <c r="AP1261" s="1684"/>
      <c r="AQ1261" s="1684"/>
      <c r="AR1261" s="1684"/>
      <c r="AS1261" s="1684"/>
      <c r="AT1261" s="1684"/>
      <c r="AU1261" s="1684"/>
      <c r="AV1261" s="1684"/>
      <c r="AW1261" s="1684"/>
      <c r="AX1261" s="1684"/>
      <c r="AY1261" s="1684"/>
      <c r="AZ1261" s="1684"/>
      <c r="BA1261" s="1684"/>
      <c r="BB1261" s="1684"/>
      <c r="BC1261" s="1684"/>
      <c r="BD1261" s="1684"/>
      <c r="BE1261" s="1684"/>
      <c r="BF1261" s="1684"/>
      <c r="BG1261" s="1684"/>
      <c r="BH1261" s="1684"/>
      <c r="BI1261" s="1684"/>
      <c r="BJ1261" s="1684"/>
      <c r="BK1261" s="1684"/>
      <c r="BL1261" s="1684"/>
      <c r="BM1261" s="1684"/>
      <c r="BN1261" s="1684"/>
      <c r="BO1261" s="1684"/>
      <c r="BP1261" s="1684"/>
      <c r="BQ1261" s="1684"/>
      <c r="BR1261" s="1684"/>
      <c r="BS1261" s="1684"/>
      <c r="BT1261" s="1684"/>
      <c r="BU1261" s="1684"/>
      <c r="BV1261" s="1684"/>
      <c r="BW1261" s="1684"/>
      <c r="BX1261" s="1684"/>
      <c r="BY1261" s="1684"/>
      <c r="BZ1261" s="1684"/>
      <c r="CA1261" s="1684"/>
      <c r="CB1261" s="1684"/>
      <c r="CC1261" s="1684"/>
      <c r="CD1261" s="1684"/>
      <c r="CE1261" s="1684"/>
      <c r="CF1261" s="1684"/>
      <c r="CG1261" s="1684"/>
      <c r="CH1261" s="1684"/>
      <c r="CI1261" s="1684"/>
      <c r="CJ1261" s="1684"/>
      <c r="CK1261" s="1684"/>
      <c r="CL1261" s="1684"/>
      <c r="CM1261" s="1684"/>
      <c r="CN1261" s="1684"/>
      <c r="CO1261" s="1684"/>
    </row>
    <row r="1262" spans="1:93" s="1391" customFormat="1" ht="15" x14ac:dyDescent="0.2">
      <c r="A1262" s="1684"/>
      <c r="B1262" s="1684"/>
      <c r="C1262" s="4680" t="s">
        <v>3692</v>
      </c>
      <c r="D1262" s="4681"/>
      <c r="E1262" s="4681"/>
      <c r="F1262" s="4681"/>
      <c r="G1262" s="4681"/>
      <c r="H1262" s="4681"/>
      <c r="I1262" s="4681"/>
      <c r="J1262" s="4681"/>
      <c r="K1262" s="4681"/>
      <c r="L1262" s="4681"/>
      <c r="M1262" s="4681"/>
      <c r="N1262" s="4681"/>
      <c r="O1262" s="4681"/>
      <c r="P1262" s="4681"/>
      <c r="Q1262" s="4682"/>
      <c r="R1262"/>
      <c r="S1262" s="1684"/>
      <c r="T1262" s="1684"/>
      <c r="U1262" s="1684"/>
      <c r="V1262" s="1684"/>
      <c r="W1262" s="1684"/>
      <c r="X1262" s="1684"/>
      <c r="Y1262" s="1684"/>
      <c r="Z1262" s="1684"/>
      <c r="AA1262" s="1684"/>
      <c r="AB1262" s="1684"/>
      <c r="AC1262" s="1684"/>
      <c r="AD1262" s="1684"/>
      <c r="AE1262" s="1684"/>
      <c r="AF1262" s="1684"/>
      <c r="AG1262" s="1684"/>
      <c r="AH1262" s="1684"/>
      <c r="AI1262" s="1684"/>
      <c r="AJ1262" s="1684"/>
      <c r="AK1262" s="1684"/>
      <c r="AL1262" s="1684"/>
      <c r="AM1262" s="1684"/>
      <c r="AN1262" s="1684"/>
      <c r="AO1262" s="1684"/>
      <c r="AP1262" s="1684"/>
      <c r="AQ1262" s="1684"/>
      <c r="AR1262" s="1684"/>
      <c r="AS1262" s="1684"/>
      <c r="AT1262" s="1684"/>
      <c r="AU1262" s="1684"/>
      <c r="AV1262" s="1684"/>
      <c r="AW1262" s="1684"/>
      <c r="AX1262" s="1684"/>
      <c r="AY1262" s="1684"/>
      <c r="AZ1262" s="1684"/>
      <c r="BA1262" s="1684"/>
      <c r="BB1262" s="1684"/>
      <c r="BC1262" s="1684"/>
      <c r="BD1262" s="1684"/>
      <c r="BE1262" s="1684"/>
      <c r="BF1262" s="1684"/>
      <c r="BG1262" s="1684"/>
      <c r="BH1262" s="1684"/>
      <c r="BI1262" s="1684"/>
      <c r="BJ1262" s="1684"/>
      <c r="BK1262" s="1684"/>
      <c r="BL1262" s="1684"/>
      <c r="BM1262" s="1684"/>
      <c r="BN1262" s="1684"/>
      <c r="BO1262" s="1684"/>
      <c r="BP1262" s="1684"/>
      <c r="BQ1262" s="1684"/>
      <c r="BR1262" s="1684"/>
      <c r="BS1262" s="1684"/>
      <c r="BT1262" s="1684"/>
      <c r="BU1262" s="1684"/>
      <c r="BV1262" s="1684"/>
      <c r="BW1262" s="1684"/>
      <c r="BX1262" s="1684"/>
      <c r="BY1262" s="1684"/>
      <c r="BZ1262" s="1684"/>
      <c r="CA1262" s="1684"/>
      <c r="CB1262" s="1684"/>
      <c r="CC1262" s="1684"/>
      <c r="CD1262" s="1684"/>
      <c r="CE1262" s="1684"/>
      <c r="CF1262" s="1684"/>
      <c r="CG1262" s="1684"/>
      <c r="CH1262" s="1684"/>
      <c r="CI1262" s="1684"/>
      <c r="CJ1262" s="1684"/>
      <c r="CK1262" s="1684"/>
      <c r="CL1262" s="1684"/>
      <c r="CM1262" s="1684"/>
      <c r="CN1262" s="1684"/>
      <c r="CO1262" s="1684"/>
    </row>
    <row r="1263" spans="1:93" s="1391" customFormat="1" ht="15" x14ac:dyDescent="0.2">
      <c r="A1263" s="1684"/>
      <c r="B1263" s="1684"/>
      <c r="C1263" s="4680"/>
      <c r="D1263" s="4681"/>
      <c r="E1263" s="4681"/>
      <c r="F1263" s="4681"/>
      <c r="G1263" s="4681"/>
      <c r="H1263" s="4681"/>
      <c r="I1263" s="4681"/>
      <c r="J1263" s="4681"/>
      <c r="K1263" s="4681"/>
      <c r="L1263" s="4681"/>
      <c r="M1263" s="4681"/>
      <c r="N1263" s="4681"/>
      <c r="O1263" s="4681"/>
      <c r="P1263" s="4681"/>
      <c r="Q1263" s="4682"/>
      <c r="R1263"/>
      <c r="S1263" s="1684"/>
      <c r="T1263" s="1684"/>
      <c r="U1263" s="1684"/>
      <c r="V1263" s="1684"/>
      <c r="W1263" s="1684"/>
      <c r="X1263" s="1684"/>
      <c r="Y1263" s="1684"/>
      <c r="Z1263" s="1684"/>
      <c r="AA1263" s="1684"/>
      <c r="AB1263" s="1684"/>
      <c r="AC1263" s="1684"/>
      <c r="AD1263" s="1684"/>
      <c r="AE1263" s="1684"/>
      <c r="AF1263" s="1684"/>
      <c r="AG1263" s="1684"/>
      <c r="AH1263" s="1684"/>
      <c r="AI1263" s="1684"/>
      <c r="AJ1263" s="1684"/>
      <c r="AK1263" s="1684"/>
      <c r="AL1263" s="1684"/>
      <c r="AM1263" s="1684"/>
      <c r="AN1263" s="1684"/>
      <c r="AO1263" s="1684"/>
      <c r="AP1263" s="1684"/>
      <c r="AQ1263" s="1684"/>
      <c r="AR1263" s="1684"/>
      <c r="AS1263" s="1684"/>
      <c r="AT1263" s="1684"/>
      <c r="AU1263" s="1684"/>
      <c r="AV1263" s="1684"/>
      <c r="AW1263" s="1684"/>
      <c r="AX1263" s="1684"/>
      <c r="AY1263" s="1684"/>
      <c r="AZ1263" s="1684"/>
      <c r="BA1263" s="1684"/>
      <c r="BB1263" s="1684"/>
      <c r="BC1263" s="1684"/>
      <c r="BD1263" s="1684"/>
      <c r="BE1263" s="1684"/>
      <c r="BF1263" s="1684"/>
      <c r="BG1263" s="1684"/>
      <c r="BH1263" s="1684"/>
      <c r="BI1263" s="1684"/>
      <c r="BJ1263" s="1684"/>
      <c r="BK1263" s="1684"/>
      <c r="BL1263" s="1684"/>
      <c r="BM1263" s="1684"/>
      <c r="BN1263" s="1684"/>
      <c r="BO1263" s="1684"/>
      <c r="BP1263" s="1684"/>
      <c r="BQ1263" s="1684"/>
      <c r="BR1263" s="1684"/>
      <c r="BS1263" s="1684"/>
      <c r="BT1263" s="1684"/>
      <c r="BU1263" s="1684"/>
      <c r="BV1263" s="1684"/>
      <c r="BW1263" s="1684"/>
      <c r="BX1263" s="1684"/>
      <c r="BY1263" s="1684"/>
      <c r="BZ1263" s="1684"/>
      <c r="CA1263" s="1684"/>
      <c r="CB1263" s="1684"/>
      <c r="CC1263" s="1684"/>
      <c r="CD1263" s="1684"/>
      <c r="CE1263" s="1684"/>
      <c r="CF1263" s="1684"/>
      <c r="CG1263" s="1684"/>
      <c r="CH1263" s="1684"/>
      <c r="CI1263" s="1684"/>
      <c r="CJ1263" s="1684"/>
      <c r="CK1263" s="1684"/>
      <c r="CL1263" s="1684"/>
      <c r="CM1263" s="1684"/>
      <c r="CN1263" s="1684"/>
      <c r="CO1263" s="1684"/>
    </row>
    <row r="1264" spans="1:93" s="1391" customFormat="1" ht="15" x14ac:dyDescent="0.2">
      <c r="A1264" s="1684"/>
      <c r="B1264" s="1684"/>
      <c r="C1264" s="2014"/>
      <c r="D1264" s="2015"/>
      <c r="E1264" s="2015">
        <v>1</v>
      </c>
      <c r="F1264" s="2015">
        <v>2</v>
      </c>
      <c r="G1264" s="2015">
        <v>3</v>
      </c>
      <c r="H1264" s="2015">
        <v>4</v>
      </c>
      <c r="I1264" s="2015">
        <v>5</v>
      </c>
      <c r="J1264" s="2015">
        <v>6</v>
      </c>
      <c r="K1264" s="2015">
        <v>7</v>
      </c>
      <c r="L1264" s="2015">
        <v>8</v>
      </c>
      <c r="M1264" s="2015">
        <v>9</v>
      </c>
      <c r="N1264" s="2015">
        <v>10</v>
      </c>
      <c r="O1264" s="2015">
        <v>11</v>
      </c>
      <c r="P1264" s="2015">
        <v>12</v>
      </c>
      <c r="Q1264" s="2016"/>
      <c r="R1264"/>
      <c r="S1264" s="1684"/>
      <c r="T1264" s="1684"/>
      <c r="U1264" s="1684"/>
      <c r="V1264" s="1684"/>
      <c r="W1264" s="1684"/>
      <c r="X1264" s="1684"/>
      <c r="Y1264" s="1684"/>
      <c r="Z1264" s="1684"/>
      <c r="AA1264" s="1684"/>
      <c r="AB1264" s="1684"/>
      <c r="AC1264" s="1684"/>
      <c r="AD1264" s="1684"/>
      <c r="AE1264" s="1684"/>
      <c r="AF1264" s="1684"/>
      <c r="AG1264" s="1684"/>
      <c r="AH1264" s="1684"/>
      <c r="AI1264" s="1684"/>
      <c r="AJ1264" s="1684"/>
      <c r="AK1264" s="1684"/>
      <c r="AL1264" s="1684"/>
      <c r="AM1264" s="1684"/>
      <c r="AN1264" s="1684"/>
      <c r="AO1264" s="1684"/>
      <c r="AP1264" s="1684"/>
      <c r="AQ1264" s="1684"/>
      <c r="AR1264" s="1684"/>
      <c r="AS1264" s="1684"/>
      <c r="AT1264" s="1684"/>
      <c r="AU1264" s="1684"/>
      <c r="AV1264" s="1684"/>
      <c r="AW1264" s="1684"/>
      <c r="AX1264" s="1684"/>
      <c r="AY1264" s="1684"/>
      <c r="AZ1264" s="1684"/>
      <c r="BA1264" s="1684"/>
      <c r="BB1264" s="1684"/>
      <c r="BC1264" s="1684"/>
      <c r="BD1264" s="1684"/>
      <c r="BE1264" s="1684"/>
      <c r="BF1264" s="1684"/>
      <c r="BG1264" s="1684"/>
      <c r="BH1264" s="1684"/>
      <c r="BI1264" s="1684"/>
      <c r="BJ1264" s="1684"/>
      <c r="BK1264" s="1684"/>
      <c r="BL1264" s="1684"/>
      <c r="BM1264" s="1684"/>
      <c r="BN1264" s="1684"/>
      <c r="BO1264" s="1684"/>
      <c r="BP1264" s="1684"/>
      <c r="BQ1264" s="1684"/>
      <c r="BR1264" s="1684"/>
      <c r="BS1264" s="1684"/>
      <c r="BT1264" s="1684"/>
      <c r="BU1264" s="1684"/>
      <c r="BV1264" s="1684"/>
      <c r="BW1264" s="1684"/>
      <c r="BX1264" s="1684"/>
      <c r="BY1264" s="1684"/>
      <c r="BZ1264" s="1684"/>
      <c r="CA1264" s="1684"/>
      <c r="CB1264" s="1684"/>
      <c r="CC1264" s="1684"/>
      <c r="CD1264" s="1684"/>
      <c r="CE1264" s="1684"/>
      <c r="CF1264" s="1684"/>
      <c r="CG1264" s="1684"/>
      <c r="CH1264" s="1684"/>
      <c r="CI1264" s="1684"/>
      <c r="CJ1264" s="1684"/>
      <c r="CK1264" s="1684"/>
      <c r="CL1264" s="1684"/>
      <c r="CM1264" s="1684"/>
      <c r="CN1264" s="1684"/>
      <c r="CO1264" s="1684"/>
    </row>
    <row r="1265" spans="1:93" s="1391" customFormat="1" ht="15" x14ac:dyDescent="0.2">
      <c r="A1265" s="1684"/>
      <c r="B1265" s="1684"/>
      <c r="C1265" s="2013">
        <v>8</v>
      </c>
      <c r="D1265" s="5">
        <v>5.4279999999999999</v>
      </c>
      <c r="E1265" s="5">
        <v>147</v>
      </c>
      <c r="F1265" s="5">
        <v>162</v>
      </c>
      <c r="G1265" s="5">
        <v>177</v>
      </c>
      <c r="H1265" s="5">
        <v>191</v>
      </c>
      <c r="I1265" s="5">
        <v>206</v>
      </c>
      <c r="J1265" s="5">
        <v>220</v>
      </c>
      <c r="K1265" s="5">
        <v>234</v>
      </c>
      <c r="L1265" s="5">
        <v>248</v>
      </c>
      <c r="M1265" s="5">
        <v>261</v>
      </c>
      <c r="N1265" s="5">
        <v>275</v>
      </c>
      <c r="O1265" s="5">
        <v>289</v>
      </c>
      <c r="P1265" s="5">
        <v>302</v>
      </c>
      <c r="Q1265" s="1160">
        <v>67</v>
      </c>
      <c r="R1265"/>
      <c r="S1265" s="1684"/>
      <c r="T1265" s="1684"/>
      <c r="U1265" s="1684"/>
      <c r="V1265" s="1684"/>
      <c r="W1265" s="1684"/>
      <c r="X1265" s="1684"/>
      <c r="Y1265" s="1684"/>
      <c r="Z1265" s="1684"/>
      <c r="AA1265" s="1684"/>
      <c r="AB1265" s="1684"/>
      <c r="AC1265" s="1684"/>
      <c r="AD1265" s="1684"/>
      <c r="AE1265" s="1684"/>
      <c r="AF1265" s="1684"/>
      <c r="AG1265" s="1684"/>
      <c r="AH1265" s="1684"/>
      <c r="AI1265" s="1684"/>
      <c r="AJ1265" s="1684"/>
      <c r="AK1265" s="1684"/>
      <c r="AL1265" s="1684"/>
      <c r="AM1265" s="1684"/>
      <c r="AN1265" s="1684"/>
      <c r="AO1265" s="1684"/>
      <c r="AP1265" s="1684"/>
      <c r="AQ1265" s="1684"/>
      <c r="AR1265" s="1684"/>
      <c r="AS1265" s="1684"/>
      <c r="AT1265" s="1684"/>
      <c r="AU1265" s="1684"/>
      <c r="AV1265" s="1684"/>
      <c r="AW1265" s="1684"/>
      <c r="AX1265" s="1684"/>
      <c r="AY1265" s="1684"/>
      <c r="AZ1265" s="1684"/>
      <c r="BA1265" s="1684"/>
      <c r="BB1265" s="1684"/>
      <c r="BC1265" s="1684"/>
      <c r="BD1265" s="1684"/>
      <c r="BE1265" s="1684"/>
      <c r="BF1265" s="1684"/>
      <c r="BG1265" s="1684"/>
      <c r="BH1265" s="1684"/>
      <c r="BI1265" s="1684"/>
      <c r="BJ1265" s="1684"/>
      <c r="BK1265" s="1684"/>
      <c r="BL1265" s="1684"/>
      <c r="BM1265" s="1684"/>
      <c r="BN1265" s="1684"/>
      <c r="BO1265" s="1684"/>
      <c r="BP1265" s="1684"/>
      <c r="BQ1265" s="1684"/>
      <c r="BR1265" s="1684"/>
      <c r="BS1265" s="1684"/>
      <c r="BT1265" s="1684"/>
      <c r="BU1265" s="1684"/>
      <c r="BV1265" s="1684"/>
      <c r="BW1265" s="1684"/>
      <c r="BX1265" s="1684"/>
      <c r="BY1265" s="1684"/>
      <c r="BZ1265" s="1684"/>
      <c r="CA1265" s="1684"/>
      <c r="CB1265" s="1684"/>
      <c r="CC1265" s="1684"/>
      <c r="CD1265" s="1684"/>
      <c r="CE1265" s="1684"/>
      <c r="CF1265" s="1684"/>
      <c r="CG1265" s="1684"/>
      <c r="CH1265" s="1684"/>
      <c r="CI1265" s="1684"/>
      <c r="CJ1265" s="1684"/>
      <c r="CK1265" s="1684"/>
      <c r="CL1265" s="1684"/>
      <c r="CM1265" s="1684"/>
      <c r="CN1265" s="1684"/>
      <c r="CO1265" s="1684"/>
    </row>
    <row r="1266" spans="1:93" s="1391" customFormat="1" ht="15" x14ac:dyDescent="0.2">
      <c r="A1266" s="1684"/>
      <c r="B1266" s="1684"/>
      <c r="C1266" s="2013">
        <v>9</v>
      </c>
      <c r="D1266" s="5">
        <v>6.0110000000000001</v>
      </c>
      <c r="E1266" s="5">
        <v>162</v>
      </c>
      <c r="F1266" s="5">
        <v>181</v>
      </c>
      <c r="G1266" s="5">
        <v>195</v>
      </c>
      <c r="H1266" s="5">
        <v>211</v>
      </c>
      <c r="I1266" s="5">
        <v>227</v>
      </c>
      <c r="J1266" s="5">
        <v>242</v>
      </c>
      <c r="K1266" s="5">
        <v>257</v>
      </c>
      <c r="L1266" s="5">
        <v>273</v>
      </c>
      <c r="M1266" s="5">
        <v>288</v>
      </c>
      <c r="N1266" s="5">
        <v>303</v>
      </c>
      <c r="O1266" s="5">
        <v>317</v>
      </c>
      <c r="P1266" s="5">
        <v>332</v>
      </c>
      <c r="Q1266" s="1160">
        <v>68</v>
      </c>
      <c r="R1266"/>
      <c r="S1266" s="1684"/>
      <c r="T1266" s="1684"/>
      <c r="U1266" s="1684"/>
      <c r="V1266" s="1684"/>
      <c r="W1266" s="1684"/>
      <c r="X1266" s="1684"/>
      <c r="Y1266" s="1684"/>
      <c r="Z1266" s="1684"/>
      <c r="AA1266" s="1684"/>
      <c r="AB1266" s="1684"/>
      <c r="AC1266" s="1684"/>
      <c r="AD1266" s="1684"/>
      <c r="AE1266" s="1684"/>
      <c r="AF1266" s="1684"/>
      <c r="AG1266" s="1684"/>
      <c r="AH1266" s="1684"/>
      <c r="AI1266" s="1684"/>
      <c r="AJ1266" s="1684"/>
      <c r="AK1266" s="1684"/>
      <c r="AL1266" s="1684"/>
      <c r="AM1266" s="1684"/>
      <c r="AN1266" s="1684"/>
      <c r="AO1266" s="1684"/>
      <c r="AP1266" s="1684"/>
      <c r="AQ1266" s="1684"/>
      <c r="AR1266" s="1684"/>
      <c r="AS1266" s="1684"/>
      <c r="AT1266" s="1684"/>
      <c r="AU1266" s="1684"/>
      <c r="AV1266" s="1684"/>
      <c r="AW1266" s="1684"/>
      <c r="AX1266" s="1684"/>
      <c r="AY1266" s="1684"/>
      <c r="AZ1266" s="1684"/>
      <c r="BA1266" s="1684"/>
      <c r="BB1266" s="1684"/>
      <c r="BC1266" s="1684"/>
      <c r="BD1266" s="1684"/>
      <c r="BE1266" s="1684"/>
      <c r="BF1266" s="1684"/>
      <c r="BG1266" s="1684"/>
      <c r="BH1266" s="1684"/>
      <c r="BI1266" s="1684"/>
      <c r="BJ1266" s="1684"/>
      <c r="BK1266" s="1684"/>
      <c r="BL1266" s="1684"/>
      <c r="BM1266" s="1684"/>
      <c r="BN1266" s="1684"/>
      <c r="BO1266" s="1684"/>
      <c r="BP1266" s="1684"/>
      <c r="BQ1266" s="1684"/>
      <c r="BR1266" s="1684"/>
      <c r="BS1266" s="1684"/>
      <c r="BT1266" s="1684"/>
      <c r="BU1266" s="1684"/>
      <c r="BV1266" s="1684"/>
      <c r="BW1266" s="1684"/>
      <c r="BX1266" s="1684"/>
      <c r="BY1266" s="1684"/>
      <c r="BZ1266" s="1684"/>
      <c r="CA1266" s="1684"/>
      <c r="CB1266" s="1684"/>
      <c r="CC1266" s="1684"/>
      <c r="CD1266" s="1684"/>
      <c r="CE1266" s="1684"/>
      <c r="CF1266" s="1684"/>
      <c r="CG1266" s="1684"/>
      <c r="CH1266" s="1684"/>
      <c r="CI1266" s="1684"/>
      <c r="CJ1266" s="1684"/>
      <c r="CK1266" s="1684"/>
      <c r="CL1266" s="1684"/>
      <c r="CM1266" s="1684"/>
      <c r="CN1266" s="1684"/>
      <c r="CO1266" s="1684"/>
    </row>
    <row r="1267" spans="1:93" s="1391" customFormat="1" ht="15" x14ac:dyDescent="0.2">
      <c r="A1267" s="1684"/>
      <c r="B1267" s="1684"/>
      <c r="C1267" s="2013">
        <v>10</v>
      </c>
      <c r="D1267" s="5">
        <v>6.4189999999999996</v>
      </c>
      <c r="E1267" s="5">
        <v>178</v>
      </c>
      <c r="F1267" s="5">
        <v>197</v>
      </c>
      <c r="G1267" s="5">
        <v>214</v>
      </c>
      <c r="H1267" s="5">
        <v>232</v>
      </c>
      <c r="I1267" s="5">
        <v>249</v>
      </c>
      <c r="J1267" s="5">
        <v>266</v>
      </c>
      <c r="K1267" s="5">
        <v>282</v>
      </c>
      <c r="L1267" s="5">
        <v>300</v>
      </c>
      <c r="M1267" s="5">
        <v>315</v>
      </c>
      <c r="N1267" s="5">
        <v>331</v>
      </c>
      <c r="O1267" s="5">
        <v>347</v>
      </c>
      <c r="P1267" s="5">
        <v>363</v>
      </c>
      <c r="Q1267" s="1160">
        <v>69</v>
      </c>
      <c r="R1267"/>
      <c r="S1267" s="1684"/>
      <c r="T1267" s="1684"/>
      <c r="U1267" s="1684"/>
      <c r="V1267" s="1684"/>
      <c r="W1267" s="1684"/>
      <c r="X1267" s="1684"/>
      <c r="Y1267" s="1684"/>
      <c r="Z1267" s="1684"/>
      <c r="AA1267" s="1684"/>
      <c r="AB1267" s="1684"/>
      <c r="AC1267" s="1684"/>
      <c r="AD1267" s="1684"/>
      <c r="AE1267" s="1684"/>
      <c r="AF1267" s="1684"/>
      <c r="AG1267" s="1684"/>
      <c r="AH1267" s="1684"/>
      <c r="AI1267" s="1684"/>
      <c r="AJ1267" s="1684"/>
      <c r="AK1267" s="1684"/>
      <c r="AL1267" s="1684"/>
      <c r="AM1267" s="1684"/>
      <c r="AN1267" s="1684"/>
      <c r="AO1267" s="1684"/>
      <c r="AP1267" s="1684"/>
      <c r="AQ1267" s="1684"/>
      <c r="AR1267" s="1684"/>
      <c r="AS1267" s="1684"/>
      <c r="AT1267" s="1684"/>
      <c r="AU1267" s="1684"/>
      <c r="AV1267" s="1684"/>
      <c r="AW1267" s="1684"/>
      <c r="AX1267" s="1684"/>
      <c r="AY1267" s="1684"/>
      <c r="AZ1267" s="1684"/>
      <c r="BA1267" s="1684"/>
      <c r="BB1267" s="1684"/>
      <c r="BC1267" s="1684"/>
      <c r="BD1267" s="1684"/>
      <c r="BE1267" s="1684"/>
      <c r="BF1267" s="1684"/>
      <c r="BG1267" s="1684"/>
      <c r="BH1267" s="1684"/>
      <c r="BI1267" s="1684"/>
      <c r="BJ1267" s="1684"/>
      <c r="BK1267" s="1684"/>
      <c r="BL1267" s="1684"/>
      <c r="BM1267" s="1684"/>
      <c r="BN1267" s="1684"/>
      <c r="BO1267" s="1684"/>
      <c r="BP1267" s="1684"/>
      <c r="BQ1267" s="1684"/>
      <c r="BR1267" s="1684"/>
      <c r="BS1267" s="1684"/>
      <c r="BT1267" s="1684"/>
      <c r="BU1267" s="1684"/>
      <c r="BV1267" s="1684"/>
      <c r="BW1267" s="1684"/>
      <c r="BX1267" s="1684"/>
      <c r="BY1267" s="1684"/>
      <c r="BZ1267" s="1684"/>
      <c r="CA1267" s="1684"/>
      <c r="CB1267" s="1684"/>
      <c r="CC1267" s="1684"/>
      <c r="CD1267" s="1684"/>
      <c r="CE1267" s="1684"/>
      <c r="CF1267" s="1684"/>
      <c r="CG1267" s="1684"/>
      <c r="CH1267" s="1684"/>
      <c r="CI1267" s="1684"/>
      <c r="CJ1267" s="1684"/>
      <c r="CK1267" s="1684"/>
      <c r="CL1267" s="1684"/>
      <c r="CM1267" s="1684"/>
      <c r="CN1267" s="1684"/>
      <c r="CO1267" s="1684"/>
    </row>
    <row r="1268" spans="1:93" s="1391" customFormat="1" ht="15" x14ac:dyDescent="0.2">
      <c r="A1268" s="1684"/>
      <c r="B1268" s="1684"/>
      <c r="C1268" s="2013">
        <v>11</v>
      </c>
      <c r="D1268" s="5">
        <v>6.8029999999999999</v>
      </c>
      <c r="E1268" s="5">
        <v>196</v>
      </c>
      <c r="F1268" s="5">
        <v>217</v>
      </c>
      <c r="G1268" s="5">
        <v>236</v>
      </c>
      <c r="H1268" s="5">
        <v>255</v>
      </c>
      <c r="I1268" s="5">
        <v>273</v>
      </c>
      <c r="J1268" s="5">
        <v>292</v>
      </c>
      <c r="K1268" s="5">
        <v>310</v>
      </c>
      <c r="L1268" s="5">
        <v>329</v>
      </c>
      <c r="M1268" s="5">
        <v>345</v>
      </c>
      <c r="N1268" s="5">
        <v>363</v>
      </c>
      <c r="O1268" s="5">
        <v>380</v>
      </c>
      <c r="P1268" s="5">
        <v>397</v>
      </c>
      <c r="Q1268" s="1160">
        <v>70</v>
      </c>
      <c r="R1268"/>
      <c r="S1268" s="1684"/>
      <c r="T1268" s="1684"/>
      <c r="U1268" s="1684"/>
      <c r="V1268" s="1684"/>
      <c r="W1268" s="1684"/>
      <c r="X1268" s="1684"/>
      <c r="Y1268" s="1684"/>
      <c r="Z1268" s="1684"/>
      <c r="AA1268" s="1684"/>
      <c r="AB1268" s="1684"/>
      <c r="AC1268" s="1684"/>
      <c r="AD1268" s="1684"/>
      <c r="AE1268" s="1684"/>
      <c r="AF1268" s="1684"/>
      <c r="AG1268" s="1684"/>
      <c r="AH1268" s="1684"/>
      <c r="AI1268" s="1684"/>
      <c r="AJ1268" s="1684"/>
      <c r="AK1268" s="1684"/>
      <c r="AL1268" s="1684"/>
      <c r="AM1268" s="1684"/>
      <c r="AN1268" s="1684"/>
      <c r="AO1268" s="1684"/>
      <c r="AP1268" s="1684"/>
      <c r="AQ1268" s="1684"/>
      <c r="AR1268" s="1684"/>
      <c r="AS1268" s="1684"/>
      <c r="AT1268" s="1684"/>
      <c r="AU1268" s="1684"/>
      <c r="AV1268" s="1684"/>
      <c r="AW1268" s="1684"/>
      <c r="AX1268" s="1684"/>
      <c r="AY1268" s="1684"/>
      <c r="AZ1268" s="1684"/>
      <c r="BA1268" s="1684"/>
      <c r="BB1268" s="1684"/>
      <c r="BC1268" s="1684"/>
      <c r="BD1268" s="1684"/>
      <c r="BE1268" s="1684"/>
      <c r="BF1268" s="1684"/>
      <c r="BG1268" s="1684"/>
      <c r="BH1268" s="1684"/>
      <c r="BI1268" s="1684"/>
      <c r="BJ1268" s="1684"/>
      <c r="BK1268" s="1684"/>
      <c r="BL1268" s="1684"/>
      <c r="BM1268" s="1684"/>
      <c r="BN1268" s="1684"/>
      <c r="BO1268" s="1684"/>
      <c r="BP1268" s="1684"/>
      <c r="BQ1268" s="1684"/>
      <c r="BR1268" s="1684"/>
      <c r="BS1268" s="1684"/>
      <c r="BT1268" s="1684"/>
      <c r="BU1268" s="1684"/>
      <c r="BV1268" s="1684"/>
      <c r="BW1268" s="1684"/>
      <c r="BX1268" s="1684"/>
      <c r="BY1268" s="1684"/>
      <c r="BZ1268" s="1684"/>
      <c r="CA1268" s="1684"/>
      <c r="CB1268" s="1684"/>
      <c r="CC1268" s="1684"/>
      <c r="CD1268" s="1684"/>
      <c r="CE1268" s="1684"/>
      <c r="CF1268" s="1684"/>
      <c r="CG1268" s="1684"/>
      <c r="CH1268" s="1684"/>
      <c r="CI1268" s="1684"/>
      <c r="CJ1268" s="1684"/>
      <c r="CK1268" s="1684"/>
      <c r="CL1268" s="1684"/>
      <c r="CM1268" s="1684"/>
      <c r="CN1268" s="1684"/>
      <c r="CO1268" s="1684"/>
    </row>
    <row r="1269" spans="1:93" s="1391" customFormat="1" ht="15" x14ac:dyDescent="0.2">
      <c r="A1269" s="1684"/>
      <c r="B1269" s="1684"/>
      <c r="C1269" s="2013">
        <v>12</v>
      </c>
      <c r="D1269" s="5">
        <v>7.37</v>
      </c>
      <c r="E1269" s="5">
        <v>215</v>
      </c>
      <c r="F1269" s="5">
        <v>237</v>
      </c>
      <c r="G1269" s="5">
        <v>258</v>
      </c>
      <c r="H1269" s="5">
        <v>278</v>
      </c>
      <c r="I1269" s="5">
        <v>299</v>
      </c>
      <c r="J1269" s="5">
        <v>318</v>
      </c>
      <c r="K1269" s="5">
        <v>338</v>
      </c>
      <c r="L1269" s="5">
        <v>359</v>
      </c>
      <c r="M1269" s="5">
        <v>377</v>
      </c>
      <c r="N1269" s="5">
        <v>396</v>
      </c>
      <c r="O1269" s="5">
        <v>414</v>
      </c>
      <c r="P1269" s="5">
        <v>433</v>
      </c>
      <c r="Q1269" s="1160">
        <v>71</v>
      </c>
      <c r="R1269"/>
      <c r="S1269" s="1684"/>
      <c r="T1269" s="1684"/>
      <c r="U1269" s="1684"/>
      <c r="V1269" s="1684"/>
      <c r="W1269" s="1684"/>
      <c r="X1269" s="1684"/>
      <c r="Y1269" s="1684"/>
      <c r="Z1269" s="1684"/>
      <c r="AA1269" s="1684"/>
      <c r="AB1269" s="1684"/>
      <c r="AC1269" s="1684"/>
      <c r="AD1269" s="1684"/>
      <c r="AE1269" s="1684"/>
      <c r="AF1269" s="1684"/>
      <c r="AG1269" s="1684"/>
      <c r="AH1269" s="1684"/>
      <c r="AI1269" s="1684"/>
      <c r="AJ1269" s="1684"/>
      <c r="AK1269" s="1684"/>
      <c r="AL1269" s="1684"/>
      <c r="AM1269" s="1684"/>
      <c r="AN1269" s="1684"/>
      <c r="AO1269" s="1684"/>
      <c r="AP1269" s="1684"/>
      <c r="AQ1269" s="1684"/>
      <c r="AR1269" s="1684"/>
      <c r="AS1269" s="1684"/>
      <c r="AT1269" s="1684"/>
      <c r="AU1269" s="1684"/>
      <c r="AV1269" s="1684"/>
      <c r="AW1269" s="1684"/>
      <c r="AX1269" s="1684"/>
      <c r="AY1269" s="1684"/>
      <c r="AZ1269" s="1684"/>
      <c r="BA1269" s="1684"/>
      <c r="BB1269" s="1684"/>
      <c r="BC1269" s="1684"/>
      <c r="BD1269" s="1684"/>
      <c r="BE1269" s="1684"/>
      <c r="BF1269" s="1684"/>
      <c r="BG1269" s="1684"/>
      <c r="BH1269" s="1684"/>
      <c r="BI1269" s="1684"/>
      <c r="BJ1269" s="1684"/>
      <c r="BK1269" s="1684"/>
      <c r="BL1269" s="1684"/>
      <c r="BM1269" s="1684"/>
      <c r="BN1269" s="1684"/>
      <c r="BO1269" s="1684"/>
      <c r="BP1269" s="1684"/>
      <c r="BQ1269" s="1684"/>
      <c r="BR1269" s="1684"/>
      <c r="BS1269" s="1684"/>
      <c r="BT1269" s="1684"/>
      <c r="BU1269" s="1684"/>
      <c r="BV1269" s="1684"/>
      <c r="BW1269" s="1684"/>
      <c r="BX1269" s="1684"/>
      <c r="BY1269" s="1684"/>
      <c r="BZ1269" s="1684"/>
      <c r="CA1269" s="1684"/>
      <c r="CB1269" s="1684"/>
      <c r="CC1269" s="1684"/>
      <c r="CD1269" s="1684"/>
      <c r="CE1269" s="1684"/>
      <c r="CF1269" s="1684"/>
      <c r="CG1269" s="1684"/>
      <c r="CH1269" s="1684"/>
      <c r="CI1269" s="1684"/>
      <c r="CJ1269" s="1684"/>
      <c r="CK1269" s="1684"/>
      <c r="CL1269" s="1684"/>
      <c r="CM1269" s="1684"/>
      <c r="CN1269" s="1684"/>
      <c r="CO1269" s="1684"/>
    </row>
    <row r="1270" spans="1:93" s="1391" customFormat="1" ht="15" x14ac:dyDescent="0.2">
      <c r="A1270" s="1684"/>
      <c r="B1270" s="1684"/>
      <c r="C1270" s="2013">
        <v>13</v>
      </c>
      <c r="D1270" s="5">
        <v>7.8860000000000001</v>
      </c>
      <c r="E1270" s="5">
        <v>234</v>
      </c>
      <c r="F1270" s="5">
        <v>256</v>
      </c>
      <c r="G1270" s="5">
        <v>280</v>
      </c>
      <c r="H1270" s="5">
        <v>303</v>
      </c>
      <c r="I1270" s="5">
        <v>324</v>
      </c>
      <c r="J1270" s="5">
        <v>346</v>
      </c>
      <c r="K1270" s="5">
        <v>367</v>
      </c>
      <c r="L1270" s="5">
        <v>389</v>
      </c>
      <c r="M1270" s="5">
        <v>408</v>
      </c>
      <c r="N1270" s="5">
        <v>429</v>
      </c>
      <c r="O1270" s="5">
        <v>449</v>
      </c>
      <c r="P1270" s="5">
        <v>468</v>
      </c>
      <c r="Q1270" s="1160">
        <v>72</v>
      </c>
      <c r="R1270"/>
      <c r="S1270" s="1684"/>
      <c r="T1270" s="1684"/>
      <c r="U1270" s="1684"/>
      <c r="V1270" s="1684"/>
      <c r="W1270" s="1684"/>
      <c r="X1270" s="1684"/>
      <c r="Y1270" s="1684"/>
      <c r="Z1270" s="1684"/>
      <c r="AA1270" s="1684"/>
      <c r="AB1270" s="1684"/>
      <c r="AC1270" s="1684"/>
      <c r="AD1270" s="1684"/>
      <c r="AE1270" s="1684"/>
      <c r="AF1270" s="1684"/>
      <c r="AG1270" s="1684"/>
      <c r="AH1270" s="1684"/>
      <c r="AI1270" s="1684"/>
      <c r="AJ1270" s="1684"/>
      <c r="AK1270" s="1684"/>
      <c r="AL1270" s="1684"/>
      <c r="AM1270" s="1684"/>
      <c r="AN1270" s="1684"/>
      <c r="AO1270" s="1684"/>
      <c r="AP1270" s="1684"/>
      <c r="AQ1270" s="1684"/>
      <c r="AR1270" s="1684"/>
      <c r="AS1270" s="1684"/>
      <c r="AT1270" s="1684"/>
      <c r="AU1270" s="1684"/>
      <c r="AV1270" s="1684"/>
      <c r="AW1270" s="1684"/>
      <c r="AX1270" s="1684"/>
      <c r="AY1270" s="1684"/>
      <c r="AZ1270" s="1684"/>
      <c r="BA1270" s="1684"/>
      <c r="BB1270" s="1684"/>
      <c r="BC1270" s="1684"/>
      <c r="BD1270" s="1684"/>
      <c r="BE1270" s="1684"/>
      <c r="BF1270" s="1684"/>
      <c r="BG1270" s="1684"/>
      <c r="BH1270" s="1684"/>
      <c r="BI1270" s="1684"/>
      <c r="BJ1270" s="1684"/>
      <c r="BK1270" s="1684"/>
      <c r="BL1270" s="1684"/>
      <c r="BM1270" s="1684"/>
      <c r="BN1270" s="1684"/>
      <c r="BO1270" s="1684"/>
      <c r="BP1270" s="1684"/>
      <c r="BQ1270" s="1684"/>
      <c r="BR1270" s="1684"/>
      <c r="BS1270" s="1684"/>
      <c r="BT1270" s="1684"/>
      <c r="BU1270" s="1684"/>
      <c r="BV1270" s="1684"/>
      <c r="BW1270" s="1684"/>
      <c r="BX1270" s="1684"/>
      <c r="BY1270" s="1684"/>
      <c r="BZ1270" s="1684"/>
      <c r="CA1270" s="1684"/>
      <c r="CB1270" s="1684"/>
      <c r="CC1270" s="1684"/>
      <c r="CD1270" s="1684"/>
      <c r="CE1270" s="1684"/>
      <c r="CF1270" s="1684"/>
      <c r="CG1270" s="1684"/>
      <c r="CH1270" s="1684"/>
      <c r="CI1270" s="1684"/>
      <c r="CJ1270" s="1684"/>
      <c r="CK1270" s="1684"/>
      <c r="CL1270" s="1684"/>
      <c r="CM1270" s="1684"/>
      <c r="CN1270" s="1684"/>
      <c r="CO1270" s="1684"/>
    </row>
    <row r="1271" spans="1:93" s="1391" customFormat="1" ht="15" x14ac:dyDescent="0.2">
      <c r="A1271" s="1684"/>
      <c r="B1271" s="1684"/>
      <c r="C1271" s="2013">
        <v>14</v>
      </c>
      <c r="D1271" s="5">
        <v>8.4339999999999993</v>
      </c>
      <c r="E1271" s="5">
        <v>254</v>
      </c>
      <c r="F1271" s="5">
        <v>280</v>
      </c>
      <c r="G1271" s="5">
        <v>304</v>
      </c>
      <c r="H1271" s="5">
        <v>328</v>
      </c>
      <c r="I1271" s="5">
        <v>351</v>
      </c>
      <c r="J1271" s="5">
        <v>374</v>
      </c>
      <c r="K1271" s="5">
        <v>397</v>
      </c>
      <c r="L1271" s="5">
        <v>420</v>
      </c>
      <c r="M1271" s="5">
        <v>441</v>
      </c>
      <c r="N1271" s="5">
        <v>463</v>
      </c>
      <c r="O1271" s="5">
        <v>484</v>
      </c>
      <c r="P1271" s="5">
        <v>505</v>
      </c>
      <c r="Q1271" s="1160">
        <v>73</v>
      </c>
      <c r="R1271"/>
      <c r="S1271" s="1684"/>
      <c r="T1271" s="1684"/>
      <c r="U1271" s="1684"/>
      <c r="V1271" s="1684"/>
      <c r="W1271" s="1684"/>
      <c r="X1271" s="1684"/>
      <c r="Y1271" s="1684"/>
      <c r="Z1271" s="1684"/>
      <c r="AA1271" s="1684"/>
      <c r="AB1271" s="1684"/>
      <c r="AC1271" s="1684"/>
      <c r="AD1271" s="1684"/>
      <c r="AE1271" s="1684"/>
      <c r="AF1271" s="1684"/>
      <c r="AG1271" s="1684"/>
      <c r="AH1271" s="1684"/>
      <c r="AI1271" s="1684"/>
      <c r="AJ1271" s="1684"/>
      <c r="AK1271" s="1684"/>
      <c r="AL1271" s="1684"/>
      <c r="AM1271" s="1684"/>
      <c r="AN1271" s="1684"/>
      <c r="AO1271" s="1684"/>
      <c r="AP1271" s="1684"/>
      <c r="AQ1271" s="1684"/>
      <c r="AR1271" s="1684"/>
      <c r="AS1271" s="1684"/>
      <c r="AT1271" s="1684"/>
      <c r="AU1271" s="1684"/>
      <c r="AV1271" s="1684"/>
      <c r="AW1271" s="1684"/>
      <c r="AX1271" s="1684"/>
      <c r="AY1271" s="1684"/>
      <c r="AZ1271" s="1684"/>
      <c r="BA1271" s="1684"/>
      <c r="BB1271" s="1684"/>
      <c r="BC1271" s="1684"/>
      <c r="BD1271" s="1684"/>
      <c r="BE1271" s="1684"/>
      <c r="BF1271" s="1684"/>
      <c r="BG1271" s="1684"/>
      <c r="BH1271" s="1684"/>
      <c r="BI1271" s="1684"/>
      <c r="BJ1271" s="1684"/>
      <c r="BK1271" s="1684"/>
      <c r="BL1271" s="1684"/>
      <c r="BM1271" s="1684"/>
      <c r="BN1271" s="1684"/>
      <c r="BO1271" s="1684"/>
      <c r="BP1271" s="1684"/>
      <c r="BQ1271" s="1684"/>
      <c r="BR1271" s="1684"/>
      <c r="BS1271" s="1684"/>
      <c r="BT1271" s="1684"/>
      <c r="BU1271" s="1684"/>
      <c r="BV1271" s="1684"/>
      <c r="BW1271" s="1684"/>
      <c r="BX1271" s="1684"/>
      <c r="BY1271" s="1684"/>
      <c r="BZ1271" s="1684"/>
      <c r="CA1271" s="1684"/>
      <c r="CB1271" s="1684"/>
      <c r="CC1271" s="1684"/>
      <c r="CD1271" s="1684"/>
      <c r="CE1271" s="1684"/>
      <c r="CF1271" s="1684"/>
      <c r="CG1271" s="1684"/>
      <c r="CH1271" s="1684"/>
      <c r="CI1271" s="1684"/>
      <c r="CJ1271" s="1684"/>
      <c r="CK1271" s="1684"/>
      <c r="CL1271" s="1684"/>
      <c r="CM1271" s="1684"/>
      <c r="CN1271" s="1684"/>
      <c r="CO1271" s="1684"/>
    </row>
    <row r="1272" spans="1:93" s="1391" customFormat="1" ht="15" x14ac:dyDescent="0.2">
      <c r="A1272" s="1684"/>
      <c r="B1272" s="1684"/>
      <c r="C1272" s="2013">
        <v>15</v>
      </c>
      <c r="D1272" s="5">
        <v>9.0079999999999991</v>
      </c>
      <c r="E1272" s="5">
        <v>275</v>
      </c>
      <c r="F1272" s="5">
        <v>302</v>
      </c>
      <c r="G1272" s="5">
        <v>328</v>
      </c>
      <c r="H1272" s="5">
        <v>354</v>
      </c>
      <c r="I1272" s="5">
        <v>379</v>
      </c>
      <c r="J1272" s="5">
        <v>403</v>
      </c>
      <c r="K1272" s="5">
        <v>427</v>
      </c>
      <c r="L1272" s="5">
        <v>452</v>
      </c>
      <c r="M1272" s="5">
        <v>473</v>
      </c>
      <c r="N1272" s="5">
        <v>498</v>
      </c>
      <c r="O1272" s="5">
        <v>520</v>
      </c>
      <c r="P1272" s="5">
        <v>543</v>
      </c>
      <c r="Q1272" s="1160">
        <v>74</v>
      </c>
      <c r="R1272"/>
      <c r="S1272" s="1684"/>
      <c r="T1272" s="1684"/>
      <c r="U1272" s="1684"/>
      <c r="V1272" s="1684"/>
      <c r="W1272" s="1684"/>
      <c r="X1272" s="1684"/>
      <c r="Y1272" s="1684"/>
      <c r="Z1272" s="1684"/>
      <c r="AA1272" s="1684"/>
      <c r="AB1272" s="1684"/>
      <c r="AC1272" s="1684"/>
      <c r="AD1272" s="1684"/>
      <c r="AE1272" s="1684"/>
      <c r="AF1272" s="1684"/>
      <c r="AG1272" s="1684"/>
      <c r="AH1272" s="1684"/>
      <c r="AI1272" s="1684"/>
      <c r="AJ1272" s="1684"/>
      <c r="AK1272" s="1684"/>
      <c r="AL1272" s="1684"/>
      <c r="AM1272" s="1684"/>
      <c r="AN1272" s="1684"/>
      <c r="AO1272" s="1684"/>
      <c r="AP1272" s="1684"/>
      <c r="AQ1272" s="1684"/>
      <c r="AR1272" s="1684"/>
      <c r="AS1272" s="1684"/>
      <c r="AT1272" s="1684"/>
      <c r="AU1272" s="1684"/>
      <c r="AV1272" s="1684"/>
      <c r="AW1272" s="1684"/>
      <c r="AX1272" s="1684"/>
      <c r="AY1272" s="1684"/>
      <c r="AZ1272" s="1684"/>
      <c r="BA1272" s="1684"/>
      <c r="BB1272" s="1684"/>
      <c r="BC1272" s="1684"/>
      <c r="BD1272" s="1684"/>
      <c r="BE1272" s="1684"/>
      <c r="BF1272" s="1684"/>
      <c r="BG1272" s="1684"/>
      <c r="BH1272" s="1684"/>
      <c r="BI1272" s="1684"/>
      <c r="BJ1272" s="1684"/>
      <c r="BK1272" s="1684"/>
      <c r="BL1272" s="1684"/>
      <c r="BM1272" s="1684"/>
      <c r="BN1272" s="1684"/>
      <c r="BO1272" s="1684"/>
      <c r="BP1272" s="1684"/>
      <c r="BQ1272" s="1684"/>
      <c r="BR1272" s="1684"/>
      <c r="BS1272" s="1684"/>
      <c r="BT1272" s="1684"/>
      <c r="BU1272" s="1684"/>
      <c r="BV1272" s="1684"/>
      <c r="BW1272" s="1684"/>
      <c r="BX1272" s="1684"/>
      <c r="BY1272" s="1684"/>
      <c r="BZ1272" s="1684"/>
      <c r="CA1272" s="1684"/>
      <c r="CB1272" s="1684"/>
      <c r="CC1272" s="1684"/>
      <c r="CD1272" s="1684"/>
      <c r="CE1272" s="1684"/>
      <c r="CF1272" s="1684"/>
      <c r="CG1272" s="1684"/>
      <c r="CH1272" s="1684"/>
      <c r="CI1272" s="1684"/>
      <c r="CJ1272" s="1684"/>
      <c r="CK1272" s="1684"/>
      <c r="CL1272" s="1684"/>
      <c r="CM1272" s="1684"/>
      <c r="CN1272" s="1684"/>
      <c r="CO1272" s="1684"/>
    </row>
    <row r="1273" spans="1:93" s="1391" customFormat="1" ht="15" x14ac:dyDescent="0.2">
      <c r="A1273" s="1684"/>
      <c r="B1273" s="1684"/>
      <c r="C1273" s="2013">
        <v>16</v>
      </c>
      <c r="D1273" s="5">
        <v>9.7439999999999998</v>
      </c>
      <c r="E1273" s="5">
        <v>295</v>
      </c>
      <c r="F1273" s="5">
        <v>324</v>
      </c>
      <c r="G1273" s="5">
        <v>352</v>
      </c>
      <c r="H1273" s="5">
        <v>379</v>
      </c>
      <c r="I1273" s="5">
        <v>405</v>
      </c>
      <c r="J1273" s="5">
        <v>431</v>
      </c>
      <c r="K1273" s="5">
        <v>457</v>
      </c>
      <c r="L1273" s="5">
        <v>483</v>
      </c>
      <c r="M1273" s="5">
        <v>507</v>
      </c>
      <c r="N1273" s="5">
        <v>531</v>
      </c>
      <c r="O1273" s="5">
        <v>555</v>
      </c>
      <c r="P1273" s="5">
        <v>579</v>
      </c>
      <c r="Q1273" s="1160">
        <v>75</v>
      </c>
      <c r="R1273"/>
      <c r="S1273" s="1684"/>
      <c r="T1273" s="1684"/>
      <c r="U1273" s="1684"/>
      <c r="V1273" s="1684"/>
      <c r="W1273" s="1684"/>
      <c r="X1273" s="1684"/>
      <c r="Y1273" s="1684"/>
      <c r="Z1273" s="1684"/>
      <c r="AA1273" s="1684"/>
      <c r="AB1273" s="1684"/>
      <c r="AC1273" s="1684"/>
      <c r="AD1273" s="1684"/>
      <c r="AE1273" s="1684"/>
      <c r="AF1273" s="1684"/>
      <c r="AG1273" s="1684"/>
      <c r="AH1273" s="1684"/>
      <c r="AI1273" s="1684"/>
      <c r="AJ1273" s="1684"/>
      <c r="AK1273" s="1684"/>
      <c r="AL1273" s="1684"/>
      <c r="AM1273" s="1684"/>
      <c r="AN1273" s="1684"/>
      <c r="AO1273" s="1684"/>
      <c r="AP1273" s="1684"/>
      <c r="AQ1273" s="1684"/>
      <c r="AR1273" s="1684"/>
      <c r="AS1273" s="1684"/>
      <c r="AT1273" s="1684"/>
      <c r="AU1273" s="1684"/>
      <c r="AV1273" s="1684"/>
      <c r="AW1273" s="1684"/>
      <c r="AX1273" s="1684"/>
      <c r="AY1273" s="1684"/>
      <c r="AZ1273" s="1684"/>
      <c r="BA1273" s="1684"/>
      <c r="BB1273" s="1684"/>
      <c r="BC1273" s="1684"/>
      <c r="BD1273" s="1684"/>
      <c r="BE1273" s="1684"/>
      <c r="BF1273" s="1684"/>
      <c r="BG1273" s="1684"/>
      <c r="BH1273" s="1684"/>
      <c r="BI1273" s="1684"/>
      <c r="BJ1273" s="1684"/>
      <c r="BK1273" s="1684"/>
      <c r="BL1273" s="1684"/>
      <c r="BM1273" s="1684"/>
      <c r="BN1273" s="1684"/>
      <c r="BO1273" s="1684"/>
      <c r="BP1273" s="1684"/>
      <c r="BQ1273" s="1684"/>
      <c r="BR1273" s="1684"/>
      <c r="BS1273" s="1684"/>
      <c r="BT1273" s="1684"/>
      <c r="BU1273" s="1684"/>
      <c r="BV1273" s="1684"/>
      <c r="BW1273" s="1684"/>
      <c r="BX1273" s="1684"/>
      <c r="BY1273" s="1684"/>
      <c r="BZ1273" s="1684"/>
      <c r="CA1273" s="1684"/>
      <c r="CB1273" s="1684"/>
      <c r="CC1273" s="1684"/>
      <c r="CD1273" s="1684"/>
      <c r="CE1273" s="1684"/>
      <c r="CF1273" s="1684"/>
      <c r="CG1273" s="1684"/>
      <c r="CH1273" s="1684"/>
      <c r="CI1273" s="1684"/>
      <c r="CJ1273" s="1684"/>
      <c r="CK1273" s="1684"/>
      <c r="CL1273" s="1684"/>
      <c r="CM1273" s="1684"/>
      <c r="CN1273" s="1684"/>
      <c r="CO1273" s="1684"/>
    </row>
    <row r="1274" spans="1:93" s="1391" customFormat="1" ht="15" x14ac:dyDescent="0.2">
      <c r="A1274" s="1684"/>
      <c r="B1274" s="1684"/>
      <c r="C1274" s="2013">
        <v>17</v>
      </c>
      <c r="D1274" s="5">
        <v>10.327</v>
      </c>
      <c r="E1274" s="5">
        <v>314</v>
      </c>
      <c r="F1274" s="5">
        <v>345</v>
      </c>
      <c r="G1274" s="5">
        <v>374</v>
      </c>
      <c r="H1274" s="5">
        <v>402</v>
      </c>
      <c r="I1274" s="5">
        <v>430</v>
      </c>
      <c r="J1274" s="5">
        <v>457</v>
      </c>
      <c r="K1274" s="5">
        <v>484</v>
      </c>
      <c r="L1274" s="5">
        <v>512</v>
      </c>
      <c r="M1274" s="5">
        <v>537</v>
      </c>
      <c r="N1274" s="5">
        <v>562</v>
      </c>
      <c r="O1274" s="5">
        <v>587</v>
      </c>
      <c r="P1274" s="5">
        <v>611</v>
      </c>
      <c r="Q1274" s="1160">
        <v>76</v>
      </c>
      <c r="R1274"/>
      <c r="S1274" s="1684"/>
      <c r="T1274" s="1684"/>
      <c r="U1274" s="1684"/>
      <c r="V1274" s="1684"/>
      <c r="W1274" s="1684"/>
      <c r="X1274" s="1684"/>
      <c r="Y1274" s="1684"/>
      <c r="Z1274" s="1684"/>
      <c r="AA1274" s="1684"/>
      <c r="AB1274" s="1684"/>
      <c r="AC1274" s="1684"/>
      <c r="AD1274" s="1684"/>
      <c r="AE1274" s="1684"/>
      <c r="AF1274" s="1684"/>
      <c r="AG1274" s="1684"/>
      <c r="AH1274" s="1684"/>
      <c r="AI1274" s="1684"/>
      <c r="AJ1274" s="1684"/>
      <c r="AK1274" s="1684"/>
      <c r="AL1274" s="1684"/>
      <c r="AM1274" s="1684"/>
      <c r="AN1274" s="1684"/>
      <c r="AO1274" s="1684"/>
      <c r="AP1274" s="1684"/>
      <c r="AQ1274" s="1684"/>
      <c r="AR1274" s="1684"/>
      <c r="AS1274" s="1684"/>
      <c r="AT1274" s="1684"/>
      <c r="AU1274" s="1684"/>
      <c r="AV1274" s="1684"/>
      <c r="AW1274" s="1684"/>
      <c r="AX1274" s="1684"/>
      <c r="AY1274" s="1684"/>
      <c r="AZ1274" s="1684"/>
      <c r="BA1274" s="1684"/>
      <c r="BB1274" s="1684"/>
      <c r="BC1274" s="1684"/>
      <c r="BD1274" s="1684"/>
      <c r="BE1274" s="1684"/>
      <c r="BF1274" s="1684"/>
      <c r="BG1274" s="1684"/>
      <c r="BH1274" s="1684"/>
      <c r="BI1274" s="1684"/>
      <c r="BJ1274" s="1684"/>
      <c r="BK1274" s="1684"/>
      <c r="BL1274" s="1684"/>
      <c r="BM1274" s="1684"/>
      <c r="BN1274" s="1684"/>
      <c r="BO1274" s="1684"/>
      <c r="BP1274" s="1684"/>
      <c r="BQ1274" s="1684"/>
      <c r="BR1274" s="1684"/>
      <c r="BS1274" s="1684"/>
      <c r="BT1274" s="1684"/>
      <c r="BU1274" s="1684"/>
      <c r="BV1274" s="1684"/>
      <c r="BW1274" s="1684"/>
      <c r="BX1274" s="1684"/>
      <c r="BY1274" s="1684"/>
      <c r="BZ1274" s="1684"/>
      <c r="CA1274" s="1684"/>
      <c r="CB1274" s="1684"/>
      <c r="CC1274" s="1684"/>
      <c r="CD1274" s="1684"/>
      <c r="CE1274" s="1684"/>
      <c r="CF1274" s="1684"/>
      <c r="CG1274" s="1684"/>
      <c r="CH1274" s="1684"/>
      <c r="CI1274" s="1684"/>
      <c r="CJ1274" s="1684"/>
      <c r="CK1274" s="1684"/>
      <c r="CL1274" s="1684"/>
      <c r="CM1274" s="1684"/>
      <c r="CN1274" s="1684"/>
      <c r="CO1274" s="1684"/>
    </row>
    <row r="1275" spans="1:93" s="1391" customFormat="1" ht="15" x14ac:dyDescent="0.2">
      <c r="A1275" s="1684"/>
      <c r="B1275" s="1684"/>
      <c r="C1275" s="2013">
        <v>18</v>
      </c>
      <c r="D1275" s="5">
        <v>11.042999999999999</v>
      </c>
      <c r="E1275" s="5">
        <v>331</v>
      </c>
      <c r="F1275" s="5">
        <v>363</v>
      </c>
      <c r="G1275" s="5">
        <v>393</v>
      </c>
      <c r="H1275" s="5">
        <v>423</v>
      </c>
      <c r="I1275" s="5">
        <v>452</v>
      </c>
      <c r="J1275" s="5">
        <v>481</v>
      </c>
      <c r="K1275" s="5">
        <v>509</v>
      </c>
      <c r="L1275" s="5">
        <v>538</v>
      </c>
      <c r="M1275" s="5">
        <v>563</v>
      </c>
      <c r="N1275" s="5">
        <v>590</v>
      </c>
      <c r="O1275" s="5">
        <v>616</v>
      </c>
      <c r="P1275" s="5">
        <v>641</v>
      </c>
      <c r="Q1275" s="1160">
        <v>77</v>
      </c>
      <c r="R1275"/>
      <c r="S1275" s="1684"/>
      <c r="T1275" s="1684"/>
      <c r="U1275" s="1684"/>
      <c r="V1275" s="1684"/>
      <c r="W1275" s="1684"/>
      <c r="X1275" s="1684"/>
      <c r="Y1275" s="1684"/>
      <c r="Z1275" s="1684"/>
      <c r="AA1275" s="1684"/>
      <c r="AB1275" s="1684"/>
      <c r="AC1275" s="1684"/>
      <c r="AD1275" s="1684"/>
      <c r="AE1275" s="1684"/>
      <c r="AF1275" s="1684"/>
      <c r="AG1275" s="1684"/>
      <c r="AH1275" s="1684"/>
      <c r="AI1275" s="1684"/>
      <c r="AJ1275" s="1684"/>
      <c r="AK1275" s="1684"/>
      <c r="AL1275" s="1684"/>
      <c r="AM1275" s="1684"/>
      <c r="AN1275" s="1684"/>
      <c r="AO1275" s="1684"/>
      <c r="AP1275" s="1684"/>
      <c r="AQ1275" s="1684"/>
      <c r="AR1275" s="1684"/>
      <c r="AS1275" s="1684"/>
      <c r="AT1275" s="1684"/>
      <c r="AU1275" s="1684"/>
      <c r="AV1275" s="1684"/>
      <c r="AW1275" s="1684"/>
      <c r="AX1275" s="1684"/>
      <c r="AY1275" s="1684"/>
      <c r="AZ1275" s="1684"/>
      <c r="BA1275" s="1684"/>
      <c r="BB1275" s="1684"/>
      <c r="BC1275" s="1684"/>
      <c r="BD1275" s="1684"/>
      <c r="BE1275" s="1684"/>
      <c r="BF1275" s="1684"/>
      <c r="BG1275" s="1684"/>
      <c r="BH1275" s="1684"/>
      <c r="BI1275" s="1684"/>
      <c r="BJ1275" s="1684"/>
      <c r="BK1275" s="1684"/>
      <c r="BL1275" s="1684"/>
      <c r="BM1275" s="1684"/>
      <c r="BN1275" s="1684"/>
      <c r="BO1275" s="1684"/>
      <c r="BP1275" s="1684"/>
      <c r="BQ1275" s="1684"/>
      <c r="BR1275" s="1684"/>
      <c r="BS1275" s="1684"/>
      <c r="BT1275" s="1684"/>
      <c r="BU1275" s="1684"/>
      <c r="BV1275" s="1684"/>
      <c r="BW1275" s="1684"/>
      <c r="BX1275" s="1684"/>
      <c r="BY1275" s="1684"/>
      <c r="BZ1275" s="1684"/>
      <c r="CA1275" s="1684"/>
      <c r="CB1275" s="1684"/>
      <c r="CC1275" s="1684"/>
      <c r="CD1275" s="1684"/>
      <c r="CE1275" s="1684"/>
      <c r="CF1275" s="1684"/>
      <c r="CG1275" s="1684"/>
      <c r="CH1275" s="1684"/>
      <c r="CI1275" s="1684"/>
      <c r="CJ1275" s="1684"/>
      <c r="CK1275" s="1684"/>
      <c r="CL1275" s="1684"/>
      <c r="CM1275" s="1684"/>
      <c r="CN1275" s="1684"/>
      <c r="CO1275" s="1684"/>
    </row>
    <row r="1276" spans="1:93" s="1391" customFormat="1" ht="15" x14ac:dyDescent="0.2">
      <c r="A1276" s="1684"/>
      <c r="B1276" s="1684"/>
      <c r="C1276" s="4680" t="s">
        <v>3693</v>
      </c>
      <c r="D1276" s="4681"/>
      <c r="E1276" s="4681"/>
      <c r="F1276" s="4681"/>
      <c r="G1276" s="4681"/>
      <c r="H1276" s="4681"/>
      <c r="I1276" s="4681"/>
      <c r="J1276" s="4681"/>
      <c r="K1276" s="4681"/>
      <c r="L1276" s="4681"/>
      <c r="M1276" s="4681"/>
      <c r="N1276" s="4681"/>
      <c r="O1276" s="4681"/>
      <c r="P1276" s="4681"/>
      <c r="Q1276" s="4682"/>
      <c r="R1276"/>
      <c r="S1276" s="1684"/>
      <c r="T1276" s="1684"/>
      <c r="U1276" s="1684"/>
      <c r="V1276" s="1684"/>
      <c r="W1276" s="1684"/>
      <c r="X1276" s="1684"/>
      <c r="Y1276" s="1684"/>
      <c r="Z1276" s="1684"/>
      <c r="AA1276" s="1684"/>
      <c r="AB1276" s="1684"/>
      <c r="AC1276" s="1684"/>
      <c r="AD1276" s="1684"/>
      <c r="AE1276" s="1684"/>
      <c r="AF1276" s="1684"/>
      <c r="AG1276" s="1684"/>
      <c r="AH1276" s="1684"/>
      <c r="AI1276" s="1684"/>
      <c r="AJ1276" s="1684"/>
      <c r="AK1276" s="1684"/>
      <c r="AL1276" s="1684"/>
      <c r="AM1276" s="1684"/>
      <c r="AN1276" s="1684"/>
      <c r="AO1276" s="1684"/>
      <c r="AP1276" s="1684"/>
      <c r="AQ1276" s="1684"/>
      <c r="AR1276" s="1684"/>
      <c r="AS1276" s="1684"/>
      <c r="AT1276" s="1684"/>
      <c r="AU1276" s="1684"/>
      <c r="AV1276" s="1684"/>
      <c r="AW1276" s="1684"/>
      <c r="AX1276" s="1684"/>
      <c r="AY1276" s="1684"/>
      <c r="AZ1276" s="1684"/>
      <c r="BA1276" s="1684"/>
      <c r="BB1276" s="1684"/>
      <c r="BC1276" s="1684"/>
      <c r="BD1276" s="1684"/>
      <c r="BE1276" s="1684"/>
      <c r="BF1276" s="1684"/>
      <c r="BG1276" s="1684"/>
      <c r="BH1276" s="1684"/>
      <c r="BI1276" s="1684"/>
      <c r="BJ1276" s="1684"/>
      <c r="BK1276" s="1684"/>
      <c r="BL1276" s="1684"/>
      <c r="BM1276" s="1684"/>
      <c r="BN1276" s="1684"/>
      <c r="BO1276" s="1684"/>
      <c r="BP1276" s="1684"/>
      <c r="BQ1276" s="1684"/>
      <c r="BR1276" s="1684"/>
      <c r="BS1276" s="1684"/>
      <c r="BT1276" s="1684"/>
      <c r="BU1276" s="1684"/>
      <c r="BV1276" s="1684"/>
      <c r="BW1276" s="1684"/>
      <c r="BX1276" s="1684"/>
      <c r="BY1276" s="1684"/>
      <c r="BZ1276" s="1684"/>
      <c r="CA1276" s="1684"/>
      <c r="CB1276" s="1684"/>
      <c r="CC1276" s="1684"/>
      <c r="CD1276" s="1684"/>
      <c r="CE1276" s="1684"/>
      <c r="CF1276" s="1684"/>
      <c r="CG1276" s="1684"/>
      <c r="CH1276" s="1684"/>
      <c r="CI1276" s="1684"/>
      <c r="CJ1276" s="1684"/>
      <c r="CK1276" s="1684"/>
      <c r="CL1276" s="1684"/>
      <c r="CM1276" s="1684"/>
      <c r="CN1276" s="1684"/>
      <c r="CO1276" s="1684"/>
    </row>
    <row r="1277" spans="1:93" s="1391" customFormat="1" ht="15" x14ac:dyDescent="0.2">
      <c r="A1277" s="1684"/>
      <c r="B1277" s="1684"/>
      <c r="C1277" s="4680"/>
      <c r="D1277" s="4681"/>
      <c r="E1277" s="4681"/>
      <c r="F1277" s="4681"/>
      <c r="G1277" s="4681"/>
      <c r="H1277" s="4681"/>
      <c r="I1277" s="4681"/>
      <c r="J1277" s="4681"/>
      <c r="K1277" s="4681"/>
      <c r="L1277" s="4681"/>
      <c r="M1277" s="4681"/>
      <c r="N1277" s="4681"/>
      <c r="O1277" s="4681"/>
      <c r="P1277" s="4681"/>
      <c r="Q1277" s="4682"/>
      <c r="R1277"/>
      <c r="S1277" s="1684"/>
      <c r="T1277" s="1684"/>
      <c r="U1277" s="1684"/>
      <c r="V1277" s="1684"/>
      <c r="W1277" s="1684"/>
      <c r="X1277" s="1684"/>
      <c r="Y1277" s="1684"/>
      <c r="Z1277" s="1684"/>
      <c r="AA1277" s="1684"/>
      <c r="AB1277" s="1684"/>
      <c r="AC1277" s="1684"/>
      <c r="AD1277" s="1684"/>
      <c r="AE1277" s="1684"/>
      <c r="AF1277" s="1684"/>
      <c r="AG1277" s="1684"/>
      <c r="AH1277" s="1684"/>
      <c r="AI1277" s="1684"/>
      <c r="AJ1277" s="1684"/>
      <c r="AK1277" s="1684"/>
      <c r="AL1277" s="1684"/>
      <c r="AM1277" s="1684"/>
      <c r="AN1277" s="1684"/>
      <c r="AO1277" s="1684"/>
      <c r="AP1277" s="1684"/>
      <c r="AQ1277" s="1684"/>
      <c r="AR1277" s="1684"/>
      <c r="AS1277" s="1684"/>
      <c r="AT1277" s="1684"/>
      <c r="AU1277" s="1684"/>
      <c r="AV1277" s="1684"/>
      <c r="AW1277" s="1684"/>
      <c r="AX1277" s="1684"/>
      <c r="AY1277" s="1684"/>
      <c r="AZ1277" s="1684"/>
      <c r="BA1277" s="1684"/>
      <c r="BB1277" s="1684"/>
      <c r="BC1277" s="1684"/>
      <c r="BD1277" s="1684"/>
      <c r="BE1277" s="1684"/>
      <c r="BF1277" s="1684"/>
      <c r="BG1277" s="1684"/>
      <c r="BH1277" s="1684"/>
      <c r="BI1277" s="1684"/>
      <c r="BJ1277" s="1684"/>
      <c r="BK1277" s="1684"/>
      <c r="BL1277" s="1684"/>
      <c r="BM1277" s="1684"/>
      <c r="BN1277" s="1684"/>
      <c r="BO1277" s="1684"/>
      <c r="BP1277" s="1684"/>
      <c r="BQ1277" s="1684"/>
      <c r="BR1277" s="1684"/>
      <c r="BS1277" s="1684"/>
      <c r="BT1277" s="1684"/>
      <c r="BU1277" s="1684"/>
      <c r="BV1277" s="1684"/>
      <c r="BW1277" s="1684"/>
      <c r="BX1277" s="1684"/>
      <c r="BY1277" s="1684"/>
      <c r="BZ1277" s="1684"/>
      <c r="CA1277" s="1684"/>
      <c r="CB1277" s="1684"/>
      <c r="CC1277" s="1684"/>
      <c r="CD1277" s="1684"/>
      <c r="CE1277" s="1684"/>
      <c r="CF1277" s="1684"/>
      <c r="CG1277" s="1684"/>
      <c r="CH1277" s="1684"/>
      <c r="CI1277" s="1684"/>
      <c r="CJ1277" s="1684"/>
      <c r="CK1277" s="1684"/>
      <c r="CL1277" s="1684"/>
      <c r="CM1277" s="1684"/>
      <c r="CN1277" s="1684"/>
      <c r="CO1277" s="1684"/>
    </row>
    <row r="1278" spans="1:93" s="1391" customFormat="1" ht="15" x14ac:dyDescent="0.2">
      <c r="A1278" s="1684"/>
      <c r="B1278" s="1684"/>
      <c r="C1278" s="2013"/>
      <c r="D1278" s="5"/>
      <c r="E1278" s="5">
        <v>1</v>
      </c>
      <c r="F1278" s="5">
        <v>2</v>
      </c>
      <c r="G1278" s="5">
        <v>3</v>
      </c>
      <c r="H1278" s="5">
        <v>4</v>
      </c>
      <c r="I1278" s="5">
        <v>5</v>
      </c>
      <c r="J1278" s="5">
        <v>6</v>
      </c>
      <c r="K1278" s="5">
        <v>7</v>
      </c>
      <c r="L1278" s="5">
        <v>8</v>
      </c>
      <c r="M1278" s="5">
        <v>9</v>
      </c>
      <c r="N1278" s="5">
        <v>10</v>
      </c>
      <c r="O1278" s="5">
        <v>11</v>
      </c>
      <c r="P1278" s="5">
        <v>12</v>
      </c>
      <c r="Q1278" s="1160"/>
      <c r="R1278"/>
      <c r="S1278" s="1684"/>
      <c r="T1278" s="1684"/>
      <c r="U1278" s="1684"/>
      <c r="V1278" s="1684"/>
      <c r="W1278" s="1684"/>
      <c r="X1278" s="1684"/>
      <c r="Y1278" s="1684"/>
      <c r="Z1278" s="1684"/>
      <c r="AA1278" s="1684"/>
      <c r="AB1278" s="1684"/>
      <c r="AC1278" s="1684"/>
      <c r="AD1278" s="1684"/>
      <c r="AE1278" s="1684"/>
      <c r="AF1278" s="1684"/>
      <c r="AG1278" s="1684"/>
      <c r="AH1278" s="1684"/>
      <c r="AI1278" s="1684"/>
      <c r="AJ1278" s="1684"/>
      <c r="AK1278" s="1684"/>
      <c r="AL1278" s="1684"/>
      <c r="AM1278" s="1684"/>
      <c r="AN1278" s="1684"/>
      <c r="AO1278" s="1684"/>
      <c r="AP1278" s="1684"/>
      <c r="AQ1278" s="1684"/>
      <c r="AR1278" s="1684"/>
      <c r="AS1278" s="1684"/>
      <c r="AT1278" s="1684"/>
      <c r="AU1278" s="1684"/>
      <c r="AV1278" s="1684"/>
      <c r="AW1278" s="1684"/>
      <c r="AX1278" s="1684"/>
      <c r="AY1278" s="1684"/>
      <c r="AZ1278" s="1684"/>
      <c r="BA1278" s="1684"/>
      <c r="BB1278" s="1684"/>
      <c r="BC1278" s="1684"/>
      <c r="BD1278" s="1684"/>
      <c r="BE1278" s="1684"/>
      <c r="BF1278" s="1684"/>
      <c r="BG1278" s="1684"/>
      <c r="BH1278" s="1684"/>
      <c r="BI1278" s="1684"/>
      <c r="BJ1278" s="1684"/>
      <c r="BK1278" s="1684"/>
      <c r="BL1278" s="1684"/>
      <c r="BM1278" s="1684"/>
      <c r="BN1278" s="1684"/>
      <c r="BO1278" s="1684"/>
      <c r="BP1278" s="1684"/>
      <c r="BQ1278" s="1684"/>
      <c r="BR1278" s="1684"/>
      <c r="BS1278" s="1684"/>
      <c r="BT1278" s="1684"/>
      <c r="BU1278" s="1684"/>
      <c r="BV1278" s="1684"/>
      <c r="BW1278" s="1684"/>
      <c r="BX1278" s="1684"/>
      <c r="BY1278" s="1684"/>
      <c r="BZ1278" s="1684"/>
      <c r="CA1278" s="1684"/>
      <c r="CB1278" s="1684"/>
      <c r="CC1278" s="1684"/>
      <c r="CD1278" s="1684"/>
      <c r="CE1278" s="1684"/>
      <c r="CF1278" s="1684"/>
      <c r="CG1278" s="1684"/>
      <c r="CH1278" s="1684"/>
      <c r="CI1278" s="1684"/>
      <c r="CJ1278" s="1684"/>
      <c r="CK1278" s="1684"/>
      <c r="CL1278" s="1684"/>
      <c r="CM1278" s="1684"/>
      <c r="CN1278" s="1684"/>
      <c r="CO1278" s="1684"/>
    </row>
    <row r="1279" spans="1:93" s="1391" customFormat="1" ht="15" x14ac:dyDescent="0.2">
      <c r="A1279" s="1684"/>
      <c r="B1279" s="1684"/>
      <c r="C1279" s="2013">
        <v>8</v>
      </c>
      <c r="D1279" s="5">
        <v>5.7519999999999998</v>
      </c>
      <c r="E1279" s="5">
        <v>151</v>
      </c>
      <c r="F1279" s="5">
        <v>167</v>
      </c>
      <c r="G1279" s="5">
        <v>182</v>
      </c>
      <c r="H1279" s="5">
        <v>197</v>
      </c>
      <c r="I1279" s="5">
        <v>211</v>
      </c>
      <c r="J1279" s="5">
        <v>226</v>
      </c>
      <c r="K1279" s="5">
        <v>240</v>
      </c>
      <c r="L1279" s="5">
        <v>255</v>
      </c>
      <c r="M1279" s="5">
        <v>268</v>
      </c>
      <c r="N1279" s="5">
        <v>283</v>
      </c>
      <c r="O1279" s="5">
        <v>296</v>
      </c>
      <c r="P1279" s="5">
        <v>310</v>
      </c>
      <c r="Q1279" s="1160">
        <v>78</v>
      </c>
      <c r="R1279"/>
      <c r="S1279" s="1684"/>
      <c r="T1279" s="1684"/>
      <c r="U1279" s="1684"/>
      <c r="V1279" s="1684"/>
      <c r="W1279" s="1684"/>
      <c r="X1279" s="1684"/>
      <c r="Y1279" s="1684"/>
      <c r="Z1279" s="1684"/>
      <c r="AA1279" s="1684"/>
      <c r="AB1279" s="1684"/>
      <c r="AC1279" s="1684"/>
      <c r="AD1279" s="1684"/>
      <c r="AE1279" s="1684"/>
      <c r="AF1279" s="1684"/>
      <c r="AG1279" s="1684"/>
      <c r="AH1279" s="1684"/>
      <c r="AI1279" s="1684"/>
      <c r="AJ1279" s="1684"/>
      <c r="AK1279" s="1684"/>
      <c r="AL1279" s="1684"/>
      <c r="AM1279" s="1684"/>
      <c r="AN1279" s="1684"/>
      <c r="AO1279" s="1684"/>
      <c r="AP1279" s="1684"/>
      <c r="AQ1279" s="1684"/>
      <c r="AR1279" s="1684"/>
      <c r="AS1279" s="1684"/>
      <c r="AT1279" s="1684"/>
      <c r="AU1279" s="1684"/>
      <c r="AV1279" s="1684"/>
      <c r="AW1279" s="1684"/>
      <c r="AX1279" s="1684"/>
      <c r="AY1279" s="1684"/>
      <c r="AZ1279" s="1684"/>
      <c r="BA1279" s="1684"/>
      <c r="BB1279" s="1684"/>
      <c r="BC1279" s="1684"/>
      <c r="BD1279" s="1684"/>
      <c r="BE1279" s="1684"/>
      <c r="BF1279" s="1684"/>
      <c r="BG1279" s="1684"/>
      <c r="BH1279" s="1684"/>
      <c r="BI1279" s="1684"/>
      <c r="BJ1279" s="1684"/>
      <c r="BK1279" s="1684"/>
      <c r="BL1279" s="1684"/>
      <c r="BM1279" s="1684"/>
      <c r="BN1279" s="1684"/>
      <c r="BO1279" s="1684"/>
      <c r="BP1279" s="1684"/>
      <c r="BQ1279" s="1684"/>
      <c r="BR1279" s="1684"/>
      <c r="BS1279" s="1684"/>
      <c r="BT1279" s="1684"/>
      <c r="BU1279" s="1684"/>
      <c r="BV1279" s="1684"/>
      <c r="BW1279" s="1684"/>
      <c r="BX1279" s="1684"/>
      <c r="BY1279" s="1684"/>
      <c r="BZ1279" s="1684"/>
      <c r="CA1279" s="1684"/>
      <c r="CB1279" s="1684"/>
      <c r="CC1279" s="1684"/>
      <c r="CD1279" s="1684"/>
      <c r="CE1279" s="1684"/>
      <c r="CF1279" s="1684"/>
      <c r="CG1279" s="1684"/>
      <c r="CH1279" s="1684"/>
      <c r="CI1279" s="1684"/>
      <c r="CJ1279" s="1684"/>
      <c r="CK1279" s="1684"/>
      <c r="CL1279" s="1684"/>
      <c r="CM1279" s="1684"/>
      <c r="CN1279" s="1684"/>
      <c r="CO1279" s="1684"/>
    </row>
    <row r="1280" spans="1:93" s="1391" customFormat="1" ht="15" x14ac:dyDescent="0.2">
      <c r="A1280" s="1684"/>
      <c r="B1280" s="1684"/>
      <c r="C1280" s="2013">
        <v>9</v>
      </c>
      <c r="D1280" s="5">
        <v>6.149</v>
      </c>
      <c r="E1280" s="5">
        <v>167</v>
      </c>
      <c r="F1280" s="5">
        <v>184</v>
      </c>
      <c r="G1280" s="5">
        <v>201</v>
      </c>
      <c r="H1280" s="5">
        <v>217</v>
      </c>
      <c r="I1280" s="5">
        <v>233</v>
      </c>
      <c r="J1280" s="5">
        <v>249</v>
      </c>
      <c r="K1280" s="5">
        <v>263</v>
      </c>
      <c r="L1280" s="5">
        <v>281</v>
      </c>
      <c r="M1280" s="5">
        <v>296</v>
      </c>
      <c r="N1280" s="5">
        <v>311</v>
      </c>
      <c r="O1280" s="5">
        <v>326</v>
      </c>
      <c r="P1280" s="5">
        <v>341</v>
      </c>
      <c r="Q1280" s="1160">
        <v>79</v>
      </c>
      <c r="R1280"/>
      <c r="S1280" s="1684"/>
      <c r="T1280" s="1684"/>
      <c r="U1280" s="1684"/>
      <c r="V1280" s="1684"/>
      <c r="W1280" s="1684"/>
      <c r="X1280" s="1684"/>
      <c r="Y1280" s="1684"/>
      <c r="Z1280" s="1684"/>
      <c r="AA1280" s="1684"/>
      <c r="AB1280" s="1684"/>
      <c r="AC1280" s="1684"/>
      <c r="AD1280" s="1684"/>
      <c r="AE1280" s="1684"/>
      <c r="AF1280" s="1684"/>
      <c r="AG1280" s="1684"/>
      <c r="AH1280" s="1684"/>
      <c r="AI1280" s="1684"/>
      <c r="AJ1280" s="1684"/>
      <c r="AK1280" s="1684"/>
      <c r="AL1280" s="1684"/>
      <c r="AM1280" s="1684"/>
      <c r="AN1280" s="1684"/>
      <c r="AO1280" s="1684"/>
      <c r="AP1280" s="1684"/>
      <c r="AQ1280" s="1684"/>
      <c r="AR1280" s="1684"/>
      <c r="AS1280" s="1684"/>
      <c r="AT1280" s="1684"/>
      <c r="AU1280" s="1684"/>
      <c r="AV1280" s="1684"/>
      <c r="AW1280" s="1684"/>
      <c r="AX1280" s="1684"/>
      <c r="AY1280" s="1684"/>
      <c r="AZ1280" s="1684"/>
      <c r="BA1280" s="1684"/>
      <c r="BB1280" s="1684"/>
      <c r="BC1280" s="1684"/>
      <c r="BD1280" s="1684"/>
      <c r="BE1280" s="1684"/>
      <c r="BF1280" s="1684"/>
      <c r="BG1280" s="1684"/>
      <c r="BH1280" s="1684"/>
      <c r="BI1280" s="1684"/>
      <c r="BJ1280" s="1684"/>
      <c r="BK1280" s="1684"/>
      <c r="BL1280" s="1684"/>
      <c r="BM1280" s="1684"/>
      <c r="BN1280" s="1684"/>
      <c r="BO1280" s="1684"/>
      <c r="BP1280" s="1684"/>
      <c r="BQ1280" s="1684"/>
      <c r="BR1280" s="1684"/>
      <c r="BS1280" s="1684"/>
      <c r="BT1280" s="1684"/>
      <c r="BU1280" s="1684"/>
      <c r="BV1280" s="1684"/>
      <c r="BW1280" s="1684"/>
      <c r="BX1280" s="1684"/>
      <c r="BY1280" s="1684"/>
      <c r="BZ1280" s="1684"/>
      <c r="CA1280" s="1684"/>
      <c r="CB1280" s="1684"/>
      <c r="CC1280" s="1684"/>
      <c r="CD1280" s="1684"/>
      <c r="CE1280" s="1684"/>
      <c r="CF1280" s="1684"/>
      <c r="CG1280" s="1684"/>
      <c r="CH1280" s="1684"/>
      <c r="CI1280" s="1684"/>
      <c r="CJ1280" s="1684"/>
      <c r="CK1280" s="1684"/>
      <c r="CL1280" s="1684"/>
      <c r="CM1280" s="1684"/>
      <c r="CN1280" s="1684"/>
      <c r="CO1280" s="1684"/>
    </row>
    <row r="1281" spans="1:93" s="1391" customFormat="1" ht="15" x14ac:dyDescent="0.2">
      <c r="A1281" s="1684"/>
      <c r="B1281" s="1684"/>
      <c r="C1281" s="2013">
        <v>10</v>
      </c>
      <c r="D1281" s="5">
        <v>6.5720000000000001</v>
      </c>
      <c r="E1281" s="5">
        <v>183</v>
      </c>
      <c r="F1281" s="5">
        <v>202</v>
      </c>
      <c r="G1281" s="5">
        <v>220</v>
      </c>
      <c r="H1281" s="5">
        <v>238</v>
      </c>
      <c r="I1281" s="5">
        <v>256</v>
      </c>
      <c r="J1281" s="5">
        <v>273</v>
      </c>
      <c r="K1281" s="5">
        <v>290</v>
      </c>
      <c r="L1281" s="5">
        <v>308</v>
      </c>
      <c r="M1281" s="5">
        <v>324</v>
      </c>
      <c r="N1281" s="5">
        <v>340</v>
      </c>
      <c r="O1281" s="5">
        <v>357</v>
      </c>
      <c r="P1281" s="5">
        <v>373</v>
      </c>
      <c r="Q1281" s="1160">
        <v>80</v>
      </c>
      <c r="R1281"/>
      <c r="S1281" s="1684"/>
      <c r="T1281" s="1684"/>
      <c r="U1281" s="1684"/>
      <c r="V1281" s="1684"/>
      <c r="W1281" s="1684"/>
      <c r="X1281" s="1684"/>
      <c r="Y1281" s="1684"/>
      <c r="Z1281" s="1684"/>
      <c r="AA1281" s="1684"/>
      <c r="AB1281" s="1684"/>
      <c r="AC1281" s="1684"/>
      <c r="AD1281" s="1684"/>
      <c r="AE1281" s="1684"/>
      <c r="AF1281" s="1684"/>
      <c r="AG1281" s="1684"/>
      <c r="AH1281" s="1684"/>
      <c r="AI1281" s="1684"/>
      <c r="AJ1281" s="1684"/>
      <c r="AK1281" s="1684"/>
      <c r="AL1281" s="1684"/>
      <c r="AM1281" s="1684"/>
      <c r="AN1281" s="1684"/>
      <c r="AO1281" s="1684"/>
      <c r="AP1281" s="1684"/>
      <c r="AQ1281" s="1684"/>
      <c r="AR1281" s="1684"/>
      <c r="AS1281" s="1684"/>
      <c r="AT1281" s="1684"/>
      <c r="AU1281" s="1684"/>
      <c r="AV1281" s="1684"/>
      <c r="AW1281" s="1684"/>
      <c r="AX1281" s="1684"/>
      <c r="AY1281" s="1684"/>
      <c r="AZ1281" s="1684"/>
      <c r="BA1281" s="1684"/>
      <c r="BB1281" s="1684"/>
      <c r="BC1281" s="1684"/>
      <c r="BD1281" s="1684"/>
      <c r="BE1281" s="1684"/>
      <c r="BF1281" s="1684"/>
      <c r="BG1281" s="1684"/>
      <c r="BH1281" s="1684"/>
      <c r="BI1281" s="1684"/>
      <c r="BJ1281" s="1684"/>
      <c r="BK1281" s="1684"/>
      <c r="BL1281" s="1684"/>
      <c r="BM1281" s="1684"/>
      <c r="BN1281" s="1684"/>
      <c r="BO1281" s="1684"/>
      <c r="BP1281" s="1684"/>
      <c r="BQ1281" s="1684"/>
      <c r="BR1281" s="1684"/>
      <c r="BS1281" s="1684"/>
      <c r="BT1281" s="1684"/>
      <c r="BU1281" s="1684"/>
      <c r="BV1281" s="1684"/>
      <c r="BW1281" s="1684"/>
      <c r="BX1281" s="1684"/>
      <c r="BY1281" s="1684"/>
      <c r="BZ1281" s="1684"/>
      <c r="CA1281" s="1684"/>
      <c r="CB1281" s="1684"/>
      <c r="CC1281" s="1684"/>
      <c r="CD1281" s="1684"/>
      <c r="CE1281" s="1684"/>
      <c r="CF1281" s="1684"/>
      <c r="CG1281" s="1684"/>
      <c r="CH1281" s="1684"/>
      <c r="CI1281" s="1684"/>
      <c r="CJ1281" s="1684"/>
      <c r="CK1281" s="1684"/>
      <c r="CL1281" s="1684"/>
      <c r="CM1281" s="1684"/>
      <c r="CN1281" s="1684"/>
      <c r="CO1281" s="1684"/>
    </row>
    <row r="1282" spans="1:93" s="1391" customFormat="1" ht="15" x14ac:dyDescent="0.2">
      <c r="A1282" s="1684"/>
      <c r="B1282" s="1684"/>
      <c r="C1282" s="2013">
        <v>11</v>
      </c>
      <c r="D1282" s="5">
        <v>7.0540000000000003</v>
      </c>
      <c r="E1282" s="5">
        <v>202</v>
      </c>
      <c r="F1282" s="5">
        <v>223</v>
      </c>
      <c r="G1282" s="5">
        <v>242</v>
      </c>
      <c r="H1282" s="5">
        <v>262</v>
      </c>
      <c r="I1282" s="5">
        <v>281</v>
      </c>
      <c r="J1282" s="5">
        <v>300</v>
      </c>
      <c r="K1282" s="5">
        <v>318</v>
      </c>
      <c r="L1282" s="5">
        <v>338</v>
      </c>
      <c r="M1282" s="5">
        <v>355</v>
      </c>
      <c r="N1282" s="5">
        <v>373</v>
      </c>
      <c r="O1282" s="5">
        <v>391</v>
      </c>
      <c r="P1282" s="5">
        <v>408</v>
      </c>
      <c r="Q1282" s="1160">
        <v>81</v>
      </c>
      <c r="R1282"/>
      <c r="S1282" s="1684"/>
      <c r="T1282" s="1684"/>
      <c r="U1282" s="1684"/>
      <c r="V1282" s="1684"/>
      <c r="W1282" s="1684"/>
      <c r="X1282" s="1684"/>
      <c r="Y1282" s="1684"/>
      <c r="Z1282" s="1684"/>
      <c r="AA1282" s="1684"/>
      <c r="AB1282" s="1684"/>
      <c r="AC1282" s="1684"/>
      <c r="AD1282" s="1684"/>
      <c r="AE1282" s="1684"/>
      <c r="AF1282" s="1684"/>
      <c r="AG1282" s="1684"/>
      <c r="AH1282" s="1684"/>
      <c r="AI1282" s="1684"/>
      <c r="AJ1282" s="1684"/>
      <c r="AK1282" s="1684"/>
      <c r="AL1282" s="1684"/>
      <c r="AM1282" s="1684"/>
      <c r="AN1282" s="1684"/>
      <c r="AO1282" s="1684"/>
      <c r="AP1282" s="1684"/>
      <c r="AQ1282" s="1684"/>
      <c r="AR1282" s="1684"/>
      <c r="AS1282" s="1684"/>
      <c r="AT1282" s="1684"/>
      <c r="AU1282" s="1684"/>
      <c r="AV1282" s="1684"/>
      <c r="AW1282" s="1684"/>
      <c r="AX1282" s="1684"/>
      <c r="AY1282" s="1684"/>
      <c r="AZ1282" s="1684"/>
      <c r="BA1282" s="1684"/>
      <c r="BB1282" s="1684"/>
      <c r="BC1282" s="1684"/>
      <c r="BD1282" s="1684"/>
      <c r="BE1282" s="1684"/>
      <c r="BF1282" s="1684"/>
      <c r="BG1282" s="1684"/>
      <c r="BH1282" s="1684"/>
      <c r="BI1282" s="1684"/>
      <c r="BJ1282" s="1684"/>
      <c r="BK1282" s="1684"/>
      <c r="BL1282" s="1684"/>
      <c r="BM1282" s="1684"/>
      <c r="BN1282" s="1684"/>
      <c r="BO1282" s="1684"/>
      <c r="BP1282" s="1684"/>
      <c r="BQ1282" s="1684"/>
      <c r="BR1282" s="1684"/>
      <c r="BS1282" s="1684"/>
      <c r="BT1282" s="1684"/>
      <c r="BU1282" s="1684"/>
      <c r="BV1282" s="1684"/>
      <c r="BW1282" s="1684"/>
      <c r="BX1282" s="1684"/>
      <c r="BY1282" s="1684"/>
      <c r="BZ1282" s="1684"/>
      <c r="CA1282" s="1684"/>
      <c r="CB1282" s="1684"/>
      <c r="CC1282" s="1684"/>
      <c r="CD1282" s="1684"/>
      <c r="CE1282" s="1684"/>
      <c r="CF1282" s="1684"/>
      <c r="CG1282" s="1684"/>
      <c r="CH1282" s="1684"/>
      <c r="CI1282" s="1684"/>
      <c r="CJ1282" s="1684"/>
      <c r="CK1282" s="1684"/>
      <c r="CL1282" s="1684"/>
      <c r="CM1282" s="1684"/>
      <c r="CN1282" s="1684"/>
      <c r="CO1282" s="1684"/>
    </row>
    <row r="1283" spans="1:93" s="1391" customFormat="1" ht="15" x14ac:dyDescent="0.2">
      <c r="A1283" s="1684"/>
      <c r="B1283" s="1684"/>
      <c r="C1283" s="2013">
        <v>12</v>
      </c>
      <c r="D1283" s="5">
        <v>7.5650000000000004</v>
      </c>
      <c r="E1283" s="5">
        <v>221</v>
      </c>
      <c r="F1283" s="5">
        <v>244</v>
      </c>
      <c r="G1283" s="5">
        <v>265</v>
      </c>
      <c r="H1283" s="5">
        <v>286</v>
      </c>
      <c r="I1283" s="5">
        <v>307</v>
      </c>
      <c r="J1283" s="5">
        <v>328</v>
      </c>
      <c r="K1283" s="5">
        <v>348</v>
      </c>
      <c r="L1283" s="5">
        <v>369</v>
      </c>
      <c r="M1283" s="5">
        <v>387</v>
      </c>
      <c r="N1283" s="5">
        <v>407</v>
      </c>
      <c r="O1283" s="5">
        <v>426</v>
      </c>
      <c r="P1283" s="5">
        <v>445</v>
      </c>
      <c r="Q1283" s="1160">
        <v>82</v>
      </c>
      <c r="R1283"/>
      <c r="S1283" s="1684"/>
      <c r="T1283" s="1684"/>
      <c r="U1283" s="1684"/>
      <c r="V1283" s="1684"/>
      <c r="W1283" s="1684"/>
      <c r="X1283" s="1684"/>
      <c r="Y1283" s="1684"/>
      <c r="Z1283" s="1684"/>
      <c r="AA1283" s="1684"/>
      <c r="AB1283" s="1684"/>
      <c r="AC1283" s="1684"/>
      <c r="AD1283" s="1684"/>
      <c r="AE1283" s="1684"/>
      <c r="AF1283" s="1684"/>
      <c r="AG1283" s="1684"/>
      <c r="AH1283" s="1684"/>
      <c r="AI1283" s="1684"/>
      <c r="AJ1283" s="1684"/>
      <c r="AK1283" s="1684"/>
      <c r="AL1283" s="1684"/>
      <c r="AM1283" s="1684"/>
      <c r="AN1283" s="1684"/>
      <c r="AO1283" s="1684"/>
      <c r="AP1283" s="1684"/>
      <c r="AQ1283" s="1684"/>
      <c r="AR1283" s="1684"/>
      <c r="AS1283" s="1684"/>
      <c r="AT1283" s="1684"/>
      <c r="AU1283" s="1684"/>
      <c r="AV1283" s="1684"/>
      <c r="AW1283" s="1684"/>
      <c r="AX1283" s="1684"/>
      <c r="AY1283" s="1684"/>
      <c r="AZ1283" s="1684"/>
      <c r="BA1283" s="1684"/>
      <c r="BB1283" s="1684"/>
      <c r="BC1283" s="1684"/>
      <c r="BD1283" s="1684"/>
      <c r="BE1283" s="1684"/>
      <c r="BF1283" s="1684"/>
      <c r="BG1283" s="1684"/>
      <c r="BH1283" s="1684"/>
      <c r="BI1283" s="1684"/>
      <c r="BJ1283" s="1684"/>
      <c r="BK1283" s="1684"/>
      <c r="BL1283" s="1684"/>
      <c r="BM1283" s="1684"/>
      <c r="BN1283" s="1684"/>
      <c r="BO1283" s="1684"/>
      <c r="BP1283" s="1684"/>
      <c r="BQ1283" s="1684"/>
      <c r="BR1283" s="1684"/>
      <c r="BS1283" s="1684"/>
      <c r="BT1283" s="1684"/>
      <c r="BU1283" s="1684"/>
      <c r="BV1283" s="1684"/>
      <c r="BW1283" s="1684"/>
      <c r="BX1283" s="1684"/>
      <c r="BY1283" s="1684"/>
      <c r="BZ1283" s="1684"/>
      <c r="CA1283" s="1684"/>
      <c r="CB1283" s="1684"/>
      <c r="CC1283" s="1684"/>
      <c r="CD1283" s="1684"/>
      <c r="CE1283" s="1684"/>
      <c r="CF1283" s="1684"/>
      <c r="CG1283" s="1684"/>
      <c r="CH1283" s="1684"/>
      <c r="CI1283" s="1684"/>
      <c r="CJ1283" s="1684"/>
      <c r="CK1283" s="1684"/>
      <c r="CL1283" s="1684"/>
      <c r="CM1283" s="1684"/>
      <c r="CN1283" s="1684"/>
      <c r="CO1283" s="1684"/>
    </row>
    <row r="1284" spans="1:93" s="1391" customFormat="1" ht="15" x14ac:dyDescent="0.2">
      <c r="A1284" s="1684"/>
      <c r="B1284" s="1684"/>
      <c r="C1284" s="2013">
        <v>13</v>
      </c>
      <c r="D1284" s="5">
        <v>8.0969999999999995</v>
      </c>
      <c r="E1284" s="5">
        <v>241</v>
      </c>
      <c r="F1284" s="5">
        <v>266</v>
      </c>
      <c r="G1284" s="5">
        <v>289</v>
      </c>
      <c r="H1284" s="5">
        <v>311</v>
      </c>
      <c r="I1284" s="5">
        <v>334</v>
      </c>
      <c r="J1284" s="5">
        <v>356</v>
      </c>
      <c r="K1284" s="5">
        <v>377</v>
      </c>
      <c r="L1284" s="5">
        <v>400</v>
      </c>
      <c r="M1284" s="5">
        <v>420</v>
      </c>
      <c r="N1284" s="5">
        <v>441</v>
      </c>
      <c r="O1284" s="5">
        <v>461</v>
      </c>
      <c r="P1284" s="5">
        <v>481</v>
      </c>
      <c r="Q1284" s="1160">
        <v>83</v>
      </c>
      <c r="R1284"/>
      <c r="S1284" s="1684"/>
      <c r="T1284" s="1684"/>
      <c r="U1284" s="1684"/>
      <c r="V1284" s="1684"/>
      <c r="W1284" s="1684"/>
      <c r="X1284" s="1684"/>
      <c r="Y1284" s="1684"/>
      <c r="Z1284" s="1684"/>
      <c r="AA1284" s="1684"/>
      <c r="AB1284" s="1684"/>
      <c r="AC1284" s="1684"/>
      <c r="AD1284" s="1684"/>
      <c r="AE1284" s="1684"/>
      <c r="AF1284" s="1684"/>
      <c r="AG1284" s="1684"/>
      <c r="AH1284" s="1684"/>
      <c r="AI1284" s="1684"/>
      <c r="AJ1284" s="1684"/>
      <c r="AK1284" s="1684"/>
      <c r="AL1284" s="1684"/>
      <c r="AM1284" s="1684"/>
      <c r="AN1284" s="1684"/>
      <c r="AO1284" s="1684"/>
      <c r="AP1284" s="1684"/>
      <c r="AQ1284" s="1684"/>
      <c r="AR1284" s="1684"/>
      <c r="AS1284" s="1684"/>
      <c r="AT1284" s="1684"/>
      <c r="AU1284" s="1684"/>
      <c r="AV1284" s="1684"/>
      <c r="AW1284" s="1684"/>
      <c r="AX1284" s="1684"/>
      <c r="AY1284" s="1684"/>
      <c r="AZ1284" s="1684"/>
      <c r="BA1284" s="1684"/>
      <c r="BB1284" s="1684"/>
      <c r="BC1284" s="1684"/>
      <c r="BD1284" s="1684"/>
      <c r="BE1284" s="1684"/>
      <c r="BF1284" s="1684"/>
      <c r="BG1284" s="1684"/>
      <c r="BH1284" s="1684"/>
      <c r="BI1284" s="1684"/>
      <c r="BJ1284" s="1684"/>
      <c r="BK1284" s="1684"/>
      <c r="BL1284" s="1684"/>
      <c r="BM1284" s="1684"/>
      <c r="BN1284" s="1684"/>
      <c r="BO1284" s="1684"/>
      <c r="BP1284" s="1684"/>
      <c r="BQ1284" s="1684"/>
      <c r="BR1284" s="1684"/>
      <c r="BS1284" s="1684"/>
      <c r="BT1284" s="1684"/>
      <c r="BU1284" s="1684"/>
      <c r="BV1284" s="1684"/>
      <c r="BW1284" s="1684"/>
      <c r="BX1284" s="1684"/>
      <c r="BY1284" s="1684"/>
      <c r="BZ1284" s="1684"/>
      <c r="CA1284" s="1684"/>
      <c r="CB1284" s="1684"/>
      <c r="CC1284" s="1684"/>
      <c r="CD1284" s="1684"/>
      <c r="CE1284" s="1684"/>
      <c r="CF1284" s="1684"/>
      <c r="CG1284" s="1684"/>
      <c r="CH1284" s="1684"/>
      <c r="CI1284" s="1684"/>
      <c r="CJ1284" s="1684"/>
      <c r="CK1284" s="1684"/>
      <c r="CL1284" s="1684"/>
      <c r="CM1284" s="1684"/>
      <c r="CN1284" s="1684"/>
      <c r="CO1284" s="1684"/>
    </row>
    <row r="1285" spans="1:93" s="1391" customFormat="1" ht="15" x14ac:dyDescent="0.2">
      <c r="A1285" s="1684"/>
      <c r="B1285" s="1684"/>
      <c r="C1285" s="2013">
        <v>14</v>
      </c>
      <c r="D1285" s="5">
        <v>8.6660000000000004</v>
      </c>
      <c r="E1285" s="5">
        <v>262</v>
      </c>
      <c r="F1285" s="5">
        <v>288</v>
      </c>
      <c r="G1285" s="5">
        <v>313</v>
      </c>
      <c r="H1285" s="5">
        <v>338</v>
      </c>
      <c r="I1285" s="5">
        <v>362</v>
      </c>
      <c r="J1285" s="5">
        <v>385</v>
      </c>
      <c r="K1285" s="5">
        <v>408</v>
      </c>
      <c r="L1285" s="5">
        <v>432</v>
      </c>
      <c r="M1285" s="5">
        <v>454</v>
      </c>
      <c r="N1285" s="5">
        <v>476</v>
      </c>
      <c r="O1285" s="5">
        <v>498</v>
      </c>
      <c r="P1285" s="5">
        <v>519</v>
      </c>
      <c r="Q1285" s="1160">
        <v>84</v>
      </c>
      <c r="R1285"/>
      <c r="S1285" s="1684"/>
      <c r="T1285" s="1684"/>
      <c r="U1285" s="1684"/>
      <c r="V1285" s="1684"/>
      <c r="W1285" s="1684"/>
      <c r="X1285" s="1684"/>
      <c r="Y1285" s="1684"/>
      <c r="Z1285" s="1684"/>
      <c r="AA1285" s="1684"/>
      <c r="AB1285" s="1684"/>
      <c r="AC1285" s="1684"/>
      <c r="AD1285" s="1684"/>
      <c r="AE1285" s="1684"/>
      <c r="AF1285" s="1684"/>
      <c r="AG1285" s="1684"/>
      <c r="AH1285" s="1684"/>
      <c r="AI1285" s="1684"/>
      <c r="AJ1285" s="1684"/>
      <c r="AK1285" s="1684"/>
      <c r="AL1285" s="1684"/>
      <c r="AM1285" s="1684"/>
      <c r="AN1285" s="1684"/>
      <c r="AO1285" s="1684"/>
      <c r="AP1285" s="1684"/>
      <c r="AQ1285" s="1684"/>
      <c r="AR1285" s="1684"/>
      <c r="AS1285" s="1684"/>
      <c r="AT1285" s="1684"/>
      <c r="AU1285" s="1684"/>
      <c r="AV1285" s="1684"/>
      <c r="AW1285" s="1684"/>
      <c r="AX1285" s="1684"/>
      <c r="AY1285" s="1684"/>
      <c r="AZ1285" s="1684"/>
      <c r="BA1285" s="1684"/>
      <c r="BB1285" s="1684"/>
      <c r="BC1285" s="1684"/>
      <c r="BD1285" s="1684"/>
      <c r="BE1285" s="1684"/>
      <c r="BF1285" s="1684"/>
      <c r="BG1285" s="1684"/>
      <c r="BH1285" s="1684"/>
      <c r="BI1285" s="1684"/>
      <c r="BJ1285" s="1684"/>
      <c r="BK1285" s="1684"/>
      <c r="BL1285" s="1684"/>
      <c r="BM1285" s="1684"/>
      <c r="BN1285" s="1684"/>
      <c r="BO1285" s="1684"/>
      <c r="BP1285" s="1684"/>
      <c r="BQ1285" s="1684"/>
      <c r="BR1285" s="1684"/>
      <c r="BS1285" s="1684"/>
      <c r="BT1285" s="1684"/>
      <c r="BU1285" s="1684"/>
      <c r="BV1285" s="1684"/>
      <c r="BW1285" s="1684"/>
      <c r="BX1285" s="1684"/>
      <c r="BY1285" s="1684"/>
      <c r="BZ1285" s="1684"/>
      <c r="CA1285" s="1684"/>
      <c r="CB1285" s="1684"/>
      <c r="CC1285" s="1684"/>
      <c r="CD1285" s="1684"/>
      <c r="CE1285" s="1684"/>
      <c r="CF1285" s="1684"/>
      <c r="CG1285" s="1684"/>
      <c r="CH1285" s="1684"/>
      <c r="CI1285" s="1684"/>
      <c r="CJ1285" s="1684"/>
      <c r="CK1285" s="1684"/>
      <c r="CL1285" s="1684"/>
      <c r="CM1285" s="1684"/>
      <c r="CN1285" s="1684"/>
      <c r="CO1285" s="1684"/>
    </row>
    <row r="1286" spans="1:93" s="1391" customFormat="1" ht="15" x14ac:dyDescent="0.2">
      <c r="A1286" s="1684"/>
      <c r="B1286" s="1684"/>
      <c r="C1286" s="2013">
        <v>15</v>
      </c>
      <c r="D1286" s="5">
        <v>9.2629999999999999</v>
      </c>
      <c r="E1286" s="5">
        <v>283</v>
      </c>
      <c r="F1286" s="5">
        <v>312</v>
      </c>
      <c r="G1286" s="5">
        <v>338</v>
      </c>
      <c r="H1286" s="5">
        <v>364</v>
      </c>
      <c r="I1286" s="5">
        <v>390</v>
      </c>
      <c r="J1286" s="5">
        <v>415</v>
      </c>
      <c r="K1286" s="5">
        <v>440</v>
      </c>
      <c r="L1286" s="5">
        <v>466</v>
      </c>
      <c r="M1286" s="5">
        <v>488</v>
      </c>
      <c r="N1286" s="5">
        <v>512</v>
      </c>
      <c r="O1286" s="5">
        <v>533</v>
      </c>
      <c r="P1286" s="5">
        <v>558</v>
      </c>
      <c r="Q1286" s="1160">
        <v>85</v>
      </c>
      <c r="R1286"/>
      <c r="S1286" s="1684"/>
      <c r="T1286" s="1684"/>
      <c r="U1286" s="1684"/>
      <c r="V1286" s="1684"/>
      <c r="W1286" s="1684"/>
      <c r="X1286" s="1684"/>
      <c r="Y1286" s="1684"/>
      <c r="Z1286" s="1684"/>
      <c r="AA1286" s="1684"/>
      <c r="AB1286" s="1684"/>
      <c r="AC1286" s="1684"/>
      <c r="AD1286" s="1684"/>
      <c r="AE1286" s="1684"/>
      <c r="AF1286" s="1684"/>
      <c r="AG1286" s="1684"/>
      <c r="AH1286" s="1684"/>
      <c r="AI1286" s="1684"/>
      <c r="AJ1286" s="1684"/>
      <c r="AK1286" s="1684"/>
      <c r="AL1286" s="1684"/>
      <c r="AM1286" s="1684"/>
      <c r="AN1286" s="1684"/>
      <c r="AO1286" s="1684"/>
      <c r="AP1286" s="1684"/>
      <c r="AQ1286" s="1684"/>
      <c r="AR1286" s="1684"/>
      <c r="AS1286" s="1684"/>
      <c r="AT1286" s="1684"/>
      <c r="AU1286" s="1684"/>
      <c r="AV1286" s="1684"/>
      <c r="AW1286" s="1684"/>
      <c r="AX1286" s="1684"/>
      <c r="AY1286" s="1684"/>
      <c r="AZ1286" s="1684"/>
      <c r="BA1286" s="1684"/>
      <c r="BB1286" s="1684"/>
      <c r="BC1286" s="1684"/>
      <c r="BD1286" s="1684"/>
      <c r="BE1286" s="1684"/>
      <c r="BF1286" s="1684"/>
      <c r="BG1286" s="1684"/>
      <c r="BH1286" s="1684"/>
      <c r="BI1286" s="1684"/>
      <c r="BJ1286" s="1684"/>
      <c r="BK1286" s="1684"/>
      <c r="BL1286" s="1684"/>
      <c r="BM1286" s="1684"/>
      <c r="BN1286" s="1684"/>
      <c r="BO1286" s="1684"/>
      <c r="BP1286" s="1684"/>
      <c r="BQ1286" s="1684"/>
      <c r="BR1286" s="1684"/>
      <c r="BS1286" s="1684"/>
      <c r="BT1286" s="1684"/>
      <c r="BU1286" s="1684"/>
      <c r="BV1286" s="1684"/>
      <c r="BW1286" s="1684"/>
      <c r="BX1286" s="1684"/>
      <c r="BY1286" s="1684"/>
      <c r="BZ1286" s="1684"/>
      <c r="CA1286" s="1684"/>
      <c r="CB1286" s="1684"/>
      <c r="CC1286" s="1684"/>
      <c r="CD1286" s="1684"/>
      <c r="CE1286" s="1684"/>
      <c r="CF1286" s="1684"/>
      <c r="CG1286" s="1684"/>
      <c r="CH1286" s="1684"/>
      <c r="CI1286" s="1684"/>
      <c r="CJ1286" s="1684"/>
      <c r="CK1286" s="1684"/>
      <c r="CL1286" s="1684"/>
      <c r="CM1286" s="1684"/>
      <c r="CN1286" s="1684"/>
      <c r="CO1286" s="1684"/>
    </row>
    <row r="1287" spans="1:93" s="1391" customFormat="1" ht="15" x14ac:dyDescent="0.2">
      <c r="A1287" s="1684"/>
      <c r="B1287" s="1684"/>
      <c r="C1287" s="2013">
        <v>16</v>
      </c>
      <c r="D1287" s="5">
        <v>10.026999999999999</v>
      </c>
      <c r="E1287" s="5">
        <v>304</v>
      </c>
      <c r="F1287" s="5">
        <v>334</v>
      </c>
      <c r="G1287" s="5">
        <v>363</v>
      </c>
      <c r="H1287" s="5">
        <v>390</v>
      </c>
      <c r="I1287" s="5">
        <v>418</v>
      </c>
      <c r="J1287" s="5">
        <v>444</v>
      </c>
      <c r="K1287" s="5">
        <v>471</v>
      </c>
      <c r="L1287" s="5">
        <v>498</v>
      </c>
      <c r="M1287" s="5">
        <v>522</v>
      </c>
      <c r="N1287" s="5">
        <v>547</v>
      </c>
      <c r="O1287" s="5">
        <v>571</v>
      </c>
      <c r="P1287" s="5">
        <v>595</v>
      </c>
      <c r="Q1287" s="1160">
        <v>86</v>
      </c>
      <c r="R1287"/>
      <c r="S1287" s="1684"/>
      <c r="T1287" s="1684"/>
      <c r="U1287" s="1684"/>
      <c r="V1287" s="1684"/>
      <c r="W1287" s="1684"/>
      <c r="X1287" s="1684"/>
      <c r="Y1287" s="1684"/>
      <c r="Z1287" s="1684"/>
      <c r="AA1287" s="1684"/>
      <c r="AB1287" s="1684"/>
      <c r="AC1287" s="1684"/>
      <c r="AD1287" s="1684"/>
      <c r="AE1287" s="1684"/>
      <c r="AF1287" s="1684"/>
      <c r="AG1287" s="1684"/>
      <c r="AH1287" s="1684"/>
      <c r="AI1287" s="1684"/>
      <c r="AJ1287" s="1684"/>
      <c r="AK1287" s="1684"/>
      <c r="AL1287" s="1684"/>
      <c r="AM1287" s="1684"/>
      <c r="AN1287" s="1684"/>
      <c r="AO1287" s="1684"/>
      <c r="AP1287" s="1684"/>
      <c r="AQ1287" s="1684"/>
      <c r="AR1287" s="1684"/>
      <c r="AS1287" s="1684"/>
      <c r="AT1287" s="1684"/>
      <c r="AU1287" s="1684"/>
      <c r="AV1287" s="1684"/>
      <c r="AW1287" s="1684"/>
      <c r="AX1287" s="1684"/>
      <c r="AY1287" s="1684"/>
      <c r="AZ1287" s="1684"/>
      <c r="BA1287" s="1684"/>
      <c r="BB1287" s="1684"/>
      <c r="BC1287" s="1684"/>
      <c r="BD1287" s="1684"/>
      <c r="BE1287" s="1684"/>
      <c r="BF1287" s="1684"/>
      <c r="BG1287" s="1684"/>
      <c r="BH1287" s="1684"/>
      <c r="BI1287" s="1684"/>
      <c r="BJ1287" s="1684"/>
      <c r="BK1287" s="1684"/>
      <c r="BL1287" s="1684"/>
      <c r="BM1287" s="1684"/>
      <c r="BN1287" s="1684"/>
      <c r="BO1287" s="1684"/>
      <c r="BP1287" s="1684"/>
      <c r="BQ1287" s="1684"/>
      <c r="BR1287" s="1684"/>
      <c r="BS1287" s="1684"/>
      <c r="BT1287" s="1684"/>
      <c r="BU1287" s="1684"/>
      <c r="BV1287" s="1684"/>
      <c r="BW1287" s="1684"/>
      <c r="BX1287" s="1684"/>
      <c r="BY1287" s="1684"/>
      <c r="BZ1287" s="1684"/>
      <c r="CA1287" s="1684"/>
      <c r="CB1287" s="1684"/>
      <c r="CC1287" s="1684"/>
      <c r="CD1287" s="1684"/>
      <c r="CE1287" s="1684"/>
      <c r="CF1287" s="1684"/>
      <c r="CG1287" s="1684"/>
      <c r="CH1287" s="1684"/>
      <c r="CI1287" s="1684"/>
      <c r="CJ1287" s="1684"/>
      <c r="CK1287" s="1684"/>
      <c r="CL1287" s="1684"/>
      <c r="CM1287" s="1684"/>
      <c r="CN1287" s="1684"/>
      <c r="CO1287" s="1684"/>
    </row>
    <row r="1288" spans="1:93" s="1391" customFormat="1" ht="15" x14ac:dyDescent="0.2">
      <c r="A1288" s="1684"/>
      <c r="B1288" s="1684"/>
      <c r="C1288" s="2013">
        <v>17</v>
      </c>
      <c r="D1288" s="5">
        <v>10.84</v>
      </c>
      <c r="E1288" s="5">
        <v>324</v>
      </c>
      <c r="F1288" s="5">
        <v>355</v>
      </c>
      <c r="G1288" s="5">
        <v>385</v>
      </c>
      <c r="H1288" s="5">
        <v>414</v>
      </c>
      <c r="I1288" s="5">
        <v>443</v>
      </c>
      <c r="J1288" s="5">
        <v>471</v>
      </c>
      <c r="K1288" s="5">
        <v>499</v>
      </c>
      <c r="L1288" s="5">
        <v>527</v>
      </c>
      <c r="M1288" s="5">
        <v>552</v>
      </c>
      <c r="N1288" s="5">
        <v>578</v>
      </c>
      <c r="O1288" s="5">
        <v>604</v>
      </c>
      <c r="P1288" s="5">
        <v>629</v>
      </c>
      <c r="Q1288" s="1160">
        <v>87</v>
      </c>
      <c r="R1288"/>
      <c r="S1288" s="1684"/>
      <c r="T1288" s="1684"/>
      <c r="U1288" s="1684"/>
      <c r="V1288" s="1684"/>
      <c r="W1288" s="1684"/>
      <c r="X1288" s="1684"/>
      <c r="Y1288" s="1684"/>
      <c r="Z1288" s="1684"/>
      <c r="AA1288" s="1684"/>
      <c r="AB1288" s="1684"/>
      <c r="AC1288" s="1684"/>
      <c r="AD1288" s="1684"/>
      <c r="AE1288" s="1684"/>
      <c r="AF1288" s="1684"/>
      <c r="AG1288" s="1684"/>
      <c r="AH1288" s="1684"/>
      <c r="AI1288" s="1684"/>
      <c r="AJ1288" s="1684"/>
      <c r="AK1288" s="1684"/>
      <c r="AL1288" s="1684"/>
      <c r="AM1288" s="1684"/>
      <c r="AN1288" s="1684"/>
      <c r="AO1288" s="1684"/>
      <c r="AP1288" s="1684"/>
      <c r="AQ1288" s="1684"/>
      <c r="AR1288" s="1684"/>
      <c r="AS1288" s="1684"/>
      <c r="AT1288" s="1684"/>
      <c r="AU1288" s="1684"/>
      <c r="AV1288" s="1684"/>
      <c r="AW1288" s="1684"/>
      <c r="AX1288" s="1684"/>
      <c r="AY1288" s="1684"/>
      <c r="AZ1288" s="1684"/>
      <c r="BA1288" s="1684"/>
      <c r="BB1288" s="1684"/>
      <c r="BC1288" s="1684"/>
      <c r="BD1288" s="1684"/>
      <c r="BE1288" s="1684"/>
      <c r="BF1288" s="1684"/>
      <c r="BG1288" s="1684"/>
      <c r="BH1288" s="1684"/>
      <c r="BI1288" s="1684"/>
      <c r="BJ1288" s="1684"/>
      <c r="BK1288" s="1684"/>
      <c r="BL1288" s="1684"/>
      <c r="BM1288" s="1684"/>
      <c r="BN1288" s="1684"/>
      <c r="BO1288" s="1684"/>
      <c r="BP1288" s="1684"/>
      <c r="BQ1288" s="1684"/>
      <c r="BR1288" s="1684"/>
      <c r="BS1288" s="1684"/>
      <c r="BT1288" s="1684"/>
      <c r="BU1288" s="1684"/>
      <c r="BV1288" s="1684"/>
      <c r="BW1288" s="1684"/>
      <c r="BX1288" s="1684"/>
      <c r="BY1288" s="1684"/>
      <c r="BZ1288" s="1684"/>
      <c r="CA1288" s="1684"/>
      <c r="CB1288" s="1684"/>
      <c r="CC1288" s="1684"/>
      <c r="CD1288" s="1684"/>
      <c r="CE1288" s="1684"/>
      <c r="CF1288" s="1684"/>
      <c r="CG1288" s="1684"/>
      <c r="CH1288" s="1684"/>
      <c r="CI1288" s="1684"/>
      <c r="CJ1288" s="1684"/>
      <c r="CK1288" s="1684"/>
      <c r="CL1288" s="1684"/>
      <c r="CM1288" s="1684"/>
      <c r="CN1288" s="1684"/>
      <c r="CO1288" s="1684"/>
    </row>
    <row r="1289" spans="1:93" s="1391" customFormat="1" ht="15.75" thickBot="1" x14ac:dyDescent="0.25">
      <c r="A1289" s="1684"/>
      <c r="B1289" s="1684"/>
      <c r="C1289" s="2018">
        <v>18</v>
      </c>
      <c r="D1289" s="976">
        <v>11.378</v>
      </c>
      <c r="E1289" s="976">
        <v>341</v>
      </c>
      <c r="F1289" s="976">
        <v>375</v>
      </c>
      <c r="G1289" s="976">
        <v>406</v>
      </c>
      <c r="H1289" s="976">
        <v>436</v>
      </c>
      <c r="I1289" s="976">
        <v>466</v>
      </c>
      <c r="J1289" s="976">
        <v>496</v>
      </c>
      <c r="K1289" s="976">
        <v>524</v>
      </c>
      <c r="L1289" s="976">
        <v>554</v>
      </c>
      <c r="M1289" s="976">
        <v>580</v>
      </c>
      <c r="N1289" s="976">
        <v>607</v>
      </c>
      <c r="O1289" s="976">
        <v>534</v>
      </c>
      <c r="P1289" s="976">
        <v>660</v>
      </c>
      <c r="Q1289" s="2019">
        <v>88</v>
      </c>
      <c r="R1289"/>
      <c r="S1289" s="1684"/>
      <c r="T1289" s="1684"/>
      <c r="U1289" s="1684"/>
      <c r="V1289" s="1684"/>
      <c r="W1289" s="1684"/>
      <c r="X1289" s="1684"/>
      <c r="Y1289" s="1684"/>
      <c r="Z1289" s="1684"/>
      <c r="AA1289" s="1684"/>
      <c r="AB1289" s="1684"/>
      <c r="AC1289" s="1684"/>
      <c r="AD1289" s="1684"/>
      <c r="AE1289" s="1684"/>
      <c r="AF1289" s="1684"/>
      <c r="AG1289" s="1684"/>
      <c r="AH1289" s="1684"/>
      <c r="AI1289" s="1684"/>
      <c r="AJ1289" s="1684"/>
      <c r="AK1289" s="1684"/>
      <c r="AL1289" s="1684"/>
      <c r="AM1289" s="1684"/>
      <c r="AN1289" s="1684"/>
      <c r="AO1289" s="1684"/>
      <c r="AP1289" s="1684"/>
      <c r="AQ1289" s="1684"/>
      <c r="AR1289" s="1684"/>
      <c r="AS1289" s="1684"/>
      <c r="AT1289" s="1684"/>
      <c r="AU1289" s="1684"/>
      <c r="AV1289" s="1684"/>
      <c r="AW1289" s="1684"/>
      <c r="AX1289" s="1684"/>
      <c r="AY1289" s="1684"/>
      <c r="AZ1289" s="1684"/>
      <c r="BA1289" s="1684"/>
      <c r="BB1289" s="1684"/>
      <c r="BC1289" s="1684"/>
      <c r="BD1289" s="1684"/>
      <c r="BE1289" s="1684"/>
      <c r="BF1289" s="1684"/>
      <c r="BG1289" s="1684"/>
      <c r="BH1289" s="1684"/>
      <c r="BI1289" s="1684"/>
      <c r="BJ1289" s="1684"/>
      <c r="BK1289" s="1684"/>
      <c r="BL1289" s="1684"/>
      <c r="BM1289" s="1684"/>
      <c r="BN1289" s="1684"/>
      <c r="BO1289" s="1684"/>
      <c r="BP1289" s="1684"/>
      <c r="BQ1289" s="1684"/>
      <c r="BR1289" s="1684"/>
      <c r="BS1289" s="1684"/>
      <c r="BT1289" s="1684"/>
      <c r="BU1289" s="1684"/>
      <c r="BV1289" s="1684"/>
      <c r="BW1289" s="1684"/>
      <c r="BX1289" s="1684"/>
      <c r="BY1289" s="1684"/>
      <c r="BZ1289" s="1684"/>
      <c r="CA1289" s="1684"/>
      <c r="CB1289" s="1684"/>
      <c r="CC1289" s="1684"/>
      <c r="CD1289" s="1684"/>
      <c r="CE1289" s="1684"/>
      <c r="CF1289" s="1684"/>
      <c r="CG1289" s="1684"/>
      <c r="CH1289" s="1684"/>
      <c r="CI1289" s="1684"/>
      <c r="CJ1289" s="1684"/>
      <c r="CK1289" s="1684"/>
      <c r="CL1289" s="1684"/>
      <c r="CM1289" s="1684"/>
      <c r="CN1289" s="1684"/>
      <c r="CO1289" s="1684"/>
    </row>
    <row r="1290" spans="1:93" s="1391" customFormat="1" ht="15.75" thickBot="1" x14ac:dyDescent="0.25">
      <c r="A1290" s="1684"/>
      <c r="B1290" s="1684"/>
      <c r="C1290" s="248"/>
      <c r="D1290" s="249" t="s">
        <v>5332</v>
      </c>
      <c r="E1290" s="249"/>
      <c r="F1290" s="249"/>
      <c r="G1290" s="249"/>
      <c r="H1290" s="249"/>
      <c r="I1290" s="249"/>
      <c r="J1290" s="249"/>
      <c r="K1290" s="249"/>
      <c r="L1290" s="249"/>
      <c r="M1290" s="249"/>
      <c r="N1290" s="249"/>
      <c r="O1290" s="249"/>
      <c r="P1290" s="249"/>
      <c r="Q1290" s="250"/>
      <c r="R1290"/>
      <c r="S1290" s="1684"/>
      <c r="T1290" s="1684"/>
      <c r="U1290" s="1684"/>
      <c r="V1290" s="1684"/>
      <c r="W1290" s="1684"/>
      <c r="X1290" s="1684"/>
      <c r="Y1290" s="1684"/>
      <c r="Z1290" s="1684"/>
      <c r="AA1290" s="1684"/>
      <c r="AB1290" s="1684"/>
      <c r="AC1290" s="1684"/>
      <c r="AD1290" s="1684"/>
      <c r="AE1290" s="1684"/>
      <c r="AF1290" s="1684"/>
      <c r="AG1290" s="1684"/>
      <c r="AH1290" s="1684"/>
      <c r="AI1290" s="1684"/>
      <c r="AJ1290" s="1684"/>
      <c r="AK1290" s="1684"/>
      <c r="AL1290" s="1684"/>
      <c r="AM1290" s="1684"/>
      <c r="AN1290" s="1684"/>
      <c r="AO1290" s="1684"/>
      <c r="AP1290" s="1684"/>
      <c r="AQ1290" s="1684"/>
      <c r="AR1290" s="1684"/>
      <c r="AS1290" s="1684"/>
      <c r="AT1290" s="1684"/>
      <c r="AU1290" s="1684"/>
      <c r="AV1290" s="1684"/>
      <c r="AW1290" s="1684"/>
      <c r="AX1290" s="1684"/>
      <c r="AY1290" s="1684"/>
      <c r="AZ1290" s="1684"/>
      <c r="BA1290" s="1684"/>
      <c r="BB1290" s="1684"/>
      <c r="BC1290" s="1684"/>
      <c r="BD1290" s="1684"/>
      <c r="BE1290" s="1684"/>
      <c r="BF1290" s="1684"/>
      <c r="BG1290" s="1684"/>
      <c r="BH1290" s="1684"/>
      <c r="BI1290" s="1684"/>
      <c r="BJ1290" s="1684"/>
      <c r="BK1290" s="1684"/>
      <c r="BL1290" s="1684"/>
      <c r="BM1290" s="1684"/>
      <c r="BN1290" s="1684"/>
      <c r="BO1290" s="1684"/>
      <c r="BP1290" s="1684"/>
      <c r="BQ1290" s="1684"/>
      <c r="BR1290" s="1684"/>
      <c r="BS1290" s="1684"/>
      <c r="BT1290" s="1684"/>
      <c r="BU1290" s="1684"/>
      <c r="BV1290" s="1684"/>
      <c r="BW1290" s="1684"/>
      <c r="BX1290" s="1684"/>
      <c r="BY1290" s="1684"/>
      <c r="BZ1290" s="1684"/>
      <c r="CA1290" s="1684"/>
      <c r="CB1290" s="1684"/>
      <c r="CC1290" s="1684"/>
      <c r="CD1290" s="1684"/>
      <c r="CE1290" s="1684"/>
      <c r="CF1290" s="1684"/>
      <c r="CG1290" s="1684"/>
      <c r="CH1290" s="1684"/>
      <c r="CI1290" s="1684"/>
      <c r="CJ1290" s="1684"/>
      <c r="CK1290" s="1684"/>
      <c r="CL1290" s="1684"/>
      <c r="CM1290" s="1684"/>
      <c r="CN1290" s="1684"/>
      <c r="CO1290" s="1684"/>
    </row>
    <row r="1291" spans="1:93" s="1391" customFormat="1" ht="15" x14ac:dyDescent="0.2">
      <c r="A1291" s="1684"/>
      <c r="B1291" s="1684"/>
      <c r="C1291" s="4683" t="s">
        <v>3593</v>
      </c>
      <c r="D1291" s="4684"/>
      <c r="E1291" s="4684"/>
      <c r="F1291" s="4684"/>
      <c r="G1291" s="4684"/>
      <c r="H1291" s="4684"/>
      <c r="I1291" s="4684"/>
      <c r="J1291" s="4684"/>
      <c r="K1291" s="4684"/>
      <c r="L1291" s="4684"/>
      <c r="M1291" s="4684"/>
      <c r="N1291" s="4684"/>
      <c r="O1291" s="4684"/>
      <c r="P1291" s="4684"/>
      <c r="Q1291" s="4685"/>
      <c r="R1291"/>
      <c r="S1291" s="1684"/>
      <c r="T1291" s="1684"/>
      <c r="U1291" s="1684"/>
      <c r="V1291" s="1684"/>
      <c r="W1291" s="1684"/>
      <c r="X1291" s="1684"/>
      <c r="Y1291" s="1684"/>
      <c r="Z1291" s="1684"/>
      <c r="AA1291" s="1684"/>
      <c r="AB1291" s="1684"/>
      <c r="AC1291" s="1684"/>
      <c r="AD1291" s="1684"/>
      <c r="AE1291" s="1684"/>
      <c r="AF1291" s="1684"/>
      <c r="AG1291" s="1684"/>
      <c r="AH1291" s="1684"/>
      <c r="AI1291" s="1684"/>
      <c r="AJ1291" s="1684"/>
      <c r="AK1291" s="1684"/>
      <c r="AL1291" s="1684"/>
      <c r="AM1291" s="1684"/>
      <c r="AN1291" s="1684"/>
      <c r="AO1291" s="1684"/>
      <c r="AP1291" s="1684"/>
      <c r="AQ1291" s="1684"/>
      <c r="AR1291" s="1684"/>
      <c r="AS1291" s="1684"/>
      <c r="AT1291" s="1684"/>
      <c r="AU1291" s="1684"/>
      <c r="AV1291" s="1684"/>
      <c r="AW1291" s="1684"/>
      <c r="AX1291" s="1684"/>
      <c r="AY1291" s="1684"/>
      <c r="AZ1291" s="1684"/>
      <c r="BA1291" s="1684"/>
      <c r="BB1291" s="1684"/>
      <c r="BC1291" s="1684"/>
      <c r="BD1291" s="1684"/>
      <c r="BE1291" s="1684"/>
      <c r="BF1291" s="1684"/>
      <c r="BG1291" s="1684"/>
      <c r="BH1291" s="1684"/>
      <c r="BI1291" s="1684"/>
      <c r="BJ1291" s="1684"/>
      <c r="BK1291" s="1684"/>
      <c r="BL1291" s="1684"/>
      <c r="BM1291" s="1684"/>
      <c r="BN1291" s="1684"/>
      <c r="BO1291" s="1684"/>
      <c r="BP1291" s="1684"/>
      <c r="BQ1291" s="1684"/>
      <c r="BR1291" s="1684"/>
      <c r="BS1291" s="1684"/>
      <c r="BT1291" s="1684"/>
      <c r="BU1291" s="1684"/>
      <c r="BV1291" s="1684"/>
      <c r="BW1291" s="1684"/>
      <c r="BX1291" s="1684"/>
      <c r="BY1291" s="1684"/>
      <c r="BZ1291" s="1684"/>
      <c r="CA1291" s="1684"/>
      <c r="CB1291" s="1684"/>
      <c r="CC1291" s="1684"/>
      <c r="CD1291" s="1684"/>
      <c r="CE1291" s="1684"/>
      <c r="CF1291" s="1684"/>
      <c r="CG1291" s="1684"/>
      <c r="CH1291" s="1684"/>
      <c r="CI1291" s="1684"/>
      <c r="CJ1291" s="1684"/>
      <c r="CK1291" s="1684"/>
      <c r="CL1291" s="1684"/>
      <c r="CM1291" s="1684"/>
      <c r="CN1291" s="1684"/>
      <c r="CO1291" s="1684"/>
    </row>
    <row r="1292" spans="1:93" s="1391" customFormat="1" ht="15" x14ac:dyDescent="0.2">
      <c r="A1292" s="1684"/>
      <c r="B1292" s="1684"/>
      <c r="C1292" s="4686"/>
      <c r="D1292" s="4385"/>
      <c r="E1292" s="4385"/>
      <c r="F1292" s="4385"/>
      <c r="G1292" s="4385"/>
      <c r="H1292" s="4385"/>
      <c r="I1292" s="4385"/>
      <c r="J1292" s="4385"/>
      <c r="K1292" s="4385"/>
      <c r="L1292" s="4385"/>
      <c r="M1292" s="4385"/>
      <c r="N1292" s="4385"/>
      <c r="O1292" s="4385"/>
      <c r="P1292" s="4385"/>
      <c r="Q1292" s="4687"/>
      <c r="R1292"/>
      <c r="S1292" s="1684"/>
      <c r="T1292" s="1684"/>
      <c r="U1292" s="1684"/>
      <c r="V1292" s="1684"/>
      <c r="W1292" s="1684"/>
      <c r="X1292" s="1684"/>
      <c r="Y1292" s="1684"/>
      <c r="Z1292" s="1684"/>
      <c r="AA1292" s="1684"/>
      <c r="AB1292" s="1684"/>
      <c r="AC1292" s="1684"/>
      <c r="AD1292" s="1684"/>
      <c r="AE1292" s="1684"/>
      <c r="AF1292" s="1684"/>
      <c r="AG1292" s="1684"/>
      <c r="AH1292" s="1684"/>
      <c r="AI1292" s="1684"/>
      <c r="AJ1292" s="1684"/>
      <c r="AK1292" s="1684"/>
      <c r="AL1292" s="1684"/>
      <c r="AM1292" s="1684"/>
      <c r="AN1292" s="1684"/>
      <c r="AO1292" s="1684"/>
      <c r="AP1292" s="1684"/>
      <c r="AQ1292" s="1684"/>
      <c r="AR1292" s="1684"/>
      <c r="AS1292" s="1684"/>
      <c r="AT1292" s="1684"/>
      <c r="AU1292" s="1684"/>
      <c r="AV1292" s="1684"/>
      <c r="AW1292" s="1684"/>
      <c r="AX1292" s="1684"/>
      <c r="AY1292" s="1684"/>
      <c r="AZ1292" s="1684"/>
      <c r="BA1292" s="1684"/>
      <c r="BB1292" s="1684"/>
      <c r="BC1292" s="1684"/>
      <c r="BD1292" s="1684"/>
      <c r="BE1292" s="1684"/>
      <c r="BF1292" s="1684"/>
      <c r="BG1292" s="1684"/>
      <c r="BH1292" s="1684"/>
      <c r="BI1292" s="1684"/>
      <c r="BJ1292" s="1684"/>
      <c r="BK1292" s="1684"/>
      <c r="BL1292" s="1684"/>
      <c r="BM1292" s="1684"/>
      <c r="BN1292" s="1684"/>
      <c r="BO1292" s="1684"/>
      <c r="BP1292" s="1684"/>
      <c r="BQ1292" s="1684"/>
      <c r="BR1292" s="1684"/>
      <c r="BS1292" s="1684"/>
      <c r="BT1292" s="1684"/>
      <c r="BU1292" s="1684"/>
      <c r="BV1292" s="1684"/>
      <c r="BW1292" s="1684"/>
      <c r="BX1292" s="1684"/>
      <c r="BY1292" s="1684"/>
      <c r="BZ1292" s="1684"/>
      <c r="CA1292" s="1684"/>
      <c r="CB1292" s="1684"/>
      <c r="CC1292" s="1684"/>
      <c r="CD1292" s="1684"/>
      <c r="CE1292" s="1684"/>
      <c r="CF1292" s="1684"/>
      <c r="CG1292" s="1684"/>
      <c r="CH1292" s="1684"/>
      <c r="CI1292" s="1684"/>
      <c r="CJ1292" s="1684"/>
      <c r="CK1292" s="1684"/>
      <c r="CL1292" s="1684"/>
      <c r="CM1292" s="1684"/>
      <c r="CN1292" s="1684"/>
      <c r="CO1292" s="1684"/>
    </row>
    <row r="1293" spans="1:93" s="1391" customFormat="1" ht="15.75" thickBot="1" x14ac:dyDescent="0.25">
      <c r="A1293" s="1684"/>
      <c r="B1293" s="1684"/>
      <c r="C1293" s="4688"/>
      <c r="D1293" s="4689"/>
      <c r="E1293" s="4689"/>
      <c r="F1293" s="4689"/>
      <c r="G1293" s="4689"/>
      <c r="H1293" s="4689"/>
      <c r="I1293" s="4689"/>
      <c r="J1293" s="4689"/>
      <c r="K1293" s="4689"/>
      <c r="L1293" s="4689"/>
      <c r="M1293" s="4689"/>
      <c r="N1293" s="4689"/>
      <c r="O1293" s="4689"/>
      <c r="P1293" s="4689"/>
      <c r="Q1293" s="4690"/>
      <c r="R1293"/>
      <c r="S1293" s="1684"/>
      <c r="T1293" s="1684"/>
      <c r="U1293" s="1684"/>
      <c r="V1293" s="1684"/>
      <c r="W1293" s="1684"/>
      <c r="X1293" s="1684"/>
      <c r="Y1293" s="1684"/>
      <c r="Z1293" s="1684"/>
      <c r="AA1293" s="1684"/>
      <c r="AB1293" s="1684"/>
      <c r="AC1293" s="1684"/>
      <c r="AD1293" s="1684"/>
      <c r="AE1293" s="1684"/>
      <c r="AF1293" s="1684"/>
      <c r="AG1293" s="1684"/>
      <c r="AH1293" s="1684"/>
      <c r="AI1293" s="1684"/>
      <c r="AJ1293" s="1684"/>
      <c r="AK1293" s="1684"/>
      <c r="AL1293" s="1684"/>
      <c r="AM1293" s="1684"/>
      <c r="AN1293" s="1684"/>
      <c r="AO1293" s="1684"/>
      <c r="AP1293" s="1684"/>
      <c r="AQ1293" s="1684"/>
      <c r="AR1293" s="1684"/>
      <c r="AS1293" s="1684"/>
      <c r="AT1293" s="1684"/>
      <c r="AU1293" s="1684"/>
      <c r="AV1293" s="1684"/>
      <c r="AW1293" s="1684"/>
      <c r="AX1293" s="1684"/>
      <c r="AY1293" s="1684"/>
      <c r="AZ1293" s="1684"/>
      <c r="BA1293" s="1684"/>
      <c r="BB1293" s="1684"/>
      <c r="BC1293" s="1684"/>
      <c r="BD1293" s="1684"/>
      <c r="BE1293" s="1684"/>
      <c r="BF1293" s="1684"/>
      <c r="BG1293" s="1684"/>
      <c r="BH1293" s="1684"/>
      <c r="BI1293" s="1684"/>
      <c r="BJ1293" s="1684"/>
      <c r="BK1293" s="1684"/>
      <c r="BL1293" s="1684"/>
      <c r="BM1293" s="1684"/>
      <c r="BN1293" s="1684"/>
      <c r="BO1293" s="1684"/>
      <c r="BP1293" s="1684"/>
      <c r="BQ1293" s="1684"/>
      <c r="BR1293" s="1684"/>
      <c r="BS1293" s="1684"/>
      <c r="BT1293" s="1684"/>
      <c r="BU1293" s="1684"/>
      <c r="BV1293" s="1684"/>
      <c r="BW1293" s="1684"/>
      <c r="BX1293" s="1684"/>
      <c r="BY1293" s="1684"/>
      <c r="BZ1293" s="1684"/>
      <c r="CA1293" s="1684"/>
      <c r="CB1293" s="1684"/>
      <c r="CC1293" s="1684"/>
      <c r="CD1293" s="1684"/>
      <c r="CE1293" s="1684"/>
      <c r="CF1293" s="1684"/>
      <c r="CG1293" s="1684"/>
      <c r="CH1293" s="1684"/>
      <c r="CI1293" s="1684"/>
      <c r="CJ1293" s="1684"/>
      <c r="CK1293" s="1684"/>
      <c r="CL1293" s="1684"/>
      <c r="CM1293" s="1684"/>
      <c r="CN1293" s="1684"/>
      <c r="CO1293" s="1684"/>
    </row>
    <row r="1294" spans="1:93" s="1391" customFormat="1" ht="15" x14ac:dyDescent="0.2">
      <c r="A1294" s="1684"/>
      <c r="B1294" s="1684"/>
      <c r="C1294" s="2012"/>
      <c r="D1294" s="7"/>
      <c r="E1294" s="7"/>
      <c r="F1294" s="7"/>
      <c r="G1294" s="7"/>
      <c r="H1294" s="7"/>
      <c r="I1294" s="7"/>
      <c r="J1294" s="7"/>
      <c r="K1294" s="7"/>
      <c r="L1294" s="7"/>
      <c r="M1294" s="7"/>
      <c r="N1294" s="7"/>
      <c r="O1294" s="7"/>
      <c r="P1294" s="7"/>
      <c r="Q1294" s="251"/>
      <c r="R1294"/>
      <c r="S1294" s="1684"/>
      <c r="T1294" s="1684"/>
      <c r="U1294" s="1684"/>
      <c r="V1294" s="1684"/>
      <c r="W1294" s="1684"/>
      <c r="X1294" s="1684"/>
      <c r="Y1294" s="1684"/>
      <c r="Z1294" s="1684"/>
      <c r="AA1294" s="1684"/>
      <c r="AB1294" s="1684"/>
      <c r="AC1294" s="1684"/>
      <c r="AD1294" s="1684"/>
      <c r="AE1294" s="1684"/>
      <c r="AF1294" s="1684"/>
      <c r="AG1294" s="1684"/>
      <c r="AH1294" s="1684"/>
      <c r="AI1294" s="1684"/>
      <c r="AJ1294" s="1684"/>
      <c r="AK1294" s="1684"/>
      <c r="AL1294" s="1684"/>
      <c r="AM1294" s="1684"/>
      <c r="AN1294" s="1684"/>
      <c r="AO1294" s="1684"/>
      <c r="AP1294" s="1684"/>
      <c r="AQ1294" s="1684"/>
      <c r="AR1294" s="1684"/>
      <c r="AS1294" s="1684"/>
      <c r="AT1294" s="1684"/>
      <c r="AU1294" s="1684"/>
      <c r="AV1294" s="1684"/>
      <c r="AW1294" s="1684"/>
      <c r="AX1294" s="1684"/>
      <c r="AY1294" s="1684"/>
      <c r="AZ1294" s="1684"/>
      <c r="BA1294" s="1684"/>
      <c r="BB1294" s="1684"/>
      <c r="BC1294" s="1684"/>
      <c r="BD1294" s="1684"/>
      <c r="BE1294" s="1684"/>
      <c r="BF1294" s="1684"/>
      <c r="BG1294" s="1684"/>
      <c r="BH1294" s="1684"/>
      <c r="BI1294" s="1684"/>
      <c r="BJ1294" s="1684"/>
      <c r="BK1294" s="1684"/>
      <c r="BL1294" s="1684"/>
      <c r="BM1294" s="1684"/>
      <c r="BN1294" s="1684"/>
      <c r="BO1294" s="1684"/>
      <c r="BP1294" s="1684"/>
      <c r="BQ1294" s="1684"/>
      <c r="BR1294" s="1684"/>
      <c r="BS1294" s="1684"/>
      <c r="BT1294" s="1684"/>
      <c r="BU1294" s="1684"/>
      <c r="BV1294" s="1684"/>
      <c r="BW1294" s="1684"/>
      <c r="BX1294" s="1684"/>
      <c r="BY1294" s="1684"/>
      <c r="BZ1294" s="1684"/>
      <c r="CA1294" s="1684"/>
      <c r="CB1294" s="1684"/>
      <c r="CC1294" s="1684"/>
      <c r="CD1294" s="1684"/>
      <c r="CE1294" s="1684"/>
      <c r="CF1294" s="1684"/>
      <c r="CG1294" s="1684"/>
      <c r="CH1294" s="1684"/>
      <c r="CI1294" s="1684"/>
      <c r="CJ1294" s="1684"/>
      <c r="CK1294" s="1684"/>
      <c r="CL1294" s="1684"/>
      <c r="CM1294" s="1684"/>
      <c r="CN1294" s="1684"/>
      <c r="CO1294" s="1684"/>
    </row>
    <row r="1295" spans="1:93" s="1391" customFormat="1" ht="15" x14ac:dyDescent="0.2">
      <c r="A1295" s="1684"/>
      <c r="B1295" s="1684"/>
      <c r="C1295" s="4691" t="s">
        <v>1964</v>
      </c>
      <c r="D1295" s="4692" t="s">
        <v>1965</v>
      </c>
      <c r="E1295" s="4693" t="s">
        <v>5602</v>
      </c>
      <c r="F1295" s="4693"/>
      <c r="G1295" s="4693"/>
      <c r="H1295" s="4693"/>
      <c r="I1295" s="4693"/>
      <c r="J1295" s="4693"/>
      <c r="K1295" s="4693"/>
      <c r="L1295" s="4693"/>
      <c r="M1295" s="4693"/>
      <c r="N1295" s="4693"/>
      <c r="O1295" s="4693"/>
      <c r="P1295" s="4693"/>
      <c r="Q1295" s="4682" t="s">
        <v>2490</v>
      </c>
      <c r="R1295"/>
      <c r="S1295" s="1684"/>
      <c r="T1295" s="1684"/>
      <c r="U1295" s="1684"/>
      <c r="V1295" s="1684"/>
      <c r="W1295" s="1684"/>
      <c r="X1295" s="1684"/>
      <c r="Y1295" s="1684"/>
      <c r="Z1295" s="1684"/>
      <c r="AA1295" s="1684"/>
      <c r="AB1295" s="1684"/>
      <c r="AC1295" s="1684"/>
      <c r="AD1295" s="1684"/>
      <c r="AE1295" s="1684"/>
      <c r="AF1295" s="1684"/>
      <c r="AG1295" s="1684"/>
      <c r="AH1295" s="1684"/>
      <c r="AI1295" s="1684"/>
      <c r="AJ1295" s="1684"/>
      <c r="AK1295" s="1684"/>
      <c r="AL1295" s="1684"/>
      <c r="AM1295" s="1684"/>
      <c r="AN1295" s="1684"/>
      <c r="AO1295" s="1684"/>
      <c r="AP1295" s="1684"/>
      <c r="AQ1295" s="1684"/>
      <c r="AR1295" s="1684"/>
      <c r="AS1295" s="1684"/>
      <c r="AT1295" s="1684"/>
      <c r="AU1295" s="1684"/>
      <c r="AV1295" s="1684"/>
      <c r="AW1295" s="1684"/>
      <c r="AX1295" s="1684"/>
      <c r="AY1295" s="1684"/>
      <c r="AZ1295" s="1684"/>
      <c r="BA1295" s="1684"/>
      <c r="BB1295" s="1684"/>
      <c r="BC1295" s="1684"/>
      <c r="BD1295" s="1684"/>
      <c r="BE1295" s="1684"/>
      <c r="BF1295" s="1684"/>
      <c r="BG1295" s="1684"/>
      <c r="BH1295" s="1684"/>
      <c r="BI1295" s="1684"/>
      <c r="BJ1295" s="1684"/>
      <c r="BK1295" s="1684"/>
      <c r="BL1295" s="1684"/>
      <c r="BM1295" s="1684"/>
      <c r="BN1295" s="1684"/>
      <c r="BO1295" s="1684"/>
      <c r="BP1295" s="1684"/>
      <c r="BQ1295" s="1684"/>
      <c r="BR1295" s="1684"/>
      <c r="BS1295" s="1684"/>
      <c r="BT1295" s="1684"/>
      <c r="BU1295" s="1684"/>
      <c r="BV1295" s="1684"/>
      <c r="BW1295" s="1684"/>
      <c r="BX1295" s="1684"/>
      <c r="BY1295" s="1684"/>
      <c r="BZ1295" s="1684"/>
      <c r="CA1295" s="1684"/>
      <c r="CB1295" s="1684"/>
      <c r="CC1295" s="1684"/>
      <c r="CD1295" s="1684"/>
      <c r="CE1295" s="1684"/>
      <c r="CF1295" s="1684"/>
      <c r="CG1295" s="1684"/>
      <c r="CH1295" s="1684"/>
      <c r="CI1295" s="1684"/>
      <c r="CJ1295" s="1684"/>
      <c r="CK1295" s="1684"/>
      <c r="CL1295" s="1684"/>
      <c r="CM1295" s="1684"/>
      <c r="CN1295" s="1684"/>
      <c r="CO1295" s="1684"/>
    </row>
    <row r="1296" spans="1:93" s="1391" customFormat="1" ht="31.5" x14ac:dyDescent="0.2">
      <c r="A1296" s="1684"/>
      <c r="B1296" s="1684"/>
      <c r="C1296" s="4691"/>
      <c r="D1296" s="4692"/>
      <c r="E1296" s="2017" t="s">
        <v>1966</v>
      </c>
      <c r="F1296" s="2017" t="s">
        <v>3014</v>
      </c>
      <c r="G1296" s="2017" t="s">
        <v>1967</v>
      </c>
      <c r="H1296" s="2017" t="s">
        <v>1968</v>
      </c>
      <c r="I1296" s="2017" t="s">
        <v>1969</v>
      </c>
      <c r="J1296" s="2017" t="s">
        <v>1970</v>
      </c>
      <c r="K1296" s="2017" t="s">
        <v>1971</v>
      </c>
      <c r="L1296" s="2017" t="s">
        <v>1972</v>
      </c>
      <c r="M1296" s="2017" t="s">
        <v>1973</v>
      </c>
      <c r="N1296" s="2017" t="s">
        <v>1974</v>
      </c>
      <c r="O1296" s="2017" t="s">
        <v>1975</v>
      </c>
      <c r="P1296" s="2017" t="s">
        <v>3020</v>
      </c>
      <c r="Q1296" s="4682"/>
      <c r="R1296"/>
      <c r="S1296" s="1684"/>
      <c r="T1296" s="1684"/>
      <c r="U1296" s="1684"/>
      <c r="V1296" s="1684"/>
      <c r="W1296" s="1684"/>
      <c r="X1296" s="1684"/>
      <c r="Y1296" s="1684"/>
      <c r="Z1296" s="1684"/>
      <c r="AA1296" s="1684"/>
      <c r="AB1296" s="1684"/>
      <c r="AC1296" s="1684"/>
      <c r="AD1296" s="1684"/>
      <c r="AE1296" s="1684"/>
      <c r="AF1296" s="1684"/>
      <c r="AG1296" s="1684"/>
      <c r="AH1296" s="1684"/>
      <c r="AI1296" s="1684"/>
      <c r="AJ1296" s="1684"/>
      <c r="AK1296" s="1684"/>
      <c r="AL1296" s="1684"/>
      <c r="AM1296" s="1684"/>
      <c r="AN1296" s="1684"/>
      <c r="AO1296" s="1684"/>
      <c r="AP1296" s="1684"/>
      <c r="AQ1296" s="1684"/>
      <c r="AR1296" s="1684"/>
      <c r="AS1296" s="1684"/>
      <c r="AT1296" s="1684"/>
      <c r="AU1296" s="1684"/>
      <c r="AV1296" s="1684"/>
      <c r="AW1296" s="1684"/>
      <c r="AX1296" s="1684"/>
      <c r="AY1296" s="1684"/>
      <c r="AZ1296" s="1684"/>
      <c r="BA1296" s="1684"/>
      <c r="BB1296" s="1684"/>
      <c r="BC1296" s="1684"/>
      <c r="BD1296" s="1684"/>
      <c r="BE1296" s="1684"/>
      <c r="BF1296" s="1684"/>
      <c r="BG1296" s="1684"/>
      <c r="BH1296" s="1684"/>
      <c r="BI1296" s="1684"/>
      <c r="BJ1296" s="1684"/>
      <c r="BK1296" s="1684"/>
      <c r="BL1296" s="1684"/>
      <c r="BM1296" s="1684"/>
      <c r="BN1296" s="1684"/>
      <c r="BO1296" s="1684"/>
      <c r="BP1296" s="1684"/>
      <c r="BQ1296" s="1684"/>
      <c r="BR1296" s="1684"/>
      <c r="BS1296" s="1684"/>
      <c r="BT1296" s="1684"/>
      <c r="BU1296" s="1684"/>
      <c r="BV1296" s="1684"/>
      <c r="BW1296" s="1684"/>
      <c r="BX1296" s="1684"/>
      <c r="BY1296" s="1684"/>
      <c r="BZ1296" s="1684"/>
      <c r="CA1296" s="1684"/>
      <c r="CB1296" s="1684"/>
      <c r="CC1296" s="1684"/>
      <c r="CD1296" s="1684"/>
      <c r="CE1296" s="1684"/>
      <c r="CF1296" s="1684"/>
      <c r="CG1296" s="1684"/>
      <c r="CH1296" s="1684"/>
      <c r="CI1296" s="1684"/>
      <c r="CJ1296" s="1684"/>
      <c r="CK1296" s="1684"/>
      <c r="CL1296" s="1684"/>
      <c r="CM1296" s="1684"/>
      <c r="CN1296" s="1684"/>
      <c r="CO1296" s="1684"/>
    </row>
    <row r="1297" spans="1:93" s="1391" customFormat="1" ht="15" x14ac:dyDescent="0.2">
      <c r="A1297" s="1684"/>
      <c r="B1297" s="1684"/>
      <c r="C1297" s="4691"/>
      <c r="D1297" s="4692"/>
      <c r="E1297" s="4693" t="s">
        <v>1781</v>
      </c>
      <c r="F1297" s="4693"/>
      <c r="G1297" s="4693"/>
      <c r="H1297" s="4693"/>
      <c r="I1297" s="4693"/>
      <c r="J1297" s="4693"/>
      <c r="K1297" s="4693"/>
      <c r="L1297" s="4693"/>
      <c r="M1297" s="4693"/>
      <c r="N1297" s="4693"/>
      <c r="O1297" s="4693"/>
      <c r="P1297" s="4693"/>
      <c r="Q1297" s="4682"/>
      <c r="R1297"/>
      <c r="S1297" s="1684"/>
      <c r="T1297" s="1684"/>
      <c r="U1297" s="1684"/>
      <c r="V1297" s="1684"/>
      <c r="W1297" s="1684"/>
      <c r="X1297" s="1684"/>
      <c r="Y1297" s="1684"/>
      <c r="Z1297" s="1684"/>
      <c r="AA1297" s="1684"/>
      <c r="AB1297" s="1684"/>
      <c r="AC1297" s="1684"/>
      <c r="AD1297" s="1684"/>
      <c r="AE1297" s="1684"/>
      <c r="AF1297" s="1684"/>
      <c r="AG1297" s="1684"/>
      <c r="AH1297" s="1684"/>
      <c r="AI1297" s="1684"/>
      <c r="AJ1297" s="1684"/>
      <c r="AK1297" s="1684"/>
      <c r="AL1297" s="1684"/>
      <c r="AM1297" s="1684"/>
      <c r="AN1297" s="1684"/>
      <c r="AO1297" s="1684"/>
      <c r="AP1297" s="1684"/>
      <c r="AQ1297" s="1684"/>
      <c r="AR1297" s="1684"/>
      <c r="AS1297" s="1684"/>
      <c r="AT1297" s="1684"/>
      <c r="AU1297" s="1684"/>
      <c r="AV1297" s="1684"/>
      <c r="AW1297" s="1684"/>
      <c r="AX1297" s="1684"/>
      <c r="AY1297" s="1684"/>
      <c r="AZ1297" s="1684"/>
      <c r="BA1297" s="1684"/>
      <c r="BB1297" s="1684"/>
      <c r="BC1297" s="1684"/>
      <c r="BD1297" s="1684"/>
      <c r="BE1297" s="1684"/>
      <c r="BF1297" s="1684"/>
      <c r="BG1297" s="1684"/>
      <c r="BH1297" s="1684"/>
      <c r="BI1297" s="1684"/>
      <c r="BJ1297" s="1684"/>
      <c r="BK1297" s="1684"/>
      <c r="BL1297" s="1684"/>
      <c r="BM1297" s="1684"/>
      <c r="BN1297" s="1684"/>
      <c r="BO1297" s="1684"/>
      <c r="BP1297" s="1684"/>
      <c r="BQ1297" s="1684"/>
      <c r="BR1297" s="1684"/>
      <c r="BS1297" s="1684"/>
      <c r="BT1297" s="1684"/>
      <c r="BU1297" s="1684"/>
      <c r="BV1297" s="1684"/>
      <c r="BW1297" s="1684"/>
      <c r="BX1297" s="1684"/>
      <c r="BY1297" s="1684"/>
      <c r="BZ1297" s="1684"/>
      <c r="CA1297" s="1684"/>
      <c r="CB1297" s="1684"/>
      <c r="CC1297" s="1684"/>
      <c r="CD1297" s="1684"/>
      <c r="CE1297" s="1684"/>
      <c r="CF1297" s="1684"/>
      <c r="CG1297" s="1684"/>
      <c r="CH1297" s="1684"/>
      <c r="CI1297" s="1684"/>
      <c r="CJ1297" s="1684"/>
      <c r="CK1297" s="1684"/>
      <c r="CL1297" s="1684"/>
      <c r="CM1297" s="1684"/>
      <c r="CN1297" s="1684"/>
      <c r="CO1297" s="1684"/>
    </row>
    <row r="1298" spans="1:93" s="1391" customFormat="1" ht="15" x14ac:dyDescent="0.2">
      <c r="A1298" s="1684"/>
      <c r="B1298" s="1684"/>
      <c r="C1298" s="4680" t="s">
        <v>3689</v>
      </c>
      <c r="D1298" s="4681"/>
      <c r="E1298" s="4681"/>
      <c r="F1298" s="4681"/>
      <c r="G1298" s="4681"/>
      <c r="H1298" s="4681"/>
      <c r="I1298" s="4681"/>
      <c r="J1298" s="4681"/>
      <c r="K1298" s="4681"/>
      <c r="L1298" s="4681"/>
      <c r="M1298" s="4681"/>
      <c r="N1298" s="4681"/>
      <c r="O1298" s="4681"/>
      <c r="P1298" s="4681"/>
      <c r="Q1298" s="4682"/>
      <c r="R1298"/>
      <c r="S1298" s="1684"/>
      <c r="T1298" s="1684"/>
      <c r="U1298" s="1684"/>
      <c r="V1298" s="1684"/>
      <c r="W1298" s="1684"/>
      <c r="X1298" s="1684"/>
      <c r="Y1298" s="1684"/>
      <c r="Z1298" s="1684"/>
      <c r="AA1298" s="1684"/>
      <c r="AB1298" s="1684"/>
      <c r="AC1298" s="1684"/>
      <c r="AD1298" s="1684"/>
      <c r="AE1298" s="1684"/>
      <c r="AF1298" s="1684"/>
      <c r="AG1298" s="1684"/>
      <c r="AH1298" s="1684"/>
      <c r="AI1298" s="1684"/>
      <c r="AJ1298" s="1684"/>
      <c r="AK1298" s="1684"/>
      <c r="AL1298" s="1684"/>
      <c r="AM1298" s="1684"/>
      <c r="AN1298" s="1684"/>
      <c r="AO1298" s="1684"/>
      <c r="AP1298" s="1684"/>
      <c r="AQ1298" s="1684"/>
      <c r="AR1298" s="1684"/>
      <c r="AS1298" s="1684"/>
      <c r="AT1298" s="1684"/>
      <c r="AU1298" s="1684"/>
      <c r="AV1298" s="1684"/>
      <c r="AW1298" s="1684"/>
      <c r="AX1298" s="1684"/>
      <c r="AY1298" s="1684"/>
      <c r="AZ1298" s="1684"/>
      <c r="BA1298" s="1684"/>
      <c r="BB1298" s="1684"/>
      <c r="BC1298" s="1684"/>
      <c r="BD1298" s="1684"/>
      <c r="BE1298" s="1684"/>
      <c r="BF1298" s="1684"/>
      <c r="BG1298" s="1684"/>
      <c r="BH1298" s="1684"/>
      <c r="BI1298" s="1684"/>
      <c r="BJ1298" s="1684"/>
      <c r="BK1298" s="1684"/>
      <c r="BL1298" s="1684"/>
      <c r="BM1298" s="1684"/>
      <c r="BN1298" s="1684"/>
      <c r="BO1298" s="1684"/>
      <c r="BP1298" s="1684"/>
      <c r="BQ1298" s="1684"/>
      <c r="BR1298" s="1684"/>
      <c r="BS1298" s="1684"/>
      <c r="BT1298" s="1684"/>
      <c r="BU1298" s="1684"/>
      <c r="BV1298" s="1684"/>
      <c r="BW1298" s="1684"/>
      <c r="BX1298" s="1684"/>
      <c r="BY1298" s="1684"/>
      <c r="BZ1298" s="1684"/>
      <c r="CA1298" s="1684"/>
      <c r="CB1298" s="1684"/>
      <c r="CC1298" s="1684"/>
      <c r="CD1298" s="1684"/>
      <c r="CE1298" s="1684"/>
      <c r="CF1298" s="1684"/>
      <c r="CG1298" s="1684"/>
      <c r="CH1298" s="1684"/>
      <c r="CI1298" s="1684"/>
      <c r="CJ1298" s="1684"/>
      <c r="CK1298" s="1684"/>
      <c r="CL1298" s="1684"/>
      <c r="CM1298" s="1684"/>
      <c r="CN1298" s="1684"/>
      <c r="CO1298" s="1684"/>
    </row>
    <row r="1299" spans="1:93" s="1391" customFormat="1" ht="15" x14ac:dyDescent="0.2">
      <c r="A1299" s="1684"/>
      <c r="B1299" s="1684"/>
      <c r="C1299" s="4680"/>
      <c r="D1299" s="4681"/>
      <c r="E1299" s="4681"/>
      <c r="F1299" s="4681"/>
      <c r="G1299" s="4681"/>
      <c r="H1299" s="4681"/>
      <c r="I1299" s="4681"/>
      <c r="J1299" s="4681"/>
      <c r="K1299" s="4681"/>
      <c r="L1299" s="4681"/>
      <c r="M1299" s="4681"/>
      <c r="N1299" s="4681"/>
      <c r="O1299" s="4681"/>
      <c r="P1299" s="4681"/>
      <c r="Q1299" s="4682"/>
      <c r="R1299"/>
      <c r="S1299" s="1684"/>
      <c r="T1299" s="1684"/>
      <c r="U1299" s="1684"/>
      <c r="V1299" s="1684"/>
      <c r="W1299" s="1684"/>
      <c r="X1299" s="1684"/>
      <c r="Y1299" s="1684"/>
      <c r="Z1299" s="1684"/>
      <c r="AA1299" s="1684"/>
      <c r="AB1299" s="1684"/>
      <c r="AC1299" s="1684"/>
      <c r="AD1299" s="1684"/>
      <c r="AE1299" s="1684"/>
      <c r="AF1299" s="1684"/>
      <c r="AG1299" s="1684"/>
      <c r="AH1299" s="1684"/>
      <c r="AI1299" s="1684"/>
      <c r="AJ1299" s="1684"/>
      <c r="AK1299" s="1684"/>
      <c r="AL1299" s="1684"/>
      <c r="AM1299" s="1684"/>
      <c r="AN1299" s="1684"/>
      <c r="AO1299" s="1684"/>
      <c r="AP1299" s="1684"/>
      <c r="AQ1299" s="1684"/>
      <c r="AR1299" s="1684"/>
      <c r="AS1299" s="1684"/>
      <c r="AT1299" s="1684"/>
      <c r="AU1299" s="1684"/>
      <c r="AV1299" s="1684"/>
      <c r="AW1299" s="1684"/>
      <c r="AX1299" s="1684"/>
      <c r="AY1299" s="1684"/>
      <c r="AZ1299" s="1684"/>
      <c r="BA1299" s="1684"/>
      <c r="BB1299" s="1684"/>
      <c r="BC1299" s="1684"/>
      <c r="BD1299" s="1684"/>
      <c r="BE1299" s="1684"/>
      <c r="BF1299" s="1684"/>
      <c r="BG1299" s="1684"/>
      <c r="BH1299" s="1684"/>
      <c r="BI1299" s="1684"/>
      <c r="BJ1299" s="1684"/>
      <c r="BK1299" s="1684"/>
      <c r="BL1299" s="1684"/>
      <c r="BM1299" s="1684"/>
      <c r="BN1299" s="1684"/>
      <c r="BO1299" s="1684"/>
      <c r="BP1299" s="1684"/>
      <c r="BQ1299" s="1684"/>
      <c r="BR1299" s="1684"/>
      <c r="BS1299" s="1684"/>
      <c r="BT1299" s="1684"/>
      <c r="BU1299" s="1684"/>
      <c r="BV1299" s="1684"/>
      <c r="BW1299" s="1684"/>
      <c r="BX1299" s="1684"/>
      <c r="BY1299" s="1684"/>
      <c r="BZ1299" s="1684"/>
      <c r="CA1299" s="1684"/>
      <c r="CB1299" s="1684"/>
      <c r="CC1299" s="1684"/>
      <c r="CD1299" s="1684"/>
      <c r="CE1299" s="1684"/>
      <c r="CF1299" s="1684"/>
      <c r="CG1299" s="1684"/>
      <c r="CH1299" s="1684"/>
      <c r="CI1299" s="1684"/>
      <c r="CJ1299" s="1684"/>
      <c r="CK1299" s="1684"/>
      <c r="CL1299" s="1684"/>
      <c r="CM1299" s="1684"/>
      <c r="CN1299" s="1684"/>
      <c r="CO1299" s="1684"/>
    </row>
    <row r="1300" spans="1:93" s="1391" customFormat="1" ht="15" x14ac:dyDescent="0.2">
      <c r="A1300" s="1684"/>
      <c r="B1300" s="1684"/>
      <c r="C1300" s="4680" t="s">
        <v>3690</v>
      </c>
      <c r="D1300" s="4681"/>
      <c r="E1300" s="4681"/>
      <c r="F1300" s="4681"/>
      <c r="G1300" s="4681"/>
      <c r="H1300" s="4681"/>
      <c r="I1300" s="4681"/>
      <c r="J1300" s="4681"/>
      <c r="K1300" s="4681"/>
      <c r="L1300" s="4681"/>
      <c r="M1300" s="4681"/>
      <c r="N1300" s="4681"/>
      <c r="O1300" s="4681"/>
      <c r="P1300" s="4681"/>
      <c r="Q1300" s="4682"/>
      <c r="R1300"/>
      <c r="S1300" s="1684"/>
      <c r="T1300" s="1684"/>
      <c r="U1300" s="1684"/>
      <c r="V1300" s="1684"/>
      <c r="W1300" s="1684"/>
      <c r="X1300" s="1684"/>
      <c r="Y1300" s="1684"/>
      <c r="Z1300" s="1684"/>
      <c r="AA1300" s="1684"/>
      <c r="AB1300" s="1684"/>
      <c r="AC1300" s="1684"/>
      <c r="AD1300" s="1684"/>
      <c r="AE1300" s="1684"/>
      <c r="AF1300" s="1684"/>
      <c r="AG1300" s="1684"/>
      <c r="AH1300" s="1684"/>
      <c r="AI1300" s="1684"/>
      <c r="AJ1300" s="1684"/>
      <c r="AK1300" s="1684"/>
      <c r="AL1300" s="1684"/>
      <c r="AM1300" s="1684"/>
      <c r="AN1300" s="1684"/>
      <c r="AO1300" s="1684"/>
      <c r="AP1300" s="1684"/>
      <c r="AQ1300" s="1684"/>
      <c r="AR1300" s="1684"/>
      <c r="AS1300" s="1684"/>
      <c r="AT1300" s="1684"/>
      <c r="AU1300" s="1684"/>
      <c r="AV1300" s="1684"/>
      <c r="AW1300" s="1684"/>
      <c r="AX1300" s="1684"/>
      <c r="AY1300" s="1684"/>
      <c r="AZ1300" s="1684"/>
      <c r="BA1300" s="1684"/>
      <c r="BB1300" s="1684"/>
      <c r="BC1300" s="1684"/>
      <c r="BD1300" s="1684"/>
      <c r="BE1300" s="1684"/>
      <c r="BF1300" s="1684"/>
      <c r="BG1300" s="1684"/>
      <c r="BH1300" s="1684"/>
      <c r="BI1300" s="1684"/>
      <c r="BJ1300" s="1684"/>
      <c r="BK1300" s="1684"/>
      <c r="BL1300" s="1684"/>
      <c r="BM1300" s="1684"/>
      <c r="BN1300" s="1684"/>
      <c r="BO1300" s="1684"/>
      <c r="BP1300" s="1684"/>
      <c r="BQ1300" s="1684"/>
      <c r="BR1300" s="1684"/>
      <c r="BS1300" s="1684"/>
      <c r="BT1300" s="1684"/>
      <c r="BU1300" s="1684"/>
      <c r="BV1300" s="1684"/>
      <c r="BW1300" s="1684"/>
      <c r="BX1300" s="1684"/>
      <c r="BY1300" s="1684"/>
      <c r="BZ1300" s="1684"/>
      <c r="CA1300" s="1684"/>
      <c r="CB1300" s="1684"/>
      <c r="CC1300" s="1684"/>
      <c r="CD1300" s="1684"/>
      <c r="CE1300" s="1684"/>
      <c r="CF1300" s="1684"/>
      <c r="CG1300" s="1684"/>
      <c r="CH1300" s="1684"/>
      <c r="CI1300" s="1684"/>
      <c r="CJ1300" s="1684"/>
      <c r="CK1300" s="1684"/>
      <c r="CL1300" s="1684"/>
      <c r="CM1300" s="1684"/>
      <c r="CN1300" s="1684"/>
      <c r="CO1300" s="1684"/>
    </row>
    <row r="1301" spans="1:93" s="1391" customFormat="1" ht="15" x14ac:dyDescent="0.2">
      <c r="A1301" s="1684"/>
      <c r="B1301" s="1684"/>
      <c r="C1301" s="4680"/>
      <c r="D1301" s="4681"/>
      <c r="E1301" s="4681"/>
      <c r="F1301" s="4681"/>
      <c r="G1301" s="4681"/>
      <c r="H1301" s="4681"/>
      <c r="I1301" s="4681"/>
      <c r="J1301" s="4681"/>
      <c r="K1301" s="4681"/>
      <c r="L1301" s="4681"/>
      <c r="M1301" s="4681"/>
      <c r="N1301" s="4681"/>
      <c r="O1301" s="4681"/>
      <c r="P1301" s="4681"/>
      <c r="Q1301" s="4682"/>
      <c r="R1301"/>
      <c r="S1301" s="1684"/>
      <c r="T1301" s="1684"/>
      <c r="U1301" s="1684"/>
      <c r="V1301" s="1684"/>
      <c r="W1301" s="1684"/>
      <c r="X1301" s="1684"/>
      <c r="Y1301" s="1684"/>
      <c r="Z1301" s="1684"/>
      <c r="AA1301" s="1684"/>
      <c r="AB1301" s="1684"/>
      <c r="AC1301" s="1684"/>
      <c r="AD1301" s="1684"/>
      <c r="AE1301" s="1684"/>
      <c r="AF1301" s="1684"/>
      <c r="AG1301" s="1684"/>
      <c r="AH1301" s="1684"/>
      <c r="AI1301" s="1684"/>
      <c r="AJ1301" s="1684"/>
      <c r="AK1301" s="1684"/>
      <c r="AL1301" s="1684"/>
      <c r="AM1301" s="1684"/>
      <c r="AN1301" s="1684"/>
      <c r="AO1301" s="1684"/>
      <c r="AP1301" s="1684"/>
      <c r="AQ1301" s="1684"/>
      <c r="AR1301" s="1684"/>
      <c r="AS1301" s="1684"/>
      <c r="AT1301" s="1684"/>
      <c r="AU1301" s="1684"/>
      <c r="AV1301" s="1684"/>
      <c r="AW1301" s="1684"/>
      <c r="AX1301" s="1684"/>
      <c r="AY1301" s="1684"/>
      <c r="AZ1301" s="1684"/>
      <c r="BA1301" s="1684"/>
      <c r="BB1301" s="1684"/>
      <c r="BC1301" s="1684"/>
      <c r="BD1301" s="1684"/>
      <c r="BE1301" s="1684"/>
      <c r="BF1301" s="1684"/>
      <c r="BG1301" s="1684"/>
      <c r="BH1301" s="1684"/>
      <c r="BI1301" s="1684"/>
      <c r="BJ1301" s="1684"/>
      <c r="BK1301" s="1684"/>
      <c r="BL1301" s="1684"/>
      <c r="BM1301" s="1684"/>
      <c r="BN1301" s="1684"/>
      <c r="BO1301" s="1684"/>
      <c r="BP1301" s="1684"/>
      <c r="BQ1301" s="1684"/>
      <c r="BR1301" s="1684"/>
      <c r="BS1301" s="1684"/>
      <c r="BT1301" s="1684"/>
      <c r="BU1301" s="1684"/>
      <c r="BV1301" s="1684"/>
      <c r="BW1301" s="1684"/>
      <c r="BX1301" s="1684"/>
      <c r="BY1301" s="1684"/>
      <c r="BZ1301" s="1684"/>
      <c r="CA1301" s="1684"/>
      <c r="CB1301" s="1684"/>
      <c r="CC1301" s="1684"/>
      <c r="CD1301" s="1684"/>
      <c r="CE1301" s="1684"/>
      <c r="CF1301" s="1684"/>
      <c r="CG1301" s="1684"/>
      <c r="CH1301" s="1684"/>
      <c r="CI1301" s="1684"/>
      <c r="CJ1301" s="1684"/>
      <c r="CK1301" s="1684"/>
      <c r="CL1301" s="1684"/>
      <c r="CM1301" s="1684"/>
      <c r="CN1301" s="1684"/>
      <c r="CO1301" s="1684"/>
    </row>
    <row r="1302" spans="1:93" s="1391" customFormat="1" ht="15" x14ac:dyDescent="0.2">
      <c r="A1302" s="1684"/>
      <c r="B1302" s="1684"/>
      <c r="C1302" s="2014"/>
      <c r="D1302" s="2015"/>
      <c r="E1302" s="2015">
        <v>1</v>
      </c>
      <c r="F1302" s="2015">
        <v>2</v>
      </c>
      <c r="G1302" s="2015">
        <v>3</v>
      </c>
      <c r="H1302" s="2015">
        <v>4</v>
      </c>
      <c r="I1302" s="2015">
        <v>5</v>
      </c>
      <c r="J1302" s="2015">
        <v>6</v>
      </c>
      <c r="K1302" s="2015">
        <v>7</v>
      </c>
      <c r="L1302" s="2015">
        <v>8</v>
      </c>
      <c r="M1302" s="2015">
        <v>9</v>
      </c>
      <c r="N1302" s="2015">
        <v>10</v>
      </c>
      <c r="O1302" s="2015">
        <v>11</v>
      </c>
      <c r="P1302" s="2015">
        <v>12</v>
      </c>
      <c r="Q1302" s="2016"/>
      <c r="R1302"/>
      <c r="S1302" s="1684"/>
      <c r="T1302" s="1684"/>
      <c r="U1302" s="1684"/>
      <c r="V1302" s="1684"/>
      <c r="W1302" s="1684"/>
      <c r="X1302" s="1684"/>
      <c r="Y1302" s="1684"/>
      <c r="Z1302" s="1684"/>
      <c r="AA1302" s="1684"/>
      <c r="AB1302" s="1684"/>
      <c r="AC1302" s="1684"/>
      <c r="AD1302" s="1684"/>
      <c r="AE1302" s="1684"/>
      <c r="AF1302" s="1684"/>
      <c r="AG1302" s="1684"/>
      <c r="AH1302" s="1684"/>
      <c r="AI1302" s="1684"/>
      <c r="AJ1302" s="1684"/>
      <c r="AK1302" s="1684"/>
      <c r="AL1302" s="1684"/>
      <c r="AM1302" s="1684"/>
      <c r="AN1302" s="1684"/>
      <c r="AO1302" s="1684"/>
      <c r="AP1302" s="1684"/>
      <c r="AQ1302" s="1684"/>
      <c r="AR1302" s="1684"/>
      <c r="AS1302" s="1684"/>
      <c r="AT1302" s="1684"/>
      <c r="AU1302" s="1684"/>
      <c r="AV1302" s="1684"/>
      <c r="AW1302" s="1684"/>
      <c r="AX1302" s="1684"/>
      <c r="AY1302" s="1684"/>
      <c r="AZ1302" s="1684"/>
      <c r="BA1302" s="1684"/>
      <c r="BB1302" s="1684"/>
      <c r="BC1302" s="1684"/>
      <c r="BD1302" s="1684"/>
      <c r="BE1302" s="1684"/>
      <c r="BF1302" s="1684"/>
      <c r="BG1302" s="1684"/>
      <c r="BH1302" s="1684"/>
      <c r="BI1302" s="1684"/>
      <c r="BJ1302" s="1684"/>
      <c r="BK1302" s="1684"/>
      <c r="BL1302" s="1684"/>
      <c r="BM1302" s="1684"/>
      <c r="BN1302" s="1684"/>
      <c r="BO1302" s="1684"/>
      <c r="BP1302" s="1684"/>
      <c r="BQ1302" s="1684"/>
      <c r="BR1302" s="1684"/>
      <c r="BS1302" s="1684"/>
      <c r="BT1302" s="1684"/>
      <c r="BU1302" s="1684"/>
      <c r="BV1302" s="1684"/>
      <c r="BW1302" s="1684"/>
      <c r="BX1302" s="1684"/>
      <c r="BY1302" s="1684"/>
      <c r="BZ1302" s="1684"/>
      <c r="CA1302" s="1684"/>
      <c r="CB1302" s="1684"/>
      <c r="CC1302" s="1684"/>
      <c r="CD1302" s="1684"/>
      <c r="CE1302" s="1684"/>
      <c r="CF1302" s="1684"/>
      <c r="CG1302" s="1684"/>
      <c r="CH1302" s="1684"/>
      <c r="CI1302" s="1684"/>
      <c r="CJ1302" s="1684"/>
      <c r="CK1302" s="1684"/>
      <c r="CL1302" s="1684"/>
      <c r="CM1302" s="1684"/>
      <c r="CN1302" s="1684"/>
      <c r="CO1302" s="1684"/>
    </row>
    <row r="1303" spans="1:93" s="1391" customFormat="1" ht="15" x14ac:dyDescent="0.2">
      <c r="A1303" s="1684"/>
      <c r="B1303" s="1684"/>
      <c r="C1303" s="2013">
        <v>8</v>
      </c>
      <c r="D1303" s="5">
        <v>4.8109999999999999</v>
      </c>
      <c r="E1303">
        <v>123</v>
      </c>
      <c r="F1303">
        <v>137</v>
      </c>
      <c r="G1303">
        <v>150</v>
      </c>
      <c r="H1303">
        <v>163</v>
      </c>
      <c r="I1303">
        <v>176</v>
      </c>
      <c r="J1303">
        <v>189</v>
      </c>
      <c r="K1303">
        <v>202</v>
      </c>
      <c r="L1303">
        <v>215</v>
      </c>
      <c r="M1303">
        <v>228</v>
      </c>
      <c r="N1303">
        <v>241</v>
      </c>
      <c r="O1303">
        <v>254</v>
      </c>
      <c r="P1303">
        <v>267</v>
      </c>
      <c r="Q1303" s="1160">
        <v>1</v>
      </c>
      <c r="R1303"/>
      <c r="S1303" s="1684"/>
      <c r="T1303" s="1684"/>
      <c r="U1303" s="1684"/>
      <c r="V1303" s="1684"/>
      <c r="W1303" s="1684"/>
      <c r="X1303" s="1684"/>
      <c r="Y1303" s="1684"/>
      <c r="Z1303" s="1684"/>
      <c r="AA1303" s="1684"/>
      <c r="AB1303" s="1684"/>
      <c r="AC1303" s="1684"/>
      <c r="AD1303" s="1684"/>
      <c r="AE1303" s="1684"/>
      <c r="AF1303" s="1684"/>
      <c r="AG1303" s="1684"/>
      <c r="AH1303" s="1684"/>
      <c r="AI1303" s="1684"/>
      <c r="AJ1303" s="1684"/>
      <c r="AK1303" s="1684"/>
      <c r="AL1303" s="1684"/>
      <c r="AM1303" s="1684"/>
      <c r="AN1303" s="1684"/>
      <c r="AO1303" s="1684"/>
      <c r="AP1303" s="1684"/>
      <c r="AQ1303" s="1684"/>
      <c r="AR1303" s="1684"/>
      <c r="AS1303" s="1684"/>
      <c r="AT1303" s="1684"/>
      <c r="AU1303" s="1684"/>
      <c r="AV1303" s="1684"/>
      <c r="AW1303" s="1684"/>
      <c r="AX1303" s="1684"/>
      <c r="AY1303" s="1684"/>
      <c r="AZ1303" s="1684"/>
      <c r="BA1303" s="1684"/>
      <c r="BB1303" s="1684"/>
      <c r="BC1303" s="1684"/>
      <c r="BD1303" s="1684"/>
      <c r="BE1303" s="1684"/>
      <c r="BF1303" s="1684"/>
      <c r="BG1303" s="1684"/>
      <c r="BH1303" s="1684"/>
      <c r="BI1303" s="1684"/>
      <c r="BJ1303" s="1684"/>
      <c r="BK1303" s="1684"/>
      <c r="BL1303" s="1684"/>
      <c r="BM1303" s="1684"/>
      <c r="BN1303" s="1684"/>
      <c r="BO1303" s="1684"/>
      <c r="BP1303" s="1684"/>
      <c r="BQ1303" s="1684"/>
      <c r="BR1303" s="1684"/>
      <c r="BS1303" s="1684"/>
      <c r="BT1303" s="1684"/>
      <c r="BU1303" s="1684"/>
      <c r="BV1303" s="1684"/>
      <c r="BW1303" s="1684"/>
      <c r="BX1303" s="1684"/>
      <c r="BY1303" s="1684"/>
      <c r="BZ1303" s="1684"/>
      <c r="CA1303" s="1684"/>
      <c r="CB1303" s="1684"/>
      <c r="CC1303" s="1684"/>
      <c r="CD1303" s="1684"/>
      <c r="CE1303" s="1684"/>
      <c r="CF1303" s="1684"/>
      <c r="CG1303" s="1684"/>
      <c r="CH1303" s="1684"/>
      <c r="CI1303" s="1684"/>
      <c r="CJ1303" s="1684"/>
      <c r="CK1303" s="1684"/>
      <c r="CL1303" s="1684"/>
      <c r="CM1303" s="1684"/>
      <c r="CN1303" s="1684"/>
      <c r="CO1303" s="1684"/>
    </row>
    <row r="1304" spans="1:93" s="1391" customFormat="1" ht="15" x14ac:dyDescent="0.2">
      <c r="A1304" s="1684"/>
      <c r="B1304" s="1684"/>
      <c r="C1304" s="2013">
        <v>9</v>
      </c>
      <c r="D1304" s="5">
        <v>5.07</v>
      </c>
      <c r="E1304">
        <v>135</v>
      </c>
      <c r="F1304">
        <v>150</v>
      </c>
      <c r="G1304">
        <v>164</v>
      </c>
      <c r="H1304">
        <v>179</v>
      </c>
      <c r="I1304">
        <v>193</v>
      </c>
      <c r="J1304">
        <v>207</v>
      </c>
      <c r="K1304">
        <v>221</v>
      </c>
      <c r="L1304">
        <v>236</v>
      </c>
      <c r="M1304">
        <v>250</v>
      </c>
      <c r="N1304">
        <v>264</v>
      </c>
      <c r="O1304">
        <v>278</v>
      </c>
      <c r="P1304">
        <v>293</v>
      </c>
      <c r="Q1304" s="1160">
        <v>2</v>
      </c>
      <c r="R1304"/>
      <c r="S1304" s="1684"/>
      <c r="T1304" s="1684"/>
      <c r="U1304" s="1684"/>
      <c r="V1304" s="1684"/>
      <c r="W1304" s="1684"/>
      <c r="X1304" s="1684"/>
      <c r="Y1304" s="1684"/>
      <c r="Z1304" s="1684"/>
      <c r="AA1304" s="1684"/>
      <c r="AB1304" s="1684"/>
      <c r="AC1304" s="1684"/>
      <c r="AD1304" s="1684"/>
      <c r="AE1304" s="1684"/>
      <c r="AF1304" s="1684"/>
      <c r="AG1304" s="1684"/>
      <c r="AH1304" s="1684"/>
      <c r="AI1304" s="1684"/>
      <c r="AJ1304" s="1684"/>
      <c r="AK1304" s="1684"/>
      <c r="AL1304" s="1684"/>
      <c r="AM1304" s="1684"/>
      <c r="AN1304" s="1684"/>
      <c r="AO1304" s="1684"/>
      <c r="AP1304" s="1684"/>
      <c r="AQ1304" s="1684"/>
      <c r="AR1304" s="1684"/>
      <c r="AS1304" s="1684"/>
      <c r="AT1304" s="1684"/>
      <c r="AU1304" s="1684"/>
      <c r="AV1304" s="1684"/>
      <c r="AW1304" s="1684"/>
      <c r="AX1304" s="1684"/>
      <c r="AY1304" s="1684"/>
      <c r="AZ1304" s="1684"/>
      <c r="BA1304" s="1684"/>
      <c r="BB1304" s="1684"/>
      <c r="BC1304" s="1684"/>
      <c r="BD1304" s="1684"/>
      <c r="BE1304" s="1684"/>
      <c r="BF1304" s="1684"/>
      <c r="BG1304" s="1684"/>
      <c r="BH1304" s="1684"/>
      <c r="BI1304" s="1684"/>
      <c r="BJ1304" s="1684"/>
      <c r="BK1304" s="1684"/>
      <c r="BL1304" s="1684"/>
      <c r="BM1304" s="1684"/>
      <c r="BN1304" s="1684"/>
      <c r="BO1304" s="1684"/>
      <c r="BP1304" s="1684"/>
      <c r="BQ1304" s="1684"/>
      <c r="BR1304" s="1684"/>
      <c r="BS1304" s="1684"/>
      <c r="BT1304" s="1684"/>
      <c r="BU1304" s="1684"/>
      <c r="BV1304" s="1684"/>
      <c r="BW1304" s="1684"/>
      <c r="BX1304" s="1684"/>
      <c r="BY1304" s="1684"/>
      <c r="BZ1304" s="1684"/>
      <c r="CA1304" s="1684"/>
      <c r="CB1304" s="1684"/>
      <c r="CC1304" s="1684"/>
      <c r="CD1304" s="1684"/>
      <c r="CE1304" s="1684"/>
      <c r="CF1304" s="1684"/>
      <c r="CG1304" s="1684"/>
      <c r="CH1304" s="1684"/>
      <c r="CI1304" s="1684"/>
      <c r="CJ1304" s="1684"/>
      <c r="CK1304" s="1684"/>
      <c r="CL1304" s="1684"/>
      <c r="CM1304" s="1684"/>
      <c r="CN1304" s="1684"/>
      <c r="CO1304" s="1684"/>
    </row>
    <row r="1305" spans="1:93" s="1391" customFormat="1" ht="15" x14ac:dyDescent="0.2">
      <c r="A1305" s="1684"/>
      <c r="B1305" s="1684"/>
      <c r="C1305" s="2013">
        <v>10</v>
      </c>
      <c r="D1305" s="5">
        <v>5.3390000000000004</v>
      </c>
      <c r="E1305">
        <v>148</v>
      </c>
      <c r="F1305">
        <v>164</v>
      </c>
      <c r="G1305">
        <v>179</v>
      </c>
      <c r="H1305">
        <v>195</v>
      </c>
      <c r="I1305">
        <v>211</v>
      </c>
      <c r="J1305">
        <v>226</v>
      </c>
      <c r="K1305">
        <v>242</v>
      </c>
      <c r="L1305">
        <v>258</v>
      </c>
      <c r="M1305">
        <v>273</v>
      </c>
      <c r="N1305">
        <v>288</v>
      </c>
      <c r="O1305">
        <v>304</v>
      </c>
      <c r="P1305">
        <v>319</v>
      </c>
      <c r="Q1305" s="1160">
        <v>3</v>
      </c>
      <c r="R1305"/>
      <c r="S1305" s="1684"/>
      <c r="T1305" s="1684"/>
      <c r="U1305" s="1684"/>
      <c r="V1305" s="1684"/>
      <c r="W1305" s="1684"/>
      <c r="X1305" s="1684"/>
      <c r="Y1305" s="1684"/>
      <c r="Z1305" s="1684"/>
      <c r="AA1305" s="1684"/>
      <c r="AB1305" s="1684"/>
      <c r="AC1305" s="1684"/>
      <c r="AD1305" s="1684"/>
      <c r="AE1305" s="1684"/>
      <c r="AF1305" s="1684"/>
      <c r="AG1305" s="1684"/>
      <c r="AH1305" s="1684"/>
      <c r="AI1305" s="1684"/>
      <c r="AJ1305" s="1684"/>
      <c r="AK1305" s="1684"/>
      <c r="AL1305" s="1684"/>
      <c r="AM1305" s="1684"/>
      <c r="AN1305" s="1684"/>
      <c r="AO1305" s="1684"/>
      <c r="AP1305" s="1684"/>
      <c r="AQ1305" s="1684"/>
      <c r="AR1305" s="1684"/>
      <c r="AS1305" s="1684"/>
      <c r="AT1305" s="1684"/>
      <c r="AU1305" s="1684"/>
      <c r="AV1305" s="1684"/>
      <c r="AW1305" s="1684"/>
      <c r="AX1305" s="1684"/>
      <c r="AY1305" s="1684"/>
      <c r="AZ1305" s="1684"/>
      <c r="BA1305" s="1684"/>
      <c r="BB1305" s="1684"/>
      <c r="BC1305" s="1684"/>
      <c r="BD1305" s="1684"/>
      <c r="BE1305" s="1684"/>
      <c r="BF1305" s="1684"/>
      <c r="BG1305" s="1684"/>
      <c r="BH1305" s="1684"/>
      <c r="BI1305" s="1684"/>
      <c r="BJ1305" s="1684"/>
      <c r="BK1305" s="1684"/>
      <c r="BL1305" s="1684"/>
      <c r="BM1305" s="1684"/>
      <c r="BN1305" s="1684"/>
      <c r="BO1305" s="1684"/>
      <c r="BP1305" s="1684"/>
      <c r="BQ1305" s="1684"/>
      <c r="BR1305" s="1684"/>
      <c r="BS1305" s="1684"/>
      <c r="BT1305" s="1684"/>
      <c r="BU1305" s="1684"/>
      <c r="BV1305" s="1684"/>
      <c r="BW1305" s="1684"/>
      <c r="BX1305" s="1684"/>
      <c r="BY1305" s="1684"/>
      <c r="BZ1305" s="1684"/>
      <c r="CA1305" s="1684"/>
      <c r="CB1305" s="1684"/>
      <c r="CC1305" s="1684"/>
      <c r="CD1305" s="1684"/>
      <c r="CE1305" s="1684"/>
      <c r="CF1305" s="1684"/>
      <c r="CG1305" s="1684"/>
      <c r="CH1305" s="1684"/>
      <c r="CI1305" s="1684"/>
      <c r="CJ1305" s="1684"/>
      <c r="CK1305" s="1684"/>
      <c r="CL1305" s="1684"/>
      <c r="CM1305" s="1684"/>
      <c r="CN1305" s="1684"/>
      <c r="CO1305" s="1684"/>
    </row>
    <row r="1306" spans="1:93" s="1391" customFormat="1" ht="15" x14ac:dyDescent="0.2">
      <c r="A1306" s="1684"/>
      <c r="B1306" s="1684"/>
      <c r="C1306" s="2013">
        <v>11</v>
      </c>
      <c r="D1306" s="5">
        <v>5.6379999999999999</v>
      </c>
      <c r="E1306">
        <v>161</v>
      </c>
      <c r="F1306">
        <v>179</v>
      </c>
      <c r="G1306">
        <v>196</v>
      </c>
      <c r="H1306">
        <v>213</v>
      </c>
      <c r="I1306">
        <v>230</v>
      </c>
      <c r="J1306">
        <v>247</v>
      </c>
      <c r="K1306">
        <v>264</v>
      </c>
      <c r="L1306">
        <v>282</v>
      </c>
      <c r="M1306">
        <v>298</v>
      </c>
      <c r="N1306">
        <v>315</v>
      </c>
      <c r="O1306">
        <v>332</v>
      </c>
      <c r="P1306">
        <v>349</v>
      </c>
      <c r="Q1306" s="1160">
        <v>4</v>
      </c>
      <c r="R1306"/>
      <c r="S1306" s="1684"/>
      <c r="T1306" s="1684"/>
      <c r="U1306" s="1684"/>
      <c r="V1306" s="1684"/>
      <c r="W1306" s="1684"/>
      <c r="X1306" s="1684"/>
      <c r="Y1306" s="1684"/>
      <c r="Z1306" s="1684"/>
      <c r="AA1306" s="1684"/>
      <c r="AB1306" s="1684"/>
      <c r="AC1306" s="1684"/>
      <c r="AD1306" s="1684"/>
      <c r="AE1306" s="1684"/>
      <c r="AF1306" s="1684"/>
      <c r="AG1306" s="1684"/>
      <c r="AH1306" s="1684"/>
      <c r="AI1306" s="1684"/>
      <c r="AJ1306" s="1684"/>
      <c r="AK1306" s="1684"/>
      <c r="AL1306" s="1684"/>
      <c r="AM1306" s="1684"/>
      <c r="AN1306" s="1684"/>
      <c r="AO1306" s="1684"/>
      <c r="AP1306" s="1684"/>
      <c r="AQ1306" s="1684"/>
      <c r="AR1306" s="1684"/>
      <c r="AS1306" s="1684"/>
      <c r="AT1306" s="1684"/>
      <c r="AU1306" s="1684"/>
      <c r="AV1306" s="1684"/>
      <c r="AW1306" s="1684"/>
      <c r="AX1306" s="1684"/>
      <c r="AY1306" s="1684"/>
      <c r="AZ1306" s="1684"/>
      <c r="BA1306" s="1684"/>
      <c r="BB1306" s="1684"/>
      <c r="BC1306" s="1684"/>
      <c r="BD1306" s="1684"/>
      <c r="BE1306" s="1684"/>
      <c r="BF1306" s="1684"/>
      <c r="BG1306" s="1684"/>
      <c r="BH1306" s="1684"/>
      <c r="BI1306" s="1684"/>
      <c r="BJ1306" s="1684"/>
      <c r="BK1306" s="1684"/>
      <c r="BL1306" s="1684"/>
      <c r="BM1306" s="1684"/>
      <c r="BN1306" s="1684"/>
      <c r="BO1306" s="1684"/>
      <c r="BP1306" s="1684"/>
      <c r="BQ1306" s="1684"/>
      <c r="BR1306" s="1684"/>
      <c r="BS1306" s="1684"/>
      <c r="BT1306" s="1684"/>
      <c r="BU1306" s="1684"/>
      <c r="BV1306" s="1684"/>
      <c r="BW1306" s="1684"/>
      <c r="BX1306" s="1684"/>
      <c r="BY1306" s="1684"/>
      <c r="BZ1306" s="1684"/>
      <c r="CA1306" s="1684"/>
      <c r="CB1306" s="1684"/>
      <c r="CC1306" s="1684"/>
      <c r="CD1306" s="1684"/>
      <c r="CE1306" s="1684"/>
      <c r="CF1306" s="1684"/>
      <c r="CG1306" s="1684"/>
      <c r="CH1306" s="1684"/>
      <c r="CI1306" s="1684"/>
      <c r="CJ1306" s="1684"/>
      <c r="CK1306" s="1684"/>
      <c r="CL1306" s="1684"/>
      <c r="CM1306" s="1684"/>
      <c r="CN1306" s="1684"/>
      <c r="CO1306" s="1684"/>
    </row>
    <row r="1307" spans="1:93" s="1391" customFormat="1" ht="15" x14ac:dyDescent="0.2">
      <c r="A1307" s="1684"/>
      <c r="B1307" s="1684"/>
      <c r="C1307" s="2013">
        <v>12</v>
      </c>
      <c r="D1307" s="5">
        <v>5.9459999999999997</v>
      </c>
      <c r="E1307">
        <v>175</v>
      </c>
      <c r="F1307">
        <v>195</v>
      </c>
      <c r="G1307">
        <v>213</v>
      </c>
      <c r="H1307">
        <v>231</v>
      </c>
      <c r="I1307">
        <v>250</v>
      </c>
      <c r="J1307">
        <v>268</v>
      </c>
      <c r="K1307">
        <v>287</v>
      </c>
      <c r="L1307">
        <v>306</v>
      </c>
      <c r="M1307">
        <v>324</v>
      </c>
      <c r="N1307">
        <v>342</v>
      </c>
      <c r="O1307">
        <v>362</v>
      </c>
      <c r="P1307">
        <v>379</v>
      </c>
      <c r="Q1307" s="1160">
        <v>5</v>
      </c>
      <c r="R1307"/>
      <c r="S1307" s="1684"/>
      <c r="T1307" s="1684"/>
      <c r="U1307" s="1684"/>
      <c r="V1307" s="1684"/>
      <c r="W1307" s="1684"/>
      <c r="X1307" s="1684"/>
      <c r="Y1307" s="1684"/>
      <c r="Z1307" s="1684"/>
      <c r="AA1307" s="1684"/>
      <c r="AB1307" s="1684"/>
      <c r="AC1307" s="1684"/>
      <c r="AD1307" s="1684"/>
      <c r="AE1307" s="1684"/>
      <c r="AF1307" s="1684"/>
      <c r="AG1307" s="1684"/>
      <c r="AH1307" s="1684"/>
      <c r="AI1307" s="1684"/>
      <c r="AJ1307" s="1684"/>
      <c r="AK1307" s="1684"/>
      <c r="AL1307" s="1684"/>
      <c r="AM1307" s="1684"/>
      <c r="AN1307" s="1684"/>
      <c r="AO1307" s="1684"/>
      <c r="AP1307" s="1684"/>
      <c r="AQ1307" s="1684"/>
      <c r="AR1307" s="1684"/>
      <c r="AS1307" s="1684"/>
      <c r="AT1307" s="1684"/>
      <c r="AU1307" s="1684"/>
      <c r="AV1307" s="1684"/>
      <c r="AW1307" s="1684"/>
      <c r="AX1307" s="1684"/>
      <c r="AY1307" s="1684"/>
      <c r="AZ1307" s="1684"/>
      <c r="BA1307" s="1684"/>
      <c r="BB1307" s="1684"/>
      <c r="BC1307" s="1684"/>
      <c r="BD1307" s="1684"/>
      <c r="BE1307" s="1684"/>
      <c r="BF1307" s="1684"/>
      <c r="BG1307" s="1684"/>
      <c r="BH1307" s="1684"/>
      <c r="BI1307" s="1684"/>
      <c r="BJ1307" s="1684"/>
      <c r="BK1307" s="1684"/>
      <c r="BL1307" s="1684"/>
      <c r="BM1307" s="1684"/>
      <c r="BN1307" s="1684"/>
      <c r="BO1307" s="1684"/>
      <c r="BP1307" s="1684"/>
      <c r="BQ1307" s="1684"/>
      <c r="BR1307" s="1684"/>
      <c r="BS1307" s="1684"/>
      <c r="BT1307" s="1684"/>
      <c r="BU1307" s="1684"/>
      <c r="BV1307" s="1684"/>
      <c r="BW1307" s="1684"/>
      <c r="BX1307" s="1684"/>
      <c r="BY1307" s="1684"/>
      <c r="BZ1307" s="1684"/>
      <c r="CA1307" s="1684"/>
      <c r="CB1307" s="1684"/>
      <c r="CC1307" s="1684"/>
      <c r="CD1307" s="1684"/>
      <c r="CE1307" s="1684"/>
      <c r="CF1307" s="1684"/>
      <c r="CG1307" s="1684"/>
      <c r="CH1307" s="1684"/>
      <c r="CI1307" s="1684"/>
      <c r="CJ1307" s="1684"/>
      <c r="CK1307" s="1684"/>
      <c r="CL1307" s="1684"/>
      <c r="CM1307" s="1684"/>
      <c r="CN1307" s="1684"/>
      <c r="CO1307" s="1684"/>
    </row>
    <row r="1308" spans="1:93" s="1391" customFormat="1" ht="15" x14ac:dyDescent="0.2">
      <c r="A1308" s="1684"/>
      <c r="B1308" s="1684"/>
      <c r="C1308" s="2013">
        <v>13</v>
      </c>
      <c r="D1308" s="5">
        <v>6.2370000000000001</v>
      </c>
      <c r="E1308">
        <v>189</v>
      </c>
      <c r="F1308">
        <v>210</v>
      </c>
      <c r="G1308">
        <v>230</v>
      </c>
      <c r="H1308">
        <v>250</v>
      </c>
      <c r="I1308">
        <v>270</v>
      </c>
      <c r="J1308">
        <v>290</v>
      </c>
      <c r="K1308">
        <v>310</v>
      </c>
      <c r="L1308">
        <v>331</v>
      </c>
      <c r="M1308">
        <v>350</v>
      </c>
      <c r="N1308">
        <v>369</v>
      </c>
      <c r="O1308">
        <v>389</v>
      </c>
      <c r="P1308">
        <v>409</v>
      </c>
      <c r="Q1308" s="1160">
        <v>6</v>
      </c>
      <c r="R1308"/>
      <c r="S1308" s="1684"/>
      <c r="T1308" s="1684"/>
      <c r="U1308" s="1684"/>
      <c r="V1308" s="1684"/>
      <c r="W1308" s="1684"/>
      <c r="X1308" s="1684"/>
      <c r="Y1308" s="1684"/>
      <c r="Z1308" s="1684"/>
      <c r="AA1308" s="1684"/>
      <c r="AB1308" s="1684"/>
      <c r="AC1308" s="1684"/>
      <c r="AD1308" s="1684"/>
      <c r="AE1308" s="1684"/>
      <c r="AF1308" s="1684"/>
      <c r="AG1308" s="1684"/>
      <c r="AH1308" s="1684"/>
      <c r="AI1308" s="1684"/>
      <c r="AJ1308" s="1684"/>
      <c r="AK1308" s="1684"/>
      <c r="AL1308" s="1684"/>
      <c r="AM1308" s="1684"/>
      <c r="AN1308" s="1684"/>
      <c r="AO1308" s="1684"/>
      <c r="AP1308" s="1684"/>
      <c r="AQ1308" s="1684"/>
      <c r="AR1308" s="1684"/>
      <c r="AS1308" s="1684"/>
      <c r="AT1308" s="1684"/>
      <c r="AU1308" s="1684"/>
      <c r="AV1308" s="1684"/>
      <c r="AW1308" s="1684"/>
      <c r="AX1308" s="1684"/>
      <c r="AY1308" s="1684"/>
      <c r="AZ1308" s="1684"/>
      <c r="BA1308" s="1684"/>
      <c r="BB1308" s="1684"/>
      <c r="BC1308" s="1684"/>
      <c r="BD1308" s="1684"/>
      <c r="BE1308" s="1684"/>
      <c r="BF1308" s="1684"/>
      <c r="BG1308" s="1684"/>
      <c r="BH1308" s="1684"/>
      <c r="BI1308" s="1684"/>
      <c r="BJ1308" s="1684"/>
      <c r="BK1308" s="1684"/>
      <c r="BL1308" s="1684"/>
      <c r="BM1308" s="1684"/>
      <c r="BN1308" s="1684"/>
      <c r="BO1308" s="1684"/>
      <c r="BP1308" s="1684"/>
      <c r="BQ1308" s="1684"/>
      <c r="BR1308" s="1684"/>
      <c r="BS1308" s="1684"/>
      <c r="BT1308" s="1684"/>
      <c r="BU1308" s="1684"/>
      <c r="BV1308" s="1684"/>
      <c r="BW1308" s="1684"/>
      <c r="BX1308" s="1684"/>
      <c r="BY1308" s="1684"/>
      <c r="BZ1308" s="1684"/>
      <c r="CA1308" s="1684"/>
      <c r="CB1308" s="1684"/>
      <c r="CC1308" s="1684"/>
      <c r="CD1308" s="1684"/>
      <c r="CE1308" s="1684"/>
      <c r="CF1308" s="1684"/>
      <c r="CG1308" s="1684"/>
      <c r="CH1308" s="1684"/>
      <c r="CI1308" s="1684"/>
      <c r="CJ1308" s="1684"/>
      <c r="CK1308" s="1684"/>
      <c r="CL1308" s="1684"/>
      <c r="CM1308" s="1684"/>
      <c r="CN1308" s="1684"/>
      <c r="CO1308" s="1684"/>
    </row>
    <row r="1309" spans="1:93" s="1391" customFormat="1" ht="15" x14ac:dyDescent="0.2">
      <c r="A1309" s="1684"/>
      <c r="B1309" s="1684"/>
      <c r="C1309" s="2013">
        <v>14</v>
      </c>
      <c r="D1309" s="5">
        <v>6.5810000000000004</v>
      </c>
      <c r="E1309">
        <v>204</v>
      </c>
      <c r="F1309">
        <v>226</v>
      </c>
      <c r="G1309">
        <v>248</v>
      </c>
      <c r="H1309">
        <v>269</v>
      </c>
      <c r="I1309">
        <v>291</v>
      </c>
      <c r="J1309">
        <v>312</v>
      </c>
      <c r="K1309">
        <v>333</v>
      </c>
      <c r="L1309">
        <v>356</v>
      </c>
      <c r="M1309">
        <v>376</v>
      </c>
      <c r="N1309">
        <v>398</v>
      </c>
      <c r="O1309">
        <v>419</v>
      </c>
      <c r="P1309">
        <v>441</v>
      </c>
      <c r="Q1309" s="1160">
        <v>7</v>
      </c>
      <c r="R1309"/>
      <c r="S1309" s="1684"/>
      <c r="T1309" s="1684"/>
      <c r="U1309" s="1684"/>
      <c r="V1309" s="1684"/>
      <c r="W1309" s="1684"/>
      <c r="X1309" s="1684"/>
      <c r="Y1309" s="1684"/>
      <c r="Z1309" s="1684"/>
      <c r="AA1309" s="1684"/>
      <c r="AB1309" s="1684"/>
      <c r="AC1309" s="1684"/>
      <c r="AD1309" s="1684"/>
      <c r="AE1309" s="1684"/>
      <c r="AF1309" s="1684"/>
      <c r="AG1309" s="1684"/>
      <c r="AH1309" s="1684"/>
      <c r="AI1309" s="1684"/>
      <c r="AJ1309" s="1684"/>
      <c r="AK1309" s="1684"/>
      <c r="AL1309" s="1684"/>
      <c r="AM1309" s="1684"/>
      <c r="AN1309" s="1684"/>
      <c r="AO1309" s="1684"/>
      <c r="AP1309" s="1684"/>
      <c r="AQ1309" s="1684"/>
      <c r="AR1309" s="1684"/>
      <c r="AS1309" s="1684"/>
      <c r="AT1309" s="1684"/>
      <c r="AU1309" s="1684"/>
      <c r="AV1309" s="1684"/>
      <c r="AW1309" s="1684"/>
      <c r="AX1309" s="1684"/>
      <c r="AY1309" s="1684"/>
      <c r="AZ1309" s="1684"/>
      <c r="BA1309" s="1684"/>
      <c r="BB1309" s="1684"/>
      <c r="BC1309" s="1684"/>
      <c r="BD1309" s="1684"/>
      <c r="BE1309" s="1684"/>
      <c r="BF1309" s="1684"/>
      <c r="BG1309" s="1684"/>
      <c r="BH1309" s="1684"/>
      <c r="BI1309" s="1684"/>
      <c r="BJ1309" s="1684"/>
      <c r="BK1309" s="1684"/>
      <c r="BL1309" s="1684"/>
      <c r="BM1309" s="1684"/>
      <c r="BN1309" s="1684"/>
      <c r="BO1309" s="1684"/>
      <c r="BP1309" s="1684"/>
      <c r="BQ1309" s="1684"/>
      <c r="BR1309" s="1684"/>
      <c r="BS1309" s="1684"/>
      <c r="BT1309" s="1684"/>
      <c r="BU1309" s="1684"/>
      <c r="BV1309" s="1684"/>
      <c r="BW1309" s="1684"/>
      <c r="BX1309" s="1684"/>
      <c r="BY1309" s="1684"/>
      <c r="BZ1309" s="1684"/>
      <c r="CA1309" s="1684"/>
      <c r="CB1309" s="1684"/>
      <c r="CC1309" s="1684"/>
      <c r="CD1309" s="1684"/>
      <c r="CE1309" s="1684"/>
      <c r="CF1309" s="1684"/>
      <c r="CG1309" s="1684"/>
      <c r="CH1309" s="1684"/>
      <c r="CI1309" s="1684"/>
      <c r="CJ1309" s="1684"/>
      <c r="CK1309" s="1684"/>
      <c r="CL1309" s="1684"/>
      <c r="CM1309" s="1684"/>
      <c r="CN1309" s="1684"/>
      <c r="CO1309" s="1684"/>
    </row>
    <row r="1310" spans="1:93" s="1391" customFormat="1" ht="15" x14ac:dyDescent="0.2">
      <c r="A1310" s="1684"/>
      <c r="B1310" s="1684"/>
      <c r="C1310" s="2013">
        <v>15</v>
      </c>
      <c r="D1310" s="5">
        <v>6.9109999999999996</v>
      </c>
      <c r="E1310">
        <v>218</v>
      </c>
      <c r="F1310">
        <v>242</v>
      </c>
      <c r="G1310">
        <v>265</v>
      </c>
      <c r="H1310">
        <v>288</v>
      </c>
      <c r="I1310">
        <v>311</v>
      </c>
      <c r="J1310">
        <v>334</v>
      </c>
      <c r="K1310">
        <v>357</v>
      </c>
      <c r="L1310">
        <v>381</v>
      </c>
      <c r="M1310">
        <v>403</v>
      </c>
      <c r="N1310">
        <v>426</v>
      </c>
      <c r="O1310">
        <v>449</v>
      </c>
      <c r="P1310">
        <v>472</v>
      </c>
      <c r="Q1310" s="1160">
        <v>8</v>
      </c>
      <c r="R1310"/>
      <c r="S1310" s="1684"/>
      <c r="T1310" s="1684"/>
      <c r="U1310" s="1684"/>
      <c r="V1310" s="1684"/>
      <c r="W1310" s="1684"/>
      <c r="X1310" s="1684"/>
      <c r="Y1310" s="1684"/>
      <c r="Z1310" s="1684"/>
      <c r="AA1310" s="1684"/>
      <c r="AB1310" s="1684"/>
      <c r="AC1310" s="1684"/>
      <c r="AD1310" s="1684"/>
      <c r="AE1310" s="1684"/>
      <c r="AF1310" s="1684"/>
      <c r="AG1310" s="1684"/>
      <c r="AH1310" s="1684"/>
      <c r="AI1310" s="1684"/>
      <c r="AJ1310" s="1684"/>
      <c r="AK1310" s="1684"/>
      <c r="AL1310" s="1684"/>
      <c r="AM1310" s="1684"/>
      <c r="AN1310" s="1684"/>
      <c r="AO1310" s="1684"/>
      <c r="AP1310" s="1684"/>
      <c r="AQ1310" s="1684"/>
      <c r="AR1310" s="1684"/>
      <c r="AS1310" s="1684"/>
      <c r="AT1310" s="1684"/>
      <c r="AU1310" s="1684"/>
      <c r="AV1310" s="1684"/>
      <c r="AW1310" s="1684"/>
      <c r="AX1310" s="1684"/>
      <c r="AY1310" s="1684"/>
      <c r="AZ1310" s="1684"/>
      <c r="BA1310" s="1684"/>
      <c r="BB1310" s="1684"/>
      <c r="BC1310" s="1684"/>
      <c r="BD1310" s="1684"/>
      <c r="BE1310" s="1684"/>
      <c r="BF1310" s="1684"/>
      <c r="BG1310" s="1684"/>
      <c r="BH1310" s="1684"/>
      <c r="BI1310" s="1684"/>
      <c r="BJ1310" s="1684"/>
      <c r="BK1310" s="1684"/>
      <c r="BL1310" s="1684"/>
      <c r="BM1310" s="1684"/>
      <c r="BN1310" s="1684"/>
      <c r="BO1310" s="1684"/>
      <c r="BP1310" s="1684"/>
      <c r="BQ1310" s="1684"/>
      <c r="BR1310" s="1684"/>
      <c r="BS1310" s="1684"/>
      <c r="BT1310" s="1684"/>
      <c r="BU1310" s="1684"/>
      <c r="BV1310" s="1684"/>
      <c r="BW1310" s="1684"/>
      <c r="BX1310" s="1684"/>
      <c r="BY1310" s="1684"/>
      <c r="BZ1310" s="1684"/>
      <c r="CA1310" s="1684"/>
      <c r="CB1310" s="1684"/>
      <c r="CC1310" s="1684"/>
      <c r="CD1310" s="1684"/>
      <c r="CE1310" s="1684"/>
      <c r="CF1310" s="1684"/>
      <c r="CG1310" s="1684"/>
      <c r="CH1310" s="1684"/>
      <c r="CI1310" s="1684"/>
      <c r="CJ1310" s="1684"/>
      <c r="CK1310" s="1684"/>
      <c r="CL1310" s="1684"/>
      <c r="CM1310" s="1684"/>
      <c r="CN1310" s="1684"/>
      <c r="CO1310" s="1684"/>
    </row>
    <row r="1311" spans="1:93" s="1391" customFormat="1" ht="15" x14ac:dyDescent="0.2">
      <c r="A1311" s="1684"/>
      <c r="B1311" s="1684"/>
      <c r="C1311" s="2013">
        <v>16</v>
      </c>
      <c r="D1311" s="5">
        <v>7.3559999999999999</v>
      </c>
      <c r="E1311">
        <v>232</v>
      </c>
      <c r="F1311">
        <v>258</v>
      </c>
      <c r="G1311">
        <v>282</v>
      </c>
      <c r="H1311">
        <v>307</v>
      </c>
      <c r="I1311">
        <v>331</v>
      </c>
      <c r="J1311">
        <v>356</v>
      </c>
      <c r="K1311">
        <v>380</v>
      </c>
      <c r="L1311">
        <v>406</v>
      </c>
      <c r="M1311">
        <v>429</v>
      </c>
      <c r="N1311">
        <v>454</v>
      </c>
      <c r="O1311">
        <v>478</v>
      </c>
      <c r="P1311">
        <v>503</v>
      </c>
      <c r="Q1311" s="1160">
        <v>9</v>
      </c>
      <c r="R1311"/>
      <c r="S1311" s="1684"/>
      <c r="T1311" s="1684"/>
      <c r="U1311" s="1684"/>
      <c r="V1311" s="1684"/>
      <c r="W1311" s="1684"/>
      <c r="X1311" s="1684"/>
      <c r="Y1311" s="1684"/>
      <c r="Z1311" s="1684"/>
      <c r="AA1311" s="1684"/>
      <c r="AB1311" s="1684"/>
      <c r="AC1311" s="1684"/>
      <c r="AD1311" s="1684"/>
      <c r="AE1311" s="1684"/>
      <c r="AF1311" s="1684"/>
      <c r="AG1311" s="1684"/>
      <c r="AH1311" s="1684"/>
      <c r="AI1311" s="1684"/>
      <c r="AJ1311" s="1684"/>
      <c r="AK1311" s="1684"/>
      <c r="AL1311" s="1684"/>
      <c r="AM1311" s="1684"/>
      <c r="AN1311" s="1684"/>
      <c r="AO1311" s="1684"/>
      <c r="AP1311" s="1684"/>
      <c r="AQ1311" s="1684"/>
      <c r="AR1311" s="1684"/>
      <c r="AS1311" s="1684"/>
      <c r="AT1311" s="1684"/>
      <c r="AU1311" s="1684"/>
      <c r="AV1311" s="1684"/>
      <c r="AW1311" s="1684"/>
      <c r="AX1311" s="1684"/>
      <c r="AY1311" s="1684"/>
      <c r="AZ1311" s="1684"/>
      <c r="BA1311" s="1684"/>
      <c r="BB1311" s="1684"/>
      <c r="BC1311" s="1684"/>
      <c r="BD1311" s="1684"/>
      <c r="BE1311" s="1684"/>
      <c r="BF1311" s="1684"/>
      <c r="BG1311" s="1684"/>
      <c r="BH1311" s="1684"/>
      <c r="BI1311" s="1684"/>
      <c r="BJ1311" s="1684"/>
      <c r="BK1311" s="1684"/>
      <c r="BL1311" s="1684"/>
      <c r="BM1311" s="1684"/>
      <c r="BN1311" s="1684"/>
      <c r="BO1311" s="1684"/>
      <c r="BP1311" s="1684"/>
      <c r="BQ1311" s="1684"/>
      <c r="BR1311" s="1684"/>
      <c r="BS1311" s="1684"/>
      <c r="BT1311" s="1684"/>
      <c r="BU1311" s="1684"/>
      <c r="BV1311" s="1684"/>
      <c r="BW1311" s="1684"/>
      <c r="BX1311" s="1684"/>
      <c r="BY1311" s="1684"/>
      <c r="BZ1311" s="1684"/>
      <c r="CA1311" s="1684"/>
      <c r="CB1311" s="1684"/>
      <c r="CC1311" s="1684"/>
      <c r="CD1311" s="1684"/>
      <c r="CE1311" s="1684"/>
      <c r="CF1311" s="1684"/>
      <c r="CG1311" s="1684"/>
      <c r="CH1311" s="1684"/>
      <c r="CI1311" s="1684"/>
      <c r="CJ1311" s="1684"/>
      <c r="CK1311" s="1684"/>
      <c r="CL1311" s="1684"/>
      <c r="CM1311" s="1684"/>
      <c r="CN1311" s="1684"/>
      <c r="CO1311" s="1684"/>
    </row>
    <row r="1312" spans="1:93" s="1391" customFormat="1" ht="15" x14ac:dyDescent="0.2">
      <c r="A1312" s="1684"/>
      <c r="B1312" s="1684"/>
      <c r="C1312" s="2013">
        <v>17</v>
      </c>
      <c r="D1312" s="5">
        <v>7.8339999999999996</v>
      </c>
      <c r="E1312">
        <v>245</v>
      </c>
      <c r="F1312">
        <v>272</v>
      </c>
      <c r="G1312">
        <v>298</v>
      </c>
      <c r="H1312">
        <v>324</v>
      </c>
      <c r="I1312">
        <v>350</v>
      </c>
      <c r="J1312">
        <v>375</v>
      </c>
      <c r="K1312">
        <v>401</v>
      </c>
      <c r="L1312">
        <v>428</v>
      </c>
      <c r="M1312">
        <v>453</v>
      </c>
      <c r="N1312">
        <v>479</v>
      </c>
      <c r="O1312">
        <v>504</v>
      </c>
      <c r="P1312">
        <v>530</v>
      </c>
      <c r="Q1312" s="1160">
        <v>10</v>
      </c>
      <c r="R1312"/>
      <c r="S1312" s="1684"/>
      <c r="T1312" s="1684"/>
      <c r="U1312" s="1684"/>
      <c r="V1312" s="1684"/>
      <c r="W1312" s="1684"/>
      <c r="X1312" s="1684"/>
      <c r="Y1312" s="1684"/>
      <c r="Z1312" s="1684"/>
      <c r="AA1312" s="1684"/>
      <c r="AB1312" s="1684"/>
      <c r="AC1312" s="1684"/>
      <c r="AD1312" s="1684"/>
      <c r="AE1312" s="1684"/>
      <c r="AF1312" s="1684"/>
      <c r="AG1312" s="1684"/>
      <c r="AH1312" s="1684"/>
      <c r="AI1312" s="1684"/>
      <c r="AJ1312" s="1684"/>
      <c r="AK1312" s="1684"/>
      <c r="AL1312" s="1684"/>
      <c r="AM1312" s="1684"/>
      <c r="AN1312" s="1684"/>
      <c r="AO1312" s="1684"/>
      <c r="AP1312" s="1684"/>
      <c r="AQ1312" s="1684"/>
      <c r="AR1312" s="1684"/>
      <c r="AS1312" s="1684"/>
      <c r="AT1312" s="1684"/>
      <c r="AU1312" s="1684"/>
      <c r="AV1312" s="1684"/>
      <c r="AW1312" s="1684"/>
      <c r="AX1312" s="1684"/>
      <c r="AY1312" s="1684"/>
      <c r="AZ1312" s="1684"/>
      <c r="BA1312" s="1684"/>
      <c r="BB1312" s="1684"/>
      <c r="BC1312" s="1684"/>
      <c r="BD1312" s="1684"/>
      <c r="BE1312" s="1684"/>
      <c r="BF1312" s="1684"/>
      <c r="BG1312" s="1684"/>
      <c r="BH1312" s="1684"/>
      <c r="BI1312" s="1684"/>
      <c r="BJ1312" s="1684"/>
      <c r="BK1312" s="1684"/>
      <c r="BL1312" s="1684"/>
      <c r="BM1312" s="1684"/>
      <c r="BN1312" s="1684"/>
      <c r="BO1312" s="1684"/>
      <c r="BP1312" s="1684"/>
      <c r="BQ1312" s="1684"/>
      <c r="BR1312" s="1684"/>
      <c r="BS1312" s="1684"/>
      <c r="BT1312" s="1684"/>
      <c r="BU1312" s="1684"/>
      <c r="BV1312" s="1684"/>
      <c r="BW1312" s="1684"/>
      <c r="BX1312" s="1684"/>
      <c r="BY1312" s="1684"/>
      <c r="BZ1312" s="1684"/>
      <c r="CA1312" s="1684"/>
      <c r="CB1312" s="1684"/>
      <c r="CC1312" s="1684"/>
      <c r="CD1312" s="1684"/>
      <c r="CE1312" s="1684"/>
      <c r="CF1312" s="1684"/>
      <c r="CG1312" s="1684"/>
      <c r="CH1312" s="1684"/>
      <c r="CI1312" s="1684"/>
      <c r="CJ1312" s="1684"/>
      <c r="CK1312" s="1684"/>
      <c r="CL1312" s="1684"/>
      <c r="CM1312" s="1684"/>
      <c r="CN1312" s="1684"/>
      <c r="CO1312" s="1684"/>
    </row>
    <row r="1313" spans="1:93" s="1391" customFormat="1" ht="15" x14ac:dyDescent="0.2">
      <c r="A1313" s="1684"/>
      <c r="B1313" s="1684"/>
      <c r="C1313" s="2013">
        <v>18</v>
      </c>
      <c r="D1313" s="5">
        <v>8.1039999999999992</v>
      </c>
      <c r="E1313">
        <v>257</v>
      </c>
      <c r="F1313">
        <v>285</v>
      </c>
      <c r="G1313">
        <v>312</v>
      </c>
      <c r="H1313">
        <v>339</v>
      </c>
      <c r="I1313">
        <v>366</v>
      </c>
      <c r="J1313">
        <v>393</v>
      </c>
      <c r="K1313">
        <v>420</v>
      </c>
      <c r="L1313">
        <v>448</v>
      </c>
      <c r="M1313">
        <v>474</v>
      </c>
      <c r="N1313">
        <v>501</v>
      </c>
      <c r="O1313">
        <v>528</v>
      </c>
      <c r="P1313">
        <v>555</v>
      </c>
      <c r="Q1313" s="1160">
        <v>11</v>
      </c>
      <c r="R1313"/>
      <c r="S1313" s="1684"/>
      <c r="T1313" s="1684"/>
      <c r="U1313" s="1684"/>
      <c r="V1313" s="1684"/>
      <c r="W1313" s="1684"/>
      <c r="X1313" s="1684"/>
      <c r="Y1313" s="1684"/>
      <c r="Z1313" s="1684"/>
      <c r="AA1313" s="1684"/>
      <c r="AB1313" s="1684"/>
      <c r="AC1313" s="1684"/>
      <c r="AD1313" s="1684"/>
      <c r="AE1313" s="1684"/>
      <c r="AF1313" s="1684"/>
      <c r="AG1313" s="1684"/>
      <c r="AH1313" s="1684"/>
      <c r="AI1313" s="1684"/>
      <c r="AJ1313" s="1684"/>
      <c r="AK1313" s="1684"/>
      <c r="AL1313" s="1684"/>
      <c r="AM1313" s="1684"/>
      <c r="AN1313" s="1684"/>
      <c r="AO1313" s="1684"/>
      <c r="AP1313" s="1684"/>
      <c r="AQ1313" s="1684"/>
      <c r="AR1313" s="1684"/>
      <c r="AS1313" s="1684"/>
      <c r="AT1313" s="1684"/>
      <c r="AU1313" s="1684"/>
      <c r="AV1313" s="1684"/>
      <c r="AW1313" s="1684"/>
      <c r="AX1313" s="1684"/>
      <c r="AY1313" s="1684"/>
      <c r="AZ1313" s="1684"/>
      <c r="BA1313" s="1684"/>
      <c r="BB1313" s="1684"/>
      <c r="BC1313" s="1684"/>
      <c r="BD1313" s="1684"/>
      <c r="BE1313" s="1684"/>
      <c r="BF1313" s="1684"/>
      <c r="BG1313" s="1684"/>
      <c r="BH1313" s="1684"/>
      <c r="BI1313" s="1684"/>
      <c r="BJ1313" s="1684"/>
      <c r="BK1313" s="1684"/>
      <c r="BL1313" s="1684"/>
      <c r="BM1313" s="1684"/>
      <c r="BN1313" s="1684"/>
      <c r="BO1313" s="1684"/>
      <c r="BP1313" s="1684"/>
      <c r="BQ1313" s="1684"/>
      <c r="BR1313" s="1684"/>
      <c r="BS1313" s="1684"/>
      <c r="BT1313" s="1684"/>
      <c r="BU1313" s="1684"/>
      <c r="BV1313" s="1684"/>
      <c r="BW1313" s="1684"/>
      <c r="BX1313" s="1684"/>
      <c r="BY1313" s="1684"/>
      <c r="BZ1313" s="1684"/>
      <c r="CA1313" s="1684"/>
      <c r="CB1313" s="1684"/>
      <c r="CC1313" s="1684"/>
      <c r="CD1313" s="1684"/>
      <c r="CE1313" s="1684"/>
      <c r="CF1313" s="1684"/>
      <c r="CG1313" s="1684"/>
      <c r="CH1313" s="1684"/>
      <c r="CI1313" s="1684"/>
      <c r="CJ1313" s="1684"/>
      <c r="CK1313" s="1684"/>
      <c r="CL1313" s="1684"/>
      <c r="CM1313" s="1684"/>
      <c r="CN1313" s="1684"/>
      <c r="CO1313" s="1684"/>
    </row>
    <row r="1314" spans="1:93" s="1391" customFormat="1" ht="15" x14ac:dyDescent="0.2">
      <c r="A1314" s="1684"/>
      <c r="B1314" s="1684"/>
      <c r="C1314" s="4680" t="s">
        <v>3691</v>
      </c>
      <c r="D1314" s="4681"/>
      <c r="E1314" s="4681"/>
      <c r="F1314" s="4681"/>
      <c r="G1314" s="4681"/>
      <c r="H1314" s="4681"/>
      <c r="I1314" s="4681"/>
      <c r="J1314" s="4681"/>
      <c r="K1314" s="4681"/>
      <c r="L1314" s="4681"/>
      <c r="M1314" s="4681"/>
      <c r="N1314" s="4681"/>
      <c r="O1314" s="4681"/>
      <c r="P1314" s="4681"/>
      <c r="Q1314" s="4682"/>
      <c r="R1314"/>
      <c r="S1314" s="1684"/>
      <c r="T1314" s="1684"/>
      <c r="U1314" s="1684"/>
      <c r="V1314" s="1684"/>
      <c r="W1314" s="1684"/>
      <c r="X1314" s="1684"/>
      <c r="Y1314" s="1684"/>
      <c r="Z1314" s="1684"/>
      <c r="AA1314" s="1684"/>
      <c r="AB1314" s="1684"/>
      <c r="AC1314" s="1684"/>
      <c r="AD1314" s="1684"/>
      <c r="AE1314" s="1684"/>
      <c r="AF1314" s="1684"/>
      <c r="AG1314" s="1684"/>
      <c r="AH1314" s="1684"/>
      <c r="AI1314" s="1684"/>
      <c r="AJ1314" s="1684"/>
      <c r="AK1314" s="1684"/>
      <c r="AL1314" s="1684"/>
      <c r="AM1314" s="1684"/>
      <c r="AN1314" s="1684"/>
      <c r="AO1314" s="1684"/>
      <c r="AP1314" s="1684"/>
      <c r="AQ1314" s="1684"/>
      <c r="AR1314" s="1684"/>
      <c r="AS1314" s="1684"/>
      <c r="AT1314" s="1684"/>
      <c r="AU1314" s="1684"/>
      <c r="AV1314" s="1684"/>
      <c r="AW1314" s="1684"/>
      <c r="AX1314" s="1684"/>
      <c r="AY1314" s="1684"/>
      <c r="AZ1314" s="1684"/>
      <c r="BA1314" s="1684"/>
      <c r="BB1314" s="1684"/>
      <c r="BC1314" s="1684"/>
      <c r="BD1314" s="1684"/>
      <c r="BE1314" s="1684"/>
      <c r="BF1314" s="1684"/>
      <c r="BG1314" s="1684"/>
      <c r="BH1314" s="1684"/>
      <c r="BI1314" s="1684"/>
      <c r="BJ1314" s="1684"/>
      <c r="BK1314" s="1684"/>
      <c r="BL1314" s="1684"/>
      <c r="BM1314" s="1684"/>
      <c r="BN1314" s="1684"/>
      <c r="BO1314" s="1684"/>
      <c r="BP1314" s="1684"/>
      <c r="BQ1314" s="1684"/>
      <c r="BR1314" s="1684"/>
      <c r="BS1314" s="1684"/>
      <c r="BT1314" s="1684"/>
      <c r="BU1314" s="1684"/>
      <c r="BV1314" s="1684"/>
      <c r="BW1314" s="1684"/>
      <c r="BX1314" s="1684"/>
      <c r="BY1314" s="1684"/>
      <c r="BZ1314" s="1684"/>
      <c r="CA1314" s="1684"/>
      <c r="CB1314" s="1684"/>
      <c r="CC1314" s="1684"/>
      <c r="CD1314" s="1684"/>
      <c r="CE1314" s="1684"/>
      <c r="CF1314" s="1684"/>
      <c r="CG1314" s="1684"/>
      <c r="CH1314" s="1684"/>
      <c r="CI1314" s="1684"/>
      <c r="CJ1314" s="1684"/>
      <c r="CK1314" s="1684"/>
      <c r="CL1314" s="1684"/>
      <c r="CM1314" s="1684"/>
      <c r="CN1314" s="1684"/>
      <c r="CO1314" s="1684"/>
    </row>
    <row r="1315" spans="1:93" s="1391" customFormat="1" ht="15" x14ac:dyDescent="0.2">
      <c r="A1315" s="1684"/>
      <c r="B1315" s="1684"/>
      <c r="C1315" s="4680"/>
      <c r="D1315" s="4681"/>
      <c r="E1315" s="4681"/>
      <c r="F1315" s="4681"/>
      <c r="G1315" s="4681"/>
      <c r="H1315" s="4681"/>
      <c r="I1315" s="4681"/>
      <c r="J1315" s="4681"/>
      <c r="K1315" s="4681"/>
      <c r="L1315" s="4681"/>
      <c r="M1315" s="4681"/>
      <c r="N1315" s="4681"/>
      <c r="O1315" s="4681"/>
      <c r="P1315" s="4681"/>
      <c r="Q1315" s="4682"/>
      <c r="R1315"/>
      <c r="S1315" s="1684"/>
      <c r="T1315" s="1684"/>
      <c r="U1315" s="1684"/>
      <c r="V1315" s="1684"/>
      <c r="W1315" s="1684"/>
      <c r="X1315" s="1684"/>
      <c r="Y1315" s="1684"/>
      <c r="Z1315" s="1684"/>
      <c r="AA1315" s="1684"/>
      <c r="AB1315" s="1684"/>
      <c r="AC1315" s="1684"/>
      <c r="AD1315" s="1684"/>
      <c r="AE1315" s="1684"/>
      <c r="AF1315" s="1684"/>
      <c r="AG1315" s="1684"/>
      <c r="AH1315" s="1684"/>
      <c r="AI1315" s="1684"/>
      <c r="AJ1315" s="1684"/>
      <c r="AK1315" s="1684"/>
      <c r="AL1315" s="1684"/>
      <c r="AM1315" s="1684"/>
      <c r="AN1315" s="1684"/>
      <c r="AO1315" s="1684"/>
      <c r="AP1315" s="1684"/>
      <c r="AQ1315" s="1684"/>
      <c r="AR1315" s="1684"/>
      <c r="AS1315" s="1684"/>
      <c r="AT1315" s="1684"/>
      <c r="AU1315" s="1684"/>
      <c r="AV1315" s="1684"/>
      <c r="AW1315" s="1684"/>
      <c r="AX1315" s="1684"/>
      <c r="AY1315" s="1684"/>
      <c r="AZ1315" s="1684"/>
      <c r="BA1315" s="1684"/>
      <c r="BB1315" s="1684"/>
      <c r="BC1315" s="1684"/>
      <c r="BD1315" s="1684"/>
      <c r="BE1315" s="1684"/>
      <c r="BF1315" s="1684"/>
      <c r="BG1315" s="1684"/>
      <c r="BH1315" s="1684"/>
      <c r="BI1315" s="1684"/>
      <c r="BJ1315" s="1684"/>
      <c r="BK1315" s="1684"/>
      <c r="BL1315" s="1684"/>
      <c r="BM1315" s="1684"/>
      <c r="BN1315" s="1684"/>
      <c r="BO1315" s="1684"/>
      <c r="BP1315" s="1684"/>
      <c r="BQ1315" s="1684"/>
      <c r="BR1315" s="1684"/>
      <c r="BS1315" s="1684"/>
      <c r="BT1315" s="1684"/>
      <c r="BU1315" s="1684"/>
      <c r="BV1315" s="1684"/>
      <c r="BW1315" s="1684"/>
      <c r="BX1315" s="1684"/>
      <c r="BY1315" s="1684"/>
      <c r="BZ1315" s="1684"/>
      <c r="CA1315" s="1684"/>
      <c r="CB1315" s="1684"/>
      <c r="CC1315" s="1684"/>
      <c r="CD1315" s="1684"/>
      <c r="CE1315" s="1684"/>
      <c r="CF1315" s="1684"/>
      <c r="CG1315" s="1684"/>
      <c r="CH1315" s="1684"/>
      <c r="CI1315" s="1684"/>
      <c r="CJ1315" s="1684"/>
      <c r="CK1315" s="1684"/>
      <c r="CL1315" s="1684"/>
      <c r="CM1315" s="1684"/>
      <c r="CN1315" s="1684"/>
      <c r="CO1315" s="1684"/>
    </row>
    <row r="1316" spans="1:93" s="1391" customFormat="1" ht="15" x14ac:dyDescent="0.2">
      <c r="A1316" s="1684"/>
      <c r="B1316" s="1684"/>
      <c r="C1316" s="2014"/>
      <c r="D1316" s="2015"/>
      <c r="E1316" s="2015">
        <v>1</v>
      </c>
      <c r="F1316" s="2015">
        <v>2</v>
      </c>
      <c r="G1316" s="2015">
        <v>3</v>
      </c>
      <c r="H1316" s="2015">
        <v>4</v>
      </c>
      <c r="I1316" s="2015">
        <v>5</v>
      </c>
      <c r="J1316" s="2015">
        <v>6</v>
      </c>
      <c r="K1316" s="2015">
        <v>7</v>
      </c>
      <c r="L1316" s="2015">
        <v>8</v>
      </c>
      <c r="M1316" s="2015">
        <v>9</v>
      </c>
      <c r="N1316" s="2015">
        <v>10</v>
      </c>
      <c r="O1316" s="2015">
        <v>11</v>
      </c>
      <c r="P1316" s="2015">
        <v>12</v>
      </c>
      <c r="Q1316" s="2016"/>
      <c r="R1316"/>
      <c r="S1316" s="1684"/>
      <c r="T1316" s="1684"/>
      <c r="U1316" s="1684"/>
      <c r="V1316" s="1684"/>
      <c r="W1316" s="1684"/>
      <c r="X1316" s="1684"/>
      <c r="Y1316" s="1684"/>
      <c r="Z1316" s="1684"/>
      <c r="AA1316" s="1684"/>
      <c r="AB1316" s="1684"/>
      <c r="AC1316" s="1684"/>
      <c r="AD1316" s="1684"/>
      <c r="AE1316" s="1684"/>
      <c r="AF1316" s="1684"/>
      <c r="AG1316" s="1684"/>
      <c r="AH1316" s="1684"/>
      <c r="AI1316" s="1684"/>
      <c r="AJ1316" s="1684"/>
      <c r="AK1316" s="1684"/>
      <c r="AL1316" s="1684"/>
      <c r="AM1316" s="1684"/>
      <c r="AN1316" s="1684"/>
      <c r="AO1316" s="1684"/>
      <c r="AP1316" s="1684"/>
      <c r="AQ1316" s="1684"/>
      <c r="AR1316" s="1684"/>
      <c r="AS1316" s="1684"/>
      <c r="AT1316" s="1684"/>
      <c r="AU1316" s="1684"/>
      <c r="AV1316" s="1684"/>
      <c r="AW1316" s="1684"/>
      <c r="AX1316" s="1684"/>
      <c r="AY1316" s="1684"/>
      <c r="AZ1316" s="1684"/>
      <c r="BA1316" s="1684"/>
      <c r="BB1316" s="1684"/>
      <c r="BC1316" s="1684"/>
      <c r="BD1316" s="1684"/>
      <c r="BE1316" s="1684"/>
      <c r="BF1316" s="1684"/>
      <c r="BG1316" s="1684"/>
      <c r="BH1316" s="1684"/>
      <c r="BI1316" s="1684"/>
      <c r="BJ1316" s="1684"/>
      <c r="BK1316" s="1684"/>
      <c r="BL1316" s="1684"/>
      <c r="BM1316" s="1684"/>
      <c r="BN1316" s="1684"/>
      <c r="BO1316" s="1684"/>
      <c r="BP1316" s="1684"/>
      <c r="BQ1316" s="1684"/>
      <c r="BR1316" s="1684"/>
      <c r="BS1316" s="1684"/>
      <c r="BT1316" s="1684"/>
      <c r="BU1316" s="1684"/>
      <c r="BV1316" s="1684"/>
      <c r="BW1316" s="1684"/>
      <c r="BX1316" s="1684"/>
      <c r="BY1316" s="1684"/>
      <c r="BZ1316" s="1684"/>
      <c r="CA1316" s="1684"/>
      <c r="CB1316" s="1684"/>
      <c r="CC1316" s="1684"/>
      <c r="CD1316" s="1684"/>
      <c r="CE1316" s="1684"/>
      <c r="CF1316" s="1684"/>
      <c r="CG1316" s="1684"/>
      <c r="CH1316" s="1684"/>
      <c r="CI1316" s="1684"/>
      <c r="CJ1316" s="1684"/>
      <c r="CK1316" s="1684"/>
      <c r="CL1316" s="1684"/>
      <c r="CM1316" s="1684"/>
      <c r="CN1316" s="1684"/>
      <c r="CO1316" s="1684"/>
    </row>
    <row r="1317" spans="1:93" s="1391" customFormat="1" ht="15" x14ac:dyDescent="0.2">
      <c r="A1317" s="1684"/>
      <c r="B1317" s="1684"/>
      <c r="C1317" s="2013">
        <v>8</v>
      </c>
      <c r="D1317" s="5">
        <v>5.0490000000000004</v>
      </c>
      <c r="E1317">
        <v>133</v>
      </c>
      <c r="F1317">
        <v>147</v>
      </c>
      <c r="G1317">
        <v>161</v>
      </c>
      <c r="H1317">
        <v>175</v>
      </c>
      <c r="I1317">
        <v>189</v>
      </c>
      <c r="J1317">
        <v>203</v>
      </c>
      <c r="K1317">
        <v>217</v>
      </c>
      <c r="L1317">
        <v>232</v>
      </c>
      <c r="M1317">
        <v>245</v>
      </c>
      <c r="N1317">
        <v>259</v>
      </c>
      <c r="O1317">
        <v>273</v>
      </c>
      <c r="P1317">
        <v>287</v>
      </c>
      <c r="Q1317" s="1160">
        <v>12</v>
      </c>
      <c r="R1317"/>
      <c r="S1317" s="1684"/>
      <c r="T1317" s="1684"/>
      <c r="U1317" s="1684"/>
      <c r="V1317" s="1684"/>
      <c r="W1317" s="1684"/>
      <c r="X1317" s="1684"/>
      <c r="Y1317" s="1684"/>
      <c r="Z1317" s="1684"/>
      <c r="AA1317" s="1684"/>
      <c r="AB1317" s="1684"/>
      <c r="AC1317" s="1684"/>
      <c r="AD1317" s="1684"/>
      <c r="AE1317" s="1684"/>
      <c r="AF1317" s="1684"/>
      <c r="AG1317" s="1684"/>
      <c r="AH1317" s="1684"/>
      <c r="AI1317" s="1684"/>
      <c r="AJ1317" s="1684"/>
      <c r="AK1317" s="1684"/>
      <c r="AL1317" s="1684"/>
      <c r="AM1317" s="1684"/>
      <c r="AN1317" s="1684"/>
      <c r="AO1317" s="1684"/>
      <c r="AP1317" s="1684"/>
      <c r="AQ1317" s="1684"/>
      <c r="AR1317" s="1684"/>
      <c r="AS1317" s="1684"/>
      <c r="AT1317" s="1684"/>
      <c r="AU1317" s="1684"/>
      <c r="AV1317" s="1684"/>
      <c r="AW1317" s="1684"/>
      <c r="AX1317" s="1684"/>
      <c r="AY1317" s="1684"/>
      <c r="AZ1317" s="1684"/>
      <c r="BA1317" s="1684"/>
      <c r="BB1317" s="1684"/>
      <c r="BC1317" s="1684"/>
      <c r="BD1317" s="1684"/>
      <c r="BE1317" s="1684"/>
      <c r="BF1317" s="1684"/>
      <c r="BG1317" s="1684"/>
      <c r="BH1317" s="1684"/>
      <c r="BI1317" s="1684"/>
      <c r="BJ1317" s="1684"/>
      <c r="BK1317" s="1684"/>
      <c r="BL1317" s="1684"/>
      <c r="BM1317" s="1684"/>
      <c r="BN1317" s="1684"/>
      <c r="BO1317" s="1684"/>
      <c r="BP1317" s="1684"/>
      <c r="BQ1317" s="1684"/>
      <c r="BR1317" s="1684"/>
      <c r="BS1317" s="1684"/>
      <c r="BT1317" s="1684"/>
      <c r="BU1317" s="1684"/>
      <c r="BV1317" s="1684"/>
      <c r="BW1317" s="1684"/>
      <c r="BX1317" s="1684"/>
      <c r="BY1317" s="1684"/>
      <c r="BZ1317" s="1684"/>
      <c r="CA1317" s="1684"/>
      <c r="CB1317" s="1684"/>
      <c r="CC1317" s="1684"/>
      <c r="CD1317" s="1684"/>
      <c r="CE1317" s="1684"/>
      <c r="CF1317" s="1684"/>
      <c r="CG1317" s="1684"/>
      <c r="CH1317" s="1684"/>
      <c r="CI1317" s="1684"/>
      <c r="CJ1317" s="1684"/>
      <c r="CK1317" s="1684"/>
      <c r="CL1317" s="1684"/>
      <c r="CM1317" s="1684"/>
      <c r="CN1317" s="1684"/>
      <c r="CO1317" s="1684"/>
    </row>
    <row r="1318" spans="1:93" s="1391" customFormat="1" ht="15" x14ac:dyDescent="0.2">
      <c r="A1318" s="1684"/>
      <c r="B1318" s="1684"/>
      <c r="C1318" s="2013">
        <v>9</v>
      </c>
      <c r="D1318" s="5">
        <v>5.3310000000000004</v>
      </c>
      <c r="E1318">
        <v>146</v>
      </c>
      <c r="F1318">
        <v>162</v>
      </c>
      <c r="G1318">
        <v>177</v>
      </c>
      <c r="H1318">
        <v>192</v>
      </c>
      <c r="I1318">
        <v>208</v>
      </c>
      <c r="J1318">
        <v>223</v>
      </c>
      <c r="K1318">
        <v>238</v>
      </c>
      <c r="L1318">
        <v>255</v>
      </c>
      <c r="M1318">
        <v>269</v>
      </c>
      <c r="N1318">
        <v>284</v>
      </c>
      <c r="O1318">
        <v>300</v>
      </c>
      <c r="P1318">
        <v>313</v>
      </c>
      <c r="Q1318" s="1160">
        <v>13</v>
      </c>
      <c r="R1318"/>
      <c r="S1318" s="1684"/>
      <c r="T1318" s="1684"/>
      <c r="U1318" s="1684"/>
      <c r="V1318" s="1684"/>
      <c r="W1318" s="1684"/>
      <c r="X1318" s="1684"/>
      <c r="Y1318" s="1684"/>
      <c r="Z1318" s="1684"/>
      <c r="AA1318" s="1684"/>
      <c r="AB1318" s="1684"/>
      <c r="AC1318" s="1684"/>
      <c r="AD1318" s="1684"/>
      <c r="AE1318" s="1684"/>
      <c r="AF1318" s="1684"/>
      <c r="AG1318" s="1684"/>
      <c r="AH1318" s="1684"/>
      <c r="AI1318" s="1684"/>
      <c r="AJ1318" s="1684"/>
      <c r="AK1318" s="1684"/>
      <c r="AL1318" s="1684"/>
      <c r="AM1318" s="1684"/>
      <c r="AN1318" s="1684"/>
      <c r="AO1318" s="1684"/>
      <c r="AP1318" s="1684"/>
      <c r="AQ1318" s="1684"/>
      <c r="AR1318" s="1684"/>
      <c r="AS1318" s="1684"/>
      <c r="AT1318" s="1684"/>
      <c r="AU1318" s="1684"/>
      <c r="AV1318" s="1684"/>
      <c r="AW1318" s="1684"/>
      <c r="AX1318" s="1684"/>
      <c r="AY1318" s="1684"/>
      <c r="AZ1318" s="1684"/>
      <c r="BA1318" s="1684"/>
      <c r="BB1318" s="1684"/>
      <c r="BC1318" s="1684"/>
      <c r="BD1318" s="1684"/>
      <c r="BE1318" s="1684"/>
      <c r="BF1318" s="1684"/>
      <c r="BG1318" s="1684"/>
      <c r="BH1318" s="1684"/>
      <c r="BI1318" s="1684"/>
      <c r="BJ1318" s="1684"/>
      <c r="BK1318" s="1684"/>
      <c r="BL1318" s="1684"/>
      <c r="BM1318" s="1684"/>
      <c r="BN1318" s="1684"/>
      <c r="BO1318" s="1684"/>
      <c r="BP1318" s="1684"/>
      <c r="BQ1318" s="1684"/>
      <c r="BR1318" s="1684"/>
      <c r="BS1318" s="1684"/>
      <c r="BT1318" s="1684"/>
      <c r="BU1318" s="1684"/>
      <c r="BV1318" s="1684"/>
      <c r="BW1318" s="1684"/>
      <c r="BX1318" s="1684"/>
      <c r="BY1318" s="1684"/>
      <c r="BZ1318" s="1684"/>
      <c r="CA1318" s="1684"/>
      <c r="CB1318" s="1684"/>
      <c r="CC1318" s="1684"/>
      <c r="CD1318" s="1684"/>
      <c r="CE1318" s="1684"/>
      <c r="CF1318" s="1684"/>
      <c r="CG1318" s="1684"/>
      <c r="CH1318" s="1684"/>
      <c r="CI1318" s="1684"/>
      <c r="CJ1318" s="1684"/>
      <c r="CK1318" s="1684"/>
      <c r="CL1318" s="1684"/>
      <c r="CM1318" s="1684"/>
      <c r="CN1318" s="1684"/>
      <c r="CO1318" s="1684"/>
    </row>
    <row r="1319" spans="1:93" s="1391" customFormat="1" ht="15" x14ac:dyDescent="0.2">
      <c r="A1319" s="1684"/>
      <c r="B1319" s="1684"/>
      <c r="C1319" s="2013">
        <v>10</v>
      </c>
      <c r="D1319" s="5">
        <v>5.6239999999999997</v>
      </c>
      <c r="E1319">
        <v>159</v>
      </c>
      <c r="F1319">
        <v>177</v>
      </c>
      <c r="G1319">
        <v>193</v>
      </c>
      <c r="H1319">
        <v>210</v>
      </c>
      <c r="I1319">
        <v>227</v>
      </c>
      <c r="J1319">
        <v>244</v>
      </c>
      <c r="K1319">
        <v>260</v>
      </c>
      <c r="L1319">
        <v>278</v>
      </c>
      <c r="M1319">
        <v>294</v>
      </c>
      <c r="N1319">
        <v>311</v>
      </c>
      <c r="O1319">
        <v>327</v>
      </c>
      <c r="P1319">
        <v>344</v>
      </c>
      <c r="Q1319" s="1160">
        <v>14</v>
      </c>
      <c r="R1319"/>
      <c r="S1319" s="1684"/>
      <c r="T1319" s="1684"/>
      <c r="U1319" s="1684"/>
      <c r="V1319" s="1684"/>
      <c r="W1319" s="1684"/>
      <c r="X1319" s="1684"/>
      <c r="Y1319" s="1684"/>
      <c r="Z1319" s="1684"/>
      <c r="AA1319" s="1684"/>
      <c r="AB1319" s="1684"/>
      <c r="AC1319" s="1684"/>
      <c r="AD1319" s="1684"/>
      <c r="AE1319" s="1684"/>
      <c r="AF1319" s="1684"/>
      <c r="AG1319" s="1684"/>
      <c r="AH1319" s="1684"/>
      <c r="AI1319" s="1684"/>
      <c r="AJ1319" s="1684"/>
      <c r="AK1319" s="1684"/>
      <c r="AL1319" s="1684"/>
      <c r="AM1319" s="1684"/>
      <c r="AN1319" s="1684"/>
      <c r="AO1319" s="1684"/>
      <c r="AP1319" s="1684"/>
      <c r="AQ1319" s="1684"/>
      <c r="AR1319" s="1684"/>
      <c r="AS1319" s="1684"/>
      <c r="AT1319" s="1684"/>
      <c r="AU1319" s="1684"/>
      <c r="AV1319" s="1684"/>
      <c r="AW1319" s="1684"/>
      <c r="AX1319" s="1684"/>
      <c r="AY1319" s="1684"/>
      <c r="AZ1319" s="1684"/>
      <c r="BA1319" s="1684"/>
      <c r="BB1319" s="1684"/>
      <c r="BC1319" s="1684"/>
      <c r="BD1319" s="1684"/>
      <c r="BE1319" s="1684"/>
      <c r="BF1319" s="1684"/>
      <c r="BG1319" s="1684"/>
      <c r="BH1319" s="1684"/>
      <c r="BI1319" s="1684"/>
      <c r="BJ1319" s="1684"/>
      <c r="BK1319" s="1684"/>
      <c r="BL1319" s="1684"/>
      <c r="BM1319" s="1684"/>
      <c r="BN1319" s="1684"/>
      <c r="BO1319" s="1684"/>
      <c r="BP1319" s="1684"/>
      <c r="BQ1319" s="1684"/>
      <c r="BR1319" s="1684"/>
      <c r="BS1319" s="1684"/>
      <c r="BT1319" s="1684"/>
      <c r="BU1319" s="1684"/>
      <c r="BV1319" s="1684"/>
      <c r="BW1319" s="1684"/>
      <c r="BX1319" s="1684"/>
      <c r="BY1319" s="1684"/>
      <c r="BZ1319" s="1684"/>
      <c r="CA1319" s="1684"/>
      <c r="CB1319" s="1684"/>
      <c r="CC1319" s="1684"/>
      <c r="CD1319" s="1684"/>
      <c r="CE1319" s="1684"/>
      <c r="CF1319" s="1684"/>
      <c r="CG1319" s="1684"/>
      <c r="CH1319" s="1684"/>
      <c r="CI1319" s="1684"/>
      <c r="CJ1319" s="1684"/>
      <c r="CK1319" s="1684"/>
      <c r="CL1319" s="1684"/>
      <c r="CM1319" s="1684"/>
      <c r="CN1319" s="1684"/>
      <c r="CO1319" s="1684"/>
    </row>
    <row r="1320" spans="1:93" s="1391" customFormat="1" ht="15" x14ac:dyDescent="0.2">
      <c r="A1320" s="1684"/>
      <c r="B1320" s="1684"/>
      <c r="C1320" s="2013">
        <v>11</v>
      </c>
      <c r="D1320" s="5">
        <v>5.9489999999999998</v>
      </c>
      <c r="E1320">
        <v>174</v>
      </c>
      <c r="F1320">
        <v>193</v>
      </c>
      <c r="G1320">
        <v>211</v>
      </c>
      <c r="H1320">
        <v>230</v>
      </c>
      <c r="I1320">
        <v>248</v>
      </c>
      <c r="J1320">
        <v>266</v>
      </c>
      <c r="K1320">
        <v>285</v>
      </c>
      <c r="L1320">
        <v>304</v>
      </c>
      <c r="M1320">
        <v>321</v>
      </c>
      <c r="N1320">
        <v>339</v>
      </c>
      <c r="O1320">
        <v>358</v>
      </c>
      <c r="P1320">
        <v>376</v>
      </c>
      <c r="Q1320" s="1160">
        <v>15</v>
      </c>
      <c r="R1320"/>
      <c r="S1320" s="1684"/>
      <c r="T1320" s="1684"/>
      <c r="U1320" s="1684"/>
      <c r="V1320" s="1684"/>
      <c r="W1320" s="1684"/>
      <c r="X1320" s="1684"/>
      <c r="Y1320" s="1684"/>
      <c r="Z1320" s="1684"/>
      <c r="AA1320" s="1684"/>
      <c r="AB1320" s="1684"/>
      <c r="AC1320" s="1684"/>
      <c r="AD1320" s="1684"/>
      <c r="AE1320" s="1684"/>
      <c r="AF1320" s="1684"/>
      <c r="AG1320" s="1684"/>
      <c r="AH1320" s="1684"/>
      <c r="AI1320" s="1684"/>
      <c r="AJ1320" s="1684"/>
      <c r="AK1320" s="1684"/>
      <c r="AL1320" s="1684"/>
      <c r="AM1320" s="1684"/>
      <c r="AN1320" s="1684"/>
      <c r="AO1320" s="1684"/>
      <c r="AP1320" s="1684"/>
      <c r="AQ1320" s="1684"/>
      <c r="AR1320" s="1684"/>
      <c r="AS1320" s="1684"/>
      <c r="AT1320" s="1684"/>
      <c r="AU1320" s="1684"/>
      <c r="AV1320" s="1684"/>
      <c r="AW1320" s="1684"/>
      <c r="AX1320" s="1684"/>
      <c r="AY1320" s="1684"/>
      <c r="AZ1320" s="1684"/>
      <c r="BA1320" s="1684"/>
      <c r="BB1320" s="1684"/>
      <c r="BC1320" s="1684"/>
      <c r="BD1320" s="1684"/>
      <c r="BE1320" s="1684"/>
      <c r="BF1320" s="1684"/>
      <c r="BG1320" s="1684"/>
      <c r="BH1320" s="1684"/>
      <c r="BI1320" s="1684"/>
      <c r="BJ1320" s="1684"/>
      <c r="BK1320" s="1684"/>
      <c r="BL1320" s="1684"/>
      <c r="BM1320" s="1684"/>
      <c r="BN1320" s="1684"/>
      <c r="BO1320" s="1684"/>
      <c r="BP1320" s="1684"/>
      <c r="BQ1320" s="1684"/>
      <c r="BR1320" s="1684"/>
      <c r="BS1320" s="1684"/>
      <c r="BT1320" s="1684"/>
      <c r="BU1320" s="1684"/>
      <c r="BV1320" s="1684"/>
      <c r="BW1320" s="1684"/>
      <c r="BX1320" s="1684"/>
      <c r="BY1320" s="1684"/>
      <c r="BZ1320" s="1684"/>
      <c r="CA1320" s="1684"/>
      <c r="CB1320" s="1684"/>
      <c r="CC1320" s="1684"/>
      <c r="CD1320" s="1684"/>
      <c r="CE1320" s="1684"/>
      <c r="CF1320" s="1684"/>
      <c r="CG1320" s="1684"/>
      <c r="CH1320" s="1684"/>
      <c r="CI1320" s="1684"/>
      <c r="CJ1320" s="1684"/>
      <c r="CK1320" s="1684"/>
      <c r="CL1320" s="1684"/>
      <c r="CM1320" s="1684"/>
      <c r="CN1320" s="1684"/>
      <c r="CO1320" s="1684"/>
    </row>
    <row r="1321" spans="1:93" s="1391" customFormat="1" ht="15" x14ac:dyDescent="0.2">
      <c r="A1321" s="1684"/>
      <c r="B1321" s="1684"/>
      <c r="C1321" s="2013">
        <v>12</v>
      </c>
      <c r="D1321" s="5">
        <v>6.2839999999999998</v>
      </c>
      <c r="E1321">
        <v>189</v>
      </c>
      <c r="F1321">
        <v>210</v>
      </c>
      <c r="G1321">
        <v>230</v>
      </c>
      <c r="H1321">
        <v>250</v>
      </c>
      <c r="I1321">
        <v>270</v>
      </c>
      <c r="J1321">
        <v>290</v>
      </c>
      <c r="K1321">
        <v>309</v>
      </c>
      <c r="L1321">
        <v>330</v>
      </c>
      <c r="M1321">
        <v>349</v>
      </c>
      <c r="N1321">
        <v>369</v>
      </c>
      <c r="O1321">
        <v>389</v>
      </c>
      <c r="P1321">
        <v>409</v>
      </c>
      <c r="Q1321" s="1160">
        <v>16</v>
      </c>
      <c r="R1321"/>
      <c r="S1321" s="1684"/>
      <c r="T1321" s="1684"/>
      <c r="U1321" s="1684"/>
      <c r="V1321" s="1684"/>
      <c r="W1321" s="1684"/>
      <c r="X1321" s="1684"/>
      <c r="Y1321" s="1684"/>
      <c r="Z1321" s="1684"/>
      <c r="AA1321" s="1684"/>
      <c r="AB1321" s="1684"/>
      <c r="AC1321" s="1684"/>
      <c r="AD1321" s="1684"/>
      <c r="AE1321" s="1684"/>
      <c r="AF1321" s="1684"/>
      <c r="AG1321" s="1684"/>
      <c r="AH1321" s="1684"/>
      <c r="AI1321" s="1684"/>
      <c r="AJ1321" s="1684"/>
      <c r="AK1321" s="1684"/>
      <c r="AL1321" s="1684"/>
      <c r="AM1321" s="1684"/>
      <c r="AN1321" s="1684"/>
      <c r="AO1321" s="1684"/>
      <c r="AP1321" s="1684"/>
      <c r="AQ1321" s="1684"/>
      <c r="AR1321" s="1684"/>
      <c r="AS1321" s="1684"/>
      <c r="AT1321" s="1684"/>
      <c r="AU1321" s="1684"/>
      <c r="AV1321" s="1684"/>
      <c r="AW1321" s="1684"/>
      <c r="AX1321" s="1684"/>
      <c r="AY1321" s="1684"/>
      <c r="AZ1321" s="1684"/>
      <c r="BA1321" s="1684"/>
      <c r="BB1321" s="1684"/>
      <c r="BC1321" s="1684"/>
      <c r="BD1321" s="1684"/>
      <c r="BE1321" s="1684"/>
      <c r="BF1321" s="1684"/>
      <c r="BG1321" s="1684"/>
      <c r="BH1321" s="1684"/>
      <c r="BI1321" s="1684"/>
      <c r="BJ1321" s="1684"/>
      <c r="BK1321" s="1684"/>
      <c r="BL1321" s="1684"/>
      <c r="BM1321" s="1684"/>
      <c r="BN1321" s="1684"/>
      <c r="BO1321" s="1684"/>
      <c r="BP1321" s="1684"/>
      <c r="BQ1321" s="1684"/>
      <c r="BR1321" s="1684"/>
      <c r="BS1321" s="1684"/>
      <c r="BT1321" s="1684"/>
      <c r="BU1321" s="1684"/>
      <c r="BV1321" s="1684"/>
      <c r="BW1321" s="1684"/>
      <c r="BX1321" s="1684"/>
      <c r="BY1321" s="1684"/>
      <c r="BZ1321" s="1684"/>
      <c r="CA1321" s="1684"/>
      <c r="CB1321" s="1684"/>
      <c r="CC1321" s="1684"/>
      <c r="CD1321" s="1684"/>
      <c r="CE1321" s="1684"/>
      <c r="CF1321" s="1684"/>
      <c r="CG1321" s="1684"/>
      <c r="CH1321" s="1684"/>
      <c r="CI1321" s="1684"/>
      <c r="CJ1321" s="1684"/>
      <c r="CK1321" s="1684"/>
      <c r="CL1321" s="1684"/>
      <c r="CM1321" s="1684"/>
      <c r="CN1321" s="1684"/>
      <c r="CO1321" s="1684"/>
    </row>
    <row r="1322" spans="1:93" s="1391" customFormat="1" ht="15" x14ac:dyDescent="0.2">
      <c r="A1322" s="1684"/>
      <c r="B1322" s="1684"/>
      <c r="C1322" s="2013">
        <v>13</v>
      </c>
      <c r="D1322" s="5">
        <v>6.6619999999999999</v>
      </c>
      <c r="E1322">
        <v>204</v>
      </c>
      <c r="F1322">
        <v>227</v>
      </c>
      <c r="G1322">
        <v>248</v>
      </c>
      <c r="H1322">
        <v>270</v>
      </c>
      <c r="I1322">
        <v>291</v>
      </c>
      <c r="J1322">
        <v>313</v>
      </c>
      <c r="K1322">
        <v>334</v>
      </c>
      <c r="L1322">
        <v>357</v>
      </c>
      <c r="M1322">
        <v>377</v>
      </c>
      <c r="N1322">
        <v>399</v>
      </c>
      <c r="O1322">
        <v>420</v>
      </c>
      <c r="P1322">
        <v>442</v>
      </c>
      <c r="Q1322" s="1160">
        <v>17</v>
      </c>
      <c r="R1322"/>
      <c r="S1322" s="1684"/>
      <c r="T1322" s="1684"/>
      <c r="U1322" s="1684"/>
      <c r="V1322" s="1684"/>
      <c r="W1322" s="1684"/>
      <c r="X1322" s="1684"/>
      <c r="Y1322" s="1684"/>
      <c r="Z1322" s="1684"/>
      <c r="AA1322" s="1684"/>
      <c r="AB1322" s="1684"/>
      <c r="AC1322" s="1684"/>
      <c r="AD1322" s="1684"/>
      <c r="AE1322" s="1684"/>
      <c r="AF1322" s="1684"/>
      <c r="AG1322" s="1684"/>
      <c r="AH1322" s="1684"/>
      <c r="AI1322" s="1684"/>
      <c r="AJ1322" s="1684"/>
      <c r="AK1322" s="1684"/>
      <c r="AL1322" s="1684"/>
      <c r="AM1322" s="1684"/>
      <c r="AN1322" s="1684"/>
      <c r="AO1322" s="1684"/>
      <c r="AP1322" s="1684"/>
      <c r="AQ1322" s="1684"/>
      <c r="AR1322" s="1684"/>
      <c r="AS1322" s="1684"/>
      <c r="AT1322" s="1684"/>
      <c r="AU1322" s="1684"/>
      <c r="AV1322" s="1684"/>
      <c r="AW1322" s="1684"/>
      <c r="AX1322" s="1684"/>
      <c r="AY1322" s="1684"/>
      <c r="AZ1322" s="1684"/>
      <c r="BA1322" s="1684"/>
      <c r="BB1322" s="1684"/>
      <c r="BC1322" s="1684"/>
      <c r="BD1322" s="1684"/>
      <c r="BE1322" s="1684"/>
      <c r="BF1322" s="1684"/>
      <c r="BG1322" s="1684"/>
      <c r="BH1322" s="1684"/>
      <c r="BI1322" s="1684"/>
      <c r="BJ1322" s="1684"/>
      <c r="BK1322" s="1684"/>
      <c r="BL1322" s="1684"/>
      <c r="BM1322" s="1684"/>
      <c r="BN1322" s="1684"/>
      <c r="BO1322" s="1684"/>
      <c r="BP1322" s="1684"/>
      <c r="BQ1322" s="1684"/>
      <c r="BR1322" s="1684"/>
      <c r="BS1322" s="1684"/>
      <c r="BT1322" s="1684"/>
      <c r="BU1322" s="1684"/>
      <c r="BV1322" s="1684"/>
      <c r="BW1322" s="1684"/>
      <c r="BX1322" s="1684"/>
      <c r="BY1322" s="1684"/>
      <c r="BZ1322" s="1684"/>
      <c r="CA1322" s="1684"/>
      <c r="CB1322" s="1684"/>
      <c r="CC1322" s="1684"/>
      <c r="CD1322" s="1684"/>
      <c r="CE1322" s="1684"/>
      <c r="CF1322" s="1684"/>
      <c r="CG1322" s="1684"/>
      <c r="CH1322" s="1684"/>
      <c r="CI1322" s="1684"/>
      <c r="CJ1322" s="1684"/>
      <c r="CK1322" s="1684"/>
      <c r="CL1322" s="1684"/>
      <c r="CM1322" s="1684"/>
      <c r="CN1322" s="1684"/>
      <c r="CO1322" s="1684"/>
    </row>
    <row r="1323" spans="1:93" s="1391" customFormat="1" ht="15" x14ac:dyDescent="0.2">
      <c r="A1323" s="1684"/>
      <c r="B1323" s="1684"/>
      <c r="C1323" s="2013">
        <v>14</v>
      </c>
      <c r="D1323" s="5">
        <v>6.9740000000000002</v>
      </c>
      <c r="E1323">
        <v>220</v>
      </c>
      <c r="F1323">
        <v>244</v>
      </c>
      <c r="G1323">
        <v>267</v>
      </c>
      <c r="H1323">
        <v>291</v>
      </c>
      <c r="I1323">
        <v>314</v>
      </c>
      <c r="J1323">
        <v>337</v>
      </c>
      <c r="K1323">
        <v>360</v>
      </c>
      <c r="L1323">
        <v>384</v>
      </c>
      <c r="M1323">
        <v>406</v>
      </c>
      <c r="N1323">
        <v>430</v>
      </c>
      <c r="O1323">
        <v>453</v>
      </c>
      <c r="P1323">
        <v>476</v>
      </c>
      <c r="Q1323" s="1160">
        <v>18</v>
      </c>
      <c r="R1323"/>
      <c r="S1323" s="1684"/>
      <c r="T1323" s="1684"/>
      <c r="U1323" s="1684"/>
      <c r="V1323" s="1684"/>
      <c r="W1323" s="1684"/>
      <c r="X1323" s="1684"/>
      <c r="Y1323" s="1684"/>
      <c r="Z1323" s="1684"/>
      <c r="AA1323" s="1684"/>
      <c r="AB1323" s="1684"/>
      <c r="AC1323" s="1684"/>
      <c r="AD1323" s="1684"/>
      <c r="AE1323" s="1684"/>
      <c r="AF1323" s="1684"/>
      <c r="AG1323" s="1684"/>
      <c r="AH1323" s="1684"/>
      <c r="AI1323" s="1684"/>
      <c r="AJ1323" s="1684"/>
      <c r="AK1323" s="1684"/>
      <c r="AL1323" s="1684"/>
      <c r="AM1323" s="1684"/>
      <c r="AN1323" s="1684"/>
      <c r="AO1323" s="1684"/>
      <c r="AP1323" s="1684"/>
      <c r="AQ1323" s="1684"/>
      <c r="AR1323" s="1684"/>
      <c r="AS1323" s="1684"/>
      <c r="AT1323" s="1684"/>
      <c r="AU1323" s="1684"/>
      <c r="AV1323" s="1684"/>
      <c r="AW1323" s="1684"/>
      <c r="AX1323" s="1684"/>
      <c r="AY1323" s="1684"/>
      <c r="AZ1323" s="1684"/>
      <c r="BA1323" s="1684"/>
      <c r="BB1323" s="1684"/>
      <c r="BC1323" s="1684"/>
      <c r="BD1323" s="1684"/>
      <c r="BE1323" s="1684"/>
      <c r="BF1323" s="1684"/>
      <c r="BG1323" s="1684"/>
      <c r="BH1323" s="1684"/>
      <c r="BI1323" s="1684"/>
      <c r="BJ1323" s="1684"/>
      <c r="BK1323" s="1684"/>
      <c r="BL1323" s="1684"/>
      <c r="BM1323" s="1684"/>
      <c r="BN1323" s="1684"/>
      <c r="BO1323" s="1684"/>
      <c r="BP1323" s="1684"/>
      <c r="BQ1323" s="1684"/>
      <c r="BR1323" s="1684"/>
      <c r="BS1323" s="1684"/>
      <c r="BT1323" s="1684"/>
      <c r="BU1323" s="1684"/>
      <c r="BV1323" s="1684"/>
      <c r="BW1323" s="1684"/>
      <c r="BX1323" s="1684"/>
      <c r="BY1323" s="1684"/>
      <c r="BZ1323" s="1684"/>
      <c r="CA1323" s="1684"/>
      <c r="CB1323" s="1684"/>
      <c r="CC1323" s="1684"/>
      <c r="CD1323" s="1684"/>
      <c r="CE1323" s="1684"/>
      <c r="CF1323" s="1684"/>
      <c r="CG1323" s="1684"/>
      <c r="CH1323" s="1684"/>
      <c r="CI1323" s="1684"/>
      <c r="CJ1323" s="1684"/>
      <c r="CK1323" s="1684"/>
      <c r="CL1323" s="1684"/>
      <c r="CM1323" s="1684"/>
      <c r="CN1323" s="1684"/>
      <c r="CO1323" s="1684"/>
    </row>
    <row r="1324" spans="1:93" s="1391" customFormat="1" ht="15" x14ac:dyDescent="0.2">
      <c r="A1324" s="1684"/>
      <c r="B1324" s="1684"/>
      <c r="C1324" s="2013">
        <v>15</v>
      </c>
      <c r="D1324" s="5">
        <v>7.3319999999999999</v>
      </c>
      <c r="E1324">
        <v>236</v>
      </c>
      <c r="F1324">
        <v>262</v>
      </c>
      <c r="G1324">
        <v>287</v>
      </c>
      <c r="H1324">
        <v>312</v>
      </c>
      <c r="I1324">
        <v>336</v>
      </c>
      <c r="J1324">
        <v>361</v>
      </c>
      <c r="K1324">
        <v>386</v>
      </c>
      <c r="L1324">
        <v>412</v>
      </c>
      <c r="M1324">
        <v>436</v>
      </c>
      <c r="N1324">
        <v>461</v>
      </c>
      <c r="O1324">
        <v>485</v>
      </c>
      <c r="P1324">
        <v>510</v>
      </c>
      <c r="Q1324" s="1160">
        <v>19</v>
      </c>
      <c r="R1324"/>
      <c r="S1324" s="1684"/>
      <c r="T1324" s="1684"/>
      <c r="U1324" s="1684"/>
      <c r="V1324" s="1684"/>
      <c r="W1324" s="1684"/>
      <c r="X1324" s="1684"/>
      <c r="Y1324" s="1684"/>
      <c r="Z1324" s="1684"/>
      <c r="AA1324" s="1684"/>
      <c r="AB1324" s="1684"/>
      <c r="AC1324" s="1684"/>
      <c r="AD1324" s="1684"/>
      <c r="AE1324" s="1684"/>
      <c r="AF1324" s="1684"/>
      <c r="AG1324" s="1684"/>
      <c r="AH1324" s="1684"/>
      <c r="AI1324" s="1684"/>
      <c r="AJ1324" s="1684"/>
      <c r="AK1324" s="1684"/>
      <c r="AL1324" s="1684"/>
      <c r="AM1324" s="1684"/>
      <c r="AN1324" s="1684"/>
      <c r="AO1324" s="1684"/>
      <c r="AP1324" s="1684"/>
      <c r="AQ1324" s="1684"/>
      <c r="AR1324" s="1684"/>
      <c r="AS1324" s="1684"/>
      <c r="AT1324" s="1684"/>
      <c r="AU1324" s="1684"/>
      <c r="AV1324" s="1684"/>
      <c r="AW1324" s="1684"/>
      <c r="AX1324" s="1684"/>
      <c r="AY1324" s="1684"/>
      <c r="AZ1324" s="1684"/>
      <c r="BA1324" s="1684"/>
      <c r="BB1324" s="1684"/>
      <c r="BC1324" s="1684"/>
      <c r="BD1324" s="1684"/>
      <c r="BE1324" s="1684"/>
      <c r="BF1324" s="1684"/>
      <c r="BG1324" s="1684"/>
      <c r="BH1324" s="1684"/>
      <c r="BI1324" s="1684"/>
      <c r="BJ1324" s="1684"/>
      <c r="BK1324" s="1684"/>
      <c r="BL1324" s="1684"/>
      <c r="BM1324" s="1684"/>
      <c r="BN1324" s="1684"/>
      <c r="BO1324" s="1684"/>
      <c r="BP1324" s="1684"/>
      <c r="BQ1324" s="1684"/>
      <c r="BR1324" s="1684"/>
      <c r="BS1324" s="1684"/>
      <c r="BT1324" s="1684"/>
      <c r="BU1324" s="1684"/>
      <c r="BV1324" s="1684"/>
      <c r="BW1324" s="1684"/>
      <c r="BX1324" s="1684"/>
      <c r="BY1324" s="1684"/>
      <c r="BZ1324" s="1684"/>
      <c r="CA1324" s="1684"/>
      <c r="CB1324" s="1684"/>
      <c r="CC1324" s="1684"/>
      <c r="CD1324" s="1684"/>
      <c r="CE1324" s="1684"/>
      <c r="CF1324" s="1684"/>
      <c r="CG1324" s="1684"/>
      <c r="CH1324" s="1684"/>
      <c r="CI1324" s="1684"/>
      <c r="CJ1324" s="1684"/>
      <c r="CK1324" s="1684"/>
      <c r="CL1324" s="1684"/>
      <c r="CM1324" s="1684"/>
      <c r="CN1324" s="1684"/>
      <c r="CO1324" s="1684"/>
    </row>
    <row r="1325" spans="1:93" s="1391" customFormat="1" ht="15" x14ac:dyDescent="0.2">
      <c r="A1325" s="1684"/>
      <c r="B1325" s="1684"/>
      <c r="C1325" s="2013">
        <v>16</v>
      </c>
      <c r="D1325" s="5">
        <v>7.8129999999999997</v>
      </c>
      <c r="E1325">
        <v>251</v>
      </c>
      <c r="F1325">
        <v>279</v>
      </c>
      <c r="G1325">
        <v>305</v>
      </c>
      <c r="H1325">
        <v>332</v>
      </c>
      <c r="I1325">
        <v>358</v>
      </c>
      <c r="J1325">
        <v>385</v>
      </c>
      <c r="K1325">
        <v>411</v>
      </c>
      <c r="L1325">
        <v>439</v>
      </c>
      <c r="M1325">
        <v>464</v>
      </c>
      <c r="N1325">
        <v>490</v>
      </c>
      <c r="O1325">
        <v>517</v>
      </c>
      <c r="P1325">
        <v>543</v>
      </c>
      <c r="Q1325" s="1160">
        <v>20</v>
      </c>
      <c r="R1325"/>
      <c r="S1325" s="1684"/>
      <c r="T1325" s="1684"/>
      <c r="U1325" s="1684"/>
      <c r="V1325" s="1684"/>
      <c r="W1325" s="1684"/>
      <c r="X1325" s="1684"/>
      <c r="Y1325" s="1684"/>
      <c r="Z1325" s="1684"/>
      <c r="AA1325" s="1684"/>
      <c r="AB1325" s="1684"/>
      <c r="AC1325" s="1684"/>
      <c r="AD1325" s="1684"/>
      <c r="AE1325" s="1684"/>
      <c r="AF1325" s="1684"/>
      <c r="AG1325" s="1684"/>
      <c r="AH1325" s="1684"/>
      <c r="AI1325" s="1684"/>
      <c r="AJ1325" s="1684"/>
      <c r="AK1325" s="1684"/>
      <c r="AL1325" s="1684"/>
      <c r="AM1325" s="1684"/>
      <c r="AN1325" s="1684"/>
      <c r="AO1325" s="1684"/>
      <c r="AP1325" s="1684"/>
      <c r="AQ1325" s="1684"/>
      <c r="AR1325" s="1684"/>
      <c r="AS1325" s="1684"/>
      <c r="AT1325" s="1684"/>
      <c r="AU1325" s="1684"/>
      <c r="AV1325" s="1684"/>
      <c r="AW1325" s="1684"/>
      <c r="AX1325" s="1684"/>
      <c r="AY1325" s="1684"/>
      <c r="AZ1325" s="1684"/>
      <c r="BA1325" s="1684"/>
      <c r="BB1325" s="1684"/>
      <c r="BC1325" s="1684"/>
      <c r="BD1325" s="1684"/>
      <c r="BE1325" s="1684"/>
      <c r="BF1325" s="1684"/>
      <c r="BG1325" s="1684"/>
      <c r="BH1325" s="1684"/>
      <c r="BI1325" s="1684"/>
      <c r="BJ1325" s="1684"/>
      <c r="BK1325" s="1684"/>
      <c r="BL1325" s="1684"/>
      <c r="BM1325" s="1684"/>
      <c r="BN1325" s="1684"/>
      <c r="BO1325" s="1684"/>
      <c r="BP1325" s="1684"/>
      <c r="BQ1325" s="1684"/>
      <c r="BR1325" s="1684"/>
      <c r="BS1325" s="1684"/>
      <c r="BT1325" s="1684"/>
      <c r="BU1325" s="1684"/>
      <c r="BV1325" s="1684"/>
      <c r="BW1325" s="1684"/>
      <c r="BX1325" s="1684"/>
      <c r="BY1325" s="1684"/>
      <c r="BZ1325" s="1684"/>
      <c r="CA1325" s="1684"/>
      <c r="CB1325" s="1684"/>
      <c r="CC1325" s="1684"/>
      <c r="CD1325" s="1684"/>
      <c r="CE1325" s="1684"/>
      <c r="CF1325" s="1684"/>
      <c r="CG1325" s="1684"/>
      <c r="CH1325" s="1684"/>
      <c r="CI1325" s="1684"/>
      <c r="CJ1325" s="1684"/>
      <c r="CK1325" s="1684"/>
      <c r="CL1325" s="1684"/>
      <c r="CM1325" s="1684"/>
      <c r="CN1325" s="1684"/>
      <c r="CO1325" s="1684"/>
    </row>
    <row r="1326" spans="1:93" s="1391" customFormat="1" ht="15" x14ac:dyDescent="0.2">
      <c r="A1326" s="1684"/>
      <c r="B1326" s="1684"/>
      <c r="C1326" s="2013">
        <v>17</v>
      </c>
      <c r="D1326" s="5">
        <v>8.3279999999999994</v>
      </c>
      <c r="E1326">
        <v>265</v>
      </c>
      <c r="F1326">
        <v>294</v>
      </c>
      <c r="G1326">
        <v>322</v>
      </c>
      <c r="H1326">
        <v>350</v>
      </c>
      <c r="I1326">
        <v>378</v>
      </c>
      <c r="J1326">
        <v>406</v>
      </c>
      <c r="K1326">
        <v>434</v>
      </c>
      <c r="L1326">
        <v>463</v>
      </c>
      <c r="M1326">
        <v>490</v>
      </c>
      <c r="N1326">
        <v>518</v>
      </c>
      <c r="O1326">
        <v>545</v>
      </c>
      <c r="P1326">
        <v>573</v>
      </c>
      <c r="Q1326" s="1160">
        <v>21</v>
      </c>
      <c r="R1326"/>
      <c r="S1326" s="1684"/>
      <c r="T1326" s="1684"/>
      <c r="U1326" s="1684"/>
      <c r="V1326" s="1684"/>
      <c r="W1326" s="1684"/>
      <c r="X1326" s="1684"/>
      <c r="Y1326" s="1684"/>
      <c r="Z1326" s="1684"/>
      <c r="AA1326" s="1684"/>
      <c r="AB1326" s="1684"/>
      <c r="AC1326" s="1684"/>
      <c r="AD1326" s="1684"/>
      <c r="AE1326" s="1684"/>
      <c r="AF1326" s="1684"/>
      <c r="AG1326" s="1684"/>
      <c r="AH1326" s="1684"/>
      <c r="AI1326" s="1684"/>
      <c r="AJ1326" s="1684"/>
      <c r="AK1326" s="1684"/>
      <c r="AL1326" s="1684"/>
      <c r="AM1326" s="1684"/>
      <c r="AN1326" s="1684"/>
      <c r="AO1326" s="1684"/>
      <c r="AP1326" s="1684"/>
      <c r="AQ1326" s="1684"/>
      <c r="AR1326" s="1684"/>
      <c r="AS1326" s="1684"/>
      <c r="AT1326" s="1684"/>
      <c r="AU1326" s="1684"/>
      <c r="AV1326" s="1684"/>
      <c r="AW1326" s="1684"/>
      <c r="AX1326" s="1684"/>
      <c r="AY1326" s="1684"/>
      <c r="AZ1326" s="1684"/>
      <c r="BA1326" s="1684"/>
      <c r="BB1326" s="1684"/>
      <c r="BC1326" s="1684"/>
      <c r="BD1326" s="1684"/>
      <c r="BE1326" s="1684"/>
      <c r="BF1326" s="1684"/>
      <c r="BG1326" s="1684"/>
      <c r="BH1326" s="1684"/>
      <c r="BI1326" s="1684"/>
      <c r="BJ1326" s="1684"/>
      <c r="BK1326" s="1684"/>
      <c r="BL1326" s="1684"/>
      <c r="BM1326" s="1684"/>
      <c r="BN1326" s="1684"/>
      <c r="BO1326" s="1684"/>
      <c r="BP1326" s="1684"/>
      <c r="BQ1326" s="1684"/>
      <c r="BR1326" s="1684"/>
      <c r="BS1326" s="1684"/>
      <c r="BT1326" s="1684"/>
      <c r="BU1326" s="1684"/>
      <c r="BV1326" s="1684"/>
      <c r="BW1326" s="1684"/>
      <c r="BX1326" s="1684"/>
      <c r="BY1326" s="1684"/>
      <c r="BZ1326" s="1684"/>
      <c r="CA1326" s="1684"/>
      <c r="CB1326" s="1684"/>
      <c r="CC1326" s="1684"/>
      <c r="CD1326" s="1684"/>
      <c r="CE1326" s="1684"/>
      <c r="CF1326" s="1684"/>
      <c r="CG1326" s="1684"/>
      <c r="CH1326" s="1684"/>
      <c r="CI1326" s="1684"/>
      <c r="CJ1326" s="1684"/>
      <c r="CK1326" s="1684"/>
      <c r="CL1326" s="1684"/>
      <c r="CM1326" s="1684"/>
      <c r="CN1326" s="1684"/>
      <c r="CO1326" s="1684"/>
    </row>
    <row r="1327" spans="1:93" s="1391" customFormat="1" ht="15" x14ac:dyDescent="0.2">
      <c r="A1327" s="1684"/>
      <c r="B1327" s="1684"/>
      <c r="C1327" s="2013">
        <v>18</v>
      </c>
      <c r="D1327" s="5">
        <v>8.6219999999999999</v>
      </c>
      <c r="E1327">
        <v>278</v>
      </c>
      <c r="F1327">
        <v>308</v>
      </c>
      <c r="G1327">
        <v>337</v>
      </c>
      <c r="H1327">
        <v>367</v>
      </c>
      <c r="I1327">
        <v>396</v>
      </c>
      <c r="J1327">
        <v>425</v>
      </c>
      <c r="K1327">
        <v>454</v>
      </c>
      <c r="L1327">
        <v>485</v>
      </c>
      <c r="M1327">
        <v>513</v>
      </c>
      <c r="N1327">
        <v>542</v>
      </c>
      <c r="O1327">
        <v>571</v>
      </c>
      <c r="P1327">
        <v>600</v>
      </c>
      <c r="Q1327" s="1160">
        <v>22</v>
      </c>
      <c r="R1327"/>
      <c r="S1327" s="1684"/>
      <c r="T1327" s="1684"/>
      <c r="U1327" s="1684"/>
      <c r="V1327" s="1684"/>
      <c r="W1327" s="1684"/>
      <c r="X1327" s="1684"/>
      <c r="Y1327" s="1684"/>
      <c r="Z1327" s="1684"/>
      <c r="AA1327" s="1684"/>
      <c r="AB1327" s="1684"/>
      <c r="AC1327" s="1684"/>
      <c r="AD1327" s="1684"/>
      <c r="AE1327" s="1684"/>
      <c r="AF1327" s="1684"/>
      <c r="AG1327" s="1684"/>
      <c r="AH1327" s="1684"/>
      <c r="AI1327" s="1684"/>
      <c r="AJ1327" s="1684"/>
      <c r="AK1327" s="1684"/>
      <c r="AL1327" s="1684"/>
      <c r="AM1327" s="1684"/>
      <c r="AN1327" s="1684"/>
      <c r="AO1327" s="1684"/>
      <c r="AP1327" s="1684"/>
      <c r="AQ1327" s="1684"/>
      <c r="AR1327" s="1684"/>
      <c r="AS1327" s="1684"/>
      <c r="AT1327" s="1684"/>
      <c r="AU1327" s="1684"/>
      <c r="AV1327" s="1684"/>
      <c r="AW1327" s="1684"/>
      <c r="AX1327" s="1684"/>
      <c r="AY1327" s="1684"/>
      <c r="AZ1327" s="1684"/>
      <c r="BA1327" s="1684"/>
      <c r="BB1327" s="1684"/>
      <c r="BC1327" s="1684"/>
      <c r="BD1327" s="1684"/>
      <c r="BE1327" s="1684"/>
      <c r="BF1327" s="1684"/>
      <c r="BG1327" s="1684"/>
      <c r="BH1327" s="1684"/>
      <c r="BI1327" s="1684"/>
      <c r="BJ1327" s="1684"/>
      <c r="BK1327" s="1684"/>
      <c r="BL1327" s="1684"/>
      <c r="BM1327" s="1684"/>
      <c r="BN1327" s="1684"/>
      <c r="BO1327" s="1684"/>
      <c r="BP1327" s="1684"/>
      <c r="BQ1327" s="1684"/>
      <c r="BR1327" s="1684"/>
      <c r="BS1327" s="1684"/>
      <c r="BT1327" s="1684"/>
      <c r="BU1327" s="1684"/>
      <c r="BV1327" s="1684"/>
      <c r="BW1327" s="1684"/>
      <c r="BX1327" s="1684"/>
      <c r="BY1327" s="1684"/>
      <c r="BZ1327" s="1684"/>
      <c r="CA1327" s="1684"/>
      <c r="CB1327" s="1684"/>
      <c r="CC1327" s="1684"/>
      <c r="CD1327" s="1684"/>
      <c r="CE1327" s="1684"/>
      <c r="CF1327" s="1684"/>
      <c r="CG1327" s="1684"/>
      <c r="CH1327" s="1684"/>
      <c r="CI1327" s="1684"/>
      <c r="CJ1327" s="1684"/>
      <c r="CK1327" s="1684"/>
      <c r="CL1327" s="1684"/>
      <c r="CM1327" s="1684"/>
      <c r="CN1327" s="1684"/>
      <c r="CO1327" s="1684"/>
    </row>
    <row r="1328" spans="1:93" s="1391" customFormat="1" ht="15" x14ac:dyDescent="0.2">
      <c r="A1328" s="1684"/>
      <c r="B1328" s="1684"/>
      <c r="C1328" s="4680" t="s">
        <v>3692</v>
      </c>
      <c r="D1328" s="4681"/>
      <c r="E1328" s="4681"/>
      <c r="F1328" s="4681"/>
      <c r="G1328" s="4681"/>
      <c r="H1328" s="4681"/>
      <c r="I1328" s="4681"/>
      <c r="J1328" s="4681"/>
      <c r="K1328" s="4681"/>
      <c r="L1328" s="4681"/>
      <c r="M1328" s="4681"/>
      <c r="N1328" s="4681"/>
      <c r="O1328" s="4681"/>
      <c r="P1328" s="4681"/>
      <c r="Q1328" s="4682"/>
      <c r="R1328"/>
      <c r="S1328" s="1684"/>
      <c r="T1328" s="1684"/>
      <c r="U1328" s="1684"/>
      <c r="V1328" s="1684"/>
      <c r="W1328" s="1684"/>
      <c r="X1328" s="1684"/>
      <c r="Y1328" s="1684"/>
      <c r="Z1328" s="1684"/>
      <c r="AA1328" s="1684"/>
      <c r="AB1328" s="1684"/>
      <c r="AC1328" s="1684"/>
      <c r="AD1328" s="1684"/>
      <c r="AE1328" s="1684"/>
      <c r="AF1328" s="1684"/>
      <c r="AG1328" s="1684"/>
      <c r="AH1328" s="1684"/>
      <c r="AI1328" s="1684"/>
      <c r="AJ1328" s="1684"/>
      <c r="AK1328" s="1684"/>
      <c r="AL1328" s="1684"/>
      <c r="AM1328" s="1684"/>
      <c r="AN1328" s="1684"/>
      <c r="AO1328" s="1684"/>
      <c r="AP1328" s="1684"/>
      <c r="AQ1328" s="1684"/>
      <c r="AR1328" s="1684"/>
      <c r="AS1328" s="1684"/>
      <c r="AT1328" s="1684"/>
      <c r="AU1328" s="1684"/>
      <c r="AV1328" s="1684"/>
      <c r="AW1328" s="1684"/>
      <c r="AX1328" s="1684"/>
      <c r="AY1328" s="1684"/>
      <c r="AZ1328" s="1684"/>
      <c r="BA1328" s="1684"/>
      <c r="BB1328" s="1684"/>
      <c r="BC1328" s="1684"/>
      <c r="BD1328" s="1684"/>
      <c r="BE1328" s="1684"/>
      <c r="BF1328" s="1684"/>
      <c r="BG1328" s="1684"/>
      <c r="BH1328" s="1684"/>
      <c r="BI1328" s="1684"/>
      <c r="BJ1328" s="1684"/>
      <c r="BK1328" s="1684"/>
      <c r="BL1328" s="1684"/>
      <c r="BM1328" s="1684"/>
      <c r="BN1328" s="1684"/>
      <c r="BO1328" s="1684"/>
      <c r="BP1328" s="1684"/>
      <c r="BQ1328" s="1684"/>
      <c r="BR1328" s="1684"/>
      <c r="BS1328" s="1684"/>
      <c r="BT1328" s="1684"/>
      <c r="BU1328" s="1684"/>
      <c r="BV1328" s="1684"/>
      <c r="BW1328" s="1684"/>
      <c r="BX1328" s="1684"/>
      <c r="BY1328" s="1684"/>
      <c r="BZ1328" s="1684"/>
      <c r="CA1328" s="1684"/>
      <c r="CB1328" s="1684"/>
      <c r="CC1328" s="1684"/>
      <c r="CD1328" s="1684"/>
      <c r="CE1328" s="1684"/>
      <c r="CF1328" s="1684"/>
      <c r="CG1328" s="1684"/>
      <c r="CH1328" s="1684"/>
      <c r="CI1328" s="1684"/>
      <c r="CJ1328" s="1684"/>
      <c r="CK1328" s="1684"/>
      <c r="CL1328" s="1684"/>
      <c r="CM1328" s="1684"/>
      <c r="CN1328" s="1684"/>
      <c r="CO1328" s="1684"/>
    </row>
    <row r="1329" spans="1:93" s="1391" customFormat="1" ht="15" x14ac:dyDescent="0.2">
      <c r="A1329" s="1684"/>
      <c r="B1329" s="1684"/>
      <c r="C1329" s="4680"/>
      <c r="D1329" s="4681"/>
      <c r="E1329" s="4681"/>
      <c r="F1329" s="4681"/>
      <c r="G1329" s="4681"/>
      <c r="H1329" s="4681"/>
      <c r="I1329" s="4681"/>
      <c r="J1329" s="4681"/>
      <c r="K1329" s="4681"/>
      <c r="L1329" s="4681"/>
      <c r="M1329" s="4681"/>
      <c r="N1329" s="4681"/>
      <c r="O1329" s="4681"/>
      <c r="P1329" s="4681"/>
      <c r="Q1329" s="4682"/>
      <c r="R1329"/>
      <c r="S1329" s="1684"/>
      <c r="T1329" s="1684"/>
      <c r="U1329" s="1684"/>
      <c r="V1329" s="1684"/>
      <c r="W1329" s="1684"/>
      <c r="X1329" s="1684"/>
      <c r="Y1329" s="1684"/>
      <c r="Z1329" s="1684"/>
      <c r="AA1329" s="1684"/>
      <c r="AB1329" s="1684"/>
      <c r="AC1329" s="1684"/>
      <c r="AD1329" s="1684"/>
      <c r="AE1329" s="1684"/>
      <c r="AF1329" s="1684"/>
      <c r="AG1329" s="1684"/>
      <c r="AH1329" s="1684"/>
      <c r="AI1329" s="1684"/>
      <c r="AJ1329" s="1684"/>
      <c r="AK1329" s="1684"/>
      <c r="AL1329" s="1684"/>
      <c r="AM1329" s="1684"/>
      <c r="AN1329" s="1684"/>
      <c r="AO1329" s="1684"/>
      <c r="AP1329" s="1684"/>
      <c r="AQ1329" s="1684"/>
      <c r="AR1329" s="1684"/>
      <c r="AS1329" s="1684"/>
      <c r="AT1329" s="1684"/>
      <c r="AU1329" s="1684"/>
      <c r="AV1329" s="1684"/>
      <c r="AW1329" s="1684"/>
      <c r="AX1329" s="1684"/>
      <c r="AY1329" s="1684"/>
      <c r="AZ1329" s="1684"/>
      <c r="BA1329" s="1684"/>
      <c r="BB1329" s="1684"/>
      <c r="BC1329" s="1684"/>
      <c r="BD1329" s="1684"/>
      <c r="BE1329" s="1684"/>
      <c r="BF1329" s="1684"/>
      <c r="BG1329" s="1684"/>
      <c r="BH1329" s="1684"/>
      <c r="BI1329" s="1684"/>
      <c r="BJ1329" s="1684"/>
      <c r="BK1329" s="1684"/>
      <c r="BL1329" s="1684"/>
      <c r="BM1329" s="1684"/>
      <c r="BN1329" s="1684"/>
      <c r="BO1329" s="1684"/>
      <c r="BP1329" s="1684"/>
      <c r="BQ1329" s="1684"/>
      <c r="BR1329" s="1684"/>
      <c r="BS1329" s="1684"/>
      <c r="BT1329" s="1684"/>
      <c r="BU1329" s="1684"/>
      <c r="BV1329" s="1684"/>
      <c r="BW1329" s="1684"/>
      <c r="BX1329" s="1684"/>
      <c r="BY1329" s="1684"/>
      <c r="BZ1329" s="1684"/>
      <c r="CA1329" s="1684"/>
      <c r="CB1329" s="1684"/>
      <c r="CC1329" s="1684"/>
      <c r="CD1329" s="1684"/>
      <c r="CE1329" s="1684"/>
      <c r="CF1329" s="1684"/>
      <c r="CG1329" s="1684"/>
      <c r="CH1329" s="1684"/>
      <c r="CI1329" s="1684"/>
      <c r="CJ1329" s="1684"/>
      <c r="CK1329" s="1684"/>
      <c r="CL1329" s="1684"/>
      <c r="CM1329" s="1684"/>
      <c r="CN1329" s="1684"/>
      <c r="CO1329" s="1684"/>
    </row>
    <row r="1330" spans="1:93" s="1391" customFormat="1" ht="15" x14ac:dyDescent="0.2">
      <c r="A1330" s="1684"/>
      <c r="B1330" s="1684"/>
      <c r="C1330" s="2014"/>
      <c r="D1330" s="2015"/>
      <c r="E1330" s="2015">
        <v>1</v>
      </c>
      <c r="F1330" s="2015">
        <v>2</v>
      </c>
      <c r="G1330" s="2015">
        <v>3</v>
      </c>
      <c r="H1330" s="2015">
        <v>4</v>
      </c>
      <c r="I1330" s="2015">
        <v>5</v>
      </c>
      <c r="J1330" s="2015">
        <v>6</v>
      </c>
      <c r="K1330" s="2015">
        <v>7</v>
      </c>
      <c r="L1330" s="2015">
        <v>8</v>
      </c>
      <c r="M1330" s="2015">
        <v>9</v>
      </c>
      <c r="N1330" s="2015">
        <v>10</v>
      </c>
      <c r="O1330" s="2015">
        <v>11</v>
      </c>
      <c r="P1330" s="2015">
        <v>12</v>
      </c>
      <c r="Q1330" s="2016"/>
      <c r="R1330"/>
      <c r="S1330" s="1684"/>
      <c r="T1330" s="1684"/>
      <c r="U1330" s="1684"/>
      <c r="V1330" s="1684"/>
      <c r="W1330" s="1684"/>
      <c r="X1330" s="1684"/>
      <c r="Y1330" s="1684"/>
      <c r="Z1330" s="1684"/>
      <c r="AA1330" s="1684"/>
      <c r="AB1330" s="1684"/>
      <c r="AC1330" s="1684"/>
      <c r="AD1330" s="1684"/>
      <c r="AE1330" s="1684"/>
      <c r="AF1330" s="1684"/>
      <c r="AG1330" s="1684"/>
      <c r="AH1330" s="1684"/>
      <c r="AI1330" s="1684"/>
      <c r="AJ1330" s="1684"/>
      <c r="AK1330" s="1684"/>
      <c r="AL1330" s="1684"/>
      <c r="AM1330" s="1684"/>
      <c r="AN1330" s="1684"/>
      <c r="AO1330" s="1684"/>
      <c r="AP1330" s="1684"/>
      <c r="AQ1330" s="1684"/>
      <c r="AR1330" s="1684"/>
      <c r="AS1330" s="1684"/>
      <c r="AT1330" s="1684"/>
      <c r="AU1330" s="1684"/>
      <c r="AV1330" s="1684"/>
      <c r="AW1330" s="1684"/>
      <c r="AX1330" s="1684"/>
      <c r="AY1330" s="1684"/>
      <c r="AZ1330" s="1684"/>
      <c r="BA1330" s="1684"/>
      <c r="BB1330" s="1684"/>
      <c r="BC1330" s="1684"/>
      <c r="BD1330" s="1684"/>
      <c r="BE1330" s="1684"/>
      <c r="BF1330" s="1684"/>
      <c r="BG1330" s="1684"/>
      <c r="BH1330" s="1684"/>
      <c r="BI1330" s="1684"/>
      <c r="BJ1330" s="1684"/>
      <c r="BK1330" s="1684"/>
      <c r="BL1330" s="1684"/>
      <c r="BM1330" s="1684"/>
      <c r="BN1330" s="1684"/>
      <c r="BO1330" s="1684"/>
      <c r="BP1330" s="1684"/>
      <c r="BQ1330" s="1684"/>
      <c r="BR1330" s="1684"/>
      <c r="BS1330" s="1684"/>
      <c r="BT1330" s="1684"/>
      <c r="BU1330" s="1684"/>
      <c r="BV1330" s="1684"/>
      <c r="BW1330" s="1684"/>
      <c r="BX1330" s="1684"/>
      <c r="BY1330" s="1684"/>
      <c r="BZ1330" s="1684"/>
      <c r="CA1330" s="1684"/>
      <c r="CB1330" s="1684"/>
      <c r="CC1330" s="1684"/>
      <c r="CD1330" s="1684"/>
      <c r="CE1330" s="1684"/>
      <c r="CF1330" s="1684"/>
      <c r="CG1330" s="1684"/>
      <c r="CH1330" s="1684"/>
      <c r="CI1330" s="1684"/>
      <c r="CJ1330" s="1684"/>
      <c r="CK1330" s="1684"/>
      <c r="CL1330" s="1684"/>
      <c r="CM1330" s="1684"/>
      <c r="CN1330" s="1684"/>
      <c r="CO1330" s="1684"/>
    </row>
    <row r="1331" spans="1:93" s="1391" customFormat="1" ht="15" x14ac:dyDescent="0.2">
      <c r="A1331" s="1684"/>
      <c r="B1331" s="1684"/>
      <c r="C1331" s="2013">
        <v>8</v>
      </c>
      <c r="D1331" s="5">
        <v>5.1970000000000001</v>
      </c>
      <c r="E1331">
        <v>138</v>
      </c>
      <c r="F1331">
        <v>154</v>
      </c>
      <c r="G1331">
        <v>168</v>
      </c>
      <c r="H1331">
        <v>183</v>
      </c>
      <c r="I1331">
        <v>197</v>
      </c>
      <c r="J1331">
        <v>212</v>
      </c>
      <c r="K1331">
        <v>226</v>
      </c>
      <c r="L1331">
        <v>242</v>
      </c>
      <c r="M1331">
        <v>255</v>
      </c>
      <c r="N1331">
        <v>270</v>
      </c>
      <c r="O1331">
        <v>284</v>
      </c>
      <c r="P1331">
        <v>299</v>
      </c>
      <c r="Q1331" s="1160">
        <v>23</v>
      </c>
      <c r="R1331"/>
      <c r="S1331" s="1684"/>
      <c r="T1331" s="1684"/>
      <c r="U1331" s="1684"/>
      <c r="V1331" s="1684"/>
      <c r="W1331" s="1684"/>
      <c r="X1331" s="1684"/>
      <c r="Y1331" s="1684"/>
      <c r="Z1331" s="1684"/>
      <c r="AA1331" s="1684"/>
      <c r="AB1331" s="1684"/>
      <c r="AC1331" s="1684"/>
      <c r="AD1331" s="1684"/>
      <c r="AE1331" s="1684"/>
      <c r="AF1331" s="1684"/>
      <c r="AG1331" s="1684"/>
      <c r="AH1331" s="1684"/>
      <c r="AI1331" s="1684"/>
      <c r="AJ1331" s="1684"/>
      <c r="AK1331" s="1684"/>
      <c r="AL1331" s="1684"/>
      <c r="AM1331" s="1684"/>
      <c r="AN1331" s="1684"/>
      <c r="AO1331" s="1684"/>
      <c r="AP1331" s="1684"/>
      <c r="AQ1331" s="1684"/>
      <c r="AR1331" s="1684"/>
      <c r="AS1331" s="1684"/>
      <c r="AT1331" s="1684"/>
      <c r="AU1331" s="1684"/>
      <c r="AV1331" s="1684"/>
      <c r="AW1331" s="1684"/>
      <c r="AX1331" s="1684"/>
      <c r="AY1331" s="1684"/>
      <c r="AZ1331" s="1684"/>
      <c r="BA1331" s="1684"/>
      <c r="BB1331" s="1684"/>
      <c r="BC1331" s="1684"/>
      <c r="BD1331" s="1684"/>
      <c r="BE1331" s="1684"/>
      <c r="BF1331" s="1684"/>
      <c r="BG1331" s="1684"/>
      <c r="BH1331" s="1684"/>
      <c r="BI1331" s="1684"/>
      <c r="BJ1331" s="1684"/>
      <c r="BK1331" s="1684"/>
      <c r="BL1331" s="1684"/>
      <c r="BM1331" s="1684"/>
      <c r="BN1331" s="1684"/>
      <c r="BO1331" s="1684"/>
      <c r="BP1331" s="1684"/>
      <c r="BQ1331" s="1684"/>
      <c r="BR1331" s="1684"/>
      <c r="BS1331" s="1684"/>
      <c r="BT1331" s="1684"/>
      <c r="BU1331" s="1684"/>
      <c r="BV1331" s="1684"/>
      <c r="BW1331" s="1684"/>
      <c r="BX1331" s="1684"/>
      <c r="BY1331" s="1684"/>
      <c r="BZ1331" s="1684"/>
      <c r="CA1331" s="1684"/>
      <c r="CB1331" s="1684"/>
      <c r="CC1331" s="1684"/>
      <c r="CD1331" s="1684"/>
      <c r="CE1331" s="1684"/>
      <c r="CF1331" s="1684"/>
      <c r="CG1331" s="1684"/>
      <c r="CH1331" s="1684"/>
      <c r="CI1331" s="1684"/>
      <c r="CJ1331" s="1684"/>
      <c r="CK1331" s="1684"/>
      <c r="CL1331" s="1684"/>
      <c r="CM1331" s="1684"/>
      <c r="CN1331" s="1684"/>
      <c r="CO1331" s="1684"/>
    </row>
    <row r="1332" spans="1:93" s="1391" customFormat="1" ht="15" x14ac:dyDescent="0.2">
      <c r="A1332" s="1684"/>
      <c r="B1332" s="1684"/>
      <c r="C1332" s="2013">
        <v>9</v>
      </c>
      <c r="D1332" s="5">
        <v>5.4930000000000003</v>
      </c>
      <c r="E1332">
        <v>152</v>
      </c>
      <c r="F1332">
        <v>169</v>
      </c>
      <c r="G1332">
        <v>184</v>
      </c>
      <c r="H1332">
        <v>200</v>
      </c>
      <c r="I1332">
        <v>216</v>
      </c>
      <c r="J1332">
        <v>232</v>
      </c>
      <c r="K1332">
        <v>248</v>
      </c>
      <c r="L1332">
        <v>265</v>
      </c>
      <c r="M1332">
        <v>280</v>
      </c>
      <c r="N1332">
        <v>296</v>
      </c>
      <c r="O1332">
        <v>312</v>
      </c>
      <c r="P1332">
        <v>328</v>
      </c>
      <c r="Q1332" s="1160">
        <v>24</v>
      </c>
      <c r="R1332"/>
      <c r="S1332" s="1684"/>
      <c r="T1332" s="1684"/>
      <c r="U1332" s="1684"/>
      <c r="V1332" s="1684"/>
      <c r="W1332" s="1684"/>
      <c r="X1332" s="1684"/>
      <c r="Y1332" s="1684"/>
      <c r="Z1332" s="1684"/>
      <c r="AA1332" s="1684"/>
      <c r="AB1332" s="1684"/>
      <c r="AC1332" s="1684"/>
      <c r="AD1332" s="1684"/>
      <c r="AE1332" s="1684"/>
      <c r="AF1332" s="1684"/>
      <c r="AG1332" s="1684"/>
      <c r="AH1332" s="1684"/>
      <c r="AI1332" s="1684"/>
      <c r="AJ1332" s="1684"/>
      <c r="AK1332" s="1684"/>
      <c r="AL1332" s="1684"/>
      <c r="AM1332" s="1684"/>
      <c r="AN1332" s="1684"/>
      <c r="AO1332" s="1684"/>
      <c r="AP1332" s="1684"/>
      <c r="AQ1332" s="1684"/>
      <c r="AR1332" s="1684"/>
      <c r="AS1332" s="1684"/>
      <c r="AT1332" s="1684"/>
      <c r="AU1332" s="1684"/>
      <c r="AV1332" s="1684"/>
      <c r="AW1332" s="1684"/>
      <c r="AX1332" s="1684"/>
      <c r="AY1332" s="1684"/>
      <c r="AZ1332" s="1684"/>
      <c r="BA1332" s="1684"/>
      <c r="BB1332" s="1684"/>
      <c r="BC1332" s="1684"/>
      <c r="BD1332" s="1684"/>
      <c r="BE1332" s="1684"/>
      <c r="BF1332" s="1684"/>
      <c r="BG1332" s="1684"/>
      <c r="BH1332" s="1684"/>
      <c r="BI1332" s="1684"/>
      <c r="BJ1332" s="1684"/>
      <c r="BK1332" s="1684"/>
      <c r="BL1332" s="1684"/>
      <c r="BM1332" s="1684"/>
      <c r="BN1332" s="1684"/>
      <c r="BO1332" s="1684"/>
      <c r="BP1332" s="1684"/>
      <c r="BQ1332" s="1684"/>
      <c r="BR1332" s="1684"/>
      <c r="BS1332" s="1684"/>
      <c r="BT1332" s="1684"/>
      <c r="BU1332" s="1684"/>
      <c r="BV1332" s="1684"/>
      <c r="BW1332" s="1684"/>
      <c r="BX1332" s="1684"/>
      <c r="BY1332" s="1684"/>
      <c r="BZ1332" s="1684"/>
      <c r="CA1332" s="1684"/>
      <c r="CB1332" s="1684"/>
      <c r="CC1332" s="1684"/>
      <c r="CD1332" s="1684"/>
      <c r="CE1332" s="1684"/>
      <c r="CF1332" s="1684"/>
      <c r="CG1332" s="1684"/>
      <c r="CH1332" s="1684"/>
      <c r="CI1332" s="1684"/>
      <c r="CJ1332" s="1684"/>
      <c r="CK1332" s="1684"/>
      <c r="CL1332" s="1684"/>
      <c r="CM1332" s="1684"/>
      <c r="CN1332" s="1684"/>
      <c r="CO1332" s="1684"/>
    </row>
    <row r="1333" spans="1:93" s="1391" customFormat="1" ht="15" x14ac:dyDescent="0.2">
      <c r="A1333" s="1684"/>
      <c r="B1333" s="1684"/>
      <c r="C1333" s="2013">
        <v>10</v>
      </c>
      <c r="D1333" s="5">
        <v>5.8010000000000002</v>
      </c>
      <c r="E1333">
        <v>166</v>
      </c>
      <c r="F1333">
        <v>184</v>
      </c>
      <c r="G1333">
        <v>202</v>
      </c>
      <c r="H1333">
        <v>219</v>
      </c>
      <c r="I1333">
        <v>236</v>
      </c>
      <c r="J1333">
        <v>254</v>
      </c>
      <c r="K1333">
        <v>271</v>
      </c>
      <c r="L1333">
        <v>290</v>
      </c>
      <c r="M1333">
        <v>306</v>
      </c>
      <c r="N1333">
        <v>324</v>
      </c>
      <c r="O1333">
        <v>341</v>
      </c>
      <c r="P1333">
        <v>359</v>
      </c>
      <c r="Q1333" s="1160">
        <v>25</v>
      </c>
      <c r="R1333"/>
      <c r="S1333" s="1684"/>
      <c r="T1333" s="1684"/>
      <c r="U1333" s="1684"/>
      <c r="V1333" s="1684"/>
      <c r="W1333" s="1684"/>
      <c r="X1333" s="1684"/>
      <c r="Y1333" s="1684"/>
      <c r="Z1333" s="1684"/>
      <c r="AA1333" s="1684"/>
      <c r="AB1333" s="1684"/>
      <c r="AC1333" s="1684"/>
      <c r="AD1333" s="1684"/>
      <c r="AE1333" s="1684"/>
      <c r="AF1333" s="1684"/>
      <c r="AG1333" s="1684"/>
      <c r="AH1333" s="1684"/>
      <c r="AI1333" s="1684"/>
      <c r="AJ1333" s="1684"/>
      <c r="AK1333" s="1684"/>
      <c r="AL1333" s="1684"/>
      <c r="AM1333" s="1684"/>
      <c r="AN1333" s="1684"/>
      <c r="AO1333" s="1684"/>
      <c r="AP1333" s="1684"/>
      <c r="AQ1333" s="1684"/>
      <c r="AR1333" s="1684"/>
      <c r="AS1333" s="1684"/>
      <c r="AT1333" s="1684"/>
      <c r="AU1333" s="1684"/>
      <c r="AV1333" s="1684"/>
      <c r="AW1333" s="1684"/>
      <c r="AX1333" s="1684"/>
      <c r="AY1333" s="1684"/>
      <c r="AZ1333" s="1684"/>
      <c r="BA1333" s="1684"/>
      <c r="BB1333" s="1684"/>
      <c r="BC1333" s="1684"/>
      <c r="BD1333" s="1684"/>
      <c r="BE1333" s="1684"/>
      <c r="BF1333" s="1684"/>
      <c r="BG1333" s="1684"/>
      <c r="BH1333" s="1684"/>
      <c r="BI1333" s="1684"/>
      <c r="BJ1333" s="1684"/>
      <c r="BK1333" s="1684"/>
      <c r="BL1333" s="1684"/>
      <c r="BM1333" s="1684"/>
      <c r="BN1333" s="1684"/>
      <c r="BO1333" s="1684"/>
      <c r="BP1333" s="1684"/>
      <c r="BQ1333" s="1684"/>
      <c r="BR1333" s="1684"/>
      <c r="BS1333" s="1684"/>
      <c r="BT1333" s="1684"/>
      <c r="BU1333" s="1684"/>
      <c r="BV1333" s="1684"/>
      <c r="BW1333" s="1684"/>
      <c r="BX1333" s="1684"/>
      <c r="BY1333" s="1684"/>
      <c r="BZ1333" s="1684"/>
      <c r="CA1333" s="1684"/>
      <c r="CB1333" s="1684"/>
      <c r="CC1333" s="1684"/>
      <c r="CD1333" s="1684"/>
      <c r="CE1333" s="1684"/>
      <c r="CF1333" s="1684"/>
      <c r="CG1333" s="1684"/>
      <c r="CH1333" s="1684"/>
      <c r="CI1333" s="1684"/>
      <c r="CJ1333" s="1684"/>
      <c r="CK1333" s="1684"/>
      <c r="CL1333" s="1684"/>
      <c r="CM1333" s="1684"/>
      <c r="CN1333" s="1684"/>
      <c r="CO1333" s="1684"/>
    </row>
    <row r="1334" spans="1:93" s="1391" customFormat="1" ht="15" x14ac:dyDescent="0.2">
      <c r="A1334" s="1684"/>
      <c r="B1334" s="1684"/>
      <c r="C1334" s="2013">
        <v>11</v>
      </c>
      <c r="D1334" s="5">
        <v>6.1420000000000003</v>
      </c>
      <c r="E1334">
        <v>181</v>
      </c>
      <c r="F1334">
        <v>201</v>
      </c>
      <c r="G1334">
        <v>220</v>
      </c>
      <c r="H1334">
        <v>239</v>
      </c>
      <c r="I1334">
        <v>258</v>
      </c>
      <c r="J1334">
        <v>278</v>
      </c>
      <c r="K1334">
        <v>297</v>
      </c>
      <c r="L1334">
        <v>317</v>
      </c>
      <c r="M1334">
        <v>333</v>
      </c>
      <c r="N1334">
        <v>354</v>
      </c>
      <c r="O1334">
        <v>373</v>
      </c>
      <c r="P1334">
        <v>392</v>
      </c>
      <c r="Q1334" s="1160">
        <v>26</v>
      </c>
      <c r="R1334"/>
      <c r="S1334" s="1684"/>
      <c r="T1334" s="1684"/>
      <c r="U1334" s="1684"/>
      <c r="V1334" s="1684"/>
      <c r="W1334" s="1684"/>
      <c r="X1334" s="1684"/>
      <c r="Y1334" s="1684"/>
      <c r="Z1334" s="1684"/>
      <c r="AA1334" s="1684"/>
      <c r="AB1334" s="1684"/>
      <c r="AC1334" s="1684"/>
      <c r="AD1334" s="1684"/>
      <c r="AE1334" s="1684"/>
      <c r="AF1334" s="1684"/>
      <c r="AG1334" s="1684"/>
      <c r="AH1334" s="1684"/>
      <c r="AI1334" s="1684"/>
      <c r="AJ1334" s="1684"/>
      <c r="AK1334" s="1684"/>
      <c r="AL1334" s="1684"/>
      <c r="AM1334" s="1684"/>
      <c r="AN1334" s="1684"/>
      <c r="AO1334" s="1684"/>
      <c r="AP1334" s="1684"/>
      <c r="AQ1334" s="1684"/>
      <c r="AR1334" s="1684"/>
      <c r="AS1334" s="1684"/>
      <c r="AT1334" s="1684"/>
      <c r="AU1334" s="1684"/>
      <c r="AV1334" s="1684"/>
      <c r="AW1334" s="1684"/>
      <c r="AX1334" s="1684"/>
      <c r="AY1334" s="1684"/>
      <c r="AZ1334" s="1684"/>
      <c r="BA1334" s="1684"/>
      <c r="BB1334" s="1684"/>
      <c r="BC1334" s="1684"/>
      <c r="BD1334" s="1684"/>
      <c r="BE1334" s="1684"/>
      <c r="BF1334" s="1684"/>
      <c r="BG1334" s="1684"/>
      <c r="BH1334" s="1684"/>
      <c r="BI1334" s="1684"/>
      <c r="BJ1334" s="1684"/>
      <c r="BK1334" s="1684"/>
      <c r="BL1334" s="1684"/>
      <c r="BM1334" s="1684"/>
      <c r="BN1334" s="1684"/>
      <c r="BO1334" s="1684"/>
      <c r="BP1334" s="1684"/>
      <c r="BQ1334" s="1684"/>
      <c r="BR1334" s="1684"/>
      <c r="BS1334" s="1684"/>
      <c r="BT1334" s="1684"/>
      <c r="BU1334" s="1684"/>
      <c r="BV1334" s="1684"/>
      <c r="BW1334" s="1684"/>
      <c r="BX1334" s="1684"/>
      <c r="BY1334" s="1684"/>
      <c r="BZ1334" s="1684"/>
      <c r="CA1334" s="1684"/>
      <c r="CB1334" s="1684"/>
      <c r="CC1334" s="1684"/>
      <c r="CD1334" s="1684"/>
      <c r="CE1334" s="1684"/>
      <c r="CF1334" s="1684"/>
      <c r="CG1334" s="1684"/>
      <c r="CH1334" s="1684"/>
      <c r="CI1334" s="1684"/>
      <c r="CJ1334" s="1684"/>
      <c r="CK1334" s="1684"/>
      <c r="CL1334" s="1684"/>
      <c r="CM1334" s="1684"/>
      <c r="CN1334" s="1684"/>
      <c r="CO1334" s="1684"/>
    </row>
    <row r="1335" spans="1:93" s="1391" customFormat="1" ht="15" x14ac:dyDescent="0.2">
      <c r="A1335" s="1684"/>
      <c r="B1335" s="1684"/>
      <c r="C1335" s="2013">
        <v>12</v>
      </c>
      <c r="D1335" s="5">
        <v>6.694</v>
      </c>
      <c r="E1335">
        <v>197</v>
      </c>
      <c r="F1335">
        <v>219</v>
      </c>
      <c r="G1335">
        <v>240</v>
      </c>
      <c r="H1335">
        <v>260</v>
      </c>
      <c r="I1335">
        <v>281</v>
      </c>
      <c r="J1335">
        <v>302</v>
      </c>
      <c r="K1335">
        <v>323</v>
      </c>
      <c r="L1335">
        <v>344</v>
      </c>
      <c r="M1335">
        <v>364</v>
      </c>
      <c r="N1335">
        <v>385</v>
      </c>
      <c r="O1335">
        <v>406</v>
      </c>
      <c r="P1335">
        <v>426</v>
      </c>
      <c r="Q1335" s="1160">
        <v>27</v>
      </c>
      <c r="R1335"/>
      <c r="S1335" s="1684"/>
      <c r="T1335" s="1684"/>
      <c r="U1335" s="1684"/>
      <c r="V1335" s="1684"/>
      <c r="W1335" s="1684"/>
      <c r="X1335" s="1684"/>
      <c r="Y1335" s="1684"/>
      <c r="Z1335" s="1684"/>
      <c r="AA1335" s="1684"/>
      <c r="AB1335" s="1684"/>
      <c r="AC1335" s="1684"/>
      <c r="AD1335" s="1684"/>
      <c r="AE1335" s="1684"/>
      <c r="AF1335" s="1684"/>
      <c r="AG1335" s="1684"/>
      <c r="AH1335" s="1684"/>
      <c r="AI1335" s="1684"/>
      <c r="AJ1335" s="1684"/>
      <c r="AK1335" s="1684"/>
      <c r="AL1335" s="1684"/>
      <c r="AM1335" s="1684"/>
      <c r="AN1335" s="1684"/>
      <c r="AO1335" s="1684"/>
      <c r="AP1335" s="1684"/>
      <c r="AQ1335" s="1684"/>
      <c r="AR1335" s="1684"/>
      <c r="AS1335" s="1684"/>
      <c r="AT1335" s="1684"/>
      <c r="AU1335" s="1684"/>
      <c r="AV1335" s="1684"/>
      <c r="AW1335" s="1684"/>
      <c r="AX1335" s="1684"/>
      <c r="AY1335" s="1684"/>
      <c r="AZ1335" s="1684"/>
      <c r="BA1335" s="1684"/>
      <c r="BB1335" s="1684"/>
      <c r="BC1335" s="1684"/>
      <c r="BD1335" s="1684"/>
      <c r="BE1335" s="1684"/>
      <c r="BF1335" s="1684"/>
      <c r="BG1335" s="1684"/>
      <c r="BH1335" s="1684"/>
      <c r="BI1335" s="1684"/>
      <c r="BJ1335" s="1684"/>
      <c r="BK1335" s="1684"/>
      <c r="BL1335" s="1684"/>
      <c r="BM1335" s="1684"/>
      <c r="BN1335" s="1684"/>
      <c r="BO1335" s="1684"/>
      <c r="BP1335" s="1684"/>
      <c r="BQ1335" s="1684"/>
      <c r="BR1335" s="1684"/>
      <c r="BS1335" s="1684"/>
      <c r="BT1335" s="1684"/>
      <c r="BU1335" s="1684"/>
      <c r="BV1335" s="1684"/>
      <c r="BW1335" s="1684"/>
      <c r="BX1335" s="1684"/>
      <c r="BY1335" s="1684"/>
      <c r="BZ1335" s="1684"/>
      <c r="CA1335" s="1684"/>
      <c r="CB1335" s="1684"/>
      <c r="CC1335" s="1684"/>
      <c r="CD1335" s="1684"/>
      <c r="CE1335" s="1684"/>
      <c r="CF1335" s="1684"/>
      <c r="CG1335" s="1684"/>
      <c r="CH1335" s="1684"/>
      <c r="CI1335" s="1684"/>
      <c r="CJ1335" s="1684"/>
      <c r="CK1335" s="1684"/>
      <c r="CL1335" s="1684"/>
      <c r="CM1335" s="1684"/>
      <c r="CN1335" s="1684"/>
      <c r="CO1335" s="1684"/>
    </row>
    <row r="1336" spans="1:93" s="1391" customFormat="1" ht="15" x14ac:dyDescent="0.2">
      <c r="A1336" s="1684"/>
      <c r="B1336" s="1684"/>
      <c r="C1336" s="2013">
        <v>13</v>
      </c>
      <c r="D1336" s="5">
        <v>6.8490000000000002</v>
      </c>
      <c r="E1336">
        <v>213</v>
      </c>
      <c r="F1336">
        <v>237</v>
      </c>
      <c r="G1336">
        <v>259</v>
      </c>
      <c r="H1336">
        <v>281</v>
      </c>
      <c r="I1336">
        <v>304</v>
      </c>
      <c r="J1336">
        <v>326</v>
      </c>
      <c r="K1336">
        <v>349</v>
      </c>
      <c r="L1336">
        <v>372</v>
      </c>
      <c r="M1336">
        <v>394</v>
      </c>
      <c r="N1336">
        <v>416</v>
      </c>
      <c r="O1336">
        <v>438</v>
      </c>
      <c r="P1336">
        <v>461</v>
      </c>
      <c r="Q1336" s="1160">
        <v>28</v>
      </c>
      <c r="R1336"/>
      <c r="S1336" s="1684"/>
      <c r="T1336" s="1684"/>
      <c r="U1336" s="1684"/>
      <c r="V1336" s="1684"/>
      <c r="W1336" s="1684"/>
      <c r="X1336" s="1684"/>
      <c r="Y1336" s="1684"/>
      <c r="Z1336" s="1684"/>
      <c r="AA1336" s="1684"/>
      <c r="AB1336" s="1684"/>
      <c r="AC1336" s="1684"/>
      <c r="AD1336" s="1684"/>
      <c r="AE1336" s="1684"/>
      <c r="AF1336" s="1684"/>
      <c r="AG1336" s="1684"/>
      <c r="AH1336" s="1684"/>
      <c r="AI1336" s="1684"/>
      <c r="AJ1336" s="1684"/>
      <c r="AK1336" s="1684"/>
      <c r="AL1336" s="1684"/>
      <c r="AM1336" s="1684"/>
      <c r="AN1336" s="1684"/>
      <c r="AO1336" s="1684"/>
      <c r="AP1336" s="1684"/>
      <c r="AQ1336" s="1684"/>
      <c r="AR1336" s="1684"/>
      <c r="AS1336" s="1684"/>
      <c r="AT1336" s="1684"/>
      <c r="AU1336" s="1684"/>
      <c r="AV1336" s="1684"/>
      <c r="AW1336" s="1684"/>
      <c r="AX1336" s="1684"/>
      <c r="AY1336" s="1684"/>
      <c r="AZ1336" s="1684"/>
      <c r="BA1336" s="1684"/>
      <c r="BB1336" s="1684"/>
      <c r="BC1336" s="1684"/>
      <c r="BD1336" s="1684"/>
      <c r="BE1336" s="1684"/>
      <c r="BF1336" s="1684"/>
      <c r="BG1336" s="1684"/>
      <c r="BH1336" s="1684"/>
      <c r="BI1336" s="1684"/>
      <c r="BJ1336" s="1684"/>
      <c r="BK1336" s="1684"/>
      <c r="BL1336" s="1684"/>
      <c r="BM1336" s="1684"/>
      <c r="BN1336" s="1684"/>
      <c r="BO1336" s="1684"/>
      <c r="BP1336" s="1684"/>
      <c r="BQ1336" s="1684"/>
      <c r="BR1336" s="1684"/>
      <c r="BS1336" s="1684"/>
      <c r="BT1336" s="1684"/>
      <c r="BU1336" s="1684"/>
      <c r="BV1336" s="1684"/>
      <c r="BW1336" s="1684"/>
      <c r="BX1336" s="1684"/>
      <c r="BY1336" s="1684"/>
      <c r="BZ1336" s="1684"/>
      <c r="CA1336" s="1684"/>
      <c r="CB1336" s="1684"/>
      <c r="CC1336" s="1684"/>
      <c r="CD1336" s="1684"/>
      <c r="CE1336" s="1684"/>
      <c r="CF1336" s="1684"/>
      <c r="CG1336" s="1684"/>
      <c r="CH1336" s="1684"/>
      <c r="CI1336" s="1684"/>
      <c r="CJ1336" s="1684"/>
      <c r="CK1336" s="1684"/>
      <c r="CL1336" s="1684"/>
      <c r="CM1336" s="1684"/>
      <c r="CN1336" s="1684"/>
      <c r="CO1336" s="1684"/>
    </row>
    <row r="1337" spans="1:93" s="1391" customFormat="1" ht="15" x14ac:dyDescent="0.2">
      <c r="A1337" s="1684"/>
      <c r="B1337" s="1684"/>
      <c r="C1337" s="2013">
        <v>14</v>
      </c>
      <c r="D1337" s="5">
        <v>7.218</v>
      </c>
      <c r="E1337">
        <v>230</v>
      </c>
      <c r="F1337">
        <v>255</v>
      </c>
      <c r="G1337">
        <v>279</v>
      </c>
      <c r="H1337">
        <v>303</v>
      </c>
      <c r="I1337">
        <v>327</v>
      </c>
      <c r="J1337">
        <v>352</v>
      </c>
      <c r="K1337">
        <v>376</v>
      </c>
      <c r="L1337">
        <v>401</v>
      </c>
      <c r="M1337">
        <v>424</v>
      </c>
      <c r="N1337">
        <v>448</v>
      </c>
      <c r="O1337">
        <v>472</v>
      </c>
      <c r="P1337">
        <v>496</v>
      </c>
      <c r="Q1337" s="1160">
        <v>29</v>
      </c>
      <c r="R1337"/>
      <c r="S1337" s="1684"/>
      <c r="T1337" s="1684"/>
      <c r="U1337" s="1684"/>
      <c r="V1337" s="1684"/>
      <c r="W1337" s="1684"/>
      <c r="X1337" s="1684"/>
      <c r="Y1337" s="1684"/>
      <c r="Z1337" s="1684"/>
      <c r="AA1337" s="1684"/>
      <c r="AB1337" s="1684"/>
      <c r="AC1337" s="1684"/>
      <c r="AD1337" s="1684"/>
      <c r="AE1337" s="1684"/>
      <c r="AF1337" s="1684"/>
      <c r="AG1337" s="1684"/>
      <c r="AH1337" s="1684"/>
      <c r="AI1337" s="1684"/>
      <c r="AJ1337" s="1684"/>
      <c r="AK1337" s="1684"/>
      <c r="AL1337" s="1684"/>
      <c r="AM1337" s="1684"/>
      <c r="AN1337" s="1684"/>
      <c r="AO1337" s="1684"/>
      <c r="AP1337" s="1684"/>
      <c r="AQ1337" s="1684"/>
      <c r="AR1337" s="1684"/>
      <c r="AS1337" s="1684"/>
      <c r="AT1337" s="1684"/>
      <c r="AU1337" s="1684"/>
      <c r="AV1337" s="1684"/>
      <c r="AW1337" s="1684"/>
      <c r="AX1337" s="1684"/>
      <c r="AY1337" s="1684"/>
      <c r="AZ1337" s="1684"/>
      <c r="BA1337" s="1684"/>
      <c r="BB1337" s="1684"/>
      <c r="BC1337" s="1684"/>
      <c r="BD1337" s="1684"/>
      <c r="BE1337" s="1684"/>
      <c r="BF1337" s="1684"/>
      <c r="BG1337" s="1684"/>
      <c r="BH1337" s="1684"/>
      <c r="BI1337" s="1684"/>
      <c r="BJ1337" s="1684"/>
      <c r="BK1337" s="1684"/>
      <c r="BL1337" s="1684"/>
      <c r="BM1337" s="1684"/>
      <c r="BN1337" s="1684"/>
      <c r="BO1337" s="1684"/>
      <c r="BP1337" s="1684"/>
      <c r="BQ1337" s="1684"/>
      <c r="BR1337" s="1684"/>
      <c r="BS1337" s="1684"/>
      <c r="BT1337" s="1684"/>
      <c r="BU1337" s="1684"/>
      <c r="BV1337" s="1684"/>
      <c r="BW1337" s="1684"/>
      <c r="BX1337" s="1684"/>
      <c r="BY1337" s="1684"/>
      <c r="BZ1337" s="1684"/>
      <c r="CA1337" s="1684"/>
      <c r="CB1337" s="1684"/>
      <c r="CC1337" s="1684"/>
      <c r="CD1337" s="1684"/>
      <c r="CE1337" s="1684"/>
      <c r="CF1337" s="1684"/>
      <c r="CG1337" s="1684"/>
      <c r="CH1337" s="1684"/>
      <c r="CI1337" s="1684"/>
      <c r="CJ1337" s="1684"/>
      <c r="CK1337" s="1684"/>
      <c r="CL1337" s="1684"/>
      <c r="CM1337" s="1684"/>
      <c r="CN1337" s="1684"/>
      <c r="CO1337" s="1684"/>
    </row>
    <row r="1338" spans="1:93" s="1391" customFormat="1" ht="15" x14ac:dyDescent="0.2">
      <c r="A1338" s="1684"/>
      <c r="B1338" s="1684"/>
      <c r="C1338" s="2013">
        <v>15</v>
      </c>
      <c r="D1338" s="5">
        <v>7.593</v>
      </c>
      <c r="E1338">
        <v>246</v>
      </c>
      <c r="F1338">
        <v>273</v>
      </c>
      <c r="G1338">
        <v>299</v>
      </c>
      <c r="H1338">
        <v>323</v>
      </c>
      <c r="I1338">
        <v>351</v>
      </c>
      <c r="J1338">
        <v>377</v>
      </c>
      <c r="K1338">
        <v>403</v>
      </c>
      <c r="L1338">
        <v>430</v>
      </c>
      <c r="M1338">
        <v>455</v>
      </c>
      <c r="N1338">
        <v>481</v>
      </c>
      <c r="O1338">
        <v>507</v>
      </c>
      <c r="P1338">
        <v>533</v>
      </c>
      <c r="Q1338" s="1160">
        <v>30</v>
      </c>
      <c r="R1338"/>
      <c r="S1338" s="1684"/>
      <c r="T1338" s="1684"/>
      <c r="U1338" s="1684"/>
      <c r="V1338" s="1684"/>
      <c r="W1338" s="1684"/>
      <c r="X1338" s="1684"/>
      <c r="Y1338" s="1684"/>
      <c r="Z1338" s="1684"/>
      <c r="AA1338" s="1684"/>
      <c r="AB1338" s="1684"/>
      <c r="AC1338" s="1684"/>
      <c r="AD1338" s="1684"/>
      <c r="AE1338" s="1684"/>
      <c r="AF1338" s="1684"/>
      <c r="AG1338" s="1684"/>
      <c r="AH1338" s="1684"/>
      <c r="AI1338" s="1684"/>
      <c r="AJ1338" s="1684"/>
      <c r="AK1338" s="1684"/>
      <c r="AL1338" s="1684"/>
      <c r="AM1338" s="1684"/>
      <c r="AN1338" s="1684"/>
      <c r="AO1338" s="1684"/>
      <c r="AP1338" s="1684"/>
      <c r="AQ1338" s="1684"/>
      <c r="AR1338" s="1684"/>
      <c r="AS1338" s="1684"/>
      <c r="AT1338" s="1684"/>
      <c r="AU1338" s="1684"/>
      <c r="AV1338" s="1684"/>
      <c r="AW1338" s="1684"/>
      <c r="AX1338" s="1684"/>
      <c r="AY1338" s="1684"/>
      <c r="AZ1338" s="1684"/>
      <c r="BA1338" s="1684"/>
      <c r="BB1338" s="1684"/>
      <c r="BC1338" s="1684"/>
      <c r="BD1338" s="1684"/>
      <c r="BE1338" s="1684"/>
      <c r="BF1338" s="1684"/>
      <c r="BG1338" s="1684"/>
      <c r="BH1338" s="1684"/>
      <c r="BI1338" s="1684"/>
      <c r="BJ1338" s="1684"/>
      <c r="BK1338" s="1684"/>
      <c r="BL1338" s="1684"/>
      <c r="BM1338" s="1684"/>
      <c r="BN1338" s="1684"/>
      <c r="BO1338" s="1684"/>
      <c r="BP1338" s="1684"/>
      <c r="BQ1338" s="1684"/>
      <c r="BR1338" s="1684"/>
      <c r="BS1338" s="1684"/>
      <c r="BT1338" s="1684"/>
      <c r="BU1338" s="1684"/>
      <c r="BV1338" s="1684"/>
      <c r="BW1338" s="1684"/>
      <c r="BX1338" s="1684"/>
      <c r="BY1338" s="1684"/>
      <c r="BZ1338" s="1684"/>
      <c r="CA1338" s="1684"/>
      <c r="CB1338" s="1684"/>
      <c r="CC1338" s="1684"/>
      <c r="CD1338" s="1684"/>
      <c r="CE1338" s="1684"/>
      <c r="CF1338" s="1684"/>
      <c r="CG1338" s="1684"/>
      <c r="CH1338" s="1684"/>
      <c r="CI1338" s="1684"/>
      <c r="CJ1338" s="1684"/>
      <c r="CK1338" s="1684"/>
      <c r="CL1338" s="1684"/>
      <c r="CM1338" s="1684"/>
      <c r="CN1338" s="1684"/>
      <c r="CO1338" s="1684"/>
    </row>
    <row r="1339" spans="1:93" s="1391" customFormat="1" ht="15" x14ac:dyDescent="0.2">
      <c r="A1339" s="1684"/>
      <c r="B1339" s="1684"/>
      <c r="C1339" s="2013">
        <v>16</v>
      </c>
      <c r="D1339" s="5">
        <v>8.0960000000000001</v>
      </c>
      <c r="E1339">
        <v>262</v>
      </c>
      <c r="F1339">
        <v>291</v>
      </c>
      <c r="G1339">
        <v>319</v>
      </c>
      <c r="H1339">
        <v>346</v>
      </c>
      <c r="I1339">
        <v>374</v>
      </c>
      <c r="J1339">
        <v>402</v>
      </c>
      <c r="K1339">
        <v>429</v>
      </c>
      <c r="L1339">
        <v>458</v>
      </c>
      <c r="M1339">
        <v>484</v>
      </c>
      <c r="N1339">
        <v>512</v>
      </c>
      <c r="O1339">
        <v>540</v>
      </c>
      <c r="P1339">
        <v>567</v>
      </c>
      <c r="Q1339" s="1160">
        <v>31</v>
      </c>
      <c r="R1339"/>
      <c r="S1339" s="1684"/>
      <c r="T1339" s="1684"/>
      <c r="U1339" s="1684"/>
      <c r="V1339" s="1684"/>
      <c r="W1339" s="1684"/>
      <c r="X1339" s="1684"/>
      <c r="Y1339" s="1684"/>
      <c r="Z1339" s="1684"/>
      <c r="AA1339" s="1684"/>
      <c r="AB1339" s="1684"/>
      <c r="AC1339" s="1684"/>
      <c r="AD1339" s="1684"/>
      <c r="AE1339" s="1684"/>
      <c r="AF1339" s="1684"/>
      <c r="AG1339" s="1684"/>
      <c r="AH1339" s="1684"/>
      <c r="AI1339" s="1684"/>
      <c r="AJ1339" s="1684"/>
      <c r="AK1339" s="1684"/>
      <c r="AL1339" s="1684"/>
      <c r="AM1339" s="1684"/>
      <c r="AN1339" s="1684"/>
      <c r="AO1339" s="1684"/>
      <c r="AP1339" s="1684"/>
      <c r="AQ1339" s="1684"/>
      <c r="AR1339" s="1684"/>
      <c r="AS1339" s="1684"/>
      <c r="AT1339" s="1684"/>
      <c r="AU1339" s="1684"/>
      <c r="AV1339" s="1684"/>
      <c r="AW1339" s="1684"/>
      <c r="AX1339" s="1684"/>
      <c r="AY1339" s="1684"/>
      <c r="AZ1339" s="1684"/>
      <c r="BA1339" s="1684"/>
      <c r="BB1339" s="1684"/>
      <c r="BC1339" s="1684"/>
      <c r="BD1339" s="1684"/>
      <c r="BE1339" s="1684"/>
      <c r="BF1339" s="1684"/>
      <c r="BG1339" s="1684"/>
      <c r="BH1339" s="1684"/>
      <c r="BI1339" s="1684"/>
      <c r="BJ1339" s="1684"/>
      <c r="BK1339" s="1684"/>
      <c r="BL1339" s="1684"/>
      <c r="BM1339" s="1684"/>
      <c r="BN1339" s="1684"/>
      <c r="BO1339" s="1684"/>
      <c r="BP1339" s="1684"/>
      <c r="BQ1339" s="1684"/>
      <c r="BR1339" s="1684"/>
      <c r="BS1339" s="1684"/>
      <c r="BT1339" s="1684"/>
      <c r="BU1339" s="1684"/>
      <c r="BV1339" s="1684"/>
      <c r="BW1339" s="1684"/>
      <c r="BX1339" s="1684"/>
      <c r="BY1339" s="1684"/>
      <c r="BZ1339" s="1684"/>
      <c r="CA1339" s="1684"/>
      <c r="CB1339" s="1684"/>
      <c r="CC1339" s="1684"/>
      <c r="CD1339" s="1684"/>
      <c r="CE1339" s="1684"/>
      <c r="CF1339" s="1684"/>
      <c r="CG1339" s="1684"/>
      <c r="CH1339" s="1684"/>
      <c r="CI1339" s="1684"/>
      <c r="CJ1339" s="1684"/>
      <c r="CK1339" s="1684"/>
      <c r="CL1339" s="1684"/>
      <c r="CM1339" s="1684"/>
      <c r="CN1339" s="1684"/>
      <c r="CO1339" s="1684"/>
    </row>
    <row r="1340" spans="1:93" s="1391" customFormat="1" ht="15" x14ac:dyDescent="0.2">
      <c r="A1340" s="1684"/>
      <c r="B1340" s="1684"/>
      <c r="C1340" s="2013">
        <v>17</v>
      </c>
      <c r="D1340" s="5">
        <v>8.6349999999999998</v>
      </c>
      <c r="E1340">
        <v>277</v>
      </c>
      <c r="F1340">
        <v>307</v>
      </c>
      <c r="G1340">
        <v>337</v>
      </c>
      <c r="H1340">
        <v>366</v>
      </c>
      <c r="I1340">
        <v>395</v>
      </c>
      <c r="J1340">
        <v>424</v>
      </c>
      <c r="K1340">
        <v>453</v>
      </c>
      <c r="L1340">
        <v>484</v>
      </c>
      <c r="M1340">
        <v>511</v>
      </c>
      <c r="N1340">
        <v>540</v>
      </c>
      <c r="O1340">
        <v>570</v>
      </c>
      <c r="P1340">
        <v>599</v>
      </c>
      <c r="Q1340" s="1160">
        <v>32</v>
      </c>
      <c r="R1340"/>
      <c r="S1340" s="1684"/>
      <c r="T1340" s="1684"/>
      <c r="U1340" s="1684"/>
      <c r="V1340" s="1684"/>
      <c r="W1340" s="1684"/>
      <c r="X1340" s="1684"/>
      <c r="Y1340" s="1684"/>
      <c r="Z1340" s="1684"/>
      <c r="AA1340" s="1684"/>
      <c r="AB1340" s="1684"/>
      <c r="AC1340" s="1684"/>
      <c r="AD1340" s="1684"/>
      <c r="AE1340" s="1684"/>
      <c r="AF1340" s="1684"/>
      <c r="AG1340" s="1684"/>
      <c r="AH1340" s="1684"/>
      <c r="AI1340" s="1684"/>
      <c r="AJ1340" s="1684"/>
      <c r="AK1340" s="1684"/>
      <c r="AL1340" s="1684"/>
      <c r="AM1340" s="1684"/>
      <c r="AN1340" s="1684"/>
      <c r="AO1340" s="1684"/>
      <c r="AP1340" s="1684"/>
      <c r="AQ1340" s="1684"/>
      <c r="AR1340" s="1684"/>
      <c r="AS1340" s="1684"/>
      <c r="AT1340" s="1684"/>
      <c r="AU1340" s="1684"/>
      <c r="AV1340" s="1684"/>
      <c r="AW1340" s="1684"/>
      <c r="AX1340" s="1684"/>
      <c r="AY1340" s="1684"/>
      <c r="AZ1340" s="1684"/>
      <c r="BA1340" s="1684"/>
      <c r="BB1340" s="1684"/>
      <c r="BC1340" s="1684"/>
      <c r="BD1340" s="1684"/>
      <c r="BE1340" s="1684"/>
      <c r="BF1340" s="1684"/>
      <c r="BG1340" s="1684"/>
      <c r="BH1340" s="1684"/>
      <c r="BI1340" s="1684"/>
      <c r="BJ1340" s="1684"/>
      <c r="BK1340" s="1684"/>
      <c r="BL1340" s="1684"/>
      <c r="BM1340" s="1684"/>
      <c r="BN1340" s="1684"/>
      <c r="BO1340" s="1684"/>
      <c r="BP1340" s="1684"/>
      <c r="BQ1340" s="1684"/>
      <c r="BR1340" s="1684"/>
      <c r="BS1340" s="1684"/>
      <c r="BT1340" s="1684"/>
      <c r="BU1340" s="1684"/>
      <c r="BV1340" s="1684"/>
      <c r="BW1340" s="1684"/>
      <c r="BX1340" s="1684"/>
      <c r="BY1340" s="1684"/>
      <c r="BZ1340" s="1684"/>
      <c r="CA1340" s="1684"/>
      <c r="CB1340" s="1684"/>
      <c r="CC1340" s="1684"/>
      <c r="CD1340" s="1684"/>
      <c r="CE1340" s="1684"/>
      <c r="CF1340" s="1684"/>
      <c r="CG1340" s="1684"/>
      <c r="CH1340" s="1684"/>
      <c r="CI1340" s="1684"/>
      <c r="CJ1340" s="1684"/>
      <c r="CK1340" s="1684"/>
      <c r="CL1340" s="1684"/>
      <c r="CM1340" s="1684"/>
      <c r="CN1340" s="1684"/>
      <c r="CO1340" s="1684"/>
    </row>
    <row r="1341" spans="1:93" s="1391" customFormat="1" ht="15" x14ac:dyDescent="0.2">
      <c r="A1341" s="1684"/>
      <c r="B1341" s="1684"/>
      <c r="C1341" s="2013">
        <v>18</v>
      </c>
      <c r="D1341" s="5">
        <v>8.9420000000000002</v>
      </c>
      <c r="E1341">
        <v>290</v>
      </c>
      <c r="F1341">
        <v>322</v>
      </c>
      <c r="G1341">
        <v>353</v>
      </c>
      <c r="H1341">
        <v>383</v>
      </c>
      <c r="I1341">
        <v>414</v>
      </c>
      <c r="J1341">
        <v>444</v>
      </c>
      <c r="K1341">
        <v>475</v>
      </c>
      <c r="L1341">
        <v>507</v>
      </c>
      <c r="M1341">
        <v>536</v>
      </c>
      <c r="N1341">
        <v>566</v>
      </c>
      <c r="O1341">
        <v>597</v>
      </c>
      <c r="P1341">
        <v>627</v>
      </c>
      <c r="Q1341" s="1160">
        <v>33</v>
      </c>
      <c r="R1341"/>
      <c r="S1341" s="1684"/>
      <c r="T1341" s="1684"/>
      <c r="U1341" s="1684"/>
      <c r="V1341" s="1684"/>
      <c r="W1341" s="1684"/>
      <c r="X1341" s="1684"/>
      <c r="Y1341" s="1684"/>
      <c r="Z1341" s="1684"/>
      <c r="AA1341" s="1684"/>
      <c r="AB1341" s="1684"/>
      <c r="AC1341" s="1684"/>
      <c r="AD1341" s="1684"/>
      <c r="AE1341" s="1684"/>
      <c r="AF1341" s="1684"/>
      <c r="AG1341" s="1684"/>
      <c r="AH1341" s="1684"/>
      <c r="AI1341" s="1684"/>
      <c r="AJ1341" s="1684"/>
      <c r="AK1341" s="1684"/>
      <c r="AL1341" s="1684"/>
      <c r="AM1341" s="1684"/>
      <c r="AN1341" s="1684"/>
      <c r="AO1341" s="1684"/>
      <c r="AP1341" s="1684"/>
      <c r="AQ1341" s="1684"/>
      <c r="AR1341" s="1684"/>
      <c r="AS1341" s="1684"/>
      <c r="AT1341" s="1684"/>
      <c r="AU1341" s="1684"/>
      <c r="AV1341" s="1684"/>
      <c r="AW1341" s="1684"/>
      <c r="AX1341" s="1684"/>
      <c r="AY1341" s="1684"/>
      <c r="AZ1341" s="1684"/>
      <c r="BA1341" s="1684"/>
      <c r="BB1341" s="1684"/>
      <c r="BC1341" s="1684"/>
      <c r="BD1341" s="1684"/>
      <c r="BE1341" s="1684"/>
      <c r="BF1341" s="1684"/>
      <c r="BG1341" s="1684"/>
      <c r="BH1341" s="1684"/>
      <c r="BI1341" s="1684"/>
      <c r="BJ1341" s="1684"/>
      <c r="BK1341" s="1684"/>
      <c r="BL1341" s="1684"/>
      <c r="BM1341" s="1684"/>
      <c r="BN1341" s="1684"/>
      <c r="BO1341" s="1684"/>
      <c r="BP1341" s="1684"/>
      <c r="BQ1341" s="1684"/>
      <c r="BR1341" s="1684"/>
      <c r="BS1341" s="1684"/>
      <c r="BT1341" s="1684"/>
      <c r="BU1341" s="1684"/>
      <c r="BV1341" s="1684"/>
      <c r="BW1341" s="1684"/>
      <c r="BX1341" s="1684"/>
      <c r="BY1341" s="1684"/>
      <c r="BZ1341" s="1684"/>
      <c r="CA1341" s="1684"/>
      <c r="CB1341" s="1684"/>
      <c r="CC1341" s="1684"/>
      <c r="CD1341" s="1684"/>
      <c r="CE1341" s="1684"/>
      <c r="CF1341" s="1684"/>
      <c r="CG1341" s="1684"/>
      <c r="CH1341" s="1684"/>
      <c r="CI1341" s="1684"/>
      <c r="CJ1341" s="1684"/>
      <c r="CK1341" s="1684"/>
      <c r="CL1341" s="1684"/>
      <c r="CM1341" s="1684"/>
      <c r="CN1341" s="1684"/>
      <c r="CO1341" s="1684"/>
    </row>
    <row r="1342" spans="1:93" s="1391" customFormat="1" ht="15" x14ac:dyDescent="0.2">
      <c r="A1342" s="1684"/>
      <c r="B1342" s="1684"/>
      <c r="C1342" s="4680" t="s">
        <v>3693</v>
      </c>
      <c r="D1342" s="4681"/>
      <c r="E1342" s="4681"/>
      <c r="F1342" s="4681"/>
      <c r="G1342" s="4681"/>
      <c r="H1342" s="4681"/>
      <c r="I1342" s="4681"/>
      <c r="J1342" s="4681"/>
      <c r="K1342" s="4681"/>
      <c r="L1342" s="4681"/>
      <c r="M1342" s="4681"/>
      <c r="N1342" s="4681"/>
      <c r="O1342" s="4681"/>
      <c r="P1342" s="4681"/>
      <c r="Q1342" s="4682"/>
      <c r="R1342"/>
      <c r="S1342" s="1684"/>
      <c r="T1342" s="1684"/>
      <c r="U1342" s="1684"/>
      <c r="V1342" s="1684"/>
      <c r="W1342" s="1684"/>
      <c r="X1342" s="1684"/>
      <c r="Y1342" s="1684"/>
      <c r="Z1342" s="1684"/>
      <c r="AA1342" s="1684"/>
      <c r="AB1342" s="1684"/>
      <c r="AC1342" s="1684"/>
      <c r="AD1342" s="1684"/>
      <c r="AE1342" s="1684"/>
      <c r="AF1342" s="1684"/>
      <c r="AG1342" s="1684"/>
      <c r="AH1342" s="1684"/>
      <c r="AI1342" s="1684"/>
      <c r="AJ1342" s="1684"/>
      <c r="AK1342" s="1684"/>
      <c r="AL1342" s="1684"/>
      <c r="AM1342" s="1684"/>
      <c r="AN1342" s="1684"/>
      <c r="AO1342" s="1684"/>
      <c r="AP1342" s="1684"/>
      <c r="AQ1342" s="1684"/>
      <c r="AR1342" s="1684"/>
      <c r="AS1342" s="1684"/>
      <c r="AT1342" s="1684"/>
      <c r="AU1342" s="1684"/>
      <c r="AV1342" s="1684"/>
      <c r="AW1342" s="1684"/>
      <c r="AX1342" s="1684"/>
      <c r="AY1342" s="1684"/>
      <c r="AZ1342" s="1684"/>
      <c r="BA1342" s="1684"/>
      <c r="BB1342" s="1684"/>
      <c r="BC1342" s="1684"/>
      <c r="BD1342" s="1684"/>
      <c r="BE1342" s="1684"/>
      <c r="BF1342" s="1684"/>
      <c r="BG1342" s="1684"/>
      <c r="BH1342" s="1684"/>
      <c r="BI1342" s="1684"/>
      <c r="BJ1342" s="1684"/>
      <c r="BK1342" s="1684"/>
      <c r="BL1342" s="1684"/>
      <c r="BM1342" s="1684"/>
      <c r="BN1342" s="1684"/>
      <c r="BO1342" s="1684"/>
      <c r="BP1342" s="1684"/>
      <c r="BQ1342" s="1684"/>
      <c r="BR1342" s="1684"/>
      <c r="BS1342" s="1684"/>
      <c r="BT1342" s="1684"/>
      <c r="BU1342" s="1684"/>
      <c r="BV1342" s="1684"/>
      <c r="BW1342" s="1684"/>
      <c r="BX1342" s="1684"/>
      <c r="BY1342" s="1684"/>
      <c r="BZ1342" s="1684"/>
      <c r="CA1342" s="1684"/>
      <c r="CB1342" s="1684"/>
      <c r="CC1342" s="1684"/>
      <c r="CD1342" s="1684"/>
      <c r="CE1342" s="1684"/>
      <c r="CF1342" s="1684"/>
      <c r="CG1342" s="1684"/>
      <c r="CH1342" s="1684"/>
      <c r="CI1342" s="1684"/>
      <c r="CJ1342" s="1684"/>
      <c r="CK1342" s="1684"/>
      <c r="CL1342" s="1684"/>
      <c r="CM1342" s="1684"/>
      <c r="CN1342" s="1684"/>
      <c r="CO1342" s="1684"/>
    </row>
    <row r="1343" spans="1:93" s="1391" customFormat="1" ht="15" x14ac:dyDescent="0.2">
      <c r="A1343" s="1684"/>
      <c r="B1343" s="1684"/>
      <c r="C1343" s="4680"/>
      <c r="D1343" s="4681"/>
      <c r="E1343" s="4681"/>
      <c r="F1343" s="4681"/>
      <c r="G1343" s="4681"/>
      <c r="H1343" s="4681"/>
      <c r="I1343" s="4681"/>
      <c r="J1343" s="4681"/>
      <c r="K1343" s="4681"/>
      <c r="L1343" s="4681"/>
      <c r="M1343" s="4681"/>
      <c r="N1343" s="4681"/>
      <c r="O1343" s="4681"/>
      <c r="P1343" s="4681"/>
      <c r="Q1343" s="4682"/>
      <c r="R1343"/>
      <c r="S1343" s="1684"/>
      <c r="T1343" s="1684"/>
      <c r="U1343" s="1684"/>
      <c r="V1343" s="1684"/>
      <c r="W1343" s="1684"/>
      <c r="X1343" s="1684"/>
      <c r="Y1343" s="1684"/>
      <c r="Z1343" s="1684"/>
      <c r="AA1343" s="1684"/>
      <c r="AB1343" s="1684"/>
      <c r="AC1343" s="1684"/>
      <c r="AD1343" s="1684"/>
      <c r="AE1343" s="1684"/>
      <c r="AF1343" s="1684"/>
      <c r="AG1343" s="1684"/>
      <c r="AH1343" s="1684"/>
      <c r="AI1343" s="1684"/>
      <c r="AJ1343" s="1684"/>
      <c r="AK1343" s="1684"/>
      <c r="AL1343" s="1684"/>
      <c r="AM1343" s="1684"/>
      <c r="AN1343" s="1684"/>
      <c r="AO1343" s="1684"/>
      <c r="AP1343" s="1684"/>
      <c r="AQ1343" s="1684"/>
      <c r="AR1343" s="1684"/>
      <c r="AS1343" s="1684"/>
      <c r="AT1343" s="1684"/>
      <c r="AU1343" s="1684"/>
      <c r="AV1343" s="1684"/>
      <c r="AW1343" s="1684"/>
      <c r="AX1343" s="1684"/>
      <c r="AY1343" s="1684"/>
      <c r="AZ1343" s="1684"/>
      <c r="BA1343" s="1684"/>
      <c r="BB1343" s="1684"/>
      <c r="BC1343" s="1684"/>
      <c r="BD1343" s="1684"/>
      <c r="BE1343" s="1684"/>
      <c r="BF1343" s="1684"/>
      <c r="BG1343" s="1684"/>
      <c r="BH1343" s="1684"/>
      <c r="BI1343" s="1684"/>
      <c r="BJ1343" s="1684"/>
      <c r="BK1343" s="1684"/>
      <c r="BL1343" s="1684"/>
      <c r="BM1343" s="1684"/>
      <c r="BN1343" s="1684"/>
      <c r="BO1343" s="1684"/>
      <c r="BP1343" s="1684"/>
      <c r="BQ1343" s="1684"/>
      <c r="BR1343" s="1684"/>
      <c r="BS1343" s="1684"/>
      <c r="BT1343" s="1684"/>
      <c r="BU1343" s="1684"/>
      <c r="BV1343" s="1684"/>
      <c r="BW1343" s="1684"/>
      <c r="BX1343" s="1684"/>
      <c r="BY1343" s="1684"/>
      <c r="BZ1343" s="1684"/>
      <c r="CA1343" s="1684"/>
      <c r="CB1343" s="1684"/>
      <c r="CC1343" s="1684"/>
      <c r="CD1343" s="1684"/>
      <c r="CE1343" s="1684"/>
      <c r="CF1343" s="1684"/>
      <c r="CG1343" s="1684"/>
      <c r="CH1343" s="1684"/>
      <c r="CI1343" s="1684"/>
      <c r="CJ1343" s="1684"/>
      <c r="CK1343" s="1684"/>
      <c r="CL1343" s="1684"/>
      <c r="CM1343" s="1684"/>
      <c r="CN1343" s="1684"/>
      <c r="CO1343" s="1684"/>
    </row>
    <row r="1344" spans="1:93" s="1391" customFormat="1" ht="15" x14ac:dyDescent="0.2">
      <c r="A1344" s="1684"/>
      <c r="B1344" s="1684"/>
      <c r="C1344" s="2013"/>
      <c r="D1344" s="5"/>
      <c r="E1344" s="5">
        <v>1</v>
      </c>
      <c r="F1344" s="5">
        <v>2</v>
      </c>
      <c r="G1344" s="5">
        <v>3</v>
      </c>
      <c r="H1344" s="5">
        <v>4</v>
      </c>
      <c r="I1344" s="5">
        <v>5</v>
      </c>
      <c r="J1344" s="5">
        <v>6</v>
      </c>
      <c r="K1344" s="5">
        <v>7</v>
      </c>
      <c r="L1344" s="5">
        <v>8</v>
      </c>
      <c r="M1344" s="5">
        <v>9</v>
      </c>
      <c r="N1344" s="5">
        <v>10</v>
      </c>
      <c r="O1344" s="5">
        <v>11</v>
      </c>
      <c r="P1344" s="5">
        <v>12</v>
      </c>
      <c r="Q1344" s="1160"/>
      <c r="R1344"/>
      <c r="S1344" s="1684"/>
      <c r="T1344" s="1684"/>
      <c r="U1344" s="1684"/>
      <c r="V1344" s="1684"/>
      <c r="W1344" s="1684"/>
      <c r="X1344" s="1684"/>
      <c r="Y1344" s="1684"/>
      <c r="Z1344" s="1684"/>
      <c r="AA1344" s="1684"/>
      <c r="AB1344" s="1684"/>
      <c r="AC1344" s="1684"/>
      <c r="AD1344" s="1684"/>
      <c r="AE1344" s="1684"/>
      <c r="AF1344" s="1684"/>
      <c r="AG1344" s="1684"/>
      <c r="AH1344" s="1684"/>
      <c r="AI1344" s="1684"/>
      <c r="AJ1344" s="1684"/>
      <c r="AK1344" s="1684"/>
      <c r="AL1344" s="1684"/>
      <c r="AM1344" s="1684"/>
      <c r="AN1344" s="1684"/>
      <c r="AO1344" s="1684"/>
      <c r="AP1344" s="1684"/>
      <c r="AQ1344" s="1684"/>
      <c r="AR1344" s="1684"/>
      <c r="AS1344" s="1684"/>
      <c r="AT1344" s="1684"/>
      <c r="AU1344" s="1684"/>
      <c r="AV1344" s="1684"/>
      <c r="AW1344" s="1684"/>
      <c r="AX1344" s="1684"/>
      <c r="AY1344" s="1684"/>
      <c r="AZ1344" s="1684"/>
      <c r="BA1344" s="1684"/>
      <c r="BB1344" s="1684"/>
      <c r="BC1344" s="1684"/>
      <c r="BD1344" s="1684"/>
      <c r="BE1344" s="1684"/>
      <c r="BF1344" s="1684"/>
      <c r="BG1344" s="1684"/>
      <c r="BH1344" s="1684"/>
      <c r="BI1344" s="1684"/>
      <c r="BJ1344" s="1684"/>
      <c r="BK1344" s="1684"/>
      <c r="BL1344" s="1684"/>
      <c r="BM1344" s="1684"/>
      <c r="BN1344" s="1684"/>
      <c r="BO1344" s="1684"/>
      <c r="BP1344" s="1684"/>
      <c r="BQ1344" s="1684"/>
      <c r="BR1344" s="1684"/>
      <c r="BS1344" s="1684"/>
      <c r="BT1344" s="1684"/>
      <c r="BU1344" s="1684"/>
      <c r="BV1344" s="1684"/>
      <c r="BW1344" s="1684"/>
      <c r="BX1344" s="1684"/>
      <c r="BY1344" s="1684"/>
      <c r="BZ1344" s="1684"/>
      <c r="CA1344" s="1684"/>
      <c r="CB1344" s="1684"/>
      <c r="CC1344" s="1684"/>
      <c r="CD1344" s="1684"/>
      <c r="CE1344" s="1684"/>
      <c r="CF1344" s="1684"/>
      <c r="CG1344" s="1684"/>
      <c r="CH1344" s="1684"/>
      <c r="CI1344" s="1684"/>
      <c r="CJ1344" s="1684"/>
      <c r="CK1344" s="1684"/>
      <c r="CL1344" s="1684"/>
      <c r="CM1344" s="1684"/>
      <c r="CN1344" s="1684"/>
      <c r="CO1344" s="1684"/>
    </row>
    <row r="1345" spans="1:93" s="1391" customFormat="1" ht="15" x14ac:dyDescent="0.2">
      <c r="A1345" s="1684"/>
      <c r="B1345" s="1684"/>
      <c r="C1345" s="2013">
        <v>8</v>
      </c>
      <c r="D1345" s="5">
        <v>5.298</v>
      </c>
      <c r="E1345">
        <v>142</v>
      </c>
      <c r="F1345">
        <v>158</v>
      </c>
      <c r="G1345">
        <v>172</v>
      </c>
      <c r="H1345">
        <v>187</v>
      </c>
      <c r="I1345">
        <v>202</v>
      </c>
      <c r="J1345">
        <v>217</v>
      </c>
      <c r="K1345">
        <v>232</v>
      </c>
      <c r="L1345">
        <v>248</v>
      </c>
      <c r="M1345">
        <v>262</v>
      </c>
      <c r="N1345">
        <v>277</v>
      </c>
      <c r="O1345">
        <v>292</v>
      </c>
      <c r="P1345">
        <v>307</v>
      </c>
      <c r="Q1345" s="1160">
        <v>34</v>
      </c>
      <c r="R1345"/>
      <c r="S1345" s="1684"/>
      <c r="T1345" s="1684"/>
      <c r="U1345" s="1684"/>
      <c r="V1345" s="1684"/>
      <c r="W1345" s="1684"/>
      <c r="X1345" s="1684"/>
      <c r="Y1345" s="1684"/>
      <c r="Z1345" s="1684"/>
      <c r="AA1345" s="1684"/>
      <c r="AB1345" s="1684"/>
      <c r="AC1345" s="1684"/>
      <c r="AD1345" s="1684"/>
      <c r="AE1345" s="1684"/>
      <c r="AF1345" s="1684"/>
      <c r="AG1345" s="1684"/>
      <c r="AH1345" s="1684"/>
      <c r="AI1345" s="1684"/>
      <c r="AJ1345" s="1684"/>
      <c r="AK1345" s="1684"/>
      <c r="AL1345" s="1684"/>
      <c r="AM1345" s="1684"/>
      <c r="AN1345" s="1684"/>
      <c r="AO1345" s="1684"/>
      <c r="AP1345" s="1684"/>
      <c r="AQ1345" s="1684"/>
      <c r="AR1345" s="1684"/>
      <c r="AS1345" s="1684"/>
      <c r="AT1345" s="1684"/>
      <c r="AU1345" s="1684"/>
      <c r="AV1345" s="1684"/>
      <c r="AW1345" s="1684"/>
      <c r="AX1345" s="1684"/>
      <c r="AY1345" s="1684"/>
      <c r="AZ1345" s="1684"/>
      <c r="BA1345" s="1684"/>
      <c r="BB1345" s="1684"/>
      <c r="BC1345" s="1684"/>
      <c r="BD1345" s="1684"/>
      <c r="BE1345" s="1684"/>
      <c r="BF1345" s="1684"/>
      <c r="BG1345" s="1684"/>
      <c r="BH1345" s="1684"/>
      <c r="BI1345" s="1684"/>
      <c r="BJ1345" s="1684"/>
      <c r="BK1345" s="1684"/>
      <c r="BL1345" s="1684"/>
      <c r="BM1345" s="1684"/>
      <c r="BN1345" s="1684"/>
      <c r="BO1345" s="1684"/>
      <c r="BP1345" s="1684"/>
      <c r="BQ1345" s="1684"/>
      <c r="BR1345" s="1684"/>
      <c r="BS1345" s="1684"/>
      <c r="BT1345" s="1684"/>
      <c r="BU1345" s="1684"/>
      <c r="BV1345" s="1684"/>
      <c r="BW1345" s="1684"/>
      <c r="BX1345" s="1684"/>
      <c r="BY1345" s="1684"/>
      <c r="BZ1345" s="1684"/>
      <c r="CA1345" s="1684"/>
      <c r="CB1345" s="1684"/>
      <c r="CC1345" s="1684"/>
      <c r="CD1345" s="1684"/>
      <c r="CE1345" s="1684"/>
      <c r="CF1345" s="1684"/>
      <c r="CG1345" s="1684"/>
      <c r="CH1345" s="1684"/>
      <c r="CI1345" s="1684"/>
      <c r="CJ1345" s="1684"/>
      <c r="CK1345" s="1684"/>
      <c r="CL1345" s="1684"/>
      <c r="CM1345" s="1684"/>
      <c r="CN1345" s="1684"/>
      <c r="CO1345" s="1684"/>
    </row>
    <row r="1346" spans="1:93" s="1391" customFormat="1" ht="15" x14ac:dyDescent="0.2">
      <c r="A1346" s="1684"/>
      <c r="B1346" s="1684"/>
      <c r="C1346" s="2013">
        <v>9</v>
      </c>
      <c r="D1346" s="5">
        <v>5.6029999999999998</v>
      </c>
      <c r="E1346">
        <v>156</v>
      </c>
      <c r="F1346">
        <v>173</v>
      </c>
      <c r="G1346">
        <v>189</v>
      </c>
      <c r="H1346">
        <v>206</v>
      </c>
      <c r="I1346">
        <v>222</v>
      </c>
      <c r="J1346">
        <v>239</v>
      </c>
      <c r="K1346">
        <v>255</v>
      </c>
      <c r="L1346">
        <v>272</v>
      </c>
      <c r="M1346">
        <v>288</v>
      </c>
      <c r="N1346">
        <v>304</v>
      </c>
      <c r="O1346">
        <v>320</v>
      </c>
      <c r="P1346">
        <v>337</v>
      </c>
      <c r="Q1346" s="1160">
        <v>35</v>
      </c>
      <c r="R1346"/>
      <c r="S1346" s="1684"/>
      <c r="T1346" s="1684"/>
      <c r="U1346" s="1684"/>
      <c r="V1346" s="1684"/>
      <c r="W1346" s="1684"/>
      <c r="X1346" s="1684"/>
      <c r="Y1346" s="1684"/>
      <c r="Z1346" s="1684"/>
      <c r="AA1346" s="1684"/>
      <c r="AB1346" s="1684"/>
      <c r="AC1346" s="1684"/>
      <c r="AD1346" s="1684"/>
      <c r="AE1346" s="1684"/>
      <c r="AF1346" s="1684"/>
      <c r="AG1346" s="1684"/>
      <c r="AH1346" s="1684"/>
      <c r="AI1346" s="1684"/>
      <c r="AJ1346" s="1684"/>
      <c r="AK1346" s="1684"/>
      <c r="AL1346" s="1684"/>
      <c r="AM1346" s="1684"/>
      <c r="AN1346" s="1684"/>
      <c r="AO1346" s="1684"/>
      <c r="AP1346" s="1684"/>
      <c r="AQ1346" s="1684"/>
      <c r="AR1346" s="1684"/>
      <c r="AS1346" s="1684"/>
      <c r="AT1346" s="1684"/>
      <c r="AU1346" s="1684"/>
      <c r="AV1346" s="1684"/>
      <c r="AW1346" s="1684"/>
      <c r="AX1346" s="1684"/>
      <c r="AY1346" s="1684"/>
      <c r="AZ1346" s="1684"/>
      <c r="BA1346" s="1684"/>
      <c r="BB1346" s="1684"/>
      <c r="BC1346" s="1684"/>
      <c r="BD1346" s="1684"/>
      <c r="BE1346" s="1684"/>
      <c r="BF1346" s="1684"/>
      <c r="BG1346" s="1684"/>
      <c r="BH1346" s="1684"/>
      <c r="BI1346" s="1684"/>
      <c r="BJ1346" s="1684"/>
      <c r="BK1346" s="1684"/>
      <c r="BL1346" s="1684"/>
      <c r="BM1346" s="1684"/>
      <c r="BN1346" s="1684"/>
      <c r="BO1346" s="1684"/>
      <c r="BP1346" s="1684"/>
      <c r="BQ1346" s="1684"/>
      <c r="BR1346" s="1684"/>
      <c r="BS1346" s="1684"/>
      <c r="BT1346" s="1684"/>
      <c r="BU1346" s="1684"/>
      <c r="BV1346" s="1684"/>
      <c r="BW1346" s="1684"/>
      <c r="BX1346" s="1684"/>
      <c r="BY1346" s="1684"/>
      <c r="BZ1346" s="1684"/>
      <c r="CA1346" s="1684"/>
      <c r="CB1346" s="1684"/>
      <c r="CC1346" s="1684"/>
      <c r="CD1346" s="1684"/>
      <c r="CE1346" s="1684"/>
      <c r="CF1346" s="1684"/>
      <c r="CG1346" s="1684"/>
      <c r="CH1346" s="1684"/>
      <c r="CI1346" s="1684"/>
      <c r="CJ1346" s="1684"/>
      <c r="CK1346" s="1684"/>
      <c r="CL1346" s="1684"/>
      <c r="CM1346" s="1684"/>
      <c r="CN1346" s="1684"/>
      <c r="CO1346" s="1684"/>
    </row>
    <row r="1347" spans="1:93" s="1391" customFormat="1" ht="15" x14ac:dyDescent="0.2">
      <c r="A1347" s="1684"/>
      <c r="B1347" s="1684"/>
      <c r="C1347" s="2013">
        <v>10</v>
      </c>
      <c r="D1347" s="5">
        <v>5.9210000000000003</v>
      </c>
      <c r="E1347">
        <v>170</v>
      </c>
      <c r="F1347">
        <v>189</v>
      </c>
      <c r="G1347">
        <v>207</v>
      </c>
      <c r="H1347">
        <v>225</v>
      </c>
      <c r="I1347">
        <v>243</v>
      </c>
      <c r="J1347">
        <v>261</v>
      </c>
      <c r="K1347">
        <v>279</v>
      </c>
      <c r="L1347">
        <v>297</v>
      </c>
      <c r="M1347">
        <v>314</v>
      </c>
      <c r="N1347">
        <v>332</v>
      </c>
      <c r="O1347">
        <v>350</v>
      </c>
      <c r="P1347">
        <v>368</v>
      </c>
      <c r="Q1347" s="1160">
        <v>36</v>
      </c>
      <c r="R1347"/>
      <c r="S1347" s="1684"/>
      <c r="T1347" s="1684"/>
      <c r="U1347" s="1684"/>
      <c r="V1347" s="1684"/>
      <c r="W1347" s="1684"/>
      <c r="X1347" s="1684"/>
      <c r="Y1347" s="1684"/>
      <c r="Z1347" s="1684"/>
      <c r="AA1347" s="1684"/>
      <c r="AB1347" s="1684"/>
      <c r="AC1347" s="1684"/>
      <c r="AD1347" s="1684"/>
      <c r="AE1347" s="1684"/>
      <c r="AF1347" s="1684"/>
      <c r="AG1347" s="1684"/>
      <c r="AH1347" s="1684"/>
      <c r="AI1347" s="1684"/>
      <c r="AJ1347" s="1684"/>
      <c r="AK1347" s="1684"/>
      <c r="AL1347" s="1684"/>
      <c r="AM1347" s="1684"/>
      <c r="AN1347" s="1684"/>
      <c r="AO1347" s="1684"/>
      <c r="AP1347" s="1684"/>
      <c r="AQ1347" s="1684"/>
      <c r="AR1347" s="1684"/>
      <c r="AS1347" s="1684"/>
      <c r="AT1347" s="1684"/>
      <c r="AU1347" s="1684"/>
      <c r="AV1347" s="1684"/>
      <c r="AW1347" s="1684"/>
      <c r="AX1347" s="1684"/>
      <c r="AY1347" s="1684"/>
      <c r="AZ1347" s="1684"/>
      <c r="BA1347" s="1684"/>
      <c r="BB1347" s="1684"/>
      <c r="BC1347" s="1684"/>
      <c r="BD1347" s="1684"/>
      <c r="BE1347" s="1684"/>
      <c r="BF1347" s="1684"/>
      <c r="BG1347" s="1684"/>
      <c r="BH1347" s="1684"/>
      <c r="BI1347" s="1684"/>
      <c r="BJ1347" s="1684"/>
      <c r="BK1347" s="1684"/>
      <c r="BL1347" s="1684"/>
      <c r="BM1347" s="1684"/>
      <c r="BN1347" s="1684"/>
      <c r="BO1347" s="1684"/>
      <c r="BP1347" s="1684"/>
      <c r="BQ1347" s="1684"/>
      <c r="BR1347" s="1684"/>
      <c r="BS1347" s="1684"/>
      <c r="BT1347" s="1684"/>
      <c r="BU1347" s="1684"/>
      <c r="BV1347" s="1684"/>
      <c r="BW1347" s="1684"/>
      <c r="BX1347" s="1684"/>
      <c r="BY1347" s="1684"/>
      <c r="BZ1347" s="1684"/>
      <c r="CA1347" s="1684"/>
      <c r="CB1347" s="1684"/>
      <c r="CC1347" s="1684"/>
      <c r="CD1347" s="1684"/>
      <c r="CE1347" s="1684"/>
      <c r="CF1347" s="1684"/>
      <c r="CG1347" s="1684"/>
      <c r="CH1347" s="1684"/>
      <c r="CI1347" s="1684"/>
      <c r="CJ1347" s="1684"/>
      <c r="CK1347" s="1684"/>
      <c r="CL1347" s="1684"/>
      <c r="CM1347" s="1684"/>
      <c r="CN1347" s="1684"/>
      <c r="CO1347" s="1684"/>
    </row>
    <row r="1348" spans="1:93" s="1391" customFormat="1" ht="15" x14ac:dyDescent="0.2">
      <c r="A1348" s="1684"/>
      <c r="B1348" s="1684"/>
      <c r="C1348" s="2013">
        <v>11</v>
      </c>
      <c r="D1348" s="5">
        <v>6.274</v>
      </c>
      <c r="E1348">
        <v>186</v>
      </c>
      <c r="F1348">
        <v>207</v>
      </c>
      <c r="G1348">
        <v>226</v>
      </c>
      <c r="H1348">
        <v>246</v>
      </c>
      <c r="I1348">
        <v>263</v>
      </c>
      <c r="J1348">
        <v>283</v>
      </c>
      <c r="K1348">
        <v>303</v>
      </c>
      <c r="L1348">
        <v>325</v>
      </c>
      <c r="M1348">
        <v>344</v>
      </c>
      <c r="N1348">
        <v>363</v>
      </c>
      <c r="O1348">
        <v>383</v>
      </c>
      <c r="P1348">
        <v>402</v>
      </c>
      <c r="Q1348" s="1160">
        <v>37</v>
      </c>
      <c r="R1348"/>
      <c r="S1348" s="1684"/>
      <c r="T1348" s="1684"/>
      <c r="U1348" s="1684"/>
      <c r="V1348" s="1684"/>
      <c r="W1348" s="1684"/>
      <c r="X1348" s="1684"/>
      <c r="Y1348" s="1684"/>
      <c r="Z1348" s="1684"/>
      <c r="AA1348" s="1684"/>
      <c r="AB1348" s="1684"/>
      <c r="AC1348" s="1684"/>
      <c r="AD1348" s="1684"/>
      <c r="AE1348" s="1684"/>
      <c r="AF1348" s="1684"/>
      <c r="AG1348" s="1684"/>
      <c r="AH1348" s="1684"/>
      <c r="AI1348" s="1684"/>
      <c r="AJ1348" s="1684"/>
      <c r="AK1348" s="1684"/>
      <c r="AL1348" s="1684"/>
      <c r="AM1348" s="1684"/>
      <c r="AN1348" s="1684"/>
      <c r="AO1348" s="1684"/>
      <c r="AP1348" s="1684"/>
      <c r="AQ1348" s="1684"/>
      <c r="AR1348" s="1684"/>
      <c r="AS1348" s="1684"/>
      <c r="AT1348" s="1684"/>
      <c r="AU1348" s="1684"/>
      <c r="AV1348" s="1684"/>
      <c r="AW1348" s="1684"/>
      <c r="AX1348" s="1684"/>
      <c r="AY1348" s="1684"/>
      <c r="AZ1348" s="1684"/>
      <c r="BA1348" s="1684"/>
      <c r="BB1348" s="1684"/>
      <c r="BC1348" s="1684"/>
      <c r="BD1348" s="1684"/>
      <c r="BE1348" s="1684"/>
      <c r="BF1348" s="1684"/>
      <c r="BG1348" s="1684"/>
      <c r="BH1348" s="1684"/>
      <c r="BI1348" s="1684"/>
      <c r="BJ1348" s="1684"/>
      <c r="BK1348" s="1684"/>
      <c r="BL1348" s="1684"/>
      <c r="BM1348" s="1684"/>
      <c r="BN1348" s="1684"/>
      <c r="BO1348" s="1684"/>
      <c r="BP1348" s="1684"/>
      <c r="BQ1348" s="1684"/>
      <c r="BR1348" s="1684"/>
      <c r="BS1348" s="1684"/>
      <c r="BT1348" s="1684"/>
      <c r="BU1348" s="1684"/>
      <c r="BV1348" s="1684"/>
      <c r="BW1348" s="1684"/>
      <c r="BX1348" s="1684"/>
      <c r="BY1348" s="1684"/>
      <c r="BZ1348" s="1684"/>
      <c r="CA1348" s="1684"/>
      <c r="CB1348" s="1684"/>
      <c r="CC1348" s="1684"/>
      <c r="CD1348" s="1684"/>
      <c r="CE1348" s="1684"/>
      <c r="CF1348" s="1684"/>
      <c r="CG1348" s="1684"/>
      <c r="CH1348" s="1684"/>
      <c r="CI1348" s="1684"/>
      <c r="CJ1348" s="1684"/>
      <c r="CK1348" s="1684"/>
      <c r="CL1348" s="1684"/>
      <c r="CM1348" s="1684"/>
      <c r="CN1348" s="1684"/>
      <c r="CO1348" s="1684"/>
    </row>
    <row r="1349" spans="1:93" s="1391" customFormat="1" ht="15" x14ac:dyDescent="0.2">
      <c r="A1349" s="1684"/>
      <c r="B1349" s="1684"/>
      <c r="C1349" s="2013">
        <v>12</v>
      </c>
      <c r="D1349" s="5">
        <v>6.6379999999999999</v>
      </c>
      <c r="E1349">
        <v>202</v>
      </c>
      <c r="F1349">
        <v>225</v>
      </c>
      <c r="G1349">
        <v>246</v>
      </c>
      <c r="H1349">
        <v>267</v>
      </c>
      <c r="I1349">
        <v>289</v>
      </c>
      <c r="J1349">
        <v>310</v>
      </c>
      <c r="K1349">
        <v>331</v>
      </c>
      <c r="L1349">
        <v>354</v>
      </c>
      <c r="M1349">
        <v>374</v>
      </c>
      <c r="N1349">
        <v>395</v>
      </c>
      <c r="O1349">
        <v>417</v>
      </c>
      <c r="P1349">
        <v>438</v>
      </c>
      <c r="Q1349" s="1160">
        <v>38</v>
      </c>
      <c r="R1349"/>
      <c r="S1349" s="1684"/>
      <c r="T1349" s="1684"/>
      <c r="U1349" s="1684"/>
      <c r="V1349" s="1684"/>
      <c r="W1349" s="1684"/>
      <c r="X1349" s="1684"/>
      <c r="Y1349" s="1684"/>
      <c r="Z1349" s="1684"/>
      <c r="AA1349" s="1684"/>
      <c r="AB1349" s="1684"/>
      <c r="AC1349" s="1684"/>
      <c r="AD1349" s="1684"/>
      <c r="AE1349" s="1684"/>
      <c r="AF1349" s="1684"/>
      <c r="AG1349" s="1684"/>
      <c r="AH1349" s="1684"/>
      <c r="AI1349" s="1684"/>
      <c r="AJ1349" s="1684"/>
      <c r="AK1349" s="1684"/>
      <c r="AL1349" s="1684"/>
      <c r="AM1349" s="1684"/>
      <c r="AN1349" s="1684"/>
      <c r="AO1349" s="1684"/>
      <c r="AP1349" s="1684"/>
      <c r="AQ1349" s="1684"/>
      <c r="AR1349" s="1684"/>
      <c r="AS1349" s="1684"/>
      <c r="AT1349" s="1684"/>
      <c r="AU1349" s="1684"/>
      <c r="AV1349" s="1684"/>
      <c r="AW1349" s="1684"/>
      <c r="AX1349" s="1684"/>
      <c r="AY1349" s="1684"/>
      <c r="AZ1349" s="1684"/>
      <c r="BA1349" s="1684"/>
      <c r="BB1349" s="1684"/>
      <c r="BC1349" s="1684"/>
      <c r="BD1349" s="1684"/>
      <c r="BE1349" s="1684"/>
      <c r="BF1349" s="1684"/>
      <c r="BG1349" s="1684"/>
      <c r="BH1349" s="1684"/>
      <c r="BI1349" s="1684"/>
      <c r="BJ1349" s="1684"/>
      <c r="BK1349" s="1684"/>
      <c r="BL1349" s="1684"/>
      <c r="BM1349" s="1684"/>
      <c r="BN1349" s="1684"/>
      <c r="BO1349" s="1684"/>
      <c r="BP1349" s="1684"/>
      <c r="BQ1349" s="1684"/>
      <c r="BR1349" s="1684"/>
      <c r="BS1349" s="1684"/>
      <c r="BT1349" s="1684"/>
      <c r="BU1349" s="1684"/>
      <c r="BV1349" s="1684"/>
      <c r="BW1349" s="1684"/>
      <c r="BX1349" s="1684"/>
      <c r="BY1349" s="1684"/>
      <c r="BZ1349" s="1684"/>
      <c r="CA1349" s="1684"/>
      <c r="CB1349" s="1684"/>
      <c r="CC1349" s="1684"/>
      <c r="CD1349" s="1684"/>
      <c r="CE1349" s="1684"/>
      <c r="CF1349" s="1684"/>
      <c r="CG1349" s="1684"/>
      <c r="CH1349" s="1684"/>
      <c r="CI1349" s="1684"/>
      <c r="CJ1349" s="1684"/>
      <c r="CK1349" s="1684"/>
      <c r="CL1349" s="1684"/>
      <c r="CM1349" s="1684"/>
      <c r="CN1349" s="1684"/>
      <c r="CO1349" s="1684"/>
    </row>
    <row r="1350" spans="1:93" s="1391" customFormat="1" ht="15" x14ac:dyDescent="0.2">
      <c r="A1350" s="1684"/>
      <c r="B1350" s="1684"/>
      <c r="C1350" s="2013">
        <v>13</v>
      </c>
      <c r="D1350" s="5">
        <v>7.0039999999999996</v>
      </c>
      <c r="E1350">
        <v>219</v>
      </c>
      <c r="F1350">
        <v>243</v>
      </c>
      <c r="G1350">
        <v>266</v>
      </c>
      <c r="H1350">
        <v>289</v>
      </c>
      <c r="I1350">
        <v>312</v>
      </c>
      <c r="J1350">
        <v>333</v>
      </c>
      <c r="K1350">
        <v>358</v>
      </c>
      <c r="L1350">
        <v>382</v>
      </c>
      <c r="M1350">
        <v>404</v>
      </c>
      <c r="N1350">
        <v>427</v>
      </c>
      <c r="O1350">
        <v>460</v>
      </c>
      <c r="P1350">
        <v>473</v>
      </c>
      <c r="Q1350" s="1160">
        <v>39</v>
      </c>
      <c r="R1350"/>
      <c r="S1350" s="1684"/>
      <c r="T1350" s="1684"/>
      <c r="U1350" s="1684"/>
      <c r="V1350" s="1684"/>
      <c r="W1350" s="1684"/>
      <c r="X1350" s="1684"/>
      <c r="Y1350" s="1684"/>
      <c r="Z1350" s="1684"/>
      <c r="AA1350" s="1684"/>
      <c r="AB1350" s="1684"/>
      <c r="AC1350" s="1684"/>
      <c r="AD1350" s="1684"/>
      <c r="AE1350" s="1684"/>
      <c r="AF1350" s="1684"/>
      <c r="AG1350" s="1684"/>
      <c r="AH1350" s="1684"/>
      <c r="AI1350" s="1684"/>
      <c r="AJ1350" s="1684"/>
      <c r="AK1350" s="1684"/>
      <c r="AL1350" s="1684"/>
      <c r="AM1350" s="1684"/>
      <c r="AN1350" s="1684"/>
      <c r="AO1350" s="1684"/>
      <c r="AP1350" s="1684"/>
      <c r="AQ1350" s="1684"/>
      <c r="AR1350" s="1684"/>
      <c r="AS1350" s="1684"/>
      <c r="AT1350" s="1684"/>
      <c r="AU1350" s="1684"/>
      <c r="AV1350" s="1684"/>
      <c r="AW1350" s="1684"/>
      <c r="AX1350" s="1684"/>
      <c r="AY1350" s="1684"/>
      <c r="AZ1350" s="1684"/>
      <c r="BA1350" s="1684"/>
      <c r="BB1350" s="1684"/>
      <c r="BC1350" s="1684"/>
      <c r="BD1350" s="1684"/>
      <c r="BE1350" s="1684"/>
      <c r="BF1350" s="1684"/>
      <c r="BG1350" s="1684"/>
      <c r="BH1350" s="1684"/>
      <c r="BI1350" s="1684"/>
      <c r="BJ1350" s="1684"/>
      <c r="BK1350" s="1684"/>
      <c r="BL1350" s="1684"/>
      <c r="BM1350" s="1684"/>
      <c r="BN1350" s="1684"/>
      <c r="BO1350" s="1684"/>
      <c r="BP1350" s="1684"/>
      <c r="BQ1350" s="1684"/>
      <c r="BR1350" s="1684"/>
      <c r="BS1350" s="1684"/>
      <c r="BT1350" s="1684"/>
      <c r="BU1350" s="1684"/>
      <c r="BV1350" s="1684"/>
      <c r="BW1350" s="1684"/>
      <c r="BX1350" s="1684"/>
      <c r="BY1350" s="1684"/>
      <c r="BZ1350" s="1684"/>
      <c r="CA1350" s="1684"/>
      <c r="CB1350" s="1684"/>
      <c r="CC1350" s="1684"/>
      <c r="CD1350" s="1684"/>
      <c r="CE1350" s="1684"/>
      <c r="CF1350" s="1684"/>
      <c r="CG1350" s="1684"/>
      <c r="CH1350" s="1684"/>
      <c r="CI1350" s="1684"/>
      <c r="CJ1350" s="1684"/>
      <c r="CK1350" s="1684"/>
      <c r="CL1350" s="1684"/>
      <c r="CM1350" s="1684"/>
      <c r="CN1350" s="1684"/>
      <c r="CO1350" s="1684"/>
    </row>
    <row r="1351" spans="1:93" s="1391" customFormat="1" ht="15" x14ac:dyDescent="0.2">
      <c r="A1351" s="1684"/>
      <c r="B1351" s="1684"/>
      <c r="C1351" s="2013">
        <v>14</v>
      </c>
      <c r="D1351" s="5">
        <v>7.3840000000000003</v>
      </c>
      <c r="E1351">
        <v>236</v>
      </c>
      <c r="F1351">
        <v>262</v>
      </c>
      <c r="G1351">
        <v>287</v>
      </c>
      <c r="H1351">
        <v>311</v>
      </c>
      <c r="I1351">
        <v>336</v>
      </c>
      <c r="J1351">
        <v>361</v>
      </c>
      <c r="K1351">
        <v>386</v>
      </c>
      <c r="L1351">
        <v>412</v>
      </c>
      <c r="M1351">
        <v>436</v>
      </c>
      <c r="N1351">
        <v>460</v>
      </c>
      <c r="O1351">
        <v>485</v>
      </c>
      <c r="P1351">
        <v>510</v>
      </c>
      <c r="Q1351" s="1160">
        <v>40</v>
      </c>
      <c r="R1351"/>
      <c r="S1351" s="1684"/>
      <c r="T1351" s="1684"/>
      <c r="U1351" s="1684"/>
      <c r="V1351" s="1684"/>
      <c r="W1351" s="1684"/>
      <c r="X1351" s="1684"/>
      <c r="Y1351" s="1684"/>
      <c r="Z1351" s="1684"/>
      <c r="AA1351" s="1684"/>
      <c r="AB1351" s="1684"/>
      <c r="AC1351" s="1684"/>
      <c r="AD1351" s="1684"/>
      <c r="AE1351" s="1684"/>
      <c r="AF1351" s="1684"/>
      <c r="AG1351" s="1684"/>
      <c r="AH1351" s="1684"/>
      <c r="AI1351" s="1684"/>
      <c r="AJ1351" s="1684"/>
      <c r="AK1351" s="1684"/>
      <c r="AL1351" s="1684"/>
      <c r="AM1351" s="1684"/>
      <c r="AN1351" s="1684"/>
      <c r="AO1351" s="1684"/>
      <c r="AP1351" s="1684"/>
      <c r="AQ1351" s="1684"/>
      <c r="AR1351" s="1684"/>
      <c r="AS1351" s="1684"/>
      <c r="AT1351" s="1684"/>
      <c r="AU1351" s="1684"/>
      <c r="AV1351" s="1684"/>
      <c r="AW1351" s="1684"/>
      <c r="AX1351" s="1684"/>
      <c r="AY1351" s="1684"/>
      <c r="AZ1351" s="1684"/>
      <c r="BA1351" s="1684"/>
      <c r="BB1351" s="1684"/>
      <c r="BC1351" s="1684"/>
      <c r="BD1351" s="1684"/>
      <c r="BE1351" s="1684"/>
      <c r="BF1351" s="1684"/>
      <c r="BG1351" s="1684"/>
      <c r="BH1351" s="1684"/>
      <c r="BI1351" s="1684"/>
      <c r="BJ1351" s="1684"/>
      <c r="BK1351" s="1684"/>
      <c r="BL1351" s="1684"/>
      <c r="BM1351" s="1684"/>
      <c r="BN1351" s="1684"/>
      <c r="BO1351" s="1684"/>
      <c r="BP1351" s="1684"/>
      <c r="BQ1351" s="1684"/>
      <c r="BR1351" s="1684"/>
      <c r="BS1351" s="1684"/>
      <c r="BT1351" s="1684"/>
      <c r="BU1351" s="1684"/>
      <c r="BV1351" s="1684"/>
      <c r="BW1351" s="1684"/>
      <c r="BX1351" s="1684"/>
      <c r="BY1351" s="1684"/>
      <c r="BZ1351" s="1684"/>
      <c r="CA1351" s="1684"/>
      <c r="CB1351" s="1684"/>
      <c r="CC1351" s="1684"/>
      <c r="CD1351" s="1684"/>
      <c r="CE1351" s="1684"/>
      <c r="CF1351" s="1684"/>
      <c r="CG1351" s="1684"/>
      <c r="CH1351" s="1684"/>
      <c r="CI1351" s="1684"/>
      <c r="CJ1351" s="1684"/>
      <c r="CK1351" s="1684"/>
      <c r="CL1351" s="1684"/>
      <c r="CM1351" s="1684"/>
      <c r="CN1351" s="1684"/>
      <c r="CO1351" s="1684"/>
    </row>
    <row r="1352" spans="1:93" s="1391" customFormat="1" ht="15" x14ac:dyDescent="0.2">
      <c r="A1352" s="1684"/>
      <c r="B1352" s="1684"/>
      <c r="C1352" s="2013">
        <v>15</v>
      </c>
      <c r="D1352" s="5">
        <v>7.7709999999999999</v>
      </c>
      <c r="E1352">
        <v>253</v>
      </c>
      <c r="F1352">
        <v>281</v>
      </c>
      <c r="G1352">
        <v>308</v>
      </c>
      <c r="H1352">
        <v>334</v>
      </c>
      <c r="I1352">
        <v>361</v>
      </c>
      <c r="J1352">
        <v>387</v>
      </c>
      <c r="K1352">
        <v>414</v>
      </c>
      <c r="L1352">
        <v>442</v>
      </c>
      <c r="M1352">
        <v>467</v>
      </c>
      <c r="N1352">
        <v>494</v>
      </c>
      <c r="O1352">
        <v>521</v>
      </c>
      <c r="P1352">
        <v>547</v>
      </c>
      <c r="Q1352" s="1160">
        <v>41</v>
      </c>
      <c r="R1352"/>
      <c r="S1352" s="1684"/>
      <c r="T1352" s="1684"/>
      <c r="U1352" s="1684"/>
      <c r="V1352" s="1684"/>
      <c r="W1352" s="1684"/>
      <c r="X1352" s="1684"/>
      <c r="Y1352" s="1684"/>
      <c r="Z1352" s="1684"/>
      <c r="AA1352" s="1684"/>
      <c r="AB1352" s="1684"/>
      <c r="AC1352" s="1684"/>
      <c r="AD1352" s="1684"/>
      <c r="AE1352" s="1684"/>
      <c r="AF1352" s="1684"/>
      <c r="AG1352" s="1684"/>
      <c r="AH1352" s="1684"/>
      <c r="AI1352" s="1684"/>
      <c r="AJ1352" s="1684"/>
      <c r="AK1352" s="1684"/>
      <c r="AL1352" s="1684"/>
      <c r="AM1352" s="1684"/>
      <c r="AN1352" s="1684"/>
      <c r="AO1352" s="1684"/>
      <c r="AP1352" s="1684"/>
      <c r="AQ1352" s="1684"/>
      <c r="AR1352" s="1684"/>
      <c r="AS1352" s="1684"/>
      <c r="AT1352" s="1684"/>
      <c r="AU1352" s="1684"/>
      <c r="AV1352" s="1684"/>
      <c r="AW1352" s="1684"/>
      <c r="AX1352" s="1684"/>
      <c r="AY1352" s="1684"/>
      <c r="AZ1352" s="1684"/>
      <c r="BA1352" s="1684"/>
      <c r="BB1352" s="1684"/>
      <c r="BC1352" s="1684"/>
      <c r="BD1352" s="1684"/>
      <c r="BE1352" s="1684"/>
      <c r="BF1352" s="1684"/>
      <c r="BG1352" s="1684"/>
      <c r="BH1352" s="1684"/>
      <c r="BI1352" s="1684"/>
      <c r="BJ1352" s="1684"/>
      <c r="BK1352" s="1684"/>
      <c r="BL1352" s="1684"/>
      <c r="BM1352" s="1684"/>
      <c r="BN1352" s="1684"/>
      <c r="BO1352" s="1684"/>
      <c r="BP1352" s="1684"/>
      <c r="BQ1352" s="1684"/>
      <c r="BR1352" s="1684"/>
      <c r="BS1352" s="1684"/>
      <c r="BT1352" s="1684"/>
      <c r="BU1352" s="1684"/>
      <c r="BV1352" s="1684"/>
      <c r="BW1352" s="1684"/>
      <c r="BX1352" s="1684"/>
      <c r="BY1352" s="1684"/>
      <c r="BZ1352" s="1684"/>
      <c r="CA1352" s="1684"/>
      <c r="CB1352" s="1684"/>
      <c r="CC1352" s="1684"/>
      <c r="CD1352" s="1684"/>
      <c r="CE1352" s="1684"/>
      <c r="CF1352" s="1684"/>
      <c r="CG1352" s="1684"/>
      <c r="CH1352" s="1684"/>
      <c r="CI1352" s="1684"/>
      <c r="CJ1352" s="1684"/>
      <c r="CK1352" s="1684"/>
      <c r="CL1352" s="1684"/>
      <c r="CM1352" s="1684"/>
      <c r="CN1352" s="1684"/>
      <c r="CO1352" s="1684"/>
    </row>
    <row r="1353" spans="1:93" s="1391" customFormat="1" ht="15" x14ac:dyDescent="0.2">
      <c r="A1353" s="1684"/>
      <c r="B1353" s="1684"/>
      <c r="C1353" s="2013">
        <v>16</v>
      </c>
      <c r="D1353" s="5">
        <v>8.2889999999999997</v>
      </c>
      <c r="E1353">
        <v>269</v>
      </c>
      <c r="F1353">
        <v>299</v>
      </c>
      <c r="G1353">
        <v>328</v>
      </c>
      <c r="H1353">
        <v>356</v>
      </c>
      <c r="I1353">
        <v>384</v>
      </c>
      <c r="J1353">
        <v>413</v>
      </c>
      <c r="K1353">
        <v>441</v>
      </c>
      <c r="L1353">
        <v>471</v>
      </c>
      <c r="M1353">
        <v>498</v>
      </c>
      <c r="N1353">
        <v>526</v>
      </c>
      <c r="O1353">
        <v>555</v>
      </c>
      <c r="P1353">
        <v>583</v>
      </c>
      <c r="Q1353" s="1160">
        <v>42</v>
      </c>
      <c r="R1353"/>
      <c r="S1353" s="1684"/>
      <c r="T1353" s="1684"/>
      <c r="U1353" s="1684"/>
      <c r="V1353" s="1684"/>
      <c r="W1353" s="1684"/>
      <c r="X1353" s="1684"/>
      <c r="Y1353" s="1684"/>
      <c r="Z1353" s="1684"/>
      <c r="AA1353" s="1684"/>
      <c r="AB1353" s="1684"/>
      <c r="AC1353" s="1684"/>
      <c r="AD1353" s="1684"/>
      <c r="AE1353" s="1684"/>
      <c r="AF1353" s="1684"/>
      <c r="AG1353" s="1684"/>
      <c r="AH1353" s="1684"/>
      <c r="AI1353" s="1684"/>
      <c r="AJ1353" s="1684"/>
      <c r="AK1353" s="1684"/>
      <c r="AL1353" s="1684"/>
      <c r="AM1353" s="1684"/>
      <c r="AN1353" s="1684"/>
      <c r="AO1353" s="1684"/>
      <c r="AP1353" s="1684"/>
      <c r="AQ1353" s="1684"/>
      <c r="AR1353" s="1684"/>
      <c r="AS1353" s="1684"/>
      <c r="AT1353" s="1684"/>
      <c r="AU1353" s="1684"/>
      <c r="AV1353" s="1684"/>
      <c r="AW1353" s="1684"/>
      <c r="AX1353" s="1684"/>
      <c r="AY1353" s="1684"/>
      <c r="AZ1353" s="1684"/>
      <c r="BA1353" s="1684"/>
      <c r="BB1353" s="1684"/>
      <c r="BC1353" s="1684"/>
      <c r="BD1353" s="1684"/>
      <c r="BE1353" s="1684"/>
      <c r="BF1353" s="1684"/>
      <c r="BG1353" s="1684"/>
      <c r="BH1353" s="1684"/>
      <c r="BI1353" s="1684"/>
      <c r="BJ1353" s="1684"/>
      <c r="BK1353" s="1684"/>
      <c r="BL1353" s="1684"/>
      <c r="BM1353" s="1684"/>
      <c r="BN1353" s="1684"/>
      <c r="BO1353" s="1684"/>
      <c r="BP1353" s="1684"/>
      <c r="BQ1353" s="1684"/>
      <c r="BR1353" s="1684"/>
      <c r="BS1353" s="1684"/>
      <c r="BT1353" s="1684"/>
      <c r="BU1353" s="1684"/>
      <c r="BV1353" s="1684"/>
      <c r="BW1353" s="1684"/>
      <c r="BX1353" s="1684"/>
      <c r="BY1353" s="1684"/>
      <c r="BZ1353" s="1684"/>
      <c r="CA1353" s="1684"/>
      <c r="CB1353" s="1684"/>
      <c r="CC1353" s="1684"/>
      <c r="CD1353" s="1684"/>
      <c r="CE1353" s="1684"/>
      <c r="CF1353" s="1684"/>
      <c r="CG1353" s="1684"/>
      <c r="CH1353" s="1684"/>
      <c r="CI1353" s="1684"/>
      <c r="CJ1353" s="1684"/>
      <c r="CK1353" s="1684"/>
      <c r="CL1353" s="1684"/>
      <c r="CM1353" s="1684"/>
      <c r="CN1353" s="1684"/>
      <c r="CO1353" s="1684"/>
    </row>
    <row r="1354" spans="1:93" s="1391" customFormat="1" ht="15" x14ac:dyDescent="0.2">
      <c r="A1354" s="1684"/>
      <c r="B1354" s="1684"/>
      <c r="C1354" s="2013">
        <v>17</v>
      </c>
      <c r="D1354" s="5">
        <v>8.8439999999999994</v>
      </c>
      <c r="E1354">
        <v>285</v>
      </c>
      <c r="F1354">
        <v>316</v>
      </c>
      <c r="G1354">
        <v>346</v>
      </c>
      <c r="H1354">
        <v>376</v>
      </c>
      <c r="I1354">
        <v>406</v>
      </c>
      <c r="J1354">
        <v>436</v>
      </c>
      <c r="K1354">
        <v>466</v>
      </c>
      <c r="L1354">
        <v>497</v>
      </c>
      <c r="M1354">
        <v>526</v>
      </c>
      <c r="N1354">
        <v>556</v>
      </c>
      <c r="O1354">
        <v>586</v>
      </c>
      <c r="P1354">
        <v>615</v>
      </c>
      <c r="Q1354" s="1160">
        <v>43</v>
      </c>
      <c r="R1354"/>
      <c r="S1354" s="1684"/>
      <c r="T1354" s="1684"/>
      <c r="U1354" s="1684"/>
      <c r="V1354" s="1684"/>
      <c r="W1354" s="1684"/>
      <c r="X1354" s="1684"/>
      <c r="Y1354" s="1684"/>
      <c r="Z1354" s="1684"/>
      <c r="AA1354" s="1684"/>
      <c r="AB1354" s="1684"/>
      <c r="AC1354" s="1684"/>
      <c r="AD1354" s="1684"/>
      <c r="AE1354" s="1684"/>
      <c r="AF1354" s="1684"/>
      <c r="AG1354" s="1684"/>
      <c r="AH1354" s="1684"/>
      <c r="AI1354" s="1684"/>
      <c r="AJ1354" s="1684"/>
      <c r="AK1354" s="1684"/>
      <c r="AL1354" s="1684"/>
      <c r="AM1354" s="1684"/>
      <c r="AN1354" s="1684"/>
      <c r="AO1354" s="1684"/>
      <c r="AP1354" s="1684"/>
      <c r="AQ1354" s="1684"/>
      <c r="AR1354" s="1684"/>
      <c r="AS1354" s="1684"/>
      <c r="AT1354" s="1684"/>
      <c r="AU1354" s="1684"/>
      <c r="AV1354" s="1684"/>
      <c r="AW1354" s="1684"/>
      <c r="AX1354" s="1684"/>
      <c r="AY1354" s="1684"/>
      <c r="AZ1354" s="1684"/>
      <c r="BA1354" s="1684"/>
      <c r="BB1354" s="1684"/>
      <c r="BC1354" s="1684"/>
      <c r="BD1354" s="1684"/>
      <c r="BE1354" s="1684"/>
      <c r="BF1354" s="1684"/>
      <c r="BG1354" s="1684"/>
      <c r="BH1354" s="1684"/>
      <c r="BI1354" s="1684"/>
      <c r="BJ1354" s="1684"/>
      <c r="BK1354" s="1684"/>
      <c r="BL1354" s="1684"/>
      <c r="BM1354" s="1684"/>
      <c r="BN1354" s="1684"/>
      <c r="BO1354" s="1684"/>
      <c r="BP1354" s="1684"/>
      <c r="BQ1354" s="1684"/>
      <c r="BR1354" s="1684"/>
      <c r="BS1354" s="1684"/>
      <c r="BT1354" s="1684"/>
      <c r="BU1354" s="1684"/>
      <c r="BV1354" s="1684"/>
      <c r="BW1354" s="1684"/>
      <c r="BX1354" s="1684"/>
      <c r="BY1354" s="1684"/>
      <c r="BZ1354" s="1684"/>
      <c r="CA1354" s="1684"/>
      <c r="CB1354" s="1684"/>
      <c r="CC1354" s="1684"/>
      <c r="CD1354" s="1684"/>
      <c r="CE1354" s="1684"/>
      <c r="CF1354" s="1684"/>
      <c r="CG1354" s="1684"/>
      <c r="CH1354" s="1684"/>
      <c r="CI1354" s="1684"/>
      <c r="CJ1354" s="1684"/>
      <c r="CK1354" s="1684"/>
      <c r="CL1354" s="1684"/>
      <c r="CM1354" s="1684"/>
      <c r="CN1354" s="1684"/>
      <c r="CO1354" s="1684"/>
    </row>
    <row r="1355" spans="1:93" s="1391" customFormat="1" ht="15" x14ac:dyDescent="0.2">
      <c r="A1355" s="1684"/>
      <c r="B1355" s="1684"/>
      <c r="C1355" s="2013">
        <v>18</v>
      </c>
      <c r="D1355" s="5">
        <v>9.1609999999999996</v>
      </c>
      <c r="E1355">
        <v>298</v>
      </c>
      <c r="F1355">
        <v>331</v>
      </c>
      <c r="G1355">
        <v>362</v>
      </c>
      <c r="H1355">
        <v>394</v>
      </c>
      <c r="I1355">
        <v>425</v>
      </c>
      <c r="J1355">
        <v>457</v>
      </c>
      <c r="K1355">
        <v>488</v>
      </c>
      <c r="L1355">
        <v>521</v>
      </c>
      <c r="M1355">
        <v>551</v>
      </c>
      <c r="N1355">
        <v>582</v>
      </c>
      <c r="O1355">
        <v>613</v>
      </c>
      <c r="P1355">
        <v>645</v>
      </c>
      <c r="Q1355" s="1160">
        <v>44</v>
      </c>
      <c r="R1355"/>
      <c r="S1355" s="1684"/>
      <c r="T1355" s="1684"/>
      <c r="U1355" s="1684"/>
      <c r="V1355" s="1684"/>
      <c r="W1355" s="1684"/>
      <c r="X1355" s="1684"/>
      <c r="Y1355" s="1684"/>
      <c r="Z1355" s="1684"/>
      <c r="AA1355" s="1684"/>
      <c r="AB1355" s="1684"/>
      <c r="AC1355" s="1684"/>
      <c r="AD1355" s="1684"/>
      <c r="AE1355" s="1684"/>
      <c r="AF1355" s="1684"/>
      <c r="AG1355" s="1684"/>
      <c r="AH1355" s="1684"/>
      <c r="AI1355" s="1684"/>
      <c r="AJ1355" s="1684"/>
      <c r="AK1355" s="1684"/>
      <c r="AL1355" s="1684"/>
      <c r="AM1355" s="1684"/>
      <c r="AN1355" s="1684"/>
      <c r="AO1355" s="1684"/>
      <c r="AP1355" s="1684"/>
      <c r="AQ1355" s="1684"/>
      <c r="AR1355" s="1684"/>
      <c r="AS1355" s="1684"/>
      <c r="AT1355" s="1684"/>
      <c r="AU1355" s="1684"/>
      <c r="AV1355" s="1684"/>
      <c r="AW1355" s="1684"/>
      <c r="AX1355" s="1684"/>
      <c r="AY1355" s="1684"/>
      <c r="AZ1355" s="1684"/>
      <c r="BA1355" s="1684"/>
      <c r="BB1355" s="1684"/>
      <c r="BC1355" s="1684"/>
      <c r="BD1355" s="1684"/>
      <c r="BE1355" s="1684"/>
      <c r="BF1355" s="1684"/>
      <c r="BG1355" s="1684"/>
      <c r="BH1355" s="1684"/>
      <c r="BI1355" s="1684"/>
      <c r="BJ1355" s="1684"/>
      <c r="BK1355" s="1684"/>
      <c r="BL1355" s="1684"/>
      <c r="BM1355" s="1684"/>
      <c r="BN1355" s="1684"/>
      <c r="BO1355" s="1684"/>
      <c r="BP1355" s="1684"/>
      <c r="BQ1355" s="1684"/>
      <c r="BR1355" s="1684"/>
      <c r="BS1355" s="1684"/>
      <c r="BT1355" s="1684"/>
      <c r="BU1355" s="1684"/>
      <c r="BV1355" s="1684"/>
      <c r="BW1355" s="1684"/>
      <c r="BX1355" s="1684"/>
      <c r="BY1355" s="1684"/>
      <c r="BZ1355" s="1684"/>
      <c r="CA1355" s="1684"/>
      <c r="CB1355" s="1684"/>
      <c r="CC1355" s="1684"/>
      <c r="CD1355" s="1684"/>
      <c r="CE1355" s="1684"/>
      <c r="CF1355" s="1684"/>
      <c r="CG1355" s="1684"/>
      <c r="CH1355" s="1684"/>
      <c r="CI1355" s="1684"/>
      <c r="CJ1355" s="1684"/>
      <c r="CK1355" s="1684"/>
      <c r="CL1355" s="1684"/>
      <c r="CM1355" s="1684"/>
      <c r="CN1355" s="1684"/>
      <c r="CO1355" s="1684"/>
    </row>
    <row r="1356" spans="1:93" s="1391" customFormat="1" ht="15" x14ac:dyDescent="0.2">
      <c r="A1356" s="1684"/>
      <c r="B1356" s="1684"/>
      <c r="C1356" s="4680" t="s">
        <v>1906</v>
      </c>
      <c r="D1356" s="4681"/>
      <c r="E1356" s="4681"/>
      <c r="F1356" s="4681"/>
      <c r="G1356" s="4681"/>
      <c r="H1356" s="4681"/>
      <c r="I1356" s="4681"/>
      <c r="J1356" s="4681"/>
      <c r="K1356" s="4681"/>
      <c r="L1356" s="4681"/>
      <c r="M1356" s="4681"/>
      <c r="N1356" s="4681"/>
      <c r="O1356" s="4681"/>
      <c r="P1356" s="4681"/>
      <c r="Q1356" s="4682"/>
      <c r="R1356"/>
      <c r="S1356" s="1684"/>
      <c r="T1356" s="1684"/>
      <c r="U1356" s="1684"/>
      <c r="V1356" s="1684"/>
      <c r="W1356" s="1684"/>
      <c r="X1356" s="1684"/>
      <c r="Y1356" s="1684"/>
      <c r="Z1356" s="1684"/>
      <c r="AA1356" s="1684"/>
      <c r="AB1356" s="1684"/>
      <c r="AC1356" s="1684"/>
      <c r="AD1356" s="1684"/>
      <c r="AE1356" s="1684"/>
      <c r="AF1356" s="1684"/>
      <c r="AG1356" s="1684"/>
      <c r="AH1356" s="1684"/>
      <c r="AI1356" s="1684"/>
      <c r="AJ1356" s="1684"/>
      <c r="AK1356" s="1684"/>
      <c r="AL1356" s="1684"/>
      <c r="AM1356" s="1684"/>
      <c r="AN1356" s="1684"/>
      <c r="AO1356" s="1684"/>
      <c r="AP1356" s="1684"/>
      <c r="AQ1356" s="1684"/>
      <c r="AR1356" s="1684"/>
      <c r="AS1356" s="1684"/>
      <c r="AT1356" s="1684"/>
      <c r="AU1356" s="1684"/>
      <c r="AV1356" s="1684"/>
      <c r="AW1356" s="1684"/>
      <c r="AX1356" s="1684"/>
      <c r="AY1356" s="1684"/>
      <c r="AZ1356" s="1684"/>
      <c r="BA1356" s="1684"/>
      <c r="BB1356" s="1684"/>
      <c r="BC1356" s="1684"/>
      <c r="BD1356" s="1684"/>
      <c r="BE1356" s="1684"/>
      <c r="BF1356" s="1684"/>
      <c r="BG1356" s="1684"/>
      <c r="BH1356" s="1684"/>
      <c r="BI1356" s="1684"/>
      <c r="BJ1356" s="1684"/>
      <c r="BK1356" s="1684"/>
      <c r="BL1356" s="1684"/>
      <c r="BM1356" s="1684"/>
      <c r="BN1356" s="1684"/>
      <c r="BO1356" s="1684"/>
      <c r="BP1356" s="1684"/>
      <c r="BQ1356" s="1684"/>
      <c r="BR1356" s="1684"/>
      <c r="BS1356" s="1684"/>
      <c r="BT1356" s="1684"/>
      <c r="BU1356" s="1684"/>
      <c r="BV1356" s="1684"/>
      <c r="BW1356" s="1684"/>
      <c r="BX1356" s="1684"/>
      <c r="BY1356" s="1684"/>
      <c r="BZ1356" s="1684"/>
      <c r="CA1356" s="1684"/>
      <c r="CB1356" s="1684"/>
      <c r="CC1356" s="1684"/>
      <c r="CD1356" s="1684"/>
      <c r="CE1356" s="1684"/>
      <c r="CF1356" s="1684"/>
      <c r="CG1356" s="1684"/>
      <c r="CH1356" s="1684"/>
      <c r="CI1356" s="1684"/>
      <c r="CJ1356" s="1684"/>
      <c r="CK1356" s="1684"/>
      <c r="CL1356" s="1684"/>
      <c r="CM1356" s="1684"/>
      <c r="CN1356" s="1684"/>
      <c r="CO1356" s="1684"/>
    </row>
    <row r="1357" spans="1:93" s="1391" customFormat="1" ht="15" x14ac:dyDescent="0.2">
      <c r="A1357" s="1684"/>
      <c r="B1357" s="1684"/>
      <c r="C1357" s="4680"/>
      <c r="D1357" s="4681"/>
      <c r="E1357" s="4681"/>
      <c r="F1357" s="4681"/>
      <c r="G1357" s="4681"/>
      <c r="H1357" s="4681"/>
      <c r="I1357" s="4681"/>
      <c r="J1357" s="4681"/>
      <c r="K1357" s="4681"/>
      <c r="L1357" s="4681"/>
      <c r="M1357" s="4681"/>
      <c r="N1357" s="4681"/>
      <c r="O1357" s="4681"/>
      <c r="P1357" s="4681"/>
      <c r="Q1357" s="4682"/>
      <c r="R1357"/>
      <c r="S1357" s="1684"/>
      <c r="T1357" s="1684"/>
      <c r="U1357" s="1684"/>
      <c r="V1357" s="1684"/>
      <c r="W1357" s="1684"/>
      <c r="X1357" s="1684"/>
      <c r="Y1357" s="1684"/>
      <c r="Z1357" s="1684"/>
      <c r="AA1357" s="1684"/>
      <c r="AB1357" s="1684"/>
      <c r="AC1357" s="1684"/>
      <c r="AD1357" s="1684"/>
      <c r="AE1357" s="1684"/>
      <c r="AF1357" s="1684"/>
      <c r="AG1357" s="1684"/>
      <c r="AH1357" s="1684"/>
      <c r="AI1357" s="1684"/>
      <c r="AJ1357" s="1684"/>
      <c r="AK1357" s="1684"/>
      <c r="AL1357" s="1684"/>
      <c r="AM1357" s="1684"/>
      <c r="AN1357" s="1684"/>
      <c r="AO1357" s="1684"/>
      <c r="AP1357" s="1684"/>
      <c r="AQ1357" s="1684"/>
      <c r="AR1357" s="1684"/>
      <c r="AS1357" s="1684"/>
      <c r="AT1357" s="1684"/>
      <c r="AU1357" s="1684"/>
      <c r="AV1357" s="1684"/>
      <c r="AW1357" s="1684"/>
      <c r="AX1357" s="1684"/>
      <c r="AY1357" s="1684"/>
      <c r="AZ1357" s="1684"/>
      <c r="BA1357" s="1684"/>
      <c r="BB1357" s="1684"/>
      <c r="BC1357" s="1684"/>
      <c r="BD1357" s="1684"/>
      <c r="BE1357" s="1684"/>
      <c r="BF1357" s="1684"/>
      <c r="BG1357" s="1684"/>
      <c r="BH1357" s="1684"/>
      <c r="BI1357" s="1684"/>
      <c r="BJ1357" s="1684"/>
      <c r="BK1357" s="1684"/>
      <c r="BL1357" s="1684"/>
      <c r="BM1357" s="1684"/>
      <c r="BN1357" s="1684"/>
      <c r="BO1357" s="1684"/>
      <c r="BP1357" s="1684"/>
      <c r="BQ1357" s="1684"/>
      <c r="BR1357" s="1684"/>
      <c r="BS1357" s="1684"/>
      <c r="BT1357" s="1684"/>
      <c r="BU1357" s="1684"/>
      <c r="BV1357" s="1684"/>
      <c r="BW1357" s="1684"/>
      <c r="BX1357" s="1684"/>
      <c r="BY1357" s="1684"/>
      <c r="BZ1357" s="1684"/>
      <c r="CA1357" s="1684"/>
      <c r="CB1357" s="1684"/>
      <c r="CC1357" s="1684"/>
      <c r="CD1357" s="1684"/>
      <c r="CE1357" s="1684"/>
      <c r="CF1357" s="1684"/>
      <c r="CG1357" s="1684"/>
      <c r="CH1357" s="1684"/>
      <c r="CI1357" s="1684"/>
      <c r="CJ1357" s="1684"/>
      <c r="CK1357" s="1684"/>
      <c r="CL1357" s="1684"/>
      <c r="CM1357" s="1684"/>
      <c r="CN1357" s="1684"/>
      <c r="CO1357" s="1684"/>
    </row>
    <row r="1358" spans="1:93" s="1391" customFormat="1" ht="15" x14ac:dyDescent="0.2">
      <c r="A1358" s="1684"/>
      <c r="B1358" s="1684"/>
      <c r="C1358" s="4680" t="s">
        <v>3690</v>
      </c>
      <c r="D1358" s="4681"/>
      <c r="E1358" s="4681"/>
      <c r="F1358" s="4681"/>
      <c r="G1358" s="4681"/>
      <c r="H1358" s="4681"/>
      <c r="I1358" s="4681"/>
      <c r="J1358" s="4681"/>
      <c r="K1358" s="4681"/>
      <c r="L1358" s="4681"/>
      <c r="M1358" s="4681"/>
      <c r="N1358" s="4681"/>
      <c r="O1358" s="4681"/>
      <c r="P1358" s="4681"/>
      <c r="Q1358" s="4682"/>
      <c r="R1358"/>
      <c r="S1358" s="1684"/>
      <c r="T1358" s="1684"/>
      <c r="U1358" s="1684"/>
      <c r="V1358" s="1684"/>
      <c r="W1358" s="1684"/>
      <c r="X1358" s="1684"/>
      <c r="Y1358" s="1684"/>
      <c r="Z1358" s="1684"/>
      <c r="AA1358" s="1684"/>
      <c r="AB1358" s="1684"/>
      <c r="AC1358" s="1684"/>
      <c r="AD1358" s="1684"/>
      <c r="AE1358" s="1684"/>
      <c r="AF1358" s="1684"/>
      <c r="AG1358" s="1684"/>
      <c r="AH1358" s="1684"/>
      <c r="AI1358" s="1684"/>
      <c r="AJ1358" s="1684"/>
      <c r="AK1358" s="1684"/>
      <c r="AL1358" s="1684"/>
      <c r="AM1358" s="1684"/>
      <c r="AN1358" s="1684"/>
      <c r="AO1358" s="1684"/>
      <c r="AP1358" s="1684"/>
      <c r="AQ1358" s="1684"/>
      <c r="AR1358" s="1684"/>
      <c r="AS1358" s="1684"/>
      <c r="AT1358" s="1684"/>
      <c r="AU1358" s="1684"/>
      <c r="AV1358" s="1684"/>
      <c r="AW1358" s="1684"/>
      <c r="AX1358" s="1684"/>
      <c r="AY1358" s="1684"/>
      <c r="AZ1358" s="1684"/>
      <c r="BA1358" s="1684"/>
      <c r="BB1358" s="1684"/>
      <c r="BC1358" s="1684"/>
      <c r="BD1358" s="1684"/>
      <c r="BE1358" s="1684"/>
      <c r="BF1358" s="1684"/>
      <c r="BG1358" s="1684"/>
      <c r="BH1358" s="1684"/>
      <c r="BI1358" s="1684"/>
      <c r="BJ1358" s="1684"/>
      <c r="BK1358" s="1684"/>
      <c r="BL1358" s="1684"/>
      <c r="BM1358" s="1684"/>
      <c r="BN1358" s="1684"/>
      <c r="BO1358" s="1684"/>
      <c r="BP1358" s="1684"/>
      <c r="BQ1358" s="1684"/>
      <c r="BR1358" s="1684"/>
      <c r="BS1358" s="1684"/>
      <c r="BT1358" s="1684"/>
      <c r="BU1358" s="1684"/>
      <c r="BV1358" s="1684"/>
      <c r="BW1358" s="1684"/>
      <c r="BX1358" s="1684"/>
      <c r="BY1358" s="1684"/>
      <c r="BZ1358" s="1684"/>
      <c r="CA1358" s="1684"/>
      <c r="CB1358" s="1684"/>
      <c r="CC1358" s="1684"/>
      <c r="CD1358" s="1684"/>
      <c r="CE1358" s="1684"/>
      <c r="CF1358" s="1684"/>
      <c r="CG1358" s="1684"/>
      <c r="CH1358" s="1684"/>
      <c r="CI1358" s="1684"/>
      <c r="CJ1358" s="1684"/>
      <c r="CK1358" s="1684"/>
      <c r="CL1358" s="1684"/>
      <c r="CM1358" s="1684"/>
      <c r="CN1358" s="1684"/>
      <c r="CO1358" s="1684"/>
    </row>
    <row r="1359" spans="1:93" s="1391" customFormat="1" ht="15" x14ac:dyDescent="0.2">
      <c r="A1359" s="1684"/>
      <c r="B1359" s="1684"/>
      <c r="C1359" s="4680"/>
      <c r="D1359" s="4681"/>
      <c r="E1359" s="4681"/>
      <c r="F1359" s="4681"/>
      <c r="G1359" s="4681"/>
      <c r="H1359" s="4681"/>
      <c r="I1359" s="4681"/>
      <c r="J1359" s="4681"/>
      <c r="K1359" s="4681"/>
      <c r="L1359" s="4681"/>
      <c r="M1359" s="4681"/>
      <c r="N1359" s="4681"/>
      <c r="O1359" s="4681"/>
      <c r="P1359" s="4681"/>
      <c r="Q1359" s="4682"/>
      <c r="R1359"/>
      <c r="S1359" s="1684"/>
      <c r="T1359" s="1684"/>
      <c r="U1359" s="1684"/>
      <c r="V1359" s="1684"/>
      <c r="W1359" s="1684"/>
      <c r="X1359" s="1684"/>
      <c r="Y1359" s="1684"/>
      <c r="Z1359" s="1684"/>
      <c r="AA1359" s="1684"/>
      <c r="AB1359" s="1684"/>
      <c r="AC1359" s="1684"/>
      <c r="AD1359" s="1684"/>
      <c r="AE1359" s="1684"/>
      <c r="AF1359" s="1684"/>
      <c r="AG1359" s="1684"/>
      <c r="AH1359" s="1684"/>
      <c r="AI1359" s="1684"/>
      <c r="AJ1359" s="1684"/>
      <c r="AK1359" s="1684"/>
      <c r="AL1359" s="1684"/>
      <c r="AM1359" s="1684"/>
      <c r="AN1359" s="1684"/>
      <c r="AO1359" s="1684"/>
      <c r="AP1359" s="1684"/>
      <c r="AQ1359" s="1684"/>
      <c r="AR1359" s="1684"/>
      <c r="AS1359" s="1684"/>
      <c r="AT1359" s="1684"/>
      <c r="AU1359" s="1684"/>
      <c r="AV1359" s="1684"/>
      <c r="AW1359" s="1684"/>
      <c r="AX1359" s="1684"/>
      <c r="AY1359" s="1684"/>
      <c r="AZ1359" s="1684"/>
      <c r="BA1359" s="1684"/>
      <c r="BB1359" s="1684"/>
      <c r="BC1359" s="1684"/>
      <c r="BD1359" s="1684"/>
      <c r="BE1359" s="1684"/>
      <c r="BF1359" s="1684"/>
      <c r="BG1359" s="1684"/>
      <c r="BH1359" s="1684"/>
      <c r="BI1359" s="1684"/>
      <c r="BJ1359" s="1684"/>
      <c r="BK1359" s="1684"/>
      <c r="BL1359" s="1684"/>
      <c r="BM1359" s="1684"/>
      <c r="BN1359" s="1684"/>
      <c r="BO1359" s="1684"/>
      <c r="BP1359" s="1684"/>
      <c r="BQ1359" s="1684"/>
      <c r="BR1359" s="1684"/>
      <c r="BS1359" s="1684"/>
      <c r="BT1359" s="1684"/>
      <c r="BU1359" s="1684"/>
      <c r="BV1359" s="1684"/>
      <c r="BW1359" s="1684"/>
      <c r="BX1359" s="1684"/>
      <c r="BY1359" s="1684"/>
      <c r="BZ1359" s="1684"/>
      <c r="CA1359" s="1684"/>
      <c r="CB1359" s="1684"/>
      <c r="CC1359" s="1684"/>
      <c r="CD1359" s="1684"/>
      <c r="CE1359" s="1684"/>
      <c r="CF1359" s="1684"/>
      <c r="CG1359" s="1684"/>
      <c r="CH1359" s="1684"/>
      <c r="CI1359" s="1684"/>
      <c r="CJ1359" s="1684"/>
      <c r="CK1359" s="1684"/>
      <c r="CL1359" s="1684"/>
      <c r="CM1359" s="1684"/>
      <c r="CN1359" s="1684"/>
      <c r="CO1359" s="1684"/>
    </row>
    <row r="1360" spans="1:93" s="1391" customFormat="1" ht="15" x14ac:dyDescent="0.2">
      <c r="A1360" s="1684"/>
      <c r="B1360" s="1684"/>
      <c r="C1360" s="2013"/>
      <c r="D1360" s="5"/>
      <c r="E1360" s="5">
        <v>1</v>
      </c>
      <c r="F1360" s="5">
        <v>2</v>
      </c>
      <c r="G1360" s="5">
        <v>3</v>
      </c>
      <c r="H1360" s="5">
        <v>4</v>
      </c>
      <c r="I1360" s="5">
        <v>5</v>
      </c>
      <c r="J1360" s="5">
        <v>6</v>
      </c>
      <c r="K1360" s="5">
        <v>7</v>
      </c>
      <c r="L1360" s="5">
        <v>8</v>
      </c>
      <c r="M1360" s="5">
        <v>9</v>
      </c>
      <c r="N1360" s="5">
        <v>10</v>
      </c>
      <c r="O1360" s="5">
        <v>11</v>
      </c>
      <c r="P1360" s="5">
        <v>12</v>
      </c>
      <c r="Q1360" s="1160"/>
      <c r="R1360"/>
      <c r="S1360" s="1684"/>
      <c r="T1360" s="1684"/>
      <c r="U1360" s="1684"/>
      <c r="V1360" s="1684"/>
      <c r="W1360" s="1684"/>
      <c r="X1360" s="1684"/>
      <c r="Y1360" s="1684"/>
      <c r="Z1360" s="1684"/>
      <c r="AA1360" s="1684"/>
      <c r="AB1360" s="1684"/>
      <c r="AC1360" s="1684"/>
      <c r="AD1360" s="1684"/>
      <c r="AE1360" s="1684"/>
      <c r="AF1360" s="1684"/>
      <c r="AG1360" s="1684"/>
      <c r="AH1360" s="1684"/>
      <c r="AI1360" s="1684"/>
      <c r="AJ1360" s="1684"/>
      <c r="AK1360" s="1684"/>
      <c r="AL1360" s="1684"/>
      <c r="AM1360" s="1684"/>
      <c r="AN1360" s="1684"/>
      <c r="AO1360" s="1684"/>
      <c r="AP1360" s="1684"/>
      <c r="AQ1360" s="1684"/>
      <c r="AR1360" s="1684"/>
      <c r="AS1360" s="1684"/>
      <c r="AT1360" s="1684"/>
      <c r="AU1360" s="1684"/>
      <c r="AV1360" s="1684"/>
      <c r="AW1360" s="1684"/>
      <c r="AX1360" s="1684"/>
      <c r="AY1360" s="1684"/>
      <c r="AZ1360" s="1684"/>
      <c r="BA1360" s="1684"/>
      <c r="BB1360" s="1684"/>
      <c r="BC1360" s="1684"/>
      <c r="BD1360" s="1684"/>
      <c r="BE1360" s="1684"/>
      <c r="BF1360" s="1684"/>
      <c r="BG1360" s="1684"/>
      <c r="BH1360" s="1684"/>
      <c r="BI1360" s="1684"/>
      <c r="BJ1360" s="1684"/>
      <c r="BK1360" s="1684"/>
      <c r="BL1360" s="1684"/>
      <c r="BM1360" s="1684"/>
      <c r="BN1360" s="1684"/>
      <c r="BO1360" s="1684"/>
      <c r="BP1360" s="1684"/>
      <c r="BQ1360" s="1684"/>
      <c r="BR1360" s="1684"/>
      <c r="BS1360" s="1684"/>
      <c r="BT1360" s="1684"/>
      <c r="BU1360" s="1684"/>
      <c r="BV1360" s="1684"/>
      <c r="BW1360" s="1684"/>
      <c r="BX1360" s="1684"/>
      <c r="BY1360" s="1684"/>
      <c r="BZ1360" s="1684"/>
      <c r="CA1360" s="1684"/>
      <c r="CB1360" s="1684"/>
      <c r="CC1360" s="1684"/>
      <c r="CD1360" s="1684"/>
      <c r="CE1360" s="1684"/>
      <c r="CF1360" s="1684"/>
      <c r="CG1360" s="1684"/>
      <c r="CH1360" s="1684"/>
      <c r="CI1360" s="1684"/>
      <c r="CJ1360" s="1684"/>
      <c r="CK1360" s="1684"/>
      <c r="CL1360" s="1684"/>
      <c r="CM1360" s="1684"/>
      <c r="CN1360" s="1684"/>
      <c r="CO1360" s="1684"/>
    </row>
    <row r="1361" spans="1:93" s="1391" customFormat="1" ht="15" x14ac:dyDescent="0.2">
      <c r="A1361" s="1684"/>
      <c r="B1361" s="1684"/>
      <c r="C1361" s="2013">
        <v>8</v>
      </c>
      <c r="D1361" s="5">
        <v>4.8109999999999999</v>
      </c>
      <c r="E1361">
        <v>119</v>
      </c>
      <c r="F1361">
        <v>131</v>
      </c>
      <c r="G1361">
        <v>143</v>
      </c>
      <c r="H1361">
        <v>155</v>
      </c>
      <c r="I1361">
        <v>167</v>
      </c>
      <c r="J1361">
        <v>179</v>
      </c>
      <c r="K1361">
        <v>190</v>
      </c>
      <c r="L1361">
        <v>202</v>
      </c>
      <c r="M1361">
        <v>213</v>
      </c>
      <c r="N1361">
        <v>225</v>
      </c>
      <c r="O1361">
        <v>236</v>
      </c>
      <c r="P1361">
        <v>247</v>
      </c>
      <c r="Q1361" s="1160">
        <v>45</v>
      </c>
      <c r="R1361"/>
      <c r="S1361" s="1684"/>
      <c r="T1361" s="1684"/>
      <c r="U1361" s="1684"/>
      <c r="V1361" s="1684"/>
      <c r="W1361" s="1684"/>
      <c r="X1361" s="1684"/>
      <c r="Y1361" s="1684"/>
      <c r="Z1361" s="1684"/>
      <c r="AA1361" s="1684"/>
      <c r="AB1361" s="1684"/>
      <c r="AC1361" s="1684"/>
      <c r="AD1361" s="1684"/>
      <c r="AE1361" s="1684"/>
      <c r="AF1361" s="1684"/>
      <c r="AG1361" s="1684"/>
      <c r="AH1361" s="1684"/>
      <c r="AI1361" s="1684"/>
      <c r="AJ1361" s="1684"/>
      <c r="AK1361" s="1684"/>
      <c r="AL1361" s="1684"/>
      <c r="AM1361" s="1684"/>
      <c r="AN1361" s="1684"/>
      <c r="AO1361" s="1684"/>
      <c r="AP1361" s="1684"/>
      <c r="AQ1361" s="1684"/>
      <c r="AR1361" s="1684"/>
      <c r="AS1361" s="1684"/>
      <c r="AT1361" s="1684"/>
      <c r="AU1361" s="1684"/>
      <c r="AV1361" s="1684"/>
      <c r="AW1361" s="1684"/>
      <c r="AX1361" s="1684"/>
      <c r="AY1361" s="1684"/>
      <c r="AZ1361" s="1684"/>
      <c r="BA1361" s="1684"/>
      <c r="BB1361" s="1684"/>
      <c r="BC1361" s="1684"/>
      <c r="BD1361" s="1684"/>
      <c r="BE1361" s="1684"/>
      <c r="BF1361" s="1684"/>
      <c r="BG1361" s="1684"/>
      <c r="BH1361" s="1684"/>
      <c r="BI1361" s="1684"/>
      <c r="BJ1361" s="1684"/>
      <c r="BK1361" s="1684"/>
      <c r="BL1361" s="1684"/>
      <c r="BM1361" s="1684"/>
      <c r="BN1361" s="1684"/>
      <c r="BO1361" s="1684"/>
      <c r="BP1361" s="1684"/>
      <c r="BQ1361" s="1684"/>
      <c r="BR1361" s="1684"/>
      <c r="BS1361" s="1684"/>
      <c r="BT1361" s="1684"/>
      <c r="BU1361" s="1684"/>
      <c r="BV1361" s="1684"/>
      <c r="BW1361" s="1684"/>
      <c r="BX1361" s="1684"/>
      <c r="BY1361" s="1684"/>
      <c r="BZ1361" s="1684"/>
      <c r="CA1361" s="1684"/>
      <c r="CB1361" s="1684"/>
      <c r="CC1361" s="1684"/>
      <c r="CD1361" s="1684"/>
      <c r="CE1361" s="1684"/>
      <c r="CF1361" s="1684"/>
      <c r="CG1361" s="1684"/>
      <c r="CH1361" s="1684"/>
      <c r="CI1361" s="1684"/>
      <c r="CJ1361" s="1684"/>
      <c r="CK1361" s="1684"/>
      <c r="CL1361" s="1684"/>
      <c r="CM1361" s="1684"/>
      <c r="CN1361" s="1684"/>
      <c r="CO1361" s="1684"/>
    </row>
    <row r="1362" spans="1:93" s="1391" customFormat="1" ht="15" x14ac:dyDescent="0.2">
      <c r="A1362" s="1684"/>
      <c r="B1362" s="1684"/>
      <c r="C1362" s="2013">
        <v>9</v>
      </c>
      <c r="D1362" s="5">
        <v>5.07</v>
      </c>
      <c r="E1362">
        <v>130</v>
      </c>
      <c r="F1362">
        <v>144</v>
      </c>
      <c r="G1362">
        <v>157</v>
      </c>
      <c r="H1362">
        <v>170</v>
      </c>
      <c r="I1362">
        <v>182</v>
      </c>
      <c r="J1362">
        <v>195</v>
      </c>
      <c r="K1362">
        <v>208</v>
      </c>
      <c r="L1362">
        <v>221</v>
      </c>
      <c r="M1362">
        <v>232</v>
      </c>
      <c r="N1362">
        <v>245</v>
      </c>
      <c r="O1362">
        <v>257</v>
      </c>
      <c r="P1362">
        <v>269</v>
      </c>
      <c r="Q1362" s="1160">
        <v>46</v>
      </c>
      <c r="R1362"/>
      <c r="S1362" s="1684"/>
      <c r="T1362" s="1684"/>
      <c r="U1362" s="1684"/>
      <c r="V1362" s="1684"/>
      <c r="W1362" s="1684"/>
      <c r="X1362" s="1684"/>
      <c r="Y1362" s="1684"/>
      <c r="Z1362" s="1684"/>
      <c r="AA1362" s="1684"/>
      <c r="AB1362" s="1684"/>
      <c r="AC1362" s="1684"/>
      <c r="AD1362" s="1684"/>
      <c r="AE1362" s="1684"/>
      <c r="AF1362" s="1684"/>
      <c r="AG1362" s="1684"/>
      <c r="AH1362" s="1684"/>
      <c r="AI1362" s="1684"/>
      <c r="AJ1362" s="1684"/>
      <c r="AK1362" s="1684"/>
      <c r="AL1362" s="1684"/>
      <c r="AM1362" s="1684"/>
      <c r="AN1362" s="1684"/>
      <c r="AO1362" s="1684"/>
      <c r="AP1362" s="1684"/>
      <c r="AQ1362" s="1684"/>
      <c r="AR1362" s="1684"/>
      <c r="AS1362" s="1684"/>
      <c r="AT1362" s="1684"/>
      <c r="AU1362" s="1684"/>
      <c r="AV1362" s="1684"/>
      <c r="AW1362" s="1684"/>
      <c r="AX1362" s="1684"/>
      <c r="AY1362" s="1684"/>
      <c r="AZ1362" s="1684"/>
      <c r="BA1362" s="1684"/>
      <c r="BB1362" s="1684"/>
      <c r="BC1362" s="1684"/>
      <c r="BD1362" s="1684"/>
      <c r="BE1362" s="1684"/>
      <c r="BF1362" s="1684"/>
      <c r="BG1362" s="1684"/>
      <c r="BH1362" s="1684"/>
      <c r="BI1362" s="1684"/>
      <c r="BJ1362" s="1684"/>
      <c r="BK1362" s="1684"/>
      <c r="BL1362" s="1684"/>
      <c r="BM1362" s="1684"/>
      <c r="BN1362" s="1684"/>
      <c r="BO1362" s="1684"/>
      <c r="BP1362" s="1684"/>
      <c r="BQ1362" s="1684"/>
      <c r="BR1362" s="1684"/>
      <c r="BS1362" s="1684"/>
      <c r="BT1362" s="1684"/>
      <c r="BU1362" s="1684"/>
      <c r="BV1362" s="1684"/>
      <c r="BW1362" s="1684"/>
      <c r="BX1362" s="1684"/>
      <c r="BY1362" s="1684"/>
      <c r="BZ1362" s="1684"/>
      <c r="CA1362" s="1684"/>
      <c r="CB1362" s="1684"/>
      <c r="CC1362" s="1684"/>
      <c r="CD1362" s="1684"/>
      <c r="CE1362" s="1684"/>
      <c r="CF1362" s="1684"/>
      <c r="CG1362" s="1684"/>
      <c r="CH1362" s="1684"/>
      <c r="CI1362" s="1684"/>
      <c r="CJ1362" s="1684"/>
      <c r="CK1362" s="1684"/>
      <c r="CL1362" s="1684"/>
      <c r="CM1362" s="1684"/>
      <c r="CN1362" s="1684"/>
      <c r="CO1362" s="1684"/>
    </row>
    <row r="1363" spans="1:93" s="1391" customFormat="1" ht="15" x14ac:dyDescent="0.2">
      <c r="A1363" s="1684"/>
      <c r="B1363" s="1684"/>
      <c r="C1363" s="2013">
        <v>10</v>
      </c>
      <c r="D1363" s="5">
        <v>5.3390000000000004</v>
      </c>
      <c r="E1363">
        <v>141</v>
      </c>
      <c r="F1363">
        <v>156</v>
      </c>
      <c r="G1363">
        <v>170</v>
      </c>
      <c r="H1363">
        <v>184</v>
      </c>
      <c r="I1363">
        <v>198</v>
      </c>
      <c r="J1363">
        <v>212</v>
      </c>
      <c r="K1363">
        <v>225</v>
      </c>
      <c r="L1363">
        <v>239</v>
      </c>
      <c r="M1363">
        <v>252</v>
      </c>
      <c r="N1363">
        <v>265</v>
      </c>
      <c r="O1363">
        <v>278</v>
      </c>
      <c r="P1363">
        <v>291</v>
      </c>
      <c r="Q1363" s="1160">
        <v>47</v>
      </c>
      <c r="R1363"/>
      <c r="S1363" s="1684"/>
      <c r="T1363" s="1684"/>
      <c r="U1363" s="1684"/>
      <c r="V1363" s="1684"/>
      <c r="W1363" s="1684"/>
      <c r="X1363" s="1684"/>
      <c r="Y1363" s="1684"/>
      <c r="Z1363" s="1684"/>
      <c r="AA1363" s="1684"/>
      <c r="AB1363" s="1684"/>
      <c r="AC1363" s="1684"/>
      <c r="AD1363" s="1684"/>
      <c r="AE1363" s="1684"/>
      <c r="AF1363" s="1684"/>
      <c r="AG1363" s="1684"/>
      <c r="AH1363" s="1684"/>
      <c r="AI1363" s="1684"/>
      <c r="AJ1363" s="1684"/>
      <c r="AK1363" s="1684"/>
      <c r="AL1363" s="1684"/>
      <c r="AM1363" s="1684"/>
      <c r="AN1363" s="1684"/>
      <c r="AO1363" s="1684"/>
      <c r="AP1363" s="1684"/>
      <c r="AQ1363" s="1684"/>
      <c r="AR1363" s="1684"/>
      <c r="AS1363" s="1684"/>
      <c r="AT1363" s="1684"/>
      <c r="AU1363" s="1684"/>
      <c r="AV1363" s="1684"/>
      <c r="AW1363" s="1684"/>
      <c r="AX1363" s="1684"/>
      <c r="AY1363" s="1684"/>
      <c r="AZ1363" s="1684"/>
      <c r="BA1363" s="1684"/>
      <c r="BB1363" s="1684"/>
      <c r="BC1363" s="1684"/>
      <c r="BD1363" s="1684"/>
      <c r="BE1363" s="1684"/>
      <c r="BF1363" s="1684"/>
      <c r="BG1363" s="1684"/>
      <c r="BH1363" s="1684"/>
      <c r="BI1363" s="1684"/>
      <c r="BJ1363" s="1684"/>
      <c r="BK1363" s="1684"/>
      <c r="BL1363" s="1684"/>
      <c r="BM1363" s="1684"/>
      <c r="BN1363" s="1684"/>
      <c r="BO1363" s="1684"/>
      <c r="BP1363" s="1684"/>
      <c r="BQ1363" s="1684"/>
      <c r="BR1363" s="1684"/>
      <c r="BS1363" s="1684"/>
      <c r="BT1363" s="1684"/>
      <c r="BU1363" s="1684"/>
      <c r="BV1363" s="1684"/>
      <c r="BW1363" s="1684"/>
      <c r="BX1363" s="1684"/>
      <c r="BY1363" s="1684"/>
      <c r="BZ1363" s="1684"/>
      <c r="CA1363" s="1684"/>
      <c r="CB1363" s="1684"/>
      <c r="CC1363" s="1684"/>
      <c r="CD1363" s="1684"/>
      <c r="CE1363" s="1684"/>
      <c r="CF1363" s="1684"/>
      <c r="CG1363" s="1684"/>
      <c r="CH1363" s="1684"/>
      <c r="CI1363" s="1684"/>
      <c r="CJ1363" s="1684"/>
      <c r="CK1363" s="1684"/>
      <c r="CL1363" s="1684"/>
      <c r="CM1363" s="1684"/>
      <c r="CN1363" s="1684"/>
      <c r="CO1363" s="1684"/>
    </row>
    <row r="1364" spans="1:93" s="1391" customFormat="1" ht="15" x14ac:dyDescent="0.2">
      <c r="A1364" s="1684"/>
      <c r="B1364" s="1684"/>
      <c r="C1364" s="2013">
        <v>11</v>
      </c>
      <c r="D1364" s="5">
        <v>5.6379999999999999</v>
      </c>
      <c r="E1364">
        <v>154</v>
      </c>
      <c r="F1364">
        <v>170</v>
      </c>
      <c r="G1364">
        <v>185</v>
      </c>
      <c r="H1364">
        <v>200</v>
      </c>
      <c r="I1364">
        <v>215</v>
      </c>
      <c r="J1364">
        <v>230</v>
      </c>
      <c r="K1364">
        <v>245</v>
      </c>
      <c r="L1364">
        <v>260</v>
      </c>
      <c r="M1364">
        <v>273</v>
      </c>
      <c r="N1364">
        <v>288</v>
      </c>
      <c r="O1364">
        <v>302</v>
      </c>
      <c r="P1364">
        <v>316</v>
      </c>
      <c r="Q1364" s="1160">
        <v>48</v>
      </c>
      <c r="R1364"/>
      <c r="S1364" s="1684"/>
      <c r="T1364" s="1684"/>
      <c r="U1364" s="1684"/>
      <c r="V1364" s="1684"/>
      <c r="W1364" s="1684"/>
      <c r="X1364" s="1684"/>
      <c r="Y1364" s="1684"/>
      <c r="Z1364" s="1684"/>
      <c r="AA1364" s="1684"/>
      <c r="AB1364" s="1684"/>
      <c r="AC1364" s="1684"/>
      <c r="AD1364" s="1684"/>
      <c r="AE1364" s="1684"/>
      <c r="AF1364" s="1684"/>
      <c r="AG1364" s="1684"/>
      <c r="AH1364" s="1684"/>
      <c r="AI1364" s="1684"/>
      <c r="AJ1364" s="1684"/>
      <c r="AK1364" s="1684"/>
      <c r="AL1364" s="1684"/>
      <c r="AM1364" s="1684"/>
      <c r="AN1364" s="1684"/>
      <c r="AO1364" s="1684"/>
      <c r="AP1364" s="1684"/>
      <c r="AQ1364" s="1684"/>
      <c r="AR1364" s="1684"/>
      <c r="AS1364" s="1684"/>
      <c r="AT1364" s="1684"/>
      <c r="AU1364" s="1684"/>
      <c r="AV1364" s="1684"/>
      <c r="AW1364" s="1684"/>
      <c r="AX1364" s="1684"/>
      <c r="AY1364" s="1684"/>
      <c r="AZ1364" s="1684"/>
      <c r="BA1364" s="1684"/>
      <c r="BB1364" s="1684"/>
      <c r="BC1364" s="1684"/>
      <c r="BD1364" s="1684"/>
      <c r="BE1364" s="1684"/>
      <c r="BF1364" s="1684"/>
      <c r="BG1364" s="1684"/>
      <c r="BH1364" s="1684"/>
      <c r="BI1364" s="1684"/>
      <c r="BJ1364" s="1684"/>
      <c r="BK1364" s="1684"/>
      <c r="BL1364" s="1684"/>
      <c r="BM1364" s="1684"/>
      <c r="BN1364" s="1684"/>
      <c r="BO1364" s="1684"/>
      <c r="BP1364" s="1684"/>
      <c r="BQ1364" s="1684"/>
      <c r="BR1364" s="1684"/>
      <c r="BS1364" s="1684"/>
      <c r="BT1364" s="1684"/>
      <c r="BU1364" s="1684"/>
      <c r="BV1364" s="1684"/>
      <c r="BW1364" s="1684"/>
      <c r="BX1364" s="1684"/>
      <c r="BY1364" s="1684"/>
      <c r="BZ1364" s="1684"/>
      <c r="CA1364" s="1684"/>
      <c r="CB1364" s="1684"/>
      <c r="CC1364" s="1684"/>
      <c r="CD1364" s="1684"/>
      <c r="CE1364" s="1684"/>
      <c r="CF1364" s="1684"/>
      <c r="CG1364" s="1684"/>
      <c r="CH1364" s="1684"/>
      <c r="CI1364" s="1684"/>
      <c r="CJ1364" s="1684"/>
      <c r="CK1364" s="1684"/>
      <c r="CL1364" s="1684"/>
      <c r="CM1364" s="1684"/>
      <c r="CN1364" s="1684"/>
      <c r="CO1364" s="1684"/>
    </row>
    <row r="1365" spans="1:93" s="1391" customFormat="1" ht="15" x14ac:dyDescent="0.2">
      <c r="A1365" s="1684"/>
      <c r="B1365" s="1684"/>
      <c r="C1365" s="2013">
        <v>12</v>
      </c>
      <c r="D1365" s="5">
        <v>5.9459999999999997</v>
      </c>
      <c r="E1365">
        <v>166</v>
      </c>
      <c r="F1365">
        <v>184</v>
      </c>
      <c r="G1365">
        <v>200</v>
      </c>
      <c r="H1365">
        <v>216</v>
      </c>
      <c r="I1365">
        <v>233</v>
      </c>
      <c r="J1365">
        <v>248</v>
      </c>
      <c r="K1365">
        <v>264</v>
      </c>
      <c r="L1365">
        <v>280</v>
      </c>
      <c r="M1365">
        <v>295</v>
      </c>
      <c r="N1365">
        <v>310</v>
      </c>
      <c r="O1365">
        <v>325</v>
      </c>
      <c r="P1365">
        <v>340</v>
      </c>
      <c r="Q1365" s="1160">
        <v>49</v>
      </c>
      <c r="R1365"/>
      <c r="S1365" s="1684"/>
      <c r="T1365" s="1684"/>
      <c r="U1365" s="1684"/>
      <c r="V1365" s="1684"/>
      <c r="W1365" s="1684"/>
      <c r="X1365" s="1684"/>
      <c r="Y1365" s="1684"/>
      <c r="Z1365" s="1684"/>
      <c r="AA1365" s="1684"/>
      <c r="AB1365" s="1684"/>
      <c r="AC1365" s="1684"/>
      <c r="AD1365" s="1684"/>
      <c r="AE1365" s="1684"/>
      <c r="AF1365" s="1684"/>
      <c r="AG1365" s="1684"/>
      <c r="AH1365" s="1684"/>
      <c r="AI1365" s="1684"/>
      <c r="AJ1365" s="1684"/>
      <c r="AK1365" s="1684"/>
      <c r="AL1365" s="1684"/>
      <c r="AM1365" s="1684"/>
      <c r="AN1365" s="1684"/>
      <c r="AO1365" s="1684"/>
      <c r="AP1365" s="1684"/>
      <c r="AQ1365" s="1684"/>
      <c r="AR1365" s="1684"/>
      <c r="AS1365" s="1684"/>
      <c r="AT1365" s="1684"/>
      <c r="AU1365" s="1684"/>
      <c r="AV1365" s="1684"/>
      <c r="AW1365" s="1684"/>
      <c r="AX1365" s="1684"/>
      <c r="AY1365" s="1684"/>
      <c r="AZ1365" s="1684"/>
      <c r="BA1365" s="1684"/>
      <c r="BB1365" s="1684"/>
      <c r="BC1365" s="1684"/>
      <c r="BD1365" s="1684"/>
      <c r="BE1365" s="1684"/>
      <c r="BF1365" s="1684"/>
      <c r="BG1365" s="1684"/>
      <c r="BH1365" s="1684"/>
      <c r="BI1365" s="1684"/>
      <c r="BJ1365" s="1684"/>
      <c r="BK1365" s="1684"/>
      <c r="BL1365" s="1684"/>
      <c r="BM1365" s="1684"/>
      <c r="BN1365" s="1684"/>
      <c r="BO1365" s="1684"/>
      <c r="BP1365" s="1684"/>
      <c r="BQ1365" s="1684"/>
      <c r="BR1365" s="1684"/>
      <c r="BS1365" s="1684"/>
      <c r="BT1365" s="1684"/>
      <c r="BU1365" s="1684"/>
      <c r="BV1365" s="1684"/>
      <c r="BW1365" s="1684"/>
      <c r="BX1365" s="1684"/>
      <c r="BY1365" s="1684"/>
      <c r="BZ1365" s="1684"/>
      <c r="CA1365" s="1684"/>
      <c r="CB1365" s="1684"/>
      <c r="CC1365" s="1684"/>
      <c r="CD1365" s="1684"/>
      <c r="CE1365" s="1684"/>
      <c r="CF1365" s="1684"/>
      <c r="CG1365" s="1684"/>
      <c r="CH1365" s="1684"/>
      <c r="CI1365" s="1684"/>
      <c r="CJ1365" s="1684"/>
      <c r="CK1365" s="1684"/>
      <c r="CL1365" s="1684"/>
      <c r="CM1365" s="1684"/>
      <c r="CN1365" s="1684"/>
      <c r="CO1365" s="1684"/>
    </row>
    <row r="1366" spans="1:93" s="1391" customFormat="1" ht="15" x14ac:dyDescent="0.2">
      <c r="A1366" s="1684"/>
      <c r="B1366" s="1684"/>
      <c r="C1366" s="2013">
        <v>13</v>
      </c>
      <c r="D1366" s="5">
        <v>6.2370000000000001</v>
      </c>
      <c r="E1366">
        <v>179</v>
      </c>
      <c r="F1366">
        <v>198</v>
      </c>
      <c r="G1366">
        <v>215</v>
      </c>
      <c r="H1366">
        <v>233</v>
      </c>
      <c r="I1366">
        <v>250</v>
      </c>
      <c r="J1366">
        <v>267</v>
      </c>
      <c r="K1366">
        <v>283</v>
      </c>
      <c r="L1366">
        <v>301</v>
      </c>
      <c r="M1366">
        <v>316</v>
      </c>
      <c r="N1366">
        <v>333</v>
      </c>
      <c r="O1366">
        <v>349</v>
      </c>
      <c r="P1366">
        <v>365</v>
      </c>
      <c r="Q1366" s="1160">
        <v>50</v>
      </c>
      <c r="R1366"/>
      <c r="S1366" s="1684"/>
      <c r="T1366" s="1684"/>
      <c r="U1366" s="1684"/>
      <c r="V1366" s="1684"/>
      <c r="W1366" s="1684"/>
      <c r="X1366" s="1684"/>
      <c r="Y1366" s="1684"/>
      <c r="Z1366" s="1684"/>
      <c r="AA1366" s="1684"/>
      <c r="AB1366" s="1684"/>
      <c r="AC1366" s="1684"/>
      <c r="AD1366" s="1684"/>
      <c r="AE1366" s="1684"/>
      <c r="AF1366" s="1684"/>
      <c r="AG1366" s="1684"/>
      <c r="AH1366" s="1684"/>
      <c r="AI1366" s="1684"/>
      <c r="AJ1366" s="1684"/>
      <c r="AK1366" s="1684"/>
      <c r="AL1366" s="1684"/>
      <c r="AM1366" s="1684"/>
      <c r="AN1366" s="1684"/>
      <c r="AO1366" s="1684"/>
      <c r="AP1366" s="1684"/>
      <c r="AQ1366" s="1684"/>
      <c r="AR1366" s="1684"/>
      <c r="AS1366" s="1684"/>
      <c r="AT1366" s="1684"/>
      <c r="AU1366" s="1684"/>
      <c r="AV1366" s="1684"/>
      <c r="AW1366" s="1684"/>
      <c r="AX1366" s="1684"/>
      <c r="AY1366" s="1684"/>
      <c r="AZ1366" s="1684"/>
      <c r="BA1366" s="1684"/>
      <c r="BB1366" s="1684"/>
      <c r="BC1366" s="1684"/>
      <c r="BD1366" s="1684"/>
      <c r="BE1366" s="1684"/>
      <c r="BF1366" s="1684"/>
      <c r="BG1366" s="1684"/>
      <c r="BH1366" s="1684"/>
      <c r="BI1366" s="1684"/>
      <c r="BJ1366" s="1684"/>
      <c r="BK1366" s="1684"/>
      <c r="BL1366" s="1684"/>
      <c r="BM1366" s="1684"/>
      <c r="BN1366" s="1684"/>
      <c r="BO1366" s="1684"/>
      <c r="BP1366" s="1684"/>
      <c r="BQ1366" s="1684"/>
      <c r="BR1366" s="1684"/>
      <c r="BS1366" s="1684"/>
      <c r="BT1366" s="1684"/>
      <c r="BU1366" s="1684"/>
      <c r="BV1366" s="1684"/>
      <c r="BW1366" s="1684"/>
      <c r="BX1366" s="1684"/>
      <c r="BY1366" s="1684"/>
      <c r="BZ1366" s="1684"/>
      <c r="CA1366" s="1684"/>
      <c r="CB1366" s="1684"/>
      <c r="CC1366" s="1684"/>
      <c r="CD1366" s="1684"/>
      <c r="CE1366" s="1684"/>
      <c r="CF1366" s="1684"/>
      <c r="CG1366" s="1684"/>
      <c r="CH1366" s="1684"/>
      <c r="CI1366" s="1684"/>
      <c r="CJ1366" s="1684"/>
      <c r="CK1366" s="1684"/>
      <c r="CL1366" s="1684"/>
      <c r="CM1366" s="1684"/>
      <c r="CN1366" s="1684"/>
      <c r="CO1366" s="1684"/>
    </row>
    <row r="1367" spans="1:93" s="1391" customFormat="1" ht="15" x14ac:dyDescent="0.2">
      <c r="A1367" s="1684"/>
      <c r="B1367" s="1684"/>
      <c r="C1367" s="2013">
        <v>14</v>
      </c>
      <c r="D1367" s="5">
        <v>6.5810000000000004</v>
      </c>
      <c r="E1367">
        <v>192</v>
      </c>
      <c r="F1367">
        <v>212</v>
      </c>
      <c r="G1367">
        <v>231</v>
      </c>
      <c r="H1367">
        <v>249</v>
      </c>
      <c r="I1367">
        <v>267</v>
      </c>
      <c r="J1367">
        <v>285</v>
      </c>
      <c r="K1367">
        <v>303</v>
      </c>
      <c r="L1367">
        <v>322</v>
      </c>
      <c r="M1367">
        <v>338</v>
      </c>
      <c r="N1367">
        <v>355</v>
      </c>
      <c r="O1367">
        <v>372</v>
      </c>
      <c r="P1367">
        <v>389</v>
      </c>
      <c r="Q1367" s="1160">
        <v>51</v>
      </c>
      <c r="R1367"/>
      <c r="S1367" s="1684"/>
      <c r="T1367" s="1684"/>
      <c r="U1367" s="1684"/>
      <c r="V1367" s="1684"/>
      <c r="W1367" s="1684"/>
      <c r="X1367" s="1684"/>
      <c r="Y1367" s="1684"/>
      <c r="Z1367" s="1684"/>
      <c r="AA1367" s="1684"/>
      <c r="AB1367" s="1684"/>
      <c r="AC1367" s="1684"/>
      <c r="AD1367" s="1684"/>
      <c r="AE1367" s="1684"/>
      <c r="AF1367" s="1684"/>
      <c r="AG1367" s="1684"/>
      <c r="AH1367" s="1684"/>
      <c r="AI1367" s="1684"/>
      <c r="AJ1367" s="1684"/>
      <c r="AK1367" s="1684"/>
      <c r="AL1367" s="1684"/>
      <c r="AM1367" s="1684"/>
      <c r="AN1367" s="1684"/>
      <c r="AO1367" s="1684"/>
      <c r="AP1367" s="1684"/>
      <c r="AQ1367" s="1684"/>
      <c r="AR1367" s="1684"/>
      <c r="AS1367" s="1684"/>
      <c r="AT1367" s="1684"/>
      <c r="AU1367" s="1684"/>
      <c r="AV1367" s="1684"/>
      <c r="AW1367" s="1684"/>
      <c r="AX1367" s="1684"/>
      <c r="AY1367" s="1684"/>
      <c r="AZ1367" s="1684"/>
      <c r="BA1367" s="1684"/>
      <c r="BB1367" s="1684"/>
      <c r="BC1367" s="1684"/>
      <c r="BD1367" s="1684"/>
      <c r="BE1367" s="1684"/>
      <c r="BF1367" s="1684"/>
      <c r="BG1367" s="1684"/>
      <c r="BH1367" s="1684"/>
      <c r="BI1367" s="1684"/>
      <c r="BJ1367" s="1684"/>
      <c r="BK1367" s="1684"/>
      <c r="BL1367" s="1684"/>
      <c r="BM1367" s="1684"/>
      <c r="BN1367" s="1684"/>
      <c r="BO1367" s="1684"/>
      <c r="BP1367" s="1684"/>
      <c r="BQ1367" s="1684"/>
      <c r="BR1367" s="1684"/>
      <c r="BS1367" s="1684"/>
      <c r="BT1367" s="1684"/>
      <c r="BU1367" s="1684"/>
      <c r="BV1367" s="1684"/>
      <c r="BW1367" s="1684"/>
      <c r="BX1367" s="1684"/>
      <c r="BY1367" s="1684"/>
      <c r="BZ1367" s="1684"/>
      <c r="CA1367" s="1684"/>
      <c r="CB1367" s="1684"/>
      <c r="CC1367" s="1684"/>
      <c r="CD1367" s="1684"/>
      <c r="CE1367" s="1684"/>
      <c r="CF1367" s="1684"/>
      <c r="CG1367" s="1684"/>
      <c r="CH1367" s="1684"/>
      <c r="CI1367" s="1684"/>
      <c r="CJ1367" s="1684"/>
      <c r="CK1367" s="1684"/>
      <c r="CL1367" s="1684"/>
      <c r="CM1367" s="1684"/>
      <c r="CN1367" s="1684"/>
      <c r="CO1367" s="1684"/>
    </row>
    <row r="1368" spans="1:93" s="1391" customFormat="1" ht="15" x14ac:dyDescent="0.2">
      <c r="A1368" s="1684"/>
      <c r="B1368" s="1684"/>
      <c r="C1368" s="2013">
        <v>15</v>
      </c>
      <c r="D1368" s="5">
        <v>6.9109999999999996</v>
      </c>
      <c r="E1368">
        <v>205</v>
      </c>
      <c r="F1368">
        <v>226</v>
      </c>
      <c r="G1368">
        <v>246</v>
      </c>
      <c r="H1368">
        <v>265</v>
      </c>
      <c r="I1368">
        <v>285</v>
      </c>
      <c r="J1368">
        <v>304</v>
      </c>
      <c r="K1368">
        <v>323</v>
      </c>
      <c r="L1368">
        <v>342</v>
      </c>
      <c r="M1368">
        <v>360</v>
      </c>
      <c r="N1368">
        <v>378</v>
      </c>
      <c r="O1368">
        <v>396</v>
      </c>
      <c r="P1368">
        <v>414</v>
      </c>
      <c r="Q1368" s="1160">
        <v>52</v>
      </c>
      <c r="R1368"/>
      <c r="S1368" s="1684"/>
      <c r="T1368" s="1684"/>
      <c r="U1368" s="1684"/>
      <c r="V1368" s="1684"/>
      <c r="W1368" s="1684"/>
      <c r="X1368" s="1684"/>
      <c r="Y1368" s="1684"/>
      <c r="Z1368" s="1684"/>
      <c r="AA1368" s="1684"/>
      <c r="AB1368" s="1684"/>
      <c r="AC1368" s="1684"/>
      <c r="AD1368" s="1684"/>
      <c r="AE1368" s="1684"/>
      <c r="AF1368" s="1684"/>
      <c r="AG1368" s="1684"/>
      <c r="AH1368" s="1684"/>
      <c r="AI1368" s="1684"/>
      <c r="AJ1368" s="1684"/>
      <c r="AK1368" s="1684"/>
      <c r="AL1368" s="1684"/>
      <c r="AM1368" s="1684"/>
      <c r="AN1368" s="1684"/>
      <c r="AO1368" s="1684"/>
      <c r="AP1368" s="1684"/>
      <c r="AQ1368" s="1684"/>
      <c r="AR1368" s="1684"/>
      <c r="AS1368" s="1684"/>
      <c r="AT1368" s="1684"/>
      <c r="AU1368" s="1684"/>
      <c r="AV1368" s="1684"/>
      <c r="AW1368" s="1684"/>
      <c r="AX1368" s="1684"/>
      <c r="AY1368" s="1684"/>
      <c r="AZ1368" s="1684"/>
      <c r="BA1368" s="1684"/>
      <c r="BB1368" s="1684"/>
      <c r="BC1368" s="1684"/>
      <c r="BD1368" s="1684"/>
      <c r="BE1368" s="1684"/>
      <c r="BF1368" s="1684"/>
      <c r="BG1368" s="1684"/>
      <c r="BH1368" s="1684"/>
      <c r="BI1368" s="1684"/>
      <c r="BJ1368" s="1684"/>
      <c r="BK1368" s="1684"/>
      <c r="BL1368" s="1684"/>
      <c r="BM1368" s="1684"/>
      <c r="BN1368" s="1684"/>
      <c r="BO1368" s="1684"/>
      <c r="BP1368" s="1684"/>
      <c r="BQ1368" s="1684"/>
      <c r="BR1368" s="1684"/>
      <c r="BS1368" s="1684"/>
      <c r="BT1368" s="1684"/>
      <c r="BU1368" s="1684"/>
      <c r="BV1368" s="1684"/>
      <c r="BW1368" s="1684"/>
      <c r="BX1368" s="1684"/>
      <c r="BY1368" s="1684"/>
      <c r="BZ1368" s="1684"/>
      <c r="CA1368" s="1684"/>
      <c r="CB1368" s="1684"/>
      <c r="CC1368" s="1684"/>
      <c r="CD1368" s="1684"/>
      <c r="CE1368" s="1684"/>
      <c r="CF1368" s="1684"/>
      <c r="CG1368" s="1684"/>
      <c r="CH1368" s="1684"/>
      <c r="CI1368" s="1684"/>
      <c r="CJ1368" s="1684"/>
      <c r="CK1368" s="1684"/>
      <c r="CL1368" s="1684"/>
      <c r="CM1368" s="1684"/>
      <c r="CN1368" s="1684"/>
      <c r="CO1368" s="1684"/>
    </row>
    <row r="1369" spans="1:93" s="1391" customFormat="1" ht="15" x14ac:dyDescent="0.2">
      <c r="A1369" s="1684"/>
      <c r="B1369" s="1684"/>
      <c r="C1369" s="2013">
        <v>16</v>
      </c>
      <c r="D1369" s="5">
        <v>7.3559999999999999</v>
      </c>
      <c r="E1369">
        <v>217</v>
      </c>
      <c r="F1369">
        <v>239</v>
      </c>
      <c r="G1369">
        <v>260</v>
      </c>
      <c r="H1369">
        <v>281</v>
      </c>
      <c r="I1369">
        <v>301</v>
      </c>
      <c r="J1369">
        <v>322</v>
      </c>
      <c r="K1369">
        <v>341</v>
      </c>
      <c r="L1369">
        <v>362</v>
      </c>
      <c r="M1369">
        <v>380</v>
      </c>
      <c r="N1369">
        <v>399</v>
      </c>
      <c r="O1369">
        <v>418</v>
      </c>
      <c r="P1369">
        <v>437</v>
      </c>
      <c r="Q1369" s="1160">
        <v>53</v>
      </c>
      <c r="R1369"/>
      <c r="S1369" s="1684"/>
      <c r="T1369" s="1684"/>
      <c r="U1369" s="1684"/>
      <c r="V1369" s="1684"/>
      <c r="W1369" s="1684"/>
      <c r="X1369" s="1684"/>
      <c r="Y1369" s="1684"/>
      <c r="Z1369" s="1684"/>
      <c r="AA1369" s="1684"/>
      <c r="AB1369" s="1684"/>
      <c r="AC1369" s="1684"/>
      <c r="AD1369" s="1684"/>
      <c r="AE1369" s="1684"/>
      <c r="AF1369" s="1684"/>
      <c r="AG1369" s="1684"/>
      <c r="AH1369" s="1684"/>
      <c r="AI1369" s="1684"/>
      <c r="AJ1369" s="1684"/>
      <c r="AK1369" s="1684"/>
      <c r="AL1369" s="1684"/>
      <c r="AM1369" s="1684"/>
      <c r="AN1369" s="1684"/>
      <c r="AO1369" s="1684"/>
      <c r="AP1369" s="1684"/>
      <c r="AQ1369" s="1684"/>
      <c r="AR1369" s="1684"/>
      <c r="AS1369" s="1684"/>
      <c r="AT1369" s="1684"/>
      <c r="AU1369" s="1684"/>
      <c r="AV1369" s="1684"/>
      <c r="AW1369" s="1684"/>
      <c r="AX1369" s="1684"/>
      <c r="AY1369" s="1684"/>
      <c r="AZ1369" s="1684"/>
      <c r="BA1369" s="1684"/>
      <c r="BB1369" s="1684"/>
      <c r="BC1369" s="1684"/>
      <c r="BD1369" s="1684"/>
      <c r="BE1369" s="1684"/>
      <c r="BF1369" s="1684"/>
      <c r="BG1369" s="1684"/>
      <c r="BH1369" s="1684"/>
      <c r="BI1369" s="1684"/>
      <c r="BJ1369" s="1684"/>
      <c r="BK1369" s="1684"/>
      <c r="BL1369" s="1684"/>
      <c r="BM1369" s="1684"/>
      <c r="BN1369" s="1684"/>
      <c r="BO1369" s="1684"/>
      <c r="BP1369" s="1684"/>
      <c r="BQ1369" s="1684"/>
      <c r="BR1369" s="1684"/>
      <c r="BS1369" s="1684"/>
      <c r="BT1369" s="1684"/>
      <c r="BU1369" s="1684"/>
      <c r="BV1369" s="1684"/>
      <c r="BW1369" s="1684"/>
      <c r="BX1369" s="1684"/>
      <c r="BY1369" s="1684"/>
      <c r="BZ1369" s="1684"/>
      <c r="CA1369" s="1684"/>
      <c r="CB1369" s="1684"/>
      <c r="CC1369" s="1684"/>
      <c r="CD1369" s="1684"/>
      <c r="CE1369" s="1684"/>
      <c r="CF1369" s="1684"/>
      <c r="CG1369" s="1684"/>
      <c r="CH1369" s="1684"/>
      <c r="CI1369" s="1684"/>
      <c r="CJ1369" s="1684"/>
      <c r="CK1369" s="1684"/>
      <c r="CL1369" s="1684"/>
      <c r="CM1369" s="1684"/>
      <c r="CN1369" s="1684"/>
      <c r="CO1369" s="1684"/>
    </row>
    <row r="1370" spans="1:93" s="1391" customFormat="1" ht="15" x14ac:dyDescent="0.2">
      <c r="A1370" s="1684"/>
      <c r="B1370" s="1684"/>
      <c r="C1370" s="2013">
        <v>17</v>
      </c>
      <c r="D1370" s="5">
        <v>7.8339999999999996</v>
      </c>
      <c r="E1370">
        <v>228</v>
      </c>
      <c r="F1370">
        <v>252</v>
      </c>
      <c r="G1370">
        <v>274</v>
      </c>
      <c r="H1370">
        <v>293</v>
      </c>
      <c r="I1370">
        <v>316</v>
      </c>
      <c r="J1370">
        <v>337</v>
      </c>
      <c r="K1370">
        <v>358</v>
      </c>
      <c r="L1370">
        <v>380</v>
      </c>
      <c r="M1370">
        <v>399</v>
      </c>
      <c r="N1370">
        <v>419</v>
      </c>
      <c r="O1370">
        <v>438</v>
      </c>
      <c r="P1370">
        <v>457</v>
      </c>
      <c r="Q1370" s="1160">
        <v>54</v>
      </c>
      <c r="R1370"/>
      <c r="S1370" s="1684"/>
      <c r="T1370" s="1684"/>
      <c r="U1370" s="1684"/>
      <c r="V1370" s="1684"/>
      <c r="W1370" s="1684"/>
      <c r="X1370" s="1684"/>
      <c r="Y1370" s="1684"/>
      <c r="Z1370" s="1684"/>
      <c r="AA1370" s="1684"/>
      <c r="AB1370" s="1684"/>
      <c r="AC1370" s="1684"/>
      <c r="AD1370" s="1684"/>
      <c r="AE1370" s="1684"/>
      <c r="AF1370" s="1684"/>
      <c r="AG1370" s="1684"/>
      <c r="AH1370" s="1684"/>
      <c r="AI1370" s="1684"/>
      <c r="AJ1370" s="1684"/>
      <c r="AK1370" s="1684"/>
      <c r="AL1370" s="1684"/>
      <c r="AM1370" s="1684"/>
      <c r="AN1370" s="1684"/>
      <c r="AO1370" s="1684"/>
      <c r="AP1370" s="1684"/>
      <c r="AQ1370" s="1684"/>
      <c r="AR1370" s="1684"/>
      <c r="AS1370" s="1684"/>
      <c r="AT1370" s="1684"/>
      <c r="AU1370" s="1684"/>
      <c r="AV1370" s="1684"/>
      <c r="AW1370" s="1684"/>
      <c r="AX1370" s="1684"/>
      <c r="AY1370" s="1684"/>
      <c r="AZ1370" s="1684"/>
      <c r="BA1370" s="1684"/>
      <c r="BB1370" s="1684"/>
      <c r="BC1370" s="1684"/>
      <c r="BD1370" s="1684"/>
      <c r="BE1370" s="1684"/>
      <c r="BF1370" s="1684"/>
      <c r="BG1370" s="1684"/>
      <c r="BH1370" s="1684"/>
      <c r="BI1370" s="1684"/>
      <c r="BJ1370" s="1684"/>
      <c r="BK1370" s="1684"/>
      <c r="BL1370" s="1684"/>
      <c r="BM1370" s="1684"/>
      <c r="BN1370" s="1684"/>
      <c r="BO1370" s="1684"/>
      <c r="BP1370" s="1684"/>
      <c r="BQ1370" s="1684"/>
      <c r="BR1370" s="1684"/>
      <c r="BS1370" s="1684"/>
      <c r="BT1370" s="1684"/>
      <c r="BU1370" s="1684"/>
      <c r="BV1370" s="1684"/>
      <c r="BW1370" s="1684"/>
      <c r="BX1370" s="1684"/>
      <c r="BY1370" s="1684"/>
      <c r="BZ1370" s="1684"/>
      <c r="CA1370" s="1684"/>
      <c r="CB1370" s="1684"/>
      <c r="CC1370" s="1684"/>
      <c r="CD1370" s="1684"/>
      <c r="CE1370" s="1684"/>
      <c r="CF1370" s="1684"/>
      <c r="CG1370" s="1684"/>
      <c r="CH1370" s="1684"/>
      <c r="CI1370" s="1684"/>
      <c r="CJ1370" s="1684"/>
      <c r="CK1370" s="1684"/>
      <c r="CL1370" s="1684"/>
      <c r="CM1370" s="1684"/>
      <c r="CN1370" s="1684"/>
      <c r="CO1370" s="1684"/>
    </row>
    <row r="1371" spans="1:93" s="1391" customFormat="1" ht="15" x14ac:dyDescent="0.2">
      <c r="A1371" s="1684"/>
      <c r="B1371" s="1684"/>
      <c r="C1371" s="2013">
        <v>18</v>
      </c>
      <c r="D1371" s="5">
        <v>8.1039999999999992</v>
      </c>
      <c r="E1371">
        <v>238</v>
      </c>
      <c r="F1371">
        <v>262</v>
      </c>
      <c r="G1371">
        <v>285</v>
      </c>
      <c r="H1371">
        <v>308</v>
      </c>
      <c r="I1371">
        <v>330</v>
      </c>
      <c r="J1371">
        <v>352</v>
      </c>
      <c r="K1371">
        <v>373</v>
      </c>
      <c r="L1371">
        <v>395</v>
      </c>
      <c r="M1371">
        <v>415</v>
      </c>
      <c r="N1371">
        <v>436</v>
      </c>
      <c r="O1371">
        <v>456</v>
      </c>
      <c r="P1371">
        <v>476</v>
      </c>
      <c r="Q1371" s="1160">
        <v>55</v>
      </c>
      <c r="R1371"/>
      <c r="S1371" s="1684"/>
      <c r="T1371" s="1684"/>
      <c r="U1371" s="1684"/>
      <c r="V1371" s="1684"/>
      <c r="W1371" s="1684"/>
      <c r="X1371" s="1684"/>
      <c r="Y1371" s="1684"/>
      <c r="Z1371" s="1684"/>
      <c r="AA1371" s="1684"/>
      <c r="AB1371" s="1684"/>
      <c r="AC1371" s="1684"/>
      <c r="AD1371" s="1684"/>
      <c r="AE1371" s="1684"/>
      <c r="AF1371" s="1684"/>
      <c r="AG1371" s="1684"/>
      <c r="AH1371" s="1684"/>
      <c r="AI1371" s="1684"/>
      <c r="AJ1371" s="1684"/>
      <c r="AK1371" s="1684"/>
      <c r="AL1371" s="1684"/>
      <c r="AM1371" s="1684"/>
      <c r="AN1371" s="1684"/>
      <c r="AO1371" s="1684"/>
      <c r="AP1371" s="1684"/>
      <c r="AQ1371" s="1684"/>
      <c r="AR1371" s="1684"/>
      <c r="AS1371" s="1684"/>
      <c r="AT1371" s="1684"/>
      <c r="AU1371" s="1684"/>
      <c r="AV1371" s="1684"/>
      <c r="AW1371" s="1684"/>
      <c r="AX1371" s="1684"/>
      <c r="AY1371" s="1684"/>
      <c r="AZ1371" s="1684"/>
      <c r="BA1371" s="1684"/>
      <c r="BB1371" s="1684"/>
      <c r="BC1371" s="1684"/>
      <c r="BD1371" s="1684"/>
      <c r="BE1371" s="1684"/>
      <c r="BF1371" s="1684"/>
      <c r="BG1371" s="1684"/>
      <c r="BH1371" s="1684"/>
      <c r="BI1371" s="1684"/>
      <c r="BJ1371" s="1684"/>
      <c r="BK1371" s="1684"/>
      <c r="BL1371" s="1684"/>
      <c r="BM1371" s="1684"/>
      <c r="BN1371" s="1684"/>
      <c r="BO1371" s="1684"/>
      <c r="BP1371" s="1684"/>
      <c r="BQ1371" s="1684"/>
      <c r="BR1371" s="1684"/>
      <c r="BS1371" s="1684"/>
      <c r="BT1371" s="1684"/>
      <c r="BU1371" s="1684"/>
      <c r="BV1371" s="1684"/>
      <c r="BW1371" s="1684"/>
      <c r="BX1371" s="1684"/>
      <c r="BY1371" s="1684"/>
      <c r="BZ1371" s="1684"/>
      <c r="CA1371" s="1684"/>
      <c r="CB1371" s="1684"/>
      <c r="CC1371" s="1684"/>
      <c r="CD1371" s="1684"/>
      <c r="CE1371" s="1684"/>
      <c r="CF1371" s="1684"/>
      <c r="CG1371" s="1684"/>
      <c r="CH1371" s="1684"/>
      <c r="CI1371" s="1684"/>
      <c r="CJ1371" s="1684"/>
      <c r="CK1371" s="1684"/>
      <c r="CL1371" s="1684"/>
      <c r="CM1371" s="1684"/>
      <c r="CN1371" s="1684"/>
      <c r="CO1371" s="1684"/>
    </row>
    <row r="1372" spans="1:93" s="1391" customFormat="1" ht="15" x14ac:dyDescent="0.2">
      <c r="A1372" s="1684"/>
      <c r="B1372" s="1684"/>
      <c r="C1372" s="4680" t="s">
        <v>3691</v>
      </c>
      <c r="D1372" s="4681"/>
      <c r="E1372" s="4681"/>
      <c r="F1372" s="4681"/>
      <c r="G1372" s="4681"/>
      <c r="H1372" s="4681"/>
      <c r="I1372" s="4681"/>
      <c r="J1372" s="4681"/>
      <c r="K1372" s="4681"/>
      <c r="L1372" s="4681"/>
      <c r="M1372" s="4681"/>
      <c r="N1372" s="4681"/>
      <c r="O1372" s="4681"/>
      <c r="P1372" s="4681"/>
      <c r="Q1372" s="4682"/>
      <c r="R1372"/>
      <c r="S1372" s="1684"/>
      <c r="T1372" s="1684"/>
      <c r="U1372" s="1684"/>
      <c r="V1372" s="1684"/>
      <c r="W1372" s="1684"/>
      <c r="X1372" s="1684"/>
      <c r="Y1372" s="1684"/>
      <c r="Z1372" s="1684"/>
      <c r="AA1372" s="1684"/>
      <c r="AB1372" s="1684"/>
      <c r="AC1372" s="1684"/>
      <c r="AD1372" s="1684"/>
      <c r="AE1372" s="1684"/>
      <c r="AF1372" s="1684"/>
      <c r="AG1372" s="1684"/>
      <c r="AH1372" s="1684"/>
      <c r="AI1372" s="1684"/>
      <c r="AJ1372" s="1684"/>
      <c r="AK1372" s="1684"/>
      <c r="AL1372" s="1684"/>
      <c r="AM1372" s="1684"/>
      <c r="AN1372" s="1684"/>
      <c r="AO1372" s="1684"/>
      <c r="AP1372" s="1684"/>
      <c r="AQ1372" s="1684"/>
      <c r="AR1372" s="1684"/>
      <c r="AS1372" s="1684"/>
      <c r="AT1372" s="1684"/>
      <c r="AU1372" s="1684"/>
      <c r="AV1372" s="1684"/>
      <c r="AW1372" s="1684"/>
      <c r="AX1372" s="1684"/>
      <c r="AY1372" s="1684"/>
      <c r="AZ1372" s="1684"/>
      <c r="BA1372" s="1684"/>
      <c r="BB1372" s="1684"/>
      <c r="BC1372" s="1684"/>
      <c r="BD1372" s="1684"/>
      <c r="BE1372" s="1684"/>
      <c r="BF1372" s="1684"/>
      <c r="BG1372" s="1684"/>
      <c r="BH1372" s="1684"/>
      <c r="BI1372" s="1684"/>
      <c r="BJ1372" s="1684"/>
      <c r="BK1372" s="1684"/>
      <c r="BL1372" s="1684"/>
      <c r="BM1372" s="1684"/>
      <c r="BN1372" s="1684"/>
      <c r="BO1372" s="1684"/>
      <c r="BP1372" s="1684"/>
      <c r="BQ1372" s="1684"/>
      <c r="BR1372" s="1684"/>
      <c r="BS1372" s="1684"/>
      <c r="BT1372" s="1684"/>
      <c r="BU1372" s="1684"/>
      <c r="BV1372" s="1684"/>
      <c r="BW1372" s="1684"/>
      <c r="BX1372" s="1684"/>
      <c r="BY1372" s="1684"/>
      <c r="BZ1372" s="1684"/>
      <c r="CA1372" s="1684"/>
      <c r="CB1372" s="1684"/>
      <c r="CC1372" s="1684"/>
      <c r="CD1372" s="1684"/>
      <c r="CE1372" s="1684"/>
      <c r="CF1372" s="1684"/>
      <c r="CG1372" s="1684"/>
      <c r="CH1372" s="1684"/>
      <c r="CI1372" s="1684"/>
      <c r="CJ1372" s="1684"/>
      <c r="CK1372" s="1684"/>
      <c r="CL1372" s="1684"/>
      <c r="CM1372" s="1684"/>
      <c r="CN1372" s="1684"/>
      <c r="CO1372" s="1684"/>
    </row>
    <row r="1373" spans="1:93" s="1391" customFormat="1" ht="15" x14ac:dyDescent="0.2">
      <c r="A1373" s="1684"/>
      <c r="B1373" s="1684"/>
      <c r="C1373" s="4680"/>
      <c r="D1373" s="4681"/>
      <c r="E1373" s="4681"/>
      <c r="F1373" s="4681"/>
      <c r="G1373" s="4681"/>
      <c r="H1373" s="4681"/>
      <c r="I1373" s="4681"/>
      <c r="J1373" s="4681"/>
      <c r="K1373" s="4681"/>
      <c r="L1373" s="4681"/>
      <c r="M1373" s="4681"/>
      <c r="N1373" s="4681"/>
      <c r="O1373" s="4681"/>
      <c r="P1373" s="4681"/>
      <c r="Q1373" s="4682"/>
      <c r="R1373"/>
      <c r="S1373" s="1684"/>
      <c r="T1373" s="1684"/>
      <c r="U1373" s="1684"/>
      <c r="V1373" s="1684"/>
      <c r="W1373" s="1684"/>
      <c r="X1373" s="1684"/>
      <c r="Y1373" s="1684"/>
      <c r="Z1373" s="1684"/>
      <c r="AA1373" s="1684"/>
      <c r="AB1373" s="1684"/>
      <c r="AC1373" s="1684"/>
      <c r="AD1373" s="1684"/>
      <c r="AE1373" s="1684"/>
      <c r="AF1373" s="1684"/>
      <c r="AG1373" s="1684"/>
      <c r="AH1373" s="1684"/>
      <c r="AI1373" s="1684"/>
      <c r="AJ1373" s="1684"/>
      <c r="AK1373" s="1684"/>
      <c r="AL1373" s="1684"/>
      <c r="AM1373" s="1684"/>
      <c r="AN1373" s="1684"/>
      <c r="AO1373" s="1684"/>
      <c r="AP1373" s="1684"/>
      <c r="AQ1373" s="1684"/>
      <c r="AR1373" s="1684"/>
      <c r="AS1373" s="1684"/>
      <c r="AT1373" s="1684"/>
      <c r="AU1373" s="1684"/>
      <c r="AV1373" s="1684"/>
      <c r="AW1373" s="1684"/>
      <c r="AX1373" s="1684"/>
      <c r="AY1373" s="1684"/>
      <c r="AZ1373" s="1684"/>
      <c r="BA1373" s="1684"/>
      <c r="BB1373" s="1684"/>
      <c r="BC1373" s="1684"/>
      <c r="BD1373" s="1684"/>
      <c r="BE1373" s="1684"/>
      <c r="BF1373" s="1684"/>
      <c r="BG1373" s="1684"/>
      <c r="BH1373" s="1684"/>
      <c r="BI1373" s="1684"/>
      <c r="BJ1373" s="1684"/>
      <c r="BK1373" s="1684"/>
      <c r="BL1373" s="1684"/>
      <c r="BM1373" s="1684"/>
      <c r="BN1373" s="1684"/>
      <c r="BO1373" s="1684"/>
      <c r="BP1373" s="1684"/>
      <c r="BQ1373" s="1684"/>
      <c r="BR1373" s="1684"/>
      <c r="BS1373" s="1684"/>
      <c r="BT1373" s="1684"/>
      <c r="BU1373" s="1684"/>
      <c r="BV1373" s="1684"/>
      <c r="BW1373" s="1684"/>
      <c r="BX1373" s="1684"/>
      <c r="BY1373" s="1684"/>
      <c r="BZ1373" s="1684"/>
      <c r="CA1373" s="1684"/>
      <c r="CB1373" s="1684"/>
      <c r="CC1373" s="1684"/>
      <c r="CD1373" s="1684"/>
      <c r="CE1373" s="1684"/>
      <c r="CF1373" s="1684"/>
      <c r="CG1373" s="1684"/>
      <c r="CH1373" s="1684"/>
      <c r="CI1373" s="1684"/>
      <c r="CJ1373" s="1684"/>
      <c r="CK1373" s="1684"/>
      <c r="CL1373" s="1684"/>
      <c r="CM1373" s="1684"/>
      <c r="CN1373" s="1684"/>
      <c r="CO1373" s="1684"/>
    </row>
    <row r="1374" spans="1:93" s="1391" customFormat="1" ht="15" x14ac:dyDescent="0.2">
      <c r="A1374" s="1684"/>
      <c r="B1374" s="1684"/>
      <c r="C1374" s="2014"/>
      <c r="D1374" s="2015"/>
      <c r="E1374" s="2015">
        <v>1</v>
      </c>
      <c r="F1374" s="2015">
        <v>2</v>
      </c>
      <c r="G1374" s="2015">
        <v>3</v>
      </c>
      <c r="H1374" s="2015">
        <v>4</v>
      </c>
      <c r="I1374" s="2015">
        <v>5</v>
      </c>
      <c r="J1374" s="2015">
        <v>6</v>
      </c>
      <c r="K1374" s="2015">
        <v>7</v>
      </c>
      <c r="L1374" s="2015">
        <v>8</v>
      </c>
      <c r="M1374" s="2015">
        <v>9</v>
      </c>
      <c r="N1374" s="2015">
        <v>10</v>
      </c>
      <c r="O1374" s="2015">
        <v>11</v>
      </c>
      <c r="P1374" s="2015">
        <v>12</v>
      </c>
      <c r="Q1374" s="2016"/>
      <c r="R1374"/>
      <c r="S1374" s="1684"/>
      <c r="T1374" s="1684"/>
      <c r="U1374" s="1684"/>
      <c r="V1374" s="1684"/>
      <c r="W1374" s="1684"/>
      <c r="X1374" s="1684"/>
      <c r="Y1374" s="1684"/>
      <c r="Z1374" s="1684"/>
      <c r="AA1374" s="1684"/>
      <c r="AB1374" s="1684"/>
      <c r="AC1374" s="1684"/>
      <c r="AD1374" s="1684"/>
      <c r="AE1374" s="1684"/>
      <c r="AF1374" s="1684"/>
      <c r="AG1374" s="1684"/>
      <c r="AH1374" s="1684"/>
      <c r="AI1374" s="1684"/>
      <c r="AJ1374" s="1684"/>
      <c r="AK1374" s="1684"/>
      <c r="AL1374" s="1684"/>
      <c r="AM1374" s="1684"/>
      <c r="AN1374" s="1684"/>
      <c r="AO1374" s="1684"/>
      <c r="AP1374" s="1684"/>
      <c r="AQ1374" s="1684"/>
      <c r="AR1374" s="1684"/>
      <c r="AS1374" s="1684"/>
      <c r="AT1374" s="1684"/>
      <c r="AU1374" s="1684"/>
      <c r="AV1374" s="1684"/>
      <c r="AW1374" s="1684"/>
      <c r="AX1374" s="1684"/>
      <c r="AY1374" s="1684"/>
      <c r="AZ1374" s="1684"/>
      <c r="BA1374" s="1684"/>
      <c r="BB1374" s="1684"/>
      <c r="BC1374" s="1684"/>
      <c r="BD1374" s="1684"/>
      <c r="BE1374" s="1684"/>
      <c r="BF1374" s="1684"/>
      <c r="BG1374" s="1684"/>
      <c r="BH1374" s="1684"/>
      <c r="BI1374" s="1684"/>
      <c r="BJ1374" s="1684"/>
      <c r="BK1374" s="1684"/>
      <c r="BL1374" s="1684"/>
      <c r="BM1374" s="1684"/>
      <c r="BN1374" s="1684"/>
      <c r="BO1374" s="1684"/>
      <c r="BP1374" s="1684"/>
      <c r="BQ1374" s="1684"/>
      <c r="BR1374" s="1684"/>
      <c r="BS1374" s="1684"/>
      <c r="BT1374" s="1684"/>
      <c r="BU1374" s="1684"/>
      <c r="BV1374" s="1684"/>
      <c r="BW1374" s="1684"/>
      <c r="BX1374" s="1684"/>
      <c r="BY1374" s="1684"/>
      <c r="BZ1374" s="1684"/>
      <c r="CA1374" s="1684"/>
      <c r="CB1374" s="1684"/>
      <c r="CC1374" s="1684"/>
      <c r="CD1374" s="1684"/>
      <c r="CE1374" s="1684"/>
      <c r="CF1374" s="1684"/>
      <c r="CG1374" s="1684"/>
      <c r="CH1374" s="1684"/>
      <c r="CI1374" s="1684"/>
      <c r="CJ1374" s="1684"/>
      <c r="CK1374" s="1684"/>
      <c r="CL1374" s="1684"/>
      <c r="CM1374" s="1684"/>
      <c r="CN1374" s="1684"/>
      <c r="CO1374" s="1684"/>
    </row>
    <row r="1375" spans="1:93" s="1391" customFormat="1" ht="15" x14ac:dyDescent="0.2">
      <c r="A1375" s="1684"/>
      <c r="B1375" s="1684"/>
      <c r="C1375" s="2013">
        <v>8</v>
      </c>
      <c r="D1375" s="5">
        <v>5.0490000000000004</v>
      </c>
      <c r="E1375" s="5">
        <v>128</v>
      </c>
      <c r="F1375" s="5">
        <v>141</v>
      </c>
      <c r="G1375" s="5">
        <v>154</v>
      </c>
      <c r="H1375" s="5">
        <v>167</v>
      </c>
      <c r="I1375" s="5">
        <v>179</v>
      </c>
      <c r="J1375" s="5">
        <v>192</v>
      </c>
      <c r="K1375" s="5">
        <v>204</v>
      </c>
      <c r="L1375" s="5">
        <v>217</v>
      </c>
      <c r="M1375" s="5">
        <v>228</v>
      </c>
      <c r="N1375" s="5">
        <v>240</v>
      </c>
      <c r="O1375" s="5">
        <v>252</v>
      </c>
      <c r="P1375" s="5">
        <v>264</v>
      </c>
      <c r="Q1375" s="1160">
        <v>56</v>
      </c>
      <c r="R1375"/>
      <c r="S1375" s="1684"/>
      <c r="T1375" s="1684"/>
      <c r="U1375" s="1684"/>
      <c r="V1375" s="1684"/>
      <c r="W1375" s="1684"/>
      <c r="X1375" s="1684"/>
      <c r="Y1375" s="1684"/>
      <c r="Z1375" s="1684"/>
      <c r="AA1375" s="1684"/>
      <c r="AB1375" s="1684"/>
      <c r="AC1375" s="1684"/>
      <c r="AD1375" s="1684"/>
      <c r="AE1375" s="1684"/>
      <c r="AF1375" s="1684"/>
      <c r="AG1375" s="1684"/>
      <c r="AH1375" s="1684"/>
      <c r="AI1375" s="1684"/>
      <c r="AJ1375" s="1684"/>
      <c r="AK1375" s="1684"/>
      <c r="AL1375" s="1684"/>
      <c r="AM1375" s="1684"/>
      <c r="AN1375" s="1684"/>
      <c r="AO1375" s="1684"/>
      <c r="AP1375" s="1684"/>
      <c r="AQ1375" s="1684"/>
      <c r="AR1375" s="1684"/>
      <c r="AS1375" s="1684"/>
      <c r="AT1375" s="1684"/>
      <c r="AU1375" s="1684"/>
      <c r="AV1375" s="1684"/>
      <c r="AW1375" s="1684"/>
      <c r="AX1375" s="1684"/>
      <c r="AY1375" s="1684"/>
      <c r="AZ1375" s="1684"/>
      <c r="BA1375" s="1684"/>
      <c r="BB1375" s="1684"/>
      <c r="BC1375" s="1684"/>
      <c r="BD1375" s="1684"/>
      <c r="BE1375" s="1684"/>
      <c r="BF1375" s="1684"/>
      <c r="BG1375" s="1684"/>
      <c r="BH1375" s="1684"/>
      <c r="BI1375" s="1684"/>
      <c r="BJ1375" s="1684"/>
      <c r="BK1375" s="1684"/>
      <c r="BL1375" s="1684"/>
      <c r="BM1375" s="1684"/>
      <c r="BN1375" s="1684"/>
      <c r="BO1375" s="1684"/>
      <c r="BP1375" s="1684"/>
      <c r="BQ1375" s="1684"/>
      <c r="BR1375" s="1684"/>
      <c r="BS1375" s="1684"/>
      <c r="BT1375" s="1684"/>
      <c r="BU1375" s="1684"/>
      <c r="BV1375" s="1684"/>
      <c r="BW1375" s="1684"/>
      <c r="BX1375" s="1684"/>
      <c r="BY1375" s="1684"/>
      <c r="BZ1375" s="1684"/>
      <c r="CA1375" s="1684"/>
      <c r="CB1375" s="1684"/>
      <c r="CC1375" s="1684"/>
      <c r="CD1375" s="1684"/>
      <c r="CE1375" s="1684"/>
      <c r="CF1375" s="1684"/>
      <c r="CG1375" s="1684"/>
      <c r="CH1375" s="1684"/>
      <c r="CI1375" s="1684"/>
      <c r="CJ1375" s="1684"/>
      <c r="CK1375" s="1684"/>
      <c r="CL1375" s="1684"/>
      <c r="CM1375" s="1684"/>
      <c r="CN1375" s="1684"/>
      <c r="CO1375" s="1684"/>
    </row>
    <row r="1376" spans="1:93" s="1391" customFormat="1" ht="15" x14ac:dyDescent="0.2">
      <c r="A1376" s="1684"/>
      <c r="B1376" s="1684"/>
      <c r="C1376" s="2013">
        <v>9</v>
      </c>
      <c r="D1376" s="5">
        <v>5.3310000000000004</v>
      </c>
      <c r="E1376" s="5">
        <v>140</v>
      </c>
      <c r="F1376" s="5">
        <v>154</v>
      </c>
      <c r="G1376" s="5">
        <v>168</v>
      </c>
      <c r="H1376" s="5">
        <v>182</v>
      </c>
      <c r="I1376" s="5">
        <v>196</v>
      </c>
      <c r="J1376" s="5">
        <v>209</v>
      </c>
      <c r="K1376" s="5">
        <v>223</v>
      </c>
      <c r="L1376" s="5">
        <v>236</v>
      </c>
      <c r="M1376" s="5">
        <v>249</v>
      </c>
      <c r="N1376" s="5">
        <v>262</v>
      </c>
      <c r="O1376" s="5">
        <v>275</v>
      </c>
      <c r="P1376" s="5">
        <v>288</v>
      </c>
      <c r="Q1376" s="1160">
        <v>57</v>
      </c>
      <c r="R1376"/>
      <c r="S1376" s="1684"/>
      <c r="T1376" s="1684"/>
      <c r="U1376" s="1684"/>
      <c r="V1376" s="1684"/>
      <c r="W1376" s="1684"/>
      <c r="X1376" s="1684"/>
      <c r="Y1376" s="1684"/>
      <c r="Z1376" s="1684"/>
      <c r="AA1376" s="1684"/>
      <c r="AB1376" s="1684"/>
      <c r="AC1376" s="1684"/>
      <c r="AD1376" s="1684"/>
      <c r="AE1376" s="1684"/>
      <c r="AF1376" s="1684"/>
      <c r="AG1376" s="1684"/>
      <c r="AH1376" s="1684"/>
      <c r="AI1376" s="1684"/>
      <c r="AJ1376" s="1684"/>
      <c r="AK1376" s="1684"/>
      <c r="AL1376" s="1684"/>
      <c r="AM1376" s="1684"/>
      <c r="AN1376" s="1684"/>
      <c r="AO1376" s="1684"/>
      <c r="AP1376" s="1684"/>
      <c r="AQ1376" s="1684"/>
      <c r="AR1376" s="1684"/>
      <c r="AS1376" s="1684"/>
      <c r="AT1376" s="1684"/>
      <c r="AU1376" s="1684"/>
      <c r="AV1376" s="1684"/>
      <c r="AW1376" s="1684"/>
      <c r="AX1376" s="1684"/>
      <c r="AY1376" s="1684"/>
      <c r="AZ1376" s="1684"/>
      <c r="BA1376" s="1684"/>
      <c r="BB1376" s="1684"/>
      <c r="BC1376" s="1684"/>
      <c r="BD1376" s="1684"/>
      <c r="BE1376" s="1684"/>
      <c r="BF1376" s="1684"/>
      <c r="BG1376" s="1684"/>
      <c r="BH1376" s="1684"/>
      <c r="BI1376" s="1684"/>
      <c r="BJ1376" s="1684"/>
      <c r="BK1376" s="1684"/>
      <c r="BL1376" s="1684"/>
      <c r="BM1376" s="1684"/>
      <c r="BN1376" s="1684"/>
      <c r="BO1376" s="1684"/>
      <c r="BP1376" s="1684"/>
      <c r="BQ1376" s="1684"/>
      <c r="BR1376" s="1684"/>
      <c r="BS1376" s="1684"/>
      <c r="BT1376" s="1684"/>
      <c r="BU1376" s="1684"/>
      <c r="BV1376" s="1684"/>
      <c r="BW1376" s="1684"/>
      <c r="BX1376" s="1684"/>
      <c r="BY1376" s="1684"/>
      <c r="BZ1376" s="1684"/>
      <c r="CA1376" s="1684"/>
      <c r="CB1376" s="1684"/>
      <c r="CC1376" s="1684"/>
      <c r="CD1376" s="1684"/>
      <c r="CE1376" s="1684"/>
      <c r="CF1376" s="1684"/>
      <c r="CG1376" s="1684"/>
      <c r="CH1376" s="1684"/>
      <c r="CI1376" s="1684"/>
      <c r="CJ1376" s="1684"/>
      <c r="CK1376" s="1684"/>
      <c r="CL1376" s="1684"/>
      <c r="CM1376" s="1684"/>
      <c r="CN1376" s="1684"/>
      <c r="CO1376" s="1684"/>
    </row>
    <row r="1377" spans="1:93" s="1391" customFormat="1" ht="15" x14ac:dyDescent="0.2">
      <c r="A1377" s="1684"/>
      <c r="B1377" s="1684"/>
      <c r="C1377" s="2013">
        <v>10</v>
      </c>
      <c r="D1377" s="5">
        <v>5.6239999999999997</v>
      </c>
      <c r="E1377" s="5">
        <v>152</v>
      </c>
      <c r="F1377" s="5">
        <v>168</v>
      </c>
      <c r="G1377" s="5">
        <v>183</v>
      </c>
      <c r="H1377" s="5">
        <v>198</v>
      </c>
      <c r="I1377" s="5">
        <v>212</v>
      </c>
      <c r="J1377" s="5">
        <v>227</v>
      </c>
      <c r="K1377" s="5">
        <v>242</v>
      </c>
      <c r="L1377" s="5">
        <v>257</v>
      </c>
      <c r="M1377" s="5">
        <v>270</v>
      </c>
      <c r="N1377" s="5">
        <v>284</v>
      </c>
      <c r="O1377" s="5">
        <v>298</v>
      </c>
      <c r="P1377" s="5">
        <v>312</v>
      </c>
      <c r="Q1377" s="1160">
        <v>58</v>
      </c>
      <c r="R1377"/>
      <c r="S1377" s="1684"/>
      <c r="T1377" s="1684"/>
      <c r="U1377" s="1684"/>
      <c r="V1377" s="1684"/>
      <c r="W1377" s="1684"/>
      <c r="X1377" s="1684"/>
      <c r="Y1377" s="1684"/>
      <c r="Z1377" s="1684"/>
      <c r="AA1377" s="1684"/>
      <c r="AB1377" s="1684"/>
      <c r="AC1377" s="1684"/>
      <c r="AD1377" s="1684"/>
      <c r="AE1377" s="1684"/>
      <c r="AF1377" s="1684"/>
      <c r="AG1377" s="1684"/>
      <c r="AH1377" s="1684"/>
      <c r="AI1377" s="1684"/>
      <c r="AJ1377" s="1684"/>
      <c r="AK1377" s="1684"/>
      <c r="AL1377" s="1684"/>
      <c r="AM1377" s="1684"/>
      <c r="AN1377" s="1684"/>
      <c r="AO1377" s="1684"/>
      <c r="AP1377" s="1684"/>
      <c r="AQ1377" s="1684"/>
      <c r="AR1377" s="1684"/>
      <c r="AS1377" s="1684"/>
      <c r="AT1377" s="1684"/>
      <c r="AU1377" s="1684"/>
      <c r="AV1377" s="1684"/>
      <c r="AW1377" s="1684"/>
      <c r="AX1377" s="1684"/>
      <c r="AY1377" s="1684"/>
      <c r="AZ1377" s="1684"/>
      <c r="BA1377" s="1684"/>
      <c r="BB1377" s="1684"/>
      <c r="BC1377" s="1684"/>
      <c r="BD1377" s="1684"/>
      <c r="BE1377" s="1684"/>
      <c r="BF1377" s="1684"/>
      <c r="BG1377" s="1684"/>
      <c r="BH1377" s="1684"/>
      <c r="BI1377" s="1684"/>
      <c r="BJ1377" s="1684"/>
      <c r="BK1377" s="1684"/>
      <c r="BL1377" s="1684"/>
      <c r="BM1377" s="1684"/>
      <c r="BN1377" s="1684"/>
      <c r="BO1377" s="1684"/>
      <c r="BP1377" s="1684"/>
      <c r="BQ1377" s="1684"/>
      <c r="BR1377" s="1684"/>
      <c r="BS1377" s="1684"/>
      <c r="BT1377" s="1684"/>
      <c r="BU1377" s="1684"/>
      <c r="BV1377" s="1684"/>
      <c r="BW1377" s="1684"/>
      <c r="BX1377" s="1684"/>
      <c r="BY1377" s="1684"/>
      <c r="BZ1377" s="1684"/>
      <c r="CA1377" s="1684"/>
      <c r="CB1377" s="1684"/>
      <c r="CC1377" s="1684"/>
      <c r="CD1377" s="1684"/>
      <c r="CE1377" s="1684"/>
      <c r="CF1377" s="1684"/>
      <c r="CG1377" s="1684"/>
      <c r="CH1377" s="1684"/>
      <c r="CI1377" s="1684"/>
      <c r="CJ1377" s="1684"/>
      <c r="CK1377" s="1684"/>
      <c r="CL1377" s="1684"/>
      <c r="CM1377" s="1684"/>
      <c r="CN1377" s="1684"/>
      <c r="CO1377" s="1684"/>
    </row>
    <row r="1378" spans="1:93" s="1391" customFormat="1" ht="15" x14ac:dyDescent="0.2">
      <c r="A1378" s="1684"/>
      <c r="B1378" s="1684"/>
      <c r="C1378" s="2013">
        <v>11</v>
      </c>
      <c r="D1378" s="5">
        <v>5.9489999999999998</v>
      </c>
      <c r="E1378" s="5">
        <v>163</v>
      </c>
      <c r="F1378" s="5">
        <v>183</v>
      </c>
      <c r="G1378" s="5">
        <v>199</v>
      </c>
      <c r="H1378" s="5">
        <v>215</v>
      </c>
      <c r="I1378" s="5">
        <v>231</v>
      </c>
      <c r="J1378" s="5">
        <v>247</v>
      </c>
      <c r="K1378" s="5">
        <v>262</v>
      </c>
      <c r="L1378" s="5">
        <v>278</v>
      </c>
      <c r="M1378" s="5">
        <v>293</v>
      </c>
      <c r="N1378" s="5">
        <v>308</v>
      </c>
      <c r="O1378" s="5">
        <v>323</v>
      </c>
      <c r="P1378" s="5">
        <v>338</v>
      </c>
      <c r="Q1378" s="1160">
        <v>59</v>
      </c>
      <c r="R1378"/>
      <c r="S1378" s="1684"/>
      <c r="T1378" s="1684"/>
      <c r="U1378" s="1684"/>
      <c r="V1378" s="1684"/>
      <c r="W1378" s="1684"/>
      <c r="X1378" s="1684"/>
      <c r="Y1378" s="1684"/>
      <c r="Z1378" s="1684"/>
      <c r="AA1378" s="1684"/>
      <c r="AB1378" s="1684"/>
      <c r="AC1378" s="1684"/>
      <c r="AD1378" s="1684"/>
      <c r="AE1378" s="1684"/>
      <c r="AF1378" s="1684"/>
      <c r="AG1378" s="1684"/>
      <c r="AH1378" s="1684"/>
      <c r="AI1378" s="1684"/>
      <c r="AJ1378" s="1684"/>
      <c r="AK1378" s="1684"/>
      <c r="AL1378" s="1684"/>
      <c r="AM1378" s="1684"/>
      <c r="AN1378" s="1684"/>
      <c r="AO1378" s="1684"/>
      <c r="AP1378" s="1684"/>
      <c r="AQ1378" s="1684"/>
      <c r="AR1378" s="1684"/>
      <c r="AS1378" s="1684"/>
      <c r="AT1378" s="1684"/>
      <c r="AU1378" s="1684"/>
      <c r="AV1378" s="1684"/>
      <c r="AW1378" s="1684"/>
      <c r="AX1378" s="1684"/>
      <c r="AY1378" s="1684"/>
      <c r="AZ1378" s="1684"/>
      <c r="BA1378" s="1684"/>
      <c r="BB1378" s="1684"/>
      <c r="BC1378" s="1684"/>
      <c r="BD1378" s="1684"/>
      <c r="BE1378" s="1684"/>
      <c r="BF1378" s="1684"/>
      <c r="BG1378" s="1684"/>
      <c r="BH1378" s="1684"/>
      <c r="BI1378" s="1684"/>
      <c r="BJ1378" s="1684"/>
      <c r="BK1378" s="1684"/>
      <c r="BL1378" s="1684"/>
      <c r="BM1378" s="1684"/>
      <c r="BN1378" s="1684"/>
      <c r="BO1378" s="1684"/>
      <c r="BP1378" s="1684"/>
      <c r="BQ1378" s="1684"/>
      <c r="BR1378" s="1684"/>
      <c r="BS1378" s="1684"/>
      <c r="BT1378" s="1684"/>
      <c r="BU1378" s="1684"/>
      <c r="BV1378" s="1684"/>
      <c r="BW1378" s="1684"/>
      <c r="BX1378" s="1684"/>
      <c r="BY1378" s="1684"/>
      <c r="BZ1378" s="1684"/>
      <c r="CA1378" s="1684"/>
      <c r="CB1378" s="1684"/>
      <c r="CC1378" s="1684"/>
      <c r="CD1378" s="1684"/>
      <c r="CE1378" s="1684"/>
      <c r="CF1378" s="1684"/>
      <c r="CG1378" s="1684"/>
      <c r="CH1378" s="1684"/>
      <c r="CI1378" s="1684"/>
      <c r="CJ1378" s="1684"/>
      <c r="CK1378" s="1684"/>
      <c r="CL1378" s="1684"/>
      <c r="CM1378" s="1684"/>
      <c r="CN1378" s="1684"/>
      <c r="CO1378" s="1684"/>
    </row>
    <row r="1379" spans="1:93" s="1391" customFormat="1" ht="15" x14ac:dyDescent="0.2">
      <c r="A1379" s="1684"/>
      <c r="B1379" s="1684"/>
      <c r="C1379" s="2013">
        <v>12</v>
      </c>
      <c r="D1379" s="5">
        <v>6.2839999999999998</v>
      </c>
      <c r="E1379" s="5">
        <v>179</v>
      </c>
      <c r="F1379" s="5">
        <v>198</v>
      </c>
      <c r="G1379" s="5">
        <v>215</v>
      </c>
      <c r="H1379" s="5">
        <v>232</v>
      </c>
      <c r="I1379" s="5">
        <v>249</v>
      </c>
      <c r="J1379" s="5">
        <v>266</v>
      </c>
      <c r="K1379" s="5">
        <v>283</v>
      </c>
      <c r="L1379" s="5">
        <v>301</v>
      </c>
      <c r="M1379" s="5">
        <v>316</v>
      </c>
      <c r="N1379" s="5">
        <v>332</v>
      </c>
      <c r="O1379" s="5">
        <v>348</v>
      </c>
      <c r="P1379" s="5">
        <v>364</v>
      </c>
      <c r="Q1379" s="1160">
        <v>60</v>
      </c>
      <c r="R1379"/>
      <c r="S1379" s="1684"/>
      <c r="T1379" s="1684"/>
      <c r="U1379" s="1684"/>
      <c r="V1379" s="1684"/>
      <c r="W1379" s="1684"/>
      <c r="X1379" s="1684"/>
      <c r="Y1379" s="1684"/>
      <c r="Z1379" s="1684"/>
      <c r="AA1379" s="1684"/>
      <c r="AB1379" s="1684"/>
      <c r="AC1379" s="1684"/>
      <c r="AD1379" s="1684"/>
      <c r="AE1379" s="1684"/>
      <c r="AF1379" s="1684"/>
      <c r="AG1379" s="1684"/>
      <c r="AH1379" s="1684"/>
      <c r="AI1379" s="1684"/>
      <c r="AJ1379" s="1684"/>
      <c r="AK1379" s="1684"/>
      <c r="AL1379" s="1684"/>
      <c r="AM1379" s="1684"/>
      <c r="AN1379" s="1684"/>
      <c r="AO1379" s="1684"/>
      <c r="AP1379" s="1684"/>
      <c r="AQ1379" s="1684"/>
      <c r="AR1379" s="1684"/>
      <c r="AS1379" s="1684"/>
      <c r="AT1379" s="1684"/>
      <c r="AU1379" s="1684"/>
      <c r="AV1379" s="1684"/>
      <c r="AW1379" s="1684"/>
      <c r="AX1379" s="1684"/>
      <c r="AY1379" s="1684"/>
      <c r="AZ1379" s="1684"/>
      <c r="BA1379" s="1684"/>
      <c r="BB1379" s="1684"/>
      <c r="BC1379" s="1684"/>
      <c r="BD1379" s="1684"/>
      <c r="BE1379" s="1684"/>
      <c r="BF1379" s="1684"/>
      <c r="BG1379" s="1684"/>
      <c r="BH1379" s="1684"/>
      <c r="BI1379" s="1684"/>
      <c r="BJ1379" s="1684"/>
      <c r="BK1379" s="1684"/>
      <c r="BL1379" s="1684"/>
      <c r="BM1379" s="1684"/>
      <c r="BN1379" s="1684"/>
      <c r="BO1379" s="1684"/>
      <c r="BP1379" s="1684"/>
      <c r="BQ1379" s="1684"/>
      <c r="BR1379" s="1684"/>
      <c r="BS1379" s="1684"/>
      <c r="BT1379" s="1684"/>
      <c r="BU1379" s="1684"/>
      <c r="BV1379" s="1684"/>
      <c r="BW1379" s="1684"/>
      <c r="BX1379" s="1684"/>
      <c r="BY1379" s="1684"/>
      <c r="BZ1379" s="1684"/>
      <c r="CA1379" s="1684"/>
      <c r="CB1379" s="1684"/>
      <c r="CC1379" s="1684"/>
      <c r="CD1379" s="1684"/>
      <c r="CE1379" s="1684"/>
      <c r="CF1379" s="1684"/>
      <c r="CG1379" s="1684"/>
      <c r="CH1379" s="1684"/>
      <c r="CI1379" s="1684"/>
      <c r="CJ1379" s="1684"/>
      <c r="CK1379" s="1684"/>
      <c r="CL1379" s="1684"/>
      <c r="CM1379" s="1684"/>
      <c r="CN1379" s="1684"/>
      <c r="CO1379" s="1684"/>
    </row>
    <row r="1380" spans="1:93" s="1391" customFormat="1" ht="15" x14ac:dyDescent="0.2">
      <c r="A1380" s="1684"/>
      <c r="B1380" s="1684"/>
      <c r="C1380" s="2013">
        <v>13</v>
      </c>
      <c r="D1380" s="5">
        <v>6.6619999999999999</v>
      </c>
      <c r="E1380" s="5">
        <v>192</v>
      </c>
      <c r="F1380" s="5">
        <v>212</v>
      </c>
      <c r="G1380" s="5">
        <v>231</v>
      </c>
      <c r="H1380" s="5">
        <v>250</v>
      </c>
      <c r="I1380" s="5">
        <v>268</v>
      </c>
      <c r="J1380" s="5">
        <v>286</v>
      </c>
      <c r="K1380" s="5">
        <v>304</v>
      </c>
      <c r="L1380" s="5">
        <v>322</v>
      </c>
      <c r="M1380" s="5">
        <v>339</v>
      </c>
      <c r="N1380" s="5">
        <v>356</v>
      </c>
      <c r="O1380" s="5">
        <v>373</v>
      </c>
      <c r="P1380" s="5">
        <v>390</v>
      </c>
      <c r="Q1380" s="1160">
        <v>61</v>
      </c>
      <c r="R1380"/>
      <c r="S1380" s="1684"/>
      <c r="T1380" s="1684"/>
      <c r="U1380" s="1684"/>
      <c r="V1380" s="1684"/>
      <c r="W1380" s="1684"/>
      <c r="X1380" s="1684"/>
      <c r="Y1380" s="1684"/>
      <c r="Z1380" s="1684"/>
      <c r="AA1380" s="1684"/>
      <c r="AB1380" s="1684"/>
      <c r="AC1380" s="1684"/>
      <c r="AD1380" s="1684"/>
      <c r="AE1380" s="1684"/>
      <c r="AF1380" s="1684"/>
      <c r="AG1380" s="1684"/>
      <c r="AH1380" s="1684"/>
      <c r="AI1380" s="1684"/>
      <c r="AJ1380" s="1684"/>
      <c r="AK1380" s="1684"/>
      <c r="AL1380" s="1684"/>
      <c r="AM1380" s="1684"/>
      <c r="AN1380" s="1684"/>
      <c r="AO1380" s="1684"/>
      <c r="AP1380" s="1684"/>
      <c r="AQ1380" s="1684"/>
      <c r="AR1380" s="1684"/>
      <c r="AS1380" s="1684"/>
      <c r="AT1380" s="1684"/>
      <c r="AU1380" s="1684"/>
      <c r="AV1380" s="1684"/>
      <c r="AW1380" s="1684"/>
      <c r="AX1380" s="1684"/>
      <c r="AY1380" s="1684"/>
      <c r="AZ1380" s="1684"/>
      <c r="BA1380" s="1684"/>
      <c r="BB1380" s="1684"/>
      <c r="BC1380" s="1684"/>
      <c r="BD1380" s="1684"/>
      <c r="BE1380" s="1684"/>
      <c r="BF1380" s="1684"/>
      <c r="BG1380" s="1684"/>
      <c r="BH1380" s="1684"/>
      <c r="BI1380" s="1684"/>
      <c r="BJ1380" s="1684"/>
      <c r="BK1380" s="1684"/>
      <c r="BL1380" s="1684"/>
      <c r="BM1380" s="1684"/>
      <c r="BN1380" s="1684"/>
      <c r="BO1380" s="1684"/>
      <c r="BP1380" s="1684"/>
      <c r="BQ1380" s="1684"/>
      <c r="BR1380" s="1684"/>
      <c r="BS1380" s="1684"/>
      <c r="BT1380" s="1684"/>
      <c r="BU1380" s="1684"/>
      <c r="BV1380" s="1684"/>
      <c r="BW1380" s="1684"/>
      <c r="BX1380" s="1684"/>
      <c r="BY1380" s="1684"/>
      <c r="BZ1380" s="1684"/>
      <c r="CA1380" s="1684"/>
      <c r="CB1380" s="1684"/>
      <c r="CC1380" s="1684"/>
      <c r="CD1380" s="1684"/>
      <c r="CE1380" s="1684"/>
      <c r="CF1380" s="1684"/>
      <c r="CG1380" s="1684"/>
      <c r="CH1380" s="1684"/>
      <c r="CI1380" s="1684"/>
      <c r="CJ1380" s="1684"/>
      <c r="CK1380" s="1684"/>
      <c r="CL1380" s="1684"/>
      <c r="CM1380" s="1684"/>
      <c r="CN1380" s="1684"/>
      <c r="CO1380" s="1684"/>
    </row>
    <row r="1381" spans="1:93" s="1391" customFormat="1" ht="15" x14ac:dyDescent="0.2">
      <c r="A1381" s="1684"/>
      <c r="B1381" s="1684"/>
      <c r="C1381" s="2013">
        <v>14</v>
      </c>
      <c r="D1381" s="5">
        <v>6.9740000000000002</v>
      </c>
      <c r="E1381" s="5">
        <v>206</v>
      </c>
      <c r="F1381" s="5">
        <v>223</v>
      </c>
      <c r="G1381" s="5">
        <v>248</v>
      </c>
      <c r="H1381" s="5">
        <v>267</v>
      </c>
      <c r="I1381" s="5">
        <v>287</v>
      </c>
      <c r="J1381" s="5">
        <v>306</v>
      </c>
      <c r="K1381" s="5">
        <v>325</v>
      </c>
      <c r="L1381" s="5">
        <v>345</v>
      </c>
      <c r="M1381" s="5">
        <v>362</v>
      </c>
      <c r="N1381" s="5">
        <v>381</v>
      </c>
      <c r="O1381" s="5">
        <v>399</v>
      </c>
      <c r="P1381" s="5">
        <v>416</v>
      </c>
      <c r="Q1381" s="1160">
        <v>62</v>
      </c>
      <c r="R1381"/>
      <c r="S1381" s="1684"/>
      <c r="T1381" s="1684"/>
      <c r="U1381" s="1684"/>
      <c r="V1381" s="1684"/>
      <c r="W1381" s="1684"/>
      <c r="X1381" s="1684"/>
      <c r="Y1381" s="1684"/>
      <c r="Z1381" s="1684"/>
      <c r="AA1381" s="1684"/>
      <c r="AB1381" s="1684"/>
      <c r="AC1381" s="1684"/>
      <c r="AD1381" s="1684"/>
      <c r="AE1381" s="1684"/>
      <c r="AF1381" s="1684"/>
      <c r="AG1381" s="1684"/>
      <c r="AH1381" s="1684"/>
      <c r="AI1381" s="1684"/>
      <c r="AJ1381" s="1684"/>
      <c r="AK1381" s="1684"/>
      <c r="AL1381" s="1684"/>
      <c r="AM1381" s="1684"/>
      <c r="AN1381" s="1684"/>
      <c r="AO1381" s="1684"/>
      <c r="AP1381" s="1684"/>
      <c r="AQ1381" s="1684"/>
      <c r="AR1381" s="1684"/>
      <c r="AS1381" s="1684"/>
      <c r="AT1381" s="1684"/>
      <c r="AU1381" s="1684"/>
      <c r="AV1381" s="1684"/>
      <c r="AW1381" s="1684"/>
      <c r="AX1381" s="1684"/>
      <c r="AY1381" s="1684"/>
      <c r="AZ1381" s="1684"/>
      <c r="BA1381" s="1684"/>
      <c r="BB1381" s="1684"/>
      <c r="BC1381" s="1684"/>
      <c r="BD1381" s="1684"/>
      <c r="BE1381" s="1684"/>
      <c r="BF1381" s="1684"/>
      <c r="BG1381" s="1684"/>
      <c r="BH1381" s="1684"/>
      <c r="BI1381" s="1684"/>
      <c r="BJ1381" s="1684"/>
      <c r="BK1381" s="1684"/>
      <c r="BL1381" s="1684"/>
      <c r="BM1381" s="1684"/>
      <c r="BN1381" s="1684"/>
      <c r="BO1381" s="1684"/>
      <c r="BP1381" s="1684"/>
      <c r="BQ1381" s="1684"/>
      <c r="BR1381" s="1684"/>
      <c r="BS1381" s="1684"/>
      <c r="BT1381" s="1684"/>
      <c r="BU1381" s="1684"/>
      <c r="BV1381" s="1684"/>
      <c r="BW1381" s="1684"/>
      <c r="BX1381" s="1684"/>
      <c r="BY1381" s="1684"/>
      <c r="BZ1381" s="1684"/>
      <c r="CA1381" s="1684"/>
      <c r="CB1381" s="1684"/>
      <c r="CC1381" s="1684"/>
      <c r="CD1381" s="1684"/>
      <c r="CE1381" s="1684"/>
      <c r="CF1381" s="1684"/>
      <c r="CG1381" s="1684"/>
      <c r="CH1381" s="1684"/>
      <c r="CI1381" s="1684"/>
      <c r="CJ1381" s="1684"/>
      <c r="CK1381" s="1684"/>
      <c r="CL1381" s="1684"/>
      <c r="CM1381" s="1684"/>
      <c r="CN1381" s="1684"/>
      <c r="CO1381" s="1684"/>
    </row>
    <row r="1382" spans="1:93" s="1391" customFormat="1" ht="15" x14ac:dyDescent="0.2">
      <c r="A1382" s="1684"/>
      <c r="B1382" s="1684"/>
      <c r="C1382" s="2013">
        <v>15</v>
      </c>
      <c r="D1382" s="5">
        <v>7.3319999999999999</v>
      </c>
      <c r="E1382" s="5">
        <v>220</v>
      </c>
      <c r="F1382" s="5">
        <v>243</v>
      </c>
      <c r="G1382" s="5">
        <v>264</v>
      </c>
      <c r="H1382" s="5">
        <v>285</v>
      </c>
      <c r="I1382" s="5">
        <v>306</v>
      </c>
      <c r="J1382" s="5">
        <v>326</v>
      </c>
      <c r="K1382" s="5">
        <v>346</v>
      </c>
      <c r="L1382" s="5">
        <v>367</v>
      </c>
      <c r="M1382" s="5">
        <v>385</v>
      </c>
      <c r="N1382" s="5">
        <v>405</v>
      </c>
      <c r="O1382" s="5">
        <v>424</v>
      </c>
      <c r="P1382" s="5">
        <v>443</v>
      </c>
      <c r="Q1382" s="1160">
        <v>63</v>
      </c>
      <c r="R1382"/>
      <c r="S1382" s="1684"/>
      <c r="T1382" s="1684"/>
      <c r="U1382" s="1684"/>
      <c r="V1382" s="1684"/>
      <c r="W1382" s="1684"/>
      <c r="X1382" s="1684"/>
      <c r="Y1382" s="1684"/>
      <c r="Z1382" s="1684"/>
      <c r="AA1382" s="1684"/>
      <c r="AB1382" s="1684"/>
      <c r="AC1382" s="1684"/>
      <c r="AD1382" s="1684"/>
      <c r="AE1382" s="1684"/>
      <c r="AF1382" s="1684"/>
      <c r="AG1382" s="1684"/>
      <c r="AH1382" s="1684"/>
      <c r="AI1382" s="1684"/>
      <c r="AJ1382" s="1684"/>
      <c r="AK1382" s="1684"/>
      <c r="AL1382" s="1684"/>
      <c r="AM1382" s="1684"/>
      <c r="AN1382" s="1684"/>
      <c r="AO1382" s="1684"/>
      <c r="AP1382" s="1684"/>
      <c r="AQ1382" s="1684"/>
      <c r="AR1382" s="1684"/>
      <c r="AS1382" s="1684"/>
      <c r="AT1382" s="1684"/>
      <c r="AU1382" s="1684"/>
      <c r="AV1382" s="1684"/>
      <c r="AW1382" s="1684"/>
      <c r="AX1382" s="1684"/>
      <c r="AY1382" s="1684"/>
      <c r="AZ1382" s="1684"/>
      <c r="BA1382" s="1684"/>
      <c r="BB1382" s="1684"/>
      <c r="BC1382" s="1684"/>
      <c r="BD1382" s="1684"/>
      <c r="BE1382" s="1684"/>
      <c r="BF1382" s="1684"/>
      <c r="BG1382" s="1684"/>
      <c r="BH1382" s="1684"/>
      <c r="BI1382" s="1684"/>
      <c r="BJ1382" s="1684"/>
      <c r="BK1382" s="1684"/>
      <c r="BL1382" s="1684"/>
      <c r="BM1382" s="1684"/>
      <c r="BN1382" s="1684"/>
      <c r="BO1382" s="1684"/>
      <c r="BP1382" s="1684"/>
      <c r="BQ1382" s="1684"/>
      <c r="BR1382" s="1684"/>
      <c r="BS1382" s="1684"/>
      <c r="BT1382" s="1684"/>
      <c r="BU1382" s="1684"/>
      <c r="BV1382" s="1684"/>
      <c r="BW1382" s="1684"/>
      <c r="BX1382" s="1684"/>
      <c r="BY1382" s="1684"/>
      <c r="BZ1382" s="1684"/>
      <c r="CA1382" s="1684"/>
      <c r="CB1382" s="1684"/>
      <c r="CC1382" s="1684"/>
      <c r="CD1382" s="1684"/>
      <c r="CE1382" s="1684"/>
      <c r="CF1382" s="1684"/>
      <c r="CG1382" s="1684"/>
      <c r="CH1382" s="1684"/>
      <c r="CI1382" s="1684"/>
      <c r="CJ1382" s="1684"/>
      <c r="CK1382" s="1684"/>
      <c r="CL1382" s="1684"/>
      <c r="CM1382" s="1684"/>
      <c r="CN1382" s="1684"/>
      <c r="CO1382" s="1684"/>
    </row>
    <row r="1383" spans="1:93" s="1391" customFormat="1" ht="15" x14ac:dyDescent="0.2">
      <c r="A1383" s="1684"/>
      <c r="B1383" s="1684"/>
      <c r="C1383" s="2013">
        <v>16</v>
      </c>
      <c r="D1383" s="5">
        <v>7.8129999999999997</v>
      </c>
      <c r="E1383" s="5">
        <v>234</v>
      </c>
      <c r="F1383" s="5">
        <v>257</v>
      </c>
      <c r="G1383" s="5">
        <v>280</v>
      </c>
      <c r="H1383" s="5">
        <v>302</v>
      </c>
      <c r="I1383" s="5">
        <v>323</v>
      </c>
      <c r="J1383" s="5">
        <v>345</v>
      </c>
      <c r="K1383" s="5">
        <v>366</v>
      </c>
      <c r="L1383" s="5">
        <v>388</v>
      </c>
      <c r="M1383" s="5">
        <v>407</v>
      </c>
      <c r="N1383" s="5">
        <v>428</v>
      </c>
      <c r="O1383" s="5">
        <v>448</v>
      </c>
      <c r="P1383" s="5">
        <v>467</v>
      </c>
      <c r="Q1383" s="1160">
        <v>64</v>
      </c>
      <c r="R1383"/>
      <c r="S1383" s="1684"/>
      <c r="T1383" s="1684"/>
      <c r="U1383" s="1684"/>
      <c r="V1383" s="1684"/>
      <c r="W1383" s="1684"/>
      <c r="X1383" s="1684"/>
      <c r="Y1383" s="1684"/>
      <c r="Z1383" s="1684"/>
      <c r="AA1383" s="1684"/>
      <c r="AB1383" s="1684"/>
      <c r="AC1383" s="1684"/>
      <c r="AD1383" s="1684"/>
      <c r="AE1383" s="1684"/>
      <c r="AF1383" s="1684"/>
      <c r="AG1383" s="1684"/>
      <c r="AH1383" s="1684"/>
      <c r="AI1383" s="1684"/>
      <c r="AJ1383" s="1684"/>
      <c r="AK1383" s="1684"/>
      <c r="AL1383" s="1684"/>
      <c r="AM1383" s="1684"/>
      <c r="AN1383" s="1684"/>
      <c r="AO1383" s="1684"/>
      <c r="AP1383" s="1684"/>
      <c r="AQ1383" s="1684"/>
      <c r="AR1383" s="1684"/>
      <c r="AS1383" s="1684"/>
      <c r="AT1383" s="1684"/>
      <c r="AU1383" s="1684"/>
      <c r="AV1383" s="1684"/>
      <c r="AW1383" s="1684"/>
      <c r="AX1383" s="1684"/>
      <c r="AY1383" s="1684"/>
      <c r="AZ1383" s="1684"/>
      <c r="BA1383" s="1684"/>
      <c r="BB1383" s="1684"/>
      <c r="BC1383" s="1684"/>
      <c r="BD1383" s="1684"/>
      <c r="BE1383" s="1684"/>
      <c r="BF1383" s="1684"/>
      <c r="BG1383" s="1684"/>
      <c r="BH1383" s="1684"/>
      <c r="BI1383" s="1684"/>
      <c r="BJ1383" s="1684"/>
      <c r="BK1383" s="1684"/>
      <c r="BL1383" s="1684"/>
      <c r="BM1383" s="1684"/>
      <c r="BN1383" s="1684"/>
      <c r="BO1383" s="1684"/>
      <c r="BP1383" s="1684"/>
      <c r="BQ1383" s="1684"/>
      <c r="BR1383" s="1684"/>
      <c r="BS1383" s="1684"/>
      <c r="BT1383" s="1684"/>
      <c r="BU1383" s="1684"/>
      <c r="BV1383" s="1684"/>
      <c r="BW1383" s="1684"/>
      <c r="BX1383" s="1684"/>
      <c r="BY1383" s="1684"/>
      <c r="BZ1383" s="1684"/>
      <c r="CA1383" s="1684"/>
      <c r="CB1383" s="1684"/>
      <c r="CC1383" s="1684"/>
      <c r="CD1383" s="1684"/>
      <c r="CE1383" s="1684"/>
      <c r="CF1383" s="1684"/>
      <c r="CG1383" s="1684"/>
      <c r="CH1383" s="1684"/>
      <c r="CI1383" s="1684"/>
      <c r="CJ1383" s="1684"/>
      <c r="CK1383" s="1684"/>
      <c r="CL1383" s="1684"/>
      <c r="CM1383" s="1684"/>
      <c r="CN1383" s="1684"/>
      <c r="CO1383" s="1684"/>
    </row>
    <row r="1384" spans="1:93" s="1391" customFormat="1" ht="15" x14ac:dyDescent="0.2">
      <c r="A1384" s="1684"/>
      <c r="B1384" s="1684"/>
      <c r="C1384" s="2013">
        <v>17</v>
      </c>
      <c r="D1384" s="5">
        <v>8.3279999999999994</v>
      </c>
      <c r="E1384" s="5">
        <v>246</v>
      </c>
      <c r="F1384" s="5">
        <v>271</v>
      </c>
      <c r="G1384" s="5">
        <v>294</v>
      </c>
      <c r="H1384" s="5">
        <v>317</v>
      </c>
      <c r="I1384" s="5">
        <v>340</v>
      </c>
      <c r="J1384" s="5">
        <v>362</v>
      </c>
      <c r="K1384" s="5">
        <v>384</v>
      </c>
      <c r="L1384" s="5">
        <v>407</v>
      </c>
      <c r="M1384" s="5">
        <v>427</v>
      </c>
      <c r="N1384" s="5">
        <v>448</v>
      </c>
      <c r="O1384" s="5">
        <v>469</v>
      </c>
      <c r="P1384" s="5">
        <v>489</v>
      </c>
      <c r="Q1384" s="1160">
        <v>65</v>
      </c>
      <c r="R1384"/>
      <c r="S1384" s="1684"/>
      <c r="T1384" s="1684"/>
      <c r="U1384" s="1684"/>
      <c r="V1384" s="1684"/>
      <c r="W1384" s="1684"/>
      <c r="X1384" s="1684"/>
      <c r="Y1384" s="1684"/>
      <c r="Z1384" s="1684"/>
      <c r="AA1384" s="1684"/>
      <c r="AB1384" s="1684"/>
      <c r="AC1384" s="1684"/>
      <c r="AD1384" s="1684"/>
      <c r="AE1384" s="1684"/>
      <c r="AF1384" s="1684"/>
      <c r="AG1384" s="1684"/>
      <c r="AH1384" s="1684"/>
      <c r="AI1384" s="1684"/>
      <c r="AJ1384" s="1684"/>
      <c r="AK1384" s="1684"/>
      <c r="AL1384" s="1684"/>
      <c r="AM1384" s="1684"/>
      <c r="AN1384" s="1684"/>
      <c r="AO1384" s="1684"/>
      <c r="AP1384" s="1684"/>
      <c r="AQ1384" s="1684"/>
      <c r="AR1384" s="1684"/>
      <c r="AS1384" s="1684"/>
      <c r="AT1384" s="1684"/>
      <c r="AU1384" s="1684"/>
      <c r="AV1384" s="1684"/>
      <c r="AW1384" s="1684"/>
      <c r="AX1384" s="1684"/>
      <c r="AY1384" s="1684"/>
      <c r="AZ1384" s="1684"/>
      <c r="BA1384" s="1684"/>
      <c r="BB1384" s="1684"/>
      <c r="BC1384" s="1684"/>
      <c r="BD1384" s="1684"/>
      <c r="BE1384" s="1684"/>
      <c r="BF1384" s="1684"/>
      <c r="BG1384" s="1684"/>
      <c r="BH1384" s="1684"/>
      <c r="BI1384" s="1684"/>
      <c r="BJ1384" s="1684"/>
      <c r="BK1384" s="1684"/>
      <c r="BL1384" s="1684"/>
      <c r="BM1384" s="1684"/>
      <c r="BN1384" s="1684"/>
      <c r="BO1384" s="1684"/>
      <c r="BP1384" s="1684"/>
      <c r="BQ1384" s="1684"/>
      <c r="BR1384" s="1684"/>
      <c r="BS1384" s="1684"/>
      <c r="BT1384" s="1684"/>
      <c r="BU1384" s="1684"/>
      <c r="BV1384" s="1684"/>
      <c r="BW1384" s="1684"/>
      <c r="BX1384" s="1684"/>
      <c r="BY1384" s="1684"/>
      <c r="BZ1384" s="1684"/>
      <c r="CA1384" s="1684"/>
      <c r="CB1384" s="1684"/>
      <c r="CC1384" s="1684"/>
      <c r="CD1384" s="1684"/>
      <c r="CE1384" s="1684"/>
      <c r="CF1384" s="1684"/>
      <c r="CG1384" s="1684"/>
      <c r="CH1384" s="1684"/>
      <c r="CI1384" s="1684"/>
      <c r="CJ1384" s="1684"/>
      <c r="CK1384" s="1684"/>
      <c r="CL1384" s="1684"/>
      <c r="CM1384" s="1684"/>
      <c r="CN1384" s="1684"/>
      <c r="CO1384" s="1684"/>
    </row>
    <row r="1385" spans="1:93" s="1391" customFormat="1" ht="15" x14ac:dyDescent="0.2">
      <c r="A1385" s="1684"/>
      <c r="B1385" s="1684"/>
      <c r="C1385" s="2013">
        <v>18</v>
      </c>
      <c r="D1385" s="5">
        <v>8.6219999999999999</v>
      </c>
      <c r="E1385" s="5">
        <v>256</v>
      </c>
      <c r="F1385" s="5">
        <v>282</v>
      </c>
      <c r="G1385" s="5">
        <v>306</v>
      </c>
      <c r="H1385" s="5">
        <v>330</v>
      </c>
      <c r="I1385" s="5">
        <v>354</v>
      </c>
      <c r="J1385" s="5">
        <v>377</v>
      </c>
      <c r="K1385" s="5">
        <v>400</v>
      </c>
      <c r="L1385" s="5">
        <v>424</v>
      </c>
      <c r="M1385" s="5">
        <v>445</v>
      </c>
      <c r="N1385" s="5">
        <v>466</v>
      </c>
      <c r="O1385" s="5">
        <v>488</v>
      </c>
      <c r="P1385" s="5">
        <v>509</v>
      </c>
      <c r="Q1385" s="1160">
        <v>66</v>
      </c>
      <c r="R1385"/>
      <c r="S1385" s="1684"/>
      <c r="T1385" s="1684"/>
      <c r="U1385" s="1684"/>
      <c r="V1385" s="1684"/>
      <c r="W1385" s="1684"/>
      <c r="X1385" s="1684"/>
      <c r="Y1385" s="1684"/>
      <c r="Z1385" s="1684"/>
      <c r="AA1385" s="1684"/>
      <c r="AB1385" s="1684"/>
      <c r="AC1385" s="1684"/>
      <c r="AD1385" s="1684"/>
      <c r="AE1385" s="1684"/>
      <c r="AF1385" s="1684"/>
      <c r="AG1385" s="1684"/>
      <c r="AH1385" s="1684"/>
      <c r="AI1385" s="1684"/>
      <c r="AJ1385" s="1684"/>
      <c r="AK1385" s="1684"/>
      <c r="AL1385" s="1684"/>
      <c r="AM1385" s="1684"/>
      <c r="AN1385" s="1684"/>
      <c r="AO1385" s="1684"/>
      <c r="AP1385" s="1684"/>
      <c r="AQ1385" s="1684"/>
      <c r="AR1385" s="1684"/>
      <c r="AS1385" s="1684"/>
      <c r="AT1385" s="1684"/>
      <c r="AU1385" s="1684"/>
      <c r="AV1385" s="1684"/>
      <c r="AW1385" s="1684"/>
      <c r="AX1385" s="1684"/>
      <c r="AY1385" s="1684"/>
      <c r="AZ1385" s="1684"/>
      <c r="BA1385" s="1684"/>
      <c r="BB1385" s="1684"/>
      <c r="BC1385" s="1684"/>
      <c r="BD1385" s="1684"/>
      <c r="BE1385" s="1684"/>
      <c r="BF1385" s="1684"/>
      <c r="BG1385" s="1684"/>
      <c r="BH1385" s="1684"/>
      <c r="BI1385" s="1684"/>
      <c r="BJ1385" s="1684"/>
      <c r="BK1385" s="1684"/>
      <c r="BL1385" s="1684"/>
      <c r="BM1385" s="1684"/>
      <c r="BN1385" s="1684"/>
      <c r="BO1385" s="1684"/>
      <c r="BP1385" s="1684"/>
      <c r="BQ1385" s="1684"/>
      <c r="BR1385" s="1684"/>
      <c r="BS1385" s="1684"/>
      <c r="BT1385" s="1684"/>
      <c r="BU1385" s="1684"/>
      <c r="BV1385" s="1684"/>
      <c r="BW1385" s="1684"/>
      <c r="BX1385" s="1684"/>
      <c r="BY1385" s="1684"/>
      <c r="BZ1385" s="1684"/>
      <c r="CA1385" s="1684"/>
      <c r="CB1385" s="1684"/>
      <c r="CC1385" s="1684"/>
      <c r="CD1385" s="1684"/>
      <c r="CE1385" s="1684"/>
      <c r="CF1385" s="1684"/>
      <c r="CG1385" s="1684"/>
      <c r="CH1385" s="1684"/>
      <c r="CI1385" s="1684"/>
      <c r="CJ1385" s="1684"/>
      <c r="CK1385" s="1684"/>
      <c r="CL1385" s="1684"/>
      <c r="CM1385" s="1684"/>
      <c r="CN1385" s="1684"/>
      <c r="CO1385" s="1684"/>
    </row>
    <row r="1386" spans="1:93" s="1391" customFormat="1" ht="15" x14ac:dyDescent="0.2">
      <c r="A1386" s="1684"/>
      <c r="B1386" s="1684"/>
      <c r="C1386" s="4680" t="s">
        <v>3692</v>
      </c>
      <c r="D1386" s="4681"/>
      <c r="E1386" s="4681"/>
      <c r="F1386" s="4681"/>
      <c r="G1386" s="4681"/>
      <c r="H1386" s="4681"/>
      <c r="I1386" s="4681"/>
      <c r="J1386" s="4681"/>
      <c r="K1386" s="4681"/>
      <c r="L1386" s="4681"/>
      <c r="M1386" s="4681"/>
      <c r="N1386" s="4681"/>
      <c r="O1386" s="4681"/>
      <c r="P1386" s="4681"/>
      <c r="Q1386" s="4682"/>
      <c r="R1386"/>
      <c r="S1386" s="1684"/>
      <c r="T1386" s="1684"/>
      <c r="U1386" s="1684"/>
      <c r="V1386" s="1684"/>
      <c r="W1386" s="1684"/>
      <c r="X1386" s="1684"/>
      <c r="Y1386" s="1684"/>
      <c r="Z1386" s="1684"/>
      <c r="AA1386" s="1684"/>
      <c r="AB1386" s="1684"/>
      <c r="AC1386" s="1684"/>
      <c r="AD1386" s="1684"/>
      <c r="AE1386" s="1684"/>
      <c r="AF1386" s="1684"/>
      <c r="AG1386" s="1684"/>
      <c r="AH1386" s="1684"/>
      <c r="AI1386" s="1684"/>
      <c r="AJ1386" s="1684"/>
      <c r="AK1386" s="1684"/>
      <c r="AL1386" s="1684"/>
      <c r="AM1386" s="1684"/>
      <c r="AN1386" s="1684"/>
      <c r="AO1386" s="1684"/>
      <c r="AP1386" s="1684"/>
      <c r="AQ1386" s="1684"/>
      <c r="AR1386" s="1684"/>
      <c r="AS1386" s="1684"/>
      <c r="AT1386" s="1684"/>
      <c r="AU1386" s="1684"/>
      <c r="AV1386" s="1684"/>
      <c r="AW1386" s="1684"/>
      <c r="AX1386" s="1684"/>
      <c r="AY1386" s="1684"/>
      <c r="AZ1386" s="1684"/>
      <c r="BA1386" s="1684"/>
      <c r="BB1386" s="1684"/>
      <c r="BC1386" s="1684"/>
      <c r="BD1386" s="1684"/>
      <c r="BE1386" s="1684"/>
      <c r="BF1386" s="1684"/>
      <c r="BG1386" s="1684"/>
      <c r="BH1386" s="1684"/>
      <c r="BI1386" s="1684"/>
      <c r="BJ1386" s="1684"/>
      <c r="BK1386" s="1684"/>
      <c r="BL1386" s="1684"/>
      <c r="BM1386" s="1684"/>
      <c r="BN1386" s="1684"/>
      <c r="BO1386" s="1684"/>
      <c r="BP1386" s="1684"/>
      <c r="BQ1386" s="1684"/>
      <c r="BR1386" s="1684"/>
      <c r="BS1386" s="1684"/>
      <c r="BT1386" s="1684"/>
      <c r="BU1386" s="1684"/>
      <c r="BV1386" s="1684"/>
      <c r="BW1386" s="1684"/>
      <c r="BX1386" s="1684"/>
      <c r="BY1386" s="1684"/>
      <c r="BZ1386" s="1684"/>
      <c r="CA1386" s="1684"/>
      <c r="CB1386" s="1684"/>
      <c r="CC1386" s="1684"/>
      <c r="CD1386" s="1684"/>
      <c r="CE1386" s="1684"/>
      <c r="CF1386" s="1684"/>
      <c r="CG1386" s="1684"/>
      <c r="CH1386" s="1684"/>
      <c r="CI1386" s="1684"/>
      <c r="CJ1386" s="1684"/>
      <c r="CK1386" s="1684"/>
      <c r="CL1386" s="1684"/>
      <c r="CM1386" s="1684"/>
      <c r="CN1386" s="1684"/>
      <c r="CO1386" s="1684"/>
    </row>
    <row r="1387" spans="1:93" s="1391" customFormat="1" ht="15" x14ac:dyDescent="0.2">
      <c r="A1387" s="1684"/>
      <c r="B1387" s="1684"/>
      <c r="C1387" s="4680"/>
      <c r="D1387" s="4681"/>
      <c r="E1387" s="4681"/>
      <c r="F1387" s="4681"/>
      <c r="G1387" s="4681"/>
      <c r="H1387" s="4681"/>
      <c r="I1387" s="4681"/>
      <c r="J1387" s="4681"/>
      <c r="K1387" s="4681"/>
      <c r="L1387" s="4681"/>
      <c r="M1387" s="4681"/>
      <c r="N1387" s="4681"/>
      <c r="O1387" s="4681"/>
      <c r="P1387" s="4681"/>
      <c r="Q1387" s="4682"/>
      <c r="R1387"/>
      <c r="S1387" s="1684"/>
      <c r="T1387" s="1684"/>
      <c r="U1387" s="1684"/>
      <c r="V1387" s="1684"/>
      <c r="W1387" s="1684"/>
      <c r="X1387" s="1684"/>
      <c r="Y1387" s="1684"/>
      <c r="Z1387" s="1684"/>
      <c r="AA1387" s="1684"/>
      <c r="AB1387" s="1684"/>
      <c r="AC1387" s="1684"/>
      <c r="AD1387" s="1684"/>
      <c r="AE1387" s="1684"/>
      <c r="AF1387" s="1684"/>
      <c r="AG1387" s="1684"/>
      <c r="AH1387" s="1684"/>
      <c r="AI1387" s="1684"/>
      <c r="AJ1387" s="1684"/>
      <c r="AK1387" s="1684"/>
      <c r="AL1387" s="1684"/>
      <c r="AM1387" s="1684"/>
      <c r="AN1387" s="1684"/>
      <c r="AO1387" s="1684"/>
      <c r="AP1387" s="1684"/>
      <c r="AQ1387" s="1684"/>
      <c r="AR1387" s="1684"/>
      <c r="AS1387" s="1684"/>
      <c r="AT1387" s="1684"/>
      <c r="AU1387" s="1684"/>
      <c r="AV1387" s="1684"/>
      <c r="AW1387" s="1684"/>
      <c r="AX1387" s="1684"/>
      <c r="AY1387" s="1684"/>
      <c r="AZ1387" s="1684"/>
      <c r="BA1387" s="1684"/>
      <c r="BB1387" s="1684"/>
      <c r="BC1387" s="1684"/>
      <c r="BD1387" s="1684"/>
      <c r="BE1387" s="1684"/>
      <c r="BF1387" s="1684"/>
      <c r="BG1387" s="1684"/>
      <c r="BH1387" s="1684"/>
      <c r="BI1387" s="1684"/>
      <c r="BJ1387" s="1684"/>
      <c r="BK1387" s="1684"/>
      <c r="BL1387" s="1684"/>
      <c r="BM1387" s="1684"/>
      <c r="BN1387" s="1684"/>
      <c r="BO1387" s="1684"/>
      <c r="BP1387" s="1684"/>
      <c r="BQ1387" s="1684"/>
      <c r="BR1387" s="1684"/>
      <c r="BS1387" s="1684"/>
      <c r="BT1387" s="1684"/>
      <c r="BU1387" s="1684"/>
      <c r="BV1387" s="1684"/>
      <c r="BW1387" s="1684"/>
      <c r="BX1387" s="1684"/>
      <c r="BY1387" s="1684"/>
      <c r="BZ1387" s="1684"/>
      <c r="CA1387" s="1684"/>
      <c r="CB1387" s="1684"/>
      <c r="CC1387" s="1684"/>
      <c r="CD1387" s="1684"/>
      <c r="CE1387" s="1684"/>
      <c r="CF1387" s="1684"/>
      <c r="CG1387" s="1684"/>
      <c r="CH1387" s="1684"/>
      <c r="CI1387" s="1684"/>
      <c r="CJ1387" s="1684"/>
      <c r="CK1387" s="1684"/>
      <c r="CL1387" s="1684"/>
      <c r="CM1387" s="1684"/>
      <c r="CN1387" s="1684"/>
      <c r="CO1387" s="1684"/>
    </row>
    <row r="1388" spans="1:93" s="1391" customFormat="1" ht="15" x14ac:dyDescent="0.2">
      <c r="A1388" s="1684"/>
      <c r="B1388" s="1684"/>
      <c r="C1388" s="2014"/>
      <c r="D1388" s="2015"/>
      <c r="E1388" s="2015">
        <v>1</v>
      </c>
      <c r="F1388" s="2015">
        <v>2</v>
      </c>
      <c r="G1388" s="2015">
        <v>3</v>
      </c>
      <c r="H1388" s="2015">
        <v>4</v>
      </c>
      <c r="I1388" s="2015">
        <v>5</v>
      </c>
      <c r="J1388" s="2015">
        <v>6</v>
      </c>
      <c r="K1388" s="2015">
        <v>7</v>
      </c>
      <c r="L1388" s="2015">
        <v>8</v>
      </c>
      <c r="M1388" s="2015">
        <v>9</v>
      </c>
      <c r="N1388" s="2015">
        <v>10</v>
      </c>
      <c r="O1388" s="2015">
        <v>11</v>
      </c>
      <c r="P1388" s="2015">
        <v>12</v>
      </c>
      <c r="Q1388" s="2016"/>
      <c r="R1388"/>
      <c r="S1388" s="1684"/>
      <c r="T1388" s="1684"/>
      <c r="U1388" s="1684"/>
      <c r="V1388" s="1684"/>
      <c r="W1388" s="1684"/>
      <c r="X1388" s="1684"/>
      <c r="Y1388" s="1684"/>
      <c r="Z1388" s="1684"/>
      <c r="AA1388" s="1684"/>
      <c r="AB1388" s="1684"/>
      <c r="AC1388" s="1684"/>
      <c r="AD1388" s="1684"/>
      <c r="AE1388" s="1684"/>
      <c r="AF1388" s="1684"/>
      <c r="AG1388" s="1684"/>
      <c r="AH1388" s="1684"/>
      <c r="AI1388" s="1684"/>
      <c r="AJ1388" s="1684"/>
      <c r="AK1388" s="1684"/>
      <c r="AL1388" s="1684"/>
      <c r="AM1388" s="1684"/>
      <c r="AN1388" s="1684"/>
      <c r="AO1388" s="1684"/>
      <c r="AP1388" s="1684"/>
      <c r="AQ1388" s="1684"/>
      <c r="AR1388" s="1684"/>
      <c r="AS1388" s="1684"/>
      <c r="AT1388" s="1684"/>
      <c r="AU1388" s="1684"/>
      <c r="AV1388" s="1684"/>
      <c r="AW1388" s="1684"/>
      <c r="AX1388" s="1684"/>
      <c r="AY1388" s="1684"/>
      <c r="AZ1388" s="1684"/>
      <c r="BA1388" s="1684"/>
      <c r="BB1388" s="1684"/>
      <c r="BC1388" s="1684"/>
      <c r="BD1388" s="1684"/>
      <c r="BE1388" s="1684"/>
      <c r="BF1388" s="1684"/>
      <c r="BG1388" s="1684"/>
      <c r="BH1388" s="1684"/>
      <c r="BI1388" s="1684"/>
      <c r="BJ1388" s="1684"/>
      <c r="BK1388" s="1684"/>
      <c r="BL1388" s="1684"/>
      <c r="BM1388" s="1684"/>
      <c r="BN1388" s="1684"/>
      <c r="BO1388" s="1684"/>
      <c r="BP1388" s="1684"/>
      <c r="BQ1388" s="1684"/>
      <c r="BR1388" s="1684"/>
      <c r="BS1388" s="1684"/>
      <c r="BT1388" s="1684"/>
      <c r="BU1388" s="1684"/>
      <c r="BV1388" s="1684"/>
      <c r="BW1388" s="1684"/>
      <c r="BX1388" s="1684"/>
      <c r="BY1388" s="1684"/>
      <c r="BZ1388" s="1684"/>
      <c r="CA1388" s="1684"/>
      <c r="CB1388" s="1684"/>
      <c r="CC1388" s="1684"/>
      <c r="CD1388" s="1684"/>
      <c r="CE1388" s="1684"/>
      <c r="CF1388" s="1684"/>
      <c r="CG1388" s="1684"/>
      <c r="CH1388" s="1684"/>
      <c r="CI1388" s="1684"/>
      <c r="CJ1388" s="1684"/>
      <c r="CK1388" s="1684"/>
      <c r="CL1388" s="1684"/>
      <c r="CM1388" s="1684"/>
      <c r="CN1388" s="1684"/>
      <c r="CO1388" s="1684"/>
    </row>
    <row r="1389" spans="1:93" s="1391" customFormat="1" ht="15" x14ac:dyDescent="0.2">
      <c r="A1389" s="1684"/>
      <c r="B1389" s="1684"/>
      <c r="C1389" s="2013">
        <v>8</v>
      </c>
      <c r="D1389" s="5">
        <v>5.1970000000000001</v>
      </c>
      <c r="E1389" s="5">
        <v>133</v>
      </c>
      <c r="F1389" s="5">
        <v>147</v>
      </c>
      <c r="G1389" s="5">
        <v>160</v>
      </c>
      <c r="H1389" s="5">
        <v>173</v>
      </c>
      <c r="I1389" s="5">
        <v>186</v>
      </c>
      <c r="J1389" s="5">
        <v>199</v>
      </c>
      <c r="K1389" s="5">
        <v>212</v>
      </c>
      <c r="L1389" s="5">
        <v>225</v>
      </c>
      <c r="M1389" s="5">
        <v>237</v>
      </c>
      <c r="N1389" s="5">
        <v>250</v>
      </c>
      <c r="O1389" s="5">
        <v>262</v>
      </c>
      <c r="P1389" s="5">
        <v>274</v>
      </c>
      <c r="Q1389" s="1160">
        <v>67</v>
      </c>
      <c r="R1389"/>
      <c r="S1389" s="1684"/>
      <c r="T1389" s="1684"/>
      <c r="U1389" s="1684"/>
      <c r="V1389" s="1684"/>
      <c r="W1389" s="1684"/>
      <c r="X1389" s="1684"/>
      <c r="Y1389" s="1684"/>
      <c r="Z1389" s="1684"/>
      <c r="AA1389" s="1684"/>
      <c r="AB1389" s="1684"/>
      <c r="AC1389" s="1684"/>
      <c r="AD1389" s="1684"/>
      <c r="AE1389" s="1684"/>
      <c r="AF1389" s="1684"/>
      <c r="AG1389" s="1684"/>
      <c r="AH1389" s="1684"/>
      <c r="AI1389" s="1684"/>
      <c r="AJ1389" s="1684"/>
      <c r="AK1389" s="1684"/>
      <c r="AL1389" s="1684"/>
      <c r="AM1389" s="1684"/>
      <c r="AN1389" s="1684"/>
      <c r="AO1389" s="1684"/>
      <c r="AP1389" s="1684"/>
      <c r="AQ1389" s="1684"/>
      <c r="AR1389" s="1684"/>
      <c r="AS1389" s="1684"/>
      <c r="AT1389" s="1684"/>
      <c r="AU1389" s="1684"/>
      <c r="AV1389" s="1684"/>
      <c r="AW1389" s="1684"/>
      <c r="AX1389" s="1684"/>
      <c r="AY1389" s="1684"/>
      <c r="AZ1389" s="1684"/>
      <c r="BA1389" s="1684"/>
      <c r="BB1389" s="1684"/>
      <c r="BC1389" s="1684"/>
      <c r="BD1389" s="1684"/>
      <c r="BE1389" s="1684"/>
      <c r="BF1389" s="1684"/>
      <c r="BG1389" s="1684"/>
      <c r="BH1389" s="1684"/>
      <c r="BI1389" s="1684"/>
      <c r="BJ1389" s="1684"/>
      <c r="BK1389" s="1684"/>
      <c r="BL1389" s="1684"/>
      <c r="BM1389" s="1684"/>
      <c r="BN1389" s="1684"/>
      <c r="BO1389" s="1684"/>
      <c r="BP1389" s="1684"/>
      <c r="BQ1389" s="1684"/>
      <c r="BR1389" s="1684"/>
      <c r="BS1389" s="1684"/>
      <c r="BT1389" s="1684"/>
      <c r="BU1389" s="1684"/>
      <c r="BV1389" s="1684"/>
      <c r="BW1389" s="1684"/>
      <c r="BX1389" s="1684"/>
      <c r="BY1389" s="1684"/>
      <c r="BZ1389" s="1684"/>
      <c r="CA1389" s="1684"/>
      <c r="CB1389" s="1684"/>
      <c r="CC1389" s="1684"/>
      <c r="CD1389" s="1684"/>
      <c r="CE1389" s="1684"/>
      <c r="CF1389" s="1684"/>
      <c r="CG1389" s="1684"/>
      <c r="CH1389" s="1684"/>
      <c r="CI1389" s="1684"/>
      <c r="CJ1389" s="1684"/>
      <c r="CK1389" s="1684"/>
      <c r="CL1389" s="1684"/>
      <c r="CM1389" s="1684"/>
      <c r="CN1389" s="1684"/>
      <c r="CO1389" s="1684"/>
    </row>
    <row r="1390" spans="1:93" s="1391" customFormat="1" ht="15" x14ac:dyDescent="0.2">
      <c r="A1390" s="1684"/>
      <c r="B1390" s="1684"/>
      <c r="C1390" s="2013">
        <v>9</v>
      </c>
      <c r="D1390" s="5">
        <v>5.4930000000000003</v>
      </c>
      <c r="E1390" s="5">
        <v>145</v>
      </c>
      <c r="F1390" s="5">
        <v>160</v>
      </c>
      <c r="G1390" s="5">
        <v>175</v>
      </c>
      <c r="H1390" s="5">
        <v>189</v>
      </c>
      <c r="I1390" s="5">
        <v>203</v>
      </c>
      <c r="J1390" s="5">
        <v>217</v>
      </c>
      <c r="K1390" s="5">
        <v>231</v>
      </c>
      <c r="L1390" s="5">
        <v>246</v>
      </c>
      <c r="M1390" s="5">
        <v>259</v>
      </c>
      <c r="N1390" s="5">
        <v>272</v>
      </c>
      <c r="O1390" s="5">
        <v>286</v>
      </c>
      <c r="P1390" s="5">
        <v>299</v>
      </c>
      <c r="Q1390" s="1160">
        <v>68</v>
      </c>
      <c r="R1390"/>
      <c r="S1390" s="1684"/>
      <c r="T1390" s="1684"/>
      <c r="U1390" s="1684"/>
      <c r="V1390" s="1684"/>
      <c r="W1390" s="1684"/>
      <c r="X1390" s="1684"/>
      <c r="Y1390" s="1684"/>
      <c r="Z1390" s="1684"/>
      <c r="AA1390" s="1684"/>
      <c r="AB1390" s="1684"/>
      <c r="AC1390" s="1684"/>
      <c r="AD1390" s="1684"/>
      <c r="AE1390" s="1684"/>
      <c r="AF1390" s="1684"/>
      <c r="AG1390" s="1684"/>
      <c r="AH1390" s="1684"/>
      <c r="AI1390" s="1684"/>
      <c r="AJ1390" s="1684"/>
      <c r="AK1390" s="1684"/>
      <c r="AL1390" s="1684"/>
      <c r="AM1390" s="1684"/>
      <c r="AN1390" s="1684"/>
      <c r="AO1390" s="1684"/>
      <c r="AP1390" s="1684"/>
      <c r="AQ1390" s="1684"/>
      <c r="AR1390" s="1684"/>
      <c r="AS1390" s="1684"/>
      <c r="AT1390" s="1684"/>
      <c r="AU1390" s="1684"/>
      <c r="AV1390" s="1684"/>
      <c r="AW1390" s="1684"/>
      <c r="AX1390" s="1684"/>
      <c r="AY1390" s="1684"/>
      <c r="AZ1390" s="1684"/>
      <c r="BA1390" s="1684"/>
      <c r="BB1390" s="1684"/>
      <c r="BC1390" s="1684"/>
      <c r="BD1390" s="1684"/>
      <c r="BE1390" s="1684"/>
      <c r="BF1390" s="1684"/>
      <c r="BG1390" s="1684"/>
      <c r="BH1390" s="1684"/>
      <c r="BI1390" s="1684"/>
      <c r="BJ1390" s="1684"/>
      <c r="BK1390" s="1684"/>
      <c r="BL1390" s="1684"/>
      <c r="BM1390" s="1684"/>
      <c r="BN1390" s="1684"/>
      <c r="BO1390" s="1684"/>
      <c r="BP1390" s="1684"/>
      <c r="BQ1390" s="1684"/>
      <c r="BR1390" s="1684"/>
      <c r="BS1390" s="1684"/>
      <c r="BT1390" s="1684"/>
      <c r="BU1390" s="1684"/>
      <c r="BV1390" s="1684"/>
      <c r="BW1390" s="1684"/>
      <c r="BX1390" s="1684"/>
      <c r="BY1390" s="1684"/>
      <c r="BZ1390" s="1684"/>
      <c r="CA1390" s="1684"/>
      <c r="CB1390" s="1684"/>
      <c r="CC1390" s="1684"/>
      <c r="CD1390" s="1684"/>
      <c r="CE1390" s="1684"/>
      <c r="CF1390" s="1684"/>
      <c r="CG1390" s="1684"/>
      <c r="CH1390" s="1684"/>
      <c r="CI1390" s="1684"/>
      <c r="CJ1390" s="1684"/>
      <c r="CK1390" s="1684"/>
      <c r="CL1390" s="1684"/>
      <c r="CM1390" s="1684"/>
      <c r="CN1390" s="1684"/>
      <c r="CO1390" s="1684"/>
    </row>
    <row r="1391" spans="1:93" s="1391" customFormat="1" ht="15" x14ac:dyDescent="0.2">
      <c r="A1391" s="1684"/>
      <c r="B1391" s="1684"/>
      <c r="C1391" s="2013">
        <v>10</v>
      </c>
      <c r="D1391" s="5">
        <v>5.8010000000000002</v>
      </c>
      <c r="E1391" s="5">
        <v>158</v>
      </c>
      <c r="F1391" s="5">
        <v>174</v>
      </c>
      <c r="G1391" s="5">
        <v>190</v>
      </c>
      <c r="H1391" s="5">
        <v>206</v>
      </c>
      <c r="I1391" s="5">
        <v>221</v>
      </c>
      <c r="J1391" s="5">
        <v>236</v>
      </c>
      <c r="K1391" s="5">
        <v>251</v>
      </c>
      <c r="L1391" s="5">
        <v>267</v>
      </c>
      <c r="M1391" s="5">
        <v>280</v>
      </c>
      <c r="N1391" s="5">
        <v>295</v>
      </c>
      <c r="O1391" s="5">
        <v>309</v>
      </c>
      <c r="P1391" s="5">
        <v>324</v>
      </c>
      <c r="Q1391" s="1160">
        <v>69</v>
      </c>
      <c r="R1391"/>
      <c r="S1391" s="1684"/>
      <c r="T1391" s="1684"/>
      <c r="U1391" s="1684"/>
      <c r="V1391" s="1684"/>
      <c r="W1391" s="1684"/>
      <c r="X1391" s="1684"/>
      <c r="Y1391" s="1684"/>
      <c r="Z1391" s="1684"/>
      <c r="AA1391" s="1684"/>
      <c r="AB1391" s="1684"/>
      <c r="AC1391" s="1684"/>
      <c r="AD1391" s="1684"/>
      <c r="AE1391" s="1684"/>
      <c r="AF1391" s="1684"/>
      <c r="AG1391" s="1684"/>
      <c r="AH1391" s="1684"/>
      <c r="AI1391" s="1684"/>
      <c r="AJ1391" s="1684"/>
      <c r="AK1391" s="1684"/>
      <c r="AL1391" s="1684"/>
      <c r="AM1391" s="1684"/>
      <c r="AN1391" s="1684"/>
      <c r="AO1391" s="1684"/>
      <c r="AP1391" s="1684"/>
      <c r="AQ1391" s="1684"/>
      <c r="AR1391" s="1684"/>
      <c r="AS1391" s="1684"/>
      <c r="AT1391" s="1684"/>
      <c r="AU1391" s="1684"/>
      <c r="AV1391" s="1684"/>
      <c r="AW1391" s="1684"/>
      <c r="AX1391" s="1684"/>
      <c r="AY1391" s="1684"/>
      <c r="AZ1391" s="1684"/>
      <c r="BA1391" s="1684"/>
      <c r="BB1391" s="1684"/>
      <c r="BC1391" s="1684"/>
      <c r="BD1391" s="1684"/>
      <c r="BE1391" s="1684"/>
      <c r="BF1391" s="1684"/>
      <c r="BG1391" s="1684"/>
      <c r="BH1391" s="1684"/>
      <c r="BI1391" s="1684"/>
      <c r="BJ1391" s="1684"/>
      <c r="BK1391" s="1684"/>
      <c r="BL1391" s="1684"/>
      <c r="BM1391" s="1684"/>
      <c r="BN1391" s="1684"/>
      <c r="BO1391" s="1684"/>
      <c r="BP1391" s="1684"/>
      <c r="BQ1391" s="1684"/>
      <c r="BR1391" s="1684"/>
      <c r="BS1391" s="1684"/>
      <c r="BT1391" s="1684"/>
      <c r="BU1391" s="1684"/>
      <c r="BV1391" s="1684"/>
      <c r="BW1391" s="1684"/>
      <c r="BX1391" s="1684"/>
      <c r="BY1391" s="1684"/>
      <c r="BZ1391" s="1684"/>
      <c r="CA1391" s="1684"/>
      <c r="CB1391" s="1684"/>
      <c r="CC1391" s="1684"/>
      <c r="CD1391" s="1684"/>
      <c r="CE1391" s="1684"/>
      <c r="CF1391" s="1684"/>
      <c r="CG1391" s="1684"/>
      <c r="CH1391" s="1684"/>
      <c r="CI1391" s="1684"/>
      <c r="CJ1391" s="1684"/>
      <c r="CK1391" s="1684"/>
      <c r="CL1391" s="1684"/>
      <c r="CM1391" s="1684"/>
      <c r="CN1391" s="1684"/>
      <c r="CO1391" s="1684"/>
    </row>
    <row r="1392" spans="1:93" s="1391" customFormat="1" ht="15" x14ac:dyDescent="0.2">
      <c r="A1392" s="1684"/>
      <c r="B1392" s="1684"/>
      <c r="C1392" s="2013">
        <v>11</v>
      </c>
      <c r="D1392" s="5">
        <v>6.1420000000000003</v>
      </c>
      <c r="E1392" s="5">
        <v>172</v>
      </c>
      <c r="F1392" s="5">
        <v>190</v>
      </c>
      <c r="G1392" s="5">
        <v>207</v>
      </c>
      <c r="H1392" s="5">
        <v>223</v>
      </c>
      <c r="I1392" s="5">
        <v>240</v>
      </c>
      <c r="J1392" s="5">
        <v>256</v>
      </c>
      <c r="K1392" s="5">
        <v>272</v>
      </c>
      <c r="L1392" s="5">
        <v>289</v>
      </c>
      <c r="M1392" s="5">
        <v>304</v>
      </c>
      <c r="N1392" s="5">
        <v>320</v>
      </c>
      <c r="O1392" s="5">
        <v>335</v>
      </c>
      <c r="P1392" s="5">
        <v>351</v>
      </c>
      <c r="Q1392" s="1160">
        <v>70</v>
      </c>
      <c r="R1392"/>
      <c r="S1392" s="1684"/>
      <c r="T1392" s="1684"/>
      <c r="U1392" s="1684"/>
      <c r="V1392" s="1684"/>
      <c r="W1392" s="1684"/>
      <c r="X1392" s="1684"/>
      <c r="Y1392" s="1684"/>
      <c r="Z1392" s="1684"/>
      <c r="AA1392" s="1684"/>
      <c r="AB1392" s="1684"/>
      <c r="AC1392" s="1684"/>
      <c r="AD1392" s="1684"/>
      <c r="AE1392" s="1684"/>
      <c r="AF1392" s="1684"/>
      <c r="AG1392" s="1684"/>
      <c r="AH1392" s="1684"/>
      <c r="AI1392" s="1684"/>
      <c r="AJ1392" s="1684"/>
      <c r="AK1392" s="1684"/>
      <c r="AL1392" s="1684"/>
      <c r="AM1392" s="1684"/>
      <c r="AN1392" s="1684"/>
      <c r="AO1392" s="1684"/>
      <c r="AP1392" s="1684"/>
      <c r="AQ1392" s="1684"/>
      <c r="AR1392" s="1684"/>
      <c r="AS1392" s="1684"/>
      <c r="AT1392" s="1684"/>
      <c r="AU1392" s="1684"/>
      <c r="AV1392" s="1684"/>
      <c r="AW1392" s="1684"/>
      <c r="AX1392" s="1684"/>
      <c r="AY1392" s="1684"/>
      <c r="AZ1392" s="1684"/>
      <c r="BA1392" s="1684"/>
      <c r="BB1392" s="1684"/>
      <c r="BC1392" s="1684"/>
      <c r="BD1392" s="1684"/>
      <c r="BE1392" s="1684"/>
      <c r="BF1392" s="1684"/>
      <c r="BG1392" s="1684"/>
      <c r="BH1392" s="1684"/>
      <c r="BI1392" s="1684"/>
      <c r="BJ1392" s="1684"/>
      <c r="BK1392" s="1684"/>
      <c r="BL1392" s="1684"/>
      <c r="BM1392" s="1684"/>
      <c r="BN1392" s="1684"/>
      <c r="BO1392" s="1684"/>
      <c r="BP1392" s="1684"/>
      <c r="BQ1392" s="1684"/>
      <c r="BR1392" s="1684"/>
      <c r="BS1392" s="1684"/>
      <c r="BT1392" s="1684"/>
      <c r="BU1392" s="1684"/>
      <c r="BV1392" s="1684"/>
      <c r="BW1392" s="1684"/>
      <c r="BX1392" s="1684"/>
      <c r="BY1392" s="1684"/>
      <c r="BZ1392" s="1684"/>
      <c r="CA1392" s="1684"/>
      <c r="CB1392" s="1684"/>
      <c r="CC1392" s="1684"/>
      <c r="CD1392" s="1684"/>
      <c r="CE1392" s="1684"/>
      <c r="CF1392" s="1684"/>
      <c r="CG1392" s="1684"/>
      <c r="CH1392" s="1684"/>
      <c r="CI1392" s="1684"/>
      <c r="CJ1392" s="1684"/>
      <c r="CK1392" s="1684"/>
      <c r="CL1392" s="1684"/>
      <c r="CM1392" s="1684"/>
      <c r="CN1392" s="1684"/>
      <c r="CO1392" s="1684"/>
    </row>
    <row r="1393" spans="1:93" s="1391" customFormat="1" ht="15" x14ac:dyDescent="0.2">
      <c r="A1393" s="1684"/>
      <c r="B1393" s="1684"/>
      <c r="C1393" s="2013">
        <v>12</v>
      </c>
      <c r="D1393" s="5">
        <v>6.694</v>
      </c>
      <c r="E1393" s="5">
        <v>186</v>
      </c>
      <c r="F1393" s="5">
        <v>205</v>
      </c>
      <c r="G1393" s="5">
        <v>224</v>
      </c>
      <c r="H1393" s="5">
        <v>242</v>
      </c>
      <c r="I1393" s="5">
        <v>259</v>
      </c>
      <c r="J1393" s="5">
        <v>277</v>
      </c>
      <c r="K1393" s="5">
        <v>294</v>
      </c>
      <c r="L1393" s="5">
        <v>312</v>
      </c>
      <c r="M1393" s="5">
        <v>328</v>
      </c>
      <c r="N1393" s="5">
        <v>345</v>
      </c>
      <c r="O1393" s="5">
        <v>362</v>
      </c>
      <c r="P1393" s="5">
        <v>378</v>
      </c>
      <c r="Q1393" s="1160">
        <v>71</v>
      </c>
      <c r="R1393"/>
      <c r="S1393" s="1684"/>
      <c r="T1393" s="1684"/>
      <c r="U1393" s="1684"/>
      <c r="V1393" s="1684"/>
      <c r="W1393" s="1684"/>
      <c r="X1393" s="1684"/>
      <c r="Y1393" s="1684"/>
      <c r="Z1393" s="1684"/>
      <c r="AA1393" s="1684"/>
      <c r="AB1393" s="1684"/>
      <c r="AC1393" s="1684"/>
      <c r="AD1393" s="1684"/>
      <c r="AE1393" s="1684"/>
      <c r="AF1393" s="1684"/>
      <c r="AG1393" s="1684"/>
      <c r="AH1393" s="1684"/>
      <c r="AI1393" s="1684"/>
      <c r="AJ1393" s="1684"/>
      <c r="AK1393" s="1684"/>
      <c r="AL1393" s="1684"/>
      <c r="AM1393" s="1684"/>
      <c r="AN1393" s="1684"/>
      <c r="AO1393" s="1684"/>
      <c r="AP1393" s="1684"/>
      <c r="AQ1393" s="1684"/>
      <c r="AR1393" s="1684"/>
      <c r="AS1393" s="1684"/>
      <c r="AT1393" s="1684"/>
      <c r="AU1393" s="1684"/>
      <c r="AV1393" s="1684"/>
      <c r="AW1393" s="1684"/>
      <c r="AX1393" s="1684"/>
      <c r="AY1393" s="1684"/>
      <c r="AZ1393" s="1684"/>
      <c r="BA1393" s="1684"/>
      <c r="BB1393" s="1684"/>
      <c r="BC1393" s="1684"/>
      <c r="BD1393" s="1684"/>
      <c r="BE1393" s="1684"/>
      <c r="BF1393" s="1684"/>
      <c r="BG1393" s="1684"/>
      <c r="BH1393" s="1684"/>
      <c r="BI1393" s="1684"/>
      <c r="BJ1393" s="1684"/>
      <c r="BK1393" s="1684"/>
      <c r="BL1393" s="1684"/>
      <c r="BM1393" s="1684"/>
      <c r="BN1393" s="1684"/>
      <c r="BO1393" s="1684"/>
      <c r="BP1393" s="1684"/>
      <c r="BQ1393" s="1684"/>
      <c r="BR1393" s="1684"/>
      <c r="BS1393" s="1684"/>
      <c r="BT1393" s="1684"/>
      <c r="BU1393" s="1684"/>
      <c r="BV1393" s="1684"/>
      <c r="BW1393" s="1684"/>
      <c r="BX1393" s="1684"/>
      <c r="BY1393" s="1684"/>
      <c r="BZ1393" s="1684"/>
      <c r="CA1393" s="1684"/>
      <c r="CB1393" s="1684"/>
      <c r="CC1393" s="1684"/>
      <c r="CD1393" s="1684"/>
      <c r="CE1393" s="1684"/>
      <c r="CF1393" s="1684"/>
      <c r="CG1393" s="1684"/>
      <c r="CH1393" s="1684"/>
      <c r="CI1393" s="1684"/>
      <c r="CJ1393" s="1684"/>
      <c r="CK1393" s="1684"/>
      <c r="CL1393" s="1684"/>
      <c r="CM1393" s="1684"/>
      <c r="CN1393" s="1684"/>
      <c r="CO1393" s="1684"/>
    </row>
    <row r="1394" spans="1:93" s="1391" customFormat="1" ht="15" x14ac:dyDescent="0.2">
      <c r="A1394" s="1684"/>
      <c r="B1394" s="1684"/>
      <c r="C1394" s="2013">
        <v>13</v>
      </c>
      <c r="D1394" s="5">
        <v>6.8490000000000002</v>
      </c>
      <c r="E1394" s="5">
        <v>200</v>
      </c>
      <c r="F1394" s="5">
        <v>221</v>
      </c>
      <c r="G1394" s="5">
        <v>240</v>
      </c>
      <c r="H1394" s="5">
        <v>260</v>
      </c>
      <c r="I1394" s="5">
        <v>279</v>
      </c>
      <c r="J1394" s="5">
        <v>297</v>
      </c>
      <c r="K1394" s="5">
        <v>316</v>
      </c>
      <c r="L1394" s="5">
        <v>338</v>
      </c>
      <c r="M1394" s="5">
        <v>352</v>
      </c>
      <c r="N1394" s="5">
        <v>370</v>
      </c>
      <c r="O1394" s="5">
        <v>388</v>
      </c>
      <c r="P1394" s="5">
        <v>405</v>
      </c>
      <c r="Q1394" s="1160">
        <v>72</v>
      </c>
      <c r="R1394"/>
      <c r="S1394" s="1684"/>
      <c r="T1394" s="1684"/>
      <c r="U1394" s="1684"/>
      <c r="V1394" s="1684"/>
      <c r="W1394" s="1684"/>
      <c r="X1394" s="1684"/>
      <c r="Y1394" s="1684"/>
      <c r="Z1394" s="1684"/>
      <c r="AA1394" s="1684"/>
      <c r="AB1394" s="1684"/>
      <c r="AC1394" s="1684"/>
      <c r="AD1394" s="1684"/>
      <c r="AE1394" s="1684"/>
      <c r="AF1394" s="1684"/>
      <c r="AG1394" s="1684"/>
      <c r="AH1394" s="1684"/>
      <c r="AI1394" s="1684"/>
      <c r="AJ1394" s="1684"/>
      <c r="AK1394" s="1684"/>
      <c r="AL1394" s="1684"/>
      <c r="AM1394" s="1684"/>
      <c r="AN1394" s="1684"/>
      <c r="AO1394" s="1684"/>
      <c r="AP1394" s="1684"/>
      <c r="AQ1394" s="1684"/>
      <c r="AR1394" s="1684"/>
      <c r="AS1394" s="1684"/>
      <c r="AT1394" s="1684"/>
      <c r="AU1394" s="1684"/>
      <c r="AV1394" s="1684"/>
      <c r="AW1394" s="1684"/>
      <c r="AX1394" s="1684"/>
      <c r="AY1394" s="1684"/>
      <c r="AZ1394" s="1684"/>
      <c r="BA1394" s="1684"/>
      <c r="BB1394" s="1684"/>
      <c r="BC1394" s="1684"/>
      <c r="BD1394" s="1684"/>
      <c r="BE1394" s="1684"/>
      <c r="BF1394" s="1684"/>
      <c r="BG1394" s="1684"/>
      <c r="BH1394" s="1684"/>
      <c r="BI1394" s="1684"/>
      <c r="BJ1394" s="1684"/>
      <c r="BK1394" s="1684"/>
      <c r="BL1394" s="1684"/>
      <c r="BM1394" s="1684"/>
      <c r="BN1394" s="1684"/>
      <c r="BO1394" s="1684"/>
      <c r="BP1394" s="1684"/>
      <c r="BQ1394" s="1684"/>
      <c r="BR1394" s="1684"/>
      <c r="BS1394" s="1684"/>
      <c r="BT1394" s="1684"/>
      <c r="BU1394" s="1684"/>
      <c r="BV1394" s="1684"/>
      <c r="BW1394" s="1684"/>
      <c r="BX1394" s="1684"/>
      <c r="BY1394" s="1684"/>
      <c r="BZ1394" s="1684"/>
      <c r="CA1394" s="1684"/>
      <c r="CB1394" s="1684"/>
      <c r="CC1394" s="1684"/>
      <c r="CD1394" s="1684"/>
      <c r="CE1394" s="1684"/>
      <c r="CF1394" s="1684"/>
      <c r="CG1394" s="1684"/>
      <c r="CH1394" s="1684"/>
      <c r="CI1394" s="1684"/>
      <c r="CJ1394" s="1684"/>
      <c r="CK1394" s="1684"/>
      <c r="CL1394" s="1684"/>
      <c r="CM1394" s="1684"/>
      <c r="CN1394" s="1684"/>
      <c r="CO1394" s="1684"/>
    </row>
    <row r="1395" spans="1:93" s="1391" customFormat="1" ht="15" x14ac:dyDescent="0.2">
      <c r="A1395" s="1684"/>
      <c r="B1395" s="1684"/>
      <c r="C1395" s="2013">
        <v>14</v>
      </c>
      <c r="D1395" s="5">
        <v>7.218</v>
      </c>
      <c r="E1395" s="5">
        <v>215</v>
      </c>
      <c r="F1395" s="5">
        <v>237</v>
      </c>
      <c r="G1395" s="5">
        <v>258</v>
      </c>
      <c r="H1395" s="5">
        <v>278</v>
      </c>
      <c r="I1395" s="5">
        <v>298</v>
      </c>
      <c r="J1395" s="5">
        <v>318</v>
      </c>
      <c r="K1395" s="5">
        <v>338</v>
      </c>
      <c r="L1395" s="5">
        <v>358</v>
      </c>
      <c r="M1395" s="5">
        <v>376</v>
      </c>
      <c r="N1395" s="5">
        <v>395</v>
      </c>
      <c r="O1395" s="5">
        <v>414</v>
      </c>
      <c r="P1395" s="5">
        <v>432</v>
      </c>
      <c r="Q1395" s="1160">
        <v>73</v>
      </c>
      <c r="R1395"/>
      <c r="S1395" s="1684"/>
      <c r="T1395" s="1684"/>
      <c r="U1395" s="1684"/>
      <c r="V1395" s="1684"/>
      <c r="W1395" s="1684"/>
      <c r="X1395" s="1684"/>
      <c r="Y1395" s="1684"/>
      <c r="Z1395" s="1684"/>
      <c r="AA1395" s="1684"/>
      <c r="AB1395" s="1684"/>
      <c r="AC1395" s="1684"/>
      <c r="AD1395" s="1684"/>
      <c r="AE1395" s="1684"/>
      <c r="AF1395" s="1684"/>
      <c r="AG1395" s="1684"/>
      <c r="AH1395" s="1684"/>
      <c r="AI1395" s="1684"/>
      <c r="AJ1395" s="1684"/>
      <c r="AK1395" s="1684"/>
      <c r="AL1395" s="1684"/>
      <c r="AM1395" s="1684"/>
      <c r="AN1395" s="1684"/>
      <c r="AO1395" s="1684"/>
      <c r="AP1395" s="1684"/>
      <c r="AQ1395" s="1684"/>
      <c r="AR1395" s="1684"/>
      <c r="AS1395" s="1684"/>
      <c r="AT1395" s="1684"/>
      <c r="AU1395" s="1684"/>
      <c r="AV1395" s="1684"/>
      <c r="AW1395" s="1684"/>
      <c r="AX1395" s="1684"/>
      <c r="AY1395" s="1684"/>
      <c r="AZ1395" s="1684"/>
      <c r="BA1395" s="1684"/>
      <c r="BB1395" s="1684"/>
      <c r="BC1395" s="1684"/>
      <c r="BD1395" s="1684"/>
      <c r="BE1395" s="1684"/>
      <c r="BF1395" s="1684"/>
      <c r="BG1395" s="1684"/>
      <c r="BH1395" s="1684"/>
      <c r="BI1395" s="1684"/>
      <c r="BJ1395" s="1684"/>
      <c r="BK1395" s="1684"/>
      <c r="BL1395" s="1684"/>
      <c r="BM1395" s="1684"/>
      <c r="BN1395" s="1684"/>
      <c r="BO1395" s="1684"/>
      <c r="BP1395" s="1684"/>
      <c r="BQ1395" s="1684"/>
      <c r="BR1395" s="1684"/>
      <c r="BS1395" s="1684"/>
      <c r="BT1395" s="1684"/>
      <c r="BU1395" s="1684"/>
      <c r="BV1395" s="1684"/>
      <c r="BW1395" s="1684"/>
      <c r="BX1395" s="1684"/>
      <c r="BY1395" s="1684"/>
      <c r="BZ1395" s="1684"/>
      <c r="CA1395" s="1684"/>
      <c r="CB1395" s="1684"/>
      <c r="CC1395" s="1684"/>
      <c r="CD1395" s="1684"/>
      <c r="CE1395" s="1684"/>
      <c r="CF1395" s="1684"/>
      <c r="CG1395" s="1684"/>
      <c r="CH1395" s="1684"/>
      <c r="CI1395" s="1684"/>
      <c r="CJ1395" s="1684"/>
      <c r="CK1395" s="1684"/>
      <c r="CL1395" s="1684"/>
      <c r="CM1395" s="1684"/>
      <c r="CN1395" s="1684"/>
      <c r="CO1395" s="1684"/>
    </row>
    <row r="1396" spans="1:93" s="1391" customFormat="1" ht="15" x14ac:dyDescent="0.2">
      <c r="A1396" s="1684"/>
      <c r="B1396" s="1684"/>
      <c r="C1396" s="2013">
        <v>15</v>
      </c>
      <c r="D1396" s="5">
        <v>7.593</v>
      </c>
      <c r="E1396" s="5">
        <v>229</v>
      </c>
      <c r="F1396" s="5">
        <v>253</v>
      </c>
      <c r="G1396" s="5">
        <v>275</v>
      </c>
      <c r="H1396" s="5">
        <v>296</v>
      </c>
      <c r="I1396" s="5">
        <v>318</v>
      </c>
      <c r="J1396" s="5">
        <v>339</v>
      </c>
      <c r="K1396" s="5">
        <v>360</v>
      </c>
      <c r="L1396" s="5">
        <v>381</v>
      </c>
      <c r="M1396" s="5">
        <v>400</v>
      </c>
      <c r="N1396" s="5">
        <v>420</v>
      </c>
      <c r="O1396" s="5">
        <v>440</v>
      </c>
      <c r="P1396" s="5">
        <v>459</v>
      </c>
      <c r="Q1396" s="1160">
        <v>74</v>
      </c>
      <c r="R1396"/>
      <c r="S1396" s="1684"/>
      <c r="T1396" s="1684"/>
      <c r="U1396" s="1684"/>
      <c r="V1396" s="1684"/>
      <c r="W1396" s="1684"/>
      <c r="X1396" s="1684"/>
      <c r="Y1396" s="1684"/>
      <c r="Z1396" s="1684"/>
      <c r="AA1396" s="1684"/>
      <c r="AB1396" s="1684"/>
      <c r="AC1396" s="1684"/>
      <c r="AD1396" s="1684"/>
      <c r="AE1396" s="1684"/>
      <c r="AF1396" s="1684"/>
      <c r="AG1396" s="1684"/>
      <c r="AH1396" s="1684"/>
      <c r="AI1396" s="1684"/>
      <c r="AJ1396" s="1684"/>
      <c r="AK1396" s="1684"/>
      <c r="AL1396" s="1684"/>
      <c r="AM1396" s="1684"/>
      <c r="AN1396" s="1684"/>
      <c r="AO1396" s="1684"/>
      <c r="AP1396" s="1684"/>
      <c r="AQ1396" s="1684"/>
      <c r="AR1396" s="1684"/>
      <c r="AS1396" s="1684"/>
      <c r="AT1396" s="1684"/>
      <c r="AU1396" s="1684"/>
      <c r="AV1396" s="1684"/>
      <c r="AW1396" s="1684"/>
      <c r="AX1396" s="1684"/>
      <c r="AY1396" s="1684"/>
      <c r="AZ1396" s="1684"/>
      <c r="BA1396" s="1684"/>
      <c r="BB1396" s="1684"/>
      <c r="BC1396" s="1684"/>
      <c r="BD1396" s="1684"/>
      <c r="BE1396" s="1684"/>
      <c r="BF1396" s="1684"/>
      <c r="BG1396" s="1684"/>
      <c r="BH1396" s="1684"/>
      <c r="BI1396" s="1684"/>
      <c r="BJ1396" s="1684"/>
      <c r="BK1396" s="1684"/>
      <c r="BL1396" s="1684"/>
      <c r="BM1396" s="1684"/>
      <c r="BN1396" s="1684"/>
      <c r="BO1396" s="1684"/>
      <c r="BP1396" s="1684"/>
      <c r="BQ1396" s="1684"/>
      <c r="BR1396" s="1684"/>
      <c r="BS1396" s="1684"/>
      <c r="BT1396" s="1684"/>
      <c r="BU1396" s="1684"/>
      <c r="BV1396" s="1684"/>
      <c r="BW1396" s="1684"/>
      <c r="BX1396" s="1684"/>
      <c r="BY1396" s="1684"/>
      <c r="BZ1396" s="1684"/>
      <c r="CA1396" s="1684"/>
      <c r="CB1396" s="1684"/>
      <c r="CC1396" s="1684"/>
      <c r="CD1396" s="1684"/>
      <c r="CE1396" s="1684"/>
      <c r="CF1396" s="1684"/>
      <c r="CG1396" s="1684"/>
      <c r="CH1396" s="1684"/>
      <c r="CI1396" s="1684"/>
      <c r="CJ1396" s="1684"/>
      <c r="CK1396" s="1684"/>
      <c r="CL1396" s="1684"/>
      <c r="CM1396" s="1684"/>
      <c r="CN1396" s="1684"/>
      <c r="CO1396" s="1684"/>
    </row>
    <row r="1397" spans="1:93" s="1391" customFormat="1" ht="15" x14ac:dyDescent="0.2">
      <c r="A1397" s="1684"/>
      <c r="B1397" s="1684"/>
      <c r="C1397" s="2013">
        <v>16</v>
      </c>
      <c r="D1397" s="5">
        <v>8.0960000000000001</v>
      </c>
      <c r="E1397" s="5">
        <v>243</v>
      </c>
      <c r="F1397" s="5">
        <v>268</v>
      </c>
      <c r="G1397" s="5">
        <v>291</v>
      </c>
      <c r="H1397" s="5">
        <v>314</v>
      </c>
      <c r="I1397" s="5">
        <v>336</v>
      </c>
      <c r="J1397" s="5">
        <v>358</v>
      </c>
      <c r="K1397" s="5">
        <v>380</v>
      </c>
      <c r="L1397" s="5">
        <v>403</v>
      </c>
      <c r="M1397" s="5">
        <v>423</v>
      </c>
      <c r="N1397" s="5">
        <v>444</v>
      </c>
      <c r="O1397" s="5">
        <v>465</v>
      </c>
      <c r="P1397" s="5">
        <v>485</v>
      </c>
      <c r="Q1397" s="1160">
        <v>75</v>
      </c>
      <c r="R1397"/>
      <c r="S1397" s="1684"/>
      <c r="T1397" s="1684"/>
      <c r="U1397" s="1684"/>
      <c r="V1397" s="1684"/>
      <c r="W1397" s="1684"/>
      <c r="X1397" s="1684"/>
      <c r="Y1397" s="1684"/>
      <c r="Z1397" s="1684"/>
      <c r="AA1397" s="1684"/>
      <c r="AB1397" s="1684"/>
      <c r="AC1397" s="1684"/>
      <c r="AD1397" s="1684"/>
      <c r="AE1397" s="1684"/>
      <c r="AF1397" s="1684"/>
      <c r="AG1397" s="1684"/>
      <c r="AH1397" s="1684"/>
      <c r="AI1397" s="1684"/>
      <c r="AJ1397" s="1684"/>
      <c r="AK1397" s="1684"/>
      <c r="AL1397" s="1684"/>
      <c r="AM1397" s="1684"/>
      <c r="AN1397" s="1684"/>
      <c r="AO1397" s="1684"/>
      <c r="AP1397" s="1684"/>
      <c r="AQ1397" s="1684"/>
      <c r="AR1397" s="1684"/>
      <c r="AS1397" s="1684"/>
      <c r="AT1397" s="1684"/>
      <c r="AU1397" s="1684"/>
      <c r="AV1397" s="1684"/>
      <c r="AW1397" s="1684"/>
      <c r="AX1397" s="1684"/>
      <c r="AY1397" s="1684"/>
      <c r="AZ1397" s="1684"/>
      <c r="BA1397" s="1684"/>
      <c r="BB1397" s="1684"/>
      <c r="BC1397" s="1684"/>
      <c r="BD1397" s="1684"/>
      <c r="BE1397" s="1684"/>
      <c r="BF1397" s="1684"/>
      <c r="BG1397" s="1684"/>
      <c r="BH1397" s="1684"/>
      <c r="BI1397" s="1684"/>
      <c r="BJ1397" s="1684"/>
      <c r="BK1397" s="1684"/>
      <c r="BL1397" s="1684"/>
      <c r="BM1397" s="1684"/>
      <c r="BN1397" s="1684"/>
      <c r="BO1397" s="1684"/>
      <c r="BP1397" s="1684"/>
      <c r="BQ1397" s="1684"/>
      <c r="BR1397" s="1684"/>
      <c r="BS1397" s="1684"/>
      <c r="BT1397" s="1684"/>
      <c r="BU1397" s="1684"/>
      <c r="BV1397" s="1684"/>
      <c r="BW1397" s="1684"/>
      <c r="BX1397" s="1684"/>
      <c r="BY1397" s="1684"/>
      <c r="BZ1397" s="1684"/>
      <c r="CA1397" s="1684"/>
      <c r="CB1397" s="1684"/>
      <c r="CC1397" s="1684"/>
      <c r="CD1397" s="1684"/>
      <c r="CE1397" s="1684"/>
      <c r="CF1397" s="1684"/>
      <c r="CG1397" s="1684"/>
      <c r="CH1397" s="1684"/>
      <c r="CI1397" s="1684"/>
      <c r="CJ1397" s="1684"/>
      <c r="CK1397" s="1684"/>
      <c r="CL1397" s="1684"/>
      <c r="CM1397" s="1684"/>
      <c r="CN1397" s="1684"/>
      <c r="CO1397" s="1684"/>
    </row>
    <row r="1398" spans="1:93" s="1391" customFormat="1" ht="15" x14ac:dyDescent="0.2">
      <c r="A1398" s="1684"/>
      <c r="B1398" s="1684"/>
      <c r="C1398" s="2013">
        <v>17</v>
      </c>
      <c r="D1398" s="5">
        <v>8.6349999999999998</v>
      </c>
      <c r="E1398" s="5">
        <v>256</v>
      </c>
      <c r="F1398" s="5">
        <v>281</v>
      </c>
      <c r="G1398" s="5">
        <v>306</v>
      </c>
      <c r="H1398" s="5">
        <v>330</v>
      </c>
      <c r="I1398" s="5">
        <v>353</v>
      </c>
      <c r="J1398" s="5">
        <v>376</v>
      </c>
      <c r="K1398" s="5">
        <v>399</v>
      </c>
      <c r="L1398" s="5">
        <v>422</v>
      </c>
      <c r="M1398" s="5">
        <v>443</v>
      </c>
      <c r="N1398" s="5">
        <v>465</v>
      </c>
      <c r="O1398" s="5">
        <v>487</v>
      </c>
      <c r="P1398" s="5">
        <v>508</v>
      </c>
      <c r="Q1398" s="1160">
        <v>76</v>
      </c>
      <c r="R1398"/>
      <c r="S1398" s="1684"/>
      <c r="T1398" s="1684"/>
      <c r="U1398" s="1684"/>
      <c r="V1398" s="1684"/>
      <c r="W1398" s="1684"/>
      <c r="X1398" s="1684"/>
      <c r="Y1398" s="1684"/>
      <c r="Z1398" s="1684"/>
      <c r="AA1398" s="1684"/>
      <c r="AB1398" s="1684"/>
      <c r="AC1398" s="1684"/>
      <c r="AD1398" s="1684"/>
      <c r="AE1398" s="1684"/>
      <c r="AF1398" s="1684"/>
      <c r="AG1398" s="1684"/>
      <c r="AH1398" s="1684"/>
      <c r="AI1398" s="1684"/>
      <c r="AJ1398" s="1684"/>
      <c r="AK1398" s="1684"/>
      <c r="AL1398" s="1684"/>
      <c r="AM1398" s="1684"/>
      <c r="AN1398" s="1684"/>
      <c r="AO1398" s="1684"/>
      <c r="AP1398" s="1684"/>
      <c r="AQ1398" s="1684"/>
      <c r="AR1398" s="1684"/>
      <c r="AS1398" s="1684"/>
      <c r="AT1398" s="1684"/>
      <c r="AU1398" s="1684"/>
      <c r="AV1398" s="1684"/>
      <c r="AW1398" s="1684"/>
      <c r="AX1398" s="1684"/>
      <c r="AY1398" s="1684"/>
      <c r="AZ1398" s="1684"/>
      <c r="BA1398" s="1684"/>
      <c r="BB1398" s="1684"/>
      <c r="BC1398" s="1684"/>
      <c r="BD1398" s="1684"/>
      <c r="BE1398" s="1684"/>
      <c r="BF1398" s="1684"/>
      <c r="BG1398" s="1684"/>
      <c r="BH1398" s="1684"/>
      <c r="BI1398" s="1684"/>
      <c r="BJ1398" s="1684"/>
      <c r="BK1398" s="1684"/>
      <c r="BL1398" s="1684"/>
      <c r="BM1398" s="1684"/>
      <c r="BN1398" s="1684"/>
      <c r="BO1398" s="1684"/>
      <c r="BP1398" s="1684"/>
      <c r="BQ1398" s="1684"/>
      <c r="BR1398" s="1684"/>
      <c r="BS1398" s="1684"/>
      <c r="BT1398" s="1684"/>
      <c r="BU1398" s="1684"/>
      <c r="BV1398" s="1684"/>
      <c r="BW1398" s="1684"/>
      <c r="BX1398" s="1684"/>
      <c r="BY1398" s="1684"/>
      <c r="BZ1398" s="1684"/>
      <c r="CA1398" s="1684"/>
      <c r="CB1398" s="1684"/>
      <c r="CC1398" s="1684"/>
      <c r="CD1398" s="1684"/>
      <c r="CE1398" s="1684"/>
      <c r="CF1398" s="1684"/>
      <c r="CG1398" s="1684"/>
      <c r="CH1398" s="1684"/>
      <c r="CI1398" s="1684"/>
      <c r="CJ1398" s="1684"/>
      <c r="CK1398" s="1684"/>
      <c r="CL1398" s="1684"/>
      <c r="CM1398" s="1684"/>
      <c r="CN1398" s="1684"/>
      <c r="CO1398" s="1684"/>
    </row>
    <row r="1399" spans="1:93" s="1391" customFormat="1" ht="15" x14ac:dyDescent="0.2">
      <c r="A1399" s="1684"/>
      <c r="B1399" s="1684"/>
      <c r="C1399" s="2013">
        <v>18</v>
      </c>
      <c r="D1399" s="5">
        <v>8.9420000000000002</v>
      </c>
      <c r="E1399" s="5">
        <v>267</v>
      </c>
      <c r="F1399" s="5">
        <v>294</v>
      </c>
      <c r="G1399" s="5">
        <v>319</v>
      </c>
      <c r="H1399" s="5">
        <v>344</v>
      </c>
      <c r="I1399" s="5">
        <v>368</v>
      </c>
      <c r="J1399" s="5">
        <v>392</v>
      </c>
      <c r="K1399" s="5">
        <v>416</v>
      </c>
      <c r="L1399" s="5">
        <v>440</v>
      </c>
      <c r="M1399" s="5">
        <v>462</v>
      </c>
      <c r="N1399" s="5">
        <v>484</v>
      </c>
      <c r="O1399" s="5">
        <v>506</v>
      </c>
      <c r="P1399" s="5">
        <v>528</v>
      </c>
      <c r="Q1399" s="1160">
        <v>77</v>
      </c>
      <c r="R1399"/>
      <c r="S1399" s="1684"/>
      <c r="T1399" s="1684"/>
      <c r="U1399" s="1684"/>
      <c r="V1399" s="1684"/>
      <c r="W1399" s="1684"/>
      <c r="X1399" s="1684"/>
      <c r="Y1399" s="1684"/>
      <c r="Z1399" s="1684"/>
      <c r="AA1399" s="1684"/>
      <c r="AB1399" s="1684"/>
      <c r="AC1399" s="1684"/>
      <c r="AD1399" s="1684"/>
      <c r="AE1399" s="1684"/>
      <c r="AF1399" s="1684"/>
      <c r="AG1399" s="1684"/>
      <c r="AH1399" s="1684"/>
      <c r="AI1399" s="1684"/>
      <c r="AJ1399" s="1684"/>
      <c r="AK1399" s="1684"/>
      <c r="AL1399" s="1684"/>
      <c r="AM1399" s="1684"/>
      <c r="AN1399" s="1684"/>
      <c r="AO1399" s="1684"/>
      <c r="AP1399" s="1684"/>
      <c r="AQ1399" s="1684"/>
      <c r="AR1399" s="1684"/>
      <c r="AS1399" s="1684"/>
      <c r="AT1399" s="1684"/>
      <c r="AU1399" s="1684"/>
      <c r="AV1399" s="1684"/>
      <c r="AW1399" s="1684"/>
      <c r="AX1399" s="1684"/>
      <c r="AY1399" s="1684"/>
      <c r="AZ1399" s="1684"/>
      <c r="BA1399" s="1684"/>
      <c r="BB1399" s="1684"/>
      <c r="BC1399" s="1684"/>
      <c r="BD1399" s="1684"/>
      <c r="BE1399" s="1684"/>
      <c r="BF1399" s="1684"/>
      <c r="BG1399" s="1684"/>
      <c r="BH1399" s="1684"/>
      <c r="BI1399" s="1684"/>
      <c r="BJ1399" s="1684"/>
      <c r="BK1399" s="1684"/>
      <c r="BL1399" s="1684"/>
      <c r="BM1399" s="1684"/>
      <c r="BN1399" s="1684"/>
      <c r="BO1399" s="1684"/>
      <c r="BP1399" s="1684"/>
      <c r="BQ1399" s="1684"/>
      <c r="BR1399" s="1684"/>
      <c r="BS1399" s="1684"/>
      <c r="BT1399" s="1684"/>
      <c r="BU1399" s="1684"/>
      <c r="BV1399" s="1684"/>
      <c r="BW1399" s="1684"/>
      <c r="BX1399" s="1684"/>
      <c r="BY1399" s="1684"/>
      <c r="BZ1399" s="1684"/>
      <c r="CA1399" s="1684"/>
      <c r="CB1399" s="1684"/>
      <c r="CC1399" s="1684"/>
      <c r="CD1399" s="1684"/>
      <c r="CE1399" s="1684"/>
      <c r="CF1399" s="1684"/>
      <c r="CG1399" s="1684"/>
      <c r="CH1399" s="1684"/>
      <c r="CI1399" s="1684"/>
      <c r="CJ1399" s="1684"/>
      <c r="CK1399" s="1684"/>
      <c r="CL1399" s="1684"/>
      <c r="CM1399" s="1684"/>
      <c r="CN1399" s="1684"/>
      <c r="CO1399" s="1684"/>
    </row>
    <row r="1400" spans="1:93" s="1391" customFormat="1" ht="15" x14ac:dyDescent="0.2">
      <c r="A1400" s="1684"/>
      <c r="B1400" s="1684"/>
      <c r="C1400" s="4680" t="s">
        <v>3693</v>
      </c>
      <c r="D1400" s="4681"/>
      <c r="E1400" s="4681"/>
      <c r="F1400" s="4681"/>
      <c r="G1400" s="4681"/>
      <c r="H1400" s="4681"/>
      <c r="I1400" s="4681"/>
      <c r="J1400" s="4681"/>
      <c r="K1400" s="4681"/>
      <c r="L1400" s="4681"/>
      <c r="M1400" s="4681"/>
      <c r="N1400" s="4681"/>
      <c r="O1400" s="4681"/>
      <c r="P1400" s="4681"/>
      <c r="Q1400" s="4682"/>
      <c r="R1400"/>
      <c r="S1400" s="1684"/>
      <c r="T1400" s="1684"/>
      <c r="U1400" s="1684"/>
      <c r="V1400" s="1684"/>
      <c r="W1400" s="1684"/>
      <c r="X1400" s="1684"/>
      <c r="Y1400" s="1684"/>
      <c r="Z1400" s="1684"/>
      <c r="AA1400" s="1684"/>
      <c r="AB1400" s="1684"/>
      <c r="AC1400" s="1684"/>
      <c r="AD1400" s="1684"/>
      <c r="AE1400" s="1684"/>
      <c r="AF1400" s="1684"/>
      <c r="AG1400" s="1684"/>
      <c r="AH1400" s="1684"/>
      <c r="AI1400" s="1684"/>
      <c r="AJ1400" s="1684"/>
      <c r="AK1400" s="1684"/>
      <c r="AL1400" s="1684"/>
      <c r="AM1400" s="1684"/>
      <c r="AN1400" s="1684"/>
      <c r="AO1400" s="1684"/>
      <c r="AP1400" s="1684"/>
      <c r="AQ1400" s="1684"/>
      <c r="AR1400" s="1684"/>
      <c r="AS1400" s="1684"/>
      <c r="AT1400" s="1684"/>
      <c r="AU1400" s="1684"/>
      <c r="AV1400" s="1684"/>
      <c r="AW1400" s="1684"/>
      <c r="AX1400" s="1684"/>
      <c r="AY1400" s="1684"/>
      <c r="AZ1400" s="1684"/>
      <c r="BA1400" s="1684"/>
      <c r="BB1400" s="1684"/>
      <c r="BC1400" s="1684"/>
      <c r="BD1400" s="1684"/>
      <c r="BE1400" s="1684"/>
      <c r="BF1400" s="1684"/>
      <c r="BG1400" s="1684"/>
      <c r="BH1400" s="1684"/>
      <c r="BI1400" s="1684"/>
      <c r="BJ1400" s="1684"/>
      <c r="BK1400" s="1684"/>
      <c r="BL1400" s="1684"/>
      <c r="BM1400" s="1684"/>
      <c r="BN1400" s="1684"/>
      <c r="BO1400" s="1684"/>
      <c r="BP1400" s="1684"/>
      <c r="BQ1400" s="1684"/>
      <c r="BR1400" s="1684"/>
      <c r="BS1400" s="1684"/>
      <c r="BT1400" s="1684"/>
      <c r="BU1400" s="1684"/>
      <c r="BV1400" s="1684"/>
      <c r="BW1400" s="1684"/>
      <c r="BX1400" s="1684"/>
      <c r="BY1400" s="1684"/>
      <c r="BZ1400" s="1684"/>
      <c r="CA1400" s="1684"/>
      <c r="CB1400" s="1684"/>
      <c r="CC1400" s="1684"/>
      <c r="CD1400" s="1684"/>
      <c r="CE1400" s="1684"/>
      <c r="CF1400" s="1684"/>
      <c r="CG1400" s="1684"/>
      <c r="CH1400" s="1684"/>
      <c r="CI1400" s="1684"/>
      <c r="CJ1400" s="1684"/>
      <c r="CK1400" s="1684"/>
      <c r="CL1400" s="1684"/>
      <c r="CM1400" s="1684"/>
      <c r="CN1400" s="1684"/>
      <c r="CO1400" s="1684"/>
    </row>
    <row r="1401" spans="1:93" s="1391" customFormat="1" ht="15" x14ac:dyDescent="0.2">
      <c r="A1401" s="1684"/>
      <c r="B1401" s="1684"/>
      <c r="C1401" s="4680"/>
      <c r="D1401" s="4681"/>
      <c r="E1401" s="4681"/>
      <c r="F1401" s="4681"/>
      <c r="G1401" s="4681"/>
      <c r="H1401" s="4681"/>
      <c r="I1401" s="4681"/>
      <c r="J1401" s="4681"/>
      <c r="K1401" s="4681"/>
      <c r="L1401" s="4681"/>
      <c r="M1401" s="4681"/>
      <c r="N1401" s="4681"/>
      <c r="O1401" s="4681"/>
      <c r="P1401" s="4681"/>
      <c r="Q1401" s="4682"/>
      <c r="R1401"/>
      <c r="S1401" s="1684"/>
      <c r="T1401" s="1684"/>
      <c r="U1401" s="1684"/>
      <c r="V1401" s="1684"/>
      <c r="W1401" s="1684"/>
      <c r="X1401" s="1684"/>
      <c r="Y1401" s="1684"/>
      <c r="Z1401" s="1684"/>
      <c r="AA1401" s="1684"/>
      <c r="AB1401" s="1684"/>
      <c r="AC1401" s="1684"/>
      <c r="AD1401" s="1684"/>
      <c r="AE1401" s="1684"/>
      <c r="AF1401" s="1684"/>
      <c r="AG1401" s="1684"/>
      <c r="AH1401" s="1684"/>
      <c r="AI1401" s="1684"/>
      <c r="AJ1401" s="1684"/>
      <c r="AK1401" s="1684"/>
      <c r="AL1401" s="1684"/>
      <c r="AM1401" s="1684"/>
      <c r="AN1401" s="1684"/>
      <c r="AO1401" s="1684"/>
      <c r="AP1401" s="1684"/>
      <c r="AQ1401" s="1684"/>
      <c r="AR1401" s="1684"/>
      <c r="AS1401" s="1684"/>
      <c r="AT1401" s="1684"/>
      <c r="AU1401" s="1684"/>
      <c r="AV1401" s="1684"/>
      <c r="AW1401" s="1684"/>
      <c r="AX1401" s="1684"/>
      <c r="AY1401" s="1684"/>
      <c r="AZ1401" s="1684"/>
      <c r="BA1401" s="1684"/>
      <c r="BB1401" s="1684"/>
      <c r="BC1401" s="1684"/>
      <c r="BD1401" s="1684"/>
      <c r="BE1401" s="1684"/>
      <c r="BF1401" s="1684"/>
      <c r="BG1401" s="1684"/>
      <c r="BH1401" s="1684"/>
      <c r="BI1401" s="1684"/>
      <c r="BJ1401" s="1684"/>
      <c r="BK1401" s="1684"/>
      <c r="BL1401" s="1684"/>
      <c r="BM1401" s="1684"/>
      <c r="BN1401" s="1684"/>
      <c r="BO1401" s="1684"/>
      <c r="BP1401" s="1684"/>
      <c r="BQ1401" s="1684"/>
      <c r="BR1401" s="1684"/>
      <c r="BS1401" s="1684"/>
      <c r="BT1401" s="1684"/>
      <c r="BU1401" s="1684"/>
      <c r="BV1401" s="1684"/>
      <c r="BW1401" s="1684"/>
      <c r="BX1401" s="1684"/>
      <c r="BY1401" s="1684"/>
      <c r="BZ1401" s="1684"/>
      <c r="CA1401" s="1684"/>
      <c r="CB1401" s="1684"/>
      <c r="CC1401" s="1684"/>
      <c r="CD1401" s="1684"/>
      <c r="CE1401" s="1684"/>
      <c r="CF1401" s="1684"/>
      <c r="CG1401" s="1684"/>
      <c r="CH1401" s="1684"/>
      <c r="CI1401" s="1684"/>
      <c r="CJ1401" s="1684"/>
      <c r="CK1401" s="1684"/>
      <c r="CL1401" s="1684"/>
      <c r="CM1401" s="1684"/>
      <c r="CN1401" s="1684"/>
      <c r="CO1401" s="1684"/>
    </row>
    <row r="1402" spans="1:93" s="1391" customFormat="1" ht="15" x14ac:dyDescent="0.2">
      <c r="A1402" s="1684"/>
      <c r="B1402" s="1684"/>
      <c r="C1402" s="2013"/>
      <c r="D1402" s="5"/>
      <c r="E1402" s="5">
        <v>1</v>
      </c>
      <c r="F1402" s="5">
        <v>2</v>
      </c>
      <c r="G1402" s="5">
        <v>3</v>
      </c>
      <c r="H1402" s="5">
        <v>4</v>
      </c>
      <c r="I1402" s="5">
        <v>5</v>
      </c>
      <c r="J1402" s="5">
        <v>6</v>
      </c>
      <c r="K1402" s="5">
        <v>7</v>
      </c>
      <c r="L1402" s="5">
        <v>8</v>
      </c>
      <c r="M1402" s="5">
        <v>9</v>
      </c>
      <c r="N1402" s="5">
        <v>10</v>
      </c>
      <c r="O1402" s="5">
        <v>11</v>
      </c>
      <c r="P1402" s="5">
        <v>12</v>
      </c>
      <c r="Q1402" s="1160"/>
      <c r="R1402"/>
      <c r="S1402" s="1684"/>
      <c r="T1402" s="1684"/>
      <c r="U1402" s="1684"/>
      <c r="V1402" s="1684"/>
      <c r="W1402" s="1684"/>
      <c r="X1402" s="1684"/>
      <c r="Y1402" s="1684"/>
      <c r="Z1402" s="1684"/>
      <c r="AA1402" s="1684"/>
      <c r="AB1402" s="1684"/>
      <c r="AC1402" s="1684"/>
      <c r="AD1402" s="1684"/>
      <c r="AE1402" s="1684"/>
      <c r="AF1402" s="1684"/>
      <c r="AG1402" s="1684"/>
      <c r="AH1402" s="1684"/>
      <c r="AI1402" s="1684"/>
      <c r="AJ1402" s="1684"/>
      <c r="AK1402" s="1684"/>
      <c r="AL1402" s="1684"/>
      <c r="AM1402" s="1684"/>
      <c r="AN1402" s="1684"/>
      <c r="AO1402" s="1684"/>
      <c r="AP1402" s="1684"/>
      <c r="AQ1402" s="1684"/>
      <c r="AR1402" s="1684"/>
      <c r="AS1402" s="1684"/>
      <c r="AT1402" s="1684"/>
      <c r="AU1402" s="1684"/>
      <c r="AV1402" s="1684"/>
      <c r="AW1402" s="1684"/>
      <c r="AX1402" s="1684"/>
      <c r="AY1402" s="1684"/>
      <c r="AZ1402" s="1684"/>
      <c r="BA1402" s="1684"/>
      <c r="BB1402" s="1684"/>
      <c r="BC1402" s="1684"/>
      <c r="BD1402" s="1684"/>
      <c r="BE1402" s="1684"/>
      <c r="BF1402" s="1684"/>
      <c r="BG1402" s="1684"/>
      <c r="BH1402" s="1684"/>
      <c r="BI1402" s="1684"/>
      <c r="BJ1402" s="1684"/>
      <c r="BK1402" s="1684"/>
      <c r="BL1402" s="1684"/>
      <c r="BM1402" s="1684"/>
      <c r="BN1402" s="1684"/>
      <c r="BO1402" s="1684"/>
      <c r="BP1402" s="1684"/>
      <c r="BQ1402" s="1684"/>
      <c r="BR1402" s="1684"/>
      <c r="BS1402" s="1684"/>
      <c r="BT1402" s="1684"/>
      <c r="BU1402" s="1684"/>
      <c r="BV1402" s="1684"/>
      <c r="BW1402" s="1684"/>
      <c r="BX1402" s="1684"/>
      <c r="BY1402" s="1684"/>
      <c r="BZ1402" s="1684"/>
      <c r="CA1402" s="1684"/>
      <c r="CB1402" s="1684"/>
      <c r="CC1402" s="1684"/>
      <c r="CD1402" s="1684"/>
      <c r="CE1402" s="1684"/>
      <c r="CF1402" s="1684"/>
      <c r="CG1402" s="1684"/>
      <c r="CH1402" s="1684"/>
      <c r="CI1402" s="1684"/>
      <c r="CJ1402" s="1684"/>
      <c r="CK1402" s="1684"/>
      <c r="CL1402" s="1684"/>
      <c r="CM1402" s="1684"/>
      <c r="CN1402" s="1684"/>
      <c r="CO1402" s="1684"/>
    </row>
    <row r="1403" spans="1:93" s="1391" customFormat="1" ht="15" x14ac:dyDescent="0.2">
      <c r="A1403" s="1684"/>
      <c r="B1403" s="1684"/>
      <c r="C1403" s="2013">
        <v>8</v>
      </c>
      <c r="D1403" s="5">
        <v>5.298</v>
      </c>
      <c r="E1403" s="5">
        <v>136</v>
      </c>
      <c r="F1403" s="5">
        <v>150</v>
      </c>
      <c r="G1403" s="5">
        <v>164</v>
      </c>
      <c r="H1403" s="5">
        <v>177</v>
      </c>
      <c r="I1403" s="5">
        <v>191</v>
      </c>
      <c r="J1403" s="5">
        <v>204</v>
      </c>
      <c r="K1403" s="5">
        <v>217</v>
      </c>
      <c r="L1403" s="5">
        <v>231</v>
      </c>
      <c r="M1403" s="5">
        <v>243</v>
      </c>
      <c r="N1403" s="5">
        <v>256</v>
      </c>
      <c r="O1403" s="5">
        <v>268</v>
      </c>
      <c r="P1403" s="5">
        <v>281</v>
      </c>
      <c r="Q1403" s="1160">
        <v>78</v>
      </c>
      <c r="R1403"/>
      <c r="S1403" s="1684"/>
      <c r="T1403" s="1684"/>
      <c r="U1403" s="1684"/>
      <c r="V1403" s="1684"/>
      <c r="W1403" s="1684"/>
      <c r="X1403" s="1684"/>
      <c r="Y1403" s="1684"/>
      <c r="Z1403" s="1684"/>
      <c r="AA1403" s="1684"/>
      <c r="AB1403" s="1684"/>
      <c r="AC1403" s="1684"/>
      <c r="AD1403" s="1684"/>
      <c r="AE1403" s="1684"/>
      <c r="AF1403" s="1684"/>
      <c r="AG1403" s="1684"/>
      <c r="AH1403" s="1684"/>
      <c r="AI1403" s="1684"/>
      <c r="AJ1403" s="1684"/>
      <c r="AK1403" s="1684"/>
      <c r="AL1403" s="1684"/>
      <c r="AM1403" s="1684"/>
      <c r="AN1403" s="1684"/>
      <c r="AO1403" s="1684"/>
      <c r="AP1403" s="1684"/>
      <c r="AQ1403" s="1684"/>
      <c r="AR1403" s="1684"/>
      <c r="AS1403" s="1684"/>
      <c r="AT1403" s="1684"/>
      <c r="AU1403" s="1684"/>
      <c r="AV1403" s="1684"/>
      <c r="AW1403" s="1684"/>
      <c r="AX1403" s="1684"/>
      <c r="AY1403" s="1684"/>
      <c r="AZ1403" s="1684"/>
      <c r="BA1403" s="1684"/>
      <c r="BB1403" s="1684"/>
      <c r="BC1403" s="1684"/>
      <c r="BD1403" s="1684"/>
      <c r="BE1403" s="1684"/>
      <c r="BF1403" s="1684"/>
      <c r="BG1403" s="1684"/>
      <c r="BH1403" s="1684"/>
      <c r="BI1403" s="1684"/>
      <c r="BJ1403" s="1684"/>
      <c r="BK1403" s="1684"/>
      <c r="BL1403" s="1684"/>
      <c r="BM1403" s="1684"/>
      <c r="BN1403" s="1684"/>
      <c r="BO1403" s="1684"/>
      <c r="BP1403" s="1684"/>
      <c r="BQ1403" s="1684"/>
      <c r="BR1403" s="1684"/>
      <c r="BS1403" s="1684"/>
      <c r="BT1403" s="1684"/>
      <c r="BU1403" s="1684"/>
      <c r="BV1403" s="1684"/>
      <c r="BW1403" s="1684"/>
      <c r="BX1403" s="1684"/>
      <c r="BY1403" s="1684"/>
      <c r="BZ1403" s="1684"/>
      <c r="CA1403" s="1684"/>
      <c r="CB1403" s="1684"/>
      <c r="CC1403" s="1684"/>
      <c r="CD1403" s="1684"/>
      <c r="CE1403" s="1684"/>
      <c r="CF1403" s="1684"/>
      <c r="CG1403" s="1684"/>
      <c r="CH1403" s="1684"/>
      <c r="CI1403" s="1684"/>
      <c r="CJ1403" s="1684"/>
      <c r="CK1403" s="1684"/>
      <c r="CL1403" s="1684"/>
      <c r="CM1403" s="1684"/>
      <c r="CN1403" s="1684"/>
      <c r="CO1403" s="1684"/>
    </row>
    <row r="1404" spans="1:93" s="1391" customFormat="1" ht="15" x14ac:dyDescent="0.2">
      <c r="A1404" s="1684"/>
      <c r="B1404" s="1684"/>
      <c r="C1404" s="2013">
        <v>9</v>
      </c>
      <c r="D1404" s="5">
        <v>5.6029999999999998</v>
      </c>
      <c r="E1404" s="5">
        <v>149</v>
      </c>
      <c r="F1404" s="5">
        <v>164</v>
      </c>
      <c r="G1404" s="5">
        <v>179</v>
      </c>
      <c r="H1404" s="5">
        <v>194</v>
      </c>
      <c r="I1404" s="5">
        <v>208</v>
      </c>
      <c r="J1404" s="5">
        <v>223</v>
      </c>
      <c r="K1404" s="5">
        <v>237</v>
      </c>
      <c r="L1404" s="5">
        <v>252</v>
      </c>
      <c r="M1404" s="5">
        <v>265</v>
      </c>
      <c r="N1404" s="5">
        <v>279</v>
      </c>
      <c r="O1404" s="5">
        <v>292</v>
      </c>
      <c r="P1404" s="5">
        <v>306</v>
      </c>
      <c r="Q1404" s="1160">
        <v>79</v>
      </c>
      <c r="R1404"/>
      <c r="S1404" s="1684"/>
      <c r="T1404" s="1684"/>
      <c r="U1404" s="1684"/>
      <c r="V1404" s="1684"/>
      <c r="W1404" s="1684"/>
      <c r="X1404" s="1684"/>
      <c r="Y1404" s="1684"/>
      <c r="Z1404" s="1684"/>
      <c r="AA1404" s="1684"/>
      <c r="AB1404" s="1684"/>
      <c r="AC1404" s="1684"/>
      <c r="AD1404" s="1684"/>
      <c r="AE1404" s="1684"/>
      <c r="AF1404" s="1684"/>
      <c r="AG1404" s="1684"/>
      <c r="AH1404" s="1684"/>
      <c r="AI1404" s="1684"/>
      <c r="AJ1404" s="1684"/>
      <c r="AK1404" s="1684"/>
      <c r="AL1404" s="1684"/>
      <c r="AM1404" s="1684"/>
      <c r="AN1404" s="1684"/>
      <c r="AO1404" s="1684"/>
      <c r="AP1404" s="1684"/>
      <c r="AQ1404" s="1684"/>
      <c r="AR1404" s="1684"/>
      <c r="AS1404" s="1684"/>
      <c r="AT1404" s="1684"/>
      <c r="AU1404" s="1684"/>
      <c r="AV1404" s="1684"/>
      <c r="AW1404" s="1684"/>
      <c r="AX1404" s="1684"/>
      <c r="AY1404" s="1684"/>
      <c r="AZ1404" s="1684"/>
      <c r="BA1404" s="1684"/>
      <c r="BB1404" s="1684"/>
      <c r="BC1404" s="1684"/>
      <c r="BD1404" s="1684"/>
      <c r="BE1404" s="1684"/>
      <c r="BF1404" s="1684"/>
      <c r="BG1404" s="1684"/>
      <c r="BH1404" s="1684"/>
      <c r="BI1404" s="1684"/>
      <c r="BJ1404" s="1684"/>
      <c r="BK1404" s="1684"/>
      <c r="BL1404" s="1684"/>
      <c r="BM1404" s="1684"/>
      <c r="BN1404" s="1684"/>
      <c r="BO1404" s="1684"/>
      <c r="BP1404" s="1684"/>
      <c r="BQ1404" s="1684"/>
      <c r="BR1404" s="1684"/>
      <c r="BS1404" s="1684"/>
      <c r="BT1404" s="1684"/>
      <c r="BU1404" s="1684"/>
      <c r="BV1404" s="1684"/>
      <c r="BW1404" s="1684"/>
      <c r="BX1404" s="1684"/>
      <c r="BY1404" s="1684"/>
      <c r="BZ1404" s="1684"/>
      <c r="CA1404" s="1684"/>
      <c r="CB1404" s="1684"/>
      <c r="CC1404" s="1684"/>
      <c r="CD1404" s="1684"/>
      <c r="CE1404" s="1684"/>
      <c r="CF1404" s="1684"/>
      <c r="CG1404" s="1684"/>
      <c r="CH1404" s="1684"/>
      <c r="CI1404" s="1684"/>
      <c r="CJ1404" s="1684"/>
      <c r="CK1404" s="1684"/>
      <c r="CL1404" s="1684"/>
      <c r="CM1404" s="1684"/>
      <c r="CN1404" s="1684"/>
      <c r="CO1404" s="1684"/>
    </row>
    <row r="1405" spans="1:93" s="1391" customFormat="1" ht="15" x14ac:dyDescent="0.2">
      <c r="A1405" s="1684"/>
      <c r="B1405" s="1684"/>
      <c r="C1405" s="2013">
        <v>10</v>
      </c>
      <c r="D1405" s="5">
        <v>5.9210000000000003</v>
      </c>
      <c r="E1405" s="5">
        <v>162</v>
      </c>
      <c r="F1405" s="5">
        <v>179</v>
      </c>
      <c r="G1405" s="5">
        <v>195</v>
      </c>
      <c r="H1405" s="5">
        <v>211</v>
      </c>
      <c r="I1405" s="5">
        <v>226</v>
      </c>
      <c r="J1405" s="5">
        <v>242</v>
      </c>
      <c r="K1405" s="5">
        <v>257</v>
      </c>
      <c r="L1405" s="5">
        <v>273</v>
      </c>
      <c r="M1405" s="5">
        <v>287</v>
      </c>
      <c r="N1405" s="5">
        <v>302</v>
      </c>
      <c r="O1405" s="5">
        <v>317</v>
      </c>
      <c r="P1405" s="5">
        <v>332</v>
      </c>
      <c r="Q1405" s="1160">
        <v>80</v>
      </c>
      <c r="R1405"/>
      <c r="S1405" s="1684"/>
      <c r="T1405" s="1684"/>
      <c r="U1405" s="1684"/>
      <c r="V1405" s="1684"/>
      <c r="W1405" s="1684"/>
      <c r="X1405" s="1684"/>
      <c r="Y1405" s="1684"/>
      <c r="Z1405" s="1684"/>
      <c r="AA1405" s="1684"/>
      <c r="AB1405" s="1684"/>
      <c r="AC1405" s="1684"/>
      <c r="AD1405" s="1684"/>
      <c r="AE1405" s="1684"/>
      <c r="AF1405" s="1684"/>
      <c r="AG1405" s="1684"/>
      <c r="AH1405" s="1684"/>
      <c r="AI1405" s="1684"/>
      <c r="AJ1405" s="1684"/>
      <c r="AK1405" s="1684"/>
      <c r="AL1405" s="1684"/>
      <c r="AM1405" s="1684"/>
      <c r="AN1405" s="1684"/>
      <c r="AO1405" s="1684"/>
      <c r="AP1405" s="1684"/>
      <c r="AQ1405" s="1684"/>
      <c r="AR1405" s="1684"/>
      <c r="AS1405" s="1684"/>
      <c r="AT1405" s="1684"/>
      <c r="AU1405" s="1684"/>
      <c r="AV1405" s="1684"/>
      <c r="AW1405" s="1684"/>
      <c r="AX1405" s="1684"/>
      <c r="AY1405" s="1684"/>
      <c r="AZ1405" s="1684"/>
      <c r="BA1405" s="1684"/>
      <c r="BB1405" s="1684"/>
      <c r="BC1405" s="1684"/>
      <c r="BD1405" s="1684"/>
      <c r="BE1405" s="1684"/>
      <c r="BF1405" s="1684"/>
      <c r="BG1405" s="1684"/>
      <c r="BH1405" s="1684"/>
      <c r="BI1405" s="1684"/>
      <c r="BJ1405" s="1684"/>
      <c r="BK1405" s="1684"/>
      <c r="BL1405" s="1684"/>
      <c r="BM1405" s="1684"/>
      <c r="BN1405" s="1684"/>
      <c r="BO1405" s="1684"/>
      <c r="BP1405" s="1684"/>
      <c r="BQ1405" s="1684"/>
      <c r="BR1405" s="1684"/>
      <c r="BS1405" s="1684"/>
      <c r="BT1405" s="1684"/>
      <c r="BU1405" s="1684"/>
      <c r="BV1405" s="1684"/>
      <c r="BW1405" s="1684"/>
      <c r="BX1405" s="1684"/>
      <c r="BY1405" s="1684"/>
      <c r="BZ1405" s="1684"/>
      <c r="CA1405" s="1684"/>
      <c r="CB1405" s="1684"/>
      <c r="CC1405" s="1684"/>
      <c r="CD1405" s="1684"/>
      <c r="CE1405" s="1684"/>
      <c r="CF1405" s="1684"/>
      <c r="CG1405" s="1684"/>
      <c r="CH1405" s="1684"/>
      <c r="CI1405" s="1684"/>
      <c r="CJ1405" s="1684"/>
      <c r="CK1405" s="1684"/>
      <c r="CL1405" s="1684"/>
      <c r="CM1405" s="1684"/>
      <c r="CN1405" s="1684"/>
      <c r="CO1405" s="1684"/>
    </row>
    <row r="1406" spans="1:93" s="1391" customFormat="1" ht="15" x14ac:dyDescent="0.2">
      <c r="A1406" s="1684"/>
      <c r="B1406" s="1684"/>
      <c r="C1406" s="2013">
        <v>11</v>
      </c>
      <c r="D1406" s="5">
        <v>6.274</v>
      </c>
      <c r="E1406" s="5">
        <v>176</v>
      </c>
      <c r="F1406" s="5">
        <v>195</v>
      </c>
      <c r="G1406" s="5">
        <v>212</v>
      </c>
      <c r="H1406" s="5">
        <v>229</v>
      </c>
      <c r="I1406" s="5">
        <v>246</v>
      </c>
      <c r="J1406" s="5">
        <v>263</v>
      </c>
      <c r="K1406" s="5">
        <v>279</v>
      </c>
      <c r="L1406" s="5">
        <v>296</v>
      </c>
      <c r="M1406" s="5">
        <v>312</v>
      </c>
      <c r="N1406" s="5">
        <v>328</v>
      </c>
      <c r="O1406" s="5">
        <v>344</v>
      </c>
      <c r="P1406" s="5">
        <v>359</v>
      </c>
      <c r="Q1406" s="1160">
        <v>81</v>
      </c>
      <c r="R1406"/>
      <c r="S1406" s="1684"/>
      <c r="T1406" s="1684"/>
      <c r="U1406" s="1684"/>
      <c r="V1406" s="1684"/>
      <c r="W1406" s="1684"/>
      <c r="X1406" s="1684"/>
      <c r="Y1406" s="1684"/>
      <c r="Z1406" s="1684"/>
      <c r="AA1406" s="1684"/>
      <c r="AB1406" s="1684"/>
      <c r="AC1406" s="1684"/>
      <c r="AD1406" s="1684"/>
      <c r="AE1406" s="1684"/>
      <c r="AF1406" s="1684"/>
      <c r="AG1406" s="1684"/>
      <c r="AH1406" s="1684"/>
      <c r="AI1406" s="1684"/>
      <c r="AJ1406" s="1684"/>
      <c r="AK1406" s="1684"/>
      <c r="AL1406" s="1684"/>
      <c r="AM1406" s="1684"/>
      <c r="AN1406" s="1684"/>
      <c r="AO1406" s="1684"/>
      <c r="AP1406" s="1684"/>
      <c r="AQ1406" s="1684"/>
      <c r="AR1406" s="1684"/>
      <c r="AS1406" s="1684"/>
      <c r="AT1406" s="1684"/>
      <c r="AU1406" s="1684"/>
      <c r="AV1406" s="1684"/>
      <c r="AW1406" s="1684"/>
      <c r="AX1406" s="1684"/>
      <c r="AY1406" s="1684"/>
      <c r="AZ1406" s="1684"/>
      <c r="BA1406" s="1684"/>
      <c r="BB1406" s="1684"/>
      <c r="BC1406" s="1684"/>
      <c r="BD1406" s="1684"/>
      <c r="BE1406" s="1684"/>
      <c r="BF1406" s="1684"/>
      <c r="BG1406" s="1684"/>
      <c r="BH1406" s="1684"/>
      <c r="BI1406" s="1684"/>
      <c r="BJ1406" s="1684"/>
      <c r="BK1406" s="1684"/>
      <c r="BL1406" s="1684"/>
      <c r="BM1406" s="1684"/>
      <c r="BN1406" s="1684"/>
      <c r="BO1406" s="1684"/>
      <c r="BP1406" s="1684"/>
      <c r="BQ1406" s="1684"/>
      <c r="BR1406" s="1684"/>
      <c r="BS1406" s="1684"/>
      <c r="BT1406" s="1684"/>
      <c r="BU1406" s="1684"/>
      <c r="BV1406" s="1684"/>
      <c r="BW1406" s="1684"/>
      <c r="BX1406" s="1684"/>
      <c r="BY1406" s="1684"/>
      <c r="BZ1406" s="1684"/>
      <c r="CA1406" s="1684"/>
      <c r="CB1406" s="1684"/>
      <c r="CC1406" s="1684"/>
      <c r="CD1406" s="1684"/>
      <c r="CE1406" s="1684"/>
      <c r="CF1406" s="1684"/>
      <c r="CG1406" s="1684"/>
      <c r="CH1406" s="1684"/>
      <c r="CI1406" s="1684"/>
      <c r="CJ1406" s="1684"/>
      <c r="CK1406" s="1684"/>
      <c r="CL1406" s="1684"/>
      <c r="CM1406" s="1684"/>
      <c r="CN1406" s="1684"/>
      <c r="CO1406" s="1684"/>
    </row>
    <row r="1407" spans="1:93" s="1391" customFormat="1" ht="15" x14ac:dyDescent="0.2">
      <c r="A1407" s="1684"/>
      <c r="B1407" s="1684"/>
      <c r="C1407" s="2013">
        <v>12</v>
      </c>
      <c r="D1407" s="5">
        <v>6.6379999999999999</v>
      </c>
      <c r="E1407" s="5">
        <v>191</v>
      </c>
      <c r="F1407" s="5">
        <v>211</v>
      </c>
      <c r="G1407" s="5">
        <v>229</v>
      </c>
      <c r="H1407" s="5">
        <v>248</v>
      </c>
      <c r="I1407" s="5">
        <v>266</v>
      </c>
      <c r="J1407" s="5">
        <v>284</v>
      </c>
      <c r="K1407" s="5">
        <v>301</v>
      </c>
      <c r="L1407" s="5">
        <v>320</v>
      </c>
      <c r="M1407" s="5">
        <v>336</v>
      </c>
      <c r="N1407" s="5">
        <v>353</v>
      </c>
      <c r="O1407" s="5">
        <v>370</v>
      </c>
      <c r="P1407" s="5">
        <v>387</v>
      </c>
      <c r="Q1407" s="1160">
        <v>82</v>
      </c>
      <c r="R1407"/>
      <c r="S1407" s="1684"/>
      <c r="T1407" s="1684"/>
      <c r="U1407" s="1684"/>
      <c r="V1407" s="1684"/>
      <c r="W1407" s="1684"/>
      <c r="X1407" s="1684"/>
      <c r="Y1407" s="1684"/>
      <c r="Z1407" s="1684"/>
      <c r="AA1407" s="1684"/>
      <c r="AB1407" s="1684"/>
      <c r="AC1407" s="1684"/>
      <c r="AD1407" s="1684"/>
      <c r="AE1407" s="1684"/>
      <c r="AF1407" s="1684"/>
      <c r="AG1407" s="1684"/>
      <c r="AH1407" s="1684"/>
      <c r="AI1407" s="1684"/>
      <c r="AJ1407" s="1684"/>
      <c r="AK1407" s="1684"/>
      <c r="AL1407" s="1684"/>
      <c r="AM1407" s="1684"/>
      <c r="AN1407" s="1684"/>
      <c r="AO1407" s="1684"/>
      <c r="AP1407" s="1684"/>
      <c r="AQ1407" s="1684"/>
      <c r="AR1407" s="1684"/>
      <c r="AS1407" s="1684"/>
      <c r="AT1407" s="1684"/>
      <c r="AU1407" s="1684"/>
      <c r="AV1407" s="1684"/>
      <c r="AW1407" s="1684"/>
      <c r="AX1407" s="1684"/>
      <c r="AY1407" s="1684"/>
      <c r="AZ1407" s="1684"/>
      <c r="BA1407" s="1684"/>
      <c r="BB1407" s="1684"/>
      <c r="BC1407" s="1684"/>
      <c r="BD1407" s="1684"/>
      <c r="BE1407" s="1684"/>
      <c r="BF1407" s="1684"/>
      <c r="BG1407" s="1684"/>
      <c r="BH1407" s="1684"/>
      <c r="BI1407" s="1684"/>
      <c r="BJ1407" s="1684"/>
      <c r="BK1407" s="1684"/>
      <c r="BL1407" s="1684"/>
      <c r="BM1407" s="1684"/>
      <c r="BN1407" s="1684"/>
      <c r="BO1407" s="1684"/>
      <c r="BP1407" s="1684"/>
      <c r="BQ1407" s="1684"/>
      <c r="BR1407" s="1684"/>
      <c r="BS1407" s="1684"/>
      <c r="BT1407" s="1684"/>
      <c r="BU1407" s="1684"/>
      <c r="BV1407" s="1684"/>
      <c r="BW1407" s="1684"/>
      <c r="BX1407" s="1684"/>
      <c r="BY1407" s="1684"/>
      <c r="BZ1407" s="1684"/>
      <c r="CA1407" s="1684"/>
      <c r="CB1407" s="1684"/>
      <c r="CC1407" s="1684"/>
      <c r="CD1407" s="1684"/>
      <c r="CE1407" s="1684"/>
      <c r="CF1407" s="1684"/>
      <c r="CG1407" s="1684"/>
      <c r="CH1407" s="1684"/>
      <c r="CI1407" s="1684"/>
      <c r="CJ1407" s="1684"/>
      <c r="CK1407" s="1684"/>
      <c r="CL1407" s="1684"/>
      <c r="CM1407" s="1684"/>
      <c r="CN1407" s="1684"/>
      <c r="CO1407" s="1684"/>
    </row>
    <row r="1408" spans="1:93" s="1391" customFormat="1" ht="15" x14ac:dyDescent="0.2">
      <c r="A1408" s="1684"/>
      <c r="B1408" s="1684"/>
      <c r="C1408" s="2013">
        <v>13</v>
      </c>
      <c r="D1408" s="5">
        <v>7.0039999999999996</v>
      </c>
      <c r="E1408" s="5">
        <v>205</v>
      </c>
      <c r="F1408" s="5">
        <v>227</v>
      </c>
      <c r="G1408" s="5">
        <v>246</v>
      </c>
      <c r="H1408" s="5">
        <v>266</v>
      </c>
      <c r="I1408" s="5">
        <v>285</v>
      </c>
      <c r="J1408" s="5">
        <v>305</v>
      </c>
      <c r="K1408" s="5">
        <v>323</v>
      </c>
      <c r="L1408" s="5">
        <v>343</v>
      </c>
      <c r="M1408" s="5">
        <v>361</v>
      </c>
      <c r="N1408" s="5">
        <v>379</v>
      </c>
      <c r="O1408" s="5">
        <v>397</v>
      </c>
      <c r="P1408" s="5">
        <v>415</v>
      </c>
      <c r="Q1408" s="1160">
        <v>83</v>
      </c>
      <c r="R1408"/>
      <c r="S1408" s="1684"/>
      <c r="T1408" s="1684"/>
      <c r="U1408" s="1684"/>
      <c r="V1408" s="1684"/>
      <c r="W1408" s="1684"/>
      <c r="X1408" s="1684"/>
      <c r="Y1408" s="1684"/>
      <c r="Z1408" s="1684"/>
      <c r="AA1408" s="1684"/>
      <c r="AB1408" s="1684"/>
      <c r="AC1408" s="1684"/>
      <c r="AD1408" s="1684"/>
      <c r="AE1408" s="1684"/>
      <c r="AF1408" s="1684"/>
      <c r="AG1408" s="1684"/>
      <c r="AH1408" s="1684"/>
      <c r="AI1408" s="1684"/>
      <c r="AJ1408" s="1684"/>
      <c r="AK1408" s="1684"/>
      <c r="AL1408" s="1684"/>
      <c r="AM1408" s="1684"/>
      <c r="AN1408" s="1684"/>
      <c r="AO1408" s="1684"/>
      <c r="AP1408" s="1684"/>
      <c r="AQ1408" s="1684"/>
      <c r="AR1408" s="1684"/>
      <c r="AS1408" s="1684"/>
      <c r="AT1408" s="1684"/>
      <c r="AU1408" s="1684"/>
      <c r="AV1408" s="1684"/>
      <c r="AW1408" s="1684"/>
      <c r="AX1408" s="1684"/>
      <c r="AY1408" s="1684"/>
      <c r="AZ1408" s="1684"/>
      <c r="BA1408" s="1684"/>
      <c r="BB1408" s="1684"/>
      <c r="BC1408" s="1684"/>
      <c r="BD1408" s="1684"/>
      <c r="BE1408" s="1684"/>
      <c r="BF1408" s="1684"/>
      <c r="BG1408" s="1684"/>
      <c r="BH1408" s="1684"/>
      <c r="BI1408" s="1684"/>
      <c r="BJ1408" s="1684"/>
      <c r="BK1408" s="1684"/>
      <c r="BL1408" s="1684"/>
      <c r="BM1408" s="1684"/>
      <c r="BN1408" s="1684"/>
      <c r="BO1408" s="1684"/>
      <c r="BP1408" s="1684"/>
      <c r="BQ1408" s="1684"/>
      <c r="BR1408" s="1684"/>
      <c r="BS1408" s="1684"/>
      <c r="BT1408" s="1684"/>
      <c r="BU1408" s="1684"/>
      <c r="BV1408" s="1684"/>
      <c r="BW1408" s="1684"/>
      <c r="BX1408" s="1684"/>
      <c r="BY1408" s="1684"/>
      <c r="BZ1408" s="1684"/>
      <c r="CA1408" s="1684"/>
      <c r="CB1408" s="1684"/>
      <c r="CC1408" s="1684"/>
      <c r="CD1408" s="1684"/>
      <c r="CE1408" s="1684"/>
      <c r="CF1408" s="1684"/>
      <c r="CG1408" s="1684"/>
      <c r="CH1408" s="1684"/>
      <c r="CI1408" s="1684"/>
      <c r="CJ1408" s="1684"/>
      <c r="CK1408" s="1684"/>
      <c r="CL1408" s="1684"/>
      <c r="CM1408" s="1684"/>
      <c r="CN1408" s="1684"/>
      <c r="CO1408" s="1684"/>
    </row>
    <row r="1409" spans="1:93" s="1391" customFormat="1" ht="15" x14ac:dyDescent="0.2">
      <c r="A1409" s="1684"/>
      <c r="B1409" s="1684"/>
      <c r="C1409" s="2013">
        <v>14</v>
      </c>
      <c r="D1409" s="5">
        <v>7.3840000000000003</v>
      </c>
      <c r="E1409" s="5">
        <v>220</v>
      </c>
      <c r="F1409" s="5">
        <v>243</v>
      </c>
      <c r="G1409" s="5">
        <v>264</v>
      </c>
      <c r="H1409" s="5">
        <v>285</v>
      </c>
      <c r="I1409" s="5">
        <v>306</v>
      </c>
      <c r="J1409" s="5">
        <v>326</v>
      </c>
      <c r="K1409" s="5">
        <v>346</v>
      </c>
      <c r="L1409" s="5">
        <v>367</v>
      </c>
      <c r="M1409" s="5">
        <v>385</v>
      </c>
      <c r="N1409" s="5">
        <v>405</v>
      </c>
      <c r="O1409" s="5">
        <v>424</v>
      </c>
      <c r="P1409" s="5">
        <v>442</v>
      </c>
      <c r="Q1409" s="1160">
        <v>84</v>
      </c>
      <c r="R1409"/>
      <c r="S1409" s="1684"/>
      <c r="T1409" s="1684"/>
      <c r="U1409" s="1684"/>
      <c r="V1409" s="1684"/>
      <c r="W1409" s="1684"/>
      <c r="X1409" s="1684"/>
      <c r="Y1409" s="1684"/>
      <c r="Z1409" s="1684"/>
      <c r="AA1409" s="1684"/>
      <c r="AB1409" s="1684"/>
      <c r="AC1409" s="1684"/>
      <c r="AD1409" s="1684"/>
      <c r="AE1409" s="1684"/>
      <c r="AF1409" s="1684"/>
      <c r="AG1409" s="1684"/>
      <c r="AH1409" s="1684"/>
      <c r="AI1409" s="1684"/>
      <c r="AJ1409" s="1684"/>
      <c r="AK1409" s="1684"/>
      <c r="AL1409" s="1684"/>
      <c r="AM1409" s="1684"/>
      <c r="AN1409" s="1684"/>
      <c r="AO1409" s="1684"/>
      <c r="AP1409" s="1684"/>
      <c r="AQ1409" s="1684"/>
      <c r="AR1409" s="1684"/>
      <c r="AS1409" s="1684"/>
      <c r="AT1409" s="1684"/>
      <c r="AU1409" s="1684"/>
      <c r="AV1409" s="1684"/>
      <c r="AW1409" s="1684"/>
      <c r="AX1409" s="1684"/>
      <c r="AY1409" s="1684"/>
      <c r="AZ1409" s="1684"/>
      <c r="BA1409" s="1684"/>
      <c r="BB1409" s="1684"/>
      <c r="BC1409" s="1684"/>
      <c r="BD1409" s="1684"/>
      <c r="BE1409" s="1684"/>
      <c r="BF1409" s="1684"/>
      <c r="BG1409" s="1684"/>
      <c r="BH1409" s="1684"/>
      <c r="BI1409" s="1684"/>
      <c r="BJ1409" s="1684"/>
      <c r="BK1409" s="1684"/>
      <c r="BL1409" s="1684"/>
      <c r="BM1409" s="1684"/>
      <c r="BN1409" s="1684"/>
      <c r="BO1409" s="1684"/>
      <c r="BP1409" s="1684"/>
      <c r="BQ1409" s="1684"/>
      <c r="BR1409" s="1684"/>
      <c r="BS1409" s="1684"/>
      <c r="BT1409" s="1684"/>
      <c r="BU1409" s="1684"/>
      <c r="BV1409" s="1684"/>
      <c r="BW1409" s="1684"/>
      <c r="BX1409" s="1684"/>
      <c r="BY1409" s="1684"/>
      <c r="BZ1409" s="1684"/>
      <c r="CA1409" s="1684"/>
      <c r="CB1409" s="1684"/>
      <c r="CC1409" s="1684"/>
      <c r="CD1409" s="1684"/>
      <c r="CE1409" s="1684"/>
      <c r="CF1409" s="1684"/>
      <c r="CG1409" s="1684"/>
      <c r="CH1409" s="1684"/>
      <c r="CI1409" s="1684"/>
      <c r="CJ1409" s="1684"/>
      <c r="CK1409" s="1684"/>
      <c r="CL1409" s="1684"/>
      <c r="CM1409" s="1684"/>
      <c r="CN1409" s="1684"/>
      <c r="CO1409" s="1684"/>
    </row>
    <row r="1410" spans="1:93" s="1391" customFormat="1" ht="15" x14ac:dyDescent="0.2">
      <c r="A1410" s="1684"/>
      <c r="B1410" s="1684"/>
      <c r="C1410" s="2013">
        <v>15</v>
      </c>
      <c r="D1410" s="5">
        <v>7.7709999999999999</v>
      </c>
      <c r="E1410" s="5">
        <v>235</v>
      </c>
      <c r="F1410" s="5">
        <v>259</v>
      </c>
      <c r="G1410" s="5">
        <v>282</v>
      </c>
      <c r="H1410" s="5">
        <v>304</v>
      </c>
      <c r="I1410" s="5">
        <v>326</v>
      </c>
      <c r="J1410" s="5">
        <v>347</v>
      </c>
      <c r="K1410" s="5">
        <v>368</v>
      </c>
      <c r="L1410" s="5">
        <v>390</v>
      </c>
      <c r="M1410" s="5">
        <v>410</v>
      </c>
      <c r="N1410" s="5">
        <v>430</v>
      </c>
      <c r="O1410" s="5">
        <v>450</v>
      </c>
      <c r="P1410" s="5">
        <v>470</v>
      </c>
      <c r="Q1410" s="1160">
        <v>85</v>
      </c>
      <c r="R1410"/>
      <c r="S1410" s="1684"/>
      <c r="T1410" s="1684"/>
      <c r="U1410" s="1684"/>
      <c r="V1410" s="1684"/>
      <c r="W1410" s="1684"/>
      <c r="X1410" s="1684"/>
      <c r="Y1410" s="1684"/>
      <c r="Z1410" s="1684"/>
      <c r="AA1410" s="1684"/>
      <c r="AB1410" s="1684"/>
      <c r="AC1410" s="1684"/>
      <c r="AD1410" s="1684"/>
      <c r="AE1410" s="1684"/>
      <c r="AF1410" s="1684"/>
      <c r="AG1410" s="1684"/>
      <c r="AH1410" s="1684"/>
      <c r="AI1410" s="1684"/>
      <c r="AJ1410" s="1684"/>
      <c r="AK1410" s="1684"/>
      <c r="AL1410" s="1684"/>
      <c r="AM1410" s="1684"/>
      <c r="AN1410" s="1684"/>
      <c r="AO1410" s="1684"/>
      <c r="AP1410" s="1684"/>
      <c r="AQ1410" s="1684"/>
      <c r="AR1410" s="1684"/>
      <c r="AS1410" s="1684"/>
      <c r="AT1410" s="1684"/>
      <c r="AU1410" s="1684"/>
      <c r="AV1410" s="1684"/>
      <c r="AW1410" s="1684"/>
      <c r="AX1410" s="1684"/>
      <c r="AY1410" s="1684"/>
      <c r="AZ1410" s="1684"/>
      <c r="BA1410" s="1684"/>
      <c r="BB1410" s="1684"/>
      <c r="BC1410" s="1684"/>
      <c r="BD1410" s="1684"/>
      <c r="BE1410" s="1684"/>
      <c r="BF1410" s="1684"/>
      <c r="BG1410" s="1684"/>
      <c r="BH1410" s="1684"/>
      <c r="BI1410" s="1684"/>
      <c r="BJ1410" s="1684"/>
      <c r="BK1410" s="1684"/>
      <c r="BL1410" s="1684"/>
      <c r="BM1410" s="1684"/>
      <c r="BN1410" s="1684"/>
      <c r="BO1410" s="1684"/>
      <c r="BP1410" s="1684"/>
      <c r="BQ1410" s="1684"/>
      <c r="BR1410" s="1684"/>
      <c r="BS1410" s="1684"/>
      <c r="BT1410" s="1684"/>
      <c r="BU1410" s="1684"/>
      <c r="BV1410" s="1684"/>
      <c r="BW1410" s="1684"/>
      <c r="BX1410" s="1684"/>
      <c r="BY1410" s="1684"/>
      <c r="BZ1410" s="1684"/>
      <c r="CA1410" s="1684"/>
      <c r="CB1410" s="1684"/>
      <c r="CC1410" s="1684"/>
      <c r="CD1410" s="1684"/>
      <c r="CE1410" s="1684"/>
      <c r="CF1410" s="1684"/>
      <c r="CG1410" s="1684"/>
      <c r="CH1410" s="1684"/>
      <c r="CI1410" s="1684"/>
      <c r="CJ1410" s="1684"/>
      <c r="CK1410" s="1684"/>
      <c r="CL1410" s="1684"/>
      <c r="CM1410" s="1684"/>
      <c r="CN1410" s="1684"/>
      <c r="CO1410" s="1684"/>
    </row>
    <row r="1411" spans="1:93" s="1391" customFormat="1" ht="15" x14ac:dyDescent="0.2">
      <c r="A1411" s="1684"/>
      <c r="B1411" s="1684"/>
      <c r="C1411" s="2013">
        <v>16</v>
      </c>
      <c r="D1411" s="5">
        <v>8.2889999999999997</v>
      </c>
      <c r="E1411" s="5">
        <v>249</v>
      </c>
      <c r="F1411" s="5">
        <v>275</v>
      </c>
      <c r="G1411" s="5">
        <v>298</v>
      </c>
      <c r="H1411" s="5">
        <v>322</v>
      </c>
      <c r="I1411" s="5">
        <v>345</v>
      </c>
      <c r="J1411" s="5">
        <v>367</v>
      </c>
      <c r="K1411" s="5">
        <v>390</v>
      </c>
      <c r="L1411" s="5">
        <v>413</v>
      </c>
      <c r="M1411" s="5">
        <v>433</v>
      </c>
      <c r="N1411" s="5">
        <v>455</v>
      </c>
      <c r="O1411" s="5">
        <v>476</v>
      </c>
      <c r="P1411" s="5">
        <v>496</v>
      </c>
      <c r="Q1411" s="1160">
        <v>86</v>
      </c>
      <c r="R1411"/>
      <c r="S1411" s="1684"/>
      <c r="T1411" s="1684"/>
      <c r="U1411" s="1684"/>
      <c r="V1411" s="1684"/>
      <c r="W1411" s="1684"/>
      <c r="X1411" s="1684"/>
      <c r="Y1411" s="1684"/>
      <c r="Z1411" s="1684"/>
      <c r="AA1411" s="1684"/>
      <c r="AB1411" s="1684"/>
      <c r="AC1411" s="1684"/>
      <c r="AD1411" s="1684"/>
      <c r="AE1411" s="1684"/>
      <c r="AF1411" s="1684"/>
      <c r="AG1411" s="1684"/>
      <c r="AH1411" s="1684"/>
      <c r="AI1411" s="1684"/>
      <c r="AJ1411" s="1684"/>
      <c r="AK1411" s="1684"/>
      <c r="AL1411" s="1684"/>
      <c r="AM1411" s="1684"/>
      <c r="AN1411" s="1684"/>
      <c r="AO1411" s="1684"/>
      <c r="AP1411" s="1684"/>
      <c r="AQ1411" s="1684"/>
      <c r="AR1411" s="1684"/>
      <c r="AS1411" s="1684"/>
      <c r="AT1411" s="1684"/>
      <c r="AU1411" s="1684"/>
      <c r="AV1411" s="1684"/>
      <c r="AW1411" s="1684"/>
      <c r="AX1411" s="1684"/>
      <c r="AY1411" s="1684"/>
      <c r="AZ1411" s="1684"/>
      <c r="BA1411" s="1684"/>
      <c r="BB1411" s="1684"/>
      <c r="BC1411" s="1684"/>
      <c r="BD1411" s="1684"/>
      <c r="BE1411" s="1684"/>
      <c r="BF1411" s="1684"/>
      <c r="BG1411" s="1684"/>
      <c r="BH1411" s="1684"/>
      <c r="BI1411" s="1684"/>
      <c r="BJ1411" s="1684"/>
      <c r="BK1411" s="1684"/>
      <c r="BL1411" s="1684"/>
      <c r="BM1411" s="1684"/>
      <c r="BN1411" s="1684"/>
      <c r="BO1411" s="1684"/>
      <c r="BP1411" s="1684"/>
      <c r="BQ1411" s="1684"/>
      <c r="BR1411" s="1684"/>
      <c r="BS1411" s="1684"/>
      <c r="BT1411" s="1684"/>
      <c r="BU1411" s="1684"/>
      <c r="BV1411" s="1684"/>
      <c r="BW1411" s="1684"/>
      <c r="BX1411" s="1684"/>
      <c r="BY1411" s="1684"/>
      <c r="BZ1411" s="1684"/>
      <c r="CA1411" s="1684"/>
      <c r="CB1411" s="1684"/>
      <c r="CC1411" s="1684"/>
      <c r="CD1411" s="1684"/>
      <c r="CE1411" s="1684"/>
      <c r="CF1411" s="1684"/>
      <c r="CG1411" s="1684"/>
      <c r="CH1411" s="1684"/>
      <c r="CI1411" s="1684"/>
      <c r="CJ1411" s="1684"/>
      <c r="CK1411" s="1684"/>
      <c r="CL1411" s="1684"/>
      <c r="CM1411" s="1684"/>
      <c r="CN1411" s="1684"/>
      <c r="CO1411" s="1684"/>
    </row>
    <row r="1412" spans="1:93" s="1391" customFormat="1" ht="15" x14ac:dyDescent="0.2">
      <c r="A1412" s="1684"/>
      <c r="B1412" s="1684"/>
      <c r="C1412" s="2013">
        <v>17</v>
      </c>
      <c r="D1412" s="5">
        <v>8.8439999999999994</v>
      </c>
      <c r="E1412" s="5">
        <v>262</v>
      </c>
      <c r="F1412" s="5">
        <v>289</v>
      </c>
      <c r="G1412" s="5">
        <v>313</v>
      </c>
      <c r="H1412" s="5">
        <v>338</v>
      </c>
      <c r="I1412" s="5">
        <v>362</v>
      </c>
      <c r="J1412" s="5">
        <v>383</v>
      </c>
      <c r="K1412" s="5">
        <v>409</v>
      </c>
      <c r="L1412" s="5">
        <v>433</v>
      </c>
      <c r="M1412" s="5">
        <v>454</v>
      </c>
      <c r="N1412" s="5">
        <v>476</v>
      </c>
      <c r="O1412" s="5">
        <v>498</v>
      </c>
      <c r="P1412" s="5">
        <v>520</v>
      </c>
      <c r="Q1412" s="1160">
        <v>87</v>
      </c>
      <c r="R1412"/>
      <c r="S1412" s="1684"/>
      <c r="T1412" s="1684"/>
      <c r="U1412" s="1684"/>
      <c r="V1412" s="1684"/>
      <c r="W1412" s="1684"/>
      <c r="X1412" s="1684"/>
      <c r="Y1412" s="1684"/>
      <c r="Z1412" s="1684"/>
      <c r="AA1412" s="1684"/>
      <c r="AB1412" s="1684"/>
      <c r="AC1412" s="1684"/>
      <c r="AD1412" s="1684"/>
      <c r="AE1412" s="1684"/>
      <c r="AF1412" s="1684"/>
      <c r="AG1412" s="1684"/>
      <c r="AH1412" s="1684"/>
      <c r="AI1412" s="1684"/>
      <c r="AJ1412" s="1684"/>
      <c r="AK1412" s="1684"/>
      <c r="AL1412" s="1684"/>
      <c r="AM1412" s="1684"/>
      <c r="AN1412" s="1684"/>
      <c r="AO1412" s="1684"/>
      <c r="AP1412" s="1684"/>
      <c r="AQ1412" s="1684"/>
      <c r="AR1412" s="1684"/>
      <c r="AS1412" s="1684"/>
      <c r="AT1412" s="1684"/>
      <c r="AU1412" s="1684"/>
      <c r="AV1412" s="1684"/>
      <c r="AW1412" s="1684"/>
      <c r="AX1412" s="1684"/>
      <c r="AY1412" s="1684"/>
      <c r="AZ1412" s="1684"/>
      <c r="BA1412" s="1684"/>
      <c r="BB1412" s="1684"/>
      <c r="BC1412" s="1684"/>
      <c r="BD1412" s="1684"/>
      <c r="BE1412" s="1684"/>
      <c r="BF1412" s="1684"/>
      <c r="BG1412" s="1684"/>
      <c r="BH1412" s="1684"/>
      <c r="BI1412" s="1684"/>
      <c r="BJ1412" s="1684"/>
      <c r="BK1412" s="1684"/>
      <c r="BL1412" s="1684"/>
      <c r="BM1412" s="1684"/>
      <c r="BN1412" s="1684"/>
      <c r="BO1412" s="1684"/>
      <c r="BP1412" s="1684"/>
      <c r="BQ1412" s="1684"/>
      <c r="BR1412" s="1684"/>
      <c r="BS1412" s="1684"/>
      <c r="BT1412" s="1684"/>
      <c r="BU1412" s="1684"/>
      <c r="BV1412" s="1684"/>
      <c r="BW1412" s="1684"/>
      <c r="BX1412" s="1684"/>
      <c r="BY1412" s="1684"/>
      <c r="BZ1412" s="1684"/>
      <c r="CA1412" s="1684"/>
      <c r="CB1412" s="1684"/>
      <c r="CC1412" s="1684"/>
      <c r="CD1412" s="1684"/>
      <c r="CE1412" s="1684"/>
      <c r="CF1412" s="1684"/>
      <c r="CG1412" s="1684"/>
      <c r="CH1412" s="1684"/>
      <c r="CI1412" s="1684"/>
      <c r="CJ1412" s="1684"/>
      <c r="CK1412" s="1684"/>
      <c r="CL1412" s="1684"/>
      <c r="CM1412" s="1684"/>
      <c r="CN1412" s="1684"/>
      <c r="CO1412" s="1684"/>
    </row>
    <row r="1413" spans="1:93" s="1391" customFormat="1" ht="15.75" thickBot="1" x14ac:dyDescent="0.25">
      <c r="A1413" s="1684"/>
      <c r="B1413" s="1684"/>
      <c r="C1413" s="2018">
        <v>18</v>
      </c>
      <c r="D1413" s="976">
        <v>9.1609999999999996</v>
      </c>
      <c r="E1413" s="976">
        <v>274</v>
      </c>
      <c r="F1413" s="976">
        <v>301</v>
      </c>
      <c r="G1413" s="976">
        <v>327</v>
      </c>
      <c r="H1413" s="976">
        <v>352</v>
      </c>
      <c r="I1413" s="976">
        <v>377</v>
      </c>
      <c r="J1413" s="976">
        <v>402</v>
      </c>
      <c r="K1413" s="976">
        <v>426</v>
      </c>
      <c r="L1413" s="976">
        <v>451</v>
      </c>
      <c r="M1413" s="976">
        <v>473</v>
      </c>
      <c r="N1413" s="976">
        <v>496</v>
      </c>
      <c r="O1413" s="976">
        <v>518</v>
      </c>
      <c r="P1413" s="976">
        <v>540</v>
      </c>
      <c r="Q1413" s="2019">
        <v>88</v>
      </c>
      <c r="R1413"/>
      <c r="S1413" s="1684"/>
      <c r="T1413" s="1684"/>
      <c r="U1413" s="1684"/>
      <c r="V1413" s="1684"/>
      <c r="W1413" s="1684"/>
      <c r="X1413" s="1684"/>
      <c r="Y1413" s="1684"/>
      <c r="Z1413" s="1684"/>
      <c r="AA1413" s="1684"/>
      <c r="AB1413" s="1684"/>
      <c r="AC1413" s="1684"/>
      <c r="AD1413" s="1684"/>
      <c r="AE1413" s="1684"/>
      <c r="AF1413" s="1684"/>
      <c r="AG1413" s="1684"/>
      <c r="AH1413" s="1684"/>
      <c r="AI1413" s="1684"/>
      <c r="AJ1413" s="1684"/>
      <c r="AK1413" s="1684"/>
      <c r="AL1413" s="1684"/>
      <c r="AM1413" s="1684"/>
      <c r="AN1413" s="1684"/>
      <c r="AO1413" s="1684"/>
      <c r="AP1413" s="1684"/>
      <c r="AQ1413" s="1684"/>
      <c r="AR1413" s="1684"/>
      <c r="AS1413" s="1684"/>
      <c r="AT1413" s="1684"/>
      <c r="AU1413" s="1684"/>
      <c r="AV1413" s="1684"/>
      <c r="AW1413" s="1684"/>
      <c r="AX1413" s="1684"/>
      <c r="AY1413" s="1684"/>
      <c r="AZ1413" s="1684"/>
      <c r="BA1413" s="1684"/>
      <c r="BB1413" s="1684"/>
      <c r="BC1413" s="1684"/>
      <c r="BD1413" s="1684"/>
      <c r="BE1413" s="1684"/>
      <c r="BF1413" s="1684"/>
      <c r="BG1413" s="1684"/>
      <c r="BH1413" s="1684"/>
      <c r="BI1413" s="1684"/>
      <c r="BJ1413" s="1684"/>
      <c r="BK1413" s="1684"/>
      <c r="BL1413" s="1684"/>
      <c r="BM1413" s="1684"/>
      <c r="BN1413" s="1684"/>
      <c r="BO1413" s="1684"/>
      <c r="BP1413" s="1684"/>
      <c r="BQ1413" s="1684"/>
      <c r="BR1413" s="1684"/>
      <c r="BS1413" s="1684"/>
      <c r="BT1413" s="1684"/>
      <c r="BU1413" s="1684"/>
      <c r="BV1413" s="1684"/>
      <c r="BW1413" s="1684"/>
      <c r="BX1413" s="1684"/>
      <c r="BY1413" s="1684"/>
      <c r="BZ1413" s="1684"/>
      <c r="CA1413" s="1684"/>
      <c r="CB1413" s="1684"/>
      <c r="CC1413" s="1684"/>
      <c r="CD1413" s="1684"/>
      <c r="CE1413" s="1684"/>
      <c r="CF1413" s="1684"/>
      <c r="CG1413" s="1684"/>
      <c r="CH1413" s="1684"/>
      <c r="CI1413" s="1684"/>
      <c r="CJ1413" s="1684"/>
      <c r="CK1413" s="1684"/>
      <c r="CL1413" s="1684"/>
      <c r="CM1413" s="1684"/>
      <c r="CN1413" s="1684"/>
      <c r="CO1413" s="1684"/>
    </row>
    <row r="1414" spans="1:93" s="1391" customFormat="1" ht="15.75" thickBot="1" x14ac:dyDescent="0.25">
      <c r="A1414" s="1684"/>
      <c r="B1414" s="1684"/>
      <c r="C1414" s="248"/>
      <c r="D1414" s="249" t="s">
        <v>3594</v>
      </c>
      <c r="E1414" s="249"/>
      <c r="F1414" s="249"/>
      <c r="G1414" s="249"/>
      <c r="H1414" s="249"/>
      <c r="I1414" s="249"/>
      <c r="J1414" s="249"/>
      <c r="K1414" s="249"/>
      <c r="L1414" s="249"/>
      <c r="M1414" s="249"/>
      <c r="N1414" s="249"/>
      <c r="O1414" s="249"/>
      <c r="P1414" s="249"/>
      <c r="Q1414" s="250"/>
      <c r="R1414"/>
      <c r="S1414" s="1684"/>
      <c r="T1414" s="1684"/>
      <c r="U1414" s="1684"/>
      <c r="V1414" s="1684"/>
      <c r="W1414" s="1684"/>
      <c r="X1414" s="1684"/>
      <c r="Y1414" s="1684"/>
      <c r="Z1414" s="1684"/>
      <c r="AA1414" s="1684"/>
      <c r="AB1414" s="1684"/>
      <c r="AC1414" s="1684"/>
      <c r="AD1414" s="1684"/>
      <c r="AE1414" s="1684"/>
      <c r="AF1414" s="1684"/>
      <c r="AG1414" s="1684"/>
      <c r="AH1414" s="1684"/>
      <c r="AI1414" s="1684"/>
      <c r="AJ1414" s="1684"/>
      <c r="AK1414" s="1684"/>
      <c r="AL1414" s="1684"/>
      <c r="AM1414" s="1684"/>
      <c r="AN1414" s="1684"/>
      <c r="AO1414" s="1684"/>
      <c r="AP1414" s="1684"/>
      <c r="AQ1414" s="1684"/>
      <c r="AR1414" s="1684"/>
      <c r="AS1414" s="1684"/>
      <c r="AT1414" s="1684"/>
      <c r="AU1414" s="1684"/>
      <c r="AV1414" s="1684"/>
      <c r="AW1414" s="1684"/>
      <c r="AX1414" s="1684"/>
      <c r="AY1414" s="1684"/>
      <c r="AZ1414" s="1684"/>
      <c r="BA1414" s="1684"/>
      <c r="BB1414" s="1684"/>
      <c r="BC1414" s="1684"/>
      <c r="BD1414" s="1684"/>
      <c r="BE1414" s="1684"/>
      <c r="BF1414" s="1684"/>
      <c r="BG1414" s="1684"/>
      <c r="BH1414" s="1684"/>
      <c r="BI1414" s="1684"/>
      <c r="BJ1414" s="1684"/>
      <c r="BK1414" s="1684"/>
      <c r="BL1414" s="1684"/>
      <c r="BM1414" s="1684"/>
      <c r="BN1414" s="1684"/>
      <c r="BO1414" s="1684"/>
      <c r="BP1414" s="1684"/>
      <c r="BQ1414" s="1684"/>
      <c r="BR1414" s="1684"/>
      <c r="BS1414" s="1684"/>
      <c r="BT1414" s="1684"/>
      <c r="BU1414" s="1684"/>
      <c r="BV1414" s="1684"/>
      <c r="BW1414" s="1684"/>
      <c r="BX1414" s="1684"/>
      <c r="BY1414" s="1684"/>
      <c r="BZ1414" s="1684"/>
      <c r="CA1414" s="1684"/>
      <c r="CB1414" s="1684"/>
      <c r="CC1414" s="1684"/>
      <c r="CD1414" s="1684"/>
      <c r="CE1414" s="1684"/>
      <c r="CF1414" s="1684"/>
      <c r="CG1414" s="1684"/>
      <c r="CH1414" s="1684"/>
      <c r="CI1414" s="1684"/>
      <c r="CJ1414" s="1684"/>
      <c r="CK1414" s="1684"/>
      <c r="CL1414" s="1684"/>
      <c r="CM1414" s="1684"/>
      <c r="CN1414" s="1684"/>
      <c r="CO1414" s="1684"/>
    </row>
    <row r="1415" spans="1:93" s="1391" customFormat="1" ht="15" x14ac:dyDescent="0.2">
      <c r="A1415" s="1684"/>
      <c r="B1415" s="1684"/>
      <c r="C1415" s="4683" t="s">
        <v>4097</v>
      </c>
      <c r="D1415" s="4684"/>
      <c r="E1415" s="4684"/>
      <c r="F1415" s="4684"/>
      <c r="G1415" s="4684"/>
      <c r="H1415" s="4684"/>
      <c r="I1415" s="4684"/>
      <c r="J1415" s="4684"/>
      <c r="K1415" s="4684"/>
      <c r="L1415" s="4684"/>
      <c r="M1415" s="4684"/>
      <c r="N1415" s="4684"/>
      <c r="O1415" s="4684"/>
      <c r="P1415" s="4684"/>
      <c r="Q1415" s="4685"/>
      <c r="R1415"/>
      <c r="S1415" s="1684"/>
      <c r="T1415" s="1684"/>
      <c r="U1415" s="1684"/>
      <c r="V1415" s="1684"/>
      <c r="W1415" s="1684"/>
      <c r="X1415" s="1684"/>
      <c r="Y1415" s="1684"/>
      <c r="Z1415" s="1684"/>
      <c r="AA1415" s="1684"/>
      <c r="AB1415" s="1684"/>
      <c r="AC1415" s="1684"/>
      <c r="AD1415" s="1684"/>
      <c r="AE1415" s="1684"/>
      <c r="AF1415" s="1684"/>
      <c r="AG1415" s="1684"/>
      <c r="AH1415" s="1684"/>
      <c r="AI1415" s="1684"/>
      <c r="AJ1415" s="1684"/>
      <c r="AK1415" s="1684"/>
      <c r="AL1415" s="1684"/>
      <c r="AM1415" s="1684"/>
      <c r="AN1415" s="1684"/>
      <c r="AO1415" s="1684"/>
      <c r="AP1415" s="1684"/>
      <c r="AQ1415" s="1684"/>
      <c r="AR1415" s="1684"/>
      <c r="AS1415" s="1684"/>
      <c r="AT1415" s="1684"/>
      <c r="AU1415" s="1684"/>
      <c r="AV1415" s="1684"/>
      <c r="AW1415" s="1684"/>
      <c r="AX1415" s="1684"/>
      <c r="AY1415" s="1684"/>
      <c r="AZ1415" s="1684"/>
      <c r="BA1415" s="1684"/>
      <c r="BB1415" s="1684"/>
      <c r="BC1415" s="1684"/>
      <c r="BD1415" s="1684"/>
      <c r="BE1415" s="1684"/>
      <c r="BF1415" s="1684"/>
      <c r="BG1415" s="1684"/>
      <c r="BH1415" s="1684"/>
      <c r="BI1415" s="1684"/>
      <c r="BJ1415" s="1684"/>
      <c r="BK1415" s="1684"/>
      <c r="BL1415" s="1684"/>
      <c r="BM1415" s="1684"/>
      <c r="BN1415" s="1684"/>
      <c r="BO1415" s="1684"/>
      <c r="BP1415" s="1684"/>
      <c r="BQ1415" s="1684"/>
      <c r="BR1415" s="1684"/>
      <c r="BS1415" s="1684"/>
      <c r="BT1415" s="1684"/>
      <c r="BU1415" s="1684"/>
      <c r="BV1415" s="1684"/>
      <c r="BW1415" s="1684"/>
      <c r="BX1415" s="1684"/>
      <c r="BY1415" s="1684"/>
      <c r="BZ1415" s="1684"/>
      <c r="CA1415" s="1684"/>
      <c r="CB1415" s="1684"/>
      <c r="CC1415" s="1684"/>
      <c r="CD1415" s="1684"/>
      <c r="CE1415" s="1684"/>
      <c r="CF1415" s="1684"/>
      <c r="CG1415" s="1684"/>
      <c r="CH1415" s="1684"/>
      <c r="CI1415" s="1684"/>
      <c r="CJ1415" s="1684"/>
      <c r="CK1415" s="1684"/>
      <c r="CL1415" s="1684"/>
      <c r="CM1415" s="1684"/>
      <c r="CN1415" s="1684"/>
      <c r="CO1415" s="1684"/>
    </row>
    <row r="1416" spans="1:93" s="1391" customFormat="1" ht="15" x14ac:dyDescent="0.2">
      <c r="A1416" s="1684"/>
      <c r="B1416" s="1684"/>
      <c r="C1416" s="4686"/>
      <c r="D1416" s="4385"/>
      <c r="E1416" s="4385"/>
      <c r="F1416" s="4385"/>
      <c r="G1416" s="4385"/>
      <c r="H1416" s="4385"/>
      <c r="I1416" s="4385"/>
      <c r="J1416" s="4385"/>
      <c r="K1416" s="4385"/>
      <c r="L1416" s="4385"/>
      <c r="M1416" s="4385"/>
      <c r="N1416" s="4385"/>
      <c r="O1416" s="4385"/>
      <c r="P1416" s="4385"/>
      <c r="Q1416" s="4687"/>
      <c r="R1416"/>
      <c r="S1416" s="1684"/>
      <c r="T1416" s="1684"/>
      <c r="U1416" s="1684"/>
      <c r="V1416" s="1684"/>
      <c r="W1416" s="1684"/>
      <c r="X1416" s="1684"/>
      <c r="Y1416" s="1684"/>
      <c r="Z1416" s="1684"/>
      <c r="AA1416" s="1684"/>
      <c r="AB1416" s="1684"/>
      <c r="AC1416" s="1684"/>
      <c r="AD1416" s="1684"/>
      <c r="AE1416" s="1684"/>
      <c r="AF1416" s="1684"/>
      <c r="AG1416" s="1684"/>
      <c r="AH1416" s="1684"/>
      <c r="AI1416" s="1684"/>
      <c r="AJ1416" s="1684"/>
      <c r="AK1416" s="1684"/>
      <c r="AL1416" s="1684"/>
      <c r="AM1416" s="1684"/>
      <c r="AN1416" s="1684"/>
      <c r="AO1416" s="1684"/>
      <c r="AP1416" s="1684"/>
      <c r="AQ1416" s="1684"/>
      <c r="AR1416" s="1684"/>
      <c r="AS1416" s="1684"/>
      <c r="AT1416" s="1684"/>
      <c r="AU1416" s="1684"/>
      <c r="AV1416" s="1684"/>
      <c r="AW1416" s="1684"/>
      <c r="AX1416" s="1684"/>
      <c r="AY1416" s="1684"/>
      <c r="AZ1416" s="1684"/>
      <c r="BA1416" s="1684"/>
      <c r="BB1416" s="1684"/>
      <c r="BC1416" s="1684"/>
      <c r="BD1416" s="1684"/>
      <c r="BE1416" s="1684"/>
      <c r="BF1416" s="1684"/>
      <c r="BG1416" s="1684"/>
      <c r="BH1416" s="1684"/>
      <c r="BI1416" s="1684"/>
      <c r="BJ1416" s="1684"/>
      <c r="BK1416" s="1684"/>
      <c r="BL1416" s="1684"/>
      <c r="BM1416" s="1684"/>
      <c r="BN1416" s="1684"/>
      <c r="BO1416" s="1684"/>
      <c r="BP1416" s="1684"/>
      <c r="BQ1416" s="1684"/>
      <c r="BR1416" s="1684"/>
      <c r="BS1416" s="1684"/>
      <c r="BT1416" s="1684"/>
      <c r="BU1416" s="1684"/>
      <c r="BV1416" s="1684"/>
      <c r="BW1416" s="1684"/>
      <c r="BX1416" s="1684"/>
      <c r="BY1416" s="1684"/>
      <c r="BZ1416" s="1684"/>
      <c r="CA1416" s="1684"/>
      <c r="CB1416" s="1684"/>
      <c r="CC1416" s="1684"/>
      <c r="CD1416" s="1684"/>
      <c r="CE1416" s="1684"/>
      <c r="CF1416" s="1684"/>
      <c r="CG1416" s="1684"/>
      <c r="CH1416" s="1684"/>
      <c r="CI1416" s="1684"/>
      <c r="CJ1416" s="1684"/>
      <c r="CK1416" s="1684"/>
      <c r="CL1416" s="1684"/>
      <c r="CM1416" s="1684"/>
      <c r="CN1416" s="1684"/>
      <c r="CO1416" s="1684"/>
    </row>
    <row r="1417" spans="1:93" s="1391" customFormat="1" ht="15.75" thickBot="1" x14ac:dyDescent="0.25">
      <c r="A1417" s="1684"/>
      <c r="B1417" s="1684"/>
      <c r="C1417" s="4688"/>
      <c r="D1417" s="4689"/>
      <c r="E1417" s="4689"/>
      <c r="F1417" s="4689"/>
      <c r="G1417" s="4689"/>
      <c r="H1417" s="4689"/>
      <c r="I1417" s="4689"/>
      <c r="J1417" s="4689"/>
      <c r="K1417" s="4689"/>
      <c r="L1417" s="4689"/>
      <c r="M1417" s="4689"/>
      <c r="N1417" s="4689"/>
      <c r="O1417" s="4689"/>
      <c r="P1417" s="4689"/>
      <c r="Q1417" s="4690"/>
      <c r="R1417"/>
      <c r="S1417" s="1684"/>
      <c r="T1417" s="1684"/>
      <c r="U1417" s="1684"/>
      <c r="V1417" s="1684"/>
      <c r="W1417" s="1684"/>
      <c r="X1417" s="1684"/>
      <c r="Y1417" s="1684"/>
      <c r="Z1417" s="1684"/>
      <c r="AA1417" s="1684"/>
      <c r="AB1417" s="1684"/>
      <c r="AC1417" s="1684"/>
      <c r="AD1417" s="1684"/>
      <c r="AE1417" s="1684"/>
      <c r="AF1417" s="1684"/>
      <c r="AG1417" s="1684"/>
      <c r="AH1417" s="1684"/>
      <c r="AI1417" s="1684"/>
      <c r="AJ1417" s="1684"/>
      <c r="AK1417" s="1684"/>
      <c r="AL1417" s="1684"/>
      <c r="AM1417" s="1684"/>
      <c r="AN1417" s="1684"/>
      <c r="AO1417" s="1684"/>
      <c r="AP1417" s="1684"/>
      <c r="AQ1417" s="1684"/>
      <c r="AR1417" s="1684"/>
      <c r="AS1417" s="1684"/>
      <c r="AT1417" s="1684"/>
      <c r="AU1417" s="1684"/>
      <c r="AV1417" s="1684"/>
      <c r="AW1417" s="1684"/>
      <c r="AX1417" s="1684"/>
      <c r="AY1417" s="1684"/>
      <c r="AZ1417" s="1684"/>
      <c r="BA1417" s="1684"/>
      <c r="BB1417" s="1684"/>
      <c r="BC1417" s="1684"/>
      <c r="BD1417" s="1684"/>
      <c r="BE1417" s="1684"/>
      <c r="BF1417" s="1684"/>
      <c r="BG1417" s="1684"/>
      <c r="BH1417" s="1684"/>
      <c r="BI1417" s="1684"/>
      <c r="BJ1417" s="1684"/>
      <c r="BK1417" s="1684"/>
      <c r="BL1417" s="1684"/>
      <c r="BM1417" s="1684"/>
      <c r="BN1417" s="1684"/>
      <c r="BO1417" s="1684"/>
      <c r="BP1417" s="1684"/>
      <c r="BQ1417" s="1684"/>
      <c r="BR1417" s="1684"/>
      <c r="BS1417" s="1684"/>
      <c r="BT1417" s="1684"/>
      <c r="BU1417" s="1684"/>
      <c r="BV1417" s="1684"/>
      <c r="BW1417" s="1684"/>
      <c r="BX1417" s="1684"/>
      <c r="BY1417" s="1684"/>
      <c r="BZ1417" s="1684"/>
      <c r="CA1417" s="1684"/>
      <c r="CB1417" s="1684"/>
      <c r="CC1417" s="1684"/>
      <c r="CD1417" s="1684"/>
      <c r="CE1417" s="1684"/>
      <c r="CF1417" s="1684"/>
      <c r="CG1417" s="1684"/>
      <c r="CH1417" s="1684"/>
      <c r="CI1417" s="1684"/>
      <c r="CJ1417" s="1684"/>
      <c r="CK1417" s="1684"/>
      <c r="CL1417" s="1684"/>
      <c r="CM1417" s="1684"/>
      <c r="CN1417" s="1684"/>
      <c r="CO1417" s="1684"/>
    </row>
    <row r="1418" spans="1:93" s="1391" customFormat="1" ht="15" x14ac:dyDescent="0.2">
      <c r="A1418" s="1684"/>
      <c r="B1418" s="1684"/>
      <c r="C1418" s="2012"/>
      <c r="D1418" s="7"/>
      <c r="E1418" s="7"/>
      <c r="F1418" s="7"/>
      <c r="G1418" s="7"/>
      <c r="H1418" s="7"/>
      <c r="I1418" s="7"/>
      <c r="J1418" s="7"/>
      <c r="K1418" s="7"/>
      <c r="L1418" s="7"/>
      <c r="M1418" s="7"/>
      <c r="N1418" s="7"/>
      <c r="O1418" s="7"/>
      <c r="P1418" s="7"/>
      <c r="Q1418" s="251"/>
      <c r="R1418"/>
      <c r="S1418" s="1684"/>
      <c r="T1418" s="1684"/>
      <c r="U1418" s="1684"/>
      <c r="V1418" s="1684"/>
      <c r="W1418" s="1684"/>
      <c r="X1418" s="1684"/>
      <c r="Y1418" s="1684"/>
      <c r="Z1418" s="1684"/>
      <c r="AA1418" s="1684"/>
      <c r="AB1418" s="1684"/>
      <c r="AC1418" s="1684"/>
      <c r="AD1418" s="1684"/>
      <c r="AE1418" s="1684"/>
      <c r="AF1418" s="1684"/>
      <c r="AG1418" s="1684"/>
      <c r="AH1418" s="1684"/>
      <c r="AI1418" s="1684"/>
      <c r="AJ1418" s="1684"/>
      <c r="AK1418" s="1684"/>
      <c r="AL1418" s="1684"/>
      <c r="AM1418" s="1684"/>
      <c r="AN1418" s="1684"/>
      <c r="AO1418" s="1684"/>
      <c r="AP1418" s="1684"/>
      <c r="AQ1418" s="1684"/>
      <c r="AR1418" s="1684"/>
      <c r="AS1418" s="1684"/>
      <c r="AT1418" s="1684"/>
      <c r="AU1418" s="1684"/>
      <c r="AV1418" s="1684"/>
      <c r="AW1418" s="1684"/>
      <c r="AX1418" s="1684"/>
      <c r="AY1418" s="1684"/>
      <c r="AZ1418" s="1684"/>
      <c r="BA1418" s="1684"/>
      <c r="BB1418" s="1684"/>
      <c r="BC1418" s="1684"/>
      <c r="BD1418" s="1684"/>
      <c r="BE1418" s="1684"/>
      <c r="BF1418" s="1684"/>
      <c r="BG1418" s="1684"/>
      <c r="BH1418" s="1684"/>
      <c r="BI1418" s="1684"/>
      <c r="BJ1418" s="1684"/>
      <c r="BK1418" s="1684"/>
      <c r="BL1418" s="1684"/>
      <c r="BM1418" s="1684"/>
      <c r="BN1418" s="1684"/>
      <c r="BO1418" s="1684"/>
      <c r="BP1418" s="1684"/>
      <c r="BQ1418" s="1684"/>
      <c r="BR1418" s="1684"/>
      <c r="BS1418" s="1684"/>
      <c r="BT1418" s="1684"/>
      <c r="BU1418" s="1684"/>
      <c r="BV1418" s="1684"/>
      <c r="BW1418" s="1684"/>
      <c r="BX1418" s="1684"/>
      <c r="BY1418" s="1684"/>
      <c r="BZ1418" s="1684"/>
      <c r="CA1418" s="1684"/>
      <c r="CB1418" s="1684"/>
      <c r="CC1418" s="1684"/>
      <c r="CD1418" s="1684"/>
      <c r="CE1418" s="1684"/>
      <c r="CF1418" s="1684"/>
      <c r="CG1418" s="1684"/>
      <c r="CH1418" s="1684"/>
      <c r="CI1418" s="1684"/>
      <c r="CJ1418" s="1684"/>
      <c r="CK1418" s="1684"/>
      <c r="CL1418" s="1684"/>
      <c r="CM1418" s="1684"/>
      <c r="CN1418" s="1684"/>
      <c r="CO1418" s="1684"/>
    </row>
    <row r="1419" spans="1:93" s="1391" customFormat="1" ht="15" x14ac:dyDescent="0.2">
      <c r="A1419" s="1684"/>
      <c r="B1419" s="1684"/>
      <c r="C1419" s="4691" t="s">
        <v>1964</v>
      </c>
      <c r="D1419" s="4692" t="s">
        <v>1965</v>
      </c>
      <c r="E1419" s="4693" t="s">
        <v>5602</v>
      </c>
      <c r="F1419" s="4693"/>
      <c r="G1419" s="4693"/>
      <c r="H1419" s="4693"/>
      <c r="I1419" s="4693"/>
      <c r="J1419" s="4693"/>
      <c r="K1419" s="4693"/>
      <c r="L1419" s="4693"/>
      <c r="M1419" s="4693"/>
      <c r="N1419" s="4693"/>
      <c r="O1419" s="4693"/>
      <c r="P1419" s="4693"/>
      <c r="Q1419" s="4682" t="s">
        <v>2490</v>
      </c>
      <c r="R1419"/>
      <c r="S1419" s="1684"/>
      <c r="T1419" s="1684"/>
      <c r="U1419" s="1684"/>
      <c r="V1419" s="1684"/>
      <c r="W1419" s="1684"/>
      <c r="X1419" s="1684"/>
      <c r="Y1419" s="1684"/>
      <c r="Z1419" s="1684"/>
      <c r="AA1419" s="1684"/>
      <c r="AB1419" s="1684"/>
      <c r="AC1419" s="1684"/>
      <c r="AD1419" s="1684"/>
      <c r="AE1419" s="1684"/>
      <c r="AF1419" s="1684"/>
      <c r="AG1419" s="1684"/>
      <c r="AH1419" s="1684"/>
      <c r="AI1419" s="1684"/>
      <c r="AJ1419" s="1684"/>
      <c r="AK1419" s="1684"/>
      <c r="AL1419" s="1684"/>
      <c r="AM1419" s="1684"/>
      <c r="AN1419" s="1684"/>
      <c r="AO1419" s="1684"/>
      <c r="AP1419" s="1684"/>
      <c r="AQ1419" s="1684"/>
      <c r="AR1419" s="1684"/>
      <c r="AS1419" s="1684"/>
      <c r="AT1419" s="1684"/>
      <c r="AU1419" s="1684"/>
      <c r="AV1419" s="1684"/>
      <c r="AW1419" s="1684"/>
      <c r="AX1419" s="1684"/>
      <c r="AY1419" s="1684"/>
      <c r="AZ1419" s="1684"/>
      <c r="BA1419" s="1684"/>
      <c r="BB1419" s="1684"/>
      <c r="BC1419" s="1684"/>
      <c r="BD1419" s="1684"/>
      <c r="BE1419" s="1684"/>
      <c r="BF1419" s="1684"/>
      <c r="BG1419" s="1684"/>
      <c r="BH1419" s="1684"/>
      <c r="BI1419" s="1684"/>
      <c r="BJ1419" s="1684"/>
      <c r="BK1419" s="1684"/>
      <c r="BL1419" s="1684"/>
      <c r="BM1419" s="1684"/>
      <c r="BN1419" s="1684"/>
      <c r="BO1419" s="1684"/>
      <c r="BP1419" s="1684"/>
      <c r="BQ1419" s="1684"/>
      <c r="BR1419" s="1684"/>
      <c r="BS1419" s="1684"/>
      <c r="BT1419" s="1684"/>
      <c r="BU1419" s="1684"/>
      <c r="BV1419" s="1684"/>
      <c r="BW1419" s="1684"/>
      <c r="BX1419" s="1684"/>
      <c r="BY1419" s="1684"/>
      <c r="BZ1419" s="1684"/>
      <c r="CA1419" s="1684"/>
      <c r="CB1419" s="1684"/>
      <c r="CC1419" s="1684"/>
      <c r="CD1419" s="1684"/>
      <c r="CE1419" s="1684"/>
      <c r="CF1419" s="1684"/>
      <c r="CG1419" s="1684"/>
      <c r="CH1419" s="1684"/>
      <c r="CI1419" s="1684"/>
      <c r="CJ1419" s="1684"/>
      <c r="CK1419" s="1684"/>
      <c r="CL1419" s="1684"/>
      <c r="CM1419" s="1684"/>
      <c r="CN1419" s="1684"/>
      <c r="CO1419" s="1684"/>
    </row>
    <row r="1420" spans="1:93" s="1391" customFormat="1" ht="31.5" x14ac:dyDescent="0.2">
      <c r="A1420" s="1684"/>
      <c r="B1420" s="1684"/>
      <c r="C1420" s="4691"/>
      <c r="D1420" s="4692"/>
      <c r="E1420" s="2017" t="s">
        <v>1966</v>
      </c>
      <c r="F1420" s="2017" t="s">
        <v>3014</v>
      </c>
      <c r="G1420" s="2017" t="s">
        <v>1967</v>
      </c>
      <c r="H1420" s="2017" t="s">
        <v>1968</v>
      </c>
      <c r="I1420" s="2017" t="s">
        <v>1969</v>
      </c>
      <c r="J1420" s="2017" t="s">
        <v>1970</v>
      </c>
      <c r="K1420" s="2017" t="s">
        <v>1971</v>
      </c>
      <c r="L1420" s="2017" t="s">
        <v>1972</v>
      </c>
      <c r="M1420" s="2017" t="s">
        <v>1973</v>
      </c>
      <c r="N1420" s="2017" t="s">
        <v>1974</v>
      </c>
      <c r="O1420" s="2017" t="s">
        <v>1975</v>
      </c>
      <c r="P1420" s="2017" t="s">
        <v>3020</v>
      </c>
      <c r="Q1420" s="4682"/>
      <c r="R1420"/>
      <c r="S1420" s="1684"/>
      <c r="T1420" s="1684"/>
      <c r="U1420" s="1684"/>
      <c r="V1420" s="1684"/>
      <c r="W1420" s="1684"/>
      <c r="X1420" s="1684"/>
      <c r="Y1420" s="1684"/>
      <c r="Z1420" s="1684"/>
      <c r="AA1420" s="1684"/>
      <c r="AB1420" s="1684"/>
      <c r="AC1420" s="1684"/>
      <c r="AD1420" s="1684"/>
      <c r="AE1420" s="1684"/>
      <c r="AF1420" s="1684"/>
      <c r="AG1420" s="1684"/>
      <c r="AH1420" s="1684"/>
      <c r="AI1420" s="1684"/>
      <c r="AJ1420" s="1684"/>
      <c r="AK1420" s="1684"/>
      <c r="AL1420" s="1684"/>
      <c r="AM1420" s="1684"/>
      <c r="AN1420" s="1684"/>
      <c r="AO1420" s="1684"/>
      <c r="AP1420" s="1684"/>
      <c r="AQ1420" s="1684"/>
      <c r="AR1420" s="1684"/>
      <c r="AS1420" s="1684"/>
      <c r="AT1420" s="1684"/>
      <c r="AU1420" s="1684"/>
      <c r="AV1420" s="1684"/>
      <c r="AW1420" s="1684"/>
      <c r="AX1420" s="1684"/>
      <c r="AY1420" s="1684"/>
      <c r="AZ1420" s="1684"/>
      <c r="BA1420" s="1684"/>
      <c r="BB1420" s="1684"/>
      <c r="BC1420" s="1684"/>
      <c r="BD1420" s="1684"/>
      <c r="BE1420" s="1684"/>
      <c r="BF1420" s="1684"/>
      <c r="BG1420" s="1684"/>
      <c r="BH1420" s="1684"/>
      <c r="BI1420" s="1684"/>
      <c r="BJ1420" s="1684"/>
      <c r="BK1420" s="1684"/>
      <c r="BL1420" s="1684"/>
      <c r="BM1420" s="1684"/>
      <c r="BN1420" s="1684"/>
      <c r="BO1420" s="1684"/>
      <c r="BP1420" s="1684"/>
      <c r="BQ1420" s="1684"/>
      <c r="BR1420" s="1684"/>
      <c r="BS1420" s="1684"/>
      <c r="BT1420" s="1684"/>
      <c r="BU1420" s="1684"/>
      <c r="BV1420" s="1684"/>
      <c r="BW1420" s="1684"/>
      <c r="BX1420" s="1684"/>
      <c r="BY1420" s="1684"/>
      <c r="BZ1420" s="1684"/>
      <c r="CA1420" s="1684"/>
      <c r="CB1420" s="1684"/>
      <c r="CC1420" s="1684"/>
      <c r="CD1420" s="1684"/>
      <c r="CE1420" s="1684"/>
      <c r="CF1420" s="1684"/>
      <c r="CG1420" s="1684"/>
      <c r="CH1420" s="1684"/>
      <c r="CI1420" s="1684"/>
      <c r="CJ1420" s="1684"/>
      <c r="CK1420" s="1684"/>
      <c r="CL1420" s="1684"/>
      <c r="CM1420" s="1684"/>
      <c r="CN1420" s="1684"/>
      <c r="CO1420" s="1684"/>
    </row>
    <row r="1421" spans="1:93" s="1391" customFormat="1" ht="15" x14ac:dyDescent="0.2">
      <c r="A1421" s="1684"/>
      <c r="B1421" s="1684"/>
      <c r="C1421" s="4691"/>
      <c r="D1421" s="4692"/>
      <c r="E1421" s="4693" t="s">
        <v>1781</v>
      </c>
      <c r="F1421" s="4693"/>
      <c r="G1421" s="4693"/>
      <c r="H1421" s="4693"/>
      <c r="I1421" s="4693"/>
      <c r="J1421" s="4693"/>
      <c r="K1421" s="4693"/>
      <c r="L1421" s="4693"/>
      <c r="M1421" s="4693"/>
      <c r="N1421" s="4693"/>
      <c r="O1421" s="4693"/>
      <c r="P1421" s="4693"/>
      <c r="Q1421" s="4682"/>
      <c r="R1421"/>
      <c r="S1421" s="1684"/>
      <c r="T1421" s="1684"/>
      <c r="U1421" s="1684"/>
      <c r="V1421" s="1684"/>
      <c r="W1421" s="1684"/>
      <c r="X1421" s="1684"/>
      <c r="Y1421" s="1684"/>
      <c r="Z1421" s="1684"/>
      <c r="AA1421" s="1684"/>
      <c r="AB1421" s="1684"/>
      <c r="AC1421" s="1684"/>
      <c r="AD1421" s="1684"/>
      <c r="AE1421" s="1684"/>
      <c r="AF1421" s="1684"/>
      <c r="AG1421" s="1684"/>
      <c r="AH1421" s="1684"/>
      <c r="AI1421" s="1684"/>
      <c r="AJ1421" s="1684"/>
      <c r="AK1421" s="1684"/>
      <c r="AL1421" s="1684"/>
      <c r="AM1421" s="1684"/>
      <c r="AN1421" s="1684"/>
      <c r="AO1421" s="1684"/>
      <c r="AP1421" s="1684"/>
      <c r="AQ1421" s="1684"/>
      <c r="AR1421" s="1684"/>
      <c r="AS1421" s="1684"/>
      <c r="AT1421" s="1684"/>
      <c r="AU1421" s="1684"/>
      <c r="AV1421" s="1684"/>
      <c r="AW1421" s="1684"/>
      <c r="AX1421" s="1684"/>
      <c r="AY1421" s="1684"/>
      <c r="AZ1421" s="1684"/>
      <c r="BA1421" s="1684"/>
      <c r="BB1421" s="1684"/>
      <c r="BC1421" s="1684"/>
      <c r="BD1421" s="1684"/>
      <c r="BE1421" s="1684"/>
      <c r="BF1421" s="1684"/>
      <c r="BG1421" s="1684"/>
      <c r="BH1421" s="1684"/>
      <c r="BI1421" s="1684"/>
      <c r="BJ1421" s="1684"/>
      <c r="BK1421" s="1684"/>
      <c r="BL1421" s="1684"/>
      <c r="BM1421" s="1684"/>
      <c r="BN1421" s="1684"/>
      <c r="BO1421" s="1684"/>
      <c r="BP1421" s="1684"/>
      <c r="BQ1421" s="1684"/>
      <c r="BR1421" s="1684"/>
      <c r="BS1421" s="1684"/>
      <c r="BT1421" s="1684"/>
      <c r="BU1421" s="1684"/>
      <c r="BV1421" s="1684"/>
      <c r="BW1421" s="1684"/>
      <c r="BX1421" s="1684"/>
      <c r="BY1421" s="1684"/>
      <c r="BZ1421" s="1684"/>
      <c r="CA1421" s="1684"/>
      <c r="CB1421" s="1684"/>
      <c r="CC1421" s="1684"/>
      <c r="CD1421" s="1684"/>
      <c r="CE1421" s="1684"/>
      <c r="CF1421" s="1684"/>
      <c r="CG1421" s="1684"/>
      <c r="CH1421" s="1684"/>
      <c r="CI1421" s="1684"/>
      <c r="CJ1421" s="1684"/>
      <c r="CK1421" s="1684"/>
      <c r="CL1421" s="1684"/>
      <c r="CM1421" s="1684"/>
      <c r="CN1421" s="1684"/>
      <c r="CO1421" s="1684"/>
    </row>
    <row r="1422" spans="1:93" s="1391" customFormat="1" ht="15" x14ac:dyDescent="0.2">
      <c r="A1422" s="1684"/>
      <c r="B1422" s="1684"/>
      <c r="C1422" s="4680" t="s">
        <v>3689</v>
      </c>
      <c r="D1422" s="4681"/>
      <c r="E1422" s="4681"/>
      <c r="F1422" s="4681"/>
      <c r="G1422" s="4681"/>
      <c r="H1422" s="4681"/>
      <c r="I1422" s="4681"/>
      <c r="J1422" s="4681"/>
      <c r="K1422" s="4681"/>
      <c r="L1422" s="4681"/>
      <c r="M1422" s="4681"/>
      <c r="N1422" s="4681"/>
      <c r="O1422" s="4681"/>
      <c r="P1422" s="4681"/>
      <c r="Q1422" s="4682"/>
      <c r="R1422"/>
      <c r="S1422" s="1684"/>
      <c r="T1422" s="1684"/>
      <c r="U1422" s="1684"/>
      <c r="V1422" s="1684"/>
      <c r="W1422" s="1684"/>
      <c r="X1422" s="1684"/>
      <c r="Y1422" s="1684"/>
      <c r="Z1422" s="1684"/>
      <c r="AA1422" s="1684"/>
      <c r="AB1422" s="1684"/>
      <c r="AC1422" s="1684"/>
      <c r="AD1422" s="1684"/>
      <c r="AE1422" s="1684"/>
      <c r="AF1422" s="1684"/>
      <c r="AG1422" s="1684"/>
      <c r="AH1422" s="1684"/>
      <c r="AI1422" s="1684"/>
      <c r="AJ1422" s="1684"/>
      <c r="AK1422" s="1684"/>
      <c r="AL1422" s="1684"/>
      <c r="AM1422" s="1684"/>
      <c r="AN1422" s="1684"/>
      <c r="AO1422" s="1684"/>
      <c r="AP1422" s="1684"/>
      <c r="AQ1422" s="1684"/>
      <c r="AR1422" s="1684"/>
      <c r="AS1422" s="1684"/>
      <c r="AT1422" s="1684"/>
      <c r="AU1422" s="1684"/>
      <c r="AV1422" s="1684"/>
      <c r="AW1422" s="1684"/>
      <c r="AX1422" s="1684"/>
      <c r="AY1422" s="1684"/>
      <c r="AZ1422" s="1684"/>
      <c r="BA1422" s="1684"/>
      <c r="BB1422" s="1684"/>
      <c r="BC1422" s="1684"/>
      <c r="BD1422" s="1684"/>
      <c r="BE1422" s="1684"/>
      <c r="BF1422" s="1684"/>
      <c r="BG1422" s="1684"/>
      <c r="BH1422" s="1684"/>
      <c r="BI1422" s="1684"/>
      <c r="BJ1422" s="1684"/>
      <c r="BK1422" s="1684"/>
      <c r="BL1422" s="1684"/>
      <c r="BM1422" s="1684"/>
      <c r="BN1422" s="1684"/>
      <c r="BO1422" s="1684"/>
      <c r="BP1422" s="1684"/>
      <c r="BQ1422" s="1684"/>
      <c r="BR1422" s="1684"/>
      <c r="BS1422" s="1684"/>
      <c r="BT1422" s="1684"/>
      <c r="BU1422" s="1684"/>
      <c r="BV1422" s="1684"/>
      <c r="BW1422" s="1684"/>
      <c r="BX1422" s="1684"/>
      <c r="BY1422" s="1684"/>
      <c r="BZ1422" s="1684"/>
      <c r="CA1422" s="1684"/>
      <c r="CB1422" s="1684"/>
      <c r="CC1422" s="1684"/>
      <c r="CD1422" s="1684"/>
      <c r="CE1422" s="1684"/>
      <c r="CF1422" s="1684"/>
      <c r="CG1422" s="1684"/>
      <c r="CH1422" s="1684"/>
      <c r="CI1422" s="1684"/>
      <c r="CJ1422" s="1684"/>
      <c r="CK1422" s="1684"/>
      <c r="CL1422" s="1684"/>
      <c r="CM1422" s="1684"/>
      <c r="CN1422" s="1684"/>
      <c r="CO1422" s="1684"/>
    </row>
    <row r="1423" spans="1:93" s="1391" customFormat="1" ht="15" x14ac:dyDescent="0.2">
      <c r="A1423" s="1684"/>
      <c r="B1423" s="1684"/>
      <c r="C1423" s="4680"/>
      <c r="D1423" s="4681"/>
      <c r="E1423" s="4681"/>
      <c r="F1423" s="4681"/>
      <c r="G1423" s="4681"/>
      <c r="H1423" s="4681"/>
      <c r="I1423" s="4681"/>
      <c r="J1423" s="4681"/>
      <c r="K1423" s="4681"/>
      <c r="L1423" s="4681"/>
      <c r="M1423" s="4681"/>
      <c r="N1423" s="4681"/>
      <c r="O1423" s="4681"/>
      <c r="P1423" s="4681"/>
      <c r="Q1423" s="4682"/>
      <c r="R1423"/>
      <c r="S1423" s="1684"/>
      <c r="T1423" s="1684"/>
      <c r="U1423" s="1684"/>
      <c r="V1423" s="1684"/>
      <c r="W1423" s="1684"/>
      <c r="X1423" s="1684"/>
      <c r="Y1423" s="1684"/>
      <c r="Z1423" s="1684"/>
      <c r="AA1423" s="1684"/>
      <c r="AB1423" s="1684"/>
      <c r="AC1423" s="1684"/>
      <c r="AD1423" s="1684"/>
      <c r="AE1423" s="1684"/>
      <c r="AF1423" s="1684"/>
      <c r="AG1423" s="1684"/>
      <c r="AH1423" s="1684"/>
      <c r="AI1423" s="1684"/>
      <c r="AJ1423" s="1684"/>
      <c r="AK1423" s="1684"/>
      <c r="AL1423" s="1684"/>
      <c r="AM1423" s="1684"/>
      <c r="AN1423" s="1684"/>
      <c r="AO1423" s="1684"/>
      <c r="AP1423" s="1684"/>
      <c r="AQ1423" s="1684"/>
      <c r="AR1423" s="1684"/>
      <c r="AS1423" s="1684"/>
      <c r="AT1423" s="1684"/>
      <c r="AU1423" s="1684"/>
      <c r="AV1423" s="1684"/>
      <c r="AW1423" s="1684"/>
      <c r="AX1423" s="1684"/>
      <c r="AY1423" s="1684"/>
      <c r="AZ1423" s="1684"/>
      <c r="BA1423" s="1684"/>
      <c r="BB1423" s="1684"/>
      <c r="BC1423" s="1684"/>
      <c r="BD1423" s="1684"/>
      <c r="BE1423" s="1684"/>
      <c r="BF1423" s="1684"/>
      <c r="BG1423" s="1684"/>
      <c r="BH1423" s="1684"/>
      <c r="BI1423" s="1684"/>
      <c r="BJ1423" s="1684"/>
      <c r="BK1423" s="1684"/>
      <c r="BL1423" s="1684"/>
      <c r="BM1423" s="1684"/>
      <c r="BN1423" s="1684"/>
      <c r="BO1423" s="1684"/>
      <c r="BP1423" s="1684"/>
      <c r="BQ1423" s="1684"/>
      <c r="BR1423" s="1684"/>
      <c r="BS1423" s="1684"/>
      <c r="BT1423" s="1684"/>
      <c r="BU1423" s="1684"/>
      <c r="BV1423" s="1684"/>
      <c r="BW1423" s="1684"/>
      <c r="BX1423" s="1684"/>
      <c r="BY1423" s="1684"/>
      <c r="BZ1423" s="1684"/>
      <c r="CA1423" s="1684"/>
      <c r="CB1423" s="1684"/>
      <c r="CC1423" s="1684"/>
      <c r="CD1423" s="1684"/>
      <c r="CE1423" s="1684"/>
      <c r="CF1423" s="1684"/>
      <c r="CG1423" s="1684"/>
      <c r="CH1423" s="1684"/>
      <c r="CI1423" s="1684"/>
      <c r="CJ1423" s="1684"/>
      <c r="CK1423" s="1684"/>
      <c r="CL1423" s="1684"/>
      <c r="CM1423" s="1684"/>
      <c r="CN1423" s="1684"/>
      <c r="CO1423" s="1684"/>
    </row>
    <row r="1424" spans="1:93" s="1391" customFormat="1" ht="15" x14ac:dyDescent="0.2">
      <c r="A1424" s="1684"/>
      <c r="B1424" s="1684"/>
      <c r="C1424" s="4680" t="s">
        <v>3690</v>
      </c>
      <c r="D1424" s="4681"/>
      <c r="E1424" s="4681"/>
      <c r="F1424" s="4681"/>
      <c r="G1424" s="4681"/>
      <c r="H1424" s="4681"/>
      <c r="I1424" s="4681"/>
      <c r="J1424" s="4681"/>
      <c r="K1424" s="4681"/>
      <c r="L1424" s="4681"/>
      <c r="M1424" s="4681"/>
      <c r="N1424" s="4681"/>
      <c r="O1424" s="4681"/>
      <c r="P1424" s="4681"/>
      <c r="Q1424" s="4682"/>
      <c r="R1424"/>
      <c r="S1424" s="1684"/>
      <c r="T1424" s="1684"/>
      <c r="U1424" s="1684"/>
      <c r="V1424" s="1684"/>
      <c r="W1424" s="1684"/>
      <c r="X1424" s="1684"/>
      <c r="Y1424" s="1684"/>
      <c r="Z1424" s="1684"/>
      <c r="AA1424" s="1684"/>
      <c r="AB1424" s="1684"/>
      <c r="AC1424" s="1684"/>
      <c r="AD1424" s="1684"/>
      <c r="AE1424" s="1684"/>
      <c r="AF1424" s="1684"/>
      <c r="AG1424" s="1684"/>
      <c r="AH1424" s="1684"/>
      <c r="AI1424" s="1684"/>
      <c r="AJ1424" s="1684"/>
      <c r="AK1424" s="1684"/>
      <c r="AL1424" s="1684"/>
      <c r="AM1424" s="1684"/>
      <c r="AN1424" s="1684"/>
      <c r="AO1424" s="1684"/>
      <c r="AP1424" s="1684"/>
      <c r="AQ1424" s="1684"/>
      <c r="AR1424" s="1684"/>
      <c r="AS1424" s="1684"/>
      <c r="AT1424" s="1684"/>
      <c r="AU1424" s="1684"/>
      <c r="AV1424" s="1684"/>
      <c r="AW1424" s="1684"/>
      <c r="AX1424" s="1684"/>
      <c r="AY1424" s="1684"/>
      <c r="AZ1424" s="1684"/>
      <c r="BA1424" s="1684"/>
      <c r="BB1424" s="1684"/>
      <c r="BC1424" s="1684"/>
      <c r="BD1424" s="1684"/>
      <c r="BE1424" s="1684"/>
      <c r="BF1424" s="1684"/>
      <c r="BG1424" s="1684"/>
      <c r="BH1424" s="1684"/>
      <c r="BI1424" s="1684"/>
      <c r="BJ1424" s="1684"/>
      <c r="BK1424" s="1684"/>
      <c r="BL1424" s="1684"/>
      <c r="BM1424" s="1684"/>
      <c r="BN1424" s="1684"/>
      <c r="BO1424" s="1684"/>
      <c r="BP1424" s="1684"/>
      <c r="BQ1424" s="1684"/>
      <c r="BR1424" s="1684"/>
      <c r="BS1424" s="1684"/>
      <c r="BT1424" s="1684"/>
      <c r="BU1424" s="1684"/>
      <c r="BV1424" s="1684"/>
      <c r="BW1424" s="1684"/>
      <c r="BX1424" s="1684"/>
      <c r="BY1424" s="1684"/>
      <c r="BZ1424" s="1684"/>
      <c r="CA1424" s="1684"/>
      <c r="CB1424" s="1684"/>
      <c r="CC1424" s="1684"/>
      <c r="CD1424" s="1684"/>
      <c r="CE1424" s="1684"/>
      <c r="CF1424" s="1684"/>
      <c r="CG1424" s="1684"/>
      <c r="CH1424" s="1684"/>
      <c r="CI1424" s="1684"/>
      <c r="CJ1424" s="1684"/>
      <c r="CK1424" s="1684"/>
      <c r="CL1424" s="1684"/>
      <c r="CM1424" s="1684"/>
      <c r="CN1424" s="1684"/>
      <c r="CO1424" s="1684"/>
    </row>
    <row r="1425" spans="1:93" s="1391" customFormat="1" ht="15" x14ac:dyDescent="0.2">
      <c r="A1425" s="1684"/>
      <c r="B1425" s="1684"/>
      <c r="C1425" s="4680"/>
      <c r="D1425" s="4681"/>
      <c r="E1425" s="4681"/>
      <c r="F1425" s="4681"/>
      <c r="G1425" s="4681"/>
      <c r="H1425" s="4681"/>
      <c r="I1425" s="4681"/>
      <c r="J1425" s="4681"/>
      <c r="K1425" s="4681"/>
      <c r="L1425" s="4681"/>
      <c r="M1425" s="4681"/>
      <c r="N1425" s="4681"/>
      <c r="O1425" s="4681"/>
      <c r="P1425" s="4681"/>
      <c r="Q1425" s="4682"/>
      <c r="R1425"/>
      <c r="S1425" s="1684"/>
      <c r="T1425" s="1684"/>
      <c r="U1425" s="1684"/>
      <c r="V1425" s="1684"/>
      <c r="W1425" s="1684"/>
      <c r="X1425" s="1684"/>
      <c r="Y1425" s="1684"/>
      <c r="Z1425" s="1684"/>
      <c r="AA1425" s="1684"/>
      <c r="AB1425" s="1684"/>
      <c r="AC1425" s="1684"/>
      <c r="AD1425" s="1684"/>
      <c r="AE1425" s="1684"/>
      <c r="AF1425" s="1684"/>
      <c r="AG1425" s="1684"/>
      <c r="AH1425" s="1684"/>
      <c r="AI1425" s="1684"/>
      <c r="AJ1425" s="1684"/>
      <c r="AK1425" s="1684"/>
      <c r="AL1425" s="1684"/>
      <c r="AM1425" s="1684"/>
      <c r="AN1425" s="1684"/>
      <c r="AO1425" s="1684"/>
      <c r="AP1425" s="1684"/>
      <c r="AQ1425" s="1684"/>
      <c r="AR1425" s="1684"/>
      <c r="AS1425" s="1684"/>
      <c r="AT1425" s="1684"/>
      <c r="AU1425" s="1684"/>
      <c r="AV1425" s="1684"/>
      <c r="AW1425" s="1684"/>
      <c r="AX1425" s="1684"/>
      <c r="AY1425" s="1684"/>
      <c r="AZ1425" s="1684"/>
      <c r="BA1425" s="1684"/>
      <c r="BB1425" s="1684"/>
      <c r="BC1425" s="1684"/>
      <c r="BD1425" s="1684"/>
      <c r="BE1425" s="1684"/>
      <c r="BF1425" s="1684"/>
      <c r="BG1425" s="1684"/>
      <c r="BH1425" s="1684"/>
      <c r="BI1425" s="1684"/>
      <c r="BJ1425" s="1684"/>
      <c r="BK1425" s="1684"/>
      <c r="BL1425" s="1684"/>
      <c r="BM1425" s="1684"/>
      <c r="BN1425" s="1684"/>
      <c r="BO1425" s="1684"/>
      <c r="BP1425" s="1684"/>
      <c r="BQ1425" s="1684"/>
      <c r="BR1425" s="1684"/>
      <c r="BS1425" s="1684"/>
      <c r="BT1425" s="1684"/>
      <c r="BU1425" s="1684"/>
      <c r="BV1425" s="1684"/>
      <c r="BW1425" s="1684"/>
      <c r="BX1425" s="1684"/>
      <c r="BY1425" s="1684"/>
      <c r="BZ1425" s="1684"/>
      <c r="CA1425" s="1684"/>
      <c r="CB1425" s="1684"/>
      <c r="CC1425" s="1684"/>
      <c r="CD1425" s="1684"/>
      <c r="CE1425" s="1684"/>
      <c r="CF1425" s="1684"/>
      <c r="CG1425" s="1684"/>
      <c r="CH1425" s="1684"/>
      <c r="CI1425" s="1684"/>
      <c r="CJ1425" s="1684"/>
      <c r="CK1425" s="1684"/>
      <c r="CL1425" s="1684"/>
      <c r="CM1425" s="1684"/>
      <c r="CN1425" s="1684"/>
      <c r="CO1425" s="1684"/>
    </row>
    <row r="1426" spans="1:93" s="1391" customFormat="1" ht="15" x14ac:dyDescent="0.2">
      <c r="A1426" s="1684"/>
      <c r="B1426" s="1684"/>
      <c r="C1426" s="2014"/>
      <c r="D1426" s="2015"/>
      <c r="E1426" s="2015">
        <v>1</v>
      </c>
      <c r="F1426" s="2015">
        <v>2</v>
      </c>
      <c r="G1426" s="2015">
        <v>3</v>
      </c>
      <c r="H1426" s="2015">
        <v>4</v>
      </c>
      <c r="I1426" s="2015">
        <v>5</v>
      </c>
      <c r="J1426" s="2015">
        <v>6</v>
      </c>
      <c r="K1426" s="2015">
        <v>7</v>
      </c>
      <c r="L1426" s="2015">
        <v>8</v>
      </c>
      <c r="M1426" s="2015">
        <v>9</v>
      </c>
      <c r="N1426" s="2015">
        <v>10</v>
      </c>
      <c r="O1426" s="2015">
        <v>11</v>
      </c>
      <c r="P1426" s="2015">
        <v>12</v>
      </c>
      <c r="Q1426" s="2016"/>
      <c r="R1426"/>
      <c r="S1426" s="1684"/>
      <c r="T1426" s="1684"/>
      <c r="U1426" s="1684"/>
      <c r="V1426" s="1684"/>
      <c r="W1426" s="1684"/>
      <c r="X1426" s="1684"/>
      <c r="Y1426" s="1684"/>
      <c r="Z1426" s="1684"/>
      <c r="AA1426" s="1684"/>
      <c r="AB1426" s="1684"/>
      <c r="AC1426" s="1684"/>
      <c r="AD1426" s="1684"/>
      <c r="AE1426" s="1684"/>
      <c r="AF1426" s="1684"/>
      <c r="AG1426" s="1684"/>
      <c r="AH1426" s="1684"/>
      <c r="AI1426" s="1684"/>
      <c r="AJ1426" s="1684"/>
      <c r="AK1426" s="1684"/>
      <c r="AL1426" s="1684"/>
      <c r="AM1426" s="1684"/>
      <c r="AN1426" s="1684"/>
      <c r="AO1426" s="1684"/>
      <c r="AP1426" s="1684"/>
      <c r="AQ1426" s="1684"/>
      <c r="AR1426" s="1684"/>
      <c r="AS1426" s="1684"/>
      <c r="AT1426" s="1684"/>
      <c r="AU1426" s="1684"/>
      <c r="AV1426" s="1684"/>
      <c r="AW1426" s="1684"/>
      <c r="AX1426" s="1684"/>
      <c r="AY1426" s="1684"/>
      <c r="AZ1426" s="1684"/>
      <c r="BA1426" s="1684"/>
      <c r="BB1426" s="1684"/>
      <c r="BC1426" s="1684"/>
      <c r="BD1426" s="1684"/>
      <c r="BE1426" s="1684"/>
      <c r="BF1426" s="1684"/>
      <c r="BG1426" s="1684"/>
      <c r="BH1426" s="1684"/>
      <c r="BI1426" s="1684"/>
      <c r="BJ1426" s="1684"/>
      <c r="BK1426" s="1684"/>
      <c r="BL1426" s="1684"/>
      <c r="BM1426" s="1684"/>
      <c r="BN1426" s="1684"/>
      <c r="BO1426" s="1684"/>
      <c r="BP1426" s="1684"/>
      <c r="BQ1426" s="1684"/>
      <c r="BR1426" s="1684"/>
      <c r="BS1426" s="1684"/>
      <c r="BT1426" s="1684"/>
      <c r="BU1426" s="1684"/>
      <c r="BV1426" s="1684"/>
      <c r="BW1426" s="1684"/>
      <c r="BX1426" s="1684"/>
      <c r="BY1426" s="1684"/>
      <c r="BZ1426" s="1684"/>
      <c r="CA1426" s="1684"/>
      <c r="CB1426" s="1684"/>
      <c r="CC1426" s="1684"/>
      <c r="CD1426" s="1684"/>
      <c r="CE1426" s="1684"/>
      <c r="CF1426" s="1684"/>
      <c r="CG1426" s="1684"/>
      <c r="CH1426" s="1684"/>
      <c r="CI1426" s="1684"/>
      <c r="CJ1426" s="1684"/>
      <c r="CK1426" s="1684"/>
      <c r="CL1426" s="1684"/>
      <c r="CM1426" s="1684"/>
      <c r="CN1426" s="1684"/>
      <c r="CO1426" s="1684"/>
    </row>
    <row r="1427" spans="1:93" s="1391" customFormat="1" ht="15" x14ac:dyDescent="0.2">
      <c r="A1427" s="1684"/>
      <c r="B1427" s="1684"/>
      <c r="C1427" s="2013">
        <v>8</v>
      </c>
      <c r="D1427" s="5">
        <v>5.0860000000000003</v>
      </c>
      <c r="E1427" s="5">
        <v>135</v>
      </c>
      <c r="F1427" s="5">
        <v>150</v>
      </c>
      <c r="G1427" s="5">
        <v>165</v>
      </c>
      <c r="H1427" s="5">
        <v>179</v>
      </c>
      <c r="I1427" s="5">
        <v>193</v>
      </c>
      <c r="J1427" s="5">
        <v>207</v>
      </c>
      <c r="K1427" s="5">
        <v>221</v>
      </c>
      <c r="L1427" s="5">
        <v>236</v>
      </c>
      <c r="M1427" s="5">
        <v>250</v>
      </c>
      <c r="N1427" s="5">
        <v>264</v>
      </c>
      <c r="O1427" s="5">
        <v>278</v>
      </c>
      <c r="P1427" s="5">
        <v>293</v>
      </c>
      <c r="Q1427" s="1160">
        <v>1</v>
      </c>
      <c r="R1427"/>
      <c r="S1427" s="1684"/>
      <c r="T1427" s="1684"/>
      <c r="U1427" s="1684"/>
      <c r="V1427" s="1684"/>
      <c r="W1427" s="1684"/>
      <c r="X1427" s="1684"/>
      <c r="Y1427" s="1684"/>
      <c r="Z1427" s="1684"/>
      <c r="AA1427" s="1684"/>
      <c r="AB1427" s="1684"/>
      <c r="AC1427" s="1684"/>
      <c r="AD1427" s="1684"/>
      <c r="AE1427" s="1684"/>
      <c r="AF1427" s="1684"/>
      <c r="AG1427" s="1684"/>
      <c r="AH1427" s="1684"/>
      <c r="AI1427" s="1684"/>
      <c r="AJ1427" s="1684"/>
      <c r="AK1427" s="1684"/>
      <c r="AL1427" s="1684"/>
      <c r="AM1427" s="1684"/>
      <c r="AN1427" s="1684"/>
      <c r="AO1427" s="1684"/>
      <c r="AP1427" s="1684"/>
      <c r="AQ1427" s="1684"/>
      <c r="AR1427" s="1684"/>
      <c r="AS1427" s="1684"/>
      <c r="AT1427" s="1684"/>
      <c r="AU1427" s="1684"/>
      <c r="AV1427" s="1684"/>
      <c r="AW1427" s="1684"/>
      <c r="AX1427" s="1684"/>
      <c r="AY1427" s="1684"/>
      <c r="AZ1427" s="1684"/>
      <c r="BA1427" s="1684"/>
      <c r="BB1427" s="1684"/>
      <c r="BC1427" s="1684"/>
      <c r="BD1427" s="1684"/>
      <c r="BE1427" s="1684"/>
      <c r="BF1427" s="1684"/>
      <c r="BG1427" s="1684"/>
      <c r="BH1427" s="1684"/>
      <c r="BI1427" s="1684"/>
      <c r="BJ1427" s="1684"/>
      <c r="BK1427" s="1684"/>
      <c r="BL1427" s="1684"/>
      <c r="BM1427" s="1684"/>
      <c r="BN1427" s="1684"/>
      <c r="BO1427" s="1684"/>
      <c r="BP1427" s="1684"/>
      <c r="BQ1427" s="1684"/>
      <c r="BR1427" s="1684"/>
      <c r="BS1427" s="1684"/>
      <c r="BT1427" s="1684"/>
      <c r="BU1427" s="1684"/>
      <c r="BV1427" s="1684"/>
      <c r="BW1427" s="1684"/>
      <c r="BX1427" s="1684"/>
      <c r="BY1427" s="1684"/>
      <c r="BZ1427" s="1684"/>
      <c r="CA1427" s="1684"/>
      <c r="CB1427" s="1684"/>
      <c r="CC1427" s="1684"/>
      <c r="CD1427" s="1684"/>
      <c r="CE1427" s="1684"/>
      <c r="CF1427" s="1684"/>
      <c r="CG1427" s="1684"/>
      <c r="CH1427" s="1684"/>
      <c r="CI1427" s="1684"/>
      <c r="CJ1427" s="1684"/>
      <c r="CK1427" s="1684"/>
      <c r="CL1427" s="1684"/>
      <c r="CM1427" s="1684"/>
      <c r="CN1427" s="1684"/>
      <c r="CO1427" s="1684"/>
    </row>
    <row r="1428" spans="1:93" s="1391" customFormat="1" ht="15" x14ac:dyDescent="0.2">
      <c r="A1428" s="1684"/>
      <c r="B1428" s="1684"/>
      <c r="C1428" s="2013">
        <v>9</v>
      </c>
      <c r="D1428" s="5">
        <v>5.4050000000000002</v>
      </c>
      <c r="E1428" s="5">
        <v>150</v>
      </c>
      <c r="F1428" s="5">
        <v>166</v>
      </c>
      <c r="G1428" s="5">
        <v>182</v>
      </c>
      <c r="H1428" s="5">
        <v>198</v>
      </c>
      <c r="I1428" s="5">
        <v>214</v>
      </c>
      <c r="J1428" s="5">
        <v>230</v>
      </c>
      <c r="K1428" s="5">
        <v>245</v>
      </c>
      <c r="L1428" s="5">
        <v>262</v>
      </c>
      <c r="M1428" s="5">
        <v>277</v>
      </c>
      <c r="N1428" s="5">
        <v>293</v>
      </c>
      <c r="O1428" s="5">
        <v>308</v>
      </c>
      <c r="P1428" s="5">
        <v>324</v>
      </c>
      <c r="Q1428" s="1160">
        <v>2</v>
      </c>
      <c r="R1428"/>
      <c r="S1428" s="1684"/>
      <c r="T1428" s="1684"/>
      <c r="U1428" s="1684"/>
      <c r="V1428" s="1684"/>
      <c r="W1428" s="1684"/>
      <c r="X1428" s="1684"/>
      <c r="Y1428" s="1684"/>
      <c r="Z1428" s="1684"/>
      <c r="AA1428" s="1684"/>
      <c r="AB1428" s="1684"/>
      <c r="AC1428" s="1684"/>
      <c r="AD1428" s="1684"/>
      <c r="AE1428" s="1684"/>
      <c r="AF1428" s="1684"/>
      <c r="AG1428" s="1684"/>
      <c r="AH1428" s="1684"/>
      <c r="AI1428" s="1684"/>
      <c r="AJ1428" s="1684"/>
      <c r="AK1428" s="1684"/>
      <c r="AL1428" s="1684"/>
      <c r="AM1428" s="1684"/>
      <c r="AN1428" s="1684"/>
      <c r="AO1428" s="1684"/>
      <c r="AP1428" s="1684"/>
      <c r="AQ1428" s="1684"/>
      <c r="AR1428" s="1684"/>
      <c r="AS1428" s="1684"/>
      <c r="AT1428" s="1684"/>
      <c r="AU1428" s="1684"/>
      <c r="AV1428" s="1684"/>
      <c r="AW1428" s="1684"/>
      <c r="AX1428" s="1684"/>
      <c r="AY1428" s="1684"/>
      <c r="AZ1428" s="1684"/>
      <c r="BA1428" s="1684"/>
      <c r="BB1428" s="1684"/>
      <c r="BC1428" s="1684"/>
      <c r="BD1428" s="1684"/>
      <c r="BE1428" s="1684"/>
      <c r="BF1428" s="1684"/>
      <c r="BG1428" s="1684"/>
      <c r="BH1428" s="1684"/>
      <c r="BI1428" s="1684"/>
      <c r="BJ1428" s="1684"/>
      <c r="BK1428" s="1684"/>
      <c r="BL1428" s="1684"/>
      <c r="BM1428" s="1684"/>
      <c r="BN1428" s="1684"/>
      <c r="BO1428" s="1684"/>
      <c r="BP1428" s="1684"/>
      <c r="BQ1428" s="1684"/>
      <c r="BR1428" s="1684"/>
      <c r="BS1428" s="1684"/>
      <c r="BT1428" s="1684"/>
      <c r="BU1428" s="1684"/>
      <c r="BV1428" s="1684"/>
      <c r="BW1428" s="1684"/>
      <c r="BX1428" s="1684"/>
      <c r="BY1428" s="1684"/>
      <c r="BZ1428" s="1684"/>
      <c r="CA1428" s="1684"/>
      <c r="CB1428" s="1684"/>
      <c r="CC1428" s="1684"/>
      <c r="CD1428" s="1684"/>
      <c r="CE1428" s="1684"/>
      <c r="CF1428" s="1684"/>
      <c r="CG1428" s="1684"/>
      <c r="CH1428" s="1684"/>
      <c r="CI1428" s="1684"/>
      <c r="CJ1428" s="1684"/>
      <c r="CK1428" s="1684"/>
      <c r="CL1428" s="1684"/>
      <c r="CM1428" s="1684"/>
      <c r="CN1428" s="1684"/>
      <c r="CO1428" s="1684"/>
    </row>
    <row r="1429" spans="1:93" s="1391" customFormat="1" ht="15" x14ac:dyDescent="0.2">
      <c r="A1429" s="1684"/>
      <c r="B1429" s="1684"/>
      <c r="C1429" s="2013">
        <v>10</v>
      </c>
      <c r="D1429" s="5">
        <v>5.7460000000000004</v>
      </c>
      <c r="E1429" s="5">
        <v>165</v>
      </c>
      <c r="F1429" s="5">
        <v>183</v>
      </c>
      <c r="G1429" s="5">
        <v>201</v>
      </c>
      <c r="H1429" s="5">
        <v>218</v>
      </c>
      <c r="I1429" s="5">
        <v>236</v>
      </c>
      <c r="J1429" s="5">
        <v>253</v>
      </c>
      <c r="K1429" s="5">
        <v>270</v>
      </c>
      <c r="L1429" s="5">
        <v>289</v>
      </c>
      <c r="M1429" s="5">
        <v>305</v>
      </c>
      <c r="N1429" s="5">
        <v>323</v>
      </c>
      <c r="O1429" s="5">
        <v>340</v>
      </c>
      <c r="P1429" s="5">
        <v>357</v>
      </c>
      <c r="Q1429" s="1160">
        <v>3</v>
      </c>
      <c r="R1429"/>
      <c r="S1429" s="1684"/>
      <c r="T1429" s="1684"/>
      <c r="U1429" s="1684"/>
      <c r="V1429" s="1684"/>
      <c r="W1429" s="1684"/>
      <c r="X1429" s="1684"/>
      <c r="Y1429" s="1684"/>
      <c r="Z1429" s="1684"/>
      <c r="AA1429" s="1684"/>
      <c r="AB1429" s="1684"/>
      <c r="AC1429" s="1684"/>
      <c r="AD1429" s="1684"/>
      <c r="AE1429" s="1684"/>
      <c r="AF1429" s="1684"/>
      <c r="AG1429" s="1684"/>
      <c r="AH1429" s="1684"/>
      <c r="AI1429" s="1684"/>
      <c r="AJ1429" s="1684"/>
      <c r="AK1429" s="1684"/>
      <c r="AL1429" s="1684"/>
      <c r="AM1429" s="1684"/>
      <c r="AN1429" s="1684"/>
      <c r="AO1429" s="1684"/>
      <c r="AP1429" s="1684"/>
      <c r="AQ1429" s="1684"/>
      <c r="AR1429" s="1684"/>
      <c r="AS1429" s="1684"/>
      <c r="AT1429" s="1684"/>
      <c r="AU1429" s="1684"/>
      <c r="AV1429" s="1684"/>
      <c r="AW1429" s="1684"/>
      <c r="AX1429" s="1684"/>
      <c r="AY1429" s="1684"/>
      <c r="AZ1429" s="1684"/>
      <c r="BA1429" s="1684"/>
      <c r="BB1429" s="1684"/>
      <c r="BC1429" s="1684"/>
      <c r="BD1429" s="1684"/>
      <c r="BE1429" s="1684"/>
      <c r="BF1429" s="1684"/>
      <c r="BG1429" s="1684"/>
      <c r="BH1429" s="1684"/>
      <c r="BI1429" s="1684"/>
      <c r="BJ1429" s="1684"/>
      <c r="BK1429" s="1684"/>
      <c r="BL1429" s="1684"/>
      <c r="BM1429" s="1684"/>
      <c r="BN1429" s="1684"/>
      <c r="BO1429" s="1684"/>
      <c r="BP1429" s="1684"/>
      <c r="BQ1429" s="1684"/>
      <c r="BR1429" s="1684"/>
      <c r="BS1429" s="1684"/>
      <c r="BT1429" s="1684"/>
      <c r="BU1429" s="1684"/>
      <c r="BV1429" s="1684"/>
      <c r="BW1429" s="1684"/>
      <c r="BX1429" s="1684"/>
      <c r="BY1429" s="1684"/>
      <c r="BZ1429" s="1684"/>
      <c r="CA1429" s="1684"/>
      <c r="CB1429" s="1684"/>
      <c r="CC1429" s="1684"/>
      <c r="CD1429" s="1684"/>
      <c r="CE1429" s="1684"/>
      <c r="CF1429" s="1684"/>
      <c r="CG1429" s="1684"/>
      <c r="CH1429" s="1684"/>
      <c r="CI1429" s="1684"/>
      <c r="CJ1429" s="1684"/>
      <c r="CK1429" s="1684"/>
      <c r="CL1429" s="1684"/>
      <c r="CM1429" s="1684"/>
      <c r="CN1429" s="1684"/>
      <c r="CO1429" s="1684"/>
    </row>
    <row r="1430" spans="1:93" s="1391" customFormat="1" ht="15" x14ac:dyDescent="0.2">
      <c r="A1430" s="1684"/>
      <c r="B1430" s="1684"/>
      <c r="C1430" s="2013">
        <v>11</v>
      </c>
      <c r="D1430" s="5">
        <v>6.133</v>
      </c>
      <c r="E1430" s="5">
        <v>183</v>
      </c>
      <c r="F1430" s="5">
        <v>203</v>
      </c>
      <c r="G1430" s="5">
        <v>222</v>
      </c>
      <c r="H1430" s="5">
        <v>241</v>
      </c>
      <c r="I1430" s="5">
        <v>260</v>
      </c>
      <c r="J1430" s="5">
        <v>280</v>
      </c>
      <c r="K1430" s="5">
        <v>299</v>
      </c>
      <c r="L1430" s="5">
        <v>319</v>
      </c>
      <c r="M1430" s="5">
        <v>337</v>
      </c>
      <c r="N1430" s="5">
        <v>356</v>
      </c>
      <c r="O1430" s="5">
        <v>376</v>
      </c>
      <c r="P1430" s="5">
        <v>395</v>
      </c>
      <c r="Q1430" s="1160">
        <v>4</v>
      </c>
      <c r="R1430"/>
      <c r="S1430" s="1684"/>
      <c r="T1430" s="1684"/>
      <c r="U1430" s="1684"/>
      <c r="V1430" s="1684"/>
      <c r="W1430" s="1684"/>
      <c r="X1430" s="1684"/>
      <c r="Y1430" s="1684"/>
      <c r="Z1430" s="1684"/>
      <c r="AA1430" s="1684"/>
      <c r="AB1430" s="1684"/>
      <c r="AC1430" s="1684"/>
      <c r="AD1430" s="1684"/>
      <c r="AE1430" s="1684"/>
      <c r="AF1430" s="1684"/>
      <c r="AG1430" s="1684"/>
      <c r="AH1430" s="1684"/>
      <c r="AI1430" s="1684"/>
      <c r="AJ1430" s="1684"/>
      <c r="AK1430" s="1684"/>
      <c r="AL1430" s="1684"/>
      <c r="AM1430" s="1684"/>
      <c r="AN1430" s="1684"/>
      <c r="AO1430" s="1684"/>
      <c r="AP1430" s="1684"/>
      <c r="AQ1430" s="1684"/>
      <c r="AR1430" s="1684"/>
      <c r="AS1430" s="1684"/>
      <c r="AT1430" s="1684"/>
      <c r="AU1430" s="1684"/>
      <c r="AV1430" s="1684"/>
      <c r="AW1430" s="1684"/>
      <c r="AX1430" s="1684"/>
      <c r="AY1430" s="1684"/>
      <c r="AZ1430" s="1684"/>
      <c r="BA1430" s="1684"/>
      <c r="BB1430" s="1684"/>
      <c r="BC1430" s="1684"/>
      <c r="BD1430" s="1684"/>
      <c r="BE1430" s="1684"/>
      <c r="BF1430" s="1684"/>
      <c r="BG1430" s="1684"/>
      <c r="BH1430" s="1684"/>
      <c r="BI1430" s="1684"/>
      <c r="BJ1430" s="1684"/>
      <c r="BK1430" s="1684"/>
      <c r="BL1430" s="1684"/>
      <c r="BM1430" s="1684"/>
      <c r="BN1430" s="1684"/>
      <c r="BO1430" s="1684"/>
      <c r="BP1430" s="1684"/>
      <c r="BQ1430" s="1684"/>
      <c r="BR1430" s="1684"/>
      <c r="BS1430" s="1684"/>
      <c r="BT1430" s="1684"/>
      <c r="BU1430" s="1684"/>
      <c r="BV1430" s="1684"/>
      <c r="BW1430" s="1684"/>
      <c r="BX1430" s="1684"/>
      <c r="BY1430" s="1684"/>
      <c r="BZ1430" s="1684"/>
      <c r="CA1430" s="1684"/>
      <c r="CB1430" s="1684"/>
      <c r="CC1430" s="1684"/>
      <c r="CD1430" s="1684"/>
      <c r="CE1430" s="1684"/>
      <c r="CF1430" s="1684"/>
      <c r="CG1430" s="1684"/>
      <c r="CH1430" s="1684"/>
      <c r="CI1430" s="1684"/>
      <c r="CJ1430" s="1684"/>
      <c r="CK1430" s="1684"/>
      <c r="CL1430" s="1684"/>
      <c r="CM1430" s="1684"/>
      <c r="CN1430" s="1684"/>
      <c r="CO1430" s="1684"/>
    </row>
    <row r="1431" spans="1:93" s="1391" customFormat="1" ht="15" x14ac:dyDescent="0.2">
      <c r="A1431" s="1684"/>
      <c r="B1431" s="1684"/>
      <c r="C1431" s="2013">
        <v>12</v>
      </c>
      <c r="D1431" s="5">
        <v>6.5439999999999996</v>
      </c>
      <c r="E1431" s="5">
        <v>201</v>
      </c>
      <c r="F1431" s="5">
        <v>223</v>
      </c>
      <c r="G1431" s="5">
        <v>244</v>
      </c>
      <c r="H1431" s="5">
        <v>265</v>
      </c>
      <c r="I1431" s="5">
        <v>286</v>
      </c>
      <c r="J1431" s="5">
        <v>307</v>
      </c>
      <c r="K1431" s="5">
        <v>328</v>
      </c>
      <c r="L1431" s="5">
        <v>351</v>
      </c>
      <c r="M1431" s="5">
        <v>371</v>
      </c>
      <c r="N1431" s="5">
        <v>392</v>
      </c>
      <c r="O1431" s="5">
        <v>403</v>
      </c>
      <c r="P1431" s="5">
        <v>434</v>
      </c>
      <c r="Q1431" s="1160">
        <v>5</v>
      </c>
      <c r="R1431"/>
      <c r="S1431" s="1684"/>
      <c r="T1431" s="1684"/>
      <c r="U1431" s="1684"/>
      <c r="V1431" s="1684"/>
      <c r="W1431" s="1684"/>
      <c r="X1431" s="1684"/>
      <c r="Y1431" s="1684"/>
      <c r="Z1431" s="1684"/>
      <c r="AA1431" s="1684"/>
      <c r="AB1431" s="1684"/>
      <c r="AC1431" s="1684"/>
      <c r="AD1431" s="1684"/>
      <c r="AE1431" s="1684"/>
      <c r="AF1431" s="1684"/>
      <c r="AG1431" s="1684"/>
      <c r="AH1431" s="1684"/>
      <c r="AI1431" s="1684"/>
      <c r="AJ1431" s="1684"/>
      <c r="AK1431" s="1684"/>
      <c r="AL1431" s="1684"/>
      <c r="AM1431" s="1684"/>
      <c r="AN1431" s="1684"/>
      <c r="AO1431" s="1684"/>
      <c r="AP1431" s="1684"/>
      <c r="AQ1431" s="1684"/>
      <c r="AR1431" s="1684"/>
      <c r="AS1431" s="1684"/>
      <c r="AT1431" s="1684"/>
      <c r="AU1431" s="1684"/>
      <c r="AV1431" s="1684"/>
      <c r="AW1431" s="1684"/>
      <c r="AX1431" s="1684"/>
      <c r="AY1431" s="1684"/>
      <c r="AZ1431" s="1684"/>
      <c r="BA1431" s="1684"/>
      <c r="BB1431" s="1684"/>
      <c r="BC1431" s="1684"/>
      <c r="BD1431" s="1684"/>
      <c r="BE1431" s="1684"/>
      <c r="BF1431" s="1684"/>
      <c r="BG1431" s="1684"/>
      <c r="BH1431" s="1684"/>
      <c r="BI1431" s="1684"/>
      <c r="BJ1431" s="1684"/>
      <c r="BK1431" s="1684"/>
      <c r="BL1431" s="1684"/>
      <c r="BM1431" s="1684"/>
      <c r="BN1431" s="1684"/>
      <c r="BO1431" s="1684"/>
      <c r="BP1431" s="1684"/>
      <c r="BQ1431" s="1684"/>
      <c r="BR1431" s="1684"/>
      <c r="BS1431" s="1684"/>
      <c r="BT1431" s="1684"/>
      <c r="BU1431" s="1684"/>
      <c r="BV1431" s="1684"/>
      <c r="BW1431" s="1684"/>
      <c r="BX1431" s="1684"/>
      <c r="BY1431" s="1684"/>
      <c r="BZ1431" s="1684"/>
      <c r="CA1431" s="1684"/>
      <c r="CB1431" s="1684"/>
      <c r="CC1431" s="1684"/>
      <c r="CD1431" s="1684"/>
      <c r="CE1431" s="1684"/>
      <c r="CF1431" s="1684"/>
      <c r="CG1431" s="1684"/>
      <c r="CH1431" s="1684"/>
      <c r="CI1431" s="1684"/>
      <c r="CJ1431" s="1684"/>
      <c r="CK1431" s="1684"/>
      <c r="CL1431" s="1684"/>
      <c r="CM1431" s="1684"/>
      <c r="CN1431" s="1684"/>
      <c r="CO1431" s="1684"/>
    </row>
    <row r="1432" spans="1:93" s="1391" customFormat="1" ht="15" x14ac:dyDescent="0.2">
      <c r="A1432" s="1684"/>
      <c r="B1432" s="1684"/>
      <c r="C1432" s="2013">
        <v>13</v>
      </c>
      <c r="D1432" s="5">
        <v>6.9690000000000003</v>
      </c>
      <c r="E1432" s="5">
        <v>219</v>
      </c>
      <c r="F1432" s="5">
        <v>243</v>
      </c>
      <c r="G1432" s="5">
        <v>267</v>
      </c>
      <c r="H1432" s="5">
        <v>290</v>
      </c>
      <c r="I1432" s="5">
        <v>313</v>
      </c>
      <c r="J1432" s="5">
        <v>336</v>
      </c>
      <c r="K1432" s="5">
        <v>359</v>
      </c>
      <c r="L1432" s="5">
        <v>383</v>
      </c>
      <c r="M1432" s="5">
        <v>405</v>
      </c>
      <c r="N1432" s="5">
        <v>428</v>
      </c>
      <c r="O1432" s="5">
        <v>454</v>
      </c>
      <c r="P1432" s="5">
        <v>474</v>
      </c>
      <c r="Q1432" s="1160">
        <v>6</v>
      </c>
      <c r="R1432"/>
      <c r="S1432" s="1684"/>
      <c r="T1432" s="1684"/>
      <c r="U1432" s="1684"/>
      <c r="V1432" s="1684"/>
      <c r="W1432" s="1684"/>
      <c r="X1432" s="1684"/>
      <c r="Y1432" s="1684"/>
      <c r="Z1432" s="1684"/>
      <c r="AA1432" s="1684"/>
      <c r="AB1432" s="1684"/>
      <c r="AC1432" s="1684"/>
      <c r="AD1432" s="1684"/>
      <c r="AE1432" s="1684"/>
      <c r="AF1432" s="1684"/>
      <c r="AG1432" s="1684"/>
      <c r="AH1432" s="1684"/>
      <c r="AI1432" s="1684"/>
      <c r="AJ1432" s="1684"/>
      <c r="AK1432" s="1684"/>
      <c r="AL1432" s="1684"/>
      <c r="AM1432" s="1684"/>
      <c r="AN1432" s="1684"/>
      <c r="AO1432" s="1684"/>
      <c r="AP1432" s="1684"/>
      <c r="AQ1432" s="1684"/>
      <c r="AR1432" s="1684"/>
      <c r="AS1432" s="1684"/>
      <c r="AT1432" s="1684"/>
      <c r="AU1432" s="1684"/>
      <c r="AV1432" s="1684"/>
      <c r="AW1432" s="1684"/>
      <c r="AX1432" s="1684"/>
      <c r="AY1432" s="1684"/>
      <c r="AZ1432" s="1684"/>
      <c r="BA1432" s="1684"/>
      <c r="BB1432" s="1684"/>
      <c r="BC1432" s="1684"/>
      <c r="BD1432" s="1684"/>
      <c r="BE1432" s="1684"/>
      <c r="BF1432" s="1684"/>
      <c r="BG1432" s="1684"/>
      <c r="BH1432" s="1684"/>
      <c r="BI1432" s="1684"/>
      <c r="BJ1432" s="1684"/>
      <c r="BK1432" s="1684"/>
      <c r="BL1432" s="1684"/>
      <c r="BM1432" s="1684"/>
      <c r="BN1432" s="1684"/>
      <c r="BO1432" s="1684"/>
      <c r="BP1432" s="1684"/>
      <c r="BQ1432" s="1684"/>
      <c r="BR1432" s="1684"/>
      <c r="BS1432" s="1684"/>
      <c r="BT1432" s="1684"/>
      <c r="BU1432" s="1684"/>
      <c r="BV1432" s="1684"/>
      <c r="BW1432" s="1684"/>
      <c r="BX1432" s="1684"/>
      <c r="BY1432" s="1684"/>
      <c r="BZ1432" s="1684"/>
      <c r="CA1432" s="1684"/>
      <c r="CB1432" s="1684"/>
      <c r="CC1432" s="1684"/>
      <c r="CD1432" s="1684"/>
      <c r="CE1432" s="1684"/>
      <c r="CF1432" s="1684"/>
      <c r="CG1432" s="1684"/>
      <c r="CH1432" s="1684"/>
      <c r="CI1432" s="1684"/>
      <c r="CJ1432" s="1684"/>
      <c r="CK1432" s="1684"/>
      <c r="CL1432" s="1684"/>
      <c r="CM1432" s="1684"/>
      <c r="CN1432" s="1684"/>
      <c r="CO1432" s="1684"/>
    </row>
    <row r="1433" spans="1:93" s="1391" customFormat="1" ht="15" x14ac:dyDescent="0.2">
      <c r="A1433" s="1684"/>
      <c r="B1433" s="1684"/>
      <c r="C1433" s="2013">
        <v>14</v>
      </c>
      <c r="D1433" s="5">
        <v>7.4249999999999998</v>
      </c>
      <c r="E1433" s="5">
        <v>239</v>
      </c>
      <c r="F1433" s="5">
        <v>265</v>
      </c>
      <c r="G1433" s="5">
        <v>290</v>
      </c>
      <c r="H1433" s="5">
        <v>316</v>
      </c>
      <c r="I1433" s="5">
        <v>341</v>
      </c>
      <c r="J1433" s="5">
        <v>366</v>
      </c>
      <c r="K1433" s="5">
        <v>391</v>
      </c>
      <c r="L1433" s="5">
        <v>417</v>
      </c>
      <c r="M1433" s="5">
        <v>441</v>
      </c>
      <c r="N1433" s="5">
        <v>466</v>
      </c>
      <c r="O1433" s="5">
        <v>482</v>
      </c>
      <c r="P1433" s="5">
        <v>517</v>
      </c>
      <c r="Q1433" s="1160">
        <v>7</v>
      </c>
      <c r="R1433"/>
      <c r="S1433" s="1684"/>
      <c r="T1433" s="1684"/>
      <c r="U1433" s="1684"/>
      <c r="V1433" s="1684"/>
      <c r="W1433" s="1684"/>
      <c r="X1433" s="1684"/>
      <c r="Y1433" s="1684"/>
      <c r="Z1433" s="1684"/>
      <c r="AA1433" s="1684"/>
      <c r="AB1433" s="1684"/>
      <c r="AC1433" s="1684"/>
      <c r="AD1433" s="1684"/>
      <c r="AE1433" s="1684"/>
      <c r="AF1433" s="1684"/>
      <c r="AG1433" s="1684"/>
      <c r="AH1433" s="1684"/>
      <c r="AI1433" s="1684"/>
      <c r="AJ1433" s="1684"/>
      <c r="AK1433" s="1684"/>
      <c r="AL1433" s="1684"/>
      <c r="AM1433" s="1684"/>
      <c r="AN1433" s="1684"/>
      <c r="AO1433" s="1684"/>
      <c r="AP1433" s="1684"/>
      <c r="AQ1433" s="1684"/>
      <c r="AR1433" s="1684"/>
      <c r="AS1433" s="1684"/>
      <c r="AT1433" s="1684"/>
      <c r="AU1433" s="1684"/>
      <c r="AV1433" s="1684"/>
      <c r="AW1433" s="1684"/>
      <c r="AX1433" s="1684"/>
      <c r="AY1433" s="1684"/>
      <c r="AZ1433" s="1684"/>
      <c r="BA1433" s="1684"/>
      <c r="BB1433" s="1684"/>
      <c r="BC1433" s="1684"/>
      <c r="BD1433" s="1684"/>
      <c r="BE1433" s="1684"/>
      <c r="BF1433" s="1684"/>
      <c r="BG1433" s="1684"/>
      <c r="BH1433" s="1684"/>
      <c r="BI1433" s="1684"/>
      <c r="BJ1433" s="1684"/>
      <c r="BK1433" s="1684"/>
      <c r="BL1433" s="1684"/>
      <c r="BM1433" s="1684"/>
      <c r="BN1433" s="1684"/>
      <c r="BO1433" s="1684"/>
      <c r="BP1433" s="1684"/>
      <c r="BQ1433" s="1684"/>
      <c r="BR1433" s="1684"/>
      <c r="BS1433" s="1684"/>
      <c r="BT1433" s="1684"/>
      <c r="BU1433" s="1684"/>
      <c r="BV1433" s="1684"/>
      <c r="BW1433" s="1684"/>
      <c r="BX1433" s="1684"/>
      <c r="BY1433" s="1684"/>
      <c r="BZ1433" s="1684"/>
      <c r="CA1433" s="1684"/>
      <c r="CB1433" s="1684"/>
      <c r="CC1433" s="1684"/>
      <c r="CD1433" s="1684"/>
      <c r="CE1433" s="1684"/>
      <c r="CF1433" s="1684"/>
      <c r="CG1433" s="1684"/>
      <c r="CH1433" s="1684"/>
      <c r="CI1433" s="1684"/>
      <c r="CJ1433" s="1684"/>
      <c r="CK1433" s="1684"/>
      <c r="CL1433" s="1684"/>
      <c r="CM1433" s="1684"/>
      <c r="CN1433" s="1684"/>
      <c r="CO1433" s="1684"/>
    </row>
    <row r="1434" spans="1:93" s="1391" customFormat="1" ht="15" x14ac:dyDescent="0.2">
      <c r="A1434" s="1684"/>
      <c r="B1434" s="1684"/>
      <c r="C1434" s="2013">
        <v>15</v>
      </c>
      <c r="D1434" s="5">
        <v>7.9020000000000001</v>
      </c>
      <c r="E1434" s="5">
        <v>259</v>
      </c>
      <c r="F1434" s="5">
        <v>288</v>
      </c>
      <c r="G1434" s="5">
        <v>315</v>
      </c>
      <c r="H1434" s="5">
        <v>342</v>
      </c>
      <c r="I1434" s="5">
        <v>370</v>
      </c>
      <c r="J1434" s="5">
        <v>397</v>
      </c>
      <c r="K1434" s="5">
        <v>424</v>
      </c>
      <c r="L1434" s="5">
        <v>453</v>
      </c>
      <c r="M1434" s="5">
        <v>479</v>
      </c>
      <c r="N1434" s="5">
        <v>506</v>
      </c>
      <c r="O1434" s="5">
        <v>533</v>
      </c>
      <c r="P1434" s="5">
        <v>561</v>
      </c>
      <c r="Q1434" s="1160">
        <v>8</v>
      </c>
      <c r="R1434"/>
      <c r="S1434" s="1684"/>
      <c r="T1434" s="1684"/>
      <c r="U1434" s="1684"/>
      <c r="V1434" s="1684"/>
      <c r="W1434" s="1684"/>
      <c r="X1434" s="1684"/>
      <c r="Y1434" s="1684"/>
      <c r="Z1434" s="1684"/>
      <c r="AA1434" s="1684"/>
      <c r="AB1434" s="1684"/>
      <c r="AC1434" s="1684"/>
      <c r="AD1434" s="1684"/>
      <c r="AE1434" s="1684"/>
      <c r="AF1434" s="1684"/>
      <c r="AG1434" s="1684"/>
      <c r="AH1434" s="1684"/>
      <c r="AI1434" s="1684"/>
      <c r="AJ1434" s="1684"/>
      <c r="AK1434" s="1684"/>
      <c r="AL1434" s="1684"/>
      <c r="AM1434" s="1684"/>
      <c r="AN1434" s="1684"/>
      <c r="AO1434" s="1684"/>
      <c r="AP1434" s="1684"/>
      <c r="AQ1434" s="1684"/>
      <c r="AR1434" s="1684"/>
      <c r="AS1434" s="1684"/>
      <c r="AT1434" s="1684"/>
      <c r="AU1434" s="1684"/>
      <c r="AV1434" s="1684"/>
      <c r="AW1434" s="1684"/>
      <c r="AX1434" s="1684"/>
      <c r="AY1434" s="1684"/>
      <c r="AZ1434" s="1684"/>
      <c r="BA1434" s="1684"/>
      <c r="BB1434" s="1684"/>
      <c r="BC1434" s="1684"/>
      <c r="BD1434" s="1684"/>
      <c r="BE1434" s="1684"/>
      <c r="BF1434" s="1684"/>
      <c r="BG1434" s="1684"/>
      <c r="BH1434" s="1684"/>
      <c r="BI1434" s="1684"/>
      <c r="BJ1434" s="1684"/>
      <c r="BK1434" s="1684"/>
      <c r="BL1434" s="1684"/>
      <c r="BM1434" s="1684"/>
      <c r="BN1434" s="1684"/>
      <c r="BO1434" s="1684"/>
      <c r="BP1434" s="1684"/>
      <c r="BQ1434" s="1684"/>
      <c r="BR1434" s="1684"/>
      <c r="BS1434" s="1684"/>
      <c r="BT1434" s="1684"/>
      <c r="BU1434" s="1684"/>
      <c r="BV1434" s="1684"/>
      <c r="BW1434" s="1684"/>
      <c r="BX1434" s="1684"/>
      <c r="BY1434" s="1684"/>
      <c r="BZ1434" s="1684"/>
      <c r="CA1434" s="1684"/>
      <c r="CB1434" s="1684"/>
      <c r="CC1434" s="1684"/>
      <c r="CD1434" s="1684"/>
      <c r="CE1434" s="1684"/>
      <c r="CF1434" s="1684"/>
      <c r="CG1434" s="1684"/>
      <c r="CH1434" s="1684"/>
      <c r="CI1434" s="1684"/>
      <c r="CJ1434" s="1684"/>
      <c r="CK1434" s="1684"/>
      <c r="CL1434" s="1684"/>
      <c r="CM1434" s="1684"/>
      <c r="CN1434" s="1684"/>
      <c r="CO1434" s="1684"/>
    </row>
    <row r="1435" spans="1:93" s="1391" customFormat="1" ht="15" x14ac:dyDescent="0.2">
      <c r="A1435" s="1684"/>
      <c r="B1435" s="1684"/>
      <c r="C1435" s="2013">
        <v>16</v>
      </c>
      <c r="D1435" s="5">
        <v>8.5139999999999993</v>
      </c>
      <c r="E1435" s="5">
        <v>279</v>
      </c>
      <c r="F1435" s="5">
        <v>310</v>
      </c>
      <c r="G1435" s="5">
        <v>339</v>
      </c>
      <c r="H1435" s="5">
        <v>369</v>
      </c>
      <c r="I1435" s="5">
        <v>398</v>
      </c>
      <c r="J1435" s="5">
        <v>428</v>
      </c>
      <c r="K1435" s="5">
        <v>457</v>
      </c>
      <c r="L1435" s="5">
        <v>488</v>
      </c>
      <c r="M1435" s="5">
        <v>516</v>
      </c>
      <c r="N1435" s="5">
        <v>545</v>
      </c>
      <c r="O1435" s="5">
        <v>575</v>
      </c>
      <c r="P1435" s="5">
        <v>604</v>
      </c>
      <c r="Q1435" s="1160">
        <v>9</v>
      </c>
      <c r="R1435"/>
      <c r="S1435" s="1684"/>
      <c r="T1435" s="1684"/>
      <c r="U1435" s="1684"/>
      <c r="V1435" s="1684"/>
      <c r="W1435" s="1684"/>
      <c r="X1435" s="1684"/>
      <c r="Y1435" s="1684"/>
      <c r="Z1435" s="1684"/>
      <c r="AA1435" s="1684"/>
      <c r="AB1435" s="1684"/>
      <c r="AC1435" s="1684"/>
      <c r="AD1435" s="1684"/>
      <c r="AE1435" s="1684"/>
      <c r="AF1435" s="1684"/>
      <c r="AG1435" s="1684"/>
      <c r="AH1435" s="1684"/>
      <c r="AI1435" s="1684"/>
      <c r="AJ1435" s="1684"/>
      <c r="AK1435" s="1684"/>
      <c r="AL1435" s="1684"/>
      <c r="AM1435" s="1684"/>
      <c r="AN1435" s="1684"/>
      <c r="AO1435" s="1684"/>
      <c r="AP1435" s="1684"/>
      <c r="AQ1435" s="1684"/>
      <c r="AR1435" s="1684"/>
      <c r="AS1435" s="1684"/>
      <c r="AT1435" s="1684"/>
      <c r="AU1435" s="1684"/>
      <c r="AV1435" s="1684"/>
      <c r="AW1435" s="1684"/>
      <c r="AX1435" s="1684"/>
      <c r="AY1435" s="1684"/>
      <c r="AZ1435" s="1684"/>
      <c r="BA1435" s="1684"/>
      <c r="BB1435" s="1684"/>
      <c r="BC1435" s="1684"/>
      <c r="BD1435" s="1684"/>
      <c r="BE1435" s="1684"/>
      <c r="BF1435" s="1684"/>
      <c r="BG1435" s="1684"/>
      <c r="BH1435" s="1684"/>
      <c r="BI1435" s="1684"/>
      <c r="BJ1435" s="1684"/>
      <c r="BK1435" s="1684"/>
      <c r="BL1435" s="1684"/>
      <c r="BM1435" s="1684"/>
      <c r="BN1435" s="1684"/>
      <c r="BO1435" s="1684"/>
      <c r="BP1435" s="1684"/>
      <c r="BQ1435" s="1684"/>
      <c r="BR1435" s="1684"/>
      <c r="BS1435" s="1684"/>
      <c r="BT1435" s="1684"/>
      <c r="BU1435" s="1684"/>
      <c r="BV1435" s="1684"/>
      <c r="BW1435" s="1684"/>
      <c r="BX1435" s="1684"/>
      <c r="BY1435" s="1684"/>
      <c r="BZ1435" s="1684"/>
      <c r="CA1435" s="1684"/>
      <c r="CB1435" s="1684"/>
      <c r="CC1435" s="1684"/>
      <c r="CD1435" s="1684"/>
      <c r="CE1435" s="1684"/>
      <c r="CF1435" s="1684"/>
      <c r="CG1435" s="1684"/>
      <c r="CH1435" s="1684"/>
      <c r="CI1435" s="1684"/>
      <c r="CJ1435" s="1684"/>
      <c r="CK1435" s="1684"/>
      <c r="CL1435" s="1684"/>
      <c r="CM1435" s="1684"/>
      <c r="CN1435" s="1684"/>
      <c r="CO1435" s="1684"/>
    </row>
    <row r="1436" spans="1:93" s="1391" customFormat="1" ht="15" x14ac:dyDescent="0.2">
      <c r="A1436" s="1684"/>
      <c r="B1436" s="1684"/>
      <c r="C1436" s="2013">
        <v>17</v>
      </c>
      <c r="D1436" s="5">
        <v>9.1649999999999991</v>
      </c>
      <c r="E1436" s="5">
        <v>298</v>
      </c>
      <c r="F1436" s="5">
        <v>331</v>
      </c>
      <c r="G1436" s="5">
        <v>362</v>
      </c>
      <c r="H1436" s="5">
        <v>393</v>
      </c>
      <c r="I1436" s="5">
        <v>425</v>
      </c>
      <c r="J1436" s="5">
        <v>456</v>
      </c>
      <c r="K1436" s="5">
        <v>488</v>
      </c>
      <c r="L1436" s="5">
        <v>520</v>
      </c>
      <c r="M1436" s="5">
        <v>550</v>
      </c>
      <c r="N1436" s="5">
        <v>582</v>
      </c>
      <c r="O1436" s="5">
        <v>613</v>
      </c>
      <c r="P1436" s="5">
        <v>644</v>
      </c>
      <c r="Q1436" s="1160">
        <v>10</v>
      </c>
      <c r="R1436"/>
      <c r="S1436" s="1684"/>
      <c r="T1436" s="1684"/>
      <c r="U1436" s="1684"/>
      <c r="V1436" s="1684"/>
      <c r="W1436" s="1684"/>
      <c r="X1436" s="1684"/>
      <c r="Y1436" s="1684"/>
      <c r="Z1436" s="1684"/>
      <c r="AA1436" s="1684"/>
      <c r="AB1436" s="1684"/>
      <c r="AC1436" s="1684"/>
      <c r="AD1436" s="1684"/>
      <c r="AE1436" s="1684"/>
      <c r="AF1436" s="1684"/>
      <c r="AG1436" s="1684"/>
      <c r="AH1436" s="1684"/>
      <c r="AI1436" s="1684"/>
      <c r="AJ1436" s="1684"/>
      <c r="AK1436" s="1684"/>
      <c r="AL1436" s="1684"/>
      <c r="AM1436" s="1684"/>
      <c r="AN1436" s="1684"/>
      <c r="AO1436" s="1684"/>
      <c r="AP1436" s="1684"/>
      <c r="AQ1436" s="1684"/>
      <c r="AR1436" s="1684"/>
      <c r="AS1436" s="1684"/>
      <c r="AT1436" s="1684"/>
      <c r="AU1436" s="1684"/>
      <c r="AV1436" s="1684"/>
      <c r="AW1436" s="1684"/>
      <c r="AX1436" s="1684"/>
      <c r="AY1436" s="1684"/>
      <c r="AZ1436" s="1684"/>
      <c r="BA1436" s="1684"/>
      <c r="BB1436" s="1684"/>
      <c r="BC1436" s="1684"/>
      <c r="BD1436" s="1684"/>
      <c r="BE1436" s="1684"/>
      <c r="BF1436" s="1684"/>
      <c r="BG1436" s="1684"/>
      <c r="BH1436" s="1684"/>
      <c r="BI1436" s="1684"/>
      <c r="BJ1436" s="1684"/>
      <c r="BK1436" s="1684"/>
      <c r="BL1436" s="1684"/>
      <c r="BM1436" s="1684"/>
      <c r="BN1436" s="1684"/>
      <c r="BO1436" s="1684"/>
      <c r="BP1436" s="1684"/>
      <c r="BQ1436" s="1684"/>
      <c r="BR1436" s="1684"/>
      <c r="BS1436" s="1684"/>
      <c r="BT1436" s="1684"/>
      <c r="BU1436" s="1684"/>
      <c r="BV1436" s="1684"/>
      <c r="BW1436" s="1684"/>
      <c r="BX1436" s="1684"/>
      <c r="BY1436" s="1684"/>
      <c r="BZ1436" s="1684"/>
      <c r="CA1436" s="1684"/>
      <c r="CB1436" s="1684"/>
      <c r="CC1436" s="1684"/>
      <c r="CD1436" s="1684"/>
      <c r="CE1436" s="1684"/>
      <c r="CF1436" s="1684"/>
      <c r="CG1436" s="1684"/>
      <c r="CH1436" s="1684"/>
      <c r="CI1436" s="1684"/>
      <c r="CJ1436" s="1684"/>
      <c r="CK1436" s="1684"/>
      <c r="CL1436" s="1684"/>
      <c r="CM1436" s="1684"/>
      <c r="CN1436" s="1684"/>
      <c r="CO1436" s="1684"/>
    </row>
    <row r="1437" spans="1:93" s="1391" customFormat="1" ht="15" x14ac:dyDescent="0.2">
      <c r="A1437" s="1684"/>
      <c r="B1437" s="1684"/>
      <c r="C1437" s="2013">
        <v>18</v>
      </c>
      <c r="D1437" s="5">
        <v>9.59</v>
      </c>
      <c r="E1437" s="5">
        <v>315</v>
      </c>
      <c r="F1437" s="5">
        <v>350</v>
      </c>
      <c r="G1437" s="5">
        <v>383</v>
      </c>
      <c r="H1437" s="5">
        <v>416</v>
      </c>
      <c r="I1437" s="5">
        <v>449</v>
      </c>
      <c r="J1437" s="5">
        <v>482</v>
      </c>
      <c r="K1437" s="5">
        <v>516</v>
      </c>
      <c r="L1437" s="5">
        <v>550</v>
      </c>
      <c r="M1437" s="5">
        <v>582</v>
      </c>
      <c r="N1437" s="5">
        <v>615</v>
      </c>
      <c r="O1437" s="5">
        <v>648</v>
      </c>
      <c r="P1437" s="5">
        <v>681</v>
      </c>
      <c r="Q1437" s="1160">
        <v>11</v>
      </c>
      <c r="R1437"/>
      <c r="S1437" s="1684"/>
      <c r="T1437" s="1684"/>
      <c r="U1437" s="1684"/>
      <c r="V1437" s="1684"/>
      <c r="W1437" s="1684"/>
      <c r="X1437" s="1684"/>
      <c r="Y1437" s="1684"/>
      <c r="Z1437" s="1684"/>
      <c r="AA1437" s="1684"/>
      <c r="AB1437" s="1684"/>
      <c r="AC1437" s="1684"/>
      <c r="AD1437" s="1684"/>
      <c r="AE1437" s="1684"/>
      <c r="AF1437" s="1684"/>
      <c r="AG1437" s="1684"/>
      <c r="AH1437" s="1684"/>
      <c r="AI1437" s="1684"/>
      <c r="AJ1437" s="1684"/>
      <c r="AK1437" s="1684"/>
      <c r="AL1437" s="1684"/>
      <c r="AM1437" s="1684"/>
      <c r="AN1437" s="1684"/>
      <c r="AO1437" s="1684"/>
      <c r="AP1437" s="1684"/>
      <c r="AQ1437" s="1684"/>
      <c r="AR1437" s="1684"/>
      <c r="AS1437" s="1684"/>
      <c r="AT1437" s="1684"/>
      <c r="AU1437" s="1684"/>
      <c r="AV1437" s="1684"/>
      <c r="AW1437" s="1684"/>
      <c r="AX1437" s="1684"/>
      <c r="AY1437" s="1684"/>
      <c r="AZ1437" s="1684"/>
      <c r="BA1437" s="1684"/>
      <c r="BB1437" s="1684"/>
      <c r="BC1437" s="1684"/>
      <c r="BD1437" s="1684"/>
      <c r="BE1437" s="1684"/>
      <c r="BF1437" s="1684"/>
      <c r="BG1437" s="1684"/>
      <c r="BH1437" s="1684"/>
      <c r="BI1437" s="1684"/>
      <c r="BJ1437" s="1684"/>
      <c r="BK1437" s="1684"/>
      <c r="BL1437" s="1684"/>
      <c r="BM1437" s="1684"/>
      <c r="BN1437" s="1684"/>
      <c r="BO1437" s="1684"/>
      <c r="BP1437" s="1684"/>
      <c r="BQ1437" s="1684"/>
      <c r="BR1437" s="1684"/>
      <c r="BS1437" s="1684"/>
      <c r="BT1437" s="1684"/>
      <c r="BU1437" s="1684"/>
      <c r="BV1437" s="1684"/>
      <c r="BW1437" s="1684"/>
      <c r="BX1437" s="1684"/>
      <c r="BY1437" s="1684"/>
      <c r="BZ1437" s="1684"/>
      <c r="CA1437" s="1684"/>
      <c r="CB1437" s="1684"/>
      <c r="CC1437" s="1684"/>
      <c r="CD1437" s="1684"/>
      <c r="CE1437" s="1684"/>
      <c r="CF1437" s="1684"/>
      <c r="CG1437" s="1684"/>
      <c r="CH1437" s="1684"/>
      <c r="CI1437" s="1684"/>
      <c r="CJ1437" s="1684"/>
      <c r="CK1437" s="1684"/>
      <c r="CL1437" s="1684"/>
      <c r="CM1437" s="1684"/>
      <c r="CN1437" s="1684"/>
      <c r="CO1437" s="1684"/>
    </row>
    <row r="1438" spans="1:93" s="1391" customFormat="1" ht="15" x14ac:dyDescent="0.2">
      <c r="A1438" s="1684"/>
      <c r="B1438" s="1684"/>
      <c r="C1438" s="4680" t="s">
        <v>3691</v>
      </c>
      <c r="D1438" s="4681"/>
      <c r="E1438" s="4681"/>
      <c r="F1438" s="4681"/>
      <c r="G1438" s="4681"/>
      <c r="H1438" s="4681"/>
      <c r="I1438" s="4681"/>
      <c r="J1438" s="4681"/>
      <c r="K1438" s="4681"/>
      <c r="L1438" s="4681"/>
      <c r="M1438" s="4681"/>
      <c r="N1438" s="4681"/>
      <c r="O1438" s="4681"/>
      <c r="P1438" s="4681"/>
      <c r="Q1438" s="4682"/>
      <c r="R1438"/>
      <c r="S1438" s="1684"/>
      <c r="T1438" s="1684"/>
      <c r="U1438" s="1684"/>
      <c r="V1438" s="1684"/>
      <c r="W1438" s="1684"/>
      <c r="X1438" s="1684"/>
      <c r="Y1438" s="1684"/>
      <c r="Z1438" s="1684"/>
      <c r="AA1438" s="1684"/>
      <c r="AB1438" s="1684"/>
      <c r="AC1438" s="1684"/>
      <c r="AD1438" s="1684"/>
      <c r="AE1438" s="1684"/>
      <c r="AF1438" s="1684"/>
      <c r="AG1438" s="1684"/>
      <c r="AH1438" s="1684"/>
      <c r="AI1438" s="1684"/>
      <c r="AJ1438" s="1684"/>
      <c r="AK1438" s="1684"/>
      <c r="AL1438" s="1684"/>
      <c r="AM1438" s="1684"/>
      <c r="AN1438" s="1684"/>
      <c r="AO1438" s="1684"/>
      <c r="AP1438" s="1684"/>
      <c r="AQ1438" s="1684"/>
      <c r="AR1438" s="1684"/>
      <c r="AS1438" s="1684"/>
      <c r="AT1438" s="1684"/>
      <c r="AU1438" s="1684"/>
      <c r="AV1438" s="1684"/>
      <c r="AW1438" s="1684"/>
      <c r="AX1438" s="1684"/>
      <c r="AY1438" s="1684"/>
      <c r="AZ1438" s="1684"/>
      <c r="BA1438" s="1684"/>
      <c r="BB1438" s="1684"/>
      <c r="BC1438" s="1684"/>
      <c r="BD1438" s="1684"/>
      <c r="BE1438" s="1684"/>
      <c r="BF1438" s="1684"/>
      <c r="BG1438" s="1684"/>
      <c r="BH1438" s="1684"/>
      <c r="BI1438" s="1684"/>
      <c r="BJ1438" s="1684"/>
      <c r="BK1438" s="1684"/>
      <c r="BL1438" s="1684"/>
      <c r="BM1438" s="1684"/>
      <c r="BN1438" s="1684"/>
      <c r="BO1438" s="1684"/>
      <c r="BP1438" s="1684"/>
      <c r="BQ1438" s="1684"/>
      <c r="BR1438" s="1684"/>
      <c r="BS1438" s="1684"/>
      <c r="BT1438" s="1684"/>
      <c r="BU1438" s="1684"/>
      <c r="BV1438" s="1684"/>
      <c r="BW1438" s="1684"/>
      <c r="BX1438" s="1684"/>
      <c r="BY1438" s="1684"/>
      <c r="BZ1438" s="1684"/>
      <c r="CA1438" s="1684"/>
      <c r="CB1438" s="1684"/>
      <c r="CC1438" s="1684"/>
      <c r="CD1438" s="1684"/>
      <c r="CE1438" s="1684"/>
      <c r="CF1438" s="1684"/>
      <c r="CG1438" s="1684"/>
      <c r="CH1438" s="1684"/>
      <c r="CI1438" s="1684"/>
      <c r="CJ1438" s="1684"/>
      <c r="CK1438" s="1684"/>
      <c r="CL1438" s="1684"/>
      <c r="CM1438" s="1684"/>
      <c r="CN1438" s="1684"/>
      <c r="CO1438" s="1684"/>
    </row>
    <row r="1439" spans="1:93" s="1391" customFormat="1" ht="15" x14ac:dyDescent="0.2">
      <c r="A1439" s="1684"/>
      <c r="B1439" s="1684"/>
      <c r="C1439" s="4680"/>
      <c r="D1439" s="4681"/>
      <c r="E1439" s="4681"/>
      <c r="F1439" s="4681"/>
      <c r="G1439" s="4681"/>
      <c r="H1439" s="4681"/>
      <c r="I1439" s="4681"/>
      <c r="J1439" s="4681"/>
      <c r="K1439" s="4681"/>
      <c r="L1439" s="4681"/>
      <c r="M1439" s="4681"/>
      <c r="N1439" s="4681"/>
      <c r="O1439" s="4681"/>
      <c r="P1439" s="4681"/>
      <c r="Q1439" s="4682"/>
      <c r="R1439"/>
      <c r="S1439" s="1684"/>
      <c r="T1439" s="1684"/>
      <c r="U1439" s="1684"/>
      <c r="V1439" s="1684"/>
      <c r="W1439" s="1684"/>
      <c r="X1439" s="1684"/>
      <c r="Y1439" s="1684"/>
      <c r="Z1439" s="1684"/>
      <c r="AA1439" s="1684"/>
      <c r="AB1439" s="1684"/>
      <c r="AC1439" s="1684"/>
      <c r="AD1439" s="1684"/>
      <c r="AE1439" s="1684"/>
      <c r="AF1439" s="1684"/>
      <c r="AG1439" s="1684"/>
      <c r="AH1439" s="1684"/>
      <c r="AI1439" s="1684"/>
      <c r="AJ1439" s="1684"/>
      <c r="AK1439" s="1684"/>
      <c r="AL1439" s="1684"/>
      <c r="AM1439" s="1684"/>
      <c r="AN1439" s="1684"/>
      <c r="AO1439" s="1684"/>
      <c r="AP1439" s="1684"/>
      <c r="AQ1439" s="1684"/>
      <c r="AR1439" s="1684"/>
      <c r="AS1439" s="1684"/>
      <c r="AT1439" s="1684"/>
      <c r="AU1439" s="1684"/>
      <c r="AV1439" s="1684"/>
      <c r="AW1439" s="1684"/>
      <c r="AX1439" s="1684"/>
      <c r="AY1439" s="1684"/>
      <c r="AZ1439" s="1684"/>
      <c r="BA1439" s="1684"/>
      <c r="BB1439" s="1684"/>
      <c r="BC1439" s="1684"/>
      <c r="BD1439" s="1684"/>
      <c r="BE1439" s="1684"/>
      <c r="BF1439" s="1684"/>
      <c r="BG1439" s="1684"/>
      <c r="BH1439" s="1684"/>
      <c r="BI1439" s="1684"/>
      <c r="BJ1439" s="1684"/>
      <c r="BK1439" s="1684"/>
      <c r="BL1439" s="1684"/>
      <c r="BM1439" s="1684"/>
      <c r="BN1439" s="1684"/>
      <c r="BO1439" s="1684"/>
      <c r="BP1439" s="1684"/>
      <c r="BQ1439" s="1684"/>
      <c r="BR1439" s="1684"/>
      <c r="BS1439" s="1684"/>
      <c r="BT1439" s="1684"/>
      <c r="BU1439" s="1684"/>
      <c r="BV1439" s="1684"/>
      <c r="BW1439" s="1684"/>
      <c r="BX1439" s="1684"/>
      <c r="BY1439" s="1684"/>
      <c r="BZ1439" s="1684"/>
      <c r="CA1439" s="1684"/>
      <c r="CB1439" s="1684"/>
      <c r="CC1439" s="1684"/>
      <c r="CD1439" s="1684"/>
      <c r="CE1439" s="1684"/>
      <c r="CF1439" s="1684"/>
      <c r="CG1439" s="1684"/>
      <c r="CH1439" s="1684"/>
      <c r="CI1439" s="1684"/>
      <c r="CJ1439" s="1684"/>
      <c r="CK1439" s="1684"/>
      <c r="CL1439" s="1684"/>
      <c r="CM1439" s="1684"/>
      <c r="CN1439" s="1684"/>
      <c r="CO1439" s="1684"/>
    </row>
    <row r="1440" spans="1:93" s="1391" customFormat="1" ht="15" x14ac:dyDescent="0.2">
      <c r="A1440" s="1684"/>
      <c r="B1440" s="1684"/>
      <c r="C1440" s="2014"/>
      <c r="D1440" s="2015"/>
      <c r="E1440" s="2015">
        <v>1</v>
      </c>
      <c r="F1440" s="2015">
        <v>2</v>
      </c>
      <c r="G1440" s="2015">
        <v>3</v>
      </c>
      <c r="H1440" s="2015">
        <v>4</v>
      </c>
      <c r="I1440" s="2015">
        <v>5</v>
      </c>
      <c r="J1440" s="2015">
        <v>6</v>
      </c>
      <c r="K1440" s="2015">
        <v>7</v>
      </c>
      <c r="L1440" s="2015">
        <v>8</v>
      </c>
      <c r="M1440" s="2015">
        <v>9</v>
      </c>
      <c r="N1440" s="2015">
        <v>10</v>
      </c>
      <c r="O1440" s="2015">
        <v>11</v>
      </c>
      <c r="P1440" s="2015">
        <v>12</v>
      </c>
      <c r="Q1440" s="2016"/>
      <c r="R1440"/>
      <c r="S1440" s="1684"/>
      <c r="T1440" s="1684"/>
      <c r="U1440" s="1684"/>
      <c r="V1440" s="1684"/>
      <c r="W1440" s="1684"/>
      <c r="X1440" s="1684"/>
      <c r="Y1440" s="1684"/>
      <c r="Z1440" s="1684"/>
      <c r="AA1440" s="1684"/>
      <c r="AB1440" s="1684"/>
      <c r="AC1440" s="1684"/>
      <c r="AD1440" s="1684"/>
      <c r="AE1440" s="1684"/>
      <c r="AF1440" s="1684"/>
      <c r="AG1440" s="1684"/>
      <c r="AH1440" s="1684"/>
      <c r="AI1440" s="1684"/>
      <c r="AJ1440" s="1684"/>
      <c r="AK1440" s="1684"/>
      <c r="AL1440" s="1684"/>
      <c r="AM1440" s="1684"/>
      <c r="AN1440" s="1684"/>
      <c r="AO1440" s="1684"/>
      <c r="AP1440" s="1684"/>
      <c r="AQ1440" s="1684"/>
      <c r="AR1440" s="1684"/>
      <c r="AS1440" s="1684"/>
      <c r="AT1440" s="1684"/>
      <c r="AU1440" s="1684"/>
      <c r="AV1440" s="1684"/>
      <c r="AW1440" s="1684"/>
      <c r="AX1440" s="1684"/>
      <c r="AY1440" s="1684"/>
      <c r="AZ1440" s="1684"/>
      <c r="BA1440" s="1684"/>
      <c r="BB1440" s="1684"/>
      <c r="BC1440" s="1684"/>
      <c r="BD1440" s="1684"/>
      <c r="BE1440" s="1684"/>
      <c r="BF1440" s="1684"/>
      <c r="BG1440" s="1684"/>
      <c r="BH1440" s="1684"/>
      <c r="BI1440" s="1684"/>
      <c r="BJ1440" s="1684"/>
      <c r="BK1440" s="1684"/>
      <c r="BL1440" s="1684"/>
      <c r="BM1440" s="1684"/>
      <c r="BN1440" s="1684"/>
      <c r="BO1440" s="1684"/>
      <c r="BP1440" s="1684"/>
      <c r="BQ1440" s="1684"/>
      <c r="BR1440" s="1684"/>
      <c r="BS1440" s="1684"/>
      <c r="BT1440" s="1684"/>
      <c r="BU1440" s="1684"/>
      <c r="BV1440" s="1684"/>
      <c r="BW1440" s="1684"/>
      <c r="BX1440" s="1684"/>
      <c r="BY1440" s="1684"/>
      <c r="BZ1440" s="1684"/>
      <c r="CA1440" s="1684"/>
      <c r="CB1440" s="1684"/>
      <c r="CC1440" s="1684"/>
      <c r="CD1440" s="1684"/>
      <c r="CE1440" s="1684"/>
      <c r="CF1440" s="1684"/>
      <c r="CG1440" s="1684"/>
      <c r="CH1440" s="1684"/>
      <c r="CI1440" s="1684"/>
      <c r="CJ1440" s="1684"/>
      <c r="CK1440" s="1684"/>
      <c r="CL1440" s="1684"/>
      <c r="CM1440" s="1684"/>
      <c r="CN1440" s="1684"/>
      <c r="CO1440" s="1684"/>
    </row>
    <row r="1441" spans="1:93" s="1391" customFormat="1" ht="15" x14ac:dyDescent="0.2">
      <c r="A1441" s="1684"/>
      <c r="B1441" s="1684"/>
      <c r="C1441" s="2013">
        <v>8</v>
      </c>
      <c r="D1441" s="5">
        <v>5.3639999999999999</v>
      </c>
      <c r="E1441" s="5">
        <v>147</v>
      </c>
      <c r="F1441" s="5">
        <v>163</v>
      </c>
      <c r="G1441" s="5">
        <v>178</v>
      </c>
      <c r="H1441" s="5">
        <v>194</v>
      </c>
      <c r="I1441" s="5">
        <v>209</v>
      </c>
      <c r="J1441" s="5">
        <v>225</v>
      </c>
      <c r="K1441" s="5">
        <v>240</v>
      </c>
      <c r="L1441" s="5">
        <v>257</v>
      </c>
      <c r="M1441" s="5">
        <v>271</v>
      </c>
      <c r="N1441" s="5">
        <v>287</v>
      </c>
      <c r="O1441" s="5">
        <v>302</v>
      </c>
      <c r="P1441" s="5">
        <v>318</v>
      </c>
      <c r="Q1441" s="1160">
        <v>12</v>
      </c>
      <c r="R1441"/>
      <c r="S1441" s="1684"/>
      <c r="T1441" s="1684"/>
      <c r="U1441" s="1684"/>
      <c r="V1441" s="1684"/>
      <c r="W1441" s="1684"/>
      <c r="X1441" s="1684"/>
      <c r="Y1441" s="1684"/>
      <c r="Z1441" s="1684"/>
      <c r="AA1441" s="1684"/>
      <c r="AB1441" s="1684"/>
      <c r="AC1441" s="1684"/>
      <c r="AD1441" s="1684"/>
      <c r="AE1441" s="1684"/>
      <c r="AF1441" s="1684"/>
      <c r="AG1441" s="1684"/>
      <c r="AH1441" s="1684"/>
      <c r="AI1441" s="1684"/>
      <c r="AJ1441" s="1684"/>
      <c r="AK1441" s="1684"/>
      <c r="AL1441" s="1684"/>
      <c r="AM1441" s="1684"/>
      <c r="AN1441" s="1684"/>
      <c r="AO1441" s="1684"/>
      <c r="AP1441" s="1684"/>
      <c r="AQ1441" s="1684"/>
      <c r="AR1441" s="1684"/>
      <c r="AS1441" s="1684"/>
      <c r="AT1441" s="1684"/>
      <c r="AU1441" s="1684"/>
      <c r="AV1441" s="1684"/>
      <c r="AW1441" s="1684"/>
      <c r="AX1441" s="1684"/>
      <c r="AY1441" s="1684"/>
      <c r="AZ1441" s="1684"/>
      <c r="BA1441" s="1684"/>
      <c r="BB1441" s="1684"/>
      <c r="BC1441" s="1684"/>
      <c r="BD1441" s="1684"/>
      <c r="BE1441" s="1684"/>
      <c r="BF1441" s="1684"/>
      <c r="BG1441" s="1684"/>
      <c r="BH1441" s="1684"/>
      <c r="BI1441" s="1684"/>
      <c r="BJ1441" s="1684"/>
      <c r="BK1441" s="1684"/>
      <c r="BL1441" s="1684"/>
      <c r="BM1441" s="1684"/>
      <c r="BN1441" s="1684"/>
      <c r="BO1441" s="1684"/>
      <c r="BP1441" s="1684"/>
      <c r="BQ1441" s="1684"/>
      <c r="BR1441" s="1684"/>
      <c r="BS1441" s="1684"/>
      <c r="BT1441" s="1684"/>
      <c r="BU1441" s="1684"/>
      <c r="BV1441" s="1684"/>
      <c r="BW1441" s="1684"/>
      <c r="BX1441" s="1684"/>
      <c r="BY1441" s="1684"/>
      <c r="BZ1441" s="1684"/>
      <c r="CA1441" s="1684"/>
      <c r="CB1441" s="1684"/>
      <c r="CC1441" s="1684"/>
      <c r="CD1441" s="1684"/>
      <c r="CE1441" s="1684"/>
      <c r="CF1441" s="1684"/>
      <c r="CG1441" s="1684"/>
      <c r="CH1441" s="1684"/>
      <c r="CI1441" s="1684"/>
      <c r="CJ1441" s="1684"/>
      <c r="CK1441" s="1684"/>
      <c r="CL1441" s="1684"/>
      <c r="CM1441" s="1684"/>
      <c r="CN1441" s="1684"/>
      <c r="CO1441" s="1684"/>
    </row>
    <row r="1442" spans="1:93" s="1391" customFormat="1" ht="15" x14ac:dyDescent="0.2">
      <c r="A1442" s="1684"/>
      <c r="B1442" s="1684"/>
      <c r="C1442" s="2013">
        <v>9</v>
      </c>
      <c r="D1442" s="5">
        <v>5.7160000000000002</v>
      </c>
      <c r="E1442" s="5">
        <v>163</v>
      </c>
      <c r="F1442" s="5">
        <v>181</v>
      </c>
      <c r="G1442" s="5">
        <v>198</v>
      </c>
      <c r="H1442" s="5">
        <v>215</v>
      </c>
      <c r="I1442" s="5">
        <v>232</v>
      </c>
      <c r="J1442" s="5">
        <v>246</v>
      </c>
      <c r="K1442" s="5">
        <v>266</v>
      </c>
      <c r="L1442" s="5">
        <v>284</v>
      </c>
      <c r="M1442" s="5">
        <v>301</v>
      </c>
      <c r="N1442" s="5">
        <v>318</v>
      </c>
      <c r="O1442" s="5">
        <v>335</v>
      </c>
      <c r="P1442" s="5">
        <v>352</v>
      </c>
      <c r="Q1442" s="1160">
        <v>13</v>
      </c>
      <c r="R1442"/>
      <c r="S1442" s="1684"/>
      <c r="T1442" s="1684"/>
      <c r="U1442" s="1684"/>
      <c r="V1442" s="1684"/>
      <c r="W1442" s="1684"/>
      <c r="X1442" s="1684"/>
      <c r="Y1442" s="1684"/>
      <c r="Z1442" s="1684"/>
      <c r="AA1442" s="1684"/>
      <c r="AB1442" s="1684"/>
      <c r="AC1442" s="1684"/>
      <c r="AD1442" s="1684"/>
      <c r="AE1442" s="1684"/>
      <c r="AF1442" s="1684"/>
      <c r="AG1442" s="1684"/>
      <c r="AH1442" s="1684"/>
      <c r="AI1442" s="1684"/>
      <c r="AJ1442" s="1684"/>
      <c r="AK1442" s="1684"/>
      <c r="AL1442" s="1684"/>
      <c r="AM1442" s="1684"/>
      <c r="AN1442" s="1684"/>
      <c r="AO1442" s="1684"/>
      <c r="AP1442" s="1684"/>
      <c r="AQ1442" s="1684"/>
      <c r="AR1442" s="1684"/>
      <c r="AS1442" s="1684"/>
      <c r="AT1442" s="1684"/>
      <c r="AU1442" s="1684"/>
      <c r="AV1442" s="1684"/>
      <c r="AW1442" s="1684"/>
      <c r="AX1442" s="1684"/>
      <c r="AY1442" s="1684"/>
      <c r="AZ1442" s="1684"/>
      <c r="BA1442" s="1684"/>
      <c r="BB1442" s="1684"/>
      <c r="BC1442" s="1684"/>
      <c r="BD1442" s="1684"/>
      <c r="BE1442" s="1684"/>
      <c r="BF1442" s="1684"/>
      <c r="BG1442" s="1684"/>
      <c r="BH1442" s="1684"/>
      <c r="BI1442" s="1684"/>
      <c r="BJ1442" s="1684"/>
      <c r="BK1442" s="1684"/>
      <c r="BL1442" s="1684"/>
      <c r="BM1442" s="1684"/>
      <c r="BN1442" s="1684"/>
      <c r="BO1442" s="1684"/>
      <c r="BP1442" s="1684"/>
      <c r="BQ1442" s="1684"/>
      <c r="BR1442" s="1684"/>
      <c r="BS1442" s="1684"/>
      <c r="BT1442" s="1684"/>
      <c r="BU1442" s="1684"/>
      <c r="BV1442" s="1684"/>
      <c r="BW1442" s="1684"/>
      <c r="BX1442" s="1684"/>
      <c r="BY1442" s="1684"/>
      <c r="BZ1442" s="1684"/>
      <c r="CA1442" s="1684"/>
      <c r="CB1442" s="1684"/>
      <c r="CC1442" s="1684"/>
      <c r="CD1442" s="1684"/>
      <c r="CE1442" s="1684"/>
      <c r="CF1442" s="1684"/>
      <c r="CG1442" s="1684"/>
      <c r="CH1442" s="1684"/>
      <c r="CI1442" s="1684"/>
      <c r="CJ1442" s="1684"/>
      <c r="CK1442" s="1684"/>
      <c r="CL1442" s="1684"/>
      <c r="CM1442" s="1684"/>
      <c r="CN1442" s="1684"/>
      <c r="CO1442" s="1684"/>
    </row>
    <row r="1443" spans="1:93" s="1391" customFormat="1" ht="15" x14ac:dyDescent="0.2">
      <c r="A1443" s="1684"/>
      <c r="B1443" s="1684"/>
      <c r="C1443" s="2013">
        <v>10</v>
      </c>
      <c r="D1443" s="5">
        <v>6.0910000000000002</v>
      </c>
      <c r="E1443" s="5">
        <v>180</v>
      </c>
      <c r="F1443" s="5">
        <v>200</v>
      </c>
      <c r="G1443" s="5">
        <v>219</v>
      </c>
      <c r="H1443" s="5">
        <v>237</v>
      </c>
      <c r="I1443" s="5">
        <v>256</v>
      </c>
      <c r="J1443" s="5">
        <v>275</v>
      </c>
      <c r="K1443" s="5">
        <v>294</v>
      </c>
      <c r="L1443" s="5">
        <v>314</v>
      </c>
      <c r="M1443" s="5">
        <v>332</v>
      </c>
      <c r="N1443" s="5">
        <v>351</v>
      </c>
      <c r="O1443" s="5">
        <v>370</v>
      </c>
      <c r="P1443" s="5">
        <v>389</v>
      </c>
      <c r="Q1443" s="1160">
        <v>14</v>
      </c>
      <c r="R1443"/>
      <c r="S1443" s="1684"/>
      <c r="T1443" s="1684"/>
      <c r="U1443" s="1684"/>
      <c r="V1443" s="1684"/>
      <c r="W1443" s="1684"/>
      <c r="X1443" s="1684"/>
      <c r="Y1443" s="1684"/>
      <c r="Z1443" s="1684"/>
      <c r="AA1443" s="1684"/>
      <c r="AB1443" s="1684"/>
      <c r="AC1443" s="1684"/>
      <c r="AD1443" s="1684"/>
      <c r="AE1443" s="1684"/>
      <c r="AF1443" s="1684"/>
      <c r="AG1443" s="1684"/>
      <c r="AH1443" s="1684"/>
      <c r="AI1443" s="1684"/>
      <c r="AJ1443" s="1684"/>
      <c r="AK1443" s="1684"/>
      <c r="AL1443" s="1684"/>
      <c r="AM1443" s="1684"/>
      <c r="AN1443" s="1684"/>
      <c r="AO1443" s="1684"/>
      <c r="AP1443" s="1684"/>
      <c r="AQ1443" s="1684"/>
      <c r="AR1443" s="1684"/>
      <c r="AS1443" s="1684"/>
      <c r="AT1443" s="1684"/>
      <c r="AU1443" s="1684"/>
      <c r="AV1443" s="1684"/>
      <c r="AW1443" s="1684"/>
      <c r="AX1443" s="1684"/>
      <c r="AY1443" s="1684"/>
      <c r="AZ1443" s="1684"/>
      <c r="BA1443" s="1684"/>
      <c r="BB1443" s="1684"/>
      <c r="BC1443" s="1684"/>
      <c r="BD1443" s="1684"/>
      <c r="BE1443" s="1684"/>
      <c r="BF1443" s="1684"/>
      <c r="BG1443" s="1684"/>
      <c r="BH1443" s="1684"/>
      <c r="BI1443" s="1684"/>
      <c r="BJ1443" s="1684"/>
      <c r="BK1443" s="1684"/>
      <c r="BL1443" s="1684"/>
      <c r="BM1443" s="1684"/>
      <c r="BN1443" s="1684"/>
      <c r="BO1443" s="1684"/>
      <c r="BP1443" s="1684"/>
      <c r="BQ1443" s="1684"/>
      <c r="BR1443" s="1684"/>
      <c r="BS1443" s="1684"/>
      <c r="BT1443" s="1684"/>
      <c r="BU1443" s="1684"/>
      <c r="BV1443" s="1684"/>
      <c r="BW1443" s="1684"/>
      <c r="BX1443" s="1684"/>
      <c r="BY1443" s="1684"/>
      <c r="BZ1443" s="1684"/>
      <c r="CA1443" s="1684"/>
      <c r="CB1443" s="1684"/>
      <c r="CC1443" s="1684"/>
      <c r="CD1443" s="1684"/>
      <c r="CE1443" s="1684"/>
      <c r="CF1443" s="1684"/>
      <c r="CG1443" s="1684"/>
      <c r="CH1443" s="1684"/>
      <c r="CI1443" s="1684"/>
      <c r="CJ1443" s="1684"/>
      <c r="CK1443" s="1684"/>
      <c r="CL1443" s="1684"/>
      <c r="CM1443" s="1684"/>
      <c r="CN1443" s="1684"/>
      <c r="CO1443" s="1684"/>
    </row>
    <row r="1444" spans="1:93" s="1391" customFormat="1" ht="15" x14ac:dyDescent="0.2">
      <c r="A1444" s="1684"/>
      <c r="B1444" s="1684"/>
      <c r="C1444" s="2013">
        <v>11</v>
      </c>
      <c r="D1444" s="5">
        <v>6.5179999999999998</v>
      </c>
      <c r="E1444" s="5">
        <v>199</v>
      </c>
      <c r="F1444" s="5">
        <v>221</v>
      </c>
      <c r="G1444" s="5">
        <v>242</v>
      </c>
      <c r="H1444" s="5">
        <v>263</v>
      </c>
      <c r="I1444" s="5">
        <v>284</v>
      </c>
      <c r="J1444" s="5">
        <v>305</v>
      </c>
      <c r="K1444" s="5">
        <v>325</v>
      </c>
      <c r="L1444" s="5">
        <v>347</v>
      </c>
      <c r="M1444" s="5">
        <v>367</v>
      </c>
      <c r="N1444" s="5">
        <v>388</v>
      </c>
      <c r="O1444" s="5">
        <v>409</v>
      </c>
      <c r="P1444" s="5">
        <v>430</v>
      </c>
      <c r="Q1444" s="1160">
        <v>15</v>
      </c>
      <c r="R1444"/>
      <c r="S1444" s="1684"/>
      <c r="T1444" s="1684"/>
      <c r="U1444" s="1684"/>
      <c r="V1444" s="1684"/>
      <c r="W1444" s="1684"/>
      <c r="X1444" s="1684"/>
      <c r="Y1444" s="1684"/>
      <c r="Z1444" s="1684"/>
      <c r="AA1444" s="1684"/>
      <c r="AB1444" s="1684"/>
      <c r="AC1444" s="1684"/>
      <c r="AD1444" s="1684"/>
      <c r="AE1444" s="1684"/>
      <c r="AF1444" s="1684"/>
      <c r="AG1444" s="1684"/>
      <c r="AH1444" s="1684"/>
      <c r="AI1444" s="1684"/>
      <c r="AJ1444" s="1684"/>
      <c r="AK1444" s="1684"/>
      <c r="AL1444" s="1684"/>
      <c r="AM1444" s="1684"/>
      <c r="AN1444" s="1684"/>
      <c r="AO1444" s="1684"/>
      <c r="AP1444" s="1684"/>
      <c r="AQ1444" s="1684"/>
      <c r="AR1444" s="1684"/>
      <c r="AS1444" s="1684"/>
      <c r="AT1444" s="1684"/>
      <c r="AU1444" s="1684"/>
      <c r="AV1444" s="1684"/>
      <c r="AW1444" s="1684"/>
      <c r="AX1444" s="1684"/>
      <c r="AY1444" s="1684"/>
      <c r="AZ1444" s="1684"/>
      <c r="BA1444" s="1684"/>
      <c r="BB1444" s="1684"/>
      <c r="BC1444" s="1684"/>
      <c r="BD1444" s="1684"/>
      <c r="BE1444" s="1684"/>
      <c r="BF1444" s="1684"/>
      <c r="BG1444" s="1684"/>
      <c r="BH1444" s="1684"/>
      <c r="BI1444" s="1684"/>
      <c r="BJ1444" s="1684"/>
      <c r="BK1444" s="1684"/>
      <c r="BL1444" s="1684"/>
      <c r="BM1444" s="1684"/>
      <c r="BN1444" s="1684"/>
      <c r="BO1444" s="1684"/>
      <c r="BP1444" s="1684"/>
      <c r="BQ1444" s="1684"/>
      <c r="BR1444" s="1684"/>
      <c r="BS1444" s="1684"/>
      <c r="BT1444" s="1684"/>
      <c r="BU1444" s="1684"/>
      <c r="BV1444" s="1684"/>
      <c r="BW1444" s="1684"/>
      <c r="BX1444" s="1684"/>
      <c r="BY1444" s="1684"/>
      <c r="BZ1444" s="1684"/>
      <c r="CA1444" s="1684"/>
      <c r="CB1444" s="1684"/>
      <c r="CC1444" s="1684"/>
      <c r="CD1444" s="1684"/>
      <c r="CE1444" s="1684"/>
      <c r="CF1444" s="1684"/>
      <c r="CG1444" s="1684"/>
      <c r="CH1444" s="1684"/>
      <c r="CI1444" s="1684"/>
      <c r="CJ1444" s="1684"/>
      <c r="CK1444" s="1684"/>
      <c r="CL1444" s="1684"/>
      <c r="CM1444" s="1684"/>
      <c r="CN1444" s="1684"/>
      <c r="CO1444" s="1684"/>
    </row>
    <row r="1445" spans="1:93" s="1391" customFormat="1" ht="15" x14ac:dyDescent="0.2">
      <c r="A1445" s="1684"/>
      <c r="B1445" s="1684"/>
      <c r="C1445" s="2013">
        <v>12</v>
      </c>
      <c r="D1445" s="5">
        <v>6.9710000000000001</v>
      </c>
      <c r="E1445" s="5">
        <v>219</v>
      </c>
      <c r="F1445" s="5">
        <v>243</v>
      </c>
      <c r="G1445" s="5">
        <v>266</v>
      </c>
      <c r="H1445" s="5">
        <v>289</v>
      </c>
      <c r="I1445" s="5">
        <v>312</v>
      </c>
      <c r="J1445" s="5">
        <v>335</v>
      </c>
      <c r="K1445" s="5">
        <v>358</v>
      </c>
      <c r="L1445" s="5">
        <v>383</v>
      </c>
      <c r="M1445" s="5">
        <v>405</v>
      </c>
      <c r="N1445" s="5">
        <v>428</v>
      </c>
      <c r="O1445" s="5">
        <v>451</v>
      </c>
      <c r="P1445" s="5">
        <v>474</v>
      </c>
      <c r="Q1445" s="1160">
        <v>16</v>
      </c>
      <c r="R1445"/>
      <c r="S1445" s="1684"/>
      <c r="T1445" s="1684"/>
      <c r="U1445" s="1684"/>
      <c r="V1445" s="1684"/>
      <c r="W1445" s="1684"/>
      <c r="X1445" s="1684"/>
      <c r="Y1445" s="1684"/>
      <c r="Z1445" s="1684"/>
      <c r="AA1445" s="1684"/>
      <c r="AB1445" s="1684"/>
      <c r="AC1445" s="1684"/>
      <c r="AD1445" s="1684"/>
      <c r="AE1445" s="1684"/>
      <c r="AF1445" s="1684"/>
      <c r="AG1445" s="1684"/>
      <c r="AH1445" s="1684"/>
      <c r="AI1445" s="1684"/>
      <c r="AJ1445" s="1684"/>
      <c r="AK1445" s="1684"/>
      <c r="AL1445" s="1684"/>
      <c r="AM1445" s="1684"/>
      <c r="AN1445" s="1684"/>
      <c r="AO1445" s="1684"/>
      <c r="AP1445" s="1684"/>
      <c r="AQ1445" s="1684"/>
      <c r="AR1445" s="1684"/>
      <c r="AS1445" s="1684"/>
      <c r="AT1445" s="1684"/>
      <c r="AU1445" s="1684"/>
      <c r="AV1445" s="1684"/>
      <c r="AW1445" s="1684"/>
      <c r="AX1445" s="1684"/>
      <c r="AY1445" s="1684"/>
      <c r="AZ1445" s="1684"/>
      <c r="BA1445" s="1684"/>
      <c r="BB1445" s="1684"/>
      <c r="BC1445" s="1684"/>
      <c r="BD1445" s="1684"/>
      <c r="BE1445" s="1684"/>
      <c r="BF1445" s="1684"/>
      <c r="BG1445" s="1684"/>
      <c r="BH1445" s="1684"/>
      <c r="BI1445" s="1684"/>
      <c r="BJ1445" s="1684"/>
      <c r="BK1445" s="1684"/>
      <c r="BL1445" s="1684"/>
      <c r="BM1445" s="1684"/>
      <c r="BN1445" s="1684"/>
      <c r="BO1445" s="1684"/>
      <c r="BP1445" s="1684"/>
      <c r="BQ1445" s="1684"/>
      <c r="BR1445" s="1684"/>
      <c r="BS1445" s="1684"/>
      <c r="BT1445" s="1684"/>
      <c r="BU1445" s="1684"/>
      <c r="BV1445" s="1684"/>
      <c r="BW1445" s="1684"/>
      <c r="BX1445" s="1684"/>
      <c r="BY1445" s="1684"/>
      <c r="BZ1445" s="1684"/>
      <c r="CA1445" s="1684"/>
      <c r="CB1445" s="1684"/>
      <c r="CC1445" s="1684"/>
      <c r="CD1445" s="1684"/>
      <c r="CE1445" s="1684"/>
      <c r="CF1445" s="1684"/>
      <c r="CG1445" s="1684"/>
      <c r="CH1445" s="1684"/>
      <c r="CI1445" s="1684"/>
      <c r="CJ1445" s="1684"/>
      <c r="CK1445" s="1684"/>
      <c r="CL1445" s="1684"/>
      <c r="CM1445" s="1684"/>
      <c r="CN1445" s="1684"/>
      <c r="CO1445" s="1684"/>
    </row>
    <row r="1446" spans="1:93" s="1391" customFormat="1" ht="15" x14ac:dyDescent="0.2">
      <c r="A1446" s="1684"/>
      <c r="B1446" s="1684"/>
      <c r="C1446" s="2013">
        <v>13</v>
      </c>
      <c r="D1446" s="5">
        <v>7.4409999999999998</v>
      </c>
      <c r="E1446" s="5">
        <v>240</v>
      </c>
      <c r="F1446" s="5">
        <v>266</v>
      </c>
      <c r="G1446" s="5">
        <v>291</v>
      </c>
      <c r="H1446" s="5">
        <v>317</v>
      </c>
      <c r="I1446" s="5">
        <v>342</v>
      </c>
      <c r="J1446" s="5">
        <v>367</v>
      </c>
      <c r="K1446" s="5">
        <v>392</v>
      </c>
      <c r="L1446" s="5">
        <v>419</v>
      </c>
      <c r="M1446" s="5">
        <v>443</v>
      </c>
      <c r="N1446" s="5">
        <v>468</v>
      </c>
      <c r="O1446" s="5">
        <v>493</v>
      </c>
      <c r="P1446" s="5">
        <v>518</v>
      </c>
      <c r="Q1446" s="1160">
        <v>17</v>
      </c>
      <c r="R1446"/>
      <c r="S1446" s="1684"/>
      <c r="T1446" s="1684"/>
      <c r="U1446" s="1684"/>
      <c r="V1446" s="1684"/>
      <c r="W1446" s="1684"/>
      <c r="X1446" s="1684"/>
      <c r="Y1446" s="1684"/>
      <c r="Z1446" s="1684"/>
      <c r="AA1446" s="1684"/>
      <c r="AB1446" s="1684"/>
      <c r="AC1446" s="1684"/>
      <c r="AD1446" s="1684"/>
      <c r="AE1446" s="1684"/>
      <c r="AF1446" s="1684"/>
      <c r="AG1446" s="1684"/>
      <c r="AH1446" s="1684"/>
      <c r="AI1446" s="1684"/>
      <c r="AJ1446" s="1684"/>
      <c r="AK1446" s="1684"/>
      <c r="AL1446" s="1684"/>
      <c r="AM1446" s="1684"/>
      <c r="AN1446" s="1684"/>
      <c r="AO1446" s="1684"/>
      <c r="AP1446" s="1684"/>
      <c r="AQ1446" s="1684"/>
      <c r="AR1446" s="1684"/>
      <c r="AS1446" s="1684"/>
      <c r="AT1446" s="1684"/>
      <c r="AU1446" s="1684"/>
      <c r="AV1446" s="1684"/>
      <c r="AW1446" s="1684"/>
      <c r="AX1446" s="1684"/>
      <c r="AY1446" s="1684"/>
      <c r="AZ1446" s="1684"/>
      <c r="BA1446" s="1684"/>
      <c r="BB1446" s="1684"/>
      <c r="BC1446" s="1684"/>
      <c r="BD1446" s="1684"/>
      <c r="BE1446" s="1684"/>
      <c r="BF1446" s="1684"/>
      <c r="BG1446" s="1684"/>
      <c r="BH1446" s="1684"/>
      <c r="BI1446" s="1684"/>
      <c r="BJ1446" s="1684"/>
      <c r="BK1446" s="1684"/>
      <c r="BL1446" s="1684"/>
      <c r="BM1446" s="1684"/>
      <c r="BN1446" s="1684"/>
      <c r="BO1446" s="1684"/>
      <c r="BP1446" s="1684"/>
      <c r="BQ1446" s="1684"/>
      <c r="BR1446" s="1684"/>
      <c r="BS1446" s="1684"/>
      <c r="BT1446" s="1684"/>
      <c r="BU1446" s="1684"/>
      <c r="BV1446" s="1684"/>
      <c r="BW1446" s="1684"/>
      <c r="BX1446" s="1684"/>
      <c r="BY1446" s="1684"/>
      <c r="BZ1446" s="1684"/>
      <c r="CA1446" s="1684"/>
      <c r="CB1446" s="1684"/>
      <c r="CC1446" s="1684"/>
      <c r="CD1446" s="1684"/>
      <c r="CE1446" s="1684"/>
      <c r="CF1446" s="1684"/>
      <c r="CG1446" s="1684"/>
      <c r="CH1446" s="1684"/>
      <c r="CI1446" s="1684"/>
      <c r="CJ1446" s="1684"/>
      <c r="CK1446" s="1684"/>
      <c r="CL1446" s="1684"/>
      <c r="CM1446" s="1684"/>
      <c r="CN1446" s="1684"/>
      <c r="CO1446" s="1684"/>
    </row>
    <row r="1447" spans="1:93" s="1391" customFormat="1" ht="15" x14ac:dyDescent="0.2">
      <c r="A1447" s="1684"/>
      <c r="B1447" s="1684"/>
      <c r="C1447" s="2013">
        <v>14</v>
      </c>
      <c r="D1447" s="5">
        <v>7.944</v>
      </c>
      <c r="E1447" s="5">
        <v>261</v>
      </c>
      <c r="F1447" s="5">
        <v>290</v>
      </c>
      <c r="G1447" s="5">
        <v>318</v>
      </c>
      <c r="H1447" s="5">
        <v>346</v>
      </c>
      <c r="I1447" s="5">
        <v>373</v>
      </c>
      <c r="J1447" s="5">
        <v>401</v>
      </c>
      <c r="K1447" s="5">
        <v>428</v>
      </c>
      <c r="L1447" s="5">
        <v>457</v>
      </c>
      <c r="M1447" s="5">
        <v>483</v>
      </c>
      <c r="N1447" s="5">
        <v>511</v>
      </c>
      <c r="O1447" s="5">
        <v>538</v>
      </c>
      <c r="P1447" s="5">
        <v>566</v>
      </c>
      <c r="Q1447" s="1160">
        <v>18</v>
      </c>
      <c r="R1447"/>
      <c r="S1447" s="1684"/>
      <c r="T1447" s="1684"/>
      <c r="U1447" s="1684"/>
      <c r="V1447" s="1684"/>
      <c r="W1447" s="1684"/>
      <c r="X1447" s="1684"/>
      <c r="Y1447" s="1684"/>
      <c r="Z1447" s="1684"/>
      <c r="AA1447" s="1684"/>
      <c r="AB1447" s="1684"/>
      <c r="AC1447" s="1684"/>
      <c r="AD1447" s="1684"/>
      <c r="AE1447" s="1684"/>
      <c r="AF1447" s="1684"/>
      <c r="AG1447" s="1684"/>
      <c r="AH1447" s="1684"/>
      <c r="AI1447" s="1684"/>
      <c r="AJ1447" s="1684"/>
      <c r="AK1447" s="1684"/>
      <c r="AL1447" s="1684"/>
      <c r="AM1447" s="1684"/>
      <c r="AN1447" s="1684"/>
      <c r="AO1447" s="1684"/>
      <c r="AP1447" s="1684"/>
      <c r="AQ1447" s="1684"/>
      <c r="AR1447" s="1684"/>
      <c r="AS1447" s="1684"/>
      <c r="AT1447" s="1684"/>
      <c r="AU1447" s="1684"/>
      <c r="AV1447" s="1684"/>
      <c r="AW1447" s="1684"/>
      <c r="AX1447" s="1684"/>
      <c r="AY1447" s="1684"/>
      <c r="AZ1447" s="1684"/>
      <c r="BA1447" s="1684"/>
      <c r="BB1447" s="1684"/>
      <c r="BC1447" s="1684"/>
      <c r="BD1447" s="1684"/>
      <c r="BE1447" s="1684"/>
      <c r="BF1447" s="1684"/>
      <c r="BG1447" s="1684"/>
      <c r="BH1447" s="1684"/>
      <c r="BI1447" s="1684"/>
      <c r="BJ1447" s="1684"/>
      <c r="BK1447" s="1684"/>
      <c r="BL1447" s="1684"/>
      <c r="BM1447" s="1684"/>
      <c r="BN1447" s="1684"/>
      <c r="BO1447" s="1684"/>
      <c r="BP1447" s="1684"/>
      <c r="BQ1447" s="1684"/>
      <c r="BR1447" s="1684"/>
      <c r="BS1447" s="1684"/>
      <c r="BT1447" s="1684"/>
      <c r="BU1447" s="1684"/>
      <c r="BV1447" s="1684"/>
      <c r="BW1447" s="1684"/>
      <c r="BX1447" s="1684"/>
      <c r="BY1447" s="1684"/>
      <c r="BZ1447" s="1684"/>
      <c r="CA1447" s="1684"/>
      <c r="CB1447" s="1684"/>
      <c r="CC1447" s="1684"/>
      <c r="CD1447" s="1684"/>
      <c r="CE1447" s="1684"/>
      <c r="CF1447" s="1684"/>
      <c r="CG1447" s="1684"/>
      <c r="CH1447" s="1684"/>
      <c r="CI1447" s="1684"/>
      <c r="CJ1447" s="1684"/>
      <c r="CK1447" s="1684"/>
      <c r="CL1447" s="1684"/>
      <c r="CM1447" s="1684"/>
      <c r="CN1447" s="1684"/>
      <c r="CO1447" s="1684"/>
    </row>
    <row r="1448" spans="1:93" s="1391" customFormat="1" ht="15" x14ac:dyDescent="0.2">
      <c r="A1448" s="1684"/>
      <c r="B1448" s="1684"/>
      <c r="C1448" s="2013">
        <v>15</v>
      </c>
      <c r="D1448" s="5">
        <v>8.4710000000000001</v>
      </c>
      <c r="E1448" s="5">
        <v>284</v>
      </c>
      <c r="F1448" s="5">
        <v>316</v>
      </c>
      <c r="G1448" s="5">
        <v>346</v>
      </c>
      <c r="H1448" s="5">
        <v>376</v>
      </c>
      <c r="I1448" s="5">
        <v>406</v>
      </c>
      <c r="J1448" s="5">
        <v>436</v>
      </c>
      <c r="K1448" s="5">
        <v>465</v>
      </c>
      <c r="L1448" s="5">
        <v>497</v>
      </c>
      <c r="M1448" s="5">
        <v>525</v>
      </c>
      <c r="N1448" s="5">
        <v>555</v>
      </c>
      <c r="O1448" s="5">
        <v>585</v>
      </c>
      <c r="P1448" s="5">
        <v>615</v>
      </c>
      <c r="Q1448" s="1160">
        <v>19</v>
      </c>
      <c r="R1448"/>
      <c r="S1448" s="1684"/>
      <c r="T1448" s="1684"/>
      <c r="U1448" s="1684"/>
      <c r="V1448" s="1684"/>
      <c r="W1448" s="1684"/>
      <c r="X1448" s="1684"/>
      <c r="Y1448" s="1684"/>
      <c r="Z1448" s="1684"/>
      <c r="AA1448" s="1684"/>
      <c r="AB1448" s="1684"/>
      <c r="AC1448" s="1684"/>
      <c r="AD1448" s="1684"/>
      <c r="AE1448" s="1684"/>
      <c r="AF1448" s="1684"/>
      <c r="AG1448" s="1684"/>
      <c r="AH1448" s="1684"/>
      <c r="AI1448" s="1684"/>
      <c r="AJ1448" s="1684"/>
      <c r="AK1448" s="1684"/>
      <c r="AL1448" s="1684"/>
      <c r="AM1448" s="1684"/>
      <c r="AN1448" s="1684"/>
      <c r="AO1448" s="1684"/>
      <c r="AP1448" s="1684"/>
      <c r="AQ1448" s="1684"/>
      <c r="AR1448" s="1684"/>
      <c r="AS1448" s="1684"/>
      <c r="AT1448" s="1684"/>
      <c r="AU1448" s="1684"/>
      <c r="AV1448" s="1684"/>
      <c r="AW1448" s="1684"/>
      <c r="AX1448" s="1684"/>
      <c r="AY1448" s="1684"/>
      <c r="AZ1448" s="1684"/>
      <c r="BA1448" s="1684"/>
      <c r="BB1448" s="1684"/>
      <c r="BC1448" s="1684"/>
      <c r="BD1448" s="1684"/>
      <c r="BE1448" s="1684"/>
      <c r="BF1448" s="1684"/>
      <c r="BG1448" s="1684"/>
      <c r="BH1448" s="1684"/>
      <c r="BI1448" s="1684"/>
      <c r="BJ1448" s="1684"/>
      <c r="BK1448" s="1684"/>
      <c r="BL1448" s="1684"/>
      <c r="BM1448" s="1684"/>
      <c r="BN1448" s="1684"/>
      <c r="BO1448" s="1684"/>
      <c r="BP1448" s="1684"/>
      <c r="BQ1448" s="1684"/>
      <c r="BR1448" s="1684"/>
      <c r="BS1448" s="1684"/>
      <c r="BT1448" s="1684"/>
      <c r="BU1448" s="1684"/>
      <c r="BV1448" s="1684"/>
      <c r="BW1448" s="1684"/>
      <c r="BX1448" s="1684"/>
      <c r="BY1448" s="1684"/>
      <c r="BZ1448" s="1684"/>
      <c r="CA1448" s="1684"/>
      <c r="CB1448" s="1684"/>
      <c r="CC1448" s="1684"/>
      <c r="CD1448" s="1684"/>
      <c r="CE1448" s="1684"/>
      <c r="CF1448" s="1684"/>
      <c r="CG1448" s="1684"/>
      <c r="CH1448" s="1684"/>
      <c r="CI1448" s="1684"/>
      <c r="CJ1448" s="1684"/>
      <c r="CK1448" s="1684"/>
      <c r="CL1448" s="1684"/>
      <c r="CM1448" s="1684"/>
      <c r="CN1448" s="1684"/>
      <c r="CO1448" s="1684"/>
    </row>
    <row r="1449" spans="1:93" s="1391" customFormat="1" ht="15" x14ac:dyDescent="0.2">
      <c r="A1449" s="1684"/>
      <c r="B1449" s="1684"/>
      <c r="C1449" s="2013">
        <v>16</v>
      </c>
      <c r="D1449" s="5">
        <v>9.1449999999999996</v>
      </c>
      <c r="E1449" s="5">
        <v>307</v>
      </c>
      <c r="F1449" s="5">
        <v>341</v>
      </c>
      <c r="G1449" s="5">
        <v>373</v>
      </c>
      <c r="H1449" s="5">
        <v>405</v>
      </c>
      <c r="I1449" s="5">
        <v>438</v>
      </c>
      <c r="J1449" s="5">
        <v>470</v>
      </c>
      <c r="K1449" s="5">
        <v>502</v>
      </c>
      <c r="L1449" s="5">
        <v>536</v>
      </c>
      <c r="M1449" s="5">
        <v>567</v>
      </c>
      <c r="N1449" s="5">
        <v>599</v>
      </c>
      <c r="O1449" s="5">
        <v>631</v>
      </c>
      <c r="P1449" s="5">
        <v>664</v>
      </c>
      <c r="Q1449" s="1160">
        <v>20</v>
      </c>
      <c r="R1449"/>
      <c r="S1449" s="1684"/>
      <c r="T1449" s="1684"/>
      <c r="U1449" s="1684"/>
      <c r="V1449" s="1684"/>
      <c r="W1449" s="1684"/>
      <c r="X1449" s="1684"/>
      <c r="Y1449" s="1684"/>
      <c r="Z1449" s="1684"/>
      <c r="AA1449" s="1684"/>
      <c r="AB1449" s="1684"/>
      <c r="AC1449" s="1684"/>
      <c r="AD1449" s="1684"/>
      <c r="AE1449" s="1684"/>
      <c r="AF1449" s="1684"/>
      <c r="AG1449" s="1684"/>
      <c r="AH1449" s="1684"/>
      <c r="AI1449" s="1684"/>
      <c r="AJ1449" s="1684"/>
      <c r="AK1449" s="1684"/>
      <c r="AL1449" s="1684"/>
      <c r="AM1449" s="1684"/>
      <c r="AN1449" s="1684"/>
      <c r="AO1449" s="1684"/>
      <c r="AP1449" s="1684"/>
      <c r="AQ1449" s="1684"/>
      <c r="AR1449" s="1684"/>
      <c r="AS1449" s="1684"/>
      <c r="AT1449" s="1684"/>
      <c r="AU1449" s="1684"/>
      <c r="AV1449" s="1684"/>
      <c r="AW1449" s="1684"/>
      <c r="AX1449" s="1684"/>
      <c r="AY1449" s="1684"/>
      <c r="AZ1449" s="1684"/>
      <c r="BA1449" s="1684"/>
      <c r="BB1449" s="1684"/>
      <c r="BC1449" s="1684"/>
      <c r="BD1449" s="1684"/>
      <c r="BE1449" s="1684"/>
      <c r="BF1449" s="1684"/>
      <c r="BG1449" s="1684"/>
      <c r="BH1449" s="1684"/>
      <c r="BI1449" s="1684"/>
      <c r="BJ1449" s="1684"/>
      <c r="BK1449" s="1684"/>
      <c r="BL1449" s="1684"/>
      <c r="BM1449" s="1684"/>
      <c r="BN1449" s="1684"/>
      <c r="BO1449" s="1684"/>
      <c r="BP1449" s="1684"/>
      <c r="BQ1449" s="1684"/>
      <c r="BR1449" s="1684"/>
      <c r="BS1449" s="1684"/>
      <c r="BT1449" s="1684"/>
      <c r="BU1449" s="1684"/>
      <c r="BV1449" s="1684"/>
      <c r="BW1449" s="1684"/>
      <c r="BX1449" s="1684"/>
      <c r="BY1449" s="1684"/>
      <c r="BZ1449" s="1684"/>
      <c r="CA1449" s="1684"/>
      <c r="CB1449" s="1684"/>
      <c r="CC1449" s="1684"/>
      <c r="CD1449" s="1684"/>
      <c r="CE1449" s="1684"/>
      <c r="CF1449" s="1684"/>
      <c r="CG1449" s="1684"/>
      <c r="CH1449" s="1684"/>
      <c r="CI1449" s="1684"/>
      <c r="CJ1449" s="1684"/>
      <c r="CK1449" s="1684"/>
      <c r="CL1449" s="1684"/>
      <c r="CM1449" s="1684"/>
      <c r="CN1449" s="1684"/>
      <c r="CO1449" s="1684"/>
    </row>
    <row r="1450" spans="1:93" s="1391" customFormat="1" ht="15" x14ac:dyDescent="0.2">
      <c r="A1450" s="1684"/>
      <c r="B1450" s="1684"/>
      <c r="C1450" s="2013">
        <v>17</v>
      </c>
      <c r="D1450" s="5">
        <v>9.8610000000000007</v>
      </c>
      <c r="E1450" s="5">
        <v>328</v>
      </c>
      <c r="F1450" s="5">
        <v>364</v>
      </c>
      <c r="G1450" s="5">
        <v>399</v>
      </c>
      <c r="H1450" s="5">
        <v>433</v>
      </c>
      <c r="I1450" s="5">
        <v>468</v>
      </c>
      <c r="J1450" s="5">
        <v>502</v>
      </c>
      <c r="K1450" s="5">
        <v>537</v>
      </c>
      <c r="L1450" s="5">
        <v>573</v>
      </c>
      <c r="M1450" s="5">
        <v>606</v>
      </c>
      <c r="N1450" s="5">
        <v>640</v>
      </c>
      <c r="O1450" s="5">
        <v>675</v>
      </c>
      <c r="P1450" s="5">
        <v>709</v>
      </c>
      <c r="Q1450" s="1160">
        <v>21</v>
      </c>
      <c r="R1450"/>
      <c r="S1450" s="1684"/>
      <c r="T1450" s="1684"/>
      <c r="U1450" s="1684"/>
      <c r="V1450" s="1684"/>
      <c r="W1450" s="1684"/>
      <c r="X1450" s="1684"/>
      <c r="Y1450" s="1684"/>
      <c r="Z1450" s="1684"/>
      <c r="AA1450" s="1684"/>
      <c r="AB1450" s="1684"/>
      <c r="AC1450" s="1684"/>
      <c r="AD1450" s="1684"/>
      <c r="AE1450" s="1684"/>
      <c r="AF1450" s="1684"/>
      <c r="AG1450" s="1684"/>
      <c r="AH1450" s="1684"/>
      <c r="AI1450" s="1684"/>
      <c r="AJ1450" s="1684"/>
      <c r="AK1450" s="1684"/>
      <c r="AL1450" s="1684"/>
      <c r="AM1450" s="1684"/>
      <c r="AN1450" s="1684"/>
      <c r="AO1450" s="1684"/>
      <c r="AP1450" s="1684"/>
      <c r="AQ1450" s="1684"/>
      <c r="AR1450" s="1684"/>
      <c r="AS1450" s="1684"/>
      <c r="AT1450" s="1684"/>
      <c r="AU1450" s="1684"/>
      <c r="AV1450" s="1684"/>
      <c r="AW1450" s="1684"/>
      <c r="AX1450" s="1684"/>
      <c r="AY1450" s="1684"/>
      <c r="AZ1450" s="1684"/>
      <c r="BA1450" s="1684"/>
      <c r="BB1450" s="1684"/>
      <c r="BC1450" s="1684"/>
      <c r="BD1450" s="1684"/>
      <c r="BE1450" s="1684"/>
      <c r="BF1450" s="1684"/>
      <c r="BG1450" s="1684"/>
      <c r="BH1450" s="1684"/>
      <c r="BI1450" s="1684"/>
      <c r="BJ1450" s="1684"/>
      <c r="BK1450" s="1684"/>
      <c r="BL1450" s="1684"/>
      <c r="BM1450" s="1684"/>
      <c r="BN1450" s="1684"/>
      <c r="BO1450" s="1684"/>
      <c r="BP1450" s="1684"/>
      <c r="BQ1450" s="1684"/>
      <c r="BR1450" s="1684"/>
      <c r="BS1450" s="1684"/>
      <c r="BT1450" s="1684"/>
      <c r="BU1450" s="1684"/>
      <c r="BV1450" s="1684"/>
      <c r="BW1450" s="1684"/>
      <c r="BX1450" s="1684"/>
      <c r="BY1450" s="1684"/>
      <c r="BZ1450" s="1684"/>
      <c r="CA1450" s="1684"/>
      <c r="CB1450" s="1684"/>
      <c r="CC1450" s="1684"/>
      <c r="CD1450" s="1684"/>
      <c r="CE1450" s="1684"/>
      <c r="CF1450" s="1684"/>
      <c r="CG1450" s="1684"/>
      <c r="CH1450" s="1684"/>
      <c r="CI1450" s="1684"/>
      <c r="CJ1450" s="1684"/>
      <c r="CK1450" s="1684"/>
      <c r="CL1450" s="1684"/>
      <c r="CM1450" s="1684"/>
      <c r="CN1450" s="1684"/>
      <c r="CO1450" s="1684"/>
    </row>
    <row r="1451" spans="1:93" s="1391" customFormat="1" ht="15" x14ac:dyDescent="0.2">
      <c r="A1451" s="1684"/>
      <c r="B1451" s="1684"/>
      <c r="C1451" s="2013">
        <v>18</v>
      </c>
      <c r="D1451" s="5">
        <v>10.333</v>
      </c>
      <c r="E1451" s="5">
        <v>347</v>
      </c>
      <c r="F1451" s="5">
        <v>386</v>
      </c>
      <c r="G1451" s="5">
        <v>422</v>
      </c>
      <c r="H1451" s="5">
        <v>459</v>
      </c>
      <c r="I1451" s="5">
        <v>496</v>
      </c>
      <c r="J1451" s="5">
        <v>532</v>
      </c>
      <c r="K1451" s="5">
        <v>568</v>
      </c>
      <c r="L1451" s="5">
        <v>607</v>
      </c>
      <c r="M1451" s="5">
        <v>642</v>
      </c>
      <c r="N1451" s="5">
        <v>678</v>
      </c>
      <c r="O1451" s="5">
        <v>715</v>
      </c>
      <c r="P1451" s="5">
        <v>751</v>
      </c>
      <c r="Q1451" s="1160">
        <v>22</v>
      </c>
      <c r="R1451"/>
      <c r="S1451" s="1684"/>
      <c r="T1451" s="1684"/>
      <c r="U1451" s="1684"/>
      <c r="V1451" s="1684"/>
      <c r="W1451" s="1684"/>
      <c r="X1451" s="1684"/>
      <c r="Y1451" s="1684"/>
      <c r="Z1451" s="1684"/>
      <c r="AA1451" s="1684"/>
      <c r="AB1451" s="1684"/>
      <c r="AC1451" s="1684"/>
      <c r="AD1451" s="1684"/>
      <c r="AE1451" s="1684"/>
      <c r="AF1451" s="1684"/>
      <c r="AG1451" s="1684"/>
      <c r="AH1451" s="1684"/>
      <c r="AI1451" s="1684"/>
      <c r="AJ1451" s="1684"/>
      <c r="AK1451" s="1684"/>
      <c r="AL1451" s="1684"/>
      <c r="AM1451" s="1684"/>
      <c r="AN1451" s="1684"/>
      <c r="AO1451" s="1684"/>
      <c r="AP1451" s="1684"/>
      <c r="AQ1451" s="1684"/>
      <c r="AR1451" s="1684"/>
      <c r="AS1451" s="1684"/>
      <c r="AT1451" s="1684"/>
      <c r="AU1451" s="1684"/>
      <c r="AV1451" s="1684"/>
      <c r="AW1451" s="1684"/>
      <c r="AX1451" s="1684"/>
      <c r="AY1451" s="1684"/>
      <c r="AZ1451" s="1684"/>
      <c r="BA1451" s="1684"/>
      <c r="BB1451" s="1684"/>
      <c r="BC1451" s="1684"/>
      <c r="BD1451" s="1684"/>
      <c r="BE1451" s="1684"/>
      <c r="BF1451" s="1684"/>
      <c r="BG1451" s="1684"/>
      <c r="BH1451" s="1684"/>
      <c r="BI1451" s="1684"/>
      <c r="BJ1451" s="1684"/>
      <c r="BK1451" s="1684"/>
      <c r="BL1451" s="1684"/>
      <c r="BM1451" s="1684"/>
      <c r="BN1451" s="1684"/>
      <c r="BO1451" s="1684"/>
      <c r="BP1451" s="1684"/>
      <c r="BQ1451" s="1684"/>
      <c r="BR1451" s="1684"/>
      <c r="BS1451" s="1684"/>
      <c r="BT1451" s="1684"/>
      <c r="BU1451" s="1684"/>
      <c r="BV1451" s="1684"/>
      <c r="BW1451" s="1684"/>
      <c r="BX1451" s="1684"/>
      <c r="BY1451" s="1684"/>
      <c r="BZ1451" s="1684"/>
      <c r="CA1451" s="1684"/>
      <c r="CB1451" s="1684"/>
      <c r="CC1451" s="1684"/>
      <c r="CD1451" s="1684"/>
      <c r="CE1451" s="1684"/>
      <c r="CF1451" s="1684"/>
      <c r="CG1451" s="1684"/>
      <c r="CH1451" s="1684"/>
      <c r="CI1451" s="1684"/>
      <c r="CJ1451" s="1684"/>
      <c r="CK1451" s="1684"/>
      <c r="CL1451" s="1684"/>
      <c r="CM1451" s="1684"/>
      <c r="CN1451" s="1684"/>
      <c r="CO1451" s="1684"/>
    </row>
    <row r="1452" spans="1:93" s="1391" customFormat="1" ht="15" x14ac:dyDescent="0.2">
      <c r="A1452" s="1684"/>
      <c r="B1452" s="1684"/>
      <c r="C1452" s="4680" t="s">
        <v>3692</v>
      </c>
      <c r="D1452" s="4681"/>
      <c r="E1452" s="4681"/>
      <c r="F1452" s="4681"/>
      <c r="G1452" s="4681"/>
      <c r="H1452" s="4681"/>
      <c r="I1452" s="4681"/>
      <c r="J1452" s="4681"/>
      <c r="K1452" s="4681"/>
      <c r="L1452" s="4681"/>
      <c r="M1452" s="4681"/>
      <c r="N1452" s="4681"/>
      <c r="O1452" s="4681"/>
      <c r="P1452" s="4681"/>
      <c r="Q1452" s="4682"/>
      <c r="R1452"/>
      <c r="S1452" s="1684"/>
      <c r="T1452" s="1684"/>
      <c r="U1452" s="1684"/>
      <c r="V1452" s="1684"/>
      <c r="W1452" s="1684"/>
      <c r="X1452" s="1684"/>
      <c r="Y1452" s="1684"/>
      <c r="Z1452" s="1684"/>
      <c r="AA1452" s="1684"/>
      <c r="AB1452" s="1684"/>
      <c r="AC1452" s="1684"/>
      <c r="AD1452" s="1684"/>
      <c r="AE1452" s="1684"/>
      <c r="AF1452" s="1684"/>
      <c r="AG1452" s="1684"/>
      <c r="AH1452" s="1684"/>
      <c r="AI1452" s="1684"/>
      <c r="AJ1452" s="1684"/>
      <c r="AK1452" s="1684"/>
      <c r="AL1452" s="1684"/>
      <c r="AM1452" s="1684"/>
      <c r="AN1452" s="1684"/>
      <c r="AO1452" s="1684"/>
      <c r="AP1452" s="1684"/>
      <c r="AQ1452" s="1684"/>
      <c r="AR1452" s="1684"/>
      <c r="AS1452" s="1684"/>
      <c r="AT1452" s="1684"/>
      <c r="AU1452" s="1684"/>
      <c r="AV1452" s="1684"/>
      <c r="AW1452" s="1684"/>
      <c r="AX1452" s="1684"/>
      <c r="AY1452" s="1684"/>
      <c r="AZ1452" s="1684"/>
      <c r="BA1452" s="1684"/>
      <c r="BB1452" s="1684"/>
      <c r="BC1452" s="1684"/>
      <c r="BD1452" s="1684"/>
      <c r="BE1452" s="1684"/>
      <c r="BF1452" s="1684"/>
      <c r="BG1452" s="1684"/>
      <c r="BH1452" s="1684"/>
      <c r="BI1452" s="1684"/>
      <c r="BJ1452" s="1684"/>
      <c r="BK1452" s="1684"/>
      <c r="BL1452" s="1684"/>
      <c r="BM1452" s="1684"/>
      <c r="BN1452" s="1684"/>
      <c r="BO1452" s="1684"/>
      <c r="BP1452" s="1684"/>
      <c r="BQ1452" s="1684"/>
      <c r="BR1452" s="1684"/>
      <c r="BS1452" s="1684"/>
      <c r="BT1452" s="1684"/>
      <c r="BU1452" s="1684"/>
      <c r="BV1452" s="1684"/>
      <c r="BW1452" s="1684"/>
      <c r="BX1452" s="1684"/>
      <c r="BY1452" s="1684"/>
      <c r="BZ1452" s="1684"/>
      <c r="CA1452" s="1684"/>
      <c r="CB1452" s="1684"/>
      <c r="CC1452" s="1684"/>
      <c r="CD1452" s="1684"/>
      <c r="CE1452" s="1684"/>
      <c r="CF1452" s="1684"/>
      <c r="CG1452" s="1684"/>
      <c r="CH1452" s="1684"/>
      <c r="CI1452" s="1684"/>
      <c r="CJ1452" s="1684"/>
      <c r="CK1452" s="1684"/>
      <c r="CL1452" s="1684"/>
      <c r="CM1452" s="1684"/>
      <c r="CN1452" s="1684"/>
      <c r="CO1452" s="1684"/>
    </row>
    <row r="1453" spans="1:93" s="1391" customFormat="1" ht="15" x14ac:dyDescent="0.2">
      <c r="A1453" s="1684"/>
      <c r="B1453" s="1684"/>
      <c r="C1453" s="4680"/>
      <c r="D1453" s="4681"/>
      <c r="E1453" s="4681"/>
      <c r="F1453" s="4681"/>
      <c r="G1453" s="4681"/>
      <c r="H1453" s="4681"/>
      <c r="I1453" s="4681"/>
      <c r="J1453" s="4681"/>
      <c r="K1453" s="4681"/>
      <c r="L1453" s="4681"/>
      <c r="M1453" s="4681"/>
      <c r="N1453" s="4681"/>
      <c r="O1453" s="4681"/>
      <c r="P1453" s="4681"/>
      <c r="Q1453" s="4682"/>
      <c r="R1453"/>
      <c r="S1453" s="1684"/>
      <c r="T1453" s="1684"/>
      <c r="U1453" s="1684"/>
      <c r="V1453" s="1684"/>
      <c r="W1453" s="1684"/>
      <c r="X1453" s="1684"/>
      <c r="Y1453" s="1684"/>
      <c r="Z1453" s="1684"/>
      <c r="AA1453" s="1684"/>
      <c r="AB1453" s="1684"/>
      <c r="AC1453" s="1684"/>
      <c r="AD1453" s="1684"/>
      <c r="AE1453" s="1684"/>
      <c r="AF1453" s="1684"/>
      <c r="AG1453" s="1684"/>
      <c r="AH1453" s="1684"/>
      <c r="AI1453" s="1684"/>
      <c r="AJ1453" s="1684"/>
      <c r="AK1453" s="1684"/>
      <c r="AL1453" s="1684"/>
      <c r="AM1453" s="1684"/>
      <c r="AN1453" s="1684"/>
      <c r="AO1453" s="1684"/>
      <c r="AP1453" s="1684"/>
      <c r="AQ1453" s="1684"/>
      <c r="AR1453" s="1684"/>
      <c r="AS1453" s="1684"/>
      <c r="AT1453" s="1684"/>
      <c r="AU1453" s="1684"/>
      <c r="AV1453" s="1684"/>
      <c r="AW1453" s="1684"/>
      <c r="AX1453" s="1684"/>
      <c r="AY1453" s="1684"/>
      <c r="AZ1453" s="1684"/>
      <c r="BA1453" s="1684"/>
      <c r="BB1453" s="1684"/>
      <c r="BC1453" s="1684"/>
      <c r="BD1453" s="1684"/>
      <c r="BE1453" s="1684"/>
      <c r="BF1453" s="1684"/>
      <c r="BG1453" s="1684"/>
      <c r="BH1453" s="1684"/>
      <c r="BI1453" s="1684"/>
      <c r="BJ1453" s="1684"/>
      <c r="BK1453" s="1684"/>
      <c r="BL1453" s="1684"/>
      <c r="BM1453" s="1684"/>
      <c r="BN1453" s="1684"/>
      <c r="BO1453" s="1684"/>
      <c r="BP1453" s="1684"/>
      <c r="BQ1453" s="1684"/>
      <c r="BR1453" s="1684"/>
      <c r="BS1453" s="1684"/>
      <c r="BT1453" s="1684"/>
      <c r="BU1453" s="1684"/>
      <c r="BV1453" s="1684"/>
      <c r="BW1453" s="1684"/>
      <c r="BX1453" s="1684"/>
      <c r="BY1453" s="1684"/>
      <c r="BZ1453" s="1684"/>
      <c r="CA1453" s="1684"/>
      <c r="CB1453" s="1684"/>
      <c r="CC1453" s="1684"/>
      <c r="CD1453" s="1684"/>
      <c r="CE1453" s="1684"/>
      <c r="CF1453" s="1684"/>
      <c r="CG1453" s="1684"/>
      <c r="CH1453" s="1684"/>
      <c r="CI1453" s="1684"/>
      <c r="CJ1453" s="1684"/>
      <c r="CK1453" s="1684"/>
      <c r="CL1453" s="1684"/>
      <c r="CM1453" s="1684"/>
      <c r="CN1453" s="1684"/>
      <c r="CO1453" s="1684"/>
    </row>
    <row r="1454" spans="1:93" s="1391" customFormat="1" ht="15" x14ac:dyDescent="0.2">
      <c r="A1454" s="1684"/>
      <c r="B1454" s="1684"/>
      <c r="C1454" s="2014"/>
      <c r="D1454" s="2015"/>
      <c r="E1454" s="2015">
        <v>1</v>
      </c>
      <c r="F1454" s="2015">
        <v>2</v>
      </c>
      <c r="G1454" s="2015">
        <v>3</v>
      </c>
      <c r="H1454" s="2015">
        <v>4</v>
      </c>
      <c r="I1454" s="2015">
        <v>5</v>
      </c>
      <c r="J1454" s="2015">
        <v>6</v>
      </c>
      <c r="K1454" s="2015">
        <v>7</v>
      </c>
      <c r="L1454" s="2015">
        <v>8</v>
      </c>
      <c r="M1454" s="2015">
        <v>9</v>
      </c>
      <c r="N1454" s="2015">
        <v>10</v>
      </c>
      <c r="O1454" s="2015">
        <v>11</v>
      </c>
      <c r="P1454" s="2015">
        <v>12</v>
      </c>
      <c r="Q1454" s="2016"/>
      <c r="R1454"/>
      <c r="S1454" s="1684"/>
      <c r="T1454" s="1684"/>
      <c r="U1454" s="1684"/>
      <c r="V1454" s="1684"/>
      <c r="W1454" s="1684"/>
      <c r="X1454" s="1684"/>
      <c r="Y1454" s="1684"/>
      <c r="Z1454" s="1684"/>
      <c r="AA1454" s="1684"/>
      <c r="AB1454" s="1684"/>
      <c r="AC1454" s="1684"/>
      <c r="AD1454" s="1684"/>
      <c r="AE1454" s="1684"/>
      <c r="AF1454" s="1684"/>
      <c r="AG1454" s="1684"/>
      <c r="AH1454" s="1684"/>
      <c r="AI1454" s="1684"/>
      <c r="AJ1454" s="1684"/>
      <c r="AK1454" s="1684"/>
      <c r="AL1454" s="1684"/>
      <c r="AM1454" s="1684"/>
      <c r="AN1454" s="1684"/>
      <c r="AO1454" s="1684"/>
      <c r="AP1454" s="1684"/>
      <c r="AQ1454" s="1684"/>
      <c r="AR1454" s="1684"/>
      <c r="AS1454" s="1684"/>
      <c r="AT1454" s="1684"/>
      <c r="AU1454" s="1684"/>
      <c r="AV1454" s="1684"/>
      <c r="AW1454" s="1684"/>
      <c r="AX1454" s="1684"/>
      <c r="AY1454" s="1684"/>
      <c r="AZ1454" s="1684"/>
      <c r="BA1454" s="1684"/>
      <c r="BB1454" s="1684"/>
      <c r="BC1454" s="1684"/>
      <c r="BD1454" s="1684"/>
      <c r="BE1454" s="1684"/>
      <c r="BF1454" s="1684"/>
      <c r="BG1454" s="1684"/>
      <c r="BH1454" s="1684"/>
      <c r="BI1454" s="1684"/>
      <c r="BJ1454" s="1684"/>
      <c r="BK1454" s="1684"/>
      <c r="BL1454" s="1684"/>
      <c r="BM1454" s="1684"/>
      <c r="BN1454" s="1684"/>
      <c r="BO1454" s="1684"/>
      <c r="BP1454" s="1684"/>
      <c r="BQ1454" s="1684"/>
      <c r="BR1454" s="1684"/>
      <c r="BS1454" s="1684"/>
      <c r="BT1454" s="1684"/>
      <c r="BU1454" s="1684"/>
      <c r="BV1454" s="1684"/>
      <c r="BW1454" s="1684"/>
      <c r="BX1454" s="1684"/>
      <c r="BY1454" s="1684"/>
      <c r="BZ1454" s="1684"/>
      <c r="CA1454" s="1684"/>
      <c r="CB1454" s="1684"/>
      <c r="CC1454" s="1684"/>
      <c r="CD1454" s="1684"/>
      <c r="CE1454" s="1684"/>
      <c r="CF1454" s="1684"/>
      <c r="CG1454" s="1684"/>
      <c r="CH1454" s="1684"/>
      <c r="CI1454" s="1684"/>
      <c r="CJ1454" s="1684"/>
      <c r="CK1454" s="1684"/>
      <c r="CL1454" s="1684"/>
      <c r="CM1454" s="1684"/>
      <c r="CN1454" s="1684"/>
      <c r="CO1454" s="1684"/>
    </row>
    <row r="1455" spans="1:93" s="1391" customFormat="1" ht="15" x14ac:dyDescent="0.2">
      <c r="A1455" s="1684"/>
      <c r="B1455" s="1684"/>
      <c r="C1455" s="2013">
        <v>8</v>
      </c>
      <c r="D1455" s="5">
        <v>5.5389999999999997</v>
      </c>
      <c r="E1455" s="5">
        <v>154</v>
      </c>
      <c r="F1455" s="5">
        <v>171</v>
      </c>
      <c r="G1455" s="5">
        <v>187</v>
      </c>
      <c r="H1455" s="5">
        <v>203</v>
      </c>
      <c r="I1455" s="5">
        <v>219</v>
      </c>
      <c r="J1455" s="5">
        <v>235</v>
      </c>
      <c r="K1455" s="5">
        <v>251</v>
      </c>
      <c r="L1455" s="5">
        <v>268</v>
      </c>
      <c r="M1455" s="5">
        <v>284</v>
      </c>
      <c r="N1455" s="5">
        <v>300</v>
      </c>
      <c r="O1455" s="5">
        <v>316</v>
      </c>
      <c r="P1455" s="5">
        <v>332</v>
      </c>
      <c r="Q1455" s="1160">
        <v>23</v>
      </c>
      <c r="R1455"/>
      <c r="S1455" s="1684"/>
      <c r="T1455" s="1684"/>
      <c r="U1455" s="1684"/>
      <c r="V1455" s="1684"/>
      <c r="W1455" s="1684"/>
      <c r="X1455" s="1684"/>
      <c r="Y1455" s="1684"/>
      <c r="Z1455" s="1684"/>
      <c r="AA1455" s="1684"/>
      <c r="AB1455" s="1684"/>
      <c r="AC1455" s="1684"/>
      <c r="AD1455" s="1684"/>
      <c r="AE1455" s="1684"/>
      <c r="AF1455" s="1684"/>
      <c r="AG1455" s="1684"/>
      <c r="AH1455" s="1684"/>
      <c r="AI1455" s="1684"/>
      <c r="AJ1455" s="1684"/>
      <c r="AK1455" s="1684"/>
      <c r="AL1455" s="1684"/>
      <c r="AM1455" s="1684"/>
      <c r="AN1455" s="1684"/>
      <c r="AO1455" s="1684"/>
      <c r="AP1455" s="1684"/>
      <c r="AQ1455" s="1684"/>
      <c r="AR1455" s="1684"/>
      <c r="AS1455" s="1684"/>
      <c r="AT1455" s="1684"/>
      <c r="AU1455" s="1684"/>
      <c r="AV1455" s="1684"/>
      <c r="AW1455" s="1684"/>
      <c r="AX1455" s="1684"/>
      <c r="AY1455" s="1684"/>
      <c r="AZ1455" s="1684"/>
      <c r="BA1455" s="1684"/>
      <c r="BB1455" s="1684"/>
      <c r="BC1455" s="1684"/>
      <c r="BD1455" s="1684"/>
      <c r="BE1455" s="1684"/>
      <c r="BF1455" s="1684"/>
      <c r="BG1455" s="1684"/>
      <c r="BH1455" s="1684"/>
      <c r="BI1455" s="1684"/>
      <c r="BJ1455" s="1684"/>
      <c r="BK1455" s="1684"/>
      <c r="BL1455" s="1684"/>
      <c r="BM1455" s="1684"/>
      <c r="BN1455" s="1684"/>
      <c r="BO1455" s="1684"/>
      <c r="BP1455" s="1684"/>
      <c r="BQ1455" s="1684"/>
      <c r="BR1455" s="1684"/>
      <c r="BS1455" s="1684"/>
      <c r="BT1455" s="1684"/>
      <c r="BU1455" s="1684"/>
      <c r="BV1455" s="1684"/>
      <c r="BW1455" s="1684"/>
      <c r="BX1455" s="1684"/>
      <c r="BY1455" s="1684"/>
      <c r="BZ1455" s="1684"/>
      <c r="CA1455" s="1684"/>
      <c r="CB1455" s="1684"/>
      <c r="CC1455" s="1684"/>
      <c r="CD1455" s="1684"/>
      <c r="CE1455" s="1684"/>
      <c r="CF1455" s="1684"/>
      <c r="CG1455" s="1684"/>
      <c r="CH1455" s="1684"/>
      <c r="CI1455" s="1684"/>
      <c r="CJ1455" s="1684"/>
      <c r="CK1455" s="1684"/>
      <c r="CL1455" s="1684"/>
      <c r="CM1455" s="1684"/>
      <c r="CN1455" s="1684"/>
      <c r="CO1455" s="1684"/>
    </row>
    <row r="1456" spans="1:93" s="1391" customFormat="1" ht="15" x14ac:dyDescent="0.2">
      <c r="A1456" s="1684"/>
      <c r="B1456" s="1684"/>
      <c r="C1456" s="2013">
        <v>9</v>
      </c>
      <c r="D1456" s="5">
        <v>5.9109999999999996</v>
      </c>
      <c r="E1456" s="5">
        <v>170</v>
      </c>
      <c r="F1456" s="5">
        <v>189</v>
      </c>
      <c r="G1456" s="5">
        <v>207</v>
      </c>
      <c r="H1456" s="5">
        <v>225</v>
      </c>
      <c r="I1456" s="5">
        <v>243</v>
      </c>
      <c r="J1456" s="5">
        <v>261</v>
      </c>
      <c r="K1456" s="5">
        <v>279</v>
      </c>
      <c r="L1456" s="5">
        <v>298</v>
      </c>
      <c r="M1456" s="5">
        <v>313</v>
      </c>
      <c r="N1456" s="5">
        <v>333</v>
      </c>
      <c r="O1456" s="5">
        <v>351</v>
      </c>
      <c r="P1456" s="5">
        <v>369</v>
      </c>
      <c r="Q1456" s="1160">
        <v>24</v>
      </c>
      <c r="R1456"/>
      <c r="S1456" s="1684"/>
      <c r="T1456" s="1684"/>
      <c r="U1456" s="1684"/>
      <c r="V1456" s="1684"/>
      <c r="W1456" s="1684"/>
      <c r="X1456" s="1684"/>
      <c r="Y1456" s="1684"/>
      <c r="Z1456" s="1684"/>
      <c r="AA1456" s="1684"/>
      <c r="AB1456" s="1684"/>
      <c r="AC1456" s="1684"/>
      <c r="AD1456" s="1684"/>
      <c r="AE1456" s="1684"/>
      <c r="AF1456" s="1684"/>
      <c r="AG1456" s="1684"/>
      <c r="AH1456" s="1684"/>
      <c r="AI1456" s="1684"/>
      <c r="AJ1456" s="1684"/>
      <c r="AK1456" s="1684"/>
      <c r="AL1456" s="1684"/>
      <c r="AM1456" s="1684"/>
      <c r="AN1456" s="1684"/>
      <c r="AO1456" s="1684"/>
      <c r="AP1456" s="1684"/>
      <c r="AQ1456" s="1684"/>
      <c r="AR1456" s="1684"/>
      <c r="AS1456" s="1684"/>
      <c r="AT1456" s="1684"/>
      <c r="AU1456" s="1684"/>
      <c r="AV1456" s="1684"/>
      <c r="AW1456" s="1684"/>
      <c r="AX1456" s="1684"/>
      <c r="AY1456" s="1684"/>
      <c r="AZ1456" s="1684"/>
      <c r="BA1456" s="1684"/>
      <c r="BB1456" s="1684"/>
      <c r="BC1456" s="1684"/>
      <c r="BD1456" s="1684"/>
      <c r="BE1456" s="1684"/>
      <c r="BF1456" s="1684"/>
      <c r="BG1456" s="1684"/>
      <c r="BH1456" s="1684"/>
      <c r="BI1456" s="1684"/>
      <c r="BJ1456" s="1684"/>
      <c r="BK1456" s="1684"/>
      <c r="BL1456" s="1684"/>
      <c r="BM1456" s="1684"/>
      <c r="BN1456" s="1684"/>
      <c r="BO1456" s="1684"/>
      <c r="BP1456" s="1684"/>
      <c r="BQ1456" s="1684"/>
      <c r="BR1456" s="1684"/>
      <c r="BS1456" s="1684"/>
      <c r="BT1456" s="1684"/>
      <c r="BU1456" s="1684"/>
      <c r="BV1456" s="1684"/>
      <c r="BW1456" s="1684"/>
      <c r="BX1456" s="1684"/>
      <c r="BY1456" s="1684"/>
      <c r="BZ1456" s="1684"/>
      <c r="CA1456" s="1684"/>
      <c r="CB1456" s="1684"/>
      <c r="CC1456" s="1684"/>
      <c r="CD1456" s="1684"/>
      <c r="CE1456" s="1684"/>
      <c r="CF1456" s="1684"/>
      <c r="CG1456" s="1684"/>
      <c r="CH1456" s="1684"/>
      <c r="CI1456" s="1684"/>
      <c r="CJ1456" s="1684"/>
      <c r="CK1456" s="1684"/>
      <c r="CL1456" s="1684"/>
      <c r="CM1456" s="1684"/>
      <c r="CN1456" s="1684"/>
      <c r="CO1456" s="1684"/>
    </row>
    <row r="1457" spans="1:93" s="1391" customFormat="1" ht="15" x14ac:dyDescent="0.2">
      <c r="A1457" s="1684"/>
      <c r="B1457" s="1684"/>
      <c r="C1457" s="2013">
        <v>10</v>
      </c>
      <c r="D1457" s="5">
        <v>6.3079999999999998</v>
      </c>
      <c r="E1457" s="5">
        <v>188</v>
      </c>
      <c r="F1457" s="5">
        <v>209</v>
      </c>
      <c r="G1457" s="5">
        <v>229</v>
      </c>
      <c r="H1457" s="5">
        <v>249</v>
      </c>
      <c r="I1457" s="5">
        <v>269</v>
      </c>
      <c r="J1457" s="5">
        <v>288</v>
      </c>
      <c r="K1457" s="5">
        <v>308</v>
      </c>
      <c r="L1457" s="5">
        <v>329</v>
      </c>
      <c r="M1457" s="5">
        <v>348</v>
      </c>
      <c r="N1457" s="5">
        <v>368</v>
      </c>
      <c r="O1457" s="5">
        <v>388</v>
      </c>
      <c r="P1457" s="5">
        <v>407</v>
      </c>
      <c r="Q1457" s="1160">
        <v>25</v>
      </c>
      <c r="R1457"/>
      <c r="S1457" s="1684"/>
      <c r="T1457" s="1684"/>
      <c r="U1457" s="1684"/>
      <c r="V1457" s="1684"/>
      <c r="W1457" s="1684"/>
      <c r="X1457" s="1684"/>
      <c r="Y1457" s="1684"/>
      <c r="Z1457" s="1684"/>
      <c r="AA1457" s="1684"/>
      <c r="AB1457" s="1684"/>
      <c r="AC1457" s="1684"/>
      <c r="AD1457" s="1684"/>
      <c r="AE1457" s="1684"/>
      <c r="AF1457" s="1684"/>
      <c r="AG1457" s="1684"/>
      <c r="AH1457" s="1684"/>
      <c r="AI1457" s="1684"/>
      <c r="AJ1457" s="1684"/>
      <c r="AK1457" s="1684"/>
      <c r="AL1457" s="1684"/>
      <c r="AM1457" s="1684"/>
      <c r="AN1457" s="1684"/>
      <c r="AO1457" s="1684"/>
      <c r="AP1457" s="1684"/>
      <c r="AQ1457" s="1684"/>
      <c r="AR1457" s="1684"/>
      <c r="AS1457" s="1684"/>
      <c r="AT1457" s="1684"/>
      <c r="AU1457" s="1684"/>
      <c r="AV1457" s="1684"/>
      <c r="AW1457" s="1684"/>
      <c r="AX1457" s="1684"/>
      <c r="AY1457" s="1684"/>
      <c r="AZ1457" s="1684"/>
      <c r="BA1457" s="1684"/>
      <c r="BB1457" s="1684"/>
      <c r="BC1457" s="1684"/>
      <c r="BD1457" s="1684"/>
      <c r="BE1457" s="1684"/>
      <c r="BF1457" s="1684"/>
      <c r="BG1457" s="1684"/>
      <c r="BH1457" s="1684"/>
      <c r="BI1457" s="1684"/>
      <c r="BJ1457" s="1684"/>
      <c r="BK1457" s="1684"/>
      <c r="BL1457" s="1684"/>
      <c r="BM1457" s="1684"/>
      <c r="BN1457" s="1684"/>
      <c r="BO1457" s="1684"/>
      <c r="BP1457" s="1684"/>
      <c r="BQ1457" s="1684"/>
      <c r="BR1457" s="1684"/>
      <c r="BS1457" s="1684"/>
      <c r="BT1457" s="1684"/>
      <c r="BU1457" s="1684"/>
      <c r="BV1457" s="1684"/>
      <c r="BW1457" s="1684"/>
      <c r="BX1457" s="1684"/>
      <c r="BY1457" s="1684"/>
      <c r="BZ1457" s="1684"/>
      <c r="CA1457" s="1684"/>
      <c r="CB1457" s="1684"/>
      <c r="CC1457" s="1684"/>
      <c r="CD1457" s="1684"/>
      <c r="CE1457" s="1684"/>
      <c r="CF1457" s="1684"/>
      <c r="CG1457" s="1684"/>
      <c r="CH1457" s="1684"/>
      <c r="CI1457" s="1684"/>
      <c r="CJ1457" s="1684"/>
      <c r="CK1457" s="1684"/>
      <c r="CL1457" s="1684"/>
      <c r="CM1457" s="1684"/>
      <c r="CN1457" s="1684"/>
      <c r="CO1457" s="1684"/>
    </row>
    <row r="1458" spans="1:93" s="1391" customFormat="1" ht="15" x14ac:dyDescent="0.2">
      <c r="A1458" s="1684"/>
      <c r="B1458" s="1684"/>
      <c r="C1458" s="2013">
        <v>11</v>
      </c>
      <c r="D1458" s="5">
        <v>6.7609000000000004</v>
      </c>
      <c r="E1458" s="5">
        <v>209</v>
      </c>
      <c r="F1458" s="5">
        <v>232</v>
      </c>
      <c r="G1458" s="5">
        <v>254</v>
      </c>
      <c r="H1458" s="5">
        <v>276</v>
      </c>
      <c r="I1458" s="5">
        <v>297</v>
      </c>
      <c r="J1458" s="5">
        <v>319</v>
      </c>
      <c r="K1458" s="5">
        <v>341</v>
      </c>
      <c r="L1458" s="5">
        <v>364</v>
      </c>
      <c r="M1458" s="5">
        <v>385</v>
      </c>
      <c r="N1458" s="5">
        <v>407</v>
      </c>
      <c r="O1458" s="5">
        <v>429</v>
      </c>
      <c r="P1458" s="5">
        <v>451</v>
      </c>
      <c r="Q1458" s="1160">
        <v>26</v>
      </c>
      <c r="R1458"/>
      <c r="S1458" s="1684"/>
      <c r="T1458" s="1684"/>
      <c r="U1458" s="1684"/>
      <c r="V1458" s="1684"/>
      <c r="W1458" s="1684"/>
      <c r="X1458" s="1684"/>
      <c r="Y1458" s="1684"/>
      <c r="Z1458" s="1684"/>
      <c r="AA1458" s="1684"/>
      <c r="AB1458" s="1684"/>
      <c r="AC1458" s="1684"/>
      <c r="AD1458" s="1684"/>
      <c r="AE1458" s="1684"/>
      <c r="AF1458" s="1684"/>
      <c r="AG1458" s="1684"/>
      <c r="AH1458" s="1684"/>
      <c r="AI1458" s="1684"/>
      <c r="AJ1458" s="1684"/>
      <c r="AK1458" s="1684"/>
      <c r="AL1458" s="1684"/>
      <c r="AM1458" s="1684"/>
      <c r="AN1458" s="1684"/>
      <c r="AO1458" s="1684"/>
      <c r="AP1458" s="1684"/>
      <c r="AQ1458" s="1684"/>
      <c r="AR1458" s="1684"/>
      <c r="AS1458" s="1684"/>
      <c r="AT1458" s="1684"/>
      <c r="AU1458" s="1684"/>
      <c r="AV1458" s="1684"/>
      <c r="AW1458" s="1684"/>
      <c r="AX1458" s="1684"/>
      <c r="AY1458" s="1684"/>
      <c r="AZ1458" s="1684"/>
      <c r="BA1458" s="1684"/>
      <c r="BB1458" s="1684"/>
      <c r="BC1458" s="1684"/>
      <c r="BD1458" s="1684"/>
      <c r="BE1458" s="1684"/>
      <c r="BF1458" s="1684"/>
      <c r="BG1458" s="1684"/>
      <c r="BH1458" s="1684"/>
      <c r="BI1458" s="1684"/>
      <c r="BJ1458" s="1684"/>
      <c r="BK1458" s="1684"/>
      <c r="BL1458" s="1684"/>
      <c r="BM1458" s="1684"/>
      <c r="BN1458" s="1684"/>
      <c r="BO1458" s="1684"/>
      <c r="BP1458" s="1684"/>
      <c r="BQ1458" s="1684"/>
      <c r="BR1458" s="1684"/>
      <c r="BS1458" s="1684"/>
      <c r="BT1458" s="1684"/>
      <c r="BU1458" s="1684"/>
      <c r="BV1458" s="1684"/>
      <c r="BW1458" s="1684"/>
      <c r="BX1458" s="1684"/>
      <c r="BY1458" s="1684"/>
      <c r="BZ1458" s="1684"/>
      <c r="CA1458" s="1684"/>
      <c r="CB1458" s="1684"/>
      <c r="CC1458" s="1684"/>
      <c r="CD1458" s="1684"/>
      <c r="CE1458" s="1684"/>
      <c r="CF1458" s="1684"/>
      <c r="CG1458" s="1684"/>
      <c r="CH1458" s="1684"/>
      <c r="CI1458" s="1684"/>
      <c r="CJ1458" s="1684"/>
      <c r="CK1458" s="1684"/>
      <c r="CL1458" s="1684"/>
      <c r="CM1458" s="1684"/>
      <c r="CN1458" s="1684"/>
      <c r="CO1458" s="1684"/>
    </row>
    <row r="1459" spans="1:93" s="1391" customFormat="1" ht="15" x14ac:dyDescent="0.2">
      <c r="A1459" s="1684"/>
      <c r="B1459" s="1684"/>
      <c r="C1459" s="2013">
        <v>12</v>
      </c>
      <c r="D1459" s="5">
        <v>7.24</v>
      </c>
      <c r="E1459" s="5">
        <v>230</v>
      </c>
      <c r="F1459" s="5">
        <v>255</v>
      </c>
      <c r="G1459" s="5">
        <v>279</v>
      </c>
      <c r="H1459" s="5">
        <v>304</v>
      </c>
      <c r="I1459" s="5">
        <v>328</v>
      </c>
      <c r="J1459" s="5">
        <v>352</v>
      </c>
      <c r="K1459" s="5">
        <v>376</v>
      </c>
      <c r="L1459" s="5">
        <v>402</v>
      </c>
      <c r="M1459" s="5">
        <v>425</v>
      </c>
      <c r="N1459" s="5">
        <v>449</v>
      </c>
      <c r="O1459" s="5">
        <v>473</v>
      </c>
      <c r="P1459" s="5">
        <v>497</v>
      </c>
      <c r="Q1459" s="1160">
        <v>27</v>
      </c>
      <c r="R1459"/>
      <c r="S1459" s="1684"/>
      <c r="T1459" s="1684"/>
      <c r="U1459" s="1684"/>
      <c r="V1459" s="1684"/>
      <c r="W1459" s="1684"/>
      <c r="X1459" s="1684"/>
      <c r="Y1459" s="1684"/>
      <c r="Z1459" s="1684"/>
      <c r="AA1459" s="1684"/>
      <c r="AB1459" s="1684"/>
      <c r="AC1459" s="1684"/>
      <c r="AD1459" s="1684"/>
      <c r="AE1459" s="1684"/>
      <c r="AF1459" s="1684"/>
      <c r="AG1459" s="1684"/>
      <c r="AH1459" s="1684"/>
      <c r="AI1459" s="1684"/>
      <c r="AJ1459" s="1684"/>
      <c r="AK1459" s="1684"/>
      <c r="AL1459" s="1684"/>
      <c r="AM1459" s="1684"/>
      <c r="AN1459" s="1684"/>
      <c r="AO1459" s="1684"/>
      <c r="AP1459" s="1684"/>
      <c r="AQ1459" s="1684"/>
      <c r="AR1459" s="1684"/>
      <c r="AS1459" s="1684"/>
      <c r="AT1459" s="1684"/>
      <c r="AU1459" s="1684"/>
      <c r="AV1459" s="1684"/>
      <c r="AW1459" s="1684"/>
      <c r="AX1459" s="1684"/>
      <c r="AY1459" s="1684"/>
      <c r="AZ1459" s="1684"/>
      <c r="BA1459" s="1684"/>
      <c r="BB1459" s="1684"/>
      <c r="BC1459" s="1684"/>
      <c r="BD1459" s="1684"/>
      <c r="BE1459" s="1684"/>
      <c r="BF1459" s="1684"/>
      <c r="BG1459" s="1684"/>
      <c r="BH1459" s="1684"/>
      <c r="BI1459" s="1684"/>
      <c r="BJ1459" s="1684"/>
      <c r="BK1459" s="1684"/>
      <c r="BL1459" s="1684"/>
      <c r="BM1459" s="1684"/>
      <c r="BN1459" s="1684"/>
      <c r="BO1459" s="1684"/>
      <c r="BP1459" s="1684"/>
      <c r="BQ1459" s="1684"/>
      <c r="BR1459" s="1684"/>
      <c r="BS1459" s="1684"/>
      <c r="BT1459" s="1684"/>
      <c r="BU1459" s="1684"/>
      <c r="BV1459" s="1684"/>
      <c r="BW1459" s="1684"/>
      <c r="BX1459" s="1684"/>
      <c r="BY1459" s="1684"/>
      <c r="BZ1459" s="1684"/>
      <c r="CA1459" s="1684"/>
      <c r="CB1459" s="1684"/>
      <c r="CC1459" s="1684"/>
      <c r="CD1459" s="1684"/>
      <c r="CE1459" s="1684"/>
      <c r="CF1459" s="1684"/>
      <c r="CG1459" s="1684"/>
      <c r="CH1459" s="1684"/>
      <c r="CI1459" s="1684"/>
      <c r="CJ1459" s="1684"/>
      <c r="CK1459" s="1684"/>
      <c r="CL1459" s="1684"/>
      <c r="CM1459" s="1684"/>
      <c r="CN1459" s="1684"/>
      <c r="CO1459" s="1684"/>
    </row>
    <row r="1460" spans="1:93" s="1391" customFormat="1" ht="15" x14ac:dyDescent="0.2">
      <c r="A1460" s="1684"/>
      <c r="B1460" s="1684"/>
      <c r="C1460" s="2013">
        <v>13</v>
      </c>
      <c r="D1460" s="5">
        <v>7.7569999999999997</v>
      </c>
      <c r="E1460" s="5">
        <v>252</v>
      </c>
      <c r="F1460" s="5">
        <v>280</v>
      </c>
      <c r="G1460" s="5">
        <v>306</v>
      </c>
      <c r="H1460" s="5">
        <v>333</v>
      </c>
      <c r="I1460" s="5">
        <v>359</v>
      </c>
      <c r="J1460" s="5">
        <v>386</v>
      </c>
      <c r="K1460" s="5">
        <v>412</v>
      </c>
      <c r="L1460" s="5">
        <v>440</v>
      </c>
      <c r="M1460" s="5">
        <v>465</v>
      </c>
      <c r="N1460" s="5">
        <v>492</v>
      </c>
      <c r="O1460" s="5">
        <v>518</v>
      </c>
      <c r="P1460" s="5">
        <v>545</v>
      </c>
      <c r="Q1460" s="1160">
        <v>28</v>
      </c>
      <c r="R1460"/>
      <c r="S1460" s="1684"/>
      <c r="T1460" s="1684"/>
      <c r="U1460" s="1684"/>
      <c r="V1460" s="1684"/>
      <c r="W1460" s="1684"/>
      <c r="X1460" s="1684"/>
      <c r="Y1460" s="1684"/>
      <c r="Z1460" s="1684"/>
      <c r="AA1460" s="1684"/>
      <c r="AB1460" s="1684"/>
      <c r="AC1460" s="1684"/>
      <c r="AD1460" s="1684"/>
      <c r="AE1460" s="1684"/>
      <c r="AF1460" s="1684"/>
      <c r="AG1460" s="1684"/>
      <c r="AH1460" s="1684"/>
      <c r="AI1460" s="1684"/>
      <c r="AJ1460" s="1684"/>
      <c r="AK1460" s="1684"/>
      <c r="AL1460" s="1684"/>
      <c r="AM1460" s="1684"/>
      <c r="AN1460" s="1684"/>
      <c r="AO1460" s="1684"/>
      <c r="AP1460" s="1684"/>
      <c r="AQ1460" s="1684"/>
      <c r="AR1460" s="1684"/>
      <c r="AS1460" s="1684"/>
      <c r="AT1460" s="1684"/>
      <c r="AU1460" s="1684"/>
      <c r="AV1460" s="1684"/>
      <c r="AW1460" s="1684"/>
      <c r="AX1460" s="1684"/>
      <c r="AY1460" s="1684"/>
      <c r="AZ1460" s="1684"/>
      <c r="BA1460" s="1684"/>
      <c r="BB1460" s="1684"/>
      <c r="BC1460" s="1684"/>
      <c r="BD1460" s="1684"/>
      <c r="BE1460" s="1684"/>
      <c r="BF1460" s="1684"/>
      <c r="BG1460" s="1684"/>
      <c r="BH1460" s="1684"/>
      <c r="BI1460" s="1684"/>
      <c r="BJ1460" s="1684"/>
      <c r="BK1460" s="1684"/>
      <c r="BL1460" s="1684"/>
      <c r="BM1460" s="1684"/>
      <c r="BN1460" s="1684"/>
      <c r="BO1460" s="1684"/>
      <c r="BP1460" s="1684"/>
      <c r="BQ1460" s="1684"/>
      <c r="BR1460" s="1684"/>
      <c r="BS1460" s="1684"/>
      <c r="BT1460" s="1684"/>
      <c r="BU1460" s="1684"/>
      <c r="BV1460" s="1684"/>
      <c r="BW1460" s="1684"/>
      <c r="BX1460" s="1684"/>
      <c r="BY1460" s="1684"/>
      <c r="BZ1460" s="1684"/>
      <c r="CA1460" s="1684"/>
      <c r="CB1460" s="1684"/>
      <c r="CC1460" s="1684"/>
      <c r="CD1460" s="1684"/>
      <c r="CE1460" s="1684"/>
      <c r="CF1460" s="1684"/>
      <c r="CG1460" s="1684"/>
      <c r="CH1460" s="1684"/>
      <c r="CI1460" s="1684"/>
      <c r="CJ1460" s="1684"/>
      <c r="CK1460" s="1684"/>
      <c r="CL1460" s="1684"/>
      <c r="CM1460" s="1684"/>
      <c r="CN1460" s="1684"/>
      <c r="CO1460" s="1684"/>
    </row>
    <row r="1461" spans="1:93" s="1391" customFormat="1" ht="15" x14ac:dyDescent="0.2">
      <c r="A1461" s="1684"/>
      <c r="B1461" s="1684"/>
      <c r="C1461" s="2013">
        <v>14</v>
      </c>
      <c r="D1461" s="5">
        <v>8.27</v>
      </c>
      <c r="E1461" s="5">
        <v>275</v>
      </c>
      <c r="F1461" s="5">
        <v>304</v>
      </c>
      <c r="G1461" s="5">
        <v>335</v>
      </c>
      <c r="H1461" s="5">
        <v>364</v>
      </c>
      <c r="I1461" s="5">
        <v>392</v>
      </c>
      <c r="J1461" s="5">
        <v>421</v>
      </c>
      <c r="K1461" s="5">
        <v>450</v>
      </c>
      <c r="L1461" s="5">
        <v>481</v>
      </c>
      <c r="M1461" s="5">
        <v>508</v>
      </c>
      <c r="N1461" s="5">
        <v>537</v>
      </c>
      <c r="O1461" s="5">
        <v>566</v>
      </c>
      <c r="P1461" s="5">
        <v>595</v>
      </c>
      <c r="Q1461" s="1160">
        <v>29</v>
      </c>
      <c r="R1461"/>
      <c r="S1461" s="1684"/>
      <c r="T1461" s="1684"/>
      <c r="U1461" s="1684"/>
      <c r="V1461" s="1684"/>
      <c r="W1461" s="1684"/>
      <c r="X1461" s="1684"/>
      <c r="Y1461" s="1684"/>
      <c r="Z1461" s="1684"/>
      <c r="AA1461" s="1684"/>
      <c r="AB1461" s="1684"/>
      <c r="AC1461" s="1684"/>
      <c r="AD1461" s="1684"/>
      <c r="AE1461" s="1684"/>
      <c r="AF1461" s="1684"/>
      <c r="AG1461" s="1684"/>
      <c r="AH1461" s="1684"/>
      <c r="AI1461" s="1684"/>
      <c r="AJ1461" s="1684"/>
      <c r="AK1461" s="1684"/>
      <c r="AL1461" s="1684"/>
      <c r="AM1461" s="1684"/>
      <c r="AN1461" s="1684"/>
      <c r="AO1461" s="1684"/>
      <c r="AP1461" s="1684"/>
      <c r="AQ1461" s="1684"/>
      <c r="AR1461" s="1684"/>
      <c r="AS1461" s="1684"/>
      <c r="AT1461" s="1684"/>
      <c r="AU1461" s="1684"/>
      <c r="AV1461" s="1684"/>
      <c r="AW1461" s="1684"/>
      <c r="AX1461" s="1684"/>
      <c r="AY1461" s="1684"/>
      <c r="AZ1461" s="1684"/>
      <c r="BA1461" s="1684"/>
      <c r="BB1461" s="1684"/>
      <c r="BC1461" s="1684"/>
      <c r="BD1461" s="1684"/>
      <c r="BE1461" s="1684"/>
      <c r="BF1461" s="1684"/>
      <c r="BG1461" s="1684"/>
      <c r="BH1461" s="1684"/>
      <c r="BI1461" s="1684"/>
      <c r="BJ1461" s="1684"/>
      <c r="BK1461" s="1684"/>
      <c r="BL1461" s="1684"/>
      <c r="BM1461" s="1684"/>
      <c r="BN1461" s="1684"/>
      <c r="BO1461" s="1684"/>
      <c r="BP1461" s="1684"/>
      <c r="BQ1461" s="1684"/>
      <c r="BR1461" s="1684"/>
      <c r="BS1461" s="1684"/>
      <c r="BT1461" s="1684"/>
      <c r="BU1461" s="1684"/>
      <c r="BV1461" s="1684"/>
      <c r="BW1461" s="1684"/>
      <c r="BX1461" s="1684"/>
      <c r="BY1461" s="1684"/>
      <c r="BZ1461" s="1684"/>
      <c r="CA1461" s="1684"/>
      <c r="CB1461" s="1684"/>
      <c r="CC1461" s="1684"/>
      <c r="CD1461" s="1684"/>
      <c r="CE1461" s="1684"/>
      <c r="CF1461" s="1684"/>
      <c r="CG1461" s="1684"/>
      <c r="CH1461" s="1684"/>
      <c r="CI1461" s="1684"/>
      <c r="CJ1461" s="1684"/>
      <c r="CK1461" s="1684"/>
      <c r="CL1461" s="1684"/>
      <c r="CM1461" s="1684"/>
      <c r="CN1461" s="1684"/>
      <c r="CO1461" s="1684"/>
    </row>
    <row r="1462" spans="1:93" s="1391" customFormat="1" ht="15" x14ac:dyDescent="0.2">
      <c r="A1462" s="1684"/>
      <c r="B1462" s="1684"/>
      <c r="C1462" s="2013">
        <v>15</v>
      </c>
      <c r="D1462" s="5">
        <v>8.8290000000000006</v>
      </c>
      <c r="E1462" s="5">
        <v>299</v>
      </c>
      <c r="F1462" s="5">
        <v>333</v>
      </c>
      <c r="G1462" s="5">
        <v>364</v>
      </c>
      <c r="H1462" s="5">
        <v>396</v>
      </c>
      <c r="I1462" s="5">
        <v>427</v>
      </c>
      <c r="J1462" s="5">
        <v>459</v>
      </c>
      <c r="K1462" s="5">
        <v>490</v>
      </c>
      <c r="L1462" s="5">
        <v>523</v>
      </c>
      <c r="M1462" s="5">
        <v>553</v>
      </c>
      <c r="N1462" s="5">
        <v>585</v>
      </c>
      <c r="O1462" s="5">
        <v>616</v>
      </c>
      <c r="P1462" s="5">
        <v>648</v>
      </c>
      <c r="Q1462" s="1160">
        <v>30</v>
      </c>
      <c r="R1462"/>
      <c r="S1462" s="1684"/>
      <c r="T1462" s="1684"/>
      <c r="U1462" s="1684"/>
      <c r="V1462" s="1684"/>
      <c r="W1462" s="1684"/>
      <c r="X1462" s="1684"/>
      <c r="Y1462" s="1684"/>
      <c r="Z1462" s="1684"/>
      <c r="AA1462" s="1684"/>
      <c r="AB1462" s="1684"/>
      <c r="AC1462" s="1684"/>
      <c r="AD1462" s="1684"/>
      <c r="AE1462" s="1684"/>
      <c r="AF1462" s="1684"/>
      <c r="AG1462" s="1684"/>
      <c r="AH1462" s="1684"/>
      <c r="AI1462" s="1684"/>
      <c r="AJ1462" s="1684"/>
      <c r="AK1462" s="1684"/>
      <c r="AL1462" s="1684"/>
      <c r="AM1462" s="1684"/>
      <c r="AN1462" s="1684"/>
      <c r="AO1462" s="1684"/>
      <c r="AP1462" s="1684"/>
      <c r="AQ1462" s="1684"/>
      <c r="AR1462" s="1684"/>
      <c r="AS1462" s="1684"/>
      <c r="AT1462" s="1684"/>
      <c r="AU1462" s="1684"/>
      <c r="AV1462" s="1684"/>
      <c r="AW1462" s="1684"/>
      <c r="AX1462" s="1684"/>
      <c r="AY1462" s="1684"/>
      <c r="AZ1462" s="1684"/>
      <c r="BA1462" s="1684"/>
      <c r="BB1462" s="1684"/>
      <c r="BC1462" s="1684"/>
      <c r="BD1462" s="1684"/>
      <c r="BE1462" s="1684"/>
      <c r="BF1462" s="1684"/>
      <c r="BG1462" s="1684"/>
      <c r="BH1462" s="1684"/>
      <c r="BI1462" s="1684"/>
      <c r="BJ1462" s="1684"/>
      <c r="BK1462" s="1684"/>
      <c r="BL1462" s="1684"/>
      <c r="BM1462" s="1684"/>
      <c r="BN1462" s="1684"/>
      <c r="BO1462" s="1684"/>
      <c r="BP1462" s="1684"/>
      <c r="BQ1462" s="1684"/>
      <c r="BR1462" s="1684"/>
      <c r="BS1462" s="1684"/>
      <c r="BT1462" s="1684"/>
      <c r="BU1462" s="1684"/>
      <c r="BV1462" s="1684"/>
      <c r="BW1462" s="1684"/>
      <c r="BX1462" s="1684"/>
      <c r="BY1462" s="1684"/>
      <c r="BZ1462" s="1684"/>
      <c r="CA1462" s="1684"/>
      <c r="CB1462" s="1684"/>
      <c r="CC1462" s="1684"/>
      <c r="CD1462" s="1684"/>
      <c r="CE1462" s="1684"/>
      <c r="CF1462" s="1684"/>
      <c r="CG1462" s="1684"/>
      <c r="CH1462" s="1684"/>
      <c r="CI1462" s="1684"/>
      <c r="CJ1462" s="1684"/>
      <c r="CK1462" s="1684"/>
      <c r="CL1462" s="1684"/>
      <c r="CM1462" s="1684"/>
      <c r="CN1462" s="1684"/>
      <c r="CO1462" s="1684"/>
    </row>
    <row r="1463" spans="1:93" s="1391" customFormat="1" ht="15" x14ac:dyDescent="0.2">
      <c r="A1463" s="1684"/>
      <c r="B1463" s="1684"/>
      <c r="C1463" s="2013">
        <v>16</v>
      </c>
      <c r="D1463" s="5">
        <v>9.5429999999999993</v>
      </c>
      <c r="E1463" s="5">
        <v>324</v>
      </c>
      <c r="F1463" s="5">
        <v>359</v>
      </c>
      <c r="G1463" s="5">
        <v>393</v>
      </c>
      <c r="H1463" s="5">
        <v>427</v>
      </c>
      <c r="I1463" s="5">
        <v>461</v>
      </c>
      <c r="J1463" s="5">
        <v>496</v>
      </c>
      <c r="K1463" s="5">
        <v>530</v>
      </c>
      <c r="L1463" s="5">
        <v>565</v>
      </c>
      <c r="M1463" s="5">
        <v>598</v>
      </c>
      <c r="N1463" s="5">
        <v>632</v>
      </c>
      <c r="O1463" s="5">
        <v>666</v>
      </c>
      <c r="P1463" s="5">
        <v>700</v>
      </c>
      <c r="Q1463" s="1160">
        <v>31</v>
      </c>
      <c r="R1463"/>
      <c r="S1463" s="1684"/>
      <c r="T1463" s="1684"/>
      <c r="U1463" s="1684"/>
      <c r="V1463" s="1684"/>
      <c r="W1463" s="1684"/>
      <c r="X1463" s="1684"/>
      <c r="Y1463" s="1684"/>
      <c r="Z1463" s="1684"/>
      <c r="AA1463" s="1684"/>
      <c r="AB1463" s="1684"/>
      <c r="AC1463" s="1684"/>
      <c r="AD1463" s="1684"/>
      <c r="AE1463" s="1684"/>
      <c r="AF1463" s="1684"/>
      <c r="AG1463" s="1684"/>
      <c r="AH1463" s="1684"/>
      <c r="AI1463" s="1684"/>
      <c r="AJ1463" s="1684"/>
      <c r="AK1463" s="1684"/>
      <c r="AL1463" s="1684"/>
      <c r="AM1463" s="1684"/>
      <c r="AN1463" s="1684"/>
      <c r="AO1463" s="1684"/>
      <c r="AP1463" s="1684"/>
      <c r="AQ1463" s="1684"/>
      <c r="AR1463" s="1684"/>
      <c r="AS1463" s="1684"/>
      <c r="AT1463" s="1684"/>
      <c r="AU1463" s="1684"/>
      <c r="AV1463" s="1684"/>
      <c r="AW1463" s="1684"/>
      <c r="AX1463" s="1684"/>
      <c r="AY1463" s="1684"/>
      <c r="AZ1463" s="1684"/>
      <c r="BA1463" s="1684"/>
      <c r="BB1463" s="1684"/>
      <c r="BC1463" s="1684"/>
      <c r="BD1463" s="1684"/>
      <c r="BE1463" s="1684"/>
      <c r="BF1463" s="1684"/>
      <c r="BG1463" s="1684"/>
      <c r="BH1463" s="1684"/>
      <c r="BI1463" s="1684"/>
      <c r="BJ1463" s="1684"/>
      <c r="BK1463" s="1684"/>
      <c r="BL1463" s="1684"/>
      <c r="BM1463" s="1684"/>
      <c r="BN1463" s="1684"/>
      <c r="BO1463" s="1684"/>
      <c r="BP1463" s="1684"/>
      <c r="BQ1463" s="1684"/>
      <c r="BR1463" s="1684"/>
      <c r="BS1463" s="1684"/>
      <c r="BT1463" s="1684"/>
      <c r="BU1463" s="1684"/>
      <c r="BV1463" s="1684"/>
      <c r="BW1463" s="1684"/>
      <c r="BX1463" s="1684"/>
      <c r="BY1463" s="1684"/>
      <c r="BZ1463" s="1684"/>
      <c r="CA1463" s="1684"/>
      <c r="CB1463" s="1684"/>
      <c r="CC1463" s="1684"/>
      <c r="CD1463" s="1684"/>
      <c r="CE1463" s="1684"/>
      <c r="CF1463" s="1684"/>
      <c r="CG1463" s="1684"/>
      <c r="CH1463" s="1684"/>
      <c r="CI1463" s="1684"/>
      <c r="CJ1463" s="1684"/>
      <c r="CK1463" s="1684"/>
      <c r="CL1463" s="1684"/>
      <c r="CM1463" s="1684"/>
      <c r="CN1463" s="1684"/>
      <c r="CO1463" s="1684"/>
    </row>
    <row r="1464" spans="1:93" s="1391" customFormat="1" ht="15" x14ac:dyDescent="0.2">
      <c r="A1464" s="1684"/>
      <c r="B1464" s="1684"/>
      <c r="C1464" s="2013">
        <v>17</v>
      </c>
      <c r="D1464" s="5">
        <v>10.3</v>
      </c>
      <c r="E1464" s="5">
        <v>346</v>
      </c>
      <c r="F1464" s="5">
        <v>384</v>
      </c>
      <c r="G1464" s="5">
        <v>421</v>
      </c>
      <c r="H1464" s="5">
        <v>457</v>
      </c>
      <c r="I1464" s="5">
        <v>494</v>
      </c>
      <c r="J1464" s="5">
        <v>530</v>
      </c>
      <c r="K1464" s="5">
        <v>566</v>
      </c>
      <c r="L1464" s="5">
        <v>603</v>
      </c>
      <c r="M1464" s="5">
        <v>639</v>
      </c>
      <c r="N1464" s="5">
        <v>676</v>
      </c>
      <c r="O1464" s="5">
        <v>712</v>
      </c>
      <c r="P1464" s="5">
        <v>749</v>
      </c>
      <c r="Q1464" s="1160">
        <v>32</v>
      </c>
      <c r="R1464"/>
      <c r="S1464" s="1684"/>
      <c r="T1464" s="1684"/>
      <c r="U1464" s="1684"/>
      <c r="V1464" s="1684"/>
      <c r="W1464" s="1684"/>
      <c r="X1464" s="1684"/>
      <c r="Y1464" s="1684"/>
      <c r="Z1464" s="1684"/>
      <c r="AA1464" s="1684"/>
      <c r="AB1464" s="1684"/>
      <c r="AC1464" s="1684"/>
      <c r="AD1464" s="1684"/>
      <c r="AE1464" s="1684"/>
      <c r="AF1464" s="1684"/>
      <c r="AG1464" s="1684"/>
      <c r="AH1464" s="1684"/>
      <c r="AI1464" s="1684"/>
      <c r="AJ1464" s="1684"/>
      <c r="AK1464" s="1684"/>
      <c r="AL1464" s="1684"/>
      <c r="AM1464" s="1684"/>
      <c r="AN1464" s="1684"/>
      <c r="AO1464" s="1684"/>
      <c r="AP1464" s="1684"/>
      <c r="AQ1464" s="1684"/>
      <c r="AR1464" s="1684"/>
      <c r="AS1464" s="1684"/>
      <c r="AT1464" s="1684"/>
      <c r="AU1464" s="1684"/>
      <c r="AV1464" s="1684"/>
      <c r="AW1464" s="1684"/>
      <c r="AX1464" s="1684"/>
      <c r="AY1464" s="1684"/>
      <c r="AZ1464" s="1684"/>
      <c r="BA1464" s="1684"/>
      <c r="BB1464" s="1684"/>
      <c r="BC1464" s="1684"/>
      <c r="BD1464" s="1684"/>
      <c r="BE1464" s="1684"/>
      <c r="BF1464" s="1684"/>
      <c r="BG1464" s="1684"/>
      <c r="BH1464" s="1684"/>
      <c r="BI1464" s="1684"/>
      <c r="BJ1464" s="1684"/>
      <c r="BK1464" s="1684"/>
      <c r="BL1464" s="1684"/>
      <c r="BM1464" s="1684"/>
      <c r="BN1464" s="1684"/>
      <c r="BO1464" s="1684"/>
      <c r="BP1464" s="1684"/>
      <c r="BQ1464" s="1684"/>
      <c r="BR1464" s="1684"/>
      <c r="BS1464" s="1684"/>
      <c r="BT1464" s="1684"/>
      <c r="BU1464" s="1684"/>
      <c r="BV1464" s="1684"/>
      <c r="BW1464" s="1684"/>
      <c r="BX1464" s="1684"/>
      <c r="BY1464" s="1684"/>
      <c r="BZ1464" s="1684"/>
      <c r="CA1464" s="1684"/>
      <c r="CB1464" s="1684"/>
      <c r="CC1464" s="1684"/>
      <c r="CD1464" s="1684"/>
      <c r="CE1464" s="1684"/>
      <c r="CF1464" s="1684"/>
      <c r="CG1464" s="1684"/>
      <c r="CH1464" s="1684"/>
      <c r="CI1464" s="1684"/>
      <c r="CJ1464" s="1684"/>
      <c r="CK1464" s="1684"/>
      <c r="CL1464" s="1684"/>
      <c r="CM1464" s="1684"/>
      <c r="CN1464" s="1684"/>
      <c r="CO1464" s="1684"/>
    </row>
    <row r="1465" spans="1:93" s="1391" customFormat="1" ht="15" x14ac:dyDescent="0.2">
      <c r="A1465" s="1684"/>
      <c r="B1465" s="1684"/>
      <c r="C1465" s="2013">
        <v>18</v>
      </c>
      <c r="D1465" s="5">
        <v>10.802</v>
      </c>
      <c r="E1465" s="5">
        <v>367</v>
      </c>
      <c r="F1465" s="5">
        <v>407</v>
      </c>
      <c r="G1465" s="5">
        <v>446</v>
      </c>
      <c r="H1465" s="5">
        <v>485</v>
      </c>
      <c r="I1465" s="5">
        <v>523</v>
      </c>
      <c r="J1465" s="5">
        <v>562</v>
      </c>
      <c r="K1465" s="5">
        <v>600</v>
      </c>
      <c r="L1465" s="5">
        <v>641</v>
      </c>
      <c r="M1465" s="5">
        <v>678</v>
      </c>
      <c r="N1465" s="5">
        <v>716</v>
      </c>
      <c r="O1465" s="5">
        <v>755</v>
      </c>
      <c r="P1465" s="5">
        <v>794</v>
      </c>
      <c r="Q1465" s="1160">
        <v>33</v>
      </c>
      <c r="R1465"/>
      <c r="S1465" s="1684"/>
      <c r="T1465" s="1684"/>
      <c r="U1465" s="1684"/>
      <c r="V1465" s="1684"/>
      <c r="W1465" s="1684"/>
      <c r="X1465" s="1684"/>
      <c r="Y1465" s="1684"/>
      <c r="Z1465" s="1684"/>
      <c r="AA1465" s="1684"/>
      <c r="AB1465" s="1684"/>
      <c r="AC1465" s="1684"/>
      <c r="AD1465" s="1684"/>
      <c r="AE1465" s="1684"/>
      <c r="AF1465" s="1684"/>
      <c r="AG1465" s="1684"/>
      <c r="AH1465" s="1684"/>
      <c r="AI1465" s="1684"/>
      <c r="AJ1465" s="1684"/>
      <c r="AK1465" s="1684"/>
      <c r="AL1465" s="1684"/>
      <c r="AM1465" s="1684"/>
      <c r="AN1465" s="1684"/>
      <c r="AO1465" s="1684"/>
      <c r="AP1465" s="1684"/>
      <c r="AQ1465" s="1684"/>
      <c r="AR1465" s="1684"/>
      <c r="AS1465" s="1684"/>
      <c r="AT1465" s="1684"/>
      <c r="AU1465" s="1684"/>
      <c r="AV1465" s="1684"/>
      <c r="AW1465" s="1684"/>
      <c r="AX1465" s="1684"/>
      <c r="AY1465" s="1684"/>
      <c r="AZ1465" s="1684"/>
      <c r="BA1465" s="1684"/>
      <c r="BB1465" s="1684"/>
      <c r="BC1465" s="1684"/>
      <c r="BD1465" s="1684"/>
      <c r="BE1465" s="1684"/>
      <c r="BF1465" s="1684"/>
      <c r="BG1465" s="1684"/>
      <c r="BH1465" s="1684"/>
      <c r="BI1465" s="1684"/>
      <c r="BJ1465" s="1684"/>
      <c r="BK1465" s="1684"/>
      <c r="BL1465" s="1684"/>
      <c r="BM1465" s="1684"/>
      <c r="BN1465" s="1684"/>
      <c r="BO1465" s="1684"/>
      <c r="BP1465" s="1684"/>
      <c r="BQ1465" s="1684"/>
      <c r="BR1465" s="1684"/>
      <c r="BS1465" s="1684"/>
      <c r="BT1465" s="1684"/>
      <c r="BU1465" s="1684"/>
      <c r="BV1465" s="1684"/>
      <c r="BW1465" s="1684"/>
      <c r="BX1465" s="1684"/>
      <c r="BY1465" s="1684"/>
      <c r="BZ1465" s="1684"/>
      <c r="CA1465" s="1684"/>
      <c r="CB1465" s="1684"/>
      <c r="CC1465" s="1684"/>
      <c r="CD1465" s="1684"/>
      <c r="CE1465" s="1684"/>
      <c r="CF1465" s="1684"/>
      <c r="CG1465" s="1684"/>
      <c r="CH1465" s="1684"/>
      <c r="CI1465" s="1684"/>
      <c r="CJ1465" s="1684"/>
      <c r="CK1465" s="1684"/>
      <c r="CL1465" s="1684"/>
      <c r="CM1465" s="1684"/>
      <c r="CN1465" s="1684"/>
      <c r="CO1465" s="1684"/>
    </row>
    <row r="1466" spans="1:93" s="1391" customFormat="1" ht="15" x14ac:dyDescent="0.2">
      <c r="A1466" s="1684"/>
      <c r="B1466" s="1684"/>
      <c r="C1466" s="4680" t="s">
        <v>3693</v>
      </c>
      <c r="D1466" s="4681"/>
      <c r="E1466" s="4681"/>
      <c r="F1466" s="4681"/>
      <c r="G1466" s="4681"/>
      <c r="H1466" s="4681"/>
      <c r="I1466" s="4681"/>
      <c r="J1466" s="4681"/>
      <c r="K1466" s="4681"/>
      <c r="L1466" s="4681"/>
      <c r="M1466" s="4681"/>
      <c r="N1466" s="4681"/>
      <c r="O1466" s="4681"/>
      <c r="P1466" s="4681"/>
      <c r="Q1466" s="4682"/>
      <c r="R1466"/>
      <c r="S1466" s="1684"/>
      <c r="T1466" s="1684"/>
      <c r="U1466" s="1684"/>
      <c r="V1466" s="1684"/>
      <c r="W1466" s="1684"/>
      <c r="X1466" s="1684"/>
      <c r="Y1466" s="1684"/>
      <c r="Z1466" s="1684"/>
      <c r="AA1466" s="1684"/>
      <c r="AB1466" s="1684"/>
      <c r="AC1466" s="1684"/>
      <c r="AD1466" s="1684"/>
      <c r="AE1466" s="1684"/>
      <c r="AF1466" s="1684"/>
      <c r="AG1466" s="1684"/>
      <c r="AH1466" s="1684"/>
      <c r="AI1466" s="1684"/>
      <c r="AJ1466" s="1684"/>
      <c r="AK1466" s="1684"/>
      <c r="AL1466" s="1684"/>
      <c r="AM1466" s="1684"/>
      <c r="AN1466" s="1684"/>
      <c r="AO1466" s="1684"/>
      <c r="AP1466" s="1684"/>
      <c r="AQ1466" s="1684"/>
      <c r="AR1466" s="1684"/>
      <c r="AS1466" s="1684"/>
      <c r="AT1466" s="1684"/>
      <c r="AU1466" s="1684"/>
      <c r="AV1466" s="1684"/>
      <c r="AW1466" s="1684"/>
      <c r="AX1466" s="1684"/>
      <c r="AY1466" s="1684"/>
      <c r="AZ1466" s="1684"/>
      <c r="BA1466" s="1684"/>
      <c r="BB1466" s="1684"/>
      <c r="BC1466" s="1684"/>
      <c r="BD1466" s="1684"/>
      <c r="BE1466" s="1684"/>
      <c r="BF1466" s="1684"/>
      <c r="BG1466" s="1684"/>
      <c r="BH1466" s="1684"/>
      <c r="BI1466" s="1684"/>
      <c r="BJ1466" s="1684"/>
      <c r="BK1466" s="1684"/>
      <c r="BL1466" s="1684"/>
      <c r="BM1466" s="1684"/>
      <c r="BN1466" s="1684"/>
      <c r="BO1466" s="1684"/>
      <c r="BP1466" s="1684"/>
      <c r="BQ1466" s="1684"/>
      <c r="BR1466" s="1684"/>
      <c r="BS1466" s="1684"/>
      <c r="BT1466" s="1684"/>
      <c r="BU1466" s="1684"/>
      <c r="BV1466" s="1684"/>
      <c r="BW1466" s="1684"/>
      <c r="BX1466" s="1684"/>
      <c r="BY1466" s="1684"/>
      <c r="BZ1466" s="1684"/>
      <c r="CA1466" s="1684"/>
      <c r="CB1466" s="1684"/>
      <c r="CC1466" s="1684"/>
      <c r="CD1466" s="1684"/>
      <c r="CE1466" s="1684"/>
      <c r="CF1466" s="1684"/>
      <c r="CG1466" s="1684"/>
      <c r="CH1466" s="1684"/>
      <c r="CI1466" s="1684"/>
      <c r="CJ1466" s="1684"/>
      <c r="CK1466" s="1684"/>
      <c r="CL1466" s="1684"/>
      <c r="CM1466" s="1684"/>
      <c r="CN1466" s="1684"/>
      <c r="CO1466" s="1684"/>
    </row>
    <row r="1467" spans="1:93" s="1391" customFormat="1" ht="15" x14ac:dyDescent="0.2">
      <c r="A1467" s="1684"/>
      <c r="B1467" s="1684"/>
      <c r="C1467" s="4680"/>
      <c r="D1467" s="4681"/>
      <c r="E1467" s="4681"/>
      <c r="F1467" s="4681"/>
      <c r="G1467" s="4681"/>
      <c r="H1467" s="4681"/>
      <c r="I1467" s="4681"/>
      <c r="J1467" s="4681"/>
      <c r="K1467" s="4681"/>
      <c r="L1467" s="4681"/>
      <c r="M1467" s="4681"/>
      <c r="N1467" s="4681"/>
      <c r="O1467" s="4681"/>
      <c r="P1467" s="4681"/>
      <c r="Q1467" s="4682"/>
      <c r="R1467"/>
      <c r="S1467" s="1684"/>
      <c r="T1467" s="1684"/>
      <c r="U1467" s="1684"/>
      <c r="V1467" s="1684"/>
      <c r="W1467" s="1684"/>
      <c r="X1467" s="1684"/>
      <c r="Y1467" s="1684"/>
      <c r="Z1467" s="1684"/>
      <c r="AA1467" s="1684"/>
      <c r="AB1467" s="1684"/>
      <c r="AC1467" s="1684"/>
      <c r="AD1467" s="1684"/>
      <c r="AE1467" s="1684"/>
      <c r="AF1467" s="1684"/>
      <c r="AG1467" s="1684"/>
      <c r="AH1467" s="1684"/>
      <c r="AI1467" s="1684"/>
      <c r="AJ1467" s="1684"/>
      <c r="AK1467" s="1684"/>
      <c r="AL1467" s="1684"/>
      <c r="AM1467" s="1684"/>
      <c r="AN1467" s="1684"/>
      <c r="AO1467" s="1684"/>
      <c r="AP1467" s="1684"/>
      <c r="AQ1467" s="1684"/>
      <c r="AR1467" s="1684"/>
      <c r="AS1467" s="1684"/>
      <c r="AT1467" s="1684"/>
      <c r="AU1467" s="1684"/>
      <c r="AV1467" s="1684"/>
      <c r="AW1467" s="1684"/>
      <c r="AX1467" s="1684"/>
      <c r="AY1467" s="1684"/>
      <c r="AZ1467" s="1684"/>
      <c r="BA1467" s="1684"/>
      <c r="BB1467" s="1684"/>
      <c r="BC1467" s="1684"/>
      <c r="BD1467" s="1684"/>
      <c r="BE1467" s="1684"/>
      <c r="BF1467" s="1684"/>
      <c r="BG1467" s="1684"/>
      <c r="BH1467" s="1684"/>
      <c r="BI1467" s="1684"/>
      <c r="BJ1467" s="1684"/>
      <c r="BK1467" s="1684"/>
      <c r="BL1467" s="1684"/>
      <c r="BM1467" s="1684"/>
      <c r="BN1467" s="1684"/>
      <c r="BO1467" s="1684"/>
      <c r="BP1467" s="1684"/>
      <c r="BQ1467" s="1684"/>
      <c r="BR1467" s="1684"/>
      <c r="BS1467" s="1684"/>
      <c r="BT1467" s="1684"/>
      <c r="BU1467" s="1684"/>
      <c r="BV1467" s="1684"/>
      <c r="BW1467" s="1684"/>
      <c r="BX1467" s="1684"/>
      <c r="BY1467" s="1684"/>
      <c r="BZ1467" s="1684"/>
      <c r="CA1467" s="1684"/>
      <c r="CB1467" s="1684"/>
      <c r="CC1467" s="1684"/>
      <c r="CD1467" s="1684"/>
      <c r="CE1467" s="1684"/>
      <c r="CF1467" s="1684"/>
      <c r="CG1467" s="1684"/>
      <c r="CH1467" s="1684"/>
      <c r="CI1467" s="1684"/>
      <c r="CJ1467" s="1684"/>
      <c r="CK1467" s="1684"/>
      <c r="CL1467" s="1684"/>
      <c r="CM1467" s="1684"/>
      <c r="CN1467" s="1684"/>
      <c r="CO1467" s="1684"/>
    </row>
    <row r="1468" spans="1:93" s="1391" customFormat="1" ht="15" x14ac:dyDescent="0.2">
      <c r="A1468" s="1684"/>
      <c r="B1468" s="1684"/>
      <c r="C1468" s="2013"/>
      <c r="D1468" s="5"/>
      <c r="E1468" s="5">
        <v>1</v>
      </c>
      <c r="F1468" s="5">
        <v>2</v>
      </c>
      <c r="G1468" s="5">
        <v>3</v>
      </c>
      <c r="H1468" s="5">
        <v>4</v>
      </c>
      <c r="I1468" s="5">
        <v>5</v>
      </c>
      <c r="J1468" s="5">
        <v>6</v>
      </c>
      <c r="K1468" s="5">
        <v>7</v>
      </c>
      <c r="L1468" s="5">
        <v>8</v>
      </c>
      <c r="M1468" s="5">
        <v>9</v>
      </c>
      <c r="N1468" s="5">
        <v>10</v>
      </c>
      <c r="O1468" s="5">
        <v>11</v>
      </c>
      <c r="P1468" s="5">
        <v>12</v>
      </c>
      <c r="Q1468" s="1160"/>
      <c r="R1468"/>
      <c r="S1468" s="1684"/>
      <c r="T1468" s="1684"/>
      <c r="U1468" s="1684"/>
      <c r="V1468" s="1684"/>
      <c r="W1468" s="1684"/>
      <c r="X1468" s="1684"/>
      <c r="Y1468" s="1684"/>
      <c r="Z1468" s="1684"/>
      <c r="AA1468" s="1684"/>
      <c r="AB1468" s="1684"/>
      <c r="AC1468" s="1684"/>
      <c r="AD1468" s="1684"/>
      <c r="AE1468" s="1684"/>
      <c r="AF1468" s="1684"/>
      <c r="AG1468" s="1684"/>
      <c r="AH1468" s="1684"/>
      <c r="AI1468" s="1684"/>
      <c r="AJ1468" s="1684"/>
      <c r="AK1468" s="1684"/>
      <c r="AL1468" s="1684"/>
      <c r="AM1468" s="1684"/>
      <c r="AN1468" s="1684"/>
      <c r="AO1468" s="1684"/>
      <c r="AP1468" s="1684"/>
      <c r="AQ1468" s="1684"/>
      <c r="AR1468" s="1684"/>
      <c r="AS1468" s="1684"/>
      <c r="AT1468" s="1684"/>
      <c r="AU1468" s="1684"/>
      <c r="AV1468" s="1684"/>
      <c r="AW1468" s="1684"/>
      <c r="AX1468" s="1684"/>
      <c r="AY1468" s="1684"/>
      <c r="AZ1468" s="1684"/>
      <c r="BA1468" s="1684"/>
      <c r="BB1468" s="1684"/>
      <c r="BC1468" s="1684"/>
      <c r="BD1468" s="1684"/>
      <c r="BE1468" s="1684"/>
      <c r="BF1468" s="1684"/>
      <c r="BG1468" s="1684"/>
      <c r="BH1468" s="1684"/>
      <c r="BI1468" s="1684"/>
      <c r="BJ1468" s="1684"/>
      <c r="BK1468" s="1684"/>
      <c r="BL1468" s="1684"/>
      <c r="BM1468" s="1684"/>
      <c r="BN1468" s="1684"/>
      <c r="BO1468" s="1684"/>
      <c r="BP1468" s="1684"/>
      <c r="BQ1468" s="1684"/>
      <c r="BR1468" s="1684"/>
      <c r="BS1468" s="1684"/>
      <c r="BT1468" s="1684"/>
      <c r="BU1468" s="1684"/>
      <c r="BV1468" s="1684"/>
      <c r="BW1468" s="1684"/>
      <c r="BX1468" s="1684"/>
      <c r="BY1468" s="1684"/>
      <c r="BZ1468" s="1684"/>
      <c r="CA1468" s="1684"/>
      <c r="CB1468" s="1684"/>
      <c r="CC1468" s="1684"/>
      <c r="CD1468" s="1684"/>
      <c r="CE1468" s="1684"/>
      <c r="CF1468" s="1684"/>
      <c r="CG1468" s="1684"/>
      <c r="CH1468" s="1684"/>
      <c r="CI1468" s="1684"/>
      <c r="CJ1468" s="1684"/>
      <c r="CK1468" s="1684"/>
      <c r="CL1468" s="1684"/>
      <c r="CM1468" s="1684"/>
      <c r="CN1468" s="1684"/>
      <c r="CO1468" s="1684"/>
    </row>
    <row r="1469" spans="1:93" s="1391" customFormat="1" ht="15" x14ac:dyDescent="0.2">
      <c r="A1469" s="1684"/>
      <c r="B1469" s="1684"/>
      <c r="C1469" s="2013">
        <v>8</v>
      </c>
      <c r="D1469" s="5">
        <v>5.6589999999999998</v>
      </c>
      <c r="E1469" s="5">
        <v>158</v>
      </c>
      <c r="F1469" s="5">
        <v>176</v>
      </c>
      <c r="G1469" s="5">
        <v>192</v>
      </c>
      <c r="H1469" s="5">
        <v>209</v>
      </c>
      <c r="I1469" s="5">
        <v>225</v>
      </c>
      <c r="J1469" s="5">
        <v>242</v>
      </c>
      <c r="K1469" s="5">
        <v>259</v>
      </c>
      <c r="L1469" s="5">
        <v>276</v>
      </c>
      <c r="M1469" s="5">
        <v>292</v>
      </c>
      <c r="N1469" s="5">
        <v>309</v>
      </c>
      <c r="O1469" s="5">
        <v>325</v>
      </c>
      <c r="P1469" s="5">
        <v>342</v>
      </c>
      <c r="Q1469" s="1160">
        <v>34</v>
      </c>
      <c r="R1469"/>
      <c r="S1469" s="1684"/>
      <c r="T1469" s="1684"/>
      <c r="U1469" s="1684"/>
      <c r="V1469" s="1684"/>
      <c r="W1469" s="1684"/>
      <c r="X1469" s="1684"/>
      <c r="Y1469" s="1684"/>
      <c r="Z1469" s="1684"/>
      <c r="AA1469" s="1684"/>
      <c r="AB1469" s="1684"/>
      <c r="AC1469" s="1684"/>
      <c r="AD1469" s="1684"/>
      <c r="AE1469" s="1684"/>
      <c r="AF1469" s="1684"/>
      <c r="AG1469" s="1684"/>
      <c r="AH1469" s="1684"/>
      <c r="AI1469" s="1684"/>
      <c r="AJ1469" s="1684"/>
      <c r="AK1469" s="1684"/>
      <c r="AL1469" s="1684"/>
      <c r="AM1469" s="1684"/>
      <c r="AN1469" s="1684"/>
      <c r="AO1469" s="1684"/>
      <c r="AP1469" s="1684"/>
      <c r="AQ1469" s="1684"/>
      <c r="AR1469" s="1684"/>
      <c r="AS1469" s="1684"/>
      <c r="AT1469" s="1684"/>
      <c r="AU1469" s="1684"/>
      <c r="AV1469" s="1684"/>
      <c r="AW1469" s="1684"/>
      <c r="AX1469" s="1684"/>
      <c r="AY1469" s="1684"/>
      <c r="AZ1469" s="1684"/>
      <c r="BA1469" s="1684"/>
      <c r="BB1469" s="1684"/>
      <c r="BC1469" s="1684"/>
      <c r="BD1469" s="1684"/>
      <c r="BE1469" s="1684"/>
      <c r="BF1469" s="1684"/>
      <c r="BG1469" s="1684"/>
      <c r="BH1469" s="1684"/>
      <c r="BI1469" s="1684"/>
      <c r="BJ1469" s="1684"/>
      <c r="BK1469" s="1684"/>
      <c r="BL1469" s="1684"/>
      <c r="BM1469" s="1684"/>
      <c r="BN1469" s="1684"/>
      <c r="BO1469" s="1684"/>
      <c r="BP1469" s="1684"/>
      <c r="BQ1469" s="1684"/>
      <c r="BR1469" s="1684"/>
      <c r="BS1469" s="1684"/>
      <c r="BT1469" s="1684"/>
      <c r="BU1469" s="1684"/>
      <c r="BV1469" s="1684"/>
      <c r="BW1469" s="1684"/>
      <c r="BX1469" s="1684"/>
      <c r="BY1469" s="1684"/>
      <c r="BZ1469" s="1684"/>
      <c r="CA1469" s="1684"/>
      <c r="CB1469" s="1684"/>
      <c r="CC1469" s="1684"/>
      <c r="CD1469" s="1684"/>
      <c r="CE1469" s="1684"/>
      <c r="CF1469" s="1684"/>
      <c r="CG1469" s="1684"/>
      <c r="CH1469" s="1684"/>
      <c r="CI1469" s="1684"/>
      <c r="CJ1469" s="1684"/>
      <c r="CK1469" s="1684"/>
      <c r="CL1469" s="1684"/>
      <c r="CM1469" s="1684"/>
      <c r="CN1469" s="1684"/>
      <c r="CO1469" s="1684"/>
    </row>
    <row r="1470" spans="1:93" s="1391" customFormat="1" ht="15" x14ac:dyDescent="0.2">
      <c r="A1470" s="1684"/>
      <c r="B1470" s="1684"/>
      <c r="C1470" s="2013">
        <v>9</v>
      </c>
      <c r="D1470" s="5">
        <v>6.0449999999999999</v>
      </c>
      <c r="E1470" s="5">
        <v>176</v>
      </c>
      <c r="F1470" s="5">
        <v>195</v>
      </c>
      <c r="G1470" s="5">
        <v>213</v>
      </c>
      <c r="H1470" s="5">
        <v>232</v>
      </c>
      <c r="I1470" s="5">
        <v>250</v>
      </c>
      <c r="J1470" s="5">
        <v>269</v>
      </c>
      <c r="K1470" s="5">
        <v>287</v>
      </c>
      <c r="L1470" s="5">
        <v>307</v>
      </c>
      <c r="M1470" s="5">
        <v>324</v>
      </c>
      <c r="N1470" s="5">
        <v>343</v>
      </c>
      <c r="O1470" s="5">
        <v>361</v>
      </c>
      <c r="P1470" s="5">
        <v>380</v>
      </c>
      <c r="Q1470" s="1160">
        <v>35</v>
      </c>
      <c r="R1470"/>
      <c r="S1470" s="1684"/>
      <c r="T1470" s="1684"/>
      <c r="U1470" s="1684"/>
      <c r="V1470" s="1684"/>
      <c r="W1470" s="1684"/>
      <c r="X1470" s="1684"/>
      <c r="Y1470" s="1684"/>
      <c r="Z1470" s="1684"/>
      <c r="AA1470" s="1684"/>
      <c r="AB1470" s="1684"/>
      <c r="AC1470" s="1684"/>
      <c r="AD1470" s="1684"/>
      <c r="AE1470" s="1684"/>
      <c r="AF1470" s="1684"/>
      <c r="AG1470" s="1684"/>
      <c r="AH1470" s="1684"/>
      <c r="AI1470" s="1684"/>
      <c r="AJ1470" s="1684"/>
      <c r="AK1470" s="1684"/>
      <c r="AL1470" s="1684"/>
      <c r="AM1470" s="1684"/>
      <c r="AN1470" s="1684"/>
      <c r="AO1470" s="1684"/>
      <c r="AP1470" s="1684"/>
      <c r="AQ1470" s="1684"/>
      <c r="AR1470" s="1684"/>
      <c r="AS1470" s="1684"/>
      <c r="AT1470" s="1684"/>
      <c r="AU1470" s="1684"/>
      <c r="AV1470" s="1684"/>
      <c r="AW1470" s="1684"/>
      <c r="AX1470" s="1684"/>
      <c r="AY1470" s="1684"/>
      <c r="AZ1470" s="1684"/>
      <c r="BA1470" s="1684"/>
      <c r="BB1470" s="1684"/>
      <c r="BC1470" s="1684"/>
      <c r="BD1470" s="1684"/>
      <c r="BE1470" s="1684"/>
      <c r="BF1470" s="1684"/>
      <c r="BG1470" s="1684"/>
      <c r="BH1470" s="1684"/>
      <c r="BI1470" s="1684"/>
      <c r="BJ1470" s="1684"/>
      <c r="BK1470" s="1684"/>
      <c r="BL1470" s="1684"/>
      <c r="BM1470" s="1684"/>
      <c r="BN1470" s="1684"/>
      <c r="BO1470" s="1684"/>
      <c r="BP1470" s="1684"/>
      <c r="BQ1470" s="1684"/>
      <c r="BR1470" s="1684"/>
      <c r="BS1470" s="1684"/>
      <c r="BT1470" s="1684"/>
      <c r="BU1470" s="1684"/>
      <c r="BV1470" s="1684"/>
      <c r="BW1470" s="1684"/>
      <c r="BX1470" s="1684"/>
      <c r="BY1470" s="1684"/>
      <c r="BZ1470" s="1684"/>
      <c r="CA1470" s="1684"/>
      <c r="CB1470" s="1684"/>
      <c r="CC1470" s="1684"/>
      <c r="CD1470" s="1684"/>
      <c r="CE1470" s="1684"/>
      <c r="CF1470" s="1684"/>
      <c r="CG1470" s="1684"/>
      <c r="CH1470" s="1684"/>
      <c r="CI1470" s="1684"/>
      <c r="CJ1470" s="1684"/>
      <c r="CK1470" s="1684"/>
      <c r="CL1470" s="1684"/>
      <c r="CM1470" s="1684"/>
      <c r="CN1470" s="1684"/>
      <c r="CO1470" s="1684"/>
    </row>
    <row r="1471" spans="1:93" s="1391" customFormat="1" ht="15" x14ac:dyDescent="0.2">
      <c r="A1471" s="1684"/>
      <c r="B1471" s="1684"/>
      <c r="C1471" s="2013">
        <v>10</v>
      </c>
      <c r="D1471" s="5">
        <v>6.4569999999999999</v>
      </c>
      <c r="E1471" s="5">
        <v>194</v>
      </c>
      <c r="F1471" s="5">
        <v>215</v>
      </c>
      <c r="G1471" s="5">
        <v>236</v>
      </c>
      <c r="H1471" s="5">
        <v>256</v>
      </c>
      <c r="I1471" s="5">
        <v>277</v>
      </c>
      <c r="J1471" s="5">
        <v>297</v>
      </c>
      <c r="K1471" s="5">
        <v>318</v>
      </c>
      <c r="L1471" s="5">
        <v>339</v>
      </c>
      <c r="M1471" s="5">
        <v>358</v>
      </c>
      <c r="N1471" s="5">
        <v>379</v>
      </c>
      <c r="O1471" s="5">
        <v>399</v>
      </c>
      <c r="P1471" s="5">
        <v>420</v>
      </c>
      <c r="Q1471" s="1160">
        <v>36</v>
      </c>
      <c r="R1471"/>
      <c r="S1471" s="1684"/>
      <c r="T1471" s="1684"/>
      <c r="U1471" s="1684"/>
      <c r="V1471" s="1684"/>
      <c r="W1471" s="1684"/>
      <c r="X1471" s="1684"/>
      <c r="Y1471" s="1684"/>
      <c r="Z1471" s="1684"/>
      <c r="AA1471" s="1684"/>
      <c r="AB1471" s="1684"/>
      <c r="AC1471" s="1684"/>
      <c r="AD1471" s="1684"/>
      <c r="AE1471" s="1684"/>
      <c r="AF1471" s="1684"/>
      <c r="AG1471" s="1684"/>
      <c r="AH1471" s="1684"/>
      <c r="AI1471" s="1684"/>
      <c r="AJ1471" s="1684"/>
      <c r="AK1471" s="1684"/>
      <c r="AL1471" s="1684"/>
      <c r="AM1471" s="1684"/>
      <c r="AN1471" s="1684"/>
      <c r="AO1471" s="1684"/>
      <c r="AP1471" s="1684"/>
      <c r="AQ1471" s="1684"/>
      <c r="AR1471" s="1684"/>
      <c r="AS1471" s="1684"/>
      <c r="AT1471" s="1684"/>
      <c r="AU1471" s="1684"/>
      <c r="AV1471" s="1684"/>
      <c r="AW1471" s="1684"/>
      <c r="AX1471" s="1684"/>
      <c r="AY1471" s="1684"/>
      <c r="AZ1471" s="1684"/>
      <c r="BA1471" s="1684"/>
      <c r="BB1471" s="1684"/>
      <c r="BC1471" s="1684"/>
      <c r="BD1471" s="1684"/>
      <c r="BE1471" s="1684"/>
      <c r="BF1471" s="1684"/>
      <c r="BG1471" s="1684"/>
      <c r="BH1471" s="1684"/>
      <c r="BI1471" s="1684"/>
      <c r="BJ1471" s="1684"/>
      <c r="BK1471" s="1684"/>
      <c r="BL1471" s="1684"/>
      <c r="BM1471" s="1684"/>
      <c r="BN1471" s="1684"/>
      <c r="BO1471" s="1684"/>
      <c r="BP1471" s="1684"/>
      <c r="BQ1471" s="1684"/>
      <c r="BR1471" s="1684"/>
      <c r="BS1471" s="1684"/>
      <c r="BT1471" s="1684"/>
      <c r="BU1471" s="1684"/>
      <c r="BV1471" s="1684"/>
      <c r="BW1471" s="1684"/>
      <c r="BX1471" s="1684"/>
      <c r="BY1471" s="1684"/>
      <c r="BZ1471" s="1684"/>
      <c r="CA1471" s="1684"/>
      <c r="CB1471" s="1684"/>
      <c r="CC1471" s="1684"/>
      <c r="CD1471" s="1684"/>
      <c r="CE1471" s="1684"/>
      <c r="CF1471" s="1684"/>
      <c r="CG1471" s="1684"/>
      <c r="CH1471" s="1684"/>
      <c r="CI1471" s="1684"/>
      <c r="CJ1471" s="1684"/>
      <c r="CK1471" s="1684"/>
      <c r="CL1471" s="1684"/>
      <c r="CM1471" s="1684"/>
      <c r="CN1471" s="1684"/>
      <c r="CO1471" s="1684"/>
    </row>
    <row r="1472" spans="1:93" s="1391" customFormat="1" ht="15" x14ac:dyDescent="0.2">
      <c r="A1472" s="1684"/>
      <c r="B1472" s="1684"/>
      <c r="C1472" s="2013">
        <v>11</v>
      </c>
      <c r="D1472" s="5">
        <v>6.9260000000000002</v>
      </c>
      <c r="E1472" s="5">
        <v>215</v>
      </c>
      <c r="F1472" s="5">
        <v>239</v>
      </c>
      <c r="G1472" s="5">
        <v>261</v>
      </c>
      <c r="H1472" s="5">
        <v>284</v>
      </c>
      <c r="I1472" s="5">
        <v>307</v>
      </c>
      <c r="J1472" s="5">
        <v>329</v>
      </c>
      <c r="K1472" s="5">
        <v>352</v>
      </c>
      <c r="L1472" s="5">
        <v>376</v>
      </c>
      <c r="M1472" s="5">
        <v>397</v>
      </c>
      <c r="N1472" s="5">
        <v>420</v>
      </c>
      <c r="O1472" s="5">
        <v>442</v>
      </c>
      <c r="P1472" s="5">
        <v>465</v>
      </c>
      <c r="Q1472" s="1160">
        <v>37</v>
      </c>
      <c r="R1472"/>
      <c r="S1472" s="1684"/>
      <c r="T1472" s="1684"/>
      <c r="U1472" s="1684"/>
      <c r="V1472" s="1684"/>
      <c r="W1472" s="1684"/>
      <c r="X1472" s="1684"/>
      <c r="Y1472" s="1684"/>
      <c r="Z1472" s="1684"/>
      <c r="AA1472" s="1684"/>
      <c r="AB1472" s="1684"/>
      <c r="AC1472" s="1684"/>
      <c r="AD1472" s="1684"/>
      <c r="AE1472" s="1684"/>
      <c r="AF1472" s="1684"/>
      <c r="AG1472" s="1684"/>
      <c r="AH1472" s="1684"/>
      <c r="AI1472" s="1684"/>
      <c r="AJ1472" s="1684"/>
      <c r="AK1472" s="1684"/>
      <c r="AL1472" s="1684"/>
      <c r="AM1472" s="1684"/>
      <c r="AN1472" s="1684"/>
      <c r="AO1472" s="1684"/>
      <c r="AP1472" s="1684"/>
      <c r="AQ1472" s="1684"/>
      <c r="AR1472" s="1684"/>
      <c r="AS1472" s="1684"/>
      <c r="AT1472" s="1684"/>
      <c r="AU1472" s="1684"/>
      <c r="AV1472" s="1684"/>
      <c r="AW1472" s="1684"/>
      <c r="AX1472" s="1684"/>
      <c r="AY1472" s="1684"/>
      <c r="AZ1472" s="1684"/>
      <c r="BA1472" s="1684"/>
      <c r="BB1472" s="1684"/>
      <c r="BC1472" s="1684"/>
      <c r="BD1472" s="1684"/>
      <c r="BE1472" s="1684"/>
      <c r="BF1472" s="1684"/>
      <c r="BG1472" s="1684"/>
      <c r="BH1472" s="1684"/>
      <c r="BI1472" s="1684"/>
      <c r="BJ1472" s="1684"/>
      <c r="BK1472" s="1684"/>
      <c r="BL1472" s="1684"/>
      <c r="BM1472" s="1684"/>
      <c r="BN1472" s="1684"/>
      <c r="BO1472" s="1684"/>
      <c r="BP1472" s="1684"/>
      <c r="BQ1472" s="1684"/>
      <c r="BR1472" s="1684"/>
      <c r="BS1472" s="1684"/>
      <c r="BT1472" s="1684"/>
      <c r="BU1472" s="1684"/>
      <c r="BV1472" s="1684"/>
      <c r="BW1472" s="1684"/>
      <c r="BX1472" s="1684"/>
      <c r="BY1472" s="1684"/>
      <c r="BZ1472" s="1684"/>
      <c r="CA1472" s="1684"/>
      <c r="CB1472" s="1684"/>
      <c r="CC1472" s="1684"/>
      <c r="CD1472" s="1684"/>
      <c r="CE1472" s="1684"/>
      <c r="CF1472" s="1684"/>
      <c r="CG1472" s="1684"/>
      <c r="CH1472" s="1684"/>
      <c r="CI1472" s="1684"/>
      <c r="CJ1472" s="1684"/>
      <c r="CK1472" s="1684"/>
      <c r="CL1472" s="1684"/>
      <c r="CM1472" s="1684"/>
      <c r="CN1472" s="1684"/>
      <c r="CO1472" s="1684"/>
    </row>
    <row r="1473" spans="1:93" s="1391" customFormat="1" ht="15" x14ac:dyDescent="0.2">
      <c r="A1473" s="1684"/>
      <c r="B1473" s="1684"/>
      <c r="C1473" s="2013">
        <v>12</v>
      </c>
      <c r="D1473" s="5">
        <v>7.4240000000000004</v>
      </c>
      <c r="E1473" s="5">
        <v>237</v>
      </c>
      <c r="F1473" s="5">
        <v>263</v>
      </c>
      <c r="G1473" s="5">
        <v>288</v>
      </c>
      <c r="H1473" s="5">
        <v>313</v>
      </c>
      <c r="I1473" s="5">
        <v>338</v>
      </c>
      <c r="J1473" s="5">
        <v>363</v>
      </c>
      <c r="K1473" s="5">
        <v>388</v>
      </c>
      <c r="L1473" s="5">
        <v>414</v>
      </c>
      <c r="M1473" s="5">
        <v>438</v>
      </c>
      <c r="N1473" s="5">
        <v>463</v>
      </c>
      <c r="O1473" s="5">
        <v>488</v>
      </c>
      <c r="P1473" s="5">
        <v>513</v>
      </c>
      <c r="Q1473" s="1160">
        <v>38</v>
      </c>
      <c r="R1473"/>
      <c r="S1473" s="1684"/>
      <c r="T1473" s="1684"/>
      <c r="U1473" s="1684"/>
      <c r="V1473" s="1684"/>
      <c r="W1473" s="1684"/>
      <c r="X1473" s="1684"/>
      <c r="Y1473" s="1684"/>
      <c r="Z1473" s="1684"/>
      <c r="AA1473" s="1684"/>
      <c r="AB1473" s="1684"/>
      <c r="AC1473" s="1684"/>
      <c r="AD1473" s="1684"/>
      <c r="AE1473" s="1684"/>
      <c r="AF1473" s="1684"/>
      <c r="AG1473" s="1684"/>
      <c r="AH1473" s="1684"/>
      <c r="AI1473" s="1684"/>
      <c r="AJ1473" s="1684"/>
      <c r="AK1473" s="1684"/>
      <c r="AL1473" s="1684"/>
      <c r="AM1473" s="1684"/>
      <c r="AN1473" s="1684"/>
      <c r="AO1473" s="1684"/>
      <c r="AP1473" s="1684"/>
      <c r="AQ1473" s="1684"/>
      <c r="AR1473" s="1684"/>
      <c r="AS1473" s="1684"/>
      <c r="AT1473" s="1684"/>
      <c r="AU1473" s="1684"/>
      <c r="AV1473" s="1684"/>
      <c r="AW1473" s="1684"/>
      <c r="AX1473" s="1684"/>
      <c r="AY1473" s="1684"/>
      <c r="AZ1473" s="1684"/>
      <c r="BA1473" s="1684"/>
      <c r="BB1473" s="1684"/>
      <c r="BC1473" s="1684"/>
      <c r="BD1473" s="1684"/>
      <c r="BE1473" s="1684"/>
      <c r="BF1473" s="1684"/>
      <c r="BG1473" s="1684"/>
      <c r="BH1473" s="1684"/>
      <c r="BI1473" s="1684"/>
      <c r="BJ1473" s="1684"/>
      <c r="BK1473" s="1684"/>
      <c r="BL1473" s="1684"/>
      <c r="BM1473" s="1684"/>
      <c r="BN1473" s="1684"/>
      <c r="BO1473" s="1684"/>
      <c r="BP1473" s="1684"/>
      <c r="BQ1473" s="1684"/>
      <c r="BR1473" s="1684"/>
      <c r="BS1473" s="1684"/>
      <c r="BT1473" s="1684"/>
      <c r="BU1473" s="1684"/>
      <c r="BV1473" s="1684"/>
      <c r="BW1473" s="1684"/>
      <c r="BX1473" s="1684"/>
      <c r="BY1473" s="1684"/>
      <c r="BZ1473" s="1684"/>
      <c r="CA1473" s="1684"/>
      <c r="CB1473" s="1684"/>
      <c r="CC1473" s="1684"/>
      <c r="CD1473" s="1684"/>
      <c r="CE1473" s="1684"/>
      <c r="CF1473" s="1684"/>
      <c r="CG1473" s="1684"/>
      <c r="CH1473" s="1684"/>
      <c r="CI1473" s="1684"/>
      <c r="CJ1473" s="1684"/>
      <c r="CK1473" s="1684"/>
      <c r="CL1473" s="1684"/>
      <c r="CM1473" s="1684"/>
      <c r="CN1473" s="1684"/>
      <c r="CO1473" s="1684"/>
    </row>
    <row r="1474" spans="1:93" s="1391" customFormat="1" ht="15" x14ac:dyDescent="0.2">
      <c r="A1474" s="1684"/>
      <c r="B1474" s="1684"/>
      <c r="C1474" s="2013">
        <v>13</v>
      </c>
      <c r="D1474" s="5">
        <v>7.9409999999999998</v>
      </c>
      <c r="E1474" s="5">
        <v>260</v>
      </c>
      <c r="F1474" s="5">
        <v>289</v>
      </c>
      <c r="G1474" s="5">
        <v>316</v>
      </c>
      <c r="H1474" s="5">
        <v>343</v>
      </c>
      <c r="I1474" s="5">
        <v>371</v>
      </c>
      <c r="J1474" s="5">
        <v>398</v>
      </c>
      <c r="K1474" s="5">
        <v>425</v>
      </c>
      <c r="L1474" s="5">
        <v>454</v>
      </c>
      <c r="M1474" s="5">
        <v>480</v>
      </c>
      <c r="N1474" s="5">
        <v>508</v>
      </c>
      <c r="O1474" s="5">
        <v>535</v>
      </c>
      <c r="P1474" s="5">
        <v>562</v>
      </c>
      <c r="Q1474" s="1160">
        <v>39</v>
      </c>
      <c r="R1474"/>
      <c r="S1474" s="1684"/>
      <c r="T1474" s="1684"/>
      <c r="U1474" s="1684"/>
      <c r="V1474" s="1684"/>
      <c r="W1474" s="1684"/>
      <c r="X1474" s="1684"/>
      <c r="Y1474" s="1684"/>
      <c r="Z1474" s="1684"/>
      <c r="AA1474" s="1684"/>
      <c r="AB1474" s="1684"/>
      <c r="AC1474" s="1684"/>
      <c r="AD1474" s="1684"/>
      <c r="AE1474" s="1684"/>
      <c r="AF1474" s="1684"/>
      <c r="AG1474" s="1684"/>
      <c r="AH1474" s="1684"/>
      <c r="AI1474" s="1684"/>
      <c r="AJ1474" s="1684"/>
      <c r="AK1474" s="1684"/>
      <c r="AL1474" s="1684"/>
      <c r="AM1474" s="1684"/>
      <c r="AN1474" s="1684"/>
      <c r="AO1474" s="1684"/>
      <c r="AP1474" s="1684"/>
      <c r="AQ1474" s="1684"/>
      <c r="AR1474" s="1684"/>
      <c r="AS1474" s="1684"/>
      <c r="AT1474" s="1684"/>
      <c r="AU1474" s="1684"/>
      <c r="AV1474" s="1684"/>
      <c r="AW1474" s="1684"/>
      <c r="AX1474" s="1684"/>
      <c r="AY1474" s="1684"/>
      <c r="AZ1474" s="1684"/>
      <c r="BA1474" s="1684"/>
      <c r="BB1474" s="1684"/>
      <c r="BC1474" s="1684"/>
      <c r="BD1474" s="1684"/>
      <c r="BE1474" s="1684"/>
      <c r="BF1474" s="1684"/>
      <c r="BG1474" s="1684"/>
      <c r="BH1474" s="1684"/>
      <c r="BI1474" s="1684"/>
      <c r="BJ1474" s="1684"/>
      <c r="BK1474" s="1684"/>
      <c r="BL1474" s="1684"/>
      <c r="BM1474" s="1684"/>
      <c r="BN1474" s="1684"/>
      <c r="BO1474" s="1684"/>
      <c r="BP1474" s="1684"/>
      <c r="BQ1474" s="1684"/>
      <c r="BR1474" s="1684"/>
      <c r="BS1474" s="1684"/>
      <c r="BT1474" s="1684"/>
      <c r="BU1474" s="1684"/>
      <c r="BV1474" s="1684"/>
      <c r="BW1474" s="1684"/>
      <c r="BX1474" s="1684"/>
      <c r="BY1474" s="1684"/>
      <c r="BZ1474" s="1684"/>
      <c r="CA1474" s="1684"/>
      <c r="CB1474" s="1684"/>
      <c r="CC1474" s="1684"/>
      <c r="CD1474" s="1684"/>
      <c r="CE1474" s="1684"/>
      <c r="CF1474" s="1684"/>
      <c r="CG1474" s="1684"/>
      <c r="CH1474" s="1684"/>
      <c r="CI1474" s="1684"/>
      <c r="CJ1474" s="1684"/>
      <c r="CK1474" s="1684"/>
      <c r="CL1474" s="1684"/>
      <c r="CM1474" s="1684"/>
      <c r="CN1474" s="1684"/>
      <c r="CO1474" s="1684"/>
    </row>
    <row r="1475" spans="1:93" s="1391" customFormat="1" ht="15" x14ac:dyDescent="0.2">
      <c r="A1475" s="1684"/>
      <c r="B1475" s="1684"/>
      <c r="C1475" s="2013">
        <v>14</v>
      </c>
      <c r="D1475" s="5">
        <v>8.4939999999999998</v>
      </c>
      <c r="E1475" s="5">
        <v>284</v>
      </c>
      <c r="F1475" s="5">
        <v>316</v>
      </c>
      <c r="G1475" s="5">
        <v>346</v>
      </c>
      <c r="H1475" s="5">
        <v>375</v>
      </c>
      <c r="I1475" s="5">
        <v>405</v>
      </c>
      <c r="J1475" s="5">
        <v>435</v>
      </c>
      <c r="K1475" s="5">
        <v>465</v>
      </c>
      <c r="L1475" s="5">
        <v>497</v>
      </c>
      <c r="M1475" s="5">
        <v>525</v>
      </c>
      <c r="N1475" s="5">
        <v>555</v>
      </c>
      <c r="O1475" s="5">
        <v>585</v>
      </c>
      <c r="P1475" s="5">
        <v>615</v>
      </c>
      <c r="Q1475" s="1160">
        <v>40</v>
      </c>
      <c r="R1475"/>
      <c r="S1475" s="1684"/>
      <c r="T1475" s="1684"/>
      <c r="U1475" s="1684"/>
      <c r="V1475" s="1684"/>
      <c r="W1475" s="1684"/>
      <c r="X1475" s="1684"/>
      <c r="Y1475" s="1684"/>
      <c r="Z1475" s="1684"/>
      <c r="AA1475" s="1684"/>
      <c r="AB1475" s="1684"/>
      <c r="AC1475" s="1684"/>
      <c r="AD1475" s="1684"/>
      <c r="AE1475" s="1684"/>
      <c r="AF1475" s="1684"/>
      <c r="AG1475" s="1684"/>
      <c r="AH1475" s="1684"/>
      <c r="AI1475" s="1684"/>
      <c r="AJ1475" s="1684"/>
      <c r="AK1475" s="1684"/>
      <c r="AL1475" s="1684"/>
      <c r="AM1475" s="1684"/>
      <c r="AN1475" s="1684"/>
      <c r="AO1475" s="1684"/>
      <c r="AP1475" s="1684"/>
      <c r="AQ1475" s="1684"/>
      <c r="AR1475" s="1684"/>
      <c r="AS1475" s="1684"/>
      <c r="AT1475" s="1684"/>
      <c r="AU1475" s="1684"/>
      <c r="AV1475" s="1684"/>
      <c r="AW1475" s="1684"/>
      <c r="AX1475" s="1684"/>
      <c r="AY1475" s="1684"/>
      <c r="AZ1475" s="1684"/>
      <c r="BA1475" s="1684"/>
      <c r="BB1475" s="1684"/>
      <c r="BC1475" s="1684"/>
      <c r="BD1475" s="1684"/>
      <c r="BE1475" s="1684"/>
      <c r="BF1475" s="1684"/>
      <c r="BG1475" s="1684"/>
      <c r="BH1475" s="1684"/>
      <c r="BI1475" s="1684"/>
      <c r="BJ1475" s="1684"/>
      <c r="BK1475" s="1684"/>
      <c r="BL1475" s="1684"/>
      <c r="BM1475" s="1684"/>
      <c r="BN1475" s="1684"/>
      <c r="BO1475" s="1684"/>
      <c r="BP1475" s="1684"/>
      <c r="BQ1475" s="1684"/>
      <c r="BR1475" s="1684"/>
      <c r="BS1475" s="1684"/>
      <c r="BT1475" s="1684"/>
      <c r="BU1475" s="1684"/>
      <c r="BV1475" s="1684"/>
      <c r="BW1475" s="1684"/>
      <c r="BX1475" s="1684"/>
      <c r="BY1475" s="1684"/>
      <c r="BZ1475" s="1684"/>
      <c r="CA1475" s="1684"/>
      <c r="CB1475" s="1684"/>
      <c r="CC1475" s="1684"/>
      <c r="CD1475" s="1684"/>
      <c r="CE1475" s="1684"/>
      <c r="CF1475" s="1684"/>
      <c r="CG1475" s="1684"/>
      <c r="CH1475" s="1684"/>
      <c r="CI1475" s="1684"/>
      <c r="CJ1475" s="1684"/>
      <c r="CK1475" s="1684"/>
      <c r="CL1475" s="1684"/>
      <c r="CM1475" s="1684"/>
      <c r="CN1475" s="1684"/>
      <c r="CO1475" s="1684"/>
    </row>
    <row r="1476" spans="1:93" s="1391" customFormat="1" ht="15" x14ac:dyDescent="0.2">
      <c r="A1476" s="1684"/>
      <c r="B1476" s="1684"/>
      <c r="C1476" s="2013">
        <v>15</v>
      </c>
      <c r="D1476" s="5">
        <v>9.0760000000000005</v>
      </c>
      <c r="E1476" s="5">
        <v>310</v>
      </c>
      <c r="F1476" s="5">
        <v>344</v>
      </c>
      <c r="G1476" s="5">
        <v>376</v>
      </c>
      <c r="H1476" s="5">
        <v>409</v>
      </c>
      <c r="I1476" s="5">
        <v>442</v>
      </c>
      <c r="J1476" s="5">
        <v>474</v>
      </c>
      <c r="K1476" s="5">
        <v>507</v>
      </c>
      <c r="L1476" s="5">
        <v>541</v>
      </c>
      <c r="M1476" s="5">
        <v>572</v>
      </c>
      <c r="N1476" s="5">
        <v>604</v>
      </c>
      <c r="O1476" s="5">
        <v>637</v>
      </c>
      <c r="P1476" s="5">
        <v>670</v>
      </c>
      <c r="Q1476" s="1160">
        <v>41</v>
      </c>
      <c r="R1476"/>
      <c r="S1476" s="1684"/>
      <c r="T1476" s="1684"/>
      <c r="U1476" s="1684"/>
      <c r="V1476" s="1684"/>
      <c r="W1476" s="1684"/>
      <c r="X1476" s="1684"/>
      <c r="Y1476" s="1684"/>
      <c r="Z1476" s="1684"/>
      <c r="AA1476" s="1684"/>
      <c r="AB1476" s="1684"/>
      <c r="AC1476" s="1684"/>
      <c r="AD1476" s="1684"/>
      <c r="AE1476" s="1684"/>
      <c r="AF1476" s="1684"/>
      <c r="AG1476" s="1684"/>
      <c r="AH1476" s="1684"/>
      <c r="AI1476" s="1684"/>
      <c r="AJ1476" s="1684"/>
      <c r="AK1476" s="1684"/>
      <c r="AL1476" s="1684"/>
      <c r="AM1476" s="1684"/>
      <c r="AN1476" s="1684"/>
      <c r="AO1476" s="1684"/>
      <c r="AP1476" s="1684"/>
      <c r="AQ1476" s="1684"/>
      <c r="AR1476" s="1684"/>
      <c r="AS1476" s="1684"/>
      <c r="AT1476" s="1684"/>
      <c r="AU1476" s="1684"/>
      <c r="AV1476" s="1684"/>
      <c r="AW1476" s="1684"/>
      <c r="AX1476" s="1684"/>
      <c r="AY1476" s="1684"/>
      <c r="AZ1476" s="1684"/>
      <c r="BA1476" s="1684"/>
      <c r="BB1476" s="1684"/>
      <c r="BC1476" s="1684"/>
      <c r="BD1476" s="1684"/>
      <c r="BE1476" s="1684"/>
      <c r="BF1476" s="1684"/>
      <c r="BG1476" s="1684"/>
      <c r="BH1476" s="1684"/>
      <c r="BI1476" s="1684"/>
      <c r="BJ1476" s="1684"/>
      <c r="BK1476" s="1684"/>
      <c r="BL1476" s="1684"/>
      <c r="BM1476" s="1684"/>
      <c r="BN1476" s="1684"/>
      <c r="BO1476" s="1684"/>
      <c r="BP1476" s="1684"/>
      <c r="BQ1476" s="1684"/>
      <c r="BR1476" s="1684"/>
      <c r="BS1476" s="1684"/>
      <c r="BT1476" s="1684"/>
      <c r="BU1476" s="1684"/>
      <c r="BV1476" s="1684"/>
      <c r="BW1476" s="1684"/>
      <c r="BX1476" s="1684"/>
      <c r="BY1476" s="1684"/>
      <c r="BZ1476" s="1684"/>
      <c r="CA1476" s="1684"/>
      <c r="CB1476" s="1684"/>
      <c r="CC1476" s="1684"/>
      <c r="CD1476" s="1684"/>
      <c r="CE1476" s="1684"/>
      <c r="CF1476" s="1684"/>
      <c r="CG1476" s="1684"/>
      <c r="CH1476" s="1684"/>
      <c r="CI1476" s="1684"/>
      <c r="CJ1476" s="1684"/>
      <c r="CK1476" s="1684"/>
      <c r="CL1476" s="1684"/>
      <c r="CM1476" s="1684"/>
      <c r="CN1476" s="1684"/>
      <c r="CO1476" s="1684"/>
    </row>
    <row r="1477" spans="1:93" s="1391" customFormat="1" ht="15" x14ac:dyDescent="0.2">
      <c r="A1477" s="1684"/>
      <c r="B1477" s="1684"/>
      <c r="C1477" s="2013">
        <v>16</v>
      </c>
      <c r="D1477" s="5">
        <v>9.8160000000000007</v>
      </c>
      <c r="E1477" s="5">
        <v>335</v>
      </c>
      <c r="F1477" s="5">
        <v>372</v>
      </c>
      <c r="G1477" s="5">
        <v>407</v>
      </c>
      <c r="H1477" s="5">
        <v>442</v>
      </c>
      <c r="I1477" s="5">
        <v>477</v>
      </c>
      <c r="J1477" s="5">
        <v>513</v>
      </c>
      <c r="K1477" s="5">
        <v>548</v>
      </c>
      <c r="L1477" s="5">
        <v>585</v>
      </c>
      <c r="M1477" s="5">
        <v>618</v>
      </c>
      <c r="N1477" s="5">
        <v>653</v>
      </c>
      <c r="O1477" s="5">
        <v>689</v>
      </c>
      <c r="P1477" s="5">
        <v>724</v>
      </c>
      <c r="Q1477" s="1160">
        <v>42</v>
      </c>
      <c r="R1477"/>
      <c r="S1477" s="1684"/>
      <c r="T1477" s="1684"/>
      <c r="U1477" s="1684"/>
      <c r="V1477" s="1684"/>
      <c r="W1477" s="1684"/>
      <c r="X1477" s="1684"/>
      <c r="Y1477" s="1684"/>
      <c r="Z1477" s="1684"/>
      <c r="AA1477" s="1684"/>
      <c r="AB1477" s="1684"/>
      <c r="AC1477" s="1684"/>
      <c r="AD1477" s="1684"/>
      <c r="AE1477" s="1684"/>
      <c r="AF1477" s="1684"/>
      <c r="AG1477" s="1684"/>
      <c r="AH1477" s="1684"/>
      <c r="AI1477" s="1684"/>
      <c r="AJ1477" s="1684"/>
      <c r="AK1477" s="1684"/>
      <c r="AL1477" s="1684"/>
      <c r="AM1477" s="1684"/>
      <c r="AN1477" s="1684"/>
      <c r="AO1477" s="1684"/>
      <c r="AP1477" s="1684"/>
      <c r="AQ1477" s="1684"/>
      <c r="AR1477" s="1684"/>
      <c r="AS1477" s="1684"/>
      <c r="AT1477" s="1684"/>
      <c r="AU1477" s="1684"/>
      <c r="AV1477" s="1684"/>
      <c r="AW1477" s="1684"/>
      <c r="AX1477" s="1684"/>
      <c r="AY1477" s="1684"/>
      <c r="AZ1477" s="1684"/>
      <c r="BA1477" s="1684"/>
      <c r="BB1477" s="1684"/>
      <c r="BC1477" s="1684"/>
      <c r="BD1477" s="1684"/>
      <c r="BE1477" s="1684"/>
      <c r="BF1477" s="1684"/>
      <c r="BG1477" s="1684"/>
      <c r="BH1477" s="1684"/>
      <c r="BI1477" s="1684"/>
      <c r="BJ1477" s="1684"/>
      <c r="BK1477" s="1684"/>
      <c r="BL1477" s="1684"/>
      <c r="BM1477" s="1684"/>
      <c r="BN1477" s="1684"/>
      <c r="BO1477" s="1684"/>
      <c r="BP1477" s="1684"/>
      <c r="BQ1477" s="1684"/>
      <c r="BR1477" s="1684"/>
      <c r="BS1477" s="1684"/>
      <c r="BT1477" s="1684"/>
      <c r="BU1477" s="1684"/>
      <c r="BV1477" s="1684"/>
      <c r="BW1477" s="1684"/>
      <c r="BX1477" s="1684"/>
      <c r="BY1477" s="1684"/>
      <c r="BZ1477" s="1684"/>
      <c r="CA1477" s="1684"/>
      <c r="CB1477" s="1684"/>
      <c r="CC1477" s="1684"/>
      <c r="CD1477" s="1684"/>
      <c r="CE1477" s="1684"/>
      <c r="CF1477" s="1684"/>
      <c r="CG1477" s="1684"/>
      <c r="CH1477" s="1684"/>
      <c r="CI1477" s="1684"/>
      <c r="CJ1477" s="1684"/>
      <c r="CK1477" s="1684"/>
      <c r="CL1477" s="1684"/>
      <c r="CM1477" s="1684"/>
      <c r="CN1477" s="1684"/>
      <c r="CO1477" s="1684"/>
    </row>
    <row r="1478" spans="1:93" s="1391" customFormat="1" ht="15" x14ac:dyDescent="0.2">
      <c r="A1478" s="1684"/>
      <c r="B1478" s="1684"/>
      <c r="C1478" s="2013">
        <v>17</v>
      </c>
      <c r="D1478" s="5">
        <v>10.603</v>
      </c>
      <c r="E1478" s="5">
        <v>358</v>
      </c>
      <c r="F1478" s="5">
        <v>398</v>
      </c>
      <c r="G1478" s="5">
        <v>436</v>
      </c>
      <c r="H1478" s="5">
        <v>473</v>
      </c>
      <c r="I1478" s="5">
        <v>511</v>
      </c>
      <c r="J1478" s="5">
        <v>549</v>
      </c>
      <c r="K1478" s="5">
        <v>586</v>
      </c>
      <c r="L1478" s="5">
        <v>626</v>
      </c>
      <c r="M1478" s="5">
        <v>662</v>
      </c>
      <c r="N1478" s="5">
        <v>699</v>
      </c>
      <c r="O1478" s="5">
        <v>737</v>
      </c>
      <c r="P1478" s="5">
        <v>775</v>
      </c>
      <c r="Q1478" s="1160">
        <v>43</v>
      </c>
      <c r="R1478"/>
      <c r="S1478" s="1684"/>
      <c r="T1478" s="1684"/>
      <c r="U1478" s="1684"/>
      <c r="V1478" s="1684"/>
      <c r="W1478" s="1684"/>
      <c r="X1478" s="1684"/>
      <c r="Y1478" s="1684"/>
      <c r="Z1478" s="1684"/>
      <c r="AA1478" s="1684"/>
      <c r="AB1478" s="1684"/>
      <c r="AC1478" s="1684"/>
      <c r="AD1478" s="1684"/>
      <c r="AE1478" s="1684"/>
      <c r="AF1478" s="1684"/>
      <c r="AG1478" s="1684"/>
      <c r="AH1478" s="1684"/>
      <c r="AI1478" s="1684"/>
      <c r="AJ1478" s="1684"/>
      <c r="AK1478" s="1684"/>
      <c r="AL1478" s="1684"/>
      <c r="AM1478" s="1684"/>
      <c r="AN1478" s="1684"/>
      <c r="AO1478" s="1684"/>
      <c r="AP1478" s="1684"/>
      <c r="AQ1478" s="1684"/>
      <c r="AR1478" s="1684"/>
      <c r="AS1478" s="1684"/>
      <c r="AT1478" s="1684"/>
      <c r="AU1478" s="1684"/>
      <c r="AV1478" s="1684"/>
      <c r="AW1478" s="1684"/>
      <c r="AX1478" s="1684"/>
      <c r="AY1478" s="1684"/>
      <c r="AZ1478" s="1684"/>
      <c r="BA1478" s="1684"/>
      <c r="BB1478" s="1684"/>
      <c r="BC1478" s="1684"/>
      <c r="BD1478" s="1684"/>
      <c r="BE1478" s="1684"/>
      <c r="BF1478" s="1684"/>
      <c r="BG1478" s="1684"/>
      <c r="BH1478" s="1684"/>
      <c r="BI1478" s="1684"/>
      <c r="BJ1478" s="1684"/>
      <c r="BK1478" s="1684"/>
      <c r="BL1478" s="1684"/>
      <c r="BM1478" s="1684"/>
      <c r="BN1478" s="1684"/>
      <c r="BO1478" s="1684"/>
      <c r="BP1478" s="1684"/>
      <c r="BQ1478" s="1684"/>
      <c r="BR1478" s="1684"/>
      <c r="BS1478" s="1684"/>
      <c r="BT1478" s="1684"/>
      <c r="BU1478" s="1684"/>
      <c r="BV1478" s="1684"/>
      <c r="BW1478" s="1684"/>
      <c r="BX1478" s="1684"/>
      <c r="BY1478" s="1684"/>
      <c r="BZ1478" s="1684"/>
      <c r="CA1478" s="1684"/>
      <c r="CB1478" s="1684"/>
      <c r="CC1478" s="1684"/>
      <c r="CD1478" s="1684"/>
      <c r="CE1478" s="1684"/>
      <c r="CF1478" s="1684"/>
      <c r="CG1478" s="1684"/>
      <c r="CH1478" s="1684"/>
      <c r="CI1478" s="1684"/>
      <c r="CJ1478" s="1684"/>
      <c r="CK1478" s="1684"/>
      <c r="CL1478" s="1684"/>
      <c r="CM1478" s="1684"/>
      <c r="CN1478" s="1684"/>
      <c r="CO1478" s="1684"/>
    </row>
    <row r="1479" spans="1:93" s="1391" customFormat="1" ht="15" x14ac:dyDescent="0.2">
      <c r="A1479" s="1684"/>
      <c r="B1479" s="1684"/>
      <c r="C1479" s="2013">
        <v>18</v>
      </c>
      <c r="D1479" s="5">
        <v>11.125</v>
      </c>
      <c r="E1479" s="5">
        <v>380</v>
      </c>
      <c r="F1479" s="5">
        <v>422</v>
      </c>
      <c r="G1479" s="5">
        <v>462</v>
      </c>
      <c r="H1479" s="5">
        <v>502</v>
      </c>
      <c r="I1479" s="5">
        <v>542</v>
      </c>
      <c r="J1479" s="5">
        <v>582</v>
      </c>
      <c r="K1479" s="5">
        <v>622</v>
      </c>
      <c r="L1479" s="5">
        <v>664</v>
      </c>
      <c r="M1479" s="5">
        <v>702</v>
      </c>
      <c r="N1479" s="5">
        <v>742</v>
      </c>
      <c r="O1479" s="5">
        <v>782</v>
      </c>
      <c r="P1479" s="5">
        <v>822</v>
      </c>
      <c r="Q1479" s="1160">
        <v>44</v>
      </c>
      <c r="R1479"/>
      <c r="S1479" s="1684"/>
      <c r="T1479" s="1684"/>
      <c r="U1479" s="1684"/>
      <c r="V1479" s="1684"/>
      <c r="W1479" s="1684"/>
      <c r="X1479" s="1684"/>
      <c r="Y1479" s="1684"/>
      <c r="Z1479" s="1684"/>
      <c r="AA1479" s="1684"/>
      <c r="AB1479" s="1684"/>
      <c r="AC1479" s="1684"/>
      <c r="AD1479" s="1684"/>
      <c r="AE1479" s="1684"/>
      <c r="AF1479" s="1684"/>
      <c r="AG1479" s="1684"/>
      <c r="AH1479" s="1684"/>
      <c r="AI1479" s="1684"/>
      <c r="AJ1479" s="1684"/>
      <c r="AK1479" s="1684"/>
      <c r="AL1479" s="1684"/>
      <c r="AM1479" s="1684"/>
      <c r="AN1479" s="1684"/>
      <c r="AO1479" s="1684"/>
      <c r="AP1479" s="1684"/>
      <c r="AQ1479" s="1684"/>
      <c r="AR1479" s="1684"/>
      <c r="AS1479" s="1684"/>
      <c r="AT1479" s="1684"/>
      <c r="AU1479" s="1684"/>
      <c r="AV1479" s="1684"/>
      <c r="AW1479" s="1684"/>
      <c r="AX1479" s="1684"/>
      <c r="AY1479" s="1684"/>
      <c r="AZ1479" s="1684"/>
      <c r="BA1479" s="1684"/>
      <c r="BB1479" s="1684"/>
      <c r="BC1479" s="1684"/>
      <c r="BD1479" s="1684"/>
      <c r="BE1479" s="1684"/>
      <c r="BF1479" s="1684"/>
      <c r="BG1479" s="1684"/>
      <c r="BH1479" s="1684"/>
      <c r="BI1479" s="1684"/>
      <c r="BJ1479" s="1684"/>
      <c r="BK1479" s="1684"/>
      <c r="BL1479" s="1684"/>
      <c r="BM1479" s="1684"/>
      <c r="BN1479" s="1684"/>
      <c r="BO1479" s="1684"/>
      <c r="BP1479" s="1684"/>
      <c r="BQ1479" s="1684"/>
      <c r="BR1479" s="1684"/>
      <c r="BS1479" s="1684"/>
      <c r="BT1479" s="1684"/>
      <c r="BU1479" s="1684"/>
      <c r="BV1479" s="1684"/>
      <c r="BW1479" s="1684"/>
      <c r="BX1479" s="1684"/>
      <c r="BY1479" s="1684"/>
      <c r="BZ1479" s="1684"/>
      <c r="CA1479" s="1684"/>
      <c r="CB1479" s="1684"/>
      <c r="CC1479" s="1684"/>
      <c r="CD1479" s="1684"/>
      <c r="CE1479" s="1684"/>
      <c r="CF1479" s="1684"/>
      <c r="CG1479" s="1684"/>
      <c r="CH1479" s="1684"/>
      <c r="CI1479" s="1684"/>
      <c r="CJ1479" s="1684"/>
      <c r="CK1479" s="1684"/>
      <c r="CL1479" s="1684"/>
      <c r="CM1479" s="1684"/>
      <c r="CN1479" s="1684"/>
      <c r="CO1479" s="1684"/>
    </row>
    <row r="1480" spans="1:93" s="1391" customFormat="1" ht="15" x14ac:dyDescent="0.2">
      <c r="A1480" s="1684"/>
      <c r="B1480" s="1684"/>
      <c r="C1480" s="4680" t="s">
        <v>1906</v>
      </c>
      <c r="D1480" s="4681"/>
      <c r="E1480" s="4681"/>
      <c r="F1480" s="4681"/>
      <c r="G1480" s="4681"/>
      <c r="H1480" s="4681"/>
      <c r="I1480" s="4681"/>
      <c r="J1480" s="4681"/>
      <c r="K1480" s="4681"/>
      <c r="L1480" s="4681"/>
      <c r="M1480" s="4681"/>
      <c r="N1480" s="4681"/>
      <c r="O1480" s="4681"/>
      <c r="P1480" s="4681"/>
      <c r="Q1480" s="4682"/>
      <c r="R1480"/>
      <c r="S1480" s="1684"/>
      <c r="T1480" s="1684"/>
      <c r="U1480" s="1684"/>
      <c r="V1480" s="1684"/>
      <c r="W1480" s="1684"/>
      <c r="X1480" s="1684"/>
      <c r="Y1480" s="1684"/>
      <c r="Z1480" s="1684"/>
      <c r="AA1480" s="1684"/>
      <c r="AB1480" s="1684"/>
      <c r="AC1480" s="1684"/>
      <c r="AD1480" s="1684"/>
      <c r="AE1480" s="1684"/>
      <c r="AF1480" s="1684"/>
      <c r="AG1480" s="1684"/>
      <c r="AH1480" s="1684"/>
      <c r="AI1480" s="1684"/>
      <c r="AJ1480" s="1684"/>
      <c r="AK1480" s="1684"/>
      <c r="AL1480" s="1684"/>
      <c r="AM1480" s="1684"/>
      <c r="AN1480" s="1684"/>
      <c r="AO1480" s="1684"/>
      <c r="AP1480" s="1684"/>
      <c r="AQ1480" s="1684"/>
      <c r="AR1480" s="1684"/>
      <c r="AS1480" s="1684"/>
      <c r="AT1480" s="1684"/>
      <c r="AU1480" s="1684"/>
      <c r="AV1480" s="1684"/>
      <c r="AW1480" s="1684"/>
      <c r="AX1480" s="1684"/>
      <c r="AY1480" s="1684"/>
      <c r="AZ1480" s="1684"/>
      <c r="BA1480" s="1684"/>
      <c r="BB1480" s="1684"/>
      <c r="BC1480" s="1684"/>
      <c r="BD1480" s="1684"/>
      <c r="BE1480" s="1684"/>
      <c r="BF1480" s="1684"/>
      <c r="BG1480" s="1684"/>
      <c r="BH1480" s="1684"/>
      <c r="BI1480" s="1684"/>
      <c r="BJ1480" s="1684"/>
      <c r="BK1480" s="1684"/>
      <c r="BL1480" s="1684"/>
      <c r="BM1480" s="1684"/>
      <c r="BN1480" s="1684"/>
      <c r="BO1480" s="1684"/>
      <c r="BP1480" s="1684"/>
      <c r="BQ1480" s="1684"/>
      <c r="BR1480" s="1684"/>
      <c r="BS1480" s="1684"/>
      <c r="BT1480" s="1684"/>
      <c r="BU1480" s="1684"/>
      <c r="BV1480" s="1684"/>
      <c r="BW1480" s="1684"/>
      <c r="BX1480" s="1684"/>
      <c r="BY1480" s="1684"/>
      <c r="BZ1480" s="1684"/>
      <c r="CA1480" s="1684"/>
      <c r="CB1480" s="1684"/>
      <c r="CC1480" s="1684"/>
      <c r="CD1480" s="1684"/>
      <c r="CE1480" s="1684"/>
      <c r="CF1480" s="1684"/>
      <c r="CG1480" s="1684"/>
      <c r="CH1480" s="1684"/>
      <c r="CI1480" s="1684"/>
      <c r="CJ1480" s="1684"/>
      <c r="CK1480" s="1684"/>
      <c r="CL1480" s="1684"/>
      <c r="CM1480" s="1684"/>
      <c r="CN1480" s="1684"/>
      <c r="CO1480" s="1684"/>
    </row>
    <row r="1481" spans="1:93" s="1391" customFormat="1" ht="15" x14ac:dyDescent="0.2">
      <c r="A1481" s="1684"/>
      <c r="B1481" s="1684"/>
      <c r="C1481" s="4680"/>
      <c r="D1481" s="4681"/>
      <c r="E1481" s="4681"/>
      <c r="F1481" s="4681"/>
      <c r="G1481" s="4681"/>
      <c r="H1481" s="4681"/>
      <c r="I1481" s="4681"/>
      <c r="J1481" s="4681"/>
      <c r="K1481" s="4681"/>
      <c r="L1481" s="4681"/>
      <c r="M1481" s="4681"/>
      <c r="N1481" s="4681"/>
      <c r="O1481" s="4681"/>
      <c r="P1481" s="4681"/>
      <c r="Q1481" s="4682"/>
      <c r="R1481"/>
      <c r="S1481" s="1684"/>
      <c r="T1481" s="1684"/>
      <c r="U1481" s="1684"/>
      <c r="V1481" s="1684"/>
      <c r="W1481" s="1684"/>
      <c r="X1481" s="1684"/>
      <c r="Y1481" s="1684"/>
      <c r="Z1481" s="1684"/>
      <c r="AA1481" s="1684"/>
      <c r="AB1481" s="1684"/>
      <c r="AC1481" s="1684"/>
      <c r="AD1481" s="1684"/>
      <c r="AE1481" s="1684"/>
      <c r="AF1481" s="1684"/>
      <c r="AG1481" s="1684"/>
      <c r="AH1481" s="1684"/>
      <c r="AI1481" s="1684"/>
      <c r="AJ1481" s="1684"/>
      <c r="AK1481" s="1684"/>
      <c r="AL1481" s="1684"/>
      <c r="AM1481" s="1684"/>
      <c r="AN1481" s="1684"/>
      <c r="AO1481" s="1684"/>
      <c r="AP1481" s="1684"/>
      <c r="AQ1481" s="1684"/>
      <c r="AR1481" s="1684"/>
      <c r="AS1481" s="1684"/>
      <c r="AT1481" s="1684"/>
      <c r="AU1481" s="1684"/>
      <c r="AV1481" s="1684"/>
      <c r="AW1481" s="1684"/>
      <c r="AX1481" s="1684"/>
      <c r="AY1481" s="1684"/>
      <c r="AZ1481" s="1684"/>
      <c r="BA1481" s="1684"/>
      <c r="BB1481" s="1684"/>
      <c r="BC1481" s="1684"/>
      <c r="BD1481" s="1684"/>
      <c r="BE1481" s="1684"/>
      <c r="BF1481" s="1684"/>
      <c r="BG1481" s="1684"/>
      <c r="BH1481" s="1684"/>
      <c r="BI1481" s="1684"/>
      <c r="BJ1481" s="1684"/>
      <c r="BK1481" s="1684"/>
      <c r="BL1481" s="1684"/>
      <c r="BM1481" s="1684"/>
      <c r="BN1481" s="1684"/>
      <c r="BO1481" s="1684"/>
      <c r="BP1481" s="1684"/>
      <c r="BQ1481" s="1684"/>
      <c r="BR1481" s="1684"/>
      <c r="BS1481" s="1684"/>
      <c r="BT1481" s="1684"/>
      <c r="BU1481" s="1684"/>
      <c r="BV1481" s="1684"/>
      <c r="BW1481" s="1684"/>
      <c r="BX1481" s="1684"/>
      <c r="BY1481" s="1684"/>
      <c r="BZ1481" s="1684"/>
      <c r="CA1481" s="1684"/>
      <c r="CB1481" s="1684"/>
      <c r="CC1481" s="1684"/>
      <c r="CD1481" s="1684"/>
      <c r="CE1481" s="1684"/>
      <c r="CF1481" s="1684"/>
      <c r="CG1481" s="1684"/>
      <c r="CH1481" s="1684"/>
      <c r="CI1481" s="1684"/>
      <c r="CJ1481" s="1684"/>
      <c r="CK1481" s="1684"/>
      <c r="CL1481" s="1684"/>
      <c r="CM1481" s="1684"/>
      <c r="CN1481" s="1684"/>
      <c r="CO1481" s="1684"/>
    </row>
    <row r="1482" spans="1:93" s="1391" customFormat="1" ht="15" x14ac:dyDescent="0.2">
      <c r="A1482" s="1684"/>
      <c r="B1482" s="1684"/>
      <c r="C1482" s="4680" t="s">
        <v>3690</v>
      </c>
      <c r="D1482" s="4681"/>
      <c r="E1482" s="4681"/>
      <c r="F1482" s="4681"/>
      <c r="G1482" s="4681"/>
      <c r="H1482" s="4681"/>
      <c r="I1482" s="4681"/>
      <c r="J1482" s="4681"/>
      <c r="K1482" s="4681"/>
      <c r="L1482" s="4681"/>
      <c r="M1482" s="4681"/>
      <c r="N1482" s="4681"/>
      <c r="O1482" s="4681"/>
      <c r="P1482" s="4681"/>
      <c r="Q1482" s="4682"/>
      <c r="R1482"/>
      <c r="S1482" s="1684"/>
      <c r="T1482" s="1684"/>
      <c r="U1482" s="1684"/>
      <c r="V1482" s="1684"/>
      <c r="W1482" s="1684"/>
      <c r="X1482" s="1684"/>
      <c r="Y1482" s="1684"/>
      <c r="Z1482" s="1684"/>
      <c r="AA1482" s="1684"/>
      <c r="AB1482" s="1684"/>
      <c r="AC1482" s="1684"/>
      <c r="AD1482" s="1684"/>
      <c r="AE1482" s="1684"/>
      <c r="AF1482" s="1684"/>
      <c r="AG1482" s="1684"/>
      <c r="AH1482" s="1684"/>
      <c r="AI1482" s="1684"/>
      <c r="AJ1482" s="1684"/>
      <c r="AK1482" s="1684"/>
      <c r="AL1482" s="1684"/>
      <c r="AM1482" s="1684"/>
      <c r="AN1482" s="1684"/>
      <c r="AO1482" s="1684"/>
      <c r="AP1482" s="1684"/>
      <c r="AQ1482" s="1684"/>
      <c r="AR1482" s="1684"/>
      <c r="AS1482" s="1684"/>
      <c r="AT1482" s="1684"/>
      <c r="AU1482" s="1684"/>
      <c r="AV1482" s="1684"/>
      <c r="AW1482" s="1684"/>
      <c r="AX1482" s="1684"/>
      <c r="AY1482" s="1684"/>
      <c r="AZ1482" s="1684"/>
      <c r="BA1482" s="1684"/>
      <c r="BB1482" s="1684"/>
      <c r="BC1482" s="1684"/>
      <c r="BD1482" s="1684"/>
      <c r="BE1482" s="1684"/>
      <c r="BF1482" s="1684"/>
      <c r="BG1482" s="1684"/>
      <c r="BH1482" s="1684"/>
      <c r="BI1482" s="1684"/>
      <c r="BJ1482" s="1684"/>
      <c r="BK1482" s="1684"/>
      <c r="BL1482" s="1684"/>
      <c r="BM1482" s="1684"/>
      <c r="BN1482" s="1684"/>
      <c r="BO1482" s="1684"/>
      <c r="BP1482" s="1684"/>
      <c r="BQ1482" s="1684"/>
      <c r="BR1482" s="1684"/>
      <c r="BS1482" s="1684"/>
      <c r="BT1482" s="1684"/>
      <c r="BU1482" s="1684"/>
      <c r="BV1482" s="1684"/>
      <c r="BW1482" s="1684"/>
      <c r="BX1482" s="1684"/>
      <c r="BY1482" s="1684"/>
      <c r="BZ1482" s="1684"/>
      <c r="CA1482" s="1684"/>
      <c r="CB1482" s="1684"/>
      <c r="CC1482" s="1684"/>
      <c r="CD1482" s="1684"/>
      <c r="CE1482" s="1684"/>
      <c r="CF1482" s="1684"/>
      <c r="CG1482" s="1684"/>
      <c r="CH1482" s="1684"/>
      <c r="CI1482" s="1684"/>
      <c r="CJ1482" s="1684"/>
      <c r="CK1482" s="1684"/>
      <c r="CL1482" s="1684"/>
      <c r="CM1482" s="1684"/>
      <c r="CN1482" s="1684"/>
      <c r="CO1482" s="1684"/>
    </row>
    <row r="1483" spans="1:93" s="1391" customFormat="1" ht="15" x14ac:dyDescent="0.2">
      <c r="A1483" s="1684"/>
      <c r="B1483" s="1684"/>
      <c r="C1483" s="4680"/>
      <c r="D1483" s="4681"/>
      <c r="E1483" s="4681"/>
      <c r="F1483" s="4681"/>
      <c r="G1483" s="4681"/>
      <c r="H1483" s="4681"/>
      <c r="I1483" s="4681"/>
      <c r="J1483" s="4681"/>
      <c r="K1483" s="4681"/>
      <c r="L1483" s="4681"/>
      <c r="M1483" s="4681"/>
      <c r="N1483" s="4681"/>
      <c r="O1483" s="4681"/>
      <c r="P1483" s="4681"/>
      <c r="Q1483" s="4682"/>
      <c r="R1483"/>
      <c r="S1483" s="1684"/>
      <c r="T1483" s="1684"/>
      <c r="U1483" s="1684"/>
      <c r="V1483" s="1684"/>
      <c r="W1483" s="1684"/>
      <c r="X1483" s="1684"/>
      <c r="Y1483" s="1684"/>
      <c r="Z1483" s="1684"/>
      <c r="AA1483" s="1684"/>
      <c r="AB1483" s="1684"/>
      <c r="AC1483" s="1684"/>
      <c r="AD1483" s="1684"/>
      <c r="AE1483" s="1684"/>
      <c r="AF1483" s="1684"/>
      <c r="AG1483" s="1684"/>
      <c r="AH1483" s="1684"/>
      <c r="AI1483" s="1684"/>
      <c r="AJ1483" s="1684"/>
      <c r="AK1483" s="1684"/>
      <c r="AL1483" s="1684"/>
      <c r="AM1483" s="1684"/>
      <c r="AN1483" s="1684"/>
      <c r="AO1483" s="1684"/>
      <c r="AP1483" s="1684"/>
      <c r="AQ1483" s="1684"/>
      <c r="AR1483" s="1684"/>
      <c r="AS1483" s="1684"/>
      <c r="AT1483" s="1684"/>
      <c r="AU1483" s="1684"/>
      <c r="AV1483" s="1684"/>
      <c r="AW1483" s="1684"/>
      <c r="AX1483" s="1684"/>
      <c r="AY1483" s="1684"/>
      <c r="AZ1483" s="1684"/>
      <c r="BA1483" s="1684"/>
      <c r="BB1483" s="1684"/>
      <c r="BC1483" s="1684"/>
      <c r="BD1483" s="1684"/>
      <c r="BE1483" s="1684"/>
      <c r="BF1483" s="1684"/>
      <c r="BG1483" s="1684"/>
      <c r="BH1483" s="1684"/>
      <c r="BI1483" s="1684"/>
      <c r="BJ1483" s="1684"/>
      <c r="BK1483" s="1684"/>
      <c r="BL1483" s="1684"/>
      <c r="BM1483" s="1684"/>
      <c r="BN1483" s="1684"/>
      <c r="BO1483" s="1684"/>
      <c r="BP1483" s="1684"/>
      <c r="BQ1483" s="1684"/>
      <c r="BR1483" s="1684"/>
      <c r="BS1483" s="1684"/>
      <c r="BT1483" s="1684"/>
      <c r="BU1483" s="1684"/>
      <c r="BV1483" s="1684"/>
      <c r="BW1483" s="1684"/>
      <c r="BX1483" s="1684"/>
      <c r="BY1483" s="1684"/>
      <c r="BZ1483" s="1684"/>
      <c r="CA1483" s="1684"/>
      <c r="CB1483" s="1684"/>
      <c r="CC1483" s="1684"/>
      <c r="CD1483" s="1684"/>
      <c r="CE1483" s="1684"/>
      <c r="CF1483" s="1684"/>
      <c r="CG1483" s="1684"/>
      <c r="CH1483" s="1684"/>
      <c r="CI1483" s="1684"/>
      <c r="CJ1483" s="1684"/>
      <c r="CK1483" s="1684"/>
      <c r="CL1483" s="1684"/>
      <c r="CM1483" s="1684"/>
      <c r="CN1483" s="1684"/>
      <c r="CO1483" s="1684"/>
    </row>
    <row r="1484" spans="1:93" s="1391" customFormat="1" ht="15" x14ac:dyDescent="0.2">
      <c r="A1484" s="1684"/>
      <c r="B1484" s="1684"/>
      <c r="C1484" s="2013"/>
      <c r="D1484" s="5"/>
      <c r="E1484" s="5">
        <v>1</v>
      </c>
      <c r="F1484" s="5">
        <v>2</v>
      </c>
      <c r="G1484" s="5">
        <v>3</v>
      </c>
      <c r="H1484" s="5">
        <v>4</v>
      </c>
      <c r="I1484" s="5">
        <v>5</v>
      </c>
      <c r="J1484" s="5">
        <v>6</v>
      </c>
      <c r="K1484" s="5">
        <v>7</v>
      </c>
      <c r="L1484" s="5">
        <v>8</v>
      </c>
      <c r="M1484" s="5">
        <v>9</v>
      </c>
      <c r="N1484" s="5">
        <v>10</v>
      </c>
      <c r="O1484" s="5">
        <v>11</v>
      </c>
      <c r="P1484" s="5">
        <v>12</v>
      </c>
      <c r="Q1484" s="1160"/>
      <c r="R1484"/>
      <c r="S1484" s="1684"/>
      <c r="T1484" s="1684"/>
      <c r="U1484" s="1684"/>
      <c r="V1484" s="1684"/>
      <c r="W1484" s="1684"/>
      <c r="X1484" s="1684"/>
      <c r="Y1484" s="1684"/>
      <c r="Z1484" s="1684"/>
      <c r="AA1484" s="1684"/>
      <c r="AB1484" s="1684"/>
      <c r="AC1484" s="1684"/>
      <c r="AD1484" s="1684"/>
      <c r="AE1484" s="1684"/>
      <c r="AF1484" s="1684"/>
      <c r="AG1484" s="1684"/>
      <c r="AH1484" s="1684"/>
      <c r="AI1484" s="1684"/>
      <c r="AJ1484" s="1684"/>
      <c r="AK1484" s="1684"/>
      <c r="AL1484" s="1684"/>
      <c r="AM1484" s="1684"/>
      <c r="AN1484" s="1684"/>
      <c r="AO1484" s="1684"/>
      <c r="AP1484" s="1684"/>
      <c r="AQ1484" s="1684"/>
      <c r="AR1484" s="1684"/>
      <c r="AS1484" s="1684"/>
      <c r="AT1484" s="1684"/>
      <c r="AU1484" s="1684"/>
      <c r="AV1484" s="1684"/>
      <c r="AW1484" s="1684"/>
      <c r="AX1484" s="1684"/>
      <c r="AY1484" s="1684"/>
      <c r="AZ1484" s="1684"/>
      <c r="BA1484" s="1684"/>
      <c r="BB1484" s="1684"/>
      <c r="BC1484" s="1684"/>
      <c r="BD1484" s="1684"/>
      <c r="BE1484" s="1684"/>
      <c r="BF1484" s="1684"/>
      <c r="BG1484" s="1684"/>
      <c r="BH1484" s="1684"/>
      <c r="BI1484" s="1684"/>
      <c r="BJ1484" s="1684"/>
      <c r="BK1484" s="1684"/>
      <c r="BL1484" s="1684"/>
      <c r="BM1484" s="1684"/>
      <c r="BN1484" s="1684"/>
      <c r="BO1484" s="1684"/>
      <c r="BP1484" s="1684"/>
      <c r="BQ1484" s="1684"/>
      <c r="BR1484" s="1684"/>
      <c r="BS1484" s="1684"/>
      <c r="BT1484" s="1684"/>
      <c r="BU1484" s="1684"/>
      <c r="BV1484" s="1684"/>
      <c r="BW1484" s="1684"/>
      <c r="BX1484" s="1684"/>
      <c r="BY1484" s="1684"/>
      <c r="BZ1484" s="1684"/>
      <c r="CA1484" s="1684"/>
      <c r="CB1484" s="1684"/>
      <c r="CC1484" s="1684"/>
      <c r="CD1484" s="1684"/>
      <c r="CE1484" s="1684"/>
      <c r="CF1484" s="1684"/>
      <c r="CG1484" s="1684"/>
      <c r="CH1484" s="1684"/>
      <c r="CI1484" s="1684"/>
      <c r="CJ1484" s="1684"/>
      <c r="CK1484" s="1684"/>
      <c r="CL1484" s="1684"/>
      <c r="CM1484" s="1684"/>
      <c r="CN1484" s="1684"/>
      <c r="CO1484" s="1684"/>
    </row>
    <row r="1485" spans="1:93" s="1391" customFormat="1" ht="15" x14ac:dyDescent="0.2">
      <c r="A1485" s="1684"/>
      <c r="B1485" s="1684"/>
      <c r="C1485" s="2013">
        <v>8</v>
      </c>
      <c r="D1485" s="5">
        <v>5.0860000000000003</v>
      </c>
      <c r="E1485" s="5">
        <v>130</v>
      </c>
      <c r="F1485" s="5">
        <v>144</v>
      </c>
      <c r="G1485" s="5">
        <v>157</v>
      </c>
      <c r="H1485" s="5">
        <v>170</v>
      </c>
      <c r="I1485" s="5">
        <v>182</v>
      </c>
      <c r="J1485" s="5">
        <v>195</v>
      </c>
      <c r="K1485" s="5">
        <v>208</v>
      </c>
      <c r="L1485" s="5">
        <v>221</v>
      </c>
      <c r="M1485" s="5">
        <v>233</v>
      </c>
      <c r="N1485" s="5">
        <v>245</v>
      </c>
      <c r="O1485" s="5">
        <v>257</v>
      </c>
      <c r="P1485" s="5">
        <v>269</v>
      </c>
      <c r="Q1485" s="1160">
        <v>45</v>
      </c>
      <c r="R1485"/>
      <c r="S1485" s="1684"/>
      <c r="T1485" s="1684"/>
      <c r="U1485" s="1684"/>
      <c r="V1485" s="1684"/>
      <c r="W1485" s="1684"/>
      <c r="X1485" s="1684"/>
      <c r="Y1485" s="1684"/>
      <c r="Z1485" s="1684"/>
      <c r="AA1485" s="1684"/>
      <c r="AB1485" s="1684"/>
      <c r="AC1485" s="1684"/>
      <c r="AD1485" s="1684"/>
      <c r="AE1485" s="1684"/>
      <c r="AF1485" s="1684"/>
      <c r="AG1485" s="1684"/>
      <c r="AH1485" s="1684"/>
      <c r="AI1485" s="1684"/>
      <c r="AJ1485" s="1684"/>
      <c r="AK1485" s="1684"/>
      <c r="AL1485" s="1684"/>
      <c r="AM1485" s="1684"/>
      <c r="AN1485" s="1684"/>
      <c r="AO1485" s="1684"/>
      <c r="AP1485" s="1684"/>
      <c r="AQ1485" s="1684"/>
      <c r="AR1485" s="1684"/>
      <c r="AS1485" s="1684"/>
      <c r="AT1485" s="1684"/>
      <c r="AU1485" s="1684"/>
      <c r="AV1485" s="1684"/>
      <c r="AW1485" s="1684"/>
      <c r="AX1485" s="1684"/>
      <c r="AY1485" s="1684"/>
      <c r="AZ1485" s="1684"/>
      <c r="BA1485" s="1684"/>
      <c r="BB1485" s="1684"/>
      <c r="BC1485" s="1684"/>
      <c r="BD1485" s="1684"/>
      <c r="BE1485" s="1684"/>
      <c r="BF1485" s="1684"/>
      <c r="BG1485" s="1684"/>
      <c r="BH1485" s="1684"/>
      <c r="BI1485" s="1684"/>
      <c r="BJ1485" s="1684"/>
      <c r="BK1485" s="1684"/>
      <c r="BL1485" s="1684"/>
      <c r="BM1485" s="1684"/>
      <c r="BN1485" s="1684"/>
      <c r="BO1485" s="1684"/>
      <c r="BP1485" s="1684"/>
      <c r="BQ1485" s="1684"/>
      <c r="BR1485" s="1684"/>
      <c r="BS1485" s="1684"/>
      <c r="BT1485" s="1684"/>
      <c r="BU1485" s="1684"/>
      <c r="BV1485" s="1684"/>
      <c r="BW1485" s="1684"/>
      <c r="BX1485" s="1684"/>
      <c r="BY1485" s="1684"/>
      <c r="BZ1485" s="1684"/>
      <c r="CA1485" s="1684"/>
      <c r="CB1485" s="1684"/>
      <c r="CC1485" s="1684"/>
      <c r="CD1485" s="1684"/>
      <c r="CE1485" s="1684"/>
      <c r="CF1485" s="1684"/>
      <c r="CG1485" s="1684"/>
      <c r="CH1485" s="1684"/>
      <c r="CI1485" s="1684"/>
      <c r="CJ1485" s="1684"/>
      <c r="CK1485" s="1684"/>
      <c r="CL1485" s="1684"/>
      <c r="CM1485" s="1684"/>
      <c r="CN1485" s="1684"/>
      <c r="CO1485" s="1684"/>
    </row>
    <row r="1486" spans="1:93" s="1391" customFormat="1" ht="15" x14ac:dyDescent="0.2">
      <c r="A1486" s="1684"/>
      <c r="B1486" s="1684"/>
      <c r="C1486" s="2013">
        <v>9</v>
      </c>
      <c r="D1486" s="5">
        <v>5.4050000000000002</v>
      </c>
      <c r="E1486" s="5">
        <v>143</v>
      </c>
      <c r="F1486" s="5">
        <v>159</v>
      </c>
      <c r="G1486" s="5">
        <v>173</v>
      </c>
      <c r="H1486" s="5">
        <v>187</v>
      </c>
      <c r="I1486" s="5">
        <v>201</v>
      </c>
      <c r="J1486" s="5">
        <v>215</v>
      </c>
      <c r="K1486" s="5">
        <v>229</v>
      </c>
      <c r="L1486" s="5">
        <v>243</v>
      </c>
      <c r="M1486" s="5">
        <v>256</v>
      </c>
      <c r="N1486" s="5">
        <v>269</v>
      </c>
      <c r="O1486" s="5">
        <v>282</v>
      </c>
      <c r="P1486" s="5">
        <v>296</v>
      </c>
      <c r="Q1486" s="1160">
        <v>46</v>
      </c>
      <c r="R1486"/>
      <c r="S1486" s="1684"/>
      <c r="T1486" s="1684"/>
      <c r="U1486" s="1684"/>
      <c r="V1486" s="1684"/>
      <c r="W1486" s="1684"/>
      <c r="X1486" s="1684"/>
      <c r="Y1486" s="1684"/>
      <c r="Z1486" s="1684"/>
      <c r="AA1486" s="1684"/>
      <c r="AB1486" s="1684"/>
      <c r="AC1486" s="1684"/>
      <c r="AD1486" s="1684"/>
      <c r="AE1486" s="1684"/>
      <c r="AF1486" s="1684"/>
      <c r="AG1486" s="1684"/>
      <c r="AH1486" s="1684"/>
      <c r="AI1486" s="1684"/>
      <c r="AJ1486" s="1684"/>
      <c r="AK1486" s="1684"/>
      <c r="AL1486" s="1684"/>
      <c r="AM1486" s="1684"/>
      <c r="AN1486" s="1684"/>
      <c r="AO1486" s="1684"/>
      <c r="AP1486" s="1684"/>
      <c r="AQ1486" s="1684"/>
      <c r="AR1486" s="1684"/>
      <c r="AS1486" s="1684"/>
      <c r="AT1486" s="1684"/>
      <c r="AU1486" s="1684"/>
      <c r="AV1486" s="1684"/>
      <c r="AW1486" s="1684"/>
      <c r="AX1486" s="1684"/>
      <c r="AY1486" s="1684"/>
      <c r="AZ1486" s="1684"/>
      <c r="BA1486" s="1684"/>
      <c r="BB1486" s="1684"/>
      <c r="BC1486" s="1684"/>
      <c r="BD1486" s="1684"/>
      <c r="BE1486" s="1684"/>
      <c r="BF1486" s="1684"/>
      <c r="BG1486" s="1684"/>
      <c r="BH1486" s="1684"/>
      <c r="BI1486" s="1684"/>
      <c r="BJ1486" s="1684"/>
      <c r="BK1486" s="1684"/>
      <c r="BL1486" s="1684"/>
      <c r="BM1486" s="1684"/>
      <c r="BN1486" s="1684"/>
      <c r="BO1486" s="1684"/>
      <c r="BP1486" s="1684"/>
      <c r="BQ1486" s="1684"/>
      <c r="BR1486" s="1684"/>
      <c r="BS1486" s="1684"/>
      <c r="BT1486" s="1684"/>
      <c r="BU1486" s="1684"/>
      <c r="BV1486" s="1684"/>
      <c r="BW1486" s="1684"/>
      <c r="BX1486" s="1684"/>
      <c r="BY1486" s="1684"/>
      <c r="BZ1486" s="1684"/>
      <c r="CA1486" s="1684"/>
      <c r="CB1486" s="1684"/>
      <c r="CC1486" s="1684"/>
      <c r="CD1486" s="1684"/>
      <c r="CE1486" s="1684"/>
      <c r="CF1486" s="1684"/>
      <c r="CG1486" s="1684"/>
      <c r="CH1486" s="1684"/>
      <c r="CI1486" s="1684"/>
      <c r="CJ1486" s="1684"/>
      <c r="CK1486" s="1684"/>
      <c r="CL1486" s="1684"/>
      <c r="CM1486" s="1684"/>
      <c r="CN1486" s="1684"/>
      <c r="CO1486" s="1684"/>
    </row>
    <row r="1487" spans="1:93" s="1391" customFormat="1" ht="15" x14ac:dyDescent="0.2">
      <c r="A1487" s="1684"/>
      <c r="B1487" s="1684"/>
      <c r="C1487" s="2013">
        <v>10</v>
      </c>
      <c r="D1487" s="5">
        <v>5.7460000000000004</v>
      </c>
      <c r="E1487" s="5">
        <v>157</v>
      </c>
      <c r="F1487" s="5">
        <v>174</v>
      </c>
      <c r="G1487" s="5">
        <v>189</v>
      </c>
      <c r="H1487" s="5">
        <v>205</v>
      </c>
      <c r="I1487" s="5">
        <v>220</v>
      </c>
      <c r="J1487" s="5">
        <v>235</v>
      </c>
      <c r="K1487" s="5">
        <v>250</v>
      </c>
      <c r="L1487" s="5">
        <v>266</v>
      </c>
      <c r="M1487" s="5">
        <v>280</v>
      </c>
      <c r="N1487" s="5">
        <v>294</v>
      </c>
      <c r="O1487" s="5">
        <v>309</v>
      </c>
      <c r="P1487" s="5">
        <v>323</v>
      </c>
      <c r="Q1487" s="1160">
        <v>47</v>
      </c>
      <c r="R1487"/>
      <c r="S1487" s="1684"/>
      <c r="T1487" s="1684"/>
      <c r="U1487" s="1684"/>
      <c r="V1487" s="1684"/>
      <c r="W1487" s="1684"/>
      <c r="X1487" s="1684"/>
      <c r="Y1487" s="1684"/>
      <c r="Z1487" s="1684"/>
      <c r="AA1487" s="1684"/>
      <c r="AB1487" s="1684"/>
      <c r="AC1487" s="1684"/>
      <c r="AD1487" s="1684"/>
      <c r="AE1487" s="1684"/>
      <c r="AF1487" s="1684"/>
      <c r="AG1487" s="1684"/>
      <c r="AH1487" s="1684"/>
      <c r="AI1487" s="1684"/>
      <c r="AJ1487" s="1684"/>
      <c r="AK1487" s="1684"/>
      <c r="AL1487" s="1684"/>
      <c r="AM1487" s="1684"/>
      <c r="AN1487" s="1684"/>
      <c r="AO1487" s="1684"/>
      <c r="AP1487" s="1684"/>
      <c r="AQ1487" s="1684"/>
      <c r="AR1487" s="1684"/>
      <c r="AS1487" s="1684"/>
      <c r="AT1487" s="1684"/>
      <c r="AU1487" s="1684"/>
      <c r="AV1487" s="1684"/>
      <c r="AW1487" s="1684"/>
      <c r="AX1487" s="1684"/>
      <c r="AY1487" s="1684"/>
      <c r="AZ1487" s="1684"/>
      <c r="BA1487" s="1684"/>
      <c r="BB1487" s="1684"/>
      <c r="BC1487" s="1684"/>
      <c r="BD1487" s="1684"/>
      <c r="BE1487" s="1684"/>
      <c r="BF1487" s="1684"/>
      <c r="BG1487" s="1684"/>
      <c r="BH1487" s="1684"/>
      <c r="BI1487" s="1684"/>
      <c r="BJ1487" s="1684"/>
      <c r="BK1487" s="1684"/>
      <c r="BL1487" s="1684"/>
      <c r="BM1487" s="1684"/>
      <c r="BN1487" s="1684"/>
      <c r="BO1487" s="1684"/>
      <c r="BP1487" s="1684"/>
      <c r="BQ1487" s="1684"/>
      <c r="BR1487" s="1684"/>
      <c r="BS1487" s="1684"/>
      <c r="BT1487" s="1684"/>
      <c r="BU1487" s="1684"/>
      <c r="BV1487" s="1684"/>
      <c r="BW1487" s="1684"/>
      <c r="BX1487" s="1684"/>
      <c r="BY1487" s="1684"/>
      <c r="BZ1487" s="1684"/>
      <c r="CA1487" s="1684"/>
      <c r="CB1487" s="1684"/>
      <c r="CC1487" s="1684"/>
      <c r="CD1487" s="1684"/>
      <c r="CE1487" s="1684"/>
      <c r="CF1487" s="1684"/>
      <c r="CG1487" s="1684"/>
      <c r="CH1487" s="1684"/>
      <c r="CI1487" s="1684"/>
      <c r="CJ1487" s="1684"/>
      <c r="CK1487" s="1684"/>
      <c r="CL1487" s="1684"/>
      <c r="CM1487" s="1684"/>
      <c r="CN1487" s="1684"/>
      <c r="CO1487" s="1684"/>
    </row>
    <row r="1488" spans="1:93" s="1391" customFormat="1" ht="15" x14ac:dyDescent="0.2">
      <c r="A1488" s="1684"/>
      <c r="B1488" s="1684"/>
      <c r="C1488" s="2013">
        <v>11</v>
      </c>
      <c r="D1488" s="5">
        <v>6.133</v>
      </c>
      <c r="E1488" s="5">
        <v>173</v>
      </c>
      <c r="F1488" s="5">
        <v>191</v>
      </c>
      <c r="G1488" s="5">
        <v>208</v>
      </c>
      <c r="H1488" s="5">
        <v>225</v>
      </c>
      <c r="I1488" s="5">
        <v>242</v>
      </c>
      <c r="J1488" s="5">
        <v>256</v>
      </c>
      <c r="K1488" s="5">
        <v>274</v>
      </c>
      <c r="L1488" s="5">
        <v>291</v>
      </c>
      <c r="M1488" s="5">
        <v>306</v>
      </c>
      <c r="N1488" s="5">
        <v>322</v>
      </c>
      <c r="O1488" s="5">
        <v>338</v>
      </c>
      <c r="P1488" s="5">
        <v>353</v>
      </c>
      <c r="Q1488" s="1160">
        <v>48</v>
      </c>
      <c r="R1488"/>
      <c r="S1488" s="1684"/>
      <c r="T1488" s="1684"/>
      <c r="U1488" s="1684"/>
      <c r="V1488" s="1684"/>
      <c r="W1488" s="1684"/>
      <c r="X1488" s="1684"/>
      <c r="Y1488" s="1684"/>
      <c r="Z1488" s="1684"/>
      <c r="AA1488" s="1684"/>
      <c r="AB1488" s="1684"/>
      <c r="AC1488" s="1684"/>
      <c r="AD1488" s="1684"/>
      <c r="AE1488" s="1684"/>
      <c r="AF1488" s="1684"/>
      <c r="AG1488" s="1684"/>
      <c r="AH1488" s="1684"/>
      <c r="AI1488" s="1684"/>
      <c r="AJ1488" s="1684"/>
      <c r="AK1488" s="1684"/>
      <c r="AL1488" s="1684"/>
      <c r="AM1488" s="1684"/>
      <c r="AN1488" s="1684"/>
      <c r="AO1488" s="1684"/>
      <c r="AP1488" s="1684"/>
      <c r="AQ1488" s="1684"/>
      <c r="AR1488" s="1684"/>
      <c r="AS1488" s="1684"/>
      <c r="AT1488" s="1684"/>
      <c r="AU1488" s="1684"/>
      <c r="AV1488" s="1684"/>
      <c r="AW1488" s="1684"/>
      <c r="AX1488" s="1684"/>
      <c r="AY1488" s="1684"/>
      <c r="AZ1488" s="1684"/>
      <c r="BA1488" s="1684"/>
      <c r="BB1488" s="1684"/>
      <c r="BC1488" s="1684"/>
      <c r="BD1488" s="1684"/>
      <c r="BE1488" s="1684"/>
      <c r="BF1488" s="1684"/>
      <c r="BG1488" s="1684"/>
      <c r="BH1488" s="1684"/>
      <c r="BI1488" s="1684"/>
      <c r="BJ1488" s="1684"/>
      <c r="BK1488" s="1684"/>
      <c r="BL1488" s="1684"/>
      <c r="BM1488" s="1684"/>
      <c r="BN1488" s="1684"/>
      <c r="BO1488" s="1684"/>
      <c r="BP1488" s="1684"/>
      <c r="BQ1488" s="1684"/>
      <c r="BR1488" s="1684"/>
      <c r="BS1488" s="1684"/>
      <c r="BT1488" s="1684"/>
      <c r="BU1488" s="1684"/>
      <c r="BV1488" s="1684"/>
      <c r="BW1488" s="1684"/>
      <c r="BX1488" s="1684"/>
      <c r="BY1488" s="1684"/>
      <c r="BZ1488" s="1684"/>
      <c r="CA1488" s="1684"/>
      <c r="CB1488" s="1684"/>
      <c r="CC1488" s="1684"/>
      <c r="CD1488" s="1684"/>
      <c r="CE1488" s="1684"/>
      <c r="CF1488" s="1684"/>
      <c r="CG1488" s="1684"/>
      <c r="CH1488" s="1684"/>
      <c r="CI1488" s="1684"/>
      <c r="CJ1488" s="1684"/>
      <c r="CK1488" s="1684"/>
      <c r="CL1488" s="1684"/>
      <c r="CM1488" s="1684"/>
      <c r="CN1488" s="1684"/>
      <c r="CO1488" s="1684"/>
    </row>
    <row r="1489" spans="1:93" s="1391" customFormat="1" ht="15" x14ac:dyDescent="0.2">
      <c r="A1489" s="1684"/>
      <c r="B1489" s="1684"/>
      <c r="C1489" s="2013">
        <v>12</v>
      </c>
      <c r="D1489" s="5">
        <v>6.5439999999999996</v>
      </c>
      <c r="E1489" s="5">
        <v>189</v>
      </c>
      <c r="F1489" s="5">
        <v>209</v>
      </c>
      <c r="G1489" s="5">
        <v>227</v>
      </c>
      <c r="H1489" s="5">
        <v>246</v>
      </c>
      <c r="I1489" s="5">
        <v>264</v>
      </c>
      <c r="J1489" s="5">
        <v>281</v>
      </c>
      <c r="K1489" s="5">
        <v>299</v>
      </c>
      <c r="L1489" s="5">
        <v>317</v>
      </c>
      <c r="M1489" s="5">
        <v>334</v>
      </c>
      <c r="N1489" s="5">
        <v>351</v>
      </c>
      <c r="O1489" s="5">
        <v>367</v>
      </c>
      <c r="P1489" s="5">
        <v>384</v>
      </c>
      <c r="Q1489" s="1160">
        <v>49</v>
      </c>
      <c r="R1489"/>
      <c r="S1489" s="1684"/>
      <c r="T1489" s="1684"/>
      <c r="U1489" s="1684"/>
      <c r="V1489" s="1684"/>
      <c r="W1489" s="1684"/>
      <c r="X1489" s="1684"/>
      <c r="Y1489" s="1684"/>
      <c r="Z1489" s="1684"/>
      <c r="AA1489" s="1684"/>
      <c r="AB1489" s="1684"/>
      <c r="AC1489" s="1684"/>
      <c r="AD1489" s="1684"/>
      <c r="AE1489" s="1684"/>
      <c r="AF1489" s="1684"/>
      <c r="AG1489" s="1684"/>
      <c r="AH1489" s="1684"/>
      <c r="AI1489" s="1684"/>
      <c r="AJ1489" s="1684"/>
      <c r="AK1489" s="1684"/>
      <c r="AL1489" s="1684"/>
      <c r="AM1489" s="1684"/>
      <c r="AN1489" s="1684"/>
      <c r="AO1489" s="1684"/>
      <c r="AP1489" s="1684"/>
      <c r="AQ1489" s="1684"/>
      <c r="AR1489" s="1684"/>
      <c r="AS1489" s="1684"/>
      <c r="AT1489" s="1684"/>
      <c r="AU1489" s="1684"/>
      <c r="AV1489" s="1684"/>
      <c r="AW1489" s="1684"/>
      <c r="AX1489" s="1684"/>
      <c r="AY1489" s="1684"/>
      <c r="AZ1489" s="1684"/>
      <c r="BA1489" s="1684"/>
      <c r="BB1489" s="1684"/>
      <c r="BC1489" s="1684"/>
      <c r="BD1489" s="1684"/>
      <c r="BE1489" s="1684"/>
      <c r="BF1489" s="1684"/>
      <c r="BG1489" s="1684"/>
      <c r="BH1489" s="1684"/>
      <c r="BI1489" s="1684"/>
      <c r="BJ1489" s="1684"/>
      <c r="BK1489" s="1684"/>
      <c r="BL1489" s="1684"/>
      <c r="BM1489" s="1684"/>
      <c r="BN1489" s="1684"/>
      <c r="BO1489" s="1684"/>
      <c r="BP1489" s="1684"/>
      <c r="BQ1489" s="1684"/>
      <c r="BR1489" s="1684"/>
      <c r="BS1489" s="1684"/>
      <c r="BT1489" s="1684"/>
      <c r="BU1489" s="1684"/>
      <c r="BV1489" s="1684"/>
      <c r="BW1489" s="1684"/>
      <c r="BX1489" s="1684"/>
      <c r="BY1489" s="1684"/>
      <c r="BZ1489" s="1684"/>
      <c r="CA1489" s="1684"/>
      <c r="CB1489" s="1684"/>
      <c r="CC1489" s="1684"/>
      <c r="CD1489" s="1684"/>
      <c r="CE1489" s="1684"/>
      <c r="CF1489" s="1684"/>
      <c r="CG1489" s="1684"/>
      <c r="CH1489" s="1684"/>
      <c r="CI1489" s="1684"/>
      <c r="CJ1489" s="1684"/>
      <c r="CK1489" s="1684"/>
      <c r="CL1489" s="1684"/>
      <c r="CM1489" s="1684"/>
      <c r="CN1489" s="1684"/>
      <c r="CO1489" s="1684"/>
    </row>
    <row r="1490" spans="1:93" s="1391" customFormat="1" ht="15" x14ac:dyDescent="0.2">
      <c r="A1490" s="1684"/>
      <c r="B1490" s="1684"/>
      <c r="C1490" s="2013">
        <v>13</v>
      </c>
      <c r="D1490" s="5">
        <v>6.9690000000000003</v>
      </c>
      <c r="E1490" s="5">
        <v>206</v>
      </c>
      <c r="F1490" s="5">
        <v>227</v>
      </c>
      <c r="G1490" s="5">
        <v>247</v>
      </c>
      <c r="H1490" s="5">
        <v>266</v>
      </c>
      <c r="I1490" s="5">
        <v>286</v>
      </c>
      <c r="J1490" s="5">
        <v>303</v>
      </c>
      <c r="K1490" s="5">
        <v>324</v>
      </c>
      <c r="L1490" s="5">
        <v>344</v>
      </c>
      <c r="M1490" s="5">
        <v>361</v>
      </c>
      <c r="N1490" s="5">
        <v>379</v>
      </c>
      <c r="O1490" s="5">
        <v>397</v>
      </c>
      <c r="P1490" s="5">
        <v>415</v>
      </c>
      <c r="Q1490" s="1160">
        <v>50</v>
      </c>
      <c r="R1490"/>
      <c r="S1490" s="1684"/>
      <c r="T1490" s="1684"/>
      <c r="U1490" s="1684"/>
      <c r="V1490" s="1684"/>
      <c r="W1490" s="1684"/>
      <c r="X1490" s="1684"/>
      <c r="Y1490" s="1684"/>
      <c r="Z1490" s="1684"/>
      <c r="AA1490" s="1684"/>
      <c r="AB1490" s="1684"/>
      <c r="AC1490" s="1684"/>
      <c r="AD1490" s="1684"/>
      <c r="AE1490" s="1684"/>
      <c r="AF1490" s="1684"/>
      <c r="AG1490" s="1684"/>
      <c r="AH1490" s="1684"/>
      <c r="AI1490" s="1684"/>
      <c r="AJ1490" s="1684"/>
      <c r="AK1490" s="1684"/>
      <c r="AL1490" s="1684"/>
      <c r="AM1490" s="1684"/>
      <c r="AN1490" s="1684"/>
      <c r="AO1490" s="1684"/>
      <c r="AP1490" s="1684"/>
      <c r="AQ1490" s="1684"/>
      <c r="AR1490" s="1684"/>
      <c r="AS1490" s="1684"/>
      <c r="AT1490" s="1684"/>
      <c r="AU1490" s="1684"/>
      <c r="AV1490" s="1684"/>
      <c r="AW1490" s="1684"/>
      <c r="AX1490" s="1684"/>
      <c r="AY1490" s="1684"/>
      <c r="AZ1490" s="1684"/>
      <c r="BA1490" s="1684"/>
      <c r="BB1490" s="1684"/>
      <c r="BC1490" s="1684"/>
      <c r="BD1490" s="1684"/>
      <c r="BE1490" s="1684"/>
      <c r="BF1490" s="1684"/>
      <c r="BG1490" s="1684"/>
      <c r="BH1490" s="1684"/>
      <c r="BI1490" s="1684"/>
      <c r="BJ1490" s="1684"/>
      <c r="BK1490" s="1684"/>
      <c r="BL1490" s="1684"/>
      <c r="BM1490" s="1684"/>
      <c r="BN1490" s="1684"/>
      <c r="BO1490" s="1684"/>
      <c r="BP1490" s="1684"/>
      <c r="BQ1490" s="1684"/>
      <c r="BR1490" s="1684"/>
      <c r="BS1490" s="1684"/>
      <c r="BT1490" s="1684"/>
      <c r="BU1490" s="1684"/>
      <c r="BV1490" s="1684"/>
      <c r="BW1490" s="1684"/>
      <c r="BX1490" s="1684"/>
      <c r="BY1490" s="1684"/>
      <c r="BZ1490" s="1684"/>
      <c r="CA1490" s="1684"/>
      <c r="CB1490" s="1684"/>
      <c r="CC1490" s="1684"/>
      <c r="CD1490" s="1684"/>
      <c r="CE1490" s="1684"/>
      <c r="CF1490" s="1684"/>
      <c r="CG1490" s="1684"/>
      <c r="CH1490" s="1684"/>
      <c r="CI1490" s="1684"/>
      <c r="CJ1490" s="1684"/>
      <c r="CK1490" s="1684"/>
      <c r="CL1490" s="1684"/>
      <c r="CM1490" s="1684"/>
      <c r="CN1490" s="1684"/>
      <c r="CO1490" s="1684"/>
    </row>
    <row r="1491" spans="1:93" s="1391" customFormat="1" ht="15" x14ac:dyDescent="0.2">
      <c r="A1491" s="1684"/>
      <c r="B1491" s="1684"/>
      <c r="C1491" s="2013">
        <v>14</v>
      </c>
      <c r="D1491" s="5">
        <v>7.4249999999999998</v>
      </c>
      <c r="E1491" s="5">
        <v>223</v>
      </c>
      <c r="F1491" s="5">
        <v>246</v>
      </c>
      <c r="G1491" s="5">
        <v>267</v>
      </c>
      <c r="H1491" s="5">
        <v>288</v>
      </c>
      <c r="I1491" s="5">
        <v>309</v>
      </c>
      <c r="J1491" s="5">
        <v>330</v>
      </c>
      <c r="K1491" s="5">
        <v>350</v>
      </c>
      <c r="L1491" s="5">
        <v>371</v>
      </c>
      <c r="M1491" s="5">
        <v>390</v>
      </c>
      <c r="N1491" s="5">
        <v>409</v>
      </c>
      <c r="O1491" s="5">
        <v>429</v>
      </c>
      <c r="P1491" s="5">
        <v>447</v>
      </c>
      <c r="Q1491" s="1160">
        <v>51</v>
      </c>
      <c r="R1491"/>
      <c r="S1491" s="1684"/>
      <c r="T1491" s="1684"/>
      <c r="U1491" s="1684"/>
      <c r="V1491" s="1684"/>
      <c r="W1491" s="1684"/>
      <c r="X1491" s="1684"/>
      <c r="Y1491" s="1684"/>
      <c r="Z1491" s="1684"/>
      <c r="AA1491" s="1684"/>
      <c r="AB1491" s="1684"/>
      <c r="AC1491" s="1684"/>
      <c r="AD1491" s="1684"/>
      <c r="AE1491" s="1684"/>
      <c r="AF1491" s="1684"/>
      <c r="AG1491" s="1684"/>
      <c r="AH1491" s="1684"/>
      <c r="AI1491" s="1684"/>
      <c r="AJ1491" s="1684"/>
      <c r="AK1491" s="1684"/>
      <c r="AL1491" s="1684"/>
      <c r="AM1491" s="1684"/>
      <c r="AN1491" s="1684"/>
      <c r="AO1491" s="1684"/>
      <c r="AP1491" s="1684"/>
      <c r="AQ1491" s="1684"/>
      <c r="AR1491" s="1684"/>
      <c r="AS1491" s="1684"/>
      <c r="AT1491" s="1684"/>
      <c r="AU1491" s="1684"/>
      <c r="AV1491" s="1684"/>
      <c r="AW1491" s="1684"/>
      <c r="AX1491" s="1684"/>
      <c r="AY1491" s="1684"/>
      <c r="AZ1491" s="1684"/>
      <c r="BA1491" s="1684"/>
      <c r="BB1491" s="1684"/>
      <c r="BC1491" s="1684"/>
      <c r="BD1491" s="1684"/>
      <c r="BE1491" s="1684"/>
      <c r="BF1491" s="1684"/>
      <c r="BG1491" s="1684"/>
      <c r="BH1491" s="1684"/>
      <c r="BI1491" s="1684"/>
      <c r="BJ1491" s="1684"/>
      <c r="BK1491" s="1684"/>
      <c r="BL1491" s="1684"/>
      <c r="BM1491" s="1684"/>
      <c r="BN1491" s="1684"/>
      <c r="BO1491" s="1684"/>
      <c r="BP1491" s="1684"/>
      <c r="BQ1491" s="1684"/>
      <c r="BR1491" s="1684"/>
      <c r="BS1491" s="1684"/>
      <c r="BT1491" s="1684"/>
      <c r="BU1491" s="1684"/>
      <c r="BV1491" s="1684"/>
      <c r="BW1491" s="1684"/>
      <c r="BX1491" s="1684"/>
      <c r="BY1491" s="1684"/>
      <c r="BZ1491" s="1684"/>
      <c r="CA1491" s="1684"/>
      <c r="CB1491" s="1684"/>
      <c r="CC1491" s="1684"/>
      <c r="CD1491" s="1684"/>
      <c r="CE1491" s="1684"/>
      <c r="CF1491" s="1684"/>
      <c r="CG1491" s="1684"/>
      <c r="CH1491" s="1684"/>
      <c r="CI1491" s="1684"/>
      <c r="CJ1491" s="1684"/>
      <c r="CK1491" s="1684"/>
      <c r="CL1491" s="1684"/>
      <c r="CM1491" s="1684"/>
      <c r="CN1491" s="1684"/>
      <c r="CO1491" s="1684"/>
    </row>
    <row r="1492" spans="1:93" s="1391" customFormat="1" ht="15" x14ac:dyDescent="0.2">
      <c r="A1492" s="1684"/>
      <c r="B1492" s="1684"/>
      <c r="C1492" s="2013">
        <v>15</v>
      </c>
      <c r="D1492" s="5">
        <v>7.9020000000000001</v>
      </c>
      <c r="E1492" s="5">
        <v>241</v>
      </c>
      <c r="F1492" s="5">
        <v>265</v>
      </c>
      <c r="G1492" s="5">
        <v>288</v>
      </c>
      <c r="H1492" s="5">
        <v>311</v>
      </c>
      <c r="I1492" s="5">
        <v>333</v>
      </c>
      <c r="J1492" s="5">
        <v>355</v>
      </c>
      <c r="K1492" s="5">
        <v>376</v>
      </c>
      <c r="L1492" s="5">
        <v>399</v>
      </c>
      <c r="M1492" s="5">
        <v>419</v>
      </c>
      <c r="N1492" s="5">
        <v>440</v>
      </c>
      <c r="O1492" s="5">
        <v>460</v>
      </c>
      <c r="P1492" s="5">
        <v>480</v>
      </c>
      <c r="Q1492" s="1160">
        <v>52</v>
      </c>
      <c r="R1492"/>
      <c r="S1492" s="1684"/>
      <c r="T1492" s="1684"/>
      <c r="U1492" s="1684"/>
      <c r="V1492" s="1684"/>
      <c r="W1492" s="1684"/>
      <c r="X1492" s="1684"/>
      <c r="Y1492" s="1684"/>
      <c r="Z1492" s="1684"/>
      <c r="AA1492" s="1684"/>
      <c r="AB1492" s="1684"/>
      <c r="AC1492" s="1684"/>
      <c r="AD1492" s="1684"/>
      <c r="AE1492" s="1684"/>
      <c r="AF1492" s="1684"/>
      <c r="AG1492" s="1684"/>
      <c r="AH1492" s="1684"/>
      <c r="AI1492" s="1684"/>
      <c r="AJ1492" s="1684"/>
      <c r="AK1492" s="1684"/>
      <c r="AL1492" s="1684"/>
      <c r="AM1492" s="1684"/>
      <c r="AN1492" s="1684"/>
      <c r="AO1492" s="1684"/>
      <c r="AP1492" s="1684"/>
      <c r="AQ1492" s="1684"/>
      <c r="AR1492" s="1684"/>
      <c r="AS1492" s="1684"/>
      <c r="AT1492" s="1684"/>
      <c r="AU1492" s="1684"/>
      <c r="AV1492" s="1684"/>
      <c r="AW1492" s="1684"/>
      <c r="AX1492" s="1684"/>
      <c r="AY1492" s="1684"/>
      <c r="AZ1492" s="1684"/>
      <c r="BA1492" s="1684"/>
      <c r="BB1492" s="1684"/>
      <c r="BC1492" s="1684"/>
      <c r="BD1492" s="1684"/>
      <c r="BE1492" s="1684"/>
      <c r="BF1492" s="1684"/>
      <c r="BG1492" s="1684"/>
      <c r="BH1492" s="1684"/>
      <c r="BI1492" s="1684"/>
      <c r="BJ1492" s="1684"/>
      <c r="BK1492" s="1684"/>
      <c r="BL1492" s="1684"/>
      <c r="BM1492" s="1684"/>
      <c r="BN1492" s="1684"/>
      <c r="BO1492" s="1684"/>
      <c r="BP1492" s="1684"/>
      <c r="BQ1492" s="1684"/>
      <c r="BR1492" s="1684"/>
      <c r="BS1492" s="1684"/>
      <c r="BT1492" s="1684"/>
      <c r="BU1492" s="1684"/>
      <c r="BV1492" s="1684"/>
      <c r="BW1492" s="1684"/>
      <c r="BX1492" s="1684"/>
      <c r="BY1492" s="1684"/>
      <c r="BZ1492" s="1684"/>
      <c r="CA1492" s="1684"/>
      <c r="CB1492" s="1684"/>
      <c r="CC1492" s="1684"/>
      <c r="CD1492" s="1684"/>
      <c r="CE1492" s="1684"/>
      <c r="CF1492" s="1684"/>
      <c r="CG1492" s="1684"/>
      <c r="CH1492" s="1684"/>
      <c r="CI1492" s="1684"/>
      <c r="CJ1492" s="1684"/>
      <c r="CK1492" s="1684"/>
      <c r="CL1492" s="1684"/>
      <c r="CM1492" s="1684"/>
      <c r="CN1492" s="1684"/>
      <c r="CO1492" s="1684"/>
    </row>
    <row r="1493" spans="1:93" s="1391" customFormat="1" ht="15" x14ac:dyDescent="0.2">
      <c r="A1493" s="1684"/>
      <c r="B1493" s="1684"/>
      <c r="C1493" s="2013">
        <v>16</v>
      </c>
      <c r="D1493" s="5">
        <v>8.5139999999999993</v>
      </c>
      <c r="E1493" s="5">
        <v>256</v>
      </c>
      <c r="F1493" s="5">
        <v>284</v>
      </c>
      <c r="G1493" s="5">
        <v>308</v>
      </c>
      <c r="H1493" s="5">
        <v>332</v>
      </c>
      <c r="I1493" s="5">
        <v>356</v>
      </c>
      <c r="J1493" s="5">
        <v>379</v>
      </c>
      <c r="K1493" s="5">
        <v>402</v>
      </c>
      <c r="L1493" s="5">
        <v>426</v>
      </c>
      <c r="M1493" s="5">
        <v>447</v>
      </c>
      <c r="N1493" s="5">
        <v>469</v>
      </c>
      <c r="O1493" s="5">
        <v>490</v>
      </c>
      <c r="P1493" s="5">
        <v>511</v>
      </c>
      <c r="Q1493" s="1160">
        <v>53</v>
      </c>
      <c r="R1493"/>
      <c r="S1493" s="1684"/>
      <c r="T1493" s="1684"/>
      <c r="U1493" s="1684"/>
      <c r="V1493" s="1684"/>
      <c r="W1493" s="1684"/>
      <c r="X1493" s="1684"/>
      <c r="Y1493" s="1684"/>
      <c r="Z1493" s="1684"/>
      <c r="AA1493" s="1684"/>
      <c r="AB1493" s="1684"/>
      <c r="AC1493" s="1684"/>
      <c r="AD1493" s="1684"/>
      <c r="AE1493" s="1684"/>
      <c r="AF1493" s="1684"/>
      <c r="AG1493" s="1684"/>
      <c r="AH1493" s="1684"/>
      <c r="AI1493" s="1684"/>
      <c r="AJ1493" s="1684"/>
      <c r="AK1493" s="1684"/>
      <c r="AL1493" s="1684"/>
      <c r="AM1493" s="1684"/>
      <c r="AN1493" s="1684"/>
      <c r="AO1493" s="1684"/>
      <c r="AP1493" s="1684"/>
      <c r="AQ1493" s="1684"/>
      <c r="AR1493" s="1684"/>
      <c r="AS1493" s="1684"/>
      <c r="AT1493" s="1684"/>
      <c r="AU1493" s="1684"/>
      <c r="AV1493" s="1684"/>
      <c r="AW1493" s="1684"/>
      <c r="AX1493" s="1684"/>
      <c r="AY1493" s="1684"/>
      <c r="AZ1493" s="1684"/>
      <c r="BA1493" s="1684"/>
      <c r="BB1493" s="1684"/>
      <c r="BC1493" s="1684"/>
      <c r="BD1493" s="1684"/>
      <c r="BE1493" s="1684"/>
      <c r="BF1493" s="1684"/>
      <c r="BG1493" s="1684"/>
      <c r="BH1493" s="1684"/>
      <c r="BI1493" s="1684"/>
      <c r="BJ1493" s="1684"/>
      <c r="BK1493" s="1684"/>
      <c r="BL1493" s="1684"/>
      <c r="BM1493" s="1684"/>
      <c r="BN1493" s="1684"/>
      <c r="BO1493" s="1684"/>
      <c r="BP1493" s="1684"/>
      <c r="BQ1493" s="1684"/>
      <c r="BR1493" s="1684"/>
      <c r="BS1493" s="1684"/>
      <c r="BT1493" s="1684"/>
      <c r="BU1493" s="1684"/>
      <c r="BV1493" s="1684"/>
      <c r="BW1493" s="1684"/>
      <c r="BX1493" s="1684"/>
      <c r="BY1493" s="1684"/>
      <c r="BZ1493" s="1684"/>
      <c r="CA1493" s="1684"/>
      <c r="CB1493" s="1684"/>
      <c r="CC1493" s="1684"/>
      <c r="CD1493" s="1684"/>
      <c r="CE1493" s="1684"/>
      <c r="CF1493" s="1684"/>
      <c r="CG1493" s="1684"/>
      <c r="CH1493" s="1684"/>
      <c r="CI1493" s="1684"/>
      <c r="CJ1493" s="1684"/>
      <c r="CK1493" s="1684"/>
      <c r="CL1493" s="1684"/>
      <c r="CM1493" s="1684"/>
      <c r="CN1493" s="1684"/>
      <c r="CO1493" s="1684"/>
    </row>
    <row r="1494" spans="1:93" s="1391" customFormat="1" ht="15" x14ac:dyDescent="0.2">
      <c r="A1494" s="1684"/>
      <c r="B1494" s="1684"/>
      <c r="C1494" s="2013">
        <v>17</v>
      </c>
      <c r="D1494" s="5">
        <v>9.1649999999999991</v>
      </c>
      <c r="E1494" s="5">
        <v>273</v>
      </c>
      <c r="F1494" s="5">
        <v>301</v>
      </c>
      <c r="G1494" s="5">
        <v>327</v>
      </c>
      <c r="H1494" s="5">
        <v>352</v>
      </c>
      <c r="I1494" s="5">
        <v>377</v>
      </c>
      <c r="J1494" s="5">
        <v>401</v>
      </c>
      <c r="K1494" s="5">
        <v>425</v>
      </c>
      <c r="L1494" s="5">
        <v>450</v>
      </c>
      <c r="M1494" s="5">
        <v>472</v>
      </c>
      <c r="N1494" s="5">
        <v>495</v>
      </c>
      <c r="O1494" s="5">
        <v>518</v>
      </c>
      <c r="P1494" s="5">
        <v>540</v>
      </c>
      <c r="Q1494" s="1160">
        <v>54</v>
      </c>
      <c r="R1494"/>
      <c r="S1494" s="1684"/>
      <c r="T1494" s="1684"/>
      <c r="U1494" s="1684"/>
      <c r="V1494" s="1684"/>
      <c r="W1494" s="1684"/>
      <c r="X1494" s="1684"/>
      <c r="Y1494" s="1684"/>
      <c r="Z1494" s="1684"/>
      <c r="AA1494" s="1684"/>
      <c r="AB1494" s="1684"/>
      <c r="AC1494" s="1684"/>
      <c r="AD1494" s="1684"/>
      <c r="AE1494" s="1684"/>
      <c r="AF1494" s="1684"/>
      <c r="AG1494" s="1684"/>
      <c r="AH1494" s="1684"/>
      <c r="AI1494" s="1684"/>
      <c r="AJ1494" s="1684"/>
      <c r="AK1494" s="1684"/>
      <c r="AL1494" s="1684"/>
      <c r="AM1494" s="1684"/>
      <c r="AN1494" s="1684"/>
      <c r="AO1494" s="1684"/>
      <c r="AP1494" s="1684"/>
      <c r="AQ1494" s="1684"/>
      <c r="AR1494" s="1684"/>
      <c r="AS1494" s="1684"/>
      <c r="AT1494" s="1684"/>
      <c r="AU1494" s="1684"/>
      <c r="AV1494" s="1684"/>
      <c r="AW1494" s="1684"/>
      <c r="AX1494" s="1684"/>
      <c r="AY1494" s="1684"/>
      <c r="AZ1494" s="1684"/>
      <c r="BA1494" s="1684"/>
      <c r="BB1494" s="1684"/>
      <c r="BC1494" s="1684"/>
      <c r="BD1494" s="1684"/>
      <c r="BE1494" s="1684"/>
      <c r="BF1494" s="1684"/>
      <c r="BG1494" s="1684"/>
      <c r="BH1494" s="1684"/>
      <c r="BI1494" s="1684"/>
      <c r="BJ1494" s="1684"/>
      <c r="BK1494" s="1684"/>
      <c r="BL1494" s="1684"/>
      <c r="BM1494" s="1684"/>
      <c r="BN1494" s="1684"/>
      <c r="BO1494" s="1684"/>
      <c r="BP1494" s="1684"/>
      <c r="BQ1494" s="1684"/>
      <c r="BR1494" s="1684"/>
      <c r="BS1494" s="1684"/>
      <c r="BT1494" s="1684"/>
      <c r="BU1494" s="1684"/>
      <c r="BV1494" s="1684"/>
      <c r="BW1494" s="1684"/>
      <c r="BX1494" s="1684"/>
      <c r="BY1494" s="1684"/>
      <c r="BZ1494" s="1684"/>
      <c r="CA1494" s="1684"/>
      <c r="CB1494" s="1684"/>
      <c r="CC1494" s="1684"/>
      <c r="CD1494" s="1684"/>
      <c r="CE1494" s="1684"/>
      <c r="CF1494" s="1684"/>
      <c r="CG1494" s="1684"/>
      <c r="CH1494" s="1684"/>
      <c r="CI1494" s="1684"/>
      <c r="CJ1494" s="1684"/>
      <c r="CK1494" s="1684"/>
      <c r="CL1494" s="1684"/>
      <c r="CM1494" s="1684"/>
      <c r="CN1494" s="1684"/>
      <c r="CO1494" s="1684"/>
    </row>
    <row r="1495" spans="1:93" s="1391" customFormat="1" ht="15" x14ac:dyDescent="0.2">
      <c r="A1495" s="1684"/>
      <c r="B1495" s="1684"/>
      <c r="C1495" s="2013">
        <v>18</v>
      </c>
      <c r="D1495" s="5">
        <v>9.59</v>
      </c>
      <c r="E1495" s="5">
        <v>288</v>
      </c>
      <c r="F1495" s="5">
        <v>317</v>
      </c>
      <c r="G1495" s="5">
        <v>344</v>
      </c>
      <c r="H1495" s="5">
        <v>370</v>
      </c>
      <c r="I1495" s="5">
        <v>396</v>
      </c>
      <c r="J1495" s="5">
        <v>421</v>
      </c>
      <c r="K1495" s="5">
        <v>447</v>
      </c>
      <c r="L1495" s="5">
        <v>472</v>
      </c>
      <c r="M1495" s="5">
        <v>495</v>
      </c>
      <c r="N1495" s="5">
        <v>519</v>
      </c>
      <c r="O1495" s="5">
        <v>543</v>
      </c>
      <c r="P1495" s="5">
        <v>566</v>
      </c>
      <c r="Q1495" s="1160">
        <v>55</v>
      </c>
      <c r="R1495"/>
      <c r="S1495" s="1684"/>
      <c r="T1495" s="1684"/>
      <c r="U1495" s="1684"/>
      <c r="V1495" s="1684"/>
      <c r="W1495" s="1684"/>
      <c r="X1495" s="1684"/>
      <c r="Y1495" s="1684"/>
      <c r="Z1495" s="1684"/>
      <c r="AA1495" s="1684"/>
      <c r="AB1495" s="1684"/>
      <c r="AC1495" s="1684"/>
      <c r="AD1495" s="1684"/>
      <c r="AE1495" s="1684"/>
      <c r="AF1495" s="1684"/>
      <c r="AG1495" s="1684"/>
      <c r="AH1495" s="1684"/>
      <c r="AI1495" s="1684"/>
      <c r="AJ1495" s="1684"/>
      <c r="AK1495" s="1684"/>
      <c r="AL1495" s="1684"/>
      <c r="AM1495" s="1684"/>
      <c r="AN1495" s="1684"/>
      <c r="AO1495" s="1684"/>
      <c r="AP1495" s="1684"/>
      <c r="AQ1495" s="1684"/>
      <c r="AR1495" s="1684"/>
      <c r="AS1495" s="1684"/>
      <c r="AT1495" s="1684"/>
      <c r="AU1495" s="1684"/>
      <c r="AV1495" s="1684"/>
      <c r="AW1495" s="1684"/>
      <c r="AX1495" s="1684"/>
      <c r="AY1495" s="1684"/>
      <c r="AZ1495" s="1684"/>
      <c r="BA1495" s="1684"/>
      <c r="BB1495" s="1684"/>
      <c r="BC1495" s="1684"/>
      <c r="BD1495" s="1684"/>
      <c r="BE1495" s="1684"/>
      <c r="BF1495" s="1684"/>
      <c r="BG1495" s="1684"/>
      <c r="BH1495" s="1684"/>
      <c r="BI1495" s="1684"/>
      <c r="BJ1495" s="1684"/>
      <c r="BK1495" s="1684"/>
      <c r="BL1495" s="1684"/>
      <c r="BM1495" s="1684"/>
      <c r="BN1495" s="1684"/>
      <c r="BO1495" s="1684"/>
      <c r="BP1495" s="1684"/>
      <c r="BQ1495" s="1684"/>
      <c r="BR1495" s="1684"/>
      <c r="BS1495" s="1684"/>
      <c r="BT1495" s="1684"/>
      <c r="BU1495" s="1684"/>
      <c r="BV1495" s="1684"/>
      <c r="BW1495" s="1684"/>
      <c r="BX1495" s="1684"/>
      <c r="BY1495" s="1684"/>
      <c r="BZ1495" s="1684"/>
      <c r="CA1495" s="1684"/>
      <c r="CB1495" s="1684"/>
      <c r="CC1495" s="1684"/>
      <c r="CD1495" s="1684"/>
      <c r="CE1495" s="1684"/>
      <c r="CF1495" s="1684"/>
      <c r="CG1495" s="1684"/>
      <c r="CH1495" s="1684"/>
      <c r="CI1495" s="1684"/>
      <c r="CJ1495" s="1684"/>
      <c r="CK1495" s="1684"/>
      <c r="CL1495" s="1684"/>
      <c r="CM1495" s="1684"/>
      <c r="CN1495" s="1684"/>
      <c r="CO1495" s="1684"/>
    </row>
    <row r="1496" spans="1:93" s="1391" customFormat="1" ht="15" x14ac:dyDescent="0.2">
      <c r="A1496" s="1684"/>
      <c r="B1496" s="1684"/>
      <c r="C1496" s="4680" t="s">
        <v>3691</v>
      </c>
      <c r="D1496" s="4681"/>
      <c r="E1496" s="4681"/>
      <c r="F1496" s="4681"/>
      <c r="G1496" s="4681"/>
      <c r="H1496" s="4681"/>
      <c r="I1496" s="4681"/>
      <c r="J1496" s="4681"/>
      <c r="K1496" s="4681"/>
      <c r="L1496" s="4681"/>
      <c r="M1496" s="4681"/>
      <c r="N1496" s="4681"/>
      <c r="O1496" s="4681"/>
      <c r="P1496" s="4681"/>
      <c r="Q1496" s="4682"/>
      <c r="R1496"/>
      <c r="S1496" s="1684"/>
      <c r="T1496" s="1684"/>
      <c r="U1496" s="1684"/>
      <c r="V1496" s="1684"/>
      <c r="W1496" s="1684"/>
      <c r="X1496" s="1684"/>
      <c r="Y1496" s="1684"/>
      <c r="Z1496" s="1684"/>
      <c r="AA1496" s="1684"/>
      <c r="AB1496" s="1684"/>
      <c r="AC1496" s="1684"/>
      <c r="AD1496" s="1684"/>
      <c r="AE1496" s="1684"/>
      <c r="AF1496" s="1684"/>
      <c r="AG1496" s="1684"/>
      <c r="AH1496" s="1684"/>
      <c r="AI1496" s="1684"/>
      <c r="AJ1496" s="1684"/>
      <c r="AK1496" s="1684"/>
      <c r="AL1496" s="1684"/>
      <c r="AM1496" s="1684"/>
      <c r="AN1496" s="1684"/>
      <c r="AO1496" s="1684"/>
      <c r="AP1496" s="1684"/>
      <c r="AQ1496" s="1684"/>
      <c r="AR1496" s="1684"/>
      <c r="AS1496" s="1684"/>
      <c r="AT1496" s="1684"/>
      <c r="AU1496" s="1684"/>
      <c r="AV1496" s="1684"/>
      <c r="AW1496" s="1684"/>
      <c r="AX1496" s="1684"/>
      <c r="AY1496" s="1684"/>
      <c r="AZ1496" s="1684"/>
      <c r="BA1496" s="1684"/>
      <c r="BB1496" s="1684"/>
      <c r="BC1496" s="1684"/>
      <c r="BD1496" s="1684"/>
      <c r="BE1496" s="1684"/>
      <c r="BF1496" s="1684"/>
      <c r="BG1496" s="1684"/>
      <c r="BH1496" s="1684"/>
      <c r="BI1496" s="1684"/>
      <c r="BJ1496" s="1684"/>
      <c r="BK1496" s="1684"/>
      <c r="BL1496" s="1684"/>
      <c r="BM1496" s="1684"/>
      <c r="BN1496" s="1684"/>
      <c r="BO1496" s="1684"/>
      <c r="BP1496" s="1684"/>
      <c r="BQ1496" s="1684"/>
      <c r="BR1496" s="1684"/>
      <c r="BS1496" s="1684"/>
      <c r="BT1496" s="1684"/>
      <c r="BU1496" s="1684"/>
      <c r="BV1496" s="1684"/>
      <c r="BW1496" s="1684"/>
      <c r="BX1496" s="1684"/>
      <c r="BY1496" s="1684"/>
      <c r="BZ1496" s="1684"/>
      <c r="CA1496" s="1684"/>
      <c r="CB1496" s="1684"/>
      <c r="CC1496" s="1684"/>
      <c r="CD1496" s="1684"/>
      <c r="CE1496" s="1684"/>
      <c r="CF1496" s="1684"/>
      <c r="CG1496" s="1684"/>
      <c r="CH1496" s="1684"/>
      <c r="CI1496" s="1684"/>
      <c r="CJ1496" s="1684"/>
      <c r="CK1496" s="1684"/>
      <c r="CL1496" s="1684"/>
      <c r="CM1496" s="1684"/>
      <c r="CN1496" s="1684"/>
      <c r="CO1496" s="1684"/>
    </row>
    <row r="1497" spans="1:93" s="1391" customFormat="1" ht="15" x14ac:dyDescent="0.2">
      <c r="A1497" s="1684"/>
      <c r="B1497" s="1684"/>
      <c r="C1497" s="4680"/>
      <c r="D1497" s="4681"/>
      <c r="E1497" s="4681"/>
      <c r="F1497" s="4681"/>
      <c r="G1497" s="4681"/>
      <c r="H1497" s="4681"/>
      <c r="I1497" s="4681"/>
      <c r="J1497" s="4681"/>
      <c r="K1497" s="4681"/>
      <c r="L1497" s="4681"/>
      <c r="M1497" s="4681"/>
      <c r="N1497" s="4681"/>
      <c r="O1497" s="4681"/>
      <c r="P1497" s="4681"/>
      <c r="Q1497" s="4682"/>
      <c r="R1497"/>
      <c r="S1497" s="1684"/>
      <c r="T1497" s="1684"/>
      <c r="U1497" s="1684"/>
      <c r="V1497" s="1684"/>
      <c r="W1497" s="1684"/>
      <c r="X1497" s="1684"/>
      <c r="Y1497" s="1684"/>
      <c r="Z1497" s="1684"/>
      <c r="AA1497" s="1684"/>
      <c r="AB1497" s="1684"/>
      <c r="AC1497" s="1684"/>
      <c r="AD1497" s="1684"/>
      <c r="AE1497" s="1684"/>
      <c r="AF1497" s="1684"/>
      <c r="AG1497" s="1684"/>
      <c r="AH1497" s="1684"/>
      <c r="AI1497" s="1684"/>
      <c r="AJ1497" s="1684"/>
      <c r="AK1497" s="1684"/>
      <c r="AL1497" s="1684"/>
      <c r="AM1497" s="1684"/>
      <c r="AN1497" s="1684"/>
      <c r="AO1497" s="1684"/>
      <c r="AP1497" s="1684"/>
      <c r="AQ1497" s="1684"/>
      <c r="AR1497" s="1684"/>
      <c r="AS1497" s="1684"/>
      <c r="AT1497" s="1684"/>
      <c r="AU1497" s="1684"/>
      <c r="AV1497" s="1684"/>
      <c r="AW1497" s="1684"/>
      <c r="AX1497" s="1684"/>
      <c r="AY1497" s="1684"/>
      <c r="AZ1497" s="1684"/>
      <c r="BA1497" s="1684"/>
      <c r="BB1497" s="1684"/>
      <c r="BC1497" s="1684"/>
      <c r="BD1497" s="1684"/>
      <c r="BE1497" s="1684"/>
      <c r="BF1497" s="1684"/>
      <c r="BG1497" s="1684"/>
      <c r="BH1497" s="1684"/>
      <c r="BI1497" s="1684"/>
      <c r="BJ1497" s="1684"/>
      <c r="BK1497" s="1684"/>
      <c r="BL1497" s="1684"/>
      <c r="BM1497" s="1684"/>
      <c r="BN1497" s="1684"/>
      <c r="BO1497" s="1684"/>
      <c r="BP1497" s="1684"/>
      <c r="BQ1497" s="1684"/>
      <c r="BR1497" s="1684"/>
      <c r="BS1497" s="1684"/>
      <c r="BT1497" s="1684"/>
      <c r="BU1497" s="1684"/>
      <c r="BV1497" s="1684"/>
      <c r="BW1497" s="1684"/>
      <c r="BX1497" s="1684"/>
      <c r="BY1497" s="1684"/>
      <c r="BZ1497" s="1684"/>
      <c r="CA1497" s="1684"/>
      <c r="CB1497" s="1684"/>
      <c r="CC1497" s="1684"/>
      <c r="CD1497" s="1684"/>
      <c r="CE1497" s="1684"/>
      <c r="CF1497" s="1684"/>
      <c r="CG1497" s="1684"/>
      <c r="CH1497" s="1684"/>
      <c r="CI1497" s="1684"/>
      <c r="CJ1497" s="1684"/>
      <c r="CK1497" s="1684"/>
      <c r="CL1497" s="1684"/>
      <c r="CM1497" s="1684"/>
      <c r="CN1497" s="1684"/>
      <c r="CO1497" s="1684"/>
    </row>
    <row r="1498" spans="1:93" s="1391" customFormat="1" ht="15" x14ac:dyDescent="0.2">
      <c r="A1498" s="1684"/>
      <c r="B1498" s="1684"/>
      <c r="C1498" s="2014"/>
      <c r="D1498" s="2015"/>
      <c r="E1498" s="2015">
        <v>1</v>
      </c>
      <c r="F1498" s="2015">
        <v>2</v>
      </c>
      <c r="G1498" s="2015">
        <v>3</v>
      </c>
      <c r="H1498" s="2015">
        <v>4</v>
      </c>
      <c r="I1498" s="2015">
        <v>5</v>
      </c>
      <c r="J1498" s="2015">
        <v>6</v>
      </c>
      <c r="K1498" s="2015">
        <v>7</v>
      </c>
      <c r="L1498" s="2015">
        <v>8</v>
      </c>
      <c r="M1498" s="2015">
        <v>9</v>
      </c>
      <c r="N1498" s="2015">
        <v>10</v>
      </c>
      <c r="O1498" s="2015">
        <v>11</v>
      </c>
      <c r="P1498" s="2015">
        <v>12</v>
      </c>
      <c r="Q1498" s="2016"/>
      <c r="R1498"/>
      <c r="S1498" s="1684"/>
      <c r="T1498" s="1684"/>
      <c r="U1498" s="1684"/>
      <c r="V1498" s="1684"/>
      <c r="W1498" s="1684"/>
      <c r="X1498" s="1684"/>
      <c r="Y1498" s="1684"/>
      <c r="Z1498" s="1684"/>
      <c r="AA1498" s="1684"/>
      <c r="AB1498" s="1684"/>
      <c r="AC1498" s="1684"/>
      <c r="AD1498" s="1684"/>
      <c r="AE1498" s="1684"/>
      <c r="AF1498" s="1684"/>
      <c r="AG1498" s="1684"/>
      <c r="AH1498" s="1684"/>
      <c r="AI1498" s="1684"/>
      <c r="AJ1498" s="1684"/>
      <c r="AK1498" s="1684"/>
      <c r="AL1498" s="1684"/>
      <c r="AM1498" s="1684"/>
      <c r="AN1498" s="1684"/>
      <c r="AO1498" s="1684"/>
      <c r="AP1498" s="1684"/>
      <c r="AQ1498" s="1684"/>
      <c r="AR1498" s="1684"/>
      <c r="AS1498" s="1684"/>
      <c r="AT1498" s="1684"/>
      <c r="AU1498" s="1684"/>
      <c r="AV1498" s="1684"/>
      <c r="AW1498" s="1684"/>
      <c r="AX1498" s="1684"/>
      <c r="AY1498" s="1684"/>
      <c r="AZ1498" s="1684"/>
      <c r="BA1498" s="1684"/>
      <c r="BB1498" s="1684"/>
      <c r="BC1498" s="1684"/>
      <c r="BD1498" s="1684"/>
      <c r="BE1498" s="1684"/>
      <c r="BF1498" s="1684"/>
      <c r="BG1498" s="1684"/>
      <c r="BH1498" s="1684"/>
      <c r="BI1498" s="1684"/>
      <c r="BJ1498" s="1684"/>
      <c r="BK1498" s="1684"/>
      <c r="BL1498" s="1684"/>
      <c r="BM1498" s="1684"/>
      <c r="BN1498" s="1684"/>
      <c r="BO1498" s="1684"/>
      <c r="BP1498" s="1684"/>
      <c r="BQ1498" s="1684"/>
      <c r="BR1498" s="1684"/>
      <c r="BS1498" s="1684"/>
      <c r="BT1498" s="1684"/>
      <c r="BU1498" s="1684"/>
      <c r="BV1498" s="1684"/>
      <c r="BW1498" s="1684"/>
      <c r="BX1498" s="1684"/>
      <c r="BY1498" s="1684"/>
      <c r="BZ1498" s="1684"/>
      <c r="CA1498" s="1684"/>
      <c r="CB1498" s="1684"/>
      <c r="CC1498" s="1684"/>
      <c r="CD1498" s="1684"/>
      <c r="CE1498" s="1684"/>
      <c r="CF1498" s="1684"/>
      <c r="CG1498" s="1684"/>
      <c r="CH1498" s="1684"/>
      <c r="CI1498" s="1684"/>
      <c r="CJ1498" s="1684"/>
      <c r="CK1498" s="1684"/>
      <c r="CL1498" s="1684"/>
      <c r="CM1498" s="1684"/>
      <c r="CN1498" s="1684"/>
      <c r="CO1498" s="1684"/>
    </row>
    <row r="1499" spans="1:93" s="1391" customFormat="1" ht="15" x14ac:dyDescent="0.2">
      <c r="A1499" s="1684"/>
      <c r="B1499" s="1684"/>
      <c r="C1499" s="2013">
        <v>8</v>
      </c>
      <c r="D1499" s="5">
        <v>5.3639999999999999</v>
      </c>
      <c r="E1499" s="5">
        <v>141</v>
      </c>
      <c r="F1499" s="5">
        <v>155</v>
      </c>
      <c r="G1499" s="5">
        <v>169</v>
      </c>
      <c r="H1499" s="5">
        <v>183</v>
      </c>
      <c r="I1499" s="5">
        <v>197</v>
      </c>
      <c r="J1499" s="5">
        <v>211</v>
      </c>
      <c r="K1499" s="5">
        <v>224</v>
      </c>
      <c r="L1499" s="5">
        <v>238</v>
      </c>
      <c r="M1499" s="5">
        <v>251</v>
      </c>
      <c r="N1499" s="5">
        <v>264</v>
      </c>
      <c r="O1499" s="5">
        <v>277</v>
      </c>
      <c r="P1499" s="5">
        <v>290</v>
      </c>
      <c r="Q1499" s="1160">
        <v>56</v>
      </c>
      <c r="R1499"/>
      <c r="S1499" s="1684"/>
      <c r="T1499" s="1684"/>
      <c r="U1499" s="1684"/>
      <c r="V1499" s="1684"/>
      <c r="W1499" s="1684"/>
      <c r="X1499" s="1684"/>
      <c r="Y1499" s="1684"/>
      <c r="Z1499" s="1684"/>
      <c r="AA1499" s="1684"/>
      <c r="AB1499" s="1684"/>
      <c r="AC1499" s="1684"/>
      <c r="AD1499" s="1684"/>
      <c r="AE1499" s="1684"/>
      <c r="AF1499" s="1684"/>
      <c r="AG1499" s="1684"/>
      <c r="AH1499" s="1684"/>
      <c r="AI1499" s="1684"/>
      <c r="AJ1499" s="1684"/>
      <c r="AK1499" s="1684"/>
      <c r="AL1499" s="1684"/>
      <c r="AM1499" s="1684"/>
      <c r="AN1499" s="1684"/>
      <c r="AO1499" s="1684"/>
      <c r="AP1499" s="1684"/>
      <c r="AQ1499" s="1684"/>
      <c r="AR1499" s="1684"/>
      <c r="AS1499" s="1684"/>
      <c r="AT1499" s="1684"/>
      <c r="AU1499" s="1684"/>
      <c r="AV1499" s="1684"/>
      <c r="AW1499" s="1684"/>
      <c r="AX1499" s="1684"/>
      <c r="AY1499" s="1684"/>
      <c r="AZ1499" s="1684"/>
      <c r="BA1499" s="1684"/>
      <c r="BB1499" s="1684"/>
      <c r="BC1499" s="1684"/>
      <c r="BD1499" s="1684"/>
      <c r="BE1499" s="1684"/>
      <c r="BF1499" s="1684"/>
      <c r="BG1499" s="1684"/>
      <c r="BH1499" s="1684"/>
      <c r="BI1499" s="1684"/>
      <c r="BJ1499" s="1684"/>
      <c r="BK1499" s="1684"/>
      <c r="BL1499" s="1684"/>
      <c r="BM1499" s="1684"/>
      <c r="BN1499" s="1684"/>
      <c r="BO1499" s="1684"/>
      <c r="BP1499" s="1684"/>
      <c r="BQ1499" s="1684"/>
      <c r="BR1499" s="1684"/>
      <c r="BS1499" s="1684"/>
      <c r="BT1499" s="1684"/>
      <c r="BU1499" s="1684"/>
      <c r="BV1499" s="1684"/>
      <c r="BW1499" s="1684"/>
      <c r="BX1499" s="1684"/>
      <c r="BY1499" s="1684"/>
      <c r="BZ1499" s="1684"/>
      <c r="CA1499" s="1684"/>
      <c r="CB1499" s="1684"/>
      <c r="CC1499" s="1684"/>
      <c r="CD1499" s="1684"/>
      <c r="CE1499" s="1684"/>
      <c r="CF1499" s="1684"/>
      <c r="CG1499" s="1684"/>
      <c r="CH1499" s="1684"/>
      <c r="CI1499" s="1684"/>
      <c r="CJ1499" s="1684"/>
      <c r="CK1499" s="1684"/>
      <c r="CL1499" s="1684"/>
      <c r="CM1499" s="1684"/>
      <c r="CN1499" s="1684"/>
      <c r="CO1499" s="1684"/>
    </row>
    <row r="1500" spans="1:93" s="1391" customFormat="1" ht="15" x14ac:dyDescent="0.2">
      <c r="A1500" s="1684"/>
      <c r="B1500" s="1684"/>
      <c r="C1500" s="2013">
        <v>9</v>
      </c>
      <c r="D1500" s="5">
        <v>5.7160000000000002</v>
      </c>
      <c r="E1500" s="5">
        <v>155</v>
      </c>
      <c r="F1500" s="5">
        <v>172</v>
      </c>
      <c r="G1500" s="5">
        <v>187</v>
      </c>
      <c r="H1500" s="5">
        <v>202</v>
      </c>
      <c r="I1500" s="5">
        <v>217</v>
      </c>
      <c r="J1500" s="5">
        <v>232</v>
      </c>
      <c r="K1500" s="5">
        <v>247</v>
      </c>
      <c r="L1500" s="5">
        <v>262</v>
      </c>
      <c r="M1500" s="5">
        <v>276</v>
      </c>
      <c r="N1500" s="5">
        <v>290</v>
      </c>
      <c r="O1500" s="5">
        <v>304</v>
      </c>
      <c r="P1500" s="5">
        <v>319</v>
      </c>
      <c r="Q1500" s="1160">
        <v>57</v>
      </c>
      <c r="R1500"/>
      <c r="S1500" s="1684"/>
      <c r="T1500" s="1684"/>
      <c r="U1500" s="1684"/>
      <c r="V1500" s="1684"/>
      <c r="W1500" s="1684"/>
      <c r="X1500" s="1684"/>
      <c r="Y1500" s="1684"/>
      <c r="Z1500" s="1684"/>
      <c r="AA1500" s="1684"/>
      <c r="AB1500" s="1684"/>
      <c r="AC1500" s="1684"/>
      <c r="AD1500" s="1684"/>
      <c r="AE1500" s="1684"/>
      <c r="AF1500" s="1684"/>
      <c r="AG1500" s="1684"/>
      <c r="AH1500" s="1684"/>
      <c r="AI1500" s="1684"/>
      <c r="AJ1500" s="1684"/>
      <c r="AK1500" s="1684"/>
      <c r="AL1500" s="1684"/>
      <c r="AM1500" s="1684"/>
      <c r="AN1500" s="1684"/>
      <c r="AO1500" s="1684"/>
      <c r="AP1500" s="1684"/>
      <c r="AQ1500" s="1684"/>
      <c r="AR1500" s="1684"/>
      <c r="AS1500" s="1684"/>
      <c r="AT1500" s="1684"/>
      <c r="AU1500" s="1684"/>
      <c r="AV1500" s="1684"/>
      <c r="AW1500" s="1684"/>
      <c r="AX1500" s="1684"/>
      <c r="AY1500" s="1684"/>
      <c r="AZ1500" s="1684"/>
      <c r="BA1500" s="1684"/>
      <c r="BB1500" s="1684"/>
      <c r="BC1500" s="1684"/>
      <c r="BD1500" s="1684"/>
      <c r="BE1500" s="1684"/>
      <c r="BF1500" s="1684"/>
      <c r="BG1500" s="1684"/>
      <c r="BH1500" s="1684"/>
      <c r="BI1500" s="1684"/>
      <c r="BJ1500" s="1684"/>
      <c r="BK1500" s="1684"/>
      <c r="BL1500" s="1684"/>
      <c r="BM1500" s="1684"/>
      <c r="BN1500" s="1684"/>
      <c r="BO1500" s="1684"/>
      <c r="BP1500" s="1684"/>
      <c r="BQ1500" s="1684"/>
      <c r="BR1500" s="1684"/>
      <c r="BS1500" s="1684"/>
      <c r="BT1500" s="1684"/>
      <c r="BU1500" s="1684"/>
      <c r="BV1500" s="1684"/>
      <c r="BW1500" s="1684"/>
      <c r="BX1500" s="1684"/>
      <c r="BY1500" s="1684"/>
      <c r="BZ1500" s="1684"/>
      <c r="CA1500" s="1684"/>
      <c r="CB1500" s="1684"/>
      <c r="CC1500" s="1684"/>
      <c r="CD1500" s="1684"/>
      <c r="CE1500" s="1684"/>
      <c r="CF1500" s="1684"/>
      <c r="CG1500" s="1684"/>
      <c r="CH1500" s="1684"/>
      <c r="CI1500" s="1684"/>
      <c r="CJ1500" s="1684"/>
      <c r="CK1500" s="1684"/>
      <c r="CL1500" s="1684"/>
      <c r="CM1500" s="1684"/>
      <c r="CN1500" s="1684"/>
      <c r="CO1500" s="1684"/>
    </row>
    <row r="1501" spans="1:93" s="1391" customFormat="1" ht="15" x14ac:dyDescent="0.2">
      <c r="A1501" s="1684"/>
      <c r="B1501" s="1684"/>
      <c r="C1501" s="2013">
        <v>10</v>
      </c>
      <c r="D1501" s="5">
        <v>6.0910000000000002</v>
      </c>
      <c r="E1501" s="5">
        <v>171</v>
      </c>
      <c r="F1501" s="5">
        <v>188</v>
      </c>
      <c r="G1501" s="5">
        <v>205</v>
      </c>
      <c r="H1501" s="5">
        <v>222</v>
      </c>
      <c r="I1501" s="5">
        <v>238</v>
      </c>
      <c r="J1501" s="5">
        <v>254</v>
      </c>
      <c r="K1501" s="5">
        <v>270</v>
      </c>
      <c r="L1501" s="5">
        <v>287</v>
      </c>
      <c r="M1501" s="5">
        <v>302</v>
      </c>
      <c r="N1501" s="5">
        <v>318</v>
      </c>
      <c r="O1501" s="5">
        <v>333</v>
      </c>
      <c r="P1501" s="5">
        <v>348</v>
      </c>
      <c r="Q1501" s="1160">
        <v>58</v>
      </c>
      <c r="R1501"/>
      <c r="S1501" s="1684"/>
      <c r="T1501" s="1684"/>
      <c r="U1501" s="1684"/>
      <c r="V1501" s="1684"/>
      <c r="W1501" s="1684"/>
      <c r="X1501" s="1684"/>
      <c r="Y1501" s="1684"/>
      <c r="Z1501" s="1684"/>
      <c r="AA1501" s="1684"/>
      <c r="AB1501" s="1684"/>
      <c r="AC1501" s="1684"/>
      <c r="AD1501" s="1684"/>
      <c r="AE1501" s="1684"/>
      <c r="AF1501" s="1684"/>
      <c r="AG1501" s="1684"/>
      <c r="AH1501" s="1684"/>
      <c r="AI1501" s="1684"/>
      <c r="AJ1501" s="1684"/>
      <c r="AK1501" s="1684"/>
      <c r="AL1501" s="1684"/>
      <c r="AM1501" s="1684"/>
      <c r="AN1501" s="1684"/>
      <c r="AO1501" s="1684"/>
      <c r="AP1501" s="1684"/>
      <c r="AQ1501" s="1684"/>
      <c r="AR1501" s="1684"/>
      <c r="AS1501" s="1684"/>
      <c r="AT1501" s="1684"/>
      <c r="AU1501" s="1684"/>
      <c r="AV1501" s="1684"/>
      <c r="AW1501" s="1684"/>
      <c r="AX1501" s="1684"/>
      <c r="AY1501" s="1684"/>
      <c r="AZ1501" s="1684"/>
      <c r="BA1501" s="1684"/>
      <c r="BB1501" s="1684"/>
      <c r="BC1501" s="1684"/>
      <c r="BD1501" s="1684"/>
      <c r="BE1501" s="1684"/>
      <c r="BF1501" s="1684"/>
      <c r="BG1501" s="1684"/>
      <c r="BH1501" s="1684"/>
      <c r="BI1501" s="1684"/>
      <c r="BJ1501" s="1684"/>
      <c r="BK1501" s="1684"/>
      <c r="BL1501" s="1684"/>
      <c r="BM1501" s="1684"/>
      <c r="BN1501" s="1684"/>
      <c r="BO1501" s="1684"/>
      <c r="BP1501" s="1684"/>
      <c r="BQ1501" s="1684"/>
      <c r="BR1501" s="1684"/>
      <c r="BS1501" s="1684"/>
      <c r="BT1501" s="1684"/>
      <c r="BU1501" s="1684"/>
      <c r="BV1501" s="1684"/>
      <c r="BW1501" s="1684"/>
      <c r="BX1501" s="1684"/>
      <c r="BY1501" s="1684"/>
      <c r="BZ1501" s="1684"/>
      <c r="CA1501" s="1684"/>
      <c r="CB1501" s="1684"/>
      <c r="CC1501" s="1684"/>
      <c r="CD1501" s="1684"/>
      <c r="CE1501" s="1684"/>
      <c r="CF1501" s="1684"/>
      <c r="CG1501" s="1684"/>
      <c r="CH1501" s="1684"/>
      <c r="CI1501" s="1684"/>
      <c r="CJ1501" s="1684"/>
      <c r="CK1501" s="1684"/>
      <c r="CL1501" s="1684"/>
      <c r="CM1501" s="1684"/>
      <c r="CN1501" s="1684"/>
      <c r="CO1501" s="1684"/>
    </row>
    <row r="1502" spans="1:93" s="1391" customFormat="1" ht="15" x14ac:dyDescent="0.2">
      <c r="A1502" s="1684"/>
      <c r="B1502" s="1684"/>
      <c r="C1502" s="2013">
        <v>11</v>
      </c>
      <c r="D1502" s="5">
        <v>6.5179999999999998</v>
      </c>
      <c r="E1502" s="5">
        <v>188</v>
      </c>
      <c r="F1502" s="5">
        <v>207</v>
      </c>
      <c r="G1502" s="5">
        <v>225</v>
      </c>
      <c r="H1502" s="5">
        <v>244</v>
      </c>
      <c r="I1502" s="5">
        <v>261</v>
      </c>
      <c r="J1502" s="5">
        <v>279</v>
      </c>
      <c r="K1502" s="5">
        <v>297</v>
      </c>
      <c r="L1502" s="5">
        <v>315</v>
      </c>
      <c r="M1502" s="5">
        <v>331</v>
      </c>
      <c r="N1502" s="5">
        <v>348</v>
      </c>
      <c r="O1502" s="5">
        <v>363</v>
      </c>
      <c r="P1502" s="5">
        <v>381</v>
      </c>
      <c r="Q1502" s="1160">
        <v>59</v>
      </c>
      <c r="R1502"/>
      <c r="S1502" s="1684"/>
      <c r="T1502" s="1684"/>
      <c r="U1502" s="1684"/>
      <c r="V1502" s="1684"/>
      <c r="W1502" s="1684"/>
      <c r="X1502" s="1684"/>
      <c r="Y1502" s="1684"/>
      <c r="Z1502" s="1684"/>
      <c r="AA1502" s="1684"/>
      <c r="AB1502" s="1684"/>
      <c r="AC1502" s="1684"/>
      <c r="AD1502" s="1684"/>
      <c r="AE1502" s="1684"/>
      <c r="AF1502" s="1684"/>
      <c r="AG1502" s="1684"/>
      <c r="AH1502" s="1684"/>
      <c r="AI1502" s="1684"/>
      <c r="AJ1502" s="1684"/>
      <c r="AK1502" s="1684"/>
      <c r="AL1502" s="1684"/>
      <c r="AM1502" s="1684"/>
      <c r="AN1502" s="1684"/>
      <c r="AO1502" s="1684"/>
      <c r="AP1502" s="1684"/>
      <c r="AQ1502" s="1684"/>
      <c r="AR1502" s="1684"/>
      <c r="AS1502" s="1684"/>
      <c r="AT1502" s="1684"/>
      <c r="AU1502" s="1684"/>
      <c r="AV1502" s="1684"/>
      <c r="AW1502" s="1684"/>
      <c r="AX1502" s="1684"/>
      <c r="AY1502" s="1684"/>
      <c r="AZ1502" s="1684"/>
      <c r="BA1502" s="1684"/>
      <c r="BB1502" s="1684"/>
      <c r="BC1502" s="1684"/>
      <c r="BD1502" s="1684"/>
      <c r="BE1502" s="1684"/>
      <c r="BF1502" s="1684"/>
      <c r="BG1502" s="1684"/>
      <c r="BH1502" s="1684"/>
      <c r="BI1502" s="1684"/>
      <c r="BJ1502" s="1684"/>
      <c r="BK1502" s="1684"/>
      <c r="BL1502" s="1684"/>
      <c r="BM1502" s="1684"/>
      <c r="BN1502" s="1684"/>
      <c r="BO1502" s="1684"/>
      <c r="BP1502" s="1684"/>
      <c r="BQ1502" s="1684"/>
      <c r="BR1502" s="1684"/>
      <c r="BS1502" s="1684"/>
      <c r="BT1502" s="1684"/>
      <c r="BU1502" s="1684"/>
      <c r="BV1502" s="1684"/>
      <c r="BW1502" s="1684"/>
      <c r="BX1502" s="1684"/>
      <c r="BY1502" s="1684"/>
      <c r="BZ1502" s="1684"/>
      <c r="CA1502" s="1684"/>
      <c r="CB1502" s="1684"/>
      <c r="CC1502" s="1684"/>
      <c r="CD1502" s="1684"/>
      <c r="CE1502" s="1684"/>
      <c r="CF1502" s="1684"/>
      <c r="CG1502" s="1684"/>
      <c r="CH1502" s="1684"/>
      <c r="CI1502" s="1684"/>
      <c r="CJ1502" s="1684"/>
      <c r="CK1502" s="1684"/>
      <c r="CL1502" s="1684"/>
      <c r="CM1502" s="1684"/>
      <c r="CN1502" s="1684"/>
      <c r="CO1502" s="1684"/>
    </row>
    <row r="1503" spans="1:93" s="1391" customFormat="1" ht="15" x14ac:dyDescent="0.2">
      <c r="A1503" s="1684"/>
      <c r="B1503" s="1684"/>
      <c r="C1503" s="2013">
        <v>12</v>
      </c>
      <c r="D1503" s="5">
        <v>6.9710000000000001</v>
      </c>
      <c r="E1503" s="5">
        <v>205</v>
      </c>
      <c r="F1503" s="5">
        <v>227</v>
      </c>
      <c r="G1503" s="5">
        <v>247</v>
      </c>
      <c r="H1503" s="5">
        <v>266</v>
      </c>
      <c r="I1503" s="5">
        <v>286</v>
      </c>
      <c r="J1503" s="5">
        <v>305</v>
      </c>
      <c r="K1503" s="5">
        <v>324</v>
      </c>
      <c r="L1503" s="5">
        <v>343</v>
      </c>
      <c r="M1503" s="5">
        <v>361</v>
      </c>
      <c r="N1503" s="5">
        <v>379</v>
      </c>
      <c r="O1503" s="5">
        <v>397</v>
      </c>
      <c r="P1503" s="5">
        <v>415</v>
      </c>
      <c r="Q1503" s="1160">
        <v>60</v>
      </c>
      <c r="R1503"/>
      <c r="S1503" s="1684"/>
      <c r="T1503" s="1684"/>
      <c r="U1503" s="1684"/>
      <c r="V1503" s="1684"/>
      <c r="W1503" s="1684"/>
      <c r="X1503" s="1684"/>
      <c r="Y1503" s="1684"/>
      <c r="Z1503" s="1684"/>
      <c r="AA1503" s="1684"/>
      <c r="AB1503" s="1684"/>
      <c r="AC1503" s="1684"/>
      <c r="AD1503" s="1684"/>
      <c r="AE1503" s="1684"/>
      <c r="AF1503" s="1684"/>
      <c r="AG1503" s="1684"/>
      <c r="AH1503" s="1684"/>
      <c r="AI1503" s="1684"/>
      <c r="AJ1503" s="1684"/>
      <c r="AK1503" s="1684"/>
      <c r="AL1503" s="1684"/>
      <c r="AM1503" s="1684"/>
      <c r="AN1503" s="1684"/>
      <c r="AO1503" s="1684"/>
      <c r="AP1503" s="1684"/>
      <c r="AQ1503" s="1684"/>
      <c r="AR1503" s="1684"/>
      <c r="AS1503" s="1684"/>
      <c r="AT1503" s="1684"/>
      <c r="AU1503" s="1684"/>
      <c r="AV1503" s="1684"/>
      <c r="AW1503" s="1684"/>
      <c r="AX1503" s="1684"/>
      <c r="AY1503" s="1684"/>
      <c r="AZ1503" s="1684"/>
      <c r="BA1503" s="1684"/>
      <c r="BB1503" s="1684"/>
      <c r="BC1503" s="1684"/>
      <c r="BD1503" s="1684"/>
      <c r="BE1503" s="1684"/>
      <c r="BF1503" s="1684"/>
      <c r="BG1503" s="1684"/>
      <c r="BH1503" s="1684"/>
      <c r="BI1503" s="1684"/>
      <c r="BJ1503" s="1684"/>
      <c r="BK1503" s="1684"/>
      <c r="BL1503" s="1684"/>
      <c r="BM1503" s="1684"/>
      <c r="BN1503" s="1684"/>
      <c r="BO1503" s="1684"/>
      <c r="BP1503" s="1684"/>
      <c r="BQ1503" s="1684"/>
      <c r="BR1503" s="1684"/>
      <c r="BS1503" s="1684"/>
      <c r="BT1503" s="1684"/>
      <c r="BU1503" s="1684"/>
      <c r="BV1503" s="1684"/>
      <c r="BW1503" s="1684"/>
      <c r="BX1503" s="1684"/>
      <c r="BY1503" s="1684"/>
      <c r="BZ1503" s="1684"/>
      <c r="CA1503" s="1684"/>
      <c r="CB1503" s="1684"/>
      <c r="CC1503" s="1684"/>
      <c r="CD1503" s="1684"/>
      <c r="CE1503" s="1684"/>
      <c r="CF1503" s="1684"/>
      <c r="CG1503" s="1684"/>
      <c r="CH1503" s="1684"/>
      <c r="CI1503" s="1684"/>
      <c r="CJ1503" s="1684"/>
      <c r="CK1503" s="1684"/>
      <c r="CL1503" s="1684"/>
      <c r="CM1503" s="1684"/>
      <c r="CN1503" s="1684"/>
      <c r="CO1503" s="1684"/>
    </row>
    <row r="1504" spans="1:93" s="1391" customFormat="1" ht="15" x14ac:dyDescent="0.2">
      <c r="A1504" s="1684"/>
      <c r="B1504" s="1684"/>
      <c r="C1504" s="2013">
        <v>13</v>
      </c>
      <c r="D1504" s="5">
        <v>7.4409999999999998</v>
      </c>
      <c r="E1504" s="5">
        <v>224</v>
      </c>
      <c r="F1504" s="5">
        <v>246</v>
      </c>
      <c r="G1504" s="5">
        <v>268</v>
      </c>
      <c r="H1504" s="5">
        <v>289</v>
      </c>
      <c r="I1504" s="5">
        <v>310</v>
      </c>
      <c r="J1504" s="5">
        <v>331</v>
      </c>
      <c r="K1504" s="5">
        <v>351</v>
      </c>
      <c r="L1504" s="5">
        <v>372</v>
      </c>
      <c r="M1504" s="5">
        <v>391</v>
      </c>
      <c r="N1504" s="5">
        <v>410</v>
      </c>
      <c r="O1504" s="5">
        <v>430</v>
      </c>
      <c r="P1504" s="5">
        <v>449</v>
      </c>
      <c r="Q1504" s="1160">
        <v>61</v>
      </c>
      <c r="R1504"/>
      <c r="S1504" s="1684"/>
      <c r="T1504" s="1684"/>
      <c r="U1504" s="1684"/>
      <c r="V1504" s="1684"/>
      <c r="W1504" s="1684"/>
      <c r="X1504" s="1684"/>
      <c r="Y1504" s="1684"/>
      <c r="Z1504" s="1684"/>
      <c r="AA1504" s="1684"/>
      <c r="AB1504" s="1684"/>
      <c r="AC1504" s="1684"/>
      <c r="AD1504" s="1684"/>
      <c r="AE1504" s="1684"/>
      <c r="AF1504" s="1684"/>
      <c r="AG1504" s="1684"/>
      <c r="AH1504" s="1684"/>
      <c r="AI1504" s="1684"/>
      <c r="AJ1504" s="1684"/>
      <c r="AK1504" s="1684"/>
      <c r="AL1504" s="1684"/>
      <c r="AM1504" s="1684"/>
      <c r="AN1504" s="1684"/>
      <c r="AO1504" s="1684"/>
      <c r="AP1504" s="1684"/>
      <c r="AQ1504" s="1684"/>
      <c r="AR1504" s="1684"/>
      <c r="AS1504" s="1684"/>
      <c r="AT1504" s="1684"/>
      <c r="AU1504" s="1684"/>
      <c r="AV1504" s="1684"/>
      <c r="AW1504" s="1684"/>
      <c r="AX1504" s="1684"/>
      <c r="AY1504" s="1684"/>
      <c r="AZ1504" s="1684"/>
      <c r="BA1504" s="1684"/>
      <c r="BB1504" s="1684"/>
      <c r="BC1504" s="1684"/>
      <c r="BD1504" s="1684"/>
      <c r="BE1504" s="1684"/>
      <c r="BF1504" s="1684"/>
      <c r="BG1504" s="1684"/>
      <c r="BH1504" s="1684"/>
      <c r="BI1504" s="1684"/>
      <c r="BJ1504" s="1684"/>
      <c r="BK1504" s="1684"/>
      <c r="BL1504" s="1684"/>
      <c r="BM1504" s="1684"/>
      <c r="BN1504" s="1684"/>
      <c r="BO1504" s="1684"/>
      <c r="BP1504" s="1684"/>
      <c r="BQ1504" s="1684"/>
      <c r="BR1504" s="1684"/>
      <c r="BS1504" s="1684"/>
      <c r="BT1504" s="1684"/>
      <c r="BU1504" s="1684"/>
      <c r="BV1504" s="1684"/>
      <c r="BW1504" s="1684"/>
      <c r="BX1504" s="1684"/>
      <c r="BY1504" s="1684"/>
      <c r="BZ1504" s="1684"/>
      <c r="CA1504" s="1684"/>
      <c r="CB1504" s="1684"/>
      <c r="CC1504" s="1684"/>
      <c r="CD1504" s="1684"/>
      <c r="CE1504" s="1684"/>
      <c r="CF1504" s="1684"/>
      <c r="CG1504" s="1684"/>
      <c r="CH1504" s="1684"/>
      <c r="CI1504" s="1684"/>
      <c r="CJ1504" s="1684"/>
      <c r="CK1504" s="1684"/>
      <c r="CL1504" s="1684"/>
      <c r="CM1504" s="1684"/>
      <c r="CN1504" s="1684"/>
      <c r="CO1504" s="1684"/>
    </row>
    <row r="1505" spans="1:93" s="1391" customFormat="1" ht="15" x14ac:dyDescent="0.2">
      <c r="A1505" s="1684"/>
      <c r="B1505" s="1684"/>
      <c r="C1505" s="2013">
        <v>14</v>
      </c>
      <c r="D1505" s="5">
        <v>7.944</v>
      </c>
      <c r="E1505" s="5">
        <v>243</v>
      </c>
      <c r="F1505" s="5">
        <v>267</v>
      </c>
      <c r="G1505" s="5">
        <v>290</v>
      </c>
      <c r="H1505" s="5">
        <v>313</v>
      </c>
      <c r="I1505" s="5">
        <v>336</v>
      </c>
      <c r="J1505" s="5">
        <v>358</v>
      </c>
      <c r="K1505" s="5">
        <v>380</v>
      </c>
      <c r="L1505" s="5">
        <v>402</v>
      </c>
      <c r="M1505" s="5">
        <v>422</v>
      </c>
      <c r="N1505" s="5">
        <v>443</v>
      </c>
      <c r="O1505" s="5">
        <v>464</v>
      </c>
      <c r="P1505" s="5">
        <v>484</v>
      </c>
      <c r="Q1505" s="1160">
        <v>62</v>
      </c>
      <c r="R1505"/>
      <c r="S1505" s="1684"/>
      <c r="T1505" s="1684"/>
      <c r="U1505" s="1684"/>
      <c r="V1505" s="1684"/>
      <c r="W1505" s="1684"/>
      <c r="X1505" s="1684"/>
      <c r="Y1505" s="1684"/>
      <c r="Z1505" s="1684"/>
      <c r="AA1505" s="1684"/>
      <c r="AB1505" s="1684"/>
      <c r="AC1505" s="1684"/>
      <c r="AD1505" s="1684"/>
      <c r="AE1505" s="1684"/>
      <c r="AF1505" s="1684"/>
      <c r="AG1505" s="1684"/>
      <c r="AH1505" s="1684"/>
      <c r="AI1505" s="1684"/>
      <c r="AJ1505" s="1684"/>
      <c r="AK1505" s="1684"/>
      <c r="AL1505" s="1684"/>
      <c r="AM1505" s="1684"/>
      <c r="AN1505" s="1684"/>
      <c r="AO1505" s="1684"/>
      <c r="AP1505" s="1684"/>
      <c r="AQ1505" s="1684"/>
      <c r="AR1505" s="1684"/>
      <c r="AS1505" s="1684"/>
      <c r="AT1505" s="1684"/>
      <c r="AU1505" s="1684"/>
      <c r="AV1505" s="1684"/>
      <c r="AW1505" s="1684"/>
      <c r="AX1505" s="1684"/>
      <c r="AY1505" s="1684"/>
      <c r="AZ1505" s="1684"/>
      <c r="BA1505" s="1684"/>
      <c r="BB1505" s="1684"/>
      <c r="BC1505" s="1684"/>
      <c r="BD1505" s="1684"/>
      <c r="BE1505" s="1684"/>
      <c r="BF1505" s="1684"/>
      <c r="BG1505" s="1684"/>
      <c r="BH1505" s="1684"/>
      <c r="BI1505" s="1684"/>
      <c r="BJ1505" s="1684"/>
      <c r="BK1505" s="1684"/>
      <c r="BL1505" s="1684"/>
      <c r="BM1505" s="1684"/>
      <c r="BN1505" s="1684"/>
      <c r="BO1505" s="1684"/>
      <c r="BP1505" s="1684"/>
      <c r="BQ1505" s="1684"/>
      <c r="BR1505" s="1684"/>
      <c r="BS1505" s="1684"/>
      <c r="BT1505" s="1684"/>
      <c r="BU1505" s="1684"/>
      <c r="BV1505" s="1684"/>
      <c r="BW1505" s="1684"/>
      <c r="BX1505" s="1684"/>
      <c r="BY1505" s="1684"/>
      <c r="BZ1505" s="1684"/>
      <c r="CA1505" s="1684"/>
      <c r="CB1505" s="1684"/>
      <c r="CC1505" s="1684"/>
      <c r="CD1505" s="1684"/>
      <c r="CE1505" s="1684"/>
      <c r="CF1505" s="1684"/>
      <c r="CG1505" s="1684"/>
      <c r="CH1505" s="1684"/>
      <c r="CI1505" s="1684"/>
      <c r="CJ1505" s="1684"/>
      <c r="CK1505" s="1684"/>
      <c r="CL1505" s="1684"/>
      <c r="CM1505" s="1684"/>
      <c r="CN1505" s="1684"/>
      <c r="CO1505" s="1684"/>
    </row>
    <row r="1506" spans="1:93" s="1391" customFormat="1" ht="15" x14ac:dyDescent="0.2">
      <c r="A1506" s="1684"/>
      <c r="B1506" s="1684"/>
      <c r="C1506" s="2013">
        <v>15</v>
      </c>
      <c r="D1506" s="5">
        <v>8.4710000000000001</v>
      </c>
      <c r="E1506" s="5">
        <v>262</v>
      </c>
      <c r="F1506" s="5">
        <v>289</v>
      </c>
      <c r="G1506" s="5">
        <v>313</v>
      </c>
      <c r="H1506" s="5">
        <v>338</v>
      </c>
      <c r="I1506" s="5">
        <v>362</v>
      </c>
      <c r="J1506" s="5">
        <v>385</v>
      </c>
      <c r="K1506" s="5">
        <v>409</v>
      </c>
      <c r="L1506" s="5">
        <v>433</v>
      </c>
      <c r="M1506" s="5">
        <v>454</v>
      </c>
      <c r="N1506" s="5">
        <v>476</v>
      </c>
      <c r="O1506" s="5">
        <v>498</v>
      </c>
      <c r="P1506" s="5">
        <v>519</v>
      </c>
      <c r="Q1506" s="1160">
        <v>63</v>
      </c>
      <c r="R1506"/>
      <c r="S1506" s="1684"/>
      <c r="T1506" s="1684"/>
      <c r="U1506" s="1684"/>
      <c r="V1506" s="1684"/>
      <c r="W1506" s="1684"/>
      <c r="X1506" s="1684"/>
      <c r="Y1506" s="1684"/>
      <c r="Z1506" s="1684"/>
      <c r="AA1506" s="1684"/>
      <c r="AB1506" s="1684"/>
      <c r="AC1506" s="1684"/>
      <c r="AD1506" s="1684"/>
      <c r="AE1506" s="1684"/>
      <c r="AF1506" s="1684"/>
      <c r="AG1506" s="1684"/>
      <c r="AH1506" s="1684"/>
      <c r="AI1506" s="1684"/>
      <c r="AJ1506" s="1684"/>
      <c r="AK1506" s="1684"/>
      <c r="AL1506" s="1684"/>
      <c r="AM1506" s="1684"/>
      <c r="AN1506" s="1684"/>
      <c r="AO1506" s="1684"/>
      <c r="AP1506" s="1684"/>
      <c r="AQ1506" s="1684"/>
      <c r="AR1506" s="1684"/>
      <c r="AS1506" s="1684"/>
      <c r="AT1506" s="1684"/>
      <c r="AU1506" s="1684"/>
      <c r="AV1506" s="1684"/>
      <c r="AW1506" s="1684"/>
      <c r="AX1506" s="1684"/>
      <c r="AY1506" s="1684"/>
      <c r="AZ1506" s="1684"/>
      <c r="BA1506" s="1684"/>
      <c r="BB1506" s="1684"/>
      <c r="BC1506" s="1684"/>
      <c r="BD1506" s="1684"/>
      <c r="BE1506" s="1684"/>
      <c r="BF1506" s="1684"/>
      <c r="BG1506" s="1684"/>
      <c r="BH1506" s="1684"/>
      <c r="BI1506" s="1684"/>
      <c r="BJ1506" s="1684"/>
      <c r="BK1506" s="1684"/>
      <c r="BL1506" s="1684"/>
      <c r="BM1506" s="1684"/>
      <c r="BN1506" s="1684"/>
      <c r="BO1506" s="1684"/>
      <c r="BP1506" s="1684"/>
      <c r="BQ1506" s="1684"/>
      <c r="BR1506" s="1684"/>
      <c r="BS1506" s="1684"/>
      <c r="BT1506" s="1684"/>
      <c r="BU1506" s="1684"/>
      <c r="BV1506" s="1684"/>
      <c r="BW1506" s="1684"/>
      <c r="BX1506" s="1684"/>
      <c r="BY1506" s="1684"/>
      <c r="BZ1506" s="1684"/>
      <c r="CA1506" s="1684"/>
      <c r="CB1506" s="1684"/>
      <c r="CC1506" s="1684"/>
      <c r="CD1506" s="1684"/>
      <c r="CE1506" s="1684"/>
      <c r="CF1506" s="1684"/>
      <c r="CG1506" s="1684"/>
      <c r="CH1506" s="1684"/>
      <c r="CI1506" s="1684"/>
      <c r="CJ1506" s="1684"/>
      <c r="CK1506" s="1684"/>
      <c r="CL1506" s="1684"/>
      <c r="CM1506" s="1684"/>
      <c r="CN1506" s="1684"/>
      <c r="CO1506" s="1684"/>
    </row>
    <row r="1507" spans="1:93" s="1391" customFormat="1" ht="15" x14ac:dyDescent="0.2">
      <c r="A1507" s="1684"/>
      <c r="B1507" s="1684"/>
      <c r="C1507" s="2013">
        <v>16</v>
      </c>
      <c r="D1507" s="5">
        <v>9.1449999999999996</v>
      </c>
      <c r="E1507" s="5">
        <v>281</v>
      </c>
      <c r="F1507" s="5">
        <v>309</v>
      </c>
      <c r="G1507" s="5">
        <v>336</v>
      </c>
      <c r="H1507" s="5">
        <v>361</v>
      </c>
      <c r="I1507" s="5">
        <v>387</v>
      </c>
      <c r="J1507" s="5">
        <v>412</v>
      </c>
      <c r="K1507" s="5">
        <v>437</v>
      </c>
      <c r="L1507" s="5">
        <v>462</v>
      </c>
      <c r="M1507" s="5">
        <v>485</v>
      </c>
      <c r="N1507" s="5">
        <v>508</v>
      </c>
      <c r="O1507" s="5">
        <v>531</v>
      </c>
      <c r="P1507" s="5">
        <v>554</v>
      </c>
      <c r="Q1507" s="1160">
        <v>64</v>
      </c>
      <c r="R1507"/>
      <c r="S1507" s="1684"/>
      <c r="T1507" s="1684"/>
      <c r="U1507" s="1684"/>
      <c r="V1507" s="1684"/>
      <c r="W1507" s="1684"/>
      <c r="X1507" s="1684"/>
      <c r="Y1507" s="1684"/>
      <c r="Z1507" s="1684"/>
      <c r="AA1507" s="1684"/>
      <c r="AB1507" s="1684"/>
      <c r="AC1507" s="1684"/>
      <c r="AD1507" s="1684"/>
      <c r="AE1507" s="1684"/>
      <c r="AF1507" s="1684"/>
      <c r="AG1507" s="1684"/>
      <c r="AH1507" s="1684"/>
      <c r="AI1507" s="1684"/>
      <c r="AJ1507" s="1684"/>
      <c r="AK1507" s="1684"/>
      <c r="AL1507" s="1684"/>
      <c r="AM1507" s="1684"/>
      <c r="AN1507" s="1684"/>
      <c r="AO1507" s="1684"/>
      <c r="AP1507" s="1684"/>
      <c r="AQ1507" s="1684"/>
      <c r="AR1507" s="1684"/>
      <c r="AS1507" s="1684"/>
      <c r="AT1507" s="1684"/>
      <c r="AU1507" s="1684"/>
      <c r="AV1507" s="1684"/>
      <c r="AW1507" s="1684"/>
      <c r="AX1507" s="1684"/>
      <c r="AY1507" s="1684"/>
      <c r="AZ1507" s="1684"/>
      <c r="BA1507" s="1684"/>
      <c r="BB1507" s="1684"/>
      <c r="BC1507" s="1684"/>
      <c r="BD1507" s="1684"/>
      <c r="BE1507" s="1684"/>
      <c r="BF1507" s="1684"/>
      <c r="BG1507" s="1684"/>
      <c r="BH1507" s="1684"/>
      <c r="BI1507" s="1684"/>
      <c r="BJ1507" s="1684"/>
      <c r="BK1507" s="1684"/>
      <c r="BL1507" s="1684"/>
      <c r="BM1507" s="1684"/>
      <c r="BN1507" s="1684"/>
      <c r="BO1507" s="1684"/>
      <c r="BP1507" s="1684"/>
      <c r="BQ1507" s="1684"/>
      <c r="BR1507" s="1684"/>
      <c r="BS1507" s="1684"/>
      <c r="BT1507" s="1684"/>
      <c r="BU1507" s="1684"/>
      <c r="BV1507" s="1684"/>
      <c r="BW1507" s="1684"/>
      <c r="BX1507" s="1684"/>
      <c r="BY1507" s="1684"/>
      <c r="BZ1507" s="1684"/>
      <c r="CA1507" s="1684"/>
      <c r="CB1507" s="1684"/>
      <c r="CC1507" s="1684"/>
      <c r="CD1507" s="1684"/>
      <c r="CE1507" s="1684"/>
      <c r="CF1507" s="1684"/>
      <c r="CG1507" s="1684"/>
      <c r="CH1507" s="1684"/>
      <c r="CI1507" s="1684"/>
      <c r="CJ1507" s="1684"/>
      <c r="CK1507" s="1684"/>
      <c r="CL1507" s="1684"/>
      <c r="CM1507" s="1684"/>
      <c r="CN1507" s="1684"/>
      <c r="CO1507" s="1684"/>
    </row>
    <row r="1508" spans="1:93" s="1391" customFormat="1" ht="15" x14ac:dyDescent="0.2">
      <c r="A1508" s="1684"/>
      <c r="B1508" s="1684"/>
      <c r="C1508" s="2013">
        <v>17</v>
      </c>
      <c r="D1508" s="5">
        <v>9.8610000000000007</v>
      </c>
      <c r="E1508" s="5">
        <v>299</v>
      </c>
      <c r="F1508" s="5">
        <v>328</v>
      </c>
      <c r="G1508" s="5">
        <v>356</v>
      </c>
      <c r="H1508" s="5">
        <v>383</v>
      </c>
      <c r="I1508" s="5">
        <v>410</v>
      </c>
      <c r="J1508" s="5">
        <v>437</v>
      </c>
      <c r="K1508" s="5">
        <v>462</v>
      </c>
      <c r="L1508" s="5">
        <v>489</v>
      </c>
      <c r="M1508" s="5">
        <v>513</v>
      </c>
      <c r="N1508" s="5">
        <v>537</v>
      </c>
      <c r="O1508" s="5">
        <v>561</v>
      </c>
      <c r="P1508" s="5">
        <v>583</v>
      </c>
      <c r="Q1508" s="1160">
        <v>65</v>
      </c>
      <c r="R1508"/>
      <c r="S1508" s="1684"/>
      <c r="T1508" s="1684"/>
      <c r="U1508" s="1684"/>
      <c r="V1508" s="1684"/>
      <c r="W1508" s="1684"/>
      <c r="X1508" s="1684"/>
      <c r="Y1508" s="1684"/>
      <c r="Z1508" s="1684"/>
      <c r="AA1508" s="1684"/>
      <c r="AB1508" s="1684"/>
      <c r="AC1508" s="1684"/>
      <c r="AD1508" s="1684"/>
      <c r="AE1508" s="1684"/>
      <c r="AF1508" s="1684"/>
      <c r="AG1508" s="1684"/>
      <c r="AH1508" s="1684"/>
      <c r="AI1508" s="1684"/>
      <c r="AJ1508" s="1684"/>
      <c r="AK1508" s="1684"/>
      <c r="AL1508" s="1684"/>
      <c r="AM1508" s="1684"/>
      <c r="AN1508" s="1684"/>
      <c r="AO1508" s="1684"/>
      <c r="AP1508" s="1684"/>
      <c r="AQ1508" s="1684"/>
      <c r="AR1508" s="1684"/>
      <c r="AS1508" s="1684"/>
      <c r="AT1508" s="1684"/>
      <c r="AU1508" s="1684"/>
      <c r="AV1508" s="1684"/>
      <c r="AW1508" s="1684"/>
      <c r="AX1508" s="1684"/>
      <c r="AY1508" s="1684"/>
      <c r="AZ1508" s="1684"/>
      <c r="BA1508" s="1684"/>
      <c r="BB1508" s="1684"/>
      <c r="BC1508" s="1684"/>
      <c r="BD1508" s="1684"/>
      <c r="BE1508" s="1684"/>
      <c r="BF1508" s="1684"/>
      <c r="BG1508" s="1684"/>
      <c r="BH1508" s="1684"/>
      <c r="BI1508" s="1684"/>
      <c r="BJ1508" s="1684"/>
      <c r="BK1508" s="1684"/>
      <c r="BL1508" s="1684"/>
      <c r="BM1508" s="1684"/>
      <c r="BN1508" s="1684"/>
      <c r="BO1508" s="1684"/>
      <c r="BP1508" s="1684"/>
      <c r="BQ1508" s="1684"/>
      <c r="BR1508" s="1684"/>
      <c r="BS1508" s="1684"/>
      <c r="BT1508" s="1684"/>
      <c r="BU1508" s="1684"/>
      <c r="BV1508" s="1684"/>
      <c r="BW1508" s="1684"/>
      <c r="BX1508" s="1684"/>
      <c r="BY1508" s="1684"/>
      <c r="BZ1508" s="1684"/>
      <c r="CA1508" s="1684"/>
      <c r="CB1508" s="1684"/>
      <c r="CC1508" s="1684"/>
      <c r="CD1508" s="1684"/>
      <c r="CE1508" s="1684"/>
      <c r="CF1508" s="1684"/>
      <c r="CG1508" s="1684"/>
      <c r="CH1508" s="1684"/>
      <c r="CI1508" s="1684"/>
      <c r="CJ1508" s="1684"/>
      <c r="CK1508" s="1684"/>
      <c r="CL1508" s="1684"/>
      <c r="CM1508" s="1684"/>
      <c r="CN1508" s="1684"/>
      <c r="CO1508" s="1684"/>
    </row>
    <row r="1509" spans="1:93" s="1391" customFormat="1" ht="15" x14ac:dyDescent="0.2">
      <c r="A1509" s="1684"/>
      <c r="B1509" s="1684"/>
      <c r="C1509" s="2013">
        <v>18</v>
      </c>
      <c r="D1509" s="5">
        <v>10.333</v>
      </c>
      <c r="E1509" s="5">
        <v>315</v>
      </c>
      <c r="F1509" s="5">
        <v>346</v>
      </c>
      <c r="G1509" s="5">
        <v>375</v>
      </c>
      <c r="H1509" s="5">
        <v>403</v>
      </c>
      <c r="I1509" s="5">
        <v>431</v>
      </c>
      <c r="J1509" s="5">
        <v>459</v>
      </c>
      <c r="K1509" s="5">
        <v>486</v>
      </c>
      <c r="L1509" s="5">
        <v>514</v>
      </c>
      <c r="M1509" s="5">
        <v>538</v>
      </c>
      <c r="N1509" s="5">
        <v>564</v>
      </c>
      <c r="O1509" s="5">
        <v>589</v>
      </c>
      <c r="P1509" s="5">
        <v>613</v>
      </c>
      <c r="Q1509" s="1160">
        <v>66</v>
      </c>
      <c r="R1509"/>
      <c r="S1509" s="1684"/>
      <c r="T1509" s="1684"/>
      <c r="U1509" s="1684"/>
      <c r="V1509" s="1684"/>
      <c r="W1509" s="1684"/>
      <c r="X1509" s="1684"/>
      <c r="Y1509" s="1684"/>
      <c r="Z1509" s="1684"/>
      <c r="AA1509" s="1684"/>
      <c r="AB1509" s="1684"/>
      <c r="AC1509" s="1684"/>
      <c r="AD1509" s="1684"/>
      <c r="AE1509" s="1684"/>
      <c r="AF1509" s="1684"/>
      <c r="AG1509" s="1684"/>
      <c r="AH1509" s="1684"/>
      <c r="AI1509" s="1684"/>
      <c r="AJ1509" s="1684"/>
      <c r="AK1509" s="1684"/>
      <c r="AL1509" s="1684"/>
      <c r="AM1509" s="1684"/>
      <c r="AN1509" s="1684"/>
      <c r="AO1509" s="1684"/>
      <c r="AP1509" s="1684"/>
      <c r="AQ1509" s="1684"/>
      <c r="AR1509" s="1684"/>
      <c r="AS1509" s="1684"/>
      <c r="AT1509" s="1684"/>
      <c r="AU1509" s="1684"/>
      <c r="AV1509" s="1684"/>
      <c r="AW1509" s="1684"/>
      <c r="AX1509" s="1684"/>
      <c r="AY1509" s="1684"/>
      <c r="AZ1509" s="1684"/>
      <c r="BA1509" s="1684"/>
      <c r="BB1509" s="1684"/>
      <c r="BC1509" s="1684"/>
      <c r="BD1509" s="1684"/>
      <c r="BE1509" s="1684"/>
      <c r="BF1509" s="1684"/>
      <c r="BG1509" s="1684"/>
      <c r="BH1509" s="1684"/>
      <c r="BI1509" s="1684"/>
      <c r="BJ1509" s="1684"/>
      <c r="BK1509" s="1684"/>
      <c r="BL1509" s="1684"/>
      <c r="BM1509" s="1684"/>
      <c r="BN1509" s="1684"/>
      <c r="BO1509" s="1684"/>
      <c r="BP1509" s="1684"/>
      <c r="BQ1509" s="1684"/>
      <c r="BR1509" s="1684"/>
      <c r="BS1509" s="1684"/>
      <c r="BT1509" s="1684"/>
      <c r="BU1509" s="1684"/>
      <c r="BV1509" s="1684"/>
      <c r="BW1509" s="1684"/>
      <c r="BX1509" s="1684"/>
      <c r="BY1509" s="1684"/>
      <c r="BZ1509" s="1684"/>
      <c r="CA1509" s="1684"/>
      <c r="CB1509" s="1684"/>
      <c r="CC1509" s="1684"/>
      <c r="CD1509" s="1684"/>
      <c r="CE1509" s="1684"/>
      <c r="CF1509" s="1684"/>
      <c r="CG1509" s="1684"/>
      <c r="CH1509" s="1684"/>
      <c r="CI1509" s="1684"/>
      <c r="CJ1509" s="1684"/>
      <c r="CK1509" s="1684"/>
      <c r="CL1509" s="1684"/>
      <c r="CM1509" s="1684"/>
      <c r="CN1509" s="1684"/>
      <c r="CO1509" s="1684"/>
    </row>
    <row r="1510" spans="1:93" s="1391" customFormat="1" ht="15" x14ac:dyDescent="0.2">
      <c r="A1510" s="1684"/>
      <c r="B1510" s="1684"/>
      <c r="C1510" s="4680" t="s">
        <v>3692</v>
      </c>
      <c r="D1510" s="4681"/>
      <c r="E1510" s="4681"/>
      <c r="F1510" s="4681"/>
      <c r="G1510" s="4681"/>
      <c r="H1510" s="4681"/>
      <c r="I1510" s="4681"/>
      <c r="J1510" s="4681"/>
      <c r="K1510" s="4681"/>
      <c r="L1510" s="4681"/>
      <c r="M1510" s="4681"/>
      <c r="N1510" s="4681"/>
      <c r="O1510" s="4681"/>
      <c r="P1510" s="4681"/>
      <c r="Q1510" s="4682"/>
      <c r="R1510"/>
      <c r="S1510" s="1684"/>
      <c r="T1510" s="1684"/>
      <c r="U1510" s="1684"/>
      <c r="V1510" s="1684"/>
      <c r="W1510" s="1684"/>
      <c r="X1510" s="1684"/>
      <c r="Y1510" s="1684"/>
      <c r="Z1510" s="1684"/>
      <c r="AA1510" s="1684"/>
      <c r="AB1510" s="1684"/>
      <c r="AC1510" s="1684"/>
      <c r="AD1510" s="1684"/>
      <c r="AE1510" s="1684"/>
      <c r="AF1510" s="1684"/>
      <c r="AG1510" s="1684"/>
      <c r="AH1510" s="1684"/>
      <c r="AI1510" s="1684"/>
      <c r="AJ1510" s="1684"/>
      <c r="AK1510" s="1684"/>
      <c r="AL1510" s="1684"/>
      <c r="AM1510" s="1684"/>
      <c r="AN1510" s="1684"/>
      <c r="AO1510" s="1684"/>
      <c r="AP1510" s="1684"/>
      <c r="AQ1510" s="1684"/>
      <c r="AR1510" s="1684"/>
      <c r="AS1510" s="1684"/>
      <c r="AT1510" s="1684"/>
      <c r="AU1510" s="1684"/>
      <c r="AV1510" s="1684"/>
      <c r="AW1510" s="1684"/>
      <c r="AX1510" s="1684"/>
      <c r="AY1510" s="1684"/>
      <c r="AZ1510" s="1684"/>
      <c r="BA1510" s="1684"/>
      <c r="BB1510" s="1684"/>
      <c r="BC1510" s="1684"/>
      <c r="BD1510" s="1684"/>
      <c r="BE1510" s="1684"/>
      <c r="BF1510" s="1684"/>
      <c r="BG1510" s="1684"/>
      <c r="BH1510" s="1684"/>
      <c r="BI1510" s="1684"/>
      <c r="BJ1510" s="1684"/>
      <c r="BK1510" s="1684"/>
      <c r="BL1510" s="1684"/>
      <c r="BM1510" s="1684"/>
      <c r="BN1510" s="1684"/>
      <c r="BO1510" s="1684"/>
      <c r="BP1510" s="1684"/>
      <c r="BQ1510" s="1684"/>
      <c r="BR1510" s="1684"/>
      <c r="BS1510" s="1684"/>
      <c r="BT1510" s="1684"/>
      <c r="BU1510" s="1684"/>
      <c r="BV1510" s="1684"/>
      <c r="BW1510" s="1684"/>
      <c r="BX1510" s="1684"/>
      <c r="BY1510" s="1684"/>
      <c r="BZ1510" s="1684"/>
      <c r="CA1510" s="1684"/>
      <c r="CB1510" s="1684"/>
      <c r="CC1510" s="1684"/>
      <c r="CD1510" s="1684"/>
      <c r="CE1510" s="1684"/>
      <c r="CF1510" s="1684"/>
      <c r="CG1510" s="1684"/>
      <c r="CH1510" s="1684"/>
      <c r="CI1510" s="1684"/>
      <c r="CJ1510" s="1684"/>
      <c r="CK1510" s="1684"/>
      <c r="CL1510" s="1684"/>
      <c r="CM1510" s="1684"/>
      <c r="CN1510" s="1684"/>
      <c r="CO1510" s="1684"/>
    </row>
    <row r="1511" spans="1:93" s="1391" customFormat="1" ht="15" x14ac:dyDescent="0.2">
      <c r="A1511" s="1684"/>
      <c r="B1511" s="1684"/>
      <c r="C1511" s="4680"/>
      <c r="D1511" s="4681"/>
      <c r="E1511" s="4681"/>
      <c r="F1511" s="4681"/>
      <c r="G1511" s="4681"/>
      <c r="H1511" s="4681"/>
      <c r="I1511" s="4681"/>
      <c r="J1511" s="4681"/>
      <c r="K1511" s="4681"/>
      <c r="L1511" s="4681"/>
      <c r="M1511" s="4681"/>
      <c r="N1511" s="4681"/>
      <c r="O1511" s="4681"/>
      <c r="P1511" s="4681"/>
      <c r="Q1511" s="4682"/>
      <c r="R1511"/>
      <c r="S1511" s="1684"/>
      <c r="T1511" s="1684"/>
      <c r="U1511" s="1684"/>
      <c r="V1511" s="1684"/>
      <c r="W1511" s="1684"/>
      <c r="X1511" s="1684"/>
      <c r="Y1511" s="1684"/>
      <c r="Z1511" s="1684"/>
      <c r="AA1511" s="1684"/>
      <c r="AB1511" s="1684"/>
      <c r="AC1511" s="1684"/>
      <c r="AD1511" s="1684"/>
      <c r="AE1511" s="1684"/>
      <c r="AF1511" s="1684"/>
      <c r="AG1511" s="1684"/>
      <c r="AH1511" s="1684"/>
      <c r="AI1511" s="1684"/>
      <c r="AJ1511" s="1684"/>
      <c r="AK1511" s="1684"/>
      <c r="AL1511" s="1684"/>
      <c r="AM1511" s="1684"/>
      <c r="AN1511" s="1684"/>
      <c r="AO1511" s="1684"/>
      <c r="AP1511" s="1684"/>
      <c r="AQ1511" s="1684"/>
      <c r="AR1511" s="1684"/>
      <c r="AS1511" s="1684"/>
      <c r="AT1511" s="1684"/>
      <c r="AU1511" s="1684"/>
      <c r="AV1511" s="1684"/>
      <c r="AW1511" s="1684"/>
      <c r="AX1511" s="1684"/>
      <c r="AY1511" s="1684"/>
      <c r="AZ1511" s="1684"/>
      <c r="BA1511" s="1684"/>
      <c r="BB1511" s="1684"/>
      <c r="BC1511" s="1684"/>
      <c r="BD1511" s="1684"/>
      <c r="BE1511" s="1684"/>
      <c r="BF1511" s="1684"/>
      <c r="BG1511" s="1684"/>
      <c r="BH1511" s="1684"/>
      <c r="BI1511" s="1684"/>
      <c r="BJ1511" s="1684"/>
      <c r="BK1511" s="1684"/>
      <c r="BL1511" s="1684"/>
      <c r="BM1511" s="1684"/>
      <c r="BN1511" s="1684"/>
      <c r="BO1511" s="1684"/>
      <c r="BP1511" s="1684"/>
      <c r="BQ1511" s="1684"/>
      <c r="BR1511" s="1684"/>
      <c r="BS1511" s="1684"/>
      <c r="BT1511" s="1684"/>
      <c r="BU1511" s="1684"/>
      <c r="BV1511" s="1684"/>
      <c r="BW1511" s="1684"/>
      <c r="BX1511" s="1684"/>
      <c r="BY1511" s="1684"/>
      <c r="BZ1511" s="1684"/>
      <c r="CA1511" s="1684"/>
      <c r="CB1511" s="1684"/>
      <c r="CC1511" s="1684"/>
      <c r="CD1511" s="1684"/>
      <c r="CE1511" s="1684"/>
      <c r="CF1511" s="1684"/>
      <c r="CG1511" s="1684"/>
      <c r="CH1511" s="1684"/>
      <c r="CI1511" s="1684"/>
      <c r="CJ1511" s="1684"/>
      <c r="CK1511" s="1684"/>
      <c r="CL1511" s="1684"/>
      <c r="CM1511" s="1684"/>
      <c r="CN1511" s="1684"/>
      <c r="CO1511" s="1684"/>
    </row>
    <row r="1512" spans="1:93" s="1391" customFormat="1" ht="15" x14ac:dyDescent="0.2">
      <c r="A1512" s="1684"/>
      <c r="B1512" s="1684"/>
      <c r="C1512" s="2014"/>
      <c r="D1512" s="2015"/>
      <c r="E1512" s="2015">
        <v>1</v>
      </c>
      <c r="F1512" s="2015">
        <v>2</v>
      </c>
      <c r="G1512" s="2015">
        <v>3</v>
      </c>
      <c r="H1512" s="2015">
        <v>4</v>
      </c>
      <c r="I1512" s="2015">
        <v>5</v>
      </c>
      <c r="J1512" s="2015">
        <v>6</v>
      </c>
      <c r="K1512" s="2015">
        <v>7</v>
      </c>
      <c r="L1512" s="2015">
        <v>8</v>
      </c>
      <c r="M1512" s="2015">
        <v>9</v>
      </c>
      <c r="N1512" s="2015">
        <v>10</v>
      </c>
      <c r="O1512" s="2015">
        <v>11</v>
      </c>
      <c r="P1512" s="2015">
        <v>12</v>
      </c>
      <c r="Q1512" s="2016"/>
      <c r="R1512"/>
      <c r="S1512" s="1684"/>
      <c r="T1512" s="1684"/>
      <c r="U1512" s="1684"/>
      <c r="V1512" s="1684"/>
      <c r="W1512" s="1684"/>
      <c r="X1512" s="1684"/>
      <c r="Y1512" s="1684"/>
      <c r="Z1512" s="1684"/>
      <c r="AA1512" s="1684"/>
      <c r="AB1512" s="1684"/>
      <c r="AC1512" s="1684"/>
      <c r="AD1512" s="1684"/>
      <c r="AE1512" s="1684"/>
      <c r="AF1512" s="1684"/>
      <c r="AG1512" s="1684"/>
      <c r="AH1512" s="1684"/>
      <c r="AI1512" s="1684"/>
      <c r="AJ1512" s="1684"/>
      <c r="AK1512" s="1684"/>
      <c r="AL1512" s="1684"/>
      <c r="AM1512" s="1684"/>
      <c r="AN1512" s="1684"/>
      <c r="AO1512" s="1684"/>
      <c r="AP1512" s="1684"/>
      <c r="AQ1512" s="1684"/>
      <c r="AR1512" s="1684"/>
      <c r="AS1512" s="1684"/>
      <c r="AT1512" s="1684"/>
      <c r="AU1512" s="1684"/>
      <c r="AV1512" s="1684"/>
      <c r="AW1512" s="1684"/>
      <c r="AX1512" s="1684"/>
      <c r="AY1512" s="1684"/>
      <c r="AZ1512" s="1684"/>
      <c r="BA1512" s="1684"/>
      <c r="BB1512" s="1684"/>
      <c r="BC1512" s="1684"/>
      <c r="BD1512" s="1684"/>
      <c r="BE1512" s="1684"/>
      <c r="BF1512" s="1684"/>
      <c r="BG1512" s="1684"/>
      <c r="BH1512" s="1684"/>
      <c r="BI1512" s="1684"/>
      <c r="BJ1512" s="1684"/>
      <c r="BK1512" s="1684"/>
      <c r="BL1512" s="1684"/>
      <c r="BM1512" s="1684"/>
      <c r="BN1512" s="1684"/>
      <c r="BO1512" s="1684"/>
      <c r="BP1512" s="1684"/>
      <c r="BQ1512" s="1684"/>
      <c r="BR1512" s="1684"/>
      <c r="BS1512" s="1684"/>
      <c r="BT1512" s="1684"/>
      <c r="BU1512" s="1684"/>
      <c r="BV1512" s="1684"/>
      <c r="BW1512" s="1684"/>
      <c r="BX1512" s="1684"/>
      <c r="BY1512" s="1684"/>
      <c r="BZ1512" s="1684"/>
      <c r="CA1512" s="1684"/>
      <c r="CB1512" s="1684"/>
      <c r="CC1512" s="1684"/>
      <c r="CD1512" s="1684"/>
      <c r="CE1512" s="1684"/>
      <c r="CF1512" s="1684"/>
      <c r="CG1512" s="1684"/>
      <c r="CH1512" s="1684"/>
      <c r="CI1512" s="1684"/>
      <c r="CJ1512" s="1684"/>
      <c r="CK1512" s="1684"/>
      <c r="CL1512" s="1684"/>
      <c r="CM1512" s="1684"/>
      <c r="CN1512" s="1684"/>
      <c r="CO1512" s="1684"/>
    </row>
    <row r="1513" spans="1:93" s="1391" customFormat="1" ht="15" x14ac:dyDescent="0.2">
      <c r="A1513" s="1684"/>
      <c r="B1513" s="1684"/>
      <c r="C1513" s="2013">
        <v>8</v>
      </c>
      <c r="D1513" s="5">
        <v>5.5389999999999997</v>
      </c>
      <c r="E1513" s="5">
        <v>147</v>
      </c>
      <c r="F1513" s="5">
        <v>162</v>
      </c>
      <c r="G1513" s="5">
        <v>177</v>
      </c>
      <c r="H1513" s="5">
        <v>191</v>
      </c>
      <c r="I1513" s="5">
        <v>206</v>
      </c>
      <c r="J1513" s="5">
        <v>220</v>
      </c>
      <c r="K1513" s="5">
        <v>234</v>
      </c>
      <c r="L1513" s="5">
        <v>248</v>
      </c>
      <c r="M1513" s="5">
        <v>261</v>
      </c>
      <c r="N1513" s="5">
        <v>275</v>
      </c>
      <c r="O1513" s="5">
        <v>289</v>
      </c>
      <c r="P1513" s="5">
        <v>302</v>
      </c>
      <c r="Q1513" s="1160">
        <v>67</v>
      </c>
      <c r="R1513"/>
      <c r="S1513" s="1684"/>
      <c r="T1513" s="1684"/>
      <c r="U1513" s="1684"/>
      <c r="V1513" s="1684"/>
      <c r="W1513" s="1684"/>
      <c r="X1513" s="1684"/>
      <c r="Y1513" s="1684"/>
      <c r="Z1513" s="1684"/>
      <c r="AA1513" s="1684"/>
      <c r="AB1513" s="1684"/>
      <c r="AC1513" s="1684"/>
      <c r="AD1513" s="1684"/>
      <c r="AE1513" s="1684"/>
      <c r="AF1513" s="1684"/>
      <c r="AG1513" s="1684"/>
      <c r="AH1513" s="1684"/>
      <c r="AI1513" s="1684"/>
      <c r="AJ1513" s="1684"/>
      <c r="AK1513" s="1684"/>
      <c r="AL1513" s="1684"/>
      <c r="AM1513" s="1684"/>
      <c r="AN1513" s="1684"/>
      <c r="AO1513" s="1684"/>
      <c r="AP1513" s="1684"/>
      <c r="AQ1513" s="1684"/>
      <c r="AR1513" s="1684"/>
      <c r="AS1513" s="1684"/>
      <c r="AT1513" s="1684"/>
      <c r="AU1513" s="1684"/>
      <c r="AV1513" s="1684"/>
      <c r="AW1513" s="1684"/>
      <c r="AX1513" s="1684"/>
      <c r="AY1513" s="1684"/>
      <c r="AZ1513" s="1684"/>
      <c r="BA1513" s="1684"/>
      <c r="BB1513" s="1684"/>
      <c r="BC1513" s="1684"/>
      <c r="BD1513" s="1684"/>
      <c r="BE1513" s="1684"/>
      <c r="BF1513" s="1684"/>
      <c r="BG1513" s="1684"/>
      <c r="BH1513" s="1684"/>
      <c r="BI1513" s="1684"/>
      <c r="BJ1513" s="1684"/>
      <c r="BK1513" s="1684"/>
      <c r="BL1513" s="1684"/>
      <c r="BM1513" s="1684"/>
      <c r="BN1513" s="1684"/>
      <c r="BO1513" s="1684"/>
      <c r="BP1513" s="1684"/>
      <c r="BQ1513" s="1684"/>
      <c r="BR1513" s="1684"/>
      <c r="BS1513" s="1684"/>
      <c r="BT1513" s="1684"/>
      <c r="BU1513" s="1684"/>
      <c r="BV1513" s="1684"/>
      <c r="BW1513" s="1684"/>
      <c r="BX1513" s="1684"/>
      <c r="BY1513" s="1684"/>
      <c r="BZ1513" s="1684"/>
      <c r="CA1513" s="1684"/>
      <c r="CB1513" s="1684"/>
      <c r="CC1513" s="1684"/>
      <c r="CD1513" s="1684"/>
      <c r="CE1513" s="1684"/>
      <c r="CF1513" s="1684"/>
      <c r="CG1513" s="1684"/>
      <c r="CH1513" s="1684"/>
      <c r="CI1513" s="1684"/>
      <c r="CJ1513" s="1684"/>
      <c r="CK1513" s="1684"/>
      <c r="CL1513" s="1684"/>
      <c r="CM1513" s="1684"/>
      <c r="CN1513" s="1684"/>
      <c r="CO1513" s="1684"/>
    </row>
    <row r="1514" spans="1:93" s="1391" customFormat="1" ht="15" x14ac:dyDescent="0.2">
      <c r="A1514" s="1684"/>
      <c r="B1514" s="1684"/>
      <c r="C1514" s="2013">
        <v>9</v>
      </c>
      <c r="D1514" s="5">
        <v>5.9109999999999996</v>
      </c>
      <c r="E1514" s="5">
        <v>162</v>
      </c>
      <c r="F1514" s="5">
        <v>181</v>
      </c>
      <c r="G1514" s="5">
        <v>195</v>
      </c>
      <c r="H1514" s="5">
        <v>211</v>
      </c>
      <c r="I1514" s="5">
        <v>227</v>
      </c>
      <c r="J1514" s="5">
        <v>242</v>
      </c>
      <c r="K1514" s="5">
        <v>257</v>
      </c>
      <c r="L1514" s="5">
        <v>273</v>
      </c>
      <c r="M1514" s="5">
        <v>288</v>
      </c>
      <c r="N1514" s="5">
        <v>303</v>
      </c>
      <c r="O1514" s="5">
        <v>317</v>
      </c>
      <c r="P1514" s="5">
        <v>332</v>
      </c>
      <c r="Q1514" s="1160">
        <v>68</v>
      </c>
      <c r="R1514"/>
      <c r="S1514" s="1684"/>
      <c r="T1514" s="1684"/>
      <c r="U1514" s="1684"/>
      <c r="V1514" s="1684"/>
      <c r="W1514" s="1684"/>
      <c r="X1514" s="1684"/>
      <c r="Y1514" s="1684"/>
      <c r="Z1514" s="1684"/>
      <c r="AA1514" s="1684"/>
      <c r="AB1514" s="1684"/>
      <c r="AC1514" s="1684"/>
      <c r="AD1514" s="1684"/>
      <c r="AE1514" s="1684"/>
      <c r="AF1514" s="1684"/>
      <c r="AG1514" s="1684"/>
      <c r="AH1514" s="1684"/>
      <c r="AI1514" s="1684"/>
      <c r="AJ1514" s="1684"/>
      <c r="AK1514" s="1684"/>
      <c r="AL1514" s="1684"/>
      <c r="AM1514" s="1684"/>
      <c r="AN1514" s="1684"/>
      <c r="AO1514" s="1684"/>
      <c r="AP1514" s="1684"/>
      <c r="AQ1514" s="1684"/>
      <c r="AR1514" s="1684"/>
      <c r="AS1514" s="1684"/>
      <c r="AT1514" s="1684"/>
      <c r="AU1514" s="1684"/>
      <c r="AV1514" s="1684"/>
      <c r="AW1514" s="1684"/>
      <c r="AX1514" s="1684"/>
      <c r="AY1514" s="1684"/>
      <c r="AZ1514" s="1684"/>
      <c r="BA1514" s="1684"/>
      <c r="BB1514" s="1684"/>
      <c r="BC1514" s="1684"/>
      <c r="BD1514" s="1684"/>
      <c r="BE1514" s="1684"/>
      <c r="BF1514" s="1684"/>
      <c r="BG1514" s="1684"/>
      <c r="BH1514" s="1684"/>
      <c r="BI1514" s="1684"/>
      <c r="BJ1514" s="1684"/>
      <c r="BK1514" s="1684"/>
      <c r="BL1514" s="1684"/>
      <c r="BM1514" s="1684"/>
      <c r="BN1514" s="1684"/>
      <c r="BO1514" s="1684"/>
      <c r="BP1514" s="1684"/>
      <c r="BQ1514" s="1684"/>
      <c r="BR1514" s="1684"/>
      <c r="BS1514" s="1684"/>
      <c r="BT1514" s="1684"/>
      <c r="BU1514" s="1684"/>
      <c r="BV1514" s="1684"/>
      <c r="BW1514" s="1684"/>
      <c r="BX1514" s="1684"/>
      <c r="BY1514" s="1684"/>
      <c r="BZ1514" s="1684"/>
      <c r="CA1514" s="1684"/>
      <c r="CB1514" s="1684"/>
      <c r="CC1514" s="1684"/>
      <c r="CD1514" s="1684"/>
      <c r="CE1514" s="1684"/>
      <c r="CF1514" s="1684"/>
      <c r="CG1514" s="1684"/>
      <c r="CH1514" s="1684"/>
      <c r="CI1514" s="1684"/>
      <c r="CJ1514" s="1684"/>
      <c r="CK1514" s="1684"/>
      <c r="CL1514" s="1684"/>
      <c r="CM1514" s="1684"/>
      <c r="CN1514" s="1684"/>
      <c r="CO1514" s="1684"/>
    </row>
    <row r="1515" spans="1:93" s="1391" customFormat="1" ht="15" x14ac:dyDescent="0.2">
      <c r="A1515" s="1684"/>
      <c r="B1515" s="1684"/>
      <c r="C1515" s="2013">
        <v>10</v>
      </c>
      <c r="D1515" s="5">
        <v>6.3079999999999998</v>
      </c>
      <c r="E1515" s="5">
        <v>178</v>
      </c>
      <c r="F1515" s="5">
        <v>197</v>
      </c>
      <c r="G1515" s="5">
        <v>214</v>
      </c>
      <c r="H1515" s="5">
        <v>232</v>
      </c>
      <c r="I1515" s="5">
        <v>249</v>
      </c>
      <c r="J1515" s="5">
        <v>266</v>
      </c>
      <c r="K1515" s="5">
        <v>282</v>
      </c>
      <c r="L1515" s="5">
        <v>300</v>
      </c>
      <c r="M1515" s="5">
        <v>315</v>
      </c>
      <c r="N1515" s="5">
        <v>331</v>
      </c>
      <c r="O1515" s="5">
        <v>347</v>
      </c>
      <c r="P1515" s="5">
        <v>363</v>
      </c>
      <c r="Q1515" s="1160">
        <v>69</v>
      </c>
      <c r="R1515"/>
      <c r="S1515" s="1684"/>
      <c r="T1515" s="1684"/>
      <c r="U1515" s="1684"/>
      <c r="V1515" s="1684"/>
      <c r="W1515" s="1684"/>
      <c r="X1515" s="1684"/>
      <c r="Y1515" s="1684"/>
      <c r="Z1515" s="1684"/>
      <c r="AA1515" s="1684"/>
      <c r="AB1515" s="1684"/>
      <c r="AC1515" s="1684"/>
      <c r="AD1515" s="1684"/>
      <c r="AE1515" s="1684"/>
      <c r="AF1515" s="1684"/>
      <c r="AG1515" s="1684"/>
      <c r="AH1515" s="1684"/>
      <c r="AI1515" s="1684"/>
      <c r="AJ1515" s="1684"/>
      <c r="AK1515" s="1684"/>
      <c r="AL1515" s="1684"/>
      <c r="AM1515" s="1684"/>
      <c r="AN1515" s="1684"/>
      <c r="AO1515" s="1684"/>
      <c r="AP1515" s="1684"/>
      <c r="AQ1515" s="1684"/>
      <c r="AR1515" s="1684"/>
      <c r="AS1515" s="1684"/>
      <c r="AT1515" s="1684"/>
      <c r="AU1515" s="1684"/>
      <c r="AV1515" s="1684"/>
      <c r="AW1515" s="1684"/>
      <c r="AX1515" s="1684"/>
      <c r="AY1515" s="1684"/>
      <c r="AZ1515" s="1684"/>
      <c r="BA1515" s="1684"/>
      <c r="BB1515" s="1684"/>
      <c r="BC1515" s="1684"/>
      <c r="BD1515" s="1684"/>
      <c r="BE1515" s="1684"/>
      <c r="BF1515" s="1684"/>
      <c r="BG1515" s="1684"/>
      <c r="BH1515" s="1684"/>
      <c r="BI1515" s="1684"/>
      <c r="BJ1515" s="1684"/>
      <c r="BK1515" s="1684"/>
      <c r="BL1515" s="1684"/>
      <c r="BM1515" s="1684"/>
      <c r="BN1515" s="1684"/>
      <c r="BO1515" s="1684"/>
      <c r="BP1515" s="1684"/>
      <c r="BQ1515" s="1684"/>
      <c r="BR1515" s="1684"/>
      <c r="BS1515" s="1684"/>
      <c r="BT1515" s="1684"/>
      <c r="BU1515" s="1684"/>
      <c r="BV1515" s="1684"/>
      <c r="BW1515" s="1684"/>
      <c r="BX1515" s="1684"/>
      <c r="BY1515" s="1684"/>
      <c r="BZ1515" s="1684"/>
      <c r="CA1515" s="1684"/>
      <c r="CB1515" s="1684"/>
      <c r="CC1515" s="1684"/>
      <c r="CD1515" s="1684"/>
      <c r="CE1515" s="1684"/>
      <c r="CF1515" s="1684"/>
      <c r="CG1515" s="1684"/>
      <c r="CH1515" s="1684"/>
      <c r="CI1515" s="1684"/>
      <c r="CJ1515" s="1684"/>
      <c r="CK1515" s="1684"/>
      <c r="CL1515" s="1684"/>
      <c r="CM1515" s="1684"/>
      <c r="CN1515" s="1684"/>
      <c r="CO1515" s="1684"/>
    </row>
    <row r="1516" spans="1:93" s="1391" customFormat="1" ht="15" x14ac:dyDescent="0.2">
      <c r="A1516" s="1684"/>
      <c r="B1516" s="1684"/>
      <c r="C1516" s="2013">
        <v>11</v>
      </c>
      <c r="D1516" s="5">
        <v>6.7609000000000004</v>
      </c>
      <c r="E1516" s="5">
        <v>196</v>
      </c>
      <c r="F1516" s="5">
        <v>217</v>
      </c>
      <c r="G1516" s="5">
        <v>236</v>
      </c>
      <c r="H1516" s="5">
        <v>255</v>
      </c>
      <c r="I1516" s="5">
        <v>273</v>
      </c>
      <c r="J1516" s="5">
        <v>292</v>
      </c>
      <c r="K1516" s="5">
        <v>310</v>
      </c>
      <c r="L1516" s="5">
        <v>329</v>
      </c>
      <c r="M1516" s="5">
        <v>345</v>
      </c>
      <c r="N1516" s="5">
        <v>363</v>
      </c>
      <c r="O1516" s="5">
        <v>380</v>
      </c>
      <c r="P1516" s="5">
        <v>397</v>
      </c>
      <c r="Q1516" s="1160">
        <v>70</v>
      </c>
      <c r="R1516"/>
      <c r="S1516" s="1684"/>
      <c r="T1516" s="1684"/>
      <c r="U1516" s="1684"/>
      <c r="V1516" s="1684"/>
      <c r="W1516" s="1684"/>
      <c r="X1516" s="1684"/>
      <c r="Y1516" s="1684"/>
      <c r="Z1516" s="1684"/>
      <c r="AA1516" s="1684"/>
      <c r="AB1516" s="1684"/>
      <c r="AC1516" s="1684"/>
      <c r="AD1516" s="1684"/>
      <c r="AE1516" s="1684"/>
      <c r="AF1516" s="1684"/>
      <c r="AG1516" s="1684"/>
      <c r="AH1516" s="1684"/>
      <c r="AI1516" s="1684"/>
      <c r="AJ1516" s="1684"/>
      <c r="AK1516" s="1684"/>
      <c r="AL1516" s="1684"/>
      <c r="AM1516" s="1684"/>
      <c r="AN1516" s="1684"/>
      <c r="AO1516" s="1684"/>
      <c r="AP1516" s="1684"/>
      <c r="AQ1516" s="1684"/>
      <c r="AR1516" s="1684"/>
      <c r="AS1516" s="1684"/>
      <c r="AT1516" s="1684"/>
      <c r="AU1516" s="1684"/>
      <c r="AV1516" s="1684"/>
      <c r="AW1516" s="1684"/>
      <c r="AX1516" s="1684"/>
      <c r="AY1516" s="1684"/>
      <c r="AZ1516" s="1684"/>
      <c r="BA1516" s="1684"/>
      <c r="BB1516" s="1684"/>
      <c r="BC1516" s="1684"/>
      <c r="BD1516" s="1684"/>
      <c r="BE1516" s="1684"/>
      <c r="BF1516" s="1684"/>
      <c r="BG1516" s="1684"/>
      <c r="BH1516" s="1684"/>
      <c r="BI1516" s="1684"/>
      <c r="BJ1516" s="1684"/>
      <c r="BK1516" s="1684"/>
      <c r="BL1516" s="1684"/>
      <c r="BM1516" s="1684"/>
      <c r="BN1516" s="1684"/>
      <c r="BO1516" s="1684"/>
      <c r="BP1516" s="1684"/>
      <c r="BQ1516" s="1684"/>
      <c r="BR1516" s="1684"/>
      <c r="BS1516" s="1684"/>
      <c r="BT1516" s="1684"/>
      <c r="BU1516" s="1684"/>
      <c r="BV1516" s="1684"/>
      <c r="BW1516" s="1684"/>
      <c r="BX1516" s="1684"/>
      <c r="BY1516" s="1684"/>
      <c r="BZ1516" s="1684"/>
      <c r="CA1516" s="1684"/>
      <c r="CB1516" s="1684"/>
      <c r="CC1516" s="1684"/>
      <c r="CD1516" s="1684"/>
      <c r="CE1516" s="1684"/>
      <c r="CF1516" s="1684"/>
      <c r="CG1516" s="1684"/>
      <c r="CH1516" s="1684"/>
      <c r="CI1516" s="1684"/>
      <c r="CJ1516" s="1684"/>
      <c r="CK1516" s="1684"/>
      <c r="CL1516" s="1684"/>
      <c r="CM1516" s="1684"/>
      <c r="CN1516" s="1684"/>
      <c r="CO1516" s="1684"/>
    </row>
    <row r="1517" spans="1:93" s="1391" customFormat="1" ht="15" x14ac:dyDescent="0.2">
      <c r="A1517" s="1684"/>
      <c r="B1517" s="1684"/>
      <c r="C1517" s="2013">
        <v>12</v>
      </c>
      <c r="D1517" s="5">
        <v>7.24</v>
      </c>
      <c r="E1517" s="5">
        <v>215</v>
      </c>
      <c r="F1517" s="5">
        <v>237</v>
      </c>
      <c r="G1517" s="5">
        <v>258</v>
      </c>
      <c r="H1517" s="5">
        <v>278</v>
      </c>
      <c r="I1517" s="5">
        <v>299</v>
      </c>
      <c r="J1517" s="5">
        <v>318</v>
      </c>
      <c r="K1517" s="5">
        <v>338</v>
      </c>
      <c r="L1517" s="5">
        <v>359</v>
      </c>
      <c r="M1517" s="5">
        <v>377</v>
      </c>
      <c r="N1517" s="5">
        <v>396</v>
      </c>
      <c r="O1517" s="5">
        <v>414</v>
      </c>
      <c r="P1517" s="5">
        <v>433</v>
      </c>
      <c r="Q1517" s="1160">
        <v>71</v>
      </c>
      <c r="R1517"/>
      <c r="S1517" s="1684"/>
      <c r="T1517" s="1684"/>
      <c r="U1517" s="1684"/>
      <c r="V1517" s="1684"/>
      <c r="W1517" s="1684"/>
      <c r="X1517" s="1684"/>
      <c r="Y1517" s="1684"/>
      <c r="Z1517" s="1684"/>
      <c r="AA1517" s="1684"/>
      <c r="AB1517" s="1684"/>
      <c r="AC1517" s="1684"/>
      <c r="AD1517" s="1684"/>
      <c r="AE1517" s="1684"/>
      <c r="AF1517" s="1684"/>
      <c r="AG1517" s="1684"/>
      <c r="AH1517" s="1684"/>
      <c r="AI1517" s="1684"/>
      <c r="AJ1517" s="1684"/>
      <c r="AK1517" s="1684"/>
      <c r="AL1517" s="1684"/>
      <c r="AM1517" s="1684"/>
      <c r="AN1517" s="1684"/>
      <c r="AO1517" s="1684"/>
      <c r="AP1517" s="1684"/>
      <c r="AQ1517" s="1684"/>
      <c r="AR1517" s="1684"/>
      <c r="AS1517" s="1684"/>
      <c r="AT1517" s="1684"/>
      <c r="AU1517" s="1684"/>
      <c r="AV1517" s="1684"/>
      <c r="AW1517" s="1684"/>
      <c r="AX1517" s="1684"/>
      <c r="AY1517" s="1684"/>
      <c r="AZ1517" s="1684"/>
      <c r="BA1517" s="1684"/>
      <c r="BB1517" s="1684"/>
      <c r="BC1517" s="1684"/>
      <c r="BD1517" s="1684"/>
      <c r="BE1517" s="1684"/>
      <c r="BF1517" s="1684"/>
      <c r="BG1517" s="1684"/>
      <c r="BH1517" s="1684"/>
      <c r="BI1517" s="1684"/>
      <c r="BJ1517" s="1684"/>
      <c r="BK1517" s="1684"/>
      <c r="BL1517" s="1684"/>
      <c r="BM1517" s="1684"/>
      <c r="BN1517" s="1684"/>
      <c r="BO1517" s="1684"/>
      <c r="BP1517" s="1684"/>
      <c r="BQ1517" s="1684"/>
      <c r="BR1517" s="1684"/>
      <c r="BS1517" s="1684"/>
      <c r="BT1517" s="1684"/>
      <c r="BU1517" s="1684"/>
      <c r="BV1517" s="1684"/>
      <c r="BW1517" s="1684"/>
      <c r="BX1517" s="1684"/>
      <c r="BY1517" s="1684"/>
      <c r="BZ1517" s="1684"/>
      <c r="CA1517" s="1684"/>
      <c r="CB1517" s="1684"/>
      <c r="CC1517" s="1684"/>
      <c r="CD1517" s="1684"/>
      <c r="CE1517" s="1684"/>
      <c r="CF1517" s="1684"/>
      <c r="CG1517" s="1684"/>
      <c r="CH1517" s="1684"/>
      <c r="CI1517" s="1684"/>
      <c r="CJ1517" s="1684"/>
      <c r="CK1517" s="1684"/>
      <c r="CL1517" s="1684"/>
      <c r="CM1517" s="1684"/>
      <c r="CN1517" s="1684"/>
      <c r="CO1517" s="1684"/>
    </row>
    <row r="1518" spans="1:93" s="1391" customFormat="1" ht="15" x14ac:dyDescent="0.2">
      <c r="A1518" s="1684"/>
      <c r="B1518" s="1684"/>
      <c r="C1518" s="2013">
        <v>13</v>
      </c>
      <c r="D1518" s="5">
        <v>7.7569999999999997</v>
      </c>
      <c r="E1518" s="5">
        <v>234</v>
      </c>
      <c r="F1518" s="5">
        <v>256</v>
      </c>
      <c r="G1518" s="5">
        <v>280</v>
      </c>
      <c r="H1518" s="5">
        <v>303</v>
      </c>
      <c r="I1518" s="5">
        <v>324</v>
      </c>
      <c r="J1518" s="5">
        <v>346</v>
      </c>
      <c r="K1518" s="5">
        <v>367</v>
      </c>
      <c r="L1518" s="5">
        <v>389</v>
      </c>
      <c r="M1518" s="5">
        <v>408</v>
      </c>
      <c r="N1518" s="5">
        <v>429</v>
      </c>
      <c r="O1518" s="5">
        <v>449</v>
      </c>
      <c r="P1518" s="5">
        <v>468</v>
      </c>
      <c r="Q1518" s="1160">
        <v>72</v>
      </c>
      <c r="R1518"/>
      <c r="S1518" s="1684"/>
      <c r="T1518" s="1684"/>
      <c r="U1518" s="1684"/>
      <c r="V1518" s="1684"/>
      <c r="W1518" s="1684"/>
      <c r="X1518" s="1684"/>
      <c r="Y1518" s="1684"/>
      <c r="Z1518" s="1684"/>
      <c r="AA1518" s="1684"/>
      <c r="AB1518" s="1684"/>
      <c r="AC1518" s="1684"/>
      <c r="AD1518" s="1684"/>
      <c r="AE1518" s="1684"/>
      <c r="AF1518" s="1684"/>
      <c r="AG1518" s="1684"/>
      <c r="AH1518" s="1684"/>
      <c r="AI1518" s="1684"/>
      <c r="AJ1518" s="1684"/>
      <c r="AK1518" s="1684"/>
      <c r="AL1518" s="1684"/>
      <c r="AM1518" s="1684"/>
      <c r="AN1518" s="1684"/>
      <c r="AO1518" s="1684"/>
      <c r="AP1518" s="1684"/>
      <c r="AQ1518" s="1684"/>
      <c r="AR1518" s="1684"/>
      <c r="AS1518" s="1684"/>
      <c r="AT1518" s="1684"/>
      <c r="AU1518" s="1684"/>
      <c r="AV1518" s="1684"/>
      <c r="AW1518" s="1684"/>
      <c r="AX1518" s="1684"/>
      <c r="AY1518" s="1684"/>
      <c r="AZ1518" s="1684"/>
      <c r="BA1518" s="1684"/>
      <c r="BB1518" s="1684"/>
      <c r="BC1518" s="1684"/>
      <c r="BD1518" s="1684"/>
      <c r="BE1518" s="1684"/>
      <c r="BF1518" s="1684"/>
      <c r="BG1518" s="1684"/>
      <c r="BH1518" s="1684"/>
      <c r="BI1518" s="1684"/>
      <c r="BJ1518" s="1684"/>
      <c r="BK1518" s="1684"/>
      <c r="BL1518" s="1684"/>
      <c r="BM1518" s="1684"/>
      <c r="BN1518" s="1684"/>
      <c r="BO1518" s="1684"/>
      <c r="BP1518" s="1684"/>
      <c r="BQ1518" s="1684"/>
      <c r="BR1518" s="1684"/>
      <c r="BS1518" s="1684"/>
      <c r="BT1518" s="1684"/>
      <c r="BU1518" s="1684"/>
      <c r="BV1518" s="1684"/>
      <c r="BW1518" s="1684"/>
      <c r="BX1518" s="1684"/>
      <c r="BY1518" s="1684"/>
      <c r="BZ1518" s="1684"/>
      <c r="CA1518" s="1684"/>
      <c r="CB1518" s="1684"/>
      <c r="CC1518" s="1684"/>
      <c r="CD1518" s="1684"/>
      <c r="CE1518" s="1684"/>
      <c r="CF1518" s="1684"/>
      <c r="CG1518" s="1684"/>
      <c r="CH1518" s="1684"/>
      <c r="CI1518" s="1684"/>
      <c r="CJ1518" s="1684"/>
      <c r="CK1518" s="1684"/>
      <c r="CL1518" s="1684"/>
      <c r="CM1518" s="1684"/>
      <c r="CN1518" s="1684"/>
      <c r="CO1518" s="1684"/>
    </row>
    <row r="1519" spans="1:93" s="1391" customFormat="1" ht="15" x14ac:dyDescent="0.2">
      <c r="A1519" s="1684"/>
      <c r="B1519" s="1684"/>
      <c r="C1519" s="2013">
        <v>14</v>
      </c>
      <c r="D1519" s="5">
        <v>8.27</v>
      </c>
      <c r="E1519" s="5">
        <v>254</v>
      </c>
      <c r="F1519" s="5">
        <v>280</v>
      </c>
      <c r="G1519" s="5">
        <v>304</v>
      </c>
      <c r="H1519" s="5">
        <v>328</v>
      </c>
      <c r="I1519" s="5">
        <v>351</v>
      </c>
      <c r="J1519" s="5">
        <v>374</v>
      </c>
      <c r="K1519" s="5">
        <v>397</v>
      </c>
      <c r="L1519" s="5">
        <v>420</v>
      </c>
      <c r="M1519" s="5">
        <v>441</v>
      </c>
      <c r="N1519" s="5">
        <v>463</v>
      </c>
      <c r="O1519" s="5">
        <v>484</v>
      </c>
      <c r="P1519" s="5">
        <v>505</v>
      </c>
      <c r="Q1519" s="1160">
        <v>73</v>
      </c>
      <c r="R1519"/>
      <c r="S1519" s="1684"/>
      <c r="T1519" s="1684"/>
      <c r="U1519" s="1684"/>
      <c r="V1519" s="1684"/>
      <c r="W1519" s="1684"/>
      <c r="X1519" s="1684"/>
      <c r="Y1519" s="1684"/>
      <c r="Z1519" s="1684"/>
      <c r="AA1519" s="1684"/>
      <c r="AB1519" s="1684"/>
      <c r="AC1519" s="1684"/>
      <c r="AD1519" s="1684"/>
      <c r="AE1519" s="1684"/>
      <c r="AF1519" s="1684"/>
      <c r="AG1519" s="1684"/>
      <c r="AH1519" s="1684"/>
      <c r="AI1519" s="1684"/>
      <c r="AJ1519" s="1684"/>
      <c r="AK1519" s="1684"/>
      <c r="AL1519" s="1684"/>
      <c r="AM1519" s="1684"/>
      <c r="AN1519" s="1684"/>
      <c r="AO1519" s="1684"/>
      <c r="AP1519" s="1684"/>
      <c r="AQ1519" s="1684"/>
      <c r="AR1519" s="1684"/>
      <c r="AS1519" s="1684"/>
      <c r="AT1519" s="1684"/>
      <c r="AU1519" s="1684"/>
      <c r="AV1519" s="1684"/>
      <c r="AW1519" s="1684"/>
      <c r="AX1519" s="1684"/>
      <c r="AY1519" s="1684"/>
      <c r="AZ1519" s="1684"/>
      <c r="BA1519" s="1684"/>
      <c r="BB1519" s="1684"/>
      <c r="BC1519" s="1684"/>
      <c r="BD1519" s="1684"/>
      <c r="BE1519" s="1684"/>
      <c r="BF1519" s="1684"/>
      <c r="BG1519" s="1684"/>
      <c r="BH1519" s="1684"/>
      <c r="BI1519" s="1684"/>
      <c r="BJ1519" s="1684"/>
      <c r="BK1519" s="1684"/>
      <c r="BL1519" s="1684"/>
      <c r="BM1519" s="1684"/>
      <c r="BN1519" s="1684"/>
      <c r="BO1519" s="1684"/>
      <c r="BP1519" s="1684"/>
      <c r="BQ1519" s="1684"/>
      <c r="BR1519" s="1684"/>
      <c r="BS1519" s="1684"/>
      <c r="BT1519" s="1684"/>
      <c r="BU1519" s="1684"/>
      <c r="BV1519" s="1684"/>
      <c r="BW1519" s="1684"/>
      <c r="BX1519" s="1684"/>
      <c r="BY1519" s="1684"/>
      <c r="BZ1519" s="1684"/>
      <c r="CA1519" s="1684"/>
      <c r="CB1519" s="1684"/>
      <c r="CC1519" s="1684"/>
      <c r="CD1519" s="1684"/>
      <c r="CE1519" s="1684"/>
      <c r="CF1519" s="1684"/>
      <c r="CG1519" s="1684"/>
      <c r="CH1519" s="1684"/>
      <c r="CI1519" s="1684"/>
      <c r="CJ1519" s="1684"/>
      <c r="CK1519" s="1684"/>
      <c r="CL1519" s="1684"/>
      <c r="CM1519" s="1684"/>
      <c r="CN1519" s="1684"/>
      <c r="CO1519" s="1684"/>
    </row>
    <row r="1520" spans="1:93" s="1391" customFormat="1" ht="15" x14ac:dyDescent="0.2">
      <c r="A1520" s="1684"/>
      <c r="B1520" s="1684"/>
      <c r="C1520" s="2013">
        <v>15</v>
      </c>
      <c r="D1520" s="5">
        <v>8.8290000000000006</v>
      </c>
      <c r="E1520" s="5">
        <v>275</v>
      </c>
      <c r="F1520" s="5">
        <v>302</v>
      </c>
      <c r="G1520" s="5">
        <v>328</v>
      </c>
      <c r="H1520" s="5">
        <v>354</v>
      </c>
      <c r="I1520" s="5">
        <v>379</v>
      </c>
      <c r="J1520" s="5">
        <v>403</v>
      </c>
      <c r="K1520" s="5">
        <v>427</v>
      </c>
      <c r="L1520" s="5">
        <v>452</v>
      </c>
      <c r="M1520" s="5">
        <v>473</v>
      </c>
      <c r="N1520" s="5">
        <v>498</v>
      </c>
      <c r="O1520" s="5">
        <v>520</v>
      </c>
      <c r="P1520" s="5">
        <v>543</v>
      </c>
      <c r="Q1520" s="1160">
        <v>74</v>
      </c>
      <c r="R1520"/>
      <c r="S1520" s="1684"/>
      <c r="T1520" s="1684"/>
      <c r="U1520" s="1684"/>
      <c r="V1520" s="1684"/>
      <c r="W1520" s="1684"/>
      <c r="X1520" s="1684"/>
      <c r="Y1520" s="1684"/>
      <c r="Z1520" s="1684"/>
      <c r="AA1520" s="1684"/>
      <c r="AB1520" s="1684"/>
      <c r="AC1520" s="1684"/>
      <c r="AD1520" s="1684"/>
      <c r="AE1520" s="1684"/>
      <c r="AF1520" s="1684"/>
      <c r="AG1520" s="1684"/>
      <c r="AH1520" s="1684"/>
      <c r="AI1520" s="1684"/>
      <c r="AJ1520" s="1684"/>
      <c r="AK1520" s="1684"/>
      <c r="AL1520" s="1684"/>
      <c r="AM1520" s="1684"/>
      <c r="AN1520" s="1684"/>
      <c r="AO1520" s="1684"/>
      <c r="AP1520" s="1684"/>
      <c r="AQ1520" s="1684"/>
      <c r="AR1520" s="1684"/>
      <c r="AS1520" s="1684"/>
      <c r="AT1520" s="1684"/>
      <c r="AU1520" s="1684"/>
      <c r="AV1520" s="1684"/>
      <c r="AW1520" s="1684"/>
      <c r="AX1520" s="1684"/>
      <c r="AY1520" s="1684"/>
      <c r="AZ1520" s="1684"/>
      <c r="BA1520" s="1684"/>
      <c r="BB1520" s="1684"/>
      <c r="BC1520" s="1684"/>
      <c r="BD1520" s="1684"/>
      <c r="BE1520" s="1684"/>
      <c r="BF1520" s="1684"/>
      <c r="BG1520" s="1684"/>
      <c r="BH1520" s="1684"/>
      <c r="BI1520" s="1684"/>
      <c r="BJ1520" s="1684"/>
      <c r="BK1520" s="1684"/>
      <c r="BL1520" s="1684"/>
      <c r="BM1520" s="1684"/>
      <c r="BN1520" s="1684"/>
      <c r="BO1520" s="1684"/>
      <c r="BP1520" s="1684"/>
      <c r="BQ1520" s="1684"/>
      <c r="BR1520" s="1684"/>
      <c r="BS1520" s="1684"/>
      <c r="BT1520" s="1684"/>
      <c r="BU1520" s="1684"/>
      <c r="BV1520" s="1684"/>
      <c r="BW1520" s="1684"/>
      <c r="BX1520" s="1684"/>
      <c r="BY1520" s="1684"/>
      <c r="BZ1520" s="1684"/>
      <c r="CA1520" s="1684"/>
      <c r="CB1520" s="1684"/>
      <c r="CC1520" s="1684"/>
      <c r="CD1520" s="1684"/>
      <c r="CE1520" s="1684"/>
      <c r="CF1520" s="1684"/>
      <c r="CG1520" s="1684"/>
      <c r="CH1520" s="1684"/>
      <c r="CI1520" s="1684"/>
      <c r="CJ1520" s="1684"/>
      <c r="CK1520" s="1684"/>
      <c r="CL1520" s="1684"/>
      <c r="CM1520" s="1684"/>
      <c r="CN1520" s="1684"/>
      <c r="CO1520" s="1684"/>
    </row>
    <row r="1521" spans="1:93" s="1391" customFormat="1" ht="15" x14ac:dyDescent="0.2">
      <c r="A1521" s="1684"/>
      <c r="B1521" s="1684"/>
      <c r="C1521" s="2013">
        <v>16</v>
      </c>
      <c r="D1521" s="5">
        <v>9.5429999999999993</v>
      </c>
      <c r="E1521" s="5">
        <v>295</v>
      </c>
      <c r="F1521" s="5">
        <v>324</v>
      </c>
      <c r="G1521" s="5">
        <v>352</v>
      </c>
      <c r="H1521" s="5">
        <v>379</v>
      </c>
      <c r="I1521" s="5">
        <v>405</v>
      </c>
      <c r="J1521" s="5">
        <v>431</v>
      </c>
      <c r="K1521" s="5">
        <v>457</v>
      </c>
      <c r="L1521" s="5">
        <v>483</v>
      </c>
      <c r="M1521" s="5">
        <v>507</v>
      </c>
      <c r="N1521" s="5">
        <v>531</v>
      </c>
      <c r="O1521" s="5">
        <v>555</v>
      </c>
      <c r="P1521" s="5">
        <v>579</v>
      </c>
      <c r="Q1521" s="1160">
        <v>75</v>
      </c>
      <c r="R1521"/>
      <c r="S1521" s="1684"/>
      <c r="T1521" s="1684"/>
      <c r="U1521" s="1684"/>
      <c r="V1521" s="1684"/>
      <c r="W1521" s="1684"/>
      <c r="X1521" s="1684"/>
      <c r="Y1521" s="1684"/>
      <c r="Z1521" s="1684"/>
      <c r="AA1521" s="1684"/>
      <c r="AB1521" s="1684"/>
      <c r="AC1521" s="1684"/>
      <c r="AD1521" s="1684"/>
      <c r="AE1521" s="1684"/>
      <c r="AF1521" s="1684"/>
      <c r="AG1521" s="1684"/>
      <c r="AH1521" s="1684"/>
      <c r="AI1521" s="1684"/>
      <c r="AJ1521" s="1684"/>
      <c r="AK1521" s="1684"/>
      <c r="AL1521" s="1684"/>
      <c r="AM1521" s="1684"/>
      <c r="AN1521" s="1684"/>
      <c r="AO1521" s="1684"/>
      <c r="AP1521" s="1684"/>
      <c r="AQ1521" s="1684"/>
      <c r="AR1521" s="1684"/>
      <c r="AS1521" s="1684"/>
      <c r="AT1521" s="1684"/>
      <c r="AU1521" s="1684"/>
      <c r="AV1521" s="1684"/>
      <c r="AW1521" s="1684"/>
      <c r="AX1521" s="1684"/>
      <c r="AY1521" s="1684"/>
      <c r="AZ1521" s="1684"/>
      <c r="BA1521" s="1684"/>
      <c r="BB1521" s="1684"/>
      <c r="BC1521" s="1684"/>
      <c r="BD1521" s="1684"/>
      <c r="BE1521" s="1684"/>
      <c r="BF1521" s="1684"/>
      <c r="BG1521" s="1684"/>
      <c r="BH1521" s="1684"/>
      <c r="BI1521" s="1684"/>
      <c r="BJ1521" s="1684"/>
      <c r="BK1521" s="1684"/>
      <c r="BL1521" s="1684"/>
      <c r="BM1521" s="1684"/>
      <c r="BN1521" s="1684"/>
      <c r="BO1521" s="1684"/>
      <c r="BP1521" s="1684"/>
      <c r="BQ1521" s="1684"/>
      <c r="BR1521" s="1684"/>
      <c r="BS1521" s="1684"/>
      <c r="BT1521" s="1684"/>
      <c r="BU1521" s="1684"/>
      <c r="BV1521" s="1684"/>
      <c r="BW1521" s="1684"/>
      <c r="BX1521" s="1684"/>
      <c r="BY1521" s="1684"/>
      <c r="BZ1521" s="1684"/>
      <c r="CA1521" s="1684"/>
      <c r="CB1521" s="1684"/>
      <c r="CC1521" s="1684"/>
      <c r="CD1521" s="1684"/>
      <c r="CE1521" s="1684"/>
      <c r="CF1521" s="1684"/>
      <c r="CG1521" s="1684"/>
      <c r="CH1521" s="1684"/>
      <c r="CI1521" s="1684"/>
      <c r="CJ1521" s="1684"/>
      <c r="CK1521" s="1684"/>
      <c r="CL1521" s="1684"/>
      <c r="CM1521" s="1684"/>
      <c r="CN1521" s="1684"/>
      <c r="CO1521" s="1684"/>
    </row>
    <row r="1522" spans="1:93" s="1391" customFormat="1" ht="15" x14ac:dyDescent="0.2">
      <c r="A1522" s="1684"/>
      <c r="B1522" s="1684"/>
      <c r="C1522" s="2013">
        <v>17</v>
      </c>
      <c r="D1522" s="5">
        <v>10.3</v>
      </c>
      <c r="E1522" s="5">
        <v>314</v>
      </c>
      <c r="F1522" s="5">
        <v>345</v>
      </c>
      <c r="G1522" s="5">
        <v>374</v>
      </c>
      <c r="H1522" s="5">
        <v>402</v>
      </c>
      <c r="I1522" s="5">
        <v>430</v>
      </c>
      <c r="J1522" s="5">
        <v>457</v>
      </c>
      <c r="K1522" s="5">
        <v>484</v>
      </c>
      <c r="L1522" s="5">
        <v>512</v>
      </c>
      <c r="M1522" s="5">
        <v>537</v>
      </c>
      <c r="N1522" s="5">
        <v>562</v>
      </c>
      <c r="O1522" s="5">
        <v>587</v>
      </c>
      <c r="P1522" s="5">
        <v>611</v>
      </c>
      <c r="Q1522" s="1160">
        <v>76</v>
      </c>
      <c r="R1522"/>
      <c r="S1522" s="1684"/>
      <c r="T1522" s="1684"/>
      <c r="U1522" s="1684"/>
      <c r="V1522" s="1684"/>
      <c r="W1522" s="1684"/>
      <c r="X1522" s="1684"/>
      <c r="Y1522" s="1684"/>
      <c r="Z1522" s="1684"/>
      <c r="AA1522" s="1684"/>
      <c r="AB1522" s="1684"/>
      <c r="AC1522" s="1684"/>
      <c r="AD1522" s="1684"/>
      <c r="AE1522" s="1684"/>
      <c r="AF1522" s="1684"/>
      <c r="AG1522" s="1684"/>
      <c r="AH1522" s="1684"/>
      <c r="AI1522" s="1684"/>
      <c r="AJ1522" s="1684"/>
      <c r="AK1522" s="1684"/>
      <c r="AL1522" s="1684"/>
      <c r="AM1522" s="1684"/>
      <c r="AN1522" s="1684"/>
      <c r="AO1522" s="1684"/>
      <c r="AP1522" s="1684"/>
      <c r="AQ1522" s="1684"/>
      <c r="AR1522" s="1684"/>
      <c r="AS1522" s="1684"/>
      <c r="AT1522" s="1684"/>
      <c r="AU1522" s="1684"/>
      <c r="AV1522" s="1684"/>
      <c r="AW1522" s="1684"/>
      <c r="AX1522" s="1684"/>
      <c r="AY1522" s="1684"/>
      <c r="AZ1522" s="1684"/>
      <c r="BA1522" s="1684"/>
      <c r="BB1522" s="1684"/>
      <c r="BC1522" s="1684"/>
      <c r="BD1522" s="1684"/>
      <c r="BE1522" s="1684"/>
      <c r="BF1522" s="1684"/>
      <c r="BG1522" s="1684"/>
      <c r="BH1522" s="1684"/>
      <c r="BI1522" s="1684"/>
      <c r="BJ1522" s="1684"/>
      <c r="BK1522" s="1684"/>
      <c r="BL1522" s="1684"/>
      <c r="BM1522" s="1684"/>
      <c r="BN1522" s="1684"/>
      <c r="BO1522" s="1684"/>
      <c r="BP1522" s="1684"/>
      <c r="BQ1522" s="1684"/>
      <c r="BR1522" s="1684"/>
      <c r="BS1522" s="1684"/>
      <c r="BT1522" s="1684"/>
      <c r="BU1522" s="1684"/>
      <c r="BV1522" s="1684"/>
      <c r="BW1522" s="1684"/>
      <c r="BX1522" s="1684"/>
      <c r="BY1522" s="1684"/>
      <c r="BZ1522" s="1684"/>
      <c r="CA1522" s="1684"/>
      <c r="CB1522" s="1684"/>
      <c r="CC1522" s="1684"/>
      <c r="CD1522" s="1684"/>
      <c r="CE1522" s="1684"/>
      <c r="CF1522" s="1684"/>
      <c r="CG1522" s="1684"/>
      <c r="CH1522" s="1684"/>
      <c r="CI1522" s="1684"/>
      <c r="CJ1522" s="1684"/>
      <c r="CK1522" s="1684"/>
      <c r="CL1522" s="1684"/>
      <c r="CM1522" s="1684"/>
      <c r="CN1522" s="1684"/>
      <c r="CO1522" s="1684"/>
    </row>
    <row r="1523" spans="1:93" s="1391" customFormat="1" ht="15" x14ac:dyDescent="0.2">
      <c r="A1523" s="1684"/>
      <c r="B1523" s="1684"/>
      <c r="C1523" s="2013">
        <v>18</v>
      </c>
      <c r="D1523" s="5">
        <v>10.802</v>
      </c>
      <c r="E1523" s="5">
        <v>331</v>
      </c>
      <c r="F1523" s="5">
        <v>363</v>
      </c>
      <c r="G1523" s="5">
        <v>393</v>
      </c>
      <c r="H1523" s="5">
        <v>423</v>
      </c>
      <c r="I1523" s="5">
        <v>452</v>
      </c>
      <c r="J1523" s="5">
        <v>481</v>
      </c>
      <c r="K1523" s="5">
        <v>509</v>
      </c>
      <c r="L1523" s="5">
        <v>538</v>
      </c>
      <c r="M1523" s="5">
        <v>563</v>
      </c>
      <c r="N1523" s="5">
        <v>590</v>
      </c>
      <c r="O1523" s="5">
        <v>616</v>
      </c>
      <c r="P1523" s="5">
        <v>641</v>
      </c>
      <c r="Q1523" s="1160">
        <v>77</v>
      </c>
      <c r="R1523"/>
      <c r="S1523" s="1684"/>
      <c r="T1523" s="1684"/>
      <c r="U1523" s="1684"/>
      <c r="V1523" s="1684"/>
      <c r="W1523" s="1684"/>
      <c r="X1523" s="1684"/>
      <c r="Y1523" s="1684"/>
      <c r="Z1523" s="1684"/>
      <c r="AA1523" s="1684"/>
      <c r="AB1523" s="1684"/>
      <c r="AC1523" s="1684"/>
      <c r="AD1523" s="1684"/>
      <c r="AE1523" s="1684"/>
      <c r="AF1523" s="1684"/>
      <c r="AG1523" s="1684"/>
      <c r="AH1523" s="1684"/>
      <c r="AI1523" s="1684"/>
      <c r="AJ1523" s="1684"/>
      <c r="AK1523" s="1684"/>
      <c r="AL1523" s="1684"/>
      <c r="AM1523" s="1684"/>
      <c r="AN1523" s="1684"/>
      <c r="AO1523" s="1684"/>
      <c r="AP1523" s="1684"/>
      <c r="AQ1523" s="1684"/>
      <c r="AR1523" s="1684"/>
      <c r="AS1523" s="1684"/>
      <c r="AT1523" s="1684"/>
      <c r="AU1523" s="1684"/>
      <c r="AV1523" s="1684"/>
      <c r="AW1523" s="1684"/>
      <c r="AX1523" s="1684"/>
      <c r="AY1523" s="1684"/>
      <c r="AZ1523" s="1684"/>
      <c r="BA1523" s="1684"/>
      <c r="BB1523" s="1684"/>
      <c r="BC1523" s="1684"/>
      <c r="BD1523" s="1684"/>
      <c r="BE1523" s="1684"/>
      <c r="BF1523" s="1684"/>
      <c r="BG1523" s="1684"/>
      <c r="BH1523" s="1684"/>
      <c r="BI1523" s="1684"/>
      <c r="BJ1523" s="1684"/>
      <c r="BK1523" s="1684"/>
      <c r="BL1523" s="1684"/>
      <c r="BM1523" s="1684"/>
      <c r="BN1523" s="1684"/>
      <c r="BO1523" s="1684"/>
      <c r="BP1523" s="1684"/>
      <c r="BQ1523" s="1684"/>
      <c r="BR1523" s="1684"/>
      <c r="BS1523" s="1684"/>
      <c r="BT1523" s="1684"/>
      <c r="BU1523" s="1684"/>
      <c r="BV1523" s="1684"/>
      <c r="BW1523" s="1684"/>
      <c r="BX1523" s="1684"/>
      <c r="BY1523" s="1684"/>
      <c r="BZ1523" s="1684"/>
      <c r="CA1523" s="1684"/>
      <c r="CB1523" s="1684"/>
      <c r="CC1523" s="1684"/>
      <c r="CD1523" s="1684"/>
      <c r="CE1523" s="1684"/>
      <c r="CF1523" s="1684"/>
      <c r="CG1523" s="1684"/>
      <c r="CH1523" s="1684"/>
      <c r="CI1523" s="1684"/>
      <c r="CJ1523" s="1684"/>
      <c r="CK1523" s="1684"/>
      <c r="CL1523" s="1684"/>
      <c r="CM1523" s="1684"/>
      <c r="CN1523" s="1684"/>
      <c r="CO1523" s="1684"/>
    </row>
    <row r="1524" spans="1:93" s="1391" customFormat="1" ht="15" x14ac:dyDescent="0.2">
      <c r="A1524" s="1684"/>
      <c r="B1524" s="1684"/>
      <c r="C1524" s="4680" t="s">
        <v>3693</v>
      </c>
      <c r="D1524" s="4681"/>
      <c r="E1524" s="4718"/>
      <c r="F1524" s="4718"/>
      <c r="G1524" s="4718"/>
      <c r="H1524" s="4718"/>
      <c r="I1524" s="4718"/>
      <c r="J1524" s="4718"/>
      <c r="K1524" s="4718"/>
      <c r="L1524" s="4718"/>
      <c r="M1524" s="4718"/>
      <c r="N1524" s="4718"/>
      <c r="O1524" s="4718"/>
      <c r="P1524" s="4718"/>
      <c r="Q1524" s="4682"/>
      <c r="R1524"/>
      <c r="S1524" s="1684"/>
      <c r="T1524" s="1684"/>
      <c r="U1524" s="1684"/>
      <c r="V1524" s="1684"/>
      <c r="W1524" s="1684"/>
      <c r="X1524" s="1684"/>
      <c r="Y1524" s="1684"/>
      <c r="Z1524" s="1684"/>
      <c r="AA1524" s="1684"/>
      <c r="AB1524" s="1684"/>
      <c r="AC1524" s="1684"/>
      <c r="AD1524" s="1684"/>
      <c r="AE1524" s="1684"/>
      <c r="AF1524" s="1684"/>
      <c r="AG1524" s="1684"/>
      <c r="AH1524" s="1684"/>
      <c r="AI1524" s="1684"/>
      <c r="AJ1524" s="1684"/>
      <c r="AK1524" s="1684"/>
      <c r="AL1524" s="1684"/>
      <c r="AM1524" s="1684"/>
      <c r="AN1524" s="1684"/>
      <c r="AO1524" s="1684"/>
      <c r="AP1524" s="1684"/>
      <c r="AQ1524" s="1684"/>
      <c r="AR1524" s="1684"/>
      <c r="AS1524" s="1684"/>
      <c r="AT1524" s="1684"/>
      <c r="AU1524" s="1684"/>
      <c r="AV1524" s="1684"/>
      <c r="AW1524" s="1684"/>
      <c r="AX1524" s="1684"/>
      <c r="AY1524" s="1684"/>
      <c r="AZ1524" s="1684"/>
      <c r="BA1524" s="1684"/>
      <c r="BB1524" s="1684"/>
      <c r="BC1524" s="1684"/>
      <c r="BD1524" s="1684"/>
      <c r="BE1524" s="1684"/>
      <c r="BF1524" s="1684"/>
      <c r="BG1524" s="1684"/>
      <c r="BH1524" s="1684"/>
      <c r="BI1524" s="1684"/>
      <c r="BJ1524" s="1684"/>
      <c r="BK1524" s="1684"/>
      <c r="BL1524" s="1684"/>
      <c r="BM1524" s="1684"/>
      <c r="BN1524" s="1684"/>
      <c r="BO1524" s="1684"/>
      <c r="BP1524" s="1684"/>
      <c r="BQ1524" s="1684"/>
      <c r="BR1524" s="1684"/>
      <c r="BS1524" s="1684"/>
      <c r="BT1524" s="1684"/>
      <c r="BU1524" s="1684"/>
      <c r="BV1524" s="1684"/>
      <c r="BW1524" s="1684"/>
      <c r="BX1524" s="1684"/>
      <c r="BY1524" s="1684"/>
      <c r="BZ1524" s="1684"/>
      <c r="CA1524" s="1684"/>
      <c r="CB1524" s="1684"/>
      <c r="CC1524" s="1684"/>
      <c r="CD1524" s="1684"/>
      <c r="CE1524" s="1684"/>
      <c r="CF1524" s="1684"/>
      <c r="CG1524" s="1684"/>
      <c r="CH1524" s="1684"/>
      <c r="CI1524" s="1684"/>
      <c r="CJ1524" s="1684"/>
      <c r="CK1524" s="1684"/>
      <c r="CL1524" s="1684"/>
      <c r="CM1524" s="1684"/>
      <c r="CN1524" s="1684"/>
      <c r="CO1524" s="1684"/>
    </row>
    <row r="1525" spans="1:93" s="1391" customFormat="1" ht="15" x14ac:dyDescent="0.2">
      <c r="A1525" s="1684"/>
      <c r="B1525" s="1684"/>
      <c r="C1525" s="4680"/>
      <c r="D1525" s="4681"/>
      <c r="E1525" s="4681"/>
      <c r="F1525" s="4681"/>
      <c r="G1525" s="4681"/>
      <c r="H1525" s="4681"/>
      <c r="I1525" s="4681"/>
      <c r="J1525" s="4681"/>
      <c r="K1525" s="4681"/>
      <c r="L1525" s="4681"/>
      <c r="M1525" s="4681"/>
      <c r="N1525" s="4681"/>
      <c r="O1525" s="4681"/>
      <c r="P1525" s="4681"/>
      <c r="Q1525" s="4682"/>
      <c r="R1525"/>
      <c r="S1525" s="1684"/>
      <c r="T1525" s="1684"/>
      <c r="U1525" s="1684"/>
      <c r="V1525" s="1684"/>
      <c r="W1525" s="1684"/>
      <c r="X1525" s="1684"/>
      <c r="Y1525" s="1684"/>
      <c r="Z1525" s="1684"/>
      <c r="AA1525" s="1684"/>
      <c r="AB1525" s="1684"/>
      <c r="AC1525" s="1684"/>
      <c r="AD1525" s="1684"/>
      <c r="AE1525" s="1684"/>
      <c r="AF1525" s="1684"/>
      <c r="AG1525" s="1684"/>
      <c r="AH1525" s="1684"/>
      <c r="AI1525" s="1684"/>
      <c r="AJ1525" s="1684"/>
      <c r="AK1525" s="1684"/>
      <c r="AL1525" s="1684"/>
      <c r="AM1525" s="1684"/>
      <c r="AN1525" s="1684"/>
      <c r="AO1525" s="1684"/>
      <c r="AP1525" s="1684"/>
      <c r="AQ1525" s="1684"/>
      <c r="AR1525" s="1684"/>
      <c r="AS1525" s="1684"/>
      <c r="AT1525" s="1684"/>
      <c r="AU1525" s="1684"/>
      <c r="AV1525" s="1684"/>
      <c r="AW1525" s="1684"/>
      <c r="AX1525" s="1684"/>
      <c r="AY1525" s="1684"/>
      <c r="AZ1525" s="1684"/>
      <c r="BA1525" s="1684"/>
      <c r="BB1525" s="1684"/>
      <c r="BC1525" s="1684"/>
      <c r="BD1525" s="1684"/>
      <c r="BE1525" s="1684"/>
      <c r="BF1525" s="1684"/>
      <c r="BG1525" s="1684"/>
      <c r="BH1525" s="1684"/>
      <c r="BI1525" s="1684"/>
      <c r="BJ1525" s="1684"/>
      <c r="BK1525" s="1684"/>
      <c r="BL1525" s="1684"/>
      <c r="BM1525" s="1684"/>
      <c r="BN1525" s="1684"/>
      <c r="BO1525" s="1684"/>
      <c r="BP1525" s="1684"/>
      <c r="BQ1525" s="1684"/>
      <c r="BR1525" s="1684"/>
      <c r="BS1525" s="1684"/>
      <c r="BT1525" s="1684"/>
      <c r="BU1525" s="1684"/>
      <c r="BV1525" s="1684"/>
      <c r="BW1525" s="1684"/>
      <c r="BX1525" s="1684"/>
      <c r="BY1525" s="1684"/>
      <c r="BZ1525" s="1684"/>
      <c r="CA1525" s="1684"/>
      <c r="CB1525" s="1684"/>
      <c r="CC1525" s="1684"/>
      <c r="CD1525" s="1684"/>
      <c r="CE1525" s="1684"/>
      <c r="CF1525" s="1684"/>
      <c r="CG1525" s="1684"/>
      <c r="CH1525" s="1684"/>
      <c r="CI1525" s="1684"/>
      <c r="CJ1525" s="1684"/>
      <c r="CK1525" s="1684"/>
      <c r="CL1525" s="1684"/>
      <c r="CM1525" s="1684"/>
      <c r="CN1525" s="1684"/>
      <c r="CO1525" s="1684"/>
    </row>
    <row r="1526" spans="1:93" s="1391" customFormat="1" ht="15" x14ac:dyDescent="0.2">
      <c r="A1526" s="1684"/>
      <c r="B1526" s="1684"/>
      <c r="C1526" s="2013"/>
      <c r="D1526" s="5"/>
      <c r="E1526" s="5">
        <v>1</v>
      </c>
      <c r="F1526" s="5">
        <v>2</v>
      </c>
      <c r="G1526" s="5">
        <v>3</v>
      </c>
      <c r="H1526" s="5">
        <v>4</v>
      </c>
      <c r="I1526" s="5">
        <v>5</v>
      </c>
      <c r="J1526" s="5">
        <v>6</v>
      </c>
      <c r="K1526" s="5">
        <v>7</v>
      </c>
      <c r="L1526" s="5">
        <v>8</v>
      </c>
      <c r="M1526" s="5">
        <v>9</v>
      </c>
      <c r="N1526" s="5">
        <v>10</v>
      </c>
      <c r="O1526" s="5">
        <v>11</v>
      </c>
      <c r="P1526" s="5">
        <v>12</v>
      </c>
      <c r="Q1526" s="1160"/>
      <c r="R1526"/>
      <c r="S1526" s="1684"/>
      <c r="T1526" s="1684"/>
      <c r="U1526" s="1684"/>
      <c r="V1526" s="1684"/>
      <c r="W1526" s="1684"/>
      <c r="X1526" s="1684"/>
      <c r="Y1526" s="1684"/>
      <c r="Z1526" s="1684"/>
      <c r="AA1526" s="1684"/>
      <c r="AB1526" s="1684"/>
      <c r="AC1526" s="1684"/>
      <c r="AD1526" s="1684"/>
      <c r="AE1526" s="1684"/>
      <c r="AF1526" s="1684"/>
      <c r="AG1526" s="1684"/>
      <c r="AH1526" s="1684"/>
      <c r="AI1526" s="1684"/>
      <c r="AJ1526" s="1684"/>
      <c r="AK1526" s="1684"/>
      <c r="AL1526" s="1684"/>
      <c r="AM1526" s="1684"/>
      <c r="AN1526" s="1684"/>
      <c r="AO1526" s="1684"/>
      <c r="AP1526" s="1684"/>
      <c r="AQ1526" s="1684"/>
      <c r="AR1526" s="1684"/>
      <c r="AS1526" s="1684"/>
      <c r="AT1526" s="1684"/>
      <c r="AU1526" s="1684"/>
      <c r="AV1526" s="1684"/>
      <c r="AW1526" s="1684"/>
      <c r="AX1526" s="1684"/>
      <c r="AY1526" s="1684"/>
      <c r="AZ1526" s="1684"/>
      <c r="BA1526" s="1684"/>
      <c r="BB1526" s="1684"/>
      <c r="BC1526" s="1684"/>
      <c r="BD1526" s="1684"/>
      <c r="BE1526" s="1684"/>
      <c r="BF1526" s="1684"/>
      <c r="BG1526" s="1684"/>
      <c r="BH1526" s="1684"/>
      <c r="BI1526" s="1684"/>
      <c r="BJ1526" s="1684"/>
      <c r="BK1526" s="1684"/>
      <c r="BL1526" s="1684"/>
      <c r="BM1526" s="1684"/>
      <c r="BN1526" s="1684"/>
      <c r="BO1526" s="1684"/>
      <c r="BP1526" s="1684"/>
      <c r="BQ1526" s="1684"/>
      <c r="BR1526" s="1684"/>
      <c r="BS1526" s="1684"/>
      <c r="BT1526" s="1684"/>
      <c r="BU1526" s="1684"/>
      <c r="BV1526" s="1684"/>
      <c r="BW1526" s="1684"/>
      <c r="BX1526" s="1684"/>
      <c r="BY1526" s="1684"/>
      <c r="BZ1526" s="1684"/>
      <c r="CA1526" s="1684"/>
      <c r="CB1526" s="1684"/>
      <c r="CC1526" s="1684"/>
      <c r="CD1526" s="1684"/>
      <c r="CE1526" s="1684"/>
      <c r="CF1526" s="1684"/>
      <c r="CG1526" s="1684"/>
      <c r="CH1526" s="1684"/>
      <c r="CI1526" s="1684"/>
      <c r="CJ1526" s="1684"/>
      <c r="CK1526" s="1684"/>
      <c r="CL1526" s="1684"/>
      <c r="CM1526" s="1684"/>
      <c r="CN1526" s="1684"/>
      <c r="CO1526" s="1684"/>
    </row>
    <row r="1527" spans="1:93" s="1391" customFormat="1" ht="15" x14ac:dyDescent="0.2">
      <c r="A1527" s="1684"/>
      <c r="B1527" s="1684"/>
      <c r="C1527" s="2013">
        <v>8</v>
      </c>
      <c r="D1527" s="5">
        <v>5.6589999999999998</v>
      </c>
      <c r="E1527" s="5">
        <v>151</v>
      </c>
      <c r="F1527" s="5">
        <v>167</v>
      </c>
      <c r="G1527" s="5">
        <v>182</v>
      </c>
      <c r="H1527" s="5">
        <v>197</v>
      </c>
      <c r="I1527" s="5">
        <v>211</v>
      </c>
      <c r="J1527" s="5">
        <v>226</v>
      </c>
      <c r="K1527" s="5">
        <v>240</v>
      </c>
      <c r="L1527" s="5">
        <v>255</v>
      </c>
      <c r="M1527" s="5">
        <v>268</v>
      </c>
      <c r="N1527" s="5">
        <v>283</v>
      </c>
      <c r="O1527" s="5">
        <v>296</v>
      </c>
      <c r="P1527" s="5">
        <v>310</v>
      </c>
      <c r="Q1527" s="1160">
        <v>78</v>
      </c>
      <c r="R1527"/>
      <c r="S1527" s="1684"/>
      <c r="T1527" s="1684"/>
      <c r="U1527" s="1684"/>
      <c r="V1527" s="1684"/>
      <c r="W1527" s="1684"/>
      <c r="X1527" s="1684"/>
      <c r="Y1527" s="1684"/>
      <c r="Z1527" s="1684"/>
      <c r="AA1527" s="1684"/>
      <c r="AB1527" s="1684"/>
      <c r="AC1527" s="1684"/>
      <c r="AD1527" s="1684"/>
      <c r="AE1527" s="1684"/>
      <c r="AF1527" s="1684"/>
      <c r="AG1527" s="1684"/>
      <c r="AH1527" s="1684"/>
      <c r="AI1527" s="1684"/>
      <c r="AJ1527" s="1684"/>
      <c r="AK1527" s="1684"/>
      <c r="AL1527" s="1684"/>
      <c r="AM1527" s="1684"/>
      <c r="AN1527" s="1684"/>
      <c r="AO1527" s="1684"/>
      <c r="AP1527" s="1684"/>
      <c r="AQ1527" s="1684"/>
      <c r="AR1527" s="1684"/>
      <c r="AS1527" s="1684"/>
      <c r="AT1527" s="1684"/>
      <c r="AU1527" s="1684"/>
      <c r="AV1527" s="1684"/>
      <c r="AW1527" s="1684"/>
      <c r="AX1527" s="1684"/>
      <c r="AY1527" s="1684"/>
      <c r="AZ1527" s="1684"/>
      <c r="BA1527" s="1684"/>
      <c r="BB1527" s="1684"/>
      <c r="BC1527" s="1684"/>
      <c r="BD1527" s="1684"/>
      <c r="BE1527" s="1684"/>
      <c r="BF1527" s="1684"/>
      <c r="BG1527" s="1684"/>
      <c r="BH1527" s="1684"/>
      <c r="BI1527" s="1684"/>
      <c r="BJ1527" s="1684"/>
      <c r="BK1527" s="1684"/>
      <c r="BL1527" s="1684"/>
      <c r="BM1527" s="1684"/>
      <c r="BN1527" s="1684"/>
      <c r="BO1527" s="1684"/>
      <c r="BP1527" s="1684"/>
      <c r="BQ1527" s="1684"/>
      <c r="BR1527" s="1684"/>
      <c r="BS1527" s="1684"/>
      <c r="BT1527" s="1684"/>
      <c r="BU1527" s="1684"/>
      <c r="BV1527" s="1684"/>
      <c r="BW1527" s="1684"/>
      <c r="BX1527" s="1684"/>
      <c r="BY1527" s="1684"/>
      <c r="BZ1527" s="1684"/>
      <c r="CA1527" s="1684"/>
      <c r="CB1527" s="1684"/>
      <c r="CC1527" s="1684"/>
      <c r="CD1527" s="1684"/>
      <c r="CE1527" s="1684"/>
      <c r="CF1527" s="1684"/>
      <c r="CG1527" s="1684"/>
      <c r="CH1527" s="1684"/>
      <c r="CI1527" s="1684"/>
      <c r="CJ1527" s="1684"/>
      <c r="CK1527" s="1684"/>
      <c r="CL1527" s="1684"/>
      <c r="CM1527" s="1684"/>
      <c r="CN1527" s="1684"/>
      <c r="CO1527" s="1684"/>
    </row>
    <row r="1528" spans="1:93" s="1391" customFormat="1" ht="15" x14ac:dyDescent="0.2">
      <c r="A1528" s="1684"/>
      <c r="B1528" s="1684"/>
      <c r="C1528" s="2013">
        <v>9</v>
      </c>
      <c r="D1528" s="5">
        <v>6.0449999999999999</v>
      </c>
      <c r="E1528" s="5">
        <v>167</v>
      </c>
      <c r="F1528" s="5">
        <v>184</v>
      </c>
      <c r="G1528" s="5">
        <v>201</v>
      </c>
      <c r="H1528" s="5">
        <v>217</v>
      </c>
      <c r="I1528" s="5">
        <v>233</v>
      </c>
      <c r="J1528" s="5">
        <v>249</v>
      </c>
      <c r="K1528" s="5">
        <v>263</v>
      </c>
      <c r="L1528" s="5">
        <v>281</v>
      </c>
      <c r="M1528" s="5">
        <v>296</v>
      </c>
      <c r="N1528" s="5">
        <v>311</v>
      </c>
      <c r="O1528" s="5">
        <v>326</v>
      </c>
      <c r="P1528" s="5">
        <v>341</v>
      </c>
      <c r="Q1528" s="1160">
        <v>79</v>
      </c>
      <c r="R1528"/>
      <c r="S1528" s="1684"/>
      <c r="T1528" s="1684"/>
      <c r="U1528" s="1684"/>
      <c r="V1528" s="1684"/>
      <c r="W1528" s="1684"/>
      <c r="X1528" s="1684"/>
      <c r="Y1528" s="1684"/>
      <c r="Z1528" s="1684"/>
      <c r="AA1528" s="1684"/>
      <c r="AB1528" s="1684"/>
      <c r="AC1528" s="1684"/>
      <c r="AD1528" s="1684"/>
      <c r="AE1528" s="1684"/>
      <c r="AF1528" s="1684"/>
      <c r="AG1528" s="1684"/>
      <c r="AH1528" s="1684"/>
      <c r="AI1528" s="1684"/>
      <c r="AJ1528" s="1684"/>
      <c r="AK1528" s="1684"/>
      <c r="AL1528" s="1684"/>
      <c r="AM1528" s="1684"/>
      <c r="AN1528" s="1684"/>
      <c r="AO1528" s="1684"/>
      <c r="AP1528" s="1684"/>
      <c r="AQ1528" s="1684"/>
      <c r="AR1528" s="1684"/>
      <c r="AS1528" s="1684"/>
      <c r="AT1528" s="1684"/>
      <c r="AU1528" s="1684"/>
      <c r="AV1528" s="1684"/>
      <c r="AW1528" s="1684"/>
      <c r="AX1528" s="1684"/>
      <c r="AY1528" s="1684"/>
      <c r="AZ1528" s="1684"/>
      <c r="BA1528" s="1684"/>
      <c r="BB1528" s="1684"/>
      <c r="BC1528" s="1684"/>
      <c r="BD1528" s="1684"/>
      <c r="BE1528" s="1684"/>
      <c r="BF1528" s="1684"/>
      <c r="BG1528" s="1684"/>
      <c r="BH1528" s="1684"/>
      <c r="BI1528" s="1684"/>
      <c r="BJ1528" s="1684"/>
      <c r="BK1528" s="1684"/>
      <c r="BL1528" s="1684"/>
      <c r="BM1528" s="1684"/>
      <c r="BN1528" s="1684"/>
      <c r="BO1528" s="1684"/>
      <c r="BP1528" s="1684"/>
      <c r="BQ1528" s="1684"/>
      <c r="BR1528" s="1684"/>
      <c r="BS1528" s="1684"/>
      <c r="BT1528" s="1684"/>
      <c r="BU1528" s="1684"/>
      <c r="BV1528" s="1684"/>
      <c r="BW1528" s="1684"/>
      <c r="BX1528" s="1684"/>
      <c r="BY1528" s="1684"/>
      <c r="BZ1528" s="1684"/>
      <c r="CA1528" s="1684"/>
      <c r="CB1528" s="1684"/>
      <c r="CC1528" s="1684"/>
      <c r="CD1528" s="1684"/>
      <c r="CE1528" s="1684"/>
      <c r="CF1528" s="1684"/>
      <c r="CG1528" s="1684"/>
      <c r="CH1528" s="1684"/>
      <c r="CI1528" s="1684"/>
      <c r="CJ1528" s="1684"/>
      <c r="CK1528" s="1684"/>
      <c r="CL1528" s="1684"/>
      <c r="CM1528" s="1684"/>
      <c r="CN1528" s="1684"/>
      <c r="CO1528" s="1684"/>
    </row>
    <row r="1529" spans="1:93" s="1391" customFormat="1" ht="15" x14ac:dyDescent="0.2">
      <c r="A1529" s="1684"/>
      <c r="B1529" s="1684"/>
      <c r="C1529" s="2013">
        <v>10</v>
      </c>
      <c r="D1529" s="5">
        <v>6.4569999999999999</v>
      </c>
      <c r="E1529" s="5">
        <v>183</v>
      </c>
      <c r="F1529" s="5">
        <v>202</v>
      </c>
      <c r="G1529" s="5">
        <v>220</v>
      </c>
      <c r="H1529" s="5">
        <v>238</v>
      </c>
      <c r="I1529" s="5">
        <v>256</v>
      </c>
      <c r="J1529" s="5">
        <v>273</v>
      </c>
      <c r="K1529" s="5">
        <v>290</v>
      </c>
      <c r="L1529" s="5">
        <v>308</v>
      </c>
      <c r="M1529" s="5">
        <v>324</v>
      </c>
      <c r="N1529" s="5">
        <v>340</v>
      </c>
      <c r="O1529" s="5">
        <v>357</v>
      </c>
      <c r="P1529" s="5">
        <v>373</v>
      </c>
      <c r="Q1529" s="1160">
        <v>80</v>
      </c>
      <c r="R1529"/>
      <c r="S1529" s="1684"/>
      <c r="T1529" s="1684"/>
      <c r="U1529" s="1684"/>
      <c r="V1529" s="1684"/>
      <c r="W1529" s="1684"/>
      <c r="X1529" s="1684"/>
      <c r="Y1529" s="1684"/>
      <c r="Z1529" s="1684"/>
      <c r="AA1529" s="1684"/>
      <c r="AB1529" s="1684"/>
      <c r="AC1529" s="1684"/>
      <c r="AD1529" s="1684"/>
      <c r="AE1529" s="1684"/>
      <c r="AF1529" s="1684"/>
      <c r="AG1529" s="1684"/>
      <c r="AH1529" s="1684"/>
      <c r="AI1529" s="1684"/>
      <c r="AJ1529" s="1684"/>
      <c r="AK1529" s="1684"/>
      <c r="AL1529" s="1684"/>
      <c r="AM1529" s="1684"/>
      <c r="AN1529" s="1684"/>
      <c r="AO1529" s="1684"/>
      <c r="AP1529" s="1684"/>
      <c r="AQ1529" s="1684"/>
      <c r="AR1529" s="1684"/>
      <c r="AS1529" s="1684"/>
      <c r="AT1529" s="1684"/>
      <c r="AU1529" s="1684"/>
      <c r="AV1529" s="1684"/>
      <c r="AW1529" s="1684"/>
      <c r="AX1529" s="1684"/>
      <c r="AY1529" s="1684"/>
      <c r="AZ1529" s="1684"/>
      <c r="BA1529" s="1684"/>
      <c r="BB1529" s="1684"/>
      <c r="BC1529" s="1684"/>
      <c r="BD1529" s="1684"/>
      <c r="BE1529" s="1684"/>
      <c r="BF1529" s="1684"/>
      <c r="BG1529" s="1684"/>
      <c r="BH1529" s="1684"/>
      <c r="BI1529" s="1684"/>
      <c r="BJ1529" s="1684"/>
      <c r="BK1529" s="1684"/>
      <c r="BL1529" s="1684"/>
      <c r="BM1529" s="1684"/>
      <c r="BN1529" s="1684"/>
      <c r="BO1529" s="1684"/>
      <c r="BP1529" s="1684"/>
      <c r="BQ1529" s="1684"/>
      <c r="BR1529" s="1684"/>
      <c r="BS1529" s="1684"/>
      <c r="BT1529" s="1684"/>
      <c r="BU1529" s="1684"/>
      <c r="BV1529" s="1684"/>
      <c r="BW1529" s="1684"/>
      <c r="BX1529" s="1684"/>
      <c r="BY1529" s="1684"/>
      <c r="BZ1529" s="1684"/>
      <c r="CA1529" s="1684"/>
      <c r="CB1529" s="1684"/>
      <c r="CC1529" s="1684"/>
      <c r="CD1529" s="1684"/>
      <c r="CE1529" s="1684"/>
      <c r="CF1529" s="1684"/>
      <c r="CG1529" s="1684"/>
      <c r="CH1529" s="1684"/>
      <c r="CI1529" s="1684"/>
      <c r="CJ1529" s="1684"/>
      <c r="CK1529" s="1684"/>
      <c r="CL1529" s="1684"/>
      <c r="CM1529" s="1684"/>
      <c r="CN1529" s="1684"/>
      <c r="CO1529" s="1684"/>
    </row>
    <row r="1530" spans="1:93" s="1391" customFormat="1" ht="15" x14ac:dyDescent="0.2">
      <c r="A1530" s="1684"/>
      <c r="B1530" s="1684"/>
      <c r="C1530" s="2013">
        <v>11</v>
      </c>
      <c r="D1530" s="5">
        <v>6.9260000000000002</v>
      </c>
      <c r="E1530" s="5">
        <v>202</v>
      </c>
      <c r="F1530" s="5">
        <v>223</v>
      </c>
      <c r="G1530" s="5">
        <v>242</v>
      </c>
      <c r="H1530" s="5">
        <v>262</v>
      </c>
      <c r="I1530" s="5">
        <v>281</v>
      </c>
      <c r="J1530" s="5">
        <v>300</v>
      </c>
      <c r="K1530" s="5">
        <v>318</v>
      </c>
      <c r="L1530" s="5">
        <v>338</v>
      </c>
      <c r="M1530" s="5">
        <v>355</v>
      </c>
      <c r="N1530" s="5">
        <v>373</v>
      </c>
      <c r="O1530" s="5">
        <v>391</v>
      </c>
      <c r="P1530" s="5">
        <v>408</v>
      </c>
      <c r="Q1530" s="1160">
        <v>81</v>
      </c>
      <c r="R1530"/>
      <c r="S1530" s="1684"/>
      <c r="T1530" s="1684"/>
      <c r="U1530" s="1684"/>
      <c r="V1530" s="1684"/>
      <c r="W1530" s="1684"/>
      <c r="X1530" s="1684"/>
      <c r="Y1530" s="1684"/>
      <c r="Z1530" s="1684"/>
      <c r="AA1530" s="1684"/>
      <c r="AB1530" s="1684"/>
      <c r="AC1530" s="1684"/>
      <c r="AD1530" s="1684"/>
      <c r="AE1530" s="1684"/>
      <c r="AF1530" s="1684"/>
      <c r="AG1530" s="1684"/>
      <c r="AH1530" s="1684"/>
      <c r="AI1530" s="1684"/>
      <c r="AJ1530" s="1684"/>
      <c r="AK1530" s="1684"/>
      <c r="AL1530" s="1684"/>
      <c r="AM1530" s="1684"/>
      <c r="AN1530" s="1684"/>
      <c r="AO1530" s="1684"/>
      <c r="AP1530" s="1684"/>
      <c r="AQ1530" s="1684"/>
      <c r="AR1530" s="1684"/>
      <c r="AS1530" s="1684"/>
      <c r="AT1530" s="1684"/>
      <c r="AU1530" s="1684"/>
      <c r="AV1530" s="1684"/>
      <c r="AW1530" s="1684"/>
      <c r="AX1530" s="1684"/>
      <c r="AY1530" s="1684"/>
      <c r="AZ1530" s="1684"/>
      <c r="BA1530" s="1684"/>
      <c r="BB1530" s="1684"/>
      <c r="BC1530" s="1684"/>
      <c r="BD1530" s="1684"/>
      <c r="BE1530" s="1684"/>
      <c r="BF1530" s="1684"/>
      <c r="BG1530" s="1684"/>
      <c r="BH1530" s="1684"/>
      <c r="BI1530" s="1684"/>
      <c r="BJ1530" s="1684"/>
      <c r="BK1530" s="1684"/>
      <c r="BL1530" s="1684"/>
      <c r="BM1530" s="1684"/>
      <c r="BN1530" s="1684"/>
      <c r="BO1530" s="1684"/>
      <c r="BP1530" s="1684"/>
      <c r="BQ1530" s="1684"/>
      <c r="BR1530" s="1684"/>
      <c r="BS1530" s="1684"/>
      <c r="BT1530" s="1684"/>
      <c r="BU1530" s="1684"/>
      <c r="BV1530" s="1684"/>
      <c r="BW1530" s="1684"/>
      <c r="BX1530" s="1684"/>
      <c r="BY1530" s="1684"/>
      <c r="BZ1530" s="1684"/>
      <c r="CA1530" s="1684"/>
      <c r="CB1530" s="1684"/>
      <c r="CC1530" s="1684"/>
      <c r="CD1530" s="1684"/>
      <c r="CE1530" s="1684"/>
      <c r="CF1530" s="1684"/>
      <c r="CG1530" s="1684"/>
      <c r="CH1530" s="1684"/>
      <c r="CI1530" s="1684"/>
      <c r="CJ1530" s="1684"/>
      <c r="CK1530" s="1684"/>
      <c r="CL1530" s="1684"/>
      <c r="CM1530" s="1684"/>
      <c r="CN1530" s="1684"/>
      <c r="CO1530" s="1684"/>
    </row>
    <row r="1531" spans="1:93" s="1391" customFormat="1" ht="15" x14ac:dyDescent="0.2">
      <c r="A1531" s="1684"/>
      <c r="B1531" s="1684"/>
      <c r="C1531" s="2013">
        <v>12</v>
      </c>
      <c r="D1531" s="5">
        <v>7.4240000000000004</v>
      </c>
      <c r="E1531" s="5">
        <v>221</v>
      </c>
      <c r="F1531" s="5">
        <v>244</v>
      </c>
      <c r="G1531" s="5">
        <v>265</v>
      </c>
      <c r="H1531" s="5">
        <v>286</v>
      </c>
      <c r="I1531" s="5">
        <v>307</v>
      </c>
      <c r="J1531" s="5">
        <v>328</v>
      </c>
      <c r="K1531" s="5">
        <v>348</v>
      </c>
      <c r="L1531" s="5">
        <v>369</v>
      </c>
      <c r="M1531" s="5">
        <v>387</v>
      </c>
      <c r="N1531" s="5">
        <v>407</v>
      </c>
      <c r="O1531" s="5">
        <v>426</v>
      </c>
      <c r="P1531" s="5">
        <v>445</v>
      </c>
      <c r="Q1531" s="1160">
        <v>82</v>
      </c>
      <c r="R1531"/>
      <c r="S1531" s="1684"/>
      <c r="T1531" s="1684"/>
      <c r="U1531" s="1684"/>
      <c r="V1531" s="1684"/>
      <c r="W1531" s="1684"/>
      <c r="X1531" s="1684"/>
      <c r="Y1531" s="1684"/>
      <c r="Z1531" s="1684"/>
      <c r="AA1531" s="1684"/>
      <c r="AB1531" s="1684"/>
      <c r="AC1531" s="1684"/>
      <c r="AD1531" s="1684"/>
      <c r="AE1531" s="1684"/>
      <c r="AF1531" s="1684"/>
      <c r="AG1531" s="1684"/>
      <c r="AH1531" s="1684"/>
      <c r="AI1531" s="1684"/>
      <c r="AJ1531" s="1684"/>
      <c r="AK1531" s="1684"/>
      <c r="AL1531" s="1684"/>
      <c r="AM1531" s="1684"/>
      <c r="AN1531" s="1684"/>
      <c r="AO1531" s="1684"/>
      <c r="AP1531" s="1684"/>
      <c r="AQ1531" s="1684"/>
      <c r="AR1531" s="1684"/>
      <c r="AS1531" s="1684"/>
      <c r="AT1531" s="1684"/>
      <c r="AU1531" s="1684"/>
      <c r="AV1531" s="1684"/>
      <c r="AW1531" s="1684"/>
      <c r="AX1531" s="1684"/>
      <c r="AY1531" s="1684"/>
      <c r="AZ1531" s="1684"/>
      <c r="BA1531" s="1684"/>
      <c r="BB1531" s="1684"/>
      <c r="BC1531" s="1684"/>
      <c r="BD1531" s="1684"/>
      <c r="BE1531" s="1684"/>
      <c r="BF1531" s="1684"/>
      <c r="BG1531" s="1684"/>
      <c r="BH1531" s="1684"/>
      <c r="BI1531" s="1684"/>
      <c r="BJ1531" s="1684"/>
      <c r="BK1531" s="1684"/>
      <c r="BL1531" s="1684"/>
      <c r="BM1531" s="1684"/>
      <c r="BN1531" s="1684"/>
      <c r="BO1531" s="1684"/>
      <c r="BP1531" s="1684"/>
      <c r="BQ1531" s="1684"/>
      <c r="BR1531" s="1684"/>
      <c r="BS1531" s="1684"/>
      <c r="BT1531" s="1684"/>
      <c r="BU1531" s="1684"/>
      <c r="BV1531" s="1684"/>
      <c r="BW1531" s="1684"/>
      <c r="BX1531" s="1684"/>
      <c r="BY1531" s="1684"/>
      <c r="BZ1531" s="1684"/>
      <c r="CA1531" s="1684"/>
      <c r="CB1531" s="1684"/>
      <c r="CC1531" s="1684"/>
      <c r="CD1531" s="1684"/>
      <c r="CE1531" s="1684"/>
      <c r="CF1531" s="1684"/>
      <c r="CG1531" s="1684"/>
      <c r="CH1531" s="1684"/>
      <c r="CI1531" s="1684"/>
      <c r="CJ1531" s="1684"/>
      <c r="CK1531" s="1684"/>
      <c r="CL1531" s="1684"/>
      <c r="CM1531" s="1684"/>
      <c r="CN1531" s="1684"/>
      <c r="CO1531" s="1684"/>
    </row>
    <row r="1532" spans="1:93" s="1391" customFormat="1" ht="15" x14ac:dyDescent="0.2">
      <c r="A1532" s="1684"/>
      <c r="B1532" s="1684"/>
      <c r="C1532" s="2013">
        <v>13</v>
      </c>
      <c r="D1532" s="5">
        <v>7.9409999999999998</v>
      </c>
      <c r="E1532" s="5">
        <v>241</v>
      </c>
      <c r="F1532" s="5">
        <v>266</v>
      </c>
      <c r="G1532" s="5">
        <v>289</v>
      </c>
      <c r="H1532" s="5">
        <v>311</v>
      </c>
      <c r="I1532" s="5">
        <v>334</v>
      </c>
      <c r="J1532" s="5">
        <v>356</v>
      </c>
      <c r="K1532" s="5">
        <v>377</v>
      </c>
      <c r="L1532" s="5">
        <v>400</v>
      </c>
      <c r="M1532" s="5">
        <v>420</v>
      </c>
      <c r="N1532" s="5">
        <v>441</v>
      </c>
      <c r="O1532" s="5">
        <v>461</v>
      </c>
      <c r="P1532" s="5">
        <v>481</v>
      </c>
      <c r="Q1532" s="1160">
        <v>83</v>
      </c>
      <c r="R1532"/>
      <c r="S1532" s="1684"/>
      <c r="T1532" s="1684"/>
      <c r="U1532" s="1684"/>
      <c r="V1532" s="1684"/>
      <c r="W1532" s="1684"/>
      <c r="X1532" s="1684"/>
      <c r="Y1532" s="1684"/>
      <c r="Z1532" s="1684"/>
      <c r="AA1532" s="1684"/>
      <c r="AB1532" s="1684"/>
      <c r="AC1532" s="1684"/>
      <c r="AD1532" s="1684"/>
      <c r="AE1532" s="1684"/>
      <c r="AF1532" s="1684"/>
      <c r="AG1532" s="1684"/>
      <c r="AH1532" s="1684"/>
      <c r="AI1532" s="1684"/>
      <c r="AJ1532" s="1684"/>
      <c r="AK1532" s="1684"/>
      <c r="AL1532" s="1684"/>
      <c r="AM1532" s="1684"/>
      <c r="AN1532" s="1684"/>
      <c r="AO1532" s="1684"/>
      <c r="AP1532" s="1684"/>
      <c r="AQ1532" s="1684"/>
      <c r="AR1532" s="1684"/>
      <c r="AS1532" s="1684"/>
      <c r="AT1532" s="1684"/>
      <c r="AU1532" s="1684"/>
      <c r="AV1532" s="1684"/>
      <c r="AW1532" s="1684"/>
      <c r="AX1532" s="1684"/>
      <c r="AY1532" s="1684"/>
      <c r="AZ1532" s="1684"/>
      <c r="BA1532" s="1684"/>
      <c r="BB1532" s="1684"/>
      <c r="BC1532" s="1684"/>
      <c r="BD1532" s="1684"/>
      <c r="BE1532" s="1684"/>
      <c r="BF1532" s="1684"/>
      <c r="BG1532" s="1684"/>
      <c r="BH1532" s="1684"/>
      <c r="BI1532" s="1684"/>
      <c r="BJ1532" s="1684"/>
      <c r="BK1532" s="1684"/>
      <c r="BL1532" s="1684"/>
      <c r="BM1532" s="1684"/>
      <c r="BN1532" s="1684"/>
      <c r="BO1532" s="1684"/>
      <c r="BP1532" s="1684"/>
      <c r="BQ1532" s="1684"/>
      <c r="BR1532" s="1684"/>
      <c r="BS1532" s="1684"/>
      <c r="BT1532" s="1684"/>
      <c r="BU1532" s="1684"/>
      <c r="BV1532" s="1684"/>
      <c r="BW1532" s="1684"/>
      <c r="BX1532" s="1684"/>
      <c r="BY1532" s="1684"/>
      <c r="BZ1532" s="1684"/>
      <c r="CA1532" s="1684"/>
      <c r="CB1532" s="1684"/>
      <c r="CC1532" s="1684"/>
      <c r="CD1532" s="1684"/>
      <c r="CE1532" s="1684"/>
      <c r="CF1532" s="1684"/>
      <c r="CG1532" s="1684"/>
      <c r="CH1532" s="1684"/>
      <c r="CI1532" s="1684"/>
      <c r="CJ1532" s="1684"/>
      <c r="CK1532" s="1684"/>
      <c r="CL1532" s="1684"/>
      <c r="CM1532" s="1684"/>
      <c r="CN1532" s="1684"/>
      <c r="CO1532" s="1684"/>
    </row>
    <row r="1533" spans="1:93" s="1391" customFormat="1" ht="15" x14ac:dyDescent="0.2">
      <c r="A1533" s="1684"/>
      <c r="B1533" s="1684"/>
      <c r="C1533" s="2013">
        <v>14</v>
      </c>
      <c r="D1533" s="5">
        <v>8.4939999999999998</v>
      </c>
      <c r="E1533" s="5">
        <v>262</v>
      </c>
      <c r="F1533" s="5">
        <v>288</v>
      </c>
      <c r="G1533" s="5">
        <v>313</v>
      </c>
      <c r="H1533" s="5">
        <v>338</v>
      </c>
      <c r="I1533" s="5">
        <v>362</v>
      </c>
      <c r="J1533" s="5">
        <v>385</v>
      </c>
      <c r="K1533" s="5">
        <v>408</v>
      </c>
      <c r="L1533" s="5">
        <v>432</v>
      </c>
      <c r="M1533" s="5">
        <v>454</v>
      </c>
      <c r="N1533" s="5">
        <v>476</v>
      </c>
      <c r="O1533" s="5">
        <v>498</v>
      </c>
      <c r="P1533" s="5">
        <v>519</v>
      </c>
      <c r="Q1533" s="1160">
        <v>84</v>
      </c>
      <c r="R1533"/>
      <c r="S1533" s="1684"/>
      <c r="T1533" s="1684"/>
      <c r="U1533" s="1684"/>
      <c r="V1533" s="1684"/>
      <c r="W1533" s="1684"/>
      <c r="X1533" s="1684"/>
      <c r="Y1533" s="1684"/>
      <c r="Z1533" s="1684"/>
      <c r="AA1533" s="1684"/>
      <c r="AB1533" s="1684"/>
      <c r="AC1533" s="1684"/>
      <c r="AD1533" s="1684"/>
      <c r="AE1533" s="1684"/>
      <c r="AF1533" s="1684"/>
      <c r="AG1533" s="1684"/>
      <c r="AH1533" s="1684"/>
      <c r="AI1533" s="1684"/>
      <c r="AJ1533" s="1684"/>
      <c r="AK1533" s="1684"/>
      <c r="AL1533" s="1684"/>
      <c r="AM1533" s="1684"/>
      <c r="AN1533" s="1684"/>
      <c r="AO1533" s="1684"/>
      <c r="AP1533" s="1684"/>
      <c r="AQ1533" s="1684"/>
      <c r="AR1533" s="1684"/>
      <c r="AS1533" s="1684"/>
      <c r="AT1533" s="1684"/>
      <c r="AU1533" s="1684"/>
      <c r="AV1533" s="1684"/>
      <c r="AW1533" s="1684"/>
      <c r="AX1533" s="1684"/>
      <c r="AY1533" s="1684"/>
      <c r="AZ1533" s="1684"/>
      <c r="BA1533" s="1684"/>
      <c r="BB1533" s="1684"/>
      <c r="BC1533" s="1684"/>
      <c r="BD1533" s="1684"/>
      <c r="BE1533" s="1684"/>
      <c r="BF1533" s="1684"/>
      <c r="BG1533" s="1684"/>
      <c r="BH1533" s="1684"/>
      <c r="BI1533" s="1684"/>
      <c r="BJ1533" s="1684"/>
      <c r="BK1533" s="1684"/>
      <c r="BL1533" s="1684"/>
      <c r="BM1533" s="1684"/>
      <c r="BN1533" s="1684"/>
      <c r="BO1533" s="1684"/>
      <c r="BP1533" s="1684"/>
      <c r="BQ1533" s="1684"/>
      <c r="BR1533" s="1684"/>
      <c r="BS1533" s="1684"/>
      <c r="BT1533" s="1684"/>
      <c r="BU1533" s="1684"/>
      <c r="BV1533" s="1684"/>
      <c r="BW1533" s="1684"/>
      <c r="BX1533" s="1684"/>
      <c r="BY1533" s="1684"/>
      <c r="BZ1533" s="1684"/>
      <c r="CA1533" s="1684"/>
      <c r="CB1533" s="1684"/>
      <c r="CC1533" s="1684"/>
      <c r="CD1533" s="1684"/>
      <c r="CE1533" s="1684"/>
      <c r="CF1533" s="1684"/>
      <c r="CG1533" s="1684"/>
      <c r="CH1533" s="1684"/>
      <c r="CI1533" s="1684"/>
      <c r="CJ1533" s="1684"/>
      <c r="CK1533" s="1684"/>
      <c r="CL1533" s="1684"/>
      <c r="CM1533" s="1684"/>
      <c r="CN1533" s="1684"/>
      <c r="CO1533" s="1684"/>
    </row>
    <row r="1534" spans="1:93" s="1391" customFormat="1" ht="15" x14ac:dyDescent="0.2">
      <c r="A1534" s="1684"/>
      <c r="B1534" s="1684"/>
      <c r="C1534" s="2013">
        <v>15</v>
      </c>
      <c r="D1534" s="5">
        <v>9.0760000000000005</v>
      </c>
      <c r="E1534" s="5">
        <v>283</v>
      </c>
      <c r="F1534" s="5">
        <v>312</v>
      </c>
      <c r="G1534" s="5">
        <v>338</v>
      </c>
      <c r="H1534" s="5">
        <v>364</v>
      </c>
      <c r="I1534" s="5">
        <v>390</v>
      </c>
      <c r="J1534" s="5">
        <v>415</v>
      </c>
      <c r="K1534" s="5">
        <v>440</v>
      </c>
      <c r="L1534" s="5">
        <v>466</v>
      </c>
      <c r="M1534" s="5">
        <v>488</v>
      </c>
      <c r="N1534" s="5">
        <v>512</v>
      </c>
      <c r="O1534" s="5">
        <v>533</v>
      </c>
      <c r="P1534" s="5">
        <v>558</v>
      </c>
      <c r="Q1534" s="1160">
        <v>85</v>
      </c>
      <c r="R1534"/>
      <c r="S1534" s="1684"/>
      <c r="T1534" s="1684"/>
      <c r="U1534" s="1684"/>
      <c r="V1534" s="1684"/>
      <c r="W1534" s="1684"/>
      <c r="X1534" s="1684"/>
      <c r="Y1534" s="1684"/>
      <c r="Z1534" s="1684"/>
      <c r="AA1534" s="1684"/>
      <c r="AB1534" s="1684"/>
      <c r="AC1534" s="1684"/>
      <c r="AD1534" s="1684"/>
      <c r="AE1534" s="1684"/>
      <c r="AF1534" s="1684"/>
      <c r="AG1534" s="1684"/>
      <c r="AH1534" s="1684"/>
      <c r="AI1534" s="1684"/>
      <c r="AJ1534" s="1684"/>
      <c r="AK1534" s="1684"/>
      <c r="AL1534" s="1684"/>
      <c r="AM1534" s="1684"/>
      <c r="AN1534" s="1684"/>
      <c r="AO1534" s="1684"/>
      <c r="AP1534" s="1684"/>
      <c r="AQ1534" s="1684"/>
      <c r="AR1534" s="1684"/>
      <c r="AS1534" s="1684"/>
      <c r="AT1534" s="1684"/>
      <c r="AU1534" s="1684"/>
      <c r="AV1534" s="1684"/>
      <c r="AW1534" s="1684"/>
      <c r="AX1534" s="1684"/>
      <c r="AY1534" s="1684"/>
      <c r="AZ1534" s="1684"/>
      <c r="BA1534" s="1684"/>
      <c r="BB1534" s="1684"/>
      <c r="BC1534" s="1684"/>
      <c r="BD1534" s="1684"/>
      <c r="BE1534" s="1684"/>
      <c r="BF1534" s="1684"/>
      <c r="BG1534" s="1684"/>
      <c r="BH1534" s="1684"/>
      <c r="BI1534" s="1684"/>
      <c r="BJ1534" s="1684"/>
      <c r="BK1534" s="1684"/>
      <c r="BL1534" s="1684"/>
      <c r="BM1534" s="1684"/>
      <c r="BN1534" s="1684"/>
      <c r="BO1534" s="1684"/>
      <c r="BP1534" s="1684"/>
      <c r="BQ1534" s="1684"/>
      <c r="BR1534" s="1684"/>
      <c r="BS1534" s="1684"/>
      <c r="BT1534" s="1684"/>
      <c r="BU1534" s="1684"/>
      <c r="BV1534" s="1684"/>
      <c r="BW1534" s="1684"/>
      <c r="BX1534" s="1684"/>
      <c r="BY1534" s="1684"/>
      <c r="BZ1534" s="1684"/>
      <c r="CA1534" s="1684"/>
      <c r="CB1534" s="1684"/>
      <c r="CC1534" s="1684"/>
      <c r="CD1534" s="1684"/>
      <c r="CE1534" s="1684"/>
      <c r="CF1534" s="1684"/>
      <c r="CG1534" s="1684"/>
      <c r="CH1534" s="1684"/>
      <c r="CI1534" s="1684"/>
      <c r="CJ1534" s="1684"/>
      <c r="CK1534" s="1684"/>
      <c r="CL1534" s="1684"/>
      <c r="CM1534" s="1684"/>
      <c r="CN1534" s="1684"/>
      <c r="CO1534" s="1684"/>
    </row>
    <row r="1535" spans="1:93" s="1391" customFormat="1" ht="15" x14ac:dyDescent="0.2">
      <c r="A1535" s="1684"/>
      <c r="B1535" s="1684"/>
      <c r="C1535" s="2013">
        <v>16</v>
      </c>
      <c r="D1535" s="5">
        <v>9.8160000000000007</v>
      </c>
      <c r="E1535" s="5">
        <v>304</v>
      </c>
      <c r="F1535" s="5">
        <v>334</v>
      </c>
      <c r="G1535" s="5">
        <v>363</v>
      </c>
      <c r="H1535" s="5">
        <v>390</v>
      </c>
      <c r="I1535" s="5">
        <v>418</v>
      </c>
      <c r="J1535" s="5">
        <v>444</v>
      </c>
      <c r="K1535" s="5">
        <v>471</v>
      </c>
      <c r="L1535" s="5">
        <v>498</v>
      </c>
      <c r="M1535" s="5">
        <v>522</v>
      </c>
      <c r="N1535" s="5">
        <v>547</v>
      </c>
      <c r="O1535" s="5">
        <v>571</v>
      </c>
      <c r="P1535" s="5">
        <v>595</v>
      </c>
      <c r="Q1535" s="1160">
        <v>86</v>
      </c>
      <c r="R1535"/>
      <c r="S1535" s="1684"/>
      <c r="T1535" s="1684"/>
      <c r="U1535" s="1684"/>
      <c r="V1535" s="1684"/>
      <c r="W1535" s="1684"/>
      <c r="X1535" s="1684"/>
      <c r="Y1535" s="1684"/>
      <c r="Z1535" s="1684"/>
      <c r="AA1535" s="1684"/>
      <c r="AB1535" s="1684"/>
      <c r="AC1535" s="1684"/>
      <c r="AD1535" s="1684"/>
      <c r="AE1535" s="1684"/>
      <c r="AF1535" s="1684"/>
      <c r="AG1535" s="1684"/>
      <c r="AH1535" s="1684"/>
      <c r="AI1535" s="1684"/>
      <c r="AJ1535" s="1684"/>
      <c r="AK1535" s="1684"/>
      <c r="AL1535" s="1684"/>
      <c r="AM1535" s="1684"/>
      <c r="AN1535" s="1684"/>
      <c r="AO1535" s="1684"/>
      <c r="AP1535" s="1684"/>
      <c r="AQ1535" s="1684"/>
      <c r="AR1535" s="1684"/>
      <c r="AS1535" s="1684"/>
      <c r="AT1535" s="1684"/>
      <c r="AU1535" s="1684"/>
      <c r="AV1535" s="1684"/>
      <c r="AW1535" s="1684"/>
      <c r="AX1535" s="1684"/>
      <c r="AY1535" s="1684"/>
      <c r="AZ1535" s="1684"/>
      <c r="BA1535" s="1684"/>
      <c r="BB1535" s="1684"/>
      <c r="BC1535" s="1684"/>
      <c r="BD1535" s="1684"/>
      <c r="BE1535" s="1684"/>
      <c r="BF1535" s="1684"/>
      <c r="BG1535" s="1684"/>
      <c r="BH1535" s="1684"/>
      <c r="BI1535" s="1684"/>
      <c r="BJ1535" s="1684"/>
      <c r="BK1535" s="1684"/>
      <c r="BL1535" s="1684"/>
      <c r="BM1535" s="1684"/>
      <c r="BN1535" s="1684"/>
      <c r="BO1535" s="1684"/>
      <c r="BP1535" s="1684"/>
      <c r="BQ1535" s="1684"/>
      <c r="BR1535" s="1684"/>
      <c r="BS1535" s="1684"/>
      <c r="BT1535" s="1684"/>
      <c r="BU1535" s="1684"/>
      <c r="BV1535" s="1684"/>
      <c r="BW1535" s="1684"/>
      <c r="BX1535" s="1684"/>
      <c r="BY1535" s="1684"/>
      <c r="BZ1535" s="1684"/>
      <c r="CA1535" s="1684"/>
      <c r="CB1535" s="1684"/>
      <c r="CC1535" s="1684"/>
      <c r="CD1535" s="1684"/>
      <c r="CE1535" s="1684"/>
      <c r="CF1535" s="1684"/>
      <c r="CG1535" s="1684"/>
      <c r="CH1535" s="1684"/>
      <c r="CI1535" s="1684"/>
      <c r="CJ1535" s="1684"/>
      <c r="CK1535" s="1684"/>
      <c r="CL1535" s="1684"/>
      <c r="CM1535" s="1684"/>
      <c r="CN1535" s="1684"/>
      <c r="CO1535" s="1684"/>
    </row>
    <row r="1536" spans="1:93" s="1391" customFormat="1" ht="15" x14ac:dyDescent="0.2">
      <c r="A1536" s="1684"/>
      <c r="B1536" s="1684"/>
      <c r="C1536" s="2013">
        <v>17</v>
      </c>
      <c r="D1536" s="5">
        <v>10.603</v>
      </c>
      <c r="E1536" s="5">
        <v>324</v>
      </c>
      <c r="F1536" s="5">
        <v>355</v>
      </c>
      <c r="G1536" s="5">
        <v>385</v>
      </c>
      <c r="H1536" s="5">
        <v>414</v>
      </c>
      <c r="I1536" s="5">
        <v>443</v>
      </c>
      <c r="J1536" s="5">
        <v>471</v>
      </c>
      <c r="K1536" s="5">
        <v>499</v>
      </c>
      <c r="L1536" s="5">
        <v>527</v>
      </c>
      <c r="M1536" s="5">
        <v>552</v>
      </c>
      <c r="N1536" s="5">
        <v>578</v>
      </c>
      <c r="O1536" s="5">
        <v>604</v>
      </c>
      <c r="P1536" s="5">
        <v>629</v>
      </c>
      <c r="Q1536" s="1160">
        <v>87</v>
      </c>
      <c r="R1536"/>
      <c r="S1536" s="1684"/>
      <c r="T1536" s="1684"/>
      <c r="U1536" s="1684"/>
      <c r="V1536" s="1684"/>
      <c r="W1536" s="1684"/>
      <c r="X1536" s="1684"/>
      <c r="Y1536" s="1684"/>
      <c r="Z1536" s="1684"/>
      <c r="AA1536" s="1684"/>
      <c r="AB1536" s="1684"/>
      <c r="AC1536" s="1684"/>
      <c r="AD1536" s="1684"/>
      <c r="AE1536" s="1684"/>
      <c r="AF1536" s="1684"/>
      <c r="AG1536" s="1684"/>
      <c r="AH1536" s="1684"/>
      <c r="AI1536" s="1684"/>
      <c r="AJ1536" s="1684"/>
      <c r="AK1536" s="1684"/>
      <c r="AL1536" s="1684"/>
      <c r="AM1536" s="1684"/>
      <c r="AN1536" s="1684"/>
      <c r="AO1536" s="1684"/>
      <c r="AP1536" s="1684"/>
      <c r="AQ1536" s="1684"/>
      <c r="AR1536" s="1684"/>
      <c r="AS1536" s="1684"/>
      <c r="AT1536" s="1684"/>
      <c r="AU1536" s="1684"/>
      <c r="AV1536" s="1684"/>
      <c r="AW1536" s="1684"/>
      <c r="AX1536" s="1684"/>
      <c r="AY1536" s="1684"/>
      <c r="AZ1536" s="1684"/>
      <c r="BA1536" s="1684"/>
      <c r="BB1536" s="1684"/>
      <c r="BC1536" s="1684"/>
      <c r="BD1536" s="1684"/>
      <c r="BE1536" s="1684"/>
      <c r="BF1536" s="1684"/>
      <c r="BG1536" s="1684"/>
      <c r="BH1536" s="1684"/>
      <c r="BI1536" s="1684"/>
      <c r="BJ1536" s="1684"/>
      <c r="BK1536" s="1684"/>
      <c r="BL1536" s="1684"/>
      <c r="BM1536" s="1684"/>
      <c r="BN1536" s="1684"/>
      <c r="BO1536" s="1684"/>
      <c r="BP1536" s="1684"/>
      <c r="BQ1536" s="1684"/>
      <c r="BR1536" s="1684"/>
      <c r="BS1536" s="1684"/>
      <c r="BT1536" s="1684"/>
      <c r="BU1536" s="1684"/>
      <c r="BV1536" s="1684"/>
      <c r="BW1536" s="1684"/>
      <c r="BX1536" s="1684"/>
      <c r="BY1536" s="1684"/>
      <c r="BZ1536" s="1684"/>
      <c r="CA1536" s="1684"/>
      <c r="CB1536" s="1684"/>
      <c r="CC1536" s="1684"/>
      <c r="CD1536" s="1684"/>
      <c r="CE1536" s="1684"/>
      <c r="CF1536" s="1684"/>
      <c r="CG1536" s="1684"/>
      <c r="CH1536" s="1684"/>
      <c r="CI1536" s="1684"/>
      <c r="CJ1536" s="1684"/>
      <c r="CK1536" s="1684"/>
      <c r="CL1536" s="1684"/>
      <c r="CM1536" s="1684"/>
      <c r="CN1536" s="1684"/>
      <c r="CO1536" s="1684"/>
    </row>
    <row r="1537" spans="1:93" s="1391" customFormat="1" ht="15.75" thickBot="1" x14ac:dyDescent="0.25">
      <c r="A1537" s="1684"/>
      <c r="B1537" s="1684"/>
      <c r="C1537" s="2020">
        <v>18</v>
      </c>
      <c r="D1537" s="246">
        <v>11.125</v>
      </c>
      <c r="E1537" s="246">
        <v>341</v>
      </c>
      <c r="F1537" s="246">
        <v>375</v>
      </c>
      <c r="G1537" s="246">
        <v>406</v>
      </c>
      <c r="H1537" s="246">
        <v>436</v>
      </c>
      <c r="I1537" s="246">
        <v>466</v>
      </c>
      <c r="J1537" s="246">
        <v>496</v>
      </c>
      <c r="K1537" s="246">
        <v>524</v>
      </c>
      <c r="L1537" s="246">
        <v>554</v>
      </c>
      <c r="M1537" s="246">
        <v>580</v>
      </c>
      <c r="N1537" s="246">
        <v>607</v>
      </c>
      <c r="O1537" s="246">
        <v>534</v>
      </c>
      <c r="P1537" s="246">
        <v>660</v>
      </c>
      <c r="Q1537" s="247">
        <v>88</v>
      </c>
      <c r="R1537"/>
      <c r="S1537" s="1684"/>
      <c r="T1537" s="1684"/>
      <c r="U1537" s="1684"/>
      <c r="V1537" s="1684"/>
      <c r="W1537" s="1684"/>
      <c r="X1537" s="1684"/>
      <c r="Y1537" s="1684"/>
      <c r="Z1537" s="1684"/>
      <c r="AA1537" s="1684"/>
      <c r="AB1537" s="1684"/>
      <c r="AC1537" s="1684"/>
      <c r="AD1537" s="1684"/>
      <c r="AE1537" s="1684"/>
      <c r="AF1537" s="1684"/>
      <c r="AG1537" s="1684"/>
      <c r="AH1537" s="1684"/>
      <c r="AI1537" s="1684"/>
      <c r="AJ1537" s="1684"/>
      <c r="AK1537" s="1684"/>
      <c r="AL1537" s="1684"/>
      <c r="AM1537" s="1684"/>
      <c r="AN1537" s="1684"/>
      <c r="AO1537" s="1684"/>
      <c r="AP1537" s="1684"/>
      <c r="AQ1537" s="1684"/>
      <c r="AR1537" s="1684"/>
      <c r="AS1537" s="1684"/>
      <c r="AT1537" s="1684"/>
      <c r="AU1537" s="1684"/>
      <c r="AV1537" s="1684"/>
      <c r="AW1537" s="1684"/>
      <c r="AX1537" s="1684"/>
      <c r="AY1537" s="1684"/>
      <c r="AZ1537" s="1684"/>
      <c r="BA1537" s="1684"/>
      <c r="BB1537" s="1684"/>
      <c r="BC1537" s="1684"/>
      <c r="BD1537" s="1684"/>
      <c r="BE1537" s="1684"/>
      <c r="BF1537" s="1684"/>
      <c r="BG1537" s="1684"/>
      <c r="BH1537" s="1684"/>
      <c r="BI1537" s="1684"/>
      <c r="BJ1537" s="1684"/>
      <c r="BK1537" s="1684"/>
      <c r="BL1537" s="1684"/>
      <c r="BM1537" s="1684"/>
      <c r="BN1537" s="1684"/>
      <c r="BO1537" s="1684"/>
      <c r="BP1537" s="1684"/>
      <c r="BQ1537" s="1684"/>
      <c r="BR1537" s="1684"/>
      <c r="BS1537" s="1684"/>
      <c r="BT1537" s="1684"/>
      <c r="BU1537" s="1684"/>
      <c r="BV1537" s="1684"/>
      <c r="BW1537" s="1684"/>
      <c r="BX1537" s="1684"/>
      <c r="BY1537" s="1684"/>
      <c r="BZ1537" s="1684"/>
      <c r="CA1537" s="1684"/>
      <c r="CB1537" s="1684"/>
      <c r="CC1537" s="1684"/>
      <c r="CD1537" s="1684"/>
      <c r="CE1537" s="1684"/>
      <c r="CF1537" s="1684"/>
      <c r="CG1537" s="1684"/>
      <c r="CH1537" s="1684"/>
      <c r="CI1537" s="1684"/>
      <c r="CJ1537" s="1684"/>
      <c r="CK1537" s="1684"/>
      <c r="CL1537" s="1684"/>
      <c r="CM1537" s="1684"/>
      <c r="CN1537" s="1684"/>
      <c r="CO1537" s="1684"/>
    </row>
    <row r="1538" spans="1:93" s="1391" customFormat="1" ht="15" x14ac:dyDescent="0.2">
      <c r="A1538" s="1684"/>
      <c r="B1538" s="1684"/>
      <c r="C1538"/>
      <c r="D1538"/>
      <c r="E1538"/>
      <c r="F1538"/>
      <c r="G1538"/>
      <c r="H1538"/>
      <c r="I1538"/>
      <c r="J1538"/>
      <c r="K1538"/>
      <c r="L1538"/>
      <c r="M1538"/>
      <c r="N1538"/>
      <c r="O1538"/>
      <c r="P1538"/>
      <c r="Q1538"/>
      <c r="R1538"/>
      <c r="S1538" s="1684"/>
      <c r="T1538" s="1684"/>
      <c r="U1538" s="1684"/>
      <c r="V1538" s="1684"/>
      <c r="W1538" s="1684"/>
      <c r="X1538" s="1684"/>
      <c r="Y1538" s="1684"/>
      <c r="Z1538" s="1684"/>
      <c r="AA1538" s="1684"/>
      <c r="AB1538" s="1684"/>
      <c r="AC1538" s="1684"/>
      <c r="AD1538" s="1684"/>
      <c r="AE1538" s="1684"/>
      <c r="AF1538" s="1684"/>
      <c r="AG1538" s="1684"/>
      <c r="AH1538" s="1684"/>
      <c r="AI1538" s="1684"/>
      <c r="AJ1538" s="1684"/>
      <c r="AK1538" s="1684"/>
      <c r="AL1538" s="1684"/>
      <c r="AM1538" s="1684"/>
      <c r="AN1538" s="1684"/>
      <c r="AO1538" s="1684"/>
      <c r="AP1538" s="1684"/>
      <c r="AQ1538" s="1684"/>
      <c r="AR1538" s="1684"/>
      <c r="AS1538" s="1684"/>
      <c r="AT1538" s="1684"/>
      <c r="AU1538" s="1684"/>
      <c r="AV1538" s="1684"/>
      <c r="AW1538" s="1684"/>
      <c r="AX1538" s="1684"/>
      <c r="AY1538" s="1684"/>
      <c r="AZ1538" s="1684"/>
      <c r="BA1538" s="1684"/>
      <c r="BB1538" s="1684"/>
      <c r="BC1538" s="1684"/>
      <c r="BD1538" s="1684"/>
      <c r="BE1538" s="1684"/>
      <c r="BF1538" s="1684"/>
      <c r="BG1538" s="1684"/>
      <c r="BH1538" s="1684"/>
      <c r="BI1538" s="1684"/>
      <c r="BJ1538" s="1684"/>
      <c r="BK1538" s="1684"/>
      <c r="BL1538" s="1684"/>
      <c r="BM1538" s="1684"/>
      <c r="BN1538" s="1684"/>
      <c r="BO1538" s="1684"/>
      <c r="BP1538" s="1684"/>
      <c r="BQ1538" s="1684"/>
      <c r="BR1538" s="1684"/>
      <c r="BS1538" s="1684"/>
      <c r="BT1538" s="1684"/>
      <c r="BU1538" s="1684"/>
      <c r="BV1538" s="1684"/>
      <c r="BW1538" s="1684"/>
      <c r="BX1538" s="1684"/>
      <c r="BY1538" s="1684"/>
      <c r="BZ1538" s="1684"/>
      <c r="CA1538" s="1684"/>
      <c r="CB1538" s="1684"/>
      <c r="CC1538" s="1684"/>
      <c r="CD1538" s="1684"/>
      <c r="CE1538" s="1684"/>
      <c r="CF1538" s="1684"/>
      <c r="CG1538" s="1684"/>
      <c r="CH1538" s="1684"/>
      <c r="CI1538" s="1684"/>
      <c r="CJ1538" s="1684"/>
      <c r="CK1538" s="1684"/>
      <c r="CL1538" s="1684"/>
      <c r="CM1538" s="1684"/>
      <c r="CN1538" s="1684"/>
      <c r="CO1538" s="1684"/>
    </row>
    <row r="1539" spans="1:93" s="1391" customFormat="1" ht="75" x14ac:dyDescent="0.2">
      <c r="A1539" s="1684"/>
      <c r="B1539" s="1684"/>
      <c r="C1539" s="1685" t="s">
        <v>4814</v>
      </c>
      <c r="D1539" s="1686"/>
      <c r="F1539" s="1660" t="s">
        <v>4815</v>
      </c>
      <c r="G1539" s="1660" t="s">
        <v>4816</v>
      </c>
      <c r="H1539" s="1660" t="s">
        <v>4817</v>
      </c>
      <c r="I1539" s="1684"/>
      <c r="J1539" s="1684"/>
      <c r="K1539" s="1684"/>
      <c r="L1539" s="1684"/>
      <c r="M1539" s="1684"/>
      <c r="N1539" s="1684"/>
      <c r="O1539" s="1684"/>
      <c r="P1539" s="1684"/>
      <c r="Q1539" s="1684"/>
      <c r="R1539" s="1684"/>
      <c r="S1539" s="1684"/>
      <c r="T1539" s="1684"/>
      <c r="U1539" s="1684"/>
      <c r="V1539" s="1684"/>
      <c r="W1539" s="1684"/>
      <c r="X1539" s="1684"/>
      <c r="Y1539" s="1684"/>
      <c r="Z1539" s="1684"/>
      <c r="AA1539" s="1684"/>
      <c r="AB1539" s="1684"/>
      <c r="AC1539" s="1684"/>
      <c r="AD1539" s="1684"/>
      <c r="AE1539" s="1684"/>
      <c r="AF1539" s="1684"/>
      <c r="AG1539" s="1684"/>
      <c r="AH1539" s="1684"/>
      <c r="AI1539" s="1684"/>
      <c r="AJ1539" s="1684"/>
      <c r="AK1539" s="1684"/>
      <c r="AL1539" s="1684"/>
      <c r="AM1539" s="1684"/>
      <c r="AN1539" s="1684"/>
      <c r="AO1539" s="1684"/>
      <c r="AP1539" s="1684"/>
      <c r="AQ1539" s="1684"/>
      <c r="AR1539" s="1684"/>
      <c r="AS1539" s="1684"/>
      <c r="AT1539" s="1684"/>
      <c r="AU1539" s="1684"/>
      <c r="AV1539" s="1684"/>
      <c r="AW1539" s="1684"/>
      <c r="AX1539" s="1684"/>
      <c r="AY1539" s="1684"/>
      <c r="AZ1539" s="1684"/>
      <c r="BA1539" s="1684"/>
      <c r="BB1539" s="1684"/>
      <c r="BC1539" s="1684"/>
      <c r="BD1539" s="1684"/>
      <c r="BE1539" s="1684"/>
      <c r="BF1539" s="1684"/>
      <c r="BG1539" s="1684"/>
      <c r="BH1539" s="1684"/>
      <c r="BI1539" s="1684"/>
      <c r="BJ1539" s="1684"/>
      <c r="BK1539" s="1684"/>
      <c r="BL1539" s="1684"/>
      <c r="BM1539" s="1684"/>
      <c r="BN1539" s="1684"/>
      <c r="BO1539" s="1684"/>
      <c r="BP1539" s="1684"/>
      <c r="BQ1539" s="1684"/>
      <c r="BR1539" s="1684"/>
      <c r="BS1539" s="1684"/>
      <c r="BT1539" s="1684"/>
      <c r="BU1539" s="1684"/>
      <c r="BV1539" s="1684"/>
      <c r="BW1539" s="1684"/>
      <c r="BX1539" s="1684"/>
      <c r="BY1539" s="1684"/>
      <c r="BZ1539" s="1684"/>
      <c r="CA1539" s="1684"/>
      <c r="CB1539" s="1684"/>
      <c r="CC1539" s="1684"/>
      <c r="CD1539" s="1684"/>
      <c r="CE1539" s="1684"/>
      <c r="CF1539" s="1684"/>
      <c r="CG1539" s="1684"/>
      <c r="CH1539" s="1684"/>
      <c r="CI1539" s="1684"/>
      <c r="CJ1539" s="1684"/>
      <c r="CK1539" s="1684"/>
      <c r="CL1539" s="1684"/>
      <c r="CM1539" s="1684"/>
      <c r="CN1539" s="1684"/>
      <c r="CO1539" s="1684"/>
    </row>
    <row r="1540" spans="1:93" s="1391" customFormat="1" ht="90" x14ac:dyDescent="0.2">
      <c r="A1540" s="1684"/>
      <c r="B1540" s="1684"/>
      <c r="C1540" s="1685"/>
      <c r="D1540" s="1686"/>
      <c r="F1540" s="1660"/>
      <c r="G1540" s="1660"/>
      <c r="H1540" s="1660"/>
      <c r="I1540" s="1684"/>
      <c r="J1540" s="1391" t="s">
        <v>2490</v>
      </c>
      <c r="K1540" s="1391" t="s">
        <v>5484</v>
      </c>
      <c r="L1540" s="1687" t="s">
        <v>4818</v>
      </c>
      <c r="M1540" s="1684"/>
      <c r="N1540" s="1684"/>
      <c r="O1540" s="1684"/>
      <c r="P1540" s="1684"/>
      <c r="Q1540" s="1684"/>
      <c r="R1540" s="1684"/>
      <c r="S1540" s="1684"/>
      <c r="T1540" s="1684"/>
      <c r="U1540" s="1684"/>
      <c r="V1540" s="1684"/>
      <c r="W1540" s="1684"/>
      <c r="X1540" s="1684"/>
      <c r="Y1540" s="1684"/>
      <c r="Z1540" s="1684"/>
      <c r="AA1540" s="1684"/>
      <c r="AB1540" s="1684"/>
      <c r="AC1540" s="1684"/>
      <c r="AD1540" s="1684"/>
      <c r="AE1540" s="1684"/>
      <c r="AF1540" s="1684"/>
      <c r="AG1540" s="1684"/>
      <c r="AH1540" s="1684"/>
      <c r="AI1540" s="1684"/>
      <c r="AJ1540" s="1684"/>
      <c r="AK1540" s="1684"/>
      <c r="AL1540" s="1684"/>
      <c r="AM1540" s="1684"/>
      <c r="AN1540" s="1684"/>
      <c r="AO1540" s="1684"/>
      <c r="AP1540" s="1684"/>
      <c r="AQ1540" s="1684"/>
      <c r="AR1540" s="1684"/>
      <c r="AS1540" s="1684"/>
      <c r="AT1540" s="1684"/>
      <c r="AU1540" s="1684"/>
      <c r="AV1540" s="1684"/>
      <c r="AW1540" s="1684"/>
      <c r="AX1540" s="1684"/>
      <c r="AY1540" s="1684"/>
      <c r="AZ1540" s="1684"/>
      <c r="BA1540" s="1684"/>
      <c r="BB1540" s="1684"/>
      <c r="BC1540" s="1684"/>
      <c r="BD1540" s="1684"/>
      <c r="BE1540" s="1684"/>
      <c r="BF1540" s="1684"/>
      <c r="BG1540" s="1684"/>
      <c r="BH1540" s="1684"/>
      <c r="BI1540" s="1684"/>
      <c r="BJ1540" s="1684"/>
      <c r="BK1540" s="1684"/>
      <c r="BL1540" s="1684"/>
      <c r="BM1540" s="1684"/>
      <c r="BN1540" s="1684"/>
      <c r="BO1540" s="1684"/>
      <c r="BP1540" s="1684"/>
      <c r="BQ1540" s="1684"/>
      <c r="BR1540" s="1684"/>
      <c r="BS1540" s="1684"/>
      <c r="BT1540" s="1684"/>
      <c r="BU1540" s="1684"/>
      <c r="BV1540" s="1684"/>
      <c r="BW1540" s="1684"/>
      <c r="BX1540" s="1684"/>
      <c r="BY1540" s="1684"/>
      <c r="BZ1540" s="1684"/>
      <c r="CA1540" s="1684"/>
      <c r="CB1540" s="1684"/>
      <c r="CC1540" s="1684"/>
      <c r="CD1540" s="1684"/>
      <c r="CE1540" s="1684"/>
      <c r="CF1540" s="1684"/>
      <c r="CG1540" s="1684"/>
      <c r="CH1540" s="1684"/>
      <c r="CI1540" s="1684"/>
      <c r="CJ1540" s="1684"/>
      <c r="CK1540" s="1684"/>
      <c r="CL1540" s="1684"/>
      <c r="CM1540" s="1684"/>
      <c r="CN1540" s="1684"/>
      <c r="CO1540" s="1684"/>
    </row>
    <row r="1541" spans="1:93" s="1391" customFormat="1" ht="15" x14ac:dyDescent="0.2">
      <c r="A1541" s="1684"/>
      <c r="B1541" s="1684"/>
      <c r="C1541" s="1686">
        <v>1</v>
      </c>
      <c r="D1541" s="1686">
        <v>1</v>
      </c>
      <c r="F1541" s="1660">
        <v>1</v>
      </c>
      <c r="G1541" s="1660">
        <v>1</v>
      </c>
      <c r="H1541" s="1660">
        <v>1</v>
      </c>
      <c r="I1541" s="1684"/>
      <c r="J1541" s="1391">
        <v>1</v>
      </c>
      <c r="K1541" s="1391" t="s">
        <v>4819</v>
      </c>
      <c r="M1541" s="1684"/>
      <c r="N1541" s="1684"/>
      <c r="O1541" s="1684"/>
      <c r="P1541" s="1684"/>
      <c r="Q1541" s="1684"/>
      <c r="R1541" s="1684"/>
      <c r="S1541" s="1684"/>
      <c r="T1541" s="1684"/>
      <c r="U1541" s="1684"/>
      <c r="V1541" s="1684"/>
      <c r="W1541" s="1684"/>
      <c r="X1541" s="1684"/>
      <c r="Y1541" s="1684"/>
      <c r="Z1541" s="1684"/>
      <c r="AA1541" s="1684"/>
      <c r="AB1541" s="1684"/>
      <c r="AC1541" s="1684"/>
      <c r="AD1541" s="1684"/>
      <c r="AE1541" s="1684"/>
      <c r="AF1541" s="1684"/>
      <c r="AG1541" s="1684"/>
      <c r="AH1541" s="1684"/>
      <c r="AI1541" s="1684"/>
      <c r="AJ1541" s="1684"/>
      <c r="AK1541" s="1684"/>
      <c r="AL1541" s="1684"/>
      <c r="AM1541" s="1684"/>
      <c r="AN1541" s="1684"/>
      <c r="AO1541" s="1684"/>
      <c r="AP1541" s="1684"/>
      <c r="AQ1541" s="1684"/>
      <c r="AR1541" s="1684"/>
      <c r="AS1541" s="1684"/>
      <c r="AT1541" s="1684"/>
      <c r="AU1541" s="1684"/>
      <c r="AV1541" s="1684"/>
      <c r="AW1541" s="1684"/>
      <c r="AX1541" s="1684"/>
      <c r="AY1541" s="1684"/>
      <c r="AZ1541" s="1684"/>
      <c r="BA1541" s="1684"/>
      <c r="BB1541" s="1684"/>
      <c r="BC1541" s="1684"/>
      <c r="BD1541" s="1684"/>
      <c r="BE1541" s="1684"/>
      <c r="BF1541" s="1684"/>
      <c r="BG1541" s="1684"/>
      <c r="BH1541" s="1684"/>
      <c r="BI1541" s="1684"/>
      <c r="BJ1541" s="1684"/>
      <c r="BK1541" s="1684"/>
      <c r="BL1541" s="1684"/>
      <c r="BM1541" s="1684"/>
      <c r="BN1541" s="1684"/>
      <c r="BO1541" s="1684"/>
      <c r="BP1541" s="1684"/>
      <c r="BQ1541" s="1684"/>
      <c r="BR1541" s="1684"/>
      <c r="BS1541" s="1684"/>
      <c r="BT1541" s="1684"/>
      <c r="BU1541" s="1684"/>
      <c r="BV1541" s="1684"/>
      <c r="BW1541" s="1684"/>
      <c r="BX1541" s="1684"/>
      <c r="BY1541" s="1684"/>
      <c r="BZ1541" s="1684"/>
      <c r="CA1541" s="1684"/>
      <c r="CB1541" s="1684"/>
      <c r="CC1541" s="1684"/>
      <c r="CD1541" s="1684"/>
      <c r="CE1541" s="1684"/>
      <c r="CF1541" s="1684"/>
      <c r="CG1541" s="1684"/>
      <c r="CH1541" s="1684"/>
      <c r="CI1541" s="1684"/>
      <c r="CJ1541" s="1684"/>
      <c r="CK1541" s="1684"/>
      <c r="CL1541" s="1684"/>
      <c r="CM1541" s="1684"/>
      <c r="CN1541" s="1684"/>
      <c r="CO1541" s="1684"/>
    </row>
    <row r="1542" spans="1:93" s="1391" customFormat="1" ht="15" x14ac:dyDescent="0.2">
      <c r="A1542" s="1684"/>
      <c r="B1542" s="1684"/>
      <c r="C1542" s="1686">
        <v>2</v>
      </c>
      <c r="D1542" s="1686">
        <v>0.95</v>
      </c>
      <c r="F1542" s="1660">
        <v>2</v>
      </c>
      <c r="G1542" s="1660">
        <v>0.9</v>
      </c>
      <c r="H1542" s="1660">
        <v>0.95</v>
      </c>
      <c r="I1542" s="1684"/>
      <c r="J1542" s="1391">
        <v>2</v>
      </c>
      <c r="K1542" s="1391" t="s">
        <v>4820</v>
      </c>
      <c r="M1542" s="1684"/>
      <c r="N1542" s="1684"/>
      <c r="O1542" s="1684"/>
      <c r="P1542" s="1684"/>
      <c r="Q1542" s="1684"/>
      <c r="R1542" s="1684"/>
      <c r="S1542" s="1684"/>
      <c r="T1542" s="1684"/>
      <c r="U1542" s="1684"/>
      <c r="V1542" s="1684"/>
      <c r="W1542" s="1684"/>
      <c r="X1542" s="1684"/>
      <c r="Y1542" s="1684"/>
      <c r="Z1542" s="1684"/>
      <c r="AA1542" s="1684"/>
      <c r="AB1542" s="1684"/>
      <c r="AC1542" s="1684"/>
      <c r="AD1542" s="1684"/>
      <c r="AE1542" s="1684"/>
      <c r="AF1542" s="1684"/>
      <c r="AG1542" s="1684"/>
      <c r="AH1542" s="1684"/>
      <c r="AI1542" s="1684"/>
      <c r="AJ1542" s="1684"/>
      <c r="AK1542" s="1684"/>
      <c r="AL1542" s="1684"/>
      <c r="AM1542" s="1684"/>
      <c r="AN1542" s="1684"/>
      <c r="AO1542" s="1684"/>
      <c r="AP1542" s="1684"/>
      <c r="AQ1542" s="1684"/>
      <c r="AR1542" s="1684"/>
      <c r="AS1542" s="1684"/>
      <c r="AT1542" s="1684"/>
      <c r="AU1542" s="1684"/>
      <c r="AV1542" s="1684"/>
      <c r="AW1542" s="1684"/>
      <c r="AX1542" s="1684"/>
      <c r="AY1542" s="1684"/>
      <c r="AZ1542" s="1684"/>
      <c r="BA1542" s="1684"/>
      <c r="BB1542" s="1684"/>
      <c r="BC1542" s="1684"/>
      <c r="BD1542" s="1684"/>
      <c r="BE1542" s="1684"/>
      <c r="BF1542" s="1684"/>
      <c r="BG1542" s="1684"/>
      <c r="BH1542" s="1684"/>
      <c r="BI1542" s="1684"/>
      <c r="BJ1542" s="1684"/>
      <c r="BK1542" s="1684"/>
      <c r="BL1542" s="1684"/>
      <c r="BM1542" s="1684"/>
      <c r="BN1542" s="1684"/>
      <c r="BO1542" s="1684"/>
      <c r="BP1542" s="1684"/>
      <c r="BQ1542" s="1684"/>
      <c r="BR1542" s="1684"/>
      <c r="BS1542" s="1684"/>
      <c r="BT1542" s="1684"/>
      <c r="BU1542" s="1684"/>
      <c r="BV1542" s="1684"/>
      <c r="BW1542" s="1684"/>
      <c r="BX1542" s="1684"/>
      <c r="BY1542" s="1684"/>
      <c r="BZ1542" s="1684"/>
      <c r="CA1542" s="1684"/>
      <c r="CB1542" s="1684"/>
      <c r="CC1542" s="1684"/>
      <c r="CD1542" s="1684"/>
      <c r="CE1542" s="1684"/>
      <c r="CF1542" s="1684"/>
      <c r="CG1542" s="1684"/>
      <c r="CH1542" s="1684"/>
      <c r="CI1542" s="1684"/>
      <c r="CJ1542" s="1684"/>
      <c r="CK1542" s="1684"/>
      <c r="CL1542" s="1684"/>
      <c r="CM1542" s="1684"/>
      <c r="CN1542" s="1684"/>
      <c r="CO1542" s="1684"/>
    </row>
    <row r="1543" spans="1:93" s="1391" customFormat="1" ht="15" x14ac:dyDescent="0.2">
      <c r="A1543" s="1684"/>
      <c r="B1543" s="1684"/>
      <c r="C1543" s="1686">
        <v>3</v>
      </c>
      <c r="D1543" s="1686">
        <v>0.9</v>
      </c>
      <c r="F1543" s="1660">
        <v>3</v>
      </c>
      <c r="G1543" s="1660">
        <v>0.85</v>
      </c>
      <c r="H1543" s="1660">
        <v>0.9</v>
      </c>
      <c r="I1543" s="1684"/>
      <c r="J1543" s="1391">
        <v>3</v>
      </c>
      <c r="K1543" s="1391" t="s">
        <v>4821</v>
      </c>
      <c r="M1543" s="1684"/>
      <c r="N1543" s="1684"/>
      <c r="O1543" s="1684"/>
      <c r="P1543" s="1684"/>
      <c r="Q1543" s="1684"/>
      <c r="R1543" s="1684"/>
      <c r="S1543" s="1684"/>
      <c r="T1543" s="1684"/>
      <c r="U1543" s="1684"/>
      <c r="V1543" s="1684"/>
      <c r="W1543" s="1684"/>
      <c r="X1543" s="1684"/>
      <c r="Y1543" s="1684"/>
      <c r="Z1543" s="1684"/>
      <c r="AA1543" s="1684"/>
      <c r="AB1543" s="1684"/>
      <c r="AC1543" s="1684"/>
      <c r="AD1543" s="1684"/>
      <c r="AE1543" s="1684"/>
      <c r="AF1543" s="1684"/>
      <c r="AG1543" s="1684"/>
      <c r="AH1543" s="1684"/>
      <c r="AI1543" s="1684"/>
      <c r="AJ1543" s="1684"/>
      <c r="AK1543" s="1684"/>
      <c r="AL1543" s="1684"/>
      <c r="AM1543" s="1684"/>
      <c r="AN1543" s="1684"/>
      <c r="AO1543" s="1684"/>
      <c r="AP1543" s="1684"/>
      <c r="AQ1543" s="1684"/>
      <c r="AR1543" s="1684"/>
      <c r="AS1543" s="1684"/>
      <c r="AT1543" s="1684"/>
      <c r="AU1543" s="1684"/>
      <c r="AV1543" s="1684"/>
      <c r="AW1543" s="1684"/>
      <c r="AX1543" s="1684"/>
      <c r="AY1543" s="1684"/>
      <c r="AZ1543" s="1684"/>
      <c r="BA1543" s="1684"/>
      <c r="BB1543" s="1684"/>
      <c r="BC1543" s="1684"/>
      <c r="BD1543" s="1684"/>
      <c r="BE1543" s="1684"/>
      <c r="BF1543" s="1684"/>
      <c r="BG1543" s="1684"/>
      <c r="BH1543" s="1684"/>
      <c r="BI1543" s="1684"/>
      <c r="BJ1543" s="1684"/>
      <c r="BK1543" s="1684"/>
      <c r="BL1543" s="1684"/>
      <c r="BM1543" s="1684"/>
      <c r="BN1543" s="1684"/>
      <c r="BO1543" s="1684"/>
      <c r="BP1543" s="1684"/>
      <c r="BQ1543" s="1684"/>
      <c r="BR1543" s="1684"/>
      <c r="BS1543" s="1684"/>
      <c r="BT1543" s="1684"/>
      <c r="BU1543" s="1684"/>
      <c r="BV1543" s="1684"/>
      <c r="BW1543" s="1684"/>
      <c r="BX1543" s="1684"/>
      <c r="BY1543" s="1684"/>
      <c r="BZ1543" s="1684"/>
      <c r="CA1543" s="1684"/>
      <c r="CB1543" s="1684"/>
      <c r="CC1543" s="1684"/>
      <c r="CD1543" s="1684"/>
      <c r="CE1543" s="1684"/>
      <c r="CF1543" s="1684"/>
      <c r="CG1543" s="1684"/>
      <c r="CH1543" s="1684"/>
      <c r="CI1543" s="1684"/>
      <c r="CJ1543" s="1684"/>
      <c r="CK1543" s="1684"/>
      <c r="CL1543" s="1684"/>
      <c r="CM1543" s="1684"/>
      <c r="CN1543" s="1684"/>
      <c r="CO1543" s="1684"/>
    </row>
    <row r="1544" spans="1:93" s="1391" customFormat="1" ht="15" x14ac:dyDescent="0.2">
      <c r="A1544" s="1684"/>
      <c r="B1544" s="1684"/>
      <c r="C1544" s="1686">
        <v>4</v>
      </c>
      <c r="D1544" s="1686">
        <v>0.85</v>
      </c>
      <c r="F1544" s="1660">
        <v>4</v>
      </c>
      <c r="G1544" s="1660">
        <v>0.8</v>
      </c>
      <c r="H1544" s="1660">
        <v>0.85</v>
      </c>
      <c r="I1544" s="1684"/>
      <c r="J1544" s="1391">
        <v>4</v>
      </c>
      <c r="K1544" s="1391" t="s">
        <v>4822</v>
      </c>
      <c r="M1544" s="1684"/>
      <c r="N1544" s="1684"/>
      <c r="O1544" s="1684"/>
      <c r="P1544" s="1684"/>
      <c r="Q1544" s="1684"/>
      <c r="R1544" s="1684"/>
      <c r="S1544" s="1684"/>
      <c r="T1544" s="1684"/>
      <c r="U1544" s="1684"/>
      <c r="V1544" s="1684"/>
      <c r="W1544" s="1684"/>
      <c r="X1544" s="1684"/>
      <c r="Y1544" s="1684"/>
      <c r="Z1544" s="1684"/>
      <c r="AA1544" s="1684"/>
      <c r="AB1544" s="1684"/>
      <c r="AC1544" s="1684"/>
      <c r="AD1544" s="1684"/>
      <c r="AE1544" s="1684"/>
      <c r="AF1544" s="1684"/>
      <c r="AG1544" s="1684"/>
      <c r="AH1544" s="1684"/>
      <c r="AI1544" s="1684"/>
      <c r="AJ1544" s="1684"/>
      <c r="AK1544" s="1684"/>
      <c r="AL1544" s="1684"/>
      <c r="AM1544" s="1684"/>
      <c r="AN1544" s="1684"/>
      <c r="AO1544" s="1684"/>
      <c r="AP1544" s="1684"/>
      <c r="AQ1544" s="1684"/>
      <c r="AR1544" s="1684"/>
      <c r="AS1544" s="1684"/>
      <c r="AT1544" s="1684"/>
      <c r="AU1544" s="1684"/>
      <c r="AV1544" s="1684"/>
      <c r="AW1544" s="1684"/>
      <c r="AX1544" s="1684"/>
      <c r="AY1544" s="1684"/>
      <c r="AZ1544" s="1684"/>
      <c r="BA1544" s="1684"/>
      <c r="BB1544" s="1684"/>
      <c r="BC1544" s="1684"/>
      <c r="BD1544" s="1684"/>
      <c r="BE1544" s="1684"/>
      <c r="BF1544" s="1684"/>
      <c r="BG1544" s="1684"/>
      <c r="BH1544" s="1684"/>
      <c r="BI1544" s="1684"/>
      <c r="BJ1544" s="1684"/>
      <c r="BK1544" s="1684"/>
      <c r="BL1544" s="1684"/>
      <c r="BM1544" s="1684"/>
      <c r="BN1544" s="1684"/>
      <c r="BO1544" s="1684"/>
      <c r="BP1544" s="1684"/>
      <c r="BQ1544" s="1684"/>
      <c r="BR1544" s="1684"/>
      <c r="BS1544" s="1684"/>
      <c r="BT1544" s="1684"/>
      <c r="BU1544" s="1684"/>
      <c r="BV1544" s="1684"/>
      <c r="BW1544" s="1684"/>
      <c r="BX1544" s="1684"/>
      <c r="BY1544" s="1684"/>
      <c r="BZ1544" s="1684"/>
      <c r="CA1544" s="1684"/>
      <c r="CB1544" s="1684"/>
      <c r="CC1544" s="1684"/>
      <c r="CD1544" s="1684"/>
      <c r="CE1544" s="1684"/>
      <c r="CF1544" s="1684"/>
      <c r="CG1544" s="1684"/>
      <c r="CH1544" s="1684"/>
      <c r="CI1544" s="1684"/>
      <c r="CJ1544" s="1684"/>
      <c r="CK1544" s="1684"/>
      <c r="CL1544" s="1684"/>
      <c r="CM1544" s="1684"/>
      <c r="CN1544" s="1684"/>
      <c r="CO1544" s="1684"/>
    </row>
    <row r="1545" spans="1:93" s="1391" customFormat="1" ht="15" x14ac:dyDescent="0.2">
      <c r="A1545" s="1684"/>
      <c r="B1545" s="1684"/>
      <c r="I1545" s="1684"/>
      <c r="J1545" s="1391">
        <v>5</v>
      </c>
      <c r="K1545" s="1391" t="s">
        <v>4823</v>
      </c>
      <c r="M1545" s="1684"/>
      <c r="N1545" s="1684"/>
      <c r="O1545" s="1684"/>
      <c r="P1545" s="1684"/>
      <c r="Q1545" s="1684"/>
      <c r="R1545" s="1684"/>
      <c r="S1545" s="1684"/>
      <c r="T1545" s="1684"/>
      <c r="U1545" s="1684"/>
      <c r="V1545" s="1684"/>
      <c r="W1545" s="1684"/>
      <c r="X1545" s="1684"/>
      <c r="Y1545" s="1684"/>
      <c r="Z1545" s="1684"/>
      <c r="AA1545" s="1684"/>
      <c r="AB1545" s="1684"/>
      <c r="AC1545" s="1684"/>
      <c r="AD1545" s="1684"/>
      <c r="AE1545" s="1684"/>
      <c r="AF1545" s="1684"/>
      <c r="AG1545" s="1684"/>
      <c r="AH1545" s="1684"/>
      <c r="AI1545" s="1684"/>
      <c r="AJ1545" s="1684"/>
      <c r="AK1545" s="1684"/>
      <c r="AL1545" s="1684"/>
      <c r="AM1545" s="1684"/>
      <c r="AN1545" s="1684"/>
      <c r="AO1545" s="1684"/>
      <c r="AP1545" s="1684"/>
      <c r="AQ1545" s="1684"/>
      <c r="AR1545" s="1684"/>
      <c r="AS1545" s="1684"/>
      <c r="AT1545" s="1684"/>
      <c r="AU1545" s="1684"/>
      <c r="AV1545" s="1684"/>
      <c r="AW1545" s="1684"/>
      <c r="AX1545" s="1684"/>
      <c r="AY1545" s="1684"/>
      <c r="AZ1545" s="1684"/>
      <c r="BA1545" s="1684"/>
      <c r="BB1545" s="1684"/>
      <c r="BC1545" s="1684"/>
      <c r="BD1545" s="1684"/>
      <c r="BE1545" s="1684"/>
      <c r="BF1545" s="1684"/>
      <c r="BG1545" s="1684"/>
      <c r="BH1545" s="1684"/>
      <c r="BI1545" s="1684"/>
      <c r="BJ1545" s="1684"/>
      <c r="BK1545" s="1684"/>
      <c r="BL1545" s="1684"/>
      <c r="BM1545" s="1684"/>
      <c r="BN1545" s="1684"/>
      <c r="BO1545" s="1684"/>
      <c r="BP1545" s="1684"/>
      <c r="BQ1545" s="1684"/>
      <c r="BR1545" s="1684"/>
      <c r="BS1545" s="1684"/>
      <c r="BT1545" s="1684"/>
      <c r="BU1545" s="1684"/>
      <c r="BV1545" s="1684"/>
      <c r="BW1545" s="1684"/>
      <c r="BX1545" s="1684"/>
      <c r="BY1545" s="1684"/>
      <c r="BZ1545" s="1684"/>
      <c r="CA1545" s="1684"/>
      <c r="CB1545" s="1684"/>
      <c r="CC1545" s="1684"/>
      <c r="CD1545" s="1684"/>
      <c r="CE1545" s="1684"/>
      <c r="CF1545" s="1684"/>
      <c r="CG1545" s="1684"/>
      <c r="CH1545" s="1684"/>
      <c r="CI1545" s="1684"/>
      <c r="CJ1545" s="1684"/>
      <c r="CK1545" s="1684"/>
      <c r="CL1545" s="1684"/>
      <c r="CM1545" s="1684"/>
      <c r="CN1545" s="1684"/>
      <c r="CO1545" s="1684"/>
    </row>
    <row r="1546" spans="1:93" s="1391" customFormat="1" ht="15" x14ac:dyDescent="0.2">
      <c r="A1546" s="1684"/>
      <c r="B1546" s="1684"/>
      <c r="C1546" s="1688" t="s">
        <v>4824</v>
      </c>
      <c r="D1546" s="1688" t="s">
        <v>4825</v>
      </c>
      <c r="E1546" s="1688" t="s">
        <v>4826</v>
      </c>
      <c r="F1546" s="1688" t="s">
        <v>4827</v>
      </c>
      <c r="G1546" s="1688" t="s">
        <v>4828</v>
      </c>
      <c r="H1546" s="1688"/>
      <c r="I1546" s="1684"/>
      <c r="J1546" s="1684"/>
      <c r="K1546" s="1684"/>
      <c r="L1546" s="1684"/>
      <c r="M1546" s="1684"/>
      <c r="N1546" s="1684"/>
      <c r="O1546" s="1684"/>
      <c r="P1546" s="1684"/>
      <c r="Q1546" s="1684"/>
      <c r="R1546" s="1684"/>
      <c r="S1546" s="1684"/>
      <c r="T1546" s="1684"/>
      <c r="U1546" s="1684"/>
      <c r="V1546" s="1684"/>
      <c r="W1546" s="1684"/>
      <c r="X1546" s="1684"/>
      <c r="Y1546" s="1684"/>
      <c r="Z1546" s="1684"/>
      <c r="AA1546" s="1684"/>
      <c r="AB1546" s="1684"/>
      <c r="AC1546" s="1684"/>
      <c r="AD1546" s="1684"/>
      <c r="AE1546" s="1684"/>
      <c r="AF1546" s="1684"/>
      <c r="AG1546" s="1684"/>
      <c r="AH1546" s="1684"/>
      <c r="AI1546" s="1684"/>
      <c r="AJ1546" s="1684"/>
      <c r="AK1546" s="1684"/>
      <c r="AL1546" s="1684"/>
      <c r="AM1546" s="1684"/>
      <c r="AN1546" s="1684"/>
      <c r="AO1546" s="1684"/>
      <c r="AP1546" s="1684"/>
      <c r="AQ1546" s="1684"/>
      <c r="AR1546" s="1684"/>
      <c r="AS1546" s="1684"/>
      <c r="AT1546" s="1684"/>
      <c r="AU1546" s="1684"/>
      <c r="AV1546" s="1684"/>
      <c r="AW1546" s="1684"/>
      <c r="AX1546" s="1684"/>
      <c r="AY1546" s="1684"/>
      <c r="AZ1546" s="1684"/>
      <c r="BA1546" s="1684"/>
      <c r="BB1546" s="1684"/>
      <c r="BC1546" s="1684"/>
      <c r="BD1546" s="1684"/>
      <c r="BE1546" s="1684"/>
      <c r="BF1546" s="1684"/>
      <c r="BG1546" s="1684"/>
      <c r="BH1546" s="1684"/>
      <c r="BI1546" s="1684"/>
      <c r="BJ1546" s="1684"/>
      <c r="BK1546" s="1684"/>
      <c r="BL1546" s="1684"/>
      <c r="BM1546" s="1684"/>
      <c r="BN1546" s="1684"/>
      <c r="BO1546" s="1684"/>
      <c r="BP1546" s="1684"/>
      <c r="BQ1546" s="1684"/>
      <c r="BR1546" s="1684"/>
      <c r="BS1546" s="1684"/>
      <c r="BT1546" s="1684"/>
      <c r="BU1546" s="1684"/>
      <c r="BV1546" s="1684"/>
      <c r="BW1546" s="1684"/>
      <c r="BX1546" s="1684"/>
      <c r="BY1546" s="1684"/>
      <c r="BZ1546" s="1684"/>
      <c r="CA1546" s="1684"/>
      <c r="CB1546" s="1684"/>
      <c r="CC1546" s="1684"/>
      <c r="CD1546" s="1684"/>
      <c r="CE1546" s="1684"/>
      <c r="CF1546" s="1684"/>
      <c r="CG1546" s="1684"/>
      <c r="CH1546" s="1684"/>
      <c r="CI1546" s="1684"/>
      <c r="CJ1546" s="1684"/>
      <c r="CK1546" s="1684"/>
      <c r="CL1546" s="1684"/>
      <c r="CM1546" s="1684"/>
      <c r="CN1546" s="1684"/>
      <c r="CO1546" s="1684"/>
    </row>
    <row r="1547" spans="1:93" s="1391" customFormat="1" ht="15" x14ac:dyDescent="0.2">
      <c r="A1547" s="1684"/>
      <c r="B1547" s="1684"/>
      <c r="C1547" s="1688">
        <v>1</v>
      </c>
      <c r="D1547" s="1688">
        <v>0.95</v>
      </c>
      <c r="E1547" s="1688">
        <v>0.9</v>
      </c>
      <c r="F1547" s="1688">
        <v>0.85</v>
      </c>
      <c r="G1547" s="1688">
        <v>0.8</v>
      </c>
      <c r="H1547" s="1688"/>
      <c r="I1547" s="1684"/>
      <c r="J1547" s="1684"/>
      <c r="K1547" s="1684"/>
      <c r="L1547" s="1684"/>
      <c r="M1547" s="1684"/>
      <c r="N1547" s="1684"/>
      <c r="O1547" s="1684"/>
      <c r="P1547" s="1684"/>
      <c r="Q1547" s="1684"/>
      <c r="R1547" s="1684"/>
      <c r="S1547" s="1684"/>
      <c r="T1547" s="1684"/>
      <c r="U1547" s="1684"/>
      <c r="V1547" s="1684"/>
      <c r="W1547" s="1684"/>
      <c r="X1547" s="1684"/>
      <c r="Y1547" s="1684"/>
      <c r="Z1547" s="1684"/>
      <c r="AA1547" s="1684"/>
      <c r="AB1547" s="1684"/>
      <c r="AC1547" s="1684"/>
      <c r="AD1547" s="1684"/>
      <c r="AE1547" s="1684"/>
      <c r="AF1547" s="1684"/>
      <c r="AG1547" s="1684"/>
      <c r="AH1547" s="1684"/>
      <c r="AI1547" s="1684"/>
      <c r="AJ1547" s="1684"/>
      <c r="AK1547" s="1684"/>
      <c r="AL1547" s="1684"/>
      <c r="AM1547" s="1684"/>
      <c r="AN1547" s="1684"/>
      <c r="AO1547" s="1684"/>
      <c r="AP1547" s="1684"/>
      <c r="AQ1547" s="1684"/>
      <c r="AR1547" s="1684"/>
      <c r="AS1547" s="1684"/>
      <c r="AT1547" s="1684"/>
      <c r="AU1547" s="1684"/>
      <c r="AV1547" s="1684"/>
      <c r="AW1547" s="1684"/>
      <c r="AX1547" s="1684"/>
      <c r="AY1547" s="1684"/>
      <c r="AZ1547" s="1684"/>
      <c r="BA1547" s="1684"/>
      <c r="BB1547" s="1684"/>
      <c r="BC1547" s="1684"/>
      <c r="BD1547" s="1684"/>
      <c r="BE1547" s="1684"/>
      <c r="BF1547" s="1684"/>
      <c r="BG1547" s="1684"/>
      <c r="BH1547" s="1684"/>
      <c r="BI1547" s="1684"/>
      <c r="BJ1547" s="1684"/>
      <c r="BK1547" s="1684"/>
      <c r="BL1547" s="1684"/>
      <c r="BM1547" s="1684"/>
      <c r="BN1547" s="1684"/>
      <c r="BO1547" s="1684"/>
      <c r="BP1547" s="1684"/>
      <c r="BQ1547" s="1684"/>
      <c r="BR1547" s="1684"/>
      <c r="BS1547" s="1684"/>
      <c r="BT1547" s="1684"/>
      <c r="BU1547" s="1684"/>
      <c r="BV1547" s="1684"/>
      <c r="BW1547" s="1684"/>
      <c r="BX1547" s="1684"/>
      <c r="BY1547" s="1684"/>
      <c r="BZ1547" s="1684"/>
      <c r="CA1547" s="1684"/>
      <c r="CB1547" s="1684"/>
      <c r="CC1547" s="1684"/>
      <c r="CD1547" s="1684"/>
      <c r="CE1547" s="1684"/>
      <c r="CF1547" s="1684"/>
      <c r="CG1547" s="1684"/>
      <c r="CH1547" s="1684"/>
      <c r="CI1547" s="1684"/>
      <c r="CJ1547" s="1684"/>
      <c r="CK1547" s="1684"/>
      <c r="CL1547" s="1684"/>
      <c r="CM1547" s="1684"/>
      <c r="CN1547" s="1684"/>
      <c r="CO1547" s="1684"/>
    </row>
    <row r="1548" spans="1:93" s="1391" customFormat="1" ht="15.75" thickBot="1" x14ac:dyDescent="0.25">
      <c r="A1548" s="1684"/>
      <c r="B1548" s="1684"/>
      <c r="C1548" s="1689"/>
      <c r="D1548" s="1689"/>
      <c r="E1548" s="1689"/>
      <c r="F1548" s="1689"/>
      <c r="G1548" s="1684"/>
      <c r="H1548" s="1684"/>
      <c r="I1548" s="1684"/>
      <c r="J1548" s="1684"/>
      <c r="K1548" s="1684"/>
      <c r="L1548" s="1684"/>
      <c r="Q1548" s="1684"/>
      <c r="R1548" s="1684"/>
      <c r="S1548" s="1684"/>
      <c r="T1548" s="1684"/>
      <c r="U1548" s="1684"/>
      <c r="V1548" s="1684"/>
      <c r="W1548" s="1684"/>
      <c r="X1548" s="1684"/>
      <c r="Y1548" s="1684"/>
      <c r="Z1548" s="1684"/>
      <c r="AA1548" s="1684"/>
      <c r="AB1548" s="1684"/>
      <c r="AC1548" s="1684"/>
      <c r="AD1548" s="1684"/>
      <c r="AE1548" s="1684"/>
      <c r="AF1548" s="1684"/>
      <c r="AG1548" s="1684"/>
      <c r="AH1548" s="1684"/>
      <c r="AI1548" s="1684"/>
      <c r="AJ1548" s="1684"/>
      <c r="AK1548" s="1684"/>
      <c r="AL1548" s="1684"/>
      <c r="AM1548" s="1684"/>
      <c r="AN1548" s="1684"/>
      <c r="AO1548" s="1684"/>
      <c r="AP1548" s="1684"/>
      <c r="AQ1548" s="1684"/>
      <c r="AR1548" s="1684"/>
      <c r="AS1548" s="1684"/>
      <c r="AT1548" s="1684"/>
      <c r="AU1548" s="1684"/>
      <c r="AV1548" s="1684"/>
      <c r="AW1548" s="1684"/>
      <c r="AX1548" s="1684"/>
      <c r="AY1548" s="1684"/>
      <c r="AZ1548" s="1684"/>
      <c r="BA1548" s="1684"/>
      <c r="BB1548" s="1684"/>
      <c r="BC1548" s="1684"/>
      <c r="BD1548" s="1684"/>
      <c r="BE1548" s="1684"/>
      <c r="BF1548" s="1684"/>
      <c r="BG1548" s="1684"/>
      <c r="BH1548" s="1684"/>
      <c r="BI1548" s="1684"/>
      <c r="BJ1548" s="1684"/>
      <c r="BK1548" s="1684"/>
      <c r="BL1548" s="1684"/>
      <c r="BM1548" s="1684"/>
      <c r="BN1548" s="1684"/>
      <c r="BO1548" s="1684"/>
      <c r="BP1548" s="1684"/>
      <c r="BQ1548" s="1684"/>
      <c r="BR1548" s="1684"/>
      <c r="BS1548" s="1684"/>
      <c r="BT1548" s="1684"/>
      <c r="BU1548" s="1684"/>
      <c r="BV1548" s="1684"/>
      <c r="BW1548" s="1684"/>
      <c r="BX1548" s="1684"/>
      <c r="BY1548" s="1684"/>
      <c r="BZ1548" s="1684"/>
      <c r="CA1548" s="1684"/>
      <c r="CB1548" s="1684"/>
      <c r="CC1548" s="1684"/>
      <c r="CD1548" s="1684"/>
      <c r="CE1548" s="1684"/>
      <c r="CF1548" s="1684"/>
      <c r="CG1548" s="1684"/>
      <c r="CH1548" s="1684"/>
      <c r="CI1548" s="1684"/>
      <c r="CJ1548" s="1684"/>
      <c r="CK1548" s="1684"/>
      <c r="CL1548" s="1684"/>
      <c r="CM1548" s="1684"/>
      <c r="CN1548" s="1684"/>
      <c r="CO1548" s="1684"/>
    </row>
    <row r="1549" spans="1:93" s="1391" customFormat="1" ht="15.75" x14ac:dyDescent="0.25">
      <c r="A1549" s="1684"/>
      <c r="B1549" s="1690"/>
      <c r="C1549" s="4620"/>
      <c r="D1549" s="1691"/>
      <c r="E1549" s="1691"/>
      <c r="F1549" s="1692"/>
      <c r="G1549" s="1693"/>
      <c r="H1549" s="1728"/>
      <c r="I1549" s="1728"/>
      <c r="J1549" s="1728"/>
      <c r="K1549" s="1728"/>
      <c r="L1549" s="1728"/>
      <c r="M1549" s="1728"/>
      <c r="N1549" s="1728"/>
      <c r="O1549" s="1728"/>
      <c r="P1549" s="1728"/>
      <c r="Q1549" s="1728"/>
      <c r="T1549" s="1728"/>
      <c r="U1549" s="1728"/>
      <c r="V1549" s="1728"/>
      <c r="W1549" s="1728"/>
      <c r="X1549" s="1728"/>
      <c r="AQ1549" s="1684"/>
      <c r="AR1549" s="1684"/>
      <c r="AS1549" s="1684"/>
      <c r="AT1549" s="1684"/>
      <c r="AU1549" s="1684"/>
      <c r="AV1549" s="1684"/>
      <c r="AW1549" s="1684"/>
      <c r="AX1549" s="1684"/>
      <c r="AY1549" s="1684"/>
      <c r="AZ1549" s="1684"/>
      <c r="BA1549" s="1684"/>
      <c r="BB1549" s="1684"/>
      <c r="BC1549" s="1684"/>
      <c r="BD1549" s="1684"/>
      <c r="BE1549" s="1684"/>
      <c r="BF1549" s="1684"/>
      <c r="BG1549" s="1684"/>
      <c r="BH1549" s="1684"/>
      <c r="BI1549" s="1684"/>
      <c r="BJ1549" s="1684"/>
      <c r="BK1549" s="1684"/>
      <c r="BL1549" s="1684"/>
      <c r="BM1549" s="1684"/>
      <c r="BN1549" s="1684"/>
      <c r="BO1549" s="1684"/>
      <c r="BP1549" s="1684"/>
      <c r="BQ1549" s="1684"/>
      <c r="BR1549" s="1684"/>
      <c r="BS1549" s="1684"/>
      <c r="BT1549" s="1684"/>
      <c r="BU1549" s="1684"/>
      <c r="BV1549" s="1684"/>
      <c r="BW1549" s="1684"/>
      <c r="BX1549" s="1684"/>
      <c r="BY1549" s="1684"/>
      <c r="BZ1549" s="1684"/>
      <c r="CA1549" s="1684"/>
      <c r="CB1549" s="1684"/>
      <c r="CC1549" s="1684"/>
      <c r="CD1549" s="1684"/>
      <c r="CE1549" s="1684"/>
      <c r="CF1549" s="1684"/>
      <c r="CG1549" s="1684"/>
      <c r="CH1549" s="1684"/>
      <c r="CI1549" s="1684"/>
      <c r="CJ1549" s="1684"/>
      <c r="CK1549" s="1684"/>
      <c r="CL1549" s="1684"/>
      <c r="CM1549" s="1684"/>
      <c r="CN1549" s="1684"/>
      <c r="CO1549" s="1684"/>
    </row>
    <row r="1550" spans="1:93" s="1391" customFormat="1" ht="15.75" x14ac:dyDescent="0.25">
      <c r="A1550" s="1684"/>
      <c r="B1550" s="1690"/>
      <c r="C1550" s="4621"/>
      <c r="D1550" s="4622"/>
      <c r="E1550" s="4622"/>
      <c r="F1550" s="1695"/>
      <c r="G1550" s="1693"/>
      <c r="H1550" s="1728"/>
      <c r="I1550" s="1728"/>
      <c r="J1550" s="1728"/>
      <c r="K1550" s="1728"/>
      <c r="L1550" s="1728"/>
      <c r="M1550" s="1728"/>
      <c r="N1550" s="1728"/>
      <c r="O1550" s="1728"/>
      <c r="P1550" s="1728"/>
      <c r="Q1550" s="1728"/>
      <c r="T1550" s="1728"/>
      <c r="U1550" s="1728"/>
      <c r="V1550" s="1728"/>
      <c r="W1550" s="1728"/>
      <c r="X1550" s="1728"/>
      <c r="AQ1550" s="1684"/>
      <c r="AR1550" s="1684"/>
      <c r="AS1550" s="1684"/>
      <c r="AT1550" s="1684"/>
      <c r="AU1550" s="1684"/>
      <c r="AV1550" s="1684"/>
      <c r="AW1550" s="1684"/>
      <c r="AX1550" s="1684"/>
      <c r="AY1550" s="1684"/>
      <c r="AZ1550" s="1684"/>
      <c r="BA1550" s="1684"/>
      <c r="BB1550" s="1684"/>
      <c r="BC1550" s="1684"/>
      <c r="BD1550" s="1684"/>
      <c r="BE1550" s="1684"/>
      <c r="BF1550" s="1684"/>
      <c r="BG1550" s="1684"/>
      <c r="BH1550" s="1684"/>
      <c r="BI1550" s="1684"/>
      <c r="BJ1550" s="1684"/>
      <c r="BK1550" s="1684"/>
      <c r="BL1550" s="1684"/>
      <c r="BM1550" s="1684"/>
      <c r="BN1550" s="1684"/>
      <c r="BO1550" s="1684"/>
      <c r="BP1550" s="1684"/>
      <c r="BQ1550" s="1684"/>
      <c r="BR1550" s="1684"/>
      <c r="BS1550" s="1684"/>
      <c r="BT1550" s="1684"/>
      <c r="BU1550" s="1684"/>
      <c r="BV1550" s="1684"/>
      <c r="BW1550" s="1684"/>
      <c r="BX1550" s="1684"/>
      <c r="BY1550" s="1684"/>
      <c r="BZ1550" s="1684"/>
      <c r="CA1550" s="1684"/>
      <c r="CB1550" s="1684"/>
      <c r="CC1550" s="1684"/>
      <c r="CD1550" s="1684"/>
      <c r="CE1550" s="1684"/>
      <c r="CF1550" s="1684"/>
      <c r="CG1550" s="1684"/>
      <c r="CH1550" s="1684"/>
      <c r="CI1550" s="1684"/>
      <c r="CJ1550" s="1684"/>
      <c r="CK1550" s="1684"/>
      <c r="CL1550" s="1684"/>
      <c r="CM1550" s="1684"/>
      <c r="CN1550" s="1684"/>
      <c r="CO1550" s="1684"/>
    </row>
    <row r="1551" spans="1:93" s="1391" customFormat="1" ht="15.75" x14ac:dyDescent="0.25">
      <c r="A1551" s="1684"/>
      <c r="B1551" s="1690"/>
      <c r="C1551" s="4621"/>
      <c r="D1551" s="4622"/>
      <c r="E1551" s="4622"/>
      <c r="F1551" s="1695"/>
      <c r="G1551" s="1693"/>
      <c r="H1551" s="1728"/>
      <c r="I1551" s="1728"/>
      <c r="J1551" s="1728"/>
      <c r="K1551" s="1728"/>
      <c r="L1551" s="1728"/>
      <c r="M1551" s="1728"/>
      <c r="N1551" s="1728"/>
      <c r="O1551" s="1728"/>
      <c r="P1551" s="1728"/>
      <c r="Q1551" s="1728"/>
      <c r="T1551" s="1728"/>
      <c r="U1551" s="1728"/>
      <c r="V1551" s="1728"/>
      <c r="W1551" s="1728"/>
      <c r="X1551" s="1728"/>
      <c r="AQ1551" s="1684"/>
      <c r="AR1551" s="1684"/>
      <c r="AS1551" s="1684"/>
      <c r="AT1551" s="1684"/>
      <c r="AU1551" s="1684"/>
      <c r="AV1551" s="1684"/>
      <c r="AW1551" s="1684"/>
      <c r="AX1551" s="1684"/>
      <c r="AY1551" s="1684"/>
      <c r="AZ1551" s="1684"/>
      <c r="BA1551" s="1684"/>
      <c r="BB1551" s="1684"/>
      <c r="BC1551" s="1684"/>
      <c r="BD1551" s="1684"/>
      <c r="BE1551" s="1684"/>
      <c r="BF1551" s="1684"/>
      <c r="BG1551" s="1684"/>
      <c r="BH1551" s="1684"/>
      <c r="BI1551" s="1684"/>
      <c r="BJ1551" s="1684"/>
      <c r="BK1551" s="1684"/>
      <c r="BL1551" s="1684"/>
      <c r="BM1551" s="1684"/>
      <c r="BN1551" s="1684"/>
      <c r="BO1551" s="1684"/>
      <c r="BP1551" s="1684"/>
      <c r="BQ1551" s="1684"/>
      <c r="BR1551" s="1684"/>
      <c r="BS1551" s="1684"/>
      <c r="BT1551" s="1684"/>
      <c r="BU1551" s="1684"/>
      <c r="BV1551" s="1684"/>
      <c r="BW1551" s="1684"/>
      <c r="BX1551" s="1684"/>
      <c r="BY1551" s="1684"/>
      <c r="BZ1551" s="1684"/>
      <c r="CA1551" s="1684"/>
      <c r="CB1551" s="1684"/>
      <c r="CC1551" s="1684"/>
      <c r="CD1551" s="1684"/>
      <c r="CE1551" s="1684"/>
      <c r="CF1551" s="1684"/>
      <c r="CG1551" s="1684"/>
      <c r="CH1551" s="1684"/>
      <c r="CI1551" s="1684"/>
      <c r="CJ1551" s="1684"/>
      <c r="CK1551" s="1684"/>
      <c r="CL1551" s="1684"/>
      <c r="CM1551" s="1684"/>
      <c r="CN1551" s="1684"/>
      <c r="CO1551" s="1684"/>
    </row>
    <row r="1552" spans="1:93" s="1391" customFormat="1" ht="15.75" x14ac:dyDescent="0.25">
      <c r="A1552" s="1684"/>
      <c r="B1552" s="1690"/>
      <c r="C1552" s="4621"/>
      <c r="D1552" s="4622"/>
      <c r="E1552" s="4622"/>
      <c r="F1552" s="1695"/>
      <c r="G1552" s="1693"/>
      <c r="H1552" s="1728"/>
      <c r="I1552" s="1728"/>
      <c r="J1552" s="1728"/>
      <c r="AQ1552" s="1684"/>
      <c r="AR1552" s="1684"/>
      <c r="AS1552" s="1684"/>
      <c r="AT1552" s="1684"/>
      <c r="AU1552" s="1684"/>
      <c r="AV1552" s="1684"/>
      <c r="AW1552" s="1684"/>
      <c r="AX1552" s="1684"/>
      <c r="AY1552" s="1684"/>
      <c r="AZ1552" s="1684"/>
      <c r="BA1552" s="1684"/>
      <c r="BB1552" s="1684"/>
      <c r="BC1552" s="1684"/>
      <c r="BD1552" s="1684"/>
      <c r="BE1552" s="1684"/>
      <c r="BF1552" s="1684"/>
      <c r="BG1552" s="1684"/>
      <c r="BH1552" s="1684"/>
      <c r="BI1552" s="1684"/>
      <c r="BJ1552" s="1684"/>
      <c r="BK1552" s="1684"/>
      <c r="BL1552" s="1684"/>
      <c r="BM1552" s="1684"/>
      <c r="BN1552" s="1684"/>
      <c r="BO1552" s="1684"/>
      <c r="BP1552" s="1684"/>
      <c r="BQ1552" s="1684"/>
      <c r="BR1552" s="1684"/>
      <c r="BS1552" s="1684"/>
      <c r="BT1552" s="1684"/>
      <c r="BU1552" s="1684"/>
      <c r="BV1552" s="1684"/>
      <c r="BW1552" s="1684"/>
      <c r="BX1552" s="1684"/>
      <c r="BY1552" s="1684"/>
      <c r="BZ1552" s="1684"/>
      <c r="CA1552" s="1684"/>
      <c r="CB1552" s="1684"/>
      <c r="CC1552" s="1684"/>
      <c r="CD1552" s="1684"/>
      <c r="CE1552" s="1684"/>
      <c r="CF1552" s="1684"/>
      <c r="CG1552" s="1684"/>
      <c r="CH1552" s="1684"/>
      <c r="CI1552" s="1684"/>
      <c r="CJ1552" s="1684"/>
      <c r="CK1552" s="1684"/>
      <c r="CL1552" s="1684"/>
      <c r="CM1552" s="1684"/>
      <c r="CN1552" s="1684"/>
      <c r="CO1552" s="1684"/>
    </row>
    <row r="1553" spans="1:93" s="1391" customFormat="1" ht="15.75" x14ac:dyDescent="0.25">
      <c r="A1553" s="1684"/>
      <c r="B1553" s="1690"/>
      <c r="C1553" s="4621"/>
      <c r="D1553" s="4622"/>
      <c r="E1553" s="4622"/>
      <c r="F1553" s="1697" t="s">
        <v>4319</v>
      </c>
      <c r="G1553" s="1697"/>
      <c r="H1553" s="1697"/>
      <c r="I1553" s="1697"/>
      <c r="J1553" s="1697"/>
      <c r="K1553" s="1697"/>
      <c r="L1553" s="1697"/>
      <c r="M1553" s="1697"/>
      <c r="N1553" s="1697"/>
      <c r="O1553" s="1697"/>
      <c r="P1553" s="1697"/>
      <c r="Q1553" s="1697"/>
      <c r="R1553" s="1697"/>
      <c r="S1553" s="1697"/>
      <c r="T1553" s="1697"/>
      <c r="U1553" s="1697"/>
      <c r="AQ1553" s="1684"/>
      <c r="AR1553" s="1684"/>
      <c r="AS1553" s="1684"/>
      <c r="AT1553" s="1684"/>
      <c r="AU1553" s="1684"/>
      <c r="AV1553" s="1684"/>
      <c r="AW1553" s="1684"/>
      <c r="AX1553" s="1684"/>
      <c r="AY1553" s="1684"/>
      <c r="AZ1553" s="1684"/>
      <c r="BA1553" s="1684"/>
      <c r="BB1553" s="1684"/>
      <c r="BC1553" s="1684"/>
      <c r="BD1553" s="1684"/>
      <c r="BE1553" s="1684"/>
      <c r="BF1553" s="1684"/>
      <c r="BG1553" s="1684"/>
      <c r="BH1553" s="1684"/>
      <c r="BI1553" s="1684"/>
      <c r="BJ1553" s="1684"/>
      <c r="BK1553" s="1684"/>
      <c r="BL1553" s="1684"/>
      <c r="BM1553" s="1684"/>
      <c r="BN1553" s="1684"/>
      <c r="BO1553" s="1684"/>
      <c r="BP1553" s="1684"/>
      <c r="BQ1553" s="1684"/>
      <c r="BR1553" s="1684"/>
      <c r="BS1553" s="1684"/>
      <c r="BT1553" s="1684"/>
      <c r="BU1553" s="1684"/>
      <c r="BV1553" s="1684"/>
      <c r="BW1553" s="1684"/>
      <c r="BX1553" s="1684"/>
      <c r="BY1553" s="1684"/>
      <c r="BZ1553" s="1684"/>
      <c r="CA1553" s="1684"/>
      <c r="CB1553" s="1684"/>
      <c r="CC1553" s="1684"/>
      <c r="CD1553" s="1684"/>
      <c r="CE1553" s="1684"/>
      <c r="CF1553" s="1684"/>
      <c r="CG1553" s="1684"/>
      <c r="CH1553" s="1684"/>
      <c r="CI1553" s="1684"/>
      <c r="CJ1553" s="1684"/>
      <c r="CK1553" s="1684"/>
      <c r="CL1553" s="1684"/>
      <c r="CM1553" s="1684"/>
      <c r="CN1553" s="1684"/>
      <c r="CO1553" s="1684"/>
    </row>
    <row r="1554" spans="1:93" s="1391" customFormat="1" ht="15.75" x14ac:dyDescent="0.25">
      <c r="A1554" s="1684"/>
      <c r="B1554" s="1690"/>
      <c r="C1554" s="4621"/>
      <c r="D1554" s="4622"/>
      <c r="E1554" s="4622"/>
      <c r="F1554" s="1697" t="s">
        <v>5441</v>
      </c>
      <c r="G1554" s="1697"/>
      <c r="H1554" s="1697"/>
      <c r="I1554" s="1697"/>
      <c r="J1554" s="1697"/>
      <c r="K1554" s="1697"/>
      <c r="L1554" s="1697"/>
      <c r="M1554" s="1697"/>
      <c r="N1554" s="1697"/>
      <c r="O1554" s="1697"/>
      <c r="P1554" s="1697"/>
      <c r="Q1554" s="1697"/>
      <c r="R1554" s="1697"/>
      <c r="S1554" s="1697"/>
      <c r="T1554" s="1697"/>
      <c r="U1554" s="1697"/>
      <c r="AQ1554" s="1684"/>
      <c r="AR1554" s="1684"/>
      <c r="AS1554" s="1684"/>
      <c r="AT1554" s="1684"/>
      <c r="AU1554" s="1684"/>
      <c r="AV1554" s="1684"/>
      <c r="AW1554" s="1684"/>
      <c r="AX1554" s="1684"/>
      <c r="AY1554" s="1684"/>
      <c r="AZ1554" s="1684"/>
      <c r="BA1554" s="1684"/>
      <c r="BB1554" s="1684"/>
      <c r="BC1554" s="1684"/>
      <c r="BD1554" s="1684"/>
      <c r="BE1554" s="1684"/>
      <c r="BF1554" s="1684"/>
      <c r="BG1554" s="1684"/>
      <c r="BH1554" s="1684"/>
      <c r="BI1554" s="1684"/>
      <c r="BJ1554" s="1684"/>
      <c r="BK1554" s="1684"/>
      <c r="BL1554" s="1684"/>
      <c r="BM1554" s="1684"/>
      <c r="BN1554" s="1684"/>
      <c r="BO1554" s="1684"/>
      <c r="BP1554" s="1684"/>
      <c r="BQ1554" s="1684"/>
      <c r="BR1554" s="1684"/>
      <c r="BS1554" s="1684"/>
      <c r="BT1554" s="1684"/>
      <c r="BU1554" s="1684"/>
      <c r="BV1554" s="1684"/>
      <c r="BW1554" s="1684"/>
      <c r="BX1554" s="1684"/>
      <c r="BY1554" s="1684"/>
      <c r="BZ1554" s="1684"/>
      <c r="CA1554" s="1684"/>
      <c r="CB1554" s="1684"/>
      <c r="CC1554" s="1684"/>
      <c r="CD1554" s="1684"/>
      <c r="CE1554" s="1684"/>
      <c r="CF1554" s="1684"/>
      <c r="CG1554" s="1684"/>
      <c r="CH1554" s="1684"/>
      <c r="CI1554" s="1684"/>
      <c r="CJ1554" s="1684"/>
      <c r="CK1554" s="1684"/>
      <c r="CL1554" s="1684"/>
      <c r="CM1554" s="1684"/>
      <c r="CN1554" s="1684"/>
      <c r="CO1554" s="1684"/>
    </row>
    <row r="1555" spans="1:93" s="1391" customFormat="1" ht="15.75" x14ac:dyDescent="0.25">
      <c r="A1555" s="1684"/>
      <c r="B1555" s="1690"/>
      <c r="C1555" s="4621"/>
      <c r="D1555" s="4622"/>
      <c r="E1555" s="4622"/>
      <c r="F1555" s="1697"/>
      <c r="G1555" s="1697" t="s">
        <v>5444</v>
      </c>
      <c r="H1555" s="1697"/>
      <c r="I1555" s="1697"/>
      <c r="J1555" s="1697"/>
      <c r="K1555" s="1697"/>
      <c r="L1555" s="1697"/>
      <c r="M1555" s="1697"/>
      <c r="N1555" s="1697"/>
      <c r="O1555" s="1697"/>
      <c r="P1555" s="1697"/>
      <c r="Q1555" s="1697"/>
      <c r="R1555" s="1697"/>
      <c r="S1555" s="1697"/>
      <c r="T1555" s="1697"/>
      <c r="U1555" s="1697"/>
      <c r="AQ1555" s="1684"/>
      <c r="AR1555" s="1684"/>
      <c r="AS1555" s="1684"/>
      <c r="AT1555" s="1684"/>
      <c r="AU1555" s="1684"/>
      <c r="AV1555" s="1684"/>
      <c r="AW1555" s="1684"/>
      <c r="AX1555" s="1684"/>
      <c r="AY1555" s="1684"/>
      <c r="AZ1555" s="1684"/>
      <c r="BA1555" s="1684"/>
      <c r="BB1555" s="1684"/>
      <c r="BC1555" s="1684"/>
      <c r="BD1555" s="1684"/>
      <c r="BE1555" s="1684"/>
      <c r="BF1555" s="1684"/>
      <c r="BG1555" s="1684"/>
      <c r="BH1555" s="1684"/>
      <c r="BI1555" s="1684"/>
      <c r="BJ1555" s="1684"/>
      <c r="BK1555" s="1684"/>
      <c r="BL1555" s="1684"/>
      <c r="BM1555" s="1684"/>
      <c r="BN1555" s="1684"/>
      <c r="BO1555" s="1684"/>
      <c r="BP1555" s="1684"/>
      <c r="BQ1555" s="1684"/>
      <c r="BR1555" s="1684"/>
      <c r="BS1555" s="1684"/>
      <c r="BT1555" s="1684"/>
      <c r="BU1555" s="1684"/>
      <c r="BV1555" s="1684"/>
      <c r="BW1555" s="1684"/>
      <c r="BX1555" s="1684"/>
      <c r="BY1555" s="1684"/>
      <c r="BZ1555" s="1684"/>
      <c r="CA1555" s="1684"/>
      <c r="CB1555" s="1684"/>
      <c r="CC1555" s="1684"/>
      <c r="CD1555" s="1684"/>
      <c r="CE1555" s="1684"/>
      <c r="CF1555" s="1684"/>
      <c r="CG1555" s="1684"/>
      <c r="CH1555" s="1684"/>
      <c r="CI1555" s="1684"/>
      <c r="CJ1555" s="1684"/>
      <c r="CK1555" s="1684"/>
      <c r="CL1555" s="1684"/>
      <c r="CM1555" s="1684"/>
      <c r="CN1555" s="1684"/>
      <c r="CO1555" s="1684"/>
    </row>
    <row r="1556" spans="1:93" s="1391" customFormat="1" ht="15.75" x14ac:dyDescent="0.25">
      <c r="A1556" s="1684"/>
      <c r="B1556" s="1690"/>
      <c r="C1556" s="1698"/>
      <c r="D1556" s="1699"/>
      <c r="E1556" s="1699"/>
      <c r="F1556" s="1697"/>
      <c r="G1556" s="1697" t="s">
        <v>1435</v>
      </c>
      <c r="H1556" s="1697" t="s">
        <v>1435</v>
      </c>
      <c r="I1556" s="1697" t="s">
        <v>1435</v>
      </c>
      <c r="J1556" s="1697" t="s">
        <v>1436</v>
      </c>
      <c r="K1556" s="1697" t="s">
        <v>1436</v>
      </c>
      <c r="L1556" s="1697" t="s">
        <v>1436</v>
      </c>
      <c r="M1556" s="1697" t="s">
        <v>1437</v>
      </c>
      <c r="N1556" s="1697" t="s">
        <v>1437</v>
      </c>
      <c r="O1556" s="1697" t="s">
        <v>1437</v>
      </c>
      <c r="P1556" s="1697" t="s">
        <v>1438</v>
      </c>
      <c r="Q1556" s="1697" t="s">
        <v>1438</v>
      </c>
      <c r="R1556" s="1697" t="s">
        <v>1438</v>
      </c>
      <c r="S1556" s="1697" t="s">
        <v>1439</v>
      </c>
      <c r="T1556" s="1697" t="s">
        <v>1439</v>
      </c>
      <c r="U1556" s="1697" t="s">
        <v>1439</v>
      </c>
      <c r="AQ1556" s="1684"/>
      <c r="AR1556" s="1684"/>
      <c r="AS1556" s="1684"/>
      <c r="AT1556" s="1684"/>
      <c r="AU1556" s="1684"/>
      <c r="AV1556" s="1684"/>
      <c r="AW1556" s="1684"/>
      <c r="AX1556" s="1684"/>
      <c r="AY1556" s="1684"/>
      <c r="AZ1556" s="1684"/>
      <c r="BA1556" s="1684"/>
      <c r="BB1556" s="1684"/>
      <c r="BC1556" s="1684"/>
      <c r="BD1556" s="1684"/>
      <c r="BE1556" s="1684"/>
      <c r="BF1556" s="1684"/>
      <c r="BG1556" s="1684"/>
      <c r="BH1556" s="1684"/>
      <c r="BI1556" s="1684"/>
      <c r="BJ1556" s="1684"/>
      <c r="BK1556" s="1684"/>
      <c r="BL1556" s="1684"/>
      <c r="BM1556" s="1684"/>
      <c r="BN1556" s="1684"/>
      <c r="BO1556" s="1684"/>
      <c r="BP1556" s="1684"/>
      <c r="BQ1556" s="1684"/>
      <c r="BR1556" s="1684"/>
      <c r="BS1556" s="1684"/>
      <c r="BT1556" s="1684"/>
      <c r="BU1556" s="1684"/>
      <c r="BV1556" s="1684"/>
      <c r="BW1556" s="1684"/>
      <c r="BX1556" s="1684"/>
      <c r="BY1556" s="1684"/>
      <c r="BZ1556" s="1684"/>
      <c r="CA1556" s="1684"/>
      <c r="CB1556" s="1684"/>
      <c r="CC1556" s="1684"/>
      <c r="CD1556" s="1684"/>
      <c r="CE1556" s="1684"/>
      <c r="CF1556" s="1684"/>
      <c r="CG1556" s="1684"/>
      <c r="CH1556" s="1684"/>
      <c r="CI1556" s="1684"/>
      <c r="CJ1556" s="1684"/>
      <c r="CK1556" s="1684"/>
      <c r="CL1556" s="1684"/>
      <c r="CM1556" s="1684"/>
      <c r="CN1556" s="1684"/>
      <c r="CO1556" s="1684"/>
    </row>
    <row r="1557" spans="1:93" s="1391" customFormat="1" ht="15.75" x14ac:dyDescent="0.25">
      <c r="A1557" s="1684"/>
      <c r="B1557" s="1690"/>
      <c r="C1557" s="1698"/>
      <c r="D1557" s="1699"/>
      <c r="E1557" s="1699"/>
      <c r="F1557" s="1697" t="s">
        <v>608</v>
      </c>
      <c r="G1557" s="1697" t="s">
        <v>3373</v>
      </c>
      <c r="H1557" s="1697" t="s">
        <v>3374</v>
      </c>
      <c r="I1557" s="1697" t="s">
        <v>3375</v>
      </c>
      <c r="J1557" s="1697" t="s">
        <v>3373</v>
      </c>
      <c r="K1557" s="1697" t="s">
        <v>3374</v>
      </c>
      <c r="L1557" s="1697" t="s">
        <v>3375</v>
      </c>
      <c r="M1557" s="1697" t="s">
        <v>3373</v>
      </c>
      <c r="N1557" s="1697" t="s">
        <v>3374</v>
      </c>
      <c r="O1557" s="1697" t="s">
        <v>3375</v>
      </c>
      <c r="P1557" s="1697" t="s">
        <v>3373</v>
      </c>
      <c r="Q1557" s="1697" t="s">
        <v>3374</v>
      </c>
      <c r="R1557" s="1697" t="s">
        <v>3375</v>
      </c>
      <c r="S1557" s="1697" t="s">
        <v>3373</v>
      </c>
      <c r="T1557" s="1697" t="s">
        <v>3374</v>
      </c>
      <c r="U1557" s="1697" t="s">
        <v>3375</v>
      </c>
      <c r="AQ1557" s="1684"/>
      <c r="AR1557" s="1684"/>
      <c r="AS1557" s="1684"/>
      <c r="AT1557" s="1684"/>
      <c r="AU1557" s="1684"/>
      <c r="AV1557" s="1684"/>
      <c r="AW1557" s="1684"/>
      <c r="AX1557" s="1684"/>
      <c r="AY1557" s="1684"/>
      <c r="AZ1557" s="1684"/>
      <c r="BA1557" s="1684"/>
      <c r="BB1557" s="1684"/>
      <c r="BC1557" s="1684"/>
      <c r="BD1557" s="1684"/>
      <c r="BE1557" s="1684"/>
      <c r="BF1557" s="1684"/>
      <c r="BG1557" s="1684"/>
      <c r="BH1557" s="1684"/>
      <c r="BI1557" s="1684"/>
      <c r="BJ1557" s="1684"/>
      <c r="BK1557" s="1684"/>
      <c r="BL1557" s="1684"/>
      <c r="BM1557" s="1684"/>
      <c r="BN1557" s="1684"/>
      <c r="BO1557" s="1684"/>
      <c r="BP1557" s="1684"/>
      <c r="BQ1557" s="1684"/>
      <c r="BR1557" s="1684"/>
      <c r="BS1557" s="1684"/>
      <c r="BT1557" s="1684"/>
      <c r="BU1557" s="1684"/>
      <c r="BV1557" s="1684"/>
      <c r="BW1557" s="1684"/>
      <c r="BX1557" s="1684"/>
      <c r="BY1557" s="1684"/>
      <c r="BZ1557" s="1684"/>
      <c r="CA1557" s="1684"/>
      <c r="CB1557" s="1684"/>
      <c r="CC1557" s="1684"/>
      <c r="CD1557" s="1684"/>
      <c r="CE1557" s="1684"/>
      <c r="CF1557" s="1684"/>
      <c r="CG1557" s="1684"/>
      <c r="CH1557" s="1684"/>
      <c r="CI1557" s="1684"/>
      <c r="CJ1557" s="1684"/>
      <c r="CK1557" s="1684"/>
      <c r="CL1557" s="1684"/>
      <c r="CM1557" s="1684"/>
      <c r="CN1557" s="1684"/>
      <c r="CO1557" s="1684"/>
    </row>
    <row r="1558" spans="1:93" s="1391" customFormat="1" ht="15.75" x14ac:dyDescent="0.25">
      <c r="A1558" s="1684"/>
      <c r="B1558" s="1690"/>
      <c r="C1558" s="1698"/>
      <c r="D1558" s="1699"/>
      <c r="E1558" s="1699"/>
      <c r="F1558" s="1697"/>
      <c r="G1558" s="1697" t="s">
        <v>3785</v>
      </c>
      <c r="H1558" s="1697"/>
      <c r="I1558" s="1697"/>
      <c r="J1558" s="1697"/>
      <c r="K1558" s="1697"/>
      <c r="L1558" s="1697"/>
      <c r="M1558" s="1697"/>
      <c r="N1558" s="1697"/>
      <c r="O1558" s="1697"/>
      <c r="P1558" s="1697"/>
      <c r="Q1558" s="1697"/>
      <c r="R1558" s="1697"/>
      <c r="S1558" s="1697"/>
      <c r="T1558" s="1697"/>
      <c r="U1558" s="1697"/>
      <c r="AQ1558" s="1684"/>
      <c r="AR1558" s="1684"/>
      <c r="AS1558" s="1684"/>
      <c r="AT1558" s="1684"/>
      <c r="AU1558" s="1684"/>
      <c r="AV1558" s="1684"/>
      <c r="AW1558" s="1684"/>
      <c r="AX1558" s="1684"/>
      <c r="AY1558" s="1684"/>
      <c r="AZ1558" s="1684"/>
      <c r="BA1558" s="1684"/>
      <c r="BB1558" s="1684"/>
      <c r="BC1558" s="1684"/>
      <c r="BD1558" s="1684"/>
      <c r="BE1558" s="1684"/>
      <c r="BF1558" s="1684"/>
      <c r="BG1558" s="1684"/>
      <c r="BH1558" s="1684"/>
      <c r="BI1558" s="1684"/>
      <c r="BJ1558" s="1684"/>
      <c r="BK1558" s="1684"/>
      <c r="BL1558" s="1684"/>
      <c r="BM1558" s="1684"/>
      <c r="BN1558" s="1684"/>
      <c r="BO1558" s="1684"/>
      <c r="BP1558" s="1684"/>
      <c r="BQ1558" s="1684"/>
      <c r="BR1558" s="1684"/>
      <c r="BS1558" s="1684"/>
      <c r="BT1558" s="1684"/>
      <c r="BU1558" s="1684"/>
      <c r="BV1558" s="1684"/>
      <c r="BW1558" s="1684"/>
      <c r="BX1558" s="1684"/>
      <c r="BY1558" s="1684"/>
      <c r="BZ1558" s="1684"/>
      <c r="CA1558" s="1684"/>
      <c r="CB1558" s="1684"/>
      <c r="CC1558" s="1684"/>
      <c r="CD1558" s="1684"/>
      <c r="CE1558" s="1684"/>
      <c r="CF1558" s="1684"/>
      <c r="CG1558" s="1684"/>
      <c r="CH1558" s="1684"/>
      <c r="CI1558" s="1684"/>
      <c r="CJ1558" s="1684"/>
      <c r="CK1558" s="1684"/>
      <c r="CL1558" s="1684"/>
      <c r="CM1558" s="1684"/>
      <c r="CN1558" s="1684"/>
      <c r="CO1558" s="1684"/>
    </row>
    <row r="1559" spans="1:93" s="1391" customFormat="1" ht="15.75" x14ac:dyDescent="0.25">
      <c r="A1559" s="1684"/>
      <c r="B1559" s="1690"/>
      <c r="C1559" s="1698"/>
      <c r="D1559" s="1699"/>
      <c r="E1559" s="1699"/>
      <c r="F1559" s="1697" t="s">
        <v>4344</v>
      </c>
      <c r="G1559" s="1697">
        <v>192</v>
      </c>
      <c r="H1559" s="1697">
        <v>181</v>
      </c>
      <c r="I1559" s="1697">
        <v>165</v>
      </c>
      <c r="J1559" s="1697">
        <v>157</v>
      </c>
      <c r="K1559" s="1697">
        <v>146</v>
      </c>
      <c r="L1559" s="1697">
        <v>134</v>
      </c>
      <c r="M1559" s="1697">
        <v>125</v>
      </c>
      <c r="N1559" s="1697">
        <v>116</v>
      </c>
      <c r="O1559" s="1697">
        <v>109</v>
      </c>
      <c r="P1559" s="1697">
        <v>102</v>
      </c>
      <c r="Q1559" s="1697">
        <v>92</v>
      </c>
      <c r="R1559" s="1697">
        <v>89</v>
      </c>
      <c r="S1559" s="1697">
        <v>79</v>
      </c>
      <c r="T1559" s="1697">
        <v>72</v>
      </c>
      <c r="U1559" s="1697">
        <v>70</v>
      </c>
      <c r="AQ1559" s="1684"/>
      <c r="AR1559" s="1684"/>
      <c r="AS1559" s="1684"/>
      <c r="AT1559" s="1684"/>
      <c r="AU1559" s="1684"/>
      <c r="AV1559" s="1684"/>
      <c r="AW1559" s="1684"/>
      <c r="AX1559" s="1684"/>
      <c r="AY1559" s="1684"/>
      <c r="AZ1559" s="1684"/>
      <c r="BA1559" s="1684"/>
      <c r="BB1559" s="1684"/>
      <c r="BC1559" s="1684"/>
      <c r="BD1559" s="1684"/>
      <c r="BE1559" s="1684"/>
      <c r="BF1559" s="1684"/>
      <c r="BG1559" s="1684"/>
      <c r="BH1559" s="1684"/>
      <c r="BI1559" s="1684"/>
      <c r="BJ1559" s="1684"/>
      <c r="BK1559" s="1684"/>
      <c r="BL1559" s="1684"/>
      <c r="BM1559" s="1684"/>
      <c r="BN1559" s="1684"/>
      <c r="BO1559" s="1684"/>
      <c r="BP1559" s="1684"/>
      <c r="BQ1559" s="1684"/>
      <c r="BR1559" s="1684"/>
      <c r="BS1559" s="1684"/>
      <c r="BT1559" s="1684"/>
      <c r="BU1559" s="1684"/>
      <c r="BV1559" s="1684"/>
      <c r="BW1559" s="1684"/>
      <c r="BX1559" s="1684"/>
      <c r="BY1559" s="1684"/>
      <c r="BZ1559" s="1684"/>
      <c r="CA1559" s="1684"/>
      <c r="CB1559" s="1684"/>
      <c r="CC1559" s="1684"/>
      <c r="CD1559" s="1684"/>
      <c r="CE1559" s="1684"/>
      <c r="CF1559" s="1684"/>
      <c r="CG1559" s="1684"/>
      <c r="CH1559" s="1684"/>
      <c r="CI1559" s="1684"/>
      <c r="CJ1559" s="1684"/>
      <c r="CK1559" s="1684"/>
      <c r="CL1559" s="1684"/>
      <c r="CM1559" s="1684"/>
      <c r="CN1559" s="1684"/>
      <c r="CO1559" s="1684"/>
    </row>
    <row r="1560" spans="1:93" s="1391" customFormat="1" ht="15.75" x14ac:dyDescent="0.25">
      <c r="A1560" s="1684"/>
      <c r="B1560" s="1690"/>
      <c r="C1560" s="1698"/>
      <c r="D1560" s="1699"/>
      <c r="E1560" s="1699"/>
      <c r="F1560" s="1697" t="s">
        <v>5224</v>
      </c>
      <c r="G1560" s="1697">
        <v>210</v>
      </c>
      <c r="H1560" s="1697">
        <v>192</v>
      </c>
      <c r="I1560" s="1697">
        <v>172</v>
      </c>
      <c r="J1560" s="1697">
        <v>166</v>
      </c>
      <c r="K1560" s="1697">
        <v>155</v>
      </c>
      <c r="L1560" s="1697">
        <v>140</v>
      </c>
      <c r="M1560" s="1697">
        <v>131</v>
      </c>
      <c r="N1560" s="1697">
        <v>122</v>
      </c>
      <c r="O1560" s="1697">
        <v>114</v>
      </c>
      <c r="P1560" s="1697">
        <v>109</v>
      </c>
      <c r="Q1560" s="1697">
        <v>97</v>
      </c>
      <c r="R1560" s="1697">
        <v>92</v>
      </c>
      <c r="S1560" s="1697">
        <v>83</v>
      </c>
      <c r="T1560" s="1697">
        <v>76</v>
      </c>
      <c r="U1560" s="1697">
        <v>74</v>
      </c>
      <c r="AQ1560" s="1684"/>
      <c r="AR1560" s="1684"/>
      <c r="AS1560" s="1684"/>
      <c r="AT1560" s="1684"/>
      <c r="AU1560" s="1684"/>
      <c r="AV1560" s="1684"/>
      <c r="AW1560" s="1684"/>
      <c r="AX1560" s="1684"/>
      <c r="AY1560" s="1684"/>
      <c r="AZ1560" s="1684"/>
      <c r="BA1560" s="1684"/>
      <c r="BB1560" s="1684"/>
      <c r="BC1560" s="1684"/>
      <c r="BD1560" s="1684"/>
      <c r="BE1560" s="1684"/>
      <c r="BF1560" s="1684"/>
      <c r="BG1560" s="1684"/>
      <c r="BH1560" s="1684"/>
      <c r="BI1560" s="1684"/>
      <c r="BJ1560" s="1684"/>
      <c r="BK1560" s="1684"/>
      <c r="BL1560" s="1684"/>
      <c r="BM1560" s="1684"/>
      <c r="BN1560" s="1684"/>
      <c r="BO1560" s="1684"/>
      <c r="BP1560" s="1684"/>
      <c r="BQ1560" s="1684"/>
      <c r="BR1560" s="1684"/>
      <c r="BS1560" s="1684"/>
      <c r="BT1560" s="1684"/>
      <c r="BU1560" s="1684"/>
      <c r="BV1560" s="1684"/>
      <c r="BW1560" s="1684"/>
      <c r="BX1560" s="1684"/>
      <c r="BY1560" s="1684"/>
      <c r="BZ1560" s="1684"/>
      <c r="CA1560" s="1684"/>
      <c r="CB1560" s="1684"/>
      <c r="CC1560" s="1684"/>
      <c r="CD1560" s="1684"/>
      <c r="CE1560" s="1684"/>
      <c r="CF1560" s="1684"/>
      <c r="CG1560" s="1684"/>
      <c r="CH1560" s="1684"/>
      <c r="CI1560" s="1684"/>
      <c r="CJ1560" s="1684"/>
      <c r="CK1560" s="1684"/>
      <c r="CL1560" s="1684"/>
      <c r="CM1560" s="1684"/>
      <c r="CN1560" s="1684"/>
      <c r="CO1560" s="1684"/>
    </row>
    <row r="1561" spans="1:93" s="1391" customFormat="1" ht="15.75" x14ac:dyDescent="0.25">
      <c r="A1561" s="1684"/>
      <c r="B1561" s="1690"/>
      <c r="C1561" s="1698"/>
      <c r="D1561" s="1699"/>
      <c r="E1561" s="1699"/>
      <c r="F1561" s="1697" t="s">
        <v>5229</v>
      </c>
      <c r="G1561" s="1697">
        <v>250</v>
      </c>
      <c r="H1561" s="1697">
        <v>214</v>
      </c>
      <c r="I1561" s="1697">
        <v>192</v>
      </c>
      <c r="J1561" s="1697">
        <v>184</v>
      </c>
      <c r="K1561" s="1697">
        <v>166</v>
      </c>
      <c r="L1561" s="1697">
        <v>152</v>
      </c>
      <c r="M1561" s="1697">
        <v>140</v>
      </c>
      <c r="N1561" s="1697">
        <v>129</v>
      </c>
      <c r="O1561" s="1697">
        <v>120</v>
      </c>
      <c r="P1561" s="1697">
        <v>114</v>
      </c>
      <c r="Q1561" s="1697">
        <v>102</v>
      </c>
      <c r="R1561" s="1697">
        <v>97</v>
      </c>
      <c r="S1561" s="1697">
        <v>87</v>
      </c>
      <c r="T1561" s="1697">
        <v>80</v>
      </c>
      <c r="U1561" s="1697">
        <v>78</v>
      </c>
      <c r="AQ1561" s="1684"/>
      <c r="AR1561" s="1684"/>
      <c r="AS1561" s="1684"/>
      <c r="AT1561" s="1684"/>
      <c r="AU1561" s="1684"/>
      <c r="AV1561" s="1684"/>
      <c r="AW1561" s="1684"/>
      <c r="AX1561" s="1684"/>
      <c r="AY1561" s="1684"/>
      <c r="AZ1561" s="1684"/>
      <c r="BA1561" s="1684"/>
      <c r="BB1561" s="1684"/>
      <c r="BC1561" s="1684"/>
      <c r="BD1561" s="1684"/>
      <c r="BE1561" s="1684"/>
      <c r="BF1561" s="1684"/>
      <c r="BG1561" s="1684"/>
      <c r="BH1561" s="1684"/>
      <c r="BI1561" s="1684"/>
      <c r="BJ1561" s="1684"/>
      <c r="BK1561" s="1684"/>
      <c r="BL1561" s="1684"/>
      <c r="BM1561" s="1684"/>
      <c r="BN1561" s="1684"/>
      <c r="BO1561" s="1684"/>
      <c r="BP1561" s="1684"/>
      <c r="BQ1561" s="1684"/>
      <c r="BR1561" s="1684"/>
      <c r="BS1561" s="1684"/>
      <c r="BT1561" s="1684"/>
      <c r="BU1561" s="1684"/>
      <c r="BV1561" s="1684"/>
      <c r="BW1561" s="1684"/>
      <c r="BX1561" s="1684"/>
      <c r="BY1561" s="1684"/>
      <c r="BZ1561" s="1684"/>
      <c r="CA1561" s="1684"/>
      <c r="CB1561" s="1684"/>
      <c r="CC1561" s="1684"/>
      <c r="CD1561" s="1684"/>
      <c r="CE1561" s="1684"/>
      <c r="CF1561" s="1684"/>
      <c r="CG1561" s="1684"/>
      <c r="CH1561" s="1684"/>
      <c r="CI1561" s="1684"/>
      <c r="CJ1561" s="1684"/>
      <c r="CK1561" s="1684"/>
      <c r="CL1561" s="1684"/>
      <c r="CM1561" s="1684"/>
      <c r="CN1561" s="1684"/>
      <c r="CO1561" s="1684"/>
    </row>
    <row r="1562" spans="1:93" s="1391" customFormat="1" ht="15.75" x14ac:dyDescent="0.25">
      <c r="A1562" s="1684"/>
      <c r="B1562" s="1690"/>
      <c r="C1562" s="1698"/>
      <c r="D1562" s="1699"/>
      <c r="E1562" s="1699"/>
      <c r="F1562" s="1697" t="s">
        <v>5234</v>
      </c>
      <c r="G1562" s="1697">
        <v>292</v>
      </c>
      <c r="H1562" s="1697">
        <v>234</v>
      </c>
      <c r="I1562" s="1697">
        <v>216</v>
      </c>
      <c r="J1562" s="1697">
        <v>209</v>
      </c>
      <c r="K1562" s="1697">
        <v>177</v>
      </c>
      <c r="L1562" s="1697">
        <v>166</v>
      </c>
      <c r="M1562" s="1697">
        <v>154</v>
      </c>
      <c r="N1562" s="1697">
        <v>135</v>
      </c>
      <c r="O1562" s="1697">
        <v>127</v>
      </c>
      <c r="P1562" s="1697">
        <v>118</v>
      </c>
      <c r="Q1562" s="1697">
        <v>107</v>
      </c>
      <c r="R1562" s="1697">
        <v>103</v>
      </c>
      <c r="S1562" s="1697">
        <v>91</v>
      </c>
      <c r="T1562" s="1697">
        <v>84</v>
      </c>
      <c r="U1562" s="1697">
        <v>82</v>
      </c>
      <c r="AQ1562" s="1684"/>
      <c r="AR1562" s="1684"/>
      <c r="AS1562" s="1684"/>
      <c r="AT1562" s="1684"/>
      <c r="AU1562" s="1684"/>
      <c r="AV1562" s="1684"/>
      <c r="AW1562" s="1684"/>
      <c r="AX1562" s="1684"/>
      <c r="AY1562" s="1684"/>
      <c r="AZ1562" s="1684"/>
      <c r="BA1562" s="1684"/>
      <c r="BB1562" s="1684"/>
      <c r="BC1562" s="1684"/>
      <c r="BD1562" s="1684"/>
      <c r="BE1562" s="1684"/>
      <c r="BF1562" s="1684"/>
      <c r="BG1562" s="1684"/>
      <c r="BH1562" s="1684"/>
      <c r="BI1562" s="1684"/>
      <c r="BJ1562" s="1684"/>
      <c r="BK1562" s="1684"/>
      <c r="BL1562" s="1684"/>
      <c r="BM1562" s="1684"/>
      <c r="BN1562" s="1684"/>
      <c r="BO1562" s="1684"/>
      <c r="BP1562" s="1684"/>
      <c r="BQ1562" s="1684"/>
      <c r="BR1562" s="1684"/>
      <c r="BS1562" s="1684"/>
      <c r="BT1562" s="1684"/>
      <c r="BU1562" s="1684"/>
      <c r="BV1562" s="1684"/>
      <c r="BW1562" s="1684"/>
      <c r="BX1562" s="1684"/>
      <c r="BY1562" s="1684"/>
      <c r="BZ1562" s="1684"/>
      <c r="CA1562" s="1684"/>
      <c r="CB1562" s="1684"/>
      <c r="CC1562" s="1684"/>
      <c r="CD1562" s="1684"/>
      <c r="CE1562" s="1684"/>
      <c r="CF1562" s="1684"/>
      <c r="CG1562" s="1684"/>
      <c r="CH1562" s="1684"/>
      <c r="CI1562" s="1684"/>
      <c r="CJ1562" s="1684"/>
      <c r="CK1562" s="1684"/>
      <c r="CL1562" s="1684"/>
      <c r="CM1562" s="1684"/>
      <c r="CN1562" s="1684"/>
      <c r="CO1562" s="1684"/>
    </row>
    <row r="1563" spans="1:93" s="1391" customFormat="1" ht="15.75" x14ac:dyDescent="0.25">
      <c r="A1563" s="1684"/>
      <c r="B1563" s="1690"/>
      <c r="C1563" s="1698"/>
      <c r="D1563" s="1699"/>
      <c r="E1563" s="1699"/>
      <c r="F1563" s="1697" t="s">
        <v>5238</v>
      </c>
      <c r="G1563" s="1697">
        <v>306</v>
      </c>
      <c r="H1563" s="1697">
        <v>246</v>
      </c>
      <c r="I1563" s="1697">
        <v>230</v>
      </c>
      <c r="J1563" s="1697">
        <v>217</v>
      </c>
      <c r="K1563" s="1697">
        <v>184</v>
      </c>
      <c r="L1563" s="1697">
        <v>175</v>
      </c>
      <c r="M1563" s="1697">
        <v>158</v>
      </c>
      <c r="N1563" s="1697">
        <v>140</v>
      </c>
      <c r="O1563" s="1697">
        <v>134</v>
      </c>
      <c r="P1563" s="1697">
        <v>121</v>
      </c>
      <c r="Q1563" s="1697">
        <v>110</v>
      </c>
      <c r="R1563" s="1697">
        <v>106</v>
      </c>
      <c r="S1563" s="1697">
        <v>93</v>
      </c>
      <c r="T1563" s="1697">
        <v>86</v>
      </c>
      <c r="U1563" s="1697">
        <v>84</v>
      </c>
      <c r="AQ1563" s="1684"/>
      <c r="AR1563" s="1684"/>
      <c r="AS1563" s="1684"/>
      <c r="AT1563" s="1684"/>
      <c r="AU1563" s="1684"/>
      <c r="AV1563" s="1684"/>
      <c r="AW1563" s="1684"/>
      <c r="AX1563" s="1684"/>
      <c r="AY1563" s="1684"/>
      <c r="AZ1563" s="1684"/>
      <c r="BA1563" s="1684"/>
      <c r="BB1563" s="1684"/>
      <c r="BC1563" s="1684"/>
      <c r="BD1563" s="1684"/>
      <c r="BE1563" s="1684"/>
      <c r="BF1563" s="1684"/>
      <c r="BG1563" s="1684"/>
      <c r="BH1563" s="1684"/>
      <c r="BI1563" s="1684"/>
      <c r="BJ1563" s="1684"/>
      <c r="BK1563" s="1684"/>
      <c r="BL1563" s="1684"/>
      <c r="BM1563" s="1684"/>
      <c r="BN1563" s="1684"/>
      <c r="BO1563" s="1684"/>
      <c r="BP1563" s="1684"/>
      <c r="BQ1563" s="1684"/>
      <c r="BR1563" s="1684"/>
      <c r="BS1563" s="1684"/>
      <c r="BT1563" s="1684"/>
      <c r="BU1563" s="1684"/>
      <c r="BV1563" s="1684"/>
      <c r="BW1563" s="1684"/>
      <c r="BX1563" s="1684"/>
      <c r="BY1563" s="1684"/>
      <c r="BZ1563" s="1684"/>
      <c r="CA1563" s="1684"/>
      <c r="CB1563" s="1684"/>
      <c r="CC1563" s="1684"/>
      <c r="CD1563" s="1684"/>
      <c r="CE1563" s="1684"/>
      <c r="CF1563" s="1684"/>
      <c r="CG1563" s="1684"/>
      <c r="CH1563" s="1684"/>
      <c r="CI1563" s="1684"/>
      <c r="CJ1563" s="1684"/>
      <c r="CK1563" s="1684"/>
      <c r="CL1563" s="1684"/>
      <c r="CM1563" s="1684"/>
      <c r="CN1563" s="1684"/>
      <c r="CO1563" s="1684"/>
    </row>
    <row r="1564" spans="1:93" s="1391" customFormat="1" ht="15.75" x14ac:dyDescent="0.2">
      <c r="A1564" s="1684"/>
      <c r="B1564" s="1690"/>
      <c r="C1564" s="1698"/>
      <c r="D1564" s="1699"/>
      <c r="E1564" s="1699"/>
      <c r="F1564" s="1700"/>
      <c r="G1564" s="1701"/>
      <c r="H1564" s="1704"/>
      <c r="I1564" s="1705"/>
      <c r="J1564" s="1568"/>
      <c r="K1564" s="1405"/>
      <c r="L1564" s="1405"/>
      <c r="AQ1564" s="1684"/>
      <c r="AR1564" s="1684"/>
      <c r="AS1564" s="1684"/>
      <c r="AT1564" s="1684"/>
      <c r="AU1564" s="1684"/>
      <c r="AV1564" s="1684"/>
      <c r="AW1564" s="1684"/>
      <c r="AX1564" s="1684"/>
      <c r="AY1564" s="1684"/>
      <c r="AZ1564" s="1684"/>
      <c r="BA1564" s="1684"/>
      <c r="BB1564" s="1684"/>
      <c r="BC1564" s="1684"/>
      <c r="BD1564" s="1684"/>
      <c r="BE1564" s="1684"/>
      <c r="BF1564" s="1684"/>
      <c r="BG1564" s="1684"/>
      <c r="BH1564" s="1684"/>
      <c r="BI1564" s="1684"/>
      <c r="BJ1564" s="1684"/>
      <c r="BK1564" s="1684"/>
      <c r="BL1564" s="1684"/>
      <c r="BM1564" s="1684"/>
      <c r="BN1564" s="1684"/>
      <c r="BO1564" s="1684"/>
      <c r="BP1564" s="1684"/>
      <c r="BQ1564" s="1684"/>
      <c r="BR1564" s="1684"/>
      <c r="BS1564" s="1684"/>
      <c r="BT1564" s="1684"/>
      <c r="BU1564" s="1684"/>
      <c r="BV1564" s="1684"/>
      <c r="BW1564" s="1684"/>
      <c r="BX1564" s="1684"/>
      <c r="BY1564" s="1684"/>
      <c r="BZ1564" s="1684"/>
      <c r="CA1564" s="1684"/>
      <c r="CB1564" s="1684"/>
      <c r="CC1564" s="1684"/>
      <c r="CD1564" s="1684"/>
      <c r="CE1564" s="1684"/>
      <c r="CF1564" s="1684"/>
      <c r="CG1564" s="1684"/>
      <c r="CH1564" s="1684"/>
      <c r="CI1564" s="1684"/>
      <c r="CJ1564" s="1684"/>
      <c r="CK1564" s="1684"/>
      <c r="CL1564" s="1684"/>
      <c r="CM1564" s="1684"/>
      <c r="CN1564" s="1684"/>
      <c r="CO1564" s="1684"/>
    </row>
    <row r="1565" spans="1:93" s="1391" customFormat="1" ht="15.75" x14ac:dyDescent="0.25">
      <c r="A1565" s="1684"/>
      <c r="B1565" s="1694" t="s">
        <v>4289</v>
      </c>
      <c r="C1565" s="1694"/>
      <c r="D1565" s="1694"/>
      <c r="E1565" s="1694"/>
      <c r="F1565" s="1700"/>
      <c r="G1565" s="1701"/>
      <c r="H1565" s="1703"/>
      <c r="I1565" s="1695"/>
      <c r="J1565" s="1568"/>
      <c r="L1565" s="1405"/>
      <c r="AQ1565" s="1684"/>
      <c r="AR1565" s="1684"/>
      <c r="AS1565" s="1684"/>
      <c r="AT1565" s="1684"/>
      <c r="AU1565" s="1684"/>
      <c r="AV1565" s="1684"/>
      <c r="AW1565" s="1684"/>
      <c r="AX1565" s="1684"/>
      <c r="AY1565" s="1684"/>
      <c r="AZ1565" s="1684"/>
      <c r="BA1565" s="1684"/>
      <c r="BB1565" s="1684"/>
      <c r="BC1565" s="1684"/>
      <c r="BD1565" s="1684"/>
      <c r="BE1565" s="1684"/>
      <c r="BF1565" s="1684"/>
      <c r="BG1565" s="1684"/>
      <c r="BH1565" s="1684"/>
      <c r="BI1565" s="1684"/>
      <c r="BJ1565" s="1684"/>
      <c r="BK1565" s="1684"/>
      <c r="BL1565" s="1684"/>
      <c r="BM1565" s="1684"/>
      <c r="BN1565" s="1684"/>
      <c r="BO1565" s="1684"/>
      <c r="BP1565" s="1684"/>
      <c r="BQ1565" s="1684"/>
      <c r="BR1565" s="1684"/>
      <c r="BS1565" s="1684"/>
      <c r="BT1565" s="1684"/>
      <c r="BU1565" s="1684"/>
      <c r="BV1565" s="1684"/>
      <c r="BW1565" s="1684"/>
      <c r="BX1565" s="1684"/>
      <c r="BY1565" s="1684"/>
      <c r="BZ1565" s="1684"/>
      <c r="CA1565" s="1684"/>
      <c r="CB1565" s="1684"/>
      <c r="CC1565" s="1684"/>
      <c r="CD1565" s="1684"/>
      <c r="CE1565" s="1684"/>
      <c r="CF1565" s="1684"/>
      <c r="CG1565" s="1684"/>
      <c r="CH1565" s="1684"/>
      <c r="CI1565" s="1684"/>
      <c r="CJ1565" s="1684"/>
      <c r="CK1565" s="1684"/>
      <c r="CL1565" s="1684"/>
      <c r="CM1565" s="1684"/>
      <c r="CN1565" s="1684"/>
      <c r="CO1565" s="1684"/>
    </row>
    <row r="1566" spans="1:93" s="1391" customFormat="1" ht="15.75" x14ac:dyDescent="0.25">
      <c r="A1566" s="1684"/>
      <c r="B1566" s="1694"/>
      <c r="C1566" s="1694" t="s">
        <v>4291</v>
      </c>
      <c r="D1566" s="1694"/>
      <c r="E1566" s="1694"/>
      <c r="F1566" s="1700"/>
      <c r="G1566" s="1701"/>
      <c r="H1566" s="1703"/>
      <c r="I1566" s="1695"/>
      <c r="J1566" s="1568"/>
      <c r="L1566" s="1405"/>
      <c r="AQ1566" s="1684"/>
      <c r="AR1566" s="1684"/>
      <c r="AS1566" s="1684"/>
      <c r="AT1566" s="1684"/>
      <c r="AU1566" s="1684"/>
      <c r="AV1566" s="1684"/>
      <c r="AW1566" s="1684"/>
      <c r="AX1566" s="1684"/>
      <c r="AY1566" s="1684"/>
      <c r="AZ1566" s="1684"/>
      <c r="BA1566" s="1684"/>
      <c r="BB1566" s="1684"/>
      <c r="BC1566" s="1684"/>
      <c r="BD1566" s="1684"/>
      <c r="BE1566" s="1684"/>
      <c r="BF1566" s="1684"/>
      <c r="BG1566" s="1684"/>
      <c r="BH1566" s="1684"/>
      <c r="BI1566" s="1684"/>
      <c r="BJ1566" s="1684"/>
      <c r="BK1566" s="1684"/>
      <c r="BL1566" s="1684"/>
      <c r="BM1566" s="1684"/>
      <c r="BN1566" s="1684"/>
      <c r="BO1566" s="1684"/>
      <c r="BP1566" s="1684"/>
      <c r="BQ1566" s="1684"/>
      <c r="BR1566" s="1684"/>
      <c r="BS1566" s="1684"/>
      <c r="BT1566" s="1684"/>
      <c r="BU1566" s="1684"/>
      <c r="BV1566" s="1684"/>
      <c r="BW1566" s="1684"/>
      <c r="BX1566" s="1684"/>
      <c r="BY1566" s="1684"/>
      <c r="BZ1566" s="1684"/>
      <c r="CA1566" s="1684"/>
      <c r="CB1566" s="1684"/>
      <c r="CC1566" s="1684"/>
      <c r="CD1566" s="1684"/>
      <c r="CE1566" s="1684"/>
      <c r="CF1566" s="1684"/>
      <c r="CG1566" s="1684"/>
      <c r="CH1566" s="1684"/>
      <c r="CI1566" s="1684"/>
      <c r="CJ1566" s="1684"/>
      <c r="CK1566" s="1684"/>
      <c r="CL1566" s="1684"/>
      <c r="CM1566" s="1684"/>
      <c r="CN1566" s="1684"/>
      <c r="CO1566" s="1684"/>
    </row>
    <row r="1567" spans="1:93" s="1391" customFormat="1" ht="15.75" x14ac:dyDescent="0.25">
      <c r="A1567" s="1684"/>
      <c r="B1567" s="1694" t="s">
        <v>1421</v>
      </c>
      <c r="C1567" s="1694" t="s">
        <v>1422</v>
      </c>
      <c r="D1567" s="1694" t="s">
        <v>1423</v>
      </c>
      <c r="E1567" s="1694" t="s">
        <v>1424</v>
      </c>
      <c r="F1567" s="1700"/>
      <c r="G1567" s="1701"/>
      <c r="H1567" s="1703"/>
      <c r="I1567" s="1695"/>
      <c r="J1567" s="1568"/>
      <c r="L1567" s="1405"/>
      <c r="AQ1567" s="1684"/>
      <c r="AR1567" s="1684"/>
      <c r="AS1567" s="1684"/>
      <c r="AT1567" s="1684"/>
      <c r="AU1567" s="1684"/>
      <c r="AV1567" s="1684"/>
      <c r="AW1567" s="1684"/>
      <c r="AX1567" s="1684"/>
      <c r="AY1567" s="1684"/>
      <c r="AZ1567" s="1684"/>
      <c r="BA1567" s="1684"/>
      <c r="BB1567" s="1684"/>
      <c r="BC1567" s="1684"/>
      <c r="BD1567" s="1684"/>
      <c r="BE1567" s="1684"/>
      <c r="BF1567" s="1684"/>
      <c r="BG1567" s="1684"/>
      <c r="BH1567" s="1684"/>
      <c r="BI1567" s="1684"/>
      <c r="BJ1567" s="1684"/>
      <c r="BK1567" s="1684"/>
      <c r="BL1567" s="1684"/>
      <c r="BM1567" s="1684"/>
      <c r="BN1567" s="1684"/>
      <c r="BO1567" s="1684"/>
      <c r="BP1567" s="1684"/>
      <c r="BQ1567" s="1684"/>
      <c r="BR1567" s="1684"/>
      <c r="BS1567" s="1684"/>
      <c r="BT1567" s="1684"/>
      <c r="BU1567" s="1684"/>
      <c r="BV1567" s="1684"/>
      <c r="BW1567" s="1684"/>
      <c r="BX1567" s="1684"/>
      <c r="BY1567" s="1684"/>
      <c r="BZ1567" s="1684"/>
      <c r="CA1567" s="1684"/>
      <c r="CB1567" s="1684"/>
      <c r="CC1567" s="1684"/>
      <c r="CD1567" s="1684"/>
      <c r="CE1567" s="1684"/>
      <c r="CF1567" s="1684"/>
      <c r="CG1567" s="1684"/>
      <c r="CH1567" s="1684"/>
      <c r="CI1567" s="1684"/>
      <c r="CJ1567" s="1684"/>
      <c r="CK1567" s="1684"/>
      <c r="CL1567" s="1684"/>
      <c r="CM1567" s="1684"/>
      <c r="CN1567" s="1684"/>
      <c r="CO1567" s="1684"/>
    </row>
    <row r="1568" spans="1:93" s="1391" customFormat="1" ht="15.75" x14ac:dyDescent="0.25">
      <c r="A1568" s="1684"/>
      <c r="B1568" s="1694">
        <v>30</v>
      </c>
      <c r="C1568" s="1694">
        <v>1.18</v>
      </c>
      <c r="D1568" s="1694">
        <v>1.42</v>
      </c>
      <c r="E1568" s="1694">
        <v>1.67</v>
      </c>
      <c r="F1568" s="1700"/>
      <c r="G1568" s="1701"/>
      <c r="H1568" s="1703"/>
      <c r="I1568" s="1695"/>
      <c r="J1568" s="1568"/>
      <c r="L1568" s="1405"/>
      <c r="AQ1568" s="1684"/>
      <c r="AR1568" s="1684"/>
      <c r="AS1568" s="1684"/>
      <c r="AT1568" s="1684"/>
      <c r="AU1568" s="1684"/>
      <c r="AV1568" s="1684"/>
      <c r="AW1568" s="1684"/>
      <c r="AX1568" s="1684"/>
      <c r="AY1568" s="1684"/>
      <c r="AZ1568" s="1684"/>
      <c r="BA1568" s="1684"/>
      <c r="BB1568" s="1684"/>
      <c r="BC1568" s="1684"/>
      <c r="BD1568" s="1684"/>
      <c r="BE1568" s="1684"/>
      <c r="BF1568" s="1684"/>
      <c r="BG1568" s="1684"/>
      <c r="BH1568" s="1684"/>
      <c r="BI1568" s="1684"/>
      <c r="BJ1568" s="1684"/>
      <c r="BK1568" s="1684"/>
      <c r="BL1568" s="1684"/>
      <c r="BM1568" s="1684"/>
      <c r="BN1568" s="1684"/>
      <c r="BO1568" s="1684"/>
      <c r="BP1568" s="1684"/>
      <c r="BQ1568" s="1684"/>
      <c r="BR1568" s="1684"/>
      <c r="BS1568" s="1684"/>
      <c r="BT1568" s="1684"/>
      <c r="BU1568" s="1684"/>
      <c r="BV1568" s="1684"/>
      <c r="BW1568" s="1684"/>
      <c r="BX1568" s="1684"/>
      <c r="BY1568" s="1684"/>
      <c r="BZ1568" s="1684"/>
      <c r="CA1568" s="1684"/>
      <c r="CB1568" s="1684"/>
      <c r="CC1568" s="1684"/>
      <c r="CD1568" s="1684"/>
      <c r="CE1568" s="1684"/>
      <c r="CF1568" s="1684"/>
      <c r="CG1568" s="1684"/>
      <c r="CH1568" s="1684"/>
      <c r="CI1568" s="1684"/>
      <c r="CJ1568" s="1684"/>
      <c r="CK1568" s="1684"/>
      <c r="CL1568" s="1684"/>
      <c r="CM1568" s="1684"/>
      <c r="CN1568" s="1684"/>
      <c r="CO1568" s="1684"/>
    </row>
    <row r="1569" spans="1:93" s="1391" customFormat="1" ht="15.75" x14ac:dyDescent="0.25">
      <c r="A1569" s="1684"/>
      <c r="B1569" s="1694">
        <v>35</v>
      </c>
      <c r="C1569" s="1694">
        <v>1.22</v>
      </c>
      <c r="D1569" s="1694">
        <v>1.46</v>
      </c>
      <c r="E1569" s="1694">
        <v>1.72</v>
      </c>
      <c r="F1569" s="1700"/>
      <c r="G1569" s="1701"/>
      <c r="H1569" s="1703"/>
      <c r="I1569" s="1695"/>
      <c r="J1569" s="1568"/>
      <c r="L1569" s="1405"/>
      <c r="AQ1569" s="1684"/>
      <c r="AR1569" s="1684"/>
      <c r="AS1569" s="1684"/>
      <c r="AT1569" s="1684"/>
      <c r="AU1569" s="1684"/>
      <c r="AV1569" s="1684"/>
      <c r="AW1569" s="1684"/>
      <c r="AX1569" s="1684"/>
      <c r="AY1569" s="1684"/>
      <c r="AZ1569" s="1684"/>
      <c r="BA1569" s="1684"/>
      <c r="BB1569" s="1684"/>
      <c r="BC1569" s="1684"/>
      <c r="BD1569" s="1684"/>
      <c r="BE1569" s="1684"/>
      <c r="BF1569" s="1684"/>
      <c r="BG1569" s="1684"/>
      <c r="BH1569" s="1684"/>
      <c r="BI1569" s="1684"/>
      <c r="BJ1569" s="1684"/>
      <c r="BK1569" s="1684"/>
      <c r="BL1569" s="1684"/>
      <c r="BM1569" s="1684"/>
      <c r="BN1569" s="1684"/>
      <c r="BO1569" s="1684"/>
      <c r="BP1569" s="1684"/>
      <c r="BQ1569" s="1684"/>
      <c r="BR1569" s="1684"/>
      <c r="BS1569" s="1684"/>
      <c r="BT1569" s="1684"/>
      <c r="BU1569" s="1684"/>
      <c r="BV1569" s="1684"/>
      <c r="BW1569" s="1684"/>
      <c r="BX1569" s="1684"/>
      <c r="BY1569" s="1684"/>
      <c r="BZ1569" s="1684"/>
      <c r="CA1569" s="1684"/>
      <c r="CB1569" s="1684"/>
      <c r="CC1569" s="1684"/>
      <c r="CD1569" s="1684"/>
      <c r="CE1569" s="1684"/>
      <c r="CF1569" s="1684"/>
      <c r="CG1569" s="1684"/>
      <c r="CH1569" s="1684"/>
      <c r="CI1569" s="1684"/>
      <c r="CJ1569" s="1684"/>
      <c r="CK1569" s="1684"/>
      <c r="CL1569" s="1684"/>
      <c r="CM1569" s="1684"/>
      <c r="CN1569" s="1684"/>
      <c r="CO1569" s="1684"/>
    </row>
    <row r="1570" spans="1:93" s="1391" customFormat="1" ht="15.75" x14ac:dyDescent="0.25">
      <c r="A1570" s="1684"/>
      <c r="B1570" s="1694">
        <v>40</v>
      </c>
      <c r="C1570" s="1694">
        <v>1.23</v>
      </c>
      <c r="D1570" s="1694">
        <v>1.49</v>
      </c>
      <c r="E1570" s="1694">
        <v>1.74</v>
      </c>
      <c r="F1570" s="1700"/>
      <c r="G1570" s="1701"/>
      <c r="H1570" s="1703"/>
      <c r="I1570" s="1695"/>
      <c r="J1570" s="1568"/>
      <c r="L1570" s="1405"/>
      <c r="AQ1570" s="1684"/>
      <c r="AR1570" s="1684"/>
      <c r="AS1570" s="1684"/>
      <c r="AT1570" s="1684"/>
      <c r="AU1570" s="1684"/>
      <c r="AV1570" s="1684"/>
      <c r="AW1570" s="1684"/>
      <c r="AX1570" s="1684"/>
      <c r="AY1570" s="1684"/>
      <c r="AZ1570" s="1684"/>
      <c r="BA1570" s="1684"/>
      <c r="BB1570" s="1684"/>
      <c r="BC1570" s="1684"/>
      <c r="BD1570" s="1684"/>
      <c r="BE1570" s="1684"/>
      <c r="BF1570" s="1684"/>
      <c r="BG1570" s="1684"/>
      <c r="BH1570" s="1684"/>
      <c r="BI1570" s="1684"/>
      <c r="BJ1570" s="1684"/>
      <c r="BK1570" s="1684"/>
      <c r="BL1570" s="1684"/>
      <c r="BM1570" s="1684"/>
      <c r="BN1570" s="1684"/>
      <c r="BO1570" s="1684"/>
      <c r="BP1570" s="1684"/>
      <c r="BQ1570" s="1684"/>
      <c r="BR1570" s="1684"/>
      <c r="BS1570" s="1684"/>
      <c r="BT1570" s="1684"/>
      <c r="BU1570" s="1684"/>
      <c r="BV1570" s="1684"/>
      <c r="BW1570" s="1684"/>
      <c r="BX1570" s="1684"/>
      <c r="BY1570" s="1684"/>
      <c r="BZ1570" s="1684"/>
      <c r="CA1570" s="1684"/>
      <c r="CB1570" s="1684"/>
      <c r="CC1570" s="1684"/>
      <c r="CD1570" s="1684"/>
      <c r="CE1570" s="1684"/>
      <c r="CF1570" s="1684"/>
      <c r="CG1570" s="1684"/>
      <c r="CH1570" s="1684"/>
      <c r="CI1570" s="1684"/>
      <c r="CJ1570" s="1684"/>
      <c r="CK1570" s="1684"/>
      <c r="CL1570" s="1684"/>
      <c r="CM1570" s="1684"/>
      <c r="CN1570" s="1684"/>
      <c r="CO1570" s="1684"/>
    </row>
    <row r="1571" spans="1:93" s="1391" customFormat="1" ht="15.75" x14ac:dyDescent="0.25">
      <c r="A1571" s="1684"/>
      <c r="B1571" s="1694">
        <v>45</v>
      </c>
      <c r="C1571" s="1694">
        <v>1.26</v>
      </c>
      <c r="D1571" s="1694">
        <v>1.52</v>
      </c>
      <c r="E1571" s="1694">
        <v>1.78</v>
      </c>
      <c r="F1571" s="1700"/>
      <c r="G1571" s="1701"/>
      <c r="H1571" s="1703"/>
      <c r="I1571" s="1695"/>
      <c r="J1571" s="1568"/>
      <c r="L1571" s="1405"/>
      <c r="AQ1571" s="1684"/>
      <c r="AR1571" s="1684"/>
      <c r="AS1571" s="1684"/>
      <c r="AT1571" s="1684"/>
      <c r="AU1571" s="1684"/>
      <c r="AV1571" s="1684"/>
      <c r="AW1571" s="1684"/>
      <c r="AX1571" s="1684"/>
      <c r="AY1571" s="1684"/>
      <c r="AZ1571" s="1684"/>
      <c r="BA1571" s="1684"/>
      <c r="BB1571" s="1684"/>
      <c r="BC1571" s="1684"/>
      <c r="BD1571" s="1684"/>
      <c r="BE1571" s="1684"/>
      <c r="BF1571" s="1684"/>
      <c r="BG1571" s="1684"/>
      <c r="BH1571" s="1684"/>
      <c r="BI1571" s="1684"/>
      <c r="BJ1571" s="1684"/>
      <c r="BK1571" s="1684"/>
      <c r="BL1571" s="1684"/>
      <c r="BM1571" s="1684"/>
      <c r="BN1571" s="1684"/>
      <c r="BO1571" s="1684"/>
      <c r="BP1571" s="1684"/>
      <c r="BQ1571" s="1684"/>
      <c r="BR1571" s="1684"/>
      <c r="BS1571" s="1684"/>
      <c r="BT1571" s="1684"/>
      <c r="BU1571" s="1684"/>
      <c r="BV1571" s="1684"/>
      <c r="BW1571" s="1684"/>
      <c r="BX1571" s="1684"/>
      <c r="BY1571" s="1684"/>
      <c r="BZ1571" s="1684"/>
      <c r="CA1571" s="1684"/>
      <c r="CB1571" s="1684"/>
      <c r="CC1571" s="1684"/>
      <c r="CD1571" s="1684"/>
      <c r="CE1571" s="1684"/>
      <c r="CF1571" s="1684"/>
      <c r="CG1571" s="1684"/>
      <c r="CH1571" s="1684"/>
      <c r="CI1571" s="1684"/>
      <c r="CJ1571" s="1684"/>
      <c r="CK1571" s="1684"/>
      <c r="CL1571" s="1684"/>
      <c r="CM1571" s="1684"/>
      <c r="CN1571" s="1684"/>
      <c r="CO1571" s="1684"/>
    </row>
    <row r="1572" spans="1:93" s="1391" customFormat="1" ht="15.75" x14ac:dyDescent="0.25">
      <c r="A1572" s="1684"/>
      <c r="B1572" s="1694">
        <v>50</v>
      </c>
      <c r="C1572" s="1694">
        <v>1.3</v>
      </c>
      <c r="D1572" s="1694">
        <v>1.55</v>
      </c>
      <c r="E1572" s="1694">
        <v>1.82</v>
      </c>
      <c r="F1572" s="1700"/>
      <c r="G1572" s="1701"/>
      <c r="H1572" s="1703"/>
      <c r="I1572" s="1695"/>
      <c r="J1572" s="1568"/>
      <c r="L1572" s="1405"/>
      <c r="AQ1572" s="1684"/>
      <c r="AR1572" s="1684"/>
      <c r="AS1572" s="1684"/>
      <c r="AT1572" s="1684"/>
      <c r="AU1572" s="1684"/>
      <c r="AV1572" s="1684"/>
      <c r="AW1572" s="1684"/>
      <c r="AX1572" s="1684"/>
      <c r="AY1572" s="1684"/>
      <c r="AZ1572" s="1684"/>
      <c r="BA1572" s="1684"/>
      <c r="BB1572" s="1684"/>
      <c r="BC1572" s="1684"/>
      <c r="BD1572" s="1684"/>
      <c r="BE1572" s="1684"/>
      <c r="BF1572" s="1684"/>
      <c r="BG1572" s="1684"/>
      <c r="BH1572" s="1684"/>
      <c r="BI1572" s="1684"/>
      <c r="BJ1572" s="1684"/>
      <c r="BK1572" s="1684"/>
      <c r="BL1572" s="1684"/>
      <c r="BM1572" s="1684"/>
      <c r="BN1572" s="1684"/>
      <c r="BO1572" s="1684"/>
      <c r="BP1572" s="1684"/>
      <c r="BQ1572" s="1684"/>
      <c r="BR1572" s="1684"/>
      <c r="BS1572" s="1684"/>
      <c r="BT1572" s="1684"/>
      <c r="BU1572" s="1684"/>
      <c r="BV1572" s="1684"/>
      <c r="BW1572" s="1684"/>
      <c r="BX1572" s="1684"/>
      <c r="BY1572" s="1684"/>
      <c r="BZ1572" s="1684"/>
      <c r="CA1572" s="1684"/>
      <c r="CB1572" s="1684"/>
      <c r="CC1572" s="1684"/>
      <c r="CD1572" s="1684"/>
      <c r="CE1572" s="1684"/>
      <c r="CF1572" s="1684"/>
      <c r="CG1572" s="1684"/>
      <c r="CH1572" s="1684"/>
      <c r="CI1572" s="1684"/>
      <c r="CJ1572" s="1684"/>
      <c r="CK1572" s="1684"/>
      <c r="CL1572" s="1684"/>
      <c r="CM1572" s="1684"/>
      <c r="CN1572" s="1684"/>
      <c r="CO1572" s="1684"/>
    </row>
    <row r="1573" spans="1:93" s="1391" customFormat="1" ht="15.75" x14ac:dyDescent="0.25">
      <c r="A1573" s="1684"/>
      <c r="B1573" s="1694">
        <v>55</v>
      </c>
      <c r="C1573" s="1694">
        <v>1.33</v>
      </c>
      <c r="D1573" s="1694">
        <v>1.6</v>
      </c>
      <c r="E1573" s="1694">
        <v>1.87</v>
      </c>
      <c r="F1573" s="1700"/>
      <c r="G1573" s="1701"/>
      <c r="H1573" s="1703"/>
      <c r="I1573" s="1695"/>
      <c r="J1573" s="1568"/>
      <c r="L1573" s="1405"/>
      <c r="AQ1573" s="1684"/>
      <c r="AR1573" s="1684"/>
      <c r="AS1573" s="1684"/>
      <c r="AT1573" s="1684"/>
      <c r="AU1573" s="1684"/>
      <c r="AV1573" s="1684"/>
      <c r="AW1573" s="1684"/>
      <c r="AX1573" s="1684"/>
      <c r="AY1573" s="1684"/>
      <c r="AZ1573" s="1684"/>
      <c r="BA1573" s="1684"/>
      <c r="BB1573" s="1684"/>
      <c r="BC1573" s="1684"/>
      <c r="BD1573" s="1684"/>
      <c r="BE1573" s="1684"/>
      <c r="BF1573" s="1684"/>
      <c r="BG1573" s="1684"/>
      <c r="BH1573" s="1684"/>
      <c r="BI1573" s="1684"/>
      <c r="BJ1573" s="1684"/>
      <c r="BK1573" s="1684"/>
      <c r="BL1573" s="1684"/>
      <c r="BM1573" s="1684"/>
      <c r="BN1573" s="1684"/>
      <c r="BO1573" s="1684"/>
      <c r="BP1573" s="1684"/>
      <c r="BQ1573" s="1684"/>
      <c r="BR1573" s="1684"/>
      <c r="BS1573" s="1684"/>
      <c r="BT1573" s="1684"/>
      <c r="BU1573" s="1684"/>
      <c r="BV1573" s="1684"/>
      <c r="BW1573" s="1684"/>
      <c r="BX1573" s="1684"/>
      <c r="BY1573" s="1684"/>
      <c r="BZ1573" s="1684"/>
      <c r="CA1573" s="1684"/>
      <c r="CB1573" s="1684"/>
      <c r="CC1573" s="1684"/>
      <c r="CD1573" s="1684"/>
      <c r="CE1573" s="1684"/>
      <c r="CF1573" s="1684"/>
      <c r="CG1573" s="1684"/>
      <c r="CH1573" s="1684"/>
      <c r="CI1573" s="1684"/>
      <c r="CJ1573" s="1684"/>
      <c r="CK1573" s="1684"/>
      <c r="CL1573" s="1684"/>
      <c r="CM1573" s="1684"/>
      <c r="CN1573" s="1684"/>
      <c r="CO1573" s="1684"/>
    </row>
    <row r="1574" spans="1:93" s="1391" customFormat="1" ht="15.75" x14ac:dyDescent="0.2">
      <c r="A1574" s="1684"/>
      <c r="F1574" s="1700"/>
      <c r="G1574" s="1701"/>
      <c r="H1574" s="1703"/>
      <c r="I1574" s="1695"/>
      <c r="J1574" s="1568"/>
      <c r="L1574" s="1405"/>
      <c r="AQ1574" s="1684"/>
      <c r="AR1574" s="1684"/>
      <c r="AS1574" s="1684"/>
      <c r="AT1574" s="1684"/>
      <c r="AU1574" s="1684"/>
      <c r="AV1574" s="1684"/>
      <c r="AW1574" s="1684"/>
      <c r="AX1574" s="1684"/>
      <c r="AY1574" s="1684"/>
      <c r="AZ1574" s="1684"/>
      <c r="BA1574" s="1684"/>
      <c r="BB1574" s="1684"/>
      <c r="BC1574" s="1684"/>
      <c r="BD1574" s="1684"/>
      <c r="BE1574" s="1684"/>
      <c r="BF1574" s="1684"/>
      <c r="BG1574" s="1684"/>
      <c r="BH1574" s="1684"/>
      <c r="BI1574" s="1684"/>
      <c r="BJ1574" s="1684"/>
      <c r="BK1574" s="1684"/>
      <c r="BL1574" s="1684"/>
      <c r="BM1574" s="1684"/>
      <c r="BN1574" s="1684"/>
      <c r="BO1574" s="1684"/>
      <c r="BP1574" s="1684"/>
      <c r="BQ1574" s="1684"/>
      <c r="BR1574" s="1684"/>
      <c r="BS1574" s="1684"/>
      <c r="BT1574" s="1684"/>
      <c r="BU1574" s="1684"/>
      <c r="BV1574" s="1684"/>
      <c r="BW1574" s="1684"/>
      <c r="BX1574" s="1684"/>
      <c r="BY1574" s="1684"/>
      <c r="BZ1574" s="1684"/>
      <c r="CA1574" s="1684"/>
      <c r="CB1574" s="1684"/>
      <c r="CC1574" s="1684"/>
      <c r="CD1574" s="1684"/>
      <c r="CE1574" s="1684"/>
      <c r="CF1574" s="1684"/>
      <c r="CG1574" s="1684"/>
      <c r="CH1574" s="1684"/>
      <c r="CI1574" s="1684"/>
      <c r="CJ1574" s="1684"/>
      <c r="CK1574" s="1684"/>
      <c r="CL1574" s="1684"/>
      <c r="CM1574" s="1684"/>
      <c r="CN1574" s="1684"/>
      <c r="CO1574" s="1684"/>
    </row>
    <row r="1575" spans="1:93" s="1391" customFormat="1" ht="15.75" x14ac:dyDescent="0.25">
      <c r="A1575" s="1684"/>
      <c r="B1575" s="1684"/>
      <c r="C1575" s="1684"/>
      <c r="D1575" s="1684"/>
      <c r="E1575" s="1684"/>
      <c r="F1575" s="1684"/>
      <c r="G1575" s="1684"/>
      <c r="H1575" s="1684"/>
      <c r="I1575" s="1684"/>
      <c r="J1575" s="1684"/>
      <c r="K1575" s="1417"/>
      <c r="L1575" s="1417"/>
      <c r="M1575" s="1417"/>
      <c r="N1575" s="1417"/>
      <c r="O1575" s="1417"/>
      <c r="P1575" s="1417"/>
      <c r="Q1575" s="1417"/>
      <c r="R1575" s="1417"/>
      <c r="S1575" s="1417"/>
      <c r="T1575" s="1417"/>
      <c r="U1575" s="1417"/>
      <c r="V1575" s="1417"/>
      <c r="W1575" s="1417"/>
      <c r="X1575" s="1417"/>
      <c r="Y1575" s="1417"/>
      <c r="Z1575" s="1417"/>
      <c r="AA1575" s="1417"/>
      <c r="AB1575" s="1417"/>
      <c r="AC1575" s="1417"/>
      <c r="AD1575" s="1417"/>
      <c r="AE1575" s="1417"/>
      <c r="AF1575" s="1417"/>
      <c r="AG1575" s="1417"/>
      <c r="AH1575" s="1417"/>
      <c r="AI1575" s="1684"/>
      <c r="AJ1575" s="1684"/>
      <c r="AK1575" s="1684"/>
      <c r="AL1575" s="1684"/>
      <c r="AM1575" s="1684"/>
      <c r="AN1575" s="1684"/>
      <c r="AO1575" s="1684"/>
      <c r="AP1575" s="1684"/>
      <c r="AQ1575" s="1684"/>
      <c r="AR1575" s="1684"/>
      <c r="AS1575" s="1684"/>
      <c r="AT1575" s="1684"/>
      <c r="AU1575" s="1684"/>
      <c r="AV1575" s="1684"/>
      <c r="AW1575" s="1684"/>
      <c r="AX1575" s="1684"/>
      <c r="AY1575" s="1684"/>
      <c r="AZ1575" s="1684"/>
      <c r="BA1575" s="1684"/>
      <c r="BB1575" s="1684"/>
      <c r="BC1575" s="1684"/>
      <c r="BD1575" s="1684"/>
      <c r="BE1575" s="1684"/>
      <c r="BF1575" s="1684"/>
      <c r="BG1575" s="1684"/>
      <c r="BH1575" s="1684"/>
      <c r="BI1575" s="1684"/>
      <c r="BJ1575" s="1684"/>
      <c r="BK1575" s="1684"/>
      <c r="BL1575" s="1684"/>
      <c r="BM1575" s="1684"/>
      <c r="BN1575" s="1684"/>
      <c r="BO1575" s="1684"/>
      <c r="BP1575" s="1684"/>
      <c r="BQ1575" s="1684"/>
      <c r="BR1575" s="1684"/>
      <c r="BS1575" s="1684"/>
      <c r="BT1575" s="1684"/>
      <c r="BU1575" s="1684"/>
      <c r="BV1575" s="1684"/>
      <c r="BW1575" s="1684"/>
      <c r="BX1575" s="1684"/>
      <c r="BY1575" s="1684"/>
      <c r="BZ1575" s="1684"/>
      <c r="CA1575" s="1684"/>
      <c r="CB1575" s="1684"/>
      <c r="CC1575" s="1684"/>
      <c r="CD1575" s="1684"/>
      <c r="CE1575" s="1684"/>
      <c r="CF1575" s="1684"/>
      <c r="CG1575" s="1684"/>
      <c r="CH1575" s="1684"/>
      <c r="CI1575" s="1684"/>
      <c r="CJ1575" s="1684"/>
      <c r="CK1575" s="1684"/>
      <c r="CL1575" s="1684"/>
      <c r="CM1575" s="1684"/>
      <c r="CN1575" s="1684"/>
      <c r="CO1575" s="1684"/>
    </row>
    <row r="1576" spans="1:93" s="1391" customFormat="1" ht="15.75" x14ac:dyDescent="0.25">
      <c r="A1576" s="1729"/>
      <c r="B1576" s="1729"/>
      <c r="C1576" s="1729"/>
      <c r="D1576" s="1729"/>
      <c r="E1576" s="1729"/>
      <c r="F1576" s="1729"/>
      <c r="G1576" s="1729"/>
      <c r="H1576" s="1729"/>
      <c r="I1576" s="1729"/>
      <c r="J1576" s="1729"/>
      <c r="K1576" s="1730"/>
      <c r="L1576" s="1730"/>
      <c r="M1576" s="1730"/>
      <c r="N1576" s="1730"/>
      <c r="O1576" s="1730"/>
      <c r="P1576" s="1730"/>
      <c r="Q1576" s="1730"/>
      <c r="R1576" s="1730"/>
      <c r="S1576" s="1730"/>
      <c r="T1576" s="1730"/>
      <c r="U1576" s="1730"/>
      <c r="V1576" s="1417"/>
      <c r="W1576" s="1417"/>
      <c r="X1576" s="1417"/>
      <c r="Y1576" s="1417"/>
      <c r="Z1576" s="1417"/>
      <c r="AA1576" s="1417"/>
      <c r="AB1576" s="1417"/>
      <c r="AC1576" s="1417"/>
      <c r="AD1576" s="1417"/>
      <c r="AE1576" s="1417"/>
      <c r="AF1576" s="1417"/>
      <c r="AG1576" s="1417"/>
      <c r="AH1576" s="1417"/>
      <c r="AI1576" s="1684"/>
      <c r="AJ1576" s="1684"/>
      <c r="AK1576" s="1684"/>
      <c r="AL1576" s="1684"/>
      <c r="AM1576" s="1684"/>
      <c r="AN1576" s="1684"/>
      <c r="AO1576" s="1684"/>
      <c r="AP1576" s="1684"/>
      <c r="AQ1576" s="1684"/>
      <c r="AR1576" s="1684"/>
      <c r="AS1576" s="1684"/>
      <c r="AT1576" s="1684"/>
      <c r="AU1576" s="1684"/>
      <c r="AV1576" s="1684"/>
      <c r="AW1576" s="1684"/>
      <c r="AX1576" s="1684"/>
      <c r="AY1576" s="1684"/>
      <c r="AZ1576" s="1684"/>
      <c r="BA1576" s="1684"/>
      <c r="BB1576" s="1684"/>
      <c r="BC1576" s="1684"/>
      <c r="BD1576" s="1684"/>
      <c r="BE1576" s="1684"/>
      <c r="BF1576" s="1684"/>
      <c r="BG1576" s="1684"/>
      <c r="BH1576" s="1684"/>
      <c r="BI1576" s="1684"/>
      <c r="BJ1576" s="1684"/>
      <c r="BK1576" s="1684"/>
      <c r="BL1576" s="1684"/>
      <c r="BM1576" s="1684"/>
      <c r="BN1576" s="1684"/>
      <c r="BO1576" s="1684"/>
      <c r="BP1576" s="1684"/>
      <c r="BQ1576" s="1684"/>
      <c r="BR1576" s="1684"/>
      <c r="BS1576" s="1684"/>
      <c r="BT1576" s="1684"/>
      <c r="BU1576" s="1684"/>
      <c r="BV1576" s="1684"/>
      <c r="BW1576" s="1684"/>
      <c r="BX1576" s="1684"/>
      <c r="BY1576" s="1684"/>
      <c r="BZ1576" s="1684"/>
      <c r="CA1576" s="1684"/>
      <c r="CB1576" s="1684"/>
      <c r="CC1576" s="1684"/>
      <c r="CD1576" s="1684"/>
      <c r="CE1576" s="1684"/>
      <c r="CF1576" s="1684"/>
      <c r="CG1576" s="1684"/>
      <c r="CH1576" s="1684"/>
      <c r="CI1576" s="1684"/>
      <c r="CJ1576" s="1684"/>
      <c r="CK1576" s="1684"/>
      <c r="CL1576" s="1684"/>
      <c r="CM1576" s="1684"/>
      <c r="CN1576" s="1684"/>
      <c r="CO1576" s="1684"/>
    </row>
    <row r="1577" spans="1:93" s="1391" customFormat="1" ht="15" x14ac:dyDescent="0.2">
      <c r="A1577" s="1684"/>
      <c r="B1577" s="1684"/>
      <c r="C1577" s="1684"/>
      <c r="D1577" s="1684"/>
      <c r="E1577" s="1684"/>
      <c r="F1577" s="1684"/>
      <c r="G1577" s="1684"/>
      <c r="H1577" s="1684"/>
      <c r="I1577" s="1684"/>
      <c r="J1577" s="1684"/>
      <c r="K1577" s="1684"/>
      <c r="L1577" s="1684"/>
      <c r="M1577" s="1684"/>
      <c r="N1577" s="1684"/>
      <c r="O1577" s="1684"/>
      <c r="P1577" s="1684"/>
      <c r="Q1577" s="1684"/>
      <c r="R1577" s="1684"/>
      <c r="S1577" s="1684"/>
      <c r="T1577" s="1684"/>
      <c r="U1577" s="1684"/>
      <c r="V1577" s="1684"/>
      <c r="W1577" s="1684"/>
      <c r="X1577" s="1684"/>
      <c r="Y1577" s="1684"/>
      <c r="Z1577" s="1684"/>
      <c r="AA1577" s="1684"/>
      <c r="AB1577" s="1684"/>
      <c r="AC1577" s="1684"/>
      <c r="AD1577" s="1684"/>
      <c r="AE1577" s="1684"/>
      <c r="AF1577" s="1684"/>
      <c r="AG1577" s="1684"/>
      <c r="AH1577" s="1684"/>
      <c r="AI1577" s="1684"/>
      <c r="AJ1577" s="1684"/>
      <c r="AK1577" s="1684"/>
      <c r="AL1577" s="1684"/>
      <c r="AM1577" s="1684"/>
      <c r="AN1577" s="1684"/>
      <c r="AO1577" s="1684"/>
      <c r="AP1577" s="1684"/>
      <c r="AQ1577" s="1684"/>
      <c r="AR1577" s="1684"/>
      <c r="AS1577" s="1684"/>
      <c r="AT1577" s="1684"/>
      <c r="AU1577" s="1684"/>
      <c r="AV1577" s="1684"/>
      <c r="AW1577" s="1684"/>
      <c r="AX1577" s="1684"/>
      <c r="AY1577" s="1684"/>
      <c r="AZ1577" s="1684"/>
      <c r="BA1577" s="1684"/>
      <c r="BB1577" s="1684"/>
      <c r="BC1577" s="1684"/>
      <c r="BD1577" s="1684"/>
      <c r="BE1577" s="1684"/>
      <c r="BF1577" s="1684"/>
      <c r="BG1577" s="1684"/>
      <c r="BH1577" s="1684"/>
      <c r="BI1577" s="1684"/>
      <c r="BJ1577" s="1684"/>
      <c r="BK1577" s="1684"/>
      <c r="BL1577" s="1684"/>
      <c r="BM1577" s="1684"/>
      <c r="BN1577" s="1684"/>
      <c r="BO1577" s="1684"/>
      <c r="BP1577" s="1684"/>
      <c r="BQ1577" s="1684"/>
      <c r="BR1577" s="1684"/>
      <c r="BS1577" s="1684"/>
      <c r="BT1577" s="1684"/>
      <c r="BU1577" s="1684"/>
      <c r="BV1577" s="1684"/>
      <c r="BW1577" s="1684"/>
      <c r="BX1577" s="1684"/>
      <c r="BY1577" s="1684"/>
      <c r="BZ1577" s="1684"/>
      <c r="CA1577" s="1684"/>
      <c r="CB1577" s="1684"/>
      <c r="CC1577" s="1684"/>
      <c r="CD1577" s="1684"/>
      <c r="CE1577" s="1684"/>
      <c r="CF1577" s="1684"/>
      <c r="CG1577" s="1684"/>
      <c r="CH1577" s="1684"/>
      <c r="CI1577" s="1684"/>
      <c r="CJ1577" s="1684"/>
      <c r="CK1577" s="1684"/>
      <c r="CL1577" s="1684"/>
      <c r="CM1577" s="1684"/>
      <c r="CN1577" s="1684"/>
      <c r="CO1577" s="1684"/>
    </row>
    <row r="1578" spans="1:93" s="1391" customFormat="1" ht="18" x14ac:dyDescent="0.25">
      <c r="A1578" s="1684"/>
      <c r="B1578" s="2021" t="s">
        <v>4820</v>
      </c>
      <c r="C1578"/>
      <c r="D1578"/>
      <c r="E1578"/>
      <c r="F1578"/>
      <c r="G1578"/>
      <c r="H1578"/>
      <c r="I1578"/>
      <c r="J1578"/>
      <c r="K1578"/>
      <c r="L1578"/>
      <c r="M1578"/>
      <c r="N1578"/>
      <c r="O1578" s="1684"/>
      <c r="P1578" s="1684"/>
      <c r="Q1578" s="1684"/>
      <c r="R1578" s="1684"/>
      <c r="S1578" s="1684"/>
      <c r="T1578" s="1684"/>
      <c r="U1578" s="1684"/>
      <c r="V1578" s="1684"/>
      <c r="W1578" s="1684"/>
      <c r="X1578" s="1684"/>
      <c r="Y1578" s="1684"/>
      <c r="Z1578" s="1684"/>
      <c r="AA1578" s="1684"/>
      <c r="AB1578" s="1684"/>
      <c r="AC1578" s="1684"/>
      <c r="AD1578" s="1684"/>
      <c r="AE1578" s="1684"/>
      <c r="AF1578" s="1684"/>
      <c r="AG1578" s="1684"/>
      <c r="AH1578" s="1684"/>
      <c r="AI1578" s="1684"/>
      <c r="AJ1578" s="1684"/>
      <c r="AK1578" s="1684"/>
      <c r="AL1578" s="1684"/>
      <c r="AM1578" s="1684"/>
      <c r="AN1578" s="1684"/>
      <c r="AO1578" s="1684"/>
      <c r="AP1578" s="1684"/>
      <c r="AQ1578" s="1684"/>
      <c r="AR1578" s="1684"/>
      <c r="AS1578" s="1684"/>
      <c r="AT1578" s="1684"/>
      <c r="AU1578" s="1684"/>
      <c r="AV1578" s="1684"/>
      <c r="AW1578" s="1684"/>
      <c r="AX1578" s="1684"/>
      <c r="AY1578" s="1684"/>
      <c r="AZ1578" s="1684"/>
      <c r="BA1578" s="1684"/>
      <c r="BB1578" s="1684"/>
      <c r="BC1578" s="1684"/>
      <c r="BD1578" s="1684"/>
      <c r="BE1578" s="1684"/>
      <c r="BF1578" s="1684"/>
      <c r="BG1578" s="1684"/>
      <c r="BH1578" s="1684"/>
      <c r="BI1578" s="1684"/>
      <c r="BJ1578" s="1684"/>
      <c r="BK1578" s="1684"/>
      <c r="BL1578" s="1684"/>
      <c r="BM1578" s="1684"/>
      <c r="BN1578" s="1684"/>
      <c r="BO1578" s="1684"/>
      <c r="BP1578" s="1684"/>
      <c r="BQ1578" s="1684"/>
      <c r="BR1578" s="1684"/>
      <c r="BS1578" s="1684"/>
      <c r="BT1578" s="1684"/>
      <c r="BU1578" s="1684"/>
      <c r="BV1578" s="1684"/>
      <c r="BW1578" s="1684"/>
      <c r="BX1578" s="1684"/>
      <c r="BY1578" s="1684"/>
      <c r="BZ1578" s="1684"/>
      <c r="CA1578" s="1684"/>
      <c r="CB1578" s="1684"/>
      <c r="CC1578" s="1684"/>
      <c r="CD1578" s="1684"/>
      <c r="CE1578" s="1684"/>
      <c r="CF1578" s="1684"/>
      <c r="CG1578" s="1684"/>
      <c r="CH1578" s="1684"/>
      <c r="CI1578" s="1684"/>
      <c r="CJ1578" s="1684"/>
      <c r="CK1578" s="1684"/>
      <c r="CL1578" s="1684"/>
      <c r="CM1578" s="1684"/>
      <c r="CN1578" s="1684"/>
      <c r="CO1578" s="1684"/>
    </row>
    <row r="1579" spans="1:93" s="1391" customFormat="1" ht="15.75" thickBot="1" x14ac:dyDescent="0.25">
      <c r="A1579" s="1684"/>
      <c r="B1579" t="s">
        <v>4098</v>
      </c>
      <c r="C1579"/>
      <c r="D1579"/>
      <c r="E1579"/>
      <c r="F1579"/>
      <c r="G1579"/>
      <c r="H1579"/>
      <c r="I1579"/>
      <c r="J1579"/>
      <c r="K1579"/>
      <c r="L1579"/>
      <c r="M1579"/>
      <c r="N1579"/>
      <c r="O1579" s="1684"/>
      <c r="P1579" s="1684"/>
      <c r="Q1579" s="1684"/>
      <c r="R1579" s="1684"/>
      <c r="S1579" s="1684"/>
      <c r="T1579" s="1684"/>
      <c r="U1579" s="1684"/>
      <c r="V1579" s="1684"/>
      <c r="W1579" s="1684"/>
      <c r="X1579" s="1684"/>
      <c r="Y1579" s="1684"/>
      <c r="Z1579" s="1684"/>
      <c r="AA1579" s="1684"/>
      <c r="AB1579" s="1684"/>
      <c r="AC1579" s="1684"/>
      <c r="AD1579" s="1684"/>
      <c r="AE1579" s="1684"/>
      <c r="AF1579" s="1684"/>
      <c r="AG1579" s="1684"/>
      <c r="AH1579" s="1684"/>
      <c r="AI1579" s="1684"/>
      <c r="AJ1579" s="1684"/>
      <c r="AK1579" s="1684"/>
      <c r="AL1579" s="1684"/>
      <c r="AM1579" s="1684"/>
      <c r="AN1579" s="1684"/>
      <c r="AO1579" s="1684"/>
      <c r="AP1579" s="1684"/>
      <c r="AQ1579" s="1684"/>
      <c r="AR1579" s="1684"/>
      <c r="AS1579" s="1684"/>
      <c r="AT1579" s="1684"/>
      <c r="AU1579" s="1684"/>
      <c r="AV1579" s="1684"/>
      <c r="AW1579" s="1684"/>
      <c r="AX1579" s="1684"/>
      <c r="AY1579" s="1684"/>
      <c r="AZ1579" s="1684"/>
      <c r="BA1579" s="1684"/>
      <c r="BB1579" s="1684"/>
      <c r="BC1579" s="1684"/>
      <c r="BD1579" s="1684"/>
      <c r="BE1579" s="1684"/>
      <c r="BF1579" s="1684"/>
      <c r="BG1579" s="1684"/>
      <c r="BH1579" s="1684"/>
      <c r="BI1579" s="1684"/>
      <c r="BJ1579" s="1684"/>
      <c r="BK1579" s="1684"/>
      <c r="BL1579" s="1684"/>
      <c r="BM1579" s="1684"/>
      <c r="BN1579" s="1684"/>
      <c r="BO1579" s="1684"/>
      <c r="BP1579" s="1684"/>
      <c r="BQ1579" s="1684"/>
      <c r="BR1579" s="1684"/>
      <c r="BS1579" s="1684"/>
      <c r="BT1579" s="1684"/>
      <c r="BU1579" s="1684"/>
      <c r="BV1579" s="1684"/>
      <c r="BW1579" s="1684"/>
      <c r="BX1579" s="1684"/>
      <c r="BY1579" s="1684"/>
      <c r="BZ1579" s="1684"/>
      <c r="CA1579" s="1684"/>
      <c r="CB1579" s="1684"/>
      <c r="CC1579" s="1684"/>
      <c r="CD1579" s="1684"/>
      <c r="CE1579" s="1684"/>
      <c r="CF1579" s="1684"/>
      <c r="CG1579" s="1684"/>
      <c r="CH1579" s="1684"/>
      <c r="CI1579" s="1684"/>
      <c r="CJ1579" s="1684"/>
      <c r="CK1579" s="1684"/>
      <c r="CL1579" s="1684"/>
      <c r="CM1579" s="1684"/>
      <c r="CN1579" s="1684"/>
      <c r="CO1579" s="1684"/>
    </row>
    <row r="1580" spans="1:93" s="1391" customFormat="1" ht="15" x14ac:dyDescent="0.2">
      <c r="A1580" s="1684"/>
      <c r="B1580" s="4701" t="s">
        <v>3943</v>
      </c>
      <c r="C1580" s="4702"/>
      <c r="D1580" s="4702"/>
      <c r="E1580" s="4702"/>
      <c r="F1580" s="4702"/>
      <c r="G1580" s="4702"/>
      <c r="H1580" s="4702"/>
      <c r="I1580" s="4702"/>
      <c r="J1580" s="4702"/>
      <c r="K1580" s="4702"/>
      <c r="L1580" s="4702"/>
      <c r="M1580" s="4703"/>
      <c r="N1580"/>
      <c r="O1580" s="1684"/>
      <c r="P1580" s="1684"/>
      <c r="Q1580" s="1684"/>
      <c r="R1580" s="1684"/>
      <c r="S1580" s="1684"/>
      <c r="T1580" s="1684"/>
      <c r="U1580" s="1684"/>
      <c r="V1580" s="1684"/>
      <c r="W1580" s="1684"/>
      <c r="X1580" s="1684"/>
      <c r="Y1580" s="1684"/>
      <c r="Z1580" s="1684"/>
      <c r="AA1580" s="1684"/>
      <c r="AB1580" s="1684"/>
      <c r="AC1580" s="1684"/>
      <c r="AD1580" s="1684"/>
      <c r="AE1580" s="1684"/>
      <c r="AF1580" s="1684"/>
      <c r="AG1580" s="1684"/>
      <c r="AH1580" s="1684"/>
      <c r="AI1580" s="1684"/>
      <c r="AJ1580" s="1684"/>
      <c r="AK1580" s="1684"/>
      <c r="AL1580" s="1684"/>
      <c r="AM1580" s="1684"/>
      <c r="AN1580" s="1684"/>
      <c r="AO1580" s="1684"/>
      <c r="AP1580" s="1684"/>
      <c r="AQ1580" s="1684"/>
      <c r="AR1580" s="1684"/>
      <c r="AS1580" s="1684"/>
      <c r="AT1580" s="1684"/>
      <c r="AU1580" s="1684"/>
      <c r="AV1580" s="1684"/>
      <c r="AW1580" s="1684"/>
      <c r="AX1580" s="1684"/>
      <c r="AY1580" s="1684"/>
      <c r="AZ1580" s="1684"/>
      <c r="BA1580" s="1684"/>
      <c r="BB1580" s="1684"/>
      <c r="BC1580" s="1684"/>
      <c r="BD1580" s="1684"/>
      <c r="BE1580" s="1684"/>
      <c r="BF1580" s="1684"/>
      <c r="BG1580" s="1684"/>
      <c r="BH1580" s="1684"/>
      <c r="BI1580" s="1684"/>
      <c r="BJ1580" s="1684"/>
      <c r="BK1580" s="1684"/>
      <c r="BL1580" s="1684"/>
      <c r="BM1580" s="1684"/>
      <c r="BN1580" s="1684"/>
      <c r="BO1580" s="1684"/>
      <c r="BP1580" s="1684"/>
      <c r="BQ1580" s="1684"/>
      <c r="BR1580" s="1684"/>
      <c r="BS1580" s="1684"/>
      <c r="BT1580" s="1684"/>
      <c r="BU1580" s="1684"/>
      <c r="BV1580" s="1684"/>
      <c r="BW1580" s="1684"/>
      <c r="BX1580" s="1684"/>
      <c r="BY1580" s="1684"/>
      <c r="BZ1580" s="1684"/>
      <c r="CA1580" s="1684"/>
      <c r="CB1580" s="1684"/>
      <c r="CC1580" s="1684"/>
      <c r="CD1580" s="1684"/>
      <c r="CE1580" s="1684"/>
      <c r="CF1580" s="1684"/>
      <c r="CG1580" s="1684"/>
      <c r="CH1580" s="1684"/>
      <c r="CI1580" s="1684"/>
      <c r="CJ1580" s="1684"/>
      <c r="CK1580" s="1684"/>
      <c r="CL1580" s="1684"/>
      <c r="CM1580" s="1684"/>
      <c r="CN1580" s="1684"/>
      <c r="CO1580" s="1684"/>
    </row>
    <row r="1581" spans="1:93" s="1391" customFormat="1" ht="18.75" x14ac:dyDescent="0.3">
      <c r="A1581" s="1304"/>
      <c r="B1581" s="4704" t="s">
        <v>3944</v>
      </c>
      <c r="C1581" s="4707" t="s">
        <v>1042</v>
      </c>
      <c r="D1581" s="4710" t="s">
        <v>608</v>
      </c>
      <c r="E1581" s="4711"/>
      <c r="F1581" s="4711"/>
      <c r="G1581" s="4711"/>
      <c r="H1581" s="4711"/>
      <c r="I1581" s="4711"/>
      <c r="J1581" s="4711"/>
      <c r="K1581" s="4711"/>
      <c r="L1581" s="4712"/>
      <c r="M1581" s="4713" t="s">
        <v>2490</v>
      </c>
      <c r="N1581"/>
      <c r="O1581" s="1684"/>
      <c r="P1581" s="1684"/>
      <c r="Q1581" s="1684"/>
      <c r="R1581" s="1684"/>
      <c r="S1581" s="1684"/>
      <c r="T1581" s="1684"/>
      <c r="U1581" s="1684"/>
      <c r="V1581" s="1684"/>
      <c r="W1581" s="1684"/>
      <c r="X1581" s="1684"/>
      <c r="Y1581" s="1684"/>
      <c r="Z1581" s="1684"/>
      <c r="AA1581" s="1684"/>
      <c r="AB1581" s="1684"/>
      <c r="AC1581" s="1684"/>
      <c r="AD1581" s="1684"/>
      <c r="AE1581" s="1684"/>
      <c r="AF1581" s="1684"/>
      <c r="AG1581" s="1684"/>
      <c r="AH1581" s="1684"/>
      <c r="AI1581" s="1684"/>
      <c r="AJ1581" s="1684"/>
      <c r="AK1581" s="1684"/>
      <c r="AL1581" s="1684"/>
      <c r="AM1581" s="1684"/>
      <c r="AN1581" s="1684"/>
      <c r="AO1581" s="1684"/>
      <c r="AP1581" s="1684"/>
      <c r="AQ1581" s="1684"/>
      <c r="AR1581" s="1684"/>
      <c r="AS1581" s="1684"/>
      <c r="AT1581" s="1684"/>
      <c r="AU1581" s="1684"/>
      <c r="AV1581" s="1684"/>
      <c r="AW1581" s="1684"/>
      <c r="AX1581" s="1684"/>
      <c r="AY1581" s="1684"/>
      <c r="AZ1581" s="1684"/>
      <c r="BA1581" s="1684"/>
      <c r="BB1581" s="1684"/>
      <c r="BC1581" s="1684"/>
      <c r="BD1581" s="1684"/>
      <c r="BE1581" s="1684"/>
      <c r="BF1581" s="1684"/>
      <c r="BG1581" s="1684"/>
      <c r="BH1581" s="1684"/>
      <c r="BI1581" s="1684"/>
      <c r="BJ1581" s="1684"/>
      <c r="BK1581" s="1684"/>
      <c r="BL1581" s="1684"/>
      <c r="BM1581" s="1684"/>
      <c r="BN1581" s="1684"/>
      <c r="BO1581" s="1684"/>
      <c r="BP1581" s="1684"/>
      <c r="BQ1581" s="1684"/>
      <c r="BR1581" s="1684"/>
      <c r="BS1581" s="1684"/>
      <c r="BT1581" s="1684"/>
      <c r="BU1581" s="1684"/>
      <c r="BV1581" s="1684"/>
      <c r="BW1581" s="1684"/>
      <c r="BX1581" s="1684"/>
      <c r="BY1581" s="1684"/>
      <c r="BZ1581" s="1684"/>
      <c r="CA1581" s="1684"/>
      <c r="CB1581" s="1684"/>
      <c r="CC1581" s="1684"/>
      <c r="CD1581" s="1684"/>
      <c r="CE1581" s="1684"/>
      <c r="CF1581" s="1684"/>
      <c r="CG1581" s="1684"/>
      <c r="CH1581" s="1684"/>
      <c r="CI1581" s="1684"/>
      <c r="CJ1581" s="1684"/>
      <c r="CK1581" s="1684"/>
      <c r="CL1581" s="1684"/>
      <c r="CM1581" s="1684"/>
      <c r="CN1581" s="1684"/>
      <c r="CO1581" s="1684"/>
    </row>
    <row r="1582" spans="1:93" s="1391" customFormat="1" ht="54.75" x14ac:dyDescent="0.2">
      <c r="A1582" s="1684"/>
      <c r="B1582" s="4705"/>
      <c r="C1582" s="4708"/>
      <c r="D1582" s="2022" t="s">
        <v>1043</v>
      </c>
      <c r="E1582" s="2022" t="s">
        <v>1044</v>
      </c>
      <c r="F1582" s="2022" t="s">
        <v>1045</v>
      </c>
      <c r="G1582" s="2022" t="s">
        <v>1046</v>
      </c>
      <c r="H1582" s="2022" t="s">
        <v>1047</v>
      </c>
      <c r="I1582" s="2022" t="s">
        <v>1048</v>
      </c>
      <c r="J1582" s="2022" t="s">
        <v>1049</v>
      </c>
      <c r="K1582" s="2022" t="s">
        <v>1050</v>
      </c>
      <c r="L1582" s="2022" t="s">
        <v>1051</v>
      </c>
      <c r="M1582" s="4714"/>
      <c r="N1582"/>
      <c r="O1582" s="1684"/>
      <c r="P1582" s="1684"/>
      <c r="Q1582" s="1684"/>
      <c r="R1582" s="1684"/>
      <c r="S1582" s="1684"/>
      <c r="T1582" s="1684"/>
      <c r="U1582" s="1684"/>
      <c r="V1582" s="1684"/>
      <c r="W1582" s="1684"/>
      <c r="X1582" s="1684"/>
      <c r="Y1582" s="1684"/>
      <c r="Z1582" s="1684"/>
      <c r="AA1582" s="1684"/>
      <c r="AB1582" s="1684"/>
      <c r="AC1582" s="1684"/>
      <c r="AD1582" s="1684"/>
      <c r="AE1582" s="1684"/>
      <c r="AF1582" s="1684"/>
      <c r="AG1582" s="1684"/>
      <c r="AH1582" s="1684"/>
      <c r="AI1582" s="1684"/>
      <c r="AJ1582" s="1684"/>
      <c r="AK1582" s="1684"/>
      <c r="AL1582" s="1684"/>
      <c r="AM1582" s="1684"/>
      <c r="AN1582" s="1684"/>
      <c r="AO1582" s="1684"/>
      <c r="AP1582" s="1684"/>
      <c r="AQ1582" s="1684"/>
      <c r="AR1582" s="1684"/>
      <c r="AS1582" s="1684"/>
      <c r="AT1582" s="1684"/>
      <c r="AU1582" s="1684"/>
      <c r="AV1582" s="1684"/>
      <c r="AW1582" s="1684"/>
      <c r="AX1582" s="1684"/>
      <c r="AY1582" s="1684"/>
      <c r="AZ1582" s="1684"/>
      <c r="BA1582" s="1684"/>
      <c r="BB1582" s="1684"/>
      <c r="BC1582" s="1684"/>
      <c r="BD1582" s="1684"/>
      <c r="BE1582" s="1684"/>
      <c r="BF1582" s="1684"/>
      <c r="BG1582" s="1684"/>
      <c r="BH1582" s="1684"/>
      <c r="BI1582" s="1684"/>
      <c r="BJ1582" s="1684"/>
      <c r="BK1582" s="1684"/>
      <c r="BL1582" s="1684"/>
      <c r="BM1582" s="1684"/>
      <c r="BN1582" s="1684"/>
      <c r="BO1582" s="1684"/>
      <c r="BP1582" s="1684"/>
      <c r="BQ1582" s="1684"/>
      <c r="BR1582" s="1684"/>
      <c r="BS1582" s="1684"/>
      <c r="BT1582" s="1684"/>
      <c r="BU1582" s="1684"/>
      <c r="BV1582" s="1684"/>
      <c r="BW1582" s="1684"/>
      <c r="BX1582" s="1684"/>
      <c r="BY1582" s="1684"/>
      <c r="BZ1582" s="1684"/>
      <c r="CA1582" s="1684"/>
      <c r="CB1582" s="1684"/>
      <c r="CC1582" s="1684"/>
      <c r="CD1582" s="1684"/>
      <c r="CE1582" s="1684"/>
      <c r="CF1582" s="1684"/>
      <c r="CG1582" s="1684"/>
      <c r="CH1582" s="1684"/>
      <c r="CI1582" s="1684"/>
      <c r="CJ1582" s="1684"/>
      <c r="CK1582" s="1684"/>
      <c r="CL1582" s="1684"/>
      <c r="CM1582" s="1684"/>
      <c r="CN1582" s="1684"/>
      <c r="CO1582" s="1684"/>
    </row>
    <row r="1583" spans="1:93" s="1391" customFormat="1" ht="15" x14ac:dyDescent="0.2">
      <c r="A1583" s="1684"/>
      <c r="B1583" s="4706"/>
      <c r="C1583" s="4709"/>
      <c r="D1583" s="4710" t="s">
        <v>1781</v>
      </c>
      <c r="E1583" s="4711"/>
      <c r="F1583" s="4711"/>
      <c r="G1583" s="4711"/>
      <c r="H1583" s="4711"/>
      <c r="I1583" s="4711"/>
      <c r="J1583" s="4711"/>
      <c r="K1583" s="4711"/>
      <c r="L1583" s="4712"/>
      <c r="M1583" s="4715"/>
      <c r="N1583"/>
      <c r="O1583" s="1684"/>
      <c r="P1583" s="1684"/>
      <c r="Q1583" s="1684"/>
      <c r="R1583" s="1684"/>
      <c r="S1583" s="1684"/>
      <c r="T1583" s="1684"/>
      <c r="U1583" s="1684"/>
      <c r="V1583" s="1684"/>
      <c r="W1583" s="1684"/>
      <c r="X1583" s="1684"/>
      <c r="Y1583" s="1684"/>
      <c r="Z1583" s="1684"/>
      <c r="AA1583" s="1684"/>
      <c r="AB1583" s="1684"/>
      <c r="AC1583" s="1684"/>
      <c r="AD1583" s="1684"/>
      <c r="AE1583" s="1684"/>
      <c r="AF1583" s="1684"/>
      <c r="AG1583" s="1684"/>
      <c r="AH1583" s="1684"/>
      <c r="AI1583" s="1684"/>
      <c r="AJ1583" s="1684"/>
      <c r="AK1583" s="1684"/>
      <c r="AL1583" s="1684"/>
      <c r="AM1583" s="1684"/>
      <c r="AN1583" s="1684"/>
      <c r="AO1583" s="1684"/>
      <c r="AP1583" s="1684"/>
      <c r="AQ1583" s="1684"/>
      <c r="AR1583" s="1684"/>
      <c r="AS1583" s="1684"/>
      <c r="AT1583" s="1684"/>
      <c r="AU1583" s="1684"/>
      <c r="AV1583" s="1684"/>
      <c r="AW1583" s="1684"/>
      <c r="AX1583" s="1684"/>
      <c r="AY1583" s="1684"/>
      <c r="AZ1583" s="1684"/>
      <c r="BA1583" s="1684"/>
      <c r="BB1583" s="1684"/>
      <c r="BC1583" s="1684"/>
      <c r="BD1583" s="1684"/>
      <c r="BE1583" s="1684"/>
      <c r="BF1583" s="1684"/>
      <c r="BG1583" s="1684"/>
      <c r="BH1583" s="1684"/>
      <c r="BI1583" s="1684"/>
      <c r="BJ1583" s="1684"/>
      <c r="BK1583" s="1684"/>
      <c r="BL1583" s="1684"/>
      <c r="BM1583" s="1684"/>
      <c r="BN1583" s="1684"/>
      <c r="BO1583" s="1684"/>
      <c r="BP1583" s="1684"/>
      <c r="BQ1583" s="1684"/>
      <c r="BR1583" s="1684"/>
      <c r="BS1583" s="1684"/>
      <c r="BT1583" s="1684"/>
      <c r="BU1583" s="1684"/>
      <c r="BV1583" s="1684"/>
      <c r="BW1583" s="1684"/>
      <c r="BX1583" s="1684"/>
      <c r="BY1583" s="1684"/>
      <c r="BZ1583" s="1684"/>
      <c r="CA1583" s="1684"/>
      <c r="CB1583" s="1684"/>
      <c r="CC1583" s="1684"/>
      <c r="CD1583" s="1684"/>
      <c r="CE1583" s="1684"/>
      <c r="CF1583" s="1684"/>
      <c r="CG1583" s="1684"/>
      <c r="CH1583" s="1684"/>
      <c r="CI1583" s="1684"/>
      <c r="CJ1583" s="1684"/>
      <c r="CK1583" s="1684"/>
      <c r="CL1583" s="1684"/>
      <c r="CM1583" s="1684"/>
      <c r="CN1583" s="1684"/>
      <c r="CO1583" s="1684"/>
    </row>
    <row r="1584" spans="1:93" s="1391" customFormat="1" ht="15" x14ac:dyDescent="0.2">
      <c r="A1584" s="1684"/>
      <c r="B1584" s="4698" t="s">
        <v>3689</v>
      </c>
      <c r="C1584" s="4699"/>
      <c r="D1584" s="4699"/>
      <c r="E1584" s="4699"/>
      <c r="F1584" s="4699"/>
      <c r="G1584" s="4699"/>
      <c r="H1584" s="4699"/>
      <c r="I1584" s="4699"/>
      <c r="J1584" s="4699"/>
      <c r="K1584" s="4699"/>
      <c r="L1584" s="4699"/>
      <c r="M1584" s="4700"/>
      <c r="N1584"/>
      <c r="O1584" s="1684"/>
      <c r="P1584" s="1684"/>
      <c r="Q1584" s="1684"/>
      <c r="R1584" s="1684"/>
      <c r="S1584" s="1684"/>
      <c r="T1584" s="1684"/>
      <c r="U1584" s="1684"/>
      <c r="V1584" s="1684"/>
      <c r="W1584" s="1684"/>
      <c r="X1584" s="1684"/>
      <c r="Y1584" s="1684"/>
      <c r="Z1584" s="1684"/>
      <c r="AA1584" s="1684"/>
      <c r="AB1584" s="1684"/>
      <c r="AC1584" s="1684"/>
      <c r="AD1584" s="1684"/>
      <c r="AE1584" s="1684"/>
      <c r="AF1584" s="1684"/>
      <c r="AG1584" s="1684"/>
      <c r="AH1584" s="1684"/>
      <c r="AI1584" s="1684"/>
      <c r="AJ1584" s="1684"/>
      <c r="AK1584" s="1684"/>
      <c r="AL1584" s="1684"/>
      <c r="AM1584" s="1684"/>
      <c r="AN1584" s="1684"/>
      <c r="AO1584" s="1684"/>
      <c r="AP1584" s="1684"/>
      <c r="AQ1584" s="1684"/>
      <c r="AR1584" s="1684"/>
      <c r="AS1584" s="1684"/>
      <c r="AT1584" s="1684"/>
      <c r="AU1584" s="1684"/>
      <c r="AV1584" s="1684"/>
      <c r="AW1584" s="1684"/>
      <c r="AX1584" s="1684"/>
      <c r="AY1584" s="1684"/>
      <c r="AZ1584" s="1684"/>
      <c r="BA1584" s="1684"/>
      <c r="BB1584" s="1684"/>
      <c r="BC1584" s="1684"/>
      <c r="BD1584" s="1684"/>
      <c r="BE1584" s="1684"/>
      <c r="BF1584" s="1684"/>
      <c r="BG1584" s="1684"/>
      <c r="BH1584" s="1684"/>
      <c r="BI1584" s="1684"/>
      <c r="BJ1584" s="1684"/>
      <c r="BK1584" s="1684"/>
      <c r="BL1584" s="1684"/>
      <c r="BM1584" s="1684"/>
      <c r="BN1584" s="1684"/>
      <c r="BO1584" s="1684"/>
      <c r="BP1584" s="1684"/>
      <c r="BQ1584" s="1684"/>
      <c r="BR1584" s="1684"/>
      <c r="BS1584" s="1684"/>
      <c r="BT1584" s="1684"/>
      <c r="BU1584" s="1684"/>
      <c r="BV1584" s="1684"/>
      <c r="BW1584" s="1684"/>
      <c r="BX1584" s="1684"/>
      <c r="BY1584" s="1684"/>
      <c r="BZ1584" s="1684"/>
      <c r="CA1584" s="1684"/>
      <c r="CB1584" s="1684"/>
      <c r="CC1584" s="1684"/>
      <c r="CD1584" s="1684"/>
      <c r="CE1584" s="1684"/>
      <c r="CF1584" s="1684"/>
      <c r="CG1584" s="1684"/>
      <c r="CH1584" s="1684"/>
      <c r="CI1584" s="1684"/>
      <c r="CJ1584" s="1684"/>
      <c r="CK1584" s="1684"/>
      <c r="CL1584" s="1684"/>
      <c r="CM1584" s="1684"/>
      <c r="CN1584" s="1684"/>
      <c r="CO1584" s="1684"/>
    </row>
    <row r="1585" spans="1:93" s="1391" customFormat="1" ht="15" x14ac:dyDescent="0.2">
      <c r="A1585" s="1684"/>
      <c r="B1585" s="4716" t="s">
        <v>1052</v>
      </c>
      <c r="C1585" s="4711"/>
      <c r="D1585" s="4711"/>
      <c r="E1585" s="4711"/>
      <c r="F1585" s="4711"/>
      <c r="G1585" s="4711"/>
      <c r="H1585" s="4711"/>
      <c r="I1585" s="4711"/>
      <c r="J1585" s="4711"/>
      <c r="K1585" s="4711"/>
      <c r="L1585" s="4711"/>
      <c r="M1585" s="4717"/>
      <c r="N1585"/>
      <c r="O1585" s="1684"/>
      <c r="P1585" s="1684"/>
      <c r="Q1585" s="1684"/>
      <c r="R1585" s="1684"/>
      <c r="S1585" s="1684"/>
      <c r="T1585" s="1684"/>
      <c r="U1585" s="1684"/>
      <c r="V1585" s="1684"/>
      <c r="W1585" s="1684"/>
      <c r="X1585" s="1684"/>
      <c r="Y1585" s="1684"/>
      <c r="Z1585" s="1684"/>
      <c r="AA1585" s="1684"/>
      <c r="AB1585" s="1684"/>
      <c r="AC1585" s="1684"/>
      <c r="AD1585" s="1684"/>
      <c r="AE1585" s="1684"/>
      <c r="AF1585" s="1684"/>
      <c r="AG1585" s="1684"/>
      <c r="AH1585" s="1684"/>
      <c r="AI1585" s="1684"/>
      <c r="AJ1585" s="1684"/>
      <c r="AK1585" s="1684"/>
      <c r="AL1585" s="1684"/>
      <c r="AM1585" s="1684"/>
      <c r="AN1585" s="1684"/>
      <c r="AO1585" s="1684"/>
      <c r="AP1585" s="1684"/>
      <c r="AQ1585" s="1684"/>
      <c r="AR1585" s="1684"/>
      <c r="AS1585" s="1684"/>
      <c r="AT1585" s="1684"/>
      <c r="AU1585" s="1684"/>
      <c r="AV1585" s="1684"/>
      <c r="AW1585" s="1684"/>
      <c r="AX1585" s="1684"/>
      <c r="AY1585" s="1684"/>
      <c r="AZ1585" s="1684"/>
      <c r="BA1585" s="1684"/>
      <c r="BB1585" s="1684"/>
      <c r="BC1585" s="1684"/>
      <c r="BD1585" s="1684"/>
      <c r="BE1585" s="1684"/>
      <c r="BF1585" s="1684"/>
      <c r="BG1585" s="1684"/>
      <c r="BH1585" s="1684"/>
      <c r="BI1585" s="1684"/>
      <c r="BJ1585" s="1684"/>
      <c r="BK1585" s="1684"/>
      <c r="BL1585" s="1684"/>
      <c r="BM1585" s="1684"/>
      <c r="BN1585" s="1684"/>
      <c r="BO1585" s="1684"/>
      <c r="BP1585" s="1684"/>
      <c r="BQ1585" s="1684"/>
      <c r="BR1585" s="1684"/>
      <c r="BS1585" s="1684"/>
      <c r="BT1585" s="1684"/>
      <c r="BU1585" s="1684"/>
      <c r="BV1585" s="1684"/>
      <c r="BW1585" s="1684"/>
      <c r="BX1585" s="1684"/>
      <c r="BY1585" s="1684"/>
      <c r="BZ1585" s="1684"/>
      <c r="CA1585" s="1684"/>
      <c r="CB1585" s="1684"/>
      <c r="CC1585" s="1684"/>
      <c r="CD1585" s="1684"/>
      <c r="CE1585" s="1684"/>
      <c r="CF1585" s="1684"/>
      <c r="CG1585" s="1684"/>
      <c r="CH1585" s="1684"/>
      <c r="CI1585" s="1684"/>
      <c r="CJ1585" s="1684"/>
      <c r="CK1585" s="1684"/>
      <c r="CL1585" s="1684"/>
      <c r="CM1585" s="1684"/>
      <c r="CN1585" s="1684"/>
      <c r="CO1585" s="1684"/>
    </row>
    <row r="1586" spans="1:93" s="1391" customFormat="1" ht="15" x14ac:dyDescent="0.2">
      <c r="A1586" s="1684"/>
      <c r="B1586" s="2023"/>
      <c r="C1586" s="2024"/>
      <c r="D1586" s="2024">
        <v>1</v>
      </c>
      <c r="E1586" s="2024">
        <v>2</v>
      </c>
      <c r="F1586" s="2024">
        <v>3</v>
      </c>
      <c r="G1586" s="2024">
        <v>4</v>
      </c>
      <c r="H1586" s="2024">
        <v>5</v>
      </c>
      <c r="I1586" s="2024">
        <v>6</v>
      </c>
      <c r="J1586" s="2024">
        <v>7</v>
      </c>
      <c r="K1586" s="2024">
        <v>8</v>
      </c>
      <c r="L1586" s="2024">
        <v>9</v>
      </c>
      <c r="M1586" s="2025"/>
      <c r="N1586"/>
      <c r="O1586" s="1684"/>
      <c r="P1586" s="1684"/>
      <c r="Q1586" s="1684"/>
      <c r="R1586" s="1684"/>
      <c r="S1586" s="1684"/>
      <c r="T1586" s="1684"/>
      <c r="U1586" s="1684"/>
      <c r="V1586" s="1684"/>
      <c r="W1586" s="1684"/>
      <c r="X1586" s="1684"/>
      <c r="Y1586" s="1684"/>
      <c r="Z1586" s="1684"/>
      <c r="AA1586" s="1684"/>
      <c r="AB1586" s="1684"/>
      <c r="AC1586" s="1684"/>
      <c r="AD1586" s="1684"/>
      <c r="AE1586" s="1684"/>
      <c r="AF1586" s="1684"/>
      <c r="AG1586" s="1684"/>
      <c r="AH1586" s="1684"/>
      <c r="AI1586" s="1684"/>
      <c r="AJ1586" s="1684"/>
      <c r="AK1586" s="1684"/>
      <c r="AL1586" s="1684"/>
      <c r="AM1586" s="1684"/>
      <c r="AN1586" s="1684"/>
      <c r="AO1586" s="1684"/>
      <c r="AP1586" s="1684"/>
      <c r="AQ1586" s="1684"/>
      <c r="AR1586" s="1684"/>
      <c r="AS1586" s="1684"/>
      <c r="AT1586" s="1684"/>
      <c r="AU1586" s="1684"/>
      <c r="AV1586" s="1684"/>
      <c r="AW1586" s="1684"/>
      <c r="AX1586" s="1684"/>
      <c r="AY1586" s="1684"/>
      <c r="AZ1586" s="1684"/>
      <c r="BA1586" s="1684"/>
      <c r="BB1586" s="1684"/>
      <c r="BC1586" s="1684"/>
      <c r="BD1586" s="1684"/>
      <c r="BE1586" s="1684"/>
      <c r="BF1586" s="1684"/>
      <c r="BG1586" s="1684"/>
      <c r="BH1586" s="1684"/>
      <c r="BI1586" s="1684"/>
      <c r="BJ1586" s="1684"/>
      <c r="BK1586" s="1684"/>
      <c r="BL1586" s="1684"/>
      <c r="BM1586" s="1684"/>
      <c r="BN1586" s="1684"/>
      <c r="BO1586" s="1684"/>
      <c r="BP1586" s="1684"/>
      <c r="BQ1586" s="1684"/>
      <c r="BR1586" s="1684"/>
      <c r="BS1586" s="1684"/>
      <c r="BT1586" s="1684"/>
      <c r="BU1586" s="1684"/>
      <c r="BV1586" s="1684"/>
      <c r="BW1586" s="1684"/>
      <c r="BX1586" s="1684"/>
      <c r="BY1586" s="1684"/>
      <c r="BZ1586" s="1684"/>
      <c r="CA1586" s="1684"/>
      <c r="CB1586" s="1684"/>
      <c r="CC1586" s="1684"/>
      <c r="CD1586" s="1684"/>
      <c r="CE1586" s="1684"/>
      <c r="CF1586" s="1684"/>
      <c r="CG1586" s="1684"/>
      <c r="CH1586" s="1684"/>
      <c r="CI1586" s="1684"/>
      <c r="CJ1586" s="1684"/>
      <c r="CK1586" s="1684"/>
      <c r="CL1586" s="1684"/>
      <c r="CM1586" s="1684"/>
      <c r="CN1586" s="1684"/>
      <c r="CO1586" s="1684"/>
    </row>
    <row r="1587" spans="1:93" s="1391" customFormat="1" ht="15" x14ac:dyDescent="0.2">
      <c r="A1587" s="1684"/>
      <c r="B1587" s="2026">
        <v>9</v>
      </c>
      <c r="C1587" s="2027">
        <v>4.8959999999999999</v>
      </c>
      <c r="D1587" s="2027">
        <v>217</v>
      </c>
      <c r="E1587" s="2027">
        <v>236</v>
      </c>
      <c r="F1587" s="2027">
        <v>254</v>
      </c>
      <c r="G1587" s="2027">
        <v>273</v>
      </c>
      <c r="H1587" s="2027">
        <v>292</v>
      </c>
      <c r="I1587" s="2027">
        <v>311</v>
      </c>
      <c r="J1587" s="2027">
        <v>330</v>
      </c>
      <c r="K1587" s="2027">
        <v>349</v>
      </c>
      <c r="L1587" s="2027">
        <v>368</v>
      </c>
      <c r="M1587" s="2028">
        <v>1</v>
      </c>
      <c r="N1587"/>
      <c r="O1587" s="1684"/>
      <c r="P1587" s="1684"/>
      <c r="Q1587" s="1684"/>
      <c r="R1587" s="1684"/>
      <c r="S1587" s="1684"/>
      <c r="T1587" s="1684"/>
      <c r="U1587" s="1684"/>
      <c r="V1587" s="1684"/>
      <c r="W1587" s="1684"/>
      <c r="X1587" s="1684"/>
      <c r="Y1587" s="1684"/>
      <c r="Z1587" s="1684"/>
      <c r="AA1587" s="1684"/>
      <c r="AB1587" s="1684"/>
      <c r="AC1587" s="1684"/>
      <c r="AD1587" s="1684"/>
      <c r="AE1587" s="1684"/>
      <c r="AF1587" s="1684"/>
      <c r="AG1587" s="1684"/>
      <c r="AH1587" s="1684"/>
      <c r="AI1587" s="1684"/>
      <c r="AJ1587" s="1684"/>
      <c r="AK1587" s="1684"/>
      <c r="AL1587" s="1684"/>
      <c r="AM1587" s="1684"/>
      <c r="AN1587" s="1684"/>
      <c r="AO1587" s="1684"/>
      <c r="AP1587" s="1684"/>
      <c r="AQ1587" s="1684"/>
      <c r="AR1587" s="1684"/>
      <c r="AS1587" s="1684"/>
      <c r="AT1587" s="1684"/>
      <c r="AU1587" s="1684"/>
      <c r="AV1587" s="1684"/>
      <c r="AW1587" s="1684"/>
      <c r="AX1587" s="1684"/>
      <c r="AY1587" s="1684"/>
      <c r="AZ1587" s="1684"/>
      <c r="BA1587" s="1684"/>
      <c r="BB1587" s="1684"/>
      <c r="BC1587" s="1684"/>
      <c r="BD1587" s="1684"/>
      <c r="BE1587" s="1684"/>
      <c r="BF1587" s="1684"/>
      <c r="BG1587" s="1684"/>
      <c r="BH1587" s="1684"/>
      <c r="BI1587" s="1684"/>
      <c r="BJ1587" s="1684"/>
      <c r="BK1587" s="1684"/>
      <c r="BL1587" s="1684"/>
      <c r="BM1587" s="1684"/>
      <c r="BN1587" s="1684"/>
      <c r="BO1587" s="1684"/>
      <c r="BP1587" s="1684"/>
      <c r="BQ1587" s="1684"/>
      <c r="BR1587" s="1684"/>
      <c r="BS1587" s="1684"/>
      <c r="BT1587" s="1684"/>
      <c r="BU1587" s="1684"/>
      <c r="BV1587" s="1684"/>
      <c r="BW1587" s="1684"/>
      <c r="BX1587" s="1684"/>
      <c r="BY1587" s="1684"/>
      <c r="BZ1587" s="1684"/>
      <c r="CA1587" s="1684"/>
      <c r="CB1587" s="1684"/>
      <c r="CC1587" s="1684"/>
      <c r="CD1587" s="1684"/>
      <c r="CE1587" s="1684"/>
      <c r="CF1587" s="1684"/>
      <c r="CG1587" s="1684"/>
      <c r="CH1587" s="1684"/>
      <c r="CI1587" s="1684"/>
      <c r="CJ1587" s="1684"/>
      <c r="CK1587" s="1684"/>
      <c r="CL1587" s="1684"/>
      <c r="CM1587" s="1684"/>
      <c r="CN1587" s="1684"/>
      <c r="CO1587" s="1684"/>
    </row>
    <row r="1588" spans="1:93" s="1391" customFormat="1" ht="15" x14ac:dyDescent="0.2">
      <c r="A1588" s="1684"/>
      <c r="B1588" s="2026">
        <v>10</v>
      </c>
      <c r="C1588" s="2027">
        <v>5.1970000000000001</v>
      </c>
      <c r="D1588" s="2027">
        <v>241</v>
      </c>
      <c r="E1588" s="2027">
        <v>262</v>
      </c>
      <c r="F1588" s="2027">
        <v>283</v>
      </c>
      <c r="G1588" s="2027">
        <v>304</v>
      </c>
      <c r="H1588" s="2027">
        <v>325</v>
      </c>
      <c r="I1588" s="2027">
        <v>347</v>
      </c>
      <c r="J1588" s="2027">
        <v>367</v>
      </c>
      <c r="K1588" s="2027">
        <v>388</v>
      </c>
      <c r="L1588" s="2027">
        <v>409</v>
      </c>
      <c r="M1588" s="2028">
        <v>2</v>
      </c>
      <c r="N1588"/>
      <c r="O1588" s="1684"/>
      <c r="P1588" s="1684"/>
      <c r="Q1588" s="1684"/>
      <c r="R1588" s="1684"/>
      <c r="S1588" s="1684"/>
      <c r="T1588" s="1684"/>
      <c r="U1588" s="1684"/>
      <c r="V1588" s="1684"/>
      <c r="W1588" s="1684"/>
      <c r="X1588" s="1684"/>
      <c r="Y1588" s="1684"/>
      <c r="Z1588" s="1684"/>
      <c r="AA1588" s="1684"/>
      <c r="AB1588" s="1684"/>
      <c r="AC1588" s="1684"/>
      <c r="AD1588" s="1684"/>
      <c r="AE1588" s="1684"/>
      <c r="AF1588" s="1684"/>
      <c r="AG1588" s="1684"/>
      <c r="AH1588" s="1684"/>
      <c r="AI1588" s="1684"/>
      <c r="AJ1588" s="1684"/>
      <c r="AK1588" s="1684"/>
      <c r="AL1588" s="1684"/>
      <c r="AM1588" s="1684"/>
      <c r="AN1588" s="1684"/>
      <c r="AO1588" s="1684"/>
      <c r="AP1588" s="1684"/>
      <c r="AQ1588" s="1684"/>
      <c r="AR1588" s="1684"/>
      <c r="AS1588" s="1684"/>
      <c r="AT1588" s="1684"/>
      <c r="AU1588" s="1684"/>
      <c r="AV1588" s="1684"/>
      <c r="AW1588" s="1684"/>
      <c r="AX1588" s="1684"/>
      <c r="AY1588" s="1684"/>
      <c r="AZ1588" s="1684"/>
      <c r="BA1588" s="1684"/>
      <c r="BB1588" s="1684"/>
      <c r="BC1588" s="1684"/>
      <c r="BD1588" s="1684"/>
      <c r="BE1588" s="1684"/>
      <c r="BF1588" s="1684"/>
      <c r="BG1588" s="1684"/>
      <c r="BH1588" s="1684"/>
      <c r="BI1588" s="1684"/>
      <c r="BJ1588" s="1684"/>
      <c r="BK1588" s="1684"/>
      <c r="BL1588" s="1684"/>
      <c r="BM1588" s="1684"/>
      <c r="BN1588" s="1684"/>
      <c r="BO1588" s="1684"/>
      <c r="BP1588" s="1684"/>
      <c r="BQ1588" s="1684"/>
      <c r="BR1588" s="1684"/>
      <c r="BS1588" s="1684"/>
      <c r="BT1588" s="1684"/>
      <c r="BU1588" s="1684"/>
      <c r="BV1588" s="1684"/>
      <c r="BW1588" s="1684"/>
      <c r="BX1588" s="1684"/>
      <c r="BY1588" s="1684"/>
      <c r="BZ1588" s="1684"/>
      <c r="CA1588" s="1684"/>
      <c r="CB1588" s="1684"/>
      <c r="CC1588" s="1684"/>
      <c r="CD1588" s="1684"/>
      <c r="CE1588" s="1684"/>
      <c r="CF1588" s="1684"/>
      <c r="CG1588" s="1684"/>
      <c r="CH1588" s="1684"/>
      <c r="CI1588" s="1684"/>
      <c r="CJ1588" s="1684"/>
      <c r="CK1588" s="1684"/>
      <c r="CL1588" s="1684"/>
      <c r="CM1588" s="1684"/>
      <c r="CN1588" s="1684"/>
      <c r="CO1588" s="1684"/>
    </row>
    <row r="1589" spans="1:93" s="1391" customFormat="1" ht="15" x14ac:dyDescent="0.2">
      <c r="A1589" s="1684"/>
      <c r="B1589" s="2026">
        <v>11</v>
      </c>
      <c r="C1589" s="2027">
        <v>5.5430000000000001</v>
      </c>
      <c r="D1589" s="2027">
        <v>269</v>
      </c>
      <c r="E1589" s="2027">
        <v>293</v>
      </c>
      <c r="F1589" s="2027">
        <v>316</v>
      </c>
      <c r="G1589" s="2027">
        <v>340</v>
      </c>
      <c r="H1589" s="2027">
        <v>363</v>
      </c>
      <c r="I1589" s="2027">
        <v>387</v>
      </c>
      <c r="J1589" s="2027">
        <v>410</v>
      </c>
      <c r="K1589" s="2027">
        <v>433</v>
      </c>
      <c r="L1589" s="2027">
        <v>457</v>
      </c>
      <c r="M1589" s="2028">
        <v>3</v>
      </c>
      <c r="N1589"/>
      <c r="O1589" s="1684"/>
      <c r="P1589" s="1684"/>
      <c r="Q1589" s="1684"/>
      <c r="R1589" s="1684"/>
      <c r="S1589" s="1684"/>
      <c r="T1589" s="1684"/>
      <c r="U1589" s="1684"/>
      <c r="V1589" s="1684"/>
      <c r="W1589" s="1684"/>
      <c r="X1589" s="1684"/>
      <c r="Y1589" s="1684"/>
      <c r="Z1589" s="1684"/>
      <c r="AA1589" s="1684"/>
      <c r="AB1589" s="1684"/>
      <c r="AC1589" s="1684"/>
      <c r="AD1589" s="1684"/>
      <c r="AE1589" s="1684"/>
      <c r="AF1589" s="1684"/>
      <c r="AG1589" s="1684"/>
      <c r="AH1589" s="1684"/>
      <c r="AI1589" s="1684"/>
      <c r="AJ1589" s="1684"/>
      <c r="AK1589" s="1684"/>
      <c r="AL1589" s="1684"/>
      <c r="AM1589" s="1684"/>
      <c r="AN1589" s="1684"/>
      <c r="AO1589" s="1684"/>
      <c r="AP1589" s="1684"/>
      <c r="AQ1589" s="1684"/>
      <c r="AR1589" s="1684"/>
      <c r="AS1589" s="1684"/>
      <c r="AT1589" s="1684"/>
      <c r="AU1589" s="1684"/>
      <c r="AV1589" s="1684"/>
      <c r="AW1589" s="1684"/>
      <c r="AX1589" s="1684"/>
      <c r="AY1589" s="1684"/>
      <c r="AZ1589" s="1684"/>
      <c r="BA1589" s="1684"/>
      <c r="BB1589" s="1684"/>
      <c r="BC1589" s="1684"/>
      <c r="BD1589" s="1684"/>
      <c r="BE1589" s="1684"/>
      <c r="BF1589" s="1684"/>
      <c r="BG1589" s="1684"/>
      <c r="BH1589" s="1684"/>
      <c r="BI1589" s="1684"/>
      <c r="BJ1589" s="1684"/>
      <c r="BK1589" s="1684"/>
      <c r="BL1589" s="1684"/>
      <c r="BM1589" s="1684"/>
      <c r="BN1589" s="1684"/>
      <c r="BO1589" s="1684"/>
      <c r="BP1589" s="1684"/>
      <c r="BQ1589" s="1684"/>
      <c r="BR1589" s="1684"/>
      <c r="BS1589" s="1684"/>
      <c r="BT1589" s="1684"/>
      <c r="BU1589" s="1684"/>
      <c r="BV1589" s="1684"/>
      <c r="BW1589" s="1684"/>
      <c r="BX1589" s="1684"/>
      <c r="BY1589" s="1684"/>
      <c r="BZ1589" s="1684"/>
      <c r="CA1589" s="1684"/>
      <c r="CB1589" s="1684"/>
      <c r="CC1589" s="1684"/>
      <c r="CD1589" s="1684"/>
      <c r="CE1589" s="1684"/>
      <c r="CF1589" s="1684"/>
      <c r="CG1589" s="1684"/>
      <c r="CH1589" s="1684"/>
      <c r="CI1589" s="1684"/>
      <c r="CJ1589" s="1684"/>
      <c r="CK1589" s="1684"/>
      <c r="CL1589" s="1684"/>
      <c r="CM1589" s="1684"/>
      <c r="CN1589" s="1684"/>
      <c r="CO1589" s="1684"/>
    </row>
    <row r="1590" spans="1:93" s="1391" customFormat="1" ht="15" x14ac:dyDescent="0.2">
      <c r="A1590" s="1684"/>
      <c r="B1590" s="2026">
        <v>12</v>
      </c>
      <c r="C1590" s="2027">
        <v>5.9139999999999997</v>
      </c>
      <c r="D1590" s="2027">
        <v>299</v>
      </c>
      <c r="E1590" s="2027">
        <v>325</v>
      </c>
      <c r="F1590" s="2027">
        <v>351</v>
      </c>
      <c r="G1590" s="2027">
        <v>377</v>
      </c>
      <c r="H1590" s="2027">
        <v>403</v>
      </c>
      <c r="I1590" s="2027">
        <v>430</v>
      </c>
      <c r="J1590" s="2027">
        <v>456</v>
      </c>
      <c r="K1590" s="2027">
        <v>482</v>
      </c>
      <c r="L1590" s="2027">
        <v>508</v>
      </c>
      <c r="M1590" s="2028">
        <v>4</v>
      </c>
      <c r="N1590"/>
      <c r="O1590" s="1684"/>
      <c r="P1590" s="1684"/>
      <c r="Q1590" s="1684"/>
      <c r="R1590" s="1684"/>
      <c r="S1590" s="1684"/>
      <c r="T1590" s="1684"/>
      <c r="U1590" s="1684"/>
      <c r="V1590" s="1684"/>
      <c r="W1590" s="1684"/>
      <c r="X1590" s="1684"/>
      <c r="Y1590" s="1684"/>
      <c r="Z1590" s="1684"/>
      <c r="AA1590" s="1684"/>
      <c r="AB1590" s="1684"/>
      <c r="AC1590" s="1684"/>
      <c r="AD1590" s="1684"/>
      <c r="AE1590" s="1684"/>
      <c r="AF1590" s="1684"/>
      <c r="AG1590" s="1684"/>
      <c r="AH1590" s="1684"/>
      <c r="AI1590" s="1684"/>
      <c r="AJ1590" s="1684"/>
      <c r="AK1590" s="1684"/>
      <c r="AL1590" s="1684"/>
      <c r="AM1590" s="1684"/>
      <c r="AN1590" s="1684"/>
      <c r="AO1590" s="1684"/>
      <c r="AP1590" s="1684"/>
      <c r="AQ1590" s="1684"/>
      <c r="AR1590" s="1684"/>
      <c r="AS1590" s="1684"/>
      <c r="AT1590" s="1684"/>
      <c r="AU1590" s="1684"/>
      <c r="AV1590" s="1684"/>
      <c r="AW1590" s="1684"/>
      <c r="AX1590" s="1684"/>
      <c r="AY1590" s="1684"/>
      <c r="AZ1590" s="1684"/>
      <c r="BA1590" s="1684"/>
      <c r="BB1590" s="1684"/>
      <c r="BC1590" s="1684"/>
      <c r="BD1590" s="1684"/>
      <c r="BE1590" s="1684"/>
      <c r="BF1590" s="1684"/>
      <c r="BG1590" s="1684"/>
      <c r="BH1590" s="1684"/>
      <c r="BI1590" s="1684"/>
      <c r="BJ1590" s="1684"/>
      <c r="BK1590" s="1684"/>
      <c r="BL1590" s="1684"/>
      <c r="BM1590" s="1684"/>
      <c r="BN1590" s="1684"/>
      <c r="BO1590" s="1684"/>
      <c r="BP1590" s="1684"/>
      <c r="BQ1590" s="1684"/>
      <c r="BR1590" s="1684"/>
      <c r="BS1590" s="1684"/>
      <c r="BT1590" s="1684"/>
      <c r="BU1590" s="1684"/>
      <c r="BV1590" s="1684"/>
      <c r="BW1590" s="1684"/>
      <c r="BX1590" s="1684"/>
      <c r="BY1590" s="1684"/>
      <c r="BZ1590" s="1684"/>
      <c r="CA1590" s="1684"/>
      <c r="CB1590" s="1684"/>
      <c r="CC1590" s="1684"/>
      <c r="CD1590" s="1684"/>
      <c r="CE1590" s="1684"/>
      <c r="CF1590" s="1684"/>
      <c r="CG1590" s="1684"/>
      <c r="CH1590" s="1684"/>
      <c r="CI1590" s="1684"/>
      <c r="CJ1590" s="1684"/>
      <c r="CK1590" s="1684"/>
      <c r="CL1590" s="1684"/>
      <c r="CM1590" s="1684"/>
      <c r="CN1590" s="1684"/>
      <c r="CO1590" s="1684"/>
    </row>
    <row r="1591" spans="1:93" s="1391" customFormat="1" ht="15" x14ac:dyDescent="0.2">
      <c r="A1591" s="1684"/>
      <c r="B1591" s="2026">
        <v>13</v>
      </c>
      <c r="C1591" s="2027">
        <v>6.3019999999999996</v>
      </c>
      <c r="D1591" s="2027">
        <v>331</v>
      </c>
      <c r="E1591" s="2027">
        <v>360</v>
      </c>
      <c r="F1591" s="2027">
        <v>388</v>
      </c>
      <c r="G1591" s="2027">
        <v>417</v>
      </c>
      <c r="H1591" s="2027">
        <v>446</v>
      </c>
      <c r="I1591" s="2027">
        <v>475</v>
      </c>
      <c r="J1591" s="2027">
        <v>503</v>
      </c>
      <c r="K1591" s="2027">
        <v>532</v>
      </c>
      <c r="L1591" s="2027">
        <v>561</v>
      </c>
      <c r="M1591" s="2028">
        <v>5</v>
      </c>
      <c r="N1591"/>
      <c r="O1591" s="1684"/>
      <c r="P1591" s="1684"/>
      <c r="Q1591" s="1684"/>
      <c r="R1591" s="1684"/>
      <c r="S1591" s="1684"/>
      <c r="T1591" s="1684"/>
      <c r="U1591" s="1684"/>
      <c r="V1591" s="1684"/>
      <c r="W1591" s="1684"/>
      <c r="X1591" s="1684"/>
      <c r="Y1591" s="1684"/>
      <c r="Z1591" s="1684"/>
      <c r="AA1591" s="1684"/>
      <c r="AB1591" s="1684"/>
      <c r="AC1591" s="1684"/>
      <c r="AD1591" s="1684"/>
      <c r="AE1591" s="1684"/>
      <c r="AF1591" s="1684"/>
      <c r="AG1591" s="1684"/>
      <c r="AH1591" s="1684"/>
      <c r="AI1591" s="1684"/>
      <c r="AJ1591" s="1684"/>
      <c r="AK1591" s="1684"/>
      <c r="AL1591" s="1684"/>
      <c r="AM1591" s="1684"/>
      <c r="AN1591" s="1684"/>
      <c r="AO1591" s="1684"/>
      <c r="AP1591" s="1684"/>
      <c r="AQ1591" s="1684"/>
      <c r="AR1591" s="1684"/>
      <c r="AS1591" s="1684"/>
      <c r="AT1591" s="1684"/>
      <c r="AU1591" s="1684"/>
      <c r="AV1591" s="1684"/>
      <c r="AW1591" s="1684"/>
      <c r="AX1591" s="1684"/>
      <c r="AY1591" s="1684"/>
      <c r="AZ1591" s="1684"/>
      <c r="BA1591" s="1684"/>
      <c r="BB1591" s="1684"/>
      <c r="BC1591" s="1684"/>
      <c r="BD1591" s="1684"/>
      <c r="BE1591" s="1684"/>
      <c r="BF1591" s="1684"/>
      <c r="BG1591" s="1684"/>
      <c r="BH1591" s="1684"/>
      <c r="BI1591" s="1684"/>
      <c r="BJ1591" s="1684"/>
      <c r="BK1591" s="1684"/>
      <c r="BL1591" s="1684"/>
      <c r="BM1591" s="1684"/>
      <c r="BN1591" s="1684"/>
      <c r="BO1591" s="1684"/>
      <c r="BP1591" s="1684"/>
      <c r="BQ1591" s="1684"/>
      <c r="BR1591" s="1684"/>
      <c r="BS1591" s="1684"/>
      <c r="BT1591" s="1684"/>
      <c r="BU1591" s="1684"/>
      <c r="BV1591" s="1684"/>
      <c r="BW1591" s="1684"/>
      <c r="BX1591" s="1684"/>
      <c r="BY1591" s="1684"/>
      <c r="BZ1591" s="1684"/>
      <c r="CA1591" s="1684"/>
      <c r="CB1591" s="1684"/>
      <c r="CC1591" s="1684"/>
      <c r="CD1591" s="1684"/>
      <c r="CE1591" s="1684"/>
      <c r="CF1591" s="1684"/>
      <c r="CG1591" s="1684"/>
      <c r="CH1591" s="1684"/>
      <c r="CI1591" s="1684"/>
      <c r="CJ1591" s="1684"/>
      <c r="CK1591" s="1684"/>
      <c r="CL1591" s="1684"/>
      <c r="CM1591" s="1684"/>
      <c r="CN1591" s="1684"/>
      <c r="CO1591" s="1684"/>
    </row>
    <row r="1592" spans="1:93" s="1391" customFormat="1" ht="15" x14ac:dyDescent="0.2">
      <c r="A1592" s="1684"/>
      <c r="B1592" s="2026">
        <v>14</v>
      </c>
      <c r="C1592" s="2027">
        <v>6.726</v>
      </c>
      <c r="D1592" s="2027">
        <v>365</v>
      </c>
      <c r="E1592" s="2027">
        <v>397</v>
      </c>
      <c r="F1592" s="2027">
        <v>429</v>
      </c>
      <c r="G1592" s="2027">
        <v>461</v>
      </c>
      <c r="H1592" s="2027">
        <v>492</v>
      </c>
      <c r="I1592" s="2027">
        <v>525</v>
      </c>
      <c r="J1592" s="2027">
        <v>556</v>
      </c>
      <c r="K1592" s="2027">
        <v>588</v>
      </c>
      <c r="L1592" s="2027">
        <v>619</v>
      </c>
      <c r="M1592" s="2028">
        <v>6</v>
      </c>
      <c r="N1592"/>
      <c r="O1592" s="1684"/>
      <c r="P1592" s="1684"/>
      <c r="Q1592" s="1684"/>
      <c r="R1592" s="1684"/>
      <c r="S1592" s="1684"/>
      <c r="T1592" s="1684"/>
      <c r="U1592" s="1684"/>
      <c r="V1592" s="1684"/>
      <c r="W1592" s="1684"/>
      <c r="X1592" s="1684"/>
      <c r="Y1592" s="1684"/>
      <c r="Z1592" s="1684"/>
      <c r="AA1592" s="1684"/>
      <c r="AB1592" s="1684"/>
      <c r="AC1592" s="1684"/>
      <c r="AD1592" s="1684"/>
      <c r="AE1592" s="1684"/>
      <c r="AF1592" s="1684"/>
      <c r="AG1592" s="1684"/>
      <c r="AH1592" s="1684"/>
      <c r="AI1592" s="1684"/>
      <c r="AJ1592" s="1684"/>
      <c r="AK1592" s="1684"/>
      <c r="AL1592" s="1684"/>
      <c r="AM1592" s="1684"/>
      <c r="AN1592" s="1684"/>
      <c r="AO1592" s="1684"/>
      <c r="AP1592" s="1684"/>
      <c r="AQ1592" s="1684"/>
      <c r="AR1592" s="1684"/>
      <c r="AS1592" s="1684"/>
      <c r="AT1592" s="1684"/>
      <c r="AU1592" s="1684"/>
      <c r="AV1592" s="1684"/>
      <c r="AW1592" s="1684"/>
      <c r="AX1592" s="1684"/>
      <c r="AY1592" s="1684"/>
      <c r="AZ1592" s="1684"/>
      <c r="BA1592" s="1684"/>
      <c r="BB1592" s="1684"/>
      <c r="BC1592" s="1684"/>
      <c r="BD1592" s="1684"/>
      <c r="BE1592" s="1684"/>
      <c r="BF1592" s="1684"/>
      <c r="BG1592" s="1684"/>
      <c r="BH1592" s="1684"/>
      <c r="BI1592" s="1684"/>
      <c r="BJ1592" s="1684"/>
      <c r="BK1592" s="1684"/>
      <c r="BL1592" s="1684"/>
      <c r="BM1592" s="1684"/>
      <c r="BN1592" s="1684"/>
      <c r="BO1592" s="1684"/>
      <c r="BP1592" s="1684"/>
      <c r="BQ1592" s="1684"/>
      <c r="BR1592" s="1684"/>
      <c r="BS1592" s="1684"/>
      <c r="BT1592" s="1684"/>
      <c r="BU1592" s="1684"/>
      <c r="BV1592" s="1684"/>
      <c r="BW1592" s="1684"/>
      <c r="BX1592" s="1684"/>
      <c r="BY1592" s="1684"/>
      <c r="BZ1592" s="1684"/>
      <c r="CA1592" s="1684"/>
      <c r="CB1592" s="1684"/>
      <c r="CC1592" s="1684"/>
      <c r="CD1592" s="1684"/>
      <c r="CE1592" s="1684"/>
      <c r="CF1592" s="1684"/>
      <c r="CG1592" s="1684"/>
      <c r="CH1592" s="1684"/>
      <c r="CI1592" s="1684"/>
      <c r="CJ1592" s="1684"/>
      <c r="CK1592" s="1684"/>
      <c r="CL1592" s="1684"/>
      <c r="CM1592" s="1684"/>
      <c r="CN1592" s="1684"/>
      <c r="CO1592" s="1684"/>
    </row>
    <row r="1593" spans="1:93" s="1391" customFormat="1" ht="15" x14ac:dyDescent="0.2">
      <c r="A1593" s="1684"/>
      <c r="B1593" s="2026">
        <v>15</v>
      </c>
      <c r="C1593" s="2027">
        <v>7.173</v>
      </c>
      <c r="D1593" s="2027">
        <v>401</v>
      </c>
      <c r="E1593" s="2027">
        <v>436</v>
      </c>
      <c r="F1593" s="2027">
        <v>471</v>
      </c>
      <c r="G1593" s="2027">
        <v>506</v>
      </c>
      <c r="H1593" s="2027">
        <v>541</v>
      </c>
      <c r="I1593" s="2027">
        <v>577</v>
      </c>
      <c r="J1593" s="2027">
        <v>611</v>
      </c>
      <c r="K1593" s="2027">
        <v>646</v>
      </c>
      <c r="L1593" s="2027">
        <v>680</v>
      </c>
      <c r="M1593" s="2028">
        <v>7</v>
      </c>
      <c r="N1593"/>
      <c r="O1593" s="1684"/>
      <c r="P1593" s="1684"/>
      <c r="Q1593" s="1684"/>
      <c r="R1593" s="1684"/>
      <c r="S1593" s="1684"/>
      <c r="T1593" s="1684"/>
      <c r="U1593" s="1684"/>
      <c r="V1593" s="1684"/>
      <c r="W1593" s="1684"/>
      <c r="X1593" s="1684"/>
      <c r="Y1593" s="1684"/>
      <c r="Z1593" s="1684"/>
      <c r="AA1593" s="1684"/>
      <c r="AB1593" s="1684"/>
      <c r="AC1593" s="1684"/>
      <c r="AD1593" s="1684"/>
      <c r="AE1593" s="1684"/>
      <c r="AF1593" s="1684"/>
      <c r="AG1593" s="1684"/>
      <c r="AH1593" s="1684"/>
      <c r="AI1593" s="1684"/>
      <c r="AJ1593" s="1684"/>
      <c r="AK1593" s="1684"/>
      <c r="AL1593" s="1684"/>
      <c r="AM1593" s="1684"/>
      <c r="AN1593" s="1684"/>
      <c r="AO1593" s="1684"/>
      <c r="AP1593" s="1684"/>
      <c r="AQ1593" s="1684"/>
      <c r="AR1593" s="1684"/>
      <c r="AS1593" s="1684"/>
      <c r="AT1593" s="1684"/>
      <c r="AU1593" s="1684"/>
      <c r="AV1593" s="1684"/>
      <c r="AW1593" s="1684"/>
      <c r="AX1593" s="1684"/>
      <c r="AY1593" s="1684"/>
      <c r="AZ1593" s="1684"/>
      <c r="BA1593" s="1684"/>
      <c r="BB1593" s="1684"/>
      <c r="BC1593" s="1684"/>
      <c r="BD1593" s="1684"/>
      <c r="BE1593" s="1684"/>
      <c r="BF1593" s="1684"/>
      <c r="BG1593" s="1684"/>
      <c r="BH1593" s="1684"/>
      <c r="BI1593" s="1684"/>
      <c r="BJ1593" s="1684"/>
      <c r="BK1593" s="1684"/>
      <c r="BL1593" s="1684"/>
      <c r="BM1593" s="1684"/>
      <c r="BN1593" s="1684"/>
      <c r="BO1593" s="1684"/>
      <c r="BP1593" s="1684"/>
      <c r="BQ1593" s="1684"/>
      <c r="BR1593" s="1684"/>
      <c r="BS1593" s="1684"/>
      <c r="BT1593" s="1684"/>
      <c r="BU1593" s="1684"/>
      <c r="BV1593" s="1684"/>
      <c r="BW1593" s="1684"/>
      <c r="BX1593" s="1684"/>
      <c r="BY1593" s="1684"/>
      <c r="BZ1593" s="1684"/>
      <c r="CA1593" s="1684"/>
      <c r="CB1593" s="1684"/>
      <c r="CC1593" s="1684"/>
      <c r="CD1593" s="1684"/>
      <c r="CE1593" s="1684"/>
      <c r="CF1593" s="1684"/>
      <c r="CG1593" s="1684"/>
      <c r="CH1593" s="1684"/>
      <c r="CI1593" s="1684"/>
      <c r="CJ1593" s="1684"/>
      <c r="CK1593" s="1684"/>
      <c r="CL1593" s="1684"/>
      <c r="CM1593" s="1684"/>
      <c r="CN1593" s="1684"/>
      <c r="CO1593" s="1684"/>
    </row>
    <row r="1594" spans="1:93" s="1391" customFormat="1" ht="15" x14ac:dyDescent="0.2">
      <c r="A1594" s="1684"/>
      <c r="B1594" s="2026">
        <v>16</v>
      </c>
      <c r="C1594" s="2027">
        <v>7.625</v>
      </c>
      <c r="D1594" s="2027">
        <v>438</v>
      </c>
      <c r="E1594" s="2027">
        <v>476</v>
      </c>
      <c r="F1594" s="2027">
        <v>514</v>
      </c>
      <c r="G1594" s="2027">
        <v>552</v>
      </c>
      <c r="H1594" s="2027">
        <v>591</v>
      </c>
      <c r="I1594" s="2027">
        <v>630</v>
      </c>
      <c r="J1594" s="2027">
        <v>667</v>
      </c>
      <c r="K1594" s="2027">
        <v>705</v>
      </c>
      <c r="L1594" s="2027">
        <v>743</v>
      </c>
      <c r="M1594" s="2028">
        <v>8</v>
      </c>
      <c r="N1594"/>
      <c r="O1594" s="1684"/>
      <c r="P1594" s="1684"/>
      <c r="Q1594" s="1684"/>
      <c r="R1594" s="1684"/>
      <c r="S1594" s="1684"/>
      <c r="T1594" s="1684"/>
      <c r="U1594" s="1684"/>
      <c r="V1594" s="1684"/>
      <c r="W1594" s="1684"/>
      <c r="X1594" s="1684"/>
      <c r="Y1594" s="1684"/>
      <c r="Z1594" s="1684"/>
      <c r="AA1594" s="1684"/>
      <c r="AB1594" s="1684"/>
      <c r="AC1594" s="1684"/>
      <c r="AD1594" s="1684"/>
      <c r="AE1594" s="1684"/>
      <c r="AF1594" s="1684"/>
      <c r="AG1594" s="1684"/>
      <c r="AH1594" s="1684"/>
      <c r="AI1594" s="1684"/>
      <c r="AJ1594" s="1684"/>
      <c r="AK1594" s="1684"/>
      <c r="AL1594" s="1684"/>
      <c r="AM1594" s="1684"/>
      <c r="AN1594" s="1684"/>
      <c r="AO1594" s="1684"/>
      <c r="AP1594" s="1684"/>
      <c r="AQ1594" s="1684"/>
      <c r="AR1594" s="1684"/>
      <c r="AS1594" s="1684"/>
      <c r="AT1594" s="1684"/>
      <c r="AU1594" s="1684"/>
      <c r="AV1594" s="1684"/>
      <c r="AW1594" s="1684"/>
      <c r="AX1594" s="1684"/>
      <c r="AY1594" s="1684"/>
      <c r="AZ1594" s="1684"/>
      <c r="BA1594" s="1684"/>
      <c r="BB1594" s="1684"/>
      <c r="BC1594" s="1684"/>
      <c r="BD1594" s="1684"/>
      <c r="BE1594" s="1684"/>
      <c r="BF1594" s="1684"/>
      <c r="BG1594" s="1684"/>
      <c r="BH1594" s="1684"/>
      <c r="BI1594" s="1684"/>
      <c r="BJ1594" s="1684"/>
      <c r="BK1594" s="1684"/>
      <c r="BL1594" s="1684"/>
      <c r="BM1594" s="1684"/>
      <c r="BN1594" s="1684"/>
      <c r="BO1594" s="1684"/>
      <c r="BP1594" s="1684"/>
      <c r="BQ1594" s="1684"/>
      <c r="BR1594" s="1684"/>
      <c r="BS1594" s="1684"/>
      <c r="BT1594" s="1684"/>
      <c r="BU1594" s="1684"/>
      <c r="BV1594" s="1684"/>
      <c r="BW1594" s="1684"/>
      <c r="BX1594" s="1684"/>
      <c r="BY1594" s="1684"/>
      <c r="BZ1594" s="1684"/>
      <c r="CA1594" s="1684"/>
      <c r="CB1594" s="1684"/>
      <c r="CC1594" s="1684"/>
      <c r="CD1594" s="1684"/>
      <c r="CE1594" s="1684"/>
      <c r="CF1594" s="1684"/>
      <c r="CG1594" s="1684"/>
      <c r="CH1594" s="1684"/>
      <c r="CI1594" s="1684"/>
      <c r="CJ1594" s="1684"/>
      <c r="CK1594" s="1684"/>
      <c r="CL1594" s="1684"/>
      <c r="CM1594" s="1684"/>
      <c r="CN1594" s="1684"/>
      <c r="CO1594" s="1684"/>
    </row>
    <row r="1595" spans="1:93" s="1391" customFormat="1" ht="15" x14ac:dyDescent="0.2">
      <c r="A1595" s="1684"/>
      <c r="B1595" s="4716" t="s">
        <v>1053</v>
      </c>
      <c r="C1595" s="4711"/>
      <c r="D1595" s="4711"/>
      <c r="E1595" s="4711"/>
      <c r="F1595" s="4711"/>
      <c r="G1595" s="4711"/>
      <c r="H1595" s="4711"/>
      <c r="I1595" s="4711"/>
      <c r="J1595" s="4711"/>
      <c r="K1595" s="4711"/>
      <c r="L1595" s="4711"/>
      <c r="M1595" s="4717"/>
      <c r="N1595"/>
      <c r="O1595" s="1684"/>
      <c r="P1595" s="1684"/>
      <c r="Q1595" s="1684"/>
      <c r="R1595" s="1684"/>
      <c r="S1595" s="1684"/>
      <c r="T1595" s="1684"/>
      <c r="U1595" s="1684"/>
      <c r="V1595" s="1684"/>
      <c r="W1595" s="1684"/>
      <c r="X1595" s="1684"/>
      <c r="Y1595" s="1684"/>
      <c r="Z1595" s="1684"/>
      <c r="AA1595" s="1684"/>
      <c r="AB1595" s="1684"/>
      <c r="AC1595" s="1684"/>
      <c r="AD1595" s="1684"/>
      <c r="AE1595" s="1684"/>
      <c r="AF1595" s="1684"/>
      <c r="AG1595" s="1684"/>
      <c r="AH1595" s="1684"/>
      <c r="AI1595" s="1684"/>
      <c r="AJ1595" s="1684"/>
      <c r="AK1595" s="1684"/>
      <c r="AL1595" s="1684"/>
      <c r="AM1595" s="1684"/>
      <c r="AN1595" s="1684"/>
      <c r="AO1595" s="1684"/>
      <c r="AP1595" s="1684"/>
      <c r="AQ1595" s="1684"/>
      <c r="AR1595" s="1684"/>
      <c r="AS1595" s="1684"/>
      <c r="AT1595" s="1684"/>
      <c r="AU1595" s="1684"/>
      <c r="AV1595" s="1684"/>
      <c r="AW1595" s="1684"/>
      <c r="AX1595" s="1684"/>
      <c r="AY1595" s="1684"/>
      <c r="AZ1595" s="1684"/>
      <c r="BA1595" s="1684"/>
      <c r="BB1595" s="1684"/>
      <c r="BC1595" s="1684"/>
      <c r="BD1595" s="1684"/>
      <c r="BE1595" s="1684"/>
      <c r="BF1595" s="1684"/>
      <c r="BG1595" s="1684"/>
      <c r="BH1595" s="1684"/>
      <c r="BI1595" s="1684"/>
      <c r="BJ1595" s="1684"/>
      <c r="BK1595" s="1684"/>
      <c r="BL1595" s="1684"/>
      <c r="BM1595" s="1684"/>
      <c r="BN1595" s="1684"/>
      <c r="BO1595" s="1684"/>
      <c r="BP1595" s="1684"/>
      <c r="BQ1595" s="1684"/>
      <c r="BR1595" s="1684"/>
      <c r="BS1595" s="1684"/>
      <c r="BT1595" s="1684"/>
      <c r="BU1595" s="1684"/>
      <c r="BV1595" s="1684"/>
      <c r="BW1595" s="1684"/>
      <c r="BX1595" s="1684"/>
      <c r="BY1595" s="1684"/>
      <c r="BZ1595" s="1684"/>
      <c r="CA1595" s="1684"/>
      <c r="CB1595" s="1684"/>
      <c r="CC1595" s="1684"/>
      <c r="CD1595" s="1684"/>
      <c r="CE1595" s="1684"/>
      <c r="CF1595" s="1684"/>
      <c r="CG1595" s="1684"/>
      <c r="CH1595" s="1684"/>
      <c r="CI1595" s="1684"/>
      <c r="CJ1595" s="1684"/>
      <c r="CK1595" s="1684"/>
      <c r="CL1595" s="1684"/>
      <c r="CM1595" s="1684"/>
      <c r="CN1595" s="1684"/>
      <c r="CO1595" s="1684"/>
    </row>
    <row r="1596" spans="1:93" s="1391" customFormat="1" ht="15" x14ac:dyDescent="0.2">
      <c r="A1596" s="1684"/>
      <c r="B1596" s="2023"/>
      <c r="C1596" s="2024"/>
      <c r="D1596" s="2024">
        <v>1</v>
      </c>
      <c r="E1596" s="2024">
        <v>2</v>
      </c>
      <c r="F1596" s="2024">
        <v>3</v>
      </c>
      <c r="G1596" s="2024">
        <v>4</v>
      </c>
      <c r="H1596" s="2024">
        <v>5</v>
      </c>
      <c r="I1596" s="2024">
        <v>6</v>
      </c>
      <c r="J1596" s="2024">
        <v>7</v>
      </c>
      <c r="K1596" s="2024">
        <v>8</v>
      </c>
      <c r="L1596" s="2024">
        <v>9</v>
      </c>
      <c r="M1596" s="2025"/>
      <c r="N1596"/>
      <c r="O1596" s="1684"/>
      <c r="P1596" s="1684"/>
      <c r="Q1596" s="1684"/>
      <c r="R1596" s="1684"/>
      <c r="S1596" s="1684"/>
      <c r="T1596" s="1684"/>
      <c r="U1596" s="1684"/>
      <c r="V1596" s="1684"/>
      <c r="W1596" s="1684"/>
      <c r="X1596" s="1684"/>
      <c r="Y1596" s="1684"/>
      <c r="Z1596" s="1684"/>
      <c r="AA1596" s="1684"/>
      <c r="AB1596" s="1684"/>
      <c r="AC1596" s="1684"/>
      <c r="AD1596" s="1684"/>
      <c r="AE1596" s="1684"/>
      <c r="AF1596" s="1684"/>
      <c r="AG1596" s="1684"/>
      <c r="AH1596" s="1684"/>
      <c r="AI1596" s="1684"/>
      <c r="AJ1596" s="1684"/>
      <c r="AK1596" s="1684"/>
      <c r="AL1596" s="1684"/>
      <c r="AM1596" s="1684"/>
      <c r="AN1596" s="1684"/>
      <c r="AO1596" s="1684"/>
      <c r="AP1596" s="1684"/>
      <c r="AQ1596" s="1684"/>
      <c r="AR1596" s="1684"/>
      <c r="AS1596" s="1684"/>
      <c r="AT1596" s="1684"/>
      <c r="AU1596" s="1684"/>
      <c r="AV1596" s="1684"/>
      <c r="AW1596" s="1684"/>
      <c r="AX1596" s="1684"/>
      <c r="AY1596" s="1684"/>
      <c r="AZ1596" s="1684"/>
      <c r="BA1596" s="1684"/>
      <c r="BB1596" s="1684"/>
      <c r="BC1596" s="1684"/>
      <c r="BD1596" s="1684"/>
      <c r="BE1596" s="1684"/>
      <c r="BF1596" s="1684"/>
      <c r="BG1596" s="1684"/>
      <c r="BH1596" s="1684"/>
      <c r="BI1596" s="1684"/>
      <c r="BJ1596" s="1684"/>
      <c r="BK1596" s="1684"/>
      <c r="BL1596" s="1684"/>
      <c r="BM1596" s="1684"/>
      <c r="BN1596" s="1684"/>
      <c r="BO1596" s="1684"/>
      <c r="BP1596" s="1684"/>
      <c r="BQ1596" s="1684"/>
      <c r="BR1596" s="1684"/>
      <c r="BS1596" s="1684"/>
      <c r="BT1596" s="1684"/>
      <c r="BU1596" s="1684"/>
      <c r="BV1596" s="1684"/>
      <c r="BW1596" s="1684"/>
      <c r="BX1596" s="1684"/>
      <c r="BY1596" s="1684"/>
      <c r="BZ1596" s="1684"/>
      <c r="CA1596" s="1684"/>
      <c r="CB1596" s="1684"/>
      <c r="CC1596" s="1684"/>
      <c r="CD1596" s="1684"/>
      <c r="CE1596" s="1684"/>
      <c r="CF1596" s="1684"/>
      <c r="CG1596" s="1684"/>
      <c r="CH1596" s="1684"/>
      <c r="CI1596" s="1684"/>
      <c r="CJ1596" s="1684"/>
      <c r="CK1596" s="1684"/>
      <c r="CL1596" s="1684"/>
      <c r="CM1596" s="1684"/>
      <c r="CN1596" s="1684"/>
      <c r="CO1596" s="1684"/>
    </row>
    <row r="1597" spans="1:93" s="1391" customFormat="1" ht="15" x14ac:dyDescent="0.2">
      <c r="A1597" s="1684"/>
      <c r="B1597" s="2026">
        <v>9</v>
      </c>
      <c r="C1597" s="2027">
        <v>4.8959999999999999</v>
      </c>
      <c r="D1597" s="2027">
        <v>231</v>
      </c>
      <c r="E1597" s="2027">
        <v>251</v>
      </c>
      <c r="F1597" s="2027">
        <v>271</v>
      </c>
      <c r="G1597" s="2027">
        <v>291</v>
      </c>
      <c r="H1597" s="2027">
        <v>311</v>
      </c>
      <c r="I1597" s="2027">
        <v>331</v>
      </c>
      <c r="J1597" s="2027">
        <v>330</v>
      </c>
      <c r="K1597" s="2027">
        <v>349</v>
      </c>
      <c r="L1597" s="2027">
        <v>368</v>
      </c>
      <c r="M1597" s="2028">
        <v>9</v>
      </c>
      <c r="N1597"/>
      <c r="O1597" s="1684"/>
      <c r="P1597" s="1684"/>
      <c r="Q1597" s="1684"/>
      <c r="R1597" s="1684"/>
      <c r="S1597" s="1684"/>
      <c r="T1597" s="1684"/>
      <c r="U1597" s="1684"/>
      <c r="V1597" s="1684"/>
      <c r="W1597" s="1684"/>
      <c r="X1597" s="1684"/>
      <c r="Y1597" s="1684"/>
      <c r="Z1597" s="1684"/>
      <c r="AA1597" s="1684"/>
      <c r="AB1597" s="1684"/>
      <c r="AC1597" s="1684"/>
      <c r="AD1597" s="1684"/>
      <c r="AE1597" s="1684"/>
      <c r="AF1597" s="1684"/>
      <c r="AG1597" s="1684"/>
      <c r="AH1597" s="1684"/>
      <c r="AI1597" s="1684"/>
      <c r="AJ1597" s="1684"/>
      <c r="AK1597" s="1684"/>
      <c r="AL1597" s="1684"/>
      <c r="AM1597" s="1684"/>
      <c r="AN1597" s="1684"/>
      <c r="AO1597" s="1684"/>
      <c r="AP1597" s="1684"/>
      <c r="AQ1597" s="1684"/>
      <c r="AR1597" s="1684"/>
      <c r="AS1597" s="1684"/>
      <c r="AT1597" s="1684"/>
      <c r="AU1597" s="1684"/>
      <c r="AV1597" s="1684"/>
      <c r="AW1597" s="1684"/>
      <c r="AX1597" s="1684"/>
      <c r="AY1597" s="1684"/>
      <c r="AZ1597" s="1684"/>
      <c r="BA1597" s="1684"/>
      <c r="BB1597" s="1684"/>
      <c r="BC1597" s="1684"/>
      <c r="BD1597" s="1684"/>
      <c r="BE1597" s="1684"/>
      <c r="BF1597" s="1684"/>
      <c r="BG1597" s="1684"/>
      <c r="BH1597" s="1684"/>
      <c r="BI1597" s="1684"/>
      <c r="BJ1597" s="1684"/>
      <c r="BK1597" s="1684"/>
      <c r="BL1597" s="1684"/>
      <c r="BM1597" s="1684"/>
      <c r="BN1597" s="1684"/>
      <c r="BO1597" s="1684"/>
      <c r="BP1597" s="1684"/>
      <c r="BQ1597" s="1684"/>
      <c r="BR1597" s="1684"/>
      <c r="BS1597" s="1684"/>
      <c r="BT1597" s="1684"/>
      <c r="BU1597" s="1684"/>
      <c r="BV1597" s="1684"/>
      <c r="BW1597" s="1684"/>
      <c r="BX1597" s="1684"/>
      <c r="BY1597" s="1684"/>
      <c r="BZ1597" s="1684"/>
      <c r="CA1597" s="1684"/>
      <c r="CB1597" s="1684"/>
      <c r="CC1597" s="1684"/>
      <c r="CD1597" s="1684"/>
      <c r="CE1597" s="1684"/>
      <c r="CF1597" s="1684"/>
      <c r="CG1597" s="1684"/>
      <c r="CH1597" s="1684"/>
      <c r="CI1597" s="1684"/>
      <c r="CJ1597" s="1684"/>
      <c r="CK1597" s="1684"/>
      <c r="CL1597" s="1684"/>
      <c r="CM1597" s="1684"/>
      <c r="CN1597" s="1684"/>
      <c r="CO1597" s="1684"/>
    </row>
    <row r="1598" spans="1:93" s="1391" customFormat="1" ht="15" x14ac:dyDescent="0.2">
      <c r="A1598" s="1684"/>
      <c r="B1598" s="2026">
        <v>10</v>
      </c>
      <c r="C1598" s="2027">
        <v>5.1970000000000001</v>
      </c>
      <c r="D1598" s="2027">
        <v>257</v>
      </c>
      <c r="E1598" s="2027">
        <v>279</v>
      </c>
      <c r="F1598" s="2027">
        <v>302</v>
      </c>
      <c r="G1598" s="2027">
        <v>324</v>
      </c>
      <c r="H1598" s="2027">
        <v>346</v>
      </c>
      <c r="I1598" s="2027">
        <v>369</v>
      </c>
      <c r="J1598" s="2027">
        <v>367</v>
      </c>
      <c r="K1598" s="2027">
        <v>388</v>
      </c>
      <c r="L1598" s="2027">
        <v>409</v>
      </c>
      <c r="M1598" s="2028">
        <v>10</v>
      </c>
      <c r="N1598"/>
      <c r="O1598" s="1684"/>
      <c r="P1598" s="1684"/>
      <c r="Q1598" s="1684"/>
      <c r="R1598" s="1684"/>
      <c r="S1598" s="1684"/>
      <c r="T1598" s="1684"/>
      <c r="U1598" s="1684"/>
      <c r="V1598" s="1684"/>
      <c r="W1598" s="1684"/>
      <c r="X1598" s="1684"/>
      <c r="Y1598" s="1684"/>
      <c r="Z1598" s="1684"/>
      <c r="AA1598" s="1684"/>
      <c r="AB1598" s="1684"/>
      <c r="AC1598" s="1684"/>
      <c r="AD1598" s="1684"/>
      <c r="AE1598" s="1684"/>
      <c r="AF1598" s="1684"/>
      <c r="AG1598" s="1684"/>
      <c r="AH1598" s="1684"/>
      <c r="AI1598" s="1684"/>
      <c r="AJ1598" s="1684"/>
      <c r="AK1598" s="1684"/>
      <c r="AL1598" s="1684"/>
      <c r="AM1598" s="1684"/>
      <c r="AN1598" s="1684"/>
      <c r="AO1598" s="1684"/>
      <c r="AP1598" s="1684"/>
      <c r="AQ1598" s="1684"/>
      <c r="AR1598" s="1684"/>
      <c r="AS1598" s="1684"/>
      <c r="AT1598" s="1684"/>
      <c r="AU1598" s="1684"/>
      <c r="AV1598" s="1684"/>
      <c r="AW1598" s="1684"/>
      <c r="AX1598" s="1684"/>
      <c r="AY1598" s="1684"/>
      <c r="AZ1598" s="1684"/>
      <c r="BA1598" s="1684"/>
      <c r="BB1598" s="1684"/>
      <c r="BC1598" s="1684"/>
      <c r="BD1598" s="1684"/>
      <c r="BE1598" s="1684"/>
      <c r="BF1598" s="1684"/>
      <c r="BG1598" s="1684"/>
      <c r="BH1598" s="1684"/>
      <c r="BI1598" s="1684"/>
      <c r="BJ1598" s="1684"/>
      <c r="BK1598" s="1684"/>
      <c r="BL1598" s="1684"/>
      <c r="BM1598" s="1684"/>
      <c r="BN1598" s="1684"/>
      <c r="BO1598" s="1684"/>
      <c r="BP1598" s="1684"/>
      <c r="BQ1598" s="1684"/>
      <c r="BR1598" s="1684"/>
      <c r="BS1598" s="1684"/>
      <c r="BT1598" s="1684"/>
      <c r="BU1598" s="1684"/>
      <c r="BV1598" s="1684"/>
      <c r="BW1598" s="1684"/>
      <c r="BX1598" s="1684"/>
      <c r="BY1598" s="1684"/>
      <c r="BZ1598" s="1684"/>
      <c r="CA1598" s="1684"/>
      <c r="CB1598" s="1684"/>
      <c r="CC1598" s="1684"/>
      <c r="CD1598" s="1684"/>
      <c r="CE1598" s="1684"/>
      <c r="CF1598" s="1684"/>
      <c r="CG1598" s="1684"/>
      <c r="CH1598" s="1684"/>
      <c r="CI1598" s="1684"/>
      <c r="CJ1598" s="1684"/>
      <c r="CK1598" s="1684"/>
      <c r="CL1598" s="1684"/>
      <c r="CM1598" s="1684"/>
      <c r="CN1598" s="1684"/>
      <c r="CO1598" s="1684"/>
    </row>
    <row r="1599" spans="1:93" s="1391" customFormat="1" ht="15" x14ac:dyDescent="0.2">
      <c r="A1599" s="1684"/>
      <c r="B1599" s="2026">
        <v>11</v>
      </c>
      <c r="C1599" s="2027">
        <v>5.5430000000000001</v>
      </c>
      <c r="D1599" s="2027">
        <v>287</v>
      </c>
      <c r="E1599" s="2027">
        <v>312</v>
      </c>
      <c r="F1599" s="2027">
        <v>337</v>
      </c>
      <c r="G1599" s="2027">
        <v>362</v>
      </c>
      <c r="H1599" s="2027">
        <v>387</v>
      </c>
      <c r="I1599" s="2027">
        <v>412</v>
      </c>
      <c r="J1599" s="2027">
        <v>410</v>
      </c>
      <c r="K1599" s="2027">
        <v>433</v>
      </c>
      <c r="L1599" s="2027">
        <v>457</v>
      </c>
      <c r="M1599" s="2028">
        <v>11</v>
      </c>
      <c r="N1599"/>
      <c r="O1599" s="1684"/>
      <c r="P1599" s="1684"/>
      <c r="Q1599" s="1684"/>
      <c r="R1599" s="1684"/>
      <c r="S1599" s="1684"/>
      <c r="T1599" s="1684"/>
      <c r="U1599" s="1684"/>
      <c r="V1599" s="1684"/>
      <c r="W1599" s="1684"/>
      <c r="X1599" s="1684"/>
      <c r="Y1599" s="1684"/>
      <c r="Z1599" s="1684"/>
      <c r="AA1599" s="1684"/>
      <c r="AB1599" s="1684"/>
      <c r="AC1599" s="1684"/>
      <c r="AD1599" s="1684"/>
      <c r="AE1599" s="1684"/>
      <c r="AF1599" s="1684"/>
      <c r="AG1599" s="1684"/>
      <c r="AH1599" s="1684"/>
      <c r="AI1599" s="1684"/>
      <c r="AJ1599" s="1684"/>
      <c r="AK1599" s="1684"/>
      <c r="AL1599" s="1684"/>
      <c r="AM1599" s="1684"/>
      <c r="AN1599" s="1684"/>
      <c r="AO1599" s="1684"/>
      <c r="AP1599" s="1684"/>
      <c r="AQ1599" s="1684"/>
      <c r="AR1599" s="1684"/>
      <c r="AS1599" s="1684"/>
      <c r="AT1599" s="1684"/>
      <c r="AU1599" s="1684"/>
      <c r="AV1599" s="1684"/>
      <c r="AW1599" s="1684"/>
      <c r="AX1599" s="1684"/>
      <c r="AY1599" s="1684"/>
      <c r="AZ1599" s="1684"/>
      <c r="BA1599" s="1684"/>
      <c r="BB1599" s="1684"/>
      <c r="BC1599" s="1684"/>
      <c r="BD1599" s="1684"/>
      <c r="BE1599" s="1684"/>
      <c r="BF1599" s="1684"/>
      <c r="BG1599" s="1684"/>
      <c r="BH1599" s="1684"/>
      <c r="BI1599" s="1684"/>
      <c r="BJ1599" s="1684"/>
      <c r="BK1599" s="1684"/>
      <c r="BL1599" s="1684"/>
      <c r="BM1599" s="1684"/>
      <c r="BN1599" s="1684"/>
      <c r="BO1599" s="1684"/>
      <c r="BP1599" s="1684"/>
      <c r="BQ1599" s="1684"/>
      <c r="BR1599" s="1684"/>
      <c r="BS1599" s="1684"/>
      <c r="BT1599" s="1684"/>
      <c r="BU1599" s="1684"/>
      <c r="BV1599" s="1684"/>
      <c r="BW1599" s="1684"/>
      <c r="BX1599" s="1684"/>
      <c r="BY1599" s="1684"/>
      <c r="BZ1599" s="1684"/>
      <c r="CA1599" s="1684"/>
      <c r="CB1599" s="1684"/>
      <c r="CC1599" s="1684"/>
      <c r="CD1599" s="1684"/>
      <c r="CE1599" s="1684"/>
      <c r="CF1599" s="1684"/>
      <c r="CG1599" s="1684"/>
      <c r="CH1599" s="1684"/>
      <c r="CI1599" s="1684"/>
      <c r="CJ1599" s="1684"/>
      <c r="CK1599" s="1684"/>
      <c r="CL1599" s="1684"/>
      <c r="CM1599" s="1684"/>
      <c r="CN1599" s="1684"/>
      <c r="CO1599" s="1684"/>
    </row>
    <row r="1600" spans="1:93" s="1391" customFormat="1" ht="15" x14ac:dyDescent="0.2">
      <c r="A1600" s="1684"/>
      <c r="B1600" s="2026">
        <v>12</v>
      </c>
      <c r="C1600" s="2027">
        <v>5.9139999999999997</v>
      </c>
      <c r="D1600" s="2027">
        <v>319</v>
      </c>
      <c r="E1600" s="2027">
        <v>347</v>
      </c>
      <c r="F1600" s="2027">
        <v>375</v>
      </c>
      <c r="G1600" s="2027">
        <v>403</v>
      </c>
      <c r="H1600" s="2027">
        <v>430</v>
      </c>
      <c r="I1600" s="2027">
        <v>458</v>
      </c>
      <c r="J1600" s="2027">
        <v>456</v>
      </c>
      <c r="K1600" s="2027">
        <v>482</v>
      </c>
      <c r="L1600" s="2027">
        <v>508</v>
      </c>
      <c r="M1600" s="2028">
        <v>12</v>
      </c>
      <c r="N1600"/>
      <c r="O1600" s="1684"/>
      <c r="P1600" s="1684"/>
      <c r="Q1600" s="1684"/>
      <c r="R1600" s="1684"/>
      <c r="S1600" s="1684"/>
      <c r="T1600" s="1684"/>
      <c r="U1600" s="1684"/>
      <c r="V1600" s="1684"/>
      <c r="W1600" s="1684"/>
      <c r="X1600" s="1684"/>
      <c r="Y1600" s="1684"/>
      <c r="Z1600" s="1684"/>
      <c r="AA1600" s="1684"/>
      <c r="AB1600" s="1684"/>
      <c r="AC1600" s="1684"/>
      <c r="AD1600" s="1684"/>
      <c r="AE1600" s="1684"/>
      <c r="AF1600" s="1684"/>
      <c r="AG1600" s="1684"/>
      <c r="AH1600" s="1684"/>
      <c r="AI1600" s="1684"/>
      <c r="AJ1600" s="1684"/>
      <c r="AK1600" s="1684"/>
      <c r="AL1600" s="1684"/>
      <c r="AM1600" s="1684"/>
      <c r="AN1600" s="1684"/>
      <c r="AO1600" s="1684"/>
      <c r="AP1600" s="1684"/>
      <c r="AQ1600" s="1684"/>
      <c r="AR1600" s="1684"/>
      <c r="AS1600" s="1684"/>
      <c r="AT1600" s="1684"/>
      <c r="AU1600" s="1684"/>
      <c r="AV1600" s="1684"/>
      <c r="AW1600" s="1684"/>
      <c r="AX1600" s="1684"/>
      <c r="AY1600" s="1684"/>
      <c r="AZ1600" s="1684"/>
      <c r="BA1600" s="1684"/>
      <c r="BB1600" s="1684"/>
      <c r="BC1600" s="1684"/>
      <c r="BD1600" s="1684"/>
      <c r="BE1600" s="1684"/>
      <c r="BF1600" s="1684"/>
      <c r="BG1600" s="1684"/>
      <c r="BH1600" s="1684"/>
      <c r="BI1600" s="1684"/>
      <c r="BJ1600" s="1684"/>
      <c r="BK1600" s="1684"/>
      <c r="BL1600" s="1684"/>
      <c r="BM1600" s="1684"/>
      <c r="BN1600" s="1684"/>
      <c r="BO1600" s="1684"/>
      <c r="BP1600" s="1684"/>
      <c r="BQ1600" s="1684"/>
      <c r="BR1600" s="1684"/>
      <c r="BS1600" s="1684"/>
      <c r="BT1600" s="1684"/>
      <c r="BU1600" s="1684"/>
      <c r="BV1600" s="1684"/>
      <c r="BW1600" s="1684"/>
      <c r="BX1600" s="1684"/>
      <c r="BY1600" s="1684"/>
      <c r="BZ1600" s="1684"/>
      <c r="CA1600" s="1684"/>
      <c r="CB1600" s="1684"/>
      <c r="CC1600" s="1684"/>
      <c r="CD1600" s="1684"/>
      <c r="CE1600" s="1684"/>
      <c r="CF1600" s="1684"/>
      <c r="CG1600" s="1684"/>
      <c r="CH1600" s="1684"/>
      <c r="CI1600" s="1684"/>
      <c r="CJ1600" s="1684"/>
      <c r="CK1600" s="1684"/>
      <c r="CL1600" s="1684"/>
      <c r="CM1600" s="1684"/>
      <c r="CN1600" s="1684"/>
      <c r="CO1600" s="1684"/>
    </row>
    <row r="1601" spans="1:93" s="1391" customFormat="1" ht="15" x14ac:dyDescent="0.2">
      <c r="A1601" s="1684"/>
      <c r="B1601" s="2026">
        <v>13</v>
      </c>
      <c r="C1601" s="2027">
        <v>6.3019999999999996</v>
      </c>
      <c r="D1601" s="2027">
        <v>353</v>
      </c>
      <c r="E1601" s="2027">
        <v>384</v>
      </c>
      <c r="F1601" s="2027">
        <v>414</v>
      </c>
      <c r="G1601" s="2027">
        <v>445</v>
      </c>
      <c r="H1601" s="2027">
        <v>476</v>
      </c>
      <c r="I1601" s="2027">
        <v>507</v>
      </c>
      <c r="J1601" s="2027">
        <v>503</v>
      </c>
      <c r="K1601" s="2027">
        <v>532</v>
      </c>
      <c r="L1601" s="2027">
        <v>561</v>
      </c>
      <c r="M1601" s="2028">
        <v>13</v>
      </c>
      <c r="N1601"/>
      <c r="O1601" s="1684"/>
      <c r="P1601" s="1684"/>
      <c r="Q1601" s="1684"/>
      <c r="R1601" s="1684"/>
      <c r="S1601" s="1684"/>
      <c r="T1601" s="1684"/>
      <c r="U1601" s="1684"/>
      <c r="V1601" s="1684"/>
      <c r="W1601" s="1684"/>
      <c r="X1601" s="1684"/>
      <c r="Y1601" s="1684"/>
      <c r="Z1601" s="1684"/>
      <c r="AA1601" s="1684"/>
      <c r="AB1601" s="1684"/>
      <c r="AC1601" s="1684"/>
      <c r="AD1601" s="1684"/>
      <c r="AE1601" s="1684"/>
      <c r="AF1601" s="1684"/>
      <c r="AG1601" s="1684"/>
      <c r="AH1601" s="1684"/>
      <c r="AI1601" s="1684"/>
      <c r="AJ1601" s="1684"/>
      <c r="AK1601" s="1684"/>
      <c r="AL1601" s="1684"/>
      <c r="AM1601" s="1684"/>
      <c r="AN1601" s="1684"/>
      <c r="AO1601" s="1684"/>
      <c r="AP1601" s="1684"/>
      <c r="AQ1601" s="1684"/>
      <c r="AR1601" s="1684"/>
      <c r="AS1601" s="1684"/>
      <c r="AT1601" s="1684"/>
      <c r="AU1601" s="1684"/>
      <c r="AV1601" s="1684"/>
      <c r="AW1601" s="1684"/>
      <c r="AX1601" s="1684"/>
      <c r="AY1601" s="1684"/>
      <c r="AZ1601" s="1684"/>
      <c r="BA1601" s="1684"/>
      <c r="BB1601" s="1684"/>
      <c r="BC1601" s="1684"/>
      <c r="BD1601" s="1684"/>
      <c r="BE1601" s="1684"/>
      <c r="BF1601" s="1684"/>
      <c r="BG1601" s="1684"/>
      <c r="BH1601" s="1684"/>
      <c r="BI1601" s="1684"/>
      <c r="BJ1601" s="1684"/>
      <c r="BK1601" s="1684"/>
      <c r="BL1601" s="1684"/>
      <c r="BM1601" s="1684"/>
      <c r="BN1601" s="1684"/>
      <c r="BO1601" s="1684"/>
      <c r="BP1601" s="1684"/>
      <c r="BQ1601" s="1684"/>
      <c r="BR1601" s="1684"/>
      <c r="BS1601" s="1684"/>
      <c r="BT1601" s="1684"/>
      <c r="BU1601" s="1684"/>
      <c r="BV1601" s="1684"/>
      <c r="BW1601" s="1684"/>
      <c r="BX1601" s="1684"/>
      <c r="BY1601" s="1684"/>
      <c r="BZ1601" s="1684"/>
      <c r="CA1601" s="1684"/>
      <c r="CB1601" s="1684"/>
      <c r="CC1601" s="1684"/>
      <c r="CD1601" s="1684"/>
      <c r="CE1601" s="1684"/>
      <c r="CF1601" s="1684"/>
      <c r="CG1601" s="1684"/>
      <c r="CH1601" s="1684"/>
      <c r="CI1601" s="1684"/>
      <c r="CJ1601" s="1684"/>
      <c r="CK1601" s="1684"/>
      <c r="CL1601" s="1684"/>
      <c r="CM1601" s="1684"/>
      <c r="CN1601" s="1684"/>
      <c r="CO1601" s="1684"/>
    </row>
    <row r="1602" spans="1:93" s="1391" customFormat="1" ht="15" x14ac:dyDescent="0.2">
      <c r="A1602" s="1684"/>
      <c r="B1602" s="2026">
        <v>14</v>
      </c>
      <c r="C1602" s="2027">
        <v>6.726</v>
      </c>
      <c r="D1602" s="2027">
        <v>390</v>
      </c>
      <c r="E1602" s="2027">
        <v>423</v>
      </c>
      <c r="F1602" s="2027">
        <v>457</v>
      </c>
      <c r="G1602" s="2027">
        <v>491</v>
      </c>
      <c r="H1602" s="2027">
        <v>525</v>
      </c>
      <c r="I1602" s="2027">
        <v>559</v>
      </c>
      <c r="J1602" s="2027">
        <v>556</v>
      </c>
      <c r="K1602" s="2027">
        <v>588</v>
      </c>
      <c r="L1602" s="2027">
        <v>619</v>
      </c>
      <c r="M1602" s="2028">
        <v>14</v>
      </c>
      <c r="N1602"/>
      <c r="O1602" s="1684"/>
      <c r="P1602" s="1684"/>
      <c r="Q1602" s="1684"/>
      <c r="R1602" s="1684"/>
      <c r="S1602" s="1684"/>
      <c r="T1602" s="1684"/>
      <c r="U1602" s="1684"/>
      <c r="V1602" s="1684"/>
      <c r="W1602" s="1684"/>
      <c r="X1602" s="1684"/>
      <c r="Y1602" s="1684"/>
      <c r="Z1602" s="1684"/>
      <c r="AA1602" s="1684"/>
      <c r="AB1602" s="1684"/>
      <c r="AC1602" s="1684"/>
      <c r="AD1602" s="1684"/>
      <c r="AE1602" s="1684"/>
      <c r="AF1602" s="1684"/>
      <c r="AG1602" s="1684"/>
      <c r="AH1602" s="1684"/>
      <c r="AI1602" s="1684"/>
      <c r="AJ1602" s="1684"/>
      <c r="AK1602" s="1684"/>
      <c r="AL1602" s="1684"/>
      <c r="AM1602" s="1684"/>
      <c r="AN1602" s="1684"/>
      <c r="AO1602" s="1684"/>
      <c r="AP1602" s="1684"/>
      <c r="AQ1602" s="1684"/>
      <c r="AR1602" s="1684"/>
      <c r="AS1602" s="1684"/>
      <c r="AT1602" s="1684"/>
      <c r="AU1602" s="1684"/>
      <c r="AV1602" s="1684"/>
      <c r="AW1602" s="1684"/>
      <c r="AX1602" s="1684"/>
      <c r="AY1602" s="1684"/>
      <c r="AZ1602" s="1684"/>
      <c r="BA1602" s="1684"/>
      <c r="BB1602" s="1684"/>
      <c r="BC1602" s="1684"/>
      <c r="BD1602" s="1684"/>
      <c r="BE1602" s="1684"/>
      <c r="BF1602" s="1684"/>
      <c r="BG1602" s="1684"/>
      <c r="BH1602" s="1684"/>
      <c r="BI1602" s="1684"/>
      <c r="BJ1602" s="1684"/>
      <c r="BK1602" s="1684"/>
      <c r="BL1602" s="1684"/>
      <c r="BM1602" s="1684"/>
      <c r="BN1602" s="1684"/>
      <c r="BO1602" s="1684"/>
      <c r="BP1602" s="1684"/>
      <c r="BQ1602" s="1684"/>
      <c r="BR1602" s="1684"/>
      <c r="BS1602" s="1684"/>
      <c r="BT1602" s="1684"/>
      <c r="BU1602" s="1684"/>
      <c r="BV1602" s="1684"/>
      <c r="BW1602" s="1684"/>
      <c r="BX1602" s="1684"/>
      <c r="BY1602" s="1684"/>
      <c r="BZ1602" s="1684"/>
      <c r="CA1602" s="1684"/>
      <c r="CB1602" s="1684"/>
      <c r="CC1602" s="1684"/>
      <c r="CD1602" s="1684"/>
      <c r="CE1602" s="1684"/>
      <c r="CF1602" s="1684"/>
      <c r="CG1602" s="1684"/>
      <c r="CH1602" s="1684"/>
      <c r="CI1602" s="1684"/>
      <c r="CJ1602" s="1684"/>
      <c r="CK1602" s="1684"/>
      <c r="CL1602" s="1684"/>
      <c r="CM1602" s="1684"/>
      <c r="CN1602" s="1684"/>
      <c r="CO1602" s="1684"/>
    </row>
    <row r="1603" spans="1:93" s="1391" customFormat="1" ht="15" x14ac:dyDescent="0.2">
      <c r="A1603" s="1684"/>
      <c r="B1603" s="2026">
        <v>15</v>
      </c>
      <c r="C1603" s="2027">
        <v>7.173</v>
      </c>
      <c r="D1603" s="2027">
        <v>429</v>
      </c>
      <c r="E1603" s="2027">
        <v>466</v>
      </c>
      <c r="F1603" s="2027">
        <v>503</v>
      </c>
      <c r="G1603" s="2027">
        <v>540</v>
      </c>
      <c r="H1603" s="2027">
        <v>578</v>
      </c>
      <c r="I1603" s="2027">
        <v>614</v>
      </c>
      <c r="J1603" s="2027">
        <v>611</v>
      </c>
      <c r="K1603" s="2027">
        <v>646</v>
      </c>
      <c r="L1603" s="2027">
        <v>680</v>
      </c>
      <c r="M1603" s="2028">
        <v>15</v>
      </c>
      <c r="N1603"/>
      <c r="O1603" s="1684"/>
      <c r="P1603" s="1684"/>
      <c r="Q1603" s="1684"/>
      <c r="R1603" s="1684"/>
      <c r="S1603" s="1684"/>
      <c r="T1603" s="1684"/>
      <c r="U1603" s="1684"/>
      <c r="V1603" s="1684"/>
      <c r="W1603" s="1684"/>
      <c r="X1603" s="1684"/>
      <c r="Y1603" s="1684"/>
      <c r="Z1603" s="1684"/>
      <c r="AA1603" s="1684"/>
      <c r="AB1603" s="1684"/>
      <c r="AC1603" s="1684"/>
      <c r="AD1603" s="1684"/>
      <c r="AE1603" s="1684"/>
      <c r="AF1603" s="1684"/>
      <c r="AG1603" s="1684"/>
      <c r="AH1603" s="1684"/>
      <c r="AI1603" s="1684"/>
      <c r="AJ1603" s="1684"/>
      <c r="AK1603" s="1684"/>
      <c r="AL1603" s="1684"/>
      <c r="AM1603" s="1684"/>
      <c r="AN1603" s="1684"/>
      <c r="AO1603" s="1684"/>
      <c r="AP1603" s="1684"/>
      <c r="AQ1603" s="1684"/>
      <c r="AR1603" s="1684"/>
      <c r="AS1603" s="1684"/>
      <c r="AT1603" s="1684"/>
      <c r="AU1603" s="1684"/>
      <c r="AV1603" s="1684"/>
      <c r="AW1603" s="1684"/>
      <c r="AX1603" s="1684"/>
      <c r="AY1603" s="1684"/>
      <c r="AZ1603" s="1684"/>
      <c r="BA1603" s="1684"/>
      <c r="BB1603" s="1684"/>
      <c r="BC1603" s="1684"/>
      <c r="BD1603" s="1684"/>
      <c r="BE1603" s="1684"/>
      <c r="BF1603" s="1684"/>
      <c r="BG1603" s="1684"/>
      <c r="BH1603" s="1684"/>
      <c r="BI1603" s="1684"/>
      <c r="BJ1603" s="1684"/>
      <c r="BK1603" s="1684"/>
      <c r="BL1603" s="1684"/>
      <c r="BM1603" s="1684"/>
      <c r="BN1603" s="1684"/>
      <c r="BO1603" s="1684"/>
      <c r="BP1603" s="1684"/>
      <c r="BQ1603" s="1684"/>
      <c r="BR1603" s="1684"/>
      <c r="BS1603" s="1684"/>
      <c r="BT1603" s="1684"/>
      <c r="BU1603" s="1684"/>
      <c r="BV1603" s="1684"/>
      <c r="BW1603" s="1684"/>
      <c r="BX1603" s="1684"/>
      <c r="BY1603" s="1684"/>
      <c r="BZ1603" s="1684"/>
      <c r="CA1603" s="1684"/>
      <c r="CB1603" s="1684"/>
      <c r="CC1603" s="1684"/>
      <c r="CD1603" s="1684"/>
      <c r="CE1603" s="1684"/>
      <c r="CF1603" s="1684"/>
      <c r="CG1603" s="1684"/>
      <c r="CH1603" s="1684"/>
      <c r="CI1603" s="1684"/>
      <c r="CJ1603" s="1684"/>
      <c r="CK1603" s="1684"/>
      <c r="CL1603" s="1684"/>
      <c r="CM1603" s="1684"/>
      <c r="CN1603" s="1684"/>
      <c r="CO1603" s="1684"/>
    </row>
    <row r="1604" spans="1:93" s="1391" customFormat="1" ht="15" x14ac:dyDescent="0.2">
      <c r="A1604" s="1684"/>
      <c r="B1604" s="2026">
        <v>16</v>
      </c>
      <c r="C1604" s="2027">
        <v>7.625</v>
      </c>
      <c r="D1604" s="2027">
        <v>468</v>
      </c>
      <c r="E1604" s="2027">
        <v>508</v>
      </c>
      <c r="F1604" s="2027">
        <v>549</v>
      </c>
      <c r="G1604" s="2027">
        <v>590</v>
      </c>
      <c r="H1604" s="2027">
        <v>630</v>
      </c>
      <c r="I1604" s="2027">
        <v>671</v>
      </c>
      <c r="J1604" s="2027">
        <v>667</v>
      </c>
      <c r="K1604" s="2027">
        <v>705</v>
      </c>
      <c r="L1604" s="2027">
        <v>743</v>
      </c>
      <c r="M1604" s="2028">
        <v>16</v>
      </c>
      <c r="N1604"/>
      <c r="O1604" s="1684"/>
      <c r="P1604" s="1684"/>
      <c r="Q1604" s="1684"/>
      <c r="R1604" s="1684"/>
      <c r="S1604" s="1684"/>
      <c r="T1604" s="1684"/>
      <c r="U1604" s="1684"/>
      <c r="V1604" s="1684"/>
      <c r="W1604" s="1684"/>
      <c r="X1604" s="1684"/>
      <c r="Y1604" s="1684"/>
      <c r="Z1604" s="1684"/>
      <c r="AA1604" s="1684"/>
      <c r="AB1604" s="1684"/>
      <c r="AC1604" s="1684"/>
      <c r="AD1604" s="1684"/>
      <c r="AE1604" s="1684"/>
      <c r="AF1604" s="1684"/>
      <c r="AG1604" s="1684"/>
      <c r="AH1604" s="1684"/>
      <c r="AI1604" s="1684"/>
      <c r="AJ1604" s="1684"/>
      <c r="AK1604" s="1684"/>
      <c r="AL1604" s="1684"/>
      <c r="AM1604" s="1684"/>
      <c r="AN1604" s="1684"/>
      <c r="AO1604" s="1684"/>
      <c r="AP1604" s="1684"/>
      <c r="AQ1604" s="1684"/>
      <c r="AR1604" s="1684"/>
      <c r="AS1604" s="1684"/>
      <c r="AT1604" s="1684"/>
      <c r="AU1604" s="1684"/>
      <c r="AV1604" s="1684"/>
      <c r="AW1604" s="1684"/>
      <c r="AX1604" s="1684"/>
      <c r="AY1604" s="1684"/>
      <c r="AZ1604" s="1684"/>
      <c r="BA1604" s="1684"/>
      <c r="BB1604" s="1684"/>
      <c r="BC1604" s="1684"/>
      <c r="BD1604" s="1684"/>
      <c r="BE1604" s="1684"/>
      <c r="BF1604" s="1684"/>
      <c r="BG1604" s="1684"/>
      <c r="BH1604" s="1684"/>
      <c r="BI1604" s="1684"/>
      <c r="BJ1604" s="1684"/>
      <c r="BK1604" s="1684"/>
      <c r="BL1604" s="1684"/>
      <c r="BM1604" s="1684"/>
      <c r="BN1604" s="1684"/>
      <c r="BO1604" s="1684"/>
      <c r="BP1604" s="1684"/>
      <c r="BQ1604" s="1684"/>
      <c r="BR1604" s="1684"/>
      <c r="BS1604" s="1684"/>
      <c r="BT1604" s="1684"/>
      <c r="BU1604" s="1684"/>
      <c r="BV1604" s="1684"/>
      <c r="BW1604" s="1684"/>
      <c r="BX1604" s="1684"/>
      <c r="BY1604" s="1684"/>
      <c r="BZ1604" s="1684"/>
      <c r="CA1604" s="1684"/>
      <c r="CB1604" s="1684"/>
      <c r="CC1604" s="1684"/>
      <c r="CD1604" s="1684"/>
      <c r="CE1604" s="1684"/>
      <c r="CF1604" s="1684"/>
      <c r="CG1604" s="1684"/>
      <c r="CH1604" s="1684"/>
      <c r="CI1604" s="1684"/>
      <c r="CJ1604" s="1684"/>
      <c r="CK1604" s="1684"/>
      <c r="CL1604" s="1684"/>
      <c r="CM1604" s="1684"/>
      <c r="CN1604" s="1684"/>
      <c r="CO1604" s="1684"/>
    </row>
    <row r="1605" spans="1:93" s="1391" customFormat="1" ht="15" x14ac:dyDescent="0.2">
      <c r="A1605" s="1684"/>
      <c r="B1605" s="4716" t="s">
        <v>1054</v>
      </c>
      <c r="C1605" s="4711"/>
      <c r="D1605" s="4711"/>
      <c r="E1605" s="4711"/>
      <c r="F1605" s="4711"/>
      <c r="G1605" s="4711"/>
      <c r="H1605" s="4711"/>
      <c r="I1605" s="4711"/>
      <c r="J1605" s="4711"/>
      <c r="K1605" s="4711"/>
      <c r="L1605" s="4711"/>
      <c r="M1605" s="4717"/>
      <c r="N1605"/>
      <c r="O1605" s="1684"/>
      <c r="P1605" s="1684"/>
      <c r="Q1605" s="1684"/>
      <c r="R1605" s="1684"/>
      <c r="S1605" s="1684"/>
      <c r="T1605" s="1684"/>
      <c r="U1605" s="1684"/>
      <c r="V1605" s="1684"/>
      <c r="W1605" s="1684"/>
      <c r="X1605" s="1684"/>
      <c r="Y1605" s="1684"/>
      <c r="Z1605" s="1684"/>
      <c r="AA1605" s="1684"/>
      <c r="AB1605" s="1684"/>
      <c r="AC1605" s="1684"/>
      <c r="AD1605" s="1684"/>
      <c r="AE1605" s="1684"/>
      <c r="AF1605" s="1684"/>
      <c r="AG1605" s="1684"/>
      <c r="AH1605" s="1684"/>
      <c r="AI1605" s="1684"/>
      <c r="AJ1605" s="1684"/>
      <c r="AK1605" s="1684"/>
      <c r="AL1605" s="1684"/>
      <c r="AM1605" s="1684"/>
      <c r="AN1605" s="1684"/>
      <c r="AO1605" s="1684"/>
      <c r="AP1605" s="1684"/>
      <c r="AQ1605" s="1684"/>
      <c r="AR1605" s="1684"/>
      <c r="AS1605" s="1684"/>
      <c r="AT1605" s="1684"/>
      <c r="AU1605" s="1684"/>
      <c r="AV1605" s="1684"/>
      <c r="AW1605" s="1684"/>
      <c r="AX1605" s="1684"/>
      <c r="AY1605" s="1684"/>
      <c r="AZ1605" s="1684"/>
      <c r="BA1605" s="1684"/>
      <c r="BB1605" s="1684"/>
      <c r="BC1605" s="1684"/>
      <c r="BD1605" s="1684"/>
      <c r="BE1605" s="1684"/>
      <c r="BF1605" s="1684"/>
      <c r="BG1605" s="1684"/>
      <c r="BH1605" s="1684"/>
      <c r="BI1605" s="1684"/>
      <c r="BJ1605" s="1684"/>
      <c r="BK1605" s="1684"/>
      <c r="BL1605" s="1684"/>
      <c r="BM1605" s="1684"/>
      <c r="BN1605" s="1684"/>
      <c r="BO1605" s="1684"/>
      <c r="BP1605" s="1684"/>
      <c r="BQ1605" s="1684"/>
      <c r="BR1605" s="1684"/>
      <c r="BS1605" s="1684"/>
      <c r="BT1605" s="1684"/>
      <c r="BU1605" s="1684"/>
      <c r="BV1605" s="1684"/>
      <c r="BW1605" s="1684"/>
      <c r="BX1605" s="1684"/>
      <c r="BY1605" s="1684"/>
      <c r="BZ1605" s="1684"/>
      <c r="CA1605" s="1684"/>
      <c r="CB1605" s="1684"/>
      <c r="CC1605" s="1684"/>
      <c r="CD1605" s="1684"/>
      <c r="CE1605" s="1684"/>
      <c r="CF1605" s="1684"/>
      <c r="CG1605" s="1684"/>
      <c r="CH1605" s="1684"/>
      <c r="CI1605" s="1684"/>
      <c r="CJ1605" s="1684"/>
      <c r="CK1605" s="1684"/>
      <c r="CL1605" s="1684"/>
      <c r="CM1605" s="1684"/>
      <c r="CN1605" s="1684"/>
      <c r="CO1605" s="1684"/>
    </row>
    <row r="1606" spans="1:93" s="1391" customFormat="1" ht="15" x14ac:dyDescent="0.2">
      <c r="A1606" s="1684"/>
      <c r="B1606" s="2023"/>
      <c r="C1606" s="2024"/>
      <c r="D1606" s="2024">
        <v>1</v>
      </c>
      <c r="E1606" s="2024">
        <v>2</v>
      </c>
      <c r="F1606" s="2024">
        <v>3</v>
      </c>
      <c r="G1606" s="2024">
        <v>4</v>
      </c>
      <c r="H1606" s="2024">
        <v>5</v>
      </c>
      <c r="I1606" s="2024">
        <v>6</v>
      </c>
      <c r="J1606" s="2024">
        <v>7</v>
      </c>
      <c r="K1606" s="2024">
        <v>8</v>
      </c>
      <c r="L1606" s="2024">
        <v>9</v>
      </c>
      <c r="M1606" s="2025"/>
      <c r="N1606"/>
      <c r="O1606" s="1684"/>
      <c r="P1606" s="1684"/>
      <c r="Q1606" s="1684"/>
      <c r="R1606" s="1684"/>
      <c r="S1606" s="1684"/>
      <c r="T1606" s="1684"/>
      <c r="U1606" s="1684"/>
      <c r="V1606" s="1684"/>
      <c r="W1606" s="1684"/>
      <c r="X1606" s="1684"/>
      <c r="Y1606" s="1684"/>
      <c r="Z1606" s="1684"/>
      <c r="AA1606" s="1684"/>
      <c r="AB1606" s="1684"/>
      <c r="AC1606" s="1684"/>
      <c r="AD1606" s="1684"/>
      <c r="AE1606" s="1684"/>
      <c r="AF1606" s="1684"/>
      <c r="AG1606" s="1684"/>
      <c r="AH1606" s="1684"/>
      <c r="AI1606" s="1684"/>
      <c r="AJ1606" s="1684"/>
      <c r="AK1606" s="1684"/>
      <c r="AL1606" s="1684"/>
      <c r="AM1606" s="1684"/>
      <c r="AN1606" s="1684"/>
      <c r="AO1606" s="1684"/>
      <c r="AP1606" s="1684"/>
      <c r="AQ1606" s="1684"/>
      <c r="AR1606" s="1684"/>
      <c r="AS1606" s="1684"/>
      <c r="AT1606" s="1684"/>
      <c r="AU1606" s="1684"/>
      <c r="AV1606" s="1684"/>
      <c r="AW1606" s="1684"/>
      <c r="AX1606" s="1684"/>
      <c r="AY1606" s="1684"/>
      <c r="AZ1606" s="1684"/>
      <c r="BA1606" s="1684"/>
      <c r="BB1606" s="1684"/>
      <c r="BC1606" s="1684"/>
      <c r="BD1606" s="1684"/>
      <c r="BE1606" s="1684"/>
      <c r="BF1606" s="1684"/>
      <c r="BG1606" s="1684"/>
      <c r="BH1606" s="1684"/>
      <c r="BI1606" s="1684"/>
      <c r="BJ1606" s="1684"/>
      <c r="BK1606" s="1684"/>
      <c r="BL1606" s="1684"/>
      <c r="BM1606" s="1684"/>
      <c r="BN1606" s="1684"/>
      <c r="BO1606" s="1684"/>
      <c r="BP1606" s="1684"/>
      <c r="BQ1606" s="1684"/>
      <c r="BR1606" s="1684"/>
      <c r="BS1606" s="1684"/>
      <c r="BT1606" s="1684"/>
      <c r="BU1606" s="1684"/>
      <c r="BV1606" s="1684"/>
      <c r="BW1606" s="1684"/>
      <c r="BX1606" s="1684"/>
      <c r="BY1606" s="1684"/>
      <c r="BZ1606" s="1684"/>
      <c r="CA1606" s="1684"/>
      <c r="CB1606" s="1684"/>
      <c r="CC1606" s="1684"/>
      <c r="CD1606" s="1684"/>
      <c r="CE1606" s="1684"/>
      <c r="CF1606" s="1684"/>
      <c r="CG1606" s="1684"/>
      <c r="CH1606" s="1684"/>
      <c r="CI1606" s="1684"/>
      <c r="CJ1606" s="1684"/>
      <c r="CK1606" s="1684"/>
      <c r="CL1606" s="1684"/>
      <c r="CM1606" s="1684"/>
      <c r="CN1606" s="1684"/>
      <c r="CO1606" s="1684"/>
    </row>
    <row r="1607" spans="1:93" s="1391" customFormat="1" ht="15" x14ac:dyDescent="0.2">
      <c r="A1607" s="1684"/>
      <c r="B1607" s="2026">
        <v>9</v>
      </c>
      <c r="C1607" s="2027">
        <v>4.8959999999999999</v>
      </c>
      <c r="D1607" s="2027">
        <v>238</v>
      </c>
      <c r="E1607" s="2027">
        <v>258</v>
      </c>
      <c r="F1607" s="2027">
        <v>279</v>
      </c>
      <c r="G1607" s="2027">
        <v>300</v>
      </c>
      <c r="H1607" s="2027">
        <v>320</v>
      </c>
      <c r="I1607" s="2027">
        <v>341</v>
      </c>
      <c r="J1607" s="2027">
        <v>362</v>
      </c>
      <c r="K1607" s="2027">
        <v>382</v>
      </c>
      <c r="L1607" s="2027">
        <v>403</v>
      </c>
      <c r="M1607" s="2028">
        <v>17</v>
      </c>
      <c r="N1607"/>
      <c r="O1607" s="1684"/>
      <c r="P1607" s="1684"/>
      <c r="Q1607" s="1684"/>
      <c r="R1607" s="1684"/>
      <c r="S1607" s="1684"/>
      <c r="T1607" s="1684"/>
      <c r="U1607" s="1684"/>
      <c r="V1607" s="1684"/>
      <c r="W1607" s="1684"/>
      <c r="X1607" s="1684"/>
      <c r="Y1607" s="1684"/>
      <c r="Z1607" s="1684"/>
      <c r="AA1607" s="1684"/>
      <c r="AB1607" s="1684"/>
      <c r="AC1607" s="1684"/>
      <c r="AD1607" s="1684"/>
      <c r="AE1607" s="1684"/>
      <c r="AF1607" s="1684"/>
      <c r="AG1607" s="1684"/>
      <c r="AH1607" s="1684"/>
      <c r="AI1607" s="1684"/>
      <c r="AJ1607" s="1684"/>
      <c r="AK1607" s="1684"/>
      <c r="AL1607" s="1684"/>
      <c r="AM1607" s="1684"/>
      <c r="AN1607" s="1684"/>
      <c r="AO1607" s="1684"/>
      <c r="AP1607" s="1684"/>
      <c r="AQ1607" s="1684"/>
      <c r="AR1607" s="1684"/>
      <c r="AS1607" s="1684"/>
      <c r="AT1607" s="1684"/>
      <c r="AU1607" s="1684"/>
      <c r="AV1607" s="1684"/>
      <c r="AW1607" s="1684"/>
      <c r="AX1607" s="1684"/>
      <c r="AY1607" s="1684"/>
      <c r="AZ1607" s="1684"/>
      <c r="BA1607" s="1684"/>
      <c r="BB1607" s="1684"/>
      <c r="BC1607" s="1684"/>
      <c r="BD1607" s="1684"/>
      <c r="BE1607" s="1684"/>
      <c r="BF1607" s="1684"/>
      <c r="BG1607" s="1684"/>
      <c r="BH1607" s="1684"/>
      <c r="BI1607" s="1684"/>
      <c r="BJ1607" s="1684"/>
      <c r="BK1607" s="1684"/>
      <c r="BL1607" s="1684"/>
      <c r="BM1607" s="1684"/>
      <c r="BN1607" s="1684"/>
      <c r="BO1607" s="1684"/>
      <c r="BP1607" s="1684"/>
      <c r="BQ1607" s="1684"/>
      <c r="BR1607" s="1684"/>
      <c r="BS1607" s="1684"/>
      <c r="BT1607" s="1684"/>
      <c r="BU1607" s="1684"/>
      <c r="BV1607" s="1684"/>
      <c r="BW1607" s="1684"/>
      <c r="BX1607" s="1684"/>
      <c r="BY1607" s="1684"/>
      <c r="BZ1607" s="1684"/>
      <c r="CA1607" s="1684"/>
      <c r="CB1607" s="1684"/>
      <c r="CC1607" s="1684"/>
      <c r="CD1607" s="1684"/>
      <c r="CE1607" s="1684"/>
      <c r="CF1607" s="1684"/>
      <c r="CG1607" s="1684"/>
      <c r="CH1607" s="1684"/>
      <c r="CI1607" s="1684"/>
      <c r="CJ1607" s="1684"/>
      <c r="CK1607" s="1684"/>
      <c r="CL1607" s="1684"/>
      <c r="CM1607" s="1684"/>
      <c r="CN1607" s="1684"/>
      <c r="CO1607" s="1684"/>
    </row>
    <row r="1608" spans="1:93" s="1391" customFormat="1" ht="15" x14ac:dyDescent="0.2">
      <c r="A1608" s="1684"/>
      <c r="B1608" s="2026">
        <v>10</v>
      </c>
      <c r="C1608" s="2027">
        <v>5.1970000000000001</v>
      </c>
      <c r="D1608" s="2027">
        <v>265</v>
      </c>
      <c r="E1608" s="2027">
        <v>288</v>
      </c>
      <c r="F1608" s="2027">
        <v>311</v>
      </c>
      <c r="G1608" s="2027">
        <v>334</v>
      </c>
      <c r="H1608" s="2027">
        <v>357</v>
      </c>
      <c r="I1608" s="2027">
        <v>380</v>
      </c>
      <c r="J1608" s="2027">
        <v>403</v>
      </c>
      <c r="K1608" s="2027">
        <v>426</v>
      </c>
      <c r="L1608" s="2027">
        <v>449</v>
      </c>
      <c r="M1608" s="2028">
        <v>18</v>
      </c>
      <c r="N1608"/>
      <c r="O1608" s="1684"/>
      <c r="P1608" s="1684"/>
      <c r="Q1608" s="1684"/>
      <c r="R1608" s="1684"/>
      <c r="S1608" s="1684"/>
      <c r="T1608" s="1684"/>
      <c r="U1608" s="1684"/>
      <c r="V1608" s="1684"/>
      <c r="W1608" s="1684"/>
      <c r="X1608" s="1684"/>
      <c r="Y1608" s="1684"/>
      <c r="Z1608" s="1684"/>
      <c r="AA1608" s="1684"/>
      <c r="AB1608" s="1684"/>
      <c r="AC1608" s="1684"/>
      <c r="AD1608" s="1684"/>
      <c r="AE1608" s="1684"/>
      <c r="AF1608" s="1684"/>
      <c r="AG1608" s="1684"/>
      <c r="AH1608" s="1684"/>
      <c r="AI1608" s="1684"/>
      <c r="AJ1608" s="1684"/>
      <c r="AK1608" s="1684"/>
      <c r="AL1608" s="1684"/>
      <c r="AM1608" s="1684"/>
      <c r="AN1608" s="1684"/>
      <c r="AO1608" s="1684"/>
      <c r="AP1608" s="1684"/>
      <c r="AQ1608" s="1684"/>
      <c r="AR1608" s="1684"/>
      <c r="AS1608" s="1684"/>
      <c r="AT1608" s="1684"/>
      <c r="AU1608" s="1684"/>
      <c r="AV1608" s="1684"/>
      <c r="AW1608" s="1684"/>
      <c r="AX1608" s="1684"/>
      <c r="AY1608" s="1684"/>
      <c r="AZ1608" s="1684"/>
      <c r="BA1608" s="1684"/>
      <c r="BB1608" s="1684"/>
      <c r="BC1608" s="1684"/>
      <c r="BD1608" s="1684"/>
      <c r="BE1608" s="1684"/>
      <c r="BF1608" s="1684"/>
      <c r="BG1608" s="1684"/>
      <c r="BH1608" s="1684"/>
      <c r="BI1608" s="1684"/>
      <c r="BJ1608" s="1684"/>
      <c r="BK1608" s="1684"/>
      <c r="BL1608" s="1684"/>
      <c r="BM1608" s="1684"/>
      <c r="BN1608" s="1684"/>
      <c r="BO1608" s="1684"/>
      <c r="BP1608" s="1684"/>
      <c r="BQ1608" s="1684"/>
      <c r="BR1608" s="1684"/>
      <c r="BS1608" s="1684"/>
      <c r="BT1608" s="1684"/>
      <c r="BU1608" s="1684"/>
      <c r="BV1608" s="1684"/>
      <c r="BW1608" s="1684"/>
      <c r="BX1608" s="1684"/>
      <c r="BY1608" s="1684"/>
      <c r="BZ1608" s="1684"/>
      <c r="CA1608" s="1684"/>
      <c r="CB1608" s="1684"/>
      <c r="CC1608" s="1684"/>
      <c r="CD1608" s="1684"/>
      <c r="CE1608" s="1684"/>
      <c r="CF1608" s="1684"/>
      <c r="CG1608" s="1684"/>
      <c r="CH1608" s="1684"/>
      <c r="CI1608" s="1684"/>
      <c r="CJ1608" s="1684"/>
      <c r="CK1608" s="1684"/>
      <c r="CL1608" s="1684"/>
      <c r="CM1608" s="1684"/>
      <c r="CN1608" s="1684"/>
      <c r="CO1608" s="1684"/>
    </row>
    <row r="1609" spans="1:93" s="1391" customFormat="1" ht="15" x14ac:dyDescent="0.2">
      <c r="A1609" s="1684"/>
      <c r="B1609" s="2026">
        <v>11</v>
      </c>
      <c r="C1609" s="2027">
        <v>5.5430000000000001</v>
      </c>
      <c r="D1609" s="2027">
        <v>296</v>
      </c>
      <c r="E1609" s="2027">
        <v>321</v>
      </c>
      <c r="F1609" s="2027">
        <v>347</v>
      </c>
      <c r="G1609" s="2027">
        <v>370</v>
      </c>
      <c r="H1609" s="2027">
        <v>398</v>
      </c>
      <c r="I1609" s="2027">
        <v>424</v>
      </c>
      <c r="J1609" s="2027">
        <v>450</v>
      </c>
      <c r="K1609" s="2027">
        <v>475</v>
      </c>
      <c r="L1609" s="2027">
        <v>501</v>
      </c>
      <c r="M1609" s="2028">
        <v>19</v>
      </c>
      <c r="N1609"/>
      <c r="O1609" s="1684"/>
      <c r="P1609" s="1684"/>
      <c r="Q1609" s="1684"/>
      <c r="R1609" s="1684"/>
      <c r="S1609" s="1684"/>
      <c r="T1609" s="1684"/>
      <c r="U1609" s="1684"/>
      <c r="V1609" s="1684"/>
      <c r="W1609" s="1684"/>
      <c r="X1609" s="1684"/>
      <c r="Y1609" s="1684"/>
      <c r="Z1609" s="1684"/>
      <c r="AA1609" s="1684"/>
      <c r="AB1609" s="1684"/>
      <c r="AC1609" s="1684"/>
      <c r="AD1609" s="1684"/>
      <c r="AE1609" s="1684"/>
      <c r="AF1609" s="1684"/>
      <c r="AG1609" s="1684"/>
      <c r="AH1609" s="1684"/>
      <c r="AI1609" s="1684"/>
      <c r="AJ1609" s="1684"/>
      <c r="AK1609" s="1684"/>
      <c r="AL1609" s="1684"/>
      <c r="AM1609" s="1684"/>
      <c r="AN1609" s="1684"/>
      <c r="AO1609" s="1684"/>
      <c r="AP1609" s="1684"/>
      <c r="AQ1609" s="1684"/>
      <c r="AR1609" s="1684"/>
      <c r="AS1609" s="1684"/>
      <c r="AT1609" s="1684"/>
      <c r="AU1609" s="1684"/>
      <c r="AV1609" s="1684"/>
      <c r="AW1609" s="1684"/>
      <c r="AX1609" s="1684"/>
      <c r="AY1609" s="1684"/>
      <c r="AZ1609" s="1684"/>
      <c r="BA1609" s="1684"/>
      <c r="BB1609" s="1684"/>
      <c r="BC1609" s="1684"/>
      <c r="BD1609" s="1684"/>
      <c r="BE1609" s="1684"/>
      <c r="BF1609" s="1684"/>
      <c r="BG1609" s="1684"/>
      <c r="BH1609" s="1684"/>
      <c r="BI1609" s="1684"/>
      <c r="BJ1609" s="1684"/>
      <c r="BK1609" s="1684"/>
      <c r="BL1609" s="1684"/>
      <c r="BM1609" s="1684"/>
      <c r="BN1609" s="1684"/>
      <c r="BO1609" s="1684"/>
      <c r="BP1609" s="1684"/>
      <c r="BQ1609" s="1684"/>
      <c r="BR1609" s="1684"/>
      <c r="BS1609" s="1684"/>
      <c r="BT1609" s="1684"/>
      <c r="BU1609" s="1684"/>
      <c r="BV1609" s="1684"/>
      <c r="BW1609" s="1684"/>
      <c r="BX1609" s="1684"/>
      <c r="BY1609" s="1684"/>
      <c r="BZ1609" s="1684"/>
      <c r="CA1609" s="1684"/>
      <c r="CB1609" s="1684"/>
      <c r="CC1609" s="1684"/>
      <c r="CD1609" s="1684"/>
      <c r="CE1609" s="1684"/>
      <c r="CF1609" s="1684"/>
      <c r="CG1609" s="1684"/>
      <c r="CH1609" s="1684"/>
      <c r="CI1609" s="1684"/>
      <c r="CJ1609" s="1684"/>
      <c r="CK1609" s="1684"/>
      <c r="CL1609" s="1684"/>
      <c r="CM1609" s="1684"/>
      <c r="CN1609" s="1684"/>
      <c r="CO1609" s="1684"/>
    </row>
    <row r="1610" spans="1:93" s="1391" customFormat="1" ht="15" x14ac:dyDescent="0.2">
      <c r="A1610" s="1684"/>
      <c r="B1610" s="2026">
        <v>12</v>
      </c>
      <c r="C1610" s="2027">
        <v>5.9139999999999997</v>
      </c>
      <c r="D1610" s="2027">
        <v>329</v>
      </c>
      <c r="E1610" s="2027">
        <v>367</v>
      </c>
      <c r="F1610" s="2027">
        <v>386</v>
      </c>
      <c r="G1610" s="2027">
        <v>414</v>
      </c>
      <c r="H1610" s="2027">
        <v>443</v>
      </c>
      <c r="I1610" s="2027">
        <v>471</v>
      </c>
      <c r="J1610" s="2027">
        <v>500</v>
      </c>
      <c r="K1610" s="2027">
        <v>529</v>
      </c>
      <c r="L1610" s="2027">
        <v>557</v>
      </c>
      <c r="M1610" s="2028">
        <v>20</v>
      </c>
      <c r="N1610"/>
      <c r="O1610" s="1684"/>
      <c r="P1610" s="1684"/>
      <c r="Q1610" s="1684"/>
      <c r="R1610" s="1684"/>
      <c r="S1610" s="1684"/>
      <c r="T1610" s="1684"/>
      <c r="U1610" s="1684"/>
      <c r="V1610" s="1684"/>
      <c r="W1610" s="1684"/>
      <c r="X1610" s="1684"/>
      <c r="Y1610" s="1684"/>
      <c r="Z1610" s="1684"/>
      <c r="AA1610" s="1684"/>
      <c r="AB1610" s="1684"/>
      <c r="AC1610" s="1684"/>
      <c r="AD1610" s="1684"/>
      <c r="AE1610" s="1684"/>
      <c r="AF1610" s="1684"/>
      <c r="AG1610" s="1684"/>
      <c r="AH1610" s="1684"/>
      <c r="AI1610" s="1684"/>
      <c r="AJ1610" s="1684"/>
      <c r="AK1610" s="1684"/>
      <c r="AL1610" s="1684"/>
      <c r="AM1610" s="1684"/>
      <c r="AN1610" s="1684"/>
      <c r="AO1610" s="1684"/>
      <c r="AP1610" s="1684"/>
      <c r="AQ1610" s="1684"/>
      <c r="AR1610" s="1684"/>
      <c r="AS1610" s="1684"/>
      <c r="AT1610" s="1684"/>
      <c r="AU1610" s="1684"/>
      <c r="AV1610" s="1684"/>
      <c r="AW1610" s="1684"/>
      <c r="AX1610" s="1684"/>
      <c r="AY1610" s="1684"/>
      <c r="AZ1610" s="1684"/>
      <c r="BA1610" s="1684"/>
      <c r="BB1610" s="1684"/>
      <c r="BC1610" s="1684"/>
      <c r="BD1610" s="1684"/>
      <c r="BE1610" s="1684"/>
      <c r="BF1610" s="1684"/>
      <c r="BG1610" s="1684"/>
      <c r="BH1610" s="1684"/>
      <c r="BI1610" s="1684"/>
      <c r="BJ1610" s="1684"/>
      <c r="BK1610" s="1684"/>
      <c r="BL1610" s="1684"/>
      <c r="BM1610" s="1684"/>
      <c r="BN1610" s="1684"/>
      <c r="BO1610" s="1684"/>
      <c r="BP1610" s="1684"/>
      <c r="BQ1610" s="1684"/>
      <c r="BR1610" s="1684"/>
      <c r="BS1610" s="1684"/>
      <c r="BT1610" s="1684"/>
      <c r="BU1610" s="1684"/>
      <c r="BV1610" s="1684"/>
      <c r="BW1610" s="1684"/>
      <c r="BX1610" s="1684"/>
      <c r="BY1610" s="1684"/>
      <c r="BZ1610" s="1684"/>
      <c r="CA1610" s="1684"/>
      <c r="CB1610" s="1684"/>
      <c r="CC1610" s="1684"/>
      <c r="CD1610" s="1684"/>
      <c r="CE1610" s="1684"/>
      <c r="CF1610" s="1684"/>
      <c r="CG1610" s="1684"/>
      <c r="CH1610" s="1684"/>
      <c r="CI1610" s="1684"/>
      <c r="CJ1610" s="1684"/>
      <c r="CK1610" s="1684"/>
      <c r="CL1610" s="1684"/>
      <c r="CM1610" s="1684"/>
      <c r="CN1610" s="1684"/>
      <c r="CO1610" s="1684"/>
    </row>
    <row r="1611" spans="1:93" s="1391" customFormat="1" ht="15" x14ac:dyDescent="0.2">
      <c r="A1611" s="1684"/>
      <c r="B1611" s="2026">
        <v>13</v>
      </c>
      <c r="C1611" s="2027">
        <v>6.3019999999999996</v>
      </c>
      <c r="D1611" s="2027">
        <v>363</v>
      </c>
      <c r="E1611" s="2027">
        <v>395</v>
      </c>
      <c r="F1611" s="2027">
        <v>427</v>
      </c>
      <c r="G1611" s="2027">
        <v>458</v>
      </c>
      <c r="H1611" s="2027">
        <v>490</v>
      </c>
      <c r="I1611" s="2027">
        <v>522</v>
      </c>
      <c r="J1611" s="2027">
        <v>553</v>
      </c>
      <c r="K1611" s="2027">
        <v>585</v>
      </c>
      <c r="L1611" s="2027">
        <v>616</v>
      </c>
      <c r="M1611" s="2028">
        <v>21</v>
      </c>
      <c r="N1611"/>
      <c r="O1611" s="1684"/>
      <c r="P1611" s="1684"/>
      <c r="Q1611" s="1684"/>
      <c r="R1611" s="1684"/>
      <c r="S1611" s="1684"/>
      <c r="T1611" s="1684"/>
      <c r="U1611" s="1684"/>
      <c r="V1611" s="1684"/>
      <c r="W1611" s="1684"/>
      <c r="X1611" s="1684"/>
      <c r="Y1611" s="1684"/>
      <c r="Z1611" s="1684"/>
      <c r="AA1611" s="1684"/>
      <c r="AB1611" s="1684"/>
      <c r="AC1611" s="1684"/>
      <c r="AD1611" s="1684"/>
      <c r="AE1611" s="1684"/>
      <c r="AF1611" s="1684"/>
      <c r="AG1611" s="1684"/>
      <c r="AH1611" s="1684"/>
      <c r="AI1611" s="1684"/>
      <c r="AJ1611" s="1684"/>
      <c r="AK1611" s="1684"/>
      <c r="AL1611" s="1684"/>
      <c r="AM1611" s="1684"/>
      <c r="AN1611" s="1684"/>
      <c r="AO1611" s="1684"/>
      <c r="AP1611" s="1684"/>
      <c r="AQ1611" s="1684"/>
      <c r="AR1611" s="1684"/>
      <c r="AS1611" s="1684"/>
      <c r="AT1611" s="1684"/>
      <c r="AU1611" s="1684"/>
      <c r="AV1611" s="1684"/>
      <c r="AW1611" s="1684"/>
      <c r="AX1611" s="1684"/>
      <c r="AY1611" s="1684"/>
      <c r="AZ1611" s="1684"/>
      <c r="BA1611" s="1684"/>
      <c r="BB1611" s="1684"/>
      <c r="BC1611" s="1684"/>
      <c r="BD1611" s="1684"/>
      <c r="BE1611" s="1684"/>
      <c r="BF1611" s="1684"/>
      <c r="BG1611" s="1684"/>
      <c r="BH1611" s="1684"/>
      <c r="BI1611" s="1684"/>
      <c r="BJ1611" s="1684"/>
      <c r="BK1611" s="1684"/>
      <c r="BL1611" s="1684"/>
      <c r="BM1611" s="1684"/>
      <c r="BN1611" s="1684"/>
      <c r="BO1611" s="1684"/>
      <c r="BP1611" s="1684"/>
      <c r="BQ1611" s="1684"/>
      <c r="BR1611" s="1684"/>
      <c r="BS1611" s="1684"/>
      <c r="BT1611" s="1684"/>
      <c r="BU1611" s="1684"/>
      <c r="BV1611" s="1684"/>
      <c r="BW1611" s="1684"/>
      <c r="BX1611" s="1684"/>
      <c r="BY1611" s="1684"/>
      <c r="BZ1611" s="1684"/>
      <c r="CA1611" s="1684"/>
      <c r="CB1611" s="1684"/>
      <c r="CC1611" s="1684"/>
      <c r="CD1611" s="1684"/>
      <c r="CE1611" s="1684"/>
      <c r="CF1611" s="1684"/>
      <c r="CG1611" s="1684"/>
      <c r="CH1611" s="1684"/>
      <c r="CI1611" s="1684"/>
      <c r="CJ1611" s="1684"/>
      <c r="CK1611" s="1684"/>
      <c r="CL1611" s="1684"/>
      <c r="CM1611" s="1684"/>
      <c r="CN1611" s="1684"/>
      <c r="CO1611" s="1684"/>
    </row>
    <row r="1612" spans="1:93" s="1391" customFormat="1" ht="15" x14ac:dyDescent="0.2">
      <c r="A1612" s="1684"/>
      <c r="B1612" s="2026">
        <v>14</v>
      </c>
      <c r="C1612" s="2027">
        <v>6.726</v>
      </c>
      <c r="D1612" s="2027">
        <v>401</v>
      </c>
      <c r="E1612" s="2027">
        <v>436</v>
      </c>
      <c r="F1612" s="2027">
        <v>471</v>
      </c>
      <c r="G1612" s="2027">
        <v>506</v>
      </c>
      <c r="H1612" s="2027">
        <v>541</v>
      </c>
      <c r="I1612" s="2027">
        <v>576</v>
      </c>
      <c r="J1612" s="2027">
        <v>611</v>
      </c>
      <c r="K1612" s="2027">
        <v>646</v>
      </c>
      <c r="L1612" s="2027">
        <v>680</v>
      </c>
      <c r="M1612" s="2028">
        <v>22</v>
      </c>
      <c r="N1612"/>
      <c r="O1612" s="1684"/>
      <c r="P1612" s="1684"/>
      <c r="Q1612" s="1684"/>
      <c r="R1612" s="1684"/>
      <c r="S1612" s="1684"/>
      <c r="T1612" s="1684"/>
      <c r="U1612" s="1684"/>
      <c r="V1612" s="1684"/>
      <c r="W1612" s="1684"/>
      <c r="X1612" s="1684"/>
      <c r="Y1612" s="1684"/>
      <c r="Z1612" s="1684"/>
      <c r="AA1612" s="1684"/>
      <c r="AB1612" s="1684"/>
      <c r="AC1612" s="1684"/>
      <c r="AD1612" s="1684"/>
      <c r="AE1612" s="1684"/>
      <c r="AF1612" s="1684"/>
      <c r="AG1612" s="1684"/>
      <c r="AH1612" s="1684"/>
      <c r="AI1612" s="1684"/>
      <c r="AJ1612" s="1684"/>
      <c r="AK1612" s="1684"/>
      <c r="AL1612" s="1684"/>
      <c r="AM1612" s="1684"/>
      <c r="AN1612" s="1684"/>
      <c r="AO1612" s="1684"/>
      <c r="AP1612" s="1684"/>
      <c r="AQ1612" s="1684"/>
      <c r="AR1612" s="1684"/>
      <c r="AS1612" s="1684"/>
      <c r="AT1612" s="1684"/>
      <c r="AU1612" s="1684"/>
      <c r="AV1612" s="1684"/>
      <c r="AW1612" s="1684"/>
      <c r="AX1612" s="1684"/>
      <c r="AY1612" s="1684"/>
      <c r="AZ1612" s="1684"/>
      <c r="BA1612" s="1684"/>
      <c r="BB1612" s="1684"/>
      <c r="BC1612" s="1684"/>
      <c r="BD1612" s="1684"/>
      <c r="BE1612" s="1684"/>
      <c r="BF1612" s="1684"/>
      <c r="BG1612" s="1684"/>
      <c r="BH1612" s="1684"/>
      <c r="BI1612" s="1684"/>
      <c r="BJ1612" s="1684"/>
      <c r="BK1612" s="1684"/>
      <c r="BL1612" s="1684"/>
      <c r="BM1612" s="1684"/>
      <c r="BN1612" s="1684"/>
      <c r="BO1612" s="1684"/>
      <c r="BP1612" s="1684"/>
      <c r="BQ1612" s="1684"/>
      <c r="BR1612" s="1684"/>
      <c r="BS1612" s="1684"/>
      <c r="BT1612" s="1684"/>
      <c r="BU1612" s="1684"/>
      <c r="BV1612" s="1684"/>
      <c r="BW1612" s="1684"/>
      <c r="BX1612" s="1684"/>
      <c r="BY1612" s="1684"/>
      <c r="BZ1612" s="1684"/>
      <c r="CA1612" s="1684"/>
      <c r="CB1612" s="1684"/>
      <c r="CC1612" s="1684"/>
      <c r="CD1612" s="1684"/>
      <c r="CE1612" s="1684"/>
      <c r="CF1612" s="1684"/>
      <c r="CG1612" s="1684"/>
      <c r="CH1612" s="1684"/>
      <c r="CI1612" s="1684"/>
      <c r="CJ1612" s="1684"/>
      <c r="CK1612" s="1684"/>
      <c r="CL1612" s="1684"/>
      <c r="CM1612" s="1684"/>
      <c r="CN1612" s="1684"/>
      <c r="CO1612" s="1684"/>
    </row>
    <row r="1613" spans="1:93" s="1391" customFormat="1" ht="15" x14ac:dyDescent="0.2">
      <c r="A1613" s="1684"/>
      <c r="B1613" s="2026">
        <v>15</v>
      </c>
      <c r="C1613" s="2027">
        <v>7.173</v>
      </c>
      <c r="D1613" s="2027">
        <v>441</v>
      </c>
      <c r="E1613" s="2027">
        <v>480</v>
      </c>
      <c r="F1613" s="2027">
        <v>518</v>
      </c>
      <c r="G1613" s="2027">
        <v>557</v>
      </c>
      <c r="H1613" s="2027">
        <v>595</v>
      </c>
      <c r="I1613" s="2027">
        <v>633</v>
      </c>
      <c r="J1613" s="2027">
        <v>672</v>
      </c>
      <c r="K1613" s="2027">
        <v>710</v>
      </c>
      <c r="L1613" s="2027">
        <v>748</v>
      </c>
      <c r="M1613" s="2028">
        <v>23</v>
      </c>
      <c r="N1613"/>
      <c r="O1613" s="1684"/>
      <c r="P1613" s="1684"/>
      <c r="Q1613" s="1684"/>
      <c r="R1613" s="1684"/>
      <c r="S1613" s="1684"/>
      <c r="T1613" s="1684"/>
      <c r="U1613" s="1684"/>
      <c r="V1613" s="1684"/>
      <c r="W1613" s="1684"/>
      <c r="X1613" s="1684"/>
      <c r="Y1613" s="1684"/>
      <c r="Z1613" s="1684"/>
      <c r="AA1613" s="1684"/>
      <c r="AB1613" s="1684"/>
      <c r="AC1613" s="1684"/>
      <c r="AD1613" s="1684"/>
      <c r="AE1613" s="1684"/>
      <c r="AF1613" s="1684"/>
      <c r="AG1613" s="1684"/>
      <c r="AH1613" s="1684"/>
      <c r="AI1613" s="1684"/>
      <c r="AJ1613" s="1684"/>
      <c r="AK1613" s="1684"/>
      <c r="AL1613" s="1684"/>
      <c r="AM1613" s="1684"/>
      <c r="AN1613" s="1684"/>
      <c r="AO1613" s="1684"/>
      <c r="AP1613" s="1684"/>
      <c r="AQ1613" s="1684"/>
      <c r="AR1613" s="1684"/>
      <c r="AS1613" s="1684"/>
      <c r="AT1613" s="1684"/>
      <c r="AU1613" s="1684"/>
      <c r="AV1613" s="1684"/>
      <c r="AW1613" s="1684"/>
      <c r="AX1613" s="1684"/>
      <c r="AY1613" s="1684"/>
      <c r="AZ1613" s="1684"/>
      <c r="BA1613" s="1684"/>
      <c r="BB1613" s="1684"/>
      <c r="BC1613" s="1684"/>
      <c r="BD1613" s="1684"/>
      <c r="BE1613" s="1684"/>
      <c r="BF1613" s="1684"/>
      <c r="BG1613" s="1684"/>
      <c r="BH1613" s="1684"/>
      <c r="BI1613" s="1684"/>
      <c r="BJ1613" s="1684"/>
      <c r="BK1613" s="1684"/>
      <c r="BL1613" s="1684"/>
      <c r="BM1613" s="1684"/>
      <c r="BN1613" s="1684"/>
      <c r="BO1613" s="1684"/>
      <c r="BP1613" s="1684"/>
      <c r="BQ1613" s="1684"/>
      <c r="BR1613" s="1684"/>
      <c r="BS1613" s="1684"/>
      <c r="BT1613" s="1684"/>
      <c r="BU1613" s="1684"/>
      <c r="BV1613" s="1684"/>
      <c r="BW1613" s="1684"/>
      <c r="BX1613" s="1684"/>
      <c r="BY1613" s="1684"/>
      <c r="BZ1613" s="1684"/>
      <c r="CA1613" s="1684"/>
      <c r="CB1613" s="1684"/>
      <c r="CC1613" s="1684"/>
      <c r="CD1613" s="1684"/>
      <c r="CE1613" s="1684"/>
      <c r="CF1613" s="1684"/>
      <c r="CG1613" s="1684"/>
      <c r="CH1613" s="1684"/>
      <c r="CI1613" s="1684"/>
      <c r="CJ1613" s="1684"/>
      <c r="CK1613" s="1684"/>
      <c r="CL1613" s="1684"/>
      <c r="CM1613" s="1684"/>
      <c r="CN1613" s="1684"/>
      <c r="CO1613" s="1684"/>
    </row>
    <row r="1614" spans="1:93" s="1391" customFormat="1" ht="15" x14ac:dyDescent="0.2">
      <c r="A1614" s="1684"/>
      <c r="B1614" s="2026">
        <v>16</v>
      </c>
      <c r="C1614" s="2027">
        <v>7.625</v>
      </c>
      <c r="D1614" s="2027">
        <v>482</v>
      </c>
      <c r="E1614" s="2027">
        <v>524</v>
      </c>
      <c r="F1614" s="2027">
        <v>566</v>
      </c>
      <c r="G1614" s="2027">
        <v>608</v>
      </c>
      <c r="H1614" s="2027">
        <v>650</v>
      </c>
      <c r="I1614" s="2027">
        <v>692</v>
      </c>
      <c r="J1614" s="2027">
        <v>733</v>
      </c>
      <c r="K1614" s="2027">
        <v>775</v>
      </c>
      <c r="L1614" s="2027">
        <v>817</v>
      </c>
      <c r="M1614" s="2028">
        <v>24</v>
      </c>
      <c r="N1614"/>
      <c r="O1614" s="1684"/>
      <c r="P1614" s="1684"/>
      <c r="Q1614" s="1684"/>
      <c r="R1614" s="1684"/>
      <c r="S1614" s="1684"/>
      <c r="T1614" s="1684"/>
      <c r="U1614" s="1684"/>
      <c r="V1614" s="1684"/>
      <c r="W1614" s="1684"/>
      <c r="X1614" s="1684"/>
      <c r="Y1614" s="1684"/>
      <c r="Z1614" s="1684"/>
      <c r="AA1614" s="1684"/>
      <c r="AB1614" s="1684"/>
      <c r="AC1614" s="1684"/>
      <c r="AD1614" s="1684"/>
      <c r="AE1614" s="1684"/>
      <c r="AF1614" s="1684"/>
      <c r="AG1614" s="1684"/>
      <c r="AH1614" s="1684"/>
      <c r="AI1614" s="1684"/>
      <c r="AJ1614" s="1684"/>
      <c r="AK1614" s="1684"/>
      <c r="AL1614" s="1684"/>
      <c r="AM1614" s="1684"/>
      <c r="AN1614" s="1684"/>
      <c r="AO1614" s="1684"/>
      <c r="AP1614" s="1684"/>
      <c r="AQ1614" s="1684"/>
      <c r="AR1614" s="1684"/>
      <c r="AS1614" s="1684"/>
      <c r="AT1614" s="1684"/>
      <c r="AU1614" s="1684"/>
      <c r="AV1614" s="1684"/>
      <c r="AW1614" s="1684"/>
      <c r="AX1614" s="1684"/>
      <c r="AY1614" s="1684"/>
      <c r="AZ1614" s="1684"/>
      <c r="BA1614" s="1684"/>
      <c r="BB1614" s="1684"/>
      <c r="BC1614" s="1684"/>
      <c r="BD1614" s="1684"/>
      <c r="BE1614" s="1684"/>
      <c r="BF1614" s="1684"/>
      <c r="BG1614" s="1684"/>
      <c r="BH1614" s="1684"/>
      <c r="BI1614" s="1684"/>
      <c r="BJ1614" s="1684"/>
      <c r="BK1614" s="1684"/>
      <c r="BL1614" s="1684"/>
      <c r="BM1614" s="1684"/>
      <c r="BN1614" s="1684"/>
      <c r="BO1614" s="1684"/>
      <c r="BP1614" s="1684"/>
      <c r="BQ1614" s="1684"/>
      <c r="BR1614" s="1684"/>
      <c r="BS1614" s="1684"/>
      <c r="BT1614" s="1684"/>
      <c r="BU1614" s="1684"/>
      <c r="BV1614" s="1684"/>
      <c r="BW1614" s="1684"/>
      <c r="BX1614" s="1684"/>
      <c r="BY1614" s="1684"/>
      <c r="BZ1614" s="1684"/>
      <c r="CA1614" s="1684"/>
      <c r="CB1614" s="1684"/>
      <c r="CC1614" s="1684"/>
      <c r="CD1614" s="1684"/>
      <c r="CE1614" s="1684"/>
      <c r="CF1614" s="1684"/>
      <c r="CG1614" s="1684"/>
      <c r="CH1614" s="1684"/>
      <c r="CI1614" s="1684"/>
      <c r="CJ1614" s="1684"/>
      <c r="CK1614" s="1684"/>
      <c r="CL1614" s="1684"/>
      <c r="CM1614" s="1684"/>
      <c r="CN1614" s="1684"/>
      <c r="CO1614" s="1684"/>
    </row>
    <row r="1615" spans="1:93" s="1391" customFormat="1" ht="15" x14ac:dyDescent="0.2">
      <c r="A1615" s="1684"/>
      <c r="B1615" s="4716" t="s">
        <v>1055</v>
      </c>
      <c r="C1615" s="4711"/>
      <c r="D1615" s="4711"/>
      <c r="E1615" s="4711"/>
      <c r="F1615" s="4711"/>
      <c r="G1615" s="4711"/>
      <c r="H1615" s="4711"/>
      <c r="I1615" s="4711"/>
      <c r="J1615" s="4711"/>
      <c r="K1615" s="4711"/>
      <c r="L1615" s="4711"/>
      <c r="M1615" s="4717"/>
      <c r="N1615"/>
      <c r="O1615" s="1684"/>
      <c r="P1615" s="1684"/>
      <c r="Q1615" s="1684"/>
      <c r="R1615" s="1684"/>
      <c r="S1615" s="1684"/>
      <c r="T1615" s="1684"/>
      <c r="U1615" s="1684"/>
      <c r="V1615" s="1684"/>
      <c r="W1615" s="1684"/>
      <c r="X1615" s="1684"/>
      <c r="Y1615" s="1684"/>
      <c r="Z1615" s="1684"/>
      <c r="AA1615" s="1684"/>
      <c r="AB1615" s="1684"/>
      <c r="AC1615" s="1684"/>
      <c r="AD1615" s="1684"/>
      <c r="AE1615" s="1684"/>
      <c r="AF1615" s="1684"/>
      <c r="AG1615" s="1684"/>
      <c r="AH1615" s="1684"/>
      <c r="AI1615" s="1684"/>
      <c r="AJ1615" s="1684"/>
      <c r="AK1615" s="1684"/>
      <c r="AL1615" s="1684"/>
      <c r="AM1615" s="1684"/>
      <c r="AN1615" s="1684"/>
      <c r="AO1615" s="1684"/>
      <c r="AP1615" s="1684"/>
      <c r="AQ1615" s="1684"/>
      <c r="AR1615" s="1684"/>
      <c r="AS1615" s="1684"/>
      <c r="AT1615" s="1684"/>
      <c r="AU1615" s="1684"/>
      <c r="AV1615" s="1684"/>
      <c r="AW1615" s="1684"/>
      <c r="AX1615" s="1684"/>
      <c r="AY1615" s="1684"/>
      <c r="AZ1615" s="1684"/>
      <c r="BA1615" s="1684"/>
      <c r="BB1615" s="1684"/>
      <c r="BC1615" s="1684"/>
      <c r="BD1615" s="1684"/>
      <c r="BE1615" s="1684"/>
      <c r="BF1615" s="1684"/>
      <c r="BG1615" s="1684"/>
      <c r="BH1615" s="1684"/>
      <c r="BI1615" s="1684"/>
      <c r="BJ1615" s="1684"/>
      <c r="BK1615" s="1684"/>
      <c r="BL1615" s="1684"/>
      <c r="BM1615" s="1684"/>
      <c r="BN1615" s="1684"/>
      <c r="BO1615" s="1684"/>
      <c r="BP1615" s="1684"/>
      <c r="BQ1615" s="1684"/>
      <c r="BR1615" s="1684"/>
      <c r="BS1615" s="1684"/>
      <c r="BT1615" s="1684"/>
      <c r="BU1615" s="1684"/>
      <c r="BV1615" s="1684"/>
      <c r="BW1615" s="1684"/>
      <c r="BX1615" s="1684"/>
      <c r="BY1615" s="1684"/>
      <c r="BZ1615" s="1684"/>
      <c r="CA1615" s="1684"/>
      <c r="CB1615" s="1684"/>
      <c r="CC1615" s="1684"/>
      <c r="CD1615" s="1684"/>
      <c r="CE1615" s="1684"/>
      <c r="CF1615" s="1684"/>
      <c r="CG1615" s="1684"/>
      <c r="CH1615" s="1684"/>
      <c r="CI1615" s="1684"/>
      <c r="CJ1615" s="1684"/>
      <c r="CK1615" s="1684"/>
      <c r="CL1615" s="1684"/>
      <c r="CM1615" s="1684"/>
      <c r="CN1615" s="1684"/>
      <c r="CO1615" s="1684"/>
    </row>
    <row r="1616" spans="1:93" s="1391" customFormat="1" ht="15" x14ac:dyDescent="0.2">
      <c r="A1616" s="1684"/>
      <c r="B1616" s="2023"/>
      <c r="C1616" s="2024"/>
      <c r="D1616" s="2024">
        <v>1</v>
      </c>
      <c r="E1616" s="2024">
        <v>2</v>
      </c>
      <c r="F1616" s="2024">
        <v>3</v>
      </c>
      <c r="G1616" s="2024">
        <v>4</v>
      </c>
      <c r="H1616" s="2024">
        <v>5</v>
      </c>
      <c r="I1616" s="2024">
        <v>6</v>
      </c>
      <c r="J1616" s="2024">
        <v>7</v>
      </c>
      <c r="K1616" s="2024">
        <v>8</v>
      </c>
      <c r="L1616" s="2024">
        <v>9</v>
      </c>
      <c r="M1616" s="2025"/>
      <c r="N1616"/>
      <c r="O1616" s="1684"/>
      <c r="P1616" s="1684"/>
      <c r="Q1616" s="1684"/>
      <c r="R1616" s="1684"/>
      <c r="S1616" s="1684"/>
      <c r="T1616" s="1684"/>
      <c r="U1616" s="1684"/>
      <c r="V1616" s="1684"/>
      <c r="W1616" s="1684"/>
      <c r="X1616" s="1684"/>
      <c r="Y1616" s="1684"/>
      <c r="Z1616" s="1684"/>
      <c r="AA1616" s="1684"/>
      <c r="AB1616" s="1684"/>
      <c r="AC1616" s="1684"/>
      <c r="AD1616" s="1684"/>
      <c r="AE1616" s="1684"/>
      <c r="AF1616" s="1684"/>
      <c r="AG1616" s="1684"/>
      <c r="AH1616" s="1684"/>
      <c r="AI1616" s="1684"/>
      <c r="AJ1616" s="1684"/>
      <c r="AK1616" s="1684"/>
      <c r="AL1616" s="1684"/>
      <c r="AM1616" s="1684"/>
      <c r="AN1616" s="1684"/>
      <c r="AO1616" s="1684"/>
      <c r="AP1616" s="1684"/>
      <c r="AQ1616" s="1684"/>
      <c r="AR1616" s="1684"/>
      <c r="AS1616" s="1684"/>
      <c r="AT1616" s="1684"/>
      <c r="AU1616" s="1684"/>
      <c r="AV1616" s="1684"/>
      <c r="AW1616" s="1684"/>
      <c r="AX1616" s="1684"/>
      <c r="AY1616" s="1684"/>
      <c r="AZ1616" s="1684"/>
      <c r="BA1616" s="1684"/>
      <c r="BB1616" s="1684"/>
      <c r="BC1616" s="1684"/>
      <c r="BD1616" s="1684"/>
      <c r="BE1616" s="1684"/>
      <c r="BF1616" s="1684"/>
      <c r="BG1616" s="1684"/>
      <c r="BH1616" s="1684"/>
      <c r="BI1616" s="1684"/>
      <c r="BJ1616" s="1684"/>
      <c r="BK1616" s="1684"/>
      <c r="BL1616" s="1684"/>
      <c r="BM1616" s="1684"/>
      <c r="BN1616" s="1684"/>
      <c r="BO1616" s="1684"/>
      <c r="BP1616" s="1684"/>
      <c r="BQ1616" s="1684"/>
      <c r="BR1616" s="1684"/>
      <c r="BS1616" s="1684"/>
      <c r="BT1616" s="1684"/>
      <c r="BU1616" s="1684"/>
      <c r="BV1616" s="1684"/>
      <c r="BW1616" s="1684"/>
      <c r="BX1616" s="1684"/>
      <c r="BY1616" s="1684"/>
      <c r="BZ1616" s="1684"/>
      <c r="CA1616" s="1684"/>
      <c r="CB1616" s="1684"/>
      <c r="CC1616" s="1684"/>
      <c r="CD1616" s="1684"/>
      <c r="CE1616" s="1684"/>
      <c r="CF1616" s="1684"/>
      <c r="CG1616" s="1684"/>
      <c r="CH1616" s="1684"/>
      <c r="CI1616" s="1684"/>
      <c r="CJ1616" s="1684"/>
      <c r="CK1616" s="1684"/>
      <c r="CL1616" s="1684"/>
      <c r="CM1616" s="1684"/>
      <c r="CN1616" s="1684"/>
      <c r="CO1616" s="1684"/>
    </row>
    <row r="1617" spans="1:93" s="1391" customFormat="1" ht="15" x14ac:dyDescent="0.2">
      <c r="A1617" s="1684"/>
      <c r="B1617" s="2026">
        <v>9</v>
      </c>
      <c r="C1617" s="2027">
        <v>4.8959999999999999</v>
      </c>
      <c r="D1617" s="2027">
        <v>241</v>
      </c>
      <c r="E1617" s="2027">
        <v>262</v>
      </c>
      <c r="F1617" s="2027">
        <v>283</v>
      </c>
      <c r="G1617" s="2027">
        <v>304</v>
      </c>
      <c r="H1617" s="2027">
        <v>325</v>
      </c>
      <c r="I1617" s="2027">
        <v>346</v>
      </c>
      <c r="J1617" s="2027">
        <v>367</v>
      </c>
      <c r="K1617" s="2027">
        <v>388</v>
      </c>
      <c r="L1617" s="2027">
        <v>409</v>
      </c>
      <c r="M1617" s="2028">
        <v>25</v>
      </c>
      <c r="N1617"/>
      <c r="O1617" s="1684"/>
      <c r="P1617" s="1684"/>
      <c r="Q1617" s="1684"/>
      <c r="R1617" s="1684"/>
      <c r="S1617" s="1684"/>
      <c r="T1617" s="1684"/>
      <c r="U1617" s="1684"/>
      <c r="V1617" s="1684"/>
      <c r="W1617" s="1684"/>
      <c r="X1617" s="1684"/>
      <c r="Y1617" s="1684"/>
      <c r="Z1617" s="1684"/>
      <c r="AA1617" s="1684"/>
      <c r="AB1617" s="1684"/>
      <c r="AC1617" s="1684"/>
      <c r="AD1617" s="1684"/>
      <c r="AE1617" s="1684"/>
      <c r="AF1617" s="1684"/>
      <c r="AG1617" s="1684"/>
      <c r="AH1617" s="1684"/>
      <c r="AI1617" s="1684"/>
      <c r="AJ1617" s="1684"/>
      <c r="AK1617" s="1684"/>
      <c r="AL1617" s="1684"/>
      <c r="AM1617" s="1684"/>
      <c r="AN1617" s="1684"/>
      <c r="AO1617" s="1684"/>
      <c r="AP1617" s="1684"/>
      <c r="AQ1617" s="1684"/>
      <c r="AR1617" s="1684"/>
      <c r="AS1617" s="1684"/>
      <c r="AT1617" s="1684"/>
      <c r="AU1617" s="1684"/>
      <c r="AV1617" s="1684"/>
      <c r="AW1617" s="1684"/>
      <c r="AX1617" s="1684"/>
      <c r="AY1617" s="1684"/>
      <c r="AZ1617" s="1684"/>
      <c r="BA1617" s="1684"/>
      <c r="BB1617" s="1684"/>
      <c r="BC1617" s="1684"/>
      <c r="BD1617" s="1684"/>
      <c r="BE1617" s="1684"/>
      <c r="BF1617" s="1684"/>
      <c r="BG1617" s="1684"/>
      <c r="BH1617" s="1684"/>
      <c r="BI1617" s="1684"/>
      <c r="BJ1617" s="1684"/>
      <c r="BK1617" s="1684"/>
      <c r="BL1617" s="1684"/>
      <c r="BM1617" s="1684"/>
      <c r="BN1617" s="1684"/>
      <c r="BO1617" s="1684"/>
      <c r="BP1617" s="1684"/>
      <c r="BQ1617" s="1684"/>
      <c r="BR1617" s="1684"/>
      <c r="BS1617" s="1684"/>
      <c r="BT1617" s="1684"/>
      <c r="BU1617" s="1684"/>
      <c r="BV1617" s="1684"/>
      <c r="BW1617" s="1684"/>
      <c r="BX1617" s="1684"/>
      <c r="BY1617" s="1684"/>
      <c r="BZ1617" s="1684"/>
      <c r="CA1617" s="1684"/>
      <c r="CB1617" s="1684"/>
      <c r="CC1617" s="1684"/>
      <c r="CD1617" s="1684"/>
      <c r="CE1617" s="1684"/>
      <c r="CF1617" s="1684"/>
      <c r="CG1617" s="1684"/>
      <c r="CH1617" s="1684"/>
      <c r="CI1617" s="1684"/>
      <c r="CJ1617" s="1684"/>
      <c r="CK1617" s="1684"/>
      <c r="CL1617" s="1684"/>
      <c r="CM1617" s="1684"/>
      <c r="CN1617" s="1684"/>
      <c r="CO1617" s="1684"/>
    </row>
    <row r="1618" spans="1:93" s="1391" customFormat="1" ht="15" x14ac:dyDescent="0.2">
      <c r="A1618" s="1684"/>
      <c r="B1618" s="2026">
        <v>10</v>
      </c>
      <c r="C1618" s="2027">
        <v>5.1970000000000001</v>
      </c>
      <c r="D1618" s="2027">
        <v>269</v>
      </c>
      <c r="E1618" s="2027">
        <v>292</v>
      </c>
      <c r="F1618" s="2027">
        <v>316</v>
      </c>
      <c r="G1618" s="2027">
        <v>339</v>
      </c>
      <c r="H1618" s="2027">
        <v>362</v>
      </c>
      <c r="I1618" s="2027">
        <v>386</v>
      </c>
      <c r="J1618" s="2027">
        <v>409</v>
      </c>
      <c r="K1618" s="2027">
        <v>433</v>
      </c>
      <c r="L1618" s="2027">
        <v>456</v>
      </c>
      <c r="M1618" s="2028">
        <v>26</v>
      </c>
      <c r="N1618"/>
      <c r="O1618" s="1684"/>
      <c r="P1618" s="1684"/>
      <c r="Q1618" s="1684"/>
      <c r="R1618" s="1684"/>
      <c r="S1618" s="1684"/>
      <c r="T1618" s="1684"/>
      <c r="U1618" s="1684"/>
      <c r="V1618" s="1684"/>
      <c r="W1618" s="1684"/>
      <c r="X1618" s="1684"/>
      <c r="Y1618" s="1684"/>
      <c r="Z1618" s="1684"/>
      <c r="AA1618" s="1684"/>
      <c r="AB1618" s="1684"/>
      <c r="AC1618" s="1684"/>
      <c r="AD1618" s="1684"/>
      <c r="AE1618" s="1684"/>
      <c r="AF1618" s="1684"/>
      <c r="AG1618" s="1684"/>
      <c r="AH1618" s="1684"/>
      <c r="AI1618" s="1684"/>
      <c r="AJ1618" s="1684"/>
      <c r="AK1618" s="1684"/>
      <c r="AL1618" s="1684"/>
      <c r="AM1618" s="1684"/>
      <c r="AN1618" s="1684"/>
      <c r="AO1618" s="1684"/>
      <c r="AP1618" s="1684"/>
      <c r="AQ1618" s="1684"/>
      <c r="AR1618" s="1684"/>
      <c r="AS1618" s="1684"/>
      <c r="AT1618" s="1684"/>
      <c r="AU1618" s="1684"/>
      <c r="AV1618" s="1684"/>
      <c r="AW1618" s="1684"/>
      <c r="AX1618" s="1684"/>
      <c r="AY1618" s="1684"/>
      <c r="AZ1618" s="1684"/>
      <c r="BA1618" s="1684"/>
      <c r="BB1618" s="1684"/>
      <c r="BC1618" s="1684"/>
      <c r="BD1618" s="1684"/>
      <c r="BE1618" s="1684"/>
      <c r="BF1618" s="1684"/>
      <c r="BG1618" s="1684"/>
      <c r="BH1618" s="1684"/>
      <c r="BI1618" s="1684"/>
      <c r="BJ1618" s="1684"/>
      <c r="BK1618" s="1684"/>
      <c r="BL1618" s="1684"/>
      <c r="BM1618" s="1684"/>
      <c r="BN1618" s="1684"/>
      <c r="BO1618" s="1684"/>
      <c r="BP1618" s="1684"/>
      <c r="BQ1618" s="1684"/>
      <c r="BR1618" s="1684"/>
      <c r="BS1618" s="1684"/>
      <c r="BT1618" s="1684"/>
      <c r="BU1618" s="1684"/>
      <c r="BV1618" s="1684"/>
      <c r="BW1618" s="1684"/>
      <c r="BX1618" s="1684"/>
      <c r="BY1618" s="1684"/>
      <c r="BZ1618" s="1684"/>
      <c r="CA1618" s="1684"/>
      <c r="CB1618" s="1684"/>
      <c r="CC1618" s="1684"/>
      <c r="CD1618" s="1684"/>
      <c r="CE1618" s="1684"/>
      <c r="CF1618" s="1684"/>
      <c r="CG1618" s="1684"/>
      <c r="CH1618" s="1684"/>
      <c r="CI1618" s="1684"/>
      <c r="CJ1618" s="1684"/>
      <c r="CK1618" s="1684"/>
      <c r="CL1618" s="1684"/>
      <c r="CM1618" s="1684"/>
      <c r="CN1618" s="1684"/>
      <c r="CO1618" s="1684"/>
    </row>
    <row r="1619" spans="1:93" s="1391" customFormat="1" ht="15" x14ac:dyDescent="0.2">
      <c r="A1619" s="1684"/>
      <c r="B1619" s="2026">
        <v>11</v>
      </c>
      <c r="C1619" s="2027">
        <v>5.5430000000000001</v>
      </c>
      <c r="D1619" s="2027">
        <v>300</v>
      </c>
      <c r="E1619" s="2027">
        <v>326</v>
      </c>
      <c r="F1619" s="2027">
        <v>353</v>
      </c>
      <c r="G1619" s="2027">
        <v>379</v>
      </c>
      <c r="H1619" s="2027">
        <v>405</v>
      </c>
      <c r="I1619" s="2027">
        <v>431</v>
      </c>
      <c r="J1619" s="2027">
        <v>457</v>
      </c>
      <c r="K1619" s="2027">
        <v>483</v>
      </c>
      <c r="L1619" s="2027">
        <v>509</v>
      </c>
      <c r="M1619" s="2028">
        <v>27</v>
      </c>
      <c r="N1619"/>
      <c r="O1619" s="1684"/>
      <c r="P1619" s="1684"/>
      <c r="Q1619" s="1684"/>
      <c r="R1619" s="1684"/>
      <c r="S1619" s="1684"/>
      <c r="T1619" s="1684"/>
      <c r="U1619" s="1684"/>
      <c r="V1619" s="1684"/>
      <c r="W1619" s="1684"/>
      <c r="X1619" s="1684"/>
      <c r="Y1619" s="1684"/>
      <c r="Z1619" s="1684"/>
      <c r="AA1619" s="1684"/>
      <c r="AB1619" s="1684"/>
      <c r="AC1619" s="1684"/>
      <c r="AD1619" s="1684"/>
      <c r="AE1619" s="1684"/>
      <c r="AF1619" s="1684"/>
      <c r="AG1619" s="1684"/>
      <c r="AH1619" s="1684"/>
      <c r="AI1619" s="1684"/>
      <c r="AJ1619" s="1684"/>
      <c r="AK1619" s="1684"/>
      <c r="AL1619" s="1684"/>
      <c r="AM1619" s="1684"/>
      <c r="AN1619" s="1684"/>
      <c r="AO1619" s="1684"/>
      <c r="AP1619" s="1684"/>
      <c r="AQ1619" s="1684"/>
      <c r="AR1619" s="1684"/>
      <c r="AS1619" s="1684"/>
      <c r="AT1619" s="1684"/>
      <c r="AU1619" s="1684"/>
      <c r="AV1619" s="1684"/>
      <c r="AW1619" s="1684"/>
      <c r="AX1619" s="1684"/>
      <c r="AY1619" s="1684"/>
      <c r="AZ1619" s="1684"/>
      <c r="BA1619" s="1684"/>
      <c r="BB1619" s="1684"/>
      <c r="BC1619" s="1684"/>
      <c r="BD1619" s="1684"/>
      <c r="BE1619" s="1684"/>
      <c r="BF1619" s="1684"/>
      <c r="BG1619" s="1684"/>
      <c r="BH1619" s="1684"/>
      <c r="BI1619" s="1684"/>
      <c r="BJ1619" s="1684"/>
      <c r="BK1619" s="1684"/>
      <c r="BL1619" s="1684"/>
      <c r="BM1619" s="1684"/>
      <c r="BN1619" s="1684"/>
      <c r="BO1619" s="1684"/>
      <c r="BP1619" s="1684"/>
      <c r="BQ1619" s="1684"/>
      <c r="BR1619" s="1684"/>
      <c r="BS1619" s="1684"/>
      <c r="BT1619" s="1684"/>
      <c r="BU1619" s="1684"/>
      <c r="BV1619" s="1684"/>
      <c r="BW1619" s="1684"/>
      <c r="BX1619" s="1684"/>
      <c r="BY1619" s="1684"/>
      <c r="BZ1619" s="1684"/>
      <c r="CA1619" s="1684"/>
      <c r="CB1619" s="1684"/>
      <c r="CC1619" s="1684"/>
      <c r="CD1619" s="1684"/>
      <c r="CE1619" s="1684"/>
      <c r="CF1619" s="1684"/>
      <c r="CG1619" s="1684"/>
      <c r="CH1619" s="1684"/>
      <c r="CI1619" s="1684"/>
      <c r="CJ1619" s="1684"/>
      <c r="CK1619" s="1684"/>
      <c r="CL1619" s="1684"/>
      <c r="CM1619" s="1684"/>
      <c r="CN1619" s="1684"/>
      <c r="CO1619" s="1684"/>
    </row>
    <row r="1620" spans="1:93" s="1391" customFormat="1" ht="15" x14ac:dyDescent="0.2">
      <c r="A1620" s="1684"/>
      <c r="B1620" s="2026">
        <v>12</v>
      </c>
      <c r="C1620" s="2027">
        <v>5.9139999999999997</v>
      </c>
      <c r="D1620" s="2027">
        <v>334</v>
      </c>
      <c r="E1620" s="2027">
        <v>363</v>
      </c>
      <c r="F1620" s="2027">
        <v>392</v>
      </c>
      <c r="G1620" s="2027">
        <v>421</v>
      </c>
      <c r="H1620" s="2027">
        <v>450</v>
      </c>
      <c r="I1620" s="2027">
        <v>479</v>
      </c>
      <c r="J1620" s="2027">
        <v>508</v>
      </c>
      <c r="K1620" s="2027">
        <v>537</v>
      </c>
      <c r="L1620" s="2027">
        <v>566</v>
      </c>
      <c r="M1620" s="2028">
        <v>28</v>
      </c>
      <c r="N1620"/>
      <c r="O1620" s="1684"/>
      <c r="P1620" s="1684"/>
      <c r="Q1620" s="1684"/>
      <c r="R1620" s="1684"/>
      <c r="S1620" s="1684"/>
      <c r="T1620" s="1684"/>
      <c r="U1620" s="1684"/>
      <c r="V1620" s="1684"/>
      <c r="W1620" s="1684"/>
      <c r="X1620" s="1684"/>
      <c r="Y1620" s="1684"/>
      <c r="Z1620" s="1684"/>
      <c r="AA1620" s="1684"/>
      <c r="AB1620" s="1684"/>
      <c r="AC1620" s="1684"/>
      <c r="AD1620" s="1684"/>
      <c r="AE1620" s="1684"/>
      <c r="AF1620" s="1684"/>
      <c r="AG1620" s="1684"/>
      <c r="AH1620" s="1684"/>
      <c r="AI1620" s="1684"/>
      <c r="AJ1620" s="1684"/>
      <c r="AK1620" s="1684"/>
      <c r="AL1620" s="1684"/>
      <c r="AM1620" s="1684"/>
      <c r="AN1620" s="1684"/>
      <c r="AO1620" s="1684"/>
      <c r="AP1620" s="1684"/>
      <c r="AQ1620" s="1684"/>
      <c r="AR1620" s="1684"/>
      <c r="AS1620" s="1684"/>
      <c r="AT1620" s="1684"/>
      <c r="AU1620" s="1684"/>
      <c r="AV1620" s="1684"/>
      <c r="AW1620" s="1684"/>
      <c r="AX1620" s="1684"/>
      <c r="AY1620" s="1684"/>
      <c r="AZ1620" s="1684"/>
      <c r="BA1620" s="1684"/>
      <c r="BB1620" s="1684"/>
      <c r="BC1620" s="1684"/>
      <c r="BD1620" s="1684"/>
      <c r="BE1620" s="1684"/>
      <c r="BF1620" s="1684"/>
      <c r="BG1620" s="1684"/>
      <c r="BH1620" s="1684"/>
      <c r="BI1620" s="1684"/>
      <c r="BJ1620" s="1684"/>
      <c r="BK1620" s="1684"/>
      <c r="BL1620" s="1684"/>
      <c r="BM1620" s="1684"/>
      <c r="BN1620" s="1684"/>
      <c r="BO1620" s="1684"/>
      <c r="BP1620" s="1684"/>
      <c r="BQ1620" s="1684"/>
      <c r="BR1620" s="1684"/>
      <c r="BS1620" s="1684"/>
      <c r="BT1620" s="1684"/>
      <c r="BU1620" s="1684"/>
      <c r="BV1620" s="1684"/>
      <c r="BW1620" s="1684"/>
      <c r="BX1620" s="1684"/>
      <c r="BY1620" s="1684"/>
      <c r="BZ1620" s="1684"/>
      <c r="CA1620" s="1684"/>
      <c r="CB1620" s="1684"/>
      <c r="CC1620" s="1684"/>
      <c r="CD1620" s="1684"/>
      <c r="CE1620" s="1684"/>
      <c r="CF1620" s="1684"/>
      <c r="CG1620" s="1684"/>
      <c r="CH1620" s="1684"/>
      <c r="CI1620" s="1684"/>
      <c r="CJ1620" s="1684"/>
      <c r="CK1620" s="1684"/>
      <c r="CL1620" s="1684"/>
      <c r="CM1620" s="1684"/>
      <c r="CN1620" s="1684"/>
      <c r="CO1620" s="1684"/>
    </row>
    <row r="1621" spans="1:93" s="1391" customFormat="1" ht="15" x14ac:dyDescent="0.2">
      <c r="A1621" s="1684"/>
      <c r="B1621" s="2026">
        <v>13</v>
      </c>
      <c r="C1621" s="2027">
        <v>6.3019999999999996</v>
      </c>
      <c r="D1621" s="2027">
        <v>369</v>
      </c>
      <c r="E1621" s="2027">
        <v>402</v>
      </c>
      <c r="F1621" s="2027">
        <v>434</v>
      </c>
      <c r="G1621" s="2027">
        <v>466</v>
      </c>
      <c r="H1621" s="2027">
        <v>498</v>
      </c>
      <c r="I1621" s="2027">
        <v>530</v>
      </c>
      <c r="J1621" s="2027">
        <v>562</v>
      </c>
      <c r="K1621" s="2027">
        <v>594</v>
      </c>
      <c r="L1621" s="2027">
        <v>627</v>
      </c>
      <c r="M1621" s="2028">
        <v>29</v>
      </c>
      <c r="N1621"/>
      <c r="O1621" s="1684"/>
      <c r="P1621" s="1684"/>
      <c r="Q1621" s="1684"/>
      <c r="R1621" s="1684"/>
      <c r="S1621" s="1684"/>
      <c r="T1621" s="1684"/>
      <c r="U1621" s="1684"/>
      <c r="V1621" s="1684"/>
      <c r="W1621" s="1684"/>
      <c r="X1621" s="1684"/>
      <c r="Y1621" s="1684"/>
      <c r="Z1621" s="1684"/>
      <c r="AA1621" s="1684"/>
      <c r="AB1621" s="1684"/>
      <c r="AC1621" s="1684"/>
      <c r="AD1621" s="1684"/>
      <c r="AE1621" s="1684"/>
      <c r="AF1621" s="1684"/>
      <c r="AG1621" s="1684"/>
      <c r="AH1621" s="1684"/>
      <c r="AI1621" s="1684"/>
      <c r="AJ1621" s="1684"/>
      <c r="AK1621" s="1684"/>
      <c r="AL1621" s="1684"/>
      <c r="AM1621" s="1684"/>
      <c r="AN1621" s="1684"/>
      <c r="AO1621" s="1684"/>
      <c r="AP1621" s="1684"/>
      <c r="AQ1621" s="1684"/>
      <c r="AR1621" s="1684"/>
      <c r="AS1621" s="1684"/>
      <c r="AT1621" s="1684"/>
      <c r="AU1621" s="1684"/>
      <c r="AV1621" s="1684"/>
      <c r="AW1621" s="1684"/>
      <c r="AX1621" s="1684"/>
      <c r="AY1621" s="1684"/>
      <c r="AZ1621" s="1684"/>
      <c r="BA1621" s="1684"/>
      <c r="BB1621" s="1684"/>
      <c r="BC1621" s="1684"/>
      <c r="BD1621" s="1684"/>
      <c r="BE1621" s="1684"/>
      <c r="BF1621" s="1684"/>
      <c r="BG1621" s="1684"/>
      <c r="BH1621" s="1684"/>
      <c r="BI1621" s="1684"/>
      <c r="BJ1621" s="1684"/>
      <c r="BK1621" s="1684"/>
      <c r="BL1621" s="1684"/>
      <c r="BM1621" s="1684"/>
      <c r="BN1621" s="1684"/>
      <c r="BO1621" s="1684"/>
      <c r="BP1621" s="1684"/>
      <c r="BQ1621" s="1684"/>
      <c r="BR1621" s="1684"/>
      <c r="BS1621" s="1684"/>
      <c r="BT1621" s="1684"/>
      <c r="BU1621" s="1684"/>
      <c r="BV1621" s="1684"/>
      <c r="BW1621" s="1684"/>
      <c r="BX1621" s="1684"/>
      <c r="BY1621" s="1684"/>
      <c r="BZ1621" s="1684"/>
      <c r="CA1621" s="1684"/>
      <c r="CB1621" s="1684"/>
      <c r="CC1621" s="1684"/>
      <c r="CD1621" s="1684"/>
      <c r="CE1621" s="1684"/>
      <c r="CF1621" s="1684"/>
      <c r="CG1621" s="1684"/>
      <c r="CH1621" s="1684"/>
      <c r="CI1621" s="1684"/>
      <c r="CJ1621" s="1684"/>
      <c r="CK1621" s="1684"/>
      <c r="CL1621" s="1684"/>
      <c r="CM1621" s="1684"/>
      <c r="CN1621" s="1684"/>
      <c r="CO1621" s="1684"/>
    </row>
    <row r="1622" spans="1:93" s="1391" customFormat="1" ht="15" x14ac:dyDescent="0.2">
      <c r="A1622" s="1684"/>
      <c r="B1622" s="2026">
        <v>14</v>
      </c>
      <c r="C1622" s="2027">
        <v>6.726</v>
      </c>
      <c r="D1622" s="2027">
        <v>408</v>
      </c>
      <c r="E1622" s="2027">
        <v>444</v>
      </c>
      <c r="F1622" s="2027">
        <v>479</v>
      </c>
      <c r="G1622" s="2027">
        <v>515</v>
      </c>
      <c r="H1622" s="2027">
        <v>550</v>
      </c>
      <c r="I1622" s="2027">
        <v>586</v>
      </c>
      <c r="J1622" s="2027">
        <v>621</v>
      </c>
      <c r="K1622" s="2027">
        <v>657</v>
      </c>
      <c r="L1622" s="2027">
        <v>692</v>
      </c>
      <c r="M1622" s="2028">
        <v>30</v>
      </c>
      <c r="N1622"/>
      <c r="O1622" s="1684"/>
      <c r="P1622" s="1684"/>
      <c r="Q1622" s="1684"/>
      <c r="R1622" s="1684"/>
      <c r="S1622" s="1684"/>
      <c r="T1622" s="1684"/>
      <c r="U1622" s="1684"/>
      <c r="V1622" s="1684"/>
      <c r="W1622" s="1684"/>
      <c r="X1622" s="1684"/>
      <c r="Y1622" s="1684"/>
      <c r="Z1622" s="1684"/>
      <c r="AA1622" s="1684"/>
      <c r="AB1622" s="1684"/>
      <c r="AC1622" s="1684"/>
      <c r="AD1622" s="1684"/>
      <c r="AE1622" s="1684"/>
      <c r="AF1622" s="1684"/>
      <c r="AG1622" s="1684"/>
      <c r="AH1622" s="1684"/>
      <c r="AI1622" s="1684"/>
      <c r="AJ1622" s="1684"/>
      <c r="AK1622" s="1684"/>
      <c r="AL1622" s="1684"/>
      <c r="AM1622" s="1684"/>
      <c r="AN1622" s="1684"/>
      <c r="AO1622" s="1684"/>
      <c r="AP1622" s="1684"/>
      <c r="AQ1622" s="1684"/>
      <c r="AR1622" s="1684"/>
      <c r="AS1622" s="1684"/>
      <c r="AT1622" s="1684"/>
      <c r="AU1622" s="1684"/>
      <c r="AV1622" s="1684"/>
      <c r="AW1622" s="1684"/>
      <c r="AX1622" s="1684"/>
      <c r="AY1622" s="1684"/>
      <c r="AZ1622" s="1684"/>
      <c r="BA1622" s="1684"/>
      <c r="BB1622" s="1684"/>
      <c r="BC1622" s="1684"/>
      <c r="BD1622" s="1684"/>
      <c r="BE1622" s="1684"/>
      <c r="BF1622" s="1684"/>
      <c r="BG1622" s="1684"/>
      <c r="BH1622" s="1684"/>
      <c r="BI1622" s="1684"/>
      <c r="BJ1622" s="1684"/>
      <c r="BK1622" s="1684"/>
      <c r="BL1622" s="1684"/>
      <c r="BM1622" s="1684"/>
      <c r="BN1622" s="1684"/>
      <c r="BO1622" s="1684"/>
      <c r="BP1622" s="1684"/>
      <c r="BQ1622" s="1684"/>
      <c r="BR1622" s="1684"/>
      <c r="BS1622" s="1684"/>
      <c r="BT1622" s="1684"/>
      <c r="BU1622" s="1684"/>
      <c r="BV1622" s="1684"/>
      <c r="BW1622" s="1684"/>
      <c r="BX1622" s="1684"/>
      <c r="BY1622" s="1684"/>
      <c r="BZ1622" s="1684"/>
      <c r="CA1622" s="1684"/>
      <c r="CB1622" s="1684"/>
      <c r="CC1622" s="1684"/>
      <c r="CD1622" s="1684"/>
      <c r="CE1622" s="1684"/>
      <c r="CF1622" s="1684"/>
      <c r="CG1622" s="1684"/>
      <c r="CH1622" s="1684"/>
      <c r="CI1622" s="1684"/>
      <c r="CJ1622" s="1684"/>
      <c r="CK1622" s="1684"/>
      <c r="CL1622" s="1684"/>
      <c r="CM1622" s="1684"/>
      <c r="CN1622" s="1684"/>
      <c r="CO1622" s="1684"/>
    </row>
    <row r="1623" spans="1:93" s="1391" customFormat="1" ht="15" x14ac:dyDescent="0.2">
      <c r="A1623" s="1684"/>
      <c r="B1623" s="2026">
        <v>15</v>
      </c>
      <c r="C1623" s="2027">
        <v>7.173</v>
      </c>
      <c r="D1623" s="2027">
        <v>449</v>
      </c>
      <c r="E1623" s="2027">
        <v>488</v>
      </c>
      <c r="F1623" s="2027">
        <v>527</v>
      </c>
      <c r="G1623" s="2027">
        <v>566</v>
      </c>
      <c r="H1623" s="2027">
        <v>605</v>
      </c>
      <c r="I1623" s="2027">
        <v>644</v>
      </c>
      <c r="J1623" s="2027">
        <v>683</v>
      </c>
      <c r="K1623" s="2027">
        <v>722</v>
      </c>
      <c r="L1623" s="2027">
        <v>761</v>
      </c>
      <c r="M1623" s="2028">
        <v>31</v>
      </c>
      <c r="N1623"/>
      <c r="O1623" s="1684"/>
      <c r="P1623" s="1684"/>
      <c r="Q1623" s="1684"/>
      <c r="R1623" s="1684"/>
      <c r="S1623" s="1684"/>
      <c r="T1623" s="1684"/>
      <c r="U1623" s="1684"/>
      <c r="V1623" s="1684"/>
      <c r="W1623" s="1684"/>
      <c r="X1623" s="1684"/>
      <c r="Y1623" s="1684"/>
      <c r="Z1623" s="1684"/>
      <c r="AA1623" s="1684"/>
      <c r="AB1623" s="1684"/>
      <c r="AC1623" s="1684"/>
      <c r="AD1623" s="1684"/>
      <c r="AE1623" s="1684"/>
      <c r="AF1623" s="1684"/>
      <c r="AG1623" s="1684"/>
      <c r="AH1623" s="1684"/>
      <c r="AI1623" s="1684"/>
      <c r="AJ1623" s="1684"/>
      <c r="AK1623" s="1684"/>
      <c r="AL1623" s="1684"/>
      <c r="AM1623" s="1684"/>
      <c r="AN1623" s="1684"/>
      <c r="AO1623" s="1684"/>
      <c r="AP1623" s="1684"/>
      <c r="AQ1623" s="1684"/>
      <c r="AR1623" s="1684"/>
      <c r="AS1623" s="1684"/>
      <c r="AT1623" s="1684"/>
      <c r="AU1623" s="1684"/>
      <c r="AV1623" s="1684"/>
      <c r="AW1623" s="1684"/>
      <c r="AX1623" s="1684"/>
      <c r="AY1623" s="1684"/>
      <c r="AZ1623" s="1684"/>
      <c r="BA1623" s="1684"/>
      <c r="BB1623" s="1684"/>
      <c r="BC1623" s="1684"/>
      <c r="BD1623" s="1684"/>
      <c r="BE1623" s="1684"/>
      <c r="BF1623" s="1684"/>
      <c r="BG1623" s="1684"/>
      <c r="BH1623" s="1684"/>
      <c r="BI1623" s="1684"/>
      <c r="BJ1623" s="1684"/>
      <c r="BK1623" s="1684"/>
      <c r="BL1623" s="1684"/>
      <c r="BM1623" s="1684"/>
      <c r="BN1623" s="1684"/>
      <c r="BO1623" s="1684"/>
      <c r="BP1623" s="1684"/>
      <c r="BQ1623" s="1684"/>
      <c r="BR1623" s="1684"/>
      <c r="BS1623" s="1684"/>
      <c r="BT1623" s="1684"/>
      <c r="BU1623" s="1684"/>
      <c r="BV1623" s="1684"/>
      <c r="BW1623" s="1684"/>
      <c r="BX1623" s="1684"/>
      <c r="BY1623" s="1684"/>
      <c r="BZ1623" s="1684"/>
      <c r="CA1623" s="1684"/>
      <c r="CB1623" s="1684"/>
      <c r="CC1623" s="1684"/>
      <c r="CD1623" s="1684"/>
      <c r="CE1623" s="1684"/>
      <c r="CF1623" s="1684"/>
      <c r="CG1623" s="1684"/>
      <c r="CH1623" s="1684"/>
      <c r="CI1623" s="1684"/>
      <c r="CJ1623" s="1684"/>
      <c r="CK1623" s="1684"/>
      <c r="CL1623" s="1684"/>
      <c r="CM1623" s="1684"/>
      <c r="CN1623" s="1684"/>
      <c r="CO1623" s="1684"/>
    </row>
    <row r="1624" spans="1:93" s="1391" customFormat="1" ht="15" x14ac:dyDescent="0.2">
      <c r="A1624" s="1684"/>
      <c r="B1624" s="2026">
        <v>16</v>
      </c>
      <c r="C1624" s="2027">
        <v>7.625</v>
      </c>
      <c r="D1624" s="2027">
        <v>490</v>
      </c>
      <c r="E1624" s="2027">
        <v>533</v>
      </c>
      <c r="F1624" s="2027">
        <v>576</v>
      </c>
      <c r="G1624" s="2027">
        <v>618</v>
      </c>
      <c r="H1624" s="2027">
        <v>661</v>
      </c>
      <c r="I1624" s="2027">
        <v>704</v>
      </c>
      <c r="J1624" s="2027">
        <v>746</v>
      </c>
      <c r="K1624" s="2027">
        <v>789</v>
      </c>
      <c r="L1624" s="2027">
        <v>831</v>
      </c>
      <c r="M1624" s="2028">
        <v>32</v>
      </c>
      <c r="N1624"/>
      <c r="O1624" s="1684"/>
      <c r="P1624" s="1684"/>
      <c r="Q1624" s="1684"/>
      <c r="R1624" s="1684"/>
      <c r="S1624" s="1684"/>
      <c r="T1624" s="1684"/>
      <c r="U1624" s="1684"/>
      <c r="V1624" s="1684"/>
      <c r="W1624" s="1684"/>
      <c r="X1624" s="1684"/>
      <c r="Y1624" s="1684"/>
      <c r="Z1624" s="1684"/>
      <c r="AA1624" s="1684"/>
      <c r="AB1624" s="1684"/>
      <c r="AC1624" s="1684"/>
      <c r="AD1624" s="1684"/>
      <c r="AE1624" s="1684"/>
      <c r="AF1624" s="1684"/>
      <c r="AG1624" s="1684"/>
      <c r="AH1624" s="1684"/>
      <c r="AI1624" s="1684"/>
      <c r="AJ1624" s="1684"/>
      <c r="AK1624" s="1684"/>
      <c r="AL1624" s="1684"/>
      <c r="AM1624" s="1684"/>
      <c r="AN1624" s="1684"/>
      <c r="AO1624" s="1684"/>
      <c r="AP1624" s="1684"/>
      <c r="AQ1624" s="1684"/>
      <c r="AR1624" s="1684"/>
      <c r="AS1624" s="1684"/>
      <c r="AT1624" s="1684"/>
      <c r="AU1624" s="1684"/>
      <c r="AV1624" s="1684"/>
      <c r="AW1624" s="1684"/>
      <c r="AX1624" s="1684"/>
      <c r="AY1624" s="1684"/>
      <c r="AZ1624" s="1684"/>
      <c r="BA1624" s="1684"/>
      <c r="BB1624" s="1684"/>
      <c r="BC1624" s="1684"/>
      <c r="BD1624" s="1684"/>
      <c r="BE1624" s="1684"/>
      <c r="BF1624" s="1684"/>
      <c r="BG1624" s="1684"/>
      <c r="BH1624" s="1684"/>
      <c r="BI1624" s="1684"/>
      <c r="BJ1624" s="1684"/>
      <c r="BK1624" s="1684"/>
      <c r="BL1624" s="1684"/>
      <c r="BM1624" s="1684"/>
      <c r="BN1624" s="1684"/>
      <c r="BO1624" s="1684"/>
      <c r="BP1624" s="1684"/>
      <c r="BQ1624" s="1684"/>
      <c r="BR1624" s="1684"/>
      <c r="BS1624" s="1684"/>
      <c r="BT1624" s="1684"/>
      <c r="BU1624" s="1684"/>
      <c r="BV1624" s="1684"/>
      <c r="BW1624" s="1684"/>
      <c r="BX1624" s="1684"/>
      <c r="BY1624" s="1684"/>
      <c r="BZ1624" s="1684"/>
      <c r="CA1624" s="1684"/>
      <c r="CB1624" s="1684"/>
      <c r="CC1624" s="1684"/>
      <c r="CD1624" s="1684"/>
      <c r="CE1624" s="1684"/>
      <c r="CF1624" s="1684"/>
      <c r="CG1624" s="1684"/>
      <c r="CH1624" s="1684"/>
      <c r="CI1624" s="1684"/>
      <c r="CJ1624" s="1684"/>
      <c r="CK1624" s="1684"/>
      <c r="CL1624" s="1684"/>
      <c r="CM1624" s="1684"/>
      <c r="CN1624" s="1684"/>
      <c r="CO1624" s="1684"/>
    </row>
    <row r="1625" spans="1:93" s="1391" customFormat="1" ht="15" x14ac:dyDescent="0.2">
      <c r="A1625" s="1684"/>
      <c r="B1625" s="4698" t="s">
        <v>1906</v>
      </c>
      <c r="C1625" s="4699"/>
      <c r="D1625" s="4699"/>
      <c r="E1625" s="4699"/>
      <c r="F1625" s="4699"/>
      <c r="G1625" s="4699"/>
      <c r="H1625" s="4699"/>
      <c r="I1625" s="4699"/>
      <c r="J1625" s="4699"/>
      <c r="K1625" s="4699"/>
      <c r="L1625" s="4699"/>
      <c r="M1625" s="4700"/>
      <c r="N1625"/>
      <c r="O1625" s="1684"/>
      <c r="P1625" s="1684"/>
      <c r="Q1625" s="1684"/>
      <c r="R1625" s="1684"/>
      <c r="S1625" s="1684"/>
      <c r="T1625" s="1684"/>
      <c r="U1625" s="1684"/>
      <c r="V1625" s="1684"/>
      <c r="W1625" s="1684"/>
      <c r="X1625" s="1684"/>
      <c r="Y1625" s="1684"/>
      <c r="Z1625" s="1684"/>
      <c r="AA1625" s="1684"/>
      <c r="AB1625" s="1684"/>
      <c r="AC1625" s="1684"/>
      <c r="AD1625" s="1684"/>
      <c r="AE1625" s="1684"/>
      <c r="AF1625" s="1684"/>
      <c r="AG1625" s="1684"/>
      <c r="AH1625" s="1684"/>
      <c r="AI1625" s="1684"/>
      <c r="AJ1625" s="1684"/>
      <c r="AK1625" s="1684"/>
      <c r="AL1625" s="1684"/>
      <c r="AM1625" s="1684"/>
      <c r="AN1625" s="1684"/>
      <c r="AO1625" s="1684"/>
      <c r="AP1625" s="1684"/>
      <c r="AQ1625" s="1684"/>
      <c r="AR1625" s="1684"/>
      <c r="AS1625" s="1684"/>
      <c r="AT1625" s="1684"/>
      <c r="AU1625" s="1684"/>
      <c r="AV1625" s="1684"/>
      <c r="AW1625" s="1684"/>
      <c r="AX1625" s="1684"/>
      <c r="AY1625" s="1684"/>
      <c r="AZ1625" s="1684"/>
      <c r="BA1625" s="1684"/>
      <c r="BB1625" s="1684"/>
      <c r="BC1625" s="1684"/>
      <c r="BD1625" s="1684"/>
      <c r="BE1625" s="1684"/>
      <c r="BF1625" s="1684"/>
      <c r="BG1625" s="1684"/>
      <c r="BH1625" s="1684"/>
      <c r="BI1625" s="1684"/>
      <c r="BJ1625" s="1684"/>
      <c r="BK1625" s="1684"/>
      <c r="BL1625" s="1684"/>
      <c r="BM1625" s="1684"/>
      <c r="BN1625" s="1684"/>
      <c r="BO1625" s="1684"/>
      <c r="BP1625" s="1684"/>
      <c r="BQ1625" s="1684"/>
      <c r="BR1625" s="1684"/>
      <c r="BS1625" s="1684"/>
      <c r="BT1625" s="1684"/>
      <c r="BU1625" s="1684"/>
      <c r="BV1625" s="1684"/>
      <c r="BW1625" s="1684"/>
      <c r="BX1625" s="1684"/>
      <c r="BY1625" s="1684"/>
      <c r="BZ1625" s="1684"/>
      <c r="CA1625" s="1684"/>
      <c r="CB1625" s="1684"/>
      <c r="CC1625" s="1684"/>
      <c r="CD1625" s="1684"/>
      <c r="CE1625" s="1684"/>
      <c r="CF1625" s="1684"/>
      <c r="CG1625" s="1684"/>
      <c r="CH1625" s="1684"/>
      <c r="CI1625" s="1684"/>
      <c r="CJ1625" s="1684"/>
      <c r="CK1625" s="1684"/>
      <c r="CL1625" s="1684"/>
      <c r="CM1625" s="1684"/>
      <c r="CN1625" s="1684"/>
      <c r="CO1625" s="1684"/>
    </row>
    <row r="1626" spans="1:93" s="1391" customFormat="1" ht="15" x14ac:dyDescent="0.2">
      <c r="A1626" s="1684"/>
      <c r="B1626" s="4716" t="s">
        <v>1052</v>
      </c>
      <c r="C1626" s="4711"/>
      <c r="D1626" s="4711"/>
      <c r="E1626" s="4711"/>
      <c r="F1626" s="4711"/>
      <c r="G1626" s="4711"/>
      <c r="H1626" s="4711"/>
      <c r="I1626" s="4711"/>
      <c r="J1626" s="4711"/>
      <c r="K1626" s="4711"/>
      <c r="L1626" s="4711"/>
      <c r="M1626" s="4717"/>
      <c r="N1626"/>
      <c r="O1626" s="1684"/>
      <c r="P1626" s="1684"/>
      <c r="Q1626" s="1684"/>
      <c r="R1626" s="1684"/>
      <c r="S1626" s="1684"/>
      <c r="T1626" s="1684"/>
      <c r="U1626" s="1684"/>
      <c r="V1626" s="1684"/>
      <c r="W1626" s="1684"/>
      <c r="X1626" s="1684"/>
      <c r="Y1626" s="1684"/>
      <c r="Z1626" s="1684"/>
      <c r="AA1626" s="1684"/>
      <c r="AB1626" s="1684"/>
      <c r="AC1626" s="1684"/>
      <c r="AD1626" s="1684"/>
      <c r="AE1626" s="1684"/>
      <c r="AF1626" s="1684"/>
      <c r="AG1626" s="1684"/>
      <c r="AH1626" s="1684"/>
      <c r="AI1626" s="1684"/>
      <c r="AJ1626" s="1684"/>
      <c r="AK1626" s="1684"/>
      <c r="AL1626" s="1684"/>
      <c r="AM1626" s="1684"/>
      <c r="AN1626" s="1684"/>
      <c r="AO1626" s="1684"/>
      <c r="AP1626" s="1684"/>
      <c r="AQ1626" s="1684"/>
      <c r="AR1626" s="1684"/>
      <c r="AS1626" s="1684"/>
      <c r="AT1626" s="1684"/>
      <c r="AU1626" s="1684"/>
      <c r="AV1626" s="1684"/>
      <c r="AW1626" s="1684"/>
      <c r="AX1626" s="1684"/>
      <c r="AY1626" s="1684"/>
      <c r="AZ1626" s="1684"/>
      <c r="BA1626" s="1684"/>
      <c r="BB1626" s="1684"/>
      <c r="BC1626" s="1684"/>
      <c r="BD1626" s="1684"/>
      <c r="BE1626" s="1684"/>
      <c r="BF1626" s="1684"/>
      <c r="BG1626" s="1684"/>
      <c r="BH1626" s="1684"/>
      <c r="BI1626" s="1684"/>
      <c r="BJ1626" s="1684"/>
      <c r="BK1626" s="1684"/>
      <c r="BL1626" s="1684"/>
      <c r="BM1626" s="1684"/>
      <c r="BN1626" s="1684"/>
      <c r="BO1626" s="1684"/>
      <c r="BP1626" s="1684"/>
      <c r="BQ1626" s="1684"/>
      <c r="BR1626" s="1684"/>
      <c r="BS1626" s="1684"/>
      <c r="BT1626" s="1684"/>
      <c r="BU1626" s="1684"/>
      <c r="BV1626" s="1684"/>
      <c r="BW1626" s="1684"/>
      <c r="BX1626" s="1684"/>
      <c r="BY1626" s="1684"/>
      <c r="BZ1626" s="1684"/>
      <c r="CA1626" s="1684"/>
      <c r="CB1626" s="1684"/>
      <c r="CC1626" s="1684"/>
      <c r="CD1626" s="1684"/>
      <c r="CE1626" s="1684"/>
      <c r="CF1626" s="1684"/>
      <c r="CG1626" s="1684"/>
      <c r="CH1626" s="1684"/>
      <c r="CI1626" s="1684"/>
      <c r="CJ1626" s="1684"/>
      <c r="CK1626" s="1684"/>
      <c r="CL1626" s="1684"/>
      <c r="CM1626" s="1684"/>
      <c r="CN1626" s="1684"/>
      <c r="CO1626" s="1684"/>
    </row>
    <row r="1627" spans="1:93" s="1391" customFormat="1" ht="15" x14ac:dyDescent="0.2">
      <c r="A1627" s="1684"/>
      <c r="B1627" s="2023"/>
      <c r="C1627" s="2024"/>
      <c r="D1627" s="2024">
        <v>1</v>
      </c>
      <c r="E1627" s="2024">
        <v>2</v>
      </c>
      <c r="F1627" s="2024">
        <v>3</v>
      </c>
      <c r="G1627" s="2024">
        <v>4</v>
      </c>
      <c r="H1627" s="2024">
        <v>5</v>
      </c>
      <c r="I1627" s="2024">
        <v>6</v>
      </c>
      <c r="J1627" s="2024">
        <v>7</v>
      </c>
      <c r="K1627" s="2024">
        <v>8</v>
      </c>
      <c r="L1627" s="2024">
        <v>9</v>
      </c>
      <c r="M1627" s="2025"/>
      <c r="N1627"/>
      <c r="O1627" s="1684"/>
      <c r="P1627" s="1684"/>
      <c r="Q1627" s="1684"/>
      <c r="R1627" s="1684"/>
      <c r="S1627" s="1684"/>
      <c r="T1627" s="1684"/>
      <c r="U1627" s="1684"/>
      <c r="V1627" s="1684"/>
      <c r="W1627" s="1684"/>
      <c r="X1627" s="1684"/>
      <c r="Y1627" s="1684"/>
      <c r="Z1627" s="1684"/>
      <c r="AA1627" s="1684"/>
      <c r="AB1627" s="1684"/>
      <c r="AC1627" s="1684"/>
      <c r="AD1627" s="1684"/>
      <c r="AE1627" s="1684"/>
      <c r="AF1627" s="1684"/>
      <c r="AG1627" s="1684"/>
      <c r="AH1627" s="1684"/>
      <c r="AI1627" s="1684"/>
      <c r="AJ1627" s="1684"/>
      <c r="AK1627" s="1684"/>
      <c r="AL1627" s="1684"/>
      <c r="AM1627" s="1684"/>
      <c r="AN1627" s="1684"/>
      <c r="AO1627" s="1684"/>
      <c r="AP1627" s="1684"/>
      <c r="AQ1627" s="1684"/>
      <c r="AR1627" s="1684"/>
      <c r="AS1627" s="1684"/>
      <c r="AT1627" s="1684"/>
      <c r="AU1627" s="1684"/>
      <c r="AV1627" s="1684"/>
      <c r="AW1627" s="1684"/>
      <c r="AX1627" s="1684"/>
      <c r="AY1627" s="1684"/>
      <c r="AZ1627" s="1684"/>
      <c r="BA1627" s="1684"/>
      <c r="BB1627" s="1684"/>
      <c r="BC1627" s="1684"/>
      <c r="BD1627" s="1684"/>
      <c r="BE1627" s="1684"/>
      <c r="BF1627" s="1684"/>
      <c r="BG1627" s="1684"/>
      <c r="BH1627" s="1684"/>
      <c r="BI1627" s="1684"/>
      <c r="BJ1627" s="1684"/>
      <c r="BK1627" s="1684"/>
      <c r="BL1627" s="1684"/>
      <c r="BM1627" s="1684"/>
      <c r="BN1627" s="1684"/>
      <c r="BO1627" s="1684"/>
      <c r="BP1627" s="1684"/>
      <c r="BQ1627" s="1684"/>
      <c r="BR1627" s="1684"/>
      <c r="BS1627" s="1684"/>
      <c r="BT1627" s="1684"/>
      <c r="BU1627" s="1684"/>
      <c r="BV1627" s="1684"/>
      <c r="BW1627" s="1684"/>
      <c r="BX1627" s="1684"/>
      <c r="BY1627" s="1684"/>
      <c r="BZ1627" s="1684"/>
      <c r="CA1627" s="1684"/>
      <c r="CB1627" s="1684"/>
      <c r="CC1627" s="1684"/>
      <c r="CD1627" s="1684"/>
      <c r="CE1627" s="1684"/>
      <c r="CF1627" s="1684"/>
      <c r="CG1627" s="1684"/>
      <c r="CH1627" s="1684"/>
      <c r="CI1627" s="1684"/>
      <c r="CJ1627" s="1684"/>
      <c r="CK1627" s="1684"/>
      <c r="CL1627" s="1684"/>
      <c r="CM1627" s="1684"/>
      <c r="CN1627" s="1684"/>
      <c r="CO1627" s="1684"/>
    </row>
    <row r="1628" spans="1:93" s="1391" customFormat="1" ht="15" x14ac:dyDescent="0.2">
      <c r="A1628" s="1684"/>
      <c r="B1628" s="2026">
        <v>9</v>
      </c>
      <c r="C1628" s="2027">
        <v>4.8959999999999999</v>
      </c>
      <c r="D1628" s="2027">
        <v>204</v>
      </c>
      <c r="E1628" s="2027">
        <v>220</v>
      </c>
      <c r="F1628" s="2027">
        <v>237</v>
      </c>
      <c r="G1628" s="2027">
        <v>253</v>
      </c>
      <c r="H1628" s="2027">
        <v>269</v>
      </c>
      <c r="I1628" s="2027">
        <v>285</v>
      </c>
      <c r="J1628" s="2027">
        <v>300</v>
      </c>
      <c r="K1628" s="2027">
        <v>316</v>
      </c>
      <c r="L1628" s="2027">
        <v>332</v>
      </c>
      <c r="M1628" s="2028">
        <v>33</v>
      </c>
      <c r="N1628"/>
      <c r="O1628" s="1684"/>
      <c r="P1628" s="1684"/>
      <c r="Q1628" s="1684"/>
      <c r="R1628" s="1684"/>
      <c r="S1628" s="1684"/>
      <c r="T1628" s="1684"/>
      <c r="U1628" s="1684"/>
      <c r="V1628" s="1684"/>
      <c r="W1628" s="1684"/>
      <c r="X1628" s="1684"/>
      <c r="Y1628" s="1684"/>
      <c r="Z1628" s="1684"/>
      <c r="AA1628" s="1684"/>
      <c r="AB1628" s="1684"/>
      <c r="AC1628" s="1684"/>
      <c r="AD1628" s="1684"/>
      <c r="AE1628" s="1684"/>
      <c r="AF1628" s="1684"/>
      <c r="AG1628" s="1684"/>
      <c r="AH1628" s="1684"/>
      <c r="AI1628" s="1684"/>
      <c r="AJ1628" s="1684"/>
      <c r="AK1628" s="1684"/>
      <c r="AL1628" s="1684"/>
      <c r="AM1628" s="1684"/>
      <c r="AN1628" s="1684"/>
      <c r="AO1628" s="1684"/>
      <c r="AP1628" s="1684"/>
      <c r="AQ1628" s="1684"/>
      <c r="AR1628" s="1684"/>
      <c r="AS1628" s="1684"/>
      <c r="AT1628" s="1684"/>
      <c r="AU1628" s="1684"/>
      <c r="AV1628" s="1684"/>
      <c r="AW1628" s="1684"/>
      <c r="AX1628" s="1684"/>
      <c r="AY1628" s="1684"/>
      <c r="AZ1628" s="1684"/>
      <c r="BA1628" s="1684"/>
      <c r="BB1628" s="1684"/>
      <c r="BC1628" s="1684"/>
      <c r="BD1628" s="1684"/>
      <c r="BE1628" s="1684"/>
      <c r="BF1628" s="1684"/>
      <c r="BG1628" s="1684"/>
      <c r="BH1628" s="1684"/>
      <c r="BI1628" s="1684"/>
      <c r="BJ1628" s="1684"/>
      <c r="BK1628" s="1684"/>
      <c r="BL1628" s="1684"/>
      <c r="BM1628" s="1684"/>
      <c r="BN1628" s="1684"/>
      <c r="BO1628" s="1684"/>
      <c r="BP1628" s="1684"/>
      <c r="BQ1628" s="1684"/>
      <c r="BR1628" s="1684"/>
      <c r="BS1628" s="1684"/>
      <c r="BT1628" s="1684"/>
      <c r="BU1628" s="1684"/>
      <c r="BV1628" s="1684"/>
      <c r="BW1628" s="1684"/>
      <c r="BX1628" s="1684"/>
      <c r="BY1628" s="1684"/>
      <c r="BZ1628" s="1684"/>
      <c r="CA1628" s="1684"/>
      <c r="CB1628" s="1684"/>
      <c r="CC1628" s="1684"/>
      <c r="CD1628" s="1684"/>
      <c r="CE1628" s="1684"/>
      <c r="CF1628" s="1684"/>
      <c r="CG1628" s="1684"/>
      <c r="CH1628" s="1684"/>
      <c r="CI1628" s="1684"/>
      <c r="CJ1628" s="1684"/>
      <c r="CK1628" s="1684"/>
      <c r="CL1628" s="1684"/>
      <c r="CM1628" s="1684"/>
      <c r="CN1628" s="1684"/>
      <c r="CO1628" s="1684"/>
    </row>
    <row r="1629" spans="1:93" s="1391" customFormat="1" ht="15" x14ac:dyDescent="0.2">
      <c r="A1629" s="1684"/>
      <c r="B1629" s="2026">
        <v>10</v>
      </c>
      <c r="C1629" s="2027">
        <v>5.1970000000000001</v>
      </c>
      <c r="D1629" s="2027">
        <v>225</v>
      </c>
      <c r="E1629" s="2027">
        <v>243</v>
      </c>
      <c r="F1629" s="2027">
        <v>261</v>
      </c>
      <c r="G1629" s="2027">
        <v>279</v>
      </c>
      <c r="H1629" s="2027">
        <v>296</v>
      </c>
      <c r="I1629" s="2027">
        <v>314</v>
      </c>
      <c r="J1629" s="2027">
        <v>331</v>
      </c>
      <c r="K1629" s="2027">
        <v>348</v>
      </c>
      <c r="L1629" s="2027">
        <v>365</v>
      </c>
      <c r="M1629" s="2028">
        <v>34</v>
      </c>
      <c r="N1629"/>
      <c r="O1629" s="1684"/>
      <c r="P1629" s="1684"/>
      <c r="Q1629" s="1684"/>
      <c r="R1629" s="1684"/>
      <c r="S1629" s="1684"/>
      <c r="T1629" s="1684"/>
      <c r="U1629" s="1684"/>
      <c r="V1629" s="1684"/>
      <c r="W1629" s="1684"/>
      <c r="X1629" s="1684"/>
      <c r="Y1629" s="1684"/>
      <c r="Z1629" s="1684"/>
      <c r="AA1629" s="1684"/>
      <c r="AB1629" s="1684"/>
      <c r="AC1629" s="1684"/>
      <c r="AD1629" s="1684"/>
      <c r="AE1629" s="1684"/>
      <c r="AF1629" s="1684"/>
      <c r="AG1629" s="1684"/>
      <c r="AH1629" s="1684"/>
      <c r="AI1629" s="1684"/>
      <c r="AJ1629" s="1684"/>
      <c r="AK1629" s="1684"/>
      <c r="AL1629" s="1684"/>
      <c r="AM1629" s="1684"/>
      <c r="AN1629" s="1684"/>
      <c r="AO1629" s="1684"/>
      <c r="AP1629" s="1684"/>
      <c r="AQ1629" s="1684"/>
      <c r="AR1629" s="1684"/>
      <c r="AS1629" s="1684"/>
      <c r="AT1629" s="1684"/>
      <c r="AU1629" s="1684"/>
      <c r="AV1629" s="1684"/>
      <c r="AW1629" s="1684"/>
      <c r="AX1629" s="1684"/>
      <c r="AY1629" s="1684"/>
      <c r="AZ1629" s="1684"/>
      <c r="BA1629" s="1684"/>
      <c r="BB1629" s="1684"/>
      <c r="BC1629" s="1684"/>
      <c r="BD1629" s="1684"/>
      <c r="BE1629" s="1684"/>
      <c r="BF1629" s="1684"/>
      <c r="BG1629" s="1684"/>
      <c r="BH1629" s="1684"/>
      <c r="BI1629" s="1684"/>
      <c r="BJ1629" s="1684"/>
      <c r="BK1629" s="1684"/>
      <c r="BL1629" s="1684"/>
      <c r="BM1629" s="1684"/>
      <c r="BN1629" s="1684"/>
      <c r="BO1629" s="1684"/>
      <c r="BP1629" s="1684"/>
      <c r="BQ1629" s="1684"/>
      <c r="BR1629" s="1684"/>
      <c r="BS1629" s="1684"/>
      <c r="BT1629" s="1684"/>
      <c r="BU1629" s="1684"/>
      <c r="BV1629" s="1684"/>
      <c r="BW1629" s="1684"/>
      <c r="BX1629" s="1684"/>
      <c r="BY1629" s="1684"/>
      <c r="BZ1629" s="1684"/>
      <c r="CA1629" s="1684"/>
      <c r="CB1629" s="1684"/>
      <c r="CC1629" s="1684"/>
      <c r="CD1629" s="1684"/>
      <c r="CE1629" s="1684"/>
      <c r="CF1629" s="1684"/>
      <c r="CG1629" s="1684"/>
      <c r="CH1629" s="1684"/>
      <c r="CI1629" s="1684"/>
      <c r="CJ1629" s="1684"/>
      <c r="CK1629" s="1684"/>
      <c r="CL1629" s="1684"/>
      <c r="CM1629" s="1684"/>
      <c r="CN1629" s="1684"/>
      <c r="CO1629" s="1684"/>
    </row>
    <row r="1630" spans="1:93" s="1391" customFormat="1" ht="15" x14ac:dyDescent="0.2">
      <c r="A1630" s="1684"/>
      <c r="B1630" s="2026">
        <v>11</v>
      </c>
      <c r="C1630" s="2027">
        <v>5.5430000000000001</v>
      </c>
      <c r="D1630" s="2027">
        <v>250</v>
      </c>
      <c r="E1630" s="2027">
        <v>270</v>
      </c>
      <c r="F1630" s="2027">
        <v>289</v>
      </c>
      <c r="G1630" s="2027">
        <v>309</v>
      </c>
      <c r="H1630" s="2027">
        <v>328</v>
      </c>
      <c r="I1630" s="2027">
        <v>347</v>
      </c>
      <c r="J1630" s="2027">
        <v>366</v>
      </c>
      <c r="K1630" s="2027">
        <v>384</v>
      </c>
      <c r="L1630" s="2027">
        <v>402</v>
      </c>
      <c r="M1630" s="2028">
        <v>35</v>
      </c>
      <c r="N1630"/>
      <c r="O1630" s="1684"/>
      <c r="P1630" s="1684"/>
      <c r="Q1630" s="1684"/>
      <c r="R1630" s="1684"/>
      <c r="S1630" s="1684"/>
      <c r="T1630" s="1684"/>
      <c r="U1630" s="1684"/>
      <c r="V1630" s="1684"/>
      <c r="W1630" s="1684"/>
      <c r="X1630" s="1684"/>
      <c r="Y1630" s="1684"/>
      <c r="Z1630" s="1684"/>
      <c r="AA1630" s="1684"/>
      <c r="AB1630" s="1684"/>
      <c r="AC1630" s="1684"/>
      <c r="AD1630" s="1684"/>
      <c r="AE1630" s="1684"/>
      <c r="AF1630" s="1684"/>
      <c r="AG1630" s="1684"/>
      <c r="AH1630" s="1684"/>
      <c r="AI1630" s="1684"/>
      <c r="AJ1630" s="1684"/>
      <c r="AK1630" s="1684"/>
      <c r="AL1630" s="1684"/>
      <c r="AM1630" s="1684"/>
      <c r="AN1630" s="1684"/>
      <c r="AO1630" s="1684"/>
      <c r="AP1630" s="1684"/>
      <c r="AQ1630" s="1684"/>
      <c r="AR1630" s="1684"/>
      <c r="AS1630" s="1684"/>
      <c r="AT1630" s="1684"/>
      <c r="AU1630" s="1684"/>
      <c r="AV1630" s="1684"/>
      <c r="AW1630" s="1684"/>
      <c r="AX1630" s="1684"/>
      <c r="AY1630" s="1684"/>
      <c r="AZ1630" s="1684"/>
      <c r="BA1630" s="1684"/>
      <c r="BB1630" s="1684"/>
      <c r="BC1630" s="1684"/>
      <c r="BD1630" s="1684"/>
      <c r="BE1630" s="1684"/>
      <c r="BF1630" s="1684"/>
      <c r="BG1630" s="1684"/>
      <c r="BH1630" s="1684"/>
      <c r="BI1630" s="1684"/>
      <c r="BJ1630" s="1684"/>
      <c r="BK1630" s="1684"/>
      <c r="BL1630" s="1684"/>
      <c r="BM1630" s="1684"/>
      <c r="BN1630" s="1684"/>
      <c r="BO1630" s="1684"/>
      <c r="BP1630" s="1684"/>
      <c r="BQ1630" s="1684"/>
      <c r="BR1630" s="1684"/>
      <c r="BS1630" s="1684"/>
      <c r="BT1630" s="1684"/>
      <c r="BU1630" s="1684"/>
      <c r="BV1630" s="1684"/>
      <c r="BW1630" s="1684"/>
      <c r="BX1630" s="1684"/>
      <c r="BY1630" s="1684"/>
      <c r="BZ1630" s="1684"/>
      <c r="CA1630" s="1684"/>
      <c r="CB1630" s="1684"/>
      <c r="CC1630" s="1684"/>
      <c r="CD1630" s="1684"/>
      <c r="CE1630" s="1684"/>
      <c r="CF1630" s="1684"/>
      <c r="CG1630" s="1684"/>
      <c r="CH1630" s="1684"/>
      <c r="CI1630" s="1684"/>
      <c r="CJ1630" s="1684"/>
      <c r="CK1630" s="1684"/>
      <c r="CL1630" s="1684"/>
      <c r="CM1630" s="1684"/>
      <c r="CN1630" s="1684"/>
      <c r="CO1630" s="1684"/>
    </row>
    <row r="1631" spans="1:93" s="1391" customFormat="1" ht="15" x14ac:dyDescent="0.2">
      <c r="A1631" s="1684"/>
      <c r="B1631" s="2026">
        <v>12</v>
      </c>
      <c r="C1631" s="2027">
        <v>5.9139999999999997</v>
      </c>
      <c r="D1631" s="2027">
        <v>275</v>
      </c>
      <c r="E1631" s="2027">
        <v>297</v>
      </c>
      <c r="F1631" s="2027">
        <v>318</v>
      </c>
      <c r="G1631" s="2027">
        <v>340</v>
      </c>
      <c r="H1631" s="2027">
        <v>361</v>
      </c>
      <c r="I1631" s="2027">
        <v>382</v>
      </c>
      <c r="J1631" s="2027">
        <v>402</v>
      </c>
      <c r="K1631" s="2027">
        <v>422</v>
      </c>
      <c r="L1631" s="2027">
        <v>441</v>
      </c>
      <c r="M1631" s="2028">
        <v>36</v>
      </c>
      <c r="N1631"/>
      <c r="O1631" s="1684"/>
      <c r="P1631" s="1684"/>
      <c r="Q1631" s="1684"/>
      <c r="R1631" s="1684"/>
      <c r="S1631" s="1684"/>
      <c r="T1631" s="1684"/>
      <c r="U1631" s="1684"/>
      <c r="V1631" s="1684"/>
      <c r="W1631" s="1684"/>
      <c r="X1631" s="1684"/>
      <c r="Y1631" s="1684"/>
      <c r="Z1631" s="1684"/>
      <c r="AA1631" s="1684"/>
      <c r="AB1631" s="1684"/>
      <c r="AC1631" s="1684"/>
      <c r="AD1631" s="1684"/>
      <c r="AE1631" s="1684"/>
      <c r="AF1631" s="1684"/>
      <c r="AG1631" s="1684"/>
      <c r="AH1631" s="1684"/>
      <c r="AI1631" s="1684"/>
      <c r="AJ1631" s="1684"/>
      <c r="AK1631" s="1684"/>
      <c r="AL1631" s="1684"/>
      <c r="AM1631" s="1684"/>
      <c r="AN1631" s="1684"/>
      <c r="AO1631" s="1684"/>
      <c r="AP1631" s="1684"/>
      <c r="AQ1631" s="1684"/>
      <c r="AR1631" s="1684"/>
      <c r="AS1631" s="1684"/>
      <c r="AT1631" s="1684"/>
      <c r="AU1631" s="1684"/>
      <c r="AV1631" s="1684"/>
      <c r="AW1631" s="1684"/>
      <c r="AX1631" s="1684"/>
      <c r="AY1631" s="1684"/>
      <c r="AZ1631" s="1684"/>
      <c r="BA1631" s="1684"/>
      <c r="BB1631" s="1684"/>
      <c r="BC1631" s="1684"/>
      <c r="BD1631" s="1684"/>
      <c r="BE1631" s="1684"/>
      <c r="BF1631" s="1684"/>
      <c r="BG1631" s="1684"/>
      <c r="BH1631" s="1684"/>
      <c r="BI1631" s="1684"/>
      <c r="BJ1631" s="1684"/>
      <c r="BK1631" s="1684"/>
      <c r="BL1631" s="1684"/>
      <c r="BM1631" s="1684"/>
      <c r="BN1631" s="1684"/>
      <c r="BO1631" s="1684"/>
      <c r="BP1631" s="1684"/>
      <c r="BQ1631" s="1684"/>
      <c r="BR1631" s="1684"/>
      <c r="BS1631" s="1684"/>
      <c r="BT1631" s="1684"/>
      <c r="BU1631" s="1684"/>
      <c r="BV1631" s="1684"/>
      <c r="BW1631" s="1684"/>
      <c r="BX1631" s="1684"/>
      <c r="BY1631" s="1684"/>
      <c r="BZ1631" s="1684"/>
      <c r="CA1631" s="1684"/>
      <c r="CB1631" s="1684"/>
      <c r="CC1631" s="1684"/>
      <c r="CD1631" s="1684"/>
      <c r="CE1631" s="1684"/>
      <c r="CF1631" s="1684"/>
      <c r="CG1631" s="1684"/>
      <c r="CH1631" s="1684"/>
      <c r="CI1631" s="1684"/>
      <c r="CJ1631" s="1684"/>
      <c r="CK1631" s="1684"/>
      <c r="CL1631" s="1684"/>
      <c r="CM1631" s="1684"/>
      <c r="CN1631" s="1684"/>
      <c r="CO1631" s="1684"/>
    </row>
    <row r="1632" spans="1:93" s="1391" customFormat="1" ht="15" x14ac:dyDescent="0.2">
      <c r="A1632" s="1684"/>
      <c r="B1632" s="2026">
        <v>13</v>
      </c>
      <c r="C1632" s="2027">
        <v>6.3019999999999996</v>
      </c>
      <c r="D1632" s="2027">
        <v>301</v>
      </c>
      <c r="E1632" s="2027">
        <v>325</v>
      </c>
      <c r="F1632" s="2027">
        <v>348</v>
      </c>
      <c r="G1632" s="2027">
        <v>371</v>
      </c>
      <c r="H1632" s="2027">
        <v>394</v>
      </c>
      <c r="I1632" s="2027">
        <v>417</v>
      </c>
      <c r="J1632" s="2027">
        <v>439</v>
      </c>
      <c r="K1632" s="2027">
        <v>460</v>
      </c>
      <c r="L1632" s="2027">
        <v>481</v>
      </c>
      <c r="M1632" s="2028">
        <v>37</v>
      </c>
      <c r="N1632"/>
      <c r="O1632" s="1684"/>
      <c r="P1632" s="1684"/>
      <c r="Q1632" s="1684"/>
      <c r="R1632" s="1684"/>
      <c r="S1632" s="1684"/>
      <c r="T1632" s="1684"/>
      <c r="U1632" s="1684"/>
      <c r="V1632" s="1684"/>
      <c r="W1632" s="1684"/>
      <c r="X1632" s="1684"/>
      <c r="Y1632" s="1684"/>
      <c r="Z1632" s="1684"/>
      <c r="AA1632" s="1684"/>
      <c r="AB1632" s="1684"/>
      <c r="AC1632" s="1684"/>
      <c r="AD1632" s="1684"/>
      <c r="AE1632" s="1684"/>
      <c r="AF1632" s="1684"/>
      <c r="AG1632" s="1684"/>
      <c r="AH1632" s="1684"/>
      <c r="AI1632" s="1684"/>
      <c r="AJ1632" s="1684"/>
      <c r="AK1632" s="1684"/>
      <c r="AL1632" s="1684"/>
      <c r="AM1632" s="1684"/>
      <c r="AN1632" s="1684"/>
      <c r="AO1632" s="1684"/>
      <c r="AP1632" s="1684"/>
      <c r="AQ1632" s="1684"/>
      <c r="AR1632" s="1684"/>
      <c r="AS1632" s="1684"/>
      <c r="AT1632" s="1684"/>
      <c r="AU1632" s="1684"/>
      <c r="AV1632" s="1684"/>
      <c r="AW1632" s="1684"/>
      <c r="AX1632" s="1684"/>
      <c r="AY1632" s="1684"/>
      <c r="AZ1632" s="1684"/>
      <c r="BA1632" s="1684"/>
      <c r="BB1632" s="1684"/>
      <c r="BC1632" s="1684"/>
      <c r="BD1632" s="1684"/>
      <c r="BE1632" s="1684"/>
      <c r="BF1632" s="1684"/>
      <c r="BG1632" s="1684"/>
      <c r="BH1632" s="1684"/>
      <c r="BI1632" s="1684"/>
      <c r="BJ1632" s="1684"/>
      <c r="BK1632" s="1684"/>
      <c r="BL1632" s="1684"/>
      <c r="BM1632" s="1684"/>
      <c r="BN1632" s="1684"/>
      <c r="BO1632" s="1684"/>
      <c r="BP1632" s="1684"/>
      <c r="BQ1632" s="1684"/>
      <c r="BR1632" s="1684"/>
      <c r="BS1632" s="1684"/>
      <c r="BT1632" s="1684"/>
      <c r="BU1632" s="1684"/>
      <c r="BV1632" s="1684"/>
      <c r="BW1632" s="1684"/>
      <c r="BX1632" s="1684"/>
      <c r="BY1632" s="1684"/>
      <c r="BZ1632" s="1684"/>
      <c r="CA1632" s="1684"/>
      <c r="CB1632" s="1684"/>
      <c r="CC1632" s="1684"/>
      <c r="CD1632" s="1684"/>
      <c r="CE1632" s="1684"/>
      <c r="CF1632" s="1684"/>
      <c r="CG1632" s="1684"/>
      <c r="CH1632" s="1684"/>
      <c r="CI1632" s="1684"/>
      <c r="CJ1632" s="1684"/>
      <c r="CK1632" s="1684"/>
      <c r="CL1632" s="1684"/>
      <c r="CM1632" s="1684"/>
      <c r="CN1632" s="1684"/>
      <c r="CO1632" s="1684"/>
    </row>
    <row r="1633" spans="1:93" s="1391" customFormat="1" ht="15" x14ac:dyDescent="0.2">
      <c r="A1633" s="1684"/>
      <c r="B1633" s="2026">
        <v>14</v>
      </c>
      <c r="C1633" s="2027">
        <v>6.726</v>
      </c>
      <c r="D1633" s="2027">
        <v>330</v>
      </c>
      <c r="E1633" s="2027">
        <v>355</v>
      </c>
      <c r="F1633" s="2027">
        <v>380</v>
      </c>
      <c r="G1633" s="2027">
        <v>406</v>
      </c>
      <c r="H1633" s="2027">
        <v>430</v>
      </c>
      <c r="I1633" s="2027">
        <v>454</v>
      </c>
      <c r="J1633" s="2027">
        <v>477</v>
      </c>
      <c r="K1633" s="2027">
        <v>500</v>
      </c>
      <c r="L1633" s="2027">
        <v>523</v>
      </c>
      <c r="M1633" s="2028">
        <v>38</v>
      </c>
      <c r="N1633"/>
      <c r="O1633" s="1684"/>
      <c r="P1633" s="1684"/>
      <c r="Q1633" s="1684"/>
      <c r="R1633" s="1684"/>
      <c r="S1633" s="1684"/>
      <c r="T1633" s="1684"/>
      <c r="U1633" s="1684"/>
      <c r="V1633" s="1684"/>
      <c r="W1633" s="1684"/>
      <c r="X1633" s="1684"/>
      <c r="Y1633" s="1684"/>
      <c r="Z1633" s="1684"/>
      <c r="AA1633" s="1684"/>
      <c r="AB1633" s="1684"/>
      <c r="AC1633" s="1684"/>
      <c r="AD1633" s="1684"/>
      <c r="AE1633" s="1684"/>
      <c r="AF1633" s="1684"/>
      <c r="AG1633" s="1684"/>
      <c r="AH1633" s="1684"/>
      <c r="AI1633" s="1684"/>
      <c r="AJ1633" s="1684"/>
      <c r="AK1633" s="1684"/>
      <c r="AL1633" s="1684"/>
      <c r="AM1633" s="1684"/>
      <c r="AN1633" s="1684"/>
      <c r="AO1633" s="1684"/>
      <c r="AP1633" s="1684"/>
      <c r="AQ1633" s="1684"/>
      <c r="AR1633" s="1684"/>
      <c r="AS1633" s="1684"/>
      <c r="AT1633" s="1684"/>
      <c r="AU1633" s="1684"/>
      <c r="AV1633" s="1684"/>
      <c r="AW1633" s="1684"/>
      <c r="AX1633" s="1684"/>
      <c r="AY1633" s="1684"/>
      <c r="AZ1633" s="1684"/>
      <c r="BA1633" s="1684"/>
      <c r="BB1633" s="1684"/>
      <c r="BC1633" s="1684"/>
      <c r="BD1633" s="1684"/>
      <c r="BE1633" s="1684"/>
      <c r="BF1633" s="1684"/>
      <c r="BG1633" s="1684"/>
      <c r="BH1633" s="1684"/>
      <c r="BI1633" s="1684"/>
      <c r="BJ1633" s="1684"/>
      <c r="BK1633" s="1684"/>
      <c r="BL1633" s="1684"/>
      <c r="BM1633" s="1684"/>
      <c r="BN1633" s="1684"/>
      <c r="BO1633" s="1684"/>
      <c r="BP1633" s="1684"/>
      <c r="BQ1633" s="1684"/>
      <c r="BR1633" s="1684"/>
      <c r="BS1633" s="1684"/>
      <c r="BT1633" s="1684"/>
      <c r="BU1633" s="1684"/>
      <c r="BV1633" s="1684"/>
      <c r="BW1633" s="1684"/>
      <c r="BX1633" s="1684"/>
      <c r="BY1633" s="1684"/>
      <c r="BZ1633" s="1684"/>
      <c r="CA1633" s="1684"/>
      <c r="CB1633" s="1684"/>
      <c r="CC1633" s="1684"/>
      <c r="CD1633" s="1684"/>
      <c r="CE1633" s="1684"/>
      <c r="CF1633" s="1684"/>
      <c r="CG1633" s="1684"/>
      <c r="CH1633" s="1684"/>
      <c r="CI1633" s="1684"/>
      <c r="CJ1633" s="1684"/>
      <c r="CK1633" s="1684"/>
      <c r="CL1633" s="1684"/>
      <c r="CM1633" s="1684"/>
      <c r="CN1633" s="1684"/>
      <c r="CO1633" s="1684"/>
    </row>
    <row r="1634" spans="1:93" s="1391" customFormat="1" ht="15" x14ac:dyDescent="0.2">
      <c r="A1634" s="1684"/>
      <c r="B1634" s="2026">
        <v>15</v>
      </c>
      <c r="C1634" s="2027">
        <v>7.173</v>
      </c>
      <c r="D1634" s="2027">
        <v>359</v>
      </c>
      <c r="E1634" s="2027">
        <v>386</v>
      </c>
      <c r="F1634" s="2027">
        <v>413</v>
      </c>
      <c r="G1634" s="2027">
        <v>440</v>
      </c>
      <c r="H1634" s="2027">
        <v>466</v>
      </c>
      <c r="I1634" s="2027">
        <v>493</v>
      </c>
      <c r="J1634" s="2027">
        <v>518</v>
      </c>
      <c r="K1634" s="2027">
        <v>542</v>
      </c>
      <c r="L1634" s="2027">
        <v>567</v>
      </c>
      <c r="M1634" s="2028">
        <v>39</v>
      </c>
      <c r="N1634"/>
      <c r="O1634" s="1684"/>
      <c r="P1634" s="1684"/>
      <c r="Q1634" s="1684"/>
      <c r="R1634" s="1684"/>
      <c r="S1634" s="1684"/>
      <c r="T1634" s="1684"/>
      <c r="U1634" s="1684"/>
      <c r="V1634" s="1684"/>
      <c r="W1634" s="1684"/>
      <c r="X1634" s="1684"/>
      <c r="Y1634" s="1684"/>
      <c r="Z1634" s="1684"/>
      <c r="AA1634" s="1684"/>
      <c r="AB1634" s="1684"/>
      <c r="AC1634" s="1684"/>
      <c r="AD1634" s="1684"/>
      <c r="AE1634" s="1684"/>
      <c r="AF1634" s="1684"/>
      <c r="AG1634" s="1684"/>
      <c r="AH1634" s="1684"/>
      <c r="AI1634" s="1684"/>
      <c r="AJ1634" s="1684"/>
      <c r="AK1634" s="1684"/>
      <c r="AL1634" s="1684"/>
      <c r="AM1634" s="1684"/>
      <c r="AN1634" s="1684"/>
      <c r="AO1634" s="1684"/>
      <c r="AP1634" s="1684"/>
      <c r="AQ1634" s="1684"/>
      <c r="AR1634" s="1684"/>
      <c r="AS1634" s="1684"/>
      <c r="AT1634" s="1684"/>
      <c r="AU1634" s="1684"/>
      <c r="AV1634" s="1684"/>
      <c r="AW1634" s="1684"/>
      <c r="AX1634" s="1684"/>
      <c r="AY1634" s="1684"/>
      <c r="AZ1634" s="1684"/>
      <c r="BA1634" s="1684"/>
      <c r="BB1634" s="1684"/>
      <c r="BC1634" s="1684"/>
      <c r="BD1634" s="1684"/>
      <c r="BE1634" s="1684"/>
      <c r="BF1634" s="1684"/>
      <c r="BG1634" s="1684"/>
      <c r="BH1634" s="1684"/>
      <c r="BI1634" s="1684"/>
      <c r="BJ1634" s="1684"/>
      <c r="BK1634" s="1684"/>
      <c r="BL1634" s="1684"/>
      <c r="BM1634" s="1684"/>
      <c r="BN1634" s="1684"/>
      <c r="BO1634" s="1684"/>
      <c r="BP1634" s="1684"/>
      <c r="BQ1634" s="1684"/>
      <c r="BR1634" s="1684"/>
      <c r="BS1634" s="1684"/>
      <c r="BT1634" s="1684"/>
      <c r="BU1634" s="1684"/>
      <c r="BV1634" s="1684"/>
      <c r="BW1634" s="1684"/>
      <c r="BX1634" s="1684"/>
      <c r="BY1634" s="1684"/>
      <c r="BZ1634" s="1684"/>
      <c r="CA1634" s="1684"/>
      <c r="CB1634" s="1684"/>
      <c r="CC1634" s="1684"/>
      <c r="CD1634" s="1684"/>
      <c r="CE1634" s="1684"/>
      <c r="CF1634" s="1684"/>
      <c r="CG1634" s="1684"/>
      <c r="CH1634" s="1684"/>
      <c r="CI1634" s="1684"/>
      <c r="CJ1634" s="1684"/>
      <c r="CK1634" s="1684"/>
      <c r="CL1634" s="1684"/>
      <c r="CM1634" s="1684"/>
      <c r="CN1634" s="1684"/>
      <c r="CO1634" s="1684"/>
    </row>
    <row r="1635" spans="1:93" s="1391" customFormat="1" ht="15" x14ac:dyDescent="0.2">
      <c r="A1635" s="1684"/>
      <c r="B1635" s="2026">
        <v>16</v>
      </c>
      <c r="C1635" s="2027">
        <v>7.625</v>
      </c>
      <c r="D1635" s="2027">
        <v>388</v>
      </c>
      <c r="E1635" s="2027">
        <v>417</v>
      </c>
      <c r="F1635" s="2027">
        <v>446</v>
      </c>
      <c r="G1635" s="2027">
        <v>475</v>
      </c>
      <c r="H1635" s="2027">
        <v>503</v>
      </c>
      <c r="I1635" s="2027">
        <v>531</v>
      </c>
      <c r="J1635" s="2027">
        <v>557</v>
      </c>
      <c r="K1635" s="2027">
        <v>583</v>
      </c>
      <c r="L1635" s="2027">
        <v>609</v>
      </c>
      <c r="M1635" s="2028">
        <v>40</v>
      </c>
      <c r="N1635"/>
      <c r="O1635" s="1684"/>
      <c r="P1635" s="1684"/>
      <c r="Q1635" s="1684"/>
      <c r="R1635" s="1684"/>
      <c r="S1635" s="1684"/>
      <c r="T1635" s="1684"/>
      <c r="U1635" s="1684"/>
      <c r="V1635" s="1684"/>
      <c r="W1635" s="1684"/>
      <c r="X1635" s="1684"/>
      <c r="Y1635" s="1684"/>
      <c r="Z1635" s="1684"/>
      <c r="AA1635" s="1684"/>
      <c r="AB1635" s="1684"/>
      <c r="AC1635" s="1684"/>
      <c r="AD1635" s="1684"/>
      <c r="AE1635" s="1684"/>
      <c r="AF1635" s="1684"/>
      <c r="AG1635" s="1684"/>
      <c r="AH1635" s="1684"/>
      <c r="AI1635" s="1684"/>
      <c r="AJ1635" s="1684"/>
      <c r="AK1635" s="1684"/>
      <c r="AL1635" s="1684"/>
      <c r="AM1635" s="1684"/>
      <c r="AN1635" s="1684"/>
      <c r="AO1635" s="1684"/>
      <c r="AP1635" s="1684"/>
      <c r="AQ1635" s="1684"/>
      <c r="AR1635" s="1684"/>
      <c r="AS1635" s="1684"/>
      <c r="AT1635" s="1684"/>
      <c r="AU1635" s="1684"/>
      <c r="AV1635" s="1684"/>
      <c r="AW1635" s="1684"/>
      <c r="AX1635" s="1684"/>
      <c r="AY1635" s="1684"/>
      <c r="AZ1635" s="1684"/>
      <c r="BA1635" s="1684"/>
      <c r="BB1635" s="1684"/>
      <c r="BC1635" s="1684"/>
      <c r="BD1635" s="1684"/>
      <c r="BE1635" s="1684"/>
      <c r="BF1635" s="1684"/>
      <c r="BG1635" s="1684"/>
      <c r="BH1635" s="1684"/>
      <c r="BI1635" s="1684"/>
      <c r="BJ1635" s="1684"/>
      <c r="BK1635" s="1684"/>
      <c r="BL1635" s="1684"/>
      <c r="BM1635" s="1684"/>
      <c r="BN1635" s="1684"/>
      <c r="BO1635" s="1684"/>
      <c r="BP1635" s="1684"/>
      <c r="BQ1635" s="1684"/>
      <c r="BR1635" s="1684"/>
      <c r="BS1635" s="1684"/>
      <c r="BT1635" s="1684"/>
      <c r="BU1635" s="1684"/>
      <c r="BV1635" s="1684"/>
      <c r="BW1635" s="1684"/>
      <c r="BX1635" s="1684"/>
      <c r="BY1635" s="1684"/>
      <c r="BZ1635" s="1684"/>
      <c r="CA1635" s="1684"/>
      <c r="CB1635" s="1684"/>
      <c r="CC1635" s="1684"/>
      <c r="CD1635" s="1684"/>
      <c r="CE1635" s="1684"/>
      <c r="CF1635" s="1684"/>
      <c r="CG1635" s="1684"/>
      <c r="CH1635" s="1684"/>
      <c r="CI1635" s="1684"/>
      <c r="CJ1635" s="1684"/>
      <c r="CK1635" s="1684"/>
      <c r="CL1635" s="1684"/>
      <c r="CM1635" s="1684"/>
      <c r="CN1635" s="1684"/>
      <c r="CO1635" s="1684"/>
    </row>
    <row r="1636" spans="1:93" s="1391" customFormat="1" ht="15" x14ac:dyDescent="0.2">
      <c r="A1636" s="1684"/>
      <c r="B1636" s="4716" t="s">
        <v>1053</v>
      </c>
      <c r="C1636" s="4711"/>
      <c r="D1636" s="4711"/>
      <c r="E1636" s="4711"/>
      <c r="F1636" s="4711"/>
      <c r="G1636" s="4711"/>
      <c r="H1636" s="4711"/>
      <c r="I1636" s="4711"/>
      <c r="J1636" s="4711"/>
      <c r="K1636" s="4711"/>
      <c r="L1636" s="4711"/>
      <c r="M1636" s="4717"/>
      <c r="N1636"/>
      <c r="O1636" s="1684"/>
      <c r="P1636" s="1684"/>
      <c r="Q1636" s="1684"/>
      <c r="R1636" s="1684"/>
      <c r="S1636" s="1684"/>
      <c r="T1636" s="1684"/>
      <c r="U1636" s="1684"/>
      <c r="V1636" s="1684"/>
      <c r="W1636" s="1684"/>
      <c r="X1636" s="1684"/>
      <c r="Y1636" s="1684"/>
      <c r="Z1636" s="1684"/>
      <c r="AA1636" s="1684"/>
      <c r="AB1636" s="1684"/>
      <c r="AC1636" s="1684"/>
      <c r="AD1636" s="1684"/>
      <c r="AE1636" s="1684"/>
      <c r="AF1636" s="1684"/>
      <c r="AG1636" s="1684"/>
      <c r="AH1636" s="1684"/>
      <c r="AI1636" s="1684"/>
      <c r="AJ1636" s="1684"/>
      <c r="AK1636" s="1684"/>
      <c r="AL1636" s="1684"/>
      <c r="AM1636" s="1684"/>
      <c r="AN1636" s="1684"/>
      <c r="AO1636" s="1684"/>
      <c r="AP1636" s="1684"/>
      <c r="AQ1636" s="1684"/>
      <c r="AR1636" s="1684"/>
      <c r="AS1636" s="1684"/>
      <c r="AT1636" s="1684"/>
      <c r="AU1636" s="1684"/>
      <c r="AV1636" s="1684"/>
      <c r="AW1636" s="1684"/>
      <c r="AX1636" s="1684"/>
      <c r="AY1636" s="1684"/>
      <c r="AZ1636" s="1684"/>
      <c r="BA1636" s="1684"/>
      <c r="BB1636" s="1684"/>
      <c r="BC1636" s="1684"/>
      <c r="BD1636" s="1684"/>
      <c r="BE1636" s="1684"/>
      <c r="BF1636" s="1684"/>
      <c r="BG1636" s="1684"/>
      <c r="BH1636" s="1684"/>
      <c r="BI1636" s="1684"/>
      <c r="BJ1636" s="1684"/>
      <c r="BK1636" s="1684"/>
      <c r="BL1636" s="1684"/>
      <c r="BM1636" s="1684"/>
      <c r="BN1636" s="1684"/>
      <c r="BO1636" s="1684"/>
      <c r="BP1636" s="1684"/>
      <c r="BQ1636" s="1684"/>
      <c r="BR1636" s="1684"/>
      <c r="BS1636" s="1684"/>
      <c r="BT1636" s="1684"/>
      <c r="BU1636" s="1684"/>
      <c r="BV1636" s="1684"/>
      <c r="BW1636" s="1684"/>
      <c r="BX1636" s="1684"/>
      <c r="BY1636" s="1684"/>
      <c r="BZ1636" s="1684"/>
      <c r="CA1636" s="1684"/>
      <c r="CB1636" s="1684"/>
      <c r="CC1636" s="1684"/>
      <c r="CD1636" s="1684"/>
      <c r="CE1636" s="1684"/>
      <c r="CF1636" s="1684"/>
      <c r="CG1636" s="1684"/>
      <c r="CH1636" s="1684"/>
      <c r="CI1636" s="1684"/>
      <c r="CJ1636" s="1684"/>
      <c r="CK1636" s="1684"/>
      <c r="CL1636" s="1684"/>
      <c r="CM1636" s="1684"/>
      <c r="CN1636" s="1684"/>
      <c r="CO1636" s="1684"/>
    </row>
    <row r="1637" spans="1:93" s="1391" customFormat="1" ht="15" x14ac:dyDescent="0.2">
      <c r="A1637" s="1684"/>
      <c r="B1637" s="2023"/>
      <c r="C1637" s="2024"/>
      <c r="D1637" s="2024">
        <v>1</v>
      </c>
      <c r="E1637" s="2024">
        <v>2</v>
      </c>
      <c r="F1637" s="2024">
        <v>3</v>
      </c>
      <c r="G1637" s="2024">
        <v>4</v>
      </c>
      <c r="H1637" s="2024">
        <v>5</v>
      </c>
      <c r="I1637" s="2024">
        <v>6</v>
      </c>
      <c r="J1637" s="2024">
        <v>7</v>
      </c>
      <c r="K1637" s="2024">
        <v>8</v>
      </c>
      <c r="L1637" s="2024">
        <v>9</v>
      </c>
      <c r="M1637" s="2025"/>
      <c r="N1637"/>
      <c r="O1637" s="1684"/>
      <c r="P1637" s="1684"/>
      <c r="Q1637" s="1684"/>
      <c r="R1637" s="1684"/>
      <c r="S1637" s="1684"/>
      <c r="T1637" s="1684"/>
      <c r="U1637" s="1684"/>
      <c r="V1637" s="1684"/>
      <c r="W1637" s="1684"/>
      <c r="X1637" s="1684"/>
      <c r="Y1637" s="1684"/>
      <c r="Z1637" s="1684"/>
      <c r="AA1637" s="1684"/>
      <c r="AB1637" s="1684"/>
      <c r="AC1637" s="1684"/>
      <c r="AD1637" s="1684"/>
      <c r="AE1637" s="1684"/>
      <c r="AF1637" s="1684"/>
      <c r="AG1637" s="1684"/>
      <c r="AH1637" s="1684"/>
      <c r="AI1637" s="1684"/>
      <c r="AJ1637" s="1684"/>
      <c r="AK1637" s="1684"/>
      <c r="AL1637" s="1684"/>
      <c r="AM1637" s="1684"/>
      <c r="AN1637" s="1684"/>
      <c r="AO1637" s="1684"/>
      <c r="AP1637" s="1684"/>
      <c r="AQ1637" s="1684"/>
      <c r="AR1637" s="1684"/>
      <c r="AS1637" s="1684"/>
      <c r="AT1637" s="1684"/>
      <c r="AU1637" s="1684"/>
      <c r="AV1637" s="1684"/>
      <c r="AW1637" s="1684"/>
      <c r="AX1637" s="1684"/>
      <c r="AY1637" s="1684"/>
      <c r="AZ1637" s="1684"/>
      <c r="BA1637" s="1684"/>
      <c r="BB1637" s="1684"/>
      <c r="BC1637" s="1684"/>
      <c r="BD1637" s="1684"/>
      <c r="BE1637" s="1684"/>
      <c r="BF1637" s="1684"/>
      <c r="BG1637" s="1684"/>
      <c r="BH1637" s="1684"/>
      <c r="BI1637" s="1684"/>
      <c r="BJ1637" s="1684"/>
      <c r="BK1637" s="1684"/>
      <c r="BL1637" s="1684"/>
      <c r="BM1637" s="1684"/>
      <c r="BN1637" s="1684"/>
      <c r="BO1637" s="1684"/>
      <c r="BP1637" s="1684"/>
      <c r="BQ1637" s="1684"/>
      <c r="BR1637" s="1684"/>
      <c r="BS1637" s="1684"/>
      <c r="BT1637" s="1684"/>
      <c r="BU1637" s="1684"/>
      <c r="BV1637" s="1684"/>
      <c r="BW1637" s="1684"/>
      <c r="BX1637" s="1684"/>
      <c r="BY1637" s="1684"/>
      <c r="BZ1637" s="1684"/>
      <c r="CA1637" s="1684"/>
      <c r="CB1637" s="1684"/>
      <c r="CC1637" s="1684"/>
      <c r="CD1637" s="1684"/>
      <c r="CE1637" s="1684"/>
      <c r="CF1637" s="1684"/>
      <c r="CG1637" s="1684"/>
      <c r="CH1637" s="1684"/>
      <c r="CI1637" s="1684"/>
      <c r="CJ1637" s="1684"/>
      <c r="CK1637" s="1684"/>
      <c r="CL1637" s="1684"/>
      <c r="CM1637" s="1684"/>
      <c r="CN1637" s="1684"/>
      <c r="CO1637" s="1684"/>
    </row>
    <row r="1638" spans="1:93" s="1391" customFormat="1" ht="15" x14ac:dyDescent="0.2">
      <c r="A1638" s="1684"/>
      <c r="B1638" s="2026">
        <v>9</v>
      </c>
      <c r="C1638" s="2027">
        <v>4.8959999999999999</v>
      </c>
      <c r="D1638" s="2027">
        <v>216</v>
      </c>
      <c r="E1638" s="2027">
        <v>234</v>
      </c>
      <c r="F1638" s="2027">
        <v>251</v>
      </c>
      <c r="G1638" s="2027">
        <v>268</v>
      </c>
      <c r="H1638" s="2027">
        <v>285</v>
      </c>
      <c r="I1638" s="2027">
        <v>302</v>
      </c>
      <c r="J1638" s="2027">
        <v>319</v>
      </c>
      <c r="K1638" s="2027">
        <v>335</v>
      </c>
      <c r="L1638" s="2027">
        <v>351</v>
      </c>
      <c r="M1638" s="2028">
        <v>41</v>
      </c>
      <c r="N1638"/>
      <c r="O1638" s="1684"/>
      <c r="P1638" s="1684"/>
      <c r="Q1638" s="1684"/>
      <c r="R1638" s="1684"/>
      <c r="S1638" s="1684"/>
      <c r="T1638" s="1684"/>
      <c r="U1638" s="1684"/>
      <c r="V1638" s="1684"/>
      <c r="W1638" s="1684"/>
      <c r="X1638" s="1684"/>
      <c r="Y1638" s="1684"/>
      <c r="Z1638" s="1684"/>
      <c r="AA1638" s="1684"/>
      <c r="AB1638" s="1684"/>
      <c r="AC1638" s="1684"/>
      <c r="AD1638" s="1684"/>
      <c r="AE1638" s="1684"/>
      <c r="AF1638" s="1684"/>
      <c r="AG1638" s="1684"/>
      <c r="AH1638" s="1684"/>
      <c r="AI1638" s="1684"/>
      <c r="AJ1638" s="1684"/>
      <c r="AK1638" s="1684"/>
      <c r="AL1638" s="1684"/>
      <c r="AM1638" s="1684"/>
      <c r="AN1638" s="1684"/>
      <c r="AO1638" s="1684"/>
      <c r="AP1638" s="1684"/>
      <c r="AQ1638" s="1684"/>
      <c r="AR1638" s="1684"/>
      <c r="AS1638" s="1684"/>
      <c r="AT1638" s="1684"/>
      <c r="AU1638" s="1684"/>
      <c r="AV1638" s="1684"/>
      <c r="AW1638" s="1684"/>
      <c r="AX1638" s="1684"/>
      <c r="AY1638" s="1684"/>
      <c r="AZ1638" s="1684"/>
      <c r="BA1638" s="1684"/>
      <c r="BB1638" s="1684"/>
      <c r="BC1638" s="1684"/>
      <c r="BD1638" s="1684"/>
      <c r="BE1638" s="1684"/>
      <c r="BF1638" s="1684"/>
      <c r="BG1638" s="1684"/>
      <c r="BH1638" s="1684"/>
      <c r="BI1638" s="1684"/>
      <c r="BJ1638" s="1684"/>
      <c r="BK1638" s="1684"/>
      <c r="BL1638" s="1684"/>
      <c r="BM1638" s="1684"/>
      <c r="BN1638" s="1684"/>
      <c r="BO1638" s="1684"/>
      <c r="BP1638" s="1684"/>
      <c r="BQ1638" s="1684"/>
      <c r="BR1638" s="1684"/>
      <c r="BS1638" s="1684"/>
      <c r="BT1638" s="1684"/>
      <c r="BU1638" s="1684"/>
      <c r="BV1638" s="1684"/>
      <c r="BW1638" s="1684"/>
      <c r="BX1638" s="1684"/>
      <c r="BY1638" s="1684"/>
      <c r="BZ1638" s="1684"/>
      <c r="CA1638" s="1684"/>
      <c r="CB1638" s="1684"/>
      <c r="CC1638" s="1684"/>
      <c r="CD1638" s="1684"/>
      <c r="CE1638" s="1684"/>
      <c r="CF1638" s="1684"/>
      <c r="CG1638" s="1684"/>
      <c r="CH1638" s="1684"/>
      <c r="CI1638" s="1684"/>
      <c r="CJ1638" s="1684"/>
      <c r="CK1638" s="1684"/>
      <c r="CL1638" s="1684"/>
      <c r="CM1638" s="1684"/>
      <c r="CN1638" s="1684"/>
      <c r="CO1638" s="1684"/>
    </row>
    <row r="1639" spans="1:93" s="1391" customFormat="1" ht="15" x14ac:dyDescent="0.2">
      <c r="A1639" s="1684"/>
      <c r="B1639" s="2026">
        <v>10</v>
      </c>
      <c r="C1639" s="2027">
        <v>5.1970000000000001</v>
      </c>
      <c r="D1639" s="2027">
        <v>239</v>
      </c>
      <c r="E1639" s="2027">
        <v>258</v>
      </c>
      <c r="F1639" s="2027">
        <v>277</v>
      </c>
      <c r="G1639" s="2027">
        <v>296</v>
      </c>
      <c r="H1639" s="2027">
        <v>314</v>
      </c>
      <c r="I1639" s="2027">
        <v>333</v>
      </c>
      <c r="J1639" s="2027">
        <v>351</v>
      </c>
      <c r="K1639" s="2027">
        <v>369</v>
      </c>
      <c r="L1639" s="2027">
        <v>386</v>
      </c>
      <c r="M1639" s="2028">
        <v>42</v>
      </c>
      <c r="N1639"/>
      <c r="O1639" s="1684"/>
      <c r="P1639" s="1684"/>
      <c r="Q1639" s="1684"/>
      <c r="R1639" s="1684"/>
      <c r="S1639" s="1684"/>
      <c r="T1639" s="1684"/>
      <c r="U1639" s="1684"/>
      <c r="V1639" s="1684"/>
      <c r="W1639" s="1684"/>
      <c r="X1639" s="1684"/>
      <c r="Y1639" s="1684"/>
      <c r="Z1639" s="1684"/>
      <c r="AA1639" s="1684"/>
      <c r="AB1639" s="1684"/>
      <c r="AC1639" s="1684"/>
      <c r="AD1639" s="1684"/>
      <c r="AE1639" s="1684"/>
      <c r="AF1639" s="1684"/>
      <c r="AG1639" s="1684"/>
      <c r="AH1639" s="1684"/>
      <c r="AI1639" s="1684"/>
      <c r="AJ1639" s="1684"/>
      <c r="AK1639" s="1684"/>
      <c r="AL1639" s="1684"/>
      <c r="AM1639" s="1684"/>
      <c r="AN1639" s="1684"/>
      <c r="AO1639" s="1684"/>
      <c r="AP1639" s="1684"/>
      <c r="AQ1639" s="1684"/>
      <c r="AR1639" s="1684"/>
      <c r="AS1639" s="1684"/>
      <c r="AT1639" s="1684"/>
      <c r="AU1639" s="1684"/>
      <c r="AV1639" s="1684"/>
      <c r="AW1639" s="1684"/>
      <c r="AX1639" s="1684"/>
      <c r="AY1639" s="1684"/>
      <c r="AZ1639" s="1684"/>
      <c r="BA1639" s="1684"/>
      <c r="BB1639" s="1684"/>
      <c r="BC1639" s="1684"/>
      <c r="BD1639" s="1684"/>
      <c r="BE1639" s="1684"/>
      <c r="BF1639" s="1684"/>
      <c r="BG1639" s="1684"/>
      <c r="BH1639" s="1684"/>
      <c r="BI1639" s="1684"/>
      <c r="BJ1639" s="1684"/>
      <c r="BK1639" s="1684"/>
      <c r="BL1639" s="1684"/>
      <c r="BM1639" s="1684"/>
      <c r="BN1639" s="1684"/>
      <c r="BO1639" s="1684"/>
      <c r="BP1639" s="1684"/>
      <c r="BQ1639" s="1684"/>
      <c r="BR1639" s="1684"/>
      <c r="BS1639" s="1684"/>
      <c r="BT1639" s="1684"/>
      <c r="BU1639" s="1684"/>
      <c r="BV1639" s="1684"/>
      <c r="BW1639" s="1684"/>
      <c r="BX1639" s="1684"/>
      <c r="BY1639" s="1684"/>
      <c r="BZ1639" s="1684"/>
      <c r="CA1639" s="1684"/>
      <c r="CB1639" s="1684"/>
      <c r="CC1639" s="1684"/>
      <c r="CD1639" s="1684"/>
      <c r="CE1639" s="1684"/>
      <c r="CF1639" s="1684"/>
      <c r="CG1639" s="1684"/>
      <c r="CH1639" s="1684"/>
      <c r="CI1639" s="1684"/>
      <c r="CJ1639" s="1684"/>
      <c r="CK1639" s="1684"/>
      <c r="CL1639" s="1684"/>
      <c r="CM1639" s="1684"/>
      <c r="CN1639" s="1684"/>
      <c r="CO1639" s="1684"/>
    </row>
    <row r="1640" spans="1:93" s="1391" customFormat="1" ht="15" x14ac:dyDescent="0.2">
      <c r="A1640" s="1684"/>
      <c r="B1640" s="2026">
        <v>11</v>
      </c>
      <c r="C1640" s="2027">
        <v>5.5430000000000001</v>
      </c>
      <c r="D1640" s="2027">
        <v>265</v>
      </c>
      <c r="E1640" s="2027">
        <v>286</v>
      </c>
      <c r="F1640" s="2027">
        <v>306</v>
      </c>
      <c r="G1640" s="2027">
        <v>327</v>
      </c>
      <c r="H1640" s="2027">
        <v>347</v>
      </c>
      <c r="I1640" s="2027">
        <v>367</v>
      </c>
      <c r="J1640" s="2027">
        <v>387</v>
      </c>
      <c r="K1640" s="2027">
        <v>406</v>
      </c>
      <c r="L1640" s="2027">
        <v>426</v>
      </c>
      <c r="M1640" s="2028">
        <v>43</v>
      </c>
      <c r="N1640"/>
      <c r="O1640" s="1684"/>
      <c r="P1640" s="1684"/>
      <c r="Q1640" s="1684"/>
      <c r="R1640" s="1684"/>
      <c r="S1640" s="1684"/>
      <c r="T1640" s="1684"/>
      <c r="U1640" s="1684"/>
      <c r="V1640" s="1684"/>
      <c r="W1640" s="1684"/>
      <c r="X1640" s="1684"/>
      <c r="Y1640" s="1684"/>
      <c r="Z1640" s="1684"/>
      <c r="AA1640" s="1684"/>
      <c r="AB1640" s="1684"/>
      <c r="AC1640" s="1684"/>
      <c r="AD1640" s="1684"/>
      <c r="AE1640" s="1684"/>
      <c r="AF1640" s="1684"/>
      <c r="AG1640" s="1684"/>
      <c r="AH1640" s="1684"/>
      <c r="AI1640" s="1684"/>
      <c r="AJ1640" s="1684"/>
      <c r="AK1640" s="1684"/>
      <c r="AL1640" s="1684"/>
      <c r="AM1640" s="1684"/>
      <c r="AN1640" s="1684"/>
      <c r="AO1640" s="1684"/>
      <c r="AP1640" s="1684"/>
      <c r="AQ1640" s="1684"/>
      <c r="AR1640" s="1684"/>
      <c r="AS1640" s="1684"/>
      <c r="AT1640" s="1684"/>
      <c r="AU1640" s="1684"/>
      <c r="AV1640" s="1684"/>
      <c r="AW1640" s="1684"/>
      <c r="AX1640" s="1684"/>
      <c r="AY1640" s="1684"/>
      <c r="AZ1640" s="1684"/>
      <c r="BA1640" s="1684"/>
      <c r="BB1640" s="1684"/>
      <c r="BC1640" s="1684"/>
      <c r="BD1640" s="1684"/>
      <c r="BE1640" s="1684"/>
      <c r="BF1640" s="1684"/>
      <c r="BG1640" s="1684"/>
      <c r="BH1640" s="1684"/>
      <c r="BI1640" s="1684"/>
      <c r="BJ1640" s="1684"/>
      <c r="BK1640" s="1684"/>
      <c r="BL1640" s="1684"/>
      <c r="BM1640" s="1684"/>
      <c r="BN1640" s="1684"/>
      <c r="BO1640" s="1684"/>
      <c r="BP1640" s="1684"/>
      <c r="BQ1640" s="1684"/>
      <c r="BR1640" s="1684"/>
      <c r="BS1640" s="1684"/>
      <c r="BT1640" s="1684"/>
      <c r="BU1640" s="1684"/>
      <c r="BV1640" s="1684"/>
      <c r="BW1640" s="1684"/>
      <c r="BX1640" s="1684"/>
      <c r="BY1640" s="1684"/>
      <c r="BZ1640" s="1684"/>
      <c r="CA1640" s="1684"/>
      <c r="CB1640" s="1684"/>
      <c r="CC1640" s="1684"/>
      <c r="CD1640" s="1684"/>
      <c r="CE1640" s="1684"/>
      <c r="CF1640" s="1684"/>
      <c r="CG1640" s="1684"/>
      <c r="CH1640" s="1684"/>
      <c r="CI1640" s="1684"/>
      <c r="CJ1640" s="1684"/>
      <c r="CK1640" s="1684"/>
      <c r="CL1640" s="1684"/>
      <c r="CM1640" s="1684"/>
      <c r="CN1640" s="1684"/>
      <c r="CO1640" s="1684"/>
    </row>
    <row r="1641" spans="1:93" s="1391" customFormat="1" ht="15" x14ac:dyDescent="0.2">
      <c r="A1641" s="1684"/>
      <c r="B1641" s="2026">
        <v>12</v>
      </c>
      <c r="C1641" s="2027">
        <v>5.9139999999999997</v>
      </c>
      <c r="D1641" s="2027">
        <v>292</v>
      </c>
      <c r="E1641" s="2027">
        <v>315</v>
      </c>
      <c r="F1641" s="2027">
        <v>337</v>
      </c>
      <c r="G1641" s="2027">
        <v>360</v>
      </c>
      <c r="H1641" s="2027">
        <v>382</v>
      </c>
      <c r="I1641" s="2027">
        <v>403</v>
      </c>
      <c r="J1641" s="2027">
        <v>425</v>
      </c>
      <c r="K1641" s="2027">
        <v>446</v>
      </c>
      <c r="L1641" s="2027">
        <v>467</v>
      </c>
      <c r="M1641" s="2028">
        <v>44</v>
      </c>
      <c r="N1641"/>
      <c r="O1641" s="1684"/>
      <c r="P1641" s="1684"/>
      <c r="Q1641" s="1684"/>
      <c r="R1641" s="1684"/>
      <c r="S1641" s="1684"/>
      <c r="T1641" s="1684"/>
      <c r="U1641" s="1684"/>
      <c r="V1641" s="1684"/>
      <c r="W1641" s="1684"/>
      <c r="X1641" s="1684"/>
      <c r="Y1641" s="1684"/>
      <c r="Z1641" s="1684"/>
      <c r="AA1641" s="1684"/>
      <c r="AB1641" s="1684"/>
      <c r="AC1641" s="1684"/>
      <c r="AD1641" s="1684"/>
      <c r="AE1641" s="1684"/>
      <c r="AF1641" s="1684"/>
      <c r="AG1641" s="1684"/>
      <c r="AH1641" s="1684"/>
      <c r="AI1641" s="1684"/>
      <c r="AJ1641" s="1684"/>
      <c r="AK1641" s="1684"/>
      <c r="AL1641" s="1684"/>
      <c r="AM1641" s="1684"/>
      <c r="AN1641" s="1684"/>
      <c r="AO1641" s="1684"/>
      <c r="AP1641" s="1684"/>
      <c r="AQ1641" s="1684"/>
      <c r="AR1641" s="1684"/>
      <c r="AS1641" s="1684"/>
      <c r="AT1641" s="1684"/>
      <c r="AU1641" s="1684"/>
      <c r="AV1641" s="1684"/>
      <c r="AW1641" s="1684"/>
      <c r="AX1641" s="1684"/>
      <c r="AY1641" s="1684"/>
      <c r="AZ1641" s="1684"/>
      <c r="BA1641" s="1684"/>
      <c r="BB1641" s="1684"/>
      <c r="BC1641" s="1684"/>
      <c r="BD1641" s="1684"/>
      <c r="BE1641" s="1684"/>
      <c r="BF1641" s="1684"/>
      <c r="BG1641" s="1684"/>
      <c r="BH1641" s="1684"/>
      <c r="BI1641" s="1684"/>
      <c r="BJ1641" s="1684"/>
      <c r="BK1641" s="1684"/>
      <c r="BL1641" s="1684"/>
      <c r="BM1641" s="1684"/>
      <c r="BN1641" s="1684"/>
      <c r="BO1641" s="1684"/>
      <c r="BP1641" s="1684"/>
      <c r="BQ1641" s="1684"/>
      <c r="BR1641" s="1684"/>
      <c r="BS1641" s="1684"/>
      <c r="BT1641" s="1684"/>
      <c r="BU1641" s="1684"/>
      <c r="BV1641" s="1684"/>
      <c r="BW1641" s="1684"/>
      <c r="BX1641" s="1684"/>
      <c r="BY1641" s="1684"/>
      <c r="BZ1641" s="1684"/>
      <c r="CA1641" s="1684"/>
      <c r="CB1641" s="1684"/>
      <c r="CC1641" s="1684"/>
      <c r="CD1641" s="1684"/>
      <c r="CE1641" s="1684"/>
      <c r="CF1641" s="1684"/>
      <c r="CG1641" s="1684"/>
      <c r="CH1641" s="1684"/>
      <c r="CI1641" s="1684"/>
      <c r="CJ1641" s="1684"/>
      <c r="CK1641" s="1684"/>
      <c r="CL1641" s="1684"/>
      <c r="CM1641" s="1684"/>
      <c r="CN1641" s="1684"/>
      <c r="CO1641" s="1684"/>
    </row>
    <row r="1642" spans="1:93" s="1391" customFormat="1" ht="15" x14ac:dyDescent="0.2">
      <c r="A1642" s="1684"/>
      <c r="B1642" s="2026">
        <v>13</v>
      </c>
      <c r="C1642" s="2027">
        <v>6.3019999999999996</v>
      </c>
      <c r="D1642" s="2027">
        <v>320</v>
      </c>
      <c r="E1642" s="2027">
        <v>345</v>
      </c>
      <c r="F1642" s="2027">
        <v>369</v>
      </c>
      <c r="G1642" s="2027">
        <v>393</v>
      </c>
      <c r="H1642" s="2027">
        <v>417</v>
      </c>
      <c r="I1642" s="2027">
        <v>440</v>
      </c>
      <c r="J1642" s="2027">
        <v>464</v>
      </c>
      <c r="K1642" s="2027">
        <v>487</v>
      </c>
      <c r="L1642" s="2027">
        <v>509</v>
      </c>
      <c r="M1642" s="2028">
        <v>45</v>
      </c>
      <c r="N1642"/>
      <c r="O1642" s="1684"/>
      <c r="P1642" s="1684"/>
      <c r="Q1642" s="1684"/>
      <c r="R1642" s="1684"/>
      <c r="S1642" s="1684"/>
      <c r="T1642" s="1684"/>
      <c r="U1642" s="1684"/>
      <c r="V1642" s="1684"/>
      <c r="W1642" s="1684"/>
      <c r="X1642" s="1684"/>
      <c r="Y1642" s="1684"/>
      <c r="Z1642" s="1684"/>
      <c r="AA1642" s="1684"/>
      <c r="AB1642" s="1684"/>
      <c r="AC1642" s="1684"/>
      <c r="AD1642" s="1684"/>
      <c r="AE1642" s="1684"/>
      <c r="AF1642" s="1684"/>
      <c r="AG1642" s="1684"/>
      <c r="AH1642" s="1684"/>
      <c r="AI1642" s="1684"/>
      <c r="AJ1642" s="1684"/>
      <c r="AK1642" s="1684"/>
      <c r="AL1642" s="1684"/>
      <c r="AM1642" s="1684"/>
      <c r="AN1642" s="1684"/>
      <c r="AO1642" s="1684"/>
      <c r="AP1642" s="1684"/>
      <c r="AQ1642" s="1684"/>
      <c r="AR1642" s="1684"/>
      <c r="AS1642" s="1684"/>
      <c r="AT1642" s="1684"/>
      <c r="AU1642" s="1684"/>
      <c r="AV1642" s="1684"/>
      <c r="AW1642" s="1684"/>
      <c r="AX1642" s="1684"/>
      <c r="AY1642" s="1684"/>
      <c r="AZ1642" s="1684"/>
      <c r="BA1642" s="1684"/>
      <c r="BB1642" s="1684"/>
      <c r="BC1642" s="1684"/>
      <c r="BD1642" s="1684"/>
      <c r="BE1642" s="1684"/>
      <c r="BF1642" s="1684"/>
      <c r="BG1642" s="1684"/>
      <c r="BH1642" s="1684"/>
      <c r="BI1642" s="1684"/>
      <c r="BJ1642" s="1684"/>
      <c r="BK1642" s="1684"/>
      <c r="BL1642" s="1684"/>
      <c r="BM1642" s="1684"/>
      <c r="BN1642" s="1684"/>
      <c r="BO1642" s="1684"/>
      <c r="BP1642" s="1684"/>
      <c r="BQ1642" s="1684"/>
      <c r="BR1642" s="1684"/>
      <c r="BS1642" s="1684"/>
      <c r="BT1642" s="1684"/>
      <c r="BU1642" s="1684"/>
      <c r="BV1642" s="1684"/>
      <c r="BW1642" s="1684"/>
      <c r="BX1642" s="1684"/>
      <c r="BY1642" s="1684"/>
      <c r="BZ1642" s="1684"/>
      <c r="CA1642" s="1684"/>
      <c r="CB1642" s="1684"/>
      <c r="CC1642" s="1684"/>
      <c r="CD1642" s="1684"/>
      <c r="CE1642" s="1684"/>
      <c r="CF1642" s="1684"/>
      <c r="CG1642" s="1684"/>
      <c r="CH1642" s="1684"/>
      <c r="CI1642" s="1684"/>
      <c r="CJ1642" s="1684"/>
      <c r="CK1642" s="1684"/>
      <c r="CL1642" s="1684"/>
      <c r="CM1642" s="1684"/>
      <c r="CN1642" s="1684"/>
      <c r="CO1642" s="1684"/>
    </row>
    <row r="1643" spans="1:93" s="1391" customFormat="1" ht="15" x14ac:dyDescent="0.2">
      <c r="A1643" s="1684"/>
      <c r="B1643" s="2026">
        <v>14</v>
      </c>
      <c r="C1643" s="2027">
        <v>6.726</v>
      </c>
      <c r="D1643" s="2027">
        <v>349</v>
      </c>
      <c r="E1643" s="2027">
        <v>376</v>
      </c>
      <c r="F1643" s="2027">
        <v>403</v>
      </c>
      <c r="G1643" s="2027">
        <v>429</v>
      </c>
      <c r="H1643" s="2027">
        <v>455</v>
      </c>
      <c r="I1643" s="2027">
        <v>480</v>
      </c>
      <c r="J1643" s="2027">
        <v>505</v>
      </c>
      <c r="K1643" s="2027">
        <v>529</v>
      </c>
      <c r="L1643" s="2027">
        <v>553</v>
      </c>
      <c r="M1643" s="2028">
        <v>46</v>
      </c>
      <c r="N1643"/>
      <c r="O1643" s="1684"/>
      <c r="P1643" s="1684"/>
      <c r="Q1643" s="1684"/>
      <c r="R1643" s="1684"/>
      <c r="S1643" s="1684"/>
      <c r="T1643" s="1684"/>
      <c r="U1643" s="1684"/>
      <c r="V1643" s="1684"/>
      <c r="W1643" s="1684"/>
      <c r="X1643" s="1684"/>
      <c r="Y1643" s="1684"/>
      <c r="Z1643" s="1684"/>
      <c r="AA1643" s="1684"/>
      <c r="AB1643" s="1684"/>
      <c r="AC1643" s="1684"/>
      <c r="AD1643" s="1684"/>
      <c r="AE1643" s="1684"/>
      <c r="AF1643" s="1684"/>
      <c r="AG1643" s="1684"/>
      <c r="AH1643" s="1684"/>
      <c r="AI1643" s="1684"/>
      <c r="AJ1643" s="1684"/>
      <c r="AK1643" s="1684"/>
      <c r="AL1643" s="1684"/>
      <c r="AM1643" s="1684"/>
      <c r="AN1643" s="1684"/>
      <c r="AO1643" s="1684"/>
      <c r="AP1643" s="1684"/>
      <c r="AQ1643" s="1684"/>
      <c r="AR1643" s="1684"/>
      <c r="AS1643" s="1684"/>
      <c r="AT1643" s="1684"/>
      <c r="AU1643" s="1684"/>
      <c r="AV1643" s="1684"/>
      <c r="AW1643" s="1684"/>
      <c r="AX1643" s="1684"/>
      <c r="AY1643" s="1684"/>
      <c r="AZ1643" s="1684"/>
      <c r="BA1643" s="1684"/>
      <c r="BB1643" s="1684"/>
      <c r="BC1643" s="1684"/>
      <c r="BD1643" s="1684"/>
      <c r="BE1643" s="1684"/>
      <c r="BF1643" s="1684"/>
      <c r="BG1643" s="1684"/>
      <c r="BH1643" s="1684"/>
      <c r="BI1643" s="1684"/>
      <c r="BJ1643" s="1684"/>
      <c r="BK1643" s="1684"/>
      <c r="BL1643" s="1684"/>
      <c r="BM1643" s="1684"/>
      <c r="BN1643" s="1684"/>
      <c r="BO1643" s="1684"/>
      <c r="BP1643" s="1684"/>
      <c r="BQ1643" s="1684"/>
      <c r="BR1643" s="1684"/>
      <c r="BS1643" s="1684"/>
      <c r="BT1643" s="1684"/>
      <c r="BU1643" s="1684"/>
      <c r="BV1643" s="1684"/>
      <c r="BW1643" s="1684"/>
      <c r="BX1643" s="1684"/>
      <c r="BY1643" s="1684"/>
      <c r="BZ1643" s="1684"/>
      <c r="CA1643" s="1684"/>
      <c r="CB1643" s="1684"/>
      <c r="CC1643" s="1684"/>
      <c r="CD1643" s="1684"/>
      <c r="CE1643" s="1684"/>
      <c r="CF1643" s="1684"/>
      <c r="CG1643" s="1684"/>
      <c r="CH1643" s="1684"/>
      <c r="CI1643" s="1684"/>
      <c r="CJ1643" s="1684"/>
      <c r="CK1643" s="1684"/>
      <c r="CL1643" s="1684"/>
      <c r="CM1643" s="1684"/>
      <c r="CN1643" s="1684"/>
      <c r="CO1643" s="1684"/>
    </row>
    <row r="1644" spans="1:93" s="1391" customFormat="1" ht="15" x14ac:dyDescent="0.2">
      <c r="A1644" s="1684"/>
      <c r="B1644" s="2026">
        <v>15</v>
      </c>
      <c r="C1644" s="2027">
        <v>7.173</v>
      </c>
      <c r="D1644" s="2027">
        <v>380</v>
      </c>
      <c r="E1644" s="2027">
        <v>409</v>
      </c>
      <c r="F1644" s="2027">
        <v>438</v>
      </c>
      <c r="G1644" s="2027">
        <v>466</v>
      </c>
      <c r="H1644" s="2027">
        <v>494</v>
      </c>
      <c r="I1644" s="2027">
        <v>520</v>
      </c>
      <c r="J1644" s="2027">
        <v>547</v>
      </c>
      <c r="K1644" s="2027">
        <v>573</v>
      </c>
      <c r="L1644" s="2027">
        <v>598</v>
      </c>
      <c r="M1644" s="2028">
        <v>47</v>
      </c>
      <c r="N1644"/>
      <c r="O1644" s="1684"/>
      <c r="P1644" s="1684"/>
      <c r="Q1644" s="1684"/>
      <c r="R1644" s="1684"/>
      <c r="S1644" s="1684"/>
      <c r="T1644" s="1684"/>
      <c r="U1644" s="1684"/>
      <c r="V1644" s="1684"/>
      <c r="W1644" s="1684"/>
      <c r="X1644" s="1684"/>
      <c r="Y1644" s="1684"/>
      <c r="Z1644" s="1684"/>
      <c r="AA1644" s="1684"/>
      <c r="AB1644" s="1684"/>
      <c r="AC1644" s="1684"/>
      <c r="AD1644" s="1684"/>
      <c r="AE1644" s="1684"/>
      <c r="AF1644" s="1684"/>
      <c r="AG1644" s="1684"/>
      <c r="AH1644" s="1684"/>
      <c r="AI1644" s="1684"/>
      <c r="AJ1644" s="1684"/>
      <c r="AK1644" s="1684"/>
      <c r="AL1644" s="1684"/>
      <c r="AM1644" s="1684"/>
      <c r="AN1644" s="1684"/>
      <c r="AO1644" s="1684"/>
      <c r="AP1644" s="1684"/>
      <c r="AQ1644" s="1684"/>
      <c r="AR1644" s="1684"/>
      <c r="AS1644" s="1684"/>
      <c r="AT1644" s="1684"/>
      <c r="AU1644" s="1684"/>
      <c r="AV1644" s="1684"/>
      <c r="AW1644" s="1684"/>
      <c r="AX1644" s="1684"/>
      <c r="AY1644" s="1684"/>
      <c r="AZ1644" s="1684"/>
      <c r="BA1644" s="1684"/>
      <c r="BB1644" s="1684"/>
      <c r="BC1644" s="1684"/>
      <c r="BD1644" s="1684"/>
      <c r="BE1644" s="1684"/>
      <c r="BF1644" s="1684"/>
      <c r="BG1644" s="1684"/>
      <c r="BH1644" s="1684"/>
      <c r="BI1644" s="1684"/>
      <c r="BJ1644" s="1684"/>
      <c r="BK1644" s="1684"/>
      <c r="BL1644" s="1684"/>
      <c r="BM1644" s="1684"/>
      <c r="BN1644" s="1684"/>
      <c r="BO1644" s="1684"/>
      <c r="BP1644" s="1684"/>
      <c r="BQ1644" s="1684"/>
      <c r="BR1644" s="1684"/>
      <c r="BS1644" s="1684"/>
      <c r="BT1644" s="1684"/>
      <c r="BU1644" s="1684"/>
      <c r="BV1644" s="1684"/>
      <c r="BW1644" s="1684"/>
      <c r="BX1644" s="1684"/>
      <c r="BY1644" s="1684"/>
      <c r="BZ1644" s="1684"/>
      <c r="CA1644" s="1684"/>
      <c r="CB1644" s="1684"/>
      <c r="CC1644" s="1684"/>
      <c r="CD1644" s="1684"/>
      <c r="CE1644" s="1684"/>
      <c r="CF1644" s="1684"/>
      <c r="CG1644" s="1684"/>
      <c r="CH1644" s="1684"/>
      <c r="CI1644" s="1684"/>
      <c r="CJ1644" s="1684"/>
      <c r="CK1644" s="1684"/>
      <c r="CL1644" s="1684"/>
      <c r="CM1644" s="1684"/>
      <c r="CN1644" s="1684"/>
      <c r="CO1644" s="1684"/>
    </row>
    <row r="1645" spans="1:93" s="1391" customFormat="1" ht="15" x14ac:dyDescent="0.2">
      <c r="A1645" s="1684"/>
      <c r="B1645" s="2026">
        <v>16</v>
      </c>
      <c r="C1645" s="2027">
        <v>7.625</v>
      </c>
      <c r="D1645" s="2027">
        <v>411</v>
      </c>
      <c r="E1645" s="2027">
        <v>442</v>
      </c>
      <c r="F1645" s="2027">
        <v>472</v>
      </c>
      <c r="G1645" s="2027">
        <v>503</v>
      </c>
      <c r="H1645" s="2027">
        <v>532</v>
      </c>
      <c r="I1645" s="2027">
        <v>560</v>
      </c>
      <c r="J1645" s="2027">
        <v>588</v>
      </c>
      <c r="K1645" s="2027">
        <v>616</v>
      </c>
      <c r="L1645" s="2027">
        <v>642</v>
      </c>
      <c r="M1645" s="2028">
        <v>48</v>
      </c>
      <c r="N1645"/>
      <c r="O1645" s="1684"/>
      <c r="P1645" s="1684"/>
      <c r="Q1645" s="1684"/>
      <c r="R1645" s="1684"/>
      <c r="S1645" s="1684"/>
      <c r="T1645" s="1684"/>
      <c r="U1645" s="1684"/>
      <c r="V1645" s="1684"/>
      <c r="W1645" s="1684"/>
      <c r="X1645" s="1684"/>
      <c r="Y1645" s="1684"/>
      <c r="Z1645" s="1684"/>
      <c r="AA1645" s="1684"/>
      <c r="AB1645" s="1684"/>
      <c r="AC1645" s="1684"/>
      <c r="AD1645" s="1684"/>
      <c r="AE1645" s="1684"/>
      <c r="AF1645" s="1684"/>
      <c r="AG1645" s="1684"/>
      <c r="AH1645" s="1684"/>
      <c r="AI1645" s="1684"/>
      <c r="AJ1645" s="1684"/>
      <c r="AK1645" s="1684"/>
      <c r="AL1645" s="1684"/>
      <c r="AM1645" s="1684"/>
      <c r="AN1645" s="1684"/>
      <c r="AO1645" s="1684"/>
      <c r="AP1645" s="1684"/>
      <c r="AQ1645" s="1684"/>
      <c r="AR1645" s="1684"/>
      <c r="AS1645" s="1684"/>
      <c r="AT1645" s="1684"/>
      <c r="AU1645" s="1684"/>
      <c r="AV1645" s="1684"/>
      <c r="AW1645" s="1684"/>
      <c r="AX1645" s="1684"/>
      <c r="AY1645" s="1684"/>
      <c r="AZ1645" s="1684"/>
      <c r="BA1645" s="1684"/>
      <c r="BB1645" s="1684"/>
      <c r="BC1645" s="1684"/>
      <c r="BD1645" s="1684"/>
      <c r="BE1645" s="1684"/>
      <c r="BF1645" s="1684"/>
      <c r="BG1645" s="1684"/>
      <c r="BH1645" s="1684"/>
      <c r="BI1645" s="1684"/>
      <c r="BJ1645" s="1684"/>
      <c r="BK1645" s="1684"/>
      <c r="BL1645" s="1684"/>
      <c r="BM1645" s="1684"/>
      <c r="BN1645" s="1684"/>
      <c r="BO1645" s="1684"/>
      <c r="BP1645" s="1684"/>
      <c r="BQ1645" s="1684"/>
      <c r="BR1645" s="1684"/>
      <c r="BS1645" s="1684"/>
      <c r="BT1645" s="1684"/>
      <c r="BU1645" s="1684"/>
      <c r="BV1645" s="1684"/>
      <c r="BW1645" s="1684"/>
      <c r="BX1645" s="1684"/>
      <c r="BY1645" s="1684"/>
      <c r="BZ1645" s="1684"/>
      <c r="CA1645" s="1684"/>
      <c r="CB1645" s="1684"/>
      <c r="CC1645" s="1684"/>
      <c r="CD1645" s="1684"/>
      <c r="CE1645" s="1684"/>
      <c r="CF1645" s="1684"/>
      <c r="CG1645" s="1684"/>
      <c r="CH1645" s="1684"/>
      <c r="CI1645" s="1684"/>
      <c r="CJ1645" s="1684"/>
      <c r="CK1645" s="1684"/>
      <c r="CL1645" s="1684"/>
      <c r="CM1645" s="1684"/>
      <c r="CN1645" s="1684"/>
      <c r="CO1645" s="1684"/>
    </row>
    <row r="1646" spans="1:93" s="1391" customFormat="1" ht="15" x14ac:dyDescent="0.2">
      <c r="A1646" s="1684"/>
      <c r="B1646" s="4716" t="s">
        <v>1054</v>
      </c>
      <c r="C1646" s="4711"/>
      <c r="D1646" s="4711"/>
      <c r="E1646" s="4711"/>
      <c r="F1646" s="4711"/>
      <c r="G1646" s="4711"/>
      <c r="H1646" s="4711"/>
      <c r="I1646" s="4711"/>
      <c r="J1646" s="4711"/>
      <c r="K1646" s="4711"/>
      <c r="L1646" s="4711"/>
      <c r="M1646" s="4717"/>
      <c r="N1646"/>
      <c r="O1646" s="1684"/>
      <c r="P1646" s="1684"/>
      <c r="Q1646" s="1684"/>
      <c r="R1646" s="1684"/>
      <c r="S1646" s="1684"/>
      <c r="T1646" s="1684"/>
      <c r="U1646" s="1684"/>
      <c r="V1646" s="1684"/>
      <c r="W1646" s="1684"/>
      <c r="X1646" s="1684"/>
      <c r="Y1646" s="1684"/>
      <c r="Z1646" s="1684"/>
      <c r="AA1646" s="1684"/>
      <c r="AB1646" s="1684"/>
      <c r="AC1646" s="1684"/>
      <c r="AD1646" s="1684"/>
      <c r="AE1646" s="1684"/>
      <c r="AF1646" s="1684"/>
      <c r="AG1646" s="1684"/>
      <c r="AH1646" s="1684"/>
      <c r="AI1646" s="1684"/>
      <c r="AJ1646" s="1684"/>
      <c r="AK1646" s="1684"/>
      <c r="AL1646" s="1684"/>
      <c r="AM1646" s="1684"/>
      <c r="AN1646" s="1684"/>
      <c r="AO1646" s="1684"/>
      <c r="AP1646" s="1684"/>
      <c r="AQ1646" s="1684"/>
      <c r="AR1646" s="1684"/>
      <c r="AS1646" s="1684"/>
      <c r="AT1646" s="1684"/>
      <c r="AU1646" s="1684"/>
      <c r="AV1646" s="1684"/>
      <c r="AW1646" s="1684"/>
      <c r="AX1646" s="1684"/>
      <c r="AY1646" s="1684"/>
      <c r="AZ1646" s="1684"/>
      <c r="BA1646" s="1684"/>
      <c r="BB1646" s="1684"/>
      <c r="BC1646" s="1684"/>
      <c r="BD1646" s="1684"/>
      <c r="BE1646" s="1684"/>
      <c r="BF1646" s="1684"/>
      <c r="BG1646" s="1684"/>
      <c r="BH1646" s="1684"/>
      <c r="BI1646" s="1684"/>
      <c r="BJ1646" s="1684"/>
      <c r="BK1646" s="1684"/>
      <c r="BL1646" s="1684"/>
      <c r="BM1646" s="1684"/>
      <c r="BN1646" s="1684"/>
      <c r="BO1646" s="1684"/>
      <c r="BP1646" s="1684"/>
      <c r="BQ1646" s="1684"/>
      <c r="BR1646" s="1684"/>
      <c r="BS1646" s="1684"/>
      <c r="BT1646" s="1684"/>
      <c r="BU1646" s="1684"/>
      <c r="BV1646" s="1684"/>
      <c r="BW1646" s="1684"/>
      <c r="BX1646" s="1684"/>
      <c r="BY1646" s="1684"/>
      <c r="BZ1646" s="1684"/>
      <c r="CA1646" s="1684"/>
      <c r="CB1646" s="1684"/>
      <c r="CC1646" s="1684"/>
      <c r="CD1646" s="1684"/>
      <c r="CE1646" s="1684"/>
      <c r="CF1646" s="1684"/>
      <c r="CG1646" s="1684"/>
      <c r="CH1646" s="1684"/>
      <c r="CI1646" s="1684"/>
      <c r="CJ1646" s="1684"/>
      <c r="CK1646" s="1684"/>
      <c r="CL1646" s="1684"/>
      <c r="CM1646" s="1684"/>
      <c r="CN1646" s="1684"/>
      <c r="CO1646" s="1684"/>
    </row>
    <row r="1647" spans="1:93" s="1391" customFormat="1" ht="15" x14ac:dyDescent="0.2">
      <c r="A1647" s="1684"/>
      <c r="B1647" s="2023"/>
      <c r="C1647" s="2024"/>
      <c r="D1647" s="2024">
        <v>1</v>
      </c>
      <c r="E1647" s="2024">
        <v>2</v>
      </c>
      <c r="F1647" s="2024">
        <v>3</v>
      </c>
      <c r="G1647" s="2024">
        <v>4</v>
      </c>
      <c r="H1647" s="2024">
        <v>5</v>
      </c>
      <c r="I1647" s="2024">
        <v>6</v>
      </c>
      <c r="J1647" s="2024">
        <v>7</v>
      </c>
      <c r="K1647" s="2024">
        <v>8</v>
      </c>
      <c r="L1647" s="2024">
        <v>9</v>
      </c>
      <c r="M1647" s="2025"/>
      <c r="N1647"/>
      <c r="O1647" s="1684"/>
      <c r="P1647" s="1684"/>
      <c r="Q1647" s="1684"/>
      <c r="R1647" s="1684"/>
      <c r="S1647" s="1684"/>
      <c r="T1647" s="1684"/>
      <c r="U1647" s="1684"/>
      <c r="V1647" s="1684"/>
      <c r="W1647" s="1684"/>
      <c r="X1647" s="1684"/>
      <c r="Y1647" s="1684"/>
      <c r="Z1647" s="1684"/>
      <c r="AA1647" s="1684"/>
      <c r="AB1647" s="1684"/>
      <c r="AC1647" s="1684"/>
      <c r="AD1647" s="1684"/>
      <c r="AE1647" s="1684"/>
      <c r="AF1647" s="1684"/>
      <c r="AG1647" s="1684"/>
      <c r="AH1647" s="1684"/>
      <c r="AI1647" s="1684"/>
      <c r="AJ1647" s="1684"/>
      <c r="AK1647" s="1684"/>
      <c r="AL1647" s="1684"/>
      <c r="AM1647" s="1684"/>
      <c r="AN1647" s="1684"/>
      <c r="AO1647" s="1684"/>
      <c r="AP1647" s="1684"/>
      <c r="AQ1647" s="1684"/>
      <c r="AR1647" s="1684"/>
      <c r="AS1647" s="1684"/>
      <c r="AT1647" s="1684"/>
      <c r="AU1647" s="1684"/>
      <c r="AV1647" s="1684"/>
      <c r="AW1647" s="1684"/>
      <c r="AX1647" s="1684"/>
      <c r="AY1647" s="1684"/>
      <c r="AZ1647" s="1684"/>
      <c r="BA1647" s="1684"/>
      <c r="BB1647" s="1684"/>
      <c r="BC1647" s="1684"/>
      <c r="BD1647" s="1684"/>
      <c r="BE1647" s="1684"/>
      <c r="BF1647" s="1684"/>
      <c r="BG1647" s="1684"/>
      <c r="BH1647" s="1684"/>
      <c r="BI1647" s="1684"/>
      <c r="BJ1647" s="1684"/>
      <c r="BK1647" s="1684"/>
      <c r="BL1647" s="1684"/>
      <c r="BM1647" s="1684"/>
      <c r="BN1647" s="1684"/>
      <c r="BO1647" s="1684"/>
      <c r="BP1647" s="1684"/>
      <c r="BQ1647" s="1684"/>
      <c r="BR1647" s="1684"/>
      <c r="BS1647" s="1684"/>
      <c r="BT1647" s="1684"/>
      <c r="BU1647" s="1684"/>
      <c r="BV1647" s="1684"/>
      <c r="BW1647" s="1684"/>
      <c r="BX1647" s="1684"/>
      <c r="BY1647" s="1684"/>
      <c r="BZ1647" s="1684"/>
      <c r="CA1647" s="1684"/>
      <c r="CB1647" s="1684"/>
      <c r="CC1647" s="1684"/>
      <c r="CD1647" s="1684"/>
      <c r="CE1647" s="1684"/>
      <c r="CF1647" s="1684"/>
      <c r="CG1647" s="1684"/>
      <c r="CH1647" s="1684"/>
      <c r="CI1647" s="1684"/>
      <c r="CJ1647" s="1684"/>
      <c r="CK1647" s="1684"/>
      <c r="CL1647" s="1684"/>
      <c r="CM1647" s="1684"/>
      <c r="CN1647" s="1684"/>
      <c r="CO1647" s="1684"/>
    </row>
    <row r="1648" spans="1:93" s="1391" customFormat="1" ht="15" x14ac:dyDescent="0.2">
      <c r="A1648" s="1684"/>
      <c r="B1648" s="2026">
        <v>9</v>
      </c>
      <c r="C1648" s="2027">
        <v>4.8959999999999999</v>
      </c>
      <c r="D1648" s="2027">
        <v>222</v>
      </c>
      <c r="E1648" s="2027">
        <v>240</v>
      </c>
      <c r="F1648" s="2027">
        <v>258</v>
      </c>
      <c r="G1648" s="2027">
        <v>275</v>
      </c>
      <c r="H1648" s="2027">
        <v>293</v>
      </c>
      <c r="I1648" s="2027">
        <v>310</v>
      </c>
      <c r="J1648" s="2027">
        <v>327</v>
      </c>
      <c r="K1648" s="2027">
        <v>343</v>
      </c>
      <c r="L1648" s="2027">
        <v>360</v>
      </c>
      <c r="M1648" s="2028">
        <v>49</v>
      </c>
      <c r="N1648"/>
      <c r="O1648" s="1684"/>
      <c r="P1648" s="1684"/>
      <c r="Q1648" s="1684"/>
      <c r="R1648" s="1684"/>
      <c r="S1648" s="1684"/>
      <c r="T1648" s="1684"/>
      <c r="U1648" s="1684"/>
      <c r="V1648" s="1684"/>
      <c r="W1648" s="1684"/>
      <c r="X1648" s="1684"/>
      <c r="Y1648" s="1684"/>
      <c r="Z1648" s="1684"/>
      <c r="AA1648" s="1684"/>
      <c r="AB1648" s="1684"/>
      <c r="AC1648" s="1684"/>
      <c r="AD1648" s="1684"/>
      <c r="AE1648" s="1684"/>
      <c r="AF1648" s="1684"/>
      <c r="AG1648" s="1684"/>
      <c r="AH1648" s="1684"/>
      <c r="AI1648" s="1684"/>
      <c r="AJ1648" s="1684"/>
      <c r="AK1648" s="1684"/>
      <c r="AL1648" s="1684"/>
      <c r="AM1648" s="1684"/>
      <c r="AN1648" s="1684"/>
      <c r="AO1648" s="1684"/>
      <c r="AP1648" s="1684"/>
      <c r="AQ1648" s="1684"/>
      <c r="AR1648" s="1684"/>
      <c r="AS1648" s="1684"/>
      <c r="AT1648" s="1684"/>
      <c r="AU1648" s="1684"/>
      <c r="AV1648" s="1684"/>
      <c r="AW1648" s="1684"/>
      <c r="AX1648" s="1684"/>
      <c r="AY1648" s="1684"/>
      <c r="AZ1648" s="1684"/>
      <c r="BA1648" s="1684"/>
      <c r="BB1648" s="1684"/>
      <c r="BC1648" s="1684"/>
      <c r="BD1648" s="1684"/>
      <c r="BE1648" s="1684"/>
      <c r="BF1648" s="1684"/>
      <c r="BG1648" s="1684"/>
      <c r="BH1648" s="1684"/>
      <c r="BI1648" s="1684"/>
      <c r="BJ1648" s="1684"/>
      <c r="BK1648" s="1684"/>
      <c r="BL1648" s="1684"/>
      <c r="BM1648" s="1684"/>
      <c r="BN1648" s="1684"/>
      <c r="BO1648" s="1684"/>
      <c r="BP1648" s="1684"/>
      <c r="BQ1648" s="1684"/>
      <c r="BR1648" s="1684"/>
      <c r="BS1648" s="1684"/>
      <c r="BT1648" s="1684"/>
      <c r="BU1648" s="1684"/>
      <c r="BV1648" s="1684"/>
      <c r="BW1648" s="1684"/>
      <c r="BX1648" s="1684"/>
      <c r="BY1648" s="1684"/>
      <c r="BZ1648" s="1684"/>
      <c r="CA1648" s="1684"/>
      <c r="CB1648" s="1684"/>
      <c r="CC1648" s="1684"/>
      <c r="CD1648" s="1684"/>
      <c r="CE1648" s="1684"/>
      <c r="CF1648" s="1684"/>
      <c r="CG1648" s="1684"/>
      <c r="CH1648" s="1684"/>
      <c r="CI1648" s="1684"/>
      <c r="CJ1648" s="1684"/>
      <c r="CK1648" s="1684"/>
      <c r="CL1648" s="1684"/>
      <c r="CM1648" s="1684"/>
      <c r="CN1648" s="1684"/>
      <c r="CO1648" s="1684"/>
    </row>
    <row r="1649" spans="1:93" s="1391" customFormat="1" ht="15" x14ac:dyDescent="0.2">
      <c r="A1649" s="1684"/>
      <c r="B1649" s="2026">
        <v>10</v>
      </c>
      <c r="C1649" s="2027">
        <v>5.1970000000000001</v>
      </c>
      <c r="D1649" s="2027">
        <v>245</v>
      </c>
      <c r="E1649" s="2027">
        <v>265</v>
      </c>
      <c r="F1649" s="2027">
        <v>284</v>
      </c>
      <c r="G1649" s="2027">
        <v>304</v>
      </c>
      <c r="H1649" s="2027">
        <v>323</v>
      </c>
      <c r="I1649" s="2027">
        <v>341</v>
      </c>
      <c r="J1649" s="2027">
        <v>360</v>
      </c>
      <c r="K1649" s="2027">
        <v>378</v>
      </c>
      <c r="L1649" s="2027">
        <v>396</v>
      </c>
      <c r="M1649" s="2028">
        <v>50</v>
      </c>
      <c r="N1649"/>
      <c r="O1649" s="1684"/>
      <c r="P1649" s="1684"/>
      <c r="Q1649" s="1684"/>
      <c r="R1649" s="1684"/>
      <c r="S1649" s="1684"/>
      <c r="T1649" s="1684"/>
      <c r="U1649" s="1684"/>
      <c r="V1649" s="1684"/>
      <c r="W1649" s="1684"/>
      <c r="X1649" s="1684"/>
      <c r="Y1649" s="1684"/>
      <c r="Z1649" s="1684"/>
      <c r="AA1649" s="1684"/>
      <c r="AB1649" s="1684"/>
      <c r="AC1649" s="1684"/>
      <c r="AD1649" s="1684"/>
      <c r="AE1649" s="1684"/>
      <c r="AF1649" s="1684"/>
      <c r="AG1649" s="1684"/>
      <c r="AH1649" s="1684"/>
      <c r="AI1649" s="1684"/>
      <c r="AJ1649" s="1684"/>
      <c r="AK1649" s="1684"/>
      <c r="AL1649" s="1684"/>
      <c r="AM1649" s="1684"/>
      <c r="AN1649" s="1684"/>
      <c r="AO1649" s="1684"/>
      <c r="AP1649" s="1684"/>
      <c r="AQ1649" s="1684"/>
      <c r="AR1649" s="1684"/>
      <c r="AS1649" s="1684"/>
      <c r="AT1649" s="1684"/>
      <c r="AU1649" s="1684"/>
      <c r="AV1649" s="1684"/>
      <c r="AW1649" s="1684"/>
      <c r="AX1649" s="1684"/>
      <c r="AY1649" s="1684"/>
      <c r="AZ1649" s="1684"/>
      <c r="BA1649" s="1684"/>
      <c r="BB1649" s="1684"/>
      <c r="BC1649" s="1684"/>
      <c r="BD1649" s="1684"/>
      <c r="BE1649" s="1684"/>
      <c r="BF1649" s="1684"/>
      <c r="BG1649" s="1684"/>
      <c r="BH1649" s="1684"/>
      <c r="BI1649" s="1684"/>
      <c r="BJ1649" s="1684"/>
      <c r="BK1649" s="1684"/>
      <c r="BL1649" s="1684"/>
      <c r="BM1649" s="1684"/>
      <c r="BN1649" s="1684"/>
      <c r="BO1649" s="1684"/>
      <c r="BP1649" s="1684"/>
      <c r="BQ1649" s="1684"/>
      <c r="BR1649" s="1684"/>
      <c r="BS1649" s="1684"/>
      <c r="BT1649" s="1684"/>
      <c r="BU1649" s="1684"/>
      <c r="BV1649" s="1684"/>
      <c r="BW1649" s="1684"/>
      <c r="BX1649" s="1684"/>
      <c r="BY1649" s="1684"/>
      <c r="BZ1649" s="1684"/>
      <c r="CA1649" s="1684"/>
      <c r="CB1649" s="1684"/>
      <c r="CC1649" s="1684"/>
      <c r="CD1649" s="1684"/>
      <c r="CE1649" s="1684"/>
      <c r="CF1649" s="1684"/>
      <c r="CG1649" s="1684"/>
      <c r="CH1649" s="1684"/>
      <c r="CI1649" s="1684"/>
      <c r="CJ1649" s="1684"/>
      <c r="CK1649" s="1684"/>
      <c r="CL1649" s="1684"/>
      <c r="CM1649" s="1684"/>
      <c r="CN1649" s="1684"/>
      <c r="CO1649" s="1684"/>
    </row>
    <row r="1650" spans="1:93" s="1391" customFormat="1" ht="15" x14ac:dyDescent="0.2">
      <c r="A1650" s="1684"/>
      <c r="B1650" s="2026">
        <v>11</v>
      </c>
      <c r="C1650" s="2027">
        <v>5.5430000000000001</v>
      </c>
      <c r="D1650" s="2027">
        <v>272</v>
      </c>
      <c r="E1650" s="2027">
        <v>293</v>
      </c>
      <c r="F1650" s="2027">
        <v>314</v>
      </c>
      <c r="G1650" s="2027">
        <v>336</v>
      </c>
      <c r="H1650" s="2027">
        <v>356</v>
      </c>
      <c r="I1650" s="2027">
        <v>377</v>
      </c>
      <c r="J1650" s="2027">
        <v>397</v>
      </c>
      <c r="K1650" s="2027">
        <v>417</v>
      </c>
      <c r="L1650" s="2027">
        <v>436</v>
      </c>
      <c r="M1650" s="2028">
        <v>51</v>
      </c>
      <c r="N1650"/>
      <c r="O1650" s="1684"/>
      <c r="P1650" s="1684"/>
      <c r="Q1650" s="1684"/>
      <c r="R1650" s="1684"/>
      <c r="S1650" s="1684"/>
      <c r="T1650" s="1684"/>
      <c r="U1650" s="1684"/>
      <c r="V1650" s="1684"/>
      <c r="W1650" s="1684"/>
      <c r="X1650" s="1684"/>
      <c r="Y1650" s="1684"/>
      <c r="Z1650" s="1684"/>
      <c r="AA1650" s="1684"/>
      <c r="AB1650" s="1684"/>
      <c r="AC1650" s="1684"/>
      <c r="AD1650" s="1684"/>
      <c r="AE1650" s="1684"/>
      <c r="AF1650" s="1684"/>
      <c r="AG1650" s="1684"/>
      <c r="AH1650" s="1684"/>
      <c r="AI1650" s="1684"/>
      <c r="AJ1650" s="1684"/>
      <c r="AK1650" s="1684"/>
      <c r="AL1650" s="1684"/>
      <c r="AM1650" s="1684"/>
      <c r="AN1650" s="1684"/>
      <c r="AO1650" s="1684"/>
      <c r="AP1650" s="1684"/>
      <c r="AQ1650" s="1684"/>
      <c r="AR1650" s="1684"/>
      <c r="AS1650" s="1684"/>
      <c r="AT1650" s="1684"/>
      <c r="AU1650" s="1684"/>
      <c r="AV1650" s="1684"/>
      <c r="AW1650" s="1684"/>
      <c r="AX1650" s="1684"/>
      <c r="AY1650" s="1684"/>
      <c r="AZ1650" s="1684"/>
      <c r="BA1650" s="1684"/>
      <c r="BB1650" s="1684"/>
      <c r="BC1650" s="1684"/>
      <c r="BD1650" s="1684"/>
      <c r="BE1650" s="1684"/>
      <c r="BF1650" s="1684"/>
      <c r="BG1650" s="1684"/>
      <c r="BH1650" s="1684"/>
      <c r="BI1650" s="1684"/>
      <c r="BJ1650" s="1684"/>
      <c r="BK1650" s="1684"/>
      <c r="BL1650" s="1684"/>
      <c r="BM1650" s="1684"/>
      <c r="BN1650" s="1684"/>
      <c r="BO1650" s="1684"/>
      <c r="BP1650" s="1684"/>
      <c r="BQ1650" s="1684"/>
      <c r="BR1650" s="1684"/>
      <c r="BS1650" s="1684"/>
      <c r="BT1650" s="1684"/>
      <c r="BU1650" s="1684"/>
      <c r="BV1650" s="1684"/>
      <c r="BW1650" s="1684"/>
      <c r="BX1650" s="1684"/>
      <c r="BY1650" s="1684"/>
      <c r="BZ1650" s="1684"/>
      <c r="CA1650" s="1684"/>
      <c r="CB1650" s="1684"/>
      <c r="CC1650" s="1684"/>
      <c r="CD1650" s="1684"/>
      <c r="CE1650" s="1684"/>
      <c r="CF1650" s="1684"/>
      <c r="CG1650" s="1684"/>
      <c r="CH1650" s="1684"/>
      <c r="CI1650" s="1684"/>
      <c r="CJ1650" s="1684"/>
      <c r="CK1650" s="1684"/>
      <c r="CL1650" s="1684"/>
      <c r="CM1650" s="1684"/>
      <c r="CN1650" s="1684"/>
      <c r="CO1650" s="1684"/>
    </row>
    <row r="1651" spans="1:93" s="1391" customFormat="1" ht="15" x14ac:dyDescent="0.2">
      <c r="A1651" s="1684"/>
      <c r="B1651" s="2026">
        <v>12</v>
      </c>
      <c r="C1651" s="2027">
        <v>5.9139999999999997</v>
      </c>
      <c r="D1651" s="2027">
        <v>300</v>
      </c>
      <c r="E1651" s="2027">
        <v>323</v>
      </c>
      <c r="F1651" s="2027">
        <v>346</v>
      </c>
      <c r="G1651" s="2027">
        <v>369</v>
      </c>
      <c r="H1651" s="2027">
        <v>392</v>
      </c>
      <c r="I1651" s="2027">
        <v>414</v>
      </c>
      <c r="J1651" s="2027">
        <v>436</v>
      </c>
      <c r="K1651" s="2027">
        <v>457</v>
      </c>
      <c r="L1651" s="2027">
        <v>478</v>
      </c>
      <c r="M1651" s="2028">
        <v>52</v>
      </c>
      <c r="N1651"/>
      <c r="O1651" s="1684"/>
      <c r="P1651" s="1684"/>
      <c r="Q1651" s="1684"/>
      <c r="R1651" s="1684"/>
      <c r="S1651" s="1684"/>
      <c r="T1651" s="1684"/>
      <c r="U1651" s="1684"/>
      <c r="V1651" s="1684"/>
      <c r="W1651" s="1684"/>
      <c r="X1651" s="1684"/>
      <c r="Y1651" s="1684"/>
      <c r="Z1651" s="1684"/>
      <c r="AA1651" s="1684"/>
      <c r="AB1651" s="1684"/>
      <c r="AC1651" s="1684"/>
      <c r="AD1651" s="1684"/>
      <c r="AE1651" s="1684"/>
      <c r="AF1651" s="1684"/>
      <c r="AG1651" s="1684"/>
      <c r="AH1651" s="1684"/>
      <c r="AI1651" s="1684"/>
      <c r="AJ1651" s="1684"/>
      <c r="AK1651" s="1684"/>
      <c r="AL1651" s="1684"/>
      <c r="AM1651" s="1684"/>
      <c r="AN1651" s="1684"/>
      <c r="AO1651" s="1684"/>
      <c r="AP1651" s="1684"/>
      <c r="AQ1651" s="1684"/>
      <c r="AR1651" s="1684"/>
      <c r="AS1651" s="1684"/>
      <c r="AT1651" s="1684"/>
      <c r="AU1651" s="1684"/>
      <c r="AV1651" s="1684"/>
      <c r="AW1651" s="1684"/>
      <c r="AX1651" s="1684"/>
      <c r="AY1651" s="1684"/>
      <c r="AZ1651" s="1684"/>
      <c r="BA1651" s="1684"/>
      <c r="BB1651" s="1684"/>
      <c r="BC1651" s="1684"/>
      <c r="BD1651" s="1684"/>
      <c r="BE1651" s="1684"/>
      <c r="BF1651" s="1684"/>
      <c r="BG1651" s="1684"/>
      <c r="BH1651" s="1684"/>
      <c r="BI1651" s="1684"/>
      <c r="BJ1651" s="1684"/>
      <c r="BK1651" s="1684"/>
      <c r="BL1651" s="1684"/>
      <c r="BM1651" s="1684"/>
      <c r="BN1651" s="1684"/>
      <c r="BO1651" s="1684"/>
      <c r="BP1651" s="1684"/>
      <c r="BQ1651" s="1684"/>
      <c r="BR1651" s="1684"/>
      <c r="BS1651" s="1684"/>
      <c r="BT1651" s="1684"/>
      <c r="BU1651" s="1684"/>
      <c r="BV1651" s="1684"/>
      <c r="BW1651" s="1684"/>
      <c r="BX1651" s="1684"/>
      <c r="BY1651" s="1684"/>
      <c r="BZ1651" s="1684"/>
      <c r="CA1651" s="1684"/>
      <c r="CB1651" s="1684"/>
      <c r="CC1651" s="1684"/>
      <c r="CD1651" s="1684"/>
      <c r="CE1651" s="1684"/>
      <c r="CF1651" s="1684"/>
      <c r="CG1651" s="1684"/>
      <c r="CH1651" s="1684"/>
      <c r="CI1651" s="1684"/>
      <c r="CJ1651" s="1684"/>
      <c r="CK1651" s="1684"/>
      <c r="CL1651" s="1684"/>
      <c r="CM1651" s="1684"/>
      <c r="CN1651" s="1684"/>
      <c r="CO1651" s="1684"/>
    </row>
    <row r="1652" spans="1:93" s="1391" customFormat="1" ht="15" x14ac:dyDescent="0.2">
      <c r="A1652" s="1684"/>
      <c r="B1652" s="2026">
        <v>13</v>
      </c>
      <c r="C1652" s="2027">
        <v>6.3019999999999996</v>
      </c>
      <c r="D1652" s="2027">
        <v>328</v>
      </c>
      <c r="E1652" s="2027">
        <v>354</v>
      </c>
      <c r="F1652" s="2027">
        <v>379</v>
      </c>
      <c r="G1652" s="2027">
        <v>404</v>
      </c>
      <c r="H1652" s="2027">
        <v>428</v>
      </c>
      <c r="I1652" s="2027">
        <v>452</v>
      </c>
      <c r="J1652" s="2027">
        <v>476</v>
      </c>
      <c r="K1652" s="2027">
        <v>499</v>
      </c>
      <c r="L1652" s="2027">
        <v>521</v>
      </c>
      <c r="M1652" s="2028">
        <v>53</v>
      </c>
      <c r="N1652"/>
      <c r="O1652" s="1684"/>
      <c r="P1652" s="1684"/>
      <c r="Q1652" s="1684"/>
      <c r="R1652" s="1684"/>
      <c r="S1652" s="1684"/>
      <c r="T1652" s="1684"/>
      <c r="U1652" s="1684"/>
      <c r="V1652" s="1684"/>
      <c r="W1652" s="1684"/>
      <c r="X1652" s="1684"/>
      <c r="Y1652" s="1684"/>
      <c r="Z1652" s="1684"/>
      <c r="AA1652" s="1684"/>
      <c r="AB1652" s="1684"/>
      <c r="AC1652" s="1684"/>
      <c r="AD1652" s="1684"/>
      <c r="AE1652" s="1684"/>
      <c r="AF1652" s="1684"/>
      <c r="AG1652" s="1684"/>
      <c r="AH1652" s="1684"/>
      <c r="AI1652" s="1684"/>
      <c r="AJ1652" s="1684"/>
      <c r="AK1652" s="1684"/>
      <c r="AL1652" s="1684"/>
      <c r="AM1652" s="1684"/>
      <c r="AN1652" s="1684"/>
      <c r="AO1652" s="1684"/>
      <c r="AP1652" s="1684"/>
      <c r="AQ1652" s="1684"/>
      <c r="AR1652" s="1684"/>
      <c r="AS1652" s="1684"/>
      <c r="AT1652" s="1684"/>
      <c r="AU1652" s="1684"/>
      <c r="AV1652" s="1684"/>
      <c r="AW1652" s="1684"/>
      <c r="AX1652" s="1684"/>
      <c r="AY1652" s="1684"/>
      <c r="AZ1652" s="1684"/>
      <c r="BA1652" s="1684"/>
      <c r="BB1652" s="1684"/>
      <c r="BC1652" s="1684"/>
      <c r="BD1652" s="1684"/>
      <c r="BE1652" s="1684"/>
      <c r="BF1652" s="1684"/>
      <c r="BG1652" s="1684"/>
      <c r="BH1652" s="1684"/>
      <c r="BI1652" s="1684"/>
      <c r="BJ1652" s="1684"/>
      <c r="BK1652" s="1684"/>
      <c r="BL1652" s="1684"/>
      <c r="BM1652" s="1684"/>
      <c r="BN1652" s="1684"/>
      <c r="BO1652" s="1684"/>
      <c r="BP1652" s="1684"/>
      <c r="BQ1652" s="1684"/>
      <c r="BR1652" s="1684"/>
      <c r="BS1652" s="1684"/>
      <c r="BT1652" s="1684"/>
      <c r="BU1652" s="1684"/>
      <c r="BV1652" s="1684"/>
      <c r="BW1652" s="1684"/>
      <c r="BX1652" s="1684"/>
      <c r="BY1652" s="1684"/>
      <c r="BZ1652" s="1684"/>
      <c r="CA1652" s="1684"/>
      <c r="CB1652" s="1684"/>
      <c r="CC1652" s="1684"/>
      <c r="CD1652" s="1684"/>
      <c r="CE1652" s="1684"/>
      <c r="CF1652" s="1684"/>
      <c r="CG1652" s="1684"/>
      <c r="CH1652" s="1684"/>
      <c r="CI1652" s="1684"/>
      <c r="CJ1652" s="1684"/>
      <c r="CK1652" s="1684"/>
      <c r="CL1652" s="1684"/>
      <c r="CM1652" s="1684"/>
      <c r="CN1652" s="1684"/>
      <c r="CO1652" s="1684"/>
    </row>
    <row r="1653" spans="1:93" s="1391" customFormat="1" ht="15" x14ac:dyDescent="0.2">
      <c r="A1653" s="1684"/>
      <c r="B1653" s="2026">
        <v>14</v>
      </c>
      <c r="C1653" s="2027">
        <v>6.726</v>
      </c>
      <c r="D1653" s="2027">
        <v>359</v>
      </c>
      <c r="E1653" s="2027">
        <v>386</v>
      </c>
      <c r="F1653" s="2027">
        <v>413</v>
      </c>
      <c r="G1653" s="2027">
        <v>440</v>
      </c>
      <c r="H1653" s="2027">
        <v>466</v>
      </c>
      <c r="I1653" s="2027">
        <v>492</v>
      </c>
      <c r="J1653" s="2027">
        <v>517</v>
      </c>
      <c r="K1653" s="2027">
        <v>542</v>
      </c>
      <c r="L1653" s="2027">
        <v>566</v>
      </c>
      <c r="M1653" s="2028">
        <v>54</v>
      </c>
      <c r="N1653"/>
      <c r="O1653" s="1684"/>
      <c r="P1653" s="1684"/>
      <c r="Q1653" s="1684"/>
      <c r="R1653" s="1684"/>
      <c r="S1653" s="1684"/>
      <c r="T1653" s="1684"/>
      <c r="U1653" s="1684"/>
      <c r="V1653" s="1684"/>
      <c r="W1653" s="1684"/>
      <c r="X1653" s="1684"/>
      <c r="Y1653" s="1684"/>
      <c r="Z1653" s="1684"/>
      <c r="AA1653" s="1684"/>
      <c r="AB1653" s="1684"/>
      <c r="AC1653" s="1684"/>
      <c r="AD1653" s="1684"/>
      <c r="AE1653" s="1684"/>
      <c r="AF1653" s="1684"/>
      <c r="AG1653" s="1684"/>
      <c r="AH1653" s="1684"/>
      <c r="AI1653" s="1684"/>
      <c r="AJ1653" s="1684"/>
      <c r="AK1653" s="1684"/>
      <c r="AL1653" s="1684"/>
      <c r="AM1653" s="1684"/>
      <c r="AN1653" s="1684"/>
      <c r="AO1653" s="1684"/>
      <c r="AP1653" s="1684"/>
      <c r="AQ1653" s="1684"/>
      <c r="AR1653" s="1684"/>
      <c r="AS1653" s="1684"/>
      <c r="AT1653" s="1684"/>
      <c r="AU1653" s="1684"/>
      <c r="AV1653" s="1684"/>
      <c r="AW1653" s="1684"/>
      <c r="AX1653" s="1684"/>
      <c r="AY1653" s="1684"/>
      <c r="AZ1653" s="1684"/>
      <c r="BA1653" s="1684"/>
      <c r="BB1653" s="1684"/>
      <c r="BC1653" s="1684"/>
      <c r="BD1653" s="1684"/>
      <c r="BE1653" s="1684"/>
      <c r="BF1653" s="1684"/>
      <c r="BG1653" s="1684"/>
      <c r="BH1653" s="1684"/>
      <c r="BI1653" s="1684"/>
      <c r="BJ1653" s="1684"/>
      <c r="BK1653" s="1684"/>
      <c r="BL1653" s="1684"/>
      <c r="BM1653" s="1684"/>
      <c r="BN1653" s="1684"/>
      <c r="BO1653" s="1684"/>
      <c r="BP1653" s="1684"/>
      <c r="BQ1653" s="1684"/>
      <c r="BR1653" s="1684"/>
      <c r="BS1653" s="1684"/>
      <c r="BT1653" s="1684"/>
      <c r="BU1653" s="1684"/>
      <c r="BV1653" s="1684"/>
      <c r="BW1653" s="1684"/>
      <c r="BX1653" s="1684"/>
      <c r="BY1653" s="1684"/>
      <c r="BZ1653" s="1684"/>
      <c r="CA1653" s="1684"/>
      <c r="CB1653" s="1684"/>
      <c r="CC1653" s="1684"/>
      <c r="CD1653" s="1684"/>
      <c r="CE1653" s="1684"/>
      <c r="CF1653" s="1684"/>
      <c r="CG1653" s="1684"/>
      <c r="CH1653" s="1684"/>
      <c r="CI1653" s="1684"/>
      <c r="CJ1653" s="1684"/>
      <c r="CK1653" s="1684"/>
      <c r="CL1653" s="1684"/>
      <c r="CM1653" s="1684"/>
      <c r="CN1653" s="1684"/>
      <c r="CO1653" s="1684"/>
    </row>
    <row r="1654" spans="1:93" s="1391" customFormat="1" ht="15" x14ac:dyDescent="0.2">
      <c r="A1654" s="1684"/>
      <c r="B1654" s="2026">
        <v>15</v>
      </c>
      <c r="C1654" s="2027">
        <v>7.173</v>
      </c>
      <c r="D1654" s="2027">
        <v>390</v>
      </c>
      <c r="E1654" s="2027">
        <v>420</v>
      </c>
      <c r="F1654" s="2027">
        <v>449</v>
      </c>
      <c r="G1654" s="2027">
        <v>478</v>
      </c>
      <c r="H1654" s="2027">
        <v>406</v>
      </c>
      <c r="I1654" s="2027">
        <v>533</v>
      </c>
      <c r="J1654" s="2027">
        <v>561</v>
      </c>
      <c r="K1654" s="2027">
        <v>587</v>
      </c>
      <c r="L1654" s="2027">
        <v>613</v>
      </c>
      <c r="M1654" s="2028">
        <v>55</v>
      </c>
      <c r="N1654"/>
      <c r="O1654" s="1684"/>
      <c r="P1654" s="1684"/>
      <c r="Q1654" s="1684"/>
      <c r="R1654" s="1684"/>
      <c r="S1654" s="1684"/>
      <c r="T1654" s="1684"/>
      <c r="U1654" s="1684"/>
      <c r="V1654" s="1684"/>
      <c r="W1654" s="1684"/>
      <c r="X1654" s="1684"/>
      <c r="Y1654" s="1684"/>
      <c r="Z1654" s="1684"/>
      <c r="AA1654" s="1684"/>
      <c r="AB1654" s="1684"/>
      <c r="AC1654" s="1684"/>
      <c r="AD1654" s="1684"/>
      <c r="AE1654" s="1684"/>
      <c r="AF1654" s="1684"/>
      <c r="AG1654" s="1684"/>
      <c r="AH1654" s="1684"/>
      <c r="AI1654" s="1684"/>
      <c r="AJ1654" s="1684"/>
      <c r="AK1654" s="1684"/>
      <c r="AL1654" s="1684"/>
      <c r="AM1654" s="1684"/>
      <c r="AN1654" s="1684"/>
      <c r="AO1654" s="1684"/>
      <c r="AP1654" s="1684"/>
      <c r="AQ1654" s="1684"/>
      <c r="AR1654" s="1684"/>
      <c r="AS1654" s="1684"/>
      <c r="AT1654" s="1684"/>
      <c r="AU1654" s="1684"/>
      <c r="AV1654" s="1684"/>
      <c r="AW1654" s="1684"/>
      <c r="AX1654" s="1684"/>
      <c r="AY1654" s="1684"/>
      <c r="AZ1654" s="1684"/>
      <c r="BA1654" s="1684"/>
      <c r="BB1654" s="1684"/>
      <c r="BC1654" s="1684"/>
      <c r="BD1654" s="1684"/>
      <c r="BE1654" s="1684"/>
      <c r="BF1654" s="1684"/>
      <c r="BG1654" s="1684"/>
      <c r="BH1654" s="1684"/>
      <c r="BI1654" s="1684"/>
      <c r="BJ1654" s="1684"/>
      <c r="BK1654" s="1684"/>
      <c r="BL1654" s="1684"/>
      <c r="BM1654" s="1684"/>
      <c r="BN1654" s="1684"/>
      <c r="BO1654" s="1684"/>
      <c r="BP1654" s="1684"/>
      <c r="BQ1654" s="1684"/>
      <c r="BR1654" s="1684"/>
      <c r="BS1654" s="1684"/>
      <c r="BT1654" s="1684"/>
      <c r="BU1654" s="1684"/>
      <c r="BV1654" s="1684"/>
      <c r="BW1654" s="1684"/>
      <c r="BX1654" s="1684"/>
      <c r="BY1654" s="1684"/>
      <c r="BZ1654" s="1684"/>
      <c r="CA1654" s="1684"/>
      <c r="CB1654" s="1684"/>
      <c r="CC1654" s="1684"/>
      <c r="CD1654" s="1684"/>
      <c r="CE1654" s="1684"/>
      <c r="CF1654" s="1684"/>
      <c r="CG1654" s="1684"/>
      <c r="CH1654" s="1684"/>
      <c r="CI1654" s="1684"/>
      <c r="CJ1654" s="1684"/>
      <c r="CK1654" s="1684"/>
      <c r="CL1654" s="1684"/>
      <c r="CM1654" s="1684"/>
      <c r="CN1654" s="1684"/>
      <c r="CO1654" s="1684"/>
    </row>
    <row r="1655" spans="1:93" s="1391" customFormat="1" ht="15" x14ac:dyDescent="0.2">
      <c r="A1655" s="1684"/>
      <c r="B1655" s="2026">
        <v>16</v>
      </c>
      <c r="C1655" s="2027">
        <v>7.625</v>
      </c>
      <c r="D1655" s="2027">
        <v>422</v>
      </c>
      <c r="E1655" s="2027">
        <v>454</v>
      </c>
      <c r="F1655" s="2027">
        <v>484</v>
      </c>
      <c r="G1655" s="2027">
        <v>515</v>
      </c>
      <c r="H1655" s="2027">
        <v>545</v>
      </c>
      <c r="I1655" s="2027">
        <v>574</v>
      </c>
      <c r="J1655" s="2027">
        <v>603</v>
      </c>
      <c r="K1655" s="2027">
        <v>631</v>
      </c>
      <c r="L1655" s="2027">
        <v>658</v>
      </c>
      <c r="M1655" s="2028">
        <v>56</v>
      </c>
      <c r="N1655"/>
      <c r="O1655" s="1684"/>
      <c r="P1655" s="1684"/>
      <c r="Q1655" s="1684"/>
      <c r="R1655" s="1684"/>
      <c r="S1655" s="1684"/>
      <c r="T1655" s="1684"/>
      <c r="U1655" s="1684"/>
      <c r="V1655" s="1684"/>
      <c r="W1655" s="1684"/>
      <c r="X1655" s="1684"/>
      <c r="Y1655" s="1684"/>
      <c r="Z1655" s="1684"/>
      <c r="AA1655" s="1684"/>
      <c r="AB1655" s="1684"/>
      <c r="AC1655" s="1684"/>
      <c r="AD1655" s="1684"/>
      <c r="AE1655" s="1684"/>
      <c r="AF1655" s="1684"/>
      <c r="AG1655" s="1684"/>
      <c r="AH1655" s="1684"/>
      <c r="AI1655" s="1684"/>
      <c r="AJ1655" s="1684"/>
      <c r="AK1655" s="1684"/>
      <c r="AL1655" s="1684"/>
      <c r="AM1655" s="1684"/>
      <c r="AN1655" s="1684"/>
      <c r="AO1655" s="1684"/>
      <c r="AP1655" s="1684"/>
      <c r="AQ1655" s="1684"/>
      <c r="AR1655" s="1684"/>
      <c r="AS1655" s="1684"/>
      <c r="AT1655" s="1684"/>
      <c r="AU1655" s="1684"/>
      <c r="AV1655" s="1684"/>
      <c r="AW1655" s="1684"/>
      <c r="AX1655" s="1684"/>
      <c r="AY1655" s="1684"/>
      <c r="AZ1655" s="1684"/>
      <c r="BA1655" s="1684"/>
      <c r="BB1655" s="1684"/>
      <c r="BC1655" s="1684"/>
      <c r="BD1655" s="1684"/>
      <c r="BE1655" s="1684"/>
      <c r="BF1655" s="1684"/>
      <c r="BG1655" s="1684"/>
      <c r="BH1655" s="1684"/>
      <c r="BI1655" s="1684"/>
      <c r="BJ1655" s="1684"/>
      <c r="BK1655" s="1684"/>
      <c r="BL1655" s="1684"/>
      <c r="BM1655" s="1684"/>
      <c r="BN1655" s="1684"/>
      <c r="BO1655" s="1684"/>
      <c r="BP1655" s="1684"/>
      <c r="BQ1655" s="1684"/>
      <c r="BR1655" s="1684"/>
      <c r="BS1655" s="1684"/>
      <c r="BT1655" s="1684"/>
      <c r="BU1655" s="1684"/>
      <c r="BV1655" s="1684"/>
      <c r="BW1655" s="1684"/>
      <c r="BX1655" s="1684"/>
      <c r="BY1655" s="1684"/>
      <c r="BZ1655" s="1684"/>
      <c r="CA1655" s="1684"/>
      <c r="CB1655" s="1684"/>
      <c r="CC1655" s="1684"/>
      <c r="CD1655" s="1684"/>
      <c r="CE1655" s="1684"/>
      <c r="CF1655" s="1684"/>
      <c r="CG1655" s="1684"/>
      <c r="CH1655" s="1684"/>
      <c r="CI1655" s="1684"/>
      <c r="CJ1655" s="1684"/>
      <c r="CK1655" s="1684"/>
      <c r="CL1655" s="1684"/>
      <c r="CM1655" s="1684"/>
      <c r="CN1655" s="1684"/>
      <c r="CO1655" s="1684"/>
    </row>
    <row r="1656" spans="1:93" s="1391" customFormat="1" ht="15" x14ac:dyDescent="0.2">
      <c r="A1656" s="1684"/>
      <c r="B1656" s="4716" t="s">
        <v>1055</v>
      </c>
      <c r="C1656" s="4711"/>
      <c r="D1656" s="4711"/>
      <c r="E1656" s="4711"/>
      <c r="F1656" s="4711"/>
      <c r="G1656" s="4711"/>
      <c r="H1656" s="4711"/>
      <c r="I1656" s="4711"/>
      <c r="J1656" s="4711"/>
      <c r="K1656" s="4711"/>
      <c r="L1656" s="4711"/>
      <c r="M1656" s="4717"/>
      <c r="N1656"/>
      <c r="O1656" s="1684"/>
      <c r="P1656" s="1684"/>
      <c r="Q1656" s="1684"/>
      <c r="R1656" s="1684"/>
      <c r="S1656" s="1684"/>
      <c r="T1656" s="1684"/>
      <c r="U1656" s="1684"/>
      <c r="V1656" s="1684"/>
      <c r="W1656" s="1684"/>
      <c r="X1656" s="1684"/>
      <c r="Y1656" s="1684"/>
      <c r="Z1656" s="1684"/>
      <c r="AA1656" s="1684"/>
      <c r="AB1656" s="1684"/>
      <c r="AC1656" s="1684"/>
      <c r="AD1656" s="1684"/>
      <c r="AE1656" s="1684"/>
      <c r="AF1656" s="1684"/>
      <c r="AG1656" s="1684"/>
      <c r="AH1656" s="1684"/>
      <c r="AI1656" s="1684"/>
      <c r="AJ1656" s="1684"/>
      <c r="AK1656" s="1684"/>
      <c r="AL1656" s="1684"/>
      <c r="AM1656" s="1684"/>
      <c r="AN1656" s="1684"/>
      <c r="AO1656" s="1684"/>
      <c r="AP1656" s="1684"/>
      <c r="AQ1656" s="1684"/>
      <c r="AR1656" s="1684"/>
      <c r="AS1656" s="1684"/>
      <c r="AT1656" s="1684"/>
      <c r="AU1656" s="1684"/>
      <c r="AV1656" s="1684"/>
      <c r="AW1656" s="1684"/>
      <c r="AX1656" s="1684"/>
      <c r="AY1656" s="1684"/>
      <c r="AZ1656" s="1684"/>
      <c r="BA1656" s="1684"/>
      <c r="BB1656" s="1684"/>
      <c r="BC1656" s="1684"/>
      <c r="BD1656" s="1684"/>
      <c r="BE1656" s="1684"/>
      <c r="BF1656" s="1684"/>
      <c r="BG1656" s="1684"/>
      <c r="BH1656" s="1684"/>
      <c r="BI1656" s="1684"/>
      <c r="BJ1656" s="1684"/>
      <c r="BK1656" s="1684"/>
      <c r="BL1656" s="1684"/>
      <c r="BM1656" s="1684"/>
      <c r="BN1656" s="1684"/>
      <c r="BO1656" s="1684"/>
      <c r="BP1656" s="1684"/>
      <c r="BQ1656" s="1684"/>
      <c r="BR1656" s="1684"/>
      <c r="BS1656" s="1684"/>
      <c r="BT1656" s="1684"/>
      <c r="BU1656" s="1684"/>
      <c r="BV1656" s="1684"/>
      <c r="BW1656" s="1684"/>
      <c r="BX1656" s="1684"/>
      <c r="BY1656" s="1684"/>
      <c r="BZ1656" s="1684"/>
      <c r="CA1656" s="1684"/>
      <c r="CB1656" s="1684"/>
      <c r="CC1656" s="1684"/>
      <c r="CD1656" s="1684"/>
      <c r="CE1656" s="1684"/>
      <c r="CF1656" s="1684"/>
      <c r="CG1656" s="1684"/>
      <c r="CH1656" s="1684"/>
      <c r="CI1656" s="1684"/>
      <c r="CJ1656" s="1684"/>
      <c r="CK1656" s="1684"/>
      <c r="CL1656" s="1684"/>
      <c r="CM1656" s="1684"/>
      <c r="CN1656" s="1684"/>
      <c r="CO1656" s="1684"/>
    </row>
    <row r="1657" spans="1:93" s="1391" customFormat="1" ht="15" x14ac:dyDescent="0.2">
      <c r="A1657" s="1684"/>
      <c r="B1657" s="2023"/>
      <c r="C1657" s="2024"/>
      <c r="D1657" s="2024">
        <v>1</v>
      </c>
      <c r="E1657" s="2024">
        <v>2</v>
      </c>
      <c r="F1657" s="2024">
        <v>3</v>
      </c>
      <c r="G1657" s="2024">
        <v>4</v>
      </c>
      <c r="H1657" s="2024">
        <v>5</v>
      </c>
      <c r="I1657" s="2024">
        <v>6</v>
      </c>
      <c r="J1657" s="2024">
        <v>7</v>
      </c>
      <c r="K1657" s="2024">
        <v>8</v>
      </c>
      <c r="L1657" s="2024">
        <v>9</v>
      </c>
      <c r="M1657" s="2025"/>
      <c r="N1657"/>
      <c r="O1657" s="1684"/>
      <c r="P1657" s="1684"/>
      <c r="Q1657" s="1684"/>
      <c r="R1657" s="1684"/>
      <c r="S1657" s="1684"/>
      <c r="T1657" s="1684"/>
      <c r="U1657" s="1684"/>
      <c r="V1657" s="1684"/>
      <c r="W1657" s="1684"/>
      <c r="X1657" s="1684"/>
      <c r="Y1657" s="1684"/>
      <c r="Z1657" s="1684"/>
      <c r="AA1657" s="1684"/>
      <c r="AB1657" s="1684"/>
      <c r="AC1657" s="1684"/>
      <c r="AD1657" s="1684"/>
      <c r="AE1657" s="1684"/>
      <c r="AF1657" s="1684"/>
      <c r="AG1657" s="1684"/>
      <c r="AH1657" s="1684"/>
      <c r="AI1657" s="1684"/>
      <c r="AJ1657" s="1684"/>
      <c r="AK1657" s="1684"/>
      <c r="AL1657" s="1684"/>
      <c r="AM1657" s="1684"/>
      <c r="AN1657" s="1684"/>
      <c r="AO1657" s="1684"/>
      <c r="AP1657" s="1684"/>
      <c r="AQ1657" s="1684"/>
      <c r="AR1657" s="1684"/>
      <c r="AS1657" s="1684"/>
      <c r="AT1657" s="1684"/>
      <c r="AU1657" s="1684"/>
      <c r="AV1657" s="1684"/>
      <c r="AW1657" s="1684"/>
      <c r="AX1657" s="1684"/>
      <c r="AY1657" s="1684"/>
      <c r="AZ1657" s="1684"/>
      <c r="BA1657" s="1684"/>
      <c r="BB1657" s="1684"/>
      <c r="BC1657" s="1684"/>
      <c r="BD1657" s="1684"/>
      <c r="BE1657" s="1684"/>
      <c r="BF1657" s="1684"/>
      <c r="BG1657" s="1684"/>
      <c r="BH1657" s="1684"/>
      <c r="BI1657" s="1684"/>
      <c r="BJ1657" s="1684"/>
      <c r="BK1657" s="1684"/>
      <c r="BL1657" s="1684"/>
      <c r="BM1657" s="1684"/>
      <c r="BN1657" s="1684"/>
      <c r="BO1657" s="1684"/>
      <c r="BP1657" s="1684"/>
      <c r="BQ1657" s="1684"/>
      <c r="BR1657" s="1684"/>
      <c r="BS1657" s="1684"/>
      <c r="BT1657" s="1684"/>
      <c r="BU1657" s="1684"/>
      <c r="BV1657" s="1684"/>
      <c r="BW1657" s="1684"/>
      <c r="BX1657" s="1684"/>
      <c r="BY1657" s="1684"/>
      <c r="BZ1657" s="1684"/>
      <c r="CA1657" s="1684"/>
      <c r="CB1657" s="1684"/>
      <c r="CC1657" s="1684"/>
      <c r="CD1657" s="1684"/>
      <c r="CE1657" s="1684"/>
      <c r="CF1657" s="1684"/>
      <c r="CG1657" s="1684"/>
      <c r="CH1657" s="1684"/>
      <c r="CI1657" s="1684"/>
      <c r="CJ1657" s="1684"/>
      <c r="CK1657" s="1684"/>
      <c r="CL1657" s="1684"/>
      <c r="CM1657" s="1684"/>
      <c r="CN1657" s="1684"/>
      <c r="CO1657" s="1684"/>
    </row>
    <row r="1658" spans="1:93" s="1391" customFormat="1" ht="15" x14ac:dyDescent="0.2">
      <c r="A1658" s="1684"/>
      <c r="B1658" s="2026">
        <v>9</v>
      </c>
      <c r="C1658" s="2027">
        <v>4.8959999999999999</v>
      </c>
      <c r="D1658" s="2027">
        <v>225</v>
      </c>
      <c r="E1658" s="2027">
        <v>244</v>
      </c>
      <c r="F1658" s="2027">
        <v>261</v>
      </c>
      <c r="G1658" s="2027">
        <v>279</v>
      </c>
      <c r="H1658" s="2027">
        <v>297</v>
      </c>
      <c r="I1658" s="2027">
        <v>314</v>
      </c>
      <c r="J1658" s="2027">
        <v>332</v>
      </c>
      <c r="K1658" s="2027">
        <v>348</v>
      </c>
      <c r="L1658" s="2027">
        <v>365</v>
      </c>
      <c r="M1658" s="2028">
        <v>57</v>
      </c>
      <c r="N1658"/>
      <c r="O1658" s="1684"/>
      <c r="P1658" s="1684"/>
      <c r="Q1658" s="1684"/>
      <c r="R1658" s="1684"/>
      <c r="S1658" s="1684"/>
      <c r="T1658" s="1684"/>
      <c r="U1658" s="1684"/>
      <c r="V1658" s="1684"/>
      <c r="W1658" s="1684"/>
      <c r="X1658" s="1684"/>
      <c r="Y1658" s="1684"/>
      <c r="Z1658" s="1684"/>
      <c r="AA1658" s="1684"/>
      <c r="AB1658" s="1684"/>
      <c r="AC1658" s="1684"/>
      <c r="AD1658" s="1684"/>
      <c r="AE1658" s="1684"/>
      <c r="AF1658" s="1684"/>
      <c r="AG1658" s="1684"/>
      <c r="AH1658" s="1684"/>
      <c r="AI1658" s="1684"/>
      <c r="AJ1658" s="1684"/>
      <c r="AK1658" s="1684"/>
      <c r="AL1658" s="1684"/>
      <c r="AM1658" s="1684"/>
      <c r="AN1658" s="1684"/>
      <c r="AO1658" s="1684"/>
      <c r="AP1658" s="1684"/>
      <c r="AQ1658" s="1684"/>
      <c r="AR1658" s="1684"/>
      <c r="AS1658" s="1684"/>
      <c r="AT1658" s="1684"/>
      <c r="AU1658" s="1684"/>
      <c r="AV1658" s="1684"/>
      <c r="AW1658" s="1684"/>
      <c r="AX1658" s="1684"/>
      <c r="AY1658" s="1684"/>
      <c r="AZ1658" s="1684"/>
      <c r="BA1658" s="1684"/>
      <c r="BB1658" s="1684"/>
      <c r="BC1658" s="1684"/>
      <c r="BD1658" s="1684"/>
      <c r="BE1658" s="1684"/>
      <c r="BF1658" s="1684"/>
      <c r="BG1658" s="1684"/>
      <c r="BH1658" s="1684"/>
      <c r="BI1658" s="1684"/>
      <c r="BJ1658" s="1684"/>
      <c r="BK1658" s="1684"/>
      <c r="BL1658" s="1684"/>
      <c r="BM1658" s="1684"/>
      <c r="BN1658" s="1684"/>
      <c r="BO1658" s="1684"/>
      <c r="BP1658" s="1684"/>
      <c r="BQ1658" s="1684"/>
      <c r="BR1658" s="1684"/>
      <c r="BS1658" s="1684"/>
      <c r="BT1658" s="1684"/>
      <c r="BU1658" s="1684"/>
      <c r="BV1658" s="1684"/>
      <c r="BW1658" s="1684"/>
      <c r="BX1658" s="1684"/>
      <c r="BY1658" s="1684"/>
      <c r="BZ1658" s="1684"/>
      <c r="CA1658" s="1684"/>
      <c r="CB1658" s="1684"/>
      <c r="CC1658" s="1684"/>
      <c r="CD1658" s="1684"/>
      <c r="CE1658" s="1684"/>
      <c r="CF1658" s="1684"/>
      <c r="CG1658" s="1684"/>
      <c r="CH1658" s="1684"/>
      <c r="CI1658" s="1684"/>
      <c r="CJ1658" s="1684"/>
      <c r="CK1658" s="1684"/>
      <c r="CL1658" s="1684"/>
      <c r="CM1658" s="1684"/>
      <c r="CN1658" s="1684"/>
      <c r="CO1658" s="1684"/>
    </row>
    <row r="1659" spans="1:93" s="1391" customFormat="1" ht="15" x14ac:dyDescent="0.2">
      <c r="A1659" s="1684"/>
      <c r="B1659" s="2026">
        <v>10</v>
      </c>
      <c r="C1659" s="2027">
        <v>5.1970000000000001</v>
      </c>
      <c r="D1659" s="2027">
        <v>249</v>
      </c>
      <c r="E1659" s="2027">
        <v>269</v>
      </c>
      <c r="F1659" s="2027">
        <v>289</v>
      </c>
      <c r="G1659" s="2027">
        <v>308</v>
      </c>
      <c r="H1659" s="2027">
        <v>327</v>
      </c>
      <c r="I1659" s="2027">
        <v>346</v>
      </c>
      <c r="J1659" s="2027">
        <v>365</v>
      </c>
      <c r="K1659" s="2027">
        <v>383</v>
      </c>
      <c r="L1659" s="2027">
        <v>402</v>
      </c>
      <c r="M1659" s="2028">
        <v>58</v>
      </c>
      <c r="N1659"/>
      <c r="O1659" s="1684"/>
      <c r="P1659" s="1684"/>
      <c r="Q1659" s="1684"/>
      <c r="R1659" s="1684"/>
      <c r="S1659" s="1684"/>
      <c r="T1659" s="1684"/>
      <c r="U1659" s="1684"/>
      <c r="V1659" s="1684"/>
      <c r="W1659" s="1684"/>
      <c r="X1659" s="1684"/>
      <c r="Y1659" s="1684"/>
      <c r="Z1659" s="1684"/>
      <c r="AA1659" s="1684"/>
      <c r="AB1659" s="1684"/>
      <c r="AC1659" s="1684"/>
      <c r="AD1659" s="1684"/>
      <c r="AE1659" s="1684"/>
      <c r="AF1659" s="1684"/>
      <c r="AG1659" s="1684"/>
      <c r="AH1659" s="1684"/>
      <c r="AI1659" s="1684"/>
      <c r="AJ1659" s="1684"/>
      <c r="AK1659" s="1684"/>
      <c r="AL1659" s="1684"/>
      <c r="AM1659" s="1684"/>
      <c r="AN1659" s="1684"/>
      <c r="AO1659" s="1684"/>
      <c r="AP1659" s="1684"/>
      <c r="AQ1659" s="1684"/>
      <c r="AR1659" s="1684"/>
      <c r="AS1659" s="1684"/>
      <c r="AT1659" s="1684"/>
      <c r="AU1659" s="1684"/>
      <c r="AV1659" s="1684"/>
      <c r="AW1659" s="1684"/>
      <c r="AX1659" s="1684"/>
      <c r="AY1659" s="1684"/>
      <c r="AZ1659" s="1684"/>
      <c r="BA1659" s="1684"/>
      <c r="BB1659" s="1684"/>
      <c r="BC1659" s="1684"/>
      <c r="BD1659" s="1684"/>
      <c r="BE1659" s="1684"/>
      <c r="BF1659" s="1684"/>
      <c r="BG1659" s="1684"/>
      <c r="BH1659" s="1684"/>
      <c r="BI1659" s="1684"/>
      <c r="BJ1659" s="1684"/>
      <c r="BK1659" s="1684"/>
      <c r="BL1659" s="1684"/>
      <c r="BM1659" s="1684"/>
      <c r="BN1659" s="1684"/>
      <c r="BO1659" s="1684"/>
      <c r="BP1659" s="1684"/>
      <c r="BQ1659" s="1684"/>
      <c r="BR1659" s="1684"/>
      <c r="BS1659" s="1684"/>
      <c r="BT1659" s="1684"/>
      <c r="BU1659" s="1684"/>
      <c r="BV1659" s="1684"/>
      <c r="BW1659" s="1684"/>
      <c r="BX1659" s="1684"/>
      <c r="BY1659" s="1684"/>
      <c r="BZ1659" s="1684"/>
      <c r="CA1659" s="1684"/>
      <c r="CB1659" s="1684"/>
      <c r="CC1659" s="1684"/>
      <c r="CD1659" s="1684"/>
      <c r="CE1659" s="1684"/>
      <c r="CF1659" s="1684"/>
      <c r="CG1659" s="1684"/>
      <c r="CH1659" s="1684"/>
      <c r="CI1659" s="1684"/>
      <c r="CJ1659" s="1684"/>
      <c r="CK1659" s="1684"/>
      <c r="CL1659" s="1684"/>
      <c r="CM1659" s="1684"/>
      <c r="CN1659" s="1684"/>
      <c r="CO1659" s="1684"/>
    </row>
    <row r="1660" spans="1:93" s="1391" customFormat="1" ht="15" x14ac:dyDescent="0.2">
      <c r="A1660" s="1684"/>
      <c r="B1660" s="2026">
        <v>11</v>
      </c>
      <c r="C1660" s="2027">
        <v>5.5430000000000001</v>
      </c>
      <c r="D1660" s="2027">
        <v>276</v>
      </c>
      <c r="E1660" s="2027">
        <v>298</v>
      </c>
      <c r="F1660" s="2027">
        <v>319</v>
      </c>
      <c r="G1660" s="2027">
        <v>341</v>
      </c>
      <c r="H1660" s="2027">
        <v>362</v>
      </c>
      <c r="I1660" s="2027">
        <v>382</v>
      </c>
      <c r="J1660" s="2027">
        <v>403</v>
      </c>
      <c r="K1660" s="2027">
        <v>423</v>
      </c>
      <c r="L1660" s="2027">
        <v>443</v>
      </c>
      <c r="M1660" s="2028">
        <v>59</v>
      </c>
      <c r="N1660"/>
      <c r="O1660" s="1684"/>
      <c r="P1660" s="1684"/>
      <c r="Q1660" s="1684"/>
      <c r="R1660" s="1684"/>
      <c r="S1660" s="1684"/>
      <c r="T1660" s="1684"/>
      <c r="U1660" s="1684"/>
      <c r="V1660" s="1684"/>
      <c r="W1660" s="1684"/>
      <c r="X1660" s="1684"/>
      <c r="Y1660" s="1684"/>
      <c r="Z1660" s="1684"/>
      <c r="AA1660" s="1684"/>
      <c r="AB1660" s="1684"/>
      <c r="AC1660" s="1684"/>
      <c r="AD1660" s="1684"/>
      <c r="AE1660" s="1684"/>
      <c r="AF1660" s="1684"/>
      <c r="AG1660" s="1684"/>
      <c r="AH1660" s="1684"/>
      <c r="AI1660" s="1684"/>
      <c r="AJ1660" s="1684"/>
      <c r="AK1660" s="1684"/>
      <c r="AL1660" s="1684"/>
      <c r="AM1660" s="1684"/>
      <c r="AN1660" s="1684"/>
      <c r="AO1660" s="1684"/>
      <c r="AP1660" s="1684"/>
      <c r="AQ1660" s="1684"/>
      <c r="AR1660" s="1684"/>
      <c r="AS1660" s="1684"/>
      <c r="AT1660" s="1684"/>
      <c r="AU1660" s="1684"/>
      <c r="AV1660" s="1684"/>
      <c r="AW1660" s="1684"/>
      <c r="AX1660" s="1684"/>
      <c r="AY1660" s="1684"/>
      <c r="AZ1660" s="1684"/>
      <c r="BA1660" s="1684"/>
      <c r="BB1660" s="1684"/>
      <c r="BC1660" s="1684"/>
      <c r="BD1660" s="1684"/>
      <c r="BE1660" s="1684"/>
      <c r="BF1660" s="1684"/>
      <c r="BG1660" s="1684"/>
      <c r="BH1660" s="1684"/>
      <c r="BI1660" s="1684"/>
      <c r="BJ1660" s="1684"/>
      <c r="BK1660" s="1684"/>
      <c r="BL1660" s="1684"/>
      <c r="BM1660" s="1684"/>
      <c r="BN1660" s="1684"/>
      <c r="BO1660" s="1684"/>
      <c r="BP1660" s="1684"/>
      <c r="BQ1660" s="1684"/>
      <c r="BR1660" s="1684"/>
      <c r="BS1660" s="1684"/>
      <c r="BT1660" s="1684"/>
      <c r="BU1660" s="1684"/>
      <c r="BV1660" s="1684"/>
      <c r="BW1660" s="1684"/>
      <c r="BX1660" s="1684"/>
      <c r="BY1660" s="1684"/>
      <c r="BZ1660" s="1684"/>
      <c r="CA1660" s="1684"/>
      <c r="CB1660" s="1684"/>
      <c r="CC1660" s="1684"/>
      <c r="CD1660" s="1684"/>
      <c r="CE1660" s="1684"/>
      <c r="CF1660" s="1684"/>
      <c r="CG1660" s="1684"/>
      <c r="CH1660" s="1684"/>
      <c r="CI1660" s="1684"/>
      <c r="CJ1660" s="1684"/>
      <c r="CK1660" s="1684"/>
      <c r="CL1660" s="1684"/>
      <c r="CM1660" s="1684"/>
      <c r="CN1660" s="1684"/>
      <c r="CO1660" s="1684"/>
    </row>
    <row r="1661" spans="1:93" s="1391" customFormat="1" ht="15" x14ac:dyDescent="0.2">
      <c r="A1661" s="1684"/>
      <c r="B1661" s="2026">
        <v>12</v>
      </c>
      <c r="C1661" s="2027">
        <v>5.9139999999999997</v>
      </c>
      <c r="D1661" s="2027">
        <v>304</v>
      </c>
      <c r="E1661" s="2027">
        <v>328</v>
      </c>
      <c r="F1661" s="2027">
        <v>351</v>
      </c>
      <c r="G1661" s="2027">
        <v>375</v>
      </c>
      <c r="H1661" s="2027">
        <v>397</v>
      </c>
      <c r="I1661" s="2027">
        <v>420</v>
      </c>
      <c r="J1661" s="2027">
        <v>442</v>
      </c>
      <c r="K1661" s="2027">
        <v>464</v>
      </c>
      <c r="L1661" s="2027">
        <v>485</v>
      </c>
      <c r="M1661" s="2028">
        <v>60</v>
      </c>
      <c r="N1661"/>
      <c r="O1661" s="1684"/>
      <c r="P1661" s="1684"/>
      <c r="Q1661" s="1684"/>
      <c r="R1661" s="1684"/>
      <c r="S1661" s="1684"/>
      <c r="T1661" s="1684"/>
      <c r="U1661" s="1684"/>
      <c r="V1661" s="1684"/>
      <c r="W1661" s="1684"/>
      <c r="X1661" s="1684"/>
      <c r="Y1661" s="1684"/>
      <c r="Z1661" s="1684"/>
      <c r="AA1661" s="1684"/>
      <c r="AB1661" s="1684"/>
      <c r="AC1661" s="1684"/>
      <c r="AD1661" s="1684"/>
      <c r="AE1661" s="1684"/>
      <c r="AF1661" s="1684"/>
      <c r="AG1661" s="1684"/>
      <c r="AH1661" s="1684"/>
      <c r="AI1661" s="1684"/>
      <c r="AJ1661" s="1684"/>
      <c r="AK1661" s="1684"/>
      <c r="AL1661" s="1684"/>
      <c r="AM1661" s="1684"/>
      <c r="AN1661" s="1684"/>
      <c r="AO1661" s="1684"/>
      <c r="AP1661" s="1684"/>
      <c r="AQ1661" s="1684"/>
      <c r="AR1661" s="1684"/>
      <c r="AS1661" s="1684"/>
      <c r="AT1661" s="1684"/>
      <c r="AU1661" s="1684"/>
      <c r="AV1661" s="1684"/>
      <c r="AW1661" s="1684"/>
      <c r="AX1661" s="1684"/>
      <c r="AY1661" s="1684"/>
      <c r="AZ1661" s="1684"/>
      <c r="BA1661" s="1684"/>
      <c r="BB1661" s="1684"/>
      <c r="BC1661" s="1684"/>
      <c r="BD1661" s="1684"/>
      <c r="BE1661" s="1684"/>
      <c r="BF1661" s="1684"/>
      <c r="BG1661" s="1684"/>
      <c r="BH1661" s="1684"/>
      <c r="BI1661" s="1684"/>
      <c r="BJ1661" s="1684"/>
      <c r="BK1661" s="1684"/>
      <c r="BL1661" s="1684"/>
      <c r="BM1661" s="1684"/>
      <c r="BN1661" s="1684"/>
      <c r="BO1661" s="1684"/>
      <c r="BP1661" s="1684"/>
      <c r="BQ1661" s="1684"/>
      <c r="BR1661" s="1684"/>
      <c r="BS1661" s="1684"/>
      <c r="BT1661" s="1684"/>
      <c r="BU1661" s="1684"/>
      <c r="BV1661" s="1684"/>
      <c r="BW1661" s="1684"/>
      <c r="BX1661" s="1684"/>
      <c r="BY1661" s="1684"/>
      <c r="BZ1661" s="1684"/>
      <c r="CA1661" s="1684"/>
      <c r="CB1661" s="1684"/>
      <c r="CC1661" s="1684"/>
      <c r="CD1661" s="1684"/>
      <c r="CE1661" s="1684"/>
      <c r="CF1661" s="1684"/>
      <c r="CG1661" s="1684"/>
      <c r="CH1661" s="1684"/>
      <c r="CI1661" s="1684"/>
      <c r="CJ1661" s="1684"/>
      <c r="CK1661" s="1684"/>
      <c r="CL1661" s="1684"/>
      <c r="CM1661" s="1684"/>
      <c r="CN1661" s="1684"/>
      <c r="CO1661" s="1684"/>
    </row>
    <row r="1662" spans="1:93" s="1391" customFormat="1" ht="15" x14ac:dyDescent="0.2">
      <c r="A1662" s="1684"/>
      <c r="B1662" s="2026">
        <v>13</v>
      </c>
      <c r="C1662" s="2027">
        <v>6.3019999999999996</v>
      </c>
      <c r="D1662" s="2027">
        <v>333</v>
      </c>
      <c r="E1662" s="2027">
        <v>359</v>
      </c>
      <c r="F1662" s="2027">
        <v>384</v>
      </c>
      <c r="G1662" s="2027">
        <v>410</v>
      </c>
      <c r="H1662" s="2027">
        <v>434</v>
      </c>
      <c r="I1662" s="2027">
        <v>458</v>
      </c>
      <c r="J1662" s="2027">
        <v>482</v>
      </c>
      <c r="K1662" s="2027">
        <v>506</v>
      </c>
      <c r="L1662" s="2027">
        <v>529</v>
      </c>
      <c r="M1662" s="2028">
        <v>61</v>
      </c>
      <c r="N1662"/>
      <c r="O1662" s="1684"/>
      <c r="P1662" s="1684"/>
      <c r="Q1662" s="1684"/>
      <c r="R1662" s="1684"/>
      <c r="S1662" s="1684"/>
      <c r="T1662" s="1684"/>
      <c r="U1662" s="1684"/>
      <c r="V1662" s="1684"/>
      <c r="W1662" s="1684"/>
      <c r="X1662" s="1684"/>
      <c r="Y1662" s="1684"/>
      <c r="Z1662" s="1684"/>
      <c r="AA1662" s="1684"/>
      <c r="AB1662" s="1684"/>
      <c r="AC1662" s="1684"/>
      <c r="AD1662" s="1684"/>
      <c r="AE1662" s="1684"/>
      <c r="AF1662" s="1684"/>
      <c r="AG1662" s="1684"/>
      <c r="AH1662" s="1684"/>
      <c r="AI1662" s="1684"/>
      <c r="AJ1662" s="1684"/>
      <c r="AK1662" s="1684"/>
      <c r="AL1662" s="1684"/>
      <c r="AM1662" s="1684"/>
      <c r="AN1662" s="1684"/>
      <c r="AO1662" s="1684"/>
      <c r="AP1662" s="1684"/>
      <c r="AQ1662" s="1684"/>
      <c r="AR1662" s="1684"/>
      <c r="AS1662" s="1684"/>
      <c r="AT1662" s="1684"/>
      <c r="AU1662" s="1684"/>
      <c r="AV1662" s="1684"/>
      <c r="AW1662" s="1684"/>
      <c r="AX1662" s="1684"/>
      <c r="AY1662" s="1684"/>
      <c r="AZ1662" s="1684"/>
      <c r="BA1662" s="1684"/>
      <c r="BB1662" s="1684"/>
      <c r="BC1662" s="1684"/>
      <c r="BD1662" s="1684"/>
      <c r="BE1662" s="1684"/>
      <c r="BF1662" s="1684"/>
      <c r="BG1662" s="1684"/>
      <c r="BH1662" s="1684"/>
      <c r="BI1662" s="1684"/>
      <c r="BJ1662" s="1684"/>
      <c r="BK1662" s="1684"/>
      <c r="BL1662" s="1684"/>
      <c r="BM1662" s="1684"/>
      <c r="BN1662" s="1684"/>
      <c r="BO1662" s="1684"/>
      <c r="BP1662" s="1684"/>
      <c r="BQ1662" s="1684"/>
      <c r="BR1662" s="1684"/>
      <c r="BS1662" s="1684"/>
      <c r="BT1662" s="1684"/>
      <c r="BU1662" s="1684"/>
      <c r="BV1662" s="1684"/>
      <c r="BW1662" s="1684"/>
      <c r="BX1662" s="1684"/>
      <c r="BY1662" s="1684"/>
      <c r="BZ1662" s="1684"/>
      <c r="CA1662" s="1684"/>
      <c r="CB1662" s="1684"/>
      <c r="CC1662" s="1684"/>
      <c r="CD1662" s="1684"/>
      <c r="CE1662" s="1684"/>
      <c r="CF1662" s="1684"/>
      <c r="CG1662" s="1684"/>
      <c r="CH1662" s="1684"/>
      <c r="CI1662" s="1684"/>
      <c r="CJ1662" s="1684"/>
      <c r="CK1662" s="1684"/>
      <c r="CL1662" s="1684"/>
      <c r="CM1662" s="1684"/>
      <c r="CN1662" s="1684"/>
      <c r="CO1662" s="1684"/>
    </row>
    <row r="1663" spans="1:93" s="1391" customFormat="1" ht="15" x14ac:dyDescent="0.2">
      <c r="A1663" s="1684"/>
      <c r="B1663" s="2026">
        <v>14</v>
      </c>
      <c r="C1663" s="2027">
        <v>6.726</v>
      </c>
      <c r="D1663" s="2027">
        <v>364</v>
      </c>
      <c r="E1663" s="2027">
        <v>392</v>
      </c>
      <c r="F1663" s="2027">
        <v>419</v>
      </c>
      <c r="G1663" s="2027">
        <v>447</v>
      </c>
      <c r="H1663" s="2027">
        <v>473</v>
      </c>
      <c r="I1663" s="2027">
        <v>499</v>
      </c>
      <c r="J1663" s="2027">
        <v>525</v>
      </c>
      <c r="K1663" s="2027">
        <v>550</v>
      </c>
      <c r="L1663" s="2027">
        <v>574</v>
      </c>
      <c r="M1663" s="2028">
        <v>62</v>
      </c>
      <c r="N1663"/>
      <c r="O1663" s="1684"/>
      <c r="P1663" s="1684"/>
      <c r="Q1663" s="1684"/>
      <c r="R1663" s="1684"/>
      <c r="S1663" s="1684"/>
      <c r="T1663" s="1684"/>
      <c r="U1663" s="1684"/>
      <c r="V1663" s="1684"/>
      <c r="W1663" s="1684"/>
      <c r="X1663" s="1684"/>
      <c r="Y1663" s="1684"/>
      <c r="Z1663" s="1684"/>
      <c r="AA1663" s="1684"/>
      <c r="AB1663" s="1684"/>
      <c r="AC1663" s="1684"/>
      <c r="AD1663" s="1684"/>
      <c r="AE1663" s="1684"/>
      <c r="AF1663" s="1684"/>
      <c r="AG1663" s="1684"/>
      <c r="AH1663" s="1684"/>
      <c r="AI1663" s="1684"/>
      <c r="AJ1663" s="1684"/>
      <c r="AK1663" s="1684"/>
      <c r="AL1663" s="1684"/>
      <c r="AM1663" s="1684"/>
      <c r="AN1663" s="1684"/>
      <c r="AO1663" s="1684"/>
      <c r="AP1663" s="1684"/>
      <c r="AQ1663" s="1684"/>
      <c r="AR1663" s="1684"/>
      <c r="AS1663" s="1684"/>
      <c r="AT1663" s="1684"/>
      <c r="AU1663" s="1684"/>
      <c r="AV1663" s="1684"/>
      <c r="AW1663" s="1684"/>
      <c r="AX1663" s="1684"/>
      <c r="AY1663" s="1684"/>
      <c r="AZ1663" s="1684"/>
      <c r="BA1663" s="1684"/>
      <c r="BB1663" s="1684"/>
      <c r="BC1663" s="1684"/>
      <c r="BD1663" s="1684"/>
      <c r="BE1663" s="1684"/>
      <c r="BF1663" s="1684"/>
      <c r="BG1663" s="1684"/>
      <c r="BH1663" s="1684"/>
      <c r="BI1663" s="1684"/>
      <c r="BJ1663" s="1684"/>
      <c r="BK1663" s="1684"/>
      <c r="BL1663" s="1684"/>
      <c r="BM1663" s="1684"/>
      <c r="BN1663" s="1684"/>
      <c r="BO1663" s="1684"/>
      <c r="BP1663" s="1684"/>
      <c r="BQ1663" s="1684"/>
      <c r="BR1663" s="1684"/>
      <c r="BS1663" s="1684"/>
      <c r="BT1663" s="1684"/>
      <c r="BU1663" s="1684"/>
      <c r="BV1663" s="1684"/>
      <c r="BW1663" s="1684"/>
      <c r="BX1663" s="1684"/>
      <c r="BY1663" s="1684"/>
      <c r="BZ1663" s="1684"/>
      <c r="CA1663" s="1684"/>
      <c r="CB1663" s="1684"/>
      <c r="CC1663" s="1684"/>
      <c r="CD1663" s="1684"/>
      <c r="CE1663" s="1684"/>
      <c r="CF1663" s="1684"/>
      <c r="CG1663" s="1684"/>
      <c r="CH1663" s="1684"/>
      <c r="CI1663" s="1684"/>
      <c r="CJ1663" s="1684"/>
      <c r="CK1663" s="1684"/>
      <c r="CL1663" s="1684"/>
      <c r="CM1663" s="1684"/>
      <c r="CN1663" s="1684"/>
      <c r="CO1663" s="1684"/>
    </row>
    <row r="1664" spans="1:93" s="1391" customFormat="1" ht="15" x14ac:dyDescent="0.2">
      <c r="A1664" s="1684"/>
      <c r="B1664" s="2026">
        <v>15</v>
      </c>
      <c r="C1664" s="2027">
        <v>7.173</v>
      </c>
      <c r="D1664" s="2027">
        <v>397</v>
      </c>
      <c r="E1664" s="2027">
        <v>426</v>
      </c>
      <c r="F1664" s="2027">
        <v>456</v>
      </c>
      <c r="G1664" s="2027">
        <v>485</v>
      </c>
      <c r="H1664" s="2027">
        <v>513</v>
      </c>
      <c r="I1664" s="2027">
        <v>541</v>
      </c>
      <c r="J1664" s="2027">
        <v>569</v>
      </c>
      <c r="K1664" s="2027">
        <v>595</v>
      </c>
      <c r="L1664" s="2027">
        <v>621</v>
      </c>
      <c r="M1664" s="2028">
        <v>63</v>
      </c>
      <c r="N1664"/>
      <c r="O1664" s="1684"/>
      <c r="P1664" s="1684"/>
      <c r="Q1664" s="1684"/>
      <c r="R1664" s="1684"/>
      <c r="S1664" s="1684"/>
      <c r="T1664" s="1684"/>
      <c r="U1664" s="1684"/>
      <c r="V1664" s="1684"/>
      <c r="W1664" s="1684"/>
      <c r="X1664" s="1684"/>
      <c r="Y1664" s="1684"/>
      <c r="Z1664" s="1684"/>
      <c r="AA1664" s="1684"/>
      <c r="AB1664" s="1684"/>
      <c r="AC1664" s="1684"/>
      <c r="AD1664" s="1684"/>
      <c r="AE1664" s="1684"/>
      <c r="AF1664" s="1684"/>
      <c r="AG1664" s="1684"/>
      <c r="AH1664" s="1684"/>
      <c r="AI1664" s="1684"/>
      <c r="AJ1664" s="1684"/>
      <c r="AK1664" s="1684"/>
      <c r="AL1664" s="1684"/>
      <c r="AM1664" s="1684"/>
      <c r="AN1664" s="1684"/>
      <c r="AO1664" s="1684"/>
      <c r="AP1664" s="1684"/>
      <c r="AQ1664" s="1684"/>
      <c r="AR1664" s="1684"/>
      <c r="AS1664" s="1684"/>
      <c r="AT1664" s="1684"/>
      <c r="AU1664" s="1684"/>
      <c r="AV1664" s="1684"/>
      <c r="AW1664" s="1684"/>
      <c r="AX1664" s="1684"/>
      <c r="AY1664" s="1684"/>
      <c r="AZ1664" s="1684"/>
      <c r="BA1664" s="1684"/>
      <c r="BB1664" s="1684"/>
      <c r="BC1664" s="1684"/>
      <c r="BD1664" s="1684"/>
      <c r="BE1664" s="1684"/>
      <c r="BF1664" s="1684"/>
      <c r="BG1664" s="1684"/>
      <c r="BH1664" s="1684"/>
      <c r="BI1664" s="1684"/>
      <c r="BJ1664" s="1684"/>
      <c r="BK1664" s="1684"/>
      <c r="BL1664" s="1684"/>
      <c r="BM1664" s="1684"/>
      <c r="BN1664" s="1684"/>
      <c r="BO1664" s="1684"/>
      <c r="BP1664" s="1684"/>
      <c r="BQ1664" s="1684"/>
      <c r="BR1664" s="1684"/>
      <c r="BS1664" s="1684"/>
      <c r="BT1664" s="1684"/>
      <c r="BU1664" s="1684"/>
      <c r="BV1664" s="1684"/>
      <c r="BW1664" s="1684"/>
      <c r="BX1664" s="1684"/>
      <c r="BY1664" s="1684"/>
      <c r="BZ1664" s="1684"/>
      <c r="CA1664" s="1684"/>
      <c r="CB1664" s="1684"/>
      <c r="CC1664" s="1684"/>
      <c r="CD1664" s="1684"/>
      <c r="CE1664" s="1684"/>
      <c r="CF1664" s="1684"/>
      <c r="CG1664" s="1684"/>
      <c r="CH1664" s="1684"/>
      <c r="CI1664" s="1684"/>
      <c r="CJ1664" s="1684"/>
      <c r="CK1664" s="1684"/>
      <c r="CL1664" s="1684"/>
      <c r="CM1664" s="1684"/>
      <c r="CN1664" s="1684"/>
      <c r="CO1664" s="1684"/>
    </row>
    <row r="1665" spans="1:93" s="1391" customFormat="1" ht="15" x14ac:dyDescent="0.2">
      <c r="A1665" s="1684"/>
      <c r="B1665" s="2026">
        <v>16</v>
      </c>
      <c r="C1665" s="2027">
        <v>7.625</v>
      </c>
      <c r="D1665" s="2027">
        <v>428</v>
      </c>
      <c r="E1665" s="2027">
        <v>460</v>
      </c>
      <c r="F1665" s="2027">
        <v>492</v>
      </c>
      <c r="G1665" s="2027">
        <v>523</v>
      </c>
      <c r="H1665" s="2027">
        <v>553</v>
      </c>
      <c r="I1665" s="2027">
        <v>582</v>
      </c>
      <c r="J1665" s="2027">
        <v>611</v>
      </c>
      <c r="K1665" s="2027">
        <v>639</v>
      </c>
      <c r="L1665" s="2027">
        <v>667</v>
      </c>
      <c r="M1665" s="2028">
        <v>64</v>
      </c>
      <c r="N1665"/>
      <c r="O1665" s="1684"/>
      <c r="P1665" s="1684"/>
      <c r="Q1665" s="1684"/>
      <c r="R1665" s="1684"/>
      <c r="S1665" s="1684"/>
      <c r="T1665" s="1684"/>
      <c r="U1665" s="1684"/>
      <c r="V1665" s="1684"/>
      <c r="W1665" s="1684"/>
      <c r="X1665" s="1684"/>
      <c r="Y1665" s="1684"/>
      <c r="Z1665" s="1684"/>
      <c r="AA1665" s="1684"/>
      <c r="AB1665" s="1684"/>
      <c r="AC1665" s="1684"/>
      <c r="AD1665" s="1684"/>
      <c r="AE1665" s="1684"/>
      <c r="AF1665" s="1684"/>
      <c r="AG1665" s="1684"/>
      <c r="AH1665" s="1684"/>
      <c r="AI1665" s="1684"/>
      <c r="AJ1665" s="1684"/>
      <c r="AK1665" s="1684"/>
      <c r="AL1665" s="1684"/>
      <c r="AM1665" s="1684"/>
      <c r="AN1665" s="1684"/>
      <c r="AO1665" s="1684"/>
      <c r="AP1665" s="1684"/>
      <c r="AQ1665" s="1684"/>
      <c r="AR1665" s="1684"/>
      <c r="AS1665" s="1684"/>
      <c r="AT1665" s="1684"/>
      <c r="AU1665" s="1684"/>
      <c r="AV1665" s="1684"/>
      <c r="AW1665" s="1684"/>
      <c r="AX1665" s="1684"/>
      <c r="AY1665" s="1684"/>
      <c r="AZ1665" s="1684"/>
      <c r="BA1665" s="1684"/>
      <c r="BB1665" s="1684"/>
      <c r="BC1665" s="1684"/>
      <c r="BD1665" s="1684"/>
      <c r="BE1665" s="1684"/>
      <c r="BF1665" s="1684"/>
      <c r="BG1665" s="1684"/>
      <c r="BH1665" s="1684"/>
      <c r="BI1665" s="1684"/>
      <c r="BJ1665" s="1684"/>
      <c r="BK1665" s="1684"/>
      <c r="BL1665" s="1684"/>
      <c r="BM1665" s="1684"/>
      <c r="BN1665" s="1684"/>
      <c r="BO1665" s="1684"/>
      <c r="BP1665" s="1684"/>
      <c r="BQ1665" s="1684"/>
      <c r="BR1665" s="1684"/>
      <c r="BS1665" s="1684"/>
      <c r="BT1665" s="1684"/>
      <c r="BU1665" s="1684"/>
      <c r="BV1665" s="1684"/>
      <c r="BW1665" s="1684"/>
      <c r="BX1665" s="1684"/>
      <c r="BY1665" s="1684"/>
      <c r="BZ1665" s="1684"/>
      <c r="CA1665" s="1684"/>
      <c r="CB1665" s="1684"/>
      <c r="CC1665" s="1684"/>
      <c r="CD1665" s="1684"/>
      <c r="CE1665" s="1684"/>
      <c r="CF1665" s="1684"/>
      <c r="CG1665" s="1684"/>
      <c r="CH1665" s="1684"/>
      <c r="CI1665" s="1684"/>
      <c r="CJ1665" s="1684"/>
      <c r="CK1665" s="1684"/>
      <c r="CL1665" s="1684"/>
      <c r="CM1665" s="1684"/>
      <c r="CN1665" s="1684"/>
      <c r="CO1665" s="1684"/>
    </row>
    <row r="1666" spans="1:93" s="1391" customFormat="1" ht="15" x14ac:dyDescent="0.2">
      <c r="A1666" s="1684"/>
      <c r="B1666" s="2026" t="s">
        <v>1825</v>
      </c>
      <c r="C1666" s="2027"/>
      <c r="D1666" s="2027"/>
      <c r="E1666" s="2027"/>
      <c r="F1666" s="2027"/>
      <c r="G1666" s="2027"/>
      <c r="H1666" s="2027"/>
      <c r="I1666" s="2027"/>
      <c r="J1666" s="2027"/>
      <c r="K1666" s="2027"/>
      <c r="L1666" s="2027"/>
      <c r="M1666" s="2028"/>
      <c r="N1666"/>
      <c r="O1666" s="1684"/>
      <c r="P1666" s="1684"/>
      <c r="Q1666" s="1684"/>
      <c r="R1666" s="1684"/>
      <c r="S1666" s="1684"/>
      <c r="T1666" s="1684"/>
      <c r="U1666" s="1684"/>
      <c r="V1666" s="1684"/>
      <c r="W1666" s="1684"/>
      <c r="X1666" s="1684"/>
      <c r="Y1666" s="1684"/>
      <c r="Z1666" s="1684"/>
      <c r="AA1666" s="1684"/>
      <c r="AB1666" s="1684"/>
      <c r="AC1666" s="1684"/>
      <c r="AD1666" s="1684"/>
      <c r="AE1666" s="1684"/>
      <c r="AF1666" s="1684"/>
      <c r="AG1666" s="1684"/>
      <c r="AH1666" s="1684"/>
      <c r="AI1666" s="1684"/>
      <c r="AJ1666" s="1684"/>
      <c r="AK1666" s="1684"/>
      <c r="AL1666" s="1684"/>
      <c r="AM1666" s="1684"/>
      <c r="AN1666" s="1684"/>
      <c r="AO1666" s="1684"/>
      <c r="AP1666" s="1684"/>
      <c r="AQ1666" s="1684"/>
      <c r="AR1666" s="1684"/>
      <c r="AS1666" s="1684"/>
      <c r="AT1666" s="1684"/>
      <c r="AU1666" s="1684"/>
      <c r="AV1666" s="1684"/>
      <c r="AW1666" s="1684"/>
      <c r="AX1666" s="1684"/>
      <c r="AY1666" s="1684"/>
      <c r="AZ1666" s="1684"/>
      <c r="BA1666" s="1684"/>
      <c r="BB1666" s="1684"/>
      <c r="BC1666" s="1684"/>
      <c r="BD1666" s="1684"/>
      <c r="BE1666" s="1684"/>
      <c r="BF1666" s="1684"/>
      <c r="BG1666" s="1684"/>
      <c r="BH1666" s="1684"/>
      <c r="BI1666" s="1684"/>
      <c r="BJ1666" s="1684"/>
      <c r="BK1666" s="1684"/>
      <c r="BL1666" s="1684"/>
      <c r="BM1666" s="1684"/>
      <c r="BN1666" s="1684"/>
      <c r="BO1666" s="1684"/>
      <c r="BP1666" s="1684"/>
      <c r="BQ1666" s="1684"/>
      <c r="BR1666" s="1684"/>
      <c r="BS1666" s="1684"/>
      <c r="BT1666" s="1684"/>
      <c r="BU1666" s="1684"/>
      <c r="BV1666" s="1684"/>
      <c r="BW1666" s="1684"/>
      <c r="BX1666" s="1684"/>
      <c r="BY1666" s="1684"/>
      <c r="BZ1666" s="1684"/>
      <c r="CA1666" s="1684"/>
      <c r="CB1666" s="1684"/>
      <c r="CC1666" s="1684"/>
      <c r="CD1666" s="1684"/>
      <c r="CE1666" s="1684"/>
      <c r="CF1666" s="1684"/>
      <c r="CG1666" s="1684"/>
      <c r="CH1666" s="1684"/>
      <c r="CI1666" s="1684"/>
      <c r="CJ1666" s="1684"/>
      <c r="CK1666" s="1684"/>
      <c r="CL1666" s="1684"/>
      <c r="CM1666" s="1684"/>
      <c r="CN1666" s="1684"/>
      <c r="CO1666" s="1684"/>
    </row>
    <row r="1667" spans="1:93" s="1391" customFormat="1" ht="15" x14ac:dyDescent="0.2">
      <c r="A1667" s="1684"/>
      <c r="B1667" s="4719" t="s">
        <v>2221</v>
      </c>
      <c r="C1667" s="4720"/>
      <c r="D1667" s="4720"/>
      <c r="E1667" s="4720"/>
      <c r="F1667" s="4720"/>
      <c r="G1667" s="4720"/>
      <c r="H1667" s="4720"/>
      <c r="I1667" s="4720"/>
      <c r="J1667" s="4720"/>
      <c r="K1667" s="4720"/>
      <c r="L1667" s="4720"/>
      <c r="M1667" s="4721"/>
      <c r="N1667"/>
      <c r="O1667" s="1684"/>
      <c r="P1667" s="1684"/>
      <c r="Q1667" s="1684"/>
      <c r="R1667" s="1684"/>
      <c r="S1667" s="1684"/>
      <c r="T1667" s="1684"/>
      <c r="U1667" s="1684"/>
      <c r="V1667" s="1684"/>
      <c r="W1667" s="1684"/>
      <c r="X1667" s="1684"/>
      <c r="Y1667" s="1684"/>
      <c r="Z1667" s="1684"/>
      <c r="AA1667" s="1684"/>
      <c r="AB1667" s="1684"/>
      <c r="AC1667" s="1684"/>
      <c r="AD1667" s="1684"/>
      <c r="AE1667" s="1684"/>
      <c r="AF1667" s="1684"/>
      <c r="AG1667" s="1684"/>
      <c r="AH1667" s="1684"/>
      <c r="AI1667" s="1684"/>
      <c r="AJ1667" s="1684"/>
      <c r="AK1667" s="1684"/>
      <c r="AL1667" s="1684"/>
      <c r="AM1667" s="1684"/>
      <c r="AN1667" s="1684"/>
      <c r="AO1667" s="1684"/>
      <c r="AP1667" s="1684"/>
      <c r="AQ1667" s="1684"/>
      <c r="AR1667" s="1684"/>
      <c r="AS1667" s="1684"/>
      <c r="AT1667" s="1684"/>
      <c r="AU1667" s="1684"/>
      <c r="AV1667" s="1684"/>
      <c r="AW1667" s="1684"/>
      <c r="AX1667" s="1684"/>
      <c r="AY1667" s="1684"/>
      <c r="AZ1667" s="1684"/>
      <c r="BA1667" s="1684"/>
      <c r="BB1667" s="1684"/>
      <c r="BC1667" s="1684"/>
      <c r="BD1667" s="1684"/>
      <c r="BE1667" s="1684"/>
      <c r="BF1667" s="1684"/>
      <c r="BG1667" s="1684"/>
      <c r="BH1667" s="1684"/>
      <c r="BI1667" s="1684"/>
      <c r="BJ1667" s="1684"/>
      <c r="BK1667" s="1684"/>
      <c r="BL1667" s="1684"/>
      <c r="BM1667" s="1684"/>
      <c r="BN1667" s="1684"/>
      <c r="BO1667" s="1684"/>
      <c r="BP1667" s="1684"/>
      <c r="BQ1667" s="1684"/>
      <c r="BR1667" s="1684"/>
      <c r="BS1667" s="1684"/>
      <c r="BT1667" s="1684"/>
      <c r="BU1667" s="1684"/>
      <c r="BV1667" s="1684"/>
      <c r="BW1667" s="1684"/>
      <c r="BX1667" s="1684"/>
      <c r="BY1667" s="1684"/>
      <c r="BZ1667" s="1684"/>
      <c r="CA1667" s="1684"/>
      <c r="CB1667" s="1684"/>
      <c r="CC1667" s="1684"/>
      <c r="CD1667" s="1684"/>
      <c r="CE1667" s="1684"/>
      <c r="CF1667" s="1684"/>
      <c r="CG1667" s="1684"/>
      <c r="CH1667" s="1684"/>
      <c r="CI1667" s="1684"/>
      <c r="CJ1667" s="1684"/>
      <c r="CK1667" s="1684"/>
      <c r="CL1667" s="1684"/>
      <c r="CM1667" s="1684"/>
      <c r="CN1667" s="1684"/>
      <c r="CO1667" s="1684"/>
    </row>
    <row r="1668" spans="1:93" s="1391" customFormat="1" ht="15" x14ac:dyDescent="0.2">
      <c r="A1668" s="1684"/>
      <c r="B1668" s="4704" t="s">
        <v>3944</v>
      </c>
      <c r="C1668" s="4707" t="s">
        <v>1042</v>
      </c>
      <c r="D1668" s="4710" t="s">
        <v>608</v>
      </c>
      <c r="E1668" s="4711"/>
      <c r="F1668" s="4711"/>
      <c r="G1668" s="4711"/>
      <c r="H1668" s="4711"/>
      <c r="I1668" s="4711"/>
      <c r="J1668" s="4711"/>
      <c r="K1668" s="4711"/>
      <c r="L1668" s="4712"/>
      <c r="M1668" s="4713" t="s">
        <v>2490</v>
      </c>
      <c r="N1668"/>
      <c r="O1668" s="1684"/>
      <c r="P1668" s="1684"/>
      <c r="Q1668" s="1684"/>
      <c r="R1668" s="1684"/>
      <c r="S1668" s="1684"/>
      <c r="T1668" s="1684"/>
      <c r="U1668" s="1684"/>
      <c r="V1668" s="1684"/>
      <c r="W1668" s="1684"/>
      <c r="X1668" s="1684"/>
      <c r="Y1668" s="1684"/>
      <c r="Z1668" s="1684"/>
      <c r="AA1668" s="1684"/>
      <c r="AB1668" s="1684"/>
      <c r="AC1668" s="1684"/>
      <c r="AD1668" s="1684"/>
      <c r="AE1668" s="1684"/>
      <c r="AF1668" s="1684"/>
      <c r="AG1668" s="1684"/>
      <c r="AH1668" s="1684"/>
      <c r="AI1668" s="1684"/>
      <c r="AJ1668" s="1684"/>
      <c r="AK1668" s="1684"/>
      <c r="AL1668" s="1684"/>
      <c r="AM1668" s="1684"/>
      <c r="AN1668" s="1684"/>
      <c r="AO1668" s="1684"/>
      <c r="AP1668" s="1684"/>
      <c r="AQ1668" s="1684"/>
      <c r="AR1668" s="1684"/>
      <c r="AS1668" s="1684"/>
      <c r="AT1668" s="1684"/>
      <c r="AU1668" s="1684"/>
      <c r="AV1668" s="1684"/>
      <c r="AW1668" s="1684"/>
      <c r="AX1668" s="1684"/>
      <c r="AY1668" s="1684"/>
      <c r="AZ1668" s="1684"/>
      <c r="BA1668" s="1684"/>
      <c r="BB1668" s="1684"/>
      <c r="BC1668" s="1684"/>
      <c r="BD1668" s="1684"/>
      <c r="BE1668" s="1684"/>
      <c r="BF1668" s="1684"/>
      <c r="BG1668" s="1684"/>
      <c r="BH1668" s="1684"/>
      <c r="BI1668" s="1684"/>
      <c r="BJ1668" s="1684"/>
      <c r="BK1668" s="1684"/>
      <c r="BL1668" s="1684"/>
      <c r="BM1668" s="1684"/>
      <c r="BN1668" s="1684"/>
      <c r="BO1668" s="1684"/>
      <c r="BP1668" s="1684"/>
      <c r="BQ1668" s="1684"/>
      <c r="BR1668" s="1684"/>
      <c r="BS1668" s="1684"/>
      <c r="BT1668" s="1684"/>
      <c r="BU1668" s="1684"/>
      <c r="BV1668" s="1684"/>
      <c r="BW1668" s="1684"/>
      <c r="BX1668" s="1684"/>
      <c r="BY1668" s="1684"/>
      <c r="BZ1668" s="1684"/>
      <c r="CA1668" s="1684"/>
      <c r="CB1668" s="1684"/>
      <c r="CC1668" s="1684"/>
      <c r="CD1668" s="1684"/>
      <c r="CE1668" s="1684"/>
      <c r="CF1668" s="1684"/>
      <c r="CG1668" s="1684"/>
      <c r="CH1668" s="1684"/>
      <c r="CI1668" s="1684"/>
      <c r="CJ1668" s="1684"/>
      <c r="CK1668" s="1684"/>
      <c r="CL1668" s="1684"/>
      <c r="CM1668" s="1684"/>
      <c r="CN1668" s="1684"/>
      <c r="CO1668" s="1684"/>
    </row>
    <row r="1669" spans="1:93" s="1391" customFormat="1" ht="54.75" x14ac:dyDescent="0.2">
      <c r="A1669" s="1684"/>
      <c r="B1669" s="4705"/>
      <c r="C1669" s="4708"/>
      <c r="D1669" s="2022" t="s">
        <v>1043</v>
      </c>
      <c r="E1669" s="2022" t="s">
        <v>1044</v>
      </c>
      <c r="F1669" s="2022" t="s">
        <v>1045</v>
      </c>
      <c r="G1669" s="2022" t="s">
        <v>1046</v>
      </c>
      <c r="H1669" s="2022" t="s">
        <v>1047</v>
      </c>
      <c r="I1669" s="2022" t="s">
        <v>1048</v>
      </c>
      <c r="J1669" s="2022" t="s">
        <v>1049</v>
      </c>
      <c r="K1669" s="2022" t="s">
        <v>1050</v>
      </c>
      <c r="L1669" s="2022" t="s">
        <v>1051</v>
      </c>
      <c r="M1669" s="4714"/>
      <c r="N1669"/>
      <c r="O1669" s="1684"/>
      <c r="P1669" s="1684"/>
      <c r="Q1669" s="1684"/>
      <c r="R1669" s="1684"/>
      <c r="S1669" s="1684"/>
      <c r="T1669" s="1684"/>
      <c r="U1669" s="1684"/>
      <c r="V1669" s="1684"/>
      <c r="W1669" s="1684"/>
      <c r="X1669" s="1684"/>
      <c r="Y1669" s="1684"/>
      <c r="Z1669" s="1684"/>
      <c r="AA1669" s="1684"/>
      <c r="AB1669" s="1684"/>
      <c r="AC1669" s="1684"/>
      <c r="AD1669" s="1684"/>
      <c r="AE1669" s="1684"/>
      <c r="AF1669" s="1684"/>
      <c r="AG1669" s="1684"/>
      <c r="AH1669" s="1684"/>
      <c r="AI1669" s="1684"/>
      <c r="AJ1669" s="1684"/>
      <c r="AK1669" s="1684"/>
      <c r="AL1669" s="1684"/>
      <c r="AM1669" s="1684"/>
      <c r="AN1669" s="1684"/>
      <c r="AO1669" s="1684"/>
      <c r="AP1669" s="1684"/>
      <c r="AQ1669" s="1684"/>
      <c r="AR1669" s="1684"/>
      <c r="AS1669" s="1684"/>
      <c r="AT1669" s="1684"/>
      <c r="AU1669" s="1684"/>
      <c r="AV1669" s="1684"/>
      <c r="AW1669" s="1684"/>
      <c r="AX1669" s="1684"/>
      <c r="AY1669" s="1684"/>
      <c r="AZ1669" s="1684"/>
      <c r="BA1669" s="1684"/>
      <c r="BB1669" s="1684"/>
      <c r="BC1669" s="1684"/>
      <c r="BD1669" s="1684"/>
      <c r="BE1669" s="1684"/>
      <c r="BF1669" s="1684"/>
      <c r="BG1669" s="1684"/>
      <c r="BH1669" s="1684"/>
      <c r="BI1669" s="1684"/>
      <c r="BJ1669" s="1684"/>
      <c r="BK1669" s="1684"/>
      <c r="BL1669" s="1684"/>
      <c r="BM1669" s="1684"/>
      <c r="BN1669" s="1684"/>
      <c r="BO1669" s="1684"/>
      <c r="BP1669" s="1684"/>
      <c r="BQ1669" s="1684"/>
      <c r="BR1669" s="1684"/>
      <c r="BS1669" s="1684"/>
      <c r="BT1669" s="1684"/>
      <c r="BU1669" s="1684"/>
      <c r="BV1669" s="1684"/>
      <c r="BW1669" s="1684"/>
      <c r="BX1669" s="1684"/>
      <c r="BY1669" s="1684"/>
      <c r="BZ1669" s="1684"/>
      <c r="CA1669" s="1684"/>
      <c r="CB1669" s="1684"/>
      <c r="CC1669" s="1684"/>
      <c r="CD1669" s="1684"/>
      <c r="CE1669" s="1684"/>
      <c r="CF1669" s="1684"/>
      <c r="CG1669" s="1684"/>
      <c r="CH1669" s="1684"/>
      <c r="CI1669" s="1684"/>
      <c r="CJ1669" s="1684"/>
      <c r="CK1669" s="1684"/>
      <c r="CL1669" s="1684"/>
      <c r="CM1669" s="1684"/>
      <c r="CN1669" s="1684"/>
      <c r="CO1669" s="1684"/>
    </row>
    <row r="1670" spans="1:93" s="1391" customFormat="1" ht="15" x14ac:dyDescent="0.2">
      <c r="A1670" s="1684"/>
      <c r="B1670" s="4706"/>
      <c r="C1670" s="4709"/>
      <c r="D1670" s="4710" t="s">
        <v>1781</v>
      </c>
      <c r="E1670" s="4711"/>
      <c r="F1670" s="4711"/>
      <c r="G1670" s="4711"/>
      <c r="H1670" s="4711"/>
      <c r="I1670" s="4711"/>
      <c r="J1670" s="4711"/>
      <c r="K1670" s="4711"/>
      <c r="L1670" s="4712"/>
      <c r="M1670" s="4715"/>
      <c r="N1670"/>
      <c r="O1670" s="1684"/>
      <c r="P1670" s="1684"/>
      <c r="Q1670" s="1684"/>
      <c r="R1670" s="1684"/>
      <c r="S1670" s="1684"/>
      <c r="T1670" s="1684"/>
      <c r="U1670" s="1684"/>
      <c r="V1670" s="1684"/>
      <c r="W1670" s="1684"/>
      <c r="X1670" s="1684"/>
      <c r="Y1670" s="1684"/>
      <c r="Z1670" s="1684"/>
      <c r="AA1670" s="1684"/>
      <c r="AB1670" s="1684"/>
      <c r="AC1670" s="1684"/>
      <c r="AD1670" s="1684"/>
      <c r="AE1670" s="1684"/>
      <c r="AF1670" s="1684"/>
      <c r="AG1670" s="1684"/>
      <c r="AH1670" s="1684"/>
      <c r="AI1670" s="1684"/>
      <c r="AJ1670" s="1684"/>
      <c r="AK1670" s="1684"/>
      <c r="AL1670" s="1684"/>
      <c r="AM1670" s="1684"/>
      <c r="AN1670" s="1684"/>
      <c r="AO1670" s="1684"/>
      <c r="AP1670" s="1684"/>
      <c r="AQ1670" s="1684"/>
      <c r="AR1670" s="1684"/>
      <c r="AS1670" s="1684"/>
      <c r="AT1670" s="1684"/>
      <c r="AU1670" s="1684"/>
      <c r="AV1670" s="1684"/>
      <c r="AW1670" s="1684"/>
      <c r="AX1670" s="1684"/>
      <c r="AY1670" s="1684"/>
      <c r="AZ1670" s="1684"/>
      <c r="BA1670" s="1684"/>
      <c r="BB1670" s="1684"/>
      <c r="BC1670" s="1684"/>
      <c r="BD1670" s="1684"/>
      <c r="BE1670" s="1684"/>
      <c r="BF1670" s="1684"/>
      <c r="BG1670" s="1684"/>
      <c r="BH1670" s="1684"/>
      <c r="BI1670" s="1684"/>
      <c r="BJ1670" s="1684"/>
      <c r="BK1670" s="1684"/>
      <c r="BL1670" s="1684"/>
      <c r="BM1670" s="1684"/>
      <c r="BN1670" s="1684"/>
      <c r="BO1670" s="1684"/>
      <c r="BP1670" s="1684"/>
      <c r="BQ1670" s="1684"/>
      <c r="BR1670" s="1684"/>
      <c r="BS1670" s="1684"/>
      <c r="BT1670" s="1684"/>
      <c r="BU1670" s="1684"/>
      <c r="BV1670" s="1684"/>
      <c r="BW1670" s="1684"/>
      <c r="BX1670" s="1684"/>
      <c r="BY1670" s="1684"/>
      <c r="BZ1670" s="1684"/>
      <c r="CA1670" s="1684"/>
      <c r="CB1670" s="1684"/>
      <c r="CC1670" s="1684"/>
      <c r="CD1670" s="1684"/>
      <c r="CE1670" s="1684"/>
      <c r="CF1670" s="1684"/>
      <c r="CG1670" s="1684"/>
      <c r="CH1670" s="1684"/>
      <c r="CI1670" s="1684"/>
      <c r="CJ1670" s="1684"/>
      <c r="CK1670" s="1684"/>
      <c r="CL1670" s="1684"/>
      <c r="CM1670" s="1684"/>
      <c r="CN1670" s="1684"/>
      <c r="CO1670" s="1684"/>
    </row>
    <row r="1671" spans="1:93" s="1391" customFormat="1" ht="15" x14ac:dyDescent="0.2">
      <c r="A1671" s="1684"/>
      <c r="B1671" s="4698" t="s">
        <v>3689</v>
      </c>
      <c r="C1671" s="4699"/>
      <c r="D1671" s="4699"/>
      <c r="E1671" s="4699"/>
      <c r="F1671" s="4699"/>
      <c r="G1671" s="4699"/>
      <c r="H1671" s="4699"/>
      <c r="I1671" s="4699"/>
      <c r="J1671" s="4699"/>
      <c r="K1671" s="4699"/>
      <c r="L1671" s="4699"/>
      <c r="M1671" s="4700"/>
      <c r="N1671"/>
      <c r="O1671" s="1684"/>
      <c r="P1671" s="1684"/>
      <c r="Q1671" s="1684"/>
      <c r="R1671" s="1684"/>
      <c r="S1671" s="1684"/>
      <c r="T1671" s="1684"/>
      <c r="U1671" s="1684"/>
      <c r="V1671" s="1684"/>
      <c r="W1671" s="1684"/>
      <c r="X1671" s="1684"/>
      <c r="Y1671" s="1684"/>
      <c r="Z1671" s="1684"/>
      <c r="AA1671" s="1684"/>
      <c r="AB1671" s="1684"/>
      <c r="AC1671" s="1684"/>
      <c r="AD1671" s="1684"/>
      <c r="AE1671" s="1684"/>
      <c r="AF1671" s="1684"/>
      <c r="AG1671" s="1684"/>
      <c r="AH1671" s="1684"/>
      <c r="AI1671" s="1684"/>
      <c r="AJ1671" s="1684"/>
      <c r="AK1671" s="1684"/>
      <c r="AL1671" s="1684"/>
      <c r="AM1671" s="1684"/>
      <c r="AN1671" s="1684"/>
      <c r="AO1671" s="1684"/>
      <c r="AP1671" s="1684"/>
      <c r="AQ1671" s="1684"/>
      <c r="AR1671" s="1684"/>
      <c r="AS1671" s="1684"/>
      <c r="AT1671" s="1684"/>
      <c r="AU1671" s="1684"/>
      <c r="AV1671" s="1684"/>
      <c r="AW1671" s="1684"/>
      <c r="AX1671" s="1684"/>
      <c r="AY1671" s="1684"/>
      <c r="AZ1671" s="1684"/>
      <c r="BA1671" s="1684"/>
      <c r="BB1671" s="1684"/>
      <c r="BC1671" s="1684"/>
      <c r="BD1671" s="1684"/>
      <c r="BE1671" s="1684"/>
      <c r="BF1671" s="1684"/>
      <c r="BG1671" s="1684"/>
      <c r="BH1671" s="1684"/>
      <c r="BI1671" s="1684"/>
      <c r="BJ1671" s="1684"/>
      <c r="BK1671" s="1684"/>
      <c r="BL1671" s="1684"/>
      <c r="BM1671" s="1684"/>
      <c r="BN1671" s="1684"/>
      <c r="BO1671" s="1684"/>
      <c r="BP1671" s="1684"/>
      <c r="BQ1671" s="1684"/>
      <c r="BR1671" s="1684"/>
      <c r="BS1671" s="1684"/>
      <c r="BT1671" s="1684"/>
      <c r="BU1671" s="1684"/>
      <c r="BV1671" s="1684"/>
      <c r="BW1671" s="1684"/>
      <c r="BX1671" s="1684"/>
      <c r="BY1671" s="1684"/>
      <c r="BZ1671" s="1684"/>
      <c r="CA1671" s="1684"/>
      <c r="CB1671" s="1684"/>
      <c r="CC1671" s="1684"/>
      <c r="CD1671" s="1684"/>
      <c r="CE1671" s="1684"/>
      <c r="CF1671" s="1684"/>
      <c r="CG1671" s="1684"/>
      <c r="CH1671" s="1684"/>
      <c r="CI1671" s="1684"/>
      <c r="CJ1671" s="1684"/>
      <c r="CK1671" s="1684"/>
      <c r="CL1671" s="1684"/>
      <c r="CM1671" s="1684"/>
      <c r="CN1671" s="1684"/>
      <c r="CO1671" s="1684"/>
    </row>
    <row r="1672" spans="1:93" s="1391" customFormat="1" ht="15" x14ac:dyDescent="0.2">
      <c r="A1672" s="1684"/>
      <c r="B1672" s="4716" t="s">
        <v>1052</v>
      </c>
      <c r="C1672" s="4711"/>
      <c r="D1672" s="4711"/>
      <c r="E1672" s="4711"/>
      <c r="F1672" s="4711"/>
      <c r="G1672" s="4711"/>
      <c r="H1672" s="4711"/>
      <c r="I1672" s="4711"/>
      <c r="J1672" s="4711"/>
      <c r="K1672" s="4711"/>
      <c r="L1672" s="4711"/>
      <c r="M1672" s="4717"/>
      <c r="N1672"/>
      <c r="O1672" s="1684"/>
      <c r="P1672" s="1684"/>
      <c r="Q1672" s="1684"/>
      <c r="R1672" s="1684"/>
      <c r="S1672" s="1684"/>
      <c r="T1672" s="1684"/>
      <c r="U1672" s="1684"/>
      <c r="V1672" s="1684"/>
      <c r="W1672" s="1684"/>
      <c r="X1672" s="1684"/>
      <c r="Y1672" s="1684"/>
      <c r="Z1672" s="1684"/>
      <c r="AA1672" s="1684"/>
      <c r="AB1672" s="1684"/>
      <c r="AC1672" s="1684"/>
      <c r="AD1672" s="1684"/>
      <c r="AE1672" s="1684"/>
      <c r="AF1672" s="1684"/>
      <c r="AG1672" s="1684"/>
      <c r="AH1672" s="1684"/>
      <c r="AI1672" s="1684"/>
      <c r="AJ1672" s="1684"/>
      <c r="AK1672" s="1684"/>
      <c r="AL1672" s="1684"/>
      <c r="AM1672" s="1684"/>
      <c r="AN1672" s="1684"/>
      <c r="AO1672" s="1684"/>
      <c r="AP1672" s="1684"/>
      <c r="AQ1672" s="1684"/>
      <c r="AR1672" s="1684"/>
      <c r="AS1672" s="1684"/>
      <c r="AT1672" s="1684"/>
      <c r="AU1672" s="1684"/>
      <c r="AV1672" s="1684"/>
      <c r="AW1672" s="1684"/>
      <c r="AX1672" s="1684"/>
      <c r="AY1672" s="1684"/>
      <c r="AZ1672" s="1684"/>
      <c r="BA1672" s="1684"/>
      <c r="BB1672" s="1684"/>
      <c r="BC1672" s="1684"/>
      <c r="BD1672" s="1684"/>
      <c r="BE1672" s="1684"/>
      <c r="BF1672" s="1684"/>
      <c r="BG1672" s="1684"/>
      <c r="BH1672" s="1684"/>
      <c r="BI1672" s="1684"/>
      <c r="BJ1672" s="1684"/>
      <c r="BK1672" s="1684"/>
      <c r="BL1672" s="1684"/>
      <c r="BM1672" s="1684"/>
      <c r="BN1672" s="1684"/>
      <c r="BO1672" s="1684"/>
      <c r="BP1672" s="1684"/>
      <c r="BQ1672" s="1684"/>
      <c r="BR1672" s="1684"/>
      <c r="BS1672" s="1684"/>
      <c r="BT1672" s="1684"/>
      <c r="BU1672" s="1684"/>
      <c r="BV1672" s="1684"/>
      <c r="BW1672" s="1684"/>
      <c r="BX1672" s="1684"/>
      <c r="BY1672" s="1684"/>
      <c r="BZ1672" s="1684"/>
      <c r="CA1672" s="1684"/>
      <c r="CB1672" s="1684"/>
      <c r="CC1672" s="1684"/>
      <c r="CD1672" s="1684"/>
      <c r="CE1672" s="1684"/>
      <c r="CF1672" s="1684"/>
      <c r="CG1672" s="1684"/>
      <c r="CH1672" s="1684"/>
      <c r="CI1672" s="1684"/>
      <c r="CJ1672" s="1684"/>
      <c r="CK1672" s="1684"/>
      <c r="CL1672" s="1684"/>
      <c r="CM1672" s="1684"/>
      <c r="CN1672" s="1684"/>
      <c r="CO1672" s="1684"/>
    </row>
    <row r="1673" spans="1:93" s="1391" customFormat="1" ht="15" x14ac:dyDescent="0.2">
      <c r="A1673" s="1684"/>
      <c r="B1673" s="2023"/>
      <c r="C1673" s="2024"/>
      <c r="D1673" s="2024">
        <v>1</v>
      </c>
      <c r="E1673" s="2024">
        <v>2</v>
      </c>
      <c r="F1673" s="2024">
        <v>3</v>
      </c>
      <c r="G1673" s="2024">
        <v>4</v>
      </c>
      <c r="H1673" s="2024">
        <v>5</v>
      </c>
      <c r="I1673" s="2024">
        <v>6</v>
      </c>
      <c r="J1673" s="2024">
        <v>7</v>
      </c>
      <c r="K1673" s="2024">
        <v>8</v>
      </c>
      <c r="L1673" s="2024">
        <v>9</v>
      </c>
      <c r="M1673" s="2025"/>
      <c r="N1673"/>
      <c r="O1673" s="1684"/>
      <c r="P1673" s="1684"/>
      <c r="Q1673" s="1684"/>
      <c r="R1673" s="1684"/>
      <c r="S1673" s="1684"/>
      <c r="T1673" s="1684"/>
      <c r="U1673" s="1684"/>
      <c r="V1673" s="1684"/>
      <c r="W1673" s="1684"/>
      <c r="X1673" s="1684"/>
      <c r="Y1673" s="1684"/>
      <c r="Z1673" s="1684"/>
      <c r="AA1673" s="1684"/>
      <c r="AB1673" s="1684"/>
      <c r="AC1673" s="1684"/>
      <c r="AD1673" s="1684"/>
      <c r="AE1673" s="1684"/>
      <c r="AF1673" s="1684"/>
      <c r="AG1673" s="1684"/>
      <c r="AH1673" s="1684"/>
      <c r="AI1673" s="1684"/>
      <c r="AJ1673" s="1684"/>
      <c r="AK1673" s="1684"/>
      <c r="AL1673" s="1684"/>
      <c r="AM1673" s="1684"/>
      <c r="AN1673" s="1684"/>
      <c r="AO1673" s="1684"/>
      <c r="AP1673" s="1684"/>
      <c r="AQ1673" s="1684"/>
      <c r="AR1673" s="1684"/>
      <c r="AS1673" s="1684"/>
      <c r="AT1673" s="1684"/>
      <c r="AU1673" s="1684"/>
      <c r="AV1673" s="1684"/>
      <c r="AW1673" s="1684"/>
      <c r="AX1673" s="1684"/>
      <c r="AY1673" s="1684"/>
      <c r="AZ1673" s="1684"/>
      <c r="BA1673" s="1684"/>
      <c r="BB1673" s="1684"/>
      <c r="BC1673" s="1684"/>
      <c r="BD1673" s="1684"/>
      <c r="BE1673" s="1684"/>
      <c r="BF1673" s="1684"/>
      <c r="BG1673" s="1684"/>
      <c r="BH1673" s="1684"/>
      <c r="BI1673" s="1684"/>
      <c r="BJ1673" s="1684"/>
      <c r="BK1673" s="1684"/>
      <c r="BL1673" s="1684"/>
      <c r="BM1673" s="1684"/>
      <c r="BN1673" s="1684"/>
      <c r="BO1673" s="1684"/>
      <c r="BP1673" s="1684"/>
      <c r="BQ1673" s="1684"/>
      <c r="BR1673" s="1684"/>
      <c r="BS1673" s="1684"/>
      <c r="BT1673" s="1684"/>
      <c r="BU1673" s="1684"/>
      <c r="BV1673" s="1684"/>
      <c r="BW1673" s="1684"/>
      <c r="BX1673" s="1684"/>
      <c r="BY1673" s="1684"/>
      <c r="BZ1673" s="1684"/>
      <c r="CA1673" s="1684"/>
      <c r="CB1673" s="1684"/>
      <c r="CC1673" s="1684"/>
      <c r="CD1673" s="1684"/>
      <c r="CE1673" s="1684"/>
      <c r="CF1673" s="1684"/>
      <c r="CG1673" s="1684"/>
      <c r="CH1673" s="1684"/>
      <c r="CI1673" s="1684"/>
      <c r="CJ1673" s="1684"/>
      <c r="CK1673" s="1684"/>
      <c r="CL1673" s="1684"/>
      <c r="CM1673" s="1684"/>
      <c r="CN1673" s="1684"/>
      <c r="CO1673" s="1684"/>
    </row>
    <row r="1674" spans="1:93" s="1391" customFormat="1" ht="15" x14ac:dyDescent="0.2">
      <c r="A1674" s="1684"/>
      <c r="B1674" s="2026">
        <v>9</v>
      </c>
      <c r="C1674" s="2027">
        <v>4.5250000000000004</v>
      </c>
      <c r="D1674" s="2027">
        <v>200</v>
      </c>
      <c r="E1674" s="2027">
        <v>218</v>
      </c>
      <c r="F1674" s="2027">
        <v>235</v>
      </c>
      <c r="G1674" s="2027">
        <v>253</v>
      </c>
      <c r="H1674" s="2027">
        <v>270</v>
      </c>
      <c r="I1674" s="2027">
        <v>288</v>
      </c>
      <c r="J1674" s="2027">
        <v>305</v>
      </c>
      <c r="K1674" s="2027">
        <v>322</v>
      </c>
      <c r="L1674" s="2027">
        <v>340</v>
      </c>
      <c r="M1674" s="2028">
        <v>1</v>
      </c>
      <c r="N1674"/>
      <c r="O1674" s="1684"/>
      <c r="P1674" s="1684"/>
      <c r="Q1674" s="1684"/>
      <c r="R1674" s="1684"/>
      <c r="S1674" s="1684"/>
      <c r="T1674" s="1684"/>
      <c r="U1674" s="1684"/>
      <c r="V1674" s="1684"/>
      <c r="W1674" s="1684"/>
      <c r="X1674" s="1684"/>
      <c r="Y1674" s="1684"/>
      <c r="Z1674" s="1684"/>
      <c r="AA1674" s="1684"/>
      <c r="AB1674" s="1684"/>
      <c r="AC1674" s="1684"/>
      <c r="AD1674" s="1684"/>
      <c r="AE1674" s="1684"/>
      <c r="AF1674" s="1684"/>
      <c r="AG1674" s="1684"/>
      <c r="AH1674" s="1684"/>
      <c r="AI1674" s="1684"/>
      <c r="AJ1674" s="1684"/>
      <c r="AK1674" s="1684"/>
      <c r="AL1674" s="1684"/>
      <c r="AM1674" s="1684"/>
      <c r="AN1674" s="1684"/>
      <c r="AO1674" s="1684"/>
      <c r="AP1674" s="1684"/>
      <c r="AQ1674" s="1684"/>
      <c r="AR1674" s="1684"/>
      <c r="AS1674" s="1684"/>
      <c r="AT1674" s="1684"/>
      <c r="AU1674" s="1684"/>
      <c r="AV1674" s="1684"/>
      <c r="AW1674" s="1684"/>
      <c r="AX1674" s="1684"/>
      <c r="AY1674" s="1684"/>
      <c r="AZ1674" s="1684"/>
      <c r="BA1674" s="1684"/>
      <c r="BB1674" s="1684"/>
      <c r="BC1674" s="1684"/>
      <c r="BD1674" s="1684"/>
      <c r="BE1674" s="1684"/>
      <c r="BF1674" s="1684"/>
      <c r="BG1674" s="1684"/>
      <c r="BH1674" s="1684"/>
      <c r="BI1674" s="1684"/>
      <c r="BJ1674" s="1684"/>
      <c r="BK1674" s="1684"/>
      <c r="BL1674" s="1684"/>
      <c r="BM1674" s="1684"/>
      <c r="BN1674" s="1684"/>
      <c r="BO1674" s="1684"/>
      <c r="BP1674" s="1684"/>
      <c r="BQ1674" s="1684"/>
      <c r="BR1674" s="1684"/>
      <c r="BS1674" s="1684"/>
      <c r="BT1674" s="1684"/>
      <c r="BU1674" s="1684"/>
      <c r="BV1674" s="1684"/>
      <c r="BW1674" s="1684"/>
      <c r="BX1674" s="1684"/>
      <c r="BY1674" s="1684"/>
      <c r="BZ1674" s="1684"/>
      <c r="CA1674" s="1684"/>
      <c r="CB1674" s="1684"/>
      <c r="CC1674" s="1684"/>
      <c r="CD1674" s="1684"/>
      <c r="CE1674" s="1684"/>
      <c r="CF1674" s="1684"/>
      <c r="CG1674" s="1684"/>
      <c r="CH1674" s="1684"/>
      <c r="CI1674" s="1684"/>
      <c r="CJ1674" s="1684"/>
      <c r="CK1674" s="1684"/>
      <c r="CL1674" s="1684"/>
      <c r="CM1674" s="1684"/>
      <c r="CN1674" s="1684"/>
      <c r="CO1674" s="1684"/>
    </row>
    <row r="1675" spans="1:93" s="1391" customFormat="1" ht="15" x14ac:dyDescent="0.2">
      <c r="A1675" s="1684"/>
      <c r="B1675" s="2026">
        <v>10</v>
      </c>
      <c r="C1675" s="2027">
        <v>4.7709999999999999</v>
      </c>
      <c r="D1675" s="2027">
        <v>221</v>
      </c>
      <c r="E1675" s="2027">
        <v>240</v>
      </c>
      <c r="F1675" s="2027">
        <v>260</v>
      </c>
      <c r="G1675" s="2027">
        <v>279</v>
      </c>
      <c r="H1675" s="2027">
        <v>298</v>
      </c>
      <c r="I1675" s="2027">
        <v>318</v>
      </c>
      <c r="J1675" s="2027">
        <v>337</v>
      </c>
      <c r="K1675" s="2027">
        <v>356</v>
      </c>
      <c r="L1675" s="2027">
        <v>375</v>
      </c>
      <c r="M1675" s="2028">
        <v>2</v>
      </c>
      <c r="N1675"/>
      <c r="O1675" s="1684"/>
      <c r="P1675" s="1684"/>
      <c r="Q1675" s="1684"/>
      <c r="R1675" s="1684"/>
      <c r="S1675" s="1684"/>
      <c r="T1675" s="1684"/>
      <c r="U1675" s="1684"/>
      <c r="V1675" s="1684"/>
      <c r="W1675" s="1684"/>
      <c r="X1675" s="1684"/>
      <c r="Y1675" s="1684"/>
      <c r="Z1675" s="1684"/>
      <c r="AA1675" s="1684"/>
      <c r="AB1675" s="1684"/>
      <c r="AC1675" s="1684"/>
      <c r="AD1675" s="1684"/>
      <c r="AE1675" s="1684"/>
      <c r="AF1675" s="1684"/>
      <c r="AG1675" s="1684"/>
      <c r="AH1675" s="1684"/>
      <c r="AI1675" s="1684"/>
      <c r="AJ1675" s="1684"/>
      <c r="AK1675" s="1684"/>
      <c r="AL1675" s="1684"/>
      <c r="AM1675" s="1684"/>
      <c r="AN1675" s="1684"/>
      <c r="AO1675" s="1684"/>
      <c r="AP1675" s="1684"/>
      <c r="AQ1675" s="1684"/>
      <c r="AR1675" s="1684"/>
      <c r="AS1675" s="1684"/>
      <c r="AT1675" s="1684"/>
      <c r="AU1675" s="1684"/>
      <c r="AV1675" s="1684"/>
      <c r="AW1675" s="1684"/>
      <c r="AX1675" s="1684"/>
      <c r="AY1675" s="1684"/>
      <c r="AZ1675" s="1684"/>
      <c r="BA1675" s="1684"/>
      <c r="BB1675" s="1684"/>
      <c r="BC1675" s="1684"/>
      <c r="BD1675" s="1684"/>
      <c r="BE1675" s="1684"/>
      <c r="BF1675" s="1684"/>
      <c r="BG1675" s="1684"/>
      <c r="BH1675" s="1684"/>
      <c r="BI1675" s="1684"/>
      <c r="BJ1675" s="1684"/>
      <c r="BK1675" s="1684"/>
      <c r="BL1675" s="1684"/>
      <c r="BM1675" s="1684"/>
      <c r="BN1675" s="1684"/>
      <c r="BO1675" s="1684"/>
      <c r="BP1675" s="1684"/>
      <c r="BQ1675" s="1684"/>
      <c r="BR1675" s="1684"/>
      <c r="BS1675" s="1684"/>
      <c r="BT1675" s="1684"/>
      <c r="BU1675" s="1684"/>
      <c r="BV1675" s="1684"/>
      <c r="BW1675" s="1684"/>
      <c r="BX1675" s="1684"/>
      <c r="BY1675" s="1684"/>
      <c r="BZ1675" s="1684"/>
      <c r="CA1675" s="1684"/>
      <c r="CB1675" s="1684"/>
      <c r="CC1675" s="1684"/>
      <c r="CD1675" s="1684"/>
      <c r="CE1675" s="1684"/>
      <c r="CF1675" s="1684"/>
      <c r="CG1675" s="1684"/>
      <c r="CH1675" s="1684"/>
      <c r="CI1675" s="1684"/>
      <c r="CJ1675" s="1684"/>
      <c r="CK1675" s="1684"/>
      <c r="CL1675" s="1684"/>
      <c r="CM1675" s="1684"/>
      <c r="CN1675" s="1684"/>
      <c r="CO1675" s="1684"/>
    </row>
    <row r="1676" spans="1:93" s="1391" customFormat="1" ht="15" x14ac:dyDescent="0.2">
      <c r="A1676" s="1684"/>
      <c r="B1676" s="2026">
        <v>11</v>
      </c>
      <c r="C1676" s="2027">
        <v>5.0510000000000002</v>
      </c>
      <c r="D1676" s="2027">
        <v>244</v>
      </c>
      <c r="E1676" s="2027">
        <v>266</v>
      </c>
      <c r="F1676" s="2027">
        <v>287</v>
      </c>
      <c r="G1676" s="2027">
        <v>308</v>
      </c>
      <c r="H1676" s="2027">
        <v>329</v>
      </c>
      <c r="I1676" s="2027">
        <v>351</v>
      </c>
      <c r="J1676" s="2027">
        <v>372</v>
      </c>
      <c r="K1676" s="2027">
        <v>393</v>
      </c>
      <c r="L1676" s="2027">
        <v>414</v>
      </c>
      <c r="M1676" s="2028">
        <v>3</v>
      </c>
      <c r="N1676"/>
      <c r="O1676" s="1684"/>
      <c r="P1676" s="1684"/>
      <c r="Q1676" s="1684"/>
      <c r="R1676" s="1684"/>
      <c r="S1676" s="1684"/>
      <c r="T1676" s="1684"/>
      <c r="U1676" s="1684"/>
      <c r="V1676" s="1684"/>
      <c r="W1676" s="1684"/>
      <c r="X1676" s="1684"/>
      <c r="Y1676" s="1684"/>
      <c r="Z1676" s="1684"/>
      <c r="AA1676" s="1684"/>
      <c r="AB1676" s="1684"/>
      <c r="AC1676" s="1684"/>
      <c r="AD1676" s="1684"/>
      <c r="AE1676" s="1684"/>
      <c r="AF1676" s="1684"/>
      <c r="AG1676" s="1684"/>
      <c r="AH1676" s="1684"/>
      <c r="AI1676" s="1684"/>
      <c r="AJ1676" s="1684"/>
      <c r="AK1676" s="1684"/>
      <c r="AL1676" s="1684"/>
      <c r="AM1676" s="1684"/>
      <c r="AN1676" s="1684"/>
      <c r="AO1676" s="1684"/>
      <c r="AP1676" s="1684"/>
      <c r="AQ1676" s="1684"/>
      <c r="AR1676" s="1684"/>
      <c r="AS1676" s="1684"/>
      <c r="AT1676" s="1684"/>
      <c r="AU1676" s="1684"/>
      <c r="AV1676" s="1684"/>
      <c r="AW1676" s="1684"/>
      <c r="AX1676" s="1684"/>
      <c r="AY1676" s="1684"/>
      <c r="AZ1676" s="1684"/>
      <c r="BA1676" s="1684"/>
      <c r="BB1676" s="1684"/>
      <c r="BC1676" s="1684"/>
      <c r="BD1676" s="1684"/>
      <c r="BE1676" s="1684"/>
      <c r="BF1676" s="1684"/>
      <c r="BG1676" s="1684"/>
      <c r="BH1676" s="1684"/>
      <c r="BI1676" s="1684"/>
      <c r="BJ1676" s="1684"/>
      <c r="BK1676" s="1684"/>
      <c r="BL1676" s="1684"/>
      <c r="BM1676" s="1684"/>
      <c r="BN1676" s="1684"/>
      <c r="BO1676" s="1684"/>
      <c r="BP1676" s="1684"/>
      <c r="BQ1676" s="1684"/>
      <c r="BR1676" s="1684"/>
      <c r="BS1676" s="1684"/>
      <c r="BT1676" s="1684"/>
      <c r="BU1676" s="1684"/>
      <c r="BV1676" s="1684"/>
      <c r="BW1676" s="1684"/>
      <c r="BX1676" s="1684"/>
      <c r="BY1676" s="1684"/>
      <c r="BZ1676" s="1684"/>
      <c r="CA1676" s="1684"/>
      <c r="CB1676" s="1684"/>
      <c r="CC1676" s="1684"/>
      <c r="CD1676" s="1684"/>
      <c r="CE1676" s="1684"/>
      <c r="CF1676" s="1684"/>
      <c r="CG1676" s="1684"/>
      <c r="CH1676" s="1684"/>
      <c r="CI1676" s="1684"/>
      <c r="CJ1676" s="1684"/>
      <c r="CK1676" s="1684"/>
      <c r="CL1676" s="1684"/>
      <c r="CM1676" s="1684"/>
      <c r="CN1676" s="1684"/>
      <c r="CO1676" s="1684"/>
    </row>
    <row r="1677" spans="1:93" s="1391" customFormat="1" ht="15" x14ac:dyDescent="0.2">
      <c r="A1677" s="1684"/>
      <c r="B1677" s="2026">
        <v>12</v>
      </c>
      <c r="C1677" s="2027">
        <v>5.3479999999999999</v>
      </c>
      <c r="D1677" s="2027">
        <v>269</v>
      </c>
      <c r="E1677" s="2027">
        <v>293</v>
      </c>
      <c r="F1677" s="2027">
        <v>316</v>
      </c>
      <c r="G1677" s="2027">
        <v>339</v>
      </c>
      <c r="H1677" s="2027">
        <v>363</v>
      </c>
      <c r="I1677" s="2027">
        <v>387</v>
      </c>
      <c r="J1677" s="2027">
        <v>410</v>
      </c>
      <c r="K1677" s="2027">
        <v>433</v>
      </c>
      <c r="L1677" s="2027">
        <v>456</v>
      </c>
      <c r="M1677" s="2028">
        <v>4</v>
      </c>
      <c r="N1677"/>
      <c r="O1677" s="1684"/>
      <c r="P1677" s="1684"/>
      <c r="Q1677" s="1684"/>
      <c r="R1677" s="1684"/>
      <c r="S1677" s="1684"/>
      <c r="T1677" s="1684"/>
      <c r="U1677" s="1684"/>
      <c r="V1677" s="1684"/>
      <c r="W1677" s="1684"/>
      <c r="X1677" s="1684"/>
      <c r="Y1677" s="1684"/>
      <c r="Z1677" s="1684"/>
      <c r="AA1677" s="1684"/>
      <c r="AB1677" s="1684"/>
      <c r="AC1677" s="1684"/>
      <c r="AD1677" s="1684"/>
      <c r="AE1677" s="1684"/>
      <c r="AF1677" s="1684"/>
      <c r="AG1677" s="1684"/>
      <c r="AH1677" s="1684"/>
      <c r="AI1677" s="1684"/>
      <c r="AJ1677" s="1684"/>
      <c r="AK1677" s="1684"/>
      <c r="AL1677" s="1684"/>
      <c r="AM1677" s="1684"/>
      <c r="AN1677" s="1684"/>
      <c r="AO1677" s="1684"/>
      <c r="AP1677" s="1684"/>
      <c r="AQ1677" s="1684"/>
      <c r="AR1677" s="1684"/>
      <c r="AS1677" s="1684"/>
      <c r="AT1677" s="1684"/>
      <c r="AU1677" s="1684"/>
      <c r="AV1677" s="1684"/>
      <c r="AW1677" s="1684"/>
      <c r="AX1677" s="1684"/>
      <c r="AY1677" s="1684"/>
      <c r="AZ1677" s="1684"/>
      <c r="BA1677" s="1684"/>
      <c r="BB1677" s="1684"/>
      <c r="BC1677" s="1684"/>
      <c r="BD1677" s="1684"/>
      <c r="BE1677" s="1684"/>
      <c r="BF1677" s="1684"/>
      <c r="BG1677" s="1684"/>
      <c r="BH1677" s="1684"/>
      <c r="BI1677" s="1684"/>
      <c r="BJ1677" s="1684"/>
      <c r="BK1677" s="1684"/>
      <c r="BL1677" s="1684"/>
      <c r="BM1677" s="1684"/>
      <c r="BN1677" s="1684"/>
      <c r="BO1677" s="1684"/>
      <c r="BP1677" s="1684"/>
      <c r="BQ1677" s="1684"/>
      <c r="BR1677" s="1684"/>
      <c r="BS1677" s="1684"/>
      <c r="BT1677" s="1684"/>
      <c r="BU1677" s="1684"/>
      <c r="BV1677" s="1684"/>
      <c r="BW1677" s="1684"/>
      <c r="BX1677" s="1684"/>
      <c r="BY1677" s="1684"/>
      <c r="BZ1677" s="1684"/>
      <c r="CA1677" s="1684"/>
      <c r="CB1677" s="1684"/>
      <c r="CC1677" s="1684"/>
      <c r="CD1677" s="1684"/>
      <c r="CE1677" s="1684"/>
      <c r="CF1677" s="1684"/>
      <c r="CG1677" s="1684"/>
      <c r="CH1677" s="1684"/>
      <c r="CI1677" s="1684"/>
      <c r="CJ1677" s="1684"/>
      <c r="CK1677" s="1684"/>
      <c r="CL1677" s="1684"/>
      <c r="CM1677" s="1684"/>
      <c r="CN1677" s="1684"/>
      <c r="CO1677" s="1684"/>
    </row>
    <row r="1678" spans="1:93" s="1391" customFormat="1" ht="15" x14ac:dyDescent="0.2">
      <c r="A1678" s="1684"/>
      <c r="B1678" s="2026">
        <v>13</v>
      </c>
      <c r="C1678" s="2027">
        <v>5.6559999999999997</v>
      </c>
      <c r="D1678" s="2027">
        <v>294</v>
      </c>
      <c r="E1678" s="2027">
        <v>320</v>
      </c>
      <c r="F1678" s="2027">
        <v>345</v>
      </c>
      <c r="G1678" s="2027">
        <v>371</v>
      </c>
      <c r="H1678" s="2027">
        <v>397</v>
      </c>
      <c r="I1678" s="2027">
        <v>423</v>
      </c>
      <c r="J1678" s="2027">
        <v>448</v>
      </c>
      <c r="K1678" s="2027">
        <v>473</v>
      </c>
      <c r="L1678" s="2027">
        <v>499</v>
      </c>
      <c r="M1678" s="2028">
        <v>5</v>
      </c>
      <c r="N1678"/>
      <c r="O1678" s="1684"/>
      <c r="P1678" s="1684"/>
      <c r="Q1678" s="1684"/>
      <c r="R1678" s="1684"/>
      <c r="S1678" s="1684"/>
      <c r="T1678" s="1684"/>
      <c r="U1678" s="1684"/>
      <c r="V1678" s="1684"/>
      <c r="W1678" s="1684"/>
      <c r="X1678" s="1684"/>
      <c r="Y1678" s="1684"/>
      <c r="Z1678" s="1684"/>
      <c r="AA1678" s="1684"/>
      <c r="AB1678" s="1684"/>
      <c r="AC1678" s="1684"/>
      <c r="AD1678" s="1684"/>
      <c r="AE1678" s="1684"/>
      <c r="AF1678" s="1684"/>
      <c r="AG1678" s="1684"/>
      <c r="AH1678" s="1684"/>
      <c r="AI1678" s="1684"/>
      <c r="AJ1678" s="1684"/>
      <c r="AK1678" s="1684"/>
      <c r="AL1678" s="1684"/>
      <c r="AM1678" s="1684"/>
      <c r="AN1678" s="1684"/>
      <c r="AO1678" s="1684"/>
      <c r="AP1678" s="1684"/>
      <c r="AQ1678" s="1684"/>
      <c r="AR1678" s="1684"/>
      <c r="AS1678" s="1684"/>
      <c r="AT1678" s="1684"/>
      <c r="AU1678" s="1684"/>
      <c r="AV1678" s="1684"/>
      <c r="AW1678" s="1684"/>
      <c r="AX1678" s="1684"/>
      <c r="AY1678" s="1684"/>
      <c r="AZ1678" s="1684"/>
      <c r="BA1678" s="1684"/>
      <c r="BB1678" s="1684"/>
      <c r="BC1678" s="1684"/>
      <c r="BD1678" s="1684"/>
      <c r="BE1678" s="1684"/>
      <c r="BF1678" s="1684"/>
      <c r="BG1678" s="1684"/>
      <c r="BH1678" s="1684"/>
      <c r="BI1678" s="1684"/>
      <c r="BJ1678" s="1684"/>
      <c r="BK1678" s="1684"/>
      <c r="BL1678" s="1684"/>
      <c r="BM1678" s="1684"/>
      <c r="BN1678" s="1684"/>
      <c r="BO1678" s="1684"/>
      <c r="BP1678" s="1684"/>
      <c r="BQ1678" s="1684"/>
      <c r="BR1678" s="1684"/>
      <c r="BS1678" s="1684"/>
      <c r="BT1678" s="1684"/>
      <c r="BU1678" s="1684"/>
      <c r="BV1678" s="1684"/>
      <c r="BW1678" s="1684"/>
      <c r="BX1678" s="1684"/>
      <c r="BY1678" s="1684"/>
      <c r="BZ1678" s="1684"/>
      <c r="CA1678" s="1684"/>
      <c r="CB1678" s="1684"/>
      <c r="CC1678" s="1684"/>
      <c r="CD1678" s="1684"/>
      <c r="CE1678" s="1684"/>
      <c r="CF1678" s="1684"/>
      <c r="CG1678" s="1684"/>
      <c r="CH1678" s="1684"/>
      <c r="CI1678" s="1684"/>
      <c r="CJ1678" s="1684"/>
      <c r="CK1678" s="1684"/>
      <c r="CL1678" s="1684"/>
      <c r="CM1678" s="1684"/>
      <c r="CN1678" s="1684"/>
      <c r="CO1678" s="1684"/>
    </row>
    <row r="1679" spans="1:93" s="1391" customFormat="1" ht="15" x14ac:dyDescent="0.2">
      <c r="A1679" s="1684"/>
      <c r="B1679" s="2026">
        <v>14</v>
      </c>
      <c r="C1679" s="2027">
        <v>5.9859999999999998</v>
      </c>
      <c r="D1679" s="2027">
        <v>321</v>
      </c>
      <c r="E1679" s="2027">
        <v>349</v>
      </c>
      <c r="F1679" s="2027">
        <v>377</v>
      </c>
      <c r="G1679" s="2027">
        <v>405</v>
      </c>
      <c r="H1679" s="2027">
        <v>433</v>
      </c>
      <c r="I1679" s="2027">
        <v>462</v>
      </c>
      <c r="J1679" s="2027">
        <v>489</v>
      </c>
      <c r="K1679" s="2027">
        <v>517</v>
      </c>
      <c r="L1679" s="2027">
        <v>545</v>
      </c>
      <c r="M1679" s="2028">
        <v>6</v>
      </c>
      <c r="N1679"/>
      <c r="O1679" s="1684"/>
      <c r="P1679" s="1684"/>
      <c r="Q1679" s="1684"/>
      <c r="R1679" s="1684"/>
      <c r="S1679" s="1684"/>
      <c r="T1679" s="1684"/>
      <c r="U1679" s="1684"/>
      <c r="V1679" s="1684"/>
      <c r="W1679" s="1684"/>
      <c r="X1679" s="1684"/>
      <c r="Y1679" s="1684"/>
      <c r="Z1679" s="1684"/>
      <c r="AA1679" s="1684"/>
      <c r="AB1679" s="1684"/>
      <c r="AC1679" s="1684"/>
      <c r="AD1679" s="1684"/>
      <c r="AE1679" s="1684"/>
      <c r="AF1679" s="1684"/>
      <c r="AG1679" s="1684"/>
      <c r="AH1679" s="1684"/>
      <c r="AI1679" s="1684"/>
      <c r="AJ1679" s="1684"/>
      <c r="AK1679" s="1684"/>
      <c r="AL1679" s="1684"/>
      <c r="AM1679" s="1684"/>
      <c r="AN1679" s="1684"/>
      <c r="AO1679" s="1684"/>
      <c r="AP1679" s="1684"/>
      <c r="AQ1679" s="1684"/>
      <c r="AR1679" s="1684"/>
      <c r="AS1679" s="1684"/>
      <c r="AT1679" s="1684"/>
      <c r="AU1679" s="1684"/>
      <c r="AV1679" s="1684"/>
      <c r="AW1679" s="1684"/>
      <c r="AX1679" s="1684"/>
      <c r="AY1679" s="1684"/>
      <c r="AZ1679" s="1684"/>
      <c r="BA1679" s="1684"/>
      <c r="BB1679" s="1684"/>
      <c r="BC1679" s="1684"/>
      <c r="BD1679" s="1684"/>
      <c r="BE1679" s="1684"/>
      <c r="BF1679" s="1684"/>
      <c r="BG1679" s="1684"/>
      <c r="BH1679" s="1684"/>
      <c r="BI1679" s="1684"/>
      <c r="BJ1679" s="1684"/>
      <c r="BK1679" s="1684"/>
      <c r="BL1679" s="1684"/>
      <c r="BM1679" s="1684"/>
      <c r="BN1679" s="1684"/>
      <c r="BO1679" s="1684"/>
      <c r="BP1679" s="1684"/>
      <c r="BQ1679" s="1684"/>
      <c r="BR1679" s="1684"/>
      <c r="BS1679" s="1684"/>
      <c r="BT1679" s="1684"/>
      <c r="BU1679" s="1684"/>
      <c r="BV1679" s="1684"/>
      <c r="BW1679" s="1684"/>
      <c r="BX1679" s="1684"/>
      <c r="BY1679" s="1684"/>
      <c r="BZ1679" s="1684"/>
      <c r="CA1679" s="1684"/>
      <c r="CB1679" s="1684"/>
      <c r="CC1679" s="1684"/>
      <c r="CD1679" s="1684"/>
      <c r="CE1679" s="1684"/>
      <c r="CF1679" s="1684"/>
      <c r="CG1679" s="1684"/>
      <c r="CH1679" s="1684"/>
      <c r="CI1679" s="1684"/>
      <c r="CJ1679" s="1684"/>
      <c r="CK1679" s="1684"/>
      <c r="CL1679" s="1684"/>
      <c r="CM1679" s="1684"/>
      <c r="CN1679" s="1684"/>
      <c r="CO1679" s="1684"/>
    </row>
    <row r="1680" spans="1:93" s="1391" customFormat="1" ht="15" x14ac:dyDescent="0.2">
      <c r="A1680" s="1684"/>
      <c r="B1680" s="2026">
        <v>15</v>
      </c>
      <c r="C1680" s="2027">
        <v>6.3310000000000004</v>
      </c>
      <c r="D1680" s="2027">
        <v>349</v>
      </c>
      <c r="E1680" s="2027">
        <v>379</v>
      </c>
      <c r="F1680" s="2027">
        <v>409</v>
      </c>
      <c r="G1680" s="2027">
        <v>440</v>
      </c>
      <c r="H1680" s="2027">
        <v>470</v>
      </c>
      <c r="I1680" s="2027">
        <v>501</v>
      </c>
      <c r="J1680" s="2027">
        <v>531</v>
      </c>
      <c r="K1680" s="2027">
        <v>561</v>
      </c>
      <c r="L1680" s="2027">
        <v>591</v>
      </c>
      <c r="M1680" s="2028">
        <v>7</v>
      </c>
      <c r="N1680"/>
      <c r="O1680" s="1684"/>
      <c r="P1680" s="1684"/>
      <c r="Q1680" s="1684"/>
      <c r="R1680" s="1684"/>
      <c r="S1680" s="1684"/>
      <c r="T1680" s="1684"/>
      <c r="U1680" s="1684"/>
      <c r="V1680" s="1684"/>
      <c r="W1680" s="1684"/>
      <c r="X1680" s="1684"/>
      <c r="Y1680" s="1684"/>
      <c r="Z1680" s="1684"/>
      <c r="AA1680" s="1684"/>
      <c r="AB1680" s="1684"/>
      <c r="AC1680" s="1684"/>
      <c r="AD1680" s="1684"/>
      <c r="AE1680" s="1684"/>
      <c r="AF1680" s="1684"/>
      <c r="AG1680" s="1684"/>
      <c r="AH1680" s="1684"/>
      <c r="AI1680" s="1684"/>
      <c r="AJ1680" s="1684"/>
      <c r="AK1680" s="1684"/>
      <c r="AL1680" s="1684"/>
      <c r="AM1680" s="1684"/>
      <c r="AN1680" s="1684"/>
      <c r="AO1680" s="1684"/>
      <c r="AP1680" s="1684"/>
      <c r="AQ1680" s="1684"/>
      <c r="AR1680" s="1684"/>
      <c r="AS1680" s="1684"/>
      <c r="AT1680" s="1684"/>
      <c r="AU1680" s="1684"/>
      <c r="AV1680" s="1684"/>
      <c r="AW1680" s="1684"/>
      <c r="AX1680" s="1684"/>
      <c r="AY1680" s="1684"/>
      <c r="AZ1680" s="1684"/>
      <c r="BA1680" s="1684"/>
      <c r="BB1680" s="1684"/>
      <c r="BC1680" s="1684"/>
      <c r="BD1680" s="1684"/>
      <c r="BE1680" s="1684"/>
      <c r="BF1680" s="1684"/>
      <c r="BG1680" s="1684"/>
      <c r="BH1680" s="1684"/>
      <c r="BI1680" s="1684"/>
      <c r="BJ1680" s="1684"/>
      <c r="BK1680" s="1684"/>
      <c r="BL1680" s="1684"/>
      <c r="BM1680" s="1684"/>
      <c r="BN1680" s="1684"/>
      <c r="BO1680" s="1684"/>
      <c r="BP1680" s="1684"/>
      <c r="BQ1680" s="1684"/>
      <c r="BR1680" s="1684"/>
      <c r="BS1680" s="1684"/>
      <c r="BT1680" s="1684"/>
      <c r="BU1680" s="1684"/>
      <c r="BV1680" s="1684"/>
      <c r="BW1680" s="1684"/>
      <c r="BX1680" s="1684"/>
      <c r="BY1680" s="1684"/>
      <c r="BZ1680" s="1684"/>
      <c r="CA1680" s="1684"/>
      <c r="CB1680" s="1684"/>
      <c r="CC1680" s="1684"/>
      <c r="CD1680" s="1684"/>
      <c r="CE1680" s="1684"/>
      <c r="CF1680" s="1684"/>
      <c r="CG1680" s="1684"/>
      <c r="CH1680" s="1684"/>
      <c r="CI1680" s="1684"/>
      <c r="CJ1680" s="1684"/>
      <c r="CK1680" s="1684"/>
      <c r="CL1680" s="1684"/>
      <c r="CM1680" s="1684"/>
      <c r="CN1680" s="1684"/>
      <c r="CO1680" s="1684"/>
    </row>
    <row r="1681" spans="1:93" s="1391" customFormat="1" ht="15" x14ac:dyDescent="0.2">
      <c r="A1681" s="1684"/>
      <c r="B1681" s="2026">
        <v>16</v>
      </c>
      <c r="C1681" s="2027">
        <v>6.6749999999999998</v>
      </c>
      <c r="D1681" s="2027">
        <v>376</v>
      </c>
      <c r="E1681" s="2027">
        <v>409</v>
      </c>
      <c r="F1681" s="2027">
        <v>442</v>
      </c>
      <c r="G1681" s="2027">
        <v>474</v>
      </c>
      <c r="H1681" s="2027">
        <v>507</v>
      </c>
      <c r="I1681" s="2027">
        <v>540</v>
      </c>
      <c r="J1681" s="2027">
        <v>573</v>
      </c>
      <c r="K1681" s="2027">
        <v>605</v>
      </c>
      <c r="L1681" s="2027">
        <v>638</v>
      </c>
      <c r="M1681" s="2028">
        <v>8</v>
      </c>
      <c r="N1681"/>
      <c r="O1681" s="1684"/>
      <c r="P1681" s="1684"/>
      <c r="Q1681" s="1684"/>
      <c r="R1681" s="1684"/>
      <c r="S1681" s="1684"/>
      <c r="T1681" s="1684"/>
      <c r="U1681" s="1684"/>
      <c r="V1681" s="1684"/>
      <c r="W1681" s="1684"/>
      <c r="X1681" s="1684"/>
      <c r="Y1681" s="1684"/>
      <c r="Z1681" s="1684"/>
      <c r="AA1681" s="1684"/>
      <c r="AB1681" s="1684"/>
      <c r="AC1681" s="1684"/>
      <c r="AD1681" s="1684"/>
      <c r="AE1681" s="1684"/>
      <c r="AF1681" s="1684"/>
      <c r="AG1681" s="1684"/>
      <c r="AH1681" s="1684"/>
      <c r="AI1681" s="1684"/>
      <c r="AJ1681" s="1684"/>
      <c r="AK1681" s="1684"/>
      <c r="AL1681" s="1684"/>
      <c r="AM1681" s="1684"/>
      <c r="AN1681" s="1684"/>
      <c r="AO1681" s="1684"/>
      <c r="AP1681" s="1684"/>
      <c r="AQ1681" s="1684"/>
      <c r="AR1681" s="1684"/>
      <c r="AS1681" s="1684"/>
      <c r="AT1681" s="1684"/>
      <c r="AU1681" s="1684"/>
      <c r="AV1681" s="1684"/>
      <c r="AW1681" s="1684"/>
      <c r="AX1681" s="1684"/>
      <c r="AY1681" s="1684"/>
      <c r="AZ1681" s="1684"/>
      <c r="BA1681" s="1684"/>
      <c r="BB1681" s="1684"/>
      <c r="BC1681" s="1684"/>
      <c r="BD1681" s="1684"/>
      <c r="BE1681" s="1684"/>
      <c r="BF1681" s="1684"/>
      <c r="BG1681" s="1684"/>
      <c r="BH1681" s="1684"/>
      <c r="BI1681" s="1684"/>
      <c r="BJ1681" s="1684"/>
      <c r="BK1681" s="1684"/>
      <c r="BL1681" s="1684"/>
      <c r="BM1681" s="1684"/>
      <c r="BN1681" s="1684"/>
      <c r="BO1681" s="1684"/>
      <c r="BP1681" s="1684"/>
      <c r="BQ1681" s="1684"/>
      <c r="BR1681" s="1684"/>
      <c r="BS1681" s="1684"/>
      <c r="BT1681" s="1684"/>
      <c r="BU1681" s="1684"/>
      <c r="BV1681" s="1684"/>
      <c r="BW1681" s="1684"/>
      <c r="BX1681" s="1684"/>
      <c r="BY1681" s="1684"/>
      <c r="BZ1681" s="1684"/>
      <c r="CA1681" s="1684"/>
      <c r="CB1681" s="1684"/>
      <c r="CC1681" s="1684"/>
      <c r="CD1681" s="1684"/>
      <c r="CE1681" s="1684"/>
      <c r="CF1681" s="1684"/>
      <c r="CG1681" s="1684"/>
      <c r="CH1681" s="1684"/>
      <c r="CI1681" s="1684"/>
      <c r="CJ1681" s="1684"/>
      <c r="CK1681" s="1684"/>
      <c r="CL1681" s="1684"/>
      <c r="CM1681" s="1684"/>
      <c r="CN1681" s="1684"/>
      <c r="CO1681" s="1684"/>
    </row>
    <row r="1682" spans="1:93" s="1391" customFormat="1" ht="15" x14ac:dyDescent="0.2">
      <c r="A1682" s="1684"/>
      <c r="B1682" s="4716" t="s">
        <v>1053</v>
      </c>
      <c r="C1682" s="4711"/>
      <c r="D1682" s="4711"/>
      <c r="E1682" s="4711"/>
      <c r="F1682" s="4711"/>
      <c r="G1682" s="4711"/>
      <c r="H1682" s="4711"/>
      <c r="I1682" s="4711"/>
      <c r="J1682" s="4711"/>
      <c r="K1682" s="4711"/>
      <c r="L1682" s="4711"/>
      <c r="M1682" s="4717"/>
      <c r="N1682"/>
      <c r="O1682" s="1684"/>
      <c r="P1682" s="1684"/>
      <c r="Q1682" s="1684"/>
      <c r="R1682" s="1684"/>
      <c r="S1682" s="1684"/>
      <c r="T1682" s="1684"/>
      <c r="U1682" s="1684"/>
      <c r="V1682" s="1684"/>
      <c r="W1682" s="1684"/>
      <c r="X1682" s="1684"/>
      <c r="Y1682" s="1684"/>
      <c r="Z1682" s="1684"/>
      <c r="AA1682" s="1684"/>
      <c r="AB1682" s="1684"/>
      <c r="AC1682" s="1684"/>
      <c r="AD1682" s="1684"/>
      <c r="AE1682" s="1684"/>
      <c r="AF1682" s="1684"/>
      <c r="AG1682" s="1684"/>
      <c r="AH1682" s="1684"/>
      <c r="AI1682" s="1684"/>
      <c r="AJ1682" s="1684"/>
      <c r="AK1682" s="1684"/>
      <c r="AL1682" s="1684"/>
      <c r="AM1682" s="1684"/>
      <c r="AN1682" s="1684"/>
      <c r="AO1682" s="1684"/>
      <c r="AP1682" s="1684"/>
      <c r="AQ1682" s="1684"/>
      <c r="AR1682" s="1684"/>
      <c r="AS1682" s="1684"/>
      <c r="AT1682" s="1684"/>
      <c r="AU1682" s="1684"/>
      <c r="AV1682" s="1684"/>
      <c r="AW1682" s="1684"/>
      <c r="AX1682" s="1684"/>
      <c r="AY1682" s="1684"/>
      <c r="AZ1682" s="1684"/>
      <c r="BA1682" s="1684"/>
      <c r="BB1682" s="1684"/>
      <c r="BC1682" s="1684"/>
      <c r="BD1682" s="1684"/>
      <c r="BE1682" s="1684"/>
      <c r="BF1682" s="1684"/>
      <c r="BG1682" s="1684"/>
      <c r="BH1682" s="1684"/>
      <c r="BI1682" s="1684"/>
      <c r="BJ1682" s="1684"/>
      <c r="BK1682" s="1684"/>
      <c r="BL1682" s="1684"/>
      <c r="BM1682" s="1684"/>
      <c r="BN1682" s="1684"/>
      <c r="BO1682" s="1684"/>
      <c r="BP1682" s="1684"/>
      <c r="BQ1682" s="1684"/>
      <c r="BR1682" s="1684"/>
      <c r="BS1682" s="1684"/>
      <c r="BT1682" s="1684"/>
      <c r="BU1682" s="1684"/>
      <c r="BV1682" s="1684"/>
      <c r="BW1682" s="1684"/>
      <c r="BX1682" s="1684"/>
      <c r="BY1682" s="1684"/>
      <c r="BZ1682" s="1684"/>
      <c r="CA1682" s="1684"/>
      <c r="CB1682" s="1684"/>
      <c r="CC1682" s="1684"/>
      <c r="CD1682" s="1684"/>
      <c r="CE1682" s="1684"/>
      <c r="CF1682" s="1684"/>
      <c r="CG1682" s="1684"/>
      <c r="CH1682" s="1684"/>
      <c r="CI1682" s="1684"/>
      <c r="CJ1682" s="1684"/>
      <c r="CK1682" s="1684"/>
      <c r="CL1682" s="1684"/>
      <c r="CM1682" s="1684"/>
      <c r="CN1682" s="1684"/>
      <c r="CO1682" s="1684"/>
    </row>
    <row r="1683" spans="1:93" s="1391" customFormat="1" ht="15" x14ac:dyDescent="0.2">
      <c r="A1683" s="1684"/>
      <c r="B1683" s="2023"/>
      <c r="C1683" s="2024"/>
      <c r="D1683" s="2024">
        <v>1</v>
      </c>
      <c r="E1683" s="2024">
        <v>2</v>
      </c>
      <c r="F1683" s="2024">
        <v>3</v>
      </c>
      <c r="G1683" s="2024">
        <v>4</v>
      </c>
      <c r="H1683" s="2024">
        <v>5</v>
      </c>
      <c r="I1683" s="2024">
        <v>6</v>
      </c>
      <c r="J1683" s="2024">
        <v>7</v>
      </c>
      <c r="K1683" s="2024">
        <v>8</v>
      </c>
      <c r="L1683" s="2024">
        <v>9</v>
      </c>
      <c r="M1683" s="2025"/>
      <c r="N1683"/>
      <c r="O1683" s="1684"/>
      <c r="P1683" s="1684"/>
      <c r="Q1683" s="1684"/>
      <c r="R1683" s="1684"/>
      <c r="S1683" s="1684"/>
      <c r="T1683" s="1684"/>
      <c r="U1683" s="1684"/>
      <c r="V1683" s="1684"/>
      <c r="W1683" s="1684"/>
      <c r="X1683" s="1684"/>
      <c r="Y1683" s="1684"/>
      <c r="Z1683" s="1684"/>
      <c r="AA1683" s="1684"/>
      <c r="AB1683" s="1684"/>
      <c r="AC1683" s="1684"/>
      <c r="AD1683" s="1684"/>
      <c r="AE1683" s="1684"/>
      <c r="AF1683" s="1684"/>
      <c r="AG1683" s="1684"/>
      <c r="AH1683" s="1684"/>
      <c r="AI1683" s="1684"/>
      <c r="AJ1683" s="1684"/>
      <c r="AK1683" s="1684"/>
      <c r="AL1683" s="1684"/>
      <c r="AM1683" s="1684"/>
      <c r="AN1683" s="1684"/>
      <c r="AO1683" s="1684"/>
      <c r="AP1683" s="1684"/>
      <c r="AQ1683" s="1684"/>
      <c r="AR1683" s="1684"/>
      <c r="AS1683" s="1684"/>
      <c r="AT1683" s="1684"/>
      <c r="AU1683" s="1684"/>
      <c r="AV1683" s="1684"/>
      <c r="AW1683" s="1684"/>
      <c r="AX1683" s="1684"/>
      <c r="AY1683" s="1684"/>
      <c r="AZ1683" s="1684"/>
      <c r="BA1683" s="1684"/>
      <c r="BB1683" s="1684"/>
      <c r="BC1683" s="1684"/>
      <c r="BD1683" s="1684"/>
      <c r="BE1683" s="1684"/>
      <c r="BF1683" s="1684"/>
      <c r="BG1683" s="1684"/>
      <c r="BH1683" s="1684"/>
      <c r="BI1683" s="1684"/>
      <c r="BJ1683" s="1684"/>
      <c r="BK1683" s="1684"/>
      <c r="BL1683" s="1684"/>
      <c r="BM1683" s="1684"/>
      <c r="BN1683" s="1684"/>
      <c r="BO1683" s="1684"/>
      <c r="BP1683" s="1684"/>
      <c r="BQ1683" s="1684"/>
      <c r="BR1683" s="1684"/>
      <c r="BS1683" s="1684"/>
      <c r="BT1683" s="1684"/>
      <c r="BU1683" s="1684"/>
      <c r="BV1683" s="1684"/>
      <c r="BW1683" s="1684"/>
      <c r="BX1683" s="1684"/>
      <c r="BY1683" s="1684"/>
      <c r="BZ1683" s="1684"/>
      <c r="CA1683" s="1684"/>
      <c r="CB1683" s="1684"/>
      <c r="CC1683" s="1684"/>
      <c r="CD1683" s="1684"/>
      <c r="CE1683" s="1684"/>
      <c r="CF1683" s="1684"/>
      <c r="CG1683" s="1684"/>
      <c r="CH1683" s="1684"/>
      <c r="CI1683" s="1684"/>
      <c r="CJ1683" s="1684"/>
      <c r="CK1683" s="1684"/>
      <c r="CL1683" s="1684"/>
      <c r="CM1683" s="1684"/>
      <c r="CN1683" s="1684"/>
      <c r="CO1683" s="1684"/>
    </row>
    <row r="1684" spans="1:93" s="1391" customFormat="1" ht="15" x14ac:dyDescent="0.2">
      <c r="A1684" s="1684"/>
      <c r="B1684" s="2026">
        <v>9</v>
      </c>
      <c r="C1684" s="2027">
        <v>4.5250000000000004</v>
      </c>
      <c r="D1684" s="2027">
        <v>220</v>
      </c>
      <c r="E1684" s="2027">
        <v>239</v>
      </c>
      <c r="F1684" s="2027">
        <v>253</v>
      </c>
      <c r="G1684" s="2027">
        <v>277</v>
      </c>
      <c r="H1684" s="2027">
        <v>296</v>
      </c>
      <c r="I1684" s="2027">
        <v>315</v>
      </c>
      <c r="J1684" s="2027">
        <v>334</v>
      </c>
      <c r="K1684" s="2027">
        <v>353</v>
      </c>
      <c r="L1684" s="2027">
        <v>372</v>
      </c>
      <c r="M1684" s="2028">
        <v>9</v>
      </c>
      <c r="N1684"/>
      <c r="O1684" s="1684"/>
      <c r="P1684" s="1684"/>
      <c r="Q1684" s="1684"/>
      <c r="R1684" s="1684"/>
      <c r="S1684" s="1684"/>
      <c r="T1684" s="1684"/>
      <c r="U1684" s="1684"/>
      <c r="V1684" s="1684"/>
      <c r="W1684" s="1684"/>
      <c r="X1684" s="1684"/>
      <c r="Y1684" s="1684"/>
      <c r="Z1684" s="1684"/>
      <c r="AA1684" s="1684"/>
      <c r="AB1684" s="1684"/>
      <c r="AC1684" s="1684"/>
      <c r="AD1684" s="1684"/>
      <c r="AE1684" s="1684"/>
      <c r="AF1684" s="1684"/>
      <c r="AG1684" s="1684"/>
      <c r="AH1684" s="1684"/>
      <c r="AI1684" s="1684"/>
      <c r="AJ1684" s="1684"/>
      <c r="AK1684" s="1684"/>
      <c r="AL1684" s="1684"/>
      <c r="AM1684" s="1684"/>
      <c r="AN1684" s="1684"/>
      <c r="AO1684" s="1684"/>
      <c r="AP1684" s="1684"/>
      <c r="AQ1684" s="1684"/>
      <c r="AR1684" s="1684"/>
      <c r="AS1684" s="1684"/>
      <c r="AT1684" s="1684"/>
      <c r="AU1684" s="1684"/>
      <c r="AV1684" s="1684"/>
      <c r="AW1684" s="1684"/>
      <c r="AX1684" s="1684"/>
      <c r="AY1684" s="1684"/>
      <c r="AZ1684" s="1684"/>
      <c r="BA1684" s="1684"/>
      <c r="BB1684" s="1684"/>
      <c r="BC1684" s="1684"/>
      <c r="BD1684" s="1684"/>
      <c r="BE1684" s="1684"/>
      <c r="BF1684" s="1684"/>
      <c r="BG1684" s="1684"/>
      <c r="BH1684" s="1684"/>
      <c r="BI1684" s="1684"/>
      <c r="BJ1684" s="1684"/>
      <c r="BK1684" s="1684"/>
      <c r="BL1684" s="1684"/>
      <c r="BM1684" s="1684"/>
      <c r="BN1684" s="1684"/>
      <c r="BO1684" s="1684"/>
      <c r="BP1684" s="1684"/>
      <c r="BQ1684" s="1684"/>
      <c r="BR1684" s="1684"/>
      <c r="BS1684" s="1684"/>
      <c r="BT1684" s="1684"/>
      <c r="BU1684" s="1684"/>
      <c r="BV1684" s="1684"/>
      <c r="BW1684" s="1684"/>
      <c r="BX1684" s="1684"/>
      <c r="BY1684" s="1684"/>
      <c r="BZ1684" s="1684"/>
      <c r="CA1684" s="1684"/>
      <c r="CB1684" s="1684"/>
      <c r="CC1684" s="1684"/>
      <c r="CD1684" s="1684"/>
      <c r="CE1684" s="1684"/>
      <c r="CF1684" s="1684"/>
      <c r="CG1684" s="1684"/>
      <c r="CH1684" s="1684"/>
      <c r="CI1684" s="1684"/>
      <c r="CJ1684" s="1684"/>
      <c r="CK1684" s="1684"/>
      <c r="CL1684" s="1684"/>
      <c r="CM1684" s="1684"/>
      <c r="CN1684" s="1684"/>
      <c r="CO1684" s="1684"/>
    </row>
    <row r="1685" spans="1:93" s="1391" customFormat="1" ht="15" x14ac:dyDescent="0.2">
      <c r="A1685" s="1684"/>
      <c r="B1685" s="2026">
        <v>10</v>
      </c>
      <c r="C1685" s="2027">
        <v>4.7709999999999999</v>
      </c>
      <c r="D1685" s="2027">
        <v>243</v>
      </c>
      <c r="E1685" s="2027">
        <v>264</v>
      </c>
      <c r="F1685" s="2027">
        <v>285</v>
      </c>
      <c r="G1685" s="2027">
        <v>306</v>
      </c>
      <c r="H1685" s="2027">
        <v>327</v>
      </c>
      <c r="I1685" s="2027">
        <v>349</v>
      </c>
      <c r="J1685" s="2027">
        <v>370</v>
      </c>
      <c r="K1685" s="2027">
        <v>391</v>
      </c>
      <c r="L1685" s="2027">
        <v>412</v>
      </c>
      <c r="M1685" s="2028">
        <v>10</v>
      </c>
      <c r="N1685"/>
      <c r="O1685" s="1684"/>
      <c r="P1685" s="1684"/>
      <c r="Q1685" s="1684"/>
      <c r="R1685" s="1684"/>
      <c r="S1685" s="1684"/>
      <c r="T1685" s="1684"/>
      <c r="U1685" s="1684"/>
      <c r="V1685" s="1684"/>
      <c r="W1685" s="1684"/>
      <c r="X1685" s="1684"/>
      <c r="Y1685" s="1684"/>
      <c r="Z1685" s="1684"/>
      <c r="AA1685" s="1684"/>
      <c r="AB1685" s="1684"/>
      <c r="AC1685" s="1684"/>
      <c r="AD1685" s="1684"/>
      <c r="AE1685" s="1684"/>
      <c r="AF1685" s="1684"/>
      <c r="AG1685" s="1684"/>
      <c r="AH1685" s="1684"/>
      <c r="AI1685" s="1684"/>
      <c r="AJ1685" s="1684"/>
      <c r="AK1685" s="1684"/>
      <c r="AL1685" s="1684"/>
      <c r="AM1685" s="1684"/>
      <c r="AN1685" s="1684"/>
      <c r="AO1685" s="1684"/>
      <c r="AP1685" s="1684"/>
      <c r="AQ1685" s="1684"/>
      <c r="AR1685" s="1684"/>
      <c r="AS1685" s="1684"/>
      <c r="AT1685" s="1684"/>
      <c r="AU1685" s="1684"/>
      <c r="AV1685" s="1684"/>
      <c r="AW1685" s="1684"/>
      <c r="AX1685" s="1684"/>
      <c r="AY1685" s="1684"/>
      <c r="AZ1685" s="1684"/>
      <c r="BA1685" s="1684"/>
      <c r="BB1685" s="1684"/>
      <c r="BC1685" s="1684"/>
      <c r="BD1685" s="1684"/>
      <c r="BE1685" s="1684"/>
      <c r="BF1685" s="1684"/>
      <c r="BG1685" s="1684"/>
      <c r="BH1685" s="1684"/>
      <c r="BI1685" s="1684"/>
      <c r="BJ1685" s="1684"/>
      <c r="BK1685" s="1684"/>
      <c r="BL1685" s="1684"/>
      <c r="BM1685" s="1684"/>
      <c r="BN1685" s="1684"/>
      <c r="BO1685" s="1684"/>
      <c r="BP1685" s="1684"/>
      <c r="BQ1685" s="1684"/>
      <c r="BR1685" s="1684"/>
      <c r="BS1685" s="1684"/>
      <c r="BT1685" s="1684"/>
      <c r="BU1685" s="1684"/>
      <c r="BV1685" s="1684"/>
      <c r="BW1685" s="1684"/>
      <c r="BX1685" s="1684"/>
      <c r="BY1685" s="1684"/>
      <c r="BZ1685" s="1684"/>
      <c r="CA1685" s="1684"/>
      <c r="CB1685" s="1684"/>
      <c r="CC1685" s="1684"/>
      <c r="CD1685" s="1684"/>
      <c r="CE1685" s="1684"/>
      <c r="CF1685" s="1684"/>
      <c r="CG1685" s="1684"/>
      <c r="CH1685" s="1684"/>
      <c r="CI1685" s="1684"/>
      <c r="CJ1685" s="1684"/>
      <c r="CK1685" s="1684"/>
      <c r="CL1685" s="1684"/>
      <c r="CM1685" s="1684"/>
      <c r="CN1685" s="1684"/>
      <c r="CO1685" s="1684"/>
    </row>
    <row r="1686" spans="1:93" s="1391" customFormat="1" ht="15" x14ac:dyDescent="0.2">
      <c r="A1686" s="1684"/>
      <c r="B1686" s="2026">
        <v>11</v>
      </c>
      <c r="C1686" s="2027">
        <v>5.0510000000000002</v>
      </c>
      <c r="D1686" s="2027">
        <v>270</v>
      </c>
      <c r="E1686" s="2027">
        <v>293</v>
      </c>
      <c r="F1686" s="2027">
        <v>317</v>
      </c>
      <c r="G1686" s="2027">
        <v>340</v>
      </c>
      <c r="H1686" s="2027">
        <v>363</v>
      </c>
      <c r="I1686" s="2027">
        <v>387</v>
      </c>
      <c r="J1686" s="2027">
        <v>410</v>
      </c>
      <c r="K1686" s="2027">
        <v>434</v>
      </c>
      <c r="L1686" s="2027">
        <v>457</v>
      </c>
      <c r="M1686" s="2028">
        <v>11</v>
      </c>
      <c r="N1686"/>
      <c r="O1686" s="1684"/>
      <c r="P1686" s="1684"/>
      <c r="Q1686" s="1684"/>
      <c r="R1686" s="1684"/>
      <c r="S1686" s="1684"/>
      <c r="T1686" s="1684"/>
      <c r="U1686" s="1684"/>
      <c r="V1686" s="1684"/>
      <c r="W1686" s="1684"/>
      <c r="X1686" s="1684"/>
      <c r="Y1686" s="1684"/>
      <c r="Z1686" s="1684"/>
      <c r="AA1686" s="1684"/>
      <c r="AB1686" s="1684"/>
      <c r="AC1686" s="1684"/>
      <c r="AD1686" s="1684"/>
      <c r="AE1686" s="1684"/>
      <c r="AF1686" s="1684"/>
      <c r="AG1686" s="1684"/>
      <c r="AH1686" s="1684"/>
      <c r="AI1686" s="1684"/>
      <c r="AJ1686" s="1684"/>
      <c r="AK1686" s="1684"/>
      <c r="AL1686" s="1684"/>
      <c r="AM1686" s="1684"/>
      <c r="AN1686" s="1684"/>
      <c r="AO1686" s="1684"/>
      <c r="AP1686" s="1684"/>
      <c r="AQ1686" s="1684"/>
      <c r="AR1686" s="1684"/>
      <c r="AS1686" s="1684"/>
      <c r="AT1686" s="1684"/>
      <c r="AU1686" s="1684"/>
      <c r="AV1686" s="1684"/>
      <c r="AW1686" s="1684"/>
      <c r="AX1686" s="1684"/>
      <c r="AY1686" s="1684"/>
      <c r="AZ1686" s="1684"/>
      <c r="BA1686" s="1684"/>
      <c r="BB1686" s="1684"/>
      <c r="BC1686" s="1684"/>
      <c r="BD1686" s="1684"/>
      <c r="BE1686" s="1684"/>
      <c r="BF1686" s="1684"/>
      <c r="BG1686" s="1684"/>
      <c r="BH1686" s="1684"/>
      <c r="BI1686" s="1684"/>
      <c r="BJ1686" s="1684"/>
      <c r="BK1686" s="1684"/>
      <c r="BL1686" s="1684"/>
      <c r="BM1686" s="1684"/>
      <c r="BN1686" s="1684"/>
      <c r="BO1686" s="1684"/>
      <c r="BP1686" s="1684"/>
      <c r="BQ1686" s="1684"/>
      <c r="BR1686" s="1684"/>
      <c r="BS1686" s="1684"/>
      <c r="BT1686" s="1684"/>
      <c r="BU1686" s="1684"/>
      <c r="BV1686" s="1684"/>
      <c r="BW1686" s="1684"/>
      <c r="BX1686" s="1684"/>
      <c r="BY1686" s="1684"/>
      <c r="BZ1686" s="1684"/>
      <c r="CA1686" s="1684"/>
      <c r="CB1686" s="1684"/>
      <c r="CC1686" s="1684"/>
      <c r="CD1686" s="1684"/>
      <c r="CE1686" s="1684"/>
      <c r="CF1686" s="1684"/>
      <c r="CG1686" s="1684"/>
      <c r="CH1686" s="1684"/>
      <c r="CI1686" s="1684"/>
      <c r="CJ1686" s="1684"/>
      <c r="CK1686" s="1684"/>
      <c r="CL1686" s="1684"/>
      <c r="CM1686" s="1684"/>
      <c r="CN1686" s="1684"/>
      <c r="CO1686" s="1684"/>
    </row>
    <row r="1687" spans="1:93" s="1391" customFormat="1" ht="15" x14ac:dyDescent="0.2">
      <c r="A1687" s="1684"/>
      <c r="B1687" s="2026">
        <v>12</v>
      </c>
      <c r="C1687" s="2027">
        <v>5.3479999999999999</v>
      </c>
      <c r="D1687" s="2027">
        <v>298</v>
      </c>
      <c r="E1687" s="2027">
        <v>324</v>
      </c>
      <c r="F1687" s="2027">
        <v>350</v>
      </c>
      <c r="G1687" s="2027">
        <v>376</v>
      </c>
      <c r="H1687" s="2027">
        <v>401</v>
      </c>
      <c r="I1687" s="2027">
        <v>427</v>
      </c>
      <c r="J1687" s="2027">
        <v>453</v>
      </c>
      <c r="K1687" s="2027">
        <v>479</v>
      </c>
      <c r="L1687" s="2027">
        <v>505</v>
      </c>
      <c r="M1687" s="2028">
        <v>12</v>
      </c>
      <c r="N1687"/>
      <c r="O1687" s="1684"/>
      <c r="P1687" s="1684"/>
      <c r="Q1687" s="1684"/>
      <c r="R1687" s="1684"/>
      <c r="S1687" s="1684"/>
      <c r="T1687" s="1684"/>
      <c r="U1687" s="1684"/>
      <c r="V1687" s="1684"/>
      <c r="W1687" s="1684"/>
      <c r="X1687" s="1684"/>
      <c r="Y1687" s="1684"/>
      <c r="Z1687" s="1684"/>
      <c r="AA1687" s="1684"/>
      <c r="AB1687" s="1684"/>
      <c r="AC1687" s="1684"/>
      <c r="AD1687" s="1684"/>
      <c r="AE1687" s="1684"/>
      <c r="AF1687" s="1684"/>
      <c r="AG1687" s="1684"/>
      <c r="AH1687" s="1684"/>
      <c r="AI1687" s="1684"/>
      <c r="AJ1687" s="1684"/>
      <c r="AK1687" s="1684"/>
      <c r="AL1687" s="1684"/>
      <c r="AM1687" s="1684"/>
      <c r="AN1687" s="1684"/>
      <c r="AO1687" s="1684"/>
      <c r="AP1687" s="1684"/>
      <c r="AQ1687" s="1684"/>
      <c r="AR1687" s="1684"/>
      <c r="AS1687" s="1684"/>
      <c r="AT1687" s="1684"/>
      <c r="AU1687" s="1684"/>
      <c r="AV1687" s="1684"/>
      <c r="AW1687" s="1684"/>
      <c r="AX1687" s="1684"/>
      <c r="AY1687" s="1684"/>
      <c r="AZ1687" s="1684"/>
      <c r="BA1687" s="1684"/>
      <c r="BB1687" s="1684"/>
      <c r="BC1687" s="1684"/>
      <c r="BD1687" s="1684"/>
      <c r="BE1687" s="1684"/>
      <c r="BF1687" s="1684"/>
      <c r="BG1687" s="1684"/>
      <c r="BH1687" s="1684"/>
      <c r="BI1687" s="1684"/>
      <c r="BJ1687" s="1684"/>
      <c r="BK1687" s="1684"/>
      <c r="BL1687" s="1684"/>
      <c r="BM1687" s="1684"/>
      <c r="BN1687" s="1684"/>
      <c r="BO1687" s="1684"/>
      <c r="BP1687" s="1684"/>
      <c r="BQ1687" s="1684"/>
      <c r="BR1687" s="1684"/>
      <c r="BS1687" s="1684"/>
      <c r="BT1687" s="1684"/>
      <c r="BU1687" s="1684"/>
      <c r="BV1687" s="1684"/>
      <c r="BW1687" s="1684"/>
      <c r="BX1687" s="1684"/>
      <c r="BY1687" s="1684"/>
      <c r="BZ1687" s="1684"/>
      <c r="CA1687" s="1684"/>
      <c r="CB1687" s="1684"/>
      <c r="CC1687" s="1684"/>
      <c r="CD1687" s="1684"/>
      <c r="CE1687" s="1684"/>
      <c r="CF1687" s="1684"/>
      <c r="CG1687" s="1684"/>
      <c r="CH1687" s="1684"/>
      <c r="CI1687" s="1684"/>
      <c r="CJ1687" s="1684"/>
      <c r="CK1687" s="1684"/>
      <c r="CL1687" s="1684"/>
      <c r="CM1687" s="1684"/>
      <c r="CN1687" s="1684"/>
      <c r="CO1687" s="1684"/>
    </row>
    <row r="1688" spans="1:93" s="1391" customFormat="1" ht="15" x14ac:dyDescent="0.2">
      <c r="A1688" s="1684"/>
      <c r="B1688" s="2026">
        <v>13</v>
      </c>
      <c r="C1688" s="2027">
        <v>5.6559999999999997</v>
      </c>
      <c r="D1688" s="2027">
        <v>327</v>
      </c>
      <c r="E1688" s="2027">
        <v>356</v>
      </c>
      <c r="F1688" s="2027">
        <v>384</v>
      </c>
      <c r="G1688" s="2027">
        <v>412</v>
      </c>
      <c r="H1688" s="2027">
        <v>441</v>
      </c>
      <c r="I1688" s="2027">
        <v>469</v>
      </c>
      <c r="J1688" s="2027">
        <v>498</v>
      </c>
      <c r="K1688" s="2027">
        <v>526</v>
      </c>
      <c r="L1688" s="2027">
        <v>555</v>
      </c>
      <c r="M1688" s="2028">
        <v>13</v>
      </c>
      <c r="N1688"/>
      <c r="O1688" s="1684"/>
      <c r="P1688" s="1684"/>
      <c r="Q1688" s="1684"/>
      <c r="R1688" s="1684"/>
      <c r="S1688" s="1684"/>
      <c r="T1688" s="1684"/>
      <c r="U1688" s="1684"/>
      <c r="V1688" s="1684"/>
      <c r="W1688" s="1684"/>
      <c r="X1688" s="1684"/>
      <c r="Y1688" s="1684"/>
      <c r="Z1688" s="1684"/>
      <c r="AA1688" s="1684"/>
      <c r="AB1688" s="1684"/>
      <c r="AC1688" s="1684"/>
      <c r="AD1688" s="1684"/>
      <c r="AE1688" s="1684"/>
      <c r="AF1688" s="1684"/>
      <c r="AG1688" s="1684"/>
      <c r="AH1688" s="1684"/>
      <c r="AI1688" s="1684"/>
      <c r="AJ1688" s="1684"/>
      <c r="AK1688" s="1684"/>
      <c r="AL1688" s="1684"/>
      <c r="AM1688" s="1684"/>
      <c r="AN1688" s="1684"/>
      <c r="AO1688" s="1684"/>
      <c r="AP1688" s="1684"/>
      <c r="AQ1688" s="1684"/>
      <c r="AR1688" s="1684"/>
      <c r="AS1688" s="1684"/>
      <c r="AT1688" s="1684"/>
      <c r="AU1688" s="1684"/>
      <c r="AV1688" s="1684"/>
      <c r="AW1688" s="1684"/>
      <c r="AX1688" s="1684"/>
      <c r="AY1688" s="1684"/>
      <c r="AZ1688" s="1684"/>
      <c r="BA1688" s="1684"/>
      <c r="BB1688" s="1684"/>
      <c r="BC1688" s="1684"/>
      <c r="BD1688" s="1684"/>
      <c r="BE1688" s="1684"/>
      <c r="BF1688" s="1684"/>
      <c r="BG1688" s="1684"/>
      <c r="BH1688" s="1684"/>
      <c r="BI1688" s="1684"/>
      <c r="BJ1688" s="1684"/>
      <c r="BK1688" s="1684"/>
      <c r="BL1688" s="1684"/>
      <c r="BM1688" s="1684"/>
      <c r="BN1688" s="1684"/>
      <c r="BO1688" s="1684"/>
      <c r="BP1688" s="1684"/>
      <c r="BQ1688" s="1684"/>
      <c r="BR1688" s="1684"/>
      <c r="BS1688" s="1684"/>
      <c r="BT1688" s="1684"/>
      <c r="BU1688" s="1684"/>
      <c r="BV1688" s="1684"/>
      <c r="BW1688" s="1684"/>
      <c r="BX1688" s="1684"/>
      <c r="BY1688" s="1684"/>
      <c r="BZ1688" s="1684"/>
      <c r="CA1688" s="1684"/>
      <c r="CB1688" s="1684"/>
      <c r="CC1688" s="1684"/>
      <c r="CD1688" s="1684"/>
      <c r="CE1688" s="1684"/>
      <c r="CF1688" s="1684"/>
      <c r="CG1688" s="1684"/>
      <c r="CH1688" s="1684"/>
      <c r="CI1688" s="1684"/>
      <c r="CJ1688" s="1684"/>
      <c r="CK1688" s="1684"/>
      <c r="CL1688" s="1684"/>
      <c r="CM1688" s="1684"/>
      <c r="CN1688" s="1684"/>
      <c r="CO1688" s="1684"/>
    </row>
    <row r="1689" spans="1:93" s="1391" customFormat="1" ht="15" x14ac:dyDescent="0.2">
      <c r="A1689" s="1684"/>
      <c r="B1689" s="2026">
        <v>14</v>
      </c>
      <c r="C1689" s="2027">
        <v>5.9859999999999998</v>
      </c>
      <c r="D1689" s="2027">
        <v>358</v>
      </c>
      <c r="E1689" s="2027">
        <v>389</v>
      </c>
      <c r="F1689" s="2027">
        <v>420</v>
      </c>
      <c r="G1689" s="2027">
        <v>452</v>
      </c>
      <c r="H1689" s="2027">
        <v>483</v>
      </c>
      <c r="I1689" s="2027">
        <v>514</v>
      </c>
      <c r="J1689" s="2027">
        <v>545</v>
      </c>
      <c r="K1689" s="2027">
        <v>576</v>
      </c>
      <c r="L1689" s="2027">
        <v>607</v>
      </c>
      <c r="M1689" s="2028">
        <v>14</v>
      </c>
      <c r="N1689"/>
      <c r="O1689" s="1684"/>
      <c r="P1689" s="1684"/>
      <c r="Q1689" s="1684"/>
      <c r="R1689" s="1684"/>
      <c r="S1689" s="1684"/>
      <c r="T1689" s="1684"/>
      <c r="U1689" s="1684"/>
      <c r="V1689" s="1684"/>
      <c r="W1689" s="1684"/>
      <c r="X1689" s="1684"/>
      <c r="Y1689" s="1684"/>
      <c r="Z1689" s="1684"/>
      <c r="AA1689" s="1684"/>
      <c r="AB1689" s="1684"/>
      <c r="AC1689" s="1684"/>
      <c r="AD1689" s="1684"/>
      <c r="AE1689" s="1684"/>
      <c r="AF1689" s="1684"/>
      <c r="AG1689" s="1684"/>
      <c r="AH1689" s="1684"/>
      <c r="AI1689" s="1684"/>
      <c r="AJ1689" s="1684"/>
      <c r="AK1689" s="1684"/>
      <c r="AL1689" s="1684"/>
      <c r="AM1689" s="1684"/>
      <c r="AN1689" s="1684"/>
      <c r="AO1689" s="1684"/>
      <c r="AP1689" s="1684"/>
      <c r="AQ1689" s="1684"/>
      <c r="AR1689" s="1684"/>
      <c r="AS1689" s="1684"/>
      <c r="AT1689" s="1684"/>
      <c r="AU1689" s="1684"/>
      <c r="AV1689" s="1684"/>
      <c r="AW1689" s="1684"/>
      <c r="AX1689" s="1684"/>
      <c r="AY1689" s="1684"/>
      <c r="AZ1689" s="1684"/>
      <c r="BA1689" s="1684"/>
      <c r="BB1689" s="1684"/>
      <c r="BC1689" s="1684"/>
      <c r="BD1689" s="1684"/>
      <c r="BE1689" s="1684"/>
      <c r="BF1689" s="1684"/>
      <c r="BG1689" s="1684"/>
      <c r="BH1689" s="1684"/>
      <c r="BI1689" s="1684"/>
      <c r="BJ1689" s="1684"/>
      <c r="BK1689" s="1684"/>
      <c r="BL1689" s="1684"/>
      <c r="BM1689" s="1684"/>
      <c r="BN1689" s="1684"/>
      <c r="BO1689" s="1684"/>
      <c r="BP1689" s="1684"/>
      <c r="BQ1689" s="1684"/>
      <c r="BR1689" s="1684"/>
      <c r="BS1689" s="1684"/>
      <c r="BT1689" s="1684"/>
      <c r="BU1689" s="1684"/>
      <c r="BV1689" s="1684"/>
      <c r="BW1689" s="1684"/>
      <c r="BX1689" s="1684"/>
      <c r="BY1689" s="1684"/>
      <c r="BZ1689" s="1684"/>
      <c r="CA1689" s="1684"/>
      <c r="CB1689" s="1684"/>
      <c r="CC1689" s="1684"/>
      <c r="CD1689" s="1684"/>
      <c r="CE1689" s="1684"/>
      <c r="CF1689" s="1684"/>
      <c r="CG1689" s="1684"/>
      <c r="CH1689" s="1684"/>
      <c r="CI1689" s="1684"/>
      <c r="CJ1689" s="1684"/>
      <c r="CK1689" s="1684"/>
      <c r="CL1689" s="1684"/>
      <c r="CM1689" s="1684"/>
      <c r="CN1689" s="1684"/>
      <c r="CO1689" s="1684"/>
    </row>
    <row r="1690" spans="1:93" s="1391" customFormat="1" ht="15" x14ac:dyDescent="0.2">
      <c r="A1690" s="1684"/>
      <c r="B1690" s="2026">
        <v>15</v>
      </c>
      <c r="C1690" s="2027">
        <v>6.3310000000000004</v>
      </c>
      <c r="D1690" s="2027">
        <v>391</v>
      </c>
      <c r="E1690" s="2027">
        <v>425</v>
      </c>
      <c r="F1690" s="2027">
        <v>459</v>
      </c>
      <c r="G1690" s="2027">
        <v>493</v>
      </c>
      <c r="H1690" s="2027">
        <v>527</v>
      </c>
      <c r="I1690" s="2027">
        <v>561</v>
      </c>
      <c r="J1690" s="2027">
        <v>595</v>
      </c>
      <c r="K1690" s="2027">
        <v>629</v>
      </c>
      <c r="L1690" s="2027">
        <v>663</v>
      </c>
      <c r="M1690" s="2028">
        <v>15</v>
      </c>
      <c r="N1690"/>
      <c r="O1690" s="1684"/>
      <c r="P1690" s="1684"/>
      <c r="Q1690" s="1684"/>
      <c r="R1690" s="1684"/>
      <c r="S1690" s="1684"/>
      <c r="T1690" s="1684"/>
      <c r="U1690" s="1684"/>
      <c r="V1690" s="1684"/>
      <c r="W1690" s="1684"/>
      <c r="X1690" s="1684"/>
      <c r="Y1690" s="1684"/>
      <c r="Z1690" s="1684"/>
      <c r="AA1690" s="1684"/>
      <c r="AB1690" s="1684"/>
      <c r="AC1690" s="1684"/>
      <c r="AD1690" s="1684"/>
      <c r="AE1690" s="1684"/>
      <c r="AF1690" s="1684"/>
      <c r="AG1690" s="1684"/>
      <c r="AH1690" s="1684"/>
      <c r="AI1690" s="1684"/>
      <c r="AJ1690" s="1684"/>
      <c r="AK1690" s="1684"/>
      <c r="AL1690" s="1684"/>
      <c r="AM1690" s="1684"/>
      <c r="AN1690" s="1684"/>
      <c r="AO1690" s="1684"/>
      <c r="AP1690" s="1684"/>
      <c r="AQ1690" s="1684"/>
      <c r="AR1690" s="1684"/>
      <c r="AS1690" s="1684"/>
      <c r="AT1690" s="1684"/>
      <c r="AU1690" s="1684"/>
      <c r="AV1690" s="1684"/>
      <c r="AW1690" s="1684"/>
      <c r="AX1690" s="1684"/>
      <c r="AY1690" s="1684"/>
      <c r="AZ1690" s="1684"/>
      <c r="BA1690" s="1684"/>
      <c r="BB1690" s="1684"/>
      <c r="BC1690" s="1684"/>
      <c r="BD1690" s="1684"/>
      <c r="BE1690" s="1684"/>
      <c r="BF1690" s="1684"/>
      <c r="BG1690" s="1684"/>
      <c r="BH1690" s="1684"/>
      <c r="BI1690" s="1684"/>
      <c r="BJ1690" s="1684"/>
      <c r="BK1690" s="1684"/>
      <c r="BL1690" s="1684"/>
      <c r="BM1690" s="1684"/>
      <c r="BN1690" s="1684"/>
      <c r="BO1690" s="1684"/>
      <c r="BP1690" s="1684"/>
      <c r="BQ1690" s="1684"/>
      <c r="BR1690" s="1684"/>
      <c r="BS1690" s="1684"/>
      <c r="BT1690" s="1684"/>
      <c r="BU1690" s="1684"/>
      <c r="BV1690" s="1684"/>
      <c r="BW1690" s="1684"/>
      <c r="BX1690" s="1684"/>
      <c r="BY1690" s="1684"/>
      <c r="BZ1690" s="1684"/>
      <c r="CA1690" s="1684"/>
      <c r="CB1690" s="1684"/>
      <c r="CC1690" s="1684"/>
      <c r="CD1690" s="1684"/>
      <c r="CE1690" s="1684"/>
      <c r="CF1690" s="1684"/>
      <c r="CG1690" s="1684"/>
      <c r="CH1690" s="1684"/>
      <c r="CI1690" s="1684"/>
      <c r="CJ1690" s="1684"/>
      <c r="CK1690" s="1684"/>
      <c r="CL1690" s="1684"/>
      <c r="CM1690" s="1684"/>
      <c r="CN1690" s="1684"/>
      <c r="CO1690" s="1684"/>
    </row>
    <row r="1691" spans="1:93" s="1391" customFormat="1" ht="15" x14ac:dyDescent="0.2">
      <c r="A1691" s="1684"/>
      <c r="B1691" s="2026">
        <v>16</v>
      </c>
      <c r="C1691" s="2027">
        <v>6.6749999999999998</v>
      </c>
      <c r="D1691" s="2027">
        <v>423</v>
      </c>
      <c r="E1691" s="2027">
        <v>460</v>
      </c>
      <c r="F1691" s="2027">
        <v>497</v>
      </c>
      <c r="G1691" s="2027">
        <v>533</v>
      </c>
      <c r="H1691" s="2027">
        <v>570</v>
      </c>
      <c r="I1691" s="2027">
        <v>607</v>
      </c>
      <c r="J1691" s="2027">
        <v>644</v>
      </c>
      <c r="K1691" s="2027">
        <v>681</v>
      </c>
      <c r="L1691" s="2027">
        <v>717</v>
      </c>
      <c r="M1691" s="2028">
        <v>16</v>
      </c>
      <c r="N1691"/>
      <c r="O1691" s="1684"/>
      <c r="P1691" s="1684"/>
      <c r="Q1691" s="1684"/>
      <c r="R1691" s="1684"/>
      <c r="S1691" s="1684"/>
      <c r="T1691" s="1684"/>
      <c r="U1691" s="1684"/>
      <c r="V1691" s="1684"/>
      <c r="W1691" s="1684"/>
      <c r="X1691" s="1684"/>
      <c r="Y1691" s="1684"/>
      <c r="Z1691" s="1684"/>
      <c r="AA1691" s="1684"/>
      <c r="AB1691" s="1684"/>
      <c r="AC1691" s="1684"/>
      <c r="AD1691" s="1684"/>
      <c r="AE1691" s="1684"/>
      <c r="AF1691" s="1684"/>
      <c r="AG1691" s="1684"/>
      <c r="AH1691" s="1684"/>
      <c r="AI1691" s="1684"/>
      <c r="AJ1691" s="1684"/>
      <c r="AK1691" s="1684"/>
      <c r="AL1691" s="1684"/>
      <c r="AM1691" s="1684"/>
      <c r="AN1691" s="1684"/>
      <c r="AO1691" s="1684"/>
      <c r="AP1691" s="1684"/>
      <c r="AQ1691" s="1684"/>
      <c r="AR1691" s="1684"/>
      <c r="AS1691" s="1684"/>
      <c r="AT1691" s="1684"/>
      <c r="AU1691" s="1684"/>
      <c r="AV1691" s="1684"/>
      <c r="AW1691" s="1684"/>
      <c r="AX1691" s="1684"/>
      <c r="AY1691" s="1684"/>
      <c r="AZ1691" s="1684"/>
      <c r="BA1691" s="1684"/>
      <c r="BB1691" s="1684"/>
      <c r="BC1691" s="1684"/>
      <c r="BD1691" s="1684"/>
      <c r="BE1691" s="1684"/>
      <c r="BF1691" s="1684"/>
      <c r="BG1691" s="1684"/>
      <c r="BH1691" s="1684"/>
      <c r="BI1691" s="1684"/>
      <c r="BJ1691" s="1684"/>
      <c r="BK1691" s="1684"/>
      <c r="BL1691" s="1684"/>
      <c r="BM1691" s="1684"/>
      <c r="BN1691" s="1684"/>
      <c r="BO1691" s="1684"/>
      <c r="BP1691" s="1684"/>
      <c r="BQ1691" s="1684"/>
      <c r="BR1691" s="1684"/>
      <c r="BS1691" s="1684"/>
      <c r="BT1691" s="1684"/>
      <c r="BU1691" s="1684"/>
      <c r="BV1691" s="1684"/>
      <c r="BW1691" s="1684"/>
      <c r="BX1691" s="1684"/>
      <c r="BY1691" s="1684"/>
      <c r="BZ1691" s="1684"/>
      <c r="CA1691" s="1684"/>
      <c r="CB1691" s="1684"/>
      <c r="CC1691" s="1684"/>
      <c r="CD1691" s="1684"/>
      <c r="CE1691" s="1684"/>
      <c r="CF1691" s="1684"/>
      <c r="CG1691" s="1684"/>
      <c r="CH1691" s="1684"/>
      <c r="CI1691" s="1684"/>
      <c r="CJ1691" s="1684"/>
      <c r="CK1691" s="1684"/>
      <c r="CL1691" s="1684"/>
      <c r="CM1691" s="1684"/>
      <c r="CN1691" s="1684"/>
      <c r="CO1691" s="1684"/>
    </row>
    <row r="1692" spans="1:93" s="1391" customFormat="1" ht="15" x14ac:dyDescent="0.2">
      <c r="A1692" s="1684"/>
      <c r="B1692" s="4716" t="s">
        <v>1054</v>
      </c>
      <c r="C1692" s="4711"/>
      <c r="D1692" s="4711"/>
      <c r="E1692" s="4711"/>
      <c r="F1692" s="4711"/>
      <c r="G1692" s="4711"/>
      <c r="H1692" s="4711"/>
      <c r="I1692" s="4711"/>
      <c r="J1692" s="4711"/>
      <c r="K1692" s="4711"/>
      <c r="L1692" s="4711"/>
      <c r="M1692" s="4717"/>
      <c r="N1692"/>
      <c r="O1692" s="1684"/>
      <c r="P1692" s="1684"/>
      <c r="Q1692" s="1684"/>
      <c r="R1692" s="1684"/>
      <c r="S1692" s="1684"/>
      <c r="T1692" s="1684"/>
      <c r="U1692" s="1684"/>
      <c r="V1692" s="1684"/>
      <c r="W1692" s="1684"/>
      <c r="X1692" s="1684"/>
      <c r="Y1692" s="1684"/>
      <c r="Z1692" s="1684"/>
      <c r="AA1692" s="1684"/>
      <c r="AB1692" s="1684"/>
      <c r="AC1692" s="1684"/>
      <c r="AD1692" s="1684"/>
      <c r="AE1692" s="1684"/>
      <c r="AF1692" s="1684"/>
      <c r="AG1692" s="1684"/>
      <c r="AH1692" s="1684"/>
      <c r="AI1692" s="1684"/>
      <c r="AJ1692" s="1684"/>
      <c r="AK1692" s="1684"/>
      <c r="AL1692" s="1684"/>
      <c r="AM1692" s="1684"/>
      <c r="AN1692" s="1684"/>
      <c r="AO1692" s="1684"/>
      <c r="AP1692" s="1684"/>
      <c r="AQ1692" s="1684"/>
      <c r="AR1692" s="1684"/>
      <c r="AS1692" s="1684"/>
      <c r="AT1692" s="1684"/>
      <c r="AU1692" s="1684"/>
      <c r="AV1692" s="1684"/>
      <c r="AW1692" s="1684"/>
      <c r="AX1692" s="1684"/>
      <c r="AY1692" s="1684"/>
      <c r="AZ1692" s="1684"/>
      <c r="BA1692" s="1684"/>
      <c r="BB1692" s="1684"/>
      <c r="BC1692" s="1684"/>
      <c r="BD1692" s="1684"/>
      <c r="BE1692" s="1684"/>
      <c r="BF1692" s="1684"/>
      <c r="BG1692" s="1684"/>
      <c r="BH1692" s="1684"/>
      <c r="BI1692" s="1684"/>
      <c r="BJ1692" s="1684"/>
      <c r="BK1692" s="1684"/>
      <c r="BL1692" s="1684"/>
      <c r="BM1692" s="1684"/>
      <c r="BN1692" s="1684"/>
      <c r="BO1692" s="1684"/>
      <c r="BP1692" s="1684"/>
      <c r="BQ1692" s="1684"/>
      <c r="BR1692" s="1684"/>
      <c r="BS1692" s="1684"/>
      <c r="BT1692" s="1684"/>
      <c r="BU1692" s="1684"/>
      <c r="BV1692" s="1684"/>
      <c r="BW1692" s="1684"/>
      <c r="BX1692" s="1684"/>
      <c r="BY1692" s="1684"/>
      <c r="BZ1692" s="1684"/>
      <c r="CA1692" s="1684"/>
      <c r="CB1692" s="1684"/>
      <c r="CC1692" s="1684"/>
      <c r="CD1692" s="1684"/>
      <c r="CE1692" s="1684"/>
      <c r="CF1692" s="1684"/>
      <c r="CG1692" s="1684"/>
      <c r="CH1692" s="1684"/>
      <c r="CI1692" s="1684"/>
      <c r="CJ1692" s="1684"/>
      <c r="CK1692" s="1684"/>
      <c r="CL1692" s="1684"/>
      <c r="CM1692" s="1684"/>
      <c r="CN1692" s="1684"/>
      <c r="CO1692" s="1684"/>
    </row>
    <row r="1693" spans="1:93" s="1391" customFormat="1" ht="15" x14ac:dyDescent="0.2">
      <c r="A1693" s="1684"/>
      <c r="B1693" s="2023"/>
      <c r="C1693" s="2024"/>
      <c r="D1693" s="2024">
        <v>1</v>
      </c>
      <c r="E1693" s="2024">
        <v>2</v>
      </c>
      <c r="F1693" s="2024">
        <v>3</v>
      </c>
      <c r="G1693" s="2024">
        <v>4</v>
      </c>
      <c r="H1693" s="2024">
        <v>5</v>
      </c>
      <c r="I1693" s="2024">
        <v>6</v>
      </c>
      <c r="J1693" s="2024">
        <v>7</v>
      </c>
      <c r="K1693" s="2024">
        <v>8</v>
      </c>
      <c r="L1693" s="2024">
        <v>9</v>
      </c>
      <c r="M1693" s="2025"/>
      <c r="N1693"/>
      <c r="O1693" s="1684"/>
      <c r="P1693" s="1684"/>
      <c r="Q1693" s="1684"/>
      <c r="R1693" s="1684"/>
      <c r="S1693" s="1684"/>
      <c r="T1693" s="1684"/>
      <c r="U1693" s="1684"/>
      <c r="V1693" s="1684"/>
      <c r="W1693" s="1684"/>
      <c r="X1693" s="1684"/>
      <c r="Y1693" s="1684"/>
      <c r="Z1693" s="1684"/>
      <c r="AA1693" s="1684"/>
      <c r="AB1693" s="1684"/>
      <c r="AC1693" s="1684"/>
      <c r="AD1693" s="1684"/>
      <c r="AE1693" s="1684"/>
      <c r="AF1693" s="1684"/>
      <c r="AG1693" s="1684"/>
      <c r="AH1693" s="1684"/>
      <c r="AI1693" s="1684"/>
      <c r="AJ1693" s="1684"/>
      <c r="AK1693" s="1684"/>
      <c r="AL1693" s="1684"/>
      <c r="AM1693" s="1684"/>
      <c r="AN1693" s="1684"/>
      <c r="AO1693" s="1684"/>
      <c r="AP1693" s="1684"/>
      <c r="AQ1693" s="1684"/>
      <c r="AR1693" s="1684"/>
      <c r="AS1693" s="1684"/>
      <c r="AT1693" s="1684"/>
      <c r="AU1693" s="1684"/>
      <c r="AV1693" s="1684"/>
      <c r="AW1693" s="1684"/>
      <c r="AX1693" s="1684"/>
      <c r="AY1693" s="1684"/>
      <c r="AZ1693" s="1684"/>
      <c r="BA1693" s="1684"/>
      <c r="BB1693" s="1684"/>
      <c r="BC1693" s="1684"/>
      <c r="BD1693" s="1684"/>
      <c r="BE1693" s="1684"/>
      <c r="BF1693" s="1684"/>
      <c r="BG1693" s="1684"/>
      <c r="BH1693" s="1684"/>
      <c r="BI1693" s="1684"/>
      <c r="BJ1693" s="1684"/>
      <c r="BK1693" s="1684"/>
      <c r="BL1693" s="1684"/>
      <c r="BM1693" s="1684"/>
      <c r="BN1693" s="1684"/>
      <c r="BO1693" s="1684"/>
      <c r="BP1693" s="1684"/>
      <c r="BQ1693" s="1684"/>
      <c r="BR1693" s="1684"/>
      <c r="BS1693" s="1684"/>
      <c r="BT1693" s="1684"/>
      <c r="BU1693" s="1684"/>
      <c r="BV1693" s="1684"/>
      <c r="BW1693" s="1684"/>
      <c r="BX1693" s="1684"/>
      <c r="BY1693" s="1684"/>
      <c r="BZ1693" s="1684"/>
      <c r="CA1693" s="1684"/>
      <c r="CB1693" s="1684"/>
      <c r="CC1693" s="1684"/>
      <c r="CD1693" s="1684"/>
      <c r="CE1693" s="1684"/>
      <c r="CF1693" s="1684"/>
      <c r="CG1693" s="1684"/>
      <c r="CH1693" s="1684"/>
      <c r="CI1693" s="1684"/>
      <c r="CJ1693" s="1684"/>
      <c r="CK1693" s="1684"/>
      <c r="CL1693" s="1684"/>
      <c r="CM1693" s="1684"/>
      <c r="CN1693" s="1684"/>
      <c r="CO1693" s="1684"/>
    </row>
    <row r="1694" spans="1:93" s="1391" customFormat="1" ht="15" x14ac:dyDescent="0.2">
      <c r="A1694" s="1684"/>
      <c r="B1694" s="2026">
        <v>9</v>
      </c>
      <c r="C1694" s="2027">
        <v>4.5250000000000004</v>
      </c>
      <c r="D1694" s="2027">
        <v>229</v>
      </c>
      <c r="E1694" s="2027">
        <v>249</v>
      </c>
      <c r="F1694" s="2027">
        <v>269</v>
      </c>
      <c r="G1694" s="2027">
        <v>289</v>
      </c>
      <c r="H1694" s="2027">
        <v>308</v>
      </c>
      <c r="I1694" s="2027">
        <v>328</v>
      </c>
      <c r="J1694" s="2027">
        <v>348</v>
      </c>
      <c r="K1694" s="2027">
        <v>368</v>
      </c>
      <c r="L1694" s="2027">
        <v>388</v>
      </c>
      <c r="M1694" s="2028">
        <v>17</v>
      </c>
      <c r="N1694"/>
      <c r="O1694" s="1684"/>
      <c r="P1694" s="1684"/>
      <c r="Q1694" s="1684"/>
      <c r="R1694" s="1684"/>
      <c r="S1694" s="1684"/>
      <c r="T1694" s="1684"/>
      <c r="U1694" s="1684"/>
      <c r="V1694" s="1684"/>
      <c r="W1694" s="1684"/>
      <c r="X1694" s="1684"/>
      <c r="Y1694" s="1684"/>
      <c r="Z1694" s="1684"/>
      <c r="AA1694" s="1684"/>
      <c r="AB1694" s="1684"/>
      <c r="AC1694" s="1684"/>
      <c r="AD1694" s="1684"/>
      <c r="AE1694" s="1684"/>
      <c r="AF1694" s="1684"/>
      <c r="AG1694" s="1684"/>
      <c r="AH1694" s="1684"/>
      <c r="AI1694" s="1684"/>
      <c r="AJ1694" s="1684"/>
      <c r="AK1694" s="1684"/>
      <c r="AL1694" s="1684"/>
      <c r="AM1694" s="1684"/>
      <c r="AN1694" s="1684"/>
      <c r="AO1694" s="1684"/>
      <c r="AP1694" s="1684"/>
      <c r="AQ1694" s="1684"/>
      <c r="AR1694" s="1684"/>
      <c r="AS1694" s="1684"/>
      <c r="AT1694" s="1684"/>
      <c r="AU1694" s="1684"/>
      <c r="AV1694" s="1684"/>
      <c r="AW1694" s="1684"/>
      <c r="AX1694" s="1684"/>
      <c r="AY1694" s="1684"/>
      <c r="AZ1694" s="1684"/>
      <c r="BA1694" s="1684"/>
      <c r="BB1694" s="1684"/>
      <c r="BC1694" s="1684"/>
      <c r="BD1694" s="1684"/>
      <c r="BE1694" s="1684"/>
      <c r="BF1694" s="1684"/>
      <c r="BG1694" s="1684"/>
      <c r="BH1694" s="1684"/>
      <c r="BI1694" s="1684"/>
      <c r="BJ1694" s="1684"/>
      <c r="BK1694" s="1684"/>
      <c r="BL1694" s="1684"/>
      <c r="BM1694" s="1684"/>
      <c r="BN1694" s="1684"/>
      <c r="BO1694" s="1684"/>
      <c r="BP1694" s="1684"/>
      <c r="BQ1694" s="1684"/>
      <c r="BR1694" s="1684"/>
      <c r="BS1694" s="1684"/>
      <c r="BT1694" s="1684"/>
      <c r="BU1694" s="1684"/>
      <c r="BV1694" s="1684"/>
      <c r="BW1694" s="1684"/>
      <c r="BX1694" s="1684"/>
      <c r="BY1694" s="1684"/>
      <c r="BZ1694" s="1684"/>
      <c r="CA1694" s="1684"/>
      <c r="CB1694" s="1684"/>
      <c r="CC1694" s="1684"/>
      <c r="CD1694" s="1684"/>
      <c r="CE1694" s="1684"/>
      <c r="CF1694" s="1684"/>
      <c r="CG1694" s="1684"/>
      <c r="CH1694" s="1684"/>
      <c r="CI1694" s="1684"/>
      <c r="CJ1694" s="1684"/>
      <c r="CK1694" s="1684"/>
      <c r="CL1694" s="1684"/>
      <c r="CM1694" s="1684"/>
      <c r="CN1694" s="1684"/>
      <c r="CO1694" s="1684"/>
    </row>
    <row r="1695" spans="1:93" s="1391" customFormat="1" ht="15" x14ac:dyDescent="0.2">
      <c r="A1695" s="1684"/>
      <c r="B1695" s="2026">
        <v>10</v>
      </c>
      <c r="C1695" s="2027">
        <v>4.7709999999999999</v>
      </c>
      <c r="D1695" s="2027">
        <v>254</v>
      </c>
      <c r="E1695" s="2027">
        <v>276</v>
      </c>
      <c r="F1695" s="2027">
        <v>298</v>
      </c>
      <c r="G1695" s="2027">
        <v>320</v>
      </c>
      <c r="H1695" s="2027">
        <v>342</v>
      </c>
      <c r="I1695" s="2027">
        <v>364</v>
      </c>
      <c r="J1695" s="2027">
        <v>386</v>
      </c>
      <c r="K1695" s="2027">
        <v>408</v>
      </c>
      <c r="L1695" s="2027">
        <v>430</v>
      </c>
      <c r="M1695" s="2028">
        <v>18</v>
      </c>
      <c r="N1695"/>
      <c r="O1695" s="1684"/>
      <c r="P1695" s="1684"/>
      <c r="Q1695" s="1684"/>
      <c r="R1695" s="1684"/>
      <c r="S1695" s="1684"/>
      <c r="T1695" s="1684"/>
      <c r="U1695" s="1684"/>
      <c r="V1695" s="1684"/>
      <c r="W1695" s="1684"/>
      <c r="X1695" s="1684"/>
      <c r="Y1695" s="1684"/>
      <c r="Z1695" s="1684"/>
      <c r="AA1695" s="1684"/>
      <c r="AB1695" s="1684"/>
      <c r="AC1695" s="1684"/>
      <c r="AD1695" s="1684"/>
      <c r="AE1695" s="1684"/>
      <c r="AF1695" s="1684"/>
      <c r="AG1695" s="1684"/>
      <c r="AH1695" s="1684"/>
      <c r="AI1695" s="1684"/>
      <c r="AJ1695" s="1684"/>
      <c r="AK1695" s="1684"/>
      <c r="AL1695" s="1684"/>
      <c r="AM1695" s="1684"/>
      <c r="AN1695" s="1684"/>
      <c r="AO1695" s="1684"/>
      <c r="AP1695" s="1684"/>
      <c r="AQ1695" s="1684"/>
      <c r="AR1695" s="1684"/>
      <c r="AS1695" s="1684"/>
      <c r="AT1695" s="1684"/>
      <c r="AU1695" s="1684"/>
      <c r="AV1695" s="1684"/>
      <c r="AW1695" s="1684"/>
      <c r="AX1695" s="1684"/>
      <c r="AY1695" s="1684"/>
      <c r="AZ1695" s="1684"/>
      <c r="BA1695" s="1684"/>
      <c r="BB1695" s="1684"/>
      <c r="BC1695" s="1684"/>
      <c r="BD1695" s="1684"/>
      <c r="BE1695" s="1684"/>
      <c r="BF1695" s="1684"/>
      <c r="BG1695" s="1684"/>
      <c r="BH1695" s="1684"/>
      <c r="BI1695" s="1684"/>
      <c r="BJ1695" s="1684"/>
      <c r="BK1695" s="1684"/>
      <c r="BL1695" s="1684"/>
      <c r="BM1695" s="1684"/>
      <c r="BN1695" s="1684"/>
      <c r="BO1695" s="1684"/>
      <c r="BP1695" s="1684"/>
      <c r="BQ1695" s="1684"/>
      <c r="BR1695" s="1684"/>
      <c r="BS1695" s="1684"/>
      <c r="BT1695" s="1684"/>
      <c r="BU1695" s="1684"/>
      <c r="BV1695" s="1684"/>
      <c r="BW1695" s="1684"/>
      <c r="BX1695" s="1684"/>
      <c r="BY1695" s="1684"/>
      <c r="BZ1695" s="1684"/>
      <c r="CA1695" s="1684"/>
      <c r="CB1695" s="1684"/>
      <c r="CC1695" s="1684"/>
      <c r="CD1695" s="1684"/>
      <c r="CE1695" s="1684"/>
      <c r="CF1695" s="1684"/>
      <c r="CG1695" s="1684"/>
      <c r="CH1695" s="1684"/>
      <c r="CI1695" s="1684"/>
      <c r="CJ1695" s="1684"/>
      <c r="CK1695" s="1684"/>
      <c r="CL1695" s="1684"/>
      <c r="CM1695" s="1684"/>
      <c r="CN1695" s="1684"/>
      <c r="CO1695" s="1684"/>
    </row>
    <row r="1696" spans="1:93" s="1391" customFormat="1" ht="15" x14ac:dyDescent="0.2">
      <c r="A1696" s="1684"/>
      <c r="B1696" s="2026">
        <v>11</v>
      </c>
      <c r="C1696" s="2027">
        <v>5.0510000000000002</v>
      </c>
      <c r="D1696" s="2027">
        <v>282</v>
      </c>
      <c r="E1696" s="2027">
        <v>307</v>
      </c>
      <c r="F1696" s="2027">
        <v>331</v>
      </c>
      <c r="G1696" s="2027">
        <v>356</v>
      </c>
      <c r="H1696" s="2027">
        <v>380</v>
      </c>
      <c r="I1696" s="2027">
        <v>405</v>
      </c>
      <c r="J1696" s="2027">
        <v>429</v>
      </c>
      <c r="K1696" s="2027">
        <v>454</v>
      </c>
      <c r="L1696" s="2027">
        <v>478</v>
      </c>
      <c r="M1696" s="2028">
        <v>19</v>
      </c>
      <c r="N1696"/>
      <c r="O1696" s="1684"/>
      <c r="P1696" s="1684"/>
      <c r="Q1696" s="1684"/>
      <c r="R1696" s="1684"/>
      <c r="S1696" s="1684"/>
      <c r="T1696" s="1684"/>
      <c r="U1696" s="1684"/>
      <c r="V1696" s="1684"/>
      <c r="W1696" s="1684"/>
      <c r="X1696" s="1684"/>
      <c r="Y1696" s="1684"/>
      <c r="Z1696" s="1684"/>
      <c r="AA1696" s="1684"/>
      <c r="AB1696" s="1684"/>
      <c r="AC1696" s="1684"/>
      <c r="AD1696" s="1684"/>
      <c r="AE1696" s="1684"/>
      <c r="AF1696" s="1684"/>
      <c r="AG1696" s="1684"/>
      <c r="AH1696" s="1684"/>
      <c r="AI1696" s="1684"/>
      <c r="AJ1696" s="1684"/>
      <c r="AK1696" s="1684"/>
      <c r="AL1696" s="1684"/>
      <c r="AM1696" s="1684"/>
      <c r="AN1696" s="1684"/>
      <c r="AO1696" s="1684"/>
      <c r="AP1696" s="1684"/>
      <c r="AQ1696" s="1684"/>
      <c r="AR1696" s="1684"/>
      <c r="AS1696" s="1684"/>
      <c r="AT1696" s="1684"/>
      <c r="AU1696" s="1684"/>
      <c r="AV1696" s="1684"/>
      <c r="AW1696" s="1684"/>
      <c r="AX1696" s="1684"/>
      <c r="AY1696" s="1684"/>
      <c r="AZ1696" s="1684"/>
      <c r="BA1696" s="1684"/>
      <c r="BB1696" s="1684"/>
      <c r="BC1696" s="1684"/>
      <c r="BD1696" s="1684"/>
      <c r="BE1696" s="1684"/>
      <c r="BF1696" s="1684"/>
      <c r="BG1696" s="1684"/>
      <c r="BH1696" s="1684"/>
      <c r="BI1696" s="1684"/>
      <c r="BJ1696" s="1684"/>
      <c r="BK1696" s="1684"/>
      <c r="BL1696" s="1684"/>
      <c r="BM1696" s="1684"/>
      <c r="BN1696" s="1684"/>
      <c r="BO1696" s="1684"/>
      <c r="BP1696" s="1684"/>
      <c r="BQ1696" s="1684"/>
      <c r="BR1696" s="1684"/>
      <c r="BS1696" s="1684"/>
      <c r="BT1696" s="1684"/>
      <c r="BU1696" s="1684"/>
      <c r="BV1696" s="1684"/>
      <c r="BW1696" s="1684"/>
      <c r="BX1696" s="1684"/>
      <c r="BY1696" s="1684"/>
      <c r="BZ1696" s="1684"/>
      <c r="CA1696" s="1684"/>
      <c r="CB1696" s="1684"/>
      <c r="CC1696" s="1684"/>
      <c r="CD1696" s="1684"/>
      <c r="CE1696" s="1684"/>
      <c r="CF1696" s="1684"/>
      <c r="CG1696" s="1684"/>
      <c r="CH1696" s="1684"/>
      <c r="CI1696" s="1684"/>
      <c r="CJ1696" s="1684"/>
      <c r="CK1696" s="1684"/>
      <c r="CL1696" s="1684"/>
      <c r="CM1696" s="1684"/>
      <c r="CN1696" s="1684"/>
      <c r="CO1696" s="1684"/>
    </row>
    <row r="1697" spans="1:93" s="1391" customFormat="1" ht="15" x14ac:dyDescent="0.2">
      <c r="A1697" s="1684"/>
      <c r="B1697" s="2026">
        <v>12</v>
      </c>
      <c r="C1697" s="2027">
        <v>5.3479999999999999</v>
      </c>
      <c r="D1697" s="2027">
        <v>312</v>
      </c>
      <c r="E1697" s="2027">
        <v>339</v>
      </c>
      <c r="F1697" s="2027">
        <v>366</v>
      </c>
      <c r="G1697" s="2027">
        <v>394</v>
      </c>
      <c r="H1697" s="2027">
        <v>421</v>
      </c>
      <c r="I1697" s="2027">
        <v>448</v>
      </c>
      <c r="J1697" s="2027">
        <v>475</v>
      </c>
      <c r="K1697" s="2027">
        <v>502</v>
      </c>
      <c r="L1697" s="2027">
        <v>529</v>
      </c>
      <c r="M1697" s="2028">
        <v>20</v>
      </c>
      <c r="N1697"/>
      <c r="O1697" s="1684"/>
      <c r="P1697" s="1684"/>
      <c r="Q1697" s="1684"/>
      <c r="R1697" s="1684"/>
      <c r="S1697" s="1684"/>
      <c r="T1697" s="1684"/>
      <c r="U1697" s="1684"/>
      <c r="V1697" s="1684"/>
      <c r="W1697" s="1684"/>
      <c r="X1697" s="1684"/>
      <c r="Y1697" s="1684"/>
      <c r="Z1697" s="1684"/>
      <c r="AA1697" s="1684"/>
      <c r="AB1697" s="1684"/>
      <c r="AC1697" s="1684"/>
      <c r="AD1697" s="1684"/>
      <c r="AE1697" s="1684"/>
      <c r="AF1697" s="1684"/>
      <c r="AG1697" s="1684"/>
      <c r="AH1697" s="1684"/>
      <c r="AI1697" s="1684"/>
      <c r="AJ1697" s="1684"/>
      <c r="AK1697" s="1684"/>
      <c r="AL1697" s="1684"/>
      <c r="AM1697" s="1684"/>
      <c r="AN1697" s="1684"/>
      <c r="AO1697" s="1684"/>
      <c r="AP1697" s="1684"/>
      <c r="AQ1697" s="1684"/>
      <c r="AR1697" s="1684"/>
      <c r="AS1697" s="1684"/>
      <c r="AT1697" s="1684"/>
      <c r="AU1697" s="1684"/>
      <c r="AV1697" s="1684"/>
      <c r="AW1697" s="1684"/>
      <c r="AX1697" s="1684"/>
      <c r="AY1697" s="1684"/>
      <c r="AZ1697" s="1684"/>
      <c r="BA1697" s="1684"/>
      <c r="BB1697" s="1684"/>
      <c r="BC1697" s="1684"/>
      <c r="BD1697" s="1684"/>
      <c r="BE1697" s="1684"/>
      <c r="BF1697" s="1684"/>
      <c r="BG1697" s="1684"/>
      <c r="BH1697" s="1684"/>
      <c r="BI1697" s="1684"/>
      <c r="BJ1697" s="1684"/>
      <c r="BK1697" s="1684"/>
      <c r="BL1697" s="1684"/>
      <c r="BM1697" s="1684"/>
      <c r="BN1697" s="1684"/>
      <c r="BO1697" s="1684"/>
      <c r="BP1697" s="1684"/>
      <c r="BQ1697" s="1684"/>
      <c r="BR1697" s="1684"/>
      <c r="BS1697" s="1684"/>
      <c r="BT1697" s="1684"/>
      <c r="BU1697" s="1684"/>
      <c r="BV1697" s="1684"/>
      <c r="BW1697" s="1684"/>
      <c r="BX1697" s="1684"/>
      <c r="BY1697" s="1684"/>
      <c r="BZ1697" s="1684"/>
      <c r="CA1697" s="1684"/>
      <c r="CB1697" s="1684"/>
      <c r="CC1697" s="1684"/>
      <c r="CD1697" s="1684"/>
      <c r="CE1697" s="1684"/>
      <c r="CF1697" s="1684"/>
      <c r="CG1697" s="1684"/>
      <c r="CH1697" s="1684"/>
      <c r="CI1697" s="1684"/>
      <c r="CJ1697" s="1684"/>
      <c r="CK1697" s="1684"/>
      <c r="CL1697" s="1684"/>
      <c r="CM1697" s="1684"/>
      <c r="CN1697" s="1684"/>
      <c r="CO1697" s="1684"/>
    </row>
    <row r="1698" spans="1:93" s="1391" customFormat="1" ht="15" x14ac:dyDescent="0.2">
      <c r="A1698" s="1684"/>
      <c r="B1698" s="2026">
        <v>13</v>
      </c>
      <c r="C1698" s="2027">
        <v>5.6559999999999997</v>
      </c>
      <c r="D1698" s="2027">
        <v>343</v>
      </c>
      <c r="E1698" s="2027">
        <v>373</v>
      </c>
      <c r="F1698" s="2027">
        <v>403</v>
      </c>
      <c r="G1698" s="2027">
        <v>433</v>
      </c>
      <c r="H1698" s="2027">
        <v>463</v>
      </c>
      <c r="I1698" s="2027">
        <v>493</v>
      </c>
      <c r="J1698" s="2027">
        <v>522</v>
      </c>
      <c r="K1698" s="2027">
        <v>552</v>
      </c>
      <c r="L1698" s="2027">
        <v>582</v>
      </c>
      <c r="M1698" s="2028">
        <v>21</v>
      </c>
      <c r="N1698"/>
      <c r="O1698" s="1684"/>
      <c r="P1698" s="1684"/>
      <c r="Q1698" s="1684"/>
      <c r="R1698" s="1684"/>
      <c r="S1698" s="1684"/>
      <c r="T1698" s="1684"/>
      <c r="U1698" s="1684"/>
      <c r="V1698" s="1684"/>
      <c r="W1698" s="1684"/>
      <c r="X1698" s="1684"/>
      <c r="Y1698" s="1684"/>
      <c r="Z1698" s="1684"/>
      <c r="AA1698" s="1684"/>
      <c r="AB1698" s="1684"/>
      <c r="AC1698" s="1684"/>
      <c r="AD1698" s="1684"/>
      <c r="AE1698" s="1684"/>
      <c r="AF1698" s="1684"/>
      <c r="AG1698" s="1684"/>
      <c r="AH1698" s="1684"/>
      <c r="AI1698" s="1684"/>
      <c r="AJ1698" s="1684"/>
      <c r="AK1698" s="1684"/>
      <c r="AL1698" s="1684"/>
      <c r="AM1698" s="1684"/>
      <c r="AN1698" s="1684"/>
      <c r="AO1698" s="1684"/>
      <c r="AP1698" s="1684"/>
      <c r="AQ1698" s="1684"/>
      <c r="AR1698" s="1684"/>
      <c r="AS1698" s="1684"/>
      <c r="AT1698" s="1684"/>
      <c r="AU1698" s="1684"/>
      <c r="AV1698" s="1684"/>
      <c r="AW1698" s="1684"/>
      <c r="AX1698" s="1684"/>
      <c r="AY1698" s="1684"/>
      <c r="AZ1698" s="1684"/>
      <c r="BA1698" s="1684"/>
      <c r="BB1698" s="1684"/>
      <c r="BC1698" s="1684"/>
      <c r="BD1698" s="1684"/>
      <c r="BE1698" s="1684"/>
      <c r="BF1698" s="1684"/>
      <c r="BG1698" s="1684"/>
      <c r="BH1698" s="1684"/>
      <c r="BI1698" s="1684"/>
      <c r="BJ1698" s="1684"/>
      <c r="BK1698" s="1684"/>
      <c r="BL1698" s="1684"/>
      <c r="BM1698" s="1684"/>
      <c r="BN1698" s="1684"/>
      <c r="BO1698" s="1684"/>
      <c r="BP1698" s="1684"/>
      <c r="BQ1698" s="1684"/>
      <c r="BR1698" s="1684"/>
      <c r="BS1698" s="1684"/>
      <c r="BT1698" s="1684"/>
      <c r="BU1698" s="1684"/>
      <c r="BV1698" s="1684"/>
      <c r="BW1698" s="1684"/>
      <c r="BX1698" s="1684"/>
      <c r="BY1698" s="1684"/>
      <c r="BZ1698" s="1684"/>
      <c r="CA1698" s="1684"/>
      <c r="CB1698" s="1684"/>
      <c r="CC1698" s="1684"/>
      <c r="CD1698" s="1684"/>
      <c r="CE1698" s="1684"/>
      <c r="CF1698" s="1684"/>
      <c r="CG1698" s="1684"/>
      <c r="CH1698" s="1684"/>
      <c r="CI1698" s="1684"/>
      <c r="CJ1698" s="1684"/>
      <c r="CK1698" s="1684"/>
      <c r="CL1698" s="1684"/>
      <c r="CM1698" s="1684"/>
      <c r="CN1698" s="1684"/>
      <c r="CO1698" s="1684"/>
    </row>
    <row r="1699" spans="1:93" s="1391" customFormat="1" ht="15" x14ac:dyDescent="0.2">
      <c r="A1699" s="1684"/>
      <c r="B1699" s="2026">
        <v>14</v>
      </c>
      <c r="C1699" s="2027">
        <v>5.9859999999999998</v>
      </c>
      <c r="D1699" s="2027">
        <v>377</v>
      </c>
      <c r="E1699" s="2027">
        <v>410</v>
      </c>
      <c r="F1699" s="2027">
        <v>443</v>
      </c>
      <c r="G1699" s="2027">
        <v>475</v>
      </c>
      <c r="H1699" s="2027">
        <v>508</v>
      </c>
      <c r="I1699" s="2027">
        <v>541</v>
      </c>
      <c r="J1699" s="2027">
        <v>574</v>
      </c>
      <c r="K1699" s="2027">
        <v>606</v>
      </c>
      <c r="L1699" s="2027">
        <v>639</v>
      </c>
      <c r="M1699" s="2028">
        <v>22</v>
      </c>
      <c r="N1699"/>
      <c r="O1699" s="1684"/>
      <c r="P1699" s="1684"/>
      <c r="Q1699" s="1684"/>
      <c r="R1699" s="1684"/>
      <c r="S1699" s="1684"/>
      <c r="T1699" s="1684"/>
      <c r="U1699" s="1684"/>
      <c r="V1699" s="1684"/>
      <c r="W1699" s="1684"/>
      <c r="X1699" s="1684"/>
      <c r="Y1699" s="1684"/>
      <c r="Z1699" s="1684"/>
      <c r="AA1699" s="1684"/>
      <c r="AB1699" s="1684"/>
      <c r="AC1699" s="1684"/>
      <c r="AD1699" s="1684"/>
      <c r="AE1699" s="1684"/>
      <c r="AF1699" s="1684"/>
      <c r="AG1699" s="1684"/>
      <c r="AH1699" s="1684"/>
      <c r="AI1699" s="1684"/>
      <c r="AJ1699" s="1684"/>
      <c r="AK1699" s="1684"/>
      <c r="AL1699" s="1684"/>
      <c r="AM1699" s="1684"/>
      <c r="AN1699" s="1684"/>
      <c r="AO1699" s="1684"/>
      <c r="AP1699" s="1684"/>
      <c r="AQ1699" s="1684"/>
      <c r="AR1699" s="1684"/>
      <c r="AS1699" s="1684"/>
      <c r="AT1699" s="1684"/>
      <c r="AU1699" s="1684"/>
      <c r="AV1699" s="1684"/>
      <c r="AW1699" s="1684"/>
      <c r="AX1699" s="1684"/>
      <c r="AY1699" s="1684"/>
      <c r="AZ1699" s="1684"/>
      <c r="BA1699" s="1684"/>
      <c r="BB1699" s="1684"/>
      <c r="BC1699" s="1684"/>
      <c r="BD1699" s="1684"/>
      <c r="BE1699" s="1684"/>
      <c r="BF1699" s="1684"/>
      <c r="BG1699" s="1684"/>
      <c r="BH1699" s="1684"/>
      <c r="BI1699" s="1684"/>
      <c r="BJ1699" s="1684"/>
      <c r="BK1699" s="1684"/>
      <c r="BL1699" s="1684"/>
      <c r="BM1699" s="1684"/>
      <c r="BN1699" s="1684"/>
      <c r="BO1699" s="1684"/>
      <c r="BP1699" s="1684"/>
      <c r="BQ1699" s="1684"/>
      <c r="BR1699" s="1684"/>
      <c r="BS1699" s="1684"/>
      <c r="BT1699" s="1684"/>
      <c r="BU1699" s="1684"/>
      <c r="BV1699" s="1684"/>
      <c r="BW1699" s="1684"/>
      <c r="BX1699" s="1684"/>
      <c r="BY1699" s="1684"/>
      <c r="BZ1699" s="1684"/>
      <c r="CA1699" s="1684"/>
      <c r="CB1699" s="1684"/>
      <c r="CC1699" s="1684"/>
      <c r="CD1699" s="1684"/>
      <c r="CE1699" s="1684"/>
      <c r="CF1699" s="1684"/>
      <c r="CG1699" s="1684"/>
      <c r="CH1699" s="1684"/>
      <c r="CI1699" s="1684"/>
      <c r="CJ1699" s="1684"/>
      <c r="CK1699" s="1684"/>
      <c r="CL1699" s="1684"/>
      <c r="CM1699" s="1684"/>
      <c r="CN1699" s="1684"/>
      <c r="CO1699" s="1684"/>
    </row>
    <row r="1700" spans="1:93" s="1391" customFormat="1" ht="15" x14ac:dyDescent="0.2">
      <c r="A1700" s="1684"/>
      <c r="B1700" s="2026">
        <v>15</v>
      </c>
      <c r="C1700" s="2027">
        <v>6.3310000000000004</v>
      </c>
      <c r="D1700" s="2027">
        <v>412</v>
      </c>
      <c r="E1700" s="2027">
        <v>448</v>
      </c>
      <c r="F1700" s="2027">
        <v>484</v>
      </c>
      <c r="G1700" s="2027">
        <v>520</v>
      </c>
      <c r="H1700" s="2027">
        <v>555</v>
      </c>
      <c r="I1700" s="2027">
        <v>591</v>
      </c>
      <c r="J1700" s="2027">
        <v>627</v>
      </c>
      <c r="K1700" s="2027">
        <v>663</v>
      </c>
      <c r="L1700" s="2027">
        <v>699</v>
      </c>
      <c r="M1700" s="2028">
        <v>23</v>
      </c>
      <c r="N1700"/>
      <c r="O1700" s="1684"/>
      <c r="P1700" s="1684"/>
      <c r="Q1700" s="1684"/>
      <c r="R1700" s="1684"/>
      <c r="S1700" s="1684"/>
      <c r="T1700" s="1684"/>
      <c r="U1700" s="1684"/>
      <c r="V1700" s="1684"/>
      <c r="W1700" s="1684"/>
      <c r="X1700" s="1684"/>
      <c r="Y1700" s="1684"/>
      <c r="Z1700" s="1684"/>
      <c r="AA1700" s="1684"/>
      <c r="AB1700" s="1684"/>
      <c r="AC1700" s="1684"/>
      <c r="AD1700" s="1684"/>
      <c r="AE1700" s="1684"/>
      <c r="AF1700" s="1684"/>
      <c r="AG1700" s="1684"/>
      <c r="AH1700" s="1684"/>
      <c r="AI1700" s="1684"/>
      <c r="AJ1700" s="1684"/>
      <c r="AK1700" s="1684"/>
      <c r="AL1700" s="1684"/>
      <c r="AM1700" s="1684"/>
      <c r="AN1700" s="1684"/>
      <c r="AO1700" s="1684"/>
      <c r="AP1700" s="1684"/>
      <c r="AQ1700" s="1684"/>
      <c r="AR1700" s="1684"/>
      <c r="AS1700" s="1684"/>
      <c r="AT1700" s="1684"/>
      <c r="AU1700" s="1684"/>
      <c r="AV1700" s="1684"/>
      <c r="AW1700" s="1684"/>
      <c r="AX1700" s="1684"/>
      <c r="AY1700" s="1684"/>
      <c r="AZ1700" s="1684"/>
      <c r="BA1700" s="1684"/>
      <c r="BB1700" s="1684"/>
      <c r="BC1700" s="1684"/>
      <c r="BD1700" s="1684"/>
      <c r="BE1700" s="1684"/>
      <c r="BF1700" s="1684"/>
      <c r="BG1700" s="1684"/>
      <c r="BH1700" s="1684"/>
      <c r="BI1700" s="1684"/>
      <c r="BJ1700" s="1684"/>
      <c r="BK1700" s="1684"/>
      <c r="BL1700" s="1684"/>
      <c r="BM1700" s="1684"/>
      <c r="BN1700" s="1684"/>
      <c r="BO1700" s="1684"/>
      <c r="BP1700" s="1684"/>
      <c r="BQ1700" s="1684"/>
      <c r="BR1700" s="1684"/>
      <c r="BS1700" s="1684"/>
      <c r="BT1700" s="1684"/>
      <c r="BU1700" s="1684"/>
      <c r="BV1700" s="1684"/>
      <c r="BW1700" s="1684"/>
      <c r="BX1700" s="1684"/>
      <c r="BY1700" s="1684"/>
      <c r="BZ1700" s="1684"/>
      <c r="CA1700" s="1684"/>
      <c r="CB1700" s="1684"/>
      <c r="CC1700" s="1684"/>
      <c r="CD1700" s="1684"/>
      <c r="CE1700" s="1684"/>
      <c r="CF1700" s="1684"/>
      <c r="CG1700" s="1684"/>
      <c r="CH1700" s="1684"/>
      <c r="CI1700" s="1684"/>
      <c r="CJ1700" s="1684"/>
      <c r="CK1700" s="1684"/>
      <c r="CL1700" s="1684"/>
      <c r="CM1700" s="1684"/>
      <c r="CN1700" s="1684"/>
      <c r="CO1700" s="1684"/>
    </row>
    <row r="1701" spans="1:93" s="1391" customFormat="1" ht="15" x14ac:dyDescent="0.2">
      <c r="A1701" s="1684"/>
      <c r="B1701" s="2026">
        <v>16</v>
      </c>
      <c r="C1701" s="2027">
        <v>6.6749999999999998</v>
      </c>
      <c r="D1701" s="2027">
        <v>447</v>
      </c>
      <c r="E1701" s="2027">
        <v>486</v>
      </c>
      <c r="F1701" s="2027">
        <v>525</v>
      </c>
      <c r="G1701" s="2027">
        <v>564</v>
      </c>
      <c r="H1701" s="2027">
        <v>603</v>
      </c>
      <c r="I1701" s="2027">
        <v>642</v>
      </c>
      <c r="J1701" s="2027">
        <v>681</v>
      </c>
      <c r="K1701" s="2027">
        <v>720</v>
      </c>
      <c r="L1701" s="2027">
        <v>758</v>
      </c>
      <c r="M1701" s="2028">
        <v>24</v>
      </c>
      <c r="N1701"/>
      <c r="O1701" s="1684"/>
      <c r="P1701" s="1684"/>
      <c r="Q1701" s="1684"/>
      <c r="R1701" s="1684"/>
      <c r="S1701" s="1684"/>
      <c r="T1701" s="1684"/>
      <c r="U1701" s="1684"/>
      <c r="V1701" s="1684"/>
      <c r="W1701" s="1684"/>
      <c r="X1701" s="1684"/>
      <c r="Y1701" s="1684"/>
      <c r="Z1701" s="1684"/>
      <c r="AA1701" s="1684"/>
      <c r="AB1701" s="1684"/>
      <c r="AC1701" s="1684"/>
      <c r="AD1701" s="1684"/>
      <c r="AE1701" s="1684"/>
      <c r="AF1701" s="1684"/>
      <c r="AG1701" s="1684"/>
      <c r="AH1701" s="1684"/>
      <c r="AI1701" s="1684"/>
      <c r="AJ1701" s="1684"/>
      <c r="AK1701" s="1684"/>
      <c r="AL1701" s="1684"/>
      <c r="AM1701" s="1684"/>
      <c r="AN1701" s="1684"/>
      <c r="AO1701" s="1684"/>
      <c r="AP1701" s="1684"/>
      <c r="AQ1701" s="1684"/>
      <c r="AR1701" s="1684"/>
      <c r="AS1701" s="1684"/>
      <c r="AT1701" s="1684"/>
      <c r="AU1701" s="1684"/>
      <c r="AV1701" s="1684"/>
      <c r="AW1701" s="1684"/>
      <c r="AX1701" s="1684"/>
      <c r="AY1701" s="1684"/>
      <c r="AZ1701" s="1684"/>
      <c r="BA1701" s="1684"/>
      <c r="BB1701" s="1684"/>
      <c r="BC1701" s="1684"/>
      <c r="BD1701" s="1684"/>
      <c r="BE1701" s="1684"/>
      <c r="BF1701" s="1684"/>
      <c r="BG1701" s="1684"/>
      <c r="BH1701" s="1684"/>
      <c r="BI1701" s="1684"/>
      <c r="BJ1701" s="1684"/>
      <c r="BK1701" s="1684"/>
      <c r="BL1701" s="1684"/>
      <c r="BM1701" s="1684"/>
      <c r="BN1701" s="1684"/>
      <c r="BO1701" s="1684"/>
      <c r="BP1701" s="1684"/>
      <c r="BQ1701" s="1684"/>
      <c r="BR1701" s="1684"/>
      <c r="BS1701" s="1684"/>
      <c r="BT1701" s="1684"/>
      <c r="BU1701" s="1684"/>
      <c r="BV1701" s="1684"/>
      <c r="BW1701" s="1684"/>
      <c r="BX1701" s="1684"/>
      <c r="BY1701" s="1684"/>
      <c r="BZ1701" s="1684"/>
      <c r="CA1701" s="1684"/>
      <c r="CB1701" s="1684"/>
      <c r="CC1701" s="1684"/>
      <c r="CD1701" s="1684"/>
      <c r="CE1701" s="1684"/>
      <c r="CF1701" s="1684"/>
      <c r="CG1701" s="1684"/>
      <c r="CH1701" s="1684"/>
      <c r="CI1701" s="1684"/>
      <c r="CJ1701" s="1684"/>
      <c r="CK1701" s="1684"/>
      <c r="CL1701" s="1684"/>
      <c r="CM1701" s="1684"/>
      <c r="CN1701" s="1684"/>
      <c r="CO1701" s="1684"/>
    </row>
    <row r="1702" spans="1:93" s="1391" customFormat="1" ht="15" x14ac:dyDescent="0.2">
      <c r="A1702" s="1684"/>
      <c r="B1702" s="4716" t="s">
        <v>1055</v>
      </c>
      <c r="C1702" s="4711"/>
      <c r="D1702" s="4711"/>
      <c r="E1702" s="4711"/>
      <c r="F1702" s="4711"/>
      <c r="G1702" s="4711"/>
      <c r="H1702" s="4711"/>
      <c r="I1702" s="4711"/>
      <c r="J1702" s="4711"/>
      <c r="K1702" s="4711"/>
      <c r="L1702" s="4711"/>
      <c r="M1702" s="4717"/>
      <c r="N1702"/>
      <c r="O1702" s="1684"/>
      <c r="P1702" s="1684"/>
      <c r="Q1702" s="1684"/>
      <c r="R1702" s="1684"/>
      <c r="S1702" s="1684"/>
      <c r="T1702" s="1684"/>
      <c r="U1702" s="1684"/>
      <c r="V1702" s="1684"/>
      <c r="W1702" s="1684"/>
      <c r="X1702" s="1684"/>
      <c r="Y1702" s="1684"/>
      <c r="Z1702" s="1684"/>
      <c r="AA1702" s="1684"/>
      <c r="AB1702" s="1684"/>
      <c r="AC1702" s="1684"/>
      <c r="AD1702" s="1684"/>
      <c r="AE1702" s="1684"/>
      <c r="AF1702" s="1684"/>
      <c r="AG1702" s="1684"/>
      <c r="AH1702" s="1684"/>
      <c r="AI1702" s="1684"/>
      <c r="AJ1702" s="1684"/>
      <c r="AK1702" s="1684"/>
      <c r="AL1702" s="1684"/>
      <c r="AM1702" s="1684"/>
      <c r="AN1702" s="1684"/>
      <c r="AO1702" s="1684"/>
      <c r="AP1702" s="1684"/>
      <c r="AQ1702" s="1684"/>
      <c r="AR1702" s="1684"/>
      <c r="AS1702" s="1684"/>
      <c r="AT1702" s="1684"/>
      <c r="AU1702" s="1684"/>
      <c r="AV1702" s="1684"/>
      <c r="AW1702" s="1684"/>
      <c r="AX1702" s="1684"/>
      <c r="AY1702" s="1684"/>
      <c r="AZ1702" s="1684"/>
      <c r="BA1702" s="1684"/>
      <c r="BB1702" s="1684"/>
      <c r="BC1702" s="1684"/>
      <c r="BD1702" s="1684"/>
      <c r="BE1702" s="1684"/>
      <c r="BF1702" s="1684"/>
      <c r="BG1702" s="1684"/>
      <c r="BH1702" s="1684"/>
      <c r="BI1702" s="1684"/>
      <c r="BJ1702" s="1684"/>
      <c r="BK1702" s="1684"/>
      <c r="BL1702" s="1684"/>
      <c r="BM1702" s="1684"/>
      <c r="BN1702" s="1684"/>
      <c r="BO1702" s="1684"/>
      <c r="BP1702" s="1684"/>
      <c r="BQ1702" s="1684"/>
      <c r="BR1702" s="1684"/>
      <c r="BS1702" s="1684"/>
      <c r="BT1702" s="1684"/>
      <c r="BU1702" s="1684"/>
      <c r="BV1702" s="1684"/>
      <c r="BW1702" s="1684"/>
      <c r="BX1702" s="1684"/>
      <c r="BY1702" s="1684"/>
      <c r="BZ1702" s="1684"/>
      <c r="CA1702" s="1684"/>
      <c r="CB1702" s="1684"/>
      <c r="CC1702" s="1684"/>
      <c r="CD1702" s="1684"/>
      <c r="CE1702" s="1684"/>
      <c r="CF1702" s="1684"/>
      <c r="CG1702" s="1684"/>
      <c r="CH1702" s="1684"/>
      <c r="CI1702" s="1684"/>
      <c r="CJ1702" s="1684"/>
      <c r="CK1702" s="1684"/>
      <c r="CL1702" s="1684"/>
      <c r="CM1702" s="1684"/>
      <c r="CN1702" s="1684"/>
      <c r="CO1702" s="1684"/>
    </row>
    <row r="1703" spans="1:93" s="1391" customFormat="1" ht="15" x14ac:dyDescent="0.2">
      <c r="A1703" s="1684"/>
      <c r="B1703" s="2023"/>
      <c r="C1703" s="2024"/>
      <c r="D1703" s="2024">
        <v>1</v>
      </c>
      <c r="E1703" s="2024">
        <v>2</v>
      </c>
      <c r="F1703" s="2024">
        <v>3</v>
      </c>
      <c r="G1703" s="2024">
        <v>4</v>
      </c>
      <c r="H1703" s="2024">
        <v>5</v>
      </c>
      <c r="I1703" s="2024">
        <v>6</v>
      </c>
      <c r="J1703" s="2024">
        <v>7</v>
      </c>
      <c r="K1703" s="2024">
        <v>8</v>
      </c>
      <c r="L1703" s="2024">
        <v>9</v>
      </c>
      <c r="M1703" s="2025"/>
      <c r="N1703"/>
      <c r="O1703" s="1684"/>
      <c r="P1703" s="1684"/>
      <c r="Q1703" s="1684"/>
      <c r="R1703" s="1684"/>
      <c r="S1703" s="1684"/>
      <c r="T1703" s="1684"/>
      <c r="U1703" s="1684"/>
      <c r="V1703" s="1684"/>
      <c r="W1703" s="1684"/>
      <c r="X1703" s="1684"/>
      <c r="Y1703" s="1684"/>
      <c r="Z1703" s="1684"/>
      <c r="AA1703" s="1684"/>
      <c r="AB1703" s="1684"/>
      <c r="AC1703" s="1684"/>
      <c r="AD1703" s="1684"/>
      <c r="AE1703" s="1684"/>
      <c r="AF1703" s="1684"/>
      <c r="AG1703" s="1684"/>
      <c r="AH1703" s="1684"/>
      <c r="AI1703" s="1684"/>
      <c r="AJ1703" s="1684"/>
      <c r="AK1703" s="1684"/>
      <c r="AL1703" s="1684"/>
      <c r="AM1703" s="1684"/>
      <c r="AN1703" s="1684"/>
      <c r="AO1703" s="1684"/>
      <c r="AP1703" s="1684"/>
      <c r="AQ1703" s="1684"/>
      <c r="AR1703" s="1684"/>
      <c r="AS1703" s="1684"/>
      <c r="AT1703" s="1684"/>
      <c r="AU1703" s="1684"/>
      <c r="AV1703" s="1684"/>
      <c r="AW1703" s="1684"/>
      <c r="AX1703" s="1684"/>
      <c r="AY1703" s="1684"/>
      <c r="AZ1703" s="1684"/>
      <c r="BA1703" s="1684"/>
      <c r="BB1703" s="1684"/>
      <c r="BC1703" s="1684"/>
      <c r="BD1703" s="1684"/>
      <c r="BE1703" s="1684"/>
      <c r="BF1703" s="1684"/>
      <c r="BG1703" s="1684"/>
      <c r="BH1703" s="1684"/>
      <c r="BI1703" s="1684"/>
      <c r="BJ1703" s="1684"/>
      <c r="BK1703" s="1684"/>
      <c r="BL1703" s="1684"/>
      <c r="BM1703" s="1684"/>
      <c r="BN1703" s="1684"/>
      <c r="BO1703" s="1684"/>
      <c r="BP1703" s="1684"/>
      <c r="BQ1703" s="1684"/>
      <c r="BR1703" s="1684"/>
      <c r="BS1703" s="1684"/>
      <c r="BT1703" s="1684"/>
      <c r="BU1703" s="1684"/>
      <c r="BV1703" s="1684"/>
      <c r="BW1703" s="1684"/>
      <c r="BX1703" s="1684"/>
      <c r="BY1703" s="1684"/>
      <c r="BZ1703" s="1684"/>
      <c r="CA1703" s="1684"/>
      <c r="CB1703" s="1684"/>
      <c r="CC1703" s="1684"/>
      <c r="CD1703" s="1684"/>
      <c r="CE1703" s="1684"/>
      <c r="CF1703" s="1684"/>
      <c r="CG1703" s="1684"/>
      <c r="CH1703" s="1684"/>
      <c r="CI1703" s="1684"/>
      <c r="CJ1703" s="1684"/>
      <c r="CK1703" s="1684"/>
      <c r="CL1703" s="1684"/>
      <c r="CM1703" s="1684"/>
      <c r="CN1703" s="1684"/>
      <c r="CO1703" s="1684"/>
    </row>
    <row r="1704" spans="1:93" s="1391" customFormat="1" ht="15" x14ac:dyDescent="0.2">
      <c r="A1704" s="1684"/>
      <c r="B1704" s="2026">
        <v>9</v>
      </c>
      <c r="C1704" s="2027">
        <v>4.5250000000000004</v>
      </c>
      <c r="D1704" s="2027">
        <v>234</v>
      </c>
      <c r="E1704" s="2027">
        <v>255</v>
      </c>
      <c r="F1704" s="2027">
        <v>275</v>
      </c>
      <c r="G1704" s="2027">
        <v>296</v>
      </c>
      <c r="H1704" s="2027">
        <v>316</v>
      </c>
      <c r="I1704" s="2027">
        <v>336</v>
      </c>
      <c r="J1704" s="2027">
        <v>357</v>
      </c>
      <c r="K1704" s="2027">
        <v>377</v>
      </c>
      <c r="L1704" s="2027">
        <v>397</v>
      </c>
      <c r="M1704" s="2028">
        <v>25</v>
      </c>
      <c r="N1704"/>
      <c r="O1704" s="1684"/>
      <c r="P1704" s="1684"/>
      <c r="Q1704" s="1684"/>
      <c r="R1704" s="1684"/>
      <c r="S1704" s="1684"/>
      <c r="T1704" s="1684"/>
      <c r="U1704" s="1684"/>
      <c r="V1704" s="1684"/>
      <c r="W1704" s="1684"/>
      <c r="X1704" s="1684"/>
      <c r="Y1704" s="1684"/>
      <c r="Z1704" s="1684"/>
      <c r="AA1704" s="1684"/>
      <c r="AB1704" s="1684"/>
      <c r="AC1704" s="1684"/>
      <c r="AD1704" s="1684"/>
      <c r="AE1704" s="1684"/>
      <c r="AF1704" s="1684"/>
      <c r="AG1704" s="1684"/>
      <c r="AH1704" s="1684"/>
      <c r="AI1704" s="1684"/>
      <c r="AJ1704" s="1684"/>
      <c r="AK1704" s="1684"/>
      <c r="AL1704" s="1684"/>
      <c r="AM1704" s="1684"/>
      <c r="AN1704" s="1684"/>
      <c r="AO1704" s="1684"/>
      <c r="AP1704" s="1684"/>
      <c r="AQ1704" s="1684"/>
      <c r="AR1704" s="1684"/>
      <c r="AS1704" s="1684"/>
      <c r="AT1704" s="1684"/>
      <c r="AU1704" s="1684"/>
      <c r="AV1704" s="1684"/>
      <c r="AW1704" s="1684"/>
      <c r="AX1704" s="1684"/>
      <c r="AY1704" s="1684"/>
      <c r="AZ1704" s="1684"/>
      <c r="BA1704" s="1684"/>
      <c r="BB1704" s="1684"/>
      <c r="BC1704" s="1684"/>
      <c r="BD1704" s="1684"/>
      <c r="BE1704" s="1684"/>
      <c r="BF1704" s="1684"/>
      <c r="BG1704" s="1684"/>
      <c r="BH1704" s="1684"/>
      <c r="BI1704" s="1684"/>
      <c r="BJ1704" s="1684"/>
      <c r="BK1704" s="1684"/>
      <c r="BL1704" s="1684"/>
      <c r="BM1704" s="1684"/>
      <c r="BN1704" s="1684"/>
      <c r="BO1704" s="1684"/>
      <c r="BP1704" s="1684"/>
      <c r="BQ1704" s="1684"/>
      <c r="BR1704" s="1684"/>
      <c r="BS1704" s="1684"/>
      <c r="BT1704" s="1684"/>
      <c r="BU1704" s="1684"/>
      <c r="BV1704" s="1684"/>
      <c r="BW1704" s="1684"/>
      <c r="BX1704" s="1684"/>
      <c r="BY1704" s="1684"/>
      <c r="BZ1704" s="1684"/>
      <c r="CA1704" s="1684"/>
      <c r="CB1704" s="1684"/>
      <c r="CC1704" s="1684"/>
      <c r="CD1704" s="1684"/>
      <c r="CE1704" s="1684"/>
      <c r="CF1704" s="1684"/>
      <c r="CG1704" s="1684"/>
      <c r="CH1704" s="1684"/>
      <c r="CI1704" s="1684"/>
      <c r="CJ1704" s="1684"/>
      <c r="CK1704" s="1684"/>
      <c r="CL1704" s="1684"/>
      <c r="CM1704" s="1684"/>
      <c r="CN1704" s="1684"/>
      <c r="CO1704" s="1684"/>
    </row>
    <row r="1705" spans="1:93" s="1391" customFormat="1" ht="15" x14ac:dyDescent="0.2">
      <c r="A1705" s="1684"/>
      <c r="B1705" s="2026">
        <v>10</v>
      </c>
      <c r="C1705" s="2027">
        <v>4.7709999999999999</v>
      </c>
      <c r="D1705" s="2027">
        <v>260</v>
      </c>
      <c r="E1705" s="2027">
        <v>283</v>
      </c>
      <c r="F1705" s="2027">
        <v>305</v>
      </c>
      <c r="G1705" s="2027">
        <v>328</v>
      </c>
      <c r="H1705" s="2027">
        <v>351</v>
      </c>
      <c r="I1705" s="2027">
        <v>373</v>
      </c>
      <c r="J1705" s="2027">
        <v>396</v>
      </c>
      <c r="K1705" s="2027">
        <v>418</v>
      </c>
      <c r="L1705" s="2027">
        <v>441</v>
      </c>
      <c r="M1705" s="2028">
        <v>26</v>
      </c>
      <c r="N1705"/>
      <c r="O1705" s="1684"/>
      <c r="P1705" s="1684"/>
      <c r="Q1705" s="1684"/>
      <c r="R1705" s="1684"/>
      <c r="S1705" s="1684"/>
      <c r="T1705" s="1684"/>
      <c r="U1705" s="1684"/>
      <c r="V1705" s="1684"/>
      <c r="W1705" s="1684"/>
      <c r="X1705" s="1684"/>
      <c r="Y1705" s="1684"/>
      <c r="Z1705" s="1684"/>
      <c r="AA1705" s="1684"/>
      <c r="AB1705" s="1684"/>
      <c r="AC1705" s="1684"/>
      <c r="AD1705" s="1684"/>
      <c r="AE1705" s="1684"/>
      <c r="AF1705" s="1684"/>
      <c r="AG1705" s="1684"/>
      <c r="AH1705" s="1684"/>
      <c r="AI1705" s="1684"/>
      <c r="AJ1705" s="1684"/>
      <c r="AK1705" s="1684"/>
      <c r="AL1705" s="1684"/>
      <c r="AM1705" s="1684"/>
      <c r="AN1705" s="1684"/>
      <c r="AO1705" s="1684"/>
      <c r="AP1705" s="1684"/>
      <c r="AQ1705" s="1684"/>
      <c r="AR1705" s="1684"/>
      <c r="AS1705" s="1684"/>
      <c r="AT1705" s="1684"/>
      <c r="AU1705" s="1684"/>
      <c r="AV1705" s="1684"/>
      <c r="AW1705" s="1684"/>
      <c r="AX1705" s="1684"/>
      <c r="AY1705" s="1684"/>
      <c r="AZ1705" s="1684"/>
      <c r="BA1705" s="1684"/>
      <c r="BB1705" s="1684"/>
      <c r="BC1705" s="1684"/>
      <c r="BD1705" s="1684"/>
      <c r="BE1705" s="1684"/>
      <c r="BF1705" s="1684"/>
      <c r="BG1705" s="1684"/>
      <c r="BH1705" s="1684"/>
      <c r="BI1705" s="1684"/>
      <c r="BJ1705" s="1684"/>
      <c r="BK1705" s="1684"/>
      <c r="BL1705" s="1684"/>
      <c r="BM1705" s="1684"/>
      <c r="BN1705" s="1684"/>
      <c r="BO1705" s="1684"/>
      <c r="BP1705" s="1684"/>
      <c r="BQ1705" s="1684"/>
      <c r="BR1705" s="1684"/>
      <c r="BS1705" s="1684"/>
      <c r="BT1705" s="1684"/>
      <c r="BU1705" s="1684"/>
      <c r="BV1705" s="1684"/>
      <c r="BW1705" s="1684"/>
      <c r="BX1705" s="1684"/>
      <c r="BY1705" s="1684"/>
      <c r="BZ1705" s="1684"/>
      <c r="CA1705" s="1684"/>
      <c r="CB1705" s="1684"/>
      <c r="CC1705" s="1684"/>
      <c r="CD1705" s="1684"/>
      <c r="CE1705" s="1684"/>
      <c r="CF1705" s="1684"/>
      <c r="CG1705" s="1684"/>
      <c r="CH1705" s="1684"/>
      <c r="CI1705" s="1684"/>
      <c r="CJ1705" s="1684"/>
      <c r="CK1705" s="1684"/>
      <c r="CL1705" s="1684"/>
      <c r="CM1705" s="1684"/>
      <c r="CN1705" s="1684"/>
      <c r="CO1705" s="1684"/>
    </row>
    <row r="1706" spans="1:93" s="1391" customFormat="1" ht="15" x14ac:dyDescent="0.2">
      <c r="A1706" s="1684"/>
      <c r="B1706" s="2026">
        <v>11</v>
      </c>
      <c r="C1706" s="2027">
        <v>5.0510000000000002</v>
      </c>
      <c r="D1706" s="2027">
        <v>289</v>
      </c>
      <c r="E1706" s="2027">
        <v>315</v>
      </c>
      <c r="F1706" s="2027">
        <v>340</v>
      </c>
      <c r="G1706" s="2027">
        <v>365</v>
      </c>
      <c r="H1706" s="2027">
        <v>390</v>
      </c>
      <c r="I1706" s="2027">
        <v>415</v>
      </c>
      <c r="J1706" s="2027">
        <v>440</v>
      </c>
      <c r="K1706" s="2027">
        <v>466</v>
      </c>
      <c r="L1706" s="2027">
        <v>491</v>
      </c>
      <c r="M1706" s="2028">
        <v>27</v>
      </c>
      <c r="N1706"/>
      <c r="O1706" s="1684"/>
      <c r="P1706" s="1684"/>
      <c r="Q1706" s="1684"/>
      <c r="R1706" s="1684"/>
      <c r="S1706" s="1684"/>
      <c r="T1706" s="1684"/>
      <c r="U1706" s="1684"/>
      <c r="V1706" s="1684"/>
      <c r="W1706" s="1684"/>
      <c r="X1706" s="1684"/>
      <c r="Y1706" s="1684"/>
      <c r="Z1706" s="1684"/>
      <c r="AA1706" s="1684"/>
      <c r="AB1706" s="1684"/>
      <c r="AC1706" s="1684"/>
      <c r="AD1706" s="1684"/>
      <c r="AE1706" s="1684"/>
      <c r="AF1706" s="1684"/>
      <c r="AG1706" s="1684"/>
      <c r="AH1706" s="1684"/>
      <c r="AI1706" s="1684"/>
      <c r="AJ1706" s="1684"/>
      <c r="AK1706" s="1684"/>
      <c r="AL1706" s="1684"/>
      <c r="AM1706" s="1684"/>
      <c r="AN1706" s="1684"/>
      <c r="AO1706" s="1684"/>
      <c r="AP1706" s="1684"/>
      <c r="AQ1706" s="1684"/>
      <c r="AR1706" s="1684"/>
      <c r="AS1706" s="1684"/>
      <c r="AT1706" s="1684"/>
      <c r="AU1706" s="1684"/>
      <c r="AV1706" s="1684"/>
      <c r="AW1706" s="1684"/>
      <c r="AX1706" s="1684"/>
      <c r="AY1706" s="1684"/>
      <c r="AZ1706" s="1684"/>
      <c r="BA1706" s="1684"/>
      <c r="BB1706" s="1684"/>
      <c r="BC1706" s="1684"/>
      <c r="BD1706" s="1684"/>
      <c r="BE1706" s="1684"/>
      <c r="BF1706" s="1684"/>
      <c r="BG1706" s="1684"/>
      <c r="BH1706" s="1684"/>
      <c r="BI1706" s="1684"/>
      <c r="BJ1706" s="1684"/>
      <c r="BK1706" s="1684"/>
      <c r="BL1706" s="1684"/>
      <c r="BM1706" s="1684"/>
      <c r="BN1706" s="1684"/>
      <c r="BO1706" s="1684"/>
      <c r="BP1706" s="1684"/>
      <c r="BQ1706" s="1684"/>
      <c r="BR1706" s="1684"/>
      <c r="BS1706" s="1684"/>
      <c r="BT1706" s="1684"/>
      <c r="BU1706" s="1684"/>
      <c r="BV1706" s="1684"/>
      <c r="BW1706" s="1684"/>
      <c r="BX1706" s="1684"/>
      <c r="BY1706" s="1684"/>
      <c r="BZ1706" s="1684"/>
      <c r="CA1706" s="1684"/>
      <c r="CB1706" s="1684"/>
      <c r="CC1706" s="1684"/>
      <c r="CD1706" s="1684"/>
      <c r="CE1706" s="1684"/>
      <c r="CF1706" s="1684"/>
      <c r="CG1706" s="1684"/>
      <c r="CH1706" s="1684"/>
      <c r="CI1706" s="1684"/>
      <c r="CJ1706" s="1684"/>
      <c r="CK1706" s="1684"/>
      <c r="CL1706" s="1684"/>
      <c r="CM1706" s="1684"/>
      <c r="CN1706" s="1684"/>
      <c r="CO1706" s="1684"/>
    </row>
    <row r="1707" spans="1:93" s="1391" customFormat="1" ht="15" x14ac:dyDescent="0.2">
      <c r="A1707" s="1684"/>
      <c r="B1707" s="2026">
        <v>12</v>
      </c>
      <c r="C1707" s="2027">
        <v>5.3479999999999999</v>
      </c>
      <c r="D1707" s="2027">
        <v>321</v>
      </c>
      <c r="E1707" s="2027">
        <v>349</v>
      </c>
      <c r="F1707" s="2027">
        <v>376</v>
      </c>
      <c r="G1707" s="2027">
        <v>404</v>
      </c>
      <c r="H1707" s="2027">
        <v>432</v>
      </c>
      <c r="I1707" s="2027">
        <v>460</v>
      </c>
      <c r="J1707" s="2027">
        <v>488</v>
      </c>
      <c r="K1707" s="2027">
        <v>516</v>
      </c>
      <c r="L1707" s="2027">
        <v>544</v>
      </c>
      <c r="M1707" s="2028">
        <v>28</v>
      </c>
      <c r="N1707"/>
      <c r="O1707" s="1684"/>
      <c r="P1707" s="1684"/>
      <c r="Q1707" s="1684"/>
      <c r="R1707" s="1684"/>
      <c r="S1707" s="1684"/>
      <c r="T1707" s="1684"/>
      <c r="U1707" s="1684"/>
      <c r="V1707" s="1684"/>
      <c r="W1707" s="1684"/>
      <c r="X1707" s="1684"/>
      <c r="Y1707" s="1684"/>
      <c r="Z1707" s="1684"/>
      <c r="AA1707" s="1684"/>
      <c r="AB1707" s="1684"/>
      <c r="AC1707" s="1684"/>
      <c r="AD1707" s="1684"/>
      <c r="AE1707" s="1684"/>
      <c r="AF1707" s="1684"/>
      <c r="AG1707" s="1684"/>
      <c r="AH1707" s="1684"/>
      <c r="AI1707" s="1684"/>
      <c r="AJ1707" s="1684"/>
      <c r="AK1707" s="1684"/>
      <c r="AL1707" s="1684"/>
      <c r="AM1707" s="1684"/>
      <c r="AN1707" s="1684"/>
      <c r="AO1707" s="1684"/>
      <c r="AP1707" s="1684"/>
      <c r="AQ1707" s="1684"/>
      <c r="AR1707" s="1684"/>
      <c r="AS1707" s="1684"/>
      <c r="AT1707" s="1684"/>
      <c r="AU1707" s="1684"/>
      <c r="AV1707" s="1684"/>
      <c r="AW1707" s="1684"/>
      <c r="AX1707" s="1684"/>
      <c r="AY1707" s="1684"/>
      <c r="AZ1707" s="1684"/>
      <c r="BA1707" s="1684"/>
      <c r="BB1707" s="1684"/>
      <c r="BC1707" s="1684"/>
      <c r="BD1707" s="1684"/>
      <c r="BE1707" s="1684"/>
      <c r="BF1707" s="1684"/>
      <c r="BG1707" s="1684"/>
      <c r="BH1707" s="1684"/>
      <c r="BI1707" s="1684"/>
      <c r="BJ1707" s="1684"/>
      <c r="BK1707" s="1684"/>
      <c r="BL1707" s="1684"/>
      <c r="BM1707" s="1684"/>
      <c r="BN1707" s="1684"/>
      <c r="BO1707" s="1684"/>
      <c r="BP1707" s="1684"/>
      <c r="BQ1707" s="1684"/>
      <c r="BR1707" s="1684"/>
      <c r="BS1707" s="1684"/>
      <c r="BT1707" s="1684"/>
      <c r="BU1707" s="1684"/>
      <c r="BV1707" s="1684"/>
      <c r="BW1707" s="1684"/>
      <c r="BX1707" s="1684"/>
      <c r="BY1707" s="1684"/>
      <c r="BZ1707" s="1684"/>
      <c r="CA1707" s="1684"/>
      <c r="CB1707" s="1684"/>
      <c r="CC1707" s="1684"/>
      <c r="CD1707" s="1684"/>
      <c r="CE1707" s="1684"/>
      <c r="CF1707" s="1684"/>
      <c r="CG1707" s="1684"/>
      <c r="CH1707" s="1684"/>
      <c r="CI1707" s="1684"/>
      <c r="CJ1707" s="1684"/>
      <c r="CK1707" s="1684"/>
      <c r="CL1707" s="1684"/>
      <c r="CM1707" s="1684"/>
      <c r="CN1707" s="1684"/>
      <c r="CO1707" s="1684"/>
    </row>
    <row r="1708" spans="1:93" s="1391" customFormat="1" ht="15" x14ac:dyDescent="0.2">
      <c r="A1708" s="1684"/>
      <c r="B1708" s="2026">
        <v>13</v>
      </c>
      <c r="C1708" s="2027">
        <v>5.6559999999999997</v>
      </c>
      <c r="D1708" s="2027">
        <v>353</v>
      </c>
      <c r="E1708" s="2027">
        <v>384</v>
      </c>
      <c r="F1708" s="2027">
        <v>415</v>
      </c>
      <c r="G1708" s="2027">
        <v>445</v>
      </c>
      <c r="H1708" s="2027">
        <v>476</v>
      </c>
      <c r="I1708" s="2027">
        <v>507</v>
      </c>
      <c r="J1708" s="2027">
        <v>537</v>
      </c>
      <c r="K1708" s="2027">
        <v>568</v>
      </c>
      <c r="L1708" s="2027">
        <v>599</v>
      </c>
      <c r="M1708" s="2028">
        <v>29</v>
      </c>
      <c r="N1708"/>
      <c r="O1708" s="1684"/>
      <c r="P1708" s="1684"/>
      <c r="Q1708" s="1684"/>
      <c r="R1708" s="1684"/>
      <c r="S1708" s="1684"/>
      <c r="T1708" s="1684"/>
      <c r="U1708" s="1684"/>
      <c r="V1708" s="1684"/>
      <c r="W1708" s="1684"/>
      <c r="X1708" s="1684"/>
      <c r="Y1708" s="1684"/>
      <c r="Z1708" s="1684"/>
      <c r="AA1708" s="1684"/>
      <c r="AB1708" s="1684"/>
      <c r="AC1708" s="1684"/>
      <c r="AD1708" s="1684"/>
      <c r="AE1708" s="1684"/>
      <c r="AF1708" s="1684"/>
      <c r="AG1708" s="1684"/>
      <c r="AH1708" s="1684"/>
      <c r="AI1708" s="1684"/>
      <c r="AJ1708" s="1684"/>
      <c r="AK1708" s="1684"/>
      <c r="AL1708" s="1684"/>
      <c r="AM1708" s="1684"/>
      <c r="AN1708" s="1684"/>
      <c r="AO1708" s="1684"/>
      <c r="AP1708" s="1684"/>
      <c r="AQ1708" s="1684"/>
      <c r="AR1708" s="1684"/>
      <c r="AS1708" s="1684"/>
      <c r="AT1708" s="1684"/>
      <c r="AU1708" s="1684"/>
      <c r="AV1708" s="1684"/>
      <c r="AW1708" s="1684"/>
      <c r="AX1708" s="1684"/>
      <c r="AY1708" s="1684"/>
      <c r="AZ1708" s="1684"/>
      <c r="BA1708" s="1684"/>
      <c r="BB1708" s="1684"/>
      <c r="BC1708" s="1684"/>
      <c r="BD1708" s="1684"/>
      <c r="BE1708" s="1684"/>
      <c r="BF1708" s="1684"/>
      <c r="BG1708" s="1684"/>
      <c r="BH1708" s="1684"/>
      <c r="BI1708" s="1684"/>
      <c r="BJ1708" s="1684"/>
      <c r="BK1708" s="1684"/>
      <c r="BL1708" s="1684"/>
      <c r="BM1708" s="1684"/>
      <c r="BN1708" s="1684"/>
      <c r="BO1708" s="1684"/>
      <c r="BP1708" s="1684"/>
      <c r="BQ1708" s="1684"/>
      <c r="BR1708" s="1684"/>
      <c r="BS1708" s="1684"/>
      <c r="BT1708" s="1684"/>
      <c r="BU1708" s="1684"/>
      <c r="BV1708" s="1684"/>
      <c r="BW1708" s="1684"/>
      <c r="BX1708" s="1684"/>
      <c r="BY1708" s="1684"/>
      <c r="BZ1708" s="1684"/>
      <c r="CA1708" s="1684"/>
      <c r="CB1708" s="1684"/>
      <c r="CC1708" s="1684"/>
      <c r="CD1708" s="1684"/>
      <c r="CE1708" s="1684"/>
      <c r="CF1708" s="1684"/>
      <c r="CG1708" s="1684"/>
      <c r="CH1708" s="1684"/>
      <c r="CI1708" s="1684"/>
      <c r="CJ1708" s="1684"/>
      <c r="CK1708" s="1684"/>
      <c r="CL1708" s="1684"/>
      <c r="CM1708" s="1684"/>
      <c r="CN1708" s="1684"/>
      <c r="CO1708" s="1684"/>
    </row>
    <row r="1709" spans="1:93" s="1391" customFormat="1" ht="15" x14ac:dyDescent="0.2">
      <c r="A1709" s="1684"/>
      <c r="B1709" s="2026">
        <v>14</v>
      </c>
      <c r="C1709" s="2027">
        <v>5.9859999999999998</v>
      </c>
      <c r="D1709" s="2027">
        <v>388</v>
      </c>
      <c r="E1709" s="2027">
        <v>422</v>
      </c>
      <c r="F1709" s="2027">
        <v>456</v>
      </c>
      <c r="G1709" s="2027">
        <v>489</v>
      </c>
      <c r="H1709" s="2027">
        <v>523</v>
      </c>
      <c r="I1709" s="2027">
        <v>557</v>
      </c>
      <c r="J1709" s="2027">
        <v>591</v>
      </c>
      <c r="K1709" s="2027">
        <v>624</v>
      </c>
      <c r="L1709" s="2027">
        <v>658</v>
      </c>
      <c r="M1709" s="2028">
        <v>30</v>
      </c>
      <c r="N1709"/>
      <c r="O1709" s="1684"/>
      <c r="P1709" s="1684"/>
      <c r="Q1709" s="1684"/>
      <c r="R1709" s="1684"/>
      <c r="S1709" s="1684"/>
      <c r="T1709" s="1684"/>
      <c r="U1709" s="1684"/>
      <c r="V1709" s="1684"/>
      <c r="W1709" s="1684"/>
      <c r="X1709" s="1684"/>
      <c r="Y1709" s="1684"/>
      <c r="Z1709" s="1684"/>
      <c r="AA1709" s="1684"/>
      <c r="AB1709" s="1684"/>
      <c r="AC1709" s="1684"/>
      <c r="AD1709" s="1684"/>
      <c r="AE1709" s="1684"/>
      <c r="AF1709" s="1684"/>
      <c r="AG1709" s="1684"/>
      <c r="AH1709" s="1684"/>
      <c r="AI1709" s="1684"/>
      <c r="AJ1709" s="1684"/>
      <c r="AK1709" s="1684"/>
      <c r="AL1709" s="1684"/>
      <c r="AM1709" s="1684"/>
      <c r="AN1709" s="1684"/>
      <c r="AO1709" s="1684"/>
      <c r="AP1709" s="1684"/>
      <c r="AQ1709" s="1684"/>
      <c r="AR1709" s="1684"/>
      <c r="AS1709" s="1684"/>
      <c r="AT1709" s="1684"/>
      <c r="AU1709" s="1684"/>
      <c r="AV1709" s="1684"/>
      <c r="AW1709" s="1684"/>
      <c r="AX1709" s="1684"/>
      <c r="AY1709" s="1684"/>
      <c r="AZ1709" s="1684"/>
      <c r="BA1709" s="1684"/>
      <c r="BB1709" s="1684"/>
      <c r="BC1709" s="1684"/>
      <c r="BD1709" s="1684"/>
      <c r="BE1709" s="1684"/>
      <c r="BF1709" s="1684"/>
      <c r="BG1709" s="1684"/>
      <c r="BH1709" s="1684"/>
      <c r="BI1709" s="1684"/>
      <c r="BJ1709" s="1684"/>
      <c r="BK1709" s="1684"/>
      <c r="BL1709" s="1684"/>
      <c r="BM1709" s="1684"/>
      <c r="BN1709" s="1684"/>
      <c r="BO1709" s="1684"/>
      <c r="BP1709" s="1684"/>
      <c r="BQ1709" s="1684"/>
      <c r="BR1709" s="1684"/>
      <c r="BS1709" s="1684"/>
      <c r="BT1709" s="1684"/>
      <c r="BU1709" s="1684"/>
      <c r="BV1709" s="1684"/>
      <c r="BW1709" s="1684"/>
      <c r="BX1709" s="1684"/>
      <c r="BY1709" s="1684"/>
      <c r="BZ1709" s="1684"/>
      <c r="CA1709" s="1684"/>
      <c r="CB1709" s="1684"/>
      <c r="CC1709" s="1684"/>
      <c r="CD1709" s="1684"/>
      <c r="CE1709" s="1684"/>
      <c r="CF1709" s="1684"/>
      <c r="CG1709" s="1684"/>
      <c r="CH1709" s="1684"/>
      <c r="CI1709" s="1684"/>
      <c r="CJ1709" s="1684"/>
      <c r="CK1709" s="1684"/>
      <c r="CL1709" s="1684"/>
      <c r="CM1709" s="1684"/>
      <c r="CN1709" s="1684"/>
      <c r="CO1709" s="1684"/>
    </row>
    <row r="1710" spans="1:93" s="1391" customFormat="1" ht="15" x14ac:dyDescent="0.2">
      <c r="A1710" s="1684"/>
      <c r="B1710" s="2026">
        <v>15</v>
      </c>
      <c r="C1710" s="2027">
        <v>6.3310000000000004</v>
      </c>
      <c r="D1710" s="2027">
        <v>425</v>
      </c>
      <c r="E1710" s="2027">
        <v>462</v>
      </c>
      <c r="F1710" s="2027">
        <v>499</v>
      </c>
      <c r="G1710" s="2027">
        <v>536</v>
      </c>
      <c r="H1710" s="2027">
        <v>573</v>
      </c>
      <c r="I1710" s="2027">
        <v>610</v>
      </c>
      <c r="J1710" s="2027">
        <v>647</v>
      </c>
      <c r="K1710" s="2027">
        <v>684</v>
      </c>
      <c r="L1710" s="2027">
        <v>720</v>
      </c>
      <c r="M1710" s="2028">
        <v>31</v>
      </c>
      <c r="N1710"/>
      <c r="O1710" s="1684"/>
      <c r="P1710" s="1684"/>
      <c r="Q1710" s="1684"/>
      <c r="R1710" s="1684"/>
      <c r="S1710" s="1684"/>
      <c r="T1710" s="1684"/>
      <c r="U1710" s="1684"/>
      <c r="V1710" s="1684"/>
      <c r="W1710" s="1684"/>
      <c r="X1710" s="1684"/>
      <c r="Y1710" s="1684"/>
      <c r="Z1710" s="1684"/>
      <c r="AA1710" s="1684"/>
      <c r="AB1710" s="1684"/>
      <c r="AC1710" s="1684"/>
      <c r="AD1710" s="1684"/>
      <c r="AE1710" s="1684"/>
      <c r="AF1710" s="1684"/>
      <c r="AG1710" s="1684"/>
      <c r="AH1710" s="1684"/>
      <c r="AI1710" s="1684"/>
      <c r="AJ1710" s="1684"/>
      <c r="AK1710" s="1684"/>
      <c r="AL1710" s="1684"/>
      <c r="AM1710" s="1684"/>
      <c r="AN1710" s="1684"/>
      <c r="AO1710" s="1684"/>
      <c r="AP1710" s="1684"/>
      <c r="AQ1710" s="1684"/>
      <c r="AR1710" s="1684"/>
      <c r="AS1710" s="1684"/>
      <c r="AT1710" s="1684"/>
      <c r="AU1710" s="1684"/>
      <c r="AV1710" s="1684"/>
      <c r="AW1710" s="1684"/>
      <c r="AX1710" s="1684"/>
      <c r="AY1710" s="1684"/>
      <c r="AZ1710" s="1684"/>
      <c r="BA1710" s="1684"/>
      <c r="BB1710" s="1684"/>
      <c r="BC1710" s="1684"/>
      <c r="BD1710" s="1684"/>
      <c r="BE1710" s="1684"/>
      <c r="BF1710" s="1684"/>
      <c r="BG1710" s="1684"/>
      <c r="BH1710" s="1684"/>
      <c r="BI1710" s="1684"/>
      <c r="BJ1710" s="1684"/>
      <c r="BK1710" s="1684"/>
      <c r="BL1710" s="1684"/>
      <c r="BM1710" s="1684"/>
      <c r="BN1710" s="1684"/>
      <c r="BO1710" s="1684"/>
      <c r="BP1710" s="1684"/>
      <c r="BQ1710" s="1684"/>
      <c r="BR1710" s="1684"/>
      <c r="BS1710" s="1684"/>
      <c r="BT1710" s="1684"/>
      <c r="BU1710" s="1684"/>
      <c r="BV1710" s="1684"/>
      <c r="BW1710" s="1684"/>
      <c r="BX1710" s="1684"/>
      <c r="BY1710" s="1684"/>
      <c r="BZ1710" s="1684"/>
      <c r="CA1710" s="1684"/>
      <c r="CB1710" s="1684"/>
      <c r="CC1710" s="1684"/>
      <c r="CD1710" s="1684"/>
      <c r="CE1710" s="1684"/>
      <c r="CF1710" s="1684"/>
      <c r="CG1710" s="1684"/>
      <c r="CH1710" s="1684"/>
      <c r="CI1710" s="1684"/>
      <c r="CJ1710" s="1684"/>
      <c r="CK1710" s="1684"/>
      <c r="CL1710" s="1684"/>
      <c r="CM1710" s="1684"/>
      <c r="CN1710" s="1684"/>
      <c r="CO1710" s="1684"/>
    </row>
    <row r="1711" spans="1:93" s="1391" customFormat="1" ht="15" x14ac:dyDescent="0.2">
      <c r="A1711" s="1684"/>
      <c r="B1711" s="2026">
        <v>16</v>
      </c>
      <c r="C1711" s="2027">
        <v>6.6749999999999998</v>
      </c>
      <c r="D1711" s="2027">
        <v>462</v>
      </c>
      <c r="E1711" s="2027">
        <v>502</v>
      </c>
      <c r="F1711" s="2027">
        <v>542</v>
      </c>
      <c r="G1711" s="2027">
        <v>583</v>
      </c>
      <c r="H1711" s="2027">
        <v>623</v>
      </c>
      <c r="I1711" s="2027">
        <v>663</v>
      </c>
      <c r="J1711" s="2027">
        <v>703</v>
      </c>
      <c r="K1711" s="2027">
        <v>743</v>
      </c>
      <c r="L1711" s="2027">
        <v>783</v>
      </c>
      <c r="M1711" s="2028">
        <v>32</v>
      </c>
      <c r="N1711"/>
      <c r="O1711" s="1684"/>
      <c r="P1711" s="1684"/>
      <c r="Q1711" s="1684"/>
      <c r="R1711" s="1684"/>
      <c r="S1711" s="1684"/>
      <c r="T1711" s="1684"/>
      <c r="U1711" s="1684"/>
      <c r="V1711" s="1684"/>
      <c r="W1711" s="1684"/>
      <c r="X1711" s="1684"/>
      <c r="Y1711" s="1684"/>
      <c r="Z1711" s="1684"/>
      <c r="AA1711" s="1684"/>
      <c r="AB1711" s="1684"/>
      <c r="AC1711" s="1684"/>
      <c r="AD1711" s="1684"/>
      <c r="AE1711" s="1684"/>
      <c r="AF1711" s="1684"/>
      <c r="AG1711" s="1684"/>
      <c r="AH1711" s="1684"/>
      <c r="AI1711" s="1684"/>
      <c r="AJ1711" s="1684"/>
      <c r="AK1711" s="1684"/>
      <c r="AL1711" s="1684"/>
      <c r="AM1711" s="1684"/>
      <c r="AN1711" s="1684"/>
      <c r="AO1711" s="1684"/>
      <c r="AP1711" s="1684"/>
      <c r="AQ1711" s="1684"/>
      <c r="AR1711" s="1684"/>
      <c r="AS1711" s="1684"/>
      <c r="AT1711" s="1684"/>
      <c r="AU1711" s="1684"/>
      <c r="AV1711" s="1684"/>
      <c r="AW1711" s="1684"/>
      <c r="AX1711" s="1684"/>
      <c r="AY1711" s="1684"/>
      <c r="AZ1711" s="1684"/>
      <c r="BA1711" s="1684"/>
      <c r="BB1711" s="1684"/>
      <c r="BC1711" s="1684"/>
      <c r="BD1711" s="1684"/>
      <c r="BE1711" s="1684"/>
      <c r="BF1711" s="1684"/>
      <c r="BG1711" s="1684"/>
      <c r="BH1711" s="1684"/>
      <c r="BI1711" s="1684"/>
      <c r="BJ1711" s="1684"/>
      <c r="BK1711" s="1684"/>
      <c r="BL1711" s="1684"/>
      <c r="BM1711" s="1684"/>
      <c r="BN1711" s="1684"/>
      <c r="BO1711" s="1684"/>
      <c r="BP1711" s="1684"/>
      <c r="BQ1711" s="1684"/>
      <c r="BR1711" s="1684"/>
      <c r="BS1711" s="1684"/>
      <c r="BT1711" s="1684"/>
      <c r="BU1711" s="1684"/>
      <c r="BV1711" s="1684"/>
      <c r="BW1711" s="1684"/>
      <c r="BX1711" s="1684"/>
      <c r="BY1711" s="1684"/>
      <c r="BZ1711" s="1684"/>
      <c r="CA1711" s="1684"/>
      <c r="CB1711" s="1684"/>
      <c r="CC1711" s="1684"/>
      <c r="CD1711" s="1684"/>
      <c r="CE1711" s="1684"/>
      <c r="CF1711" s="1684"/>
      <c r="CG1711" s="1684"/>
      <c r="CH1711" s="1684"/>
      <c r="CI1711" s="1684"/>
      <c r="CJ1711" s="1684"/>
      <c r="CK1711" s="1684"/>
      <c r="CL1711" s="1684"/>
      <c r="CM1711" s="1684"/>
      <c r="CN1711" s="1684"/>
      <c r="CO1711" s="1684"/>
    </row>
    <row r="1712" spans="1:93" s="1391" customFormat="1" ht="15" x14ac:dyDescent="0.2">
      <c r="A1712" s="1684"/>
      <c r="B1712" s="4698" t="s">
        <v>1906</v>
      </c>
      <c r="C1712" s="4699"/>
      <c r="D1712" s="4699"/>
      <c r="E1712" s="4699"/>
      <c r="F1712" s="4699"/>
      <c r="G1712" s="4699"/>
      <c r="H1712" s="4699"/>
      <c r="I1712" s="4699"/>
      <c r="J1712" s="4699"/>
      <c r="K1712" s="4699"/>
      <c r="L1712" s="4699"/>
      <c r="M1712" s="4700"/>
      <c r="N1712"/>
      <c r="O1712" s="1684"/>
      <c r="P1712" s="1684"/>
      <c r="Q1712" s="1684"/>
      <c r="R1712" s="1684"/>
      <c r="S1712" s="1684"/>
      <c r="T1712" s="1684"/>
      <c r="U1712" s="1684"/>
      <c r="V1712" s="1684"/>
      <c r="W1712" s="1684"/>
      <c r="X1712" s="1684"/>
      <c r="Y1712" s="1684"/>
      <c r="Z1712" s="1684"/>
      <c r="AA1712" s="1684"/>
      <c r="AB1712" s="1684"/>
      <c r="AC1712" s="1684"/>
      <c r="AD1712" s="1684"/>
      <c r="AE1712" s="1684"/>
      <c r="AF1712" s="1684"/>
      <c r="AG1712" s="1684"/>
      <c r="AH1712" s="1684"/>
      <c r="AI1712" s="1684"/>
      <c r="AJ1712" s="1684"/>
      <c r="AK1712" s="1684"/>
      <c r="AL1712" s="1684"/>
      <c r="AM1712" s="1684"/>
      <c r="AN1712" s="1684"/>
      <c r="AO1712" s="1684"/>
      <c r="AP1712" s="1684"/>
      <c r="AQ1712" s="1684"/>
      <c r="AR1712" s="1684"/>
      <c r="AS1712" s="1684"/>
      <c r="AT1712" s="1684"/>
      <c r="AU1712" s="1684"/>
      <c r="AV1712" s="1684"/>
      <c r="AW1712" s="1684"/>
      <c r="AX1712" s="1684"/>
      <c r="AY1712" s="1684"/>
      <c r="AZ1712" s="1684"/>
      <c r="BA1712" s="1684"/>
      <c r="BB1712" s="1684"/>
      <c r="BC1712" s="1684"/>
      <c r="BD1712" s="1684"/>
      <c r="BE1712" s="1684"/>
      <c r="BF1712" s="1684"/>
      <c r="BG1712" s="1684"/>
      <c r="BH1712" s="1684"/>
      <c r="BI1712" s="1684"/>
      <c r="BJ1712" s="1684"/>
      <c r="BK1712" s="1684"/>
      <c r="BL1712" s="1684"/>
      <c r="BM1712" s="1684"/>
      <c r="BN1712" s="1684"/>
      <c r="BO1712" s="1684"/>
      <c r="BP1712" s="1684"/>
      <c r="BQ1712" s="1684"/>
      <c r="BR1712" s="1684"/>
      <c r="BS1712" s="1684"/>
      <c r="BT1712" s="1684"/>
      <c r="BU1712" s="1684"/>
      <c r="BV1712" s="1684"/>
      <c r="BW1712" s="1684"/>
      <c r="BX1712" s="1684"/>
      <c r="BY1712" s="1684"/>
      <c r="BZ1712" s="1684"/>
      <c r="CA1712" s="1684"/>
      <c r="CB1712" s="1684"/>
      <c r="CC1712" s="1684"/>
      <c r="CD1712" s="1684"/>
      <c r="CE1712" s="1684"/>
      <c r="CF1712" s="1684"/>
      <c r="CG1712" s="1684"/>
      <c r="CH1712" s="1684"/>
      <c r="CI1712" s="1684"/>
      <c r="CJ1712" s="1684"/>
      <c r="CK1712" s="1684"/>
      <c r="CL1712" s="1684"/>
      <c r="CM1712" s="1684"/>
      <c r="CN1712" s="1684"/>
      <c r="CO1712" s="1684"/>
    </row>
    <row r="1713" spans="1:93" s="1391" customFormat="1" ht="15" x14ac:dyDescent="0.2">
      <c r="A1713" s="1684"/>
      <c r="B1713" s="4716" t="s">
        <v>1052</v>
      </c>
      <c r="C1713" s="4711"/>
      <c r="D1713" s="4711"/>
      <c r="E1713" s="4711"/>
      <c r="F1713" s="4711"/>
      <c r="G1713" s="4711"/>
      <c r="H1713" s="4711"/>
      <c r="I1713" s="4711"/>
      <c r="J1713" s="4711"/>
      <c r="K1713" s="4711"/>
      <c r="L1713" s="4711"/>
      <c r="M1713" s="4717"/>
      <c r="N1713"/>
      <c r="O1713" s="1684"/>
      <c r="P1713" s="1684"/>
      <c r="Q1713" s="1684"/>
      <c r="R1713" s="1684"/>
      <c r="S1713" s="1684"/>
      <c r="T1713" s="1684"/>
      <c r="U1713" s="1684"/>
      <c r="V1713" s="1684"/>
      <c r="W1713" s="1684"/>
      <c r="X1713" s="1684"/>
      <c r="Y1713" s="1684"/>
      <c r="Z1713" s="1684"/>
      <c r="AA1713" s="1684"/>
      <c r="AB1713" s="1684"/>
      <c r="AC1713" s="1684"/>
      <c r="AD1713" s="1684"/>
      <c r="AE1713" s="1684"/>
      <c r="AF1713" s="1684"/>
      <c r="AG1713" s="1684"/>
      <c r="AH1713" s="1684"/>
      <c r="AI1713" s="1684"/>
      <c r="AJ1713" s="1684"/>
      <c r="AK1713" s="1684"/>
      <c r="AL1713" s="1684"/>
      <c r="AM1713" s="1684"/>
      <c r="AN1713" s="1684"/>
      <c r="AO1713" s="1684"/>
      <c r="AP1713" s="1684"/>
      <c r="AQ1713" s="1684"/>
      <c r="AR1713" s="1684"/>
      <c r="AS1713" s="1684"/>
      <c r="AT1713" s="1684"/>
      <c r="AU1713" s="1684"/>
      <c r="AV1713" s="1684"/>
      <c r="AW1713" s="1684"/>
      <c r="AX1713" s="1684"/>
      <c r="AY1713" s="1684"/>
      <c r="AZ1713" s="1684"/>
      <c r="BA1713" s="1684"/>
      <c r="BB1713" s="1684"/>
      <c r="BC1713" s="1684"/>
      <c r="BD1713" s="1684"/>
      <c r="BE1713" s="1684"/>
      <c r="BF1713" s="1684"/>
      <c r="BG1713" s="1684"/>
      <c r="BH1713" s="1684"/>
      <c r="BI1713" s="1684"/>
      <c r="BJ1713" s="1684"/>
      <c r="BK1713" s="1684"/>
      <c r="BL1713" s="1684"/>
      <c r="BM1713" s="1684"/>
      <c r="BN1713" s="1684"/>
      <c r="BO1713" s="1684"/>
      <c r="BP1713" s="1684"/>
      <c r="BQ1713" s="1684"/>
      <c r="BR1713" s="1684"/>
      <c r="BS1713" s="1684"/>
      <c r="BT1713" s="1684"/>
      <c r="BU1713" s="1684"/>
      <c r="BV1713" s="1684"/>
      <c r="BW1713" s="1684"/>
      <c r="BX1713" s="1684"/>
      <c r="BY1713" s="1684"/>
      <c r="BZ1713" s="1684"/>
      <c r="CA1713" s="1684"/>
      <c r="CB1713" s="1684"/>
      <c r="CC1713" s="1684"/>
      <c r="CD1713" s="1684"/>
      <c r="CE1713" s="1684"/>
      <c r="CF1713" s="1684"/>
      <c r="CG1713" s="1684"/>
      <c r="CH1713" s="1684"/>
      <c r="CI1713" s="1684"/>
      <c r="CJ1713" s="1684"/>
      <c r="CK1713" s="1684"/>
      <c r="CL1713" s="1684"/>
      <c r="CM1713" s="1684"/>
      <c r="CN1713" s="1684"/>
      <c r="CO1713" s="1684"/>
    </row>
    <row r="1714" spans="1:93" s="1391" customFormat="1" ht="15" x14ac:dyDescent="0.2">
      <c r="A1714" s="1684"/>
      <c r="B1714" s="2023"/>
      <c r="C1714" s="2024"/>
      <c r="D1714" s="2024">
        <v>1</v>
      </c>
      <c r="E1714" s="2024">
        <v>2</v>
      </c>
      <c r="F1714" s="2024">
        <v>3</v>
      </c>
      <c r="G1714" s="2024">
        <v>4</v>
      </c>
      <c r="H1714" s="2024">
        <v>5</v>
      </c>
      <c r="I1714" s="2024">
        <v>6</v>
      </c>
      <c r="J1714" s="2024">
        <v>7</v>
      </c>
      <c r="K1714" s="2024">
        <v>8</v>
      </c>
      <c r="L1714" s="2024">
        <v>9</v>
      </c>
      <c r="M1714" s="2025"/>
      <c r="N1714"/>
      <c r="O1714" s="1684"/>
      <c r="P1714" s="1684"/>
      <c r="Q1714" s="1684"/>
      <c r="R1714" s="1684"/>
      <c r="S1714" s="1684"/>
      <c r="T1714" s="1684"/>
      <c r="U1714" s="1684"/>
      <c r="V1714" s="1684"/>
      <c r="W1714" s="1684"/>
      <c r="X1714" s="1684"/>
      <c r="Y1714" s="1684"/>
      <c r="Z1714" s="1684"/>
      <c r="AA1714" s="1684"/>
      <c r="AB1714" s="1684"/>
      <c r="AC1714" s="1684"/>
      <c r="AD1714" s="1684"/>
      <c r="AE1714" s="1684"/>
      <c r="AF1714" s="1684"/>
      <c r="AG1714" s="1684"/>
      <c r="AH1714" s="1684"/>
      <c r="AI1714" s="1684"/>
      <c r="AJ1714" s="1684"/>
      <c r="AK1714" s="1684"/>
      <c r="AL1714" s="1684"/>
      <c r="AM1714" s="1684"/>
      <c r="AN1714" s="1684"/>
      <c r="AO1714" s="1684"/>
      <c r="AP1714" s="1684"/>
      <c r="AQ1714" s="1684"/>
      <c r="AR1714" s="1684"/>
      <c r="AS1714" s="1684"/>
      <c r="AT1714" s="1684"/>
      <c r="AU1714" s="1684"/>
      <c r="AV1714" s="1684"/>
      <c r="AW1714" s="1684"/>
      <c r="AX1714" s="1684"/>
      <c r="AY1714" s="1684"/>
      <c r="AZ1714" s="1684"/>
      <c r="BA1714" s="1684"/>
      <c r="BB1714" s="1684"/>
      <c r="BC1714" s="1684"/>
      <c r="BD1714" s="1684"/>
      <c r="BE1714" s="1684"/>
      <c r="BF1714" s="1684"/>
      <c r="BG1714" s="1684"/>
      <c r="BH1714" s="1684"/>
      <c r="BI1714" s="1684"/>
      <c r="BJ1714" s="1684"/>
      <c r="BK1714" s="1684"/>
      <c r="BL1714" s="1684"/>
      <c r="BM1714" s="1684"/>
      <c r="BN1714" s="1684"/>
      <c r="BO1714" s="1684"/>
      <c r="BP1714" s="1684"/>
      <c r="BQ1714" s="1684"/>
      <c r="BR1714" s="1684"/>
      <c r="BS1714" s="1684"/>
      <c r="BT1714" s="1684"/>
      <c r="BU1714" s="1684"/>
      <c r="BV1714" s="1684"/>
      <c r="BW1714" s="1684"/>
      <c r="BX1714" s="1684"/>
      <c r="BY1714" s="1684"/>
      <c r="BZ1714" s="1684"/>
      <c r="CA1714" s="1684"/>
      <c r="CB1714" s="1684"/>
      <c r="CC1714" s="1684"/>
      <c r="CD1714" s="1684"/>
      <c r="CE1714" s="1684"/>
      <c r="CF1714" s="1684"/>
      <c r="CG1714" s="1684"/>
      <c r="CH1714" s="1684"/>
      <c r="CI1714" s="1684"/>
      <c r="CJ1714" s="1684"/>
      <c r="CK1714" s="1684"/>
      <c r="CL1714" s="1684"/>
      <c r="CM1714" s="1684"/>
      <c r="CN1714" s="1684"/>
      <c r="CO1714" s="1684"/>
    </row>
    <row r="1715" spans="1:93" s="1391" customFormat="1" ht="15" x14ac:dyDescent="0.2">
      <c r="A1715" s="1684"/>
      <c r="B1715" s="2026">
        <v>9</v>
      </c>
      <c r="C1715" s="2027">
        <v>4.5250000000000004</v>
      </c>
      <c r="D1715" s="2027">
        <v>189</v>
      </c>
      <c r="E1715" s="2027">
        <v>205</v>
      </c>
      <c r="F1715" s="2027">
        <v>220</v>
      </c>
      <c r="G1715" s="2027">
        <v>235</v>
      </c>
      <c r="H1715" s="2027">
        <v>250</v>
      </c>
      <c r="I1715" s="2027">
        <v>265</v>
      </c>
      <c r="J1715" s="2027">
        <v>280</v>
      </c>
      <c r="K1715" s="2027">
        <v>294</v>
      </c>
      <c r="L1715" s="2027">
        <v>309</v>
      </c>
      <c r="M1715" s="2028">
        <v>33</v>
      </c>
      <c r="N1715"/>
      <c r="O1715" s="1684"/>
      <c r="P1715" s="1684"/>
      <c r="Q1715" s="1684"/>
      <c r="R1715" s="1684"/>
      <c r="S1715" s="1684"/>
      <c r="T1715" s="1684"/>
      <c r="U1715" s="1684"/>
      <c r="V1715" s="1684"/>
      <c r="W1715" s="1684"/>
      <c r="X1715" s="1684"/>
      <c r="Y1715" s="1684"/>
      <c r="Z1715" s="1684"/>
      <c r="AA1715" s="1684"/>
      <c r="AB1715" s="1684"/>
      <c r="AC1715" s="1684"/>
      <c r="AD1715" s="1684"/>
      <c r="AE1715" s="1684"/>
      <c r="AF1715" s="1684"/>
      <c r="AG1715" s="1684"/>
      <c r="AH1715" s="1684"/>
      <c r="AI1715" s="1684"/>
      <c r="AJ1715" s="1684"/>
      <c r="AK1715" s="1684"/>
      <c r="AL1715" s="1684"/>
      <c r="AM1715" s="1684"/>
      <c r="AN1715" s="1684"/>
      <c r="AO1715" s="1684"/>
      <c r="AP1715" s="1684"/>
      <c r="AQ1715" s="1684"/>
      <c r="AR1715" s="1684"/>
      <c r="AS1715" s="1684"/>
      <c r="AT1715" s="1684"/>
      <c r="AU1715" s="1684"/>
      <c r="AV1715" s="1684"/>
      <c r="AW1715" s="1684"/>
      <c r="AX1715" s="1684"/>
      <c r="AY1715" s="1684"/>
      <c r="AZ1715" s="1684"/>
      <c r="BA1715" s="1684"/>
      <c r="BB1715" s="1684"/>
      <c r="BC1715" s="1684"/>
      <c r="BD1715" s="1684"/>
      <c r="BE1715" s="1684"/>
      <c r="BF1715" s="1684"/>
      <c r="BG1715" s="1684"/>
      <c r="BH1715" s="1684"/>
      <c r="BI1715" s="1684"/>
      <c r="BJ1715" s="1684"/>
      <c r="BK1715" s="1684"/>
      <c r="BL1715" s="1684"/>
      <c r="BM1715" s="1684"/>
      <c r="BN1715" s="1684"/>
      <c r="BO1715" s="1684"/>
      <c r="BP1715" s="1684"/>
      <c r="BQ1715" s="1684"/>
      <c r="BR1715" s="1684"/>
      <c r="BS1715" s="1684"/>
      <c r="BT1715" s="1684"/>
      <c r="BU1715" s="1684"/>
      <c r="BV1715" s="1684"/>
      <c r="BW1715" s="1684"/>
      <c r="BX1715" s="1684"/>
      <c r="BY1715" s="1684"/>
      <c r="BZ1715" s="1684"/>
      <c r="CA1715" s="1684"/>
      <c r="CB1715" s="1684"/>
      <c r="CC1715" s="1684"/>
      <c r="CD1715" s="1684"/>
      <c r="CE1715" s="1684"/>
      <c r="CF1715" s="1684"/>
      <c r="CG1715" s="1684"/>
      <c r="CH1715" s="1684"/>
      <c r="CI1715" s="1684"/>
      <c r="CJ1715" s="1684"/>
      <c r="CK1715" s="1684"/>
      <c r="CL1715" s="1684"/>
      <c r="CM1715" s="1684"/>
      <c r="CN1715" s="1684"/>
      <c r="CO1715" s="1684"/>
    </row>
    <row r="1716" spans="1:93" s="1391" customFormat="1" ht="15" x14ac:dyDescent="0.2">
      <c r="A1716" s="1684"/>
      <c r="B1716" s="2026">
        <v>10</v>
      </c>
      <c r="C1716" s="2027">
        <v>4.7709999999999999</v>
      </c>
      <c r="D1716" s="2027">
        <v>208</v>
      </c>
      <c r="E1716" s="2027">
        <v>224</v>
      </c>
      <c r="F1716" s="2027">
        <v>241</v>
      </c>
      <c r="G1716" s="2027">
        <v>258</v>
      </c>
      <c r="H1716" s="2027">
        <v>274</v>
      </c>
      <c r="I1716" s="2027">
        <v>290</v>
      </c>
      <c r="J1716" s="2027">
        <v>306</v>
      </c>
      <c r="K1716" s="2027">
        <v>322</v>
      </c>
      <c r="L1716" s="2027">
        <v>337</v>
      </c>
      <c r="M1716" s="2028">
        <v>34</v>
      </c>
      <c r="N1716"/>
      <c r="O1716" s="1684"/>
      <c r="P1716" s="1684"/>
      <c r="Q1716" s="1684"/>
      <c r="R1716" s="1684"/>
      <c r="S1716" s="1684"/>
      <c r="T1716" s="1684"/>
      <c r="U1716" s="1684"/>
      <c r="V1716" s="1684"/>
      <c r="W1716" s="1684"/>
      <c r="X1716" s="1684"/>
      <c r="Y1716" s="1684"/>
      <c r="Z1716" s="1684"/>
      <c r="AA1716" s="1684"/>
      <c r="AB1716" s="1684"/>
      <c r="AC1716" s="1684"/>
      <c r="AD1716" s="1684"/>
      <c r="AE1716" s="1684"/>
      <c r="AF1716" s="1684"/>
      <c r="AG1716" s="1684"/>
      <c r="AH1716" s="1684"/>
      <c r="AI1716" s="1684"/>
      <c r="AJ1716" s="1684"/>
      <c r="AK1716" s="1684"/>
      <c r="AL1716" s="1684"/>
      <c r="AM1716" s="1684"/>
      <c r="AN1716" s="1684"/>
      <c r="AO1716" s="1684"/>
      <c r="AP1716" s="1684"/>
      <c r="AQ1716" s="1684"/>
      <c r="AR1716" s="1684"/>
      <c r="AS1716" s="1684"/>
      <c r="AT1716" s="1684"/>
      <c r="AU1716" s="1684"/>
      <c r="AV1716" s="1684"/>
      <c r="AW1716" s="1684"/>
      <c r="AX1716" s="1684"/>
      <c r="AY1716" s="1684"/>
      <c r="AZ1716" s="1684"/>
      <c r="BA1716" s="1684"/>
      <c r="BB1716" s="1684"/>
      <c r="BC1716" s="1684"/>
      <c r="BD1716" s="1684"/>
      <c r="BE1716" s="1684"/>
      <c r="BF1716" s="1684"/>
      <c r="BG1716" s="1684"/>
      <c r="BH1716" s="1684"/>
      <c r="BI1716" s="1684"/>
      <c r="BJ1716" s="1684"/>
      <c r="BK1716" s="1684"/>
      <c r="BL1716" s="1684"/>
      <c r="BM1716" s="1684"/>
      <c r="BN1716" s="1684"/>
      <c r="BO1716" s="1684"/>
      <c r="BP1716" s="1684"/>
      <c r="BQ1716" s="1684"/>
      <c r="BR1716" s="1684"/>
      <c r="BS1716" s="1684"/>
      <c r="BT1716" s="1684"/>
      <c r="BU1716" s="1684"/>
      <c r="BV1716" s="1684"/>
      <c r="BW1716" s="1684"/>
      <c r="BX1716" s="1684"/>
      <c r="BY1716" s="1684"/>
      <c r="BZ1716" s="1684"/>
      <c r="CA1716" s="1684"/>
      <c r="CB1716" s="1684"/>
      <c r="CC1716" s="1684"/>
      <c r="CD1716" s="1684"/>
      <c r="CE1716" s="1684"/>
      <c r="CF1716" s="1684"/>
      <c r="CG1716" s="1684"/>
      <c r="CH1716" s="1684"/>
      <c r="CI1716" s="1684"/>
      <c r="CJ1716" s="1684"/>
      <c r="CK1716" s="1684"/>
      <c r="CL1716" s="1684"/>
      <c r="CM1716" s="1684"/>
      <c r="CN1716" s="1684"/>
      <c r="CO1716" s="1684"/>
    </row>
    <row r="1717" spans="1:93" s="1391" customFormat="1" ht="15" x14ac:dyDescent="0.2">
      <c r="A1717" s="1684"/>
      <c r="B1717" s="2026">
        <v>11</v>
      </c>
      <c r="C1717" s="2027">
        <v>5.0510000000000002</v>
      </c>
      <c r="D1717" s="2027">
        <v>227</v>
      </c>
      <c r="E1717" s="2027">
        <v>246</v>
      </c>
      <c r="F1717" s="2027">
        <v>264</v>
      </c>
      <c r="G1717" s="2027">
        <v>283</v>
      </c>
      <c r="H1717" s="2027">
        <v>300</v>
      </c>
      <c r="I1717" s="2027">
        <v>318</v>
      </c>
      <c r="J1717" s="2027">
        <v>335</v>
      </c>
      <c r="K1717" s="2027">
        <v>352</v>
      </c>
      <c r="L1717" s="2027">
        <v>369</v>
      </c>
      <c r="M1717" s="2028">
        <v>35</v>
      </c>
      <c r="N1717"/>
      <c r="O1717" s="1684"/>
      <c r="P1717" s="1684"/>
      <c r="Q1717" s="1684"/>
      <c r="R1717" s="1684"/>
      <c r="S1717" s="1684"/>
      <c r="T1717" s="1684"/>
      <c r="U1717" s="1684"/>
      <c r="V1717" s="1684"/>
      <c r="W1717" s="1684"/>
      <c r="X1717" s="1684"/>
      <c r="Y1717" s="1684"/>
      <c r="Z1717" s="1684"/>
      <c r="AA1717" s="1684"/>
      <c r="AB1717" s="1684"/>
      <c r="AC1717" s="1684"/>
      <c r="AD1717" s="1684"/>
      <c r="AE1717" s="1684"/>
      <c r="AF1717" s="1684"/>
      <c r="AG1717" s="1684"/>
      <c r="AH1717" s="1684"/>
      <c r="AI1717" s="1684"/>
      <c r="AJ1717" s="1684"/>
      <c r="AK1717" s="1684"/>
      <c r="AL1717" s="1684"/>
      <c r="AM1717" s="1684"/>
      <c r="AN1717" s="1684"/>
      <c r="AO1717" s="1684"/>
      <c r="AP1717" s="1684"/>
      <c r="AQ1717" s="1684"/>
      <c r="AR1717" s="1684"/>
      <c r="AS1717" s="1684"/>
      <c r="AT1717" s="1684"/>
      <c r="AU1717" s="1684"/>
      <c r="AV1717" s="1684"/>
      <c r="AW1717" s="1684"/>
      <c r="AX1717" s="1684"/>
      <c r="AY1717" s="1684"/>
      <c r="AZ1717" s="1684"/>
      <c r="BA1717" s="1684"/>
      <c r="BB1717" s="1684"/>
      <c r="BC1717" s="1684"/>
      <c r="BD1717" s="1684"/>
      <c r="BE1717" s="1684"/>
      <c r="BF1717" s="1684"/>
      <c r="BG1717" s="1684"/>
      <c r="BH1717" s="1684"/>
      <c r="BI1717" s="1684"/>
      <c r="BJ1717" s="1684"/>
      <c r="BK1717" s="1684"/>
      <c r="BL1717" s="1684"/>
      <c r="BM1717" s="1684"/>
      <c r="BN1717" s="1684"/>
      <c r="BO1717" s="1684"/>
      <c r="BP1717" s="1684"/>
      <c r="BQ1717" s="1684"/>
      <c r="BR1717" s="1684"/>
      <c r="BS1717" s="1684"/>
      <c r="BT1717" s="1684"/>
      <c r="BU1717" s="1684"/>
      <c r="BV1717" s="1684"/>
      <c r="BW1717" s="1684"/>
      <c r="BX1717" s="1684"/>
      <c r="BY1717" s="1684"/>
      <c r="BZ1717" s="1684"/>
      <c r="CA1717" s="1684"/>
      <c r="CB1717" s="1684"/>
      <c r="CC1717" s="1684"/>
      <c r="CD1717" s="1684"/>
      <c r="CE1717" s="1684"/>
      <c r="CF1717" s="1684"/>
      <c r="CG1717" s="1684"/>
      <c r="CH1717" s="1684"/>
      <c r="CI1717" s="1684"/>
      <c r="CJ1717" s="1684"/>
      <c r="CK1717" s="1684"/>
      <c r="CL1717" s="1684"/>
      <c r="CM1717" s="1684"/>
      <c r="CN1717" s="1684"/>
      <c r="CO1717" s="1684"/>
    </row>
    <row r="1718" spans="1:93" s="1391" customFormat="1" ht="15" x14ac:dyDescent="0.2">
      <c r="A1718" s="1684"/>
      <c r="B1718" s="2026">
        <v>12</v>
      </c>
      <c r="C1718" s="2027">
        <v>5.3479999999999999</v>
      </c>
      <c r="D1718" s="2027">
        <v>249</v>
      </c>
      <c r="E1718" s="2027">
        <v>269</v>
      </c>
      <c r="F1718" s="2027">
        <v>289</v>
      </c>
      <c r="G1718" s="2027">
        <v>309</v>
      </c>
      <c r="H1718" s="2027">
        <v>328</v>
      </c>
      <c r="I1718" s="2027">
        <v>347</v>
      </c>
      <c r="J1718" s="2027">
        <v>365</v>
      </c>
      <c r="K1718" s="2027">
        <v>384</v>
      </c>
      <c r="L1718" s="2027">
        <v>402</v>
      </c>
      <c r="M1718" s="2028">
        <v>36</v>
      </c>
      <c r="N1718"/>
      <c r="O1718" s="1684"/>
      <c r="P1718" s="1684"/>
      <c r="Q1718" s="1684"/>
      <c r="R1718" s="1684"/>
      <c r="S1718" s="1684"/>
      <c r="T1718" s="1684"/>
      <c r="U1718" s="1684"/>
      <c r="V1718" s="1684"/>
      <c r="W1718" s="1684"/>
      <c r="X1718" s="1684"/>
      <c r="Y1718" s="1684"/>
      <c r="Z1718" s="1684"/>
      <c r="AA1718" s="1684"/>
      <c r="AB1718" s="1684"/>
      <c r="AC1718" s="1684"/>
      <c r="AD1718" s="1684"/>
      <c r="AE1718" s="1684"/>
      <c r="AF1718" s="1684"/>
      <c r="AG1718" s="1684"/>
      <c r="AH1718" s="1684"/>
      <c r="AI1718" s="1684"/>
      <c r="AJ1718" s="1684"/>
      <c r="AK1718" s="1684"/>
      <c r="AL1718" s="1684"/>
      <c r="AM1718" s="1684"/>
      <c r="AN1718" s="1684"/>
      <c r="AO1718" s="1684"/>
      <c r="AP1718" s="1684"/>
      <c r="AQ1718" s="1684"/>
      <c r="AR1718" s="1684"/>
      <c r="AS1718" s="1684"/>
      <c r="AT1718" s="1684"/>
      <c r="AU1718" s="1684"/>
      <c r="AV1718" s="1684"/>
      <c r="AW1718" s="1684"/>
      <c r="AX1718" s="1684"/>
      <c r="AY1718" s="1684"/>
      <c r="AZ1718" s="1684"/>
      <c r="BA1718" s="1684"/>
      <c r="BB1718" s="1684"/>
      <c r="BC1718" s="1684"/>
      <c r="BD1718" s="1684"/>
      <c r="BE1718" s="1684"/>
      <c r="BF1718" s="1684"/>
      <c r="BG1718" s="1684"/>
      <c r="BH1718" s="1684"/>
      <c r="BI1718" s="1684"/>
      <c r="BJ1718" s="1684"/>
      <c r="BK1718" s="1684"/>
      <c r="BL1718" s="1684"/>
      <c r="BM1718" s="1684"/>
      <c r="BN1718" s="1684"/>
      <c r="BO1718" s="1684"/>
      <c r="BP1718" s="1684"/>
      <c r="BQ1718" s="1684"/>
      <c r="BR1718" s="1684"/>
      <c r="BS1718" s="1684"/>
      <c r="BT1718" s="1684"/>
      <c r="BU1718" s="1684"/>
      <c r="BV1718" s="1684"/>
      <c r="BW1718" s="1684"/>
      <c r="BX1718" s="1684"/>
      <c r="BY1718" s="1684"/>
      <c r="BZ1718" s="1684"/>
      <c r="CA1718" s="1684"/>
      <c r="CB1718" s="1684"/>
      <c r="CC1718" s="1684"/>
      <c r="CD1718" s="1684"/>
      <c r="CE1718" s="1684"/>
      <c r="CF1718" s="1684"/>
      <c r="CG1718" s="1684"/>
      <c r="CH1718" s="1684"/>
      <c r="CI1718" s="1684"/>
      <c r="CJ1718" s="1684"/>
      <c r="CK1718" s="1684"/>
      <c r="CL1718" s="1684"/>
      <c r="CM1718" s="1684"/>
      <c r="CN1718" s="1684"/>
      <c r="CO1718" s="1684"/>
    </row>
    <row r="1719" spans="1:93" s="1391" customFormat="1" ht="15" x14ac:dyDescent="0.2">
      <c r="A1719" s="1684"/>
      <c r="B1719" s="2026">
        <v>13</v>
      </c>
      <c r="C1719" s="2027">
        <v>5.6559999999999997</v>
      </c>
      <c r="D1719" s="2027">
        <v>271</v>
      </c>
      <c r="E1719" s="2027">
        <v>292</v>
      </c>
      <c r="F1719" s="2027">
        <v>313</v>
      </c>
      <c r="G1719" s="2027">
        <v>335</v>
      </c>
      <c r="H1719" s="2027">
        <v>355</v>
      </c>
      <c r="I1719" s="2027">
        <v>376</v>
      </c>
      <c r="J1719" s="2027">
        <v>396</v>
      </c>
      <c r="K1719" s="2027">
        <v>415</v>
      </c>
      <c r="L1719" s="2027">
        <v>435</v>
      </c>
      <c r="M1719" s="2028">
        <v>37</v>
      </c>
      <c r="N1719"/>
      <c r="O1719" s="1684"/>
      <c r="P1719" s="1684"/>
      <c r="Q1719" s="1684"/>
      <c r="R1719" s="1684"/>
      <c r="S1719" s="1684"/>
      <c r="T1719" s="1684"/>
      <c r="U1719" s="1684"/>
      <c r="V1719" s="1684"/>
      <c r="W1719" s="1684"/>
      <c r="X1719" s="1684"/>
      <c r="Y1719" s="1684"/>
      <c r="Z1719" s="1684"/>
      <c r="AA1719" s="1684"/>
      <c r="AB1719" s="1684"/>
      <c r="AC1719" s="1684"/>
      <c r="AD1719" s="1684"/>
      <c r="AE1719" s="1684"/>
      <c r="AF1719" s="1684"/>
      <c r="AG1719" s="1684"/>
      <c r="AH1719" s="1684"/>
      <c r="AI1719" s="1684"/>
      <c r="AJ1719" s="1684"/>
      <c r="AK1719" s="1684"/>
      <c r="AL1719" s="1684"/>
      <c r="AM1719" s="1684"/>
      <c r="AN1719" s="1684"/>
      <c r="AO1719" s="1684"/>
      <c r="AP1719" s="1684"/>
      <c r="AQ1719" s="1684"/>
      <c r="AR1719" s="1684"/>
      <c r="AS1719" s="1684"/>
      <c r="AT1719" s="1684"/>
      <c r="AU1719" s="1684"/>
      <c r="AV1719" s="1684"/>
      <c r="AW1719" s="1684"/>
      <c r="AX1719" s="1684"/>
      <c r="AY1719" s="1684"/>
      <c r="AZ1719" s="1684"/>
      <c r="BA1719" s="1684"/>
      <c r="BB1719" s="1684"/>
      <c r="BC1719" s="1684"/>
      <c r="BD1719" s="1684"/>
      <c r="BE1719" s="1684"/>
      <c r="BF1719" s="1684"/>
      <c r="BG1719" s="1684"/>
      <c r="BH1719" s="1684"/>
      <c r="BI1719" s="1684"/>
      <c r="BJ1719" s="1684"/>
      <c r="BK1719" s="1684"/>
      <c r="BL1719" s="1684"/>
      <c r="BM1719" s="1684"/>
      <c r="BN1719" s="1684"/>
      <c r="BO1719" s="1684"/>
      <c r="BP1719" s="1684"/>
      <c r="BQ1719" s="1684"/>
      <c r="BR1719" s="1684"/>
      <c r="BS1719" s="1684"/>
      <c r="BT1719" s="1684"/>
      <c r="BU1719" s="1684"/>
      <c r="BV1719" s="1684"/>
      <c r="BW1719" s="1684"/>
      <c r="BX1719" s="1684"/>
      <c r="BY1719" s="1684"/>
      <c r="BZ1719" s="1684"/>
      <c r="CA1719" s="1684"/>
      <c r="CB1719" s="1684"/>
      <c r="CC1719" s="1684"/>
      <c r="CD1719" s="1684"/>
      <c r="CE1719" s="1684"/>
      <c r="CF1719" s="1684"/>
      <c r="CG1719" s="1684"/>
      <c r="CH1719" s="1684"/>
      <c r="CI1719" s="1684"/>
      <c r="CJ1719" s="1684"/>
      <c r="CK1719" s="1684"/>
      <c r="CL1719" s="1684"/>
      <c r="CM1719" s="1684"/>
      <c r="CN1719" s="1684"/>
      <c r="CO1719" s="1684"/>
    </row>
    <row r="1720" spans="1:93" s="1391" customFormat="1" ht="15" x14ac:dyDescent="0.2">
      <c r="A1720" s="1684"/>
      <c r="B1720" s="2026">
        <v>14</v>
      </c>
      <c r="C1720" s="2027">
        <v>5.9859999999999998</v>
      </c>
      <c r="D1720" s="2027">
        <v>293</v>
      </c>
      <c r="E1720" s="2027">
        <v>316</v>
      </c>
      <c r="F1720" s="2027">
        <v>339</v>
      </c>
      <c r="G1720" s="2027">
        <v>361</v>
      </c>
      <c r="H1720" s="2027">
        <v>383</v>
      </c>
      <c r="I1720" s="2027">
        <v>406</v>
      </c>
      <c r="J1720" s="2027">
        <v>427</v>
      </c>
      <c r="K1720" s="2027">
        <v>448</v>
      </c>
      <c r="L1720" s="2027">
        <v>469</v>
      </c>
      <c r="M1720" s="2028">
        <v>38</v>
      </c>
      <c r="N1720"/>
      <c r="O1720" s="1684"/>
      <c r="P1720" s="1684"/>
      <c r="Q1720" s="1684"/>
      <c r="R1720" s="1684"/>
      <c r="S1720" s="1684"/>
      <c r="T1720" s="1684"/>
      <c r="U1720" s="1684"/>
      <c r="V1720" s="1684"/>
      <c r="W1720" s="1684"/>
      <c r="X1720" s="1684"/>
      <c r="Y1720" s="1684"/>
      <c r="Z1720" s="1684"/>
      <c r="AA1720" s="1684"/>
      <c r="AB1720" s="1684"/>
      <c r="AC1720" s="1684"/>
      <c r="AD1720" s="1684"/>
      <c r="AE1720" s="1684"/>
      <c r="AF1720" s="1684"/>
      <c r="AG1720" s="1684"/>
      <c r="AH1720" s="1684"/>
      <c r="AI1720" s="1684"/>
      <c r="AJ1720" s="1684"/>
      <c r="AK1720" s="1684"/>
      <c r="AL1720" s="1684"/>
      <c r="AM1720" s="1684"/>
      <c r="AN1720" s="1684"/>
      <c r="AO1720" s="1684"/>
      <c r="AP1720" s="1684"/>
      <c r="AQ1720" s="1684"/>
      <c r="AR1720" s="1684"/>
      <c r="AS1720" s="1684"/>
      <c r="AT1720" s="1684"/>
      <c r="AU1720" s="1684"/>
      <c r="AV1720" s="1684"/>
      <c r="AW1720" s="1684"/>
      <c r="AX1720" s="1684"/>
      <c r="AY1720" s="1684"/>
      <c r="AZ1720" s="1684"/>
      <c r="BA1720" s="1684"/>
      <c r="BB1720" s="1684"/>
      <c r="BC1720" s="1684"/>
      <c r="BD1720" s="1684"/>
      <c r="BE1720" s="1684"/>
      <c r="BF1720" s="1684"/>
      <c r="BG1720" s="1684"/>
      <c r="BH1720" s="1684"/>
      <c r="BI1720" s="1684"/>
      <c r="BJ1720" s="1684"/>
      <c r="BK1720" s="1684"/>
      <c r="BL1720" s="1684"/>
      <c r="BM1720" s="1684"/>
      <c r="BN1720" s="1684"/>
      <c r="BO1720" s="1684"/>
      <c r="BP1720" s="1684"/>
      <c r="BQ1720" s="1684"/>
      <c r="BR1720" s="1684"/>
      <c r="BS1720" s="1684"/>
      <c r="BT1720" s="1684"/>
      <c r="BU1720" s="1684"/>
      <c r="BV1720" s="1684"/>
      <c r="BW1720" s="1684"/>
      <c r="BX1720" s="1684"/>
      <c r="BY1720" s="1684"/>
      <c r="BZ1720" s="1684"/>
      <c r="CA1720" s="1684"/>
      <c r="CB1720" s="1684"/>
      <c r="CC1720" s="1684"/>
      <c r="CD1720" s="1684"/>
      <c r="CE1720" s="1684"/>
      <c r="CF1720" s="1684"/>
      <c r="CG1720" s="1684"/>
      <c r="CH1720" s="1684"/>
      <c r="CI1720" s="1684"/>
      <c r="CJ1720" s="1684"/>
      <c r="CK1720" s="1684"/>
      <c r="CL1720" s="1684"/>
      <c r="CM1720" s="1684"/>
      <c r="CN1720" s="1684"/>
      <c r="CO1720" s="1684"/>
    </row>
    <row r="1721" spans="1:93" s="1391" customFormat="1" ht="15" x14ac:dyDescent="0.2">
      <c r="A1721" s="1684"/>
      <c r="B1721" s="2026">
        <v>15</v>
      </c>
      <c r="C1721" s="2027">
        <v>6.3310000000000004</v>
      </c>
      <c r="D1721" s="2027">
        <v>316</v>
      </c>
      <c r="E1721" s="2027">
        <v>341</v>
      </c>
      <c r="F1721" s="2027">
        <v>365</v>
      </c>
      <c r="G1721" s="2027">
        <v>389</v>
      </c>
      <c r="H1721" s="2027">
        <v>413</v>
      </c>
      <c r="I1721" s="2027">
        <v>436</v>
      </c>
      <c r="J1721" s="2027">
        <v>459</v>
      </c>
      <c r="K1721" s="2027">
        <v>482</v>
      </c>
      <c r="L1721" s="2027">
        <v>504</v>
      </c>
      <c r="M1721" s="2028">
        <v>39</v>
      </c>
      <c r="N1721"/>
      <c r="O1721" s="1684"/>
      <c r="P1721" s="1684"/>
      <c r="Q1721" s="1684"/>
      <c r="R1721" s="1684"/>
      <c r="S1721" s="1684"/>
      <c r="T1721" s="1684"/>
      <c r="U1721" s="1684"/>
      <c r="V1721" s="1684"/>
      <c r="W1721" s="1684"/>
      <c r="X1721" s="1684"/>
      <c r="Y1721" s="1684"/>
      <c r="Z1721" s="1684"/>
      <c r="AA1721" s="1684"/>
      <c r="AB1721" s="1684"/>
      <c r="AC1721" s="1684"/>
      <c r="AD1721" s="1684"/>
      <c r="AE1721" s="1684"/>
      <c r="AF1721" s="1684"/>
      <c r="AG1721" s="1684"/>
      <c r="AH1721" s="1684"/>
      <c r="AI1721" s="1684"/>
      <c r="AJ1721" s="1684"/>
      <c r="AK1721" s="1684"/>
      <c r="AL1721" s="1684"/>
      <c r="AM1721" s="1684"/>
      <c r="AN1721" s="1684"/>
      <c r="AO1721" s="1684"/>
      <c r="AP1721" s="1684"/>
      <c r="AQ1721" s="1684"/>
      <c r="AR1721" s="1684"/>
      <c r="AS1721" s="1684"/>
      <c r="AT1721" s="1684"/>
      <c r="AU1721" s="1684"/>
      <c r="AV1721" s="1684"/>
      <c r="AW1721" s="1684"/>
      <c r="AX1721" s="1684"/>
      <c r="AY1721" s="1684"/>
      <c r="AZ1721" s="1684"/>
      <c r="BA1721" s="1684"/>
      <c r="BB1721" s="1684"/>
      <c r="BC1721" s="1684"/>
      <c r="BD1721" s="1684"/>
      <c r="BE1721" s="1684"/>
      <c r="BF1721" s="1684"/>
      <c r="BG1721" s="1684"/>
      <c r="BH1721" s="1684"/>
      <c r="BI1721" s="1684"/>
      <c r="BJ1721" s="1684"/>
      <c r="BK1721" s="1684"/>
      <c r="BL1721" s="1684"/>
      <c r="BM1721" s="1684"/>
      <c r="BN1721" s="1684"/>
      <c r="BO1721" s="1684"/>
      <c r="BP1721" s="1684"/>
      <c r="BQ1721" s="1684"/>
      <c r="BR1721" s="1684"/>
      <c r="BS1721" s="1684"/>
      <c r="BT1721" s="1684"/>
      <c r="BU1721" s="1684"/>
      <c r="BV1721" s="1684"/>
      <c r="BW1721" s="1684"/>
      <c r="BX1721" s="1684"/>
      <c r="BY1721" s="1684"/>
      <c r="BZ1721" s="1684"/>
      <c r="CA1721" s="1684"/>
      <c r="CB1721" s="1684"/>
      <c r="CC1721" s="1684"/>
      <c r="CD1721" s="1684"/>
      <c r="CE1721" s="1684"/>
      <c r="CF1721" s="1684"/>
      <c r="CG1721" s="1684"/>
      <c r="CH1721" s="1684"/>
      <c r="CI1721" s="1684"/>
      <c r="CJ1721" s="1684"/>
      <c r="CK1721" s="1684"/>
      <c r="CL1721" s="1684"/>
      <c r="CM1721" s="1684"/>
      <c r="CN1721" s="1684"/>
      <c r="CO1721" s="1684"/>
    </row>
    <row r="1722" spans="1:93" s="1391" customFormat="1" ht="15" x14ac:dyDescent="0.2">
      <c r="A1722" s="1684"/>
      <c r="B1722" s="2026">
        <v>16</v>
      </c>
      <c r="C1722" s="2027">
        <v>6.6749999999999998</v>
      </c>
      <c r="D1722" s="2027">
        <v>339</v>
      </c>
      <c r="E1722" s="2027">
        <v>365</v>
      </c>
      <c r="F1722" s="2027">
        <v>391</v>
      </c>
      <c r="G1722" s="2027">
        <v>416</v>
      </c>
      <c r="H1722" s="2027">
        <v>441</v>
      </c>
      <c r="I1722" s="2027">
        <v>466</v>
      </c>
      <c r="J1722" s="2027">
        <v>490</v>
      </c>
      <c r="K1722" s="2027">
        <v>513</v>
      </c>
      <c r="L1722" s="2027">
        <v>536</v>
      </c>
      <c r="M1722" s="2028">
        <v>40</v>
      </c>
      <c r="N1722"/>
      <c r="O1722" s="1684"/>
      <c r="P1722" s="1684"/>
      <c r="Q1722" s="1684"/>
      <c r="R1722" s="1684"/>
      <c r="S1722" s="1684"/>
      <c r="T1722" s="1684"/>
      <c r="U1722" s="1684"/>
      <c r="V1722" s="1684"/>
      <c r="W1722" s="1684"/>
      <c r="X1722" s="1684"/>
      <c r="Y1722" s="1684"/>
      <c r="Z1722" s="1684"/>
      <c r="AA1722" s="1684"/>
      <c r="AB1722" s="1684"/>
      <c r="AC1722" s="1684"/>
      <c r="AD1722" s="1684"/>
      <c r="AE1722" s="1684"/>
      <c r="AF1722" s="1684"/>
      <c r="AG1722" s="1684"/>
      <c r="AH1722" s="1684"/>
      <c r="AI1722" s="1684"/>
      <c r="AJ1722" s="1684"/>
      <c r="AK1722" s="1684"/>
      <c r="AL1722" s="1684"/>
      <c r="AM1722" s="1684"/>
      <c r="AN1722" s="1684"/>
      <c r="AO1722" s="1684"/>
      <c r="AP1722" s="1684"/>
      <c r="AQ1722" s="1684"/>
      <c r="AR1722" s="1684"/>
      <c r="AS1722" s="1684"/>
      <c r="AT1722" s="1684"/>
      <c r="AU1722" s="1684"/>
      <c r="AV1722" s="1684"/>
      <c r="AW1722" s="1684"/>
      <c r="AX1722" s="1684"/>
      <c r="AY1722" s="1684"/>
      <c r="AZ1722" s="1684"/>
      <c r="BA1722" s="1684"/>
      <c r="BB1722" s="1684"/>
      <c r="BC1722" s="1684"/>
      <c r="BD1722" s="1684"/>
      <c r="BE1722" s="1684"/>
      <c r="BF1722" s="1684"/>
      <c r="BG1722" s="1684"/>
      <c r="BH1722" s="1684"/>
      <c r="BI1722" s="1684"/>
      <c r="BJ1722" s="1684"/>
      <c r="BK1722" s="1684"/>
      <c r="BL1722" s="1684"/>
      <c r="BM1722" s="1684"/>
      <c r="BN1722" s="1684"/>
      <c r="BO1722" s="1684"/>
      <c r="BP1722" s="1684"/>
      <c r="BQ1722" s="1684"/>
      <c r="BR1722" s="1684"/>
      <c r="BS1722" s="1684"/>
      <c r="BT1722" s="1684"/>
      <c r="BU1722" s="1684"/>
      <c r="BV1722" s="1684"/>
      <c r="BW1722" s="1684"/>
      <c r="BX1722" s="1684"/>
      <c r="BY1722" s="1684"/>
      <c r="BZ1722" s="1684"/>
      <c r="CA1722" s="1684"/>
      <c r="CB1722" s="1684"/>
      <c r="CC1722" s="1684"/>
      <c r="CD1722" s="1684"/>
      <c r="CE1722" s="1684"/>
      <c r="CF1722" s="1684"/>
      <c r="CG1722" s="1684"/>
      <c r="CH1722" s="1684"/>
      <c r="CI1722" s="1684"/>
      <c r="CJ1722" s="1684"/>
      <c r="CK1722" s="1684"/>
      <c r="CL1722" s="1684"/>
      <c r="CM1722" s="1684"/>
      <c r="CN1722" s="1684"/>
      <c r="CO1722" s="1684"/>
    </row>
    <row r="1723" spans="1:93" s="1391" customFormat="1" ht="15" x14ac:dyDescent="0.2">
      <c r="A1723" s="1684"/>
      <c r="B1723" s="4716" t="s">
        <v>1053</v>
      </c>
      <c r="C1723" s="4711"/>
      <c r="D1723" s="4711"/>
      <c r="E1723" s="4711"/>
      <c r="F1723" s="4711"/>
      <c r="G1723" s="4711"/>
      <c r="H1723" s="4711"/>
      <c r="I1723" s="4711"/>
      <c r="J1723" s="4711"/>
      <c r="K1723" s="4711"/>
      <c r="L1723" s="4711"/>
      <c r="M1723" s="4717"/>
      <c r="N1723"/>
      <c r="O1723" s="1684"/>
      <c r="P1723" s="1684"/>
      <c r="Q1723" s="1684"/>
      <c r="R1723" s="1684"/>
      <c r="S1723" s="1684"/>
      <c r="T1723" s="1684"/>
      <c r="U1723" s="1684"/>
      <c r="V1723" s="1684"/>
      <c r="W1723" s="1684"/>
      <c r="X1723" s="1684"/>
      <c r="Y1723" s="1684"/>
      <c r="Z1723" s="1684"/>
      <c r="AA1723" s="1684"/>
      <c r="AB1723" s="1684"/>
      <c r="AC1723" s="1684"/>
      <c r="AD1723" s="1684"/>
      <c r="AE1723" s="1684"/>
      <c r="AF1723" s="1684"/>
      <c r="AG1723" s="1684"/>
      <c r="AH1723" s="1684"/>
      <c r="AI1723" s="1684"/>
      <c r="AJ1723" s="1684"/>
      <c r="AK1723" s="1684"/>
      <c r="AL1723" s="1684"/>
      <c r="AM1723" s="1684"/>
      <c r="AN1723" s="1684"/>
      <c r="AO1723" s="1684"/>
      <c r="AP1723" s="1684"/>
      <c r="AQ1723" s="1684"/>
      <c r="AR1723" s="1684"/>
      <c r="AS1723" s="1684"/>
      <c r="AT1723" s="1684"/>
      <c r="AU1723" s="1684"/>
      <c r="AV1723" s="1684"/>
      <c r="AW1723" s="1684"/>
      <c r="AX1723" s="1684"/>
      <c r="AY1723" s="1684"/>
      <c r="AZ1723" s="1684"/>
      <c r="BA1723" s="1684"/>
      <c r="BB1723" s="1684"/>
      <c r="BC1723" s="1684"/>
      <c r="BD1723" s="1684"/>
      <c r="BE1723" s="1684"/>
      <c r="BF1723" s="1684"/>
      <c r="BG1723" s="1684"/>
      <c r="BH1723" s="1684"/>
      <c r="BI1723" s="1684"/>
      <c r="BJ1723" s="1684"/>
      <c r="BK1723" s="1684"/>
      <c r="BL1723" s="1684"/>
      <c r="BM1723" s="1684"/>
      <c r="BN1723" s="1684"/>
      <c r="BO1723" s="1684"/>
      <c r="BP1723" s="1684"/>
      <c r="BQ1723" s="1684"/>
      <c r="BR1723" s="1684"/>
      <c r="BS1723" s="1684"/>
      <c r="BT1723" s="1684"/>
      <c r="BU1723" s="1684"/>
      <c r="BV1723" s="1684"/>
      <c r="BW1723" s="1684"/>
      <c r="BX1723" s="1684"/>
      <c r="BY1723" s="1684"/>
      <c r="BZ1723" s="1684"/>
      <c r="CA1723" s="1684"/>
      <c r="CB1723" s="1684"/>
      <c r="CC1723" s="1684"/>
      <c r="CD1723" s="1684"/>
      <c r="CE1723" s="1684"/>
      <c r="CF1723" s="1684"/>
      <c r="CG1723" s="1684"/>
      <c r="CH1723" s="1684"/>
      <c r="CI1723" s="1684"/>
      <c r="CJ1723" s="1684"/>
      <c r="CK1723" s="1684"/>
      <c r="CL1723" s="1684"/>
      <c r="CM1723" s="1684"/>
      <c r="CN1723" s="1684"/>
      <c r="CO1723" s="1684"/>
    </row>
    <row r="1724" spans="1:93" s="1391" customFormat="1" ht="15" x14ac:dyDescent="0.2">
      <c r="A1724" s="1684"/>
      <c r="B1724" s="2023"/>
      <c r="C1724" s="2024"/>
      <c r="D1724" s="2024">
        <v>1</v>
      </c>
      <c r="E1724" s="2024">
        <v>2</v>
      </c>
      <c r="F1724" s="2024">
        <v>3</v>
      </c>
      <c r="G1724" s="2024">
        <v>4</v>
      </c>
      <c r="H1724" s="2024">
        <v>5</v>
      </c>
      <c r="I1724" s="2024">
        <v>6</v>
      </c>
      <c r="J1724" s="2024">
        <v>7</v>
      </c>
      <c r="K1724" s="2024">
        <v>8</v>
      </c>
      <c r="L1724" s="2024">
        <v>9</v>
      </c>
      <c r="M1724" s="2025"/>
      <c r="N1724"/>
      <c r="O1724" s="1684"/>
      <c r="P1724" s="1684"/>
      <c r="Q1724" s="1684"/>
      <c r="R1724" s="1684"/>
      <c r="S1724" s="1684"/>
      <c r="T1724" s="1684"/>
      <c r="U1724" s="1684"/>
      <c r="V1724" s="1684"/>
      <c r="W1724" s="1684"/>
      <c r="X1724" s="1684"/>
      <c r="Y1724" s="1684"/>
      <c r="Z1724" s="1684"/>
      <c r="AA1724" s="1684"/>
      <c r="AB1724" s="1684"/>
      <c r="AC1724" s="1684"/>
      <c r="AD1724" s="1684"/>
      <c r="AE1724" s="1684"/>
      <c r="AF1724" s="1684"/>
      <c r="AG1724" s="1684"/>
      <c r="AH1724" s="1684"/>
      <c r="AI1724" s="1684"/>
      <c r="AJ1724" s="1684"/>
      <c r="AK1724" s="1684"/>
      <c r="AL1724" s="1684"/>
      <c r="AM1724" s="1684"/>
      <c r="AN1724" s="1684"/>
      <c r="AO1724" s="1684"/>
      <c r="AP1724" s="1684"/>
      <c r="AQ1724" s="1684"/>
      <c r="AR1724" s="1684"/>
      <c r="AS1724" s="1684"/>
      <c r="AT1724" s="1684"/>
      <c r="AU1724" s="1684"/>
      <c r="AV1724" s="1684"/>
      <c r="AW1724" s="1684"/>
      <c r="AX1724" s="1684"/>
      <c r="AY1724" s="1684"/>
      <c r="AZ1724" s="1684"/>
      <c r="BA1724" s="1684"/>
      <c r="BB1724" s="1684"/>
      <c r="BC1724" s="1684"/>
      <c r="BD1724" s="1684"/>
      <c r="BE1724" s="1684"/>
      <c r="BF1724" s="1684"/>
      <c r="BG1724" s="1684"/>
      <c r="BH1724" s="1684"/>
      <c r="BI1724" s="1684"/>
      <c r="BJ1724" s="1684"/>
      <c r="BK1724" s="1684"/>
      <c r="BL1724" s="1684"/>
      <c r="BM1724" s="1684"/>
      <c r="BN1724" s="1684"/>
      <c r="BO1724" s="1684"/>
      <c r="BP1724" s="1684"/>
      <c r="BQ1724" s="1684"/>
      <c r="BR1724" s="1684"/>
      <c r="BS1724" s="1684"/>
      <c r="BT1724" s="1684"/>
      <c r="BU1724" s="1684"/>
      <c r="BV1724" s="1684"/>
      <c r="BW1724" s="1684"/>
      <c r="BX1724" s="1684"/>
      <c r="BY1724" s="1684"/>
      <c r="BZ1724" s="1684"/>
      <c r="CA1724" s="1684"/>
      <c r="CB1724" s="1684"/>
      <c r="CC1724" s="1684"/>
      <c r="CD1724" s="1684"/>
      <c r="CE1724" s="1684"/>
      <c r="CF1724" s="1684"/>
      <c r="CG1724" s="1684"/>
      <c r="CH1724" s="1684"/>
      <c r="CI1724" s="1684"/>
      <c r="CJ1724" s="1684"/>
      <c r="CK1724" s="1684"/>
      <c r="CL1724" s="1684"/>
      <c r="CM1724" s="1684"/>
      <c r="CN1724" s="1684"/>
      <c r="CO1724" s="1684"/>
    </row>
    <row r="1725" spans="1:93" s="1391" customFormat="1" ht="15" x14ac:dyDescent="0.2">
      <c r="A1725" s="1684"/>
      <c r="B1725" s="2026">
        <v>9</v>
      </c>
      <c r="C1725" s="2027">
        <v>4.5250000000000004</v>
      </c>
      <c r="D1725" s="2027">
        <v>206</v>
      </c>
      <c r="E1725" s="2027">
        <v>223</v>
      </c>
      <c r="F1725" s="2027">
        <v>239</v>
      </c>
      <c r="G1725" s="2027">
        <v>256</v>
      </c>
      <c r="H1725" s="2027">
        <v>272</v>
      </c>
      <c r="I1725" s="2027">
        <v>288</v>
      </c>
      <c r="J1725" s="2027">
        <v>304</v>
      </c>
      <c r="K1725" s="2027">
        <v>320</v>
      </c>
      <c r="L1725" s="2027">
        <v>335</v>
      </c>
      <c r="M1725" s="2028">
        <v>41</v>
      </c>
      <c r="N1725"/>
      <c r="O1725" s="1684"/>
      <c r="P1725" s="1684"/>
      <c r="Q1725" s="1684"/>
      <c r="R1725" s="1684"/>
      <c r="S1725" s="1684"/>
      <c r="T1725" s="1684"/>
      <c r="U1725" s="1684"/>
      <c r="V1725" s="1684"/>
      <c r="W1725" s="1684"/>
      <c r="X1725" s="1684"/>
      <c r="Y1725" s="1684"/>
      <c r="Z1725" s="1684"/>
      <c r="AA1725" s="1684"/>
      <c r="AB1725" s="1684"/>
      <c r="AC1725" s="1684"/>
      <c r="AD1725" s="1684"/>
      <c r="AE1725" s="1684"/>
      <c r="AF1725" s="1684"/>
      <c r="AG1725" s="1684"/>
      <c r="AH1725" s="1684"/>
      <c r="AI1725" s="1684"/>
      <c r="AJ1725" s="1684"/>
      <c r="AK1725" s="1684"/>
      <c r="AL1725" s="1684"/>
      <c r="AM1725" s="1684"/>
      <c r="AN1725" s="1684"/>
      <c r="AO1725" s="1684"/>
      <c r="AP1725" s="1684"/>
      <c r="AQ1725" s="1684"/>
      <c r="AR1725" s="1684"/>
      <c r="AS1725" s="1684"/>
      <c r="AT1725" s="1684"/>
      <c r="AU1725" s="1684"/>
      <c r="AV1725" s="1684"/>
      <c r="AW1725" s="1684"/>
      <c r="AX1725" s="1684"/>
      <c r="AY1725" s="1684"/>
      <c r="AZ1725" s="1684"/>
      <c r="BA1725" s="1684"/>
      <c r="BB1725" s="1684"/>
      <c r="BC1725" s="1684"/>
      <c r="BD1725" s="1684"/>
      <c r="BE1725" s="1684"/>
      <c r="BF1725" s="1684"/>
      <c r="BG1725" s="1684"/>
      <c r="BH1725" s="1684"/>
      <c r="BI1725" s="1684"/>
      <c r="BJ1725" s="1684"/>
      <c r="BK1725" s="1684"/>
      <c r="BL1725" s="1684"/>
      <c r="BM1725" s="1684"/>
      <c r="BN1725" s="1684"/>
      <c r="BO1725" s="1684"/>
      <c r="BP1725" s="1684"/>
      <c r="BQ1725" s="1684"/>
      <c r="BR1725" s="1684"/>
      <c r="BS1725" s="1684"/>
      <c r="BT1725" s="1684"/>
      <c r="BU1725" s="1684"/>
      <c r="BV1725" s="1684"/>
      <c r="BW1725" s="1684"/>
      <c r="BX1725" s="1684"/>
      <c r="BY1725" s="1684"/>
      <c r="BZ1725" s="1684"/>
      <c r="CA1725" s="1684"/>
      <c r="CB1725" s="1684"/>
      <c r="CC1725" s="1684"/>
      <c r="CD1725" s="1684"/>
      <c r="CE1725" s="1684"/>
      <c r="CF1725" s="1684"/>
      <c r="CG1725" s="1684"/>
      <c r="CH1725" s="1684"/>
      <c r="CI1725" s="1684"/>
      <c r="CJ1725" s="1684"/>
      <c r="CK1725" s="1684"/>
      <c r="CL1725" s="1684"/>
      <c r="CM1725" s="1684"/>
      <c r="CN1725" s="1684"/>
      <c r="CO1725" s="1684"/>
    </row>
    <row r="1726" spans="1:93" s="1391" customFormat="1" ht="15" x14ac:dyDescent="0.2">
      <c r="A1726" s="1684"/>
      <c r="B1726" s="2026">
        <v>10</v>
      </c>
      <c r="C1726" s="2027">
        <v>4.7709999999999999</v>
      </c>
      <c r="D1726" s="2027">
        <v>227</v>
      </c>
      <c r="E1726" s="2027">
        <v>245</v>
      </c>
      <c r="F1726" s="2027">
        <v>263</v>
      </c>
      <c r="G1726" s="2027">
        <v>281</v>
      </c>
      <c r="H1726" s="2027">
        <v>299</v>
      </c>
      <c r="I1726" s="2027">
        <v>316</v>
      </c>
      <c r="J1726" s="2027">
        <v>333</v>
      </c>
      <c r="K1726" s="2027">
        <v>350</v>
      </c>
      <c r="L1726" s="2027">
        <v>367</v>
      </c>
      <c r="M1726" s="2028">
        <v>42</v>
      </c>
      <c r="N1726"/>
      <c r="O1726" s="1684"/>
      <c r="P1726" s="1684"/>
      <c r="Q1726" s="1684"/>
      <c r="R1726" s="1684"/>
      <c r="S1726" s="1684"/>
      <c r="T1726" s="1684"/>
      <c r="U1726" s="1684"/>
      <c r="V1726" s="1684"/>
      <c r="W1726" s="1684"/>
      <c r="X1726" s="1684"/>
      <c r="Y1726" s="1684"/>
      <c r="Z1726" s="1684"/>
      <c r="AA1726" s="1684"/>
      <c r="AB1726" s="1684"/>
      <c r="AC1726" s="1684"/>
      <c r="AD1726" s="1684"/>
      <c r="AE1726" s="1684"/>
      <c r="AF1726" s="1684"/>
      <c r="AG1726" s="1684"/>
      <c r="AH1726" s="1684"/>
      <c r="AI1726" s="1684"/>
      <c r="AJ1726" s="1684"/>
      <c r="AK1726" s="1684"/>
      <c r="AL1726" s="1684"/>
      <c r="AM1726" s="1684"/>
      <c r="AN1726" s="1684"/>
      <c r="AO1726" s="1684"/>
      <c r="AP1726" s="1684"/>
      <c r="AQ1726" s="1684"/>
      <c r="AR1726" s="1684"/>
      <c r="AS1726" s="1684"/>
      <c r="AT1726" s="1684"/>
      <c r="AU1726" s="1684"/>
      <c r="AV1726" s="1684"/>
      <c r="AW1726" s="1684"/>
      <c r="AX1726" s="1684"/>
      <c r="AY1726" s="1684"/>
      <c r="AZ1726" s="1684"/>
      <c r="BA1726" s="1684"/>
      <c r="BB1726" s="1684"/>
      <c r="BC1726" s="1684"/>
      <c r="BD1726" s="1684"/>
      <c r="BE1726" s="1684"/>
      <c r="BF1726" s="1684"/>
      <c r="BG1726" s="1684"/>
      <c r="BH1726" s="1684"/>
      <c r="BI1726" s="1684"/>
      <c r="BJ1726" s="1684"/>
      <c r="BK1726" s="1684"/>
      <c r="BL1726" s="1684"/>
      <c r="BM1726" s="1684"/>
      <c r="BN1726" s="1684"/>
      <c r="BO1726" s="1684"/>
      <c r="BP1726" s="1684"/>
      <c r="BQ1726" s="1684"/>
      <c r="BR1726" s="1684"/>
      <c r="BS1726" s="1684"/>
      <c r="BT1726" s="1684"/>
      <c r="BU1726" s="1684"/>
      <c r="BV1726" s="1684"/>
      <c r="BW1726" s="1684"/>
      <c r="BX1726" s="1684"/>
      <c r="BY1726" s="1684"/>
      <c r="BZ1726" s="1684"/>
      <c r="CA1726" s="1684"/>
      <c r="CB1726" s="1684"/>
      <c r="CC1726" s="1684"/>
      <c r="CD1726" s="1684"/>
      <c r="CE1726" s="1684"/>
      <c r="CF1726" s="1684"/>
      <c r="CG1726" s="1684"/>
      <c r="CH1726" s="1684"/>
      <c r="CI1726" s="1684"/>
      <c r="CJ1726" s="1684"/>
      <c r="CK1726" s="1684"/>
      <c r="CL1726" s="1684"/>
      <c r="CM1726" s="1684"/>
      <c r="CN1726" s="1684"/>
      <c r="CO1726" s="1684"/>
    </row>
    <row r="1727" spans="1:93" s="1391" customFormat="1" ht="15" x14ac:dyDescent="0.2">
      <c r="A1727" s="1684"/>
      <c r="B1727" s="2026">
        <v>11</v>
      </c>
      <c r="C1727" s="2027">
        <v>5.0510000000000002</v>
      </c>
      <c r="D1727" s="2027">
        <v>250</v>
      </c>
      <c r="E1727" s="2027">
        <v>270</v>
      </c>
      <c r="F1727" s="2027">
        <v>289</v>
      </c>
      <c r="G1727" s="2027">
        <v>309</v>
      </c>
      <c r="H1727" s="2027">
        <v>328</v>
      </c>
      <c r="I1727" s="2027">
        <v>347</v>
      </c>
      <c r="J1727" s="2027">
        <v>366</v>
      </c>
      <c r="K1727" s="2027">
        <v>384</v>
      </c>
      <c r="L1727" s="2027">
        <v>403</v>
      </c>
      <c r="M1727" s="2028">
        <v>43</v>
      </c>
      <c r="N1727"/>
      <c r="O1727" s="1684"/>
      <c r="P1727" s="1684"/>
      <c r="Q1727" s="1684"/>
      <c r="R1727" s="1684"/>
      <c r="S1727" s="1684"/>
      <c r="T1727" s="1684"/>
      <c r="U1727" s="1684"/>
      <c r="V1727" s="1684"/>
      <c r="W1727" s="1684"/>
      <c r="X1727" s="1684"/>
      <c r="Y1727" s="1684"/>
      <c r="Z1727" s="1684"/>
      <c r="AA1727" s="1684"/>
      <c r="AB1727" s="1684"/>
      <c r="AC1727" s="1684"/>
      <c r="AD1727" s="1684"/>
      <c r="AE1727" s="1684"/>
      <c r="AF1727" s="1684"/>
      <c r="AG1727" s="1684"/>
      <c r="AH1727" s="1684"/>
      <c r="AI1727" s="1684"/>
      <c r="AJ1727" s="1684"/>
      <c r="AK1727" s="1684"/>
      <c r="AL1727" s="1684"/>
      <c r="AM1727" s="1684"/>
      <c r="AN1727" s="1684"/>
      <c r="AO1727" s="1684"/>
      <c r="AP1727" s="1684"/>
      <c r="AQ1727" s="1684"/>
      <c r="AR1727" s="1684"/>
      <c r="AS1727" s="1684"/>
      <c r="AT1727" s="1684"/>
      <c r="AU1727" s="1684"/>
      <c r="AV1727" s="1684"/>
      <c r="AW1727" s="1684"/>
      <c r="AX1727" s="1684"/>
      <c r="AY1727" s="1684"/>
      <c r="AZ1727" s="1684"/>
      <c r="BA1727" s="1684"/>
      <c r="BB1727" s="1684"/>
      <c r="BC1727" s="1684"/>
      <c r="BD1727" s="1684"/>
      <c r="BE1727" s="1684"/>
      <c r="BF1727" s="1684"/>
      <c r="BG1727" s="1684"/>
      <c r="BH1727" s="1684"/>
      <c r="BI1727" s="1684"/>
      <c r="BJ1727" s="1684"/>
      <c r="BK1727" s="1684"/>
      <c r="BL1727" s="1684"/>
      <c r="BM1727" s="1684"/>
      <c r="BN1727" s="1684"/>
      <c r="BO1727" s="1684"/>
      <c r="BP1727" s="1684"/>
      <c r="BQ1727" s="1684"/>
      <c r="BR1727" s="1684"/>
      <c r="BS1727" s="1684"/>
      <c r="BT1727" s="1684"/>
      <c r="BU1727" s="1684"/>
      <c r="BV1727" s="1684"/>
      <c r="BW1727" s="1684"/>
      <c r="BX1727" s="1684"/>
      <c r="BY1727" s="1684"/>
      <c r="BZ1727" s="1684"/>
      <c r="CA1727" s="1684"/>
      <c r="CB1727" s="1684"/>
      <c r="CC1727" s="1684"/>
      <c r="CD1727" s="1684"/>
      <c r="CE1727" s="1684"/>
      <c r="CF1727" s="1684"/>
      <c r="CG1727" s="1684"/>
      <c r="CH1727" s="1684"/>
      <c r="CI1727" s="1684"/>
      <c r="CJ1727" s="1684"/>
      <c r="CK1727" s="1684"/>
      <c r="CL1727" s="1684"/>
      <c r="CM1727" s="1684"/>
      <c r="CN1727" s="1684"/>
      <c r="CO1727" s="1684"/>
    </row>
    <row r="1728" spans="1:93" s="1391" customFormat="1" ht="15" x14ac:dyDescent="0.2">
      <c r="A1728" s="1684"/>
      <c r="B1728" s="2026">
        <v>12</v>
      </c>
      <c r="C1728" s="2027">
        <v>5.3479999999999999</v>
      </c>
      <c r="D1728" s="2027">
        <v>274</v>
      </c>
      <c r="E1728" s="2027">
        <v>295</v>
      </c>
      <c r="F1728" s="2027">
        <v>317</v>
      </c>
      <c r="G1728" s="2027">
        <v>338</v>
      </c>
      <c r="H1728" s="2027">
        <v>359</v>
      </c>
      <c r="I1728" s="2027">
        <v>379</v>
      </c>
      <c r="J1728" s="2027">
        <v>400</v>
      </c>
      <c r="K1728" s="2027">
        <v>419</v>
      </c>
      <c r="L1728" s="2027">
        <v>439</v>
      </c>
      <c r="M1728" s="2028">
        <v>44</v>
      </c>
      <c r="N1728"/>
      <c r="O1728" s="1684"/>
      <c r="P1728" s="1684"/>
      <c r="Q1728" s="1684"/>
      <c r="R1728" s="1684"/>
      <c r="S1728" s="1684"/>
      <c r="T1728" s="1684"/>
      <c r="U1728" s="1684"/>
      <c r="V1728" s="1684"/>
      <c r="W1728" s="1684"/>
      <c r="X1728" s="1684"/>
      <c r="Y1728" s="1684"/>
      <c r="Z1728" s="1684"/>
      <c r="AA1728" s="1684"/>
      <c r="AB1728" s="1684"/>
      <c r="AC1728" s="1684"/>
      <c r="AD1728" s="1684"/>
      <c r="AE1728" s="1684"/>
      <c r="AF1728" s="1684"/>
      <c r="AG1728" s="1684"/>
      <c r="AH1728" s="1684"/>
      <c r="AI1728" s="1684"/>
      <c r="AJ1728" s="1684"/>
      <c r="AK1728" s="1684"/>
      <c r="AL1728" s="1684"/>
      <c r="AM1728" s="1684"/>
      <c r="AN1728" s="1684"/>
      <c r="AO1728" s="1684"/>
      <c r="AP1728" s="1684"/>
      <c r="AQ1728" s="1684"/>
      <c r="AR1728" s="1684"/>
      <c r="AS1728" s="1684"/>
      <c r="AT1728" s="1684"/>
      <c r="AU1728" s="1684"/>
      <c r="AV1728" s="1684"/>
      <c r="AW1728" s="1684"/>
      <c r="AX1728" s="1684"/>
      <c r="AY1728" s="1684"/>
      <c r="AZ1728" s="1684"/>
      <c r="BA1728" s="1684"/>
      <c r="BB1728" s="1684"/>
      <c r="BC1728" s="1684"/>
      <c r="BD1728" s="1684"/>
      <c r="BE1728" s="1684"/>
      <c r="BF1728" s="1684"/>
      <c r="BG1728" s="1684"/>
      <c r="BH1728" s="1684"/>
      <c r="BI1728" s="1684"/>
      <c r="BJ1728" s="1684"/>
      <c r="BK1728" s="1684"/>
      <c r="BL1728" s="1684"/>
      <c r="BM1728" s="1684"/>
      <c r="BN1728" s="1684"/>
      <c r="BO1728" s="1684"/>
      <c r="BP1728" s="1684"/>
      <c r="BQ1728" s="1684"/>
      <c r="BR1728" s="1684"/>
      <c r="BS1728" s="1684"/>
      <c r="BT1728" s="1684"/>
      <c r="BU1728" s="1684"/>
      <c r="BV1728" s="1684"/>
      <c r="BW1728" s="1684"/>
      <c r="BX1728" s="1684"/>
      <c r="BY1728" s="1684"/>
      <c r="BZ1728" s="1684"/>
      <c r="CA1728" s="1684"/>
      <c r="CB1728" s="1684"/>
      <c r="CC1728" s="1684"/>
      <c r="CD1728" s="1684"/>
      <c r="CE1728" s="1684"/>
      <c r="CF1728" s="1684"/>
      <c r="CG1728" s="1684"/>
      <c r="CH1728" s="1684"/>
      <c r="CI1728" s="1684"/>
      <c r="CJ1728" s="1684"/>
      <c r="CK1728" s="1684"/>
      <c r="CL1728" s="1684"/>
      <c r="CM1728" s="1684"/>
      <c r="CN1728" s="1684"/>
      <c r="CO1728" s="1684"/>
    </row>
    <row r="1729" spans="1:93" s="1391" customFormat="1" ht="15" x14ac:dyDescent="0.2">
      <c r="A1729" s="1684"/>
      <c r="B1729" s="2026">
        <v>13</v>
      </c>
      <c r="C1729" s="2027">
        <v>5.6559999999999997</v>
      </c>
      <c r="D1729" s="2027">
        <v>298</v>
      </c>
      <c r="E1729" s="2027">
        <v>322</v>
      </c>
      <c r="F1729" s="2027">
        <v>345</v>
      </c>
      <c r="G1729" s="2027">
        <v>368</v>
      </c>
      <c r="H1729" s="2027">
        <v>390</v>
      </c>
      <c r="I1729" s="2027">
        <v>412</v>
      </c>
      <c r="J1729" s="2027">
        <v>434</v>
      </c>
      <c r="K1729" s="2027">
        <v>458</v>
      </c>
      <c r="L1729" s="2027">
        <v>479</v>
      </c>
      <c r="M1729" s="2028">
        <v>45</v>
      </c>
      <c r="N1729"/>
      <c r="O1729" s="1684"/>
      <c r="P1729" s="1684"/>
      <c r="Q1729" s="1684"/>
      <c r="R1729" s="1684"/>
      <c r="S1729" s="1684"/>
      <c r="T1729" s="1684"/>
      <c r="U1729" s="1684"/>
      <c r="V1729" s="1684"/>
      <c r="W1729" s="1684"/>
      <c r="X1729" s="1684"/>
      <c r="Y1729" s="1684"/>
      <c r="Z1729" s="1684"/>
      <c r="AA1729" s="1684"/>
      <c r="AB1729" s="1684"/>
      <c r="AC1729" s="1684"/>
      <c r="AD1729" s="1684"/>
      <c r="AE1729" s="1684"/>
      <c r="AF1729" s="1684"/>
      <c r="AG1729" s="1684"/>
      <c r="AH1729" s="1684"/>
      <c r="AI1729" s="1684"/>
      <c r="AJ1729" s="1684"/>
      <c r="AK1729" s="1684"/>
      <c r="AL1729" s="1684"/>
      <c r="AM1729" s="1684"/>
      <c r="AN1729" s="1684"/>
      <c r="AO1729" s="1684"/>
      <c r="AP1729" s="1684"/>
      <c r="AQ1729" s="1684"/>
      <c r="AR1729" s="1684"/>
      <c r="AS1729" s="1684"/>
      <c r="AT1729" s="1684"/>
      <c r="AU1729" s="1684"/>
      <c r="AV1729" s="1684"/>
      <c r="AW1729" s="1684"/>
      <c r="AX1729" s="1684"/>
      <c r="AY1729" s="1684"/>
      <c r="AZ1729" s="1684"/>
      <c r="BA1729" s="1684"/>
      <c r="BB1729" s="1684"/>
      <c r="BC1729" s="1684"/>
      <c r="BD1729" s="1684"/>
      <c r="BE1729" s="1684"/>
      <c r="BF1729" s="1684"/>
      <c r="BG1729" s="1684"/>
      <c r="BH1729" s="1684"/>
      <c r="BI1729" s="1684"/>
      <c r="BJ1729" s="1684"/>
      <c r="BK1729" s="1684"/>
      <c r="BL1729" s="1684"/>
      <c r="BM1729" s="1684"/>
      <c r="BN1729" s="1684"/>
      <c r="BO1729" s="1684"/>
      <c r="BP1729" s="1684"/>
      <c r="BQ1729" s="1684"/>
      <c r="BR1729" s="1684"/>
      <c r="BS1729" s="1684"/>
      <c r="BT1729" s="1684"/>
      <c r="BU1729" s="1684"/>
      <c r="BV1729" s="1684"/>
      <c r="BW1729" s="1684"/>
      <c r="BX1729" s="1684"/>
      <c r="BY1729" s="1684"/>
      <c r="BZ1729" s="1684"/>
      <c r="CA1729" s="1684"/>
      <c r="CB1729" s="1684"/>
      <c r="CC1729" s="1684"/>
      <c r="CD1729" s="1684"/>
      <c r="CE1729" s="1684"/>
      <c r="CF1729" s="1684"/>
      <c r="CG1729" s="1684"/>
      <c r="CH1729" s="1684"/>
      <c r="CI1729" s="1684"/>
      <c r="CJ1729" s="1684"/>
      <c r="CK1729" s="1684"/>
      <c r="CL1729" s="1684"/>
      <c r="CM1729" s="1684"/>
      <c r="CN1729" s="1684"/>
      <c r="CO1729" s="1684"/>
    </row>
    <row r="1730" spans="1:93" s="1391" customFormat="1" ht="15" x14ac:dyDescent="0.2">
      <c r="A1730" s="1684"/>
      <c r="B1730" s="2026">
        <v>14</v>
      </c>
      <c r="C1730" s="2027">
        <v>5.9859999999999998</v>
      </c>
      <c r="D1730" s="2027">
        <v>324</v>
      </c>
      <c r="E1730" s="2027">
        <v>349</v>
      </c>
      <c r="F1730" s="2027">
        <v>374</v>
      </c>
      <c r="G1730" s="2027">
        <v>398</v>
      </c>
      <c r="H1730" s="2027">
        <v>422</v>
      </c>
      <c r="I1730" s="2027">
        <v>450</v>
      </c>
      <c r="J1730" s="2027">
        <v>470</v>
      </c>
      <c r="K1730" s="2027">
        <v>492</v>
      </c>
      <c r="L1730" s="2027">
        <v>515</v>
      </c>
      <c r="M1730" s="2028">
        <v>46</v>
      </c>
      <c r="N1730"/>
      <c r="O1730" s="1684"/>
      <c r="P1730" s="1684"/>
      <c r="Q1730" s="1684"/>
      <c r="R1730" s="1684"/>
      <c r="S1730" s="1684"/>
      <c r="T1730" s="1684"/>
      <c r="U1730" s="1684"/>
      <c r="V1730" s="1684"/>
      <c r="W1730" s="1684"/>
      <c r="X1730" s="1684"/>
      <c r="Y1730" s="1684"/>
      <c r="Z1730" s="1684"/>
      <c r="AA1730" s="1684"/>
      <c r="AB1730" s="1684"/>
      <c r="AC1730" s="1684"/>
      <c r="AD1730" s="1684"/>
      <c r="AE1730" s="1684"/>
      <c r="AF1730" s="1684"/>
      <c r="AG1730" s="1684"/>
      <c r="AH1730" s="1684"/>
      <c r="AI1730" s="1684"/>
      <c r="AJ1730" s="1684"/>
      <c r="AK1730" s="1684"/>
      <c r="AL1730" s="1684"/>
      <c r="AM1730" s="1684"/>
      <c r="AN1730" s="1684"/>
      <c r="AO1730" s="1684"/>
      <c r="AP1730" s="1684"/>
      <c r="AQ1730" s="1684"/>
      <c r="AR1730" s="1684"/>
      <c r="AS1730" s="1684"/>
      <c r="AT1730" s="1684"/>
      <c r="AU1730" s="1684"/>
      <c r="AV1730" s="1684"/>
      <c r="AW1730" s="1684"/>
      <c r="AX1730" s="1684"/>
      <c r="AY1730" s="1684"/>
      <c r="AZ1730" s="1684"/>
      <c r="BA1730" s="1684"/>
      <c r="BB1730" s="1684"/>
      <c r="BC1730" s="1684"/>
      <c r="BD1730" s="1684"/>
      <c r="BE1730" s="1684"/>
      <c r="BF1730" s="1684"/>
      <c r="BG1730" s="1684"/>
      <c r="BH1730" s="1684"/>
      <c r="BI1730" s="1684"/>
      <c r="BJ1730" s="1684"/>
      <c r="BK1730" s="1684"/>
      <c r="BL1730" s="1684"/>
      <c r="BM1730" s="1684"/>
      <c r="BN1730" s="1684"/>
      <c r="BO1730" s="1684"/>
      <c r="BP1730" s="1684"/>
      <c r="BQ1730" s="1684"/>
      <c r="BR1730" s="1684"/>
      <c r="BS1730" s="1684"/>
      <c r="BT1730" s="1684"/>
      <c r="BU1730" s="1684"/>
      <c r="BV1730" s="1684"/>
      <c r="BW1730" s="1684"/>
      <c r="BX1730" s="1684"/>
      <c r="BY1730" s="1684"/>
      <c r="BZ1730" s="1684"/>
      <c r="CA1730" s="1684"/>
      <c r="CB1730" s="1684"/>
      <c r="CC1730" s="1684"/>
      <c r="CD1730" s="1684"/>
      <c r="CE1730" s="1684"/>
      <c r="CF1730" s="1684"/>
      <c r="CG1730" s="1684"/>
      <c r="CH1730" s="1684"/>
      <c r="CI1730" s="1684"/>
      <c r="CJ1730" s="1684"/>
      <c r="CK1730" s="1684"/>
      <c r="CL1730" s="1684"/>
      <c r="CM1730" s="1684"/>
      <c r="CN1730" s="1684"/>
      <c r="CO1730" s="1684"/>
    </row>
    <row r="1731" spans="1:93" s="1391" customFormat="1" ht="15" x14ac:dyDescent="0.2">
      <c r="A1731" s="1684"/>
      <c r="B1731" s="2026">
        <v>15</v>
      </c>
      <c r="C1731" s="2027">
        <v>6.3310000000000004</v>
      </c>
      <c r="D1731" s="2027">
        <v>350</v>
      </c>
      <c r="E1731" s="2027">
        <v>377</v>
      </c>
      <c r="F1731" s="2027">
        <v>404</v>
      </c>
      <c r="G1731" s="2027">
        <v>430</v>
      </c>
      <c r="H1731" s="2027">
        <v>457</v>
      </c>
      <c r="I1731" s="2027">
        <v>481</v>
      </c>
      <c r="J1731" s="2027">
        <v>506</v>
      </c>
      <c r="K1731" s="2027">
        <v>530</v>
      </c>
      <c r="L1731" s="2027">
        <v>554</v>
      </c>
      <c r="M1731" s="2028">
        <v>47</v>
      </c>
      <c r="N1731"/>
      <c r="O1731" s="1684"/>
      <c r="P1731" s="1684"/>
      <c r="Q1731" s="1684"/>
      <c r="R1731" s="1684"/>
      <c r="S1731" s="1684"/>
      <c r="T1731" s="1684"/>
      <c r="U1731" s="1684"/>
      <c r="V1731" s="1684"/>
      <c r="W1731" s="1684"/>
      <c r="X1731" s="1684"/>
      <c r="Y1731" s="1684"/>
      <c r="Z1731" s="1684"/>
      <c r="AA1731" s="1684"/>
      <c r="AB1731" s="1684"/>
      <c r="AC1731" s="1684"/>
      <c r="AD1731" s="1684"/>
      <c r="AE1731" s="1684"/>
      <c r="AF1731" s="1684"/>
      <c r="AG1731" s="1684"/>
      <c r="AH1731" s="1684"/>
      <c r="AI1731" s="1684"/>
      <c r="AJ1731" s="1684"/>
      <c r="AK1731" s="1684"/>
      <c r="AL1731" s="1684"/>
      <c r="AM1731" s="1684"/>
      <c r="AN1731" s="1684"/>
      <c r="AO1731" s="1684"/>
      <c r="AP1731" s="1684"/>
      <c r="AQ1731" s="1684"/>
      <c r="AR1731" s="1684"/>
      <c r="AS1731" s="1684"/>
      <c r="AT1731" s="1684"/>
      <c r="AU1731" s="1684"/>
      <c r="AV1731" s="1684"/>
      <c r="AW1731" s="1684"/>
      <c r="AX1731" s="1684"/>
      <c r="AY1731" s="1684"/>
      <c r="AZ1731" s="1684"/>
      <c r="BA1731" s="1684"/>
      <c r="BB1731" s="1684"/>
      <c r="BC1731" s="1684"/>
      <c r="BD1731" s="1684"/>
      <c r="BE1731" s="1684"/>
      <c r="BF1731" s="1684"/>
      <c r="BG1731" s="1684"/>
      <c r="BH1731" s="1684"/>
      <c r="BI1731" s="1684"/>
      <c r="BJ1731" s="1684"/>
      <c r="BK1731" s="1684"/>
      <c r="BL1731" s="1684"/>
      <c r="BM1731" s="1684"/>
      <c r="BN1731" s="1684"/>
      <c r="BO1731" s="1684"/>
      <c r="BP1731" s="1684"/>
      <c r="BQ1731" s="1684"/>
      <c r="BR1731" s="1684"/>
      <c r="BS1731" s="1684"/>
      <c r="BT1731" s="1684"/>
      <c r="BU1731" s="1684"/>
      <c r="BV1731" s="1684"/>
      <c r="BW1731" s="1684"/>
      <c r="BX1731" s="1684"/>
      <c r="BY1731" s="1684"/>
      <c r="BZ1731" s="1684"/>
      <c r="CA1731" s="1684"/>
      <c r="CB1731" s="1684"/>
      <c r="CC1731" s="1684"/>
      <c r="CD1731" s="1684"/>
      <c r="CE1731" s="1684"/>
      <c r="CF1731" s="1684"/>
      <c r="CG1731" s="1684"/>
      <c r="CH1731" s="1684"/>
      <c r="CI1731" s="1684"/>
      <c r="CJ1731" s="1684"/>
      <c r="CK1731" s="1684"/>
      <c r="CL1731" s="1684"/>
      <c r="CM1731" s="1684"/>
      <c r="CN1731" s="1684"/>
      <c r="CO1731" s="1684"/>
    </row>
    <row r="1732" spans="1:93" s="1391" customFormat="1" ht="15" x14ac:dyDescent="0.2">
      <c r="A1732" s="1684"/>
      <c r="B1732" s="2026">
        <v>16</v>
      </c>
      <c r="C1732" s="2027">
        <v>6.6749999999999998</v>
      </c>
      <c r="D1732" s="2027">
        <v>376</v>
      </c>
      <c r="E1732" s="2027">
        <v>405</v>
      </c>
      <c r="F1732" s="2027">
        <v>433</v>
      </c>
      <c r="G1732" s="2027">
        <v>461</v>
      </c>
      <c r="H1732" s="2027">
        <v>488</v>
      </c>
      <c r="I1732" s="2027">
        <v>515</v>
      </c>
      <c r="J1732" s="2027">
        <v>541</v>
      </c>
      <c r="K1732" s="2027">
        <v>567</v>
      </c>
      <c r="L1732" s="2027">
        <v>592</v>
      </c>
      <c r="M1732" s="2028">
        <v>48</v>
      </c>
      <c r="N1732"/>
      <c r="O1732" s="1684"/>
      <c r="P1732" s="1684"/>
      <c r="Q1732" s="1684"/>
      <c r="R1732" s="1684"/>
      <c r="S1732" s="1684"/>
      <c r="T1732" s="1684"/>
      <c r="U1732" s="1684"/>
      <c r="V1732" s="1684"/>
      <c r="W1732" s="1684"/>
      <c r="X1732" s="1684"/>
      <c r="Y1732" s="1684"/>
      <c r="Z1732" s="1684"/>
      <c r="AA1732" s="1684"/>
      <c r="AB1732" s="1684"/>
      <c r="AC1732" s="1684"/>
      <c r="AD1732" s="1684"/>
      <c r="AE1732" s="1684"/>
      <c r="AF1732" s="1684"/>
      <c r="AG1732" s="1684"/>
      <c r="AH1732" s="1684"/>
      <c r="AI1732" s="1684"/>
      <c r="AJ1732" s="1684"/>
      <c r="AK1732" s="1684"/>
      <c r="AL1732" s="1684"/>
      <c r="AM1732" s="1684"/>
      <c r="AN1732" s="1684"/>
      <c r="AO1732" s="1684"/>
      <c r="AP1732" s="1684"/>
      <c r="AQ1732" s="1684"/>
      <c r="AR1732" s="1684"/>
      <c r="AS1732" s="1684"/>
      <c r="AT1732" s="1684"/>
      <c r="AU1732" s="1684"/>
      <c r="AV1732" s="1684"/>
      <c r="AW1732" s="1684"/>
      <c r="AX1732" s="1684"/>
      <c r="AY1732" s="1684"/>
      <c r="AZ1732" s="1684"/>
      <c r="BA1732" s="1684"/>
      <c r="BB1732" s="1684"/>
      <c r="BC1732" s="1684"/>
      <c r="BD1732" s="1684"/>
      <c r="BE1732" s="1684"/>
      <c r="BF1732" s="1684"/>
      <c r="BG1732" s="1684"/>
      <c r="BH1732" s="1684"/>
      <c r="BI1732" s="1684"/>
      <c r="BJ1732" s="1684"/>
      <c r="BK1732" s="1684"/>
      <c r="BL1732" s="1684"/>
      <c r="BM1732" s="1684"/>
      <c r="BN1732" s="1684"/>
      <c r="BO1732" s="1684"/>
      <c r="BP1732" s="1684"/>
      <c r="BQ1732" s="1684"/>
      <c r="BR1732" s="1684"/>
      <c r="BS1732" s="1684"/>
      <c r="BT1732" s="1684"/>
      <c r="BU1732" s="1684"/>
      <c r="BV1732" s="1684"/>
      <c r="BW1732" s="1684"/>
      <c r="BX1732" s="1684"/>
      <c r="BY1732" s="1684"/>
      <c r="BZ1732" s="1684"/>
      <c r="CA1732" s="1684"/>
      <c r="CB1732" s="1684"/>
      <c r="CC1732" s="1684"/>
      <c r="CD1732" s="1684"/>
      <c r="CE1732" s="1684"/>
      <c r="CF1732" s="1684"/>
      <c r="CG1732" s="1684"/>
      <c r="CH1732" s="1684"/>
      <c r="CI1732" s="1684"/>
      <c r="CJ1732" s="1684"/>
      <c r="CK1732" s="1684"/>
      <c r="CL1732" s="1684"/>
      <c r="CM1732" s="1684"/>
      <c r="CN1732" s="1684"/>
      <c r="CO1732" s="1684"/>
    </row>
    <row r="1733" spans="1:93" s="1391" customFormat="1" ht="15" x14ac:dyDescent="0.2">
      <c r="A1733" s="1684"/>
      <c r="B1733" s="4716" t="s">
        <v>1054</v>
      </c>
      <c r="C1733" s="4711"/>
      <c r="D1733" s="4711"/>
      <c r="E1733" s="4711"/>
      <c r="F1733" s="4711"/>
      <c r="G1733" s="4711"/>
      <c r="H1733" s="4711"/>
      <c r="I1733" s="4711"/>
      <c r="J1733" s="4711"/>
      <c r="K1733" s="4711"/>
      <c r="L1733" s="4711"/>
      <c r="M1733" s="4717"/>
      <c r="N1733"/>
      <c r="O1733" s="1684"/>
      <c r="P1733" s="1684"/>
      <c r="Q1733" s="1684"/>
      <c r="R1733" s="1684"/>
      <c r="S1733" s="1684"/>
      <c r="T1733" s="1684"/>
      <c r="U1733" s="1684"/>
      <c r="V1733" s="1684"/>
      <c r="W1733" s="1684"/>
      <c r="X1733" s="1684"/>
      <c r="Y1733" s="1684"/>
      <c r="Z1733" s="1684"/>
      <c r="AA1733" s="1684"/>
      <c r="AB1733" s="1684"/>
      <c r="AC1733" s="1684"/>
      <c r="AD1733" s="1684"/>
      <c r="AE1733" s="1684"/>
      <c r="AF1733" s="1684"/>
      <c r="AG1733" s="1684"/>
      <c r="AH1733" s="1684"/>
      <c r="AI1733" s="1684"/>
      <c r="AJ1733" s="1684"/>
      <c r="AK1733" s="1684"/>
      <c r="AL1733" s="1684"/>
      <c r="AM1733" s="1684"/>
      <c r="AN1733" s="1684"/>
      <c r="AO1733" s="1684"/>
      <c r="AP1733" s="1684"/>
      <c r="AQ1733" s="1684"/>
      <c r="AR1733" s="1684"/>
      <c r="AS1733" s="1684"/>
      <c r="AT1733" s="1684"/>
      <c r="AU1733" s="1684"/>
      <c r="AV1733" s="1684"/>
      <c r="AW1733" s="1684"/>
      <c r="AX1733" s="1684"/>
      <c r="AY1733" s="1684"/>
      <c r="AZ1733" s="1684"/>
      <c r="BA1733" s="1684"/>
      <c r="BB1733" s="1684"/>
      <c r="BC1733" s="1684"/>
      <c r="BD1733" s="1684"/>
      <c r="BE1733" s="1684"/>
      <c r="BF1733" s="1684"/>
      <c r="BG1733" s="1684"/>
      <c r="BH1733" s="1684"/>
      <c r="BI1733" s="1684"/>
      <c r="BJ1733" s="1684"/>
      <c r="BK1733" s="1684"/>
      <c r="BL1733" s="1684"/>
      <c r="BM1733" s="1684"/>
      <c r="BN1733" s="1684"/>
      <c r="BO1733" s="1684"/>
      <c r="BP1733" s="1684"/>
      <c r="BQ1733" s="1684"/>
      <c r="BR1733" s="1684"/>
      <c r="BS1733" s="1684"/>
      <c r="BT1733" s="1684"/>
      <c r="BU1733" s="1684"/>
      <c r="BV1733" s="1684"/>
      <c r="BW1733" s="1684"/>
      <c r="BX1733" s="1684"/>
      <c r="BY1733" s="1684"/>
      <c r="BZ1733" s="1684"/>
      <c r="CA1733" s="1684"/>
      <c r="CB1733" s="1684"/>
      <c r="CC1733" s="1684"/>
      <c r="CD1733" s="1684"/>
      <c r="CE1733" s="1684"/>
      <c r="CF1733" s="1684"/>
      <c r="CG1733" s="1684"/>
      <c r="CH1733" s="1684"/>
      <c r="CI1733" s="1684"/>
      <c r="CJ1733" s="1684"/>
      <c r="CK1733" s="1684"/>
      <c r="CL1733" s="1684"/>
      <c r="CM1733" s="1684"/>
      <c r="CN1733" s="1684"/>
      <c r="CO1733" s="1684"/>
    </row>
    <row r="1734" spans="1:93" s="1391" customFormat="1" ht="15" x14ac:dyDescent="0.2">
      <c r="A1734" s="1684"/>
      <c r="B1734" s="2023"/>
      <c r="C1734" s="2024"/>
      <c r="D1734" s="2024">
        <v>1</v>
      </c>
      <c r="E1734" s="2024">
        <v>2</v>
      </c>
      <c r="F1734" s="2024">
        <v>3</v>
      </c>
      <c r="G1734" s="2024">
        <v>4</v>
      </c>
      <c r="H1734" s="2024">
        <v>5</v>
      </c>
      <c r="I1734" s="2024">
        <v>6</v>
      </c>
      <c r="J1734" s="2024">
        <v>7</v>
      </c>
      <c r="K1734" s="2024">
        <v>8</v>
      </c>
      <c r="L1734" s="2024">
        <v>9</v>
      </c>
      <c r="M1734" s="2025"/>
      <c r="N1734"/>
      <c r="O1734" s="1684"/>
      <c r="P1734" s="1684"/>
      <c r="Q1734" s="1684"/>
      <c r="R1734" s="1684"/>
      <c r="S1734" s="1684"/>
      <c r="T1734" s="1684"/>
      <c r="U1734" s="1684"/>
      <c r="V1734" s="1684"/>
      <c r="W1734" s="1684"/>
      <c r="X1734" s="1684"/>
      <c r="Y1734" s="1684"/>
      <c r="Z1734" s="1684"/>
      <c r="AA1734" s="1684"/>
      <c r="AB1734" s="1684"/>
      <c r="AC1734" s="1684"/>
      <c r="AD1734" s="1684"/>
      <c r="AE1734" s="1684"/>
      <c r="AF1734" s="1684"/>
      <c r="AG1734" s="1684"/>
      <c r="AH1734" s="1684"/>
      <c r="AI1734" s="1684"/>
      <c r="AJ1734" s="1684"/>
      <c r="AK1734" s="1684"/>
      <c r="AL1734" s="1684"/>
      <c r="AM1734" s="1684"/>
      <c r="AN1734" s="1684"/>
      <c r="AO1734" s="1684"/>
      <c r="AP1734" s="1684"/>
      <c r="AQ1734" s="1684"/>
      <c r="AR1734" s="1684"/>
      <c r="AS1734" s="1684"/>
      <c r="AT1734" s="1684"/>
      <c r="AU1734" s="1684"/>
      <c r="AV1734" s="1684"/>
      <c r="AW1734" s="1684"/>
      <c r="AX1734" s="1684"/>
      <c r="AY1734" s="1684"/>
      <c r="AZ1734" s="1684"/>
      <c r="BA1734" s="1684"/>
      <c r="BB1734" s="1684"/>
      <c r="BC1734" s="1684"/>
      <c r="BD1734" s="1684"/>
      <c r="BE1734" s="1684"/>
      <c r="BF1734" s="1684"/>
      <c r="BG1734" s="1684"/>
      <c r="BH1734" s="1684"/>
      <c r="BI1734" s="1684"/>
      <c r="BJ1734" s="1684"/>
      <c r="BK1734" s="1684"/>
      <c r="BL1734" s="1684"/>
      <c r="BM1734" s="1684"/>
      <c r="BN1734" s="1684"/>
      <c r="BO1734" s="1684"/>
      <c r="BP1734" s="1684"/>
      <c r="BQ1734" s="1684"/>
      <c r="BR1734" s="1684"/>
      <c r="BS1734" s="1684"/>
      <c r="BT1734" s="1684"/>
      <c r="BU1734" s="1684"/>
      <c r="BV1734" s="1684"/>
      <c r="BW1734" s="1684"/>
      <c r="BX1734" s="1684"/>
      <c r="BY1734" s="1684"/>
      <c r="BZ1734" s="1684"/>
      <c r="CA1734" s="1684"/>
      <c r="CB1734" s="1684"/>
      <c r="CC1734" s="1684"/>
      <c r="CD1734" s="1684"/>
      <c r="CE1734" s="1684"/>
      <c r="CF1734" s="1684"/>
      <c r="CG1734" s="1684"/>
      <c r="CH1734" s="1684"/>
      <c r="CI1734" s="1684"/>
      <c r="CJ1734" s="1684"/>
      <c r="CK1734" s="1684"/>
      <c r="CL1734" s="1684"/>
      <c r="CM1734" s="1684"/>
      <c r="CN1734" s="1684"/>
      <c r="CO1734" s="1684"/>
    </row>
    <row r="1735" spans="1:93" s="1391" customFormat="1" ht="15" x14ac:dyDescent="0.2">
      <c r="A1735" s="1684"/>
      <c r="B1735" s="2026">
        <v>9</v>
      </c>
      <c r="C1735" s="2027">
        <v>4.5250000000000004</v>
      </c>
      <c r="D1735" s="2027">
        <v>214</v>
      </c>
      <c r="E1735" s="2027">
        <v>232</v>
      </c>
      <c r="F1735" s="2027">
        <v>249</v>
      </c>
      <c r="G1735" s="2027">
        <v>266</v>
      </c>
      <c r="H1735" s="2027">
        <v>283</v>
      </c>
      <c r="I1735" s="2027">
        <v>299</v>
      </c>
      <c r="J1735" s="2027">
        <v>316</v>
      </c>
      <c r="K1735" s="2027">
        <v>332</v>
      </c>
      <c r="L1735" s="2027">
        <v>348</v>
      </c>
      <c r="M1735" s="2028">
        <v>49</v>
      </c>
      <c r="N1735"/>
      <c r="O1735" s="1684"/>
      <c r="P1735" s="1684"/>
      <c r="Q1735" s="1684"/>
      <c r="R1735" s="1684"/>
      <c r="S1735" s="1684"/>
      <c r="T1735" s="1684"/>
      <c r="U1735" s="1684"/>
      <c r="V1735" s="1684"/>
      <c r="W1735" s="1684"/>
      <c r="X1735" s="1684"/>
      <c r="Y1735" s="1684"/>
      <c r="Z1735" s="1684"/>
      <c r="AA1735" s="1684"/>
      <c r="AB1735" s="1684"/>
      <c r="AC1735" s="1684"/>
      <c r="AD1735" s="1684"/>
      <c r="AE1735" s="1684"/>
      <c r="AF1735" s="1684"/>
      <c r="AG1735" s="1684"/>
      <c r="AH1735" s="1684"/>
      <c r="AI1735" s="1684"/>
      <c r="AJ1735" s="1684"/>
      <c r="AK1735" s="1684"/>
      <c r="AL1735" s="1684"/>
      <c r="AM1735" s="1684"/>
      <c r="AN1735" s="1684"/>
      <c r="AO1735" s="1684"/>
      <c r="AP1735" s="1684"/>
      <c r="AQ1735" s="1684"/>
      <c r="AR1735" s="1684"/>
      <c r="AS1735" s="1684"/>
      <c r="AT1735" s="1684"/>
      <c r="AU1735" s="1684"/>
      <c r="AV1735" s="1684"/>
      <c r="AW1735" s="1684"/>
      <c r="AX1735" s="1684"/>
      <c r="AY1735" s="1684"/>
      <c r="AZ1735" s="1684"/>
      <c r="BA1735" s="1684"/>
      <c r="BB1735" s="1684"/>
      <c r="BC1735" s="1684"/>
      <c r="BD1735" s="1684"/>
      <c r="BE1735" s="1684"/>
      <c r="BF1735" s="1684"/>
      <c r="BG1735" s="1684"/>
      <c r="BH1735" s="1684"/>
      <c r="BI1735" s="1684"/>
      <c r="BJ1735" s="1684"/>
      <c r="BK1735" s="1684"/>
      <c r="BL1735" s="1684"/>
      <c r="BM1735" s="1684"/>
      <c r="BN1735" s="1684"/>
      <c r="BO1735" s="1684"/>
      <c r="BP1735" s="1684"/>
      <c r="BQ1735" s="1684"/>
      <c r="BR1735" s="1684"/>
      <c r="BS1735" s="1684"/>
      <c r="BT1735" s="1684"/>
      <c r="BU1735" s="1684"/>
      <c r="BV1735" s="1684"/>
      <c r="BW1735" s="1684"/>
      <c r="BX1735" s="1684"/>
      <c r="BY1735" s="1684"/>
      <c r="BZ1735" s="1684"/>
      <c r="CA1735" s="1684"/>
      <c r="CB1735" s="1684"/>
      <c r="CC1735" s="1684"/>
      <c r="CD1735" s="1684"/>
      <c r="CE1735" s="1684"/>
      <c r="CF1735" s="1684"/>
      <c r="CG1735" s="1684"/>
      <c r="CH1735" s="1684"/>
      <c r="CI1735" s="1684"/>
      <c r="CJ1735" s="1684"/>
      <c r="CK1735" s="1684"/>
      <c r="CL1735" s="1684"/>
      <c r="CM1735" s="1684"/>
      <c r="CN1735" s="1684"/>
      <c r="CO1735" s="1684"/>
    </row>
    <row r="1736" spans="1:93" s="1391" customFormat="1" ht="15" x14ac:dyDescent="0.2">
      <c r="A1736" s="1684"/>
      <c r="B1736" s="2026">
        <v>10</v>
      </c>
      <c r="C1736" s="2027">
        <v>4.7709999999999999</v>
      </c>
      <c r="D1736" s="2027">
        <v>236</v>
      </c>
      <c r="E1736" s="2027">
        <v>255</v>
      </c>
      <c r="F1736" s="2027">
        <v>274</v>
      </c>
      <c r="G1736" s="2027">
        <v>292</v>
      </c>
      <c r="H1736" s="2027">
        <v>310</v>
      </c>
      <c r="I1736" s="2027">
        <v>328</v>
      </c>
      <c r="J1736" s="2027">
        <v>347</v>
      </c>
      <c r="K1736" s="2027">
        <v>364</v>
      </c>
      <c r="L1736" s="2027">
        <v>382</v>
      </c>
      <c r="M1736" s="2028">
        <v>50</v>
      </c>
      <c r="N1736"/>
      <c r="O1736" s="1684"/>
      <c r="P1736" s="1684"/>
      <c r="Q1736" s="1684"/>
      <c r="R1736" s="1684"/>
      <c r="S1736" s="1684"/>
      <c r="T1736" s="1684"/>
      <c r="U1736" s="1684"/>
      <c r="V1736" s="1684"/>
      <c r="W1736" s="1684"/>
      <c r="X1736" s="1684"/>
      <c r="Y1736" s="1684"/>
      <c r="Z1736" s="1684"/>
      <c r="AA1736" s="1684"/>
      <c r="AB1736" s="1684"/>
      <c r="AC1736" s="1684"/>
      <c r="AD1736" s="1684"/>
      <c r="AE1736" s="1684"/>
      <c r="AF1736" s="1684"/>
      <c r="AG1736" s="1684"/>
      <c r="AH1736" s="1684"/>
      <c r="AI1736" s="1684"/>
      <c r="AJ1736" s="1684"/>
      <c r="AK1736" s="1684"/>
      <c r="AL1736" s="1684"/>
      <c r="AM1736" s="1684"/>
      <c r="AN1736" s="1684"/>
      <c r="AO1736" s="1684"/>
      <c r="AP1736" s="1684"/>
      <c r="AQ1736" s="1684"/>
      <c r="AR1736" s="1684"/>
      <c r="AS1736" s="1684"/>
      <c r="AT1736" s="1684"/>
      <c r="AU1736" s="1684"/>
      <c r="AV1736" s="1684"/>
      <c r="AW1736" s="1684"/>
      <c r="AX1736" s="1684"/>
      <c r="AY1736" s="1684"/>
      <c r="AZ1736" s="1684"/>
      <c r="BA1736" s="1684"/>
      <c r="BB1736" s="1684"/>
      <c r="BC1736" s="1684"/>
      <c r="BD1736" s="1684"/>
      <c r="BE1736" s="1684"/>
      <c r="BF1736" s="1684"/>
      <c r="BG1736" s="1684"/>
      <c r="BH1736" s="1684"/>
      <c r="BI1736" s="1684"/>
      <c r="BJ1736" s="1684"/>
      <c r="BK1736" s="1684"/>
      <c r="BL1736" s="1684"/>
      <c r="BM1736" s="1684"/>
      <c r="BN1736" s="1684"/>
      <c r="BO1736" s="1684"/>
      <c r="BP1736" s="1684"/>
      <c r="BQ1736" s="1684"/>
      <c r="BR1736" s="1684"/>
      <c r="BS1736" s="1684"/>
      <c r="BT1736" s="1684"/>
      <c r="BU1736" s="1684"/>
      <c r="BV1736" s="1684"/>
      <c r="BW1736" s="1684"/>
      <c r="BX1736" s="1684"/>
      <c r="BY1736" s="1684"/>
      <c r="BZ1736" s="1684"/>
      <c r="CA1736" s="1684"/>
      <c r="CB1736" s="1684"/>
      <c r="CC1736" s="1684"/>
      <c r="CD1736" s="1684"/>
      <c r="CE1736" s="1684"/>
      <c r="CF1736" s="1684"/>
      <c r="CG1736" s="1684"/>
      <c r="CH1736" s="1684"/>
      <c r="CI1736" s="1684"/>
      <c r="CJ1736" s="1684"/>
      <c r="CK1736" s="1684"/>
      <c r="CL1736" s="1684"/>
      <c r="CM1736" s="1684"/>
      <c r="CN1736" s="1684"/>
      <c r="CO1736" s="1684"/>
    </row>
    <row r="1737" spans="1:93" s="1391" customFormat="1" ht="15" x14ac:dyDescent="0.2">
      <c r="A1737" s="1684"/>
      <c r="B1737" s="2026">
        <v>11</v>
      </c>
      <c r="C1737" s="2027">
        <v>5.0510000000000002</v>
      </c>
      <c r="D1737" s="2027">
        <v>260</v>
      </c>
      <c r="E1737" s="2027">
        <v>281</v>
      </c>
      <c r="F1737" s="2027">
        <v>302</v>
      </c>
      <c r="G1737" s="2027">
        <v>322</v>
      </c>
      <c r="H1737" s="2027">
        <v>342</v>
      </c>
      <c r="I1737" s="2027">
        <v>361</v>
      </c>
      <c r="J1737" s="2027">
        <v>381</v>
      </c>
      <c r="K1737" s="2027">
        <v>400</v>
      </c>
      <c r="L1737" s="2027">
        <v>419</v>
      </c>
      <c r="M1737" s="2028">
        <v>51</v>
      </c>
      <c r="N1737"/>
      <c r="O1737" s="1684"/>
      <c r="P1737" s="1684"/>
      <c r="Q1737" s="1684"/>
      <c r="R1737" s="1684"/>
      <c r="S1737" s="1684"/>
      <c r="T1737" s="1684"/>
      <c r="U1737" s="1684"/>
      <c r="V1737" s="1684"/>
      <c r="W1737" s="1684"/>
      <c r="X1737" s="1684"/>
      <c r="Y1737" s="1684"/>
      <c r="Z1737" s="1684"/>
      <c r="AA1737" s="1684"/>
      <c r="AB1737" s="1684"/>
      <c r="AC1737" s="1684"/>
      <c r="AD1737" s="1684"/>
      <c r="AE1737" s="1684"/>
      <c r="AF1737" s="1684"/>
      <c r="AG1737" s="1684"/>
      <c r="AH1737" s="1684"/>
      <c r="AI1737" s="1684"/>
      <c r="AJ1737" s="1684"/>
      <c r="AK1737" s="1684"/>
      <c r="AL1737" s="1684"/>
      <c r="AM1737" s="1684"/>
      <c r="AN1737" s="1684"/>
      <c r="AO1737" s="1684"/>
      <c r="AP1737" s="1684"/>
      <c r="AQ1737" s="1684"/>
      <c r="AR1737" s="1684"/>
      <c r="AS1737" s="1684"/>
      <c r="AT1737" s="1684"/>
      <c r="AU1737" s="1684"/>
      <c r="AV1737" s="1684"/>
      <c r="AW1737" s="1684"/>
      <c r="AX1737" s="1684"/>
      <c r="AY1737" s="1684"/>
      <c r="AZ1737" s="1684"/>
      <c r="BA1737" s="1684"/>
      <c r="BB1737" s="1684"/>
      <c r="BC1737" s="1684"/>
      <c r="BD1737" s="1684"/>
      <c r="BE1737" s="1684"/>
      <c r="BF1737" s="1684"/>
      <c r="BG1737" s="1684"/>
      <c r="BH1737" s="1684"/>
      <c r="BI1737" s="1684"/>
      <c r="BJ1737" s="1684"/>
      <c r="BK1737" s="1684"/>
      <c r="BL1737" s="1684"/>
      <c r="BM1737" s="1684"/>
      <c r="BN1737" s="1684"/>
      <c r="BO1737" s="1684"/>
      <c r="BP1737" s="1684"/>
      <c r="BQ1737" s="1684"/>
      <c r="BR1737" s="1684"/>
      <c r="BS1737" s="1684"/>
      <c r="BT1737" s="1684"/>
      <c r="BU1737" s="1684"/>
      <c r="BV1737" s="1684"/>
      <c r="BW1737" s="1684"/>
      <c r="BX1737" s="1684"/>
      <c r="BY1737" s="1684"/>
      <c r="BZ1737" s="1684"/>
      <c r="CA1737" s="1684"/>
      <c r="CB1737" s="1684"/>
      <c r="CC1737" s="1684"/>
      <c r="CD1737" s="1684"/>
      <c r="CE1737" s="1684"/>
      <c r="CF1737" s="1684"/>
      <c r="CG1737" s="1684"/>
      <c r="CH1737" s="1684"/>
      <c r="CI1737" s="1684"/>
      <c r="CJ1737" s="1684"/>
      <c r="CK1737" s="1684"/>
      <c r="CL1737" s="1684"/>
      <c r="CM1737" s="1684"/>
      <c r="CN1737" s="1684"/>
      <c r="CO1737" s="1684"/>
    </row>
    <row r="1738" spans="1:93" s="1391" customFormat="1" ht="15" x14ac:dyDescent="0.2">
      <c r="A1738" s="1684"/>
      <c r="B1738" s="2026">
        <v>12</v>
      </c>
      <c r="C1738" s="2027">
        <v>5.3479999999999999</v>
      </c>
      <c r="D1738" s="2027">
        <v>286</v>
      </c>
      <c r="E1738" s="2027">
        <v>308</v>
      </c>
      <c r="F1738" s="2027">
        <v>330</v>
      </c>
      <c r="G1738" s="2027">
        <v>353</v>
      </c>
      <c r="H1738" s="2027">
        <v>374</v>
      </c>
      <c r="I1738" s="2027">
        <v>395</v>
      </c>
      <c r="J1738" s="2027">
        <v>417</v>
      </c>
      <c r="K1738" s="2027">
        <v>437</v>
      </c>
      <c r="L1738" s="2027">
        <v>458</v>
      </c>
      <c r="M1738" s="2028">
        <v>52</v>
      </c>
      <c r="N1738"/>
      <c r="O1738" s="1684"/>
      <c r="P1738" s="1684"/>
      <c r="Q1738" s="1684"/>
      <c r="R1738" s="1684"/>
      <c r="S1738" s="1684"/>
      <c r="T1738" s="1684"/>
      <c r="U1738" s="1684"/>
      <c r="V1738" s="1684"/>
      <c r="W1738" s="1684"/>
      <c r="X1738" s="1684"/>
      <c r="Y1738" s="1684"/>
      <c r="Z1738" s="1684"/>
      <c r="AA1738" s="1684"/>
      <c r="AB1738" s="1684"/>
      <c r="AC1738" s="1684"/>
      <c r="AD1738" s="1684"/>
      <c r="AE1738" s="1684"/>
      <c r="AF1738" s="1684"/>
      <c r="AG1738" s="1684"/>
      <c r="AH1738" s="1684"/>
      <c r="AI1738" s="1684"/>
      <c r="AJ1738" s="1684"/>
      <c r="AK1738" s="1684"/>
      <c r="AL1738" s="1684"/>
      <c r="AM1738" s="1684"/>
      <c r="AN1738" s="1684"/>
      <c r="AO1738" s="1684"/>
      <c r="AP1738" s="1684"/>
      <c r="AQ1738" s="1684"/>
      <c r="AR1738" s="1684"/>
      <c r="AS1738" s="1684"/>
      <c r="AT1738" s="1684"/>
      <c r="AU1738" s="1684"/>
      <c r="AV1738" s="1684"/>
      <c r="AW1738" s="1684"/>
      <c r="AX1738" s="1684"/>
      <c r="AY1738" s="1684"/>
      <c r="AZ1738" s="1684"/>
      <c r="BA1738" s="1684"/>
      <c r="BB1738" s="1684"/>
      <c r="BC1738" s="1684"/>
      <c r="BD1738" s="1684"/>
      <c r="BE1738" s="1684"/>
      <c r="BF1738" s="1684"/>
      <c r="BG1738" s="1684"/>
      <c r="BH1738" s="1684"/>
      <c r="BI1738" s="1684"/>
      <c r="BJ1738" s="1684"/>
      <c r="BK1738" s="1684"/>
      <c r="BL1738" s="1684"/>
      <c r="BM1738" s="1684"/>
      <c r="BN1738" s="1684"/>
      <c r="BO1738" s="1684"/>
      <c r="BP1738" s="1684"/>
      <c r="BQ1738" s="1684"/>
      <c r="BR1738" s="1684"/>
      <c r="BS1738" s="1684"/>
      <c r="BT1738" s="1684"/>
      <c r="BU1738" s="1684"/>
      <c r="BV1738" s="1684"/>
      <c r="BW1738" s="1684"/>
      <c r="BX1738" s="1684"/>
      <c r="BY1738" s="1684"/>
      <c r="BZ1738" s="1684"/>
      <c r="CA1738" s="1684"/>
      <c r="CB1738" s="1684"/>
      <c r="CC1738" s="1684"/>
      <c r="CD1738" s="1684"/>
      <c r="CE1738" s="1684"/>
      <c r="CF1738" s="1684"/>
      <c r="CG1738" s="1684"/>
      <c r="CH1738" s="1684"/>
      <c r="CI1738" s="1684"/>
      <c r="CJ1738" s="1684"/>
      <c r="CK1738" s="1684"/>
      <c r="CL1738" s="1684"/>
      <c r="CM1738" s="1684"/>
      <c r="CN1738" s="1684"/>
      <c r="CO1738" s="1684"/>
    </row>
    <row r="1739" spans="1:93" s="1391" customFormat="1" ht="15" x14ac:dyDescent="0.2">
      <c r="A1739" s="1684"/>
      <c r="B1739" s="2026">
        <v>13</v>
      </c>
      <c r="C1739" s="2027">
        <v>5.6559999999999997</v>
      </c>
      <c r="D1739" s="2027">
        <v>312</v>
      </c>
      <c r="E1739" s="2027">
        <v>336</v>
      </c>
      <c r="F1739" s="2027">
        <v>360</v>
      </c>
      <c r="G1739" s="2027">
        <v>384</v>
      </c>
      <c r="H1739" s="2027">
        <v>407</v>
      </c>
      <c r="I1739" s="2027">
        <v>430</v>
      </c>
      <c r="J1739" s="2027">
        <v>453</v>
      </c>
      <c r="K1739" s="2027">
        <v>475</v>
      </c>
      <c r="L1739" s="2027">
        <v>497</v>
      </c>
      <c r="M1739" s="2028">
        <v>53</v>
      </c>
      <c r="N1739"/>
      <c r="O1739" s="1684"/>
      <c r="P1739" s="1684"/>
      <c r="Q1739" s="1684"/>
      <c r="R1739" s="1684"/>
      <c r="S1739" s="1684"/>
      <c r="T1739" s="1684"/>
      <c r="U1739" s="1684"/>
      <c r="V1739" s="1684"/>
      <c r="W1739" s="1684"/>
      <c r="X1739" s="1684"/>
      <c r="Y1739" s="1684"/>
      <c r="Z1739" s="1684"/>
      <c r="AA1739" s="1684"/>
      <c r="AB1739" s="1684"/>
      <c r="AC1739" s="1684"/>
      <c r="AD1739" s="1684"/>
      <c r="AE1739" s="1684"/>
      <c r="AF1739" s="1684"/>
      <c r="AG1739" s="1684"/>
      <c r="AH1739" s="1684"/>
      <c r="AI1739" s="1684"/>
      <c r="AJ1739" s="1684"/>
      <c r="AK1739" s="1684"/>
      <c r="AL1739" s="1684"/>
      <c r="AM1739" s="1684"/>
      <c r="AN1739" s="1684"/>
      <c r="AO1739" s="1684"/>
      <c r="AP1739" s="1684"/>
      <c r="AQ1739" s="1684"/>
      <c r="AR1739" s="1684"/>
      <c r="AS1739" s="1684"/>
      <c r="AT1739" s="1684"/>
      <c r="AU1739" s="1684"/>
      <c r="AV1739" s="1684"/>
      <c r="AW1739" s="1684"/>
      <c r="AX1739" s="1684"/>
      <c r="AY1739" s="1684"/>
      <c r="AZ1739" s="1684"/>
      <c r="BA1739" s="1684"/>
      <c r="BB1739" s="1684"/>
      <c r="BC1739" s="1684"/>
      <c r="BD1739" s="1684"/>
      <c r="BE1739" s="1684"/>
      <c r="BF1739" s="1684"/>
      <c r="BG1739" s="1684"/>
      <c r="BH1739" s="1684"/>
      <c r="BI1739" s="1684"/>
      <c r="BJ1739" s="1684"/>
      <c r="BK1739" s="1684"/>
      <c r="BL1739" s="1684"/>
      <c r="BM1739" s="1684"/>
      <c r="BN1739" s="1684"/>
      <c r="BO1739" s="1684"/>
      <c r="BP1739" s="1684"/>
      <c r="BQ1739" s="1684"/>
      <c r="BR1739" s="1684"/>
      <c r="BS1739" s="1684"/>
      <c r="BT1739" s="1684"/>
      <c r="BU1739" s="1684"/>
      <c r="BV1739" s="1684"/>
      <c r="BW1739" s="1684"/>
      <c r="BX1739" s="1684"/>
      <c r="BY1739" s="1684"/>
      <c r="BZ1739" s="1684"/>
      <c r="CA1739" s="1684"/>
      <c r="CB1739" s="1684"/>
      <c r="CC1739" s="1684"/>
      <c r="CD1739" s="1684"/>
      <c r="CE1739" s="1684"/>
      <c r="CF1739" s="1684"/>
      <c r="CG1739" s="1684"/>
      <c r="CH1739" s="1684"/>
      <c r="CI1739" s="1684"/>
      <c r="CJ1739" s="1684"/>
      <c r="CK1739" s="1684"/>
      <c r="CL1739" s="1684"/>
      <c r="CM1739" s="1684"/>
      <c r="CN1739" s="1684"/>
      <c r="CO1739" s="1684"/>
    </row>
    <row r="1740" spans="1:93" s="1391" customFormat="1" ht="15" x14ac:dyDescent="0.2">
      <c r="A1740" s="1684"/>
      <c r="B1740" s="2026">
        <v>14</v>
      </c>
      <c r="C1740" s="2027">
        <v>5.9859999999999998</v>
      </c>
      <c r="D1740" s="2027">
        <v>339</v>
      </c>
      <c r="E1740" s="2027">
        <v>365</v>
      </c>
      <c r="F1740" s="2027">
        <v>391</v>
      </c>
      <c r="G1740" s="2027">
        <v>417</v>
      </c>
      <c r="H1740" s="2027">
        <v>442</v>
      </c>
      <c r="I1740" s="2027">
        <v>466</v>
      </c>
      <c r="J1740" s="2027">
        <v>490</v>
      </c>
      <c r="K1740" s="2027">
        <v>514</v>
      </c>
      <c r="L1740" s="2027">
        <v>537</v>
      </c>
      <c r="M1740" s="2028">
        <v>54</v>
      </c>
      <c r="N1740"/>
      <c r="O1740" s="1684"/>
      <c r="P1740" s="1684"/>
      <c r="Q1740" s="1684"/>
      <c r="R1740" s="1684"/>
      <c r="S1740" s="1684"/>
      <c r="T1740" s="1684"/>
      <c r="U1740" s="1684"/>
      <c r="V1740" s="1684"/>
      <c r="W1740" s="1684"/>
      <c r="X1740" s="1684"/>
      <c r="Y1740" s="1684"/>
      <c r="Z1740" s="1684"/>
      <c r="AA1740" s="1684"/>
      <c r="AB1740" s="1684"/>
      <c r="AC1740" s="1684"/>
      <c r="AD1740" s="1684"/>
      <c r="AE1740" s="1684"/>
      <c r="AF1740" s="1684"/>
      <c r="AG1740" s="1684"/>
      <c r="AH1740" s="1684"/>
      <c r="AI1740" s="1684"/>
      <c r="AJ1740" s="1684"/>
      <c r="AK1740" s="1684"/>
      <c r="AL1740" s="1684"/>
      <c r="AM1740" s="1684"/>
      <c r="AN1740" s="1684"/>
      <c r="AO1740" s="1684"/>
      <c r="AP1740" s="1684"/>
      <c r="AQ1740" s="1684"/>
      <c r="AR1740" s="1684"/>
      <c r="AS1740" s="1684"/>
      <c r="AT1740" s="1684"/>
      <c r="AU1740" s="1684"/>
      <c r="AV1740" s="1684"/>
      <c r="AW1740" s="1684"/>
      <c r="AX1740" s="1684"/>
      <c r="AY1740" s="1684"/>
      <c r="AZ1740" s="1684"/>
      <c r="BA1740" s="1684"/>
      <c r="BB1740" s="1684"/>
      <c r="BC1740" s="1684"/>
      <c r="BD1740" s="1684"/>
      <c r="BE1740" s="1684"/>
      <c r="BF1740" s="1684"/>
      <c r="BG1740" s="1684"/>
      <c r="BH1740" s="1684"/>
      <c r="BI1740" s="1684"/>
      <c r="BJ1740" s="1684"/>
      <c r="BK1740" s="1684"/>
      <c r="BL1740" s="1684"/>
      <c r="BM1740" s="1684"/>
      <c r="BN1740" s="1684"/>
      <c r="BO1740" s="1684"/>
      <c r="BP1740" s="1684"/>
      <c r="BQ1740" s="1684"/>
      <c r="BR1740" s="1684"/>
      <c r="BS1740" s="1684"/>
      <c r="BT1740" s="1684"/>
      <c r="BU1740" s="1684"/>
      <c r="BV1740" s="1684"/>
      <c r="BW1740" s="1684"/>
      <c r="BX1740" s="1684"/>
      <c r="BY1740" s="1684"/>
      <c r="BZ1740" s="1684"/>
      <c r="CA1740" s="1684"/>
      <c r="CB1740" s="1684"/>
      <c r="CC1740" s="1684"/>
      <c r="CD1740" s="1684"/>
      <c r="CE1740" s="1684"/>
      <c r="CF1740" s="1684"/>
      <c r="CG1740" s="1684"/>
      <c r="CH1740" s="1684"/>
      <c r="CI1740" s="1684"/>
      <c r="CJ1740" s="1684"/>
      <c r="CK1740" s="1684"/>
      <c r="CL1740" s="1684"/>
      <c r="CM1740" s="1684"/>
      <c r="CN1740" s="1684"/>
      <c r="CO1740" s="1684"/>
    </row>
    <row r="1741" spans="1:93" s="1391" customFormat="1" ht="15" x14ac:dyDescent="0.2">
      <c r="A1741" s="1684"/>
      <c r="B1741" s="2026">
        <v>15</v>
      </c>
      <c r="C1741" s="2027">
        <v>6.3310000000000004</v>
      </c>
      <c r="D1741" s="2027">
        <v>367</v>
      </c>
      <c r="E1741" s="2027">
        <v>395</v>
      </c>
      <c r="F1741" s="2027">
        <v>423</v>
      </c>
      <c r="G1741" s="2027">
        <v>451</v>
      </c>
      <c r="H1741" s="2027">
        <v>477</v>
      </c>
      <c r="I1741" s="2027">
        <v>503</v>
      </c>
      <c r="J1741" s="2027">
        <v>529</v>
      </c>
      <c r="K1741" s="2027">
        <v>554</v>
      </c>
      <c r="L1741" s="2027">
        <v>579</v>
      </c>
      <c r="M1741" s="2028">
        <v>55</v>
      </c>
      <c r="N1741"/>
      <c r="O1741" s="1684"/>
      <c r="P1741" s="1684"/>
      <c r="Q1741" s="1684"/>
      <c r="R1741" s="1684"/>
      <c r="S1741" s="1684"/>
      <c r="T1741" s="1684"/>
      <c r="U1741" s="1684"/>
      <c r="V1741" s="1684"/>
      <c r="W1741" s="1684"/>
      <c r="X1741" s="1684"/>
      <c r="Y1741" s="1684"/>
      <c r="Z1741" s="1684"/>
      <c r="AA1741" s="1684"/>
      <c r="AB1741" s="1684"/>
      <c r="AC1741" s="1684"/>
      <c r="AD1741" s="1684"/>
      <c r="AE1741" s="1684"/>
      <c r="AF1741" s="1684"/>
      <c r="AG1741" s="1684"/>
      <c r="AH1741" s="1684"/>
      <c r="AI1741" s="1684"/>
      <c r="AJ1741" s="1684"/>
      <c r="AK1741" s="1684"/>
      <c r="AL1741" s="1684"/>
      <c r="AM1741" s="1684"/>
      <c r="AN1741" s="1684"/>
      <c r="AO1741" s="1684"/>
      <c r="AP1741" s="1684"/>
      <c r="AQ1741" s="1684"/>
      <c r="AR1741" s="1684"/>
      <c r="AS1741" s="1684"/>
      <c r="AT1741" s="1684"/>
      <c r="AU1741" s="1684"/>
      <c r="AV1741" s="1684"/>
      <c r="AW1741" s="1684"/>
      <c r="AX1741" s="1684"/>
      <c r="AY1741" s="1684"/>
      <c r="AZ1741" s="1684"/>
      <c r="BA1741" s="1684"/>
      <c r="BB1741" s="1684"/>
      <c r="BC1741" s="1684"/>
      <c r="BD1741" s="1684"/>
      <c r="BE1741" s="1684"/>
      <c r="BF1741" s="1684"/>
      <c r="BG1741" s="1684"/>
      <c r="BH1741" s="1684"/>
      <c r="BI1741" s="1684"/>
      <c r="BJ1741" s="1684"/>
      <c r="BK1741" s="1684"/>
      <c r="BL1741" s="1684"/>
      <c r="BM1741" s="1684"/>
      <c r="BN1741" s="1684"/>
      <c r="BO1741" s="1684"/>
      <c r="BP1741" s="1684"/>
      <c r="BQ1741" s="1684"/>
      <c r="BR1741" s="1684"/>
      <c r="BS1741" s="1684"/>
      <c r="BT1741" s="1684"/>
      <c r="BU1741" s="1684"/>
      <c r="BV1741" s="1684"/>
      <c r="BW1741" s="1684"/>
      <c r="BX1741" s="1684"/>
      <c r="BY1741" s="1684"/>
      <c r="BZ1741" s="1684"/>
      <c r="CA1741" s="1684"/>
      <c r="CB1741" s="1684"/>
      <c r="CC1741" s="1684"/>
      <c r="CD1741" s="1684"/>
      <c r="CE1741" s="1684"/>
      <c r="CF1741" s="1684"/>
      <c r="CG1741" s="1684"/>
      <c r="CH1741" s="1684"/>
      <c r="CI1741" s="1684"/>
      <c r="CJ1741" s="1684"/>
      <c r="CK1741" s="1684"/>
      <c r="CL1741" s="1684"/>
      <c r="CM1741" s="1684"/>
      <c r="CN1741" s="1684"/>
      <c r="CO1741" s="1684"/>
    </row>
    <row r="1742" spans="1:93" s="1391" customFormat="1" ht="15" x14ac:dyDescent="0.2">
      <c r="A1742" s="1684"/>
      <c r="B1742" s="2026">
        <v>16</v>
      </c>
      <c r="C1742" s="2027">
        <v>6.6749999999999998</v>
      </c>
      <c r="D1742" s="2027">
        <v>395</v>
      </c>
      <c r="E1742" s="2027">
        <v>425</v>
      </c>
      <c r="F1742" s="2027">
        <v>454</v>
      </c>
      <c r="G1742" s="2027">
        <v>484</v>
      </c>
      <c r="H1742" s="2027">
        <v>512</v>
      </c>
      <c r="I1742" s="2027">
        <v>539</v>
      </c>
      <c r="J1742" s="2027">
        <v>567</v>
      </c>
      <c r="K1742" s="2027">
        <v>593</v>
      </c>
      <c r="L1742" s="2027">
        <v>619</v>
      </c>
      <c r="M1742" s="2028">
        <v>56</v>
      </c>
      <c r="N1742"/>
      <c r="O1742" s="1684"/>
      <c r="P1742" s="1684"/>
      <c r="Q1742" s="1684"/>
      <c r="R1742" s="1684"/>
      <c r="S1742" s="1684"/>
      <c r="T1742" s="1684"/>
      <c r="U1742" s="1684"/>
      <c r="V1742" s="1684"/>
      <c r="W1742" s="1684"/>
      <c r="X1742" s="1684"/>
      <c r="Y1742" s="1684"/>
      <c r="Z1742" s="1684"/>
      <c r="AA1742" s="1684"/>
      <c r="AB1742" s="1684"/>
      <c r="AC1742" s="1684"/>
      <c r="AD1742" s="1684"/>
      <c r="AE1742" s="1684"/>
      <c r="AF1742" s="1684"/>
      <c r="AG1742" s="1684"/>
      <c r="AH1742" s="1684"/>
      <c r="AI1742" s="1684"/>
      <c r="AJ1742" s="1684"/>
      <c r="AK1742" s="1684"/>
      <c r="AL1742" s="1684"/>
      <c r="AM1742" s="1684"/>
      <c r="AN1742" s="1684"/>
      <c r="AO1742" s="1684"/>
      <c r="AP1742" s="1684"/>
      <c r="AQ1742" s="1684"/>
      <c r="AR1742" s="1684"/>
      <c r="AS1742" s="1684"/>
      <c r="AT1742" s="1684"/>
      <c r="AU1742" s="1684"/>
      <c r="AV1742" s="1684"/>
      <c r="AW1742" s="1684"/>
      <c r="AX1742" s="1684"/>
      <c r="AY1742" s="1684"/>
      <c r="AZ1742" s="1684"/>
      <c r="BA1742" s="1684"/>
      <c r="BB1742" s="1684"/>
      <c r="BC1742" s="1684"/>
      <c r="BD1742" s="1684"/>
      <c r="BE1742" s="1684"/>
      <c r="BF1742" s="1684"/>
      <c r="BG1742" s="1684"/>
      <c r="BH1742" s="1684"/>
      <c r="BI1742" s="1684"/>
      <c r="BJ1742" s="1684"/>
      <c r="BK1742" s="1684"/>
      <c r="BL1742" s="1684"/>
      <c r="BM1742" s="1684"/>
      <c r="BN1742" s="1684"/>
      <c r="BO1742" s="1684"/>
      <c r="BP1742" s="1684"/>
      <c r="BQ1742" s="1684"/>
      <c r="BR1742" s="1684"/>
      <c r="BS1742" s="1684"/>
      <c r="BT1742" s="1684"/>
      <c r="BU1742" s="1684"/>
      <c r="BV1742" s="1684"/>
      <c r="BW1742" s="1684"/>
      <c r="BX1742" s="1684"/>
      <c r="BY1742" s="1684"/>
      <c r="BZ1742" s="1684"/>
      <c r="CA1742" s="1684"/>
      <c r="CB1742" s="1684"/>
      <c r="CC1742" s="1684"/>
      <c r="CD1742" s="1684"/>
      <c r="CE1742" s="1684"/>
      <c r="CF1742" s="1684"/>
      <c r="CG1742" s="1684"/>
      <c r="CH1742" s="1684"/>
      <c r="CI1742" s="1684"/>
      <c r="CJ1742" s="1684"/>
      <c r="CK1742" s="1684"/>
      <c r="CL1742" s="1684"/>
      <c r="CM1742" s="1684"/>
      <c r="CN1742" s="1684"/>
      <c r="CO1742" s="1684"/>
    </row>
    <row r="1743" spans="1:93" s="1391" customFormat="1" ht="15" x14ac:dyDescent="0.2">
      <c r="A1743" s="1684"/>
      <c r="B1743" s="4716" t="s">
        <v>1055</v>
      </c>
      <c r="C1743" s="4711"/>
      <c r="D1743" s="4711"/>
      <c r="E1743" s="4711"/>
      <c r="F1743" s="4711"/>
      <c r="G1743" s="4711"/>
      <c r="H1743" s="4711"/>
      <c r="I1743" s="4711"/>
      <c r="J1743" s="4711"/>
      <c r="K1743" s="4711"/>
      <c r="L1743" s="4711"/>
      <c r="M1743" s="4717"/>
      <c r="N1743"/>
      <c r="O1743" s="1684"/>
      <c r="P1743" s="1684"/>
      <c r="Q1743" s="1684"/>
      <c r="R1743" s="1684"/>
      <c r="S1743" s="1684"/>
      <c r="T1743" s="1684"/>
      <c r="U1743" s="1684"/>
      <c r="V1743" s="1684"/>
      <c r="W1743" s="1684"/>
      <c r="X1743" s="1684"/>
      <c r="Y1743" s="1684"/>
      <c r="Z1743" s="1684"/>
      <c r="AA1743" s="1684"/>
      <c r="AB1743" s="1684"/>
      <c r="AC1743" s="1684"/>
      <c r="AD1743" s="1684"/>
      <c r="AE1743" s="1684"/>
      <c r="AF1743" s="1684"/>
      <c r="AG1743" s="1684"/>
      <c r="AH1743" s="1684"/>
      <c r="AI1743" s="1684"/>
      <c r="AJ1743" s="1684"/>
      <c r="AK1743" s="1684"/>
      <c r="AL1743" s="1684"/>
      <c r="AM1743" s="1684"/>
      <c r="AN1743" s="1684"/>
      <c r="AO1743" s="1684"/>
      <c r="AP1743" s="1684"/>
      <c r="AQ1743" s="1684"/>
      <c r="AR1743" s="1684"/>
      <c r="AS1743" s="1684"/>
      <c r="AT1743" s="1684"/>
      <c r="AU1743" s="1684"/>
      <c r="AV1743" s="1684"/>
      <c r="AW1743" s="1684"/>
      <c r="AX1743" s="1684"/>
      <c r="AY1743" s="1684"/>
      <c r="AZ1743" s="1684"/>
      <c r="BA1743" s="1684"/>
      <c r="BB1743" s="1684"/>
      <c r="BC1743" s="1684"/>
      <c r="BD1743" s="1684"/>
      <c r="BE1743" s="1684"/>
      <c r="BF1743" s="1684"/>
      <c r="BG1743" s="1684"/>
      <c r="BH1743" s="1684"/>
      <c r="BI1743" s="1684"/>
      <c r="BJ1743" s="1684"/>
      <c r="BK1743" s="1684"/>
      <c r="BL1743" s="1684"/>
      <c r="BM1743" s="1684"/>
      <c r="BN1743" s="1684"/>
      <c r="BO1743" s="1684"/>
      <c r="BP1743" s="1684"/>
      <c r="BQ1743" s="1684"/>
      <c r="BR1743" s="1684"/>
      <c r="BS1743" s="1684"/>
      <c r="BT1743" s="1684"/>
      <c r="BU1743" s="1684"/>
      <c r="BV1743" s="1684"/>
      <c r="BW1743" s="1684"/>
      <c r="BX1743" s="1684"/>
      <c r="BY1743" s="1684"/>
      <c r="BZ1743" s="1684"/>
      <c r="CA1743" s="1684"/>
      <c r="CB1743" s="1684"/>
      <c r="CC1743" s="1684"/>
      <c r="CD1743" s="1684"/>
      <c r="CE1743" s="1684"/>
      <c r="CF1743" s="1684"/>
      <c r="CG1743" s="1684"/>
      <c r="CH1743" s="1684"/>
      <c r="CI1743" s="1684"/>
      <c r="CJ1743" s="1684"/>
      <c r="CK1743" s="1684"/>
      <c r="CL1743" s="1684"/>
      <c r="CM1743" s="1684"/>
      <c r="CN1743" s="1684"/>
      <c r="CO1743" s="1684"/>
    </row>
    <row r="1744" spans="1:93" s="1391" customFormat="1" ht="15" x14ac:dyDescent="0.2">
      <c r="A1744" s="1684"/>
      <c r="B1744" s="2023"/>
      <c r="C1744" s="2024"/>
      <c r="D1744" s="2024">
        <v>1</v>
      </c>
      <c r="E1744" s="2024">
        <v>2</v>
      </c>
      <c r="F1744" s="2024">
        <v>3</v>
      </c>
      <c r="G1744" s="2024">
        <v>4</v>
      </c>
      <c r="H1744" s="2024">
        <v>5</v>
      </c>
      <c r="I1744" s="2024">
        <v>6</v>
      </c>
      <c r="J1744" s="2024">
        <v>7</v>
      </c>
      <c r="K1744" s="2024">
        <v>8</v>
      </c>
      <c r="L1744" s="2024">
        <v>9</v>
      </c>
      <c r="M1744" s="2025"/>
      <c r="N1744"/>
      <c r="O1744" s="1684"/>
      <c r="P1744" s="1684"/>
      <c r="Q1744" s="1684"/>
      <c r="R1744" s="1684"/>
      <c r="S1744" s="1684"/>
      <c r="T1744" s="1684"/>
      <c r="U1744" s="1684"/>
      <c r="V1744" s="1684"/>
      <c r="W1744" s="1684"/>
      <c r="X1744" s="1684"/>
      <c r="Y1744" s="1684"/>
      <c r="Z1744" s="1684"/>
      <c r="AA1744" s="1684"/>
      <c r="AB1744" s="1684"/>
      <c r="AC1744" s="1684"/>
      <c r="AD1744" s="1684"/>
      <c r="AE1744" s="1684"/>
      <c r="AF1744" s="1684"/>
      <c r="AG1744" s="1684"/>
      <c r="AH1744" s="1684"/>
      <c r="AI1744" s="1684"/>
      <c r="AJ1744" s="1684"/>
      <c r="AK1744" s="1684"/>
      <c r="AL1744" s="1684"/>
      <c r="AM1744" s="1684"/>
      <c r="AN1744" s="1684"/>
      <c r="AO1744" s="1684"/>
      <c r="AP1744" s="1684"/>
      <c r="AQ1744" s="1684"/>
      <c r="AR1744" s="1684"/>
      <c r="AS1744" s="1684"/>
      <c r="AT1744" s="1684"/>
      <c r="AU1744" s="1684"/>
      <c r="AV1744" s="1684"/>
      <c r="AW1744" s="1684"/>
      <c r="AX1744" s="1684"/>
      <c r="AY1744" s="1684"/>
      <c r="AZ1744" s="1684"/>
      <c r="BA1744" s="1684"/>
      <c r="BB1744" s="1684"/>
      <c r="BC1744" s="1684"/>
      <c r="BD1744" s="1684"/>
      <c r="BE1744" s="1684"/>
      <c r="BF1744" s="1684"/>
      <c r="BG1744" s="1684"/>
      <c r="BH1744" s="1684"/>
      <c r="BI1744" s="1684"/>
      <c r="BJ1744" s="1684"/>
      <c r="BK1744" s="1684"/>
      <c r="BL1744" s="1684"/>
      <c r="BM1744" s="1684"/>
      <c r="BN1744" s="1684"/>
      <c r="BO1744" s="1684"/>
      <c r="BP1744" s="1684"/>
      <c r="BQ1744" s="1684"/>
      <c r="BR1744" s="1684"/>
      <c r="BS1744" s="1684"/>
      <c r="BT1744" s="1684"/>
      <c r="BU1744" s="1684"/>
      <c r="BV1744" s="1684"/>
      <c r="BW1744" s="1684"/>
      <c r="BX1744" s="1684"/>
      <c r="BY1744" s="1684"/>
      <c r="BZ1744" s="1684"/>
      <c r="CA1744" s="1684"/>
      <c r="CB1744" s="1684"/>
      <c r="CC1744" s="1684"/>
      <c r="CD1744" s="1684"/>
      <c r="CE1744" s="1684"/>
      <c r="CF1744" s="1684"/>
      <c r="CG1744" s="1684"/>
      <c r="CH1744" s="1684"/>
      <c r="CI1744" s="1684"/>
      <c r="CJ1744" s="1684"/>
      <c r="CK1744" s="1684"/>
      <c r="CL1744" s="1684"/>
      <c r="CM1744" s="1684"/>
      <c r="CN1744" s="1684"/>
      <c r="CO1744" s="1684"/>
    </row>
    <row r="1745" spans="1:93" s="1391" customFormat="1" ht="15" x14ac:dyDescent="0.2">
      <c r="A1745" s="1684"/>
      <c r="B1745" s="2026">
        <v>9</v>
      </c>
      <c r="C1745" s="2027">
        <v>4.5250000000000004</v>
      </c>
      <c r="D1745" s="2027">
        <v>219</v>
      </c>
      <c r="E1745" s="2027">
        <v>237</v>
      </c>
      <c r="F1745" s="2027">
        <v>254</v>
      </c>
      <c r="G1745" s="2027">
        <v>272</v>
      </c>
      <c r="H1745" s="2027">
        <v>289</v>
      </c>
      <c r="I1745" s="2027">
        <v>306</v>
      </c>
      <c r="J1745" s="2027">
        <v>323</v>
      </c>
      <c r="K1745" s="2027">
        <v>339</v>
      </c>
      <c r="L1745" s="2027">
        <v>356</v>
      </c>
      <c r="M1745" s="2028">
        <v>57</v>
      </c>
      <c r="N1745"/>
      <c r="O1745" s="1684"/>
      <c r="P1745" s="1684"/>
      <c r="Q1745" s="1684"/>
      <c r="R1745" s="1684"/>
      <c r="S1745" s="1684"/>
      <c r="T1745" s="1684"/>
      <c r="U1745" s="1684"/>
      <c r="V1745" s="1684"/>
      <c r="W1745" s="1684"/>
      <c r="X1745" s="1684"/>
      <c r="Y1745" s="1684"/>
      <c r="Z1745" s="1684"/>
      <c r="AA1745" s="1684"/>
      <c r="AB1745" s="1684"/>
      <c r="AC1745" s="1684"/>
      <c r="AD1745" s="1684"/>
      <c r="AE1745" s="1684"/>
      <c r="AF1745" s="1684"/>
      <c r="AG1745" s="1684"/>
      <c r="AH1745" s="1684"/>
      <c r="AI1745" s="1684"/>
      <c r="AJ1745" s="1684"/>
      <c r="AK1745" s="1684"/>
      <c r="AL1745" s="1684"/>
      <c r="AM1745" s="1684"/>
      <c r="AN1745" s="1684"/>
      <c r="AO1745" s="1684"/>
      <c r="AP1745" s="1684"/>
      <c r="AQ1745" s="1684"/>
      <c r="AR1745" s="1684"/>
      <c r="AS1745" s="1684"/>
      <c r="AT1745" s="1684"/>
      <c r="AU1745" s="1684"/>
      <c r="AV1745" s="1684"/>
      <c r="AW1745" s="1684"/>
      <c r="AX1745" s="1684"/>
      <c r="AY1745" s="1684"/>
      <c r="AZ1745" s="1684"/>
      <c r="BA1745" s="1684"/>
      <c r="BB1745" s="1684"/>
      <c r="BC1745" s="1684"/>
      <c r="BD1745" s="1684"/>
      <c r="BE1745" s="1684"/>
      <c r="BF1745" s="1684"/>
      <c r="BG1745" s="1684"/>
      <c r="BH1745" s="1684"/>
      <c r="BI1745" s="1684"/>
      <c r="BJ1745" s="1684"/>
      <c r="BK1745" s="1684"/>
      <c r="BL1745" s="1684"/>
      <c r="BM1745" s="1684"/>
      <c r="BN1745" s="1684"/>
      <c r="BO1745" s="1684"/>
      <c r="BP1745" s="1684"/>
      <c r="BQ1745" s="1684"/>
      <c r="BR1745" s="1684"/>
      <c r="BS1745" s="1684"/>
      <c r="BT1745" s="1684"/>
      <c r="BU1745" s="1684"/>
      <c r="BV1745" s="1684"/>
      <c r="BW1745" s="1684"/>
      <c r="BX1745" s="1684"/>
      <c r="BY1745" s="1684"/>
      <c r="BZ1745" s="1684"/>
      <c r="CA1745" s="1684"/>
      <c r="CB1745" s="1684"/>
      <c r="CC1745" s="1684"/>
      <c r="CD1745" s="1684"/>
      <c r="CE1745" s="1684"/>
      <c r="CF1745" s="1684"/>
      <c r="CG1745" s="1684"/>
      <c r="CH1745" s="1684"/>
      <c r="CI1745" s="1684"/>
      <c r="CJ1745" s="1684"/>
      <c r="CK1745" s="1684"/>
      <c r="CL1745" s="1684"/>
      <c r="CM1745" s="1684"/>
      <c r="CN1745" s="1684"/>
      <c r="CO1745" s="1684"/>
    </row>
    <row r="1746" spans="1:93" s="1391" customFormat="1" ht="15" x14ac:dyDescent="0.2">
      <c r="A1746" s="1684"/>
      <c r="B1746" s="2026">
        <v>10</v>
      </c>
      <c r="C1746" s="2027">
        <v>4.7709999999999999</v>
      </c>
      <c r="D1746" s="2027">
        <v>242</v>
      </c>
      <c r="E1746" s="2027">
        <v>261</v>
      </c>
      <c r="F1746" s="2027">
        <v>280</v>
      </c>
      <c r="G1746" s="2027">
        <v>299</v>
      </c>
      <c r="H1746" s="2027">
        <v>318</v>
      </c>
      <c r="I1746" s="2027">
        <v>336</v>
      </c>
      <c r="J1746" s="2027">
        <v>354</v>
      </c>
      <c r="K1746" s="2027">
        <v>372</v>
      </c>
      <c r="L1746" s="2027">
        <v>390</v>
      </c>
      <c r="M1746" s="2028">
        <v>58</v>
      </c>
      <c r="N1746"/>
      <c r="O1746" s="1684"/>
      <c r="P1746" s="1684"/>
      <c r="Q1746" s="1684"/>
      <c r="R1746" s="1684"/>
      <c r="S1746" s="1684"/>
      <c r="T1746" s="1684"/>
      <c r="U1746" s="1684"/>
      <c r="V1746" s="1684"/>
      <c r="W1746" s="1684"/>
      <c r="X1746" s="1684"/>
      <c r="Y1746" s="1684"/>
      <c r="Z1746" s="1684"/>
      <c r="AA1746" s="1684"/>
      <c r="AB1746" s="1684"/>
      <c r="AC1746" s="1684"/>
      <c r="AD1746" s="1684"/>
      <c r="AE1746" s="1684"/>
      <c r="AF1746" s="1684"/>
      <c r="AG1746" s="1684"/>
      <c r="AH1746" s="1684"/>
      <c r="AI1746" s="1684"/>
      <c r="AJ1746" s="1684"/>
      <c r="AK1746" s="1684"/>
      <c r="AL1746" s="1684"/>
      <c r="AM1746" s="1684"/>
      <c r="AN1746" s="1684"/>
      <c r="AO1746" s="1684"/>
      <c r="AP1746" s="1684"/>
      <c r="AQ1746" s="1684"/>
      <c r="AR1746" s="1684"/>
      <c r="AS1746" s="1684"/>
      <c r="AT1746" s="1684"/>
      <c r="AU1746" s="1684"/>
      <c r="AV1746" s="1684"/>
      <c r="AW1746" s="1684"/>
      <c r="AX1746" s="1684"/>
      <c r="AY1746" s="1684"/>
      <c r="AZ1746" s="1684"/>
      <c r="BA1746" s="1684"/>
      <c r="BB1746" s="1684"/>
      <c r="BC1746" s="1684"/>
      <c r="BD1746" s="1684"/>
      <c r="BE1746" s="1684"/>
      <c r="BF1746" s="1684"/>
      <c r="BG1746" s="1684"/>
      <c r="BH1746" s="1684"/>
      <c r="BI1746" s="1684"/>
      <c r="BJ1746" s="1684"/>
      <c r="BK1746" s="1684"/>
      <c r="BL1746" s="1684"/>
      <c r="BM1746" s="1684"/>
      <c r="BN1746" s="1684"/>
      <c r="BO1746" s="1684"/>
      <c r="BP1746" s="1684"/>
      <c r="BQ1746" s="1684"/>
      <c r="BR1746" s="1684"/>
      <c r="BS1746" s="1684"/>
      <c r="BT1746" s="1684"/>
      <c r="BU1746" s="1684"/>
      <c r="BV1746" s="1684"/>
      <c r="BW1746" s="1684"/>
      <c r="BX1746" s="1684"/>
      <c r="BY1746" s="1684"/>
      <c r="BZ1746" s="1684"/>
      <c r="CA1746" s="1684"/>
      <c r="CB1746" s="1684"/>
      <c r="CC1746" s="1684"/>
      <c r="CD1746" s="1684"/>
      <c r="CE1746" s="1684"/>
      <c r="CF1746" s="1684"/>
      <c r="CG1746" s="1684"/>
      <c r="CH1746" s="1684"/>
      <c r="CI1746" s="1684"/>
      <c r="CJ1746" s="1684"/>
      <c r="CK1746" s="1684"/>
      <c r="CL1746" s="1684"/>
      <c r="CM1746" s="1684"/>
      <c r="CN1746" s="1684"/>
      <c r="CO1746" s="1684"/>
    </row>
    <row r="1747" spans="1:93" s="1391" customFormat="1" ht="15" x14ac:dyDescent="0.2">
      <c r="A1747" s="1684"/>
      <c r="B1747" s="2026">
        <v>11</v>
      </c>
      <c r="C1747" s="2027">
        <v>5.0510000000000002</v>
      </c>
      <c r="D1747" s="2027">
        <v>267</v>
      </c>
      <c r="E1747" s="2027">
        <v>288</v>
      </c>
      <c r="F1747" s="2027">
        <v>309</v>
      </c>
      <c r="G1747" s="2027">
        <v>329</v>
      </c>
      <c r="H1747" s="2027">
        <v>350</v>
      </c>
      <c r="I1747" s="2027">
        <v>370</v>
      </c>
      <c r="J1747" s="2027">
        <v>390</v>
      </c>
      <c r="K1747" s="2027">
        <v>409</v>
      </c>
      <c r="L1747" s="2027">
        <v>429</v>
      </c>
      <c r="M1747" s="2028">
        <v>59</v>
      </c>
      <c r="N1747"/>
      <c r="O1747" s="1684"/>
      <c r="P1747" s="1684"/>
      <c r="Q1747" s="1684"/>
      <c r="R1747" s="1684"/>
      <c r="S1747" s="1684"/>
      <c r="T1747" s="1684"/>
      <c r="U1747" s="1684"/>
      <c r="V1747" s="1684"/>
      <c r="W1747" s="1684"/>
      <c r="X1747" s="1684"/>
      <c r="Y1747" s="1684"/>
      <c r="Z1747" s="1684"/>
      <c r="AA1747" s="1684"/>
      <c r="AB1747" s="1684"/>
      <c r="AC1747" s="1684"/>
      <c r="AD1747" s="1684"/>
      <c r="AE1747" s="1684"/>
      <c r="AF1747" s="1684"/>
      <c r="AG1747" s="1684"/>
      <c r="AH1747" s="1684"/>
      <c r="AI1747" s="1684"/>
      <c r="AJ1747" s="1684"/>
      <c r="AK1747" s="1684"/>
      <c r="AL1747" s="1684"/>
      <c r="AM1747" s="1684"/>
      <c r="AN1747" s="1684"/>
      <c r="AO1747" s="1684"/>
      <c r="AP1747" s="1684"/>
      <c r="AQ1747" s="1684"/>
      <c r="AR1747" s="1684"/>
      <c r="AS1747" s="1684"/>
      <c r="AT1747" s="1684"/>
      <c r="AU1747" s="1684"/>
      <c r="AV1747" s="1684"/>
      <c r="AW1747" s="1684"/>
      <c r="AX1747" s="1684"/>
      <c r="AY1747" s="1684"/>
      <c r="AZ1747" s="1684"/>
      <c r="BA1747" s="1684"/>
      <c r="BB1747" s="1684"/>
      <c r="BC1747" s="1684"/>
      <c r="BD1747" s="1684"/>
      <c r="BE1747" s="1684"/>
      <c r="BF1747" s="1684"/>
      <c r="BG1747" s="1684"/>
      <c r="BH1747" s="1684"/>
      <c r="BI1747" s="1684"/>
      <c r="BJ1747" s="1684"/>
      <c r="BK1747" s="1684"/>
      <c r="BL1747" s="1684"/>
      <c r="BM1747" s="1684"/>
      <c r="BN1747" s="1684"/>
      <c r="BO1747" s="1684"/>
      <c r="BP1747" s="1684"/>
      <c r="BQ1747" s="1684"/>
      <c r="BR1747" s="1684"/>
      <c r="BS1747" s="1684"/>
      <c r="BT1747" s="1684"/>
      <c r="BU1747" s="1684"/>
      <c r="BV1747" s="1684"/>
      <c r="BW1747" s="1684"/>
      <c r="BX1747" s="1684"/>
      <c r="BY1747" s="1684"/>
      <c r="BZ1747" s="1684"/>
      <c r="CA1747" s="1684"/>
      <c r="CB1747" s="1684"/>
      <c r="CC1747" s="1684"/>
      <c r="CD1747" s="1684"/>
      <c r="CE1747" s="1684"/>
      <c r="CF1747" s="1684"/>
      <c r="CG1747" s="1684"/>
      <c r="CH1747" s="1684"/>
      <c r="CI1747" s="1684"/>
      <c r="CJ1747" s="1684"/>
      <c r="CK1747" s="1684"/>
      <c r="CL1747" s="1684"/>
      <c r="CM1747" s="1684"/>
      <c r="CN1747" s="1684"/>
      <c r="CO1747" s="1684"/>
    </row>
    <row r="1748" spans="1:93" s="1391" customFormat="1" ht="15" x14ac:dyDescent="0.2">
      <c r="A1748" s="1684"/>
      <c r="B1748" s="2026">
        <v>12</v>
      </c>
      <c r="C1748" s="2027">
        <v>5.3479999999999999</v>
      </c>
      <c r="D1748" s="2027">
        <v>293</v>
      </c>
      <c r="E1748" s="2027">
        <v>316</v>
      </c>
      <c r="F1748" s="2027">
        <v>339</v>
      </c>
      <c r="G1748" s="2027">
        <v>361</v>
      </c>
      <c r="H1748" s="2027">
        <v>383</v>
      </c>
      <c r="I1748" s="2027">
        <v>405</v>
      </c>
      <c r="J1748" s="2027">
        <v>427</v>
      </c>
      <c r="K1748" s="2027">
        <v>448</v>
      </c>
      <c r="L1748" s="2027">
        <v>468</v>
      </c>
      <c r="M1748" s="2028">
        <v>60</v>
      </c>
      <c r="N1748"/>
      <c r="O1748" s="1684"/>
      <c r="P1748" s="1684"/>
      <c r="Q1748" s="1684"/>
      <c r="R1748" s="1684"/>
      <c r="S1748" s="1684"/>
      <c r="T1748" s="1684"/>
      <c r="U1748" s="1684"/>
      <c r="V1748" s="1684"/>
      <c r="W1748" s="1684"/>
      <c r="X1748" s="1684"/>
      <c r="Y1748" s="1684"/>
      <c r="Z1748" s="1684"/>
      <c r="AA1748" s="1684"/>
      <c r="AB1748" s="1684"/>
      <c r="AC1748" s="1684"/>
      <c r="AD1748" s="1684"/>
      <c r="AE1748" s="1684"/>
      <c r="AF1748" s="1684"/>
      <c r="AG1748" s="1684"/>
      <c r="AH1748" s="1684"/>
      <c r="AI1748" s="1684"/>
      <c r="AJ1748" s="1684"/>
      <c r="AK1748" s="1684"/>
      <c r="AL1748" s="1684"/>
      <c r="AM1748" s="1684"/>
      <c r="AN1748" s="1684"/>
      <c r="AO1748" s="1684"/>
      <c r="AP1748" s="1684"/>
      <c r="AQ1748" s="1684"/>
      <c r="AR1748" s="1684"/>
      <c r="AS1748" s="1684"/>
      <c r="AT1748" s="1684"/>
      <c r="AU1748" s="1684"/>
      <c r="AV1748" s="1684"/>
      <c r="AW1748" s="1684"/>
      <c r="AX1748" s="1684"/>
      <c r="AY1748" s="1684"/>
      <c r="AZ1748" s="1684"/>
      <c r="BA1748" s="1684"/>
      <c r="BB1748" s="1684"/>
      <c r="BC1748" s="1684"/>
      <c r="BD1748" s="1684"/>
      <c r="BE1748" s="1684"/>
      <c r="BF1748" s="1684"/>
      <c r="BG1748" s="1684"/>
      <c r="BH1748" s="1684"/>
      <c r="BI1748" s="1684"/>
      <c r="BJ1748" s="1684"/>
      <c r="BK1748" s="1684"/>
      <c r="BL1748" s="1684"/>
      <c r="BM1748" s="1684"/>
      <c r="BN1748" s="1684"/>
      <c r="BO1748" s="1684"/>
      <c r="BP1748" s="1684"/>
      <c r="BQ1748" s="1684"/>
      <c r="BR1748" s="1684"/>
      <c r="BS1748" s="1684"/>
      <c r="BT1748" s="1684"/>
      <c r="BU1748" s="1684"/>
      <c r="BV1748" s="1684"/>
      <c r="BW1748" s="1684"/>
      <c r="BX1748" s="1684"/>
      <c r="BY1748" s="1684"/>
      <c r="BZ1748" s="1684"/>
      <c r="CA1748" s="1684"/>
      <c r="CB1748" s="1684"/>
      <c r="CC1748" s="1684"/>
      <c r="CD1748" s="1684"/>
      <c r="CE1748" s="1684"/>
      <c r="CF1748" s="1684"/>
      <c r="CG1748" s="1684"/>
      <c r="CH1748" s="1684"/>
      <c r="CI1748" s="1684"/>
      <c r="CJ1748" s="1684"/>
      <c r="CK1748" s="1684"/>
      <c r="CL1748" s="1684"/>
      <c r="CM1748" s="1684"/>
      <c r="CN1748" s="1684"/>
      <c r="CO1748" s="1684"/>
    </row>
    <row r="1749" spans="1:93" s="1391" customFormat="1" ht="15" x14ac:dyDescent="0.2">
      <c r="A1749" s="1684"/>
      <c r="B1749" s="2026">
        <v>13</v>
      </c>
      <c r="C1749" s="2027">
        <v>5.6559999999999997</v>
      </c>
      <c r="D1749" s="2027">
        <v>320</v>
      </c>
      <c r="E1749" s="2027">
        <v>345</v>
      </c>
      <c r="F1749" s="2027">
        <v>369</v>
      </c>
      <c r="G1749" s="2027">
        <v>394</v>
      </c>
      <c r="H1749" s="2027">
        <v>417</v>
      </c>
      <c r="I1749" s="2027">
        <v>440</v>
      </c>
      <c r="J1749" s="2027">
        <v>464</v>
      </c>
      <c r="K1749" s="2027">
        <v>486</v>
      </c>
      <c r="L1749" s="2027">
        <v>509</v>
      </c>
      <c r="M1749" s="2028">
        <v>61</v>
      </c>
      <c r="N1749"/>
      <c r="O1749" s="1684"/>
      <c r="P1749" s="1684"/>
      <c r="Q1749" s="1684"/>
      <c r="R1749" s="1684"/>
      <c r="S1749" s="1684"/>
      <c r="T1749" s="1684"/>
      <c r="U1749" s="1684"/>
      <c r="V1749" s="1684"/>
      <c r="W1749" s="1684"/>
      <c r="X1749" s="1684"/>
      <c r="Y1749" s="1684"/>
      <c r="Z1749" s="1684"/>
      <c r="AA1749" s="1684"/>
      <c r="AB1749" s="1684"/>
      <c r="AC1749" s="1684"/>
      <c r="AD1749" s="1684"/>
      <c r="AE1749" s="1684"/>
      <c r="AF1749" s="1684"/>
      <c r="AG1749" s="1684"/>
      <c r="AH1749" s="1684"/>
      <c r="AI1749" s="1684"/>
      <c r="AJ1749" s="1684"/>
      <c r="AK1749" s="1684"/>
      <c r="AL1749" s="1684"/>
      <c r="AM1749" s="1684"/>
      <c r="AN1749" s="1684"/>
      <c r="AO1749" s="1684"/>
      <c r="AP1749" s="1684"/>
      <c r="AQ1749" s="1684"/>
      <c r="AR1749" s="1684"/>
      <c r="AS1749" s="1684"/>
      <c r="AT1749" s="1684"/>
      <c r="AU1749" s="1684"/>
      <c r="AV1749" s="1684"/>
      <c r="AW1749" s="1684"/>
      <c r="AX1749" s="1684"/>
      <c r="AY1749" s="1684"/>
      <c r="AZ1749" s="1684"/>
      <c r="BA1749" s="1684"/>
      <c r="BB1749" s="1684"/>
      <c r="BC1749" s="1684"/>
      <c r="BD1749" s="1684"/>
      <c r="BE1749" s="1684"/>
      <c r="BF1749" s="1684"/>
      <c r="BG1749" s="1684"/>
      <c r="BH1749" s="1684"/>
      <c r="BI1749" s="1684"/>
      <c r="BJ1749" s="1684"/>
      <c r="BK1749" s="1684"/>
      <c r="BL1749" s="1684"/>
      <c r="BM1749" s="1684"/>
      <c r="BN1749" s="1684"/>
      <c r="BO1749" s="1684"/>
      <c r="BP1749" s="1684"/>
      <c r="BQ1749" s="1684"/>
      <c r="BR1749" s="1684"/>
      <c r="BS1749" s="1684"/>
      <c r="BT1749" s="1684"/>
      <c r="BU1749" s="1684"/>
      <c r="BV1749" s="1684"/>
      <c r="BW1749" s="1684"/>
      <c r="BX1749" s="1684"/>
      <c r="BY1749" s="1684"/>
      <c r="BZ1749" s="1684"/>
      <c r="CA1749" s="1684"/>
      <c r="CB1749" s="1684"/>
      <c r="CC1749" s="1684"/>
      <c r="CD1749" s="1684"/>
      <c r="CE1749" s="1684"/>
      <c r="CF1749" s="1684"/>
      <c r="CG1749" s="1684"/>
      <c r="CH1749" s="1684"/>
      <c r="CI1749" s="1684"/>
      <c r="CJ1749" s="1684"/>
      <c r="CK1749" s="1684"/>
      <c r="CL1749" s="1684"/>
      <c r="CM1749" s="1684"/>
      <c r="CN1749" s="1684"/>
      <c r="CO1749" s="1684"/>
    </row>
    <row r="1750" spans="1:93" s="1391" customFormat="1" ht="15" x14ac:dyDescent="0.2">
      <c r="A1750" s="1684"/>
      <c r="B1750" s="2026">
        <v>14</v>
      </c>
      <c r="C1750" s="2027">
        <v>5.9859999999999998</v>
      </c>
      <c r="D1750" s="2027">
        <v>348</v>
      </c>
      <c r="E1750" s="2027">
        <v>375</v>
      </c>
      <c r="F1750" s="2027">
        <v>401</v>
      </c>
      <c r="G1750" s="2027">
        <v>428</v>
      </c>
      <c r="H1750" s="2027">
        <v>453</v>
      </c>
      <c r="I1750" s="2027">
        <v>478</v>
      </c>
      <c r="J1750" s="2027">
        <v>503</v>
      </c>
      <c r="K1750" s="2027">
        <v>527</v>
      </c>
      <c r="L1750" s="2027">
        <v>551</v>
      </c>
      <c r="M1750" s="2028">
        <v>62</v>
      </c>
      <c r="N1750"/>
      <c r="O1750" s="1684"/>
      <c r="P1750" s="1684"/>
      <c r="Q1750" s="1684"/>
      <c r="R1750" s="1684"/>
      <c r="S1750" s="1684"/>
      <c r="T1750" s="1684"/>
      <c r="U1750" s="1684"/>
      <c r="V1750" s="1684"/>
      <c r="W1750" s="1684"/>
      <c r="X1750" s="1684"/>
      <c r="Y1750" s="1684"/>
      <c r="Z1750" s="1684"/>
      <c r="AA1750" s="1684"/>
      <c r="AB1750" s="1684"/>
      <c r="AC1750" s="1684"/>
      <c r="AD1750" s="1684"/>
      <c r="AE1750" s="1684"/>
      <c r="AF1750" s="1684"/>
      <c r="AG1750" s="1684"/>
      <c r="AH1750" s="1684"/>
      <c r="AI1750" s="1684"/>
      <c r="AJ1750" s="1684"/>
      <c r="AK1750" s="1684"/>
      <c r="AL1750" s="1684"/>
      <c r="AM1750" s="1684"/>
      <c r="AN1750" s="1684"/>
      <c r="AO1750" s="1684"/>
      <c r="AP1750" s="1684"/>
      <c r="AQ1750" s="1684"/>
      <c r="AR1750" s="1684"/>
      <c r="AS1750" s="1684"/>
      <c r="AT1750" s="1684"/>
      <c r="AU1750" s="1684"/>
      <c r="AV1750" s="1684"/>
      <c r="AW1750" s="1684"/>
      <c r="AX1750" s="1684"/>
      <c r="AY1750" s="1684"/>
      <c r="AZ1750" s="1684"/>
      <c r="BA1750" s="1684"/>
      <c r="BB1750" s="1684"/>
      <c r="BC1750" s="1684"/>
      <c r="BD1750" s="1684"/>
      <c r="BE1750" s="1684"/>
      <c r="BF1750" s="1684"/>
      <c r="BG1750" s="1684"/>
      <c r="BH1750" s="1684"/>
      <c r="BI1750" s="1684"/>
      <c r="BJ1750" s="1684"/>
      <c r="BK1750" s="1684"/>
      <c r="BL1750" s="1684"/>
      <c r="BM1750" s="1684"/>
      <c r="BN1750" s="1684"/>
      <c r="BO1750" s="1684"/>
      <c r="BP1750" s="1684"/>
      <c r="BQ1750" s="1684"/>
      <c r="BR1750" s="1684"/>
      <c r="BS1750" s="1684"/>
      <c r="BT1750" s="1684"/>
      <c r="BU1750" s="1684"/>
      <c r="BV1750" s="1684"/>
      <c r="BW1750" s="1684"/>
      <c r="BX1750" s="1684"/>
      <c r="BY1750" s="1684"/>
      <c r="BZ1750" s="1684"/>
      <c r="CA1750" s="1684"/>
      <c r="CB1750" s="1684"/>
      <c r="CC1750" s="1684"/>
      <c r="CD1750" s="1684"/>
      <c r="CE1750" s="1684"/>
      <c r="CF1750" s="1684"/>
      <c r="CG1750" s="1684"/>
      <c r="CH1750" s="1684"/>
      <c r="CI1750" s="1684"/>
      <c r="CJ1750" s="1684"/>
      <c r="CK1750" s="1684"/>
      <c r="CL1750" s="1684"/>
      <c r="CM1750" s="1684"/>
      <c r="CN1750" s="1684"/>
      <c r="CO1750" s="1684"/>
    </row>
    <row r="1751" spans="1:93" s="1391" customFormat="1" ht="15" x14ac:dyDescent="0.2">
      <c r="A1751" s="1684"/>
      <c r="B1751" s="2026">
        <v>15</v>
      </c>
      <c r="C1751" s="2027">
        <v>6.3310000000000004</v>
      </c>
      <c r="D1751" s="2027">
        <v>378</v>
      </c>
      <c r="E1751" s="2027">
        <v>406</v>
      </c>
      <c r="F1751" s="2027">
        <v>434</v>
      </c>
      <c r="G1751" s="2027">
        <v>463</v>
      </c>
      <c r="H1751" s="2027">
        <v>490</v>
      </c>
      <c r="I1751" s="2027">
        <v>517</v>
      </c>
      <c r="J1751" s="2027">
        <v>543</v>
      </c>
      <c r="K1751" s="2027">
        <v>569</v>
      </c>
      <c r="L1751" s="2027">
        <v>594</v>
      </c>
      <c r="M1751" s="2028">
        <v>63</v>
      </c>
      <c r="N1751"/>
      <c r="O1751" s="1684"/>
      <c r="P1751" s="1684"/>
      <c r="Q1751" s="1684"/>
      <c r="R1751" s="1684"/>
      <c r="S1751" s="1684"/>
      <c r="T1751" s="1684"/>
      <c r="U1751" s="1684"/>
      <c r="V1751" s="1684"/>
      <c r="W1751" s="1684"/>
      <c r="X1751" s="1684"/>
      <c r="Y1751" s="1684"/>
      <c r="Z1751" s="1684"/>
      <c r="AA1751" s="1684"/>
      <c r="AB1751" s="1684"/>
      <c r="AC1751" s="1684"/>
      <c r="AD1751" s="1684"/>
      <c r="AE1751" s="1684"/>
      <c r="AF1751" s="1684"/>
      <c r="AG1751" s="1684"/>
      <c r="AH1751" s="1684"/>
      <c r="AI1751" s="1684"/>
      <c r="AJ1751" s="1684"/>
      <c r="AK1751" s="1684"/>
      <c r="AL1751" s="1684"/>
      <c r="AM1751" s="1684"/>
      <c r="AN1751" s="1684"/>
      <c r="AO1751" s="1684"/>
      <c r="AP1751" s="1684"/>
      <c r="AQ1751" s="1684"/>
      <c r="AR1751" s="1684"/>
      <c r="AS1751" s="1684"/>
      <c r="AT1751" s="1684"/>
      <c r="AU1751" s="1684"/>
      <c r="AV1751" s="1684"/>
      <c r="AW1751" s="1684"/>
      <c r="AX1751" s="1684"/>
      <c r="AY1751" s="1684"/>
      <c r="AZ1751" s="1684"/>
      <c r="BA1751" s="1684"/>
      <c r="BB1751" s="1684"/>
      <c r="BC1751" s="1684"/>
      <c r="BD1751" s="1684"/>
      <c r="BE1751" s="1684"/>
      <c r="BF1751" s="1684"/>
      <c r="BG1751" s="1684"/>
      <c r="BH1751" s="1684"/>
      <c r="BI1751" s="1684"/>
      <c r="BJ1751" s="1684"/>
      <c r="BK1751" s="1684"/>
      <c r="BL1751" s="1684"/>
      <c r="BM1751" s="1684"/>
      <c r="BN1751" s="1684"/>
      <c r="BO1751" s="1684"/>
      <c r="BP1751" s="1684"/>
      <c r="BQ1751" s="1684"/>
      <c r="BR1751" s="1684"/>
      <c r="BS1751" s="1684"/>
      <c r="BT1751" s="1684"/>
      <c r="BU1751" s="1684"/>
      <c r="BV1751" s="1684"/>
      <c r="BW1751" s="1684"/>
      <c r="BX1751" s="1684"/>
      <c r="BY1751" s="1684"/>
      <c r="BZ1751" s="1684"/>
      <c r="CA1751" s="1684"/>
      <c r="CB1751" s="1684"/>
      <c r="CC1751" s="1684"/>
      <c r="CD1751" s="1684"/>
      <c r="CE1751" s="1684"/>
      <c r="CF1751" s="1684"/>
      <c r="CG1751" s="1684"/>
      <c r="CH1751" s="1684"/>
      <c r="CI1751" s="1684"/>
      <c r="CJ1751" s="1684"/>
      <c r="CK1751" s="1684"/>
      <c r="CL1751" s="1684"/>
      <c r="CM1751" s="1684"/>
      <c r="CN1751" s="1684"/>
      <c r="CO1751" s="1684"/>
    </row>
    <row r="1752" spans="1:93" s="1391" customFormat="1" ht="15" x14ac:dyDescent="0.2">
      <c r="A1752" s="1684"/>
      <c r="B1752" s="2026">
        <v>16</v>
      </c>
      <c r="C1752" s="2027">
        <v>6.6749999999999998</v>
      </c>
      <c r="D1752" s="2027">
        <v>407</v>
      </c>
      <c r="E1752" s="2027">
        <v>437</v>
      </c>
      <c r="F1752" s="2027">
        <v>467</v>
      </c>
      <c r="G1752" s="2027">
        <v>497</v>
      </c>
      <c r="H1752" s="2027">
        <v>526</v>
      </c>
      <c r="I1752" s="2027">
        <v>554</v>
      </c>
      <c r="J1752" s="2027">
        <v>582</v>
      </c>
      <c r="K1752" s="2027">
        <v>609</v>
      </c>
      <c r="L1752" s="2027">
        <v>636</v>
      </c>
      <c r="M1752" s="2028">
        <v>64</v>
      </c>
      <c r="N1752"/>
      <c r="O1752" s="1684"/>
      <c r="P1752" s="1684"/>
      <c r="Q1752" s="1684"/>
      <c r="R1752" s="1684"/>
      <c r="S1752" s="1684"/>
      <c r="T1752" s="1684"/>
      <c r="U1752" s="1684"/>
      <c r="V1752" s="1684"/>
      <c r="W1752" s="1684"/>
      <c r="X1752" s="1684"/>
      <c r="Y1752" s="1684"/>
      <c r="Z1752" s="1684"/>
      <c r="AA1752" s="1684"/>
      <c r="AB1752" s="1684"/>
      <c r="AC1752" s="1684"/>
      <c r="AD1752" s="1684"/>
      <c r="AE1752" s="1684"/>
      <c r="AF1752" s="1684"/>
      <c r="AG1752" s="1684"/>
      <c r="AH1752" s="1684"/>
      <c r="AI1752" s="1684"/>
      <c r="AJ1752" s="1684"/>
      <c r="AK1752" s="1684"/>
      <c r="AL1752" s="1684"/>
      <c r="AM1752" s="1684"/>
      <c r="AN1752" s="1684"/>
      <c r="AO1752" s="1684"/>
      <c r="AP1752" s="1684"/>
      <c r="AQ1752" s="1684"/>
      <c r="AR1752" s="1684"/>
      <c r="AS1752" s="1684"/>
      <c r="AT1752" s="1684"/>
      <c r="AU1752" s="1684"/>
      <c r="AV1752" s="1684"/>
      <c r="AW1752" s="1684"/>
      <c r="AX1752" s="1684"/>
      <c r="AY1752" s="1684"/>
      <c r="AZ1752" s="1684"/>
      <c r="BA1752" s="1684"/>
      <c r="BB1752" s="1684"/>
      <c r="BC1752" s="1684"/>
      <c r="BD1752" s="1684"/>
      <c r="BE1752" s="1684"/>
      <c r="BF1752" s="1684"/>
      <c r="BG1752" s="1684"/>
      <c r="BH1752" s="1684"/>
      <c r="BI1752" s="1684"/>
      <c r="BJ1752" s="1684"/>
      <c r="BK1752" s="1684"/>
      <c r="BL1752" s="1684"/>
      <c r="BM1752" s="1684"/>
      <c r="BN1752" s="1684"/>
      <c r="BO1752" s="1684"/>
      <c r="BP1752" s="1684"/>
      <c r="BQ1752" s="1684"/>
      <c r="BR1752" s="1684"/>
      <c r="BS1752" s="1684"/>
      <c r="BT1752" s="1684"/>
      <c r="BU1752" s="1684"/>
      <c r="BV1752" s="1684"/>
      <c r="BW1752" s="1684"/>
      <c r="BX1752" s="1684"/>
      <c r="BY1752" s="1684"/>
      <c r="BZ1752" s="1684"/>
      <c r="CA1752" s="1684"/>
      <c r="CB1752" s="1684"/>
      <c r="CC1752" s="1684"/>
      <c r="CD1752" s="1684"/>
      <c r="CE1752" s="1684"/>
      <c r="CF1752" s="1684"/>
      <c r="CG1752" s="1684"/>
      <c r="CH1752" s="1684"/>
      <c r="CI1752" s="1684"/>
      <c r="CJ1752" s="1684"/>
      <c r="CK1752" s="1684"/>
      <c r="CL1752" s="1684"/>
      <c r="CM1752" s="1684"/>
      <c r="CN1752" s="1684"/>
      <c r="CO1752" s="1684"/>
    </row>
    <row r="1753" spans="1:93" s="1391" customFormat="1" ht="15" x14ac:dyDescent="0.2">
      <c r="A1753" s="1684"/>
      <c r="B1753" s="2026" t="s">
        <v>2222</v>
      </c>
      <c r="C1753" s="2027"/>
      <c r="D1753" s="2027"/>
      <c r="E1753" s="2027"/>
      <c r="F1753" s="2027"/>
      <c r="G1753" s="2027"/>
      <c r="H1753" s="2027"/>
      <c r="I1753" s="2027"/>
      <c r="J1753" s="2027"/>
      <c r="K1753" s="2027"/>
      <c r="L1753" s="2027"/>
      <c r="M1753" s="2028"/>
      <c r="N1753"/>
      <c r="O1753" s="1684"/>
      <c r="P1753" s="1684"/>
      <c r="Q1753" s="1684"/>
      <c r="R1753" s="1684"/>
      <c r="S1753" s="1684"/>
      <c r="T1753" s="1684"/>
      <c r="U1753" s="1684"/>
      <c r="V1753" s="1684"/>
      <c r="W1753" s="1684"/>
      <c r="X1753" s="1684"/>
      <c r="Y1753" s="1684"/>
      <c r="Z1753" s="1684"/>
      <c r="AA1753" s="1684"/>
      <c r="AB1753" s="1684"/>
      <c r="AC1753" s="1684"/>
      <c r="AD1753" s="1684"/>
      <c r="AE1753" s="1684"/>
      <c r="AF1753" s="1684"/>
      <c r="AG1753" s="1684"/>
      <c r="AH1753" s="1684"/>
      <c r="AI1753" s="1684"/>
      <c r="AJ1753" s="1684"/>
      <c r="AK1753" s="1684"/>
      <c r="AL1753" s="1684"/>
      <c r="AM1753" s="1684"/>
      <c r="AN1753" s="1684"/>
      <c r="AO1753" s="1684"/>
      <c r="AP1753" s="1684"/>
      <c r="AQ1753" s="1684"/>
      <c r="AR1753" s="1684"/>
      <c r="AS1753" s="1684"/>
      <c r="AT1753" s="1684"/>
      <c r="AU1753" s="1684"/>
      <c r="AV1753" s="1684"/>
      <c r="AW1753" s="1684"/>
      <c r="AX1753" s="1684"/>
      <c r="AY1753" s="1684"/>
      <c r="AZ1753" s="1684"/>
      <c r="BA1753" s="1684"/>
      <c r="BB1753" s="1684"/>
      <c r="BC1753" s="1684"/>
      <c r="BD1753" s="1684"/>
      <c r="BE1753" s="1684"/>
      <c r="BF1753" s="1684"/>
      <c r="BG1753" s="1684"/>
      <c r="BH1753" s="1684"/>
      <c r="BI1753" s="1684"/>
      <c r="BJ1753" s="1684"/>
      <c r="BK1753" s="1684"/>
      <c r="BL1753" s="1684"/>
      <c r="BM1753" s="1684"/>
      <c r="BN1753" s="1684"/>
      <c r="BO1753" s="1684"/>
      <c r="BP1753" s="1684"/>
      <c r="BQ1753" s="1684"/>
      <c r="BR1753" s="1684"/>
      <c r="BS1753" s="1684"/>
      <c r="BT1753" s="1684"/>
      <c r="BU1753" s="1684"/>
      <c r="BV1753" s="1684"/>
      <c r="BW1753" s="1684"/>
      <c r="BX1753" s="1684"/>
      <c r="BY1753" s="1684"/>
      <c r="BZ1753" s="1684"/>
      <c r="CA1753" s="1684"/>
      <c r="CB1753" s="1684"/>
      <c r="CC1753" s="1684"/>
      <c r="CD1753" s="1684"/>
      <c r="CE1753" s="1684"/>
      <c r="CF1753" s="1684"/>
      <c r="CG1753" s="1684"/>
      <c r="CH1753" s="1684"/>
      <c r="CI1753" s="1684"/>
      <c r="CJ1753" s="1684"/>
      <c r="CK1753" s="1684"/>
      <c r="CL1753" s="1684"/>
      <c r="CM1753" s="1684"/>
      <c r="CN1753" s="1684"/>
      <c r="CO1753" s="1684"/>
    </row>
    <row r="1754" spans="1:93" s="1391" customFormat="1" ht="15" x14ac:dyDescent="0.2">
      <c r="A1754" s="1684"/>
      <c r="B1754" s="4719" t="s">
        <v>2223</v>
      </c>
      <c r="C1754" s="4720"/>
      <c r="D1754" s="4720"/>
      <c r="E1754" s="4720"/>
      <c r="F1754" s="4720"/>
      <c r="G1754" s="4720"/>
      <c r="H1754" s="4720"/>
      <c r="I1754" s="4720"/>
      <c r="J1754" s="4720"/>
      <c r="K1754" s="4720"/>
      <c r="L1754" s="4720"/>
      <c r="M1754" s="4721"/>
      <c r="N1754"/>
      <c r="O1754" s="1684"/>
      <c r="P1754" s="1684"/>
      <c r="Q1754" s="1684"/>
      <c r="R1754" s="1684"/>
      <c r="S1754" s="1684"/>
      <c r="T1754" s="1684"/>
      <c r="U1754" s="1684"/>
      <c r="V1754" s="1684"/>
      <c r="W1754" s="1684"/>
      <c r="X1754" s="1684"/>
      <c r="Y1754" s="1684"/>
      <c r="Z1754" s="1684"/>
      <c r="AA1754" s="1684"/>
      <c r="AB1754" s="1684"/>
      <c r="AC1754" s="1684"/>
      <c r="AD1754" s="1684"/>
      <c r="AE1754" s="1684"/>
      <c r="AF1754" s="1684"/>
      <c r="AG1754" s="1684"/>
      <c r="AH1754" s="1684"/>
      <c r="AI1754" s="1684"/>
      <c r="AJ1754" s="1684"/>
      <c r="AK1754" s="1684"/>
      <c r="AL1754" s="1684"/>
      <c r="AM1754" s="1684"/>
      <c r="AN1754" s="1684"/>
      <c r="AO1754" s="1684"/>
      <c r="AP1754" s="1684"/>
      <c r="AQ1754" s="1684"/>
      <c r="AR1754" s="1684"/>
      <c r="AS1754" s="1684"/>
      <c r="AT1754" s="1684"/>
      <c r="AU1754" s="1684"/>
      <c r="AV1754" s="1684"/>
      <c r="AW1754" s="1684"/>
      <c r="AX1754" s="1684"/>
      <c r="AY1754" s="1684"/>
      <c r="AZ1754" s="1684"/>
      <c r="BA1754" s="1684"/>
      <c r="BB1754" s="1684"/>
      <c r="BC1754" s="1684"/>
      <c r="BD1754" s="1684"/>
      <c r="BE1754" s="1684"/>
      <c r="BF1754" s="1684"/>
      <c r="BG1754" s="1684"/>
      <c r="BH1754" s="1684"/>
      <c r="BI1754" s="1684"/>
      <c r="BJ1754" s="1684"/>
      <c r="BK1754" s="1684"/>
      <c r="BL1754" s="1684"/>
      <c r="BM1754" s="1684"/>
      <c r="BN1754" s="1684"/>
      <c r="BO1754" s="1684"/>
      <c r="BP1754" s="1684"/>
      <c r="BQ1754" s="1684"/>
      <c r="BR1754" s="1684"/>
      <c r="BS1754" s="1684"/>
      <c r="BT1754" s="1684"/>
      <c r="BU1754" s="1684"/>
      <c r="BV1754" s="1684"/>
      <c r="BW1754" s="1684"/>
      <c r="BX1754" s="1684"/>
      <c r="BY1754" s="1684"/>
      <c r="BZ1754" s="1684"/>
      <c r="CA1754" s="1684"/>
      <c r="CB1754" s="1684"/>
      <c r="CC1754" s="1684"/>
      <c r="CD1754" s="1684"/>
      <c r="CE1754" s="1684"/>
      <c r="CF1754" s="1684"/>
      <c r="CG1754" s="1684"/>
      <c r="CH1754" s="1684"/>
      <c r="CI1754" s="1684"/>
      <c r="CJ1754" s="1684"/>
      <c r="CK1754" s="1684"/>
      <c r="CL1754" s="1684"/>
      <c r="CM1754" s="1684"/>
      <c r="CN1754" s="1684"/>
      <c r="CO1754" s="1684"/>
    </row>
    <row r="1755" spans="1:93" s="1391" customFormat="1" ht="15" x14ac:dyDescent="0.2">
      <c r="A1755" s="1684"/>
      <c r="B1755" s="4704" t="s">
        <v>3944</v>
      </c>
      <c r="C1755" s="4707" t="s">
        <v>1042</v>
      </c>
      <c r="D1755" s="4710" t="s">
        <v>608</v>
      </c>
      <c r="E1755" s="4711"/>
      <c r="F1755" s="4711"/>
      <c r="G1755" s="4711"/>
      <c r="H1755" s="4711"/>
      <c r="I1755" s="4711"/>
      <c r="J1755" s="4711"/>
      <c r="K1755" s="4711"/>
      <c r="L1755" s="4712"/>
      <c r="M1755" s="4713" t="s">
        <v>2490</v>
      </c>
      <c r="N1755"/>
      <c r="O1755" s="1684"/>
      <c r="P1755" s="1684"/>
      <c r="Q1755" s="1684"/>
      <c r="R1755" s="1684"/>
      <c r="S1755" s="1684"/>
      <c r="T1755" s="1684"/>
      <c r="U1755" s="1684"/>
      <c r="V1755" s="1684"/>
      <c r="W1755" s="1684"/>
      <c r="X1755" s="1684"/>
      <c r="Y1755" s="1684"/>
      <c r="Z1755" s="1684"/>
      <c r="AA1755" s="1684"/>
      <c r="AB1755" s="1684"/>
      <c r="AC1755" s="1684"/>
      <c r="AD1755" s="1684"/>
      <c r="AE1755" s="1684"/>
      <c r="AF1755" s="1684"/>
      <c r="AG1755" s="1684"/>
      <c r="AH1755" s="1684"/>
      <c r="AI1755" s="1684"/>
      <c r="AJ1755" s="1684"/>
      <c r="AK1755" s="1684"/>
      <c r="AL1755" s="1684"/>
      <c r="AM1755" s="1684"/>
      <c r="AN1755" s="1684"/>
      <c r="AO1755" s="1684"/>
      <c r="AP1755" s="1684"/>
      <c r="AQ1755" s="1684"/>
      <c r="AR1755" s="1684"/>
      <c r="AS1755" s="1684"/>
      <c r="AT1755" s="1684"/>
      <c r="AU1755" s="1684"/>
      <c r="AV1755" s="1684"/>
      <c r="AW1755" s="1684"/>
      <c r="AX1755" s="1684"/>
      <c r="AY1755" s="1684"/>
      <c r="AZ1755" s="1684"/>
      <c r="BA1755" s="1684"/>
      <c r="BB1755" s="1684"/>
      <c r="BC1755" s="1684"/>
      <c r="BD1755" s="1684"/>
      <c r="BE1755" s="1684"/>
      <c r="BF1755" s="1684"/>
      <c r="BG1755" s="1684"/>
      <c r="BH1755" s="1684"/>
      <c r="BI1755" s="1684"/>
      <c r="BJ1755" s="1684"/>
      <c r="BK1755" s="1684"/>
      <c r="BL1755" s="1684"/>
      <c r="BM1755" s="1684"/>
      <c r="BN1755" s="1684"/>
      <c r="BO1755" s="1684"/>
      <c r="BP1755" s="1684"/>
      <c r="BQ1755" s="1684"/>
      <c r="BR1755" s="1684"/>
      <c r="BS1755" s="1684"/>
      <c r="BT1755" s="1684"/>
      <c r="BU1755" s="1684"/>
      <c r="BV1755" s="1684"/>
      <c r="BW1755" s="1684"/>
      <c r="BX1755" s="1684"/>
      <c r="BY1755" s="1684"/>
      <c r="BZ1755" s="1684"/>
      <c r="CA1755" s="1684"/>
      <c r="CB1755" s="1684"/>
      <c r="CC1755" s="1684"/>
      <c r="CD1755" s="1684"/>
      <c r="CE1755" s="1684"/>
      <c r="CF1755" s="1684"/>
      <c r="CG1755" s="1684"/>
      <c r="CH1755" s="1684"/>
      <c r="CI1755" s="1684"/>
      <c r="CJ1755" s="1684"/>
      <c r="CK1755" s="1684"/>
      <c r="CL1755" s="1684"/>
      <c r="CM1755" s="1684"/>
      <c r="CN1755" s="1684"/>
      <c r="CO1755" s="1684"/>
    </row>
    <row r="1756" spans="1:93" s="1391" customFormat="1" ht="54.75" x14ac:dyDescent="0.2">
      <c r="A1756" s="1684"/>
      <c r="B1756" s="4705"/>
      <c r="C1756" s="4708"/>
      <c r="D1756" s="2022" t="s">
        <v>1043</v>
      </c>
      <c r="E1756" s="2022" t="s">
        <v>1044</v>
      </c>
      <c r="F1756" s="2022" t="s">
        <v>1045</v>
      </c>
      <c r="G1756" s="2022" t="s">
        <v>1046</v>
      </c>
      <c r="H1756" s="2022" t="s">
        <v>1047</v>
      </c>
      <c r="I1756" s="2022" t="s">
        <v>1048</v>
      </c>
      <c r="J1756" s="2022" t="s">
        <v>1049</v>
      </c>
      <c r="K1756" s="2022" t="s">
        <v>1050</v>
      </c>
      <c r="L1756" s="2022" t="s">
        <v>1051</v>
      </c>
      <c r="M1756" s="4714"/>
      <c r="N1756"/>
      <c r="O1756" s="1684"/>
      <c r="P1756" s="1684"/>
      <c r="Q1756" s="1684"/>
      <c r="R1756" s="1684"/>
      <c r="S1756" s="1684"/>
      <c r="T1756" s="1684"/>
      <c r="U1756" s="1684"/>
      <c r="V1756" s="1684"/>
      <c r="W1756" s="1684"/>
      <c r="X1756" s="1684"/>
      <c r="Y1756" s="1684"/>
      <c r="Z1756" s="1684"/>
      <c r="AA1756" s="1684"/>
      <c r="AB1756" s="1684"/>
      <c r="AC1756" s="1684"/>
      <c r="AD1756" s="1684"/>
      <c r="AE1756" s="1684"/>
      <c r="AF1756" s="1684"/>
      <c r="AG1756" s="1684"/>
      <c r="AH1756" s="1684"/>
      <c r="AI1756" s="1684"/>
      <c r="AJ1756" s="1684"/>
      <c r="AK1756" s="1684"/>
      <c r="AL1756" s="1684"/>
      <c r="AM1756" s="1684"/>
      <c r="AN1756" s="1684"/>
      <c r="AO1756" s="1684"/>
      <c r="AP1756" s="1684"/>
      <c r="AQ1756" s="1684"/>
      <c r="AR1756" s="1684"/>
      <c r="AS1756" s="1684"/>
      <c r="AT1756" s="1684"/>
      <c r="AU1756" s="1684"/>
      <c r="AV1756" s="1684"/>
      <c r="AW1756" s="1684"/>
      <c r="AX1756" s="1684"/>
      <c r="AY1756" s="1684"/>
      <c r="AZ1756" s="1684"/>
      <c r="BA1756" s="1684"/>
      <c r="BB1756" s="1684"/>
      <c r="BC1756" s="1684"/>
      <c r="BD1756" s="1684"/>
      <c r="BE1756" s="1684"/>
      <c r="BF1756" s="1684"/>
      <c r="BG1756" s="1684"/>
      <c r="BH1756" s="1684"/>
      <c r="BI1756" s="1684"/>
      <c r="BJ1756" s="1684"/>
      <c r="BK1756" s="1684"/>
      <c r="BL1756" s="1684"/>
      <c r="BM1756" s="1684"/>
      <c r="BN1756" s="1684"/>
      <c r="BO1756" s="1684"/>
      <c r="BP1756" s="1684"/>
      <c r="BQ1756" s="1684"/>
      <c r="BR1756" s="1684"/>
      <c r="BS1756" s="1684"/>
      <c r="BT1756" s="1684"/>
      <c r="BU1756" s="1684"/>
      <c r="BV1756" s="1684"/>
      <c r="BW1756" s="1684"/>
      <c r="BX1756" s="1684"/>
      <c r="BY1756" s="1684"/>
      <c r="BZ1756" s="1684"/>
      <c r="CA1756" s="1684"/>
      <c r="CB1756" s="1684"/>
      <c r="CC1756" s="1684"/>
      <c r="CD1756" s="1684"/>
      <c r="CE1756" s="1684"/>
      <c r="CF1756" s="1684"/>
      <c r="CG1756" s="1684"/>
      <c r="CH1756" s="1684"/>
      <c r="CI1756" s="1684"/>
      <c r="CJ1756" s="1684"/>
      <c r="CK1756" s="1684"/>
      <c r="CL1756" s="1684"/>
      <c r="CM1756" s="1684"/>
      <c r="CN1756" s="1684"/>
      <c r="CO1756" s="1684"/>
    </row>
    <row r="1757" spans="1:93" s="1391" customFormat="1" ht="15" x14ac:dyDescent="0.2">
      <c r="A1757" s="1684"/>
      <c r="B1757" s="4706"/>
      <c r="C1757" s="4709"/>
      <c r="D1757" s="4710" t="s">
        <v>1781</v>
      </c>
      <c r="E1757" s="4711"/>
      <c r="F1757" s="4711"/>
      <c r="G1757" s="4711"/>
      <c r="H1757" s="4711"/>
      <c r="I1757" s="4711"/>
      <c r="J1757" s="4711"/>
      <c r="K1757" s="4711"/>
      <c r="L1757" s="4712"/>
      <c r="M1757" s="4715"/>
      <c r="N1757"/>
      <c r="O1757" s="1684"/>
      <c r="P1757" s="1684"/>
      <c r="Q1757" s="1684"/>
      <c r="R1757" s="1684"/>
      <c r="S1757" s="1684"/>
      <c r="T1757" s="1684"/>
      <c r="U1757" s="1684"/>
      <c r="V1757" s="1684"/>
      <c r="W1757" s="1684"/>
      <c r="X1757" s="1684"/>
      <c r="Y1757" s="1684"/>
      <c r="Z1757" s="1684"/>
      <c r="AA1757" s="1684"/>
      <c r="AB1757" s="1684"/>
      <c r="AC1757" s="1684"/>
      <c r="AD1757" s="1684"/>
      <c r="AE1757" s="1684"/>
      <c r="AF1757" s="1684"/>
      <c r="AG1757" s="1684"/>
      <c r="AH1757" s="1684"/>
      <c r="AI1757" s="1684"/>
      <c r="AJ1757" s="1684"/>
      <c r="AK1757" s="1684"/>
      <c r="AL1757" s="1684"/>
      <c r="AM1757" s="1684"/>
      <c r="AN1757" s="1684"/>
      <c r="AO1757" s="1684"/>
      <c r="AP1757" s="1684"/>
      <c r="AQ1757" s="1684"/>
      <c r="AR1757" s="1684"/>
      <c r="AS1757" s="1684"/>
      <c r="AT1757" s="1684"/>
      <c r="AU1757" s="1684"/>
      <c r="AV1757" s="1684"/>
      <c r="AW1757" s="1684"/>
      <c r="AX1757" s="1684"/>
      <c r="AY1757" s="1684"/>
      <c r="AZ1757" s="1684"/>
      <c r="BA1757" s="1684"/>
      <c r="BB1757" s="1684"/>
      <c r="BC1757" s="1684"/>
      <c r="BD1757" s="1684"/>
      <c r="BE1757" s="1684"/>
      <c r="BF1757" s="1684"/>
      <c r="BG1757" s="1684"/>
      <c r="BH1757" s="1684"/>
      <c r="BI1757" s="1684"/>
      <c r="BJ1757" s="1684"/>
      <c r="BK1757" s="1684"/>
      <c r="BL1757" s="1684"/>
      <c r="BM1757" s="1684"/>
      <c r="BN1757" s="1684"/>
      <c r="BO1757" s="1684"/>
      <c r="BP1757" s="1684"/>
      <c r="BQ1757" s="1684"/>
      <c r="BR1757" s="1684"/>
      <c r="BS1757" s="1684"/>
      <c r="BT1757" s="1684"/>
      <c r="BU1757" s="1684"/>
      <c r="BV1757" s="1684"/>
      <c r="BW1757" s="1684"/>
      <c r="BX1757" s="1684"/>
      <c r="BY1757" s="1684"/>
      <c r="BZ1757" s="1684"/>
      <c r="CA1757" s="1684"/>
      <c r="CB1757" s="1684"/>
      <c r="CC1757" s="1684"/>
      <c r="CD1757" s="1684"/>
      <c r="CE1757" s="1684"/>
      <c r="CF1757" s="1684"/>
      <c r="CG1757" s="1684"/>
      <c r="CH1757" s="1684"/>
      <c r="CI1757" s="1684"/>
      <c r="CJ1757" s="1684"/>
      <c r="CK1757" s="1684"/>
      <c r="CL1757" s="1684"/>
      <c r="CM1757" s="1684"/>
      <c r="CN1757" s="1684"/>
      <c r="CO1757" s="1684"/>
    </row>
    <row r="1758" spans="1:93" s="1391" customFormat="1" ht="15" x14ac:dyDescent="0.2">
      <c r="A1758" s="1684"/>
      <c r="B1758" s="4698" t="s">
        <v>3689</v>
      </c>
      <c r="C1758" s="4699"/>
      <c r="D1758" s="4699"/>
      <c r="E1758" s="4699"/>
      <c r="F1758" s="4699"/>
      <c r="G1758" s="4699"/>
      <c r="H1758" s="4699"/>
      <c r="I1758" s="4699"/>
      <c r="J1758" s="4699"/>
      <c r="K1758" s="4699"/>
      <c r="L1758" s="4699"/>
      <c r="M1758" s="4700"/>
      <c r="N1758"/>
      <c r="O1758" s="1684"/>
      <c r="P1758" s="1684"/>
      <c r="Q1758" s="1684"/>
      <c r="R1758" s="1684"/>
      <c r="S1758" s="1684"/>
      <c r="T1758" s="1684"/>
      <c r="U1758" s="1684"/>
      <c r="V1758" s="1684"/>
      <c r="W1758" s="1684"/>
      <c r="X1758" s="1684"/>
      <c r="Y1758" s="1684"/>
      <c r="Z1758" s="1684"/>
      <c r="AA1758" s="1684"/>
      <c r="AB1758" s="1684"/>
      <c r="AC1758" s="1684"/>
      <c r="AD1758" s="1684"/>
      <c r="AE1758" s="1684"/>
      <c r="AF1758" s="1684"/>
      <c r="AG1758" s="1684"/>
      <c r="AH1758" s="1684"/>
      <c r="AI1758" s="1684"/>
      <c r="AJ1758" s="1684"/>
      <c r="AK1758" s="1684"/>
      <c r="AL1758" s="1684"/>
      <c r="AM1758" s="1684"/>
      <c r="AN1758" s="1684"/>
      <c r="AO1758" s="1684"/>
      <c r="AP1758" s="1684"/>
      <c r="AQ1758" s="1684"/>
      <c r="AR1758" s="1684"/>
      <c r="AS1758" s="1684"/>
      <c r="AT1758" s="1684"/>
      <c r="AU1758" s="1684"/>
      <c r="AV1758" s="1684"/>
      <c r="AW1758" s="1684"/>
      <c r="AX1758" s="1684"/>
      <c r="AY1758" s="1684"/>
      <c r="AZ1758" s="1684"/>
      <c r="BA1758" s="1684"/>
      <c r="BB1758" s="1684"/>
      <c r="BC1758" s="1684"/>
      <c r="BD1758" s="1684"/>
      <c r="BE1758" s="1684"/>
      <c r="BF1758" s="1684"/>
      <c r="BG1758" s="1684"/>
      <c r="BH1758" s="1684"/>
      <c r="BI1758" s="1684"/>
      <c r="BJ1758" s="1684"/>
      <c r="BK1758" s="1684"/>
      <c r="BL1758" s="1684"/>
      <c r="BM1758" s="1684"/>
      <c r="BN1758" s="1684"/>
      <c r="BO1758" s="1684"/>
      <c r="BP1758" s="1684"/>
      <c r="BQ1758" s="1684"/>
      <c r="BR1758" s="1684"/>
      <c r="BS1758" s="1684"/>
      <c r="BT1758" s="1684"/>
      <c r="BU1758" s="1684"/>
      <c r="BV1758" s="1684"/>
      <c r="BW1758" s="1684"/>
      <c r="BX1758" s="1684"/>
      <c r="BY1758" s="1684"/>
      <c r="BZ1758" s="1684"/>
      <c r="CA1758" s="1684"/>
      <c r="CB1758" s="1684"/>
      <c r="CC1758" s="1684"/>
      <c r="CD1758" s="1684"/>
      <c r="CE1758" s="1684"/>
      <c r="CF1758" s="1684"/>
      <c r="CG1758" s="1684"/>
      <c r="CH1758" s="1684"/>
      <c r="CI1758" s="1684"/>
      <c r="CJ1758" s="1684"/>
      <c r="CK1758" s="1684"/>
      <c r="CL1758" s="1684"/>
      <c r="CM1758" s="1684"/>
      <c r="CN1758" s="1684"/>
      <c r="CO1758" s="1684"/>
    </row>
    <row r="1759" spans="1:93" s="1391" customFormat="1" ht="15" x14ac:dyDescent="0.2">
      <c r="A1759" s="1684"/>
      <c r="B1759" s="4716" t="s">
        <v>1052</v>
      </c>
      <c r="C1759" s="4711"/>
      <c r="D1759" s="4711"/>
      <c r="E1759" s="4711"/>
      <c r="F1759" s="4711"/>
      <c r="G1759" s="4711"/>
      <c r="H1759" s="4711"/>
      <c r="I1759" s="4711"/>
      <c r="J1759" s="4711"/>
      <c r="K1759" s="4711"/>
      <c r="L1759" s="4711"/>
      <c r="M1759" s="4717"/>
      <c r="N1759"/>
      <c r="O1759" s="1684"/>
      <c r="P1759" s="1684"/>
      <c r="Q1759" s="1684"/>
      <c r="R1759" s="1684"/>
      <c r="S1759" s="1684"/>
      <c r="T1759" s="1684"/>
      <c r="U1759" s="1684"/>
      <c r="V1759" s="1684"/>
      <c r="W1759" s="1684"/>
      <c r="X1759" s="1684"/>
      <c r="Y1759" s="1684"/>
      <c r="Z1759" s="1684"/>
      <c r="AA1759" s="1684"/>
      <c r="AB1759" s="1684"/>
      <c r="AC1759" s="1684"/>
      <c r="AD1759" s="1684"/>
      <c r="AE1759" s="1684"/>
      <c r="AF1759" s="1684"/>
      <c r="AG1759" s="1684"/>
      <c r="AH1759" s="1684"/>
      <c r="AI1759" s="1684"/>
      <c r="AJ1759" s="1684"/>
      <c r="AK1759" s="1684"/>
      <c r="AL1759" s="1684"/>
      <c r="AM1759" s="1684"/>
      <c r="AN1759" s="1684"/>
      <c r="AO1759" s="1684"/>
      <c r="AP1759" s="1684"/>
      <c r="AQ1759" s="1684"/>
      <c r="AR1759" s="1684"/>
      <c r="AS1759" s="1684"/>
      <c r="AT1759" s="1684"/>
      <c r="AU1759" s="1684"/>
      <c r="AV1759" s="1684"/>
      <c r="AW1759" s="1684"/>
      <c r="AX1759" s="1684"/>
      <c r="AY1759" s="1684"/>
      <c r="AZ1759" s="1684"/>
      <c r="BA1759" s="1684"/>
      <c r="BB1759" s="1684"/>
      <c r="BC1759" s="1684"/>
      <c r="BD1759" s="1684"/>
      <c r="BE1759" s="1684"/>
      <c r="BF1759" s="1684"/>
      <c r="BG1759" s="1684"/>
      <c r="BH1759" s="1684"/>
      <c r="BI1759" s="1684"/>
      <c r="BJ1759" s="1684"/>
      <c r="BK1759" s="1684"/>
      <c r="BL1759" s="1684"/>
      <c r="BM1759" s="1684"/>
      <c r="BN1759" s="1684"/>
      <c r="BO1759" s="1684"/>
      <c r="BP1759" s="1684"/>
      <c r="BQ1759" s="1684"/>
      <c r="BR1759" s="1684"/>
      <c r="BS1759" s="1684"/>
      <c r="BT1759" s="1684"/>
      <c r="BU1759" s="1684"/>
      <c r="BV1759" s="1684"/>
      <c r="BW1759" s="1684"/>
      <c r="BX1759" s="1684"/>
      <c r="BY1759" s="1684"/>
      <c r="BZ1759" s="1684"/>
      <c r="CA1759" s="1684"/>
      <c r="CB1759" s="1684"/>
      <c r="CC1759" s="1684"/>
      <c r="CD1759" s="1684"/>
      <c r="CE1759" s="1684"/>
      <c r="CF1759" s="1684"/>
      <c r="CG1759" s="1684"/>
      <c r="CH1759" s="1684"/>
      <c r="CI1759" s="1684"/>
      <c r="CJ1759" s="1684"/>
      <c r="CK1759" s="1684"/>
      <c r="CL1759" s="1684"/>
      <c r="CM1759" s="1684"/>
      <c r="CN1759" s="1684"/>
      <c r="CO1759" s="1684"/>
    </row>
    <row r="1760" spans="1:93" s="1391" customFormat="1" ht="15" x14ac:dyDescent="0.2">
      <c r="A1760" s="1684"/>
      <c r="B1760" s="2023"/>
      <c r="C1760" s="2024"/>
      <c r="D1760" s="2024">
        <v>1</v>
      </c>
      <c r="E1760" s="2024">
        <v>2</v>
      </c>
      <c r="F1760" s="2024">
        <v>3</v>
      </c>
      <c r="G1760" s="2024">
        <v>4</v>
      </c>
      <c r="H1760" s="2024">
        <v>5</v>
      </c>
      <c r="I1760" s="2024">
        <v>6</v>
      </c>
      <c r="J1760" s="2024">
        <v>7</v>
      </c>
      <c r="K1760" s="2024">
        <v>8</v>
      </c>
      <c r="L1760" s="2024">
        <v>9</v>
      </c>
      <c r="M1760" s="2025"/>
      <c r="N1760"/>
      <c r="O1760" s="1684"/>
      <c r="P1760" s="1684"/>
      <c r="Q1760" s="1684"/>
      <c r="R1760" s="1684"/>
      <c r="S1760" s="1684"/>
      <c r="T1760" s="1684"/>
      <c r="U1760" s="1684"/>
      <c r="V1760" s="1684"/>
      <c r="W1760" s="1684"/>
      <c r="X1760" s="1684"/>
      <c r="Y1760" s="1684"/>
      <c r="Z1760" s="1684"/>
      <c r="AA1760" s="1684"/>
      <c r="AB1760" s="1684"/>
      <c r="AC1760" s="1684"/>
      <c r="AD1760" s="1684"/>
      <c r="AE1760" s="1684"/>
      <c r="AF1760" s="1684"/>
      <c r="AG1760" s="1684"/>
      <c r="AH1760" s="1684"/>
      <c r="AI1760" s="1684"/>
      <c r="AJ1760" s="1684"/>
      <c r="AK1760" s="1684"/>
      <c r="AL1760" s="1684"/>
      <c r="AM1760" s="1684"/>
      <c r="AN1760" s="1684"/>
      <c r="AO1760" s="1684"/>
      <c r="AP1760" s="1684"/>
      <c r="AQ1760" s="1684"/>
      <c r="AR1760" s="1684"/>
      <c r="AS1760" s="1684"/>
      <c r="AT1760" s="1684"/>
      <c r="AU1760" s="1684"/>
      <c r="AV1760" s="1684"/>
      <c r="AW1760" s="1684"/>
      <c r="AX1760" s="1684"/>
      <c r="AY1760" s="1684"/>
      <c r="AZ1760" s="1684"/>
      <c r="BA1760" s="1684"/>
      <c r="BB1760" s="1684"/>
      <c r="BC1760" s="1684"/>
      <c r="BD1760" s="1684"/>
      <c r="BE1760" s="1684"/>
      <c r="BF1760" s="1684"/>
      <c r="BG1760" s="1684"/>
      <c r="BH1760" s="1684"/>
      <c r="BI1760" s="1684"/>
      <c r="BJ1760" s="1684"/>
      <c r="BK1760" s="1684"/>
      <c r="BL1760" s="1684"/>
      <c r="BM1760" s="1684"/>
      <c r="BN1760" s="1684"/>
      <c r="BO1760" s="1684"/>
      <c r="BP1760" s="1684"/>
      <c r="BQ1760" s="1684"/>
      <c r="BR1760" s="1684"/>
      <c r="BS1760" s="1684"/>
      <c r="BT1760" s="1684"/>
      <c r="BU1760" s="1684"/>
      <c r="BV1760" s="1684"/>
      <c r="BW1760" s="1684"/>
      <c r="BX1760" s="1684"/>
      <c r="BY1760" s="1684"/>
      <c r="BZ1760" s="1684"/>
      <c r="CA1760" s="1684"/>
      <c r="CB1760" s="1684"/>
      <c r="CC1760" s="1684"/>
      <c r="CD1760" s="1684"/>
      <c r="CE1760" s="1684"/>
      <c r="CF1760" s="1684"/>
      <c r="CG1760" s="1684"/>
      <c r="CH1760" s="1684"/>
      <c r="CI1760" s="1684"/>
      <c r="CJ1760" s="1684"/>
      <c r="CK1760" s="1684"/>
      <c r="CL1760" s="1684"/>
      <c r="CM1760" s="1684"/>
      <c r="CN1760" s="1684"/>
      <c r="CO1760" s="1684"/>
    </row>
    <row r="1761" spans="1:93" s="1391" customFormat="1" ht="15" x14ac:dyDescent="0.2">
      <c r="A1761" s="1684"/>
      <c r="B1761" s="2026">
        <v>9</v>
      </c>
      <c r="C1761" s="2027">
        <v>5.4039999999999999</v>
      </c>
      <c r="D1761" s="2027">
        <v>245</v>
      </c>
      <c r="E1761" s="2027">
        <v>267</v>
      </c>
      <c r="F1761" s="2027">
        <v>288</v>
      </c>
      <c r="G1761" s="2027">
        <v>309</v>
      </c>
      <c r="H1761" s="2027">
        <v>331</v>
      </c>
      <c r="I1761" s="2027">
        <v>352</v>
      </c>
      <c r="J1761" s="2027">
        <v>373</v>
      </c>
      <c r="K1761" s="2027">
        <v>395</v>
      </c>
      <c r="L1761" s="2027">
        <v>416</v>
      </c>
      <c r="M1761" s="2028">
        <v>1</v>
      </c>
      <c r="N1761"/>
      <c r="O1761" s="1684"/>
      <c r="P1761" s="1684"/>
      <c r="Q1761" s="1684"/>
      <c r="R1761" s="1684"/>
      <c r="S1761" s="1684"/>
      <c r="T1761" s="1684"/>
      <c r="U1761" s="1684"/>
      <c r="V1761" s="1684"/>
      <c r="W1761" s="1684"/>
      <c r="X1761" s="1684"/>
      <c r="Y1761" s="1684"/>
      <c r="Z1761" s="1684"/>
      <c r="AA1761" s="1684"/>
      <c r="AB1761" s="1684"/>
      <c r="AC1761" s="1684"/>
      <c r="AD1761" s="1684"/>
      <c r="AE1761" s="1684"/>
      <c r="AF1761" s="1684"/>
      <c r="AG1761" s="1684"/>
      <c r="AH1761" s="1684"/>
      <c r="AI1761" s="1684"/>
      <c r="AJ1761" s="1684"/>
      <c r="AK1761" s="1684"/>
      <c r="AL1761" s="1684"/>
      <c r="AM1761" s="1684"/>
      <c r="AN1761" s="1684"/>
      <c r="AO1761" s="1684"/>
      <c r="AP1761" s="1684"/>
      <c r="AQ1761" s="1684"/>
      <c r="AR1761" s="1684"/>
      <c r="AS1761" s="1684"/>
      <c r="AT1761" s="1684"/>
      <c r="AU1761" s="1684"/>
      <c r="AV1761" s="1684"/>
      <c r="AW1761" s="1684"/>
      <c r="AX1761" s="1684"/>
      <c r="AY1761" s="1684"/>
      <c r="AZ1761" s="1684"/>
      <c r="BA1761" s="1684"/>
      <c r="BB1761" s="1684"/>
      <c r="BC1761" s="1684"/>
      <c r="BD1761" s="1684"/>
      <c r="BE1761" s="1684"/>
      <c r="BF1761" s="1684"/>
      <c r="BG1761" s="1684"/>
      <c r="BH1761" s="1684"/>
      <c r="BI1761" s="1684"/>
      <c r="BJ1761" s="1684"/>
      <c r="BK1761" s="1684"/>
      <c r="BL1761" s="1684"/>
      <c r="BM1761" s="1684"/>
      <c r="BN1761" s="1684"/>
      <c r="BO1761" s="1684"/>
      <c r="BP1761" s="1684"/>
      <c r="BQ1761" s="1684"/>
      <c r="BR1761" s="1684"/>
      <c r="BS1761" s="1684"/>
      <c r="BT1761" s="1684"/>
      <c r="BU1761" s="1684"/>
      <c r="BV1761" s="1684"/>
      <c r="BW1761" s="1684"/>
      <c r="BX1761" s="1684"/>
      <c r="BY1761" s="1684"/>
      <c r="BZ1761" s="1684"/>
      <c r="CA1761" s="1684"/>
      <c r="CB1761" s="1684"/>
      <c r="CC1761" s="1684"/>
      <c r="CD1761" s="1684"/>
      <c r="CE1761" s="1684"/>
      <c r="CF1761" s="1684"/>
      <c r="CG1761" s="1684"/>
      <c r="CH1761" s="1684"/>
      <c r="CI1761" s="1684"/>
      <c r="CJ1761" s="1684"/>
      <c r="CK1761" s="1684"/>
      <c r="CL1761" s="1684"/>
      <c r="CM1761" s="1684"/>
      <c r="CN1761" s="1684"/>
      <c r="CO1761" s="1684"/>
    </row>
    <row r="1762" spans="1:93" s="1391" customFormat="1" ht="15" x14ac:dyDescent="0.2">
      <c r="A1762" s="1684"/>
      <c r="B1762" s="2026">
        <v>10</v>
      </c>
      <c r="C1762" s="2027">
        <v>5.827</v>
      </c>
      <c r="D1762" s="2027">
        <v>277</v>
      </c>
      <c r="E1762" s="2027">
        <v>301</v>
      </c>
      <c r="F1762" s="2027">
        <v>325</v>
      </c>
      <c r="G1762" s="2027">
        <v>349</v>
      </c>
      <c r="H1762" s="2027">
        <v>373</v>
      </c>
      <c r="I1762" s="2027">
        <v>398</v>
      </c>
      <c r="J1762" s="2027">
        <v>421</v>
      </c>
      <c r="K1762" s="2027">
        <v>445</v>
      </c>
      <c r="L1762" s="2027">
        <v>469</v>
      </c>
      <c r="M1762" s="2028">
        <v>2</v>
      </c>
      <c r="N1762"/>
      <c r="O1762" s="1684"/>
      <c r="P1762" s="1684"/>
      <c r="Q1762" s="1684"/>
      <c r="R1762" s="1684"/>
      <c r="S1762" s="1684"/>
      <c r="T1762" s="1684"/>
      <c r="U1762" s="1684"/>
      <c r="V1762" s="1684"/>
      <c r="W1762" s="1684"/>
      <c r="X1762" s="1684"/>
      <c r="Y1762" s="1684"/>
      <c r="Z1762" s="1684"/>
      <c r="AA1762" s="1684"/>
      <c r="AB1762" s="1684"/>
      <c r="AC1762" s="1684"/>
      <c r="AD1762" s="1684"/>
      <c r="AE1762" s="1684"/>
      <c r="AF1762" s="1684"/>
      <c r="AG1762" s="1684"/>
      <c r="AH1762" s="1684"/>
      <c r="AI1762" s="1684"/>
      <c r="AJ1762" s="1684"/>
      <c r="AK1762" s="1684"/>
      <c r="AL1762" s="1684"/>
      <c r="AM1762" s="1684"/>
      <c r="AN1762" s="1684"/>
      <c r="AO1762" s="1684"/>
      <c r="AP1762" s="1684"/>
      <c r="AQ1762" s="1684"/>
      <c r="AR1762" s="1684"/>
      <c r="AS1762" s="1684"/>
      <c r="AT1762" s="1684"/>
      <c r="AU1762" s="1684"/>
      <c r="AV1762" s="1684"/>
      <c r="AW1762" s="1684"/>
      <c r="AX1762" s="1684"/>
      <c r="AY1762" s="1684"/>
      <c r="AZ1762" s="1684"/>
      <c r="BA1762" s="1684"/>
      <c r="BB1762" s="1684"/>
      <c r="BC1762" s="1684"/>
      <c r="BD1762" s="1684"/>
      <c r="BE1762" s="1684"/>
      <c r="BF1762" s="1684"/>
      <c r="BG1762" s="1684"/>
      <c r="BH1762" s="1684"/>
      <c r="BI1762" s="1684"/>
      <c r="BJ1762" s="1684"/>
      <c r="BK1762" s="1684"/>
      <c r="BL1762" s="1684"/>
      <c r="BM1762" s="1684"/>
      <c r="BN1762" s="1684"/>
      <c r="BO1762" s="1684"/>
      <c r="BP1762" s="1684"/>
      <c r="BQ1762" s="1684"/>
      <c r="BR1762" s="1684"/>
      <c r="BS1762" s="1684"/>
      <c r="BT1762" s="1684"/>
      <c r="BU1762" s="1684"/>
      <c r="BV1762" s="1684"/>
      <c r="BW1762" s="1684"/>
      <c r="BX1762" s="1684"/>
      <c r="BY1762" s="1684"/>
      <c r="BZ1762" s="1684"/>
      <c r="CA1762" s="1684"/>
      <c r="CB1762" s="1684"/>
      <c r="CC1762" s="1684"/>
      <c r="CD1762" s="1684"/>
      <c r="CE1762" s="1684"/>
      <c r="CF1762" s="1684"/>
      <c r="CG1762" s="1684"/>
      <c r="CH1762" s="1684"/>
      <c r="CI1762" s="1684"/>
      <c r="CJ1762" s="1684"/>
      <c r="CK1762" s="1684"/>
      <c r="CL1762" s="1684"/>
      <c r="CM1762" s="1684"/>
      <c r="CN1762" s="1684"/>
      <c r="CO1762" s="1684"/>
    </row>
    <row r="1763" spans="1:93" s="1391" customFormat="1" ht="15" x14ac:dyDescent="0.2">
      <c r="A1763" s="1684"/>
      <c r="B1763" s="2026">
        <v>11</v>
      </c>
      <c r="C1763" s="2027">
        <v>6.3319999999999999</v>
      </c>
      <c r="D1763" s="2027">
        <v>314</v>
      </c>
      <c r="E1763" s="2027">
        <v>342</v>
      </c>
      <c r="F1763" s="2027">
        <v>369</v>
      </c>
      <c r="G1763" s="2027">
        <v>397</v>
      </c>
      <c r="H1763" s="2027">
        <v>424</v>
      </c>
      <c r="I1763" s="2027">
        <v>452</v>
      </c>
      <c r="J1763" s="2027">
        <v>479</v>
      </c>
      <c r="K1763" s="2027">
        <v>506</v>
      </c>
      <c r="L1763" s="2027">
        <v>533</v>
      </c>
      <c r="M1763" s="2028">
        <v>3</v>
      </c>
      <c r="N1763"/>
      <c r="O1763" s="1684"/>
      <c r="P1763" s="1684"/>
      <c r="Q1763" s="1684"/>
      <c r="R1763" s="1684"/>
      <c r="S1763" s="1684"/>
      <c r="T1763" s="1684"/>
      <c r="U1763" s="1684"/>
      <c r="V1763" s="1684"/>
      <c r="W1763" s="1684"/>
      <c r="X1763" s="1684"/>
      <c r="Y1763" s="1684"/>
      <c r="Z1763" s="1684"/>
      <c r="AA1763" s="1684"/>
      <c r="AB1763" s="1684"/>
      <c r="AC1763" s="1684"/>
      <c r="AD1763" s="1684"/>
      <c r="AE1763" s="1684"/>
      <c r="AF1763" s="1684"/>
      <c r="AG1763" s="1684"/>
      <c r="AH1763" s="1684"/>
      <c r="AI1763" s="1684"/>
      <c r="AJ1763" s="1684"/>
      <c r="AK1763" s="1684"/>
      <c r="AL1763" s="1684"/>
      <c r="AM1763" s="1684"/>
      <c r="AN1763" s="1684"/>
      <c r="AO1763" s="1684"/>
      <c r="AP1763" s="1684"/>
      <c r="AQ1763" s="1684"/>
      <c r="AR1763" s="1684"/>
      <c r="AS1763" s="1684"/>
      <c r="AT1763" s="1684"/>
      <c r="AU1763" s="1684"/>
      <c r="AV1763" s="1684"/>
      <c r="AW1763" s="1684"/>
      <c r="AX1763" s="1684"/>
      <c r="AY1763" s="1684"/>
      <c r="AZ1763" s="1684"/>
      <c r="BA1763" s="1684"/>
      <c r="BB1763" s="1684"/>
      <c r="BC1763" s="1684"/>
      <c r="BD1763" s="1684"/>
      <c r="BE1763" s="1684"/>
      <c r="BF1763" s="1684"/>
      <c r="BG1763" s="1684"/>
      <c r="BH1763" s="1684"/>
      <c r="BI1763" s="1684"/>
      <c r="BJ1763" s="1684"/>
      <c r="BK1763" s="1684"/>
      <c r="BL1763" s="1684"/>
      <c r="BM1763" s="1684"/>
      <c r="BN1763" s="1684"/>
      <c r="BO1763" s="1684"/>
      <c r="BP1763" s="1684"/>
      <c r="BQ1763" s="1684"/>
      <c r="BR1763" s="1684"/>
      <c r="BS1763" s="1684"/>
      <c r="BT1763" s="1684"/>
      <c r="BU1763" s="1684"/>
      <c r="BV1763" s="1684"/>
      <c r="BW1763" s="1684"/>
      <c r="BX1763" s="1684"/>
      <c r="BY1763" s="1684"/>
      <c r="BZ1763" s="1684"/>
      <c r="CA1763" s="1684"/>
      <c r="CB1763" s="1684"/>
      <c r="CC1763" s="1684"/>
      <c r="CD1763" s="1684"/>
      <c r="CE1763" s="1684"/>
      <c r="CF1763" s="1684"/>
      <c r="CG1763" s="1684"/>
      <c r="CH1763" s="1684"/>
      <c r="CI1763" s="1684"/>
      <c r="CJ1763" s="1684"/>
      <c r="CK1763" s="1684"/>
      <c r="CL1763" s="1684"/>
      <c r="CM1763" s="1684"/>
      <c r="CN1763" s="1684"/>
      <c r="CO1763" s="1684"/>
    </row>
    <row r="1764" spans="1:93" s="1391" customFormat="1" ht="15" x14ac:dyDescent="0.2">
      <c r="A1764" s="1684"/>
      <c r="B1764" s="2026">
        <v>12</v>
      </c>
      <c r="C1764" s="2027">
        <v>6.9009999999999998</v>
      </c>
      <c r="D1764" s="2027">
        <v>357</v>
      </c>
      <c r="E1764" s="2027">
        <v>388</v>
      </c>
      <c r="F1764" s="2027">
        <v>419</v>
      </c>
      <c r="G1764" s="2027">
        <v>450</v>
      </c>
      <c r="H1764" s="2027">
        <v>481</v>
      </c>
      <c r="I1764" s="2027">
        <v>512</v>
      </c>
      <c r="J1764" s="2027">
        <v>543</v>
      </c>
      <c r="K1764" s="2027">
        <v>574</v>
      </c>
      <c r="L1764" s="2027">
        <v>605</v>
      </c>
      <c r="M1764" s="2028">
        <v>4</v>
      </c>
      <c r="N1764"/>
      <c r="O1764" s="1684"/>
      <c r="P1764" s="1684"/>
      <c r="Q1764" s="1684"/>
      <c r="R1764" s="1684"/>
      <c r="S1764" s="1684"/>
      <c r="T1764" s="1684"/>
      <c r="U1764" s="1684"/>
      <c r="V1764" s="1684"/>
      <c r="W1764" s="1684"/>
      <c r="X1764" s="1684"/>
      <c r="Y1764" s="1684"/>
      <c r="Z1764" s="1684"/>
      <c r="AA1764" s="1684"/>
      <c r="AB1764" s="1684"/>
      <c r="AC1764" s="1684"/>
      <c r="AD1764" s="1684"/>
      <c r="AE1764" s="1684"/>
      <c r="AF1764" s="1684"/>
      <c r="AG1764" s="1684"/>
      <c r="AH1764" s="1684"/>
      <c r="AI1764" s="1684"/>
      <c r="AJ1764" s="1684"/>
      <c r="AK1764" s="1684"/>
      <c r="AL1764" s="1684"/>
      <c r="AM1764" s="1684"/>
      <c r="AN1764" s="1684"/>
      <c r="AO1764" s="1684"/>
      <c r="AP1764" s="1684"/>
      <c r="AQ1764" s="1684"/>
      <c r="AR1764" s="1684"/>
      <c r="AS1764" s="1684"/>
      <c r="AT1764" s="1684"/>
      <c r="AU1764" s="1684"/>
      <c r="AV1764" s="1684"/>
      <c r="AW1764" s="1684"/>
      <c r="AX1764" s="1684"/>
      <c r="AY1764" s="1684"/>
      <c r="AZ1764" s="1684"/>
      <c r="BA1764" s="1684"/>
      <c r="BB1764" s="1684"/>
      <c r="BC1764" s="1684"/>
      <c r="BD1764" s="1684"/>
      <c r="BE1764" s="1684"/>
      <c r="BF1764" s="1684"/>
      <c r="BG1764" s="1684"/>
      <c r="BH1764" s="1684"/>
      <c r="BI1764" s="1684"/>
      <c r="BJ1764" s="1684"/>
      <c r="BK1764" s="1684"/>
      <c r="BL1764" s="1684"/>
      <c r="BM1764" s="1684"/>
      <c r="BN1764" s="1684"/>
      <c r="BO1764" s="1684"/>
      <c r="BP1764" s="1684"/>
      <c r="BQ1764" s="1684"/>
      <c r="BR1764" s="1684"/>
      <c r="BS1764" s="1684"/>
      <c r="BT1764" s="1684"/>
      <c r="BU1764" s="1684"/>
      <c r="BV1764" s="1684"/>
      <c r="BW1764" s="1684"/>
      <c r="BX1764" s="1684"/>
      <c r="BY1764" s="1684"/>
      <c r="BZ1764" s="1684"/>
      <c r="CA1764" s="1684"/>
      <c r="CB1764" s="1684"/>
      <c r="CC1764" s="1684"/>
      <c r="CD1764" s="1684"/>
      <c r="CE1764" s="1684"/>
      <c r="CF1764" s="1684"/>
      <c r="CG1764" s="1684"/>
      <c r="CH1764" s="1684"/>
      <c r="CI1764" s="1684"/>
      <c r="CJ1764" s="1684"/>
      <c r="CK1764" s="1684"/>
      <c r="CL1764" s="1684"/>
      <c r="CM1764" s="1684"/>
      <c r="CN1764" s="1684"/>
      <c r="CO1764" s="1684"/>
    </row>
    <row r="1765" spans="1:93" s="1391" customFormat="1" ht="15" x14ac:dyDescent="0.2">
      <c r="A1765" s="1684"/>
      <c r="B1765" s="2026">
        <v>13</v>
      </c>
      <c r="C1765" s="2027">
        <v>4.5250000000000004</v>
      </c>
      <c r="D1765" s="2027">
        <v>402</v>
      </c>
      <c r="E1765" s="2027">
        <v>437</v>
      </c>
      <c r="F1765" s="2027">
        <v>472</v>
      </c>
      <c r="G1765" s="2027">
        <v>507</v>
      </c>
      <c r="H1765" s="2027">
        <v>542</v>
      </c>
      <c r="I1765" s="2027">
        <v>578</v>
      </c>
      <c r="J1765" s="2027">
        <v>612</v>
      </c>
      <c r="K1765" s="2027">
        <v>647</v>
      </c>
      <c r="L1765" s="2027">
        <v>682</v>
      </c>
      <c r="M1765" s="2028">
        <v>5</v>
      </c>
      <c r="N1765"/>
      <c r="O1765" s="1684"/>
      <c r="P1765" s="1684"/>
      <c r="Q1765" s="1684"/>
      <c r="R1765" s="1684"/>
      <c r="S1765" s="1684"/>
      <c r="T1765" s="1684"/>
      <c r="U1765" s="1684"/>
      <c r="V1765" s="1684"/>
      <c r="W1765" s="1684"/>
      <c r="X1765" s="1684"/>
      <c r="Y1765" s="1684"/>
      <c r="Z1765" s="1684"/>
      <c r="AA1765" s="1684"/>
      <c r="AB1765" s="1684"/>
      <c r="AC1765" s="1684"/>
      <c r="AD1765" s="1684"/>
      <c r="AE1765" s="1684"/>
      <c r="AF1765" s="1684"/>
      <c r="AG1765" s="1684"/>
      <c r="AH1765" s="1684"/>
      <c r="AI1765" s="1684"/>
      <c r="AJ1765" s="1684"/>
      <c r="AK1765" s="1684"/>
      <c r="AL1765" s="1684"/>
      <c r="AM1765" s="1684"/>
      <c r="AN1765" s="1684"/>
      <c r="AO1765" s="1684"/>
      <c r="AP1765" s="1684"/>
      <c r="AQ1765" s="1684"/>
      <c r="AR1765" s="1684"/>
      <c r="AS1765" s="1684"/>
      <c r="AT1765" s="1684"/>
      <c r="AU1765" s="1684"/>
      <c r="AV1765" s="1684"/>
      <c r="AW1765" s="1684"/>
      <c r="AX1765" s="1684"/>
      <c r="AY1765" s="1684"/>
      <c r="AZ1765" s="1684"/>
      <c r="BA1765" s="1684"/>
      <c r="BB1765" s="1684"/>
      <c r="BC1765" s="1684"/>
      <c r="BD1765" s="1684"/>
      <c r="BE1765" s="1684"/>
      <c r="BF1765" s="1684"/>
      <c r="BG1765" s="1684"/>
      <c r="BH1765" s="1684"/>
      <c r="BI1765" s="1684"/>
      <c r="BJ1765" s="1684"/>
      <c r="BK1765" s="1684"/>
      <c r="BL1765" s="1684"/>
      <c r="BM1765" s="1684"/>
      <c r="BN1765" s="1684"/>
      <c r="BO1765" s="1684"/>
      <c r="BP1765" s="1684"/>
      <c r="BQ1765" s="1684"/>
      <c r="BR1765" s="1684"/>
      <c r="BS1765" s="1684"/>
      <c r="BT1765" s="1684"/>
      <c r="BU1765" s="1684"/>
      <c r="BV1765" s="1684"/>
      <c r="BW1765" s="1684"/>
      <c r="BX1765" s="1684"/>
      <c r="BY1765" s="1684"/>
      <c r="BZ1765" s="1684"/>
      <c r="CA1765" s="1684"/>
      <c r="CB1765" s="1684"/>
      <c r="CC1765" s="1684"/>
      <c r="CD1765" s="1684"/>
      <c r="CE1765" s="1684"/>
      <c r="CF1765" s="1684"/>
      <c r="CG1765" s="1684"/>
      <c r="CH1765" s="1684"/>
      <c r="CI1765" s="1684"/>
      <c r="CJ1765" s="1684"/>
      <c r="CK1765" s="1684"/>
      <c r="CL1765" s="1684"/>
      <c r="CM1765" s="1684"/>
      <c r="CN1765" s="1684"/>
      <c r="CO1765" s="1684"/>
    </row>
    <row r="1766" spans="1:93" s="1391" customFormat="1" ht="15" x14ac:dyDescent="0.2">
      <c r="A1766" s="1684"/>
      <c r="B1766" s="2026">
        <v>14</v>
      </c>
      <c r="C1766" s="2027">
        <v>8.2430000000000003</v>
      </c>
      <c r="D1766" s="2027">
        <v>453</v>
      </c>
      <c r="E1766" s="2027">
        <v>493</v>
      </c>
      <c r="F1766" s="2027">
        <v>532</v>
      </c>
      <c r="G1766" s="2027">
        <v>572</v>
      </c>
      <c r="H1766" s="2027">
        <v>611</v>
      </c>
      <c r="I1766" s="2027">
        <v>651</v>
      </c>
      <c r="J1766" s="2027">
        <v>690</v>
      </c>
      <c r="K1766" s="2027">
        <v>729</v>
      </c>
      <c r="L1766" s="2027">
        <v>769</v>
      </c>
      <c r="M1766" s="2028">
        <v>6</v>
      </c>
      <c r="N1766"/>
      <c r="O1766" s="1684"/>
      <c r="P1766" s="1684"/>
      <c r="Q1766" s="1684"/>
      <c r="R1766" s="1684"/>
      <c r="S1766" s="1684"/>
      <c r="T1766" s="1684"/>
      <c r="U1766" s="1684"/>
      <c r="V1766" s="1684"/>
      <c r="W1766" s="1684"/>
      <c r="X1766" s="1684"/>
      <c r="Y1766" s="1684"/>
      <c r="Z1766" s="1684"/>
      <c r="AA1766" s="1684"/>
      <c r="AB1766" s="1684"/>
      <c r="AC1766" s="1684"/>
      <c r="AD1766" s="1684"/>
      <c r="AE1766" s="1684"/>
      <c r="AF1766" s="1684"/>
      <c r="AG1766" s="1684"/>
      <c r="AH1766" s="1684"/>
      <c r="AI1766" s="1684"/>
      <c r="AJ1766" s="1684"/>
      <c r="AK1766" s="1684"/>
      <c r="AL1766" s="1684"/>
      <c r="AM1766" s="1684"/>
      <c r="AN1766" s="1684"/>
      <c r="AO1766" s="1684"/>
      <c r="AP1766" s="1684"/>
      <c r="AQ1766" s="1684"/>
      <c r="AR1766" s="1684"/>
      <c r="AS1766" s="1684"/>
      <c r="AT1766" s="1684"/>
      <c r="AU1766" s="1684"/>
      <c r="AV1766" s="1684"/>
      <c r="AW1766" s="1684"/>
      <c r="AX1766" s="1684"/>
      <c r="AY1766" s="1684"/>
      <c r="AZ1766" s="1684"/>
      <c r="BA1766" s="1684"/>
      <c r="BB1766" s="1684"/>
      <c r="BC1766" s="1684"/>
      <c r="BD1766" s="1684"/>
      <c r="BE1766" s="1684"/>
      <c r="BF1766" s="1684"/>
      <c r="BG1766" s="1684"/>
      <c r="BH1766" s="1684"/>
      <c r="BI1766" s="1684"/>
      <c r="BJ1766" s="1684"/>
      <c r="BK1766" s="1684"/>
      <c r="BL1766" s="1684"/>
      <c r="BM1766" s="1684"/>
      <c r="BN1766" s="1684"/>
      <c r="BO1766" s="1684"/>
      <c r="BP1766" s="1684"/>
      <c r="BQ1766" s="1684"/>
      <c r="BR1766" s="1684"/>
      <c r="BS1766" s="1684"/>
      <c r="BT1766" s="1684"/>
      <c r="BU1766" s="1684"/>
      <c r="BV1766" s="1684"/>
      <c r="BW1766" s="1684"/>
      <c r="BX1766" s="1684"/>
      <c r="BY1766" s="1684"/>
      <c r="BZ1766" s="1684"/>
      <c r="CA1766" s="1684"/>
      <c r="CB1766" s="1684"/>
      <c r="CC1766" s="1684"/>
      <c r="CD1766" s="1684"/>
      <c r="CE1766" s="1684"/>
      <c r="CF1766" s="1684"/>
      <c r="CG1766" s="1684"/>
      <c r="CH1766" s="1684"/>
      <c r="CI1766" s="1684"/>
      <c r="CJ1766" s="1684"/>
      <c r="CK1766" s="1684"/>
      <c r="CL1766" s="1684"/>
      <c r="CM1766" s="1684"/>
      <c r="CN1766" s="1684"/>
      <c r="CO1766" s="1684"/>
    </row>
    <row r="1767" spans="1:93" s="1391" customFormat="1" ht="15" x14ac:dyDescent="0.2">
      <c r="A1767" s="1684"/>
      <c r="B1767" s="2026">
        <v>15</v>
      </c>
      <c r="C1767" s="2027">
        <v>9.0489999999999995</v>
      </c>
      <c r="D1767" s="2027">
        <v>511</v>
      </c>
      <c r="E1767" s="2027">
        <v>556</v>
      </c>
      <c r="F1767" s="2027">
        <v>600</v>
      </c>
      <c r="G1767" s="2027">
        <v>645</v>
      </c>
      <c r="H1767" s="2027">
        <v>689</v>
      </c>
      <c r="I1767" s="2027">
        <v>734</v>
      </c>
      <c r="J1767" s="2027">
        <v>778</v>
      </c>
      <c r="K1767" s="2027">
        <v>822</v>
      </c>
      <c r="L1767" s="2027">
        <v>867</v>
      </c>
      <c r="M1767" s="2028">
        <v>7</v>
      </c>
      <c r="N1767"/>
      <c r="O1767" s="1684"/>
      <c r="P1767" s="1684"/>
      <c r="Q1767" s="1684"/>
      <c r="R1767" s="1684"/>
      <c r="S1767" s="1684"/>
      <c r="T1767" s="1684"/>
      <c r="U1767" s="1684"/>
      <c r="V1767" s="1684"/>
      <c r="W1767" s="1684"/>
      <c r="X1767" s="1684"/>
      <c r="Y1767" s="1684"/>
      <c r="Z1767" s="1684"/>
      <c r="AA1767" s="1684"/>
      <c r="AB1767" s="1684"/>
      <c r="AC1767" s="1684"/>
      <c r="AD1767" s="1684"/>
      <c r="AE1767" s="1684"/>
      <c r="AF1767" s="1684"/>
      <c r="AG1767" s="1684"/>
      <c r="AH1767" s="1684"/>
      <c r="AI1767" s="1684"/>
      <c r="AJ1767" s="1684"/>
      <c r="AK1767" s="1684"/>
      <c r="AL1767" s="1684"/>
      <c r="AM1767" s="1684"/>
      <c r="AN1767" s="1684"/>
      <c r="AO1767" s="1684"/>
      <c r="AP1767" s="1684"/>
      <c r="AQ1767" s="1684"/>
      <c r="AR1767" s="1684"/>
      <c r="AS1767" s="1684"/>
      <c r="AT1767" s="1684"/>
      <c r="AU1767" s="1684"/>
      <c r="AV1767" s="1684"/>
      <c r="AW1767" s="1684"/>
      <c r="AX1767" s="1684"/>
      <c r="AY1767" s="1684"/>
      <c r="AZ1767" s="1684"/>
      <c r="BA1767" s="1684"/>
      <c r="BB1767" s="1684"/>
      <c r="BC1767" s="1684"/>
      <c r="BD1767" s="1684"/>
      <c r="BE1767" s="1684"/>
      <c r="BF1767" s="1684"/>
      <c r="BG1767" s="1684"/>
      <c r="BH1767" s="1684"/>
      <c r="BI1767" s="1684"/>
      <c r="BJ1767" s="1684"/>
      <c r="BK1767" s="1684"/>
      <c r="BL1767" s="1684"/>
      <c r="BM1767" s="1684"/>
      <c r="BN1767" s="1684"/>
      <c r="BO1767" s="1684"/>
      <c r="BP1767" s="1684"/>
      <c r="BQ1767" s="1684"/>
      <c r="BR1767" s="1684"/>
      <c r="BS1767" s="1684"/>
      <c r="BT1767" s="1684"/>
      <c r="BU1767" s="1684"/>
      <c r="BV1767" s="1684"/>
      <c r="BW1767" s="1684"/>
      <c r="BX1767" s="1684"/>
      <c r="BY1767" s="1684"/>
      <c r="BZ1767" s="1684"/>
      <c r="CA1767" s="1684"/>
      <c r="CB1767" s="1684"/>
      <c r="CC1767" s="1684"/>
      <c r="CD1767" s="1684"/>
      <c r="CE1767" s="1684"/>
      <c r="CF1767" s="1684"/>
      <c r="CG1767" s="1684"/>
      <c r="CH1767" s="1684"/>
      <c r="CI1767" s="1684"/>
      <c r="CJ1767" s="1684"/>
      <c r="CK1767" s="1684"/>
      <c r="CL1767" s="1684"/>
      <c r="CM1767" s="1684"/>
      <c r="CN1767" s="1684"/>
      <c r="CO1767" s="1684"/>
    </row>
    <row r="1768" spans="1:93" s="1391" customFormat="1" ht="15" x14ac:dyDescent="0.2">
      <c r="A1768" s="1684"/>
      <c r="B1768" s="2026">
        <v>16</v>
      </c>
      <c r="C1768" s="2027">
        <v>9.9160000000000004</v>
      </c>
      <c r="D1768" s="2027">
        <v>572</v>
      </c>
      <c r="E1768" s="2027">
        <v>622</v>
      </c>
      <c r="F1768" s="2027">
        <v>671</v>
      </c>
      <c r="G1768" s="2027">
        <v>721</v>
      </c>
      <c r="H1768" s="2027">
        <v>771</v>
      </c>
      <c r="I1768" s="2027">
        <v>822</v>
      </c>
      <c r="J1768" s="2027">
        <v>870</v>
      </c>
      <c r="K1768" s="2027">
        <v>920</v>
      </c>
      <c r="L1768" s="2027">
        <v>970</v>
      </c>
      <c r="M1768" s="2028">
        <v>8</v>
      </c>
      <c r="N1768"/>
      <c r="O1768" s="1684"/>
      <c r="P1768" s="1684"/>
      <c r="Q1768" s="1684"/>
      <c r="R1768" s="1684"/>
      <c r="S1768" s="1684"/>
      <c r="T1768" s="1684"/>
      <c r="U1768" s="1684"/>
      <c r="V1768" s="1684"/>
      <c r="W1768" s="1684"/>
      <c r="X1768" s="1684"/>
      <c r="Y1768" s="1684"/>
      <c r="Z1768" s="1684"/>
      <c r="AA1768" s="1684"/>
      <c r="AB1768" s="1684"/>
      <c r="AC1768" s="1684"/>
      <c r="AD1768" s="1684"/>
      <c r="AE1768" s="1684"/>
      <c r="AF1768" s="1684"/>
      <c r="AG1768" s="1684"/>
      <c r="AH1768" s="1684"/>
      <c r="AI1768" s="1684"/>
      <c r="AJ1768" s="1684"/>
      <c r="AK1768" s="1684"/>
      <c r="AL1768" s="1684"/>
      <c r="AM1768" s="1684"/>
      <c r="AN1768" s="1684"/>
      <c r="AO1768" s="1684"/>
      <c r="AP1768" s="1684"/>
      <c r="AQ1768" s="1684"/>
      <c r="AR1768" s="1684"/>
      <c r="AS1768" s="1684"/>
      <c r="AT1768" s="1684"/>
      <c r="AU1768" s="1684"/>
      <c r="AV1768" s="1684"/>
      <c r="AW1768" s="1684"/>
      <c r="AX1768" s="1684"/>
      <c r="AY1768" s="1684"/>
      <c r="AZ1768" s="1684"/>
      <c r="BA1768" s="1684"/>
      <c r="BB1768" s="1684"/>
      <c r="BC1768" s="1684"/>
      <c r="BD1768" s="1684"/>
      <c r="BE1768" s="1684"/>
      <c r="BF1768" s="1684"/>
      <c r="BG1768" s="1684"/>
      <c r="BH1768" s="1684"/>
      <c r="BI1768" s="1684"/>
      <c r="BJ1768" s="1684"/>
      <c r="BK1768" s="1684"/>
      <c r="BL1768" s="1684"/>
      <c r="BM1768" s="1684"/>
      <c r="BN1768" s="1684"/>
      <c r="BO1768" s="1684"/>
      <c r="BP1768" s="1684"/>
      <c r="BQ1768" s="1684"/>
      <c r="BR1768" s="1684"/>
      <c r="BS1768" s="1684"/>
      <c r="BT1768" s="1684"/>
      <c r="BU1768" s="1684"/>
      <c r="BV1768" s="1684"/>
      <c r="BW1768" s="1684"/>
      <c r="BX1768" s="1684"/>
      <c r="BY1768" s="1684"/>
      <c r="BZ1768" s="1684"/>
      <c r="CA1768" s="1684"/>
      <c r="CB1768" s="1684"/>
      <c r="CC1768" s="1684"/>
      <c r="CD1768" s="1684"/>
      <c r="CE1768" s="1684"/>
      <c r="CF1768" s="1684"/>
      <c r="CG1768" s="1684"/>
      <c r="CH1768" s="1684"/>
      <c r="CI1768" s="1684"/>
      <c r="CJ1768" s="1684"/>
      <c r="CK1768" s="1684"/>
      <c r="CL1768" s="1684"/>
      <c r="CM1768" s="1684"/>
      <c r="CN1768" s="1684"/>
      <c r="CO1768" s="1684"/>
    </row>
    <row r="1769" spans="1:93" s="1391" customFormat="1" ht="15" x14ac:dyDescent="0.2">
      <c r="A1769" s="1684"/>
      <c r="B1769" s="4716" t="s">
        <v>1053</v>
      </c>
      <c r="C1769" s="4711"/>
      <c r="D1769" s="4711"/>
      <c r="E1769" s="4711"/>
      <c r="F1769" s="4711"/>
      <c r="G1769" s="4711"/>
      <c r="H1769" s="4711"/>
      <c r="I1769" s="4711"/>
      <c r="J1769" s="4711"/>
      <c r="K1769" s="4711"/>
      <c r="L1769" s="4711"/>
      <c r="M1769" s="4717"/>
      <c r="N1769"/>
      <c r="O1769" s="1684"/>
      <c r="P1769" s="1684"/>
      <c r="Q1769" s="1684"/>
      <c r="R1769" s="1684"/>
      <c r="S1769" s="1684"/>
      <c r="T1769" s="1684"/>
      <c r="U1769" s="1684"/>
      <c r="V1769" s="1684"/>
      <c r="W1769" s="1684"/>
      <c r="X1769" s="1684"/>
      <c r="Y1769" s="1684"/>
      <c r="Z1769" s="1684"/>
      <c r="AA1769" s="1684"/>
      <c r="AB1769" s="1684"/>
      <c r="AC1769" s="1684"/>
      <c r="AD1769" s="1684"/>
      <c r="AE1769" s="1684"/>
      <c r="AF1769" s="1684"/>
      <c r="AG1769" s="1684"/>
      <c r="AH1769" s="1684"/>
      <c r="AI1769" s="1684"/>
      <c r="AJ1769" s="1684"/>
      <c r="AK1769" s="1684"/>
      <c r="AL1769" s="1684"/>
      <c r="AM1769" s="1684"/>
      <c r="AN1769" s="1684"/>
      <c r="AO1769" s="1684"/>
      <c r="AP1769" s="1684"/>
      <c r="AQ1769" s="1684"/>
      <c r="AR1769" s="1684"/>
      <c r="AS1769" s="1684"/>
      <c r="AT1769" s="1684"/>
      <c r="AU1769" s="1684"/>
      <c r="AV1769" s="1684"/>
      <c r="AW1769" s="1684"/>
      <c r="AX1769" s="1684"/>
      <c r="AY1769" s="1684"/>
      <c r="AZ1769" s="1684"/>
      <c r="BA1769" s="1684"/>
      <c r="BB1769" s="1684"/>
      <c r="BC1769" s="1684"/>
      <c r="BD1769" s="1684"/>
      <c r="BE1769" s="1684"/>
      <c r="BF1769" s="1684"/>
      <c r="BG1769" s="1684"/>
      <c r="BH1769" s="1684"/>
      <c r="BI1769" s="1684"/>
      <c r="BJ1769" s="1684"/>
      <c r="BK1769" s="1684"/>
      <c r="BL1769" s="1684"/>
      <c r="BM1769" s="1684"/>
      <c r="BN1769" s="1684"/>
      <c r="BO1769" s="1684"/>
      <c r="BP1769" s="1684"/>
      <c r="BQ1769" s="1684"/>
      <c r="BR1769" s="1684"/>
      <c r="BS1769" s="1684"/>
      <c r="BT1769" s="1684"/>
      <c r="BU1769" s="1684"/>
      <c r="BV1769" s="1684"/>
      <c r="BW1769" s="1684"/>
      <c r="BX1769" s="1684"/>
      <c r="BY1769" s="1684"/>
      <c r="BZ1769" s="1684"/>
      <c r="CA1769" s="1684"/>
      <c r="CB1769" s="1684"/>
      <c r="CC1769" s="1684"/>
      <c r="CD1769" s="1684"/>
      <c r="CE1769" s="1684"/>
      <c r="CF1769" s="1684"/>
      <c r="CG1769" s="1684"/>
      <c r="CH1769" s="1684"/>
      <c r="CI1769" s="1684"/>
      <c r="CJ1769" s="1684"/>
      <c r="CK1769" s="1684"/>
      <c r="CL1769" s="1684"/>
      <c r="CM1769" s="1684"/>
      <c r="CN1769" s="1684"/>
      <c r="CO1769" s="1684"/>
    </row>
    <row r="1770" spans="1:93" s="1391" customFormat="1" ht="15" x14ac:dyDescent="0.2">
      <c r="A1770" s="1684"/>
      <c r="B1770" s="2023"/>
      <c r="C1770" s="2024"/>
      <c r="D1770" s="2024">
        <v>1</v>
      </c>
      <c r="E1770" s="2024">
        <v>2</v>
      </c>
      <c r="F1770" s="2024">
        <v>3</v>
      </c>
      <c r="G1770" s="2024">
        <v>4</v>
      </c>
      <c r="H1770" s="2024">
        <v>5</v>
      </c>
      <c r="I1770" s="2024">
        <v>6</v>
      </c>
      <c r="J1770" s="2024">
        <v>7</v>
      </c>
      <c r="K1770" s="2024">
        <v>8</v>
      </c>
      <c r="L1770" s="2024">
        <v>9</v>
      </c>
      <c r="M1770" s="2025"/>
      <c r="N1770"/>
      <c r="O1770" s="1684"/>
      <c r="P1770" s="1684"/>
      <c r="Q1770" s="1684"/>
      <c r="R1770" s="1684"/>
      <c r="S1770" s="1684"/>
      <c r="T1770" s="1684"/>
      <c r="U1770" s="1684"/>
      <c r="V1770" s="1684"/>
      <c r="W1770" s="1684"/>
      <c r="X1770" s="1684"/>
      <c r="Y1770" s="1684"/>
      <c r="Z1770" s="1684"/>
      <c r="AA1770" s="1684"/>
      <c r="AB1770" s="1684"/>
      <c r="AC1770" s="1684"/>
      <c r="AD1770" s="1684"/>
      <c r="AE1770" s="1684"/>
      <c r="AF1770" s="1684"/>
      <c r="AG1770" s="1684"/>
      <c r="AH1770" s="1684"/>
      <c r="AI1770" s="1684"/>
      <c r="AJ1770" s="1684"/>
      <c r="AK1770" s="1684"/>
      <c r="AL1770" s="1684"/>
      <c r="AM1770" s="1684"/>
      <c r="AN1770" s="1684"/>
      <c r="AO1770" s="1684"/>
      <c r="AP1770" s="1684"/>
      <c r="AQ1770" s="1684"/>
      <c r="AR1770" s="1684"/>
      <c r="AS1770" s="1684"/>
      <c r="AT1770" s="1684"/>
      <c r="AU1770" s="1684"/>
      <c r="AV1770" s="1684"/>
      <c r="AW1770" s="1684"/>
      <c r="AX1770" s="1684"/>
      <c r="AY1770" s="1684"/>
      <c r="AZ1770" s="1684"/>
      <c r="BA1770" s="1684"/>
      <c r="BB1770" s="1684"/>
      <c r="BC1770" s="1684"/>
      <c r="BD1770" s="1684"/>
      <c r="BE1770" s="1684"/>
      <c r="BF1770" s="1684"/>
      <c r="BG1770" s="1684"/>
      <c r="BH1770" s="1684"/>
      <c r="BI1770" s="1684"/>
      <c r="BJ1770" s="1684"/>
      <c r="BK1770" s="1684"/>
      <c r="BL1770" s="1684"/>
      <c r="BM1770" s="1684"/>
      <c r="BN1770" s="1684"/>
      <c r="BO1770" s="1684"/>
      <c r="BP1770" s="1684"/>
      <c r="BQ1770" s="1684"/>
      <c r="BR1770" s="1684"/>
      <c r="BS1770" s="1684"/>
      <c r="BT1770" s="1684"/>
      <c r="BU1770" s="1684"/>
      <c r="BV1770" s="1684"/>
      <c r="BW1770" s="1684"/>
      <c r="BX1770" s="1684"/>
      <c r="BY1770" s="1684"/>
      <c r="BZ1770" s="1684"/>
      <c r="CA1770" s="1684"/>
      <c r="CB1770" s="1684"/>
      <c r="CC1770" s="1684"/>
      <c r="CD1770" s="1684"/>
      <c r="CE1770" s="1684"/>
      <c r="CF1770" s="1684"/>
      <c r="CG1770" s="1684"/>
      <c r="CH1770" s="1684"/>
      <c r="CI1770" s="1684"/>
      <c r="CJ1770" s="1684"/>
      <c r="CK1770" s="1684"/>
      <c r="CL1770" s="1684"/>
      <c r="CM1770" s="1684"/>
      <c r="CN1770" s="1684"/>
      <c r="CO1770" s="1684"/>
    </row>
    <row r="1771" spans="1:93" s="1391" customFormat="1" ht="15" x14ac:dyDescent="0.2">
      <c r="A1771" s="1684"/>
      <c r="B1771" s="2026">
        <v>9</v>
      </c>
      <c r="C1771" s="2027">
        <v>5.4039999999999999</v>
      </c>
      <c r="D1771" s="2027">
        <v>267</v>
      </c>
      <c r="E1771" s="2027">
        <v>290</v>
      </c>
      <c r="F1771" s="2027">
        <v>313</v>
      </c>
      <c r="G1771" s="2027">
        <v>336</v>
      </c>
      <c r="H1771" s="2027">
        <v>359</v>
      </c>
      <c r="I1771" s="2027">
        <v>382</v>
      </c>
      <c r="J1771" s="2027">
        <v>406</v>
      </c>
      <c r="K1771" s="2027">
        <v>429</v>
      </c>
      <c r="L1771" s="2027">
        <v>452</v>
      </c>
      <c r="M1771" s="2028">
        <v>9</v>
      </c>
      <c r="N1771"/>
      <c r="O1771" s="1684"/>
      <c r="P1771" s="1684"/>
      <c r="Q1771" s="1684"/>
      <c r="R1771" s="1684"/>
      <c r="S1771" s="1684"/>
      <c r="T1771" s="1684"/>
      <c r="U1771" s="1684"/>
      <c r="V1771" s="1684"/>
      <c r="W1771" s="1684"/>
      <c r="X1771" s="1684"/>
      <c r="Y1771" s="1684"/>
      <c r="Z1771" s="1684"/>
      <c r="AA1771" s="1684"/>
      <c r="AB1771" s="1684"/>
      <c r="AC1771" s="1684"/>
      <c r="AD1771" s="1684"/>
      <c r="AE1771" s="1684"/>
      <c r="AF1771" s="1684"/>
      <c r="AG1771" s="1684"/>
      <c r="AH1771" s="1684"/>
      <c r="AI1771" s="1684"/>
      <c r="AJ1771" s="1684"/>
      <c r="AK1771" s="1684"/>
      <c r="AL1771" s="1684"/>
      <c r="AM1771" s="1684"/>
      <c r="AN1771" s="1684"/>
      <c r="AO1771" s="1684"/>
      <c r="AP1771" s="1684"/>
      <c r="AQ1771" s="1684"/>
      <c r="AR1771" s="1684"/>
      <c r="AS1771" s="1684"/>
      <c r="AT1771" s="1684"/>
      <c r="AU1771" s="1684"/>
      <c r="AV1771" s="1684"/>
      <c r="AW1771" s="1684"/>
      <c r="AX1771" s="1684"/>
      <c r="AY1771" s="1684"/>
      <c r="AZ1771" s="1684"/>
      <c r="BA1771" s="1684"/>
      <c r="BB1771" s="1684"/>
      <c r="BC1771" s="1684"/>
      <c r="BD1771" s="1684"/>
      <c r="BE1771" s="1684"/>
      <c r="BF1771" s="1684"/>
      <c r="BG1771" s="1684"/>
      <c r="BH1771" s="1684"/>
      <c r="BI1771" s="1684"/>
      <c r="BJ1771" s="1684"/>
      <c r="BK1771" s="1684"/>
      <c r="BL1771" s="1684"/>
      <c r="BM1771" s="1684"/>
      <c r="BN1771" s="1684"/>
      <c r="BO1771" s="1684"/>
      <c r="BP1771" s="1684"/>
      <c r="BQ1771" s="1684"/>
      <c r="BR1771" s="1684"/>
      <c r="BS1771" s="1684"/>
      <c r="BT1771" s="1684"/>
      <c r="BU1771" s="1684"/>
      <c r="BV1771" s="1684"/>
      <c r="BW1771" s="1684"/>
      <c r="BX1771" s="1684"/>
      <c r="BY1771" s="1684"/>
      <c r="BZ1771" s="1684"/>
      <c r="CA1771" s="1684"/>
      <c r="CB1771" s="1684"/>
      <c r="CC1771" s="1684"/>
      <c r="CD1771" s="1684"/>
      <c r="CE1771" s="1684"/>
      <c r="CF1771" s="1684"/>
      <c r="CG1771" s="1684"/>
      <c r="CH1771" s="1684"/>
      <c r="CI1771" s="1684"/>
      <c r="CJ1771" s="1684"/>
      <c r="CK1771" s="1684"/>
      <c r="CL1771" s="1684"/>
      <c r="CM1771" s="1684"/>
      <c r="CN1771" s="1684"/>
      <c r="CO1771" s="1684"/>
    </row>
    <row r="1772" spans="1:93" s="1391" customFormat="1" ht="15" x14ac:dyDescent="0.2">
      <c r="A1772" s="1684"/>
      <c r="B1772" s="2026">
        <v>10</v>
      </c>
      <c r="C1772" s="2027">
        <v>5.827</v>
      </c>
      <c r="D1772" s="2027">
        <v>302</v>
      </c>
      <c r="E1772" s="2027">
        <v>328</v>
      </c>
      <c r="F1772" s="2027">
        <v>354</v>
      </c>
      <c r="G1772" s="2027">
        <v>381</v>
      </c>
      <c r="H1772" s="2027">
        <v>407</v>
      </c>
      <c r="I1772" s="2027">
        <v>433</v>
      </c>
      <c r="J1772" s="2027">
        <v>459</v>
      </c>
      <c r="K1772" s="2027">
        <v>486</v>
      </c>
      <c r="L1772" s="2027">
        <v>512</v>
      </c>
      <c r="M1772" s="2028">
        <v>10</v>
      </c>
      <c r="N1772"/>
      <c r="O1772" s="1684"/>
      <c r="P1772" s="1684"/>
      <c r="Q1772" s="1684"/>
      <c r="R1772" s="1684"/>
      <c r="S1772" s="1684"/>
      <c r="T1772" s="1684"/>
      <c r="U1772" s="1684"/>
      <c r="V1772" s="1684"/>
      <c r="W1772" s="1684"/>
      <c r="X1772" s="1684"/>
      <c r="Y1772" s="1684"/>
      <c r="Z1772" s="1684"/>
      <c r="AA1772" s="1684"/>
      <c r="AB1772" s="1684"/>
      <c r="AC1772" s="1684"/>
      <c r="AD1772" s="1684"/>
      <c r="AE1772" s="1684"/>
      <c r="AF1772" s="1684"/>
      <c r="AG1772" s="1684"/>
      <c r="AH1772" s="1684"/>
      <c r="AI1772" s="1684"/>
      <c r="AJ1772" s="1684"/>
      <c r="AK1772" s="1684"/>
      <c r="AL1772" s="1684"/>
      <c r="AM1772" s="1684"/>
      <c r="AN1772" s="1684"/>
      <c r="AO1772" s="1684"/>
      <c r="AP1772" s="1684"/>
      <c r="AQ1772" s="1684"/>
      <c r="AR1772" s="1684"/>
      <c r="AS1772" s="1684"/>
      <c r="AT1772" s="1684"/>
      <c r="AU1772" s="1684"/>
      <c r="AV1772" s="1684"/>
      <c r="AW1772" s="1684"/>
      <c r="AX1772" s="1684"/>
      <c r="AY1772" s="1684"/>
      <c r="AZ1772" s="1684"/>
      <c r="BA1772" s="1684"/>
      <c r="BB1772" s="1684"/>
      <c r="BC1772" s="1684"/>
      <c r="BD1772" s="1684"/>
      <c r="BE1772" s="1684"/>
      <c r="BF1772" s="1684"/>
      <c r="BG1772" s="1684"/>
      <c r="BH1772" s="1684"/>
      <c r="BI1772" s="1684"/>
      <c r="BJ1772" s="1684"/>
      <c r="BK1772" s="1684"/>
      <c r="BL1772" s="1684"/>
      <c r="BM1772" s="1684"/>
      <c r="BN1772" s="1684"/>
      <c r="BO1772" s="1684"/>
      <c r="BP1772" s="1684"/>
      <c r="BQ1772" s="1684"/>
      <c r="BR1772" s="1684"/>
      <c r="BS1772" s="1684"/>
      <c r="BT1772" s="1684"/>
      <c r="BU1772" s="1684"/>
      <c r="BV1772" s="1684"/>
      <c r="BW1772" s="1684"/>
      <c r="BX1772" s="1684"/>
      <c r="BY1772" s="1684"/>
      <c r="BZ1772" s="1684"/>
      <c r="CA1772" s="1684"/>
      <c r="CB1772" s="1684"/>
      <c r="CC1772" s="1684"/>
      <c r="CD1772" s="1684"/>
      <c r="CE1772" s="1684"/>
      <c r="CF1772" s="1684"/>
      <c r="CG1772" s="1684"/>
      <c r="CH1772" s="1684"/>
      <c r="CI1772" s="1684"/>
      <c r="CJ1772" s="1684"/>
      <c r="CK1772" s="1684"/>
      <c r="CL1772" s="1684"/>
      <c r="CM1772" s="1684"/>
      <c r="CN1772" s="1684"/>
      <c r="CO1772" s="1684"/>
    </row>
    <row r="1773" spans="1:93" s="1391" customFormat="1" ht="15" x14ac:dyDescent="0.2">
      <c r="A1773" s="1684"/>
      <c r="B1773" s="2026">
        <v>11</v>
      </c>
      <c r="C1773" s="2027">
        <v>6.3319999999999999</v>
      </c>
      <c r="D1773" s="2027">
        <v>344</v>
      </c>
      <c r="E1773" s="2027">
        <v>374</v>
      </c>
      <c r="F1773" s="2027">
        <v>404</v>
      </c>
      <c r="G1773" s="2027">
        <v>434</v>
      </c>
      <c r="H1773" s="2027">
        <v>464</v>
      </c>
      <c r="I1773" s="2027">
        <v>494</v>
      </c>
      <c r="J1773" s="2027">
        <v>524</v>
      </c>
      <c r="K1773" s="2027">
        <v>554</v>
      </c>
      <c r="L1773" s="2027">
        <v>584</v>
      </c>
      <c r="M1773" s="2028">
        <v>11</v>
      </c>
      <c r="N1773"/>
      <c r="O1773" s="1684"/>
      <c r="P1773" s="1684"/>
      <c r="Q1773" s="1684"/>
      <c r="R1773" s="1684"/>
      <c r="S1773" s="1684"/>
      <c r="T1773" s="1684"/>
      <c r="U1773" s="1684"/>
      <c r="V1773" s="1684"/>
      <c r="W1773" s="1684"/>
      <c r="X1773" s="1684"/>
      <c r="Y1773" s="1684"/>
      <c r="Z1773" s="1684"/>
      <c r="AA1773" s="1684"/>
      <c r="AB1773" s="1684"/>
      <c r="AC1773" s="1684"/>
      <c r="AD1773" s="1684"/>
      <c r="AE1773" s="1684"/>
      <c r="AF1773" s="1684"/>
      <c r="AG1773" s="1684"/>
      <c r="AH1773" s="1684"/>
      <c r="AI1773" s="1684"/>
      <c r="AJ1773" s="1684"/>
      <c r="AK1773" s="1684"/>
      <c r="AL1773" s="1684"/>
      <c r="AM1773" s="1684"/>
      <c r="AN1773" s="1684"/>
      <c r="AO1773" s="1684"/>
      <c r="AP1773" s="1684"/>
      <c r="AQ1773" s="1684"/>
      <c r="AR1773" s="1684"/>
      <c r="AS1773" s="1684"/>
      <c r="AT1773" s="1684"/>
      <c r="AU1773" s="1684"/>
      <c r="AV1773" s="1684"/>
      <c r="AW1773" s="1684"/>
      <c r="AX1773" s="1684"/>
      <c r="AY1773" s="1684"/>
      <c r="AZ1773" s="1684"/>
      <c r="BA1773" s="1684"/>
      <c r="BB1773" s="1684"/>
      <c r="BC1773" s="1684"/>
      <c r="BD1773" s="1684"/>
      <c r="BE1773" s="1684"/>
      <c r="BF1773" s="1684"/>
      <c r="BG1773" s="1684"/>
      <c r="BH1773" s="1684"/>
      <c r="BI1773" s="1684"/>
      <c r="BJ1773" s="1684"/>
      <c r="BK1773" s="1684"/>
      <c r="BL1773" s="1684"/>
      <c r="BM1773" s="1684"/>
      <c r="BN1773" s="1684"/>
      <c r="BO1773" s="1684"/>
      <c r="BP1773" s="1684"/>
      <c r="BQ1773" s="1684"/>
      <c r="BR1773" s="1684"/>
      <c r="BS1773" s="1684"/>
      <c r="BT1773" s="1684"/>
      <c r="BU1773" s="1684"/>
      <c r="BV1773" s="1684"/>
      <c r="BW1773" s="1684"/>
      <c r="BX1773" s="1684"/>
      <c r="BY1773" s="1684"/>
      <c r="BZ1773" s="1684"/>
      <c r="CA1773" s="1684"/>
      <c r="CB1773" s="1684"/>
      <c r="CC1773" s="1684"/>
      <c r="CD1773" s="1684"/>
      <c r="CE1773" s="1684"/>
      <c r="CF1773" s="1684"/>
      <c r="CG1773" s="1684"/>
      <c r="CH1773" s="1684"/>
      <c r="CI1773" s="1684"/>
      <c r="CJ1773" s="1684"/>
      <c r="CK1773" s="1684"/>
      <c r="CL1773" s="1684"/>
      <c r="CM1773" s="1684"/>
      <c r="CN1773" s="1684"/>
      <c r="CO1773" s="1684"/>
    </row>
    <row r="1774" spans="1:93" s="1391" customFormat="1" ht="15" x14ac:dyDescent="0.2">
      <c r="A1774" s="1684"/>
      <c r="B1774" s="2026">
        <v>12</v>
      </c>
      <c r="C1774" s="2027">
        <v>6.9009999999999998</v>
      </c>
      <c r="D1774" s="2027">
        <v>392</v>
      </c>
      <c r="E1774" s="2027">
        <v>426</v>
      </c>
      <c r="F1774" s="2027">
        <v>460</v>
      </c>
      <c r="G1774" s="2027">
        <v>494</v>
      </c>
      <c r="H1774" s="2027">
        <v>528</v>
      </c>
      <c r="I1774" s="2027">
        <v>562</v>
      </c>
      <c r="J1774" s="2027">
        <v>596</v>
      </c>
      <c r="K1774" s="2027">
        <v>630</v>
      </c>
      <c r="L1774" s="2027">
        <v>664</v>
      </c>
      <c r="M1774" s="2028">
        <v>12</v>
      </c>
      <c r="N1774"/>
      <c r="O1774" s="1684"/>
      <c r="P1774" s="1684"/>
      <c r="Q1774" s="1684"/>
      <c r="R1774" s="1684"/>
      <c r="S1774" s="1684"/>
      <c r="T1774" s="1684"/>
      <c r="U1774" s="1684"/>
      <c r="V1774" s="1684"/>
      <c r="W1774" s="1684"/>
      <c r="X1774" s="1684"/>
      <c r="Y1774" s="1684"/>
      <c r="Z1774" s="1684"/>
      <c r="AA1774" s="1684"/>
      <c r="AB1774" s="1684"/>
      <c r="AC1774" s="1684"/>
      <c r="AD1774" s="1684"/>
      <c r="AE1774" s="1684"/>
      <c r="AF1774" s="1684"/>
      <c r="AG1774" s="1684"/>
      <c r="AH1774" s="1684"/>
      <c r="AI1774" s="1684"/>
      <c r="AJ1774" s="1684"/>
      <c r="AK1774" s="1684"/>
      <c r="AL1774" s="1684"/>
      <c r="AM1774" s="1684"/>
      <c r="AN1774" s="1684"/>
      <c r="AO1774" s="1684"/>
      <c r="AP1774" s="1684"/>
      <c r="AQ1774" s="1684"/>
      <c r="AR1774" s="1684"/>
      <c r="AS1774" s="1684"/>
      <c r="AT1774" s="1684"/>
      <c r="AU1774" s="1684"/>
      <c r="AV1774" s="1684"/>
      <c r="AW1774" s="1684"/>
      <c r="AX1774" s="1684"/>
      <c r="AY1774" s="1684"/>
      <c r="AZ1774" s="1684"/>
      <c r="BA1774" s="1684"/>
      <c r="BB1774" s="1684"/>
      <c r="BC1774" s="1684"/>
      <c r="BD1774" s="1684"/>
      <c r="BE1774" s="1684"/>
      <c r="BF1774" s="1684"/>
      <c r="BG1774" s="1684"/>
      <c r="BH1774" s="1684"/>
      <c r="BI1774" s="1684"/>
      <c r="BJ1774" s="1684"/>
      <c r="BK1774" s="1684"/>
      <c r="BL1774" s="1684"/>
      <c r="BM1774" s="1684"/>
      <c r="BN1774" s="1684"/>
      <c r="BO1774" s="1684"/>
      <c r="BP1774" s="1684"/>
      <c r="BQ1774" s="1684"/>
      <c r="BR1774" s="1684"/>
      <c r="BS1774" s="1684"/>
      <c r="BT1774" s="1684"/>
      <c r="BU1774" s="1684"/>
      <c r="BV1774" s="1684"/>
      <c r="BW1774" s="1684"/>
      <c r="BX1774" s="1684"/>
      <c r="BY1774" s="1684"/>
      <c r="BZ1774" s="1684"/>
      <c r="CA1774" s="1684"/>
      <c r="CB1774" s="1684"/>
      <c r="CC1774" s="1684"/>
      <c r="CD1774" s="1684"/>
      <c r="CE1774" s="1684"/>
      <c r="CF1774" s="1684"/>
      <c r="CG1774" s="1684"/>
      <c r="CH1774" s="1684"/>
      <c r="CI1774" s="1684"/>
      <c r="CJ1774" s="1684"/>
      <c r="CK1774" s="1684"/>
      <c r="CL1774" s="1684"/>
      <c r="CM1774" s="1684"/>
      <c r="CN1774" s="1684"/>
      <c r="CO1774" s="1684"/>
    </row>
    <row r="1775" spans="1:93" s="1391" customFormat="1" ht="15" x14ac:dyDescent="0.2">
      <c r="A1775" s="1684"/>
      <c r="B1775" s="2026">
        <v>13</v>
      </c>
      <c r="C1775" s="2027">
        <v>4.5250000000000004</v>
      </c>
      <c r="D1775" s="2027">
        <v>444</v>
      </c>
      <c r="E1775" s="2027">
        <v>482</v>
      </c>
      <c r="F1775" s="2027">
        <v>521</v>
      </c>
      <c r="G1775" s="2027">
        <v>560</v>
      </c>
      <c r="H1775" s="2027">
        <v>598</v>
      </c>
      <c r="I1775" s="2027">
        <v>637</v>
      </c>
      <c r="J1775" s="2027">
        <v>675</v>
      </c>
      <c r="K1775" s="2027">
        <v>714</v>
      </c>
      <c r="L1775" s="2027">
        <v>752</v>
      </c>
      <c r="M1775" s="2028">
        <v>13</v>
      </c>
      <c r="N1775"/>
      <c r="O1775" s="1684"/>
      <c r="P1775" s="1684"/>
      <c r="Q1775" s="1684"/>
      <c r="R1775" s="1684"/>
      <c r="S1775" s="1684"/>
      <c r="T1775" s="1684"/>
      <c r="U1775" s="1684"/>
      <c r="V1775" s="1684"/>
      <c r="W1775" s="1684"/>
      <c r="X1775" s="1684"/>
      <c r="Y1775" s="1684"/>
      <c r="Z1775" s="1684"/>
      <c r="AA1775" s="1684"/>
      <c r="AB1775" s="1684"/>
      <c r="AC1775" s="1684"/>
      <c r="AD1775" s="1684"/>
      <c r="AE1775" s="1684"/>
      <c r="AF1775" s="1684"/>
      <c r="AG1775" s="1684"/>
      <c r="AH1775" s="1684"/>
      <c r="AI1775" s="1684"/>
      <c r="AJ1775" s="1684"/>
      <c r="AK1775" s="1684"/>
      <c r="AL1775" s="1684"/>
      <c r="AM1775" s="1684"/>
      <c r="AN1775" s="1684"/>
      <c r="AO1775" s="1684"/>
      <c r="AP1775" s="1684"/>
      <c r="AQ1775" s="1684"/>
      <c r="AR1775" s="1684"/>
      <c r="AS1775" s="1684"/>
      <c r="AT1775" s="1684"/>
      <c r="AU1775" s="1684"/>
      <c r="AV1775" s="1684"/>
      <c r="AW1775" s="1684"/>
      <c r="AX1775" s="1684"/>
      <c r="AY1775" s="1684"/>
      <c r="AZ1775" s="1684"/>
      <c r="BA1775" s="1684"/>
      <c r="BB1775" s="1684"/>
      <c r="BC1775" s="1684"/>
      <c r="BD1775" s="1684"/>
      <c r="BE1775" s="1684"/>
      <c r="BF1775" s="1684"/>
      <c r="BG1775" s="1684"/>
      <c r="BH1775" s="1684"/>
      <c r="BI1775" s="1684"/>
      <c r="BJ1775" s="1684"/>
      <c r="BK1775" s="1684"/>
      <c r="BL1775" s="1684"/>
      <c r="BM1775" s="1684"/>
      <c r="BN1775" s="1684"/>
      <c r="BO1775" s="1684"/>
      <c r="BP1775" s="1684"/>
      <c r="BQ1775" s="1684"/>
      <c r="BR1775" s="1684"/>
      <c r="BS1775" s="1684"/>
      <c r="BT1775" s="1684"/>
      <c r="BU1775" s="1684"/>
      <c r="BV1775" s="1684"/>
      <c r="BW1775" s="1684"/>
      <c r="BX1775" s="1684"/>
      <c r="BY1775" s="1684"/>
      <c r="BZ1775" s="1684"/>
      <c r="CA1775" s="1684"/>
      <c r="CB1775" s="1684"/>
      <c r="CC1775" s="1684"/>
      <c r="CD1775" s="1684"/>
      <c r="CE1775" s="1684"/>
      <c r="CF1775" s="1684"/>
      <c r="CG1775" s="1684"/>
      <c r="CH1775" s="1684"/>
      <c r="CI1775" s="1684"/>
      <c r="CJ1775" s="1684"/>
      <c r="CK1775" s="1684"/>
      <c r="CL1775" s="1684"/>
      <c r="CM1775" s="1684"/>
      <c r="CN1775" s="1684"/>
      <c r="CO1775" s="1684"/>
    </row>
    <row r="1776" spans="1:93" s="1391" customFormat="1" ht="15" x14ac:dyDescent="0.2">
      <c r="A1776" s="1684"/>
      <c r="B1776" s="2026">
        <v>14</v>
      </c>
      <c r="C1776" s="2027">
        <v>8.2430000000000003</v>
      </c>
      <c r="D1776" s="2027">
        <v>504</v>
      </c>
      <c r="E1776" s="2027">
        <v>547</v>
      </c>
      <c r="F1776" s="2027">
        <v>591</v>
      </c>
      <c r="G1776" s="2027">
        <v>635</v>
      </c>
      <c r="H1776" s="2027">
        <v>679</v>
      </c>
      <c r="I1776" s="2027">
        <v>723</v>
      </c>
      <c r="J1776" s="2027">
        <v>766</v>
      </c>
      <c r="K1776" s="2027">
        <v>810</v>
      </c>
      <c r="L1776" s="2027">
        <v>854</v>
      </c>
      <c r="M1776" s="2028">
        <v>14</v>
      </c>
      <c r="N1776"/>
      <c r="O1776" s="1684"/>
      <c r="P1776" s="1684"/>
      <c r="Q1776" s="1684"/>
      <c r="R1776" s="1684"/>
      <c r="S1776" s="1684"/>
      <c r="T1776" s="1684"/>
      <c r="U1776" s="1684"/>
      <c r="V1776" s="1684"/>
      <c r="W1776" s="1684"/>
      <c r="X1776" s="1684"/>
      <c r="Y1776" s="1684"/>
      <c r="Z1776" s="1684"/>
      <c r="AA1776" s="1684"/>
      <c r="AB1776" s="1684"/>
      <c r="AC1776" s="1684"/>
      <c r="AD1776" s="1684"/>
      <c r="AE1776" s="1684"/>
      <c r="AF1776" s="1684"/>
      <c r="AG1776" s="1684"/>
      <c r="AH1776" s="1684"/>
      <c r="AI1776" s="1684"/>
      <c r="AJ1776" s="1684"/>
      <c r="AK1776" s="1684"/>
      <c r="AL1776" s="1684"/>
      <c r="AM1776" s="1684"/>
      <c r="AN1776" s="1684"/>
      <c r="AO1776" s="1684"/>
      <c r="AP1776" s="1684"/>
      <c r="AQ1776" s="1684"/>
      <c r="AR1776" s="1684"/>
      <c r="AS1776" s="1684"/>
      <c r="AT1776" s="1684"/>
      <c r="AU1776" s="1684"/>
      <c r="AV1776" s="1684"/>
      <c r="AW1776" s="1684"/>
      <c r="AX1776" s="1684"/>
      <c r="AY1776" s="1684"/>
      <c r="AZ1776" s="1684"/>
      <c r="BA1776" s="1684"/>
      <c r="BB1776" s="1684"/>
      <c r="BC1776" s="1684"/>
      <c r="BD1776" s="1684"/>
      <c r="BE1776" s="1684"/>
      <c r="BF1776" s="1684"/>
      <c r="BG1776" s="1684"/>
      <c r="BH1776" s="1684"/>
      <c r="BI1776" s="1684"/>
      <c r="BJ1776" s="1684"/>
      <c r="BK1776" s="1684"/>
      <c r="BL1776" s="1684"/>
      <c r="BM1776" s="1684"/>
      <c r="BN1776" s="1684"/>
      <c r="BO1776" s="1684"/>
      <c r="BP1776" s="1684"/>
      <c r="BQ1776" s="1684"/>
      <c r="BR1776" s="1684"/>
      <c r="BS1776" s="1684"/>
      <c r="BT1776" s="1684"/>
      <c r="BU1776" s="1684"/>
      <c r="BV1776" s="1684"/>
      <c r="BW1776" s="1684"/>
      <c r="BX1776" s="1684"/>
      <c r="BY1776" s="1684"/>
      <c r="BZ1776" s="1684"/>
      <c r="CA1776" s="1684"/>
      <c r="CB1776" s="1684"/>
      <c r="CC1776" s="1684"/>
      <c r="CD1776" s="1684"/>
      <c r="CE1776" s="1684"/>
      <c r="CF1776" s="1684"/>
      <c r="CG1776" s="1684"/>
      <c r="CH1776" s="1684"/>
      <c r="CI1776" s="1684"/>
      <c r="CJ1776" s="1684"/>
      <c r="CK1776" s="1684"/>
      <c r="CL1776" s="1684"/>
      <c r="CM1776" s="1684"/>
      <c r="CN1776" s="1684"/>
      <c r="CO1776" s="1684"/>
    </row>
    <row r="1777" spans="1:93" s="1391" customFormat="1" ht="15" x14ac:dyDescent="0.2">
      <c r="A1777" s="1684"/>
      <c r="B1777" s="2026">
        <v>15</v>
      </c>
      <c r="C1777" s="2027">
        <v>9.0489999999999995</v>
      </c>
      <c r="D1777" s="2027">
        <v>570</v>
      </c>
      <c r="E1777" s="2027">
        <v>619</v>
      </c>
      <c r="F1777" s="2027">
        <v>669</v>
      </c>
      <c r="G1777" s="2027">
        <v>719</v>
      </c>
      <c r="H1777" s="2027">
        <v>768</v>
      </c>
      <c r="I1777" s="2027">
        <v>817</v>
      </c>
      <c r="J1777" s="2027">
        <v>867</v>
      </c>
      <c r="K1777" s="2027">
        <v>917</v>
      </c>
      <c r="L1777" s="2027">
        <v>966</v>
      </c>
      <c r="M1777" s="2028">
        <v>15</v>
      </c>
      <c r="N1777"/>
      <c r="O1777" s="1684"/>
      <c r="P1777" s="1684"/>
      <c r="Q1777" s="1684"/>
      <c r="R1777" s="1684"/>
      <c r="S1777" s="1684"/>
      <c r="T1777" s="1684"/>
      <c r="U1777" s="1684"/>
      <c r="V1777" s="1684"/>
      <c r="W1777" s="1684"/>
      <c r="X1777" s="1684"/>
      <c r="Y1777" s="1684"/>
      <c r="Z1777" s="1684"/>
      <c r="AA1777" s="1684"/>
      <c r="AB1777" s="1684"/>
      <c r="AC1777" s="1684"/>
      <c r="AD1777" s="1684"/>
      <c r="AE1777" s="1684"/>
      <c r="AF1777" s="1684"/>
      <c r="AG1777" s="1684"/>
      <c r="AH1777" s="1684"/>
      <c r="AI1777" s="1684"/>
      <c r="AJ1777" s="1684"/>
      <c r="AK1777" s="1684"/>
      <c r="AL1777" s="1684"/>
      <c r="AM1777" s="1684"/>
      <c r="AN1777" s="1684"/>
      <c r="AO1777" s="1684"/>
      <c r="AP1777" s="1684"/>
      <c r="AQ1777" s="1684"/>
      <c r="AR1777" s="1684"/>
      <c r="AS1777" s="1684"/>
      <c r="AT1777" s="1684"/>
      <c r="AU1777" s="1684"/>
      <c r="AV1777" s="1684"/>
      <c r="AW1777" s="1684"/>
      <c r="AX1777" s="1684"/>
      <c r="AY1777" s="1684"/>
      <c r="AZ1777" s="1684"/>
      <c r="BA1777" s="1684"/>
      <c r="BB1777" s="1684"/>
      <c r="BC1777" s="1684"/>
      <c r="BD1777" s="1684"/>
      <c r="BE1777" s="1684"/>
      <c r="BF1777" s="1684"/>
      <c r="BG1777" s="1684"/>
      <c r="BH1777" s="1684"/>
      <c r="BI1777" s="1684"/>
      <c r="BJ1777" s="1684"/>
      <c r="BK1777" s="1684"/>
      <c r="BL1777" s="1684"/>
      <c r="BM1777" s="1684"/>
      <c r="BN1777" s="1684"/>
      <c r="BO1777" s="1684"/>
      <c r="BP1777" s="1684"/>
      <c r="BQ1777" s="1684"/>
      <c r="BR1777" s="1684"/>
      <c r="BS1777" s="1684"/>
      <c r="BT1777" s="1684"/>
      <c r="BU1777" s="1684"/>
      <c r="BV1777" s="1684"/>
      <c r="BW1777" s="1684"/>
      <c r="BX1777" s="1684"/>
      <c r="BY1777" s="1684"/>
      <c r="BZ1777" s="1684"/>
      <c r="CA1777" s="1684"/>
      <c r="CB1777" s="1684"/>
      <c r="CC1777" s="1684"/>
      <c r="CD1777" s="1684"/>
      <c r="CE1777" s="1684"/>
      <c r="CF1777" s="1684"/>
      <c r="CG1777" s="1684"/>
      <c r="CH1777" s="1684"/>
      <c r="CI1777" s="1684"/>
      <c r="CJ1777" s="1684"/>
      <c r="CK1777" s="1684"/>
      <c r="CL1777" s="1684"/>
      <c r="CM1777" s="1684"/>
      <c r="CN1777" s="1684"/>
      <c r="CO1777" s="1684"/>
    </row>
    <row r="1778" spans="1:93" s="1391" customFormat="1" ht="15" x14ac:dyDescent="0.2">
      <c r="A1778" s="1684"/>
      <c r="B1778" s="2026">
        <v>16</v>
      </c>
      <c r="C1778" s="2027">
        <v>9.9160000000000004</v>
      </c>
      <c r="D1778" s="2027">
        <v>642</v>
      </c>
      <c r="E1778" s="2027">
        <v>698</v>
      </c>
      <c r="F1778" s="2027">
        <v>754</v>
      </c>
      <c r="G1778" s="2027">
        <v>809</v>
      </c>
      <c r="H1778" s="2027">
        <v>865</v>
      </c>
      <c r="I1778" s="2027">
        <v>921</v>
      </c>
      <c r="J1778" s="2027">
        <v>977</v>
      </c>
      <c r="K1778" s="2027">
        <v>1032</v>
      </c>
      <c r="L1778" s="2027">
        <v>1088</v>
      </c>
      <c r="M1778" s="2028">
        <v>16</v>
      </c>
      <c r="N1778"/>
      <c r="O1778" s="1684"/>
      <c r="P1778" s="1684"/>
      <c r="Q1778" s="1684"/>
      <c r="R1778" s="1684"/>
      <c r="S1778" s="1684"/>
      <c r="T1778" s="1684"/>
      <c r="U1778" s="1684"/>
      <c r="V1778" s="1684"/>
      <c r="W1778" s="1684"/>
      <c r="X1778" s="1684"/>
      <c r="Y1778" s="1684"/>
      <c r="Z1778" s="1684"/>
      <c r="AA1778" s="1684"/>
      <c r="AB1778" s="1684"/>
      <c r="AC1778" s="1684"/>
      <c r="AD1778" s="1684"/>
      <c r="AE1778" s="1684"/>
      <c r="AF1778" s="1684"/>
      <c r="AG1778" s="1684"/>
      <c r="AH1778" s="1684"/>
      <c r="AI1778" s="1684"/>
      <c r="AJ1778" s="1684"/>
      <c r="AK1778" s="1684"/>
      <c r="AL1778" s="1684"/>
      <c r="AM1778" s="1684"/>
      <c r="AN1778" s="1684"/>
      <c r="AO1778" s="1684"/>
      <c r="AP1778" s="1684"/>
      <c r="AQ1778" s="1684"/>
      <c r="AR1778" s="1684"/>
      <c r="AS1778" s="1684"/>
      <c r="AT1778" s="1684"/>
      <c r="AU1778" s="1684"/>
      <c r="AV1778" s="1684"/>
      <c r="AW1778" s="1684"/>
      <c r="AX1778" s="1684"/>
      <c r="AY1778" s="1684"/>
      <c r="AZ1778" s="1684"/>
      <c r="BA1778" s="1684"/>
      <c r="BB1778" s="1684"/>
      <c r="BC1778" s="1684"/>
      <c r="BD1778" s="1684"/>
      <c r="BE1778" s="1684"/>
      <c r="BF1778" s="1684"/>
      <c r="BG1778" s="1684"/>
      <c r="BH1778" s="1684"/>
      <c r="BI1778" s="1684"/>
      <c r="BJ1778" s="1684"/>
      <c r="BK1778" s="1684"/>
      <c r="BL1778" s="1684"/>
      <c r="BM1778" s="1684"/>
      <c r="BN1778" s="1684"/>
      <c r="BO1778" s="1684"/>
      <c r="BP1778" s="1684"/>
      <c r="BQ1778" s="1684"/>
      <c r="BR1778" s="1684"/>
      <c r="BS1778" s="1684"/>
      <c r="BT1778" s="1684"/>
      <c r="BU1778" s="1684"/>
      <c r="BV1778" s="1684"/>
      <c r="BW1778" s="1684"/>
      <c r="BX1778" s="1684"/>
      <c r="BY1778" s="1684"/>
      <c r="BZ1778" s="1684"/>
      <c r="CA1778" s="1684"/>
      <c r="CB1778" s="1684"/>
      <c r="CC1778" s="1684"/>
      <c r="CD1778" s="1684"/>
      <c r="CE1778" s="1684"/>
      <c r="CF1778" s="1684"/>
      <c r="CG1778" s="1684"/>
      <c r="CH1778" s="1684"/>
      <c r="CI1778" s="1684"/>
      <c r="CJ1778" s="1684"/>
      <c r="CK1778" s="1684"/>
      <c r="CL1778" s="1684"/>
      <c r="CM1778" s="1684"/>
      <c r="CN1778" s="1684"/>
      <c r="CO1778" s="1684"/>
    </row>
    <row r="1779" spans="1:93" s="1391" customFormat="1" ht="15" x14ac:dyDescent="0.2">
      <c r="A1779" s="1684"/>
      <c r="B1779" s="4716" t="s">
        <v>1054</v>
      </c>
      <c r="C1779" s="4711"/>
      <c r="D1779" s="4711"/>
      <c r="E1779" s="4711"/>
      <c r="F1779" s="4711"/>
      <c r="G1779" s="4711"/>
      <c r="H1779" s="4711"/>
      <c r="I1779" s="4711"/>
      <c r="J1779" s="4711"/>
      <c r="K1779" s="4711"/>
      <c r="L1779" s="4711"/>
      <c r="M1779" s="4717"/>
      <c r="N1779"/>
      <c r="O1779" s="1684"/>
      <c r="P1779" s="1684"/>
      <c r="Q1779" s="1684"/>
      <c r="R1779" s="1684"/>
      <c r="S1779" s="1684"/>
      <c r="T1779" s="1684"/>
      <c r="U1779" s="1684"/>
      <c r="V1779" s="1684"/>
      <c r="W1779" s="1684"/>
      <c r="X1779" s="1684"/>
      <c r="Y1779" s="1684"/>
      <c r="Z1779" s="1684"/>
      <c r="AA1779" s="1684"/>
      <c r="AB1779" s="1684"/>
      <c r="AC1779" s="1684"/>
      <c r="AD1779" s="1684"/>
      <c r="AE1779" s="1684"/>
      <c r="AF1779" s="1684"/>
      <c r="AG1779" s="1684"/>
      <c r="AH1779" s="1684"/>
      <c r="AI1779" s="1684"/>
      <c r="AJ1779" s="1684"/>
      <c r="AK1779" s="1684"/>
      <c r="AL1779" s="1684"/>
      <c r="AM1779" s="1684"/>
      <c r="AN1779" s="1684"/>
      <c r="AO1779" s="1684"/>
      <c r="AP1779" s="1684"/>
      <c r="AQ1779" s="1684"/>
      <c r="AR1779" s="1684"/>
      <c r="AS1779" s="1684"/>
      <c r="AT1779" s="1684"/>
      <c r="AU1779" s="1684"/>
      <c r="AV1779" s="1684"/>
      <c r="AW1779" s="1684"/>
      <c r="AX1779" s="1684"/>
      <c r="AY1779" s="1684"/>
      <c r="AZ1779" s="1684"/>
      <c r="BA1779" s="1684"/>
      <c r="BB1779" s="1684"/>
      <c r="BC1779" s="1684"/>
      <c r="BD1779" s="1684"/>
      <c r="BE1779" s="1684"/>
      <c r="BF1779" s="1684"/>
      <c r="BG1779" s="1684"/>
      <c r="BH1779" s="1684"/>
      <c r="BI1779" s="1684"/>
      <c r="BJ1779" s="1684"/>
      <c r="BK1779" s="1684"/>
      <c r="BL1779" s="1684"/>
      <c r="BM1779" s="1684"/>
      <c r="BN1779" s="1684"/>
      <c r="BO1779" s="1684"/>
      <c r="BP1779" s="1684"/>
      <c r="BQ1779" s="1684"/>
      <c r="BR1779" s="1684"/>
      <c r="BS1779" s="1684"/>
      <c r="BT1779" s="1684"/>
      <c r="BU1779" s="1684"/>
      <c r="BV1779" s="1684"/>
      <c r="BW1779" s="1684"/>
      <c r="BX1779" s="1684"/>
      <c r="BY1779" s="1684"/>
      <c r="BZ1779" s="1684"/>
      <c r="CA1779" s="1684"/>
      <c r="CB1779" s="1684"/>
      <c r="CC1779" s="1684"/>
      <c r="CD1779" s="1684"/>
      <c r="CE1779" s="1684"/>
      <c r="CF1779" s="1684"/>
      <c r="CG1779" s="1684"/>
      <c r="CH1779" s="1684"/>
      <c r="CI1779" s="1684"/>
      <c r="CJ1779" s="1684"/>
      <c r="CK1779" s="1684"/>
      <c r="CL1779" s="1684"/>
      <c r="CM1779" s="1684"/>
      <c r="CN1779" s="1684"/>
      <c r="CO1779" s="1684"/>
    </row>
    <row r="1780" spans="1:93" s="1391" customFormat="1" ht="15" x14ac:dyDescent="0.2">
      <c r="A1780" s="1684"/>
      <c r="B1780" s="2023"/>
      <c r="C1780" s="2024"/>
      <c r="D1780" s="2024">
        <v>1</v>
      </c>
      <c r="E1780" s="2024">
        <v>2</v>
      </c>
      <c r="F1780" s="2024">
        <v>3</v>
      </c>
      <c r="G1780" s="2024">
        <v>4</v>
      </c>
      <c r="H1780" s="2024">
        <v>5</v>
      </c>
      <c r="I1780" s="2024">
        <v>6</v>
      </c>
      <c r="J1780" s="2024">
        <v>7</v>
      </c>
      <c r="K1780" s="2024">
        <v>8</v>
      </c>
      <c r="L1780" s="2024">
        <v>9</v>
      </c>
      <c r="M1780" s="2025"/>
      <c r="N1780"/>
      <c r="O1780" s="1684"/>
      <c r="P1780" s="1684"/>
      <c r="Q1780" s="1684"/>
      <c r="R1780" s="1684"/>
      <c r="S1780" s="1684"/>
      <c r="T1780" s="1684"/>
      <c r="U1780" s="1684"/>
      <c r="V1780" s="1684"/>
      <c r="W1780" s="1684"/>
      <c r="X1780" s="1684"/>
      <c r="Y1780" s="1684"/>
      <c r="Z1780" s="1684"/>
      <c r="AA1780" s="1684"/>
      <c r="AB1780" s="1684"/>
      <c r="AC1780" s="1684"/>
      <c r="AD1780" s="1684"/>
      <c r="AE1780" s="1684"/>
      <c r="AF1780" s="1684"/>
      <c r="AG1780" s="1684"/>
      <c r="AH1780" s="1684"/>
      <c r="AI1780" s="1684"/>
      <c r="AJ1780" s="1684"/>
      <c r="AK1780" s="1684"/>
      <c r="AL1780" s="1684"/>
      <c r="AM1780" s="1684"/>
      <c r="AN1780" s="1684"/>
      <c r="AO1780" s="1684"/>
      <c r="AP1780" s="1684"/>
      <c r="AQ1780" s="1684"/>
      <c r="AR1780" s="1684"/>
      <c r="AS1780" s="1684"/>
      <c r="AT1780" s="1684"/>
      <c r="AU1780" s="1684"/>
      <c r="AV1780" s="1684"/>
      <c r="AW1780" s="1684"/>
      <c r="AX1780" s="1684"/>
      <c r="AY1780" s="1684"/>
      <c r="AZ1780" s="1684"/>
      <c r="BA1780" s="1684"/>
      <c r="BB1780" s="1684"/>
      <c r="BC1780" s="1684"/>
      <c r="BD1780" s="1684"/>
      <c r="BE1780" s="1684"/>
      <c r="BF1780" s="1684"/>
      <c r="BG1780" s="1684"/>
      <c r="BH1780" s="1684"/>
      <c r="BI1780" s="1684"/>
      <c r="BJ1780" s="1684"/>
      <c r="BK1780" s="1684"/>
      <c r="BL1780" s="1684"/>
      <c r="BM1780" s="1684"/>
      <c r="BN1780" s="1684"/>
      <c r="BO1780" s="1684"/>
      <c r="BP1780" s="1684"/>
      <c r="BQ1780" s="1684"/>
      <c r="BR1780" s="1684"/>
      <c r="BS1780" s="1684"/>
      <c r="BT1780" s="1684"/>
      <c r="BU1780" s="1684"/>
      <c r="BV1780" s="1684"/>
      <c r="BW1780" s="1684"/>
      <c r="BX1780" s="1684"/>
      <c r="BY1780" s="1684"/>
      <c r="BZ1780" s="1684"/>
      <c r="CA1780" s="1684"/>
      <c r="CB1780" s="1684"/>
      <c r="CC1780" s="1684"/>
      <c r="CD1780" s="1684"/>
      <c r="CE1780" s="1684"/>
      <c r="CF1780" s="1684"/>
      <c r="CG1780" s="1684"/>
      <c r="CH1780" s="1684"/>
      <c r="CI1780" s="1684"/>
      <c r="CJ1780" s="1684"/>
      <c r="CK1780" s="1684"/>
      <c r="CL1780" s="1684"/>
      <c r="CM1780" s="1684"/>
      <c r="CN1780" s="1684"/>
      <c r="CO1780" s="1684"/>
    </row>
    <row r="1781" spans="1:93" s="1391" customFormat="1" ht="15" x14ac:dyDescent="0.2">
      <c r="A1781" s="1684"/>
      <c r="B1781" s="2026">
        <v>9</v>
      </c>
      <c r="C1781" s="2027">
        <v>5.4039999999999999</v>
      </c>
      <c r="D1781" s="2027">
        <v>277</v>
      </c>
      <c r="E1781" s="2027">
        <v>301</v>
      </c>
      <c r="F1781" s="2027">
        <v>325</v>
      </c>
      <c r="G1781" s="2027">
        <v>349</v>
      </c>
      <c r="H1781" s="2027">
        <v>373</v>
      </c>
      <c r="I1781" s="2027">
        <v>397</v>
      </c>
      <c r="J1781" s="2027">
        <v>422</v>
      </c>
      <c r="K1781" s="2027">
        <v>446</v>
      </c>
      <c r="L1781" s="2027">
        <v>470</v>
      </c>
      <c r="M1781" s="2028">
        <v>17</v>
      </c>
      <c r="N1781"/>
      <c r="O1781" s="1684"/>
      <c r="P1781" s="1684"/>
      <c r="Q1781" s="1684"/>
      <c r="R1781" s="1684"/>
      <c r="S1781" s="1684"/>
      <c r="T1781" s="1684"/>
      <c r="U1781" s="1684"/>
      <c r="V1781" s="1684"/>
      <c r="W1781" s="1684"/>
      <c r="X1781" s="1684"/>
      <c r="Y1781" s="1684"/>
      <c r="Z1781" s="1684"/>
      <c r="AA1781" s="1684"/>
      <c r="AB1781" s="1684"/>
      <c r="AC1781" s="1684"/>
      <c r="AD1781" s="1684"/>
      <c r="AE1781" s="1684"/>
      <c r="AF1781" s="1684"/>
      <c r="AG1781" s="1684"/>
      <c r="AH1781" s="1684"/>
      <c r="AI1781" s="1684"/>
      <c r="AJ1781" s="1684"/>
      <c r="AK1781" s="1684"/>
      <c r="AL1781" s="1684"/>
      <c r="AM1781" s="1684"/>
      <c r="AN1781" s="1684"/>
      <c r="AO1781" s="1684"/>
      <c r="AP1781" s="1684"/>
      <c r="AQ1781" s="1684"/>
      <c r="AR1781" s="1684"/>
      <c r="AS1781" s="1684"/>
      <c r="AT1781" s="1684"/>
      <c r="AU1781" s="1684"/>
      <c r="AV1781" s="1684"/>
      <c r="AW1781" s="1684"/>
      <c r="AX1781" s="1684"/>
      <c r="AY1781" s="1684"/>
      <c r="AZ1781" s="1684"/>
      <c r="BA1781" s="1684"/>
      <c r="BB1781" s="1684"/>
      <c r="BC1781" s="1684"/>
      <c r="BD1781" s="1684"/>
      <c r="BE1781" s="1684"/>
      <c r="BF1781" s="1684"/>
      <c r="BG1781" s="1684"/>
      <c r="BH1781" s="1684"/>
      <c r="BI1781" s="1684"/>
      <c r="BJ1781" s="1684"/>
      <c r="BK1781" s="1684"/>
      <c r="BL1781" s="1684"/>
      <c r="BM1781" s="1684"/>
      <c r="BN1781" s="1684"/>
      <c r="BO1781" s="1684"/>
      <c r="BP1781" s="1684"/>
      <c r="BQ1781" s="1684"/>
      <c r="BR1781" s="1684"/>
      <c r="BS1781" s="1684"/>
      <c r="BT1781" s="1684"/>
      <c r="BU1781" s="1684"/>
      <c r="BV1781" s="1684"/>
      <c r="BW1781" s="1684"/>
      <c r="BX1781" s="1684"/>
      <c r="BY1781" s="1684"/>
      <c r="BZ1781" s="1684"/>
      <c r="CA1781" s="1684"/>
      <c r="CB1781" s="1684"/>
      <c r="CC1781" s="1684"/>
      <c r="CD1781" s="1684"/>
      <c r="CE1781" s="1684"/>
      <c r="CF1781" s="1684"/>
      <c r="CG1781" s="1684"/>
      <c r="CH1781" s="1684"/>
      <c r="CI1781" s="1684"/>
      <c r="CJ1781" s="1684"/>
      <c r="CK1781" s="1684"/>
      <c r="CL1781" s="1684"/>
      <c r="CM1781" s="1684"/>
      <c r="CN1781" s="1684"/>
      <c r="CO1781" s="1684"/>
    </row>
    <row r="1782" spans="1:93" s="1391" customFormat="1" ht="15" x14ac:dyDescent="0.2">
      <c r="A1782" s="1684"/>
      <c r="B1782" s="2026">
        <v>10</v>
      </c>
      <c r="C1782" s="2027">
        <v>5.827</v>
      </c>
      <c r="D1782" s="2027">
        <v>314</v>
      </c>
      <c r="E1782" s="2027">
        <v>342</v>
      </c>
      <c r="F1782" s="2027">
        <v>369</v>
      </c>
      <c r="G1782" s="2027">
        <v>396</v>
      </c>
      <c r="H1782" s="2027">
        <v>424</v>
      </c>
      <c r="I1782" s="2027">
        <v>451</v>
      </c>
      <c r="J1782" s="2027">
        <v>478</v>
      </c>
      <c r="K1782" s="2027">
        <v>506</v>
      </c>
      <c r="L1782" s="2027">
        <v>533</v>
      </c>
      <c r="M1782" s="2028">
        <v>18</v>
      </c>
      <c r="N1782"/>
      <c r="O1782" s="1684"/>
      <c r="P1782" s="1684"/>
      <c r="Q1782" s="1684"/>
      <c r="R1782" s="1684"/>
      <c r="S1782" s="1684"/>
      <c r="T1782" s="1684"/>
      <c r="U1782" s="1684"/>
      <c r="V1782" s="1684"/>
      <c r="W1782" s="1684"/>
      <c r="X1782" s="1684"/>
      <c r="Y1782" s="1684"/>
      <c r="Z1782" s="1684"/>
      <c r="AA1782" s="1684"/>
      <c r="AB1782" s="1684"/>
      <c r="AC1782" s="1684"/>
      <c r="AD1782" s="1684"/>
      <c r="AE1782" s="1684"/>
      <c r="AF1782" s="1684"/>
      <c r="AG1782" s="1684"/>
      <c r="AH1782" s="1684"/>
      <c r="AI1782" s="1684"/>
      <c r="AJ1782" s="1684"/>
      <c r="AK1782" s="1684"/>
      <c r="AL1782" s="1684"/>
      <c r="AM1782" s="1684"/>
      <c r="AN1782" s="1684"/>
      <c r="AO1782" s="1684"/>
      <c r="AP1782" s="1684"/>
      <c r="AQ1782" s="1684"/>
      <c r="AR1782" s="1684"/>
      <c r="AS1782" s="1684"/>
      <c r="AT1782" s="1684"/>
      <c r="AU1782" s="1684"/>
      <c r="AV1782" s="1684"/>
      <c r="AW1782" s="1684"/>
      <c r="AX1782" s="1684"/>
      <c r="AY1782" s="1684"/>
      <c r="AZ1782" s="1684"/>
      <c r="BA1782" s="1684"/>
      <c r="BB1782" s="1684"/>
      <c r="BC1782" s="1684"/>
      <c r="BD1782" s="1684"/>
      <c r="BE1782" s="1684"/>
      <c r="BF1782" s="1684"/>
      <c r="BG1782" s="1684"/>
      <c r="BH1782" s="1684"/>
      <c r="BI1782" s="1684"/>
      <c r="BJ1782" s="1684"/>
      <c r="BK1782" s="1684"/>
      <c r="BL1782" s="1684"/>
      <c r="BM1782" s="1684"/>
      <c r="BN1782" s="1684"/>
      <c r="BO1782" s="1684"/>
      <c r="BP1782" s="1684"/>
      <c r="BQ1782" s="1684"/>
      <c r="BR1782" s="1684"/>
      <c r="BS1782" s="1684"/>
      <c r="BT1782" s="1684"/>
      <c r="BU1782" s="1684"/>
      <c r="BV1782" s="1684"/>
      <c r="BW1782" s="1684"/>
      <c r="BX1782" s="1684"/>
      <c r="BY1782" s="1684"/>
      <c r="BZ1782" s="1684"/>
      <c r="CA1782" s="1684"/>
      <c r="CB1782" s="1684"/>
      <c r="CC1782" s="1684"/>
      <c r="CD1782" s="1684"/>
      <c r="CE1782" s="1684"/>
      <c r="CF1782" s="1684"/>
      <c r="CG1782" s="1684"/>
      <c r="CH1782" s="1684"/>
      <c r="CI1782" s="1684"/>
      <c r="CJ1782" s="1684"/>
      <c r="CK1782" s="1684"/>
      <c r="CL1782" s="1684"/>
      <c r="CM1782" s="1684"/>
      <c r="CN1782" s="1684"/>
      <c r="CO1782" s="1684"/>
    </row>
    <row r="1783" spans="1:93" s="1391" customFormat="1" ht="15" x14ac:dyDescent="0.2">
      <c r="A1783" s="1684"/>
      <c r="B1783" s="2026">
        <v>11</v>
      </c>
      <c r="C1783" s="2027">
        <v>6.3319999999999999</v>
      </c>
      <c r="D1783" s="2027">
        <v>359</v>
      </c>
      <c r="E1783" s="2027">
        <v>390</v>
      </c>
      <c r="F1783" s="2027">
        <v>421</v>
      </c>
      <c r="G1783" s="2027">
        <v>452</v>
      </c>
      <c r="H1783" s="2027">
        <v>484</v>
      </c>
      <c r="I1783" s="2027">
        <v>515</v>
      </c>
      <c r="J1783" s="2027">
        <v>546</v>
      </c>
      <c r="K1783" s="2027">
        <v>577</v>
      </c>
      <c r="L1783" s="2027">
        <v>608</v>
      </c>
      <c r="M1783" s="2028">
        <v>19</v>
      </c>
      <c r="N1783"/>
      <c r="O1783" s="1684"/>
      <c r="P1783" s="1684"/>
      <c r="Q1783" s="1684"/>
      <c r="R1783" s="1684"/>
      <c r="S1783" s="1684"/>
      <c r="T1783" s="1684"/>
      <c r="U1783" s="1684"/>
      <c r="V1783" s="1684"/>
      <c r="W1783" s="1684"/>
      <c r="X1783" s="1684"/>
      <c r="Y1783" s="1684"/>
      <c r="Z1783" s="1684"/>
      <c r="AA1783" s="1684"/>
      <c r="AB1783" s="1684"/>
      <c r="AC1783" s="1684"/>
      <c r="AD1783" s="1684"/>
      <c r="AE1783" s="1684"/>
      <c r="AF1783" s="1684"/>
      <c r="AG1783" s="1684"/>
      <c r="AH1783" s="1684"/>
      <c r="AI1783" s="1684"/>
      <c r="AJ1783" s="1684"/>
      <c r="AK1783" s="1684"/>
      <c r="AL1783" s="1684"/>
      <c r="AM1783" s="1684"/>
      <c r="AN1783" s="1684"/>
      <c r="AO1783" s="1684"/>
      <c r="AP1783" s="1684"/>
      <c r="AQ1783" s="1684"/>
      <c r="AR1783" s="1684"/>
      <c r="AS1783" s="1684"/>
      <c r="AT1783" s="1684"/>
      <c r="AU1783" s="1684"/>
      <c r="AV1783" s="1684"/>
      <c r="AW1783" s="1684"/>
      <c r="AX1783" s="1684"/>
      <c r="AY1783" s="1684"/>
      <c r="AZ1783" s="1684"/>
      <c r="BA1783" s="1684"/>
      <c r="BB1783" s="1684"/>
      <c r="BC1783" s="1684"/>
      <c r="BD1783" s="1684"/>
      <c r="BE1783" s="1684"/>
      <c r="BF1783" s="1684"/>
      <c r="BG1783" s="1684"/>
      <c r="BH1783" s="1684"/>
      <c r="BI1783" s="1684"/>
      <c r="BJ1783" s="1684"/>
      <c r="BK1783" s="1684"/>
      <c r="BL1783" s="1684"/>
      <c r="BM1783" s="1684"/>
      <c r="BN1783" s="1684"/>
      <c r="BO1783" s="1684"/>
      <c r="BP1783" s="1684"/>
      <c r="BQ1783" s="1684"/>
      <c r="BR1783" s="1684"/>
      <c r="BS1783" s="1684"/>
      <c r="BT1783" s="1684"/>
      <c r="BU1783" s="1684"/>
      <c r="BV1783" s="1684"/>
      <c r="BW1783" s="1684"/>
      <c r="BX1783" s="1684"/>
      <c r="BY1783" s="1684"/>
      <c r="BZ1783" s="1684"/>
      <c r="CA1783" s="1684"/>
      <c r="CB1783" s="1684"/>
      <c r="CC1783" s="1684"/>
      <c r="CD1783" s="1684"/>
      <c r="CE1783" s="1684"/>
      <c r="CF1783" s="1684"/>
      <c r="CG1783" s="1684"/>
      <c r="CH1783" s="1684"/>
      <c r="CI1783" s="1684"/>
      <c r="CJ1783" s="1684"/>
      <c r="CK1783" s="1684"/>
      <c r="CL1783" s="1684"/>
      <c r="CM1783" s="1684"/>
      <c r="CN1783" s="1684"/>
      <c r="CO1783" s="1684"/>
    </row>
    <row r="1784" spans="1:93" s="1391" customFormat="1" ht="15" x14ac:dyDescent="0.2">
      <c r="A1784" s="1684"/>
      <c r="B1784" s="2026">
        <v>12</v>
      </c>
      <c r="C1784" s="2027">
        <v>6.9009999999999998</v>
      </c>
      <c r="D1784" s="2027">
        <v>409</v>
      </c>
      <c r="E1784" s="2027">
        <v>445</v>
      </c>
      <c r="F1784" s="2027">
        <v>480</v>
      </c>
      <c r="G1784" s="2027">
        <v>516</v>
      </c>
      <c r="H1784" s="2027">
        <v>551</v>
      </c>
      <c r="I1784" s="2027">
        <v>587</v>
      </c>
      <c r="J1784" s="2027">
        <v>623</v>
      </c>
      <c r="K1784" s="2027">
        <v>658</v>
      </c>
      <c r="L1784" s="2027">
        <v>694</v>
      </c>
      <c r="M1784" s="2028">
        <v>20</v>
      </c>
      <c r="N1784"/>
      <c r="O1784" s="1684"/>
      <c r="P1784" s="1684"/>
      <c r="Q1784" s="1684"/>
      <c r="R1784" s="1684"/>
      <c r="S1784" s="1684"/>
      <c r="T1784" s="1684"/>
      <c r="U1784" s="1684"/>
      <c r="V1784" s="1684"/>
      <c r="W1784" s="1684"/>
      <c r="X1784" s="1684"/>
      <c r="Y1784" s="1684"/>
      <c r="Z1784" s="1684"/>
      <c r="AA1784" s="1684"/>
      <c r="AB1784" s="1684"/>
      <c r="AC1784" s="1684"/>
      <c r="AD1784" s="1684"/>
      <c r="AE1784" s="1684"/>
      <c r="AF1784" s="1684"/>
      <c r="AG1784" s="1684"/>
      <c r="AH1784" s="1684"/>
      <c r="AI1784" s="1684"/>
      <c r="AJ1784" s="1684"/>
      <c r="AK1784" s="1684"/>
      <c r="AL1784" s="1684"/>
      <c r="AM1784" s="1684"/>
      <c r="AN1784" s="1684"/>
      <c r="AO1784" s="1684"/>
      <c r="AP1784" s="1684"/>
      <c r="AQ1784" s="1684"/>
      <c r="AR1784" s="1684"/>
      <c r="AS1784" s="1684"/>
      <c r="AT1784" s="1684"/>
      <c r="AU1784" s="1684"/>
      <c r="AV1784" s="1684"/>
      <c r="AW1784" s="1684"/>
      <c r="AX1784" s="1684"/>
      <c r="AY1784" s="1684"/>
      <c r="AZ1784" s="1684"/>
      <c r="BA1784" s="1684"/>
      <c r="BB1784" s="1684"/>
      <c r="BC1784" s="1684"/>
      <c r="BD1784" s="1684"/>
      <c r="BE1784" s="1684"/>
      <c r="BF1784" s="1684"/>
      <c r="BG1784" s="1684"/>
      <c r="BH1784" s="1684"/>
      <c r="BI1784" s="1684"/>
      <c r="BJ1784" s="1684"/>
      <c r="BK1784" s="1684"/>
      <c r="BL1784" s="1684"/>
      <c r="BM1784" s="1684"/>
      <c r="BN1784" s="1684"/>
      <c r="BO1784" s="1684"/>
      <c r="BP1784" s="1684"/>
      <c r="BQ1784" s="1684"/>
      <c r="BR1784" s="1684"/>
      <c r="BS1784" s="1684"/>
      <c r="BT1784" s="1684"/>
      <c r="BU1784" s="1684"/>
      <c r="BV1784" s="1684"/>
      <c r="BW1784" s="1684"/>
      <c r="BX1784" s="1684"/>
      <c r="BY1784" s="1684"/>
      <c r="BZ1784" s="1684"/>
      <c r="CA1784" s="1684"/>
      <c r="CB1784" s="1684"/>
      <c r="CC1784" s="1684"/>
      <c r="CD1784" s="1684"/>
      <c r="CE1784" s="1684"/>
      <c r="CF1784" s="1684"/>
      <c r="CG1784" s="1684"/>
      <c r="CH1784" s="1684"/>
      <c r="CI1784" s="1684"/>
      <c r="CJ1784" s="1684"/>
      <c r="CK1784" s="1684"/>
      <c r="CL1784" s="1684"/>
      <c r="CM1784" s="1684"/>
      <c r="CN1784" s="1684"/>
      <c r="CO1784" s="1684"/>
    </row>
    <row r="1785" spans="1:93" s="1391" customFormat="1" ht="15" x14ac:dyDescent="0.2">
      <c r="A1785" s="1684"/>
      <c r="B1785" s="2026">
        <v>13</v>
      </c>
      <c r="C1785" s="2027">
        <v>4.5250000000000004</v>
      </c>
      <c r="D1785" s="2027">
        <v>464</v>
      </c>
      <c r="E1785" s="2027">
        <v>505</v>
      </c>
      <c r="F1785" s="2027">
        <v>545</v>
      </c>
      <c r="G1785" s="2027">
        <v>586</v>
      </c>
      <c r="H1785" s="2027">
        <v>626</v>
      </c>
      <c r="I1785" s="2027">
        <v>666</v>
      </c>
      <c r="J1785" s="2027">
        <v>707</v>
      </c>
      <c r="K1785" s="2027">
        <v>747</v>
      </c>
      <c r="L1785" s="2027">
        <v>787</v>
      </c>
      <c r="M1785" s="2028">
        <v>21</v>
      </c>
      <c r="N1785"/>
      <c r="O1785" s="1684"/>
      <c r="P1785" s="1684"/>
      <c r="Q1785" s="1684"/>
      <c r="R1785" s="1684"/>
      <c r="S1785" s="1684"/>
      <c r="T1785" s="1684"/>
      <c r="U1785" s="1684"/>
      <c r="V1785" s="1684"/>
      <c r="W1785" s="1684"/>
      <c r="X1785" s="1684"/>
      <c r="Y1785" s="1684"/>
      <c r="Z1785" s="1684"/>
      <c r="AA1785" s="1684"/>
      <c r="AB1785" s="1684"/>
      <c r="AC1785" s="1684"/>
      <c r="AD1785" s="1684"/>
      <c r="AE1785" s="1684"/>
      <c r="AF1785" s="1684"/>
      <c r="AG1785" s="1684"/>
      <c r="AH1785" s="1684"/>
      <c r="AI1785" s="1684"/>
      <c r="AJ1785" s="1684"/>
      <c r="AK1785" s="1684"/>
      <c r="AL1785" s="1684"/>
      <c r="AM1785" s="1684"/>
      <c r="AN1785" s="1684"/>
      <c r="AO1785" s="1684"/>
      <c r="AP1785" s="1684"/>
      <c r="AQ1785" s="1684"/>
      <c r="AR1785" s="1684"/>
      <c r="AS1785" s="1684"/>
      <c r="AT1785" s="1684"/>
      <c r="AU1785" s="1684"/>
      <c r="AV1785" s="1684"/>
      <c r="AW1785" s="1684"/>
      <c r="AX1785" s="1684"/>
      <c r="AY1785" s="1684"/>
      <c r="AZ1785" s="1684"/>
      <c r="BA1785" s="1684"/>
      <c r="BB1785" s="1684"/>
      <c r="BC1785" s="1684"/>
      <c r="BD1785" s="1684"/>
      <c r="BE1785" s="1684"/>
      <c r="BF1785" s="1684"/>
      <c r="BG1785" s="1684"/>
      <c r="BH1785" s="1684"/>
      <c r="BI1785" s="1684"/>
      <c r="BJ1785" s="1684"/>
      <c r="BK1785" s="1684"/>
      <c r="BL1785" s="1684"/>
      <c r="BM1785" s="1684"/>
      <c r="BN1785" s="1684"/>
      <c r="BO1785" s="1684"/>
      <c r="BP1785" s="1684"/>
      <c r="BQ1785" s="1684"/>
      <c r="BR1785" s="1684"/>
      <c r="BS1785" s="1684"/>
      <c r="BT1785" s="1684"/>
      <c r="BU1785" s="1684"/>
      <c r="BV1785" s="1684"/>
      <c r="BW1785" s="1684"/>
      <c r="BX1785" s="1684"/>
      <c r="BY1785" s="1684"/>
      <c r="BZ1785" s="1684"/>
      <c r="CA1785" s="1684"/>
      <c r="CB1785" s="1684"/>
      <c r="CC1785" s="1684"/>
      <c r="CD1785" s="1684"/>
      <c r="CE1785" s="1684"/>
      <c r="CF1785" s="1684"/>
      <c r="CG1785" s="1684"/>
      <c r="CH1785" s="1684"/>
      <c r="CI1785" s="1684"/>
      <c r="CJ1785" s="1684"/>
      <c r="CK1785" s="1684"/>
      <c r="CL1785" s="1684"/>
      <c r="CM1785" s="1684"/>
      <c r="CN1785" s="1684"/>
      <c r="CO1785" s="1684"/>
    </row>
    <row r="1786" spans="1:93" s="1391" customFormat="1" ht="15" x14ac:dyDescent="0.2">
      <c r="A1786" s="1684"/>
      <c r="B1786" s="2026">
        <v>14</v>
      </c>
      <c r="C1786" s="2027">
        <v>8.2430000000000003</v>
      </c>
      <c r="D1786" s="2027">
        <v>528</v>
      </c>
      <c r="E1786" s="2027">
        <v>574</v>
      </c>
      <c r="F1786" s="2027">
        <v>620</v>
      </c>
      <c r="G1786" s="2027">
        <v>666</v>
      </c>
      <c r="H1786" s="2027">
        <v>712</v>
      </c>
      <c r="I1786" s="2027">
        <v>758</v>
      </c>
      <c r="J1786" s="2027">
        <v>804</v>
      </c>
      <c r="K1786" s="2029">
        <v>850</v>
      </c>
      <c r="L1786" s="2027">
        <v>896</v>
      </c>
      <c r="M1786" s="2028">
        <v>22</v>
      </c>
      <c r="N1786"/>
      <c r="O1786" s="1684"/>
      <c r="P1786" s="1684"/>
      <c r="Q1786" s="1684"/>
      <c r="R1786" s="1684"/>
      <c r="S1786" s="1684"/>
      <c r="T1786" s="1684"/>
      <c r="U1786" s="1684"/>
      <c r="V1786" s="1684"/>
      <c r="W1786" s="1684"/>
      <c r="X1786" s="1684"/>
      <c r="Y1786" s="1684"/>
      <c r="Z1786" s="1684"/>
      <c r="AA1786" s="1684"/>
      <c r="AB1786" s="1684"/>
      <c r="AC1786" s="1684"/>
      <c r="AD1786" s="1684"/>
      <c r="AE1786" s="1684"/>
      <c r="AF1786" s="1684"/>
      <c r="AG1786" s="1684"/>
      <c r="AH1786" s="1684"/>
      <c r="AI1786" s="1684"/>
      <c r="AJ1786" s="1684"/>
      <c r="AK1786" s="1684"/>
      <c r="AL1786" s="1684"/>
      <c r="AM1786" s="1684"/>
      <c r="AN1786" s="1684"/>
      <c r="AO1786" s="1684"/>
      <c r="AP1786" s="1684"/>
      <c r="AQ1786" s="1684"/>
      <c r="AR1786" s="1684"/>
      <c r="AS1786" s="1684"/>
      <c r="AT1786" s="1684"/>
      <c r="AU1786" s="1684"/>
      <c r="AV1786" s="1684"/>
      <c r="AW1786" s="1684"/>
      <c r="AX1786" s="1684"/>
      <c r="AY1786" s="1684"/>
      <c r="AZ1786" s="1684"/>
      <c r="BA1786" s="1684"/>
      <c r="BB1786" s="1684"/>
      <c r="BC1786" s="1684"/>
      <c r="BD1786" s="1684"/>
      <c r="BE1786" s="1684"/>
      <c r="BF1786" s="1684"/>
      <c r="BG1786" s="1684"/>
      <c r="BH1786" s="1684"/>
      <c r="BI1786" s="1684"/>
      <c r="BJ1786" s="1684"/>
      <c r="BK1786" s="1684"/>
      <c r="BL1786" s="1684"/>
      <c r="BM1786" s="1684"/>
      <c r="BN1786" s="1684"/>
      <c r="BO1786" s="1684"/>
      <c r="BP1786" s="1684"/>
      <c r="BQ1786" s="1684"/>
      <c r="BR1786" s="1684"/>
      <c r="BS1786" s="1684"/>
      <c r="BT1786" s="1684"/>
      <c r="BU1786" s="1684"/>
      <c r="BV1786" s="1684"/>
      <c r="BW1786" s="1684"/>
      <c r="BX1786" s="1684"/>
      <c r="BY1786" s="1684"/>
      <c r="BZ1786" s="1684"/>
      <c r="CA1786" s="1684"/>
      <c r="CB1786" s="1684"/>
      <c r="CC1786" s="1684"/>
      <c r="CD1786" s="1684"/>
      <c r="CE1786" s="1684"/>
      <c r="CF1786" s="1684"/>
      <c r="CG1786" s="1684"/>
      <c r="CH1786" s="1684"/>
      <c r="CI1786" s="1684"/>
      <c r="CJ1786" s="1684"/>
      <c r="CK1786" s="1684"/>
      <c r="CL1786" s="1684"/>
      <c r="CM1786" s="1684"/>
      <c r="CN1786" s="1684"/>
      <c r="CO1786" s="1684"/>
    </row>
    <row r="1787" spans="1:93" s="1391" customFormat="1" ht="15" x14ac:dyDescent="0.2">
      <c r="A1787" s="1684"/>
      <c r="B1787" s="2026">
        <v>15</v>
      </c>
      <c r="C1787" s="2027">
        <v>9.0489999999999995</v>
      </c>
      <c r="D1787" s="2027">
        <v>600</v>
      </c>
      <c r="E1787" s="2027">
        <v>652</v>
      </c>
      <c r="F1787" s="2027">
        <v>704</v>
      </c>
      <c r="G1787" s="2027">
        <v>756</v>
      </c>
      <c r="H1787" s="2027">
        <v>808</v>
      </c>
      <c r="I1787" s="2027">
        <v>861</v>
      </c>
      <c r="J1787" s="2027">
        <v>913</v>
      </c>
      <c r="K1787" s="2027">
        <v>965</v>
      </c>
      <c r="L1787" s="2027">
        <v>1017</v>
      </c>
      <c r="M1787" s="2028">
        <v>23</v>
      </c>
      <c r="N1787"/>
      <c r="O1787" s="1684"/>
      <c r="P1787" s="1684"/>
      <c r="Q1787" s="1684"/>
      <c r="R1787" s="1684"/>
      <c r="S1787" s="1684"/>
      <c r="T1787" s="1684"/>
      <c r="U1787" s="1684"/>
      <c r="V1787" s="1684"/>
      <c r="W1787" s="1684"/>
      <c r="X1787" s="1684"/>
      <c r="Y1787" s="1684"/>
      <c r="Z1787" s="1684"/>
      <c r="AA1787" s="1684"/>
      <c r="AB1787" s="1684"/>
      <c r="AC1787" s="1684"/>
      <c r="AD1787" s="1684"/>
      <c r="AE1787" s="1684"/>
      <c r="AF1787" s="1684"/>
      <c r="AG1787" s="1684"/>
      <c r="AH1787" s="1684"/>
      <c r="AI1787" s="1684"/>
      <c r="AJ1787" s="1684"/>
      <c r="AK1787" s="1684"/>
      <c r="AL1787" s="1684"/>
      <c r="AM1787" s="1684"/>
      <c r="AN1787" s="1684"/>
      <c r="AO1787" s="1684"/>
      <c r="AP1787" s="1684"/>
      <c r="AQ1787" s="1684"/>
      <c r="AR1787" s="1684"/>
      <c r="AS1787" s="1684"/>
      <c r="AT1787" s="1684"/>
      <c r="AU1787" s="1684"/>
      <c r="AV1787" s="1684"/>
      <c r="AW1787" s="1684"/>
      <c r="AX1787" s="1684"/>
      <c r="AY1787" s="1684"/>
      <c r="AZ1787" s="1684"/>
      <c r="BA1787" s="1684"/>
      <c r="BB1787" s="1684"/>
      <c r="BC1787" s="1684"/>
      <c r="BD1787" s="1684"/>
      <c r="BE1787" s="1684"/>
      <c r="BF1787" s="1684"/>
      <c r="BG1787" s="1684"/>
      <c r="BH1787" s="1684"/>
      <c r="BI1787" s="1684"/>
      <c r="BJ1787" s="1684"/>
      <c r="BK1787" s="1684"/>
      <c r="BL1787" s="1684"/>
      <c r="BM1787" s="1684"/>
      <c r="BN1787" s="1684"/>
      <c r="BO1787" s="1684"/>
      <c r="BP1787" s="1684"/>
      <c r="BQ1787" s="1684"/>
      <c r="BR1787" s="1684"/>
      <c r="BS1787" s="1684"/>
      <c r="BT1787" s="1684"/>
      <c r="BU1787" s="1684"/>
      <c r="BV1787" s="1684"/>
      <c r="BW1787" s="1684"/>
      <c r="BX1787" s="1684"/>
      <c r="BY1787" s="1684"/>
      <c r="BZ1787" s="1684"/>
      <c r="CA1787" s="1684"/>
      <c r="CB1787" s="1684"/>
      <c r="CC1787" s="1684"/>
      <c r="CD1787" s="1684"/>
      <c r="CE1787" s="1684"/>
      <c r="CF1787" s="1684"/>
      <c r="CG1787" s="1684"/>
      <c r="CH1787" s="1684"/>
      <c r="CI1787" s="1684"/>
      <c r="CJ1787" s="1684"/>
      <c r="CK1787" s="1684"/>
      <c r="CL1787" s="1684"/>
      <c r="CM1787" s="1684"/>
      <c r="CN1787" s="1684"/>
      <c r="CO1787" s="1684"/>
    </row>
    <row r="1788" spans="1:93" s="1391" customFormat="1" ht="15" x14ac:dyDescent="0.2">
      <c r="A1788" s="1684"/>
      <c r="B1788" s="2026">
        <v>16</v>
      </c>
      <c r="C1788" s="2027">
        <v>9.9160000000000004</v>
      </c>
      <c r="D1788" s="2027">
        <v>678</v>
      </c>
      <c r="E1788" s="2027">
        <v>737</v>
      </c>
      <c r="F1788" s="2027">
        <v>795</v>
      </c>
      <c r="G1788" s="2027">
        <v>854</v>
      </c>
      <c r="H1788" s="2027">
        <v>913</v>
      </c>
      <c r="I1788" s="2027">
        <v>972</v>
      </c>
      <c r="J1788" s="2027">
        <v>1031</v>
      </c>
      <c r="K1788" s="2027">
        <v>1099</v>
      </c>
      <c r="L1788" s="2027">
        <v>1149</v>
      </c>
      <c r="M1788" s="2028">
        <v>24</v>
      </c>
      <c r="N1788"/>
      <c r="O1788" s="1684"/>
      <c r="P1788" s="1684"/>
      <c r="Q1788" s="1684"/>
      <c r="R1788" s="1684"/>
      <c r="S1788" s="1684"/>
      <c r="T1788" s="1684"/>
      <c r="U1788" s="1684"/>
      <c r="V1788" s="1684"/>
      <c r="W1788" s="1684"/>
      <c r="X1788" s="1684"/>
      <c r="Y1788" s="1684"/>
      <c r="Z1788" s="1684"/>
      <c r="AA1788" s="1684"/>
      <c r="AB1788" s="1684"/>
      <c r="AC1788" s="1684"/>
      <c r="AD1788" s="1684"/>
      <c r="AE1788" s="1684"/>
      <c r="AF1788" s="1684"/>
      <c r="AG1788" s="1684"/>
      <c r="AH1788" s="1684"/>
      <c r="AI1788" s="1684"/>
      <c r="AJ1788" s="1684"/>
      <c r="AK1788" s="1684"/>
      <c r="AL1788" s="1684"/>
      <c r="AM1788" s="1684"/>
      <c r="AN1788" s="1684"/>
      <c r="AO1788" s="1684"/>
      <c r="AP1788" s="1684"/>
      <c r="AQ1788" s="1684"/>
      <c r="AR1788" s="1684"/>
      <c r="AS1788" s="1684"/>
      <c r="AT1788" s="1684"/>
      <c r="AU1788" s="1684"/>
      <c r="AV1788" s="1684"/>
      <c r="AW1788" s="1684"/>
      <c r="AX1788" s="1684"/>
      <c r="AY1788" s="1684"/>
      <c r="AZ1788" s="1684"/>
      <c r="BA1788" s="1684"/>
      <c r="BB1788" s="1684"/>
      <c r="BC1788" s="1684"/>
      <c r="BD1788" s="1684"/>
      <c r="BE1788" s="1684"/>
      <c r="BF1788" s="1684"/>
      <c r="BG1788" s="1684"/>
      <c r="BH1788" s="1684"/>
      <c r="BI1788" s="1684"/>
      <c r="BJ1788" s="1684"/>
      <c r="BK1788" s="1684"/>
      <c r="BL1788" s="1684"/>
      <c r="BM1788" s="1684"/>
      <c r="BN1788" s="1684"/>
      <c r="BO1788" s="1684"/>
      <c r="BP1788" s="1684"/>
      <c r="BQ1788" s="1684"/>
      <c r="BR1788" s="1684"/>
      <c r="BS1788" s="1684"/>
      <c r="BT1788" s="1684"/>
      <c r="BU1788" s="1684"/>
      <c r="BV1788" s="1684"/>
      <c r="BW1788" s="1684"/>
      <c r="BX1788" s="1684"/>
      <c r="BY1788" s="1684"/>
      <c r="BZ1788" s="1684"/>
      <c r="CA1788" s="1684"/>
      <c r="CB1788" s="1684"/>
      <c r="CC1788" s="1684"/>
      <c r="CD1788" s="1684"/>
      <c r="CE1788" s="1684"/>
      <c r="CF1788" s="1684"/>
      <c r="CG1788" s="1684"/>
      <c r="CH1788" s="1684"/>
      <c r="CI1788" s="1684"/>
      <c r="CJ1788" s="1684"/>
      <c r="CK1788" s="1684"/>
      <c r="CL1788" s="1684"/>
      <c r="CM1788" s="1684"/>
      <c r="CN1788" s="1684"/>
      <c r="CO1788" s="1684"/>
    </row>
    <row r="1789" spans="1:93" s="1391" customFormat="1" ht="15" x14ac:dyDescent="0.2">
      <c r="A1789" s="1684"/>
      <c r="B1789" s="4716" t="s">
        <v>1055</v>
      </c>
      <c r="C1789" s="4711"/>
      <c r="D1789" s="4711"/>
      <c r="E1789" s="4711"/>
      <c r="F1789" s="4711"/>
      <c r="G1789" s="4711"/>
      <c r="H1789" s="4711"/>
      <c r="I1789" s="4711"/>
      <c r="J1789" s="4711"/>
      <c r="K1789" s="4711"/>
      <c r="L1789" s="4711"/>
      <c r="M1789" s="4717"/>
      <c r="N1789"/>
      <c r="O1789" s="1684"/>
      <c r="P1789" s="1684"/>
      <c r="Q1789" s="1684"/>
      <c r="R1789" s="1684"/>
      <c r="S1789" s="1684"/>
      <c r="T1789" s="1684"/>
      <c r="U1789" s="1684"/>
      <c r="V1789" s="1684"/>
      <c r="W1789" s="1684"/>
      <c r="X1789" s="1684"/>
      <c r="Y1789" s="1684"/>
      <c r="Z1789" s="1684"/>
      <c r="AA1789" s="1684"/>
      <c r="AB1789" s="1684"/>
      <c r="AC1789" s="1684"/>
      <c r="AD1789" s="1684"/>
      <c r="AE1789" s="1684"/>
      <c r="AF1789" s="1684"/>
      <c r="AG1789" s="1684"/>
      <c r="AH1789" s="1684"/>
      <c r="AI1789" s="1684"/>
      <c r="AJ1789" s="1684"/>
      <c r="AK1789" s="1684"/>
      <c r="AL1789" s="1684"/>
      <c r="AM1789" s="1684"/>
      <c r="AN1789" s="1684"/>
      <c r="AO1789" s="1684"/>
      <c r="AP1789" s="1684"/>
      <c r="AQ1789" s="1684"/>
      <c r="AR1789" s="1684"/>
      <c r="AS1789" s="1684"/>
      <c r="AT1789" s="1684"/>
      <c r="AU1789" s="1684"/>
      <c r="AV1789" s="1684"/>
      <c r="AW1789" s="1684"/>
      <c r="AX1789" s="1684"/>
      <c r="AY1789" s="1684"/>
      <c r="AZ1789" s="1684"/>
      <c r="BA1789" s="1684"/>
      <c r="BB1789" s="1684"/>
      <c r="BC1789" s="1684"/>
      <c r="BD1789" s="1684"/>
      <c r="BE1789" s="1684"/>
      <c r="BF1789" s="1684"/>
      <c r="BG1789" s="1684"/>
      <c r="BH1789" s="1684"/>
      <c r="BI1789" s="1684"/>
      <c r="BJ1789" s="1684"/>
      <c r="BK1789" s="1684"/>
      <c r="BL1789" s="1684"/>
      <c r="BM1789" s="1684"/>
      <c r="BN1789" s="1684"/>
      <c r="BO1789" s="1684"/>
      <c r="BP1789" s="1684"/>
      <c r="BQ1789" s="1684"/>
      <c r="BR1789" s="1684"/>
      <c r="BS1789" s="1684"/>
      <c r="BT1789" s="1684"/>
      <c r="BU1789" s="1684"/>
      <c r="BV1789" s="1684"/>
      <c r="BW1789" s="1684"/>
      <c r="BX1789" s="1684"/>
      <c r="BY1789" s="1684"/>
      <c r="BZ1789" s="1684"/>
      <c r="CA1789" s="1684"/>
      <c r="CB1789" s="1684"/>
      <c r="CC1789" s="1684"/>
      <c r="CD1789" s="1684"/>
      <c r="CE1789" s="1684"/>
      <c r="CF1789" s="1684"/>
      <c r="CG1789" s="1684"/>
      <c r="CH1789" s="1684"/>
      <c r="CI1789" s="1684"/>
      <c r="CJ1789" s="1684"/>
      <c r="CK1789" s="1684"/>
      <c r="CL1789" s="1684"/>
      <c r="CM1789" s="1684"/>
      <c r="CN1789" s="1684"/>
      <c r="CO1789" s="1684"/>
    </row>
    <row r="1790" spans="1:93" s="1391" customFormat="1" ht="15" x14ac:dyDescent="0.2">
      <c r="A1790" s="1684"/>
      <c r="B1790" s="2023"/>
      <c r="C1790" s="2024"/>
      <c r="D1790" s="2024">
        <v>1</v>
      </c>
      <c r="E1790" s="2024">
        <v>2</v>
      </c>
      <c r="F1790" s="2024">
        <v>3</v>
      </c>
      <c r="G1790" s="2024">
        <v>4</v>
      </c>
      <c r="H1790" s="2024">
        <v>5</v>
      </c>
      <c r="I1790" s="2024">
        <v>6</v>
      </c>
      <c r="J1790" s="2024">
        <v>7</v>
      </c>
      <c r="K1790" s="2024">
        <v>8</v>
      </c>
      <c r="L1790" s="2024">
        <v>9</v>
      </c>
      <c r="M1790" s="2025"/>
      <c r="N1790"/>
      <c r="O1790" s="1684"/>
      <c r="P1790" s="1684"/>
      <c r="Q1790" s="1684"/>
      <c r="R1790" s="1684"/>
      <c r="S1790" s="1684"/>
      <c r="T1790" s="1684"/>
      <c r="U1790" s="1684"/>
      <c r="V1790" s="1684"/>
      <c r="W1790" s="1684"/>
      <c r="X1790" s="1684"/>
      <c r="Y1790" s="1684"/>
      <c r="Z1790" s="1684"/>
      <c r="AA1790" s="1684"/>
      <c r="AB1790" s="1684"/>
      <c r="AC1790" s="1684"/>
      <c r="AD1790" s="1684"/>
      <c r="AE1790" s="1684"/>
      <c r="AF1790" s="1684"/>
      <c r="AG1790" s="1684"/>
      <c r="AH1790" s="1684"/>
      <c r="AI1790" s="1684"/>
      <c r="AJ1790" s="1684"/>
      <c r="AK1790" s="1684"/>
      <c r="AL1790" s="1684"/>
      <c r="AM1790" s="1684"/>
      <c r="AN1790" s="1684"/>
      <c r="AO1790" s="1684"/>
      <c r="AP1790" s="1684"/>
      <c r="AQ1790" s="1684"/>
      <c r="AR1790" s="1684"/>
      <c r="AS1790" s="1684"/>
      <c r="AT1790" s="1684"/>
      <c r="AU1790" s="1684"/>
      <c r="AV1790" s="1684"/>
      <c r="AW1790" s="1684"/>
      <c r="AX1790" s="1684"/>
      <c r="AY1790" s="1684"/>
      <c r="AZ1790" s="1684"/>
      <c r="BA1790" s="1684"/>
      <c r="BB1790" s="1684"/>
      <c r="BC1790" s="1684"/>
      <c r="BD1790" s="1684"/>
      <c r="BE1790" s="1684"/>
      <c r="BF1790" s="1684"/>
      <c r="BG1790" s="1684"/>
      <c r="BH1790" s="1684"/>
      <c r="BI1790" s="1684"/>
      <c r="BJ1790" s="1684"/>
      <c r="BK1790" s="1684"/>
      <c r="BL1790" s="1684"/>
      <c r="BM1790" s="1684"/>
      <c r="BN1790" s="1684"/>
      <c r="BO1790" s="1684"/>
      <c r="BP1790" s="1684"/>
      <c r="BQ1790" s="1684"/>
      <c r="BR1790" s="1684"/>
      <c r="BS1790" s="1684"/>
      <c r="BT1790" s="1684"/>
      <c r="BU1790" s="1684"/>
      <c r="BV1790" s="1684"/>
      <c r="BW1790" s="1684"/>
      <c r="BX1790" s="1684"/>
      <c r="BY1790" s="1684"/>
      <c r="BZ1790" s="1684"/>
      <c r="CA1790" s="1684"/>
      <c r="CB1790" s="1684"/>
      <c r="CC1790" s="1684"/>
      <c r="CD1790" s="1684"/>
      <c r="CE1790" s="1684"/>
      <c r="CF1790" s="1684"/>
      <c r="CG1790" s="1684"/>
      <c r="CH1790" s="1684"/>
      <c r="CI1790" s="1684"/>
      <c r="CJ1790" s="1684"/>
      <c r="CK1790" s="1684"/>
      <c r="CL1790" s="1684"/>
      <c r="CM1790" s="1684"/>
      <c r="CN1790" s="1684"/>
      <c r="CO1790" s="1684"/>
    </row>
    <row r="1791" spans="1:93" s="1391" customFormat="1" ht="15" x14ac:dyDescent="0.2">
      <c r="A1791" s="1684"/>
      <c r="B1791" s="2026">
        <v>9</v>
      </c>
      <c r="C1791" s="2027">
        <v>5.4039999999999999</v>
      </c>
      <c r="D1791" s="2027">
        <v>283</v>
      </c>
      <c r="E1791" s="2027">
        <v>308</v>
      </c>
      <c r="F1791" s="2027">
        <v>332</v>
      </c>
      <c r="G1791" s="2027">
        <v>357</v>
      </c>
      <c r="H1791" s="2027">
        <v>382</v>
      </c>
      <c r="I1791" s="2027">
        <v>406</v>
      </c>
      <c r="J1791" s="2027">
        <v>431</v>
      </c>
      <c r="K1791" s="2027">
        <v>455</v>
      </c>
      <c r="L1791" s="2027">
        <v>480</v>
      </c>
      <c r="M1791" s="2028">
        <v>25</v>
      </c>
      <c r="N1791"/>
      <c r="O1791" s="1684"/>
      <c r="P1791" s="1684"/>
      <c r="Q1791" s="1684"/>
      <c r="R1791" s="1684"/>
      <c r="S1791" s="1684"/>
      <c r="T1791" s="1684"/>
      <c r="U1791" s="1684"/>
      <c r="V1791" s="1684"/>
      <c r="W1791" s="1684"/>
      <c r="X1791" s="1684"/>
      <c r="Y1791" s="1684"/>
      <c r="Z1791" s="1684"/>
      <c r="AA1791" s="1684"/>
      <c r="AB1791" s="1684"/>
      <c r="AC1791" s="1684"/>
      <c r="AD1791" s="1684"/>
      <c r="AE1791" s="1684"/>
      <c r="AF1791" s="1684"/>
      <c r="AG1791" s="1684"/>
      <c r="AH1791" s="1684"/>
      <c r="AI1791" s="1684"/>
      <c r="AJ1791" s="1684"/>
      <c r="AK1791" s="1684"/>
      <c r="AL1791" s="1684"/>
      <c r="AM1791" s="1684"/>
      <c r="AN1791" s="1684"/>
      <c r="AO1791" s="1684"/>
      <c r="AP1791" s="1684"/>
      <c r="AQ1791" s="1684"/>
      <c r="AR1791" s="1684"/>
      <c r="AS1791" s="1684"/>
      <c r="AT1791" s="1684"/>
      <c r="AU1791" s="1684"/>
      <c r="AV1791" s="1684"/>
      <c r="AW1791" s="1684"/>
      <c r="AX1791" s="1684"/>
      <c r="AY1791" s="1684"/>
      <c r="AZ1791" s="1684"/>
      <c r="BA1791" s="1684"/>
      <c r="BB1791" s="1684"/>
      <c r="BC1791" s="1684"/>
      <c r="BD1791" s="1684"/>
      <c r="BE1791" s="1684"/>
      <c r="BF1791" s="1684"/>
      <c r="BG1791" s="1684"/>
      <c r="BH1791" s="1684"/>
      <c r="BI1791" s="1684"/>
      <c r="BJ1791" s="1684"/>
      <c r="BK1791" s="1684"/>
      <c r="BL1791" s="1684"/>
      <c r="BM1791" s="1684"/>
      <c r="BN1791" s="1684"/>
      <c r="BO1791" s="1684"/>
      <c r="BP1791" s="1684"/>
      <c r="BQ1791" s="1684"/>
      <c r="BR1791" s="1684"/>
      <c r="BS1791" s="1684"/>
      <c r="BT1791" s="1684"/>
      <c r="BU1791" s="1684"/>
      <c r="BV1791" s="1684"/>
      <c r="BW1791" s="1684"/>
      <c r="BX1791" s="1684"/>
      <c r="BY1791" s="1684"/>
      <c r="BZ1791" s="1684"/>
      <c r="CA1791" s="1684"/>
      <c r="CB1791" s="1684"/>
      <c r="CC1791" s="1684"/>
      <c r="CD1791" s="1684"/>
      <c r="CE1791" s="1684"/>
      <c r="CF1791" s="1684"/>
      <c r="CG1791" s="1684"/>
      <c r="CH1791" s="1684"/>
      <c r="CI1791" s="1684"/>
      <c r="CJ1791" s="1684"/>
      <c r="CK1791" s="1684"/>
      <c r="CL1791" s="1684"/>
      <c r="CM1791" s="1684"/>
      <c r="CN1791" s="1684"/>
      <c r="CO1791" s="1684"/>
    </row>
    <row r="1792" spans="1:93" s="1391" customFormat="1" ht="15" x14ac:dyDescent="0.2">
      <c r="A1792" s="1684"/>
      <c r="B1792" s="2026">
        <v>10</v>
      </c>
      <c r="C1792" s="2027">
        <v>5.827</v>
      </c>
      <c r="D1792" s="2027">
        <v>322</v>
      </c>
      <c r="E1792" s="2027">
        <v>350</v>
      </c>
      <c r="F1792" s="2027">
        <v>377</v>
      </c>
      <c r="G1792" s="2027">
        <v>405</v>
      </c>
      <c r="H1792" s="2027">
        <v>433</v>
      </c>
      <c r="I1792" s="2027">
        <v>461</v>
      </c>
      <c r="J1792" s="2027">
        <v>489</v>
      </c>
      <c r="K1792" s="2027">
        <v>517</v>
      </c>
      <c r="L1792" s="2027">
        <v>545</v>
      </c>
      <c r="M1792" s="2028">
        <v>26</v>
      </c>
      <c r="N1792"/>
      <c r="O1792" s="1684"/>
      <c r="P1792" s="1684"/>
      <c r="Q1792" s="1684"/>
      <c r="R1792" s="1684"/>
      <c r="S1792" s="1684"/>
      <c r="T1792" s="1684"/>
      <c r="U1792" s="1684"/>
      <c r="V1792" s="1684"/>
      <c r="W1792" s="1684"/>
      <c r="X1792" s="1684"/>
      <c r="Y1792" s="1684"/>
      <c r="Z1792" s="1684"/>
      <c r="AA1792" s="1684"/>
      <c r="AB1792" s="1684"/>
      <c r="AC1792" s="1684"/>
      <c r="AD1792" s="1684"/>
      <c r="AE1792" s="1684"/>
      <c r="AF1792" s="1684"/>
      <c r="AG1792" s="1684"/>
      <c r="AH1792" s="1684"/>
      <c r="AI1792" s="1684"/>
      <c r="AJ1792" s="1684"/>
      <c r="AK1792" s="1684"/>
      <c r="AL1792" s="1684"/>
      <c r="AM1792" s="1684"/>
      <c r="AN1792" s="1684"/>
      <c r="AO1792" s="1684"/>
      <c r="AP1792" s="1684"/>
      <c r="AQ1792" s="1684"/>
      <c r="AR1792" s="1684"/>
      <c r="AS1792" s="1684"/>
      <c r="AT1792" s="1684"/>
      <c r="AU1792" s="1684"/>
      <c r="AV1792" s="1684"/>
      <c r="AW1792" s="1684"/>
      <c r="AX1792" s="1684"/>
      <c r="AY1792" s="1684"/>
      <c r="AZ1792" s="1684"/>
      <c r="BA1792" s="1684"/>
      <c r="BB1792" s="1684"/>
      <c r="BC1792" s="1684"/>
      <c r="BD1792" s="1684"/>
      <c r="BE1792" s="1684"/>
      <c r="BF1792" s="1684"/>
      <c r="BG1792" s="1684"/>
      <c r="BH1792" s="1684"/>
      <c r="BI1792" s="1684"/>
      <c r="BJ1792" s="1684"/>
      <c r="BK1792" s="1684"/>
      <c r="BL1792" s="1684"/>
      <c r="BM1792" s="1684"/>
      <c r="BN1792" s="1684"/>
      <c r="BO1792" s="1684"/>
      <c r="BP1792" s="1684"/>
      <c r="BQ1792" s="1684"/>
      <c r="BR1792" s="1684"/>
      <c r="BS1792" s="1684"/>
      <c r="BT1792" s="1684"/>
      <c r="BU1792" s="1684"/>
      <c r="BV1792" s="1684"/>
      <c r="BW1792" s="1684"/>
      <c r="BX1792" s="1684"/>
      <c r="BY1792" s="1684"/>
      <c r="BZ1792" s="1684"/>
      <c r="CA1792" s="1684"/>
      <c r="CB1792" s="1684"/>
      <c r="CC1792" s="1684"/>
      <c r="CD1792" s="1684"/>
      <c r="CE1792" s="1684"/>
      <c r="CF1792" s="1684"/>
      <c r="CG1792" s="1684"/>
      <c r="CH1792" s="1684"/>
      <c r="CI1792" s="1684"/>
      <c r="CJ1792" s="1684"/>
      <c r="CK1792" s="1684"/>
      <c r="CL1792" s="1684"/>
      <c r="CM1792" s="1684"/>
      <c r="CN1792" s="1684"/>
      <c r="CO1792" s="1684"/>
    </row>
    <row r="1793" spans="1:93" s="1391" customFormat="1" ht="15" x14ac:dyDescent="0.2">
      <c r="A1793" s="1684"/>
      <c r="B1793" s="2026">
        <v>11</v>
      </c>
      <c r="C1793" s="2027">
        <v>6.3319999999999999</v>
      </c>
      <c r="D1793" s="2027">
        <v>367</v>
      </c>
      <c r="E1793" s="2027">
        <v>399</v>
      </c>
      <c r="F1793" s="2027">
        <v>431</v>
      </c>
      <c r="G1793" s="2027">
        <v>463</v>
      </c>
      <c r="H1793" s="2027">
        <v>495</v>
      </c>
      <c r="I1793" s="2027">
        <v>527</v>
      </c>
      <c r="J1793" s="2027">
        <v>559</v>
      </c>
      <c r="K1793" s="2027">
        <v>591</v>
      </c>
      <c r="L1793" s="2027">
        <v>623</v>
      </c>
      <c r="M1793" s="2028">
        <v>27</v>
      </c>
      <c r="N1793"/>
      <c r="O1793" s="1684"/>
      <c r="P1793" s="1684"/>
      <c r="Q1793" s="1684"/>
      <c r="R1793" s="1684"/>
      <c r="S1793" s="1684"/>
      <c r="T1793" s="1684"/>
      <c r="U1793" s="1684"/>
      <c r="V1793" s="1684"/>
      <c r="W1793" s="1684"/>
      <c r="X1793" s="1684"/>
      <c r="Y1793" s="1684"/>
      <c r="Z1793" s="1684"/>
      <c r="AA1793" s="1684"/>
      <c r="AB1793" s="1684"/>
      <c r="AC1793" s="1684"/>
      <c r="AD1793" s="1684"/>
      <c r="AE1793" s="1684"/>
      <c r="AF1793" s="1684"/>
      <c r="AG1793" s="1684"/>
      <c r="AH1793" s="1684"/>
      <c r="AI1793" s="1684"/>
      <c r="AJ1793" s="1684"/>
      <c r="AK1793" s="1684"/>
      <c r="AL1793" s="1684"/>
      <c r="AM1793" s="1684"/>
      <c r="AN1793" s="1684"/>
      <c r="AO1793" s="1684"/>
      <c r="AP1793" s="1684"/>
      <c r="AQ1793" s="1684"/>
      <c r="AR1793" s="1684"/>
      <c r="AS1793" s="1684"/>
      <c r="AT1793" s="1684"/>
      <c r="AU1793" s="1684"/>
      <c r="AV1793" s="1684"/>
      <c r="AW1793" s="1684"/>
      <c r="AX1793" s="1684"/>
      <c r="AY1793" s="1684"/>
      <c r="AZ1793" s="1684"/>
      <c r="BA1793" s="1684"/>
      <c r="BB1793" s="1684"/>
      <c r="BC1793" s="1684"/>
      <c r="BD1793" s="1684"/>
      <c r="BE1793" s="1684"/>
      <c r="BF1793" s="1684"/>
      <c r="BG1793" s="1684"/>
      <c r="BH1793" s="1684"/>
      <c r="BI1793" s="1684"/>
      <c r="BJ1793" s="1684"/>
      <c r="BK1793" s="1684"/>
      <c r="BL1793" s="1684"/>
      <c r="BM1793" s="1684"/>
      <c r="BN1793" s="1684"/>
      <c r="BO1793" s="1684"/>
      <c r="BP1793" s="1684"/>
      <c r="BQ1793" s="1684"/>
      <c r="BR1793" s="1684"/>
      <c r="BS1793" s="1684"/>
      <c r="BT1793" s="1684"/>
      <c r="BU1793" s="1684"/>
      <c r="BV1793" s="1684"/>
      <c r="BW1793" s="1684"/>
      <c r="BX1793" s="1684"/>
      <c r="BY1793" s="1684"/>
      <c r="BZ1793" s="1684"/>
      <c r="CA1793" s="1684"/>
      <c r="CB1793" s="1684"/>
      <c r="CC1793" s="1684"/>
      <c r="CD1793" s="1684"/>
      <c r="CE1793" s="1684"/>
      <c r="CF1793" s="1684"/>
      <c r="CG1793" s="1684"/>
      <c r="CH1793" s="1684"/>
      <c r="CI1793" s="1684"/>
      <c r="CJ1793" s="1684"/>
      <c r="CK1793" s="1684"/>
      <c r="CL1793" s="1684"/>
      <c r="CM1793" s="1684"/>
      <c r="CN1793" s="1684"/>
      <c r="CO1793" s="1684"/>
    </row>
    <row r="1794" spans="1:93" s="1391" customFormat="1" ht="15" x14ac:dyDescent="0.2">
      <c r="A1794" s="1684"/>
      <c r="B1794" s="2026">
        <v>12</v>
      </c>
      <c r="C1794" s="2027">
        <v>6.9009999999999998</v>
      </c>
      <c r="D1794" s="2027">
        <v>420</v>
      </c>
      <c r="E1794" s="2027">
        <v>456</v>
      </c>
      <c r="F1794" s="2027">
        <v>493</v>
      </c>
      <c r="G1794" s="2027">
        <v>529</v>
      </c>
      <c r="H1794" s="2027">
        <v>566</v>
      </c>
      <c r="I1794" s="2027">
        <v>602</v>
      </c>
      <c r="J1794" s="2027">
        <v>638</v>
      </c>
      <c r="K1794" s="2027">
        <v>675</v>
      </c>
      <c r="L1794" s="2027">
        <v>711</v>
      </c>
      <c r="M1794" s="2028">
        <v>28</v>
      </c>
      <c r="N1794"/>
      <c r="O1794" s="1684"/>
      <c r="P1794" s="1684"/>
      <c r="Q1794" s="1684"/>
      <c r="R1794" s="1684"/>
      <c r="S1794" s="1684"/>
      <c r="T1794" s="1684"/>
      <c r="U1794" s="1684"/>
      <c r="V1794" s="1684"/>
      <c r="W1794" s="1684"/>
      <c r="X1794" s="1684"/>
      <c r="Y1794" s="1684"/>
      <c r="Z1794" s="1684"/>
      <c r="AA1794" s="1684"/>
      <c r="AB1794" s="1684"/>
      <c r="AC1794" s="1684"/>
      <c r="AD1794" s="1684"/>
      <c r="AE1794" s="1684"/>
      <c r="AF1794" s="1684"/>
      <c r="AG1794" s="1684"/>
      <c r="AH1794" s="1684"/>
      <c r="AI1794" s="1684"/>
      <c r="AJ1794" s="1684"/>
      <c r="AK1794" s="1684"/>
      <c r="AL1794" s="1684"/>
      <c r="AM1794" s="1684"/>
      <c r="AN1794" s="1684"/>
      <c r="AO1794" s="1684"/>
      <c r="AP1794" s="1684"/>
      <c r="AQ1794" s="1684"/>
      <c r="AR1794" s="1684"/>
      <c r="AS1794" s="1684"/>
      <c r="AT1794" s="1684"/>
      <c r="AU1794" s="1684"/>
      <c r="AV1794" s="1684"/>
      <c r="AW1794" s="1684"/>
      <c r="AX1794" s="1684"/>
      <c r="AY1794" s="1684"/>
      <c r="AZ1794" s="1684"/>
      <c r="BA1794" s="1684"/>
      <c r="BB1794" s="1684"/>
      <c r="BC1794" s="1684"/>
      <c r="BD1794" s="1684"/>
      <c r="BE1794" s="1684"/>
      <c r="BF1794" s="1684"/>
      <c r="BG1794" s="1684"/>
      <c r="BH1794" s="1684"/>
      <c r="BI1794" s="1684"/>
      <c r="BJ1794" s="1684"/>
      <c r="BK1794" s="1684"/>
      <c r="BL1794" s="1684"/>
      <c r="BM1794" s="1684"/>
      <c r="BN1794" s="1684"/>
      <c r="BO1794" s="1684"/>
      <c r="BP1794" s="1684"/>
      <c r="BQ1794" s="1684"/>
      <c r="BR1794" s="1684"/>
      <c r="BS1794" s="1684"/>
      <c r="BT1794" s="1684"/>
      <c r="BU1794" s="1684"/>
      <c r="BV1794" s="1684"/>
      <c r="BW1794" s="1684"/>
      <c r="BX1794" s="1684"/>
      <c r="BY1794" s="1684"/>
      <c r="BZ1794" s="1684"/>
      <c r="CA1794" s="1684"/>
      <c r="CB1794" s="1684"/>
      <c r="CC1794" s="1684"/>
      <c r="CD1794" s="1684"/>
      <c r="CE1794" s="1684"/>
      <c r="CF1794" s="1684"/>
      <c r="CG1794" s="1684"/>
      <c r="CH1794" s="1684"/>
      <c r="CI1794" s="1684"/>
      <c r="CJ1794" s="1684"/>
      <c r="CK1794" s="1684"/>
      <c r="CL1794" s="1684"/>
      <c r="CM1794" s="1684"/>
      <c r="CN1794" s="1684"/>
      <c r="CO1794" s="1684"/>
    </row>
    <row r="1795" spans="1:93" s="1391" customFormat="1" ht="15" x14ac:dyDescent="0.2">
      <c r="A1795" s="1684"/>
      <c r="B1795" s="2026">
        <v>13</v>
      </c>
      <c r="C1795" s="2027">
        <v>4.5250000000000004</v>
      </c>
      <c r="D1795" s="2027">
        <v>477</v>
      </c>
      <c r="E1795" s="2027">
        <v>518</v>
      </c>
      <c r="F1795" s="2027">
        <v>560</v>
      </c>
      <c r="G1795" s="2027">
        <v>601</v>
      </c>
      <c r="H1795" s="2027">
        <v>643</v>
      </c>
      <c r="I1795" s="2027">
        <v>684</v>
      </c>
      <c r="J1795" s="2027">
        <v>725</v>
      </c>
      <c r="K1795" s="2027">
        <v>767</v>
      </c>
      <c r="L1795" s="2027">
        <v>808</v>
      </c>
      <c r="M1795" s="2028">
        <v>29</v>
      </c>
      <c r="N1795"/>
      <c r="O1795" s="1684"/>
      <c r="P1795" s="1684"/>
      <c r="Q1795" s="1684"/>
      <c r="R1795" s="1684"/>
      <c r="S1795" s="1684"/>
      <c r="T1795" s="1684"/>
      <c r="U1795" s="1684"/>
      <c r="V1795" s="1684"/>
      <c r="W1795" s="1684"/>
      <c r="X1795" s="1684"/>
      <c r="Y1795" s="1684"/>
      <c r="Z1795" s="1684"/>
      <c r="AA1795" s="1684"/>
      <c r="AB1795" s="1684"/>
      <c r="AC1795" s="1684"/>
      <c r="AD1795" s="1684"/>
      <c r="AE1795" s="1684"/>
      <c r="AF1795" s="1684"/>
      <c r="AG1795" s="1684"/>
      <c r="AH1795" s="1684"/>
      <c r="AI1795" s="1684"/>
      <c r="AJ1795" s="1684"/>
      <c r="AK1795" s="1684"/>
      <c r="AL1795" s="1684"/>
      <c r="AM1795" s="1684"/>
      <c r="AN1795" s="1684"/>
      <c r="AO1795" s="1684"/>
      <c r="AP1795" s="1684"/>
      <c r="AQ1795" s="1684"/>
      <c r="AR1795" s="1684"/>
      <c r="AS1795" s="1684"/>
      <c r="AT1795" s="1684"/>
      <c r="AU1795" s="1684"/>
      <c r="AV1795" s="1684"/>
      <c r="AW1795" s="1684"/>
      <c r="AX1795" s="1684"/>
      <c r="AY1795" s="1684"/>
      <c r="AZ1795" s="1684"/>
      <c r="BA1795" s="1684"/>
      <c r="BB1795" s="1684"/>
      <c r="BC1795" s="1684"/>
      <c r="BD1795" s="1684"/>
      <c r="BE1795" s="1684"/>
      <c r="BF1795" s="1684"/>
      <c r="BG1795" s="1684"/>
      <c r="BH1795" s="1684"/>
      <c r="BI1795" s="1684"/>
      <c r="BJ1795" s="1684"/>
      <c r="BK1795" s="1684"/>
      <c r="BL1795" s="1684"/>
      <c r="BM1795" s="1684"/>
      <c r="BN1795" s="1684"/>
      <c r="BO1795" s="1684"/>
      <c r="BP1795" s="1684"/>
      <c r="BQ1795" s="1684"/>
      <c r="BR1795" s="1684"/>
      <c r="BS1795" s="1684"/>
      <c r="BT1795" s="1684"/>
      <c r="BU1795" s="1684"/>
      <c r="BV1795" s="1684"/>
      <c r="BW1795" s="1684"/>
      <c r="BX1795" s="1684"/>
      <c r="BY1795" s="1684"/>
      <c r="BZ1795" s="1684"/>
      <c r="CA1795" s="1684"/>
      <c r="CB1795" s="1684"/>
      <c r="CC1795" s="1684"/>
      <c r="CD1795" s="1684"/>
      <c r="CE1795" s="1684"/>
      <c r="CF1795" s="1684"/>
      <c r="CG1795" s="1684"/>
      <c r="CH1795" s="1684"/>
      <c r="CI1795" s="1684"/>
      <c r="CJ1795" s="1684"/>
      <c r="CK1795" s="1684"/>
      <c r="CL1795" s="1684"/>
      <c r="CM1795" s="1684"/>
      <c r="CN1795" s="1684"/>
      <c r="CO1795" s="1684"/>
    </row>
    <row r="1796" spans="1:93" s="1391" customFormat="1" ht="15" x14ac:dyDescent="0.2">
      <c r="A1796" s="1684"/>
      <c r="B1796" s="2026">
        <v>14</v>
      </c>
      <c r="C1796" s="2027">
        <v>8.2430000000000003</v>
      </c>
      <c r="D1796" s="2027">
        <v>543</v>
      </c>
      <c r="E1796" s="2027">
        <v>590</v>
      </c>
      <c r="F1796" s="2027">
        <v>637</v>
      </c>
      <c r="G1796" s="2027">
        <v>685</v>
      </c>
      <c r="H1796" s="2027">
        <v>732</v>
      </c>
      <c r="I1796" s="2027">
        <v>779</v>
      </c>
      <c r="J1796" s="2027">
        <v>826</v>
      </c>
      <c r="K1796" s="2027">
        <v>874</v>
      </c>
      <c r="L1796" s="2027">
        <v>921</v>
      </c>
      <c r="M1796" s="2028">
        <v>30</v>
      </c>
      <c r="N1796"/>
      <c r="O1796" s="1684"/>
      <c r="P1796" s="1684"/>
      <c r="Q1796" s="1684"/>
      <c r="R1796" s="1684"/>
      <c r="S1796" s="1684"/>
      <c r="T1796" s="1684"/>
      <c r="U1796" s="1684"/>
      <c r="V1796" s="1684"/>
      <c r="W1796" s="1684"/>
      <c r="X1796" s="1684"/>
      <c r="Y1796" s="1684"/>
      <c r="Z1796" s="1684"/>
      <c r="AA1796" s="1684"/>
      <c r="AB1796" s="1684"/>
      <c r="AC1796" s="1684"/>
      <c r="AD1796" s="1684"/>
      <c r="AE1796" s="1684"/>
      <c r="AF1796" s="1684"/>
      <c r="AG1796" s="1684"/>
      <c r="AH1796" s="1684"/>
      <c r="AI1796" s="1684"/>
      <c r="AJ1796" s="1684"/>
      <c r="AK1796" s="1684"/>
      <c r="AL1796" s="1684"/>
      <c r="AM1796" s="1684"/>
      <c r="AN1796" s="1684"/>
      <c r="AO1796" s="1684"/>
      <c r="AP1796" s="1684"/>
      <c r="AQ1796" s="1684"/>
      <c r="AR1796" s="1684"/>
      <c r="AS1796" s="1684"/>
      <c r="AT1796" s="1684"/>
      <c r="AU1796" s="1684"/>
      <c r="AV1796" s="1684"/>
      <c r="AW1796" s="1684"/>
      <c r="AX1796" s="1684"/>
      <c r="AY1796" s="1684"/>
      <c r="AZ1796" s="1684"/>
      <c r="BA1796" s="1684"/>
      <c r="BB1796" s="1684"/>
      <c r="BC1796" s="1684"/>
      <c r="BD1796" s="1684"/>
      <c r="BE1796" s="1684"/>
      <c r="BF1796" s="1684"/>
      <c r="BG1796" s="1684"/>
      <c r="BH1796" s="1684"/>
      <c r="BI1796" s="1684"/>
      <c r="BJ1796" s="1684"/>
      <c r="BK1796" s="1684"/>
      <c r="BL1796" s="1684"/>
      <c r="BM1796" s="1684"/>
      <c r="BN1796" s="1684"/>
      <c r="BO1796" s="1684"/>
      <c r="BP1796" s="1684"/>
      <c r="BQ1796" s="1684"/>
      <c r="BR1796" s="1684"/>
      <c r="BS1796" s="1684"/>
      <c r="BT1796" s="1684"/>
      <c r="BU1796" s="1684"/>
      <c r="BV1796" s="1684"/>
      <c r="BW1796" s="1684"/>
      <c r="BX1796" s="1684"/>
      <c r="BY1796" s="1684"/>
      <c r="BZ1796" s="1684"/>
      <c r="CA1796" s="1684"/>
      <c r="CB1796" s="1684"/>
      <c r="CC1796" s="1684"/>
      <c r="CD1796" s="1684"/>
      <c r="CE1796" s="1684"/>
      <c r="CF1796" s="1684"/>
      <c r="CG1796" s="1684"/>
      <c r="CH1796" s="1684"/>
      <c r="CI1796" s="1684"/>
      <c r="CJ1796" s="1684"/>
      <c r="CK1796" s="1684"/>
      <c r="CL1796" s="1684"/>
      <c r="CM1796" s="1684"/>
      <c r="CN1796" s="1684"/>
      <c r="CO1796" s="1684"/>
    </row>
    <row r="1797" spans="1:93" s="1391" customFormat="1" ht="15" x14ac:dyDescent="0.2">
      <c r="A1797" s="1684"/>
      <c r="B1797" s="2026">
        <v>15</v>
      </c>
      <c r="C1797" s="2027">
        <v>9.0489999999999995</v>
      </c>
      <c r="D1797" s="2027">
        <v>618</v>
      </c>
      <c r="E1797" s="2027">
        <v>672</v>
      </c>
      <c r="F1797" s="2027">
        <v>725</v>
      </c>
      <c r="G1797" s="2027">
        <v>779</v>
      </c>
      <c r="H1797" s="2027">
        <v>833</v>
      </c>
      <c r="I1797" s="2027">
        <v>887</v>
      </c>
      <c r="J1797" s="2027">
        <v>940</v>
      </c>
      <c r="K1797" s="2027">
        <v>994</v>
      </c>
      <c r="L1797" s="2027">
        <v>1048</v>
      </c>
      <c r="M1797" s="2028">
        <v>31</v>
      </c>
      <c r="N1797"/>
      <c r="O1797" s="1684"/>
      <c r="P1797" s="1684"/>
      <c r="Q1797" s="1684"/>
      <c r="R1797" s="1684"/>
      <c r="S1797" s="1684"/>
      <c r="T1797" s="1684"/>
      <c r="U1797" s="1684"/>
      <c r="V1797" s="1684"/>
      <c r="W1797" s="1684"/>
      <c r="X1797" s="1684"/>
      <c r="Y1797" s="1684"/>
      <c r="Z1797" s="1684"/>
      <c r="AA1797" s="1684"/>
      <c r="AB1797" s="1684"/>
      <c r="AC1797" s="1684"/>
      <c r="AD1797" s="1684"/>
      <c r="AE1797" s="1684"/>
      <c r="AF1797" s="1684"/>
      <c r="AG1797" s="1684"/>
      <c r="AH1797" s="1684"/>
      <c r="AI1797" s="1684"/>
      <c r="AJ1797" s="1684"/>
      <c r="AK1797" s="1684"/>
      <c r="AL1797" s="1684"/>
      <c r="AM1797" s="1684"/>
      <c r="AN1797" s="1684"/>
      <c r="AO1797" s="1684"/>
      <c r="AP1797" s="1684"/>
      <c r="AQ1797" s="1684"/>
      <c r="AR1797" s="1684"/>
      <c r="AS1797" s="1684"/>
      <c r="AT1797" s="1684"/>
      <c r="AU1797" s="1684"/>
      <c r="AV1797" s="1684"/>
      <c r="AW1797" s="1684"/>
      <c r="AX1797" s="1684"/>
      <c r="AY1797" s="1684"/>
      <c r="AZ1797" s="1684"/>
      <c r="BA1797" s="1684"/>
      <c r="BB1797" s="1684"/>
      <c r="BC1797" s="1684"/>
      <c r="BD1797" s="1684"/>
      <c r="BE1797" s="1684"/>
      <c r="BF1797" s="1684"/>
      <c r="BG1797" s="1684"/>
      <c r="BH1797" s="1684"/>
      <c r="BI1797" s="1684"/>
      <c r="BJ1797" s="1684"/>
      <c r="BK1797" s="1684"/>
      <c r="BL1797" s="1684"/>
      <c r="BM1797" s="1684"/>
      <c r="BN1797" s="1684"/>
      <c r="BO1797" s="1684"/>
      <c r="BP1797" s="1684"/>
      <c r="BQ1797" s="1684"/>
      <c r="BR1797" s="1684"/>
      <c r="BS1797" s="1684"/>
      <c r="BT1797" s="1684"/>
      <c r="BU1797" s="1684"/>
      <c r="BV1797" s="1684"/>
      <c r="BW1797" s="1684"/>
      <c r="BX1797" s="1684"/>
      <c r="BY1797" s="1684"/>
      <c r="BZ1797" s="1684"/>
      <c r="CA1797" s="1684"/>
      <c r="CB1797" s="1684"/>
      <c r="CC1797" s="1684"/>
      <c r="CD1797" s="1684"/>
      <c r="CE1797" s="1684"/>
      <c r="CF1797" s="1684"/>
      <c r="CG1797" s="1684"/>
      <c r="CH1797" s="1684"/>
      <c r="CI1797" s="1684"/>
      <c r="CJ1797" s="1684"/>
      <c r="CK1797" s="1684"/>
      <c r="CL1797" s="1684"/>
      <c r="CM1797" s="1684"/>
      <c r="CN1797" s="1684"/>
      <c r="CO1797" s="1684"/>
    </row>
    <row r="1798" spans="1:93" s="1391" customFormat="1" ht="15" x14ac:dyDescent="0.2">
      <c r="A1798" s="1684"/>
      <c r="B1798" s="2026">
        <v>16</v>
      </c>
      <c r="C1798" s="2027">
        <v>9.9160000000000004</v>
      </c>
      <c r="D1798" s="2027">
        <v>699</v>
      </c>
      <c r="E1798" s="2027">
        <v>760</v>
      </c>
      <c r="F1798" s="2027">
        <v>821</v>
      </c>
      <c r="G1798" s="2027">
        <v>881</v>
      </c>
      <c r="H1798" s="2027">
        <v>942</v>
      </c>
      <c r="I1798" s="2027">
        <v>1003</v>
      </c>
      <c r="J1798" s="2027">
        <v>1064</v>
      </c>
      <c r="K1798" s="2027">
        <v>1124</v>
      </c>
      <c r="L1798" s="2027">
        <v>1185</v>
      </c>
      <c r="M1798" s="2028">
        <v>32</v>
      </c>
      <c r="N1798"/>
      <c r="O1798" s="1684"/>
      <c r="P1798" s="1684"/>
      <c r="Q1798" s="1684"/>
      <c r="R1798" s="1684"/>
      <c r="S1798" s="1684"/>
      <c r="T1798" s="1684"/>
      <c r="U1798" s="1684"/>
      <c r="V1798" s="1684"/>
      <c r="W1798" s="1684"/>
      <c r="X1798" s="1684"/>
      <c r="Y1798" s="1684"/>
      <c r="Z1798" s="1684"/>
      <c r="AA1798" s="1684"/>
      <c r="AB1798" s="1684"/>
      <c r="AC1798" s="1684"/>
      <c r="AD1798" s="1684"/>
      <c r="AE1798" s="1684"/>
      <c r="AF1798" s="1684"/>
      <c r="AG1798" s="1684"/>
      <c r="AH1798" s="1684"/>
      <c r="AI1798" s="1684"/>
      <c r="AJ1798" s="1684"/>
      <c r="AK1798" s="1684"/>
      <c r="AL1798" s="1684"/>
      <c r="AM1798" s="1684"/>
      <c r="AN1798" s="1684"/>
      <c r="AO1798" s="1684"/>
      <c r="AP1798" s="1684"/>
      <c r="AQ1798" s="1684"/>
      <c r="AR1798" s="1684"/>
      <c r="AS1798" s="1684"/>
      <c r="AT1798" s="1684"/>
      <c r="AU1798" s="1684"/>
      <c r="AV1798" s="1684"/>
      <c r="AW1798" s="1684"/>
      <c r="AX1798" s="1684"/>
      <c r="AY1798" s="1684"/>
      <c r="AZ1798" s="1684"/>
      <c r="BA1798" s="1684"/>
      <c r="BB1798" s="1684"/>
      <c r="BC1798" s="1684"/>
      <c r="BD1798" s="1684"/>
      <c r="BE1798" s="1684"/>
      <c r="BF1798" s="1684"/>
      <c r="BG1798" s="1684"/>
      <c r="BH1798" s="1684"/>
      <c r="BI1798" s="1684"/>
      <c r="BJ1798" s="1684"/>
      <c r="BK1798" s="1684"/>
      <c r="BL1798" s="1684"/>
      <c r="BM1798" s="1684"/>
      <c r="BN1798" s="1684"/>
      <c r="BO1798" s="1684"/>
      <c r="BP1798" s="1684"/>
      <c r="BQ1798" s="1684"/>
      <c r="BR1798" s="1684"/>
      <c r="BS1798" s="1684"/>
      <c r="BT1798" s="1684"/>
      <c r="BU1798" s="1684"/>
      <c r="BV1798" s="1684"/>
      <c r="BW1798" s="1684"/>
      <c r="BX1798" s="1684"/>
      <c r="BY1798" s="1684"/>
      <c r="BZ1798" s="1684"/>
      <c r="CA1798" s="1684"/>
      <c r="CB1798" s="1684"/>
      <c r="CC1798" s="1684"/>
      <c r="CD1798" s="1684"/>
      <c r="CE1798" s="1684"/>
      <c r="CF1798" s="1684"/>
      <c r="CG1798" s="1684"/>
      <c r="CH1798" s="1684"/>
      <c r="CI1798" s="1684"/>
      <c r="CJ1798" s="1684"/>
      <c r="CK1798" s="1684"/>
      <c r="CL1798" s="1684"/>
      <c r="CM1798" s="1684"/>
      <c r="CN1798" s="1684"/>
      <c r="CO1798" s="1684"/>
    </row>
    <row r="1799" spans="1:93" s="1391" customFormat="1" ht="15" x14ac:dyDescent="0.2">
      <c r="A1799" s="1684"/>
      <c r="B1799" s="4698" t="s">
        <v>1906</v>
      </c>
      <c r="C1799" s="4699"/>
      <c r="D1799" s="4699"/>
      <c r="E1799" s="4699"/>
      <c r="F1799" s="4699"/>
      <c r="G1799" s="4699"/>
      <c r="H1799" s="4699"/>
      <c r="I1799" s="4699"/>
      <c r="J1799" s="4699"/>
      <c r="K1799" s="4699"/>
      <c r="L1799" s="4699"/>
      <c r="M1799" s="4700"/>
      <c r="N1799"/>
      <c r="O1799" s="1684"/>
      <c r="P1799" s="1684"/>
      <c r="Q1799" s="1684"/>
      <c r="R1799" s="1684"/>
      <c r="S1799" s="1684"/>
      <c r="T1799" s="1684"/>
      <c r="U1799" s="1684"/>
      <c r="V1799" s="1684"/>
      <c r="W1799" s="1684"/>
      <c r="X1799" s="1684"/>
      <c r="Y1799" s="1684"/>
      <c r="Z1799" s="1684"/>
      <c r="AA1799" s="1684"/>
      <c r="AB1799" s="1684"/>
      <c r="AC1799" s="1684"/>
      <c r="AD1799" s="1684"/>
      <c r="AE1799" s="1684"/>
      <c r="AF1799" s="1684"/>
      <c r="AG1799" s="1684"/>
      <c r="AH1799" s="1684"/>
      <c r="AI1799" s="1684"/>
      <c r="AJ1799" s="1684"/>
      <c r="AK1799" s="1684"/>
      <c r="AL1799" s="1684"/>
      <c r="AM1799" s="1684"/>
      <c r="AN1799" s="1684"/>
      <c r="AO1799" s="1684"/>
      <c r="AP1799" s="1684"/>
      <c r="AQ1799" s="1684"/>
      <c r="AR1799" s="1684"/>
      <c r="AS1799" s="1684"/>
      <c r="AT1799" s="1684"/>
      <c r="AU1799" s="1684"/>
      <c r="AV1799" s="1684"/>
      <c r="AW1799" s="1684"/>
      <c r="AX1799" s="1684"/>
      <c r="AY1799" s="1684"/>
      <c r="AZ1799" s="1684"/>
      <c r="BA1799" s="1684"/>
      <c r="BB1799" s="1684"/>
      <c r="BC1799" s="1684"/>
      <c r="BD1799" s="1684"/>
      <c r="BE1799" s="1684"/>
      <c r="BF1799" s="1684"/>
      <c r="BG1799" s="1684"/>
      <c r="BH1799" s="1684"/>
      <c r="BI1799" s="1684"/>
      <c r="BJ1799" s="1684"/>
      <c r="BK1799" s="1684"/>
      <c r="BL1799" s="1684"/>
      <c r="BM1799" s="1684"/>
      <c r="BN1799" s="1684"/>
      <c r="BO1799" s="1684"/>
      <c r="BP1799" s="1684"/>
      <c r="BQ1799" s="1684"/>
      <c r="BR1799" s="1684"/>
      <c r="BS1799" s="1684"/>
      <c r="BT1799" s="1684"/>
      <c r="BU1799" s="1684"/>
      <c r="BV1799" s="1684"/>
      <c r="BW1799" s="1684"/>
      <c r="BX1799" s="1684"/>
      <c r="BY1799" s="1684"/>
      <c r="BZ1799" s="1684"/>
      <c r="CA1799" s="1684"/>
      <c r="CB1799" s="1684"/>
      <c r="CC1799" s="1684"/>
      <c r="CD1799" s="1684"/>
      <c r="CE1799" s="1684"/>
      <c r="CF1799" s="1684"/>
      <c r="CG1799" s="1684"/>
      <c r="CH1799" s="1684"/>
      <c r="CI1799" s="1684"/>
      <c r="CJ1799" s="1684"/>
      <c r="CK1799" s="1684"/>
      <c r="CL1799" s="1684"/>
      <c r="CM1799" s="1684"/>
      <c r="CN1799" s="1684"/>
      <c r="CO1799" s="1684"/>
    </row>
    <row r="1800" spans="1:93" s="1391" customFormat="1" ht="15" x14ac:dyDescent="0.2">
      <c r="A1800" s="1684"/>
      <c r="B1800" s="4716" t="s">
        <v>1052</v>
      </c>
      <c r="C1800" s="4711"/>
      <c r="D1800" s="4711"/>
      <c r="E1800" s="4711"/>
      <c r="F1800" s="4711"/>
      <c r="G1800" s="4711"/>
      <c r="H1800" s="4711"/>
      <c r="I1800" s="4711"/>
      <c r="J1800" s="4711"/>
      <c r="K1800" s="4711"/>
      <c r="L1800" s="4711"/>
      <c r="M1800" s="4717"/>
      <c r="N1800"/>
      <c r="O1800" s="1684"/>
      <c r="P1800" s="1684"/>
      <c r="Q1800" s="1684"/>
      <c r="R1800" s="1684"/>
      <c r="S1800" s="1684"/>
      <c r="T1800" s="1684"/>
      <c r="U1800" s="1684"/>
      <c r="V1800" s="1684"/>
      <c r="W1800" s="1684"/>
      <c r="X1800" s="1684"/>
      <c r="Y1800" s="1684"/>
      <c r="Z1800" s="1684"/>
      <c r="AA1800" s="1684"/>
      <c r="AB1800" s="1684"/>
      <c r="AC1800" s="1684"/>
      <c r="AD1800" s="1684"/>
      <c r="AE1800" s="1684"/>
      <c r="AF1800" s="1684"/>
      <c r="AG1800" s="1684"/>
      <c r="AH1800" s="1684"/>
      <c r="AI1800" s="1684"/>
      <c r="AJ1800" s="1684"/>
      <c r="AK1800" s="1684"/>
      <c r="AL1800" s="1684"/>
      <c r="AM1800" s="1684"/>
      <c r="AN1800" s="1684"/>
      <c r="AO1800" s="1684"/>
      <c r="AP1800" s="1684"/>
      <c r="AQ1800" s="1684"/>
      <c r="AR1800" s="1684"/>
      <c r="AS1800" s="1684"/>
      <c r="AT1800" s="1684"/>
      <c r="AU1800" s="1684"/>
      <c r="AV1800" s="1684"/>
      <c r="AW1800" s="1684"/>
      <c r="AX1800" s="1684"/>
      <c r="AY1800" s="1684"/>
      <c r="AZ1800" s="1684"/>
      <c r="BA1800" s="1684"/>
      <c r="BB1800" s="1684"/>
      <c r="BC1800" s="1684"/>
      <c r="BD1800" s="1684"/>
      <c r="BE1800" s="1684"/>
      <c r="BF1800" s="1684"/>
      <c r="BG1800" s="1684"/>
      <c r="BH1800" s="1684"/>
      <c r="BI1800" s="1684"/>
      <c r="BJ1800" s="1684"/>
      <c r="BK1800" s="1684"/>
      <c r="BL1800" s="1684"/>
      <c r="BM1800" s="1684"/>
      <c r="BN1800" s="1684"/>
      <c r="BO1800" s="1684"/>
      <c r="BP1800" s="1684"/>
      <c r="BQ1800" s="1684"/>
      <c r="BR1800" s="1684"/>
      <c r="BS1800" s="1684"/>
      <c r="BT1800" s="1684"/>
      <c r="BU1800" s="1684"/>
      <c r="BV1800" s="1684"/>
      <c r="BW1800" s="1684"/>
      <c r="BX1800" s="1684"/>
      <c r="BY1800" s="1684"/>
      <c r="BZ1800" s="1684"/>
      <c r="CA1800" s="1684"/>
      <c r="CB1800" s="1684"/>
      <c r="CC1800" s="1684"/>
      <c r="CD1800" s="1684"/>
      <c r="CE1800" s="1684"/>
      <c r="CF1800" s="1684"/>
      <c r="CG1800" s="1684"/>
      <c r="CH1800" s="1684"/>
      <c r="CI1800" s="1684"/>
      <c r="CJ1800" s="1684"/>
      <c r="CK1800" s="1684"/>
      <c r="CL1800" s="1684"/>
      <c r="CM1800" s="1684"/>
      <c r="CN1800" s="1684"/>
      <c r="CO1800" s="1684"/>
    </row>
    <row r="1801" spans="1:93" s="1391" customFormat="1" ht="15" x14ac:dyDescent="0.2">
      <c r="A1801" s="1684"/>
      <c r="B1801" s="2023"/>
      <c r="C1801" s="2024"/>
      <c r="D1801" s="2024">
        <v>1</v>
      </c>
      <c r="E1801" s="2024">
        <v>2</v>
      </c>
      <c r="F1801" s="2024">
        <v>3</v>
      </c>
      <c r="G1801" s="2024">
        <v>4</v>
      </c>
      <c r="H1801" s="2024">
        <v>5</v>
      </c>
      <c r="I1801" s="2024">
        <v>6</v>
      </c>
      <c r="J1801" s="2024">
        <v>7</v>
      </c>
      <c r="K1801" s="2024">
        <v>8</v>
      </c>
      <c r="L1801" s="2024">
        <v>9</v>
      </c>
      <c r="M1801" s="2025"/>
      <c r="N1801"/>
      <c r="O1801" s="1684"/>
      <c r="P1801" s="1684"/>
      <c r="Q1801" s="1684"/>
      <c r="R1801" s="1684"/>
      <c r="S1801" s="1684"/>
      <c r="T1801" s="1684"/>
      <c r="U1801" s="1684"/>
      <c r="V1801" s="1684"/>
      <c r="W1801" s="1684"/>
      <c r="X1801" s="1684"/>
      <c r="Y1801" s="1684"/>
      <c r="Z1801" s="1684"/>
      <c r="AA1801" s="1684"/>
      <c r="AB1801" s="1684"/>
      <c r="AC1801" s="1684"/>
      <c r="AD1801" s="1684"/>
      <c r="AE1801" s="1684"/>
      <c r="AF1801" s="1684"/>
      <c r="AG1801" s="1684"/>
      <c r="AH1801" s="1684"/>
      <c r="AI1801" s="1684"/>
      <c r="AJ1801" s="1684"/>
      <c r="AK1801" s="1684"/>
      <c r="AL1801" s="1684"/>
      <c r="AM1801" s="1684"/>
      <c r="AN1801" s="1684"/>
      <c r="AO1801" s="1684"/>
      <c r="AP1801" s="1684"/>
      <c r="AQ1801" s="1684"/>
      <c r="AR1801" s="1684"/>
      <c r="AS1801" s="1684"/>
      <c r="AT1801" s="1684"/>
      <c r="AU1801" s="1684"/>
      <c r="AV1801" s="1684"/>
      <c r="AW1801" s="1684"/>
      <c r="AX1801" s="1684"/>
      <c r="AY1801" s="1684"/>
      <c r="AZ1801" s="1684"/>
      <c r="BA1801" s="1684"/>
      <c r="BB1801" s="1684"/>
      <c r="BC1801" s="1684"/>
      <c r="BD1801" s="1684"/>
      <c r="BE1801" s="1684"/>
      <c r="BF1801" s="1684"/>
      <c r="BG1801" s="1684"/>
      <c r="BH1801" s="1684"/>
      <c r="BI1801" s="1684"/>
      <c r="BJ1801" s="1684"/>
      <c r="BK1801" s="1684"/>
      <c r="BL1801" s="1684"/>
      <c r="BM1801" s="1684"/>
      <c r="BN1801" s="1684"/>
      <c r="BO1801" s="1684"/>
      <c r="BP1801" s="1684"/>
      <c r="BQ1801" s="1684"/>
      <c r="BR1801" s="1684"/>
      <c r="BS1801" s="1684"/>
      <c r="BT1801" s="1684"/>
      <c r="BU1801" s="1684"/>
      <c r="BV1801" s="1684"/>
      <c r="BW1801" s="1684"/>
      <c r="BX1801" s="1684"/>
      <c r="BY1801" s="1684"/>
      <c r="BZ1801" s="1684"/>
      <c r="CA1801" s="1684"/>
      <c r="CB1801" s="1684"/>
      <c r="CC1801" s="1684"/>
      <c r="CD1801" s="1684"/>
      <c r="CE1801" s="1684"/>
      <c r="CF1801" s="1684"/>
      <c r="CG1801" s="1684"/>
      <c r="CH1801" s="1684"/>
      <c r="CI1801" s="1684"/>
      <c r="CJ1801" s="1684"/>
      <c r="CK1801" s="1684"/>
      <c r="CL1801" s="1684"/>
      <c r="CM1801" s="1684"/>
      <c r="CN1801" s="1684"/>
      <c r="CO1801" s="1684"/>
    </row>
    <row r="1802" spans="1:93" s="1391" customFormat="1" ht="15" x14ac:dyDescent="0.2">
      <c r="A1802" s="1684"/>
      <c r="B1802" s="2026">
        <v>9</v>
      </c>
      <c r="C1802" s="2027">
        <v>5.4039999999999999</v>
      </c>
      <c r="D1802" s="2027">
        <v>229</v>
      </c>
      <c r="E1802" s="2027">
        <v>247</v>
      </c>
      <c r="F1802" s="2027">
        <v>265</v>
      </c>
      <c r="G1802" s="2027">
        <v>283</v>
      </c>
      <c r="H1802" s="2027">
        <v>301</v>
      </c>
      <c r="I1802" s="2027">
        <v>319</v>
      </c>
      <c r="J1802" s="2027">
        <v>336</v>
      </c>
      <c r="K1802" s="2027">
        <v>353</v>
      </c>
      <c r="L1802" s="2027">
        <v>370</v>
      </c>
      <c r="M1802" s="2028">
        <v>33</v>
      </c>
      <c r="N1802"/>
      <c r="O1802" s="1684"/>
      <c r="P1802" s="1684"/>
      <c r="Q1802" s="1684"/>
      <c r="R1802" s="1684"/>
      <c r="S1802" s="1684"/>
      <c r="T1802" s="1684"/>
      <c r="U1802" s="1684"/>
      <c r="V1802" s="1684"/>
      <c r="W1802" s="1684"/>
      <c r="X1802" s="1684"/>
      <c r="Y1802" s="1684"/>
      <c r="Z1802" s="1684"/>
      <c r="AA1802" s="1684"/>
      <c r="AB1802" s="1684"/>
      <c r="AC1802" s="1684"/>
      <c r="AD1802" s="1684"/>
      <c r="AE1802" s="1684"/>
      <c r="AF1802" s="1684"/>
      <c r="AG1802" s="1684"/>
      <c r="AH1802" s="1684"/>
      <c r="AI1802" s="1684"/>
      <c r="AJ1802" s="1684"/>
      <c r="AK1802" s="1684"/>
      <c r="AL1802" s="1684"/>
      <c r="AM1802" s="1684"/>
      <c r="AN1802" s="1684"/>
      <c r="AO1802" s="1684"/>
      <c r="AP1802" s="1684"/>
      <c r="AQ1802" s="1684"/>
      <c r="AR1802" s="1684"/>
      <c r="AS1802" s="1684"/>
      <c r="AT1802" s="1684"/>
      <c r="AU1802" s="1684"/>
      <c r="AV1802" s="1684"/>
      <c r="AW1802" s="1684"/>
      <c r="AX1802" s="1684"/>
      <c r="AY1802" s="1684"/>
      <c r="AZ1802" s="1684"/>
      <c r="BA1802" s="1684"/>
      <c r="BB1802" s="1684"/>
      <c r="BC1802" s="1684"/>
      <c r="BD1802" s="1684"/>
      <c r="BE1802" s="1684"/>
      <c r="BF1802" s="1684"/>
      <c r="BG1802" s="1684"/>
      <c r="BH1802" s="1684"/>
      <c r="BI1802" s="1684"/>
      <c r="BJ1802" s="1684"/>
      <c r="BK1802" s="1684"/>
      <c r="BL1802" s="1684"/>
      <c r="BM1802" s="1684"/>
      <c r="BN1802" s="1684"/>
      <c r="BO1802" s="1684"/>
      <c r="BP1802" s="1684"/>
      <c r="BQ1802" s="1684"/>
      <c r="BR1802" s="1684"/>
      <c r="BS1802" s="1684"/>
      <c r="BT1802" s="1684"/>
      <c r="BU1802" s="1684"/>
      <c r="BV1802" s="1684"/>
      <c r="BW1802" s="1684"/>
      <c r="BX1802" s="1684"/>
      <c r="BY1802" s="1684"/>
      <c r="BZ1802" s="1684"/>
      <c r="CA1802" s="1684"/>
      <c r="CB1802" s="1684"/>
      <c r="CC1802" s="1684"/>
      <c r="CD1802" s="1684"/>
      <c r="CE1802" s="1684"/>
      <c r="CF1802" s="1684"/>
      <c r="CG1802" s="1684"/>
      <c r="CH1802" s="1684"/>
      <c r="CI1802" s="1684"/>
      <c r="CJ1802" s="1684"/>
      <c r="CK1802" s="1684"/>
      <c r="CL1802" s="1684"/>
      <c r="CM1802" s="1684"/>
      <c r="CN1802" s="1684"/>
      <c r="CO1802" s="1684"/>
    </row>
    <row r="1803" spans="1:93" s="1391" customFormat="1" ht="15" x14ac:dyDescent="0.2">
      <c r="A1803" s="1684"/>
      <c r="B1803" s="2026">
        <v>10</v>
      </c>
      <c r="C1803" s="2027">
        <v>5.827</v>
      </c>
      <c r="D1803" s="2027">
        <v>256</v>
      </c>
      <c r="E1803" s="2027">
        <v>276</v>
      </c>
      <c r="F1803" s="2027">
        <v>296</v>
      </c>
      <c r="G1803" s="2027">
        <v>317</v>
      </c>
      <c r="H1803" s="2027">
        <v>336</v>
      </c>
      <c r="I1803" s="2027">
        <v>356</v>
      </c>
      <c r="J1803" s="2027">
        <v>375</v>
      </c>
      <c r="K1803" s="2027">
        <v>394</v>
      </c>
      <c r="L1803" s="2027">
        <v>412</v>
      </c>
      <c r="M1803" s="2028">
        <v>34</v>
      </c>
      <c r="N1803"/>
      <c r="O1803" s="1684"/>
      <c r="P1803" s="1684"/>
      <c r="Q1803" s="1684"/>
      <c r="R1803" s="1684"/>
      <c r="S1803" s="1684"/>
      <c r="T1803" s="1684"/>
      <c r="U1803" s="1684"/>
      <c r="V1803" s="1684"/>
      <c r="W1803" s="1684"/>
      <c r="X1803" s="1684"/>
      <c r="Y1803" s="1684"/>
      <c r="Z1803" s="1684"/>
      <c r="AA1803" s="1684"/>
      <c r="AB1803" s="1684"/>
      <c r="AC1803" s="1684"/>
      <c r="AD1803" s="1684"/>
      <c r="AE1803" s="1684"/>
      <c r="AF1803" s="1684"/>
      <c r="AG1803" s="1684"/>
      <c r="AH1803" s="1684"/>
      <c r="AI1803" s="1684"/>
      <c r="AJ1803" s="1684"/>
      <c r="AK1803" s="1684"/>
      <c r="AL1803" s="1684"/>
      <c r="AM1803" s="1684"/>
      <c r="AN1803" s="1684"/>
      <c r="AO1803" s="1684"/>
      <c r="AP1803" s="1684"/>
      <c r="AQ1803" s="1684"/>
      <c r="AR1803" s="1684"/>
      <c r="AS1803" s="1684"/>
      <c r="AT1803" s="1684"/>
      <c r="AU1803" s="1684"/>
      <c r="AV1803" s="1684"/>
      <c r="AW1803" s="1684"/>
      <c r="AX1803" s="1684"/>
      <c r="AY1803" s="1684"/>
      <c r="AZ1803" s="1684"/>
      <c r="BA1803" s="1684"/>
      <c r="BB1803" s="1684"/>
      <c r="BC1803" s="1684"/>
      <c r="BD1803" s="1684"/>
      <c r="BE1803" s="1684"/>
      <c r="BF1803" s="1684"/>
      <c r="BG1803" s="1684"/>
      <c r="BH1803" s="1684"/>
      <c r="BI1803" s="1684"/>
      <c r="BJ1803" s="1684"/>
      <c r="BK1803" s="1684"/>
      <c r="BL1803" s="1684"/>
      <c r="BM1803" s="1684"/>
      <c r="BN1803" s="1684"/>
      <c r="BO1803" s="1684"/>
      <c r="BP1803" s="1684"/>
      <c r="BQ1803" s="1684"/>
      <c r="BR1803" s="1684"/>
      <c r="BS1803" s="1684"/>
      <c r="BT1803" s="1684"/>
      <c r="BU1803" s="1684"/>
      <c r="BV1803" s="1684"/>
      <c r="BW1803" s="1684"/>
      <c r="BX1803" s="1684"/>
      <c r="BY1803" s="1684"/>
      <c r="BZ1803" s="1684"/>
      <c r="CA1803" s="1684"/>
      <c r="CB1803" s="1684"/>
      <c r="CC1803" s="1684"/>
      <c r="CD1803" s="1684"/>
      <c r="CE1803" s="1684"/>
      <c r="CF1803" s="1684"/>
      <c r="CG1803" s="1684"/>
      <c r="CH1803" s="1684"/>
      <c r="CI1803" s="1684"/>
      <c r="CJ1803" s="1684"/>
      <c r="CK1803" s="1684"/>
      <c r="CL1803" s="1684"/>
      <c r="CM1803" s="1684"/>
      <c r="CN1803" s="1684"/>
      <c r="CO1803" s="1684"/>
    </row>
    <row r="1804" spans="1:93" s="1391" customFormat="1" ht="15" x14ac:dyDescent="0.2">
      <c r="A1804" s="1684"/>
      <c r="B1804" s="2026">
        <v>11</v>
      </c>
      <c r="C1804" s="2027">
        <v>6.3319999999999999</v>
      </c>
      <c r="D1804" s="2027">
        <v>288</v>
      </c>
      <c r="E1804" s="2027">
        <v>310</v>
      </c>
      <c r="F1804" s="2027">
        <v>333</v>
      </c>
      <c r="G1804" s="2027">
        <v>355</v>
      </c>
      <c r="H1804" s="2027">
        <v>377</v>
      </c>
      <c r="I1804" s="2027">
        <v>399</v>
      </c>
      <c r="J1804" s="2027">
        <v>420</v>
      </c>
      <c r="K1804" s="2027">
        <v>440</v>
      </c>
      <c r="L1804" s="2027">
        <v>461</v>
      </c>
      <c r="M1804" s="2028">
        <v>35</v>
      </c>
      <c r="N1804"/>
      <c r="O1804" s="1684"/>
      <c r="P1804" s="1684"/>
      <c r="Q1804" s="1684"/>
      <c r="R1804" s="1684"/>
      <c r="S1804" s="1684"/>
      <c r="T1804" s="1684"/>
      <c r="U1804" s="1684"/>
      <c r="V1804" s="1684"/>
      <c r="W1804" s="1684"/>
      <c r="X1804" s="1684"/>
      <c r="Y1804" s="1684"/>
      <c r="Z1804" s="1684"/>
      <c r="AA1804" s="1684"/>
      <c r="AB1804" s="1684"/>
      <c r="AC1804" s="1684"/>
      <c r="AD1804" s="1684"/>
      <c r="AE1804" s="1684"/>
      <c r="AF1804" s="1684"/>
      <c r="AG1804" s="1684"/>
      <c r="AH1804" s="1684"/>
      <c r="AI1804" s="1684"/>
      <c r="AJ1804" s="1684"/>
      <c r="AK1804" s="1684"/>
      <c r="AL1804" s="1684"/>
      <c r="AM1804" s="1684"/>
      <c r="AN1804" s="1684"/>
      <c r="AO1804" s="1684"/>
      <c r="AP1804" s="1684"/>
      <c r="AQ1804" s="1684"/>
      <c r="AR1804" s="1684"/>
      <c r="AS1804" s="1684"/>
      <c r="AT1804" s="1684"/>
      <c r="AU1804" s="1684"/>
      <c r="AV1804" s="1684"/>
      <c r="AW1804" s="1684"/>
      <c r="AX1804" s="1684"/>
      <c r="AY1804" s="1684"/>
      <c r="AZ1804" s="1684"/>
      <c r="BA1804" s="1684"/>
      <c r="BB1804" s="1684"/>
      <c r="BC1804" s="1684"/>
      <c r="BD1804" s="1684"/>
      <c r="BE1804" s="1684"/>
      <c r="BF1804" s="1684"/>
      <c r="BG1804" s="1684"/>
      <c r="BH1804" s="1684"/>
      <c r="BI1804" s="1684"/>
      <c r="BJ1804" s="1684"/>
      <c r="BK1804" s="1684"/>
      <c r="BL1804" s="1684"/>
      <c r="BM1804" s="1684"/>
      <c r="BN1804" s="1684"/>
      <c r="BO1804" s="1684"/>
      <c r="BP1804" s="1684"/>
      <c r="BQ1804" s="1684"/>
      <c r="BR1804" s="1684"/>
      <c r="BS1804" s="1684"/>
      <c r="BT1804" s="1684"/>
      <c r="BU1804" s="1684"/>
      <c r="BV1804" s="1684"/>
      <c r="BW1804" s="1684"/>
      <c r="BX1804" s="1684"/>
      <c r="BY1804" s="1684"/>
      <c r="BZ1804" s="1684"/>
      <c r="CA1804" s="1684"/>
      <c r="CB1804" s="1684"/>
      <c r="CC1804" s="1684"/>
      <c r="CD1804" s="1684"/>
      <c r="CE1804" s="1684"/>
      <c r="CF1804" s="1684"/>
      <c r="CG1804" s="1684"/>
      <c r="CH1804" s="1684"/>
      <c r="CI1804" s="1684"/>
      <c r="CJ1804" s="1684"/>
      <c r="CK1804" s="1684"/>
      <c r="CL1804" s="1684"/>
      <c r="CM1804" s="1684"/>
      <c r="CN1804" s="1684"/>
      <c r="CO1804" s="1684"/>
    </row>
    <row r="1805" spans="1:93" s="1391" customFormat="1" ht="15" x14ac:dyDescent="0.2">
      <c r="A1805" s="1684"/>
      <c r="B1805" s="2026">
        <v>12</v>
      </c>
      <c r="C1805" s="2027">
        <v>6.9009999999999998</v>
      </c>
      <c r="D1805" s="2027">
        <v>323</v>
      </c>
      <c r="E1805" s="2027">
        <v>348</v>
      </c>
      <c r="F1805" s="2027">
        <v>372</v>
      </c>
      <c r="G1805" s="2027">
        <v>397</v>
      </c>
      <c r="H1805" s="2027">
        <v>421</v>
      </c>
      <c r="I1805" s="2027">
        <v>445</v>
      </c>
      <c r="J1805" s="2027">
        <v>467</v>
      </c>
      <c r="K1805" s="2027">
        <v>490</v>
      </c>
      <c r="L1805" s="2027">
        <v>512</v>
      </c>
      <c r="M1805" s="2028">
        <v>36</v>
      </c>
      <c r="N1805"/>
      <c r="O1805" s="1684"/>
      <c r="P1805" s="1684"/>
      <c r="Q1805" s="1684"/>
      <c r="R1805" s="1684"/>
      <c r="S1805" s="1684"/>
      <c r="T1805" s="1684"/>
      <c r="U1805" s="1684"/>
      <c r="V1805" s="1684"/>
      <c r="W1805" s="1684"/>
      <c r="X1805" s="1684"/>
      <c r="Y1805" s="1684"/>
      <c r="Z1805" s="1684"/>
      <c r="AA1805" s="1684"/>
      <c r="AB1805" s="1684"/>
      <c r="AC1805" s="1684"/>
      <c r="AD1805" s="1684"/>
      <c r="AE1805" s="1684"/>
      <c r="AF1805" s="1684"/>
      <c r="AG1805" s="1684"/>
      <c r="AH1805" s="1684"/>
      <c r="AI1805" s="1684"/>
      <c r="AJ1805" s="1684"/>
      <c r="AK1805" s="1684"/>
      <c r="AL1805" s="1684"/>
      <c r="AM1805" s="1684"/>
      <c r="AN1805" s="1684"/>
      <c r="AO1805" s="1684"/>
      <c r="AP1805" s="1684"/>
      <c r="AQ1805" s="1684"/>
      <c r="AR1805" s="1684"/>
      <c r="AS1805" s="1684"/>
      <c r="AT1805" s="1684"/>
      <c r="AU1805" s="1684"/>
      <c r="AV1805" s="1684"/>
      <c r="AW1805" s="1684"/>
      <c r="AX1805" s="1684"/>
      <c r="AY1805" s="1684"/>
      <c r="AZ1805" s="1684"/>
      <c r="BA1805" s="1684"/>
      <c r="BB1805" s="1684"/>
      <c r="BC1805" s="1684"/>
      <c r="BD1805" s="1684"/>
      <c r="BE1805" s="1684"/>
      <c r="BF1805" s="1684"/>
      <c r="BG1805" s="1684"/>
      <c r="BH1805" s="1684"/>
      <c r="BI1805" s="1684"/>
      <c r="BJ1805" s="1684"/>
      <c r="BK1805" s="1684"/>
      <c r="BL1805" s="1684"/>
      <c r="BM1805" s="1684"/>
      <c r="BN1805" s="1684"/>
      <c r="BO1805" s="1684"/>
      <c r="BP1805" s="1684"/>
      <c r="BQ1805" s="1684"/>
      <c r="BR1805" s="1684"/>
      <c r="BS1805" s="1684"/>
      <c r="BT1805" s="1684"/>
      <c r="BU1805" s="1684"/>
      <c r="BV1805" s="1684"/>
      <c r="BW1805" s="1684"/>
      <c r="BX1805" s="1684"/>
      <c r="BY1805" s="1684"/>
      <c r="BZ1805" s="1684"/>
      <c r="CA1805" s="1684"/>
      <c r="CB1805" s="1684"/>
      <c r="CC1805" s="1684"/>
      <c r="CD1805" s="1684"/>
      <c r="CE1805" s="1684"/>
      <c r="CF1805" s="1684"/>
      <c r="CG1805" s="1684"/>
      <c r="CH1805" s="1684"/>
      <c r="CI1805" s="1684"/>
      <c r="CJ1805" s="1684"/>
      <c r="CK1805" s="1684"/>
      <c r="CL1805" s="1684"/>
      <c r="CM1805" s="1684"/>
      <c r="CN1805" s="1684"/>
      <c r="CO1805" s="1684"/>
    </row>
    <row r="1806" spans="1:93" s="1391" customFormat="1" ht="15" x14ac:dyDescent="0.2">
      <c r="A1806" s="1684"/>
      <c r="B1806" s="2026">
        <v>13</v>
      </c>
      <c r="C1806" s="2027">
        <v>4.5250000000000004</v>
      </c>
      <c r="D1806" s="2027">
        <v>359</v>
      </c>
      <c r="E1806" s="2027">
        <v>387</v>
      </c>
      <c r="F1806" s="2027">
        <v>414</v>
      </c>
      <c r="G1806" s="2027">
        <v>441</v>
      </c>
      <c r="H1806" s="2027">
        <v>467</v>
      </c>
      <c r="I1806" s="2027">
        <v>493</v>
      </c>
      <c r="J1806" s="2027">
        <v>519</v>
      </c>
      <c r="K1806" s="2027">
        <v>543</v>
      </c>
      <c r="L1806" s="2027">
        <v>568</v>
      </c>
      <c r="M1806" s="2028">
        <v>37</v>
      </c>
      <c r="N1806"/>
      <c r="O1806" s="1684"/>
      <c r="P1806" s="1684"/>
      <c r="Q1806" s="1684"/>
      <c r="R1806" s="1684"/>
      <c r="S1806" s="1684"/>
      <c r="T1806" s="1684"/>
      <c r="U1806" s="1684"/>
      <c r="V1806" s="1684"/>
      <c r="W1806" s="1684"/>
      <c r="X1806" s="1684"/>
      <c r="Y1806" s="1684"/>
      <c r="Z1806" s="1684"/>
      <c r="AA1806" s="1684"/>
      <c r="AB1806" s="1684"/>
      <c r="AC1806" s="1684"/>
      <c r="AD1806" s="1684"/>
      <c r="AE1806" s="1684"/>
      <c r="AF1806" s="1684"/>
      <c r="AG1806" s="1684"/>
      <c r="AH1806" s="1684"/>
      <c r="AI1806" s="1684"/>
      <c r="AJ1806" s="1684"/>
      <c r="AK1806" s="1684"/>
      <c r="AL1806" s="1684"/>
      <c r="AM1806" s="1684"/>
      <c r="AN1806" s="1684"/>
      <c r="AO1806" s="1684"/>
      <c r="AP1806" s="1684"/>
      <c r="AQ1806" s="1684"/>
      <c r="AR1806" s="1684"/>
      <c r="AS1806" s="1684"/>
      <c r="AT1806" s="1684"/>
      <c r="AU1806" s="1684"/>
      <c r="AV1806" s="1684"/>
      <c r="AW1806" s="1684"/>
      <c r="AX1806" s="1684"/>
      <c r="AY1806" s="1684"/>
      <c r="AZ1806" s="1684"/>
      <c r="BA1806" s="1684"/>
      <c r="BB1806" s="1684"/>
      <c r="BC1806" s="1684"/>
      <c r="BD1806" s="1684"/>
      <c r="BE1806" s="1684"/>
      <c r="BF1806" s="1684"/>
      <c r="BG1806" s="1684"/>
      <c r="BH1806" s="1684"/>
      <c r="BI1806" s="1684"/>
      <c r="BJ1806" s="1684"/>
      <c r="BK1806" s="1684"/>
      <c r="BL1806" s="1684"/>
      <c r="BM1806" s="1684"/>
      <c r="BN1806" s="1684"/>
      <c r="BO1806" s="1684"/>
      <c r="BP1806" s="1684"/>
      <c r="BQ1806" s="1684"/>
      <c r="BR1806" s="1684"/>
      <c r="BS1806" s="1684"/>
      <c r="BT1806" s="1684"/>
      <c r="BU1806" s="1684"/>
      <c r="BV1806" s="1684"/>
      <c r="BW1806" s="1684"/>
      <c r="BX1806" s="1684"/>
      <c r="BY1806" s="1684"/>
      <c r="BZ1806" s="1684"/>
      <c r="CA1806" s="1684"/>
      <c r="CB1806" s="1684"/>
      <c r="CC1806" s="1684"/>
      <c r="CD1806" s="1684"/>
      <c r="CE1806" s="1684"/>
      <c r="CF1806" s="1684"/>
      <c r="CG1806" s="1684"/>
      <c r="CH1806" s="1684"/>
      <c r="CI1806" s="1684"/>
      <c r="CJ1806" s="1684"/>
      <c r="CK1806" s="1684"/>
      <c r="CL1806" s="1684"/>
      <c r="CM1806" s="1684"/>
      <c r="CN1806" s="1684"/>
      <c r="CO1806" s="1684"/>
    </row>
    <row r="1807" spans="1:93" s="1391" customFormat="1" ht="15" x14ac:dyDescent="0.2">
      <c r="A1807" s="1684"/>
      <c r="B1807" s="2026">
        <v>14</v>
      </c>
      <c r="C1807" s="2027">
        <v>8.2430000000000003</v>
      </c>
      <c r="D1807" s="2027">
        <v>400</v>
      </c>
      <c r="E1807" s="2027">
        <v>430</v>
      </c>
      <c r="F1807" s="2027">
        <v>460</v>
      </c>
      <c r="G1807" s="2027">
        <v>489</v>
      </c>
      <c r="H1807" s="2027">
        <v>518</v>
      </c>
      <c r="I1807" s="2027">
        <v>546</v>
      </c>
      <c r="J1807" s="2027">
        <v>574</v>
      </c>
      <c r="K1807" s="2027">
        <v>600</v>
      </c>
      <c r="L1807" s="2027">
        <v>627</v>
      </c>
      <c r="M1807" s="2028">
        <v>38</v>
      </c>
      <c r="N1807"/>
      <c r="O1807" s="1684"/>
      <c r="P1807" s="1684"/>
      <c r="Q1807" s="1684"/>
      <c r="R1807" s="1684"/>
      <c r="S1807" s="1684"/>
      <c r="T1807" s="1684"/>
      <c r="U1807" s="1684"/>
      <c r="V1807" s="1684"/>
      <c r="W1807" s="1684"/>
      <c r="X1807" s="1684"/>
      <c r="Y1807" s="1684"/>
      <c r="Z1807" s="1684"/>
      <c r="AA1807" s="1684"/>
      <c r="AB1807" s="1684"/>
      <c r="AC1807" s="1684"/>
      <c r="AD1807" s="1684"/>
      <c r="AE1807" s="1684"/>
      <c r="AF1807" s="1684"/>
      <c r="AG1807" s="1684"/>
      <c r="AH1807" s="1684"/>
      <c r="AI1807" s="1684"/>
      <c r="AJ1807" s="1684"/>
      <c r="AK1807" s="1684"/>
      <c r="AL1807" s="1684"/>
      <c r="AM1807" s="1684"/>
      <c r="AN1807" s="1684"/>
      <c r="AO1807" s="1684"/>
      <c r="AP1807" s="1684"/>
      <c r="AQ1807" s="1684"/>
      <c r="AR1807" s="1684"/>
      <c r="AS1807" s="1684"/>
      <c r="AT1807" s="1684"/>
      <c r="AU1807" s="1684"/>
      <c r="AV1807" s="1684"/>
      <c r="AW1807" s="1684"/>
      <c r="AX1807" s="1684"/>
      <c r="AY1807" s="1684"/>
      <c r="AZ1807" s="1684"/>
      <c r="BA1807" s="1684"/>
      <c r="BB1807" s="1684"/>
      <c r="BC1807" s="1684"/>
      <c r="BD1807" s="1684"/>
      <c r="BE1807" s="1684"/>
      <c r="BF1807" s="1684"/>
      <c r="BG1807" s="1684"/>
      <c r="BH1807" s="1684"/>
      <c r="BI1807" s="1684"/>
      <c r="BJ1807" s="1684"/>
      <c r="BK1807" s="1684"/>
      <c r="BL1807" s="1684"/>
      <c r="BM1807" s="1684"/>
      <c r="BN1807" s="1684"/>
      <c r="BO1807" s="1684"/>
      <c r="BP1807" s="1684"/>
      <c r="BQ1807" s="1684"/>
      <c r="BR1807" s="1684"/>
      <c r="BS1807" s="1684"/>
      <c r="BT1807" s="1684"/>
      <c r="BU1807" s="1684"/>
      <c r="BV1807" s="1684"/>
      <c r="BW1807" s="1684"/>
      <c r="BX1807" s="1684"/>
      <c r="BY1807" s="1684"/>
      <c r="BZ1807" s="1684"/>
      <c r="CA1807" s="1684"/>
      <c r="CB1807" s="1684"/>
      <c r="CC1807" s="1684"/>
      <c r="CD1807" s="1684"/>
      <c r="CE1807" s="1684"/>
      <c r="CF1807" s="1684"/>
      <c r="CG1807" s="1684"/>
      <c r="CH1807" s="1684"/>
      <c r="CI1807" s="1684"/>
      <c r="CJ1807" s="1684"/>
      <c r="CK1807" s="1684"/>
      <c r="CL1807" s="1684"/>
      <c r="CM1807" s="1684"/>
      <c r="CN1807" s="1684"/>
      <c r="CO1807" s="1684"/>
    </row>
    <row r="1808" spans="1:93" s="1391" customFormat="1" ht="15" x14ac:dyDescent="0.2">
      <c r="A1808" s="1684"/>
      <c r="B1808" s="2026">
        <v>15</v>
      </c>
      <c r="C1808" s="2027">
        <v>9.0489999999999995</v>
      </c>
      <c r="D1808" s="2027">
        <v>444</v>
      </c>
      <c r="E1808" s="2027">
        <v>477</v>
      </c>
      <c r="F1808" s="2027">
        <v>509</v>
      </c>
      <c r="G1808" s="2027">
        <v>542</v>
      </c>
      <c r="H1808" s="2027">
        <v>573</v>
      </c>
      <c r="I1808" s="2027">
        <v>604</v>
      </c>
      <c r="J1808" s="2027">
        <v>632</v>
      </c>
      <c r="K1808" s="2027">
        <v>661</v>
      </c>
      <c r="L1808" s="2027">
        <v>689</v>
      </c>
      <c r="M1808" s="2028">
        <v>39</v>
      </c>
      <c r="N1808"/>
      <c r="O1808" s="1684"/>
      <c r="P1808" s="1684"/>
      <c r="Q1808" s="1684"/>
      <c r="R1808" s="1684"/>
      <c r="S1808" s="1684"/>
      <c r="T1808" s="1684"/>
      <c r="U1808" s="1684"/>
      <c r="V1808" s="1684"/>
      <c r="W1808" s="1684"/>
      <c r="X1808" s="1684"/>
      <c r="Y1808" s="1684"/>
      <c r="Z1808" s="1684"/>
      <c r="AA1808" s="1684"/>
      <c r="AB1808" s="1684"/>
      <c r="AC1808" s="1684"/>
      <c r="AD1808" s="1684"/>
      <c r="AE1808" s="1684"/>
      <c r="AF1808" s="1684"/>
      <c r="AG1808" s="1684"/>
      <c r="AH1808" s="1684"/>
      <c r="AI1808" s="1684"/>
      <c r="AJ1808" s="1684"/>
      <c r="AK1808" s="1684"/>
      <c r="AL1808" s="1684"/>
      <c r="AM1808" s="1684"/>
      <c r="AN1808" s="1684"/>
      <c r="AO1808" s="1684"/>
      <c r="AP1808" s="1684"/>
      <c r="AQ1808" s="1684"/>
      <c r="AR1808" s="1684"/>
      <c r="AS1808" s="1684"/>
      <c r="AT1808" s="1684"/>
      <c r="AU1808" s="1684"/>
      <c r="AV1808" s="1684"/>
      <c r="AW1808" s="1684"/>
      <c r="AX1808" s="1684"/>
      <c r="AY1808" s="1684"/>
      <c r="AZ1808" s="1684"/>
      <c r="BA1808" s="1684"/>
      <c r="BB1808" s="1684"/>
      <c r="BC1808" s="1684"/>
      <c r="BD1808" s="1684"/>
      <c r="BE1808" s="1684"/>
      <c r="BF1808" s="1684"/>
      <c r="BG1808" s="1684"/>
      <c r="BH1808" s="1684"/>
      <c r="BI1808" s="1684"/>
      <c r="BJ1808" s="1684"/>
      <c r="BK1808" s="1684"/>
      <c r="BL1808" s="1684"/>
      <c r="BM1808" s="1684"/>
      <c r="BN1808" s="1684"/>
      <c r="BO1808" s="1684"/>
      <c r="BP1808" s="1684"/>
      <c r="BQ1808" s="1684"/>
      <c r="BR1808" s="1684"/>
      <c r="BS1808" s="1684"/>
      <c r="BT1808" s="1684"/>
      <c r="BU1808" s="1684"/>
      <c r="BV1808" s="1684"/>
      <c r="BW1808" s="1684"/>
      <c r="BX1808" s="1684"/>
      <c r="BY1808" s="1684"/>
      <c r="BZ1808" s="1684"/>
      <c r="CA1808" s="1684"/>
      <c r="CB1808" s="1684"/>
      <c r="CC1808" s="1684"/>
      <c r="CD1808" s="1684"/>
      <c r="CE1808" s="1684"/>
      <c r="CF1808" s="1684"/>
      <c r="CG1808" s="1684"/>
      <c r="CH1808" s="1684"/>
      <c r="CI1808" s="1684"/>
      <c r="CJ1808" s="1684"/>
      <c r="CK1808" s="1684"/>
      <c r="CL1808" s="1684"/>
      <c r="CM1808" s="1684"/>
      <c r="CN1808" s="1684"/>
      <c r="CO1808" s="1684"/>
    </row>
    <row r="1809" spans="1:93" s="1391" customFormat="1" ht="15" x14ac:dyDescent="0.2">
      <c r="A1809" s="1684"/>
      <c r="B1809" s="2026">
        <v>16</v>
      </c>
      <c r="C1809" s="2027">
        <v>9.9160000000000004</v>
      </c>
      <c r="D1809" s="2027">
        <v>490</v>
      </c>
      <c r="E1809" s="2027">
        <v>527</v>
      </c>
      <c r="F1809" s="2027">
        <v>560</v>
      </c>
      <c r="G1809" s="2027">
        <v>594</v>
      </c>
      <c r="H1809" s="2027">
        <v>627</v>
      </c>
      <c r="I1809" s="2027">
        <v>661</v>
      </c>
      <c r="J1809" s="2027">
        <v>693</v>
      </c>
      <c r="K1809" s="2027">
        <v>723</v>
      </c>
      <c r="L1809" s="2027">
        <v>753</v>
      </c>
      <c r="M1809" s="2028">
        <v>40</v>
      </c>
      <c r="N1809"/>
      <c r="O1809" s="1684"/>
      <c r="P1809" s="1684"/>
      <c r="Q1809" s="1684"/>
      <c r="R1809" s="1684"/>
      <c r="S1809" s="1684"/>
      <c r="T1809" s="1684"/>
      <c r="U1809" s="1684"/>
      <c r="V1809" s="1684"/>
      <c r="W1809" s="1684"/>
      <c r="X1809" s="1684"/>
      <c r="Y1809" s="1684"/>
      <c r="Z1809" s="1684"/>
      <c r="AA1809" s="1684"/>
      <c r="AB1809" s="1684"/>
      <c r="AC1809" s="1684"/>
      <c r="AD1809" s="1684"/>
      <c r="AE1809" s="1684"/>
      <c r="AF1809" s="1684"/>
      <c r="AG1809" s="1684"/>
      <c r="AH1809" s="1684"/>
      <c r="AI1809" s="1684"/>
      <c r="AJ1809" s="1684"/>
      <c r="AK1809" s="1684"/>
      <c r="AL1809" s="1684"/>
      <c r="AM1809" s="1684"/>
      <c r="AN1809" s="1684"/>
      <c r="AO1809" s="1684"/>
      <c r="AP1809" s="1684"/>
      <c r="AQ1809" s="1684"/>
      <c r="AR1809" s="1684"/>
      <c r="AS1809" s="1684"/>
      <c r="AT1809" s="1684"/>
      <c r="AU1809" s="1684"/>
      <c r="AV1809" s="1684"/>
      <c r="AW1809" s="1684"/>
      <c r="AX1809" s="1684"/>
      <c r="AY1809" s="1684"/>
      <c r="AZ1809" s="1684"/>
      <c r="BA1809" s="1684"/>
      <c r="BB1809" s="1684"/>
      <c r="BC1809" s="1684"/>
      <c r="BD1809" s="1684"/>
      <c r="BE1809" s="1684"/>
      <c r="BF1809" s="1684"/>
      <c r="BG1809" s="1684"/>
      <c r="BH1809" s="1684"/>
      <c r="BI1809" s="1684"/>
      <c r="BJ1809" s="1684"/>
      <c r="BK1809" s="1684"/>
      <c r="BL1809" s="1684"/>
      <c r="BM1809" s="1684"/>
      <c r="BN1809" s="1684"/>
      <c r="BO1809" s="1684"/>
      <c r="BP1809" s="1684"/>
      <c r="BQ1809" s="1684"/>
      <c r="BR1809" s="1684"/>
      <c r="BS1809" s="1684"/>
      <c r="BT1809" s="1684"/>
      <c r="BU1809" s="1684"/>
      <c r="BV1809" s="1684"/>
      <c r="BW1809" s="1684"/>
      <c r="BX1809" s="1684"/>
      <c r="BY1809" s="1684"/>
      <c r="BZ1809" s="1684"/>
      <c r="CA1809" s="1684"/>
      <c r="CB1809" s="1684"/>
      <c r="CC1809" s="1684"/>
      <c r="CD1809" s="1684"/>
      <c r="CE1809" s="1684"/>
      <c r="CF1809" s="1684"/>
      <c r="CG1809" s="1684"/>
      <c r="CH1809" s="1684"/>
      <c r="CI1809" s="1684"/>
      <c r="CJ1809" s="1684"/>
      <c r="CK1809" s="1684"/>
      <c r="CL1809" s="1684"/>
      <c r="CM1809" s="1684"/>
      <c r="CN1809" s="1684"/>
      <c r="CO1809" s="1684"/>
    </row>
    <row r="1810" spans="1:93" s="1391" customFormat="1" ht="15" x14ac:dyDescent="0.2">
      <c r="A1810" s="1684"/>
      <c r="B1810" s="4716" t="s">
        <v>1053</v>
      </c>
      <c r="C1810" s="4711"/>
      <c r="D1810" s="4711"/>
      <c r="E1810" s="4711"/>
      <c r="F1810" s="4711"/>
      <c r="G1810" s="4711"/>
      <c r="H1810" s="4711"/>
      <c r="I1810" s="4711"/>
      <c r="J1810" s="4711"/>
      <c r="K1810" s="4711"/>
      <c r="L1810" s="4711"/>
      <c r="M1810" s="4717"/>
      <c r="N1810"/>
      <c r="O1810" s="1684"/>
      <c r="P1810" s="1684"/>
      <c r="Q1810" s="1684"/>
      <c r="R1810" s="1684"/>
      <c r="S1810" s="1684"/>
      <c r="T1810" s="1684"/>
      <c r="U1810" s="1684"/>
      <c r="V1810" s="1684"/>
      <c r="W1810" s="1684"/>
      <c r="X1810" s="1684"/>
      <c r="Y1810" s="1684"/>
      <c r="Z1810" s="1684"/>
      <c r="AA1810" s="1684"/>
      <c r="AB1810" s="1684"/>
      <c r="AC1810" s="1684"/>
      <c r="AD1810" s="1684"/>
      <c r="AE1810" s="1684"/>
      <c r="AF1810" s="1684"/>
      <c r="AG1810" s="1684"/>
      <c r="AH1810" s="1684"/>
      <c r="AI1810" s="1684"/>
      <c r="AJ1810" s="1684"/>
      <c r="AK1810" s="1684"/>
      <c r="AL1810" s="1684"/>
      <c r="AM1810" s="1684"/>
      <c r="AN1810" s="1684"/>
      <c r="AO1810" s="1684"/>
      <c r="AP1810" s="1684"/>
      <c r="AQ1810" s="1684"/>
      <c r="AR1810" s="1684"/>
      <c r="AS1810" s="1684"/>
      <c r="AT1810" s="1684"/>
      <c r="AU1810" s="1684"/>
      <c r="AV1810" s="1684"/>
      <c r="AW1810" s="1684"/>
      <c r="AX1810" s="1684"/>
      <c r="AY1810" s="1684"/>
      <c r="AZ1810" s="1684"/>
      <c r="BA1810" s="1684"/>
      <c r="BB1810" s="1684"/>
      <c r="BC1810" s="1684"/>
      <c r="BD1810" s="1684"/>
      <c r="BE1810" s="1684"/>
      <c r="BF1810" s="1684"/>
      <c r="BG1810" s="1684"/>
      <c r="BH1810" s="1684"/>
      <c r="BI1810" s="1684"/>
      <c r="BJ1810" s="1684"/>
      <c r="BK1810" s="1684"/>
      <c r="BL1810" s="1684"/>
      <c r="BM1810" s="1684"/>
      <c r="BN1810" s="1684"/>
      <c r="BO1810" s="1684"/>
      <c r="BP1810" s="1684"/>
      <c r="BQ1810" s="1684"/>
      <c r="BR1810" s="1684"/>
      <c r="BS1810" s="1684"/>
      <c r="BT1810" s="1684"/>
      <c r="BU1810" s="1684"/>
      <c r="BV1810" s="1684"/>
      <c r="BW1810" s="1684"/>
      <c r="BX1810" s="1684"/>
      <c r="BY1810" s="1684"/>
      <c r="BZ1810" s="1684"/>
      <c r="CA1810" s="1684"/>
      <c r="CB1810" s="1684"/>
      <c r="CC1810" s="1684"/>
      <c r="CD1810" s="1684"/>
      <c r="CE1810" s="1684"/>
      <c r="CF1810" s="1684"/>
      <c r="CG1810" s="1684"/>
      <c r="CH1810" s="1684"/>
      <c r="CI1810" s="1684"/>
      <c r="CJ1810" s="1684"/>
      <c r="CK1810" s="1684"/>
      <c r="CL1810" s="1684"/>
      <c r="CM1810" s="1684"/>
      <c r="CN1810" s="1684"/>
      <c r="CO1810" s="1684"/>
    </row>
    <row r="1811" spans="1:93" s="1391" customFormat="1" ht="15" x14ac:dyDescent="0.2">
      <c r="A1811" s="1684"/>
      <c r="B1811" s="2023"/>
      <c r="C1811" s="2024"/>
      <c r="D1811" s="2024">
        <v>1</v>
      </c>
      <c r="E1811" s="2024">
        <v>2</v>
      </c>
      <c r="F1811" s="2024">
        <v>3</v>
      </c>
      <c r="G1811" s="2024">
        <v>4</v>
      </c>
      <c r="H1811" s="2024">
        <v>5</v>
      </c>
      <c r="I1811" s="2024">
        <v>6</v>
      </c>
      <c r="J1811" s="2024">
        <v>7</v>
      </c>
      <c r="K1811" s="2024">
        <v>8</v>
      </c>
      <c r="L1811" s="2024">
        <v>9</v>
      </c>
      <c r="M1811" s="2025"/>
      <c r="N1811"/>
      <c r="O1811" s="1684"/>
      <c r="P1811" s="1684"/>
      <c r="Q1811" s="1684"/>
      <c r="R1811" s="1684"/>
      <c r="S1811" s="1684"/>
      <c r="T1811" s="1684"/>
      <c r="U1811" s="1684"/>
      <c r="V1811" s="1684"/>
      <c r="W1811" s="1684"/>
      <c r="X1811" s="1684"/>
      <c r="Y1811" s="1684"/>
      <c r="Z1811" s="1684"/>
      <c r="AA1811" s="1684"/>
      <c r="AB1811" s="1684"/>
      <c r="AC1811" s="1684"/>
      <c r="AD1811" s="1684"/>
      <c r="AE1811" s="1684"/>
      <c r="AF1811" s="1684"/>
      <c r="AG1811" s="1684"/>
      <c r="AH1811" s="1684"/>
      <c r="AI1811" s="1684"/>
      <c r="AJ1811" s="1684"/>
      <c r="AK1811" s="1684"/>
      <c r="AL1811" s="1684"/>
      <c r="AM1811" s="1684"/>
      <c r="AN1811" s="1684"/>
      <c r="AO1811" s="1684"/>
      <c r="AP1811" s="1684"/>
      <c r="AQ1811" s="1684"/>
      <c r="AR1811" s="1684"/>
      <c r="AS1811" s="1684"/>
      <c r="AT1811" s="1684"/>
      <c r="AU1811" s="1684"/>
      <c r="AV1811" s="1684"/>
      <c r="AW1811" s="1684"/>
      <c r="AX1811" s="1684"/>
      <c r="AY1811" s="1684"/>
      <c r="AZ1811" s="1684"/>
      <c r="BA1811" s="1684"/>
      <c r="BB1811" s="1684"/>
      <c r="BC1811" s="1684"/>
      <c r="BD1811" s="1684"/>
      <c r="BE1811" s="1684"/>
      <c r="BF1811" s="1684"/>
      <c r="BG1811" s="1684"/>
      <c r="BH1811" s="1684"/>
      <c r="BI1811" s="1684"/>
      <c r="BJ1811" s="1684"/>
      <c r="BK1811" s="1684"/>
      <c r="BL1811" s="1684"/>
      <c r="BM1811" s="1684"/>
      <c r="BN1811" s="1684"/>
      <c r="BO1811" s="1684"/>
      <c r="BP1811" s="1684"/>
      <c r="BQ1811" s="1684"/>
      <c r="BR1811" s="1684"/>
      <c r="BS1811" s="1684"/>
      <c r="BT1811" s="1684"/>
      <c r="BU1811" s="1684"/>
      <c r="BV1811" s="1684"/>
      <c r="BW1811" s="1684"/>
      <c r="BX1811" s="1684"/>
      <c r="BY1811" s="1684"/>
      <c r="BZ1811" s="1684"/>
      <c r="CA1811" s="1684"/>
      <c r="CB1811" s="1684"/>
      <c r="CC1811" s="1684"/>
      <c r="CD1811" s="1684"/>
      <c r="CE1811" s="1684"/>
      <c r="CF1811" s="1684"/>
      <c r="CG1811" s="1684"/>
      <c r="CH1811" s="1684"/>
      <c r="CI1811" s="1684"/>
      <c r="CJ1811" s="1684"/>
      <c r="CK1811" s="1684"/>
      <c r="CL1811" s="1684"/>
      <c r="CM1811" s="1684"/>
      <c r="CN1811" s="1684"/>
      <c r="CO1811" s="1684"/>
    </row>
    <row r="1812" spans="1:93" s="1391" customFormat="1" ht="15" x14ac:dyDescent="0.2">
      <c r="A1812" s="1684"/>
      <c r="B1812" s="2026">
        <v>9</v>
      </c>
      <c r="C1812" s="2027">
        <v>5.4039999999999999</v>
      </c>
      <c r="D1812" s="2027">
        <v>247</v>
      </c>
      <c r="E1812" s="2027">
        <v>267</v>
      </c>
      <c r="F1812" s="2027">
        <v>286</v>
      </c>
      <c r="G1812" s="2027">
        <v>306</v>
      </c>
      <c r="H1812" s="2027">
        <v>325</v>
      </c>
      <c r="I1812" s="2027">
        <v>344</v>
      </c>
      <c r="J1812" s="2027">
        <v>362</v>
      </c>
      <c r="K1812" s="2027">
        <v>381</v>
      </c>
      <c r="L1812" s="2027">
        <v>399</v>
      </c>
      <c r="M1812" s="2028">
        <v>41</v>
      </c>
      <c r="N1812"/>
      <c r="O1812" s="1684"/>
      <c r="P1812" s="1684"/>
      <c r="Q1812" s="1684"/>
      <c r="R1812" s="1684"/>
      <c r="S1812" s="1684"/>
      <c r="T1812" s="1684"/>
      <c r="U1812" s="1684"/>
      <c r="V1812" s="1684"/>
      <c r="W1812" s="1684"/>
      <c r="X1812" s="1684"/>
      <c r="Y1812" s="1684"/>
      <c r="Z1812" s="1684"/>
      <c r="AA1812" s="1684"/>
      <c r="AB1812" s="1684"/>
      <c r="AC1812" s="1684"/>
      <c r="AD1812" s="1684"/>
      <c r="AE1812" s="1684"/>
      <c r="AF1812" s="1684"/>
      <c r="AG1812" s="1684"/>
      <c r="AH1812" s="1684"/>
      <c r="AI1812" s="1684"/>
      <c r="AJ1812" s="1684"/>
      <c r="AK1812" s="1684"/>
      <c r="AL1812" s="1684"/>
      <c r="AM1812" s="1684"/>
      <c r="AN1812" s="1684"/>
      <c r="AO1812" s="1684"/>
      <c r="AP1812" s="1684"/>
      <c r="AQ1812" s="1684"/>
      <c r="AR1812" s="1684"/>
      <c r="AS1812" s="1684"/>
      <c r="AT1812" s="1684"/>
      <c r="AU1812" s="1684"/>
      <c r="AV1812" s="1684"/>
      <c r="AW1812" s="1684"/>
      <c r="AX1812" s="1684"/>
      <c r="AY1812" s="1684"/>
      <c r="AZ1812" s="1684"/>
      <c r="BA1812" s="1684"/>
      <c r="BB1812" s="1684"/>
      <c r="BC1812" s="1684"/>
      <c r="BD1812" s="1684"/>
      <c r="BE1812" s="1684"/>
      <c r="BF1812" s="1684"/>
      <c r="BG1812" s="1684"/>
      <c r="BH1812" s="1684"/>
      <c r="BI1812" s="1684"/>
      <c r="BJ1812" s="1684"/>
      <c r="BK1812" s="1684"/>
      <c r="BL1812" s="1684"/>
      <c r="BM1812" s="1684"/>
      <c r="BN1812" s="1684"/>
      <c r="BO1812" s="1684"/>
      <c r="BP1812" s="1684"/>
      <c r="BQ1812" s="1684"/>
      <c r="BR1812" s="1684"/>
      <c r="BS1812" s="1684"/>
      <c r="BT1812" s="1684"/>
      <c r="BU1812" s="1684"/>
      <c r="BV1812" s="1684"/>
      <c r="BW1812" s="1684"/>
      <c r="BX1812" s="1684"/>
      <c r="BY1812" s="1684"/>
      <c r="BZ1812" s="1684"/>
      <c r="CA1812" s="1684"/>
      <c r="CB1812" s="1684"/>
      <c r="CC1812" s="1684"/>
      <c r="CD1812" s="1684"/>
      <c r="CE1812" s="1684"/>
      <c r="CF1812" s="1684"/>
      <c r="CG1812" s="1684"/>
      <c r="CH1812" s="1684"/>
      <c r="CI1812" s="1684"/>
      <c r="CJ1812" s="1684"/>
      <c r="CK1812" s="1684"/>
      <c r="CL1812" s="1684"/>
      <c r="CM1812" s="1684"/>
      <c r="CN1812" s="1684"/>
      <c r="CO1812" s="1684"/>
    </row>
    <row r="1813" spans="1:93" s="1391" customFormat="1" ht="15" x14ac:dyDescent="0.2">
      <c r="A1813" s="1684"/>
      <c r="B1813" s="2026">
        <v>10</v>
      </c>
      <c r="C1813" s="2027">
        <v>5.827</v>
      </c>
      <c r="D1813" s="2027">
        <v>277</v>
      </c>
      <c r="E1813" s="2027">
        <v>299</v>
      </c>
      <c r="F1813" s="2027">
        <v>321</v>
      </c>
      <c r="G1813" s="2027">
        <v>342</v>
      </c>
      <c r="H1813" s="2027">
        <v>363</v>
      </c>
      <c r="I1813" s="2027">
        <v>384</v>
      </c>
      <c r="J1813" s="2027">
        <v>405</v>
      </c>
      <c r="K1813" s="2027">
        <v>425</v>
      </c>
      <c r="L1813" s="2027">
        <v>445</v>
      </c>
      <c r="M1813" s="2028">
        <v>42</v>
      </c>
      <c r="N1813"/>
      <c r="O1813" s="1684"/>
      <c r="P1813" s="1684"/>
      <c r="Q1813" s="1684"/>
      <c r="R1813" s="1684"/>
      <c r="S1813" s="1684"/>
      <c r="T1813" s="1684"/>
      <c r="U1813" s="1684"/>
      <c r="V1813" s="1684"/>
      <c r="W1813" s="1684"/>
      <c r="X1813" s="1684"/>
      <c r="Y1813" s="1684"/>
      <c r="Z1813" s="1684"/>
      <c r="AA1813" s="1684"/>
      <c r="AB1813" s="1684"/>
      <c r="AC1813" s="1684"/>
      <c r="AD1813" s="1684"/>
      <c r="AE1813" s="1684"/>
      <c r="AF1813" s="1684"/>
      <c r="AG1813" s="1684"/>
      <c r="AH1813" s="1684"/>
      <c r="AI1813" s="1684"/>
      <c r="AJ1813" s="1684"/>
      <c r="AK1813" s="1684"/>
      <c r="AL1813" s="1684"/>
      <c r="AM1813" s="1684"/>
      <c r="AN1813" s="1684"/>
      <c r="AO1813" s="1684"/>
      <c r="AP1813" s="1684"/>
      <c r="AQ1813" s="1684"/>
      <c r="AR1813" s="1684"/>
      <c r="AS1813" s="1684"/>
      <c r="AT1813" s="1684"/>
      <c r="AU1813" s="1684"/>
      <c r="AV1813" s="1684"/>
      <c r="AW1813" s="1684"/>
      <c r="AX1813" s="1684"/>
      <c r="AY1813" s="1684"/>
      <c r="AZ1813" s="1684"/>
      <c r="BA1813" s="1684"/>
      <c r="BB1813" s="1684"/>
      <c r="BC1813" s="1684"/>
      <c r="BD1813" s="1684"/>
      <c r="BE1813" s="1684"/>
      <c r="BF1813" s="1684"/>
      <c r="BG1813" s="1684"/>
      <c r="BH1813" s="1684"/>
      <c r="BI1813" s="1684"/>
      <c r="BJ1813" s="1684"/>
      <c r="BK1813" s="1684"/>
      <c r="BL1813" s="1684"/>
      <c r="BM1813" s="1684"/>
      <c r="BN1813" s="1684"/>
      <c r="BO1813" s="1684"/>
      <c r="BP1813" s="1684"/>
      <c r="BQ1813" s="1684"/>
      <c r="BR1813" s="1684"/>
      <c r="BS1813" s="1684"/>
      <c r="BT1813" s="1684"/>
      <c r="BU1813" s="1684"/>
      <c r="BV1813" s="1684"/>
      <c r="BW1813" s="1684"/>
      <c r="BX1813" s="1684"/>
      <c r="BY1813" s="1684"/>
      <c r="BZ1813" s="1684"/>
      <c r="CA1813" s="1684"/>
      <c r="CB1813" s="1684"/>
      <c r="CC1813" s="1684"/>
      <c r="CD1813" s="1684"/>
      <c r="CE1813" s="1684"/>
      <c r="CF1813" s="1684"/>
      <c r="CG1813" s="1684"/>
      <c r="CH1813" s="1684"/>
      <c r="CI1813" s="1684"/>
      <c r="CJ1813" s="1684"/>
      <c r="CK1813" s="1684"/>
      <c r="CL1813" s="1684"/>
      <c r="CM1813" s="1684"/>
      <c r="CN1813" s="1684"/>
      <c r="CO1813" s="1684"/>
    </row>
    <row r="1814" spans="1:93" s="1391" customFormat="1" ht="15" x14ac:dyDescent="0.2">
      <c r="A1814" s="1684"/>
      <c r="B1814" s="2026">
        <v>11</v>
      </c>
      <c r="C1814" s="2027">
        <v>6.3319999999999999</v>
      </c>
      <c r="D1814" s="2027">
        <v>313</v>
      </c>
      <c r="E1814" s="2027">
        <v>337</v>
      </c>
      <c r="F1814" s="2027">
        <v>361</v>
      </c>
      <c r="G1814" s="2027">
        <v>385</v>
      </c>
      <c r="H1814" s="2027">
        <v>408</v>
      </c>
      <c r="I1814" s="2027">
        <v>431</v>
      </c>
      <c r="J1814" s="2027">
        <v>445</v>
      </c>
      <c r="K1814" s="2027">
        <v>476</v>
      </c>
      <c r="L1814" s="2027">
        <v>498</v>
      </c>
      <c r="M1814" s="2028">
        <v>43</v>
      </c>
      <c r="N1814"/>
      <c r="O1814" s="1684"/>
      <c r="P1814" s="1684"/>
      <c r="Q1814" s="1684"/>
      <c r="R1814" s="1684"/>
      <c r="S1814" s="1684"/>
      <c r="T1814" s="1684"/>
      <c r="U1814" s="1684"/>
      <c r="V1814" s="1684"/>
      <c r="W1814" s="1684"/>
      <c r="X1814" s="1684"/>
      <c r="Y1814" s="1684"/>
      <c r="Z1814" s="1684"/>
      <c r="AA1814" s="1684"/>
      <c r="AB1814" s="1684"/>
      <c r="AC1814" s="1684"/>
      <c r="AD1814" s="1684"/>
      <c r="AE1814" s="1684"/>
      <c r="AF1814" s="1684"/>
      <c r="AG1814" s="1684"/>
      <c r="AH1814" s="1684"/>
      <c r="AI1814" s="1684"/>
      <c r="AJ1814" s="1684"/>
      <c r="AK1814" s="1684"/>
      <c r="AL1814" s="1684"/>
      <c r="AM1814" s="1684"/>
      <c r="AN1814" s="1684"/>
      <c r="AO1814" s="1684"/>
      <c r="AP1814" s="1684"/>
      <c r="AQ1814" s="1684"/>
      <c r="AR1814" s="1684"/>
      <c r="AS1814" s="1684"/>
      <c r="AT1814" s="1684"/>
      <c r="AU1814" s="1684"/>
      <c r="AV1814" s="1684"/>
      <c r="AW1814" s="1684"/>
      <c r="AX1814" s="1684"/>
      <c r="AY1814" s="1684"/>
      <c r="AZ1814" s="1684"/>
      <c r="BA1814" s="1684"/>
      <c r="BB1814" s="1684"/>
      <c r="BC1814" s="1684"/>
      <c r="BD1814" s="1684"/>
      <c r="BE1814" s="1684"/>
      <c r="BF1814" s="1684"/>
      <c r="BG1814" s="1684"/>
      <c r="BH1814" s="1684"/>
      <c r="BI1814" s="1684"/>
      <c r="BJ1814" s="1684"/>
      <c r="BK1814" s="1684"/>
      <c r="BL1814" s="1684"/>
      <c r="BM1814" s="1684"/>
      <c r="BN1814" s="1684"/>
      <c r="BO1814" s="1684"/>
      <c r="BP1814" s="1684"/>
      <c r="BQ1814" s="1684"/>
      <c r="BR1814" s="1684"/>
      <c r="BS1814" s="1684"/>
      <c r="BT1814" s="1684"/>
      <c r="BU1814" s="1684"/>
      <c r="BV1814" s="1684"/>
      <c r="BW1814" s="1684"/>
      <c r="BX1814" s="1684"/>
      <c r="BY1814" s="1684"/>
      <c r="BZ1814" s="1684"/>
      <c r="CA1814" s="1684"/>
      <c r="CB1814" s="1684"/>
      <c r="CC1814" s="1684"/>
      <c r="CD1814" s="1684"/>
      <c r="CE1814" s="1684"/>
      <c r="CF1814" s="1684"/>
      <c r="CG1814" s="1684"/>
      <c r="CH1814" s="1684"/>
      <c r="CI1814" s="1684"/>
      <c r="CJ1814" s="1684"/>
      <c r="CK1814" s="1684"/>
      <c r="CL1814" s="1684"/>
      <c r="CM1814" s="1684"/>
      <c r="CN1814" s="1684"/>
      <c r="CO1814" s="1684"/>
    </row>
    <row r="1815" spans="1:93" s="1391" customFormat="1" ht="15" x14ac:dyDescent="0.2">
      <c r="A1815" s="1684"/>
      <c r="B1815" s="2026">
        <v>12</v>
      </c>
      <c r="C1815" s="2027">
        <v>6.9009999999999998</v>
      </c>
      <c r="D1815" s="2027">
        <v>351</v>
      </c>
      <c r="E1815" s="2027">
        <v>378</v>
      </c>
      <c r="F1815" s="2027">
        <v>405</v>
      </c>
      <c r="G1815" s="2027">
        <v>431</v>
      </c>
      <c r="H1815" s="2027">
        <v>457</v>
      </c>
      <c r="I1815" s="2027">
        <v>482</v>
      </c>
      <c r="J1815" s="2027">
        <v>507</v>
      </c>
      <c r="K1815" s="2027">
        <v>531</v>
      </c>
      <c r="L1815" s="2027">
        <v>555</v>
      </c>
      <c r="M1815" s="2028">
        <v>44</v>
      </c>
      <c r="N1815"/>
      <c r="O1815" s="1684"/>
      <c r="P1815" s="1684"/>
      <c r="Q1815" s="1684"/>
      <c r="R1815" s="1684"/>
      <c r="S1815" s="1684"/>
      <c r="T1815" s="1684"/>
      <c r="U1815" s="1684"/>
      <c r="V1815" s="1684"/>
      <c r="W1815" s="1684"/>
      <c r="X1815" s="1684"/>
      <c r="Y1815" s="1684"/>
      <c r="Z1815" s="1684"/>
      <c r="AA1815" s="1684"/>
      <c r="AB1815" s="1684"/>
      <c r="AC1815" s="1684"/>
      <c r="AD1815" s="1684"/>
      <c r="AE1815" s="1684"/>
      <c r="AF1815" s="1684"/>
      <c r="AG1815" s="1684"/>
      <c r="AH1815" s="1684"/>
      <c r="AI1815" s="1684"/>
      <c r="AJ1815" s="1684"/>
      <c r="AK1815" s="1684"/>
      <c r="AL1815" s="1684"/>
      <c r="AM1815" s="1684"/>
      <c r="AN1815" s="1684"/>
      <c r="AO1815" s="1684"/>
      <c r="AP1815" s="1684"/>
      <c r="AQ1815" s="1684"/>
      <c r="AR1815" s="1684"/>
      <c r="AS1815" s="1684"/>
      <c r="AT1815" s="1684"/>
      <c r="AU1815" s="1684"/>
      <c r="AV1815" s="1684"/>
      <c r="AW1815" s="1684"/>
      <c r="AX1815" s="1684"/>
      <c r="AY1815" s="1684"/>
      <c r="AZ1815" s="1684"/>
      <c r="BA1815" s="1684"/>
      <c r="BB1815" s="1684"/>
      <c r="BC1815" s="1684"/>
      <c r="BD1815" s="1684"/>
      <c r="BE1815" s="1684"/>
      <c r="BF1815" s="1684"/>
      <c r="BG1815" s="1684"/>
      <c r="BH1815" s="1684"/>
      <c r="BI1815" s="1684"/>
      <c r="BJ1815" s="1684"/>
      <c r="BK1815" s="1684"/>
      <c r="BL1815" s="1684"/>
      <c r="BM1815" s="1684"/>
      <c r="BN1815" s="1684"/>
      <c r="BO1815" s="1684"/>
      <c r="BP1815" s="1684"/>
      <c r="BQ1815" s="1684"/>
      <c r="BR1815" s="1684"/>
      <c r="BS1815" s="1684"/>
      <c r="BT1815" s="1684"/>
      <c r="BU1815" s="1684"/>
      <c r="BV1815" s="1684"/>
      <c r="BW1815" s="1684"/>
      <c r="BX1815" s="1684"/>
      <c r="BY1815" s="1684"/>
      <c r="BZ1815" s="1684"/>
      <c r="CA1815" s="1684"/>
      <c r="CB1815" s="1684"/>
      <c r="CC1815" s="1684"/>
      <c r="CD1815" s="1684"/>
      <c r="CE1815" s="1684"/>
      <c r="CF1815" s="1684"/>
      <c r="CG1815" s="1684"/>
      <c r="CH1815" s="1684"/>
      <c r="CI1815" s="1684"/>
      <c r="CJ1815" s="1684"/>
      <c r="CK1815" s="1684"/>
      <c r="CL1815" s="1684"/>
      <c r="CM1815" s="1684"/>
      <c r="CN1815" s="1684"/>
      <c r="CO1815" s="1684"/>
    </row>
    <row r="1816" spans="1:93" s="1391" customFormat="1" ht="15" x14ac:dyDescent="0.2">
      <c r="A1816" s="1684"/>
      <c r="B1816" s="2026">
        <v>13</v>
      </c>
      <c r="C1816" s="2027">
        <v>4.5250000000000004</v>
      </c>
      <c r="D1816" s="2027">
        <v>392</v>
      </c>
      <c r="E1816" s="2027">
        <v>422</v>
      </c>
      <c r="F1816" s="2027">
        <v>451</v>
      </c>
      <c r="G1816" s="2027">
        <v>480</v>
      </c>
      <c r="H1816" s="2027">
        <v>508</v>
      </c>
      <c r="I1816" s="2027">
        <v>535</v>
      </c>
      <c r="J1816" s="2027">
        <v>563</v>
      </c>
      <c r="K1816" s="2027">
        <v>590</v>
      </c>
      <c r="L1816" s="2027">
        <v>616</v>
      </c>
      <c r="M1816" s="2028">
        <v>45</v>
      </c>
      <c r="N1816"/>
      <c r="O1816" s="1684"/>
      <c r="P1816" s="1684"/>
      <c r="Q1816" s="1684"/>
      <c r="R1816" s="1684"/>
      <c r="S1816" s="1684"/>
      <c r="T1816" s="1684"/>
      <c r="U1816" s="1684"/>
      <c r="V1816" s="1684"/>
      <c r="W1816" s="1684"/>
      <c r="X1816" s="1684"/>
      <c r="Y1816" s="1684"/>
      <c r="Z1816" s="1684"/>
      <c r="AA1816" s="1684"/>
      <c r="AB1816" s="1684"/>
      <c r="AC1816" s="1684"/>
      <c r="AD1816" s="1684"/>
      <c r="AE1816" s="1684"/>
      <c r="AF1816" s="1684"/>
      <c r="AG1816" s="1684"/>
      <c r="AH1816" s="1684"/>
      <c r="AI1816" s="1684"/>
      <c r="AJ1816" s="1684"/>
      <c r="AK1816" s="1684"/>
      <c r="AL1816" s="1684"/>
      <c r="AM1816" s="1684"/>
      <c r="AN1816" s="1684"/>
      <c r="AO1816" s="1684"/>
      <c r="AP1816" s="1684"/>
      <c r="AQ1816" s="1684"/>
      <c r="AR1816" s="1684"/>
      <c r="AS1816" s="1684"/>
      <c r="AT1816" s="1684"/>
      <c r="AU1816" s="1684"/>
      <c r="AV1816" s="1684"/>
      <c r="AW1816" s="1684"/>
      <c r="AX1816" s="1684"/>
      <c r="AY1816" s="1684"/>
      <c r="AZ1816" s="1684"/>
      <c r="BA1816" s="1684"/>
      <c r="BB1816" s="1684"/>
      <c r="BC1816" s="1684"/>
      <c r="BD1816" s="1684"/>
      <c r="BE1816" s="1684"/>
      <c r="BF1816" s="1684"/>
      <c r="BG1816" s="1684"/>
      <c r="BH1816" s="1684"/>
      <c r="BI1816" s="1684"/>
      <c r="BJ1816" s="1684"/>
      <c r="BK1816" s="1684"/>
      <c r="BL1816" s="1684"/>
      <c r="BM1816" s="1684"/>
      <c r="BN1816" s="1684"/>
      <c r="BO1816" s="1684"/>
      <c r="BP1816" s="1684"/>
      <c r="BQ1816" s="1684"/>
      <c r="BR1816" s="1684"/>
      <c r="BS1816" s="1684"/>
      <c r="BT1816" s="1684"/>
      <c r="BU1816" s="1684"/>
      <c r="BV1816" s="1684"/>
      <c r="BW1816" s="1684"/>
      <c r="BX1816" s="1684"/>
      <c r="BY1816" s="1684"/>
      <c r="BZ1816" s="1684"/>
      <c r="CA1816" s="1684"/>
      <c r="CB1816" s="1684"/>
      <c r="CC1816" s="1684"/>
      <c r="CD1816" s="1684"/>
      <c r="CE1816" s="1684"/>
      <c r="CF1816" s="1684"/>
      <c r="CG1816" s="1684"/>
      <c r="CH1816" s="1684"/>
      <c r="CI1816" s="1684"/>
      <c r="CJ1816" s="1684"/>
      <c r="CK1816" s="1684"/>
      <c r="CL1816" s="1684"/>
      <c r="CM1816" s="1684"/>
      <c r="CN1816" s="1684"/>
      <c r="CO1816" s="1684"/>
    </row>
    <row r="1817" spans="1:93" s="1391" customFormat="1" ht="15" x14ac:dyDescent="0.2">
      <c r="A1817" s="1684"/>
      <c r="B1817" s="2026">
        <v>14</v>
      </c>
      <c r="C1817" s="2027">
        <v>8.2430000000000003</v>
      </c>
      <c r="D1817" s="2027">
        <v>439</v>
      </c>
      <c r="E1817" s="2027">
        <v>471</v>
      </c>
      <c r="F1817" s="2027">
        <v>503</v>
      </c>
      <c r="G1817" s="2027">
        <v>535</v>
      </c>
      <c r="H1817" s="2027">
        <v>565</v>
      </c>
      <c r="I1817" s="2027">
        <v>595</v>
      </c>
      <c r="J1817" s="2027">
        <v>625</v>
      </c>
      <c r="K1817" s="2027">
        <v>653</v>
      </c>
      <c r="L1817" s="2027">
        <v>681</v>
      </c>
      <c r="M1817" s="2028">
        <v>46</v>
      </c>
      <c r="N1817"/>
      <c r="O1817" s="1684"/>
      <c r="P1817" s="1684"/>
      <c r="Q1817" s="1684"/>
      <c r="R1817" s="1684"/>
      <c r="S1817" s="1684"/>
      <c r="T1817" s="1684"/>
      <c r="U1817" s="1684"/>
      <c r="V1817" s="1684"/>
      <c r="W1817" s="1684"/>
      <c r="X1817" s="1684"/>
      <c r="Y1817" s="1684"/>
      <c r="Z1817" s="1684"/>
      <c r="AA1817" s="1684"/>
      <c r="AB1817" s="1684"/>
      <c r="AC1817" s="1684"/>
      <c r="AD1817" s="1684"/>
      <c r="AE1817" s="1684"/>
      <c r="AF1817" s="1684"/>
      <c r="AG1817" s="1684"/>
      <c r="AH1817" s="1684"/>
      <c r="AI1817" s="1684"/>
      <c r="AJ1817" s="1684"/>
      <c r="AK1817" s="1684"/>
      <c r="AL1817" s="1684"/>
      <c r="AM1817" s="1684"/>
      <c r="AN1817" s="1684"/>
      <c r="AO1817" s="1684"/>
      <c r="AP1817" s="1684"/>
      <c r="AQ1817" s="1684"/>
      <c r="AR1817" s="1684"/>
      <c r="AS1817" s="1684"/>
      <c r="AT1817" s="1684"/>
      <c r="AU1817" s="1684"/>
      <c r="AV1817" s="1684"/>
      <c r="AW1817" s="1684"/>
      <c r="AX1817" s="1684"/>
      <c r="AY1817" s="1684"/>
      <c r="AZ1817" s="1684"/>
      <c r="BA1817" s="1684"/>
      <c r="BB1817" s="1684"/>
      <c r="BC1817" s="1684"/>
      <c r="BD1817" s="1684"/>
      <c r="BE1817" s="1684"/>
      <c r="BF1817" s="1684"/>
      <c r="BG1817" s="1684"/>
      <c r="BH1817" s="1684"/>
      <c r="BI1817" s="1684"/>
      <c r="BJ1817" s="1684"/>
      <c r="BK1817" s="1684"/>
      <c r="BL1817" s="1684"/>
      <c r="BM1817" s="1684"/>
      <c r="BN1817" s="1684"/>
      <c r="BO1817" s="1684"/>
      <c r="BP1817" s="1684"/>
      <c r="BQ1817" s="1684"/>
      <c r="BR1817" s="1684"/>
      <c r="BS1817" s="1684"/>
      <c r="BT1817" s="1684"/>
      <c r="BU1817" s="1684"/>
      <c r="BV1817" s="1684"/>
      <c r="BW1817" s="1684"/>
      <c r="BX1817" s="1684"/>
      <c r="BY1817" s="1684"/>
      <c r="BZ1817" s="1684"/>
      <c r="CA1817" s="1684"/>
      <c r="CB1817" s="1684"/>
      <c r="CC1817" s="1684"/>
      <c r="CD1817" s="1684"/>
      <c r="CE1817" s="1684"/>
      <c r="CF1817" s="1684"/>
      <c r="CG1817" s="1684"/>
      <c r="CH1817" s="1684"/>
      <c r="CI1817" s="1684"/>
      <c r="CJ1817" s="1684"/>
      <c r="CK1817" s="1684"/>
      <c r="CL1817" s="1684"/>
      <c r="CM1817" s="1684"/>
      <c r="CN1817" s="1684"/>
      <c r="CO1817" s="1684"/>
    </row>
    <row r="1818" spans="1:93" s="1391" customFormat="1" ht="15" x14ac:dyDescent="0.2">
      <c r="A1818" s="1684"/>
      <c r="B1818" s="2026">
        <v>15</v>
      </c>
      <c r="C1818" s="2027">
        <v>9.0489999999999995</v>
      </c>
      <c r="D1818" s="2027">
        <v>488</v>
      </c>
      <c r="E1818" s="2027">
        <v>523</v>
      </c>
      <c r="F1818" s="2027">
        <v>558</v>
      </c>
      <c r="G1818" s="2027">
        <v>593</v>
      </c>
      <c r="H1818" s="2027">
        <v>626</v>
      </c>
      <c r="I1818" s="2027">
        <v>659</v>
      </c>
      <c r="J1818" s="2027">
        <v>691</v>
      </c>
      <c r="K1818" s="2027">
        <v>722</v>
      </c>
      <c r="L1818" s="2027">
        <v>752</v>
      </c>
      <c r="M1818" s="2028">
        <v>47</v>
      </c>
      <c r="N1818"/>
      <c r="O1818" s="1684"/>
      <c r="P1818" s="1684"/>
      <c r="Q1818" s="1684"/>
      <c r="R1818" s="1684"/>
      <c r="S1818" s="1684"/>
      <c r="T1818" s="1684"/>
      <c r="U1818" s="1684"/>
      <c r="V1818" s="1684"/>
      <c r="W1818" s="1684"/>
      <c r="X1818" s="1684"/>
      <c r="Y1818" s="1684"/>
      <c r="Z1818" s="1684"/>
      <c r="AA1818" s="1684"/>
      <c r="AB1818" s="1684"/>
      <c r="AC1818" s="1684"/>
      <c r="AD1818" s="1684"/>
      <c r="AE1818" s="1684"/>
      <c r="AF1818" s="1684"/>
      <c r="AG1818" s="1684"/>
      <c r="AH1818" s="1684"/>
      <c r="AI1818" s="1684"/>
      <c r="AJ1818" s="1684"/>
      <c r="AK1818" s="1684"/>
      <c r="AL1818" s="1684"/>
      <c r="AM1818" s="1684"/>
      <c r="AN1818" s="1684"/>
      <c r="AO1818" s="1684"/>
      <c r="AP1818" s="1684"/>
      <c r="AQ1818" s="1684"/>
      <c r="AR1818" s="1684"/>
      <c r="AS1818" s="1684"/>
      <c r="AT1818" s="1684"/>
      <c r="AU1818" s="1684"/>
      <c r="AV1818" s="1684"/>
      <c r="AW1818" s="1684"/>
      <c r="AX1818" s="1684"/>
      <c r="AY1818" s="1684"/>
      <c r="AZ1818" s="1684"/>
      <c r="BA1818" s="1684"/>
      <c r="BB1818" s="1684"/>
      <c r="BC1818" s="1684"/>
      <c r="BD1818" s="1684"/>
      <c r="BE1818" s="1684"/>
      <c r="BF1818" s="1684"/>
      <c r="BG1818" s="1684"/>
      <c r="BH1818" s="1684"/>
      <c r="BI1818" s="1684"/>
      <c r="BJ1818" s="1684"/>
      <c r="BK1818" s="1684"/>
      <c r="BL1818" s="1684"/>
      <c r="BM1818" s="1684"/>
      <c r="BN1818" s="1684"/>
      <c r="BO1818" s="1684"/>
      <c r="BP1818" s="1684"/>
      <c r="BQ1818" s="1684"/>
      <c r="BR1818" s="1684"/>
      <c r="BS1818" s="1684"/>
      <c r="BT1818" s="1684"/>
      <c r="BU1818" s="1684"/>
      <c r="BV1818" s="1684"/>
      <c r="BW1818" s="1684"/>
      <c r="BX1818" s="1684"/>
      <c r="BY1818" s="1684"/>
      <c r="BZ1818" s="1684"/>
      <c r="CA1818" s="1684"/>
      <c r="CB1818" s="1684"/>
      <c r="CC1818" s="1684"/>
      <c r="CD1818" s="1684"/>
      <c r="CE1818" s="1684"/>
      <c r="CF1818" s="1684"/>
      <c r="CG1818" s="1684"/>
      <c r="CH1818" s="1684"/>
      <c r="CI1818" s="1684"/>
      <c r="CJ1818" s="1684"/>
      <c r="CK1818" s="1684"/>
      <c r="CL1818" s="1684"/>
      <c r="CM1818" s="1684"/>
      <c r="CN1818" s="1684"/>
      <c r="CO1818" s="1684"/>
    </row>
    <row r="1819" spans="1:93" s="1391" customFormat="1" ht="15" x14ac:dyDescent="0.2">
      <c r="A1819" s="1684"/>
      <c r="B1819" s="2026">
        <v>16</v>
      </c>
      <c r="C1819" s="2027">
        <v>9.9160000000000004</v>
      </c>
      <c r="D1819" s="2027">
        <v>540</v>
      </c>
      <c r="E1819" s="2027">
        <v>579</v>
      </c>
      <c r="F1819" s="2027">
        <v>616</v>
      </c>
      <c r="G1819" s="2027">
        <v>654</v>
      </c>
      <c r="H1819" s="2027">
        <v>689</v>
      </c>
      <c r="I1819" s="2027">
        <v>724</v>
      </c>
      <c r="J1819" s="2027">
        <v>758</v>
      </c>
      <c r="K1819" s="2027">
        <v>791</v>
      </c>
      <c r="L1819" s="2027">
        <v>823</v>
      </c>
      <c r="M1819" s="2028">
        <v>48</v>
      </c>
      <c r="N1819"/>
      <c r="O1819" s="1684"/>
      <c r="P1819" s="1684"/>
      <c r="Q1819" s="1684"/>
      <c r="R1819" s="1684"/>
      <c r="S1819" s="1684"/>
      <c r="T1819" s="1684"/>
      <c r="U1819" s="1684"/>
      <c r="V1819" s="1684"/>
      <c r="W1819" s="1684"/>
      <c r="X1819" s="1684"/>
      <c r="Y1819" s="1684"/>
      <c r="Z1819" s="1684"/>
      <c r="AA1819" s="1684"/>
      <c r="AB1819" s="1684"/>
      <c r="AC1819" s="1684"/>
      <c r="AD1819" s="1684"/>
      <c r="AE1819" s="1684"/>
      <c r="AF1819" s="1684"/>
      <c r="AG1819" s="1684"/>
      <c r="AH1819" s="1684"/>
      <c r="AI1819" s="1684"/>
      <c r="AJ1819" s="1684"/>
      <c r="AK1819" s="1684"/>
      <c r="AL1819" s="1684"/>
      <c r="AM1819" s="1684"/>
      <c r="AN1819" s="1684"/>
      <c r="AO1819" s="1684"/>
      <c r="AP1819" s="1684"/>
      <c r="AQ1819" s="1684"/>
      <c r="AR1819" s="1684"/>
      <c r="AS1819" s="1684"/>
      <c r="AT1819" s="1684"/>
      <c r="AU1819" s="1684"/>
      <c r="AV1819" s="1684"/>
      <c r="AW1819" s="1684"/>
      <c r="AX1819" s="1684"/>
      <c r="AY1819" s="1684"/>
      <c r="AZ1819" s="1684"/>
      <c r="BA1819" s="1684"/>
      <c r="BB1819" s="1684"/>
      <c r="BC1819" s="1684"/>
      <c r="BD1819" s="1684"/>
      <c r="BE1819" s="1684"/>
      <c r="BF1819" s="1684"/>
      <c r="BG1819" s="1684"/>
      <c r="BH1819" s="1684"/>
      <c r="BI1819" s="1684"/>
      <c r="BJ1819" s="1684"/>
      <c r="BK1819" s="1684"/>
      <c r="BL1819" s="1684"/>
      <c r="BM1819" s="1684"/>
      <c r="BN1819" s="1684"/>
      <c r="BO1819" s="1684"/>
      <c r="BP1819" s="1684"/>
      <c r="BQ1819" s="1684"/>
      <c r="BR1819" s="1684"/>
      <c r="BS1819" s="1684"/>
      <c r="BT1819" s="1684"/>
      <c r="BU1819" s="1684"/>
      <c r="BV1819" s="1684"/>
      <c r="BW1819" s="1684"/>
      <c r="BX1819" s="1684"/>
      <c r="BY1819" s="1684"/>
      <c r="BZ1819" s="1684"/>
      <c r="CA1819" s="1684"/>
      <c r="CB1819" s="1684"/>
      <c r="CC1819" s="1684"/>
      <c r="CD1819" s="1684"/>
      <c r="CE1819" s="1684"/>
      <c r="CF1819" s="1684"/>
      <c r="CG1819" s="1684"/>
      <c r="CH1819" s="1684"/>
      <c r="CI1819" s="1684"/>
      <c r="CJ1819" s="1684"/>
      <c r="CK1819" s="1684"/>
      <c r="CL1819" s="1684"/>
      <c r="CM1819" s="1684"/>
      <c r="CN1819" s="1684"/>
      <c r="CO1819" s="1684"/>
    </row>
    <row r="1820" spans="1:93" s="1391" customFormat="1" ht="15" x14ac:dyDescent="0.2">
      <c r="A1820" s="1684"/>
      <c r="B1820" s="4716" t="s">
        <v>1054</v>
      </c>
      <c r="C1820" s="4711"/>
      <c r="D1820" s="4711"/>
      <c r="E1820" s="4711"/>
      <c r="F1820" s="4711"/>
      <c r="G1820" s="4711"/>
      <c r="H1820" s="4711"/>
      <c r="I1820" s="4711"/>
      <c r="J1820" s="4711"/>
      <c r="K1820" s="4711"/>
      <c r="L1820" s="4711"/>
      <c r="M1820" s="4717"/>
      <c r="N1820"/>
      <c r="O1820" s="1684"/>
      <c r="P1820" s="1684"/>
      <c r="Q1820" s="1684"/>
      <c r="R1820" s="1684"/>
      <c r="S1820" s="1684"/>
      <c r="T1820" s="1684"/>
      <c r="U1820" s="1684"/>
      <c r="V1820" s="1684"/>
      <c r="W1820" s="1684"/>
      <c r="X1820" s="1684"/>
      <c r="Y1820" s="1684"/>
      <c r="Z1820" s="1684"/>
      <c r="AA1820" s="1684"/>
      <c r="AB1820" s="1684"/>
      <c r="AC1820" s="1684"/>
      <c r="AD1820" s="1684"/>
      <c r="AE1820" s="1684"/>
      <c r="AF1820" s="1684"/>
      <c r="AG1820" s="1684"/>
      <c r="AH1820" s="1684"/>
      <c r="AI1820" s="1684"/>
      <c r="AJ1820" s="1684"/>
      <c r="AK1820" s="1684"/>
      <c r="AL1820" s="1684"/>
      <c r="AM1820" s="1684"/>
      <c r="AN1820" s="1684"/>
      <c r="AO1820" s="1684"/>
      <c r="AP1820" s="1684"/>
      <c r="AQ1820" s="1684"/>
      <c r="AR1820" s="1684"/>
      <c r="AS1820" s="1684"/>
      <c r="AT1820" s="1684"/>
      <c r="AU1820" s="1684"/>
      <c r="AV1820" s="1684"/>
      <c r="AW1820" s="1684"/>
      <c r="AX1820" s="1684"/>
      <c r="AY1820" s="1684"/>
      <c r="AZ1820" s="1684"/>
      <c r="BA1820" s="1684"/>
      <c r="BB1820" s="1684"/>
      <c r="BC1820" s="1684"/>
      <c r="BD1820" s="1684"/>
      <c r="BE1820" s="1684"/>
      <c r="BF1820" s="1684"/>
      <c r="BG1820" s="1684"/>
      <c r="BH1820" s="1684"/>
      <c r="BI1820" s="1684"/>
      <c r="BJ1820" s="1684"/>
      <c r="BK1820" s="1684"/>
      <c r="BL1820" s="1684"/>
      <c r="BM1820" s="1684"/>
      <c r="BN1820" s="1684"/>
      <c r="BO1820" s="1684"/>
      <c r="BP1820" s="1684"/>
      <c r="BQ1820" s="1684"/>
      <c r="BR1820" s="1684"/>
      <c r="BS1820" s="1684"/>
      <c r="BT1820" s="1684"/>
      <c r="BU1820" s="1684"/>
      <c r="BV1820" s="1684"/>
      <c r="BW1820" s="1684"/>
      <c r="BX1820" s="1684"/>
      <c r="BY1820" s="1684"/>
      <c r="BZ1820" s="1684"/>
      <c r="CA1820" s="1684"/>
      <c r="CB1820" s="1684"/>
      <c r="CC1820" s="1684"/>
      <c r="CD1820" s="1684"/>
      <c r="CE1820" s="1684"/>
      <c r="CF1820" s="1684"/>
      <c r="CG1820" s="1684"/>
      <c r="CH1820" s="1684"/>
      <c r="CI1820" s="1684"/>
      <c r="CJ1820" s="1684"/>
      <c r="CK1820" s="1684"/>
      <c r="CL1820" s="1684"/>
      <c r="CM1820" s="1684"/>
      <c r="CN1820" s="1684"/>
      <c r="CO1820" s="1684"/>
    </row>
    <row r="1821" spans="1:93" s="1391" customFormat="1" ht="15" x14ac:dyDescent="0.2">
      <c r="A1821" s="1684"/>
      <c r="B1821" s="2023"/>
      <c r="C1821" s="2024"/>
      <c r="D1821" s="2024">
        <v>1</v>
      </c>
      <c r="E1821" s="2024">
        <v>2</v>
      </c>
      <c r="F1821" s="2024">
        <v>3</v>
      </c>
      <c r="G1821" s="2024">
        <v>4</v>
      </c>
      <c r="H1821" s="2024">
        <v>5</v>
      </c>
      <c r="I1821" s="2024">
        <v>6</v>
      </c>
      <c r="J1821" s="2024">
        <v>7</v>
      </c>
      <c r="K1821" s="2024">
        <v>8</v>
      </c>
      <c r="L1821" s="2024">
        <v>9</v>
      </c>
      <c r="M1821" s="2025"/>
      <c r="N1821"/>
      <c r="O1821" s="1684"/>
      <c r="P1821" s="1684"/>
      <c r="Q1821" s="1684"/>
      <c r="R1821" s="1684"/>
      <c r="S1821" s="1684"/>
      <c r="T1821" s="1684"/>
      <c r="U1821" s="1684"/>
      <c r="V1821" s="1684"/>
      <c r="W1821" s="1684"/>
      <c r="X1821" s="1684"/>
      <c r="Y1821" s="1684"/>
      <c r="Z1821" s="1684"/>
      <c r="AA1821" s="1684"/>
      <c r="AB1821" s="1684"/>
      <c r="AC1821" s="1684"/>
      <c r="AD1821" s="1684"/>
      <c r="AE1821" s="1684"/>
      <c r="AF1821" s="1684"/>
      <c r="AG1821" s="1684"/>
      <c r="AH1821" s="1684"/>
      <c r="AI1821" s="1684"/>
      <c r="AJ1821" s="1684"/>
      <c r="AK1821" s="1684"/>
      <c r="AL1821" s="1684"/>
      <c r="AM1821" s="1684"/>
      <c r="AN1821" s="1684"/>
      <c r="AO1821" s="1684"/>
      <c r="AP1821" s="1684"/>
      <c r="AQ1821" s="1684"/>
      <c r="AR1821" s="1684"/>
      <c r="AS1821" s="1684"/>
      <c r="AT1821" s="1684"/>
      <c r="AU1821" s="1684"/>
      <c r="AV1821" s="1684"/>
      <c r="AW1821" s="1684"/>
      <c r="AX1821" s="1684"/>
      <c r="AY1821" s="1684"/>
      <c r="AZ1821" s="1684"/>
      <c r="BA1821" s="1684"/>
      <c r="BB1821" s="1684"/>
      <c r="BC1821" s="1684"/>
      <c r="BD1821" s="1684"/>
      <c r="BE1821" s="1684"/>
      <c r="BF1821" s="1684"/>
      <c r="BG1821" s="1684"/>
      <c r="BH1821" s="1684"/>
      <c r="BI1821" s="1684"/>
      <c r="BJ1821" s="1684"/>
      <c r="BK1821" s="1684"/>
      <c r="BL1821" s="1684"/>
      <c r="BM1821" s="1684"/>
      <c r="BN1821" s="1684"/>
      <c r="BO1821" s="1684"/>
      <c r="BP1821" s="1684"/>
      <c r="BQ1821" s="1684"/>
      <c r="BR1821" s="1684"/>
      <c r="BS1821" s="1684"/>
      <c r="BT1821" s="1684"/>
      <c r="BU1821" s="1684"/>
      <c r="BV1821" s="1684"/>
      <c r="BW1821" s="1684"/>
      <c r="BX1821" s="1684"/>
      <c r="BY1821" s="1684"/>
      <c r="BZ1821" s="1684"/>
      <c r="CA1821" s="1684"/>
      <c r="CB1821" s="1684"/>
      <c r="CC1821" s="1684"/>
      <c r="CD1821" s="1684"/>
      <c r="CE1821" s="1684"/>
      <c r="CF1821" s="1684"/>
      <c r="CG1821" s="1684"/>
      <c r="CH1821" s="1684"/>
      <c r="CI1821" s="1684"/>
      <c r="CJ1821" s="1684"/>
      <c r="CK1821" s="1684"/>
      <c r="CL1821" s="1684"/>
      <c r="CM1821" s="1684"/>
      <c r="CN1821" s="1684"/>
      <c r="CO1821" s="1684"/>
    </row>
    <row r="1822" spans="1:93" s="1391" customFormat="1" ht="15" x14ac:dyDescent="0.2">
      <c r="A1822" s="1684"/>
      <c r="B1822" s="2026">
        <v>9</v>
      </c>
      <c r="C1822" s="2027">
        <v>5.4039999999999999</v>
      </c>
      <c r="D1822" s="2027">
        <v>256</v>
      </c>
      <c r="E1822" s="2027">
        <v>276</v>
      </c>
      <c r="F1822" s="2027">
        <v>297</v>
      </c>
      <c r="G1822" s="2027">
        <v>317</v>
      </c>
      <c r="H1822" s="2027">
        <v>336</v>
      </c>
      <c r="I1822" s="2027">
        <v>356</v>
      </c>
      <c r="J1822" s="2027">
        <v>375</v>
      </c>
      <c r="K1822" s="2027">
        <v>394</v>
      </c>
      <c r="L1822" s="2027">
        <v>412</v>
      </c>
      <c r="M1822" s="2028">
        <v>49</v>
      </c>
      <c r="N1822"/>
      <c r="O1822" s="1684"/>
      <c r="P1822" s="1684"/>
      <c r="Q1822" s="1684"/>
      <c r="R1822" s="1684"/>
      <c r="S1822" s="1684"/>
      <c r="T1822" s="1684"/>
      <c r="U1822" s="1684"/>
      <c r="V1822" s="1684"/>
      <c r="W1822" s="1684"/>
      <c r="X1822" s="1684"/>
      <c r="Y1822" s="1684"/>
      <c r="Z1822" s="1684"/>
      <c r="AA1822" s="1684"/>
      <c r="AB1822" s="1684"/>
      <c r="AC1822" s="1684"/>
      <c r="AD1822" s="1684"/>
      <c r="AE1822" s="1684"/>
      <c r="AF1822" s="1684"/>
      <c r="AG1822" s="1684"/>
      <c r="AH1822" s="1684"/>
      <c r="AI1822" s="1684"/>
      <c r="AJ1822" s="1684"/>
      <c r="AK1822" s="1684"/>
      <c r="AL1822" s="1684"/>
      <c r="AM1822" s="1684"/>
      <c r="AN1822" s="1684"/>
      <c r="AO1822" s="1684"/>
      <c r="AP1822" s="1684"/>
      <c r="AQ1822" s="1684"/>
      <c r="AR1822" s="1684"/>
      <c r="AS1822" s="1684"/>
      <c r="AT1822" s="1684"/>
      <c r="AU1822" s="1684"/>
      <c r="AV1822" s="1684"/>
      <c r="AW1822" s="1684"/>
      <c r="AX1822" s="1684"/>
      <c r="AY1822" s="1684"/>
      <c r="AZ1822" s="1684"/>
      <c r="BA1822" s="1684"/>
      <c r="BB1822" s="1684"/>
      <c r="BC1822" s="1684"/>
      <c r="BD1822" s="1684"/>
      <c r="BE1822" s="1684"/>
      <c r="BF1822" s="1684"/>
      <c r="BG1822" s="1684"/>
      <c r="BH1822" s="1684"/>
      <c r="BI1822" s="1684"/>
      <c r="BJ1822" s="1684"/>
      <c r="BK1822" s="1684"/>
      <c r="BL1822" s="1684"/>
      <c r="BM1822" s="1684"/>
      <c r="BN1822" s="1684"/>
      <c r="BO1822" s="1684"/>
      <c r="BP1822" s="1684"/>
      <c r="BQ1822" s="1684"/>
      <c r="BR1822" s="1684"/>
      <c r="BS1822" s="1684"/>
      <c r="BT1822" s="1684"/>
      <c r="BU1822" s="1684"/>
      <c r="BV1822" s="1684"/>
      <c r="BW1822" s="1684"/>
      <c r="BX1822" s="1684"/>
      <c r="BY1822" s="1684"/>
      <c r="BZ1822" s="1684"/>
      <c r="CA1822" s="1684"/>
      <c r="CB1822" s="1684"/>
      <c r="CC1822" s="1684"/>
      <c r="CD1822" s="1684"/>
      <c r="CE1822" s="1684"/>
      <c r="CF1822" s="1684"/>
      <c r="CG1822" s="1684"/>
      <c r="CH1822" s="1684"/>
      <c r="CI1822" s="1684"/>
      <c r="CJ1822" s="1684"/>
      <c r="CK1822" s="1684"/>
      <c r="CL1822" s="1684"/>
      <c r="CM1822" s="1684"/>
      <c r="CN1822" s="1684"/>
      <c r="CO1822" s="1684"/>
    </row>
    <row r="1823" spans="1:93" s="1391" customFormat="1" ht="15" x14ac:dyDescent="0.2">
      <c r="A1823" s="1684"/>
      <c r="B1823" s="2026">
        <v>10</v>
      </c>
      <c r="C1823" s="2027">
        <v>5.827</v>
      </c>
      <c r="D1823" s="2027">
        <v>288</v>
      </c>
      <c r="E1823" s="2027">
        <v>310</v>
      </c>
      <c r="F1823" s="2027">
        <v>333</v>
      </c>
      <c r="G1823" s="2027">
        <v>355</v>
      </c>
      <c r="H1823" s="2027">
        <v>376</v>
      </c>
      <c r="I1823" s="2027">
        <v>398</v>
      </c>
      <c r="J1823" s="2027">
        <v>419</v>
      </c>
      <c r="K1823" s="2027">
        <v>440</v>
      </c>
      <c r="L1823" s="2027">
        <v>460</v>
      </c>
      <c r="M1823" s="2028">
        <v>50</v>
      </c>
      <c r="N1823"/>
      <c r="O1823" s="1684"/>
      <c r="P1823" s="1684"/>
      <c r="Q1823" s="1684"/>
      <c r="R1823" s="1684"/>
      <c r="S1823" s="1684"/>
      <c r="T1823" s="1684"/>
      <c r="U1823" s="1684"/>
      <c r="V1823" s="1684"/>
      <c r="W1823" s="1684"/>
      <c r="X1823" s="1684"/>
      <c r="Y1823" s="1684"/>
      <c r="Z1823" s="1684"/>
      <c r="AA1823" s="1684"/>
      <c r="AB1823" s="1684"/>
      <c r="AC1823" s="1684"/>
      <c r="AD1823" s="1684"/>
      <c r="AE1823" s="1684"/>
      <c r="AF1823" s="1684"/>
      <c r="AG1823" s="1684"/>
      <c r="AH1823" s="1684"/>
      <c r="AI1823" s="1684"/>
      <c r="AJ1823" s="1684"/>
      <c r="AK1823" s="1684"/>
      <c r="AL1823" s="1684"/>
      <c r="AM1823" s="1684"/>
      <c r="AN1823" s="1684"/>
      <c r="AO1823" s="1684"/>
      <c r="AP1823" s="1684"/>
      <c r="AQ1823" s="1684"/>
      <c r="AR1823" s="1684"/>
      <c r="AS1823" s="1684"/>
      <c r="AT1823" s="1684"/>
      <c r="AU1823" s="1684"/>
      <c r="AV1823" s="1684"/>
      <c r="AW1823" s="1684"/>
      <c r="AX1823" s="1684"/>
      <c r="AY1823" s="1684"/>
      <c r="AZ1823" s="1684"/>
      <c r="BA1823" s="1684"/>
      <c r="BB1823" s="1684"/>
      <c r="BC1823" s="1684"/>
      <c r="BD1823" s="1684"/>
      <c r="BE1823" s="1684"/>
      <c r="BF1823" s="1684"/>
      <c r="BG1823" s="1684"/>
      <c r="BH1823" s="1684"/>
      <c r="BI1823" s="1684"/>
      <c r="BJ1823" s="1684"/>
      <c r="BK1823" s="1684"/>
      <c r="BL1823" s="1684"/>
      <c r="BM1823" s="1684"/>
      <c r="BN1823" s="1684"/>
      <c r="BO1823" s="1684"/>
      <c r="BP1823" s="1684"/>
      <c r="BQ1823" s="1684"/>
      <c r="BR1823" s="1684"/>
      <c r="BS1823" s="1684"/>
      <c r="BT1823" s="1684"/>
      <c r="BU1823" s="1684"/>
      <c r="BV1823" s="1684"/>
      <c r="BW1823" s="1684"/>
      <c r="BX1823" s="1684"/>
      <c r="BY1823" s="1684"/>
      <c r="BZ1823" s="1684"/>
      <c r="CA1823" s="1684"/>
      <c r="CB1823" s="1684"/>
      <c r="CC1823" s="1684"/>
      <c r="CD1823" s="1684"/>
      <c r="CE1823" s="1684"/>
      <c r="CF1823" s="1684"/>
      <c r="CG1823" s="1684"/>
      <c r="CH1823" s="1684"/>
      <c r="CI1823" s="1684"/>
      <c r="CJ1823" s="1684"/>
      <c r="CK1823" s="1684"/>
      <c r="CL1823" s="1684"/>
      <c r="CM1823" s="1684"/>
      <c r="CN1823" s="1684"/>
      <c r="CO1823" s="1684"/>
    </row>
    <row r="1824" spans="1:93" s="1391" customFormat="1" ht="15" x14ac:dyDescent="0.2">
      <c r="A1824" s="1684"/>
      <c r="B1824" s="2026">
        <v>11</v>
      </c>
      <c r="C1824" s="2027">
        <v>6.3319999999999999</v>
      </c>
      <c r="D1824" s="2027">
        <v>325</v>
      </c>
      <c r="E1824" s="2027">
        <v>350</v>
      </c>
      <c r="F1824" s="2027">
        <v>374</v>
      </c>
      <c r="G1824" s="2027">
        <v>399</v>
      </c>
      <c r="H1824" s="2027">
        <v>423</v>
      </c>
      <c r="I1824" s="2027">
        <v>447</v>
      </c>
      <c r="J1824" s="2027">
        <v>470</v>
      </c>
      <c r="K1824" s="2027">
        <v>493</v>
      </c>
      <c r="L1824" s="2027">
        <v>516</v>
      </c>
      <c r="M1824" s="2028">
        <v>51</v>
      </c>
      <c r="N1824"/>
      <c r="O1824" s="1684"/>
      <c r="P1824" s="1684"/>
      <c r="Q1824" s="1684"/>
      <c r="R1824" s="1684"/>
      <c r="S1824" s="1684"/>
      <c r="T1824" s="1684"/>
      <c r="U1824" s="1684"/>
      <c r="V1824" s="1684"/>
      <c r="W1824" s="1684"/>
      <c r="X1824" s="1684"/>
      <c r="Y1824" s="1684"/>
      <c r="Z1824" s="1684"/>
      <c r="AA1824" s="1684"/>
      <c r="AB1824" s="1684"/>
      <c r="AC1824" s="1684"/>
      <c r="AD1824" s="1684"/>
      <c r="AE1824" s="1684"/>
      <c r="AF1824" s="1684"/>
      <c r="AG1824" s="1684"/>
      <c r="AH1824" s="1684"/>
      <c r="AI1824" s="1684"/>
      <c r="AJ1824" s="1684"/>
      <c r="AK1824" s="1684"/>
      <c r="AL1824" s="1684"/>
      <c r="AM1824" s="1684"/>
      <c r="AN1824" s="1684"/>
      <c r="AO1824" s="1684"/>
      <c r="AP1824" s="1684"/>
      <c r="AQ1824" s="1684"/>
      <c r="AR1824" s="1684"/>
      <c r="AS1824" s="1684"/>
      <c r="AT1824" s="1684"/>
      <c r="AU1824" s="1684"/>
      <c r="AV1824" s="1684"/>
      <c r="AW1824" s="1684"/>
      <c r="AX1824" s="1684"/>
      <c r="AY1824" s="1684"/>
      <c r="AZ1824" s="1684"/>
      <c r="BA1824" s="1684"/>
      <c r="BB1824" s="1684"/>
      <c r="BC1824" s="1684"/>
      <c r="BD1824" s="1684"/>
      <c r="BE1824" s="1684"/>
      <c r="BF1824" s="1684"/>
      <c r="BG1824" s="1684"/>
      <c r="BH1824" s="1684"/>
      <c r="BI1824" s="1684"/>
      <c r="BJ1824" s="1684"/>
      <c r="BK1824" s="1684"/>
      <c r="BL1824" s="1684"/>
      <c r="BM1824" s="1684"/>
      <c r="BN1824" s="1684"/>
      <c r="BO1824" s="1684"/>
      <c r="BP1824" s="1684"/>
      <c r="BQ1824" s="1684"/>
      <c r="BR1824" s="1684"/>
      <c r="BS1824" s="1684"/>
      <c r="BT1824" s="1684"/>
      <c r="BU1824" s="1684"/>
      <c r="BV1824" s="1684"/>
      <c r="BW1824" s="1684"/>
      <c r="BX1824" s="1684"/>
      <c r="BY1824" s="1684"/>
      <c r="BZ1824" s="1684"/>
      <c r="CA1824" s="1684"/>
      <c r="CB1824" s="1684"/>
      <c r="CC1824" s="1684"/>
      <c r="CD1824" s="1684"/>
      <c r="CE1824" s="1684"/>
      <c r="CF1824" s="1684"/>
      <c r="CG1824" s="1684"/>
      <c r="CH1824" s="1684"/>
      <c r="CI1824" s="1684"/>
      <c r="CJ1824" s="1684"/>
      <c r="CK1824" s="1684"/>
      <c r="CL1824" s="1684"/>
      <c r="CM1824" s="1684"/>
      <c r="CN1824" s="1684"/>
      <c r="CO1824" s="1684"/>
    </row>
    <row r="1825" spans="1:93" s="1391" customFormat="1" ht="15" x14ac:dyDescent="0.2">
      <c r="A1825" s="1684"/>
      <c r="B1825" s="2026">
        <v>12</v>
      </c>
      <c r="C1825" s="2027">
        <v>6.9009999999999998</v>
      </c>
      <c r="D1825" s="2027">
        <v>365</v>
      </c>
      <c r="E1825" s="2027">
        <v>393</v>
      </c>
      <c r="F1825" s="2027">
        <v>420</v>
      </c>
      <c r="G1825" s="2027">
        <v>448</v>
      </c>
      <c r="H1825" s="2027">
        <v>474</v>
      </c>
      <c r="I1825" s="2027">
        <v>500</v>
      </c>
      <c r="J1825" s="2027">
        <v>526</v>
      </c>
      <c r="K1825" s="2027">
        <v>551</v>
      </c>
      <c r="L1825" s="2027">
        <v>575</v>
      </c>
      <c r="M1825" s="2028">
        <v>52</v>
      </c>
      <c r="N1825"/>
      <c r="O1825" s="1684"/>
      <c r="P1825" s="1684"/>
      <c r="Q1825" s="1684"/>
      <c r="R1825" s="1684"/>
      <c r="S1825" s="1684"/>
      <c r="T1825" s="1684"/>
      <c r="U1825" s="1684"/>
      <c r="V1825" s="1684"/>
      <c r="W1825" s="1684"/>
      <c r="X1825" s="1684"/>
      <c r="Y1825" s="1684"/>
      <c r="Z1825" s="1684"/>
      <c r="AA1825" s="1684"/>
      <c r="AB1825" s="1684"/>
      <c r="AC1825" s="1684"/>
      <c r="AD1825" s="1684"/>
      <c r="AE1825" s="1684"/>
      <c r="AF1825" s="1684"/>
      <c r="AG1825" s="1684"/>
      <c r="AH1825" s="1684"/>
      <c r="AI1825" s="1684"/>
      <c r="AJ1825" s="1684"/>
      <c r="AK1825" s="1684"/>
      <c r="AL1825" s="1684"/>
      <c r="AM1825" s="1684"/>
      <c r="AN1825" s="1684"/>
      <c r="AO1825" s="1684"/>
      <c r="AP1825" s="1684"/>
      <c r="AQ1825" s="1684"/>
      <c r="AR1825" s="1684"/>
      <c r="AS1825" s="1684"/>
      <c r="AT1825" s="1684"/>
      <c r="AU1825" s="1684"/>
      <c r="AV1825" s="1684"/>
      <c r="AW1825" s="1684"/>
      <c r="AX1825" s="1684"/>
      <c r="AY1825" s="1684"/>
      <c r="AZ1825" s="1684"/>
      <c r="BA1825" s="1684"/>
      <c r="BB1825" s="1684"/>
      <c r="BC1825" s="1684"/>
      <c r="BD1825" s="1684"/>
      <c r="BE1825" s="1684"/>
      <c r="BF1825" s="1684"/>
      <c r="BG1825" s="1684"/>
      <c r="BH1825" s="1684"/>
      <c r="BI1825" s="1684"/>
      <c r="BJ1825" s="1684"/>
      <c r="BK1825" s="1684"/>
      <c r="BL1825" s="1684"/>
      <c r="BM1825" s="1684"/>
      <c r="BN1825" s="1684"/>
      <c r="BO1825" s="1684"/>
      <c r="BP1825" s="1684"/>
      <c r="BQ1825" s="1684"/>
      <c r="BR1825" s="1684"/>
      <c r="BS1825" s="1684"/>
      <c r="BT1825" s="1684"/>
      <c r="BU1825" s="1684"/>
      <c r="BV1825" s="1684"/>
      <c r="BW1825" s="1684"/>
      <c r="BX1825" s="1684"/>
      <c r="BY1825" s="1684"/>
      <c r="BZ1825" s="1684"/>
      <c r="CA1825" s="1684"/>
      <c r="CB1825" s="1684"/>
      <c r="CC1825" s="1684"/>
      <c r="CD1825" s="1684"/>
      <c r="CE1825" s="1684"/>
      <c r="CF1825" s="1684"/>
      <c r="CG1825" s="1684"/>
      <c r="CH1825" s="1684"/>
      <c r="CI1825" s="1684"/>
      <c r="CJ1825" s="1684"/>
      <c r="CK1825" s="1684"/>
      <c r="CL1825" s="1684"/>
      <c r="CM1825" s="1684"/>
      <c r="CN1825" s="1684"/>
      <c r="CO1825" s="1684"/>
    </row>
    <row r="1826" spans="1:93" s="1391" customFormat="1" ht="15" x14ac:dyDescent="0.2">
      <c r="A1826" s="1684"/>
      <c r="B1826" s="2026">
        <v>13</v>
      </c>
      <c r="C1826" s="2027">
        <v>4.5250000000000004</v>
      </c>
      <c r="D1826" s="2027">
        <v>408</v>
      </c>
      <c r="E1826" s="2027">
        <v>439</v>
      </c>
      <c r="F1826" s="2027">
        <v>469</v>
      </c>
      <c r="G1826" s="2027">
        <v>499</v>
      </c>
      <c r="H1826" s="2027">
        <v>528</v>
      </c>
      <c r="I1826" s="2027">
        <v>557</v>
      </c>
      <c r="J1826" s="2027">
        <v>585</v>
      </c>
      <c r="K1826" s="2027">
        <v>612</v>
      </c>
      <c r="L1826" s="2027">
        <v>639</v>
      </c>
      <c r="M1826" s="2028">
        <v>53</v>
      </c>
      <c r="N1826"/>
      <c r="O1826" s="1684"/>
      <c r="P1826" s="1684"/>
      <c r="Q1826" s="1684"/>
      <c r="R1826" s="1684"/>
      <c r="S1826" s="1684"/>
      <c r="T1826" s="1684"/>
      <c r="U1826" s="1684"/>
      <c r="V1826" s="1684"/>
      <c r="W1826" s="1684"/>
      <c r="X1826" s="1684"/>
      <c r="Y1826" s="1684"/>
      <c r="Z1826" s="1684"/>
      <c r="AA1826" s="1684"/>
      <c r="AB1826" s="1684"/>
      <c r="AC1826" s="1684"/>
      <c r="AD1826" s="1684"/>
      <c r="AE1826" s="1684"/>
      <c r="AF1826" s="1684"/>
      <c r="AG1826" s="1684"/>
      <c r="AH1826" s="1684"/>
      <c r="AI1826" s="1684"/>
      <c r="AJ1826" s="1684"/>
      <c r="AK1826" s="1684"/>
      <c r="AL1826" s="1684"/>
      <c r="AM1826" s="1684"/>
      <c r="AN1826" s="1684"/>
      <c r="AO1826" s="1684"/>
      <c r="AP1826" s="1684"/>
      <c r="AQ1826" s="1684"/>
      <c r="AR1826" s="1684"/>
      <c r="AS1826" s="1684"/>
      <c r="AT1826" s="1684"/>
      <c r="AU1826" s="1684"/>
      <c r="AV1826" s="1684"/>
      <c r="AW1826" s="1684"/>
      <c r="AX1826" s="1684"/>
      <c r="AY1826" s="1684"/>
      <c r="AZ1826" s="1684"/>
      <c r="BA1826" s="1684"/>
      <c r="BB1826" s="1684"/>
      <c r="BC1826" s="1684"/>
      <c r="BD1826" s="1684"/>
      <c r="BE1826" s="1684"/>
      <c r="BF1826" s="1684"/>
      <c r="BG1826" s="1684"/>
      <c r="BH1826" s="1684"/>
      <c r="BI1826" s="1684"/>
      <c r="BJ1826" s="1684"/>
      <c r="BK1826" s="1684"/>
      <c r="BL1826" s="1684"/>
      <c r="BM1826" s="1684"/>
      <c r="BN1826" s="1684"/>
      <c r="BO1826" s="1684"/>
      <c r="BP1826" s="1684"/>
      <c r="BQ1826" s="1684"/>
      <c r="BR1826" s="1684"/>
      <c r="BS1826" s="1684"/>
      <c r="BT1826" s="1684"/>
      <c r="BU1826" s="1684"/>
      <c r="BV1826" s="1684"/>
      <c r="BW1826" s="1684"/>
      <c r="BX1826" s="1684"/>
      <c r="BY1826" s="1684"/>
      <c r="BZ1826" s="1684"/>
      <c r="CA1826" s="1684"/>
      <c r="CB1826" s="1684"/>
      <c r="CC1826" s="1684"/>
      <c r="CD1826" s="1684"/>
      <c r="CE1826" s="1684"/>
      <c r="CF1826" s="1684"/>
      <c r="CG1826" s="1684"/>
      <c r="CH1826" s="1684"/>
      <c r="CI1826" s="1684"/>
      <c r="CJ1826" s="1684"/>
      <c r="CK1826" s="1684"/>
      <c r="CL1826" s="1684"/>
      <c r="CM1826" s="1684"/>
      <c r="CN1826" s="1684"/>
      <c r="CO1826" s="1684"/>
    </row>
    <row r="1827" spans="1:93" s="1391" customFormat="1" ht="15" x14ac:dyDescent="0.2">
      <c r="A1827" s="1684"/>
      <c r="B1827" s="2026">
        <v>14</v>
      </c>
      <c r="C1827" s="2027">
        <v>8.2430000000000003</v>
      </c>
      <c r="D1827" s="2027">
        <v>457</v>
      </c>
      <c r="E1827" s="2027">
        <v>491</v>
      </c>
      <c r="F1827" s="2027">
        <v>524</v>
      </c>
      <c r="G1827" s="2027">
        <v>556</v>
      </c>
      <c r="H1827" s="2027">
        <v>588</v>
      </c>
      <c r="I1827" s="2027">
        <v>619</v>
      </c>
      <c r="J1827" s="2027">
        <v>650</v>
      </c>
      <c r="K1827" s="2027">
        <v>679</v>
      </c>
      <c r="L1827" s="2027">
        <v>708</v>
      </c>
      <c r="M1827" s="2028">
        <v>54</v>
      </c>
      <c r="N1827"/>
      <c r="O1827" s="1684"/>
      <c r="P1827" s="1684"/>
      <c r="Q1827" s="1684"/>
      <c r="R1827" s="1684"/>
      <c r="S1827" s="1684"/>
      <c r="T1827" s="1684"/>
      <c r="U1827" s="1684"/>
      <c r="V1827" s="1684"/>
      <c r="W1827" s="1684"/>
      <c r="X1827" s="1684"/>
      <c r="Y1827" s="1684"/>
      <c r="Z1827" s="1684"/>
      <c r="AA1827" s="1684"/>
      <c r="AB1827" s="1684"/>
      <c r="AC1827" s="1684"/>
      <c r="AD1827" s="1684"/>
      <c r="AE1827" s="1684"/>
      <c r="AF1827" s="1684"/>
      <c r="AG1827" s="1684"/>
      <c r="AH1827" s="1684"/>
      <c r="AI1827" s="1684"/>
      <c r="AJ1827" s="1684"/>
      <c r="AK1827" s="1684"/>
      <c r="AL1827" s="1684"/>
      <c r="AM1827" s="1684"/>
      <c r="AN1827" s="1684"/>
      <c r="AO1827" s="1684"/>
      <c r="AP1827" s="1684"/>
      <c r="AQ1827" s="1684"/>
      <c r="AR1827" s="1684"/>
      <c r="AS1827" s="1684"/>
      <c r="AT1827" s="1684"/>
      <c r="AU1827" s="1684"/>
      <c r="AV1827" s="1684"/>
      <c r="AW1827" s="1684"/>
      <c r="AX1827" s="1684"/>
      <c r="AY1827" s="1684"/>
      <c r="AZ1827" s="1684"/>
      <c r="BA1827" s="1684"/>
      <c r="BB1827" s="1684"/>
      <c r="BC1827" s="1684"/>
      <c r="BD1827" s="1684"/>
      <c r="BE1827" s="1684"/>
      <c r="BF1827" s="1684"/>
      <c r="BG1827" s="1684"/>
      <c r="BH1827" s="1684"/>
      <c r="BI1827" s="1684"/>
      <c r="BJ1827" s="1684"/>
      <c r="BK1827" s="1684"/>
      <c r="BL1827" s="1684"/>
      <c r="BM1827" s="1684"/>
      <c r="BN1827" s="1684"/>
      <c r="BO1827" s="1684"/>
      <c r="BP1827" s="1684"/>
      <c r="BQ1827" s="1684"/>
      <c r="BR1827" s="1684"/>
      <c r="BS1827" s="1684"/>
      <c r="BT1827" s="1684"/>
      <c r="BU1827" s="1684"/>
      <c r="BV1827" s="1684"/>
      <c r="BW1827" s="1684"/>
      <c r="BX1827" s="1684"/>
      <c r="BY1827" s="1684"/>
      <c r="BZ1827" s="1684"/>
      <c r="CA1827" s="1684"/>
      <c r="CB1827" s="1684"/>
      <c r="CC1827" s="1684"/>
      <c r="CD1827" s="1684"/>
      <c r="CE1827" s="1684"/>
      <c r="CF1827" s="1684"/>
      <c r="CG1827" s="1684"/>
      <c r="CH1827" s="1684"/>
      <c r="CI1827" s="1684"/>
      <c r="CJ1827" s="1684"/>
      <c r="CK1827" s="1684"/>
      <c r="CL1827" s="1684"/>
      <c r="CM1827" s="1684"/>
      <c r="CN1827" s="1684"/>
      <c r="CO1827" s="1684"/>
    </row>
    <row r="1828" spans="1:93" s="1391" customFormat="1" ht="15" x14ac:dyDescent="0.2">
      <c r="A1828" s="1684"/>
      <c r="B1828" s="2026">
        <v>15</v>
      </c>
      <c r="C1828" s="2027">
        <v>9.0489999999999995</v>
      </c>
      <c r="D1828" s="2027">
        <v>510</v>
      </c>
      <c r="E1828" s="2027">
        <v>547</v>
      </c>
      <c r="F1828" s="2027">
        <v>582</v>
      </c>
      <c r="G1828" s="2027">
        <v>619</v>
      </c>
      <c r="H1828" s="2027">
        <v>653</v>
      </c>
      <c r="I1828" s="2027">
        <v>686</v>
      </c>
      <c r="J1828" s="2027">
        <v>720</v>
      </c>
      <c r="K1828" s="2027">
        <v>751</v>
      </c>
      <c r="L1828" s="2027">
        <v>782</v>
      </c>
      <c r="M1828" s="2028">
        <v>55</v>
      </c>
      <c r="N1828"/>
      <c r="O1828" s="1684"/>
      <c r="P1828" s="1684"/>
      <c r="Q1828" s="1684"/>
      <c r="R1828" s="1684"/>
      <c r="S1828" s="1684"/>
      <c r="T1828" s="1684"/>
      <c r="U1828" s="1684"/>
      <c r="V1828" s="1684"/>
      <c r="W1828" s="1684"/>
      <c r="X1828" s="1684"/>
      <c r="Y1828" s="1684"/>
      <c r="Z1828" s="1684"/>
      <c r="AA1828" s="1684"/>
      <c r="AB1828" s="1684"/>
      <c r="AC1828" s="1684"/>
      <c r="AD1828" s="1684"/>
      <c r="AE1828" s="1684"/>
      <c r="AF1828" s="1684"/>
      <c r="AG1828" s="1684"/>
      <c r="AH1828" s="1684"/>
      <c r="AI1828" s="1684"/>
      <c r="AJ1828" s="1684"/>
      <c r="AK1828" s="1684"/>
      <c r="AL1828" s="1684"/>
      <c r="AM1828" s="1684"/>
      <c r="AN1828" s="1684"/>
      <c r="AO1828" s="1684"/>
      <c r="AP1828" s="1684"/>
      <c r="AQ1828" s="1684"/>
      <c r="AR1828" s="1684"/>
      <c r="AS1828" s="1684"/>
      <c r="AT1828" s="1684"/>
      <c r="AU1828" s="1684"/>
      <c r="AV1828" s="1684"/>
      <c r="AW1828" s="1684"/>
      <c r="AX1828" s="1684"/>
      <c r="AY1828" s="1684"/>
      <c r="AZ1828" s="1684"/>
      <c r="BA1828" s="1684"/>
      <c r="BB1828" s="1684"/>
      <c r="BC1828" s="1684"/>
      <c r="BD1828" s="1684"/>
      <c r="BE1828" s="1684"/>
      <c r="BF1828" s="1684"/>
      <c r="BG1828" s="1684"/>
      <c r="BH1828" s="1684"/>
      <c r="BI1828" s="1684"/>
      <c r="BJ1828" s="1684"/>
      <c r="BK1828" s="1684"/>
      <c r="BL1828" s="1684"/>
      <c r="BM1828" s="1684"/>
      <c r="BN1828" s="1684"/>
      <c r="BO1828" s="1684"/>
      <c r="BP1828" s="1684"/>
      <c r="BQ1828" s="1684"/>
      <c r="BR1828" s="1684"/>
      <c r="BS1828" s="1684"/>
      <c r="BT1828" s="1684"/>
      <c r="BU1828" s="1684"/>
      <c r="BV1828" s="1684"/>
      <c r="BW1828" s="1684"/>
      <c r="BX1828" s="1684"/>
      <c r="BY1828" s="1684"/>
      <c r="BZ1828" s="1684"/>
      <c r="CA1828" s="1684"/>
      <c r="CB1828" s="1684"/>
      <c r="CC1828" s="1684"/>
      <c r="CD1828" s="1684"/>
      <c r="CE1828" s="1684"/>
      <c r="CF1828" s="1684"/>
      <c r="CG1828" s="1684"/>
      <c r="CH1828" s="1684"/>
      <c r="CI1828" s="1684"/>
      <c r="CJ1828" s="1684"/>
      <c r="CK1828" s="1684"/>
      <c r="CL1828" s="1684"/>
      <c r="CM1828" s="1684"/>
      <c r="CN1828" s="1684"/>
      <c r="CO1828" s="1684"/>
    </row>
    <row r="1829" spans="1:93" s="1391" customFormat="1" ht="15" x14ac:dyDescent="0.2">
      <c r="A1829" s="1684"/>
      <c r="B1829" s="2026">
        <v>16</v>
      </c>
      <c r="C1829" s="2027">
        <v>9.9160000000000004</v>
      </c>
      <c r="D1829" s="2027">
        <v>565</v>
      </c>
      <c r="E1829" s="2027">
        <v>605</v>
      </c>
      <c r="F1829" s="2027">
        <v>644</v>
      </c>
      <c r="G1829" s="2027">
        <v>682</v>
      </c>
      <c r="H1829" s="2027">
        <v>719</v>
      </c>
      <c r="I1829" s="2027">
        <v>754</v>
      </c>
      <c r="J1829" s="2027">
        <v>790</v>
      </c>
      <c r="K1829" s="2027">
        <v>824</v>
      </c>
      <c r="L1829" s="2027">
        <v>857</v>
      </c>
      <c r="M1829" s="2028">
        <v>56</v>
      </c>
      <c r="N1829"/>
      <c r="O1829" s="1684"/>
      <c r="P1829" s="1684"/>
      <c r="Q1829" s="1684"/>
      <c r="R1829" s="1684"/>
      <c r="S1829" s="1684"/>
      <c r="T1829" s="1684"/>
      <c r="U1829" s="1684"/>
      <c r="V1829" s="1684"/>
      <c r="W1829" s="1684"/>
      <c r="X1829" s="1684"/>
      <c r="Y1829" s="1684"/>
      <c r="Z1829" s="1684"/>
      <c r="AA1829" s="1684"/>
      <c r="AB1829" s="1684"/>
      <c r="AC1829" s="1684"/>
      <c r="AD1829" s="1684"/>
      <c r="AE1829" s="1684"/>
      <c r="AF1829" s="1684"/>
      <c r="AG1829" s="1684"/>
      <c r="AH1829" s="1684"/>
      <c r="AI1829" s="1684"/>
      <c r="AJ1829" s="1684"/>
      <c r="AK1829" s="1684"/>
      <c r="AL1829" s="1684"/>
      <c r="AM1829" s="1684"/>
      <c r="AN1829" s="1684"/>
      <c r="AO1829" s="1684"/>
      <c r="AP1829" s="1684"/>
      <c r="AQ1829" s="1684"/>
      <c r="AR1829" s="1684"/>
      <c r="AS1829" s="1684"/>
      <c r="AT1829" s="1684"/>
      <c r="AU1829" s="1684"/>
      <c r="AV1829" s="1684"/>
      <c r="AW1829" s="1684"/>
      <c r="AX1829" s="1684"/>
      <c r="AY1829" s="1684"/>
      <c r="AZ1829" s="1684"/>
      <c r="BA1829" s="1684"/>
      <c r="BB1829" s="1684"/>
      <c r="BC1829" s="1684"/>
      <c r="BD1829" s="1684"/>
      <c r="BE1829" s="1684"/>
      <c r="BF1829" s="1684"/>
      <c r="BG1829" s="1684"/>
      <c r="BH1829" s="1684"/>
      <c r="BI1829" s="1684"/>
      <c r="BJ1829" s="1684"/>
      <c r="BK1829" s="1684"/>
      <c r="BL1829" s="1684"/>
      <c r="BM1829" s="1684"/>
      <c r="BN1829" s="1684"/>
      <c r="BO1829" s="1684"/>
      <c r="BP1829" s="1684"/>
      <c r="BQ1829" s="1684"/>
      <c r="BR1829" s="1684"/>
      <c r="BS1829" s="1684"/>
      <c r="BT1829" s="1684"/>
      <c r="BU1829" s="1684"/>
      <c r="BV1829" s="1684"/>
      <c r="BW1829" s="1684"/>
      <c r="BX1829" s="1684"/>
      <c r="BY1829" s="1684"/>
      <c r="BZ1829" s="1684"/>
      <c r="CA1829" s="1684"/>
      <c r="CB1829" s="1684"/>
      <c r="CC1829" s="1684"/>
      <c r="CD1829" s="1684"/>
      <c r="CE1829" s="1684"/>
      <c r="CF1829" s="1684"/>
      <c r="CG1829" s="1684"/>
      <c r="CH1829" s="1684"/>
      <c r="CI1829" s="1684"/>
      <c r="CJ1829" s="1684"/>
      <c r="CK1829" s="1684"/>
      <c r="CL1829" s="1684"/>
      <c r="CM1829" s="1684"/>
      <c r="CN1829" s="1684"/>
      <c r="CO1829" s="1684"/>
    </row>
    <row r="1830" spans="1:93" s="1391" customFormat="1" ht="15" x14ac:dyDescent="0.2">
      <c r="A1830" s="1684"/>
      <c r="B1830" s="4716" t="s">
        <v>1055</v>
      </c>
      <c r="C1830" s="4711"/>
      <c r="D1830" s="4711"/>
      <c r="E1830" s="4711"/>
      <c r="F1830" s="4711"/>
      <c r="G1830" s="4711"/>
      <c r="H1830" s="4711"/>
      <c r="I1830" s="4711"/>
      <c r="J1830" s="4711"/>
      <c r="K1830" s="4711"/>
      <c r="L1830" s="4711"/>
      <c r="M1830" s="4717"/>
      <c r="N1830"/>
      <c r="O1830" s="1684"/>
      <c r="P1830" s="1684"/>
      <c r="Q1830" s="1684"/>
      <c r="R1830" s="1684"/>
      <c r="S1830" s="1684"/>
      <c r="T1830" s="1684"/>
      <c r="U1830" s="1684"/>
      <c r="V1830" s="1684"/>
      <c r="W1830" s="1684"/>
      <c r="X1830" s="1684"/>
      <c r="Y1830" s="1684"/>
      <c r="Z1830" s="1684"/>
      <c r="AA1830" s="1684"/>
      <c r="AB1830" s="1684"/>
      <c r="AC1830" s="1684"/>
      <c r="AD1830" s="1684"/>
      <c r="AE1830" s="1684"/>
      <c r="AF1830" s="1684"/>
      <c r="AG1830" s="1684"/>
      <c r="AH1830" s="1684"/>
      <c r="AI1830" s="1684"/>
      <c r="AJ1830" s="1684"/>
      <c r="AK1830" s="1684"/>
      <c r="AL1830" s="1684"/>
      <c r="AM1830" s="1684"/>
      <c r="AN1830" s="1684"/>
      <c r="AO1830" s="1684"/>
      <c r="AP1830" s="1684"/>
      <c r="AQ1830" s="1684"/>
      <c r="AR1830" s="1684"/>
      <c r="AS1830" s="1684"/>
      <c r="AT1830" s="1684"/>
      <c r="AU1830" s="1684"/>
      <c r="AV1830" s="1684"/>
      <c r="AW1830" s="1684"/>
      <c r="AX1830" s="1684"/>
      <c r="AY1830" s="1684"/>
      <c r="AZ1830" s="1684"/>
      <c r="BA1830" s="1684"/>
      <c r="BB1830" s="1684"/>
      <c r="BC1830" s="1684"/>
      <c r="BD1830" s="1684"/>
      <c r="BE1830" s="1684"/>
      <c r="BF1830" s="1684"/>
      <c r="BG1830" s="1684"/>
      <c r="BH1830" s="1684"/>
      <c r="BI1830" s="1684"/>
      <c r="BJ1830" s="1684"/>
      <c r="BK1830" s="1684"/>
      <c r="BL1830" s="1684"/>
      <c r="BM1830" s="1684"/>
      <c r="BN1830" s="1684"/>
      <c r="BO1830" s="1684"/>
      <c r="BP1830" s="1684"/>
      <c r="BQ1830" s="1684"/>
      <c r="BR1830" s="1684"/>
      <c r="BS1830" s="1684"/>
      <c r="BT1830" s="1684"/>
      <c r="BU1830" s="1684"/>
      <c r="BV1830" s="1684"/>
      <c r="BW1830" s="1684"/>
      <c r="BX1830" s="1684"/>
      <c r="BY1830" s="1684"/>
      <c r="BZ1830" s="1684"/>
      <c r="CA1830" s="1684"/>
      <c r="CB1830" s="1684"/>
      <c r="CC1830" s="1684"/>
      <c r="CD1830" s="1684"/>
      <c r="CE1830" s="1684"/>
      <c r="CF1830" s="1684"/>
      <c r="CG1830" s="1684"/>
      <c r="CH1830" s="1684"/>
      <c r="CI1830" s="1684"/>
      <c r="CJ1830" s="1684"/>
      <c r="CK1830" s="1684"/>
      <c r="CL1830" s="1684"/>
      <c r="CM1830" s="1684"/>
      <c r="CN1830" s="1684"/>
      <c r="CO1830" s="1684"/>
    </row>
    <row r="1831" spans="1:93" s="1391" customFormat="1" ht="15" x14ac:dyDescent="0.2">
      <c r="A1831" s="1684"/>
      <c r="B1831" s="2023"/>
      <c r="C1831" s="2024"/>
      <c r="D1831" s="2024">
        <v>1</v>
      </c>
      <c r="E1831" s="2024">
        <v>2</v>
      </c>
      <c r="F1831" s="2024">
        <v>3</v>
      </c>
      <c r="G1831" s="2024">
        <v>4</v>
      </c>
      <c r="H1831" s="2024">
        <v>5</v>
      </c>
      <c r="I1831" s="2024">
        <v>6</v>
      </c>
      <c r="J1831" s="2024">
        <v>7</v>
      </c>
      <c r="K1831" s="2024">
        <v>8</v>
      </c>
      <c r="L1831" s="2024">
        <v>9</v>
      </c>
      <c r="M1831" s="2025"/>
      <c r="N1831"/>
      <c r="O1831" s="1684"/>
      <c r="P1831" s="1684"/>
      <c r="Q1831" s="1684"/>
      <c r="R1831" s="1684"/>
      <c r="S1831" s="1684"/>
      <c r="T1831" s="1684"/>
      <c r="U1831" s="1684"/>
      <c r="V1831" s="1684"/>
      <c r="W1831" s="1684"/>
      <c r="X1831" s="1684"/>
      <c r="Y1831" s="1684"/>
      <c r="Z1831" s="1684"/>
      <c r="AA1831" s="1684"/>
      <c r="AB1831" s="1684"/>
      <c r="AC1831" s="1684"/>
      <c r="AD1831" s="1684"/>
      <c r="AE1831" s="1684"/>
      <c r="AF1831" s="1684"/>
      <c r="AG1831" s="1684"/>
      <c r="AH1831" s="1684"/>
      <c r="AI1831" s="1684"/>
      <c r="AJ1831" s="1684"/>
      <c r="AK1831" s="1684"/>
      <c r="AL1831" s="1684"/>
      <c r="AM1831" s="1684"/>
      <c r="AN1831" s="1684"/>
      <c r="AO1831" s="1684"/>
      <c r="AP1831" s="1684"/>
      <c r="AQ1831" s="1684"/>
      <c r="AR1831" s="1684"/>
      <c r="AS1831" s="1684"/>
      <c r="AT1831" s="1684"/>
      <c r="AU1831" s="1684"/>
      <c r="AV1831" s="1684"/>
      <c r="AW1831" s="1684"/>
      <c r="AX1831" s="1684"/>
      <c r="AY1831" s="1684"/>
      <c r="AZ1831" s="1684"/>
      <c r="BA1831" s="1684"/>
      <c r="BB1831" s="1684"/>
      <c r="BC1831" s="1684"/>
      <c r="BD1831" s="1684"/>
      <c r="BE1831" s="1684"/>
      <c r="BF1831" s="1684"/>
      <c r="BG1831" s="1684"/>
      <c r="BH1831" s="1684"/>
      <c r="BI1831" s="1684"/>
      <c r="BJ1831" s="1684"/>
      <c r="BK1831" s="1684"/>
      <c r="BL1831" s="1684"/>
      <c r="BM1831" s="1684"/>
      <c r="BN1831" s="1684"/>
      <c r="BO1831" s="1684"/>
      <c r="BP1831" s="1684"/>
      <c r="BQ1831" s="1684"/>
      <c r="BR1831" s="1684"/>
      <c r="BS1831" s="1684"/>
      <c r="BT1831" s="1684"/>
      <c r="BU1831" s="1684"/>
      <c r="BV1831" s="1684"/>
      <c r="BW1831" s="1684"/>
      <c r="BX1831" s="1684"/>
      <c r="BY1831" s="1684"/>
      <c r="BZ1831" s="1684"/>
      <c r="CA1831" s="1684"/>
      <c r="CB1831" s="1684"/>
      <c r="CC1831" s="1684"/>
      <c r="CD1831" s="1684"/>
      <c r="CE1831" s="1684"/>
      <c r="CF1831" s="1684"/>
      <c r="CG1831" s="1684"/>
      <c r="CH1831" s="1684"/>
      <c r="CI1831" s="1684"/>
      <c r="CJ1831" s="1684"/>
      <c r="CK1831" s="1684"/>
      <c r="CL1831" s="1684"/>
      <c r="CM1831" s="1684"/>
      <c r="CN1831" s="1684"/>
      <c r="CO1831" s="1684"/>
    </row>
    <row r="1832" spans="1:93" s="1391" customFormat="1" ht="15" x14ac:dyDescent="0.2">
      <c r="A1832" s="1684"/>
      <c r="B1832" s="2026">
        <v>9</v>
      </c>
      <c r="C1832" s="2027">
        <v>5.4039999999999999</v>
      </c>
      <c r="D1832" s="2027">
        <v>261</v>
      </c>
      <c r="E1832" s="2027">
        <v>282</v>
      </c>
      <c r="F1832" s="2027">
        <v>302</v>
      </c>
      <c r="G1832" s="2027">
        <v>323</v>
      </c>
      <c r="H1832" s="2027">
        <v>343</v>
      </c>
      <c r="I1832" s="2027">
        <v>363</v>
      </c>
      <c r="J1832" s="2027">
        <v>382</v>
      </c>
      <c r="K1832" s="2027">
        <v>401</v>
      </c>
      <c r="L1832" s="2027">
        <v>420</v>
      </c>
      <c r="M1832" s="2028">
        <v>57</v>
      </c>
      <c r="N1832"/>
      <c r="O1832" s="1684"/>
      <c r="P1832" s="1684"/>
      <c r="Q1832" s="1684"/>
      <c r="R1832" s="1684"/>
      <c r="S1832" s="1684"/>
      <c r="T1832" s="1684"/>
      <c r="U1832" s="1684"/>
      <c r="V1832" s="1684"/>
      <c r="W1832" s="1684"/>
      <c r="X1832" s="1684"/>
      <c r="Y1832" s="1684"/>
      <c r="Z1832" s="1684"/>
      <c r="AA1832" s="1684"/>
      <c r="AB1832" s="1684"/>
      <c r="AC1832" s="1684"/>
      <c r="AD1832" s="1684"/>
      <c r="AE1832" s="1684"/>
      <c r="AF1832" s="1684"/>
      <c r="AG1832" s="1684"/>
      <c r="AH1832" s="1684"/>
      <c r="AI1832" s="1684"/>
      <c r="AJ1832" s="1684"/>
      <c r="AK1832" s="1684"/>
      <c r="AL1832" s="1684"/>
      <c r="AM1832" s="1684"/>
      <c r="AN1832" s="1684"/>
      <c r="AO1832" s="1684"/>
      <c r="AP1832" s="1684"/>
      <c r="AQ1832" s="1684"/>
      <c r="AR1832" s="1684"/>
      <c r="AS1832" s="1684"/>
      <c r="AT1832" s="1684"/>
      <c r="AU1832" s="1684"/>
      <c r="AV1832" s="1684"/>
      <c r="AW1832" s="1684"/>
      <c r="AX1832" s="1684"/>
      <c r="AY1832" s="1684"/>
      <c r="AZ1832" s="1684"/>
      <c r="BA1832" s="1684"/>
      <c r="BB1832" s="1684"/>
      <c r="BC1832" s="1684"/>
      <c r="BD1832" s="1684"/>
      <c r="BE1832" s="1684"/>
      <c r="BF1832" s="1684"/>
      <c r="BG1832" s="1684"/>
      <c r="BH1832" s="1684"/>
      <c r="BI1832" s="1684"/>
      <c r="BJ1832" s="1684"/>
      <c r="BK1832" s="1684"/>
      <c r="BL1832" s="1684"/>
      <c r="BM1832" s="1684"/>
      <c r="BN1832" s="1684"/>
      <c r="BO1832" s="1684"/>
      <c r="BP1832" s="1684"/>
      <c r="BQ1832" s="1684"/>
      <c r="BR1832" s="1684"/>
      <c r="BS1832" s="1684"/>
      <c r="BT1832" s="1684"/>
      <c r="BU1832" s="1684"/>
      <c r="BV1832" s="1684"/>
      <c r="BW1832" s="1684"/>
      <c r="BX1832" s="1684"/>
      <c r="BY1832" s="1684"/>
      <c r="BZ1832" s="1684"/>
      <c r="CA1832" s="1684"/>
      <c r="CB1832" s="1684"/>
      <c r="CC1832" s="1684"/>
      <c r="CD1832" s="1684"/>
      <c r="CE1832" s="1684"/>
      <c r="CF1832" s="1684"/>
      <c r="CG1832" s="1684"/>
      <c r="CH1832" s="1684"/>
      <c r="CI1832" s="1684"/>
      <c r="CJ1832" s="1684"/>
      <c r="CK1832" s="1684"/>
      <c r="CL1832" s="1684"/>
      <c r="CM1832" s="1684"/>
      <c r="CN1832" s="1684"/>
      <c r="CO1832" s="1684"/>
    </row>
    <row r="1833" spans="1:93" s="1391" customFormat="1" ht="15" x14ac:dyDescent="0.2">
      <c r="A1833" s="1684"/>
      <c r="B1833" s="2026">
        <v>10</v>
      </c>
      <c r="C1833" s="2027">
        <v>5.827</v>
      </c>
      <c r="D1833" s="2027">
        <v>294</v>
      </c>
      <c r="E1833" s="2027">
        <v>317</v>
      </c>
      <c r="F1833" s="2027">
        <v>339</v>
      </c>
      <c r="G1833" s="2027">
        <v>362</v>
      </c>
      <c r="H1833" s="2027">
        <v>384</v>
      </c>
      <c r="I1833" s="2027">
        <v>406</v>
      </c>
      <c r="J1833" s="2027">
        <v>428</v>
      </c>
      <c r="K1833" s="2027">
        <v>449</v>
      </c>
      <c r="L1833" s="2027">
        <v>469</v>
      </c>
      <c r="M1833" s="2028">
        <v>58</v>
      </c>
      <c r="N1833"/>
      <c r="O1833" s="1684"/>
      <c r="P1833" s="1684"/>
      <c r="Q1833" s="1684"/>
      <c r="R1833" s="1684"/>
      <c r="S1833" s="1684"/>
      <c r="T1833" s="1684"/>
      <c r="U1833" s="1684"/>
      <c r="V1833" s="1684"/>
      <c r="W1833" s="1684"/>
      <c r="X1833" s="1684"/>
      <c r="Y1833" s="1684"/>
      <c r="Z1833" s="1684"/>
      <c r="AA1833" s="1684"/>
      <c r="AB1833" s="1684"/>
      <c r="AC1833" s="1684"/>
      <c r="AD1833" s="1684"/>
      <c r="AE1833" s="1684"/>
      <c r="AF1833" s="1684"/>
      <c r="AG1833" s="1684"/>
      <c r="AH1833" s="1684"/>
      <c r="AI1833" s="1684"/>
      <c r="AJ1833" s="1684"/>
      <c r="AK1833" s="1684"/>
      <c r="AL1833" s="1684"/>
      <c r="AM1833" s="1684"/>
      <c r="AN1833" s="1684"/>
      <c r="AO1833" s="1684"/>
      <c r="AP1833" s="1684"/>
      <c r="AQ1833" s="1684"/>
      <c r="AR1833" s="1684"/>
      <c r="AS1833" s="1684"/>
      <c r="AT1833" s="1684"/>
      <c r="AU1833" s="1684"/>
      <c r="AV1833" s="1684"/>
      <c r="AW1833" s="1684"/>
      <c r="AX1833" s="1684"/>
      <c r="AY1833" s="1684"/>
      <c r="AZ1833" s="1684"/>
      <c r="BA1833" s="1684"/>
      <c r="BB1833" s="1684"/>
      <c r="BC1833" s="1684"/>
      <c r="BD1833" s="1684"/>
      <c r="BE1833" s="1684"/>
      <c r="BF1833" s="1684"/>
      <c r="BG1833" s="1684"/>
      <c r="BH1833" s="1684"/>
      <c r="BI1833" s="1684"/>
      <c r="BJ1833" s="1684"/>
      <c r="BK1833" s="1684"/>
      <c r="BL1833" s="1684"/>
      <c r="BM1833" s="1684"/>
      <c r="BN1833" s="1684"/>
      <c r="BO1833" s="1684"/>
      <c r="BP1833" s="1684"/>
      <c r="BQ1833" s="1684"/>
      <c r="BR1833" s="1684"/>
      <c r="BS1833" s="1684"/>
      <c r="BT1833" s="1684"/>
      <c r="BU1833" s="1684"/>
      <c r="BV1833" s="1684"/>
      <c r="BW1833" s="1684"/>
      <c r="BX1833" s="1684"/>
      <c r="BY1833" s="1684"/>
      <c r="BZ1833" s="1684"/>
      <c r="CA1833" s="1684"/>
      <c r="CB1833" s="1684"/>
      <c r="CC1833" s="1684"/>
      <c r="CD1833" s="1684"/>
      <c r="CE1833" s="1684"/>
      <c r="CF1833" s="1684"/>
      <c r="CG1833" s="1684"/>
      <c r="CH1833" s="1684"/>
      <c r="CI1833" s="1684"/>
      <c r="CJ1833" s="1684"/>
      <c r="CK1833" s="1684"/>
      <c r="CL1833" s="1684"/>
      <c r="CM1833" s="1684"/>
      <c r="CN1833" s="1684"/>
      <c r="CO1833" s="1684"/>
    </row>
    <row r="1834" spans="1:93" s="1391" customFormat="1" ht="15" x14ac:dyDescent="0.2">
      <c r="A1834" s="1684"/>
      <c r="B1834" s="2026">
        <v>11</v>
      </c>
      <c r="C1834" s="2027">
        <v>6.3319999999999999</v>
      </c>
      <c r="D1834" s="2027">
        <v>332</v>
      </c>
      <c r="E1834" s="2027">
        <v>357</v>
      </c>
      <c r="F1834" s="2027">
        <v>382</v>
      </c>
      <c r="G1834" s="2027">
        <v>408</v>
      </c>
      <c r="H1834" s="2027">
        <v>432</v>
      </c>
      <c r="I1834" s="2027">
        <v>456</v>
      </c>
      <c r="J1834" s="2027">
        <v>480</v>
      </c>
      <c r="K1834" s="2027">
        <v>503</v>
      </c>
      <c r="L1834" s="2027">
        <v>526</v>
      </c>
      <c r="M1834" s="2028">
        <v>59</v>
      </c>
      <c r="N1834"/>
      <c r="O1834" s="1684"/>
      <c r="P1834" s="1684"/>
      <c r="Q1834" s="1684"/>
      <c r="R1834" s="1684"/>
      <c r="S1834" s="1684"/>
      <c r="T1834" s="1684"/>
      <c r="U1834" s="1684"/>
      <c r="V1834" s="1684"/>
      <c r="W1834" s="1684"/>
      <c r="X1834" s="1684"/>
      <c r="Y1834" s="1684"/>
      <c r="Z1834" s="1684"/>
      <c r="AA1834" s="1684"/>
      <c r="AB1834" s="1684"/>
      <c r="AC1834" s="1684"/>
      <c r="AD1834" s="1684"/>
      <c r="AE1834" s="1684"/>
      <c r="AF1834" s="1684"/>
      <c r="AG1834" s="1684"/>
      <c r="AH1834" s="1684"/>
      <c r="AI1834" s="1684"/>
      <c r="AJ1834" s="1684"/>
      <c r="AK1834" s="1684"/>
      <c r="AL1834" s="1684"/>
      <c r="AM1834" s="1684"/>
      <c r="AN1834" s="1684"/>
      <c r="AO1834" s="1684"/>
      <c r="AP1834" s="1684"/>
      <c r="AQ1834" s="1684"/>
      <c r="AR1834" s="1684"/>
      <c r="AS1834" s="1684"/>
      <c r="AT1834" s="1684"/>
      <c r="AU1834" s="1684"/>
      <c r="AV1834" s="1684"/>
      <c r="AW1834" s="1684"/>
      <c r="AX1834" s="1684"/>
      <c r="AY1834" s="1684"/>
      <c r="AZ1834" s="1684"/>
      <c r="BA1834" s="1684"/>
      <c r="BB1834" s="1684"/>
      <c r="BC1834" s="1684"/>
      <c r="BD1834" s="1684"/>
      <c r="BE1834" s="1684"/>
      <c r="BF1834" s="1684"/>
      <c r="BG1834" s="1684"/>
      <c r="BH1834" s="1684"/>
      <c r="BI1834" s="1684"/>
      <c r="BJ1834" s="1684"/>
      <c r="BK1834" s="1684"/>
      <c r="BL1834" s="1684"/>
      <c r="BM1834" s="1684"/>
      <c r="BN1834" s="1684"/>
      <c r="BO1834" s="1684"/>
      <c r="BP1834" s="1684"/>
      <c r="BQ1834" s="1684"/>
      <c r="BR1834" s="1684"/>
      <c r="BS1834" s="1684"/>
      <c r="BT1834" s="1684"/>
      <c r="BU1834" s="1684"/>
      <c r="BV1834" s="1684"/>
      <c r="BW1834" s="1684"/>
      <c r="BX1834" s="1684"/>
      <c r="BY1834" s="1684"/>
      <c r="BZ1834" s="1684"/>
      <c r="CA1834" s="1684"/>
      <c r="CB1834" s="1684"/>
      <c r="CC1834" s="1684"/>
      <c r="CD1834" s="1684"/>
      <c r="CE1834" s="1684"/>
      <c r="CF1834" s="1684"/>
      <c r="CG1834" s="1684"/>
      <c r="CH1834" s="1684"/>
      <c r="CI1834" s="1684"/>
      <c r="CJ1834" s="1684"/>
      <c r="CK1834" s="1684"/>
      <c r="CL1834" s="1684"/>
      <c r="CM1834" s="1684"/>
      <c r="CN1834" s="1684"/>
      <c r="CO1834" s="1684"/>
    </row>
    <row r="1835" spans="1:93" s="1391" customFormat="1" ht="15" x14ac:dyDescent="0.2">
      <c r="A1835" s="1684"/>
      <c r="B1835" s="2026">
        <v>12</v>
      </c>
      <c r="C1835" s="2027">
        <v>6.9009999999999998</v>
      </c>
      <c r="D1835" s="2027">
        <v>373</v>
      </c>
      <c r="E1835" s="2027">
        <v>402</v>
      </c>
      <c r="F1835" s="2027">
        <v>430</v>
      </c>
      <c r="G1835" s="2027">
        <v>458</v>
      </c>
      <c r="H1835" s="2027">
        <v>484</v>
      </c>
      <c r="I1835" s="2027">
        <v>511</v>
      </c>
      <c r="J1835" s="2027">
        <v>537</v>
      </c>
      <c r="K1835" s="2027">
        <v>563</v>
      </c>
      <c r="L1835" s="2027">
        <v>587</v>
      </c>
      <c r="M1835" s="2028">
        <v>60</v>
      </c>
      <c r="N1835"/>
      <c r="O1835" s="1684"/>
      <c r="P1835" s="1684"/>
      <c r="Q1835" s="1684"/>
      <c r="R1835" s="1684"/>
      <c r="S1835" s="1684"/>
      <c r="T1835" s="1684"/>
      <c r="U1835" s="1684"/>
      <c r="V1835" s="1684"/>
      <c r="W1835" s="1684"/>
      <c r="X1835" s="1684"/>
      <c r="Y1835" s="1684"/>
      <c r="Z1835" s="1684"/>
      <c r="AA1835" s="1684"/>
      <c r="AB1835" s="1684"/>
      <c r="AC1835" s="1684"/>
      <c r="AD1835" s="1684"/>
      <c r="AE1835" s="1684"/>
      <c r="AF1835" s="1684"/>
      <c r="AG1835" s="1684"/>
      <c r="AH1835" s="1684"/>
      <c r="AI1835" s="1684"/>
      <c r="AJ1835" s="1684"/>
      <c r="AK1835" s="1684"/>
      <c r="AL1835" s="1684"/>
      <c r="AM1835" s="1684"/>
      <c r="AN1835" s="1684"/>
      <c r="AO1835" s="1684"/>
      <c r="AP1835" s="1684"/>
      <c r="AQ1835" s="1684"/>
      <c r="AR1835" s="1684"/>
      <c r="AS1835" s="1684"/>
      <c r="AT1835" s="1684"/>
      <c r="AU1835" s="1684"/>
      <c r="AV1835" s="1684"/>
      <c r="AW1835" s="1684"/>
      <c r="AX1835" s="1684"/>
      <c r="AY1835" s="1684"/>
      <c r="AZ1835" s="1684"/>
      <c r="BA1835" s="1684"/>
      <c r="BB1835" s="1684"/>
      <c r="BC1835" s="1684"/>
      <c r="BD1835" s="1684"/>
      <c r="BE1835" s="1684"/>
      <c r="BF1835" s="1684"/>
      <c r="BG1835" s="1684"/>
      <c r="BH1835" s="1684"/>
      <c r="BI1835" s="1684"/>
      <c r="BJ1835" s="1684"/>
      <c r="BK1835" s="1684"/>
      <c r="BL1835" s="1684"/>
      <c r="BM1835" s="1684"/>
      <c r="BN1835" s="1684"/>
      <c r="BO1835" s="1684"/>
      <c r="BP1835" s="1684"/>
      <c r="BQ1835" s="1684"/>
      <c r="BR1835" s="1684"/>
      <c r="BS1835" s="1684"/>
      <c r="BT1835" s="1684"/>
      <c r="BU1835" s="1684"/>
      <c r="BV1835" s="1684"/>
      <c r="BW1835" s="1684"/>
      <c r="BX1835" s="1684"/>
      <c r="BY1835" s="1684"/>
      <c r="BZ1835" s="1684"/>
      <c r="CA1835" s="1684"/>
      <c r="CB1835" s="1684"/>
      <c r="CC1835" s="1684"/>
      <c r="CD1835" s="1684"/>
      <c r="CE1835" s="1684"/>
      <c r="CF1835" s="1684"/>
      <c r="CG1835" s="1684"/>
      <c r="CH1835" s="1684"/>
      <c r="CI1835" s="1684"/>
      <c r="CJ1835" s="1684"/>
      <c r="CK1835" s="1684"/>
      <c r="CL1835" s="1684"/>
      <c r="CM1835" s="1684"/>
      <c r="CN1835" s="1684"/>
      <c r="CO1835" s="1684"/>
    </row>
    <row r="1836" spans="1:93" s="1391" customFormat="1" ht="15" x14ac:dyDescent="0.2">
      <c r="A1836" s="1684"/>
      <c r="B1836" s="2026">
        <v>13</v>
      </c>
      <c r="C1836" s="2027">
        <v>4.5250000000000004</v>
      </c>
      <c r="D1836" s="2027">
        <v>418</v>
      </c>
      <c r="E1836" s="2027">
        <v>449</v>
      </c>
      <c r="F1836" s="2027">
        <v>480</v>
      </c>
      <c r="G1836" s="2027">
        <v>511</v>
      </c>
      <c r="H1836" s="2027">
        <v>540</v>
      </c>
      <c r="I1836" s="2027">
        <v>569</v>
      </c>
      <c r="J1836" s="2027">
        <v>598</v>
      </c>
      <c r="K1836" s="2027">
        <v>625</v>
      </c>
      <c r="L1836" s="2027">
        <v>652</v>
      </c>
      <c r="M1836" s="2028">
        <v>61</v>
      </c>
      <c r="N1836"/>
      <c r="O1836" s="1684"/>
      <c r="P1836" s="1684"/>
      <c r="Q1836" s="1684"/>
      <c r="R1836" s="1684"/>
      <c r="S1836" s="1684"/>
      <c r="T1836" s="1684"/>
      <c r="U1836" s="1684"/>
      <c r="V1836" s="1684"/>
      <c r="W1836" s="1684"/>
      <c r="X1836" s="1684"/>
      <c r="Y1836" s="1684"/>
      <c r="Z1836" s="1684"/>
      <c r="AA1836" s="1684"/>
      <c r="AB1836" s="1684"/>
      <c r="AC1836" s="1684"/>
      <c r="AD1836" s="1684"/>
      <c r="AE1836" s="1684"/>
      <c r="AF1836" s="1684"/>
      <c r="AG1836" s="1684"/>
      <c r="AH1836" s="1684"/>
      <c r="AI1836" s="1684"/>
      <c r="AJ1836" s="1684"/>
      <c r="AK1836" s="1684"/>
      <c r="AL1836" s="1684"/>
      <c r="AM1836" s="1684"/>
      <c r="AN1836" s="1684"/>
      <c r="AO1836" s="1684"/>
      <c r="AP1836" s="1684"/>
      <c r="AQ1836" s="1684"/>
      <c r="AR1836" s="1684"/>
      <c r="AS1836" s="1684"/>
      <c r="AT1836" s="1684"/>
      <c r="AU1836" s="1684"/>
      <c r="AV1836" s="1684"/>
      <c r="AW1836" s="1684"/>
      <c r="AX1836" s="1684"/>
      <c r="AY1836" s="1684"/>
      <c r="AZ1836" s="1684"/>
      <c r="BA1836" s="1684"/>
      <c r="BB1836" s="1684"/>
      <c r="BC1836" s="1684"/>
      <c r="BD1836" s="1684"/>
      <c r="BE1836" s="1684"/>
      <c r="BF1836" s="1684"/>
      <c r="BG1836" s="1684"/>
      <c r="BH1836" s="1684"/>
      <c r="BI1836" s="1684"/>
      <c r="BJ1836" s="1684"/>
      <c r="BK1836" s="1684"/>
      <c r="BL1836" s="1684"/>
      <c r="BM1836" s="1684"/>
      <c r="BN1836" s="1684"/>
      <c r="BO1836" s="1684"/>
      <c r="BP1836" s="1684"/>
      <c r="BQ1836" s="1684"/>
      <c r="BR1836" s="1684"/>
      <c r="BS1836" s="1684"/>
      <c r="BT1836" s="1684"/>
      <c r="BU1836" s="1684"/>
      <c r="BV1836" s="1684"/>
      <c r="BW1836" s="1684"/>
      <c r="BX1836" s="1684"/>
      <c r="BY1836" s="1684"/>
      <c r="BZ1836" s="1684"/>
      <c r="CA1836" s="1684"/>
      <c r="CB1836" s="1684"/>
      <c r="CC1836" s="1684"/>
      <c r="CD1836" s="1684"/>
      <c r="CE1836" s="1684"/>
      <c r="CF1836" s="1684"/>
      <c r="CG1836" s="1684"/>
      <c r="CH1836" s="1684"/>
      <c r="CI1836" s="1684"/>
      <c r="CJ1836" s="1684"/>
      <c r="CK1836" s="1684"/>
      <c r="CL1836" s="1684"/>
      <c r="CM1836" s="1684"/>
      <c r="CN1836" s="1684"/>
      <c r="CO1836" s="1684"/>
    </row>
    <row r="1837" spans="1:93" s="1391" customFormat="1" ht="15" x14ac:dyDescent="0.2">
      <c r="A1837" s="1684"/>
      <c r="B1837" s="2026">
        <v>14</v>
      </c>
      <c r="C1837" s="2027">
        <v>8.2430000000000003</v>
      </c>
      <c r="D1837" s="2027">
        <v>468</v>
      </c>
      <c r="E1837" s="2027">
        <v>503</v>
      </c>
      <c r="F1837" s="2027">
        <v>536</v>
      </c>
      <c r="G1837" s="2027">
        <v>570</v>
      </c>
      <c r="H1837" s="2027">
        <v>602</v>
      </c>
      <c r="I1837" s="2027">
        <v>633</v>
      </c>
      <c r="J1837" s="2027">
        <v>664</v>
      </c>
      <c r="K1837" s="2027">
        <v>694</v>
      </c>
      <c r="L1837" s="2027">
        <v>723</v>
      </c>
      <c r="M1837" s="2028">
        <v>62</v>
      </c>
      <c r="N1837"/>
      <c r="O1837" s="1684"/>
      <c r="P1837" s="1684"/>
      <c r="Q1837" s="1684"/>
      <c r="R1837" s="1684"/>
      <c r="S1837" s="1684"/>
      <c r="T1837" s="1684"/>
      <c r="U1837" s="1684"/>
      <c r="V1837" s="1684"/>
      <c r="W1837" s="1684"/>
      <c r="X1837" s="1684"/>
      <c r="Y1837" s="1684"/>
      <c r="Z1837" s="1684"/>
      <c r="AA1837" s="1684"/>
      <c r="AB1837" s="1684"/>
      <c r="AC1837" s="1684"/>
      <c r="AD1837" s="1684"/>
      <c r="AE1837" s="1684"/>
      <c r="AF1837" s="1684"/>
      <c r="AG1837" s="1684"/>
      <c r="AH1837" s="1684"/>
      <c r="AI1837" s="1684"/>
      <c r="AJ1837" s="1684"/>
      <c r="AK1837" s="1684"/>
      <c r="AL1837" s="1684"/>
      <c r="AM1837" s="1684"/>
      <c r="AN1837" s="1684"/>
      <c r="AO1837" s="1684"/>
      <c r="AP1837" s="1684"/>
      <c r="AQ1837" s="1684"/>
      <c r="AR1837" s="1684"/>
      <c r="AS1837" s="1684"/>
      <c r="AT1837" s="1684"/>
      <c r="AU1837" s="1684"/>
      <c r="AV1837" s="1684"/>
      <c r="AW1837" s="1684"/>
      <c r="AX1837" s="1684"/>
      <c r="AY1837" s="1684"/>
      <c r="AZ1837" s="1684"/>
      <c r="BA1837" s="1684"/>
      <c r="BB1837" s="1684"/>
      <c r="BC1837" s="1684"/>
      <c r="BD1837" s="1684"/>
      <c r="BE1837" s="1684"/>
      <c r="BF1837" s="1684"/>
      <c r="BG1837" s="1684"/>
      <c r="BH1837" s="1684"/>
      <c r="BI1837" s="1684"/>
      <c r="BJ1837" s="1684"/>
      <c r="BK1837" s="1684"/>
      <c r="BL1837" s="1684"/>
      <c r="BM1837" s="1684"/>
      <c r="BN1837" s="1684"/>
      <c r="BO1837" s="1684"/>
      <c r="BP1837" s="1684"/>
      <c r="BQ1837" s="1684"/>
      <c r="BR1837" s="1684"/>
      <c r="BS1837" s="1684"/>
      <c r="BT1837" s="1684"/>
      <c r="BU1837" s="1684"/>
      <c r="BV1837" s="1684"/>
      <c r="BW1837" s="1684"/>
      <c r="BX1837" s="1684"/>
      <c r="BY1837" s="1684"/>
      <c r="BZ1837" s="1684"/>
      <c r="CA1837" s="1684"/>
      <c r="CB1837" s="1684"/>
      <c r="CC1837" s="1684"/>
      <c r="CD1837" s="1684"/>
      <c r="CE1837" s="1684"/>
      <c r="CF1837" s="1684"/>
      <c r="CG1837" s="1684"/>
      <c r="CH1837" s="1684"/>
      <c r="CI1837" s="1684"/>
      <c r="CJ1837" s="1684"/>
      <c r="CK1837" s="1684"/>
      <c r="CL1837" s="1684"/>
      <c r="CM1837" s="1684"/>
      <c r="CN1837" s="1684"/>
      <c r="CO1837" s="1684"/>
    </row>
    <row r="1838" spans="1:93" s="1391" customFormat="1" ht="15" x14ac:dyDescent="0.2">
      <c r="A1838" s="1684"/>
      <c r="B1838" s="2026">
        <v>15</v>
      </c>
      <c r="C1838" s="2027">
        <v>9.0489999999999995</v>
      </c>
      <c r="D1838" s="2027">
        <v>523</v>
      </c>
      <c r="E1838" s="2027">
        <v>560</v>
      </c>
      <c r="F1838" s="2027">
        <v>597</v>
      </c>
      <c r="G1838" s="2027">
        <v>633</v>
      </c>
      <c r="H1838" s="2027">
        <v>668</v>
      </c>
      <c r="I1838" s="2027">
        <v>702</v>
      </c>
      <c r="J1838" s="2027">
        <v>736</v>
      </c>
      <c r="K1838" s="2027">
        <v>768</v>
      </c>
      <c r="L1838" s="2027">
        <v>799</v>
      </c>
      <c r="M1838" s="2028">
        <v>63</v>
      </c>
      <c r="N1838"/>
      <c r="O1838" s="1684"/>
      <c r="P1838" s="1684"/>
      <c r="Q1838" s="1684"/>
      <c r="R1838" s="1684"/>
      <c r="S1838" s="1684"/>
      <c r="T1838" s="1684"/>
      <c r="U1838" s="1684"/>
      <c r="V1838" s="1684"/>
      <c r="W1838" s="1684"/>
      <c r="X1838" s="1684"/>
      <c r="Y1838" s="1684"/>
      <c r="Z1838" s="1684"/>
      <c r="AA1838" s="1684"/>
      <c r="AB1838" s="1684"/>
      <c r="AC1838" s="1684"/>
      <c r="AD1838" s="1684"/>
      <c r="AE1838" s="1684"/>
      <c r="AF1838" s="1684"/>
      <c r="AG1838" s="1684"/>
      <c r="AH1838" s="1684"/>
      <c r="AI1838" s="1684"/>
      <c r="AJ1838" s="1684"/>
      <c r="AK1838" s="1684"/>
      <c r="AL1838" s="1684"/>
      <c r="AM1838" s="1684"/>
      <c r="AN1838" s="1684"/>
      <c r="AO1838" s="1684"/>
      <c r="AP1838" s="1684"/>
      <c r="AQ1838" s="1684"/>
      <c r="AR1838" s="1684"/>
      <c r="AS1838" s="1684"/>
      <c r="AT1838" s="1684"/>
      <c r="AU1838" s="1684"/>
      <c r="AV1838" s="1684"/>
      <c r="AW1838" s="1684"/>
      <c r="AX1838" s="1684"/>
      <c r="AY1838" s="1684"/>
      <c r="AZ1838" s="1684"/>
      <c r="BA1838" s="1684"/>
      <c r="BB1838" s="1684"/>
      <c r="BC1838" s="1684"/>
      <c r="BD1838" s="1684"/>
      <c r="BE1838" s="1684"/>
      <c r="BF1838" s="1684"/>
      <c r="BG1838" s="1684"/>
      <c r="BH1838" s="1684"/>
      <c r="BI1838" s="1684"/>
      <c r="BJ1838" s="1684"/>
      <c r="BK1838" s="1684"/>
      <c r="BL1838" s="1684"/>
      <c r="BM1838" s="1684"/>
      <c r="BN1838" s="1684"/>
      <c r="BO1838" s="1684"/>
      <c r="BP1838" s="1684"/>
      <c r="BQ1838" s="1684"/>
      <c r="BR1838" s="1684"/>
      <c r="BS1838" s="1684"/>
      <c r="BT1838" s="1684"/>
      <c r="BU1838" s="1684"/>
      <c r="BV1838" s="1684"/>
      <c r="BW1838" s="1684"/>
      <c r="BX1838" s="1684"/>
      <c r="BY1838" s="1684"/>
      <c r="BZ1838" s="1684"/>
      <c r="CA1838" s="1684"/>
      <c r="CB1838" s="1684"/>
      <c r="CC1838" s="1684"/>
      <c r="CD1838" s="1684"/>
      <c r="CE1838" s="1684"/>
      <c r="CF1838" s="1684"/>
      <c r="CG1838" s="1684"/>
      <c r="CH1838" s="1684"/>
      <c r="CI1838" s="1684"/>
      <c r="CJ1838" s="1684"/>
      <c r="CK1838" s="1684"/>
      <c r="CL1838" s="1684"/>
      <c r="CM1838" s="1684"/>
      <c r="CN1838" s="1684"/>
      <c r="CO1838" s="1684"/>
    </row>
    <row r="1839" spans="1:93" s="1391" customFormat="1" ht="15" x14ac:dyDescent="0.2">
      <c r="A1839" s="1684"/>
      <c r="B1839" s="2026">
        <v>16</v>
      </c>
      <c r="C1839" s="2027">
        <v>9.9160000000000004</v>
      </c>
      <c r="D1839" s="2027">
        <v>580</v>
      </c>
      <c r="E1839" s="2027">
        <v>620</v>
      </c>
      <c r="F1839" s="2027">
        <v>660</v>
      </c>
      <c r="G1839" s="2027">
        <v>699</v>
      </c>
      <c r="H1839" s="2027">
        <v>737</v>
      </c>
      <c r="I1839" s="2027">
        <v>773</v>
      </c>
      <c r="J1839" s="2027">
        <v>809</v>
      </c>
      <c r="K1839" s="2027">
        <v>844</v>
      </c>
      <c r="L1839" s="2027">
        <v>877</v>
      </c>
      <c r="M1839" s="2028">
        <v>64</v>
      </c>
      <c r="N1839"/>
      <c r="O1839" s="1684"/>
      <c r="P1839" s="1684"/>
      <c r="Q1839" s="1684"/>
      <c r="R1839" s="1684"/>
      <c r="S1839" s="1684"/>
      <c r="T1839" s="1684"/>
      <c r="U1839" s="1684"/>
      <c r="V1839" s="1684"/>
      <c r="W1839" s="1684"/>
      <c r="X1839" s="1684"/>
      <c r="Y1839" s="1684"/>
      <c r="Z1839" s="1684"/>
      <c r="AA1839" s="1684"/>
      <c r="AB1839" s="1684"/>
      <c r="AC1839" s="1684"/>
      <c r="AD1839" s="1684"/>
      <c r="AE1839" s="1684"/>
      <c r="AF1839" s="1684"/>
      <c r="AG1839" s="1684"/>
      <c r="AH1839" s="1684"/>
      <c r="AI1839" s="1684"/>
      <c r="AJ1839" s="1684"/>
      <c r="AK1839" s="1684"/>
      <c r="AL1839" s="1684"/>
      <c r="AM1839" s="1684"/>
      <c r="AN1839" s="1684"/>
      <c r="AO1839" s="1684"/>
      <c r="AP1839" s="1684"/>
      <c r="AQ1839" s="1684"/>
      <c r="AR1839" s="1684"/>
      <c r="AS1839" s="1684"/>
      <c r="AT1839" s="1684"/>
      <c r="AU1839" s="1684"/>
      <c r="AV1839" s="1684"/>
      <c r="AW1839" s="1684"/>
      <c r="AX1839" s="1684"/>
      <c r="AY1839" s="1684"/>
      <c r="AZ1839" s="1684"/>
      <c r="BA1839" s="1684"/>
      <c r="BB1839" s="1684"/>
      <c r="BC1839" s="1684"/>
      <c r="BD1839" s="1684"/>
      <c r="BE1839" s="1684"/>
      <c r="BF1839" s="1684"/>
      <c r="BG1839" s="1684"/>
      <c r="BH1839" s="1684"/>
      <c r="BI1839" s="1684"/>
      <c r="BJ1839" s="1684"/>
      <c r="BK1839" s="1684"/>
      <c r="BL1839" s="1684"/>
      <c r="BM1839" s="1684"/>
      <c r="BN1839" s="1684"/>
      <c r="BO1839" s="1684"/>
      <c r="BP1839" s="1684"/>
      <c r="BQ1839" s="1684"/>
      <c r="BR1839" s="1684"/>
      <c r="BS1839" s="1684"/>
      <c r="BT1839" s="1684"/>
      <c r="BU1839" s="1684"/>
      <c r="BV1839" s="1684"/>
      <c r="BW1839" s="1684"/>
      <c r="BX1839" s="1684"/>
      <c r="BY1839" s="1684"/>
      <c r="BZ1839" s="1684"/>
      <c r="CA1839" s="1684"/>
      <c r="CB1839" s="1684"/>
      <c r="CC1839" s="1684"/>
      <c r="CD1839" s="1684"/>
      <c r="CE1839" s="1684"/>
      <c r="CF1839" s="1684"/>
      <c r="CG1839" s="1684"/>
      <c r="CH1839" s="1684"/>
      <c r="CI1839" s="1684"/>
      <c r="CJ1839" s="1684"/>
      <c r="CK1839" s="1684"/>
      <c r="CL1839" s="1684"/>
      <c r="CM1839" s="1684"/>
      <c r="CN1839" s="1684"/>
      <c r="CO1839" s="1684"/>
    </row>
    <row r="1840" spans="1:93" s="1391" customFormat="1" ht="15" x14ac:dyDescent="0.2">
      <c r="A1840" s="1684"/>
      <c r="B1840" s="2026" t="s">
        <v>2224</v>
      </c>
      <c r="C1840" s="2027"/>
      <c r="D1840" s="2027"/>
      <c r="E1840" s="2027"/>
      <c r="F1840" s="2027"/>
      <c r="G1840" s="2027"/>
      <c r="H1840" s="2027"/>
      <c r="I1840" s="2027"/>
      <c r="J1840" s="2027"/>
      <c r="K1840" s="2027"/>
      <c r="L1840" s="2027"/>
      <c r="M1840" s="2028"/>
      <c r="N1840"/>
      <c r="O1840" s="1684"/>
      <c r="P1840" s="1684"/>
      <c r="Q1840" s="1684"/>
      <c r="R1840" s="1684"/>
      <c r="S1840" s="1684"/>
      <c r="T1840" s="1684"/>
      <c r="U1840" s="1684"/>
      <c r="V1840" s="1684"/>
      <c r="W1840" s="1684"/>
      <c r="X1840" s="1684"/>
      <c r="Y1840" s="1684"/>
      <c r="Z1840" s="1684"/>
      <c r="AA1840" s="1684"/>
      <c r="AB1840" s="1684"/>
      <c r="AC1840" s="1684"/>
      <c r="AD1840" s="1684"/>
      <c r="AE1840" s="1684"/>
      <c r="AF1840" s="1684"/>
      <c r="AG1840" s="1684"/>
      <c r="AH1840" s="1684"/>
      <c r="AI1840" s="1684"/>
      <c r="AJ1840" s="1684"/>
      <c r="AK1840" s="1684"/>
      <c r="AL1840" s="1684"/>
      <c r="AM1840" s="1684"/>
      <c r="AN1840" s="1684"/>
      <c r="AO1840" s="1684"/>
      <c r="AP1840" s="1684"/>
      <c r="AQ1840" s="1684"/>
      <c r="AR1840" s="1684"/>
      <c r="AS1840" s="1684"/>
      <c r="AT1840" s="1684"/>
      <c r="AU1840" s="1684"/>
      <c r="AV1840" s="1684"/>
      <c r="AW1840" s="1684"/>
      <c r="AX1840" s="1684"/>
      <c r="AY1840" s="1684"/>
      <c r="AZ1840" s="1684"/>
      <c r="BA1840" s="1684"/>
      <c r="BB1840" s="1684"/>
      <c r="BC1840" s="1684"/>
      <c r="BD1840" s="1684"/>
      <c r="BE1840" s="1684"/>
      <c r="BF1840" s="1684"/>
      <c r="BG1840" s="1684"/>
      <c r="BH1840" s="1684"/>
      <c r="BI1840" s="1684"/>
      <c r="BJ1840" s="1684"/>
      <c r="BK1840" s="1684"/>
      <c r="BL1840" s="1684"/>
      <c r="BM1840" s="1684"/>
      <c r="BN1840" s="1684"/>
      <c r="BO1840" s="1684"/>
      <c r="BP1840" s="1684"/>
      <c r="BQ1840" s="1684"/>
      <c r="BR1840" s="1684"/>
      <c r="BS1840" s="1684"/>
      <c r="BT1840" s="1684"/>
      <c r="BU1840" s="1684"/>
      <c r="BV1840" s="1684"/>
      <c r="BW1840" s="1684"/>
      <c r="BX1840" s="1684"/>
      <c r="BY1840" s="1684"/>
      <c r="BZ1840" s="1684"/>
      <c r="CA1840" s="1684"/>
      <c r="CB1840" s="1684"/>
      <c r="CC1840" s="1684"/>
      <c r="CD1840" s="1684"/>
      <c r="CE1840" s="1684"/>
      <c r="CF1840" s="1684"/>
      <c r="CG1840" s="1684"/>
      <c r="CH1840" s="1684"/>
      <c r="CI1840" s="1684"/>
      <c r="CJ1840" s="1684"/>
      <c r="CK1840" s="1684"/>
      <c r="CL1840" s="1684"/>
      <c r="CM1840" s="1684"/>
      <c r="CN1840" s="1684"/>
      <c r="CO1840" s="1684"/>
    </row>
    <row r="1841" spans="1:93" s="1391" customFormat="1" ht="15" x14ac:dyDescent="0.2">
      <c r="A1841" s="1684"/>
      <c r="B1841" s="4719" t="s">
        <v>2225</v>
      </c>
      <c r="C1841" s="4720"/>
      <c r="D1841" s="4720"/>
      <c r="E1841" s="4720"/>
      <c r="F1841" s="4720"/>
      <c r="G1841" s="4720"/>
      <c r="H1841" s="4720"/>
      <c r="I1841" s="4720"/>
      <c r="J1841" s="4720"/>
      <c r="K1841" s="4720"/>
      <c r="L1841" s="4720"/>
      <c r="M1841" s="4721"/>
      <c r="N1841"/>
      <c r="O1841" s="1684"/>
      <c r="P1841" s="1684"/>
      <c r="Q1841" s="1684"/>
      <c r="R1841" s="1684"/>
      <c r="S1841" s="1684"/>
      <c r="T1841" s="1684"/>
      <c r="U1841" s="1684"/>
      <c r="V1841" s="1684"/>
      <c r="W1841" s="1684"/>
      <c r="X1841" s="1684"/>
      <c r="Y1841" s="1684"/>
      <c r="Z1841" s="1684"/>
      <c r="AA1841" s="1684"/>
      <c r="AB1841" s="1684"/>
      <c r="AC1841" s="1684"/>
      <c r="AD1841" s="1684"/>
      <c r="AE1841" s="1684"/>
      <c r="AF1841" s="1684"/>
      <c r="AG1841" s="1684"/>
      <c r="AH1841" s="1684"/>
      <c r="AI1841" s="1684"/>
      <c r="AJ1841" s="1684"/>
      <c r="AK1841" s="1684"/>
      <c r="AL1841" s="1684"/>
      <c r="AM1841" s="1684"/>
      <c r="AN1841" s="1684"/>
      <c r="AO1841" s="1684"/>
      <c r="AP1841" s="1684"/>
      <c r="AQ1841" s="1684"/>
      <c r="AR1841" s="1684"/>
      <c r="AS1841" s="1684"/>
      <c r="AT1841" s="1684"/>
      <c r="AU1841" s="1684"/>
      <c r="AV1841" s="1684"/>
      <c r="AW1841" s="1684"/>
      <c r="AX1841" s="1684"/>
      <c r="AY1841" s="1684"/>
      <c r="AZ1841" s="1684"/>
      <c r="BA1841" s="1684"/>
      <c r="BB1841" s="1684"/>
      <c r="BC1841" s="1684"/>
      <c r="BD1841" s="1684"/>
      <c r="BE1841" s="1684"/>
      <c r="BF1841" s="1684"/>
      <c r="BG1841" s="1684"/>
      <c r="BH1841" s="1684"/>
      <c r="BI1841" s="1684"/>
      <c r="BJ1841" s="1684"/>
      <c r="BK1841" s="1684"/>
      <c r="BL1841" s="1684"/>
      <c r="BM1841" s="1684"/>
      <c r="BN1841" s="1684"/>
      <c r="BO1841" s="1684"/>
      <c r="BP1841" s="1684"/>
      <c r="BQ1841" s="1684"/>
      <c r="BR1841" s="1684"/>
      <c r="BS1841" s="1684"/>
      <c r="BT1841" s="1684"/>
      <c r="BU1841" s="1684"/>
      <c r="BV1841" s="1684"/>
      <c r="BW1841" s="1684"/>
      <c r="BX1841" s="1684"/>
      <c r="BY1841" s="1684"/>
      <c r="BZ1841" s="1684"/>
      <c r="CA1841" s="1684"/>
      <c r="CB1841" s="1684"/>
      <c r="CC1841" s="1684"/>
      <c r="CD1841" s="1684"/>
      <c r="CE1841" s="1684"/>
      <c r="CF1841" s="1684"/>
      <c r="CG1841" s="1684"/>
      <c r="CH1841" s="1684"/>
      <c r="CI1841" s="1684"/>
      <c r="CJ1841" s="1684"/>
      <c r="CK1841" s="1684"/>
      <c r="CL1841" s="1684"/>
      <c r="CM1841" s="1684"/>
      <c r="CN1841" s="1684"/>
      <c r="CO1841" s="1684"/>
    </row>
    <row r="1842" spans="1:93" s="1391" customFormat="1" ht="15" x14ac:dyDescent="0.2">
      <c r="A1842" s="1684"/>
      <c r="B1842" s="4704" t="s">
        <v>3944</v>
      </c>
      <c r="C1842" s="4707" t="s">
        <v>1042</v>
      </c>
      <c r="D1842" s="4710" t="s">
        <v>608</v>
      </c>
      <c r="E1842" s="4711"/>
      <c r="F1842" s="4711"/>
      <c r="G1842" s="4711"/>
      <c r="H1842" s="4711"/>
      <c r="I1842" s="4711"/>
      <c r="J1842" s="4711"/>
      <c r="K1842" s="4711"/>
      <c r="L1842" s="4712"/>
      <c r="M1842" s="4713" t="s">
        <v>2490</v>
      </c>
      <c r="N1842"/>
      <c r="O1842" s="1684"/>
      <c r="P1842" s="1684"/>
      <c r="Q1842" s="1684"/>
      <c r="R1842" s="1684"/>
      <c r="S1842" s="1684"/>
      <c r="T1842" s="1684"/>
      <c r="U1842" s="1684"/>
      <c r="V1842" s="1684"/>
      <c r="W1842" s="1684"/>
      <c r="X1842" s="1684"/>
      <c r="Y1842" s="1684"/>
      <c r="Z1842" s="1684"/>
      <c r="AA1842" s="1684"/>
      <c r="AB1842" s="1684"/>
      <c r="AC1842" s="1684"/>
      <c r="AD1842" s="1684"/>
      <c r="AE1842" s="1684"/>
      <c r="AF1842" s="1684"/>
      <c r="AG1842" s="1684"/>
      <c r="AH1842" s="1684"/>
      <c r="AI1842" s="1684"/>
      <c r="AJ1842" s="1684"/>
      <c r="AK1842" s="1684"/>
      <c r="AL1842" s="1684"/>
      <c r="AM1842" s="1684"/>
      <c r="AN1842" s="1684"/>
      <c r="AO1842" s="1684"/>
      <c r="AP1842" s="1684"/>
      <c r="AQ1842" s="1684"/>
      <c r="AR1842" s="1684"/>
      <c r="AS1842" s="1684"/>
      <c r="AT1842" s="1684"/>
      <c r="AU1842" s="1684"/>
      <c r="AV1842" s="1684"/>
      <c r="AW1842" s="1684"/>
      <c r="AX1842" s="1684"/>
      <c r="AY1842" s="1684"/>
      <c r="AZ1842" s="1684"/>
      <c r="BA1842" s="1684"/>
      <c r="BB1842" s="1684"/>
      <c r="BC1842" s="1684"/>
      <c r="BD1842" s="1684"/>
      <c r="BE1842" s="1684"/>
      <c r="BF1842" s="1684"/>
      <c r="BG1842" s="1684"/>
      <c r="BH1842" s="1684"/>
      <c r="BI1842" s="1684"/>
      <c r="BJ1842" s="1684"/>
      <c r="BK1842" s="1684"/>
      <c r="BL1842" s="1684"/>
      <c r="BM1842" s="1684"/>
      <c r="BN1842" s="1684"/>
      <c r="BO1842" s="1684"/>
      <c r="BP1842" s="1684"/>
      <c r="BQ1842" s="1684"/>
      <c r="BR1842" s="1684"/>
      <c r="BS1842" s="1684"/>
      <c r="BT1842" s="1684"/>
      <c r="BU1842" s="1684"/>
      <c r="BV1842" s="1684"/>
      <c r="BW1842" s="1684"/>
      <c r="BX1842" s="1684"/>
      <c r="BY1842" s="1684"/>
      <c r="BZ1842" s="1684"/>
      <c r="CA1842" s="1684"/>
      <c r="CB1842" s="1684"/>
      <c r="CC1842" s="1684"/>
      <c r="CD1842" s="1684"/>
      <c r="CE1842" s="1684"/>
      <c r="CF1842" s="1684"/>
      <c r="CG1842" s="1684"/>
      <c r="CH1842" s="1684"/>
      <c r="CI1842" s="1684"/>
      <c r="CJ1842" s="1684"/>
      <c r="CK1842" s="1684"/>
      <c r="CL1842" s="1684"/>
      <c r="CM1842" s="1684"/>
      <c r="CN1842" s="1684"/>
      <c r="CO1842" s="1684"/>
    </row>
    <row r="1843" spans="1:93" s="1391" customFormat="1" ht="54.75" x14ac:dyDescent="0.2">
      <c r="A1843" s="1684"/>
      <c r="B1843" s="4705"/>
      <c r="C1843" s="4708"/>
      <c r="D1843" s="2022" t="s">
        <v>1043</v>
      </c>
      <c r="E1843" s="2022" t="s">
        <v>1044</v>
      </c>
      <c r="F1843" s="2022" t="s">
        <v>1045</v>
      </c>
      <c r="G1843" s="2022" t="s">
        <v>1046</v>
      </c>
      <c r="H1843" s="2022" t="s">
        <v>1047</v>
      </c>
      <c r="I1843" s="2022" t="s">
        <v>1048</v>
      </c>
      <c r="J1843" s="2022" t="s">
        <v>1049</v>
      </c>
      <c r="K1843" s="2022" t="s">
        <v>1050</v>
      </c>
      <c r="L1843" s="2022" t="s">
        <v>1051</v>
      </c>
      <c r="M1843" s="4714"/>
      <c r="N1843"/>
      <c r="O1843" s="1684"/>
      <c r="P1843" s="1684"/>
      <c r="Q1843" s="1684"/>
      <c r="R1843" s="1684"/>
      <c r="S1843" s="1684"/>
      <c r="T1843" s="1684"/>
      <c r="U1843" s="1684"/>
      <c r="V1843" s="1684"/>
      <c r="W1843" s="1684"/>
      <c r="X1843" s="1684"/>
      <c r="Y1843" s="1684"/>
      <c r="Z1843" s="1684"/>
      <c r="AA1843" s="1684"/>
      <c r="AB1843" s="1684"/>
      <c r="AC1843" s="1684"/>
      <c r="AD1843" s="1684"/>
      <c r="AE1843" s="1684"/>
      <c r="AF1843" s="1684"/>
      <c r="AG1843" s="1684"/>
      <c r="AH1843" s="1684"/>
      <c r="AI1843" s="1684"/>
      <c r="AJ1843" s="1684"/>
      <c r="AK1843" s="1684"/>
      <c r="AL1843" s="1684"/>
      <c r="AM1843" s="1684"/>
      <c r="AN1843" s="1684"/>
      <c r="AO1843" s="1684"/>
      <c r="AP1843" s="1684"/>
      <c r="AQ1843" s="1684"/>
      <c r="AR1843" s="1684"/>
      <c r="AS1843" s="1684"/>
      <c r="AT1843" s="1684"/>
      <c r="AU1843" s="1684"/>
      <c r="AV1843" s="1684"/>
      <c r="AW1843" s="1684"/>
      <c r="AX1843" s="1684"/>
      <c r="AY1843" s="1684"/>
      <c r="AZ1843" s="1684"/>
      <c r="BA1843" s="1684"/>
      <c r="BB1843" s="1684"/>
      <c r="BC1843" s="1684"/>
      <c r="BD1843" s="1684"/>
      <c r="BE1843" s="1684"/>
      <c r="BF1843" s="1684"/>
      <c r="BG1843" s="1684"/>
      <c r="BH1843" s="1684"/>
      <c r="BI1843" s="1684"/>
      <c r="BJ1843" s="1684"/>
      <c r="BK1843" s="1684"/>
      <c r="BL1843" s="1684"/>
      <c r="BM1843" s="1684"/>
      <c r="BN1843" s="1684"/>
      <c r="BO1843" s="1684"/>
      <c r="BP1843" s="1684"/>
      <c r="BQ1843" s="1684"/>
      <c r="BR1843" s="1684"/>
      <c r="BS1843" s="1684"/>
      <c r="BT1843" s="1684"/>
      <c r="BU1843" s="1684"/>
      <c r="BV1843" s="1684"/>
      <c r="BW1843" s="1684"/>
      <c r="BX1843" s="1684"/>
      <c r="BY1843" s="1684"/>
      <c r="BZ1843" s="1684"/>
      <c r="CA1843" s="1684"/>
      <c r="CB1843" s="1684"/>
      <c r="CC1843" s="1684"/>
      <c r="CD1843" s="1684"/>
      <c r="CE1843" s="1684"/>
      <c r="CF1843" s="1684"/>
      <c r="CG1843" s="1684"/>
      <c r="CH1843" s="1684"/>
      <c r="CI1843" s="1684"/>
      <c r="CJ1843" s="1684"/>
      <c r="CK1843" s="1684"/>
      <c r="CL1843" s="1684"/>
      <c r="CM1843" s="1684"/>
      <c r="CN1843" s="1684"/>
      <c r="CO1843" s="1684"/>
    </row>
    <row r="1844" spans="1:93" s="1391" customFormat="1" ht="15" x14ac:dyDescent="0.2">
      <c r="A1844" s="1684"/>
      <c r="B1844" s="4706"/>
      <c r="C1844" s="4709"/>
      <c r="D1844" s="4710" t="s">
        <v>1781</v>
      </c>
      <c r="E1844" s="4711"/>
      <c r="F1844" s="4711"/>
      <c r="G1844" s="4711"/>
      <c r="H1844" s="4711"/>
      <c r="I1844" s="4711"/>
      <c r="J1844" s="4711"/>
      <c r="K1844" s="4711"/>
      <c r="L1844" s="4712"/>
      <c r="M1844" s="4715"/>
      <c r="N1844"/>
      <c r="O1844" s="1684"/>
      <c r="P1844" s="1684"/>
      <c r="Q1844" s="1684"/>
      <c r="R1844" s="1684"/>
      <c r="S1844" s="1684"/>
      <c r="T1844" s="1684"/>
      <c r="U1844" s="1684"/>
      <c r="V1844" s="1684"/>
      <c r="W1844" s="1684"/>
      <c r="X1844" s="1684"/>
      <c r="Y1844" s="1684"/>
      <c r="Z1844" s="1684"/>
      <c r="AA1844" s="1684"/>
      <c r="AB1844" s="1684"/>
      <c r="AC1844" s="1684"/>
      <c r="AD1844" s="1684"/>
      <c r="AE1844" s="1684"/>
      <c r="AF1844" s="1684"/>
      <c r="AG1844" s="1684"/>
      <c r="AH1844" s="1684"/>
      <c r="AI1844" s="1684"/>
      <c r="AJ1844" s="1684"/>
      <c r="AK1844" s="1684"/>
      <c r="AL1844" s="1684"/>
      <c r="AM1844" s="1684"/>
      <c r="AN1844" s="1684"/>
      <c r="AO1844" s="1684"/>
      <c r="AP1844" s="1684"/>
      <c r="AQ1844" s="1684"/>
      <c r="AR1844" s="1684"/>
      <c r="AS1844" s="1684"/>
      <c r="AT1844" s="1684"/>
      <c r="AU1844" s="1684"/>
      <c r="AV1844" s="1684"/>
      <c r="AW1844" s="1684"/>
      <c r="AX1844" s="1684"/>
      <c r="AY1844" s="1684"/>
      <c r="AZ1844" s="1684"/>
      <c r="BA1844" s="1684"/>
      <c r="BB1844" s="1684"/>
      <c r="BC1844" s="1684"/>
      <c r="BD1844" s="1684"/>
      <c r="BE1844" s="1684"/>
      <c r="BF1844" s="1684"/>
      <c r="BG1844" s="1684"/>
      <c r="BH1844" s="1684"/>
      <c r="BI1844" s="1684"/>
      <c r="BJ1844" s="1684"/>
      <c r="BK1844" s="1684"/>
      <c r="BL1844" s="1684"/>
      <c r="BM1844" s="1684"/>
      <c r="BN1844" s="1684"/>
      <c r="BO1844" s="1684"/>
      <c r="BP1844" s="1684"/>
      <c r="BQ1844" s="1684"/>
      <c r="BR1844" s="1684"/>
      <c r="BS1844" s="1684"/>
      <c r="BT1844" s="1684"/>
      <c r="BU1844" s="1684"/>
      <c r="BV1844" s="1684"/>
      <c r="BW1844" s="1684"/>
      <c r="BX1844" s="1684"/>
      <c r="BY1844" s="1684"/>
      <c r="BZ1844" s="1684"/>
      <c r="CA1844" s="1684"/>
      <c r="CB1844" s="1684"/>
      <c r="CC1844" s="1684"/>
      <c r="CD1844" s="1684"/>
      <c r="CE1844" s="1684"/>
      <c r="CF1844" s="1684"/>
      <c r="CG1844" s="1684"/>
      <c r="CH1844" s="1684"/>
      <c r="CI1844" s="1684"/>
      <c r="CJ1844" s="1684"/>
      <c r="CK1844" s="1684"/>
      <c r="CL1844" s="1684"/>
      <c r="CM1844" s="1684"/>
      <c r="CN1844" s="1684"/>
      <c r="CO1844" s="1684"/>
    </row>
    <row r="1845" spans="1:93" s="1391" customFormat="1" ht="15" x14ac:dyDescent="0.2">
      <c r="A1845" s="1684"/>
      <c r="B1845" s="4698" t="s">
        <v>3689</v>
      </c>
      <c r="C1845" s="4699"/>
      <c r="D1845" s="4699"/>
      <c r="E1845" s="4699"/>
      <c r="F1845" s="4699"/>
      <c r="G1845" s="4699"/>
      <c r="H1845" s="4699"/>
      <c r="I1845" s="4699"/>
      <c r="J1845" s="4699"/>
      <c r="K1845" s="4699"/>
      <c r="L1845" s="4699"/>
      <c r="M1845" s="4700"/>
      <c r="N1845"/>
      <c r="O1845" s="1684"/>
      <c r="P1845" s="1684"/>
      <c r="Q1845" s="1684"/>
      <c r="R1845" s="1684"/>
      <c r="S1845" s="1684"/>
      <c r="T1845" s="1684"/>
      <c r="U1845" s="1684"/>
      <c r="V1845" s="1684"/>
      <c r="W1845" s="1684"/>
      <c r="X1845" s="1684"/>
      <c r="Y1845" s="1684"/>
      <c r="Z1845" s="1684"/>
      <c r="AA1845" s="1684"/>
      <c r="AB1845" s="1684"/>
      <c r="AC1845" s="1684"/>
      <c r="AD1845" s="1684"/>
      <c r="AE1845" s="1684"/>
      <c r="AF1845" s="1684"/>
      <c r="AG1845" s="1684"/>
      <c r="AH1845" s="1684"/>
      <c r="AI1845" s="1684"/>
      <c r="AJ1845" s="1684"/>
      <c r="AK1845" s="1684"/>
      <c r="AL1845" s="1684"/>
      <c r="AM1845" s="1684"/>
      <c r="AN1845" s="1684"/>
      <c r="AO1845" s="1684"/>
      <c r="AP1845" s="1684"/>
      <c r="AQ1845" s="1684"/>
      <c r="AR1845" s="1684"/>
      <c r="AS1845" s="1684"/>
      <c r="AT1845" s="1684"/>
      <c r="AU1845" s="1684"/>
      <c r="AV1845" s="1684"/>
      <c r="AW1845" s="1684"/>
      <c r="AX1845" s="1684"/>
      <c r="AY1845" s="1684"/>
      <c r="AZ1845" s="1684"/>
      <c r="BA1845" s="1684"/>
      <c r="BB1845" s="1684"/>
      <c r="BC1845" s="1684"/>
      <c r="BD1845" s="1684"/>
      <c r="BE1845" s="1684"/>
      <c r="BF1845" s="1684"/>
      <c r="BG1845" s="1684"/>
      <c r="BH1845" s="1684"/>
      <c r="BI1845" s="1684"/>
      <c r="BJ1845" s="1684"/>
      <c r="BK1845" s="1684"/>
      <c r="BL1845" s="1684"/>
      <c r="BM1845" s="1684"/>
      <c r="BN1845" s="1684"/>
      <c r="BO1845" s="1684"/>
      <c r="BP1845" s="1684"/>
      <c r="BQ1845" s="1684"/>
      <c r="BR1845" s="1684"/>
      <c r="BS1845" s="1684"/>
      <c r="BT1845" s="1684"/>
      <c r="BU1845" s="1684"/>
      <c r="BV1845" s="1684"/>
      <c r="BW1845" s="1684"/>
      <c r="BX1845" s="1684"/>
      <c r="BY1845" s="1684"/>
      <c r="BZ1845" s="1684"/>
      <c r="CA1845" s="1684"/>
      <c r="CB1845" s="1684"/>
      <c r="CC1845" s="1684"/>
      <c r="CD1845" s="1684"/>
      <c r="CE1845" s="1684"/>
      <c r="CF1845" s="1684"/>
      <c r="CG1845" s="1684"/>
      <c r="CH1845" s="1684"/>
      <c r="CI1845" s="1684"/>
      <c r="CJ1845" s="1684"/>
      <c r="CK1845" s="1684"/>
      <c r="CL1845" s="1684"/>
      <c r="CM1845" s="1684"/>
      <c r="CN1845" s="1684"/>
      <c r="CO1845" s="1684"/>
    </row>
    <row r="1846" spans="1:93" s="1391" customFormat="1" ht="15" x14ac:dyDescent="0.2">
      <c r="A1846" s="1684"/>
      <c r="B1846" s="4716" t="s">
        <v>1052</v>
      </c>
      <c r="C1846" s="4711"/>
      <c r="D1846" s="4711"/>
      <c r="E1846" s="4711"/>
      <c r="F1846" s="4711"/>
      <c r="G1846" s="4711"/>
      <c r="H1846" s="4711"/>
      <c r="I1846" s="4711"/>
      <c r="J1846" s="4711"/>
      <c r="K1846" s="4711"/>
      <c r="L1846" s="4711"/>
      <c r="M1846" s="4717"/>
      <c r="N1846"/>
      <c r="O1846" s="1684"/>
      <c r="P1846" s="1684"/>
      <c r="Q1846" s="1684"/>
      <c r="R1846" s="1684"/>
      <c r="S1846" s="1684"/>
      <c r="T1846" s="1684"/>
      <c r="U1846" s="1684"/>
      <c r="V1846" s="1684"/>
      <c r="W1846" s="1684"/>
      <c r="X1846" s="1684"/>
      <c r="Y1846" s="1684"/>
      <c r="Z1846" s="1684"/>
      <c r="AA1846" s="1684"/>
      <c r="AB1846" s="1684"/>
      <c r="AC1846" s="1684"/>
      <c r="AD1846" s="1684"/>
      <c r="AE1846" s="1684"/>
      <c r="AF1846" s="1684"/>
      <c r="AG1846" s="1684"/>
      <c r="AH1846" s="1684"/>
      <c r="AI1846" s="1684"/>
      <c r="AJ1846" s="1684"/>
      <c r="AK1846" s="1684"/>
      <c r="AL1846" s="1684"/>
      <c r="AM1846" s="1684"/>
      <c r="AN1846" s="1684"/>
      <c r="AO1846" s="1684"/>
      <c r="AP1846" s="1684"/>
      <c r="AQ1846" s="1684"/>
      <c r="AR1846" s="1684"/>
      <c r="AS1846" s="1684"/>
      <c r="AT1846" s="1684"/>
      <c r="AU1846" s="1684"/>
      <c r="AV1846" s="1684"/>
      <c r="AW1846" s="1684"/>
      <c r="AX1846" s="1684"/>
      <c r="AY1846" s="1684"/>
      <c r="AZ1846" s="1684"/>
      <c r="BA1846" s="1684"/>
      <c r="BB1846" s="1684"/>
      <c r="BC1846" s="1684"/>
      <c r="BD1846" s="1684"/>
      <c r="BE1846" s="1684"/>
      <c r="BF1846" s="1684"/>
      <c r="BG1846" s="1684"/>
      <c r="BH1846" s="1684"/>
      <c r="BI1846" s="1684"/>
      <c r="BJ1846" s="1684"/>
      <c r="BK1846" s="1684"/>
      <c r="BL1846" s="1684"/>
      <c r="BM1846" s="1684"/>
      <c r="BN1846" s="1684"/>
      <c r="BO1846" s="1684"/>
      <c r="BP1846" s="1684"/>
      <c r="BQ1846" s="1684"/>
      <c r="BR1846" s="1684"/>
      <c r="BS1846" s="1684"/>
      <c r="BT1846" s="1684"/>
      <c r="BU1846" s="1684"/>
      <c r="BV1846" s="1684"/>
      <c r="BW1846" s="1684"/>
      <c r="BX1846" s="1684"/>
      <c r="BY1846" s="1684"/>
      <c r="BZ1846" s="1684"/>
      <c r="CA1846" s="1684"/>
      <c r="CB1846" s="1684"/>
      <c r="CC1846" s="1684"/>
      <c r="CD1846" s="1684"/>
      <c r="CE1846" s="1684"/>
      <c r="CF1846" s="1684"/>
      <c r="CG1846" s="1684"/>
      <c r="CH1846" s="1684"/>
      <c r="CI1846" s="1684"/>
      <c r="CJ1846" s="1684"/>
      <c r="CK1846" s="1684"/>
      <c r="CL1846" s="1684"/>
      <c r="CM1846" s="1684"/>
      <c r="CN1846" s="1684"/>
      <c r="CO1846" s="1684"/>
    </row>
    <row r="1847" spans="1:93" s="1391" customFormat="1" ht="15" x14ac:dyDescent="0.2">
      <c r="A1847" s="1684"/>
      <c r="B1847" s="2023"/>
      <c r="C1847" s="2024"/>
      <c r="D1847" s="2024">
        <v>1</v>
      </c>
      <c r="E1847" s="2024">
        <v>2</v>
      </c>
      <c r="F1847" s="2024">
        <v>3</v>
      </c>
      <c r="G1847" s="2024">
        <v>4</v>
      </c>
      <c r="H1847" s="2024">
        <v>5</v>
      </c>
      <c r="I1847" s="2024">
        <v>6</v>
      </c>
      <c r="J1847" s="2024">
        <v>7</v>
      </c>
      <c r="K1847" s="2024">
        <v>8</v>
      </c>
      <c r="L1847" s="2024">
        <v>9</v>
      </c>
      <c r="M1847" s="2025"/>
      <c r="N1847"/>
      <c r="O1847" s="1684"/>
      <c r="P1847" s="1684"/>
      <c r="Q1847" s="1684"/>
      <c r="R1847" s="1684"/>
      <c r="S1847" s="1684"/>
      <c r="T1847" s="1684"/>
      <c r="U1847" s="1684"/>
      <c r="V1847" s="1684"/>
      <c r="W1847" s="1684"/>
      <c r="X1847" s="1684"/>
      <c r="Y1847" s="1684"/>
      <c r="Z1847" s="1684"/>
      <c r="AA1847" s="1684"/>
      <c r="AB1847" s="1684"/>
      <c r="AC1847" s="1684"/>
      <c r="AD1847" s="1684"/>
      <c r="AE1847" s="1684"/>
      <c r="AF1847" s="1684"/>
      <c r="AG1847" s="1684"/>
      <c r="AH1847" s="1684"/>
      <c r="AI1847" s="1684"/>
      <c r="AJ1847" s="1684"/>
      <c r="AK1847" s="1684"/>
      <c r="AL1847" s="1684"/>
      <c r="AM1847" s="1684"/>
      <c r="AN1847" s="1684"/>
      <c r="AO1847" s="1684"/>
      <c r="AP1847" s="1684"/>
      <c r="AQ1847" s="1684"/>
      <c r="AR1847" s="1684"/>
      <c r="AS1847" s="1684"/>
      <c r="AT1847" s="1684"/>
      <c r="AU1847" s="1684"/>
      <c r="AV1847" s="1684"/>
      <c r="AW1847" s="1684"/>
      <c r="AX1847" s="1684"/>
      <c r="AY1847" s="1684"/>
      <c r="AZ1847" s="1684"/>
      <c r="BA1847" s="1684"/>
      <c r="BB1847" s="1684"/>
      <c r="BC1847" s="1684"/>
      <c r="BD1847" s="1684"/>
      <c r="BE1847" s="1684"/>
      <c r="BF1847" s="1684"/>
      <c r="BG1847" s="1684"/>
      <c r="BH1847" s="1684"/>
      <c r="BI1847" s="1684"/>
      <c r="BJ1847" s="1684"/>
      <c r="BK1847" s="1684"/>
      <c r="BL1847" s="1684"/>
      <c r="BM1847" s="1684"/>
      <c r="BN1847" s="1684"/>
      <c r="BO1847" s="1684"/>
      <c r="BP1847" s="1684"/>
      <c r="BQ1847" s="1684"/>
      <c r="BR1847" s="1684"/>
      <c r="BS1847" s="1684"/>
      <c r="BT1847" s="1684"/>
      <c r="BU1847" s="1684"/>
      <c r="BV1847" s="1684"/>
      <c r="BW1847" s="1684"/>
      <c r="BX1847" s="1684"/>
      <c r="BY1847" s="1684"/>
      <c r="BZ1847" s="1684"/>
      <c r="CA1847" s="1684"/>
      <c r="CB1847" s="1684"/>
      <c r="CC1847" s="1684"/>
      <c r="CD1847" s="1684"/>
      <c r="CE1847" s="1684"/>
      <c r="CF1847" s="1684"/>
      <c r="CG1847" s="1684"/>
      <c r="CH1847" s="1684"/>
      <c r="CI1847" s="1684"/>
      <c r="CJ1847" s="1684"/>
      <c r="CK1847" s="1684"/>
      <c r="CL1847" s="1684"/>
      <c r="CM1847" s="1684"/>
      <c r="CN1847" s="1684"/>
      <c r="CO1847" s="1684"/>
    </row>
    <row r="1848" spans="1:93" s="1391" customFormat="1" ht="15" x14ac:dyDescent="0.2">
      <c r="B1848" s="2026">
        <v>9</v>
      </c>
      <c r="C1848" s="2027">
        <v>4.9509999999999996</v>
      </c>
      <c r="D1848" s="2027">
        <v>225</v>
      </c>
      <c r="E1848" s="2027">
        <v>244</v>
      </c>
      <c r="F1848" s="2027">
        <v>264</v>
      </c>
      <c r="G1848" s="2027">
        <v>283</v>
      </c>
      <c r="H1848" s="2027">
        <v>303</v>
      </c>
      <c r="I1848" s="2027">
        <v>323</v>
      </c>
      <c r="J1848" s="2027">
        <v>342</v>
      </c>
      <c r="K1848" s="2027">
        <v>361</v>
      </c>
      <c r="L1848" s="2027">
        <v>381</v>
      </c>
      <c r="M1848" s="2028">
        <v>1</v>
      </c>
      <c r="N1848"/>
    </row>
    <row r="1849" spans="1:93" s="1391" customFormat="1" ht="15" x14ac:dyDescent="0.2">
      <c r="B1849" s="2026">
        <v>10</v>
      </c>
      <c r="C1849" s="2027">
        <v>5.2930000000000001</v>
      </c>
      <c r="D1849" s="2027">
        <v>251</v>
      </c>
      <c r="E1849" s="2027">
        <v>273</v>
      </c>
      <c r="F1849" s="2027">
        <v>294</v>
      </c>
      <c r="G1849" s="2027">
        <v>316</v>
      </c>
      <c r="H1849" s="2027">
        <v>338</v>
      </c>
      <c r="I1849" s="2027">
        <v>360</v>
      </c>
      <c r="J1849" s="2027">
        <v>382</v>
      </c>
      <c r="K1849" s="2027">
        <v>403</v>
      </c>
      <c r="L1849" s="2027">
        <v>425</v>
      </c>
      <c r="M1849" s="2028">
        <v>2</v>
      </c>
      <c r="N1849"/>
    </row>
    <row r="1850" spans="1:93" s="1391" customFormat="1" ht="15" x14ac:dyDescent="0.2">
      <c r="B1850" s="2026">
        <v>11</v>
      </c>
      <c r="C1850" s="2027">
        <v>5.6970000000000001</v>
      </c>
      <c r="D1850" s="2027">
        <v>281</v>
      </c>
      <c r="E1850" s="2027">
        <v>306</v>
      </c>
      <c r="F1850" s="2027">
        <v>330</v>
      </c>
      <c r="G1850" s="2027">
        <v>355</v>
      </c>
      <c r="H1850" s="2027">
        <v>379</v>
      </c>
      <c r="I1850" s="2027">
        <v>404</v>
      </c>
      <c r="J1850" s="2027">
        <v>428</v>
      </c>
      <c r="K1850" s="2027">
        <v>453</v>
      </c>
      <c r="L1850" s="2027">
        <v>477</v>
      </c>
      <c r="M1850" s="2028">
        <v>3</v>
      </c>
      <c r="N1850"/>
    </row>
    <row r="1851" spans="1:93" s="1391" customFormat="1" ht="15" x14ac:dyDescent="0.2">
      <c r="B1851" s="2026">
        <v>12</v>
      </c>
      <c r="C1851" s="2027">
        <v>6.1429999999999998</v>
      </c>
      <c r="D1851" s="2027">
        <v>314</v>
      </c>
      <c r="E1851" s="2027">
        <v>342</v>
      </c>
      <c r="F1851" s="2027">
        <v>369</v>
      </c>
      <c r="G1851" s="2027">
        <v>397</v>
      </c>
      <c r="H1851" s="2027">
        <v>424</v>
      </c>
      <c r="I1851" s="2027">
        <v>452</v>
      </c>
      <c r="J1851" s="2027">
        <v>479</v>
      </c>
      <c r="K1851" s="2027">
        <v>506</v>
      </c>
      <c r="L1851" s="2027">
        <v>533</v>
      </c>
      <c r="M1851" s="2028">
        <v>4</v>
      </c>
      <c r="N1851"/>
    </row>
    <row r="1852" spans="1:93" s="1391" customFormat="1" ht="15" x14ac:dyDescent="0.2">
      <c r="B1852" s="2026">
        <v>13</v>
      </c>
      <c r="C1852" s="2027">
        <v>6.6239999999999997</v>
      </c>
      <c r="D1852" s="2027">
        <v>349</v>
      </c>
      <c r="E1852" s="2027">
        <v>380</v>
      </c>
      <c r="F1852" s="2027">
        <v>410</v>
      </c>
      <c r="G1852" s="2027">
        <v>440</v>
      </c>
      <c r="H1852" s="2027">
        <v>471</v>
      </c>
      <c r="I1852" s="2027">
        <v>502</v>
      </c>
      <c r="J1852" s="2027">
        <v>532</v>
      </c>
      <c r="K1852" s="2027">
        <v>562</v>
      </c>
      <c r="L1852" s="2027">
        <v>592</v>
      </c>
      <c r="M1852" s="2028">
        <v>5</v>
      </c>
      <c r="N1852"/>
    </row>
    <row r="1853" spans="1:93" s="1391" customFormat="1" ht="15" x14ac:dyDescent="0.2">
      <c r="B1853" s="2026">
        <v>14</v>
      </c>
      <c r="C1853" s="2027">
        <v>7.1669999999999998</v>
      </c>
      <c r="D1853" s="2027">
        <v>387</v>
      </c>
      <c r="E1853" s="2027">
        <v>421</v>
      </c>
      <c r="F1853" s="2027">
        <v>455</v>
      </c>
      <c r="G1853" s="2027">
        <v>488</v>
      </c>
      <c r="H1853" s="2027">
        <v>522</v>
      </c>
      <c r="I1853" s="2027">
        <v>557</v>
      </c>
      <c r="J1853" s="2027">
        <v>590</v>
      </c>
      <c r="K1853" s="2027">
        <v>623</v>
      </c>
      <c r="L1853" s="2027">
        <v>657</v>
      </c>
      <c r="M1853" s="2028">
        <v>6</v>
      </c>
      <c r="N1853"/>
    </row>
    <row r="1854" spans="1:93" s="1391" customFormat="1" ht="15" x14ac:dyDescent="0.2">
      <c r="B1854" s="2026">
        <v>15</v>
      </c>
      <c r="C1854" s="2027">
        <v>7.7629999999999999</v>
      </c>
      <c r="D1854" s="2027">
        <v>429</v>
      </c>
      <c r="E1854" s="2027">
        <v>466</v>
      </c>
      <c r="F1854" s="2027">
        <v>504</v>
      </c>
      <c r="G1854" s="2027">
        <v>541</v>
      </c>
      <c r="H1854" s="2027">
        <v>578</v>
      </c>
      <c r="I1854" s="2027">
        <v>616</v>
      </c>
      <c r="J1854" s="2027">
        <v>653</v>
      </c>
      <c r="K1854" s="2027">
        <v>690</v>
      </c>
      <c r="L1854" s="2027">
        <v>727</v>
      </c>
      <c r="M1854" s="2028">
        <v>7</v>
      </c>
      <c r="N1854"/>
    </row>
    <row r="1855" spans="1:93" s="1391" customFormat="1" ht="15" x14ac:dyDescent="0.2">
      <c r="B1855" s="2026">
        <v>16</v>
      </c>
      <c r="C1855" s="2027">
        <v>8.3889999999999993</v>
      </c>
      <c r="D1855" s="2027">
        <v>470</v>
      </c>
      <c r="E1855" s="2027">
        <v>511</v>
      </c>
      <c r="F1855" s="2027">
        <v>553</v>
      </c>
      <c r="G1855" s="2027">
        <v>594</v>
      </c>
      <c r="H1855" s="2027">
        <v>635</v>
      </c>
      <c r="I1855" s="2027">
        <v>676</v>
      </c>
      <c r="J1855" s="2027">
        <v>716</v>
      </c>
      <c r="K1855" s="2027">
        <v>757</v>
      </c>
      <c r="L1855" s="2027">
        <v>798</v>
      </c>
      <c r="M1855" s="2028">
        <v>8</v>
      </c>
      <c r="N1855"/>
    </row>
    <row r="1856" spans="1:93" s="1391" customFormat="1" ht="15" x14ac:dyDescent="0.2">
      <c r="B1856" s="4716" t="s">
        <v>1053</v>
      </c>
      <c r="C1856" s="4711"/>
      <c r="D1856" s="4711"/>
      <c r="E1856" s="4711"/>
      <c r="F1856" s="4711"/>
      <c r="G1856" s="4711"/>
      <c r="H1856" s="4711"/>
      <c r="I1856" s="4711"/>
      <c r="J1856" s="4711"/>
      <c r="K1856" s="4711"/>
      <c r="L1856" s="4711"/>
      <c r="M1856" s="4717"/>
      <c r="N1856"/>
    </row>
    <row r="1857" spans="2:14" s="1391" customFormat="1" ht="15" x14ac:dyDescent="0.2">
      <c r="B1857" s="2023"/>
      <c r="C1857" s="2024"/>
      <c r="D1857" s="2024">
        <v>1</v>
      </c>
      <c r="E1857" s="2024">
        <v>2</v>
      </c>
      <c r="F1857" s="2024">
        <v>3</v>
      </c>
      <c r="G1857" s="2024">
        <v>4</v>
      </c>
      <c r="H1857" s="2024">
        <v>5</v>
      </c>
      <c r="I1857" s="2024">
        <v>6</v>
      </c>
      <c r="J1857" s="2024">
        <v>7</v>
      </c>
      <c r="K1857" s="2024">
        <v>8</v>
      </c>
      <c r="L1857" s="2024">
        <v>9</v>
      </c>
      <c r="M1857" s="2025"/>
      <c r="N1857"/>
    </row>
    <row r="1858" spans="2:14" s="1391" customFormat="1" ht="15" x14ac:dyDescent="0.2">
      <c r="B1858" s="2026">
        <v>9</v>
      </c>
      <c r="C1858" s="2027">
        <v>4.9509999999999996</v>
      </c>
      <c r="D1858" s="2027">
        <v>251</v>
      </c>
      <c r="E1858" s="2027">
        <v>273</v>
      </c>
      <c r="F1858" s="2027">
        <v>295</v>
      </c>
      <c r="G1858" s="2027">
        <v>317</v>
      </c>
      <c r="H1858" s="2027">
        <v>339</v>
      </c>
      <c r="I1858" s="2027">
        <v>361</v>
      </c>
      <c r="J1858" s="2027">
        <v>383</v>
      </c>
      <c r="K1858" s="2027">
        <v>405</v>
      </c>
      <c r="L1858" s="2027">
        <v>426</v>
      </c>
      <c r="M1858" s="2028">
        <v>9</v>
      </c>
      <c r="N1858"/>
    </row>
    <row r="1859" spans="2:14" s="1391" customFormat="1" ht="15" x14ac:dyDescent="0.2">
      <c r="B1859" s="2026">
        <v>10</v>
      </c>
      <c r="C1859" s="2027">
        <v>5.2930000000000001</v>
      </c>
      <c r="D1859" s="2027">
        <v>283</v>
      </c>
      <c r="E1859" s="2027">
        <v>307</v>
      </c>
      <c r="F1859" s="2027">
        <v>332</v>
      </c>
      <c r="G1859" s="2027">
        <v>356</v>
      </c>
      <c r="H1859" s="2027">
        <v>381</v>
      </c>
      <c r="I1859" s="2027">
        <v>406</v>
      </c>
      <c r="J1859" s="2027">
        <v>430</v>
      </c>
      <c r="K1859" s="2027">
        <v>454</v>
      </c>
      <c r="L1859" s="2027">
        <v>479</v>
      </c>
      <c r="M1859" s="2028">
        <v>10</v>
      </c>
      <c r="N1859"/>
    </row>
    <row r="1860" spans="2:14" s="1391" customFormat="1" ht="15" x14ac:dyDescent="0.2">
      <c r="B1860" s="2026">
        <v>11</v>
      </c>
      <c r="C1860" s="2027">
        <v>5.6970000000000001</v>
      </c>
      <c r="D1860" s="2027">
        <v>320</v>
      </c>
      <c r="E1860" s="2027">
        <v>347</v>
      </c>
      <c r="F1860" s="2027">
        <v>375</v>
      </c>
      <c r="G1860" s="2027">
        <v>403</v>
      </c>
      <c r="H1860" s="2027">
        <v>431</v>
      </c>
      <c r="I1860" s="2027">
        <v>458</v>
      </c>
      <c r="J1860" s="2027">
        <v>486</v>
      </c>
      <c r="K1860" s="2027">
        <v>514</v>
      </c>
      <c r="L1860" s="2027">
        <v>542</v>
      </c>
      <c r="M1860" s="2028">
        <v>11</v>
      </c>
      <c r="N1860"/>
    </row>
    <row r="1861" spans="2:14" s="1391" customFormat="1" ht="15" x14ac:dyDescent="0.2">
      <c r="B1861" s="2026">
        <v>12</v>
      </c>
      <c r="C1861" s="2027">
        <v>6.1429999999999998</v>
      </c>
      <c r="D1861" s="2027">
        <v>360</v>
      </c>
      <c r="E1861" s="2027">
        <v>391</v>
      </c>
      <c r="F1861" s="2027">
        <v>422</v>
      </c>
      <c r="G1861" s="2027">
        <v>454</v>
      </c>
      <c r="H1861" s="2027">
        <v>485</v>
      </c>
      <c r="I1861" s="2027">
        <v>516</v>
      </c>
      <c r="J1861" s="2027">
        <v>548</v>
      </c>
      <c r="K1861" s="2027">
        <v>579</v>
      </c>
      <c r="L1861" s="2027">
        <v>610</v>
      </c>
      <c r="M1861" s="2028">
        <v>12</v>
      </c>
      <c r="N1861"/>
    </row>
    <row r="1862" spans="2:14" s="1391" customFormat="1" ht="15" x14ac:dyDescent="0.2">
      <c r="B1862" s="2026">
        <v>13</v>
      </c>
      <c r="C1862" s="2027">
        <v>6.6239999999999997</v>
      </c>
      <c r="D1862" s="2027">
        <v>403</v>
      </c>
      <c r="E1862" s="2027">
        <v>439</v>
      </c>
      <c r="F1862" s="2027">
        <v>474</v>
      </c>
      <c r="G1862" s="2027">
        <v>509</v>
      </c>
      <c r="H1862" s="2027">
        <v>544</v>
      </c>
      <c r="I1862" s="2027">
        <v>579</v>
      </c>
      <c r="J1862" s="2027">
        <v>614</v>
      </c>
      <c r="K1862" s="2027">
        <v>649</v>
      </c>
      <c r="L1862" s="2027">
        <v>684</v>
      </c>
      <c r="M1862" s="2028">
        <v>13</v>
      </c>
      <c r="N1862"/>
    </row>
    <row r="1863" spans="2:14" s="1391" customFormat="1" ht="15" x14ac:dyDescent="0.2">
      <c r="B1863" s="2026">
        <v>14</v>
      </c>
      <c r="C1863" s="2027">
        <v>7.1669999999999998</v>
      </c>
      <c r="D1863" s="2027">
        <v>442</v>
      </c>
      <c r="E1863" s="2027">
        <v>491</v>
      </c>
      <c r="F1863" s="2027">
        <v>530</v>
      </c>
      <c r="G1863" s="2027">
        <v>570</v>
      </c>
      <c r="H1863" s="2027">
        <v>609</v>
      </c>
      <c r="I1863" s="2027">
        <v>648</v>
      </c>
      <c r="J1863" s="2027">
        <v>688</v>
      </c>
      <c r="K1863" s="2027">
        <v>727</v>
      </c>
      <c r="L1863" s="2027">
        <v>766</v>
      </c>
      <c r="M1863" s="2028">
        <v>14</v>
      </c>
      <c r="N1863"/>
    </row>
    <row r="1864" spans="2:14" s="1391" customFormat="1" ht="15" x14ac:dyDescent="0.2">
      <c r="B1864" s="2026">
        <v>15</v>
      </c>
      <c r="C1864" s="2027">
        <v>7.7629999999999999</v>
      </c>
      <c r="D1864" s="2027">
        <v>505</v>
      </c>
      <c r="E1864" s="2027">
        <v>549</v>
      </c>
      <c r="F1864" s="2027">
        <v>593</v>
      </c>
      <c r="G1864" s="2027">
        <v>637</v>
      </c>
      <c r="H1864" s="2027">
        <v>681</v>
      </c>
      <c r="I1864" s="2027">
        <v>725</v>
      </c>
      <c r="J1864" s="2027">
        <v>768</v>
      </c>
      <c r="K1864" s="2027">
        <v>812</v>
      </c>
      <c r="L1864" s="2027">
        <v>856</v>
      </c>
      <c r="M1864" s="2028">
        <v>15</v>
      </c>
      <c r="N1864"/>
    </row>
    <row r="1865" spans="2:14" s="1391" customFormat="1" ht="15" x14ac:dyDescent="0.2">
      <c r="B1865" s="2026">
        <v>16</v>
      </c>
      <c r="C1865" s="2027">
        <v>8.3889999999999993</v>
      </c>
      <c r="D1865" s="2027">
        <v>561</v>
      </c>
      <c r="E1865" s="2027">
        <v>610</v>
      </c>
      <c r="F1865" s="2027">
        <v>658</v>
      </c>
      <c r="G1865" s="2027">
        <v>707</v>
      </c>
      <c r="H1865" s="2027">
        <v>756</v>
      </c>
      <c r="I1865" s="2027">
        <v>805</v>
      </c>
      <c r="J1865" s="2027">
        <v>853</v>
      </c>
      <c r="K1865" s="2027">
        <v>902</v>
      </c>
      <c r="L1865" s="2027">
        <v>951</v>
      </c>
      <c r="M1865" s="2028">
        <v>16</v>
      </c>
      <c r="N1865"/>
    </row>
    <row r="1866" spans="2:14" s="1391" customFormat="1" ht="15" x14ac:dyDescent="0.2">
      <c r="B1866" s="4716" t="s">
        <v>1054</v>
      </c>
      <c r="C1866" s="4711"/>
      <c r="D1866" s="4711"/>
      <c r="E1866" s="4711"/>
      <c r="F1866" s="4711"/>
      <c r="G1866" s="4711"/>
      <c r="H1866" s="4711"/>
      <c r="I1866" s="4711"/>
      <c r="J1866" s="4711"/>
      <c r="K1866" s="4711"/>
      <c r="L1866" s="4711"/>
      <c r="M1866" s="4717"/>
      <c r="N1866"/>
    </row>
    <row r="1867" spans="2:14" s="1391" customFormat="1" ht="15" x14ac:dyDescent="0.2">
      <c r="B1867" s="2023"/>
      <c r="C1867" s="2024"/>
      <c r="D1867" s="2024">
        <v>1</v>
      </c>
      <c r="E1867" s="2024">
        <v>2</v>
      </c>
      <c r="F1867" s="2024">
        <v>3</v>
      </c>
      <c r="G1867" s="2024">
        <v>4</v>
      </c>
      <c r="H1867" s="2024">
        <v>5</v>
      </c>
      <c r="I1867" s="2024">
        <v>6</v>
      </c>
      <c r="J1867" s="2024">
        <v>7</v>
      </c>
      <c r="K1867" s="2024">
        <v>8</v>
      </c>
      <c r="L1867" s="2024">
        <v>9</v>
      </c>
      <c r="M1867" s="2025"/>
      <c r="N1867"/>
    </row>
    <row r="1868" spans="2:14" s="1391" customFormat="1" ht="15" x14ac:dyDescent="0.2">
      <c r="B1868" s="2026">
        <v>9</v>
      </c>
      <c r="C1868" s="2027">
        <v>4.9509999999999996</v>
      </c>
      <c r="D1868" s="2027">
        <v>265</v>
      </c>
      <c r="E1868" s="2027">
        <v>288</v>
      </c>
      <c r="F1868" s="2027">
        <v>311</v>
      </c>
      <c r="G1868" s="2027">
        <v>334</v>
      </c>
      <c r="H1868" s="2027">
        <v>357</v>
      </c>
      <c r="I1868" s="2027">
        <v>381</v>
      </c>
      <c r="J1868" s="2027">
        <v>404</v>
      </c>
      <c r="K1868" s="2027">
        <v>427</v>
      </c>
      <c r="L1868" s="2027">
        <v>450</v>
      </c>
      <c r="M1868" s="2028">
        <v>17</v>
      </c>
      <c r="N1868"/>
    </row>
    <row r="1869" spans="2:14" s="1391" customFormat="1" ht="15" x14ac:dyDescent="0.2">
      <c r="B1869" s="2026">
        <v>10</v>
      </c>
      <c r="C1869" s="2027">
        <v>5.2930000000000001</v>
      </c>
      <c r="D1869" s="2027">
        <v>299</v>
      </c>
      <c r="E1869" s="2027">
        <v>325</v>
      </c>
      <c r="F1869" s="2027">
        <v>351</v>
      </c>
      <c r="G1869" s="2027">
        <v>377</v>
      </c>
      <c r="H1869" s="2027">
        <v>403</v>
      </c>
      <c r="I1869" s="2027">
        <v>429</v>
      </c>
      <c r="J1869" s="2027">
        <v>455</v>
      </c>
      <c r="K1869" s="2027">
        <v>481</v>
      </c>
      <c r="L1869" s="2027">
        <v>507</v>
      </c>
      <c r="M1869" s="2028">
        <v>18</v>
      </c>
      <c r="N1869"/>
    </row>
    <row r="1870" spans="2:14" s="1391" customFormat="1" ht="15" x14ac:dyDescent="0.2">
      <c r="B1870" s="2026">
        <v>11</v>
      </c>
      <c r="C1870" s="2027">
        <v>5.6970000000000001</v>
      </c>
      <c r="D1870" s="2027">
        <v>339</v>
      </c>
      <c r="E1870" s="2027">
        <v>369</v>
      </c>
      <c r="F1870" s="2027">
        <v>398</v>
      </c>
      <c r="G1870" s="2027">
        <v>428</v>
      </c>
      <c r="H1870" s="2027">
        <v>457</v>
      </c>
      <c r="I1870" s="2027">
        <v>487</v>
      </c>
      <c r="J1870" s="2027">
        <v>516</v>
      </c>
      <c r="K1870" s="2027">
        <v>546</v>
      </c>
      <c r="L1870" s="2027">
        <v>575</v>
      </c>
      <c r="M1870" s="2028">
        <v>19</v>
      </c>
      <c r="N1870"/>
    </row>
    <row r="1871" spans="2:14" s="1391" customFormat="1" ht="15" x14ac:dyDescent="0.2">
      <c r="B1871" s="2026">
        <v>12</v>
      </c>
      <c r="C1871" s="2027">
        <v>6.1429999999999998</v>
      </c>
      <c r="D1871" s="2027">
        <v>384</v>
      </c>
      <c r="E1871" s="2027">
        <v>417</v>
      </c>
      <c r="F1871" s="2027">
        <v>451</v>
      </c>
      <c r="G1871" s="2027">
        <v>484</v>
      </c>
      <c r="H1871" s="2027">
        <v>517</v>
      </c>
      <c r="I1871" s="2027">
        <v>551</v>
      </c>
      <c r="J1871" s="2027">
        <v>584</v>
      </c>
      <c r="K1871" s="2027">
        <v>618</v>
      </c>
      <c r="L1871" s="2027">
        <v>651</v>
      </c>
      <c r="M1871" s="2028">
        <v>20</v>
      </c>
      <c r="N1871"/>
    </row>
    <row r="1872" spans="2:14" s="1391" customFormat="1" ht="15" x14ac:dyDescent="0.2">
      <c r="B1872" s="2026">
        <v>13</v>
      </c>
      <c r="C1872" s="2027">
        <v>6.6239999999999997</v>
      </c>
      <c r="D1872" s="2027">
        <v>432</v>
      </c>
      <c r="E1872" s="2027">
        <v>470</v>
      </c>
      <c r="F1872" s="2027">
        <v>507</v>
      </c>
      <c r="G1872" s="2027">
        <v>545</v>
      </c>
      <c r="H1872" s="2027">
        <v>582</v>
      </c>
      <c r="I1872" s="2027">
        <v>620</v>
      </c>
      <c r="J1872" s="2027">
        <v>658</v>
      </c>
      <c r="K1872" s="2027">
        <v>695</v>
      </c>
      <c r="L1872" s="2027">
        <v>733</v>
      </c>
      <c r="M1872" s="2028">
        <v>21</v>
      </c>
      <c r="N1872"/>
    </row>
    <row r="1873" spans="2:14" s="1391" customFormat="1" ht="15" x14ac:dyDescent="0.2">
      <c r="B1873" s="2026">
        <v>14</v>
      </c>
      <c r="C1873" s="2027">
        <v>7.1669999999999998</v>
      </c>
      <c r="D1873" s="2027">
        <v>486</v>
      </c>
      <c r="E1873" s="2027">
        <v>529</v>
      </c>
      <c r="F1873" s="2027">
        <v>571</v>
      </c>
      <c r="G1873" s="2027">
        <v>613</v>
      </c>
      <c r="H1873" s="2027">
        <v>656</v>
      </c>
      <c r="I1873" s="2027">
        <v>698</v>
      </c>
      <c r="J1873" s="2027">
        <v>740</v>
      </c>
      <c r="K1873" s="2027">
        <v>783</v>
      </c>
      <c r="L1873" s="2027">
        <v>825</v>
      </c>
      <c r="M1873" s="2028">
        <v>22</v>
      </c>
      <c r="N1873"/>
    </row>
    <row r="1874" spans="2:14" s="1391" customFormat="1" ht="15" x14ac:dyDescent="0.2">
      <c r="B1874" s="2026">
        <v>15</v>
      </c>
      <c r="C1874" s="2027">
        <v>7.7629999999999999</v>
      </c>
      <c r="D1874" s="2027">
        <v>547</v>
      </c>
      <c r="E1874" s="2027">
        <v>595</v>
      </c>
      <c r="F1874" s="2027">
        <v>642</v>
      </c>
      <c r="G1874" s="2027">
        <v>690</v>
      </c>
      <c r="H1874" s="2027">
        <v>737</v>
      </c>
      <c r="I1874" s="2027">
        <v>785</v>
      </c>
      <c r="J1874" s="2027">
        <v>833</v>
      </c>
      <c r="K1874" s="2027">
        <v>880</v>
      </c>
      <c r="L1874" s="2027">
        <v>928</v>
      </c>
      <c r="M1874" s="2028">
        <v>23</v>
      </c>
      <c r="N1874"/>
    </row>
    <row r="1875" spans="2:14" s="1391" customFormat="1" ht="15" x14ac:dyDescent="0.2">
      <c r="B1875" s="2026">
        <v>16</v>
      </c>
      <c r="C1875" s="2027">
        <v>8.3889999999999993</v>
      </c>
      <c r="D1875" s="2027">
        <v>611</v>
      </c>
      <c r="E1875" s="2027">
        <v>664</v>
      </c>
      <c r="F1875" s="2027">
        <v>717</v>
      </c>
      <c r="G1875" s="2027">
        <v>770</v>
      </c>
      <c r="H1875" s="2027">
        <v>824</v>
      </c>
      <c r="I1875" s="2027">
        <v>877</v>
      </c>
      <c r="J1875" s="2027">
        <v>930</v>
      </c>
      <c r="K1875" s="2027">
        <v>983</v>
      </c>
      <c r="L1875" s="2027">
        <v>1036</v>
      </c>
      <c r="M1875" s="2028">
        <v>24</v>
      </c>
      <c r="N1875"/>
    </row>
    <row r="1876" spans="2:14" s="1391" customFormat="1" ht="15" x14ac:dyDescent="0.2">
      <c r="B1876" s="4716" t="s">
        <v>1055</v>
      </c>
      <c r="C1876" s="4711"/>
      <c r="D1876" s="4711"/>
      <c r="E1876" s="4711"/>
      <c r="F1876" s="4711"/>
      <c r="G1876" s="4711"/>
      <c r="H1876" s="4711"/>
      <c r="I1876" s="4711"/>
      <c r="J1876" s="4711"/>
      <c r="K1876" s="4711"/>
      <c r="L1876" s="4711"/>
      <c r="M1876" s="4717"/>
      <c r="N1876"/>
    </row>
    <row r="1877" spans="2:14" s="1391" customFormat="1" ht="15" x14ac:dyDescent="0.2">
      <c r="B1877" s="2023"/>
      <c r="C1877" s="2024"/>
      <c r="D1877" s="2024">
        <v>1</v>
      </c>
      <c r="E1877" s="2024">
        <v>2</v>
      </c>
      <c r="F1877" s="2024">
        <v>3</v>
      </c>
      <c r="G1877" s="2024">
        <v>4</v>
      </c>
      <c r="H1877" s="2024">
        <v>5</v>
      </c>
      <c r="I1877" s="2024">
        <v>6</v>
      </c>
      <c r="J1877" s="2024">
        <v>7</v>
      </c>
      <c r="K1877" s="2024">
        <v>8</v>
      </c>
      <c r="L1877" s="2024">
        <v>9</v>
      </c>
      <c r="M1877" s="2025"/>
      <c r="N1877"/>
    </row>
    <row r="1878" spans="2:14" s="1391" customFormat="1" ht="15" x14ac:dyDescent="0.2">
      <c r="B1878" s="2026">
        <v>9</v>
      </c>
      <c r="C1878" s="2027">
        <v>4.9509999999999996</v>
      </c>
      <c r="D1878" s="2027">
        <v>273</v>
      </c>
      <c r="E1878" s="2027">
        <v>297</v>
      </c>
      <c r="F1878" s="2027">
        <v>321</v>
      </c>
      <c r="G1878" s="2027">
        <v>345</v>
      </c>
      <c r="H1878" s="2027">
        <v>368</v>
      </c>
      <c r="I1878" s="2027">
        <v>392</v>
      </c>
      <c r="J1878" s="2027">
        <v>416</v>
      </c>
      <c r="K1878" s="2027">
        <v>440</v>
      </c>
      <c r="L1878" s="2027">
        <v>464</v>
      </c>
      <c r="M1878" s="2028">
        <v>25</v>
      </c>
      <c r="N1878"/>
    </row>
    <row r="1879" spans="2:14" s="1391" customFormat="1" ht="15" x14ac:dyDescent="0.2">
      <c r="B1879" s="2026">
        <v>10</v>
      </c>
      <c r="C1879" s="2027">
        <v>5.2930000000000001</v>
      </c>
      <c r="D1879" s="2027">
        <v>309</v>
      </c>
      <c r="E1879" s="2027">
        <v>336</v>
      </c>
      <c r="F1879" s="2027">
        <v>363</v>
      </c>
      <c r="G1879" s="2027">
        <v>390</v>
      </c>
      <c r="H1879" s="2027">
        <v>416</v>
      </c>
      <c r="I1879" s="2027">
        <v>443</v>
      </c>
      <c r="J1879" s="2027">
        <v>470</v>
      </c>
      <c r="K1879" s="2027">
        <v>497</v>
      </c>
      <c r="L1879" s="2027">
        <v>524</v>
      </c>
      <c r="M1879" s="2028">
        <v>26</v>
      </c>
      <c r="N1879"/>
    </row>
    <row r="1880" spans="2:14" s="1391" customFormat="1" ht="15" x14ac:dyDescent="0.2">
      <c r="B1880" s="2026">
        <v>11</v>
      </c>
      <c r="C1880" s="2027">
        <v>5.6970000000000001</v>
      </c>
      <c r="D1880" s="2027">
        <v>351</v>
      </c>
      <c r="E1880" s="2027">
        <v>382</v>
      </c>
      <c r="F1880" s="2027">
        <v>412</v>
      </c>
      <c r="G1880" s="2027">
        <v>443</v>
      </c>
      <c r="H1880" s="2027">
        <v>474</v>
      </c>
      <c r="I1880" s="2027">
        <v>504</v>
      </c>
      <c r="J1880" s="2027">
        <v>535</v>
      </c>
      <c r="K1880" s="2027">
        <v>565</v>
      </c>
      <c r="L1880" s="2027">
        <v>596</v>
      </c>
      <c r="M1880" s="2028">
        <v>27</v>
      </c>
      <c r="N1880"/>
    </row>
    <row r="1881" spans="2:14" s="1391" customFormat="1" ht="15" x14ac:dyDescent="0.2">
      <c r="B1881" s="2026">
        <v>12</v>
      </c>
      <c r="C1881" s="2027">
        <v>6.1429999999999998</v>
      </c>
      <c r="D1881" s="2027">
        <v>398</v>
      </c>
      <c r="E1881" s="2027">
        <v>433</v>
      </c>
      <c r="F1881" s="2027">
        <v>468</v>
      </c>
      <c r="G1881" s="2027">
        <v>502</v>
      </c>
      <c r="H1881" s="2027">
        <v>537</v>
      </c>
      <c r="I1881" s="2027">
        <v>572</v>
      </c>
      <c r="J1881" s="2027">
        <v>606</v>
      </c>
      <c r="K1881" s="2027">
        <v>641</v>
      </c>
      <c r="L1881" s="2027">
        <v>676</v>
      </c>
      <c r="M1881" s="2028">
        <v>28</v>
      </c>
      <c r="N1881"/>
    </row>
    <row r="1882" spans="2:14" s="1391" customFormat="1" ht="15" x14ac:dyDescent="0.2">
      <c r="B1882" s="2026">
        <v>13</v>
      </c>
      <c r="C1882" s="2027">
        <v>6.6239999999999997</v>
      </c>
      <c r="D1882" s="2027">
        <v>450</v>
      </c>
      <c r="E1882" s="2027">
        <v>489</v>
      </c>
      <c r="F1882" s="2027">
        <v>528</v>
      </c>
      <c r="G1882" s="2027">
        <v>567</v>
      </c>
      <c r="H1882" s="2027">
        <v>606</v>
      </c>
      <c r="I1882" s="2027">
        <v>646</v>
      </c>
      <c r="J1882" s="2027">
        <v>685</v>
      </c>
      <c r="K1882" s="2027">
        <v>723</v>
      </c>
      <c r="L1882" s="2027">
        <v>763</v>
      </c>
      <c r="M1882" s="2028">
        <v>29</v>
      </c>
      <c r="N1882"/>
    </row>
    <row r="1883" spans="2:14" s="1391" customFormat="1" ht="15" x14ac:dyDescent="0.2">
      <c r="B1883" s="2026">
        <v>14</v>
      </c>
      <c r="C1883" s="2027">
        <v>7.1669999999999998</v>
      </c>
      <c r="D1883" s="2027">
        <v>509</v>
      </c>
      <c r="E1883" s="2027">
        <v>553</v>
      </c>
      <c r="F1883" s="2027">
        <v>597</v>
      </c>
      <c r="G1883" s="2027">
        <v>641</v>
      </c>
      <c r="H1883" s="2027">
        <v>685</v>
      </c>
      <c r="I1883" s="2027">
        <v>730</v>
      </c>
      <c r="J1883" s="2027">
        <v>774</v>
      </c>
      <c r="K1883" s="2027">
        <v>818</v>
      </c>
      <c r="L1883" s="2027">
        <v>862</v>
      </c>
      <c r="M1883" s="2028">
        <v>30</v>
      </c>
      <c r="N1883"/>
    </row>
    <row r="1884" spans="2:14" s="1391" customFormat="1" ht="15" x14ac:dyDescent="0.2">
      <c r="B1884" s="2026">
        <v>15</v>
      </c>
      <c r="C1884" s="2027">
        <v>7.7629999999999999</v>
      </c>
      <c r="D1884" s="2027">
        <v>574</v>
      </c>
      <c r="E1884" s="2027">
        <v>624</v>
      </c>
      <c r="F1884" s="2027">
        <v>673</v>
      </c>
      <c r="G1884" s="2027">
        <v>723</v>
      </c>
      <c r="H1884" s="2027">
        <v>773</v>
      </c>
      <c r="I1884" s="2027">
        <v>823</v>
      </c>
      <c r="J1884" s="2027">
        <v>873</v>
      </c>
      <c r="K1884" s="2027">
        <v>923</v>
      </c>
      <c r="L1884" s="2027">
        <v>973</v>
      </c>
      <c r="M1884" s="2028">
        <v>31</v>
      </c>
      <c r="N1884"/>
    </row>
    <row r="1885" spans="2:14" s="1391" customFormat="1" ht="15" x14ac:dyDescent="0.2">
      <c r="B1885" s="2026">
        <v>16</v>
      </c>
      <c r="C1885" s="2027">
        <v>8.3889999999999993</v>
      </c>
      <c r="D1885" s="2027">
        <v>643</v>
      </c>
      <c r="E1885" s="2027">
        <v>699</v>
      </c>
      <c r="F1885" s="2027">
        <v>755</v>
      </c>
      <c r="G1885" s="2027">
        <v>811</v>
      </c>
      <c r="H1885" s="2027">
        <v>866</v>
      </c>
      <c r="I1885" s="2027">
        <v>922</v>
      </c>
      <c r="J1885" s="2027">
        <v>978</v>
      </c>
      <c r="K1885" s="2027">
        <v>1034</v>
      </c>
      <c r="L1885" s="2027">
        <v>1090</v>
      </c>
      <c r="M1885" s="2028">
        <v>32</v>
      </c>
      <c r="N1885"/>
    </row>
    <row r="1886" spans="2:14" s="1391" customFormat="1" ht="15" x14ac:dyDescent="0.2">
      <c r="B1886" s="4698" t="s">
        <v>1906</v>
      </c>
      <c r="C1886" s="4699"/>
      <c r="D1886" s="4699"/>
      <c r="E1886" s="4699"/>
      <c r="F1886" s="4699"/>
      <c r="G1886" s="4699"/>
      <c r="H1886" s="4699"/>
      <c r="I1886" s="4699"/>
      <c r="J1886" s="4699"/>
      <c r="K1886" s="4699"/>
      <c r="L1886" s="4699"/>
      <c r="M1886" s="4700"/>
      <c r="N1886"/>
    </row>
    <row r="1887" spans="2:14" s="1391" customFormat="1" ht="15" x14ac:dyDescent="0.2">
      <c r="B1887" s="4716" t="s">
        <v>1052</v>
      </c>
      <c r="C1887" s="4711"/>
      <c r="D1887" s="4711"/>
      <c r="E1887" s="4711"/>
      <c r="F1887" s="4711"/>
      <c r="G1887" s="4711"/>
      <c r="H1887" s="4711"/>
      <c r="I1887" s="4711"/>
      <c r="J1887" s="4711"/>
      <c r="K1887" s="4711"/>
      <c r="L1887" s="4711"/>
      <c r="M1887" s="4717"/>
      <c r="N1887"/>
    </row>
    <row r="1888" spans="2:14" s="1391" customFormat="1" ht="15" x14ac:dyDescent="0.2">
      <c r="B1888" s="2023"/>
      <c r="C1888" s="2024"/>
      <c r="D1888" s="2024">
        <v>1</v>
      </c>
      <c r="E1888" s="2024">
        <v>2</v>
      </c>
      <c r="F1888" s="2024">
        <v>3</v>
      </c>
      <c r="G1888" s="2024">
        <v>4</v>
      </c>
      <c r="H1888" s="2024">
        <v>5</v>
      </c>
      <c r="I1888" s="2024">
        <v>6</v>
      </c>
      <c r="J1888" s="2024">
        <v>7</v>
      </c>
      <c r="K1888" s="2024">
        <v>8</v>
      </c>
      <c r="L1888" s="2024">
        <v>9</v>
      </c>
      <c r="M1888" s="2025"/>
      <c r="N1888"/>
    </row>
    <row r="1889" spans="2:14" s="1391" customFormat="1" ht="15" x14ac:dyDescent="0.2">
      <c r="B1889" s="2026">
        <v>9</v>
      </c>
      <c r="C1889" s="2027">
        <v>4.9509999999999996</v>
      </c>
      <c r="D1889" s="2027">
        <v>211</v>
      </c>
      <c r="E1889" s="2027">
        <v>228</v>
      </c>
      <c r="F1889" s="2027">
        <v>245</v>
      </c>
      <c r="G1889" s="2027">
        <v>261</v>
      </c>
      <c r="H1889" s="2027">
        <v>278</v>
      </c>
      <c r="I1889" s="2027">
        <v>294</v>
      </c>
      <c r="J1889" s="2027">
        <v>310</v>
      </c>
      <c r="K1889" s="2027">
        <v>326</v>
      </c>
      <c r="L1889" s="2027">
        <v>342</v>
      </c>
      <c r="M1889" s="2028">
        <v>33</v>
      </c>
      <c r="N1889"/>
    </row>
    <row r="1890" spans="2:14" s="1391" customFormat="1" ht="15" x14ac:dyDescent="0.2">
      <c r="B1890" s="2026">
        <v>10</v>
      </c>
      <c r="C1890" s="2027">
        <v>5.2930000000000001</v>
      </c>
      <c r="D1890" s="2027">
        <v>233</v>
      </c>
      <c r="E1890" s="2027">
        <v>252</v>
      </c>
      <c r="F1890" s="2027">
        <v>271</v>
      </c>
      <c r="G1890" s="2027">
        <v>289</v>
      </c>
      <c r="H1890" s="2027">
        <v>307</v>
      </c>
      <c r="I1890" s="2027">
        <v>326</v>
      </c>
      <c r="J1890" s="2027">
        <v>343</v>
      </c>
      <c r="K1890" s="2027">
        <v>361</v>
      </c>
      <c r="L1890" s="2027">
        <v>378</v>
      </c>
      <c r="M1890" s="2028">
        <v>34</v>
      </c>
      <c r="N1890"/>
    </row>
    <row r="1891" spans="2:14" s="1391" customFormat="1" ht="15" x14ac:dyDescent="0.2">
      <c r="B1891" s="2026">
        <v>11</v>
      </c>
      <c r="C1891" s="2027">
        <v>5.6970000000000001</v>
      </c>
      <c r="D1891" s="2027">
        <v>260</v>
      </c>
      <c r="E1891" s="2027">
        <v>280</v>
      </c>
      <c r="F1891" s="2027">
        <v>301</v>
      </c>
      <c r="G1891" s="2027">
        <v>321</v>
      </c>
      <c r="H1891" s="2027">
        <v>341</v>
      </c>
      <c r="I1891" s="2027">
        <v>361</v>
      </c>
      <c r="J1891" s="2027">
        <v>380</v>
      </c>
      <c r="K1891" s="2027">
        <v>399</v>
      </c>
      <c r="L1891" s="2027">
        <v>418</v>
      </c>
      <c r="M1891" s="2028">
        <v>35</v>
      </c>
      <c r="N1891"/>
    </row>
    <row r="1892" spans="2:14" s="1391" customFormat="1" ht="15" x14ac:dyDescent="0.2">
      <c r="B1892" s="2026">
        <v>12</v>
      </c>
      <c r="C1892" s="2027">
        <v>6.1429999999999998</v>
      </c>
      <c r="D1892" s="2027">
        <v>288</v>
      </c>
      <c r="E1892" s="2027">
        <v>310</v>
      </c>
      <c r="F1892" s="2027">
        <v>333</v>
      </c>
      <c r="G1892" s="2027">
        <v>355</v>
      </c>
      <c r="H1892" s="2027">
        <v>376</v>
      </c>
      <c r="I1892" s="2027">
        <v>398</v>
      </c>
      <c r="J1892" s="2027">
        <v>419</v>
      </c>
      <c r="K1892" s="2027">
        <v>440</v>
      </c>
      <c r="L1892" s="2027">
        <v>460</v>
      </c>
      <c r="M1892" s="2028">
        <v>36</v>
      </c>
      <c r="N1892"/>
    </row>
    <row r="1893" spans="2:14" s="1391" customFormat="1" ht="15" x14ac:dyDescent="0.2">
      <c r="B1893" s="2026">
        <v>13</v>
      </c>
      <c r="C1893" s="2027">
        <v>6.6239999999999997</v>
      </c>
      <c r="D1893" s="2027">
        <v>317</v>
      </c>
      <c r="E1893" s="2027">
        <v>341</v>
      </c>
      <c r="F1893" s="2027">
        <v>366</v>
      </c>
      <c r="G1893" s="2027">
        <v>390</v>
      </c>
      <c r="H1893" s="2027">
        <v>413</v>
      </c>
      <c r="I1893" s="2027">
        <v>437</v>
      </c>
      <c r="J1893" s="2027">
        <v>459</v>
      </c>
      <c r="K1893" s="2027">
        <v>482</v>
      </c>
      <c r="L1893" s="2027">
        <v>504</v>
      </c>
      <c r="M1893" s="2028">
        <v>37</v>
      </c>
      <c r="N1893"/>
    </row>
    <row r="1894" spans="2:14" s="1391" customFormat="1" ht="15" x14ac:dyDescent="0.2">
      <c r="B1894" s="2026">
        <v>14</v>
      </c>
      <c r="C1894" s="2027">
        <v>7.1669999999999998</v>
      </c>
      <c r="D1894" s="2027">
        <v>348</v>
      </c>
      <c r="E1894" s="2027">
        <v>374</v>
      </c>
      <c r="F1894" s="2027">
        <v>401</v>
      </c>
      <c r="G1894" s="2027">
        <v>427</v>
      </c>
      <c r="H1894" s="2027">
        <v>452</v>
      </c>
      <c r="I1894" s="2027">
        <v>478</v>
      </c>
      <c r="J1894" s="2027">
        <v>503</v>
      </c>
      <c r="K1894" s="2027">
        <v>527</v>
      </c>
      <c r="L1894" s="2027">
        <v>550</v>
      </c>
      <c r="M1894" s="2028">
        <v>38</v>
      </c>
      <c r="N1894"/>
    </row>
    <row r="1895" spans="2:14" s="1391" customFormat="1" ht="15" x14ac:dyDescent="0.2">
      <c r="B1895" s="2026">
        <v>15</v>
      </c>
      <c r="C1895" s="2027">
        <v>7.7629999999999999</v>
      </c>
      <c r="D1895" s="2027">
        <v>381</v>
      </c>
      <c r="E1895" s="2027">
        <v>410</v>
      </c>
      <c r="F1895" s="2027">
        <v>438</v>
      </c>
      <c r="G1895" s="2027">
        <v>466</v>
      </c>
      <c r="H1895" s="2027">
        <v>493</v>
      </c>
      <c r="I1895" s="2027">
        <v>521</v>
      </c>
      <c r="J1895" s="2027">
        <v>547</v>
      </c>
      <c r="K1895" s="2027">
        <v>573</v>
      </c>
      <c r="L1895" s="2027">
        <v>598</v>
      </c>
      <c r="M1895" s="2028">
        <v>39</v>
      </c>
      <c r="N1895"/>
    </row>
    <row r="1896" spans="2:14" s="1391" customFormat="1" ht="15" x14ac:dyDescent="0.2">
      <c r="B1896" s="2026">
        <v>16</v>
      </c>
      <c r="C1896" s="2027">
        <v>8.3889999999999993</v>
      </c>
      <c r="D1896" s="2027">
        <v>413</v>
      </c>
      <c r="E1896" s="2027">
        <v>444</v>
      </c>
      <c r="F1896" s="2027">
        <v>474</v>
      </c>
      <c r="G1896" s="2027">
        <v>505</v>
      </c>
      <c r="H1896" s="2027">
        <v>534</v>
      </c>
      <c r="I1896" s="2027">
        <v>563</v>
      </c>
      <c r="J1896" s="2027">
        <v>592</v>
      </c>
      <c r="K1896" s="2027">
        <v>619</v>
      </c>
      <c r="L1896" s="2027">
        <v>646</v>
      </c>
      <c r="M1896" s="2028">
        <v>40</v>
      </c>
      <c r="N1896"/>
    </row>
    <row r="1897" spans="2:14" s="1391" customFormat="1" ht="15" x14ac:dyDescent="0.2">
      <c r="B1897" s="4716" t="s">
        <v>1053</v>
      </c>
      <c r="C1897" s="4711"/>
      <c r="D1897" s="4711"/>
      <c r="E1897" s="4711"/>
      <c r="F1897" s="4711"/>
      <c r="G1897" s="4711"/>
      <c r="H1897" s="4711"/>
      <c r="I1897" s="4711"/>
      <c r="J1897" s="4711"/>
      <c r="K1897" s="4711"/>
      <c r="L1897" s="4711"/>
      <c r="M1897" s="4717"/>
      <c r="N1897"/>
    </row>
    <row r="1898" spans="2:14" s="1391" customFormat="1" ht="15" x14ac:dyDescent="0.2">
      <c r="B1898" s="2023"/>
      <c r="C1898" s="2024"/>
      <c r="D1898" s="2024">
        <v>1</v>
      </c>
      <c r="E1898" s="2024">
        <v>2</v>
      </c>
      <c r="F1898" s="2024">
        <v>3</v>
      </c>
      <c r="G1898" s="2024">
        <v>4</v>
      </c>
      <c r="H1898" s="2024">
        <v>5</v>
      </c>
      <c r="I1898" s="2024">
        <v>6</v>
      </c>
      <c r="J1898" s="2024">
        <v>7</v>
      </c>
      <c r="K1898" s="2024">
        <v>8</v>
      </c>
      <c r="L1898" s="2024">
        <v>9</v>
      </c>
      <c r="M1898" s="2025"/>
      <c r="N1898"/>
    </row>
    <row r="1899" spans="2:14" s="1391" customFormat="1" ht="15" x14ac:dyDescent="0.2">
      <c r="B1899" s="2026">
        <v>9</v>
      </c>
      <c r="C1899" s="2027">
        <v>4.9509999999999996</v>
      </c>
      <c r="D1899" s="2027">
        <v>234</v>
      </c>
      <c r="E1899" s="2027">
        <v>253</v>
      </c>
      <c r="F1899" s="2027">
        <v>271</v>
      </c>
      <c r="G1899" s="2027">
        <v>290</v>
      </c>
      <c r="H1899" s="2027">
        <v>308</v>
      </c>
      <c r="I1899" s="2027">
        <v>326</v>
      </c>
      <c r="J1899" s="2027">
        <v>344</v>
      </c>
      <c r="K1899" s="2027">
        <v>361</v>
      </c>
      <c r="L1899" s="2027">
        <v>379</v>
      </c>
      <c r="M1899" s="2028">
        <v>41</v>
      </c>
      <c r="N1899"/>
    </row>
    <row r="1900" spans="2:14" s="1391" customFormat="1" ht="15" x14ac:dyDescent="0.2">
      <c r="B1900" s="2026">
        <v>10</v>
      </c>
      <c r="C1900" s="2027">
        <v>5.2930000000000001</v>
      </c>
      <c r="D1900" s="2027">
        <v>261</v>
      </c>
      <c r="E1900" s="2027">
        <v>282</v>
      </c>
      <c r="F1900" s="2027">
        <v>302</v>
      </c>
      <c r="G1900" s="2027">
        <v>323</v>
      </c>
      <c r="H1900" s="2027">
        <v>343</v>
      </c>
      <c r="I1900" s="2027">
        <v>362</v>
      </c>
      <c r="J1900" s="2027">
        <v>382</v>
      </c>
      <c r="K1900" s="2027">
        <v>401</v>
      </c>
      <c r="L1900" s="2027">
        <v>420</v>
      </c>
      <c r="M1900" s="2028">
        <v>42</v>
      </c>
      <c r="N1900"/>
    </row>
    <row r="1901" spans="2:14" s="1391" customFormat="1" ht="15" x14ac:dyDescent="0.2">
      <c r="B1901" s="2026">
        <v>11</v>
      </c>
      <c r="C1901" s="2027">
        <v>5.6970000000000001</v>
      </c>
      <c r="D1901" s="2027">
        <v>292</v>
      </c>
      <c r="E1901" s="2027">
        <v>315</v>
      </c>
      <c r="F1901" s="2027">
        <v>338</v>
      </c>
      <c r="G1901" s="2027">
        <v>360</v>
      </c>
      <c r="H1901" s="2027">
        <v>382</v>
      </c>
      <c r="I1901" s="2027">
        <v>404</v>
      </c>
      <c r="J1901" s="2027">
        <v>425</v>
      </c>
      <c r="K1901" s="2027">
        <v>446</v>
      </c>
      <c r="L1901" s="2027">
        <v>467</v>
      </c>
      <c r="M1901" s="2028">
        <v>43</v>
      </c>
      <c r="N1901"/>
    </row>
    <row r="1902" spans="2:14" s="1391" customFormat="1" ht="15" x14ac:dyDescent="0.2">
      <c r="B1902" s="2026">
        <v>12</v>
      </c>
      <c r="C1902" s="2027">
        <v>6.1429999999999998</v>
      </c>
      <c r="D1902" s="2027">
        <v>325</v>
      </c>
      <c r="E1902" s="2027">
        <v>351</v>
      </c>
      <c r="F1902" s="2027">
        <v>375</v>
      </c>
      <c r="G1902" s="2027">
        <v>400</v>
      </c>
      <c r="H1902" s="2027">
        <v>424</v>
      </c>
      <c r="I1902" s="2027">
        <v>448</v>
      </c>
      <c r="J1902" s="2027">
        <v>472</v>
      </c>
      <c r="K1902" s="2027">
        <v>495</v>
      </c>
      <c r="L1902" s="2027">
        <v>517</v>
      </c>
      <c r="M1902" s="2028">
        <v>44</v>
      </c>
      <c r="N1902"/>
    </row>
    <row r="1903" spans="2:14" s="1391" customFormat="1" ht="15" x14ac:dyDescent="0.2">
      <c r="B1903" s="2026">
        <v>13</v>
      </c>
      <c r="C1903" s="2027">
        <v>6.6239999999999997</v>
      </c>
      <c r="D1903" s="2027">
        <v>361</v>
      </c>
      <c r="E1903" s="2027">
        <v>388</v>
      </c>
      <c r="F1903" s="2027">
        <v>415</v>
      </c>
      <c r="G1903" s="2027">
        <v>442</v>
      </c>
      <c r="H1903" s="2027">
        <v>468</v>
      </c>
      <c r="I1903" s="2027">
        <v>494</v>
      </c>
      <c r="J1903" s="2027">
        <v>520</v>
      </c>
      <c r="K1903" s="2027">
        <v>545</v>
      </c>
      <c r="L1903" s="2027">
        <v>569</v>
      </c>
      <c r="M1903" s="2028">
        <v>45</v>
      </c>
      <c r="N1903"/>
    </row>
    <row r="1904" spans="2:14" s="1391" customFormat="1" ht="15" x14ac:dyDescent="0.2">
      <c r="B1904" s="2026">
        <v>14</v>
      </c>
      <c r="C1904" s="2027">
        <v>7.1669999999999998</v>
      </c>
      <c r="D1904" s="2027">
        <v>399</v>
      </c>
      <c r="E1904" s="2027">
        <v>429</v>
      </c>
      <c r="F1904" s="2027">
        <v>458</v>
      </c>
      <c r="G1904" s="2027">
        <v>488</v>
      </c>
      <c r="H1904" s="2027">
        <v>516</v>
      </c>
      <c r="I1904" s="2027">
        <v>544</v>
      </c>
      <c r="J1904" s="2027">
        <v>572</v>
      </c>
      <c r="K1904" s="2027">
        <v>599</v>
      </c>
      <c r="L1904" s="2027">
        <v>625</v>
      </c>
      <c r="M1904" s="2028">
        <v>46</v>
      </c>
      <c r="N1904"/>
    </row>
    <row r="1905" spans="2:14" s="1391" customFormat="1" ht="15" x14ac:dyDescent="0.2">
      <c r="B1905" s="2026">
        <v>15</v>
      </c>
      <c r="C1905" s="2027">
        <v>7.7629999999999999</v>
      </c>
      <c r="D1905" s="2027">
        <v>440</v>
      </c>
      <c r="E1905" s="2027">
        <v>472</v>
      </c>
      <c r="F1905" s="2027">
        <v>504</v>
      </c>
      <c r="G1905" s="2027">
        <v>537</v>
      </c>
      <c r="H1905" s="2027">
        <v>567</v>
      </c>
      <c r="I1905" s="2027">
        <v>597</v>
      </c>
      <c r="J1905" s="2027">
        <v>627</v>
      </c>
      <c r="K1905" s="2027">
        <v>655</v>
      </c>
      <c r="L1905" s="2027">
        <v>683</v>
      </c>
      <c r="M1905" s="2028">
        <v>47</v>
      </c>
      <c r="N1905"/>
    </row>
    <row r="1906" spans="2:14" s="1391" customFormat="1" ht="15" x14ac:dyDescent="0.2">
      <c r="B1906" s="2026">
        <v>16</v>
      </c>
      <c r="C1906" s="2027">
        <v>8.3889999999999993</v>
      </c>
      <c r="D1906" s="2027">
        <v>481</v>
      </c>
      <c r="E1906" s="2027">
        <v>516</v>
      </c>
      <c r="F1906" s="2027">
        <v>550</v>
      </c>
      <c r="G1906" s="2027">
        <v>585</v>
      </c>
      <c r="H1906" s="2027">
        <v>618</v>
      </c>
      <c r="I1906" s="2027">
        <v>650</v>
      </c>
      <c r="J1906" s="2027">
        <v>682</v>
      </c>
      <c r="K1906" s="2027">
        <v>712</v>
      </c>
      <c r="L1906" s="2027">
        <v>742</v>
      </c>
      <c r="M1906" s="2028">
        <v>48</v>
      </c>
      <c r="N1906"/>
    </row>
    <row r="1907" spans="2:14" s="1391" customFormat="1" ht="15" x14ac:dyDescent="0.2">
      <c r="B1907" s="4716" t="s">
        <v>1054</v>
      </c>
      <c r="C1907" s="4711"/>
      <c r="D1907" s="4711"/>
      <c r="E1907" s="4711"/>
      <c r="F1907" s="4711"/>
      <c r="G1907" s="4711"/>
      <c r="H1907" s="4711"/>
      <c r="I1907" s="4711"/>
      <c r="J1907" s="4711"/>
      <c r="K1907" s="4711"/>
      <c r="L1907" s="4711"/>
      <c r="M1907" s="4717"/>
      <c r="N1907"/>
    </row>
    <row r="1908" spans="2:14" s="1391" customFormat="1" ht="15" x14ac:dyDescent="0.2">
      <c r="B1908" s="2023"/>
      <c r="C1908" s="2024"/>
      <c r="D1908" s="2024">
        <v>1</v>
      </c>
      <c r="E1908" s="2024">
        <v>2</v>
      </c>
      <c r="F1908" s="2024">
        <v>3</v>
      </c>
      <c r="G1908" s="2024">
        <v>4</v>
      </c>
      <c r="H1908" s="2024">
        <v>5</v>
      </c>
      <c r="I1908" s="2024">
        <v>6</v>
      </c>
      <c r="J1908" s="2024">
        <v>7</v>
      </c>
      <c r="K1908" s="2024">
        <v>8</v>
      </c>
      <c r="L1908" s="2024">
        <v>9</v>
      </c>
      <c r="M1908" s="2025"/>
      <c r="N1908"/>
    </row>
    <row r="1909" spans="2:14" s="1391" customFormat="1" ht="15" x14ac:dyDescent="0.2">
      <c r="B1909" s="2026">
        <v>9</v>
      </c>
      <c r="C1909" s="2027">
        <v>4.9509999999999996</v>
      </c>
      <c r="D1909" s="2027">
        <v>246</v>
      </c>
      <c r="E1909" s="2027">
        <v>266</v>
      </c>
      <c r="F1909" s="2027">
        <v>285</v>
      </c>
      <c r="G1909" s="2027">
        <v>304</v>
      </c>
      <c r="H1909" s="2027">
        <v>323</v>
      </c>
      <c r="I1909" s="2027">
        <v>342</v>
      </c>
      <c r="J1909" s="2027">
        <v>361</v>
      </c>
      <c r="K1909" s="2027">
        <v>379</v>
      </c>
      <c r="L1909" s="2027">
        <v>397</v>
      </c>
      <c r="M1909" s="2028">
        <v>49</v>
      </c>
      <c r="N1909"/>
    </row>
    <row r="1910" spans="2:14" s="1391" customFormat="1" ht="15" x14ac:dyDescent="0.2">
      <c r="B1910" s="2026">
        <v>10</v>
      </c>
      <c r="C1910" s="2027">
        <v>5.2930000000000001</v>
      </c>
      <c r="D1910" s="2027">
        <v>275</v>
      </c>
      <c r="E1910" s="2027">
        <v>297</v>
      </c>
      <c r="F1910" s="2027">
        <v>318</v>
      </c>
      <c r="G1910" s="2027">
        <v>339</v>
      </c>
      <c r="H1910" s="2027">
        <v>360</v>
      </c>
      <c r="I1910" s="2027">
        <v>381</v>
      </c>
      <c r="J1910" s="2027">
        <v>401</v>
      </c>
      <c r="K1910" s="2027">
        <v>421</v>
      </c>
      <c r="L1910" s="2027">
        <v>441</v>
      </c>
      <c r="M1910" s="2028">
        <v>50</v>
      </c>
      <c r="N1910"/>
    </row>
    <row r="1911" spans="2:14" s="1391" customFormat="1" ht="15" x14ac:dyDescent="0.2">
      <c r="B1911" s="2026">
        <v>11</v>
      </c>
      <c r="C1911" s="2027">
        <v>5.6970000000000001</v>
      </c>
      <c r="D1911" s="2027">
        <v>308</v>
      </c>
      <c r="E1911" s="2027">
        <v>332</v>
      </c>
      <c r="F1911" s="2027">
        <v>356</v>
      </c>
      <c r="G1911" s="2027">
        <v>380</v>
      </c>
      <c r="H1911" s="2027">
        <v>403</v>
      </c>
      <c r="I1911" s="2027">
        <v>425</v>
      </c>
      <c r="J1911" s="2027">
        <v>448</v>
      </c>
      <c r="K1911" s="2027">
        <v>470</v>
      </c>
      <c r="L1911" s="2027">
        <v>492</v>
      </c>
      <c r="M1911" s="2028">
        <v>51</v>
      </c>
      <c r="N1911"/>
    </row>
    <row r="1912" spans="2:14" s="1391" customFormat="1" ht="15" x14ac:dyDescent="0.2">
      <c r="B1912" s="2026">
        <v>12</v>
      </c>
      <c r="C1912" s="2027">
        <v>6.1429999999999998</v>
      </c>
      <c r="D1912" s="2027">
        <v>345</v>
      </c>
      <c r="E1912" s="2027">
        <v>371</v>
      </c>
      <c r="F1912" s="2027">
        <v>397</v>
      </c>
      <c r="G1912" s="2027">
        <v>424</v>
      </c>
      <c r="H1912" s="2027">
        <v>449</v>
      </c>
      <c r="I1912" s="2027">
        <v>474</v>
      </c>
      <c r="J1912" s="2027">
        <v>498</v>
      </c>
      <c r="K1912" s="2027">
        <v>522</v>
      </c>
      <c r="L1912" s="2027">
        <v>546</v>
      </c>
      <c r="M1912" s="2028">
        <v>52</v>
      </c>
      <c r="N1912"/>
    </row>
    <row r="1913" spans="2:14" s="1391" customFormat="1" ht="15" x14ac:dyDescent="0.2">
      <c r="B1913" s="2026">
        <v>13</v>
      </c>
      <c r="C1913" s="2027">
        <v>6.6239999999999997</v>
      </c>
      <c r="D1913" s="2027">
        <v>383</v>
      </c>
      <c r="E1913" s="2027">
        <v>412</v>
      </c>
      <c r="F1913" s="2027">
        <v>441</v>
      </c>
      <c r="G1913" s="2027">
        <v>470</v>
      </c>
      <c r="H1913" s="2027">
        <v>497</v>
      </c>
      <c r="I1913" s="2027">
        <v>524</v>
      </c>
      <c r="J1913" s="2027">
        <v>551</v>
      </c>
      <c r="K1913" s="2027">
        <v>577</v>
      </c>
      <c r="L1913" s="2027">
        <v>602</v>
      </c>
      <c r="M1913" s="2028">
        <v>53</v>
      </c>
      <c r="N1913"/>
    </row>
    <row r="1914" spans="2:14" s="1391" customFormat="1" ht="15" x14ac:dyDescent="0.2">
      <c r="B1914" s="2026">
        <v>14</v>
      </c>
      <c r="C1914" s="2027">
        <v>7.1669999999999998</v>
      </c>
      <c r="D1914" s="2027">
        <v>425</v>
      </c>
      <c r="E1914" s="2027">
        <v>457</v>
      </c>
      <c r="F1914" s="2027">
        <v>488</v>
      </c>
      <c r="G1914" s="2027">
        <v>520</v>
      </c>
      <c r="H1914" s="2027">
        <v>549</v>
      </c>
      <c r="I1914" s="2027">
        <v>578</v>
      </c>
      <c r="J1914" s="2027">
        <v>608</v>
      </c>
      <c r="K1914" s="2027">
        <v>636</v>
      </c>
      <c r="L1914" s="2027">
        <v>663</v>
      </c>
      <c r="M1914" s="2028">
        <v>54</v>
      </c>
      <c r="N1914"/>
    </row>
    <row r="1915" spans="2:14" s="1391" customFormat="1" ht="15" x14ac:dyDescent="0.2">
      <c r="B1915" s="2026">
        <v>15</v>
      </c>
      <c r="C1915" s="2027">
        <v>7.7629999999999999</v>
      </c>
      <c r="D1915" s="2027">
        <v>471</v>
      </c>
      <c r="E1915" s="2027">
        <v>506</v>
      </c>
      <c r="F1915" s="2027">
        <v>539</v>
      </c>
      <c r="G1915" s="2027">
        <v>573</v>
      </c>
      <c r="H1915" s="2027">
        <v>606</v>
      </c>
      <c r="I1915" s="2027">
        <v>637</v>
      </c>
      <c r="J1915" s="2027">
        <v>668</v>
      </c>
      <c r="K1915" s="2027">
        <v>698</v>
      </c>
      <c r="L1915" s="2027">
        <v>727</v>
      </c>
      <c r="M1915" s="2028">
        <v>55</v>
      </c>
      <c r="N1915"/>
    </row>
    <row r="1916" spans="2:14" s="1391" customFormat="1" ht="15" x14ac:dyDescent="0.2">
      <c r="B1916" s="2026">
        <v>16</v>
      </c>
      <c r="C1916" s="2027">
        <v>8.3889999999999993</v>
      </c>
      <c r="D1916" s="2027">
        <v>518</v>
      </c>
      <c r="E1916" s="2027">
        <v>555</v>
      </c>
      <c r="F1916" s="2027">
        <v>591</v>
      </c>
      <c r="G1916" s="2027">
        <v>627</v>
      </c>
      <c r="H1916" s="2027">
        <v>662</v>
      </c>
      <c r="I1916" s="2027">
        <v>695</v>
      </c>
      <c r="J1916" s="2027">
        <v>729</v>
      </c>
      <c r="K1916" s="2027">
        <v>761</v>
      </c>
      <c r="L1916" s="2027">
        <v>792</v>
      </c>
      <c r="M1916" s="2028">
        <v>56</v>
      </c>
      <c r="N1916"/>
    </row>
    <row r="1917" spans="2:14" s="1391" customFormat="1" ht="15" x14ac:dyDescent="0.2">
      <c r="B1917" s="4716" t="s">
        <v>1055</v>
      </c>
      <c r="C1917" s="4711"/>
      <c r="D1917" s="4711"/>
      <c r="E1917" s="4711"/>
      <c r="F1917" s="4711"/>
      <c r="G1917" s="4711"/>
      <c r="H1917" s="4711"/>
      <c r="I1917" s="4711"/>
      <c r="J1917" s="4711"/>
      <c r="K1917" s="4711"/>
      <c r="L1917" s="4711"/>
      <c r="M1917" s="4717"/>
      <c r="N1917"/>
    </row>
    <row r="1918" spans="2:14" s="1391" customFormat="1" ht="15" x14ac:dyDescent="0.2">
      <c r="B1918" s="2023"/>
      <c r="C1918" s="2024"/>
      <c r="D1918" s="2024">
        <v>1</v>
      </c>
      <c r="E1918" s="2024">
        <v>2</v>
      </c>
      <c r="F1918" s="2024">
        <v>3</v>
      </c>
      <c r="G1918" s="2024">
        <v>4</v>
      </c>
      <c r="H1918" s="2024">
        <v>5</v>
      </c>
      <c r="I1918" s="2024">
        <v>6</v>
      </c>
      <c r="J1918" s="2024">
        <v>7</v>
      </c>
      <c r="K1918" s="2024">
        <v>8</v>
      </c>
      <c r="L1918" s="2024">
        <v>9</v>
      </c>
      <c r="M1918" s="2025"/>
      <c r="N1918"/>
    </row>
    <row r="1919" spans="2:14" s="1391" customFormat="1" ht="15" x14ac:dyDescent="0.2">
      <c r="B1919" s="2026">
        <v>9</v>
      </c>
      <c r="C1919" s="2027">
        <v>4.9509999999999996</v>
      </c>
      <c r="D1919" s="2027">
        <v>253</v>
      </c>
      <c r="E1919" s="2027">
        <v>273</v>
      </c>
      <c r="F1919" s="2027">
        <v>293</v>
      </c>
      <c r="G1919" s="2027">
        <v>313</v>
      </c>
      <c r="H1919" s="2027">
        <v>332</v>
      </c>
      <c r="I1919" s="2027">
        <v>351</v>
      </c>
      <c r="J1919" s="2027">
        <v>371</v>
      </c>
      <c r="K1919" s="2027">
        <v>389</v>
      </c>
      <c r="L1919" s="2027">
        <v>408</v>
      </c>
      <c r="M1919" s="2028">
        <v>57</v>
      </c>
      <c r="N1919"/>
    </row>
    <row r="1920" spans="2:14" s="1391" customFormat="1" ht="15" x14ac:dyDescent="0.2">
      <c r="B1920" s="2026">
        <v>10</v>
      </c>
      <c r="C1920" s="2027">
        <v>5.2930000000000001</v>
      </c>
      <c r="D1920" s="2027">
        <v>283</v>
      </c>
      <c r="E1920" s="2027">
        <v>306</v>
      </c>
      <c r="F1920" s="2027">
        <v>328</v>
      </c>
      <c r="G1920" s="2027">
        <v>350</v>
      </c>
      <c r="H1920" s="2027">
        <v>371</v>
      </c>
      <c r="I1920" s="2027">
        <v>392</v>
      </c>
      <c r="J1920" s="2027">
        <v>413</v>
      </c>
      <c r="K1920" s="2027">
        <v>433</v>
      </c>
      <c r="L1920" s="2027">
        <v>454</v>
      </c>
      <c r="M1920" s="2028">
        <v>58</v>
      </c>
      <c r="N1920"/>
    </row>
    <row r="1921" spans="2:14" s="1391" customFormat="1" ht="15" x14ac:dyDescent="0.2">
      <c r="B1921" s="2026">
        <v>11</v>
      </c>
      <c r="C1921" s="2027">
        <v>5.6970000000000001</v>
      </c>
      <c r="D1921" s="2027">
        <v>318</v>
      </c>
      <c r="E1921" s="2027">
        <v>343</v>
      </c>
      <c r="F1921" s="2027">
        <v>368</v>
      </c>
      <c r="G1921" s="2027">
        <v>392</v>
      </c>
      <c r="H1921" s="2027">
        <v>416</v>
      </c>
      <c r="I1921" s="2027">
        <v>439</v>
      </c>
      <c r="J1921" s="2027">
        <v>462</v>
      </c>
      <c r="K1921" s="2027">
        <v>484</v>
      </c>
      <c r="L1921" s="2027">
        <v>506</v>
      </c>
      <c r="M1921" s="2028">
        <v>59</v>
      </c>
      <c r="N1921"/>
    </row>
    <row r="1922" spans="2:14" s="1391" customFormat="1" ht="15" x14ac:dyDescent="0.2">
      <c r="B1922" s="2026">
        <v>12</v>
      </c>
      <c r="C1922" s="2027">
        <v>6.1429999999999998</v>
      </c>
      <c r="D1922" s="2027">
        <v>357</v>
      </c>
      <c r="E1922" s="2027">
        <v>384</v>
      </c>
      <c r="F1922" s="2027">
        <v>411</v>
      </c>
      <c r="G1922" s="2027">
        <v>438</v>
      </c>
      <c r="H1922" s="2027">
        <v>464</v>
      </c>
      <c r="I1922" s="2027">
        <v>489</v>
      </c>
      <c r="J1922" s="2027">
        <v>514</v>
      </c>
      <c r="K1922" s="2027">
        <v>539</v>
      </c>
      <c r="L1922" s="2027">
        <v>563</v>
      </c>
      <c r="M1922" s="2028">
        <v>60</v>
      </c>
      <c r="N1922"/>
    </row>
    <row r="1923" spans="2:14" s="1391" customFormat="1" ht="15" x14ac:dyDescent="0.2">
      <c r="B1923" s="2026">
        <v>13</v>
      </c>
      <c r="C1923" s="2027">
        <v>6.6239999999999997</v>
      </c>
      <c r="D1923" s="2027">
        <v>397</v>
      </c>
      <c r="E1923" s="2027">
        <v>427</v>
      </c>
      <c r="F1923" s="2027">
        <v>457</v>
      </c>
      <c r="G1923" s="2027">
        <v>486</v>
      </c>
      <c r="H1923" s="2027">
        <v>514</v>
      </c>
      <c r="I1923" s="2027">
        <v>542</v>
      </c>
      <c r="J1923" s="2027">
        <v>570</v>
      </c>
      <c r="K1923" s="2027">
        <v>596</v>
      </c>
      <c r="L1923" s="2027">
        <v>622</v>
      </c>
      <c r="M1923" s="2028">
        <v>61</v>
      </c>
      <c r="N1923"/>
    </row>
    <row r="1924" spans="2:14" s="1391" customFormat="1" ht="15" x14ac:dyDescent="0.2">
      <c r="B1924" s="2026">
        <v>14</v>
      </c>
      <c r="C1924" s="2027">
        <v>7.1669999999999998</v>
      </c>
      <c r="D1924" s="2027">
        <v>442</v>
      </c>
      <c r="E1924" s="2027">
        <v>475</v>
      </c>
      <c r="F1924" s="2027">
        <v>507</v>
      </c>
      <c r="G1924" s="2027">
        <v>539</v>
      </c>
      <c r="H1924" s="2027">
        <v>570</v>
      </c>
      <c r="I1924" s="2027">
        <v>600</v>
      </c>
      <c r="J1924" s="2027">
        <v>630</v>
      </c>
      <c r="K1924" s="2027">
        <v>659</v>
      </c>
      <c r="L1924" s="2027">
        <v>687</v>
      </c>
      <c r="M1924" s="2028">
        <v>62</v>
      </c>
      <c r="N1924"/>
    </row>
    <row r="1925" spans="2:14" s="1391" customFormat="1" ht="15" x14ac:dyDescent="0.2">
      <c r="B1925" s="2026">
        <v>15</v>
      </c>
      <c r="C1925" s="2027">
        <v>7.7629999999999999</v>
      </c>
      <c r="D1925" s="2027">
        <v>491</v>
      </c>
      <c r="E1925" s="2027">
        <v>526</v>
      </c>
      <c r="F1925" s="2027">
        <v>561</v>
      </c>
      <c r="G1925" s="2027">
        <v>596</v>
      </c>
      <c r="H1925" s="2027">
        <v>629</v>
      </c>
      <c r="I1925" s="2027">
        <v>661</v>
      </c>
      <c r="J1925" s="2027">
        <v>694</v>
      </c>
      <c r="K1925" s="2027">
        <v>725</v>
      </c>
      <c r="L1925" s="2027">
        <v>755</v>
      </c>
      <c r="M1925" s="2028">
        <v>63</v>
      </c>
      <c r="N1925"/>
    </row>
    <row r="1926" spans="2:14" s="1391" customFormat="1" ht="15.75" thickBot="1" x14ac:dyDescent="0.25">
      <c r="B1926" s="2030">
        <v>16</v>
      </c>
      <c r="C1926" s="2031">
        <v>8.3889999999999993</v>
      </c>
      <c r="D1926" s="2031">
        <v>540</v>
      </c>
      <c r="E1926" s="2031">
        <v>579</v>
      </c>
      <c r="F1926" s="2031">
        <v>617</v>
      </c>
      <c r="G1926" s="2031">
        <v>654</v>
      </c>
      <c r="H1926" s="2031">
        <v>690</v>
      </c>
      <c r="I1926" s="2031">
        <v>724</v>
      </c>
      <c r="J1926" s="2031">
        <v>759</v>
      </c>
      <c r="K1926" s="2031">
        <v>792</v>
      </c>
      <c r="L1926" s="2031">
        <v>824</v>
      </c>
      <c r="M1926" s="2032">
        <v>64</v>
      </c>
      <c r="N1926"/>
    </row>
    <row r="1927" spans="2:14" s="1391" customFormat="1" ht="15" x14ac:dyDescent="0.2">
      <c r="B1927"/>
      <c r="C1927"/>
      <c r="D1927"/>
      <c r="E1927"/>
      <c r="F1927"/>
      <c r="G1927"/>
      <c r="H1927"/>
      <c r="I1927"/>
      <c r="J1927"/>
      <c r="K1927"/>
      <c r="L1927"/>
      <c r="M1927"/>
      <c r="N1927"/>
    </row>
    <row r="1928" spans="2:14" s="1391" customFormat="1" ht="18" x14ac:dyDescent="0.25">
      <c r="B1928" s="2021" t="s">
        <v>4821</v>
      </c>
      <c r="C1928" s="2021"/>
      <c r="D1928" s="2021"/>
      <c r="E1928" s="2021"/>
      <c r="F1928" s="2021"/>
      <c r="G1928" s="2021"/>
      <c r="H1928" s="2021"/>
      <c r="I1928" s="2021"/>
      <c r="J1928" s="2021"/>
      <c r="K1928" s="2021"/>
      <c r="L1928" s="2021"/>
      <c r="M1928"/>
      <c r="N1928"/>
    </row>
    <row r="1929" spans="2:14" s="1391" customFormat="1" ht="15.75" thickBot="1" x14ac:dyDescent="0.25">
      <c r="B1929" s="1157" t="s">
        <v>2226</v>
      </c>
      <c r="C1929" s="1157"/>
      <c r="D1929" s="1157"/>
      <c r="E1929" s="1157"/>
      <c r="F1929" s="1157"/>
      <c r="G1929" s="1157"/>
      <c r="H1929" s="1157"/>
      <c r="I1929" s="1157"/>
      <c r="J1929" s="1157"/>
      <c r="K1929" s="1157"/>
      <c r="L1929" s="1157"/>
      <c r="M1929"/>
      <c r="N1929"/>
    </row>
    <row r="1930" spans="2:14" s="1391" customFormat="1" ht="15.75" x14ac:dyDescent="0.2">
      <c r="B1930" s="4722" t="s">
        <v>4218</v>
      </c>
      <c r="C1930" s="4723"/>
      <c r="D1930" s="4723"/>
      <c r="E1930" s="4723"/>
      <c r="F1930" s="4723"/>
      <c r="G1930" s="4723"/>
      <c r="H1930" s="4723"/>
      <c r="I1930" s="4723"/>
      <c r="J1930" s="4723"/>
      <c r="K1930" s="4723"/>
      <c r="L1930" s="4724"/>
      <c r="M1930"/>
      <c r="N1930"/>
    </row>
    <row r="1931" spans="2:14" s="1391" customFormat="1" ht="15" x14ac:dyDescent="0.2">
      <c r="B1931" s="4704" t="s">
        <v>1964</v>
      </c>
      <c r="C1931" s="4707" t="s">
        <v>1042</v>
      </c>
      <c r="D1931" s="4710" t="s">
        <v>5602</v>
      </c>
      <c r="E1931" s="4711"/>
      <c r="F1931" s="4711"/>
      <c r="G1931" s="4711"/>
      <c r="H1931" s="4711"/>
      <c r="I1931" s="4711"/>
      <c r="J1931" s="4711"/>
      <c r="K1931" s="4712"/>
      <c r="L1931" s="4725" t="s">
        <v>2490</v>
      </c>
      <c r="M1931"/>
      <c r="N1931"/>
    </row>
    <row r="1932" spans="2:14" s="1391" customFormat="1" ht="54.75" x14ac:dyDescent="0.2">
      <c r="B1932" s="4705"/>
      <c r="C1932" s="4708"/>
      <c r="D1932" s="2022" t="s">
        <v>1048</v>
      </c>
      <c r="E1932" s="2022" t="s">
        <v>1049</v>
      </c>
      <c r="F1932" s="2022" t="s">
        <v>1050</v>
      </c>
      <c r="G1932" s="2022" t="s">
        <v>4219</v>
      </c>
      <c r="H1932" s="2022" t="s">
        <v>4220</v>
      </c>
      <c r="I1932" s="2022" t="s">
        <v>1564</v>
      </c>
      <c r="J1932" s="2022" t="s">
        <v>1565</v>
      </c>
      <c r="K1932" s="2022" t="s">
        <v>1566</v>
      </c>
      <c r="L1932" s="4726"/>
      <c r="M1932"/>
      <c r="N1932"/>
    </row>
    <row r="1933" spans="2:14" s="1391" customFormat="1" ht="15" x14ac:dyDescent="0.2">
      <c r="B1933" s="4706"/>
      <c r="C1933" s="4709"/>
      <c r="D1933" s="4710" t="s">
        <v>1781</v>
      </c>
      <c r="E1933" s="4711"/>
      <c r="F1933" s="4711"/>
      <c r="G1933" s="4711"/>
      <c r="H1933" s="4711"/>
      <c r="I1933" s="4711"/>
      <c r="J1933" s="4711"/>
      <c r="K1933" s="4712"/>
      <c r="L1933" s="4727"/>
      <c r="M1933"/>
      <c r="N1933"/>
    </row>
    <row r="1934" spans="2:14" s="1391" customFormat="1" ht="15" x14ac:dyDescent="0.2">
      <c r="B1934" s="4728" t="s">
        <v>3689</v>
      </c>
      <c r="C1934" s="4729"/>
      <c r="D1934" s="4729"/>
      <c r="E1934" s="4729"/>
      <c r="F1934" s="4729"/>
      <c r="G1934" s="4729"/>
      <c r="H1934" s="4729"/>
      <c r="I1934" s="4729"/>
      <c r="J1934" s="4729"/>
      <c r="K1934" s="4729"/>
      <c r="L1934" s="4730"/>
      <c r="M1934"/>
      <c r="N1934"/>
    </row>
    <row r="1935" spans="2:14" s="1391" customFormat="1" ht="15" x14ac:dyDescent="0.2">
      <c r="B1935" s="4716" t="s">
        <v>1052</v>
      </c>
      <c r="C1935" s="4711"/>
      <c r="D1935" s="4711"/>
      <c r="E1935" s="4711"/>
      <c r="F1935" s="4711"/>
      <c r="G1935" s="4711"/>
      <c r="H1935" s="4711"/>
      <c r="I1935" s="4711"/>
      <c r="J1935" s="4711"/>
      <c r="K1935" s="4711"/>
      <c r="L1935" s="4717"/>
      <c r="M1935"/>
      <c r="N1935"/>
    </row>
    <row r="1936" spans="2:14" s="1391" customFormat="1" ht="15" x14ac:dyDescent="0.2">
      <c r="B1936" s="2026"/>
      <c r="C1936" s="2027"/>
      <c r="D1936" s="2027">
        <v>1</v>
      </c>
      <c r="E1936" s="2027">
        <v>2</v>
      </c>
      <c r="F1936" s="2027">
        <v>3</v>
      </c>
      <c r="G1936" s="2027">
        <v>4</v>
      </c>
      <c r="H1936" s="2027">
        <v>5</v>
      </c>
      <c r="I1936" s="2027">
        <v>6</v>
      </c>
      <c r="J1936" s="2027">
        <v>7</v>
      </c>
      <c r="K1936" s="2027">
        <v>8</v>
      </c>
      <c r="L1936" s="2028"/>
      <c r="M1936"/>
      <c r="N1936"/>
    </row>
    <row r="1937" spans="2:14" s="1391" customFormat="1" ht="15" x14ac:dyDescent="0.2">
      <c r="B1937" s="2026">
        <v>10</v>
      </c>
      <c r="C1937" s="2027">
        <v>4.5529999999999999</v>
      </c>
      <c r="D1937" s="2027">
        <v>262</v>
      </c>
      <c r="E1937" s="2027">
        <v>277</v>
      </c>
      <c r="F1937" s="2027">
        <v>293</v>
      </c>
      <c r="G1937" s="2027">
        <v>309</v>
      </c>
      <c r="H1937" s="2027">
        <v>324</v>
      </c>
      <c r="I1937" s="2027">
        <v>340</v>
      </c>
      <c r="J1937" s="2027">
        <v>356</v>
      </c>
      <c r="K1937" s="2027">
        <v>375</v>
      </c>
      <c r="L1937" s="2028">
        <v>1</v>
      </c>
      <c r="M1937"/>
      <c r="N1937"/>
    </row>
    <row r="1938" spans="2:14" s="1391" customFormat="1" ht="15" x14ac:dyDescent="0.2">
      <c r="B1938" s="2026">
        <v>11</v>
      </c>
      <c r="C1938" s="2027">
        <v>4.8029999999999999</v>
      </c>
      <c r="D1938" s="2027">
        <v>290</v>
      </c>
      <c r="E1938" s="2027">
        <v>307</v>
      </c>
      <c r="F1938" s="2027">
        <v>325</v>
      </c>
      <c r="G1938" s="2027">
        <v>342</v>
      </c>
      <c r="H1938" s="2027">
        <v>360</v>
      </c>
      <c r="I1938" s="2027">
        <v>377</v>
      </c>
      <c r="J1938" s="2027">
        <v>395</v>
      </c>
      <c r="K1938" s="2027">
        <v>412</v>
      </c>
      <c r="L1938" s="2028">
        <v>2</v>
      </c>
      <c r="M1938"/>
      <c r="N1938"/>
    </row>
    <row r="1939" spans="2:14" s="1391" customFormat="1" ht="15" x14ac:dyDescent="0.2">
      <c r="B1939" s="2026">
        <v>12</v>
      </c>
      <c r="C1939" s="2027">
        <v>5.0529999999999999</v>
      </c>
      <c r="D1939" s="2027">
        <v>318</v>
      </c>
      <c r="E1939" s="2027">
        <v>337</v>
      </c>
      <c r="F1939" s="2027">
        <v>356</v>
      </c>
      <c r="G1939" s="2027">
        <v>375</v>
      </c>
      <c r="H1939" s="2027">
        <v>394</v>
      </c>
      <c r="I1939" s="2027">
        <v>414</v>
      </c>
      <c r="J1939" s="2027">
        <v>433</v>
      </c>
      <c r="K1939" s="2027">
        <v>452</v>
      </c>
      <c r="L1939" s="2028">
        <v>3</v>
      </c>
      <c r="M1939"/>
      <c r="N1939"/>
    </row>
    <row r="1940" spans="2:14" s="1391" customFormat="1" ht="15" x14ac:dyDescent="0.2">
      <c r="B1940" s="2026">
        <v>13</v>
      </c>
      <c r="C1940" s="2027">
        <v>5.319</v>
      </c>
      <c r="D1940" s="2027">
        <v>347</v>
      </c>
      <c r="E1940" s="2027">
        <v>368</v>
      </c>
      <c r="F1940" s="2027">
        <v>389</v>
      </c>
      <c r="G1940" s="2027">
        <v>410</v>
      </c>
      <c r="H1940" s="2027">
        <v>431</v>
      </c>
      <c r="I1940" s="2027">
        <v>452</v>
      </c>
      <c r="J1940" s="2027">
        <v>473</v>
      </c>
      <c r="K1940" s="2027">
        <v>494</v>
      </c>
      <c r="L1940" s="2028">
        <v>4</v>
      </c>
      <c r="M1940"/>
      <c r="N1940"/>
    </row>
    <row r="1941" spans="2:14" s="1391" customFormat="1" ht="15" x14ac:dyDescent="0.2">
      <c r="B1941" s="2026">
        <v>14</v>
      </c>
      <c r="C1941" s="2027">
        <v>5.6070000000000002</v>
      </c>
      <c r="D1941" s="2027">
        <v>380</v>
      </c>
      <c r="E1941" s="2027">
        <v>403</v>
      </c>
      <c r="F1941" s="2027">
        <v>426</v>
      </c>
      <c r="G1941" s="2027">
        <v>449</v>
      </c>
      <c r="H1941" s="2027">
        <v>471</v>
      </c>
      <c r="I1941" s="2027">
        <v>494</v>
      </c>
      <c r="J1941" s="2027">
        <v>517</v>
      </c>
      <c r="K1941" s="2027">
        <v>540</v>
      </c>
      <c r="L1941" s="2028">
        <v>5</v>
      </c>
      <c r="M1941"/>
      <c r="N1941"/>
    </row>
    <row r="1942" spans="2:14" s="1391" customFormat="1" ht="15" x14ac:dyDescent="0.2">
      <c r="B1942" s="2026">
        <v>15</v>
      </c>
      <c r="C1942" s="2027">
        <v>5.9160000000000004</v>
      </c>
      <c r="D1942" s="2027">
        <v>415</v>
      </c>
      <c r="E1942" s="2027">
        <v>440</v>
      </c>
      <c r="F1942" s="2027">
        <v>465</v>
      </c>
      <c r="G1942" s="2027">
        <v>490</v>
      </c>
      <c r="H1942" s="2027">
        <v>515</v>
      </c>
      <c r="I1942" s="2027">
        <v>540</v>
      </c>
      <c r="J1942" s="2027">
        <v>565</v>
      </c>
      <c r="K1942" s="2027">
        <v>590</v>
      </c>
      <c r="L1942" s="2028">
        <v>6</v>
      </c>
      <c r="M1942"/>
      <c r="N1942"/>
    </row>
    <row r="1943" spans="2:14" s="1391" customFormat="1" ht="15" x14ac:dyDescent="0.2">
      <c r="B1943" s="4716" t="s">
        <v>1567</v>
      </c>
      <c r="C1943" s="4711"/>
      <c r="D1943" s="4711"/>
      <c r="E1943" s="4711"/>
      <c r="F1943" s="4711"/>
      <c r="G1943" s="4711"/>
      <c r="H1943" s="4711"/>
      <c r="I1943" s="4711"/>
      <c r="J1943" s="4711"/>
      <c r="K1943" s="4711"/>
      <c r="L1943" s="4717"/>
      <c r="M1943"/>
      <c r="N1943"/>
    </row>
    <row r="1944" spans="2:14" s="1391" customFormat="1" ht="15" x14ac:dyDescent="0.2">
      <c r="B1944" s="2026"/>
      <c r="C1944" s="2027"/>
      <c r="D1944" s="2027">
        <v>1</v>
      </c>
      <c r="E1944" s="2027">
        <v>2</v>
      </c>
      <c r="F1944" s="2027">
        <v>3</v>
      </c>
      <c r="G1944" s="2027">
        <v>4</v>
      </c>
      <c r="H1944" s="2027">
        <v>5</v>
      </c>
      <c r="I1944" s="2027">
        <v>6</v>
      </c>
      <c r="J1944" s="2027">
        <v>7</v>
      </c>
      <c r="K1944" s="2027">
        <v>8</v>
      </c>
      <c r="L1944" s="2028"/>
      <c r="M1944"/>
      <c r="N1944"/>
    </row>
    <row r="1945" spans="2:14" s="1391" customFormat="1" ht="15" x14ac:dyDescent="0.2">
      <c r="B1945" s="2026">
        <v>10</v>
      </c>
      <c r="C1945" s="2027">
        <v>4.5529999999999999</v>
      </c>
      <c r="D1945" s="2027">
        <v>271</v>
      </c>
      <c r="E1945" s="2027">
        <v>288</v>
      </c>
      <c r="F1945" s="2027">
        <v>304</v>
      </c>
      <c r="G1945" s="2027">
        <v>320</v>
      </c>
      <c r="H1945" s="2027">
        <v>337</v>
      </c>
      <c r="I1945" s="2027">
        <v>353</v>
      </c>
      <c r="J1945" s="2027">
        <v>369</v>
      </c>
      <c r="K1945" s="2027">
        <v>386</v>
      </c>
      <c r="L1945" s="2028">
        <v>7</v>
      </c>
      <c r="M1945"/>
      <c r="N1945"/>
    </row>
    <row r="1946" spans="2:14" s="1391" customFormat="1" ht="15" x14ac:dyDescent="0.2">
      <c r="B1946" s="2026">
        <v>11</v>
      </c>
      <c r="C1946" s="2027">
        <v>4.8029999999999999</v>
      </c>
      <c r="D1946" s="2027">
        <v>300</v>
      </c>
      <c r="E1946" s="2027">
        <v>318</v>
      </c>
      <c r="F1946" s="2027">
        <v>336</v>
      </c>
      <c r="G1946" s="2027">
        <v>355</v>
      </c>
      <c r="H1946" s="2027">
        <v>373</v>
      </c>
      <c r="I1946" s="2027">
        <v>391</v>
      </c>
      <c r="J1946" s="2027">
        <v>409</v>
      </c>
      <c r="K1946" s="2027">
        <v>427</v>
      </c>
      <c r="L1946" s="2028">
        <v>8</v>
      </c>
      <c r="M1946"/>
      <c r="N1946"/>
    </row>
    <row r="1947" spans="2:14" s="1391" customFormat="1" ht="15" x14ac:dyDescent="0.2">
      <c r="B1947" s="2026">
        <v>12</v>
      </c>
      <c r="C1947" s="2027">
        <v>5.0529999999999999</v>
      </c>
      <c r="D1947" s="2027">
        <v>330</v>
      </c>
      <c r="E1947" s="2027">
        <v>350</v>
      </c>
      <c r="F1947" s="2027">
        <v>370</v>
      </c>
      <c r="G1947" s="2027">
        <v>390</v>
      </c>
      <c r="H1947" s="2027">
        <v>409</v>
      </c>
      <c r="I1947" s="2027">
        <v>429</v>
      </c>
      <c r="J1947" s="2027">
        <v>449</v>
      </c>
      <c r="K1947" s="2027">
        <v>469</v>
      </c>
      <c r="L1947" s="2028">
        <v>9</v>
      </c>
      <c r="M1947"/>
      <c r="N1947"/>
    </row>
    <row r="1948" spans="2:14" s="1391" customFormat="1" ht="15" x14ac:dyDescent="0.2">
      <c r="B1948" s="2026">
        <v>13</v>
      </c>
      <c r="C1948" s="2027">
        <v>5.319</v>
      </c>
      <c r="D1948" s="2027">
        <v>361</v>
      </c>
      <c r="E1948" s="2027">
        <v>383</v>
      </c>
      <c r="F1948" s="2027">
        <v>404</v>
      </c>
      <c r="G1948" s="2027">
        <v>426</v>
      </c>
      <c r="H1948" s="2027">
        <v>448</v>
      </c>
      <c r="I1948" s="2027">
        <v>470</v>
      </c>
      <c r="J1948" s="2027">
        <v>492</v>
      </c>
      <c r="K1948" s="2027">
        <v>513</v>
      </c>
      <c r="L1948" s="2028">
        <v>10</v>
      </c>
      <c r="M1948"/>
      <c r="N1948"/>
    </row>
    <row r="1949" spans="2:14" s="1391" customFormat="1" ht="15" x14ac:dyDescent="0.2">
      <c r="B1949" s="2026">
        <v>14</v>
      </c>
      <c r="C1949" s="2027">
        <v>5.6070000000000002</v>
      </c>
      <c r="D1949" s="2027">
        <v>395</v>
      </c>
      <c r="E1949" s="2027">
        <v>418</v>
      </c>
      <c r="F1949" s="2027">
        <v>442</v>
      </c>
      <c r="G1949" s="2027">
        <v>466</v>
      </c>
      <c r="H1949" s="2027">
        <v>490</v>
      </c>
      <c r="I1949" s="2027">
        <v>514</v>
      </c>
      <c r="J1949" s="2027">
        <v>538</v>
      </c>
      <c r="K1949" s="2027">
        <v>561</v>
      </c>
      <c r="L1949" s="2028">
        <v>11</v>
      </c>
      <c r="M1949"/>
      <c r="N1949"/>
    </row>
    <row r="1950" spans="2:14" s="1391" customFormat="1" ht="15" x14ac:dyDescent="0.2">
      <c r="B1950" s="2026">
        <v>15</v>
      </c>
      <c r="C1950" s="2027">
        <v>5.9160000000000004</v>
      </c>
      <c r="D1950" s="2027">
        <v>431</v>
      </c>
      <c r="E1950" s="2027">
        <v>457</v>
      </c>
      <c r="F1950" s="2027">
        <v>483</v>
      </c>
      <c r="G1950" s="2027">
        <v>509</v>
      </c>
      <c r="H1950" s="2027">
        <v>535</v>
      </c>
      <c r="I1950" s="2027">
        <v>561</v>
      </c>
      <c r="J1950" s="2027">
        <v>587</v>
      </c>
      <c r="K1950" s="2027">
        <v>613</v>
      </c>
      <c r="L1950" s="2028">
        <v>12</v>
      </c>
      <c r="M1950"/>
      <c r="N1950"/>
    </row>
    <row r="1951" spans="2:14" s="1391" customFormat="1" ht="15" x14ac:dyDescent="0.2">
      <c r="B1951" s="4716" t="s">
        <v>1568</v>
      </c>
      <c r="C1951" s="4711"/>
      <c r="D1951" s="4711"/>
      <c r="E1951" s="4711"/>
      <c r="F1951" s="4711"/>
      <c r="G1951" s="4711"/>
      <c r="H1951" s="4711"/>
      <c r="I1951" s="4711"/>
      <c r="J1951" s="4711"/>
      <c r="K1951" s="4711"/>
      <c r="L1951" s="4717"/>
      <c r="M1951"/>
      <c r="N1951"/>
    </row>
    <row r="1952" spans="2:14" s="1391" customFormat="1" ht="15" x14ac:dyDescent="0.2">
      <c r="B1952" s="2026"/>
      <c r="C1952" s="2027"/>
      <c r="D1952" s="2027">
        <v>1</v>
      </c>
      <c r="E1952" s="2027">
        <v>2</v>
      </c>
      <c r="F1952" s="2027">
        <v>3</v>
      </c>
      <c r="G1952" s="2027">
        <v>4</v>
      </c>
      <c r="H1952" s="2027">
        <v>5</v>
      </c>
      <c r="I1952" s="2027">
        <v>6</v>
      </c>
      <c r="J1952" s="2027">
        <v>7</v>
      </c>
      <c r="K1952" s="2027">
        <v>8</v>
      </c>
      <c r="L1952" s="2028"/>
      <c r="M1952"/>
      <c r="N1952"/>
    </row>
    <row r="1953" spans="2:14" s="1391" customFormat="1" ht="15" x14ac:dyDescent="0.2">
      <c r="B1953" s="2026">
        <v>10</v>
      </c>
      <c r="C1953" s="2027">
        <v>4.5529999999999999</v>
      </c>
      <c r="D1953" s="2027">
        <v>277</v>
      </c>
      <c r="E1953" s="2027">
        <v>294</v>
      </c>
      <c r="F1953" s="2027">
        <v>310</v>
      </c>
      <c r="G1953" s="2027">
        <v>327</v>
      </c>
      <c r="H1953" s="2027">
        <v>344</v>
      </c>
      <c r="I1953" s="2027">
        <v>361</v>
      </c>
      <c r="J1953" s="2027">
        <v>377</v>
      </c>
      <c r="K1953" s="2027">
        <v>394</v>
      </c>
      <c r="L1953" s="2028">
        <v>13</v>
      </c>
      <c r="M1953"/>
      <c r="N1953"/>
    </row>
    <row r="1954" spans="2:14" s="1391" customFormat="1" ht="15" x14ac:dyDescent="0.2">
      <c r="B1954" s="2026">
        <v>11</v>
      </c>
      <c r="C1954" s="2027">
        <v>4.8029999999999999</v>
      </c>
      <c r="D1954" s="2027">
        <v>307</v>
      </c>
      <c r="E1954" s="2027">
        <v>326</v>
      </c>
      <c r="F1954" s="2027">
        <v>344</v>
      </c>
      <c r="G1954" s="2027">
        <v>363</v>
      </c>
      <c r="H1954" s="2027">
        <v>381</v>
      </c>
      <c r="I1954" s="2027">
        <v>400</v>
      </c>
      <c r="J1954" s="2027">
        <v>418</v>
      </c>
      <c r="K1954" s="2027">
        <v>437</v>
      </c>
      <c r="L1954" s="2028">
        <v>14</v>
      </c>
      <c r="M1954"/>
      <c r="N1954"/>
    </row>
    <row r="1955" spans="2:14" s="1391" customFormat="1" ht="15" x14ac:dyDescent="0.2">
      <c r="B1955" s="2026">
        <v>12</v>
      </c>
      <c r="C1955" s="2027">
        <v>5.0529999999999999</v>
      </c>
      <c r="D1955" s="2027">
        <v>337</v>
      </c>
      <c r="E1955" s="2027">
        <v>358</v>
      </c>
      <c r="F1955" s="2027">
        <v>378</v>
      </c>
      <c r="G1955" s="2027">
        <v>399</v>
      </c>
      <c r="H1955" s="2027">
        <v>419</v>
      </c>
      <c r="I1955" s="2027">
        <v>439</v>
      </c>
      <c r="J1955" s="2027">
        <v>460</v>
      </c>
      <c r="K1955" s="2027">
        <v>480</v>
      </c>
      <c r="L1955" s="2028">
        <v>15</v>
      </c>
      <c r="M1955"/>
      <c r="N1955"/>
    </row>
    <row r="1956" spans="2:14" s="1391" customFormat="1" ht="15" x14ac:dyDescent="0.2">
      <c r="B1956" s="2026">
        <v>13</v>
      </c>
      <c r="C1956" s="2027">
        <v>5.319</v>
      </c>
      <c r="D1956" s="2027">
        <v>369</v>
      </c>
      <c r="E1956" s="2027">
        <v>392</v>
      </c>
      <c r="F1956" s="2027">
        <v>414</v>
      </c>
      <c r="G1956" s="2027">
        <v>436</v>
      </c>
      <c r="H1956" s="2027">
        <v>459</v>
      </c>
      <c r="I1956" s="2027">
        <v>481</v>
      </c>
      <c r="J1956" s="2027">
        <v>503</v>
      </c>
      <c r="K1956" s="2027">
        <v>526</v>
      </c>
      <c r="L1956" s="2028">
        <v>16</v>
      </c>
      <c r="M1956"/>
      <c r="N1956"/>
    </row>
    <row r="1957" spans="2:14" s="1391" customFormat="1" ht="15" x14ac:dyDescent="0.2">
      <c r="B1957" s="2026">
        <v>14</v>
      </c>
      <c r="C1957" s="2027">
        <v>5.6070000000000002</v>
      </c>
      <c r="D1957" s="2027">
        <v>404</v>
      </c>
      <c r="E1957" s="2027">
        <v>428</v>
      </c>
      <c r="F1957" s="2027">
        <v>453</v>
      </c>
      <c r="G1957" s="2027">
        <v>477</v>
      </c>
      <c r="H1957" s="2027">
        <v>502</v>
      </c>
      <c r="I1957" s="2027">
        <v>526</v>
      </c>
      <c r="J1957" s="2027">
        <v>550</v>
      </c>
      <c r="K1957" s="2027">
        <v>575</v>
      </c>
      <c r="L1957" s="2028">
        <v>17</v>
      </c>
      <c r="M1957"/>
      <c r="N1957"/>
    </row>
    <row r="1958" spans="2:14" s="1391" customFormat="1" ht="15" x14ac:dyDescent="0.2">
      <c r="B1958" s="2026">
        <v>15</v>
      </c>
      <c r="C1958" s="2027">
        <v>5.9160000000000004</v>
      </c>
      <c r="D1958" s="2027">
        <v>441</v>
      </c>
      <c r="E1958" s="2027">
        <v>468</v>
      </c>
      <c r="F1958" s="2027">
        <v>494</v>
      </c>
      <c r="G1958" s="2027">
        <v>521</v>
      </c>
      <c r="H1958" s="2027">
        <v>548</v>
      </c>
      <c r="I1958" s="2027">
        <v>574</v>
      </c>
      <c r="J1958" s="2027">
        <v>601</v>
      </c>
      <c r="K1958" s="2027">
        <v>628</v>
      </c>
      <c r="L1958" s="2028">
        <v>18</v>
      </c>
      <c r="M1958"/>
      <c r="N1958"/>
    </row>
    <row r="1959" spans="2:14" s="1391" customFormat="1" ht="15" x14ac:dyDescent="0.2">
      <c r="B1959" s="4728" t="s">
        <v>1906</v>
      </c>
      <c r="C1959" s="4729"/>
      <c r="D1959" s="4729"/>
      <c r="E1959" s="4729"/>
      <c r="F1959" s="4729"/>
      <c r="G1959" s="4729"/>
      <c r="H1959" s="4729"/>
      <c r="I1959" s="4729"/>
      <c r="J1959" s="4729"/>
      <c r="K1959" s="4729"/>
      <c r="L1959" s="4730"/>
      <c r="M1959"/>
      <c r="N1959"/>
    </row>
    <row r="1960" spans="2:14" s="1391" customFormat="1" ht="15" x14ac:dyDescent="0.2">
      <c r="B1960" s="4716" t="s">
        <v>1052</v>
      </c>
      <c r="C1960" s="4711"/>
      <c r="D1960" s="4711"/>
      <c r="E1960" s="4711"/>
      <c r="F1960" s="4711"/>
      <c r="G1960" s="4711"/>
      <c r="H1960" s="4711"/>
      <c r="I1960" s="4711"/>
      <c r="J1960" s="4711"/>
      <c r="K1960" s="4711"/>
      <c r="L1960" s="4717"/>
      <c r="M1960"/>
      <c r="N1960"/>
    </row>
    <row r="1961" spans="2:14" s="1391" customFormat="1" ht="15" x14ac:dyDescent="0.2">
      <c r="B1961" s="2026"/>
      <c r="C1961" s="2027"/>
      <c r="D1961" s="2027">
        <v>1</v>
      </c>
      <c r="E1961" s="2027">
        <v>2</v>
      </c>
      <c r="F1961" s="2027">
        <v>3</v>
      </c>
      <c r="G1961" s="2027">
        <v>4</v>
      </c>
      <c r="H1961" s="2027">
        <v>5</v>
      </c>
      <c r="I1961" s="2027">
        <v>6</v>
      </c>
      <c r="J1961" s="2027">
        <v>7</v>
      </c>
      <c r="K1961" s="2027">
        <v>8</v>
      </c>
      <c r="L1961" s="2028"/>
      <c r="M1961"/>
      <c r="N1961"/>
    </row>
    <row r="1962" spans="2:14" s="1391" customFormat="1" ht="15" x14ac:dyDescent="0.2">
      <c r="B1962" s="2026">
        <v>10</v>
      </c>
      <c r="C1962" s="2027">
        <v>4.5529999999999999</v>
      </c>
      <c r="D1962" s="2027">
        <v>243</v>
      </c>
      <c r="E1962" s="2027">
        <v>256</v>
      </c>
      <c r="F1962" s="2027">
        <v>270</v>
      </c>
      <c r="G1962" s="2027">
        <v>283</v>
      </c>
      <c r="H1962" s="2027">
        <v>296</v>
      </c>
      <c r="I1962" s="2027">
        <v>309</v>
      </c>
      <c r="J1962" s="2027">
        <v>322</v>
      </c>
      <c r="K1962" s="2027">
        <v>335</v>
      </c>
      <c r="L1962" s="2028">
        <v>19</v>
      </c>
      <c r="M1962"/>
      <c r="N1962"/>
    </row>
    <row r="1963" spans="2:14" s="1391" customFormat="1" ht="15" x14ac:dyDescent="0.2">
      <c r="B1963" s="2026">
        <v>11</v>
      </c>
      <c r="C1963" s="2027">
        <v>4.8029999999999999</v>
      </c>
      <c r="D1963" s="2027">
        <v>267</v>
      </c>
      <c r="E1963" s="2027">
        <v>282</v>
      </c>
      <c r="F1963" s="2027">
        <v>296</v>
      </c>
      <c r="G1963" s="2027">
        <v>311</v>
      </c>
      <c r="H1963" s="2027">
        <v>325</v>
      </c>
      <c r="I1963" s="2027">
        <v>339</v>
      </c>
      <c r="J1963" s="2027">
        <v>353</v>
      </c>
      <c r="K1963" s="2027">
        <v>367</v>
      </c>
      <c r="L1963" s="2028">
        <v>20</v>
      </c>
      <c r="M1963"/>
      <c r="N1963"/>
    </row>
    <row r="1964" spans="2:14" s="1391" customFormat="1" ht="15" x14ac:dyDescent="0.2">
      <c r="B1964" s="2026">
        <v>12</v>
      </c>
      <c r="C1964" s="2027">
        <v>5.0529999999999999</v>
      </c>
      <c r="D1964" s="2027">
        <v>290</v>
      </c>
      <c r="E1964" s="2027">
        <v>306</v>
      </c>
      <c r="F1964" s="2027">
        <v>322</v>
      </c>
      <c r="G1964" s="2027">
        <v>338</v>
      </c>
      <c r="H1964" s="2027">
        <v>353</v>
      </c>
      <c r="I1964" s="2027">
        <v>369</v>
      </c>
      <c r="J1964" s="2027">
        <v>384</v>
      </c>
      <c r="K1964" s="2027">
        <v>399</v>
      </c>
      <c r="L1964" s="2028">
        <v>21</v>
      </c>
      <c r="M1964"/>
      <c r="N1964"/>
    </row>
    <row r="1965" spans="2:14" s="1391" customFormat="1" ht="15" x14ac:dyDescent="0.2">
      <c r="B1965" s="2026">
        <v>13</v>
      </c>
      <c r="C1965" s="2027">
        <v>5.319</v>
      </c>
      <c r="D1965" s="2027">
        <v>315</v>
      </c>
      <c r="E1965" s="2027">
        <v>332</v>
      </c>
      <c r="F1965" s="2027">
        <v>349</v>
      </c>
      <c r="G1965" s="2027">
        <v>366</v>
      </c>
      <c r="H1965" s="2027">
        <v>382</v>
      </c>
      <c r="I1965" s="2027">
        <v>399</v>
      </c>
      <c r="J1965" s="2027">
        <v>415</v>
      </c>
      <c r="K1965" s="2027">
        <v>431</v>
      </c>
      <c r="L1965" s="2028">
        <v>22</v>
      </c>
      <c r="M1965"/>
      <c r="N1965"/>
    </row>
    <row r="1966" spans="2:14" s="1391" customFormat="1" ht="15" x14ac:dyDescent="0.2">
      <c r="B1966" s="2026">
        <v>14</v>
      </c>
      <c r="C1966" s="2027">
        <v>5.6070000000000002</v>
      </c>
      <c r="D1966" s="2027">
        <v>341</v>
      </c>
      <c r="E1966" s="2027">
        <v>360</v>
      </c>
      <c r="F1966" s="2027">
        <v>378</v>
      </c>
      <c r="G1966" s="2027">
        <v>396</v>
      </c>
      <c r="H1966" s="2027">
        <v>414</v>
      </c>
      <c r="I1966" s="2027">
        <v>431</v>
      </c>
      <c r="J1966" s="2027">
        <v>449</v>
      </c>
      <c r="K1966" s="2027">
        <v>466</v>
      </c>
      <c r="L1966" s="2028">
        <v>23</v>
      </c>
      <c r="M1966"/>
      <c r="N1966"/>
    </row>
    <row r="1967" spans="2:14" s="1391" customFormat="1" ht="15" x14ac:dyDescent="0.2">
      <c r="B1967" s="2026">
        <v>15</v>
      </c>
      <c r="C1967" s="2027">
        <v>5.9160000000000004</v>
      </c>
      <c r="D1967" s="2027">
        <v>369</v>
      </c>
      <c r="E1967" s="2027">
        <v>389</v>
      </c>
      <c r="F1967" s="2027">
        <v>409</v>
      </c>
      <c r="G1967" s="2027">
        <v>428</v>
      </c>
      <c r="H1967" s="2027">
        <v>447</v>
      </c>
      <c r="I1967" s="2027">
        <v>466</v>
      </c>
      <c r="J1967" s="2027">
        <v>484</v>
      </c>
      <c r="K1967" s="2027">
        <v>502</v>
      </c>
      <c r="L1967" s="2028">
        <v>24</v>
      </c>
      <c r="M1967"/>
      <c r="N1967"/>
    </row>
    <row r="1968" spans="2:14" s="1391" customFormat="1" ht="15" x14ac:dyDescent="0.2">
      <c r="B1968" s="4716" t="s">
        <v>1569</v>
      </c>
      <c r="C1968" s="4711"/>
      <c r="D1968" s="4711"/>
      <c r="E1968" s="4711"/>
      <c r="F1968" s="4711"/>
      <c r="G1968" s="4711"/>
      <c r="H1968" s="4711"/>
      <c r="I1968" s="4711"/>
      <c r="J1968" s="4711"/>
      <c r="K1968" s="4711"/>
      <c r="L1968" s="4717"/>
      <c r="M1968"/>
      <c r="N1968"/>
    </row>
    <row r="1969" spans="2:14" s="1391" customFormat="1" ht="15" x14ac:dyDescent="0.2">
      <c r="B1969" s="2026"/>
      <c r="C1969" s="2027"/>
      <c r="D1969" s="2027">
        <v>1</v>
      </c>
      <c r="E1969" s="2027">
        <v>2</v>
      </c>
      <c r="F1969" s="2027">
        <v>3</v>
      </c>
      <c r="G1969" s="2027">
        <v>4</v>
      </c>
      <c r="H1969" s="2027">
        <v>5</v>
      </c>
      <c r="I1969" s="2027">
        <v>6</v>
      </c>
      <c r="J1969" s="2027">
        <v>7</v>
      </c>
      <c r="K1969" s="2027">
        <v>8</v>
      </c>
      <c r="L1969" s="2028"/>
      <c r="M1969"/>
      <c r="N1969"/>
    </row>
    <row r="1970" spans="2:14" s="1391" customFormat="1" ht="15" x14ac:dyDescent="0.2">
      <c r="B1970" s="2026">
        <v>10</v>
      </c>
      <c r="C1970" s="2027">
        <v>4.5529999999999999</v>
      </c>
      <c r="D1970" s="2027">
        <v>251</v>
      </c>
      <c r="E1970" s="2027">
        <v>265</v>
      </c>
      <c r="F1970" s="2027">
        <v>279</v>
      </c>
      <c r="G1970" s="2027">
        <v>292</v>
      </c>
      <c r="H1970" s="2027">
        <v>306</v>
      </c>
      <c r="I1970" s="2027">
        <v>319</v>
      </c>
      <c r="J1970" s="2027">
        <v>333</v>
      </c>
      <c r="K1970" s="2027">
        <v>346</v>
      </c>
      <c r="L1970" s="2028">
        <v>25</v>
      </c>
      <c r="M1970"/>
      <c r="N1970"/>
    </row>
    <row r="1971" spans="2:14" s="1391" customFormat="1" ht="15" x14ac:dyDescent="0.2">
      <c r="B1971" s="2026">
        <v>11</v>
      </c>
      <c r="C1971" s="2027">
        <v>4.8029999999999999</v>
      </c>
      <c r="D1971" s="2027">
        <v>276</v>
      </c>
      <c r="E1971" s="2027">
        <v>291</v>
      </c>
      <c r="F1971" s="2027">
        <v>306</v>
      </c>
      <c r="G1971" s="2027">
        <v>321</v>
      </c>
      <c r="H1971" s="2027">
        <v>336</v>
      </c>
      <c r="I1971" s="2027">
        <v>350</v>
      </c>
      <c r="J1971" s="2027">
        <v>365</v>
      </c>
      <c r="K1971" s="2027">
        <v>379</v>
      </c>
      <c r="L1971" s="2028">
        <v>26</v>
      </c>
      <c r="M1971"/>
      <c r="N1971"/>
    </row>
    <row r="1972" spans="2:14" s="1391" customFormat="1" ht="15" x14ac:dyDescent="0.2">
      <c r="B1972" s="2026">
        <v>12</v>
      </c>
      <c r="C1972" s="2027">
        <v>5.0529999999999999</v>
      </c>
      <c r="D1972" s="2027">
        <v>300</v>
      </c>
      <c r="E1972" s="2027">
        <v>317</v>
      </c>
      <c r="F1972" s="2027">
        <v>333</v>
      </c>
      <c r="G1972" s="2027">
        <v>349</v>
      </c>
      <c r="H1972" s="2027">
        <v>365</v>
      </c>
      <c r="I1972" s="2027">
        <v>381</v>
      </c>
      <c r="J1972" s="2027">
        <v>397</v>
      </c>
      <c r="K1972" s="2027">
        <v>412</v>
      </c>
      <c r="L1972" s="2028">
        <v>27</v>
      </c>
      <c r="M1972"/>
      <c r="N1972"/>
    </row>
    <row r="1973" spans="2:14" s="1391" customFormat="1" ht="15" x14ac:dyDescent="0.2">
      <c r="B1973" s="2026">
        <v>13</v>
      </c>
      <c r="C1973" s="2027">
        <v>5.319</v>
      </c>
      <c r="D1973" s="2027">
        <v>326</v>
      </c>
      <c r="E1973" s="2027">
        <v>344</v>
      </c>
      <c r="F1973" s="2027">
        <v>361</v>
      </c>
      <c r="G1973" s="2027">
        <v>378</v>
      </c>
      <c r="H1973" s="2027">
        <v>396</v>
      </c>
      <c r="I1973" s="2027">
        <v>412</v>
      </c>
      <c r="J1973" s="2027">
        <v>429</v>
      </c>
      <c r="K1973" s="2027">
        <v>446</v>
      </c>
      <c r="L1973" s="2028">
        <v>28</v>
      </c>
      <c r="M1973"/>
      <c r="N1973"/>
    </row>
    <row r="1974" spans="2:14" s="1391" customFormat="1" ht="15" x14ac:dyDescent="0.2">
      <c r="B1974" s="2026">
        <v>14</v>
      </c>
      <c r="C1974" s="2027">
        <v>5.6070000000000002</v>
      </c>
      <c r="D1974" s="2027">
        <v>353</v>
      </c>
      <c r="E1974" s="2027">
        <v>372</v>
      </c>
      <c r="F1974" s="2027">
        <v>391</v>
      </c>
      <c r="G1974" s="2027">
        <v>410</v>
      </c>
      <c r="H1974" s="2027">
        <v>428</v>
      </c>
      <c r="I1974" s="2027">
        <v>446</v>
      </c>
      <c r="J1974" s="2027">
        <v>464</v>
      </c>
      <c r="K1974" s="2027">
        <v>481</v>
      </c>
      <c r="L1974" s="2028">
        <v>29</v>
      </c>
      <c r="M1974"/>
      <c r="N1974"/>
    </row>
    <row r="1975" spans="2:14" s="1391" customFormat="1" ht="15" x14ac:dyDescent="0.2">
      <c r="B1975" s="2026">
        <v>15</v>
      </c>
      <c r="C1975" s="2027">
        <v>5.9160000000000004</v>
      </c>
      <c r="D1975" s="2027">
        <v>382</v>
      </c>
      <c r="E1975" s="2027">
        <v>402</v>
      </c>
      <c r="F1975" s="2027">
        <v>423</v>
      </c>
      <c r="G1975" s="2027">
        <v>442</v>
      </c>
      <c r="H1975" s="2027">
        <v>462</v>
      </c>
      <c r="I1975" s="2027">
        <v>481</v>
      </c>
      <c r="J1975" s="2027">
        <v>500</v>
      </c>
      <c r="K1975" s="2027">
        <v>519</v>
      </c>
      <c r="L1975" s="2028">
        <v>30</v>
      </c>
      <c r="M1975"/>
      <c r="N1975"/>
    </row>
    <row r="1976" spans="2:14" s="1391" customFormat="1" ht="15" x14ac:dyDescent="0.2">
      <c r="B1976" s="4716" t="s">
        <v>1568</v>
      </c>
      <c r="C1976" s="4711"/>
      <c r="D1976" s="4711"/>
      <c r="E1976" s="4711"/>
      <c r="F1976" s="4711"/>
      <c r="G1976" s="4711"/>
      <c r="H1976" s="4711"/>
      <c r="I1976" s="4711"/>
      <c r="J1976" s="4711"/>
      <c r="K1976" s="4711"/>
      <c r="L1976" s="4717"/>
      <c r="M1976"/>
      <c r="N1976"/>
    </row>
    <row r="1977" spans="2:14" s="1391" customFormat="1" ht="15" x14ac:dyDescent="0.2">
      <c r="B1977" s="2026"/>
      <c r="C1977" s="2027"/>
      <c r="D1977" s="2027">
        <v>1</v>
      </c>
      <c r="E1977" s="2027">
        <v>2</v>
      </c>
      <c r="F1977" s="2027">
        <v>3</v>
      </c>
      <c r="G1977" s="2027">
        <v>4</v>
      </c>
      <c r="H1977" s="2027">
        <v>5</v>
      </c>
      <c r="I1977" s="2027">
        <v>6</v>
      </c>
      <c r="J1977" s="2027">
        <v>7</v>
      </c>
      <c r="K1977" s="2027">
        <v>8</v>
      </c>
      <c r="L1977" s="2028"/>
      <c r="M1977"/>
      <c r="N1977"/>
    </row>
    <row r="1978" spans="2:14" s="1391" customFormat="1" ht="15" x14ac:dyDescent="0.2">
      <c r="B1978" s="2026">
        <v>10</v>
      </c>
      <c r="C1978" s="2027">
        <v>4.5529999999999999</v>
      </c>
      <c r="D1978" s="2027">
        <v>256</v>
      </c>
      <c r="E1978" s="2027">
        <v>270</v>
      </c>
      <c r="F1978" s="2027">
        <v>284</v>
      </c>
      <c r="G1978" s="2027">
        <v>298</v>
      </c>
      <c r="H1978" s="2027">
        <v>312</v>
      </c>
      <c r="I1978" s="2027">
        <v>329</v>
      </c>
      <c r="J1978" s="2027">
        <v>340</v>
      </c>
      <c r="K1978" s="2027">
        <v>353</v>
      </c>
      <c r="L1978" s="2028">
        <v>31</v>
      </c>
      <c r="M1978"/>
      <c r="N1978"/>
    </row>
    <row r="1979" spans="2:14" s="1391" customFormat="1" ht="15" x14ac:dyDescent="0.2">
      <c r="B1979" s="2026">
        <v>11</v>
      </c>
      <c r="C1979" s="2027">
        <v>4.8029999999999999</v>
      </c>
      <c r="D1979" s="2027">
        <v>282</v>
      </c>
      <c r="E1979" s="2027">
        <v>297</v>
      </c>
      <c r="F1979" s="2027">
        <v>312</v>
      </c>
      <c r="G1979" s="2027">
        <v>328</v>
      </c>
      <c r="H1979" s="2027">
        <v>343</v>
      </c>
      <c r="I1979" s="2027">
        <v>357</v>
      </c>
      <c r="J1979" s="2027">
        <v>372</v>
      </c>
      <c r="K1979" s="2027">
        <v>387</v>
      </c>
      <c r="L1979" s="2028">
        <v>32</v>
      </c>
      <c r="M1979"/>
      <c r="N1979"/>
    </row>
    <row r="1980" spans="2:14" s="1391" customFormat="1" ht="15" x14ac:dyDescent="0.2">
      <c r="B1980" s="2026">
        <v>12</v>
      </c>
      <c r="C1980" s="2027">
        <v>5.0529999999999999</v>
      </c>
      <c r="D1980" s="2027">
        <v>307</v>
      </c>
      <c r="E1980" s="2027">
        <v>324</v>
      </c>
      <c r="F1980" s="2027">
        <v>340</v>
      </c>
      <c r="G1980" s="2027">
        <v>356</v>
      </c>
      <c r="H1980" s="2027">
        <v>373</v>
      </c>
      <c r="I1980" s="2027">
        <v>389</v>
      </c>
      <c r="J1980" s="2027">
        <v>405</v>
      </c>
      <c r="K1980" s="2027">
        <v>421</v>
      </c>
      <c r="L1980" s="2028">
        <v>33</v>
      </c>
      <c r="M1980"/>
      <c r="N1980"/>
    </row>
    <row r="1981" spans="2:14" s="1391" customFormat="1" ht="15" x14ac:dyDescent="0.2">
      <c r="B1981" s="2026">
        <v>13</v>
      </c>
      <c r="C1981" s="2027">
        <v>5.319</v>
      </c>
      <c r="D1981" s="2027">
        <v>333</v>
      </c>
      <c r="E1981" s="2027">
        <v>351</v>
      </c>
      <c r="F1981" s="2027">
        <v>369</v>
      </c>
      <c r="G1981" s="2027">
        <v>386</v>
      </c>
      <c r="H1981" s="2027">
        <v>404</v>
      </c>
      <c r="I1981" s="2027">
        <v>421</v>
      </c>
      <c r="J1981" s="2027">
        <v>438</v>
      </c>
      <c r="K1981" s="2027">
        <v>455</v>
      </c>
      <c r="L1981" s="2028">
        <v>34</v>
      </c>
      <c r="M1981"/>
      <c r="N1981"/>
    </row>
    <row r="1982" spans="2:14" s="1391" customFormat="1" ht="15" x14ac:dyDescent="0.2">
      <c r="B1982" s="2026">
        <v>14</v>
      </c>
      <c r="C1982" s="2027">
        <v>5.6070000000000002</v>
      </c>
      <c r="D1982" s="2027">
        <v>361</v>
      </c>
      <c r="E1982" s="2027">
        <v>380</v>
      </c>
      <c r="F1982" s="2027">
        <v>399</v>
      </c>
      <c r="G1982" s="2027">
        <v>418</v>
      </c>
      <c r="H1982" s="2027">
        <v>437</v>
      </c>
      <c r="I1982" s="2027">
        <v>455</v>
      </c>
      <c r="J1982" s="2027">
        <v>473</v>
      </c>
      <c r="K1982" s="2027">
        <v>491</v>
      </c>
      <c r="L1982" s="2028">
        <v>35</v>
      </c>
      <c r="M1982"/>
      <c r="N1982"/>
    </row>
    <row r="1983" spans="2:14" s="1391" customFormat="1" ht="15.75" thickBot="1" x14ac:dyDescent="0.25">
      <c r="B1983" s="2030">
        <v>15</v>
      </c>
      <c r="C1983" s="2031">
        <v>5.9160000000000004</v>
      </c>
      <c r="D1983" s="2031">
        <v>390</v>
      </c>
      <c r="E1983" s="2031">
        <v>411</v>
      </c>
      <c r="F1983" s="2031">
        <v>431</v>
      </c>
      <c r="G1983" s="2031">
        <v>451</v>
      </c>
      <c r="H1983" s="2031">
        <v>471</v>
      </c>
      <c r="I1983" s="2031">
        <v>490</v>
      </c>
      <c r="J1983" s="2031">
        <v>510</v>
      </c>
      <c r="K1983" s="2031">
        <v>529</v>
      </c>
      <c r="L1983" s="2028">
        <v>36</v>
      </c>
      <c r="M1983"/>
      <c r="N1983"/>
    </row>
    <row r="1984" spans="2:14" s="1391" customFormat="1" ht="15" x14ac:dyDescent="0.2">
      <c r="B1984"/>
      <c r="C1984"/>
      <c r="D1984"/>
      <c r="E1984"/>
      <c r="F1984"/>
      <c r="G1984"/>
      <c r="H1984"/>
      <c r="I1984"/>
      <c r="J1984"/>
      <c r="K1984"/>
      <c r="L1984"/>
      <c r="M1984"/>
      <c r="N1984"/>
    </row>
    <row r="1985" spans="2:14" s="1391" customFormat="1" ht="18" x14ac:dyDescent="0.25">
      <c r="B1985" s="2021" t="s">
        <v>4822</v>
      </c>
      <c r="C1985" s="2021"/>
      <c r="D1985" s="2021"/>
      <c r="E1985" s="2021"/>
      <c r="F1985" s="2021"/>
      <c r="G1985" s="2021"/>
      <c r="H1985" s="2021"/>
      <c r="I1985" s="2021"/>
      <c r="J1985" s="2021"/>
      <c r="K1985" s="2021"/>
      <c r="L1985"/>
      <c r="M1985"/>
      <c r="N1985"/>
    </row>
    <row r="1986" spans="2:14" s="1391" customFormat="1" ht="15.75" thickBot="1" x14ac:dyDescent="0.25">
      <c r="B1986" s="1157" t="s">
        <v>1570</v>
      </c>
      <c r="C1986" s="1157"/>
      <c r="D1986" s="1157"/>
      <c r="E1986" s="1157"/>
      <c r="F1986" s="1157"/>
      <c r="G1986" s="1157"/>
      <c r="H1986" s="1157"/>
      <c r="I1986" s="1157"/>
      <c r="J1986" s="1157"/>
      <c r="K1986" s="1157"/>
      <c r="L1986"/>
      <c r="M1986"/>
      <c r="N1986"/>
    </row>
    <row r="1987" spans="2:14" s="1391" customFormat="1" ht="15.75" x14ac:dyDescent="0.25">
      <c r="B1987" s="4731" t="s">
        <v>4218</v>
      </c>
      <c r="C1987" s="4732"/>
      <c r="D1987" s="4732"/>
      <c r="E1987" s="4732"/>
      <c r="F1987" s="4732"/>
      <c r="G1987" s="4732"/>
      <c r="H1987" s="4732"/>
      <c r="I1987" s="4732"/>
      <c r="J1987" s="4732"/>
      <c r="K1987" s="4733"/>
      <c r="L1987"/>
      <c r="M1987"/>
      <c r="N1987"/>
    </row>
    <row r="1988" spans="2:14" s="1391" customFormat="1" ht="15" x14ac:dyDescent="0.2">
      <c r="B1988" s="4704" t="s">
        <v>1964</v>
      </c>
      <c r="C1988" s="4707" t="s">
        <v>1042</v>
      </c>
      <c r="D1988" s="4710" t="s">
        <v>5602</v>
      </c>
      <c r="E1988" s="4711"/>
      <c r="F1988" s="4711"/>
      <c r="G1988" s="4711"/>
      <c r="H1988" s="4711"/>
      <c r="I1988" s="4711"/>
      <c r="J1988" s="4712"/>
      <c r="K1988" s="4725" t="s">
        <v>2490</v>
      </c>
      <c r="L1988"/>
      <c r="M1988"/>
      <c r="N1988"/>
    </row>
    <row r="1989" spans="2:14" s="1391" customFormat="1" ht="28.5" x14ac:dyDescent="0.2">
      <c r="B1989" s="4705"/>
      <c r="C1989" s="4708"/>
      <c r="D1989" s="2033" t="s">
        <v>1571</v>
      </c>
      <c r="E1989" s="2033" t="s">
        <v>1572</v>
      </c>
      <c r="F1989" s="2033" t="s">
        <v>1573</v>
      </c>
      <c r="G1989" s="2033" t="s">
        <v>1574</v>
      </c>
      <c r="H1989" s="2033" t="s">
        <v>1575</v>
      </c>
      <c r="I1989" s="2033" t="s">
        <v>1576</v>
      </c>
      <c r="J1989" s="2033" t="s">
        <v>1577</v>
      </c>
      <c r="K1989" s="4726"/>
      <c r="L1989"/>
      <c r="M1989"/>
      <c r="N1989"/>
    </row>
    <row r="1990" spans="2:14" s="1391" customFormat="1" ht="15" x14ac:dyDescent="0.2">
      <c r="B1990" s="4706"/>
      <c r="C1990" s="4709"/>
      <c r="D1990" s="4710" t="s">
        <v>1781</v>
      </c>
      <c r="E1990" s="4711"/>
      <c r="F1990" s="4711"/>
      <c r="G1990" s="4711"/>
      <c r="H1990" s="4711"/>
      <c r="I1990" s="4711"/>
      <c r="J1990" s="4712"/>
      <c r="K1990" s="4727"/>
      <c r="L1990"/>
      <c r="M1990"/>
      <c r="N1990"/>
    </row>
    <row r="1991" spans="2:14" s="1391" customFormat="1" ht="15" x14ac:dyDescent="0.2">
      <c r="B1991" s="4728" t="s">
        <v>3689</v>
      </c>
      <c r="C1991" s="4729"/>
      <c r="D1991" s="4729"/>
      <c r="E1991" s="4729"/>
      <c r="F1991" s="4729"/>
      <c r="G1991" s="4729"/>
      <c r="H1991" s="4729"/>
      <c r="I1991" s="4729"/>
      <c r="J1991" s="4729"/>
      <c r="K1991" s="4730"/>
      <c r="L1991"/>
      <c r="M1991"/>
      <c r="N1991"/>
    </row>
    <row r="1992" spans="2:14" s="1391" customFormat="1" ht="15" x14ac:dyDescent="0.2">
      <c r="B1992" s="4716" t="s">
        <v>1578</v>
      </c>
      <c r="C1992" s="4711"/>
      <c r="D1992" s="4711"/>
      <c r="E1992" s="4711"/>
      <c r="F1992" s="4711"/>
      <c r="G1992" s="4711"/>
      <c r="H1992" s="4711"/>
      <c r="I1992" s="4711"/>
      <c r="J1992" s="4711"/>
      <c r="K1992" s="4717"/>
      <c r="L1992"/>
      <c r="M1992"/>
      <c r="N1992"/>
    </row>
    <row r="1993" spans="2:14" s="1391" customFormat="1" ht="15" x14ac:dyDescent="0.2">
      <c r="B1993" s="2026"/>
      <c r="C1993" s="2027"/>
      <c r="D1993" s="2027">
        <v>1</v>
      </c>
      <c r="E1993" s="2027">
        <v>2</v>
      </c>
      <c r="F1993" s="2027">
        <v>3</v>
      </c>
      <c r="G1993" s="2027">
        <v>4</v>
      </c>
      <c r="H1993" s="2027">
        <v>5</v>
      </c>
      <c r="I1993" s="2027">
        <v>6</v>
      </c>
      <c r="J1993" s="2027">
        <v>7</v>
      </c>
      <c r="K1993" s="2028"/>
      <c r="L1993"/>
      <c r="M1993"/>
      <c r="N1993"/>
    </row>
    <row r="1994" spans="2:14" s="1391" customFormat="1" ht="15" x14ac:dyDescent="0.2">
      <c r="B1994" s="2026">
        <v>10</v>
      </c>
      <c r="C1994" s="2027">
        <v>4.9470000000000001</v>
      </c>
      <c r="D1994" s="2027">
        <v>267</v>
      </c>
      <c r="E1994" s="2027">
        <v>309</v>
      </c>
      <c r="F1994" s="2027">
        <v>350</v>
      </c>
      <c r="G1994" s="2027">
        <v>391</v>
      </c>
      <c r="H1994" s="2027">
        <v>432</v>
      </c>
      <c r="I1994" s="2027">
        <v>473</v>
      </c>
      <c r="J1994" s="2027">
        <v>514</v>
      </c>
      <c r="K1994" s="2028">
        <v>1</v>
      </c>
      <c r="L1994"/>
      <c r="M1994"/>
      <c r="N1994"/>
    </row>
    <row r="1995" spans="2:14" s="1391" customFormat="1" ht="15" x14ac:dyDescent="0.2">
      <c r="B1995" s="2026">
        <v>11</v>
      </c>
      <c r="C1995" s="2027">
        <v>4.7480000000000002</v>
      </c>
      <c r="D1995" s="2027">
        <v>298</v>
      </c>
      <c r="E1995" s="2027">
        <v>344</v>
      </c>
      <c r="F1995" s="2027">
        <v>389</v>
      </c>
      <c r="G1995" s="2027">
        <v>435</v>
      </c>
      <c r="H1995" s="2027">
        <v>481</v>
      </c>
      <c r="I1995" s="2027">
        <v>527</v>
      </c>
      <c r="J1995" s="2027">
        <v>573</v>
      </c>
      <c r="K1995" s="2028">
        <v>2</v>
      </c>
      <c r="L1995"/>
      <c r="M1995"/>
      <c r="N1995"/>
    </row>
    <row r="1996" spans="2:14" s="1391" customFormat="1" ht="15" x14ac:dyDescent="0.2">
      <c r="B1996" s="2026">
        <v>12</v>
      </c>
      <c r="C1996" s="2027">
        <v>5.0149999999999997</v>
      </c>
      <c r="D1996" s="2027">
        <v>330</v>
      </c>
      <c r="E1996" s="2027">
        <v>381</v>
      </c>
      <c r="F1996" s="2027">
        <v>432</v>
      </c>
      <c r="G1996" s="2027">
        <v>482</v>
      </c>
      <c r="H1996" s="2027">
        <v>533</v>
      </c>
      <c r="I1996" s="2027">
        <v>584</v>
      </c>
      <c r="J1996" s="2027">
        <v>635</v>
      </c>
      <c r="K1996" s="2028">
        <v>3</v>
      </c>
      <c r="L1996"/>
      <c r="M1996"/>
      <c r="N1996"/>
    </row>
    <row r="1997" spans="2:14" s="1391" customFormat="1" ht="15" x14ac:dyDescent="0.2">
      <c r="B1997" s="2026">
        <v>13</v>
      </c>
      <c r="C1997" s="2027">
        <v>5.2220000000000004</v>
      </c>
      <c r="D1997" s="2027">
        <v>364</v>
      </c>
      <c r="E1997" s="2027">
        <v>420</v>
      </c>
      <c r="F1997" s="2027">
        <v>476</v>
      </c>
      <c r="G1997" s="2027">
        <v>532</v>
      </c>
      <c r="H1997" s="2027">
        <v>588</v>
      </c>
      <c r="I1997" s="2027">
        <v>644</v>
      </c>
      <c r="J1997" s="2027">
        <v>700</v>
      </c>
      <c r="K1997" s="2028">
        <v>4</v>
      </c>
      <c r="L1997"/>
      <c r="M1997"/>
      <c r="N1997"/>
    </row>
    <row r="1998" spans="2:14" s="1391" customFormat="1" ht="15" x14ac:dyDescent="0.2">
      <c r="B1998" s="2026">
        <v>14</v>
      </c>
      <c r="C1998" s="2027">
        <v>5.5880000000000001</v>
      </c>
      <c r="D1998" s="2027">
        <v>400</v>
      </c>
      <c r="E1998" s="2027">
        <v>462</v>
      </c>
      <c r="F1998" s="2027">
        <v>523</v>
      </c>
      <c r="G1998" s="2027">
        <v>585</v>
      </c>
      <c r="H1998" s="2027">
        <v>646</v>
      </c>
      <c r="I1998" s="2027">
        <v>708</v>
      </c>
      <c r="J1998" s="2027">
        <v>769</v>
      </c>
      <c r="K1998" s="2028">
        <v>5</v>
      </c>
      <c r="L1998"/>
      <c r="M1998"/>
      <c r="N1998"/>
    </row>
    <row r="1999" spans="2:14" s="1391" customFormat="1" ht="15" x14ac:dyDescent="0.2">
      <c r="B1999" s="2026">
        <v>15</v>
      </c>
      <c r="C1999" s="2027">
        <v>5.9</v>
      </c>
      <c r="D1999" s="2027">
        <v>438</v>
      </c>
      <c r="E1999" s="2027">
        <v>506</v>
      </c>
      <c r="F1999" s="2027">
        <v>573</v>
      </c>
      <c r="G1999" s="2027">
        <v>641</v>
      </c>
      <c r="H1999" s="2027">
        <v>708</v>
      </c>
      <c r="I1999" s="2027">
        <v>776</v>
      </c>
      <c r="J1999" s="2027">
        <v>843</v>
      </c>
      <c r="K1999" s="2028">
        <v>6</v>
      </c>
      <c r="L1999"/>
      <c r="M1999"/>
      <c r="N1999"/>
    </row>
    <row r="2000" spans="2:14" s="1391" customFormat="1" ht="15" x14ac:dyDescent="0.2">
      <c r="B2000" s="2026">
        <v>16</v>
      </c>
      <c r="C2000" s="2027">
        <v>6.3019999999999996</v>
      </c>
      <c r="D2000" s="2027">
        <v>477</v>
      </c>
      <c r="E2000" s="2027">
        <v>550</v>
      </c>
      <c r="F2000" s="2027">
        <v>624</v>
      </c>
      <c r="G2000" s="2027">
        <v>697</v>
      </c>
      <c r="H2000" s="2027">
        <v>770</v>
      </c>
      <c r="I2000" s="2027">
        <v>844</v>
      </c>
      <c r="J2000" s="2027">
        <v>917</v>
      </c>
      <c r="K2000" s="2028">
        <v>7</v>
      </c>
      <c r="L2000"/>
      <c r="M2000"/>
      <c r="N2000"/>
    </row>
    <row r="2001" spans="2:14" s="1391" customFormat="1" ht="15" x14ac:dyDescent="0.2">
      <c r="B2001" s="4716" t="s">
        <v>1579</v>
      </c>
      <c r="C2001" s="4711"/>
      <c r="D2001" s="4711"/>
      <c r="E2001" s="4711"/>
      <c r="F2001" s="4711"/>
      <c r="G2001" s="4711"/>
      <c r="H2001" s="4711"/>
      <c r="I2001" s="4711"/>
      <c r="J2001" s="4711"/>
      <c r="K2001" s="4717"/>
      <c r="L2001"/>
      <c r="M2001"/>
      <c r="N2001"/>
    </row>
    <row r="2002" spans="2:14" s="1391" customFormat="1" ht="15" x14ac:dyDescent="0.2">
      <c r="B2002" s="2026"/>
      <c r="C2002" s="2027"/>
      <c r="D2002" s="2027">
        <v>1</v>
      </c>
      <c r="E2002" s="2027">
        <v>2</v>
      </c>
      <c r="F2002" s="2027">
        <v>3</v>
      </c>
      <c r="G2002" s="2027">
        <v>4</v>
      </c>
      <c r="H2002" s="2027">
        <v>5</v>
      </c>
      <c r="I2002" s="2027">
        <v>6</v>
      </c>
      <c r="J2002" s="2027">
        <v>7</v>
      </c>
      <c r="K2002" s="2028"/>
      <c r="L2002"/>
      <c r="M2002"/>
      <c r="N2002"/>
    </row>
    <row r="2003" spans="2:14" s="1391" customFormat="1" ht="15" x14ac:dyDescent="0.2">
      <c r="B2003" s="2026">
        <v>10</v>
      </c>
      <c r="C2003" s="2027">
        <v>4.9470000000000001</v>
      </c>
      <c r="D2003" s="2027">
        <v>273</v>
      </c>
      <c r="E2003" s="2027">
        <v>316</v>
      </c>
      <c r="F2003" s="2027">
        <v>358</v>
      </c>
      <c r="G2003" s="2027">
        <v>400</v>
      </c>
      <c r="H2003" s="2027">
        <v>442</v>
      </c>
      <c r="I2003" s="2027">
        <v>484</v>
      </c>
      <c r="J2003" s="2027">
        <v>526</v>
      </c>
      <c r="K2003" s="2028">
        <v>8</v>
      </c>
      <c r="L2003"/>
      <c r="M2003"/>
      <c r="N2003"/>
    </row>
    <row r="2004" spans="2:14" s="1391" customFormat="1" ht="15" x14ac:dyDescent="0.2">
      <c r="B2004" s="2026">
        <v>11</v>
      </c>
      <c r="C2004" s="2027">
        <v>4.7480000000000002</v>
      </c>
      <c r="D2004" s="2027">
        <v>304</v>
      </c>
      <c r="E2004" s="2027">
        <v>351</v>
      </c>
      <c r="F2004" s="2027">
        <v>397</v>
      </c>
      <c r="G2004" s="2027">
        <v>444</v>
      </c>
      <c r="H2004" s="2027">
        <v>491</v>
      </c>
      <c r="I2004" s="2027">
        <v>538</v>
      </c>
      <c r="J2004" s="2027">
        <v>585</v>
      </c>
      <c r="K2004" s="2028">
        <v>9</v>
      </c>
      <c r="L2004"/>
      <c r="M2004"/>
      <c r="N2004"/>
    </row>
    <row r="2005" spans="2:14" s="1391" customFormat="1" ht="15" x14ac:dyDescent="0.2">
      <c r="B2005" s="2026">
        <v>12</v>
      </c>
      <c r="C2005" s="2027">
        <v>5.0149999999999997</v>
      </c>
      <c r="D2005" s="2027">
        <v>336</v>
      </c>
      <c r="E2005" s="2027">
        <v>388</v>
      </c>
      <c r="F2005" s="2027">
        <v>440</v>
      </c>
      <c r="G2005" s="2027">
        <v>492</v>
      </c>
      <c r="H2005" s="2027">
        <v>543</v>
      </c>
      <c r="I2005" s="2027">
        <v>595</v>
      </c>
      <c r="J2005" s="2027">
        <v>647</v>
      </c>
      <c r="K2005" s="2028">
        <v>10</v>
      </c>
      <c r="L2005"/>
      <c r="M2005"/>
      <c r="N2005"/>
    </row>
    <row r="2006" spans="2:14" s="1391" customFormat="1" ht="15" x14ac:dyDescent="0.2">
      <c r="B2006" s="2026">
        <v>13</v>
      </c>
      <c r="C2006" s="2027">
        <v>5.2220000000000004</v>
      </c>
      <c r="D2006" s="2027">
        <v>370</v>
      </c>
      <c r="E2006" s="2027">
        <v>427</v>
      </c>
      <c r="F2006" s="2027">
        <v>484</v>
      </c>
      <c r="G2006" s="2027">
        <v>541</v>
      </c>
      <c r="H2006" s="2027">
        <v>598</v>
      </c>
      <c r="I2006" s="2027">
        <v>654</v>
      </c>
      <c r="J2006" s="2027">
        <v>711</v>
      </c>
      <c r="K2006" s="2028">
        <v>11</v>
      </c>
      <c r="L2006"/>
      <c r="M2006"/>
      <c r="N2006"/>
    </row>
    <row r="2007" spans="2:14" s="1391" customFormat="1" ht="15" x14ac:dyDescent="0.2">
      <c r="B2007" s="2026">
        <v>14</v>
      </c>
      <c r="C2007" s="2027">
        <v>5.5880000000000001</v>
      </c>
      <c r="D2007" s="2027">
        <v>406</v>
      </c>
      <c r="E2007" s="2027">
        <v>468</v>
      </c>
      <c r="F2007" s="2027">
        <v>531</v>
      </c>
      <c r="G2007" s="2027">
        <v>593</v>
      </c>
      <c r="H2007" s="2027">
        <v>656</v>
      </c>
      <c r="I2007" s="2027">
        <v>718</v>
      </c>
      <c r="J2007" s="2027">
        <v>781</v>
      </c>
      <c r="K2007" s="2028">
        <v>12</v>
      </c>
      <c r="L2007"/>
      <c r="M2007"/>
      <c r="N2007"/>
    </row>
    <row r="2008" spans="2:14" s="1391" customFormat="1" ht="15" x14ac:dyDescent="0.2">
      <c r="B2008" s="2026">
        <v>15</v>
      </c>
      <c r="C2008" s="2027">
        <v>5.9</v>
      </c>
      <c r="D2008" s="2027">
        <v>444</v>
      </c>
      <c r="E2008" s="2027">
        <v>512</v>
      </c>
      <c r="F2008" s="2027">
        <v>580</v>
      </c>
      <c r="G2008" s="2027">
        <v>649</v>
      </c>
      <c r="H2008" s="2027">
        <v>717</v>
      </c>
      <c r="I2008" s="2027">
        <v>785</v>
      </c>
      <c r="J2008" s="2027">
        <v>853</v>
      </c>
      <c r="K2008" s="2028">
        <v>13</v>
      </c>
      <c r="L2008"/>
      <c r="M2008"/>
      <c r="N2008"/>
    </row>
    <row r="2009" spans="2:14" s="1391" customFormat="1" ht="15" x14ac:dyDescent="0.2">
      <c r="B2009" s="2026">
        <v>16</v>
      </c>
      <c r="C2009" s="2027">
        <v>6.3019999999999996</v>
      </c>
      <c r="D2009" s="2027">
        <v>481</v>
      </c>
      <c r="E2009" s="2027">
        <v>556</v>
      </c>
      <c r="F2009" s="2027">
        <v>630</v>
      </c>
      <c r="G2009" s="2027">
        <v>704</v>
      </c>
      <c r="H2009" s="2027">
        <v>778</v>
      </c>
      <c r="I2009" s="2027">
        <v>852</v>
      </c>
      <c r="J2009" s="2027">
        <v>926</v>
      </c>
      <c r="K2009" s="2028">
        <v>14</v>
      </c>
      <c r="L2009"/>
      <c r="M2009"/>
      <c r="N2009"/>
    </row>
    <row r="2010" spans="2:14" s="1391" customFormat="1" ht="15" x14ac:dyDescent="0.2">
      <c r="B2010" s="4716" t="s">
        <v>1580</v>
      </c>
      <c r="C2010" s="4711"/>
      <c r="D2010" s="4711"/>
      <c r="E2010" s="4711"/>
      <c r="F2010" s="4711"/>
      <c r="G2010" s="4711"/>
      <c r="H2010" s="4711"/>
      <c r="I2010" s="4711"/>
      <c r="J2010" s="4711"/>
      <c r="K2010" s="4717"/>
      <c r="L2010"/>
      <c r="M2010"/>
      <c r="N2010"/>
    </row>
    <row r="2011" spans="2:14" s="1391" customFormat="1" ht="15" x14ac:dyDescent="0.2">
      <c r="B2011" s="2026"/>
      <c r="C2011" s="2027"/>
      <c r="D2011" s="2027">
        <v>1</v>
      </c>
      <c r="E2011" s="2027">
        <v>2</v>
      </c>
      <c r="F2011" s="2027">
        <v>3</v>
      </c>
      <c r="G2011" s="2027">
        <v>4</v>
      </c>
      <c r="H2011" s="2027">
        <v>5</v>
      </c>
      <c r="I2011" s="2027">
        <v>6</v>
      </c>
      <c r="J2011" s="2027">
        <v>7</v>
      </c>
      <c r="K2011" s="2028"/>
      <c r="L2011"/>
      <c r="M2011"/>
      <c r="N2011"/>
    </row>
    <row r="2012" spans="2:14" s="1391" customFormat="1" ht="15" x14ac:dyDescent="0.2">
      <c r="B2012" s="2026">
        <v>10</v>
      </c>
      <c r="C2012" s="2027">
        <v>4.9470000000000001</v>
      </c>
      <c r="D2012" s="2027">
        <v>278</v>
      </c>
      <c r="E2012" s="2027">
        <v>320</v>
      </c>
      <c r="F2012" s="2027">
        <v>363</v>
      </c>
      <c r="G2012" s="2027">
        <v>406</v>
      </c>
      <c r="H2012" s="2027">
        <v>448</v>
      </c>
      <c r="I2012" s="2027">
        <v>491</v>
      </c>
      <c r="J2012" s="2027">
        <v>534</v>
      </c>
      <c r="K2012" s="2028">
        <v>15</v>
      </c>
      <c r="L2012"/>
      <c r="M2012"/>
      <c r="N2012"/>
    </row>
    <row r="2013" spans="2:14" s="1391" customFormat="1" ht="15" x14ac:dyDescent="0.2">
      <c r="B2013" s="2026">
        <v>11</v>
      </c>
      <c r="C2013" s="2027">
        <v>4.7480000000000002</v>
      </c>
      <c r="D2013" s="2027">
        <v>308</v>
      </c>
      <c r="E2013" s="2027">
        <v>355</v>
      </c>
      <c r="F2013" s="2027">
        <v>403</v>
      </c>
      <c r="G2013" s="2027">
        <v>450</v>
      </c>
      <c r="H2013" s="2027">
        <v>498</v>
      </c>
      <c r="I2013" s="2027">
        <v>545</v>
      </c>
      <c r="J2013" s="2027">
        <v>592</v>
      </c>
      <c r="K2013" s="2028">
        <v>16</v>
      </c>
      <c r="L2013"/>
      <c r="M2013"/>
      <c r="N2013"/>
    </row>
    <row r="2014" spans="2:14" s="1391" customFormat="1" ht="15" x14ac:dyDescent="0.2">
      <c r="B2014" s="2026">
        <v>12</v>
      </c>
      <c r="C2014" s="2027">
        <v>5.0149999999999997</v>
      </c>
      <c r="D2014" s="2027">
        <v>340</v>
      </c>
      <c r="E2014" s="2027">
        <v>381</v>
      </c>
      <c r="F2014" s="2027">
        <v>445</v>
      </c>
      <c r="G2014" s="2027">
        <v>497</v>
      </c>
      <c r="H2014" s="2027">
        <v>550</v>
      </c>
      <c r="I2014" s="2027">
        <v>602</v>
      </c>
      <c r="J2014" s="2027">
        <v>655</v>
      </c>
      <c r="K2014" s="2028">
        <v>17</v>
      </c>
      <c r="L2014"/>
      <c r="M2014"/>
      <c r="N2014"/>
    </row>
    <row r="2015" spans="2:14" s="1391" customFormat="1" ht="15" x14ac:dyDescent="0.2">
      <c r="B2015" s="2026">
        <v>13</v>
      </c>
      <c r="C2015" s="2027">
        <v>5.2220000000000004</v>
      </c>
      <c r="D2015" s="2027">
        <v>374</v>
      </c>
      <c r="E2015" s="2027">
        <v>431</v>
      </c>
      <c r="F2015" s="2027">
        <v>489</v>
      </c>
      <c r="G2015" s="2027">
        <v>546</v>
      </c>
      <c r="H2015" s="2027">
        <v>604</v>
      </c>
      <c r="I2015" s="2027">
        <v>661</v>
      </c>
      <c r="J2015" s="2027">
        <v>719</v>
      </c>
      <c r="K2015" s="2028">
        <v>18</v>
      </c>
      <c r="L2015"/>
      <c r="M2015"/>
      <c r="N2015"/>
    </row>
    <row r="2016" spans="2:14" s="1391" customFormat="1" ht="15" x14ac:dyDescent="0.2">
      <c r="B2016" s="2026">
        <v>14</v>
      </c>
      <c r="C2016" s="2027">
        <v>5.5880000000000001</v>
      </c>
      <c r="D2016" s="2027">
        <v>410</v>
      </c>
      <c r="E2016" s="2027">
        <v>473</v>
      </c>
      <c r="F2016" s="2027">
        <v>536</v>
      </c>
      <c r="G2016" s="2027">
        <v>599</v>
      </c>
      <c r="H2016" s="2027">
        <v>662</v>
      </c>
      <c r="I2016" s="2027">
        <v>725</v>
      </c>
      <c r="J2016" s="2027">
        <v>788</v>
      </c>
      <c r="K2016" s="2028">
        <v>19</v>
      </c>
      <c r="L2016"/>
      <c r="M2016"/>
      <c r="N2016"/>
    </row>
    <row r="2017" spans="2:14" s="1391" customFormat="1" ht="15" x14ac:dyDescent="0.2">
      <c r="B2017" s="2026">
        <v>15</v>
      </c>
      <c r="C2017" s="2027">
        <v>5.9</v>
      </c>
      <c r="D2017" s="2027">
        <v>447</v>
      </c>
      <c r="E2017" s="2027">
        <v>516</v>
      </c>
      <c r="F2017" s="2027">
        <v>585</v>
      </c>
      <c r="G2017" s="2027">
        <v>654</v>
      </c>
      <c r="H2017" s="2027">
        <v>722</v>
      </c>
      <c r="I2017" s="2027">
        <v>791</v>
      </c>
      <c r="J2017" s="2027">
        <v>860</v>
      </c>
      <c r="K2017" s="2028">
        <v>20</v>
      </c>
      <c r="L2017"/>
      <c r="M2017"/>
      <c r="N2017"/>
    </row>
    <row r="2018" spans="2:14" s="1391" customFormat="1" ht="15" x14ac:dyDescent="0.2">
      <c r="B2018" s="2026">
        <v>16</v>
      </c>
      <c r="C2018" s="2027">
        <v>6.3019999999999996</v>
      </c>
      <c r="D2018" s="2027">
        <v>484</v>
      </c>
      <c r="E2018" s="2027">
        <v>559</v>
      </c>
      <c r="F2018" s="2027">
        <v>633</v>
      </c>
      <c r="G2018" s="2027">
        <v>708</v>
      </c>
      <c r="H2018" s="2027">
        <v>783</v>
      </c>
      <c r="I2018" s="2027">
        <v>857</v>
      </c>
      <c r="J2018" s="2027">
        <v>932</v>
      </c>
      <c r="K2018" s="2028">
        <v>21</v>
      </c>
      <c r="L2018"/>
      <c r="M2018"/>
      <c r="N2018"/>
    </row>
    <row r="2019" spans="2:14" s="1391" customFormat="1" ht="15" x14ac:dyDescent="0.2">
      <c r="B2019" s="4716" t="s">
        <v>3051</v>
      </c>
      <c r="C2019" s="4711"/>
      <c r="D2019" s="4711"/>
      <c r="E2019" s="4711"/>
      <c r="F2019" s="4711"/>
      <c r="G2019" s="4711"/>
      <c r="H2019" s="4711"/>
      <c r="I2019" s="4711"/>
      <c r="J2019" s="4711"/>
      <c r="K2019" s="4717"/>
      <c r="L2019"/>
      <c r="M2019"/>
      <c r="N2019"/>
    </row>
    <row r="2020" spans="2:14" s="1391" customFormat="1" ht="15" x14ac:dyDescent="0.2">
      <c r="B2020" s="2026"/>
      <c r="C2020" s="2027"/>
      <c r="D2020" s="2027">
        <v>1</v>
      </c>
      <c r="E2020" s="2027">
        <v>2</v>
      </c>
      <c r="F2020" s="2027">
        <v>3</v>
      </c>
      <c r="G2020" s="2027">
        <v>4</v>
      </c>
      <c r="H2020" s="2027">
        <v>5</v>
      </c>
      <c r="I2020" s="2027">
        <v>6</v>
      </c>
      <c r="J2020" s="2027">
        <v>7</v>
      </c>
      <c r="K2020" s="2028"/>
      <c r="L2020"/>
      <c r="M2020"/>
      <c r="N2020"/>
    </row>
    <row r="2021" spans="2:14" s="1391" customFormat="1" ht="15" x14ac:dyDescent="0.2">
      <c r="B2021" s="2026">
        <v>10</v>
      </c>
      <c r="C2021" s="2027">
        <v>4.9470000000000001</v>
      </c>
      <c r="D2021" s="2027">
        <v>280</v>
      </c>
      <c r="E2021" s="2027">
        <v>324</v>
      </c>
      <c r="F2021" s="2027">
        <v>367</v>
      </c>
      <c r="G2021" s="2027">
        <v>410</v>
      </c>
      <c r="H2021" s="2027">
        <v>453</v>
      </c>
      <c r="I2021" s="2027">
        <v>496</v>
      </c>
      <c r="J2021" s="2027">
        <v>539</v>
      </c>
      <c r="K2021" s="2028">
        <v>22</v>
      </c>
      <c r="L2021"/>
      <c r="M2021"/>
      <c r="N2021"/>
    </row>
    <row r="2022" spans="2:14" s="1391" customFormat="1" ht="15" x14ac:dyDescent="0.2">
      <c r="B2022" s="2026">
        <v>11</v>
      </c>
      <c r="C2022" s="2027">
        <v>4.7480000000000002</v>
      </c>
      <c r="D2022" s="2027">
        <v>311</v>
      </c>
      <c r="E2022" s="2027">
        <v>359</v>
      </c>
      <c r="F2022" s="2027">
        <v>407</v>
      </c>
      <c r="G2022" s="2027">
        <v>454</v>
      </c>
      <c r="H2022" s="2027">
        <v>502</v>
      </c>
      <c r="I2022" s="2027">
        <v>550</v>
      </c>
      <c r="J2022" s="2027">
        <v>598</v>
      </c>
      <c r="K2022" s="2028">
        <v>23</v>
      </c>
      <c r="L2022"/>
      <c r="M2022"/>
      <c r="N2022"/>
    </row>
    <row r="2023" spans="2:14" s="1391" customFormat="1" ht="15" x14ac:dyDescent="0.2">
      <c r="B2023" s="2026">
        <v>12</v>
      </c>
      <c r="C2023" s="2027">
        <v>5.0149999999999997</v>
      </c>
      <c r="D2023" s="2027">
        <v>343</v>
      </c>
      <c r="E2023" s="2027">
        <v>396</v>
      </c>
      <c r="F2023" s="2027">
        <v>449</v>
      </c>
      <c r="G2023" s="2027">
        <v>502</v>
      </c>
      <c r="H2023" s="2027">
        <v>555</v>
      </c>
      <c r="I2023" s="2027">
        <v>607</v>
      </c>
      <c r="J2023" s="2027">
        <v>660</v>
      </c>
      <c r="K2023" s="2028">
        <v>24</v>
      </c>
      <c r="L2023"/>
      <c r="M2023"/>
      <c r="N2023"/>
    </row>
    <row r="2024" spans="2:14" s="1391" customFormat="1" ht="15" x14ac:dyDescent="0.2">
      <c r="B2024" s="2026">
        <v>13</v>
      </c>
      <c r="C2024" s="2027">
        <v>5.2220000000000004</v>
      </c>
      <c r="D2024" s="2027">
        <v>377</v>
      </c>
      <c r="E2024" s="2027">
        <v>435</v>
      </c>
      <c r="F2024" s="2027">
        <v>493</v>
      </c>
      <c r="G2024" s="2027">
        <v>551</v>
      </c>
      <c r="H2024" s="2027">
        <v>608</v>
      </c>
      <c r="I2024" s="2027">
        <v>666</v>
      </c>
      <c r="J2024" s="2027">
        <v>724</v>
      </c>
      <c r="K2024" s="2028">
        <v>25</v>
      </c>
      <c r="L2024"/>
      <c r="M2024"/>
      <c r="N2024"/>
    </row>
    <row r="2025" spans="2:14" s="1391" customFormat="1" ht="15" x14ac:dyDescent="0.2">
      <c r="B2025" s="2026">
        <v>14</v>
      </c>
      <c r="C2025" s="2027">
        <v>5.5880000000000001</v>
      </c>
      <c r="D2025" s="2027">
        <v>412</v>
      </c>
      <c r="E2025" s="2027">
        <v>476</v>
      </c>
      <c r="F2025" s="2027">
        <v>539</v>
      </c>
      <c r="G2025" s="2027">
        <v>603</v>
      </c>
      <c r="H2025" s="2027">
        <v>666</v>
      </c>
      <c r="I2025" s="2027">
        <v>730</v>
      </c>
      <c r="J2025" s="2027">
        <v>793</v>
      </c>
      <c r="K2025" s="2028">
        <v>26</v>
      </c>
      <c r="L2025"/>
      <c r="M2025"/>
      <c r="N2025"/>
    </row>
    <row r="2026" spans="2:14" s="1391" customFormat="1" ht="15" x14ac:dyDescent="0.2">
      <c r="B2026" s="2026">
        <v>15</v>
      </c>
      <c r="C2026" s="2027">
        <v>5.9</v>
      </c>
      <c r="D2026" s="2027">
        <v>450</v>
      </c>
      <c r="E2026" s="2027">
        <v>519</v>
      </c>
      <c r="F2026" s="2027">
        <v>588</v>
      </c>
      <c r="G2026" s="2027">
        <v>657</v>
      </c>
      <c r="H2026" s="2027">
        <v>726</v>
      </c>
      <c r="I2026" s="2027">
        <v>795</v>
      </c>
      <c r="J2026" s="2027">
        <v>865</v>
      </c>
      <c r="K2026" s="2028">
        <v>27</v>
      </c>
      <c r="L2026"/>
      <c r="M2026"/>
      <c r="N2026"/>
    </row>
    <row r="2027" spans="2:14" s="1391" customFormat="1" ht="15" x14ac:dyDescent="0.2">
      <c r="B2027" s="2026">
        <v>16</v>
      </c>
      <c r="C2027" s="2027">
        <v>6.3019999999999996</v>
      </c>
      <c r="D2027" s="2027">
        <v>481</v>
      </c>
      <c r="E2027" s="2027">
        <v>561</v>
      </c>
      <c r="F2027" s="2027">
        <v>636</v>
      </c>
      <c r="G2027" s="2027">
        <v>711</v>
      </c>
      <c r="H2027" s="2027">
        <v>786</v>
      </c>
      <c r="I2027" s="2027">
        <v>861</v>
      </c>
      <c r="J2027" s="2027">
        <v>936</v>
      </c>
      <c r="K2027" s="2028">
        <v>28</v>
      </c>
      <c r="L2027"/>
      <c r="M2027"/>
      <c r="N2027"/>
    </row>
    <row r="2028" spans="2:14" s="1391" customFormat="1" ht="15" x14ac:dyDescent="0.2">
      <c r="B2028" s="4728" t="s">
        <v>1906</v>
      </c>
      <c r="C2028" s="4729"/>
      <c r="D2028" s="4729"/>
      <c r="E2028" s="4729"/>
      <c r="F2028" s="4729"/>
      <c r="G2028" s="4729"/>
      <c r="H2028" s="4729"/>
      <c r="I2028" s="4729"/>
      <c r="J2028" s="4729"/>
      <c r="K2028" s="4730"/>
      <c r="L2028"/>
      <c r="M2028"/>
      <c r="N2028"/>
    </row>
    <row r="2029" spans="2:14" s="1391" customFormat="1" ht="15" x14ac:dyDescent="0.2">
      <c r="B2029" s="4716" t="s">
        <v>1578</v>
      </c>
      <c r="C2029" s="4711"/>
      <c r="D2029" s="4711"/>
      <c r="E2029" s="4711"/>
      <c r="F2029" s="4711"/>
      <c r="G2029" s="4711"/>
      <c r="H2029" s="4711"/>
      <c r="I2029" s="4711"/>
      <c r="J2029" s="4711"/>
      <c r="K2029" s="4717"/>
      <c r="L2029"/>
      <c r="M2029"/>
      <c r="N2029"/>
    </row>
    <row r="2030" spans="2:14" s="1391" customFormat="1" ht="15" x14ac:dyDescent="0.2">
      <c r="B2030" s="2026"/>
      <c r="C2030" s="2027"/>
      <c r="D2030" s="2027">
        <v>1</v>
      </c>
      <c r="E2030" s="2027">
        <v>2</v>
      </c>
      <c r="F2030" s="2027">
        <v>3</v>
      </c>
      <c r="G2030" s="2027">
        <v>4</v>
      </c>
      <c r="H2030" s="2027">
        <v>5</v>
      </c>
      <c r="I2030" s="2027">
        <v>6</v>
      </c>
      <c r="J2030" s="2027">
        <v>7</v>
      </c>
      <c r="K2030" s="2028"/>
      <c r="L2030"/>
      <c r="M2030"/>
      <c r="N2030"/>
    </row>
    <row r="2031" spans="2:14" s="1391" customFormat="1" ht="15" x14ac:dyDescent="0.2">
      <c r="B2031" s="2026">
        <v>10</v>
      </c>
      <c r="C2031" s="2027">
        <v>4.9470000000000001</v>
      </c>
      <c r="D2031" s="2027">
        <v>248</v>
      </c>
      <c r="E2031" s="2027">
        <v>282</v>
      </c>
      <c r="F2031" s="2027">
        <v>316</v>
      </c>
      <c r="G2031" s="2027">
        <v>350</v>
      </c>
      <c r="H2031" s="2027">
        <v>382</v>
      </c>
      <c r="I2031" s="2027">
        <v>414</v>
      </c>
      <c r="J2031" s="2027">
        <v>445</v>
      </c>
      <c r="K2031" s="2028">
        <v>29</v>
      </c>
      <c r="L2031"/>
      <c r="M2031"/>
      <c r="N2031"/>
    </row>
    <row r="2032" spans="2:14" s="1391" customFormat="1" ht="15" x14ac:dyDescent="0.2">
      <c r="B2032" s="2026">
        <v>11</v>
      </c>
      <c r="C2032" s="2027">
        <v>4.7480000000000002</v>
      </c>
      <c r="D2032" s="2027">
        <v>273</v>
      </c>
      <c r="E2032" s="2027">
        <v>311</v>
      </c>
      <c r="F2032" s="2027">
        <v>349</v>
      </c>
      <c r="G2032" s="2027">
        <v>385</v>
      </c>
      <c r="H2032" s="2027">
        <v>420</v>
      </c>
      <c r="I2032" s="2027">
        <v>455</v>
      </c>
      <c r="J2032" s="2027">
        <v>488</v>
      </c>
      <c r="K2032" s="2028">
        <v>30</v>
      </c>
      <c r="L2032"/>
      <c r="M2032"/>
      <c r="N2032"/>
    </row>
    <row r="2033" spans="2:14" s="1391" customFormat="1" ht="15" x14ac:dyDescent="0.2">
      <c r="B2033" s="2026">
        <v>12</v>
      </c>
      <c r="C2033" s="2027">
        <v>5.0149999999999997</v>
      </c>
      <c r="D2033" s="2027">
        <v>300</v>
      </c>
      <c r="E2033" s="2027">
        <v>342</v>
      </c>
      <c r="F2033" s="2027">
        <v>382</v>
      </c>
      <c r="G2033" s="2027">
        <v>421</v>
      </c>
      <c r="H2033" s="2027">
        <v>460</v>
      </c>
      <c r="I2033" s="2027">
        <v>497</v>
      </c>
      <c r="J2033" s="2027">
        <v>533</v>
      </c>
      <c r="K2033" s="2028">
        <v>31</v>
      </c>
      <c r="L2033"/>
      <c r="M2033"/>
      <c r="N2033"/>
    </row>
    <row r="2034" spans="2:14" s="1391" customFormat="1" ht="15" x14ac:dyDescent="0.2">
      <c r="B2034" s="2026">
        <v>13</v>
      </c>
      <c r="C2034" s="2027">
        <v>5.2220000000000004</v>
      </c>
      <c r="D2034" s="2027">
        <v>328</v>
      </c>
      <c r="E2034" s="2027">
        <v>373</v>
      </c>
      <c r="F2034" s="2027">
        <v>416</v>
      </c>
      <c r="G2034" s="2027">
        <v>458</v>
      </c>
      <c r="H2034" s="2027">
        <v>499</v>
      </c>
      <c r="I2034" s="2027">
        <v>539</v>
      </c>
      <c r="J2034" s="2027">
        <v>578</v>
      </c>
      <c r="K2034" s="2028">
        <v>32</v>
      </c>
      <c r="L2034"/>
      <c r="M2034"/>
      <c r="N2034"/>
    </row>
    <row r="2035" spans="2:14" s="1391" customFormat="1" ht="15" x14ac:dyDescent="0.2">
      <c r="B2035" s="2026">
        <v>14</v>
      </c>
      <c r="C2035" s="2027">
        <v>5.5880000000000001</v>
      </c>
      <c r="D2035" s="2027">
        <v>357</v>
      </c>
      <c r="E2035" s="2027">
        <v>405</v>
      </c>
      <c r="F2035" s="2027">
        <v>450</v>
      </c>
      <c r="G2035" s="2027">
        <v>497</v>
      </c>
      <c r="H2035" s="2027">
        <v>541</v>
      </c>
      <c r="I2035" s="2027">
        <v>584</v>
      </c>
      <c r="J2035" s="2027">
        <v>625</v>
      </c>
      <c r="K2035" s="2028">
        <v>33</v>
      </c>
      <c r="L2035"/>
      <c r="M2035"/>
      <c r="N2035"/>
    </row>
    <row r="2036" spans="2:14" s="1391" customFormat="1" ht="15" x14ac:dyDescent="0.2">
      <c r="B2036" s="2026">
        <v>15</v>
      </c>
      <c r="C2036" s="2027">
        <v>5.9</v>
      </c>
      <c r="D2036" s="2027">
        <v>387</v>
      </c>
      <c r="E2036" s="2027">
        <v>439</v>
      </c>
      <c r="F2036" s="2027">
        <v>489</v>
      </c>
      <c r="G2036" s="2027">
        <v>537</v>
      </c>
      <c r="H2036" s="2027">
        <v>584</v>
      </c>
      <c r="I2036" s="2027">
        <v>629</v>
      </c>
      <c r="J2036" s="2027">
        <v>673</v>
      </c>
      <c r="K2036" s="2028">
        <v>34</v>
      </c>
      <c r="L2036"/>
      <c r="M2036"/>
      <c r="N2036"/>
    </row>
    <row r="2037" spans="2:14" s="1391" customFormat="1" ht="15" x14ac:dyDescent="0.2">
      <c r="B2037" s="2026">
        <v>16</v>
      </c>
      <c r="C2037" s="2027">
        <v>6.3019999999999996</v>
      </c>
      <c r="D2037" s="2027">
        <v>417</v>
      </c>
      <c r="E2037" s="2027">
        <v>472</v>
      </c>
      <c r="F2037" s="2027">
        <v>525</v>
      </c>
      <c r="G2037" s="2027">
        <v>576</v>
      </c>
      <c r="H2037" s="2027">
        <v>625</v>
      </c>
      <c r="I2037" s="2027">
        <v>673</v>
      </c>
      <c r="J2037" s="2027">
        <v>719</v>
      </c>
      <c r="K2037" s="2028">
        <v>35</v>
      </c>
      <c r="L2037"/>
      <c r="M2037"/>
      <c r="N2037"/>
    </row>
    <row r="2038" spans="2:14" s="1391" customFormat="1" ht="15" x14ac:dyDescent="0.2">
      <c r="B2038" s="4716" t="s">
        <v>1579</v>
      </c>
      <c r="C2038" s="4711"/>
      <c r="D2038" s="4711"/>
      <c r="E2038" s="4711"/>
      <c r="F2038" s="4711"/>
      <c r="G2038" s="4711"/>
      <c r="H2038" s="4711"/>
      <c r="I2038" s="4711"/>
      <c r="J2038" s="4711"/>
      <c r="K2038" s="4717"/>
      <c r="L2038"/>
      <c r="M2038"/>
      <c r="N2038"/>
    </row>
    <row r="2039" spans="2:14" s="1391" customFormat="1" ht="15" x14ac:dyDescent="0.2">
      <c r="B2039" s="2026"/>
      <c r="C2039" s="2027"/>
      <c r="D2039" s="2027">
        <v>1</v>
      </c>
      <c r="E2039" s="2027">
        <v>2</v>
      </c>
      <c r="F2039" s="2027">
        <v>3</v>
      </c>
      <c r="G2039" s="2027">
        <v>4</v>
      </c>
      <c r="H2039" s="2027">
        <v>5</v>
      </c>
      <c r="I2039" s="2027">
        <v>6</v>
      </c>
      <c r="J2039" s="2027">
        <v>7</v>
      </c>
      <c r="K2039" s="2028"/>
      <c r="L2039"/>
      <c r="M2039"/>
      <c r="N2039"/>
    </row>
    <row r="2040" spans="2:14" s="1391" customFormat="1" ht="15" x14ac:dyDescent="0.2">
      <c r="B2040" s="2026">
        <v>10</v>
      </c>
      <c r="C2040" s="2027">
        <v>4.9470000000000001</v>
      </c>
      <c r="D2040" s="2027">
        <v>253</v>
      </c>
      <c r="E2040" s="2027">
        <v>288</v>
      </c>
      <c r="F2040" s="2027">
        <v>323</v>
      </c>
      <c r="G2040" s="2027">
        <v>357</v>
      </c>
      <c r="H2040" s="2027">
        <v>390</v>
      </c>
      <c r="I2040" s="2027">
        <v>422</v>
      </c>
      <c r="J2040" s="2027">
        <v>454</v>
      </c>
      <c r="K2040" s="2028">
        <v>36</v>
      </c>
      <c r="L2040"/>
      <c r="M2040"/>
      <c r="N2040"/>
    </row>
    <row r="2041" spans="2:14" s="1391" customFormat="1" ht="15" x14ac:dyDescent="0.2">
      <c r="B2041" s="2026">
        <v>11</v>
      </c>
      <c r="C2041" s="2027">
        <v>4.7480000000000002</v>
      </c>
      <c r="D2041" s="2027">
        <v>279</v>
      </c>
      <c r="E2041" s="2027">
        <v>317</v>
      </c>
      <c r="F2041" s="2027">
        <v>355</v>
      </c>
      <c r="G2041" s="2027">
        <v>392</v>
      </c>
      <c r="H2041" s="2027">
        <v>428</v>
      </c>
      <c r="I2041" s="2027">
        <v>463</v>
      </c>
      <c r="J2041" s="2027">
        <v>497</v>
      </c>
      <c r="K2041" s="2028">
        <v>37</v>
      </c>
      <c r="L2041"/>
      <c r="M2041"/>
      <c r="N2041"/>
    </row>
    <row r="2042" spans="2:14" s="1391" customFormat="1" ht="15" x14ac:dyDescent="0.2">
      <c r="B2042" s="2026">
        <v>12</v>
      </c>
      <c r="C2042" s="2027">
        <v>5.0149999999999997</v>
      </c>
      <c r="D2042" s="2027">
        <v>305</v>
      </c>
      <c r="E2042" s="2027">
        <v>348</v>
      </c>
      <c r="F2042" s="2027">
        <v>388</v>
      </c>
      <c r="G2042" s="2027">
        <v>428</v>
      </c>
      <c r="H2042" s="2027">
        <v>467</v>
      </c>
      <c r="I2042" s="2027">
        <v>505</v>
      </c>
      <c r="J2042" s="2027">
        <v>541</v>
      </c>
      <c r="K2042" s="2028">
        <v>38</v>
      </c>
      <c r="L2042"/>
      <c r="M2042"/>
      <c r="N2042"/>
    </row>
    <row r="2043" spans="2:14" s="1391" customFormat="1" ht="15" x14ac:dyDescent="0.2">
      <c r="B2043" s="2026">
        <v>13</v>
      </c>
      <c r="C2043" s="2027">
        <v>5.2220000000000004</v>
      </c>
      <c r="D2043" s="2027">
        <v>333</v>
      </c>
      <c r="E2043" s="2027">
        <v>378</v>
      </c>
      <c r="F2043" s="2027">
        <v>422</v>
      </c>
      <c r="G2043" s="2027">
        <v>465</v>
      </c>
      <c r="H2043" s="2027">
        <v>507</v>
      </c>
      <c r="I2043" s="2027">
        <v>547</v>
      </c>
      <c r="J2043" s="2027">
        <v>586</v>
      </c>
      <c r="K2043" s="2028">
        <v>39</v>
      </c>
      <c r="L2043"/>
      <c r="M2043"/>
      <c r="N2043"/>
    </row>
    <row r="2044" spans="2:14" s="1391" customFormat="1" ht="15" x14ac:dyDescent="0.2">
      <c r="B2044" s="2026">
        <v>14</v>
      </c>
      <c r="C2044" s="2027">
        <v>5.5880000000000001</v>
      </c>
      <c r="D2044" s="2027">
        <v>362</v>
      </c>
      <c r="E2044" s="2027">
        <v>411</v>
      </c>
      <c r="F2044" s="2027">
        <v>458</v>
      </c>
      <c r="G2044" s="2027">
        <v>503</v>
      </c>
      <c r="H2044" s="2027">
        <v>548</v>
      </c>
      <c r="I2044" s="2027">
        <v>591</v>
      </c>
      <c r="J2044" s="2027">
        <v>632</v>
      </c>
      <c r="K2044" s="2028">
        <v>40</v>
      </c>
      <c r="L2044"/>
      <c r="M2044"/>
      <c r="N2044"/>
    </row>
    <row r="2045" spans="2:14" s="1391" customFormat="1" ht="15" x14ac:dyDescent="0.2">
      <c r="B2045" s="2026">
        <v>15</v>
      </c>
      <c r="C2045" s="2027">
        <v>5.9</v>
      </c>
      <c r="D2045" s="2027">
        <v>392</v>
      </c>
      <c r="E2045" s="2027">
        <v>444</v>
      </c>
      <c r="F2045" s="2027">
        <v>494</v>
      </c>
      <c r="G2045" s="2027">
        <v>543</v>
      </c>
      <c r="H2045" s="2027">
        <v>590</v>
      </c>
      <c r="I2045" s="2027">
        <v>635</v>
      </c>
      <c r="J2045" s="2027">
        <v>679</v>
      </c>
      <c r="K2045" s="2028">
        <v>41</v>
      </c>
      <c r="L2045"/>
      <c r="M2045"/>
      <c r="N2045"/>
    </row>
    <row r="2046" spans="2:14" s="1391" customFormat="1" ht="15" x14ac:dyDescent="0.2">
      <c r="B2046" s="2026">
        <v>16</v>
      </c>
      <c r="C2046" s="2027">
        <v>6.3019999999999996</v>
      </c>
      <c r="D2046" s="2027">
        <v>421</v>
      </c>
      <c r="E2046" s="2027">
        <v>476</v>
      </c>
      <c r="F2046" s="2027">
        <v>529</v>
      </c>
      <c r="G2046" s="2027">
        <v>581</v>
      </c>
      <c r="H2046" s="2027">
        <v>630</v>
      </c>
      <c r="I2046" s="2027">
        <v>678</v>
      </c>
      <c r="J2046" s="2027">
        <v>724</v>
      </c>
      <c r="K2046" s="2028">
        <v>42</v>
      </c>
      <c r="L2046"/>
      <c r="M2046"/>
      <c r="N2046"/>
    </row>
    <row r="2047" spans="2:14" s="1391" customFormat="1" ht="15" x14ac:dyDescent="0.2">
      <c r="B2047" s="4716" t="s">
        <v>1580</v>
      </c>
      <c r="C2047" s="4711"/>
      <c r="D2047" s="4711"/>
      <c r="E2047" s="4711"/>
      <c r="F2047" s="4711"/>
      <c r="G2047" s="4711"/>
      <c r="H2047" s="4711"/>
      <c r="I2047" s="4711"/>
      <c r="J2047" s="4711"/>
      <c r="K2047" s="4717"/>
      <c r="L2047"/>
      <c r="M2047"/>
      <c r="N2047"/>
    </row>
    <row r="2048" spans="2:14" s="1391" customFormat="1" ht="15" x14ac:dyDescent="0.2">
      <c r="B2048" s="2026"/>
      <c r="C2048" s="2027"/>
      <c r="D2048" s="2027">
        <v>1</v>
      </c>
      <c r="E2048" s="2027">
        <v>2</v>
      </c>
      <c r="F2048" s="2027">
        <v>3</v>
      </c>
      <c r="G2048" s="2027">
        <v>4</v>
      </c>
      <c r="H2048" s="2027">
        <v>5</v>
      </c>
      <c r="I2048" s="2027">
        <v>6</v>
      </c>
      <c r="J2048" s="2027">
        <v>7</v>
      </c>
      <c r="K2048" s="2028"/>
      <c r="L2048"/>
      <c r="M2048"/>
      <c r="N2048"/>
    </row>
    <row r="2049" spans="2:14" s="1391" customFormat="1" ht="15" x14ac:dyDescent="0.2">
      <c r="B2049" s="2026">
        <v>10</v>
      </c>
      <c r="C2049" s="2027">
        <v>4.9470000000000001</v>
      </c>
      <c r="D2049" s="2027">
        <v>256</v>
      </c>
      <c r="E2049" s="2027">
        <v>292</v>
      </c>
      <c r="F2049" s="2027">
        <v>327</v>
      </c>
      <c r="G2049" s="2027">
        <v>361</v>
      </c>
      <c r="H2049" s="2027">
        <v>395</v>
      </c>
      <c r="I2049" s="2027">
        <v>428</v>
      </c>
      <c r="J2049" s="2027">
        <v>460</v>
      </c>
      <c r="K2049" s="2028">
        <v>43</v>
      </c>
      <c r="L2049"/>
      <c r="M2049"/>
      <c r="N2049"/>
    </row>
    <row r="2050" spans="2:14" s="1391" customFormat="1" ht="15" x14ac:dyDescent="0.2">
      <c r="B2050" s="2026">
        <v>11</v>
      </c>
      <c r="C2050" s="2027">
        <v>4.7480000000000002</v>
      </c>
      <c r="D2050" s="2027">
        <v>282</v>
      </c>
      <c r="E2050" s="2027">
        <v>321</v>
      </c>
      <c r="F2050" s="2027">
        <v>359</v>
      </c>
      <c r="G2050" s="2027">
        <v>397</v>
      </c>
      <c r="H2050" s="2027">
        <v>433</v>
      </c>
      <c r="I2050" s="2027">
        <v>468</v>
      </c>
      <c r="J2050" s="2027">
        <v>503</v>
      </c>
      <c r="K2050" s="2028">
        <v>44</v>
      </c>
      <c r="L2050"/>
      <c r="M2050"/>
      <c r="N2050"/>
    </row>
    <row r="2051" spans="2:14" s="1391" customFormat="1" ht="15" x14ac:dyDescent="0.2">
      <c r="B2051" s="2026">
        <v>12</v>
      </c>
      <c r="C2051" s="2027">
        <v>5.0149999999999997</v>
      </c>
      <c r="D2051" s="2027">
        <v>309</v>
      </c>
      <c r="E2051" s="2027">
        <v>351</v>
      </c>
      <c r="F2051" s="2027">
        <v>393</v>
      </c>
      <c r="G2051" s="2027">
        <v>433</v>
      </c>
      <c r="H2051" s="2027">
        <v>472</v>
      </c>
      <c r="I2051" s="2027">
        <v>510</v>
      </c>
      <c r="J2051" s="2027">
        <v>547</v>
      </c>
      <c r="K2051" s="2028">
        <v>45</v>
      </c>
      <c r="L2051"/>
      <c r="M2051"/>
      <c r="N2051"/>
    </row>
    <row r="2052" spans="2:14" s="1391" customFormat="1" ht="15" x14ac:dyDescent="0.2">
      <c r="B2052" s="2026">
        <v>13</v>
      </c>
      <c r="C2052" s="2027">
        <v>5.2220000000000004</v>
      </c>
      <c r="D2052" s="2027">
        <v>336</v>
      </c>
      <c r="E2052" s="2027">
        <v>382</v>
      </c>
      <c r="F2052" s="2027">
        <v>426</v>
      </c>
      <c r="G2052" s="2027">
        <v>469</v>
      </c>
      <c r="H2052" s="2027">
        <v>511</v>
      </c>
      <c r="I2052" s="2027">
        <v>552</v>
      </c>
      <c r="J2052" s="2027">
        <v>591</v>
      </c>
      <c r="K2052" s="2028">
        <v>46</v>
      </c>
      <c r="L2052"/>
      <c r="M2052"/>
      <c r="N2052"/>
    </row>
    <row r="2053" spans="2:14" s="1391" customFormat="1" ht="15" x14ac:dyDescent="0.2">
      <c r="B2053" s="2026">
        <v>14</v>
      </c>
      <c r="C2053" s="2027">
        <v>5.5880000000000001</v>
      </c>
      <c r="D2053" s="2027">
        <v>365</v>
      </c>
      <c r="E2053" s="2027">
        <v>414</v>
      </c>
      <c r="F2053" s="2027">
        <v>461</v>
      </c>
      <c r="G2053" s="2027">
        <v>507</v>
      </c>
      <c r="H2053" s="2027">
        <v>552</v>
      </c>
      <c r="I2053" s="2027">
        <v>595</v>
      </c>
      <c r="J2053" s="2027">
        <v>637</v>
      </c>
      <c r="K2053" s="2028">
        <v>47</v>
      </c>
      <c r="L2053"/>
      <c r="M2053"/>
      <c r="N2053"/>
    </row>
    <row r="2054" spans="2:14" s="1391" customFormat="1" ht="15" x14ac:dyDescent="0.2">
      <c r="B2054" s="2026">
        <v>15</v>
      </c>
      <c r="C2054" s="2027">
        <v>5.9</v>
      </c>
      <c r="D2054" s="2027">
        <v>394</v>
      </c>
      <c r="E2054" s="2027">
        <v>447</v>
      </c>
      <c r="F2054" s="2027">
        <v>497</v>
      </c>
      <c r="G2054" s="2027">
        <v>546</v>
      </c>
      <c r="H2054" s="2027">
        <v>593</v>
      </c>
      <c r="I2054" s="2027">
        <v>639</v>
      </c>
      <c r="J2054" s="2027">
        <v>683</v>
      </c>
      <c r="K2054" s="2028">
        <v>48</v>
      </c>
      <c r="L2054"/>
      <c r="M2054"/>
      <c r="N2054"/>
    </row>
    <row r="2055" spans="2:14" s="1391" customFormat="1" ht="15" x14ac:dyDescent="0.2">
      <c r="B2055" s="2026">
        <v>16</v>
      </c>
      <c r="C2055" s="2027">
        <v>6.3019999999999996</v>
      </c>
      <c r="D2055" s="2027">
        <v>423</v>
      </c>
      <c r="E2055" s="2027">
        <v>479</v>
      </c>
      <c r="F2055" s="2027">
        <v>532</v>
      </c>
      <c r="G2055" s="2027">
        <v>584</v>
      </c>
      <c r="H2055" s="2027">
        <v>634</v>
      </c>
      <c r="I2055" s="2027">
        <v>681</v>
      </c>
      <c r="J2055" s="2027">
        <v>728</v>
      </c>
      <c r="K2055" s="2028">
        <v>49</v>
      </c>
      <c r="L2055"/>
      <c r="M2055"/>
      <c r="N2055"/>
    </row>
    <row r="2056" spans="2:14" s="1391" customFormat="1" ht="15" x14ac:dyDescent="0.2">
      <c r="B2056" s="4716" t="s">
        <v>3051</v>
      </c>
      <c r="C2056" s="4711"/>
      <c r="D2056" s="4711"/>
      <c r="E2056" s="4711"/>
      <c r="F2056" s="4711"/>
      <c r="G2056" s="4711"/>
      <c r="H2056" s="4711"/>
      <c r="I2056" s="4711"/>
      <c r="J2056" s="4711"/>
      <c r="K2056" s="4717"/>
      <c r="L2056"/>
      <c r="M2056"/>
      <c r="N2056"/>
    </row>
    <row r="2057" spans="2:14" s="1391" customFormat="1" ht="15" x14ac:dyDescent="0.2">
      <c r="B2057" s="2026"/>
      <c r="C2057" s="2027"/>
      <c r="D2057" s="2027">
        <v>1</v>
      </c>
      <c r="E2057" s="2027">
        <v>2</v>
      </c>
      <c r="F2057" s="2027">
        <v>3</v>
      </c>
      <c r="G2057" s="2027">
        <v>4</v>
      </c>
      <c r="H2057" s="2027">
        <v>5</v>
      </c>
      <c r="I2057" s="2027">
        <v>6</v>
      </c>
      <c r="J2057" s="2027">
        <v>7</v>
      </c>
      <c r="K2057" s="2028"/>
      <c r="L2057"/>
      <c r="M2057"/>
      <c r="N2057"/>
    </row>
    <row r="2058" spans="2:14" s="1391" customFormat="1" ht="15" x14ac:dyDescent="0.2">
      <c r="B2058" s="2026">
        <v>10</v>
      </c>
      <c r="C2058" s="2027">
        <v>4.9470000000000001</v>
      </c>
      <c r="D2058" s="2027">
        <v>259</v>
      </c>
      <c r="E2058" s="2027">
        <v>295</v>
      </c>
      <c r="F2058" s="2027">
        <v>330</v>
      </c>
      <c r="G2058" s="2027">
        <v>365</v>
      </c>
      <c r="H2058" s="2027">
        <v>399</v>
      </c>
      <c r="I2058" s="2027">
        <v>432</v>
      </c>
      <c r="J2058" s="2027">
        <v>464</v>
      </c>
      <c r="K2058" s="2028">
        <v>50</v>
      </c>
      <c r="L2058"/>
      <c r="M2058"/>
      <c r="N2058"/>
    </row>
    <row r="2059" spans="2:14" s="1391" customFormat="1" ht="15" x14ac:dyDescent="0.2">
      <c r="B2059" s="2026">
        <v>11</v>
      </c>
      <c r="C2059" s="2027">
        <v>4.7480000000000002</v>
      </c>
      <c r="D2059" s="2027">
        <v>284</v>
      </c>
      <c r="E2059" s="2027">
        <v>324</v>
      </c>
      <c r="F2059" s="2027">
        <v>362</v>
      </c>
      <c r="G2059" s="2027">
        <v>400</v>
      </c>
      <c r="H2059" s="2027">
        <v>436</v>
      </c>
      <c r="I2059" s="2027">
        <v>472</v>
      </c>
      <c r="J2059" s="2027">
        <v>507</v>
      </c>
      <c r="K2059" s="2028">
        <v>51</v>
      </c>
      <c r="L2059"/>
      <c r="M2059"/>
      <c r="N2059"/>
    </row>
    <row r="2060" spans="2:14" s="1391" customFormat="1" ht="15" x14ac:dyDescent="0.2">
      <c r="B2060" s="2026">
        <v>12</v>
      </c>
      <c r="C2060" s="2027">
        <v>5.0149999999999997</v>
      </c>
      <c r="D2060" s="2027">
        <v>311</v>
      </c>
      <c r="E2060" s="2027">
        <v>354</v>
      </c>
      <c r="F2060" s="2027">
        <v>395</v>
      </c>
      <c r="G2060" s="2027">
        <v>436</v>
      </c>
      <c r="H2060" s="2027">
        <v>475</v>
      </c>
      <c r="I2060" s="2027">
        <v>514</v>
      </c>
      <c r="J2060" s="2027">
        <v>551</v>
      </c>
      <c r="K2060" s="2028">
        <v>52</v>
      </c>
      <c r="L2060"/>
      <c r="M2060"/>
      <c r="N2060"/>
    </row>
    <row r="2061" spans="2:14" s="1391" customFormat="1" ht="15" x14ac:dyDescent="0.2">
      <c r="B2061" s="2026">
        <v>13</v>
      </c>
      <c r="C2061" s="2027">
        <v>5.2220000000000004</v>
      </c>
      <c r="D2061" s="2027">
        <v>338</v>
      </c>
      <c r="E2061" s="2027">
        <v>384</v>
      </c>
      <c r="F2061" s="2027">
        <v>429</v>
      </c>
      <c r="G2061" s="2027">
        <v>472</v>
      </c>
      <c r="H2061" s="2027">
        <v>514</v>
      </c>
      <c r="I2061" s="2027">
        <v>555</v>
      </c>
      <c r="J2061" s="2027">
        <v>595</v>
      </c>
      <c r="K2061" s="2028">
        <v>53</v>
      </c>
      <c r="L2061"/>
      <c r="M2061"/>
      <c r="N2061"/>
    </row>
    <row r="2062" spans="2:14" s="1391" customFormat="1" ht="15" x14ac:dyDescent="0.2">
      <c r="B2062" s="2026">
        <v>14</v>
      </c>
      <c r="C2062" s="2027">
        <v>5.5880000000000001</v>
      </c>
      <c r="D2062" s="2027">
        <v>367</v>
      </c>
      <c r="E2062" s="2027">
        <v>416</v>
      </c>
      <c r="F2062" s="2027">
        <v>464</v>
      </c>
      <c r="G2062" s="2027">
        <v>510</v>
      </c>
      <c r="H2062" s="2027">
        <v>555</v>
      </c>
      <c r="I2062" s="2027">
        <v>598</v>
      </c>
      <c r="J2062" s="2027">
        <v>640</v>
      </c>
      <c r="K2062" s="2028">
        <v>54</v>
      </c>
      <c r="L2062"/>
      <c r="M2062"/>
      <c r="N2062"/>
    </row>
    <row r="2063" spans="2:14" s="1391" customFormat="1" ht="15" x14ac:dyDescent="0.2">
      <c r="B2063" s="2026">
        <v>15</v>
      </c>
      <c r="C2063" s="2027">
        <v>5.9</v>
      </c>
      <c r="D2063" s="2027">
        <v>396</v>
      </c>
      <c r="E2063" s="2027">
        <v>449</v>
      </c>
      <c r="F2063" s="2027">
        <v>500</v>
      </c>
      <c r="G2063" s="2027">
        <v>549</v>
      </c>
      <c r="H2063" s="2027">
        <v>596</v>
      </c>
      <c r="I2063" s="2027">
        <v>642</v>
      </c>
      <c r="J2063" s="2027">
        <v>686</v>
      </c>
      <c r="K2063" s="2028">
        <v>55</v>
      </c>
      <c r="L2063"/>
      <c r="M2063"/>
      <c r="N2063"/>
    </row>
    <row r="2064" spans="2:14" s="1391" customFormat="1" ht="15.75" thickBot="1" x14ac:dyDescent="0.25">
      <c r="B2064" s="2030">
        <v>16</v>
      </c>
      <c r="C2064" s="2031">
        <v>6.3019999999999996</v>
      </c>
      <c r="D2064" s="2031">
        <v>424</v>
      </c>
      <c r="E2064" s="2031">
        <v>480</v>
      </c>
      <c r="F2064" s="2031">
        <v>534</v>
      </c>
      <c r="G2064" s="2031">
        <v>586</v>
      </c>
      <c r="H2064" s="2031">
        <v>636</v>
      </c>
      <c r="I2064" s="2031">
        <v>684</v>
      </c>
      <c r="J2064" s="2031">
        <v>730</v>
      </c>
      <c r="K2064" s="2032">
        <v>56</v>
      </c>
      <c r="L2064"/>
      <c r="M2064"/>
      <c r="N2064"/>
    </row>
    <row r="2065" spans="2:14" s="1391" customFormat="1" ht="15.75" thickBot="1" x14ac:dyDescent="0.25">
      <c r="B2065" s="1157" t="s">
        <v>3052</v>
      </c>
      <c r="C2065" s="1157"/>
      <c r="D2065" s="1157"/>
      <c r="E2065" s="1157"/>
      <c r="F2065" s="1157"/>
      <c r="G2065" s="1157"/>
      <c r="H2065" s="1157"/>
      <c r="I2065" s="1157"/>
      <c r="J2065" s="1157"/>
      <c r="K2065" s="1157"/>
      <c r="L2065"/>
      <c r="M2065"/>
      <c r="N2065"/>
    </row>
    <row r="2066" spans="2:14" s="1391" customFormat="1" ht="15.75" x14ac:dyDescent="0.25">
      <c r="B2066" s="4731" t="s">
        <v>3452</v>
      </c>
      <c r="C2066" s="4732"/>
      <c r="D2066" s="4732"/>
      <c r="E2066" s="4732"/>
      <c r="F2066" s="4732"/>
      <c r="G2066" s="4732"/>
      <c r="H2066" s="4732"/>
      <c r="I2066" s="4732"/>
      <c r="J2066" s="4732"/>
      <c r="K2066" s="4733"/>
      <c r="L2066"/>
      <c r="M2066"/>
      <c r="N2066"/>
    </row>
    <row r="2067" spans="2:14" s="1391" customFormat="1" ht="15" x14ac:dyDescent="0.2">
      <c r="B2067" s="4704" t="s">
        <v>1964</v>
      </c>
      <c r="C2067" s="4707" t="s">
        <v>1042</v>
      </c>
      <c r="D2067" s="4710" t="s">
        <v>5602</v>
      </c>
      <c r="E2067" s="4711"/>
      <c r="F2067" s="4711"/>
      <c r="G2067" s="4711"/>
      <c r="H2067" s="4711"/>
      <c r="I2067" s="4711"/>
      <c r="J2067" s="4712"/>
      <c r="K2067" s="4725" t="s">
        <v>2490</v>
      </c>
      <c r="L2067"/>
      <c r="M2067"/>
      <c r="N2067"/>
    </row>
    <row r="2068" spans="2:14" s="1391" customFormat="1" ht="28.5" x14ac:dyDescent="0.2">
      <c r="B2068" s="4705"/>
      <c r="C2068" s="4708"/>
      <c r="D2068" s="2033" t="s">
        <v>1571</v>
      </c>
      <c r="E2068" s="2033" t="s">
        <v>1572</v>
      </c>
      <c r="F2068" s="2033" t="s">
        <v>1573</v>
      </c>
      <c r="G2068" s="2033" t="s">
        <v>1574</v>
      </c>
      <c r="H2068" s="2033" t="s">
        <v>1575</v>
      </c>
      <c r="I2068" s="2033" t="s">
        <v>1576</v>
      </c>
      <c r="J2068" s="2033" t="s">
        <v>1577</v>
      </c>
      <c r="K2068" s="4726"/>
      <c r="L2068"/>
      <c r="M2068"/>
      <c r="N2068"/>
    </row>
    <row r="2069" spans="2:14" s="1391" customFormat="1" ht="15" x14ac:dyDescent="0.2">
      <c r="B2069" s="4706"/>
      <c r="C2069" s="4709"/>
      <c r="D2069" s="4710" t="s">
        <v>1781</v>
      </c>
      <c r="E2069" s="4711"/>
      <c r="F2069" s="4711"/>
      <c r="G2069" s="4711"/>
      <c r="H2069" s="4711"/>
      <c r="I2069" s="4711"/>
      <c r="J2069" s="4712"/>
      <c r="K2069" s="4727"/>
      <c r="L2069"/>
      <c r="M2069"/>
      <c r="N2069"/>
    </row>
    <row r="2070" spans="2:14" s="1391" customFormat="1" ht="15" x14ac:dyDescent="0.2">
      <c r="B2070" s="4728" t="s">
        <v>3689</v>
      </c>
      <c r="C2070" s="4729"/>
      <c r="D2070" s="4729"/>
      <c r="E2070" s="4729"/>
      <c r="F2070" s="4729"/>
      <c r="G2070" s="4729"/>
      <c r="H2070" s="4729"/>
      <c r="I2070" s="4729"/>
      <c r="J2070" s="4729"/>
      <c r="K2070" s="4730"/>
      <c r="L2070"/>
      <c r="M2070"/>
      <c r="N2070"/>
    </row>
    <row r="2071" spans="2:14" s="1391" customFormat="1" ht="15" x14ac:dyDescent="0.2">
      <c r="B2071" s="4716" t="s">
        <v>1578</v>
      </c>
      <c r="C2071" s="4711"/>
      <c r="D2071" s="4711"/>
      <c r="E2071" s="4711"/>
      <c r="F2071" s="4711"/>
      <c r="G2071" s="4711"/>
      <c r="H2071" s="4711"/>
      <c r="I2071" s="4711"/>
      <c r="J2071" s="4711"/>
      <c r="K2071" s="4717"/>
      <c r="L2071"/>
      <c r="M2071"/>
      <c r="N2071"/>
    </row>
    <row r="2072" spans="2:14" s="1391" customFormat="1" ht="15" x14ac:dyDescent="0.2">
      <c r="B2072" s="2026"/>
      <c r="C2072" s="2027"/>
      <c r="D2072" s="2027">
        <v>1</v>
      </c>
      <c r="E2072" s="2027">
        <v>2</v>
      </c>
      <c r="F2072" s="2027">
        <v>3</v>
      </c>
      <c r="G2072" s="2027">
        <v>4</v>
      </c>
      <c r="H2072" s="2027">
        <v>5</v>
      </c>
      <c r="I2072" s="2027">
        <v>6</v>
      </c>
      <c r="J2072" s="2027">
        <v>7</v>
      </c>
      <c r="K2072" s="2028"/>
      <c r="L2072"/>
      <c r="M2072"/>
      <c r="N2072"/>
    </row>
    <row r="2073" spans="2:14" s="1391" customFormat="1" ht="15" x14ac:dyDescent="0.2">
      <c r="B2073" s="2026">
        <v>10</v>
      </c>
      <c r="C2073" s="2027">
        <v>4.8410000000000002</v>
      </c>
      <c r="D2073" s="2027">
        <v>297</v>
      </c>
      <c r="E2073" s="2027">
        <v>343</v>
      </c>
      <c r="F2073" s="2027">
        <v>388</v>
      </c>
      <c r="G2073" s="2027">
        <v>434</v>
      </c>
      <c r="H2073" s="2027">
        <v>480</v>
      </c>
      <c r="I2073" s="2027">
        <v>525</v>
      </c>
      <c r="J2073" s="2027">
        <v>571</v>
      </c>
      <c r="K2073" s="2028">
        <v>1</v>
      </c>
      <c r="L2073"/>
      <c r="M2073"/>
      <c r="N2073"/>
    </row>
    <row r="2074" spans="2:14" s="1391" customFormat="1" ht="15" x14ac:dyDescent="0.2">
      <c r="B2074" s="2026">
        <v>11</v>
      </c>
      <c r="C2074" s="2027">
        <v>5.181</v>
      </c>
      <c r="D2074" s="2027">
        <v>335</v>
      </c>
      <c r="E2074" s="2027">
        <v>386</v>
      </c>
      <c r="F2074" s="2027">
        <v>438</v>
      </c>
      <c r="G2074" s="2027">
        <v>489</v>
      </c>
      <c r="H2074" s="2027">
        <v>541</v>
      </c>
      <c r="I2074" s="2027">
        <v>593</v>
      </c>
      <c r="J2074" s="2027">
        <v>644</v>
      </c>
      <c r="K2074" s="2028">
        <v>2</v>
      </c>
      <c r="L2074"/>
      <c r="M2074"/>
      <c r="N2074"/>
    </row>
    <row r="2075" spans="2:14" s="1391" customFormat="1" ht="15" x14ac:dyDescent="0.2">
      <c r="B2075" s="2026">
        <v>12</v>
      </c>
      <c r="C2075" s="2027">
        <v>5.5540000000000003</v>
      </c>
      <c r="D2075" s="2027">
        <v>376</v>
      </c>
      <c r="E2075" s="2027">
        <v>434</v>
      </c>
      <c r="F2075" s="2027">
        <v>492</v>
      </c>
      <c r="G2075" s="2027">
        <v>550</v>
      </c>
      <c r="H2075" s="2027">
        <v>608</v>
      </c>
      <c r="I2075" s="2027">
        <v>666</v>
      </c>
      <c r="J2075" s="2027">
        <v>724</v>
      </c>
      <c r="K2075" s="2028">
        <v>3</v>
      </c>
      <c r="L2075"/>
      <c r="M2075"/>
      <c r="N2075"/>
    </row>
    <row r="2076" spans="2:14" s="1391" customFormat="1" ht="15" x14ac:dyDescent="0.2">
      <c r="B2076" s="2026">
        <v>13</v>
      </c>
      <c r="C2076" s="2027">
        <v>5.87</v>
      </c>
      <c r="D2076" s="2027">
        <v>421</v>
      </c>
      <c r="E2076" s="2027">
        <v>486</v>
      </c>
      <c r="F2076" s="2027">
        <v>550</v>
      </c>
      <c r="G2076" s="2027">
        <v>615</v>
      </c>
      <c r="H2076" s="2027">
        <v>680</v>
      </c>
      <c r="I2076" s="2027">
        <v>745</v>
      </c>
      <c r="J2076" s="2027">
        <v>809</v>
      </c>
      <c r="K2076" s="2028">
        <v>4</v>
      </c>
      <c r="L2076"/>
      <c r="M2076"/>
      <c r="N2076"/>
    </row>
    <row r="2077" spans="2:14" s="1391" customFormat="1" ht="15" x14ac:dyDescent="0.2">
      <c r="B2077" s="2026">
        <v>14</v>
      </c>
      <c r="C2077" s="2027">
        <v>6.407</v>
      </c>
      <c r="D2077" s="2027">
        <v>470</v>
      </c>
      <c r="E2077" s="2027">
        <v>543</v>
      </c>
      <c r="F2077" s="2027">
        <v>615</v>
      </c>
      <c r="G2077" s="2027">
        <v>687</v>
      </c>
      <c r="H2077" s="2027">
        <v>760</v>
      </c>
      <c r="I2077" s="2027">
        <v>830</v>
      </c>
      <c r="J2077" s="2027">
        <v>904</v>
      </c>
      <c r="K2077" s="2028">
        <v>5</v>
      </c>
      <c r="L2077"/>
      <c r="M2077"/>
      <c r="N2077"/>
    </row>
    <row r="2078" spans="2:14" s="1391" customFormat="1" ht="15" x14ac:dyDescent="0.2">
      <c r="B2078" s="2026">
        <v>15</v>
      </c>
      <c r="C2078" s="2027">
        <v>6.9009999999999998</v>
      </c>
      <c r="D2078" s="2027">
        <v>524</v>
      </c>
      <c r="E2078" s="2027">
        <v>605</v>
      </c>
      <c r="F2078" s="2027">
        <v>685</v>
      </c>
      <c r="G2078" s="2027">
        <v>766</v>
      </c>
      <c r="H2078" s="2027">
        <v>847</v>
      </c>
      <c r="I2078" s="2027">
        <v>927</v>
      </c>
      <c r="J2078" s="2027">
        <v>1008</v>
      </c>
      <c r="K2078" s="2028">
        <v>6</v>
      </c>
      <c r="L2078"/>
      <c r="M2078"/>
      <c r="N2078"/>
    </row>
    <row r="2079" spans="2:14" s="1391" customFormat="1" ht="15" x14ac:dyDescent="0.2">
      <c r="B2079" s="2026">
        <v>16</v>
      </c>
      <c r="C2079" s="2027">
        <v>7.51</v>
      </c>
      <c r="D2079" s="2027">
        <v>580</v>
      </c>
      <c r="E2079" s="2027">
        <v>669</v>
      </c>
      <c r="F2079" s="2027">
        <v>758</v>
      </c>
      <c r="G2079" s="2027">
        <v>848</v>
      </c>
      <c r="H2079" s="2027">
        <v>937</v>
      </c>
      <c r="I2079" s="2027">
        <v>1026</v>
      </c>
      <c r="J2079" s="2027">
        <v>1113</v>
      </c>
      <c r="K2079" s="2028">
        <v>7</v>
      </c>
      <c r="L2079"/>
      <c r="M2079"/>
      <c r="N2079"/>
    </row>
    <row r="2080" spans="2:14" s="1391" customFormat="1" ht="15" x14ac:dyDescent="0.2">
      <c r="B2080" s="4716" t="s">
        <v>1579</v>
      </c>
      <c r="C2080" s="4711"/>
      <c r="D2080" s="4711"/>
      <c r="E2080" s="4711"/>
      <c r="F2080" s="4711"/>
      <c r="G2080" s="4711"/>
      <c r="H2080" s="4711"/>
      <c r="I2080" s="4711"/>
      <c r="J2080" s="4711"/>
      <c r="K2080" s="4717"/>
      <c r="L2080"/>
      <c r="M2080"/>
      <c r="N2080"/>
    </row>
    <row r="2081" spans="2:14" s="1391" customFormat="1" ht="15" x14ac:dyDescent="0.2">
      <c r="B2081" s="2026"/>
      <c r="C2081" s="2027"/>
      <c r="D2081" s="2027">
        <v>1</v>
      </c>
      <c r="E2081" s="2027">
        <v>2</v>
      </c>
      <c r="F2081" s="2027">
        <v>3</v>
      </c>
      <c r="G2081" s="2027">
        <v>4</v>
      </c>
      <c r="H2081" s="2027">
        <v>5</v>
      </c>
      <c r="I2081" s="2027">
        <v>6</v>
      </c>
      <c r="J2081" s="2027">
        <v>7</v>
      </c>
      <c r="K2081" s="2028"/>
      <c r="L2081"/>
      <c r="M2081"/>
      <c r="N2081"/>
    </row>
    <row r="2082" spans="2:14" s="1391" customFormat="1" ht="15" x14ac:dyDescent="0.2">
      <c r="B2082" s="2026">
        <v>10</v>
      </c>
      <c r="C2082" s="2027">
        <v>4.8410000000000002</v>
      </c>
      <c r="D2082" s="2027">
        <v>310</v>
      </c>
      <c r="E2082" s="2027">
        <v>358</v>
      </c>
      <c r="F2082" s="2027">
        <v>406</v>
      </c>
      <c r="G2082" s="2027">
        <v>453</v>
      </c>
      <c r="H2082" s="2027">
        <v>501</v>
      </c>
      <c r="I2082" s="2027">
        <v>549</v>
      </c>
      <c r="J2082" s="2027">
        <v>597</v>
      </c>
      <c r="K2082" s="2028">
        <v>8</v>
      </c>
      <c r="L2082"/>
      <c r="M2082"/>
      <c r="N2082"/>
    </row>
    <row r="2083" spans="2:14" s="1391" customFormat="1" ht="15" x14ac:dyDescent="0.2">
      <c r="B2083" s="2026">
        <v>11</v>
      </c>
      <c r="C2083" s="2027">
        <v>5.181</v>
      </c>
      <c r="D2083" s="2027">
        <v>350</v>
      </c>
      <c r="E2083" s="2027">
        <v>404</v>
      </c>
      <c r="F2083" s="2027">
        <v>458</v>
      </c>
      <c r="G2083" s="2027">
        <v>512</v>
      </c>
      <c r="H2083" s="2027">
        <v>565</v>
      </c>
      <c r="I2083" s="2027">
        <v>619</v>
      </c>
      <c r="J2083" s="2027">
        <v>673</v>
      </c>
      <c r="K2083" s="2028">
        <v>9</v>
      </c>
      <c r="L2083"/>
      <c r="M2083"/>
      <c r="N2083"/>
    </row>
    <row r="2084" spans="2:14" s="1391" customFormat="1" ht="15" x14ac:dyDescent="0.2">
      <c r="B2084" s="2026">
        <v>12</v>
      </c>
      <c r="C2084" s="2027">
        <v>5.5540000000000003</v>
      </c>
      <c r="D2084" s="2027">
        <v>394</v>
      </c>
      <c r="E2084" s="2027">
        <v>454</v>
      </c>
      <c r="F2084" s="2027">
        <v>515</v>
      </c>
      <c r="G2084" s="2027">
        <v>575</v>
      </c>
      <c r="H2084" s="2027">
        <v>636</v>
      </c>
      <c r="I2084" s="2027">
        <v>696</v>
      </c>
      <c r="J2084" s="2027">
        <v>757</v>
      </c>
      <c r="K2084" s="2028">
        <v>10</v>
      </c>
      <c r="L2084"/>
      <c r="M2084"/>
      <c r="N2084"/>
    </row>
    <row r="2085" spans="2:14" s="1391" customFormat="1" ht="15" x14ac:dyDescent="0.2">
      <c r="B2085" s="2026">
        <v>13</v>
      </c>
      <c r="C2085" s="2027">
        <v>5.87</v>
      </c>
      <c r="D2085" s="2027">
        <v>440</v>
      </c>
      <c r="E2085" s="2027">
        <v>508</v>
      </c>
      <c r="F2085" s="2027">
        <v>576</v>
      </c>
      <c r="G2085" s="2027">
        <v>644</v>
      </c>
      <c r="H2085" s="2027">
        <v>711</v>
      </c>
      <c r="I2085" s="2027">
        <v>779</v>
      </c>
      <c r="J2085" s="2027">
        <v>847</v>
      </c>
      <c r="K2085" s="2028">
        <v>11</v>
      </c>
      <c r="L2085"/>
      <c r="M2085"/>
      <c r="N2085"/>
    </row>
    <row r="2086" spans="2:14" s="1391" customFormat="1" ht="15" x14ac:dyDescent="0.2">
      <c r="B2086" s="2026">
        <v>14</v>
      </c>
      <c r="C2086" s="2027">
        <v>6.407</v>
      </c>
      <c r="D2086" s="2027">
        <v>492</v>
      </c>
      <c r="E2086" s="2027">
        <v>568</v>
      </c>
      <c r="F2086" s="2027">
        <v>644</v>
      </c>
      <c r="G2086" s="2027">
        <v>720</v>
      </c>
      <c r="H2086" s="2027">
        <v>795</v>
      </c>
      <c r="I2086" s="2027">
        <v>871</v>
      </c>
      <c r="J2086" s="2027">
        <v>947</v>
      </c>
      <c r="K2086" s="2028">
        <v>12</v>
      </c>
      <c r="L2086"/>
      <c r="M2086"/>
      <c r="N2086"/>
    </row>
    <row r="2087" spans="2:14" s="1391" customFormat="1" ht="15" x14ac:dyDescent="0.2">
      <c r="B2087" s="2026">
        <v>15</v>
      </c>
      <c r="C2087" s="2027">
        <v>6.9009999999999998</v>
      </c>
      <c r="D2087" s="2027">
        <v>549</v>
      </c>
      <c r="E2087" s="2027">
        <v>634</v>
      </c>
      <c r="F2087" s="2027">
        <v>718</v>
      </c>
      <c r="G2087" s="2027">
        <v>803</v>
      </c>
      <c r="H2087" s="2027">
        <v>887</v>
      </c>
      <c r="I2087" s="2027">
        <v>970</v>
      </c>
      <c r="J2087" s="2027">
        <v>1056</v>
      </c>
      <c r="K2087" s="2028">
        <v>13</v>
      </c>
      <c r="L2087"/>
      <c r="M2087"/>
      <c r="N2087"/>
    </row>
    <row r="2088" spans="2:14" s="1391" customFormat="1" ht="15" x14ac:dyDescent="0.2">
      <c r="B2088" s="2026">
        <v>16</v>
      </c>
      <c r="C2088" s="2027">
        <v>7.51</v>
      </c>
      <c r="D2088" s="2027">
        <v>608</v>
      </c>
      <c r="E2088" s="2027">
        <v>702</v>
      </c>
      <c r="F2088" s="2027">
        <v>795</v>
      </c>
      <c r="G2088" s="2027">
        <v>889</v>
      </c>
      <c r="H2088" s="2027">
        <v>982</v>
      </c>
      <c r="I2088" s="2027">
        <v>1076</v>
      </c>
      <c r="J2088" s="2027">
        <v>1169</v>
      </c>
      <c r="K2088" s="2028">
        <v>14</v>
      </c>
      <c r="L2088"/>
      <c r="M2088"/>
      <c r="N2088"/>
    </row>
    <row r="2089" spans="2:14" s="1391" customFormat="1" ht="15" x14ac:dyDescent="0.2">
      <c r="B2089" s="4716" t="s">
        <v>1580</v>
      </c>
      <c r="C2089" s="4711"/>
      <c r="D2089" s="4711"/>
      <c r="E2089" s="4711"/>
      <c r="F2089" s="4711"/>
      <c r="G2089" s="4711"/>
      <c r="H2089" s="4711"/>
      <c r="I2089" s="4711"/>
      <c r="J2089" s="4711"/>
      <c r="K2089" s="4717"/>
      <c r="L2089"/>
      <c r="M2089"/>
      <c r="N2089"/>
    </row>
    <row r="2090" spans="2:14" s="1391" customFormat="1" ht="15" x14ac:dyDescent="0.2">
      <c r="B2090" s="2026"/>
      <c r="C2090" s="2027"/>
      <c r="D2090" s="2027">
        <v>1</v>
      </c>
      <c r="E2090" s="2027">
        <v>2</v>
      </c>
      <c r="F2090" s="2027">
        <v>3</v>
      </c>
      <c r="G2090" s="2027">
        <v>4</v>
      </c>
      <c r="H2090" s="2027">
        <v>5</v>
      </c>
      <c r="I2090" s="2027">
        <v>6</v>
      </c>
      <c r="J2090" s="2027">
        <v>7</v>
      </c>
      <c r="K2090" s="2028"/>
      <c r="L2090"/>
      <c r="M2090"/>
      <c r="N2090"/>
    </row>
    <row r="2091" spans="2:14" s="1391" customFormat="1" ht="15" x14ac:dyDescent="0.2">
      <c r="B2091" s="2026">
        <v>10</v>
      </c>
      <c r="C2091" s="2027">
        <v>4.8410000000000002</v>
      </c>
      <c r="D2091" s="2027">
        <v>319</v>
      </c>
      <c r="E2091" s="2027">
        <v>368</v>
      </c>
      <c r="F2091" s="2027">
        <v>417</v>
      </c>
      <c r="G2091" s="2027">
        <v>467</v>
      </c>
      <c r="H2091" s="2027">
        <v>516</v>
      </c>
      <c r="I2091" s="2027">
        <v>565</v>
      </c>
      <c r="J2091" s="2027">
        <v>614</v>
      </c>
      <c r="K2091" s="2028">
        <v>15</v>
      </c>
      <c r="L2091"/>
      <c r="M2091"/>
      <c r="N2091"/>
    </row>
    <row r="2092" spans="2:14" s="1391" customFormat="1" ht="15" x14ac:dyDescent="0.2">
      <c r="B2092" s="2026">
        <v>11</v>
      </c>
      <c r="C2092" s="2027">
        <v>5.181</v>
      </c>
      <c r="D2092" s="2027">
        <v>360</v>
      </c>
      <c r="E2092" s="2027">
        <v>416</v>
      </c>
      <c r="F2092" s="2027">
        <v>471</v>
      </c>
      <c r="G2092" s="2027">
        <v>527</v>
      </c>
      <c r="H2092" s="2027">
        <v>582</v>
      </c>
      <c r="I2092" s="2027">
        <v>637</v>
      </c>
      <c r="J2092" s="2027">
        <v>693</v>
      </c>
      <c r="K2092" s="2028">
        <v>16</v>
      </c>
      <c r="L2092"/>
      <c r="M2092"/>
      <c r="N2092"/>
    </row>
    <row r="2093" spans="2:14" s="1391" customFormat="1" ht="15" x14ac:dyDescent="0.2">
      <c r="B2093" s="2026">
        <v>12</v>
      </c>
      <c r="C2093" s="2027">
        <v>5.5540000000000003</v>
      </c>
      <c r="D2093" s="2027">
        <v>405</v>
      </c>
      <c r="E2093" s="2027">
        <v>468</v>
      </c>
      <c r="F2093" s="2027">
        <v>530</v>
      </c>
      <c r="G2093" s="2027">
        <v>592</v>
      </c>
      <c r="H2093" s="2027">
        <v>665</v>
      </c>
      <c r="I2093" s="2027">
        <v>717</v>
      </c>
      <c r="J2093" s="2027">
        <v>780</v>
      </c>
      <c r="K2093" s="2028">
        <v>17</v>
      </c>
      <c r="L2093"/>
      <c r="M2093"/>
      <c r="N2093"/>
    </row>
    <row r="2094" spans="2:14" s="1391" customFormat="1" ht="15" x14ac:dyDescent="0.2">
      <c r="B2094" s="2026">
        <v>13</v>
      </c>
      <c r="C2094" s="2027">
        <v>5.87</v>
      </c>
      <c r="D2094" s="2027">
        <v>454</v>
      </c>
      <c r="E2094" s="2027">
        <v>524</v>
      </c>
      <c r="F2094" s="2027">
        <v>593</v>
      </c>
      <c r="G2094" s="2027">
        <v>663</v>
      </c>
      <c r="H2094" s="2027">
        <v>733</v>
      </c>
      <c r="I2094" s="2027">
        <v>803</v>
      </c>
      <c r="J2094" s="2027">
        <v>873</v>
      </c>
      <c r="K2094" s="2028">
        <v>18</v>
      </c>
      <c r="L2094"/>
      <c r="M2094"/>
      <c r="N2094"/>
    </row>
    <row r="2095" spans="2:14" s="1391" customFormat="1" ht="15" x14ac:dyDescent="0.2">
      <c r="B2095" s="2026">
        <v>14</v>
      </c>
      <c r="C2095" s="2027">
        <v>6.407</v>
      </c>
      <c r="D2095" s="2027">
        <v>508</v>
      </c>
      <c r="E2095" s="2027">
        <v>586</v>
      </c>
      <c r="F2095" s="2027">
        <v>664</v>
      </c>
      <c r="G2095" s="2027">
        <v>742</v>
      </c>
      <c r="H2095" s="2027">
        <v>820</v>
      </c>
      <c r="I2095" s="2027">
        <v>898</v>
      </c>
      <c r="J2095" s="2027">
        <v>976</v>
      </c>
      <c r="K2095" s="2028">
        <v>19</v>
      </c>
      <c r="L2095"/>
      <c r="M2095"/>
      <c r="N2095"/>
    </row>
    <row r="2096" spans="2:14" s="1391" customFormat="1" ht="15" x14ac:dyDescent="0.2">
      <c r="B2096" s="2026">
        <v>15</v>
      </c>
      <c r="C2096" s="2027">
        <v>6.9009999999999998</v>
      </c>
      <c r="D2096" s="2027">
        <v>566</v>
      </c>
      <c r="E2096" s="2027">
        <v>654</v>
      </c>
      <c r="F2096" s="2027">
        <v>741</v>
      </c>
      <c r="G2096" s="2027">
        <v>828</v>
      </c>
      <c r="H2096" s="2027">
        <v>915</v>
      </c>
      <c r="I2096" s="2027">
        <v>1002</v>
      </c>
      <c r="J2096" s="2027">
        <v>1089</v>
      </c>
      <c r="K2096" s="2028">
        <v>20</v>
      </c>
      <c r="L2096"/>
      <c r="M2096"/>
      <c r="N2096"/>
    </row>
    <row r="2097" spans="2:14" s="1391" customFormat="1" ht="15" x14ac:dyDescent="0.2">
      <c r="B2097" s="2026">
        <v>16</v>
      </c>
      <c r="C2097" s="2027">
        <v>7.51</v>
      </c>
      <c r="D2097" s="2027">
        <v>628</v>
      </c>
      <c r="E2097" s="2027">
        <v>724</v>
      </c>
      <c r="F2097" s="2027">
        <v>821</v>
      </c>
      <c r="G2097" s="2027">
        <v>917</v>
      </c>
      <c r="H2097" s="2027">
        <v>1014</v>
      </c>
      <c r="I2097" s="2027">
        <v>1110</v>
      </c>
      <c r="J2097" s="2027">
        <v>1207</v>
      </c>
      <c r="K2097" s="2028">
        <v>21</v>
      </c>
      <c r="L2097"/>
      <c r="M2097"/>
      <c r="N2097"/>
    </row>
    <row r="2098" spans="2:14" s="1391" customFormat="1" ht="15" x14ac:dyDescent="0.2">
      <c r="B2098" s="4716" t="s">
        <v>3051</v>
      </c>
      <c r="C2098" s="4711"/>
      <c r="D2098" s="4711"/>
      <c r="E2098" s="4711"/>
      <c r="F2098" s="4711"/>
      <c r="G2098" s="4711"/>
      <c r="H2098" s="4711"/>
      <c r="I2098" s="4711"/>
      <c r="J2098" s="4711"/>
      <c r="K2098" s="4717"/>
      <c r="L2098"/>
      <c r="M2098"/>
      <c r="N2098"/>
    </row>
    <row r="2099" spans="2:14" s="1391" customFormat="1" ht="15" x14ac:dyDescent="0.2">
      <c r="B2099" s="2026"/>
      <c r="C2099" s="2027"/>
      <c r="D2099" s="2027">
        <v>1</v>
      </c>
      <c r="E2099" s="2027">
        <v>2</v>
      </c>
      <c r="F2099" s="2027">
        <v>3</v>
      </c>
      <c r="G2099" s="2027">
        <v>4</v>
      </c>
      <c r="H2099" s="2027">
        <v>5</v>
      </c>
      <c r="I2099" s="2027">
        <v>6</v>
      </c>
      <c r="J2099" s="2027">
        <v>7</v>
      </c>
      <c r="K2099" s="2028"/>
      <c r="L2099"/>
      <c r="M2099"/>
      <c r="N2099"/>
    </row>
    <row r="2100" spans="2:14" s="1391" customFormat="1" ht="15" x14ac:dyDescent="0.2">
      <c r="B2100" s="2026">
        <v>10</v>
      </c>
      <c r="C2100" s="2027">
        <v>4.8410000000000002</v>
      </c>
      <c r="D2100" s="2027">
        <v>326</v>
      </c>
      <c r="E2100" s="2027">
        <v>376</v>
      </c>
      <c r="F2100" s="2027">
        <v>426</v>
      </c>
      <c r="G2100" s="2027">
        <v>476</v>
      </c>
      <c r="H2100" s="2027">
        <v>526</v>
      </c>
      <c r="I2100" s="2027">
        <v>576</v>
      </c>
      <c r="J2100" s="2027">
        <v>626</v>
      </c>
      <c r="K2100" s="2028">
        <v>22</v>
      </c>
      <c r="L2100"/>
      <c r="M2100"/>
      <c r="N2100"/>
    </row>
    <row r="2101" spans="2:14" s="1391" customFormat="1" ht="15" x14ac:dyDescent="0.2">
      <c r="B2101" s="2026">
        <v>11</v>
      </c>
      <c r="C2101" s="2027">
        <v>5.181</v>
      </c>
      <c r="D2101" s="2027">
        <v>368</v>
      </c>
      <c r="E2101" s="2027">
        <v>424</v>
      </c>
      <c r="F2101" s="2027">
        <v>481</v>
      </c>
      <c r="G2101" s="2027">
        <v>538</v>
      </c>
      <c r="H2101" s="2027">
        <v>594</v>
      </c>
      <c r="I2101" s="2027">
        <v>651</v>
      </c>
      <c r="J2101" s="2027">
        <v>707</v>
      </c>
      <c r="K2101" s="2028">
        <v>23</v>
      </c>
      <c r="L2101"/>
      <c r="M2101"/>
      <c r="N2101"/>
    </row>
    <row r="2102" spans="2:14" s="1391" customFormat="1" ht="15" x14ac:dyDescent="0.2">
      <c r="B2102" s="2026">
        <v>12</v>
      </c>
      <c r="C2102" s="2027">
        <v>5.5540000000000003</v>
      </c>
      <c r="D2102" s="2027">
        <v>414</v>
      </c>
      <c r="E2102" s="2027">
        <v>478</v>
      </c>
      <c r="F2102" s="2027">
        <v>541</v>
      </c>
      <c r="G2102" s="2027">
        <v>605</v>
      </c>
      <c r="H2102" s="2027">
        <v>669</v>
      </c>
      <c r="I2102" s="2027">
        <v>732</v>
      </c>
      <c r="J2102" s="2027">
        <v>796</v>
      </c>
      <c r="K2102" s="2028">
        <v>24</v>
      </c>
      <c r="L2102"/>
      <c r="M2102"/>
      <c r="N2102"/>
    </row>
    <row r="2103" spans="2:14" s="1391" customFormat="1" ht="15" x14ac:dyDescent="0.2">
      <c r="B2103" s="2026">
        <v>13</v>
      </c>
      <c r="C2103" s="2027">
        <v>5.87</v>
      </c>
      <c r="D2103" s="2027">
        <v>463</v>
      </c>
      <c r="E2103" s="2027">
        <v>535</v>
      </c>
      <c r="F2103" s="2027">
        <v>606</v>
      </c>
      <c r="G2103" s="2027">
        <v>677</v>
      </c>
      <c r="H2103" s="2027">
        <v>749</v>
      </c>
      <c r="I2103" s="2027">
        <v>820</v>
      </c>
      <c r="J2103" s="2027">
        <v>891</v>
      </c>
      <c r="K2103" s="2028">
        <v>25</v>
      </c>
      <c r="L2103"/>
      <c r="M2103"/>
      <c r="N2103"/>
    </row>
    <row r="2104" spans="2:14" s="1391" customFormat="1" ht="15" x14ac:dyDescent="0.2">
      <c r="B2104" s="2026">
        <v>14</v>
      </c>
      <c r="C2104" s="2027">
        <v>6.407</v>
      </c>
      <c r="D2104" s="2027">
        <v>519</v>
      </c>
      <c r="E2104" s="2027">
        <v>598</v>
      </c>
      <c r="F2104" s="2027">
        <v>678</v>
      </c>
      <c r="G2104" s="2027">
        <v>758</v>
      </c>
      <c r="H2104" s="2027">
        <v>838</v>
      </c>
      <c r="I2104" s="2027">
        <v>918</v>
      </c>
      <c r="J2104" s="2027">
        <v>997</v>
      </c>
      <c r="K2104" s="2028">
        <v>26</v>
      </c>
      <c r="L2104"/>
      <c r="M2104"/>
      <c r="N2104"/>
    </row>
    <row r="2105" spans="2:14" s="1391" customFormat="1" ht="15" x14ac:dyDescent="0.2">
      <c r="B2105" s="2026">
        <v>15</v>
      </c>
      <c r="C2105" s="2027">
        <v>6.9009999999999998</v>
      </c>
      <c r="D2105" s="2027">
        <v>579</v>
      </c>
      <c r="E2105" s="2027">
        <v>668</v>
      </c>
      <c r="F2105" s="2027">
        <v>757</v>
      </c>
      <c r="G2105" s="2027">
        <v>846</v>
      </c>
      <c r="H2105" s="2027">
        <v>935</v>
      </c>
      <c r="I2105" s="2027">
        <v>1024</v>
      </c>
      <c r="J2105" s="2027">
        <v>1113</v>
      </c>
      <c r="K2105" s="2028">
        <v>27</v>
      </c>
      <c r="L2105"/>
      <c r="M2105"/>
      <c r="N2105"/>
    </row>
    <row r="2106" spans="2:14" s="1391" customFormat="1" ht="15" x14ac:dyDescent="0.2">
      <c r="B2106" s="2026">
        <v>16</v>
      </c>
      <c r="C2106" s="2027">
        <v>7.51</v>
      </c>
      <c r="D2106" s="2027">
        <v>642</v>
      </c>
      <c r="E2106" s="2027">
        <v>740</v>
      </c>
      <c r="F2106" s="2027">
        <v>839</v>
      </c>
      <c r="G2106" s="2027">
        <v>938</v>
      </c>
      <c r="H2106" s="2027">
        <v>1037</v>
      </c>
      <c r="I2106" s="2027">
        <v>1135</v>
      </c>
      <c r="J2106" s="2027">
        <v>1234</v>
      </c>
      <c r="K2106" s="2028">
        <v>28</v>
      </c>
      <c r="L2106"/>
      <c r="M2106"/>
      <c r="N2106"/>
    </row>
    <row r="2107" spans="2:14" s="1391" customFormat="1" ht="15" x14ac:dyDescent="0.2">
      <c r="B2107" s="4728" t="s">
        <v>1906</v>
      </c>
      <c r="C2107" s="4729"/>
      <c r="D2107" s="4729"/>
      <c r="E2107" s="4729"/>
      <c r="F2107" s="4729"/>
      <c r="G2107" s="4729"/>
      <c r="H2107" s="4729"/>
      <c r="I2107" s="4729"/>
      <c r="J2107" s="4729"/>
      <c r="K2107" s="4730"/>
      <c r="L2107"/>
      <c r="M2107"/>
      <c r="N2107"/>
    </row>
    <row r="2108" spans="2:14" s="1391" customFormat="1" ht="15" x14ac:dyDescent="0.2">
      <c r="B2108" s="4716" t="s">
        <v>1578</v>
      </c>
      <c r="C2108" s="4711"/>
      <c r="D2108" s="4711"/>
      <c r="E2108" s="4711"/>
      <c r="F2108" s="4711"/>
      <c r="G2108" s="4711"/>
      <c r="H2108" s="4711"/>
      <c r="I2108" s="4711"/>
      <c r="J2108" s="4711"/>
      <c r="K2108" s="4717"/>
      <c r="L2108"/>
      <c r="M2108"/>
      <c r="N2108"/>
    </row>
    <row r="2109" spans="2:14" s="1391" customFormat="1" ht="15" x14ac:dyDescent="0.2">
      <c r="B2109" s="2026"/>
      <c r="C2109" s="2027"/>
      <c r="D2109" s="2027">
        <v>1</v>
      </c>
      <c r="E2109" s="2027">
        <v>2</v>
      </c>
      <c r="F2109" s="2027">
        <v>3</v>
      </c>
      <c r="G2109" s="2027">
        <v>4</v>
      </c>
      <c r="H2109" s="2027">
        <v>5</v>
      </c>
      <c r="I2109" s="2027">
        <v>6</v>
      </c>
      <c r="J2109" s="2027">
        <v>7</v>
      </c>
      <c r="K2109" s="2028"/>
      <c r="L2109"/>
      <c r="M2109"/>
      <c r="N2109"/>
    </row>
    <row r="2110" spans="2:14" s="1391" customFormat="1" ht="15" x14ac:dyDescent="0.2">
      <c r="B2110" s="2026">
        <v>10</v>
      </c>
      <c r="C2110" s="2027">
        <v>4.8410000000000002</v>
      </c>
      <c r="D2110" s="2027">
        <v>273</v>
      </c>
      <c r="E2110" s="2027">
        <v>311</v>
      </c>
      <c r="F2110" s="2027">
        <v>348</v>
      </c>
      <c r="G2110" s="2027">
        <v>384</v>
      </c>
      <c r="H2110" s="2027">
        <v>419</v>
      </c>
      <c r="I2110" s="2027">
        <v>454</v>
      </c>
      <c r="J2110" s="2027">
        <v>487</v>
      </c>
      <c r="K2110" s="2028">
        <v>29</v>
      </c>
      <c r="L2110"/>
      <c r="M2110"/>
      <c r="N2110"/>
    </row>
    <row r="2111" spans="2:14" s="1391" customFormat="1" ht="15" x14ac:dyDescent="0.2">
      <c r="B2111" s="2026">
        <v>11</v>
      </c>
      <c r="C2111" s="2027">
        <v>5.181</v>
      </c>
      <c r="D2111" s="2027">
        <v>304</v>
      </c>
      <c r="E2111" s="2027">
        <v>346</v>
      </c>
      <c r="F2111" s="2027">
        <v>387</v>
      </c>
      <c r="G2111" s="2027">
        <v>427</v>
      </c>
      <c r="H2111" s="2027">
        <v>465</v>
      </c>
      <c r="I2111" s="2027">
        <v>503</v>
      </c>
      <c r="J2111" s="2027">
        <v>540</v>
      </c>
      <c r="K2111" s="2028">
        <v>30</v>
      </c>
      <c r="L2111"/>
      <c r="M2111"/>
      <c r="N2111"/>
    </row>
    <row r="2112" spans="2:14" s="1391" customFormat="1" ht="15" x14ac:dyDescent="0.2">
      <c r="B2112" s="2026">
        <v>12</v>
      </c>
      <c r="C2112" s="2027">
        <v>5.5540000000000003</v>
      </c>
      <c r="D2112" s="2027">
        <v>338</v>
      </c>
      <c r="E2112" s="2027">
        <v>384</v>
      </c>
      <c r="F2112" s="2027">
        <v>429</v>
      </c>
      <c r="G2112" s="2027">
        <v>472</v>
      </c>
      <c r="H2112" s="2027">
        <v>514</v>
      </c>
      <c r="I2112" s="2027">
        <v>555</v>
      </c>
      <c r="J2112" s="2027">
        <v>595</v>
      </c>
      <c r="K2112" s="2028">
        <v>31</v>
      </c>
      <c r="L2112"/>
      <c r="M2112"/>
      <c r="N2112"/>
    </row>
    <row r="2113" spans="2:14" s="1391" customFormat="1" ht="15" x14ac:dyDescent="0.2">
      <c r="B2113" s="2026">
        <v>13</v>
      </c>
      <c r="C2113" s="2027">
        <v>5.87</v>
      </c>
      <c r="D2113" s="2027">
        <v>374</v>
      </c>
      <c r="E2113" s="2027">
        <v>424</v>
      </c>
      <c r="F2113" s="2027">
        <v>472</v>
      </c>
      <c r="G2113" s="2027">
        <v>519</v>
      </c>
      <c r="H2113" s="2027">
        <v>565</v>
      </c>
      <c r="I2113" s="2027">
        <v>608</v>
      </c>
      <c r="J2113" s="2027">
        <v>651</v>
      </c>
      <c r="K2113" s="2028">
        <v>32</v>
      </c>
      <c r="L2113"/>
      <c r="M2113"/>
      <c r="N2113"/>
    </row>
    <row r="2114" spans="2:14" s="1391" customFormat="1" ht="15" x14ac:dyDescent="0.2">
      <c r="B2114" s="2026">
        <v>14</v>
      </c>
      <c r="C2114" s="2027">
        <v>6.407</v>
      </c>
      <c r="D2114" s="2027">
        <v>412</v>
      </c>
      <c r="E2114" s="2027">
        <v>462</v>
      </c>
      <c r="F2114" s="2027">
        <v>519</v>
      </c>
      <c r="G2114" s="2027">
        <v>570</v>
      </c>
      <c r="H2114" s="2027">
        <v>618</v>
      </c>
      <c r="I2114" s="2027">
        <v>666</v>
      </c>
      <c r="J2114" s="2027">
        <v>711</v>
      </c>
      <c r="K2114" s="2028">
        <v>33</v>
      </c>
      <c r="L2114"/>
      <c r="M2114"/>
      <c r="N2114"/>
    </row>
    <row r="2115" spans="2:14" s="1391" customFormat="1" ht="15" x14ac:dyDescent="0.2">
      <c r="B2115" s="2026">
        <v>15</v>
      </c>
      <c r="C2115" s="2027">
        <v>6.9009999999999998</v>
      </c>
      <c r="D2115" s="2027">
        <v>453</v>
      </c>
      <c r="E2115" s="2027">
        <v>512</v>
      </c>
      <c r="F2115" s="2027">
        <v>568</v>
      </c>
      <c r="G2115" s="2027">
        <v>623</v>
      </c>
      <c r="H2115" s="2027">
        <v>675</v>
      </c>
      <c r="I2115" s="2027">
        <v>725</v>
      </c>
      <c r="J2115" s="2027">
        <v>774</v>
      </c>
      <c r="K2115" s="2028">
        <v>34</v>
      </c>
      <c r="L2115"/>
      <c r="M2115"/>
      <c r="N2115"/>
    </row>
    <row r="2116" spans="2:14" s="1391" customFormat="1" ht="15" x14ac:dyDescent="0.2">
      <c r="B2116" s="2026">
        <v>16</v>
      </c>
      <c r="C2116" s="2027">
        <v>7.51</v>
      </c>
      <c r="D2116" s="2027">
        <v>494</v>
      </c>
      <c r="E2116" s="2027">
        <v>557</v>
      </c>
      <c r="F2116" s="2027">
        <v>617</v>
      </c>
      <c r="G2116" s="2027">
        <v>675</v>
      </c>
      <c r="H2116" s="2027">
        <v>731</v>
      </c>
      <c r="I2116" s="2027">
        <v>784</v>
      </c>
      <c r="J2116" s="2027">
        <v>835</v>
      </c>
      <c r="K2116" s="2028">
        <v>35</v>
      </c>
      <c r="L2116"/>
      <c r="M2116"/>
      <c r="N2116"/>
    </row>
    <row r="2117" spans="2:14" s="1391" customFormat="1" ht="15" x14ac:dyDescent="0.2">
      <c r="B2117" s="4716" t="s">
        <v>1579</v>
      </c>
      <c r="C2117" s="4711"/>
      <c r="D2117" s="4711"/>
      <c r="E2117" s="4711"/>
      <c r="F2117" s="4711"/>
      <c r="G2117" s="4711"/>
      <c r="H2117" s="4711"/>
      <c r="I2117" s="4711"/>
      <c r="J2117" s="4711"/>
      <c r="K2117" s="4717"/>
      <c r="L2117"/>
      <c r="M2117"/>
      <c r="N2117"/>
    </row>
    <row r="2118" spans="2:14" s="1391" customFormat="1" ht="15" x14ac:dyDescent="0.2">
      <c r="B2118" s="2026"/>
      <c r="C2118" s="2027"/>
      <c r="D2118" s="2027">
        <v>1</v>
      </c>
      <c r="E2118" s="2027">
        <v>2</v>
      </c>
      <c r="F2118" s="2027">
        <v>3</v>
      </c>
      <c r="G2118" s="2027">
        <v>4</v>
      </c>
      <c r="H2118" s="2027">
        <v>5</v>
      </c>
      <c r="I2118" s="2027">
        <v>6</v>
      </c>
      <c r="J2118" s="2027">
        <v>7</v>
      </c>
      <c r="K2118" s="2028"/>
      <c r="L2118"/>
      <c r="M2118"/>
      <c r="N2118"/>
    </row>
    <row r="2119" spans="2:14" s="1391" customFormat="1" ht="15" x14ac:dyDescent="0.2">
      <c r="B2119" s="2026">
        <v>10</v>
      </c>
      <c r="C2119" s="2027">
        <v>4.8410000000000002</v>
      </c>
      <c r="D2119" s="2027">
        <v>284</v>
      </c>
      <c r="E2119" s="2027">
        <v>323</v>
      </c>
      <c r="F2119" s="2027">
        <v>362</v>
      </c>
      <c r="G2119" s="2027">
        <v>399</v>
      </c>
      <c r="H2119" s="2027">
        <v>435</v>
      </c>
      <c r="I2119" s="2027">
        <v>471</v>
      </c>
      <c r="J2119" s="2027">
        <v>506</v>
      </c>
      <c r="K2119" s="2028">
        <v>36</v>
      </c>
      <c r="L2119"/>
      <c r="M2119"/>
      <c r="N2119"/>
    </row>
    <row r="2120" spans="2:14" s="1391" customFormat="1" ht="15" x14ac:dyDescent="0.2">
      <c r="B2120" s="2026">
        <v>11</v>
      </c>
      <c r="C2120" s="2027">
        <v>5.181</v>
      </c>
      <c r="D2120" s="2027">
        <v>317</v>
      </c>
      <c r="E2120" s="2027">
        <v>360</v>
      </c>
      <c r="F2120" s="2027">
        <v>402</v>
      </c>
      <c r="G2120" s="2027">
        <v>443</v>
      </c>
      <c r="H2120" s="2027">
        <v>483</v>
      </c>
      <c r="I2120" s="2027">
        <v>522</v>
      </c>
      <c r="J2120" s="2027">
        <v>560</v>
      </c>
      <c r="K2120" s="2028">
        <v>37</v>
      </c>
      <c r="L2120"/>
      <c r="M2120"/>
      <c r="N2120"/>
    </row>
    <row r="2121" spans="2:14" s="1391" customFormat="1" ht="15" x14ac:dyDescent="0.2">
      <c r="B2121" s="2026">
        <v>12</v>
      </c>
      <c r="C2121" s="2027">
        <v>5.5540000000000003</v>
      </c>
      <c r="D2121" s="2027">
        <v>352</v>
      </c>
      <c r="E2121" s="2027">
        <v>400</v>
      </c>
      <c r="F2121" s="2027">
        <v>446</v>
      </c>
      <c r="G2121" s="2027">
        <v>490</v>
      </c>
      <c r="H2121" s="2027">
        <v>534</v>
      </c>
      <c r="I2121" s="2027">
        <v>576</v>
      </c>
      <c r="J2121" s="2027">
        <v>617</v>
      </c>
      <c r="K2121" s="2028">
        <v>38</v>
      </c>
      <c r="L2121"/>
      <c r="M2121"/>
      <c r="N2121"/>
    </row>
    <row r="2122" spans="2:14" s="1391" customFormat="1" ht="15" x14ac:dyDescent="0.2">
      <c r="B2122" s="2026">
        <v>13</v>
      </c>
      <c r="C2122" s="2027">
        <v>5.87</v>
      </c>
      <c r="D2122" s="2027">
        <v>389</v>
      </c>
      <c r="E2122" s="2027">
        <v>441</v>
      </c>
      <c r="F2122" s="2027">
        <v>491</v>
      </c>
      <c r="G2122" s="2027">
        <v>539</v>
      </c>
      <c r="H2122" s="2027">
        <v>586</v>
      </c>
      <c r="I2122" s="2027">
        <v>631</v>
      </c>
      <c r="J2122" s="2027">
        <v>675</v>
      </c>
      <c r="K2122" s="2028">
        <v>39</v>
      </c>
      <c r="L2122"/>
      <c r="M2122"/>
      <c r="N2122"/>
    </row>
    <row r="2123" spans="2:14" s="1391" customFormat="1" ht="15" x14ac:dyDescent="0.2">
      <c r="B2123" s="2026">
        <v>14</v>
      </c>
      <c r="C2123" s="2027">
        <v>6.407</v>
      </c>
      <c r="D2123" s="2027">
        <v>429</v>
      </c>
      <c r="E2123" s="2027">
        <v>485</v>
      </c>
      <c r="F2123" s="2027">
        <v>539</v>
      </c>
      <c r="G2123" s="2027">
        <v>592</v>
      </c>
      <c r="H2123" s="2027">
        <v>642</v>
      </c>
      <c r="I2123" s="2027">
        <v>690</v>
      </c>
      <c r="J2123" s="2027">
        <v>737</v>
      </c>
      <c r="K2123" s="2028">
        <v>40</v>
      </c>
      <c r="L2123"/>
      <c r="M2123"/>
      <c r="N2123"/>
    </row>
    <row r="2124" spans="2:14" s="1391" customFormat="1" ht="15" x14ac:dyDescent="0.2">
      <c r="B2124" s="2026">
        <v>15</v>
      </c>
      <c r="C2124" s="2027">
        <v>6.9009999999999998</v>
      </c>
      <c r="D2124" s="2027">
        <v>471</v>
      </c>
      <c r="E2124" s="2027">
        <v>532</v>
      </c>
      <c r="F2124" s="2027">
        <v>591</v>
      </c>
      <c r="G2124" s="2027">
        <v>647</v>
      </c>
      <c r="H2124" s="2027">
        <v>700</v>
      </c>
      <c r="I2124" s="2027">
        <v>752</v>
      </c>
      <c r="J2124" s="2027">
        <v>802</v>
      </c>
      <c r="K2124" s="2028">
        <v>41</v>
      </c>
      <c r="L2124"/>
      <c r="M2124"/>
      <c r="N2124"/>
    </row>
    <row r="2125" spans="2:14" s="1391" customFormat="1" ht="15" x14ac:dyDescent="0.2">
      <c r="B2125" s="2026">
        <v>16</v>
      </c>
      <c r="C2125" s="2027">
        <v>7.51</v>
      </c>
      <c r="D2125" s="2027">
        <v>514</v>
      </c>
      <c r="E2125" s="2027">
        <v>579</v>
      </c>
      <c r="F2125" s="2027">
        <v>642</v>
      </c>
      <c r="G2125" s="2027">
        <v>701</v>
      </c>
      <c r="H2125" s="2027">
        <v>758</v>
      </c>
      <c r="I2125" s="2027">
        <v>813</v>
      </c>
      <c r="J2125" s="2027">
        <v>865</v>
      </c>
      <c r="K2125" s="2028">
        <v>42</v>
      </c>
      <c r="L2125"/>
      <c r="M2125"/>
      <c r="N2125"/>
    </row>
    <row r="2126" spans="2:14" s="1391" customFormat="1" ht="15" x14ac:dyDescent="0.2">
      <c r="B2126" s="4716" t="s">
        <v>1580</v>
      </c>
      <c r="C2126" s="4711"/>
      <c r="D2126" s="4711"/>
      <c r="E2126" s="4711"/>
      <c r="F2126" s="4711"/>
      <c r="G2126" s="4711"/>
      <c r="H2126" s="4711"/>
      <c r="I2126" s="4711"/>
      <c r="J2126" s="4711"/>
      <c r="K2126" s="4717"/>
      <c r="L2126"/>
      <c r="M2126"/>
      <c r="N2126"/>
    </row>
    <row r="2127" spans="2:14" s="1391" customFormat="1" ht="15" x14ac:dyDescent="0.2">
      <c r="B2127" s="2026"/>
      <c r="C2127" s="2027"/>
      <c r="D2127" s="2027">
        <v>1</v>
      </c>
      <c r="E2127" s="2027">
        <v>2</v>
      </c>
      <c r="F2127" s="2027">
        <v>3</v>
      </c>
      <c r="G2127" s="2027">
        <v>4</v>
      </c>
      <c r="H2127" s="2027">
        <v>5</v>
      </c>
      <c r="I2127" s="2027">
        <v>6</v>
      </c>
      <c r="J2127" s="2027">
        <v>7</v>
      </c>
      <c r="K2127" s="2028"/>
      <c r="L2127"/>
      <c r="M2127"/>
      <c r="N2127"/>
    </row>
    <row r="2128" spans="2:14" s="1391" customFormat="1" ht="15" x14ac:dyDescent="0.2">
      <c r="B2128" s="2026">
        <v>10</v>
      </c>
      <c r="C2128" s="2027">
        <v>4.8410000000000002</v>
      </c>
      <c r="D2128" s="2027">
        <v>291</v>
      </c>
      <c r="E2128" s="2027">
        <v>332</v>
      </c>
      <c r="F2128" s="2027">
        <v>371</v>
      </c>
      <c r="G2128" s="2027">
        <v>409</v>
      </c>
      <c r="H2128" s="2027">
        <v>446</v>
      </c>
      <c r="I2128" s="2027">
        <v>483</v>
      </c>
      <c r="J2128" s="2027">
        <v>518</v>
      </c>
      <c r="K2128" s="2028">
        <v>43</v>
      </c>
      <c r="L2128"/>
      <c r="M2128"/>
      <c r="N2128"/>
    </row>
    <row r="2129" spans="2:14" s="1391" customFormat="1" ht="15" x14ac:dyDescent="0.2">
      <c r="B2129" s="2026">
        <v>11</v>
      </c>
      <c r="C2129" s="2027">
        <v>5.181</v>
      </c>
      <c r="D2129" s="2027">
        <v>325</v>
      </c>
      <c r="E2129" s="2027">
        <v>369</v>
      </c>
      <c r="F2129" s="2027">
        <v>413</v>
      </c>
      <c r="G2129" s="2027">
        <v>455</v>
      </c>
      <c r="H2129" s="2027">
        <v>495</v>
      </c>
      <c r="I2129" s="2027">
        <v>535</v>
      </c>
      <c r="J2129" s="2027">
        <v>573</v>
      </c>
      <c r="K2129" s="2028">
        <v>44</v>
      </c>
      <c r="L2129"/>
      <c r="M2129"/>
      <c r="N2129"/>
    </row>
    <row r="2130" spans="2:14" s="1391" customFormat="1" ht="15" x14ac:dyDescent="0.2">
      <c r="B2130" s="2026">
        <v>12</v>
      </c>
      <c r="C2130" s="2027">
        <v>5.5540000000000003</v>
      </c>
      <c r="D2130" s="2027">
        <v>361</v>
      </c>
      <c r="E2130" s="2027">
        <v>410</v>
      </c>
      <c r="F2130" s="2027">
        <v>457</v>
      </c>
      <c r="G2130" s="2027">
        <v>503</v>
      </c>
      <c r="H2130" s="2027">
        <v>547</v>
      </c>
      <c r="I2130" s="2027">
        <v>590</v>
      </c>
      <c r="J2130" s="2027">
        <v>632</v>
      </c>
      <c r="K2130" s="2028">
        <v>45</v>
      </c>
      <c r="L2130"/>
      <c r="M2130"/>
      <c r="N2130"/>
    </row>
    <row r="2131" spans="2:14" s="1391" customFormat="1" ht="15" x14ac:dyDescent="0.2">
      <c r="B2131" s="2026">
        <v>13</v>
      </c>
      <c r="C2131" s="2027">
        <v>5.87</v>
      </c>
      <c r="D2131" s="2027">
        <v>399</v>
      </c>
      <c r="E2131" s="2027">
        <v>452</v>
      </c>
      <c r="F2131" s="2027">
        <v>503</v>
      </c>
      <c r="G2131" s="2027">
        <v>553</v>
      </c>
      <c r="H2131" s="2027">
        <v>601</v>
      </c>
      <c r="I2131" s="2027">
        <v>647</v>
      </c>
      <c r="J2131" s="2027">
        <v>691</v>
      </c>
      <c r="K2131" s="2028">
        <v>46</v>
      </c>
      <c r="L2131"/>
      <c r="M2131"/>
      <c r="N2131"/>
    </row>
    <row r="2132" spans="2:14" s="1391" customFormat="1" ht="15" x14ac:dyDescent="0.2">
      <c r="B2132" s="2026">
        <v>14</v>
      </c>
      <c r="C2132" s="2027">
        <v>6.407</v>
      </c>
      <c r="D2132" s="2027">
        <v>440</v>
      </c>
      <c r="E2132" s="2027">
        <v>498</v>
      </c>
      <c r="F2132" s="2027">
        <v>553</v>
      </c>
      <c r="G2132" s="2027">
        <v>606</v>
      </c>
      <c r="H2132" s="2027">
        <v>658</v>
      </c>
      <c r="I2132" s="2027">
        <v>707</v>
      </c>
      <c r="J2132" s="2027">
        <v>755</v>
      </c>
      <c r="K2132" s="2028">
        <v>47</v>
      </c>
      <c r="L2132"/>
      <c r="M2132"/>
      <c r="N2132"/>
    </row>
    <row r="2133" spans="2:14" s="1391" customFormat="1" ht="15" x14ac:dyDescent="0.2">
      <c r="B2133" s="2026">
        <v>15</v>
      </c>
      <c r="C2133" s="2027">
        <v>6.9009999999999998</v>
      </c>
      <c r="D2133" s="2027">
        <v>484</v>
      </c>
      <c r="E2133" s="2027">
        <v>546</v>
      </c>
      <c r="F2133" s="2027">
        <v>606</v>
      </c>
      <c r="G2133" s="2027">
        <v>663</v>
      </c>
      <c r="H2133" s="2027">
        <v>718</v>
      </c>
      <c r="I2133" s="2027">
        <v>770</v>
      </c>
      <c r="J2133" s="2027">
        <v>820</v>
      </c>
      <c r="K2133" s="2028">
        <v>48</v>
      </c>
      <c r="L2133"/>
      <c r="M2133"/>
      <c r="N2133"/>
    </row>
    <row r="2134" spans="2:14" s="1391" customFormat="1" ht="15" x14ac:dyDescent="0.2">
      <c r="B2134" s="2026">
        <v>16</v>
      </c>
      <c r="C2134" s="2027">
        <v>7.51</v>
      </c>
      <c r="D2134" s="2027">
        <v>528</v>
      </c>
      <c r="E2134" s="2027">
        <v>595</v>
      </c>
      <c r="F2134" s="2027">
        <v>658</v>
      </c>
      <c r="G2134" s="2027">
        <v>719</v>
      </c>
      <c r="H2134" s="2027">
        <v>777</v>
      </c>
      <c r="I2134" s="2027">
        <v>832</v>
      </c>
      <c r="J2134" s="2027">
        <v>886</v>
      </c>
      <c r="K2134" s="2028">
        <v>49</v>
      </c>
      <c r="L2134"/>
      <c r="M2134"/>
      <c r="N2134"/>
    </row>
    <row r="2135" spans="2:14" s="1391" customFormat="1" ht="15" x14ac:dyDescent="0.2">
      <c r="B2135" s="4716" t="s">
        <v>3051</v>
      </c>
      <c r="C2135" s="4711"/>
      <c r="D2135" s="4711"/>
      <c r="E2135" s="4711"/>
      <c r="F2135" s="4711"/>
      <c r="G2135" s="4711"/>
      <c r="H2135" s="4711"/>
      <c r="I2135" s="4711"/>
      <c r="J2135" s="4711"/>
      <c r="K2135" s="4717"/>
      <c r="L2135"/>
      <c r="M2135"/>
      <c r="N2135"/>
    </row>
    <row r="2136" spans="2:14" s="1391" customFormat="1" ht="15" x14ac:dyDescent="0.2">
      <c r="B2136" s="2026"/>
      <c r="C2136" s="2027"/>
      <c r="D2136" s="2027">
        <v>1</v>
      </c>
      <c r="E2136" s="2027">
        <v>2</v>
      </c>
      <c r="F2136" s="2027">
        <v>3</v>
      </c>
      <c r="G2136" s="2027">
        <v>4</v>
      </c>
      <c r="H2136" s="2027">
        <v>5</v>
      </c>
      <c r="I2136" s="2027">
        <v>6</v>
      </c>
      <c r="J2136" s="2027">
        <v>7</v>
      </c>
      <c r="K2136" s="2028"/>
      <c r="L2136"/>
      <c r="M2136"/>
      <c r="N2136"/>
    </row>
    <row r="2137" spans="2:14" s="1391" customFormat="1" ht="15" x14ac:dyDescent="0.2">
      <c r="B2137" s="2026">
        <v>10</v>
      </c>
      <c r="C2137" s="2027">
        <v>4.8410000000000002</v>
      </c>
      <c r="D2137" s="2027">
        <v>297</v>
      </c>
      <c r="E2137" s="2027">
        <v>338</v>
      </c>
      <c r="F2137" s="2027">
        <v>378</v>
      </c>
      <c r="G2137" s="2027">
        <v>416</v>
      </c>
      <c r="H2137" s="2027">
        <v>454</v>
      </c>
      <c r="I2137" s="2027">
        <v>491</v>
      </c>
      <c r="J2137" s="2027">
        <v>527</v>
      </c>
      <c r="K2137" s="2028">
        <v>50</v>
      </c>
      <c r="L2137"/>
      <c r="M2137"/>
      <c r="N2137"/>
    </row>
    <row r="2138" spans="2:14" s="1391" customFormat="1" ht="15" x14ac:dyDescent="0.2">
      <c r="B2138" s="2026">
        <v>11</v>
      </c>
      <c r="C2138" s="2027">
        <v>5.181</v>
      </c>
      <c r="D2138" s="2027">
        <v>331</v>
      </c>
      <c r="E2138" s="2027">
        <v>376</v>
      </c>
      <c r="F2138" s="2027">
        <v>420</v>
      </c>
      <c r="G2138" s="2027">
        <v>463</v>
      </c>
      <c r="H2138" s="2027">
        <v>504</v>
      </c>
      <c r="I2138" s="2027">
        <v>544</v>
      </c>
      <c r="J2138" s="2027">
        <v>583</v>
      </c>
      <c r="K2138" s="2028">
        <v>51</v>
      </c>
      <c r="L2138"/>
      <c r="M2138"/>
      <c r="N2138"/>
    </row>
    <row r="2139" spans="2:14" s="1391" customFormat="1" ht="15" x14ac:dyDescent="0.2">
      <c r="B2139" s="2026">
        <v>12</v>
      </c>
      <c r="C2139" s="2027">
        <v>5.5540000000000003</v>
      </c>
      <c r="D2139" s="2027">
        <v>368</v>
      </c>
      <c r="E2139" s="2027">
        <v>418</v>
      </c>
      <c r="F2139" s="2027">
        <v>465</v>
      </c>
      <c r="G2139" s="2027">
        <v>512</v>
      </c>
      <c r="H2139" s="2027">
        <v>557</v>
      </c>
      <c r="I2139" s="2027">
        <v>600</v>
      </c>
      <c r="J2139" s="2027">
        <v>642</v>
      </c>
      <c r="K2139" s="2028">
        <v>52</v>
      </c>
      <c r="L2139"/>
      <c r="M2139"/>
      <c r="N2139"/>
    </row>
    <row r="2140" spans="2:14" s="1391" customFormat="1" ht="15" x14ac:dyDescent="0.2">
      <c r="B2140" s="2026">
        <v>13</v>
      </c>
      <c r="C2140" s="2027">
        <v>5.87</v>
      </c>
      <c r="D2140" s="2027">
        <v>407</v>
      </c>
      <c r="E2140" s="2027">
        <v>461</v>
      </c>
      <c r="F2140" s="2027">
        <v>513</v>
      </c>
      <c r="G2140" s="2027">
        <v>563</v>
      </c>
      <c r="H2140" s="2027">
        <v>611</v>
      </c>
      <c r="I2140" s="2027">
        <v>658</v>
      </c>
      <c r="J2140" s="2027">
        <v>703</v>
      </c>
      <c r="K2140" s="2028">
        <v>53</v>
      </c>
      <c r="L2140"/>
      <c r="M2140"/>
      <c r="N2140"/>
    </row>
    <row r="2141" spans="2:14" s="1391" customFormat="1" ht="15" x14ac:dyDescent="0.2">
      <c r="B2141" s="2026">
        <v>14</v>
      </c>
      <c r="C2141" s="2027">
        <v>6.407</v>
      </c>
      <c r="D2141" s="2027">
        <v>449</v>
      </c>
      <c r="E2141" s="2027">
        <v>507</v>
      </c>
      <c r="F2141" s="2027">
        <v>563</v>
      </c>
      <c r="G2141" s="2027">
        <v>617</v>
      </c>
      <c r="H2141" s="2027">
        <v>669</v>
      </c>
      <c r="I2141" s="2027">
        <v>719</v>
      </c>
      <c r="J2141" s="2027">
        <v>767</v>
      </c>
      <c r="K2141" s="2028">
        <v>54</v>
      </c>
      <c r="L2141"/>
      <c r="M2141"/>
      <c r="N2141"/>
    </row>
    <row r="2142" spans="2:14" s="1391" customFormat="1" ht="15" x14ac:dyDescent="0.2">
      <c r="B2142" s="2026">
        <v>15</v>
      </c>
      <c r="C2142" s="2027">
        <v>6.9009999999999998</v>
      </c>
      <c r="D2142" s="2027">
        <v>493</v>
      </c>
      <c r="E2142" s="2027">
        <v>556</v>
      </c>
      <c r="F2142" s="2027">
        <v>617</v>
      </c>
      <c r="G2142" s="2027">
        <v>674</v>
      </c>
      <c r="H2142" s="2027">
        <v>730</v>
      </c>
      <c r="I2142" s="2027">
        <v>783</v>
      </c>
      <c r="J2142" s="2027">
        <v>834</v>
      </c>
      <c r="K2142" s="2028">
        <v>55</v>
      </c>
      <c r="L2142"/>
      <c r="M2142"/>
      <c r="N2142"/>
    </row>
    <row r="2143" spans="2:14" s="1391" customFormat="1" ht="15.75" thickBot="1" x14ac:dyDescent="0.25">
      <c r="B2143" s="2030">
        <v>16</v>
      </c>
      <c r="C2143" s="2031">
        <v>7.51</v>
      </c>
      <c r="D2143" s="2031">
        <v>538</v>
      </c>
      <c r="E2143" s="2031">
        <v>606</v>
      </c>
      <c r="F2143" s="2031">
        <v>670</v>
      </c>
      <c r="G2143" s="2031">
        <v>732</v>
      </c>
      <c r="H2143" s="2031">
        <v>790</v>
      </c>
      <c r="I2143" s="2031">
        <v>846</v>
      </c>
      <c r="J2143" s="2031">
        <v>900</v>
      </c>
      <c r="K2143" s="2032">
        <v>56</v>
      </c>
      <c r="L2143"/>
      <c r="M2143"/>
      <c r="N2143"/>
    </row>
    <row r="2144" spans="2:14" s="1391" customFormat="1" ht="15" x14ac:dyDescent="0.2">
      <c r="B2144"/>
      <c r="C2144"/>
      <c r="D2144"/>
      <c r="E2144"/>
      <c r="F2144"/>
      <c r="G2144"/>
      <c r="H2144"/>
      <c r="I2144"/>
      <c r="J2144"/>
      <c r="K2144"/>
      <c r="L2144"/>
      <c r="M2144"/>
      <c r="N2144"/>
    </row>
    <row r="2145" spans="2:14" s="1391" customFormat="1" ht="15.75" x14ac:dyDescent="0.25">
      <c r="B2145" s="2034" t="s">
        <v>4823</v>
      </c>
      <c r="C2145"/>
      <c r="D2145"/>
      <c r="E2145"/>
      <c r="F2145"/>
      <c r="G2145"/>
      <c r="H2145"/>
      <c r="I2145"/>
      <c r="J2145"/>
      <c r="K2145"/>
      <c r="L2145"/>
      <c r="M2145"/>
      <c r="N2145"/>
    </row>
    <row r="2146" spans="2:14" s="1391" customFormat="1" ht="15.75" thickBot="1" x14ac:dyDescent="0.25">
      <c r="B2146" t="s">
        <v>3453</v>
      </c>
      <c r="C2146"/>
      <c r="D2146"/>
      <c r="E2146"/>
      <c r="F2146"/>
      <c r="G2146"/>
      <c r="H2146"/>
      <c r="I2146"/>
      <c r="J2146"/>
      <c r="K2146"/>
      <c r="L2146"/>
      <c r="M2146"/>
      <c r="N2146"/>
    </row>
    <row r="2147" spans="2:14" s="1391" customFormat="1" ht="15" x14ac:dyDescent="0.2">
      <c r="B2147" s="4734" t="s">
        <v>3454</v>
      </c>
      <c r="C2147" s="4735"/>
      <c r="D2147" s="4735"/>
      <c r="E2147" s="4735"/>
      <c r="F2147" s="4735"/>
      <c r="G2147" s="4735"/>
      <c r="H2147" s="4735"/>
      <c r="I2147" s="4735"/>
      <c r="J2147" s="4735"/>
      <c r="K2147" s="4735"/>
      <c r="L2147" s="4735"/>
      <c r="M2147" s="4735"/>
      <c r="N2147" s="4736"/>
    </row>
    <row r="2148" spans="2:14" s="1391" customFormat="1" ht="15" x14ac:dyDescent="0.2">
      <c r="B2148" s="4737"/>
      <c r="C2148" s="4738"/>
      <c r="D2148" s="4738"/>
      <c r="E2148" s="4738"/>
      <c r="F2148" s="4738"/>
      <c r="G2148" s="4738"/>
      <c r="H2148" s="4738"/>
      <c r="I2148" s="4738"/>
      <c r="J2148" s="4738"/>
      <c r="K2148" s="4738"/>
      <c r="L2148" s="4738"/>
      <c r="M2148" s="4738"/>
      <c r="N2148" s="4739"/>
    </row>
    <row r="2149" spans="2:14" s="1391" customFormat="1" ht="15" x14ac:dyDescent="0.2">
      <c r="B2149" s="4704" t="s">
        <v>3455</v>
      </c>
      <c r="C2149" s="4707" t="s">
        <v>1042</v>
      </c>
      <c r="D2149" s="4710" t="s">
        <v>5602</v>
      </c>
      <c r="E2149" s="4711"/>
      <c r="F2149" s="4711"/>
      <c r="G2149" s="4711"/>
      <c r="H2149" s="4711"/>
      <c r="I2149" s="4711"/>
      <c r="J2149" s="4711"/>
      <c r="K2149" s="4711"/>
      <c r="L2149" s="4711"/>
      <c r="M2149" s="4712"/>
      <c r="N2149" s="4725" t="s">
        <v>2490</v>
      </c>
    </row>
    <row r="2150" spans="2:14" s="1391" customFormat="1" ht="28.5" x14ac:dyDescent="0.2">
      <c r="B2150" s="4705"/>
      <c r="C2150" s="4708"/>
      <c r="D2150" s="2033" t="s">
        <v>1044</v>
      </c>
      <c r="E2150" s="2033" t="s">
        <v>1045</v>
      </c>
      <c r="F2150" s="2033" t="s">
        <v>1046</v>
      </c>
      <c r="G2150" s="2033" t="s">
        <v>1047</v>
      </c>
      <c r="H2150" s="2033" t="s">
        <v>1048</v>
      </c>
      <c r="I2150" s="2033" t="s">
        <v>1049</v>
      </c>
      <c r="J2150" s="2033" t="s">
        <v>1050</v>
      </c>
      <c r="K2150" s="2033" t="s">
        <v>4219</v>
      </c>
      <c r="L2150" s="2033" t="s">
        <v>4220</v>
      </c>
      <c r="M2150" s="2033" t="s">
        <v>3456</v>
      </c>
      <c r="N2150" s="4726"/>
    </row>
    <row r="2151" spans="2:14" s="1391" customFormat="1" ht="15" x14ac:dyDescent="0.2">
      <c r="B2151" s="4706"/>
      <c r="C2151" s="4709"/>
      <c r="D2151" s="4710" t="s">
        <v>1781</v>
      </c>
      <c r="E2151" s="4711"/>
      <c r="F2151" s="4711"/>
      <c r="G2151" s="4711"/>
      <c r="H2151" s="4711"/>
      <c r="I2151" s="4711"/>
      <c r="J2151" s="4711"/>
      <c r="K2151" s="4711"/>
      <c r="L2151" s="4711"/>
      <c r="M2151" s="4712"/>
      <c r="N2151" s="4727"/>
    </row>
    <row r="2152" spans="2:14" s="1391" customFormat="1" ht="15" x14ac:dyDescent="0.2">
      <c r="B2152" s="4728" t="s">
        <v>1008</v>
      </c>
      <c r="C2152" s="4729"/>
      <c r="D2152" s="4729"/>
      <c r="E2152" s="4729"/>
      <c r="F2152" s="4729"/>
      <c r="G2152" s="4729"/>
      <c r="H2152" s="4729"/>
      <c r="I2152" s="4729"/>
      <c r="J2152" s="4729"/>
      <c r="K2152" s="4729"/>
      <c r="L2152" s="4729"/>
      <c r="M2152" s="4729"/>
      <c r="N2152" s="4730"/>
    </row>
    <row r="2153" spans="2:14" s="1391" customFormat="1" ht="15" x14ac:dyDescent="0.2">
      <c r="B2153" s="4716" t="s">
        <v>1009</v>
      </c>
      <c r="C2153" s="4711"/>
      <c r="D2153" s="4711"/>
      <c r="E2153" s="4711"/>
      <c r="F2153" s="4711"/>
      <c r="G2153" s="4711"/>
      <c r="H2153" s="4711"/>
      <c r="I2153" s="4711"/>
      <c r="J2153" s="4711"/>
      <c r="K2153" s="4711"/>
      <c r="L2153" s="4711"/>
      <c r="M2153" s="4711"/>
      <c r="N2153" s="4717"/>
    </row>
    <row r="2154" spans="2:14" s="1391" customFormat="1" ht="15" x14ac:dyDescent="0.2">
      <c r="B2154" s="2026"/>
      <c r="C2154" s="2027"/>
      <c r="D2154" s="2027">
        <v>1</v>
      </c>
      <c r="E2154" s="2027">
        <v>2</v>
      </c>
      <c r="F2154" s="2027">
        <v>3</v>
      </c>
      <c r="G2154" s="2027">
        <v>4</v>
      </c>
      <c r="H2154" s="2027">
        <v>5</v>
      </c>
      <c r="I2154" s="2027">
        <v>6</v>
      </c>
      <c r="J2154" s="2027">
        <v>7</v>
      </c>
      <c r="K2154" s="2027">
        <v>8</v>
      </c>
      <c r="L2154" s="2027">
        <v>9</v>
      </c>
      <c r="M2154" s="2027">
        <v>10</v>
      </c>
      <c r="N2154" s="2028"/>
    </row>
    <row r="2155" spans="2:14" s="1391" customFormat="1" ht="15" x14ac:dyDescent="0.2">
      <c r="B2155" s="2026">
        <v>10</v>
      </c>
      <c r="C2155" s="2027">
        <v>5.4450000000000003</v>
      </c>
      <c r="D2155" s="2035">
        <v>254</v>
      </c>
      <c r="E2155" s="2035">
        <v>274</v>
      </c>
      <c r="F2155" s="2035">
        <v>294</v>
      </c>
      <c r="G2155" s="2035">
        <v>315</v>
      </c>
      <c r="H2155" s="2035">
        <v>335</v>
      </c>
      <c r="I2155" s="2035">
        <v>355</v>
      </c>
      <c r="J2155" s="2035">
        <v>375</v>
      </c>
      <c r="K2155" s="2035">
        <v>396</v>
      </c>
      <c r="L2155" s="2035">
        <v>416</v>
      </c>
      <c r="M2155" s="2035">
        <v>436</v>
      </c>
      <c r="N2155" s="2028">
        <v>1</v>
      </c>
    </row>
    <row r="2156" spans="2:14" s="1391" customFormat="1" ht="15" x14ac:dyDescent="0.2">
      <c r="B2156" s="2026">
        <v>11</v>
      </c>
      <c r="C2156" s="2027">
        <v>5.7850000000000001</v>
      </c>
      <c r="D2156" s="2035">
        <v>280</v>
      </c>
      <c r="E2156" s="2035">
        <v>303</v>
      </c>
      <c r="F2156" s="2035">
        <v>325</v>
      </c>
      <c r="G2156" s="2035">
        <v>347</v>
      </c>
      <c r="H2156" s="2035">
        <v>370</v>
      </c>
      <c r="I2156" s="2035">
        <v>392</v>
      </c>
      <c r="J2156" s="2035">
        <v>414</v>
      </c>
      <c r="K2156" s="2035">
        <v>437</v>
      </c>
      <c r="L2156" s="2035">
        <v>459</v>
      </c>
      <c r="M2156" s="2035">
        <v>481</v>
      </c>
      <c r="N2156" s="2028">
        <v>2</v>
      </c>
    </row>
    <row r="2157" spans="2:14" s="1391" customFormat="1" ht="15" x14ac:dyDescent="0.2">
      <c r="B2157" s="2026">
        <v>12</v>
      </c>
      <c r="C2157" s="2027">
        <v>6.1429999999999998</v>
      </c>
      <c r="D2157" s="2035">
        <v>303</v>
      </c>
      <c r="E2157" s="2035">
        <v>333</v>
      </c>
      <c r="F2157" s="2035">
        <v>357</v>
      </c>
      <c r="G2157" s="2035">
        <v>382</v>
      </c>
      <c r="H2157" s="2035">
        <v>406</v>
      </c>
      <c r="I2157" s="2035">
        <v>431</v>
      </c>
      <c r="J2157" s="2035">
        <v>455</v>
      </c>
      <c r="K2157" s="2035">
        <v>480</v>
      </c>
      <c r="L2157" s="2035">
        <v>504</v>
      </c>
      <c r="M2157" s="2035">
        <v>529</v>
      </c>
      <c r="N2157" s="2028">
        <v>3</v>
      </c>
    </row>
    <row r="2158" spans="2:14" s="1391" customFormat="1" ht="15" x14ac:dyDescent="0.2">
      <c r="B2158" s="2026">
        <v>13</v>
      </c>
      <c r="C2158" s="2027">
        <v>6.51</v>
      </c>
      <c r="D2158" s="2035">
        <v>336</v>
      </c>
      <c r="E2158" s="2035">
        <v>363</v>
      </c>
      <c r="F2158" s="2035">
        <v>390</v>
      </c>
      <c r="G2158" s="2035">
        <v>417</v>
      </c>
      <c r="H2158" s="2035">
        <v>444</v>
      </c>
      <c r="I2158" s="2035">
        <v>470</v>
      </c>
      <c r="J2158" s="2035">
        <v>497</v>
      </c>
      <c r="K2158" s="2035">
        <v>524</v>
      </c>
      <c r="L2158" s="2035">
        <v>551</v>
      </c>
      <c r="M2158" s="2035">
        <v>578</v>
      </c>
      <c r="N2158" s="2028">
        <v>4</v>
      </c>
    </row>
    <row r="2159" spans="2:14" s="1391" customFormat="1" ht="15" x14ac:dyDescent="0.2">
      <c r="B2159" s="2026">
        <v>14</v>
      </c>
      <c r="C2159" s="2027">
        <v>6.9</v>
      </c>
      <c r="D2159" s="2035">
        <v>366</v>
      </c>
      <c r="E2159" s="2035">
        <v>395</v>
      </c>
      <c r="F2159" s="2035">
        <v>425</v>
      </c>
      <c r="G2159" s="2035">
        <v>454</v>
      </c>
      <c r="H2159" s="2035">
        <v>483</v>
      </c>
      <c r="I2159" s="2035">
        <v>512</v>
      </c>
      <c r="J2159" s="2035">
        <v>541</v>
      </c>
      <c r="K2159" s="2035">
        <v>571</v>
      </c>
      <c r="L2159" s="2035">
        <v>600</v>
      </c>
      <c r="M2159" s="2035">
        <v>629</v>
      </c>
      <c r="N2159" s="2028">
        <v>5</v>
      </c>
    </row>
    <row r="2160" spans="2:14" s="1391" customFormat="1" ht="15" x14ac:dyDescent="0.2">
      <c r="B2160" s="2026">
        <v>15</v>
      </c>
      <c r="C2160" s="2027">
        <v>7.306</v>
      </c>
      <c r="D2160" s="2035">
        <v>397</v>
      </c>
      <c r="E2160" s="2036">
        <v>429</v>
      </c>
      <c r="F2160" s="2036">
        <v>461</v>
      </c>
      <c r="G2160" s="2036">
        <v>492</v>
      </c>
      <c r="H2160" s="2036">
        <v>524</v>
      </c>
      <c r="I2160" s="2036">
        <v>555</v>
      </c>
      <c r="J2160" s="2035">
        <v>583</v>
      </c>
      <c r="K2160" s="2035">
        <v>619</v>
      </c>
      <c r="L2160" s="2035">
        <v>650</v>
      </c>
      <c r="M2160" s="2035">
        <v>680</v>
      </c>
      <c r="N2160" s="2028">
        <v>6</v>
      </c>
    </row>
    <row r="2161" spans="2:14" s="1391" customFormat="1" ht="15" x14ac:dyDescent="0.2">
      <c r="B2161" s="4716" t="s">
        <v>1010</v>
      </c>
      <c r="C2161" s="4711"/>
      <c r="D2161" s="4711"/>
      <c r="E2161" s="4711"/>
      <c r="F2161" s="4711"/>
      <c r="G2161" s="4711"/>
      <c r="H2161" s="4711"/>
      <c r="I2161" s="4711"/>
      <c r="J2161" s="4711"/>
      <c r="K2161" s="4711"/>
      <c r="L2161" s="4711"/>
      <c r="M2161" s="4711"/>
      <c r="N2161" s="4717"/>
    </row>
    <row r="2162" spans="2:14" s="1391" customFormat="1" ht="15" x14ac:dyDescent="0.2">
      <c r="B2162" s="2026"/>
      <c r="C2162" s="2027"/>
      <c r="D2162" s="2027">
        <v>1</v>
      </c>
      <c r="E2162" s="2027">
        <v>2</v>
      </c>
      <c r="F2162" s="2027">
        <v>3</v>
      </c>
      <c r="G2162" s="2027">
        <v>4</v>
      </c>
      <c r="H2162" s="2027">
        <v>5</v>
      </c>
      <c r="I2162" s="2027">
        <v>6</v>
      </c>
      <c r="J2162" s="2027">
        <v>7</v>
      </c>
      <c r="K2162" s="2027">
        <v>8</v>
      </c>
      <c r="L2162" s="2027">
        <v>9</v>
      </c>
      <c r="M2162" s="2027">
        <v>10</v>
      </c>
      <c r="N2162" s="2028"/>
    </row>
    <row r="2163" spans="2:14" s="1391" customFormat="1" ht="15" x14ac:dyDescent="0.2">
      <c r="B2163" s="2026">
        <v>10</v>
      </c>
      <c r="C2163" s="2027">
        <v>5.6059999999999999</v>
      </c>
      <c r="D2163" s="2037">
        <v>268</v>
      </c>
      <c r="E2163" s="2037">
        <v>289</v>
      </c>
      <c r="F2163" s="2037">
        <v>311</v>
      </c>
      <c r="G2163" s="2037">
        <v>332</v>
      </c>
      <c r="H2163" s="2037">
        <v>355</v>
      </c>
      <c r="I2163" s="2037">
        <v>375</v>
      </c>
      <c r="J2163" s="2037">
        <v>396</v>
      </c>
      <c r="K2163" s="2037">
        <v>417</v>
      </c>
      <c r="L2163" s="2037">
        <v>439</v>
      </c>
      <c r="M2163" s="2037">
        <v>460</v>
      </c>
      <c r="N2163" s="2028">
        <v>7</v>
      </c>
    </row>
    <row r="2164" spans="2:14" s="1391" customFormat="1" ht="15" x14ac:dyDescent="0.2">
      <c r="B2164" s="2026">
        <v>11</v>
      </c>
      <c r="C2164" s="2027">
        <v>5.9690000000000003</v>
      </c>
      <c r="D2164" s="2037">
        <v>296</v>
      </c>
      <c r="E2164" s="2037">
        <v>320</v>
      </c>
      <c r="F2164" s="2038">
        <v>341</v>
      </c>
      <c r="G2164" s="2037">
        <v>367</v>
      </c>
      <c r="H2164" s="2037">
        <v>391</v>
      </c>
      <c r="I2164" s="2037">
        <v>415</v>
      </c>
      <c r="J2164" s="2037">
        <v>438</v>
      </c>
      <c r="K2164" s="2037">
        <v>462</v>
      </c>
      <c r="L2164" s="2037">
        <v>485</v>
      </c>
      <c r="M2164" s="2037">
        <v>509</v>
      </c>
      <c r="N2164" s="2028">
        <v>8</v>
      </c>
    </row>
    <row r="2165" spans="2:14" s="1391" customFormat="1" ht="15" x14ac:dyDescent="0.2">
      <c r="B2165" s="2026">
        <v>12</v>
      </c>
      <c r="C2165" s="2027">
        <v>6.3520000000000003</v>
      </c>
      <c r="D2165" s="2037">
        <v>336</v>
      </c>
      <c r="E2165" s="2037">
        <v>352</v>
      </c>
      <c r="F2165" s="2037">
        <v>378</v>
      </c>
      <c r="G2165" s="2037">
        <v>405</v>
      </c>
      <c r="H2165" s="2037">
        <v>431</v>
      </c>
      <c r="I2165" s="2037">
        <v>457</v>
      </c>
      <c r="J2165" s="2037">
        <v>483</v>
      </c>
      <c r="K2165" s="2037">
        <v>509</v>
      </c>
      <c r="L2165" s="2037">
        <v>535</v>
      </c>
      <c r="M2165" s="2037">
        <v>561</v>
      </c>
      <c r="N2165" s="2028">
        <v>9</v>
      </c>
    </row>
    <row r="2166" spans="2:14" s="1391" customFormat="1" ht="15" x14ac:dyDescent="0.2">
      <c r="B2166" s="2026">
        <v>13</v>
      </c>
      <c r="C2166" s="2027">
        <v>6.7469999999999999</v>
      </c>
      <c r="D2166" s="2037">
        <v>357</v>
      </c>
      <c r="E2166" s="2038">
        <v>386</v>
      </c>
      <c r="F2166" s="2037">
        <v>414</v>
      </c>
      <c r="G2166" s="2037">
        <v>443</v>
      </c>
      <c r="H2166" s="2037">
        <v>471</v>
      </c>
      <c r="I2166" s="2037">
        <v>500</v>
      </c>
      <c r="J2166" s="2037">
        <v>528</v>
      </c>
      <c r="K2166" s="2037">
        <v>557</v>
      </c>
      <c r="L2166" s="2037">
        <v>585</v>
      </c>
      <c r="M2166" s="2037">
        <v>614</v>
      </c>
      <c r="N2166" s="2028">
        <v>10</v>
      </c>
    </row>
    <row r="2167" spans="2:14" s="1391" customFormat="1" ht="15" x14ac:dyDescent="0.2">
      <c r="B2167" s="2026">
        <v>14</v>
      </c>
      <c r="C2167" s="2027">
        <v>7.1680000000000001</v>
      </c>
      <c r="D2167" s="2037">
        <v>390</v>
      </c>
      <c r="E2167" s="2037">
        <v>421</v>
      </c>
      <c r="F2167" s="2037">
        <v>452</v>
      </c>
      <c r="G2167" s="2037">
        <v>483</v>
      </c>
      <c r="H2167" s="2037">
        <v>514</v>
      </c>
      <c r="I2167" s="2037">
        <v>545</v>
      </c>
      <c r="J2167" s="2037">
        <v>577</v>
      </c>
      <c r="K2167" s="2037">
        <v>608</v>
      </c>
      <c r="L2167" s="2037">
        <v>639</v>
      </c>
      <c r="M2167" s="2037">
        <v>670</v>
      </c>
      <c r="N2167" s="2028">
        <v>11</v>
      </c>
    </row>
    <row r="2168" spans="2:14" s="1391" customFormat="1" ht="15" x14ac:dyDescent="0.2">
      <c r="B2168" s="2026">
        <v>15</v>
      </c>
      <c r="C2168" s="2027">
        <v>7.6059999999999999</v>
      </c>
      <c r="D2168" s="2037">
        <v>424</v>
      </c>
      <c r="E2168" s="2037">
        <v>458</v>
      </c>
      <c r="F2168" s="2037">
        <v>492</v>
      </c>
      <c r="G2168" s="2037">
        <v>525</v>
      </c>
      <c r="H2168" s="2037">
        <v>559</v>
      </c>
      <c r="I2168" s="2037">
        <v>593</v>
      </c>
      <c r="J2168" s="2037">
        <v>627</v>
      </c>
      <c r="K2168" s="2037">
        <v>661</v>
      </c>
      <c r="L2168" s="2037">
        <v>694</v>
      </c>
      <c r="M2168" s="2037">
        <v>728</v>
      </c>
      <c r="N2168" s="2028">
        <v>12</v>
      </c>
    </row>
    <row r="2169" spans="2:14" s="1391" customFormat="1" ht="15" x14ac:dyDescent="0.2">
      <c r="B2169" s="4716" t="s">
        <v>2459</v>
      </c>
      <c r="C2169" s="4711"/>
      <c r="D2169" s="4711"/>
      <c r="E2169" s="4711"/>
      <c r="F2169" s="4711"/>
      <c r="G2169" s="4711"/>
      <c r="H2169" s="4711"/>
      <c r="I2169" s="4711"/>
      <c r="J2169" s="4711"/>
      <c r="K2169" s="4711"/>
      <c r="L2169" s="4711"/>
      <c r="M2169" s="4711"/>
      <c r="N2169" s="4717"/>
    </row>
    <row r="2170" spans="2:14" s="1391" customFormat="1" ht="15" x14ac:dyDescent="0.2">
      <c r="B2170" s="2026"/>
      <c r="C2170" s="2027"/>
      <c r="D2170" s="2027">
        <v>1</v>
      </c>
      <c r="E2170" s="2027">
        <v>2</v>
      </c>
      <c r="F2170" s="2027">
        <v>3</v>
      </c>
      <c r="G2170" s="2027">
        <v>4</v>
      </c>
      <c r="H2170" s="2027">
        <v>5</v>
      </c>
      <c r="I2170" s="2027">
        <v>6</v>
      </c>
      <c r="J2170" s="2027">
        <v>7</v>
      </c>
      <c r="K2170" s="2027">
        <v>8</v>
      </c>
      <c r="L2170" s="2027">
        <v>9</v>
      </c>
      <c r="M2170" s="2027">
        <v>10</v>
      </c>
      <c r="N2170" s="2028"/>
    </row>
    <row r="2171" spans="2:14" s="1391" customFormat="1" ht="15" x14ac:dyDescent="0.2">
      <c r="B2171" s="2026">
        <v>10</v>
      </c>
      <c r="C2171" s="2027">
        <v>5.7</v>
      </c>
      <c r="D2171" s="2037">
        <v>276</v>
      </c>
      <c r="E2171" s="2037">
        <v>290</v>
      </c>
      <c r="F2171" s="2037">
        <v>320</v>
      </c>
      <c r="G2171" s="2037">
        <v>340</v>
      </c>
      <c r="H2171" s="2038">
        <v>364</v>
      </c>
      <c r="I2171" s="2024">
        <v>386</v>
      </c>
      <c r="J2171" s="2037">
        <v>408</v>
      </c>
      <c r="K2171" s="2037">
        <v>430</v>
      </c>
      <c r="L2171" s="2037">
        <v>452</v>
      </c>
      <c r="M2171" s="2037">
        <v>474</v>
      </c>
      <c r="N2171" s="2028">
        <v>13</v>
      </c>
    </row>
    <row r="2172" spans="2:14" s="1391" customFormat="1" ht="15" x14ac:dyDescent="0.2">
      <c r="B2172" s="2026">
        <v>11</v>
      </c>
      <c r="C2172" s="2027">
        <v>6.077</v>
      </c>
      <c r="D2172" s="2037">
        <v>306</v>
      </c>
      <c r="E2172" s="2037">
        <v>330</v>
      </c>
      <c r="F2172" s="2037">
        <v>354</v>
      </c>
      <c r="G2172" s="2037">
        <v>379</v>
      </c>
      <c r="H2172" s="2038">
        <v>403</v>
      </c>
      <c r="I2172" s="2024">
        <v>427</v>
      </c>
      <c r="J2172" s="2037">
        <v>452</v>
      </c>
      <c r="K2172" s="2037">
        <v>476</v>
      </c>
      <c r="L2172" s="2037">
        <v>500</v>
      </c>
      <c r="M2172" s="2037">
        <v>525</v>
      </c>
      <c r="N2172" s="2028">
        <v>14</v>
      </c>
    </row>
    <row r="2173" spans="2:14" s="1391" customFormat="1" ht="15" x14ac:dyDescent="0.2">
      <c r="B2173" s="2026">
        <v>12</v>
      </c>
      <c r="C2173" s="2027">
        <v>6.4749999999999996</v>
      </c>
      <c r="D2173" s="2039">
        <v>334</v>
      </c>
      <c r="E2173" s="2037">
        <v>364</v>
      </c>
      <c r="F2173" s="2037">
        <v>391</v>
      </c>
      <c r="G2173" s="2037">
        <v>417</v>
      </c>
      <c r="H2173" s="2038">
        <v>444</v>
      </c>
      <c r="I2173" s="2024">
        <v>475</v>
      </c>
      <c r="J2173" s="2037">
        <v>498</v>
      </c>
      <c r="K2173" s="2037">
        <v>525</v>
      </c>
      <c r="L2173" s="2037">
        <v>552</v>
      </c>
      <c r="M2173" s="2037">
        <v>579</v>
      </c>
      <c r="N2173" s="2028">
        <v>15</v>
      </c>
    </row>
    <row r="2174" spans="2:14" s="1391" customFormat="1" ht="15" x14ac:dyDescent="0.2">
      <c r="B2174" s="2026">
        <v>13</v>
      </c>
      <c r="C2174" s="2027">
        <v>6.8860000000000001</v>
      </c>
      <c r="D2174" s="2037">
        <v>369</v>
      </c>
      <c r="E2174" s="2037">
        <v>399</v>
      </c>
      <c r="F2174" s="2037">
        <v>428</v>
      </c>
      <c r="G2174" s="2037">
        <v>458</v>
      </c>
      <c r="H2174" s="2038">
        <v>487</v>
      </c>
      <c r="I2174" s="2024">
        <v>516</v>
      </c>
      <c r="J2174" s="2037">
        <v>546</v>
      </c>
      <c r="K2174" s="2037">
        <v>575</v>
      </c>
      <c r="L2174" s="2037">
        <v>605</v>
      </c>
      <c r="M2174" s="2037">
        <v>634</v>
      </c>
      <c r="N2174" s="2028">
        <v>16</v>
      </c>
    </row>
    <row r="2175" spans="2:14" s="1391" customFormat="1" ht="15" x14ac:dyDescent="0.2">
      <c r="B2175" s="2026">
        <v>14</v>
      </c>
      <c r="C2175" s="2027">
        <v>7.3250000000000002</v>
      </c>
      <c r="D2175" s="2037">
        <v>404</v>
      </c>
      <c r="E2175" s="2037">
        <v>436</v>
      </c>
      <c r="F2175" s="2037">
        <v>468</v>
      </c>
      <c r="G2175" s="2037">
        <v>500</v>
      </c>
      <c r="H2175" s="2038">
        <v>532</v>
      </c>
      <c r="I2175" s="2024">
        <v>565</v>
      </c>
      <c r="J2175" s="2037">
        <v>597</v>
      </c>
      <c r="K2175" s="2037">
        <v>629</v>
      </c>
      <c r="L2175" s="2037">
        <v>661</v>
      </c>
      <c r="M2175" s="2037">
        <v>693</v>
      </c>
      <c r="N2175" s="2028">
        <v>17</v>
      </c>
    </row>
    <row r="2176" spans="2:14" s="1391" customFormat="1" ht="15" x14ac:dyDescent="0.2">
      <c r="B2176" s="2026">
        <v>15</v>
      </c>
      <c r="C2176" s="2027">
        <v>7.7830000000000004</v>
      </c>
      <c r="D2176" s="2037">
        <v>439</v>
      </c>
      <c r="E2176" s="2037">
        <v>475</v>
      </c>
      <c r="F2176" s="2037">
        <v>510</v>
      </c>
      <c r="G2176" s="2037">
        <v>545</v>
      </c>
      <c r="H2176" s="2038">
        <v>580</v>
      </c>
      <c r="I2176" s="2024">
        <v>615</v>
      </c>
      <c r="J2176" s="2037">
        <v>650</v>
      </c>
      <c r="K2176" s="2037">
        <v>685</v>
      </c>
      <c r="L2176" s="2037">
        <v>720</v>
      </c>
      <c r="M2176" s="2037">
        <v>755</v>
      </c>
      <c r="N2176" s="2028">
        <v>18</v>
      </c>
    </row>
    <row r="2177" spans="2:14" s="1391" customFormat="1" ht="15" x14ac:dyDescent="0.2">
      <c r="B2177" s="4728" t="s">
        <v>2460</v>
      </c>
      <c r="C2177" s="4729"/>
      <c r="D2177" s="4729"/>
      <c r="E2177" s="4729"/>
      <c r="F2177" s="4729"/>
      <c r="G2177" s="4729"/>
      <c r="H2177" s="4729"/>
      <c r="I2177" s="4729"/>
      <c r="J2177" s="4729"/>
      <c r="K2177" s="4729"/>
      <c r="L2177" s="4729"/>
      <c r="M2177" s="4729"/>
      <c r="N2177" s="4730"/>
    </row>
    <row r="2178" spans="2:14" s="1391" customFormat="1" ht="15" x14ac:dyDescent="0.2">
      <c r="B2178" s="4716" t="s">
        <v>1009</v>
      </c>
      <c r="C2178" s="4711"/>
      <c r="D2178" s="4711"/>
      <c r="E2178" s="4711"/>
      <c r="F2178" s="4711"/>
      <c r="G2178" s="4711"/>
      <c r="H2178" s="4711"/>
      <c r="I2178" s="4711"/>
      <c r="J2178" s="4711"/>
      <c r="K2178" s="4711"/>
      <c r="L2178" s="4711"/>
      <c r="M2178" s="4711"/>
      <c r="N2178" s="4717"/>
    </row>
    <row r="2179" spans="2:14" s="1391" customFormat="1" ht="15" x14ac:dyDescent="0.2">
      <c r="B2179" s="2026"/>
      <c r="C2179" s="2027"/>
      <c r="D2179" s="2027">
        <v>1</v>
      </c>
      <c r="E2179" s="2027">
        <v>2</v>
      </c>
      <c r="F2179" s="2027">
        <v>3</v>
      </c>
      <c r="G2179" s="2027">
        <v>4</v>
      </c>
      <c r="H2179" s="2027">
        <v>5</v>
      </c>
      <c r="I2179" s="2027">
        <v>6</v>
      </c>
      <c r="J2179" s="2027">
        <v>7</v>
      </c>
      <c r="K2179" s="2027">
        <v>8</v>
      </c>
      <c r="L2179" s="2027">
        <v>9</v>
      </c>
      <c r="M2179" s="2027">
        <v>10</v>
      </c>
      <c r="N2179" s="2028"/>
    </row>
    <row r="2180" spans="2:14" s="1391" customFormat="1" ht="15" x14ac:dyDescent="0.2">
      <c r="B2180" s="2026">
        <v>10</v>
      </c>
      <c r="C2180" s="2027">
        <v>5.4450000000000003</v>
      </c>
      <c r="D2180" s="2037">
        <v>236</v>
      </c>
      <c r="E2180" s="2037">
        <v>254</v>
      </c>
      <c r="F2180" s="2037">
        <v>271</v>
      </c>
      <c r="G2180" s="2037">
        <v>288</v>
      </c>
      <c r="H2180" s="2037">
        <v>305</v>
      </c>
      <c r="I2180" s="2037">
        <v>322</v>
      </c>
      <c r="J2180" s="2037">
        <v>338</v>
      </c>
      <c r="K2180" s="2037">
        <v>355</v>
      </c>
      <c r="L2180" s="2038">
        <v>371</v>
      </c>
      <c r="M2180" s="2037">
        <v>387</v>
      </c>
      <c r="N2180" s="2028">
        <v>19</v>
      </c>
    </row>
    <row r="2181" spans="2:14" s="1391" customFormat="1" ht="15" x14ac:dyDescent="0.2">
      <c r="B2181" s="2026">
        <v>11</v>
      </c>
      <c r="C2181" s="2027">
        <v>5.7850000000000001</v>
      </c>
      <c r="D2181" s="2037">
        <v>259</v>
      </c>
      <c r="E2181" s="2037">
        <v>278</v>
      </c>
      <c r="F2181" s="2037">
        <v>297</v>
      </c>
      <c r="G2181" s="2037">
        <v>315</v>
      </c>
      <c r="H2181" s="2037">
        <v>334</v>
      </c>
      <c r="I2181" s="2037">
        <v>352</v>
      </c>
      <c r="J2181" s="2037">
        <v>370</v>
      </c>
      <c r="K2181" s="2037">
        <v>387</v>
      </c>
      <c r="L2181" s="2037">
        <v>405</v>
      </c>
      <c r="M2181" s="2037">
        <v>422</v>
      </c>
      <c r="N2181" s="2028">
        <v>20</v>
      </c>
    </row>
    <row r="2182" spans="2:14" s="1391" customFormat="1" ht="15" x14ac:dyDescent="0.2">
      <c r="B2182" s="2026">
        <v>12</v>
      </c>
      <c r="C2182" s="2027">
        <v>6.1429999999999998</v>
      </c>
      <c r="D2182" s="2037">
        <v>283</v>
      </c>
      <c r="E2182" s="2037">
        <v>303</v>
      </c>
      <c r="F2182" s="2037">
        <v>323</v>
      </c>
      <c r="G2182" s="2037">
        <v>343</v>
      </c>
      <c r="H2182" s="2037">
        <v>363</v>
      </c>
      <c r="I2182" s="2037">
        <v>383</v>
      </c>
      <c r="J2182" s="2037">
        <v>402</v>
      </c>
      <c r="K2182" s="2037">
        <v>421</v>
      </c>
      <c r="L2182" s="2037">
        <v>440</v>
      </c>
      <c r="M2182" s="2037">
        <v>458</v>
      </c>
      <c r="N2182" s="2028">
        <v>21</v>
      </c>
    </row>
    <row r="2183" spans="2:14" s="1391" customFormat="1" ht="15" x14ac:dyDescent="0.2">
      <c r="B2183" s="2026">
        <v>13</v>
      </c>
      <c r="C2183" s="2027">
        <v>6.51</v>
      </c>
      <c r="D2183" s="2037">
        <v>306</v>
      </c>
      <c r="E2183" s="2037">
        <v>328</v>
      </c>
      <c r="F2183" s="2037">
        <v>350</v>
      </c>
      <c r="G2183" s="2037">
        <v>372</v>
      </c>
      <c r="H2183" s="2037">
        <v>393</v>
      </c>
      <c r="I2183" s="2037">
        <v>414</v>
      </c>
      <c r="J2183" s="2037">
        <v>434</v>
      </c>
      <c r="K2183" s="2037">
        <v>455</v>
      </c>
      <c r="L2183" s="2037">
        <v>475</v>
      </c>
      <c r="M2183" s="2037">
        <v>494</v>
      </c>
      <c r="N2183" s="2028">
        <v>22</v>
      </c>
    </row>
    <row r="2184" spans="2:14" s="1391" customFormat="1" ht="15" x14ac:dyDescent="0.2">
      <c r="B2184" s="2026">
        <v>14</v>
      </c>
      <c r="C2184" s="2027">
        <v>6.9</v>
      </c>
      <c r="D2184" s="2037">
        <v>331</v>
      </c>
      <c r="E2184" s="2037">
        <v>355</v>
      </c>
      <c r="F2184" s="2037">
        <v>378</v>
      </c>
      <c r="G2184" s="2037">
        <v>401</v>
      </c>
      <c r="H2184" s="2037">
        <v>423</v>
      </c>
      <c r="I2184" s="2037">
        <v>446</v>
      </c>
      <c r="J2184" s="2037">
        <v>468</v>
      </c>
      <c r="K2184" s="2037">
        <v>489</v>
      </c>
      <c r="L2184" s="2037">
        <v>511</v>
      </c>
      <c r="M2184" s="2037">
        <v>532</v>
      </c>
      <c r="N2184" s="2028">
        <v>23</v>
      </c>
    </row>
    <row r="2185" spans="2:14" s="1391" customFormat="1" ht="15" x14ac:dyDescent="0.2">
      <c r="B2185" s="2026">
        <v>15</v>
      </c>
      <c r="C2185" s="2027">
        <v>7.306</v>
      </c>
      <c r="D2185" s="2037">
        <v>356</v>
      </c>
      <c r="E2185" s="2040">
        <v>381</v>
      </c>
      <c r="F2185" s="2040">
        <v>406</v>
      </c>
      <c r="G2185" s="2040">
        <v>430</v>
      </c>
      <c r="H2185" s="2040">
        <v>454</v>
      </c>
      <c r="I2185" s="2040">
        <v>478</v>
      </c>
      <c r="J2185" s="2037">
        <v>501</v>
      </c>
      <c r="K2185" s="2037">
        <v>524</v>
      </c>
      <c r="L2185" s="2037">
        <v>547</v>
      </c>
      <c r="M2185" s="2037">
        <v>569</v>
      </c>
      <c r="N2185" s="2028">
        <v>24</v>
      </c>
    </row>
    <row r="2186" spans="2:14" s="1391" customFormat="1" ht="15" x14ac:dyDescent="0.2">
      <c r="B2186" s="4716" t="s">
        <v>1010</v>
      </c>
      <c r="C2186" s="4711"/>
      <c r="D2186" s="4711"/>
      <c r="E2186" s="4711"/>
      <c r="F2186" s="4711"/>
      <c r="G2186" s="4711"/>
      <c r="H2186" s="4711"/>
      <c r="I2186" s="4711"/>
      <c r="J2186" s="4711"/>
      <c r="K2186" s="4711"/>
      <c r="L2186" s="4711"/>
      <c r="M2186" s="4711"/>
      <c r="N2186" s="4717"/>
    </row>
    <row r="2187" spans="2:14" s="1391" customFormat="1" ht="15" x14ac:dyDescent="0.2">
      <c r="B2187" s="2026"/>
      <c r="C2187" s="2027"/>
      <c r="D2187" s="2027">
        <v>1</v>
      </c>
      <c r="E2187" s="2027">
        <v>2</v>
      </c>
      <c r="F2187" s="2027">
        <v>3</v>
      </c>
      <c r="G2187" s="2027">
        <v>4</v>
      </c>
      <c r="H2187" s="2027">
        <v>5</v>
      </c>
      <c r="I2187" s="2027">
        <v>6</v>
      </c>
      <c r="J2187" s="2027">
        <v>7</v>
      </c>
      <c r="K2187" s="2027">
        <v>8</v>
      </c>
      <c r="L2187" s="2027">
        <v>9</v>
      </c>
      <c r="M2187" s="2027">
        <v>10</v>
      </c>
      <c r="N2187" s="2028"/>
    </row>
    <row r="2188" spans="2:14" s="1391" customFormat="1" ht="15" x14ac:dyDescent="0.2">
      <c r="B2188" s="2026">
        <v>10</v>
      </c>
      <c r="C2188" s="2027">
        <v>5.6059999999999999</v>
      </c>
      <c r="D2188" s="2037">
        <v>249</v>
      </c>
      <c r="E2188" s="2037">
        <v>267</v>
      </c>
      <c r="F2188" s="2037">
        <v>285</v>
      </c>
      <c r="G2188" s="2037">
        <v>303</v>
      </c>
      <c r="H2188" s="2037">
        <v>320</v>
      </c>
      <c r="I2188" s="2037">
        <v>338</v>
      </c>
      <c r="J2188" s="2037">
        <v>355</v>
      </c>
      <c r="K2188" s="2037">
        <v>372</v>
      </c>
      <c r="L2188" s="2037">
        <v>389</v>
      </c>
      <c r="M2188" s="2037">
        <v>406</v>
      </c>
      <c r="N2188" s="2028">
        <v>25</v>
      </c>
    </row>
    <row r="2189" spans="2:14" s="1391" customFormat="1" ht="15" x14ac:dyDescent="0.2">
      <c r="B2189" s="2026">
        <v>11</v>
      </c>
      <c r="C2189" s="2027">
        <v>5.9690000000000003</v>
      </c>
      <c r="D2189" s="2037">
        <v>273</v>
      </c>
      <c r="E2189" s="2037">
        <v>293</v>
      </c>
      <c r="F2189" s="2037">
        <v>312</v>
      </c>
      <c r="G2189" s="2037">
        <v>332</v>
      </c>
      <c r="H2189" s="2037">
        <v>351</v>
      </c>
      <c r="I2189" s="2037">
        <v>370</v>
      </c>
      <c r="J2189" s="2037">
        <v>389</v>
      </c>
      <c r="K2189" s="2037">
        <v>407</v>
      </c>
      <c r="L2189" s="2037">
        <v>425</v>
      </c>
      <c r="M2189" s="2037">
        <v>443</v>
      </c>
      <c r="N2189" s="2028">
        <v>26</v>
      </c>
    </row>
    <row r="2190" spans="2:14" s="1391" customFormat="1" ht="15" x14ac:dyDescent="0.2">
      <c r="B2190" s="2026">
        <v>12</v>
      </c>
      <c r="C2190" s="2027">
        <v>6.3520000000000003</v>
      </c>
      <c r="D2190" s="2037">
        <v>298</v>
      </c>
      <c r="E2190" s="2037">
        <v>320</v>
      </c>
      <c r="F2190" s="2037">
        <v>341</v>
      </c>
      <c r="G2190" s="2037">
        <v>362</v>
      </c>
      <c r="H2190" s="2037">
        <v>383</v>
      </c>
      <c r="I2190" s="2037">
        <v>403</v>
      </c>
      <c r="J2190" s="2037">
        <v>423</v>
      </c>
      <c r="K2190" s="2037">
        <v>443</v>
      </c>
      <c r="L2190" s="2037">
        <v>463</v>
      </c>
      <c r="M2190" s="2037">
        <v>482</v>
      </c>
      <c r="N2190" s="2028">
        <v>27</v>
      </c>
    </row>
    <row r="2191" spans="2:14" s="1391" customFormat="1" ht="15" x14ac:dyDescent="0.2">
      <c r="B2191" s="2026">
        <v>13</v>
      </c>
      <c r="C2191" s="2027">
        <v>6.7469999999999999</v>
      </c>
      <c r="D2191" s="2037">
        <v>324</v>
      </c>
      <c r="E2191" s="2037">
        <v>347</v>
      </c>
      <c r="F2191" s="2037">
        <v>370</v>
      </c>
      <c r="G2191" s="2037">
        <v>392</v>
      </c>
      <c r="H2191" s="2037">
        <v>414</v>
      </c>
      <c r="I2191" s="2037">
        <v>436</v>
      </c>
      <c r="J2191" s="2037">
        <v>458</v>
      </c>
      <c r="K2191" s="2037">
        <v>479</v>
      </c>
      <c r="L2191" s="2037">
        <v>500</v>
      </c>
      <c r="M2191" s="2037">
        <v>520</v>
      </c>
      <c r="N2191" s="2028">
        <v>28</v>
      </c>
    </row>
    <row r="2192" spans="2:14" s="1391" customFormat="1" ht="15" x14ac:dyDescent="0.2">
      <c r="B2192" s="2026">
        <v>14</v>
      </c>
      <c r="C2192" s="2027">
        <v>7.1680000000000001</v>
      </c>
      <c r="D2192" s="2037">
        <v>350</v>
      </c>
      <c r="E2192" s="2037">
        <v>375</v>
      </c>
      <c r="F2192" s="2037">
        <v>400</v>
      </c>
      <c r="G2192" s="2037">
        <v>424</v>
      </c>
      <c r="H2192" s="2037">
        <v>447</v>
      </c>
      <c r="I2192" s="2037">
        <v>471</v>
      </c>
      <c r="J2192" s="2037">
        <v>494</v>
      </c>
      <c r="K2192" s="2037">
        <v>516</v>
      </c>
      <c r="L2192" s="2037">
        <v>538</v>
      </c>
      <c r="M2192" s="2037">
        <v>560</v>
      </c>
      <c r="N2192" s="2028">
        <v>29</v>
      </c>
    </row>
    <row r="2193" spans="2:14" s="1391" customFormat="1" ht="15" x14ac:dyDescent="0.2">
      <c r="B2193" s="2026">
        <v>15</v>
      </c>
      <c r="C2193" s="2027">
        <v>7.6059999999999999</v>
      </c>
      <c r="D2193" s="2037">
        <v>377</v>
      </c>
      <c r="E2193" s="2040">
        <v>404</v>
      </c>
      <c r="F2193" s="2040">
        <v>430</v>
      </c>
      <c r="G2193" s="2040">
        <v>455</v>
      </c>
      <c r="H2193" s="2040">
        <v>481</v>
      </c>
      <c r="I2193" s="2040">
        <v>506</v>
      </c>
      <c r="J2193" s="2037">
        <v>530</v>
      </c>
      <c r="K2193" s="2037">
        <v>554</v>
      </c>
      <c r="L2193" s="2037">
        <v>578</v>
      </c>
      <c r="M2193" s="2037">
        <v>601</v>
      </c>
      <c r="N2193" s="2028">
        <v>30</v>
      </c>
    </row>
    <row r="2194" spans="2:14" s="1391" customFormat="1" ht="15" x14ac:dyDescent="0.2">
      <c r="B2194" s="4716" t="s">
        <v>2459</v>
      </c>
      <c r="C2194" s="4711"/>
      <c r="D2194" s="4711"/>
      <c r="E2194" s="4711"/>
      <c r="F2194" s="4711"/>
      <c r="G2194" s="4711"/>
      <c r="H2194" s="4711"/>
      <c r="I2194" s="4711"/>
      <c r="J2194" s="4711"/>
      <c r="K2194" s="4711"/>
      <c r="L2194" s="4711"/>
      <c r="M2194" s="4711"/>
      <c r="N2194" s="4717"/>
    </row>
    <row r="2195" spans="2:14" s="1391" customFormat="1" ht="15" x14ac:dyDescent="0.2">
      <c r="B2195" s="2026"/>
      <c r="C2195" s="2027"/>
      <c r="D2195" s="2027">
        <v>1</v>
      </c>
      <c r="E2195" s="2027">
        <v>2</v>
      </c>
      <c r="F2195" s="2027">
        <v>3</v>
      </c>
      <c r="G2195" s="2027">
        <v>4</v>
      </c>
      <c r="H2195" s="2027">
        <v>5</v>
      </c>
      <c r="I2195" s="2027">
        <v>6</v>
      </c>
      <c r="J2195" s="2027">
        <v>7</v>
      </c>
      <c r="K2195" s="2027">
        <v>8</v>
      </c>
      <c r="L2195" s="2027">
        <v>9</v>
      </c>
      <c r="M2195" s="2027">
        <v>10</v>
      </c>
      <c r="N2195" s="2028"/>
    </row>
    <row r="2196" spans="2:14" s="1391" customFormat="1" ht="15" x14ac:dyDescent="0.2">
      <c r="B2196" s="2026">
        <v>10</v>
      </c>
      <c r="C2196" s="2027">
        <v>5.7</v>
      </c>
      <c r="D2196" s="2041">
        <v>255</v>
      </c>
      <c r="E2196" s="2041">
        <v>274</v>
      </c>
      <c r="F2196" s="2042">
        <v>293</v>
      </c>
      <c r="G2196" s="2041">
        <v>311</v>
      </c>
      <c r="H2196" s="2041">
        <v>329</v>
      </c>
      <c r="I2196" s="2042">
        <v>347</v>
      </c>
      <c r="J2196" s="2041">
        <v>364</v>
      </c>
      <c r="K2196" s="2041">
        <v>382</v>
      </c>
      <c r="L2196" s="2041">
        <v>399</v>
      </c>
      <c r="M2196" s="2041">
        <v>416</v>
      </c>
      <c r="N2196" s="2028">
        <v>31</v>
      </c>
    </row>
    <row r="2197" spans="2:14" s="1391" customFormat="1" ht="15" x14ac:dyDescent="0.2">
      <c r="B2197" s="2026">
        <v>11</v>
      </c>
      <c r="C2197" s="2027">
        <v>6.077</v>
      </c>
      <c r="D2197" s="2041">
        <v>274</v>
      </c>
      <c r="E2197" s="2041">
        <v>301</v>
      </c>
      <c r="F2197" s="2042">
        <v>321</v>
      </c>
      <c r="G2197" s="2041">
        <v>341</v>
      </c>
      <c r="H2197" s="2041">
        <v>361</v>
      </c>
      <c r="I2197" s="2042">
        <v>380</v>
      </c>
      <c r="J2197" s="2041">
        <v>399</v>
      </c>
      <c r="K2197" s="2041">
        <v>418</v>
      </c>
      <c r="L2197" s="2041">
        <v>437</v>
      </c>
      <c r="M2197" s="2041">
        <v>455</v>
      </c>
      <c r="N2197" s="2028">
        <v>32</v>
      </c>
    </row>
    <row r="2198" spans="2:14" s="1391" customFormat="1" ht="15" x14ac:dyDescent="0.2">
      <c r="B2198" s="2026">
        <v>12</v>
      </c>
      <c r="C2198" s="2027">
        <v>6.4749999999999996</v>
      </c>
      <c r="D2198" s="2041">
        <v>307</v>
      </c>
      <c r="E2198" s="2041">
        <v>329</v>
      </c>
      <c r="F2198" s="2042">
        <v>351</v>
      </c>
      <c r="G2198" s="2041">
        <v>372</v>
      </c>
      <c r="H2198" s="2041">
        <v>393</v>
      </c>
      <c r="I2198" s="2042">
        <v>414</v>
      </c>
      <c r="J2198" s="2041">
        <v>435</v>
      </c>
      <c r="K2198" s="2041">
        <v>455</v>
      </c>
      <c r="L2198" s="2041">
        <v>475</v>
      </c>
      <c r="M2198" s="2041">
        <v>495</v>
      </c>
      <c r="N2198" s="2028">
        <v>33</v>
      </c>
    </row>
    <row r="2199" spans="2:14" s="1391" customFormat="1" ht="15" x14ac:dyDescent="0.2">
      <c r="B2199" s="2026">
        <v>13</v>
      </c>
      <c r="C2199" s="2027">
        <v>6.8860000000000001</v>
      </c>
      <c r="D2199" s="2041">
        <v>333</v>
      </c>
      <c r="E2199" s="2041">
        <v>357</v>
      </c>
      <c r="F2199" s="2042">
        <v>381</v>
      </c>
      <c r="G2199" s="2041">
        <v>404</v>
      </c>
      <c r="H2199" s="2041">
        <v>426</v>
      </c>
      <c r="I2199" s="2042">
        <v>449</v>
      </c>
      <c r="J2199" s="2041">
        <v>471</v>
      </c>
      <c r="K2199" s="2041">
        <v>493</v>
      </c>
      <c r="L2199" s="2041">
        <v>513</v>
      </c>
      <c r="M2199" s="2041">
        <v>535</v>
      </c>
      <c r="N2199" s="2028">
        <v>34</v>
      </c>
    </row>
    <row r="2200" spans="2:14" s="1391" customFormat="1" ht="15" x14ac:dyDescent="0.2">
      <c r="B2200" s="2026">
        <v>14</v>
      </c>
      <c r="C2200" s="2027">
        <v>7.3250000000000002</v>
      </c>
      <c r="D2200" s="2041">
        <v>353</v>
      </c>
      <c r="E2200" s="2041">
        <v>387</v>
      </c>
      <c r="F2200" s="2042">
        <v>412</v>
      </c>
      <c r="G2200" s="2041">
        <v>437</v>
      </c>
      <c r="H2200" s="2041">
        <v>461</v>
      </c>
      <c r="I2200" s="2042">
        <v>485</v>
      </c>
      <c r="J2200" s="2041">
        <v>508</v>
      </c>
      <c r="K2200" s="2041">
        <v>531</v>
      </c>
      <c r="L2200" s="2041">
        <v>554</v>
      </c>
      <c r="M2200" s="2041">
        <v>577</v>
      </c>
      <c r="N2200" s="2028">
        <v>35</v>
      </c>
    </row>
    <row r="2201" spans="2:14" s="1391" customFormat="1" ht="15" x14ac:dyDescent="0.2">
      <c r="B2201" s="2026">
        <v>15</v>
      </c>
      <c r="C2201" s="2027">
        <v>7.7830000000000004</v>
      </c>
      <c r="D2201" s="2041">
        <v>390</v>
      </c>
      <c r="E2201" s="2041">
        <v>417</v>
      </c>
      <c r="F2201" s="2042">
        <v>444</v>
      </c>
      <c r="G2201" s="2041">
        <v>470</v>
      </c>
      <c r="H2201" s="2041">
        <v>496</v>
      </c>
      <c r="I2201" s="2042">
        <v>521</v>
      </c>
      <c r="J2201" s="2041">
        <v>546</v>
      </c>
      <c r="K2201" s="2041">
        <v>571</v>
      </c>
      <c r="L2201" s="2041">
        <v>595</v>
      </c>
      <c r="M2201" s="2041">
        <v>619</v>
      </c>
      <c r="N2201" s="2028">
        <v>36</v>
      </c>
    </row>
    <row r="2202" spans="2:14" s="1391" customFormat="1" ht="15" x14ac:dyDescent="0.2">
      <c r="B2202" s="4740" t="s">
        <v>2434</v>
      </c>
      <c r="C2202" s="4741"/>
      <c r="D2202" s="4741"/>
      <c r="E2202" s="4741"/>
      <c r="F2202" s="4741"/>
      <c r="G2202" s="4741"/>
      <c r="H2202" s="4741"/>
      <c r="I2202" s="4741"/>
      <c r="J2202" s="4741"/>
      <c r="K2202" s="4741"/>
      <c r="L2202" s="4741"/>
      <c r="M2202" s="4741"/>
      <c r="N2202" s="4742"/>
    </row>
    <row r="2203" spans="2:14" s="1391" customFormat="1" ht="15" x14ac:dyDescent="0.2">
      <c r="B2203" s="4737"/>
      <c r="C2203" s="4738"/>
      <c r="D2203" s="4738"/>
      <c r="E2203" s="4738"/>
      <c r="F2203" s="4738"/>
      <c r="G2203" s="4738"/>
      <c r="H2203" s="4738"/>
      <c r="I2203" s="4738"/>
      <c r="J2203" s="4738"/>
      <c r="K2203" s="4738"/>
      <c r="L2203" s="4738"/>
      <c r="M2203" s="4738"/>
      <c r="N2203" s="4739"/>
    </row>
    <row r="2204" spans="2:14" s="1391" customFormat="1" ht="15.75" x14ac:dyDescent="0.2">
      <c r="B2204" s="4743" t="s">
        <v>2435</v>
      </c>
      <c r="C2204" s="4744"/>
      <c r="D2204" s="4745"/>
      <c r="E2204" s="2043"/>
      <c r="F2204" s="2043"/>
      <c r="G2204" s="2043"/>
      <c r="H2204" s="2043"/>
      <c r="I2204" s="2043"/>
      <c r="J2204" s="2043"/>
      <c r="K2204" s="2043"/>
      <c r="L2204" s="2043"/>
      <c r="M2204" s="2043"/>
      <c r="N2204" s="2044"/>
    </row>
    <row r="2205" spans="2:14" s="1391" customFormat="1" ht="15" x14ac:dyDescent="0.2">
      <c r="B2205" s="4728" t="s">
        <v>1008</v>
      </c>
      <c r="C2205" s="4729"/>
      <c r="D2205" s="4729"/>
      <c r="E2205" s="4729"/>
      <c r="F2205" s="4729"/>
      <c r="G2205" s="4729"/>
      <c r="H2205" s="4729"/>
      <c r="I2205" s="4729"/>
      <c r="J2205" s="4729"/>
      <c r="K2205" s="4729"/>
      <c r="L2205" s="4729"/>
      <c r="M2205" s="4729"/>
      <c r="N2205" s="4730"/>
    </row>
    <row r="2206" spans="2:14" s="1391" customFormat="1" ht="15" x14ac:dyDescent="0.2">
      <c r="B2206" s="4716" t="s">
        <v>1009</v>
      </c>
      <c r="C2206" s="4711"/>
      <c r="D2206" s="4711"/>
      <c r="E2206" s="4711"/>
      <c r="F2206" s="4711"/>
      <c r="G2206" s="4711"/>
      <c r="H2206" s="4711"/>
      <c r="I2206" s="4711"/>
      <c r="J2206" s="4711"/>
      <c r="K2206" s="4711"/>
      <c r="L2206" s="4711"/>
      <c r="M2206" s="4711"/>
      <c r="N2206" s="4717"/>
    </row>
    <row r="2207" spans="2:14" s="1391" customFormat="1" ht="15" x14ac:dyDescent="0.2">
      <c r="B2207" s="2026"/>
      <c r="C2207" s="2027"/>
      <c r="D2207" s="2027">
        <v>1</v>
      </c>
      <c r="E2207" s="2027">
        <v>2</v>
      </c>
      <c r="F2207" s="2027">
        <v>3</v>
      </c>
      <c r="G2207" s="2027">
        <v>4</v>
      </c>
      <c r="H2207" s="2027">
        <v>5</v>
      </c>
      <c r="I2207" s="2027">
        <v>6</v>
      </c>
      <c r="J2207" s="2027">
        <v>7</v>
      </c>
      <c r="K2207" s="2027">
        <v>8</v>
      </c>
      <c r="L2207" s="2027">
        <v>9</v>
      </c>
      <c r="M2207" s="2027">
        <v>10</v>
      </c>
      <c r="N2207" s="2028"/>
    </row>
    <row r="2208" spans="2:14" s="1391" customFormat="1" ht="15" x14ac:dyDescent="0.2">
      <c r="B2208" s="2026">
        <v>10</v>
      </c>
      <c r="C2208" s="2027">
        <v>6.0140000000000002</v>
      </c>
      <c r="D2208" s="2037">
        <v>310</v>
      </c>
      <c r="E2208" s="2037">
        <v>335</v>
      </c>
      <c r="F2208" s="2037">
        <v>360</v>
      </c>
      <c r="G2208" s="2037">
        <v>384</v>
      </c>
      <c r="H2208" s="2037">
        <v>409</v>
      </c>
      <c r="I2208" s="2037">
        <v>434</v>
      </c>
      <c r="J2208" s="2037">
        <v>459</v>
      </c>
      <c r="K2208" s="2037">
        <v>483</v>
      </c>
      <c r="L2208" s="2037">
        <v>508</v>
      </c>
      <c r="M2208" s="2037">
        <v>533</v>
      </c>
      <c r="N2208" s="2028">
        <v>1</v>
      </c>
    </row>
    <row r="2209" spans="2:14" s="1391" customFormat="1" ht="15" x14ac:dyDescent="0.2">
      <c r="B2209" s="2026">
        <v>11</v>
      </c>
      <c r="C2209" s="2027">
        <v>6.5220000000000002</v>
      </c>
      <c r="D2209" s="2037">
        <v>351</v>
      </c>
      <c r="E2209" s="2037">
        <v>379</v>
      </c>
      <c r="F2209" s="2037">
        <v>407</v>
      </c>
      <c r="G2209" s="2037">
        <v>434</v>
      </c>
      <c r="H2209" s="2037">
        <v>462</v>
      </c>
      <c r="I2209" s="2037">
        <v>490</v>
      </c>
      <c r="J2209" s="2037">
        <v>518</v>
      </c>
      <c r="K2209" s="2037">
        <v>546</v>
      </c>
      <c r="L2209" s="2037">
        <v>574</v>
      </c>
      <c r="M2209" s="2037">
        <v>602</v>
      </c>
      <c r="N2209" s="2028">
        <v>2</v>
      </c>
    </row>
    <row r="2210" spans="2:14" s="1391" customFormat="1" ht="15" x14ac:dyDescent="0.2">
      <c r="B2210" s="2026">
        <v>12</v>
      </c>
      <c r="C2210" s="2027">
        <v>7.0839999999999996</v>
      </c>
      <c r="D2210" s="2037">
        <v>395</v>
      </c>
      <c r="E2210" s="2037">
        <v>427</v>
      </c>
      <c r="F2210" s="2037">
        <v>458</v>
      </c>
      <c r="G2210" s="2037">
        <v>489</v>
      </c>
      <c r="H2210" s="2037">
        <v>521</v>
      </c>
      <c r="I2210" s="2037">
        <v>552</v>
      </c>
      <c r="J2210" s="2037">
        <v>584</v>
      </c>
      <c r="K2210" s="2037">
        <v>615</v>
      </c>
      <c r="L2210" s="2037">
        <v>647</v>
      </c>
      <c r="M2210" s="2037">
        <v>678</v>
      </c>
      <c r="N2210" s="2028">
        <v>3</v>
      </c>
    </row>
    <row r="2211" spans="2:14" s="1391" customFormat="1" ht="15" x14ac:dyDescent="0.2">
      <c r="B2211" s="2026">
        <v>13</v>
      </c>
      <c r="C2211" s="2027">
        <v>7.694</v>
      </c>
      <c r="D2211" s="2037">
        <v>443</v>
      </c>
      <c r="E2211" s="2037">
        <v>478</v>
      </c>
      <c r="F2211" s="2037">
        <v>513</v>
      </c>
      <c r="G2211" s="2037">
        <v>549</v>
      </c>
      <c r="H2211" s="2037">
        <v>584</v>
      </c>
      <c r="I2211" s="2037">
        <v>619</v>
      </c>
      <c r="J2211" s="2037">
        <v>655</v>
      </c>
      <c r="K2211" s="2037">
        <v>690</v>
      </c>
      <c r="L2211" s="2037">
        <v>725</v>
      </c>
      <c r="M2211" s="2037">
        <v>760</v>
      </c>
      <c r="N2211" s="2028">
        <v>4</v>
      </c>
    </row>
    <row r="2212" spans="2:14" s="1391" customFormat="1" ht="15" x14ac:dyDescent="0.2">
      <c r="B2212" s="2026">
        <v>14</v>
      </c>
      <c r="C2212" s="2027">
        <v>8.3819999999999997</v>
      </c>
      <c r="D2212" s="2037">
        <v>496</v>
      </c>
      <c r="E2212" s="2037">
        <v>536</v>
      </c>
      <c r="F2212" s="2037">
        <v>575</v>
      </c>
      <c r="G2212" s="2037">
        <v>615</v>
      </c>
      <c r="H2212" s="2037">
        <v>654</v>
      </c>
      <c r="I2212" s="2037">
        <v>694</v>
      </c>
      <c r="J2212" s="2037">
        <v>733</v>
      </c>
      <c r="K2212" s="2037">
        <v>773</v>
      </c>
      <c r="L2212" s="2037">
        <v>813</v>
      </c>
      <c r="M2212" s="2037">
        <v>852</v>
      </c>
      <c r="N2212" s="2028">
        <v>5</v>
      </c>
    </row>
    <row r="2213" spans="2:14" s="1391" customFormat="1" ht="15" x14ac:dyDescent="0.2">
      <c r="B2213" s="2026">
        <v>15</v>
      </c>
      <c r="C2213" s="2027">
        <v>9.1440000000000001</v>
      </c>
      <c r="D2213" s="2037">
        <v>555</v>
      </c>
      <c r="E2213" s="2040">
        <v>599</v>
      </c>
      <c r="F2213" s="2040">
        <v>643</v>
      </c>
      <c r="G2213" s="2040">
        <v>687</v>
      </c>
      <c r="H2213" s="2040">
        <v>732</v>
      </c>
      <c r="I2213" s="2040">
        <v>776</v>
      </c>
      <c r="J2213" s="2037">
        <v>820</v>
      </c>
      <c r="K2213" s="2037">
        <v>864</v>
      </c>
      <c r="L2213" s="2037">
        <v>908</v>
      </c>
      <c r="M2213" s="2037">
        <v>953</v>
      </c>
      <c r="N2213" s="2028">
        <v>6</v>
      </c>
    </row>
    <row r="2214" spans="2:14" s="1391" customFormat="1" ht="15" x14ac:dyDescent="0.2">
      <c r="B2214" s="4716" t="s">
        <v>1010</v>
      </c>
      <c r="C2214" s="4711"/>
      <c r="D2214" s="4711"/>
      <c r="E2214" s="4711"/>
      <c r="F2214" s="4711"/>
      <c r="G2214" s="4711"/>
      <c r="H2214" s="4711"/>
      <c r="I2214" s="4711"/>
      <c r="J2214" s="4711"/>
      <c r="K2214" s="4711"/>
      <c r="L2214" s="4711"/>
      <c r="M2214" s="4711"/>
      <c r="N2214" s="4717"/>
    </row>
    <row r="2215" spans="2:14" s="1391" customFormat="1" ht="15" x14ac:dyDescent="0.2">
      <c r="B2215" s="2026"/>
      <c r="C2215" s="2027"/>
      <c r="D2215" s="2027">
        <v>1</v>
      </c>
      <c r="E2215" s="2027">
        <v>2</v>
      </c>
      <c r="F2215" s="2027">
        <v>3</v>
      </c>
      <c r="G2215" s="2027">
        <v>4</v>
      </c>
      <c r="H2215" s="2027">
        <v>5</v>
      </c>
      <c r="I2215" s="2027">
        <v>6</v>
      </c>
      <c r="J2215" s="2027">
        <v>7</v>
      </c>
      <c r="K2215" s="2027">
        <v>8</v>
      </c>
      <c r="L2215" s="2027">
        <v>9</v>
      </c>
      <c r="M2215" s="2027">
        <v>10</v>
      </c>
      <c r="N2215" s="2028"/>
    </row>
    <row r="2216" spans="2:14" s="1391" customFormat="1" ht="15" x14ac:dyDescent="0.2">
      <c r="B2216" s="2026">
        <v>10</v>
      </c>
      <c r="C2216" s="2027">
        <v>6.2729999999999997</v>
      </c>
      <c r="D2216" s="2037">
        <v>335</v>
      </c>
      <c r="E2216" s="2037">
        <v>350</v>
      </c>
      <c r="F2216" s="2037">
        <v>388</v>
      </c>
      <c r="G2216" s="2037">
        <v>415</v>
      </c>
      <c r="H2216" s="2037">
        <v>441</v>
      </c>
      <c r="I2216" s="2037">
        <v>468</v>
      </c>
      <c r="J2216" s="2037">
        <v>495</v>
      </c>
      <c r="K2216" s="2037">
        <v>521</v>
      </c>
      <c r="L2216" s="2037">
        <v>548</v>
      </c>
      <c r="M2216" s="2037">
        <v>575</v>
      </c>
      <c r="N2216" s="2028">
        <v>7</v>
      </c>
    </row>
    <row r="2217" spans="2:14" s="1391" customFormat="1" ht="15" x14ac:dyDescent="0.2">
      <c r="B2217" s="2026">
        <v>11</v>
      </c>
      <c r="C2217" s="2027">
        <v>6.8360000000000003</v>
      </c>
      <c r="D2217" s="2037">
        <v>380</v>
      </c>
      <c r="E2217" s="2037">
        <v>411</v>
      </c>
      <c r="F2217" s="2037">
        <v>441</v>
      </c>
      <c r="G2217" s="2037">
        <v>471</v>
      </c>
      <c r="H2217" s="2037">
        <v>502</v>
      </c>
      <c r="I2217" s="2037">
        <v>532</v>
      </c>
      <c r="J2217" s="2037">
        <v>562</v>
      </c>
      <c r="K2217" s="2037">
        <v>593</v>
      </c>
      <c r="L2217" s="2037">
        <v>623</v>
      </c>
      <c r="M2217" s="2037">
        <v>653</v>
      </c>
      <c r="N2217" s="2028">
        <v>8</v>
      </c>
    </row>
    <row r="2218" spans="2:14" s="1391" customFormat="1" ht="15" x14ac:dyDescent="0.2">
      <c r="B2218" s="2026">
        <v>12</v>
      </c>
      <c r="C2218" s="2027">
        <v>7.4649999999999999</v>
      </c>
      <c r="D2218" s="2037">
        <v>431</v>
      </c>
      <c r="E2218" s="2037">
        <v>466</v>
      </c>
      <c r="F2218" s="2037">
        <v>500</v>
      </c>
      <c r="G2218" s="2037">
        <v>534</v>
      </c>
      <c r="H2218" s="2037">
        <v>569</v>
      </c>
      <c r="I2218" s="2037">
        <v>603</v>
      </c>
      <c r="J2218" s="2037">
        <v>637</v>
      </c>
      <c r="K2218" s="2037">
        <v>672</v>
      </c>
      <c r="L2218" s="2037">
        <v>706</v>
      </c>
      <c r="M2218" s="2037">
        <v>741</v>
      </c>
      <c r="N2218" s="2028">
        <v>9</v>
      </c>
    </row>
    <row r="2219" spans="2:14" s="1391" customFormat="1" ht="15" x14ac:dyDescent="0.2">
      <c r="B2219" s="2026">
        <v>13</v>
      </c>
      <c r="C2219" s="2027">
        <v>8.1549999999999994</v>
      </c>
      <c r="D2219" s="2037">
        <v>487</v>
      </c>
      <c r="E2219" s="2037">
        <v>526</v>
      </c>
      <c r="F2219" s="2037">
        <v>564</v>
      </c>
      <c r="G2219" s="2037">
        <v>603</v>
      </c>
      <c r="H2219" s="2037">
        <v>642</v>
      </c>
      <c r="I2219" s="2037">
        <v>681</v>
      </c>
      <c r="J2219" s="2037">
        <v>719</v>
      </c>
      <c r="K2219" s="2037">
        <v>758</v>
      </c>
      <c r="L2219" s="2037">
        <v>797</v>
      </c>
      <c r="M2219" s="2037">
        <v>836</v>
      </c>
      <c r="N2219" s="2028">
        <v>10</v>
      </c>
    </row>
    <row r="2220" spans="2:14" s="1391" customFormat="1" ht="15" x14ac:dyDescent="0.2">
      <c r="B2220" s="2026">
        <v>14</v>
      </c>
      <c r="C2220" s="2027">
        <v>8.9429999999999996</v>
      </c>
      <c r="D2220" s="2037">
        <v>550</v>
      </c>
      <c r="E2220" s="2037">
        <v>593</v>
      </c>
      <c r="F2220" s="2037">
        <v>637</v>
      </c>
      <c r="G2220" s="2039">
        <v>681</v>
      </c>
      <c r="H2220" s="2037">
        <v>725</v>
      </c>
      <c r="I2220" s="2037">
        <v>769</v>
      </c>
      <c r="J2220" s="2037">
        <v>812</v>
      </c>
      <c r="K2220" s="2037">
        <v>856</v>
      </c>
      <c r="L2220" s="2037">
        <v>900</v>
      </c>
      <c r="M2220" s="2037">
        <v>944</v>
      </c>
      <c r="N2220" s="2028">
        <v>11</v>
      </c>
    </row>
    <row r="2221" spans="2:14" s="1391" customFormat="1" ht="15" x14ac:dyDescent="0.2">
      <c r="B2221" s="2026">
        <v>15</v>
      </c>
      <c r="C2221" s="2027">
        <v>9.8260000000000005</v>
      </c>
      <c r="D2221" s="2037">
        <v>620</v>
      </c>
      <c r="E2221" s="2037">
        <v>669</v>
      </c>
      <c r="F2221" s="2037">
        <v>718</v>
      </c>
      <c r="G2221" s="2037">
        <v>768</v>
      </c>
      <c r="H2221" s="2037">
        <v>817</v>
      </c>
      <c r="I2221" s="2037">
        <v>866</v>
      </c>
      <c r="J2221" s="2037">
        <v>910</v>
      </c>
      <c r="K2221" s="2037">
        <v>965</v>
      </c>
      <c r="L2221" s="2038">
        <v>1015</v>
      </c>
      <c r="M2221" s="2038">
        <v>1064</v>
      </c>
      <c r="N2221" s="2028">
        <v>12</v>
      </c>
    </row>
    <row r="2222" spans="2:14" s="1391" customFormat="1" ht="15" x14ac:dyDescent="0.2">
      <c r="B2222" s="4716" t="s">
        <v>2459</v>
      </c>
      <c r="C2222" s="4711"/>
      <c r="D2222" s="4711"/>
      <c r="E2222" s="4711"/>
      <c r="F2222" s="4711"/>
      <c r="G2222" s="4711"/>
      <c r="H2222" s="4711"/>
      <c r="I2222" s="4711"/>
      <c r="J2222" s="4711"/>
      <c r="K2222" s="4711"/>
      <c r="L2222" s="4711"/>
      <c r="M2222" s="4711"/>
      <c r="N2222" s="4717"/>
    </row>
    <row r="2223" spans="2:14" s="1391" customFormat="1" ht="15" x14ac:dyDescent="0.2">
      <c r="B2223" s="2026"/>
      <c r="C2223" s="2027"/>
      <c r="D2223" s="2027">
        <v>1</v>
      </c>
      <c r="E2223" s="2027">
        <v>2</v>
      </c>
      <c r="F2223" s="2027">
        <v>3</v>
      </c>
      <c r="G2223" s="2027">
        <v>4</v>
      </c>
      <c r="H2223" s="2027">
        <v>5</v>
      </c>
      <c r="I2223" s="2027">
        <v>6</v>
      </c>
      <c r="J2223" s="2027">
        <v>7</v>
      </c>
      <c r="K2223" s="2027">
        <v>8</v>
      </c>
      <c r="L2223" s="2027">
        <v>9</v>
      </c>
      <c r="M2223" s="2027">
        <v>10</v>
      </c>
      <c r="N2223" s="2028"/>
    </row>
    <row r="2224" spans="2:14" s="1391" customFormat="1" ht="15" x14ac:dyDescent="0.2">
      <c r="B2224" s="2026">
        <v>10</v>
      </c>
      <c r="C2224" s="2027">
        <v>6.4290000000000003</v>
      </c>
      <c r="D2224" s="2037">
        <v>349</v>
      </c>
      <c r="E2224" s="2037">
        <v>377</v>
      </c>
      <c r="F2224" s="2037">
        <v>405</v>
      </c>
      <c r="G2224" s="2037">
        <v>432</v>
      </c>
      <c r="H2224" s="2037">
        <v>460</v>
      </c>
      <c r="I2224" s="2037">
        <v>488</v>
      </c>
      <c r="J2224" s="2037">
        <v>516</v>
      </c>
      <c r="K2224" s="2038">
        <v>544</v>
      </c>
      <c r="L2224" s="2037">
        <v>571</v>
      </c>
      <c r="M2224" s="2037">
        <v>599</v>
      </c>
      <c r="N2224" s="2028">
        <v>13</v>
      </c>
    </row>
    <row r="2225" spans="2:14" s="1391" customFormat="1" ht="15" x14ac:dyDescent="0.2">
      <c r="B2225" s="2026">
        <v>11</v>
      </c>
      <c r="C2225" s="2027">
        <v>7.0259999999999998</v>
      </c>
      <c r="D2225" s="2037">
        <v>398</v>
      </c>
      <c r="E2225" s="2037">
        <v>430</v>
      </c>
      <c r="F2225" s="2037">
        <v>461</v>
      </c>
      <c r="G2225" s="2037">
        <v>493</v>
      </c>
      <c r="H2225" s="2038">
        <v>525</v>
      </c>
      <c r="I2225" s="2037">
        <v>557</v>
      </c>
      <c r="J2225" s="2037">
        <v>588</v>
      </c>
      <c r="K2225" s="2037">
        <v>620</v>
      </c>
      <c r="L2225" s="2037">
        <v>652</v>
      </c>
      <c r="M2225" s="2037">
        <v>683</v>
      </c>
      <c r="N2225" s="2028">
        <v>14</v>
      </c>
    </row>
    <row r="2226" spans="2:14" s="1391" customFormat="1" ht="15" x14ac:dyDescent="0.2">
      <c r="B2226" s="2026">
        <v>12</v>
      </c>
      <c r="C2226" s="2027">
        <v>7.6980000000000004</v>
      </c>
      <c r="D2226" s="2037">
        <v>453</v>
      </c>
      <c r="E2226" s="2037">
        <v>489</v>
      </c>
      <c r="F2226" s="2037">
        <v>525</v>
      </c>
      <c r="G2226" s="2037">
        <v>561</v>
      </c>
      <c r="H2226" s="2037">
        <v>597</v>
      </c>
      <c r="I2226" s="2037">
        <v>633</v>
      </c>
      <c r="J2226" s="2037">
        <v>669</v>
      </c>
      <c r="K2226" s="2037">
        <v>705</v>
      </c>
      <c r="L2226" s="2037">
        <v>742</v>
      </c>
      <c r="M2226" s="2037">
        <v>778</v>
      </c>
      <c r="N2226" s="2028">
        <v>15</v>
      </c>
    </row>
    <row r="2227" spans="2:14" s="1391" customFormat="1" ht="15" x14ac:dyDescent="0.2">
      <c r="B2227" s="2026">
        <v>13</v>
      </c>
      <c r="C2227" s="2027">
        <v>8.44</v>
      </c>
      <c r="D2227" s="2037">
        <v>513</v>
      </c>
      <c r="E2227" s="2037">
        <v>554</v>
      </c>
      <c r="F2227" s="2037">
        <v>595</v>
      </c>
      <c r="G2227" s="2037">
        <v>636</v>
      </c>
      <c r="H2227" s="2037">
        <v>677</v>
      </c>
      <c r="I2227" s="2037">
        <v>718</v>
      </c>
      <c r="J2227" s="2037">
        <v>759</v>
      </c>
      <c r="K2227" s="2037">
        <v>799</v>
      </c>
      <c r="L2227" s="2037">
        <v>840</v>
      </c>
      <c r="M2227" s="2037">
        <v>881</v>
      </c>
      <c r="N2227" s="2028">
        <v>16</v>
      </c>
    </row>
    <row r="2228" spans="2:14" s="1391" customFormat="1" ht="15" x14ac:dyDescent="0.2">
      <c r="B2228" s="2026">
        <v>14</v>
      </c>
      <c r="C2228" s="2027">
        <v>9.2919999999999998</v>
      </c>
      <c r="D2228" s="2037">
        <v>585</v>
      </c>
      <c r="E2228" s="2037">
        <v>629</v>
      </c>
      <c r="F2228" s="2037">
        <v>675</v>
      </c>
      <c r="G2228" s="2037">
        <v>721</v>
      </c>
      <c r="H2228" s="2037">
        <v>768</v>
      </c>
      <c r="I2228" s="2037">
        <v>814</v>
      </c>
      <c r="J2228" s="2037">
        <v>860</v>
      </c>
      <c r="K2228" s="2037">
        <v>907</v>
      </c>
      <c r="L2228" s="2037">
        <v>953</v>
      </c>
      <c r="M2228" s="2038">
        <v>1000</v>
      </c>
      <c r="N2228" s="2028">
        <v>17</v>
      </c>
    </row>
    <row r="2229" spans="2:14" s="1391" customFormat="1" ht="15" x14ac:dyDescent="0.2">
      <c r="B2229" s="2026">
        <v>15</v>
      </c>
      <c r="C2229" s="2027">
        <v>10.256</v>
      </c>
      <c r="D2229" s="2037">
        <v>660</v>
      </c>
      <c r="E2229" s="2037">
        <v>712</v>
      </c>
      <c r="F2229" s="2037">
        <v>765</v>
      </c>
      <c r="G2229" s="2037">
        <v>817</v>
      </c>
      <c r="H2229" s="2037">
        <v>870</v>
      </c>
      <c r="I2229" s="2037">
        <v>923</v>
      </c>
      <c r="J2229" s="2037">
        <v>975</v>
      </c>
      <c r="K2229" s="2038">
        <v>1028</v>
      </c>
      <c r="L2229" s="2038">
        <v>1080</v>
      </c>
      <c r="M2229" s="2038">
        <v>1133</v>
      </c>
      <c r="N2229" s="2028">
        <v>18</v>
      </c>
    </row>
    <row r="2230" spans="2:14" s="1391" customFormat="1" ht="15" x14ac:dyDescent="0.2">
      <c r="B2230" s="4728" t="s">
        <v>2460</v>
      </c>
      <c r="C2230" s="4729"/>
      <c r="D2230" s="4729"/>
      <c r="E2230" s="4729"/>
      <c r="F2230" s="4729"/>
      <c r="G2230" s="4729"/>
      <c r="H2230" s="4729"/>
      <c r="I2230" s="4729"/>
      <c r="J2230" s="4729"/>
      <c r="K2230" s="4729"/>
      <c r="L2230" s="4729"/>
      <c r="M2230" s="4729"/>
      <c r="N2230" s="4730"/>
    </row>
    <row r="2231" spans="2:14" s="1391" customFormat="1" ht="15" x14ac:dyDescent="0.2">
      <c r="B2231" s="4716" t="s">
        <v>1009</v>
      </c>
      <c r="C2231" s="4711"/>
      <c r="D2231" s="4711"/>
      <c r="E2231" s="4711"/>
      <c r="F2231" s="4711"/>
      <c r="G2231" s="4711"/>
      <c r="H2231" s="4711"/>
      <c r="I2231" s="4711"/>
      <c r="J2231" s="4711"/>
      <c r="K2231" s="4711"/>
      <c r="L2231" s="4711"/>
      <c r="M2231" s="4711"/>
      <c r="N2231" s="4717"/>
    </row>
    <row r="2232" spans="2:14" s="1391" customFormat="1" ht="15" x14ac:dyDescent="0.2">
      <c r="B2232" s="2026"/>
      <c r="C2232" s="2027"/>
      <c r="D2232" s="2027">
        <v>1</v>
      </c>
      <c r="E2232" s="2027">
        <v>2</v>
      </c>
      <c r="F2232" s="2027">
        <v>3</v>
      </c>
      <c r="G2232" s="2027">
        <v>4</v>
      </c>
      <c r="H2232" s="2027">
        <v>5</v>
      </c>
      <c r="I2232" s="2027">
        <v>6</v>
      </c>
      <c r="J2232" s="2027">
        <v>7</v>
      </c>
      <c r="K2232" s="2027">
        <v>8</v>
      </c>
      <c r="L2232" s="2027">
        <v>9</v>
      </c>
      <c r="M2232" s="2027">
        <v>10</v>
      </c>
      <c r="N2232" s="2028"/>
    </row>
    <row r="2233" spans="2:14" s="1391" customFormat="1" ht="15" x14ac:dyDescent="0.2">
      <c r="B2233" s="2026">
        <v>10</v>
      </c>
      <c r="C2233" s="2027">
        <v>6.0140000000000002</v>
      </c>
      <c r="D2233" s="2037">
        <v>285</v>
      </c>
      <c r="E2233" s="2037">
        <v>305</v>
      </c>
      <c r="F2233" s="2037">
        <v>326</v>
      </c>
      <c r="G2233" s="2037">
        <v>346</v>
      </c>
      <c r="H2233" s="2037">
        <v>366</v>
      </c>
      <c r="I2233" s="2037">
        <v>385</v>
      </c>
      <c r="J2233" s="2037">
        <v>405</v>
      </c>
      <c r="K2233" s="2037">
        <v>424</v>
      </c>
      <c r="L2233" s="2037">
        <v>443</v>
      </c>
      <c r="M2233" s="2037">
        <v>461</v>
      </c>
      <c r="N2233" s="2028">
        <v>19</v>
      </c>
    </row>
    <row r="2234" spans="2:14" s="1391" customFormat="1" ht="15" x14ac:dyDescent="0.2">
      <c r="B2234" s="2026">
        <v>11</v>
      </c>
      <c r="C2234" s="2027">
        <v>6.5220000000000002</v>
      </c>
      <c r="D2234" s="2037">
        <v>318</v>
      </c>
      <c r="E2234" s="2037">
        <v>341</v>
      </c>
      <c r="F2234" s="2037">
        <v>363</v>
      </c>
      <c r="G2234" s="2037">
        <v>386</v>
      </c>
      <c r="H2234" s="2037">
        <v>408</v>
      </c>
      <c r="I2234" s="2037">
        <v>429</v>
      </c>
      <c r="J2234" s="2037">
        <v>450</v>
      </c>
      <c r="K2234" s="2037">
        <v>471</v>
      </c>
      <c r="L2234" s="2037">
        <v>492</v>
      </c>
      <c r="M2234" s="2037">
        <v>512</v>
      </c>
      <c r="N2234" s="2028">
        <v>20</v>
      </c>
    </row>
    <row r="2235" spans="2:14" s="1391" customFormat="1" ht="15" x14ac:dyDescent="0.2">
      <c r="B2235" s="2026">
        <v>12</v>
      </c>
      <c r="C2235" s="2027">
        <v>7.0839999999999996</v>
      </c>
      <c r="D2235" s="2037">
        <v>354</v>
      </c>
      <c r="E2235" s="2037">
        <v>379</v>
      </c>
      <c r="F2235" s="2037">
        <v>404</v>
      </c>
      <c r="G2235" s="2037">
        <v>428</v>
      </c>
      <c r="H2235" s="2037">
        <v>452</v>
      </c>
      <c r="I2235" s="2037">
        <v>476</v>
      </c>
      <c r="J2235" s="2037">
        <v>499</v>
      </c>
      <c r="K2235" s="2037">
        <v>522</v>
      </c>
      <c r="L2235" s="2037">
        <v>544</v>
      </c>
      <c r="M2235" s="2037">
        <v>566</v>
      </c>
      <c r="N2235" s="2028">
        <v>21</v>
      </c>
    </row>
    <row r="2236" spans="2:14" s="1391" customFormat="1" ht="15" x14ac:dyDescent="0.2">
      <c r="B2236" s="2026">
        <v>13</v>
      </c>
      <c r="C2236" s="2027">
        <v>7.694</v>
      </c>
      <c r="D2236" s="2037">
        <v>392</v>
      </c>
      <c r="E2236" s="2037">
        <v>420</v>
      </c>
      <c r="F2236" s="2037">
        <v>447</v>
      </c>
      <c r="G2236" s="2037">
        <v>473</v>
      </c>
      <c r="H2236" s="2037">
        <v>499</v>
      </c>
      <c r="I2236" s="2037">
        <v>525</v>
      </c>
      <c r="J2236" s="2037">
        <v>550</v>
      </c>
      <c r="K2236" s="2037">
        <v>574</v>
      </c>
      <c r="L2236" s="2037">
        <v>599</v>
      </c>
      <c r="M2236" s="2037">
        <v>623</v>
      </c>
      <c r="N2236" s="2028">
        <v>22</v>
      </c>
    </row>
    <row r="2237" spans="2:14" s="1391" customFormat="1" ht="15" x14ac:dyDescent="0.2">
      <c r="B2237" s="2026">
        <v>14</v>
      </c>
      <c r="C2237" s="2027">
        <v>8.3819999999999997</v>
      </c>
      <c r="D2237" s="2037">
        <v>434</v>
      </c>
      <c r="E2237" s="2037">
        <v>463</v>
      </c>
      <c r="F2237" s="2037">
        <v>493</v>
      </c>
      <c r="G2237" s="2037">
        <v>521</v>
      </c>
      <c r="H2237" s="2037">
        <v>550</v>
      </c>
      <c r="I2237" s="2037">
        <v>577</v>
      </c>
      <c r="J2237" s="2037">
        <v>604</v>
      </c>
      <c r="K2237" s="2037">
        <v>631</v>
      </c>
      <c r="L2237" s="2037">
        <v>657</v>
      </c>
      <c r="M2237" s="2037">
        <v>683</v>
      </c>
      <c r="N2237" s="2028">
        <v>23</v>
      </c>
    </row>
    <row r="2238" spans="2:14" s="1391" customFormat="1" ht="15" x14ac:dyDescent="0.2">
      <c r="B2238" s="2026">
        <v>15</v>
      </c>
      <c r="C2238" s="2027">
        <v>9.1440000000000001</v>
      </c>
      <c r="D2238" s="2037">
        <v>478</v>
      </c>
      <c r="E2238" s="2037">
        <v>510</v>
      </c>
      <c r="F2238" s="2037">
        <v>542</v>
      </c>
      <c r="G2238" s="2037">
        <v>573</v>
      </c>
      <c r="H2238" s="2037">
        <v>603</v>
      </c>
      <c r="I2238" s="2037">
        <v>633</v>
      </c>
      <c r="J2238" s="2037">
        <v>662</v>
      </c>
      <c r="K2238" s="2037">
        <v>690</v>
      </c>
      <c r="L2238" s="2037">
        <v>718</v>
      </c>
      <c r="M2238" s="2037">
        <v>746</v>
      </c>
      <c r="N2238" s="2028">
        <v>24</v>
      </c>
    </row>
    <row r="2239" spans="2:14" s="1391" customFormat="1" ht="15" x14ac:dyDescent="0.2">
      <c r="B2239" s="4716" t="s">
        <v>1010</v>
      </c>
      <c r="C2239" s="4711"/>
      <c r="D2239" s="4711"/>
      <c r="E2239" s="4711"/>
      <c r="F2239" s="4711"/>
      <c r="G2239" s="4711"/>
      <c r="H2239" s="4711"/>
      <c r="I2239" s="4711"/>
      <c r="J2239" s="4711"/>
      <c r="K2239" s="4711"/>
      <c r="L2239" s="4711"/>
      <c r="M2239" s="4711"/>
      <c r="N2239" s="4717"/>
    </row>
    <row r="2240" spans="2:14" s="1391" customFormat="1" ht="15" x14ac:dyDescent="0.2">
      <c r="B2240" s="2026"/>
      <c r="C2240" s="2027"/>
      <c r="D2240" s="2027">
        <v>1</v>
      </c>
      <c r="E2240" s="2027">
        <v>2</v>
      </c>
      <c r="F2240" s="2027">
        <v>3</v>
      </c>
      <c r="G2240" s="2027">
        <v>4</v>
      </c>
      <c r="H2240" s="2027">
        <v>5</v>
      </c>
      <c r="I2240" s="2027">
        <v>6</v>
      </c>
      <c r="J2240" s="2027">
        <v>7</v>
      </c>
      <c r="K2240" s="2027">
        <v>8</v>
      </c>
      <c r="L2240" s="2027">
        <v>9</v>
      </c>
      <c r="M2240" s="2027">
        <v>10</v>
      </c>
      <c r="N2240" s="2028"/>
    </row>
    <row r="2241" spans="2:14" s="1391" customFormat="1" ht="15" x14ac:dyDescent="0.2">
      <c r="B2241" s="2026">
        <v>10</v>
      </c>
      <c r="C2241" s="2027">
        <v>6.2729999999999997</v>
      </c>
      <c r="D2241" s="2037">
        <v>305</v>
      </c>
      <c r="E2241" s="2037">
        <v>327</v>
      </c>
      <c r="F2241" s="2037">
        <v>349</v>
      </c>
      <c r="G2241" s="2037">
        <v>370</v>
      </c>
      <c r="H2241" s="2037">
        <v>391</v>
      </c>
      <c r="I2241" s="2037">
        <v>412</v>
      </c>
      <c r="J2241" s="2037">
        <v>432</v>
      </c>
      <c r="K2241" s="2037">
        <v>453</v>
      </c>
      <c r="L2241" s="2037">
        <v>473</v>
      </c>
      <c r="M2241" s="2037">
        <v>492</v>
      </c>
      <c r="N2241" s="2028">
        <v>25</v>
      </c>
    </row>
    <row r="2242" spans="2:14" s="1391" customFormat="1" ht="15" x14ac:dyDescent="0.2">
      <c r="B2242" s="2026">
        <v>11</v>
      </c>
      <c r="C2242" s="2027">
        <v>6.8360000000000003</v>
      </c>
      <c r="D2242" s="2037">
        <v>342</v>
      </c>
      <c r="E2242" s="2037">
        <v>367</v>
      </c>
      <c r="F2242" s="2037">
        <v>391</v>
      </c>
      <c r="G2242" s="2037">
        <v>414</v>
      </c>
      <c r="H2242" s="2037">
        <v>438</v>
      </c>
      <c r="I2242" s="2037">
        <v>461</v>
      </c>
      <c r="J2242" s="2037">
        <v>483</v>
      </c>
      <c r="K2242" s="2037">
        <v>505</v>
      </c>
      <c r="L2242" s="2037">
        <v>527</v>
      </c>
      <c r="M2242" s="2037">
        <v>549</v>
      </c>
      <c r="N2242" s="2028">
        <v>26</v>
      </c>
    </row>
    <row r="2243" spans="2:14" s="1391" customFormat="1" ht="15" x14ac:dyDescent="0.2">
      <c r="B2243" s="2026">
        <v>12</v>
      </c>
      <c r="C2243" s="2027">
        <v>7.4649999999999999</v>
      </c>
      <c r="D2243" s="2037">
        <v>386</v>
      </c>
      <c r="E2243" s="2037">
        <v>410</v>
      </c>
      <c r="F2243" s="2037">
        <v>436</v>
      </c>
      <c r="G2243" s="2037">
        <v>462</v>
      </c>
      <c r="H2243" s="2037">
        <v>488</v>
      </c>
      <c r="I2243" s="2037">
        <v>513</v>
      </c>
      <c r="J2243" s="2037">
        <v>538</v>
      </c>
      <c r="K2243" s="2037">
        <v>562</v>
      </c>
      <c r="L2243" s="2037">
        <v>586</v>
      </c>
      <c r="M2243" s="2037">
        <v>609</v>
      </c>
      <c r="N2243" s="2028">
        <v>27</v>
      </c>
    </row>
    <row r="2244" spans="2:14" s="1391" customFormat="1" ht="15" x14ac:dyDescent="0.2">
      <c r="B2244" s="2026">
        <v>13</v>
      </c>
      <c r="C2244" s="2027">
        <v>8.1549999999999994</v>
      </c>
      <c r="D2244" s="2037">
        <v>426</v>
      </c>
      <c r="E2244" s="2037">
        <v>456</v>
      </c>
      <c r="F2244" s="2037">
        <v>485</v>
      </c>
      <c r="G2244" s="2037">
        <v>513</v>
      </c>
      <c r="H2244" s="2037">
        <v>541</v>
      </c>
      <c r="I2244" s="2037">
        <v>568</v>
      </c>
      <c r="J2244" s="2037">
        <v>595</v>
      </c>
      <c r="K2244" s="2037">
        <v>621</v>
      </c>
      <c r="L2244" s="2037">
        <v>647</v>
      </c>
      <c r="M2244" s="2037">
        <v>672</v>
      </c>
      <c r="N2244" s="2028">
        <v>28</v>
      </c>
    </row>
    <row r="2245" spans="2:14" s="1391" customFormat="1" ht="15" x14ac:dyDescent="0.2">
      <c r="B2245" s="2026">
        <v>14</v>
      </c>
      <c r="C2245" s="2027">
        <v>8.9429999999999996</v>
      </c>
      <c r="D2245" s="2037">
        <v>474</v>
      </c>
      <c r="E2245" s="2037">
        <v>506</v>
      </c>
      <c r="F2245" s="2037">
        <v>537</v>
      </c>
      <c r="G2245" s="2037">
        <v>568</v>
      </c>
      <c r="H2245" s="2037">
        <v>598</v>
      </c>
      <c r="I2245" s="2037">
        <v>628</v>
      </c>
      <c r="J2245" s="2037">
        <v>657</v>
      </c>
      <c r="K2245" s="2037">
        <v>685</v>
      </c>
      <c r="L2245" s="2037">
        <v>713</v>
      </c>
      <c r="M2245" s="2037">
        <v>740</v>
      </c>
      <c r="N2245" s="2028">
        <v>29</v>
      </c>
    </row>
    <row r="2246" spans="2:14" s="1391" customFormat="1" ht="15" x14ac:dyDescent="0.2">
      <c r="B2246" s="2026">
        <v>15</v>
      </c>
      <c r="C2246" s="2027">
        <v>9.8260000000000005</v>
      </c>
      <c r="D2246" s="2037">
        <v>525</v>
      </c>
      <c r="E2246" s="2037">
        <v>560</v>
      </c>
      <c r="F2246" s="2037">
        <v>594</v>
      </c>
      <c r="G2246" s="2037">
        <v>627</v>
      </c>
      <c r="H2246" s="2037">
        <v>660</v>
      </c>
      <c r="I2246" s="2037">
        <v>692</v>
      </c>
      <c r="J2246" s="2037">
        <v>723</v>
      </c>
      <c r="K2246" s="2037">
        <v>753</v>
      </c>
      <c r="L2246" s="2037">
        <v>783</v>
      </c>
      <c r="M2246" s="2037">
        <v>812</v>
      </c>
      <c r="N2246" s="2028">
        <v>30</v>
      </c>
    </row>
    <row r="2247" spans="2:14" s="1391" customFormat="1" ht="15" x14ac:dyDescent="0.2">
      <c r="B2247" s="4716" t="s">
        <v>2459</v>
      </c>
      <c r="C2247" s="4711"/>
      <c r="D2247" s="4711"/>
      <c r="E2247" s="4711"/>
      <c r="F2247" s="4711"/>
      <c r="G2247" s="4711"/>
      <c r="H2247" s="4711"/>
      <c r="I2247" s="4711"/>
      <c r="J2247" s="4711"/>
      <c r="K2247" s="4711"/>
      <c r="L2247" s="4711"/>
      <c r="M2247" s="4711"/>
      <c r="N2247" s="4717"/>
    </row>
    <row r="2248" spans="2:14" s="1391" customFormat="1" ht="15" x14ac:dyDescent="0.2">
      <c r="B2248" s="2026"/>
      <c r="C2248" s="2027"/>
      <c r="D2248" s="2027">
        <v>1</v>
      </c>
      <c r="E2248" s="2027">
        <v>2</v>
      </c>
      <c r="F2248" s="2027">
        <v>3</v>
      </c>
      <c r="G2248" s="2027">
        <v>4</v>
      </c>
      <c r="H2248" s="2027">
        <v>5</v>
      </c>
      <c r="I2248" s="2027">
        <v>6</v>
      </c>
      <c r="J2248" s="2027">
        <v>7</v>
      </c>
      <c r="K2248" s="2027">
        <v>8</v>
      </c>
      <c r="L2248" s="2027">
        <v>9</v>
      </c>
      <c r="M2248" s="2027">
        <v>10</v>
      </c>
      <c r="N2248" s="2028"/>
    </row>
    <row r="2249" spans="2:14" s="1391" customFormat="1" ht="15" x14ac:dyDescent="0.2">
      <c r="B2249" s="2026">
        <v>10</v>
      </c>
      <c r="C2249" s="2027">
        <v>6.4290000000000003</v>
      </c>
      <c r="D2249" s="2037">
        <v>317</v>
      </c>
      <c r="E2249" s="2037">
        <v>340</v>
      </c>
      <c r="F2249" s="2037">
        <v>362</v>
      </c>
      <c r="G2249" s="2037">
        <v>384</v>
      </c>
      <c r="H2249" s="2037">
        <v>406</v>
      </c>
      <c r="I2249" s="2037">
        <v>427</v>
      </c>
      <c r="J2249" s="2037">
        <v>448</v>
      </c>
      <c r="K2249" s="2037">
        <v>469</v>
      </c>
      <c r="L2249" s="2037">
        <v>490</v>
      </c>
      <c r="M2249" s="2037">
        <v>510</v>
      </c>
      <c r="N2249" s="2028">
        <v>31</v>
      </c>
    </row>
    <row r="2250" spans="2:14" s="1391" customFormat="1" ht="15" x14ac:dyDescent="0.2">
      <c r="B2250" s="2026">
        <v>11</v>
      </c>
      <c r="C2250" s="2027">
        <v>7.0259999999999998</v>
      </c>
      <c r="D2250" s="2037">
        <v>357</v>
      </c>
      <c r="E2250" s="2037">
        <v>382</v>
      </c>
      <c r="F2250" s="2037">
        <v>407</v>
      </c>
      <c r="G2250" s="2037">
        <v>431</v>
      </c>
      <c r="H2250" s="2037">
        <v>455</v>
      </c>
      <c r="I2250" s="2037">
        <v>479</v>
      </c>
      <c r="J2250" s="2037">
        <v>502</v>
      </c>
      <c r="K2250" s="2037">
        <v>525</v>
      </c>
      <c r="L2250" s="2037">
        <v>548</v>
      </c>
      <c r="M2250" s="2037">
        <v>570</v>
      </c>
      <c r="N2250" s="2028">
        <v>32</v>
      </c>
    </row>
    <row r="2251" spans="2:14" s="1391" customFormat="1" ht="15" x14ac:dyDescent="0.2">
      <c r="B2251" s="2026">
        <v>12</v>
      </c>
      <c r="C2251" s="2027">
        <v>7.6980000000000004</v>
      </c>
      <c r="D2251" s="2037">
        <v>400</v>
      </c>
      <c r="E2251" s="2037">
        <v>428</v>
      </c>
      <c r="F2251" s="2037">
        <v>455</v>
      </c>
      <c r="G2251" s="2037">
        <v>482</v>
      </c>
      <c r="H2251" s="2037">
        <v>509</v>
      </c>
      <c r="I2251" s="2037">
        <v>535</v>
      </c>
      <c r="J2251" s="2037">
        <v>560</v>
      </c>
      <c r="K2251" s="2037">
        <v>585</v>
      </c>
      <c r="L2251" s="2037">
        <v>610</v>
      </c>
      <c r="M2251" s="2037">
        <v>634</v>
      </c>
      <c r="N2251" s="2028">
        <v>33</v>
      </c>
    </row>
    <row r="2252" spans="2:14" s="1391" customFormat="1" ht="15" x14ac:dyDescent="0.2">
      <c r="B2252" s="2026">
        <v>13</v>
      </c>
      <c r="C2252" s="2027">
        <v>8.44</v>
      </c>
      <c r="D2252" s="2037">
        <v>446</v>
      </c>
      <c r="E2252" s="2037">
        <v>477</v>
      </c>
      <c r="F2252" s="2037">
        <v>507</v>
      </c>
      <c r="G2252" s="2037">
        <v>536</v>
      </c>
      <c r="H2252" s="2037">
        <v>565</v>
      </c>
      <c r="I2252" s="2037">
        <v>594</v>
      </c>
      <c r="J2252" s="2037">
        <v>621</v>
      </c>
      <c r="K2252" s="2037">
        <v>648</v>
      </c>
      <c r="L2252" s="2037">
        <v>675</v>
      </c>
      <c r="M2252" s="2037">
        <v>701</v>
      </c>
      <c r="N2252" s="2028">
        <v>34</v>
      </c>
    </row>
    <row r="2253" spans="2:14" s="1391" customFormat="1" ht="15" x14ac:dyDescent="0.2">
      <c r="B2253" s="2026">
        <v>14</v>
      </c>
      <c r="C2253" s="2027">
        <v>9.2919999999999998</v>
      </c>
      <c r="D2253" s="2037">
        <v>498</v>
      </c>
      <c r="E2253" s="2037">
        <v>531</v>
      </c>
      <c r="F2253" s="2037">
        <v>564</v>
      </c>
      <c r="G2253" s="2037">
        <v>596</v>
      </c>
      <c r="H2253" s="2037">
        <v>627</v>
      </c>
      <c r="I2253" s="2037">
        <v>658</v>
      </c>
      <c r="J2253" s="2037">
        <v>688</v>
      </c>
      <c r="K2253" s="2037">
        <v>717</v>
      </c>
      <c r="L2253" s="2037">
        <v>746</v>
      </c>
      <c r="M2253" s="2037">
        <v>774</v>
      </c>
      <c r="N2253" s="2028">
        <v>35</v>
      </c>
    </row>
    <row r="2254" spans="2:14" s="1391" customFormat="1" ht="15" x14ac:dyDescent="0.2">
      <c r="B2254" s="2026">
        <v>15</v>
      </c>
      <c r="C2254" s="2027">
        <v>10.256</v>
      </c>
      <c r="D2254" s="2037">
        <v>553</v>
      </c>
      <c r="E2254" s="2037">
        <v>590</v>
      </c>
      <c r="F2254" s="2037">
        <v>625</v>
      </c>
      <c r="G2254" s="2037">
        <v>660</v>
      </c>
      <c r="H2254" s="2037">
        <v>694</v>
      </c>
      <c r="I2254" s="2037">
        <v>727</v>
      </c>
      <c r="J2254" s="2037">
        <v>759</v>
      </c>
      <c r="K2254" s="2037">
        <v>791</v>
      </c>
      <c r="L2254" s="2037">
        <v>822</v>
      </c>
      <c r="M2254" s="2037">
        <v>852</v>
      </c>
      <c r="N2254" s="2028">
        <v>36</v>
      </c>
    </row>
    <row r="2255" spans="2:14" s="1391" customFormat="1" ht="15" x14ac:dyDescent="0.2">
      <c r="B2255" s="4740" t="s">
        <v>2436</v>
      </c>
      <c r="C2255" s="4741"/>
      <c r="D2255" s="4741"/>
      <c r="E2255" s="4741"/>
      <c r="F2255" s="4741"/>
      <c r="G2255" s="4741"/>
      <c r="H2255" s="4741"/>
      <c r="I2255" s="4741"/>
      <c r="J2255" s="4741"/>
      <c r="K2255" s="4741"/>
      <c r="L2255" s="4741"/>
      <c r="M2255" s="4741"/>
      <c r="N2255" s="4742"/>
    </row>
    <row r="2256" spans="2:14" s="1391" customFormat="1" ht="15" x14ac:dyDescent="0.2">
      <c r="B2256" s="4737"/>
      <c r="C2256" s="4738"/>
      <c r="D2256" s="4738"/>
      <c r="E2256" s="4738"/>
      <c r="F2256" s="4738"/>
      <c r="G2256" s="4738"/>
      <c r="H2256" s="4738"/>
      <c r="I2256" s="4738"/>
      <c r="J2256" s="4738"/>
      <c r="K2256" s="4738"/>
      <c r="L2256" s="4738"/>
      <c r="M2256" s="4738"/>
      <c r="N2256" s="4739"/>
    </row>
    <row r="2257" spans="2:14" s="1391" customFormat="1" ht="15.75" x14ac:dyDescent="0.2">
      <c r="B2257" s="4743" t="s">
        <v>2437</v>
      </c>
      <c r="C2257" s="4744"/>
      <c r="D2257" s="4745"/>
      <c r="E2257" s="2043"/>
      <c r="F2257" s="2043"/>
      <c r="G2257" s="2043"/>
      <c r="H2257" s="2043"/>
      <c r="I2257" s="2043"/>
      <c r="J2257" s="2043"/>
      <c r="K2257" s="2043"/>
      <c r="L2257" s="2043"/>
      <c r="M2257" s="2043"/>
      <c r="N2257" s="2044"/>
    </row>
    <row r="2258" spans="2:14" s="1391" customFormat="1" ht="15" x14ac:dyDescent="0.2">
      <c r="B2258" s="4728" t="s">
        <v>1008</v>
      </c>
      <c r="C2258" s="4729"/>
      <c r="D2258" s="4729"/>
      <c r="E2258" s="4729"/>
      <c r="F2258" s="4729"/>
      <c r="G2258" s="4729"/>
      <c r="H2258" s="4729"/>
      <c r="I2258" s="4729"/>
      <c r="J2258" s="4729"/>
      <c r="K2258" s="4729"/>
      <c r="L2258" s="4729"/>
      <c r="M2258" s="4729"/>
      <c r="N2258" s="4730"/>
    </row>
    <row r="2259" spans="2:14" s="1391" customFormat="1" ht="15" x14ac:dyDescent="0.2">
      <c r="B2259" s="4716" t="s">
        <v>1009</v>
      </c>
      <c r="C2259" s="4711"/>
      <c r="D2259" s="4711"/>
      <c r="E2259" s="4711"/>
      <c r="F2259" s="4711"/>
      <c r="G2259" s="4711"/>
      <c r="H2259" s="4711"/>
      <c r="I2259" s="4711"/>
      <c r="J2259" s="4711"/>
      <c r="K2259" s="4711"/>
      <c r="L2259" s="4711"/>
      <c r="M2259" s="4711"/>
      <c r="N2259" s="4717"/>
    </row>
    <row r="2260" spans="2:14" s="1391" customFormat="1" ht="15" x14ac:dyDescent="0.2">
      <c r="B2260" s="2026"/>
      <c r="C2260" s="2027"/>
      <c r="D2260" s="2027">
        <v>1</v>
      </c>
      <c r="E2260" s="2027">
        <v>2</v>
      </c>
      <c r="F2260" s="2027">
        <v>3</v>
      </c>
      <c r="G2260" s="2027">
        <v>4</v>
      </c>
      <c r="H2260" s="2027">
        <v>5</v>
      </c>
      <c r="I2260" s="2027">
        <v>6</v>
      </c>
      <c r="J2260" s="2027">
        <v>7</v>
      </c>
      <c r="K2260" s="2027">
        <v>8</v>
      </c>
      <c r="L2260" s="2027">
        <v>9</v>
      </c>
      <c r="M2260" s="2027">
        <v>10</v>
      </c>
      <c r="N2260" s="2028"/>
    </row>
    <row r="2261" spans="2:14" s="1391" customFormat="1" ht="15" x14ac:dyDescent="0.2">
      <c r="B2261" s="2026">
        <v>10</v>
      </c>
      <c r="C2261" s="2027">
        <v>6.1479999999999997</v>
      </c>
      <c r="D2261" s="2037">
        <v>237</v>
      </c>
      <c r="E2261" s="2037">
        <v>256</v>
      </c>
      <c r="F2261" s="2037">
        <v>275</v>
      </c>
      <c r="G2261" s="2037">
        <v>294</v>
      </c>
      <c r="H2261" s="2037">
        <v>313</v>
      </c>
      <c r="I2261" s="2037">
        <v>332</v>
      </c>
      <c r="J2261" s="2037" t="s">
        <v>2438</v>
      </c>
      <c r="K2261" s="2037">
        <v>370</v>
      </c>
      <c r="L2261" s="2037">
        <v>389</v>
      </c>
      <c r="M2261" s="2037">
        <v>408</v>
      </c>
      <c r="N2261" s="2028">
        <v>1</v>
      </c>
    </row>
    <row r="2262" spans="2:14" s="1391" customFormat="1" ht="15" x14ac:dyDescent="0.2">
      <c r="B2262" s="2026">
        <v>11</v>
      </c>
      <c r="C2262" s="2027">
        <v>6.5380000000000003</v>
      </c>
      <c r="D2262" s="2037">
        <v>260</v>
      </c>
      <c r="E2262" s="2037">
        <v>281</v>
      </c>
      <c r="F2262" s="2037">
        <v>302</v>
      </c>
      <c r="G2262" s="2037">
        <v>323</v>
      </c>
      <c r="H2262" s="2037">
        <v>343</v>
      </c>
      <c r="I2262" s="2037">
        <v>364</v>
      </c>
      <c r="J2262" s="2037">
        <v>385</v>
      </c>
      <c r="K2262" s="2037">
        <v>406</v>
      </c>
      <c r="L2262" s="2037">
        <v>426</v>
      </c>
      <c r="M2262" s="2037">
        <v>447</v>
      </c>
      <c r="N2262" s="2028">
        <v>2</v>
      </c>
    </row>
    <row r="2263" spans="2:14" s="1391" customFormat="1" ht="15" x14ac:dyDescent="0.2">
      <c r="B2263" s="2026">
        <v>12</v>
      </c>
      <c r="C2263" s="2027">
        <v>6.944</v>
      </c>
      <c r="D2263" s="2037">
        <v>284</v>
      </c>
      <c r="E2263" s="2037">
        <v>307</v>
      </c>
      <c r="F2263" s="2037">
        <v>329</v>
      </c>
      <c r="G2263" s="2037">
        <v>352</v>
      </c>
      <c r="H2263" s="2037">
        <v>375</v>
      </c>
      <c r="I2263" s="2037">
        <v>397</v>
      </c>
      <c r="J2263" s="2037">
        <v>420</v>
      </c>
      <c r="K2263" s="2037">
        <v>443</v>
      </c>
      <c r="L2263" s="2037">
        <v>465</v>
      </c>
      <c r="M2263" s="2037">
        <v>488</v>
      </c>
      <c r="N2263" s="2028">
        <v>3</v>
      </c>
    </row>
    <row r="2264" spans="2:14" s="1391" customFormat="1" ht="15" x14ac:dyDescent="0.2">
      <c r="B2264" s="2026">
        <v>13</v>
      </c>
      <c r="C2264" s="2027">
        <v>7.3550000000000004</v>
      </c>
      <c r="D2264" s="2037">
        <v>308</v>
      </c>
      <c r="E2264" s="2037">
        <v>333</v>
      </c>
      <c r="F2264" s="2037">
        <v>357</v>
      </c>
      <c r="G2264" s="2037">
        <v>382</v>
      </c>
      <c r="H2264" s="2037">
        <v>406</v>
      </c>
      <c r="I2264" s="2037">
        <v>431</v>
      </c>
      <c r="J2264" s="2037">
        <v>455</v>
      </c>
      <c r="K2264" s="2037">
        <v>480</v>
      </c>
      <c r="L2264" s="2037">
        <v>504</v>
      </c>
      <c r="M2264" s="2037">
        <v>529</v>
      </c>
      <c r="N2264" s="2028">
        <v>4</v>
      </c>
    </row>
    <row r="2265" spans="2:14" s="1391" customFormat="1" ht="15" x14ac:dyDescent="0.2">
      <c r="B2265" s="2026">
        <v>14</v>
      </c>
      <c r="C2265" s="2027">
        <v>7.7869999999999999</v>
      </c>
      <c r="D2265" s="2037">
        <v>333</v>
      </c>
      <c r="E2265" s="2037">
        <v>359</v>
      </c>
      <c r="F2265" s="2037">
        <v>386</v>
      </c>
      <c r="G2265" s="2037">
        <v>413</v>
      </c>
      <c r="H2265" s="2037">
        <v>439</v>
      </c>
      <c r="I2265" s="2037">
        <v>456</v>
      </c>
      <c r="J2265" s="2037">
        <v>492</v>
      </c>
      <c r="K2265" s="2037">
        <v>519</v>
      </c>
      <c r="L2265" s="2037">
        <v>545</v>
      </c>
      <c r="M2265" s="2037">
        <v>572</v>
      </c>
      <c r="N2265" s="2028">
        <v>5</v>
      </c>
    </row>
    <row r="2266" spans="2:14" s="1391" customFormat="1" ht="15" x14ac:dyDescent="0.2">
      <c r="B2266" s="2026">
        <v>15</v>
      </c>
      <c r="C2266" s="2027">
        <v>8.2289999999999992</v>
      </c>
      <c r="D2266" s="2037">
        <v>358</v>
      </c>
      <c r="E2266" s="2037">
        <v>387</v>
      </c>
      <c r="F2266" s="2040">
        <v>415</v>
      </c>
      <c r="G2266" s="2040">
        <v>444</v>
      </c>
      <c r="H2266" s="2040">
        <v>472</v>
      </c>
      <c r="I2266" s="2040">
        <v>501</v>
      </c>
      <c r="J2266" s="2037">
        <v>530</v>
      </c>
      <c r="K2266" s="2037">
        <v>558</v>
      </c>
      <c r="L2266" s="2037">
        <v>587</v>
      </c>
      <c r="M2266" s="2037">
        <v>615</v>
      </c>
      <c r="N2266" s="2028">
        <v>6</v>
      </c>
    </row>
    <row r="2267" spans="2:14" s="1391" customFormat="1" ht="15" x14ac:dyDescent="0.2">
      <c r="B2267" s="4716" t="s">
        <v>1010</v>
      </c>
      <c r="C2267" s="4711"/>
      <c r="D2267" s="4711"/>
      <c r="E2267" s="4711"/>
      <c r="F2267" s="4711"/>
      <c r="G2267" s="4711"/>
      <c r="H2267" s="4711"/>
      <c r="I2267" s="4711"/>
      <c r="J2267" s="4711"/>
      <c r="K2267" s="4711"/>
      <c r="L2267" s="4711"/>
      <c r="M2267" s="4711"/>
      <c r="N2267" s="4717"/>
    </row>
    <row r="2268" spans="2:14" s="1391" customFormat="1" ht="15" x14ac:dyDescent="0.2">
      <c r="B2268" s="2026"/>
      <c r="C2268" s="2027"/>
      <c r="D2268" s="2027">
        <v>1</v>
      </c>
      <c r="E2268" s="2027">
        <v>2</v>
      </c>
      <c r="F2268" s="2027">
        <v>3</v>
      </c>
      <c r="G2268" s="2027">
        <v>4</v>
      </c>
      <c r="H2268" s="2027">
        <v>5</v>
      </c>
      <c r="I2268" s="2027">
        <v>6</v>
      </c>
      <c r="J2268" s="2027">
        <v>7</v>
      </c>
      <c r="K2268" s="2027">
        <v>8</v>
      </c>
      <c r="L2268" s="2027">
        <v>9</v>
      </c>
      <c r="M2268" s="2027">
        <v>10</v>
      </c>
      <c r="N2268" s="2028"/>
    </row>
    <row r="2269" spans="2:14" s="1391" customFormat="1" ht="15" x14ac:dyDescent="0.2">
      <c r="B2269" s="2026">
        <v>10</v>
      </c>
      <c r="C2269" s="2027">
        <v>6.3609999999999998</v>
      </c>
      <c r="D2269" s="2037">
        <v>250</v>
      </c>
      <c r="E2269" s="2037">
        <v>270</v>
      </c>
      <c r="F2269" s="2037">
        <v>290</v>
      </c>
      <c r="G2269" s="2037">
        <v>310</v>
      </c>
      <c r="H2269" s="2037">
        <v>330</v>
      </c>
      <c r="I2269" s="2037">
        <v>350</v>
      </c>
      <c r="J2269" s="2037">
        <v>369</v>
      </c>
      <c r="K2269" s="2037">
        <v>389</v>
      </c>
      <c r="L2269" s="2037">
        <v>409</v>
      </c>
      <c r="M2269" s="2037">
        <v>429</v>
      </c>
      <c r="N2269" s="2028">
        <v>7</v>
      </c>
    </row>
    <row r="2270" spans="2:14" s="1391" customFormat="1" ht="15" x14ac:dyDescent="0.2">
      <c r="B2270" s="2026">
        <v>11</v>
      </c>
      <c r="C2270" s="2027">
        <v>6.7779999999999996</v>
      </c>
      <c r="D2270" s="2037">
        <v>275</v>
      </c>
      <c r="E2270" s="2037">
        <v>296</v>
      </c>
      <c r="F2270" s="2037">
        <v>318</v>
      </c>
      <c r="G2270" s="2037">
        <v>340</v>
      </c>
      <c r="H2270" s="2037">
        <v>362</v>
      </c>
      <c r="I2270" s="2037">
        <v>384</v>
      </c>
      <c r="J2270" s="2037">
        <v>406</v>
      </c>
      <c r="K2270" s="2037">
        <v>428</v>
      </c>
      <c r="L2270" s="2037">
        <v>450</v>
      </c>
      <c r="M2270" s="2037">
        <v>472</v>
      </c>
      <c r="N2270" s="2028">
        <v>8</v>
      </c>
    </row>
    <row r="2271" spans="2:14" s="1391" customFormat="1" ht="15" x14ac:dyDescent="0.2">
      <c r="B2271" s="2026">
        <v>12</v>
      </c>
      <c r="C2271" s="2027">
        <v>7.2130000000000001</v>
      </c>
      <c r="D2271" s="2037">
        <v>300</v>
      </c>
      <c r="E2271" s="2037">
        <v>324</v>
      </c>
      <c r="F2271" s="2037">
        <v>348</v>
      </c>
      <c r="G2271" s="2037">
        <v>372</v>
      </c>
      <c r="H2271" s="2037">
        <v>396</v>
      </c>
      <c r="I2271" s="2037">
        <v>420</v>
      </c>
      <c r="J2271" s="2037">
        <v>444</v>
      </c>
      <c r="K2271" s="2037">
        <v>468</v>
      </c>
      <c r="L2271" s="2037">
        <v>491</v>
      </c>
      <c r="M2271" s="2045">
        <v>510</v>
      </c>
      <c r="N2271" s="2028">
        <v>9</v>
      </c>
    </row>
    <row r="2272" spans="2:14" s="1391" customFormat="1" ht="15" x14ac:dyDescent="0.2">
      <c r="B2272" s="2026">
        <v>13</v>
      </c>
      <c r="C2272" s="2027">
        <v>7.6559999999999997</v>
      </c>
      <c r="D2272" s="2037">
        <v>326</v>
      </c>
      <c r="E2272" s="2037">
        <v>352</v>
      </c>
      <c r="F2272" s="2037">
        <v>378</v>
      </c>
      <c r="G2272" s="2037">
        <v>404</v>
      </c>
      <c r="H2272" s="2037">
        <v>430</v>
      </c>
      <c r="I2272" s="2037">
        <v>456</v>
      </c>
      <c r="J2272" s="2037">
        <v>482</v>
      </c>
      <c r="K2272" s="2037">
        <v>508</v>
      </c>
      <c r="L2272" s="2037">
        <v>534</v>
      </c>
      <c r="M2272" s="2037">
        <v>560</v>
      </c>
      <c r="N2272" s="2028">
        <v>10</v>
      </c>
    </row>
    <row r="2273" spans="2:14" s="1391" customFormat="1" ht="15" x14ac:dyDescent="0.2">
      <c r="B2273" s="2026">
        <v>14</v>
      </c>
      <c r="C2273" s="2027">
        <v>8.1210000000000004</v>
      </c>
      <c r="D2273" s="2037">
        <v>353</v>
      </c>
      <c r="E2273" s="2037">
        <v>381</v>
      </c>
      <c r="F2273" s="2037">
        <v>409</v>
      </c>
      <c r="G2273" s="2037">
        <v>437</v>
      </c>
      <c r="H2273" s="2037">
        <v>466</v>
      </c>
      <c r="I2273" s="2037">
        <v>494</v>
      </c>
      <c r="J2273" s="2037">
        <v>522</v>
      </c>
      <c r="K2273" s="2037">
        <v>550</v>
      </c>
      <c r="L2273" s="2037">
        <v>570</v>
      </c>
      <c r="M2273" s="2037">
        <v>606</v>
      </c>
      <c r="N2273" s="2028">
        <v>11</v>
      </c>
    </row>
    <row r="2274" spans="2:14" s="1391" customFormat="1" ht="15" x14ac:dyDescent="0.2">
      <c r="B2274" s="2026">
        <v>15</v>
      </c>
      <c r="C2274" s="2027">
        <v>8.5980000000000008</v>
      </c>
      <c r="D2274" s="2037">
        <v>381</v>
      </c>
      <c r="E2274" s="2037">
        <v>411</v>
      </c>
      <c r="F2274" s="2037">
        <v>441</v>
      </c>
      <c r="G2274" s="2037">
        <v>472</v>
      </c>
      <c r="H2274" s="2037">
        <v>502</v>
      </c>
      <c r="I2274" s="2037">
        <v>532</v>
      </c>
      <c r="J2274" s="2037">
        <v>563</v>
      </c>
      <c r="K2274" s="2037">
        <v>595</v>
      </c>
      <c r="L2274" s="2037">
        <v>623</v>
      </c>
      <c r="M2274" s="2037">
        <v>651</v>
      </c>
      <c r="N2274" s="2028">
        <v>12</v>
      </c>
    </row>
    <row r="2275" spans="2:14" s="1391" customFormat="1" ht="15" x14ac:dyDescent="0.2">
      <c r="B2275" s="4716" t="s">
        <v>2459</v>
      </c>
      <c r="C2275" s="4711"/>
      <c r="D2275" s="4711"/>
      <c r="E2275" s="4711"/>
      <c r="F2275" s="4711"/>
      <c r="G2275" s="4711"/>
      <c r="H2275" s="4711"/>
      <c r="I2275" s="4711"/>
      <c r="J2275" s="4711"/>
      <c r="K2275" s="4711"/>
      <c r="L2275" s="4711"/>
      <c r="M2275" s="4711"/>
      <c r="N2275" s="4717"/>
    </row>
    <row r="2276" spans="2:14" s="1391" customFormat="1" ht="15" x14ac:dyDescent="0.2">
      <c r="B2276" s="2026"/>
      <c r="C2276" s="2027"/>
      <c r="D2276" s="2027">
        <v>1</v>
      </c>
      <c r="E2276" s="2027">
        <v>2</v>
      </c>
      <c r="F2276" s="2027">
        <v>3</v>
      </c>
      <c r="G2276" s="2027">
        <v>4</v>
      </c>
      <c r="H2276" s="2027">
        <v>5</v>
      </c>
      <c r="I2276" s="2027">
        <v>6</v>
      </c>
      <c r="J2276" s="2027">
        <v>7</v>
      </c>
      <c r="K2276" s="2027">
        <v>8</v>
      </c>
      <c r="L2276" s="2027">
        <v>9</v>
      </c>
      <c r="M2276" s="2027">
        <v>10</v>
      </c>
      <c r="N2276" s="2028"/>
    </row>
    <row r="2277" spans="2:14" s="1391" customFormat="1" ht="15" x14ac:dyDescent="0.2">
      <c r="B2277" s="2026">
        <v>10</v>
      </c>
      <c r="C2277" s="2027">
        <v>6.4850000000000003</v>
      </c>
      <c r="D2277" s="2037">
        <v>257</v>
      </c>
      <c r="E2277" s="2037">
        <v>277</v>
      </c>
      <c r="F2277" s="2027">
        <v>298</v>
      </c>
      <c r="G2277" s="2037">
        <v>318</v>
      </c>
      <c r="H2277" s="2037">
        <v>339</v>
      </c>
      <c r="I2277" s="2037">
        <v>359</v>
      </c>
      <c r="J2277" s="2037">
        <v>380</v>
      </c>
      <c r="K2277" s="2037">
        <v>400</v>
      </c>
      <c r="L2277" s="2037">
        <v>421</v>
      </c>
      <c r="M2277" s="2037">
        <v>442</v>
      </c>
      <c r="N2277" s="2028">
        <v>13</v>
      </c>
    </row>
    <row r="2278" spans="2:14" s="1391" customFormat="1" ht="15" x14ac:dyDescent="0.2">
      <c r="B2278" s="2026">
        <v>11</v>
      </c>
      <c r="C2278" s="2027">
        <v>6.9189999999999996</v>
      </c>
      <c r="D2278" s="2037">
        <v>283</v>
      </c>
      <c r="E2278" s="2037">
        <v>305</v>
      </c>
      <c r="F2278" s="2027">
        <v>328</v>
      </c>
      <c r="G2278" s="2037">
        <v>350</v>
      </c>
      <c r="H2278" s="2037">
        <v>373</v>
      </c>
      <c r="I2278" s="2037">
        <v>395</v>
      </c>
      <c r="J2278" s="2037">
        <v>418</v>
      </c>
      <c r="K2278" s="2037">
        <v>440</v>
      </c>
      <c r="L2278" s="2037">
        <v>463</v>
      </c>
      <c r="M2278" s="2037">
        <v>485</v>
      </c>
      <c r="N2278" s="2028">
        <v>14</v>
      </c>
    </row>
    <row r="2279" spans="2:14" s="1391" customFormat="1" ht="15" x14ac:dyDescent="0.2">
      <c r="B2279" s="2026">
        <v>12</v>
      </c>
      <c r="C2279" s="2027">
        <v>7.3710000000000004</v>
      </c>
      <c r="D2279" s="2037">
        <v>309</v>
      </c>
      <c r="E2279" s="2037">
        <v>334</v>
      </c>
      <c r="F2279" s="2027">
        <v>359</v>
      </c>
      <c r="G2279" s="2037">
        <v>383</v>
      </c>
      <c r="H2279" s="2037">
        <v>408</v>
      </c>
      <c r="I2279" s="2037">
        <v>432</v>
      </c>
      <c r="J2279" s="2037">
        <v>457</v>
      </c>
      <c r="K2279" s="2037">
        <v>482</v>
      </c>
      <c r="L2279" s="2037">
        <v>506</v>
      </c>
      <c r="M2279" s="2037">
        <v>531</v>
      </c>
      <c r="N2279" s="2028">
        <v>15</v>
      </c>
    </row>
    <row r="2280" spans="2:14" s="1391" customFormat="1" ht="15" x14ac:dyDescent="0.2">
      <c r="B2280" s="2026">
        <v>13</v>
      </c>
      <c r="C2280" s="2027">
        <v>7.8319999999999999</v>
      </c>
      <c r="D2280" s="2037">
        <v>336</v>
      </c>
      <c r="E2280" s="2037">
        <v>363</v>
      </c>
      <c r="F2280" s="2027">
        <v>390</v>
      </c>
      <c r="G2280" s="2037">
        <v>417</v>
      </c>
      <c r="H2280" s="2037">
        <v>443</v>
      </c>
      <c r="I2280" s="2037">
        <v>470</v>
      </c>
      <c r="J2280" s="2037">
        <v>497</v>
      </c>
      <c r="K2280" s="2037">
        <v>524</v>
      </c>
      <c r="L2280" s="2037">
        <v>551</v>
      </c>
      <c r="M2280" s="2037">
        <v>577</v>
      </c>
      <c r="N2280" s="2028">
        <v>16</v>
      </c>
    </row>
    <row r="2281" spans="2:14" s="1391" customFormat="1" ht="15" x14ac:dyDescent="0.2">
      <c r="B2281" s="2026">
        <v>14</v>
      </c>
      <c r="C2281" s="2027">
        <v>8.3170000000000002</v>
      </c>
      <c r="D2281" s="2037">
        <v>365</v>
      </c>
      <c r="E2281" s="2037">
        <v>394</v>
      </c>
      <c r="F2281" s="2027">
        <v>423</v>
      </c>
      <c r="G2281" s="2037">
        <v>452</v>
      </c>
      <c r="H2281" s="2037">
        <v>481</v>
      </c>
      <c r="I2281" s="2037">
        <v>510</v>
      </c>
      <c r="J2281" s="2037">
        <v>539</v>
      </c>
      <c r="K2281" s="2037">
        <v>568</v>
      </c>
      <c r="L2281" s="2037">
        <v>597</v>
      </c>
      <c r="M2281" s="2037">
        <v>626</v>
      </c>
      <c r="N2281" s="2028">
        <v>17</v>
      </c>
    </row>
    <row r="2282" spans="2:14" s="1391" customFormat="1" ht="15" x14ac:dyDescent="0.2">
      <c r="B2282" s="2026">
        <v>15</v>
      </c>
      <c r="C2282" s="2027">
        <v>8.8160000000000007</v>
      </c>
      <c r="D2282" s="2037">
        <v>393</v>
      </c>
      <c r="E2282" s="2037">
        <v>425</v>
      </c>
      <c r="F2282" s="2027">
        <v>456</v>
      </c>
      <c r="G2282" s="2037">
        <v>488</v>
      </c>
      <c r="H2282" s="2037">
        <v>519</v>
      </c>
      <c r="I2282" s="2037">
        <v>550</v>
      </c>
      <c r="J2282" s="2037">
        <v>582</v>
      </c>
      <c r="K2282" s="2037">
        <v>613</v>
      </c>
      <c r="L2282" s="2037">
        <v>644</v>
      </c>
      <c r="M2282" s="2037">
        <v>676</v>
      </c>
      <c r="N2282" s="2028">
        <v>18</v>
      </c>
    </row>
    <row r="2283" spans="2:14" s="1391" customFormat="1" ht="15" x14ac:dyDescent="0.2">
      <c r="B2283" s="4728" t="s">
        <v>2460</v>
      </c>
      <c r="C2283" s="4729"/>
      <c r="D2283" s="4729"/>
      <c r="E2283" s="4729"/>
      <c r="F2283" s="4729"/>
      <c r="G2283" s="4729"/>
      <c r="H2283" s="4729"/>
      <c r="I2283" s="4729"/>
      <c r="J2283" s="4729"/>
      <c r="K2283" s="4729"/>
      <c r="L2283" s="4729"/>
      <c r="M2283" s="4729"/>
      <c r="N2283" s="4730"/>
    </row>
    <row r="2284" spans="2:14" s="1391" customFormat="1" ht="15" x14ac:dyDescent="0.2">
      <c r="B2284" s="4716" t="s">
        <v>1009</v>
      </c>
      <c r="C2284" s="4711"/>
      <c r="D2284" s="4711"/>
      <c r="E2284" s="4711"/>
      <c r="F2284" s="4711"/>
      <c r="G2284" s="4711"/>
      <c r="H2284" s="4711"/>
      <c r="I2284" s="4711"/>
      <c r="J2284" s="4711"/>
      <c r="K2284" s="4711"/>
      <c r="L2284" s="4711"/>
      <c r="M2284" s="4711"/>
      <c r="N2284" s="4717"/>
    </row>
    <row r="2285" spans="2:14" s="1391" customFormat="1" ht="15" x14ac:dyDescent="0.2">
      <c r="B2285" s="2026"/>
      <c r="C2285" s="2027"/>
      <c r="D2285" s="2027">
        <v>1</v>
      </c>
      <c r="E2285" s="2027">
        <v>2</v>
      </c>
      <c r="F2285" s="2027">
        <v>3</v>
      </c>
      <c r="G2285" s="2027">
        <v>4</v>
      </c>
      <c r="H2285" s="2027">
        <v>5</v>
      </c>
      <c r="I2285" s="2027">
        <v>6</v>
      </c>
      <c r="J2285" s="2027">
        <v>7</v>
      </c>
      <c r="K2285" s="2027">
        <v>8</v>
      </c>
      <c r="L2285" s="2027">
        <v>9</v>
      </c>
      <c r="M2285" s="2027">
        <v>10</v>
      </c>
      <c r="N2285" s="2028"/>
    </row>
    <row r="2286" spans="2:14" s="1391" customFormat="1" ht="15" x14ac:dyDescent="0.2">
      <c r="B2286" s="2026">
        <v>10</v>
      </c>
      <c r="C2286" s="2027">
        <v>6.1479999999999997</v>
      </c>
      <c r="D2286" s="2037">
        <v>222</v>
      </c>
      <c r="E2286" s="2037">
        <v>230</v>
      </c>
      <c r="F2286" s="2037">
        <v>255</v>
      </c>
      <c r="G2286" s="2037">
        <v>271</v>
      </c>
      <c r="H2286" s="2037">
        <v>287</v>
      </c>
      <c r="I2286" s="2037">
        <v>303</v>
      </c>
      <c r="J2286" s="2037">
        <v>318</v>
      </c>
      <c r="K2286" s="2038">
        <v>334</v>
      </c>
      <c r="L2286" s="2037">
        <v>349</v>
      </c>
      <c r="M2286" s="2037">
        <v>364</v>
      </c>
      <c r="N2286" s="2028">
        <v>19</v>
      </c>
    </row>
    <row r="2287" spans="2:14" s="1391" customFormat="1" ht="15" x14ac:dyDescent="0.2">
      <c r="B2287" s="2026">
        <v>11</v>
      </c>
      <c r="C2287" s="2027">
        <v>6.5380000000000003</v>
      </c>
      <c r="D2287" s="2037">
        <v>242</v>
      </c>
      <c r="E2287" s="2037">
        <v>260</v>
      </c>
      <c r="F2287" s="2037">
        <v>277</v>
      </c>
      <c r="G2287" s="2037">
        <v>295</v>
      </c>
      <c r="H2287" s="2037">
        <v>312</v>
      </c>
      <c r="I2287" s="2037">
        <v>329</v>
      </c>
      <c r="J2287" s="2037">
        <v>346</v>
      </c>
      <c r="K2287" s="2037">
        <v>360</v>
      </c>
      <c r="L2287" s="2037">
        <v>379</v>
      </c>
      <c r="M2287" s="2037">
        <v>396</v>
      </c>
      <c r="N2287" s="2028">
        <v>20</v>
      </c>
    </row>
    <row r="2288" spans="2:14" s="1391" customFormat="1" ht="15" x14ac:dyDescent="0.2">
      <c r="B2288" s="2026">
        <v>12</v>
      </c>
      <c r="C2288" s="2027">
        <v>6.944</v>
      </c>
      <c r="D2288" s="2037">
        <v>262</v>
      </c>
      <c r="E2288" s="2037">
        <v>282</v>
      </c>
      <c r="F2288" s="2037">
        <v>301</v>
      </c>
      <c r="G2288" s="2037">
        <v>319</v>
      </c>
      <c r="H2288" s="2037">
        <v>338</v>
      </c>
      <c r="I2288" s="2037">
        <v>356</v>
      </c>
      <c r="J2288" s="2037">
        <v>374</v>
      </c>
      <c r="K2288" s="2037">
        <v>392</v>
      </c>
      <c r="L2288" s="2037">
        <v>410</v>
      </c>
      <c r="M2288" s="2037">
        <v>427</v>
      </c>
      <c r="N2288" s="2028">
        <v>21</v>
      </c>
    </row>
    <row r="2289" spans="2:14" s="1391" customFormat="1" ht="15" x14ac:dyDescent="0.2">
      <c r="B2289" s="2026">
        <v>13</v>
      </c>
      <c r="C2289" s="2027">
        <v>7.3550000000000004</v>
      </c>
      <c r="D2289" s="2037">
        <v>283</v>
      </c>
      <c r="E2289" s="2037">
        <v>303</v>
      </c>
      <c r="F2289" s="2037">
        <v>323</v>
      </c>
      <c r="G2289" s="2037">
        <v>343</v>
      </c>
      <c r="H2289" s="2037">
        <v>363</v>
      </c>
      <c r="I2289" s="2037">
        <v>383</v>
      </c>
      <c r="J2289" s="2037">
        <v>402</v>
      </c>
      <c r="K2289" s="2037">
        <v>421</v>
      </c>
      <c r="L2289" s="2037">
        <v>440</v>
      </c>
      <c r="M2289" s="2037">
        <v>458</v>
      </c>
      <c r="N2289" s="2028">
        <v>22</v>
      </c>
    </row>
    <row r="2290" spans="2:14" s="1391" customFormat="1" ht="15" x14ac:dyDescent="0.2">
      <c r="B2290" s="2026">
        <v>14</v>
      </c>
      <c r="C2290" s="2027">
        <v>7.7869999999999999</v>
      </c>
      <c r="D2290" s="2037">
        <v>303</v>
      </c>
      <c r="E2290" s="2037">
        <v>325</v>
      </c>
      <c r="F2290" s="2037">
        <v>347</v>
      </c>
      <c r="G2290" s="2037">
        <v>368</v>
      </c>
      <c r="H2290" s="2037">
        <v>383</v>
      </c>
      <c r="I2290" s="2037">
        <v>410</v>
      </c>
      <c r="J2290" s="2037">
        <v>430</v>
      </c>
      <c r="K2290" s="2037">
        <v>451</v>
      </c>
      <c r="L2290" s="2037">
        <v>470</v>
      </c>
      <c r="M2290" s="2037">
        <v>490</v>
      </c>
      <c r="N2290" s="2028">
        <v>23</v>
      </c>
    </row>
    <row r="2291" spans="2:14" s="1391" customFormat="1" ht="15" x14ac:dyDescent="0.2">
      <c r="B2291" s="2026">
        <v>15</v>
      </c>
      <c r="C2291" s="2027">
        <v>8.2289999999999992</v>
      </c>
      <c r="D2291" s="2037">
        <v>324</v>
      </c>
      <c r="E2291" s="2037">
        <v>348</v>
      </c>
      <c r="F2291" s="2037">
        <v>371</v>
      </c>
      <c r="G2291" s="2037">
        <v>393</v>
      </c>
      <c r="H2291" s="2037">
        <v>415</v>
      </c>
      <c r="I2291" s="2037">
        <v>437</v>
      </c>
      <c r="J2291" s="2037">
        <v>458</v>
      </c>
      <c r="K2291" s="2037">
        <v>480</v>
      </c>
      <c r="L2291" s="2037">
        <v>501</v>
      </c>
      <c r="M2291" s="2037">
        <v>522</v>
      </c>
      <c r="N2291" s="2028">
        <v>24</v>
      </c>
    </row>
    <row r="2292" spans="2:14" s="1391" customFormat="1" ht="15" x14ac:dyDescent="0.2">
      <c r="B2292" s="4716" t="s">
        <v>1010</v>
      </c>
      <c r="C2292" s="4711"/>
      <c r="D2292" s="4711"/>
      <c r="E2292" s="4711"/>
      <c r="F2292" s="4711"/>
      <c r="G2292" s="4711"/>
      <c r="H2292" s="4711"/>
      <c r="I2292" s="4711"/>
      <c r="J2292" s="4711"/>
      <c r="K2292" s="4711"/>
      <c r="L2292" s="4711"/>
      <c r="M2292" s="4711"/>
      <c r="N2292" s="4717"/>
    </row>
    <row r="2293" spans="2:14" s="1391" customFormat="1" ht="15" x14ac:dyDescent="0.2">
      <c r="B2293" s="2026"/>
      <c r="C2293" s="2027"/>
      <c r="D2293" s="2027">
        <v>1</v>
      </c>
      <c r="E2293" s="2027">
        <v>2</v>
      </c>
      <c r="F2293" s="2027">
        <v>3</v>
      </c>
      <c r="G2293" s="2027">
        <v>4</v>
      </c>
      <c r="H2293" s="2027">
        <v>5</v>
      </c>
      <c r="I2293" s="2027">
        <v>6</v>
      </c>
      <c r="J2293" s="2027">
        <v>7</v>
      </c>
      <c r="K2293" s="2027">
        <v>8</v>
      </c>
      <c r="L2293" s="2027">
        <v>9</v>
      </c>
      <c r="M2293" s="2027">
        <v>10</v>
      </c>
      <c r="N2293" s="2028"/>
    </row>
    <row r="2294" spans="2:14" s="1391" customFormat="1" ht="15" x14ac:dyDescent="0.2">
      <c r="B2294" s="2026">
        <v>10</v>
      </c>
      <c r="C2294" s="2027">
        <v>6.3609999999999998</v>
      </c>
      <c r="D2294" s="2037">
        <v>233</v>
      </c>
      <c r="E2294" s="2037">
        <v>250</v>
      </c>
      <c r="F2294" s="2037">
        <v>267</v>
      </c>
      <c r="G2294" s="2037">
        <v>284</v>
      </c>
      <c r="H2294" s="2037">
        <v>301</v>
      </c>
      <c r="I2294" s="2037">
        <v>317</v>
      </c>
      <c r="J2294" s="2037">
        <v>334</v>
      </c>
      <c r="K2294" s="2037">
        <v>350</v>
      </c>
      <c r="L2294" s="2037">
        <v>366</v>
      </c>
      <c r="M2294" s="2037">
        <v>382</v>
      </c>
      <c r="N2294" s="2028">
        <v>25</v>
      </c>
    </row>
    <row r="2295" spans="2:14" s="1391" customFormat="1" ht="15" x14ac:dyDescent="0.2">
      <c r="B2295" s="2026">
        <v>11</v>
      </c>
      <c r="C2295" s="2027">
        <v>6.7779999999999996</v>
      </c>
      <c r="D2295" s="2037">
        <v>254</v>
      </c>
      <c r="E2295" s="2037">
        <v>273</v>
      </c>
      <c r="F2295" s="2037">
        <v>291</v>
      </c>
      <c r="G2295" s="2037">
        <v>310</v>
      </c>
      <c r="H2295" s="2037">
        <v>328</v>
      </c>
      <c r="I2295" s="2037">
        <v>345</v>
      </c>
      <c r="J2295" s="2037">
        <v>363</v>
      </c>
      <c r="K2295" s="2037">
        <v>380</v>
      </c>
      <c r="L2295" s="2037">
        <v>398</v>
      </c>
      <c r="M2295" s="2037">
        <v>415</v>
      </c>
      <c r="N2295" s="2028">
        <v>26</v>
      </c>
    </row>
    <row r="2296" spans="2:14" s="1391" customFormat="1" ht="15" x14ac:dyDescent="0.2">
      <c r="B2296" s="2026">
        <v>12</v>
      </c>
      <c r="C2296" s="2027">
        <v>7.2130000000000001</v>
      </c>
      <c r="D2296" s="2037">
        <v>276</v>
      </c>
      <c r="E2296" s="2037">
        <v>296</v>
      </c>
      <c r="F2296" s="2037">
        <v>316</v>
      </c>
      <c r="G2296" s="2037">
        <v>336</v>
      </c>
      <c r="H2296" s="2037">
        <v>355</v>
      </c>
      <c r="I2296" s="2037">
        <v>374</v>
      </c>
      <c r="J2296" s="2037">
        <v>393</v>
      </c>
      <c r="K2296" s="2037">
        <v>412</v>
      </c>
      <c r="L2296" s="2037">
        <v>430</v>
      </c>
      <c r="M2296" s="2037">
        <v>448</v>
      </c>
      <c r="N2296" s="2028">
        <v>27</v>
      </c>
    </row>
    <row r="2297" spans="2:14" s="1391" customFormat="1" ht="15" x14ac:dyDescent="0.2">
      <c r="B2297" s="2026">
        <v>13</v>
      </c>
      <c r="C2297" s="2027">
        <v>7.6559999999999997</v>
      </c>
      <c r="D2297" s="2037">
        <v>298</v>
      </c>
      <c r="E2297" s="2037">
        <v>319</v>
      </c>
      <c r="F2297" s="2037">
        <v>340</v>
      </c>
      <c r="G2297" s="2037">
        <v>361</v>
      </c>
      <c r="H2297" s="2037">
        <v>382</v>
      </c>
      <c r="I2297" s="2037">
        <v>402</v>
      </c>
      <c r="J2297" s="2037">
        <v>423</v>
      </c>
      <c r="K2297" s="2037">
        <v>442</v>
      </c>
      <c r="L2297" s="2037">
        <v>462</v>
      </c>
      <c r="M2297" s="2037">
        <v>481</v>
      </c>
      <c r="N2297" s="2028">
        <v>28</v>
      </c>
    </row>
    <row r="2298" spans="2:14" s="1391" customFormat="1" ht="15" x14ac:dyDescent="0.2">
      <c r="B2298" s="2026">
        <v>14</v>
      </c>
      <c r="C2298" s="2027">
        <v>8.1210000000000004</v>
      </c>
      <c r="D2298" s="2037">
        <v>320</v>
      </c>
      <c r="E2298" s="2037">
        <v>343</v>
      </c>
      <c r="F2298" s="2038">
        <v>366</v>
      </c>
      <c r="G2298" s="2037">
        <v>388</v>
      </c>
      <c r="H2298" s="2037">
        <v>410</v>
      </c>
      <c r="I2298" s="2037">
        <v>432</v>
      </c>
      <c r="J2298" s="2037">
        <v>453</v>
      </c>
      <c r="K2298" s="2037">
        <v>474</v>
      </c>
      <c r="L2298" s="2037">
        <v>495</v>
      </c>
      <c r="M2298" s="2037">
        <v>515</v>
      </c>
      <c r="N2298" s="2028">
        <v>29</v>
      </c>
    </row>
    <row r="2299" spans="2:14" s="1391" customFormat="1" ht="15" x14ac:dyDescent="0.2">
      <c r="B2299" s="2026">
        <v>15</v>
      </c>
      <c r="C2299" s="2027">
        <v>8.5980000000000008</v>
      </c>
      <c r="D2299" s="2037">
        <v>343</v>
      </c>
      <c r="E2299" s="2040">
        <v>367</v>
      </c>
      <c r="F2299" s="2040">
        <v>391</v>
      </c>
      <c r="G2299" s="2040">
        <v>415</v>
      </c>
      <c r="H2299" s="2040">
        <v>438</v>
      </c>
      <c r="I2299" s="2040">
        <v>461</v>
      </c>
      <c r="J2299" s="2037">
        <v>483</v>
      </c>
      <c r="K2299" s="2037">
        <v>506</v>
      </c>
      <c r="L2299" s="2037">
        <v>528</v>
      </c>
      <c r="M2299" s="2037">
        <v>549</v>
      </c>
      <c r="N2299" s="2028">
        <v>30</v>
      </c>
    </row>
    <row r="2300" spans="2:14" s="1391" customFormat="1" ht="15" x14ac:dyDescent="0.2">
      <c r="B2300" s="4716" t="s">
        <v>2459</v>
      </c>
      <c r="C2300" s="4711"/>
      <c r="D2300" s="4711"/>
      <c r="E2300" s="4711"/>
      <c r="F2300" s="4711"/>
      <c r="G2300" s="4711"/>
      <c r="H2300" s="4711"/>
      <c r="I2300" s="4711"/>
      <c r="J2300" s="4711"/>
      <c r="K2300" s="4711"/>
      <c r="L2300" s="4711"/>
      <c r="M2300" s="4711"/>
      <c r="N2300" s="4717"/>
    </row>
    <row r="2301" spans="2:14" s="1391" customFormat="1" ht="15" x14ac:dyDescent="0.2">
      <c r="B2301" s="2026"/>
      <c r="C2301" s="2027"/>
      <c r="D2301" s="2027">
        <v>1</v>
      </c>
      <c r="E2301" s="2027">
        <v>2</v>
      </c>
      <c r="F2301" s="2027">
        <v>3</v>
      </c>
      <c r="G2301" s="2027">
        <v>4</v>
      </c>
      <c r="H2301" s="2027">
        <v>5</v>
      </c>
      <c r="I2301" s="2027">
        <v>6</v>
      </c>
      <c r="J2301" s="2027">
        <v>7</v>
      </c>
      <c r="K2301" s="2027">
        <v>8</v>
      </c>
      <c r="L2301" s="2027">
        <v>9</v>
      </c>
      <c r="M2301" s="2027">
        <v>10</v>
      </c>
      <c r="N2301" s="2028"/>
    </row>
    <row r="2302" spans="2:14" s="1391" customFormat="1" ht="15" x14ac:dyDescent="0.2">
      <c r="B2302" s="2026">
        <v>10</v>
      </c>
      <c r="C2302" s="2027">
        <v>6.4850000000000003</v>
      </c>
      <c r="D2302" s="2037">
        <v>239</v>
      </c>
      <c r="E2302" s="2037">
        <v>257</v>
      </c>
      <c r="F2302" s="2037">
        <v>274</v>
      </c>
      <c r="G2302" s="2037">
        <v>291</v>
      </c>
      <c r="H2302" s="2037">
        <v>308</v>
      </c>
      <c r="I2302" s="2037">
        <v>325</v>
      </c>
      <c r="J2302" s="2037">
        <v>342</v>
      </c>
      <c r="K2302" s="2037">
        <v>359</v>
      </c>
      <c r="L2302" s="2037">
        <v>375</v>
      </c>
      <c r="M2302" s="2037">
        <v>391</v>
      </c>
      <c r="N2302" s="2028">
        <v>31</v>
      </c>
    </row>
    <row r="2303" spans="2:14" s="1391" customFormat="1" ht="15" x14ac:dyDescent="0.2">
      <c r="B2303" s="2026">
        <v>11</v>
      </c>
      <c r="C2303" s="2027">
        <v>6.9189999999999996</v>
      </c>
      <c r="D2303" s="2037">
        <v>261</v>
      </c>
      <c r="E2303" s="2037">
        <v>280</v>
      </c>
      <c r="F2303" s="2037">
        <v>299</v>
      </c>
      <c r="G2303" s="2037">
        <v>318</v>
      </c>
      <c r="H2303" s="2037">
        <v>336</v>
      </c>
      <c r="I2303" s="2037">
        <v>354</v>
      </c>
      <c r="J2303" s="2037">
        <v>372</v>
      </c>
      <c r="K2303" s="2037">
        <v>390</v>
      </c>
      <c r="L2303" s="2037">
        <v>408</v>
      </c>
      <c r="M2303" s="2037">
        <v>425</v>
      </c>
      <c r="N2303" s="2028">
        <v>32</v>
      </c>
    </row>
    <row r="2304" spans="2:14" s="1391" customFormat="1" ht="15" x14ac:dyDescent="0.2">
      <c r="B2304" s="2026">
        <v>12</v>
      </c>
      <c r="C2304" s="2027">
        <v>7.3710000000000004</v>
      </c>
      <c r="D2304" s="2037">
        <v>284</v>
      </c>
      <c r="E2304" s="2037">
        <v>304</v>
      </c>
      <c r="F2304" s="2037">
        <v>325</v>
      </c>
      <c r="G2304" s="2037">
        <v>345</v>
      </c>
      <c r="H2304" s="2037">
        <v>364</v>
      </c>
      <c r="I2304" s="2037">
        <v>384</v>
      </c>
      <c r="J2304" s="2037">
        <v>403</v>
      </c>
      <c r="K2304" s="2037">
        <v>422</v>
      </c>
      <c r="L2304" s="2037">
        <v>441</v>
      </c>
      <c r="M2304" s="2037">
        <v>460</v>
      </c>
      <c r="N2304" s="2028">
        <v>33</v>
      </c>
    </row>
    <row r="2305" spans="2:14" s="1391" customFormat="1" ht="15" x14ac:dyDescent="0.2">
      <c r="B2305" s="2026">
        <v>13</v>
      </c>
      <c r="C2305" s="2027">
        <v>7.8319999999999999</v>
      </c>
      <c r="D2305" s="2037">
        <v>306</v>
      </c>
      <c r="E2305" s="2037">
        <v>328</v>
      </c>
      <c r="F2305" s="2037">
        <v>350</v>
      </c>
      <c r="G2305" s="2037">
        <v>372</v>
      </c>
      <c r="H2305" s="2037">
        <v>393</v>
      </c>
      <c r="I2305" s="2037">
        <v>414</v>
      </c>
      <c r="J2305" s="2037">
        <v>434</v>
      </c>
      <c r="K2305" s="2037">
        <v>454</v>
      </c>
      <c r="L2305" s="2037">
        <v>474</v>
      </c>
      <c r="M2305" s="2037">
        <v>494</v>
      </c>
      <c r="N2305" s="2028">
        <v>34</v>
      </c>
    </row>
    <row r="2306" spans="2:14" s="1391" customFormat="1" ht="15" x14ac:dyDescent="0.2">
      <c r="B2306" s="2026">
        <v>14</v>
      </c>
      <c r="C2306" s="2027">
        <v>8.3170000000000002</v>
      </c>
      <c r="D2306" s="2037">
        <v>330</v>
      </c>
      <c r="E2306" s="2037">
        <v>353</v>
      </c>
      <c r="F2306" s="2037">
        <v>376</v>
      </c>
      <c r="G2306" s="2037">
        <v>399</v>
      </c>
      <c r="H2306" s="2037">
        <v>422</v>
      </c>
      <c r="I2306" s="2037">
        <v>444</v>
      </c>
      <c r="J2306" s="2037">
        <v>466</v>
      </c>
      <c r="K2306" s="2037">
        <v>487</v>
      </c>
      <c r="L2306" s="2037">
        <v>508</v>
      </c>
      <c r="M2306" s="2037">
        <v>529</v>
      </c>
      <c r="N2306" s="2028">
        <v>35</v>
      </c>
    </row>
    <row r="2307" spans="2:14" s="1391" customFormat="1" ht="15" x14ac:dyDescent="0.2">
      <c r="B2307" s="2026">
        <v>15</v>
      </c>
      <c r="C2307" s="2027">
        <v>8.8160000000000007</v>
      </c>
      <c r="D2307" s="2037">
        <v>353</v>
      </c>
      <c r="E2307" s="2037">
        <v>378</v>
      </c>
      <c r="F2307" s="2037">
        <v>403</v>
      </c>
      <c r="G2307" s="2037">
        <v>427</v>
      </c>
      <c r="H2307" s="2037">
        <v>451</v>
      </c>
      <c r="I2307" s="2037">
        <v>474</v>
      </c>
      <c r="J2307" s="2037">
        <v>497</v>
      </c>
      <c r="K2307" s="2037">
        <v>520</v>
      </c>
      <c r="L2307" s="2037">
        <v>542</v>
      </c>
      <c r="M2307" s="2037">
        <v>565</v>
      </c>
      <c r="N2307" s="2028">
        <v>36</v>
      </c>
    </row>
    <row r="2308" spans="2:14" s="1391" customFormat="1" ht="15" x14ac:dyDescent="0.2">
      <c r="B2308" s="4740" t="s">
        <v>3413</v>
      </c>
      <c r="C2308" s="4741"/>
      <c r="D2308" s="4741"/>
      <c r="E2308" s="4741"/>
      <c r="F2308" s="4741"/>
      <c r="G2308" s="4741"/>
      <c r="H2308" s="4741"/>
      <c r="I2308" s="4741"/>
      <c r="J2308" s="4741"/>
      <c r="K2308" s="4741"/>
      <c r="L2308" s="4741"/>
      <c r="M2308" s="4741"/>
      <c r="N2308" s="4742"/>
    </row>
    <row r="2309" spans="2:14" s="1391" customFormat="1" ht="15" x14ac:dyDescent="0.2">
      <c r="B2309" s="4737"/>
      <c r="C2309" s="4738"/>
      <c r="D2309" s="4738"/>
      <c r="E2309" s="4738"/>
      <c r="F2309" s="4738"/>
      <c r="G2309" s="4738"/>
      <c r="H2309" s="4738"/>
      <c r="I2309" s="4738"/>
      <c r="J2309" s="4738"/>
      <c r="K2309" s="4738"/>
      <c r="L2309" s="4738"/>
      <c r="M2309" s="4738"/>
      <c r="N2309" s="4739"/>
    </row>
    <row r="2310" spans="2:14" s="1391" customFormat="1" ht="15.75" x14ac:dyDescent="0.2">
      <c r="B2310" s="4743" t="s">
        <v>3414</v>
      </c>
      <c r="C2310" s="4744"/>
      <c r="D2310" s="4745"/>
      <c r="E2310" s="2046"/>
      <c r="F2310" s="2046"/>
      <c r="G2310" s="2046"/>
      <c r="H2310" s="2046"/>
      <c r="I2310" s="2046"/>
      <c r="J2310" s="2046"/>
      <c r="K2310" s="2046"/>
      <c r="L2310" s="2046"/>
      <c r="M2310" s="2046"/>
      <c r="N2310" s="2047"/>
    </row>
    <row r="2311" spans="2:14" s="1391" customFormat="1" ht="15" x14ac:dyDescent="0.2">
      <c r="B2311" s="4728" t="s">
        <v>1008</v>
      </c>
      <c r="C2311" s="4729"/>
      <c r="D2311" s="4729"/>
      <c r="E2311" s="4729"/>
      <c r="F2311" s="4729"/>
      <c r="G2311" s="4729"/>
      <c r="H2311" s="4729"/>
      <c r="I2311" s="4729"/>
      <c r="J2311" s="4729"/>
      <c r="K2311" s="4729"/>
      <c r="L2311" s="4729"/>
      <c r="M2311" s="4729"/>
      <c r="N2311" s="4730"/>
    </row>
    <row r="2312" spans="2:14" s="1391" customFormat="1" ht="15" x14ac:dyDescent="0.2">
      <c r="B2312" s="4716" t="s">
        <v>1009</v>
      </c>
      <c r="C2312" s="4711"/>
      <c r="D2312" s="4711"/>
      <c r="E2312" s="4711"/>
      <c r="F2312" s="4711"/>
      <c r="G2312" s="4711"/>
      <c r="H2312" s="4711"/>
      <c r="I2312" s="4711"/>
      <c r="J2312" s="4711"/>
      <c r="K2312" s="4711"/>
      <c r="L2312" s="4711"/>
      <c r="M2312" s="4711"/>
      <c r="N2312" s="4717"/>
    </row>
    <row r="2313" spans="2:14" s="1391" customFormat="1" ht="15" x14ac:dyDescent="0.2">
      <c r="B2313" s="2026"/>
      <c r="C2313" s="2027"/>
      <c r="D2313" s="2027">
        <v>1</v>
      </c>
      <c r="E2313" s="2027">
        <v>2</v>
      </c>
      <c r="F2313" s="2027">
        <v>3</v>
      </c>
      <c r="G2313" s="2027">
        <v>4</v>
      </c>
      <c r="H2313" s="2027">
        <v>5</v>
      </c>
      <c r="I2313" s="2027">
        <v>6</v>
      </c>
      <c r="J2313" s="2027">
        <v>7</v>
      </c>
      <c r="K2313" s="2027">
        <v>8</v>
      </c>
      <c r="L2313" s="2027">
        <v>9</v>
      </c>
      <c r="M2313" s="2027">
        <v>10</v>
      </c>
      <c r="N2313" s="2028"/>
    </row>
    <row r="2314" spans="2:14" s="1391" customFormat="1" ht="15" x14ac:dyDescent="0.2">
      <c r="B2314" s="2026">
        <v>10</v>
      </c>
      <c r="C2314" s="2027">
        <v>7.0010000000000003</v>
      </c>
      <c r="D2314" s="2037">
        <v>286</v>
      </c>
      <c r="E2314" s="2037">
        <v>309</v>
      </c>
      <c r="F2314" s="2037">
        <v>332</v>
      </c>
      <c r="G2314" s="2037">
        <v>354</v>
      </c>
      <c r="H2314" s="2037">
        <v>377</v>
      </c>
      <c r="I2314" s="2037">
        <v>400</v>
      </c>
      <c r="J2314" s="2038">
        <v>423</v>
      </c>
      <c r="K2314" s="2037">
        <v>446</v>
      </c>
      <c r="L2314" s="2037">
        <v>468</v>
      </c>
      <c r="M2314" s="2037">
        <v>491</v>
      </c>
      <c r="N2314" s="2028">
        <v>1</v>
      </c>
    </row>
    <row r="2315" spans="2:14" s="1391" customFormat="1" ht="15" x14ac:dyDescent="0.2">
      <c r="B2315" s="2026">
        <v>11</v>
      </c>
      <c r="C2315" s="2027">
        <v>7.593</v>
      </c>
      <c r="D2315" s="2037">
        <v>320</v>
      </c>
      <c r="E2315" s="2037">
        <v>345</v>
      </c>
      <c r="F2315" s="2037">
        <v>371</v>
      </c>
      <c r="G2315" s="2037">
        <v>396</v>
      </c>
      <c r="H2315" s="2037">
        <v>422</v>
      </c>
      <c r="I2315" s="2037">
        <v>447</v>
      </c>
      <c r="J2315" s="2037">
        <v>473</v>
      </c>
      <c r="K2315" s="2037">
        <v>498</v>
      </c>
      <c r="L2315" s="2037">
        <v>524</v>
      </c>
      <c r="M2315" s="2037">
        <v>549</v>
      </c>
      <c r="N2315" s="2028">
        <v>2</v>
      </c>
    </row>
    <row r="2316" spans="2:14" s="1391" customFormat="1" ht="15" x14ac:dyDescent="0.2">
      <c r="B2316" s="2026">
        <v>12</v>
      </c>
      <c r="C2316" s="2027">
        <v>8.2379999999999995</v>
      </c>
      <c r="D2316" s="2037">
        <v>357</v>
      </c>
      <c r="E2316" s="2037">
        <v>385</v>
      </c>
      <c r="F2316" s="2037">
        <v>413</v>
      </c>
      <c r="G2316" s="2037">
        <v>442</v>
      </c>
      <c r="H2316" s="2037">
        <v>470</v>
      </c>
      <c r="I2316" s="2037">
        <v>499</v>
      </c>
      <c r="J2316" s="2037">
        <v>527</v>
      </c>
      <c r="K2316" s="2037">
        <v>555</v>
      </c>
      <c r="L2316" s="2037">
        <v>584</v>
      </c>
      <c r="M2316" s="2037">
        <v>612</v>
      </c>
      <c r="N2316" s="2028">
        <v>3</v>
      </c>
    </row>
    <row r="2317" spans="2:14" s="1391" customFormat="1" ht="15" x14ac:dyDescent="0.2">
      <c r="B2317" s="2026">
        <v>13</v>
      </c>
      <c r="C2317" s="2027">
        <v>8.9239999999999995</v>
      </c>
      <c r="D2317" s="2037">
        <v>395</v>
      </c>
      <c r="E2317" s="2037">
        <v>426</v>
      </c>
      <c r="F2317" s="2037">
        <v>458</v>
      </c>
      <c r="G2317" s="2037">
        <v>489</v>
      </c>
      <c r="H2317" s="2037">
        <v>521</v>
      </c>
      <c r="I2317" s="2037">
        <v>552</v>
      </c>
      <c r="J2317" s="2037">
        <v>584</v>
      </c>
      <c r="K2317" s="2037">
        <v>615</v>
      </c>
      <c r="L2317" s="2037">
        <v>647</v>
      </c>
      <c r="M2317" s="2037">
        <v>678</v>
      </c>
      <c r="N2317" s="2028">
        <v>4</v>
      </c>
    </row>
    <row r="2318" spans="2:14" s="1391" customFormat="1" ht="15" x14ac:dyDescent="0.2">
      <c r="B2318" s="2026">
        <v>14</v>
      </c>
      <c r="C2318" s="2027">
        <v>9.68</v>
      </c>
      <c r="D2318" s="2037">
        <v>437</v>
      </c>
      <c r="E2318" s="2037">
        <v>472</v>
      </c>
      <c r="F2318" s="2037">
        <v>507</v>
      </c>
      <c r="G2318" s="2037">
        <v>541</v>
      </c>
      <c r="H2318" s="2037">
        <v>576</v>
      </c>
      <c r="I2318" s="2037">
        <v>611</v>
      </c>
      <c r="J2318" s="2037">
        <v>646</v>
      </c>
      <c r="K2318" s="2037">
        <v>681</v>
      </c>
      <c r="L2318" s="2037">
        <v>715</v>
      </c>
      <c r="M2318" s="2037">
        <v>750</v>
      </c>
      <c r="N2318" s="2028">
        <v>5</v>
      </c>
    </row>
    <row r="2319" spans="2:14" s="1391" customFormat="1" ht="15" x14ac:dyDescent="0.2">
      <c r="B2319" s="2026">
        <v>15</v>
      </c>
      <c r="C2319" s="2027">
        <v>10.497999999999999</v>
      </c>
      <c r="D2319" s="2037">
        <v>482</v>
      </c>
      <c r="E2319" s="2037">
        <v>520</v>
      </c>
      <c r="F2319" s="2037">
        <v>558</v>
      </c>
      <c r="G2319" s="2037">
        <v>597</v>
      </c>
      <c r="H2319" s="2037">
        <v>635</v>
      </c>
      <c r="I2319" s="2037">
        <v>674</v>
      </c>
      <c r="J2319" s="2037">
        <v>712</v>
      </c>
      <c r="K2319" s="2037">
        <v>750</v>
      </c>
      <c r="L2319" s="2038">
        <v>779</v>
      </c>
      <c r="M2319" s="2037">
        <v>827</v>
      </c>
      <c r="N2319" s="2028">
        <v>6</v>
      </c>
    </row>
    <row r="2320" spans="2:14" s="1391" customFormat="1" ht="15" x14ac:dyDescent="0.2">
      <c r="B2320" s="4716" t="s">
        <v>1010</v>
      </c>
      <c r="C2320" s="4711"/>
      <c r="D2320" s="4711"/>
      <c r="E2320" s="4711"/>
      <c r="F2320" s="4711"/>
      <c r="G2320" s="4711"/>
      <c r="H2320" s="4711"/>
      <c r="I2320" s="4711"/>
      <c r="J2320" s="4711"/>
      <c r="K2320" s="4711"/>
      <c r="L2320" s="4711"/>
      <c r="M2320" s="4711"/>
      <c r="N2320" s="4717"/>
    </row>
    <row r="2321" spans="2:14" s="1391" customFormat="1" ht="15" x14ac:dyDescent="0.2">
      <c r="B2321" s="2026"/>
      <c r="C2321" s="2027"/>
      <c r="D2321" s="2027">
        <v>1</v>
      </c>
      <c r="E2321" s="2027">
        <v>2</v>
      </c>
      <c r="F2321" s="2027">
        <v>3</v>
      </c>
      <c r="G2321" s="2027">
        <v>4</v>
      </c>
      <c r="H2321" s="2027">
        <v>5</v>
      </c>
      <c r="I2321" s="2027">
        <v>6</v>
      </c>
      <c r="J2321" s="2027">
        <v>7</v>
      </c>
      <c r="K2321" s="2027">
        <v>8</v>
      </c>
      <c r="L2321" s="2027">
        <v>9</v>
      </c>
      <c r="M2321" s="2027">
        <v>10</v>
      </c>
      <c r="N2321" s="2028"/>
    </row>
    <row r="2322" spans="2:14" s="1391" customFormat="1" ht="15" x14ac:dyDescent="0.2">
      <c r="B2322" s="2026">
        <v>10</v>
      </c>
      <c r="C2322" s="2027">
        <v>7.3460000000000001</v>
      </c>
      <c r="D2322" s="2037">
        <v>307</v>
      </c>
      <c r="E2322" s="2037">
        <v>332</v>
      </c>
      <c r="F2322" s="2037">
        <v>356</v>
      </c>
      <c r="G2322" s="2037">
        <v>381</v>
      </c>
      <c r="H2322" s="2037">
        <v>405</v>
      </c>
      <c r="I2322" s="2037">
        <v>429</v>
      </c>
      <c r="J2322" s="2037">
        <v>454</v>
      </c>
      <c r="K2322" s="2037">
        <v>478</v>
      </c>
      <c r="L2322" s="2037">
        <v>503</v>
      </c>
      <c r="M2322" s="2037">
        <v>527</v>
      </c>
      <c r="N2322" s="2028">
        <v>7</v>
      </c>
    </row>
    <row r="2323" spans="2:14" s="1391" customFormat="1" ht="15" x14ac:dyDescent="0.2">
      <c r="B2323" s="2026">
        <v>11</v>
      </c>
      <c r="C2323" s="2027">
        <v>8.0020000000000007</v>
      </c>
      <c r="D2323" s="2037">
        <v>345</v>
      </c>
      <c r="E2323" s="2037">
        <v>373</v>
      </c>
      <c r="F2323" s="2037">
        <v>400</v>
      </c>
      <c r="G2323" s="2037">
        <v>428</v>
      </c>
      <c r="H2323" s="2037">
        <v>455</v>
      </c>
      <c r="I2323" s="2037">
        <v>473</v>
      </c>
      <c r="J2323" s="2037">
        <v>510</v>
      </c>
      <c r="K2323" s="2037">
        <v>538</v>
      </c>
      <c r="L2323" s="2037">
        <v>565</v>
      </c>
      <c r="M2323" s="2037">
        <v>593</v>
      </c>
      <c r="N2323" s="2028">
        <v>8</v>
      </c>
    </row>
    <row r="2324" spans="2:14" s="1391" customFormat="1" ht="15" x14ac:dyDescent="0.2">
      <c r="B2324" s="2026">
        <v>12</v>
      </c>
      <c r="C2324" s="2027">
        <v>8.7219999999999995</v>
      </c>
      <c r="D2324" s="2037">
        <v>386</v>
      </c>
      <c r="E2324" s="2037">
        <v>417</v>
      </c>
      <c r="F2324" s="2037">
        <v>448</v>
      </c>
      <c r="G2324" s="2037">
        <v>479</v>
      </c>
      <c r="H2324" s="2037">
        <v>510</v>
      </c>
      <c r="I2324" s="2037">
        <v>540</v>
      </c>
      <c r="J2324" s="2037">
        <v>571</v>
      </c>
      <c r="K2324" s="2037">
        <v>602</v>
      </c>
      <c r="L2324" s="2037">
        <v>633</v>
      </c>
      <c r="M2324" s="2037">
        <v>664</v>
      </c>
      <c r="N2324" s="2028">
        <v>9</v>
      </c>
    </row>
    <row r="2325" spans="2:14" s="1391" customFormat="1" ht="15" x14ac:dyDescent="0.2">
      <c r="B2325" s="2026">
        <v>13</v>
      </c>
      <c r="C2325" s="2027">
        <v>9.4939999999999998</v>
      </c>
      <c r="D2325" s="2037">
        <v>430</v>
      </c>
      <c r="E2325" s="2037">
        <v>465</v>
      </c>
      <c r="F2325" s="2037">
        <v>499</v>
      </c>
      <c r="G2325" s="2037">
        <v>533</v>
      </c>
      <c r="H2325" s="2037">
        <v>568</v>
      </c>
      <c r="I2325" s="2037">
        <v>602</v>
      </c>
      <c r="J2325" s="2037">
        <v>629</v>
      </c>
      <c r="K2325" s="2037">
        <v>671</v>
      </c>
      <c r="L2325" s="2037">
        <v>705</v>
      </c>
      <c r="M2325" s="2037">
        <v>739</v>
      </c>
      <c r="N2325" s="2028">
        <v>10</v>
      </c>
    </row>
    <row r="2326" spans="2:14" s="1391" customFormat="1" ht="15" x14ac:dyDescent="0.2">
      <c r="B2326" s="2026">
        <v>14</v>
      </c>
      <c r="C2326" s="2027">
        <v>10.353999999999999</v>
      </c>
      <c r="D2326" s="2037">
        <v>479</v>
      </c>
      <c r="E2326" s="2037">
        <v>517</v>
      </c>
      <c r="F2326" s="2037">
        <v>555</v>
      </c>
      <c r="G2326" s="2037">
        <v>593</v>
      </c>
      <c r="H2326" s="2037">
        <v>632</v>
      </c>
      <c r="I2326" s="2037">
        <v>670</v>
      </c>
      <c r="J2326" s="2037">
        <v>708</v>
      </c>
      <c r="K2326" s="2037">
        <v>746</v>
      </c>
      <c r="L2326" s="2037">
        <v>784</v>
      </c>
      <c r="M2326" s="2037">
        <v>822</v>
      </c>
      <c r="N2326" s="2028">
        <v>11</v>
      </c>
    </row>
    <row r="2327" spans="2:14" s="1391" customFormat="1" ht="15" x14ac:dyDescent="0.2">
      <c r="B2327" s="2026">
        <v>15</v>
      </c>
      <c r="C2327" s="2027">
        <v>11.292</v>
      </c>
      <c r="D2327" s="2037">
        <v>531</v>
      </c>
      <c r="E2327" s="2037">
        <v>574</v>
      </c>
      <c r="F2327" s="2037">
        <v>616</v>
      </c>
      <c r="G2327" s="2037">
        <v>658</v>
      </c>
      <c r="H2327" s="2037">
        <v>701</v>
      </c>
      <c r="I2327" s="2037">
        <v>743</v>
      </c>
      <c r="J2327" s="2037">
        <v>785</v>
      </c>
      <c r="K2327" s="2037">
        <v>828</v>
      </c>
      <c r="L2327" s="2037">
        <v>870</v>
      </c>
      <c r="M2327" s="2037">
        <v>912</v>
      </c>
      <c r="N2327" s="2028">
        <v>12</v>
      </c>
    </row>
    <row r="2328" spans="2:14" s="1391" customFormat="1" ht="15" x14ac:dyDescent="0.2">
      <c r="B2328" s="4716" t="s">
        <v>2459</v>
      </c>
      <c r="C2328" s="4711"/>
      <c r="D2328" s="4711"/>
      <c r="E2328" s="4711"/>
      <c r="F2328" s="4711"/>
      <c r="G2328" s="4711"/>
      <c r="H2328" s="4711"/>
      <c r="I2328" s="4711"/>
      <c r="J2328" s="4711"/>
      <c r="K2328" s="4711"/>
      <c r="L2328" s="4711"/>
      <c r="M2328" s="4711"/>
      <c r="N2328" s="4717"/>
    </row>
    <row r="2329" spans="2:14" s="1391" customFormat="1" ht="15" x14ac:dyDescent="0.2">
      <c r="B2329" s="2026"/>
      <c r="C2329" s="2027"/>
      <c r="D2329" s="2027">
        <v>1</v>
      </c>
      <c r="E2329" s="2027">
        <v>2</v>
      </c>
      <c r="F2329" s="2027">
        <v>3</v>
      </c>
      <c r="G2329" s="2027">
        <v>4</v>
      </c>
      <c r="H2329" s="2027">
        <v>5</v>
      </c>
      <c r="I2329" s="2027">
        <v>6</v>
      </c>
      <c r="J2329" s="2027">
        <v>7</v>
      </c>
      <c r="K2329" s="2027">
        <v>8</v>
      </c>
      <c r="L2329" s="2027">
        <v>9</v>
      </c>
      <c r="M2329" s="2027">
        <v>10</v>
      </c>
      <c r="N2329" s="2028"/>
    </row>
    <row r="2330" spans="2:14" s="1391" customFormat="1" ht="15" x14ac:dyDescent="0.2">
      <c r="B2330" s="2026">
        <v>10</v>
      </c>
      <c r="C2330" s="2027">
        <v>7.5519999999999996</v>
      </c>
      <c r="D2330" s="2037">
        <v>319</v>
      </c>
      <c r="E2330" s="2037">
        <v>345</v>
      </c>
      <c r="F2330" s="2037">
        <v>370</v>
      </c>
      <c r="G2330" s="2037">
        <v>396</v>
      </c>
      <c r="H2330" s="2037">
        <v>421</v>
      </c>
      <c r="I2330" s="2037">
        <v>447</v>
      </c>
      <c r="J2330" s="2037">
        <v>472</v>
      </c>
      <c r="K2330" s="2037">
        <v>497</v>
      </c>
      <c r="L2330" s="2037">
        <v>523</v>
      </c>
      <c r="M2330" s="2037">
        <v>548</v>
      </c>
      <c r="N2330" s="2028">
        <v>13</v>
      </c>
    </row>
    <row r="2331" spans="2:14" s="1391" customFormat="1" ht="15" x14ac:dyDescent="0.2">
      <c r="B2331" s="2026">
        <v>11</v>
      </c>
      <c r="C2331" s="2027">
        <v>8.2479999999999993</v>
      </c>
      <c r="D2331" s="2037">
        <v>360</v>
      </c>
      <c r="E2331" s="2037">
        <v>389</v>
      </c>
      <c r="F2331" s="2037">
        <v>417</v>
      </c>
      <c r="G2331" s="2037">
        <v>446</v>
      </c>
      <c r="H2331" s="2037">
        <v>475</v>
      </c>
      <c r="I2331" s="2037">
        <v>503</v>
      </c>
      <c r="J2331" s="2037">
        <v>532</v>
      </c>
      <c r="K2331" s="2037">
        <v>561</v>
      </c>
      <c r="L2331" s="2037">
        <v>589</v>
      </c>
      <c r="M2331" s="2040">
        <v>618</v>
      </c>
      <c r="N2331" s="2028">
        <v>14</v>
      </c>
    </row>
    <row r="2332" spans="2:14" s="1391" customFormat="1" ht="15" x14ac:dyDescent="0.2">
      <c r="B2332" s="2026">
        <v>12</v>
      </c>
      <c r="C2332" s="2027">
        <v>9.0150000000000006</v>
      </c>
      <c r="D2332" s="2037">
        <v>404</v>
      </c>
      <c r="E2332" s="2037">
        <v>436</v>
      </c>
      <c r="F2332" s="2037">
        <v>469</v>
      </c>
      <c r="G2332" s="2037">
        <v>501</v>
      </c>
      <c r="H2332" s="2037">
        <v>533</v>
      </c>
      <c r="I2332" s="2037">
        <v>565</v>
      </c>
      <c r="J2332" s="2037">
        <v>597</v>
      </c>
      <c r="K2332" s="2037">
        <v>630</v>
      </c>
      <c r="L2332" s="2037">
        <v>662</v>
      </c>
      <c r="M2332" s="2040">
        <v>699</v>
      </c>
      <c r="N2332" s="2028">
        <v>15</v>
      </c>
    </row>
    <row r="2333" spans="2:14" s="1391" customFormat="1" ht="15" x14ac:dyDescent="0.2">
      <c r="B2333" s="2026">
        <v>13</v>
      </c>
      <c r="C2333" s="2027">
        <v>9.8420000000000005</v>
      </c>
      <c r="D2333" s="2048">
        <v>452</v>
      </c>
      <c r="E2333" s="2048">
        <v>488</v>
      </c>
      <c r="F2333" s="2048">
        <v>524</v>
      </c>
      <c r="G2333" s="2048">
        <v>559</v>
      </c>
      <c r="H2333" s="2048">
        <v>595</v>
      </c>
      <c r="I2333" s="2048">
        <v>631</v>
      </c>
      <c r="J2333" s="2048">
        <v>667</v>
      </c>
      <c r="K2333" s="2048">
        <v>703</v>
      </c>
      <c r="L2333" s="2048">
        <v>739</v>
      </c>
      <c r="M2333" s="2048">
        <v>775</v>
      </c>
      <c r="N2333" s="2028">
        <v>16</v>
      </c>
    </row>
    <row r="2334" spans="2:14" s="1391" customFormat="1" ht="15" x14ac:dyDescent="0.2">
      <c r="B2334" s="2026">
        <v>14</v>
      </c>
      <c r="C2334" s="2027">
        <v>10.786</v>
      </c>
      <c r="D2334" s="2037">
        <v>504</v>
      </c>
      <c r="E2334" s="2037">
        <v>544</v>
      </c>
      <c r="F2334" s="2037">
        <v>584</v>
      </c>
      <c r="G2334" s="2037">
        <v>625</v>
      </c>
      <c r="H2334" s="2037">
        <v>665</v>
      </c>
      <c r="I2334" s="2037">
        <v>705</v>
      </c>
      <c r="J2334" s="2037">
        <v>745</v>
      </c>
      <c r="K2334" s="2037">
        <v>785</v>
      </c>
      <c r="L2334" s="2037">
        <v>825</v>
      </c>
      <c r="M2334" s="2037">
        <v>866</v>
      </c>
      <c r="N2334" s="2028">
        <v>17</v>
      </c>
    </row>
    <row r="2335" spans="2:14" s="1391" customFormat="1" ht="15" x14ac:dyDescent="0.2">
      <c r="B2335" s="2026">
        <v>15</v>
      </c>
      <c r="C2335" s="2027">
        <v>11.785</v>
      </c>
      <c r="D2335" s="2024">
        <v>561</v>
      </c>
      <c r="E2335" s="2037">
        <v>606</v>
      </c>
      <c r="F2335" s="2037">
        <v>651</v>
      </c>
      <c r="G2335" s="2037">
        <v>696</v>
      </c>
      <c r="H2335" s="2037">
        <v>740</v>
      </c>
      <c r="I2335" s="2037">
        <v>785</v>
      </c>
      <c r="J2335" s="2037">
        <v>830</v>
      </c>
      <c r="K2335" s="2037">
        <v>874</v>
      </c>
      <c r="L2335" s="2037">
        <v>919</v>
      </c>
      <c r="M2335" s="2037">
        <v>964</v>
      </c>
      <c r="N2335" s="2028">
        <v>18</v>
      </c>
    </row>
    <row r="2336" spans="2:14" s="1391" customFormat="1" ht="15" x14ac:dyDescent="0.2">
      <c r="B2336" s="4728" t="s">
        <v>2460</v>
      </c>
      <c r="C2336" s="4729"/>
      <c r="D2336" s="4729"/>
      <c r="E2336" s="4729"/>
      <c r="F2336" s="4729"/>
      <c r="G2336" s="4729"/>
      <c r="H2336" s="4729"/>
      <c r="I2336" s="4729"/>
      <c r="J2336" s="4729"/>
      <c r="K2336" s="4729"/>
      <c r="L2336" s="4729"/>
      <c r="M2336" s="4729"/>
      <c r="N2336" s="4730"/>
    </row>
    <row r="2337" spans="2:14" s="1391" customFormat="1" ht="15" x14ac:dyDescent="0.2">
      <c r="B2337" s="4716" t="s">
        <v>1009</v>
      </c>
      <c r="C2337" s="4711"/>
      <c r="D2337" s="4711"/>
      <c r="E2337" s="4711"/>
      <c r="F2337" s="4711"/>
      <c r="G2337" s="4711"/>
      <c r="H2337" s="4711"/>
      <c r="I2337" s="4711"/>
      <c r="J2337" s="4711"/>
      <c r="K2337" s="4711"/>
      <c r="L2337" s="4711"/>
      <c r="M2337" s="4711"/>
      <c r="N2337" s="4717"/>
    </row>
    <row r="2338" spans="2:14" s="1391" customFormat="1" ht="15" x14ac:dyDescent="0.2">
      <c r="B2338" s="2026"/>
      <c r="C2338" s="2027"/>
      <c r="D2338" s="2027">
        <v>1</v>
      </c>
      <c r="E2338" s="2027">
        <v>2</v>
      </c>
      <c r="F2338" s="2027">
        <v>3</v>
      </c>
      <c r="G2338" s="2027">
        <v>4</v>
      </c>
      <c r="H2338" s="2027">
        <v>5</v>
      </c>
      <c r="I2338" s="2027">
        <v>6</v>
      </c>
      <c r="J2338" s="2027">
        <v>7</v>
      </c>
      <c r="K2338" s="2027">
        <v>8</v>
      </c>
      <c r="L2338" s="2027">
        <v>9</v>
      </c>
      <c r="M2338" s="2027">
        <v>10</v>
      </c>
      <c r="N2338" s="2028"/>
    </row>
    <row r="2339" spans="2:14" s="1391" customFormat="1" ht="15" x14ac:dyDescent="0.2">
      <c r="B2339" s="2026">
        <v>10</v>
      </c>
      <c r="C2339" s="2027">
        <v>7.0010000000000003</v>
      </c>
      <c r="D2339" s="2037">
        <v>264</v>
      </c>
      <c r="E2339" s="2037">
        <v>283</v>
      </c>
      <c r="F2339" s="2037">
        <v>302</v>
      </c>
      <c r="G2339" s="2037">
        <v>321</v>
      </c>
      <c r="H2339" s="2037">
        <v>340</v>
      </c>
      <c r="I2339" s="2037">
        <v>358</v>
      </c>
      <c r="J2339" s="2037">
        <v>376</v>
      </c>
      <c r="K2339" s="2037">
        <v>394</v>
      </c>
      <c r="L2339" s="2037">
        <v>412</v>
      </c>
      <c r="M2339" s="2037">
        <v>430</v>
      </c>
      <c r="N2339" s="2028">
        <v>19</v>
      </c>
    </row>
    <row r="2340" spans="2:14" s="1391" customFormat="1" ht="15" x14ac:dyDescent="0.2">
      <c r="B2340" s="2026">
        <v>11</v>
      </c>
      <c r="C2340" s="2027">
        <v>7.593</v>
      </c>
      <c r="D2340" s="2037">
        <v>293</v>
      </c>
      <c r="E2340" s="2037">
        <v>314</v>
      </c>
      <c r="F2340" s="2037">
        <v>335</v>
      </c>
      <c r="G2340" s="2037">
        <v>355</v>
      </c>
      <c r="H2340" s="2037">
        <v>376</v>
      </c>
      <c r="I2340" s="2037">
        <v>396</v>
      </c>
      <c r="J2340" s="2037">
        <v>416</v>
      </c>
      <c r="K2340" s="2037">
        <v>435</v>
      </c>
      <c r="L2340" s="2037">
        <v>455</v>
      </c>
      <c r="M2340" s="2037">
        <v>474</v>
      </c>
      <c r="N2340" s="2028">
        <v>20</v>
      </c>
    </row>
    <row r="2341" spans="2:14" s="1391" customFormat="1" ht="15" x14ac:dyDescent="0.2">
      <c r="B2341" s="2026">
        <v>12</v>
      </c>
      <c r="C2341" s="2027">
        <v>8.2379999999999995</v>
      </c>
      <c r="D2341" s="2037">
        <v>323</v>
      </c>
      <c r="E2341" s="2037">
        <v>346</v>
      </c>
      <c r="F2341" s="2037">
        <v>369</v>
      </c>
      <c r="G2341" s="2037">
        <v>391</v>
      </c>
      <c r="H2341" s="2037">
        <v>414</v>
      </c>
      <c r="I2341" s="2037">
        <v>435</v>
      </c>
      <c r="J2341" s="2037">
        <v>457</v>
      </c>
      <c r="K2341" s="2037">
        <v>478</v>
      </c>
      <c r="L2341" s="2037">
        <v>499</v>
      </c>
      <c r="M2341" s="2037">
        <v>520</v>
      </c>
      <c r="N2341" s="2028">
        <v>21</v>
      </c>
    </row>
    <row r="2342" spans="2:14" s="1391" customFormat="1" ht="15" x14ac:dyDescent="0.2">
      <c r="B2342" s="2026">
        <v>13</v>
      </c>
      <c r="C2342" s="2027">
        <v>8.9239999999999995</v>
      </c>
      <c r="D2342" s="2037">
        <v>354</v>
      </c>
      <c r="E2342" s="2037">
        <v>379</v>
      </c>
      <c r="F2342" s="2037">
        <v>404</v>
      </c>
      <c r="G2342" s="2037">
        <v>428</v>
      </c>
      <c r="H2342" s="2037">
        <v>452</v>
      </c>
      <c r="I2342" s="2037">
        <v>476</v>
      </c>
      <c r="J2342" s="2037">
        <v>499</v>
      </c>
      <c r="K2342" s="2037">
        <v>522</v>
      </c>
      <c r="L2342" s="2037">
        <v>544</v>
      </c>
      <c r="M2342" s="2037">
        <v>566</v>
      </c>
      <c r="N2342" s="2028">
        <v>22</v>
      </c>
    </row>
    <row r="2343" spans="2:14" s="1391" customFormat="1" ht="15" x14ac:dyDescent="0.2">
      <c r="B2343" s="2026">
        <v>14</v>
      </c>
      <c r="C2343" s="2027">
        <v>9.68</v>
      </c>
      <c r="D2343" s="2037">
        <v>388</v>
      </c>
      <c r="E2343" s="2037">
        <v>415</v>
      </c>
      <c r="F2343" s="2037">
        <v>441</v>
      </c>
      <c r="G2343" s="2037">
        <v>468</v>
      </c>
      <c r="H2343" s="2037">
        <v>493</v>
      </c>
      <c r="I2343" s="2037">
        <v>519</v>
      </c>
      <c r="J2343" s="2037">
        <v>544</v>
      </c>
      <c r="K2343" s="2037">
        <v>568</v>
      </c>
      <c r="L2343" s="2037">
        <v>592</v>
      </c>
      <c r="M2343" s="2037">
        <v>616</v>
      </c>
      <c r="N2343" s="2028">
        <v>23</v>
      </c>
    </row>
    <row r="2344" spans="2:14" s="1391" customFormat="1" ht="15" x14ac:dyDescent="0.2">
      <c r="B2344" s="2026">
        <v>15</v>
      </c>
      <c r="C2344" s="2027">
        <v>10.497999999999999</v>
      </c>
      <c r="D2344" s="2037">
        <v>422</v>
      </c>
      <c r="E2344" s="2037">
        <v>452</v>
      </c>
      <c r="F2344" s="2037">
        <v>480</v>
      </c>
      <c r="G2344" s="2037">
        <v>508</v>
      </c>
      <c r="H2344" s="2037">
        <v>536</v>
      </c>
      <c r="I2344" s="2037">
        <v>563</v>
      </c>
      <c r="J2344" s="2037">
        <v>590</v>
      </c>
      <c r="K2344" s="2037">
        <v>616</v>
      </c>
      <c r="L2344" s="2037">
        <v>641</v>
      </c>
      <c r="M2344" s="2037">
        <v>666</v>
      </c>
      <c r="N2344" s="2028">
        <v>24</v>
      </c>
    </row>
    <row r="2345" spans="2:14" s="1391" customFormat="1" ht="15" x14ac:dyDescent="0.2">
      <c r="B2345" s="4716" t="s">
        <v>1010</v>
      </c>
      <c r="C2345" s="4711"/>
      <c r="D2345" s="4711"/>
      <c r="E2345" s="4711"/>
      <c r="F2345" s="4711"/>
      <c r="G2345" s="4711"/>
      <c r="H2345" s="4711"/>
      <c r="I2345" s="4711"/>
      <c r="J2345" s="4711"/>
      <c r="K2345" s="4711"/>
      <c r="L2345" s="4711"/>
      <c r="M2345" s="4711"/>
      <c r="N2345" s="4717"/>
    </row>
    <row r="2346" spans="2:14" s="1391" customFormat="1" ht="15" x14ac:dyDescent="0.2">
      <c r="B2346" s="2026"/>
      <c r="C2346" s="2027"/>
      <c r="D2346" s="2027">
        <v>1</v>
      </c>
      <c r="E2346" s="2027">
        <v>2</v>
      </c>
      <c r="F2346" s="2027">
        <v>3</v>
      </c>
      <c r="G2346" s="2027">
        <v>4</v>
      </c>
      <c r="H2346" s="2027">
        <v>5</v>
      </c>
      <c r="I2346" s="2027">
        <v>6</v>
      </c>
      <c r="J2346" s="2027">
        <v>7</v>
      </c>
      <c r="K2346" s="2027">
        <v>8</v>
      </c>
      <c r="L2346" s="2027">
        <v>9</v>
      </c>
      <c r="M2346" s="2027">
        <v>10</v>
      </c>
      <c r="N2346" s="2028"/>
    </row>
    <row r="2347" spans="2:14" s="1391" customFormat="1" ht="15" x14ac:dyDescent="0.2">
      <c r="B2347" s="2026">
        <v>10</v>
      </c>
      <c r="C2347" s="2027">
        <v>7.3460000000000001</v>
      </c>
      <c r="D2347" s="2027">
        <v>282</v>
      </c>
      <c r="E2347" s="2027">
        <v>302</v>
      </c>
      <c r="F2347" s="2027">
        <v>323</v>
      </c>
      <c r="G2347" s="2027">
        <v>343</v>
      </c>
      <c r="H2347" s="2027">
        <v>362</v>
      </c>
      <c r="I2347" s="2027">
        <v>382</v>
      </c>
      <c r="J2347" s="2027">
        <v>401</v>
      </c>
      <c r="K2347" s="2027">
        <v>420</v>
      </c>
      <c r="L2347" s="2027">
        <v>439</v>
      </c>
      <c r="M2347" s="2027">
        <v>457</v>
      </c>
      <c r="N2347" s="2028">
        <v>25</v>
      </c>
    </row>
    <row r="2348" spans="2:14" s="1391" customFormat="1" ht="15" x14ac:dyDescent="0.2">
      <c r="B2348" s="2026">
        <v>11</v>
      </c>
      <c r="C2348" s="2027">
        <v>8.0020000000000007</v>
      </c>
      <c r="D2348" s="2027">
        <v>314</v>
      </c>
      <c r="E2348" s="2027">
        <v>336</v>
      </c>
      <c r="F2348" s="2027">
        <v>358</v>
      </c>
      <c r="G2348" s="2027">
        <v>380</v>
      </c>
      <c r="H2348" s="2027">
        <v>402</v>
      </c>
      <c r="I2348" s="2027">
        <v>423</v>
      </c>
      <c r="J2348" s="2027">
        <v>444</v>
      </c>
      <c r="K2348" s="2027">
        <v>465</v>
      </c>
      <c r="L2348" s="2027">
        <v>485</v>
      </c>
      <c r="M2348" s="2027">
        <v>505</v>
      </c>
      <c r="N2348" s="2028">
        <v>26</v>
      </c>
    </row>
    <row r="2349" spans="2:14" s="1391" customFormat="1" ht="15" x14ac:dyDescent="0.2">
      <c r="B2349" s="2026">
        <v>12</v>
      </c>
      <c r="C2349" s="2027">
        <v>8.7219999999999995</v>
      </c>
      <c r="D2349" s="2027">
        <v>347</v>
      </c>
      <c r="E2349" s="2027">
        <v>372</v>
      </c>
      <c r="F2349" s="2027">
        <v>396</v>
      </c>
      <c r="G2349" s="2027">
        <v>420</v>
      </c>
      <c r="H2349" s="2027">
        <v>444</v>
      </c>
      <c r="I2349" s="2027">
        <v>467</v>
      </c>
      <c r="J2349" s="2027">
        <v>490</v>
      </c>
      <c r="K2349" s="2027">
        <v>512</v>
      </c>
      <c r="L2349" s="2027">
        <v>534</v>
      </c>
      <c r="M2349" s="2027">
        <v>556</v>
      </c>
      <c r="N2349" s="2028">
        <v>27</v>
      </c>
    </row>
    <row r="2350" spans="2:14" s="1391" customFormat="1" ht="15" x14ac:dyDescent="0.2">
      <c r="B2350" s="2026">
        <v>13</v>
      </c>
      <c r="C2350" s="2027">
        <v>9.4939999999999998</v>
      </c>
      <c r="D2350" s="2027">
        <v>382</v>
      </c>
      <c r="E2350" s="2027">
        <v>409</v>
      </c>
      <c r="F2350" s="2027">
        <v>436</v>
      </c>
      <c r="G2350" s="2027">
        <v>462</v>
      </c>
      <c r="H2350" s="2027">
        <v>487</v>
      </c>
      <c r="I2350" s="2027">
        <v>512</v>
      </c>
      <c r="J2350" s="2027">
        <v>537</v>
      </c>
      <c r="K2350" s="2027">
        <v>561</v>
      </c>
      <c r="L2350" s="2027">
        <v>585</v>
      </c>
      <c r="M2350" s="2027">
        <v>608</v>
      </c>
      <c r="N2350" s="2028">
        <v>28</v>
      </c>
    </row>
    <row r="2351" spans="2:14" s="1391" customFormat="1" ht="15" x14ac:dyDescent="0.2">
      <c r="B2351" s="2026">
        <v>14</v>
      </c>
      <c r="C2351" s="2027">
        <v>10.353999999999999</v>
      </c>
      <c r="D2351" s="2027">
        <v>420</v>
      </c>
      <c r="E2351" s="2027">
        <v>449</v>
      </c>
      <c r="F2351" s="2027">
        <v>478</v>
      </c>
      <c r="G2351" s="2027">
        <v>506</v>
      </c>
      <c r="H2351" s="2027">
        <v>533</v>
      </c>
      <c r="I2351" s="2027">
        <v>560</v>
      </c>
      <c r="J2351" s="2027">
        <v>587</v>
      </c>
      <c r="K2351" s="2027">
        <v>613</v>
      </c>
      <c r="L2351" s="2027">
        <v>638</v>
      </c>
      <c r="M2351" s="2027">
        <v>663</v>
      </c>
      <c r="N2351" s="2028">
        <v>29</v>
      </c>
    </row>
    <row r="2352" spans="2:14" s="1391" customFormat="1" ht="15" x14ac:dyDescent="0.2">
      <c r="B2352" s="2026">
        <v>15</v>
      </c>
      <c r="C2352" s="2027">
        <v>11.292</v>
      </c>
      <c r="D2352" s="2027">
        <v>460</v>
      </c>
      <c r="E2352" s="2027">
        <v>491</v>
      </c>
      <c r="F2352" s="2027">
        <v>522</v>
      </c>
      <c r="G2352" s="2027">
        <v>552</v>
      </c>
      <c r="H2352" s="2027">
        <v>582</v>
      </c>
      <c r="I2352" s="2027">
        <v>611</v>
      </c>
      <c r="J2352" s="2027">
        <v>639</v>
      </c>
      <c r="K2352" s="2027">
        <v>667</v>
      </c>
      <c r="L2352" s="2027">
        <v>694</v>
      </c>
      <c r="M2352" s="2027">
        <v>721</v>
      </c>
      <c r="N2352" s="2028">
        <v>30</v>
      </c>
    </row>
    <row r="2353" spans="1:114" s="1391" customFormat="1" ht="15" x14ac:dyDescent="0.2">
      <c r="B2353" s="4716" t="s">
        <v>2459</v>
      </c>
      <c r="C2353" s="4711"/>
      <c r="D2353" s="4711"/>
      <c r="E2353" s="4711"/>
      <c r="F2353" s="4711"/>
      <c r="G2353" s="4711"/>
      <c r="H2353" s="4711"/>
      <c r="I2353" s="4711"/>
      <c r="J2353" s="4711"/>
      <c r="K2353" s="4711"/>
      <c r="L2353" s="4711"/>
      <c r="M2353" s="4711"/>
      <c r="N2353" s="4717"/>
    </row>
    <row r="2354" spans="1:114" s="1391" customFormat="1" ht="15" x14ac:dyDescent="0.2">
      <c r="B2354" s="2026"/>
      <c r="C2354" s="2027"/>
      <c r="D2354" s="2027">
        <v>1</v>
      </c>
      <c r="E2354" s="2027">
        <v>2</v>
      </c>
      <c r="F2354" s="2027">
        <v>3</v>
      </c>
      <c r="G2354" s="2027">
        <v>4</v>
      </c>
      <c r="H2354" s="2027">
        <v>5</v>
      </c>
      <c r="I2354" s="2027">
        <v>6</v>
      </c>
      <c r="J2354" s="2027">
        <v>7</v>
      </c>
      <c r="K2354" s="2027">
        <v>8</v>
      </c>
      <c r="L2354" s="2027">
        <v>9</v>
      </c>
      <c r="M2354" s="2027">
        <v>10</v>
      </c>
      <c r="N2354" s="2028"/>
    </row>
    <row r="2355" spans="1:114" s="1391" customFormat="1" ht="15" x14ac:dyDescent="0.2">
      <c r="B2355" s="2026">
        <v>10</v>
      </c>
      <c r="C2355" s="2027">
        <v>7.5519999999999996</v>
      </c>
      <c r="D2355" s="2027">
        <v>292</v>
      </c>
      <c r="E2355" s="2027">
        <v>313</v>
      </c>
      <c r="F2355" s="2027">
        <v>334</v>
      </c>
      <c r="G2355" s="2027">
        <v>355</v>
      </c>
      <c r="H2355" s="2027">
        <v>375</v>
      </c>
      <c r="I2355" s="2027">
        <v>395</v>
      </c>
      <c r="J2355" s="2027">
        <v>415</v>
      </c>
      <c r="K2355" s="2027">
        <v>434</v>
      </c>
      <c r="L2355" s="2027">
        <v>454</v>
      </c>
      <c r="M2355" s="2027">
        <v>473</v>
      </c>
      <c r="N2355" s="2028">
        <v>31</v>
      </c>
    </row>
    <row r="2356" spans="1:114" s="1391" customFormat="1" ht="15" x14ac:dyDescent="0.2">
      <c r="B2356" s="2026">
        <v>11</v>
      </c>
      <c r="C2356" s="2027">
        <v>8.2479999999999993</v>
      </c>
      <c r="D2356" s="2027">
        <v>326</v>
      </c>
      <c r="E2356" s="2027">
        <v>349</v>
      </c>
      <c r="F2356" s="2027">
        <v>372</v>
      </c>
      <c r="G2356" s="2027">
        <v>395</v>
      </c>
      <c r="H2356" s="2027">
        <v>417</v>
      </c>
      <c r="I2356" s="2027">
        <v>439</v>
      </c>
      <c r="J2356" s="2027">
        <v>461</v>
      </c>
      <c r="K2356" s="2027">
        <v>482</v>
      </c>
      <c r="L2356" s="2027">
        <v>503</v>
      </c>
      <c r="M2356" s="2027">
        <v>524</v>
      </c>
      <c r="N2356" s="2028">
        <v>32</v>
      </c>
    </row>
    <row r="2357" spans="1:114" s="1391" customFormat="1" ht="15" x14ac:dyDescent="0.2">
      <c r="B2357" s="2026">
        <v>12</v>
      </c>
      <c r="C2357" s="2027">
        <v>9.0150000000000006</v>
      </c>
      <c r="D2357" s="2027">
        <v>362</v>
      </c>
      <c r="E2357" s="2027">
        <v>387</v>
      </c>
      <c r="F2357" s="2027">
        <v>412</v>
      </c>
      <c r="G2357" s="2027">
        <v>437</v>
      </c>
      <c r="H2357" s="2027">
        <v>461</v>
      </c>
      <c r="I2357" s="2027">
        <v>485</v>
      </c>
      <c r="J2357" s="2027">
        <v>509</v>
      </c>
      <c r="K2357" s="2027">
        <v>532</v>
      </c>
      <c r="L2357" s="2027">
        <v>555</v>
      </c>
      <c r="M2357" s="2027">
        <v>577</v>
      </c>
      <c r="N2357" s="2028">
        <v>33</v>
      </c>
    </row>
    <row r="2358" spans="1:114" s="1391" customFormat="1" ht="15" x14ac:dyDescent="0.2">
      <c r="B2358" s="2026">
        <v>13</v>
      </c>
      <c r="C2358" s="2027">
        <v>9.8420000000000005</v>
      </c>
      <c r="D2358" s="2027">
        <v>399</v>
      </c>
      <c r="E2358" s="2027">
        <v>427</v>
      </c>
      <c r="F2358" s="2027">
        <v>454</v>
      </c>
      <c r="G2358" s="2027">
        <v>481</v>
      </c>
      <c r="H2358" s="2027">
        <v>507</v>
      </c>
      <c r="I2358" s="2027">
        <v>533</v>
      </c>
      <c r="J2358" s="2027">
        <v>559</v>
      </c>
      <c r="K2358" s="2027">
        <v>584</v>
      </c>
      <c r="L2358" s="2027">
        <v>608</v>
      </c>
      <c r="M2358" s="2027">
        <v>632</v>
      </c>
      <c r="N2358" s="2028">
        <v>34</v>
      </c>
    </row>
    <row r="2359" spans="1:114" s="1391" customFormat="1" ht="15" x14ac:dyDescent="0.2">
      <c r="B2359" s="2026">
        <v>14</v>
      </c>
      <c r="C2359" s="2027">
        <v>10.786</v>
      </c>
      <c r="D2359" s="2027">
        <v>440</v>
      </c>
      <c r="E2359" s="2027">
        <v>470</v>
      </c>
      <c r="F2359" s="2027">
        <v>499</v>
      </c>
      <c r="G2359" s="2027">
        <v>528</v>
      </c>
      <c r="H2359" s="2027">
        <v>557</v>
      </c>
      <c r="I2359" s="2027">
        <v>585</v>
      </c>
      <c r="J2359" s="2027">
        <v>612</v>
      </c>
      <c r="K2359" s="2027">
        <v>639</v>
      </c>
      <c r="L2359" s="2027">
        <v>665</v>
      </c>
      <c r="M2359" s="2027">
        <v>691</v>
      </c>
      <c r="N2359" s="2028">
        <v>35</v>
      </c>
    </row>
    <row r="2360" spans="1:114" s="1391" customFormat="1" ht="15.75" thickBot="1" x14ac:dyDescent="0.25">
      <c r="B2360" s="2030">
        <v>15</v>
      </c>
      <c r="C2360" s="2031">
        <v>11.785</v>
      </c>
      <c r="D2360" s="2031">
        <v>482</v>
      </c>
      <c r="E2360" s="2031">
        <v>515</v>
      </c>
      <c r="F2360" s="2031">
        <v>547</v>
      </c>
      <c r="G2360" s="2031">
        <v>578</v>
      </c>
      <c r="H2360" s="2031">
        <v>609</v>
      </c>
      <c r="I2360" s="2031">
        <v>639</v>
      </c>
      <c r="J2360" s="2031">
        <v>668</v>
      </c>
      <c r="K2360" s="2031">
        <v>697</v>
      </c>
      <c r="L2360" s="2031">
        <v>725</v>
      </c>
      <c r="M2360" s="2031">
        <v>752</v>
      </c>
      <c r="N2360" s="2032">
        <v>36</v>
      </c>
    </row>
    <row r="2361" spans="1:114" s="1391" customFormat="1" ht="15" x14ac:dyDescent="0.2">
      <c r="B2361"/>
      <c r="C2361"/>
      <c r="D2361"/>
      <c r="E2361"/>
      <c r="F2361"/>
      <c r="G2361"/>
      <c r="H2361"/>
      <c r="I2361"/>
      <c r="J2361"/>
      <c r="K2361"/>
      <c r="L2361"/>
      <c r="M2361"/>
      <c r="N2361"/>
    </row>
    <row r="2362" spans="1:114" s="1136" customFormat="1" ht="42" customHeight="1" x14ac:dyDescent="0.25">
      <c r="A2362" s="4746" t="s">
        <v>3415</v>
      </c>
      <c r="B2362" s="4747"/>
      <c r="C2362" s="46"/>
      <c r="D2362" s="825"/>
      <c r="E2362" s="825"/>
      <c r="F2362" s="825"/>
      <c r="G2362" s="825"/>
      <c r="H2362" s="1070"/>
      <c r="I2362" s="1070"/>
      <c r="J2362" s="1315"/>
      <c r="K2362" s="1316"/>
      <c r="L2362" s="1316"/>
      <c r="M2362" s="1315"/>
      <c r="N2362" s="1070"/>
      <c r="O2362" s="1070"/>
      <c r="P2362" s="1070"/>
      <c r="Q2362" s="1070"/>
      <c r="R2362" s="1070"/>
      <c r="S2362" s="1070"/>
      <c r="T2362" s="1070"/>
      <c r="U2362" s="1070"/>
      <c r="V2362" s="1070"/>
      <c r="W2362" s="1070"/>
      <c r="X2362" s="1070"/>
      <c r="Y2362" s="1070"/>
      <c r="Z2362" s="1070"/>
      <c r="AA2362" s="1070"/>
      <c r="AB2362" s="1070"/>
      <c r="AC2362" s="1070"/>
      <c r="AD2362" s="1070"/>
      <c r="AE2362" s="1070"/>
      <c r="AF2362" s="1070"/>
      <c r="AG2362" s="1070"/>
      <c r="AH2362" s="1070"/>
      <c r="AI2362" s="1070"/>
      <c r="AJ2362" s="1070"/>
      <c r="AK2362" s="1070"/>
      <c r="AL2362" s="1070"/>
      <c r="AM2362" s="1070"/>
      <c r="AN2362" s="1070"/>
      <c r="AO2362" s="1070"/>
      <c r="AP2362" s="1070"/>
      <c r="AQ2362" s="1070"/>
      <c r="AR2362" s="1070"/>
      <c r="AS2362" s="1070"/>
      <c r="AT2362" s="1070"/>
      <c r="AU2362" s="1070"/>
      <c r="AV2362" s="1070"/>
      <c r="AW2362" s="1070"/>
      <c r="AX2362" s="1070"/>
      <c r="AY2362" s="1070"/>
      <c r="AZ2362" s="1070"/>
      <c r="BA2362" s="1070"/>
      <c r="BB2362" s="1070"/>
      <c r="BC2362" s="1070"/>
      <c r="BD2362" s="1070"/>
      <c r="BE2362" s="1070"/>
      <c r="BF2362" s="1070"/>
      <c r="BG2362" s="1070"/>
      <c r="BH2362" s="1070"/>
      <c r="BI2362" s="1070"/>
      <c r="BJ2362" s="1070"/>
      <c r="BK2362" s="1070"/>
      <c r="BL2362" s="1070"/>
      <c r="BM2362" s="1070"/>
      <c r="BN2362" s="1070"/>
      <c r="BO2362" s="1070"/>
      <c r="BP2362" s="1070"/>
      <c r="BQ2362" s="1070"/>
      <c r="BR2362" s="1070"/>
      <c r="BS2362" s="1070"/>
      <c r="BT2362" s="1070"/>
      <c r="BU2362" s="1070"/>
      <c r="BV2362" s="1070"/>
      <c r="BW2362" s="1070"/>
      <c r="BX2362" s="1070"/>
      <c r="BY2362" s="1070"/>
      <c r="BZ2362" s="1070"/>
      <c r="CA2362" s="1070"/>
      <c r="CB2362" s="1070"/>
      <c r="CC2362" s="1070"/>
      <c r="CD2362" s="1070"/>
      <c r="CE2362" s="1070"/>
      <c r="CF2362" s="1070"/>
      <c r="CG2362" s="1070"/>
      <c r="CH2362" s="1070"/>
      <c r="CI2362" s="1070"/>
      <c r="CJ2362" s="1070"/>
      <c r="CK2362" s="1070"/>
      <c r="CL2362" s="1070"/>
      <c r="CM2362" s="1070"/>
      <c r="CN2362" s="1070"/>
      <c r="CO2362" s="1070"/>
      <c r="CP2362" s="1070"/>
      <c r="CQ2362" s="1070"/>
      <c r="CR2362" s="1070"/>
      <c r="CS2362" s="1070"/>
      <c r="CT2362" s="1070"/>
      <c r="CU2362" s="1070"/>
      <c r="CV2362" s="1070"/>
      <c r="CW2362" s="1070"/>
      <c r="CX2362" s="1070"/>
      <c r="CY2362" s="1070"/>
      <c r="CZ2362" s="1070"/>
      <c r="DA2362" s="1070"/>
      <c r="DB2362" s="1070"/>
      <c r="DC2362" s="1070"/>
      <c r="DD2362" s="1070"/>
      <c r="DE2362" s="1070"/>
      <c r="DF2362" s="1070"/>
      <c r="DG2362" s="1070"/>
      <c r="DH2362" s="1070"/>
      <c r="DI2362" s="1070"/>
      <c r="DJ2362" s="1070"/>
    </row>
    <row r="2363" spans="1:114" s="1136" customFormat="1" ht="27.75" customHeight="1" x14ac:dyDescent="0.25">
      <c r="A2363" s="1417" t="s">
        <v>3416</v>
      </c>
      <c r="B2363" s="1327" t="e">
        <f t="shared" ref="B2363:B2369" si="1">B3336/$B$281</f>
        <v>#VALUE!</v>
      </c>
      <c r="C2363" s="825"/>
      <c r="D2363" s="825"/>
      <c r="E2363" s="825"/>
      <c r="F2363" s="825"/>
      <c r="G2363" s="825"/>
      <c r="H2363" s="1070"/>
      <c r="I2363" s="1070"/>
      <c r="J2363" s="1315"/>
      <c r="K2363" s="1316"/>
      <c r="L2363" s="1316"/>
      <c r="M2363" s="1315"/>
      <c r="N2363" s="1070"/>
      <c r="O2363" s="1070"/>
      <c r="P2363" s="1070"/>
      <c r="Q2363" s="1070"/>
      <c r="R2363" s="1070"/>
      <c r="S2363" s="1070"/>
      <c r="T2363" s="1070"/>
      <c r="U2363" s="1070"/>
      <c r="V2363" s="1070"/>
      <c r="W2363" s="1070"/>
      <c r="X2363" s="1070"/>
      <c r="Y2363" s="1070"/>
      <c r="Z2363" s="1070"/>
      <c r="AA2363" s="1070"/>
      <c r="AB2363" s="1070"/>
      <c r="AC2363" s="1070"/>
      <c r="AD2363" s="1070"/>
      <c r="AE2363" s="1070"/>
      <c r="AF2363" s="1070"/>
      <c r="AG2363" s="1070"/>
      <c r="AH2363" s="1070"/>
      <c r="AI2363" s="1070"/>
      <c r="AJ2363" s="1070"/>
      <c r="AK2363" s="1070"/>
      <c r="AL2363" s="1070"/>
      <c r="AM2363" s="1070"/>
      <c r="AN2363" s="1070"/>
      <c r="AO2363" s="1070"/>
      <c r="AP2363" s="1070"/>
      <c r="AQ2363" s="1070"/>
      <c r="AR2363" s="1070"/>
      <c r="AS2363" s="1070"/>
      <c r="AT2363" s="1070"/>
      <c r="AU2363" s="1070"/>
      <c r="AV2363" s="1070"/>
      <c r="AW2363" s="1070"/>
      <c r="AX2363" s="1070"/>
      <c r="AY2363" s="1070"/>
      <c r="AZ2363" s="1070"/>
      <c r="BA2363" s="1070"/>
      <c r="BB2363" s="1070"/>
      <c r="BC2363" s="1070"/>
      <c r="BD2363" s="1070"/>
      <c r="BE2363" s="1070"/>
      <c r="BF2363" s="1070"/>
      <c r="BG2363" s="1070"/>
      <c r="BH2363" s="1070"/>
      <c r="BI2363" s="1070"/>
      <c r="BJ2363" s="1070"/>
      <c r="BK2363" s="1070"/>
      <c r="BL2363" s="1070"/>
      <c r="BM2363" s="1070"/>
      <c r="BN2363" s="1070"/>
      <c r="BO2363" s="1070"/>
      <c r="BP2363" s="1070"/>
      <c r="BQ2363" s="1070"/>
      <c r="BR2363" s="1070"/>
      <c r="BS2363" s="1070"/>
      <c r="BT2363" s="1070"/>
      <c r="BU2363" s="1070"/>
      <c r="BV2363" s="1070"/>
      <c r="BW2363" s="1070"/>
      <c r="BX2363" s="1070"/>
      <c r="BY2363" s="1070"/>
      <c r="BZ2363" s="1070"/>
      <c r="CA2363" s="1070"/>
      <c r="CB2363" s="1070"/>
      <c r="CC2363" s="1070"/>
      <c r="CD2363" s="1070"/>
      <c r="CE2363" s="1070"/>
      <c r="CF2363" s="1070"/>
      <c r="CG2363" s="1070"/>
      <c r="CH2363" s="1070"/>
      <c r="CI2363" s="1070"/>
      <c r="CJ2363" s="1070"/>
      <c r="CK2363" s="1070"/>
      <c r="CL2363" s="1070"/>
      <c r="CM2363" s="1070"/>
      <c r="CN2363" s="1070"/>
      <c r="CO2363" s="1070"/>
      <c r="CP2363" s="1070"/>
      <c r="CQ2363" s="1070"/>
      <c r="CR2363" s="1070"/>
      <c r="CS2363" s="1070"/>
      <c r="CT2363" s="1070"/>
      <c r="CU2363" s="1070"/>
      <c r="CV2363" s="1070"/>
      <c r="CW2363" s="1070"/>
      <c r="CX2363" s="1070"/>
      <c r="CY2363" s="1070"/>
      <c r="CZ2363" s="1070"/>
      <c r="DA2363" s="1070"/>
      <c r="DB2363" s="1070"/>
      <c r="DC2363" s="1070"/>
      <c r="DD2363" s="1070"/>
      <c r="DE2363" s="1070"/>
      <c r="DF2363" s="1070"/>
      <c r="DG2363" s="1070"/>
      <c r="DH2363" s="1070"/>
      <c r="DI2363" s="1070"/>
      <c r="DJ2363" s="1070"/>
    </row>
    <row r="2364" spans="1:114" s="1136" customFormat="1" ht="27.75" customHeight="1" x14ac:dyDescent="0.3">
      <c r="A2364" s="1417" t="s">
        <v>3417</v>
      </c>
      <c r="B2364" s="1327" t="e">
        <f t="shared" si="1"/>
        <v>#VALUE!</v>
      </c>
      <c r="C2364" s="825"/>
      <c r="D2364" s="825"/>
      <c r="E2364" s="825"/>
      <c r="F2364" s="825"/>
      <c r="G2364" s="825"/>
      <c r="H2364" s="1070"/>
      <c r="I2364" s="1070"/>
      <c r="J2364" s="2049"/>
      <c r="K2364" s="1316"/>
      <c r="L2364" s="1316"/>
      <c r="M2364" s="1315"/>
      <c r="N2364" s="1070"/>
      <c r="O2364" s="1070"/>
      <c r="P2364" s="1070"/>
      <c r="Q2364" s="1070"/>
      <c r="R2364" s="1070"/>
      <c r="S2364" s="1070"/>
      <c r="T2364" s="1070"/>
      <c r="U2364" s="1070"/>
      <c r="V2364" s="1070"/>
      <c r="W2364" s="1070"/>
      <c r="X2364" s="1070"/>
      <c r="Y2364" s="1070"/>
      <c r="Z2364" s="1070"/>
      <c r="AA2364" s="1070"/>
      <c r="AB2364" s="1070"/>
      <c r="AC2364" s="1070"/>
      <c r="AD2364" s="1070"/>
      <c r="AE2364" s="1070"/>
      <c r="AF2364" s="1070"/>
      <c r="AG2364" s="1070"/>
      <c r="AH2364" s="1070"/>
      <c r="AI2364" s="1070"/>
      <c r="AJ2364" s="1070"/>
      <c r="AK2364" s="1070"/>
      <c r="AL2364" s="1070"/>
      <c r="AM2364" s="1070"/>
      <c r="AN2364" s="1070"/>
      <c r="AO2364" s="1070"/>
      <c r="AP2364" s="1070"/>
      <c r="AQ2364" s="1070"/>
      <c r="AR2364" s="1070"/>
      <c r="AS2364" s="1070"/>
      <c r="AT2364" s="1070"/>
      <c r="AU2364" s="1070"/>
      <c r="AV2364" s="1070"/>
      <c r="AW2364" s="1070"/>
      <c r="AX2364" s="1070"/>
      <c r="AY2364" s="1070"/>
      <c r="AZ2364" s="1070"/>
      <c r="BA2364" s="1070"/>
      <c r="BB2364" s="1070"/>
      <c r="BC2364" s="1070"/>
      <c r="BD2364" s="1070"/>
      <c r="BE2364" s="1070"/>
      <c r="BF2364" s="1070"/>
      <c r="BG2364" s="1070"/>
      <c r="BH2364" s="1070"/>
      <c r="BI2364" s="1070"/>
      <c r="BJ2364" s="1070"/>
      <c r="BK2364" s="1070"/>
      <c r="BL2364" s="1070"/>
      <c r="BM2364" s="1070"/>
      <c r="BN2364" s="1070"/>
      <c r="BO2364" s="1070"/>
      <c r="BP2364" s="1070"/>
      <c r="BQ2364" s="1070"/>
      <c r="BR2364" s="1070"/>
      <c r="BS2364" s="1070"/>
      <c r="BT2364" s="1070"/>
      <c r="BU2364" s="1070"/>
      <c r="BV2364" s="1070"/>
      <c r="BW2364" s="1070"/>
      <c r="BX2364" s="1070"/>
      <c r="BY2364" s="1070"/>
      <c r="BZ2364" s="1070"/>
      <c r="CA2364" s="1070"/>
      <c r="CB2364" s="1070"/>
      <c r="CC2364" s="1070"/>
      <c r="CD2364" s="1070"/>
      <c r="CE2364" s="1070"/>
      <c r="CF2364" s="1070"/>
      <c r="CG2364" s="1070"/>
      <c r="CH2364" s="1070"/>
      <c r="CI2364" s="1070"/>
      <c r="CJ2364" s="1070"/>
      <c r="CK2364" s="1070"/>
      <c r="CL2364" s="1070"/>
      <c r="CM2364" s="1070"/>
      <c r="CN2364" s="1070"/>
      <c r="CO2364" s="1070"/>
      <c r="CP2364" s="1070"/>
      <c r="CQ2364" s="1070"/>
      <c r="CR2364" s="1070"/>
      <c r="CS2364" s="1070"/>
      <c r="CT2364" s="1070"/>
      <c r="CU2364" s="1070"/>
      <c r="CV2364" s="1070"/>
      <c r="CW2364" s="1070"/>
      <c r="CX2364" s="1070"/>
      <c r="CY2364" s="1070"/>
      <c r="CZ2364" s="1070"/>
      <c r="DA2364" s="1070"/>
      <c r="DB2364" s="1070"/>
      <c r="DC2364" s="1070"/>
      <c r="DD2364" s="1070"/>
      <c r="DE2364" s="1070"/>
      <c r="DF2364" s="1070"/>
      <c r="DG2364" s="1070"/>
      <c r="DH2364" s="1070"/>
      <c r="DI2364" s="1070"/>
      <c r="DJ2364" s="1070"/>
    </row>
    <row r="2365" spans="1:114" s="1136" customFormat="1" ht="27.75" customHeight="1" x14ac:dyDescent="0.25">
      <c r="A2365" s="1417" t="s">
        <v>3418</v>
      </c>
      <c r="B2365" s="1327" t="e">
        <f t="shared" si="1"/>
        <v>#VALUE!</v>
      </c>
      <c r="C2365" s="825"/>
      <c r="D2365" s="825"/>
      <c r="E2365" s="825"/>
      <c r="F2365" s="825"/>
      <c r="G2365" s="825"/>
      <c r="H2365" s="1070"/>
      <c r="I2365" s="1070"/>
      <c r="J2365" s="1315"/>
      <c r="K2365" s="1316"/>
      <c r="L2365" s="1316"/>
      <c r="M2365" s="1315"/>
      <c r="N2365" s="1070"/>
      <c r="O2365" s="1070"/>
      <c r="P2365" s="1070"/>
      <c r="Q2365" s="1070"/>
      <c r="R2365" s="1070"/>
      <c r="S2365" s="1070"/>
      <c r="T2365" s="1070"/>
      <c r="U2365" s="1070"/>
      <c r="V2365" s="1070"/>
      <c r="W2365" s="1070"/>
      <c r="X2365" s="1070"/>
      <c r="Y2365" s="1070"/>
      <c r="Z2365" s="1070"/>
      <c r="AA2365" s="1070"/>
      <c r="AB2365" s="1070"/>
      <c r="AC2365" s="1070"/>
      <c r="AD2365" s="1070"/>
      <c r="AE2365" s="1070"/>
      <c r="AF2365" s="1070"/>
      <c r="AG2365" s="1070"/>
      <c r="AH2365" s="1070"/>
      <c r="AI2365" s="1070"/>
      <c r="AJ2365" s="1070"/>
      <c r="AK2365" s="1070"/>
      <c r="AL2365" s="1070"/>
      <c r="AM2365" s="1070"/>
      <c r="AN2365" s="1070"/>
      <c r="AO2365" s="1070"/>
      <c r="AP2365" s="1070"/>
      <c r="AQ2365" s="1070"/>
      <c r="AR2365" s="1070"/>
      <c r="AS2365" s="1070"/>
      <c r="AT2365" s="1070"/>
      <c r="AU2365" s="1070"/>
      <c r="AV2365" s="1070"/>
      <c r="AW2365" s="1070"/>
      <c r="AX2365" s="1070"/>
      <c r="AY2365" s="1070"/>
      <c r="AZ2365" s="1070"/>
      <c r="BA2365" s="1070"/>
      <c r="BB2365" s="1070"/>
      <c r="BC2365" s="1070"/>
      <c r="BD2365" s="1070"/>
      <c r="BE2365" s="1070"/>
      <c r="BF2365" s="1070"/>
      <c r="BG2365" s="1070"/>
      <c r="BH2365" s="1070"/>
      <c r="BI2365" s="1070"/>
      <c r="BJ2365" s="1070"/>
      <c r="BK2365" s="1070"/>
      <c r="BL2365" s="1070"/>
      <c r="BM2365" s="1070"/>
      <c r="BN2365" s="1070"/>
      <c r="BO2365" s="1070"/>
      <c r="BP2365" s="1070"/>
      <c r="BQ2365" s="1070"/>
      <c r="BR2365" s="1070"/>
      <c r="BS2365" s="1070"/>
      <c r="BT2365" s="1070"/>
      <c r="BU2365" s="1070"/>
      <c r="BV2365" s="1070"/>
      <c r="BW2365" s="1070"/>
      <c r="BX2365" s="1070"/>
      <c r="BY2365" s="1070"/>
      <c r="BZ2365" s="1070"/>
      <c r="CA2365" s="1070"/>
      <c r="CB2365" s="1070"/>
      <c r="CC2365" s="1070"/>
      <c r="CD2365" s="1070"/>
      <c r="CE2365" s="1070"/>
      <c r="CF2365" s="1070"/>
      <c r="CG2365" s="1070"/>
      <c r="CH2365" s="1070"/>
      <c r="CI2365" s="1070"/>
      <c r="CJ2365" s="1070"/>
      <c r="CK2365" s="1070"/>
      <c r="CL2365" s="1070"/>
      <c r="CM2365" s="1070"/>
      <c r="CN2365" s="1070"/>
      <c r="CO2365" s="1070"/>
      <c r="CP2365" s="1070"/>
      <c r="CQ2365" s="1070"/>
      <c r="CR2365" s="1070"/>
      <c r="CS2365" s="1070"/>
      <c r="CT2365" s="1070"/>
      <c r="CU2365" s="1070"/>
      <c r="CV2365" s="1070"/>
      <c r="CW2365" s="1070"/>
      <c r="CX2365" s="1070"/>
      <c r="CY2365" s="1070"/>
      <c r="CZ2365" s="1070"/>
      <c r="DA2365" s="1070"/>
      <c r="DB2365" s="1070"/>
      <c r="DC2365" s="1070"/>
      <c r="DD2365" s="1070"/>
      <c r="DE2365" s="1070"/>
      <c r="DF2365" s="1070"/>
      <c r="DG2365" s="1070"/>
      <c r="DH2365" s="1070"/>
      <c r="DI2365" s="1070"/>
      <c r="DJ2365" s="1070"/>
    </row>
    <row r="2366" spans="1:114" s="1136" customFormat="1" ht="27.75" customHeight="1" x14ac:dyDescent="0.25">
      <c r="A2366" s="1417" t="s">
        <v>3419</v>
      </c>
      <c r="B2366" s="1327" t="e">
        <f t="shared" si="1"/>
        <v>#VALUE!</v>
      </c>
      <c r="C2366" s="825"/>
      <c r="D2366" s="825"/>
      <c r="E2366" s="825"/>
      <c r="F2366" s="825"/>
      <c r="G2366" s="825"/>
      <c r="H2366" s="1070"/>
      <c r="I2366" s="1070"/>
      <c r="J2366" s="1315"/>
      <c r="K2366" s="1316"/>
      <c r="L2366" s="1316"/>
      <c r="M2366" s="1315"/>
      <c r="N2366" s="1070"/>
      <c r="O2366" s="1070"/>
      <c r="P2366" s="1070"/>
      <c r="Q2366" s="1070"/>
      <c r="R2366" s="1070"/>
      <c r="S2366" s="1070"/>
      <c r="T2366" s="1070"/>
      <c r="U2366" s="1070"/>
      <c r="V2366" s="1070"/>
      <c r="W2366" s="1070"/>
      <c r="X2366" s="1070"/>
      <c r="Y2366" s="1070"/>
      <c r="Z2366" s="1070"/>
      <c r="AA2366" s="1070"/>
      <c r="AB2366" s="1070"/>
      <c r="AC2366" s="1070"/>
      <c r="AD2366" s="1070"/>
      <c r="AE2366" s="1070"/>
      <c r="AF2366" s="1070"/>
      <c r="AG2366" s="1070"/>
      <c r="AH2366" s="1070"/>
      <c r="AI2366" s="1070"/>
      <c r="AJ2366" s="1070"/>
      <c r="AK2366" s="1070"/>
      <c r="AL2366" s="1070"/>
      <c r="AM2366" s="1070"/>
      <c r="AN2366" s="1070"/>
      <c r="AO2366" s="1070"/>
      <c r="AP2366" s="1070"/>
      <c r="AQ2366" s="1070"/>
      <c r="AR2366" s="1070"/>
      <c r="AS2366" s="1070"/>
      <c r="AT2366" s="1070"/>
      <c r="AU2366" s="1070"/>
      <c r="AV2366" s="1070"/>
      <c r="AW2366" s="1070"/>
      <c r="AX2366" s="1070"/>
      <c r="AY2366" s="1070"/>
      <c r="AZ2366" s="1070"/>
      <c r="BA2366" s="1070"/>
      <c r="BB2366" s="1070"/>
      <c r="BC2366" s="1070"/>
      <c r="BD2366" s="1070"/>
      <c r="BE2366" s="1070"/>
      <c r="BF2366" s="1070"/>
      <c r="BG2366" s="1070"/>
      <c r="BH2366" s="1070"/>
      <c r="BI2366" s="1070"/>
      <c r="BJ2366" s="1070"/>
      <c r="BK2366" s="1070"/>
      <c r="BL2366" s="1070"/>
      <c r="BM2366" s="1070"/>
      <c r="BN2366" s="1070"/>
      <c r="BO2366" s="1070"/>
      <c r="BP2366" s="1070"/>
      <c r="BQ2366" s="1070"/>
      <c r="BR2366" s="1070"/>
      <c r="BS2366" s="1070"/>
      <c r="BT2366" s="1070"/>
      <c r="BU2366" s="1070"/>
      <c r="BV2366" s="1070"/>
      <c r="BW2366" s="1070"/>
      <c r="BX2366" s="1070"/>
      <c r="BY2366" s="1070"/>
      <c r="BZ2366" s="1070"/>
      <c r="CA2366" s="1070"/>
      <c r="CB2366" s="1070"/>
      <c r="CC2366" s="1070"/>
      <c r="CD2366" s="1070"/>
      <c r="CE2366" s="1070"/>
      <c r="CF2366" s="1070"/>
      <c r="CG2366" s="1070"/>
      <c r="CH2366" s="1070"/>
      <c r="CI2366" s="1070"/>
      <c r="CJ2366" s="1070"/>
      <c r="CK2366" s="1070"/>
      <c r="CL2366" s="1070"/>
      <c r="CM2366" s="1070"/>
      <c r="CN2366" s="1070"/>
      <c r="CO2366" s="1070"/>
      <c r="CP2366" s="1070"/>
      <c r="CQ2366" s="1070"/>
      <c r="CR2366" s="1070"/>
      <c r="CS2366" s="1070"/>
      <c r="CT2366" s="1070"/>
      <c r="CU2366" s="1070"/>
      <c r="CV2366" s="1070"/>
      <c r="CW2366" s="1070"/>
      <c r="CX2366" s="1070"/>
      <c r="CY2366" s="1070"/>
      <c r="CZ2366" s="1070"/>
      <c r="DA2366" s="1070"/>
      <c r="DB2366" s="1070"/>
      <c r="DC2366" s="1070"/>
      <c r="DD2366" s="1070"/>
      <c r="DE2366" s="1070"/>
      <c r="DF2366" s="1070"/>
      <c r="DG2366" s="1070"/>
      <c r="DH2366" s="1070"/>
      <c r="DI2366" s="1070"/>
      <c r="DJ2366" s="1070"/>
    </row>
    <row r="2367" spans="1:114" s="1136" customFormat="1" ht="27.75" customHeight="1" x14ac:dyDescent="0.25">
      <c r="A2367" s="1417" t="s">
        <v>3420</v>
      </c>
      <c r="B2367" s="1327" t="e">
        <f t="shared" si="1"/>
        <v>#VALUE!</v>
      </c>
      <c r="C2367" s="825"/>
      <c r="D2367" s="825"/>
      <c r="E2367" s="825"/>
      <c r="F2367" s="825"/>
      <c r="G2367" s="825"/>
      <c r="H2367" s="1070"/>
      <c r="I2367" s="1070"/>
      <c r="J2367" s="1315"/>
      <c r="K2367" s="1316"/>
      <c r="L2367" s="1316"/>
      <c r="M2367" s="1315"/>
      <c r="N2367" s="1070"/>
      <c r="O2367" s="1070"/>
      <c r="P2367" s="1070"/>
      <c r="Q2367" s="1070"/>
      <c r="R2367" s="1070"/>
      <c r="S2367" s="1070"/>
      <c r="T2367" s="1070"/>
      <c r="U2367" s="1070"/>
      <c r="V2367" s="1070"/>
      <c r="W2367" s="1070"/>
      <c r="X2367" s="1070"/>
      <c r="Y2367" s="1070"/>
      <c r="Z2367" s="1070"/>
      <c r="AA2367" s="1070"/>
      <c r="AB2367" s="1070"/>
      <c r="AC2367" s="1070"/>
      <c r="AD2367" s="1070"/>
      <c r="AE2367" s="1070"/>
      <c r="AF2367" s="1070"/>
      <c r="AG2367" s="1070"/>
      <c r="AH2367" s="1070"/>
      <c r="AI2367" s="1070"/>
      <c r="AJ2367" s="1070"/>
      <c r="AK2367" s="1070"/>
      <c r="AL2367" s="1070"/>
      <c r="AM2367" s="1070"/>
      <c r="AN2367" s="1070"/>
      <c r="AO2367" s="1070"/>
      <c r="AP2367" s="1070"/>
      <c r="AQ2367" s="1070"/>
      <c r="AR2367" s="1070"/>
      <c r="AS2367" s="1070"/>
      <c r="AT2367" s="1070"/>
      <c r="AU2367" s="1070"/>
      <c r="AV2367" s="1070"/>
      <c r="AW2367" s="1070"/>
      <c r="AX2367" s="1070"/>
      <c r="AY2367" s="1070"/>
      <c r="AZ2367" s="1070"/>
      <c r="BA2367" s="1070"/>
      <c r="BB2367" s="1070"/>
      <c r="BC2367" s="1070"/>
      <c r="BD2367" s="1070"/>
      <c r="BE2367" s="1070"/>
      <c r="BF2367" s="1070"/>
      <c r="BG2367" s="1070"/>
      <c r="BH2367" s="1070"/>
      <c r="BI2367" s="1070"/>
      <c r="BJ2367" s="1070"/>
      <c r="BK2367" s="1070"/>
      <c r="BL2367" s="1070"/>
      <c r="BM2367" s="1070"/>
      <c r="BN2367" s="1070"/>
      <c r="BO2367" s="1070"/>
      <c r="BP2367" s="1070"/>
      <c r="BQ2367" s="1070"/>
      <c r="BR2367" s="1070"/>
      <c r="BS2367" s="1070"/>
      <c r="BT2367" s="1070"/>
      <c r="BU2367" s="1070"/>
      <c r="BV2367" s="1070"/>
      <c r="BW2367" s="1070"/>
      <c r="BX2367" s="1070"/>
      <c r="BY2367" s="1070"/>
      <c r="BZ2367" s="1070"/>
      <c r="CA2367" s="1070"/>
      <c r="CB2367" s="1070"/>
      <c r="CC2367" s="1070"/>
      <c r="CD2367" s="1070"/>
      <c r="CE2367" s="1070"/>
      <c r="CF2367" s="1070"/>
      <c r="CG2367" s="1070"/>
      <c r="CH2367" s="1070"/>
      <c r="CI2367" s="1070"/>
      <c r="CJ2367" s="1070"/>
      <c r="CK2367" s="1070"/>
      <c r="CL2367" s="1070"/>
      <c r="CM2367" s="1070"/>
      <c r="CN2367" s="1070"/>
      <c r="CO2367" s="1070"/>
      <c r="CP2367" s="1070"/>
      <c r="CQ2367" s="1070"/>
      <c r="CR2367" s="1070"/>
      <c r="CS2367" s="1070"/>
      <c r="CT2367" s="1070"/>
      <c r="CU2367" s="1070"/>
      <c r="CV2367" s="1070"/>
      <c r="CW2367" s="1070"/>
      <c r="CX2367" s="1070"/>
      <c r="CY2367" s="1070"/>
      <c r="CZ2367" s="1070"/>
      <c r="DA2367" s="1070"/>
      <c r="DB2367" s="1070"/>
      <c r="DC2367" s="1070"/>
      <c r="DD2367" s="1070"/>
      <c r="DE2367" s="1070"/>
      <c r="DF2367" s="1070"/>
      <c r="DG2367" s="1070"/>
      <c r="DH2367" s="1070"/>
      <c r="DI2367" s="1070"/>
      <c r="DJ2367" s="1070"/>
    </row>
    <row r="2368" spans="1:114" s="1136" customFormat="1" ht="27.75" customHeight="1" x14ac:dyDescent="0.25">
      <c r="A2368" s="1417" t="s">
        <v>3421</v>
      </c>
      <c r="B2368" s="1327" t="e">
        <f t="shared" si="1"/>
        <v>#DIV/0!</v>
      </c>
      <c r="C2368" s="825"/>
      <c r="D2368" s="825"/>
      <c r="E2368" s="825"/>
      <c r="F2368" s="825"/>
      <c r="G2368" s="825"/>
      <c r="H2368" s="1070"/>
      <c r="I2368" s="1070"/>
      <c r="J2368" s="1315"/>
      <c r="K2368" s="1316"/>
      <c r="L2368" s="1316"/>
      <c r="M2368" s="1315"/>
      <c r="N2368" s="1070"/>
      <c r="O2368" s="1070"/>
      <c r="P2368" s="1070"/>
      <c r="Q2368" s="1070"/>
      <c r="R2368" s="1070"/>
      <c r="S2368" s="1070"/>
      <c r="T2368" s="1070"/>
      <c r="U2368" s="1070"/>
      <c r="V2368" s="1070"/>
      <c r="W2368" s="1070"/>
      <c r="X2368" s="1070"/>
      <c r="Y2368" s="1070"/>
      <c r="Z2368" s="1070"/>
      <c r="AA2368" s="1070"/>
      <c r="AB2368" s="1070"/>
      <c r="AC2368" s="1070"/>
      <c r="AD2368" s="1070"/>
      <c r="AE2368" s="1070"/>
      <c r="AF2368" s="1070"/>
      <c r="AG2368" s="1070"/>
      <c r="AH2368" s="1070"/>
      <c r="AI2368" s="1070"/>
      <c r="AJ2368" s="1070"/>
      <c r="AK2368" s="1070"/>
      <c r="AL2368" s="1070"/>
      <c r="AM2368" s="1070"/>
      <c r="AN2368" s="1070"/>
      <c r="AO2368" s="1070"/>
      <c r="AP2368" s="1070"/>
      <c r="AQ2368" s="1070"/>
      <c r="AR2368" s="1070"/>
      <c r="AS2368" s="1070"/>
      <c r="AT2368" s="1070"/>
      <c r="AU2368" s="1070"/>
      <c r="AV2368" s="1070"/>
      <c r="AW2368" s="1070"/>
      <c r="AX2368" s="1070"/>
      <c r="AY2368" s="1070"/>
      <c r="AZ2368" s="1070"/>
      <c r="BA2368" s="1070"/>
      <c r="BB2368" s="1070"/>
      <c r="BC2368" s="1070"/>
      <c r="BD2368" s="1070"/>
      <c r="BE2368" s="1070"/>
      <c r="BF2368" s="1070"/>
      <c r="BG2368" s="1070"/>
      <c r="BH2368" s="1070"/>
      <c r="BI2368" s="1070"/>
      <c r="BJ2368" s="1070"/>
      <c r="BK2368" s="1070"/>
      <c r="BL2368" s="1070"/>
      <c r="BM2368" s="1070"/>
      <c r="BN2368" s="1070"/>
      <c r="BO2368" s="1070"/>
      <c r="BP2368" s="1070"/>
      <c r="BQ2368" s="1070"/>
      <c r="BR2368" s="1070"/>
      <c r="BS2368" s="1070"/>
      <c r="BT2368" s="1070"/>
      <c r="BU2368" s="1070"/>
      <c r="BV2368" s="1070"/>
      <c r="BW2368" s="1070"/>
      <c r="BX2368" s="1070"/>
      <c r="BY2368" s="1070"/>
      <c r="BZ2368" s="1070"/>
      <c r="CA2368" s="1070"/>
      <c r="CB2368" s="1070"/>
      <c r="CC2368" s="1070"/>
      <c r="CD2368" s="1070"/>
      <c r="CE2368" s="1070"/>
      <c r="CF2368" s="1070"/>
      <c r="CG2368" s="1070"/>
      <c r="CH2368" s="1070"/>
      <c r="CI2368" s="1070"/>
      <c r="CJ2368" s="1070"/>
      <c r="CK2368" s="1070"/>
      <c r="CL2368" s="1070"/>
      <c r="CM2368" s="1070"/>
      <c r="CN2368" s="1070"/>
      <c r="CO2368" s="1070"/>
      <c r="CP2368" s="1070"/>
      <c r="CQ2368" s="1070"/>
      <c r="CR2368" s="1070"/>
      <c r="CS2368" s="1070"/>
      <c r="CT2368" s="1070"/>
      <c r="CU2368" s="1070"/>
      <c r="CV2368" s="1070"/>
      <c r="CW2368" s="1070"/>
      <c r="CX2368" s="1070"/>
      <c r="CY2368" s="1070"/>
      <c r="CZ2368" s="1070"/>
      <c r="DA2368" s="1070"/>
      <c r="DB2368" s="1070"/>
      <c r="DC2368" s="1070"/>
      <c r="DD2368" s="1070"/>
      <c r="DE2368" s="1070"/>
      <c r="DF2368" s="1070"/>
      <c r="DG2368" s="1070"/>
      <c r="DH2368" s="1070"/>
      <c r="DI2368" s="1070"/>
      <c r="DJ2368" s="1070"/>
    </row>
    <row r="2369" spans="1:114" s="1136" customFormat="1" ht="27.75" customHeight="1" x14ac:dyDescent="0.25">
      <c r="A2369" s="1417" t="s">
        <v>2385</v>
      </c>
      <c r="B2369" s="1327" t="e">
        <f t="shared" si="1"/>
        <v>#VALUE!</v>
      </c>
      <c r="C2369" s="825"/>
      <c r="D2369" s="825"/>
      <c r="E2369" s="825"/>
      <c r="F2369" s="825"/>
      <c r="G2369" s="825"/>
      <c r="H2369" s="1070"/>
      <c r="I2369" s="1070"/>
      <c r="J2369" s="1315"/>
      <c r="K2369" s="1316"/>
      <c r="L2369" s="1316"/>
      <c r="M2369" s="1315"/>
      <c r="N2369" s="1070"/>
      <c r="O2369" s="1070"/>
      <c r="P2369" s="1070"/>
      <c r="Q2369" s="1070"/>
      <c r="R2369" s="1070"/>
      <c r="S2369" s="1070"/>
      <c r="T2369" s="1070"/>
      <c r="U2369" s="1070"/>
      <c r="V2369" s="1070"/>
      <c r="W2369" s="1070"/>
      <c r="X2369" s="1070"/>
      <c r="Y2369" s="1070"/>
      <c r="Z2369" s="1070"/>
      <c r="AA2369" s="1070"/>
      <c r="AB2369" s="1070"/>
      <c r="AC2369" s="1070"/>
      <c r="AD2369" s="1070"/>
      <c r="AE2369" s="1070"/>
      <c r="AF2369" s="1070"/>
      <c r="AG2369" s="1070"/>
      <c r="AH2369" s="1070"/>
      <c r="AI2369" s="1070"/>
      <c r="AJ2369" s="1070"/>
      <c r="AK2369" s="1070"/>
      <c r="AL2369" s="1070"/>
      <c r="AM2369" s="1070"/>
      <c r="AN2369" s="1070"/>
      <c r="AO2369" s="1070"/>
      <c r="AP2369" s="1070"/>
      <c r="AQ2369" s="1070"/>
      <c r="AR2369" s="1070"/>
      <c r="AS2369" s="1070"/>
      <c r="AT2369" s="1070"/>
      <c r="AU2369" s="1070"/>
      <c r="AV2369" s="1070"/>
      <c r="AW2369" s="1070"/>
      <c r="AX2369" s="1070"/>
      <c r="AY2369" s="1070"/>
      <c r="AZ2369" s="1070"/>
      <c r="BA2369" s="1070"/>
      <c r="BB2369" s="1070"/>
      <c r="BC2369" s="1070"/>
      <c r="BD2369" s="1070"/>
      <c r="BE2369" s="1070"/>
      <c r="BF2369" s="1070"/>
      <c r="BG2369" s="1070"/>
      <c r="BH2369" s="1070"/>
      <c r="BI2369" s="1070"/>
      <c r="BJ2369" s="1070"/>
      <c r="BK2369" s="1070"/>
      <c r="BL2369" s="1070"/>
      <c r="BM2369" s="1070"/>
      <c r="BN2369" s="1070"/>
      <c r="BO2369" s="1070"/>
      <c r="BP2369" s="1070"/>
      <c r="BQ2369" s="1070"/>
      <c r="BR2369" s="1070"/>
      <c r="BS2369" s="1070"/>
      <c r="BT2369" s="1070"/>
      <c r="BU2369" s="1070"/>
      <c r="BV2369" s="1070"/>
      <c r="BW2369" s="1070"/>
      <c r="BX2369" s="1070"/>
      <c r="BY2369" s="1070"/>
      <c r="BZ2369" s="1070"/>
      <c r="CA2369" s="1070"/>
      <c r="CB2369" s="1070"/>
      <c r="CC2369" s="1070"/>
      <c r="CD2369" s="1070"/>
      <c r="CE2369" s="1070"/>
      <c r="CF2369" s="1070"/>
      <c r="CG2369" s="1070"/>
      <c r="CH2369" s="1070"/>
      <c r="CI2369" s="1070"/>
      <c r="CJ2369" s="1070"/>
      <c r="CK2369" s="1070"/>
      <c r="CL2369" s="1070"/>
      <c r="CM2369" s="1070"/>
      <c r="CN2369" s="1070"/>
      <c r="CO2369" s="1070"/>
      <c r="CP2369" s="1070"/>
      <c r="CQ2369" s="1070"/>
      <c r="CR2369" s="1070"/>
      <c r="CS2369" s="1070"/>
      <c r="CT2369" s="1070"/>
      <c r="CU2369" s="1070"/>
      <c r="CV2369" s="1070"/>
      <c r="CW2369" s="1070"/>
      <c r="CX2369" s="1070"/>
      <c r="CY2369" s="1070"/>
      <c r="CZ2369" s="1070"/>
      <c r="DA2369" s="1070"/>
      <c r="DB2369" s="1070"/>
      <c r="DC2369" s="1070"/>
      <c r="DD2369" s="1070"/>
      <c r="DE2369" s="1070"/>
      <c r="DF2369" s="1070"/>
      <c r="DG2369" s="1070"/>
      <c r="DH2369" s="1070"/>
      <c r="DI2369" s="1070"/>
      <c r="DJ2369" s="1070"/>
    </row>
    <row r="2370" spans="1:114" s="1136" customFormat="1" ht="27.75" customHeight="1" x14ac:dyDescent="0.2">
      <c r="A2370" s="2050"/>
      <c r="B2370" s="1384"/>
      <c r="C2370" s="1384"/>
      <c r="D2370" s="1384"/>
      <c r="E2370" s="1384"/>
      <c r="F2370" s="1384"/>
      <c r="G2370" s="1384"/>
      <c r="H2370" s="1070"/>
      <c r="I2370" s="1070"/>
      <c r="J2370" s="1315"/>
      <c r="K2370" s="1316"/>
      <c r="L2370" s="1316"/>
      <c r="M2370" s="1315"/>
      <c r="N2370" s="1070"/>
      <c r="O2370" s="1070"/>
      <c r="P2370" s="1070"/>
      <c r="Q2370" s="1070"/>
      <c r="R2370" s="1070"/>
      <c r="S2370" s="1070"/>
      <c r="T2370" s="1070"/>
      <c r="U2370" s="1070"/>
      <c r="V2370" s="1070"/>
      <c r="W2370" s="1070"/>
      <c r="X2370" s="1070"/>
      <c r="Y2370" s="1070"/>
      <c r="Z2370" s="1070"/>
      <c r="AA2370" s="1070"/>
      <c r="AB2370" s="1070"/>
      <c r="AC2370" s="1070"/>
      <c r="AD2370" s="1070"/>
      <c r="AE2370" s="1070"/>
      <c r="AF2370" s="1070"/>
      <c r="AG2370" s="1070"/>
      <c r="AH2370" s="1070"/>
      <c r="AI2370" s="1070"/>
      <c r="AJ2370" s="1070"/>
      <c r="AK2370" s="1070"/>
      <c r="AL2370" s="1070"/>
      <c r="AM2370" s="1070"/>
      <c r="AN2370" s="1070"/>
      <c r="AO2370" s="1070"/>
      <c r="AP2370" s="1070"/>
      <c r="AQ2370" s="1070"/>
      <c r="AR2370" s="1070"/>
      <c r="AS2370" s="1070"/>
      <c r="AT2370" s="1070"/>
      <c r="AU2370" s="1070"/>
      <c r="AV2370" s="1070"/>
      <c r="AW2370" s="1070"/>
      <c r="AX2370" s="1070"/>
      <c r="AY2370" s="1070"/>
      <c r="AZ2370" s="1070"/>
      <c r="BA2370" s="1070"/>
      <c r="BB2370" s="1070"/>
      <c r="BC2370" s="1070"/>
      <c r="BD2370" s="1070"/>
      <c r="BE2370" s="1070"/>
      <c r="BF2370" s="1070"/>
      <c r="BG2370" s="1070"/>
      <c r="BH2370" s="1070"/>
      <c r="BI2370" s="1070"/>
      <c r="BJ2370" s="1070"/>
      <c r="BK2370" s="1070"/>
      <c r="BL2370" s="1070"/>
      <c r="BM2370" s="1070"/>
      <c r="BN2370" s="1070"/>
      <c r="BO2370" s="1070"/>
      <c r="BP2370" s="1070"/>
      <c r="BQ2370" s="1070"/>
      <c r="BR2370" s="1070"/>
      <c r="BS2370" s="1070"/>
      <c r="BT2370" s="1070"/>
      <c r="BU2370" s="1070"/>
      <c r="BV2370" s="1070"/>
      <c r="BW2370" s="1070"/>
      <c r="BX2370" s="1070"/>
      <c r="BY2370" s="1070"/>
      <c r="BZ2370" s="1070"/>
      <c r="CA2370" s="1070"/>
      <c r="CB2370" s="1070"/>
      <c r="CC2370" s="1070"/>
      <c r="CD2370" s="1070"/>
      <c r="CE2370" s="1070"/>
      <c r="CF2370" s="1070"/>
      <c r="CG2370" s="1070"/>
      <c r="CH2370" s="1070"/>
      <c r="CI2370" s="1070"/>
      <c r="CJ2370" s="1070"/>
      <c r="CK2370" s="1070"/>
      <c r="CL2370" s="1070"/>
      <c r="CM2370" s="1070"/>
      <c r="CN2370" s="1070"/>
      <c r="CO2370" s="1070"/>
      <c r="CP2370" s="1070"/>
      <c r="CQ2370" s="1070"/>
      <c r="CR2370" s="1070"/>
      <c r="CS2370" s="1070"/>
      <c r="CT2370" s="1070"/>
      <c r="CU2370" s="1070"/>
      <c r="CV2370" s="1070"/>
      <c r="CW2370" s="1070"/>
      <c r="CX2370" s="1070"/>
      <c r="CY2370" s="1070"/>
      <c r="CZ2370" s="1070"/>
      <c r="DA2370" s="1070"/>
      <c r="DB2370" s="1070"/>
      <c r="DC2370" s="1070"/>
      <c r="DD2370" s="1070"/>
      <c r="DE2370" s="1070"/>
      <c r="DF2370" s="1070"/>
      <c r="DG2370" s="1070"/>
      <c r="DH2370" s="1070"/>
      <c r="DI2370" s="1070"/>
      <c r="DJ2370" s="1070"/>
    </row>
    <row r="2371" spans="1:114" s="1136" customFormat="1" ht="27.75" customHeight="1" x14ac:dyDescent="0.2">
      <c r="A2371" s="2051"/>
      <c r="B2371" s="2052"/>
      <c r="C2371" s="1384"/>
      <c r="D2371" s="1384"/>
      <c r="E2371" s="1384"/>
      <c r="F2371" s="1384"/>
      <c r="G2371" s="1384"/>
      <c r="H2371" s="1070"/>
      <c r="I2371" s="1070"/>
      <c r="J2371" s="1315"/>
      <c r="K2371" s="1316"/>
      <c r="L2371" s="1316"/>
      <c r="M2371" s="1315"/>
      <c r="N2371" s="1070"/>
      <c r="O2371" s="1070"/>
      <c r="P2371" s="1070"/>
      <c r="Q2371" s="1070"/>
      <c r="R2371" s="1070"/>
      <c r="S2371" s="1070"/>
      <c r="T2371" s="1070"/>
      <c r="U2371" s="1070"/>
      <c r="V2371" s="1070"/>
      <c r="W2371" s="1070"/>
      <c r="X2371" s="1070"/>
      <c r="Y2371" s="1070"/>
      <c r="Z2371" s="1070"/>
      <c r="AA2371" s="1070"/>
      <c r="AB2371" s="1070"/>
      <c r="AC2371" s="1070"/>
      <c r="AD2371" s="1070"/>
      <c r="AE2371" s="1070"/>
      <c r="AF2371" s="1070"/>
      <c r="AG2371" s="1070"/>
      <c r="AH2371" s="1070"/>
      <c r="AI2371" s="1070"/>
      <c r="AJ2371" s="1070"/>
      <c r="AK2371" s="1070"/>
      <c r="AL2371" s="1070"/>
      <c r="AM2371" s="1070"/>
      <c r="AN2371" s="1070"/>
      <c r="AO2371" s="1070"/>
      <c r="AP2371" s="1070"/>
      <c r="AQ2371" s="1070"/>
      <c r="AR2371" s="1070"/>
      <c r="AS2371" s="1070"/>
      <c r="AT2371" s="1070"/>
      <c r="AU2371" s="1070"/>
      <c r="AV2371" s="1070"/>
      <c r="AW2371" s="1070"/>
      <c r="AX2371" s="1070"/>
      <c r="AY2371" s="1070"/>
      <c r="AZ2371" s="1070"/>
      <c r="BA2371" s="1070"/>
      <c r="BB2371" s="1070"/>
      <c r="BC2371" s="1070"/>
      <c r="BD2371" s="1070"/>
      <c r="BE2371" s="1070"/>
      <c r="BF2371" s="1070"/>
      <c r="BG2371" s="1070"/>
      <c r="BH2371" s="1070"/>
      <c r="BI2371" s="1070"/>
      <c r="BJ2371" s="1070"/>
      <c r="BK2371" s="1070"/>
      <c r="BL2371" s="1070"/>
      <c r="BM2371" s="1070"/>
      <c r="BN2371" s="1070"/>
      <c r="BO2371" s="1070"/>
      <c r="BP2371" s="1070"/>
      <c r="BQ2371" s="1070"/>
      <c r="BR2371" s="1070"/>
      <c r="BS2371" s="1070"/>
      <c r="BT2371" s="1070"/>
      <c r="BU2371" s="1070"/>
      <c r="BV2371" s="1070"/>
      <c r="BW2371" s="1070"/>
      <c r="BX2371" s="1070"/>
      <c r="BY2371" s="1070"/>
      <c r="BZ2371" s="1070"/>
      <c r="CA2371" s="1070"/>
      <c r="CB2371" s="1070"/>
      <c r="CC2371" s="1070"/>
      <c r="CD2371" s="1070"/>
      <c r="CE2371" s="1070"/>
      <c r="CF2371" s="1070"/>
      <c r="CG2371" s="1070"/>
      <c r="CH2371" s="1070"/>
      <c r="CI2371" s="1070"/>
      <c r="CJ2371" s="1070"/>
      <c r="CK2371" s="1070"/>
      <c r="CL2371" s="1070"/>
      <c r="CM2371" s="1070"/>
      <c r="CN2371" s="1070"/>
      <c r="CO2371" s="1070"/>
      <c r="CP2371" s="1070"/>
      <c r="CQ2371" s="1070"/>
      <c r="CR2371" s="1070"/>
      <c r="CS2371" s="1070"/>
      <c r="CT2371" s="1070"/>
      <c r="CU2371" s="1070"/>
      <c r="CV2371" s="1070"/>
      <c r="CW2371" s="1070"/>
      <c r="CX2371" s="1070"/>
      <c r="CY2371" s="1070"/>
      <c r="CZ2371" s="1070"/>
      <c r="DA2371" s="1070"/>
      <c r="DB2371" s="1070"/>
      <c r="DC2371" s="1070"/>
      <c r="DD2371" s="1070"/>
      <c r="DE2371" s="1070"/>
      <c r="DF2371" s="1070"/>
      <c r="DG2371" s="1070"/>
      <c r="DH2371" s="1070"/>
      <c r="DI2371" s="1070"/>
      <c r="DJ2371" s="1070"/>
    </row>
    <row r="2372" spans="1:114" s="1136" customFormat="1" ht="27.75" customHeight="1" x14ac:dyDescent="0.2">
      <c r="C2372" s="1384"/>
      <c r="D2372" s="1384"/>
      <c r="E2372" s="1384"/>
      <c r="F2372" s="1384"/>
      <c r="G2372" s="1384"/>
      <c r="H2372" s="1070"/>
      <c r="I2372" s="1070"/>
      <c r="J2372" s="1315"/>
      <c r="K2372" s="1316"/>
      <c r="L2372" s="1316"/>
      <c r="M2372" s="1315"/>
      <c r="N2372" s="1070"/>
      <c r="O2372" s="1070"/>
      <c r="P2372" s="1070"/>
      <c r="Q2372" s="1070"/>
      <c r="R2372" s="1070"/>
      <c r="S2372" s="1070"/>
      <c r="T2372" s="1070"/>
      <c r="U2372" s="1070"/>
      <c r="V2372" s="1070"/>
      <c r="W2372" s="1070"/>
      <c r="X2372" s="1070"/>
      <c r="Y2372" s="1070"/>
      <c r="Z2372" s="1070"/>
      <c r="AA2372" s="1070"/>
      <c r="AB2372" s="1070"/>
      <c r="AC2372" s="1070"/>
      <c r="AD2372" s="1070"/>
      <c r="AE2372" s="1070"/>
      <c r="AF2372" s="1070"/>
      <c r="AG2372" s="1070"/>
      <c r="AH2372" s="1070"/>
      <c r="AI2372" s="1070"/>
      <c r="AJ2372" s="1070"/>
      <c r="AK2372" s="1070"/>
      <c r="AL2372" s="1070"/>
      <c r="AM2372" s="1070"/>
      <c r="AN2372" s="1070"/>
      <c r="AO2372" s="1070"/>
      <c r="AP2372" s="1070"/>
      <c r="AQ2372" s="1070"/>
      <c r="AR2372" s="1070"/>
      <c r="AS2372" s="1070"/>
      <c r="AT2372" s="1070"/>
      <c r="AU2372" s="1070"/>
      <c r="AV2372" s="1070"/>
      <c r="AW2372" s="1070"/>
      <c r="AX2372" s="1070"/>
      <c r="AY2372" s="1070"/>
      <c r="AZ2372" s="1070"/>
      <c r="BA2372" s="1070"/>
      <c r="BB2372" s="1070"/>
      <c r="BC2372" s="1070"/>
      <c r="BD2372" s="1070"/>
      <c r="BE2372" s="1070"/>
      <c r="BF2372" s="1070"/>
      <c r="BG2372" s="1070"/>
      <c r="BH2372" s="1070"/>
      <c r="BI2372" s="1070"/>
      <c r="BJ2372" s="1070"/>
      <c r="BK2372" s="1070"/>
      <c r="BL2372" s="1070"/>
      <c r="BM2372" s="1070"/>
      <c r="BN2372" s="1070"/>
      <c r="BO2372" s="1070"/>
      <c r="BP2372" s="1070"/>
      <c r="BQ2372" s="1070"/>
      <c r="BR2372" s="1070"/>
      <c r="BS2372" s="1070"/>
      <c r="BT2372" s="1070"/>
      <c r="BU2372" s="1070"/>
      <c r="BV2372" s="1070"/>
      <c r="BW2372" s="1070"/>
      <c r="BX2372" s="1070"/>
      <c r="BY2372" s="1070"/>
      <c r="BZ2372" s="1070"/>
      <c r="CA2372" s="1070"/>
      <c r="CB2372" s="1070"/>
      <c r="CC2372" s="1070"/>
      <c r="CD2372" s="1070"/>
      <c r="CE2372" s="1070"/>
      <c r="CF2372" s="1070"/>
      <c r="CG2372" s="1070"/>
      <c r="CH2372" s="1070"/>
      <c r="CI2372" s="1070"/>
      <c r="CJ2372" s="1070"/>
      <c r="CK2372" s="1070"/>
      <c r="CL2372" s="1070"/>
      <c r="CM2372" s="1070"/>
      <c r="CN2372" s="1070"/>
      <c r="CO2372" s="1070"/>
      <c r="CP2372" s="1070"/>
      <c r="CQ2372" s="1070"/>
      <c r="CR2372" s="1070"/>
      <c r="CS2372" s="1070"/>
      <c r="CT2372" s="1070"/>
      <c r="CU2372" s="1070"/>
      <c r="CV2372" s="1070"/>
      <c r="CW2372" s="1070"/>
      <c r="CX2372" s="1070"/>
      <c r="CY2372" s="1070"/>
      <c r="CZ2372" s="1070"/>
      <c r="DA2372" s="1070"/>
      <c r="DB2372" s="1070"/>
      <c r="DC2372" s="1070"/>
      <c r="DD2372" s="1070"/>
      <c r="DE2372" s="1070"/>
      <c r="DF2372" s="1070"/>
      <c r="DG2372" s="1070"/>
      <c r="DH2372" s="1070"/>
      <c r="DI2372" s="1070"/>
      <c r="DJ2372" s="1070"/>
    </row>
    <row r="2373" spans="1:114" s="1136" customFormat="1" ht="27.75" customHeight="1" x14ac:dyDescent="0.3">
      <c r="A2373" s="1401" t="s">
        <v>4130</v>
      </c>
      <c r="B2373" s="1402"/>
      <c r="C2373" s="1384"/>
      <c r="D2373" s="1384"/>
      <c r="E2373" s="1384"/>
      <c r="F2373" s="1384"/>
      <c r="G2373" s="1384"/>
      <c r="H2373" s="1070"/>
      <c r="I2373" s="1070"/>
      <c r="J2373" s="1315"/>
      <c r="K2373" s="1316"/>
      <c r="L2373" s="1316"/>
      <c r="M2373" s="1315"/>
      <c r="N2373" s="1070"/>
      <c r="O2373" s="1070"/>
      <c r="P2373" s="1070"/>
      <c r="Q2373" s="1070"/>
      <c r="R2373" s="1070"/>
      <c r="S2373" s="1070"/>
      <c r="T2373" s="1070"/>
      <c r="U2373" s="1070"/>
      <c r="V2373" s="1070"/>
      <c r="W2373" s="1070"/>
      <c r="X2373" s="1070"/>
      <c r="Y2373" s="1070"/>
      <c r="Z2373" s="1070"/>
      <c r="AA2373" s="1070"/>
      <c r="AB2373" s="1070"/>
      <c r="AC2373" s="1070"/>
      <c r="AD2373" s="1070"/>
      <c r="AE2373" s="1070"/>
      <c r="AF2373" s="1070"/>
      <c r="AG2373" s="1070"/>
      <c r="AH2373" s="1070"/>
      <c r="AI2373" s="1070"/>
      <c r="AJ2373" s="1070"/>
      <c r="AK2373" s="1070"/>
      <c r="AL2373" s="1070"/>
      <c r="AM2373" s="1070"/>
      <c r="AN2373" s="1070"/>
      <c r="AO2373" s="1070"/>
      <c r="AP2373" s="1070"/>
      <c r="AQ2373" s="1070"/>
      <c r="AR2373" s="1070"/>
      <c r="AS2373" s="1070"/>
      <c r="AT2373" s="1070"/>
      <c r="AU2373" s="1070"/>
      <c r="AV2373" s="1070"/>
      <c r="AW2373" s="1070"/>
      <c r="AX2373" s="1070"/>
      <c r="AY2373" s="1070"/>
      <c r="AZ2373" s="1070"/>
      <c r="BA2373" s="1070"/>
      <c r="BB2373" s="1070"/>
      <c r="BC2373" s="1070"/>
      <c r="BD2373" s="1070"/>
      <c r="BE2373" s="1070"/>
      <c r="BF2373" s="1070"/>
      <c r="BG2373" s="1070"/>
      <c r="BH2373" s="1070"/>
      <c r="BI2373" s="1070"/>
      <c r="BJ2373" s="1070"/>
      <c r="BK2373" s="1070"/>
      <c r="BL2373" s="1070"/>
      <c r="BM2373" s="1070"/>
      <c r="BN2373" s="1070"/>
      <c r="BO2373" s="1070"/>
      <c r="BP2373" s="1070"/>
      <c r="BQ2373" s="1070"/>
      <c r="BR2373" s="1070"/>
      <c r="BS2373" s="1070"/>
      <c r="BT2373" s="1070"/>
      <c r="BU2373" s="1070"/>
      <c r="BV2373" s="1070"/>
      <c r="BW2373" s="1070"/>
      <c r="BX2373" s="1070"/>
      <c r="BY2373" s="1070"/>
      <c r="BZ2373" s="1070"/>
      <c r="CA2373" s="1070"/>
      <c r="CB2373" s="1070"/>
      <c r="CC2373" s="1070"/>
      <c r="CD2373" s="1070"/>
      <c r="CE2373" s="1070"/>
      <c r="CF2373" s="1070"/>
      <c r="CG2373" s="1070"/>
      <c r="CH2373" s="1070"/>
      <c r="CI2373" s="1070"/>
      <c r="CJ2373" s="1070"/>
      <c r="CK2373" s="1070"/>
      <c r="CL2373" s="1070"/>
      <c r="CM2373" s="1070"/>
      <c r="CN2373" s="1070"/>
      <c r="CO2373" s="1070"/>
      <c r="CP2373" s="1070"/>
      <c r="CQ2373" s="1070"/>
      <c r="CR2373" s="1070"/>
      <c r="CS2373" s="1070"/>
      <c r="CT2373" s="1070"/>
      <c r="CU2373" s="1070"/>
      <c r="CV2373" s="1070"/>
      <c r="CW2373" s="1070"/>
      <c r="CX2373" s="1070"/>
      <c r="CY2373" s="1070"/>
      <c r="CZ2373" s="1070"/>
      <c r="DA2373" s="1070"/>
      <c r="DB2373" s="1070"/>
      <c r="DC2373" s="1070"/>
      <c r="DD2373" s="1070"/>
      <c r="DE2373" s="1070"/>
      <c r="DF2373" s="1070"/>
      <c r="DG2373" s="1070"/>
      <c r="DH2373" s="1070"/>
      <c r="DI2373" s="1070"/>
      <c r="DJ2373" s="1070"/>
    </row>
    <row r="2374" spans="1:114" s="1136" customFormat="1" ht="15.75" x14ac:dyDescent="0.25">
      <c r="A2374" s="1403" t="s">
        <v>4131</v>
      </c>
      <c r="B2374" s="1404"/>
      <c r="C2374" s="1070"/>
      <c r="D2374" s="1070"/>
      <c r="E2374" s="1070"/>
      <c r="F2374" s="1070"/>
      <c r="G2374" s="1070"/>
      <c r="H2374" s="1070"/>
      <c r="I2374" s="1070"/>
      <c r="J2374" s="1070"/>
      <c r="K2374" s="1070"/>
      <c r="L2374" s="1070"/>
      <c r="M2374" s="1070"/>
      <c r="N2374" s="1070"/>
      <c r="O2374" s="1070"/>
      <c r="P2374" s="1070"/>
      <c r="Q2374" s="1070"/>
      <c r="R2374" s="1070"/>
      <c r="S2374" s="1070"/>
      <c r="T2374" s="1070"/>
      <c r="U2374" s="1070"/>
      <c r="V2374" s="1070"/>
      <c r="W2374" s="1070"/>
      <c r="X2374" s="1070"/>
      <c r="Y2374" s="1070"/>
      <c r="Z2374" s="1070"/>
      <c r="AA2374" s="1070"/>
      <c r="AB2374" s="1070"/>
      <c r="AC2374" s="1070"/>
      <c r="AD2374" s="1070"/>
      <c r="AE2374" s="1070"/>
      <c r="AF2374" s="1070"/>
      <c r="AG2374" s="1070"/>
      <c r="AH2374" s="1070"/>
      <c r="AI2374" s="1070"/>
      <c r="AJ2374" s="1070"/>
      <c r="AK2374" s="1070"/>
      <c r="AL2374" s="1070"/>
      <c r="AM2374" s="1070"/>
      <c r="AN2374" s="1070"/>
      <c r="AO2374" s="1070"/>
      <c r="AP2374" s="1070"/>
      <c r="AQ2374" s="1070"/>
      <c r="AR2374" s="1070"/>
      <c r="AS2374" s="1070"/>
      <c r="AT2374" s="1070"/>
      <c r="AU2374" s="1070"/>
      <c r="AV2374" s="1070"/>
      <c r="AW2374" s="1070"/>
      <c r="AX2374" s="1070"/>
      <c r="AY2374" s="1070"/>
      <c r="AZ2374" s="1070"/>
      <c r="BA2374" s="1070"/>
      <c r="BB2374" s="1070"/>
      <c r="BC2374" s="1070"/>
      <c r="BD2374" s="1070"/>
      <c r="BE2374" s="1070"/>
      <c r="BF2374" s="1070"/>
      <c r="BG2374" s="1070"/>
      <c r="BH2374" s="1070"/>
      <c r="BI2374" s="1070"/>
      <c r="BJ2374" s="1070"/>
      <c r="BK2374" s="1070"/>
      <c r="BL2374" s="1070"/>
      <c r="BM2374" s="1070"/>
      <c r="BN2374" s="1070"/>
      <c r="BO2374" s="1070"/>
      <c r="BP2374" s="1070"/>
      <c r="BQ2374" s="1070"/>
      <c r="BR2374" s="1070"/>
      <c r="BS2374" s="1070"/>
      <c r="BT2374" s="1070"/>
      <c r="BU2374" s="1070"/>
      <c r="BV2374" s="1070"/>
      <c r="BW2374" s="1070"/>
      <c r="BX2374" s="1070"/>
      <c r="BY2374" s="1070"/>
      <c r="BZ2374" s="1070"/>
      <c r="CA2374" s="1070"/>
      <c r="CB2374" s="1070"/>
      <c r="CC2374" s="1070"/>
      <c r="CD2374" s="1070"/>
      <c r="CE2374" s="1070"/>
      <c r="CF2374" s="1070"/>
      <c r="CG2374" s="1070"/>
      <c r="CH2374" s="1070"/>
      <c r="CI2374" s="1070"/>
      <c r="CJ2374" s="1070"/>
      <c r="CK2374" s="1070"/>
      <c r="CL2374" s="1070"/>
      <c r="CM2374" s="1070"/>
      <c r="CN2374" s="1070"/>
      <c r="CO2374" s="1070"/>
      <c r="CP2374" s="1070"/>
      <c r="CQ2374" s="1070"/>
      <c r="CR2374" s="1070"/>
      <c r="CS2374" s="1070"/>
      <c r="CT2374" s="1070"/>
      <c r="CU2374" s="1070"/>
      <c r="CV2374" s="1070"/>
      <c r="CW2374" s="1070"/>
      <c r="CX2374" s="1070"/>
      <c r="CY2374" s="1070"/>
      <c r="CZ2374" s="1070"/>
      <c r="DA2374" s="1070"/>
      <c r="DB2374" s="1070"/>
      <c r="DC2374" s="1070"/>
      <c r="DD2374" s="1070"/>
      <c r="DE2374" s="1070"/>
      <c r="DF2374" s="1070"/>
      <c r="DG2374" s="1070"/>
      <c r="DH2374" s="1070"/>
      <c r="DI2374" s="1070"/>
      <c r="DJ2374" s="1070"/>
    </row>
    <row r="2375" spans="1:114" s="1136" customFormat="1" ht="15.75" x14ac:dyDescent="0.25">
      <c r="A2375" s="1403" t="s">
        <v>4132</v>
      </c>
      <c r="B2375" s="1404"/>
      <c r="C2375" s="1070"/>
      <c r="D2375" s="1070"/>
      <c r="E2375" s="1070"/>
      <c r="F2375" s="1070"/>
      <c r="G2375" s="1070"/>
      <c r="H2375" s="1070"/>
      <c r="I2375" s="1070"/>
      <c r="J2375" s="1070"/>
      <c r="K2375" s="1070"/>
      <c r="L2375" s="1070"/>
      <c r="M2375" s="1070"/>
      <c r="N2375" s="1070"/>
      <c r="O2375" s="1070"/>
      <c r="P2375" s="1070"/>
      <c r="Q2375" s="1070"/>
      <c r="R2375" s="1070"/>
      <c r="S2375" s="1070"/>
      <c r="T2375" s="1070"/>
      <c r="U2375" s="1070"/>
      <c r="V2375" s="1070"/>
      <c r="W2375" s="1070"/>
      <c r="X2375" s="1070"/>
      <c r="Y2375" s="1070"/>
      <c r="Z2375" s="1070"/>
      <c r="AA2375" s="1070"/>
      <c r="AB2375" s="1070"/>
      <c r="AC2375" s="1070"/>
      <c r="AD2375" s="1070"/>
      <c r="AE2375" s="1070"/>
      <c r="AF2375" s="1070"/>
      <c r="AG2375" s="1070"/>
      <c r="AH2375" s="1070"/>
      <c r="AI2375" s="1070"/>
      <c r="AJ2375" s="1070"/>
      <c r="AK2375" s="1070"/>
      <c r="AL2375" s="1070"/>
      <c r="AM2375" s="1070"/>
      <c r="AN2375" s="1070"/>
      <c r="AO2375" s="1070"/>
      <c r="AP2375" s="1070"/>
      <c r="AQ2375" s="1070"/>
      <c r="AR2375" s="1070"/>
      <c r="AS2375" s="1070"/>
      <c r="AT2375" s="1070"/>
      <c r="AU2375" s="1070"/>
      <c r="AV2375" s="1070"/>
      <c r="AW2375" s="1070"/>
      <c r="AX2375" s="1070"/>
      <c r="AY2375" s="1070"/>
      <c r="AZ2375" s="1070"/>
      <c r="BA2375" s="1070"/>
      <c r="BB2375" s="1070"/>
      <c r="BC2375" s="1070"/>
      <c r="BD2375" s="1070"/>
      <c r="BE2375" s="1070"/>
      <c r="BF2375" s="1070"/>
      <c r="BG2375" s="1070"/>
      <c r="BH2375" s="1070"/>
      <c r="BI2375" s="1070"/>
      <c r="BJ2375" s="1070"/>
      <c r="BK2375" s="1070"/>
      <c r="BL2375" s="1070"/>
      <c r="BM2375" s="1070"/>
      <c r="BN2375" s="1070"/>
      <c r="BO2375" s="1070"/>
      <c r="BP2375" s="1070"/>
      <c r="BQ2375" s="1070"/>
      <c r="BR2375" s="1070"/>
      <c r="BS2375" s="1070"/>
      <c r="BT2375" s="1070"/>
      <c r="BU2375" s="1070"/>
      <c r="BV2375" s="1070"/>
      <c r="BW2375" s="1070"/>
      <c r="BX2375" s="1070"/>
      <c r="BY2375" s="1070"/>
      <c r="BZ2375" s="1070"/>
      <c r="CA2375" s="1070"/>
      <c r="CB2375" s="1070"/>
      <c r="CC2375" s="1070"/>
      <c r="CD2375" s="1070"/>
      <c r="CE2375" s="1070"/>
      <c r="CF2375" s="1070"/>
      <c r="CG2375" s="1070"/>
      <c r="CH2375" s="1070"/>
      <c r="CI2375" s="1070"/>
      <c r="CJ2375" s="1070"/>
      <c r="CK2375" s="1070"/>
      <c r="CL2375" s="1070"/>
      <c r="CM2375" s="1070"/>
      <c r="CN2375" s="1070"/>
      <c r="CO2375" s="1070"/>
      <c r="CP2375" s="1070"/>
      <c r="CQ2375" s="1070"/>
      <c r="CR2375" s="1070"/>
      <c r="CS2375" s="1070"/>
      <c r="CT2375" s="1070"/>
      <c r="CU2375" s="1070"/>
      <c r="CV2375" s="1070"/>
      <c r="CW2375" s="1070"/>
      <c r="CX2375" s="1070"/>
      <c r="CY2375" s="1070"/>
      <c r="CZ2375" s="1070"/>
      <c r="DA2375" s="1070"/>
      <c r="DB2375" s="1070"/>
      <c r="DC2375" s="1070"/>
      <c r="DD2375" s="1070"/>
      <c r="DE2375" s="1070"/>
      <c r="DF2375" s="1070"/>
      <c r="DG2375" s="1070"/>
      <c r="DH2375" s="1070"/>
      <c r="DI2375" s="1070"/>
      <c r="DJ2375" s="1070"/>
    </row>
    <row r="2376" spans="1:114" s="1136" customFormat="1" ht="15" x14ac:dyDescent="0.2">
      <c r="A2376" s="1405" t="s">
        <v>4133</v>
      </c>
      <c r="B2376" s="1406" t="e">
        <f>IF(B240&lt;=1,INDEX($G$3475:$G$3478,B248),INDEX($H$3475:$H$3478,B248))</f>
        <v>#VALUE!</v>
      </c>
      <c r="C2376" s="1407"/>
      <c r="D2376" s="1407"/>
      <c r="E2376" s="1407"/>
      <c r="F2376" s="1407"/>
      <c r="G2376" s="1407"/>
      <c r="H2376" s="1070"/>
      <c r="I2376" s="1070"/>
      <c r="J2376" s="1070"/>
      <c r="K2376" s="1070"/>
      <c r="L2376" s="1070"/>
      <c r="M2376" s="1070"/>
      <c r="N2376" s="1070"/>
      <c r="O2376" s="1070"/>
      <c r="P2376" s="1070"/>
      <c r="Q2376" s="1070"/>
      <c r="R2376" s="1070"/>
      <c r="S2376" s="1070"/>
      <c r="T2376" s="1070"/>
      <c r="U2376" s="1070"/>
      <c r="V2376" s="1070"/>
      <c r="W2376" s="1070"/>
      <c r="X2376" s="1070"/>
      <c r="Y2376" s="1070"/>
      <c r="Z2376" s="1070"/>
      <c r="AA2376" s="1070"/>
      <c r="AB2376" s="1070"/>
      <c r="AC2376" s="1070"/>
      <c r="AD2376" s="1070"/>
      <c r="AE2376" s="1070"/>
      <c r="AF2376" s="1070"/>
      <c r="AG2376" s="1070"/>
      <c r="AH2376" s="1070"/>
      <c r="AI2376" s="1070"/>
      <c r="AJ2376" s="1070"/>
      <c r="AK2376" s="1070"/>
      <c r="AL2376" s="1070"/>
      <c r="AM2376" s="1070"/>
      <c r="AN2376" s="1070"/>
      <c r="AO2376" s="1070"/>
      <c r="AP2376" s="1070"/>
      <c r="AQ2376" s="1070"/>
      <c r="AR2376" s="1070"/>
      <c r="AS2376" s="1070"/>
      <c r="AT2376" s="1070"/>
      <c r="AU2376" s="1070"/>
      <c r="AV2376" s="1070"/>
      <c r="AW2376" s="1070"/>
      <c r="AX2376" s="1070"/>
      <c r="AY2376" s="1070"/>
      <c r="AZ2376" s="1070"/>
      <c r="BA2376" s="1070"/>
      <c r="BB2376" s="1070"/>
      <c r="BC2376" s="1070"/>
      <c r="BD2376" s="1070"/>
      <c r="BE2376" s="1070"/>
      <c r="BF2376" s="1070"/>
      <c r="BG2376" s="1070"/>
      <c r="BH2376" s="1070"/>
      <c r="BI2376" s="1070"/>
      <c r="BJ2376" s="1070"/>
      <c r="BK2376" s="1070"/>
      <c r="BL2376" s="1070"/>
      <c r="BM2376" s="1070"/>
      <c r="BN2376" s="1070"/>
      <c r="BO2376" s="1070"/>
      <c r="BP2376" s="1070"/>
      <c r="BQ2376" s="1070"/>
      <c r="BR2376" s="1070"/>
      <c r="BS2376" s="1070"/>
      <c r="BT2376" s="1070"/>
      <c r="BU2376" s="1070"/>
      <c r="BV2376" s="1070"/>
      <c r="BW2376" s="1070"/>
      <c r="BX2376" s="1070"/>
      <c r="BY2376" s="1070"/>
      <c r="BZ2376" s="1070"/>
      <c r="CA2376" s="1070"/>
      <c r="CB2376" s="1070"/>
      <c r="CC2376" s="1070"/>
      <c r="CD2376" s="1070"/>
      <c r="CE2376" s="1070"/>
      <c r="CF2376" s="1070"/>
      <c r="CG2376" s="1070"/>
      <c r="CH2376" s="1070"/>
      <c r="CI2376" s="1070"/>
      <c r="CJ2376" s="1070"/>
      <c r="CK2376" s="1070"/>
      <c r="CL2376" s="1070"/>
      <c r="CM2376" s="1070"/>
      <c r="CN2376" s="1070"/>
      <c r="CO2376" s="1070"/>
      <c r="CP2376" s="1070"/>
      <c r="CQ2376" s="1070"/>
      <c r="CR2376" s="1070"/>
      <c r="CS2376" s="1070"/>
      <c r="CT2376" s="1070"/>
      <c r="CU2376" s="1070"/>
      <c r="CV2376" s="1070"/>
      <c r="CW2376" s="1070"/>
      <c r="CX2376" s="1070"/>
      <c r="CY2376" s="1070"/>
      <c r="CZ2376" s="1070"/>
      <c r="DA2376" s="1070"/>
      <c r="DB2376" s="1070"/>
      <c r="DC2376" s="1070"/>
      <c r="DD2376" s="1070"/>
      <c r="DE2376" s="1070"/>
      <c r="DF2376" s="1070"/>
      <c r="DG2376" s="1070"/>
      <c r="DH2376" s="1070"/>
      <c r="DI2376" s="1070"/>
      <c r="DJ2376" s="1070"/>
    </row>
    <row r="2377" spans="1:114" s="1136" customFormat="1" ht="15" x14ac:dyDescent="0.2">
      <c r="A2377" s="1405" t="s">
        <v>4134</v>
      </c>
      <c r="B2377" s="1406">
        <f>INDEX($D$3475:$D$3478,B249)</f>
        <v>1</v>
      </c>
      <c r="C2377" s="1407"/>
      <c r="D2377" s="1407"/>
      <c r="E2377" s="1407"/>
      <c r="F2377" s="1407"/>
      <c r="G2377" s="1407"/>
      <c r="H2377" s="1070"/>
      <c r="I2377" s="1070"/>
      <c r="J2377" s="1070"/>
      <c r="K2377" s="1070"/>
      <c r="L2377" s="1070"/>
      <c r="M2377" s="1070"/>
      <c r="N2377" s="1070"/>
      <c r="O2377" s="1070"/>
      <c r="P2377" s="1070"/>
      <c r="Q2377" s="1070"/>
      <c r="R2377" s="1070"/>
      <c r="S2377" s="1070"/>
      <c r="T2377" s="1070"/>
      <c r="U2377" s="1070"/>
      <c r="V2377" s="1070"/>
      <c r="W2377" s="1070"/>
      <c r="X2377" s="1070"/>
      <c r="Y2377" s="1070"/>
      <c r="Z2377" s="1070"/>
      <c r="AA2377" s="1070"/>
      <c r="AB2377" s="1070"/>
      <c r="AC2377" s="1070"/>
      <c r="AD2377" s="1070"/>
      <c r="AE2377" s="1070"/>
      <c r="AF2377" s="1070"/>
      <c r="AG2377" s="1070"/>
      <c r="AH2377" s="1070"/>
      <c r="AI2377" s="1070"/>
      <c r="AJ2377" s="1070"/>
      <c r="AK2377" s="1070"/>
      <c r="AL2377" s="1070"/>
      <c r="AM2377" s="1070"/>
      <c r="AN2377" s="1070"/>
      <c r="AO2377" s="1070"/>
      <c r="AP2377" s="1070"/>
      <c r="AQ2377" s="1070"/>
      <c r="AR2377" s="1070"/>
      <c r="AS2377" s="1070"/>
      <c r="AT2377" s="1070"/>
      <c r="AU2377" s="1070"/>
      <c r="AV2377" s="1070"/>
      <c r="AW2377" s="1070"/>
      <c r="AX2377" s="1070"/>
      <c r="AY2377" s="1070"/>
      <c r="AZ2377" s="1070"/>
      <c r="BA2377" s="1070"/>
      <c r="BB2377" s="1070"/>
      <c r="BC2377" s="1070"/>
      <c r="BD2377" s="1070"/>
      <c r="BE2377" s="1070"/>
      <c r="BF2377" s="1070"/>
      <c r="BG2377" s="1070"/>
      <c r="BH2377" s="1070"/>
      <c r="BI2377" s="1070"/>
      <c r="BJ2377" s="1070"/>
      <c r="BK2377" s="1070"/>
      <c r="BL2377" s="1070"/>
      <c r="BM2377" s="1070"/>
      <c r="BN2377" s="1070"/>
      <c r="BO2377" s="1070"/>
      <c r="BP2377" s="1070"/>
      <c r="BQ2377" s="1070"/>
      <c r="BR2377" s="1070"/>
      <c r="BS2377" s="1070"/>
      <c r="BT2377" s="1070"/>
      <c r="BU2377" s="1070"/>
      <c r="BV2377" s="1070"/>
      <c r="BW2377" s="1070"/>
      <c r="BX2377" s="1070"/>
      <c r="BY2377" s="1070"/>
      <c r="BZ2377" s="1070"/>
      <c r="CA2377" s="1070"/>
      <c r="CB2377" s="1070"/>
      <c r="CC2377" s="1070"/>
      <c r="CD2377" s="1070"/>
      <c r="CE2377" s="1070"/>
      <c r="CF2377" s="1070"/>
      <c r="CG2377" s="1070"/>
      <c r="CH2377" s="1070"/>
      <c r="CI2377" s="1070"/>
      <c r="CJ2377" s="1070"/>
      <c r="CK2377" s="1070"/>
      <c r="CL2377" s="1070"/>
      <c r="CM2377" s="1070"/>
      <c r="CN2377" s="1070"/>
      <c r="CO2377" s="1070"/>
      <c r="CP2377" s="1070"/>
      <c r="CQ2377" s="1070"/>
      <c r="CR2377" s="1070"/>
      <c r="CS2377" s="1070"/>
      <c r="CT2377" s="1070"/>
      <c r="CU2377" s="1070"/>
      <c r="CV2377" s="1070"/>
      <c r="CW2377" s="1070"/>
      <c r="CX2377" s="1070"/>
      <c r="CY2377" s="1070"/>
      <c r="CZ2377" s="1070"/>
      <c r="DA2377" s="1070"/>
      <c r="DB2377" s="1070"/>
      <c r="DC2377" s="1070"/>
      <c r="DD2377" s="1070"/>
      <c r="DE2377" s="1070"/>
      <c r="DF2377" s="1070"/>
      <c r="DG2377" s="1070"/>
      <c r="DH2377" s="1070"/>
      <c r="DI2377" s="1070"/>
      <c r="DJ2377" s="1070"/>
    </row>
    <row r="2378" spans="1:114" s="1136" customFormat="1" ht="15" x14ac:dyDescent="0.2">
      <c r="A2378" s="1405" t="s">
        <v>4135</v>
      </c>
      <c r="B2378" s="1406" t="e">
        <f>IF(B250&lt;=700,1,IF(B250&lt;=900,0.95,IF(B250&lt;=1050,0.9,IF(B250&lt;=1200,0.85,0.8))))</f>
        <v>#VALUE!</v>
      </c>
      <c r="C2378" s="1407"/>
      <c r="D2378" s="1407"/>
      <c r="E2378" s="1407"/>
      <c r="F2378" s="1407"/>
      <c r="G2378" s="1407"/>
      <c r="H2378" s="1070"/>
      <c r="I2378" s="1070"/>
      <c r="J2378" s="1070"/>
      <c r="K2378" s="1070"/>
      <c r="L2378" s="1070"/>
      <c r="M2378" s="1070"/>
      <c r="N2378" s="1070"/>
      <c r="O2378" s="1070"/>
      <c r="P2378" s="1070"/>
      <c r="Q2378" s="1070"/>
      <c r="R2378" s="1070"/>
      <c r="S2378" s="1070"/>
      <c r="T2378" s="1070"/>
      <c r="U2378" s="1070"/>
      <c r="V2378" s="1070"/>
      <c r="W2378" s="1070"/>
      <c r="X2378" s="1070"/>
      <c r="Y2378" s="1070"/>
      <c r="Z2378" s="1070"/>
      <c r="AA2378" s="1070"/>
      <c r="AB2378" s="1070"/>
      <c r="AC2378" s="1070"/>
      <c r="AD2378" s="1070"/>
      <c r="AE2378" s="1070"/>
      <c r="AF2378" s="1070"/>
      <c r="AG2378" s="1070"/>
      <c r="AH2378" s="1070"/>
      <c r="AI2378" s="1070"/>
      <c r="AJ2378" s="1070"/>
      <c r="AK2378" s="1070"/>
      <c r="AL2378" s="1070"/>
      <c r="AM2378" s="1070"/>
      <c r="AN2378" s="1070"/>
      <c r="AO2378" s="1070"/>
      <c r="AP2378" s="1070"/>
      <c r="AQ2378" s="1070"/>
      <c r="AR2378" s="1070"/>
      <c r="AS2378" s="1070"/>
      <c r="AT2378" s="1070"/>
      <c r="AU2378" s="1070"/>
      <c r="AV2378" s="1070"/>
      <c r="AW2378" s="1070"/>
      <c r="AX2378" s="1070"/>
      <c r="AY2378" s="1070"/>
      <c r="AZ2378" s="1070"/>
      <c r="BA2378" s="1070"/>
      <c r="BB2378" s="1070"/>
      <c r="BC2378" s="1070"/>
      <c r="BD2378" s="1070"/>
      <c r="BE2378" s="1070"/>
      <c r="BF2378" s="1070"/>
      <c r="BG2378" s="1070"/>
      <c r="BH2378" s="1070"/>
      <c r="BI2378" s="1070"/>
      <c r="BJ2378" s="1070"/>
      <c r="BK2378" s="1070"/>
      <c r="BL2378" s="1070"/>
      <c r="BM2378" s="1070"/>
      <c r="BN2378" s="1070"/>
      <c r="BO2378" s="1070"/>
      <c r="BP2378" s="1070"/>
      <c r="BQ2378" s="1070"/>
      <c r="BR2378" s="1070"/>
      <c r="BS2378" s="1070"/>
      <c r="BT2378" s="1070"/>
      <c r="BU2378" s="1070"/>
      <c r="BV2378" s="1070"/>
      <c r="BW2378" s="1070"/>
      <c r="BX2378" s="1070"/>
      <c r="BY2378" s="1070"/>
      <c r="BZ2378" s="1070"/>
      <c r="CA2378" s="1070"/>
      <c r="CB2378" s="1070"/>
      <c r="CC2378" s="1070"/>
      <c r="CD2378" s="1070"/>
      <c r="CE2378" s="1070"/>
      <c r="CF2378" s="1070"/>
      <c r="CG2378" s="1070"/>
      <c r="CH2378" s="1070"/>
      <c r="CI2378" s="1070"/>
      <c r="CJ2378" s="1070"/>
      <c r="CK2378" s="1070"/>
      <c r="CL2378" s="1070"/>
      <c r="CM2378" s="1070"/>
      <c r="CN2378" s="1070"/>
      <c r="CO2378" s="1070"/>
      <c r="CP2378" s="1070"/>
      <c r="CQ2378" s="1070"/>
      <c r="CR2378" s="1070"/>
      <c r="CS2378" s="1070"/>
      <c r="CT2378" s="1070"/>
      <c r="CU2378" s="1070"/>
      <c r="CV2378" s="1070"/>
      <c r="CW2378" s="1070"/>
      <c r="CX2378" s="1070"/>
      <c r="CY2378" s="1070"/>
      <c r="CZ2378" s="1070"/>
      <c r="DA2378" s="1070"/>
      <c r="DB2378" s="1070"/>
      <c r="DC2378" s="1070"/>
      <c r="DD2378" s="1070"/>
      <c r="DE2378" s="1070"/>
      <c r="DF2378" s="1070"/>
      <c r="DG2378" s="1070"/>
      <c r="DH2378" s="1070"/>
      <c r="DI2378" s="1070"/>
      <c r="DJ2378" s="1070"/>
    </row>
    <row r="2379" spans="1:114" s="1136" customFormat="1" ht="15" x14ac:dyDescent="0.2">
      <c r="A2379" s="1405" t="s">
        <v>4136</v>
      </c>
      <c r="B2379" s="1406">
        <f>IF(B244&lt;=1.25,0.9,IF(B244&lt;=1.32,0.95,IF(B244&lt;=1.39,1,IF(B244&lt;=1.46,1.05,IF(B244&lt;=1.52,1.1,IF(B244&lt;=1.6,1.15,B2380))))))</f>
        <v>1.35</v>
      </c>
      <c r="C2379" s="1407"/>
      <c r="D2379" s="1407"/>
      <c r="E2379" s="1407"/>
      <c r="F2379" s="1407"/>
      <c r="G2379" s="1407"/>
      <c r="H2379" s="1070"/>
      <c r="I2379" s="1070"/>
      <c r="J2379" s="1070"/>
      <c r="K2379" s="1070"/>
      <c r="L2379" s="1070"/>
      <c r="M2379" s="1070"/>
      <c r="N2379" s="1070"/>
      <c r="O2379" s="1070"/>
      <c r="P2379" s="1070"/>
      <c r="Q2379" s="1070"/>
      <c r="R2379" s="1070"/>
      <c r="S2379" s="1070"/>
      <c r="T2379" s="1070"/>
      <c r="U2379" s="1070"/>
      <c r="V2379" s="1070"/>
      <c r="W2379" s="1070"/>
      <c r="X2379" s="1070"/>
      <c r="Y2379" s="1070"/>
      <c r="Z2379" s="1070"/>
      <c r="AA2379" s="1070"/>
      <c r="AB2379" s="1070"/>
      <c r="AC2379" s="1070"/>
      <c r="AD2379" s="1070"/>
      <c r="AE2379" s="1070"/>
      <c r="AF2379" s="1070"/>
      <c r="AG2379" s="1070"/>
      <c r="AH2379" s="1070"/>
      <c r="AI2379" s="1070"/>
      <c r="AJ2379" s="1070"/>
      <c r="AK2379" s="1070"/>
      <c r="AL2379" s="1070"/>
      <c r="AM2379" s="1070"/>
      <c r="AN2379" s="1070"/>
      <c r="AO2379" s="1070"/>
      <c r="AP2379" s="1070"/>
      <c r="AQ2379" s="1070"/>
      <c r="AR2379" s="1070"/>
      <c r="AS2379" s="1070"/>
      <c r="AT2379" s="1070"/>
      <c r="AU2379" s="1070"/>
      <c r="AV2379" s="1070"/>
      <c r="AW2379" s="1070"/>
      <c r="AX2379" s="1070"/>
      <c r="AY2379" s="1070"/>
      <c r="AZ2379" s="1070"/>
      <c r="BA2379" s="1070"/>
      <c r="BB2379" s="1070"/>
      <c r="BC2379" s="1070"/>
      <c r="BD2379" s="1070"/>
      <c r="BE2379" s="1070"/>
      <c r="BF2379" s="1070"/>
      <c r="BG2379" s="1070"/>
      <c r="BH2379" s="1070"/>
      <c r="BI2379" s="1070"/>
      <c r="BJ2379" s="1070"/>
      <c r="BK2379" s="1070"/>
      <c r="BL2379" s="1070"/>
      <c r="BM2379" s="1070"/>
      <c r="BN2379" s="1070"/>
      <c r="BO2379" s="1070"/>
      <c r="BP2379" s="1070"/>
      <c r="BQ2379" s="1070"/>
      <c r="BR2379" s="1070"/>
      <c r="BS2379" s="1070"/>
      <c r="BT2379" s="1070"/>
      <c r="BU2379" s="1070"/>
      <c r="BV2379" s="1070"/>
      <c r="BW2379" s="1070"/>
      <c r="BX2379" s="1070"/>
      <c r="BY2379" s="1070"/>
      <c r="BZ2379" s="1070"/>
      <c r="CA2379" s="1070"/>
      <c r="CB2379" s="1070"/>
      <c r="CC2379" s="1070"/>
      <c r="CD2379" s="1070"/>
      <c r="CE2379" s="1070"/>
      <c r="CF2379" s="1070"/>
      <c r="CG2379" s="1070"/>
      <c r="CH2379" s="1070"/>
      <c r="CI2379" s="1070"/>
      <c r="CJ2379" s="1070"/>
      <c r="CK2379" s="1070"/>
      <c r="CL2379" s="1070"/>
      <c r="CM2379" s="1070"/>
      <c r="CN2379" s="1070"/>
      <c r="CO2379" s="1070"/>
      <c r="CP2379" s="1070"/>
      <c r="CQ2379" s="1070"/>
      <c r="CR2379" s="1070"/>
      <c r="CS2379" s="1070"/>
      <c r="CT2379" s="1070"/>
      <c r="CU2379" s="1070"/>
      <c r="CV2379" s="1070"/>
      <c r="CW2379" s="1070"/>
      <c r="CX2379" s="1070"/>
      <c r="CY2379" s="1070"/>
      <c r="CZ2379" s="1070"/>
      <c r="DA2379" s="1070"/>
      <c r="DB2379" s="1070"/>
      <c r="DC2379" s="1070"/>
      <c r="DD2379" s="1070"/>
      <c r="DE2379" s="1070"/>
      <c r="DF2379" s="1070"/>
      <c r="DG2379" s="1070"/>
      <c r="DH2379" s="1070"/>
      <c r="DI2379" s="1070"/>
      <c r="DJ2379" s="1070"/>
    </row>
    <row r="2380" spans="1:114" s="1136" customFormat="1" ht="15" x14ac:dyDescent="0.2">
      <c r="A2380" s="1408" t="s">
        <v>4137</v>
      </c>
      <c r="B2380" s="1406">
        <f>IF(B244&lt;=1.65,1.2,IF(B244&lt;=1.74,1.25,IF(B244&lt;=1.79,1.3,1.35)))</f>
        <v>1.35</v>
      </c>
      <c r="C2380" s="1407"/>
      <c r="D2380" s="1407"/>
      <c r="E2380" s="1407"/>
      <c r="F2380" s="1407"/>
      <c r="G2380" s="1407"/>
      <c r="H2380" s="1070"/>
      <c r="I2380" s="1070"/>
      <c r="J2380" s="1070"/>
      <c r="K2380" s="1070"/>
      <c r="L2380" s="1070"/>
      <c r="M2380" s="1070"/>
      <c r="N2380" s="1070"/>
      <c r="O2380" s="1070"/>
      <c r="P2380" s="1070"/>
      <c r="Q2380" s="1070"/>
      <c r="R2380" s="1070"/>
      <c r="S2380" s="1070"/>
      <c r="T2380" s="1070"/>
      <c r="U2380" s="1070"/>
      <c r="V2380" s="1070"/>
      <c r="W2380" s="1070"/>
      <c r="X2380" s="1070"/>
      <c r="Y2380" s="1070"/>
      <c r="Z2380" s="1070"/>
      <c r="AA2380" s="1070"/>
      <c r="AB2380" s="1070"/>
      <c r="AC2380" s="1070"/>
      <c r="AD2380" s="1070"/>
      <c r="AE2380" s="1070"/>
      <c r="AF2380" s="1070"/>
      <c r="AG2380" s="1070"/>
      <c r="AH2380" s="1070"/>
      <c r="AI2380" s="1070"/>
      <c r="AJ2380" s="1070"/>
      <c r="AK2380" s="1070"/>
      <c r="AL2380" s="1070"/>
      <c r="AM2380" s="1070"/>
      <c r="AN2380" s="1070"/>
      <c r="AO2380" s="1070"/>
      <c r="AP2380" s="1070"/>
      <c r="AQ2380" s="1070"/>
      <c r="AR2380" s="1070"/>
      <c r="AS2380" s="1070"/>
      <c r="AT2380" s="1070"/>
      <c r="AU2380" s="1070"/>
      <c r="AV2380" s="1070"/>
      <c r="AW2380" s="1070"/>
      <c r="AX2380" s="1070"/>
      <c r="AY2380" s="1070"/>
      <c r="AZ2380" s="1070"/>
      <c r="BA2380" s="1070"/>
      <c r="BB2380" s="1070"/>
      <c r="BC2380" s="1070"/>
      <c r="BD2380" s="1070"/>
      <c r="BE2380" s="1070"/>
      <c r="BF2380" s="1070"/>
      <c r="BG2380" s="1070"/>
      <c r="BH2380" s="1070"/>
      <c r="BI2380" s="1070"/>
      <c r="BJ2380" s="1070"/>
      <c r="BK2380" s="1070"/>
      <c r="BL2380" s="1070"/>
      <c r="BM2380" s="1070"/>
      <c r="BN2380" s="1070"/>
      <c r="BO2380" s="1070"/>
      <c r="BP2380" s="1070"/>
      <c r="BQ2380" s="1070"/>
      <c r="BR2380" s="1070"/>
      <c r="BS2380" s="1070"/>
      <c r="BT2380" s="1070"/>
      <c r="BU2380" s="1070"/>
      <c r="BV2380" s="1070"/>
      <c r="BW2380" s="1070"/>
      <c r="BX2380" s="1070"/>
      <c r="BY2380" s="1070"/>
      <c r="BZ2380" s="1070"/>
      <c r="CA2380" s="1070"/>
      <c r="CB2380" s="1070"/>
      <c r="CC2380" s="1070"/>
      <c r="CD2380" s="1070"/>
      <c r="CE2380" s="1070"/>
      <c r="CF2380" s="1070"/>
      <c r="CG2380" s="1070"/>
      <c r="CH2380" s="1070"/>
      <c r="CI2380" s="1070"/>
      <c r="CJ2380" s="1070"/>
      <c r="CK2380" s="1070"/>
      <c r="CL2380" s="1070"/>
      <c r="CM2380" s="1070"/>
      <c r="CN2380" s="1070"/>
      <c r="CO2380" s="1070"/>
      <c r="CP2380" s="1070"/>
      <c r="CQ2380" s="1070"/>
      <c r="CR2380" s="1070"/>
      <c r="CS2380" s="1070"/>
      <c r="CT2380" s="1070"/>
      <c r="CU2380" s="1070"/>
      <c r="CV2380" s="1070"/>
      <c r="CW2380" s="1070"/>
      <c r="CX2380" s="1070"/>
      <c r="CY2380" s="1070"/>
      <c r="CZ2380" s="1070"/>
      <c r="DA2380" s="1070"/>
      <c r="DB2380" s="1070"/>
      <c r="DC2380" s="1070"/>
      <c r="DD2380" s="1070"/>
      <c r="DE2380" s="1070"/>
      <c r="DF2380" s="1070"/>
      <c r="DG2380" s="1070"/>
      <c r="DH2380" s="1070"/>
      <c r="DI2380" s="1070"/>
      <c r="DJ2380" s="1070"/>
    </row>
    <row r="2381" spans="1:114" s="1136" customFormat="1" ht="15" x14ac:dyDescent="0.2">
      <c r="A2381" s="1405" t="s">
        <v>4138</v>
      </c>
      <c r="B2381" s="1406">
        <f>IF(B253&lt;9,0.99-0.02*B253,0.8)</f>
        <v>0.99</v>
      </c>
      <c r="C2381" s="1407"/>
      <c r="D2381" s="1407"/>
      <c r="E2381" s="1407"/>
      <c r="F2381" s="1407"/>
      <c r="G2381" s="1407"/>
      <c r="H2381" s="1070"/>
      <c r="I2381" s="1070"/>
      <c r="J2381" s="1070"/>
      <c r="K2381" s="1070"/>
      <c r="L2381" s="1070"/>
      <c r="M2381" s="1070"/>
      <c r="N2381" s="1070"/>
      <c r="O2381" s="1070"/>
      <c r="P2381" s="1070"/>
      <c r="Q2381" s="1070"/>
      <c r="R2381" s="1070"/>
      <c r="S2381" s="1070"/>
      <c r="T2381" s="1070"/>
      <c r="U2381" s="1070"/>
      <c r="V2381" s="1070"/>
      <c r="W2381" s="1070"/>
      <c r="X2381" s="1070"/>
      <c r="Y2381" s="1070"/>
      <c r="Z2381" s="1070"/>
      <c r="AA2381" s="1070"/>
      <c r="AB2381" s="1070"/>
      <c r="AC2381" s="1070"/>
      <c r="AD2381" s="1070"/>
      <c r="AE2381" s="1070"/>
      <c r="AF2381" s="1070"/>
      <c r="AG2381" s="1070"/>
      <c r="AH2381" s="1070"/>
      <c r="AI2381" s="1070"/>
      <c r="AJ2381" s="1070"/>
      <c r="AK2381" s="1070"/>
      <c r="AL2381" s="1070"/>
      <c r="AM2381" s="1070"/>
      <c r="AN2381" s="1070"/>
      <c r="AO2381" s="1070"/>
      <c r="AP2381" s="1070"/>
      <c r="AQ2381" s="1070"/>
      <c r="AR2381" s="1070"/>
      <c r="AS2381" s="1070"/>
      <c r="AT2381" s="1070"/>
      <c r="AU2381" s="1070"/>
      <c r="AV2381" s="1070"/>
      <c r="AW2381" s="1070"/>
      <c r="AX2381" s="1070"/>
      <c r="AY2381" s="1070"/>
      <c r="AZ2381" s="1070"/>
      <c r="BA2381" s="1070"/>
      <c r="BB2381" s="1070"/>
      <c r="BC2381" s="1070"/>
      <c r="BD2381" s="1070"/>
      <c r="BE2381" s="1070"/>
      <c r="BF2381" s="1070"/>
      <c r="BG2381" s="1070"/>
      <c r="BH2381" s="1070"/>
      <c r="BI2381" s="1070"/>
      <c r="BJ2381" s="1070"/>
      <c r="BK2381" s="1070"/>
      <c r="BL2381" s="1070"/>
      <c r="BM2381" s="1070"/>
      <c r="BN2381" s="1070"/>
      <c r="BO2381" s="1070"/>
      <c r="BP2381" s="1070"/>
      <c r="BQ2381" s="1070"/>
      <c r="BR2381" s="1070"/>
      <c r="BS2381" s="1070"/>
      <c r="BT2381" s="1070"/>
      <c r="BU2381" s="1070"/>
      <c r="BV2381" s="1070"/>
      <c r="BW2381" s="1070"/>
      <c r="BX2381" s="1070"/>
      <c r="BY2381" s="1070"/>
      <c r="BZ2381" s="1070"/>
      <c r="CA2381" s="1070"/>
      <c r="CB2381" s="1070"/>
      <c r="CC2381" s="1070"/>
      <c r="CD2381" s="1070"/>
      <c r="CE2381" s="1070"/>
      <c r="CF2381" s="1070"/>
      <c r="CG2381" s="1070"/>
      <c r="CH2381" s="1070"/>
      <c r="CI2381" s="1070"/>
      <c r="CJ2381" s="1070"/>
      <c r="CK2381" s="1070"/>
      <c r="CL2381" s="1070"/>
      <c r="CM2381" s="1070"/>
      <c r="CN2381" s="1070"/>
      <c r="CO2381" s="1070"/>
      <c r="CP2381" s="1070"/>
      <c r="CQ2381" s="1070"/>
      <c r="CR2381" s="1070"/>
      <c r="CS2381" s="1070"/>
      <c r="CT2381" s="1070"/>
      <c r="CU2381" s="1070"/>
      <c r="CV2381" s="1070"/>
      <c r="CW2381" s="1070"/>
      <c r="CX2381" s="1070"/>
      <c r="CY2381" s="1070"/>
      <c r="CZ2381" s="1070"/>
      <c r="DA2381" s="1070"/>
      <c r="DB2381" s="1070"/>
      <c r="DC2381" s="1070"/>
      <c r="DD2381" s="1070"/>
      <c r="DE2381" s="1070"/>
      <c r="DF2381" s="1070"/>
      <c r="DG2381" s="1070"/>
      <c r="DH2381" s="1070"/>
      <c r="DI2381" s="1070"/>
      <c r="DJ2381" s="1070"/>
    </row>
    <row r="2382" spans="1:114" s="1136" customFormat="1" ht="15" x14ac:dyDescent="0.2">
      <c r="A2382" s="1405" t="s">
        <v>4139</v>
      </c>
      <c r="B2382" s="1406" t="e">
        <f>1-0.05*B254</f>
        <v>#VALUE!</v>
      </c>
      <c r="C2382" s="1407"/>
      <c r="D2382" s="1407"/>
      <c r="E2382" s="1407"/>
      <c r="F2382" s="1407"/>
      <c r="G2382" s="1407"/>
      <c r="H2382" s="1070"/>
      <c r="I2382" s="1070"/>
      <c r="J2382" s="1070"/>
      <c r="K2382" s="1070"/>
      <c r="L2382" s="1070"/>
      <c r="M2382" s="1070"/>
      <c r="N2382" s="1070"/>
      <c r="O2382" s="1070"/>
      <c r="P2382" s="1070"/>
      <c r="Q2382" s="1070"/>
      <c r="R2382" s="1070"/>
      <c r="S2382" s="1070"/>
      <c r="T2382" s="1070"/>
      <c r="U2382" s="1070"/>
      <c r="V2382" s="1070"/>
      <c r="W2382" s="1070"/>
      <c r="X2382" s="1070"/>
      <c r="Y2382" s="1070"/>
      <c r="Z2382" s="1070"/>
      <c r="AA2382" s="1070"/>
      <c r="AB2382" s="1070"/>
      <c r="AC2382" s="1070"/>
      <c r="AD2382" s="1070"/>
      <c r="AE2382" s="1070"/>
      <c r="AF2382" s="1070"/>
      <c r="AG2382" s="1070"/>
      <c r="AH2382" s="1070"/>
      <c r="AI2382" s="1070"/>
      <c r="AJ2382" s="1070"/>
      <c r="AK2382" s="1070"/>
      <c r="AL2382" s="1070"/>
      <c r="AM2382" s="1070"/>
      <c r="AN2382" s="1070"/>
      <c r="AO2382" s="1070"/>
      <c r="AP2382" s="1070"/>
      <c r="AQ2382" s="1070"/>
      <c r="AR2382" s="1070"/>
      <c r="AS2382" s="1070"/>
      <c r="AT2382" s="1070"/>
      <c r="AU2382" s="1070"/>
      <c r="AV2382" s="1070"/>
      <c r="AW2382" s="1070"/>
      <c r="AX2382" s="1070"/>
      <c r="AY2382" s="1070"/>
      <c r="AZ2382" s="1070"/>
      <c r="BA2382" s="1070"/>
      <c r="BB2382" s="1070"/>
      <c r="BC2382" s="1070"/>
      <c r="BD2382" s="1070"/>
      <c r="BE2382" s="1070"/>
      <c r="BF2382" s="1070"/>
      <c r="BG2382" s="1070"/>
      <c r="BH2382" s="1070"/>
      <c r="BI2382" s="1070"/>
      <c r="BJ2382" s="1070"/>
      <c r="BK2382" s="1070"/>
      <c r="BL2382" s="1070"/>
      <c r="BM2382" s="1070"/>
      <c r="BN2382" s="1070"/>
      <c r="BO2382" s="1070"/>
      <c r="BP2382" s="1070"/>
      <c r="BQ2382" s="1070"/>
      <c r="BR2382" s="1070"/>
      <c r="BS2382" s="1070"/>
      <c r="BT2382" s="1070"/>
      <c r="BU2382" s="1070"/>
      <c r="BV2382" s="1070"/>
      <c r="BW2382" s="1070"/>
      <c r="BX2382" s="1070"/>
      <c r="BY2382" s="1070"/>
      <c r="BZ2382" s="1070"/>
      <c r="CA2382" s="1070"/>
      <c r="CB2382" s="1070"/>
      <c r="CC2382" s="1070"/>
      <c r="CD2382" s="1070"/>
      <c r="CE2382" s="1070"/>
      <c r="CF2382" s="1070"/>
      <c r="CG2382" s="1070"/>
      <c r="CH2382" s="1070"/>
      <c r="CI2382" s="1070"/>
      <c r="CJ2382" s="1070"/>
      <c r="CK2382" s="1070"/>
      <c r="CL2382" s="1070"/>
      <c r="CM2382" s="1070"/>
      <c r="CN2382" s="1070"/>
      <c r="CO2382" s="1070"/>
      <c r="CP2382" s="1070"/>
      <c r="CQ2382" s="1070"/>
      <c r="CR2382" s="1070"/>
      <c r="CS2382" s="1070"/>
      <c r="CT2382" s="1070"/>
      <c r="CU2382" s="1070"/>
      <c r="CV2382" s="1070"/>
      <c r="CW2382" s="1070"/>
      <c r="CX2382" s="1070"/>
      <c r="CY2382" s="1070"/>
      <c r="CZ2382" s="1070"/>
      <c r="DA2382" s="1070"/>
      <c r="DB2382" s="1070"/>
      <c r="DC2382" s="1070"/>
      <c r="DD2382" s="1070"/>
      <c r="DE2382" s="1070"/>
      <c r="DF2382" s="1070"/>
      <c r="DG2382" s="1070"/>
      <c r="DH2382" s="1070"/>
      <c r="DI2382" s="1070"/>
      <c r="DJ2382" s="1070"/>
    </row>
    <row r="2383" spans="1:114" s="1136" customFormat="1" ht="15.75" x14ac:dyDescent="0.25">
      <c r="A2383" s="1403" t="s">
        <v>4140</v>
      </c>
      <c r="B2383" s="1409" t="e">
        <f>B2376*B2377*B2378*B2379*B2381*B2382</f>
        <v>#VALUE!</v>
      </c>
      <c r="C2383" s="1410"/>
      <c r="D2383" s="1410"/>
      <c r="E2383" s="1410"/>
      <c r="F2383" s="1410"/>
      <c r="G2383" s="1410"/>
      <c r="H2383" s="1070"/>
      <c r="I2383" s="1070"/>
      <c r="J2383" s="1070"/>
      <c r="K2383" s="1070"/>
      <c r="L2383" s="1070"/>
      <c r="M2383" s="1070"/>
      <c r="N2383" s="1070"/>
      <c r="O2383" s="1070"/>
      <c r="P2383" s="1070"/>
      <c r="Q2383" s="1070"/>
      <c r="R2383" s="1070"/>
      <c r="S2383" s="1070"/>
      <c r="T2383" s="1070"/>
      <c r="U2383" s="1070"/>
      <c r="V2383" s="1070"/>
      <c r="W2383" s="1070"/>
      <c r="X2383" s="1070"/>
      <c r="Y2383" s="1070"/>
      <c r="Z2383" s="1070"/>
      <c r="AA2383" s="1070"/>
      <c r="AB2383" s="1070"/>
      <c r="AC2383" s="1070"/>
      <c r="AD2383" s="1070"/>
      <c r="AE2383" s="1070"/>
      <c r="AF2383" s="1070"/>
      <c r="AG2383" s="1070"/>
      <c r="AH2383" s="1070"/>
      <c r="AI2383" s="1070"/>
      <c r="AJ2383" s="1070"/>
      <c r="AK2383" s="1070"/>
      <c r="AL2383" s="1070"/>
      <c r="AM2383" s="1070"/>
      <c r="AN2383" s="1070"/>
      <c r="AO2383" s="1070"/>
      <c r="AP2383" s="1070"/>
      <c r="AQ2383" s="1070"/>
      <c r="AR2383" s="1070"/>
      <c r="AS2383" s="1070"/>
      <c r="AT2383" s="1070"/>
      <c r="AU2383" s="1070"/>
      <c r="AV2383" s="1070"/>
      <c r="AW2383" s="1070"/>
      <c r="AX2383" s="1070"/>
      <c r="AY2383" s="1070"/>
      <c r="AZ2383" s="1070"/>
      <c r="BA2383" s="1070"/>
      <c r="BB2383" s="1070"/>
      <c r="BC2383" s="1070"/>
      <c r="BD2383" s="1070"/>
      <c r="BE2383" s="1070"/>
      <c r="BF2383" s="1070"/>
      <c r="BG2383" s="1070"/>
      <c r="BH2383" s="1070"/>
      <c r="BI2383" s="1070"/>
      <c r="BJ2383" s="1070"/>
      <c r="BK2383" s="1070"/>
      <c r="BL2383" s="1070"/>
      <c r="BM2383" s="1070"/>
      <c r="BN2383" s="1070"/>
      <c r="BO2383" s="1070"/>
      <c r="BP2383" s="1070"/>
      <c r="BQ2383" s="1070"/>
      <c r="BR2383" s="1070"/>
      <c r="BS2383" s="1070"/>
      <c r="BT2383" s="1070"/>
      <c r="BU2383" s="1070"/>
      <c r="BV2383" s="1070"/>
      <c r="BW2383" s="1070"/>
      <c r="BX2383" s="1070"/>
      <c r="BY2383" s="1070"/>
      <c r="BZ2383" s="1070"/>
      <c r="CA2383" s="1070"/>
      <c r="CB2383" s="1070"/>
      <c r="CC2383" s="1070"/>
      <c r="CD2383" s="1070"/>
      <c r="CE2383" s="1070"/>
      <c r="CF2383" s="1070"/>
      <c r="CG2383" s="1070"/>
      <c r="CH2383" s="1070"/>
      <c r="CI2383" s="1070"/>
      <c r="CJ2383" s="1070"/>
      <c r="CK2383" s="1070"/>
      <c r="CL2383" s="1070"/>
      <c r="CM2383" s="1070"/>
      <c r="CN2383" s="1070"/>
      <c r="CO2383" s="1070"/>
      <c r="CP2383" s="1070"/>
      <c r="CQ2383" s="1070"/>
      <c r="CR2383" s="1070"/>
      <c r="CS2383" s="1070"/>
      <c r="CT2383" s="1070"/>
      <c r="CU2383" s="1070"/>
      <c r="CV2383" s="1070"/>
      <c r="CW2383" s="1070"/>
      <c r="CX2383" s="1070"/>
      <c r="CY2383" s="1070"/>
      <c r="CZ2383" s="1070"/>
      <c r="DA2383" s="1070"/>
      <c r="DB2383" s="1070"/>
      <c r="DC2383" s="1070"/>
      <c r="DD2383" s="1070"/>
      <c r="DE2383" s="1070"/>
      <c r="DF2383" s="1070"/>
      <c r="DG2383" s="1070"/>
      <c r="DH2383" s="1070"/>
      <c r="DI2383" s="1070"/>
      <c r="DJ2383" s="1070"/>
    </row>
    <row r="2384" spans="1:114" s="1070" customFormat="1" ht="15.75" x14ac:dyDescent="0.25">
      <c r="A2384" s="1411" t="s">
        <v>4141</v>
      </c>
      <c r="B2384" s="1412"/>
      <c r="C2384" s="1413"/>
      <c r="D2384" s="1413"/>
      <c r="E2384" s="1413"/>
      <c r="F2384" s="1413"/>
      <c r="G2384" s="1413"/>
      <c r="H2384" s="1413"/>
      <c r="I2384" s="1350"/>
      <c r="J2384" s="1350"/>
      <c r="K2384" s="1350"/>
      <c r="AU2384" s="1350"/>
      <c r="AV2384" s="1350"/>
      <c r="AW2384" s="1350"/>
      <c r="AX2384" s="1350"/>
      <c r="AY2384" s="1350"/>
      <c r="AZ2384" s="1350"/>
    </row>
    <row r="2385" spans="1:114" s="1136" customFormat="1" ht="15.75" x14ac:dyDescent="0.25">
      <c r="A2385" s="1414" t="s">
        <v>4142</v>
      </c>
      <c r="B2385" s="1415"/>
      <c r="C2385" s="1350"/>
      <c r="D2385" s="1416"/>
      <c r="E2385" s="1350"/>
      <c r="F2385" s="1350"/>
      <c r="G2385" s="1350"/>
      <c r="H2385" s="1350"/>
      <c r="I2385" s="1350"/>
      <c r="J2385" s="1350"/>
      <c r="K2385" s="1350"/>
      <c r="L2385" s="1070"/>
      <c r="M2385" s="1070"/>
      <c r="N2385" s="1070"/>
      <c r="O2385" s="1070"/>
      <c r="P2385" s="1070"/>
      <c r="Q2385" s="1070"/>
      <c r="R2385" s="1070"/>
      <c r="S2385" s="1070"/>
      <c r="T2385" s="1070"/>
      <c r="U2385" s="1070"/>
      <c r="V2385" s="1070"/>
      <c r="W2385" s="1070"/>
      <c r="X2385" s="1070"/>
      <c r="Y2385" s="1070"/>
      <c r="Z2385" s="1070"/>
      <c r="AA2385" s="1070"/>
      <c r="AB2385" s="1070"/>
      <c r="AC2385" s="1070"/>
      <c r="AD2385" s="1070"/>
      <c r="AE2385" s="1070"/>
      <c r="AF2385" s="1070"/>
      <c r="AG2385" s="1070"/>
      <c r="AH2385" s="1070"/>
      <c r="AI2385" s="1070"/>
      <c r="AJ2385" s="1070"/>
      <c r="AK2385" s="1070"/>
      <c r="AL2385" s="1070"/>
      <c r="AM2385" s="1070"/>
      <c r="AN2385" s="1070"/>
      <c r="AO2385" s="1070"/>
      <c r="AP2385" s="1070"/>
      <c r="AQ2385" s="1070"/>
      <c r="AR2385" s="1070"/>
      <c r="AS2385" s="1070"/>
      <c r="AT2385" s="1070"/>
      <c r="AU2385" s="1350"/>
      <c r="AV2385" s="1350"/>
      <c r="AW2385" s="1350"/>
      <c r="AX2385" s="1350"/>
      <c r="AY2385" s="1350"/>
      <c r="AZ2385" s="1350"/>
      <c r="BA2385" s="1070"/>
      <c r="BB2385" s="1070"/>
      <c r="BC2385" s="1070"/>
      <c r="BD2385" s="1070"/>
      <c r="BE2385" s="1070"/>
      <c r="BF2385" s="1070"/>
      <c r="BG2385" s="1070"/>
      <c r="BH2385" s="1070"/>
      <c r="BI2385" s="1070"/>
      <c r="BJ2385" s="1070"/>
      <c r="BK2385" s="1070"/>
      <c r="BL2385" s="1070"/>
      <c r="BM2385" s="1070"/>
      <c r="BN2385" s="1070"/>
      <c r="BO2385" s="1070"/>
      <c r="BP2385" s="1070"/>
      <c r="BQ2385" s="1070"/>
      <c r="BR2385" s="1070"/>
      <c r="BS2385" s="1070"/>
      <c r="BT2385" s="1070"/>
      <c r="BU2385" s="1070"/>
      <c r="BV2385" s="1070"/>
      <c r="BW2385" s="1070"/>
      <c r="BX2385" s="1070"/>
      <c r="BY2385" s="1070"/>
      <c r="BZ2385" s="1070"/>
      <c r="CA2385" s="1070"/>
      <c r="CB2385" s="1070"/>
      <c r="CC2385" s="1070"/>
      <c r="CD2385" s="1070"/>
      <c r="CE2385" s="1070"/>
      <c r="CF2385" s="1070"/>
      <c r="CG2385" s="1070"/>
      <c r="CH2385" s="1070"/>
      <c r="CI2385" s="1070"/>
      <c r="CJ2385" s="1070"/>
      <c r="CK2385" s="1070"/>
      <c r="CL2385" s="1070"/>
      <c r="CM2385" s="1070"/>
      <c r="CN2385" s="1070"/>
      <c r="CO2385" s="1070"/>
      <c r="CP2385" s="1070"/>
      <c r="CQ2385" s="1070"/>
      <c r="CR2385" s="1070"/>
      <c r="CS2385" s="1070"/>
      <c r="CT2385" s="1070"/>
      <c r="CU2385" s="1070"/>
      <c r="CV2385" s="1070"/>
      <c r="CW2385" s="1070"/>
      <c r="CX2385" s="1070"/>
      <c r="CY2385" s="1070"/>
      <c r="CZ2385" s="1070"/>
      <c r="DA2385" s="1070"/>
      <c r="DB2385" s="1070"/>
      <c r="DC2385" s="1070"/>
      <c r="DD2385" s="1070"/>
      <c r="DE2385" s="1070"/>
      <c r="DF2385" s="1070"/>
      <c r="DG2385" s="1070"/>
      <c r="DH2385" s="1070"/>
      <c r="DI2385" s="1070"/>
      <c r="DJ2385" s="1070"/>
    </row>
    <row r="2386" spans="1:114" s="1136" customFormat="1" ht="15.75" x14ac:dyDescent="0.25">
      <c r="A2386" s="1417" t="s">
        <v>4143</v>
      </c>
      <c r="B2386" s="1418">
        <v>4</v>
      </c>
      <c r="C2386" s="1350"/>
      <c r="D2386" s="1350"/>
      <c r="E2386" s="1350"/>
      <c r="F2386" s="1350"/>
      <c r="G2386" s="1350"/>
      <c r="H2386" s="1350"/>
      <c r="I2386" s="1350"/>
      <c r="J2386" s="1350"/>
      <c r="K2386" s="1350"/>
      <c r="L2386" s="1070"/>
      <c r="M2386" s="1070"/>
      <c r="N2386" s="1070"/>
      <c r="O2386" s="1070"/>
      <c r="P2386" s="1070"/>
      <c r="Q2386" s="1070"/>
      <c r="R2386" s="1070"/>
      <c r="S2386" s="1070"/>
      <c r="T2386" s="1070"/>
      <c r="U2386" s="1070"/>
      <c r="V2386" s="1070"/>
      <c r="W2386" s="1070"/>
      <c r="X2386" s="1070"/>
      <c r="Y2386" s="1070"/>
      <c r="Z2386" s="1070"/>
      <c r="AA2386" s="1070"/>
      <c r="AB2386" s="1070"/>
      <c r="AC2386" s="1070"/>
      <c r="AD2386" s="1070"/>
      <c r="AE2386" s="1070"/>
      <c r="AF2386" s="1070"/>
      <c r="AG2386" s="1070"/>
      <c r="AH2386" s="1070"/>
      <c r="AI2386" s="1070"/>
      <c r="AJ2386" s="1070"/>
      <c r="AK2386" s="1070"/>
      <c r="AL2386" s="1070"/>
      <c r="AM2386" s="1070"/>
      <c r="AN2386" s="1070"/>
      <c r="AO2386" s="1070"/>
      <c r="AP2386" s="1070"/>
      <c r="AQ2386" s="1070"/>
      <c r="AR2386" s="1070"/>
      <c r="AS2386" s="1070"/>
      <c r="AT2386" s="1070"/>
      <c r="AU2386" s="1350"/>
      <c r="AV2386" s="1350"/>
      <c r="AW2386" s="1350"/>
      <c r="AX2386" s="1350"/>
      <c r="AY2386" s="1350"/>
      <c r="AZ2386" s="1350"/>
      <c r="BA2386" s="1070"/>
      <c r="BB2386" s="1070"/>
      <c r="BC2386" s="1070"/>
      <c r="BD2386" s="1070"/>
      <c r="BE2386" s="1070"/>
      <c r="BF2386" s="1070"/>
      <c r="BG2386" s="1070"/>
      <c r="BH2386" s="1070"/>
      <c r="BI2386" s="1070"/>
      <c r="BJ2386" s="1070"/>
      <c r="BK2386" s="1070"/>
      <c r="BL2386" s="1070"/>
      <c r="BM2386" s="1070"/>
      <c r="BN2386" s="1070"/>
      <c r="BO2386" s="1070"/>
      <c r="BP2386" s="1070"/>
      <c r="BQ2386" s="1070"/>
      <c r="BR2386" s="1070"/>
      <c r="BS2386" s="1070"/>
      <c r="BT2386" s="1070"/>
      <c r="BU2386" s="1070"/>
      <c r="BV2386" s="1070"/>
      <c r="BW2386" s="1070"/>
      <c r="BX2386" s="1070"/>
      <c r="BY2386" s="1070"/>
      <c r="BZ2386" s="1070"/>
      <c r="CA2386" s="1070"/>
      <c r="CB2386" s="1070"/>
      <c r="CC2386" s="1070"/>
      <c r="CD2386" s="1070"/>
      <c r="CE2386" s="1070"/>
      <c r="CF2386" s="1070"/>
      <c r="CG2386" s="1070"/>
      <c r="CH2386" s="1070"/>
      <c r="CI2386" s="1070"/>
      <c r="CJ2386" s="1070"/>
      <c r="CK2386" s="1070"/>
      <c r="CL2386" s="1070"/>
      <c r="CM2386" s="1070"/>
      <c r="CN2386" s="1070"/>
      <c r="CO2386" s="1070"/>
      <c r="CP2386" s="1070"/>
      <c r="CQ2386" s="1070"/>
      <c r="CR2386" s="1070"/>
      <c r="CS2386" s="1070"/>
      <c r="CT2386" s="1070"/>
      <c r="CU2386" s="1070"/>
      <c r="CV2386" s="1070"/>
      <c r="CW2386" s="1070"/>
      <c r="CX2386" s="1070"/>
      <c r="CY2386" s="1070"/>
      <c r="CZ2386" s="1070"/>
      <c r="DA2386" s="1070"/>
      <c r="DB2386" s="1070"/>
      <c r="DC2386" s="1070"/>
      <c r="DD2386" s="1070"/>
      <c r="DE2386" s="1070"/>
      <c r="DF2386" s="1070"/>
      <c r="DG2386" s="1070"/>
      <c r="DH2386" s="1070"/>
      <c r="DI2386" s="1070"/>
      <c r="DJ2386" s="1070"/>
    </row>
    <row r="2387" spans="1:114" s="1136" customFormat="1" ht="15.75" x14ac:dyDescent="0.25">
      <c r="A2387" s="1419" t="s">
        <v>4144</v>
      </c>
      <c r="B2387" s="1415"/>
      <c r="C2387" s="1350"/>
      <c r="D2387" s="1416"/>
      <c r="E2387" s="1350"/>
      <c r="F2387" s="1350"/>
      <c r="G2387" s="1350"/>
      <c r="H2387" s="1350"/>
      <c r="I2387" s="1350"/>
      <c r="J2387" s="1350"/>
      <c r="K2387" s="1350"/>
      <c r="L2387" s="1070"/>
      <c r="M2387" s="1070"/>
      <c r="N2387" s="1070"/>
      <c r="O2387" s="1070"/>
      <c r="P2387" s="1070"/>
      <c r="Q2387" s="1070"/>
      <c r="R2387" s="1070"/>
      <c r="S2387" s="1070"/>
      <c r="T2387" s="1070"/>
      <c r="U2387" s="1070"/>
      <c r="V2387" s="1070"/>
      <c r="W2387" s="1070"/>
      <c r="X2387" s="1070"/>
      <c r="Y2387" s="1070"/>
      <c r="Z2387" s="1070"/>
      <c r="AA2387" s="1070"/>
      <c r="AB2387" s="1070"/>
      <c r="AC2387" s="1070"/>
      <c r="AD2387" s="1070"/>
      <c r="AE2387" s="1070"/>
      <c r="AF2387" s="1070"/>
      <c r="AG2387" s="1070"/>
      <c r="AH2387" s="1070"/>
      <c r="AI2387" s="1070"/>
      <c r="AJ2387" s="1070"/>
      <c r="AK2387" s="1070"/>
      <c r="AL2387" s="1070"/>
      <c r="AM2387" s="1070"/>
      <c r="AN2387" s="1070"/>
      <c r="AO2387" s="1070"/>
      <c r="AP2387" s="1070"/>
      <c r="AQ2387" s="1070"/>
      <c r="AR2387" s="1070"/>
      <c r="AS2387" s="1070"/>
      <c r="AT2387" s="1070"/>
      <c r="AU2387" s="1350"/>
      <c r="AV2387" s="1350"/>
      <c r="AW2387" s="1350"/>
      <c r="AX2387" s="1350"/>
      <c r="AY2387" s="1350"/>
      <c r="AZ2387" s="1350"/>
      <c r="BA2387" s="1070"/>
      <c r="BB2387" s="1070"/>
      <c r="BC2387" s="1070"/>
      <c r="BD2387" s="1070"/>
      <c r="BE2387" s="1070"/>
      <c r="BF2387" s="1070"/>
      <c r="BG2387" s="1070"/>
      <c r="BH2387" s="1070"/>
      <c r="BI2387" s="1070"/>
      <c r="BJ2387" s="1070"/>
      <c r="BK2387" s="1070"/>
      <c r="BL2387" s="1070"/>
      <c r="BM2387" s="1070"/>
      <c r="BN2387" s="1070"/>
      <c r="BO2387" s="1070"/>
      <c r="BP2387" s="1070"/>
      <c r="BQ2387" s="1070"/>
      <c r="BR2387" s="1070"/>
      <c r="BS2387" s="1070"/>
      <c r="BT2387" s="1070"/>
      <c r="BU2387" s="1070"/>
      <c r="BV2387" s="1070"/>
      <c r="BW2387" s="1070"/>
      <c r="BX2387" s="1070"/>
      <c r="BY2387" s="1070"/>
      <c r="BZ2387" s="1070"/>
      <c r="CA2387" s="1070"/>
      <c r="CB2387" s="1070"/>
      <c r="CC2387" s="1070"/>
      <c r="CD2387" s="1070"/>
      <c r="CE2387" s="1070"/>
      <c r="CF2387" s="1070"/>
      <c r="CG2387" s="1070"/>
      <c r="CH2387" s="1070"/>
      <c r="CI2387" s="1070"/>
      <c r="CJ2387" s="1070"/>
      <c r="CK2387" s="1070"/>
      <c r="CL2387" s="1070"/>
      <c r="CM2387" s="1070"/>
      <c r="CN2387" s="1070"/>
      <c r="CO2387" s="1070"/>
      <c r="CP2387" s="1070"/>
      <c r="CQ2387" s="1070"/>
      <c r="CR2387" s="1070"/>
      <c r="CS2387" s="1070"/>
      <c r="CT2387" s="1070"/>
      <c r="CU2387" s="1070"/>
      <c r="CV2387" s="1070"/>
      <c r="CW2387" s="1070"/>
      <c r="CX2387" s="1070"/>
      <c r="CY2387" s="1070"/>
      <c r="CZ2387" s="1070"/>
      <c r="DA2387" s="1070"/>
      <c r="DB2387" s="1070"/>
      <c r="DC2387" s="1070"/>
      <c r="DD2387" s="1070"/>
      <c r="DE2387" s="1070"/>
      <c r="DF2387" s="1070"/>
      <c r="DG2387" s="1070"/>
      <c r="DH2387" s="1070"/>
      <c r="DI2387" s="1070"/>
      <c r="DJ2387" s="1070"/>
    </row>
    <row r="2388" spans="1:114" s="1136" customFormat="1" ht="47.25" x14ac:dyDescent="0.25">
      <c r="A2388" s="1420" t="s">
        <v>4145</v>
      </c>
      <c r="B2388" s="1421">
        <f>IF(B257-B258&lt;=0,0,CEILING((B257-B258)/B262+1,1))</f>
        <v>4</v>
      </c>
      <c r="C2388" s="1350"/>
      <c r="D2388" s="1416"/>
      <c r="E2388" s="1350"/>
      <c r="F2388" s="1350"/>
      <c r="G2388" s="1350"/>
      <c r="H2388" s="1350"/>
      <c r="I2388" s="1350"/>
      <c r="J2388" s="1350"/>
      <c r="K2388" s="1350"/>
      <c r="L2388" s="1070"/>
      <c r="M2388" s="1070"/>
      <c r="N2388" s="1070"/>
      <c r="O2388" s="1070"/>
      <c r="P2388" s="1070"/>
      <c r="Q2388" s="1070"/>
      <c r="R2388" s="1070"/>
      <c r="S2388" s="1070"/>
      <c r="T2388" s="1070"/>
      <c r="U2388" s="1070"/>
      <c r="V2388" s="1070"/>
      <c r="W2388" s="1070"/>
      <c r="X2388" s="1070"/>
      <c r="Y2388" s="1070"/>
      <c r="Z2388" s="1070"/>
      <c r="AA2388" s="1070"/>
      <c r="AB2388" s="1070"/>
      <c r="AC2388" s="1070"/>
      <c r="AD2388" s="1070"/>
      <c r="AE2388" s="1070"/>
      <c r="AF2388" s="1070"/>
      <c r="AG2388" s="1070"/>
      <c r="AH2388" s="1070"/>
      <c r="AI2388" s="1070"/>
      <c r="AJ2388" s="1070"/>
      <c r="AK2388" s="1070"/>
      <c r="AL2388" s="1070"/>
      <c r="AM2388" s="1070"/>
      <c r="AN2388" s="1070"/>
      <c r="AO2388" s="1070"/>
      <c r="AP2388" s="1070"/>
      <c r="AQ2388" s="1070"/>
      <c r="AR2388" s="1070"/>
      <c r="AS2388" s="1070"/>
      <c r="AT2388" s="1070"/>
      <c r="AU2388" s="1350"/>
      <c r="AV2388" s="1350"/>
      <c r="AW2388" s="1350"/>
      <c r="AX2388" s="1350"/>
      <c r="AY2388" s="1350"/>
      <c r="AZ2388" s="1350"/>
      <c r="BA2388" s="1070"/>
      <c r="BB2388" s="1070"/>
      <c r="BC2388" s="1070"/>
      <c r="BD2388" s="1070"/>
      <c r="BE2388" s="1070"/>
      <c r="BF2388" s="1070"/>
      <c r="BG2388" s="1070"/>
      <c r="BH2388" s="1070"/>
      <c r="BI2388" s="1070"/>
      <c r="BJ2388" s="1070"/>
      <c r="BK2388" s="1070"/>
      <c r="BL2388" s="1070"/>
      <c r="BM2388" s="1070"/>
      <c r="BN2388" s="1070"/>
      <c r="BO2388" s="1070"/>
      <c r="BP2388" s="1070"/>
      <c r="BQ2388" s="1070"/>
      <c r="BR2388" s="1070"/>
      <c r="BS2388" s="1070"/>
      <c r="BT2388" s="1070"/>
      <c r="BU2388" s="1070"/>
      <c r="BV2388" s="1070"/>
      <c r="BW2388" s="1070"/>
      <c r="BX2388" s="1070"/>
      <c r="BY2388" s="1070"/>
      <c r="BZ2388" s="1070"/>
      <c r="CA2388" s="1070"/>
      <c r="CB2388" s="1070"/>
      <c r="CC2388" s="1070"/>
      <c r="CD2388" s="1070"/>
      <c r="CE2388" s="1070"/>
      <c r="CF2388" s="1070"/>
      <c r="CG2388" s="1070"/>
      <c r="CH2388" s="1070"/>
      <c r="CI2388" s="1070"/>
      <c r="CJ2388" s="1070"/>
      <c r="CK2388" s="1070"/>
      <c r="CL2388" s="1070"/>
      <c r="CM2388" s="1070"/>
      <c r="CN2388" s="1070"/>
      <c r="CO2388" s="1070"/>
      <c r="CP2388" s="1070"/>
      <c r="CQ2388" s="1070"/>
      <c r="CR2388" s="1070"/>
      <c r="CS2388" s="1070"/>
      <c r="CT2388" s="1070"/>
      <c r="CU2388" s="1070"/>
      <c r="CV2388" s="1070"/>
      <c r="CW2388" s="1070"/>
      <c r="CX2388" s="1070"/>
      <c r="CY2388" s="1070"/>
      <c r="CZ2388" s="1070"/>
      <c r="DA2388" s="1070"/>
      <c r="DB2388" s="1070"/>
      <c r="DC2388" s="1070"/>
      <c r="DD2388" s="1070"/>
      <c r="DE2388" s="1070"/>
      <c r="DF2388" s="1070"/>
      <c r="DG2388" s="1070"/>
      <c r="DH2388" s="1070"/>
      <c r="DI2388" s="1070"/>
      <c r="DJ2388" s="1070"/>
    </row>
    <row r="2389" spans="1:114" s="1136" customFormat="1" ht="47.25" x14ac:dyDescent="0.25">
      <c r="A2389" s="1420" t="s">
        <v>4146</v>
      </c>
      <c r="B2389" s="1421">
        <f>CEILING((B259-B257+B258)/B262,1)</f>
        <v>-3</v>
      </c>
      <c r="C2389" s="1350"/>
      <c r="D2389" s="1416"/>
      <c r="E2389" s="1350"/>
      <c r="F2389" s="1350"/>
      <c r="G2389" s="1350"/>
      <c r="H2389" s="1350"/>
      <c r="I2389" s="1350"/>
      <c r="J2389" s="1350"/>
      <c r="K2389" s="1350"/>
      <c r="L2389" s="1070"/>
      <c r="M2389" s="1070"/>
      <c r="N2389" s="1070"/>
      <c r="O2389" s="1070"/>
      <c r="P2389" s="1070"/>
      <c r="Q2389" s="1070"/>
      <c r="R2389" s="1070"/>
      <c r="S2389" s="1070"/>
      <c r="T2389" s="1070"/>
      <c r="U2389" s="1070"/>
      <c r="V2389" s="1070"/>
      <c r="W2389" s="1070"/>
      <c r="X2389" s="1070"/>
      <c r="Y2389" s="1070"/>
      <c r="Z2389" s="1070"/>
      <c r="AA2389" s="1070"/>
      <c r="AB2389" s="1070"/>
      <c r="AC2389" s="1070"/>
      <c r="AD2389" s="1070"/>
      <c r="AE2389" s="1070"/>
      <c r="AF2389" s="1070"/>
      <c r="AG2389" s="1070"/>
      <c r="AH2389" s="1070"/>
      <c r="AI2389" s="1070"/>
      <c r="AJ2389" s="1070"/>
      <c r="AK2389" s="1070"/>
      <c r="AL2389" s="1070"/>
      <c r="AM2389" s="1070"/>
      <c r="AN2389" s="1070"/>
      <c r="AO2389" s="1070"/>
      <c r="AP2389" s="1070"/>
      <c r="AQ2389" s="1070"/>
      <c r="AR2389" s="1070"/>
      <c r="AS2389" s="1070"/>
      <c r="AT2389" s="1070"/>
      <c r="AU2389" s="1350"/>
      <c r="AV2389" s="1350"/>
      <c r="AW2389" s="1350"/>
      <c r="AX2389" s="1350"/>
      <c r="AY2389" s="1350"/>
      <c r="AZ2389" s="1350"/>
      <c r="BA2389" s="1070"/>
      <c r="BB2389" s="1070"/>
      <c r="BC2389" s="1070"/>
      <c r="BD2389" s="1070"/>
      <c r="BE2389" s="1070"/>
      <c r="BF2389" s="1070"/>
      <c r="BG2389" s="1070"/>
      <c r="BH2389" s="1070"/>
      <c r="BI2389" s="1070"/>
      <c r="BJ2389" s="1070"/>
      <c r="BK2389" s="1070"/>
      <c r="BL2389" s="1070"/>
      <c r="BM2389" s="1070"/>
      <c r="BN2389" s="1070"/>
      <c r="BO2389" s="1070"/>
      <c r="BP2389" s="1070"/>
      <c r="BQ2389" s="1070"/>
      <c r="BR2389" s="1070"/>
      <c r="BS2389" s="1070"/>
      <c r="BT2389" s="1070"/>
      <c r="BU2389" s="1070"/>
      <c r="BV2389" s="1070"/>
      <c r="BW2389" s="1070"/>
      <c r="BX2389" s="1070"/>
      <c r="BY2389" s="1070"/>
      <c r="BZ2389" s="1070"/>
      <c r="CA2389" s="1070"/>
      <c r="CB2389" s="1070"/>
      <c r="CC2389" s="1070"/>
      <c r="CD2389" s="1070"/>
      <c r="CE2389" s="1070"/>
      <c r="CF2389" s="1070"/>
      <c r="CG2389" s="1070"/>
      <c r="CH2389" s="1070"/>
      <c r="CI2389" s="1070"/>
      <c r="CJ2389" s="1070"/>
      <c r="CK2389" s="1070"/>
      <c r="CL2389" s="1070"/>
      <c r="CM2389" s="1070"/>
      <c r="CN2389" s="1070"/>
      <c r="CO2389" s="1070"/>
      <c r="CP2389" s="1070"/>
      <c r="CQ2389" s="1070"/>
      <c r="CR2389" s="1070"/>
      <c r="CS2389" s="1070"/>
      <c r="CT2389" s="1070"/>
      <c r="CU2389" s="1070"/>
      <c r="CV2389" s="1070"/>
      <c r="CW2389" s="1070"/>
      <c r="CX2389" s="1070"/>
      <c r="CY2389" s="1070"/>
      <c r="CZ2389" s="1070"/>
      <c r="DA2389" s="1070"/>
      <c r="DB2389" s="1070"/>
      <c r="DC2389" s="1070"/>
      <c r="DD2389" s="1070"/>
      <c r="DE2389" s="1070"/>
      <c r="DF2389" s="1070"/>
      <c r="DG2389" s="1070"/>
      <c r="DH2389" s="1070"/>
      <c r="DI2389" s="1070"/>
      <c r="DJ2389" s="1070"/>
    </row>
    <row r="2390" spans="1:114" s="1136" customFormat="1" ht="47.25" x14ac:dyDescent="0.25">
      <c r="A2390" s="1422" t="s">
        <v>4147</v>
      </c>
      <c r="B2390" s="1423">
        <f>B270+0.1</f>
        <v>2.3000000000000003</v>
      </c>
      <c r="C2390" s="1350"/>
      <c r="D2390" s="1416"/>
      <c r="E2390" s="1350"/>
      <c r="F2390" s="1350"/>
      <c r="G2390" s="1350"/>
      <c r="H2390" s="1350"/>
      <c r="I2390" s="1350"/>
      <c r="J2390" s="1350"/>
      <c r="K2390" s="1350"/>
      <c r="L2390" s="1070"/>
      <c r="M2390" s="1070"/>
      <c r="N2390" s="1070"/>
      <c r="O2390" s="1070"/>
      <c r="P2390" s="1070"/>
      <c r="Q2390" s="1070"/>
      <c r="R2390" s="1070"/>
      <c r="S2390" s="1070"/>
      <c r="T2390" s="1070"/>
      <c r="U2390" s="1070"/>
      <c r="V2390" s="1070"/>
      <c r="W2390" s="1070"/>
      <c r="X2390" s="1070"/>
      <c r="Y2390" s="1070"/>
      <c r="Z2390" s="1070"/>
      <c r="AA2390" s="1070"/>
      <c r="AB2390" s="1070"/>
      <c r="AC2390" s="1070"/>
      <c r="AD2390" s="1070"/>
      <c r="AE2390" s="1070"/>
      <c r="AF2390" s="1070"/>
      <c r="AG2390" s="1070"/>
      <c r="AH2390" s="1070"/>
      <c r="AI2390" s="1070"/>
      <c r="AJ2390" s="1070"/>
      <c r="AK2390" s="1070"/>
      <c r="AL2390" s="1070"/>
      <c r="AM2390" s="1070"/>
      <c r="AN2390" s="1070"/>
      <c r="AO2390" s="1070"/>
      <c r="AP2390" s="1070"/>
      <c r="AQ2390" s="1070"/>
      <c r="AR2390" s="1070"/>
      <c r="AS2390" s="1070"/>
      <c r="AT2390" s="1070"/>
      <c r="AU2390" s="1350"/>
      <c r="AV2390" s="1350"/>
      <c r="AW2390" s="1350"/>
      <c r="AX2390" s="1350"/>
      <c r="AY2390" s="1350"/>
      <c r="AZ2390" s="1350"/>
      <c r="BA2390" s="1070"/>
      <c r="BB2390" s="1070"/>
      <c r="BC2390" s="1070"/>
      <c r="BD2390" s="1070"/>
      <c r="BE2390" s="1070"/>
      <c r="BF2390" s="1070"/>
      <c r="BG2390" s="1070"/>
      <c r="BH2390" s="1070"/>
      <c r="BI2390" s="1070"/>
      <c r="BJ2390" s="1070"/>
      <c r="BK2390" s="1070"/>
      <c r="BL2390" s="1070"/>
      <c r="BM2390" s="1070"/>
      <c r="BN2390" s="1070"/>
      <c r="BO2390" s="1070"/>
      <c r="BP2390" s="1070"/>
      <c r="BQ2390" s="1070"/>
      <c r="BR2390" s="1070"/>
      <c r="BS2390" s="1070"/>
      <c r="BT2390" s="1070"/>
      <c r="BU2390" s="1070"/>
      <c r="BV2390" s="1070"/>
      <c r="BW2390" s="1070"/>
      <c r="BX2390" s="1070"/>
      <c r="BY2390" s="1070"/>
      <c r="BZ2390" s="1070"/>
      <c r="CA2390" s="1070"/>
      <c r="CB2390" s="1070"/>
      <c r="CC2390" s="1070"/>
      <c r="CD2390" s="1070"/>
      <c r="CE2390" s="1070"/>
      <c r="CF2390" s="1070"/>
      <c r="CG2390" s="1070"/>
      <c r="CH2390" s="1070"/>
      <c r="CI2390" s="1070"/>
      <c r="CJ2390" s="1070"/>
      <c r="CK2390" s="1070"/>
      <c r="CL2390" s="1070"/>
      <c r="CM2390" s="1070"/>
      <c r="CN2390" s="1070"/>
      <c r="CO2390" s="1070"/>
      <c r="CP2390" s="1070"/>
      <c r="CQ2390" s="1070"/>
      <c r="CR2390" s="1070"/>
      <c r="CS2390" s="1070"/>
      <c r="CT2390" s="1070"/>
      <c r="CU2390" s="1070"/>
      <c r="CV2390" s="1070"/>
      <c r="CW2390" s="1070"/>
      <c r="CX2390" s="1070"/>
      <c r="CY2390" s="1070"/>
      <c r="CZ2390" s="1070"/>
      <c r="DA2390" s="1070"/>
      <c r="DB2390" s="1070"/>
      <c r="DC2390" s="1070"/>
      <c r="DD2390" s="1070"/>
      <c r="DE2390" s="1070"/>
      <c r="DF2390" s="1070"/>
      <c r="DG2390" s="1070"/>
      <c r="DH2390" s="1070"/>
      <c r="DI2390" s="1070"/>
      <c r="DJ2390" s="1070"/>
    </row>
    <row r="2391" spans="1:114" s="1136" customFormat="1" ht="47.25" x14ac:dyDescent="0.25">
      <c r="A2391" s="1420" t="s">
        <v>4148</v>
      </c>
      <c r="B2391" s="1424">
        <f>B271+0.1</f>
        <v>0.9</v>
      </c>
      <c r="C2391" s="1350"/>
      <c r="D2391" s="1416"/>
      <c r="E2391" s="1350"/>
      <c r="F2391" s="1350"/>
      <c r="G2391" s="1350"/>
      <c r="H2391" s="1350"/>
      <c r="I2391" s="1350"/>
      <c r="J2391" s="1350"/>
      <c r="K2391" s="1350"/>
      <c r="L2391" s="1070"/>
      <c r="M2391" s="1070"/>
      <c r="N2391" s="1070"/>
      <c r="O2391" s="1070"/>
      <c r="P2391" s="1070"/>
      <c r="Q2391" s="1070"/>
      <c r="R2391" s="1070"/>
      <c r="S2391" s="1070"/>
      <c r="T2391" s="1070"/>
      <c r="U2391" s="1070"/>
      <c r="V2391" s="1070"/>
      <c r="W2391" s="1070"/>
      <c r="X2391" s="1070"/>
      <c r="Y2391" s="1070"/>
      <c r="Z2391" s="1070"/>
      <c r="AA2391" s="1070"/>
      <c r="AB2391" s="1070"/>
      <c r="AC2391" s="1070"/>
      <c r="AD2391" s="1070"/>
      <c r="AE2391" s="1070"/>
      <c r="AF2391" s="1070"/>
      <c r="AG2391" s="1070"/>
      <c r="AH2391" s="1070"/>
      <c r="AI2391" s="1070"/>
      <c r="AJ2391" s="1070"/>
      <c r="AK2391" s="1070"/>
      <c r="AL2391" s="1070"/>
      <c r="AM2391" s="1070"/>
      <c r="AN2391" s="1070"/>
      <c r="AO2391" s="1070"/>
      <c r="AP2391" s="1070"/>
      <c r="AQ2391" s="1070"/>
      <c r="AR2391" s="1070"/>
      <c r="AS2391" s="1070"/>
      <c r="AT2391" s="1070"/>
      <c r="AU2391" s="1350"/>
      <c r="AV2391" s="1350"/>
      <c r="AW2391" s="1350"/>
      <c r="AX2391" s="1350"/>
      <c r="AY2391" s="1350"/>
      <c r="AZ2391" s="1350"/>
      <c r="BA2391" s="1070"/>
      <c r="BB2391" s="1070"/>
      <c r="BC2391" s="1070"/>
      <c r="BD2391" s="1070"/>
      <c r="BE2391" s="1070"/>
      <c r="BF2391" s="1070"/>
      <c r="BG2391" s="1070"/>
      <c r="BH2391" s="1070"/>
      <c r="BI2391" s="1070"/>
      <c r="BJ2391" s="1070"/>
      <c r="BK2391" s="1070"/>
      <c r="BL2391" s="1070"/>
      <c r="BM2391" s="1070"/>
      <c r="BN2391" s="1070"/>
      <c r="BO2391" s="1070"/>
      <c r="BP2391" s="1070"/>
      <c r="BQ2391" s="1070"/>
      <c r="BR2391" s="1070"/>
      <c r="BS2391" s="1070"/>
      <c r="BT2391" s="1070"/>
      <c r="BU2391" s="1070"/>
      <c r="BV2391" s="1070"/>
      <c r="BW2391" s="1070"/>
      <c r="BX2391" s="1070"/>
      <c r="BY2391" s="1070"/>
      <c r="BZ2391" s="1070"/>
      <c r="CA2391" s="1070"/>
      <c r="CB2391" s="1070"/>
      <c r="CC2391" s="1070"/>
      <c r="CD2391" s="1070"/>
      <c r="CE2391" s="1070"/>
      <c r="CF2391" s="1070"/>
      <c r="CG2391" s="1070"/>
      <c r="CH2391" s="1070"/>
      <c r="CI2391" s="1070"/>
      <c r="CJ2391" s="1070"/>
      <c r="CK2391" s="1070"/>
      <c r="CL2391" s="1070"/>
      <c r="CM2391" s="1070"/>
      <c r="CN2391" s="1070"/>
      <c r="CO2391" s="1070"/>
      <c r="CP2391" s="1070"/>
      <c r="CQ2391" s="1070"/>
      <c r="CR2391" s="1070"/>
      <c r="CS2391" s="1070"/>
      <c r="CT2391" s="1070"/>
      <c r="CU2391" s="1070"/>
      <c r="CV2391" s="1070"/>
      <c r="CW2391" s="1070"/>
      <c r="CX2391" s="1070"/>
      <c r="CY2391" s="1070"/>
      <c r="CZ2391" s="1070"/>
      <c r="DA2391" s="1070"/>
      <c r="DB2391" s="1070"/>
      <c r="DC2391" s="1070"/>
      <c r="DD2391" s="1070"/>
      <c r="DE2391" s="1070"/>
      <c r="DF2391" s="1070"/>
      <c r="DG2391" s="1070"/>
      <c r="DH2391" s="1070"/>
      <c r="DI2391" s="1070"/>
      <c r="DJ2391" s="1070"/>
    </row>
    <row r="2392" spans="1:114" s="1136" customFormat="1" ht="31.5" x14ac:dyDescent="0.25">
      <c r="A2392" s="1425" t="s">
        <v>4149</v>
      </c>
      <c r="B2392" s="1421"/>
      <c r="C2392" s="1350"/>
      <c r="D2392" s="1416"/>
      <c r="E2392" s="1350"/>
      <c r="F2392" s="1350"/>
      <c r="G2392" s="1350"/>
      <c r="H2392" s="1350"/>
      <c r="I2392" s="1350"/>
      <c r="J2392" s="1350"/>
      <c r="K2392" s="1350"/>
      <c r="L2392" s="1070"/>
      <c r="M2392" s="1070"/>
      <c r="N2392" s="1070"/>
      <c r="O2392" s="1070"/>
      <c r="P2392" s="1070"/>
      <c r="Q2392" s="1070"/>
      <c r="R2392" s="1070"/>
      <c r="S2392" s="1070"/>
      <c r="T2392" s="1070"/>
      <c r="U2392" s="1070"/>
      <c r="V2392" s="1070"/>
      <c r="W2392" s="1070"/>
      <c r="X2392" s="1070"/>
      <c r="Y2392" s="1070"/>
      <c r="Z2392" s="1070"/>
      <c r="AA2392" s="1070"/>
      <c r="AB2392" s="1070"/>
      <c r="AC2392" s="1070"/>
      <c r="AD2392" s="1070"/>
      <c r="AE2392" s="1070"/>
      <c r="AF2392" s="1070"/>
      <c r="AG2392" s="1070"/>
      <c r="AH2392" s="1070"/>
      <c r="AI2392" s="1070"/>
      <c r="AJ2392" s="1070"/>
      <c r="AK2392" s="1070"/>
      <c r="AL2392" s="1070"/>
      <c r="AM2392" s="1070"/>
      <c r="AN2392" s="1070"/>
      <c r="AO2392" s="1070"/>
      <c r="AP2392" s="1070"/>
      <c r="AQ2392" s="1070"/>
      <c r="AR2392" s="1070"/>
      <c r="AS2392" s="1070"/>
      <c r="AT2392" s="1070"/>
      <c r="AU2392" s="1350"/>
      <c r="AV2392" s="1350"/>
      <c r="AW2392" s="1350"/>
      <c r="AX2392" s="1350"/>
      <c r="AY2392" s="1350"/>
      <c r="AZ2392" s="1350"/>
      <c r="BA2392" s="1070"/>
      <c r="BB2392" s="1070"/>
      <c r="BC2392" s="1070"/>
      <c r="BD2392" s="1070"/>
      <c r="BE2392" s="1070"/>
      <c r="BF2392" s="1070"/>
      <c r="BG2392" s="1070"/>
      <c r="BH2392" s="1070"/>
      <c r="BI2392" s="1070"/>
      <c r="BJ2392" s="1070"/>
      <c r="BK2392" s="1070"/>
      <c r="BL2392" s="1070"/>
      <c r="BM2392" s="1070"/>
      <c r="BN2392" s="1070"/>
      <c r="BO2392" s="1070"/>
      <c r="BP2392" s="1070"/>
      <c r="BQ2392" s="1070"/>
      <c r="BR2392" s="1070"/>
      <c r="BS2392" s="1070"/>
      <c r="BT2392" s="1070"/>
      <c r="BU2392" s="1070"/>
      <c r="BV2392" s="1070"/>
      <c r="BW2392" s="1070"/>
      <c r="BX2392" s="1070"/>
      <c r="BY2392" s="1070"/>
      <c r="BZ2392" s="1070"/>
      <c r="CA2392" s="1070"/>
      <c r="CB2392" s="1070"/>
      <c r="CC2392" s="1070"/>
      <c r="CD2392" s="1070"/>
      <c r="CE2392" s="1070"/>
      <c r="CF2392" s="1070"/>
      <c r="CG2392" s="1070"/>
      <c r="CH2392" s="1070"/>
      <c r="CI2392" s="1070"/>
      <c r="CJ2392" s="1070"/>
      <c r="CK2392" s="1070"/>
      <c r="CL2392" s="1070"/>
      <c r="CM2392" s="1070"/>
      <c r="CN2392" s="1070"/>
      <c r="CO2392" s="1070"/>
      <c r="CP2392" s="1070"/>
      <c r="CQ2392" s="1070"/>
      <c r="CR2392" s="1070"/>
      <c r="CS2392" s="1070"/>
      <c r="CT2392" s="1070"/>
      <c r="CU2392" s="1070"/>
      <c r="CV2392" s="1070"/>
      <c r="CW2392" s="1070"/>
      <c r="CX2392" s="1070"/>
      <c r="CY2392" s="1070"/>
      <c r="CZ2392" s="1070"/>
      <c r="DA2392" s="1070"/>
      <c r="DB2392" s="1070"/>
      <c r="DC2392" s="1070"/>
      <c r="DD2392" s="1070"/>
      <c r="DE2392" s="1070"/>
      <c r="DF2392" s="1070"/>
      <c r="DG2392" s="1070"/>
      <c r="DH2392" s="1070"/>
      <c r="DI2392" s="1070"/>
      <c r="DJ2392" s="1070"/>
    </row>
    <row r="2393" spans="1:114" s="1136" customFormat="1" ht="15.75" x14ac:dyDescent="0.25">
      <c r="A2393" s="1391"/>
      <c r="B2393" s="1046"/>
      <c r="C2393" s="1350"/>
      <c r="D2393" s="1350"/>
      <c r="E2393" s="1350"/>
      <c r="F2393" s="1350"/>
      <c r="G2393" s="1350"/>
      <c r="H2393" s="1350"/>
      <c r="I2393" s="1350"/>
      <c r="J2393" s="1350"/>
      <c r="K2393" s="1350"/>
      <c r="L2393" s="1070"/>
      <c r="M2393" s="1070"/>
      <c r="N2393" s="1070"/>
      <c r="O2393" s="1070"/>
      <c r="P2393" s="1070"/>
      <c r="Q2393" s="1070"/>
      <c r="R2393" s="1070"/>
      <c r="S2393" s="1070"/>
      <c r="T2393" s="1070"/>
      <c r="U2393" s="1070"/>
      <c r="V2393" s="1070"/>
      <c r="W2393" s="1070"/>
      <c r="X2393" s="1070"/>
      <c r="Y2393" s="1070"/>
      <c r="Z2393" s="1070"/>
      <c r="AA2393" s="1070"/>
      <c r="AB2393" s="1070"/>
      <c r="AC2393" s="1070"/>
      <c r="AD2393" s="1070"/>
      <c r="AE2393" s="1070"/>
      <c r="AF2393" s="1070"/>
      <c r="AG2393" s="1070"/>
      <c r="AH2393" s="1070"/>
      <c r="AI2393" s="1070"/>
      <c r="AJ2393" s="1070"/>
      <c r="AK2393" s="1070"/>
      <c r="AL2393" s="1070"/>
      <c r="AM2393" s="1070"/>
      <c r="AN2393" s="1070"/>
      <c r="AO2393" s="1070"/>
      <c r="AP2393" s="1070"/>
      <c r="AQ2393" s="1070"/>
      <c r="AR2393" s="1070"/>
      <c r="AS2393" s="1070"/>
      <c r="AT2393" s="1070"/>
      <c r="AU2393" s="1350"/>
      <c r="AV2393" s="1350"/>
      <c r="AW2393" s="1350"/>
      <c r="AX2393" s="1350"/>
      <c r="AY2393" s="1350"/>
      <c r="AZ2393" s="1350"/>
      <c r="BA2393" s="1070"/>
      <c r="BB2393" s="1070"/>
      <c r="BC2393" s="1070"/>
      <c r="BD2393" s="1070"/>
      <c r="BE2393" s="1070"/>
      <c r="BF2393" s="1070"/>
      <c r="BG2393" s="1070"/>
      <c r="BH2393" s="1070"/>
      <c r="BI2393" s="1070"/>
      <c r="BJ2393" s="1070"/>
      <c r="BK2393" s="1070"/>
      <c r="BL2393" s="1070"/>
      <c r="BM2393" s="1070"/>
      <c r="BN2393" s="1070"/>
      <c r="BO2393" s="1070"/>
      <c r="BP2393" s="1070"/>
      <c r="BQ2393" s="1070"/>
      <c r="BR2393" s="1070"/>
      <c r="BS2393" s="1070"/>
      <c r="BT2393" s="1070"/>
      <c r="BU2393" s="1070"/>
      <c r="BV2393" s="1070"/>
      <c r="BW2393" s="1070"/>
      <c r="BX2393" s="1070"/>
      <c r="BY2393" s="1070"/>
      <c r="BZ2393" s="1070"/>
      <c r="CA2393" s="1070"/>
      <c r="CB2393" s="1070"/>
      <c r="CC2393" s="1070"/>
      <c r="CD2393" s="1070"/>
      <c r="CE2393" s="1070"/>
      <c r="CF2393" s="1070"/>
      <c r="CG2393" s="1070"/>
      <c r="CH2393" s="1070"/>
      <c r="CI2393" s="1070"/>
      <c r="CJ2393" s="1070"/>
      <c r="CK2393" s="1070"/>
      <c r="CL2393" s="1070"/>
      <c r="CM2393" s="1070"/>
      <c r="CN2393" s="1070"/>
      <c r="CO2393" s="1070"/>
      <c r="CP2393" s="1070"/>
      <c r="CQ2393" s="1070"/>
      <c r="CR2393" s="1070"/>
      <c r="CS2393" s="1070"/>
      <c r="CT2393" s="1070"/>
      <c r="CU2393" s="1070"/>
      <c r="CV2393" s="1070"/>
      <c r="CW2393" s="1070"/>
      <c r="CX2393" s="1070"/>
      <c r="CY2393" s="1070"/>
      <c r="CZ2393" s="1070"/>
      <c r="DA2393" s="1070"/>
      <c r="DB2393" s="1070"/>
      <c r="DC2393" s="1070"/>
      <c r="DD2393" s="1070"/>
      <c r="DE2393" s="1070"/>
      <c r="DF2393" s="1070"/>
      <c r="DG2393" s="1070"/>
      <c r="DH2393" s="1070"/>
      <c r="DI2393" s="1070"/>
      <c r="DJ2393" s="1070"/>
    </row>
    <row r="2394" spans="1:114" s="1136" customFormat="1" ht="15.75" x14ac:dyDescent="0.25">
      <c r="A2394" s="1426" t="s">
        <v>4150</v>
      </c>
      <c r="B2394" s="1046"/>
      <c r="C2394" s="1416"/>
      <c r="D2394" s="1416"/>
      <c r="E2394" s="1416"/>
      <c r="F2394" s="1416"/>
      <c r="G2394" s="1416"/>
      <c r="H2394" s="1350"/>
      <c r="I2394" s="1350"/>
      <c r="J2394" s="1350"/>
      <c r="K2394" s="1350"/>
      <c r="L2394" s="1070"/>
      <c r="M2394" s="1070"/>
      <c r="N2394" s="1070"/>
      <c r="O2394" s="1070"/>
      <c r="P2394" s="1070"/>
      <c r="Q2394" s="1070"/>
      <c r="R2394" s="1070"/>
      <c r="S2394" s="1070"/>
      <c r="T2394" s="1070"/>
      <c r="U2394" s="1070"/>
      <c r="V2394" s="1070"/>
      <c r="W2394" s="1070"/>
      <c r="X2394" s="1070"/>
      <c r="Y2394" s="1070"/>
      <c r="Z2394" s="1070"/>
      <c r="AA2394" s="1070"/>
      <c r="AB2394" s="1070"/>
      <c r="AC2394" s="1070"/>
      <c r="AD2394" s="1070"/>
      <c r="AE2394" s="1070"/>
      <c r="AF2394" s="1070"/>
      <c r="AG2394" s="1070"/>
      <c r="AH2394" s="1070"/>
      <c r="AI2394" s="1070"/>
      <c r="AJ2394" s="1070"/>
      <c r="AK2394" s="1070"/>
      <c r="AL2394" s="1070"/>
      <c r="AM2394" s="1070"/>
      <c r="AN2394" s="1070"/>
      <c r="AO2394" s="1070"/>
      <c r="AP2394" s="1070"/>
      <c r="AQ2394" s="1070"/>
      <c r="AR2394" s="1070"/>
      <c r="AS2394" s="1070"/>
      <c r="AT2394" s="1070"/>
      <c r="AU2394" s="1350"/>
      <c r="AV2394" s="1350"/>
      <c r="AW2394" s="1350"/>
      <c r="AX2394" s="1350"/>
      <c r="AY2394" s="1350"/>
      <c r="AZ2394" s="1350"/>
      <c r="BA2394" s="1070"/>
      <c r="BB2394" s="1070"/>
      <c r="BC2394" s="1070"/>
      <c r="BD2394" s="1070"/>
      <c r="BE2394" s="1070"/>
      <c r="BF2394" s="1070"/>
      <c r="BG2394" s="1070"/>
      <c r="BH2394" s="1070"/>
      <c r="BI2394" s="1070"/>
      <c r="BJ2394" s="1070"/>
      <c r="BK2394" s="1070"/>
      <c r="BL2394" s="1070"/>
      <c r="BM2394" s="1070"/>
      <c r="BN2394" s="1070"/>
      <c r="BO2394" s="1070"/>
      <c r="BP2394" s="1070"/>
      <c r="BQ2394" s="1070"/>
      <c r="BR2394" s="1070"/>
      <c r="BS2394" s="1070"/>
      <c r="BT2394" s="1070"/>
      <c r="BU2394" s="1070"/>
      <c r="BV2394" s="1070"/>
      <c r="BW2394" s="1070"/>
      <c r="BX2394" s="1070"/>
      <c r="BY2394" s="1070"/>
      <c r="BZ2394" s="1070"/>
      <c r="CA2394" s="1070"/>
      <c r="CB2394" s="1070"/>
      <c r="CC2394" s="1070"/>
      <c r="CD2394" s="1070"/>
      <c r="CE2394" s="1070"/>
      <c r="CF2394" s="1070"/>
      <c r="CG2394" s="1070"/>
      <c r="CH2394" s="1070"/>
      <c r="CI2394" s="1070"/>
      <c r="CJ2394" s="1070"/>
      <c r="CK2394" s="1070"/>
      <c r="CL2394" s="1070"/>
      <c r="CM2394" s="1070"/>
      <c r="CN2394" s="1070"/>
      <c r="CO2394" s="1070"/>
      <c r="CP2394" s="1070"/>
      <c r="CQ2394" s="1070"/>
      <c r="CR2394" s="1070"/>
      <c r="CS2394" s="1070"/>
      <c r="CT2394" s="1070"/>
      <c r="CU2394" s="1070"/>
      <c r="CV2394" s="1070"/>
      <c r="CW2394" s="1070"/>
      <c r="CX2394" s="1070"/>
      <c r="CY2394" s="1070"/>
      <c r="CZ2394" s="1070"/>
      <c r="DA2394" s="1070"/>
      <c r="DB2394" s="1070"/>
      <c r="DC2394" s="1070"/>
      <c r="DD2394" s="1070"/>
      <c r="DE2394" s="1070"/>
      <c r="DF2394" s="1070"/>
      <c r="DG2394" s="1070"/>
      <c r="DH2394" s="1070"/>
      <c r="DI2394" s="1070"/>
      <c r="DJ2394" s="1070"/>
    </row>
    <row r="2395" spans="1:114" s="1136" customFormat="1" ht="47.25" x14ac:dyDescent="0.25">
      <c r="A2395" s="1427" t="s">
        <v>4151</v>
      </c>
      <c r="B2395" s="1415"/>
      <c r="C2395" s="1416"/>
      <c r="D2395" s="1416"/>
      <c r="E2395" s="1416"/>
      <c r="F2395" s="1416"/>
      <c r="G2395" s="1416"/>
      <c r="H2395" s="1350"/>
      <c r="I2395" s="1350"/>
      <c r="J2395" s="1350"/>
      <c r="K2395" s="1350"/>
      <c r="L2395" s="1070"/>
      <c r="M2395" s="1070"/>
      <c r="N2395" s="1070"/>
      <c r="O2395" s="1070"/>
      <c r="P2395" s="1070"/>
      <c r="Q2395" s="1070"/>
      <c r="R2395" s="1070"/>
      <c r="S2395" s="1070"/>
      <c r="T2395" s="1070"/>
      <c r="U2395" s="1070"/>
      <c r="V2395" s="1070"/>
      <c r="W2395" s="1070"/>
      <c r="X2395" s="1070"/>
      <c r="Y2395" s="1070"/>
      <c r="Z2395" s="1070"/>
      <c r="AA2395" s="1070"/>
      <c r="AB2395" s="1070"/>
      <c r="AC2395" s="1070"/>
      <c r="AD2395" s="1070"/>
      <c r="AE2395" s="1070"/>
      <c r="AF2395" s="1070"/>
      <c r="AG2395" s="1070"/>
      <c r="AH2395" s="1070"/>
      <c r="AI2395" s="1070"/>
      <c r="AJ2395" s="1070"/>
      <c r="AK2395" s="1070"/>
      <c r="AL2395" s="1070"/>
      <c r="AM2395" s="1070"/>
      <c r="AN2395" s="1070"/>
      <c r="AO2395" s="1070"/>
      <c r="AP2395" s="1070"/>
      <c r="AQ2395" s="1070"/>
      <c r="AR2395" s="1070"/>
      <c r="AS2395" s="1070"/>
      <c r="AT2395" s="1070"/>
      <c r="AU2395" s="1350"/>
      <c r="AV2395" s="1350"/>
      <c r="AW2395" s="1350"/>
      <c r="AX2395" s="1350"/>
      <c r="AY2395" s="1350"/>
      <c r="AZ2395" s="1350"/>
      <c r="BA2395" s="1070"/>
      <c r="BB2395" s="1070"/>
      <c r="BC2395" s="1070"/>
      <c r="BD2395" s="1070"/>
      <c r="BE2395" s="1070"/>
      <c r="BF2395" s="1070"/>
      <c r="BG2395" s="1070"/>
      <c r="BH2395" s="1070"/>
      <c r="BI2395" s="1070"/>
      <c r="BJ2395" s="1070"/>
      <c r="BK2395" s="1070"/>
      <c r="BL2395" s="1070"/>
      <c r="BM2395" s="1070"/>
      <c r="BN2395" s="1070"/>
      <c r="BO2395" s="1070"/>
      <c r="BP2395" s="1070"/>
      <c r="BQ2395" s="1070"/>
      <c r="BR2395" s="1070"/>
      <c r="BS2395" s="1070"/>
      <c r="BT2395" s="1070"/>
      <c r="BU2395" s="1070"/>
      <c r="BV2395" s="1070"/>
      <c r="BW2395" s="1070"/>
      <c r="BX2395" s="1070"/>
      <c r="BY2395" s="1070"/>
      <c r="BZ2395" s="1070"/>
      <c r="CA2395" s="1070"/>
      <c r="CB2395" s="1070"/>
      <c r="CC2395" s="1070"/>
      <c r="CD2395" s="1070"/>
      <c r="CE2395" s="1070"/>
      <c r="CF2395" s="1070"/>
      <c r="CG2395" s="1070"/>
      <c r="CH2395" s="1070"/>
      <c r="CI2395" s="1070"/>
      <c r="CJ2395" s="1070"/>
      <c r="CK2395" s="1070"/>
      <c r="CL2395" s="1070"/>
      <c r="CM2395" s="1070"/>
      <c r="CN2395" s="1070"/>
      <c r="CO2395" s="1070"/>
      <c r="CP2395" s="1070"/>
      <c r="CQ2395" s="1070"/>
      <c r="CR2395" s="1070"/>
      <c r="CS2395" s="1070"/>
      <c r="CT2395" s="1070"/>
      <c r="CU2395" s="1070"/>
      <c r="CV2395" s="1070"/>
      <c r="CW2395" s="1070"/>
      <c r="CX2395" s="1070"/>
      <c r="CY2395" s="1070"/>
      <c r="CZ2395" s="1070"/>
      <c r="DA2395" s="1070"/>
      <c r="DB2395" s="1070"/>
      <c r="DC2395" s="1070"/>
      <c r="DD2395" s="1070"/>
      <c r="DE2395" s="1070"/>
      <c r="DF2395" s="1070"/>
      <c r="DG2395" s="1070"/>
      <c r="DH2395" s="1070"/>
      <c r="DI2395" s="1070"/>
      <c r="DJ2395" s="1070"/>
    </row>
    <row r="2396" spans="1:114" s="1136" customFormat="1" ht="15.75" x14ac:dyDescent="0.25">
      <c r="A2396" s="1422" t="s">
        <v>4152</v>
      </c>
      <c r="B2396" s="1428" t="e">
        <f>(B245/(B2386-B2390))*B2388</f>
        <v>#VALUE!</v>
      </c>
      <c r="C2396" s="1429"/>
      <c r="D2396" s="1429"/>
      <c r="E2396" s="1429"/>
      <c r="F2396" s="1429"/>
      <c r="G2396" s="1429"/>
      <c r="H2396" s="1350"/>
      <c r="I2396" s="1350"/>
      <c r="J2396" s="1350"/>
      <c r="K2396" s="1350"/>
      <c r="L2396" s="1070"/>
      <c r="M2396" s="1070"/>
      <c r="N2396" s="1070"/>
      <c r="O2396" s="1070"/>
      <c r="P2396" s="1070"/>
      <c r="Q2396" s="1070"/>
      <c r="R2396" s="1070"/>
      <c r="S2396" s="1070"/>
      <c r="T2396" s="1070"/>
      <c r="U2396" s="1070"/>
      <c r="V2396" s="1070"/>
      <c r="W2396" s="1070"/>
      <c r="X2396" s="1070"/>
      <c r="Y2396" s="1070"/>
      <c r="Z2396" s="1070"/>
      <c r="AA2396" s="1070"/>
      <c r="AB2396" s="1070"/>
      <c r="AC2396" s="1070"/>
      <c r="AD2396" s="1070"/>
      <c r="AE2396" s="1070"/>
      <c r="AF2396" s="1070"/>
      <c r="AG2396" s="1070"/>
      <c r="AH2396" s="1070"/>
      <c r="AI2396" s="1070"/>
      <c r="AJ2396" s="1070"/>
      <c r="AK2396" s="1070"/>
      <c r="AL2396" s="1070"/>
      <c r="AM2396" s="1070"/>
      <c r="AN2396" s="1070"/>
      <c r="AO2396" s="1070"/>
      <c r="AP2396" s="1070"/>
      <c r="AQ2396" s="1070"/>
      <c r="AR2396" s="1070"/>
      <c r="AS2396" s="1070"/>
      <c r="AT2396" s="1070"/>
      <c r="AU2396" s="1350"/>
      <c r="AV2396" s="1350"/>
      <c r="AW2396" s="1350"/>
      <c r="AX2396" s="1350"/>
      <c r="AY2396" s="1350"/>
      <c r="AZ2396" s="1350"/>
      <c r="BA2396" s="1070"/>
      <c r="BB2396" s="1070"/>
      <c r="BC2396" s="1070"/>
      <c r="BD2396" s="1070"/>
      <c r="BE2396" s="1070"/>
      <c r="BF2396" s="1070"/>
      <c r="BG2396" s="1070"/>
      <c r="BH2396" s="1070"/>
      <c r="BI2396" s="1070"/>
      <c r="BJ2396" s="1070"/>
      <c r="BK2396" s="1070"/>
      <c r="BL2396" s="1070"/>
      <c r="BM2396" s="1070"/>
      <c r="BN2396" s="1070"/>
      <c r="BO2396" s="1070"/>
      <c r="BP2396" s="1070"/>
      <c r="BQ2396" s="1070"/>
      <c r="BR2396" s="1070"/>
      <c r="BS2396" s="1070"/>
      <c r="BT2396" s="1070"/>
      <c r="BU2396" s="1070"/>
      <c r="BV2396" s="1070"/>
      <c r="BW2396" s="1070"/>
      <c r="BX2396" s="1070"/>
      <c r="BY2396" s="1070"/>
      <c r="BZ2396" s="1070"/>
      <c r="CA2396" s="1070"/>
      <c r="CB2396" s="1070"/>
      <c r="CC2396" s="1070"/>
      <c r="CD2396" s="1070"/>
      <c r="CE2396" s="1070"/>
      <c r="CF2396" s="1070"/>
      <c r="CG2396" s="1070"/>
      <c r="CH2396" s="1070"/>
      <c r="CI2396" s="1070"/>
      <c r="CJ2396" s="1070"/>
      <c r="CK2396" s="1070"/>
      <c r="CL2396" s="1070"/>
      <c r="CM2396" s="1070"/>
      <c r="CN2396" s="1070"/>
      <c r="CO2396" s="1070"/>
      <c r="CP2396" s="1070"/>
      <c r="CQ2396" s="1070"/>
      <c r="CR2396" s="1070"/>
      <c r="CS2396" s="1070"/>
      <c r="CT2396" s="1070"/>
      <c r="CU2396" s="1070"/>
      <c r="CV2396" s="1070"/>
      <c r="CW2396" s="1070"/>
      <c r="CX2396" s="1070"/>
      <c r="CY2396" s="1070"/>
      <c r="CZ2396" s="1070"/>
      <c r="DA2396" s="1070"/>
      <c r="DB2396" s="1070"/>
      <c r="DC2396" s="1070"/>
      <c r="DD2396" s="1070"/>
      <c r="DE2396" s="1070"/>
      <c r="DF2396" s="1070"/>
      <c r="DG2396" s="1070"/>
      <c r="DH2396" s="1070"/>
      <c r="DI2396" s="1070"/>
      <c r="DJ2396" s="1070"/>
    </row>
    <row r="2397" spans="1:114" s="1136" customFormat="1" ht="31.5" x14ac:dyDescent="0.25">
      <c r="A2397" s="1422" t="s">
        <v>2048</v>
      </c>
      <c r="B2397" s="1423" t="e">
        <f>INDEX($U$3487:$X$3496,B2400,B2402)</f>
        <v>#VALUE!</v>
      </c>
      <c r="C2397" s="1429"/>
      <c r="D2397" s="1429"/>
      <c r="E2397" s="1429"/>
      <c r="F2397" s="1429"/>
      <c r="G2397" s="1429"/>
      <c r="H2397" s="1350"/>
      <c r="I2397" s="1350"/>
      <c r="J2397" s="1350"/>
      <c r="K2397" s="1350"/>
      <c r="L2397" s="1070"/>
      <c r="M2397" s="1070"/>
      <c r="N2397" s="1070"/>
      <c r="O2397" s="1070"/>
      <c r="P2397" s="1070"/>
      <c r="Q2397" s="1070"/>
      <c r="R2397" s="1070"/>
      <c r="S2397" s="1070"/>
      <c r="T2397" s="1070"/>
      <c r="U2397" s="1070"/>
      <c r="V2397" s="1070"/>
      <c r="W2397" s="1070"/>
      <c r="X2397" s="1070"/>
      <c r="Y2397" s="1070"/>
      <c r="Z2397" s="1070"/>
      <c r="AA2397" s="1070"/>
      <c r="AB2397" s="1070"/>
      <c r="AC2397" s="1070"/>
      <c r="AD2397" s="1070"/>
      <c r="AE2397" s="1070"/>
      <c r="AF2397" s="1070"/>
      <c r="AG2397" s="1070"/>
      <c r="AH2397" s="1070"/>
      <c r="AI2397" s="1070"/>
      <c r="AJ2397" s="1070"/>
      <c r="AK2397" s="1070"/>
      <c r="AL2397" s="1070"/>
      <c r="AM2397" s="1070"/>
      <c r="AN2397" s="1070"/>
      <c r="AO2397" s="1070"/>
      <c r="AP2397" s="1070"/>
      <c r="AQ2397" s="1070"/>
      <c r="AR2397" s="1070"/>
      <c r="AS2397" s="1070"/>
      <c r="AT2397" s="1070"/>
      <c r="AU2397" s="1350"/>
      <c r="AV2397" s="1350"/>
      <c r="AW2397" s="1350"/>
      <c r="AX2397" s="1350"/>
      <c r="AY2397" s="1350"/>
      <c r="AZ2397" s="1350"/>
      <c r="BA2397" s="1070"/>
      <c r="BB2397" s="1070"/>
      <c r="BC2397" s="1070"/>
      <c r="BD2397" s="1070"/>
      <c r="BE2397" s="1070"/>
      <c r="BF2397" s="1070"/>
      <c r="BG2397" s="1070"/>
      <c r="BH2397" s="1070"/>
      <c r="BI2397" s="1070"/>
      <c r="BJ2397" s="1070"/>
      <c r="BK2397" s="1070"/>
      <c r="BL2397" s="1070"/>
      <c r="BM2397" s="1070"/>
      <c r="BN2397" s="1070"/>
      <c r="BO2397" s="1070"/>
      <c r="BP2397" s="1070"/>
      <c r="BQ2397" s="1070"/>
      <c r="BR2397" s="1070"/>
      <c r="BS2397" s="1070"/>
      <c r="BT2397" s="1070"/>
      <c r="BU2397" s="1070"/>
      <c r="BV2397" s="1070"/>
      <c r="BW2397" s="1070"/>
      <c r="BX2397" s="1070"/>
      <c r="BY2397" s="1070"/>
      <c r="BZ2397" s="1070"/>
      <c r="CA2397" s="1070"/>
      <c r="CB2397" s="1070"/>
      <c r="CC2397" s="1070"/>
      <c r="CD2397" s="1070"/>
      <c r="CE2397" s="1070"/>
      <c r="CF2397" s="1070"/>
      <c r="CG2397" s="1070"/>
      <c r="CH2397" s="1070"/>
      <c r="CI2397" s="1070"/>
      <c r="CJ2397" s="1070"/>
      <c r="CK2397" s="1070"/>
      <c r="CL2397" s="1070"/>
      <c r="CM2397" s="1070"/>
      <c r="CN2397" s="1070"/>
      <c r="CO2397" s="1070"/>
      <c r="CP2397" s="1070"/>
      <c r="CQ2397" s="1070"/>
      <c r="CR2397" s="1070"/>
      <c r="CS2397" s="1070"/>
      <c r="CT2397" s="1070"/>
      <c r="CU2397" s="1070"/>
      <c r="CV2397" s="1070"/>
      <c r="CW2397" s="1070"/>
      <c r="CX2397" s="1070"/>
      <c r="CY2397" s="1070"/>
      <c r="CZ2397" s="1070"/>
      <c r="DA2397" s="1070"/>
      <c r="DB2397" s="1070"/>
      <c r="DC2397" s="1070"/>
      <c r="DD2397" s="1070"/>
      <c r="DE2397" s="1070"/>
      <c r="DF2397" s="1070"/>
      <c r="DG2397" s="1070"/>
      <c r="DH2397" s="1070"/>
      <c r="DI2397" s="1070"/>
      <c r="DJ2397" s="1070"/>
    </row>
    <row r="2398" spans="1:114" s="1136" customFormat="1" ht="15.75" x14ac:dyDescent="0.25">
      <c r="A2398" s="1417" t="s">
        <v>2049</v>
      </c>
      <c r="B2398" s="1428"/>
      <c r="C2398" s="1416"/>
      <c r="D2398" s="1350"/>
      <c r="E2398" s="1350"/>
      <c r="F2398" s="1350"/>
      <c r="G2398" s="1350"/>
      <c r="H2398" s="1350"/>
      <c r="I2398" s="1350"/>
      <c r="J2398" s="1350"/>
      <c r="K2398" s="1350"/>
      <c r="L2398" s="1070"/>
      <c r="M2398" s="1070"/>
      <c r="N2398" s="1070"/>
      <c r="O2398" s="1070"/>
      <c r="P2398" s="1070"/>
      <c r="Q2398" s="1070"/>
      <c r="R2398" s="1070"/>
      <c r="S2398" s="1070"/>
      <c r="T2398" s="1070"/>
      <c r="U2398" s="1070"/>
      <c r="V2398" s="1070"/>
      <c r="W2398" s="1070"/>
      <c r="X2398" s="1070"/>
      <c r="Y2398" s="1070"/>
      <c r="Z2398" s="1070"/>
      <c r="AA2398" s="1070"/>
      <c r="AB2398" s="1070"/>
      <c r="AC2398" s="1070"/>
      <c r="AD2398" s="1070"/>
      <c r="AE2398" s="1070"/>
      <c r="AF2398" s="1070"/>
      <c r="AG2398" s="1070"/>
      <c r="AH2398" s="1070"/>
      <c r="AI2398" s="1070"/>
      <c r="AJ2398" s="1070"/>
      <c r="AK2398" s="1070"/>
      <c r="AL2398" s="1070"/>
      <c r="AM2398" s="1070"/>
      <c r="AN2398" s="1070"/>
      <c r="AO2398" s="1070"/>
      <c r="AP2398" s="1070"/>
      <c r="AQ2398" s="1070"/>
      <c r="AR2398" s="1070"/>
      <c r="AS2398" s="1070"/>
      <c r="AT2398" s="1070"/>
      <c r="AU2398" s="1350"/>
      <c r="AV2398" s="1350"/>
      <c r="AW2398" s="1350"/>
      <c r="AX2398" s="1350"/>
      <c r="AY2398" s="1350"/>
      <c r="AZ2398" s="1350"/>
      <c r="BA2398" s="1070"/>
      <c r="BB2398" s="1070"/>
      <c r="BC2398" s="1070"/>
      <c r="BD2398" s="1070"/>
      <c r="BE2398" s="1070"/>
      <c r="BF2398" s="1070"/>
      <c r="BG2398" s="1070"/>
      <c r="BH2398" s="1070"/>
      <c r="BI2398" s="1070"/>
      <c r="BJ2398" s="1070"/>
      <c r="BK2398" s="1070"/>
      <c r="BL2398" s="1070"/>
      <c r="BM2398" s="1070"/>
      <c r="BN2398" s="1070"/>
      <c r="BO2398" s="1070"/>
      <c r="BP2398" s="1070"/>
      <c r="BQ2398" s="1070"/>
      <c r="BR2398" s="1070"/>
      <c r="BS2398" s="1070"/>
      <c r="BT2398" s="1070"/>
      <c r="BU2398" s="1070"/>
      <c r="BV2398" s="1070"/>
      <c r="BW2398" s="1070"/>
      <c r="BX2398" s="1070"/>
      <c r="BY2398" s="1070"/>
      <c r="BZ2398" s="1070"/>
      <c r="CA2398" s="1070"/>
      <c r="CB2398" s="1070"/>
      <c r="CC2398" s="1070"/>
      <c r="CD2398" s="1070"/>
      <c r="CE2398" s="1070"/>
      <c r="CF2398" s="1070"/>
      <c r="CG2398" s="1070"/>
      <c r="CH2398" s="1070"/>
      <c r="CI2398" s="1070"/>
      <c r="CJ2398" s="1070"/>
      <c r="CK2398" s="1070"/>
      <c r="CL2398" s="1070"/>
      <c r="CM2398" s="1070"/>
      <c r="CN2398" s="1070"/>
      <c r="CO2398" s="1070"/>
      <c r="CP2398" s="1070"/>
      <c r="CQ2398" s="1070"/>
      <c r="CR2398" s="1070"/>
      <c r="CS2398" s="1070"/>
      <c r="CT2398" s="1070"/>
      <c r="CU2398" s="1070"/>
      <c r="CV2398" s="1070"/>
      <c r="CW2398" s="1070"/>
      <c r="CX2398" s="1070"/>
      <c r="CY2398" s="1070"/>
      <c r="CZ2398" s="1070"/>
      <c r="DA2398" s="1070"/>
      <c r="DB2398" s="1070"/>
      <c r="DC2398" s="1070"/>
      <c r="DD2398" s="1070"/>
      <c r="DE2398" s="1070"/>
      <c r="DF2398" s="1070"/>
      <c r="DG2398" s="1070"/>
      <c r="DH2398" s="1070"/>
      <c r="DI2398" s="1070"/>
      <c r="DJ2398" s="1070"/>
    </row>
    <row r="2399" spans="1:114" s="1136" customFormat="1" ht="15.75" x14ac:dyDescent="0.25">
      <c r="A2399" s="1430" t="s">
        <v>1318</v>
      </c>
      <c r="B2399" s="1423" t="e">
        <f>30.872*LN(B240)+31.551</f>
        <v>#VALUE!</v>
      </c>
      <c r="C2399" s="1070"/>
      <c r="D2399" s="1070"/>
      <c r="E2399" s="1070"/>
      <c r="F2399" s="1070"/>
      <c r="G2399" s="1070"/>
      <c r="H2399" s="1350"/>
      <c r="I2399" s="1350"/>
      <c r="J2399" s="1350"/>
      <c r="K2399" s="1350"/>
      <c r="L2399" s="1070"/>
      <c r="M2399" s="1070"/>
      <c r="N2399" s="1070"/>
      <c r="O2399" s="1070"/>
      <c r="P2399" s="1070"/>
      <c r="Q2399" s="1070"/>
      <c r="R2399" s="1070"/>
      <c r="S2399" s="1070"/>
      <c r="T2399" s="1070"/>
      <c r="U2399" s="1070"/>
      <c r="V2399" s="1070"/>
      <c r="W2399" s="1070"/>
      <c r="X2399" s="1070"/>
      <c r="Y2399" s="1070"/>
      <c r="Z2399" s="1070"/>
      <c r="AA2399" s="1070"/>
      <c r="AB2399" s="1070"/>
      <c r="AC2399" s="1070"/>
      <c r="AD2399" s="1070"/>
      <c r="AE2399" s="1070"/>
      <c r="AF2399" s="1070"/>
      <c r="AG2399" s="1070"/>
      <c r="AH2399" s="1070"/>
      <c r="AI2399" s="1070"/>
      <c r="AJ2399" s="1070"/>
      <c r="AK2399" s="1070"/>
      <c r="AL2399" s="1070"/>
      <c r="AM2399" s="1070"/>
      <c r="AN2399" s="1070"/>
      <c r="AO2399" s="1070"/>
      <c r="AP2399" s="1070"/>
      <c r="AQ2399" s="1070"/>
      <c r="AR2399" s="1070"/>
      <c r="AS2399" s="1070"/>
      <c r="AT2399" s="1070"/>
      <c r="AU2399" s="1350"/>
      <c r="AV2399" s="1350"/>
      <c r="AW2399" s="1350"/>
      <c r="AX2399" s="1350"/>
      <c r="AY2399" s="1350"/>
      <c r="AZ2399" s="1350"/>
      <c r="BA2399" s="1070"/>
      <c r="BB2399" s="1070"/>
      <c r="BC2399" s="1070"/>
      <c r="BD2399" s="1070"/>
      <c r="BE2399" s="1070"/>
      <c r="BF2399" s="1070"/>
      <c r="BG2399" s="1070"/>
      <c r="BH2399" s="1070"/>
      <c r="BI2399" s="1070"/>
      <c r="BJ2399" s="1070"/>
      <c r="BK2399" s="1070"/>
      <c r="BL2399" s="1070"/>
      <c r="BM2399" s="1070"/>
      <c r="BN2399" s="1070"/>
      <c r="BO2399" s="1070"/>
      <c r="BP2399" s="1070"/>
      <c r="BQ2399" s="1070"/>
      <c r="BR2399" s="1070"/>
      <c r="BS2399" s="1070"/>
      <c r="BT2399" s="1070"/>
      <c r="BU2399" s="1070"/>
      <c r="BV2399" s="1070"/>
      <c r="BW2399" s="1070"/>
      <c r="BX2399" s="1070"/>
      <c r="BY2399" s="1070"/>
      <c r="BZ2399" s="1070"/>
      <c r="CA2399" s="1070"/>
      <c r="CB2399" s="1070"/>
      <c r="CC2399" s="1070"/>
      <c r="CD2399" s="1070"/>
      <c r="CE2399" s="1070"/>
      <c r="CF2399" s="1070"/>
      <c r="CG2399" s="1070"/>
      <c r="CH2399" s="1070"/>
      <c r="CI2399" s="1070"/>
      <c r="CJ2399" s="1070"/>
      <c r="CK2399" s="1070"/>
      <c r="CL2399" s="1070"/>
      <c r="CM2399" s="1070"/>
      <c r="CN2399" s="1070"/>
      <c r="CO2399" s="1070"/>
      <c r="CP2399" s="1070"/>
      <c r="CQ2399" s="1070"/>
      <c r="CR2399" s="1070"/>
      <c r="CS2399" s="1070"/>
      <c r="CT2399" s="1070"/>
      <c r="CU2399" s="1070"/>
      <c r="CV2399" s="1070"/>
      <c r="CW2399" s="1070"/>
      <c r="CX2399" s="1070"/>
      <c r="CY2399" s="1070"/>
      <c r="CZ2399" s="1070"/>
      <c r="DA2399" s="1070"/>
      <c r="DB2399" s="1070"/>
      <c r="DC2399" s="1070"/>
      <c r="DD2399" s="1070"/>
      <c r="DE2399" s="1070"/>
      <c r="DF2399" s="1070"/>
      <c r="DG2399" s="1070"/>
      <c r="DH2399" s="1070"/>
      <c r="DI2399" s="1070"/>
      <c r="DJ2399" s="1070"/>
    </row>
    <row r="2400" spans="1:114" s="1136" customFormat="1" ht="15.75" x14ac:dyDescent="0.25">
      <c r="A2400" s="1422" t="s">
        <v>1319</v>
      </c>
      <c r="B2400" s="1431" t="e">
        <f>IF(B2399&lt;24.3,1,IF(B2399&lt;28.1,2,IF(B2399&lt;32.1,3,IF(B2399&lt;36.3,4,IF(B2399&lt;41.4,5,IF(B2399&lt;46.1,6,IF(B2399&lt;51.3,7,B2401)))))))</f>
        <v>#VALUE!</v>
      </c>
      <c r="C2400" s="1070"/>
      <c r="D2400" s="1070"/>
      <c r="E2400" s="1070"/>
      <c r="F2400" s="1070"/>
      <c r="G2400" s="1070"/>
      <c r="H2400" s="1350"/>
      <c r="I2400" s="1350"/>
      <c r="J2400" s="1350"/>
      <c r="K2400" s="1350"/>
      <c r="L2400" s="1070"/>
      <c r="M2400" s="1070"/>
      <c r="N2400" s="1070"/>
      <c r="O2400" s="1070"/>
      <c r="P2400" s="1070"/>
      <c r="Q2400" s="1070"/>
      <c r="R2400" s="1070"/>
      <c r="S2400" s="1070"/>
      <c r="T2400" s="1070"/>
      <c r="U2400" s="1070"/>
      <c r="V2400" s="1070"/>
      <c r="W2400" s="1070"/>
      <c r="X2400" s="1070"/>
      <c r="Y2400" s="1070"/>
      <c r="Z2400" s="1070"/>
      <c r="AA2400" s="1070"/>
      <c r="AB2400" s="1070"/>
      <c r="AC2400" s="1070"/>
      <c r="AD2400" s="1070"/>
      <c r="AE2400" s="1070"/>
      <c r="AF2400" s="1070"/>
      <c r="AG2400" s="1070"/>
      <c r="AH2400" s="1070"/>
      <c r="AI2400" s="1070"/>
      <c r="AJ2400" s="1070"/>
      <c r="AK2400" s="1070"/>
      <c r="AL2400" s="1070"/>
      <c r="AM2400" s="1070"/>
      <c r="AN2400" s="1070"/>
      <c r="AO2400" s="1070"/>
      <c r="AP2400" s="1070"/>
      <c r="AQ2400" s="1070"/>
      <c r="AR2400" s="1070"/>
      <c r="AS2400" s="1070"/>
      <c r="AT2400" s="1070"/>
      <c r="AU2400" s="1350"/>
      <c r="AV2400" s="1350"/>
      <c r="AW2400" s="1350"/>
      <c r="AX2400" s="1350"/>
      <c r="AY2400" s="1350"/>
      <c r="AZ2400" s="1350"/>
      <c r="BA2400" s="1070"/>
      <c r="BB2400" s="1070"/>
      <c r="BC2400" s="1070"/>
      <c r="BD2400" s="1070"/>
      <c r="BE2400" s="1070"/>
      <c r="BF2400" s="1070"/>
      <c r="BG2400" s="1070"/>
      <c r="BH2400" s="1070"/>
      <c r="BI2400" s="1070"/>
      <c r="BJ2400" s="1070"/>
      <c r="BK2400" s="1070"/>
      <c r="BL2400" s="1070"/>
      <c r="BM2400" s="1070"/>
      <c r="BN2400" s="1070"/>
      <c r="BO2400" s="1070"/>
      <c r="BP2400" s="1070"/>
      <c r="BQ2400" s="1070"/>
      <c r="BR2400" s="1070"/>
      <c r="BS2400" s="1070"/>
      <c r="BT2400" s="1070"/>
      <c r="BU2400" s="1070"/>
      <c r="BV2400" s="1070"/>
      <c r="BW2400" s="1070"/>
      <c r="BX2400" s="1070"/>
      <c r="BY2400" s="1070"/>
      <c r="BZ2400" s="1070"/>
      <c r="CA2400" s="1070"/>
      <c r="CB2400" s="1070"/>
      <c r="CC2400" s="1070"/>
      <c r="CD2400" s="1070"/>
      <c r="CE2400" s="1070"/>
      <c r="CF2400" s="1070"/>
      <c r="CG2400" s="1070"/>
      <c r="CH2400" s="1070"/>
      <c r="CI2400" s="1070"/>
      <c r="CJ2400" s="1070"/>
      <c r="CK2400" s="1070"/>
      <c r="CL2400" s="1070"/>
      <c r="CM2400" s="1070"/>
      <c r="CN2400" s="1070"/>
      <c r="CO2400" s="1070"/>
      <c r="CP2400" s="1070"/>
      <c r="CQ2400" s="1070"/>
      <c r="CR2400" s="1070"/>
      <c r="CS2400" s="1070"/>
      <c r="CT2400" s="1070"/>
      <c r="CU2400" s="1070"/>
      <c r="CV2400" s="1070"/>
      <c r="CW2400" s="1070"/>
      <c r="CX2400" s="1070"/>
      <c r="CY2400" s="1070"/>
      <c r="CZ2400" s="1070"/>
      <c r="DA2400" s="1070"/>
      <c r="DB2400" s="1070"/>
      <c r="DC2400" s="1070"/>
      <c r="DD2400" s="1070"/>
      <c r="DE2400" s="1070"/>
      <c r="DF2400" s="1070"/>
      <c r="DG2400" s="1070"/>
      <c r="DH2400" s="1070"/>
      <c r="DI2400" s="1070"/>
      <c r="DJ2400" s="1070"/>
    </row>
    <row r="2401" spans="1:114" s="1136" customFormat="1" ht="15.75" x14ac:dyDescent="0.25">
      <c r="A2401" s="1417" t="s">
        <v>1320</v>
      </c>
      <c r="B2401" s="1431" t="e">
        <f>IF(B2399&lt;57.1,8,IF(B2399&lt;63.1,9,IF(B2399&lt;69.7,10,11)))</f>
        <v>#VALUE!</v>
      </c>
      <c r="C2401" s="1350"/>
      <c r="D2401" s="1350"/>
      <c r="E2401" s="1350"/>
      <c r="F2401" s="1350"/>
      <c r="G2401" s="1350"/>
      <c r="H2401" s="1350"/>
      <c r="I2401" s="1350"/>
      <c r="J2401" s="1350"/>
      <c r="K2401" s="1350"/>
      <c r="L2401" s="1070"/>
      <c r="M2401" s="1070"/>
      <c r="N2401" s="1070"/>
      <c r="O2401" s="1070"/>
      <c r="P2401" s="1070"/>
      <c r="Q2401" s="1070"/>
      <c r="R2401" s="1070"/>
      <c r="S2401" s="1070"/>
      <c r="T2401" s="1070"/>
      <c r="U2401" s="1070"/>
      <c r="V2401" s="1070"/>
      <c r="W2401" s="1070"/>
      <c r="X2401" s="1070"/>
      <c r="Y2401" s="1070"/>
      <c r="Z2401" s="1070"/>
      <c r="AA2401" s="1070"/>
      <c r="AB2401" s="1070"/>
      <c r="AC2401" s="1070"/>
      <c r="AD2401" s="1070"/>
      <c r="AE2401" s="1070"/>
      <c r="AF2401" s="1070"/>
      <c r="AG2401" s="1070"/>
      <c r="AH2401" s="1070"/>
      <c r="AI2401" s="1070"/>
      <c r="AJ2401" s="1070"/>
      <c r="AK2401" s="1070"/>
      <c r="AL2401" s="1070"/>
      <c r="AM2401" s="1070"/>
      <c r="AN2401" s="1070"/>
      <c r="AO2401" s="1070"/>
      <c r="AP2401" s="1070"/>
      <c r="AQ2401" s="1070"/>
      <c r="AR2401" s="1070"/>
      <c r="AS2401" s="1070"/>
      <c r="AT2401" s="1070"/>
      <c r="AU2401" s="1350"/>
      <c r="AV2401" s="1350"/>
      <c r="AW2401" s="1350"/>
      <c r="AX2401" s="1350"/>
      <c r="AY2401" s="1350"/>
      <c r="AZ2401" s="1350"/>
      <c r="BA2401" s="1070"/>
      <c r="BB2401" s="1070"/>
      <c r="BC2401" s="1070"/>
      <c r="BD2401" s="1070"/>
      <c r="BE2401" s="1070"/>
      <c r="BF2401" s="1070"/>
      <c r="BG2401" s="1070"/>
      <c r="BH2401" s="1070"/>
      <c r="BI2401" s="1070"/>
      <c r="BJ2401" s="1070"/>
      <c r="BK2401" s="1070"/>
      <c r="BL2401" s="1070"/>
      <c r="BM2401" s="1070"/>
      <c r="BN2401" s="1070"/>
      <c r="BO2401" s="1070"/>
      <c r="BP2401" s="1070"/>
      <c r="BQ2401" s="1070"/>
      <c r="BR2401" s="1070"/>
      <c r="BS2401" s="1070"/>
      <c r="BT2401" s="1070"/>
      <c r="BU2401" s="1070"/>
      <c r="BV2401" s="1070"/>
      <c r="BW2401" s="1070"/>
      <c r="BX2401" s="1070"/>
      <c r="BY2401" s="1070"/>
      <c r="BZ2401" s="1070"/>
      <c r="CA2401" s="1070"/>
      <c r="CB2401" s="1070"/>
      <c r="CC2401" s="1070"/>
      <c r="CD2401" s="1070"/>
      <c r="CE2401" s="1070"/>
      <c r="CF2401" s="1070"/>
      <c r="CG2401" s="1070"/>
      <c r="CH2401" s="1070"/>
      <c r="CI2401" s="1070"/>
      <c r="CJ2401" s="1070"/>
      <c r="CK2401" s="1070"/>
      <c r="CL2401" s="1070"/>
      <c r="CM2401" s="1070"/>
      <c r="CN2401" s="1070"/>
      <c r="CO2401" s="1070"/>
      <c r="CP2401" s="1070"/>
      <c r="CQ2401" s="1070"/>
      <c r="CR2401" s="1070"/>
      <c r="CS2401" s="1070"/>
      <c r="CT2401" s="1070"/>
      <c r="CU2401" s="1070"/>
      <c r="CV2401" s="1070"/>
      <c r="CW2401" s="1070"/>
      <c r="CX2401" s="1070"/>
      <c r="CY2401" s="1070"/>
      <c r="CZ2401" s="1070"/>
      <c r="DA2401" s="1070"/>
      <c r="DB2401" s="1070"/>
      <c r="DC2401" s="1070"/>
      <c r="DD2401" s="1070"/>
      <c r="DE2401" s="1070"/>
      <c r="DF2401" s="1070"/>
      <c r="DG2401" s="1070"/>
      <c r="DH2401" s="1070"/>
      <c r="DI2401" s="1070"/>
      <c r="DJ2401" s="1070"/>
    </row>
    <row r="2402" spans="1:114" s="1136" customFormat="1" ht="15.75" x14ac:dyDescent="0.25">
      <c r="A2402" s="1422" t="s">
        <v>1321</v>
      </c>
      <c r="B2402" s="1431">
        <v>4</v>
      </c>
      <c r="C2402" s="1432"/>
      <c r="D2402" s="1432"/>
      <c r="E2402" s="1432"/>
      <c r="F2402" s="1432"/>
      <c r="G2402" s="1432"/>
      <c r="H2402" s="1350"/>
      <c r="I2402" s="1350"/>
      <c r="J2402" s="1350"/>
      <c r="K2402" s="1350"/>
      <c r="L2402" s="1070"/>
      <c r="M2402" s="1070"/>
      <c r="N2402" s="1070"/>
      <c r="O2402" s="1070"/>
      <c r="P2402" s="1070"/>
      <c r="Q2402" s="1070"/>
      <c r="R2402" s="1070"/>
      <c r="S2402" s="1070"/>
      <c r="T2402" s="1070"/>
      <c r="U2402" s="1070"/>
      <c r="V2402" s="1070"/>
      <c r="W2402" s="1070"/>
      <c r="X2402" s="1070"/>
      <c r="Y2402" s="1070"/>
      <c r="Z2402" s="1070"/>
      <c r="AA2402" s="1070"/>
      <c r="AB2402" s="1070"/>
      <c r="AC2402" s="1070"/>
      <c r="AD2402" s="1070"/>
      <c r="AE2402" s="1070"/>
      <c r="AF2402" s="1070"/>
      <c r="AG2402" s="1070"/>
      <c r="AH2402" s="1070"/>
      <c r="AI2402" s="1070"/>
      <c r="AJ2402" s="1070"/>
      <c r="AK2402" s="1070"/>
      <c r="AL2402" s="1070"/>
      <c r="AM2402" s="1070"/>
      <c r="AN2402" s="1070"/>
      <c r="AO2402" s="1070"/>
      <c r="AP2402" s="1070"/>
      <c r="AQ2402" s="1070"/>
      <c r="AR2402" s="1070"/>
      <c r="AS2402" s="1070"/>
      <c r="AT2402" s="1070"/>
      <c r="AU2402" s="1350"/>
      <c r="AV2402" s="1350"/>
      <c r="AW2402" s="1350"/>
      <c r="AX2402" s="1350"/>
      <c r="AY2402" s="1350"/>
      <c r="AZ2402" s="1350"/>
      <c r="BA2402" s="1070"/>
      <c r="BB2402" s="1070"/>
      <c r="BC2402" s="1070"/>
      <c r="BD2402" s="1070"/>
      <c r="BE2402" s="1070"/>
      <c r="BF2402" s="1070"/>
      <c r="BG2402" s="1070"/>
      <c r="BH2402" s="1070"/>
      <c r="BI2402" s="1070"/>
      <c r="BJ2402" s="1070"/>
      <c r="BK2402" s="1070"/>
      <c r="BL2402" s="1070"/>
      <c r="BM2402" s="1070"/>
      <c r="BN2402" s="1070"/>
      <c r="BO2402" s="1070"/>
      <c r="BP2402" s="1070"/>
      <c r="BQ2402" s="1070"/>
      <c r="BR2402" s="1070"/>
      <c r="BS2402" s="1070"/>
      <c r="BT2402" s="1070"/>
      <c r="BU2402" s="1070"/>
      <c r="BV2402" s="1070"/>
      <c r="BW2402" s="1070"/>
      <c r="BX2402" s="1070"/>
      <c r="BY2402" s="1070"/>
      <c r="BZ2402" s="1070"/>
      <c r="CA2402" s="1070"/>
      <c r="CB2402" s="1070"/>
      <c r="CC2402" s="1070"/>
      <c r="CD2402" s="1070"/>
      <c r="CE2402" s="1070"/>
      <c r="CF2402" s="1070"/>
      <c r="CG2402" s="1070"/>
      <c r="CH2402" s="1070"/>
      <c r="CI2402" s="1070"/>
      <c r="CJ2402" s="1070"/>
      <c r="CK2402" s="1070"/>
      <c r="CL2402" s="1070"/>
      <c r="CM2402" s="1070"/>
      <c r="CN2402" s="1070"/>
      <c r="CO2402" s="1070"/>
      <c r="CP2402" s="1070"/>
      <c r="CQ2402" s="1070"/>
      <c r="CR2402" s="1070"/>
      <c r="CS2402" s="1070"/>
      <c r="CT2402" s="1070"/>
      <c r="CU2402" s="1070"/>
      <c r="CV2402" s="1070"/>
      <c r="CW2402" s="1070"/>
      <c r="CX2402" s="1070"/>
      <c r="CY2402" s="1070"/>
      <c r="CZ2402" s="1070"/>
      <c r="DA2402" s="1070"/>
      <c r="DB2402" s="1070"/>
      <c r="DC2402" s="1070"/>
      <c r="DD2402" s="1070"/>
      <c r="DE2402" s="1070"/>
      <c r="DF2402" s="1070"/>
      <c r="DG2402" s="1070"/>
      <c r="DH2402" s="1070"/>
      <c r="DI2402" s="1070"/>
      <c r="DJ2402" s="1070"/>
    </row>
    <row r="2403" spans="1:114" s="1136" customFormat="1" ht="15.75" x14ac:dyDescent="0.25">
      <c r="A2403" s="1422" t="s">
        <v>1322</v>
      </c>
      <c r="B2403" s="1428"/>
      <c r="C2403" s="1429"/>
      <c r="D2403" s="1429"/>
      <c r="E2403" s="1429"/>
      <c r="F2403" s="1429"/>
      <c r="G2403" s="1429"/>
      <c r="H2403" s="1350"/>
      <c r="I2403" s="1350"/>
      <c r="J2403" s="1350"/>
      <c r="K2403" s="1350"/>
      <c r="L2403" s="1070"/>
      <c r="M2403" s="1070"/>
      <c r="N2403" s="1070"/>
      <c r="O2403" s="1070"/>
      <c r="P2403" s="1070"/>
      <c r="Q2403" s="1070"/>
      <c r="R2403" s="1070"/>
      <c r="S2403" s="1070"/>
      <c r="T2403" s="1070"/>
      <c r="U2403" s="1070"/>
      <c r="V2403" s="1070"/>
      <c r="W2403" s="1070"/>
      <c r="X2403" s="1070"/>
      <c r="Y2403" s="1070"/>
      <c r="Z2403" s="1070"/>
      <c r="AA2403" s="1070"/>
      <c r="AB2403" s="1070"/>
      <c r="AC2403" s="1070"/>
      <c r="AD2403" s="1070"/>
      <c r="AE2403" s="1070"/>
      <c r="AF2403" s="1070"/>
      <c r="AG2403" s="1070"/>
      <c r="AH2403" s="1070"/>
      <c r="AI2403" s="1070"/>
      <c r="AJ2403" s="1070"/>
      <c r="AK2403" s="1070"/>
      <c r="AL2403" s="1070"/>
      <c r="AM2403" s="1070"/>
      <c r="AN2403" s="1070"/>
      <c r="AO2403" s="1070"/>
      <c r="AP2403" s="1070"/>
      <c r="AQ2403" s="1070"/>
      <c r="AR2403" s="1070"/>
      <c r="AS2403" s="1070"/>
      <c r="AT2403" s="1070"/>
      <c r="AU2403" s="1350"/>
      <c r="AV2403" s="1350"/>
      <c r="AW2403" s="1350"/>
      <c r="AX2403" s="1350"/>
      <c r="AY2403" s="1350"/>
      <c r="AZ2403" s="1350"/>
      <c r="BA2403" s="1070"/>
      <c r="BB2403" s="1070"/>
      <c r="BC2403" s="1070"/>
      <c r="BD2403" s="1070"/>
      <c r="BE2403" s="1070"/>
      <c r="BF2403" s="1070"/>
      <c r="BG2403" s="1070"/>
      <c r="BH2403" s="1070"/>
      <c r="BI2403" s="1070"/>
      <c r="BJ2403" s="1070"/>
      <c r="BK2403" s="1070"/>
      <c r="BL2403" s="1070"/>
      <c r="BM2403" s="1070"/>
      <c r="BN2403" s="1070"/>
      <c r="BO2403" s="1070"/>
      <c r="BP2403" s="1070"/>
      <c r="BQ2403" s="1070"/>
      <c r="BR2403" s="1070"/>
      <c r="BS2403" s="1070"/>
      <c r="BT2403" s="1070"/>
      <c r="BU2403" s="1070"/>
      <c r="BV2403" s="1070"/>
      <c r="BW2403" s="1070"/>
      <c r="BX2403" s="1070"/>
      <c r="BY2403" s="1070"/>
      <c r="BZ2403" s="1070"/>
      <c r="CA2403" s="1070"/>
      <c r="CB2403" s="1070"/>
      <c r="CC2403" s="1070"/>
      <c r="CD2403" s="1070"/>
      <c r="CE2403" s="1070"/>
      <c r="CF2403" s="1070"/>
      <c r="CG2403" s="1070"/>
      <c r="CH2403" s="1070"/>
      <c r="CI2403" s="1070"/>
      <c r="CJ2403" s="1070"/>
      <c r="CK2403" s="1070"/>
      <c r="CL2403" s="1070"/>
      <c r="CM2403" s="1070"/>
      <c r="CN2403" s="1070"/>
      <c r="CO2403" s="1070"/>
      <c r="CP2403" s="1070"/>
      <c r="CQ2403" s="1070"/>
      <c r="CR2403" s="1070"/>
      <c r="CS2403" s="1070"/>
      <c r="CT2403" s="1070"/>
      <c r="CU2403" s="1070"/>
      <c r="CV2403" s="1070"/>
      <c r="CW2403" s="1070"/>
      <c r="CX2403" s="1070"/>
      <c r="CY2403" s="1070"/>
      <c r="CZ2403" s="1070"/>
      <c r="DA2403" s="1070"/>
      <c r="DB2403" s="1070"/>
      <c r="DC2403" s="1070"/>
      <c r="DD2403" s="1070"/>
      <c r="DE2403" s="1070"/>
      <c r="DF2403" s="1070"/>
      <c r="DG2403" s="1070"/>
      <c r="DH2403" s="1070"/>
      <c r="DI2403" s="1070"/>
      <c r="DJ2403" s="1070"/>
    </row>
    <row r="2404" spans="1:114" s="1136" customFormat="1" ht="15.75" x14ac:dyDescent="0.25">
      <c r="A2404" s="1422" t="s">
        <v>1323</v>
      </c>
      <c r="B2404" s="1433">
        <f>IF(B2386&lt;1.26,1,IF(B2386&lt;1.27,0.9,0.85))</f>
        <v>0.85</v>
      </c>
      <c r="C2404" s="1432"/>
      <c r="D2404" s="1350"/>
      <c r="E2404" s="1350"/>
      <c r="F2404" s="1350"/>
      <c r="G2404" s="1350"/>
      <c r="H2404" s="1350"/>
      <c r="I2404" s="1350"/>
      <c r="J2404" s="1350"/>
      <c r="K2404" s="1350"/>
      <c r="L2404" s="1070"/>
      <c r="M2404" s="1070"/>
      <c r="N2404" s="1070"/>
      <c r="O2404" s="1070"/>
      <c r="P2404" s="1070"/>
      <c r="Q2404" s="1070"/>
      <c r="R2404" s="1070"/>
      <c r="S2404" s="1070"/>
      <c r="T2404" s="1070"/>
      <c r="U2404" s="1070"/>
      <c r="V2404" s="1070"/>
      <c r="W2404" s="1070"/>
      <c r="X2404" s="1070"/>
      <c r="Y2404" s="1070"/>
      <c r="Z2404" s="1070"/>
      <c r="AA2404" s="1070"/>
      <c r="AB2404" s="1070"/>
      <c r="AC2404" s="1070"/>
      <c r="AD2404" s="1070"/>
      <c r="AE2404" s="1070"/>
      <c r="AF2404" s="1070"/>
      <c r="AG2404" s="1070"/>
      <c r="AH2404" s="1070"/>
      <c r="AI2404" s="1070"/>
      <c r="AJ2404" s="1070"/>
      <c r="AK2404" s="1070"/>
      <c r="AL2404" s="1070"/>
      <c r="AM2404" s="1070"/>
      <c r="AN2404" s="1070"/>
      <c r="AO2404" s="1070"/>
      <c r="AP2404" s="1070"/>
      <c r="AQ2404" s="1070"/>
      <c r="AR2404" s="1070"/>
      <c r="AS2404" s="1070"/>
      <c r="AT2404" s="1070"/>
      <c r="AU2404" s="1350"/>
      <c r="AV2404" s="1350"/>
      <c r="AW2404" s="1350"/>
      <c r="AX2404" s="1350"/>
      <c r="AY2404" s="1350"/>
      <c r="AZ2404" s="1350"/>
      <c r="BA2404" s="1070"/>
      <c r="BB2404" s="1070"/>
      <c r="BC2404" s="1070"/>
      <c r="BD2404" s="1070"/>
      <c r="BE2404" s="1070"/>
      <c r="BF2404" s="1070"/>
      <c r="BG2404" s="1070"/>
      <c r="BH2404" s="1070"/>
      <c r="BI2404" s="1070"/>
      <c r="BJ2404" s="1070"/>
      <c r="BK2404" s="1070"/>
      <c r="BL2404" s="1070"/>
      <c r="BM2404" s="1070"/>
      <c r="BN2404" s="1070"/>
      <c r="BO2404" s="1070"/>
      <c r="BP2404" s="1070"/>
      <c r="BQ2404" s="1070"/>
      <c r="BR2404" s="1070"/>
      <c r="BS2404" s="1070"/>
      <c r="BT2404" s="1070"/>
      <c r="BU2404" s="1070"/>
      <c r="BV2404" s="1070"/>
      <c r="BW2404" s="1070"/>
      <c r="BX2404" s="1070"/>
      <c r="BY2404" s="1070"/>
      <c r="BZ2404" s="1070"/>
      <c r="CA2404" s="1070"/>
      <c r="CB2404" s="1070"/>
      <c r="CC2404" s="1070"/>
      <c r="CD2404" s="1070"/>
      <c r="CE2404" s="1070"/>
      <c r="CF2404" s="1070"/>
      <c r="CG2404" s="1070"/>
      <c r="CH2404" s="1070"/>
      <c r="CI2404" s="1070"/>
      <c r="CJ2404" s="1070"/>
      <c r="CK2404" s="1070"/>
      <c r="CL2404" s="1070"/>
      <c r="CM2404" s="1070"/>
      <c r="CN2404" s="1070"/>
      <c r="CO2404" s="1070"/>
      <c r="CP2404" s="1070"/>
      <c r="CQ2404" s="1070"/>
      <c r="CR2404" s="1070"/>
      <c r="CS2404" s="1070"/>
      <c r="CT2404" s="1070"/>
      <c r="CU2404" s="1070"/>
      <c r="CV2404" s="1070"/>
      <c r="CW2404" s="1070"/>
      <c r="CX2404" s="1070"/>
      <c r="CY2404" s="1070"/>
      <c r="CZ2404" s="1070"/>
      <c r="DA2404" s="1070"/>
      <c r="DB2404" s="1070"/>
      <c r="DC2404" s="1070"/>
      <c r="DD2404" s="1070"/>
      <c r="DE2404" s="1070"/>
      <c r="DF2404" s="1070"/>
      <c r="DG2404" s="1070"/>
      <c r="DH2404" s="1070"/>
      <c r="DI2404" s="1070"/>
      <c r="DJ2404" s="1070"/>
    </row>
    <row r="2405" spans="1:114" s="1136" customFormat="1" ht="15.75" x14ac:dyDescent="0.25">
      <c r="A2405" s="1422" t="s">
        <v>391</v>
      </c>
      <c r="B2405" s="1433">
        <f>IF(B256=2,1,1.15)</f>
        <v>1.1499999999999999</v>
      </c>
      <c r="C2405" s="1429"/>
      <c r="D2405" s="1429"/>
      <c r="E2405" s="1429"/>
      <c r="F2405" s="1429"/>
      <c r="G2405" s="1429"/>
      <c r="H2405" s="1350"/>
      <c r="I2405" s="1350"/>
      <c r="J2405" s="1350"/>
      <c r="K2405" s="1350"/>
      <c r="L2405" s="1070"/>
      <c r="M2405" s="1070"/>
      <c r="N2405" s="1070"/>
      <c r="O2405" s="1070"/>
      <c r="P2405" s="1070"/>
      <c r="Q2405" s="1070"/>
      <c r="R2405" s="1070"/>
      <c r="S2405" s="1070"/>
      <c r="T2405" s="1070"/>
      <c r="U2405" s="1070"/>
      <c r="V2405" s="1070"/>
      <c r="W2405" s="1070"/>
      <c r="X2405" s="1070"/>
      <c r="Y2405" s="1070"/>
      <c r="Z2405" s="1070"/>
      <c r="AA2405" s="1070"/>
      <c r="AB2405" s="1070"/>
      <c r="AC2405" s="1070"/>
      <c r="AD2405" s="1070"/>
      <c r="AE2405" s="1070"/>
      <c r="AF2405" s="1070"/>
      <c r="AG2405" s="1070"/>
      <c r="AH2405" s="1070"/>
      <c r="AI2405" s="1070"/>
      <c r="AJ2405" s="1070"/>
      <c r="AK2405" s="1070"/>
      <c r="AL2405" s="1070"/>
      <c r="AM2405" s="1070"/>
      <c r="AN2405" s="1070"/>
      <c r="AO2405" s="1070"/>
      <c r="AP2405" s="1070"/>
      <c r="AQ2405" s="1070"/>
      <c r="AR2405" s="1070"/>
      <c r="AS2405" s="1070"/>
      <c r="AT2405" s="1070"/>
      <c r="AU2405" s="1350"/>
      <c r="AV2405" s="1350"/>
      <c r="AW2405" s="1350"/>
      <c r="AX2405" s="1350"/>
      <c r="AY2405" s="1350"/>
      <c r="AZ2405" s="1350"/>
      <c r="BA2405" s="1070"/>
      <c r="BB2405" s="1070"/>
      <c r="BC2405" s="1070"/>
      <c r="BD2405" s="1070"/>
      <c r="BE2405" s="1070"/>
      <c r="BF2405" s="1070"/>
      <c r="BG2405" s="1070"/>
      <c r="BH2405" s="1070"/>
      <c r="BI2405" s="1070"/>
      <c r="BJ2405" s="1070"/>
      <c r="BK2405" s="1070"/>
      <c r="BL2405" s="1070"/>
      <c r="BM2405" s="1070"/>
      <c r="BN2405" s="1070"/>
      <c r="BO2405" s="1070"/>
      <c r="BP2405" s="1070"/>
      <c r="BQ2405" s="1070"/>
      <c r="BR2405" s="1070"/>
      <c r="BS2405" s="1070"/>
      <c r="BT2405" s="1070"/>
      <c r="BU2405" s="1070"/>
      <c r="BV2405" s="1070"/>
      <c r="BW2405" s="1070"/>
      <c r="BX2405" s="1070"/>
      <c r="BY2405" s="1070"/>
      <c r="BZ2405" s="1070"/>
      <c r="CA2405" s="1070"/>
      <c r="CB2405" s="1070"/>
      <c r="CC2405" s="1070"/>
      <c r="CD2405" s="1070"/>
      <c r="CE2405" s="1070"/>
      <c r="CF2405" s="1070"/>
      <c r="CG2405" s="1070"/>
      <c r="CH2405" s="1070"/>
      <c r="CI2405" s="1070"/>
      <c r="CJ2405" s="1070"/>
      <c r="CK2405" s="1070"/>
      <c r="CL2405" s="1070"/>
      <c r="CM2405" s="1070"/>
      <c r="CN2405" s="1070"/>
      <c r="CO2405" s="1070"/>
      <c r="CP2405" s="1070"/>
      <c r="CQ2405" s="1070"/>
      <c r="CR2405" s="1070"/>
      <c r="CS2405" s="1070"/>
      <c r="CT2405" s="1070"/>
      <c r="CU2405" s="1070"/>
      <c r="CV2405" s="1070"/>
      <c r="CW2405" s="1070"/>
      <c r="CX2405" s="1070"/>
      <c r="CY2405" s="1070"/>
      <c r="CZ2405" s="1070"/>
      <c r="DA2405" s="1070"/>
      <c r="DB2405" s="1070"/>
      <c r="DC2405" s="1070"/>
      <c r="DD2405" s="1070"/>
      <c r="DE2405" s="1070"/>
      <c r="DF2405" s="1070"/>
      <c r="DG2405" s="1070"/>
      <c r="DH2405" s="1070"/>
      <c r="DI2405" s="1070"/>
      <c r="DJ2405" s="1070"/>
    </row>
    <row r="2406" spans="1:114" s="1136" customFormat="1" ht="15.75" x14ac:dyDescent="0.25">
      <c r="A2406" s="1422" t="s">
        <v>392</v>
      </c>
      <c r="B2406" s="1433">
        <f>IF(B251&lt;21,1,IF(B251&lt;31,0.9,0.8))</f>
        <v>1</v>
      </c>
      <c r="C2406" s="1434"/>
      <c r="D2406" s="1434"/>
      <c r="E2406" s="1434"/>
      <c r="F2406" s="1434"/>
      <c r="G2406" s="1434"/>
      <c r="H2406" s="1350"/>
      <c r="I2406" s="1350"/>
      <c r="J2406" s="1350"/>
      <c r="K2406" s="1350"/>
      <c r="L2406" s="1070"/>
      <c r="M2406" s="1070"/>
      <c r="N2406" s="1070"/>
      <c r="O2406" s="1070"/>
      <c r="P2406" s="1070"/>
      <c r="Q2406" s="1070"/>
      <c r="R2406" s="1070"/>
      <c r="S2406" s="1070"/>
      <c r="T2406" s="1070"/>
      <c r="U2406" s="1070"/>
      <c r="V2406" s="1070"/>
      <c r="W2406" s="1070"/>
      <c r="X2406" s="1070"/>
      <c r="Y2406" s="1070"/>
      <c r="Z2406" s="1070"/>
      <c r="AA2406" s="1070"/>
      <c r="AB2406" s="1070"/>
      <c r="AC2406" s="1070"/>
      <c r="AD2406" s="1070"/>
      <c r="AE2406" s="1070"/>
      <c r="AF2406" s="1070"/>
      <c r="AG2406" s="1070"/>
      <c r="AH2406" s="1070"/>
      <c r="AI2406" s="1070"/>
      <c r="AJ2406" s="1070"/>
      <c r="AK2406" s="1070"/>
      <c r="AL2406" s="1070"/>
      <c r="AM2406" s="1070"/>
      <c r="AN2406" s="1070"/>
      <c r="AO2406" s="1070"/>
      <c r="AP2406" s="1070"/>
      <c r="AQ2406" s="1070"/>
      <c r="AR2406" s="1070"/>
      <c r="AS2406" s="1070"/>
      <c r="AT2406" s="1070"/>
      <c r="AU2406" s="1350"/>
      <c r="AV2406" s="1350"/>
      <c r="AW2406" s="1350"/>
      <c r="AX2406" s="1350"/>
      <c r="AY2406" s="1350"/>
      <c r="AZ2406" s="1350"/>
      <c r="BA2406" s="1070"/>
      <c r="BB2406" s="1070"/>
      <c r="BC2406" s="1070"/>
      <c r="BD2406" s="1070"/>
      <c r="BE2406" s="1070"/>
      <c r="BF2406" s="1070"/>
      <c r="BG2406" s="1070"/>
      <c r="BH2406" s="1070"/>
      <c r="BI2406" s="1070"/>
      <c r="BJ2406" s="1070"/>
      <c r="BK2406" s="1070"/>
      <c r="BL2406" s="1070"/>
      <c r="BM2406" s="1070"/>
      <c r="BN2406" s="1070"/>
      <c r="BO2406" s="1070"/>
      <c r="BP2406" s="1070"/>
      <c r="BQ2406" s="1070"/>
      <c r="BR2406" s="1070"/>
      <c r="BS2406" s="1070"/>
      <c r="BT2406" s="1070"/>
      <c r="BU2406" s="1070"/>
      <c r="BV2406" s="1070"/>
      <c r="BW2406" s="1070"/>
      <c r="BX2406" s="1070"/>
      <c r="BY2406" s="1070"/>
      <c r="BZ2406" s="1070"/>
      <c r="CA2406" s="1070"/>
      <c r="CB2406" s="1070"/>
      <c r="CC2406" s="1070"/>
      <c r="CD2406" s="1070"/>
      <c r="CE2406" s="1070"/>
      <c r="CF2406" s="1070"/>
      <c r="CG2406" s="1070"/>
      <c r="CH2406" s="1070"/>
      <c r="CI2406" s="1070"/>
      <c r="CJ2406" s="1070"/>
      <c r="CK2406" s="1070"/>
      <c r="CL2406" s="1070"/>
      <c r="CM2406" s="1070"/>
      <c r="CN2406" s="1070"/>
      <c r="CO2406" s="1070"/>
      <c r="CP2406" s="1070"/>
      <c r="CQ2406" s="1070"/>
      <c r="CR2406" s="1070"/>
      <c r="CS2406" s="1070"/>
      <c r="CT2406" s="1070"/>
      <c r="CU2406" s="1070"/>
      <c r="CV2406" s="1070"/>
      <c r="CW2406" s="1070"/>
      <c r="CX2406" s="1070"/>
      <c r="CY2406" s="1070"/>
      <c r="CZ2406" s="1070"/>
      <c r="DA2406" s="1070"/>
      <c r="DB2406" s="1070"/>
      <c r="DC2406" s="1070"/>
      <c r="DD2406" s="1070"/>
      <c r="DE2406" s="1070"/>
      <c r="DF2406" s="1070"/>
      <c r="DG2406" s="1070"/>
      <c r="DH2406" s="1070"/>
      <c r="DI2406" s="1070"/>
      <c r="DJ2406" s="1070"/>
    </row>
    <row r="2407" spans="1:114" s="1136" customFormat="1" ht="31.5" x14ac:dyDescent="0.25">
      <c r="A2407" s="1422" t="s">
        <v>393</v>
      </c>
      <c r="B2407" s="1433">
        <f>IF(B275&lt;2,0.85,1)</f>
        <v>1</v>
      </c>
      <c r="C2407" s="1434"/>
      <c r="D2407" s="1434"/>
      <c r="E2407" s="1434"/>
      <c r="F2407" s="1434"/>
      <c r="G2407" s="1434"/>
      <c r="H2407" s="1350"/>
      <c r="I2407" s="1350"/>
      <c r="J2407" s="1350"/>
      <c r="K2407" s="1350"/>
      <c r="L2407" s="1070"/>
      <c r="M2407" s="1070"/>
      <c r="N2407" s="1070"/>
      <c r="O2407" s="1070"/>
      <c r="P2407" s="1070"/>
      <c r="Q2407" s="1070"/>
      <c r="R2407" s="1070"/>
      <c r="S2407" s="1070"/>
      <c r="T2407" s="1070"/>
      <c r="U2407" s="1070"/>
      <c r="V2407" s="1070"/>
      <c r="W2407" s="1070"/>
      <c r="X2407" s="1070"/>
      <c r="Y2407" s="1070"/>
      <c r="Z2407" s="1070"/>
      <c r="AA2407" s="1070"/>
      <c r="AB2407" s="1070"/>
      <c r="AC2407" s="1070"/>
      <c r="AD2407" s="1070"/>
      <c r="AE2407" s="1070"/>
      <c r="AF2407" s="1070"/>
      <c r="AG2407" s="1070"/>
      <c r="AH2407" s="1070"/>
      <c r="AI2407" s="1070"/>
      <c r="AJ2407" s="1070"/>
      <c r="AK2407" s="1070"/>
      <c r="AL2407" s="1070"/>
      <c r="AM2407" s="1070"/>
      <c r="AN2407" s="1070"/>
      <c r="AO2407" s="1070"/>
      <c r="AP2407" s="1070"/>
      <c r="AQ2407" s="1070"/>
      <c r="AR2407" s="1070"/>
      <c r="AS2407" s="1070"/>
      <c r="AT2407" s="1070"/>
      <c r="AU2407" s="1350"/>
      <c r="AV2407" s="1350"/>
      <c r="AW2407" s="1350"/>
      <c r="AX2407" s="1350"/>
      <c r="AY2407" s="1350"/>
      <c r="AZ2407" s="1350"/>
      <c r="BA2407" s="1070"/>
      <c r="BB2407" s="1070"/>
      <c r="BC2407" s="1070"/>
      <c r="BD2407" s="1070"/>
      <c r="BE2407" s="1070"/>
      <c r="BF2407" s="1070"/>
      <c r="BG2407" s="1070"/>
      <c r="BH2407" s="1070"/>
      <c r="BI2407" s="1070"/>
      <c r="BJ2407" s="1070"/>
      <c r="BK2407" s="1070"/>
      <c r="BL2407" s="1070"/>
      <c r="BM2407" s="1070"/>
      <c r="BN2407" s="1070"/>
      <c r="BO2407" s="1070"/>
      <c r="BP2407" s="1070"/>
      <c r="BQ2407" s="1070"/>
      <c r="BR2407" s="1070"/>
      <c r="BS2407" s="1070"/>
      <c r="BT2407" s="1070"/>
      <c r="BU2407" s="1070"/>
      <c r="BV2407" s="1070"/>
      <c r="BW2407" s="1070"/>
      <c r="BX2407" s="1070"/>
      <c r="BY2407" s="1070"/>
      <c r="BZ2407" s="1070"/>
      <c r="CA2407" s="1070"/>
      <c r="CB2407" s="1070"/>
      <c r="CC2407" s="1070"/>
      <c r="CD2407" s="1070"/>
      <c r="CE2407" s="1070"/>
      <c r="CF2407" s="1070"/>
      <c r="CG2407" s="1070"/>
      <c r="CH2407" s="1070"/>
      <c r="CI2407" s="1070"/>
      <c r="CJ2407" s="1070"/>
      <c r="CK2407" s="1070"/>
      <c r="CL2407" s="1070"/>
      <c r="CM2407" s="1070"/>
      <c r="CN2407" s="1070"/>
      <c r="CO2407" s="1070"/>
      <c r="CP2407" s="1070"/>
      <c r="CQ2407" s="1070"/>
      <c r="CR2407" s="1070"/>
      <c r="CS2407" s="1070"/>
      <c r="CT2407" s="1070"/>
      <c r="CU2407" s="1070"/>
      <c r="CV2407" s="1070"/>
      <c r="CW2407" s="1070"/>
      <c r="CX2407" s="1070"/>
      <c r="CY2407" s="1070"/>
      <c r="CZ2407" s="1070"/>
      <c r="DA2407" s="1070"/>
      <c r="DB2407" s="1070"/>
      <c r="DC2407" s="1070"/>
      <c r="DD2407" s="1070"/>
      <c r="DE2407" s="1070"/>
      <c r="DF2407" s="1070"/>
      <c r="DG2407" s="1070"/>
      <c r="DH2407" s="1070"/>
      <c r="DI2407" s="1070"/>
      <c r="DJ2407" s="1070"/>
    </row>
    <row r="2408" spans="1:114" s="1136" customFormat="1" ht="47.25" x14ac:dyDescent="0.25">
      <c r="A2408" s="1435" t="s">
        <v>419</v>
      </c>
      <c r="B2408" s="1433">
        <f>IF(B2386&lt;2.1,0.9,IF(B2386&lt;3.1,0.85,0.8))</f>
        <v>0.8</v>
      </c>
      <c r="C2408" s="1434"/>
      <c r="D2408" s="1434"/>
      <c r="E2408" s="1434"/>
      <c r="F2408" s="1434"/>
      <c r="G2408" s="1434"/>
      <c r="H2408" s="1350"/>
      <c r="I2408" s="1350"/>
      <c r="J2408" s="1350"/>
      <c r="K2408" s="1350"/>
      <c r="L2408" s="1070"/>
      <c r="M2408" s="1070"/>
      <c r="N2408" s="1070"/>
      <c r="O2408" s="1070"/>
      <c r="P2408" s="1070"/>
      <c r="Q2408" s="1070"/>
      <c r="R2408" s="1070"/>
      <c r="S2408" s="1070"/>
      <c r="T2408" s="1070"/>
      <c r="U2408" s="1070"/>
      <c r="V2408" s="1070"/>
      <c r="W2408" s="1070"/>
      <c r="X2408" s="1070"/>
      <c r="Y2408" s="1070"/>
      <c r="Z2408" s="1070"/>
      <c r="AA2408" s="1070"/>
      <c r="AB2408" s="1070"/>
      <c r="AC2408" s="1070"/>
      <c r="AD2408" s="1070"/>
      <c r="AE2408" s="1070"/>
      <c r="AF2408" s="1070"/>
      <c r="AG2408" s="1070"/>
      <c r="AH2408" s="1070"/>
      <c r="AI2408" s="1070"/>
      <c r="AJ2408" s="1070"/>
      <c r="AK2408" s="1070"/>
      <c r="AL2408" s="1070"/>
      <c r="AM2408" s="1070"/>
      <c r="AN2408" s="1070"/>
      <c r="AO2408" s="1070"/>
      <c r="AP2408" s="1070"/>
      <c r="AQ2408" s="1070"/>
      <c r="AR2408" s="1070"/>
      <c r="AS2408" s="1070"/>
      <c r="AT2408" s="1070"/>
      <c r="AU2408" s="1350"/>
      <c r="AV2408" s="1350"/>
      <c r="AW2408" s="1350"/>
      <c r="AX2408" s="1350"/>
      <c r="AY2408" s="1350"/>
      <c r="AZ2408" s="1350"/>
      <c r="BA2408" s="1070"/>
      <c r="BB2408" s="1070"/>
      <c r="BC2408" s="1070"/>
      <c r="BD2408" s="1070"/>
      <c r="BE2408" s="1070"/>
      <c r="BF2408" s="1070"/>
      <c r="BG2408" s="1070"/>
      <c r="BH2408" s="1070"/>
      <c r="BI2408" s="1070"/>
      <c r="BJ2408" s="1070"/>
      <c r="BK2408" s="1070"/>
      <c r="BL2408" s="1070"/>
      <c r="BM2408" s="1070"/>
      <c r="BN2408" s="1070"/>
      <c r="BO2408" s="1070"/>
      <c r="BP2408" s="1070"/>
      <c r="BQ2408" s="1070"/>
      <c r="BR2408" s="1070"/>
      <c r="BS2408" s="1070"/>
      <c r="BT2408" s="1070"/>
      <c r="BU2408" s="1070"/>
      <c r="BV2408" s="1070"/>
      <c r="BW2408" s="1070"/>
      <c r="BX2408" s="1070"/>
      <c r="BY2408" s="1070"/>
      <c r="BZ2408" s="1070"/>
      <c r="CA2408" s="1070"/>
      <c r="CB2408" s="1070"/>
      <c r="CC2408" s="1070"/>
      <c r="CD2408" s="1070"/>
      <c r="CE2408" s="1070"/>
      <c r="CF2408" s="1070"/>
      <c r="CG2408" s="1070"/>
      <c r="CH2408" s="1070"/>
      <c r="CI2408" s="1070"/>
      <c r="CJ2408" s="1070"/>
      <c r="CK2408" s="1070"/>
      <c r="CL2408" s="1070"/>
      <c r="CM2408" s="1070"/>
      <c r="CN2408" s="1070"/>
      <c r="CO2408" s="1070"/>
      <c r="CP2408" s="1070"/>
      <c r="CQ2408" s="1070"/>
      <c r="CR2408" s="1070"/>
      <c r="CS2408" s="1070"/>
      <c r="CT2408" s="1070"/>
      <c r="CU2408" s="1070"/>
      <c r="CV2408" s="1070"/>
      <c r="CW2408" s="1070"/>
      <c r="CX2408" s="1070"/>
      <c r="CY2408" s="1070"/>
      <c r="CZ2408" s="1070"/>
      <c r="DA2408" s="1070"/>
      <c r="DB2408" s="1070"/>
      <c r="DC2408" s="1070"/>
      <c r="DD2408" s="1070"/>
      <c r="DE2408" s="1070"/>
      <c r="DF2408" s="1070"/>
      <c r="DG2408" s="1070"/>
      <c r="DH2408" s="1070"/>
      <c r="DI2408" s="1070"/>
      <c r="DJ2408" s="1070"/>
    </row>
    <row r="2409" spans="1:114" s="1136" customFormat="1" ht="31.5" x14ac:dyDescent="0.25">
      <c r="A2409" s="1422" t="s">
        <v>420</v>
      </c>
      <c r="B2409" s="1433">
        <v>0.8</v>
      </c>
      <c r="C2409" s="1432"/>
      <c r="D2409" s="1350"/>
      <c r="E2409" s="1350"/>
      <c r="F2409" s="1350"/>
      <c r="G2409" s="1350"/>
      <c r="H2409" s="1350"/>
      <c r="I2409" s="1350"/>
      <c r="J2409" s="1350"/>
      <c r="K2409" s="1350"/>
      <c r="L2409" s="1070"/>
      <c r="M2409" s="1070"/>
      <c r="N2409" s="1070"/>
      <c r="O2409" s="1070"/>
      <c r="P2409" s="1070"/>
      <c r="Q2409" s="1070"/>
      <c r="R2409" s="1070"/>
      <c r="S2409" s="1070"/>
      <c r="T2409" s="1070"/>
      <c r="U2409" s="1070"/>
      <c r="V2409" s="1070"/>
      <c r="W2409" s="1070"/>
      <c r="X2409" s="1070"/>
      <c r="Y2409" s="1070"/>
      <c r="Z2409" s="1070"/>
      <c r="AA2409" s="1070"/>
      <c r="AB2409" s="1070"/>
      <c r="AC2409" s="1070"/>
      <c r="AD2409" s="1070"/>
      <c r="AE2409" s="1070"/>
      <c r="AF2409" s="1070"/>
      <c r="AG2409" s="1070"/>
      <c r="AH2409" s="1070"/>
      <c r="AI2409" s="1070"/>
      <c r="AJ2409" s="1070"/>
      <c r="AK2409" s="1070"/>
      <c r="AL2409" s="1070"/>
      <c r="AM2409" s="1070"/>
      <c r="AN2409" s="1070"/>
      <c r="AO2409" s="1070"/>
      <c r="AP2409" s="1070"/>
      <c r="AQ2409" s="1070"/>
      <c r="AR2409" s="1070"/>
      <c r="AS2409" s="1070"/>
      <c r="AT2409" s="1070"/>
      <c r="AU2409" s="1350"/>
      <c r="AV2409" s="1350"/>
      <c r="AW2409" s="1350"/>
      <c r="AX2409" s="1350"/>
      <c r="AY2409" s="1350"/>
      <c r="AZ2409" s="1350"/>
      <c r="BA2409" s="1070"/>
      <c r="BB2409" s="1070"/>
      <c r="BC2409" s="1070"/>
      <c r="BD2409" s="1070"/>
      <c r="BE2409" s="1070"/>
      <c r="BF2409" s="1070"/>
      <c r="BG2409" s="1070"/>
      <c r="BH2409" s="1070"/>
      <c r="BI2409" s="1070"/>
      <c r="BJ2409" s="1070"/>
      <c r="BK2409" s="1070"/>
      <c r="BL2409" s="1070"/>
      <c r="BM2409" s="1070"/>
      <c r="BN2409" s="1070"/>
      <c r="BO2409" s="1070"/>
      <c r="BP2409" s="1070"/>
      <c r="BQ2409" s="1070"/>
      <c r="BR2409" s="1070"/>
      <c r="BS2409" s="1070"/>
      <c r="BT2409" s="1070"/>
      <c r="BU2409" s="1070"/>
      <c r="BV2409" s="1070"/>
      <c r="BW2409" s="1070"/>
      <c r="BX2409" s="1070"/>
      <c r="BY2409" s="1070"/>
      <c r="BZ2409" s="1070"/>
      <c r="CA2409" s="1070"/>
      <c r="CB2409" s="1070"/>
      <c r="CC2409" s="1070"/>
      <c r="CD2409" s="1070"/>
      <c r="CE2409" s="1070"/>
      <c r="CF2409" s="1070"/>
      <c r="CG2409" s="1070"/>
      <c r="CH2409" s="1070"/>
      <c r="CI2409" s="1070"/>
      <c r="CJ2409" s="1070"/>
      <c r="CK2409" s="1070"/>
      <c r="CL2409" s="1070"/>
      <c r="CM2409" s="1070"/>
      <c r="CN2409" s="1070"/>
      <c r="CO2409" s="1070"/>
      <c r="CP2409" s="1070"/>
      <c r="CQ2409" s="1070"/>
      <c r="CR2409" s="1070"/>
      <c r="CS2409" s="1070"/>
      <c r="CT2409" s="1070"/>
      <c r="CU2409" s="1070"/>
      <c r="CV2409" s="1070"/>
      <c r="CW2409" s="1070"/>
      <c r="CX2409" s="1070"/>
      <c r="CY2409" s="1070"/>
      <c r="CZ2409" s="1070"/>
      <c r="DA2409" s="1070"/>
      <c r="DB2409" s="1070"/>
      <c r="DC2409" s="1070"/>
      <c r="DD2409" s="1070"/>
      <c r="DE2409" s="1070"/>
      <c r="DF2409" s="1070"/>
      <c r="DG2409" s="1070"/>
      <c r="DH2409" s="1070"/>
      <c r="DI2409" s="1070"/>
      <c r="DJ2409" s="1070"/>
    </row>
    <row r="2410" spans="1:114" s="1136" customFormat="1" ht="15.75" x14ac:dyDescent="0.25">
      <c r="A2410" s="1422" t="s">
        <v>421</v>
      </c>
      <c r="B2410" s="1436">
        <v>0.7</v>
      </c>
      <c r="C2410" s="1437"/>
      <c r="D2410" s="1437"/>
      <c r="E2410" s="1437"/>
      <c r="F2410" s="1437"/>
      <c r="G2410" s="1437"/>
      <c r="H2410" s="1350"/>
      <c r="I2410" s="1350"/>
      <c r="J2410" s="1350"/>
      <c r="K2410" s="1350"/>
      <c r="L2410" s="1070"/>
      <c r="M2410" s="1070"/>
      <c r="N2410" s="1070"/>
      <c r="O2410" s="1070"/>
      <c r="P2410" s="1070"/>
      <c r="Q2410" s="1070"/>
      <c r="R2410" s="1070"/>
      <c r="S2410" s="1070"/>
      <c r="T2410" s="1070"/>
      <c r="U2410" s="1070"/>
      <c r="V2410" s="1070"/>
      <c r="W2410" s="1070"/>
      <c r="X2410" s="1070"/>
      <c r="Y2410" s="1070"/>
      <c r="Z2410" s="1070"/>
      <c r="AA2410" s="1070"/>
      <c r="AB2410" s="1070"/>
      <c r="AC2410" s="1070"/>
      <c r="AD2410" s="1070"/>
      <c r="AE2410" s="1070"/>
      <c r="AF2410" s="1070"/>
      <c r="AG2410" s="1070"/>
      <c r="AH2410" s="1070"/>
      <c r="AI2410" s="1070"/>
      <c r="AJ2410" s="1070"/>
      <c r="AK2410" s="1070"/>
      <c r="AL2410" s="1070"/>
      <c r="AM2410" s="1070"/>
      <c r="AN2410" s="1070"/>
      <c r="AO2410" s="1070"/>
      <c r="AP2410" s="1070"/>
      <c r="AQ2410" s="1070"/>
      <c r="AR2410" s="1070"/>
      <c r="AS2410" s="1070"/>
      <c r="AT2410" s="1070"/>
      <c r="AU2410" s="1350"/>
      <c r="AV2410" s="1350"/>
      <c r="AW2410" s="1350"/>
      <c r="AX2410" s="1350"/>
      <c r="AY2410" s="1350"/>
      <c r="AZ2410" s="1350"/>
      <c r="BA2410" s="1070"/>
      <c r="BB2410" s="1070"/>
      <c r="BC2410" s="1070"/>
      <c r="BD2410" s="1070"/>
      <c r="BE2410" s="1070"/>
      <c r="BF2410" s="1070"/>
      <c r="BG2410" s="1070"/>
      <c r="BH2410" s="1070"/>
      <c r="BI2410" s="1070"/>
      <c r="BJ2410" s="1070"/>
      <c r="BK2410" s="1070"/>
      <c r="BL2410" s="1070"/>
      <c r="BM2410" s="1070"/>
      <c r="BN2410" s="1070"/>
      <c r="BO2410" s="1070"/>
      <c r="BP2410" s="1070"/>
      <c r="BQ2410" s="1070"/>
      <c r="BR2410" s="1070"/>
      <c r="BS2410" s="1070"/>
      <c r="BT2410" s="1070"/>
      <c r="BU2410" s="1070"/>
      <c r="BV2410" s="1070"/>
      <c r="BW2410" s="1070"/>
      <c r="BX2410" s="1070"/>
      <c r="BY2410" s="1070"/>
      <c r="BZ2410" s="1070"/>
      <c r="CA2410" s="1070"/>
      <c r="CB2410" s="1070"/>
      <c r="CC2410" s="1070"/>
      <c r="CD2410" s="1070"/>
      <c r="CE2410" s="1070"/>
      <c r="CF2410" s="1070"/>
      <c r="CG2410" s="1070"/>
      <c r="CH2410" s="1070"/>
      <c r="CI2410" s="1070"/>
      <c r="CJ2410" s="1070"/>
      <c r="CK2410" s="1070"/>
      <c r="CL2410" s="1070"/>
      <c r="CM2410" s="1070"/>
      <c r="CN2410" s="1070"/>
      <c r="CO2410" s="1070"/>
      <c r="CP2410" s="1070"/>
      <c r="CQ2410" s="1070"/>
      <c r="CR2410" s="1070"/>
      <c r="CS2410" s="1070"/>
      <c r="CT2410" s="1070"/>
      <c r="CU2410" s="1070"/>
      <c r="CV2410" s="1070"/>
      <c r="CW2410" s="1070"/>
      <c r="CX2410" s="1070"/>
      <c r="CY2410" s="1070"/>
      <c r="CZ2410" s="1070"/>
      <c r="DA2410" s="1070"/>
      <c r="DB2410" s="1070"/>
      <c r="DC2410" s="1070"/>
      <c r="DD2410" s="1070"/>
      <c r="DE2410" s="1070"/>
      <c r="DF2410" s="1070"/>
      <c r="DG2410" s="1070"/>
      <c r="DH2410" s="1070"/>
      <c r="DI2410" s="1070"/>
      <c r="DJ2410" s="1070"/>
    </row>
    <row r="2411" spans="1:114" s="1136" customFormat="1" ht="15.75" x14ac:dyDescent="0.25">
      <c r="A2411" s="1422" t="s">
        <v>3412</v>
      </c>
      <c r="B2411" s="1433" t="e">
        <f>B2397*B2404*B2405*B2406*B2407*B2409*B2410*B2383</f>
        <v>#VALUE!</v>
      </c>
      <c r="C2411" s="1437"/>
      <c r="D2411" s="1437"/>
      <c r="E2411" s="1437"/>
      <c r="F2411" s="1437"/>
      <c r="G2411" s="1437"/>
      <c r="H2411" s="1350"/>
      <c r="I2411" s="1350"/>
      <c r="J2411" s="1350"/>
      <c r="K2411" s="1350"/>
      <c r="L2411" s="1070"/>
      <c r="M2411" s="1070"/>
      <c r="N2411" s="1070"/>
      <c r="O2411" s="1070"/>
      <c r="P2411" s="1070"/>
      <c r="Q2411" s="1070"/>
      <c r="R2411" s="1070"/>
      <c r="S2411" s="1070"/>
      <c r="T2411" s="1070"/>
      <c r="U2411" s="1070"/>
      <c r="V2411" s="1070"/>
      <c r="W2411" s="1070"/>
      <c r="X2411" s="1070"/>
      <c r="Y2411" s="1070"/>
      <c r="Z2411" s="1070"/>
      <c r="AA2411" s="1070"/>
      <c r="AB2411" s="1070"/>
      <c r="AC2411" s="1070"/>
      <c r="AD2411" s="1070"/>
      <c r="AE2411" s="1070"/>
      <c r="AF2411" s="1070"/>
      <c r="AG2411" s="1070"/>
      <c r="AH2411" s="1070"/>
      <c r="AI2411" s="1070"/>
      <c r="AJ2411" s="1070"/>
      <c r="AK2411" s="1070"/>
      <c r="AL2411" s="1070"/>
      <c r="AM2411" s="1070"/>
      <c r="AN2411" s="1070"/>
      <c r="AO2411" s="1070"/>
      <c r="AP2411" s="1070"/>
      <c r="AQ2411" s="1070"/>
      <c r="AR2411" s="1070"/>
      <c r="AS2411" s="1070"/>
      <c r="AT2411" s="1070"/>
      <c r="AU2411" s="1350"/>
      <c r="AV2411" s="1350"/>
      <c r="AW2411" s="1350"/>
      <c r="AX2411" s="1350"/>
      <c r="AY2411" s="1350"/>
      <c r="AZ2411" s="1350"/>
      <c r="BA2411" s="1070"/>
      <c r="BB2411" s="1070"/>
      <c r="BC2411" s="1070"/>
      <c r="BD2411" s="1070"/>
      <c r="BE2411" s="1070"/>
      <c r="BF2411" s="1070"/>
      <c r="BG2411" s="1070"/>
      <c r="BH2411" s="1070"/>
      <c r="BI2411" s="1070"/>
      <c r="BJ2411" s="1070"/>
      <c r="BK2411" s="1070"/>
      <c r="BL2411" s="1070"/>
      <c r="BM2411" s="1070"/>
      <c r="BN2411" s="1070"/>
      <c r="BO2411" s="1070"/>
      <c r="BP2411" s="1070"/>
      <c r="BQ2411" s="1070"/>
      <c r="BR2411" s="1070"/>
      <c r="BS2411" s="1070"/>
      <c r="BT2411" s="1070"/>
      <c r="BU2411" s="1070"/>
      <c r="BV2411" s="1070"/>
      <c r="BW2411" s="1070"/>
      <c r="BX2411" s="1070"/>
      <c r="BY2411" s="1070"/>
      <c r="BZ2411" s="1070"/>
      <c r="CA2411" s="1070"/>
      <c r="CB2411" s="1070"/>
      <c r="CC2411" s="1070"/>
      <c r="CD2411" s="1070"/>
      <c r="CE2411" s="1070"/>
      <c r="CF2411" s="1070"/>
      <c r="CG2411" s="1070"/>
      <c r="CH2411" s="1070"/>
      <c r="CI2411" s="1070"/>
      <c r="CJ2411" s="1070"/>
      <c r="CK2411" s="1070"/>
      <c r="CL2411" s="1070"/>
      <c r="CM2411" s="1070"/>
      <c r="CN2411" s="1070"/>
      <c r="CO2411" s="1070"/>
      <c r="CP2411" s="1070"/>
      <c r="CQ2411" s="1070"/>
      <c r="CR2411" s="1070"/>
      <c r="CS2411" s="1070"/>
      <c r="CT2411" s="1070"/>
      <c r="CU2411" s="1070"/>
      <c r="CV2411" s="1070"/>
      <c r="CW2411" s="1070"/>
      <c r="CX2411" s="1070"/>
      <c r="CY2411" s="1070"/>
      <c r="CZ2411" s="1070"/>
      <c r="DA2411" s="1070"/>
      <c r="DB2411" s="1070"/>
      <c r="DC2411" s="1070"/>
      <c r="DD2411" s="1070"/>
      <c r="DE2411" s="1070"/>
      <c r="DF2411" s="1070"/>
      <c r="DG2411" s="1070"/>
      <c r="DH2411" s="1070"/>
      <c r="DI2411" s="1070"/>
      <c r="DJ2411" s="1070"/>
    </row>
    <row r="2412" spans="1:114" s="1136" customFormat="1" ht="15.75" x14ac:dyDescent="0.25">
      <c r="A2412" s="1422" t="s">
        <v>422</v>
      </c>
      <c r="B2412" s="1428" t="e">
        <f>B2396/B2411</f>
        <v>#VALUE!</v>
      </c>
      <c r="C2412" s="1437"/>
      <c r="D2412" s="1437"/>
      <c r="E2412" s="1437"/>
      <c r="F2412" s="1437"/>
      <c r="G2412" s="1437"/>
      <c r="H2412" s="1350"/>
      <c r="I2412" s="1350"/>
      <c r="J2412" s="1350"/>
      <c r="K2412" s="1350"/>
      <c r="L2412" s="1070"/>
      <c r="M2412" s="1070"/>
      <c r="N2412" s="1070"/>
      <c r="O2412" s="1070"/>
      <c r="P2412" s="1070"/>
      <c r="Q2412" s="1070"/>
      <c r="R2412" s="1070"/>
      <c r="S2412" s="1070"/>
      <c r="T2412" s="1070"/>
      <c r="U2412" s="1070"/>
      <c r="V2412" s="1070"/>
      <c r="W2412" s="1070"/>
      <c r="X2412" s="1070"/>
      <c r="Y2412" s="1070"/>
      <c r="Z2412" s="1070"/>
      <c r="AA2412" s="1070"/>
      <c r="AB2412" s="1070"/>
      <c r="AC2412" s="1070"/>
      <c r="AD2412" s="1070"/>
      <c r="AE2412" s="1070"/>
      <c r="AF2412" s="1070"/>
      <c r="AG2412" s="1070"/>
      <c r="AH2412" s="1070"/>
      <c r="AI2412" s="1070"/>
      <c r="AJ2412" s="1070"/>
      <c r="AK2412" s="1070"/>
      <c r="AL2412" s="1070"/>
      <c r="AM2412" s="1070"/>
      <c r="AN2412" s="1070"/>
      <c r="AO2412" s="1070"/>
      <c r="AP2412" s="1070"/>
      <c r="AQ2412" s="1070"/>
      <c r="AR2412" s="1070"/>
      <c r="AS2412" s="1070"/>
      <c r="AT2412" s="1070"/>
      <c r="AU2412" s="1350"/>
      <c r="AV2412" s="1350"/>
      <c r="AW2412" s="1350"/>
      <c r="AX2412" s="1350"/>
      <c r="AY2412" s="1350"/>
      <c r="AZ2412" s="1350"/>
      <c r="BA2412" s="1070"/>
      <c r="BB2412" s="1070"/>
      <c r="BC2412" s="1070"/>
      <c r="BD2412" s="1070"/>
      <c r="BE2412" s="1070"/>
      <c r="BF2412" s="1070"/>
      <c r="BG2412" s="1070"/>
      <c r="BH2412" s="1070"/>
      <c r="BI2412" s="1070"/>
      <c r="BJ2412" s="1070"/>
      <c r="BK2412" s="1070"/>
      <c r="BL2412" s="1070"/>
      <c r="BM2412" s="1070"/>
      <c r="BN2412" s="1070"/>
      <c r="BO2412" s="1070"/>
      <c r="BP2412" s="1070"/>
      <c r="BQ2412" s="1070"/>
      <c r="BR2412" s="1070"/>
      <c r="BS2412" s="1070"/>
      <c r="BT2412" s="1070"/>
      <c r="BU2412" s="1070"/>
      <c r="BV2412" s="1070"/>
      <c r="BW2412" s="1070"/>
      <c r="BX2412" s="1070"/>
      <c r="BY2412" s="1070"/>
      <c r="BZ2412" s="1070"/>
      <c r="CA2412" s="1070"/>
      <c r="CB2412" s="1070"/>
      <c r="CC2412" s="1070"/>
      <c r="CD2412" s="1070"/>
      <c r="CE2412" s="1070"/>
      <c r="CF2412" s="1070"/>
      <c r="CG2412" s="1070"/>
      <c r="CH2412" s="1070"/>
      <c r="CI2412" s="1070"/>
      <c r="CJ2412" s="1070"/>
      <c r="CK2412" s="1070"/>
      <c r="CL2412" s="1070"/>
      <c r="CM2412" s="1070"/>
      <c r="CN2412" s="1070"/>
      <c r="CO2412" s="1070"/>
      <c r="CP2412" s="1070"/>
      <c r="CQ2412" s="1070"/>
      <c r="CR2412" s="1070"/>
      <c r="CS2412" s="1070"/>
      <c r="CT2412" s="1070"/>
      <c r="CU2412" s="1070"/>
      <c r="CV2412" s="1070"/>
      <c r="CW2412" s="1070"/>
      <c r="CX2412" s="1070"/>
      <c r="CY2412" s="1070"/>
      <c r="CZ2412" s="1070"/>
      <c r="DA2412" s="1070"/>
      <c r="DB2412" s="1070"/>
      <c r="DC2412" s="1070"/>
      <c r="DD2412" s="1070"/>
      <c r="DE2412" s="1070"/>
      <c r="DF2412" s="1070"/>
      <c r="DG2412" s="1070"/>
      <c r="DH2412" s="1070"/>
      <c r="DI2412" s="1070"/>
      <c r="DJ2412" s="1070"/>
    </row>
    <row r="2413" spans="1:114" s="1136" customFormat="1" ht="15.75" x14ac:dyDescent="0.25">
      <c r="A2413" s="1422"/>
      <c r="B2413" s="1433"/>
      <c r="C2413" s="1437"/>
      <c r="D2413" s="1437"/>
      <c r="E2413" s="1437"/>
      <c r="F2413" s="1437"/>
      <c r="G2413" s="1437"/>
      <c r="H2413" s="1350"/>
      <c r="I2413" s="1350"/>
      <c r="J2413" s="1350"/>
      <c r="K2413" s="1350"/>
      <c r="L2413" s="1070"/>
      <c r="M2413" s="1070"/>
      <c r="N2413" s="1070"/>
      <c r="O2413" s="1070"/>
      <c r="P2413" s="1070"/>
      <c r="Q2413" s="1070"/>
      <c r="R2413" s="1070"/>
      <c r="S2413" s="1070"/>
      <c r="T2413" s="1070"/>
      <c r="U2413" s="1070"/>
      <c r="V2413" s="1070"/>
      <c r="W2413" s="1070"/>
      <c r="X2413" s="1070"/>
      <c r="Y2413" s="1070"/>
      <c r="Z2413" s="1070"/>
      <c r="AA2413" s="1070"/>
      <c r="AB2413" s="1070"/>
      <c r="AC2413" s="1070"/>
      <c r="AD2413" s="1070"/>
      <c r="AE2413" s="1070"/>
      <c r="AF2413" s="1070"/>
      <c r="AG2413" s="1070"/>
      <c r="AH2413" s="1070"/>
      <c r="AI2413" s="1070"/>
      <c r="AJ2413" s="1070"/>
      <c r="AK2413" s="1070"/>
      <c r="AL2413" s="1070"/>
      <c r="AM2413" s="1070"/>
      <c r="AN2413" s="1070"/>
      <c r="AO2413" s="1070"/>
      <c r="AP2413" s="1070"/>
      <c r="AQ2413" s="1070"/>
      <c r="AR2413" s="1070"/>
      <c r="AS2413" s="1070"/>
      <c r="AT2413" s="1070"/>
      <c r="AU2413" s="1350"/>
      <c r="AV2413" s="1350"/>
      <c r="AW2413" s="1350"/>
      <c r="AX2413" s="1350"/>
      <c r="AY2413" s="1350"/>
      <c r="AZ2413" s="1350"/>
      <c r="BA2413" s="1070"/>
      <c r="BB2413" s="1070"/>
      <c r="BC2413" s="1070"/>
      <c r="BD2413" s="1070"/>
      <c r="BE2413" s="1070"/>
      <c r="BF2413" s="1070"/>
      <c r="BG2413" s="1070"/>
      <c r="BH2413" s="1070"/>
      <c r="BI2413" s="1070"/>
      <c r="BJ2413" s="1070"/>
      <c r="BK2413" s="1070"/>
      <c r="BL2413" s="1070"/>
      <c r="BM2413" s="1070"/>
      <c r="BN2413" s="1070"/>
      <c r="BO2413" s="1070"/>
      <c r="BP2413" s="1070"/>
      <c r="BQ2413" s="1070"/>
      <c r="BR2413" s="1070"/>
      <c r="BS2413" s="1070"/>
      <c r="BT2413" s="1070"/>
      <c r="BU2413" s="1070"/>
      <c r="BV2413" s="1070"/>
      <c r="BW2413" s="1070"/>
      <c r="BX2413" s="1070"/>
      <c r="BY2413" s="1070"/>
      <c r="BZ2413" s="1070"/>
      <c r="CA2413" s="1070"/>
      <c r="CB2413" s="1070"/>
      <c r="CC2413" s="1070"/>
      <c r="CD2413" s="1070"/>
      <c r="CE2413" s="1070"/>
      <c r="CF2413" s="1070"/>
      <c r="CG2413" s="1070"/>
      <c r="CH2413" s="1070"/>
      <c r="CI2413" s="1070"/>
      <c r="CJ2413" s="1070"/>
      <c r="CK2413" s="1070"/>
      <c r="CL2413" s="1070"/>
      <c r="CM2413" s="1070"/>
      <c r="CN2413" s="1070"/>
      <c r="CO2413" s="1070"/>
      <c r="CP2413" s="1070"/>
      <c r="CQ2413" s="1070"/>
      <c r="CR2413" s="1070"/>
      <c r="CS2413" s="1070"/>
      <c r="CT2413" s="1070"/>
      <c r="CU2413" s="1070"/>
      <c r="CV2413" s="1070"/>
      <c r="CW2413" s="1070"/>
      <c r="CX2413" s="1070"/>
      <c r="CY2413" s="1070"/>
      <c r="CZ2413" s="1070"/>
      <c r="DA2413" s="1070"/>
      <c r="DB2413" s="1070"/>
      <c r="DC2413" s="1070"/>
      <c r="DD2413" s="1070"/>
      <c r="DE2413" s="1070"/>
      <c r="DF2413" s="1070"/>
      <c r="DG2413" s="1070"/>
      <c r="DH2413" s="1070"/>
      <c r="DI2413" s="1070"/>
      <c r="DJ2413" s="1070"/>
    </row>
    <row r="2414" spans="1:114" s="1136" customFormat="1" ht="63" x14ac:dyDescent="0.25">
      <c r="A2414" s="1438" t="s">
        <v>423</v>
      </c>
      <c r="B2414" s="1433"/>
      <c r="C2414" s="1437"/>
      <c r="D2414" s="1437"/>
      <c r="E2414" s="1437"/>
      <c r="F2414" s="1437"/>
      <c r="G2414" s="1437"/>
      <c r="H2414" s="1350"/>
      <c r="I2414" s="1350"/>
      <c r="J2414" s="1350"/>
      <c r="K2414" s="1350"/>
      <c r="L2414" s="1070"/>
      <c r="M2414" s="1070"/>
      <c r="N2414" s="1070"/>
      <c r="O2414" s="1070"/>
      <c r="P2414" s="1070"/>
      <c r="Q2414" s="1070"/>
      <c r="R2414" s="1070"/>
      <c r="S2414" s="1070"/>
      <c r="T2414" s="1070"/>
      <c r="U2414" s="1070"/>
      <c r="V2414" s="1070"/>
      <c r="W2414" s="1070"/>
      <c r="X2414" s="1070"/>
      <c r="Y2414" s="1070"/>
      <c r="Z2414" s="1070"/>
      <c r="AA2414" s="1070"/>
      <c r="AB2414" s="1070"/>
      <c r="AC2414" s="1070"/>
      <c r="AD2414" s="1070"/>
      <c r="AE2414" s="1070"/>
      <c r="AF2414" s="1070"/>
      <c r="AG2414" s="1070"/>
      <c r="AH2414" s="1070"/>
      <c r="AI2414" s="1070"/>
      <c r="AJ2414" s="1070"/>
      <c r="AK2414" s="1070"/>
      <c r="AL2414" s="1070"/>
      <c r="AM2414" s="1070"/>
      <c r="AN2414" s="1070"/>
      <c r="AO2414" s="1070"/>
      <c r="AP2414" s="1070"/>
      <c r="AQ2414" s="1070"/>
      <c r="AR2414" s="1070"/>
      <c r="AS2414" s="1070"/>
      <c r="AT2414" s="1070"/>
      <c r="AU2414" s="1350"/>
      <c r="AV2414" s="1350"/>
      <c r="AW2414" s="1350"/>
      <c r="AX2414" s="1350"/>
      <c r="AY2414" s="1350"/>
      <c r="AZ2414" s="1350"/>
      <c r="BA2414" s="1070"/>
      <c r="BB2414" s="1070"/>
      <c r="BC2414" s="1070"/>
      <c r="BD2414" s="1070"/>
      <c r="BE2414" s="1070"/>
      <c r="BF2414" s="1070"/>
      <c r="BG2414" s="1070"/>
      <c r="BH2414" s="1070"/>
      <c r="BI2414" s="1070"/>
      <c r="BJ2414" s="1070"/>
      <c r="BK2414" s="1070"/>
      <c r="BL2414" s="1070"/>
      <c r="BM2414" s="1070"/>
      <c r="BN2414" s="1070"/>
      <c r="BO2414" s="1070"/>
      <c r="BP2414" s="1070"/>
      <c r="BQ2414" s="1070"/>
      <c r="BR2414" s="1070"/>
      <c r="BS2414" s="1070"/>
      <c r="BT2414" s="1070"/>
      <c r="BU2414" s="1070"/>
      <c r="BV2414" s="1070"/>
      <c r="BW2414" s="1070"/>
      <c r="BX2414" s="1070"/>
      <c r="BY2414" s="1070"/>
      <c r="BZ2414" s="1070"/>
      <c r="CA2414" s="1070"/>
      <c r="CB2414" s="1070"/>
      <c r="CC2414" s="1070"/>
      <c r="CD2414" s="1070"/>
      <c r="CE2414" s="1070"/>
      <c r="CF2414" s="1070"/>
      <c r="CG2414" s="1070"/>
      <c r="CH2414" s="1070"/>
      <c r="CI2414" s="1070"/>
      <c r="CJ2414" s="1070"/>
      <c r="CK2414" s="1070"/>
      <c r="CL2414" s="1070"/>
      <c r="CM2414" s="1070"/>
      <c r="CN2414" s="1070"/>
      <c r="CO2414" s="1070"/>
      <c r="CP2414" s="1070"/>
      <c r="CQ2414" s="1070"/>
      <c r="CR2414" s="1070"/>
      <c r="CS2414" s="1070"/>
      <c r="CT2414" s="1070"/>
      <c r="CU2414" s="1070"/>
      <c r="CV2414" s="1070"/>
      <c r="CW2414" s="1070"/>
      <c r="CX2414" s="1070"/>
      <c r="CY2414" s="1070"/>
      <c r="CZ2414" s="1070"/>
      <c r="DA2414" s="1070"/>
      <c r="DB2414" s="1070"/>
      <c r="DC2414" s="1070"/>
      <c r="DD2414" s="1070"/>
      <c r="DE2414" s="1070"/>
      <c r="DF2414" s="1070"/>
      <c r="DG2414" s="1070"/>
      <c r="DH2414" s="1070"/>
      <c r="DI2414" s="1070"/>
      <c r="DJ2414" s="1070"/>
    </row>
    <row r="2415" spans="1:114" s="1136" customFormat="1" ht="15.75" x14ac:dyDescent="0.25">
      <c r="A2415" s="1420" t="s">
        <v>424</v>
      </c>
      <c r="B2415" s="1439" t="e">
        <f>((B2386/B261+1)-3)*B2388</f>
        <v>#VALUE!</v>
      </c>
      <c r="C2415" s="1437"/>
      <c r="D2415" s="1437"/>
      <c r="E2415" s="1437"/>
      <c r="F2415" s="1437"/>
      <c r="G2415" s="1437"/>
      <c r="H2415" s="1350"/>
      <c r="I2415" s="1350"/>
      <c r="J2415" s="1350"/>
      <c r="K2415" s="1350"/>
      <c r="L2415" s="1070"/>
      <c r="M2415" s="1070"/>
      <c r="N2415" s="1070"/>
      <c r="O2415" s="1070"/>
      <c r="P2415" s="1070"/>
      <c r="Q2415" s="1070"/>
      <c r="R2415" s="1070"/>
      <c r="S2415" s="1070"/>
      <c r="T2415" s="1070"/>
      <c r="U2415" s="1070"/>
      <c r="V2415" s="1070"/>
      <c r="W2415" s="1070"/>
      <c r="X2415" s="1070"/>
      <c r="Y2415" s="1070"/>
      <c r="Z2415" s="1070"/>
      <c r="AA2415" s="1070"/>
      <c r="AB2415" s="1070"/>
      <c r="AC2415" s="1070"/>
      <c r="AD2415" s="1070"/>
      <c r="AE2415" s="1070"/>
      <c r="AF2415" s="1070"/>
      <c r="AG2415" s="1070"/>
      <c r="AH2415" s="1070"/>
      <c r="AI2415" s="1070"/>
      <c r="AJ2415" s="1070"/>
      <c r="AK2415" s="1070"/>
      <c r="AL2415" s="1070"/>
      <c r="AM2415" s="1070"/>
      <c r="AN2415" s="1070"/>
      <c r="AO2415" s="1070"/>
      <c r="AP2415" s="1070"/>
      <c r="AQ2415" s="1070"/>
      <c r="AR2415" s="1070"/>
      <c r="AS2415" s="1070"/>
      <c r="AT2415" s="1070"/>
      <c r="AU2415" s="1350"/>
      <c r="AV2415" s="1350"/>
      <c r="AW2415" s="1350"/>
      <c r="AX2415" s="1350"/>
      <c r="AY2415" s="1350"/>
      <c r="AZ2415" s="1350"/>
      <c r="BA2415" s="1070"/>
      <c r="BB2415" s="1070"/>
      <c r="BC2415" s="1070"/>
      <c r="BD2415" s="1070"/>
      <c r="BE2415" s="1070"/>
      <c r="BF2415" s="1070"/>
      <c r="BG2415" s="1070"/>
      <c r="BH2415" s="1070"/>
      <c r="BI2415" s="1070"/>
      <c r="BJ2415" s="1070"/>
      <c r="BK2415" s="1070"/>
      <c r="BL2415" s="1070"/>
      <c r="BM2415" s="1070"/>
      <c r="BN2415" s="1070"/>
      <c r="BO2415" s="1070"/>
      <c r="BP2415" s="1070"/>
      <c r="BQ2415" s="1070"/>
      <c r="BR2415" s="1070"/>
      <c r="BS2415" s="1070"/>
      <c r="BT2415" s="1070"/>
      <c r="BU2415" s="1070"/>
      <c r="BV2415" s="1070"/>
      <c r="BW2415" s="1070"/>
      <c r="BX2415" s="1070"/>
      <c r="BY2415" s="1070"/>
      <c r="BZ2415" s="1070"/>
      <c r="CA2415" s="1070"/>
      <c r="CB2415" s="1070"/>
      <c r="CC2415" s="1070"/>
      <c r="CD2415" s="1070"/>
      <c r="CE2415" s="1070"/>
      <c r="CF2415" s="1070"/>
      <c r="CG2415" s="1070"/>
      <c r="CH2415" s="1070"/>
      <c r="CI2415" s="1070"/>
      <c r="CJ2415" s="1070"/>
      <c r="CK2415" s="1070"/>
      <c r="CL2415" s="1070"/>
      <c r="CM2415" s="1070"/>
      <c r="CN2415" s="1070"/>
      <c r="CO2415" s="1070"/>
      <c r="CP2415" s="1070"/>
      <c r="CQ2415" s="1070"/>
      <c r="CR2415" s="1070"/>
      <c r="CS2415" s="1070"/>
      <c r="CT2415" s="1070"/>
      <c r="CU2415" s="1070"/>
      <c r="CV2415" s="1070"/>
      <c r="CW2415" s="1070"/>
      <c r="CX2415" s="1070"/>
      <c r="CY2415" s="1070"/>
      <c r="CZ2415" s="1070"/>
      <c r="DA2415" s="1070"/>
      <c r="DB2415" s="1070"/>
      <c r="DC2415" s="1070"/>
      <c r="DD2415" s="1070"/>
      <c r="DE2415" s="1070"/>
      <c r="DF2415" s="1070"/>
      <c r="DG2415" s="1070"/>
      <c r="DH2415" s="1070"/>
      <c r="DI2415" s="1070"/>
      <c r="DJ2415" s="1070"/>
    </row>
    <row r="2416" spans="1:114" s="1136" customFormat="1" ht="15.75" x14ac:dyDescent="0.25">
      <c r="A2416" s="1420" t="s">
        <v>425</v>
      </c>
      <c r="B2416" s="1424" t="e">
        <f>INDEX($U$3487:$X$3496,B2417,B2418)</f>
        <v>#VALUE!</v>
      </c>
      <c r="C2416" s="1440"/>
      <c r="D2416" s="1440"/>
      <c r="E2416" s="1440"/>
      <c r="F2416" s="1440"/>
      <c r="G2416" s="1440"/>
      <c r="H2416" s="1350"/>
      <c r="I2416" s="1350"/>
      <c r="J2416" s="1350"/>
      <c r="K2416" s="1350"/>
      <c r="L2416" s="1070"/>
      <c r="M2416" s="1070"/>
      <c r="N2416" s="1070"/>
      <c r="O2416" s="1070"/>
      <c r="P2416" s="1070"/>
      <c r="Q2416" s="1070"/>
      <c r="R2416" s="1070"/>
      <c r="S2416" s="1070"/>
      <c r="T2416" s="1070"/>
      <c r="U2416" s="1070"/>
      <c r="V2416" s="1070"/>
      <c r="W2416" s="1070"/>
      <c r="X2416" s="1070"/>
      <c r="Y2416" s="1070"/>
      <c r="Z2416" s="1070"/>
      <c r="AA2416" s="1070"/>
      <c r="AB2416" s="1070"/>
      <c r="AC2416" s="1070"/>
      <c r="AD2416" s="1070"/>
      <c r="AE2416" s="1070"/>
      <c r="AF2416" s="1070"/>
      <c r="AG2416" s="1070"/>
      <c r="AH2416" s="1070"/>
      <c r="AI2416" s="1070"/>
      <c r="AJ2416" s="1070"/>
      <c r="AK2416" s="1070"/>
      <c r="AL2416" s="1070"/>
      <c r="AM2416" s="1070"/>
      <c r="AN2416" s="1070"/>
      <c r="AO2416" s="1070"/>
      <c r="AP2416" s="1070"/>
      <c r="AQ2416" s="1070"/>
      <c r="AR2416" s="1070"/>
      <c r="AS2416" s="1070"/>
      <c r="AT2416" s="1070"/>
      <c r="AU2416" s="1350"/>
      <c r="AV2416" s="1350"/>
      <c r="AW2416" s="1350"/>
      <c r="AX2416" s="1350"/>
      <c r="AY2416" s="1350"/>
      <c r="AZ2416" s="1350"/>
      <c r="BA2416" s="1070"/>
      <c r="BB2416" s="1070"/>
      <c r="BC2416" s="1070"/>
      <c r="BD2416" s="1070"/>
      <c r="BE2416" s="1070"/>
      <c r="BF2416" s="1070"/>
      <c r="BG2416" s="1070"/>
      <c r="BH2416" s="1070"/>
      <c r="BI2416" s="1070"/>
      <c r="BJ2416" s="1070"/>
      <c r="BK2416" s="1070"/>
      <c r="BL2416" s="1070"/>
      <c r="BM2416" s="1070"/>
      <c r="BN2416" s="1070"/>
      <c r="BO2416" s="1070"/>
      <c r="BP2416" s="1070"/>
      <c r="BQ2416" s="1070"/>
      <c r="BR2416" s="1070"/>
      <c r="BS2416" s="1070"/>
      <c r="BT2416" s="1070"/>
      <c r="BU2416" s="1070"/>
      <c r="BV2416" s="1070"/>
      <c r="BW2416" s="1070"/>
      <c r="BX2416" s="1070"/>
      <c r="BY2416" s="1070"/>
      <c r="BZ2416" s="1070"/>
      <c r="CA2416" s="1070"/>
      <c r="CB2416" s="1070"/>
      <c r="CC2416" s="1070"/>
      <c r="CD2416" s="1070"/>
      <c r="CE2416" s="1070"/>
      <c r="CF2416" s="1070"/>
      <c r="CG2416" s="1070"/>
      <c r="CH2416" s="1070"/>
      <c r="CI2416" s="1070"/>
      <c r="CJ2416" s="1070"/>
      <c r="CK2416" s="1070"/>
      <c r="CL2416" s="1070"/>
      <c r="CM2416" s="1070"/>
      <c r="CN2416" s="1070"/>
      <c r="CO2416" s="1070"/>
      <c r="CP2416" s="1070"/>
      <c r="CQ2416" s="1070"/>
      <c r="CR2416" s="1070"/>
      <c r="CS2416" s="1070"/>
      <c r="CT2416" s="1070"/>
      <c r="CU2416" s="1070"/>
      <c r="CV2416" s="1070"/>
      <c r="CW2416" s="1070"/>
      <c r="CX2416" s="1070"/>
      <c r="CY2416" s="1070"/>
      <c r="CZ2416" s="1070"/>
      <c r="DA2416" s="1070"/>
      <c r="DB2416" s="1070"/>
      <c r="DC2416" s="1070"/>
      <c r="DD2416" s="1070"/>
      <c r="DE2416" s="1070"/>
      <c r="DF2416" s="1070"/>
      <c r="DG2416" s="1070"/>
      <c r="DH2416" s="1070"/>
      <c r="DI2416" s="1070"/>
      <c r="DJ2416" s="1070"/>
    </row>
    <row r="2417" spans="1:114" s="1136" customFormat="1" ht="15.75" x14ac:dyDescent="0.25">
      <c r="A2417" s="1420" t="s">
        <v>426</v>
      </c>
      <c r="B2417" s="1441" t="e">
        <f>B2400</f>
        <v>#VALUE!</v>
      </c>
      <c r="C2417" s="1437"/>
      <c r="D2417" s="1437"/>
      <c r="E2417" s="1437"/>
      <c r="F2417" s="1437"/>
      <c r="G2417" s="1437"/>
      <c r="H2417" s="1350"/>
      <c r="I2417" s="1350"/>
      <c r="J2417" s="1350"/>
      <c r="K2417" s="1350"/>
      <c r="L2417" s="1070"/>
      <c r="M2417" s="1070"/>
      <c r="N2417" s="1070"/>
      <c r="O2417" s="1070"/>
      <c r="P2417" s="1070"/>
      <c r="Q2417" s="1070"/>
      <c r="R2417" s="1070"/>
      <c r="S2417" s="1070"/>
      <c r="T2417" s="1070"/>
      <c r="U2417" s="1070"/>
      <c r="V2417" s="1070"/>
      <c r="W2417" s="1070"/>
      <c r="X2417" s="1070"/>
      <c r="Y2417" s="1070"/>
      <c r="Z2417" s="1070"/>
      <c r="AA2417" s="1070"/>
      <c r="AB2417" s="1070"/>
      <c r="AC2417" s="1070"/>
      <c r="AD2417" s="1070"/>
      <c r="AE2417" s="1070"/>
      <c r="AF2417" s="1070"/>
      <c r="AG2417" s="1070"/>
      <c r="AH2417" s="1070"/>
      <c r="AI2417" s="1070"/>
      <c r="AJ2417" s="1070"/>
      <c r="AK2417" s="1070"/>
      <c r="AL2417" s="1070"/>
      <c r="AM2417" s="1070"/>
      <c r="AN2417" s="1070"/>
      <c r="AO2417" s="1070"/>
      <c r="AP2417" s="1070"/>
      <c r="AQ2417" s="1070"/>
      <c r="AR2417" s="1070"/>
      <c r="AS2417" s="1070"/>
      <c r="AT2417" s="1070"/>
      <c r="AU2417" s="1350"/>
      <c r="AV2417" s="1350"/>
      <c r="AW2417" s="1350"/>
      <c r="AX2417" s="1350"/>
      <c r="AY2417" s="1350"/>
      <c r="AZ2417" s="1350"/>
      <c r="BA2417" s="1070"/>
      <c r="BB2417" s="1070"/>
      <c r="BC2417" s="1070"/>
      <c r="BD2417" s="1070"/>
      <c r="BE2417" s="1070"/>
      <c r="BF2417" s="1070"/>
      <c r="BG2417" s="1070"/>
      <c r="BH2417" s="1070"/>
      <c r="BI2417" s="1070"/>
      <c r="BJ2417" s="1070"/>
      <c r="BK2417" s="1070"/>
      <c r="BL2417" s="1070"/>
      <c r="BM2417" s="1070"/>
      <c r="BN2417" s="1070"/>
      <c r="BO2417" s="1070"/>
      <c r="BP2417" s="1070"/>
      <c r="BQ2417" s="1070"/>
      <c r="BR2417" s="1070"/>
      <c r="BS2417" s="1070"/>
      <c r="BT2417" s="1070"/>
      <c r="BU2417" s="1070"/>
      <c r="BV2417" s="1070"/>
      <c r="BW2417" s="1070"/>
      <c r="BX2417" s="1070"/>
      <c r="BY2417" s="1070"/>
      <c r="BZ2417" s="1070"/>
      <c r="CA2417" s="1070"/>
      <c r="CB2417" s="1070"/>
      <c r="CC2417" s="1070"/>
      <c r="CD2417" s="1070"/>
      <c r="CE2417" s="1070"/>
      <c r="CF2417" s="1070"/>
      <c r="CG2417" s="1070"/>
      <c r="CH2417" s="1070"/>
      <c r="CI2417" s="1070"/>
      <c r="CJ2417" s="1070"/>
      <c r="CK2417" s="1070"/>
      <c r="CL2417" s="1070"/>
      <c r="CM2417" s="1070"/>
      <c r="CN2417" s="1070"/>
      <c r="CO2417" s="1070"/>
      <c r="CP2417" s="1070"/>
      <c r="CQ2417" s="1070"/>
      <c r="CR2417" s="1070"/>
      <c r="CS2417" s="1070"/>
      <c r="CT2417" s="1070"/>
      <c r="CU2417" s="1070"/>
      <c r="CV2417" s="1070"/>
      <c r="CW2417" s="1070"/>
      <c r="CX2417" s="1070"/>
      <c r="CY2417" s="1070"/>
      <c r="CZ2417" s="1070"/>
      <c r="DA2417" s="1070"/>
      <c r="DB2417" s="1070"/>
      <c r="DC2417" s="1070"/>
      <c r="DD2417" s="1070"/>
      <c r="DE2417" s="1070"/>
      <c r="DF2417" s="1070"/>
      <c r="DG2417" s="1070"/>
      <c r="DH2417" s="1070"/>
      <c r="DI2417" s="1070"/>
      <c r="DJ2417" s="1070"/>
    </row>
    <row r="2418" spans="1:114" s="1136" customFormat="1" ht="15.75" x14ac:dyDescent="0.25">
      <c r="A2418" s="1420" t="s">
        <v>427</v>
      </c>
      <c r="B2418" s="1441">
        <v>1</v>
      </c>
      <c r="C2418" s="1432"/>
      <c r="D2418" s="1432"/>
      <c r="E2418" s="1432"/>
      <c r="F2418" s="1432"/>
      <c r="G2418" s="1432"/>
      <c r="H2418" s="1350"/>
      <c r="I2418" s="1350"/>
      <c r="J2418" s="1350"/>
      <c r="K2418" s="1350"/>
      <c r="L2418" s="1070"/>
      <c r="M2418" s="1070"/>
      <c r="N2418" s="1070"/>
      <c r="O2418" s="1070"/>
      <c r="P2418" s="1070"/>
      <c r="Q2418" s="1070"/>
      <c r="R2418" s="1070"/>
      <c r="S2418" s="1070"/>
      <c r="T2418" s="1070"/>
      <c r="U2418" s="1070"/>
      <c r="V2418" s="1070"/>
      <c r="W2418" s="1070"/>
      <c r="X2418" s="1070"/>
      <c r="Y2418" s="1070"/>
      <c r="Z2418" s="1070"/>
      <c r="AA2418" s="1070"/>
      <c r="AB2418" s="1070"/>
      <c r="AC2418" s="1070"/>
      <c r="AD2418" s="1070"/>
      <c r="AE2418" s="1070"/>
      <c r="AF2418" s="1070"/>
      <c r="AG2418" s="1070"/>
      <c r="AH2418" s="1070"/>
      <c r="AI2418" s="1070"/>
      <c r="AJ2418" s="1070"/>
      <c r="AK2418" s="1070"/>
      <c r="AL2418" s="1070"/>
      <c r="AM2418" s="1070"/>
      <c r="AN2418" s="1070"/>
      <c r="AO2418" s="1070"/>
      <c r="AP2418" s="1070"/>
      <c r="AQ2418" s="1070"/>
      <c r="AR2418" s="1070"/>
      <c r="AS2418" s="1070"/>
      <c r="AT2418" s="1070"/>
      <c r="AU2418" s="1350"/>
      <c r="AV2418" s="1350"/>
      <c r="AW2418" s="1350"/>
      <c r="AX2418" s="1350"/>
      <c r="AY2418" s="1350"/>
      <c r="AZ2418" s="1350"/>
      <c r="BA2418" s="1070"/>
      <c r="BB2418" s="1070"/>
      <c r="BC2418" s="1070"/>
      <c r="BD2418" s="1070"/>
      <c r="BE2418" s="1070"/>
      <c r="BF2418" s="1070"/>
      <c r="BG2418" s="1070"/>
      <c r="BH2418" s="1070"/>
      <c r="BI2418" s="1070"/>
      <c r="BJ2418" s="1070"/>
      <c r="BK2418" s="1070"/>
      <c r="BL2418" s="1070"/>
      <c r="BM2418" s="1070"/>
      <c r="BN2418" s="1070"/>
      <c r="BO2418" s="1070"/>
      <c r="BP2418" s="1070"/>
      <c r="BQ2418" s="1070"/>
      <c r="BR2418" s="1070"/>
      <c r="BS2418" s="1070"/>
      <c r="BT2418" s="1070"/>
      <c r="BU2418" s="1070"/>
      <c r="BV2418" s="1070"/>
      <c r="BW2418" s="1070"/>
      <c r="BX2418" s="1070"/>
      <c r="BY2418" s="1070"/>
      <c r="BZ2418" s="1070"/>
      <c r="CA2418" s="1070"/>
      <c r="CB2418" s="1070"/>
      <c r="CC2418" s="1070"/>
      <c r="CD2418" s="1070"/>
      <c r="CE2418" s="1070"/>
      <c r="CF2418" s="1070"/>
      <c r="CG2418" s="1070"/>
      <c r="CH2418" s="1070"/>
      <c r="CI2418" s="1070"/>
      <c r="CJ2418" s="1070"/>
      <c r="CK2418" s="1070"/>
      <c r="CL2418" s="1070"/>
      <c r="CM2418" s="1070"/>
      <c r="CN2418" s="1070"/>
      <c r="CO2418" s="1070"/>
      <c r="CP2418" s="1070"/>
      <c r="CQ2418" s="1070"/>
      <c r="CR2418" s="1070"/>
      <c r="CS2418" s="1070"/>
      <c r="CT2418" s="1070"/>
      <c r="CU2418" s="1070"/>
      <c r="CV2418" s="1070"/>
      <c r="CW2418" s="1070"/>
      <c r="CX2418" s="1070"/>
      <c r="CY2418" s="1070"/>
      <c r="CZ2418" s="1070"/>
      <c r="DA2418" s="1070"/>
      <c r="DB2418" s="1070"/>
      <c r="DC2418" s="1070"/>
      <c r="DD2418" s="1070"/>
      <c r="DE2418" s="1070"/>
      <c r="DF2418" s="1070"/>
      <c r="DG2418" s="1070"/>
      <c r="DH2418" s="1070"/>
      <c r="DI2418" s="1070"/>
      <c r="DJ2418" s="1070"/>
    </row>
    <row r="2419" spans="1:114" s="1136" customFormat="1" ht="15.75" x14ac:dyDescent="0.25">
      <c r="A2419" s="1420" t="s">
        <v>428</v>
      </c>
      <c r="B2419" s="1439" t="e">
        <f>B2404*B2405*B2406*B2407*B2409*B2410*B2383</f>
        <v>#VALUE!</v>
      </c>
      <c r="C2419" s="1437"/>
      <c r="D2419" s="1350"/>
      <c r="E2419" s="1350"/>
      <c r="F2419" s="1350"/>
      <c r="G2419" s="1350"/>
      <c r="H2419" s="1350"/>
      <c r="I2419" s="1350"/>
      <c r="J2419" s="1350"/>
      <c r="K2419" s="1350"/>
      <c r="L2419" s="1070"/>
      <c r="M2419" s="1070"/>
      <c r="N2419" s="1070"/>
      <c r="O2419" s="1070"/>
      <c r="P2419" s="1070"/>
      <c r="Q2419" s="1070"/>
      <c r="R2419" s="1070"/>
      <c r="S2419" s="1070"/>
      <c r="T2419" s="1070"/>
      <c r="U2419" s="1070"/>
      <c r="V2419" s="1070"/>
      <c r="W2419" s="1070"/>
      <c r="X2419" s="1070"/>
      <c r="Y2419" s="1070"/>
      <c r="Z2419" s="1070"/>
      <c r="AA2419" s="1070"/>
      <c r="AB2419" s="1070"/>
      <c r="AC2419" s="1070"/>
      <c r="AD2419" s="1070"/>
      <c r="AE2419" s="1070"/>
      <c r="AF2419" s="1070"/>
      <c r="AG2419" s="1070"/>
      <c r="AH2419" s="1070"/>
      <c r="AI2419" s="1070"/>
      <c r="AJ2419" s="1070"/>
      <c r="AK2419" s="1070"/>
      <c r="AL2419" s="1070"/>
      <c r="AM2419" s="1070"/>
      <c r="AN2419" s="1070"/>
      <c r="AO2419" s="1070"/>
      <c r="AP2419" s="1070"/>
      <c r="AQ2419" s="1070"/>
      <c r="AR2419" s="1070"/>
      <c r="AS2419" s="1070"/>
      <c r="AT2419" s="1070"/>
      <c r="AU2419" s="1350"/>
      <c r="AV2419" s="1350"/>
      <c r="AW2419" s="1350"/>
      <c r="AX2419" s="1350"/>
      <c r="AY2419" s="1350"/>
      <c r="AZ2419" s="1350"/>
      <c r="BA2419" s="1070"/>
      <c r="BB2419" s="1070"/>
      <c r="BC2419" s="1070"/>
      <c r="BD2419" s="1070"/>
      <c r="BE2419" s="1070"/>
      <c r="BF2419" s="1070"/>
      <c r="BG2419" s="1070"/>
      <c r="BH2419" s="1070"/>
      <c r="BI2419" s="1070"/>
      <c r="BJ2419" s="1070"/>
      <c r="BK2419" s="1070"/>
      <c r="BL2419" s="1070"/>
      <c r="BM2419" s="1070"/>
      <c r="BN2419" s="1070"/>
      <c r="BO2419" s="1070"/>
      <c r="BP2419" s="1070"/>
      <c r="BQ2419" s="1070"/>
      <c r="BR2419" s="1070"/>
      <c r="BS2419" s="1070"/>
      <c r="BT2419" s="1070"/>
      <c r="BU2419" s="1070"/>
      <c r="BV2419" s="1070"/>
      <c r="BW2419" s="1070"/>
      <c r="BX2419" s="1070"/>
      <c r="BY2419" s="1070"/>
      <c r="BZ2419" s="1070"/>
      <c r="CA2419" s="1070"/>
      <c r="CB2419" s="1070"/>
      <c r="CC2419" s="1070"/>
      <c r="CD2419" s="1070"/>
      <c r="CE2419" s="1070"/>
      <c r="CF2419" s="1070"/>
      <c r="CG2419" s="1070"/>
      <c r="CH2419" s="1070"/>
      <c r="CI2419" s="1070"/>
      <c r="CJ2419" s="1070"/>
      <c r="CK2419" s="1070"/>
      <c r="CL2419" s="1070"/>
      <c r="CM2419" s="1070"/>
      <c r="CN2419" s="1070"/>
      <c r="CO2419" s="1070"/>
      <c r="CP2419" s="1070"/>
      <c r="CQ2419" s="1070"/>
      <c r="CR2419" s="1070"/>
      <c r="CS2419" s="1070"/>
      <c r="CT2419" s="1070"/>
      <c r="CU2419" s="1070"/>
      <c r="CV2419" s="1070"/>
      <c r="CW2419" s="1070"/>
      <c r="CX2419" s="1070"/>
      <c r="CY2419" s="1070"/>
      <c r="CZ2419" s="1070"/>
      <c r="DA2419" s="1070"/>
      <c r="DB2419" s="1070"/>
      <c r="DC2419" s="1070"/>
      <c r="DD2419" s="1070"/>
      <c r="DE2419" s="1070"/>
      <c r="DF2419" s="1070"/>
      <c r="DG2419" s="1070"/>
      <c r="DH2419" s="1070"/>
      <c r="DI2419" s="1070"/>
      <c r="DJ2419" s="1070"/>
    </row>
    <row r="2420" spans="1:114" s="1136" customFormat="1" ht="15.75" x14ac:dyDescent="0.25">
      <c r="A2420" s="1420" t="s">
        <v>3412</v>
      </c>
      <c r="B2420" s="1439" t="e">
        <f>B2416*B2419</f>
        <v>#VALUE!</v>
      </c>
      <c r="C2420" s="1437"/>
      <c r="D2420" s="1350"/>
      <c r="E2420" s="1350"/>
      <c r="F2420" s="1350"/>
      <c r="G2420" s="1350"/>
      <c r="H2420" s="1350"/>
      <c r="I2420" s="1350"/>
      <c r="J2420" s="1350"/>
      <c r="K2420" s="1350"/>
      <c r="L2420" s="1070"/>
      <c r="M2420" s="1070"/>
      <c r="N2420" s="1070"/>
      <c r="O2420" s="1070"/>
      <c r="P2420" s="1070"/>
      <c r="Q2420" s="1070"/>
      <c r="R2420" s="1070"/>
      <c r="S2420" s="1070"/>
      <c r="T2420" s="1070"/>
      <c r="U2420" s="1070"/>
      <c r="V2420" s="1070"/>
      <c r="W2420" s="1070"/>
      <c r="X2420" s="1070"/>
      <c r="Y2420" s="1070"/>
      <c r="Z2420" s="1070"/>
      <c r="AA2420" s="1070"/>
      <c r="AB2420" s="1070"/>
      <c r="AC2420" s="1070"/>
      <c r="AD2420" s="1070"/>
      <c r="AE2420" s="1070"/>
      <c r="AF2420" s="1070"/>
      <c r="AG2420" s="1070"/>
      <c r="AH2420" s="1070"/>
      <c r="AI2420" s="1070"/>
      <c r="AJ2420" s="1070"/>
      <c r="AK2420" s="1070"/>
      <c r="AL2420" s="1070"/>
      <c r="AM2420" s="1070"/>
      <c r="AN2420" s="1070"/>
      <c r="AO2420" s="1070"/>
      <c r="AP2420" s="1070"/>
      <c r="AQ2420" s="1070"/>
      <c r="AR2420" s="1070"/>
      <c r="AS2420" s="1070"/>
      <c r="AT2420" s="1070"/>
      <c r="AU2420" s="1350"/>
      <c r="AV2420" s="1350"/>
      <c r="AW2420" s="1350"/>
      <c r="AX2420" s="1350"/>
      <c r="AY2420" s="1350"/>
      <c r="AZ2420" s="1350"/>
      <c r="BA2420" s="1070"/>
      <c r="BB2420" s="1070"/>
      <c r="BC2420" s="1070"/>
      <c r="BD2420" s="1070"/>
      <c r="BE2420" s="1070"/>
      <c r="BF2420" s="1070"/>
      <c r="BG2420" s="1070"/>
      <c r="BH2420" s="1070"/>
      <c r="BI2420" s="1070"/>
      <c r="BJ2420" s="1070"/>
      <c r="BK2420" s="1070"/>
      <c r="BL2420" s="1070"/>
      <c r="BM2420" s="1070"/>
      <c r="BN2420" s="1070"/>
      <c r="BO2420" s="1070"/>
      <c r="BP2420" s="1070"/>
      <c r="BQ2420" s="1070"/>
      <c r="BR2420" s="1070"/>
      <c r="BS2420" s="1070"/>
      <c r="BT2420" s="1070"/>
      <c r="BU2420" s="1070"/>
      <c r="BV2420" s="1070"/>
      <c r="BW2420" s="1070"/>
      <c r="BX2420" s="1070"/>
      <c r="BY2420" s="1070"/>
      <c r="BZ2420" s="1070"/>
      <c r="CA2420" s="1070"/>
      <c r="CB2420" s="1070"/>
      <c r="CC2420" s="1070"/>
      <c r="CD2420" s="1070"/>
      <c r="CE2420" s="1070"/>
      <c r="CF2420" s="1070"/>
      <c r="CG2420" s="1070"/>
      <c r="CH2420" s="1070"/>
      <c r="CI2420" s="1070"/>
      <c r="CJ2420" s="1070"/>
      <c r="CK2420" s="1070"/>
      <c r="CL2420" s="1070"/>
      <c r="CM2420" s="1070"/>
      <c r="CN2420" s="1070"/>
      <c r="CO2420" s="1070"/>
      <c r="CP2420" s="1070"/>
      <c r="CQ2420" s="1070"/>
      <c r="CR2420" s="1070"/>
      <c r="CS2420" s="1070"/>
      <c r="CT2420" s="1070"/>
      <c r="CU2420" s="1070"/>
      <c r="CV2420" s="1070"/>
      <c r="CW2420" s="1070"/>
      <c r="CX2420" s="1070"/>
      <c r="CY2420" s="1070"/>
      <c r="CZ2420" s="1070"/>
      <c r="DA2420" s="1070"/>
      <c r="DB2420" s="1070"/>
      <c r="DC2420" s="1070"/>
      <c r="DD2420" s="1070"/>
      <c r="DE2420" s="1070"/>
      <c r="DF2420" s="1070"/>
      <c r="DG2420" s="1070"/>
      <c r="DH2420" s="1070"/>
      <c r="DI2420" s="1070"/>
      <c r="DJ2420" s="1070"/>
    </row>
    <row r="2421" spans="1:114" s="1136" customFormat="1" ht="15.75" x14ac:dyDescent="0.25">
      <c r="A2421" s="1422" t="s">
        <v>429</v>
      </c>
      <c r="B2421" s="1439" t="e">
        <f>B2415/B2420</f>
        <v>#VALUE!</v>
      </c>
      <c r="C2421" s="1432"/>
      <c r="D2421" s="1432"/>
      <c r="E2421" s="1432"/>
      <c r="F2421" s="1432"/>
      <c r="G2421" s="1432"/>
      <c r="H2421" s="1350"/>
      <c r="I2421" s="1350"/>
      <c r="J2421" s="1350"/>
      <c r="K2421" s="1350"/>
      <c r="L2421" s="1070"/>
      <c r="M2421" s="1070"/>
      <c r="N2421" s="1070"/>
      <c r="O2421" s="1070"/>
      <c r="P2421" s="1070"/>
      <c r="Q2421" s="1070"/>
      <c r="R2421" s="1070"/>
      <c r="S2421" s="1070"/>
      <c r="T2421" s="1070"/>
      <c r="U2421" s="1070"/>
      <c r="V2421" s="1070"/>
      <c r="W2421" s="1070"/>
      <c r="X2421" s="1070"/>
      <c r="Y2421" s="1070"/>
      <c r="Z2421" s="1070"/>
      <c r="AA2421" s="1070"/>
      <c r="AB2421" s="1070"/>
      <c r="AC2421" s="1070"/>
      <c r="AD2421" s="1070"/>
      <c r="AE2421" s="1070"/>
      <c r="AF2421" s="1070"/>
      <c r="AG2421" s="1070"/>
      <c r="AH2421" s="1070"/>
      <c r="AI2421" s="1070"/>
      <c r="AJ2421" s="1070"/>
      <c r="AK2421" s="1070"/>
      <c r="AL2421" s="1070"/>
      <c r="AM2421" s="1070"/>
      <c r="AN2421" s="1070"/>
      <c r="AO2421" s="1070"/>
      <c r="AP2421" s="1070"/>
      <c r="AQ2421" s="1070"/>
      <c r="AR2421" s="1070"/>
      <c r="AS2421" s="1070"/>
      <c r="AT2421" s="1070"/>
      <c r="AU2421" s="1350"/>
      <c r="AV2421" s="1350"/>
      <c r="AW2421" s="1350"/>
      <c r="AX2421" s="1350"/>
      <c r="AY2421" s="1350"/>
      <c r="AZ2421" s="1350"/>
      <c r="BA2421" s="1070"/>
      <c r="BB2421" s="1070"/>
      <c r="BC2421" s="1070"/>
      <c r="BD2421" s="1070"/>
      <c r="BE2421" s="1070"/>
      <c r="BF2421" s="1070"/>
      <c r="BG2421" s="1070"/>
      <c r="BH2421" s="1070"/>
      <c r="BI2421" s="1070"/>
      <c r="BJ2421" s="1070"/>
      <c r="BK2421" s="1070"/>
      <c r="BL2421" s="1070"/>
      <c r="BM2421" s="1070"/>
      <c r="BN2421" s="1070"/>
      <c r="BO2421" s="1070"/>
      <c r="BP2421" s="1070"/>
      <c r="BQ2421" s="1070"/>
      <c r="BR2421" s="1070"/>
      <c r="BS2421" s="1070"/>
      <c r="BT2421" s="1070"/>
      <c r="BU2421" s="1070"/>
      <c r="BV2421" s="1070"/>
      <c r="BW2421" s="1070"/>
      <c r="BX2421" s="1070"/>
      <c r="BY2421" s="1070"/>
      <c r="BZ2421" s="1070"/>
      <c r="CA2421" s="1070"/>
      <c r="CB2421" s="1070"/>
      <c r="CC2421" s="1070"/>
      <c r="CD2421" s="1070"/>
      <c r="CE2421" s="1070"/>
      <c r="CF2421" s="1070"/>
      <c r="CG2421" s="1070"/>
      <c r="CH2421" s="1070"/>
      <c r="CI2421" s="1070"/>
      <c r="CJ2421" s="1070"/>
      <c r="CK2421" s="1070"/>
      <c r="CL2421" s="1070"/>
      <c r="CM2421" s="1070"/>
      <c r="CN2421" s="1070"/>
      <c r="CO2421" s="1070"/>
      <c r="CP2421" s="1070"/>
      <c r="CQ2421" s="1070"/>
      <c r="CR2421" s="1070"/>
      <c r="CS2421" s="1070"/>
      <c r="CT2421" s="1070"/>
      <c r="CU2421" s="1070"/>
      <c r="CV2421" s="1070"/>
      <c r="CW2421" s="1070"/>
      <c r="CX2421" s="1070"/>
      <c r="CY2421" s="1070"/>
      <c r="CZ2421" s="1070"/>
      <c r="DA2421" s="1070"/>
      <c r="DB2421" s="1070"/>
      <c r="DC2421" s="1070"/>
      <c r="DD2421" s="1070"/>
      <c r="DE2421" s="1070"/>
      <c r="DF2421" s="1070"/>
      <c r="DG2421" s="1070"/>
      <c r="DH2421" s="1070"/>
      <c r="DI2421" s="1070"/>
      <c r="DJ2421" s="1070"/>
    </row>
    <row r="2422" spans="1:114" s="1136" customFormat="1" ht="63" x14ac:dyDescent="0.25">
      <c r="A2422" s="1438" t="s">
        <v>3389</v>
      </c>
      <c r="B2422" s="1421"/>
      <c r="C2422" s="1429"/>
      <c r="D2422" s="1429"/>
      <c r="E2422" s="1429"/>
      <c r="F2422" s="1429"/>
      <c r="G2422" s="1429"/>
      <c r="H2422" s="1350"/>
      <c r="I2422" s="1350"/>
      <c r="J2422" s="1350"/>
      <c r="K2422" s="1350"/>
      <c r="L2422" s="1070"/>
      <c r="M2422" s="1070"/>
      <c r="N2422" s="1070"/>
      <c r="O2422" s="1070"/>
      <c r="P2422" s="1070"/>
      <c r="Q2422" s="1070"/>
      <c r="R2422" s="1070"/>
      <c r="S2422" s="1070"/>
      <c r="T2422" s="1070"/>
      <c r="U2422" s="1070"/>
      <c r="V2422" s="1070"/>
      <c r="W2422" s="1070"/>
      <c r="X2422" s="1070"/>
      <c r="Y2422" s="1070"/>
      <c r="Z2422" s="1070"/>
      <c r="AA2422" s="1070"/>
      <c r="AB2422" s="1070"/>
      <c r="AC2422" s="1070"/>
      <c r="AD2422" s="1070"/>
      <c r="AE2422" s="1070"/>
      <c r="AF2422" s="1070"/>
      <c r="AG2422" s="1070"/>
      <c r="AH2422" s="1070"/>
      <c r="AI2422" s="1070"/>
      <c r="AJ2422" s="1070"/>
      <c r="AK2422" s="1070"/>
      <c r="AL2422" s="1070"/>
      <c r="AM2422" s="1070"/>
      <c r="AN2422" s="1070"/>
      <c r="AO2422" s="1070"/>
      <c r="AP2422" s="1070"/>
      <c r="AQ2422" s="1070"/>
      <c r="AR2422" s="1070"/>
      <c r="AS2422" s="1070"/>
      <c r="AT2422" s="1070"/>
      <c r="AU2422" s="1350"/>
      <c r="AV2422" s="1350"/>
      <c r="AW2422" s="1350"/>
      <c r="AX2422" s="1350"/>
      <c r="AY2422" s="1350"/>
      <c r="AZ2422" s="1350"/>
      <c r="BA2422" s="1070"/>
      <c r="BB2422" s="1070"/>
      <c r="BC2422" s="1070"/>
      <c r="BD2422" s="1070"/>
      <c r="BE2422" s="1070"/>
      <c r="BF2422" s="1070"/>
      <c r="BG2422" s="1070"/>
      <c r="BH2422" s="1070"/>
      <c r="BI2422" s="1070"/>
      <c r="BJ2422" s="1070"/>
      <c r="BK2422" s="1070"/>
      <c r="BL2422" s="1070"/>
      <c r="BM2422" s="1070"/>
      <c r="BN2422" s="1070"/>
      <c r="BO2422" s="1070"/>
      <c r="BP2422" s="1070"/>
      <c r="BQ2422" s="1070"/>
      <c r="BR2422" s="1070"/>
      <c r="BS2422" s="1070"/>
      <c r="BT2422" s="1070"/>
      <c r="BU2422" s="1070"/>
      <c r="BV2422" s="1070"/>
      <c r="BW2422" s="1070"/>
      <c r="BX2422" s="1070"/>
      <c r="BY2422" s="1070"/>
      <c r="BZ2422" s="1070"/>
      <c r="CA2422" s="1070"/>
      <c r="CB2422" s="1070"/>
      <c r="CC2422" s="1070"/>
      <c r="CD2422" s="1070"/>
      <c r="CE2422" s="1070"/>
      <c r="CF2422" s="1070"/>
      <c r="CG2422" s="1070"/>
      <c r="CH2422" s="1070"/>
      <c r="CI2422" s="1070"/>
      <c r="CJ2422" s="1070"/>
      <c r="CK2422" s="1070"/>
      <c r="CL2422" s="1070"/>
      <c r="CM2422" s="1070"/>
      <c r="CN2422" s="1070"/>
      <c r="CO2422" s="1070"/>
      <c r="CP2422" s="1070"/>
      <c r="CQ2422" s="1070"/>
      <c r="CR2422" s="1070"/>
      <c r="CS2422" s="1070"/>
      <c r="CT2422" s="1070"/>
      <c r="CU2422" s="1070"/>
      <c r="CV2422" s="1070"/>
      <c r="CW2422" s="1070"/>
      <c r="CX2422" s="1070"/>
      <c r="CY2422" s="1070"/>
      <c r="CZ2422" s="1070"/>
      <c r="DA2422" s="1070"/>
      <c r="DB2422" s="1070"/>
      <c r="DC2422" s="1070"/>
      <c r="DD2422" s="1070"/>
      <c r="DE2422" s="1070"/>
      <c r="DF2422" s="1070"/>
      <c r="DG2422" s="1070"/>
      <c r="DH2422" s="1070"/>
      <c r="DI2422" s="1070"/>
      <c r="DJ2422" s="1070"/>
    </row>
    <row r="2423" spans="1:114" s="1136" customFormat="1" ht="15.75" x14ac:dyDescent="0.25">
      <c r="A2423" s="1420" t="s">
        <v>424</v>
      </c>
      <c r="B2423" s="1439" t="e">
        <f>(B245^2*((B2386-B2390)/B261+1)/(B2386-B2390))*B2388</f>
        <v>#VALUE!</v>
      </c>
      <c r="C2423" s="1434"/>
      <c r="D2423" s="1434"/>
      <c r="E2423" s="1434"/>
      <c r="F2423" s="1434"/>
      <c r="G2423" s="1434"/>
      <c r="H2423" s="1350"/>
      <c r="I2423" s="1350"/>
      <c r="J2423" s="1350"/>
      <c r="K2423" s="1350"/>
      <c r="L2423" s="1350"/>
      <c r="M2423" s="1350"/>
      <c r="N2423" s="1350"/>
      <c r="O2423" s="1350"/>
      <c r="P2423" s="1350"/>
      <c r="Q2423" s="1350"/>
      <c r="R2423" s="1350"/>
      <c r="S2423" s="1350"/>
      <c r="T2423" s="1350"/>
      <c r="U2423" s="1350"/>
      <c r="V2423" s="1350"/>
      <c r="W2423" s="1350"/>
      <c r="X2423" s="1350"/>
      <c r="Y2423" s="1350"/>
      <c r="Z2423" s="1350"/>
      <c r="AA2423" s="1350"/>
      <c r="AB2423" s="1350"/>
      <c r="AC2423" s="1350"/>
      <c r="AD2423" s="1350"/>
      <c r="AE2423" s="1350"/>
      <c r="AF2423" s="1350"/>
      <c r="AG2423" s="1350"/>
      <c r="AH2423" s="1350"/>
      <c r="AI2423" s="1350"/>
      <c r="AJ2423" s="1350"/>
      <c r="AK2423" s="1350"/>
      <c r="AL2423" s="1350"/>
      <c r="AM2423" s="1350"/>
      <c r="AN2423" s="1350"/>
      <c r="AO2423" s="1350"/>
      <c r="AP2423" s="1350"/>
      <c r="AQ2423" s="1350"/>
      <c r="AR2423" s="1350"/>
      <c r="AS2423" s="1350"/>
      <c r="AT2423" s="1350"/>
      <c r="AU2423" s="1350"/>
      <c r="AV2423" s="1350"/>
      <c r="AW2423" s="1350"/>
      <c r="AX2423" s="1350"/>
      <c r="AY2423" s="1350"/>
      <c r="AZ2423" s="1350"/>
      <c r="BA2423" s="1070"/>
      <c r="BB2423" s="1070"/>
      <c r="BC2423" s="1070"/>
      <c r="BD2423" s="1070"/>
      <c r="BE2423" s="1070"/>
      <c r="BF2423" s="1070"/>
      <c r="BG2423" s="1070"/>
      <c r="BH2423" s="1070"/>
      <c r="BI2423" s="1070"/>
      <c r="BJ2423" s="1070"/>
      <c r="BK2423" s="1070"/>
      <c r="BL2423" s="1070"/>
      <c r="BM2423" s="1070"/>
      <c r="BN2423" s="1070"/>
      <c r="BO2423" s="1070"/>
      <c r="BP2423" s="1070"/>
      <c r="BQ2423" s="1070"/>
      <c r="BR2423" s="1070"/>
      <c r="BS2423" s="1070"/>
      <c r="BT2423" s="1070"/>
      <c r="BU2423" s="1070"/>
      <c r="BV2423" s="1070"/>
      <c r="BW2423" s="1070"/>
      <c r="BX2423" s="1070"/>
      <c r="BY2423" s="1070"/>
      <c r="BZ2423" s="1070"/>
      <c r="CA2423" s="1070"/>
      <c r="CB2423" s="1070"/>
      <c r="CC2423" s="1070"/>
      <c r="CD2423" s="1070"/>
      <c r="CE2423" s="1070"/>
      <c r="CF2423" s="1070"/>
      <c r="CG2423" s="1070"/>
      <c r="CH2423" s="1070"/>
      <c r="CI2423" s="1070"/>
      <c r="CJ2423" s="1070"/>
      <c r="CK2423" s="1070"/>
      <c r="CL2423" s="1070"/>
      <c r="CM2423" s="1070"/>
      <c r="CN2423" s="1070"/>
      <c r="CO2423" s="1070"/>
      <c r="CP2423" s="1070"/>
      <c r="CQ2423" s="1070"/>
      <c r="CR2423" s="1070"/>
      <c r="CS2423" s="1070"/>
      <c r="CT2423" s="1070"/>
      <c r="CU2423" s="1070"/>
      <c r="CV2423" s="1070"/>
      <c r="CW2423" s="1070"/>
      <c r="CX2423" s="1070"/>
      <c r="CY2423" s="1070"/>
      <c r="CZ2423" s="1070"/>
      <c r="DA2423" s="1070"/>
      <c r="DB2423" s="1070"/>
      <c r="DC2423" s="1070"/>
      <c r="DD2423" s="1070"/>
      <c r="DE2423" s="1070"/>
      <c r="DF2423" s="1070"/>
      <c r="DG2423" s="1070"/>
      <c r="DH2423" s="1070"/>
      <c r="DI2423" s="1070"/>
      <c r="DJ2423" s="1070"/>
    </row>
    <row r="2424" spans="1:114" s="1136" customFormat="1" ht="15.75" x14ac:dyDescent="0.25">
      <c r="A2424" s="1420" t="s">
        <v>3390</v>
      </c>
      <c r="B2424" s="1441" t="e">
        <f>IF(B2399&lt;23.1,281,IF(B2399&lt;29.1,250,IF(B2399&lt;36.1,224,IF(B2399&lt;45.1,197,IF(B2399&lt;55.1,172,IF(B2399&lt;65.1,149,128))))))</f>
        <v>#VALUE!</v>
      </c>
      <c r="C2424" s="1434"/>
      <c r="D2424" s="1434"/>
      <c r="E2424" s="1434"/>
      <c r="F2424" s="1434"/>
      <c r="G2424" s="1434"/>
      <c r="H2424" s="1350"/>
      <c r="I2424" s="1350"/>
      <c r="J2424" s="1350"/>
      <c r="K2424" s="1350"/>
      <c r="L2424" s="1350"/>
      <c r="M2424" s="1350"/>
      <c r="N2424" s="1350"/>
      <c r="O2424" s="1350"/>
      <c r="P2424" s="1350"/>
      <c r="Q2424" s="1350"/>
      <c r="R2424" s="1350"/>
      <c r="S2424" s="1350"/>
      <c r="T2424" s="1350"/>
      <c r="U2424" s="1350"/>
      <c r="V2424" s="1350"/>
      <c r="W2424" s="1350"/>
      <c r="X2424" s="1350"/>
      <c r="Y2424" s="1350"/>
      <c r="Z2424" s="1350"/>
      <c r="AA2424" s="1350"/>
      <c r="AB2424" s="1350"/>
      <c r="AC2424" s="1350"/>
      <c r="AD2424" s="1350"/>
      <c r="AE2424" s="1350"/>
      <c r="AF2424" s="1350"/>
      <c r="AG2424" s="1350"/>
      <c r="AH2424" s="1350"/>
      <c r="AI2424" s="1350"/>
      <c r="AJ2424" s="1350"/>
      <c r="AK2424" s="1350"/>
      <c r="AL2424" s="1350"/>
      <c r="AM2424" s="1350"/>
      <c r="AN2424" s="1350"/>
      <c r="AO2424" s="1350"/>
      <c r="AP2424" s="1350"/>
      <c r="AQ2424" s="1350"/>
      <c r="AR2424" s="1350"/>
      <c r="AS2424" s="1350"/>
      <c r="AT2424" s="1350"/>
      <c r="AU2424" s="1350"/>
      <c r="AV2424" s="1350"/>
      <c r="AW2424" s="1350"/>
      <c r="AX2424" s="1350"/>
      <c r="AY2424" s="1350"/>
      <c r="AZ2424" s="1350"/>
      <c r="BA2424" s="1070"/>
      <c r="BB2424" s="1070"/>
      <c r="BC2424" s="1070"/>
      <c r="BD2424" s="1070"/>
      <c r="BE2424" s="1070"/>
      <c r="BF2424" s="1070"/>
      <c r="BG2424" s="1070"/>
      <c r="BH2424" s="1070"/>
      <c r="BI2424" s="1070"/>
      <c r="BJ2424" s="1070"/>
      <c r="BK2424" s="1070"/>
      <c r="BL2424" s="1070"/>
      <c r="BM2424" s="1070"/>
      <c r="BN2424" s="1070"/>
      <c r="BO2424" s="1070"/>
      <c r="BP2424" s="1070"/>
      <c r="BQ2424" s="1070"/>
      <c r="BR2424" s="1070"/>
      <c r="BS2424" s="1070"/>
      <c r="BT2424" s="1070"/>
      <c r="BU2424" s="1070"/>
      <c r="BV2424" s="1070"/>
      <c r="BW2424" s="1070"/>
      <c r="BX2424" s="1070"/>
      <c r="BY2424" s="1070"/>
      <c r="BZ2424" s="1070"/>
      <c r="CA2424" s="1070"/>
      <c r="CB2424" s="1070"/>
      <c r="CC2424" s="1070"/>
      <c r="CD2424" s="1070"/>
      <c r="CE2424" s="1070"/>
      <c r="CF2424" s="1070"/>
      <c r="CG2424" s="1070"/>
      <c r="CH2424" s="1070"/>
      <c r="CI2424" s="1070"/>
      <c r="CJ2424" s="1070"/>
      <c r="CK2424" s="1070"/>
      <c r="CL2424" s="1070"/>
      <c r="CM2424" s="1070"/>
      <c r="CN2424" s="1070"/>
      <c r="CO2424" s="1070"/>
      <c r="CP2424" s="1070"/>
      <c r="CQ2424" s="1070"/>
      <c r="CR2424" s="1070"/>
      <c r="CS2424" s="1070"/>
      <c r="CT2424" s="1070"/>
      <c r="CU2424" s="1070"/>
      <c r="CV2424" s="1070"/>
      <c r="CW2424" s="1070"/>
      <c r="CX2424" s="1070"/>
      <c r="CY2424" s="1070"/>
      <c r="CZ2424" s="1070"/>
      <c r="DA2424" s="1070"/>
      <c r="DB2424" s="1070"/>
      <c r="DC2424" s="1070"/>
      <c r="DD2424" s="1070"/>
      <c r="DE2424" s="1070"/>
      <c r="DF2424" s="1070"/>
      <c r="DG2424" s="1070"/>
      <c r="DH2424" s="1070"/>
      <c r="DI2424" s="1070"/>
      <c r="DJ2424" s="1070"/>
    </row>
    <row r="2425" spans="1:114" s="1136" customFormat="1" ht="15.75" x14ac:dyDescent="0.25">
      <c r="A2425" s="1420" t="s">
        <v>3391</v>
      </c>
      <c r="B2425" s="1439"/>
      <c r="C2425" s="1432"/>
      <c r="D2425" s="1432"/>
      <c r="E2425" s="1432"/>
      <c r="F2425" s="1432"/>
      <c r="G2425" s="1432"/>
      <c r="H2425" s="1350"/>
      <c r="I2425" s="1350"/>
      <c r="J2425" s="1350"/>
      <c r="K2425" s="1350"/>
      <c r="L2425" s="1350"/>
      <c r="M2425" s="1350"/>
      <c r="N2425" s="1350"/>
      <c r="O2425" s="1350"/>
      <c r="P2425" s="1350"/>
      <c r="Q2425" s="1350"/>
      <c r="R2425" s="1350"/>
      <c r="S2425" s="1350"/>
      <c r="T2425" s="1350"/>
      <c r="U2425" s="1350"/>
      <c r="V2425" s="1350"/>
      <c r="W2425" s="1350"/>
      <c r="X2425" s="1350"/>
      <c r="Y2425" s="1350"/>
      <c r="Z2425" s="1350"/>
      <c r="AA2425" s="1350"/>
      <c r="AB2425" s="1350"/>
      <c r="AC2425" s="1350"/>
      <c r="AD2425" s="1350"/>
      <c r="AE2425" s="1350"/>
      <c r="AF2425" s="1350"/>
      <c r="AG2425" s="1350"/>
      <c r="AH2425" s="1350"/>
      <c r="AI2425" s="1350"/>
      <c r="AJ2425" s="1350"/>
      <c r="AK2425" s="1350"/>
      <c r="AL2425" s="1350"/>
      <c r="AM2425" s="1350"/>
      <c r="AN2425" s="1350"/>
      <c r="AO2425" s="1350"/>
      <c r="AP2425" s="1350"/>
      <c r="AQ2425" s="1350"/>
      <c r="AR2425" s="1350"/>
      <c r="AS2425" s="1350"/>
      <c r="AT2425" s="1350"/>
      <c r="AU2425" s="1350"/>
      <c r="AV2425" s="1350"/>
      <c r="AW2425" s="1350"/>
      <c r="AX2425" s="1350"/>
      <c r="AY2425" s="1350"/>
      <c r="AZ2425" s="1350"/>
      <c r="BA2425" s="1070"/>
      <c r="BB2425" s="1070"/>
      <c r="BC2425" s="1070"/>
      <c r="BD2425" s="1070"/>
      <c r="BE2425" s="1070"/>
      <c r="BF2425" s="1070"/>
      <c r="BG2425" s="1070"/>
      <c r="BH2425" s="1070"/>
      <c r="BI2425" s="1070"/>
      <c r="BJ2425" s="1070"/>
      <c r="BK2425" s="1070"/>
      <c r="BL2425" s="1070"/>
      <c r="BM2425" s="1070"/>
      <c r="BN2425" s="1070"/>
      <c r="BO2425" s="1070"/>
      <c r="BP2425" s="1070"/>
      <c r="BQ2425" s="1070"/>
      <c r="BR2425" s="1070"/>
      <c r="BS2425" s="1070"/>
      <c r="BT2425" s="1070"/>
      <c r="BU2425" s="1070"/>
      <c r="BV2425" s="1070"/>
      <c r="BW2425" s="1070"/>
      <c r="BX2425" s="1070"/>
      <c r="BY2425" s="1070"/>
      <c r="BZ2425" s="1070"/>
      <c r="CA2425" s="1070"/>
      <c r="CB2425" s="1070"/>
      <c r="CC2425" s="1070"/>
      <c r="CD2425" s="1070"/>
      <c r="CE2425" s="1070"/>
      <c r="CF2425" s="1070"/>
      <c r="CG2425" s="1070"/>
      <c r="CH2425" s="1070"/>
      <c r="CI2425" s="1070"/>
      <c r="CJ2425" s="1070"/>
      <c r="CK2425" s="1070"/>
      <c r="CL2425" s="1070"/>
      <c r="CM2425" s="1070"/>
      <c r="CN2425" s="1070"/>
      <c r="CO2425" s="1070"/>
      <c r="CP2425" s="1070"/>
      <c r="CQ2425" s="1070"/>
      <c r="CR2425" s="1070"/>
      <c r="CS2425" s="1070"/>
      <c r="CT2425" s="1070"/>
      <c r="CU2425" s="1070"/>
      <c r="CV2425" s="1070"/>
      <c r="CW2425" s="1070"/>
      <c r="CX2425" s="1070"/>
      <c r="CY2425" s="1070"/>
      <c r="CZ2425" s="1070"/>
      <c r="DA2425" s="1070"/>
      <c r="DB2425" s="1070"/>
      <c r="DC2425" s="1070"/>
      <c r="DD2425" s="1070"/>
      <c r="DE2425" s="1070"/>
      <c r="DF2425" s="1070"/>
      <c r="DG2425" s="1070"/>
      <c r="DH2425" s="1070"/>
      <c r="DI2425" s="1070"/>
      <c r="DJ2425" s="1070"/>
    </row>
    <row r="2426" spans="1:114" s="1136" customFormat="1" ht="15.75" x14ac:dyDescent="0.25">
      <c r="A2426" s="1420" t="s">
        <v>392</v>
      </c>
      <c r="B2426" s="1424">
        <f>IF(B251&lt;21,1,IF(B251&lt;31,0.9,0.8))</f>
        <v>1</v>
      </c>
      <c r="C2426" s="1432"/>
      <c r="D2426" s="1432"/>
      <c r="E2426" s="1432"/>
      <c r="F2426" s="1432"/>
      <c r="G2426" s="1432"/>
      <c r="H2426" s="1350"/>
      <c r="I2426" s="1350"/>
      <c r="J2426" s="1350"/>
      <c r="K2426" s="1350"/>
      <c r="L2426" s="1350"/>
      <c r="M2426" s="1350"/>
      <c r="N2426" s="1350"/>
      <c r="O2426" s="1350"/>
      <c r="P2426" s="1350"/>
      <c r="Q2426" s="1350"/>
      <c r="R2426" s="1350"/>
      <c r="S2426" s="1350"/>
      <c r="T2426" s="1350"/>
      <c r="U2426" s="1350"/>
      <c r="V2426" s="1350"/>
      <c r="W2426" s="1350"/>
      <c r="X2426" s="1350"/>
      <c r="Y2426" s="1350"/>
      <c r="Z2426" s="1350"/>
      <c r="AA2426" s="1350"/>
      <c r="AB2426" s="1350"/>
      <c r="AC2426" s="1350"/>
      <c r="AD2426" s="1350"/>
      <c r="AE2426" s="1350"/>
      <c r="AF2426" s="1350"/>
      <c r="AG2426" s="1350"/>
      <c r="AH2426" s="1350"/>
      <c r="AI2426" s="1350"/>
      <c r="AJ2426" s="1350"/>
      <c r="AK2426" s="1350"/>
      <c r="AL2426" s="1350"/>
      <c r="AM2426" s="1350"/>
      <c r="AN2426" s="1350"/>
      <c r="AO2426" s="1350"/>
      <c r="AP2426" s="1350"/>
      <c r="AQ2426" s="1350"/>
      <c r="AR2426" s="1350"/>
      <c r="AS2426" s="1350"/>
      <c r="AT2426" s="1350"/>
      <c r="AU2426" s="1350"/>
      <c r="AV2426" s="1350"/>
      <c r="AW2426" s="1350"/>
      <c r="AX2426" s="1350"/>
      <c r="AY2426" s="1350"/>
      <c r="AZ2426" s="1350"/>
      <c r="BA2426" s="1070"/>
      <c r="BB2426" s="1070"/>
      <c r="BC2426" s="1070"/>
      <c r="BD2426" s="1070"/>
      <c r="BE2426" s="1070"/>
      <c r="BF2426" s="1070"/>
      <c r="BG2426" s="1070"/>
      <c r="BH2426" s="1070"/>
      <c r="BI2426" s="1070"/>
      <c r="BJ2426" s="1070"/>
      <c r="BK2426" s="1070"/>
      <c r="BL2426" s="1070"/>
      <c r="BM2426" s="1070"/>
      <c r="BN2426" s="1070"/>
      <c r="BO2426" s="1070"/>
      <c r="BP2426" s="1070"/>
      <c r="BQ2426" s="1070"/>
      <c r="BR2426" s="1070"/>
      <c r="BS2426" s="1070"/>
      <c r="BT2426" s="1070"/>
      <c r="BU2426" s="1070"/>
      <c r="BV2426" s="1070"/>
      <c r="BW2426" s="1070"/>
      <c r="BX2426" s="1070"/>
      <c r="BY2426" s="1070"/>
      <c r="BZ2426" s="1070"/>
      <c r="CA2426" s="1070"/>
      <c r="CB2426" s="1070"/>
      <c r="CC2426" s="1070"/>
      <c r="CD2426" s="1070"/>
      <c r="CE2426" s="1070"/>
      <c r="CF2426" s="1070"/>
      <c r="CG2426" s="1070"/>
      <c r="CH2426" s="1070"/>
      <c r="CI2426" s="1070"/>
      <c r="CJ2426" s="1070"/>
      <c r="CK2426" s="1070"/>
      <c r="CL2426" s="1070"/>
      <c r="CM2426" s="1070"/>
      <c r="CN2426" s="1070"/>
      <c r="CO2426" s="1070"/>
      <c r="CP2426" s="1070"/>
      <c r="CQ2426" s="1070"/>
      <c r="CR2426" s="1070"/>
      <c r="CS2426" s="1070"/>
      <c r="CT2426" s="1070"/>
      <c r="CU2426" s="1070"/>
      <c r="CV2426" s="1070"/>
      <c r="CW2426" s="1070"/>
      <c r="CX2426" s="1070"/>
      <c r="CY2426" s="1070"/>
      <c r="CZ2426" s="1070"/>
      <c r="DA2426" s="1070"/>
      <c r="DB2426" s="1070"/>
      <c r="DC2426" s="1070"/>
      <c r="DD2426" s="1070"/>
      <c r="DE2426" s="1070"/>
      <c r="DF2426" s="1070"/>
      <c r="DG2426" s="1070"/>
      <c r="DH2426" s="1070"/>
      <c r="DI2426" s="1070"/>
      <c r="DJ2426" s="1070"/>
    </row>
    <row r="2427" spans="1:114" s="1136" customFormat="1" ht="15.75" x14ac:dyDescent="0.25">
      <c r="A2427" s="1420" t="s">
        <v>391</v>
      </c>
      <c r="B2427" s="1424">
        <f>IF(B274&gt;0.2,0.9,1)</f>
        <v>0.9</v>
      </c>
      <c r="C2427" s="1432"/>
      <c r="D2427" s="1432"/>
      <c r="E2427" s="1432"/>
      <c r="F2427" s="1432"/>
      <c r="G2427" s="1432"/>
      <c r="H2427" s="1350"/>
      <c r="I2427" s="1350"/>
      <c r="J2427" s="1350"/>
      <c r="K2427" s="1350"/>
      <c r="L2427" s="1350"/>
      <c r="M2427" s="1350"/>
      <c r="N2427" s="1350"/>
      <c r="O2427" s="1350"/>
      <c r="P2427" s="1350"/>
      <c r="Q2427" s="1350"/>
      <c r="R2427" s="1350"/>
      <c r="S2427" s="1350"/>
      <c r="T2427" s="1350"/>
      <c r="U2427" s="1350"/>
      <c r="V2427" s="1350"/>
      <c r="W2427" s="1350"/>
      <c r="X2427" s="1350"/>
      <c r="Y2427" s="1350"/>
      <c r="Z2427" s="1350"/>
      <c r="AA2427" s="1350"/>
      <c r="AB2427" s="1350"/>
      <c r="AC2427" s="1350"/>
      <c r="AD2427" s="1350"/>
      <c r="AE2427" s="1350"/>
      <c r="AF2427" s="1350"/>
      <c r="AG2427" s="1350"/>
      <c r="AH2427" s="1350"/>
      <c r="AI2427" s="1350"/>
      <c r="AJ2427" s="1350"/>
      <c r="AK2427" s="1350"/>
      <c r="AL2427" s="1350"/>
      <c r="AM2427" s="1350"/>
      <c r="AN2427" s="1350"/>
      <c r="AO2427" s="1350"/>
      <c r="AP2427" s="1350"/>
      <c r="AQ2427" s="1350"/>
      <c r="AR2427" s="1350"/>
      <c r="AS2427" s="1350"/>
      <c r="AT2427" s="1350"/>
      <c r="AU2427" s="1350"/>
      <c r="AV2427" s="1350"/>
      <c r="AW2427" s="1350"/>
      <c r="AX2427" s="1350"/>
      <c r="AY2427" s="1350"/>
      <c r="AZ2427" s="1350"/>
      <c r="BA2427" s="1070"/>
      <c r="BB2427" s="1070"/>
      <c r="BC2427" s="1070"/>
      <c r="BD2427" s="1070"/>
      <c r="BE2427" s="1070"/>
      <c r="BF2427" s="1070"/>
      <c r="BG2427" s="1070"/>
      <c r="BH2427" s="1070"/>
      <c r="BI2427" s="1070"/>
      <c r="BJ2427" s="1070"/>
      <c r="BK2427" s="1070"/>
      <c r="BL2427" s="1070"/>
      <c r="BM2427" s="1070"/>
      <c r="BN2427" s="1070"/>
      <c r="BO2427" s="1070"/>
      <c r="BP2427" s="1070"/>
      <c r="BQ2427" s="1070"/>
      <c r="BR2427" s="1070"/>
      <c r="BS2427" s="1070"/>
      <c r="BT2427" s="1070"/>
      <c r="BU2427" s="1070"/>
      <c r="BV2427" s="1070"/>
      <c r="BW2427" s="1070"/>
      <c r="BX2427" s="1070"/>
      <c r="BY2427" s="1070"/>
      <c r="BZ2427" s="1070"/>
      <c r="CA2427" s="1070"/>
      <c r="CB2427" s="1070"/>
      <c r="CC2427" s="1070"/>
      <c r="CD2427" s="1070"/>
      <c r="CE2427" s="1070"/>
      <c r="CF2427" s="1070"/>
      <c r="CG2427" s="1070"/>
      <c r="CH2427" s="1070"/>
      <c r="CI2427" s="1070"/>
      <c r="CJ2427" s="1070"/>
      <c r="CK2427" s="1070"/>
      <c r="CL2427" s="1070"/>
      <c r="CM2427" s="1070"/>
      <c r="CN2427" s="1070"/>
      <c r="CO2427" s="1070"/>
      <c r="CP2427" s="1070"/>
      <c r="CQ2427" s="1070"/>
      <c r="CR2427" s="1070"/>
      <c r="CS2427" s="1070"/>
      <c r="CT2427" s="1070"/>
      <c r="CU2427" s="1070"/>
      <c r="CV2427" s="1070"/>
      <c r="CW2427" s="1070"/>
      <c r="CX2427" s="1070"/>
      <c r="CY2427" s="1070"/>
      <c r="CZ2427" s="1070"/>
      <c r="DA2427" s="1070"/>
      <c r="DB2427" s="1070"/>
      <c r="DC2427" s="1070"/>
      <c r="DD2427" s="1070"/>
      <c r="DE2427" s="1070"/>
      <c r="DF2427" s="1070"/>
      <c r="DG2427" s="1070"/>
      <c r="DH2427" s="1070"/>
      <c r="DI2427" s="1070"/>
      <c r="DJ2427" s="1070"/>
    </row>
    <row r="2428" spans="1:114" s="1136" customFormat="1" ht="31.5" x14ac:dyDescent="0.25">
      <c r="A2428" s="1435" t="s">
        <v>3392</v>
      </c>
      <c r="B2428" s="1442">
        <v>0</v>
      </c>
      <c r="C2428" s="1432"/>
      <c r="D2428" s="1350"/>
      <c r="E2428" s="1350"/>
      <c r="F2428" s="1350"/>
      <c r="G2428" s="1350"/>
      <c r="H2428" s="1350"/>
      <c r="I2428" s="1350"/>
      <c r="J2428" s="1350"/>
      <c r="K2428" s="1350"/>
      <c r="L2428" s="1350"/>
      <c r="M2428" s="1350"/>
      <c r="N2428" s="1350"/>
      <c r="O2428" s="1350"/>
      <c r="P2428" s="1350"/>
      <c r="Q2428" s="1350"/>
      <c r="R2428" s="1350"/>
      <c r="S2428" s="1350"/>
      <c r="T2428" s="1350"/>
      <c r="U2428" s="1350"/>
      <c r="V2428" s="1350"/>
      <c r="W2428" s="1350"/>
      <c r="X2428" s="1350"/>
      <c r="Y2428" s="1350"/>
      <c r="Z2428" s="1350"/>
      <c r="AA2428" s="1350"/>
      <c r="AB2428" s="1350"/>
      <c r="AC2428" s="1350"/>
      <c r="AD2428" s="1350"/>
      <c r="AE2428" s="1350"/>
      <c r="AF2428" s="1350"/>
      <c r="AG2428" s="1350"/>
      <c r="AH2428" s="1350"/>
      <c r="AI2428" s="1350"/>
      <c r="AJ2428" s="1350"/>
      <c r="AK2428" s="1350"/>
      <c r="AL2428" s="1350"/>
      <c r="AM2428" s="1350"/>
      <c r="AN2428" s="1350"/>
      <c r="AO2428" s="1350"/>
      <c r="AP2428" s="1350"/>
      <c r="AQ2428" s="1350"/>
      <c r="AR2428" s="1350"/>
      <c r="AS2428" s="1350"/>
      <c r="AT2428" s="1350"/>
      <c r="AU2428" s="1350"/>
      <c r="AV2428" s="1350"/>
      <c r="AW2428" s="1350"/>
      <c r="AX2428" s="1350"/>
      <c r="AY2428" s="1350"/>
      <c r="AZ2428" s="1350"/>
      <c r="BA2428" s="1070"/>
      <c r="BB2428" s="1070"/>
      <c r="BC2428" s="1070"/>
      <c r="BD2428" s="1070"/>
      <c r="BE2428" s="1070"/>
      <c r="BF2428" s="1070"/>
      <c r="BG2428" s="1070"/>
      <c r="BH2428" s="1070"/>
      <c r="BI2428" s="1070"/>
      <c r="BJ2428" s="1070"/>
      <c r="BK2428" s="1070"/>
      <c r="BL2428" s="1070"/>
      <c r="BM2428" s="1070"/>
      <c r="BN2428" s="1070"/>
      <c r="BO2428" s="1070"/>
      <c r="BP2428" s="1070"/>
      <c r="BQ2428" s="1070"/>
      <c r="BR2428" s="1070"/>
      <c r="BS2428" s="1070"/>
      <c r="BT2428" s="1070"/>
      <c r="BU2428" s="1070"/>
      <c r="BV2428" s="1070"/>
      <c r="BW2428" s="1070"/>
      <c r="BX2428" s="1070"/>
      <c r="BY2428" s="1070"/>
      <c r="BZ2428" s="1070"/>
      <c r="CA2428" s="1070"/>
      <c r="CB2428" s="1070"/>
      <c r="CC2428" s="1070"/>
      <c r="CD2428" s="1070"/>
      <c r="CE2428" s="1070"/>
      <c r="CF2428" s="1070"/>
      <c r="CG2428" s="1070"/>
      <c r="CH2428" s="1070"/>
      <c r="CI2428" s="1070"/>
      <c r="CJ2428" s="1070"/>
      <c r="CK2428" s="1070"/>
      <c r="CL2428" s="1070"/>
      <c r="CM2428" s="1070"/>
      <c r="CN2428" s="1070"/>
      <c r="CO2428" s="1070"/>
      <c r="CP2428" s="1070"/>
      <c r="CQ2428" s="1070"/>
      <c r="CR2428" s="1070"/>
      <c r="CS2428" s="1070"/>
      <c r="CT2428" s="1070"/>
      <c r="CU2428" s="1070"/>
      <c r="CV2428" s="1070"/>
      <c r="CW2428" s="1070"/>
      <c r="CX2428" s="1070"/>
      <c r="CY2428" s="1070"/>
      <c r="CZ2428" s="1070"/>
      <c r="DA2428" s="1070"/>
      <c r="DB2428" s="1070"/>
      <c r="DC2428" s="1070"/>
      <c r="DD2428" s="1070"/>
      <c r="DE2428" s="1070"/>
      <c r="DF2428" s="1070"/>
      <c r="DG2428" s="1070"/>
      <c r="DH2428" s="1070"/>
      <c r="DI2428" s="1070"/>
      <c r="DJ2428" s="1070"/>
    </row>
    <row r="2429" spans="1:114" s="1136" customFormat="1" ht="15.75" x14ac:dyDescent="0.25">
      <c r="A2429" s="1420" t="s">
        <v>3393</v>
      </c>
      <c r="B2429" s="1424">
        <f>IF(B2428=0,1,1.2)</f>
        <v>1</v>
      </c>
      <c r="C2429" s="1432"/>
      <c r="D2429" s="1350"/>
      <c r="E2429" s="1350"/>
      <c r="F2429" s="1350"/>
      <c r="G2429" s="1350"/>
      <c r="H2429" s="1350"/>
      <c r="I2429" s="1350"/>
      <c r="J2429" s="1350"/>
      <c r="K2429" s="1350"/>
      <c r="L2429" s="1350"/>
      <c r="M2429" s="1350"/>
      <c r="N2429" s="1350"/>
      <c r="O2429" s="1350"/>
      <c r="P2429" s="1350"/>
      <c r="Q2429" s="1350"/>
      <c r="R2429" s="1350"/>
      <c r="S2429" s="1350"/>
      <c r="T2429" s="1350"/>
      <c r="U2429" s="1350"/>
      <c r="V2429" s="1350"/>
      <c r="W2429" s="1350"/>
      <c r="X2429" s="1350"/>
      <c r="Y2429" s="1350"/>
      <c r="Z2429" s="1350"/>
      <c r="AA2429" s="1350"/>
      <c r="AB2429" s="1350"/>
      <c r="AC2429" s="1350"/>
      <c r="AD2429" s="1350"/>
      <c r="AE2429" s="1350"/>
      <c r="AF2429" s="1350"/>
      <c r="AG2429" s="1350"/>
      <c r="AH2429" s="1350"/>
      <c r="AI2429" s="1350"/>
      <c r="AJ2429" s="1350"/>
      <c r="AK2429" s="1350"/>
      <c r="AL2429" s="1350"/>
      <c r="AM2429" s="1350"/>
      <c r="AN2429" s="1350"/>
      <c r="AO2429" s="1350"/>
      <c r="AP2429" s="1350"/>
      <c r="AQ2429" s="1350"/>
      <c r="AR2429" s="1350"/>
      <c r="AS2429" s="1350"/>
      <c r="AT2429" s="1350"/>
      <c r="AU2429" s="1350"/>
      <c r="AV2429" s="1350"/>
      <c r="AW2429" s="1350"/>
      <c r="AX2429" s="1350"/>
      <c r="AY2429" s="1350"/>
      <c r="AZ2429" s="1350"/>
      <c r="BA2429" s="1070"/>
      <c r="BB2429" s="1070"/>
      <c r="BC2429" s="1070"/>
      <c r="BD2429" s="1070"/>
      <c r="BE2429" s="1070"/>
      <c r="BF2429" s="1070"/>
      <c r="BG2429" s="1070"/>
      <c r="BH2429" s="1070"/>
      <c r="BI2429" s="1070"/>
      <c r="BJ2429" s="1070"/>
      <c r="BK2429" s="1070"/>
      <c r="BL2429" s="1070"/>
      <c r="BM2429" s="1070"/>
      <c r="BN2429" s="1070"/>
      <c r="BO2429" s="1070"/>
      <c r="BP2429" s="1070"/>
      <c r="BQ2429" s="1070"/>
      <c r="BR2429" s="1070"/>
      <c r="BS2429" s="1070"/>
      <c r="BT2429" s="1070"/>
      <c r="BU2429" s="1070"/>
      <c r="BV2429" s="1070"/>
      <c r="BW2429" s="1070"/>
      <c r="BX2429" s="1070"/>
      <c r="BY2429" s="1070"/>
      <c r="BZ2429" s="1070"/>
      <c r="CA2429" s="1070"/>
      <c r="CB2429" s="1070"/>
      <c r="CC2429" s="1070"/>
      <c r="CD2429" s="1070"/>
      <c r="CE2429" s="1070"/>
      <c r="CF2429" s="1070"/>
      <c r="CG2429" s="1070"/>
      <c r="CH2429" s="1070"/>
      <c r="CI2429" s="1070"/>
      <c r="CJ2429" s="1070"/>
      <c r="CK2429" s="1070"/>
      <c r="CL2429" s="1070"/>
      <c r="CM2429" s="1070"/>
      <c r="CN2429" s="1070"/>
      <c r="CO2429" s="1070"/>
      <c r="CP2429" s="1070"/>
      <c r="CQ2429" s="1070"/>
      <c r="CR2429" s="1070"/>
      <c r="CS2429" s="1070"/>
      <c r="CT2429" s="1070"/>
      <c r="CU2429" s="1070"/>
      <c r="CV2429" s="1070"/>
      <c r="CW2429" s="1070"/>
      <c r="CX2429" s="1070"/>
      <c r="CY2429" s="1070"/>
      <c r="CZ2429" s="1070"/>
      <c r="DA2429" s="1070"/>
      <c r="DB2429" s="1070"/>
      <c r="DC2429" s="1070"/>
      <c r="DD2429" s="1070"/>
      <c r="DE2429" s="1070"/>
      <c r="DF2429" s="1070"/>
      <c r="DG2429" s="1070"/>
      <c r="DH2429" s="1070"/>
      <c r="DI2429" s="1070"/>
      <c r="DJ2429" s="1070"/>
    </row>
    <row r="2430" spans="1:114" s="1136" customFormat="1" ht="47.25" x14ac:dyDescent="0.25">
      <c r="A2430" s="1435" t="s">
        <v>1892</v>
      </c>
      <c r="B2430" s="1442">
        <v>1</v>
      </c>
      <c r="C2430" s="1432"/>
      <c r="D2430" s="1432"/>
      <c r="E2430" s="1432"/>
      <c r="F2430" s="1432"/>
      <c r="G2430" s="1432"/>
      <c r="H2430" s="1350"/>
      <c r="I2430" s="1350"/>
      <c r="J2430" s="1350"/>
      <c r="K2430" s="1350"/>
      <c r="L2430" s="1350"/>
      <c r="M2430" s="1350"/>
      <c r="N2430" s="1350"/>
      <c r="O2430" s="1350"/>
      <c r="P2430" s="1350"/>
      <c r="Q2430" s="1350"/>
      <c r="R2430" s="1350"/>
      <c r="S2430" s="1350"/>
      <c r="T2430" s="1350"/>
      <c r="U2430" s="1350"/>
      <c r="V2430" s="1350"/>
      <c r="W2430" s="1350"/>
      <c r="X2430" s="1350"/>
      <c r="Y2430" s="1350"/>
      <c r="Z2430" s="1350"/>
      <c r="AA2430" s="1350"/>
      <c r="AB2430" s="1350"/>
      <c r="AC2430" s="1350"/>
      <c r="AD2430" s="1350"/>
      <c r="AE2430" s="1350"/>
      <c r="AF2430" s="1350"/>
      <c r="AG2430" s="1350"/>
      <c r="AH2430" s="1350"/>
      <c r="AI2430" s="1350"/>
      <c r="AJ2430" s="1350"/>
      <c r="AK2430" s="1350"/>
      <c r="AL2430" s="1350"/>
      <c r="AM2430" s="1350"/>
      <c r="AN2430" s="1350"/>
      <c r="AO2430" s="1350"/>
      <c r="AP2430" s="1350"/>
      <c r="AQ2430" s="1350"/>
      <c r="AR2430" s="1350"/>
      <c r="AS2430" s="1350"/>
      <c r="AT2430" s="1350"/>
      <c r="AU2430" s="1350"/>
      <c r="AV2430" s="1350"/>
      <c r="AW2430" s="1350"/>
      <c r="AX2430" s="1350"/>
      <c r="AY2430" s="1350"/>
      <c r="AZ2430" s="1350"/>
      <c r="BA2430" s="1070"/>
      <c r="BB2430" s="1070"/>
      <c r="BC2430" s="1070"/>
      <c r="BD2430" s="1070"/>
      <c r="BE2430" s="1070"/>
      <c r="BF2430" s="1070"/>
      <c r="BG2430" s="1070"/>
      <c r="BH2430" s="1070"/>
      <c r="BI2430" s="1070"/>
      <c r="BJ2430" s="1070"/>
      <c r="BK2430" s="1070"/>
      <c r="BL2430" s="1070"/>
      <c r="BM2430" s="1070"/>
      <c r="BN2430" s="1070"/>
      <c r="BO2430" s="1070"/>
      <c r="BP2430" s="1070"/>
      <c r="BQ2430" s="1070"/>
      <c r="BR2430" s="1070"/>
      <c r="BS2430" s="1070"/>
      <c r="BT2430" s="1070"/>
      <c r="BU2430" s="1070"/>
      <c r="BV2430" s="1070"/>
      <c r="BW2430" s="1070"/>
      <c r="BX2430" s="1070"/>
      <c r="BY2430" s="1070"/>
      <c r="BZ2430" s="1070"/>
      <c r="CA2430" s="1070"/>
      <c r="CB2430" s="1070"/>
      <c r="CC2430" s="1070"/>
      <c r="CD2430" s="1070"/>
      <c r="CE2430" s="1070"/>
      <c r="CF2430" s="1070"/>
      <c r="CG2430" s="1070"/>
      <c r="CH2430" s="1070"/>
      <c r="CI2430" s="1070"/>
      <c r="CJ2430" s="1070"/>
      <c r="CK2430" s="1070"/>
      <c r="CL2430" s="1070"/>
      <c r="CM2430" s="1070"/>
      <c r="CN2430" s="1070"/>
      <c r="CO2430" s="1070"/>
      <c r="CP2430" s="1070"/>
      <c r="CQ2430" s="1070"/>
      <c r="CR2430" s="1070"/>
      <c r="CS2430" s="1070"/>
      <c r="CT2430" s="1070"/>
      <c r="CU2430" s="1070"/>
      <c r="CV2430" s="1070"/>
      <c r="CW2430" s="1070"/>
      <c r="CX2430" s="1070"/>
      <c r="CY2430" s="1070"/>
      <c r="CZ2430" s="1070"/>
      <c r="DA2430" s="1070"/>
      <c r="DB2430" s="1070"/>
      <c r="DC2430" s="1070"/>
      <c r="DD2430" s="1070"/>
      <c r="DE2430" s="1070"/>
      <c r="DF2430" s="1070"/>
      <c r="DG2430" s="1070"/>
      <c r="DH2430" s="1070"/>
      <c r="DI2430" s="1070"/>
      <c r="DJ2430" s="1070"/>
    </row>
    <row r="2431" spans="1:114" s="1136" customFormat="1" ht="15.75" x14ac:dyDescent="0.25">
      <c r="A2431" s="1420" t="s">
        <v>1893</v>
      </c>
      <c r="B2431" s="1443">
        <f>IF(B2430=0,1.05,1)</f>
        <v>1</v>
      </c>
      <c r="C2431" s="1434"/>
      <c r="D2431" s="1434"/>
      <c r="E2431" s="1434"/>
      <c r="F2431" s="1434"/>
      <c r="G2431" s="1434"/>
      <c r="H2431" s="1350"/>
      <c r="I2431" s="1350"/>
      <c r="J2431" s="1350"/>
      <c r="K2431" s="1350"/>
      <c r="L2431" s="1350"/>
      <c r="M2431" s="1350"/>
      <c r="N2431" s="1350"/>
      <c r="O2431" s="1350"/>
      <c r="P2431" s="1350"/>
      <c r="Q2431" s="1350"/>
      <c r="R2431" s="1350"/>
      <c r="S2431" s="1350"/>
      <c r="T2431" s="1350"/>
      <c r="U2431" s="1350"/>
      <c r="V2431" s="1350"/>
      <c r="W2431" s="1350"/>
      <c r="X2431" s="1350"/>
      <c r="Y2431" s="1350"/>
      <c r="Z2431" s="1350"/>
      <c r="AA2431" s="1350"/>
      <c r="AB2431" s="1350"/>
      <c r="AC2431" s="1350"/>
      <c r="AD2431" s="1350"/>
      <c r="AE2431" s="1350"/>
      <c r="AF2431" s="1350"/>
      <c r="AG2431" s="1350"/>
      <c r="AH2431" s="1350"/>
      <c r="AI2431" s="1350"/>
      <c r="AJ2431" s="1350"/>
      <c r="AK2431" s="1350"/>
      <c r="AL2431" s="1350"/>
      <c r="AM2431" s="1350"/>
      <c r="AN2431" s="1350"/>
      <c r="AO2431" s="1350"/>
      <c r="AP2431" s="1350"/>
      <c r="AQ2431" s="1350"/>
      <c r="AR2431" s="1350"/>
      <c r="AS2431" s="1350"/>
      <c r="AT2431" s="1350"/>
      <c r="AU2431" s="1350"/>
      <c r="AV2431" s="1350"/>
      <c r="AW2431" s="1350"/>
      <c r="AX2431" s="1350"/>
      <c r="AY2431" s="1350"/>
      <c r="AZ2431" s="1350"/>
      <c r="BA2431" s="1070"/>
      <c r="BB2431" s="1070"/>
      <c r="BC2431" s="1070"/>
      <c r="BD2431" s="1070"/>
      <c r="BE2431" s="1070"/>
      <c r="BF2431" s="1070"/>
      <c r="BG2431" s="1070"/>
      <c r="BH2431" s="1070"/>
      <c r="BI2431" s="1070"/>
      <c r="BJ2431" s="1070"/>
      <c r="BK2431" s="1070"/>
      <c r="BL2431" s="1070"/>
      <c r="BM2431" s="1070"/>
      <c r="BN2431" s="1070"/>
      <c r="BO2431" s="1070"/>
      <c r="BP2431" s="1070"/>
      <c r="BQ2431" s="1070"/>
      <c r="BR2431" s="1070"/>
      <c r="BS2431" s="1070"/>
      <c r="BT2431" s="1070"/>
      <c r="BU2431" s="1070"/>
      <c r="BV2431" s="1070"/>
      <c r="BW2431" s="1070"/>
      <c r="BX2431" s="1070"/>
      <c r="BY2431" s="1070"/>
      <c r="BZ2431" s="1070"/>
      <c r="CA2431" s="1070"/>
      <c r="CB2431" s="1070"/>
      <c r="CC2431" s="1070"/>
      <c r="CD2431" s="1070"/>
      <c r="CE2431" s="1070"/>
      <c r="CF2431" s="1070"/>
      <c r="CG2431" s="1070"/>
      <c r="CH2431" s="1070"/>
      <c r="CI2431" s="1070"/>
      <c r="CJ2431" s="1070"/>
      <c r="CK2431" s="1070"/>
      <c r="CL2431" s="1070"/>
      <c r="CM2431" s="1070"/>
      <c r="CN2431" s="1070"/>
      <c r="CO2431" s="1070"/>
      <c r="CP2431" s="1070"/>
      <c r="CQ2431" s="1070"/>
      <c r="CR2431" s="1070"/>
      <c r="CS2431" s="1070"/>
      <c r="CT2431" s="1070"/>
      <c r="CU2431" s="1070"/>
      <c r="CV2431" s="1070"/>
      <c r="CW2431" s="1070"/>
      <c r="CX2431" s="1070"/>
      <c r="CY2431" s="1070"/>
      <c r="CZ2431" s="1070"/>
      <c r="DA2431" s="1070"/>
      <c r="DB2431" s="1070"/>
      <c r="DC2431" s="1070"/>
      <c r="DD2431" s="1070"/>
      <c r="DE2431" s="1070"/>
      <c r="DF2431" s="1070"/>
      <c r="DG2431" s="1070"/>
      <c r="DH2431" s="1070"/>
      <c r="DI2431" s="1070"/>
      <c r="DJ2431" s="1070"/>
    </row>
    <row r="2432" spans="1:114" s="1136" customFormat="1" ht="15.75" x14ac:dyDescent="0.25">
      <c r="A2432" s="1420" t="s">
        <v>1894</v>
      </c>
      <c r="B2432" s="1424" t="e">
        <f>B2424*B2426*B2427*B2429*B2431*B2383</f>
        <v>#VALUE!</v>
      </c>
      <c r="C2432" s="1432"/>
      <c r="D2432" s="1350"/>
      <c r="E2432" s="1350"/>
      <c r="F2432" s="1350"/>
      <c r="G2432" s="1350"/>
      <c r="H2432" s="1350"/>
      <c r="I2432" s="1350"/>
      <c r="J2432" s="1350"/>
      <c r="K2432" s="1350"/>
      <c r="L2432" s="1350"/>
      <c r="M2432" s="1350"/>
      <c r="N2432" s="1350"/>
      <c r="O2432" s="1350"/>
      <c r="P2432" s="1350"/>
      <c r="Q2432" s="1350"/>
      <c r="R2432" s="1350"/>
      <c r="S2432" s="1350"/>
      <c r="T2432" s="1350"/>
      <c r="U2432" s="1350"/>
      <c r="V2432" s="1350"/>
      <c r="W2432" s="1350"/>
      <c r="X2432" s="1350"/>
      <c r="Y2432" s="1350"/>
      <c r="Z2432" s="1350"/>
      <c r="AA2432" s="1350"/>
      <c r="AB2432" s="1350"/>
      <c r="AC2432" s="1350"/>
      <c r="AD2432" s="1350"/>
      <c r="AE2432" s="1350"/>
      <c r="AF2432" s="1350"/>
      <c r="AG2432" s="1350"/>
      <c r="AH2432" s="1350"/>
      <c r="AI2432" s="1350"/>
      <c r="AJ2432" s="1350"/>
      <c r="AK2432" s="1350"/>
      <c r="AL2432" s="1350"/>
      <c r="AM2432" s="1350"/>
      <c r="AN2432" s="1350"/>
      <c r="AO2432" s="1350"/>
      <c r="AP2432" s="1350"/>
      <c r="AQ2432" s="1350"/>
      <c r="AR2432" s="1350"/>
      <c r="AS2432" s="1350"/>
      <c r="AT2432" s="1350"/>
      <c r="AU2432" s="1350"/>
      <c r="AV2432" s="1350"/>
      <c r="AW2432" s="1350"/>
      <c r="AX2432" s="1350"/>
      <c r="AY2432" s="1350"/>
      <c r="AZ2432" s="1350"/>
      <c r="BA2432" s="1070"/>
      <c r="BB2432" s="1070"/>
      <c r="BC2432" s="1070"/>
      <c r="BD2432" s="1070"/>
      <c r="BE2432" s="1070"/>
      <c r="BF2432" s="1070"/>
      <c r="BG2432" s="1070"/>
      <c r="BH2432" s="1070"/>
      <c r="BI2432" s="1070"/>
      <c r="BJ2432" s="1070"/>
      <c r="BK2432" s="1070"/>
      <c r="BL2432" s="1070"/>
      <c r="BM2432" s="1070"/>
      <c r="BN2432" s="1070"/>
      <c r="BO2432" s="1070"/>
      <c r="BP2432" s="1070"/>
      <c r="BQ2432" s="1070"/>
      <c r="BR2432" s="1070"/>
      <c r="BS2432" s="1070"/>
      <c r="BT2432" s="1070"/>
      <c r="BU2432" s="1070"/>
      <c r="BV2432" s="1070"/>
      <c r="BW2432" s="1070"/>
      <c r="BX2432" s="1070"/>
      <c r="BY2432" s="1070"/>
      <c r="BZ2432" s="1070"/>
      <c r="CA2432" s="1070"/>
      <c r="CB2432" s="1070"/>
      <c r="CC2432" s="1070"/>
      <c r="CD2432" s="1070"/>
      <c r="CE2432" s="1070"/>
      <c r="CF2432" s="1070"/>
      <c r="CG2432" s="1070"/>
      <c r="CH2432" s="1070"/>
      <c r="CI2432" s="1070"/>
      <c r="CJ2432" s="1070"/>
      <c r="CK2432" s="1070"/>
      <c r="CL2432" s="1070"/>
      <c r="CM2432" s="1070"/>
      <c r="CN2432" s="1070"/>
      <c r="CO2432" s="1070"/>
      <c r="CP2432" s="1070"/>
      <c r="CQ2432" s="1070"/>
      <c r="CR2432" s="1070"/>
      <c r="CS2432" s="1070"/>
      <c r="CT2432" s="1070"/>
      <c r="CU2432" s="1070"/>
      <c r="CV2432" s="1070"/>
      <c r="CW2432" s="1070"/>
      <c r="CX2432" s="1070"/>
      <c r="CY2432" s="1070"/>
      <c r="CZ2432" s="1070"/>
      <c r="DA2432" s="1070"/>
      <c r="DB2432" s="1070"/>
      <c r="DC2432" s="1070"/>
      <c r="DD2432" s="1070"/>
      <c r="DE2432" s="1070"/>
      <c r="DF2432" s="1070"/>
      <c r="DG2432" s="1070"/>
      <c r="DH2432" s="1070"/>
      <c r="DI2432" s="1070"/>
      <c r="DJ2432" s="1070"/>
    </row>
    <row r="2433" spans="1:114" s="1136" customFormat="1" ht="15.75" x14ac:dyDescent="0.25">
      <c r="A2433" s="1420" t="s">
        <v>429</v>
      </c>
      <c r="B2433" s="1439" t="e">
        <f>B2423/B2432</f>
        <v>#VALUE!</v>
      </c>
      <c r="C2433" s="1429"/>
      <c r="D2433" s="1429"/>
      <c r="E2433" s="1429"/>
      <c r="F2433" s="1429"/>
      <c r="G2433" s="1429"/>
      <c r="H2433" s="1350"/>
      <c r="I2433" s="1350"/>
      <c r="J2433" s="1350"/>
      <c r="K2433" s="1350"/>
      <c r="L2433" s="1350"/>
      <c r="M2433" s="1350"/>
      <c r="N2433" s="1350"/>
      <c r="O2433" s="1350"/>
      <c r="P2433" s="1350"/>
      <c r="Q2433" s="1350"/>
      <c r="R2433" s="1350"/>
      <c r="S2433" s="1350"/>
      <c r="T2433" s="1350"/>
      <c r="U2433" s="1350"/>
      <c r="V2433" s="1350"/>
      <c r="W2433" s="1350"/>
      <c r="X2433" s="1350"/>
      <c r="Y2433" s="1350"/>
      <c r="Z2433" s="1350"/>
      <c r="AA2433" s="1350"/>
      <c r="AB2433" s="1350"/>
      <c r="AC2433" s="1350"/>
      <c r="AD2433" s="1350"/>
      <c r="AE2433" s="1350"/>
      <c r="AF2433" s="1350"/>
      <c r="AG2433" s="1350"/>
      <c r="AH2433" s="1350"/>
      <c r="AI2433" s="1350"/>
      <c r="AJ2433" s="1350"/>
      <c r="AK2433" s="1350"/>
      <c r="AL2433" s="1350"/>
      <c r="AM2433" s="1350"/>
      <c r="AN2433" s="1350"/>
      <c r="AO2433" s="1350"/>
      <c r="AP2433" s="1350"/>
      <c r="AQ2433" s="1350"/>
      <c r="AR2433" s="1350"/>
      <c r="AS2433" s="1350"/>
      <c r="AT2433" s="1350"/>
      <c r="AU2433" s="1350"/>
      <c r="AV2433" s="1350"/>
      <c r="AW2433" s="1350"/>
      <c r="AX2433" s="1350"/>
      <c r="AY2433" s="1350"/>
      <c r="AZ2433" s="1350"/>
      <c r="BA2433" s="1070"/>
      <c r="BB2433" s="1070"/>
      <c r="BC2433" s="1070"/>
      <c r="BD2433" s="1070"/>
      <c r="BE2433" s="1070"/>
      <c r="BF2433" s="1070"/>
      <c r="BG2433" s="1070"/>
      <c r="BH2433" s="1070"/>
      <c r="BI2433" s="1070"/>
      <c r="BJ2433" s="1070"/>
      <c r="BK2433" s="1070"/>
      <c r="BL2433" s="1070"/>
      <c r="BM2433" s="1070"/>
      <c r="BN2433" s="1070"/>
      <c r="BO2433" s="1070"/>
      <c r="BP2433" s="1070"/>
      <c r="BQ2433" s="1070"/>
      <c r="BR2433" s="1070"/>
      <c r="BS2433" s="1070"/>
      <c r="BT2433" s="1070"/>
      <c r="BU2433" s="1070"/>
      <c r="BV2433" s="1070"/>
      <c r="BW2433" s="1070"/>
      <c r="BX2433" s="1070"/>
      <c r="BY2433" s="1070"/>
      <c r="BZ2433" s="1070"/>
      <c r="CA2433" s="1070"/>
      <c r="CB2433" s="1070"/>
      <c r="CC2433" s="1070"/>
      <c r="CD2433" s="1070"/>
      <c r="CE2433" s="1070"/>
      <c r="CF2433" s="1070"/>
      <c r="CG2433" s="1070"/>
      <c r="CH2433" s="1070"/>
      <c r="CI2433" s="1070"/>
      <c r="CJ2433" s="1070"/>
      <c r="CK2433" s="1070"/>
      <c r="CL2433" s="1070"/>
      <c r="CM2433" s="1070"/>
      <c r="CN2433" s="1070"/>
      <c r="CO2433" s="1070"/>
      <c r="CP2433" s="1070"/>
      <c r="CQ2433" s="1070"/>
      <c r="CR2433" s="1070"/>
      <c r="CS2433" s="1070"/>
      <c r="CT2433" s="1070"/>
      <c r="CU2433" s="1070"/>
      <c r="CV2433" s="1070"/>
      <c r="CW2433" s="1070"/>
      <c r="CX2433" s="1070"/>
      <c r="CY2433" s="1070"/>
      <c r="CZ2433" s="1070"/>
      <c r="DA2433" s="1070"/>
      <c r="DB2433" s="1070"/>
      <c r="DC2433" s="1070"/>
      <c r="DD2433" s="1070"/>
      <c r="DE2433" s="1070"/>
      <c r="DF2433" s="1070"/>
      <c r="DG2433" s="1070"/>
      <c r="DH2433" s="1070"/>
      <c r="DI2433" s="1070"/>
      <c r="DJ2433" s="1070"/>
    </row>
    <row r="2434" spans="1:114" s="1136" customFormat="1" ht="15.75" x14ac:dyDescent="0.25">
      <c r="A2434" s="1420"/>
      <c r="B2434" s="1424"/>
      <c r="C2434" s="1429"/>
      <c r="D2434" s="1429"/>
      <c r="E2434" s="1429"/>
      <c r="F2434" s="1429"/>
      <c r="G2434" s="1429"/>
      <c r="H2434" s="1350"/>
      <c r="I2434" s="1350"/>
      <c r="J2434" s="1350"/>
      <c r="K2434" s="1350"/>
      <c r="L2434" s="1350"/>
      <c r="M2434" s="1350"/>
      <c r="N2434" s="1350"/>
      <c r="O2434" s="1350"/>
      <c r="P2434" s="1350"/>
      <c r="Q2434" s="1350"/>
      <c r="R2434" s="1350"/>
      <c r="S2434" s="1350"/>
      <c r="T2434" s="1350"/>
      <c r="U2434" s="1350"/>
      <c r="V2434" s="1350"/>
      <c r="W2434" s="1350"/>
      <c r="X2434" s="1350"/>
      <c r="Y2434" s="1350"/>
      <c r="Z2434" s="1350"/>
      <c r="AA2434" s="1350"/>
      <c r="AB2434" s="1350"/>
      <c r="AC2434" s="1350"/>
      <c r="AD2434" s="1350"/>
      <c r="AE2434" s="1350"/>
      <c r="AF2434" s="1350"/>
      <c r="AG2434" s="1350"/>
      <c r="AH2434" s="1350"/>
      <c r="AI2434" s="1350"/>
      <c r="AJ2434" s="1350"/>
      <c r="AK2434" s="1350"/>
      <c r="AL2434" s="1350"/>
      <c r="AM2434" s="1350"/>
      <c r="AN2434" s="1350"/>
      <c r="AO2434" s="1350"/>
      <c r="AP2434" s="1350"/>
      <c r="AQ2434" s="1350"/>
      <c r="AR2434" s="1350"/>
      <c r="AS2434" s="1350"/>
      <c r="AT2434" s="1350"/>
      <c r="AU2434" s="1350"/>
      <c r="AV2434" s="1350"/>
      <c r="AW2434" s="1350"/>
      <c r="AX2434" s="1350"/>
      <c r="AY2434" s="1350"/>
      <c r="AZ2434" s="1350"/>
      <c r="BA2434" s="1070"/>
      <c r="BB2434" s="1070"/>
      <c r="BC2434" s="1070"/>
      <c r="BD2434" s="1070"/>
      <c r="BE2434" s="1070"/>
      <c r="BF2434" s="1070"/>
      <c r="BG2434" s="1070"/>
      <c r="BH2434" s="1070"/>
      <c r="BI2434" s="1070"/>
      <c r="BJ2434" s="1070"/>
      <c r="BK2434" s="1070"/>
      <c r="BL2434" s="1070"/>
      <c r="BM2434" s="1070"/>
      <c r="BN2434" s="1070"/>
      <c r="BO2434" s="1070"/>
      <c r="BP2434" s="1070"/>
      <c r="BQ2434" s="1070"/>
      <c r="BR2434" s="1070"/>
      <c r="BS2434" s="1070"/>
      <c r="BT2434" s="1070"/>
      <c r="BU2434" s="1070"/>
      <c r="BV2434" s="1070"/>
      <c r="BW2434" s="1070"/>
      <c r="BX2434" s="1070"/>
      <c r="BY2434" s="1070"/>
      <c r="BZ2434" s="1070"/>
      <c r="CA2434" s="1070"/>
      <c r="CB2434" s="1070"/>
      <c r="CC2434" s="1070"/>
      <c r="CD2434" s="1070"/>
      <c r="CE2434" s="1070"/>
      <c r="CF2434" s="1070"/>
      <c r="CG2434" s="1070"/>
      <c r="CH2434" s="1070"/>
      <c r="CI2434" s="1070"/>
      <c r="CJ2434" s="1070"/>
      <c r="CK2434" s="1070"/>
      <c r="CL2434" s="1070"/>
      <c r="CM2434" s="1070"/>
      <c r="CN2434" s="1070"/>
      <c r="CO2434" s="1070"/>
      <c r="CP2434" s="1070"/>
      <c r="CQ2434" s="1070"/>
      <c r="CR2434" s="1070"/>
      <c r="CS2434" s="1070"/>
      <c r="CT2434" s="1070"/>
      <c r="CU2434" s="1070"/>
      <c r="CV2434" s="1070"/>
      <c r="CW2434" s="1070"/>
      <c r="CX2434" s="1070"/>
      <c r="CY2434" s="1070"/>
      <c r="CZ2434" s="1070"/>
      <c r="DA2434" s="1070"/>
      <c r="DB2434" s="1070"/>
      <c r="DC2434" s="1070"/>
      <c r="DD2434" s="1070"/>
      <c r="DE2434" s="1070"/>
      <c r="DF2434" s="1070"/>
      <c r="DG2434" s="1070"/>
      <c r="DH2434" s="1070"/>
      <c r="DI2434" s="1070"/>
      <c r="DJ2434" s="1070"/>
    </row>
    <row r="2435" spans="1:114" s="1136" customFormat="1" ht="63" x14ac:dyDescent="0.25">
      <c r="A2435" s="1438" t="s">
        <v>1895</v>
      </c>
      <c r="B2435" s="1439"/>
      <c r="C2435" s="1349"/>
      <c r="D2435" s="1349"/>
      <c r="E2435" s="1349"/>
      <c r="F2435" s="1349"/>
      <c r="G2435" s="1349"/>
      <c r="H2435" s="1350"/>
      <c r="I2435" s="1350"/>
      <c r="J2435" s="1350"/>
      <c r="K2435" s="1350"/>
      <c r="L2435" s="1350"/>
      <c r="M2435" s="1350"/>
      <c r="N2435" s="1350"/>
      <c r="O2435" s="1350"/>
      <c r="P2435" s="1350"/>
      <c r="Q2435" s="1350"/>
      <c r="R2435" s="1350"/>
      <c r="S2435" s="1350"/>
      <c r="T2435" s="1350"/>
      <c r="U2435" s="1350"/>
      <c r="V2435" s="1350"/>
      <c r="W2435" s="1350"/>
      <c r="X2435" s="1350"/>
      <c r="Y2435" s="1350"/>
      <c r="Z2435" s="1350"/>
      <c r="AA2435" s="1350"/>
      <c r="AB2435" s="1350"/>
      <c r="AC2435" s="1350"/>
      <c r="AD2435" s="1350"/>
      <c r="AE2435" s="1350"/>
      <c r="AF2435" s="1350"/>
      <c r="AG2435" s="1350"/>
      <c r="AH2435" s="1350"/>
      <c r="AI2435" s="1350"/>
      <c r="AJ2435" s="1350"/>
      <c r="AK2435" s="1350"/>
      <c r="AL2435" s="1350"/>
      <c r="AM2435" s="1350"/>
      <c r="AN2435" s="1350"/>
      <c r="AO2435" s="1350"/>
      <c r="AP2435" s="1350"/>
      <c r="AQ2435" s="1350"/>
      <c r="AR2435" s="1350"/>
      <c r="AS2435" s="1350"/>
      <c r="AT2435" s="1350"/>
      <c r="AU2435" s="1350"/>
      <c r="AV2435" s="1350"/>
      <c r="AW2435" s="1350"/>
      <c r="AX2435" s="1350"/>
      <c r="AY2435" s="1350"/>
      <c r="AZ2435" s="1350"/>
      <c r="BA2435" s="1070"/>
      <c r="BB2435" s="1070"/>
      <c r="BC2435" s="1070"/>
      <c r="BD2435" s="1070"/>
      <c r="BE2435" s="1070"/>
      <c r="BF2435" s="1070"/>
      <c r="BG2435" s="1070"/>
      <c r="BH2435" s="1070"/>
      <c r="BI2435" s="1070"/>
      <c r="BJ2435" s="1070"/>
      <c r="BK2435" s="1070"/>
      <c r="BL2435" s="1070"/>
      <c r="BM2435" s="1070"/>
      <c r="BN2435" s="1070"/>
      <c r="BO2435" s="1070"/>
      <c r="BP2435" s="1070"/>
      <c r="BQ2435" s="1070"/>
      <c r="BR2435" s="1070"/>
      <c r="BS2435" s="1070"/>
      <c r="BT2435" s="1070"/>
      <c r="BU2435" s="1070"/>
      <c r="BV2435" s="1070"/>
      <c r="BW2435" s="1070"/>
      <c r="BX2435" s="1070"/>
      <c r="BY2435" s="1070"/>
      <c r="BZ2435" s="1070"/>
      <c r="CA2435" s="1070"/>
      <c r="CB2435" s="1070"/>
      <c r="CC2435" s="1070"/>
      <c r="CD2435" s="1070"/>
      <c r="CE2435" s="1070"/>
      <c r="CF2435" s="1070"/>
      <c r="CG2435" s="1070"/>
      <c r="CH2435" s="1070"/>
      <c r="CI2435" s="1070"/>
      <c r="CJ2435" s="1070"/>
      <c r="CK2435" s="1070"/>
      <c r="CL2435" s="1070"/>
      <c r="CM2435" s="1070"/>
      <c r="CN2435" s="1070"/>
      <c r="CO2435" s="1070"/>
      <c r="CP2435" s="1070"/>
      <c r="CQ2435" s="1070"/>
      <c r="CR2435" s="1070"/>
      <c r="CS2435" s="1070"/>
      <c r="CT2435" s="1070"/>
      <c r="CU2435" s="1070"/>
      <c r="CV2435" s="1070"/>
      <c r="CW2435" s="1070"/>
      <c r="CX2435" s="1070"/>
      <c r="CY2435" s="1070"/>
      <c r="CZ2435" s="1070"/>
      <c r="DA2435" s="1070"/>
      <c r="DB2435" s="1070"/>
      <c r="DC2435" s="1070"/>
      <c r="DD2435" s="1070"/>
      <c r="DE2435" s="1070"/>
      <c r="DF2435" s="1070"/>
      <c r="DG2435" s="1070"/>
      <c r="DH2435" s="1070"/>
      <c r="DI2435" s="1070"/>
      <c r="DJ2435" s="1070"/>
    </row>
    <row r="2436" spans="1:114" s="1136" customFormat="1" ht="15.75" x14ac:dyDescent="0.25">
      <c r="A2436" s="1420" t="s">
        <v>424</v>
      </c>
      <c r="B2436" s="1439" t="e">
        <f>(B245^2*((B2386-B2390)/B261+1)/(B2386-B2390))*B2388</f>
        <v>#VALUE!</v>
      </c>
      <c r="C2436" s="1429"/>
      <c r="D2436" s="1429"/>
      <c r="E2436" s="1429"/>
      <c r="F2436" s="1429"/>
      <c r="G2436" s="1429"/>
      <c r="H2436" s="1350"/>
      <c r="I2436" s="1350"/>
      <c r="J2436" s="1350"/>
      <c r="K2436" s="1350"/>
      <c r="L2436" s="1350"/>
      <c r="M2436" s="1350"/>
      <c r="N2436" s="1350"/>
      <c r="O2436" s="1350"/>
      <c r="P2436" s="1350"/>
      <c r="Q2436" s="1350"/>
      <c r="R2436" s="1350"/>
      <c r="S2436" s="1350"/>
      <c r="T2436" s="1350"/>
      <c r="U2436" s="1350"/>
      <c r="V2436" s="1350"/>
      <c r="W2436" s="1350"/>
      <c r="X2436" s="1350"/>
      <c r="Y2436" s="1350"/>
      <c r="Z2436" s="1350"/>
      <c r="AA2436" s="1350"/>
      <c r="AB2436" s="1350"/>
      <c r="AC2436" s="1350"/>
      <c r="AD2436" s="1350"/>
      <c r="AE2436" s="1350"/>
      <c r="AF2436" s="1350"/>
      <c r="AG2436" s="1350"/>
      <c r="AH2436" s="1350"/>
      <c r="AI2436" s="1350"/>
      <c r="AJ2436" s="1350"/>
      <c r="AK2436" s="1350"/>
      <c r="AL2436" s="1350"/>
      <c r="AM2436" s="1350"/>
      <c r="AN2436" s="1350"/>
      <c r="AO2436" s="1350"/>
      <c r="AP2436" s="1350"/>
      <c r="AQ2436" s="1350"/>
      <c r="AR2436" s="1350"/>
      <c r="AS2436" s="1350"/>
      <c r="AT2436" s="1350"/>
      <c r="AU2436" s="1350"/>
      <c r="AV2436" s="1350"/>
      <c r="AW2436" s="1350"/>
      <c r="AX2436" s="1350"/>
      <c r="AY2436" s="1350"/>
      <c r="AZ2436" s="1350"/>
      <c r="BA2436" s="1070"/>
      <c r="BB2436" s="1070"/>
      <c r="BC2436" s="1070"/>
      <c r="BD2436" s="1070"/>
      <c r="BE2436" s="1070"/>
      <c r="BF2436" s="1070"/>
      <c r="BG2436" s="1070"/>
      <c r="BH2436" s="1070"/>
      <c r="BI2436" s="1070"/>
      <c r="BJ2436" s="1070"/>
      <c r="BK2436" s="1070"/>
      <c r="BL2436" s="1070"/>
      <c r="BM2436" s="1070"/>
      <c r="BN2436" s="1070"/>
      <c r="BO2436" s="1070"/>
      <c r="BP2436" s="1070"/>
      <c r="BQ2436" s="1070"/>
      <c r="BR2436" s="1070"/>
      <c r="BS2436" s="1070"/>
      <c r="BT2436" s="1070"/>
      <c r="BU2436" s="1070"/>
      <c r="BV2436" s="1070"/>
      <c r="BW2436" s="1070"/>
      <c r="BX2436" s="1070"/>
      <c r="BY2436" s="1070"/>
      <c r="BZ2436" s="1070"/>
      <c r="CA2436" s="1070"/>
      <c r="CB2436" s="1070"/>
      <c r="CC2436" s="1070"/>
      <c r="CD2436" s="1070"/>
      <c r="CE2436" s="1070"/>
      <c r="CF2436" s="1070"/>
      <c r="CG2436" s="1070"/>
      <c r="CH2436" s="1070"/>
      <c r="CI2436" s="1070"/>
      <c r="CJ2436" s="1070"/>
      <c r="CK2436" s="1070"/>
      <c r="CL2436" s="1070"/>
      <c r="CM2436" s="1070"/>
      <c r="CN2436" s="1070"/>
      <c r="CO2436" s="1070"/>
      <c r="CP2436" s="1070"/>
      <c r="CQ2436" s="1070"/>
      <c r="CR2436" s="1070"/>
      <c r="CS2436" s="1070"/>
      <c r="CT2436" s="1070"/>
      <c r="CU2436" s="1070"/>
      <c r="CV2436" s="1070"/>
      <c r="CW2436" s="1070"/>
      <c r="CX2436" s="1070"/>
      <c r="CY2436" s="1070"/>
      <c r="CZ2436" s="1070"/>
      <c r="DA2436" s="1070"/>
      <c r="DB2436" s="1070"/>
      <c r="DC2436" s="1070"/>
      <c r="DD2436" s="1070"/>
      <c r="DE2436" s="1070"/>
      <c r="DF2436" s="1070"/>
      <c r="DG2436" s="1070"/>
      <c r="DH2436" s="1070"/>
      <c r="DI2436" s="1070"/>
      <c r="DJ2436" s="1070"/>
    </row>
    <row r="2437" spans="1:114" s="1136" customFormat="1" ht="15.75" x14ac:dyDescent="0.25">
      <c r="A2437" s="1420" t="s">
        <v>1718</v>
      </c>
      <c r="B2437" s="1424">
        <f>INDEX($G$3631:$J$3643,B2439,B2441)</f>
        <v>53.8</v>
      </c>
      <c r="C2437" s="1349"/>
      <c r="D2437" s="1349"/>
      <c r="E2437" s="1349"/>
      <c r="F2437" s="1349"/>
      <c r="G2437" s="1349"/>
      <c r="H2437" s="1350"/>
      <c r="I2437" s="1350"/>
      <c r="J2437" s="1350"/>
      <c r="K2437" s="1350"/>
      <c r="L2437" s="1350"/>
      <c r="M2437" s="1350"/>
      <c r="N2437" s="1350"/>
      <c r="O2437" s="1350"/>
      <c r="P2437" s="1350"/>
      <c r="Q2437" s="1350"/>
      <c r="R2437" s="1350"/>
      <c r="S2437" s="1350"/>
      <c r="T2437" s="1350"/>
      <c r="U2437" s="1350"/>
      <c r="V2437" s="1350"/>
      <c r="W2437" s="1350"/>
      <c r="X2437" s="1350"/>
      <c r="Y2437" s="1350"/>
      <c r="Z2437" s="1350"/>
      <c r="AA2437" s="1350"/>
      <c r="AB2437" s="1350"/>
      <c r="AC2437" s="1350"/>
      <c r="AD2437" s="1350"/>
      <c r="AE2437" s="1350"/>
      <c r="AF2437" s="1350"/>
      <c r="AG2437" s="1350"/>
      <c r="AH2437" s="1350"/>
      <c r="AI2437" s="1350"/>
      <c r="AJ2437" s="1350"/>
      <c r="AK2437" s="1350"/>
      <c r="AL2437" s="1350"/>
      <c r="AM2437" s="1350"/>
      <c r="AN2437" s="1350"/>
      <c r="AO2437" s="1350"/>
      <c r="AP2437" s="1350"/>
      <c r="AQ2437" s="1350"/>
      <c r="AR2437" s="1350"/>
      <c r="AS2437" s="1350"/>
      <c r="AT2437" s="1350"/>
      <c r="AU2437" s="1350"/>
      <c r="AV2437" s="1350"/>
      <c r="AW2437" s="1350"/>
      <c r="AX2437" s="1350"/>
      <c r="AY2437" s="1350"/>
      <c r="AZ2437" s="1350"/>
      <c r="BA2437" s="1070"/>
      <c r="BB2437" s="1070"/>
      <c r="BC2437" s="1070"/>
      <c r="BD2437" s="1070"/>
      <c r="BE2437" s="1070"/>
      <c r="BF2437" s="1070"/>
      <c r="BG2437" s="1070"/>
      <c r="BH2437" s="1070"/>
      <c r="BI2437" s="1070"/>
      <c r="BJ2437" s="1070"/>
      <c r="BK2437" s="1070"/>
      <c r="BL2437" s="1070"/>
      <c r="BM2437" s="1070"/>
      <c r="BN2437" s="1070"/>
      <c r="BO2437" s="1070"/>
      <c r="BP2437" s="1070"/>
      <c r="BQ2437" s="1070"/>
      <c r="BR2437" s="1070"/>
      <c r="BS2437" s="1070"/>
      <c r="BT2437" s="1070"/>
      <c r="BU2437" s="1070"/>
      <c r="BV2437" s="1070"/>
      <c r="BW2437" s="1070"/>
      <c r="BX2437" s="1070"/>
      <c r="BY2437" s="1070"/>
      <c r="BZ2437" s="1070"/>
      <c r="CA2437" s="1070"/>
      <c r="CB2437" s="1070"/>
      <c r="CC2437" s="1070"/>
      <c r="CD2437" s="1070"/>
      <c r="CE2437" s="1070"/>
      <c r="CF2437" s="1070"/>
      <c r="CG2437" s="1070"/>
      <c r="CH2437" s="1070"/>
      <c r="CI2437" s="1070"/>
      <c r="CJ2437" s="1070"/>
      <c r="CK2437" s="1070"/>
      <c r="CL2437" s="1070"/>
      <c r="CM2437" s="1070"/>
      <c r="CN2437" s="1070"/>
      <c r="CO2437" s="1070"/>
      <c r="CP2437" s="1070"/>
      <c r="CQ2437" s="1070"/>
      <c r="CR2437" s="1070"/>
      <c r="CS2437" s="1070"/>
      <c r="CT2437" s="1070"/>
      <c r="CU2437" s="1070"/>
      <c r="CV2437" s="1070"/>
      <c r="CW2437" s="1070"/>
      <c r="CX2437" s="1070"/>
      <c r="CY2437" s="1070"/>
      <c r="CZ2437" s="1070"/>
      <c r="DA2437" s="1070"/>
      <c r="DB2437" s="1070"/>
      <c r="DC2437" s="1070"/>
      <c r="DD2437" s="1070"/>
      <c r="DE2437" s="1070"/>
      <c r="DF2437" s="1070"/>
      <c r="DG2437" s="1070"/>
      <c r="DH2437" s="1070"/>
      <c r="DI2437" s="1070"/>
      <c r="DJ2437" s="1070"/>
    </row>
    <row r="2438" spans="1:114" s="1136" customFormat="1" ht="15.75" x14ac:dyDescent="0.25">
      <c r="A2438" s="1435" t="s">
        <v>1719</v>
      </c>
      <c r="B2438" s="1439"/>
      <c r="C2438" s="1437"/>
      <c r="D2438" s="1437"/>
      <c r="E2438" s="1437"/>
      <c r="F2438" s="1437"/>
      <c r="G2438" s="1437"/>
      <c r="H2438" s="1350"/>
      <c r="I2438" s="1350"/>
      <c r="J2438" s="1350"/>
      <c r="K2438" s="1350"/>
      <c r="L2438" s="1350"/>
      <c r="M2438" s="1350"/>
      <c r="N2438" s="1350"/>
      <c r="O2438" s="1350"/>
      <c r="P2438" s="1350"/>
      <c r="Q2438" s="1350"/>
      <c r="R2438" s="1350"/>
      <c r="S2438" s="1350"/>
      <c r="T2438" s="1350"/>
      <c r="U2438" s="1350"/>
      <c r="V2438" s="1350"/>
      <c r="W2438" s="1350"/>
      <c r="X2438" s="1350"/>
      <c r="Y2438" s="1350"/>
      <c r="Z2438" s="1350"/>
      <c r="AA2438" s="1350"/>
      <c r="AB2438" s="1350"/>
      <c r="AC2438" s="1350"/>
      <c r="AD2438" s="1350"/>
      <c r="AE2438" s="1350"/>
      <c r="AF2438" s="1350"/>
      <c r="AG2438" s="1350"/>
      <c r="AH2438" s="1350"/>
      <c r="AI2438" s="1350"/>
      <c r="AJ2438" s="1350"/>
      <c r="AK2438" s="1350"/>
      <c r="AL2438" s="1350"/>
      <c r="AM2438" s="1350"/>
      <c r="AN2438" s="1350"/>
      <c r="AO2438" s="1350"/>
      <c r="AP2438" s="1350"/>
      <c r="AQ2438" s="1350"/>
      <c r="AR2438" s="1350"/>
      <c r="AS2438" s="1350"/>
      <c r="AT2438" s="1350"/>
      <c r="AU2438" s="1350"/>
      <c r="AV2438" s="1350"/>
      <c r="AW2438" s="1350"/>
      <c r="AX2438" s="1350"/>
      <c r="AY2438" s="1350"/>
      <c r="AZ2438" s="1350"/>
      <c r="BA2438" s="1070"/>
      <c r="BB2438" s="1070"/>
      <c r="BC2438" s="1070"/>
      <c r="BD2438" s="1070"/>
      <c r="BE2438" s="1070"/>
      <c r="BF2438" s="1070"/>
      <c r="BG2438" s="1070"/>
      <c r="BH2438" s="1070"/>
      <c r="BI2438" s="1070"/>
      <c r="BJ2438" s="1070"/>
      <c r="BK2438" s="1070"/>
      <c r="BL2438" s="1070"/>
      <c r="BM2438" s="1070"/>
      <c r="BN2438" s="1070"/>
      <c r="BO2438" s="1070"/>
      <c r="BP2438" s="1070"/>
      <c r="BQ2438" s="1070"/>
      <c r="BR2438" s="1070"/>
      <c r="BS2438" s="1070"/>
      <c r="BT2438" s="1070"/>
      <c r="BU2438" s="1070"/>
      <c r="BV2438" s="1070"/>
      <c r="BW2438" s="1070"/>
      <c r="BX2438" s="1070"/>
      <c r="BY2438" s="1070"/>
      <c r="BZ2438" s="1070"/>
      <c r="CA2438" s="1070"/>
      <c r="CB2438" s="1070"/>
      <c r="CC2438" s="1070"/>
      <c r="CD2438" s="1070"/>
      <c r="CE2438" s="1070"/>
      <c r="CF2438" s="1070"/>
      <c r="CG2438" s="1070"/>
      <c r="CH2438" s="1070"/>
      <c r="CI2438" s="1070"/>
      <c r="CJ2438" s="1070"/>
      <c r="CK2438" s="1070"/>
      <c r="CL2438" s="1070"/>
      <c r="CM2438" s="1070"/>
      <c r="CN2438" s="1070"/>
      <c r="CO2438" s="1070"/>
      <c r="CP2438" s="1070"/>
      <c r="CQ2438" s="1070"/>
      <c r="CR2438" s="1070"/>
      <c r="CS2438" s="1070"/>
      <c r="CT2438" s="1070"/>
      <c r="CU2438" s="1070"/>
      <c r="CV2438" s="1070"/>
      <c r="CW2438" s="1070"/>
      <c r="CX2438" s="1070"/>
      <c r="CY2438" s="1070"/>
      <c r="CZ2438" s="1070"/>
      <c r="DA2438" s="1070"/>
      <c r="DB2438" s="1070"/>
      <c r="DC2438" s="1070"/>
      <c r="DD2438" s="1070"/>
      <c r="DE2438" s="1070"/>
      <c r="DF2438" s="1070"/>
      <c r="DG2438" s="1070"/>
      <c r="DH2438" s="1070"/>
      <c r="DI2438" s="1070"/>
      <c r="DJ2438" s="1070"/>
    </row>
    <row r="2439" spans="1:114" s="1136" customFormat="1" ht="15.75" x14ac:dyDescent="0.25">
      <c r="A2439" s="1420" t="s">
        <v>1720</v>
      </c>
      <c r="B2439" s="1441">
        <f>IF(B240&lt;0.51,1,IF(B240&lt;0.61,2,IF(B240&lt;0.71,3,IF(B240&lt;0.81,4,IF(B240&lt;0.91,5,IF(B240&lt;1.01,6,IF(B240&lt;1.11,7,B2440)))))))</f>
        <v>13</v>
      </c>
      <c r="C2439" s="1429"/>
      <c r="D2439" s="1429"/>
      <c r="E2439" s="1429"/>
      <c r="F2439" s="1429"/>
      <c r="G2439" s="1429"/>
      <c r="H2439" s="1350"/>
      <c r="I2439" s="1350"/>
      <c r="J2439" s="1350"/>
      <c r="K2439" s="1350"/>
      <c r="L2439" s="1350"/>
      <c r="M2439" s="1350"/>
      <c r="N2439" s="1350"/>
      <c r="O2439" s="1350"/>
      <c r="P2439" s="1350"/>
      <c r="Q2439" s="1350"/>
      <c r="R2439" s="1350"/>
      <c r="S2439" s="1350"/>
      <c r="T2439" s="1350"/>
      <c r="U2439" s="1350"/>
      <c r="V2439" s="1350"/>
      <c r="W2439" s="1350"/>
      <c r="X2439" s="1350"/>
      <c r="Y2439" s="1350"/>
      <c r="Z2439" s="1350"/>
      <c r="AA2439" s="1350"/>
      <c r="AB2439" s="1350"/>
      <c r="AC2439" s="1350"/>
      <c r="AD2439" s="1350"/>
      <c r="AE2439" s="1350"/>
      <c r="AF2439" s="1350"/>
      <c r="AG2439" s="1350"/>
      <c r="AH2439" s="1350"/>
      <c r="AI2439" s="1350"/>
      <c r="AJ2439" s="1350"/>
      <c r="AK2439" s="1350"/>
      <c r="AL2439" s="1350"/>
      <c r="AM2439" s="1350"/>
      <c r="AN2439" s="1350"/>
      <c r="AO2439" s="1350"/>
      <c r="AP2439" s="1350"/>
      <c r="AQ2439" s="1350"/>
      <c r="AR2439" s="1350"/>
      <c r="AS2439" s="1350"/>
      <c r="AT2439" s="1350"/>
      <c r="AU2439" s="1350"/>
      <c r="AV2439" s="1350"/>
      <c r="AW2439" s="1350"/>
      <c r="AX2439" s="1350"/>
      <c r="AY2439" s="1350"/>
      <c r="AZ2439" s="1350"/>
      <c r="BA2439" s="1070"/>
      <c r="BB2439" s="1070"/>
      <c r="BC2439" s="1070"/>
      <c r="BD2439" s="1070"/>
      <c r="BE2439" s="1070"/>
      <c r="BF2439" s="1070"/>
      <c r="BG2439" s="1070"/>
      <c r="BH2439" s="1070"/>
      <c r="BI2439" s="1070"/>
      <c r="BJ2439" s="1070"/>
      <c r="BK2439" s="1070"/>
      <c r="BL2439" s="1070"/>
      <c r="BM2439" s="1070"/>
      <c r="BN2439" s="1070"/>
      <c r="BO2439" s="1070"/>
      <c r="BP2439" s="1070"/>
      <c r="BQ2439" s="1070"/>
      <c r="BR2439" s="1070"/>
      <c r="BS2439" s="1070"/>
      <c r="BT2439" s="1070"/>
      <c r="BU2439" s="1070"/>
      <c r="BV2439" s="1070"/>
      <c r="BW2439" s="1070"/>
      <c r="BX2439" s="1070"/>
      <c r="BY2439" s="1070"/>
      <c r="BZ2439" s="1070"/>
      <c r="CA2439" s="1070"/>
      <c r="CB2439" s="1070"/>
      <c r="CC2439" s="1070"/>
      <c r="CD2439" s="1070"/>
      <c r="CE2439" s="1070"/>
      <c r="CF2439" s="1070"/>
      <c r="CG2439" s="1070"/>
      <c r="CH2439" s="1070"/>
      <c r="CI2439" s="1070"/>
      <c r="CJ2439" s="1070"/>
      <c r="CK2439" s="1070"/>
      <c r="CL2439" s="1070"/>
      <c r="CM2439" s="1070"/>
      <c r="CN2439" s="1070"/>
      <c r="CO2439" s="1070"/>
      <c r="CP2439" s="1070"/>
      <c r="CQ2439" s="1070"/>
      <c r="CR2439" s="1070"/>
      <c r="CS2439" s="1070"/>
      <c r="CT2439" s="1070"/>
      <c r="CU2439" s="1070"/>
      <c r="CV2439" s="1070"/>
      <c r="CW2439" s="1070"/>
      <c r="CX2439" s="1070"/>
      <c r="CY2439" s="1070"/>
      <c r="CZ2439" s="1070"/>
      <c r="DA2439" s="1070"/>
      <c r="DB2439" s="1070"/>
      <c r="DC2439" s="1070"/>
      <c r="DD2439" s="1070"/>
      <c r="DE2439" s="1070"/>
      <c r="DF2439" s="1070"/>
      <c r="DG2439" s="1070"/>
      <c r="DH2439" s="1070"/>
      <c r="DI2439" s="1070"/>
      <c r="DJ2439" s="1070"/>
    </row>
    <row r="2440" spans="1:114" s="1136" customFormat="1" ht="31.5" x14ac:dyDescent="0.25">
      <c r="A2440" s="1435" t="s">
        <v>1721</v>
      </c>
      <c r="B2440" s="1441">
        <f>IF(B240&lt;1.26,8,IF(B240&lt;1.41,9,IF(B240&lt;1.61,10,IF(B240&lt;1.81,11,IF(B240&lt;2.01,12,13)))))</f>
        <v>13</v>
      </c>
      <c r="C2440" s="1432"/>
      <c r="D2440" s="1432"/>
      <c r="E2440" s="1432"/>
      <c r="F2440" s="1432"/>
      <c r="G2440" s="1432"/>
      <c r="H2440" s="1350"/>
      <c r="I2440" s="1350"/>
      <c r="J2440" s="1350"/>
      <c r="K2440" s="1350"/>
      <c r="L2440" s="1350"/>
      <c r="M2440" s="1350"/>
      <c r="N2440" s="1350"/>
      <c r="O2440" s="1350"/>
      <c r="P2440" s="1350"/>
      <c r="Q2440" s="1350"/>
      <c r="R2440" s="1350"/>
      <c r="S2440" s="1350"/>
      <c r="T2440" s="1350"/>
      <c r="U2440" s="1350"/>
      <c r="V2440" s="1350"/>
      <c r="W2440" s="1350"/>
      <c r="X2440" s="1350"/>
      <c r="Y2440" s="1350"/>
      <c r="Z2440" s="1350"/>
      <c r="AA2440" s="1350"/>
      <c r="AB2440" s="1350"/>
      <c r="AC2440" s="1350"/>
      <c r="AD2440" s="1350"/>
      <c r="AE2440" s="1350"/>
      <c r="AF2440" s="1350"/>
      <c r="AG2440" s="1350"/>
      <c r="AH2440" s="1350"/>
      <c r="AI2440" s="1350"/>
      <c r="AJ2440" s="1350"/>
      <c r="AK2440" s="1350"/>
      <c r="AL2440" s="1350"/>
      <c r="AM2440" s="1350"/>
      <c r="AN2440" s="1350"/>
      <c r="AO2440" s="1350"/>
      <c r="AP2440" s="1350"/>
      <c r="AQ2440" s="1350"/>
      <c r="AR2440" s="1350"/>
      <c r="AS2440" s="1350"/>
      <c r="AT2440" s="1350"/>
      <c r="AU2440" s="1350"/>
      <c r="AV2440" s="1350"/>
      <c r="AW2440" s="1350"/>
      <c r="AX2440" s="1350"/>
      <c r="AY2440" s="1350"/>
      <c r="AZ2440" s="1350"/>
      <c r="BA2440" s="1070"/>
      <c r="BB2440" s="1070"/>
      <c r="BC2440" s="1070"/>
      <c r="BD2440" s="1070"/>
      <c r="BE2440" s="1070"/>
      <c r="BF2440" s="1070"/>
      <c r="BG2440" s="1070"/>
      <c r="BH2440" s="1070"/>
      <c r="BI2440" s="1070"/>
      <c r="BJ2440" s="1070"/>
      <c r="BK2440" s="1070"/>
      <c r="BL2440" s="1070"/>
      <c r="BM2440" s="1070"/>
      <c r="BN2440" s="1070"/>
      <c r="BO2440" s="1070"/>
      <c r="BP2440" s="1070"/>
      <c r="BQ2440" s="1070"/>
      <c r="BR2440" s="1070"/>
      <c r="BS2440" s="1070"/>
      <c r="BT2440" s="1070"/>
      <c r="BU2440" s="1070"/>
      <c r="BV2440" s="1070"/>
      <c r="BW2440" s="1070"/>
      <c r="BX2440" s="1070"/>
      <c r="BY2440" s="1070"/>
      <c r="BZ2440" s="1070"/>
      <c r="CA2440" s="1070"/>
      <c r="CB2440" s="1070"/>
      <c r="CC2440" s="1070"/>
      <c r="CD2440" s="1070"/>
      <c r="CE2440" s="1070"/>
      <c r="CF2440" s="1070"/>
      <c r="CG2440" s="1070"/>
      <c r="CH2440" s="1070"/>
      <c r="CI2440" s="1070"/>
      <c r="CJ2440" s="1070"/>
      <c r="CK2440" s="1070"/>
      <c r="CL2440" s="1070"/>
      <c r="CM2440" s="1070"/>
      <c r="CN2440" s="1070"/>
      <c r="CO2440" s="1070"/>
      <c r="CP2440" s="1070"/>
      <c r="CQ2440" s="1070"/>
      <c r="CR2440" s="1070"/>
      <c r="CS2440" s="1070"/>
      <c r="CT2440" s="1070"/>
      <c r="CU2440" s="1070"/>
      <c r="CV2440" s="1070"/>
      <c r="CW2440" s="1070"/>
      <c r="CX2440" s="1070"/>
      <c r="CY2440" s="1070"/>
      <c r="CZ2440" s="1070"/>
      <c r="DA2440" s="1070"/>
      <c r="DB2440" s="1070"/>
      <c r="DC2440" s="1070"/>
      <c r="DD2440" s="1070"/>
      <c r="DE2440" s="1070"/>
      <c r="DF2440" s="1070"/>
      <c r="DG2440" s="1070"/>
      <c r="DH2440" s="1070"/>
      <c r="DI2440" s="1070"/>
      <c r="DJ2440" s="1070"/>
    </row>
    <row r="2441" spans="1:114" s="1136" customFormat="1" ht="15.75" x14ac:dyDescent="0.25">
      <c r="A2441" s="1420" t="s">
        <v>1722</v>
      </c>
      <c r="B2441" s="1441">
        <f>IF(B251&lt;21,1,IF(B251&lt;36,2,IF(B251&lt;56,3,4)))</f>
        <v>1</v>
      </c>
      <c r="C2441" s="1429"/>
      <c r="D2441" s="1350"/>
      <c r="E2441" s="1350"/>
      <c r="F2441" s="1350"/>
      <c r="G2441" s="1350"/>
      <c r="H2441" s="1350"/>
      <c r="I2441" s="1350"/>
      <c r="J2441" s="1350"/>
      <c r="K2441" s="1350"/>
      <c r="L2441" s="1350"/>
      <c r="M2441" s="1350"/>
      <c r="N2441" s="1350"/>
      <c r="O2441" s="1350"/>
      <c r="P2441" s="1350"/>
      <c r="Q2441" s="1350"/>
      <c r="R2441" s="1350"/>
      <c r="S2441" s="1350"/>
      <c r="T2441" s="1350"/>
      <c r="U2441" s="1350"/>
      <c r="V2441" s="1350"/>
      <c r="W2441" s="1350"/>
      <c r="X2441" s="1350"/>
      <c r="Y2441" s="1350"/>
      <c r="Z2441" s="1350"/>
      <c r="AA2441" s="1350"/>
      <c r="AB2441" s="1350"/>
      <c r="AC2441" s="1350"/>
      <c r="AD2441" s="1350"/>
      <c r="AE2441" s="1350"/>
      <c r="AF2441" s="1350"/>
      <c r="AG2441" s="1350"/>
      <c r="AH2441" s="1350"/>
      <c r="AI2441" s="1350"/>
      <c r="AJ2441" s="1350"/>
      <c r="AK2441" s="1350"/>
      <c r="AL2441" s="1350"/>
      <c r="AM2441" s="1350"/>
      <c r="AN2441" s="1350"/>
      <c r="AO2441" s="1350"/>
      <c r="AP2441" s="1350"/>
      <c r="AQ2441" s="1350"/>
      <c r="AR2441" s="1350"/>
      <c r="AS2441" s="1350"/>
      <c r="AT2441" s="1350"/>
      <c r="AU2441" s="1350"/>
      <c r="AV2441" s="1350"/>
      <c r="AW2441" s="1350"/>
      <c r="AX2441" s="1350"/>
      <c r="AY2441" s="1350"/>
      <c r="AZ2441" s="1350"/>
      <c r="BA2441" s="1070"/>
      <c r="BB2441" s="1070"/>
      <c r="BC2441" s="1070"/>
      <c r="BD2441" s="1070"/>
      <c r="BE2441" s="1070"/>
      <c r="BF2441" s="1070"/>
      <c r="BG2441" s="1070"/>
      <c r="BH2441" s="1070"/>
      <c r="BI2441" s="1070"/>
      <c r="BJ2441" s="1070"/>
      <c r="BK2441" s="1070"/>
      <c r="BL2441" s="1070"/>
      <c r="BM2441" s="1070"/>
      <c r="BN2441" s="1070"/>
      <c r="BO2441" s="1070"/>
      <c r="BP2441" s="1070"/>
      <c r="BQ2441" s="1070"/>
      <c r="BR2441" s="1070"/>
      <c r="BS2441" s="1070"/>
      <c r="BT2441" s="1070"/>
      <c r="BU2441" s="1070"/>
      <c r="BV2441" s="1070"/>
      <c r="BW2441" s="1070"/>
      <c r="BX2441" s="1070"/>
      <c r="BY2441" s="1070"/>
      <c r="BZ2441" s="1070"/>
      <c r="CA2441" s="1070"/>
      <c r="CB2441" s="1070"/>
      <c r="CC2441" s="1070"/>
      <c r="CD2441" s="1070"/>
      <c r="CE2441" s="1070"/>
      <c r="CF2441" s="1070"/>
      <c r="CG2441" s="1070"/>
      <c r="CH2441" s="1070"/>
      <c r="CI2441" s="1070"/>
      <c r="CJ2441" s="1070"/>
      <c r="CK2441" s="1070"/>
      <c r="CL2441" s="1070"/>
      <c r="CM2441" s="1070"/>
      <c r="CN2441" s="1070"/>
      <c r="CO2441" s="1070"/>
      <c r="CP2441" s="1070"/>
      <c r="CQ2441" s="1070"/>
      <c r="CR2441" s="1070"/>
      <c r="CS2441" s="1070"/>
      <c r="CT2441" s="1070"/>
      <c r="CU2441" s="1070"/>
      <c r="CV2441" s="1070"/>
      <c r="CW2441" s="1070"/>
      <c r="CX2441" s="1070"/>
      <c r="CY2441" s="1070"/>
      <c r="CZ2441" s="1070"/>
      <c r="DA2441" s="1070"/>
      <c r="DB2441" s="1070"/>
      <c r="DC2441" s="1070"/>
      <c r="DD2441" s="1070"/>
      <c r="DE2441" s="1070"/>
      <c r="DF2441" s="1070"/>
      <c r="DG2441" s="1070"/>
      <c r="DH2441" s="1070"/>
      <c r="DI2441" s="1070"/>
      <c r="DJ2441" s="1070"/>
    </row>
    <row r="2442" spans="1:114" s="1136" customFormat="1" ht="15.75" x14ac:dyDescent="0.25">
      <c r="A2442" s="1420" t="s">
        <v>1723</v>
      </c>
      <c r="B2442" s="1439"/>
      <c r="C2442" s="1432"/>
      <c r="D2442" s="1350"/>
      <c r="E2442" s="1350"/>
      <c r="F2442" s="1350"/>
      <c r="G2442" s="1350"/>
      <c r="H2442" s="1350"/>
      <c r="I2442" s="1350"/>
      <c r="J2442" s="1350"/>
      <c r="K2442" s="1350"/>
      <c r="L2442" s="1350"/>
      <c r="M2442" s="1350"/>
      <c r="N2442" s="1350"/>
      <c r="O2442" s="1350"/>
      <c r="P2442" s="1350"/>
      <c r="Q2442" s="1350"/>
      <c r="R2442" s="1350"/>
      <c r="S2442" s="1350"/>
      <c r="T2442" s="1350"/>
      <c r="U2442" s="1350"/>
      <c r="V2442" s="1350"/>
      <c r="W2442" s="1350"/>
      <c r="X2442" s="1350"/>
      <c r="Y2442" s="1350"/>
      <c r="Z2442" s="1350"/>
      <c r="AA2442" s="1350"/>
      <c r="AB2442" s="1350"/>
      <c r="AC2442" s="1350"/>
      <c r="AD2442" s="1350"/>
      <c r="AE2442" s="1350"/>
      <c r="AF2442" s="1350"/>
      <c r="AG2442" s="1350"/>
      <c r="AH2442" s="1350"/>
      <c r="AI2442" s="1350"/>
      <c r="AJ2442" s="1350"/>
      <c r="AK2442" s="1350"/>
      <c r="AL2442" s="1350"/>
      <c r="AM2442" s="1350"/>
      <c r="AN2442" s="1350"/>
      <c r="AO2442" s="1350"/>
      <c r="AP2442" s="1350"/>
      <c r="AQ2442" s="1350"/>
      <c r="AR2442" s="1350"/>
      <c r="AS2442" s="1350"/>
      <c r="AT2442" s="1350"/>
      <c r="AU2442" s="1350"/>
      <c r="AV2442" s="1350"/>
      <c r="AW2442" s="1350"/>
      <c r="AX2442" s="1350"/>
      <c r="AY2442" s="1350"/>
      <c r="AZ2442" s="1350"/>
      <c r="BA2442" s="1070"/>
      <c r="BB2442" s="1070"/>
      <c r="BC2442" s="1070"/>
      <c r="BD2442" s="1070"/>
      <c r="BE2442" s="1070"/>
      <c r="BF2442" s="1070"/>
      <c r="BG2442" s="1070"/>
      <c r="BH2442" s="1070"/>
      <c r="BI2442" s="1070"/>
      <c r="BJ2442" s="1070"/>
      <c r="BK2442" s="1070"/>
      <c r="BL2442" s="1070"/>
      <c r="BM2442" s="1070"/>
      <c r="BN2442" s="1070"/>
      <c r="BO2442" s="1070"/>
      <c r="BP2442" s="1070"/>
      <c r="BQ2442" s="1070"/>
      <c r="BR2442" s="1070"/>
      <c r="BS2442" s="1070"/>
      <c r="BT2442" s="1070"/>
      <c r="BU2442" s="1070"/>
      <c r="BV2442" s="1070"/>
      <c r="BW2442" s="1070"/>
      <c r="BX2442" s="1070"/>
      <c r="BY2442" s="1070"/>
      <c r="BZ2442" s="1070"/>
      <c r="CA2442" s="1070"/>
      <c r="CB2442" s="1070"/>
      <c r="CC2442" s="1070"/>
      <c r="CD2442" s="1070"/>
      <c r="CE2442" s="1070"/>
      <c r="CF2442" s="1070"/>
      <c r="CG2442" s="1070"/>
      <c r="CH2442" s="1070"/>
      <c r="CI2442" s="1070"/>
      <c r="CJ2442" s="1070"/>
      <c r="CK2442" s="1070"/>
      <c r="CL2442" s="1070"/>
      <c r="CM2442" s="1070"/>
      <c r="CN2442" s="1070"/>
      <c r="CO2442" s="1070"/>
      <c r="CP2442" s="1070"/>
      <c r="CQ2442" s="1070"/>
      <c r="CR2442" s="1070"/>
      <c r="CS2442" s="1070"/>
      <c r="CT2442" s="1070"/>
      <c r="CU2442" s="1070"/>
      <c r="CV2442" s="1070"/>
      <c r="CW2442" s="1070"/>
      <c r="CX2442" s="1070"/>
      <c r="CY2442" s="1070"/>
      <c r="CZ2442" s="1070"/>
      <c r="DA2442" s="1070"/>
      <c r="DB2442" s="1070"/>
      <c r="DC2442" s="1070"/>
      <c r="DD2442" s="1070"/>
      <c r="DE2442" s="1070"/>
      <c r="DF2442" s="1070"/>
      <c r="DG2442" s="1070"/>
      <c r="DH2442" s="1070"/>
      <c r="DI2442" s="1070"/>
      <c r="DJ2442" s="1070"/>
    </row>
    <row r="2443" spans="1:114" s="1136" customFormat="1" ht="31.5" x14ac:dyDescent="0.25">
      <c r="A2443" s="1435" t="s">
        <v>1724</v>
      </c>
      <c r="B2443" s="1442">
        <v>0</v>
      </c>
      <c r="C2443" s="1432"/>
      <c r="D2443" s="1432"/>
      <c r="E2443" s="1432"/>
      <c r="F2443" s="1432"/>
      <c r="G2443" s="1432"/>
      <c r="H2443" s="1350"/>
      <c r="I2443" s="1350"/>
      <c r="J2443" s="1350"/>
      <c r="K2443" s="1350"/>
      <c r="L2443" s="1350"/>
      <c r="M2443" s="1350"/>
      <c r="N2443" s="1350"/>
      <c r="O2443" s="1350"/>
      <c r="P2443" s="1350"/>
      <c r="Q2443" s="1350"/>
      <c r="R2443" s="1350"/>
      <c r="S2443" s="1350"/>
      <c r="T2443" s="1350"/>
      <c r="U2443" s="1350"/>
      <c r="V2443" s="1350"/>
      <c r="W2443" s="1350"/>
      <c r="X2443" s="1350"/>
      <c r="Y2443" s="1350"/>
      <c r="Z2443" s="1350"/>
      <c r="AA2443" s="1350"/>
      <c r="AB2443" s="1350"/>
      <c r="AC2443" s="1350"/>
      <c r="AD2443" s="1350"/>
      <c r="AE2443" s="1350"/>
      <c r="AF2443" s="1350"/>
      <c r="AG2443" s="1350"/>
      <c r="AH2443" s="1350"/>
      <c r="AI2443" s="1350"/>
      <c r="AJ2443" s="1350"/>
      <c r="AK2443" s="1350"/>
      <c r="AL2443" s="1350"/>
      <c r="AM2443" s="1350"/>
      <c r="AN2443" s="1350"/>
      <c r="AO2443" s="1350"/>
      <c r="AP2443" s="1350"/>
      <c r="AQ2443" s="1350"/>
      <c r="AR2443" s="1350"/>
      <c r="AS2443" s="1350"/>
      <c r="AT2443" s="1350"/>
      <c r="AU2443" s="1350"/>
      <c r="AV2443" s="1350"/>
      <c r="AW2443" s="1350"/>
      <c r="AX2443" s="1350"/>
      <c r="AY2443" s="1350"/>
      <c r="AZ2443" s="1350"/>
      <c r="BA2443" s="1070"/>
      <c r="BB2443" s="1070"/>
      <c r="BC2443" s="1070"/>
      <c r="BD2443" s="1070"/>
      <c r="BE2443" s="1070"/>
      <c r="BF2443" s="1070"/>
      <c r="BG2443" s="1070"/>
      <c r="BH2443" s="1070"/>
      <c r="BI2443" s="1070"/>
      <c r="BJ2443" s="1070"/>
      <c r="BK2443" s="1070"/>
      <c r="BL2443" s="1070"/>
      <c r="BM2443" s="1070"/>
      <c r="BN2443" s="1070"/>
      <c r="BO2443" s="1070"/>
      <c r="BP2443" s="1070"/>
      <c r="BQ2443" s="1070"/>
      <c r="BR2443" s="1070"/>
      <c r="BS2443" s="1070"/>
      <c r="BT2443" s="1070"/>
      <c r="BU2443" s="1070"/>
      <c r="BV2443" s="1070"/>
      <c r="BW2443" s="1070"/>
      <c r="BX2443" s="1070"/>
      <c r="BY2443" s="1070"/>
      <c r="BZ2443" s="1070"/>
      <c r="CA2443" s="1070"/>
      <c r="CB2443" s="1070"/>
      <c r="CC2443" s="1070"/>
      <c r="CD2443" s="1070"/>
      <c r="CE2443" s="1070"/>
      <c r="CF2443" s="1070"/>
      <c r="CG2443" s="1070"/>
      <c r="CH2443" s="1070"/>
      <c r="CI2443" s="1070"/>
      <c r="CJ2443" s="1070"/>
      <c r="CK2443" s="1070"/>
      <c r="CL2443" s="1070"/>
      <c r="CM2443" s="1070"/>
      <c r="CN2443" s="1070"/>
      <c r="CO2443" s="1070"/>
      <c r="CP2443" s="1070"/>
      <c r="CQ2443" s="1070"/>
      <c r="CR2443" s="1070"/>
      <c r="CS2443" s="1070"/>
      <c r="CT2443" s="1070"/>
      <c r="CU2443" s="1070"/>
      <c r="CV2443" s="1070"/>
      <c r="CW2443" s="1070"/>
      <c r="CX2443" s="1070"/>
      <c r="CY2443" s="1070"/>
      <c r="CZ2443" s="1070"/>
      <c r="DA2443" s="1070"/>
      <c r="DB2443" s="1070"/>
      <c r="DC2443" s="1070"/>
      <c r="DD2443" s="1070"/>
      <c r="DE2443" s="1070"/>
      <c r="DF2443" s="1070"/>
      <c r="DG2443" s="1070"/>
      <c r="DH2443" s="1070"/>
      <c r="DI2443" s="1070"/>
      <c r="DJ2443" s="1070"/>
    </row>
    <row r="2444" spans="1:114" s="1136" customFormat="1" ht="15.75" x14ac:dyDescent="0.25">
      <c r="A2444" s="1444" t="s">
        <v>1725</v>
      </c>
      <c r="B2444" s="1433">
        <f>IF(B2443=1,1.15,1)</f>
        <v>1</v>
      </c>
      <c r="C2444" s="1437"/>
      <c r="D2444" s="1429"/>
      <c r="E2444" s="1429"/>
      <c r="F2444" s="1429"/>
      <c r="G2444" s="1429"/>
      <c r="H2444" s="1350"/>
      <c r="I2444" s="1350"/>
      <c r="J2444" s="1350"/>
      <c r="K2444" s="1350"/>
      <c r="L2444" s="1350"/>
      <c r="M2444" s="1350"/>
      <c r="N2444" s="1350"/>
      <c r="O2444" s="1350"/>
      <c r="P2444" s="1350"/>
      <c r="Q2444" s="1350"/>
      <c r="R2444" s="1350"/>
      <c r="S2444" s="1350"/>
      <c r="T2444" s="1350"/>
      <c r="U2444" s="1350"/>
      <c r="V2444" s="1350"/>
      <c r="W2444" s="1350"/>
      <c r="X2444" s="1350"/>
      <c r="Y2444" s="1350"/>
      <c r="Z2444" s="1350"/>
      <c r="AA2444" s="1350"/>
      <c r="AB2444" s="1350"/>
      <c r="AC2444" s="1350"/>
      <c r="AD2444" s="1350"/>
      <c r="AE2444" s="1350"/>
      <c r="AF2444" s="1350"/>
      <c r="AG2444" s="1350"/>
      <c r="AH2444" s="1350"/>
      <c r="AI2444" s="1350"/>
      <c r="AJ2444" s="1350"/>
      <c r="AK2444" s="1350"/>
      <c r="AL2444" s="1350"/>
      <c r="AM2444" s="1350"/>
      <c r="AN2444" s="1350"/>
      <c r="AO2444" s="1350"/>
      <c r="AP2444" s="1350"/>
      <c r="AQ2444" s="1350"/>
      <c r="AR2444" s="1350"/>
      <c r="AS2444" s="1350"/>
      <c r="AT2444" s="1350"/>
      <c r="AU2444" s="1350"/>
      <c r="AV2444" s="1350"/>
      <c r="AW2444" s="1350"/>
      <c r="AX2444" s="1350"/>
      <c r="AY2444" s="1350"/>
      <c r="AZ2444" s="1350"/>
      <c r="BA2444" s="1070"/>
      <c r="BB2444" s="1070"/>
      <c r="BC2444" s="1070"/>
      <c r="BD2444" s="1070"/>
      <c r="BE2444" s="1070"/>
      <c r="BF2444" s="1070"/>
      <c r="BG2444" s="1070"/>
      <c r="BH2444" s="1070"/>
      <c r="BI2444" s="1070"/>
      <c r="BJ2444" s="1070"/>
      <c r="BK2444" s="1070"/>
      <c r="BL2444" s="1070"/>
      <c r="BM2444" s="1070"/>
      <c r="BN2444" s="1070"/>
      <c r="BO2444" s="1070"/>
      <c r="BP2444" s="1070"/>
      <c r="BQ2444" s="1070"/>
      <c r="BR2444" s="1070"/>
      <c r="BS2444" s="1070"/>
      <c r="BT2444" s="1070"/>
      <c r="BU2444" s="1070"/>
      <c r="BV2444" s="1070"/>
      <c r="BW2444" s="1070"/>
      <c r="BX2444" s="1070"/>
      <c r="BY2444" s="1070"/>
      <c r="BZ2444" s="1070"/>
      <c r="CA2444" s="1070"/>
      <c r="CB2444" s="1070"/>
      <c r="CC2444" s="1070"/>
      <c r="CD2444" s="1070"/>
      <c r="CE2444" s="1070"/>
      <c r="CF2444" s="1070"/>
      <c r="CG2444" s="1070"/>
      <c r="CH2444" s="1070"/>
      <c r="CI2444" s="1070"/>
      <c r="CJ2444" s="1070"/>
      <c r="CK2444" s="1070"/>
      <c r="CL2444" s="1070"/>
      <c r="CM2444" s="1070"/>
      <c r="CN2444" s="1070"/>
      <c r="CO2444" s="1070"/>
      <c r="CP2444" s="1070"/>
      <c r="CQ2444" s="1070"/>
      <c r="CR2444" s="1070"/>
      <c r="CS2444" s="1070"/>
      <c r="CT2444" s="1070"/>
      <c r="CU2444" s="1070"/>
      <c r="CV2444" s="1070"/>
      <c r="CW2444" s="1070"/>
      <c r="CX2444" s="1070"/>
      <c r="CY2444" s="1070"/>
      <c r="CZ2444" s="1070"/>
      <c r="DA2444" s="1070"/>
      <c r="DB2444" s="1070"/>
      <c r="DC2444" s="1070"/>
      <c r="DD2444" s="1070"/>
      <c r="DE2444" s="1070"/>
      <c r="DF2444" s="1070"/>
      <c r="DG2444" s="1070"/>
      <c r="DH2444" s="1070"/>
      <c r="DI2444" s="1070"/>
      <c r="DJ2444" s="1070"/>
    </row>
    <row r="2445" spans="1:114" s="1136" customFormat="1" ht="31.5" x14ac:dyDescent="0.25">
      <c r="A2445" s="1435" t="s">
        <v>5573</v>
      </c>
      <c r="B2445" s="1442">
        <v>0</v>
      </c>
      <c r="C2445" s="1349"/>
      <c r="D2445" s="1350"/>
      <c r="E2445" s="1350"/>
      <c r="F2445" s="1350"/>
      <c r="G2445" s="1350"/>
      <c r="H2445" s="1350"/>
      <c r="I2445" s="1350"/>
      <c r="J2445" s="1350"/>
      <c r="K2445" s="1350"/>
      <c r="L2445" s="1350"/>
      <c r="M2445" s="1350"/>
      <c r="N2445" s="1350"/>
      <c r="O2445" s="1350"/>
      <c r="P2445" s="1350"/>
      <c r="Q2445" s="1350"/>
      <c r="R2445" s="1350"/>
      <c r="S2445" s="1350"/>
      <c r="T2445" s="1350"/>
      <c r="U2445" s="1350"/>
      <c r="V2445" s="1350"/>
      <c r="W2445" s="1350"/>
      <c r="X2445" s="1350"/>
      <c r="Y2445" s="1350"/>
      <c r="Z2445" s="1350"/>
      <c r="AA2445" s="1350"/>
      <c r="AB2445" s="1350"/>
      <c r="AC2445" s="1350"/>
      <c r="AD2445" s="1350"/>
      <c r="AE2445" s="1350"/>
      <c r="AF2445" s="1350"/>
      <c r="AG2445" s="1350"/>
      <c r="AH2445" s="1350"/>
      <c r="AI2445" s="1350"/>
      <c r="AJ2445" s="1350"/>
      <c r="AK2445" s="1350"/>
      <c r="AL2445" s="1350"/>
      <c r="AM2445" s="1350"/>
      <c r="AN2445" s="1350"/>
      <c r="AO2445" s="1350"/>
      <c r="AP2445" s="1350"/>
      <c r="AQ2445" s="1350"/>
      <c r="AR2445" s="1350"/>
      <c r="AS2445" s="1350"/>
      <c r="AT2445" s="1350"/>
      <c r="AU2445" s="1350"/>
      <c r="AV2445" s="1350"/>
      <c r="AW2445" s="1350"/>
      <c r="AX2445" s="1350"/>
      <c r="AY2445" s="1350"/>
      <c r="AZ2445" s="1350"/>
      <c r="BA2445" s="1070"/>
      <c r="BB2445" s="1070"/>
      <c r="BC2445" s="1070"/>
      <c r="BD2445" s="1070"/>
      <c r="BE2445" s="1070"/>
      <c r="BF2445" s="1070"/>
      <c r="BG2445" s="1070"/>
      <c r="BH2445" s="1070"/>
      <c r="BI2445" s="1070"/>
      <c r="BJ2445" s="1070"/>
      <c r="BK2445" s="1070"/>
      <c r="BL2445" s="1070"/>
      <c r="BM2445" s="1070"/>
      <c r="BN2445" s="1070"/>
      <c r="BO2445" s="1070"/>
      <c r="BP2445" s="1070"/>
      <c r="BQ2445" s="1070"/>
      <c r="BR2445" s="1070"/>
      <c r="BS2445" s="1070"/>
      <c r="BT2445" s="1070"/>
      <c r="BU2445" s="1070"/>
      <c r="BV2445" s="1070"/>
      <c r="BW2445" s="1070"/>
      <c r="BX2445" s="1070"/>
      <c r="BY2445" s="1070"/>
      <c r="BZ2445" s="1070"/>
      <c r="CA2445" s="1070"/>
      <c r="CB2445" s="1070"/>
      <c r="CC2445" s="1070"/>
      <c r="CD2445" s="1070"/>
      <c r="CE2445" s="1070"/>
      <c r="CF2445" s="1070"/>
      <c r="CG2445" s="1070"/>
      <c r="CH2445" s="1070"/>
      <c r="CI2445" s="1070"/>
      <c r="CJ2445" s="1070"/>
      <c r="CK2445" s="1070"/>
      <c r="CL2445" s="1070"/>
      <c r="CM2445" s="1070"/>
      <c r="CN2445" s="1070"/>
      <c r="CO2445" s="1070"/>
      <c r="CP2445" s="1070"/>
      <c r="CQ2445" s="1070"/>
      <c r="CR2445" s="1070"/>
      <c r="CS2445" s="1070"/>
      <c r="CT2445" s="1070"/>
      <c r="CU2445" s="1070"/>
      <c r="CV2445" s="1070"/>
      <c r="CW2445" s="1070"/>
      <c r="CX2445" s="1070"/>
      <c r="CY2445" s="1070"/>
      <c r="CZ2445" s="1070"/>
      <c r="DA2445" s="1070"/>
      <c r="DB2445" s="1070"/>
      <c r="DC2445" s="1070"/>
      <c r="DD2445" s="1070"/>
      <c r="DE2445" s="1070"/>
      <c r="DF2445" s="1070"/>
      <c r="DG2445" s="1070"/>
      <c r="DH2445" s="1070"/>
      <c r="DI2445" s="1070"/>
      <c r="DJ2445" s="1070"/>
    </row>
    <row r="2446" spans="1:114" s="1136" customFormat="1" ht="15.75" x14ac:dyDescent="0.25">
      <c r="A2446" s="1420" t="s">
        <v>2636</v>
      </c>
      <c r="B2446" s="1433">
        <f>IF(B2445=1,1.15,1)</f>
        <v>1</v>
      </c>
      <c r="C2446" s="1437"/>
      <c r="D2446" s="1434"/>
      <c r="E2446" s="1434"/>
      <c r="F2446" s="1434"/>
      <c r="G2446" s="1434"/>
      <c r="H2446" s="1350"/>
      <c r="I2446" s="1350"/>
      <c r="J2446" s="1350"/>
      <c r="K2446" s="1350"/>
      <c r="L2446" s="1350"/>
      <c r="M2446" s="1350"/>
      <c r="N2446" s="1350"/>
      <c r="O2446" s="1350"/>
      <c r="P2446" s="1350"/>
      <c r="Q2446" s="1350"/>
      <c r="R2446" s="1350"/>
      <c r="S2446" s="1350"/>
      <c r="T2446" s="1350"/>
      <c r="U2446" s="1350"/>
      <c r="V2446" s="1350"/>
      <c r="W2446" s="1350"/>
      <c r="X2446" s="1350"/>
      <c r="Y2446" s="1350"/>
      <c r="Z2446" s="1350"/>
      <c r="AA2446" s="1350"/>
      <c r="AB2446" s="1350"/>
      <c r="AC2446" s="1350"/>
      <c r="AD2446" s="1350"/>
      <c r="AE2446" s="1350"/>
      <c r="AF2446" s="1350"/>
      <c r="AG2446" s="1350"/>
      <c r="AH2446" s="1350"/>
      <c r="AI2446" s="1350"/>
      <c r="AJ2446" s="1350"/>
      <c r="AK2446" s="1350"/>
      <c r="AL2446" s="1350"/>
      <c r="AM2446" s="1350"/>
      <c r="AN2446" s="1350"/>
      <c r="AO2446" s="1350"/>
      <c r="AP2446" s="1350"/>
      <c r="AQ2446" s="1350"/>
      <c r="AR2446" s="1350"/>
      <c r="AS2446" s="1350"/>
      <c r="AT2446" s="1350"/>
      <c r="AU2446" s="1350"/>
      <c r="AV2446" s="1350"/>
      <c r="AW2446" s="1350"/>
      <c r="AX2446" s="1350"/>
      <c r="AY2446" s="1350"/>
      <c r="AZ2446" s="1350"/>
      <c r="BA2446" s="1070"/>
      <c r="BB2446" s="1070"/>
      <c r="BC2446" s="1070"/>
      <c r="BD2446" s="1070"/>
      <c r="BE2446" s="1070"/>
      <c r="BF2446" s="1070"/>
      <c r="BG2446" s="1070"/>
      <c r="BH2446" s="1070"/>
      <c r="BI2446" s="1070"/>
      <c r="BJ2446" s="1070"/>
      <c r="BK2446" s="1070"/>
      <c r="BL2446" s="1070"/>
      <c r="BM2446" s="1070"/>
      <c r="BN2446" s="1070"/>
      <c r="BO2446" s="1070"/>
      <c r="BP2446" s="1070"/>
      <c r="BQ2446" s="1070"/>
      <c r="BR2446" s="1070"/>
      <c r="BS2446" s="1070"/>
      <c r="BT2446" s="1070"/>
      <c r="BU2446" s="1070"/>
      <c r="BV2446" s="1070"/>
      <c r="BW2446" s="1070"/>
      <c r="BX2446" s="1070"/>
      <c r="BY2446" s="1070"/>
      <c r="BZ2446" s="1070"/>
      <c r="CA2446" s="1070"/>
      <c r="CB2446" s="1070"/>
      <c r="CC2446" s="1070"/>
      <c r="CD2446" s="1070"/>
      <c r="CE2446" s="1070"/>
      <c r="CF2446" s="1070"/>
      <c r="CG2446" s="1070"/>
      <c r="CH2446" s="1070"/>
      <c r="CI2446" s="1070"/>
      <c r="CJ2446" s="1070"/>
      <c r="CK2446" s="1070"/>
      <c r="CL2446" s="1070"/>
      <c r="CM2446" s="1070"/>
      <c r="CN2446" s="1070"/>
      <c r="CO2446" s="1070"/>
      <c r="CP2446" s="1070"/>
      <c r="CQ2446" s="1070"/>
      <c r="CR2446" s="1070"/>
      <c r="CS2446" s="1070"/>
      <c r="CT2446" s="1070"/>
      <c r="CU2446" s="1070"/>
      <c r="CV2446" s="1070"/>
      <c r="CW2446" s="1070"/>
      <c r="CX2446" s="1070"/>
      <c r="CY2446" s="1070"/>
      <c r="CZ2446" s="1070"/>
      <c r="DA2446" s="1070"/>
      <c r="DB2446" s="1070"/>
      <c r="DC2446" s="1070"/>
      <c r="DD2446" s="1070"/>
      <c r="DE2446" s="1070"/>
      <c r="DF2446" s="1070"/>
      <c r="DG2446" s="1070"/>
      <c r="DH2446" s="1070"/>
      <c r="DI2446" s="1070"/>
      <c r="DJ2446" s="1070"/>
    </row>
    <row r="2447" spans="1:114" s="1136" customFormat="1" ht="47.25" x14ac:dyDescent="0.25">
      <c r="A2447" s="1420" t="s">
        <v>2637</v>
      </c>
      <c r="B2447" s="1433">
        <f>IF(B275&lt;2,0.85,1)</f>
        <v>1</v>
      </c>
      <c r="C2447" s="1437"/>
      <c r="D2447" s="1434"/>
      <c r="E2447" s="1434"/>
      <c r="F2447" s="1434"/>
      <c r="G2447" s="1434"/>
      <c r="H2447" s="1350"/>
      <c r="I2447" s="1350"/>
      <c r="J2447" s="1350"/>
      <c r="K2447" s="1350"/>
      <c r="L2447" s="1350"/>
      <c r="M2447" s="1350"/>
      <c r="N2447" s="1350"/>
      <c r="O2447" s="1350"/>
      <c r="P2447" s="1350"/>
      <c r="Q2447" s="1350"/>
      <c r="R2447" s="1350"/>
      <c r="S2447" s="1350"/>
      <c r="T2447" s="1350"/>
      <c r="U2447" s="1350"/>
      <c r="V2447" s="1350"/>
      <c r="W2447" s="1350"/>
      <c r="X2447" s="1350"/>
      <c r="Y2447" s="1350"/>
      <c r="Z2447" s="1350"/>
      <c r="AA2447" s="1350"/>
      <c r="AB2447" s="1350"/>
      <c r="AC2447" s="1350"/>
      <c r="AD2447" s="1350"/>
      <c r="AE2447" s="1350"/>
      <c r="AF2447" s="1350"/>
      <c r="AG2447" s="1350"/>
      <c r="AH2447" s="1350"/>
      <c r="AI2447" s="1350"/>
      <c r="AJ2447" s="1350"/>
      <c r="AK2447" s="1350"/>
      <c r="AL2447" s="1350"/>
      <c r="AM2447" s="1350"/>
      <c r="AN2447" s="1350"/>
      <c r="AO2447" s="1350"/>
      <c r="AP2447" s="1350"/>
      <c r="AQ2447" s="1350"/>
      <c r="AR2447" s="1350"/>
      <c r="AS2447" s="1350"/>
      <c r="AT2447" s="1350"/>
      <c r="AU2447" s="1350"/>
      <c r="AV2447" s="1350"/>
      <c r="AW2447" s="1350"/>
      <c r="AX2447" s="1350"/>
      <c r="AY2447" s="1350"/>
      <c r="AZ2447" s="1350"/>
      <c r="BA2447" s="1070"/>
      <c r="BB2447" s="1070"/>
      <c r="BC2447" s="1070"/>
      <c r="BD2447" s="1070"/>
      <c r="BE2447" s="1070"/>
      <c r="BF2447" s="1070"/>
      <c r="BG2447" s="1070"/>
      <c r="BH2447" s="1070"/>
      <c r="BI2447" s="1070"/>
      <c r="BJ2447" s="1070"/>
      <c r="BK2447" s="1070"/>
      <c r="BL2447" s="1070"/>
      <c r="BM2447" s="1070"/>
      <c r="BN2447" s="1070"/>
      <c r="BO2447" s="1070"/>
      <c r="BP2447" s="1070"/>
      <c r="BQ2447" s="1070"/>
      <c r="BR2447" s="1070"/>
      <c r="BS2447" s="1070"/>
      <c r="BT2447" s="1070"/>
      <c r="BU2447" s="1070"/>
      <c r="BV2447" s="1070"/>
      <c r="BW2447" s="1070"/>
      <c r="BX2447" s="1070"/>
      <c r="BY2447" s="1070"/>
      <c r="BZ2447" s="1070"/>
      <c r="CA2447" s="1070"/>
      <c r="CB2447" s="1070"/>
      <c r="CC2447" s="1070"/>
      <c r="CD2447" s="1070"/>
      <c r="CE2447" s="1070"/>
      <c r="CF2447" s="1070"/>
      <c r="CG2447" s="1070"/>
      <c r="CH2447" s="1070"/>
      <c r="CI2447" s="1070"/>
      <c r="CJ2447" s="1070"/>
      <c r="CK2447" s="1070"/>
      <c r="CL2447" s="1070"/>
      <c r="CM2447" s="1070"/>
      <c r="CN2447" s="1070"/>
      <c r="CO2447" s="1070"/>
      <c r="CP2447" s="1070"/>
      <c r="CQ2447" s="1070"/>
      <c r="CR2447" s="1070"/>
      <c r="CS2447" s="1070"/>
      <c r="CT2447" s="1070"/>
      <c r="CU2447" s="1070"/>
      <c r="CV2447" s="1070"/>
      <c r="CW2447" s="1070"/>
      <c r="CX2447" s="1070"/>
      <c r="CY2447" s="1070"/>
      <c r="CZ2447" s="1070"/>
      <c r="DA2447" s="1070"/>
      <c r="DB2447" s="1070"/>
      <c r="DC2447" s="1070"/>
      <c r="DD2447" s="1070"/>
      <c r="DE2447" s="1070"/>
      <c r="DF2447" s="1070"/>
      <c r="DG2447" s="1070"/>
      <c r="DH2447" s="1070"/>
      <c r="DI2447" s="1070"/>
      <c r="DJ2447" s="1070"/>
    </row>
    <row r="2448" spans="1:114" s="1136" customFormat="1" ht="15.75" x14ac:dyDescent="0.25">
      <c r="A2448" s="1420" t="s">
        <v>1743</v>
      </c>
      <c r="B2448" s="1445">
        <v>0.7</v>
      </c>
      <c r="C2448" s="1446"/>
      <c r="D2448" s="1434"/>
      <c r="E2448" s="1434"/>
      <c r="F2448" s="1434"/>
      <c r="G2448" s="1434"/>
      <c r="H2448" s="1350"/>
      <c r="I2448" s="1350"/>
      <c r="J2448" s="1350"/>
      <c r="K2448" s="1350"/>
      <c r="L2448" s="1350"/>
      <c r="M2448" s="1350"/>
      <c r="N2448" s="1350"/>
      <c r="O2448" s="1350"/>
      <c r="P2448" s="1350"/>
      <c r="Q2448" s="1350"/>
      <c r="R2448" s="1350"/>
      <c r="S2448" s="1350"/>
      <c r="T2448" s="1350"/>
      <c r="U2448" s="1350"/>
      <c r="V2448" s="1350"/>
      <c r="W2448" s="1350"/>
      <c r="X2448" s="1350"/>
      <c r="Y2448" s="1350"/>
      <c r="Z2448" s="1350"/>
      <c r="AA2448" s="1350"/>
      <c r="AB2448" s="1350"/>
      <c r="AC2448" s="1350"/>
      <c r="AD2448" s="1350"/>
      <c r="AE2448" s="1350"/>
      <c r="AF2448" s="1350"/>
      <c r="AG2448" s="1350"/>
      <c r="AH2448" s="1350"/>
      <c r="AI2448" s="1350"/>
      <c r="AJ2448" s="1350"/>
      <c r="AK2448" s="1350"/>
      <c r="AL2448" s="1350"/>
      <c r="AM2448" s="1350"/>
      <c r="AN2448" s="1350"/>
      <c r="AO2448" s="1350"/>
      <c r="AP2448" s="1350"/>
      <c r="AQ2448" s="1350"/>
      <c r="AR2448" s="1350"/>
      <c r="AS2448" s="1350"/>
      <c r="AT2448" s="1350"/>
      <c r="AU2448" s="1350"/>
      <c r="AV2448" s="1350"/>
      <c r="AW2448" s="1350"/>
      <c r="AX2448" s="1350"/>
      <c r="AY2448" s="1350"/>
      <c r="AZ2448" s="1350"/>
      <c r="BA2448" s="1070"/>
      <c r="BB2448" s="1070"/>
      <c r="BC2448" s="1070"/>
      <c r="BD2448" s="1070"/>
      <c r="BE2448" s="1070"/>
      <c r="BF2448" s="1070"/>
      <c r="BG2448" s="1070"/>
      <c r="BH2448" s="1070"/>
      <c r="BI2448" s="1070"/>
      <c r="BJ2448" s="1070"/>
      <c r="BK2448" s="1070"/>
      <c r="BL2448" s="1070"/>
      <c r="BM2448" s="1070"/>
      <c r="BN2448" s="1070"/>
      <c r="BO2448" s="1070"/>
      <c r="BP2448" s="1070"/>
      <c r="BQ2448" s="1070"/>
      <c r="BR2448" s="1070"/>
      <c r="BS2448" s="1070"/>
      <c r="BT2448" s="1070"/>
      <c r="BU2448" s="1070"/>
      <c r="BV2448" s="1070"/>
      <c r="BW2448" s="1070"/>
      <c r="BX2448" s="1070"/>
      <c r="BY2448" s="1070"/>
      <c r="BZ2448" s="1070"/>
      <c r="CA2448" s="1070"/>
      <c r="CB2448" s="1070"/>
      <c r="CC2448" s="1070"/>
      <c r="CD2448" s="1070"/>
      <c r="CE2448" s="1070"/>
      <c r="CF2448" s="1070"/>
      <c r="CG2448" s="1070"/>
      <c r="CH2448" s="1070"/>
      <c r="CI2448" s="1070"/>
      <c r="CJ2448" s="1070"/>
      <c r="CK2448" s="1070"/>
      <c r="CL2448" s="1070"/>
      <c r="CM2448" s="1070"/>
      <c r="CN2448" s="1070"/>
      <c r="CO2448" s="1070"/>
      <c r="CP2448" s="1070"/>
      <c r="CQ2448" s="1070"/>
      <c r="CR2448" s="1070"/>
      <c r="CS2448" s="1070"/>
      <c r="CT2448" s="1070"/>
      <c r="CU2448" s="1070"/>
      <c r="CV2448" s="1070"/>
      <c r="CW2448" s="1070"/>
      <c r="CX2448" s="1070"/>
      <c r="CY2448" s="1070"/>
      <c r="CZ2448" s="1070"/>
      <c r="DA2448" s="1070"/>
      <c r="DB2448" s="1070"/>
      <c r="DC2448" s="1070"/>
      <c r="DD2448" s="1070"/>
      <c r="DE2448" s="1070"/>
      <c r="DF2448" s="1070"/>
      <c r="DG2448" s="1070"/>
      <c r="DH2448" s="1070"/>
      <c r="DI2448" s="1070"/>
      <c r="DJ2448" s="1070"/>
    </row>
    <row r="2449" spans="1:114" s="1136" customFormat="1" ht="15.75" x14ac:dyDescent="0.25">
      <c r="A2449" s="1420" t="s">
        <v>3412</v>
      </c>
      <c r="B2449" s="1433" t="e">
        <f>B2437*B2444*B2446*B2447*B2448*B2383</f>
        <v>#VALUE!</v>
      </c>
      <c r="C2449" s="1437"/>
      <c r="D2449" s="1350"/>
      <c r="E2449" s="1350"/>
      <c r="F2449" s="1350"/>
      <c r="G2449" s="1350"/>
      <c r="H2449" s="1350"/>
      <c r="I2449" s="1350"/>
      <c r="J2449" s="1350"/>
      <c r="K2449" s="1350"/>
      <c r="L2449" s="1350"/>
      <c r="M2449" s="1350"/>
      <c r="N2449" s="1350"/>
      <c r="O2449" s="1350"/>
      <c r="P2449" s="1350"/>
      <c r="Q2449" s="1350"/>
      <c r="R2449" s="1350"/>
      <c r="S2449" s="1350"/>
      <c r="T2449" s="1350"/>
      <c r="U2449" s="1350"/>
      <c r="V2449" s="1350"/>
      <c r="W2449" s="1350"/>
      <c r="X2449" s="1350"/>
      <c r="Y2449" s="1350"/>
      <c r="Z2449" s="1350"/>
      <c r="AA2449" s="1350"/>
      <c r="AB2449" s="1350"/>
      <c r="AC2449" s="1350"/>
      <c r="AD2449" s="1350"/>
      <c r="AE2449" s="1350"/>
      <c r="AF2449" s="1350"/>
      <c r="AG2449" s="1350"/>
      <c r="AH2449" s="1350"/>
      <c r="AI2449" s="1350"/>
      <c r="AJ2449" s="1350"/>
      <c r="AK2449" s="1350"/>
      <c r="AL2449" s="1350"/>
      <c r="AM2449" s="1350"/>
      <c r="AN2449" s="1350"/>
      <c r="AO2449" s="1350"/>
      <c r="AP2449" s="1350"/>
      <c r="AQ2449" s="1350"/>
      <c r="AR2449" s="1350"/>
      <c r="AS2449" s="1350"/>
      <c r="AT2449" s="1350"/>
      <c r="AU2449" s="1350"/>
      <c r="AV2449" s="1350"/>
      <c r="AW2449" s="1350"/>
      <c r="AX2449" s="1350"/>
      <c r="AY2449" s="1350"/>
      <c r="AZ2449" s="1350"/>
      <c r="BA2449" s="1070"/>
      <c r="BB2449" s="1070"/>
      <c r="BC2449" s="1070"/>
      <c r="BD2449" s="1070"/>
      <c r="BE2449" s="1070"/>
      <c r="BF2449" s="1070"/>
      <c r="BG2449" s="1070"/>
      <c r="BH2449" s="1070"/>
      <c r="BI2449" s="1070"/>
      <c r="BJ2449" s="1070"/>
      <c r="BK2449" s="1070"/>
      <c r="BL2449" s="1070"/>
      <c r="BM2449" s="1070"/>
      <c r="BN2449" s="1070"/>
      <c r="BO2449" s="1070"/>
      <c r="BP2449" s="1070"/>
      <c r="BQ2449" s="1070"/>
      <c r="BR2449" s="1070"/>
      <c r="BS2449" s="1070"/>
      <c r="BT2449" s="1070"/>
      <c r="BU2449" s="1070"/>
      <c r="BV2449" s="1070"/>
      <c r="BW2449" s="1070"/>
      <c r="BX2449" s="1070"/>
      <c r="BY2449" s="1070"/>
      <c r="BZ2449" s="1070"/>
      <c r="CA2449" s="1070"/>
      <c r="CB2449" s="1070"/>
      <c r="CC2449" s="1070"/>
      <c r="CD2449" s="1070"/>
      <c r="CE2449" s="1070"/>
      <c r="CF2449" s="1070"/>
      <c r="CG2449" s="1070"/>
      <c r="CH2449" s="1070"/>
      <c r="CI2449" s="1070"/>
      <c r="CJ2449" s="1070"/>
      <c r="CK2449" s="1070"/>
      <c r="CL2449" s="1070"/>
      <c r="CM2449" s="1070"/>
      <c r="CN2449" s="1070"/>
      <c r="CO2449" s="1070"/>
      <c r="CP2449" s="1070"/>
      <c r="CQ2449" s="1070"/>
      <c r="CR2449" s="1070"/>
      <c r="CS2449" s="1070"/>
      <c r="CT2449" s="1070"/>
      <c r="CU2449" s="1070"/>
      <c r="CV2449" s="1070"/>
      <c r="CW2449" s="1070"/>
      <c r="CX2449" s="1070"/>
      <c r="CY2449" s="1070"/>
      <c r="CZ2449" s="1070"/>
      <c r="DA2449" s="1070"/>
      <c r="DB2449" s="1070"/>
      <c r="DC2449" s="1070"/>
      <c r="DD2449" s="1070"/>
      <c r="DE2449" s="1070"/>
      <c r="DF2449" s="1070"/>
      <c r="DG2449" s="1070"/>
      <c r="DH2449" s="1070"/>
      <c r="DI2449" s="1070"/>
      <c r="DJ2449" s="1070"/>
    </row>
    <row r="2450" spans="1:114" s="1136" customFormat="1" ht="15.75" x14ac:dyDescent="0.25">
      <c r="A2450" s="1420" t="s">
        <v>429</v>
      </c>
      <c r="B2450" s="1428" t="e">
        <f>B2436/B2449</f>
        <v>#VALUE!</v>
      </c>
      <c r="C2450" s="1432"/>
      <c r="D2450" s="1349"/>
      <c r="E2450" s="1349"/>
      <c r="F2450" s="1349"/>
      <c r="G2450" s="1349"/>
      <c r="H2450" s="1350"/>
      <c r="I2450" s="1350"/>
      <c r="J2450" s="1350"/>
      <c r="K2450" s="1350"/>
      <c r="L2450" s="1350"/>
      <c r="M2450" s="1350"/>
      <c r="N2450" s="1350"/>
      <c r="O2450" s="1350"/>
      <c r="P2450" s="1350"/>
      <c r="Q2450" s="1350"/>
      <c r="R2450" s="1350"/>
      <c r="S2450" s="1350"/>
      <c r="T2450" s="1350"/>
      <c r="U2450" s="1350"/>
      <c r="V2450" s="1350"/>
      <c r="W2450" s="1350"/>
      <c r="X2450" s="1350"/>
      <c r="Y2450" s="1350"/>
      <c r="Z2450" s="1350"/>
      <c r="AA2450" s="1350"/>
      <c r="AB2450" s="1350"/>
      <c r="AC2450" s="1350"/>
      <c r="AD2450" s="1350"/>
      <c r="AE2450" s="1350"/>
      <c r="AF2450" s="1350"/>
      <c r="AG2450" s="1350"/>
      <c r="AH2450" s="1350"/>
      <c r="AI2450" s="1350"/>
      <c r="AJ2450" s="1350"/>
      <c r="AK2450" s="1350"/>
      <c r="AL2450" s="1350"/>
      <c r="AM2450" s="1350"/>
      <c r="AN2450" s="1350"/>
      <c r="AO2450" s="1350"/>
      <c r="AP2450" s="1350"/>
      <c r="AQ2450" s="1350"/>
      <c r="AR2450" s="1350"/>
      <c r="AS2450" s="1350"/>
      <c r="AT2450" s="1350"/>
      <c r="AU2450" s="1350"/>
      <c r="AV2450" s="1350"/>
      <c r="AW2450" s="1350"/>
      <c r="AX2450" s="1350"/>
      <c r="AY2450" s="1350"/>
      <c r="AZ2450" s="1350"/>
      <c r="BA2450" s="1070"/>
      <c r="BB2450" s="1070"/>
      <c r="BC2450" s="1070"/>
      <c r="BD2450" s="1070"/>
      <c r="BE2450" s="1070"/>
      <c r="BF2450" s="1070"/>
      <c r="BG2450" s="1070"/>
      <c r="BH2450" s="1070"/>
      <c r="BI2450" s="1070"/>
      <c r="BJ2450" s="1070"/>
      <c r="BK2450" s="1070"/>
      <c r="BL2450" s="1070"/>
      <c r="BM2450" s="1070"/>
      <c r="BN2450" s="1070"/>
      <c r="BO2450" s="1070"/>
      <c r="BP2450" s="1070"/>
      <c r="BQ2450" s="1070"/>
      <c r="BR2450" s="1070"/>
      <c r="BS2450" s="1070"/>
      <c r="BT2450" s="1070"/>
      <c r="BU2450" s="1070"/>
      <c r="BV2450" s="1070"/>
      <c r="BW2450" s="1070"/>
      <c r="BX2450" s="1070"/>
      <c r="BY2450" s="1070"/>
      <c r="BZ2450" s="1070"/>
      <c r="CA2450" s="1070"/>
      <c r="CB2450" s="1070"/>
      <c r="CC2450" s="1070"/>
      <c r="CD2450" s="1070"/>
      <c r="CE2450" s="1070"/>
      <c r="CF2450" s="1070"/>
      <c r="CG2450" s="1070"/>
      <c r="CH2450" s="1070"/>
      <c r="CI2450" s="1070"/>
      <c r="CJ2450" s="1070"/>
      <c r="CK2450" s="1070"/>
      <c r="CL2450" s="1070"/>
      <c r="CM2450" s="1070"/>
      <c r="CN2450" s="1070"/>
      <c r="CO2450" s="1070"/>
      <c r="CP2450" s="1070"/>
      <c r="CQ2450" s="1070"/>
      <c r="CR2450" s="1070"/>
      <c r="CS2450" s="1070"/>
      <c r="CT2450" s="1070"/>
      <c r="CU2450" s="1070"/>
      <c r="CV2450" s="1070"/>
      <c r="CW2450" s="1070"/>
      <c r="CX2450" s="1070"/>
      <c r="CY2450" s="1070"/>
      <c r="CZ2450" s="1070"/>
      <c r="DA2450" s="1070"/>
      <c r="DB2450" s="1070"/>
      <c r="DC2450" s="1070"/>
      <c r="DD2450" s="1070"/>
      <c r="DE2450" s="1070"/>
      <c r="DF2450" s="1070"/>
      <c r="DG2450" s="1070"/>
      <c r="DH2450" s="1070"/>
      <c r="DI2450" s="1070"/>
      <c r="DJ2450" s="1070"/>
    </row>
    <row r="2451" spans="1:114" s="1136" customFormat="1" ht="31.5" x14ac:dyDescent="0.25">
      <c r="A2451" s="1447" t="s">
        <v>2971</v>
      </c>
      <c r="B2451" s="1428"/>
      <c r="C2451" s="1432"/>
      <c r="D2451" s="1437"/>
      <c r="E2451" s="1437"/>
      <c r="F2451" s="1437"/>
      <c r="G2451" s="1437"/>
      <c r="H2451" s="1350"/>
      <c r="I2451" s="1350"/>
      <c r="J2451" s="1350"/>
      <c r="K2451" s="1350"/>
      <c r="L2451" s="1350"/>
      <c r="M2451" s="1350"/>
      <c r="N2451" s="1350"/>
      <c r="O2451" s="1350"/>
      <c r="P2451" s="1350"/>
      <c r="Q2451" s="1350"/>
      <c r="R2451" s="1350"/>
      <c r="S2451" s="1350"/>
      <c r="T2451" s="1350"/>
      <c r="U2451" s="1350"/>
      <c r="V2451" s="1350"/>
      <c r="W2451" s="1350"/>
      <c r="X2451" s="1350"/>
      <c r="Y2451" s="1350"/>
      <c r="Z2451" s="1350"/>
      <c r="AA2451" s="1350"/>
      <c r="AB2451" s="1350"/>
      <c r="AC2451" s="1350"/>
      <c r="AD2451" s="1350"/>
      <c r="AE2451" s="1350"/>
      <c r="AF2451" s="1350"/>
      <c r="AG2451" s="1350"/>
      <c r="AH2451" s="1350"/>
      <c r="AI2451" s="1350"/>
      <c r="AJ2451" s="1350"/>
      <c r="AK2451" s="1350"/>
      <c r="AL2451" s="1350"/>
      <c r="AM2451" s="1350"/>
      <c r="AN2451" s="1350"/>
      <c r="AO2451" s="1350"/>
      <c r="AP2451" s="1350"/>
      <c r="AQ2451" s="1350"/>
      <c r="AR2451" s="1350"/>
      <c r="AS2451" s="1350"/>
      <c r="AT2451" s="1350"/>
      <c r="AU2451" s="1350"/>
      <c r="AV2451" s="1350"/>
      <c r="AW2451" s="1350"/>
      <c r="AX2451" s="1350"/>
      <c r="AY2451" s="1350"/>
      <c r="AZ2451" s="1350"/>
      <c r="BA2451" s="1070"/>
      <c r="BB2451" s="1070"/>
      <c r="BC2451" s="1070"/>
      <c r="BD2451" s="1070"/>
      <c r="BE2451" s="1070"/>
      <c r="BF2451" s="1070"/>
      <c r="BG2451" s="1070"/>
      <c r="BH2451" s="1070"/>
      <c r="BI2451" s="1070"/>
      <c r="BJ2451" s="1070"/>
      <c r="BK2451" s="1070"/>
      <c r="BL2451" s="1070"/>
      <c r="BM2451" s="1070"/>
      <c r="BN2451" s="1070"/>
      <c r="BO2451" s="1070"/>
      <c r="BP2451" s="1070"/>
      <c r="BQ2451" s="1070"/>
      <c r="BR2451" s="1070"/>
      <c r="BS2451" s="1070"/>
      <c r="BT2451" s="1070"/>
      <c r="BU2451" s="1070"/>
      <c r="BV2451" s="1070"/>
      <c r="BW2451" s="1070"/>
      <c r="BX2451" s="1070"/>
      <c r="BY2451" s="1070"/>
      <c r="BZ2451" s="1070"/>
      <c r="CA2451" s="1070"/>
      <c r="CB2451" s="1070"/>
      <c r="CC2451" s="1070"/>
      <c r="CD2451" s="1070"/>
      <c r="CE2451" s="1070"/>
      <c r="CF2451" s="1070"/>
      <c r="CG2451" s="1070"/>
      <c r="CH2451" s="1070"/>
      <c r="CI2451" s="1070"/>
      <c r="CJ2451" s="1070"/>
      <c r="CK2451" s="1070"/>
      <c r="CL2451" s="1070"/>
      <c r="CM2451" s="1070"/>
      <c r="CN2451" s="1070"/>
      <c r="CO2451" s="1070"/>
      <c r="CP2451" s="1070"/>
      <c r="CQ2451" s="1070"/>
      <c r="CR2451" s="1070"/>
      <c r="CS2451" s="1070"/>
      <c r="CT2451" s="1070"/>
      <c r="CU2451" s="1070"/>
      <c r="CV2451" s="1070"/>
      <c r="CW2451" s="1070"/>
      <c r="CX2451" s="1070"/>
      <c r="CY2451" s="1070"/>
      <c r="CZ2451" s="1070"/>
      <c r="DA2451" s="1070"/>
      <c r="DB2451" s="1070"/>
      <c r="DC2451" s="1070"/>
      <c r="DD2451" s="1070"/>
      <c r="DE2451" s="1070"/>
      <c r="DF2451" s="1070"/>
      <c r="DG2451" s="1070"/>
      <c r="DH2451" s="1070"/>
      <c r="DI2451" s="1070"/>
      <c r="DJ2451" s="1070"/>
    </row>
    <row r="2452" spans="1:114" s="1136" customFormat="1" ht="47.25" x14ac:dyDescent="0.25">
      <c r="A2452" s="1427" t="s">
        <v>2972</v>
      </c>
      <c r="B2452" s="1439"/>
      <c r="C2452" s="1432"/>
      <c r="D2452" s="1349"/>
      <c r="E2452" s="1349"/>
      <c r="F2452" s="1349"/>
      <c r="G2452" s="1349"/>
      <c r="H2452" s="1350"/>
      <c r="I2452" s="1350"/>
      <c r="J2452" s="1350"/>
      <c r="K2452" s="1350"/>
      <c r="L2452" s="1350"/>
      <c r="M2452" s="1350"/>
      <c r="N2452" s="1350"/>
      <c r="O2452" s="1350"/>
      <c r="P2452" s="1350"/>
      <c r="Q2452" s="1350"/>
      <c r="R2452" s="1350"/>
      <c r="S2452" s="1350"/>
      <c r="T2452" s="1350"/>
      <c r="U2452" s="1350"/>
      <c r="V2452" s="1350"/>
      <c r="W2452" s="1350"/>
      <c r="X2452" s="1350"/>
      <c r="Y2452" s="1350"/>
      <c r="Z2452" s="1350"/>
      <c r="AA2452" s="1350"/>
      <c r="AB2452" s="1350"/>
      <c r="AC2452" s="1350"/>
      <c r="AD2452" s="1350"/>
      <c r="AE2452" s="1350"/>
      <c r="AF2452" s="1350"/>
      <c r="AG2452" s="1350"/>
      <c r="AH2452" s="1350"/>
      <c r="AI2452" s="1350"/>
      <c r="AJ2452" s="1350"/>
      <c r="AK2452" s="1350"/>
      <c r="AL2452" s="1350"/>
      <c r="AM2452" s="1350"/>
      <c r="AN2452" s="1350"/>
      <c r="AO2452" s="1350"/>
      <c r="AP2452" s="1350"/>
      <c r="AQ2452" s="1350"/>
      <c r="AR2452" s="1350"/>
      <c r="AS2452" s="1350"/>
      <c r="AT2452" s="1350"/>
      <c r="AU2452" s="1350"/>
      <c r="AV2452" s="1350"/>
      <c r="AW2452" s="1350"/>
      <c r="AX2452" s="1350"/>
      <c r="AY2452" s="1350"/>
      <c r="AZ2452" s="1350"/>
      <c r="BA2452" s="1070"/>
      <c r="BB2452" s="1070"/>
      <c r="BC2452" s="1070"/>
      <c r="BD2452" s="1070"/>
      <c r="BE2452" s="1070"/>
      <c r="BF2452" s="1070"/>
      <c r="BG2452" s="1070"/>
      <c r="BH2452" s="1070"/>
      <c r="BI2452" s="1070"/>
      <c r="BJ2452" s="1070"/>
      <c r="BK2452" s="1070"/>
      <c r="BL2452" s="1070"/>
      <c r="BM2452" s="1070"/>
      <c r="BN2452" s="1070"/>
      <c r="BO2452" s="1070"/>
      <c r="BP2452" s="1070"/>
      <c r="BQ2452" s="1070"/>
      <c r="BR2452" s="1070"/>
      <c r="BS2452" s="1070"/>
      <c r="BT2452" s="1070"/>
      <c r="BU2452" s="1070"/>
      <c r="BV2452" s="1070"/>
      <c r="BW2452" s="1070"/>
      <c r="BX2452" s="1070"/>
      <c r="BY2452" s="1070"/>
      <c r="BZ2452" s="1070"/>
      <c r="CA2452" s="1070"/>
      <c r="CB2452" s="1070"/>
      <c r="CC2452" s="1070"/>
      <c r="CD2452" s="1070"/>
      <c r="CE2452" s="1070"/>
      <c r="CF2452" s="1070"/>
      <c r="CG2452" s="1070"/>
      <c r="CH2452" s="1070"/>
      <c r="CI2452" s="1070"/>
      <c r="CJ2452" s="1070"/>
      <c r="CK2452" s="1070"/>
      <c r="CL2452" s="1070"/>
      <c r="CM2452" s="1070"/>
      <c r="CN2452" s="1070"/>
      <c r="CO2452" s="1070"/>
      <c r="CP2452" s="1070"/>
      <c r="CQ2452" s="1070"/>
      <c r="CR2452" s="1070"/>
      <c r="CS2452" s="1070"/>
      <c r="CT2452" s="1070"/>
      <c r="CU2452" s="1070"/>
      <c r="CV2452" s="1070"/>
      <c r="CW2452" s="1070"/>
      <c r="CX2452" s="1070"/>
      <c r="CY2452" s="1070"/>
      <c r="CZ2452" s="1070"/>
      <c r="DA2452" s="1070"/>
      <c r="DB2452" s="1070"/>
      <c r="DC2452" s="1070"/>
      <c r="DD2452" s="1070"/>
      <c r="DE2452" s="1070"/>
      <c r="DF2452" s="1070"/>
      <c r="DG2452" s="1070"/>
      <c r="DH2452" s="1070"/>
      <c r="DI2452" s="1070"/>
      <c r="DJ2452" s="1070"/>
    </row>
    <row r="2453" spans="1:114" s="1136" customFormat="1" ht="15.75" x14ac:dyDescent="0.25">
      <c r="A2453" s="1422" t="s">
        <v>4152</v>
      </c>
      <c r="B2453" s="1439" t="e">
        <f>(B245/(B2386-B2391))*B2389</f>
        <v>#VALUE!</v>
      </c>
      <c r="C2453" s="1432"/>
      <c r="D2453" s="1437"/>
      <c r="E2453" s="1437"/>
      <c r="F2453" s="1437"/>
      <c r="G2453" s="1437"/>
      <c r="H2453" s="1350"/>
      <c r="I2453" s="1350"/>
      <c r="J2453" s="1350"/>
      <c r="K2453" s="1350"/>
      <c r="L2453" s="1350"/>
      <c r="M2453" s="1350"/>
      <c r="N2453" s="1350"/>
      <c r="O2453" s="1350"/>
      <c r="P2453" s="1350"/>
      <c r="Q2453" s="1350"/>
      <c r="R2453" s="1350"/>
      <c r="S2453" s="1350"/>
      <c r="T2453" s="1350"/>
      <c r="U2453" s="1350"/>
      <c r="V2453" s="1350"/>
      <c r="W2453" s="1350"/>
      <c r="X2453" s="1350"/>
      <c r="Y2453" s="1350"/>
      <c r="Z2453" s="1350"/>
      <c r="AA2453" s="1350"/>
      <c r="AB2453" s="1350"/>
      <c r="AC2453" s="1350"/>
      <c r="AD2453" s="1350"/>
      <c r="AE2453" s="1350"/>
      <c r="AF2453" s="1350"/>
      <c r="AG2453" s="1350"/>
      <c r="AH2453" s="1350"/>
      <c r="AI2453" s="1350"/>
      <c r="AJ2453" s="1350"/>
      <c r="AK2453" s="1350"/>
      <c r="AL2453" s="1350"/>
      <c r="AM2453" s="1350"/>
      <c r="AN2453" s="1350"/>
      <c r="AO2453" s="1350"/>
      <c r="AP2453" s="1350"/>
      <c r="AQ2453" s="1350"/>
      <c r="AR2453" s="1350"/>
      <c r="AS2453" s="1350"/>
      <c r="AT2453" s="1350"/>
      <c r="AU2453" s="1350"/>
      <c r="AV2453" s="1350"/>
      <c r="AW2453" s="1350"/>
      <c r="AX2453" s="1350"/>
      <c r="AY2453" s="1350"/>
      <c r="AZ2453" s="1350"/>
      <c r="BA2453" s="1070"/>
      <c r="BB2453" s="1070"/>
      <c r="BC2453" s="1070"/>
      <c r="BD2453" s="1070"/>
      <c r="BE2453" s="1070"/>
      <c r="BF2453" s="1070"/>
      <c r="BG2453" s="1070"/>
      <c r="BH2453" s="1070"/>
      <c r="BI2453" s="1070"/>
      <c r="BJ2453" s="1070"/>
      <c r="BK2453" s="1070"/>
      <c r="BL2453" s="1070"/>
      <c r="BM2453" s="1070"/>
      <c r="BN2453" s="1070"/>
      <c r="BO2453" s="1070"/>
      <c r="BP2453" s="1070"/>
      <c r="BQ2453" s="1070"/>
      <c r="BR2453" s="1070"/>
      <c r="BS2453" s="1070"/>
      <c r="BT2453" s="1070"/>
      <c r="BU2453" s="1070"/>
      <c r="BV2453" s="1070"/>
      <c r="BW2453" s="1070"/>
      <c r="BX2453" s="1070"/>
      <c r="BY2453" s="1070"/>
      <c r="BZ2453" s="1070"/>
      <c r="CA2453" s="1070"/>
      <c r="CB2453" s="1070"/>
      <c r="CC2453" s="1070"/>
      <c r="CD2453" s="1070"/>
      <c r="CE2453" s="1070"/>
      <c r="CF2453" s="1070"/>
      <c r="CG2453" s="1070"/>
      <c r="CH2453" s="1070"/>
      <c r="CI2453" s="1070"/>
      <c r="CJ2453" s="1070"/>
      <c r="CK2453" s="1070"/>
      <c r="CL2453" s="1070"/>
      <c r="CM2453" s="1070"/>
      <c r="CN2453" s="1070"/>
      <c r="CO2453" s="1070"/>
      <c r="CP2453" s="1070"/>
      <c r="CQ2453" s="1070"/>
      <c r="CR2453" s="1070"/>
      <c r="CS2453" s="1070"/>
      <c r="CT2453" s="1070"/>
      <c r="CU2453" s="1070"/>
      <c r="CV2453" s="1070"/>
      <c r="CW2453" s="1070"/>
      <c r="CX2453" s="1070"/>
      <c r="CY2453" s="1070"/>
      <c r="CZ2453" s="1070"/>
      <c r="DA2453" s="1070"/>
      <c r="DB2453" s="1070"/>
      <c r="DC2453" s="1070"/>
      <c r="DD2453" s="1070"/>
      <c r="DE2453" s="1070"/>
      <c r="DF2453" s="1070"/>
      <c r="DG2453" s="1070"/>
      <c r="DH2453" s="1070"/>
      <c r="DI2453" s="1070"/>
      <c r="DJ2453" s="1070"/>
    </row>
    <row r="2454" spans="1:114" s="1136" customFormat="1" ht="15.75" x14ac:dyDescent="0.25">
      <c r="A2454" s="1422" t="s">
        <v>425</v>
      </c>
      <c r="B2454" s="1424" t="e">
        <f>INDEX($U$3487:$X$3496,B2456,B2457)</f>
        <v>#VALUE!</v>
      </c>
      <c r="C2454" s="1429"/>
      <c r="D2454" s="1437"/>
      <c r="E2454" s="1437"/>
      <c r="F2454" s="1437"/>
      <c r="G2454" s="1437"/>
      <c r="H2454" s="1350"/>
      <c r="I2454" s="1350"/>
      <c r="J2454" s="1350"/>
      <c r="K2454" s="1350"/>
      <c r="L2454" s="1350"/>
      <c r="M2454" s="1350"/>
      <c r="N2454" s="1350"/>
      <c r="O2454" s="1350"/>
      <c r="P2454" s="1350"/>
      <c r="Q2454" s="1350"/>
      <c r="R2454" s="1350"/>
      <c r="S2454" s="1350"/>
      <c r="T2454" s="1350"/>
      <c r="U2454" s="1350"/>
      <c r="V2454" s="1350"/>
      <c r="W2454" s="1350"/>
      <c r="X2454" s="1350"/>
      <c r="Y2454" s="1350"/>
      <c r="Z2454" s="1350"/>
      <c r="AA2454" s="1350"/>
      <c r="AB2454" s="1350"/>
      <c r="AC2454" s="1350"/>
      <c r="AD2454" s="1350"/>
      <c r="AE2454" s="1350"/>
      <c r="AF2454" s="1350"/>
      <c r="AG2454" s="1350"/>
      <c r="AH2454" s="1350"/>
      <c r="AI2454" s="1350"/>
      <c r="AJ2454" s="1350"/>
      <c r="AK2454" s="1350"/>
      <c r="AL2454" s="1350"/>
      <c r="AM2454" s="1350"/>
      <c r="AN2454" s="1350"/>
      <c r="AO2454" s="1350"/>
      <c r="AP2454" s="1350"/>
      <c r="AQ2454" s="1350"/>
      <c r="AR2454" s="1350"/>
      <c r="AS2454" s="1350"/>
      <c r="AT2454" s="1350"/>
      <c r="AU2454" s="1350"/>
      <c r="AV2454" s="1350"/>
      <c r="AW2454" s="1350"/>
      <c r="AX2454" s="1350"/>
      <c r="AY2454" s="1350"/>
      <c r="AZ2454" s="1350"/>
      <c r="BA2454" s="1070"/>
      <c r="BB2454" s="1070"/>
      <c r="BC2454" s="1070"/>
      <c r="BD2454" s="1070"/>
      <c r="BE2454" s="1070"/>
      <c r="BF2454" s="1070"/>
      <c r="BG2454" s="1070"/>
      <c r="BH2454" s="1070"/>
      <c r="BI2454" s="1070"/>
      <c r="BJ2454" s="1070"/>
      <c r="BK2454" s="1070"/>
      <c r="BL2454" s="1070"/>
      <c r="BM2454" s="1070"/>
      <c r="BN2454" s="1070"/>
      <c r="BO2454" s="1070"/>
      <c r="BP2454" s="1070"/>
      <c r="BQ2454" s="1070"/>
      <c r="BR2454" s="1070"/>
      <c r="BS2454" s="1070"/>
      <c r="BT2454" s="1070"/>
      <c r="BU2454" s="1070"/>
      <c r="BV2454" s="1070"/>
      <c r="BW2454" s="1070"/>
      <c r="BX2454" s="1070"/>
      <c r="BY2454" s="1070"/>
      <c r="BZ2454" s="1070"/>
      <c r="CA2454" s="1070"/>
      <c r="CB2454" s="1070"/>
      <c r="CC2454" s="1070"/>
      <c r="CD2454" s="1070"/>
      <c r="CE2454" s="1070"/>
      <c r="CF2454" s="1070"/>
      <c r="CG2454" s="1070"/>
      <c r="CH2454" s="1070"/>
      <c r="CI2454" s="1070"/>
      <c r="CJ2454" s="1070"/>
      <c r="CK2454" s="1070"/>
      <c r="CL2454" s="1070"/>
      <c r="CM2454" s="1070"/>
      <c r="CN2454" s="1070"/>
      <c r="CO2454" s="1070"/>
      <c r="CP2454" s="1070"/>
      <c r="CQ2454" s="1070"/>
      <c r="CR2454" s="1070"/>
      <c r="CS2454" s="1070"/>
      <c r="CT2454" s="1070"/>
      <c r="CU2454" s="1070"/>
      <c r="CV2454" s="1070"/>
      <c r="CW2454" s="1070"/>
      <c r="CX2454" s="1070"/>
      <c r="CY2454" s="1070"/>
      <c r="CZ2454" s="1070"/>
      <c r="DA2454" s="1070"/>
      <c r="DB2454" s="1070"/>
      <c r="DC2454" s="1070"/>
      <c r="DD2454" s="1070"/>
      <c r="DE2454" s="1070"/>
      <c r="DF2454" s="1070"/>
      <c r="DG2454" s="1070"/>
      <c r="DH2454" s="1070"/>
      <c r="DI2454" s="1070"/>
      <c r="DJ2454" s="1070"/>
    </row>
    <row r="2455" spans="1:114" s="1136" customFormat="1" ht="15.75" x14ac:dyDescent="0.25">
      <c r="A2455" s="1448" t="s">
        <v>1719</v>
      </c>
      <c r="B2455" s="1439"/>
      <c r="C2455" s="1432"/>
      <c r="D2455" s="1446"/>
      <c r="E2455" s="1446"/>
      <c r="F2455" s="1446"/>
      <c r="G2455" s="1446"/>
      <c r="H2455" s="1350"/>
      <c r="I2455" s="1350"/>
      <c r="J2455" s="1350"/>
      <c r="K2455" s="1350"/>
      <c r="L2455" s="1350"/>
      <c r="M2455" s="1350"/>
      <c r="N2455" s="1350"/>
      <c r="O2455" s="1350"/>
      <c r="P2455" s="1350"/>
      <c r="Q2455" s="1350"/>
      <c r="R2455" s="1350"/>
      <c r="S2455" s="1350"/>
      <c r="T2455" s="1350"/>
      <c r="U2455" s="1350"/>
      <c r="V2455" s="1350"/>
      <c r="W2455" s="1350"/>
      <c r="X2455" s="1350"/>
      <c r="Y2455" s="1350"/>
      <c r="Z2455" s="1350"/>
      <c r="AA2455" s="1350"/>
      <c r="AB2455" s="1350"/>
      <c r="AC2455" s="1350"/>
      <c r="AD2455" s="1350"/>
      <c r="AE2455" s="1350"/>
      <c r="AF2455" s="1350"/>
      <c r="AG2455" s="1350"/>
      <c r="AH2455" s="1350"/>
      <c r="AI2455" s="1350"/>
      <c r="AJ2455" s="1350"/>
      <c r="AK2455" s="1350"/>
      <c r="AL2455" s="1350"/>
      <c r="AM2455" s="1350"/>
      <c r="AN2455" s="1350"/>
      <c r="AO2455" s="1350"/>
      <c r="AP2455" s="1350"/>
      <c r="AQ2455" s="1350"/>
      <c r="AR2455" s="1350"/>
      <c r="AS2455" s="1350"/>
      <c r="AT2455" s="1350"/>
      <c r="AU2455" s="1350"/>
      <c r="AV2455" s="1350"/>
      <c r="AW2455" s="1350"/>
      <c r="AX2455" s="1350"/>
      <c r="AY2455" s="1350"/>
      <c r="AZ2455" s="1350"/>
      <c r="BA2455" s="1070"/>
      <c r="BB2455" s="1070"/>
      <c r="BC2455" s="1070"/>
      <c r="BD2455" s="1070"/>
      <c r="BE2455" s="1070"/>
      <c r="BF2455" s="1070"/>
      <c r="BG2455" s="1070"/>
      <c r="BH2455" s="1070"/>
      <c r="BI2455" s="1070"/>
      <c r="BJ2455" s="1070"/>
      <c r="BK2455" s="1070"/>
      <c r="BL2455" s="1070"/>
      <c r="BM2455" s="1070"/>
      <c r="BN2455" s="1070"/>
      <c r="BO2455" s="1070"/>
      <c r="BP2455" s="1070"/>
      <c r="BQ2455" s="1070"/>
      <c r="BR2455" s="1070"/>
      <c r="BS2455" s="1070"/>
      <c r="BT2455" s="1070"/>
      <c r="BU2455" s="1070"/>
      <c r="BV2455" s="1070"/>
      <c r="BW2455" s="1070"/>
      <c r="BX2455" s="1070"/>
      <c r="BY2455" s="1070"/>
      <c r="BZ2455" s="1070"/>
      <c r="CA2455" s="1070"/>
      <c r="CB2455" s="1070"/>
      <c r="CC2455" s="1070"/>
      <c r="CD2455" s="1070"/>
      <c r="CE2455" s="1070"/>
      <c r="CF2455" s="1070"/>
      <c r="CG2455" s="1070"/>
      <c r="CH2455" s="1070"/>
      <c r="CI2455" s="1070"/>
      <c r="CJ2455" s="1070"/>
      <c r="CK2455" s="1070"/>
      <c r="CL2455" s="1070"/>
      <c r="CM2455" s="1070"/>
      <c r="CN2455" s="1070"/>
      <c r="CO2455" s="1070"/>
      <c r="CP2455" s="1070"/>
      <c r="CQ2455" s="1070"/>
      <c r="CR2455" s="1070"/>
      <c r="CS2455" s="1070"/>
      <c r="CT2455" s="1070"/>
      <c r="CU2455" s="1070"/>
      <c r="CV2455" s="1070"/>
      <c r="CW2455" s="1070"/>
      <c r="CX2455" s="1070"/>
      <c r="CY2455" s="1070"/>
      <c r="CZ2455" s="1070"/>
      <c r="DA2455" s="1070"/>
      <c r="DB2455" s="1070"/>
      <c r="DC2455" s="1070"/>
      <c r="DD2455" s="1070"/>
      <c r="DE2455" s="1070"/>
      <c r="DF2455" s="1070"/>
      <c r="DG2455" s="1070"/>
      <c r="DH2455" s="1070"/>
      <c r="DI2455" s="1070"/>
      <c r="DJ2455" s="1070"/>
    </row>
    <row r="2456" spans="1:114" s="1136" customFormat="1" ht="15.75" x14ac:dyDescent="0.25">
      <c r="A2456" s="1422" t="s">
        <v>1319</v>
      </c>
      <c r="B2456" s="1441" t="e">
        <f>B2400</f>
        <v>#VALUE!</v>
      </c>
      <c r="C2456" s="1434"/>
      <c r="D2456" s="1437"/>
      <c r="E2456" s="1437"/>
      <c r="F2456" s="1437"/>
      <c r="G2456" s="1437"/>
      <c r="H2456" s="1350"/>
      <c r="I2456" s="1350"/>
      <c r="J2456" s="1350"/>
      <c r="K2456" s="1350"/>
      <c r="L2456" s="1350"/>
      <c r="M2456" s="1350"/>
      <c r="N2456" s="1350"/>
      <c r="O2456" s="1350"/>
      <c r="P2456" s="1350"/>
      <c r="Q2456" s="1350"/>
      <c r="R2456" s="1350"/>
      <c r="S2456" s="1350"/>
      <c r="T2456" s="1350"/>
      <c r="U2456" s="1350"/>
      <c r="V2456" s="1350"/>
      <c r="W2456" s="1350"/>
      <c r="X2456" s="1350"/>
      <c r="Y2456" s="1350"/>
      <c r="Z2456" s="1350"/>
      <c r="AA2456" s="1350"/>
      <c r="AB2456" s="1350"/>
      <c r="AC2456" s="1350"/>
      <c r="AD2456" s="1350"/>
      <c r="AE2456" s="1350"/>
      <c r="AF2456" s="1350"/>
      <c r="AG2456" s="1350"/>
      <c r="AH2456" s="1350"/>
      <c r="AI2456" s="1350"/>
      <c r="AJ2456" s="1350"/>
      <c r="AK2456" s="1350"/>
      <c r="AL2456" s="1350"/>
      <c r="AM2456" s="1350"/>
      <c r="AN2456" s="1350"/>
      <c r="AO2456" s="1350"/>
      <c r="AP2456" s="1350"/>
      <c r="AQ2456" s="1350"/>
      <c r="AR2456" s="1350"/>
      <c r="AS2456" s="1350"/>
      <c r="AT2456" s="1350"/>
      <c r="AU2456" s="1350"/>
      <c r="AV2456" s="1350"/>
      <c r="AW2456" s="1350"/>
      <c r="AX2456" s="1350"/>
      <c r="AY2456" s="1350"/>
      <c r="AZ2456" s="1350"/>
      <c r="BA2456" s="1070"/>
      <c r="BB2456" s="1070"/>
      <c r="BC2456" s="1070"/>
      <c r="BD2456" s="1070"/>
      <c r="BE2456" s="1070"/>
      <c r="BF2456" s="1070"/>
      <c r="BG2456" s="1070"/>
      <c r="BH2456" s="1070"/>
      <c r="BI2456" s="1070"/>
      <c r="BJ2456" s="1070"/>
      <c r="BK2456" s="1070"/>
      <c r="BL2456" s="1070"/>
      <c r="BM2456" s="1070"/>
      <c r="BN2456" s="1070"/>
      <c r="BO2456" s="1070"/>
      <c r="BP2456" s="1070"/>
      <c r="BQ2456" s="1070"/>
      <c r="BR2456" s="1070"/>
      <c r="BS2456" s="1070"/>
      <c r="BT2456" s="1070"/>
      <c r="BU2456" s="1070"/>
      <c r="BV2456" s="1070"/>
      <c r="BW2456" s="1070"/>
      <c r="BX2456" s="1070"/>
      <c r="BY2456" s="1070"/>
      <c r="BZ2456" s="1070"/>
      <c r="CA2456" s="1070"/>
      <c r="CB2456" s="1070"/>
      <c r="CC2456" s="1070"/>
      <c r="CD2456" s="1070"/>
      <c r="CE2456" s="1070"/>
      <c r="CF2456" s="1070"/>
      <c r="CG2456" s="1070"/>
      <c r="CH2456" s="1070"/>
      <c r="CI2456" s="1070"/>
      <c r="CJ2456" s="1070"/>
      <c r="CK2456" s="1070"/>
      <c r="CL2456" s="1070"/>
      <c r="CM2456" s="1070"/>
      <c r="CN2456" s="1070"/>
      <c r="CO2456" s="1070"/>
      <c r="CP2456" s="1070"/>
      <c r="CQ2456" s="1070"/>
      <c r="CR2456" s="1070"/>
      <c r="CS2456" s="1070"/>
      <c r="CT2456" s="1070"/>
      <c r="CU2456" s="1070"/>
      <c r="CV2456" s="1070"/>
      <c r="CW2456" s="1070"/>
      <c r="CX2456" s="1070"/>
      <c r="CY2456" s="1070"/>
      <c r="CZ2456" s="1070"/>
      <c r="DA2456" s="1070"/>
      <c r="DB2456" s="1070"/>
      <c r="DC2456" s="1070"/>
      <c r="DD2456" s="1070"/>
      <c r="DE2456" s="1070"/>
      <c r="DF2456" s="1070"/>
      <c r="DG2456" s="1070"/>
      <c r="DH2456" s="1070"/>
      <c r="DI2456" s="1070"/>
      <c r="DJ2456" s="1070"/>
    </row>
    <row r="2457" spans="1:114" s="1136" customFormat="1" ht="15.75" x14ac:dyDescent="0.25">
      <c r="A2457" s="1422" t="s">
        <v>427</v>
      </c>
      <c r="B2457" s="1441">
        <f>B2402</f>
        <v>4</v>
      </c>
      <c r="C2457" s="1434"/>
      <c r="D2457" s="1432"/>
      <c r="E2457" s="1432"/>
      <c r="F2457" s="1432"/>
      <c r="G2457" s="1432"/>
      <c r="H2457" s="1350"/>
      <c r="I2457" s="1350"/>
      <c r="J2457" s="1350"/>
      <c r="K2457" s="1350"/>
      <c r="L2457" s="1350"/>
      <c r="M2457" s="1350"/>
      <c r="N2457" s="1350"/>
      <c r="O2457" s="1350"/>
      <c r="P2457" s="1350"/>
      <c r="Q2457" s="1350"/>
      <c r="R2457" s="1350"/>
      <c r="S2457" s="1350"/>
      <c r="T2457" s="1350"/>
      <c r="U2457" s="1350"/>
      <c r="V2457" s="1350"/>
      <c r="W2457" s="1350"/>
      <c r="X2457" s="1350"/>
      <c r="Y2457" s="1350"/>
      <c r="Z2457" s="1350"/>
      <c r="AA2457" s="1350"/>
      <c r="AB2457" s="1350"/>
      <c r="AC2457" s="1350"/>
      <c r="AD2457" s="1350"/>
      <c r="AE2457" s="1350"/>
      <c r="AF2457" s="1350"/>
      <c r="AG2457" s="1350"/>
      <c r="AH2457" s="1350"/>
      <c r="AI2457" s="1350"/>
      <c r="AJ2457" s="1350"/>
      <c r="AK2457" s="1350"/>
      <c r="AL2457" s="1350"/>
      <c r="AM2457" s="1350"/>
      <c r="AN2457" s="1350"/>
      <c r="AO2457" s="1350"/>
      <c r="AP2457" s="1350"/>
      <c r="AQ2457" s="1350"/>
      <c r="AR2457" s="1350"/>
      <c r="AS2457" s="1350"/>
      <c r="AT2457" s="1350"/>
      <c r="AU2457" s="1350"/>
      <c r="AV2457" s="1350"/>
      <c r="AW2457" s="1350"/>
      <c r="AX2457" s="1350"/>
      <c r="AY2457" s="1350"/>
      <c r="AZ2457" s="1350"/>
      <c r="BA2457" s="1070"/>
      <c r="BB2457" s="1070"/>
      <c r="BC2457" s="1070"/>
      <c r="BD2457" s="1070"/>
      <c r="BE2457" s="1070"/>
      <c r="BF2457" s="1070"/>
      <c r="BG2457" s="1070"/>
      <c r="BH2457" s="1070"/>
      <c r="BI2457" s="1070"/>
      <c r="BJ2457" s="1070"/>
      <c r="BK2457" s="1070"/>
      <c r="BL2457" s="1070"/>
      <c r="BM2457" s="1070"/>
      <c r="BN2457" s="1070"/>
      <c r="BO2457" s="1070"/>
      <c r="BP2457" s="1070"/>
      <c r="BQ2457" s="1070"/>
      <c r="BR2457" s="1070"/>
      <c r="BS2457" s="1070"/>
      <c r="BT2457" s="1070"/>
      <c r="BU2457" s="1070"/>
      <c r="BV2457" s="1070"/>
      <c r="BW2457" s="1070"/>
      <c r="BX2457" s="1070"/>
      <c r="BY2457" s="1070"/>
      <c r="BZ2457" s="1070"/>
      <c r="CA2457" s="1070"/>
      <c r="CB2457" s="1070"/>
      <c r="CC2457" s="1070"/>
      <c r="CD2457" s="1070"/>
      <c r="CE2457" s="1070"/>
      <c r="CF2457" s="1070"/>
      <c r="CG2457" s="1070"/>
      <c r="CH2457" s="1070"/>
      <c r="CI2457" s="1070"/>
      <c r="CJ2457" s="1070"/>
      <c r="CK2457" s="1070"/>
      <c r="CL2457" s="1070"/>
      <c r="CM2457" s="1070"/>
      <c r="CN2457" s="1070"/>
      <c r="CO2457" s="1070"/>
      <c r="CP2457" s="1070"/>
      <c r="CQ2457" s="1070"/>
      <c r="CR2457" s="1070"/>
      <c r="CS2457" s="1070"/>
      <c r="CT2457" s="1070"/>
      <c r="CU2457" s="1070"/>
      <c r="CV2457" s="1070"/>
      <c r="CW2457" s="1070"/>
      <c r="CX2457" s="1070"/>
      <c r="CY2457" s="1070"/>
      <c r="CZ2457" s="1070"/>
      <c r="DA2457" s="1070"/>
      <c r="DB2457" s="1070"/>
      <c r="DC2457" s="1070"/>
      <c r="DD2457" s="1070"/>
      <c r="DE2457" s="1070"/>
      <c r="DF2457" s="1070"/>
      <c r="DG2457" s="1070"/>
      <c r="DH2457" s="1070"/>
      <c r="DI2457" s="1070"/>
      <c r="DJ2457" s="1070"/>
    </row>
    <row r="2458" spans="1:114" s="1136" customFormat="1" ht="15.75" x14ac:dyDescent="0.25">
      <c r="A2458" s="1422" t="s">
        <v>1322</v>
      </c>
      <c r="B2458" s="1441"/>
      <c r="C2458" s="1434"/>
      <c r="D2458" s="1350"/>
      <c r="E2458" s="1350"/>
      <c r="F2458" s="1350"/>
      <c r="G2458" s="1350"/>
      <c r="H2458" s="1350"/>
      <c r="I2458" s="1350"/>
      <c r="J2458" s="1350"/>
      <c r="K2458" s="1350"/>
      <c r="L2458" s="1350"/>
      <c r="M2458" s="1350"/>
      <c r="N2458" s="1350"/>
      <c r="O2458" s="1350"/>
      <c r="P2458" s="1350"/>
      <c r="Q2458" s="1350"/>
      <c r="R2458" s="1350"/>
      <c r="S2458" s="1350"/>
      <c r="T2458" s="1350"/>
      <c r="U2458" s="1350"/>
      <c r="V2458" s="1350"/>
      <c r="W2458" s="1350"/>
      <c r="X2458" s="1350"/>
      <c r="Y2458" s="1350"/>
      <c r="Z2458" s="1350"/>
      <c r="AA2458" s="1350"/>
      <c r="AB2458" s="1350"/>
      <c r="AC2458" s="1350"/>
      <c r="AD2458" s="1350"/>
      <c r="AE2458" s="1350"/>
      <c r="AF2458" s="1350"/>
      <c r="AG2458" s="1350"/>
      <c r="AH2458" s="1350"/>
      <c r="AI2458" s="1350"/>
      <c r="AJ2458" s="1350"/>
      <c r="AK2458" s="1350"/>
      <c r="AL2458" s="1350"/>
      <c r="AM2458" s="1350"/>
      <c r="AN2458" s="1350"/>
      <c r="AO2458" s="1350"/>
      <c r="AP2458" s="1350"/>
      <c r="AQ2458" s="1350"/>
      <c r="AR2458" s="1350"/>
      <c r="AS2458" s="1350"/>
      <c r="AT2458" s="1350"/>
      <c r="AU2458" s="1350"/>
      <c r="AV2458" s="1350"/>
      <c r="AW2458" s="1350"/>
      <c r="AX2458" s="1350"/>
      <c r="AY2458" s="1350"/>
      <c r="AZ2458" s="1350"/>
      <c r="BA2458" s="1070"/>
      <c r="BB2458" s="1070"/>
      <c r="BC2458" s="1070"/>
      <c r="BD2458" s="1070"/>
      <c r="BE2458" s="1070"/>
      <c r="BF2458" s="1070"/>
      <c r="BG2458" s="1070"/>
      <c r="BH2458" s="1070"/>
      <c r="BI2458" s="1070"/>
      <c r="BJ2458" s="1070"/>
      <c r="BK2458" s="1070"/>
      <c r="BL2458" s="1070"/>
      <c r="BM2458" s="1070"/>
      <c r="BN2458" s="1070"/>
      <c r="BO2458" s="1070"/>
      <c r="BP2458" s="1070"/>
      <c r="BQ2458" s="1070"/>
      <c r="BR2458" s="1070"/>
      <c r="BS2458" s="1070"/>
      <c r="BT2458" s="1070"/>
      <c r="BU2458" s="1070"/>
      <c r="BV2458" s="1070"/>
      <c r="BW2458" s="1070"/>
      <c r="BX2458" s="1070"/>
      <c r="BY2458" s="1070"/>
      <c r="BZ2458" s="1070"/>
      <c r="CA2458" s="1070"/>
      <c r="CB2458" s="1070"/>
      <c r="CC2458" s="1070"/>
      <c r="CD2458" s="1070"/>
      <c r="CE2458" s="1070"/>
      <c r="CF2458" s="1070"/>
      <c r="CG2458" s="1070"/>
      <c r="CH2458" s="1070"/>
      <c r="CI2458" s="1070"/>
      <c r="CJ2458" s="1070"/>
      <c r="CK2458" s="1070"/>
      <c r="CL2458" s="1070"/>
      <c r="CM2458" s="1070"/>
      <c r="CN2458" s="1070"/>
      <c r="CO2458" s="1070"/>
      <c r="CP2458" s="1070"/>
      <c r="CQ2458" s="1070"/>
      <c r="CR2458" s="1070"/>
      <c r="CS2458" s="1070"/>
      <c r="CT2458" s="1070"/>
      <c r="CU2458" s="1070"/>
      <c r="CV2458" s="1070"/>
      <c r="CW2458" s="1070"/>
      <c r="CX2458" s="1070"/>
      <c r="CY2458" s="1070"/>
      <c r="CZ2458" s="1070"/>
      <c r="DA2458" s="1070"/>
      <c r="DB2458" s="1070"/>
      <c r="DC2458" s="1070"/>
      <c r="DD2458" s="1070"/>
      <c r="DE2458" s="1070"/>
      <c r="DF2458" s="1070"/>
      <c r="DG2458" s="1070"/>
      <c r="DH2458" s="1070"/>
      <c r="DI2458" s="1070"/>
      <c r="DJ2458" s="1070"/>
    </row>
    <row r="2459" spans="1:114" s="1136" customFormat="1" ht="15.75" x14ac:dyDescent="0.25">
      <c r="A2459" s="1422" t="s">
        <v>2973</v>
      </c>
      <c r="B2459" s="1449">
        <f>B2386</f>
        <v>4</v>
      </c>
      <c r="C2459" s="1437"/>
      <c r="D2459" s="1350"/>
      <c r="E2459" s="1350"/>
      <c r="F2459" s="1350"/>
      <c r="G2459" s="1350"/>
      <c r="H2459" s="1350"/>
      <c r="I2459" s="1350"/>
      <c r="J2459" s="1350"/>
      <c r="K2459" s="1350"/>
      <c r="L2459" s="1350"/>
      <c r="M2459" s="1350"/>
      <c r="N2459" s="1350"/>
      <c r="O2459" s="1350"/>
      <c r="P2459" s="1350"/>
      <c r="Q2459" s="1350"/>
      <c r="R2459" s="1350"/>
      <c r="S2459" s="1350"/>
      <c r="T2459" s="1350"/>
      <c r="U2459" s="1350"/>
      <c r="V2459" s="1350"/>
      <c r="W2459" s="1350"/>
      <c r="X2459" s="1350"/>
      <c r="Y2459" s="1350"/>
      <c r="Z2459" s="1350"/>
      <c r="AA2459" s="1350"/>
      <c r="AB2459" s="1350"/>
      <c r="AC2459" s="1350"/>
      <c r="AD2459" s="1350"/>
      <c r="AE2459" s="1350"/>
      <c r="AF2459" s="1350"/>
      <c r="AG2459" s="1350"/>
      <c r="AH2459" s="1350"/>
      <c r="AI2459" s="1350"/>
      <c r="AJ2459" s="1350"/>
      <c r="AK2459" s="1350"/>
      <c r="AL2459" s="1350"/>
      <c r="AM2459" s="1350"/>
      <c r="AN2459" s="1350"/>
      <c r="AO2459" s="1350"/>
      <c r="AP2459" s="1350"/>
      <c r="AQ2459" s="1350"/>
      <c r="AR2459" s="1350"/>
      <c r="AS2459" s="1350"/>
      <c r="AT2459" s="1350"/>
      <c r="AU2459" s="1350"/>
      <c r="AV2459" s="1350"/>
      <c r="AW2459" s="1350"/>
      <c r="AX2459" s="1350"/>
      <c r="AY2459" s="1350"/>
      <c r="AZ2459" s="1350"/>
      <c r="BA2459" s="1070"/>
      <c r="BB2459" s="1070"/>
      <c r="BC2459" s="1070"/>
      <c r="BD2459" s="1070"/>
      <c r="BE2459" s="1070"/>
      <c r="BF2459" s="1070"/>
      <c r="BG2459" s="1070"/>
      <c r="BH2459" s="1070"/>
      <c r="BI2459" s="1070"/>
      <c r="BJ2459" s="1070"/>
      <c r="BK2459" s="1070"/>
      <c r="BL2459" s="1070"/>
      <c r="BM2459" s="1070"/>
      <c r="BN2459" s="1070"/>
      <c r="BO2459" s="1070"/>
      <c r="BP2459" s="1070"/>
      <c r="BQ2459" s="1070"/>
      <c r="BR2459" s="1070"/>
      <c r="BS2459" s="1070"/>
      <c r="BT2459" s="1070"/>
      <c r="BU2459" s="1070"/>
      <c r="BV2459" s="1070"/>
      <c r="BW2459" s="1070"/>
      <c r="BX2459" s="1070"/>
      <c r="BY2459" s="1070"/>
      <c r="BZ2459" s="1070"/>
      <c r="CA2459" s="1070"/>
      <c r="CB2459" s="1070"/>
      <c r="CC2459" s="1070"/>
      <c r="CD2459" s="1070"/>
      <c r="CE2459" s="1070"/>
      <c r="CF2459" s="1070"/>
      <c r="CG2459" s="1070"/>
      <c r="CH2459" s="1070"/>
      <c r="CI2459" s="1070"/>
      <c r="CJ2459" s="1070"/>
      <c r="CK2459" s="1070"/>
      <c r="CL2459" s="1070"/>
      <c r="CM2459" s="1070"/>
      <c r="CN2459" s="1070"/>
      <c r="CO2459" s="1070"/>
      <c r="CP2459" s="1070"/>
      <c r="CQ2459" s="1070"/>
      <c r="CR2459" s="1070"/>
      <c r="CS2459" s="1070"/>
      <c r="CT2459" s="1070"/>
      <c r="CU2459" s="1070"/>
      <c r="CV2459" s="1070"/>
      <c r="CW2459" s="1070"/>
      <c r="CX2459" s="1070"/>
      <c r="CY2459" s="1070"/>
      <c r="CZ2459" s="1070"/>
      <c r="DA2459" s="1070"/>
      <c r="DB2459" s="1070"/>
      <c r="DC2459" s="1070"/>
      <c r="DD2459" s="1070"/>
      <c r="DE2459" s="1070"/>
      <c r="DF2459" s="1070"/>
      <c r="DG2459" s="1070"/>
      <c r="DH2459" s="1070"/>
      <c r="DI2459" s="1070"/>
      <c r="DJ2459" s="1070"/>
    </row>
    <row r="2460" spans="1:114" s="1136" customFormat="1" ht="15.75" x14ac:dyDescent="0.25">
      <c r="A2460" s="1448" t="s">
        <v>2974</v>
      </c>
      <c r="B2460" s="1423">
        <f>B2459*0.02*500</f>
        <v>40</v>
      </c>
      <c r="C2460" s="1429"/>
      <c r="D2460" s="1432"/>
      <c r="E2460" s="1432"/>
      <c r="F2460" s="1432"/>
      <c r="G2460" s="1432"/>
      <c r="H2460" s="1350"/>
      <c r="I2460" s="1350"/>
      <c r="J2460" s="1350"/>
      <c r="K2460" s="1350"/>
      <c r="L2460" s="1350"/>
      <c r="M2460" s="1350"/>
      <c r="N2460" s="1350"/>
      <c r="O2460" s="1350"/>
      <c r="P2460" s="1350"/>
      <c r="Q2460" s="1350"/>
      <c r="R2460" s="1350"/>
      <c r="S2460" s="1350"/>
      <c r="T2460" s="1350"/>
      <c r="U2460" s="1350"/>
      <c r="V2460" s="1350"/>
      <c r="W2460" s="1350"/>
      <c r="X2460" s="1350"/>
      <c r="Y2460" s="1350"/>
      <c r="Z2460" s="1350"/>
      <c r="AA2460" s="1350"/>
      <c r="AB2460" s="1350"/>
      <c r="AC2460" s="1350"/>
      <c r="AD2460" s="1350"/>
      <c r="AE2460" s="1350"/>
      <c r="AF2460" s="1350"/>
      <c r="AG2460" s="1350"/>
      <c r="AH2460" s="1350"/>
      <c r="AI2460" s="1350"/>
      <c r="AJ2460" s="1350"/>
      <c r="AK2460" s="1350"/>
      <c r="AL2460" s="1350"/>
      <c r="AM2460" s="1350"/>
      <c r="AN2460" s="1350"/>
      <c r="AO2460" s="1350"/>
      <c r="AP2460" s="1350"/>
      <c r="AQ2460" s="1350"/>
      <c r="AR2460" s="1350"/>
      <c r="AS2460" s="1350"/>
      <c r="AT2460" s="1350"/>
      <c r="AU2460" s="1350"/>
      <c r="AV2460" s="1350"/>
      <c r="AW2460" s="1350"/>
      <c r="AX2460" s="1350"/>
      <c r="AY2460" s="1350"/>
      <c r="AZ2460" s="1350"/>
      <c r="BA2460" s="1070"/>
      <c r="BB2460" s="1070"/>
      <c r="BC2460" s="1070"/>
      <c r="BD2460" s="1070"/>
      <c r="BE2460" s="1070"/>
      <c r="BF2460" s="1070"/>
      <c r="BG2460" s="1070"/>
      <c r="BH2460" s="1070"/>
      <c r="BI2460" s="1070"/>
      <c r="BJ2460" s="1070"/>
      <c r="BK2460" s="1070"/>
      <c r="BL2460" s="1070"/>
      <c r="BM2460" s="1070"/>
      <c r="BN2460" s="1070"/>
      <c r="BO2460" s="1070"/>
      <c r="BP2460" s="1070"/>
      <c r="BQ2460" s="1070"/>
      <c r="BR2460" s="1070"/>
      <c r="BS2460" s="1070"/>
      <c r="BT2460" s="1070"/>
      <c r="BU2460" s="1070"/>
      <c r="BV2460" s="1070"/>
      <c r="BW2460" s="1070"/>
      <c r="BX2460" s="1070"/>
      <c r="BY2460" s="1070"/>
      <c r="BZ2460" s="1070"/>
      <c r="CA2460" s="1070"/>
      <c r="CB2460" s="1070"/>
      <c r="CC2460" s="1070"/>
      <c r="CD2460" s="1070"/>
      <c r="CE2460" s="1070"/>
      <c r="CF2460" s="1070"/>
      <c r="CG2460" s="1070"/>
      <c r="CH2460" s="1070"/>
      <c r="CI2460" s="1070"/>
      <c r="CJ2460" s="1070"/>
      <c r="CK2460" s="1070"/>
      <c r="CL2460" s="1070"/>
      <c r="CM2460" s="1070"/>
      <c r="CN2460" s="1070"/>
      <c r="CO2460" s="1070"/>
      <c r="CP2460" s="1070"/>
      <c r="CQ2460" s="1070"/>
      <c r="CR2460" s="1070"/>
      <c r="CS2460" s="1070"/>
      <c r="CT2460" s="1070"/>
      <c r="CU2460" s="1070"/>
      <c r="CV2460" s="1070"/>
      <c r="CW2460" s="1070"/>
      <c r="CX2460" s="1070"/>
      <c r="CY2460" s="1070"/>
      <c r="CZ2460" s="1070"/>
      <c r="DA2460" s="1070"/>
      <c r="DB2460" s="1070"/>
      <c r="DC2460" s="1070"/>
      <c r="DD2460" s="1070"/>
      <c r="DE2460" s="1070"/>
      <c r="DF2460" s="1070"/>
      <c r="DG2460" s="1070"/>
      <c r="DH2460" s="1070"/>
      <c r="DI2460" s="1070"/>
      <c r="DJ2460" s="1070"/>
    </row>
    <row r="2461" spans="1:114" s="1136" customFormat="1" ht="15.75" x14ac:dyDescent="0.25">
      <c r="A2461" s="1422" t="s">
        <v>2975</v>
      </c>
      <c r="B2461" s="1433">
        <f>IF(B2460&lt;20.1,1,IF(B2460&lt;30,0.9,0.85))</f>
        <v>0.85</v>
      </c>
      <c r="C2461" s="1437"/>
      <c r="D2461" s="1429"/>
      <c r="E2461" s="1429"/>
      <c r="F2461" s="1429"/>
      <c r="G2461" s="1429"/>
      <c r="H2461" s="1350"/>
      <c r="I2461" s="1350"/>
      <c r="J2461" s="1350"/>
      <c r="K2461" s="1350"/>
      <c r="L2461" s="1350"/>
      <c r="M2461" s="1350"/>
      <c r="N2461" s="1350"/>
      <c r="O2461" s="1350"/>
      <c r="P2461" s="1350"/>
      <c r="Q2461" s="1350"/>
      <c r="R2461" s="1350"/>
      <c r="S2461" s="1350"/>
      <c r="T2461" s="1350"/>
      <c r="U2461" s="1350"/>
      <c r="V2461" s="1350"/>
      <c r="W2461" s="1350"/>
      <c r="X2461" s="1350"/>
      <c r="Y2461" s="1350"/>
      <c r="Z2461" s="1350"/>
      <c r="AA2461" s="1350"/>
      <c r="AB2461" s="1350"/>
      <c r="AC2461" s="1350"/>
      <c r="AD2461" s="1350"/>
      <c r="AE2461" s="1350"/>
      <c r="AF2461" s="1350"/>
      <c r="AG2461" s="1350"/>
      <c r="AH2461" s="1350"/>
      <c r="AI2461" s="1350"/>
      <c r="AJ2461" s="1350"/>
      <c r="AK2461" s="1350"/>
      <c r="AL2461" s="1350"/>
      <c r="AM2461" s="1350"/>
      <c r="AN2461" s="1350"/>
      <c r="AO2461" s="1350"/>
      <c r="AP2461" s="1350"/>
      <c r="AQ2461" s="1350"/>
      <c r="AR2461" s="1350"/>
      <c r="AS2461" s="1350"/>
      <c r="AT2461" s="1350"/>
      <c r="AU2461" s="1350"/>
      <c r="AV2461" s="1350"/>
      <c r="AW2461" s="1350"/>
      <c r="AX2461" s="1350"/>
      <c r="AY2461" s="1350"/>
      <c r="AZ2461" s="1350"/>
      <c r="BA2461" s="1070"/>
      <c r="BB2461" s="1070"/>
      <c r="BC2461" s="1070"/>
      <c r="BD2461" s="1070"/>
      <c r="BE2461" s="1070"/>
      <c r="BF2461" s="1070"/>
      <c r="BG2461" s="1070"/>
      <c r="BH2461" s="1070"/>
      <c r="BI2461" s="1070"/>
      <c r="BJ2461" s="1070"/>
      <c r="BK2461" s="1070"/>
      <c r="BL2461" s="1070"/>
      <c r="BM2461" s="1070"/>
      <c r="BN2461" s="1070"/>
      <c r="BO2461" s="1070"/>
      <c r="BP2461" s="1070"/>
      <c r="BQ2461" s="1070"/>
      <c r="BR2461" s="1070"/>
      <c r="BS2461" s="1070"/>
      <c r="BT2461" s="1070"/>
      <c r="BU2461" s="1070"/>
      <c r="BV2461" s="1070"/>
      <c r="BW2461" s="1070"/>
      <c r="BX2461" s="1070"/>
      <c r="BY2461" s="1070"/>
      <c r="BZ2461" s="1070"/>
      <c r="CA2461" s="1070"/>
      <c r="CB2461" s="1070"/>
      <c r="CC2461" s="1070"/>
      <c r="CD2461" s="1070"/>
      <c r="CE2461" s="1070"/>
      <c r="CF2461" s="1070"/>
      <c r="CG2461" s="1070"/>
      <c r="CH2461" s="1070"/>
      <c r="CI2461" s="1070"/>
      <c r="CJ2461" s="1070"/>
      <c r="CK2461" s="1070"/>
      <c r="CL2461" s="1070"/>
      <c r="CM2461" s="1070"/>
      <c r="CN2461" s="1070"/>
      <c r="CO2461" s="1070"/>
      <c r="CP2461" s="1070"/>
      <c r="CQ2461" s="1070"/>
      <c r="CR2461" s="1070"/>
      <c r="CS2461" s="1070"/>
      <c r="CT2461" s="1070"/>
      <c r="CU2461" s="1070"/>
      <c r="CV2461" s="1070"/>
      <c r="CW2461" s="1070"/>
      <c r="CX2461" s="1070"/>
      <c r="CY2461" s="1070"/>
      <c r="CZ2461" s="1070"/>
      <c r="DA2461" s="1070"/>
      <c r="DB2461" s="1070"/>
      <c r="DC2461" s="1070"/>
      <c r="DD2461" s="1070"/>
      <c r="DE2461" s="1070"/>
      <c r="DF2461" s="1070"/>
      <c r="DG2461" s="1070"/>
      <c r="DH2461" s="1070"/>
      <c r="DI2461" s="1070"/>
      <c r="DJ2461" s="1070"/>
    </row>
    <row r="2462" spans="1:114" s="1136" customFormat="1" ht="15.75" x14ac:dyDescent="0.25">
      <c r="A2462" s="1422" t="s">
        <v>391</v>
      </c>
      <c r="B2462" s="1443">
        <f>B2405</f>
        <v>1.1499999999999999</v>
      </c>
      <c r="C2462" s="1437"/>
      <c r="D2462" s="1350"/>
      <c r="E2462" s="1350"/>
      <c r="F2462" s="1350"/>
      <c r="G2462" s="1350"/>
      <c r="H2462" s="1350"/>
      <c r="I2462" s="1350"/>
      <c r="J2462" s="1350"/>
      <c r="K2462" s="1350"/>
      <c r="L2462" s="1350"/>
      <c r="M2462" s="1350"/>
      <c r="N2462" s="1350"/>
      <c r="O2462" s="1350"/>
      <c r="P2462" s="1350"/>
      <c r="Q2462" s="1350"/>
      <c r="R2462" s="1350"/>
      <c r="S2462" s="1350"/>
      <c r="T2462" s="1350"/>
      <c r="U2462" s="1350"/>
      <c r="V2462" s="1350"/>
      <c r="W2462" s="1350"/>
      <c r="X2462" s="1350"/>
      <c r="Y2462" s="1350"/>
      <c r="Z2462" s="1350"/>
      <c r="AA2462" s="1350"/>
      <c r="AB2462" s="1350"/>
      <c r="AC2462" s="1350"/>
      <c r="AD2462" s="1350"/>
      <c r="AE2462" s="1350"/>
      <c r="AF2462" s="1350"/>
      <c r="AG2462" s="1350"/>
      <c r="AH2462" s="1350"/>
      <c r="AI2462" s="1350"/>
      <c r="AJ2462" s="1350"/>
      <c r="AK2462" s="1350"/>
      <c r="AL2462" s="1350"/>
      <c r="AM2462" s="1350"/>
      <c r="AN2462" s="1350"/>
      <c r="AO2462" s="1350"/>
      <c r="AP2462" s="1350"/>
      <c r="AQ2462" s="1350"/>
      <c r="AR2462" s="1350"/>
      <c r="AS2462" s="1350"/>
      <c r="AT2462" s="1350"/>
      <c r="AU2462" s="1350"/>
      <c r="AV2462" s="1350"/>
      <c r="AW2462" s="1350"/>
      <c r="AX2462" s="1350"/>
      <c r="AY2462" s="1350"/>
      <c r="AZ2462" s="1350"/>
      <c r="BA2462" s="1070"/>
      <c r="BB2462" s="1070"/>
      <c r="BC2462" s="1070"/>
      <c r="BD2462" s="1070"/>
      <c r="BE2462" s="1070"/>
      <c r="BF2462" s="1070"/>
      <c r="BG2462" s="1070"/>
      <c r="BH2462" s="1070"/>
      <c r="BI2462" s="1070"/>
      <c r="BJ2462" s="1070"/>
      <c r="BK2462" s="1070"/>
      <c r="BL2462" s="1070"/>
      <c r="BM2462" s="1070"/>
      <c r="BN2462" s="1070"/>
      <c r="BO2462" s="1070"/>
      <c r="BP2462" s="1070"/>
      <c r="BQ2462" s="1070"/>
      <c r="BR2462" s="1070"/>
      <c r="BS2462" s="1070"/>
      <c r="BT2462" s="1070"/>
      <c r="BU2462" s="1070"/>
      <c r="BV2462" s="1070"/>
      <c r="BW2462" s="1070"/>
      <c r="BX2462" s="1070"/>
      <c r="BY2462" s="1070"/>
      <c r="BZ2462" s="1070"/>
      <c r="CA2462" s="1070"/>
      <c r="CB2462" s="1070"/>
      <c r="CC2462" s="1070"/>
      <c r="CD2462" s="1070"/>
      <c r="CE2462" s="1070"/>
      <c r="CF2462" s="1070"/>
      <c r="CG2462" s="1070"/>
      <c r="CH2462" s="1070"/>
      <c r="CI2462" s="1070"/>
      <c r="CJ2462" s="1070"/>
      <c r="CK2462" s="1070"/>
      <c r="CL2462" s="1070"/>
      <c r="CM2462" s="1070"/>
      <c r="CN2462" s="1070"/>
      <c r="CO2462" s="1070"/>
      <c r="CP2462" s="1070"/>
      <c r="CQ2462" s="1070"/>
      <c r="CR2462" s="1070"/>
      <c r="CS2462" s="1070"/>
      <c r="CT2462" s="1070"/>
      <c r="CU2462" s="1070"/>
      <c r="CV2462" s="1070"/>
      <c r="CW2462" s="1070"/>
      <c r="CX2462" s="1070"/>
      <c r="CY2462" s="1070"/>
      <c r="CZ2462" s="1070"/>
      <c r="DA2462" s="1070"/>
      <c r="DB2462" s="1070"/>
      <c r="DC2462" s="1070"/>
      <c r="DD2462" s="1070"/>
      <c r="DE2462" s="1070"/>
      <c r="DF2462" s="1070"/>
      <c r="DG2462" s="1070"/>
      <c r="DH2462" s="1070"/>
      <c r="DI2462" s="1070"/>
      <c r="DJ2462" s="1070"/>
    </row>
    <row r="2463" spans="1:114" s="1136" customFormat="1" ht="15.75" x14ac:dyDescent="0.25">
      <c r="A2463" s="1422" t="s">
        <v>392</v>
      </c>
      <c r="B2463" s="1443">
        <f>B2406</f>
        <v>1</v>
      </c>
      <c r="C2463" s="1437"/>
      <c r="D2463" s="1434"/>
      <c r="E2463" s="1434"/>
      <c r="F2463" s="1434"/>
      <c r="G2463" s="1434"/>
      <c r="H2463" s="1350"/>
      <c r="I2463" s="1350"/>
      <c r="J2463" s="1350"/>
      <c r="K2463" s="1350"/>
      <c r="L2463" s="1350"/>
      <c r="M2463" s="1350"/>
      <c r="N2463" s="1350"/>
      <c r="O2463" s="1350"/>
      <c r="P2463" s="1350"/>
      <c r="Q2463" s="1350"/>
      <c r="R2463" s="1350"/>
      <c r="S2463" s="1350"/>
      <c r="T2463" s="1350"/>
      <c r="U2463" s="1350"/>
      <c r="V2463" s="1350"/>
      <c r="W2463" s="1350"/>
      <c r="X2463" s="1350"/>
      <c r="Y2463" s="1350"/>
      <c r="Z2463" s="1350"/>
      <c r="AA2463" s="1350"/>
      <c r="AB2463" s="1350"/>
      <c r="AC2463" s="1350"/>
      <c r="AD2463" s="1350"/>
      <c r="AE2463" s="1350"/>
      <c r="AF2463" s="1350"/>
      <c r="AG2463" s="1350"/>
      <c r="AH2463" s="1350"/>
      <c r="AI2463" s="1350"/>
      <c r="AJ2463" s="1350"/>
      <c r="AK2463" s="1350"/>
      <c r="AL2463" s="1350"/>
      <c r="AM2463" s="1350"/>
      <c r="AN2463" s="1350"/>
      <c r="AO2463" s="1350"/>
      <c r="AP2463" s="1350"/>
      <c r="AQ2463" s="1350"/>
      <c r="AR2463" s="1350"/>
      <c r="AS2463" s="1350"/>
      <c r="AT2463" s="1350"/>
      <c r="AU2463" s="1350"/>
      <c r="AV2463" s="1350"/>
      <c r="AW2463" s="1350"/>
      <c r="AX2463" s="1350"/>
      <c r="AY2463" s="1350"/>
      <c r="AZ2463" s="1350"/>
      <c r="BA2463" s="1070"/>
      <c r="BB2463" s="1070"/>
      <c r="BC2463" s="1070"/>
      <c r="BD2463" s="1070"/>
      <c r="BE2463" s="1070"/>
      <c r="BF2463" s="1070"/>
      <c r="BG2463" s="1070"/>
      <c r="BH2463" s="1070"/>
      <c r="BI2463" s="1070"/>
      <c r="BJ2463" s="1070"/>
      <c r="BK2463" s="1070"/>
      <c r="BL2463" s="1070"/>
      <c r="BM2463" s="1070"/>
      <c r="BN2463" s="1070"/>
      <c r="BO2463" s="1070"/>
      <c r="BP2463" s="1070"/>
      <c r="BQ2463" s="1070"/>
      <c r="BR2463" s="1070"/>
      <c r="BS2463" s="1070"/>
      <c r="BT2463" s="1070"/>
      <c r="BU2463" s="1070"/>
      <c r="BV2463" s="1070"/>
      <c r="BW2463" s="1070"/>
      <c r="BX2463" s="1070"/>
      <c r="BY2463" s="1070"/>
      <c r="BZ2463" s="1070"/>
      <c r="CA2463" s="1070"/>
      <c r="CB2463" s="1070"/>
      <c r="CC2463" s="1070"/>
      <c r="CD2463" s="1070"/>
      <c r="CE2463" s="1070"/>
      <c r="CF2463" s="1070"/>
      <c r="CG2463" s="1070"/>
      <c r="CH2463" s="1070"/>
      <c r="CI2463" s="1070"/>
      <c r="CJ2463" s="1070"/>
      <c r="CK2463" s="1070"/>
      <c r="CL2463" s="1070"/>
      <c r="CM2463" s="1070"/>
      <c r="CN2463" s="1070"/>
      <c r="CO2463" s="1070"/>
      <c r="CP2463" s="1070"/>
      <c r="CQ2463" s="1070"/>
      <c r="CR2463" s="1070"/>
      <c r="CS2463" s="1070"/>
      <c r="CT2463" s="1070"/>
      <c r="CU2463" s="1070"/>
      <c r="CV2463" s="1070"/>
      <c r="CW2463" s="1070"/>
      <c r="CX2463" s="1070"/>
      <c r="CY2463" s="1070"/>
      <c r="CZ2463" s="1070"/>
      <c r="DA2463" s="1070"/>
      <c r="DB2463" s="1070"/>
      <c r="DC2463" s="1070"/>
      <c r="DD2463" s="1070"/>
      <c r="DE2463" s="1070"/>
      <c r="DF2463" s="1070"/>
      <c r="DG2463" s="1070"/>
      <c r="DH2463" s="1070"/>
      <c r="DI2463" s="1070"/>
      <c r="DJ2463" s="1070"/>
    </row>
    <row r="2464" spans="1:114" s="1136" customFormat="1" ht="31.5" x14ac:dyDescent="0.25">
      <c r="A2464" s="1422" t="s">
        <v>393</v>
      </c>
      <c r="B2464" s="1443">
        <f>B2407</f>
        <v>1</v>
      </c>
      <c r="C2464" s="1437"/>
      <c r="D2464" s="1434"/>
      <c r="E2464" s="1434"/>
      <c r="F2464" s="1434"/>
      <c r="G2464" s="1434"/>
      <c r="H2464" s="1350"/>
      <c r="I2464" s="1350"/>
      <c r="J2464" s="1350"/>
      <c r="K2464" s="1350"/>
      <c r="L2464" s="1350"/>
      <c r="M2464" s="1350"/>
      <c r="N2464" s="1350"/>
      <c r="O2464" s="1350"/>
      <c r="P2464" s="1350"/>
      <c r="Q2464" s="1350"/>
      <c r="R2464" s="1350"/>
      <c r="S2464" s="1350"/>
      <c r="T2464" s="1350"/>
      <c r="U2464" s="1350"/>
      <c r="V2464" s="1350"/>
      <c r="W2464" s="1350"/>
      <c r="X2464" s="1350"/>
      <c r="Y2464" s="1350"/>
      <c r="Z2464" s="1350"/>
      <c r="AA2464" s="1350"/>
      <c r="AB2464" s="1350"/>
      <c r="AC2464" s="1350"/>
      <c r="AD2464" s="1350"/>
      <c r="AE2464" s="1350"/>
      <c r="AF2464" s="1350"/>
      <c r="AG2464" s="1350"/>
      <c r="AH2464" s="1350"/>
      <c r="AI2464" s="1350"/>
      <c r="AJ2464" s="1350"/>
      <c r="AK2464" s="1350"/>
      <c r="AL2464" s="1350"/>
      <c r="AM2464" s="1350"/>
      <c r="AN2464" s="1350"/>
      <c r="AO2464" s="1350"/>
      <c r="AP2464" s="1350"/>
      <c r="AQ2464" s="1350"/>
      <c r="AR2464" s="1350"/>
      <c r="AS2464" s="1350"/>
      <c r="AT2464" s="1350"/>
      <c r="AU2464" s="1350"/>
      <c r="AV2464" s="1350"/>
      <c r="AW2464" s="1350"/>
      <c r="AX2464" s="1350"/>
      <c r="AY2464" s="1350"/>
      <c r="AZ2464" s="1350"/>
      <c r="BA2464" s="1070"/>
      <c r="BB2464" s="1070"/>
      <c r="BC2464" s="1070"/>
      <c r="BD2464" s="1070"/>
      <c r="BE2464" s="1070"/>
      <c r="BF2464" s="1070"/>
      <c r="BG2464" s="1070"/>
      <c r="BH2464" s="1070"/>
      <c r="BI2464" s="1070"/>
      <c r="BJ2464" s="1070"/>
      <c r="BK2464" s="1070"/>
      <c r="BL2464" s="1070"/>
      <c r="BM2464" s="1070"/>
      <c r="BN2464" s="1070"/>
      <c r="BO2464" s="1070"/>
      <c r="BP2464" s="1070"/>
      <c r="BQ2464" s="1070"/>
      <c r="BR2464" s="1070"/>
      <c r="BS2464" s="1070"/>
      <c r="BT2464" s="1070"/>
      <c r="BU2464" s="1070"/>
      <c r="BV2464" s="1070"/>
      <c r="BW2464" s="1070"/>
      <c r="BX2464" s="1070"/>
      <c r="BY2464" s="1070"/>
      <c r="BZ2464" s="1070"/>
      <c r="CA2464" s="1070"/>
      <c r="CB2464" s="1070"/>
      <c r="CC2464" s="1070"/>
      <c r="CD2464" s="1070"/>
      <c r="CE2464" s="1070"/>
      <c r="CF2464" s="1070"/>
      <c r="CG2464" s="1070"/>
      <c r="CH2464" s="1070"/>
      <c r="CI2464" s="1070"/>
      <c r="CJ2464" s="1070"/>
      <c r="CK2464" s="1070"/>
      <c r="CL2464" s="1070"/>
      <c r="CM2464" s="1070"/>
      <c r="CN2464" s="1070"/>
      <c r="CO2464" s="1070"/>
      <c r="CP2464" s="1070"/>
      <c r="CQ2464" s="1070"/>
      <c r="CR2464" s="1070"/>
      <c r="CS2464" s="1070"/>
      <c r="CT2464" s="1070"/>
      <c r="CU2464" s="1070"/>
      <c r="CV2464" s="1070"/>
      <c r="CW2464" s="1070"/>
      <c r="CX2464" s="1070"/>
      <c r="CY2464" s="1070"/>
      <c r="CZ2464" s="1070"/>
      <c r="DA2464" s="1070"/>
      <c r="DB2464" s="1070"/>
      <c r="DC2464" s="1070"/>
      <c r="DD2464" s="1070"/>
      <c r="DE2464" s="1070"/>
      <c r="DF2464" s="1070"/>
      <c r="DG2464" s="1070"/>
      <c r="DH2464" s="1070"/>
      <c r="DI2464" s="1070"/>
      <c r="DJ2464" s="1070"/>
    </row>
    <row r="2465" spans="1:114" s="1136" customFormat="1" ht="15.75" x14ac:dyDescent="0.25">
      <c r="A2465" s="1422" t="s">
        <v>1323</v>
      </c>
      <c r="B2465" s="1443">
        <f>IF(B2459&lt;2.1,0.9,IF(B2459&lt;3.1,0.85,0.8))</f>
        <v>0.8</v>
      </c>
      <c r="C2465" s="1437"/>
      <c r="D2465" s="1350"/>
      <c r="E2465" s="1350"/>
      <c r="F2465" s="1350"/>
      <c r="G2465" s="1350"/>
      <c r="H2465" s="1350"/>
      <c r="I2465" s="1350"/>
      <c r="J2465" s="1350"/>
      <c r="K2465" s="1350"/>
      <c r="L2465" s="1350"/>
      <c r="M2465" s="1350"/>
      <c r="N2465" s="1350"/>
      <c r="O2465" s="1350"/>
      <c r="P2465" s="1350"/>
      <c r="Q2465" s="1350"/>
      <c r="R2465" s="1350"/>
      <c r="S2465" s="1350"/>
      <c r="T2465" s="1350"/>
      <c r="U2465" s="1350"/>
      <c r="V2465" s="1350"/>
      <c r="W2465" s="1350"/>
      <c r="X2465" s="1350"/>
      <c r="Y2465" s="1350"/>
      <c r="Z2465" s="1350"/>
      <c r="AA2465" s="1350"/>
      <c r="AB2465" s="1350"/>
      <c r="AC2465" s="1350"/>
      <c r="AD2465" s="1350"/>
      <c r="AE2465" s="1350"/>
      <c r="AF2465" s="1350"/>
      <c r="AG2465" s="1350"/>
      <c r="AH2465" s="1350"/>
      <c r="AI2465" s="1350"/>
      <c r="AJ2465" s="1350"/>
      <c r="AK2465" s="1350"/>
      <c r="AL2465" s="1350"/>
      <c r="AM2465" s="1350"/>
      <c r="AN2465" s="1350"/>
      <c r="AO2465" s="1350"/>
      <c r="AP2465" s="1350"/>
      <c r="AQ2465" s="1350"/>
      <c r="AR2465" s="1350"/>
      <c r="AS2465" s="1350"/>
      <c r="AT2465" s="1350"/>
      <c r="AU2465" s="1350"/>
      <c r="AV2465" s="1350"/>
      <c r="AW2465" s="1350"/>
      <c r="AX2465" s="1350"/>
      <c r="AY2465" s="1350"/>
      <c r="AZ2465" s="1350"/>
      <c r="BA2465" s="1070"/>
      <c r="BB2465" s="1070"/>
      <c r="BC2465" s="1070"/>
      <c r="BD2465" s="1070"/>
      <c r="BE2465" s="1070"/>
      <c r="BF2465" s="1070"/>
      <c r="BG2465" s="1070"/>
      <c r="BH2465" s="1070"/>
      <c r="BI2465" s="1070"/>
      <c r="BJ2465" s="1070"/>
      <c r="BK2465" s="1070"/>
      <c r="BL2465" s="1070"/>
      <c r="BM2465" s="1070"/>
      <c r="BN2465" s="1070"/>
      <c r="BO2465" s="1070"/>
      <c r="BP2465" s="1070"/>
      <c r="BQ2465" s="1070"/>
      <c r="BR2465" s="1070"/>
      <c r="BS2465" s="1070"/>
      <c r="BT2465" s="1070"/>
      <c r="BU2465" s="1070"/>
      <c r="BV2465" s="1070"/>
      <c r="BW2465" s="1070"/>
      <c r="BX2465" s="1070"/>
      <c r="BY2465" s="1070"/>
      <c r="BZ2465" s="1070"/>
      <c r="CA2465" s="1070"/>
      <c r="CB2465" s="1070"/>
      <c r="CC2465" s="1070"/>
      <c r="CD2465" s="1070"/>
      <c r="CE2465" s="1070"/>
      <c r="CF2465" s="1070"/>
      <c r="CG2465" s="1070"/>
      <c r="CH2465" s="1070"/>
      <c r="CI2465" s="1070"/>
      <c r="CJ2465" s="1070"/>
      <c r="CK2465" s="1070"/>
      <c r="CL2465" s="1070"/>
      <c r="CM2465" s="1070"/>
      <c r="CN2465" s="1070"/>
      <c r="CO2465" s="1070"/>
      <c r="CP2465" s="1070"/>
      <c r="CQ2465" s="1070"/>
      <c r="CR2465" s="1070"/>
      <c r="CS2465" s="1070"/>
      <c r="CT2465" s="1070"/>
      <c r="CU2465" s="1070"/>
      <c r="CV2465" s="1070"/>
      <c r="CW2465" s="1070"/>
      <c r="CX2465" s="1070"/>
      <c r="CY2465" s="1070"/>
      <c r="CZ2465" s="1070"/>
      <c r="DA2465" s="1070"/>
      <c r="DB2465" s="1070"/>
      <c r="DC2465" s="1070"/>
      <c r="DD2465" s="1070"/>
      <c r="DE2465" s="1070"/>
      <c r="DF2465" s="1070"/>
      <c r="DG2465" s="1070"/>
      <c r="DH2465" s="1070"/>
      <c r="DI2465" s="1070"/>
      <c r="DJ2465" s="1070"/>
    </row>
    <row r="2466" spans="1:114" s="1136" customFormat="1" ht="15.75" x14ac:dyDescent="0.25">
      <c r="A2466" s="1422" t="s">
        <v>2976</v>
      </c>
      <c r="B2466" s="1450">
        <v>0.7</v>
      </c>
      <c r="C2466" s="1440"/>
      <c r="D2466" s="1437"/>
      <c r="E2466" s="1437"/>
      <c r="F2466" s="1437"/>
      <c r="G2466" s="1437"/>
      <c r="H2466" s="1350"/>
      <c r="I2466" s="1350"/>
      <c r="J2466" s="1350"/>
      <c r="K2466" s="1350"/>
      <c r="L2466" s="1350"/>
      <c r="M2466" s="1350"/>
      <c r="N2466" s="1350"/>
      <c r="O2466" s="1350"/>
      <c r="P2466" s="1350"/>
      <c r="Q2466" s="1350"/>
      <c r="R2466" s="1350"/>
      <c r="S2466" s="1350"/>
      <c r="T2466" s="1350"/>
      <c r="U2466" s="1350"/>
      <c r="V2466" s="1350"/>
      <c r="W2466" s="1350"/>
      <c r="X2466" s="1350"/>
      <c r="Y2466" s="1350"/>
      <c r="Z2466" s="1350"/>
      <c r="AA2466" s="1350"/>
      <c r="AB2466" s="1350"/>
      <c r="AC2466" s="1350"/>
      <c r="AD2466" s="1350"/>
      <c r="AE2466" s="1350"/>
      <c r="AF2466" s="1350"/>
      <c r="AG2466" s="1350"/>
      <c r="AH2466" s="1350"/>
      <c r="AI2466" s="1350"/>
      <c r="AJ2466" s="1350"/>
      <c r="AK2466" s="1350"/>
      <c r="AL2466" s="1350"/>
      <c r="AM2466" s="1350"/>
      <c r="AN2466" s="1350"/>
      <c r="AO2466" s="1350"/>
      <c r="AP2466" s="1350"/>
      <c r="AQ2466" s="1350"/>
      <c r="AR2466" s="1350"/>
      <c r="AS2466" s="1350"/>
      <c r="AT2466" s="1350"/>
      <c r="AU2466" s="1350"/>
      <c r="AV2466" s="1350"/>
      <c r="AW2466" s="1350"/>
      <c r="AX2466" s="1350"/>
      <c r="AY2466" s="1350"/>
      <c r="AZ2466" s="1350"/>
      <c r="BA2466" s="1070"/>
      <c r="BB2466" s="1070"/>
      <c r="BC2466" s="1070"/>
      <c r="BD2466" s="1070"/>
      <c r="BE2466" s="1070"/>
      <c r="BF2466" s="1070"/>
      <c r="BG2466" s="1070"/>
      <c r="BH2466" s="1070"/>
      <c r="BI2466" s="1070"/>
      <c r="BJ2466" s="1070"/>
      <c r="BK2466" s="1070"/>
      <c r="BL2466" s="1070"/>
      <c r="BM2466" s="1070"/>
      <c r="BN2466" s="1070"/>
      <c r="BO2466" s="1070"/>
      <c r="BP2466" s="1070"/>
      <c r="BQ2466" s="1070"/>
      <c r="BR2466" s="1070"/>
      <c r="BS2466" s="1070"/>
      <c r="BT2466" s="1070"/>
      <c r="BU2466" s="1070"/>
      <c r="BV2466" s="1070"/>
      <c r="BW2466" s="1070"/>
      <c r="BX2466" s="1070"/>
      <c r="BY2466" s="1070"/>
      <c r="BZ2466" s="1070"/>
      <c r="CA2466" s="1070"/>
      <c r="CB2466" s="1070"/>
      <c r="CC2466" s="1070"/>
      <c r="CD2466" s="1070"/>
      <c r="CE2466" s="1070"/>
      <c r="CF2466" s="1070"/>
      <c r="CG2466" s="1070"/>
      <c r="CH2466" s="1070"/>
      <c r="CI2466" s="1070"/>
      <c r="CJ2466" s="1070"/>
      <c r="CK2466" s="1070"/>
      <c r="CL2466" s="1070"/>
      <c r="CM2466" s="1070"/>
      <c r="CN2466" s="1070"/>
      <c r="CO2466" s="1070"/>
      <c r="CP2466" s="1070"/>
      <c r="CQ2466" s="1070"/>
      <c r="CR2466" s="1070"/>
      <c r="CS2466" s="1070"/>
      <c r="CT2466" s="1070"/>
      <c r="CU2466" s="1070"/>
      <c r="CV2466" s="1070"/>
      <c r="CW2466" s="1070"/>
      <c r="CX2466" s="1070"/>
      <c r="CY2466" s="1070"/>
      <c r="CZ2466" s="1070"/>
      <c r="DA2466" s="1070"/>
      <c r="DB2466" s="1070"/>
      <c r="DC2466" s="1070"/>
      <c r="DD2466" s="1070"/>
      <c r="DE2466" s="1070"/>
      <c r="DF2466" s="1070"/>
      <c r="DG2466" s="1070"/>
      <c r="DH2466" s="1070"/>
      <c r="DI2466" s="1070"/>
      <c r="DJ2466" s="1070"/>
    </row>
    <row r="2467" spans="1:114" s="1136" customFormat="1" ht="15.75" x14ac:dyDescent="0.25">
      <c r="A2467" s="1422" t="s">
        <v>3412</v>
      </c>
      <c r="B2467" s="1443" t="e">
        <f>B2454*B2461*B2462*B2463*B2464*B2465*B2466*B2383</f>
        <v>#VALUE!</v>
      </c>
      <c r="C2467" s="1437"/>
      <c r="D2467" s="1429"/>
      <c r="E2467" s="1429"/>
      <c r="F2467" s="1429"/>
      <c r="G2467" s="1429"/>
      <c r="H2467" s="1350"/>
      <c r="I2467" s="1350"/>
      <c r="J2467" s="1350"/>
      <c r="K2467" s="1350"/>
      <c r="L2467" s="1350"/>
      <c r="M2467" s="1350"/>
      <c r="N2467" s="1350"/>
      <c r="O2467" s="1350"/>
      <c r="P2467" s="1350"/>
      <c r="Q2467" s="1350"/>
      <c r="R2467" s="1350"/>
      <c r="S2467" s="1350"/>
      <c r="T2467" s="1350"/>
      <c r="U2467" s="1350"/>
      <c r="V2467" s="1350"/>
      <c r="W2467" s="1350"/>
      <c r="X2467" s="1350"/>
      <c r="Y2467" s="1350"/>
      <c r="Z2467" s="1350"/>
      <c r="AA2467" s="1350"/>
      <c r="AB2467" s="1350"/>
      <c r="AC2467" s="1350"/>
      <c r="AD2467" s="1350"/>
      <c r="AE2467" s="1350"/>
      <c r="AF2467" s="1350"/>
      <c r="AG2467" s="1350"/>
      <c r="AH2467" s="1350"/>
      <c r="AI2467" s="1350"/>
      <c r="AJ2467" s="1350"/>
      <c r="AK2467" s="1350"/>
      <c r="AL2467" s="1350"/>
      <c r="AM2467" s="1350"/>
      <c r="AN2467" s="1350"/>
      <c r="AO2467" s="1350"/>
      <c r="AP2467" s="1350"/>
      <c r="AQ2467" s="1350"/>
      <c r="AR2467" s="1350"/>
      <c r="AS2467" s="1350"/>
      <c r="AT2467" s="1350"/>
      <c r="AU2467" s="1350"/>
      <c r="AV2467" s="1350"/>
      <c r="AW2467" s="1350"/>
      <c r="AX2467" s="1350"/>
      <c r="AY2467" s="1350"/>
      <c r="AZ2467" s="1350"/>
      <c r="BA2467" s="1070"/>
      <c r="BB2467" s="1070"/>
      <c r="BC2467" s="1070"/>
      <c r="BD2467" s="1070"/>
      <c r="BE2467" s="1070"/>
      <c r="BF2467" s="1070"/>
      <c r="BG2467" s="1070"/>
      <c r="BH2467" s="1070"/>
      <c r="BI2467" s="1070"/>
      <c r="BJ2467" s="1070"/>
      <c r="BK2467" s="1070"/>
      <c r="BL2467" s="1070"/>
      <c r="BM2467" s="1070"/>
      <c r="BN2467" s="1070"/>
      <c r="BO2467" s="1070"/>
      <c r="BP2467" s="1070"/>
      <c r="BQ2467" s="1070"/>
      <c r="BR2467" s="1070"/>
      <c r="BS2467" s="1070"/>
      <c r="BT2467" s="1070"/>
      <c r="BU2467" s="1070"/>
      <c r="BV2467" s="1070"/>
      <c r="BW2467" s="1070"/>
      <c r="BX2467" s="1070"/>
      <c r="BY2467" s="1070"/>
      <c r="BZ2467" s="1070"/>
      <c r="CA2467" s="1070"/>
      <c r="CB2467" s="1070"/>
      <c r="CC2467" s="1070"/>
      <c r="CD2467" s="1070"/>
      <c r="CE2467" s="1070"/>
      <c r="CF2467" s="1070"/>
      <c r="CG2467" s="1070"/>
      <c r="CH2467" s="1070"/>
      <c r="CI2467" s="1070"/>
      <c r="CJ2467" s="1070"/>
      <c r="CK2467" s="1070"/>
      <c r="CL2467" s="1070"/>
      <c r="CM2467" s="1070"/>
      <c r="CN2467" s="1070"/>
      <c r="CO2467" s="1070"/>
      <c r="CP2467" s="1070"/>
      <c r="CQ2467" s="1070"/>
      <c r="CR2467" s="1070"/>
      <c r="CS2467" s="1070"/>
      <c r="CT2467" s="1070"/>
      <c r="CU2467" s="1070"/>
      <c r="CV2467" s="1070"/>
      <c r="CW2467" s="1070"/>
      <c r="CX2467" s="1070"/>
      <c r="CY2467" s="1070"/>
      <c r="CZ2467" s="1070"/>
      <c r="DA2467" s="1070"/>
      <c r="DB2467" s="1070"/>
      <c r="DC2467" s="1070"/>
      <c r="DD2467" s="1070"/>
      <c r="DE2467" s="1070"/>
      <c r="DF2467" s="1070"/>
      <c r="DG2467" s="1070"/>
      <c r="DH2467" s="1070"/>
      <c r="DI2467" s="1070"/>
      <c r="DJ2467" s="1070"/>
    </row>
    <row r="2468" spans="1:114" s="1136" customFormat="1" ht="15.75" x14ac:dyDescent="0.25">
      <c r="A2468" s="1422" t="s">
        <v>429</v>
      </c>
      <c r="B2468" s="1439" t="e">
        <f>B2453/B2467</f>
        <v>#VALUE!</v>
      </c>
      <c r="C2468" s="1432"/>
      <c r="D2468" s="1437"/>
      <c r="E2468" s="1437"/>
      <c r="F2468" s="1437"/>
      <c r="G2468" s="1437"/>
      <c r="H2468" s="1350"/>
      <c r="I2468" s="1350"/>
      <c r="J2468" s="1350"/>
      <c r="K2468" s="1350"/>
      <c r="L2468" s="1350"/>
      <c r="M2468" s="1350"/>
      <c r="N2468" s="1350"/>
      <c r="O2468" s="1350"/>
      <c r="P2468" s="1350"/>
      <c r="Q2468" s="1350"/>
      <c r="R2468" s="1350"/>
      <c r="S2468" s="1350"/>
      <c r="T2468" s="1350"/>
      <c r="U2468" s="1350"/>
      <c r="V2468" s="1350"/>
      <c r="W2468" s="1350"/>
      <c r="X2468" s="1350"/>
      <c r="Y2468" s="1350"/>
      <c r="Z2468" s="1350"/>
      <c r="AA2468" s="1350"/>
      <c r="AB2468" s="1350"/>
      <c r="AC2468" s="1350"/>
      <c r="AD2468" s="1350"/>
      <c r="AE2468" s="1350"/>
      <c r="AF2468" s="1350"/>
      <c r="AG2468" s="1350"/>
      <c r="AH2468" s="1350"/>
      <c r="AI2468" s="1350"/>
      <c r="AJ2468" s="1350"/>
      <c r="AK2468" s="1350"/>
      <c r="AL2468" s="1350"/>
      <c r="AM2468" s="1350"/>
      <c r="AN2468" s="1350"/>
      <c r="AO2468" s="1350"/>
      <c r="AP2468" s="1350"/>
      <c r="AQ2468" s="1350"/>
      <c r="AR2468" s="1350"/>
      <c r="AS2468" s="1350"/>
      <c r="AT2468" s="1350"/>
      <c r="AU2468" s="1350"/>
      <c r="AV2468" s="1350"/>
      <c r="AW2468" s="1350"/>
      <c r="AX2468" s="1350"/>
      <c r="AY2468" s="1350"/>
      <c r="AZ2468" s="1350"/>
      <c r="BA2468" s="1070"/>
      <c r="BB2468" s="1070"/>
      <c r="BC2468" s="1070"/>
      <c r="BD2468" s="1070"/>
      <c r="BE2468" s="1070"/>
      <c r="BF2468" s="1070"/>
      <c r="BG2468" s="1070"/>
      <c r="BH2468" s="1070"/>
      <c r="BI2468" s="1070"/>
      <c r="BJ2468" s="1070"/>
      <c r="BK2468" s="1070"/>
      <c r="BL2468" s="1070"/>
      <c r="BM2468" s="1070"/>
      <c r="BN2468" s="1070"/>
      <c r="BO2468" s="1070"/>
      <c r="BP2468" s="1070"/>
      <c r="BQ2468" s="1070"/>
      <c r="BR2468" s="1070"/>
      <c r="BS2468" s="1070"/>
      <c r="BT2468" s="1070"/>
      <c r="BU2468" s="1070"/>
      <c r="BV2468" s="1070"/>
      <c r="BW2468" s="1070"/>
      <c r="BX2468" s="1070"/>
      <c r="BY2468" s="1070"/>
      <c r="BZ2468" s="1070"/>
      <c r="CA2468" s="1070"/>
      <c r="CB2468" s="1070"/>
      <c r="CC2468" s="1070"/>
      <c r="CD2468" s="1070"/>
      <c r="CE2468" s="1070"/>
      <c r="CF2468" s="1070"/>
      <c r="CG2468" s="1070"/>
      <c r="CH2468" s="1070"/>
      <c r="CI2468" s="1070"/>
      <c r="CJ2468" s="1070"/>
      <c r="CK2468" s="1070"/>
      <c r="CL2468" s="1070"/>
      <c r="CM2468" s="1070"/>
      <c r="CN2468" s="1070"/>
      <c r="CO2468" s="1070"/>
      <c r="CP2468" s="1070"/>
      <c r="CQ2468" s="1070"/>
      <c r="CR2468" s="1070"/>
      <c r="CS2468" s="1070"/>
      <c r="CT2468" s="1070"/>
      <c r="CU2468" s="1070"/>
      <c r="CV2468" s="1070"/>
      <c r="CW2468" s="1070"/>
      <c r="CX2468" s="1070"/>
      <c r="CY2468" s="1070"/>
      <c r="CZ2468" s="1070"/>
      <c r="DA2468" s="1070"/>
      <c r="DB2468" s="1070"/>
      <c r="DC2468" s="1070"/>
      <c r="DD2468" s="1070"/>
      <c r="DE2468" s="1070"/>
      <c r="DF2468" s="1070"/>
      <c r="DG2468" s="1070"/>
      <c r="DH2468" s="1070"/>
      <c r="DI2468" s="1070"/>
      <c r="DJ2468" s="1070"/>
    </row>
    <row r="2469" spans="1:114" s="1136" customFormat="1" ht="15.75" x14ac:dyDescent="0.25">
      <c r="A2469" s="1422"/>
      <c r="B2469" s="1421"/>
      <c r="C2469" s="1437"/>
      <c r="D2469" s="1437"/>
      <c r="E2469" s="1437"/>
      <c r="F2469" s="1437"/>
      <c r="G2469" s="1437"/>
      <c r="H2469" s="1350"/>
      <c r="I2469" s="1350"/>
      <c r="J2469" s="1350"/>
      <c r="K2469" s="1350"/>
      <c r="L2469" s="1350"/>
      <c r="M2469" s="1350"/>
      <c r="N2469" s="1350"/>
      <c r="O2469" s="1350"/>
      <c r="P2469" s="1350"/>
      <c r="Q2469" s="1350"/>
      <c r="R2469" s="1350"/>
      <c r="S2469" s="1350"/>
      <c r="T2469" s="1350"/>
      <c r="U2469" s="1350"/>
      <c r="V2469" s="1350"/>
      <c r="W2469" s="1350"/>
      <c r="X2469" s="1350"/>
      <c r="Y2469" s="1350"/>
      <c r="Z2469" s="1350"/>
      <c r="AA2469" s="1350"/>
      <c r="AB2469" s="1350"/>
      <c r="AC2469" s="1350"/>
      <c r="AD2469" s="1350"/>
      <c r="AE2469" s="1350"/>
      <c r="AF2469" s="1350"/>
      <c r="AG2469" s="1350"/>
      <c r="AH2469" s="1350"/>
      <c r="AI2469" s="1350"/>
      <c r="AJ2469" s="1350"/>
      <c r="AK2469" s="1350"/>
      <c r="AL2469" s="1350"/>
      <c r="AM2469" s="1350"/>
      <c r="AN2469" s="1350"/>
      <c r="AO2469" s="1350"/>
      <c r="AP2469" s="1350"/>
      <c r="AQ2469" s="1350"/>
      <c r="AR2469" s="1350"/>
      <c r="AS2469" s="1350"/>
      <c r="AT2469" s="1350"/>
      <c r="AU2469" s="1350"/>
      <c r="AV2469" s="1350"/>
      <c r="AW2469" s="1350"/>
      <c r="AX2469" s="1350"/>
      <c r="AY2469" s="1350"/>
      <c r="AZ2469" s="1350"/>
      <c r="BA2469" s="1070"/>
      <c r="BB2469" s="1070"/>
      <c r="BC2469" s="1070"/>
      <c r="BD2469" s="1070"/>
      <c r="BE2469" s="1070"/>
      <c r="BF2469" s="1070"/>
      <c r="BG2469" s="1070"/>
      <c r="BH2469" s="1070"/>
      <c r="BI2469" s="1070"/>
      <c r="BJ2469" s="1070"/>
      <c r="BK2469" s="1070"/>
      <c r="BL2469" s="1070"/>
      <c r="BM2469" s="1070"/>
      <c r="BN2469" s="1070"/>
      <c r="BO2469" s="1070"/>
      <c r="BP2469" s="1070"/>
      <c r="BQ2469" s="1070"/>
      <c r="BR2469" s="1070"/>
      <c r="BS2469" s="1070"/>
      <c r="BT2469" s="1070"/>
      <c r="BU2469" s="1070"/>
      <c r="BV2469" s="1070"/>
      <c r="BW2469" s="1070"/>
      <c r="BX2469" s="1070"/>
      <c r="BY2469" s="1070"/>
      <c r="BZ2469" s="1070"/>
      <c r="CA2469" s="1070"/>
      <c r="CB2469" s="1070"/>
      <c r="CC2469" s="1070"/>
      <c r="CD2469" s="1070"/>
      <c r="CE2469" s="1070"/>
      <c r="CF2469" s="1070"/>
      <c r="CG2469" s="1070"/>
      <c r="CH2469" s="1070"/>
      <c r="CI2469" s="1070"/>
      <c r="CJ2469" s="1070"/>
      <c r="CK2469" s="1070"/>
      <c r="CL2469" s="1070"/>
      <c r="CM2469" s="1070"/>
      <c r="CN2469" s="1070"/>
      <c r="CO2469" s="1070"/>
      <c r="CP2469" s="1070"/>
      <c r="CQ2469" s="1070"/>
      <c r="CR2469" s="1070"/>
      <c r="CS2469" s="1070"/>
      <c r="CT2469" s="1070"/>
      <c r="CU2469" s="1070"/>
      <c r="CV2469" s="1070"/>
      <c r="CW2469" s="1070"/>
      <c r="CX2469" s="1070"/>
      <c r="CY2469" s="1070"/>
      <c r="CZ2469" s="1070"/>
      <c r="DA2469" s="1070"/>
      <c r="DB2469" s="1070"/>
      <c r="DC2469" s="1070"/>
      <c r="DD2469" s="1070"/>
      <c r="DE2469" s="1070"/>
      <c r="DF2469" s="1070"/>
      <c r="DG2469" s="1070"/>
      <c r="DH2469" s="1070"/>
      <c r="DI2469" s="1070"/>
      <c r="DJ2469" s="1070"/>
    </row>
    <row r="2470" spans="1:114" s="1136" customFormat="1" ht="47.25" x14ac:dyDescent="0.25">
      <c r="A2470" s="1438" t="s">
        <v>2977</v>
      </c>
      <c r="B2470" s="1421"/>
      <c r="C2470" s="1437"/>
      <c r="D2470" s="1437"/>
      <c r="E2470" s="1437"/>
      <c r="F2470" s="1437"/>
      <c r="G2470" s="1437"/>
      <c r="H2470" s="1350"/>
      <c r="I2470" s="1350"/>
      <c r="J2470" s="1350"/>
      <c r="K2470" s="1350"/>
      <c r="L2470" s="1350"/>
      <c r="M2470" s="1350"/>
      <c r="N2470" s="1350"/>
      <c r="O2470" s="1350"/>
      <c r="P2470" s="1350"/>
      <c r="Q2470" s="1350"/>
      <c r="R2470" s="1350"/>
      <c r="S2470" s="1350"/>
      <c r="T2470" s="1350"/>
      <c r="U2470" s="1350"/>
      <c r="V2470" s="1350"/>
      <c r="W2470" s="1350"/>
      <c r="X2470" s="1350"/>
      <c r="Y2470" s="1350"/>
      <c r="Z2470" s="1350"/>
      <c r="AA2470" s="1350"/>
      <c r="AB2470" s="1350"/>
      <c r="AC2470" s="1350"/>
      <c r="AD2470" s="1350"/>
      <c r="AE2470" s="1350"/>
      <c r="AF2470" s="1350"/>
      <c r="AG2470" s="1350"/>
      <c r="AH2470" s="1350"/>
      <c r="AI2470" s="1350"/>
      <c r="AJ2470" s="1350"/>
      <c r="AK2470" s="1350"/>
      <c r="AL2470" s="1350"/>
      <c r="AM2470" s="1350"/>
      <c r="AN2470" s="1350"/>
      <c r="AO2470" s="1350"/>
      <c r="AP2470" s="1350"/>
      <c r="AQ2470" s="1350"/>
      <c r="AR2470" s="1350"/>
      <c r="AS2470" s="1350"/>
      <c r="AT2470" s="1350"/>
      <c r="AU2470" s="1350"/>
      <c r="AV2470" s="1350"/>
      <c r="AW2470" s="1350"/>
      <c r="AX2470" s="1350"/>
      <c r="AY2470" s="1350"/>
      <c r="AZ2470" s="1350"/>
      <c r="BA2470" s="1070"/>
      <c r="BB2470" s="1070"/>
      <c r="BC2470" s="1070"/>
      <c r="BD2470" s="1070"/>
      <c r="BE2470" s="1070"/>
      <c r="BF2470" s="1070"/>
      <c r="BG2470" s="1070"/>
      <c r="BH2470" s="1070"/>
      <c r="BI2470" s="1070"/>
      <c r="BJ2470" s="1070"/>
      <c r="BK2470" s="1070"/>
      <c r="BL2470" s="1070"/>
      <c r="BM2470" s="1070"/>
      <c r="BN2470" s="1070"/>
      <c r="BO2470" s="1070"/>
      <c r="BP2470" s="1070"/>
      <c r="BQ2470" s="1070"/>
      <c r="BR2470" s="1070"/>
      <c r="BS2470" s="1070"/>
      <c r="BT2470" s="1070"/>
      <c r="BU2470" s="1070"/>
      <c r="BV2470" s="1070"/>
      <c r="BW2470" s="1070"/>
      <c r="BX2470" s="1070"/>
      <c r="BY2470" s="1070"/>
      <c r="BZ2470" s="1070"/>
      <c r="CA2470" s="1070"/>
      <c r="CB2470" s="1070"/>
      <c r="CC2470" s="1070"/>
      <c r="CD2470" s="1070"/>
      <c r="CE2470" s="1070"/>
      <c r="CF2470" s="1070"/>
      <c r="CG2470" s="1070"/>
      <c r="CH2470" s="1070"/>
      <c r="CI2470" s="1070"/>
      <c r="CJ2470" s="1070"/>
      <c r="CK2470" s="1070"/>
      <c r="CL2470" s="1070"/>
      <c r="CM2470" s="1070"/>
      <c r="CN2470" s="1070"/>
      <c r="CO2470" s="1070"/>
      <c r="CP2470" s="1070"/>
      <c r="CQ2470" s="1070"/>
      <c r="CR2470" s="1070"/>
      <c r="CS2470" s="1070"/>
      <c r="CT2470" s="1070"/>
      <c r="CU2470" s="1070"/>
      <c r="CV2470" s="1070"/>
      <c r="CW2470" s="1070"/>
      <c r="CX2470" s="1070"/>
      <c r="CY2470" s="1070"/>
      <c r="CZ2470" s="1070"/>
      <c r="DA2470" s="1070"/>
      <c r="DB2470" s="1070"/>
      <c r="DC2470" s="1070"/>
      <c r="DD2470" s="1070"/>
      <c r="DE2470" s="1070"/>
      <c r="DF2470" s="1070"/>
      <c r="DG2470" s="1070"/>
      <c r="DH2470" s="1070"/>
      <c r="DI2470" s="1070"/>
      <c r="DJ2470" s="1070"/>
    </row>
    <row r="2471" spans="1:114" s="1136" customFormat="1" ht="15.75" x14ac:dyDescent="0.25">
      <c r="A2471" s="1420" t="s">
        <v>1753</v>
      </c>
      <c r="B2471" s="1424" t="e">
        <f>((B2386/B261+1)-3)*B2389</f>
        <v>#VALUE!</v>
      </c>
      <c r="C2471" s="1429"/>
      <c r="D2471" s="1437"/>
      <c r="E2471" s="1437"/>
      <c r="F2471" s="1437"/>
      <c r="G2471" s="1437"/>
      <c r="H2471" s="1350"/>
      <c r="I2471" s="1350"/>
      <c r="J2471" s="1350"/>
      <c r="K2471" s="1350"/>
      <c r="L2471" s="1350"/>
      <c r="M2471" s="1350"/>
      <c r="N2471" s="1350"/>
      <c r="O2471" s="1350"/>
      <c r="P2471" s="1350"/>
      <c r="Q2471" s="1350"/>
      <c r="R2471" s="1350"/>
      <c r="S2471" s="1350"/>
      <c r="T2471" s="1350"/>
      <c r="U2471" s="1350"/>
      <c r="V2471" s="1350"/>
      <c r="W2471" s="1350"/>
      <c r="X2471" s="1350"/>
      <c r="Y2471" s="1350"/>
      <c r="Z2471" s="1350"/>
      <c r="AA2471" s="1350"/>
      <c r="AB2471" s="1350"/>
      <c r="AC2471" s="1350"/>
      <c r="AD2471" s="1350"/>
      <c r="AE2471" s="1350"/>
      <c r="AF2471" s="1350"/>
      <c r="AG2471" s="1350"/>
      <c r="AH2471" s="1350"/>
      <c r="AI2471" s="1350"/>
      <c r="AJ2471" s="1350"/>
      <c r="AK2471" s="1350"/>
      <c r="AL2471" s="1350"/>
      <c r="AM2471" s="1350"/>
      <c r="AN2471" s="1350"/>
      <c r="AO2471" s="1350"/>
      <c r="AP2471" s="1350"/>
      <c r="AQ2471" s="1350"/>
      <c r="AR2471" s="1350"/>
      <c r="AS2471" s="1350"/>
      <c r="AT2471" s="1350"/>
      <c r="AU2471" s="1350"/>
      <c r="AV2471" s="1350"/>
      <c r="AW2471" s="1350"/>
      <c r="AX2471" s="1350"/>
      <c r="AY2471" s="1350"/>
      <c r="AZ2471" s="1350"/>
      <c r="BA2471" s="1070"/>
      <c r="BB2471" s="1070"/>
      <c r="BC2471" s="1070"/>
      <c r="BD2471" s="1070"/>
      <c r="BE2471" s="1070"/>
      <c r="BF2471" s="1070"/>
      <c r="BG2471" s="1070"/>
      <c r="BH2471" s="1070"/>
      <c r="BI2471" s="1070"/>
      <c r="BJ2471" s="1070"/>
      <c r="BK2471" s="1070"/>
      <c r="BL2471" s="1070"/>
      <c r="BM2471" s="1070"/>
      <c r="BN2471" s="1070"/>
      <c r="BO2471" s="1070"/>
      <c r="BP2471" s="1070"/>
      <c r="BQ2471" s="1070"/>
      <c r="BR2471" s="1070"/>
      <c r="BS2471" s="1070"/>
      <c r="BT2471" s="1070"/>
      <c r="BU2471" s="1070"/>
      <c r="BV2471" s="1070"/>
      <c r="BW2471" s="1070"/>
      <c r="BX2471" s="1070"/>
      <c r="BY2471" s="1070"/>
      <c r="BZ2471" s="1070"/>
      <c r="CA2471" s="1070"/>
      <c r="CB2471" s="1070"/>
      <c r="CC2471" s="1070"/>
      <c r="CD2471" s="1070"/>
      <c r="CE2471" s="1070"/>
      <c r="CF2471" s="1070"/>
      <c r="CG2471" s="1070"/>
      <c r="CH2471" s="1070"/>
      <c r="CI2471" s="1070"/>
      <c r="CJ2471" s="1070"/>
      <c r="CK2471" s="1070"/>
      <c r="CL2471" s="1070"/>
      <c r="CM2471" s="1070"/>
      <c r="CN2471" s="1070"/>
      <c r="CO2471" s="1070"/>
      <c r="CP2471" s="1070"/>
      <c r="CQ2471" s="1070"/>
      <c r="CR2471" s="1070"/>
      <c r="CS2471" s="1070"/>
      <c r="CT2471" s="1070"/>
      <c r="CU2471" s="1070"/>
      <c r="CV2471" s="1070"/>
      <c r="CW2471" s="1070"/>
      <c r="CX2471" s="1070"/>
      <c r="CY2471" s="1070"/>
      <c r="CZ2471" s="1070"/>
      <c r="DA2471" s="1070"/>
      <c r="DB2471" s="1070"/>
      <c r="DC2471" s="1070"/>
      <c r="DD2471" s="1070"/>
      <c r="DE2471" s="1070"/>
      <c r="DF2471" s="1070"/>
      <c r="DG2471" s="1070"/>
      <c r="DH2471" s="1070"/>
      <c r="DI2471" s="1070"/>
      <c r="DJ2471" s="1070"/>
    </row>
    <row r="2472" spans="1:114" s="1136" customFormat="1" ht="15.75" x14ac:dyDescent="0.25">
      <c r="A2472" s="1420" t="s">
        <v>425</v>
      </c>
      <c r="B2472" s="1424" t="e">
        <f>INDEX($U$3487:$X$3496,B2473,B2474)</f>
        <v>#VALUE!</v>
      </c>
      <c r="C2472" s="1429"/>
      <c r="D2472" s="1437"/>
      <c r="E2472" s="1437"/>
      <c r="F2472" s="1437"/>
      <c r="G2472" s="1437"/>
      <c r="H2472" s="1350"/>
      <c r="I2472" s="1350"/>
      <c r="J2472" s="1350"/>
      <c r="K2472" s="1350"/>
      <c r="L2472" s="1350"/>
      <c r="M2472" s="1350"/>
      <c r="N2472" s="1350"/>
      <c r="O2472" s="1350"/>
      <c r="P2472" s="1350"/>
      <c r="Q2472" s="1350"/>
      <c r="R2472" s="1350"/>
      <c r="S2472" s="1350"/>
      <c r="T2472" s="1350"/>
      <c r="U2472" s="1350"/>
      <c r="V2472" s="1350"/>
      <c r="W2472" s="1350"/>
      <c r="X2472" s="1350"/>
      <c r="Y2472" s="1350"/>
      <c r="Z2472" s="1350"/>
      <c r="AA2472" s="1350"/>
      <c r="AB2472" s="1350"/>
      <c r="AC2472" s="1350"/>
      <c r="AD2472" s="1350"/>
      <c r="AE2472" s="1350"/>
      <c r="AF2472" s="1350"/>
      <c r="AG2472" s="1350"/>
      <c r="AH2472" s="1350"/>
      <c r="AI2472" s="1350"/>
      <c r="AJ2472" s="1350"/>
      <c r="AK2472" s="1350"/>
      <c r="AL2472" s="1350"/>
      <c r="AM2472" s="1350"/>
      <c r="AN2472" s="1350"/>
      <c r="AO2472" s="1350"/>
      <c r="AP2472" s="1350"/>
      <c r="AQ2472" s="1350"/>
      <c r="AR2472" s="1350"/>
      <c r="AS2472" s="1350"/>
      <c r="AT2472" s="1350"/>
      <c r="AU2472" s="1350"/>
      <c r="AV2472" s="1350"/>
      <c r="AW2472" s="1350"/>
      <c r="AX2472" s="1350"/>
      <c r="AY2472" s="1350"/>
      <c r="AZ2472" s="1350"/>
      <c r="BA2472" s="1070"/>
      <c r="BB2472" s="1070"/>
      <c r="BC2472" s="1070"/>
      <c r="BD2472" s="1070"/>
      <c r="BE2472" s="1070"/>
      <c r="BF2472" s="1070"/>
      <c r="BG2472" s="1070"/>
      <c r="BH2472" s="1070"/>
      <c r="BI2472" s="1070"/>
      <c r="BJ2472" s="1070"/>
      <c r="BK2472" s="1070"/>
      <c r="BL2472" s="1070"/>
      <c r="BM2472" s="1070"/>
      <c r="BN2472" s="1070"/>
      <c r="BO2472" s="1070"/>
      <c r="BP2472" s="1070"/>
      <c r="BQ2472" s="1070"/>
      <c r="BR2472" s="1070"/>
      <c r="BS2472" s="1070"/>
      <c r="BT2472" s="1070"/>
      <c r="BU2472" s="1070"/>
      <c r="BV2472" s="1070"/>
      <c r="BW2472" s="1070"/>
      <c r="BX2472" s="1070"/>
      <c r="BY2472" s="1070"/>
      <c r="BZ2472" s="1070"/>
      <c r="CA2472" s="1070"/>
      <c r="CB2472" s="1070"/>
      <c r="CC2472" s="1070"/>
      <c r="CD2472" s="1070"/>
      <c r="CE2472" s="1070"/>
      <c r="CF2472" s="1070"/>
      <c r="CG2472" s="1070"/>
      <c r="CH2472" s="1070"/>
      <c r="CI2472" s="1070"/>
      <c r="CJ2472" s="1070"/>
      <c r="CK2472" s="1070"/>
      <c r="CL2472" s="1070"/>
      <c r="CM2472" s="1070"/>
      <c r="CN2472" s="1070"/>
      <c r="CO2472" s="1070"/>
      <c r="CP2472" s="1070"/>
      <c r="CQ2472" s="1070"/>
      <c r="CR2472" s="1070"/>
      <c r="CS2472" s="1070"/>
      <c r="CT2472" s="1070"/>
      <c r="CU2472" s="1070"/>
      <c r="CV2472" s="1070"/>
      <c r="CW2472" s="1070"/>
      <c r="CX2472" s="1070"/>
      <c r="CY2472" s="1070"/>
      <c r="CZ2472" s="1070"/>
      <c r="DA2472" s="1070"/>
      <c r="DB2472" s="1070"/>
      <c r="DC2472" s="1070"/>
      <c r="DD2472" s="1070"/>
      <c r="DE2472" s="1070"/>
      <c r="DF2472" s="1070"/>
      <c r="DG2472" s="1070"/>
      <c r="DH2472" s="1070"/>
      <c r="DI2472" s="1070"/>
      <c r="DJ2472" s="1070"/>
    </row>
    <row r="2473" spans="1:114" s="1136" customFormat="1" ht="15.75" x14ac:dyDescent="0.25">
      <c r="A2473" s="1420" t="s">
        <v>426</v>
      </c>
      <c r="B2473" s="1441" t="e">
        <f>B2456</f>
        <v>#VALUE!</v>
      </c>
      <c r="C2473" s="1434"/>
      <c r="D2473" s="1440"/>
      <c r="E2473" s="1440"/>
      <c r="F2473" s="1440"/>
      <c r="G2473" s="1440"/>
      <c r="H2473" s="1350"/>
      <c r="I2473" s="1350"/>
      <c r="J2473" s="1350"/>
      <c r="K2473" s="1350"/>
      <c r="L2473" s="1350"/>
      <c r="M2473" s="1350"/>
      <c r="N2473" s="1350"/>
      <c r="O2473" s="1350"/>
      <c r="P2473" s="1350"/>
      <c r="Q2473" s="1350"/>
      <c r="R2473" s="1350"/>
      <c r="S2473" s="1350"/>
      <c r="T2473" s="1350"/>
      <c r="U2473" s="1350"/>
      <c r="V2473" s="1350"/>
      <c r="W2473" s="1350"/>
      <c r="X2473" s="1350"/>
      <c r="Y2473" s="1350"/>
      <c r="Z2473" s="1350"/>
      <c r="AA2473" s="1350"/>
      <c r="AB2473" s="1350"/>
      <c r="AC2473" s="1350"/>
      <c r="AD2473" s="1350"/>
      <c r="AE2473" s="1350"/>
      <c r="AF2473" s="1350"/>
      <c r="AG2473" s="1350"/>
      <c r="AH2473" s="1350"/>
      <c r="AI2473" s="1350"/>
      <c r="AJ2473" s="1350"/>
      <c r="AK2473" s="1350"/>
      <c r="AL2473" s="1350"/>
      <c r="AM2473" s="1350"/>
      <c r="AN2473" s="1350"/>
      <c r="AO2473" s="1350"/>
      <c r="AP2473" s="1350"/>
      <c r="AQ2473" s="1350"/>
      <c r="AR2473" s="1350"/>
      <c r="AS2473" s="1350"/>
      <c r="AT2473" s="1350"/>
      <c r="AU2473" s="1350"/>
      <c r="AV2473" s="1350"/>
      <c r="AW2473" s="1350"/>
      <c r="AX2473" s="1350"/>
      <c r="AY2473" s="1350"/>
      <c r="AZ2473" s="1350"/>
      <c r="BA2473" s="1070"/>
      <c r="BB2473" s="1070"/>
      <c r="BC2473" s="1070"/>
      <c r="BD2473" s="1070"/>
      <c r="BE2473" s="1070"/>
      <c r="BF2473" s="1070"/>
      <c r="BG2473" s="1070"/>
      <c r="BH2473" s="1070"/>
      <c r="BI2473" s="1070"/>
      <c r="BJ2473" s="1070"/>
      <c r="BK2473" s="1070"/>
      <c r="BL2473" s="1070"/>
      <c r="BM2473" s="1070"/>
      <c r="BN2473" s="1070"/>
      <c r="BO2473" s="1070"/>
      <c r="BP2473" s="1070"/>
      <c r="BQ2473" s="1070"/>
      <c r="BR2473" s="1070"/>
      <c r="BS2473" s="1070"/>
      <c r="BT2473" s="1070"/>
      <c r="BU2473" s="1070"/>
      <c r="BV2473" s="1070"/>
      <c r="BW2473" s="1070"/>
      <c r="BX2473" s="1070"/>
      <c r="BY2473" s="1070"/>
      <c r="BZ2473" s="1070"/>
      <c r="CA2473" s="1070"/>
      <c r="CB2473" s="1070"/>
      <c r="CC2473" s="1070"/>
      <c r="CD2473" s="1070"/>
      <c r="CE2473" s="1070"/>
      <c r="CF2473" s="1070"/>
      <c r="CG2473" s="1070"/>
      <c r="CH2473" s="1070"/>
      <c r="CI2473" s="1070"/>
      <c r="CJ2473" s="1070"/>
      <c r="CK2473" s="1070"/>
      <c r="CL2473" s="1070"/>
      <c r="CM2473" s="1070"/>
      <c r="CN2473" s="1070"/>
      <c r="CO2473" s="1070"/>
      <c r="CP2473" s="1070"/>
      <c r="CQ2473" s="1070"/>
      <c r="CR2473" s="1070"/>
      <c r="CS2473" s="1070"/>
      <c r="CT2473" s="1070"/>
      <c r="CU2473" s="1070"/>
      <c r="CV2473" s="1070"/>
      <c r="CW2473" s="1070"/>
      <c r="CX2473" s="1070"/>
      <c r="CY2473" s="1070"/>
      <c r="CZ2473" s="1070"/>
      <c r="DA2473" s="1070"/>
      <c r="DB2473" s="1070"/>
      <c r="DC2473" s="1070"/>
      <c r="DD2473" s="1070"/>
      <c r="DE2473" s="1070"/>
      <c r="DF2473" s="1070"/>
      <c r="DG2473" s="1070"/>
      <c r="DH2473" s="1070"/>
      <c r="DI2473" s="1070"/>
      <c r="DJ2473" s="1070"/>
    </row>
    <row r="2474" spans="1:114" s="1136" customFormat="1" ht="15.75" x14ac:dyDescent="0.25">
      <c r="A2474" s="1420" t="s">
        <v>427</v>
      </c>
      <c r="B2474" s="1421">
        <v>1</v>
      </c>
      <c r="C2474" s="1416"/>
      <c r="D2474" s="1437"/>
      <c r="E2474" s="1437"/>
      <c r="F2474" s="1437"/>
      <c r="G2474" s="1437"/>
      <c r="H2474" s="1350"/>
      <c r="I2474" s="1350"/>
      <c r="J2474" s="1350"/>
      <c r="K2474" s="1350"/>
      <c r="L2474" s="1350"/>
      <c r="M2474" s="1350"/>
      <c r="N2474" s="1350"/>
      <c r="O2474" s="1350"/>
      <c r="P2474" s="1350"/>
      <c r="Q2474" s="1350"/>
      <c r="R2474" s="1350"/>
      <c r="S2474" s="1350"/>
      <c r="T2474" s="1350"/>
      <c r="U2474" s="1350"/>
      <c r="V2474" s="1350"/>
      <c r="W2474" s="1350"/>
      <c r="X2474" s="1350"/>
      <c r="Y2474" s="1350"/>
      <c r="Z2474" s="1350"/>
      <c r="AA2474" s="1350"/>
      <c r="AB2474" s="1350"/>
      <c r="AC2474" s="1350"/>
      <c r="AD2474" s="1350"/>
      <c r="AE2474" s="1350"/>
      <c r="AF2474" s="1350"/>
      <c r="AG2474" s="1350"/>
      <c r="AH2474" s="1350"/>
      <c r="AI2474" s="1350"/>
      <c r="AJ2474" s="1350"/>
      <c r="AK2474" s="1350"/>
      <c r="AL2474" s="1350"/>
      <c r="AM2474" s="1350"/>
      <c r="AN2474" s="1350"/>
      <c r="AO2474" s="1350"/>
      <c r="AP2474" s="1350"/>
      <c r="AQ2474" s="1350"/>
      <c r="AR2474" s="1350"/>
      <c r="AS2474" s="1350"/>
      <c r="AT2474" s="1350"/>
      <c r="AU2474" s="1350"/>
      <c r="AV2474" s="1350"/>
      <c r="AW2474" s="1350"/>
      <c r="AX2474" s="1350"/>
      <c r="AY2474" s="1350"/>
      <c r="AZ2474" s="1350"/>
      <c r="BA2474" s="1070"/>
      <c r="BB2474" s="1070"/>
      <c r="BC2474" s="1070"/>
      <c r="BD2474" s="1070"/>
      <c r="BE2474" s="1070"/>
      <c r="BF2474" s="1070"/>
      <c r="BG2474" s="1070"/>
      <c r="BH2474" s="1070"/>
      <c r="BI2474" s="1070"/>
      <c r="BJ2474" s="1070"/>
      <c r="BK2474" s="1070"/>
      <c r="BL2474" s="1070"/>
      <c r="BM2474" s="1070"/>
      <c r="BN2474" s="1070"/>
      <c r="BO2474" s="1070"/>
      <c r="BP2474" s="1070"/>
      <c r="BQ2474" s="1070"/>
      <c r="BR2474" s="1070"/>
      <c r="BS2474" s="1070"/>
      <c r="BT2474" s="1070"/>
      <c r="BU2474" s="1070"/>
      <c r="BV2474" s="1070"/>
      <c r="BW2474" s="1070"/>
      <c r="BX2474" s="1070"/>
      <c r="BY2474" s="1070"/>
      <c r="BZ2474" s="1070"/>
      <c r="CA2474" s="1070"/>
      <c r="CB2474" s="1070"/>
      <c r="CC2474" s="1070"/>
      <c r="CD2474" s="1070"/>
      <c r="CE2474" s="1070"/>
      <c r="CF2474" s="1070"/>
      <c r="CG2474" s="1070"/>
      <c r="CH2474" s="1070"/>
      <c r="CI2474" s="1070"/>
      <c r="CJ2474" s="1070"/>
      <c r="CK2474" s="1070"/>
      <c r="CL2474" s="1070"/>
      <c r="CM2474" s="1070"/>
      <c r="CN2474" s="1070"/>
      <c r="CO2474" s="1070"/>
      <c r="CP2474" s="1070"/>
      <c r="CQ2474" s="1070"/>
      <c r="CR2474" s="1070"/>
      <c r="CS2474" s="1070"/>
      <c r="CT2474" s="1070"/>
      <c r="CU2474" s="1070"/>
      <c r="CV2474" s="1070"/>
      <c r="CW2474" s="1070"/>
      <c r="CX2474" s="1070"/>
      <c r="CY2474" s="1070"/>
      <c r="CZ2474" s="1070"/>
      <c r="DA2474" s="1070"/>
      <c r="DB2474" s="1070"/>
      <c r="DC2474" s="1070"/>
      <c r="DD2474" s="1070"/>
      <c r="DE2474" s="1070"/>
      <c r="DF2474" s="1070"/>
      <c r="DG2474" s="1070"/>
      <c r="DH2474" s="1070"/>
      <c r="DI2474" s="1070"/>
      <c r="DJ2474" s="1070"/>
    </row>
    <row r="2475" spans="1:114" s="1136" customFormat="1" ht="15.75" x14ac:dyDescent="0.25">
      <c r="A2475" s="1420" t="s">
        <v>1322</v>
      </c>
      <c r="B2475" s="1439"/>
      <c r="C2475" s="1432"/>
      <c r="D2475" s="1432"/>
      <c r="E2475" s="1432"/>
      <c r="F2475" s="1432"/>
      <c r="G2475" s="1432"/>
      <c r="H2475" s="1350"/>
      <c r="I2475" s="1350"/>
      <c r="J2475" s="1350"/>
      <c r="K2475" s="1350"/>
      <c r="L2475" s="1350"/>
      <c r="M2475" s="1350"/>
      <c r="N2475" s="1350"/>
      <c r="O2475" s="1350"/>
      <c r="P2475" s="1350"/>
      <c r="Q2475" s="1350"/>
      <c r="R2475" s="1350"/>
      <c r="S2475" s="1350"/>
      <c r="T2475" s="1350"/>
      <c r="U2475" s="1350"/>
      <c r="V2475" s="1350"/>
      <c r="W2475" s="1350"/>
      <c r="X2475" s="1350"/>
      <c r="Y2475" s="1350"/>
      <c r="Z2475" s="1350"/>
      <c r="AA2475" s="1350"/>
      <c r="AB2475" s="1350"/>
      <c r="AC2475" s="1350"/>
      <c r="AD2475" s="1350"/>
      <c r="AE2475" s="1350"/>
      <c r="AF2475" s="1350"/>
      <c r="AG2475" s="1350"/>
      <c r="AH2475" s="1350"/>
      <c r="AI2475" s="1350"/>
      <c r="AJ2475" s="1350"/>
      <c r="AK2475" s="1350"/>
      <c r="AL2475" s="1350"/>
      <c r="AM2475" s="1350"/>
      <c r="AN2475" s="1350"/>
      <c r="AO2475" s="1350"/>
      <c r="AP2475" s="1350"/>
      <c r="AQ2475" s="1350"/>
      <c r="AR2475" s="1350"/>
      <c r="AS2475" s="1350"/>
      <c r="AT2475" s="1350"/>
      <c r="AU2475" s="1350"/>
      <c r="AV2475" s="1350"/>
      <c r="AW2475" s="1350"/>
      <c r="AX2475" s="1350"/>
      <c r="AY2475" s="1350"/>
      <c r="AZ2475" s="1350"/>
      <c r="BA2475" s="1070"/>
      <c r="BB2475" s="1070"/>
      <c r="BC2475" s="1070"/>
      <c r="BD2475" s="1070"/>
      <c r="BE2475" s="1070"/>
      <c r="BF2475" s="1070"/>
      <c r="BG2475" s="1070"/>
      <c r="BH2475" s="1070"/>
      <c r="BI2475" s="1070"/>
      <c r="BJ2475" s="1070"/>
      <c r="BK2475" s="1070"/>
      <c r="BL2475" s="1070"/>
      <c r="BM2475" s="1070"/>
      <c r="BN2475" s="1070"/>
      <c r="BO2475" s="1070"/>
      <c r="BP2475" s="1070"/>
      <c r="BQ2475" s="1070"/>
      <c r="BR2475" s="1070"/>
      <c r="BS2475" s="1070"/>
      <c r="BT2475" s="1070"/>
      <c r="BU2475" s="1070"/>
      <c r="BV2475" s="1070"/>
      <c r="BW2475" s="1070"/>
      <c r="BX2475" s="1070"/>
      <c r="BY2475" s="1070"/>
      <c r="BZ2475" s="1070"/>
      <c r="CA2475" s="1070"/>
      <c r="CB2475" s="1070"/>
      <c r="CC2475" s="1070"/>
      <c r="CD2475" s="1070"/>
      <c r="CE2475" s="1070"/>
      <c r="CF2475" s="1070"/>
      <c r="CG2475" s="1070"/>
      <c r="CH2475" s="1070"/>
      <c r="CI2475" s="1070"/>
      <c r="CJ2475" s="1070"/>
      <c r="CK2475" s="1070"/>
      <c r="CL2475" s="1070"/>
      <c r="CM2475" s="1070"/>
      <c r="CN2475" s="1070"/>
      <c r="CO2475" s="1070"/>
      <c r="CP2475" s="1070"/>
      <c r="CQ2475" s="1070"/>
      <c r="CR2475" s="1070"/>
      <c r="CS2475" s="1070"/>
      <c r="CT2475" s="1070"/>
      <c r="CU2475" s="1070"/>
      <c r="CV2475" s="1070"/>
      <c r="CW2475" s="1070"/>
      <c r="CX2475" s="1070"/>
      <c r="CY2475" s="1070"/>
      <c r="CZ2475" s="1070"/>
      <c r="DA2475" s="1070"/>
      <c r="DB2475" s="1070"/>
      <c r="DC2475" s="1070"/>
      <c r="DD2475" s="1070"/>
      <c r="DE2475" s="1070"/>
      <c r="DF2475" s="1070"/>
      <c r="DG2475" s="1070"/>
      <c r="DH2475" s="1070"/>
      <c r="DI2475" s="1070"/>
      <c r="DJ2475" s="1070"/>
    </row>
    <row r="2476" spans="1:114" s="1136" customFormat="1" ht="15.75" x14ac:dyDescent="0.25">
      <c r="A2476" s="1420" t="s">
        <v>391</v>
      </c>
      <c r="B2476" s="1443">
        <f>B2462</f>
        <v>1.1499999999999999</v>
      </c>
      <c r="C2476" s="1437"/>
      <c r="D2476" s="1350"/>
      <c r="E2476" s="1350"/>
      <c r="F2476" s="1350"/>
      <c r="G2476" s="1350"/>
      <c r="H2476" s="1350"/>
      <c r="I2476" s="1350"/>
      <c r="J2476" s="1350"/>
      <c r="K2476" s="1350"/>
      <c r="L2476" s="1350"/>
      <c r="M2476" s="1350"/>
      <c r="N2476" s="1350"/>
      <c r="O2476" s="1350"/>
      <c r="P2476" s="1350"/>
      <c r="Q2476" s="1350"/>
      <c r="R2476" s="1350"/>
      <c r="S2476" s="1350"/>
      <c r="T2476" s="1350"/>
      <c r="U2476" s="1350"/>
      <c r="V2476" s="1350"/>
      <c r="W2476" s="1350"/>
      <c r="X2476" s="1350"/>
      <c r="Y2476" s="1350"/>
      <c r="Z2476" s="1350"/>
      <c r="AA2476" s="1350"/>
      <c r="AB2476" s="1350"/>
      <c r="AC2476" s="1350"/>
      <c r="AD2476" s="1350"/>
      <c r="AE2476" s="1350"/>
      <c r="AF2476" s="1350"/>
      <c r="AG2476" s="1350"/>
      <c r="AH2476" s="1350"/>
      <c r="AI2476" s="1350"/>
      <c r="AJ2476" s="1350"/>
      <c r="AK2476" s="1350"/>
      <c r="AL2476" s="1350"/>
      <c r="AM2476" s="1350"/>
      <c r="AN2476" s="1350"/>
      <c r="AO2476" s="1350"/>
      <c r="AP2476" s="1350"/>
      <c r="AQ2476" s="1350"/>
      <c r="AR2476" s="1350"/>
      <c r="AS2476" s="1350"/>
      <c r="AT2476" s="1350"/>
      <c r="AU2476" s="1350"/>
      <c r="AV2476" s="1350"/>
      <c r="AW2476" s="1350"/>
      <c r="AX2476" s="1350"/>
      <c r="AY2476" s="1350"/>
      <c r="AZ2476" s="1350"/>
      <c r="BA2476" s="1070"/>
      <c r="BB2476" s="1070"/>
      <c r="BC2476" s="1070"/>
      <c r="BD2476" s="1070"/>
      <c r="BE2476" s="1070"/>
      <c r="BF2476" s="1070"/>
      <c r="BG2476" s="1070"/>
      <c r="BH2476" s="1070"/>
      <c r="BI2476" s="1070"/>
      <c r="BJ2476" s="1070"/>
      <c r="BK2476" s="1070"/>
      <c r="BL2476" s="1070"/>
      <c r="BM2476" s="1070"/>
      <c r="BN2476" s="1070"/>
      <c r="BO2476" s="1070"/>
      <c r="BP2476" s="1070"/>
      <c r="BQ2476" s="1070"/>
      <c r="BR2476" s="1070"/>
      <c r="BS2476" s="1070"/>
      <c r="BT2476" s="1070"/>
      <c r="BU2476" s="1070"/>
      <c r="BV2476" s="1070"/>
      <c r="BW2476" s="1070"/>
      <c r="BX2476" s="1070"/>
      <c r="BY2476" s="1070"/>
      <c r="BZ2476" s="1070"/>
      <c r="CA2476" s="1070"/>
      <c r="CB2476" s="1070"/>
      <c r="CC2476" s="1070"/>
      <c r="CD2476" s="1070"/>
      <c r="CE2476" s="1070"/>
      <c r="CF2476" s="1070"/>
      <c r="CG2476" s="1070"/>
      <c r="CH2476" s="1070"/>
      <c r="CI2476" s="1070"/>
      <c r="CJ2476" s="1070"/>
      <c r="CK2476" s="1070"/>
      <c r="CL2476" s="1070"/>
      <c r="CM2476" s="1070"/>
      <c r="CN2476" s="1070"/>
      <c r="CO2476" s="1070"/>
      <c r="CP2476" s="1070"/>
      <c r="CQ2476" s="1070"/>
      <c r="CR2476" s="1070"/>
      <c r="CS2476" s="1070"/>
      <c r="CT2476" s="1070"/>
      <c r="CU2476" s="1070"/>
      <c r="CV2476" s="1070"/>
      <c r="CW2476" s="1070"/>
      <c r="CX2476" s="1070"/>
      <c r="CY2476" s="1070"/>
      <c r="CZ2476" s="1070"/>
      <c r="DA2476" s="1070"/>
      <c r="DB2476" s="1070"/>
      <c r="DC2476" s="1070"/>
      <c r="DD2476" s="1070"/>
      <c r="DE2476" s="1070"/>
      <c r="DF2476" s="1070"/>
      <c r="DG2476" s="1070"/>
      <c r="DH2476" s="1070"/>
      <c r="DI2476" s="1070"/>
      <c r="DJ2476" s="1070"/>
    </row>
    <row r="2477" spans="1:114" s="1136" customFormat="1" ht="15.75" x14ac:dyDescent="0.25">
      <c r="A2477" s="1422" t="s">
        <v>392</v>
      </c>
      <c r="B2477" s="1443">
        <f>B2463</f>
        <v>1</v>
      </c>
      <c r="C2477" s="1437"/>
      <c r="D2477" s="1350"/>
      <c r="E2477" s="1350"/>
      <c r="F2477" s="1350"/>
      <c r="G2477" s="1350"/>
      <c r="H2477" s="1350"/>
      <c r="I2477" s="1350"/>
      <c r="J2477" s="1350"/>
      <c r="K2477" s="1350"/>
      <c r="L2477" s="1350"/>
      <c r="M2477" s="1350"/>
      <c r="N2477" s="1350"/>
      <c r="O2477" s="1350"/>
      <c r="P2477" s="1350"/>
      <c r="Q2477" s="1350"/>
      <c r="R2477" s="1350"/>
      <c r="S2477" s="1350"/>
      <c r="T2477" s="1350"/>
      <c r="U2477" s="1350"/>
      <c r="V2477" s="1350"/>
      <c r="W2477" s="1350"/>
      <c r="X2477" s="1350"/>
      <c r="Y2477" s="1350"/>
      <c r="Z2477" s="1350"/>
      <c r="AA2477" s="1350"/>
      <c r="AB2477" s="1350"/>
      <c r="AC2477" s="1350"/>
      <c r="AD2477" s="1350"/>
      <c r="AE2477" s="1350"/>
      <c r="AF2477" s="1350"/>
      <c r="AG2477" s="1350"/>
      <c r="AH2477" s="1350"/>
      <c r="AI2477" s="1350"/>
      <c r="AJ2477" s="1350"/>
      <c r="AK2477" s="1350"/>
      <c r="AL2477" s="1350"/>
      <c r="AM2477" s="1350"/>
      <c r="AN2477" s="1350"/>
      <c r="AO2477" s="1350"/>
      <c r="AP2477" s="1350"/>
      <c r="AQ2477" s="1350"/>
      <c r="AR2477" s="1350"/>
      <c r="AS2477" s="1350"/>
      <c r="AT2477" s="1350"/>
      <c r="AU2477" s="1350"/>
      <c r="AV2477" s="1350"/>
      <c r="AW2477" s="1350"/>
      <c r="AX2477" s="1350"/>
      <c r="AY2477" s="1350"/>
      <c r="AZ2477" s="1350"/>
      <c r="BA2477" s="1070"/>
      <c r="BB2477" s="1070"/>
      <c r="BC2477" s="1070"/>
      <c r="BD2477" s="1070"/>
      <c r="BE2477" s="1070"/>
      <c r="BF2477" s="1070"/>
      <c r="BG2477" s="1070"/>
      <c r="BH2477" s="1070"/>
      <c r="BI2477" s="1070"/>
      <c r="BJ2477" s="1070"/>
      <c r="BK2477" s="1070"/>
      <c r="BL2477" s="1070"/>
      <c r="BM2477" s="1070"/>
      <c r="BN2477" s="1070"/>
      <c r="BO2477" s="1070"/>
      <c r="BP2477" s="1070"/>
      <c r="BQ2477" s="1070"/>
      <c r="BR2477" s="1070"/>
      <c r="BS2477" s="1070"/>
      <c r="BT2477" s="1070"/>
      <c r="BU2477" s="1070"/>
      <c r="BV2477" s="1070"/>
      <c r="BW2477" s="1070"/>
      <c r="BX2477" s="1070"/>
      <c r="BY2477" s="1070"/>
      <c r="BZ2477" s="1070"/>
      <c r="CA2477" s="1070"/>
      <c r="CB2477" s="1070"/>
      <c r="CC2477" s="1070"/>
      <c r="CD2477" s="1070"/>
      <c r="CE2477" s="1070"/>
      <c r="CF2477" s="1070"/>
      <c r="CG2477" s="1070"/>
      <c r="CH2477" s="1070"/>
      <c r="CI2477" s="1070"/>
      <c r="CJ2477" s="1070"/>
      <c r="CK2477" s="1070"/>
      <c r="CL2477" s="1070"/>
      <c r="CM2477" s="1070"/>
      <c r="CN2477" s="1070"/>
      <c r="CO2477" s="1070"/>
      <c r="CP2477" s="1070"/>
      <c r="CQ2477" s="1070"/>
      <c r="CR2477" s="1070"/>
      <c r="CS2477" s="1070"/>
      <c r="CT2477" s="1070"/>
      <c r="CU2477" s="1070"/>
      <c r="CV2477" s="1070"/>
      <c r="CW2477" s="1070"/>
      <c r="CX2477" s="1070"/>
      <c r="CY2477" s="1070"/>
      <c r="CZ2477" s="1070"/>
      <c r="DA2477" s="1070"/>
      <c r="DB2477" s="1070"/>
      <c r="DC2477" s="1070"/>
      <c r="DD2477" s="1070"/>
      <c r="DE2477" s="1070"/>
      <c r="DF2477" s="1070"/>
      <c r="DG2477" s="1070"/>
      <c r="DH2477" s="1070"/>
      <c r="DI2477" s="1070"/>
      <c r="DJ2477" s="1070"/>
    </row>
    <row r="2478" spans="1:114" s="1136" customFormat="1" ht="15.75" x14ac:dyDescent="0.25">
      <c r="A2478" s="1422" t="s">
        <v>2976</v>
      </c>
      <c r="B2478" s="1450">
        <v>0.7</v>
      </c>
      <c r="C2478" s="1440"/>
      <c r="D2478" s="1429"/>
      <c r="E2478" s="1429"/>
      <c r="F2478" s="1429"/>
      <c r="G2478" s="1429"/>
      <c r="H2478" s="1350"/>
      <c r="I2478" s="1350"/>
      <c r="J2478" s="1350"/>
      <c r="K2478" s="1350"/>
      <c r="L2478" s="1350"/>
      <c r="M2478" s="1350"/>
      <c r="N2478" s="1350"/>
      <c r="O2478" s="1350"/>
      <c r="P2478" s="1350"/>
      <c r="Q2478" s="1350"/>
      <c r="R2478" s="1350"/>
      <c r="S2478" s="1350"/>
      <c r="T2478" s="1350"/>
      <c r="U2478" s="1350"/>
      <c r="V2478" s="1350"/>
      <c r="W2478" s="1350"/>
      <c r="X2478" s="1350"/>
      <c r="Y2478" s="1350"/>
      <c r="Z2478" s="1350"/>
      <c r="AA2478" s="1350"/>
      <c r="AB2478" s="1350"/>
      <c r="AC2478" s="1350"/>
      <c r="AD2478" s="1350"/>
      <c r="AE2478" s="1350"/>
      <c r="AF2478" s="1350"/>
      <c r="AG2478" s="1350"/>
      <c r="AH2478" s="1350"/>
      <c r="AI2478" s="1350"/>
      <c r="AJ2478" s="1350"/>
      <c r="AK2478" s="1350"/>
      <c r="AL2478" s="1350"/>
      <c r="AM2478" s="1350"/>
      <c r="AN2478" s="1350"/>
      <c r="AO2478" s="1350"/>
      <c r="AP2478" s="1350"/>
      <c r="AQ2478" s="1350"/>
      <c r="AR2478" s="1350"/>
      <c r="AS2478" s="1350"/>
      <c r="AT2478" s="1350"/>
      <c r="AU2478" s="1350"/>
      <c r="AV2478" s="1350"/>
      <c r="AW2478" s="1350"/>
      <c r="AX2478" s="1350"/>
      <c r="AY2478" s="1350"/>
      <c r="AZ2478" s="1350"/>
      <c r="BA2478" s="1070"/>
      <c r="BB2478" s="1070"/>
      <c r="BC2478" s="1070"/>
      <c r="BD2478" s="1070"/>
      <c r="BE2478" s="1070"/>
      <c r="BF2478" s="1070"/>
      <c r="BG2478" s="1070"/>
      <c r="BH2478" s="1070"/>
      <c r="BI2478" s="1070"/>
      <c r="BJ2478" s="1070"/>
      <c r="BK2478" s="1070"/>
      <c r="BL2478" s="1070"/>
      <c r="BM2478" s="1070"/>
      <c r="BN2478" s="1070"/>
      <c r="BO2478" s="1070"/>
      <c r="BP2478" s="1070"/>
      <c r="BQ2478" s="1070"/>
      <c r="BR2478" s="1070"/>
      <c r="BS2478" s="1070"/>
      <c r="BT2478" s="1070"/>
      <c r="BU2478" s="1070"/>
      <c r="BV2478" s="1070"/>
      <c r="BW2478" s="1070"/>
      <c r="BX2478" s="1070"/>
      <c r="BY2478" s="1070"/>
      <c r="BZ2478" s="1070"/>
      <c r="CA2478" s="1070"/>
      <c r="CB2478" s="1070"/>
      <c r="CC2478" s="1070"/>
      <c r="CD2478" s="1070"/>
      <c r="CE2478" s="1070"/>
      <c r="CF2478" s="1070"/>
      <c r="CG2478" s="1070"/>
      <c r="CH2478" s="1070"/>
      <c r="CI2478" s="1070"/>
      <c r="CJ2478" s="1070"/>
      <c r="CK2478" s="1070"/>
      <c r="CL2478" s="1070"/>
      <c r="CM2478" s="1070"/>
      <c r="CN2478" s="1070"/>
      <c r="CO2478" s="1070"/>
      <c r="CP2478" s="1070"/>
      <c r="CQ2478" s="1070"/>
      <c r="CR2478" s="1070"/>
      <c r="CS2478" s="1070"/>
      <c r="CT2478" s="1070"/>
      <c r="CU2478" s="1070"/>
      <c r="CV2478" s="1070"/>
      <c r="CW2478" s="1070"/>
      <c r="CX2478" s="1070"/>
      <c r="CY2478" s="1070"/>
      <c r="CZ2478" s="1070"/>
      <c r="DA2478" s="1070"/>
      <c r="DB2478" s="1070"/>
      <c r="DC2478" s="1070"/>
      <c r="DD2478" s="1070"/>
      <c r="DE2478" s="1070"/>
      <c r="DF2478" s="1070"/>
      <c r="DG2478" s="1070"/>
      <c r="DH2478" s="1070"/>
      <c r="DI2478" s="1070"/>
      <c r="DJ2478" s="1070"/>
    </row>
    <row r="2479" spans="1:114" s="1136" customFormat="1" ht="15.75" x14ac:dyDescent="0.25">
      <c r="A2479" s="1420" t="s">
        <v>3412</v>
      </c>
      <c r="B2479" s="1443" t="e">
        <f>B2472*B2476*B2477*B2478*B2383</f>
        <v>#VALUE!</v>
      </c>
      <c r="C2479" s="1437"/>
      <c r="D2479" s="1429"/>
      <c r="E2479" s="1429"/>
      <c r="F2479" s="1429"/>
      <c r="G2479" s="1429"/>
      <c r="H2479" s="1350"/>
      <c r="I2479" s="1350"/>
      <c r="J2479" s="1350"/>
      <c r="K2479" s="1350"/>
      <c r="L2479" s="1350"/>
      <c r="M2479" s="1350"/>
      <c r="N2479" s="1350"/>
      <c r="O2479" s="1350"/>
      <c r="P2479" s="1350"/>
      <c r="Q2479" s="1350"/>
      <c r="R2479" s="1350"/>
      <c r="S2479" s="1350"/>
      <c r="T2479" s="1350"/>
      <c r="U2479" s="1350"/>
      <c r="V2479" s="1350"/>
      <c r="W2479" s="1350"/>
      <c r="X2479" s="1350"/>
      <c r="Y2479" s="1350"/>
      <c r="Z2479" s="1350"/>
      <c r="AA2479" s="1350"/>
      <c r="AB2479" s="1350"/>
      <c r="AC2479" s="1350"/>
      <c r="AD2479" s="1350"/>
      <c r="AE2479" s="1350"/>
      <c r="AF2479" s="1350"/>
      <c r="AG2479" s="1350"/>
      <c r="AH2479" s="1350"/>
      <c r="AI2479" s="1350"/>
      <c r="AJ2479" s="1350"/>
      <c r="AK2479" s="1350"/>
      <c r="AL2479" s="1350"/>
      <c r="AM2479" s="1350"/>
      <c r="AN2479" s="1350"/>
      <c r="AO2479" s="1350"/>
      <c r="AP2479" s="1350"/>
      <c r="AQ2479" s="1350"/>
      <c r="AR2479" s="1350"/>
      <c r="AS2479" s="1350"/>
      <c r="AT2479" s="1350"/>
      <c r="AU2479" s="1350"/>
      <c r="AV2479" s="1350"/>
      <c r="AW2479" s="1350"/>
      <c r="AX2479" s="1350"/>
      <c r="AY2479" s="1350"/>
      <c r="AZ2479" s="1350"/>
      <c r="BA2479" s="1070"/>
      <c r="BB2479" s="1070"/>
      <c r="BC2479" s="1070"/>
      <c r="BD2479" s="1070"/>
      <c r="BE2479" s="1070"/>
      <c r="BF2479" s="1070"/>
      <c r="BG2479" s="1070"/>
      <c r="BH2479" s="1070"/>
      <c r="BI2479" s="1070"/>
      <c r="BJ2479" s="1070"/>
      <c r="BK2479" s="1070"/>
      <c r="BL2479" s="1070"/>
      <c r="BM2479" s="1070"/>
      <c r="BN2479" s="1070"/>
      <c r="BO2479" s="1070"/>
      <c r="BP2479" s="1070"/>
      <c r="BQ2479" s="1070"/>
      <c r="BR2479" s="1070"/>
      <c r="BS2479" s="1070"/>
      <c r="BT2479" s="1070"/>
      <c r="BU2479" s="1070"/>
      <c r="BV2479" s="1070"/>
      <c r="BW2479" s="1070"/>
      <c r="BX2479" s="1070"/>
      <c r="BY2479" s="1070"/>
      <c r="BZ2479" s="1070"/>
      <c r="CA2479" s="1070"/>
      <c r="CB2479" s="1070"/>
      <c r="CC2479" s="1070"/>
      <c r="CD2479" s="1070"/>
      <c r="CE2479" s="1070"/>
      <c r="CF2479" s="1070"/>
      <c r="CG2479" s="1070"/>
      <c r="CH2479" s="1070"/>
      <c r="CI2479" s="1070"/>
      <c r="CJ2479" s="1070"/>
      <c r="CK2479" s="1070"/>
      <c r="CL2479" s="1070"/>
      <c r="CM2479" s="1070"/>
      <c r="CN2479" s="1070"/>
      <c r="CO2479" s="1070"/>
      <c r="CP2479" s="1070"/>
      <c r="CQ2479" s="1070"/>
      <c r="CR2479" s="1070"/>
      <c r="CS2479" s="1070"/>
      <c r="CT2479" s="1070"/>
      <c r="CU2479" s="1070"/>
      <c r="CV2479" s="1070"/>
      <c r="CW2479" s="1070"/>
      <c r="CX2479" s="1070"/>
      <c r="CY2479" s="1070"/>
      <c r="CZ2479" s="1070"/>
      <c r="DA2479" s="1070"/>
      <c r="DB2479" s="1070"/>
      <c r="DC2479" s="1070"/>
      <c r="DD2479" s="1070"/>
      <c r="DE2479" s="1070"/>
      <c r="DF2479" s="1070"/>
      <c r="DG2479" s="1070"/>
      <c r="DH2479" s="1070"/>
      <c r="DI2479" s="1070"/>
      <c r="DJ2479" s="1070"/>
    </row>
    <row r="2480" spans="1:114" s="1136" customFormat="1" ht="15.75" x14ac:dyDescent="0.25">
      <c r="A2480" s="1420" t="s">
        <v>429</v>
      </c>
      <c r="B2480" s="1439" t="e">
        <f>B2471/B2479</f>
        <v>#VALUE!</v>
      </c>
      <c r="C2480" s="1432"/>
      <c r="D2480" s="1434"/>
      <c r="E2480" s="1434"/>
      <c r="F2480" s="1434"/>
      <c r="G2480" s="1434"/>
      <c r="H2480" s="1350"/>
      <c r="I2480" s="1350"/>
      <c r="J2480" s="1350"/>
      <c r="K2480" s="1350"/>
      <c r="L2480" s="1350"/>
      <c r="M2480" s="1350"/>
      <c r="N2480" s="1350"/>
      <c r="O2480" s="1350"/>
      <c r="P2480" s="1350"/>
      <c r="Q2480" s="1350"/>
      <c r="R2480" s="1350"/>
      <c r="S2480" s="1350"/>
      <c r="T2480" s="1350"/>
      <c r="U2480" s="1350"/>
      <c r="V2480" s="1350"/>
      <c r="W2480" s="1350"/>
      <c r="X2480" s="1350"/>
      <c r="Y2480" s="1350"/>
      <c r="Z2480" s="1350"/>
      <c r="AA2480" s="1350"/>
      <c r="AB2480" s="1350"/>
      <c r="AC2480" s="1350"/>
      <c r="AD2480" s="1350"/>
      <c r="AE2480" s="1350"/>
      <c r="AF2480" s="1350"/>
      <c r="AG2480" s="1350"/>
      <c r="AH2480" s="1350"/>
      <c r="AI2480" s="1350"/>
      <c r="AJ2480" s="1350"/>
      <c r="AK2480" s="1350"/>
      <c r="AL2480" s="1350"/>
      <c r="AM2480" s="1350"/>
      <c r="AN2480" s="1350"/>
      <c r="AO2480" s="1350"/>
      <c r="AP2480" s="1350"/>
      <c r="AQ2480" s="1350"/>
      <c r="AR2480" s="1350"/>
      <c r="AS2480" s="1350"/>
      <c r="AT2480" s="1350"/>
      <c r="AU2480" s="1350"/>
      <c r="AV2480" s="1350"/>
      <c r="AW2480" s="1350"/>
      <c r="AX2480" s="1350"/>
      <c r="AY2480" s="1350"/>
      <c r="AZ2480" s="1350"/>
      <c r="BA2480" s="1070"/>
      <c r="BB2480" s="1070"/>
      <c r="BC2480" s="1070"/>
      <c r="BD2480" s="1070"/>
      <c r="BE2480" s="1070"/>
      <c r="BF2480" s="1070"/>
      <c r="BG2480" s="1070"/>
      <c r="BH2480" s="1070"/>
      <c r="BI2480" s="1070"/>
      <c r="BJ2480" s="1070"/>
      <c r="BK2480" s="1070"/>
      <c r="BL2480" s="1070"/>
      <c r="BM2480" s="1070"/>
      <c r="BN2480" s="1070"/>
      <c r="BO2480" s="1070"/>
      <c r="BP2480" s="1070"/>
      <c r="BQ2480" s="1070"/>
      <c r="BR2480" s="1070"/>
      <c r="BS2480" s="1070"/>
      <c r="BT2480" s="1070"/>
      <c r="BU2480" s="1070"/>
      <c r="BV2480" s="1070"/>
      <c r="BW2480" s="1070"/>
      <c r="BX2480" s="1070"/>
      <c r="BY2480" s="1070"/>
      <c r="BZ2480" s="1070"/>
      <c r="CA2480" s="1070"/>
      <c r="CB2480" s="1070"/>
      <c r="CC2480" s="1070"/>
      <c r="CD2480" s="1070"/>
      <c r="CE2480" s="1070"/>
      <c r="CF2480" s="1070"/>
      <c r="CG2480" s="1070"/>
      <c r="CH2480" s="1070"/>
      <c r="CI2480" s="1070"/>
      <c r="CJ2480" s="1070"/>
      <c r="CK2480" s="1070"/>
      <c r="CL2480" s="1070"/>
      <c r="CM2480" s="1070"/>
      <c r="CN2480" s="1070"/>
      <c r="CO2480" s="1070"/>
      <c r="CP2480" s="1070"/>
      <c r="CQ2480" s="1070"/>
      <c r="CR2480" s="1070"/>
      <c r="CS2480" s="1070"/>
      <c r="CT2480" s="1070"/>
      <c r="CU2480" s="1070"/>
      <c r="CV2480" s="1070"/>
      <c r="CW2480" s="1070"/>
      <c r="CX2480" s="1070"/>
      <c r="CY2480" s="1070"/>
      <c r="CZ2480" s="1070"/>
      <c r="DA2480" s="1070"/>
      <c r="DB2480" s="1070"/>
      <c r="DC2480" s="1070"/>
      <c r="DD2480" s="1070"/>
      <c r="DE2480" s="1070"/>
      <c r="DF2480" s="1070"/>
      <c r="DG2480" s="1070"/>
      <c r="DH2480" s="1070"/>
      <c r="DI2480" s="1070"/>
      <c r="DJ2480" s="1070"/>
    </row>
    <row r="2481" spans="1:114" s="1136" customFormat="1" ht="15.75" x14ac:dyDescent="0.25">
      <c r="A2481" s="1420"/>
      <c r="B2481" s="1443"/>
      <c r="C2481" s="1437"/>
      <c r="D2481" s="1416"/>
      <c r="E2481" s="1416"/>
      <c r="F2481" s="1416"/>
      <c r="G2481" s="1416"/>
      <c r="H2481" s="1350"/>
      <c r="I2481" s="1350"/>
      <c r="J2481" s="1350"/>
      <c r="K2481" s="1350"/>
      <c r="L2481" s="1350"/>
      <c r="M2481" s="1350"/>
      <c r="N2481" s="1350"/>
      <c r="O2481" s="1350"/>
      <c r="P2481" s="1350"/>
      <c r="Q2481" s="1350"/>
      <c r="R2481" s="1350"/>
      <c r="S2481" s="1350"/>
      <c r="T2481" s="1350"/>
      <c r="U2481" s="1350"/>
      <c r="V2481" s="1350"/>
      <c r="W2481" s="1350"/>
      <c r="X2481" s="1350"/>
      <c r="Y2481" s="1350"/>
      <c r="Z2481" s="1350"/>
      <c r="AA2481" s="1350"/>
      <c r="AB2481" s="1350"/>
      <c r="AC2481" s="1350"/>
      <c r="AD2481" s="1350"/>
      <c r="AE2481" s="1350"/>
      <c r="AF2481" s="1350"/>
      <c r="AG2481" s="1350"/>
      <c r="AH2481" s="1350"/>
      <c r="AI2481" s="1350"/>
      <c r="AJ2481" s="1350"/>
      <c r="AK2481" s="1350"/>
      <c r="AL2481" s="1350"/>
      <c r="AM2481" s="1350"/>
      <c r="AN2481" s="1350"/>
      <c r="AO2481" s="1350"/>
      <c r="AP2481" s="1350"/>
      <c r="AQ2481" s="1350"/>
      <c r="AR2481" s="1350"/>
      <c r="AS2481" s="1350"/>
      <c r="AT2481" s="1350"/>
      <c r="AU2481" s="1350"/>
      <c r="AV2481" s="1350"/>
      <c r="AW2481" s="1350"/>
      <c r="AX2481" s="1350"/>
      <c r="AY2481" s="1350"/>
      <c r="AZ2481" s="1350"/>
      <c r="BA2481" s="1070"/>
      <c r="BB2481" s="1070"/>
      <c r="BC2481" s="1070"/>
      <c r="BD2481" s="1070"/>
      <c r="BE2481" s="1070"/>
      <c r="BF2481" s="1070"/>
      <c r="BG2481" s="1070"/>
      <c r="BH2481" s="1070"/>
      <c r="BI2481" s="1070"/>
      <c r="BJ2481" s="1070"/>
      <c r="BK2481" s="1070"/>
      <c r="BL2481" s="1070"/>
      <c r="BM2481" s="1070"/>
      <c r="BN2481" s="1070"/>
      <c r="BO2481" s="1070"/>
      <c r="BP2481" s="1070"/>
      <c r="BQ2481" s="1070"/>
      <c r="BR2481" s="1070"/>
      <c r="BS2481" s="1070"/>
      <c r="BT2481" s="1070"/>
      <c r="BU2481" s="1070"/>
      <c r="BV2481" s="1070"/>
      <c r="BW2481" s="1070"/>
      <c r="BX2481" s="1070"/>
      <c r="BY2481" s="1070"/>
      <c r="BZ2481" s="1070"/>
      <c r="CA2481" s="1070"/>
      <c r="CB2481" s="1070"/>
      <c r="CC2481" s="1070"/>
      <c r="CD2481" s="1070"/>
      <c r="CE2481" s="1070"/>
      <c r="CF2481" s="1070"/>
      <c r="CG2481" s="1070"/>
      <c r="CH2481" s="1070"/>
      <c r="CI2481" s="1070"/>
      <c r="CJ2481" s="1070"/>
      <c r="CK2481" s="1070"/>
      <c r="CL2481" s="1070"/>
      <c r="CM2481" s="1070"/>
      <c r="CN2481" s="1070"/>
      <c r="CO2481" s="1070"/>
      <c r="CP2481" s="1070"/>
      <c r="CQ2481" s="1070"/>
      <c r="CR2481" s="1070"/>
      <c r="CS2481" s="1070"/>
      <c r="CT2481" s="1070"/>
      <c r="CU2481" s="1070"/>
      <c r="CV2481" s="1070"/>
      <c r="CW2481" s="1070"/>
      <c r="CX2481" s="1070"/>
      <c r="CY2481" s="1070"/>
      <c r="CZ2481" s="1070"/>
      <c r="DA2481" s="1070"/>
      <c r="DB2481" s="1070"/>
      <c r="DC2481" s="1070"/>
      <c r="DD2481" s="1070"/>
      <c r="DE2481" s="1070"/>
      <c r="DF2481" s="1070"/>
      <c r="DG2481" s="1070"/>
      <c r="DH2481" s="1070"/>
      <c r="DI2481" s="1070"/>
      <c r="DJ2481" s="1070"/>
    </row>
    <row r="2482" spans="1:114" s="1136" customFormat="1" ht="47.25" x14ac:dyDescent="0.25">
      <c r="A2482" s="1438" t="s">
        <v>3212</v>
      </c>
      <c r="B2482" s="1443"/>
      <c r="C2482" s="1437"/>
      <c r="D2482" s="1350"/>
      <c r="E2482" s="1350"/>
      <c r="F2482" s="1350"/>
      <c r="G2482" s="1350"/>
      <c r="H2482" s="1350"/>
      <c r="I2482" s="1350"/>
      <c r="J2482" s="1350"/>
      <c r="K2482" s="1350"/>
      <c r="L2482" s="1350"/>
      <c r="M2482" s="1350"/>
      <c r="N2482" s="1350"/>
      <c r="O2482" s="1350"/>
      <c r="P2482" s="1350"/>
      <c r="Q2482" s="1350"/>
      <c r="R2482" s="1350"/>
      <c r="S2482" s="1350"/>
      <c r="T2482" s="1350"/>
      <c r="U2482" s="1350"/>
      <c r="V2482" s="1350"/>
      <c r="W2482" s="1350"/>
      <c r="X2482" s="1350"/>
      <c r="Y2482" s="1350"/>
      <c r="Z2482" s="1350"/>
      <c r="AA2482" s="1350"/>
      <c r="AB2482" s="1350"/>
      <c r="AC2482" s="1350"/>
      <c r="AD2482" s="1350"/>
      <c r="AE2482" s="1350"/>
      <c r="AF2482" s="1350"/>
      <c r="AG2482" s="1350"/>
      <c r="AH2482" s="1350"/>
      <c r="AI2482" s="1350"/>
      <c r="AJ2482" s="1350"/>
      <c r="AK2482" s="1350"/>
      <c r="AL2482" s="1350"/>
      <c r="AM2482" s="1350"/>
      <c r="AN2482" s="1350"/>
      <c r="AO2482" s="1350"/>
      <c r="AP2482" s="1350"/>
      <c r="AQ2482" s="1350"/>
      <c r="AR2482" s="1350"/>
      <c r="AS2482" s="1350"/>
      <c r="AT2482" s="1350"/>
      <c r="AU2482" s="1350"/>
      <c r="AV2482" s="1350"/>
      <c r="AW2482" s="1350"/>
      <c r="AX2482" s="1350"/>
      <c r="AY2482" s="1350"/>
      <c r="AZ2482" s="1350"/>
      <c r="BA2482" s="1070"/>
      <c r="BB2482" s="1070"/>
      <c r="BC2482" s="1070"/>
      <c r="BD2482" s="1070"/>
      <c r="BE2482" s="1070"/>
      <c r="BF2482" s="1070"/>
      <c r="BG2482" s="1070"/>
      <c r="BH2482" s="1070"/>
      <c r="BI2482" s="1070"/>
      <c r="BJ2482" s="1070"/>
      <c r="BK2482" s="1070"/>
      <c r="BL2482" s="1070"/>
      <c r="BM2482" s="1070"/>
      <c r="BN2482" s="1070"/>
      <c r="BO2482" s="1070"/>
      <c r="BP2482" s="1070"/>
      <c r="BQ2482" s="1070"/>
      <c r="BR2482" s="1070"/>
      <c r="BS2482" s="1070"/>
      <c r="BT2482" s="1070"/>
      <c r="BU2482" s="1070"/>
      <c r="BV2482" s="1070"/>
      <c r="BW2482" s="1070"/>
      <c r="BX2482" s="1070"/>
      <c r="BY2482" s="1070"/>
      <c r="BZ2482" s="1070"/>
      <c r="CA2482" s="1070"/>
      <c r="CB2482" s="1070"/>
      <c r="CC2482" s="1070"/>
      <c r="CD2482" s="1070"/>
      <c r="CE2482" s="1070"/>
      <c r="CF2482" s="1070"/>
      <c r="CG2482" s="1070"/>
      <c r="CH2482" s="1070"/>
      <c r="CI2482" s="1070"/>
      <c r="CJ2482" s="1070"/>
      <c r="CK2482" s="1070"/>
      <c r="CL2482" s="1070"/>
      <c r="CM2482" s="1070"/>
      <c r="CN2482" s="1070"/>
      <c r="CO2482" s="1070"/>
      <c r="CP2482" s="1070"/>
      <c r="CQ2482" s="1070"/>
      <c r="CR2482" s="1070"/>
      <c r="CS2482" s="1070"/>
      <c r="CT2482" s="1070"/>
      <c r="CU2482" s="1070"/>
      <c r="CV2482" s="1070"/>
      <c r="CW2482" s="1070"/>
      <c r="CX2482" s="1070"/>
      <c r="CY2482" s="1070"/>
      <c r="CZ2482" s="1070"/>
      <c r="DA2482" s="1070"/>
      <c r="DB2482" s="1070"/>
      <c r="DC2482" s="1070"/>
      <c r="DD2482" s="1070"/>
      <c r="DE2482" s="1070"/>
      <c r="DF2482" s="1070"/>
      <c r="DG2482" s="1070"/>
      <c r="DH2482" s="1070"/>
      <c r="DI2482" s="1070"/>
      <c r="DJ2482" s="1070"/>
    </row>
    <row r="2483" spans="1:114" s="1136" customFormat="1" ht="15.75" x14ac:dyDescent="0.25">
      <c r="A2483" s="1420" t="s">
        <v>1753</v>
      </c>
      <c r="B2483" s="1439" t="e">
        <f>(B245^2*((B2386-B2391)/B261+1)/(B2386-B2391))*B2389</f>
        <v>#VALUE!</v>
      </c>
      <c r="C2483" s="1432"/>
      <c r="D2483" s="1437"/>
      <c r="E2483" s="1437"/>
      <c r="F2483" s="1437"/>
      <c r="G2483" s="1437"/>
      <c r="H2483" s="1350"/>
      <c r="I2483" s="1350"/>
      <c r="J2483" s="1350"/>
      <c r="K2483" s="1350"/>
      <c r="L2483" s="1350"/>
      <c r="M2483" s="1350"/>
      <c r="N2483" s="1350"/>
      <c r="O2483" s="1350"/>
      <c r="P2483" s="1350"/>
      <c r="Q2483" s="1350"/>
      <c r="R2483" s="1350"/>
      <c r="S2483" s="1350"/>
      <c r="T2483" s="1350"/>
      <c r="U2483" s="1350"/>
      <c r="V2483" s="1350"/>
      <c r="W2483" s="1350"/>
      <c r="X2483" s="1350"/>
      <c r="Y2483" s="1350"/>
      <c r="Z2483" s="1350"/>
      <c r="AA2483" s="1350"/>
      <c r="AB2483" s="1350"/>
      <c r="AC2483" s="1350"/>
      <c r="AD2483" s="1350"/>
      <c r="AE2483" s="1350"/>
      <c r="AF2483" s="1350"/>
      <c r="AG2483" s="1350"/>
      <c r="AH2483" s="1350"/>
      <c r="AI2483" s="1350"/>
      <c r="AJ2483" s="1350"/>
      <c r="AK2483" s="1350"/>
      <c r="AL2483" s="1350"/>
      <c r="AM2483" s="1350"/>
      <c r="AN2483" s="1350"/>
      <c r="AO2483" s="1350"/>
      <c r="AP2483" s="1350"/>
      <c r="AQ2483" s="1350"/>
      <c r="AR2483" s="1350"/>
      <c r="AS2483" s="1350"/>
      <c r="AT2483" s="1350"/>
      <c r="AU2483" s="1350"/>
      <c r="AV2483" s="1350"/>
      <c r="AW2483" s="1350"/>
      <c r="AX2483" s="1350"/>
      <c r="AY2483" s="1350"/>
      <c r="AZ2483" s="1350"/>
      <c r="BA2483" s="1070"/>
      <c r="BB2483" s="1070"/>
      <c r="BC2483" s="1070"/>
      <c r="BD2483" s="1070"/>
      <c r="BE2483" s="1070"/>
      <c r="BF2483" s="1070"/>
      <c r="BG2483" s="1070"/>
      <c r="BH2483" s="1070"/>
      <c r="BI2483" s="1070"/>
      <c r="BJ2483" s="1070"/>
      <c r="BK2483" s="1070"/>
      <c r="BL2483" s="1070"/>
      <c r="BM2483" s="1070"/>
      <c r="BN2483" s="1070"/>
      <c r="BO2483" s="1070"/>
      <c r="BP2483" s="1070"/>
      <c r="BQ2483" s="1070"/>
      <c r="BR2483" s="1070"/>
      <c r="BS2483" s="1070"/>
      <c r="BT2483" s="1070"/>
      <c r="BU2483" s="1070"/>
      <c r="BV2483" s="1070"/>
      <c r="BW2483" s="1070"/>
      <c r="BX2483" s="1070"/>
      <c r="BY2483" s="1070"/>
      <c r="BZ2483" s="1070"/>
      <c r="CA2483" s="1070"/>
      <c r="CB2483" s="1070"/>
      <c r="CC2483" s="1070"/>
      <c r="CD2483" s="1070"/>
      <c r="CE2483" s="1070"/>
      <c r="CF2483" s="1070"/>
      <c r="CG2483" s="1070"/>
      <c r="CH2483" s="1070"/>
      <c r="CI2483" s="1070"/>
      <c r="CJ2483" s="1070"/>
      <c r="CK2483" s="1070"/>
      <c r="CL2483" s="1070"/>
      <c r="CM2483" s="1070"/>
      <c r="CN2483" s="1070"/>
      <c r="CO2483" s="1070"/>
      <c r="CP2483" s="1070"/>
      <c r="CQ2483" s="1070"/>
      <c r="CR2483" s="1070"/>
      <c r="CS2483" s="1070"/>
      <c r="CT2483" s="1070"/>
      <c r="CU2483" s="1070"/>
      <c r="CV2483" s="1070"/>
      <c r="CW2483" s="1070"/>
      <c r="CX2483" s="1070"/>
      <c r="CY2483" s="1070"/>
      <c r="CZ2483" s="1070"/>
      <c r="DA2483" s="1070"/>
      <c r="DB2483" s="1070"/>
      <c r="DC2483" s="1070"/>
      <c r="DD2483" s="1070"/>
      <c r="DE2483" s="1070"/>
      <c r="DF2483" s="1070"/>
      <c r="DG2483" s="1070"/>
      <c r="DH2483" s="1070"/>
      <c r="DI2483" s="1070"/>
      <c r="DJ2483" s="1070"/>
    </row>
    <row r="2484" spans="1:114" s="1136" customFormat="1" ht="15.75" x14ac:dyDescent="0.25">
      <c r="A2484" s="1420" t="s">
        <v>3390</v>
      </c>
      <c r="B2484" s="1424" t="e">
        <f>B2424</f>
        <v>#VALUE!</v>
      </c>
      <c r="C2484" s="1429"/>
      <c r="D2484" s="1437"/>
      <c r="E2484" s="1437"/>
      <c r="F2484" s="1437"/>
      <c r="G2484" s="1437"/>
      <c r="H2484" s="1350"/>
      <c r="I2484" s="1350"/>
      <c r="J2484" s="1350"/>
      <c r="K2484" s="1350"/>
      <c r="L2484" s="1350"/>
      <c r="M2484" s="1350"/>
      <c r="N2484" s="1350"/>
      <c r="O2484" s="1350"/>
      <c r="P2484" s="1350"/>
      <c r="Q2484" s="1350"/>
      <c r="R2484" s="1350"/>
      <c r="S2484" s="1350"/>
      <c r="T2484" s="1350"/>
      <c r="U2484" s="1350"/>
      <c r="V2484" s="1350"/>
      <c r="W2484" s="1350"/>
      <c r="X2484" s="1350"/>
      <c r="Y2484" s="1350"/>
      <c r="Z2484" s="1350"/>
      <c r="AA2484" s="1350"/>
      <c r="AB2484" s="1350"/>
      <c r="AC2484" s="1350"/>
      <c r="AD2484" s="1350"/>
      <c r="AE2484" s="1350"/>
      <c r="AF2484" s="1350"/>
      <c r="AG2484" s="1350"/>
      <c r="AH2484" s="1350"/>
      <c r="AI2484" s="1350"/>
      <c r="AJ2484" s="1350"/>
      <c r="AK2484" s="1350"/>
      <c r="AL2484" s="1350"/>
      <c r="AM2484" s="1350"/>
      <c r="AN2484" s="1350"/>
      <c r="AO2484" s="1350"/>
      <c r="AP2484" s="1350"/>
      <c r="AQ2484" s="1350"/>
      <c r="AR2484" s="1350"/>
      <c r="AS2484" s="1350"/>
      <c r="AT2484" s="1350"/>
      <c r="AU2484" s="1350"/>
      <c r="AV2484" s="1350"/>
      <c r="AW2484" s="1350"/>
      <c r="AX2484" s="1350"/>
      <c r="AY2484" s="1350"/>
      <c r="AZ2484" s="1350"/>
      <c r="BA2484" s="1070"/>
      <c r="BB2484" s="1070"/>
      <c r="BC2484" s="1070"/>
      <c r="BD2484" s="1070"/>
      <c r="BE2484" s="1070"/>
      <c r="BF2484" s="1070"/>
      <c r="BG2484" s="1070"/>
      <c r="BH2484" s="1070"/>
      <c r="BI2484" s="1070"/>
      <c r="BJ2484" s="1070"/>
      <c r="BK2484" s="1070"/>
      <c r="BL2484" s="1070"/>
      <c r="BM2484" s="1070"/>
      <c r="BN2484" s="1070"/>
      <c r="BO2484" s="1070"/>
      <c r="BP2484" s="1070"/>
      <c r="BQ2484" s="1070"/>
      <c r="BR2484" s="1070"/>
      <c r="BS2484" s="1070"/>
      <c r="BT2484" s="1070"/>
      <c r="BU2484" s="1070"/>
      <c r="BV2484" s="1070"/>
      <c r="BW2484" s="1070"/>
      <c r="BX2484" s="1070"/>
      <c r="BY2484" s="1070"/>
      <c r="BZ2484" s="1070"/>
      <c r="CA2484" s="1070"/>
      <c r="CB2484" s="1070"/>
      <c r="CC2484" s="1070"/>
      <c r="CD2484" s="1070"/>
      <c r="CE2484" s="1070"/>
      <c r="CF2484" s="1070"/>
      <c r="CG2484" s="1070"/>
      <c r="CH2484" s="1070"/>
      <c r="CI2484" s="1070"/>
      <c r="CJ2484" s="1070"/>
      <c r="CK2484" s="1070"/>
      <c r="CL2484" s="1070"/>
      <c r="CM2484" s="1070"/>
      <c r="CN2484" s="1070"/>
      <c r="CO2484" s="1070"/>
      <c r="CP2484" s="1070"/>
      <c r="CQ2484" s="1070"/>
      <c r="CR2484" s="1070"/>
      <c r="CS2484" s="1070"/>
      <c r="CT2484" s="1070"/>
      <c r="CU2484" s="1070"/>
      <c r="CV2484" s="1070"/>
      <c r="CW2484" s="1070"/>
      <c r="CX2484" s="1070"/>
      <c r="CY2484" s="1070"/>
      <c r="CZ2484" s="1070"/>
      <c r="DA2484" s="1070"/>
      <c r="DB2484" s="1070"/>
      <c r="DC2484" s="1070"/>
      <c r="DD2484" s="1070"/>
      <c r="DE2484" s="1070"/>
      <c r="DF2484" s="1070"/>
      <c r="DG2484" s="1070"/>
      <c r="DH2484" s="1070"/>
      <c r="DI2484" s="1070"/>
      <c r="DJ2484" s="1070"/>
    </row>
    <row r="2485" spans="1:114" s="1136" customFormat="1" ht="15.75" x14ac:dyDescent="0.25">
      <c r="A2485" s="1420" t="s">
        <v>3391</v>
      </c>
      <c r="B2485" s="1439"/>
      <c r="C2485" s="1432"/>
      <c r="D2485" s="1440"/>
      <c r="E2485" s="1440"/>
      <c r="F2485" s="1440"/>
      <c r="G2485" s="1440"/>
      <c r="H2485" s="1350"/>
      <c r="I2485" s="1350"/>
      <c r="J2485" s="1350"/>
      <c r="K2485" s="1350"/>
      <c r="L2485" s="1350"/>
      <c r="M2485" s="1350"/>
      <c r="N2485" s="1350"/>
      <c r="O2485" s="1350"/>
      <c r="P2485" s="1350"/>
      <c r="Q2485" s="1350"/>
      <c r="R2485" s="1350"/>
      <c r="S2485" s="1350"/>
      <c r="T2485" s="1350"/>
      <c r="U2485" s="1350"/>
      <c r="V2485" s="1350"/>
      <c r="W2485" s="1350"/>
      <c r="X2485" s="1350"/>
      <c r="Y2485" s="1350"/>
      <c r="Z2485" s="1350"/>
      <c r="AA2485" s="1350"/>
      <c r="AB2485" s="1350"/>
      <c r="AC2485" s="1350"/>
      <c r="AD2485" s="1350"/>
      <c r="AE2485" s="1350"/>
      <c r="AF2485" s="1350"/>
      <c r="AG2485" s="1350"/>
      <c r="AH2485" s="1350"/>
      <c r="AI2485" s="1350"/>
      <c r="AJ2485" s="1350"/>
      <c r="AK2485" s="1350"/>
      <c r="AL2485" s="1350"/>
      <c r="AM2485" s="1350"/>
      <c r="AN2485" s="1350"/>
      <c r="AO2485" s="1350"/>
      <c r="AP2485" s="1350"/>
      <c r="AQ2485" s="1350"/>
      <c r="AR2485" s="1350"/>
      <c r="AS2485" s="1350"/>
      <c r="AT2485" s="1350"/>
      <c r="AU2485" s="1350"/>
      <c r="AV2485" s="1350"/>
      <c r="AW2485" s="1350"/>
      <c r="AX2485" s="1350"/>
      <c r="AY2485" s="1350"/>
      <c r="AZ2485" s="1350"/>
      <c r="BA2485" s="1070"/>
      <c r="BB2485" s="1070"/>
      <c r="BC2485" s="1070"/>
      <c r="BD2485" s="1070"/>
      <c r="BE2485" s="1070"/>
      <c r="BF2485" s="1070"/>
      <c r="BG2485" s="1070"/>
      <c r="BH2485" s="1070"/>
      <c r="BI2485" s="1070"/>
      <c r="BJ2485" s="1070"/>
      <c r="BK2485" s="1070"/>
      <c r="BL2485" s="1070"/>
      <c r="BM2485" s="1070"/>
      <c r="BN2485" s="1070"/>
      <c r="BO2485" s="1070"/>
      <c r="BP2485" s="1070"/>
      <c r="BQ2485" s="1070"/>
      <c r="BR2485" s="1070"/>
      <c r="BS2485" s="1070"/>
      <c r="BT2485" s="1070"/>
      <c r="BU2485" s="1070"/>
      <c r="BV2485" s="1070"/>
      <c r="BW2485" s="1070"/>
      <c r="BX2485" s="1070"/>
      <c r="BY2485" s="1070"/>
      <c r="BZ2485" s="1070"/>
      <c r="CA2485" s="1070"/>
      <c r="CB2485" s="1070"/>
      <c r="CC2485" s="1070"/>
      <c r="CD2485" s="1070"/>
      <c r="CE2485" s="1070"/>
      <c r="CF2485" s="1070"/>
      <c r="CG2485" s="1070"/>
      <c r="CH2485" s="1070"/>
      <c r="CI2485" s="1070"/>
      <c r="CJ2485" s="1070"/>
      <c r="CK2485" s="1070"/>
      <c r="CL2485" s="1070"/>
      <c r="CM2485" s="1070"/>
      <c r="CN2485" s="1070"/>
      <c r="CO2485" s="1070"/>
      <c r="CP2485" s="1070"/>
      <c r="CQ2485" s="1070"/>
      <c r="CR2485" s="1070"/>
      <c r="CS2485" s="1070"/>
      <c r="CT2485" s="1070"/>
      <c r="CU2485" s="1070"/>
      <c r="CV2485" s="1070"/>
      <c r="CW2485" s="1070"/>
      <c r="CX2485" s="1070"/>
      <c r="CY2485" s="1070"/>
      <c r="CZ2485" s="1070"/>
      <c r="DA2485" s="1070"/>
      <c r="DB2485" s="1070"/>
      <c r="DC2485" s="1070"/>
      <c r="DD2485" s="1070"/>
      <c r="DE2485" s="1070"/>
      <c r="DF2485" s="1070"/>
      <c r="DG2485" s="1070"/>
      <c r="DH2485" s="1070"/>
      <c r="DI2485" s="1070"/>
      <c r="DJ2485" s="1070"/>
    </row>
    <row r="2486" spans="1:114" s="1136" customFormat="1" ht="15.75" x14ac:dyDescent="0.25">
      <c r="A2486" s="1420" t="s">
        <v>392</v>
      </c>
      <c r="B2486" s="1443">
        <f>B2426</f>
        <v>1</v>
      </c>
      <c r="C2486" s="1437"/>
      <c r="D2486" s="1437"/>
      <c r="E2486" s="1437"/>
      <c r="F2486" s="1437"/>
      <c r="G2486" s="1437"/>
      <c r="H2486" s="1350"/>
      <c r="I2486" s="1350"/>
      <c r="J2486" s="1350"/>
      <c r="K2486" s="1350"/>
      <c r="L2486" s="1350"/>
      <c r="M2486" s="1350"/>
      <c r="N2486" s="1350"/>
      <c r="O2486" s="1350"/>
      <c r="P2486" s="1350"/>
      <c r="Q2486" s="1350"/>
      <c r="R2486" s="1350"/>
      <c r="S2486" s="1350"/>
      <c r="T2486" s="1350"/>
      <c r="U2486" s="1350"/>
      <c r="V2486" s="1350"/>
      <c r="W2486" s="1350"/>
      <c r="X2486" s="1350"/>
      <c r="Y2486" s="1350"/>
      <c r="Z2486" s="1350"/>
      <c r="AA2486" s="1350"/>
      <c r="AB2486" s="1350"/>
      <c r="AC2486" s="1350"/>
      <c r="AD2486" s="1350"/>
      <c r="AE2486" s="1350"/>
      <c r="AF2486" s="1350"/>
      <c r="AG2486" s="1350"/>
      <c r="AH2486" s="1350"/>
      <c r="AI2486" s="1350"/>
      <c r="AJ2486" s="1350"/>
      <c r="AK2486" s="1350"/>
      <c r="AL2486" s="1350"/>
      <c r="AM2486" s="1350"/>
      <c r="AN2486" s="1350"/>
      <c r="AO2486" s="1350"/>
      <c r="AP2486" s="1350"/>
      <c r="AQ2486" s="1350"/>
      <c r="AR2486" s="1350"/>
      <c r="AS2486" s="1350"/>
      <c r="AT2486" s="1350"/>
      <c r="AU2486" s="1350"/>
      <c r="AV2486" s="1350"/>
      <c r="AW2486" s="1350"/>
      <c r="AX2486" s="1350"/>
      <c r="AY2486" s="1350"/>
      <c r="AZ2486" s="1350"/>
      <c r="BA2486" s="1070"/>
      <c r="BB2486" s="1070"/>
      <c r="BC2486" s="1070"/>
      <c r="BD2486" s="1070"/>
      <c r="BE2486" s="1070"/>
      <c r="BF2486" s="1070"/>
      <c r="BG2486" s="1070"/>
      <c r="BH2486" s="1070"/>
      <c r="BI2486" s="1070"/>
      <c r="BJ2486" s="1070"/>
      <c r="BK2486" s="1070"/>
      <c r="BL2486" s="1070"/>
      <c r="BM2486" s="1070"/>
      <c r="BN2486" s="1070"/>
      <c r="BO2486" s="1070"/>
      <c r="BP2486" s="1070"/>
      <c r="BQ2486" s="1070"/>
      <c r="BR2486" s="1070"/>
      <c r="BS2486" s="1070"/>
      <c r="BT2486" s="1070"/>
      <c r="BU2486" s="1070"/>
      <c r="BV2486" s="1070"/>
      <c r="BW2486" s="1070"/>
      <c r="BX2486" s="1070"/>
      <c r="BY2486" s="1070"/>
      <c r="BZ2486" s="1070"/>
      <c r="CA2486" s="1070"/>
      <c r="CB2486" s="1070"/>
      <c r="CC2486" s="1070"/>
      <c r="CD2486" s="1070"/>
      <c r="CE2486" s="1070"/>
      <c r="CF2486" s="1070"/>
      <c r="CG2486" s="1070"/>
      <c r="CH2486" s="1070"/>
      <c r="CI2486" s="1070"/>
      <c r="CJ2486" s="1070"/>
      <c r="CK2486" s="1070"/>
      <c r="CL2486" s="1070"/>
      <c r="CM2486" s="1070"/>
      <c r="CN2486" s="1070"/>
      <c r="CO2486" s="1070"/>
      <c r="CP2486" s="1070"/>
      <c r="CQ2486" s="1070"/>
      <c r="CR2486" s="1070"/>
      <c r="CS2486" s="1070"/>
      <c r="CT2486" s="1070"/>
      <c r="CU2486" s="1070"/>
      <c r="CV2486" s="1070"/>
      <c r="CW2486" s="1070"/>
      <c r="CX2486" s="1070"/>
      <c r="CY2486" s="1070"/>
      <c r="CZ2486" s="1070"/>
      <c r="DA2486" s="1070"/>
      <c r="DB2486" s="1070"/>
      <c r="DC2486" s="1070"/>
      <c r="DD2486" s="1070"/>
      <c r="DE2486" s="1070"/>
      <c r="DF2486" s="1070"/>
      <c r="DG2486" s="1070"/>
      <c r="DH2486" s="1070"/>
      <c r="DI2486" s="1070"/>
      <c r="DJ2486" s="1070"/>
    </row>
    <row r="2487" spans="1:114" s="1136" customFormat="1" ht="15.75" x14ac:dyDescent="0.25">
      <c r="A2487" s="1420" t="s">
        <v>391</v>
      </c>
      <c r="B2487" s="1443">
        <f>B2427</f>
        <v>0.9</v>
      </c>
      <c r="C2487" s="1437"/>
      <c r="D2487" s="1432"/>
      <c r="E2487" s="1432"/>
      <c r="F2487" s="1432"/>
      <c r="G2487" s="1432"/>
      <c r="H2487" s="1350"/>
      <c r="I2487" s="1350"/>
      <c r="J2487" s="1350"/>
      <c r="K2487" s="1350"/>
      <c r="L2487" s="1350"/>
      <c r="M2487" s="1350"/>
      <c r="N2487" s="1350"/>
      <c r="O2487" s="1350"/>
      <c r="P2487" s="1350"/>
      <c r="Q2487" s="1350"/>
      <c r="R2487" s="1350"/>
      <c r="S2487" s="1350"/>
      <c r="T2487" s="1350"/>
      <c r="U2487" s="1350"/>
      <c r="V2487" s="1350"/>
      <c r="W2487" s="1350"/>
      <c r="X2487" s="1350"/>
      <c r="Y2487" s="1350"/>
      <c r="Z2487" s="1350"/>
      <c r="AA2487" s="1350"/>
      <c r="AB2487" s="1350"/>
      <c r="AC2487" s="1350"/>
      <c r="AD2487" s="1350"/>
      <c r="AE2487" s="1350"/>
      <c r="AF2487" s="1350"/>
      <c r="AG2487" s="1350"/>
      <c r="AH2487" s="1350"/>
      <c r="AI2487" s="1350"/>
      <c r="AJ2487" s="1350"/>
      <c r="AK2487" s="1350"/>
      <c r="AL2487" s="1350"/>
      <c r="AM2487" s="1350"/>
      <c r="AN2487" s="1350"/>
      <c r="AO2487" s="1350"/>
      <c r="AP2487" s="1350"/>
      <c r="AQ2487" s="1350"/>
      <c r="AR2487" s="1350"/>
      <c r="AS2487" s="1350"/>
      <c r="AT2487" s="1350"/>
      <c r="AU2487" s="1350"/>
      <c r="AV2487" s="1350"/>
      <c r="AW2487" s="1350"/>
      <c r="AX2487" s="1350"/>
      <c r="AY2487" s="1350"/>
      <c r="AZ2487" s="1350"/>
      <c r="BA2487" s="1070"/>
      <c r="BB2487" s="1070"/>
      <c r="BC2487" s="1070"/>
      <c r="BD2487" s="1070"/>
      <c r="BE2487" s="1070"/>
      <c r="BF2487" s="1070"/>
      <c r="BG2487" s="1070"/>
      <c r="BH2487" s="1070"/>
      <c r="BI2487" s="1070"/>
      <c r="BJ2487" s="1070"/>
      <c r="BK2487" s="1070"/>
      <c r="BL2487" s="1070"/>
      <c r="BM2487" s="1070"/>
      <c r="BN2487" s="1070"/>
      <c r="BO2487" s="1070"/>
      <c r="BP2487" s="1070"/>
      <c r="BQ2487" s="1070"/>
      <c r="BR2487" s="1070"/>
      <c r="BS2487" s="1070"/>
      <c r="BT2487" s="1070"/>
      <c r="BU2487" s="1070"/>
      <c r="BV2487" s="1070"/>
      <c r="BW2487" s="1070"/>
      <c r="BX2487" s="1070"/>
      <c r="BY2487" s="1070"/>
      <c r="BZ2487" s="1070"/>
      <c r="CA2487" s="1070"/>
      <c r="CB2487" s="1070"/>
      <c r="CC2487" s="1070"/>
      <c r="CD2487" s="1070"/>
      <c r="CE2487" s="1070"/>
      <c r="CF2487" s="1070"/>
      <c r="CG2487" s="1070"/>
      <c r="CH2487" s="1070"/>
      <c r="CI2487" s="1070"/>
      <c r="CJ2487" s="1070"/>
      <c r="CK2487" s="1070"/>
      <c r="CL2487" s="1070"/>
      <c r="CM2487" s="1070"/>
      <c r="CN2487" s="1070"/>
      <c r="CO2487" s="1070"/>
      <c r="CP2487" s="1070"/>
      <c r="CQ2487" s="1070"/>
      <c r="CR2487" s="1070"/>
      <c r="CS2487" s="1070"/>
      <c r="CT2487" s="1070"/>
      <c r="CU2487" s="1070"/>
      <c r="CV2487" s="1070"/>
      <c r="CW2487" s="1070"/>
      <c r="CX2487" s="1070"/>
      <c r="CY2487" s="1070"/>
      <c r="CZ2487" s="1070"/>
      <c r="DA2487" s="1070"/>
      <c r="DB2487" s="1070"/>
      <c r="DC2487" s="1070"/>
      <c r="DD2487" s="1070"/>
      <c r="DE2487" s="1070"/>
      <c r="DF2487" s="1070"/>
      <c r="DG2487" s="1070"/>
      <c r="DH2487" s="1070"/>
      <c r="DI2487" s="1070"/>
      <c r="DJ2487" s="1070"/>
    </row>
    <row r="2488" spans="1:114" s="1136" customFormat="1" ht="31.5" x14ac:dyDescent="0.25">
      <c r="A2488" s="1420" t="s">
        <v>3213</v>
      </c>
      <c r="B2488" s="1451">
        <f>B2428</f>
        <v>0</v>
      </c>
      <c r="C2488" s="1434"/>
      <c r="D2488" s="1350"/>
      <c r="E2488" s="1350"/>
      <c r="F2488" s="1350"/>
      <c r="G2488" s="1350"/>
      <c r="H2488" s="1350"/>
      <c r="I2488" s="1350"/>
      <c r="J2488" s="1350"/>
      <c r="K2488" s="1350"/>
      <c r="L2488" s="1350"/>
      <c r="M2488" s="1350"/>
      <c r="N2488" s="1350"/>
      <c r="O2488" s="1350"/>
      <c r="P2488" s="1350"/>
      <c r="Q2488" s="1350"/>
      <c r="R2488" s="1350"/>
      <c r="S2488" s="1350"/>
      <c r="T2488" s="1350"/>
      <c r="U2488" s="1350"/>
      <c r="V2488" s="1350"/>
      <c r="W2488" s="1350"/>
      <c r="X2488" s="1350"/>
      <c r="Y2488" s="1350"/>
      <c r="Z2488" s="1350"/>
      <c r="AA2488" s="1350"/>
      <c r="AB2488" s="1350"/>
      <c r="AC2488" s="1350"/>
      <c r="AD2488" s="1350"/>
      <c r="AE2488" s="1350"/>
      <c r="AF2488" s="1350"/>
      <c r="AG2488" s="1350"/>
      <c r="AH2488" s="1350"/>
      <c r="AI2488" s="1350"/>
      <c r="AJ2488" s="1350"/>
      <c r="AK2488" s="1350"/>
      <c r="AL2488" s="1350"/>
      <c r="AM2488" s="1350"/>
      <c r="AN2488" s="1350"/>
      <c r="AO2488" s="1350"/>
      <c r="AP2488" s="1350"/>
      <c r="AQ2488" s="1350"/>
      <c r="AR2488" s="1350"/>
      <c r="AS2488" s="1350"/>
      <c r="AT2488" s="1350"/>
      <c r="AU2488" s="1350"/>
      <c r="AV2488" s="1350"/>
      <c r="AW2488" s="1350"/>
      <c r="AX2488" s="1350"/>
      <c r="AY2488" s="1350"/>
      <c r="AZ2488" s="1350"/>
      <c r="BA2488" s="1070"/>
      <c r="BB2488" s="1070"/>
      <c r="BC2488" s="1070"/>
      <c r="BD2488" s="1070"/>
      <c r="BE2488" s="1070"/>
      <c r="BF2488" s="1070"/>
      <c r="BG2488" s="1070"/>
      <c r="BH2488" s="1070"/>
      <c r="BI2488" s="1070"/>
      <c r="BJ2488" s="1070"/>
      <c r="BK2488" s="1070"/>
      <c r="BL2488" s="1070"/>
      <c r="BM2488" s="1070"/>
      <c r="BN2488" s="1070"/>
      <c r="BO2488" s="1070"/>
      <c r="BP2488" s="1070"/>
      <c r="BQ2488" s="1070"/>
      <c r="BR2488" s="1070"/>
      <c r="BS2488" s="1070"/>
      <c r="BT2488" s="1070"/>
      <c r="BU2488" s="1070"/>
      <c r="BV2488" s="1070"/>
      <c r="BW2488" s="1070"/>
      <c r="BX2488" s="1070"/>
      <c r="BY2488" s="1070"/>
      <c r="BZ2488" s="1070"/>
      <c r="CA2488" s="1070"/>
      <c r="CB2488" s="1070"/>
      <c r="CC2488" s="1070"/>
      <c r="CD2488" s="1070"/>
      <c r="CE2488" s="1070"/>
      <c r="CF2488" s="1070"/>
      <c r="CG2488" s="1070"/>
      <c r="CH2488" s="1070"/>
      <c r="CI2488" s="1070"/>
      <c r="CJ2488" s="1070"/>
      <c r="CK2488" s="1070"/>
      <c r="CL2488" s="1070"/>
      <c r="CM2488" s="1070"/>
      <c r="CN2488" s="1070"/>
      <c r="CO2488" s="1070"/>
      <c r="CP2488" s="1070"/>
      <c r="CQ2488" s="1070"/>
      <c r="CR2488" s="1070"/>
      <c r="CS2488" s="1070"/>
      <c r="CT2488" s="1070"/>
      <c r="CU2488" s="1070"/>
      <c r="CV2488" s="1070"/>
      <c r="CW2488" s="1070"/>
      <c r="CX2488" s="1070"/>
      <c r="CY2488" s="1070"/>
      <c r="CZ2488" s="1070"/>
      <c r="DA2488" s="1070"/>
      <c r="DB2488" s="1070"/>
      <c r="DC2488" s="1070"/>
      <c r="DD2488" s="1070"/>
      <c r="DE2488" s="1070"/>
      <c r="DF2488" s="1070"/>
      <c r="DG2488" s="1070"/>
      <c r="DH2488" s="1070"/>
      <c r="DI2488" s="1070"/>
      <c r="DJ2488" s="1070"/>
    </row>
    <row r="2489" spans="1:114" s="1136" customFormat="1" ht="15.75" x14ac:dyDescent="0.25">
      <c r="A2489" s="1420" t="s">
        <v>3393</v>
      </c>
      <c r="B2489" s="1443">
        <f>IF(B2488=0,1,1.2)</f>
        <v>1</v>
      </c>
      <c r="C2489" s="1437"/>
      <c r="D2489" s="1350"/>
      <c r="E2489" s="1350"/>
      <c r="F2489" s="1350"/>
      <c r="G2489" s="1350"/>
      <c r="H2489" s="1350"/>
      <c r="I2489" s="1350"/>
      <c r="J2489" s="1350"/>
      <c r="K2489" s="1350"/>
      <c r="L2489" s="1350"/>
      <c r="M2489" s="1350"/>
      <c r="N2489" s="1350"/>
      <c r="O2489" s="1350"/>
      <c r="P2489" s="1350"/>
      <c r="Q2489" s="1350"/>
      <c r="R2489" s="1350"/>
      <c r="S2489" s="1350"/>
      <c r="T2489" s="1350"/>
      <c r="U2489" s="1350"/>
      <c r="V2489" s="1350"/>
      <c r="W2489" s="1350"/>
      <c r="X2489" s="1350"/>
      <c r="Y2489" s="1350"/>
      <c r="Z2489" s="1350"/>
      <c r="AA2489" s="1350"/>
      <c r="AB2489" s="1350"/>
      <c r="AC2489" s="1350"/>
      <c r="AD2489" s="1350"/>
      <c r="AE2489" s="1350"/>
      <c r="AF2489" s="1350"/>
      <c r="AG2489" s="1350"/>
      <c r="AH2489" s="1350"/>
      <c r="AI2489" s="1350"/>
      <c r="AJ2489" s="1350"/>
      <c r="AK2489" s="1350"/>
      <c r="AL2489" s="1350"/>
      <c r="AM2489" s="1350"/>
      <c r="AN2489" s="1350"/>
      <c r="AO2489" s="1350"/>
      <c r="AP2489" s="1350"/>
      <c r="AQ2489" s="1350"/>
      <c r="AR2489" s="1350"/>
      <c r="AS2489" s="1350"/>
      <c r="AT2489" s="1350"/>
      <c r="AU2489" s="1350"/>
      <c r="AV2489" s="1350"/>
      <c r="AW2489" s="1350"/>
      <c r="AX2489" s="1350"/>
      <c r="AY2489" s="1350"/>
      <c r="AZ2489" s="1350"/>
      <c r="BA2489" s="1070"/>
      <c r="BB2489" s="1070"/>
      <c r="BC2489" s="1070"/>
      <c r="BD2489" s="1070"/>
      <c r="BE2489" s="1070"/>
      <c r="BF2489" s="1070"/>
      <c r="BG2489" s="1070"/>
      <c r="BH2489" s="1070"/>
      <c r="BI2489" s="1070"/>
      <c r="BJ2489" s="1070"/>
      <c r="BK2489" s="1070"/>
      <c r="BL2489" s="1070"/>
      <c r="BM2489" s="1070"/>
      <c r="BN2489" s="1070"/>
      <c r="BO2489" s="1070"/>
      <c r="BP2489" s="1070"/>
      <c r="BQ2489" s="1070"/>
      <c r="BR2489" s="1070"/>
      <c r="BS2489" s="1070"/>
      <c r="BT2489" s="1070"/>
      <c r="BU2489" s="1070"/>
      <c r="BV2489" s="1070"/>
      <c r="BW2489" s="1070"/>
      <c r="BX2489" s="1070"/>
      <c r="BY2489" s="1070"/>
      <c r="BZ2489" s="1070"/>
      <c r="CA2489" s="1070"/>
      <c r="CB2489" s="1070"/>
      <c r="CC2489" s="1070"/>
      <c r="CD2489" s="1070"/>
      <c r="CE2489" s="1070"/>
      <c r="CF2489" s="1070"/>
      <c r="CG2489" s="1070"/>
      <c r="CH2489" s="1070"/>
      <c r="CI2489" s="1070"/>
      <c r="CJ2489" s="1070"/>
      <c r="CK2489" s="1070"/>
      <c r="CL2489" s="1070"/>
      <c r="CM2489" s="1070"/>
      <c r="CN2489" s="1070"/>
      <c r="CO2489" s="1070"/>
      <c r="CP2489" s="1070"/>
      <c r="CQ2489" s="1070"/>
      <c r="CR2489" s="1070"/>
      <c r="CS2489" s="1070"/>
      <c r="CT2489" s="1070"/>
      <c r="CU2489" s="1070"/>
      <c r="CV2489" s="1070"/>
      <c r="CW2489" s="1070"/>
      <c r="CX2489" s="1070"/>
      <c r="CY2489" s="1070"/>
      <c r="CZ2489" s="1070"/>
      <c r="DA2489" s="1070"/>
      <c r="DB2489" s="1070"/>
      <c r="DC2489" s="1070"/>
      <c r="DD2489" s="1070"/>
      <c r="DE2489" s="1070"/>
      <c r="DF2489" s="1070"/>
      <c r="DG2489" s="1070"/>
      <c r="DH2489" s="1070"/>
      <c r="DI2489" s="1070"/>
      <c r="DJ2489" s="1070"/>
    </row>
    <row r="2490" spans="1:114" s="1136" customFormat="1" ht="47.25" x14ac:dyDescent="0.25">
      <c r="A2490" s="1420" t="s">
        <v>3214</v>
      </c>
      <c r="B2490" s="1451">
        <f>B2430</f>
        <v>1</v>
      </c>
      <c r="C2490" s="1434"/>
      <c r="D2490" s="1432"/>
      <c r="E2490" s="1432"/>
      <c r="F2490" s="1432"/>
      <c r="G2490" s="1432"/>
      <c r="H2490" s="1350"/>
      <c r="I2490" s="1350"/>
      <c r="J2490" s="1350"/>
      <c r="K2490" s="1350"/>
      <c r="L2490" s="1350"/>
      <c r="M2490" s="1350"/>
      <c r="N2490" s="1350"/>
      <c r="O2490" s="1350"/>
      <c r="P2490" s="1350"/>
      <c r="Q2490" s="1350"/>
      <c r="R2490" s="1350"/>
      <c r="S2490" s="1350"/>
      <c r="T2490" s="1350"/>
      <c r="U2490" s="1350"/>
      <c r="V2490" s="1350"/>
      <c r="W2490" s="1350"/>
      <c r="X2490" s="1350"/>
      <c r="Y2490" s="1350"/>
      <c r="Z2490" s="1350"/>
      <c r="AA2490" s="1350"/>
      <c r="AB2490" s="1350"/>
      <c r="AC2490" s="1350"/>
      <c r="AD2490" s="1350"/>
      <c r="AE2490" s="1350"/>
      <c r="AF2490" s="1350"/>
      <c r="AG2490" s="1350"/>
      <c r="AH2490" s="1350"/>
      <c r="AI2490" s="1350"/>
      <c r="AJ2490" s="1350"/>
      <c r="AK2490" s="1350"/>
      <c r="AL2490" s="1350"/>
      <c r="AM2490" s="1350"/>
      <c r="AN2490" s="1350"/>
      <c r="AO2490" s="1350"/>
      <c r="AP2490" s="1350"/>
      <c r="AQ2490" s="1350"/>
      <c r="AR2490" s="1350"/>
      <c r="AS2490" s="1350"/>
      <c r="AT2490" s="1350"/>
      <c r="AU2490" s="1350"/>
      <c r="AV2490" s="1350"/>
      <c r="AW2490" s="1350"/>
      <c r="AX2490" s="1350"/>
      <c r="AY2490" s="1350"/>
      <c r="AZ2490" s="1350"/>
      <c r="BA2490" s="1070"/>
      <c r="BB2490" s="1070"/>
      <c r="BC2490" s="1070"/>
      <c r="BD2490" s="1070"/>
      <c r="BE2490" s="1070"/>
      <c r="BF2490" s="1070"/>
      <c r="BG2490" s="1070"/>
      <c r="BH2490" s="1070"/>
      <c r="BI2490" s="1070"/>
      <c r="BJ2490" s="1070"/>
      <c r="BK2490" s="1070"/>
      <c r="BL2490" s="1070"/>
      <c r="BM2490" s="1070"/>
      <c r="BN2490" s="1070"/>
      <c r="BO2490" s="1070"/>
      <c r="BP2490" s="1070"/>
      <c r="BQ2490" s="1070"/>
      <c r="BR2490" s="1070"/>
      <c r="BS2490" s="1070"/>
      <c r="BT2490" s="1070"/>
      <c r="BU2490" s="1070"/>
      <c r="BV2490" s="1070"/>
      <c r="BW2490" s="1070"/>
      <c r="BX2490" s="1070"/>
      <c r="BY2490" s="1070"/>
      <c r="BZ2490" s="1070"/>
      <c r="CA2490" s="1070"/>
      <c r="CB2490" s="1070"/>
      <c r="CC2490" s="1070"/>
      <c r="CD2490" s="1070"/>
      <c r="CE2490" s="1070"/>
      <c r="CF2490" s="1070"/>
      <c r="CG2490" s="1070"/>
      <c r="CH2490" s="1070"/>
      <c r="CI2490" s="1070"/>
      <c r="CJ2490" s="1070"/>
      <c r="CK2490" s="1070"/>
      <c r="CL2490" s="1070"/>
      <c r="CM2490" s="1070"/>
      <c r="CN2490" s="1070"/>
      <c r="CO2490" s="1070"/>
      <c r="CP2490" s="1070"/>
      <c r="CQ2490" s="1070"/>
      <c r="CR2490" s="1070"/>
      <c r="CS2490" s="1070"/>
      <c r="CT2490" s="1070"/>
      <c r="CU2490" s="1070"/>
      <c r="CV2490" s="1070"/>
      <c r="CW2490" s="1070"/>
      <c r="CX2490" s="1070"/>
      <c r="CY2490" s="1070"/>
      <c r="CZ2490" s="1070"/>
      <c r="DA2490" s="1070"/>
      <c r="DB2490" s="1070"/>
      <c r="DC2490" s="1070"/>
      <c r="DD2490" s="1070"/>
      <c r="DE2490" s="1070"/>
      <c r="DF2490" s="1070"/>
      <c r="DG2490" s="1070"/>
      <c r="DH2490" s="1070"/>
      <c r="DI2490" s="1070"/>
      <c r="DJ2490" s="1070"/>
    </row>
    <row r="2491" spans="1:114" s="1136" customFormat="1" ht="15.75" x14ac:dyDescent="0.25">
      <c r="A2491" s="1420" t="s">
        <v>1893</v>
      </c>
      <c r="B2491" s="1443">
        <f>IF(B2490=0,1.05,1)</f>
        <v>1</v>
      </c>
      <c r="C2491" s="1437"/>
      <c r="D2491" s="1429"/>
      <c r="E2491" s="1429"/>
      <c r="F2491" s="1429"/>
      <c r="G2491" s="1429"/>
      <c r="H2491" s="1350"/>
      <c r="I2491" s="1350"/>
      <c r="J2491" s="1350"/>
      <c r="K2491" s="1350"/>
      <c r="L2491" s="1350"/>
      <c r="M2491" s="1350"/>
      <c r="N2491" s="1350"/>
      <c r="O2491" s="1350"/>
      <c r="P2491" s="1350"/>
      <c r="Q2491" s="1350"/>
      <c r="R2491" s="1350"/>
      <c r="S2491" s="1350"/>
      <c r="T2491" s="1350"/>
      <c r="U2491" s="1350"/>
      <c r="V2491" s="1350"/>
      <c r="W2491" s="1350"/>
      <c r="X2491" s="1350"/>
      <c r="Y2491" s="1350"/>
      <c r="Z2491" s="1350"/>
      <c r="AA2491" s="1350"/>
      <c r="AB2491" s="1350"/>
      <c r="AC2491" s="1350"/>
      <c r="AD2491" s="1350"/>
      <c r="AE2491" s="1350"/>
      <c r="AF2491" s="1350"/>
      <c r="AG2491" s="1350"/>
      <c r="AH2491" s="1350"/>
      <c r="AI2491" s="1350"/>
      <c r="AJ2491" s="1350"/>
      <c r="AK2491" s="1350"/>
      <c r="AL2491" s="1350"/>
      <c r="AM2491" s="1350"/>
      <c r="AN2491" s="1350"/>
      <c r="AO2491" s="1350"/>
      <c r="AP2491" s="1350"/>
      <c r="AQ2491" s="1350"/>
      <c r="AR2491" s="1350"/>
      <c r="AS2491" s="1350"/>
      <c r="AT2491" s="1350"/>
      <c r="AU2491" s="1350"/>
      <c r="AV2491" s="1350"/>
      <c r="AW2491" s="1350"/>
      <c r="AX2491" s="1350"/>
      <c r="AY2491" s="1350"/>
      <c r="AZ2491" s="1350"/>
      <c r="BA2491" s="1070"/>
      <c r="BB2491" s="1070"/>
      <c r="BC2491" s="1070"/>
      <c r="BD2491" s="1070"/>
      <c r="BE2491" s="1070"/>
      <c r="BF2491" s="1070"/>
      <c r="BG2491" s="1070"/>
      <c r="BH2491" s="1070"/>
      <c r="BI2491" s="1070"/>
      <c r="BJ2491" s="1070"/>
      <c r="BK2491" s="1070"/>
      <c r="BL2491" s="1070"/>
      <c r="BM2491" s="1070"/>
      <c r="BN2491" s="1070"/>
      <c r="BO2491" s="1070"/>
      <c r="BP2491" s="1070"/>
      <c r="BQ2491" s="1070"/>
      <c r="BR2491" s="1070"/>
      <c r="BS2491" s="1070"/>
      <c r="BT2491" s="1070"/>
      <c r="BU2491" s="1070"/>
      <c r="BV2491" s="1070"/>
      <c r="BW2491" s="1070"/>
      <c r="BX2491" s="1070"/>
      <c r="BY2491" s="1070"/>
      <c r="BZ2491" s="1070"/>
      <c r="CA2491" s="1070"/>
      <c r="CB2491" s="1070"/>
      <c r="CC2491" s="1070"/>
      <c r="CD2491" s="1070"/>
      <c r="CE2491" s="1070"/>
      <c r="CF2491" s="1070"/>
      <c r="CG2491" s="1070"/>
      <c r="CH2491" s="1070"/>
      <c r="CI2491" s="1070"/>
      <c r="CJ2491" s="1070"/>
      <c r="CK2491" s="1070"/>
      <c r="CL2491" s="1070"/>
      <c r="CM2491" s="1070"/>
      <c r="CN2491" s="1070"/>
      <c r="CO2491" s="1070"/>
      <c r="CP2491" s="1070"/>
      <c r="CQ2491" s="1070"/>
      <c r="CR2491" s="1070"/>
      <c r="CS2491" s="1070"/>
      <c r="CT2491" s="1070"/>
      <c r="CU2491" s="1070"/>
      <c r="CV2491" s="1070"/>
      <c r="CW2491" s="1070"/>
      <c r="CX2491" s="1070"/>
      <c r="CY2491" s="1070"/>
      <c r="CZ2491" s="1070"/>
      <c r="DA2491" s="1070"/>
      <c r="DB2491" s="1070"/>
      <c r="DC2491" s="1070"/>
      <c r="DD2491" s="1070"/>
      <c r="DE2491" s="1070"/>
      <c r="DF2491" s="1070"/>
      <c r="DG2491" s="1070"/>
      <c r="DH2491" s="1070"/>
      <c r="DI2491" s="1070"/>
      <c r="DJ2491" s="1070"/>
    </row>
    <row r="2492" spans="1:114" s="1136" customFormat="1" ht="15.75" x14ac:dyDescent="0.25">
      <c r="A2492" s="1420" t="s">
        <v>1894</v>
      </c>
      <c r="B2492" s="1443" t="e">
        <f>B2484*B2486*B2487*B2489*B2491*B2383</f>
        <v>#VALUE!</v>
      </c>
      <c r="C2492" s="1437"/>
      <c r="D2492" s="1350"/>
      <c r="E2492" s="1350"/>
      <c r="F2492" s="1350"/>
      <c r="G2492" s="1350"/>
      <c r="H2492" s="1350"/>
      <c r="I2492" s="1350"/>
      <c r="J2492" s="1350"/>
      <c r="K2492" s="1350"/>
      <c r="L2492" s="1350"/>
      <c r="M2492" s="1350"/>
      <c r="N2492" s="1350"/>
      <c r="O2492" s="1350"/>
      <c r="P2492" s="1350"/>
      <c r="Q2492" s="1350"/>
      <c r="R2492" s="1350"/>
      <c r="S2492" s="1350"/>
      <c r="T2492" s="1350"/>
      <c r="U2492" s="1350"/>
      <c r="V2492" s="1350"/>
      <c r="W2492" s="1350"/>
      <c r="X2492" s="1350"/>
      <c r="Y2492" s="1350"/>
      <c r="Z2492" s="1350"/>
      <c r="AA2492" s="1350"/>
      <c r="AB2492" s="1350"/>
      <c r="AC2492" s="1350"/>
      <c r="AD2492" s="1350"/>
      <c r="AE2492" s="1350"/>
      <c r="AF2492" s="1350"/>
      <c r="AG2492" s="1350"/>
      <c r="AH2492" s="1350"/>
      <c r="AI2492" s="1350"/>
      <c r="AJ2492" s="1350"/>
      <c r="AK2492" s="1350"/>
      <c r="AL2492" s="1350"/>
      <c r="AM2492" s="1350"/>
      <c r="AN2492" s="1350"/>
      <c r="AO2492" s="1350"/>
      <c r="AP2492" s="1350"/>
      <c r="AQ2492" s="1350"/>
      <c r="AR2492" s="1350"/>
      <c r="AS2492" s="1350"/>
      <c r="AT2492" s="1350"/>
      <c r="AU2492" s="1350"/>
      <c r="AV2492" s="1350"/>
      <c r="AW2492" s="1350"/>
      <c r="AX2492" s="1350"/>
      <c r="AY2492" s="1350"/>
      <c r="AZ2492" s="1350"/>
      <c r="BA2492" s="1070"/>
      <c r="BB2492" s="1070"/>
      <c r="BC2492" s="1070"/>
      <c r="BD2492" s="1070"/>
      <c r="BE2492" s="1070"/>
      <c r="BF2492" s="1070"/>
      <c r="BG2492" s="1070"/>
      <c r="BH2492" s="1070"/>
      <c r="BI2492" s="1070"/>
      <c r="BJ2492" s="1070"/>
      <c r="BK2492" s="1070"/>
      <c r="BL2492" s="1070"/>
      <c r="BM2492" s="1070"/>
      <c r="BN2492" s="1070"/>
      <c r="BO2492" s="1070"/>
      <c r="BP2492" s="1070"/>
      <c r="BQ2492" s="1070"/>
      <c r="BR2492" s="1070"/>
      <c r="BS2492" s="1070"/>
      <c r="BT2492" s="1070"/>
      <c r="BU2492" s="1070"/>
      <c r="BV2492" s="1070"/>
      <c r="BW2492" s="1070"/>
      <c r="BX2492" s="1070"/>
      <c r="BY2492" s="1070"/>
      <c r="BZ2492" s="1070"/>
      <c r="CA2492" s="1070"/>
      <c r="CB2492" s="1070"/>
      <c r="CC2492" s="1070"/>
      <c r="CD2492" s="1070"/>
      <c r="CE2492" s="1070"/>
      <c r="CF2492" s="1070"/>
      <c r="CG2492" s="1070"/>
      <c r="CH2492" s="1070"/>
      <c r="CI2492" s="1070"/>
      <c r="CJ2492" s="1070"/>
      <c r="CK2492" s="1070"/>
      <c r="CL2492" s="1070"/>
      <c r="CM2492" s="1070"/>
      <c r="CN2492" s="1070"/>
      <c r="CO2492" s="1070"/>
      <c r="CP2492" s="1070"/>
      <c r="CQ2492" s="1070"/>
      <c r="CR2492" s="1070"/>
      <c r="CS2492" s="1070"/>
      <c r="CT2492" s="1070"/>
      <c r="CU2492" s="1070"/>
      <c r="CV2492" s="1070"/>
      <c r="CW2492" s="1070"/>
      <c r="CX2492" s="1070"/>
      <c r="CY2492" s="1070"/>
      <c r="CZ2492" s="1070"/>
      <c r="DA2492" s="1070"/>
      <c r="DB2492" s="1070"/>
      <c r="DC2492" s="1070"/>
      <c r="DD2492" s="1070"/>
      <c r="DE2492" s="1070"/>
      <c r="DF2492" s="1070"/>
      <c r="DG2492" s="1070"/>
      <c r="DH2492" s="1070"/>
      <c r="DI2492" s="1070"/>
      <c r="DJ2492" s="1070"/>
    </row>
    <row r="2493" spans="1:114" s="1136" customFormat="1" ht="15.75" x14ac:dyDescent="0.25">
      <c r="A2493" s="1420" t="s">
        <v>429</v>
      </c>
      <c r="B2493" s="1439" t="e">
        <f>B2483/B2492</f>
        <v>#VALUE!</v>
      </c>
      <c r="C2493" s="1432"/>
      <c r="D2493" s="1437"/>
      <c r="E2493" s="1437"/>
      <c r="F2493" s="1437"/>
      <c r="G2493" s="1437"/>
      <c r="H2493" s="1350"/>
      <c r="I2493" s="1350"/>
      <c r="J2493" s="1350"/>
      <c r="K2493" s="1350"/>
      <c r="L2493" s="1350"/>
      <c r="M2493" s="1350"/>
      <c r="N2493" s="1350"/>
      <c r="O2493" s="1350"/>
      <c r="P2493" s="1350"/>
      <c r="Q2493" s="1350"/>
      <c r="R2493" s="1350"/>
      <c r="S2493" s="1350"/>
      <c r="T2493" s="1350"/>
      <c r="U2493" s="1350"/>
      <c r="V2493" s="1350"/>
      <c r="W2493" s="1350"/>
      <c r="X2493" s="1350"/>
      <c r="Y2493" s="1350"/>
      <c r="Z2493" s="1350"/>
      <c r="AA2493" s="1350"/>
      <c r="AB2493" s="1350"/>
      <c r="AC2493" s="1350"/>
      <c r="AD2493" s="1350"/>
      <c r="AE2493" s="1350"/>
      <c r="AF2493" s="1350"/>
      <c r="AG2493" s="1350"/>
      <c r="AH2493" s="1350"/>
      <c r="AI2493" s="1350"/>
      <c r="AJ2493" s="1350"/>
      <c r="AK2493" s="1350"/>
      <c r="AL2493" s="1350"/>
      <c r="AM2493" s="1350"/>
      <c r="AN2493" s="1350"/>
      <c r="AO2493" s="1350"/>
      <c r="AP2493" s="1350"/>
      <c r="AQ2493" s="1350"/>
      <c r="AR2493" s="1350"/>
      <c r="AS2493" s="1350"/>
      <c r="AT2493" s="1350"/>
      <c r="AU2493" s="1350"/>
      <c r="AV2493" s="1350"/>
      <c r="AW2493" s="1350"/>
      <c r="AX2493" s="1350"/>
      <c r="AY2493" s="1350"/>
      <c r="AZ2493" s="1350"/>
      <c r="BA2493" s="1070"/>
      <c r="BB2493" s="1070"/>
      <c r="BC2493" s="1070"/>
      <c r="BD2493" s="1070"/>
      <c r="BE2493" s="1070"/>
      <c r="BF2493" s="1070"/>
      <c r="BG2493" s="1070"/>
      <c r="BH2493" s="1070"/>
      <c r="BI2493" s="1070"/>
      <c r="BJ2493" s="1070"/>
      <c r="BK2493" s="1070"/>
      <c r="BL2493" s="1070"/>
      <c r="BM2493" s="1070"/>
      <c r="BN2493" s="1070"/>
      <c r="BO2493" s="1070"/>
      <c r="BP2493" s="1070"/>
      <c r="BQ2493" s="1070"/>
      <c r="BR2493" s="1070"/>
      <c r="BS2493" s="1070"/>
      <c r="BT2493" s="1070"/>
      <c r="BU2493" s="1070"/>
      <c r="BV2493" s="1070"/>
      <c r="BW2493" s="1070"/>
      <c r="BX2493" s="1070"/>
      <c r="BY2493" s="1070"/>
      <c r="BZ2493" s="1070"/>
      <c r="CA2493" s="1070"/>
      <c r="CB2493" s="1070"/>
      <c r="CC2493" s="1070"/>
      <c r="CD2493" s="1070"/>
      <c r="CE2493" s="1070"/>
      <c r="CF2493" s="1070"/>
      <c r="CG2493" s="1070"/>
      <c r="CH2493" s="1070"/>
      <c r="CI2493" s="1070"/>
      <c r="CJ2493" s="1070"/>
      <c r="CK2493" s="1070"/>
      <c r="CL2493" s="1070"/>
      <c r="CM2493" s="1070"/>
      <c r="CN2493" s="1070"/>
      <c r="CO2493" s="1070"/>
      <c r="CP2493" s="1070"/>
      <c r="CQ2493" s="1070"/>
      <c r="CR2493" s="1070"/>
      <c r="CS2493" s="1070"/>
      <c r="CT2493" s="1070"/>
      <c r="CU2493" s="1070"/>
      <c r="CV2493" s="1070"/>
      <c r="CW2493" s="1070"/>
      <c r="CX2493" s="1070"/>
      <c r="CY2493" s="1070"/>
      <c r="CZ2493" s="1070"/>
      <c r="DA2493" s="1070"/>
      <c r="DB2493" s="1070"/>
      <c r="DC2493" s="1070"/>
      <c r="DD2493" s="1070"/>
      <c r="DE2493" s="1070"/>
      <c r="DF2493" s="1070"/>
      <c r="DG2493" s="1070"/>
      <c r="DH2493" s="1070"/>
      <c r="DI2493" s="1070"/>
      <c r="DJ2493" s="1070"/>
    </row>
    <row r="2494" spans="1:114" s="1136" customFormat="1" ht="15.75" x14ac:dyDescent="0.25">
      <c r="A2494" s="1420"/>
      <c r="B2494" s="1439"/>
      <c r="C2494" s="1432"/>
      <c r="D2494" s="1437"/>
      <c r="E2494" s="1437"/>
      <c r="F2494" s="1437"/>
      <c r="G2494" s="1437"/>
      <c r="H2494" s="1350"/>
      <c r="I2494" s="1350"/>
      <c r="J2494" s="1350"/>
      <c r="K2494" s="1350"/>
      <c r="L2494" s="1350"/>
      <c r="M2494" s="1350"/>
      <c r="N2494" s="1350"/>
      <c r="O2494" s="1350"/>
      <c r="P2494" s="1350"/>
      <c r="Q2494" s="1350"/>
      <c r="R2494" s="1350"/>
      <c r="S2494" s="1350"/>
      <c r="T2494" s="1350"/>
      <c r="U2494" s="1350"/>
      <c r="V2494" s="1350"/>
      <c r="W2494" s="1350"/>
      <c r="X2494" s="1350"/>
      <c r="Y2494" s="1350"/>
      <c r="Z2494" s="1350"/>
      <c r="AA2494" s="1350"/>
      <c r="AB2494" s="1350"/>
      <c r="AC2494" s="1350"/>
      <c r="AD2494" s="1350"/>
      <c r="AE2494" s="1350"/>
      <c r="AF2494" s="1350"/>
      <c r="AG2494" s="1350"/>
      <c r="AH2494" s="1350"/>
      <c r="AI2494" s="1350"/>
      <c r="AJ2494" s="1350"/>
      <c r="AK2494" s="1350"/>
      <c r="AL2494" s="1350"/>
      <c r="AM2494" s="1350"/>
      <c r="AN2494" s="1350"/>
      <c r="AO2494" s="1350"/>
      <c r="AP2494" s="1350"/>
      <c r="AQ2494" s="1350"/>
      <c r="AR2494" s="1350"/>
      <c r="AS2494" s="1350"/>
      <c r="AT2494" s="1350"/>
      <c r="AU2494" s="1350"/>
      <c r="AV2494" s="1350"/>
      <c r="AW2494" s="1350"/>
      <c r="AX2494" s="1350"/>
      <c r="AY2494" s="1350"/>
      <c r="AZ2494" s="1350"/>
      <c r="BA2494" s="1070"/>
      <c r="BB2494" s="1070"/>
      <c r="BC2494" s="1070"/>
      <c r="BD2494" s="1070"/>
      <c r="BE2494" s="1070"/>
      <c r="BF2494" s="1070"/>
      <c r="BG2494" s="1070"/>
      <c r="BH2494" s="1070"/>
      <c r="BI2494" s="1070"/>
      <c r="BJ2494" s="1070"/>
      <c r="BK2494" s="1070"/>
      <c r="BL2494" s="1070"/>
      <c r="BM2494" s="1070"/>
      <c r="BN2494" s="1070"/>
      <c r="BO2494" s="1070"/>
      <c r="BP2494" s="1070"/>
      <c r="BQ2494" s="1070"/>
      <c r="BR2494" s="1070"/>
      <c r="BS2494" s="1070"/>
      <c r="BT2494" s="1070"/>
      <c r="BU2494" s="1070"/>
      <c r="BV2494" s="1070"/>
      <c r="BW2494" s="1070"/>
      <c r="BX2494" s="1070"/>
      <c r="BY2494" s="1070"/>
      <c r="BZ2494" s="1070"/>
      <c r="CA2494" s="1070"/>
      <c r="CB2494" s="1070"/>
      <c r="CC2494" s="1070"/>
      <c r="CD2494" s="1070"/>
      <c r="CE2494" s="1070"/>
      <c r="CF2494" s="1070"/>
      <c r="CG2494" s="1070"/>
      <c r="CH2494" s="1070"/>
      <c r="CI2494" s="1070"/>
      <c r="CJ2494" s="1070"/>
      <c r="CK2494" s="1070"/>
      <c r="CL2494" s="1070"/>
      <c r="CM2494" s="1070"/>
      <c r="CN2494" s="1070"/>
      <c r="CO2494" s="1070"/>
      <c r="CP2494" s="1070"/>
      <c r="CQ2494" s="1070"/>
      <c r="CR2494" s="1070"/>
      <c r="CS2494" s="1070"/>
      <c r="CT2494" s="1070"/>
      <c r="CU2494" s="1070"/>
      <c r="CV2494" s="1070"/>
      <c r="CW2494" s="1070"/>
      <c r="CX2494" s="1070"/>
      <c r="CY2494" s="1070"/>
      <c r="CZ2494" s="1070"/>
      <c r="DA2494" s="1070"/>
      <c r="DB2494" s="1070"/>
      <c r="DC2494" s="1070"/>
      <c r="DD2494" s="1070"/>
      <c r="DE2494" s="1070"/>
      <c r="DF2494" s="1070"/>
      <c r="DG2494" s="1070"/>
      <c r="DH2494" s="1070"/>
      <c r="DI2494" s="1070"/>
      <c r="DJ2494" s="1070"/>
    </row>
    <row r="2495" spans="1:114" s="1136" customFormat="1" ht="47.25" x14ac:dyDescent="0.25">
      <c r="A2495" s="1438" t="s">
        <v>531</v>
      </c>
      <c r="B2495" s="1450"/>
      <c r="C2495" s="1440"/>
      <c r="D2495" s="1434"/>
      <c r="E2495" s="1434"/>
      <c r="F2495" s="1434"/>
      <c r="G2495" s="1434"/>
      <c r="H2495" s="1350"/>
      <c r="I2495" s="1350"/>
      <c r="J2495" s="1350"/>
      <c r="K2495" s="1350"/>
      <c r="L2495" s="1350"/>
      <c r="M2495" s="1350"/>
      <c r="N2495" s="1350"/>
      <c r="O2495" s="1350"/>
      <c r="P2495" s="1350"/>
      <c r="Q2495" s="1350"/>
      <c r="R2495" s="1350"/>
      <c r="S2495" s="1350"/>
      <c r="T2495" s="1350"/>
      <c r="U2495" s="1350"/>
      <c r="V2495" s="1350"/>
      <c r="W2495" s="1350"/>
      <c r="X2495" s="1350"/>
      <c r="Y2495" s="1350"/>
      <c r="Z2495" s="1350"/>
      <c r="AA2495" s="1350"/>
      <c r="AB2495" s="1350"/>
      <c r="AC2495" s="1350"/>
      <c r="AD2495" s="1350"/>
      <c r="AE2495" s="1350"/>
      <c r="AF2495" s="1350"/>
      <c r="AG2495" s="1350"/>
      <c r="AH2495" s="1350"/>
      <c r="AI2495" s="1350"/>
      <c r="AJ2495" s="1350"/>
      <c r="AK2495" s="1350"/>
      <c r="AL2495" s="1350"/>
      <c r="AM2495" s="1350"/>
      <c r="AN2495" s="1350"/>
      <c r="AO2495" s="1350"/>
      <c r="AP2495" s="1350"/>
      <c r="AQ2495" s="1350"/>
      <c r="AR2495" s="1350"/>
      <c r="AS2495" s="1350"/>
      <c r="AT2495" s="1350"/>
      <c r="AU2495" s="1350"/>
      <c r="AV2495" s="1350"/>
      <c r="AW2495" s="1350"/>
      <c r="AX2495" s="1350"/>
      <c r="AY2495" s="1350"/>
      <c r="AZ2495" s="1350"/>
      <c r="BA2495" s="1070"/>
      <c r="BB2495" s="1070"/>
      <c r="BC2495" s="1070"/>
      <c r="BD2495" s="1070"/>
      <c r="BE2495" s="1070"/>
      <c r="BF2495" s="1070"/>
      <c r="BG2495" s="1070"/>
      <c r="BH2495" s="1070"/>
      <c r="BI2495" s="1070"/>
      <c r="BJ2495" s="1070"/>
      <c r="BK2495" s="1070"/>
      <c r="BL2495" s="1070"/>
      <c r="BM2495" s="1070"/>
      <c r="BN2495" s="1070"/>
      <c r="BO2495" s="1070"/>
      <c r="BP2495" s="1070"/>
      <c r="BQ2495" s="1070"/>
      <c r="BR2495" s="1070"/>
      <c r="BS2495" s="1070"/>
      <c r="BT2495" s="1070"/>
      <c r="BU2495" s="1070"/>
      <c r="BV2495" s="1070"/>
      <c r="BW2495" s="1070"/>
      <c r="BX2495" s="1070"/>
      <c r="BY2495" s="1070"/>
      <c r="BZ2495" s="1070"/>
      <c r="CA2495" s="1070"/>
      <c r="CB2495" s="1070"/>
      <c r="CC2495" s="1070"/>
      <c r="CD2495" s="1070"/>
      <c r="CE2495" s="1070"/>
      <c r="CF2495" s="1070"/>
      <c r="CG2495" s="1070"/>
      <c r="CH2495" s="1070"/>
      <c r="CI2495" s="1070"/>
      <c r="CJ2495" s="1070"/>
      <c r="CK2495" s="1070"/>
      <c r="CL2495" s="1070"/>
      <c r="CM2495" s="1070"/>
      <c r="CN2495" s="1070"/>
      <c r="CO2495" s="1070"/>
      <c r="CP2495" s="1070"/>
      <c r="CQ2495" s="1070"/>
      <c r="CR2495" s="1070"/>
      <c r="CS2495" s="1070"/>
      <c r="CT2495" s="1070"/>
      <c r="CU2495" s="1070"/>
      <c r="CV2495" s="1070"/>
      <c r="CW2495" s="1070"/>
      <c r="CX2495" s="1070"/>
      <c r="CY2495" s="1070"/>
      <c r="CZ2495" s="1070"/>
      <c r="DA2495" s="1070"/>
      <c r="DB2495" s="1070"/>
      <c r="DC2495" s="1070"/>
      <c r="DD2495" s="1070"/>
      <c r="DE2495" s="1070"/>
      <c r="DF2495" s="1070"/>
      <c r="DG2495" s="1070"/>
      <c r="DH2495" s="1070"/>
      <c r="DI2495" s="1070"/>
      <c r="DJ2495" s="1070"/>
    </row>
    <row r="2496" spans="1:114" s="1136" customFormat="1" ht="15.75" x14ac:dyDescent="0.25">
      <c r="A2496" s="1420" t="s">
        <v>424</v>
      </c>
      <c r="B2496" s="1439" t="e">
        <f>(B245^2*((B2386-B2391)/B261+1)/(B2386-B2391))*B2389</f>
        <v>#VALUE!</v>
      </c>
      <c r="C2496" s="1432"/>
      <c r="D2496" s="1437"/>
      <c r="E2496" s="1437"/>
      <c r="F2496" s="1437"/>
      <c r="G2496" s="1437"/>
      <c r="H2496" s="1350"/>
      <c r="I2496" s="1350"/>
      <c r="J2496" s="1350"/>
      <c r="K2496" s="1350"/>
      <c r="L2496" s="1350"/>
      <c r="M2496" s="1350"/>
      <c r="N2496" s="1350"/>
      <c r="O2496" s="1350"/>
      <c r="P2496" s="1350"/>
      <c r="Q2496" s="1350"/>
      <c r="R2496" s="1350"/>
      <c r="S2496" s="1350"/>
      <c r="T2496" s="1350"/>
      <c r="U2496" s="1350"/>
      <c r="V2496" s="1350"/>
      <c r="W2496" s="1350"/>
      <c r="X2496" s="1350"/>
      <c r="Y2496" s="1350"/>
      <c r="Z2496" s="1350"/>
      <c r="AA2496" s="1350"/>
      <c r="AB2496" s="1350"/>
      <c r="AC2496" s="1350"/>
      <c r="AD2496" s="1350"/>
      <c r="AE2496" s="1350"/>
      <c r="AF2496" s="1350"/>
      <c r="AG2496" s="1350"/>
      <c r="AH2496" s="1350"/>
      <c r="AI2496" s="1350"/>
      <c r="AJ2496" s="1350"/>
      <c r="AK2496" s="1350"/>
      <c r="AL2496" s="1350"/>
      <c r="AM2496" s="1350"/>
      <c r="AN2496" s="1350"/>
      <c r="AO2496" s="1350"/>
      <c r="AP2496" s="1350"/>
      <c r="AQ2496" s="1350"/>
      <c r="AR2496" s="1350"/>
      <c r="AS2496" s="1350"/>
      <c r="AT2496" s="1350"/>
      <c r="AU2496" s="1350"/>
      <c r="AV2496" s="1350"/>
      <c r="AW2496" s="1350"/>
      <c r="AX2496" s="1350"/>
      <c r="AY2496" s="1350"/>
      <c r="AZ2496" s="1350"/>
      <c r="BA2496" s="1070"/>
      <c r="BB2496" s="1070"/>
      <c r="BC2496" s="1070"/>
      <c r="BD2496" s="1070"/>
      <c r="BE2496" s="1070"/>
      <c r="BF2496" s="1070"/>
      <c r="BG2496" s="1070"/>
      <c r="BH2496" s="1070"/>
      <c r="BI2496" s="1070"/>
      <c r="BJ2496" s="1070"/>
      <c r="BK2496" s="1070"/>
      <c r="BL2496" s="1070"/>
      <c r="BM2496" s="1070"/>
      <c r="BN2496" s="1070"/>
      <c r="BO2496" s="1070"/>
      <c r="BP2496" s="1070"/>
      <c r="BQ2496" s="1070"/>
      <c r="BR2496" s="1070"/>
      <c r="BS2496" s="1070"/>
      <c r="BT2496" s="1070"/>
      <c r="BU2496" s="1070"/>
      <c r="BV2496" s="1070"/>
      <c r="BW2496" s="1070"/>
      <c r="BX2496" s="1070"/>
      <c r="BY2496" s="1070"/>
      <c r="BZ2496" s="1070"/>
      <c r="CA2496" s="1070"/>
      <c r="CB2496" s="1070"/>
      <c r="CC2496" s="1070"/>
      <c r="CD2496" s="1070"/>
      <c r="CE2496" s="1070"/>
      <c r="CF2496" s="1070"/>
      <c r="CG2496" s="1070"/>
      <c r="CH2496" s="1070"/>
      <c r="CI2496" s="1070"/>
      <c r="CJ2496" s="1070"/>
      <c r="CK2496" s="1070"/>
      <c r="CL2496" s="1070"/>
      <c r="CM2496" s="1070"/>
      <c r="CN2496" s="1070"/>
      <c r="CO2496" s="1070"/>
      <c r="CP2496" s="1070"/>
      <c r="CQ2496" s="1070"/>
      <c r="CR2496" s="1070"/>
      <c r="CS2496" s="1070"/>
      <c r="CT2496" s="1070"/>
      <c r="CU2496" s="1070"/>
      <c r="CV2496" s="1070"/>
      <c r="CW2496" s="1070"/>
      <c r="CX2496" s="1070"/>
      <c r="CY2496" s="1070"/>
      <c r="CZ2496" s="1070"/>
      <c r="DA2496" s="1070"/>
      <c r="DB2496" s="1070"/>
      <c r="DC2496" s="1070"/>
      <c r="DD2496" s="1070"/>
      <c r="DE2496" s="1070"/>
      <c r="DF2496" s="1070"/>
      <c r="DG2496" s="1070"/>
      <c r="DH2496" s="1070"/>
      <c r="DI2496" s="1070"/>
      <c r="DJ2496" s="1070"/>
    </row>
    <row r="2497" spans="1:114" s="1136" customFormat="1" ht="15.75" x14ac:dyDescent="0.25">
      <c r="A2497" s="1420" t="s">
        <v>1718</v>
      </c>
      <c r="B2497" s="1424">
        <f>INDEX($G$3631:$J$3643,B2499,B2500)</f>
        <v>53.8</v>
      </c>
      <c r="C2497" s="1429"/>
      <c r="D2497" s="1434"/>
      <c r="E2497" s="1434"/>
      <c r="F2497" s="1434"/>
      <c r="G2497" s="1434"/>
      <c r="H2497" s="1350"/>
      <c r="I2497" s="1350"/>
      <c r="J2497" s="1350"/>
      <c r="K2497" s="1350"/>
      <c r="L2497" s="1350"/>
      <c r="M2497" s="1350"/>
      <c r="N2497" s="1350"/>
      <c r="O2497" s="1350"/>
      <c r="P2497" s="1350"/>
      <c r="Q2497" s="1350"/>
      <c r="R2497" s="1350"/>
      <c r="S2497" s="1350"/>
      <c r="T2497" s="1350"/>
      <c r="U2497" s="1350"/>
      <c r="V2497" s="1350"/>
      <c r="W2497" s="1350"/>
      <c r="X2497" s="1350"/>
      <c r="Y2497" s="1350"/>
      <c r="Z2497" s="1350"/>
      <c r="AA2497" s="1350"/>
      <c r="AB2497" s="1350"/>
      <c r="AC2497" s="1350"/>
      <c r="AD2497" s="1350"/>
      <c r="AE2497" s="1350"/>
      <c r="AF2497" s="1350"/>
      <c r="AG2497" s="1350"/>
      <c r="AH2497" s="1350"/>
      <c r="AI2497" s="1350"/>
      <c r="AJ2497" s="1350"/>
      <c r="AK2497" s="1350"/>
      <c r="AL2497" s="1350"/>
      <c r="AM2497" s="1350"/>
      <c r="AN2497" s="1350"/>
      <c r="AO2497" s="1350"/>
      <c r="AP2497" s="1350"/>
      <c r="AQ2497" s="1350"/>
      <c r="AR2497" s="1350"/>
      <c r="AS2497" s="1350"/>
      <c r="AT2497" s="1350"/>
      <c r="AU2497" s="1350"/>
      <c r="AV2497" s="1350"/>
      <c r="AW2497" s="1350"/>
      <c r="AX2497" s="1350"/>
      <c r="AY2497" s="1350"/>
      <c r="AZ2497" s="1350"/>
      <c r="BA2497" s="1070"/>
      <c r="BB2497" s="1070"/>
      <c r="BC2497" s="1070"/>
      <c r="BD2497" s="1070"/>
      <c r="BE2497" s="1070"/>
      <c r="BF2497" s="1070"/>
      <c r="BG2497" s="1070"/>
      <c r="BH2497" s="1070"/>
      <c r="BI2497" s="1070"/>
      <c r="BJ2497" s="1070"/>
      <c r="BK2497" s="1070"/>
      <c r="BL2497" s="1070"/>
      <c r="BM2497" s="1070"/>
      <c r="BN2497" s="1070"/>
      <c r="BO2497" s="1070"/>
      <c r="BP2497" s="1070"/>
      <c r="BQ2497" s="1070"/>
      <c r="BR2497" s="1070"/>
      <c r="BS2497" s="1070"/>
      <c r="BT2497" s="1070"/>
      <c r="BU2497" s="1070"/>
      <c r="BV2497" s="1070"/>
      <c r="BW2497" s="1070"/>
      <c r="BX2497" s="1070"/>
      <c r="BY2497" s="1070"/>
      <c r="BZ2497" s="1070"/>
      <c r="CA2497" s="1070"/>
      <c r="CB2497" s="1070"/>
      <c r="CC2497" s="1070"/>
      <c r="CD2497" s="1070"/>
      <c r="CE2497" s="1070"/>
      <c r="CF2497" s="1070"/>
      <c r="CG2497" s="1070"/>
      <c r="CH2497" s="1070"/>
      <c r="CI2497" s="1070"/>
      <c r="CJ2497" s="1070"/>
      <c r="CK2497" s="1070"/>
      <c r="CL2497" s="1070"/>
      <c r="CM2497" s="1070"/>
      <c r="CN2497" s="1070"/>
      <c r="CO2497" s="1070"/>
      <c r="CP2497" s="1070"/>
      <c r="CQ2497" s="1070"/>
      <c r="CR2497" s="1070"/>
      <c r="CS2497" s="1070"/>
      <c r="CT2497" s="1070"/>
      <c r="CU2497" s="1070"/>
      <c r="CV2497" s="1070"/>
      <c r="CW2497" s="1070"/>
      <c r="CX2497" s="1070"/>
      <c r="CY2497" s="1070"/>
      <c r="CZ2497" s="1070"/>
      <c r="DA2497" s="1070"/>
      <c r="DB2497" s="1070"/>
      <c r="DC2497" s="1070"/>
      <c r="DD2497" s="1070"/>
      <c r="DE2497" s="1070"/>
      <c r="DF2497" s="1070"/>
      <c r="DG2497" s="1070"/>
      <c r="DH2497" s="1070"/>
      <c r="DI2497" s="1070"/>
      <c r="DJ2497" s="1070"/>
    </row>
    <row r="2498" spans="1:114" s="1136" customFormat="1" ht="15.75" x14ac:dyDescent="0.25">
      <c r="A2498" s="1435" t="s">
        <v>1719</v>
      </c>
      <c r="B2498" s="1439"/>
      <c r="C2498" s="1432"/>
      <c r="D2498" s="1437"/>
      <c r="E2498" s="1437"/>
      <c r="F2498" s="1437"/>
      <c r="G2498" s="1437"/>
      <c r="H2498" s="1350"/>
      <c r="I2498" s="1350"/>
      <c r="J2498" s="1350"/>
      <c r="K2498" s="1350"/>
      <c r="L2498" s="1350"/>
      <c r="M2498" s="1350"/>
      <c r="N2498" s="1350"/>
      <c r="O2498" s="1350"/>
      <c r="P2498" s="1350"/>
      <c r="Q2498" s="1350"/>
      <c r="R2498" s="1350"/>
      <c r="S2498" s="1350"/>
      <c r="T2498" s="1350"/>
      <c r="U2498" s="1350"/>
      <c r="V2498" s="1350"/>
      <c r="W2498" s="1350"/>
      <c r="X2498" s="1350"/>
      <c r="Y2498" s="1350"/>
      <c r="Z2498" s="1350"/>
      <c r="AA2498" s="1350"/>
      <c r="AB2498" s="1350"/>
      <c r="AC2498" s="1350"/>
      <c r="AD2498" s="1350"/>
      <c r="AE2498" s="1350"/>
      <c r="AF2498" s="1350"/>
      <c r="AG2498" s="1350"/>
      <c r="AH2498" s="1350"/>
      <c r="AI2498" s="1350"/>
      <c r="AJ2498" s="1350"/>
      <c r="AK2498" s="1350"/>
      <c r="AL2498" s="1350"/>
      <c r="AM2498" s="1350"/>
      <c r="AN2498" s="1350"/>
      <c r="AO2498" s="1350"/>
      <c r="AP2498" s="1350"/>
      <c r="AQ2498" s="1350"/>
      <c r="AR2498" s="1350"/>
      <c r="AS2498" s="1350"/>
      <c r="AT2498" s="1350"/>
      <c r="AU2498" s="1350"/>
      <c r="AV2498" s="1350"/>
      <c r="AW2498" s="1350"/>
      <c r="AX2498" s="1350"/>
      <c r="AY2498" s="1350"/>
      <c r="AZ2498" s="1350"/>
      <c r="BA2498" s="1070"/>
      <c r="BB2498" s="1070"/>
      <c r="BC2498" s="1070"/>
      <c r="BD2498" s="1070"/>
      <c r="BE2498" s="1070"/>
      <c r="BF2498" s="1070"/>
      <c r="BG2498" s="1070"/>
      <c r="BH2498" s="1070"/>
      <c r="BI2498" s="1070"/>
      <c r="BJ2498" s="1070"/>
      <c r="BK2498" s="1070"/>
      <c r="BL2498" s="1070"/>
      <c r="BM2498" s="1070"/>
      <c r="BN2498" s="1070"/>
      <c r="BO2498" s="1070"/>
      <c r="BP2498" s="1070"/>
      <c r="BQ2498" s="1070"/>
      <c r="BR2498" s="1070"/>
      <c r="BS2498" s="1070"/>
      <c r="BT2498" s="1070"/>
      <c r="BU2498" s="1070"/>
      <c r="BV2498" s="1070"/>
      <c r="BW2498" s="1070"/>
      <c r="BX2498" s="1070"/>
      <c r="BY2498" s="1070"/>
      <c r="BZ2498" s="1070"/>
      <c r="CA2498" s="1070"/>
      <c r="CB2498" s="1070"/>
      <c r="CC2498" s="1070"/>
      <c r="CD2498" s="1070"/>
      <c r="CE2498" s="1070"/>
      <c r="CF2498" s="1070"/>
      <c r="CG2498" s="1070"/>
      <c r="CH2498" s="1070"/>
      <c r="CI2498" s="1070"/>
      <c r="CJ2498" s="1070"/>
      <c r="CK2498" s="1070"/>
      <c r="CL2498" s="1070"/>
      <c r="CM2498" s="1070"/>
      <c r="CN2498" s="1070"/>
      <c r="CO2498" s="1070"/>
      <c r="CP2498" s="1070"/>
      <c r="CQ2498" s="1070"/>
      <c r="CR2498" s="1070"/>
      <c r="CS2498" s="1070"/>
      <c r="CT2498" s="1070"/>
      <c r="CU2498" s="1070"/>
      <c r="CV2498" s="1070"/>
      <c r="CW2498" s="1070"/>
      <c r="CX2498" s="1070"/>
      <c r="CY2498" s="1070"/>
      <c r="CZ2498" s="1070"/>
      <c r="DA2498" s="1070"/>
      <c r="DB2498" s="1070"/>
      <c r="DC2498" s="1070"/>
      <c r="DD2498" s="1070"/>
      <c r="DE2498" s="1070"/>
      <c r="DF2498" s="1070"/>
      <c r="DG2498" s="1070"/>
      <c r="DH2498" s="1070"/>
      <c r="DI2498" s="1070"/>
      <c r="DJ2498" s="1070"/>
    </row>
    <row r="2499" spans="1:114" s="1136" customFormat="1" ht="15.75" x14ac:dyDescent="0.25">
      <c r="A2499" s="1420" t="s">
        <v>1720</v>
      </c>
      <c r="B2499" s="1441">
        <f>B2439</f>
        <v>13</v>
      </c>
      <c r="C2499" s="1434"/>
      <c r="D2499" s="1437"/>
      <c r="E2499" s="1437"/>
      <c r="F2499" s="1437"/>
      <c r="G2499" s="1437"/>
      <c r="H2499" s="1350"/>
      <c r="I2499" s="1350"/>
      <c r="J2499" s="1350"/>
      <c r="K2499" s="1350"/>
      <c r="L2499" s="1350"/>
      <c r="M2499" s="1350"/>
      <c r="N2499" s="1350"/>
      <c r="O2499" s="1350"/>
      <c r="P2499" s="1350"/>
      <c r="Q2499" s="1350"/>
      <c r="R2499" s="1350"/>
      <c r="S2499" s="1350"/>
      <c r="T2499" s="1350"/>
      <c r="U2499" s="1350"/>
      <c r="V2499" s="1350"/>
      <c r="W2499" s="1350"/>
      <c r="X2499" s="1350"/>
      <c r="Y2499" s="1350"/>
      <c r="Z2499" s="1350"/>
      <c r="AA2499" s="1350"/>
      <c r="AB2499" s="1350"/>
      <c r="AC2499" s="1350"/>
      <c r="AD2499" s="1350"/>
      <c r="AE2499" s="1350"/>
      <c r="AF2499" s="1350"/>
      <c r="AG2499" s="1350"/>
      <c r="AH2499" s="1350"/>
      <c r="AI2499" s="1350"/>
      <c r="AJ2499" s="1350"/>
      <c r="AK2499" s="1350"/>
      <c r="AL2499" s="1350"/>
      <c r="AM2499" s="1350"/>
      <c r="AN2499" s="1350"/>
      <c r="AO2499" s="1350"/>
      <c r="AP2499" s="1350"/>
      <c r="AQ2499" s="1350"/>
      <c r="AR2499" s="1350"/>
      <c r="AS2499" s="1350"/>
      <c r="AT2499" s="1350"/>
      <c r="AU2499" s="1350"/>
      <c r="AV2499" s="1350"/>
      <c r="AW2499" s="1350"/>
      <c r="AX2499" s="1350"/>
      <c r="AY2499" s="1350"/>
      <c r="AZ2499" s="1350"/>
      <c r="BA2499" s="1070"/>
      <c r="BB2499" s="1070"/>
      <c r="BC2499" s="1070"/>
      <c r="BD2499" s="1070"/>
      <c r="BE2499" s="1070"/>
      <c r="BF2499" s="1070"/>
      <c r="BG2499" s="1070"/>
      <c r="BH2499" s="1070"/>
      <c r="BI2499" s="1070"/>
      <c r="BJ2499" s="1070"/>
      <c r="BK2499" s="1070"/>
      <c r="BL2499" s="1070"/>
      <c r="BM2499" s="1070"/>
      <c r="BN2499" s="1070"/>
      <c r="BO2499" s="1070"/>
      <c r="BP2499" s="1070"/>
      <c r="BQ2499" s="1070"/>
      <c r="BR2499" s="1070"/>
      <c r="BS2499" s="1070"/>
      <c r="BT2499" s="1070"/>
      <c r="BU2499" s="1070"/>
      <c r="BV2499" s="1070"/>
      <c r="BW2499" s="1070"/>
      <c r="BX2499" s="1070"/>
      <c r="BY2499" s="1070"/>
      <c r="BZ2499" s="1070"/>
      <c r="CA2499" s="1070"/>
      <c r="CB2499" s="1070"/>
      <c r="CC2499" s="1070"/>
      <c r="CD2499" s="1070"/>
      <c r="CE2499" s="1070"/>
      <c r="CF2499" s="1070"/>
      <c r="CG2499" s="1070"/>
      <c r="CH2499" s="1070"/>
      <c r="CI2499" s="1070"/>
      <c r="CJ2499" s="1070"/>
      <c r="CK2499" s="1070"/>
      <c r="CL2499" s="1070"/>
      <c r="CM2499" s="1070"/>
      <c r="CN2499" s="1070"/>
      <c r="CO2499" s="1070"/>
      <c r="CP2499" s="1070"/>
      <c r="CQ2499" s="1070"/>
      <c r="CR2499" s="1070"/>
      <c r="CS2499" s="1070"/>
      <c r="CT2499" s="1070"/>
      <c r="CU2499" s="1070"/>
      <c r="CV2499" s="1070"/>
      <c r="CW2499" s="1070"/>
      <c r="CX2499" s="1070"/>
      <c r="CY2499" s="1070"/>
      <c r="CZ2499" s="1070"/>
      <c r="DA2499" s="1070"/>
      <c r="DB2499" s="1070"/>
      <c r="DC2499" s="1070"/>
      <c r="DD2499" s="1070"/>
      <c r="DE2499" s="1070"/>
      <c r="DF2499" s="1070"/>
      <c r="DG2499" s="1070"/>
      <c r="DH2499" s="1070"/>
      <c r="DI2499" s="1070"/>
      <c r="DJ2499" s="1070"/>
    </row>
    <row r="2500" spans="1:114" s="1136" customFormat="1" ht="15.75" x14ac:dyDescent="0.25">
      <c r="A2500" s="1420" t="s">
        <v>1722</v>
      </c>
      <c r="B2500" s="1441">
        <f>B2441</f>
        <v>1</v>
      </c>
      <c r="C2500" s="1434"/>
      <c r="D2500" s="1432"/>
      <c r="E2500" s="1432"/>
      <c r="F2500" s="1432"/>
      <c r="G2500" s="1432"/>
      <c r="H2500" s="1350"/>
      <c r="I2500" s="1350"/>
      <c r="J2500" s="1350"/>
      <c r="K2500" s="1350"/>
      <c r="L2500" s="1350"/>
      <c r="M2500" s="1350"/>
      <c r="N2500" s="1350"/>
      <c r="O2500" s="1350"/>
      <c r="P2500" s="1350"/>
      <c r="Q2500" s="1350"/>
      <c r="R2500" s="1350"/>
      <c r="S2500" s="1350"/>
      <c r="T2500" s="1350"/>
      <c r="U2500" s="1350"/>
      <c r="V2500" s="1350"/>
      <c r="W2500" s="1350"/>
      <c r="X2500" s="1350"/>
      <c r="Y2500" s="1350"/>
      <c r="Z2500" s="1350"/>
      <c r="AA2500" s="1350"/>
      <c r="AB2500" s="1350"/>
      <c r="AC2500" s="1350"/>
      <c r="AD2500" s="1350"/>
      <c r="AE2500" s="1350"/>
      <c r="AF2500" s="1350"/>
      <c r="AG2500" s="1350"/>
      <c r="AH2500" s="1350"/>
      <c r="AI2500" s="1350"/>
      <c r="AJ2500" s="1350"/>
      <c r="AK2500" s="1350"/>
      <c r="AL2500" s="1350"/>
      <c r="AM2500" s="1350"/>
      <c r="AN2500" s="1350"/>
      <c r="AO2500" s="1350"/>
      <c r="AP2500" s="1350"/>
      <c r="AQ2500" s="1350"/>
      <c r="AR2500" s="1350"/>
      <c r="AS2500" s="1350"/>
      <c r="AT2500" s="1350"/>
      <c r="AU2500" s="1350"/>
      <c r="AV2500" s="1350"/>
      <c r="AW2500" s="1350"/>
      <c r="AX2500" s="1350"/>
      <c r="AY2500" s="1350"/>
      <c r="AZ2500" s="1350"/>
      <c r="BA2500" s="1070"/>
      <c r="BB2500" s="1070"/>
      <c r="BC2500" s="1070"/>
      <c r="BD2500" s="1070"/>
      <c r="BE2500" s="1070"/>
      <c r="BF2500" s="1070"/>
      <c r="BG2500" s="1070"/>
      <c r="BH2500" s="1070"/>
      <c r="BI2500" s="1070"/>
      <c r="BJ2500" s="1070"/>
      <c r="BK2500" s="1070"/>
      <c r="BL2500" s="1070"/>
      <c r="BM2500" s="1070"/>
      <c r="BN2500" s="1070"/>
      <c r="BO2500" s="1070"/>
      <c r="BP2500" s="1070"/>
      <c r="BQ2500" s="1070"/>
      <c r="BR2500" s="1070"/>
      <c r="BS2500" s="1070"/>
      <c r="BT2500" s="1070"/>
      <c r="BU2500" s="1070"/>
      <c r="BV2500" s="1070"/>
      <c r="BW2500" s="1070"/>
      <c r="BX2500" s="1070"/>
      <c r="BY2500" s="1070"/>
      <c r="BZ2500" s="1070"/>
      <c r="CA2500" s="1070"/>
      <c r="CB2500" s="1070"/>
      <c r="CC2500" s="1070"/>
      <c r="CD2500" s="1070"/>
      <c r="CE2500" s="1070"/>
      <c r="CF2500" s="1070"/>
      <c r="CG2500" s="1070"/>
      <c r="CH2500" s="1070"/>
      <c r="CI2500" s="1070"/>
      <c r="CJ2500" s="1070"/>
      <c r="CK2500" s="1070"/>
      <c r="CL2500" s="1070"/>
      <c r="CM2500" s="1070"/>
      <c r="CN2500" s="1070"/>
      <c r="CO2500" s="1070"/>
      <c r="CP2500" s="1070"/>
      <c r="CQ2500" s="1070"/>
      <c r="CR2500" s="1070"/>
      <c r="CS2500" s="1070"/>
      <c r="CT2500" s="1070"/>
      <c r="CU2500" s="1070"/>
      <c r="CV2500" s="1070"/>
      <c r="CW2500" s="1070"/>
      <c r="CX2500" s="1070"/>
      <c r="CY2500" s="1070"/>
      <c r="CZ2500" s="1070"/>
      <c r="DA2500" s="1070"/>
      <c r="DB2500" s="1070"/>
      <c r="DC2500" s="1070"/>
      <c r="DD2500" s="1070"/>
      <c r="DE2500" s="1070"/>
      <c r="DF2500" s="1070"/>
      <c r="DG2500" s="1070"/>
      <c r="DH2500" s="1070"/>
      <c r="DI2500" s="1070"/>
      <c r="DJ2500" s="1070"/>
    </row>
    <row r="2501" spans="1:114" s="1136" customFormat="1" ht="15.75" x14ac:dyDescent="0.25">
      <c r="A2501" s="1420" t="s">
        <v>1723</v>
      </c>
      <c r="B2501" s="1439"/>
      <c r="C2501" s="1432"/>
      <c r="D2501" s="1350"/>
      <c r="E2501" s="1350"/>
      <c r="F2501" s="1350"/>
      <c r="G2501" s="1350"/>
      <c r="H2501" s="1350"/>
      <c r="I2501" s="1350"/>
      <c r="J2501" s="1350"/>
      <c r="K2501" s="1350"/>
      <c r="L2501" s="1350"/>
      <c r="M2501" s="1350"/>
      <c r="N2501" s="1350"/>
      <c r="O2501" s="1350"/>
      <c r="P2501" s="1350"/>
      <c r="Q2501" s="1350"/>
      <c r="R2501" s="1350"/>
      <c r="S2501" s="1350"/>
      <c r="T2501" s="1350"/>
      <c r="U2501" s="1350"/>
      <c r="V2501" s="1350"/>
      <c r="W2501" s="1350"/>
      <c r="X2501" s="1350"/>
      <c r="Y2501" s="1350"/>
      <c r="Z2501" s="1350"/>
      <c r="AA2501" s="1350"/>
      <c r="AB2501" s="1350"/>
      <c r="AC2501" s="1350"/>
      <c r="AD2501" s="1350"/>
      <c r="AE2501" s="1350"/>
      <c r="AF2501" s="1350"/>
      <c r="AG2501" s="1350"/>
      <c r="AH2501" s="1350"/>
      <c r="AI2501" s="1350"/>
      <c r="AJ2501" s="1350"/>
      <c r="AK2501" s="1350"/>
      <c r="AL2501" s="1350"/>
      <c r="AM2501" s="1350"/>
      <c r="AN2501" s="1350"/>
      <c r="AO2501" s="1350"/>
      <c r="AP2501" s="1350"/>
      <c r="AQ2501" s="1350"/>
      <c r="AR2501" s="1350"/>
      <c r="AS2501" s="1350"/>
      <c r="AT2501" s="1350"/>
      <c r="AU2501" s="1350"/>
      <c r="AV2501" s="1350"/>
      <c r="AW2501" s="1350"/>
      <c r="AX2501" s="1350"/>
      <c r="AY2501" s="1350"/>
      <c r="AZ2501" s="1350"/>
      <c r="BA2501" s="1070"/>
      <c r="BB2501" s="1070"/>
      <c r="BC2501" s="1070"/>
      <c r="BD2501" s="1070"/>
      <c r="BE2501" s="1070"/>
      <c r="BF2501" s="1070"/>
      <c r="BG2501" s="1070"/>
      <c r="BH2501" s="1070"/>
      <c r="BI2501" s="1070"/>
      <c r="BJ2501" s="1070"/>
      <c r="BK2501" s="1070"/>
      <c r="BL2501" s="1070"/>
      <c r="BM2501" s="1070"/>
      <c r="BN2501" s="1070"/>
      <c r="BO2501" s="1070"/>
      <c r="BP2501" s="1070"/>
      <c r="BQ2501" s="1070"/>
      <c r="BR2501" s="1070"/>
      <c r="BS2501" s="1070"/>
      <c r="BT2501" s="1070"/>
      <c r="BU2501" s="1070"/>
      <c r="BV2501" s="1070"/>
      <c r="BW2501" s="1070"/>
      <c r="BX2501" s="1070"/>
      <c r="BY2501" s="1070"/>
      <c r="BZ2501" s="1070"/>
      <c r="CA2501" s="1070"/>
      <c r="CB2501" s="1070"/>
      <c r="CC2501" s="1070"/>
      <c r="CD2501" s="1070"/>
      <c r="CE2501" s="1070"/>
      <c r="CF2501" s="1070"/>
      <c r="CG2501" s="1070"/>
      <c r="CH2501" s="1070"/>
      <c r="CI2501" s="1070"/>
      <c r="CJ2501" s="1070"/>
      <c r="CK2501" s="1070"/>
      <c r="CL2501" s="1070"/>
      <c r="CM2501" s="1070"/>
      <c r="CN2501" s="1070"/>
      <c r="CO2501" s="1070"/>
      <c r="CP2501" s="1070"/>
      <c r="CQ2501" s="1070"/>
      <c r="CR2501" s="1070"/>
      <c r="CS2501" s="1070"/>
      <c r="CT2501" s="1070"/>
      <c r="CU2501" s="1070"/>
      <c r="CV2501" s="1070"/>
      <c r="CW2501" s="1070"/>
      <c r="CX2501" s="1070"/>
      <c r="CY2501" s="1070"/>
      <c r="CZ2501" s="1070"/>
      <c r="DA2501" s="1070"/>
      <c r="DB2501" s="1070"/>
      <c r="DC2501" s="1070"/>
      <c r="DD2501" s="1070"/>
      <c r="DE2501" s="1070"/>
      <c r="DF2501" s="1070"/>
      <c r="DG2501" s="1070"/>
      <c r="DH2501" s="1070"/>
      <c r="DI2501" s="1070"/>
      <c r="DJ2501" s="1070"/>
    </row>
    <row r="2502" spans="1:114" s="1136" customFormat="1" ht="31.5" x14ac:dyDescent="0.25">
      <c r="A2502" s="1420" t="s">
        <v>1724</v>
      </c>
      <c r="B2502" s="1451">
        <f>B2443</f>
        <v>0</v>
      </c>
      <c r="C2502" s="1434"/>
      <c r="D2502" s="1350"/>
      <c r="E2502" s="1350"/>
      <c r="F2502" s="1350"/>
      <c r="G2502" s="1350"/>
      <c r="H2502" s="1350"/>
      <c r="I2502" s="1350"/>
      <c r="J2502" s="1350"/>
      <c r="K2502" s="1350"/>
      <c r="L2502" s="1350"/>
      <c r="M2502" s="1350"/>
      <c r="N2502" s="1350"/>
      <c r="O2502" s="1350"/>
      <c r="P2502" s="1350"/>
      <c r="Q2502" s="1350"/>
      <c r="R2502" s="1350"/>
      <c r="S2502" s="1350"/>
      <c r="T2502" s="1350"/>
      <c r="U2502" s="1350"/>
      <c r="V2502" s="1350"/>
      <c r="W2502" s="1350"/>
      <c r="X2502" s="1350"/>
      <c r="Y2502" s="1350"/>
      <c r="Z2502" s="1350"/>
      <c r="AA2502" s="1350"/>
      <c r="AB2502" s="1350"/>
      <c r="AC2502" s="1350"/>
      <c r="AD2502" s="1350"/>
      <c r="AE2502" s="1350"/>
      <c r="AF2502" s="1350"/>
      <c r="AG2502" s="1350"/>
      <c r="AH2502" s="1350"/>
      <c r="AI2502" s="1350"/>
      <c r="AJ2502" s="1350"/>
      <c r="AK2502" s="1350"/>
      <c r="AL2502" s="1350"/>
      <c r="AM2502" s="1350"/>
      <c r="AN2502" s="1350"/>
      <c r="AO2502" s="1350"/>
      <c r="AP2502" s="1350"/>
      <c r="AQ2502" s="1350"/>
      <c r="AR2502" s="1350"/>
      <c r="AS2502" s="1350"/>
      <c r="AT2502" s="1350"/>
      <c r="AU2502" s="1350"/>
      <c r="AV2502" s="1350"/>
      <c r="AW2502" s="1350"/>
      <c r="AX2502" s="1350"/>
      <c r="AY2502" s="1350"/>
      <c r="AZ2502" s="1350"/>
      <c r="BA2502" s="1070"/>
      <c r="BB2502" s="1070"/>
      <c r="BC2502" s="1070"/>
      <c r="BD2502" s="1070"/>
      <c r="BE2502" s="1070"/>
      <c r="BF2502" s="1070"/>
      <c r="BG2502" s="1070"/>
      <c r="BH2502" s="1070"/>
      <c r="BI2502" s="1070"/>
      <c r="BJ2502" s="1070"/>
      <c r="BK2502" s="1070"/>
      <c r="BL2502" s="1070"/>
      <c r="BM2502" s="1070"/>
      <c r="BN2502" s="1070"/>
      <c r="BO2502" s="1070"/>
      <c r="BP2502" s="1070"/>
      <c r="BQ2502" s="1070"/>
      <c r="BR2502" s="1070"/>
      <c r="BS2502" s="1070"/>
      <c r="BT2502" s="1070"/>
      <c r="BU2502" s="1070"/>
      <c r="BV2502" s="1070"/>
      <c r="BW2502" s="1070"/>
      <c r="BX2502" s="1070"/>
      <c r="BY2502" s="1070"/>
      <c r="BZ2502" s="1070"/>
      <c r="CA2502" s="1070"/>
      <c r="CB2502" s="1070"/>
      <c r="CC2502" s="1070"/>
      <c r="CD2502" s="1070"/>
      <c r="CE2502" s="1070"/>
      <c r="CF2502" s="1070"/>
      <c r="CG2502" s="1070"/>
      <c r="CH2502" s="1070"/>
      <c r="CI2502" s="1070"/>
      <c r="CJ2502" s="1070"/>
      <c r="CK2502" s="1070"/>
      <c r="CL2502" s="1070"/>
      <c r="CM2502" s="1070"/>
      <c r="CN2502" s="1070"/>
      <c r="CO2502" s="1070"/>
      <c r="CP2502" s="1070"/>
      <c r="CQ2502" s="1070"/>
      <c r="CR2502" s="1070"/>
      <c r="CS2502" s="1070"/>
      <c r="CT2502" s="1070"/>
      <c r="CU2502" s="1070"/>
      <c r="CV2502" s="1070"/>
      <c r="CW2502" s="1070"/>
      <c r="CX2502" s="1070"/>
      <c r="CY2502" s="1070"/>
      <c r="CZ2502" s="1070"/>
      <c r="DA2502" s="1070"/>
      <c r="DB2502" s="1070"/>
      <c r="DC2502" s="1070"/>
      <c r="DD2502" s="1070"/>
      <c r="DE2502" s="1070"/>
      <c r="DF2502" s="1070"/>
      <c r="DG2502" s="1070"/>
      <c r="DH2502" s="1070"/>
      <c r="DI2502" s="1070"/>
      <c r="DJ2502" s="1070"/>
    </row>
    <row r="2503" spans="1:114" s="1136" customFormat="1" ht="15.75" x14ac:dyDescent="0.25">
      <c r="A2503" s="1420" t="s">
        <v>1725</v>
      </c>
      <c r="B2503" s="1443">
        <f>IF(B2502=1,1.15,1)</f>
        <v>1</v>
      </c>
      <c r="C2503" s="1437"/>
      <c r="D2503" s="1432"/>
      <c r="E2503" s="1432"/>
      <c r="F2503" s="1432"/>
      <c r="G2503" s="1432"/>
      <c r="H2503" s="1350"/>
      <c r="I2503" s="1350"/>
      <c r="J2503" s="1350"/>
      <c r="K2503" s="1350"/>
      <c r="L2503" s="1350"/>
      <c r="M2503" s="1350"/>
      <c r="N2503" s="1350"/>
      <c r="O2503" s="1350"/>
      <c r="P2503" s="1350"/>
      <c r="Q2503" s="1350"/>
      <c r="R2503" s="1350"/>
      <c r="S2503" s="1350"/>
      <c r="T2503" s="1350"/>
      <c r="U2503" s="1350"/>
      <c r="V2503" s="1350"/>
      <c r="W2503" s="1350"/>
      <c r="X2503" s="1350"/>
      <c r="Y2503" s="1350"/>
      <c r="Z2503" s="1350"/>
      <c r="AA2503" s="1350"/>
      <c r="AB2503" s="1350"/>
      <c r="AC2503" s="1350"/>
      <c r="AD2503" s="1350"/>
      <c r="AE2503" s="1350"/>
      <c r="AF2503" s="1350"/>
      <c r="AG2503" s="1350"/>
      <c r="AH2503" s="1350"/>
      <c r="AI2503" s="1350"/>
      <c r="AJ2503" s="1350"/>
      <c r="AK2503" s="1350"/>
      <c r="AL2503" s="1350"/>
      <c r="AM2503" s="1350"/>
      <c r="AN2503" s="1350"/>
      <c r="AO2503" s="1350"/>
      <c r="AP2503" s="1350"/>
      <c r="AQ2503" s="1350"/>
      <c r="AR2503" s="1350"/>
      <c r="AS2503" s="1350"/>
      <c r="AT2503" s="1350"/>
      <c r="AU2503" s="1350"/>
      <c r="AV2503" s="1350"/>
      <c r="AW2503" s="1350"/>
      <c r="AX2503" s="1350"/>
      <c r="AY2503" s="1350"/>
      <c r="AZ2503" s="1350"/>
      <c r="BA2503" s="1070"/>
      <c r="BB2503" s="1070"/>
      <c r="BC2503" s="1070"/>
      <c r="BD2503" s="1070"/>
      <c r="BE2503" s="1070"/>
      <c r="BF2503" s="1070"/>
      <c r="BG2503" s="1070"/>
      <c r="BH2503" s="1070"/>
      <c r="BI2503" s="1070"/>
      <c r="BJ2503" s="1070"/>
      <c r="BK2503" s="1070"/>
      <c r="BL2503" s="1070"/>
      <c r="BM2503" s="1070"/>
      <c r="BN2503" s="1070"/>
      <c r="BO2503" s="1070"/>
      <c r="BP2503" s="1070"/>
      <c r="BQ2503" s="1070"/>
      <c r="BR2503" s="1070"/>
      <c r="BS2503" s="1070"/>
      <c r="BT2503" s="1070"/>
      <c r="BU2503" s="1070"/>
      <c r="BV2503" s="1070"/>
      <c r="BW2503" s="1070"/>
      <c r="BX2503" s="1070"/>
      <c r="BY2503" s="1070"/>
      <c r="BZ2503" s="1070"/>
      <c r="CA2503" s="1070"/>
      <c r="CB2503" s="1070"/>
      <c r="CC2503" s="1070"/>
      <c r="CD2503" s="1070"/>
      <c r="CE2503" s="1070"/>
      <c r="CF2503" s="1070"/>
      <c r="CG2503" s="1070"/>
      <c r="CH2503" s="1070"/>
      <c r="CI2503" s="1070"/>
      <c r="CJ2503" s="1070"/>
      <c r="CK2503" s="1070"/>
      <c r="CL2503" s="1070"/>
      <c r="CM2503" s="1070"/>
      <c r="CN2503" s="1070"/>
      <c r="CO2503" s="1070"/>
      <c r="CP2503" s="1070"/>
      <c r="CQ2503" s="1070"/>
      <c r="CR2503" s="1070"/>
      <c r="CS2503" s="1070"/>
      <c r="CT2503" s="1070"/>
      <c r="CU2503" s="1070"/>
      <c r="CV2503" s="1070"/>
      <c r="CW2503" s="1070"/>
      <c r="CX2503" s="1070"/>
      <c r="CY2503" s="1070"/>
      <c r="CZ2503" s="1070"/>
      <c r="DA2503" s="1070"/>
      <c r="DB2503" s="1070"/>
      <c r="DC2503" s="1070"/>
      <c r="DD2503" s="1070"/>
      <c r="DE2503" s="1070"/>
      <c r="DF2503" s="1070"/>
      <c r="DG2503" s="1070"/>
      <c r="DH2503" s="1070"/>
      <c r="DI2503" s="1070"/>
      <c r="DJ2503" s="1070"/>
    </row>
    <row r="2504" spans="1:114" s="1136" customFormat="1" ht="31.5" x14ac:dyDescent="0.25">
      <c r="A2504" s="1420" t="s">
        <v>5573</v>
      </c>
      <c r="B2504" s="1451">
        <f>B2445</f>
        <v>0</v>
      </c>
      <c r="C2504" s="1434"/>
      <c r="D2504" s="1429"/>
      <c r="E2504" s="1429"/>
      <c r="F2504" s="1429"/>
      <c r="G2504" s="1429"/>
      <c r="H2504" s="1350"/>
      <c r="I2504" s="1350"/>
      <c r="J2504" s="1350"/>
      <c r="K2504" s="1350"/>
      <c r="L2504" s="1350"/>
      <c r="M2504" s="1350"/>
      <c r="N2504" s="1350"/>
      <c r="O2504" s="1350"/>
      <c r="P2504" s="1350"/>
      <c r="Q2504" s="1350"/>
      <c r="R2504" s="1350"/>
      <c r="S2504" s="1350"/>
      <c r="T2504" s="1350"/>
      <c r="U2504" s="1350"/>
      <c r="V2504" s="1350"/>
      <c r="W2504" s="1350"/>
      <c r="X2504" s="1350"/>
      <c r="Y2504" s="1350"/>
      <c r="Z2504" s="1350"/>
      <c r="AA2504" s="1350"/>
      <c r="AB2504" s="1350"/>
      <c r="AC2504" s="1350"/>
      <c r="AD2504" s="1350"/>
      <c r="AE2504" s="1350"/>
      <c r="AF2504" s="1350"/>
      <c r="AG2504" s="1350"/>
      <c r="AH2504" s="1350"/>
      <c r="AI2504" s="1350"/>
      <c r="AJ2504" s="1350"/>
      <c r="AK2504" s="1350"/>
      <c r="AL2504" s="1350"/>
      <c r="AM2504" s="1350"/>
      <c r="AN2504" s="1350"/>
      <c r="AO2504" s="1350"/>
      <c r="AP2504" s="1350"/>
      <c r="AQ2504" s="1350"/>
      <c r="AR2504" s="1350"/>
      <c r="AS2504" s="1350"/>
      <c r="AT2504" s="1350"/>
      <c r="AU2504" s="1350"/>
      <c r="AV2504" s="1350"/>
      <c r="AW2504" s="1350"/>
      <c r="AX2504" s="1350"/>
      <c r="AY2504" s="1350"/>
      <c r="AZ2504" s="1350"/>
      <c r="BA2504" s="1070"/>
      <c r="BB2504" s="1070"/>
      <c r="BC2504" s="1070"/>
      <c r="BD2504" s="1070"/>
      <c r="BE2504" s="1070"/>
      <c r="BF2504" s="1070"/>
      <c r="BG2504" s="1070"/>
      <c r="BH2504" s="1070"/>
      <c r="BI2504" s="1070"/>
      <c r="BJ2504" s="1070"/>
      <c r="BK2504" s="1070"/>
      <c r="BL2504" s="1070"/>
      <c r="BM2504" s="1070"/>
      <c r="BN2504" s="1070"/>
      <c r="BO2504" s="1070"/>
      <c r="BP2504" s="1070"/>
      <c r="BQ2504" s="1070"/>
      <c r="BR2504" s="1070"/>
      <c r="BS2504" s="1070"/>
      <c r="BT2504" s="1070"/>
      <c r="BU2504" s="1070"/>
      <c r="BV2504" s="1070"/>
      <c r="BW2504" s="1070"/>
      <c r="BX2504" s="1070"/>
      <c r="BY2504" s="1070"/>
      <c r="BZ2504" s="1070"/>
      <c r="CA2504" s="1070"/>
      <c r="CB2504" s="1070"/>
      <c r="CC2504" s="1070"/>
      <c r="CD2504" s="1070"/>
      <c r="CE2504" s="1070"/>
      <c r="CF2504" s="1070"/>
      <c r="CG2504" s="1070"/>
      <c r="CH2504" s="1070"/>
      <c r="CI2504" s="1070"/>
      <c r="CJ2504" s="1070"/>
      <c r="CK2504" s="1070"/>
      <c r="CL2504" s="1070"/>
      <c r="CM2504" s="1070"/>
      <c r="CN2504" s="1070"/>
      <c r="CO2504" s="1070"/>
      <c r="CP2504" s="1070"/>
      <c r="CQ2504" s="1070"/>
      <c r="CR2504" s="1070"/>
      <c r="CS2504" s="1070"/>
      <c r="CT2504" s="1070"/>
      <c r="CU2504" s="1070"/>
      <c r="CV2504" s="1070"/>
      <c r="CW2504" s="1070"/>
      <c r="CX2504" s="1070"/>
      <c r="CY2504" s="1070"/>
      <c r="CZ2504" s="1070"/>
      <c r="DA2504" s="1070"/>
      <c r="DB2504" s="1070"/>
      <c r="DC2504" s="1070"/>
      <c r="DD2504" s="1070"/>
      <c r="DE2504" s="1070"/>
      <c r="DF2504" s="1070"/>
      <c r="DG2504" s="1070"/>
      <c r="DH2504" s="1070"/>
      <c r="DI2504" s="1070"/>
      <c r="DJ2504" s="1070"/>
    </row>
    <row r="2505" spans="1:114" s="1136" customFormat="1" ht="15.75" x14ac:dyDescent="0.25">
      <c r="A2505" s="1420" t="s">
        <v>2636</v>
      </c>
      <c r="B2505" s="1443">
        <f>IF(B2504=1,1.15,1)</f>
        <v>1</v>
      </c>
      <c r="C2505" s="1437"/>
      <c r="D2505" s="1350"/>
      <c r="E2505" s="1350"/>
      <c r="F2505" s="1350"/>
      <c r="G2505" s="1350"/>
      <c r="H2505" s="1350"/>
      <c r="I2505" s="1350"/>
      <c r="J2505" s="1350"/>
      <c r="K2505" s="1350"/>
      <c r="L2505" s="1350"/>
      <c r="M2505" s="1350"/>
      <c r="N2505" s="1350"/>
      <c r="O2505" s="1350"/>
      <c r="P2505" s="1350"/>
      <c r="Q2505" s="1350"/>
      <c r="R2505" s="1350"/>
      <c r="S2505" s="1350"/>
      <c r="T2505" s="1350"/>
      <c r="U2505" s="1350"/>
      <c r="V2505" s="1350"/>
      <c r="W2505" s="1350"/>
      <c r="X2505" s="1350"/>
      <c r="Y2505" s="1350"/>
      <c r="Z2505" s="1350"/>
      <c r="AA2505" s="1350"/>
      <c r="AB2505" s="1350"/>
      <c r="AC2505" s="1350"/>
      <c r="AD2505" s="1350"/>
      <c r="AE2505" s="1350"/>
      <c r="AF2505" s="1350"/>
      <c r="AG2505" s="1350"/>
      <c r="AH2505" s="1350"/>
      <c r="AI2505" s="1350"/>
      <c r="AJ2505" s="1350"/>
      <c r="AK2505" s="1350"/>
      <c r="AL2505" s="1350"/>
      <c r="AM2505" s="1350"/>
      <c r="AN2505" s="1350"/>
      <c r="AO2505" s="1350"/>
      <c r="AP2505" s="1350"/>
      <c r="AQ2505" s="1350"/>
      <c r="AR2505" s="1350"/>
      <c r="AS2505" s="1350"/>
      <c r="AT2505" s="1350"/>
      <c r="AU2505" s="1350"/>
      <c r="AV2505" s="1350"/>
      <c r="AW2505" s="1350"/>
      <c r="AX2505" s="1350"/>
      <c r="AY2505" s="1350"/>
      <c r="AZ2505" s="1350"/>
      <c r="BA2505" s="1070"/>
      <c r="BB2505" s="1070"/>
      <c r="BC2505" s="1070"/>
      <c r="BD2505" s="1070"/>
      <c r="BE2505" s="1070"/>
      <c r="BF2505" s="1070"/>
      <c r="BG2505" s="1070"/>
      <c r="BH2505" s="1070"/>
      <c r="BI2505" s="1070"/>
      <c r="BJ2505" s="1070"/>
      <c r="BK2505" s="1070"/>
      <c r="BL2505" s="1070"/>
      <c r="BM2505" s="1070"/>
      <c r="BN2505" s="1070"/>
      <c r="BO2505" s="1070"/>
      <c r="BP2505" s="1070"/>
      <c r="BQ2505" s="1070"/>
      <c r="BR2505" s="1070"/>
      <c r="BS2505" s="1070"/>
      <c r="BT2505" s="1070"/>
      <c r="BU2505" s="1070"/>
      <c r="BV2505" s="1070"/>
      <c r="BW2505" s="1070"/>
      <c r="BX2505" s="1070"/>
      <c r="BY2505" s="1070"/>
      <c r="BZ2505" s="1070"/>
      <c r="CA2505" s="1070"/>
      <c r="CB2505" s="1070"/>
      <c r="CC2505" s="1070"/>
      <c r="CD2505" s="1070"/>
      <c r="CE2505" s="1070"/>
      <c r="CF2505" s="1070"/>
      <c r="CG2505" s="1070"/>
      <c r="CH2505" s="1070"/>
      <c r="CI2505" s="1070"/>
      <c r="CJ2505" s="1070"/>
      <c r="CK2505" s="1070"/>
      <c r="CL2505" s="1070"/>
      <c r="CM2505" s="1070"/>
      <c r="CN2505" s="1070"/>
      <c r="CO2505" s="1070"/>
      <c r="CP2505" s="1070"/>
      <c r="CQ2505" s="1070"/>
      <c r="CR2505" s="1070"/>
      <c r="CS2505" s="1070"/>
      <c r="CT2505" s="1070"/>
      <c r="CU2505" s="1070"/>
      <c r="CV2505" s="1070"/>
      <c r="CW2505" s="1070"/>
      <c r="CX2505" s="1070"/>
      <c r="CY2505" s="1070"/>
      <c r="CZ2505" s="1070"/>
      <c r="DA2505" s="1070"/>
      <c r="DB2505" s="1070"/>
      <c r="DC2505" s="1070"/>
      <c r="DD2505" s="1070"/>
      <c r="DE2505" s="1070"/>
      <c r="DF2505" s="1070"/>
      <c r="DG2505" s="1070"/>
      <c r="DH2505" s="1070"/>
      <c r="DI2505" s="1070"/>
      <c r="DJ2505" s="1070"/>
    </row>
    <row r="2506" spans="1:114" s="1136" customFormat="1" ht="47.25" x14ac:dyDescent="0.25">
      <c r="A2506" s="1420" t="s">
        <v>2637</v>
      </c>
      <c r="B2506" s="1443">
        <f>IF(B275&lt;2,0.85,1)</f>
        <v>1</v>
      </c>
      <c r="C2506" s="1437"/>
      <c r="D2506" s="1434"/>
      <c r="E2506" s="1434"/>
      <c r="F2506" s="1434"/>
      <c r="G2506" s="1434"/>
      <c r="H2506" s="1350"/>
      <c r="I2506" s="1350"/>
      <c r="J2506" s="1350"/>
      <c r="K2506" s="1350"/>
      <c r="L2506" s="1350"/>
      <c r="M2506" s="1350"/>
      <c r="N2506" s="1350"/>
      <c r="O2506" s="1350"/>
      <c r="P2506" s="1350"/>
      <c r="Q2506" s="1350"/>
      <c r="R2506" s="1350"/>
      <c r="S2506" s="1350"/>
      <c r="T2506" s="1350"/>
      <c r="U2506" s="1350"/>
      <c r="V2506" s="1350"/>
      <c r="W2506" s="1350"/>
      <c r="X2506" s="1350"/>
      <c r="Y2506" s="1350"/>
      <c r="Z2506" s="1350"/>
      <c r="AA2506" s="1350"/>
      <c r="AB2506" s="1350"/>
      <c r="AC2506" s="1350"/>
      <c r="AD2506" s="1350"/>
      <c r="AE2506" s="1350"/>
      <c r="AF2506" s="1350"/>
      <c r="AG2506" s="1350"/>
      <c r="AH2506" s="1350"/>
      <c r="AI2506" s="1350"/>
      <c r="AJ2506" s="1350"/>
      <c r="AK2506" s="1350"/>
      <c r="AL2506" s="1350"/>
      <c r="AM2506" s="1350"/>
      <c r="AN2506" s="1350"/>
      <c r="AO2506" s="1350"/>
      <c r="AP2506" s="1350"/>
      <c r="AQ2506" s="1350"/>
      <c r="AR2506" s="1350"/>
      <c r="AS2506" s="1350"/>
      <c r="AT2506" s="1350"/>
      <c r="AU2506" s="1350"/>
      <c r="AV2506" s="1350"/>
      <c r="AW2506" s="1350"/>
      <c r="AX2506" s="1350"/>
      <c r="AY2506" s="1350"/>
      <c r="AZ2506" s="1350"/>
      <c r="BA2506" s="1070"/>
      <c r="BB2506" s="1070"/>
      <c r="BC2506" s="1070"/>
      <c r="BD2506" s="1070"/>
      <c r="BE2506" s="1070"/>
      <c r="BF2506" s="1070"/>
      <c r="BG2506" s="1070"/>
      <c r="BH2506" s="1070"/>
      <c r="BI2506" s="1070"/>
      <c r="BJ2506" s="1070"/>
      <c r="BK2506" s="1070"/>
      <c r="BL2506" s="1070"/>
      <c r="BM2506" s="1070"/>
      <c r="BN2506" s="1070"/>
      <c r="BO2506" s="1070"/>
      <c r="BP2506" s="1070"/>
      <c r="BQ2506" s="1070"/>
      <c r="BR2506" s="1070"/>
      <c r="BS2506" s="1070"/>
      <c r="BT2506" s="1070"/>
      <c r="BU2506" s="1070"/>
      <c r="BV2506" s="1070"/>
      <c r="BW2506" s="1070"/>
      <c r="BX2506" s="1070"/>
      <c r="BY2506" s="1070"/>
      <c r="BZ2506" s="1070"/>
      <c r="CA2506" s="1070"/>
      <c r="CB2506" s="1070"/>
      <c r="CC2506" s="1070"/>
      <c r="CD2506" s="1070"/>
      <c r="CE2506" s="1070"/>
      <c r="CF2506" s="1070"/>
      <c r="CG2506" s="1070"/>
      <c r="CH2506" s="1070"/>
      <c r="CI2506" s="1070"/>
      <c r="CJ2506" s="1070"/>
      <c r="CK2506" s="1070"/>
      <c r="CL2506" s="1070"/>
      <c r="CM2506" s="1070"/>
      <c r="CN2506" s="1070"/>
      <c r="CO2506" s="1070"/>
      <c r="CP2506" s="1070"/>
      <c r="CQ2506" s="1070"/>
      <c r="CR2506" s="1070"/>
      <c r="CS2506" s="1070"/>
      <c r="CT2506" s="1070"/>
      <c r="CU2506" s="1070"/>
      <c r="CV2506" s="1070"/>
      <c r="CW2506" s="1070"/>
      <c r="CX2506" s="1070"/>
      <c r="CY2506" s="1070"/>
      <c r="CZ2506" s="1070"/>
      <c r="DA2506" s="1070"/>
      <c r="DB2506" s="1070"/>
      <c r="DC2506" s="1070"/>
      <c r="DD2506" s="1070"/>
      <c r="DE2506" s="1070"/>
      <c r="DF2506" s="1070"/>
      <c r="DG2506" s="1070"/>
      <c r="DH2506" s="1070"/>
      <c r="DI2506" s="1070"/>
      <c r="DJ2506" s="1070"/>
    </row>
    <row r="2507" spans="1:114" s="1136" customFormat="1" ht="15.75" x14ac:dyDescent="0.25">
      <c r="A2507" s="1420" t="s">
        <v>532</v>
      </c>
      <c r="B2507" s="1450">
        <v>0.7</v>
      </c>
      <c r="C2507" s="1440"/>
      <c r="D2507" s="1434"/>
      <c r="E2507" s="1434"/>
      <c r="F2507" s="1434"/>
      <c r="G2507" s="1434"/>
      <c r="H2507" s="1350"/>
      <c r="I2507" s="1350"/>
      <c r="J2507" s="1350"/>
      <c r="K2507" s="1350"/>
      <c r="L2507" s="1350"/>
      <c r="M2507" s="1350"/>
      <c r="N2507" s="1350"/>
      <c r="O2507" s="1350"/>
      <c r="P2507" s="1350"/>
      <c r="Q2507" s="1350"/>
      <c r="R2507" s="1350"/>
      <c r="S2507" s="1350"/>
      <c r="T2507" s="1350"/>
      <c r="U2507" s="1350"/>
      <c r="V2507" s="1350"/>
      <c r="W2507" s="1350"/>
      <c r="X2507" s="1350"/>
      <c r="Y2507" s="1350"/>
      <c r="Z2507" s="1350"/>
      <c r="AA2507" s="1350"/>
      <c r="AB2507" s="1350"/>
      <c r="AC2507" s="1350"/>
      <c r="AD2507" s="1350"/>
      <c r="AE2507" s="1350"/>
      <c r="AF2507" s="1350"/>
      <c r="AG2507" s="1350"/>
      <c r="AH2507" s="1350"/>
      <c r="AI2507" s="1350"/>
      <c r="AJ2507" s="1350"/>
      <c r="AK2507" s="1350"/>
      <c r="AL2507" s="1350"/>
      <c r="AM2507" s="1350"/>
      <c r="AN2507" s="1350"/>
      <c r="AO2507" s="1350"/>
      <c r="AP2507" s="1350"/>
      <c r="AQ2507" s="1350"/>
      <c r="AR2507" s="1350"/>
      <c r="AS2507" s="1350"/>
      <c r="AT2507" s="1350"/>
      <c r="AU2507" s="1350"/>
      <c r="AV2507" s="1350"/>
      <c r="AW2507" s="1350"/>
      <c r="AX2507" s="1350"/>
      <c r="AY2507" s="1350"/>
      <c r="AZ2507" s="1350"/>
      <c r="BA2507" s="1070"/>
      <c r="BB2507" s="1070"/>
      <c r="BC2507" s="1070"/>
      <c r="BD2507" s="1070"/>
      <c r="BE2507" s="1070"/>
      <c r="BF2507" s="1070"/>
      <c r="BG2507" s="1070"/>
      <c r="BH2507" s="1070"/>
      <c r="BI2507" s="1070"/>
      <c r="BJ2507" s="1070"/>
      <c r="BK2507" s="1070"/>
      <c r="BL2507" s="1070"/>
      <c r="BM2507" s="1070"/>
      <c r="BN2507" s="1070"/>
      <c r="BO2507" s="1070"/>
      <c r="BP2507" s="1070"/>
      <c r="BQ2507" s="1070"/>
      <c r="BR2507" s="1070"/>
      <c r="BS2507" s="1070"/>
      <c r="BT2507" s="1070"/>
      <c r="BU2507" s="1070"/>
      <c r="BV2507" s="1070"/>
      <c r="BW2507" s="1070"/>
      <c r="BX2507" s="1070"/>
      <c r="BY2507" s="1070"/>
      <c r="BZ2507" s="1070"/>
      <c r="CA2507" s="1070"/>
      <c r="CB2507" s="1070"/>
      <c r="CC2507" s="1070"/>
      <c r="CD2507" s="1070"/>
      <c r="CE2507" s="1070"/>
      <c r="CF2507" s="1070"/>
      <c r="CG2507" s="1070"/>
      <c r="CH2507" s="1070"/>
      <c r="CI2507" s="1070"/>
      <c r="CJ2507" s="1070"/>
      <c r="CK2507" s="1070"/>
      <c r="CL2507" s="1070"/>
      <c r="CM2507" s="1070"/>
      <c r="CN2507" s="1070"/>
      <c r="CO2507" s="1070"/>
      <c r="CP2507" s="1070"/>
      <c r="CQ2507" s="1070"/>
      <c r="CR2507" s="1070"/>
      <c r="CS2507" s="1070"/>
      <c r="CT2507" s="1070"/>
      <c r="CU2507" s="1070"/>
      <c r="CV2507" s="1070"/>
      <c r="CW2507" s="1070"/>
      <c r="CX2507" s="1070"/>
      <c r="CY2507" s="1070"/>
      <c r="CZ2507" s="1070"/>
      <c r="DA2507" s="1070"/>
      <c r="DB2507" s="1070"/>
      <c r="DC2507" s="1070"/>
      <c r="DD2507" s="1070"/>
      <c r="DE2507" s="1070"/>
      <c r="DF2507" s="1070"/>
      <c r="DG2507" s="1070"/>
      <c r="DH2507" s="1070"/>
      <c r="DI2507" s="1070"/>
      <c r="DJ2507" s="1070"/>
    </row>
    <row r="2508" spans="1:114" s="1136" customFormat="1" ht="15.75" x14ac:dyDescent="0.25">
      <c r="A2508" s="1420" t="s">
        <v>3412</v>
      </c>
      <c r="B2508" s="1443" t="e">
        <f>B2497*B2503*B2505*B2506*B2507*B2383</f>
        <v>#VALUE!</v>
      </c>
      <c r="C2508" s="1437"/>
      <c r="D2508" s="1350"/>
      <c r="E2508" s="1350"/>
      <c r="F2508" s="1350"/>
      <c r="G2508" s="1350"/>
      <c r="H2508" s="1350"/>
      <c r="I2508" s="1350"/>
      <c r="J2508" s="1350"/>
      <c r="K2508" s="1350"/>
      <c r="L2508" s="1350"/>
      <c r="M2508" s="1350"/>
      <c r="N2508" s="1350"/>
      <c r="O2508" s="1350"/>
      <c r="P2508" s="1350"/>
      <c r="Q2508" s="1350"/>
      <c r="R2508" s="1350"/>
      <c r="S2508" s="1350"/>
      <c r="T2508" s="1350"/>
      <c r="U2508" s="1350"/>
      <c r="V2508" s="1350"/>
      <c r="W2508" s="1350"/>
      <c r="X2508" s="1350"/>
      <c r="Y2508" s="1350"/>
      <c r="Z2508" s="1350"/>
      <c r="AA2508" s="1350"/>
      <c r="AB2508" s="1350"/>
      <c r="AC2508" s="1350"/>
      <c r="AD2508" s="1350"/>
      <c r="AE2508" s="1350"/>
      <c r="AF2508" s="1350"/>
      <c r="AG2508" s="1350"/>
      <c r="AH2508" s="1350"/>
      <c r="AI2508" s="1350"/>
      <c r="AJ2508" s="1350"/>
      <c r="AK2508" s="1350"/>
      <c r="AL2508" s="1350"/>
      <c r="AM2508" s="1350"/>
      <c r="AN2508" s="1350"/>
      <c r="AO2508" s="1350"/>
      <c r="AP2508" s="1350"/>
      <c r="AQ2508" s="1350"/>
      <c r="AR2508" s="1350"/>
      <c r="AS2508" s="1350"/>
      <c r="AT2508" s="1350"/>
      <c r="AU2508" s="1350"/>
      <c r="AV2508" s="1350"/>
      <c r="AW2508" s="1350"/>
      <c r="AX2508" s="1350"/>
      <c r="AY2508" s="1350"/>
      <c r="AZ2508" s="1350"/>
      <c r="BA2508" s="1070"/>
      <c r="BB2508" s="1070"/>
      <c r="BC2508" s="1070"/>
      <c r="BD2508" s="1070"/>
      <c r="BE2508" s="1070"/>
      <c r="BF2508" s="1070"/>
      <c r="BG2508" s="1070"/>
      <c r="BH2508" s="1070"/>
      <c r="BI2508" s="1070"/>
      <c r="BJ2508" s="1070"/>
      <c r="BK2508" s="1070"/>
      <c r="BL2508" s="1070"/>
      <c r="BM2508" s="1070"/>
      <c r="BN2508" s="1070"/>
      <c r="BO2508" s="1070"/>
      <c r="BP2508" s="1070"/>
      <c r="BQ2508" s="1070"/>
      <c r="BR2508" s="1070"/>
      <c r="BS2508" s="1070"/>
      <c r="BT2508" s="1070"/>
      <c r="BU2508" s="1070"/>
      <c r="BV2508" s="1070"/>
      <c r="BW2508" s="1070"/>
      <c r="BX2508" s="1070"/>
      <c r="BY2508" s="1070"/>
      <c r="BZ2508" s="1070"/>
      <c r="CA2508" s="1070"/>
      <c r="CB2508" s="1070"/>
      <c r="CC2508" s="1070"/>
      <c r="CD2508" s="1070"/>
      <c r="CE2508" s="1070"/>
      <c r="CF2508" s="1070"/>
      <c r="CG2508" s="1070"/>
      <c r="CH2508" s="1070"/>
      <c r="CI2508" s="1070"/>
      <c r="CJ2508" s="1070"/>
      <c r="CK2508" s="1070"/>
      <c r="CL2508" s="1070"/>
      <c r="CM2508" s="1070"/>
      <c r="CN2508" s="1070"/>
      <c r="CO2508" s="1070"/>
      <c r="CP2508" s="1070"/>
      <c r="CQ2508" s="1070"/>
      <c r="CR2508" s="1070"/>
      <c r="CS2508" s="1070"/>
      <c r="CT2508" s="1070"/>
      <c r="CU2508" s="1070"/>
      <c r="CV2508" s="1070"/>
      <c r="CW2508" s="1070"/>
      <c r="CX2508" s="1070"/>
      <c r="CY2508" s="1070"/>
      <c r="CZ2508" s="1070"/>
      <c r="DA2508" s="1070"/>
      <c r="DB2508" s="1070"/>
      <c r="DC2508" s="1070"/>
      <c r="DD2508" s="1070"/>
      <c r="DE2508" s="1070"/>
      <c r="DF2508" s="1070"/>
      <c r="DG2508" s="1070"/>
      <c r="DH2508" s="1070"/>
      <c r="DI2508" s="1070"/>
      <c r="DJ2508" s="1070"/>
    </row>
    <row r="2509" spans="1:114" s="1136" customFormat="1" ht="15.75" x14ac:dyDescent="0.25">
      <c r="A2509" s="1420" t="s">
        <v>429</v>
      </c>
      <c r="B2509" s="1439" t="e">
        <f>B2496/B2508</f>
        <v>#VALUE!</v>
      </c>
      <c r="C2509" s="1432"/>
      <c r="D2509" s="1434"/>
      <c r="E2509" s="1434"/>
      <c r="F2509" s="1434"/>
      <c r="G2509" s="1434"/>
      <c r="H2509" s="1350"/>
      <c r="I2509" s="1350"/>
      <c r="J2509" s="1350"/>
      <c r="K2509" s="1350"/>
      <c r="L2509" s="1350"/>
      <c r="M2509" s="1350"/>
      <c r="N2509" s="1350"/>
      <c r="O2509" s="1350"/>
      <c r="P2509" s="1350"/>
      <c r="Q2509" s="1350"/>
      <c r="R2509" s="1350"/>
      <c r="S2509" s="1350"/>
      <c r="T2509" s="1350"/>
      <c r="U2509" s="1350"/>
      <c r="V2509" s="1350"/>
      <c r="W2509" s="1350"/>
      <c r="X2509" s="1350"/>
      <c r="Y2509" s="1350"/>
      <c r="Z2509" s="1350"/>
      <c r="AA2509" s="1350"/>
      <c r="AB2509" s="1350"/>
      <c r="AC2509" s="1350"/>
      <c r="AD2509" s="1350"/>
      <c r="AE2509" s="1350"/>
      <c r="AF2509" s="1350"/>
      <c r="AG2509" s="1350"/>
      <c r="AH2509" s="1350"/>
      <c r="AI2509" s="1350"/>
      <c r="AJ2509" s="1350"/>
      <c r="AK2509" s="1350"/>
      <c r="AL2509" s="1350"/>
      <c r="AM2509" s="1350"/>
      <c r="AN2509" s="1350"/>
      <c r="AO2509" s="1350"/>
      <c r="AP2509" s="1350"/>
      <c r="AQ2509" s="1350"/>
      <c r="AR2509" s="1350"/>
      <c r="AS2509" s="1350"/>
      <c r="AT2509" s="1350"/>
      <c r="AU2509" s="1350"/>
      <c r="AV2509" s="1350"/>
      <c r="AW2509" s="1350"/>
      <c r="AX2509" s="1350"/>
      <c r="AY2509" s="1350"/>
      <c r="AZ2509" s="1350"/>
      <c r="BA2509" s="1070"/>
      <c r="BB2509" s="1070"/>
      <c r="BC2509" s="1070"/>
      <c r="BD2509" s="1070"/>
      <c r="BE2509" s="1070"/>
      <c r="BF2509" s="1070"/>
      <c r="BG2509" s="1070"/>
      <c r="BH2509" s="1070"/>
      <c r="BI2509" s="1070"/>
      <c r="BJ2509" s="1070"/>
      <c r="BK2509" s="1070"/>
      <c r="BL2509" s="1070"/>
      <c r="BM2509" s="1070"/>
      <c r="BN2509" s="1070"/>
      <c r="BO2509" s="1070"/>
      <c r="BP2509" s="1070"/>
      <c r="BQ2509" s="1070"/>
      <c r="BR2509" s="1070"/>
      <c r="BS2509" s="1070"/>
      <c r="BT2509" s="1070"/>
      <c r="BU2509" s="1070"/>
      <c r="BV2509" s="1070"/>
      <c r="BW2509" s="1070"/>
      <c r="BX2509" s="1070"/>
      <c r="BY2509" s="1070"/>
      <c r="BZ2509" s="1070"/>
      <c r="CA2509" s="1070"/>
      <c r="CB2509" s="1070"/>
      <c r="CC2509" s="1070"/>
      <c r="CD2509" s="1070"/>
      <c r="CE2509" s="1070"/>
      <c r="CF2509" s="1070"/>
      <c r="CG2509" s="1070"/>
      <c r="CH2509" s="1070"/>
      <c r="CI2509" s="1070"/>
      <c r="CJ2509" s="1070"/>
      <c r="CK2509" s="1070"/>
      <c r="CL2509" s="1070"/>
      <c r="CM2509" s="1070"/>
      <c r="CN2509" s="1070"/>
      <c r="CO2509" s="1070"/>
      <c r="CP2509" s="1070"/>
      <c r="CQ2509" s="1070"/>
      <c r="CR2509" s="1070"/>
      <c r="CS2509" s="1070"/>
      <c r="CT2509" s="1070"/>
      <c r="CU2509" s="1070"/>
      <c r="CV2509" s="1070"/>
      <c r="CW2509" s="1070"/>
      <c r="CX2509" s="1070"/>
      <c r="CY2509" s="1070"/>
      <c r="CZ2509" s="1070"/>
      <c r="DA2509" s="1070"/>
      <c r="DB2509" s="1070"/>
      <c r="DC2509" s="1070"/>
      <c r="DD2509" s="1070"/>
      <c r="DE2509" s="1070"/>
      <c r="DF2509" s="1070"/>
      <c r="DG2509" s="1070"/>
      <c r="DH2509" s="1070"/>
      <c r="DI2509" s="1070"/>
      <c r="DJ2509" s="1070"/>
    </row>
    <row r="2510" spans="1:114" s="1136" customFormat="1" ht="31.5" x14ac:dyDescent="0.25">
      <c r="A2510" s="1420" t="s">
        <v>533</v>
      </c>
      <c r="B2510" s="1439" t="e">
        <f>B2412+B2421+B2433+B2450+B2468+B2480+B2493+B2509</f>
        <v>#VALUE!</v>
      </c>
      <c r="C2510" s="1432"/>
      <c r="D2510" s="1437"/>
      <c r="E2510" s="1437"/>
      <c r="F2510" s="1437"/>
      <c r="G2510" s="1437"/>
      <c r="H2510" s="1350"/>
      <c r="I2510" s="1350"/>
      <c r="J2510" s="1350"/>
      <c r="K2510" s="1350"/>
      <c r="L2510" s="1350"/>
      <c r="M2510" s="1350"/>
      <c r="N2510" s="1350"/>
      <c r="O2510" s="1350"/>
      <c r="P2510" s="1350"/>
      <c r="Q2510" s="1350"/>
      <c r="R2510" s="1350"/>
      <c r="S2510" s="1350"/>
      <c r="T2510" s="1350"/>
      <c r="U2510" s="1350"/>
      <c r="V2510" s="1350"/>
      <c r="W2510" s="1350"/>
      <c r="X2510" s="1350"/>
      <c r="Y2510" s="1350"/>
      <c r="Z2510" s="1350"/>
      <c r="AA2510" s="1350"/>
      <c r="AB2510" s="1350"/>
      <c r="AC2510" s="1350"/>
      <c r="AD2510" s="1350"/>
      <c r="AE2510" s="1350"/>
      <c r="AF2510" s="1350"/>
      <c r="AG2510" s="1350"/>
      <c r="AH2510" s="1350"/>
      <c r="AI2510" s="1350"/>
      <c r="AJ2510" s="1350"/>
      <c r="AK2510" s="1350"/>
      <c r="AL2510" s="1350"/>
      <c r="AM2510" s="1350"/>
      <c r="AN2510" s="1350"/>
      <c r="AO2510" s="1350"/>
      <c r="AP2510" s="1350"/>
      <c r="AQ2510" s="1350"/>
      <c r="AR2510" s="1350"/>
      <c r="AS2510" s="1350"/>
      <c r="AT2510" s="1350"/>
      <c r="AU2510" s="1350"/>
      <c r="AV2510" s="1350"/>
      <c r="AW2510" s="1350"/>
      <c r="AX2510" s="1350"/>
      <c r="AY2510" s="1350"/>
      <c r="AZ2510" s="1350"/>
      <c r="BA2510" s="1070"/>
      <c r="BB2510" s="1070"/>
      <c r="BC2510" s="1070"/>
      <c r="BD2510" s="1070"/>
      <c r="BE2510" s="1070"/>
      <c r="BF2510" s="1070"/>
      <c r="BG2510" s="1070"/>
      <c r="BH2510" s="1070"/>
      <c r="BI2510" s="1070"/>
      <c r="BJ2510" s="1070"/>
      <c r="BK2510" s="1070"/>
      <c r="BL2510" s="1070"/>
      <c r="BM2510" s="1070"/>
      <c r="BN2510" s="1070"/>
      <c r="BO2510" s="1070"/>
      <c r="BP2510" s="1070"/>
      <c r="BQ2510" s="1070"/>
      <c r="BR2510" s="1070"/>
      <c r="BS2510" s="1070"/>
      <c r="BT2510" s="1070"/>
      <c r="BU2510" s="1070"/>
      <c r="BV2510" s="1070"/>
      <c r="BW2510" s="1070"/>
      <c r="BX2510" s="1070"/>
      <c r="BY2510" s="1070"/>
      <c r="BZ2510" s="1070"/>
      <c r="CA2510" s="1070"/>
      <c r="CB2510" s="1070"/>
      <c r="CC2510" s="1070"/>
      <c r="CD2510" s="1070"/>
      <c r="CE2510" s="1070"/>
      <c r="CF2510" s="1070"/>
      <c r="CG2510" s="1070"/>
      <c r="CH2510" s="1070"/>
      <c r="CI2510" s="1070"/>
      <c r="CJ2510" s="1070"/>
      <c r="CK2510" s="1070"/>
      <c r="CL2510" s="1070"/>
      <c r="CM2510" s="1070"/>
      <c r="CN2510" s="1070"/>
      <c r="CO2510" s="1070"/>
      <c r="CP2510" s="1070"/>
      <c r="CQ2510" s="1070"/>
      <c r="CR2510" s="1070"/>
      <c r="CS2510" s="1070"/>
      <c r="CT2510" s="1070"/>
      <c r="CU2510" s="1070"/>
      <c r="CV2510" s="1070"/>
      <c r="CW2510" s="1070"/>
      <c r="CX2510" s="1070"/>
      <c r="CY2510" s="1070"/>
      <c r="CZ2510" s="1070"/>
      <c r="DA2510" s="1070"/>
      <c r="DB2510" s="1070"/>
      <c r="DC2510" s="1070"/>
      <c r="DD2510" s="1070"/>
      <c r="DE2510" s="1070"/>
      <c r="DF2510" s="1070"/>
      <c r="DG2510" s="1070"/>
      <c r="DH2510" s="1070"/>
      <c r="DI2510" s="1070"/>
      <c r="DJ2510" s="1070"/>
    </row>
    <row r="2511" spans="1:114" s="1136" customFormat="1" ht="47.25" x14ac:dyDescent="0.25">
      <c r="A2511" s="1452" t="s">
        <v>534</v>
      </c>
      <c r="B2511" s="1453">
        <f>IF(B276=0,B2510,0)</f>
        <v>0</v>
      </c>
      <c r="C2511" s="1454"/>
      <c r="D2511" s="1434"/>
      <c r="E2511" s="1434"/>
      <c r="F2511" s="1434"/>
      <c r="G2511" s="1434"/>
      <c r="H2511" s="1350"/>
      <c r="I2511" s="1350"/>
      <c r="J2511" s="1350"/>
      <c r="K2511" s="1350"/>
      <c r="L2511" s="1350"/>
      <c r="M2511" s="1350"/>
      <c r="N2511" s="1350"/>
      <c r="O2511" s="1350"/>
      <c r="P2511" s="1350"/>
      <c r="Q2511" s="1350"/>
      <c r="R2511" s="1350"/>
      <c r="S2511" s="1350"/>
      <c r="T2511" s="1350"/>
      <c r="U2511" s="1350"/>
      <c r="V2511" s="1350"/>
      <c r="W2511" s="1350"/>
      <c r="X2511" s="1350"/>
      <c r="Y2511" s="1350"/>
      <c r="Z2511" s="1350"/>
      <c r="AA2511" s="1350"/>
      <c r="AB2511" s="1350"/>
      <c r="AC2511" s="1350"/>
      <c r="AD2511" s="1350"/>
      <c r="AE2511" s="1350"/>
      <c r="AF2511" s="1350"/>
      <c r="AG2511" s="1350"/>
      <c r="AH2511" s="1350"/>
      <c r="AI2511" s="1350"/>
      <c r="AJ2511" s="1350"/>
      <c r="AK2511" s="1350"/>
      <c r="AL2511" s="1350"/>
      <c r="AM2511" s="1350"/>
      <c r="AN2511" s="1350"/>
      <c r="AO2511" s="1350"/>
      <c r="AP2511" s="1350"/>
      <c r="AQ2511" s="1350"/>
      <c r="AR2511" s="1350"/>
      <c r="AS2511" s="1350"/>
      <c r="AT2511" s="1350"/>
      <c r="AU2511" s="1350"/>
      <c r="AV2511" s="1350"/>
      <c r="AW2511" s="1350"/>
      <c r="AX2511" s="1350"/>
      <c r="AY2511" s="1350"/>
      <c r="AZ2511" s="1350"/>
      <c r="BA2511" s="1070"/>
      <c r="BB2511" s="1070"/>
      <c r="BC2511" s="1070"/>
      <c r="BD2511" s="1070"/>
      <c r="BE2511" s="1070"/>
      <c r="BF2511" s="1070"/>
      <c r="BG2511" s="1070"/>
      <c r="BH2511" s="1070"/>
      <c r="BI2511" s="1070"/>
      <c r="BJ2511" s="1070"/>
      <c r="BK2511" s="1070"/>
      <c r="BL2511" s="1070"/>
      <c r="BM2511" s="1070"/>
      <c r="BN2511" s="1070"/>
      <c r="BO2511" s="1070"/>
      <c r="BP2511" s="1070"/>
      <c r="BQ2511" s="1070"/>
      <c r="BR2511" s="1070"/>
      <c r="BS2511" s="1070"/>
      <c r="BT2511" s="1070"/>
      <c r="BU2511" s="1070"/>
      <c r="BV2511" s="1070"/>
      <c r="BW2511" s="1070"/>
      <c r="BX2511" s="1070"/>
      <c r="BY2511" s="1070"/>
      <c r="BZ2511" s="1070"/>
      <c r="CA2511" s="1070"/>
      <c r="CB2511" s="1070"/>
      <c r="CC2511" s="1070"/>
      <c r="CD2511" s="1070"/>
      <c r="CE2511" s="1070"/>
      <c r="CF2511" s="1070"/>
      <c r="CG2511" s="1070"/>
      <c r="CH2511" s="1070"/>
      <c r="CI2511" s="1070"/>
      <c r="CJ2511" s="1070"/>
      <c r="CK2511" s="1070"/>
      <c r="CL2511" s="1070"/>
      <c r="CM2511" s="1070"/>
      <c r="CN2511" s="1070"/>
      <c r="CO2511" s="1070"/>
      <c r="CP2511" s="1070"/>
      <c r="CQ2511" s="1070"/>
      <c r="CR2511" s="1070"/>
      <c r="CS2511" s="1070"/>
      <c r="CT2511" s="1070"/>
      <c r="CU2511" s="1070"/>
      <c r="CV2511" s="1070"/>
      <c r="CW2511" s="1070"/>
      <c r="CX2511" s="1070"/>
      <c r="CY2511" s="1070"/>
      <c r="CZ2511" s="1070"/>
      <c r="DA2511" s="1070"/>
      <c r="DB2511" s="1070"/>
      <c r="DC2511" s="1070"/>
      <c r="DD2511" s="1070"/>
      <c r="DE2511" s="1070"/>
      <c r="DF2511" s="1070"/>
      <c r="DG2511" s="1070"/>
      <c r="DH2511" s="1070"/>
      <c r="DI2511" s="1070"/>
      <c r="DJ2511" s="1070"/>
    </row>
    <row r="2512" spans="1:114" s="1136" customFormat="1" ht="15.75" x14ac:dyDescent="0.25">
      <c r="A2512" s="1455"/>
      <c r="B2512" s="1439"/>
      <c r="C2512" s="1432"/>
      <c r="D2512" s="1437"/>
      <c r="E2512" s="1437"/>
      <c r="F2512" s="1437"/>
      <c r="G2512" s="1437"/>
      <c r="H2512" s="1350"/>
      <c r="I2512" s="1350"/>
      <c r="J2512" s="1350"/>
      <c r="K2512" s="1350"/>
      <c r="L2512" s="1350"/>
      <c r="M2512" s="1350"/>
      <c r="N2512" s="1350"/>
      <c r="O2512" s="1350"/>
      <c r="P2512" s="1350"/>
      <c r="Q2512" s="1350"/>
      <c r="R2512" s="1350"/>
      <c r="S2512" s="1350"/>
      <c r="T2512" s="1350"/>
      <c r="U2512" s="1350"/>
      <c r="V2512" s="1350"/>
      <c r="W2512" s="1350"/>
      <c r="X2512" s="1350"/>
      <c r="Y2512" s="1350"/>
      <c r="Z2512" s="1350"/>
      <c r="AA2512" s="1350"/>
      <c r="AB2512" s="1350"/>
      <c r="AC2512" s="1350"/>
      <c r="AD2512" s="1350"/>
      <c r="AE2512" s="1350"/>
      <c r="AF2512" s="1350"/>
      <c r="AG2512" s="1350"/>
      <c r="AH2512" s="1350"/>
      <c r="AI2512" s="1350"/>
      <c r="AJ2512" s="1350"/>
      <c r="AK2512" s="1350"/>
      <c r="AL2512" s="1350"/>
      <c r="AM2512" s="1350"/>
      <c r="AN2512" s="1350"/>
      <c r="AO2512" s="1350"/>
      <c r="AP2512" s="1350"/>
      <c r="AQ2512" s="1350"/>
      <c r="AR2512" s="1350"/>
      <c r="AS2512" s="1350"/>
      <c r="AT2512" s="1350"/>
      <c r="AU2512" s="1350"/>
      <c r="AV2512" s="1350"/>
      <c r="AW2512" s="1350"/>
      <c r="AX2512" s="1350"/>
      <c r="AY2512" s="1350"/>
      <c r="AZ2512" s="1350"/>
      <c r="BA2512" s="1070"/>
      <c r="BB2512" s="1070"/>
      <c r="BC2512" s="1070"/>
      <c r="BD2512" s="1070"/>
      <c r="BE2512" s="1070"/>
      <c r="BF2512" s="1070"/>
      <c r="BG2512" s="1070"/>
      <c r="BH2512" s="1070"/>
      <c r="BI2512" s="1070"/>
      <c r="BJ2512" s="1070"/>
      <c r="BK2512" s="1070"/>
      <c r="BL2512" s="1070"/>
      <c r="BM2512" s="1070"/>
      <c r="BN2512" s="1070"/>
      <c r="BO2512" s="1070"/>
      <c r="BP2512" s="1070"/>
      <c r="BQ2512" s="1070"/>
      <c r="BR2512" s="1070"/>
      <c r="BS2512" s="1070"/>
      <c r="BT2512" s="1070"/>
      <c r="BU2512" s="1070"/>
      <c r="BV2512" s="1070"/>
      <c r="BW2512" s="1070"/>
      <c r="BX2512" s="1070"/>
      <c r="BY2512" s="1070"/>
      <c r="BZ2512" s="1070"/>
      <c r="CA2512" s="1070"/>
      <c r="CB2512" s="1070"/>
      <c r="CC2512" s="1070"/>
      <c r="CD2512" s="1070"/>
      <c r="CE2512" s="1070"/>
      <c r="CF2512" s="1070"/>
      <c r="CG2512" s="1070"/>
      <c r="CH2512" s="1070"/>
      <c r="CI2512" s="1070"/>
      <c r="CJ2512" s="1070"/>
      <c r="CK2512" s="1070"/>
      <c r="CL2512" s="1070"/>
      <c r="CM2512" s="1070"/>
      <c r="CN2512" s="1070"/>
      <c r="CO2512" s="1070"/>
      <c r="CP2512" s="1070"/>
      <c r="CQ2512" s="1070"/>
      <c r="CR2512" s="1070"/>
      <c r="CS2512" s="1070"/>
      <c r="CT2512" s="1070"/>
      <c r="CU2512" s="1070"/>
      <c r="CV2512" s="1070"/>
      <c r="CW2512" s="1070"/>
      <c r="CX2512" s="1070"/>
      <c r="CY2512" s="1070"/>
      <c r="CZ2512" s="1070"/>
      <c r="DA2512" s="1070"/>
      <c r="DB2512" s="1070"/>
      <c r="DC2512" s="1070"/>
      <c r="DD2512" s="1070"/>
      <c r="DE2512" s="1070"/>
      <c r="DF2512" s="1070"/>
      <c r="DG2512" s="1070"/>
      <c r="DH2512" s="1070"/>
      <c r="DI2512" s="1070"/>
      <c r="DJ2512" s="1070"/>
    </row>
    <row r="2513" spans="1:114" s="1136" customFormat="1" ht="31.5" x14ac:dyDescent="0.25">
      <c r="A2513" s="1438" t="s">
        <v>535</v>
      </c>
      <c r="B2513" s="1443"/>
      <c r="C2513" s="1437"/>
      <c r="D2513" s="1437"/>
      <c r="E2513" s="1437"/>
      <c r="F2513" s="1437"/>
      <c r="G2513" s="1437"/>
      <c r="H2513" s="1350"/>
      <c r="I2513" s="1350"/>
      <c r="J2513" s="1350"/>
      <c r="K2513" s="1350"/>
      <c r="L2513" s="1350"/>
      <c r="M2513" s="1350"/>
      <c r="N2513" s="1350"/>
      <c r="O2513" s="1350"/>
      <c r="P2513" s="1350"/>
      <c r="Q2513" s="1350"/>
      <c r="R2513" s="1350"/>
      <c r="S2513" s="1350"/>
      <c r="T2513" s="1350"/>
      <c r="U2513" s="1350"/>
      <c r="V2513" s="1350"/>
      <c r="W2513" s="1350"/>
      <c r="X2513" s="1350"/>
      <c r="Y2513" s="1350"/>
      <c r="Z2513" s="1350"/>
      <c r="AA2513" s="1350"/>
      <c r="AB2513" s="1350"/>
      <c r="AC2513" s="1350"/>
      <c r="AD2513" s="1350"/>
      <c r="AE2513" s="1350"/>
      <c r="AF2513" s="1350"/>
      <c r="AG2513" s="1350"/>
      <c r="AH2513" s="1350"/>
      <c r="AI2513" s="1350"/>
      <c r="AJ2513" s="1350"/>
      <c r="AK2513" s="1350"/>
      <c r="AL2513" s="1350"/>
      <c r="AM2513" s="1350"/>
      <c r="AN2513" s="1350"/>
      <c r="AO2513" s="1350"/>
      <c r="AP2513" s="1350"/>
      <c r="AQ2513" s="1350"/>
      <c r="AR2513" s="1350"/>
      <c r="AS2513" s="1350"/>
      <c r="AT2513" s="1350"/>
      <c r="AU2513" s="1350"/>
      <c r="AV2513" s="1350"/>
      <c r="AW2513" s="1350"/>
      <c r="AX2513" s="1350"/>
      <c r="AY2513" s="1350"/>
      <c r="AZ2513" s="1350"/>
      <c r="BA2513" s="1070"/>
      <c r="BB2513" s="1070"/>
      <c r="BC2513" s="1070"/>
      <c r="BD2513" s="1070"/>
      <c r="BE2513" s="1070"/>
      <c r="BF2513" s="1070"/>
      <c r="BG2513" s="1070"/>
      <c r="BH2513" s="1070"/>
      <c r="BI2513" s="1070"/>
      <c r="BJ2513" s="1070"/>
      <c r="BK2513" s="1070"/>
      <c r="BL2513" s="1070"/>
      <c r="BM2513" s="1070"/>
      <c r="BN2513" s="1070"/>
      <c r="BO2513" s="1070"/>
      <c r="BP2513" s="1070"/>
      <c r="BQ2513" s="1070"/>
      <c r="BR2513" s="1070"/>
      <c r="BS2513" s="1070"/>
      <c r="BT2513" s="1070"/>
      <c r="BU2513" s="1070"/>
      <c r="BV2513" s="1070"/>
      <c r="BW2513" s="1070"/>
      <c r="BX2513" s="1070"/>
      <c r="BY2513" s="1070"/>
      <c r="BZ2513" s="1070"/>
      <c r="CA2513" s="1070"/>
      <c r="CB2513" s="1070"/>
      <c r="CC2513" s="1070"/>
      <c r="CD2513" s="1070"/>
      <c r="CE2513" s="1070"/>
      <c r="CF2513" s="1070"/>
      <c r="CG2513" s="1070"/>
      <c r="CH2513" s="1070"/>
      <c r="CI2513" s="1070"/>
      <c r="CJ2513" s="1070"/>
      <c r="CK2513" s="1070"/>
      <c r="CL2513" s="1070"/>
      <c r="CM2513" s="1070"/>
      <c r="CN2513" s="1070"/>
      <c r="CO2513" s="1070"/>
      <c r="CP2513" s="1070"/>
      <c r="CQ2513" s="1070"/>
      <c r="CR2513" s="1070"/>
      <c r="CS2513" s="1070"/>
      <c r="CT2513" s="1070"/>
      <c r="CU2513" s="1070"/>
      <c r="CV2513" s="1070"/>
      <c r="CW2513" s="1070"/>
      <c r="CX2513" s="1070"/>
      <c r="CY2513" s="1070"/>
      <c r="CZ2513" s="1070"/>
      <c r="DA2513" s="1070"/>
      <c r="DB2513" s="1070"/>
      <c r="DC2513" s="1070"/>
      <c r="DD2513" s="1070"/>
      <c r="DE2513" s="1070"/>
      <c r="DF2513" s="1070"/>
      <c r="DG2513" s="1070"/>
      <c r="DH2513" s="1070"/>
      <c r="DI2513" s="1070"/>
      <c r="DJ2513" s="1070"/>
    </row>
    <row r="2514" spans="1:114" s="1136" customFormat="1" ht="15.75" x14ac:dyDescent="0.25">
      <c r="A2514" s="1430" t="s">
        <v>424</v>
      </c>
      <c r="B2514" s="1439" t="e">
        <f>B245/B263</f>
        <v>#VALUE!</v>
      </c>
      <c r="C2514" s="1432"/>
      <c r="D2514" s="1440"/>
      <c r="E2514" s="1440"/>
      <c r="F2514" s="1440"/>
      <c r="G2514" s="1440"/>
      <c r="H2514" s="1350"/>
      <c r="I2514" s="1350"/>
      <c r="J2514" s="1350"/>
      <c r="K2514" s="1350"/>
      <c r="L2514" s="1350"/>
      <c r="M2514" s="1350"/>
      <c r="N2514" s="1350"/>
      <c r="O2514" s="1350"/>
      <c r="P2514" s="1350"/>
      <c r="Q2514" s="1350"/>
      <c r="R2514" s="1350"/>
      <c r="S2514" s="1350"/>
      <c r="T2514" s="1350"/>
      <c r="U2514" s="1350"/>
      <c r="V2514" s="1350"/>
      <c r="W2514" s="1350"/>
      <c r="X2514" s="1350"/>
      <c r="Y2514" s="1350"/>
      <c r="Z2514" s="1350"/>
      <c r="AA2514" s="1350"/>
      <c r="AB2514" s="1350"/>
      <c r="AC2514" s="1350"/>
      <c r="AD2514" s="1350"/>
      <c r="AE2514" s="1350"/>
      <c r="AF2514" s="1350"/>
      <c r="AG2514" s="1350"/>
      <c r="AH2514" s="1350"/>
      <c r="AI2514" s="1350"/>
      <c r="AJ2514" s="1350"/>
      <c r="AK2514" s="1350"/>
      <c r="AL2514" s="1350"/>
      <c r="AM2514" s="1350"/>
      <c r="AN2514" s="1350"/>
      <c r="AO2514" s="1350"/>
      <c r="AP2514" s="1350"/>
      <c r="AQ2514" s="1350"/>
      <c r="AR2514" s="1350"/>
      <c r="AS2514" s="1350"/>
      <c r="AT2514" s="1350"/>
      <c r="AU2514" s="1350"/>
      <c r="AV2514" s="1350"/>
      <c r="AW2514" s="1350"/>
      <c r="AX2514" s="1350"/>
      <c r="AY2514" s="1350"/>
      <c r="AZ2514" s="1350"/>
      <c r="BA2514" s="1070"/>
      <c r="BB2514" s="1070"/>
      <c r="BC2514" s="1070"/>
      <c r="BD2514" s="1070"/>
      <c r="BE2514" s="1070"/>
      <c r="BF2514" s="1070"/>
      <c r="BG2514" s="1070"/>
      <c r="BH2514" s="1070"/>
      <c r="BI2514" s="1070"/>
      <c r="BJ2514" s="1070"/>
      <c r="BK2514" s="1070"/>
      <c r="BL2514" s="1070"/>
      <c r="BM2514" s="1070"/>
      <c r="BN2514" s="1070"/>
      <c r="BO2514" s="1070"/>
      <c r="BP2514" s="1070"/>
      <c r="BQ2514" s="1070"/>
      <c r="BR2514" s="1070"/>
      <c r="BS2514" s="1070"/>
      <c r="BT2514" s="1070"/>
      <c r="BU2514" s="1070"/>
      <c r="BV2514" s="1070"/>
      <c r="BW2514" s="1070"/>
      <c r="BX2514" s="1070"/>
      <c r="BY2514" s="1070"/>
      <c r="BZ2514" s="1070"/>
      <c r="CA2514" s="1070"/>
      <c r="CB2514" s="1070"/>
      <c r="CC2514" s="1070"/>
      <c r="CD2514" s="1070"/>
      <c r="CE2514" s="1070"/>
      <c r="CF2514" s="1070"/>
      <c r="CG2514" s="1070"/>
      <c r="CH2514" s="1070"/>
      <c r="CI2514" s="1070"/>
      <c r="CJ2514" s="1070"/>
      <c r="CK2514" s="1070"/>
      <c r="CL2514" s="1070"/>
      <c r="CM2514" s="1070"/>
      <c r="CN2514" s="1070"/>
      <c r="CO2514" s="1070"/>
      <c r="CP2514" s="1070"/>
      <c r="CQ2514" s="1070"/>
      <c r="CR2514" s="1070"/>
      <c r="CS2514" s="1070"/>
      <c r="CT2514" s="1070"/>
      <c r="CU2514" s="1070"/>
      <c r="CV2514" s="1070"/>
      <c r="CW2514" s="1070"/>
      <c r="CX2514" s="1070"/>
      <c r="CY2514" s="1070"/>
      <c r="CZ2514" s="1070"/>
      <c r="DA2514" s="1070"/>
      <c r="DB2514" s="1070"/>
      <c r="DC2514" s="1070"/>
      <c r="DD2514" s="1070"/>
      <c r="DE2514" s="1070"/>
      <c r="DF2514" s="1070"/>
      <c r="DG2514" s="1070"/>
      <c r="DH2514" s="1070"/>
      <c r="DI2514" s="1070"/>
      <c r="DJ2514" s="1070"/>
    </row>
    <row r="2515" spans="1:114" s="1136" customFormat="1" ht="15.75" x14ac:dyDescent="0.25">
      <c r="A2515" s="1430" t="s">
        <v>425</v>
      </c>
      <c r="B2515" s="1424">
        <f>IF(B2516&lt;2.51,30.8,IF(B2516&lt;3.01,26.1,IF(B2516&lt;3.31,22.4,IF(B2516&lt;3.61,18.9,IF(B2516&lt;3.81,16.1,IF(B2516&lt;4.4,14,12.1))))))</f>
        <v>22.4</v>
      </c>
      <c r="C2515" s="1429"/>
      <c r="D2515" s="1437"/>
      <c r="E2515" s="1437"/>
      <c r="F2515" s="1437"/>
      <c r="G2515" s="1437"/>
      <c r="H2515" s="1350"/>
      <c r="I2515" s="1350"/>
      <c r="J2515" s="1350"/>
      <c r="K2515" s="1350"/>
      <c r="L2515" s="1350"/>
      <c r="M2515" s="1350"/>
      <c r="N2515" s="1350"/>
      <c r="O2515" s="1350"/>
      <c r="P2515" s="1350"/>
      <c r="Q2515" s="1350"/>
      <c r="R2515" s="1350"/>
      <c r="S2515" s="1350"/>
      <c r="T2515" s="1350"/>
      <c r="U2515" s="1350"/>
      <c r="V2515" s="1350"/>
      <c r="W2515" s="1350"/>
      <c r="X2515" s="1350"/>
      <c r="Y2515" s="1350"/>
      <c r="Z2515" s="1350"/>
      <c r="AA2515" s="1350"/>
      <c r="AB2515" s="1350"/>
      <c r="AC2515" s="1350"/>
      <c r="AD2515" s="1350"/>
      <c r="AE2515" s="1350"/>
      <c r="AF2515" s="1350"/>
      <c r="AG2515" s="1350"/>
      <c r="AH2515" s="1350"/>
      <c r="AI2515" s="1350"/>
      <c r="AJ2515" s="1350"/>
      <c r="AK2515" s="1350"/>
      <c r="AL2515" s="1350"/>
      <c r="AM2515" s="1350"/>
      <c r="AN2515" s="1350"/>
      <c r="AO2515" s="1350"/>
      <c r="AP2515" s="1350"/>
      <c r="AQ2515" s="1350"/>
      <c r="AR2515" s="1350"/>
      <c r="AS2515" s="1350"/>
      <c r="AT2515" s="1350"/>
      <c r="AU2515" s="1350"/>
      <c r="AV2515" s="1350"/>
      <c r="AW2515" s="1350"/>
      <c r="AX2515" s="1350"/>
      <c r="AY2515" s="1350"/>
      <c r="AZ2515" s="1350"/>
      <c r="BA2515" s="1070"/>
      <c r="BB2515" s="1070"/>
      <c r="BC2515" s="1070"/>
      <c r="BD2515" s="1070"/>
      <c r="BE2515" s="1070"/>
      <c r="BF2515" s="1070"/>
      <c r="BG2515" s="1070"/>
      <c r="BH2515" s="1070"/>
      <c r="BI2515" s="1070"/>
      <c r="BJ2515" s="1070"/>
      <c r="BK2515" s="1070"/>
      <c r="BL2515" s="1070"/>
      <c r="BM2515" s="1070"/>
      <c r="BN2515" s="1070"/>
      <c r="BO2515" s="1070"/>
      <c r="BP2515" s="1070"/>
      <c r="BQ2515" s="1070"/>
      <c r="BR2515" s="1070"/>
      <c r="BS2515" s="1070"/>
      <c r="BT2515" s="1070"/>
      <c r="BU2515" s="1070"/>
      <c r="BV2515" s="1070"/>
      <c r="BW2515" s="1070"/>
      <c r="BX2515" s="1070"/>
      <c r="BY2515" s="1070"/>
      <c r="BZ2515" s="1070"/>
      <c r="CA2515" s="1070"/>
      <c r="CB2515" s="1070"/>
      <c r="CC2515" s="1070"/>
      <c r="CD2515" s="1070"/>
      <c r="CE2515" s="1070"/>
      <c r="CF2515" s="1070"/>
      <c r="CG2515" s="1070"/>
      <c r="CH2515" s="1070"/>
      <c r="CI2515" s="1070"/>
      <c r="CJ2515" s="1070"/>
      <c r="CK2515" s="1070"/>
      <c r="CL2515" s="1070"/>
      <c r="CM2515" s="1070"/>
      <c r="CN2515" s="1070"/>
      <c r="CO2515" s="1070"/>
      <c r="CP2515" s="1070"/>
      <c r="CQ2515" s="1070"/>
      <c r="CR2515" s="1070"/>
      <c r="CS2515" s="1070"/>
      <c r="CT2515" s="1070"/>
      <c r="CU2515" s="1070"/>
      <c r="CV2515" s="1070"/>
      <c r="CW2515" s="1070"/>
      <c r="CX2515" s="1070"/>
      <c r="CY2515" s="1070"/>
      <c r="CZ2515" s="1070"/>
      <c r="DA2515" s="1070"/>
      <c r="DB2515" s="1070"/>
      <c r="DC2515" s="1070"/>
      <c r="DD2515" s="1070"/>
      <c r="DE2515" s="1070"/>
      <c r="DF2515" s="1070"/>
      <c r="DG2515" s="1070"/>
      <c r="DH2515" s="1070"/>
      <c r="DI2515" s="1070"/>
      <c r="DJ2515" s="1070"/>
    </row>
    <row r="2516" spans="1:114" s="1136" customFormat="1" ht="15.75" x14ac:dyDescent="0.25">
      <c r="A2516" s="1456" t="s">
        <v>536</v>
      </c>
      <c r="B2516" s="1457">
        <v>3.3</v>
      </c>
      <c r="C2516" s="1458"/>
      <c r="D2516" s="1432"/>
      <c r="E2516" s="1432"/>
      <c r="F2516" s="1432"/>
      <c r="G2516" s="1432"/>
      <c r="H2516" s="1350"/>
      <c r="I2516" s="1350"/>
      <c r="J2516" s="1350"/>
      <c r="K2516" s="1350"/>
      <c r="L2516" s="1350"/>
      <c r="M2516" s="1350"/>
      <c r="N2516" s="1350"/>
      <c r="O2516" s="1350"/>
      <c r="P2516" s="1350"/>
      <c r="Q2516" s="1350"/>
      <c r="R2516" s="1350"/>
      <c r="S2516" s="1350"/>
      <c r="T2516" s="1350"/>
      <c r="U2516" s="1350"/>
      <c r="V2516" s="1350"/>
      <c r="W2516" s="1350"/>
      <c r="X2516" s="1350"/>
      <c r="Y2516" s="1350"/>
      <c r="Z2516" s="1350"/>
      <c r="AA2516" s="1350"/>
      <c r="AB2516" s="1350"/>
      <c r="AC2516" s="1350"/>
      <c r="AD2516" s="1350"/>
      <c r="AE2516" s="1350"/>
      <c r="AF2516" s="1350"/>
      <c r="AG2516" s="1350"/>
      <c r="AH2516" s="1350"/>
      <c r="AI2516" s="1350"/>
      <c r="AJ2516" s="1350"/>
      <c r="AK2516" s="1350"/>
      <c r="AL2516" s="1350"/>
      <c r="AM2516" s="1350"/>
      <c r="AN2516" s="1350"/>
      <c r="AO2516" s="1350"/>
      <c r="AP2516" s="1350"/>
      <c r="AQ2516" s="1350"/>
      <c r="AR2516" s="1350"/>
      <c r="AS2516" s="1350"/>
      <c r="AT2516" s="1350"/>
      <c r="AU2516" s="1350"/>
      <c r="AV2516" s="1350"/>
      <c r="AW2516" s="1350"/>
      <c r="AX2516" s="1350"/>
      <c r="AY2516" s="1350"/>
      <c r="AZ2516" s="1350"/>
      <c r="BA2516" s="1070"/>
      <c r="BB2516" s="1070"/>
      <c r="BC2516" s="1070"/>
      <c r="BD2516" s="1070"/>
      <c r="BE2516" s="1070"/>
      <c r="BF2516" s="1070"/>
      <c r="BG2516" s="1070"/>
      <c r="BH2516" s="1070"/>
      <c r="BI2516" s="1070"/>
      <c r="BJ2516" s="1070"/>
      <c r="BK2516" s="1070"/>
      <c r="BL2516" s="1070"/>
      <c r="BM2516" s="1070"/>
      <c r="BN2516" s="1070"/>
      <c r="BO2516" s="1070"/>
      <c r="BP2516" s="1070"/>
      <c r="BQ2516" s="1070"/>
      <c r="BR2516" s="1070"/>
      <c r="BS2516" s="1070"/>
      <c r="BT2516" s="1070"/>
      <c r="BU2516" s="1070"/>
      <c r="BV2516" s="1070"/>
      <c r="BW2516" s="1070"/>
      <c r="BX2516" s="1070"/>
      <c r="BY2516" s="1070"/>
      <c r="BZ2516" s="1070"/>
      <c r="CA2516" s="1070"/>
      <c r="CB2516" s="1070"/>
      <c r="CC2516" s="1070"/>
      <c r="CD2516" s="1070"/>
      <c r="CE2516" s="1070"/>
      <c r="CF2516" s="1070"/>
      <c r="CG2516" s="1070"/>
      <c r="CH2516" s="1070"/>
      <c r="CI2516" s="1070"/>
      <c r="CJ2516" s="1070"/>
      <c r="CK2516" s="1070"/>
      <c r="CL2516" s="1070"/>
      <c r="CM2516" s="1070"/>
      <c r="CN2516" s="1070"/>
      <c r="CO2516" s="1070"/>
      <c r="CP2516" s="1070"/>
      <c r="CQ2516" s="1070"/>
      <c r="CR2516" s="1070"/>
      <c r="CS2516" s="1070"/>
      <c r="CT2516" s="1070"/>
      <c r="CU2516" s="1070"/>
      <c r="CV2516" s="1070"/>
      <c r="CW2516" s="1070"/>
      <c r="CX2516" s="1070"/>
      <c r="CY2516" s="1070"/>
      <c r="CZ2516" s="1070"/>
      <c r="DA2516" s="1070"/>
      <c r="DB2516" s="1070"/>
      <c r="DC2516" s="1070"/>
      <c r="DD2516" s="1070"/>
      <c r="DE2516" s="1070"/>
      <c r="DF2516" s="1070"/>
      <c r="DG2516" s="1070"/>
      <c r="DH2516" s="1070"/>
      <c r="DI2516" s="1070"/>
      <c r="DJ2516" s="1070"/>
    </row>
    <row r="2517" spans="1:114" s="1136" customFormat="1" ht="15.75" x14ac:dyDescent="0.25">
      <c r="A2517" s="1420" t="s">
        <v>3412</v>
      </c>
      <c r="B2517" s="1433" t="e">
        <f>B2515*B2383</f>
        <v>#VALUE!</v>
      </c>
      <c r="C2517" s="1437"/>
      <c r="D2517" s="1432"/>
      <c r="E2517" s="1432"/>
      <c r="F2517" s="1432"/>
      <c r="G2517" s="1432"/>
      <c r="H2517" s="1350"/>
      <c r="I2517" s="1350"/>
      <c r="J2517" s="1350"/>
      <c r="K2517" s="1350"/>
      <c r="L2517" s="1350"/>
      <c r="M2517" s="1350"/>
      <c r="N2517" s="1350"/>
      <c r="O2517" s="1350"/>
      <c r="P2517" s="1350"/>
      <c r="Q2517" s="1350"/>
      <c r="R2517" s="1350"/>
      <c r="S2517" s="1350"/>
      <c r="T2517" s="1350"/>
      <c r="U2517" s="1350"/>
      <c r="V2517" s="1350"/>
      <c r="W2517" s="1350"/>
      <c r="X2517" s="1350"/>
      <c r="Y2517" s="1350"/>
      <c r="Z2517" s="1350"/>
      <c r="AA2517" s="1350"/>
      <c r="AB2517" s="1350"/>
      <c r="AC2517" s="1350"/>
      <c r="AD2517" s="1350"/>
      <c r="AE2517" s="1350"/>
      <c r="AF2517" s="1350"/>
      <c r="AG2517" s="1350"/>
      <c r="AH2517" s="1350"/>
      <c r="AI2517" s="1350"/>
      <c r="AJ2517" s="1350"/>
      <c r="AK2517" s="1350"/>
      <c r="AL2517" s="1350"/>
      <c r="AM2517" s="1350"/>
      <c r="AN2517" s="1350"/>
      <c r="AO2517" s="1350"/>
      <c r="AP2517" s="1350"/>
      <c r="AQ2517" s="1350"/>
      <c r="AR2517" s="1350"/>
      <c r="AS2517" s="1350"/>
      <c r="AT2517" s="1350"/>
      <c r="AU2517" s="1350"/>
      <c r="AV2517" s="1350"/>
      <c r="AW2517" s="1350"/>
      <c r="AX2517" s="1350"/>
      <c r="AY2517" s="1350"/>
      <c r="AZ2517" s="1350"/>
      <c r="BA2517" s="1070"/>
      <c r="BB2517" s="1070"/>
      <c r="BC2517" s="1070"/>
      <c r="BD2517" s="1070"/>
      <c r="BE2517" s="1070"/>
      <c r="BF2517" s="1070"/>
      <c r="BG2517" s="1070"/>
      <c r="BH2517" s="1070"/>
      <c r="BI2517" s="1070"/>
      <c r="BJ2517" s="1070"/>
      <c r="BK2517" s="1070"/>
      <c r="BL2517" s="1070"/>
      <c r="BM2517" s="1070"/>
      <c r="BN2517" s="1070"/>
      <c r="BO2517" s="1070"/>
      <c r="BP2517" s="1070"/>
      <c r="BQ2517" s="1070"/>
      <c r="BR2517" s="1070"/>
      <c r="BS2517" s="1070"/>
      <c r="BT2517" s="1070"/>
      <c r="BU2517" s="1070"/>
      <c r="BV2517" s="1070"/>
      <c r="BW2517" s="1070"/>
      <c r="BX2517" s="1070"/>
      <c r="BY2517" s="1070"/>
      <c r="BZ2517" s="1070"/>
      <c r="CA2517" s="1070"/>
      <c r="CB2517" s="1070"/>
      <c r="CC2517" s="1070"/>
      <c r="CD2517" s="1070"/>
      <c r="CE2517" s="1070"/>
      <c r="CF2517" s="1070"/>
      <c r="CG2517" s="1070"/>
      <c r="CH2517" s="1070"/>
      <c r="CI2517" s="1070"/>
      <c r="CJ2517" s="1070"/>
      <c r="CK2517" s="1070"/>
      <c r="CL2517" s="1070"/>
      <c r="CM2517" s="1070"/>
      <c r="CN2517" s="1070"/>
      <c r="CO2517" s="1070"/>
      <c r="CP2517" s="1070"/>
      <c r="CQ2517" s="1070"/>
      <c r="CR2517" s="1070"/>
      <c r="CS2517" s="1070"/>
      <c r="CT2517" s="1070"/>
      <c r="CU2517" s="1070"/>
      <c r="CV2517" s="1070"/>
      <c r="CW2517" s="1070"/>
      <c r="CX2517" s="1070"/>
      <c r="CY2517" s="1070"/>
      <c r="CZ2517" s="1070"/>
      <c r="DA2517" s="1070"/>
      <c r="DB2517" s="1070"/>
      <c r="DC2517" s="1070"/>
      <c r="DD2517" s="1070"/>
      <c r="DE2517" s="1070"/>
      <c r="DF2517" s="1070"/>
      <c r="DG2517" s="1070"/>
      <c r="DH2517" s="1070"/>
      <c r="DI2517" s="1070"/>
      <c r="DJ2517" s="1070"/>
    </row>
    <row r="2518" spans="1:114" s="1136" customFormat="1" ht="15.75" x14ac:dyDescent="0.25">
      <c r="A2518" s="1452" t="s">
        <v>429</v>
      </c>
      <c r="B2518" s="1459" t="e">
        <f>B2514/B2517</f>
        <v>#VALUE!</v>
      </c>
      <c r="C2518" s="1454"/>
      <c r="D2518" s="1454"/>
      <c r="E2518" s="1454"/>
      <c r="F2518" s="1454"/>
      <c r="G2518" s="1454"/>
      <c r="H2518" s="1350"/>
      <c r="I2518" s="1350"/>
      <c r="J2518" s="1350"/>
      <c r="K2518" s="1350"/>
      <c r="L2518" s="1350"/>
      <c r="M2518" s="1350"/>
      <c r="N2518" s="1350"/>
      <c r="O2518" s="1350"/>
      <c r="P2518" s="1350"/>
      <c r="Q2518" s="1350"/>
      <c r="R2518" s="1350"/>
      <c r="S2518" s="1350"/>
      <c r="T2518" s="1350"/>
      <c r="U2518" s="1350"/>
      <c r="V2518" s="1350"/>
      <c r="W2518" s="1350"/>
      <c r="X2518" s="1350"/>
      <c r="Y2518" s="1350"/>
      <c r="Z2518" s="1350"/>
      <c r="AA2518" s="1350"/>
      <c r="AB2518" s="1350"/>
      <c r="AC2518" s="1350"/>
      <c r="AD2518" s="1350"/>
      <c r="AE2518" s="1350"/>
      <c r="AF2518" s="1350"/>
      <c r="AG2518" s="1350"/>
      <c r="AH2518" s="1350"/>
      <c r="AI2518" s="1350"/>
      <c r="AJ2518" s="1350"/>
      <c r="AK2518" s="1350"/>
      <c r="AL2518" s="1350"/>
      <c r="AM2518" s="1350"/>
      <c r="AN2518" s="1350"/>
      <c r="AO2518" s="1350"/>
      <c r="AP2518" s="1350"/>
      <c r="AQ2518" s="1350"/>
      <c r="AR2518" s="1350"/>
      <c r="AS2518" s="1350"/>
      <c r="AT2518" s="1350"/>
      <c r="AU2518" s="1350"/>
      <c r="AV2518" s="1350"/>
      <c r="AW2518" s="1350"/>
      <c r="AX2518" s="1350"/>
      <c r="AY2518" s="1350"/>
      <c r="AZ2518" s="1350"/>
      <c r="BA2518" s="1070"/>
      <c r="BB2518" s="1070"/>
      <c r="BC2518" s="1070"/>
      <c r="BD2518" s="1070"/>
      <c r="BE2518" s="1070"/>
      <c r="BF2518" s="1070"/>
      <c r="BG2518" s="1070"/>
      <c r="BH2518" s="1070"/>
      <c r="BI2518" s="1070"/>
      <c r="BJ2518" s="1070"/>
      <c r="BK2518" s="1070"/>
      <c r="BL2518" s="1070"/>
      <c r="BM2518" s="1070"/>
      <c r="BN2518" s="1070"/>
      <c r="BO2518" s="1070"/>
      <c r="BP2518" s="1070"/>
      <c r="BQ2518" s="1070"/>
      <c r="BR2518" s="1070"/>
      <c r="BS2518" s="1070"/>
      <c r="BT2518" s="1070"/>
      <c r="BU2518" s="1070"/>
      <c r="BV2518" s="1070"/>
      <c r="BW2518" s="1070"/>
      <c r="BX2518" s="1070"/>
      <c r="BY2518" s="1070"/>
      <c r="BZ2518" s="1070"/>
      <c r="CA2518" s="1070"/>
      <c r="CB2518" s="1070"/>
      <c r="CC2518" s="1070"/>
      <c r="CD2518" s="1070"/>
      <c r="CE2518" s="1070"/>
      <c r="CF2518" s="1070"/>
      <c r="CG2518" s="1070"/>
      <c r="CH2518" s="1070"/>
      <c r="CI2518" s="1070"/>
      <c r="CJ2518" s="1070"/>
      <c r="CK2518" s="1070"/>
      <c r="CL2518" s="1070"/>
      <c r="CM2518" s="1070"/>
      <c r="CN2518" s="1070"/>
      <c r="CO2518" s="1070"/>
      <c r="CP2518" s="1070"/>
      <c r="CQ2518" s="1070"/>
      <c r="CR2518" s="1070"/>
      <c r="CS2518" s="1070"/>
      <c r="CT2518" s="1070"/>
      <c r="CU2518" s="1070"/>
      <c r="CV2518" s="1070"/>
      <c r="CW2518" s="1070"/>
      <c r="CX2518" s="1070"/>
      <c r="CY2518" s="1070"/>
      <c r="CZ2518" s="1070"/>
      <c r="DA2518" s="1070"/>
      <c r="DB2518" s="1070"/>
      <c r="DC2518" s="1070"/>
      <c r="DD2518" s="1070"/>
      <c r="DE2518" s="1070"/>
      <c r="DF2518" s="1070"/>
      <c r="DG2518" s="1070"/>
      <c r="DH2518" s="1070"/>
      <c r="DI2518" s="1070"/>
      <c r="DJ2518" s="1070"/>
    </row>
    <row r="2519" spans="1:114" s="1136" customFormat="1" ht="15.75" x14ac:dyDescent="0.25">
      <c r="A2519" s="1460"/>
      <c r="B2519" s="1439"/>
      <c r="C2519" s="1432"/>
      <c r="D2519" s="1350"/>
      <c r="E2519" s="1350"/>
      <c r="F2519" s="1350"/>
      <c r="G2519" s="1350"/>
      <c r="H2519" s="1350"/>
      <c r="I2519" s="1350"/>
      <c r="J2519" s="1350"/>
      <c r="K2519" s="1350"/>
      <c r="L2519" s="1350"/>
      <c r="M2519" s="1350"/>
      <c r="N2519" s="1350"/>
      <c r="O2519" s="1350"/>
      <c r="P2519" s="1350"/>
      <c r="Q2519" s="1350"/>
      <c r="R2519" s="1350"/>
      <c r="S2519" s="1350"/>
      <c r="T2519" s="1350"/>
      <c r="U2519" s="1350"/>
      <c r="V2519" s="1350"/>
      <c r="W2519" s="1350"/>
      <c r="X2519" s="1350"/>
      <c r="Y2519" s="1350"/>
      <c r="Z2519" s="1350"/>
      <c r="AA2519" s="1350"/>
      <c r="AB2519" s="1350"/>
      <c r="AC2519" s="1350"/>
      <c r="AD2519" s="1350"/>
      <c r="AE2519" s="1350"/>
      <c r="AF2519" s="1350"/>
      <c r="AG2519" s="1350"/>
      <c r="AH2519" s="1350"/>
      <c r="AI2519" s="1350"/>
      <c r="AJ2519" s="1350"/>
      <c r="AK2519" s="1350"/>
      <c r="AL2519" s="1350"/>
      <c r="AM2519" s="1350"/>
      <c r="AN2519" s="1350"/>
      <c r="AO2519" s="1350"/>
      <c r="AP2519" s="1350"/>
      <c r="AQ2519" s="1350"/>
      <c r="AR2519" s="1350"/>
      <c r="AS2519" s="1350"/>
      <c r="AT2519" s="1350"/>
      <c r="AU2519" s="1350"/>
      <c r="AV2519" s="1350"/>
      <c r="AW2519" s="1350"/>
      <c r="AX2519" s="1350"/>
      <c r="AY2519" s="1350"/>
      <c r="AZ2519" s="1350"/>
      <c r="BA2519" s="1070"/>
      <c r="BB2519" s="1070"/>
      <c r="BC2519" s="1070"/>
      <c r="BD2519" s="1070"/>
      <c r="BE2519" s="1070"/>
      <c r="BF2519" s="1070"/>
      <c r="BG2519" s="1070"/>
      <c r="BH2519" s="1070"/>
      <c r="BI2519" s="1070"/>
      <c r="BJ2519" s="1070"/>
      <c r="BK2519" s="1070"/>
      <c r="BL2519" s="1070"/>
      <c r="BM2519" s="1070"/>
      <c r="BN2519" s="1070"/>
      <c r="BO2519" s="1070"/>
      <c r="BP2519" s="1070"/>
      <c r="BQ2519" s="1070"/>
      <c r="BR2519" s="1070"/>
      <c r="BS2519" s="1070"/>
      <c r="BT2519" s="1070"/>
      <c r="BU2519" s="1070"/>
      <c r="BV2519" s="1070"/>
      <c r="BW2519" s="1070"/>
      <c r="BX2519" s="1070"/>
      <c r="BY2519" s="1070"/>
      <c r="BZ2519" s="1070"/>
      <c r="CA2519" s="1070"/>
      <c r="CB2519" s="1070"/>
      <c r="CC2519" s="1070"/>
      <c r="CD2519" s="1070"/>
      <c r="CE2519" s="1070"/>
      <c r="CF2519" s="1070"/>
      <c r="CG2519" s="1070"/>
      <c r="CH2519" s="1070"/>
      <c r="CI2519" s="1070"/>
      <c r="CJ2519" s="1070"/>
      <c r="CK2519" s="1070"/>
      <c r="CL2519" s="1070"/>
      <c r="CM2519" s="1070"/>
      <c r="CN2519" s="1070"/>
      <c r="CO2519" s="1070"/>
      <c r="CP2519" s="1070"/>
      <c r="CQ2519" s="1070"/>
      <c r="CR2519" s="1070"/>
      <c r="CS2519" s="1070"/>
      <c r="CT2519" s="1070"/>
      <c r="CU2519" s="1070"/>
      <c r="CV2519" s="1070"/>
      <c r="CW2519" s="1070"/>
      <c r="CX2519" s="1070"/>
      <c r="CY2519" s="1070"/>
      <c r="CZ2519" s="1070"/>
      <c r="DA2519" s="1070"/>
      <c r="DB2519" s="1070"/>
      <c r="DC2519" s="1070"/>
      <c r="DD2519" s="1070"/>
      <c r="DE2519" s="1070"/>
      <c r="DF2519" s="1070"/>
      <c r="DG2519" s="1070"/>
      <c r="DH2519" s="1070"/>
      <c r="DI2519" s="1070"/>
      <c r="DJ2519" s="1070"/>
    </row>
    <row r="2520" spans="1:114" s="1136" customFormat="1" ht="15.75" x14ac:dyDescent="0.25">
      <c r="A2520" s="1461" t="s">
        <v>2994</v>
      </c>
      <c r="B2520" s="1439"/>
      <c r="C2520" s="1432"/>
      <c r="D2520" s="1350"/>
      <c r="E2520" s="1350"/>
      <c r="F2520" s="1350"/>
      <c r="G2520" s="1350"/>
      <c r="H2520" s="1350"/>
      <c r="I2520" s="1350"/>
      <c r="J2520" s="1350"/>
      <c r="K2520" s="1350"/>
      <c r="L2520" s="1350"/>
      <c r="M2520" s="1350"/>
      <c r="N2520" s="1350"/>
      <c r="O2520" s="1350"/>
      <c r="P2520" s="1350"/>
      <c r="Q2520" s="1350"/>
      <c r="R2520" s="1350"/>
      <c r="S2520" s="1350"/>
      <c r="T2520" s="1350"/>
      <c r="U2520" s="1350"/>
      <c r="V2520" s="1350"/>
      <c r="W2520" s="1350"/>
      <c r="X2520" s="1350"/>
      <c r="Y2520" s="1350"/>
      <c r="Z2520" s="1350"/>
      <c r="AA2520" s="1350"/>
      <c r="AB2520" s="1350"/>
      <c r="AC2520" s="1350"/>
      <c r="AD2520" s="1350"/>
      <c r="AE2520" s="1350"/>
      <c r="AF2520" s="1350"/>
      <c r="AG2520" s="1350"/>
      <c r="AH2520" s="1350"/>
      <c r="AI2520" s="1350"/>
      <c r="AJ2520" s="1350"/>
      <c r="AK2520" s="1350"/>
      <c r="AL2520" s="1350"/>
      <c r="AM2520" s="1350"/>
      <c r="AN2520" s="1350"/>
      <c r="AO2520" s="1350"/>
      <c r="AP2520" s="1350"/>
      <c r="AQ2520" s="1350"/>
      <c r="AR2520" s="1350"/>
      <c r="AS2520" s="1350"/>
      <c r="AT2520" s="1350"/>
      <c r="AU2520" s="1350"/>
      <c r="AV2520" s="1350"/>
      <c r="AW2520" s="1350"/>
      <c r="AX2520" s="1350"/>
      <c r="AY2520" s="1350"/>
      <c r="AZ2520" s="1350"/>
      <c r="BA2520" s="1070"/>
      <c r="BB2520" s="1070"/>
      <c r="BC2520" s="1070"/>
      <c r="BD2520" s="1070"/>
      <c r="BE2520" s="1070"/>
      <c r="BF2520" s="1070"/>
      <c r="BG2520" s="1070"/>
      <c r="BH2520" s="1070"/>
      <c r="BI2520" s="1070"/>
      <c r="BJ2520" s="1070"/>
      <c r="BK2520" s="1070"/>
      <c r="BL2520" s="1070"/>
      <c r="BM2520" s="1070"/>
      <c r="BN2520" s="1070"/>
      <c r="BO2520" s="1070"/>
      <c r="BP2520" s="1070"/>
      <c r="BQ2520" s="1070"/>
      <c r="BR2520" s="1070"/>
      <c r="BS2520" s="1070"/>
      <c r="BT2520" s="1070"/>
      <c r="BU2520" s="1070"/>
      <c r="BV2520" s="1070"/>
      <c r="BW2520" s="1070"/>
      <c r="BX2520" s="1070"/>
      <c r="BY2520" s="1070"/>
      <c r="BZ2520" s="1070"/>
      <c r="CA2520" s="1070"/>
      <c r="CB2520" s="1070"/>
      <c r="CC2520" s="1070"/>
      <c r="CD2520" s="1070"/>
      <c r="CE2520" s="1070"/>
      <c r="CF2520" s="1070"/>
      <c r="CG2520" s="1070"/>
      <c r="CH2520" s="1070"/>
      <c r="CI2520" s="1070"/>
      <c r="CJ2520" s="1070"/>
      <c r="CK2520" s="1070"/>
      <c r="CL2520" s="1070"/>
      <c r="CM2520" s="1070"/>
      <c r="CN2520" s="1070"/>
      <c r="CO2520" s="1070"/>
      <c r="CP2520" s="1070"/>
      <c r="CQ2520" s="1070"/>
      <c r="CR2520" s="1070"/>
      <c r="CS2520" s="1070"/>
      <c r="CT2520" s="1070"/>
      <c r="CU2520" s="1070"/>
      <c r="CV2520" s="1070"/>
      <c r="CW2520" s="1070"/>
      <c r="CX2520" s="1070"/>
      <c r="CY2520" s="1070"/>
      <c r="CZ2520" s="1070"/>
      <c r="DA2520" s="1070"/>
      <c r="DB2520" s="1070"/>
      <c r="DC2520" s="1070"/>
      <c r="DD2520" s="1070"/>
      <c r="DE2520" s="1070"/>
      <c r="DF2520" s="1070"/>
      <c r="DG2520" s="1070"/>
      <c r="DH2520" s="1070"/>
      <c r="DI2520" s="1070"/>
      <c r="DJ2520" s="1070"/>
    </row>
    <row r="2521" spans="1:114" s="1136" customFormat="1" ht="15.75" x14ac:dyDescent="0.25">
      <c r="A2521" s="1430" t="s">
        <v>2995</v>
      </c>
      <c r="B2521" s="1439" t="e">
        <f>B240*B259*B245*B247*B179</f>
        <v>#VALUE!</v>
      </c>
      <c r="C2521" s="1432"/>
      <c r="D2521" s="1432"/>
      <c r="E2521" s="1432"/>
      <c r="F2521" s="1432"/>
      <c r="G2521" s="1432"/>
      <c r="H2521" s="1350"/>
      <c r="I2521" s="1350"/>
      <c r="J2521" s="1350"/>
      <c r="K2521" s="1350"/>
      <c r="L2521" s="1350"/>
      <c r="M2521" s="1350"/>
      <c r="N2521" s="1350"/>
      <c r="O2521" s="1350"/>
      <c r="P2521" s="1350"/>
      <c r="Q2521" s="1350"/>
      <c r="R2521" s="1350"/>
      <c r="S2521" s="1350"/>
      <c r="T2521" s="1350"/>
      <c r="U2521" s="1350"/>
      <c r="V2521" s="1350"/>
      <c r="W2521" s="1350"/>
      <c r="X2521" s="1350"/>
      <c r="Y2521" s="1350"/>
      <c r="Z2521" s="1350"/>
      <c r="AA2521" s="1350"/>
      <c r="AB2521" s="1350"/>
      <c r="AC2521" s="1350"/>
      <c r="AD2521" s="1350"/>
      <c r="AE2521" s="1350"/>
      <c r="AF2521" s="1350"/>
      <c r="AG2521" s="1350"/>
      <c r="AH2521" s="1350"/>
      <c r="AI2521" s="1350"/>
      <c r="AJ2521" s="1350"/>
      <c r="AK2521" s="1350"/>
      <c r="AL2521" s="1350"/>
      <c r="AM2521" s="1350"/>
      <c r="AN2521" s="1350"/>
      <c r="AO2521" s="1350"/>
      <c r="AP2521" s="1350"/>
      <c r="AQ2521" s="1350"/>
      <c r="AR2521" s="1350"/>
      <c r="AS2521" s="1350"/>
      <c r="AT2521" s="1350"/>
      <c r="AU2521" s="1350"/>
      <c r="AV2521" s="1350"/>
      <c r="AW2521" s="1350"/>
      <c r="AX2521" s="1350"/>
      <c r="AY2521" s="1350"/>
      <c r="AZ2521" s="1350"/>
      <c r="BA2521" s="1070"/>
      <c r="BB2521" s="1070"/>
      <c r="BC2521" s="1070"/>
      <c r="BD2521" s="1070"/>
      <c r="BE2521" s="1070"/>
      <c r="BF2521" s="1070"/>
      <c r="BG2521" s="1070"/>
      <c r="BH2521" s="1070"/>
      <c r="BI2521" s="1070"/>
      <c r="BJ2521" s="1070"/>
      <c r="BK2521" s="1070"/>
      <c r="BL2521" s="1070"/>
      <c r="BM2521" s="1070"/>
      <c r="BN2521" s="1070"/>
      <c r="BO2521" s="1070"/>
      <c r="BP2521" s="1070"/>
      <c r="BQ2521" s="1070"/>
      <c r="BR2521" s="1070"/>
      <c r="BS2521" s="1070"/>
      <c r="BT2521" s="1070"/>
      <c r="BU2521" s="1070"/>
      <c r="BV2521" s="1070"/>
      <c r="BW2521" s="1070"/>
      <c r="BX2521" s="1070"/>
      <c r="BY2521" s="1070"/>
      <c r="BZ2521" s="1070"/>
      <c r="CA2521" s="1070"/>
      <c r="CB2521" s="1070"/>
      <c r="CC2521" s="1070"/>
      <c r="CD2521" s="1070"/>
      <c r="CE2521" s="1070"/>
      <c r="CF2521" s="1070"/>
      <c r="CG2521" s="1070"/>
      <c r="CH2521" s="1070"/>
      <c r="CI2521" s="1070"/>
      <c r="CJ2521" s="1070"/>
      <c r="CK2521" s="1070"/>
      <c r="CL2521" s="1070"/>
      <c r="CM2521" s="1070"/>
      <c r="CN2521" s="1070"/>
      <c r="CO2521" s="1070"/>
      <c r="CP2521" s="1070"/>
      <c r="CQ2521" s="1070"/>
      <c r="CR2521" s="1070"/>
      <c r="CS2521" s="1070"/>
      <c r="CT2521" s="1070"/>
      <c r="CU2521" s="1070"/>
      <c r="CV2521" s="1070"/>
      <c r="CW2521" s="1070"/>
      <c r="CX2521" s="1070"/>
      <c r="CY2521" s="1070"/>
      <c r="CZ2521" s="1070"/>
      <c r="DA2521" s="1070"/>
      <c r="DB2521" s="1070"/>
      <c r="DC2521" s="1070"/>
      <c r="DD2521" s="1070"/>
      <c r="DE2521" s="1070"/>
      <c r="DF2521" s="1070"/>
      <c r="DG2521" s="1070"/>
      <c r="DH2521" s="1070"/>
      <c r="DI2521" s="1070"/>
      <c r="DJ2521" s="1070"/>
    </row>
    <row r="2522" spans="1:114" s="1136" customFormat="1" ht="15.75" x14ac:dyDescent="0.25">
      <c r="A2522" s="1430" t="s">
        <v>425</v>
      </c>
      <c r="B2522" s="1439">
        <f>INDEX($I$3487:$Q$3490,B2523,B2524)</f>
        <v>11.83</v>
      </c>
      <c r="C2522" s="1432"/>
      <c r="D2522" s="1429"/>
      <c r="E2522" s="1429"/>
      <c r="F2522" s="1429"/>
      <c r="G2522" s="1429"/>
      <c r="H2522" s="1350"/>
      <c r="I2522" s="1350"/>
      <c r="J2522" s="1350"/>
      <c r="K2522" s="1350"/>
      <c r="L2522" s="1350"/>
      <c r="M2522" s="1350"/>
      <c r="N2522" s="1350"/>
      <c r="O2522" s="1350"/>
      <c r="P2522" s="1350"/>
      <c r="Q2522" s="1350"/>
      <c r="R2522" s="1350"/>
      <c r="S2522" s="1350"/>
      <c r="T2522" s="1350"/>
      <c r="U2522" s="1350"/>
      <c r="V2522" s="1350"/>
      <c r="W2522" s="1350"/>
      <c r="X2522" s="1350"/>
      <c r="Y2522" s="1350"/>
      <c r="Z2522" s="1350"/>
      <c r="AA2522" s="1350"/>
      <c r="AB2522" s="1350"/>
      <c r="AC2522" s="1350"/>
      <c r="AD2522" s="1350"/>
      <c r="AE2522" s="1350"/>
      <c r="AF2522" s="1350"/>
      <c r="AG2522" s="1350"/>
      <c r="AH2522" s="1350"/>
      <c r="AI2522" s="1350"/>
      <c r="AJ2522" s="1350"/>
      <c r="AK2522" s="1350"/>
      <c r="AL2522" s="1350"/>
      <c r="AM2522" s="1350"/>
      <c r="AN2522" s="1350"/>
      <c r="AO2522" s="1350"/>
      <c r="AP2522" s="1350"/>
      <c r="AQ2522" s="1350"/>
      <c r="AR2522" s="1350"/>
      <c r="AS2522" s="1350"/>
      <c r="AT2522" s="1350"/>
      <c r="AU2522" s="1350"/>
      <c r="AV2522" s="1350"/>
      <c r="AW2522" s="1350"/>
      <c r="AX2522" s="1350"/>
      <c r="AY2522" s="1350"/>
      <c r="AZ2522" s="1350"/>
      <c r="BA2522" s="1070"/>
      <c r="BB2522" s="1070"/>
      <c r="BC2522" s="1070"/>
      <c r="BD2522" s="1070"/>
      <c r="BE2522" s="1070"/>
      <c r="BF2522" s="1070"/>
      <c r="BG2522" s="1070"/>
      <c r="BH2522" s="1070"/>
      <c r="BI2522" s="1070"/>
      <c r="BJ2522" s="1070"/>
      <c r="BK2522" s="1070"/>
      <c r="BL2522" s="1070"/>
      <c r="BM2522" s="1070"/>
      <c r="BN2522" s="1070"/>
      <c r="BO2522" s="1070"/>
      <c r="BP2522" s="1070"/>
      <c r="BQ2522" s="1070"/>
      <c r="BR2522" s="1070"/>
      <c r="BS2522" s="1070"/>
      <c r="BT2522" s="1070"/>
      <c r="BU2522" s="1070"/>
      <c r="BV2522" s="1070"/>
      <c r="BW2522" s="1070"/>
      <c r="BX2522" s="1070"/>
      <c r="BY2522" s="1070"/>
      <c r="BZ2522" s="1070"/>
      <c r="CA2522" s="1070"/>
      <c r="CB2522" s="1070"/>
      <c r="CC2522" s="1070"/>
      <c r="CD2522" s="1070"/>
      <c r="CE2522" s="1070"/>
      <c r="CF2522" s="1070"/>
      <c r="CG2522" s="1070"/>
      <c r="CH2522" s="1070"/>
      <c r="CI2522" s="1070"/>
      <c r="CJ2522" s="1070"/>
      <c r="CK2522" s="1070"/>
      <c r="CL2522" s="1070"/>
      <c r="CM2522" s="1070"/>
      <c r="CN2522" s="1070"/>
      <c r="CO2522" s="1070"/>
      <c r="CP2522" s="1070"/>
      <c r="CQ2522" s="1070"/>
      <c r="CR2522" s="1070"/>
      <c r="CS2522" s="1070"/>
      <c r="CT2522" s="1070"/>
      <c r="CU2522" s="1070"/>
      <c r="CV2522" s="1070"/>
      <c r="CW2522" s="1070"/>
      <c r="CX2522" s="1070"/>
      <c r="CY2522" s="1070"/>
      <c r="CZ2522" s="1070"/>
      <c r="DA2522" s="1070"/>
      <c r="DB2522" s="1070"/>
      <c r="DC2522" s="1070"/>
      <c r="DD2522" s="1070"/>
      <c r="DE2522" s="1070"/>
      <c r="DF2522" s="1070"/>
      <c r="DG2522" s="1070"/>
      <c r="DH2522" s="1070"/>
      <c r="DI2522" s="1070"/>
      <c r="DJ2522" s="1070"/>
    </row>
    <row r="2523" spans="1:114" s="1136" customFormat="1" ht="15.75" x14ac:dyDescent="0.25">
      <c r="A2523" s="1430" t="s">
        <v>2997</v>
      </c>
      <c r="B2523" s="1441">
        <f>IF(B240&lt;0.91,1,IF(B240&lt;0.126,2,IF(B240&lt;1.6,3,4)))</f>
        <v>4</v>
      </c>
      <c r="C2523" s="1434"/>
      <c r="D2523" s="1458"/>
      <c r="E2523" s="1458"/>
      <c r="F2523" s="1458"/>
      <c r="G2523" s="1458"/>
      <c r="H2523" s="1350"/>
      <c r="I2523" s="1350"/>
      <c r="J2523" s="1350"/>
      <c r="K2523" s="1350"/>
      <c r="L2523" s="1350"/>
      <c r="M2523" s="1350"/>
      <c r="N2523" s="1350"/>
      <c r="O2523" s="1350"/>
      <c r="P2523" s="1350"/>
      <c r="Q2523" s="1350"/>
      <c r="R2523" s="1350"/>
      <c r="S2523" s="1350"/>
      <c r="T2523" s="1350"/>
      <c r="U2523" s="1350"/>
      <c r="V2523" s="1350"/>
      <c r="W2523" s="1350"/>
      <c r="X2523" s="1350"/>
      <c r="Y2523" s="1350"/>
      <c r="Z2523" s="1350"/>
      <c r="AA2523" s="1350"/>
      <c r="AB2523" s="1350"/>
      <c r="AC2523" s="1350"/>
      <c r="AD2523" s="1350"/>
      <c r="AE2523" s="1350"/>
      <c r="AF2523" s="1350"/>
      <c r="AG2523" s="1350"/>
      <c r="AH2523" s="1350"/>
      <c r="AI2523" s="1350"/>
      <c r="AJ2523" s="1350"/>
      <c r="AK2523" s="1350"/>
      <c r="AL2523" s="1350"/>
      <c r="AM2523" s="1350"/>
      <c r="AN2523" s="1350"/>
      <c r="AO2523" s="1350"/>
      <c r="AP2523" s="1350"/>
      <c r="AQ2523" s="1350"/>
      <c r="AR2523" s="1350"/>
      <c r="AS2523" s="1350"/>
      <c r="AT2523" s="1350"/>
      <c r="AU2523" s="1350"/>
      <c r="AV2523" s="1350"/>
      <c r="AW2523" s="1350"/>
      <c r="AX2523" s="1350"/>
      <c r="AY2523" s="1350"/>
      <c r="AZ2523" s="1350"/>
      <c r="BA2523" s="1070"/>
      <c r="BB2523" s="1070"/>
      <c r="BC2523" s="1070"/>
      <c r="BD2523" s="1070"/>
      <c r="BE2523" s="1070"/>
      <c r="BF2523" s="1070"/>
      <c r="BG2523" s="1070"/>
      <c r="BH2523" s="1070"/>
      <c r="BI2523" s="1070"/>
      <c r="BJ2523" s="1070"/>
      <c r="BK2523" s="1070"/>
      <c r="BL2523" s="1070"/>
      <c r="BM2523" s="1070"/>
      <c r="BN2523" s="1070"/>
      <c r="BO2523" s="1070"/>
      <c r="BP2523" s="1070"/>
      <c r="BQ2523" s="1070"/>
      <c r="BR2523" s="1070"/>
      <c r="BS2523" s="1070"/>
      <c r="BT2523" s="1070"/>
      <c r="BU2523" s="1070"/>
      <c r="BV2523" s="1070"/>
      <c r="BW2523" s="1070"/>
      <c r="BX2523" s="1070"/>
      <c r="BY2523" s="1070"/>
      <c r="BZ2523" s="1070"/>
      <c r="CA2523" s="1070"/>
      <c r="CB2523" s="1070"/>
      <c r="CC2523" s="1070"/>
      <c r="CD2523" s="1070"/>
      <c r="CE2523" s="1070"/>
      <c r="CF2523" s="1070"/>
      <c r="CG2523" s="1070"/>
      <c r="CH2523" s="1070"/>
      <c r="CI2523" s="1070"/>
      <c r="CJ2523" s="1070"/>
      <c r="CK2523" s="1070"/>
      <c r="CL2523" s="1070"/>
      <c r="CM2523" s="1070"/>
      <c r="CN2523" s="1070"/>
      <c r="CO2523" s="1070"/>
      <c r="CP2523" s="1070"/>
      <c r="CQ2523" s="1070"/>
      <c r="CR2523" s="1070"/>
      <c r="CS2523" s="1070"/>
      <c r="CT2523" s="1070"/>
      <c r="CU2523" s="1070"/>
      <c r="CV2523" s="1070"/>
      <c r="CW2523" s="1070"/>
      <c r="CX2523" s="1070"/>
      <c r="CY2523" s="1070"/>
      <c r="CZ2523" s="1070"/>
      <c r="DA2523" s="1070"/>
      <c r="DB2523" s="1070"/>
      <c r="DC2523" s="1070"/>
      <c r="DD2523" s="1070"/>
      <c r="DE2523" s="1070"/>
      <c r="DF2523" s="1070"/>
      <c r="DG2523" s="1070"/>
      <c r="DH2523" s="1070"/>
      <c r="DI2523" s="1070"/>
      <c r="DJ2523" s="1070"/>
    </row>
    <row r="2524" spans="1:114" s="1136" customFormat="1" ht="15.75" x14ac:dyDescent="0.25">
      <c r="A2524" s="1430" t="s">
        <v>2998</v>
      </c>
      <c r="B2524" s="1441">
        <f>B272</f>
        <v>5</v>
      </c>
      <c r="C2524" s="1434"/>
      <c r="D2524" s="1437"/>
      <c r="E2524" s="1437"/>
      <c r="F2524" s="1437"/>
      <c r="G2524" s="1437"/>
      <c r="H2524" s="1350"/>
      <c r="I2524" s="1350"/>
      <c r="J2524" s="1350"/>
      <c r="K2524" s="1350"/>
      <c r="L2524" s="1350"/>
      <c r="M2524" s="1350"/>
      <c r="N2524" s="1350"/>
      <c r="O2524" s="1350"/>
      <c r="P2524" s="1350"/>
      <c r="Q2524" s="1350"/>
      <c r="R2524" s="1350"/>
      <c r="S2524" s="1350"/>
      <c r="T2524" s="1350"/>
      <c r="U2524" s="1350"/>
      <c r="V2524" s="1350"/>
      <c r="W2524" s="1350"/>
      <c r="X2524" s="1350"/>
      <c r="Y2524" s="1350"/>
      <c r="Z2524" s="1350"/>
      <c r="AA2524" s="1350"/>
      <c r="AB2524" s="1350"/>
      <c r="AC2524" s="1350"/>
      <c r="AD2524" s="1350"/>
      <c r="AE2524" s="1350"/>
      <c r="AF2524" s="1350"/>
      <c r="AG2524" s="1350"/>
      <c r="AH2524" s="1350"/>
      <c r="AI2524" s="1350"/>
      <c r="AJ2524" s="1350"/>
      <c r="AK2524" s="1350"/>
      <c r="AL2524" s="1350"/>
      <c r="AM2524" s="1350"/>
      <c r="AN2524" s="1350"/>
      <c r="AO2524" s="1350"/>
      <c r="AP2524" s="1350"/>
      <c r="AQ2524" s="1350"/>
      <c r="AR2524" s="1350"/>
      <c r="AS2524" s="1350"/>
      <c r="AT2524" s="1350"/>
      <c r="AU2524" s="1350"/>
      <c r="AV2524" s="1350"/>
      <c r="AW2524" s="1350"/>
      <c r="AX2524" s="1350"/>
      <c r="AY2524" s="1350"/>
      <c r="AZ2524" s="1350"/>
      <c r="BA2524" s="1070"/>
      <c r="BB2524" s="1070"/>
      <c r="BC2524" s="1070"/>
      <c r="BD2524" s="1070"/>
      <c r="BE2524" s="1070"/>
      <c r="BF2524" s="1070"/>
      <c r="BG2524" s="1070"/>
      <c r="BH2524" s="1070"/>
      <c r="BI2524" s="1070"/>
      <c r="BJ2524" s="1070"/>
      <c r="BK2524" s="1070"/>
      <c r="BL2524" s="1070"/>
      <c r="BM2524" s="1070"/>
      <c r="BN2524" s="1070"/>
      <c r="BO2524" s="1070"/>
      <c r="BP2524" s="1070"/>
      <c r="BQ2524" s="1070"/>
      <c r="BR2524" s="1070"/>
      <c r="BS2524" s="1070"/>
      <c r="BT2524" s="1070"/>
      <c r="BU2524" s="1070"/>
      <c r="BV2524" s="1070"/>
      <c r="BW2524" s="1070"/>
      <c r="BX2524" s="1070"/>
      <c r="BY2524" s="1070"/>
      <c r="BZ2524" s="1070"/>
      <c r="CA2524" s="1070"/>
      <c r="CB2524" s="1070"/>
      <c r="CC2524" s="1070"/>
      <c r="CD2524" s="1070"/>
      <c r="CE2524" s="1070"/>
      <c r="CF2524" s="1070"/>
      <c r="CG2524" s="1070"/>
      <c r="CH2524" s="1070"/>
      <c r="CI2524" s="1070"/>
      <c r="CJ2524" s="1070"/>
      <c r="CK2524" s="1070"/>
      <c r="CL2524" s="1070"/>
      <c r="CM2524" s="1070"/>
      <c r="CN2524" s="1070"/>
      <c r="CO2524" s="1070"/>
      <c r="CP2524" s="1070"/>
      <c r="CQ2524" s="1070"/>
      <c r="CR2524" s="1070"/>
      <c r="CS2524" s="1070"/>
      <c r="CT2524" s="1070"/>
      <c r="CU2524" s="1070"/>
      <c r="CV2524" s="1070"/>
      <c r="CW2524" s="1070"/>
      <c r="CX2524" s="1070"/>
      <c r="CY2524" s="1070"/>
      <c r="CZ2524" s="1070"/>
      <c r="DA2524" s="1070"/>
      <c r="DB2524" s="1070"/>
      <c r="DC2524" s="1070"/>
      <c r="DD2524" s="1070"/>
      <c r="DE2524" s="1070"/>
      <c r="DF2524" s="1070"/>
      <c r="DG2524" s="1070"/>
      <c r="DH2524" s="1070"/>
      <c r="DI2524" s="1070"/>
      <c r="DJ2524" s="1070"/>
    </row>
    <row r="2525" spans="1:114" s="1136" customFormat="1" ht="15.75" x14ac:dyDescent="0.25">
      <c r="A2525" s="1430" t="s">
        <v>428</v>
      </c>
      <c r="B2525" s="1439" t="e">
        <f>B2526*B2527*B2529*B2383</f>
        <v>#VALUE!</v>
      </c>
      <c r="C2525" s="1432"/>
      <c r="D2525" s="1454"/>
      <c r="E2525" s="1454"/>
      <c r="F2525" s="1454"/>
      <c r="G2525" s="1454"/>
      <c r="H2525" s="1350"/>
      <c r="I2525" s="1350"/>
      <c r="J2525" s="1350"/>
      <c r="K2525" s="1350"/>
      <c r="L2525" s="1350"/>
      <c r="M2525" s="1350"/>
      <c r="N2525" s="1350"/>
      <c r="O2525" s="1350"/>
      <c r="P2525" s="1350"/>
      <c r="Q2525" s="1350"/>
      <c r="R2525" s="1350"/>
      <c r="S2525" s="1350"/>
      <c r="T2525" s="1350"/>
      <c r="U2525" s="1350"/>
      <c r="V2525" s="1350"/>
      <c r="W2525" s="1350"/>
      <c r="X2525" s="1350"/>
      <c r="Y2525" s="1350"/>
      <c r="Z2525" s="1350"/>
      <c r="AA2525" s="1350"/>
      <c r="AB2525" s="1350"/>
      <c r="AC2525" s="1350"/>
      <c r="AD2525" s="1350"/>
      <c r="AE2525" s="1350"/>
      <c r="AF2525" s="1350"/>
      <c r="AG2525" s="1350"/>
      <c r="AH2525" s="1350"/>
      <c r="AI2525" s="1350"/>
      <c r="AJ2525" s="1350"/>
      <c r="AK2525" s="1350"/>
      <c r="AL2525" s="1350"/>
      <c r="AM2525" s="1350"/>
      <c r="AN2525" s="1350"/>
      <c r="AO2525" s="1350"/>
      <c r="AP2525" s="1350"/>
      <c r="AQ2525" s="1350"/>
      <c r="AR2525" s="1350"/>
      <c r="AS2525" s="1350"/>
      <c r="AT2525" s="1350"/>
      <c r="AU2525" s="1350"/>
      <c r="AV2525" s="1350"/>
      <c r="AW2525" s="1350"/>
      <c r="AX2525" s="1350"/>
      <c r="AY2525" s="1350"/>
      <c r="AZ2525" s="1350"/>
      <c r="BA2525" s="1070"/>
      <c r="BB2525" s="1070"/>
      <c r="BC2525" s="1070"/>
      <c r="BD2525" s="1070"/>
      <c r="BE2525" s="1070"/>
      <c r="BF2525" s="1070"/>
      <c r="BG2525" s="1070"/>
      <c r="BH2525" s="1070"/>
      <c r="BI2525" s="1070"/>
      <c r="BJ2525" s="1070"/>
      <c r="BK2525" s="1070"/>
      <c r="BL2525" s="1070"/>
      <c r="BM2525" s="1070"/>
      <c r="BN2525" s="1070"/>
      <c r="BO2525" s="1070"/>
      <c r="BP2525" s="1070"/>
      <c r="BQ2525" s="1070"/>
      <c r="BR2525" s="1070"/>
      <c r="BS2525" s="1070"/>
      <c r="BT2525" s="1070"/>
      <c r="BU2525" s="1070"/>
      <c r="BV2525" s="1070"/>
      <c r="BW2525" s="1070"/>
      <c r="BX2525" s="1070"/>
      <c r="BY2525" s="1070"/>
      <c r="BZ2525" s="1070"/>
      <c r="CA2525" s="1070"/>
      <c r="CB2525" s="1070"/>
      <c r="CC2525" s="1070"/>
      <c r="CD2525" s="1070"/>
      <c r="CE2525" s="1070"/>
      <c r="CF2525" s="1070"/>
      <c r="CG2525" s="1070"/>
      <c r="CH2525" s="1070"/>
      <c r="CI2525" s="1070"/>
      <c r="CJ2525" s="1070"/>
      <c r="CK2525" s="1070"/>
      <c r="CL2525" s="1070"/>
      <c r="CM2525" s="1070"/>
      <c r="CN2525" s="1070"/>
      <c r="CO2525" s="1070"/>
      <c r="CP2525" s="1070"/>
      <c r="CQ2525" s="1070"/>
      <c r="CR2525" s="1070"/>
      <c r="CS2525" s="1070"/>
      <c r="CT2525" s="1070"/>
      <c r="CU2525" s="1070"/>
      <c r="CV2525" s="1070"/>
      <c r="CW2525" s="1070"/>
      <c r="CX2525" s="1070"/>
      <c r="CY2525" s="1070"/>
      <c r="CZ2525" s="1070"/>
      <c r="DA2525" s="1070"/>
      <c r="DB2525" s="1070"/>
      <c r="DC2525" s="1070"/>
      <c r="DD2525" s="1070"/>
      <c r="DE2525" s="1070"/>
      <c r="DF2525" s="1070"/>
      <c r="DG2525" s="1070"/>
      <c r="DH2525" s="1070"/>
      <c r="DI2525" s="1070"/>
      <c r="DJ2525" s="1070"/>
    </row>
    <row r="2526" spans="1:114" s="1136" customFormat="1" ht="15.75" x14ac:dyDescent="0.25">
      <c r="A2526" s="1430" t="s">
        <v>2999</v>
      </c>
      <c r="B2526" s="1421">
        <f>IF(B273=1,1.05,1)</f>
        <v>1</v>
      </c>
      <c r="C2526" s="1416"/>
      <c r="D2526" s="1350"/>
      <c r="E2526" s="1350"/>
      <c r="F2526" s="1350"/>
      <c r="G2526" s="1350"/>
      <c r="H2526" s="1350"/>
      <c r="I2526" s="1350"/>
      <c r="J2526" s="1350"/>
      <c r="K2526" s="1350"/>
      <c r="L2526" s="1350"/>
      <c r="M2526" s="1350"/>
      <c r="N2526" s="1350"/>
      <c r="O2526" s="1350"/>
      <c r="P2526" s="1350"/>
      <c r="Q2526" s="1350"/>
      <c r="R2526" s="1350"/>
      <c r="S2526" s="1350"/>
      <c r="T2526" s="1350"/>
      <c r="U2526" s="1350"/>
      <c r="V2526" s="1350"/>
      <c r="W2526" s="1350"/>
      <c r="X2526" s="1350"/>
      <c r="Y2526" s="1350"/>
      <c r="Z2526" s="1350"/>
      <c r="AA2526" s="1350"/>
      <c r="AB2526" s="1350"/>
      <c r="AC2526" s="1350"/>
      <c r="AD2526" s="1350"/>
      <c r="AE2526" s="1350"/>
      <c r="AF2526" s="1350"/>
      <c r="AG2526" s="1350"/>
      <c r="AH2526" s="1350"/>
      <c r="AI2526" s="1350"/>
      <c r="AJ2526" s="1350"/>
      <c r="AK2526" s="1350"/>
      <c r="AL2526" s="1350"/>
      <c r="AM2526" s="1350"/>
      <c r="AN2526" s="1350"/>
      <c r="AO2526" s="1350"/>
      <c r="AP2526" s="1350"/>
      <c r="AQ2526" s="1350"/>
      <c r="AR2526" s="1350"/>
      <c r="AS2526" s="1350"/>
      <c r="AT2526" s="1350"/>
      <c r="AU2526" s="1350"/>
      <c r="AV2526" s="1350"/>
      <c r="AW2526" s="1350"/>
      <c r="AX2526" s="1350"/>
      <c r="AY2526" s="1350"/>
      <c r="AZ2526" s="1350"/>
      <c r="BA2526" s="1070"/>
      <c r="BB2526" s="1070"/>
      <c r="BC2526" s="1070"/>
      <c r="BD2526" s="1070"/>
      <c r="BE2526" s="1070"/>
      <c r="BF2526" s="1070"/>
      <c r="BG2526" s="1070"/>
      <c r="BH2526" s="1070"/>
      <c r="BI2526" s="1070"/>
      <c r="BJ2526" s="1070"/>
      <c r="BK2526" s="1070"/>
      <c r="BL2526" s="1070"/>
      <c r="BM2526" s="1070"/>
      <c r="BN2526" s="1070"/>
      <c r="BO2526" s="1070"/>
      <c r="BP2526" s="1070"/>
      <c r="BQ2526" s="1070"/>
      <c r="BR2526" s="1070"/>
      <c r="BS2526" s="1070"/>
      <c r="BT2526" s="1070"/>
      <c r="BU2526" s="1070"/>
      <c r="BV2526" s="1070"/>
      <c r="BW2526" s="1070"/>
      <c r="BX2526" s="1070"/>
      <c r="BY2526" s="1070"/>
      <c r="BZ2526" s="1070"/>
      <c r="CA2526" s="1070"/>
      <c r="CB2526" s="1070"/>
      <c r="CC2526" s="1070"/>
      <c r="CD2526" s="1070"/>
      <c r="CE2526" s="1070"/>
      <c r="CF2526" s="1070"/>
      <c r="CG2526" s="1070"/>
      <c r="CH2526" s="1070"/>
      <c r="CI2526" s="1070"/>
      <c r="CJ2526" s="1070"/>
      <c r="CK2526" s="1070"/>
      <c r="CL2526" s="1070"/>
      <c r="CM2526" s="1070"/>
      <c r="CN2526" s="1070"/>
      <c r="CO2526" s="1070"/>
      <c r="CP2526" s="1070"/>
      <c r="CQ2526" s="1070"/>
      <c r="CR2526" s="1070"/>
      <c r="CS2526" s="1070"/>
      <c r="CT2526" s="1070"/>
      <c r="CU2526" s="1070"/>
      <c r="CV2526" s="1070"/>
      <c r="CW2526" s="1070"/>
      <c r="CX2526" s="1070"/>
      <c r="CY2526" s="1070"/>
      <c r="CZ2526" s="1070"/>
      <c r="DA2526" s="1070"/>
      <c r="DB2526" s="1070"/>
      <c r="DC2526" s="1070"/>
      <c r="DD2526" s="1070"/>
      <c r="DE2526" s="1070"/>
      <c r="DF2526" s="1070"/>
      <c r="DG2526" s="1070"/>
      <c r="DH2526" s="1070"/>
      <c r="DI2526" s="1070"/>
      <c r="DJ2526" s="1070"/>
    </row>
    <row r="2527" spans="1:114" s="1136" customFormat="1" ht="15.75" x14ac:dyDescent="0.25">
      <c r="A2527" s="1430" t="s">
        <v>3000</v>
      </c>
      <c r="B2527" s="1421" t="e">
        <f>IF(B2528&lt;5.1,1,IF(B2528&lt;10.1,0.9,IF(B2528&lt;20.1,0.8,0.7)))</f>
        <v>#VALUE!</v>
      </c>
      <c r="C2527" s="1416"/>
      <c r="D2527" s="1350"/>
      <c r="E2527" s="1350"/>
      <c r="F2527" s="1350"/>
      <c r="G2527" s="1350"/>
      <c r="H2527" s="1350"/>
      <c r="I2527" s="1350"/>
      <c r="J2527" s="1350"/>
      <c r="K2527" s="1350"/>
      <c r="L2527" s="1350"/>
      <c r="M2527" s="1350"/>
      <c r="N2527" s="1350"/>
      <c r="O2527" s="1350"/>
      <c r="P2527" s="1350"/>
      <c r="Q2527" s="1350"/>
      <c r="R2527" s="1350"/>
      <c r="S2527" s="1350"/>
      <c r="T2527" s="1350"/>
      <c r="U2527" s="1350"/>
      <c r="V2527" s="1350"/>
      <c r="W2527" s="1350"/>
      <c r="X2527" s="1350"/>
      <c r="Y2527" s="1350"/>
      <c r="Z2527" s="1350"/>
      <c r="AA2527" s="1350"/>
      <c r="AB2527" s="1350"/>
      <c r="AC2527" s="1350"/>
      <c r="AD2527" s="1350"/>
      <c r="AE2527" s="1350"/>
      <c r="AF2527" s="1350"/>
      <c r="AG2527" s="1350"/>
      <c r="AH2527" s="1350"/>
      <c r="AI2527" s="1350"/>
      <c r="AJ2527" s="1350"/>
      <c r="AK2527" s="1350"/>
      <c r="AL2527" s="1350"/>
      <c r="AM2527" s="1350"/>
      <c r="AN2527" s="1350"/>
      <c r="AO2527" s="1350"/>
      <c r="AP2527" s="1350"/>
      <c r="AQ2527" s="1350"/>
      <c r="AR2527" s="1350"/>
      <c r="AS2527" s="1350"/>
      <c r="AT2527" s="1350"/>
      <c r="AU2527" s="1350"/>
      <c r="AV2527" s="1350"/>
      <c r="AW2527" s="1350"/>
      <c r="AX2527" s="1350"/>
      <c r="AY2527" s="1350"/>
      <c r="AZ2527" s="1350"/>
      <c r="BA2527" s="1070"/>
      <c r="BB2527" s="1070"/>
      <c r="BC2527" s="1070"/>
      <c r="BD2527" s="1070"/>
      <c r="BE2527" s="1070"/>
      <c r="BF2527" s="1070"/>
      <c r="BG2527" s="1070"/>
      <c r="BH2527" s="1070"/>
      <c r="BI2527" s="1070"/>
      <c r="BJ2527" s="1070"/>
      <c r="BK2527" s="1070"/>
      <c r="BL2527" s="1070"/>
      <c r="BM2527" s="1070"/>
      <c r="BN2527" s="1070"/>
      <c r="BO2527" s="1070"/>
      <c r="BP2527" s="1070"/>
      <c r="BQ2527" s="1070"/>
      <c r="BR2527" s="1070"/>
      <c r="BS2527" s="1070"/>
      <c r="BT2527" s="1070"/>
      <c r="BU2527" s="1070"/>
      <c r="BV2527" s="1070"/>
      <c r="BW2527" s="1070"/>
      <c r="BX2527" s="1070"/>
      <c r="BY2527" s="1070"/>
      <c r="BZ2527" s="1070"/>
      <c r="CA2527" s="1070"/>
      <c r="CB2527" s="1070"/>
      <c r="CC2527" s="1070"/>
      <c r="CD2527" s="1070"/>
      <c r="CE2527" s="1070"/>
      <c r="CF2527" s="1070"/>
      <c r="CG2527" s="1070"/>
      <c r="CH2527" s="1070"/>
      <c r="CI2527" s="1070"/>
      <c r="CJ2527" s="1070"/>
      <c r="CK2527" s="1070"/>
      <c r="CL2527" s="1070"/>
      <c r="CM2527" s="1070"/>
      <c r="CN2527" s="1070"/>
      <c r="CO2527" s="1070"/>
      <c r="CP2527" s="1070"/>
      <c r="CQ2527" s="1070"/>
      <c r="CR2527" s="1070"/>
      <c r="CS2527" s="1070"/>
      <c r="CT2527" s="1070"/>
      <c r="CU2527" s="1070"/>
      <c r="CV2527" s="1070"/>
      <c r="CW2527" s="1070"/>
      <c r="CX2527" s="1070"/>
      <c r="CY2527" s="1070"/>
      <c r="CZ2527" s="1070"/>
      <c r="DA2527" s="1070"/>
      <c r="DB2527" s="1070"/>
      <c r="DC2527" s="1070"/>
      <c r="DD2527" s="1070"/>
      <c r="DE2527" s="1070"/>
      <c r="DF2527" s="1070"/>
      <c r="DG2527" s="1070"/>
      <c r="DH2527" s="1070"/>
      <c r="DI2527" s="1070"/>
      <c r="DJ2527" s="1070"/>
    </row>
    <row r="2528" spans="1:114" s="1136" customFormat="1" ht="15.75" x14ac:dyDescent="0.25">
      <c r="A2528" s="1417" t="s">
        <v>3001</v>
      </c>
      <c r="B2528" s="1462" t="e">
        <f>(B274/B240)*100</f>
        <v>#VALUE!</v>
      </c>
      <c r="C2528" s="1463"/>
      <c r="D2528" s="1432"/>
      <c r="E2528" s="1432"/>
      <c r="F2528" s="1432"/>
      <c r="G2528" s="1432"/>
      <c r="H2528" s="1350"/>
      <c r="I2528" s="1350"/>
      <c r="J2528" s="1350"/>
      <c r="K2528" s="1350"/>
      <c r="L2528" s="1350"/>
      <c r="M2528" s="1350"/>
      <c r="N2528" s="1350"/>
      <c r="O2528" s="1350"/>
      <c r="P2528" s="1350"/>
      <c r="Q2528" s="1350"/>
      <c r="R2528" s="1350"/>
      <c r="S2528" s="1350"/>
      <c r="T2528" s="1350"/>
      <c r="U2528" s="1350"/>
      <c r="V2528" s="1350"/>
      <c r="W2528" s="1350"/>
      <c r="X2528" s="1350"/>
      <c r="Y2528" s="1350"/>
      <c r="Z2528" s="1350"/>
      <c r="AA2528" s="1350"/>
      <c r="AB2528" s="1350"/>
      <c r="AC2528" s="1350"/>
      <c r="AD2528" s="1350"/>
      <c r="AE2528" s="1350"/>
      <c r="AF2528" s="1350"/>
      <c r="AG2528" s="1350"/>
      <c r="AH2528" s="1350"/>
      <c r="AI2528" s="1350"/>
      <c r="AJ2528" s="1350"/>
      <c r="AK2528" s="1350"/>
      <c r="AL2528" s="1350"/>
      <c r="AM2528" s="1350"/>
      <c r="AN2528" s="1350"/>
      <c r="AO2528" s="1350"/>
      <c r="AP2528" s="1350"/>
      <c r="AQ2528" s="1350"/>
      <c r="AR2528" s="1350"/>
      <c r="AS2528" s="1350"/>
      <c r="AT2528" s="1350"/>
      <c r="AU2528" s="1350"/>
      <c r="AV2528" s="1350"/>
      <c r="AW2528" s="1350"/>
      <c r="AX2528" s="1350"/>
      <c r="AY2528" s="1350"/>
      <c r="AZ2528" s="1350"/>
      <c r="BA2528" s="1070"/>
      <c r="BB2528" s="1070"/>
      <c r="BC2528" s="1070"/>
      <c r="BD2528" s="1070"/>
      <c r="BE2528" s="1070"/>
      <c r="BF2528" s="1070"/>
      <c r="BG2528" s="1070"/>
      <c r="BH2528" s="1070"/>
      <c r="BI2528" s="1070"/>
      <c r="BJ2528" s="1070"/>
      <c r="BK2528" s="1070"/>
      <c r="BL2528" s="1070"/>
      <c r="BM2528" s="1070"/>
      <c r="BN2528" s="1070"/>
      <c r="BO2528" s="1070"/>
      <c r="BP2528" s="1070"/>
      <c r="BQ2528" s="1070"/>
      <c r="BR2528" s="1070"/>
      <c r="BS2528" s="1070"/>
      <c r="BT2528" s="1070"/>
      <c r="BU2528" s="1070"/>
      <c r="BV2528" s="1070"/>
      <c r="BW2528" s="1070"/>
      <c r="BX2528" s="1070"/>
      <c r="BY2528" s="1070"/>
      <c r="BZ2528" s="1070"/>
      <c r="CA2528" s="1070"/>
      <c r="CB2528" s="1070"/>
      <c r="CC2528" s="1070"/>
      <c r="CD2528" s="1070"/>
      <c r="CE2528" s="1070"/>
      <c r="CF2528" s="1070"/>
      <c r="CG2528" s="1070"/>
      <c r="CH2528" s="1070"/>
      <c r="CI2528" s="1070"/>
      <c r="CJ2528" s="1070"/>
      <c r="CK2528" s="1070"/>
      <c r="CL2528" s="1070"/>
      <c r="CM2528" s="1070"/>
      <c r="CN2528" s="1070"/>
      <c r="CO2528" s="1070"/>
      <c r="CP2528" s="1070"/>
      <c r="CQ2528" s="1070"/>
      <c r="CR2528" s="1070"/>
      <c r="CS2528" s="1070"/>
      <c r="CT2528" s="1070"/>
      <c r="CU2528" s="1070"/>
      <c r="CV2528" s="1070"/>
      <c r="CW2528" s="1070"/>
      <c r="CX2528" s="1070"/>
      <c r="CY2528" s="1070"/>
      <c r="CZ2528" s="1070"/>
      <c r="DA2528" s="1070"/>
      <c r="DB2528" s="1070"/>
      <c r="DC2528" s="1070"/>
      <c r="DD2528" s="1070"/>
      <c r="DE2528" s="1070"/>
      <c r="DF2528" s="1070"/>
      <c r="DG2528" s="1070"/>
      <c r="DH2528" s="1070"/>
      <c r="DI2528" s="1070"/>
      <c r="DJ2528" s="1070"/>
    </row>
    <row r="2529" spans="1:114" s="1136" customFormat="1" ht="15.75" x14ac:dyDescent="0.25">
      <c r="A2529" s="1430" t="s">
        <v>3002</v>
      </c>
      <c r="B2529" s="1464">
        <v>0.7</v>
      </c>
      <c r="C2529" s="1465"/>
      <c r="D2529" s="1432"/>
      <c r="E2529" s="1432"/>
      <c r="F2529" s="1432"/>
      <c r="G2529" s="1432"/>
      <c r="H2529" s="1350"/>
      <c r="I2529" s="1350"/>
      <c r="J2529" s="1350"/>
      <c r="K2529" s="1350"/>
      <c r="L2529" s="1350"/>
      <c r="M2529" s="1350"/>
      <c r="N2529" s="1350"/>
      <c r="O2529" s="1350"/>
      <c r="P2529" s="1350"/>
      <c r="Q2529" s="1350"/>
      <c r="R2529" s="1350"/>
      <c r="S2529" s="1350"/>
      <c r="T2529" s="1350"/>
      <c r="U2529" s="1350"/>
      <c r="V2529" s="1350"/>
      <c r="W2529" s="1350"/>
      <c r="X2529" s="1350"/>
      <c r="Y2529" s="1350"/>
      <c r="Z2529" s="1350"/>
      <c r="AA2529" s="1350"/>
      <c r="AB2529" s="1350"/>
      <c r="AC2529" s="1350"/>
      <c r="AD2529" s="1350"/>
      <c r="AE2529" s="1350"/>
      <c r="AF2529" s="1350"/>
      <c r="AG2529" s="1350"/>
      <c r="AH2529" s="1350"/>
      <c r="AI2529" s="1350"/>
      <c r="AJ2529" s="1350"/>
      <c r="AK2529" s="1350"/>
      <c r="AL2529" s="1350"/>
      <c r="AM2529" s="1350"/>
      <c r="AN2529" s="1350"/>
      <c r="AO2529" s="1350"/>
      <c r="AP2529" s="1350"/>
      <c r="AQ2529" s="1350"/>
      <c r="AR2529" s="1350"/>
      <c r="AS2529" s="1350"/>
      <c r="AT2529" s="1350"/>
      <c r="AU2529" s="1350"/>
      <c r="AV2529" s="1350"/>
      <c r="AW2529" s="1350"/>
      <c r="AX2529" s="1350"/>
      <c r="AY2529" s="1350"/>
      <c r="AZ2529" s="1350"/>
      <c r="BA2529" s="1070"/>
      <c r="BB2529" s="1070"/>
      <c r="BC2529" s="1070"/>
      <c r="BD2529" s="1070"/>
      <c r="BE2529" s="1070"/>
      <c r="BF2529" s="1070"/>
      <c r="BG2529" s="1070"/>
      <c r="BH2529" s="1070"/>
      <c r="BI2529" s="1070"/>
      <c r="BJ2529" s="1070"/>
      <c r="BK2529" s="1070"/>
      <c r="BL2529" s="1070"/>
      <c r="BM2529" s="1070"/>
      <c r="BN2529" s="1070"/>
      <c r="BO2529" s="1070"/>
      <c r="BP2529" s="1070"/>
      <c r="BQ2529" s="1070"/>
      <c r="BR2529" s="1070"/>
      <c r="BS2529" s="1070"/>
      <c r="BT2529" s="1070"/>
      <c r="BU2529" s="1070"/>
      <c r="BV2529" s="1070"/>
      <c r="BW2529" s="1070"/>
      <c r="BX2529" s="1070"/>
      <c r="BY2529" s="1070"/>
      <c r="BZ2529" s="1070"/>
      <c r="CA2529" s="1070"/>
      <c r="CB2529" s="1070"/>
      <c r="CC2529" s="1070"/>
      <c r="CD2529" s="1070"/>
      <c r="CE2529" s="1070"/>
      <c r="CF2529" s="1070"/>
      <c r="CG2529" s="1070"/>
      <c r="CH2529" s="1070"/>
      <c r="CI2529" s="1070"/>
      <c r="CJ2529" s="1070"/>
      <c r="CK2529" s="1070"/>
      <c r="CL2529" s="1070"/>
      <c r="CM2529" s="1070"/>
      <c r="CN2529" s="1070"/>
      <c r="CO2529" s="1070"/>
      <c r="CP2529" s="1070"/>
      <c r="CQ2529" s="1070"/>
      <c r="CR2529" s="1070"/>
      <c r="CS2529" s="1070"/>
      <c r="CT2529" s="1070"/>
      <c r="CU2529" s="1070"/>
      <c r="CV2529" s="1070"/>
      <c r="CW2529" s="1070"/>
      <c r="CX2529" s="1070"/>
      <c r="CY2529" s="1070"/>
      <c r="CZ2529" s="1070"/>
      <c r="DA2529" s="1070"/>
      <c r="DB2529" s="1070"/>
      <c r="DC2529" s="1070"/>
      <c r="DD2529" s="1070"/>
      <c r="DE2529" s="1070"/>
      <c r="DF2529" s="1070"/>
      <c r="DG2529" s="1070"/>
      <c r="DH2529" s="1070"/>
      <c r="DI2529" s="1070"/>
      <c r="DJ2529" s="1070"/>
    </row>
    <row r="2530" spans="1:114" s="1136" customFormat="1" ht="15.75" x14ac:dyDescent="0.25">
      <c r="A2530" s="1430" t="s">
        <v>830</v>
      </c>
      <c r="B2530" s="1443" t="e">
        <f>B2522*B2525</f>
        <v>#VALUE!</v>
      </c>
      <c r="C2530" s="1437"/>
      <c r="D2530" s="1434"/>
      <c r="E2530" s="1434"/>
      <c r="F2530" s="1434"/>
      <c r="G2530" s="1434"/>
      <c r="H2530" s="1350"/>
      <c r="I2530" s="1350"/>
      <c r="J2530" s="1350"/>
      <c r="K2530" s="1350"/>
      <c r="L2530" s="1350"/>
      <c r="M2530" s="1350"/>
      <c r="N2530" s="1350"/>
      <c r="O2530" s="1350"/>
      <c r="P2530" s="1350"/>
      <c r="Q2530" s="1350"/>
      <c r="R2530" s="1350"/>
      <c r="S2530" s="1350"/>
      <c r="T2530" s="1350"/>
      <c r="U2530" s="1350"/>
      <c r="V2530" s="1350"/>
      <c r="W2530" s="1350"/>
      <c r="X2530" s="1350"/>
      <c r="Y2530" s="1350"/>
      <c r="Z2530" s="1350"/>
      <c r="AA2530" s="1350"/>
      <c r="AB2530" s="1350"/>
      <c r="AC2530" s="1350"/>
      <c r="AD2530" s="1350"/>
      <c r="AE2530" s="1350"/>
      <c r="AF2530" s="1350"/>
      <c r="AG2530" s="1350"/>
      <c r="AH2530" s="1350"/>
      <c r="AI2530" s="1350"/>
      <c r="AJ2530" s="1350"/>
      <c r="AK2530" s="1350"/>
      <c r="AL2530" s="1350"/>
      <c r="AM2530" s="1350"/>
      <c r="AN2530" s="1350"/>
      <c r="AO2530" s="1350"/>
      <c r="AP2530" s="1350"/>
      <c r="AQ2530" s="1350"/>
      <c r="AR2530" s="1350"/>
      <c r="AS2530" s="1350"/>
      <c r="AT2530" s="1350"/>
      <c r="AU2530" s="1350"/>
      <c r="AV2530" s="1350"/>
      <c r="AW2530" s="1350"/>
      <c r="AX2530" s="1350"/>
      <c r="AY2530" s="1350"/>
      <c r="AZ2530" s="1350"/>
      <c r="BA2530" s="1070"/>
      <c r="BB2530" s="1070"/>
      <c r="BC2530" s="1070"/>
      <c r="BD2530" s="1070"/>
      <c r="BE2530" s="1070"/>
      <c r="BF2530" s="1070"/>
      <c r="BG2530" s="1070"/>
      <c r="BH2530" s="1070"/>
      <c r="BI2530" s="1070"/>
      <c r="BJ2530" s="1070"/>
      <c r="BK2530" s="1070"/>
      <c r="BL2530" s="1070"/>
      <c r="BM2530" s="1070"/>
      <c r="BN2530" s="1070"/>
      <c r="BO2530" s="1070"/>
      <c r="BP2530" s="1070"/>
      <c r="BQ2530" s="1070"/>
      <c r="BR2530" s="1070"/>
      <c r="BS2530" s="1070"/>
      <c r="BT2530" s="1070"/>
      <c r="BU2530" s="1070"/>
      <c r="BV2530" s="1070"/>
      <c r="BW2530" s="1070"/>
      <c r="BX2530" s="1070"/>
      <c r="BY2530" s="1070"/>
      <c r="BZ2530" s="1070"/>
      <c r="CA2530" s="1070"/>
      <c r="CB2530" s="1070"/>
      <c r="CC2530" s="1070"/>
      <c r="CD2530" s="1070"/>
      <c r="CE2530" s="1070"/>
      <c r="CF2530" s="1070"/>
      <c r="CG2530" s="1070"/>
      <c r="CH2530" s="1070"/>
      <c r="CI2530" s="1070"/>
      <c r="CJ2530" s="1070"/>
      <c r="CK2530" s="1070"/>
      <c r="CL2530" s="1070"/>
      <c r="CM2530" s="1070"/>
      <c r="CN2530" s="1070"/>
      <c r="CO2530" s="1070"/>
      <c r="CP2530" s="1070"/>
      <c r="CQ2530" s="1070"/>
      <c r="CR2530" s="1070"/>
      <c r="CS2530" s="1070"/>
      <c r="CT2530" s="1070"/>
      <c r="CU2530" s="1070"/>
      <c r="CV2530" s="1070"/>
      <c r="CW2530" s="1070"/>
      <c r="CX2530" s="1070"/>
      <c r="CY2530" s="1070"/>
      <c r="CZ2530" s="1070"/>
      <c r="DA2530" s="1070"/>
      <c r="DB2530" s="1070"/>
      <c r="DC2530" s="1070"/>
      <c r="DD2530" s="1070"/>
      <c r="DE2530" s="1070"/>
      <c r="DF2530" s="1070"/>
      <c r="DG2530" s="1070"/>
      <c r="DH2530" s="1070"/>
      <c r="DI2530" s="1070"/>
      <c r="DJ2530" s="1070"/>
    </row>
    <row r="2531" spans="1:114" s="1136" customFormat="1" ht="15.75" x14ac:dyDescent="0.25">
      <c r="A2531" s="1430" t="s">
        <v>429</v>
      </c>
      <c r="B2531" s="1443" t="e">
        <f>B2521/B2530</f>
        <v>#VALUE!</v>
      </c>
      <c r="C2531" s="1437"/>
      <c r="D2531" s="1434"/>
      <c r="E2531" s="1434"/>
      <c r="F2531" s="1434"/>
      <c r="G2531" s="1434"/>
      <c r="H2531" s="1350"/>
      <c r="I2531" s="1350"/>
      <c r="J2531" s="1350"/>
      <c r="K2531" s="1350"/>
      <c r="L2531" s="1350"/>
      <c r="M2531" s="1350"/>
      <c r="N2531" s="1350"/>
      <c r="O2531" s="1350"/>
      <c r="P2531" s="1350"/>
      <c r="Q2531" s="1350"/>
      <c r="R2531" s="1350"/>
      <c r="S2531" s="1350"/>
      <c r="T2531" s="1350"/>
      <c r="U2531" s="1350"/>
      <c r="V2531" s="1350"/>
      <c r="W2531" s="1350"/>
      <c r="X2531" s="1350"/>
      <c r="Y2531" s="1350"/>
      <c r="Z2531" s="1350"/>
      <c r="AA2531" s="1350"/>
      <c r="AB2531" s="1350"/>
      <c r="AC2531" s="1350"/>
      <c r="AD2531" s="1350"/>
      <c r="AE2531" s="1350"/>
      <c r="AF2531" s="1350"/>
      <c r="AG2531" s="1350"/>
      <c r="AH2531" s="1350"/>
      <c r="AI2531" s="1350"/>
      <c r="AJ2531" s="1350"/>
      <c r="AK2531" s="1350"/>
      <c r="AL2531" s="1350"/>
      <c r="AM2531" s="1350"/>
      <c r="AN2531" s="1350"/>
      <c r="AO2531" s="1350"/>
      <c r="AP2531" s="1350"/>
      <c r="AQ2531" s="1350"/>
      <c r="AR2531" s="1350"/>
      <c r="AS2531" s="1350"/>
      <c r="AT2531" s="1350"/>
      <c r="AU2531" s="1350"/>
      <c r="AV2531" s="1350"/>
      <c r="AW2531" s="1350"/>
      <c r="AX2531" s="1350"/>
      <c r="AY2531" s="1350"/>
      <c r="AZ2531" s="1350"/>
      <c r="BA2531" s="1070"/>
      <c r="BB2531" s="1070"/>
      <c r="BC2531" s="1070"/>
      <c r="BD2531" s="1070"/>
      <c r="BE2531" s="1070"/>
      <c r="BF2531" s="1070"/>
      <c r="BG2531" s="1070"/>
      <c r="BH2531" s="1070"/>
      <c r="BI2531" s="1070"/>
      <c r="BJ2531" s="1070"/>
      <c r="BK2531" s="1070"/>
      <c r="BL2531" s="1070"/>
      <c r="BM2531" s="1070"/>
      <c r="BN2531" s="1070"/>
      <c r="BO2531" s="1070"/>
      <c r="BP2531" s="1070"/>
      <c r="BQ2531" s="1070"/>
      <c r="BR2531" s="1070"/>
      <c r="BS2531" s="1070"/>
      <c r="BT2531" s="1070"/>
      <c r="BU2531" s="1070"/>
      <c r="BV2531" s="1070"/>
      <c r="BW2531" s="1070"/>
      <c r="BX2531" s="1070"/>
      <c r="BY2531" s="1070"/>
      <c r="BZ2531" s="1070"/>
      <c r="CA2531" s="1070"/>
      <c r="CB2531" s="1070"/>
      <c r="CC2531" s="1070"/>
      <c r="CD2531" s="1070"/>
      <c r="CE2531" s="1070"/>
      <c r="CF2531" s="1070"/>
      <c r="CG2531" s="1070"/>
      <c r="CH2531" s="1070"/>
      <c r="CI2531" s="1070"/>
      <c r="CJ2531" s="1070"/>
      <c r="CK2531" s="1070"/>
      <c r="CL2531" s="1070"/>
      <c r="CM2531" s="1070"/>
      <c r="CN2531" s="1070"/>
      <c r="CO2531" s="1070"/>
      <c r="CP2531" s="1070"/>
      <c r="CQ2531" s="1070"/>
      <c r="CR2531" s="1070"/>
      <c r="CS2531" s="1070"/>
      <c r="CT2531" s="1070"/>
      <c r="CU2531" s="1070"/>
      <c r="CV2531" s="1070"/>
      <c r="CW2531" s="1070"/>
      <c r="CX2531" s="1070"/>
      <c r="CY2531" s="1070"/>
      <c r="CZ2531" s="1070"/>
      <c r="DA2531" s="1070"/>
      <c r="DB2531" s="1070"/>
      <c r="DC2531" s="1070"/>
      <c r="DD2531" s="1070"/>
      <c r="DE2531" s="1070"/>
      <c r="DF2531" s="1070"/>
      <c r="DG2531" s="1070"/>
      <c r="DH2531" s="1070"/>
      <c r="DI2531" s="1070"/>
      <c r="DJ2531" s="1070"/>
    </row>
    <row r="2532" spans="1:114" s="1136" customFormat="1" ht="15.75" x14ac:dyDescent="0.25">
      <c r="A2532" s="1466" t="s">
        <v>831</v>
      </c>
      <c r="B2532" s="1467" t="e">
        <f>IF(B252=1,B2531,0)</f>
        <v>#VALUE!</v>
      </c>
      <c r="C2532" s="1468"/>
      <c r="D2532" s="1432"/>
      <c r="E2532" s="1432"/>
      <c r="F2532" s="1432"/>
      <c r="G2532" s="1432"/>
      <c r="H2532" s="1350"/>
      <c r="I2532" s="1350"/>
      <c r="J2532" s="1350"/>
      <c r="K2532" s="1350"/>
      <c r="L2532" s="1350"/>
      <c r="M2532" s="1350"/>
      <c r="N2532" s="1350"/>
      <c r="O2532" s="1350"/>
      <c r="P2532" s="1350"/>
      <c r="Q2532" s="1350"/>
      <c r="R2532" s="1350"/>
      <c r="S2532" s="1350"/>
      <c r="T2532" s="1350"/>
      <c r="U2532" s="1350"/>
      <c r="V2532" s="1350"/>
      <c r="W2532" s="1350"/>
      <c r="X2532" s="1350"/>
      <c r="Y2532" s="1350"/>
      <c r="Z2532" s="1350"/>
      <c r="AA2532" s="1350"/>
      <c r="AB2532" s="1350"/>
      <c r="AC2532" s="1350"/>
      <c r="AD2532" s="1350"/>
      <c r="AE2532" s="1350"/>
      <c r="AF2532" s="1350"/>
      <c r="AG2532" s="1350"/>
      <c r="AH2532" s="1350"/>
      <c r="AI2532" s="1350"/>
      <c r="AJ2532" s="1350"/>
      <c r="AK2532" s="1350"/>
      <c r="AL2532" s="1350"/>
      <c r="AM2532" s="1350"/>
      <c r="AN2532" s="1350"/>
      <c r="AO2532" s="1350"/>
      <c r="AP2532" s="1350"/>
      <c r="AQ2532" s="1350"/>
      <c r="AR2532" s="1350"/>
      <c r="AS2532" s="1350"/>
      <c r="AT2532" s="1350"/>
      <c r="AU2532" s="1350"/>
      <c r="AV2532" s="1350"/>
      <c r="AW2532" s="1350"/>
      <c r="AX2532" s="1350"/>
      <c r="AY2532" s="1350"/>
      <c r="AZ2532" s="1350"/>
      <c r="BA2532" s="1070"/>
      <c r="BB2532" s="1070"/>
      <c r="BC2532" s="1070"/>
      <c r="BD2532" s="1070"/>
      <c r="BE2532" s="1070"/>
      <c r="BF2532" s="1070"/>
      <c r="BG2532" s="1070"/>
      <c r="BH2532" s="1070"/>
      <c r="BI2532" s="1070"/>
      <c r="BJ2532" s="1070"/>
      <c r="BK2532" s="1070"/>
      <c r="BL2532" s="1070"/>
      <c r="BM2532" s="1070"/>
      <c r="BN2532" s="1070"/>
      <c r="BO2532" s="1070"/>
      <c r="BP2532" s="1070"/>
      <c r="BQ2532" s="1070"/>
      <c r="BR2532" s="1070"/>
      <c r="BS2532" s="1070"/>
      <c r="BT2532" s="1070"/>
      <c r="BU2532" s="1070"/>
      <c r="BV2532" s="1070"/>
      <c r="BW2532" s="1070"/>
      <c r="BX2532" s="1070"/>
      <c r="BY2532" s="1070"/>
      <c r="BZ2532" s="1070"/>
      <c r="CA2532" s="1070"/>
      <c r="CB2532" s="1070"/>
      <c r="CC2532" s="1070"/>
      <c r="CD2532" s="1070"/>
      <c r="CE2532" s="1070"/>
      <c r="CF2532" s="1070"/>
      <c r="CG2532" s="1070"/>
      <c r="CH2532" s="1070"/>
      <c r="CI2532" s="1070"/>
      <c r="CJ2532" s="1070"/>
      <c r="CK2532" s="1070"/>
      <c r="CL2532" s="1070"/>
      <c r="CM2532" s="1070"/>
      <c r="CN2532" s="1070"/>
      <c r="CO2532" s="1070"/>
      <c r="CP2532" s="1070"/>
      <c r="CQ2532" s="1070"/>
      <c r="CR2532" s="1070"/>
      <c r="CS2532" s="1070"/>
      <c r="CT2532" s="1070"/>
      <c r="CU2532" s="1070"/>
      <c r="CV2532" s="1070"/>
      <c r="CW2532" s="1070"/>
      <c r="CX2532" s="1070"/>
      <c r="CY2532" s="1070"/>
      <c r="CZ2532" s="1070"/>
      <c r="DA2532" s="1070"/>
      <c r="DB2532" s="1070"/>
      <c r="DC2532" s="1070"/>
      <c r="DD2532" s="1070"/>
      <c r="DE2532" s="1070"/>
      <c r="DF2532" s="1070"/>
      <c r="DG2532" s="1070"/>
      <c r="DH2532" s="1070"/>
      <c r="DI2532" s="1070"/>
      <c r="DJ2532" s="1070"/>
    </row>
    <row r="2533" spans="1:114" s="1136" customFormat="1" ht="15.75" x14ac:dyDescent="0.25">
      <c r="A2533" s="1460"/>
      <c r="B2533" s="1443"/>
      <c r="C2533" s="1437"/>
      <c r="D2533" s="1416"/>
      <c r="E2533" s="1416"/>
      <c r="F2533" s="1416"/>
      <c r="G2533" s="1416"/>
      <c r="H2533" s="1350"/>
      <c r="I2533" s="1350"/>
      <c r="J2533" s="1350"/>
      <c r="K2533" s="1350"/>
      <c r="L2533" s="1350"/>
      <c r="M2533" s="1350"/>
      <c r="N2533" s="1350"/>
      <c r="O2533" s="1350"/>
      <c r="P2533" s="1350"/>
      <c r="Q2533" s="1350"/>
      <c r="R2533" s="1350"/>
      <c r="S2533" s="1350"/>
      <c r="T2533" s="1350"/>
      <c r="U2533" s="1350"/>
      <c r="V2533" s="1350"/>
      <c r="W2533" s="1350"/>
      <c r="X2533" s="1350"/>
      <c r="Y2533" s="1350"/>
      <c r="Z2533" s="1350"/>
      <c r="AA2533" s="1350"/>
      <c r="AB2533" s="1350"/>
      <c r="AC2533" s="1350"/>
      <c r="AD2533" s="1350"/>
      <c r="AE2533" s="1350"/>
      <c r="AF2533" s="1350"/>
      <c r="AG2533" s="1350"/>
      <c r="AH2533" s="1350"/>
      <c r="AI2533" s="1350"/>
      <c r="AJ2533" s="1350"/>
      <c r="AK2533" s="1350"/>
      <c r="AL2533" s="1350"/>
      <c r="AM2533" s="1350"/>
      <c r="AN2533" s="1350"/>
      <c r="AO2533" s="1350"/>
      <c r="AP2533" s="1350"/>
      <c r="AQ2533" s="1350"/>
      <c r="AR2533" s="1350"/>
      <c r="AS2533" s="1350"/>
      <c r="AT2533" s="1350"/>
      <c r="AU2533" s="1350"/>
      <c r="AV2533" s="1350"/>
      <c r="AW2533" s="1350"/>
      <c r="AX2533" s="1350"/>
      <c r="AY2533" s="1350"/>
      <c r="AZ2533" s="1350"/>
      <c r="BA2533" s="1070"/>
      <c r="BB2533" s="1070"/>
      <c r="BC2533" s="1070"/>
      <c r="BD2533" s="1070"/>
      <c r="BE2533" s="1070"/>
      <c r="BF2533" s="1070"/>
      <c r="BG2533" s="1070"/>
      <c r="BH2533" s="1070"/>
      <c r="BI2533" s="1070"/>
      <c r="BJ2533" s="1070"/>
      <c r="BK2533" s="1070"/>
      <c r="BL2533" s="1070"/>
      <c r="BM2533" s="1070"/>
      <c r="BN2533" s="1070"/>
      <c r="BO2533" s="1070"/>
      <c r="BP2533" s="1070"/>
      <c r="BQ2533" s="1070"/>
      <c r="BR2533" s="1070"/>
      <c r="BS2533" s="1070"/>
      <c r="BT2533" s="1070"/>
      <c r="BU2533" s="1070"/>
      <c r="BV2533" s="1070"/>
      <c r="BW2533" s="1070"/>
      <c r="BX2533" s="1070"/>
      <c r="BY2533" s="1070"/>
      <c r="BZ2533" s="1070"/>
      <c r="CA2533" s="1070"/>
      <c r="CB2533" s="1070"/>
      <c r="CC2533" s="1070"/>
      <c r="CD2533" s="1070"/>
      <c r="CE2533" s="1070"/>
      <c r="CF2533" s="1070"/>
      <c r="CG2533" s="1070"/>
      <c r="CH2533" s="1070"/>
      <c r="CI2533" s="1070"/>
      <c r="CJ2533" s="1070"/>
      <c r="CK2533" s="1070"/>
      <c r="CL2533" s="1070"/>
      <c r="CM2533" s="1070"/>
      <c r="CN2533" s="1070"/>
      <c r="CO2533" s="1070"/>
      <c r="CP2533" s="1070"/>
      <c r="CQ2533" s="1070"/>
      <c r="CR2533" s="1070"/>
      <c r="CS2533" s="1070"/>
      <c r="CT2533" s="1070"/>
      <c r="CU2533" s="1070"/>
      <c r="CV2533" s="1070"/>
      <c r="CW2533" s="1070"/>
      <c r="CX2533" s="1070"/>
      <c r="CY2533" s="1070"/>
      <c r="CZ2533" s="1070"/>
      <c r="DA2533" s="1070"/>
      <c r="DB2533" s="1070"/>
      <c r="DC2533" s="1070"/>
      <c r="DD2533" s="1070"/>
      <c r="DE2533" s="1070"/>
      <c r="DF2533" s="1070"/>
      <c r="DG2533" s="1070"/>
      <c r="DH2533" s="1070"/>
      <c r="DI2533" s="1070"/>
      <c r="DJ2533" s="1070"/>
    </row>
    <row r="2534" spans="1:114" s="1136" customFormat="1" ht="15.75" x14ac:dyDescent="0.25">
      <c r="A2534" s="1461" t="s">
        <v>832</v>
      </c>
      <c r="B2534" s="1443"/>
      <c r="C2534" s="1437"/>
      <c r="D2534" s="1416"/>
      <c r="E2534" s="1416"/>
      <c r="F2534" s="1416"/>
      <c r="G2534" s="1416"/>
      <c r="H2534" s="1350"/>
      <c r="I2534" s="1350"/>
      <c r="J2534" s="1350"/>
      <c r="K2534" s="1350"/>
      <c r="L2534" s="1350"/>
      <c r="M2534" s="1350"/>
      <c r="N2534" s="1350"/>
      <c r="O2534" s="1350"/>
      <c r="P2534" s="1350"/>
      <c r="Q2534" s="1350"/>
      <c r="R2534" s="1350"/>
      <c r="S2534" s="1350"/>
      <c r="T2534" s="1350"/>
      <c r="U2534" s="1350"/>
      <c r="V2534" s="1350"/>
      <c r="W2534" s="1350"/>
      <c r="X2534" s="1350"/>
      <c r="Y2534" s="1350"/>
      <c r="Z2534" s="1350"/>
      <c r="AA2534" s="1350"/>
      <c r="AB2534" s="1350"/>
      <c r="AC2534" s="1350"/>
      <c r="AD2534" s="1350"/>
      <c r="AE2534" s="1350"/>
      <c r="AF2534" s="1350"/>
      <c r="AG2534" s="1350"/>
      <c r="AH2534" s="1350"/>
      <c r="AI2534" s="1350"/>
      <c r="AJ2534" s="1350"/>
      <c r="AK2534" s="1350"/>
      <c r="AL2534" s="1350"/>
      <c r="AM2534" s="1350"/>
      <c r="AN2534" s="1350"/>
      <c r="AO2534" s="1350"/>
      <c r="AP2534" s="1350"/>
      <c r="AQ2534" s="1350"/>
      <c r="AR2534" s="1350"/>
      <c r="AS2534" s="1350"/>
      <c r="AT2534" s="1350"/>
      <c r="AU2534" s="1350"/>
      <c r="AV2534" s="1350"/>
      <c r="AW2534" s="1350"/>
      <c r="AX2534" s="1350"/>
      <c r="AY2534" s="1350"/>
      <c r="AZ2534" s="1350"/>
      <c r="BA2534" s="1070"/>
      <c r="BB2534" s="1070"/>
      <c r="BC2534" s="1070"/>
      <c r="BD2534" s="1070"/>
      <c r="BE2534" s="1070"/>
      <c r="BF2534" s="1070"/>
      <c r="BG2534" s="1070"/>
      <c r="BH2534" s="1070"/>
      <c r="BI2534" s="1070"/>
      <c r="BJ2534" s="1070"/>
      <c r="BK2534" s="1070"/>
      <c r="BL2534" s="1070"/>
      <c r="BM2534" s="1070"/>
      <c r="BN2534" s="1070"/>
      <c r="BO2534" s="1070"/>
      <c r="BP2534" s="1070"/>
      <c r="BQ2534" s="1070"/>
      <c r="BR2534" s="1070"/>
      <c r="BS2534" s="1070"/>
      <c r="BT2534" s="1070"/>
      <c r="BU2534" s="1070"/>
      <c r="BV2534" s="1070"/>
      <c r="BW2534" s="1070"/>
      <c r="BX2534" s="1070"/>
      <c r="BY2534" s="1070"/>
      <c r="BZ2534" s="1070"/>
      <c r="CA2534" s="1070"/>
      <c r="CB2534" s="1070"/>
      <c r="CC2534" s="1070"/>
      <c r="CD2534" s="1070"/>
      <c r="CE2534" s="1070"/>
      <c r="CF2534" s="1070"/>
      <c r="CG2534" s="1070"/>
      <c r="CH2534" s="1070"/>
      <c r="CI2534" s="1070"/>
      <c r="CJ2534" s="1070"/>
      <c r="CK2534" s="1070"/>
      <c r="CL2534" s="1070"/>
      <c r="CM2534" s="1070"/>
      <c r="CN2534" s="1070"/>
      <c r="CO2534" s="1070"/>
      <c r="CP2534" s="1070"/>
      <c r="CQ2534" s="1070"/>
      <c r="CR2534" s="1070"/>
      <c r="CS2534" s="1070"/>
      <c r="CT2534" s="1070"/>
      <c r="CU2534" s="1070"/>
      <c r="CV2534" s="1070"/>
      <c r="CW2534" s="1070"/>
      <c r="CX2534" s="1070"/>
      <c r="CY2534" s="1070"/>
      <c r="CZ2534" s="1070"/>
      <c r="DA2534" s="1070"/>
      <c r="DB2534" s="1070"/>
      <c r="DC2534" s="1070"/>
      <c r="DD2534" s="1070"/>
      <c r="DE2534" s="1070"/>
      <c r="DF2534" s="1070"/>
      <c r="DG2534" s="1070"/>
      <c r="DH2534" s="1070"/>
      <c r="DI2534" s="1070"/>
      <c r="DJ2534" s="1070"/>
    </row>
    <row r="2535" spans="1:114" s="1136" customFormat="1" ht="15.75" x14ac:dyDescent="0.25">
      <c r="A2535" s="1456" t="s">
        <v>833</v>
      </c>
      <c r="B2535" s="1457">
        <v>2.1</v>
      </c>
      <c r="C2535" s="1458"/>
      <c r="D2535" s="1463"/>
      <c r="E2535" s="1463"/>
      <c r="F2535" s="1463"/>
      <c r="G2535" s="1463"/>
      <c r="H2535" s="1350"/>
      <c r="I2535" s="1350"/>
      <c r="J2535" s="1350"/>
      <c r="K2535" s="1350"/>
      <c r="L2535" s="1350"/>
      <c r="M2535" s="1350"/>
      <c r="N2535" s="1350"/>
      <c r="O2535" s="1350"/>
      <c r="P2535" s="1350"/>
      <c r="Q2535" s="1350"/>
      <c r="R2535" s="1350"/>
      <c r="S2535" s="1350"/>
      <c r="T2535" s="1350"/>
      <c r="U2535" s="1350"/>
      <c r="V2535" s="1350"/>
      <c r="W2535" s="1350"/>
      <c r="X2535" s="1350"/>
      <c r="Y2535" s="1350"/>
      <c r="Z2535" s="1350"/>
      <c r="AA2535" s="1350"/>
      <c r="AB2535" s="1350"/>
      <c r="AC2535" s="1350"/>
      <c r="AD2535" s="1350"/>
      <c r="AE2535" s="1350"/>
      <c r="AF2535" s="1350"/>
      <c r="AG2535" s="1350"/>
      <c r="AH2535" s="1350"/>
      <c r="AI2535" s="1350"/>
      <c r="AJ2535" s="1350"/>
      <c r="AK2535" s="1350"/>
      <c r="AL2535" s="1350"/>
      <c r="AM2535" s="1350"/>
      <c r="AN2535" s="1350"/>
      <c r="AO2535" s="1350"/>
      <c r="AP2535" s="1350"/>
      <c r="AQ2535" s="1350"/>
      <c r="AR2535" s="1350"/>
      <c r="AS2535" s="1350"/>
      <c r="AT2535" s="1350"/>
      <c r="AU2535" s="1350"/>
      <c r="AV2535" s="1350"/>
      <c r="AW2535" s="1350"/>
      <c r="AX2535" s="1350"/>
      <c r="AY2535" s="1350"/>
      <c r="AZ2535" s="1350"/>
      <c r="BA2535" s="1070"/>
      <c r="BB2535" s="1070"/>
      <c r="BC2535" s="1070"/>
      <c r="BD2535" s="1070"/>
      <c r="BE2535" s="1070"/>
      <c r="BF2535" s="1070"/>
      <c r="BG2535" s="1070"/>
      <c r="BH2535" s="1070"/>
      <c r="BI2535" s="1070"/>
      <c r="BJ2535" s="1070"/>
      <c r="BK2535" s="1070"/>
      <c r="BL2535" s="1070"/>
      <c r="BM2535" s="1070"/>
      <c r="BN2535" s="1070"/>
      <c r="BO2535" s="1070"/>
      <c r="BP2535" s="1070"/>
      <c r="BQ2535" s="1070"/>
      <c r="BR2535" s="1070"/>
      <c r="BS2535" s="1070"/>
      <c r="BT2535" s="1070"/>
      <c r="BU2535" s="1070"/>
      <c r="BV2535" s="1070"/>
      <c r="BW2535" s="1070"/>
      <c r="BX2535" s="1070"/>
      <c r="BY2535" s="1070"/>
      <c r="BZ2535" s="1070"/>
      <c r="CA2535" s="1070"/>
      <c r="CB2535" s="1070"/>
      <c r="CC2535" s="1070"/>
      <c r="CD2535" s="1070"/>
      <c r="CE2535" s="1070"/>
      <c r="CF2535" s="1070"/>
      <c r="CG2535" s="1070"/>
      <c r="CH2535" s="1070"/>
      <c r="CI2535" s="1070"/>
      <c r="CJ2535" s="1070"/>
      <c r="CK2535" s="1070"/>
      <c r="CL2535" s="1070"/>
      <c r="CM2535" s="1070"/>
      <c r="CN2535" s="1070"/>
      <c r="CO2535" s="1070"/>
      <c r="CP2535" s="1070"/>
      <c r="CQ2535" s="1070"/>
      <c r="CR2535" s="1070"/>
      <c r="CS2535" s="1070"/>
      <c r="CT2535" s="1070"/>
      <c r="CU2535" s="1070"/>
      <c r="CV2535" s="1070"/>
      <c r="CW2535" s="1070"/>
      <c r="CX2535" s="1070"/>
      <c r="CY2535" s="1070"/>
      <c r="CZ2535" s="1070"/>
      <c r="DA2535" s="1070"/>
      <c r="DB2535" s="1070"/>
      <c r="DC2535" s="1070"/>
      <c r="DD2535" s="1070"/>
      <c r="DE2535" s="1070"/>
      <c r="DF2535" s="1070"/>
      <c r="DG2535" s="1070"/>
      <c r="DH2535" s="1070"/>
      <c r="DI2535" s="1070"/>
      <c r="DJ2535" s="1070"/>
    </row>
    <row r="2536" spans="1:114" s="1136" customFormat="1" ht="15.75" x14ac:dyDescent="0.25">
      <c r="A2536" s="1430" t="s">
        <v>834</v>
      </c>
      <c r="B2536" s="1424" t="e">
        <f>B259*B240*B245*B2535</f>
        <v>#VALUE!</v>
      </c>
      <c r="C2536" s="1429"/>
      <c r="D2536" s="1465"/>
      <c r="E2536" s="1465"/>
      <c r="F2536" s="1465"/>
      <c r="G2536" s="1465"/>
      <c r="H2536" s="1350"/>
      <c r="I2536" s="1350"/>
      <c r="J2536" s="1350"/>
      <c r="K2536" s="1350"/>
      <c r="L2536" s="1350"/>
      <c r="M2536" s="1350"/>
      <c r="N2536" s="1350"/>
      <c r="O2536" s="1350"/>
      <c r="P2536" s="1350"/>
      <c r="Q2536" s="1350"/>
      <c r="R2536" s="1350"/>
      <c r="S2536" s="1350"/>
      <c r="T2536" s="1350"/>
      <c r="U2536" s="1350"/>
      <c r="V2536" s="1350"/>
      <c r="W2536" s="1350"/>
      <c r="X2536" s="1350"/>
      <c r="Y2536" s="1350"/>
      <c r="Z2536" s="1350"/>
      <c r="AA2536" s="1350"/>
      <c r="AB2536" s="1350"/>
      <c r="AC2536" s="1350"/>
      <c r="AD2536" s="1350"/>
      <c r="AE2536" s="1350"/>
      <c r="AF2536" s="1350"/>
      <c r="AG2536" s="1350"/>
      <c r="AH2536" s="1350"/>
      <c r="AI2536" s="1350"/>
      <c r="AJ2536" s="1350"/>
      <c r="AK2536" s="1350"/>
      <c r="AL2536" s="1350"/>
      <c r="AM2536" s="1350"/>
      <c r="AN2536" s="1350"/>
      <c r="AO2536" s="1350"/>
      <c r="AP2536" s="1350"/>
      <c r="AQ2536" s="1350"/>
      <c r="AR2536" s="1350"/>
      <c r="AS2536" s="1350"/>
      <c r="AT2536" s="1350"/>
      <c r="AU2536" s="1350"/>
      <c r="AV2536" s="1350"/>
      <c r="AW2536" s="1350"/>
      <c r="AX2536" s="1350"/>
      <c r="AY2536" s="1350"/>
      <c r="AZ2536" s="1350"/>
      <c r="BA2536" s="1070"/>
      <c r="BB2536" s="1070"/>
      <c r="BC2536" s="1070"/>
      <c r="BD2536" s="1070"/>
      <c r="BE2536" s="1070"/>
      <c r="BF2536" s="1070"/>
      <c r="BG2536" s="1070"/>
      <c r="BH2536" s="1070"/>
      <c r="BI2536" s="1070"/>
      <c r="BJ2536" s="1070"/>
      <c r="BK2536" s="1070"/>
      <c r="BL2536" s="1070"/>
      <c r="BM2536" s="1070"/>
      <c r="BN2536" s="1070"/>
      <c r="BO2536" s="1070"/>
      <c r="BP2536" s="1070"/>
      <c r="BQ2536" s="1070"/>
      <c r="BR2536" s="1070"/>
      <c r="BS2536" s="1070"/>
      <c r="BT2536" s="1070"/>
      <c r="BU2536" s="1070"/>
      <c r="BV2536" s="1070"/>
      <c r="BW2536" s="1070"/>
      <c r="BX2536" s="1070"/>
      <c r="BY2536" s="1070"/>
      <c r="BZ2536" s="1070"/>
      <c r="CA2536" s="1070"/>
      <c r="CB2536" s="1070"/>
      <c r="CC2536" s="1070"/>
      <c r="CD2536" s="1070"/>
      <c r="CE2536" s="1070"/>
      <c r="CF2536" s="1070"/>
      <c r="CG2536" s="1070"/>
      <c r="CH2536" s="1070"/>
      <c r="CI2536" s="1070"/>
      <c r="CJ2536" s="1070"/>
      <c r="CK2536" s="1070"/>
      <c r="CL2536" s="1070"/>
      <c r="CM2536" s="1070"/>
      <c r="CN2536" s="1070"/>
      <c r="CO2536" s="1070"/>
      <c r="CP2536" s="1070"/>
      <c r="CQ2536" s="1070"/>
      <c r="CR2536" s="1070"/>
      <c r="CS2536" s="1070"/>
      <c r="CT2536" s="1070"/>
      <c r="CU2536" s="1070"/>
      <c r="CV2536" s="1070"/>
      <c r="CW2536" s="1070"/>
      <c r="CX2536" s="1070"/>
      <c r="CY2536" s="1070"/>
      <c r="CZ2536" s="1070"/>
      <c r="DA2536" s="1070"/>
      <c r="DB2536" s="1070"/>
      <c r="DC2536" s="1070"/>
      <c r="DD2536" s="1070"/>
      <c r="DE2536" s="1070"/>
      <c r="DF2536" s="1070"/>
      <c r="DG2536" s="1070"/>
      <c r="DH2536" s="1070"/>
      <c r="DI2536" s="1070"/>
      <c r="DJ2536" s="1070"/>
    </row>
    <row r="2537" spans="1:114" s="1136" customFormat="1" ht="15.75" x14ac:dyDescent="0.25">
      <c r="A2537" s="1417" t="s">
        <v>5572</v>
      </c>
      <c r="B2537" s="1469">
        <v>3</v>
      </c>
      <c r="C2537" s="1470"/>
      <c r="D2537" s="1437"/>
      <c r="E2537" s="1437"/>
      <c r="F2537" s="1437"/>
      <c r="G2537" s="1437"/>
      <c r="H2537" s="1350"/>
      <c r="I2537" s="1350"/>
      <c r="J2537" s="1350"/>
      <c r="K2537" s="1350"/>
      <c r="L2537" s="1350"/>
      <c r="M2537" s="1350"/>
      <c r="N2537" s="1350"/>
      <c r="O2537" s="1350"/>
      <c r="P2537" s="1350"/>
      <c r="Q2537" s="1350"/>
      <c r="R2537" s="1350"/>
      <c r="S2537" s="1350"/>
      <c r="T2537" s="1350"/>
      <c r="U2537" s="1350"/>
      <c r="V2537" s="1350"/>
      <c r="W2537" s="1350"/>
      <c r="X2537" s="1350"/>
      <c r="Y2537" s="1350"/>
      <c r="Z2537" s="1350"/>
      <c r="AA2537" s="1350"/>
      <c r="AB2537" s="1350"/>
      <c r="AC2537" s="1350"/>
      <c r="AD2537" s="1350"/>
      <c r="AE2537" s="1350"/>
      <c r="AF2537" s="1350"/>
      <c r="AG2537" s="1350"/>
      <c r="AH2537" s="1350"/>
      <c r="AI2537" s="1350"/>
      <c r="AJ2537" s="1350"/>
      <c r="AK2537" s="1350"/>
      <c r="AL2537" s="1350"/>
      <c r="AM2537" s="1350"/>
      <c r="AN2537" s="1350"/>
      <c r="AO2537" s="1350"/>
      <c r="AP2537" s="1350"/>
      <c r="AQ2537" s="1350"/>
      <c r="AR2537" s="1350"/>
      <c r="AS2537" s="1350"/>
      <c r="AT2537" s="1350"/>
      <c r="AU2537" s="1350"/>
      <c r="AV2537" s="1350"/>
      <c r="AW2537" s="1350"/>
      <c r="AX2537" s="1350"/>
      <c r="AY2537" s="1350"/>
      <c r="AZ2537" s="1350"/>
      <c r="BA2537" s="1070"/>
      <c r="BB2537" s="1070"/>
      <c r="BC2537" s="1070"/>
      <c r="BD2537" s="1070"/>
      <c r="BE2537" s="1070"/>
      <c r="BF2537" s="1070"/>
      <c r="BG2537" s="1070"/>
      <c r="BH2537" s="1070"/>
      <c r="BI2537" s="1070"/>
      <c r="BJ2537" s="1070"/>
      <c r="BK2537" s="1070"/>
      <c r="BL2537" s="1070"/>
      <c r="BM2537" s="1070"/>
      <c r="BN2537" s="1070"/>
      <c r="BO2537" s="1070"/>
      <c r="BP2537" s="1070"/>
      <c r="BQ2537" s="1070"/>
      <c r="BR2537" s="1070"/>
      <c r="BS2537" s="1070"/>
      <c r="BT2537" s="1070"/>
      <c r="BU2537" s="1070"/>
      <c r="BV2537" s="1070"/>
      <c r="BW2537" s="1070"/>
      <c r="BX2537" s="1070"/>
      <c r="BY2537" s="1070"/>
      <c r="BZ2537" s="1070"/>
      <c r="CA2537" s="1070"/>
      <c r="CB2537" s="1070"/>
      <c r="CC2537" s="1070"/>
      <c r="CD2537" s="1070"/>
      <c r="CE2537" s="1070"/>
      <c r="CF2537" s="1070"/>
      <c r="CG2537" s="1070"/>
      <c r="CH2537" s="1070"/>
      <c r="CI2537" s="1070"/>
      <c r="CJ2537" s="1070"/>
      <c r="CK2537" s="1070"/>
      <c r="CL2537" s="1070"/>
      <c r="CM2537" s="1070"/>
      <c r="CN2537" s="1070"/>
      <c r="CO2537" s="1070"/>
      <c r="CP2537" s="1070"/>
      <c r="CQ2537" s="1070"/>
      <c r="CR2537" s="1070"/>
      <c r="CS2537" s="1070"/>
      <c r="CT2537" s="1070"/>
      <c r="CU2537" s="1070"/>
      <c r="CV2537" s="1070"/>
      <c r="CW2537" s="1070"/>
      <c r="CX2537" s="1070"/>
      <c r="CY2537" s="1070"/>
      <c r="CZ2537" s="1070"/>
      <c r="DA2537" s="1070"/>
      <c r="DB2537" s="1070"/>
      <c r="DC2537" s="1070"/>
      <c r="DD2537" s="1070"/>
      <c r="DE2537" s="1070"/>
      <c r="DF2537" s="1070"/>
      <c r="DG2537" s="1070"/>
      <c r="DH2537" s="1070"/>
      <c r="DI2537" s="1070"/>
      <c r="DJ2537" s="1070"/>
    </row>
    <row r="2538" spans="1:114" s="1136" customFormat="1" ht="15.75" x14ac:dyDescent="0.25">
      <c r="A2538" s="1430" t="s">
        <v>425</v>
      </c>
      <c r="B2538" s="1441">
        <f>IF(B2537&lt;2,B2542,IF(B2537&lt;3,B2543,IF(B2537&lt;4,B2544,IF(B2537&lt;5,B2545,B2546))))</f>
        <v>158</v>
      </c>
      <c r="C2538" s="1434"/>
      <c r="D2538" s="1437"/>
      <c r="E2538" s="1437"/>
      <c r="F2538" s="1437"/>
      <c r="G2538" s="1437"/>
      <c r="H2538" s="1350"/>
      <c r="I2538" s="1350"/>
      <c r="J2538" s="1350"/>
      <c r="K2538" s="1070"/>
      <c r="L2538" s="1070"/>
      <c r="M2538" s="1070"/>
      <c r="N2538" s="1070"/>
      <c r="O2538" s="1070"/>
      <c r="P2538" s="1070"/>
      <c r="Q2538" s="1070"/>
      <c r="R2538" s="1070"/>
      <c r="S2538" s="1070"/>
      <c r="T2538" s="1070"/>
      <c r="U2538" s="1070"/>
      <c r="V2538" s="1070"/>
      <c r="W2538" s="1070"/>
      <c r="X2538" s="1070"/>
      <c r="Y2538" s="1070"/>
      <c r="Z2538" s="1070"/>
      <c r="AA2538" s="1070"/>
      <c r="AB2538" s="1070"/>
      <c r="AC2538" s="1070"/>
      <c r="AD2538" s="1070"/>
      <c r="AE2538" s="1070"/>
      <c r="AF2538" s="1070"/>
      <c r="AG2538" s="1070"/>
      <c r="AH2538" s="1070"/>
      <c r="AI2538" s="1350"/>
      <c r="AJ2538" s="1350"/>
      <c r="AK2538" s="1350"/>
      <c r="AL2538" s="1350"/>
      <c r="AM2538" s="1350"/>
      <c r="AN2538" s="1350"/>
      <c r="AO2538" s="1350"/>
      <c r="AP2538" s="1350"/>
      <c r="AQ2538" s="1350"/>
      <c r="AR2538" s="1350"/>
      <c r="AS2538" s="1350"/>
      <c r="AT2538" s="1350"/>
      <c r="AU2538" s="1350"/>
      <c r="AV2538" s="1350"/>
      <c r="AW2538" s="1350"/>
      <c r="AX2538" s="1350"/>
      <c r="AY2538" s="1350"/>
      <c r="AZ2538" s="1350"/>
      <c r="BA2538" s="1070"/>
      <c r="BB2538" s="1070"/>
      <c r="BC2538" s="1070"/>
      <c r="BD2538" s="1070"/>
      <c r="BE2538" s="1070"/>
      <c r="BF2538" s="1070"/>
      <c r="BG2538" s="1070"/>
      <c r="BH2538" s="1070"/>
      <c r="BI2538" s="1070"/>
      <c r="BJ2538" s="1070"/>
      <c r="BK2538" s="1070"/>
      <c r="BL2538" s="1070"/>
      <c r="BM2538" s="1070"/>
      <c r="BN2538" s="1070"/>
      <c r="BO2538" s="1070"/>
      <c r="BP2538" s="1070"/>
      <c r="BQ2538" s="1070"/>
      <c r="BR2538" s="1070"/>
      <c r="BS2538" s="1070"/>
      <c r="BT2538" s="1070"/>
      <c r="BU2538" s="1070"/>
      <c r="BV2538" s="1070"/>
      <c r="BW2538" s="1070"/>
      <c r="BX2538" s="1070"/>
      <c r="BY2538" s="1070"/>
      <c r="BZ2538" s="1070"/>
      <c r="CA2538" s="1070"/>
      <c r="CB2538" s="1070"/>
      <c r="CC2538" s="1070"/>
      <c r="CD2538" s="1070"/>
      <c r="CE2538" s="1070"/>
      <c r="CF2538" s="1070"/>
      <c r="CG2538" s="1070"/>
      <c r="CH2538" s="1070"/>
      <c r="CI2538" s="1070"/>
      <c r="CJ2538" s="1070"/>
      <c r="CK2538" s="1070"/>
      <c r="CL2538" s="1070"/>
      <c r="CM2538" s="1070"/>
      <c r="CN2538" s="1070"/>
      <c r="CO2538" s="1070"/>
      <c r="CP2538" s="1070"/>
      <c r="CQ2538" s="1070"/>
      <c r="CR2538" s="1070"/>
      <c r="CS2538" s="1070"/>
      <c r="CT2538" s="1070"/>
      <c r="CU2538" s="1070"/>
      <c r="CV2538" s="1070"/>
      <c r="CW2538" s="1070"/>
      <c r="CX2538" s="1070"/>
      <c r="CY2538" s="1070"/>
      <c r="CZ2538" s="1070"/>
      <c r="DA2538" s="1070"/>
      <c r="DB2538" s="1070"/>
      <c r="DC2538" s="1070"/>
      <c r="DD2538" s="1070"/>
      <c r="DE2538" s="1070"/>
      <c r="DF2538" s="1070"/>
      <c r="DG2538" s="1070"/>
      <c r="DH2538" s="1070"/>
      <c r="DI2538" s="1070"/>
      <c r="DJ2538" s="1070"/>
    </row>
    <row r="2539" spans="1:114" s="1136" customFormat="1" ht="15.75" x14ac:dyDescent="0.25">
      <c r="A2539" s="1430" t="s">
        <v>835</v>
      </c>
      <c r="B2539" s="1441">
        <f>IF(B240&lt;0.61,1,IF(B240&lt;0.81,2,IF(B240&lt;1.41,3,IF(B240&lt;1.81,4,5))))</f>
        <v>5</v>
      </c>
      <c r="C2539" s="1434"/>
      <c r="D2539" s="1468"/>
      <c r="E2539" s="1468"/>
      <c r="F2539" s="1468"/>
      <c r="G2539" s="1468"/>
      <c r="H2539" s="1350"/>
      <c r="I2539" s="1350"/>
      <c r="J2539" s="1350"/>
      <c r="K2539" s="1070"/>
      <c r="L2539" s="1070"/>
      <c r="M2539" s="1070"/>
      <c r="N2539" s="1070"/>
      <c r="O2539" s="1070"/>
      <c r="P2539" s="1070"/>
      <c r="Q2539" s="1070"/>
      <c r="R2539" s="1070"/>
      <c r="S2539" s="1070"/>
      <c r="T2539" s="1070"/>
      <c r="U2539" s="1070"/>
      <c r="V2539" s="1070"/>
      <c r="W2539" s="1070"/>
      <c r="X2539" s="1070"/>
      <c r="Y2539" s="1070"/>
      <c r="Z2539" s="1070"/>
      <c r="AA2539" s="1070"/>
      <c r="AB2539" s="1070"/>
      <c r="AC2539" s="1070"/>
      <c r="AD2539" s="1070"/>
      <c r="AE2539" s="1070"/>
      <c r="AF2539" s="1070"/>
      <c r="AG2539" s="1070"/>
      <c r="AH2539" s="1070"/>
      <c r="AI2539" s="1350"/>
      <c r="AJ2539" s="1350"/>
      <c r="AK2539" s="1350"/>
      <c r="AL2539" s="1350"/>
      <c r="AM2539" s="1350"/>
      <c r="AN2539" s="1350"/>
      <c r="AO2539" s="1350"/>
      <c r="AP2539" s="1350"/>
      <c r="AQ2539" s="1350"/>
      <c r="AR2539" s="1350"/>
      <c r="AS2539" s="1350"/>
      <c r="AT2539" s="1350"/>
      <c r="AU2539" s="1350"/>
      <c r="AV2539" s="1350"/>
      <c r="AW2539" s="1350"/>
      <c r="AX2539" s="1350"/>
      <c r="AY2539" s="1350"/>
      <c r="AZ2539" s="1350"/>
      <c r="BA2539" s="1070"/>
      <c r="BB2539" s="1070"/>
      <c r="BC2539" s="1070"/>
      <c r="BD2539" s="1070"/>
      <c r="BE2539" s="1070"/>
      <c r="BF2539" s="1070"/>
      <c r="BG2539" s="1070"/>
      <c r="BH2539" s="1070"/>
      <c r="BI2539" s="1070"/>
      <c r="BJ2539" s="1070"/>
      <c r="BK2539" s="1070"/>
      <c r="BL2539" s="1070"/>
      <c r="BM2539" s="1070"/>
      <c r="BN2539" s="1070"/>
      <c r="BO2539" s="1070"/>
      <c r="BP2539" s="1070"/>
      <c r="BQ2539" s="1070"/>
      <c r="BR2539" s="1070"/>
      <c r="BS2539" s="1070"/>
      <c r="BT2539" s="1070"/>
      <c r="BU2539" s="1070"/>
      <c r="BV2539" s="1070"/>
      <c r="BW2539" s="1070"/>
      <c r="BX2539" s="1070"/>
      <c r="BY2539" s="1070"/>
      <c r="BZ2539" s="1070"/>
      <c r="CA2539" s="1070"/>
      <c r="CB2539" s="1070"/>
      <c r="CC2539" s="1070"/>
      <c r="CD2539" s="1070"/>
      <c r="CE2539" s="1070"/>
      <c r="CF2539" s="1070"/>
      <c r="CG2539" s="1070"/>
      <c r="CH2539" s="1070"/>
      <c r="CI2539" s="1070"/>
      <c r="CJ2539" s="1070"/>
      <c r="CK2539" s="1070"/>
      <c r="CL2539" s="1070"/>
      <c r="CM2539" s="1070"/>
      <c r="CN2539" s="1070"/>
      <c r="CO2539" s="1070"/>
      <c r="CP2539" s="1070"/>
      <c r="CQ2539" s="1070"/>
      <c r="CR2539" s="1070"/>
      <c r="CS2539" s="1070"/>
      <c r="CT2539" s="1070"/>
      <c r="CU2539" s="1070"/>
      <c r="CV2539" s="1070"/>
      <c r="CW2539" s="1070"/>
      <c r="CX2539" s="1070"/>
      <c r="CY2539" s="1070"/>
      <c r="CZ2539" s="1070"/>
      <c r="DA2539" s="1070"/>
      <c r="DB2539" s="1070"/>
      <c r="DC2539" s="1070"/>
      <c r="DD2539" s="1070"/>
      <c r="DE2539" s="1070"/>
      <c r="DF2539" s="1070"/>
      <c r="DG2539" s="1070"/>
      <c r="DH2539" s="1070"/>
      <c r="DI2539" s="1070"/>
      <c r="DJ2539" s="1070"/>
    </row>
    <row r="2540" spans="1:114" s="1136" customFormat="1" ht="15.75" x14ac:dyDescent="0.25">
      <c r="A2540" s="1430" t="s">
        <v>836</v>
      </c>
      <c r="B2540" s="1441">
        <f>IF(B251&lt;25,1,IF(B251&lt;46,2,3))</f>
        <v>1</v>
      </c>
      <c r="C2540" s="1434"/>
      <c r="D2540" s="1350"/>
      <c r="E2540" s="1350"/>
      <c r="F2540" s="1350"/>
      <c r="G2540" s="1350"/>
      <c r="H2540" s="1350"/>
      <c r="I2540" s="1350"/>
      <c r="J2540" s="1350"/>
      <c r="K2540" s="1070"/>
      <c r="L2540" s="1070"/>
      <c r="M2540" s="1070"/>
      <c r="N2540" s="1070"/>
      <c r="O2540" s="1070"/>
      <c r="P2540" s="1070"/>
      <c r="Q2540" s="1070"/>
      <c r="R2540" s="1070"/>
      <c r="S2540" s="1070"/>
      <c r="T2540" s="1070"/>
      <c r="U2540" s="1070"/>
      <c r="V2540" s="1070"/>
      <c r="W2540" s="1070"/>
      <c r="X2540" s="1070"/>
      <c r="Y2540" s="1070"/>
      <c r="Z2540" s="1070"/>
      <c r="AA2540" s="1070"/>
      <c r="AB2540" s="1070"/>
      <c r="AC2540" s="1070"/>
      <c r="AD2540" s="1070"/>
      <c r="AE2540" s="1070"/>
      <c r="AF2540" s="1070"/>
      <c r="AG2540" s="1070"/>
      <c r="AH2540" s="1070"/>
      <c r="AI2540" s="1350"/>
      <c r="AJ2540" s="1350"/>
      <c r="AK2540" s="1350"/>
      <c r="AL2540" s="1350"/>
      <c r="AM2540" s="1350"/>
      <c r="AN2540" s="1350"/>
      <c r="AO2540" s="1350"/>
      <c r="AP2540" s="1350"/>
      <c r="AQ2540" s="1350"/>
      <c r="AR2540" s="1350"/>
      <c r="AS2540" s="1350"/>
      <c r="AT2540" s="1350"/>
      <c r="AU2540" s="1350"/>
      <c r="AV2540" s="1350"/>
      <c r="AW2540" s="1350"/>
      <c r="AX2540" s="1350"/>
      <c r="AY2540" s="1350"/>
      <c r="AZ2540" s="1350"/>
      <c r="BA2540" s="1070"/>
      <c r="BB2540" s="1070"/>
      <c r="BC2540" s="1070"/>
      <c r="BD2540" s="1070"/>
      <c r="BE2540" s="1070"/>
      <c r="BF2540" s="1070"/>
      <c r="BG2540" s="1070"/>
      <c r="BH2540" s="1070"/>
      <c r="BI2540" s="1070"/>
      <c r="BJ2540" s="1070"/>
      <c r="BK2540" s="1070"/>
      <c r="BL2540" s="1070"/>
      <c r="BM2540" s="1070"/>
      <c r="BN2540" s="1070"/>
      <c r="BO2540" s="1070"/>
      <c r="BP2540" s="1070"/>
      <c r="BQ2540" s="1070"/>
      <c r="BR2540" s="1070"/>
      <c r="BS2540" s="1070"/>
      <c r="BT2540" s="1070"/>
      <c r="BU2540" s="1070"/>
      <c r="BV2540" s="1070"/>
      <c r="BW2540" s="1070"/>
      <c r="BX2540" s="1070"/>
      <c r="BY2540" s="1070"/>
      <c r="BZ2540" s="1070"/>
      <c r="CA2540" s="1070"/>
      <c r="CB2540" s="1070"/>
      <c r="CC2540" s="1070"/>
      <c r="CD2540" s="1070"/>
      <c r="CE2540" s="1070"/>
      <c r="CF2540" s="1070"/>
      <c r="CG2540" s="1070"/>
      <c r="CH2540" s="1070"/>
      <c r="CI2540" s="1070"/>
      <c r="CJ2540" s="1070"/>
      <c r="CK2540" s="1070"/>
      <c r="CL2540" s="1070"/>
      <c r="CM2540" s="1070"/>
      <c r="CN2540" s="1070"/>
      <c r="CO2540" s="1070"/>
      <c r="CP2540" s="1070"/>
      <c r="CQ2540" s="1070"/>
      <c r="CR2540" s="1070"/>
      <c r="CS2540" s="1070"/>
      <c r="CT2540" s="1070"/>
      <c r="CU2540" s="1070"/>
      <c r="CV2540" s="1070"/>
      <c r="CW2540" s="1070"/>
      <c r="CX2540" s="1070"/>
      <c r="CY2540" s="1070"/>
      <c r="CZ2540" s="1070"/>
      <c r="DA2540" s="1070"/>
      <c r="DB2540" s="1070"/>
      <c r="DC2540" s="1070"/>
      <c r="DD2540" s="1070"/>
      <c r="DE2540" s="1070"/>
      <c r="DF2540" s="1070"/>
      <c r="DG2540" s="1070"/>
      <c r="DH2540" s="1070"/>
      <c r="DI2540" s="1070"/>
      <c r="DJ2540" s="1070"/>
    </row>
    <row r="2541" spans="1:114" s="1136" customFormat="1" ht="15.75" x14ac:dyDescent="0.25">
      <c r="A2541" s="1456" t="s">
        <v>1719</v>
      </c>
      <c r="B2541" s="1443"/>
      <c r="C2541" s="1437"/>
      <c r="D2541" s="1350"/>
      <c r="E2541" s="1350"/>
      <c r="F2541" s="1350"/>
      <c r="G2541" s="1350"/>
      <c r="H2541" s="1350"/>
      <c r="I2541" s="1350"/>
      <c r="J2541" s="1350"/>
      <c r="K2541" s="1070"/>
      <c r="L2541" s="1070"/>
      <c r="M2541" s="1070"/>
      <c r="N2541" s="1070"/>
      <c r="O2541" s="1070"/>
      <c r="P2541" s="1070"/>
      <c r="Q2541" s="1070"/>
      <c r="R2541" s="1070"/>
      <c r="S2541" s="1070"/>
      <c r="T2541" s="1070"/>
      <c r="U2541" s="1070"/>
      <c r="V2541" s="1070"/>
      <c r="W2541" s="1070"/>
      <c r="X2541" s="1070"/>
      <c r="Y2541" s="1070"/>
      <c r="Z2541" s="1070"/>
      <c r="AA2541" s="1070"/>
      <c r="AB2541" s="1070"/>
      <c r="AC2541" s="1070"/>
      <c r="AD2541" s="1070"/>
      <c r="AE2541" s="1070"/>
      <c r="AF2541" s="1070"/>
      <c r="AG2541" s="1070"/>
      <c r="AH2541" s="1070"/>
      <c r="AI2541" s="1350"/>
      <c r="AJ2541" s="1350"/>
      <c r="AK2541" s="1350"/>
      <c r="AL2541" s="1350"/>
      <c r="AM2541" s="1350"/>
      <c r="AN2541" s="1350"/>
      <c r="AO2541" s="1350"/>
      <c r="AP2541" s="1350"/>
      <c r="AQ2541" s="1350"/>
      <c r="AR2541" s="1350"/>
      <c r="AS2541" s="1350"/>
      <c r="AT2541" s="1350"/>
      <c r="AU2541" s="1350"/>
      <c r="AV2541" s="1350"/>
      <c r="AW2541" s="1350"/>
      <c r="AX2541" s="1350"/>
      <c r="AY2541" s="1350"/>
      <c r="AZ2541" s="1350"/>
      <c r="BA2541" s="1070"/>
      <c r="BB2541" s="1070"/>
      <c r="BC2541" s="1070"/>
      <c r="BD2541" s="1070"/>
      <c r="BE2541" s="1070"/>
      <c r="BF2541" s="1070"/>
      <c r="BG2541" s="1070"/>
      <c r="BH2541" s="1070"/>
      <c r="BI2541" s="1070"/>
      <c r="BJ2541" s="1070"/>
      <c r="BK2541" s="1070"/>
      <c r="BL2541" s="1070"/>
      <c r="BM2541" s="1070"/>
      <c r="BN2541" s="1070"/>
      <c r="BO2541" s="1070"/>
      <c r="BP2541" s="1070"/>
      <c r="BQ2541" s="1070"/>
      <c r="BR2541" s="1070"/>
      <c r="BS2541" s="1070"/>
      <c r="BT2541" s="1070"/>
      <c r="BU2541" s="1070"/>
      <c r="BV2541" s="1070"/>
      <c r="BW2541" s="1070"/>
      <c r="BX2541" s="1070"/>
      <c r="BY2541" s="1070"/>
      <c r="BZ2541" s="1070"/>
      <c r="CA2541" s="1070"/>
      <c r="CB2541" s="1070"/>
      <c r="CC2541" s="1070"/>
      <c r="CD2541" s="1070"/>
      <c r="CE2541" s="1070"/>
      <c r="CF2541" s="1070"/>
      <c r="CG2541" s="1070"/>
      <c r="CH2541" s="1070"/>
      <c r="CI2541" s="1070"/>
      <c r="CJ2541" s="1070"/>
      <c r="CK2541" s="1070"/>
      <c r="CL2541" s="1070"/>
      <c r="CM2541" s="1070"/>
      <c r="CN2541" s="1070"/>
      <c r="CO2541" s="1070"/>
      <c r="CP2541" s="1070"/>
      <c r="CQ2541" s="1070"/>
      <c r="CR2541" s="1070"/>
      <c r="CS2541" s="1070"/>
      <c r="CT2541" s="1070"/>
      <c r="CU2541" s="1070"/>
      <c r="CV2541" s="1070"/>
      <c r="CW2541" s="1070"/>
      <c r="CX2541" s="1070"/>
      <c r="CY2541" s="1070"/>
      <c r="CZ2541" s="1070"/>
      <c r="DA2541" s="1070"/>
      <c r="DB2541" s="1070"/>
      <c r="DC2541" s="1070"/>
      <c r="DD2541" s="1070"/>
      <c r="DE2541" s="1070"/>
      <c r="DF2541" s="1070"/>
      <c r="DG2541" s="1070"/>
      <c r="DH2541" s="1070"/>
      <c r="DI2541" s="1070"/>
      <c r="DJ2541" s="1070"/>
    </row>
    <row r="2542" spans="1:114" s="1136" customFormat="1" ht="15.75" x14ac:dyDescent="0.25">
      <c r="A2542" s="1456" t="s">
        <v>837</v>
      </c>
      <c r="B2542" s="1441">
        <f>INDEX($AB$3492:$AD$3496,B2539,B2540)</f>
        <v>306</v>
      </c>
      <c r="C2542" s="1434"/>
      <c r="D2542" s="1458"/>
      <c r="E2542" s="1458"/>
      <c r="F2542" s="1458"/>
      <c r="G2542" s="1458"/>
      <c r="H2542" s="1350"/>
      <c r="I2542" s="1350"/>
      <c r="J2542" s="1350"/>
      <c r="K2542" s="1070"/>
      <c r="L2542" s="1070"/>
      <c r="M2542" s="1070"/>
      <c r="N2542" s="1070"/>
      <c r="O2542" s="1070"/>
      <c r="P2542" s="1070"/>
      <c r="Q2542" s="1070"/>
      <c r="R2542" s="1070"/>
      <c r="S2542" s="1070"/>
      <c r="T2542" s="1070"/>
      <c r="U2542" s="1070"/>
      <c r="V2542" s="1070"/>
      <c r="W2542" s="1070"/>
      <c r="X2542" s="1070"/>
      <c r="Y2542" s="1070"/>
      <c r="Z2542" s="1070"/>
      <c r="AA2542" s="1070"/>
      <c r="AB2542" s="1070"/>
      <c r="AC2542" s="1070"/>
      <c r="AD2542" s="1070"/>
      <c r="AE2542" s="1070"/>
      <c r="AF2542" s="1070"/>
      <c r="AG2542" s="1070"/>
      <c r="AH2542" s="1070"/>
      <c r="AI2542" s="1350"/>
      <c r="AJ2542" s="1350"/>
      <c r="AK2542" s="1350"/>
      <c r="AL2542" s="1350"/>
      <c r="AM2542" s="1350"/>
      <c r="AN2542" s="1350"/>
      <c r="AO2542" s="1350"/>
      <c r="AP2542" s="1350"/>
      <c r="AQ2542" s="1350"/>
      <c r="AR2542" s="1350"/>
      <c r="AS2542" s="1350"/>
      <c r="AT2542" s="1350"/>
      <c r="AU2542" s="1350"/>
      <c r="AV2542" s="1350"/>
      <c r="AW2542" s="1350"/>
      <c r="AX2542" s="1350"/>
      <c r="AY2542" s="1350"/>
      <c r="AZ2542" s="1350"/>
      <c r="BA2542" s="1070"/>
      <c r="BB2542" s="1070"/>
      <c r="BC2542" s="1070"/>
      <c r="BD2542" s="1070"/>
      <c r="BE2542" s="1070"/>
      <c r="BF2542" s="1070"/>
      <c r="BG2542" s="1070"/>
      <c r="BH2542" s="1070"/>
      <c r="BI2542" s="1070"/>
      <c r="BJ2542" s="1070"/>
      <c r="BK2542" s="1070"/>
      <c r="BL2542" s="1070"/>
      <c r="BM2542" s="1070"/>
      <c r="BN2542" s="1070"/>
      <c r="BO2542" s="1070"/>
      <c r="BP2542" s="1070"/>
      <c r="BQ2542" s="1070"/>
      <c r="BR2542" s="1070"/>
      <c r="BS2542" s="1070"/>
      <c r="BT2542" s="1070"/>
      <c r="BU2542" s="1070"/>
      <c r="BV2542" s="1070"/>
      <c r="BW2542" s="1070"/>
      <c r="BX2542" s="1070"/>
      <c r="BY2542" s="1070"/>
      <c r="BZ2542" s="1070"/>
      <c r="CA2542" s="1070"/>
      <c r="CB2542" s="1070"/>
      <c r="CC2542" s="1070"/>
      <c r="CD2542" s="1070"/>
      <c r="CE2542" s="1070"/>
      <c r="CF2542" s="1070"/>
      <c r="CG2542" s="1070"/>
      <c r="CH2542" s="1070"/>
      <c r="CI2542" s="1070"/>
      <c r="CJ2542" s="1070"/>
      <c r="CK2542" s="1070"/>
      <c r="CL2542" s="1070"/>
      <c r="CM2542" s="1070"/>
      <c r="CN2542" s="1070"/>
      <c r="CO2542" s="1070"/>
      <c r="CP2542" s="1070"/>
      <c r="CQ2542" s="1070"/>
      <c r="CR2542" s="1070"/>
      <c r="CS2542" s="1070"/>
      <c r="CT2542" s="1070"/>
      <c r="CU2542" s="1070"/>
      <c r="CV2542" s="1070"/>
      <c r="CW2542" s="1070"/>
      <c r="CX2542" s="1070"/>
      <c r="CY2542" s="1070"/>
      <c r="CZ2542" s="1070"/>
      <c r="DA2542" s="1070"/>
      <c r="DB2542" s="1070"/>
      <c r="DC2542" s="1070"/>
      <c r="DD2542" s="1070"/>
      <c r="DE2542" s="1070"/>
      <c r="DF2542" s="1070"/>
      <c r="DG2542" s="1070"/>
      <c r="DH2542" s="1070"/>
      <c r="DI2542" s="1070"/>
      <c r="DJ2542" s="1070"/>
    </row>
    <row r="2543" spans="1:114" s="1136" customFormat="1" ht="15.75" x14ac:dyDescent="0.25">
      <c r="A2543" s="1417" t="s">
        <v>491</v>
      </c>
      <c r="B2543" s="1441">
        <f>INDEX($AE$3492:$AG$3496,B2539,B2540)</f>
        <v>217</v>
      </c>
      <c r="C2543" s="1434"/>
      <c r="D2543" s="1429"/>
      <c r="E2543" s="1429"/>
      <c r="F2543" s="1429"/>
      <c r="G2543" s="1429"/>
      <c r="H2543" s="1350"/>
      <c r="I2543" s="1350"/>
      <c r="J2543" s="1350"/>
      <c r="K2543" s="1070"/>
      <c r="L2543" s="1070"/>
      <c r="M2543" s="1070"/>
      <c r="N2543" s="1070"/>
      <c r="O2543" s="1070"/>
      <c r="P2543" s="1070"/>
      <c r="Q2543" s="1070"/>
      <c r="R2543" s="1070"/>
      <c r="S2543" s="1070"/>
      <c r="T2543" s="1070"/>
      <c r="U2543" s="1070"/>
      <c r="V2543" s="1070"/>
      <c r="W2543" s="1070"/>
      <c r="X2543" s="1070"/>
      <c r="Y2543" s="1070"/>
      <c r="Z2543" s="1070"/>
      <c r="AA2543" s="1070"/>
      <c r="AB2543" s="1070"/>
      <c r="AC2543" s="1070"/>
      <c r="AD2543" s="1070"/>
      <c r="AE2543" s="1070"/>
      <c r="AF2543" s="1070"/>
      <c r="AG2543" s="1070"/>
      <c r="AH2543" s="1070"/>
      <c r="AI2543" s="1350"/>
      <c r="AJ2543" s="1350"/>
      <c r="AK2543" s="1350"/>
      <c r="AL2543" s="1350"/>
      <c r="AM2543" s="1350"/>
      <c r="AN2543" s="1350"/>
      <c r="AO2543" s="1350"/>
      <c r="AP2543" s="1350"/>
      <c r="AQ2543" s="1350"/>
      <c r="AR2543" s="1350"/>
      <c r="AS2543" s="1350"/>
      <c r="AT2543" s="1350"/>
      <c r="AU2543" s="1350"/>
      <c r="AV2543" s="1350"/>
      <c r="AW2543" s="1350"/>
      <c r="AX2543" s="1350"/>
      <c r="AY2543" s="1350"/>
      <c r="AZ2543" s="1350"/>
      <c r="BA2543" s="1070"/>
      <c r="BB2543" s="1070"/>
      <c r="BC2543" s="1070"/>
      <c r="BD2543" s="1070"/>
      <c r="BE2543" s="1070"/>
      <c r="BF2543" s="1070"/>
      <c r="BG2543" s="1070"/>
      <c r="BH2543" s="1070"/>
      <c r="BI2543" s="1070"/>
      <c r="BJ2543" s="1070"/>
      <c r="BK2543" s="1070"/>
      <c r="BL2543" s="1070"/>
      <c r="BM2543" s="1070"/>
      <c r="BN2543" s="1070"/>
      <c r="BO2543" s="1070"/>
      <c r="BP2543" s="1070"/>
      <c r="BQ2543" s="1070"/>
      <c r="BR2543" s="1070"/>
      <c r="BS2543" s="1070"/>
      <c r="BT2543" s="1070"/>
      <c r="BU2543" s="1070"/>
      <c r="BV2543" s="1070"/>
      <c r="BW2543" s="1070"/>
      <c r="BX2543" s="1070"/>
      <c r="BY2543" s="1070"/>
      <c r="BZ2543" s="1070"/>
      <c r="CA2543" s="1070"/>
      <c r="CB2543" s="1070"/>
      <c r="CC2543" s="1070"/>
      <c r="CD2543" s="1070"/>
      <c r="CE2543" s="1070"/>
      <c r="CF2543" s="1070"/>
      <c r="CG2543" s="1070"/>
      <c r="CH2543" s="1070"/>
      <c r="CI2543" s="1070"/>
      <c r="CJ2543" s="1070"/>
      <c r="CK2543" s="1070"/>
      <c r="CL2543" s="1070"/>
      <c r="CM2543" s="1070"/>
      <c r="CN2543" s="1070"/>
      <c r="CO2543" s="1070"/>
      <c r="CP2543" s="1070"/>
      <c r="CQ2543" s="1070"/>
      <c r="CR2543" s="1070"/>
      <c r="CS2543" s="1070"/>
      <c r="CT2543" s="1070"/>
      <c r="CU2543" s="1070"/>
      <c r="CV2543" s="1070"/>
      <c r="CW2543" s="1070"/>
      <c r="CX2543" s="1070"/>
      <c r="CY2543" s="1070"/>
      <c r="CZ2543" s="1070"/>
      <c r="DA2543" s="1070"/>
      <c r="DB2543" s="1070"/>
      <c r="DC2543" s="1070"/>
      <c r="DD2543" s="1070"/>
      <c r="DE2543" s="1070"/>
      <c r="DF2543" s="1070"/>
      <c r="DG2543" s="1070"/>
      <c r="DH2543" s="1070"/>
      <c r="DI2543" s="1070"/>
      <c r="DJ2543" s="1070"/>
    </row>
    <row r="2544" spans="1:114" s="1136" customFormat="1" ht="15.75" x14ac:dyDescent="0.25">
      <c r="A2544" s="1417" t="s">
        <v>492</v>
      </c>
      <c r="B2544" s="1441">
        <f>INDEX($AH$3492:$AJ$3496,B2539,B2540)</f>
        <v>158</v>
      </c>
      <c r="C2544" s="1434"/>
      <c r="D2544" s="1470"/>
      <c r="E2544" s="1470"/>
      <c r="F2544" s="1470"/>
      <c r="G2544" s="1470"/>
      <c r="H2544" s="1350"/>
      <c r="I2544" s="1350"/>
      <c r="J2544" s="1350"/>
      <c r="K2544" s="1070"/>
      <c r="L2544" s="1070"/>
      <c r="M2544" s="1070"/>
      <c r="N2544" s="1070"/>
      <c r="O2544" s="1070"/>
      <c r="P2544" s="1070"/>
      <c r="Q2544" s="1070"/>
      <c r="R2544" s="1070"/>
      <c r="S2544" s="1070"/>
      <c r="T2544" s="1070"/>
      <c r="U2544" s="1070"/>
      <c r="V2544" s="1070"/>
      <c r="W2544" s="1070"/>
      <c r="X2544" s="1070"/>
      <c r="Y2544" s="1070"/>
      <c r="Z2544" s="1070"/>
      <c r="AA2544" s="1070"/>
      <c r="AB2544" s="1070"/>
      <c r="AC2544" s="1070"/>
      <c r="AD2544" s="1070"/>
      <c r="AE2544" s="1070"/>
      <c r="AF2544" s="1070"/>
      <c r="AG2544" s="1070"/>
      <c r="AH2544" s="1070"/>
      <c r="AI2544" s="1350"/>
      <c r="AJ2544" s="1350"/>
      <c r="AK2544" s="1350"/>
      <c r="AL2544" s="1350"/>
      <c r="AM2544" s="1350"/>
      <c r="AN2544" s="1350"/>
      <c r="AO2544" s="1350"/>
      <c r="AP2544" s="1350"/>
      <c r="AQ2544" s="1350"/>
      <c r="AR2544" s="1350"/>
      <c r="AS2544" s="1350"/>
      <c r="AT2544" s="1350"/>
      <c r="AU2544" s="1350"/>
      <c r="AV2544" s="1350"/>
      <c r="AW2544" s="1350"/>
      <c r="AX2544" s="1350"/>
      <c r="AY2544" s="1350"/>
      <c r="AZ2544" s="1350"/>
      <c r="BA2544" s="1070"/>
      <c r="BB2544" s="1070"/>
      <c r="BC2544" s="1070"/>
      <c r="BD2544" s="1070"/>
      <c r="BE2544" s="1070"/>
      <c r="BF2544" s="1070"/>
      <c r="BG2544" s="1070"/>
      <c r="BH2544" s="1070"/>
      <c r="BI2544" s="1070"/>
      <c r="BJ2544" s="1070"/>
      <c r="BK2544" s="1070"/>
      <c r="BL2544" s="1070"/>
      <c r="BM2544" s="1070"/>
      <c r="BN2544" s="1070"/>
      <c r="BO2544" s="1070"/>
      <c r="BP2544" s="1070"/>
      <c r="BQ2544" s="1070"/>
      <c r="BR2544" s="1070"/>
      <c r="BS2544" s="1070"/>
      <c r="BT2544" s="1070"/>
      <c r="BU2544" s="1070"/>
      <c r="BV2544" s="1070"/>
      <c r="BW2544" s="1070"/>
      <c r="BX2544" s="1070"/>
      <c r="BY2544" s="1070"/>
      <c r="BZ2544" s="1070"/>
      <c r="CA2544" s="1070"/>
      <c r="CB2544" s="1070"/>
      <c r="CC2544" s="1070"/>
      <c r="CD2544" s="1070"/>
      <c r="CE2544" s="1070"/>
      <c r="CF2544" s="1070"/>
      <c r="CG2544" s="1070"/>
      <c r="CH2544" s="1070"/>
      <c r="CI2544" s="1070"/>
      <c r="CJ2544" s="1070"/>
      <c r="CK2544" s="1070"/>
      <c r="CL2544" s="1070"/>
      <c r="CM2544" s="1070"/>
      <c r="CN2544" s="1070"/>
      <c r="CO2544" s="1070"/>
      <c r="CP2544" s="1070"/>
      <c r="CQ2544" s="1070"/>
      <c r="CR2544" s="1070"/>
      <c r="CS2544" s="1070"/>
      <c r="CT2544" s="1070"/>
      <c r="CU2544" s="1070"/>
      <c r="CV2544" s="1070"/>
      <c r="CW2544" s="1070"/>
      <c r="CX2544" s="1070"/>
      <c r="CY2544" s="1070"/>
      <c r="CZ2544" s="1070"/>
      <c r="DA2544" s="1070"/>
      <c r="DB2544" s="1070"/>
      <c r="DC2544" s="1070"/>
      <c r="DD2544" s="1070"/>
      <c r="DE2544" s="1070"/>
      <c r="DF2544" s="1070"/>
      <c r="DG2544" s="1070"/>
      <c r="DH2544" s="1070"/>
      <c r="DI2544" s="1070"/>
      <c r="DJ2544" s="1070"/>
    </row>
    <row r="2545" spans="1:114" s="1136" customFormat="1" ht="15.75" x14ac:dyDescent="0.25">
      <c r="A2545" s="1417" t="s">
        <v>493</v>
      </c>
      <c r="B2545" s="1441">
        <f>INDEX($AK$3492:$AM$3496,B2539,B2540)</f>
        <v>121</v>
      </c>
      <c r="C2545" s="1434"/>
      <c r="D2545" s="1434"/>
      <c r="E2545" s="1434"/>
      <c r="F2545" s="1434"/>
      <c r="G2545" s="1434"/>
      <c r="H2545" s="1350"/>
      <c r="I2545" s="1350"/>
      <c r="J2545" s="1350"/>
      <c r="K2545" s="1070"/>
      <c r="L2545" s="1070"/>
      <c r="M2545" s="1070"/>
      <c r="N2545" s="1070"/>
      <c r="O2545" s="1070"/>
      <c r="P2545" s="1070"/>
      <c r="Q2545" s="1070"/>
      <c r="R2545" s="1070"/>
      <c r="S2545" s="1070"/>
      <c r="T2545" s="1070"/>
      <c r="U2545" s="1070"/>
      <c r="V2545" s="1070"/>
      <c r="W2545" s="1070"/>
      <c r="X2545" s="1070"/>
      <c r="Y2545" s="1070"/>
      <c r="Z2545" s="1070"/>
      <c r="AA2545" s="1070"/>
      <c r="AB2545" s="1070"/>
      <c r="AC2545" s="1070"/>
      <c r="AD2545" s="1070"/>
      <c r="AE2545" s="1070"/>
      <c r="AF2545" s="1070"/>
      <c r="AG2545" s="1070"/>
      <c r="AH2545" s="1070"/>
      <c r="AI2545" s="1350"/>
      <c r="AJ2545" s="1350"/>
      <c r="AK2545" s="1350"/>
      <c r="AL2545" s="1350"/>
      <c r="AM2545" s="1350"/>
      <c r="AN2545" s="1350"/>
      <c r="AO2545" s="1350"/>
      <c r="AP2545" s="1350"/>
      <c r="AQ2545" s="1350"/>
      <c r="AR2545" s="1350"/>
      <c r="AS2545" s="1350"/>
      <c r="AT2545" s="1350"/>
      <c r="AU2545" s="1350"/>
      <c r="AV2545" s="1350"/>
      <c r="AW2545" s="1350"/>
      <c r="AX2545" s="1350"/>
      <c r="AY2545" s="1350"/>
      <c r="AZ2545" s="1350"/>
      <c r="BA2545" s="1070"/>
      <c r="BB2545" s="1070"/>
      <c r="BC2545" s="1070"/>
      <c r="BD2545" s="1070"/>
      <c r="BE2545" s="1070"/>
      <c r="BF2545" s="1070"/>
      <c r="BG2545" s="1070"/>
      <c r="BH2545" s="1070"/>
      <c r="BI2545" s="1070"/>
      <c r="BJ2545" s="1070"/>
      <c r="BK2545" s="1070"/>
      <c r="BL2545" s="1070"/>
      <c r="BM2545" s="1070"/>
      <c r="BN2545" s="1070"/>
      <c r="BO2545" s="1070"/>
      <c r="BP2545" s="1070"/>
      <c r="BQ2545" s="1070"/>
      <c r="BR2545" s="1070"/>
      <c r="BS2545" s="1070"/>
      <c r="BT2545" s="1070"/>
      <c r="BU2545" s="1070"/>
      <c r="BV2545" s="1070"/>
      <c r="BW2545" s="1070"/>
      <c r="BX2545" s="1070"/>
      <c r="BY2545" s="1070"/>
      <c r="BZ2545" s="1070"/>
      <c r="CA2545" s="1070"/>
      <c r="CB2545" s="1070"/>
      <c r="CC2545" s="1070"/>
      <c r="CD2545" s="1070"/>
      <c r="CE2545" s="1070"/>
      <c r="CF2545" s="1070"/>
      <c r="CG2545" s="1070"/>
      <c r="CH2545" s="1070"/>
      <c r="CI2545" s="1070"/>
      <c r="CJ2545" s="1070"/>
      <c r="CK2545" s="1070"/>
      <c r="CL2545" s="1070"/>
      <c r="CM2545" s="1070"/>
      <c r="CN2545" s="1070"/>
      <c r="CO2545" s="1070"/>
      <c r="CP2545" s="1070"/>
      <c r="CQ2545" s="1070"/>
      <c r="CR2545" s="1070"/>
      <c r="CS2545" s="1070"/>
      <c r="CT2545" s="1070"/>
      <c r="CU2545" s="1070"/>
      <c r="CV2545" s="1070"/>
      <c r="CW2545" s="1070"/>
      <c r="CX2545" s="1070"/>
      <c r="CY2545" s="1070"/>
      <c r="CZ2545" s="1070"/>
      <c r="DA2545" s="1070"/>
      <c r="DB2545" s="1070"/>
      <c r="DC2545" s="1070"/>
      <c r="DD2545" s="1070"/>
      <c r="DE2545" s="1070"/>
      <c r="DF2545" s="1070"/>
      <c r="DG2545" s="1070"/>
      <c r="DH2545" s="1070"/>
      <c r="DI2545" s="1070"/>
      <c r="DJ2545" s="1070"/>
    </row>
    <row r="2546" spans="1:114" s="1136" customFormat="1" ht="15.75" x14ac:dyDescent="0.25">
      <c r="A2546" s="1417" t="s">
        <v>494</v>
      </c>
      <c r="B2546" s="1441">
        <f>INDEX($AN$3492:$AP$3496,B2539,B2540)</f>
        <v>93</v>
      </c>
      <c r="C2546" s="1434"/>
      <c r="D2546" s="1434"/>
      <c r="E2546" s="1434"/>
      <c r="F2546" s="1434"/>
      <c r="G2546" s="1434"/>
      <c r="H2546" s="1350"/>
      <c r="I2546" s="1350"/>
      <c r="J2546" s="1350"/>
      <c r="K2546" s="1070"/>
      <c r="L2546" s="1070"/>
      <c r="M2546" s="1070"/>
      <c r="N2546" s="1070"/>
      <c r="O2546" s="1070"/>
      <c r="P2546" s="1070"/>
      <c r="Q2546" s="1070"/>
      <c r="R2546" s="1070"/>
      <c r="S2546" s="1070"/>
      <c r="T2546" s="1070"/>
      <c r="U2546" s="1070"/>
      <c r="V2546" s="1070"/>
      <c r="W2546" s="1070"/>
      <c r="X2546" s="1070"/>
      <c r="Y2546" s="1070"/>
      <c r="Z2546" s="1070"/>
      <c r="AA2546" s="1070"/>
      <c r="AB2546" s="1070"/>
      <c r="AC2546" s="1070"/>
      <c r="AD2546" s="1070"/>
      <c r="AE2546" s="1070"/>
      <c r="AF2546" s="1070"/>
      <c r="AG2546" s="1070"/>
      <c r="AH2546" s="1070"/>
      <c r="AI2546" s="1350"/>
      <c r="AJ2546" s="1350"/>
      <c r="AK2546" s="1350"/>
      <c r="AL2546" s="1350"/>
      <c r="AM2546" s="1350"/>
      <c r="AN2546" s="1350"/>
      <c r="AO2546" s="1350"/>
      <c r="AP2546" s="1350"/>
      <c r="AQ2546" s="1350"/>
      <c r="AR2546" s="1350"/>
      <c r="AS2546" s="1350"/>
      <c r="AT2546" s="1350"/>
      <c r="AU2546" s="1350"/>
      <c r="AV2546" s="1350"/>
      <c r="AW2546" s="1350"/>
      <c r="AX2546" s="1350"/>
      <c r="AY2546" s="1350"/>
      <c r="AZ2546" s="1350"/>
      <c r="BA2546" s="1070"/>
      <c r="BB2546" s="1070"/>
      <c r="BC2546" s="1070"/>
      <c r="BD2546" s="1070"/>
      <c r="BE2546" s="1070"/>
      <c r="BF2546" s="1070"/>
      <c r="BG2546" s="1070"/>
      <c r="BH2546" s="1070"/>
      <c r="BI2546" s="1070"/>
      <c r="BJ2546" s="1070"/>
      <c r="BK2546" s="1070"/>
      <c r="BL2546" s="1070"/>
      <c r="BM2546" s="1070"/>
      <c r="BN2546" s="1070"/>
      <c r="BO2546" s="1070"/>
      <c r="BP2546" s="1070"/>
      <c r="BQ2546" s="1070"/>
      <c r="BR2546" s="1070"/>
      <c r="BS2546" s="1070"/>
      <c r="BT2546" s="1070"/>
      <c r="BU2546" s="1070"/>
      <c r="BV2546" s="1070"/>
      <c r="BW2546" s="1070"/>
      <c r="BX2546" s="1070"/>
      <c r="BY2546" s="1070"/>
      <c r="BZ2546" s="1070"/>
      <c r="CA2546" s="1070"/>
      <c r="CB2546" s="1070"/>
      <c r="CC2546" s="1070"/>
      <c r="CD2546" s="1070"/>
      <c r="CE2546" s="1070"/>
      <c r="CF2546" s="1070"/>
      <c r="CG2546" s="1070"/>
      <c r="CH2546" s="1070"/>
      <c r="CI2546" s="1070"/>
      <c r="CJ2546" s="1070"/>
      <c r="CK2546" s="1070"/>
      <c r="CL2546" s="1070"/>
      <c r="CM2546" s="1070"/>
      <c r="CN2546" s="1070"/>
      <c r="CO2546" s="1070"/>
      <c r="CP2546" s="1070"/>
      <c r="CQ2546" s="1070"/>
      <c r="CR2546" s="1070"/>
      <c r="CS2546" s="1070"/>
      <c r="CT2546" s="1070"/>
      <c r="CU2546" s="1070"/>
      <c r="CV2546" s="1070"/>
      <c r="CW2546" s="1070"/>
      <c r="CX2546" s="1070"/>
      <c r="CY2546" s="1070"/>
      <c r="CZ2546" s="1070"/>
      <c r="DA2546" s="1070"/>
      <c r="DB2546" s="1070"/>
      <c r="DC2546" s="1070"/>
      <c r="DD2546" s="1070"/>
      <c r="DE2546" s="1070"/>
      <c r="DF2546" s="1070"/>
      <c r="DG2546" s="1070"/>
      <c r="DH2546" s="1070"/>
      <c r="DI2546" s="1070"/>
      <c r="DJ2546" s="1070"/>
    </row>
    <row r="2547" spans="1:114" s="1136" customFormat="1" ht="15.75" x14ac:dyDescent="0.25">
      <c r="A2547" s="1430" t="s">
        <v>1322</v>
      </c>
      <c r="B2547" s="1443"/>
      <c r="C2547" s="1437"/>
      <c r="D2547" s="1434"/>
      <c r="E2547" s="1434"/>
      <c r="F2547" s="1434"/>
      <c r="G2547" s="1434"/>
      <c r="H2547" s="1350"/>
      <c r="I2547" s="1350"/>
      <c r="J2547" s="1350"/>
      <c r="K2547" s="1070"/>
      <c r="L2547" s="1070"/>
      <c r="M2547" s="1070"/>
      <c r="N2547" s="1070"/>
      <c r="O2547" s="1070"/>
      <c r="P2547" s="1070"/>
      <c r="Q2547" s="1070"/>
      <c r="R2547" s="1070"/>
      <c r="S2547" s="1070"/>
      <c r="T2547" s="1070"/>
      <c r="U2547" s="1070"/>
      <c r="V2547" s="1070"/>
      <c r="W2547" s="1070"/>
      <c r="X2547" s="1070"/>
      <c r="Y2547" s="1070"/>
      <c r="Z2547" s="1070"/>
      <c r="AA2547" s="1070"/>
      <c r="AB2547" s="1070"/>
      <c r="AC2547" s="1070"/>
      <c r="AD2547" s="1070"/>
      <c r="AE2547" s="1070"/>
      <c r="AF2547" s="1070"/>
      <c r="AG2547" s="1070"/>
      <c r="AH2547" s="1070"/>
      <c r="AI2547" s="1350"/>
      <c r="AJ2547" s="1350"/>
      <c r="AK2547" s="1350"/>
      <c r="AL2547" s="1350"/>
      <c r="AM2547" s="1350"/>
      <c r="AN2547" s="1350"/>
      <c r="AO2547" s="1350"/>
      <c r="AP2547" s="1350"/>
      <c r="AQ2547" s="1350"/>
      <c r="AR2547" s="1350"/>
      <c r="AS2547" s="1350"/>
      <c r="AT2547" s="1350"/>
      <c r="AU2547" s="1350"/>
      <c r="AV2547" s="1350"/>
      <c r="AW2547" s="1350"/>
      <c r="AX2547" s="1350"/>
      <c r="AY2547" s="1350"/>
      <c r="AZ2547" s="1350"/>
      <c r="BA2547" s="1070"/>
      <c r="BB2547" s="1070"/>
      <c r="BC2547" s="1070"/>
      <c r="BD2547" s="1070"/>
      <c r="BE2547" s="1070"/>
      <c r="BF2547" s="1070"/>
      <c r="BG2547" s="1070"/>
      <c r="BH2547" s="1070"/>
      <c r="BI2547" s="1070"/>
      <c r="BJ2547" s="1070"/>
      <c r="BK2547" s="1070"/>
      <c r="BL2547" s="1070"/>
      <c r="BM2547" s="1070"/>
      <c r="BN2547" s="1070"/>
      <c r="BO2547" s="1070"/>
      <c r="BP2547" s="1070"/>
      <c r="BQ2547" s="1070"/>
      <c r="BR2547" s="1070"/>
      <c r="BS2547" s="1070"/>
      <c r="BT2547" s="1070"/>
      <c r="BU2547" s="1070"/>
      <c r="BV2547" s="1070"/>
      <c r="BW2547" s="1070"/>
      <c r="BX2547" s="1070"/>
      <c r="BY2547" s="1070"/>
      <c r="BZ2547" s="1070"/>
      <c r="CA2547" s="1070"/>
      <c r="CB2547" s="1070"/>
      <c r="CC2547" s="1070"/>
      <c r="CD2547" s="1070"/>
      <c r="CE2547" s="1070"/>
      <c r="CF2547" s="1070"/>
      <c r="CG2547" s="1070"/>
      <c r="CH2547" s="1070"/>
      <c r="CI2547" s="1070"/>
      <c r="CJ2547" s="1070"/>
      <c r="CK2547" s="1070"/>
      <c r="CL2547" s="1070"/>
      <c r="CM2547" s="1070"/>
      <c r="CN2547" s="1070"/>
      <c r="CO2547" s="1070"/>
      <c r="CP2547" s="1070"/>
      <c r="CQ2547" s="1070"/>
      <c r="CR2547" s="1070"/>
      <c r="CS2547" s="1070"/>
      <c r="CT2547" s="1070"/>
      <c r="CU2547" s="1070"/>
      <c r="CV2547" s="1070"/>
      <c r="CW2547" s="1070"/>
      <c r="CX2547" s="1070"/>
      <c r="CY2547" s="1070"/>
      <c r="CZ2547" s="1070"/>
      <c r="DA2547" s="1070"/>
      <c r="DB2547" s="1070"/>
      <c r="DC2547" s="1070"/>
      <c r="DD2547" s="1070"/>
      <c r="DE2547" s="1070"/>
      <c r="DF2547" s="1070"/>
      <c r="DG2547" s="1070"/>
      <c r="DH2547" s="1070"/>
      <c r="DI2547" s="1070"/>
      <c r="DJ2547" s="1070"/>
    </row>
    <row r="2548" spans="1:114" s="1136" customFormat="1" ht="15.75" x14ac:dyDescent="0.25">
      <c r="A2548" s="1430" t="s">
        <v>495</v>
      </c>
      <c r="B2548" s="1450">
        <v>0.7</v>
      </c>
      <c r="C2548" s="1440"/>
      <c r="D2548" s="1350"/>
      <c r="E2548" s="1350"/>
      <c r="F2548" s="1350"/>
      <c r="G2548" s="1350"/>
      <c r="H2548" s="1350"/>
      <c r="I2548" s="1350"/>
      <c r="J2548" s="1350"/>
      <c r="K2548" s="1070"/>
      <c r="L2548" s="1070"/>
      <c r="M2548" s="1070"/>
      <c r="N2548" s="1070"/>
      <c r="O2548" s="1070"/>
      <c r="P2548" s="1070"/>
      <c r="Q2548" s="1070"/>
      <c r="R2548" s="1070"/>
      <c r="S2548" s="1070"/>
      <c r="T2548" s="1070"/>
      <c r="U2548" s="1070"/>
      <c r="V2548" s="1070"/>
      <c r="W2548" s="1070"/>
      <c r="X2548" s="1070"/>
      <c r="Y2548" s="1070"/>
      <c r="Z2548" s="1070"/>
      <c r="AA2548" s="1070"/>
      <c r="AB2548" s="1070"/>
      <c r="AC2548" s="1070"/>
      <c r="AD2548" s="1070"/>
      <c r="AE2548" s="1070"/>
      <c r="AF2548" s="1070"/>
      <c r="AG2548" s="1070"/>
      <c r="AH2548" s="1070"/>
      <c r="AI2548" s="1350"/>
      <c r="AJ2548" s="1350"/>
      <c r="AK2548" s="1350"/>
      <c r="AL2548" s="1350"/>
      <c r="AM2548" s="1350"/>
      <c r="AN2548" s="1350"/>
      <c r="AO2548" s="1350"/>
      <c r="AP2548" s="1350"/>
      <c r="AQ2548" s="1350"/>
      <c r="AR2548" s="1350"/>
      <c r="AS2548" s="1350"/>
      <c r="AT2548" s="1350"/>
      <c r="AU2548" s="1350"/>
      <c r="AV2548" s="1350"/>
      <c r="AW2548" s="1350"/>
      <c r="AX2548" s="1350"/>
      <c r="AY2548" s="1350"/>
      <c r="AZ2548" s="1350"/>
      <c r="BA2548" s="1070"/>
      <c r="BB2548" s="1070"/>
      <c r="BC2548" s="1070"/>
      <c r="BD2548" s="1070"/>
      <c r="BE2548" s="1070"/>
      <c r="BF2548" s="1070"/>
      <c r="BG2548" s="1070"/>
      <c r="BH2548" s="1070"/>
      <c r="BI2548" s="1070"/>
      <c r="BJ2548" s="1070"/>
      <c r="BK2548" s="1070"/>
      <c r="BL2548" s="1070"/>
      <c r="BM2548" s="1070"/>
      <c r="BN2548" s="1070"/>
      <c r="BO2548" s="1070"/>
      <c r="BP2548" s="1070"/>
      <c r="BQ2548" s="1070"/>
      <c r="BR2548" s="1070"/>
      <c r="BS2548" s="1070"/>
      <c r="BT2548" s="1070"/>
      <c r="BU2548" s="1070"/>
      <c r="BV2548" s="1070"/>
      <c r="BW2548" s="1070"/>
      <c r="BX2548" s="1070"/>
      <c r="BY2548" s="1070"/>
      <c r="BZ2548" s="1070"/>
      <c r="CA2548" s="1070"/>
      <c r="CB2548" s="1070"/>
      <c r="CC2548" s="1070"/>
      <c r="CD2548" s="1070"/>
      <c r="CE2548" s="1070"/>
      <c r="CF2548" s="1070"/>
      <c r="CG2548" s="1070"/>
      <c r="CH2548" s="1070"/>
      <c r="CI2548" s="1070"/>
      <c r="CJ2548" s="1070"/>
      <c r="CK2548" s="1070"/>
      <c r="CL2548" s="1070"/>
      <c r="CM2548" s="1070"/>
      <c r="CN2548" s="1070"/>
      <c r="CO2548" s="1070"/>
      <c r="CP2548" s="1070"/>
      <c r="CQ2548" s="1070"/>
      <c r="CR2548" s="1070"/>
      <c r="CS2548" s="1070"/>
      <c r="CT2548" s="1070"/>
      <c r="CU2548" s="1070"/>
      <c r="CV2548" s="1070"/>
      <c r="CW2548" s="1070"/>
      <c r="CX2548" s="1070"/>
      <c r="CY2548" s="1070"/>
      <c r="CZ2548" s="1070"/>
      <c r="DA2548" s="1070"/>
      <c r="DB2548" s="1070"/>
      <c r="DC2548" s="1070"/>
      <c r="DD2548" s="1070"/>
      <c r="DE2548" s="1070"/>
      <c r="DF2548" s="1070"/>
      <c r="DG2548" s="1070"/>
      <c r="DH2548" s="1070"/>
      <c r="DI2548" s="1070"/>
      <c r="DJ2548" s="1070"/>
    </row>
    <row r="2549" spans="1:114" s="1136" customFormat="1" ht="47.25" x14ac:dyDescent="0.25">
      <c r="A2549" s="1471" t="s">
        <v>496</v>
      </c>
      <c r="B2549" s="1469">
        <v>0</v>
      </c>
      <c r="C2549" s="1470"/>
      <c r="D2549" s="1434"/>
      <c r="E2549" s="1434"/>
      <c r="F2549" s="1434"/>
      <c r="G2549" s="1434"/>
      <c r="H2549" s="1350"/>
      <c r="I2549" s="1350"/>
      <c r="J2549" s="1350"/>
      <c r="K2549" s="1070"/>
      <c r="L2549" s="1070"/>
      <c r="M2549" s="1070"/>
      <c r="N2549" s="1070"/>
      <c r="O2549" s="1070"/>
      <c r="P2549" s="1070"/>
      <c r="Q2549" s="1070"/>
      <c r="R2549" s="1070"/>
      <c r="S2549" s="1070"/>
      <c r="T2549" s="1070"/>
      <c r="U2549" s="1070"/>
      <c r="V2549" s="1070"/>
      <c r="W2549" s="1070"/>
      <c r="X2549" s="1070"/>
      <c r="Y2549" s="1070"/>
      <c r="Z2549" s="1070"/>
      <c r="AA2549" s="1070"/>
      <c r="AB2549" s="1070"/>
      <c r="AC2549" s="1070"/>
      <c r="AD2549" s="1070"/>
      <c r="AE2549" s="1070"/>
      <c r="AF2549" s="1070"/>
      <c r="AG2549" s="1070"/>
      <c r="AH2549" s="1070"/>
      <c r="AI2549" s="1350"/>
      <c r="AJ2549" s="1350"/>
      <c r="AK2549" s="1350"/>
      <c r="AL2549" s="1350"/>
      <c r="AM2549" s="1350"/>
      <c r="AN2549" s="1350"/>
      <c r="AO2549" s="1350"/>
      <c r="AP2549" s="1350"/>
      <c r="AQ2549" s="1350"/>
      <c r="AR2549" s="1350"/>
      <c r="AS2549" s="1350"/>
      <c r="AT2549" s="1350"/>
      <c r="AU2549" s="1350"/>
      <c r="AV2549" s="1350"/>
      <c r="AW2549" s="1350"/>
      <c r="AX2549" s="1350"/>
      <c r="AY2549" s="1350"/>
      <c r="AZ2549" s="1350"/>
      <c r="BA2549" s="1070"/>
      <c r="BB2549" s="1070"/>
      <c r="BC2549" s="1070"/>
      <c r="BD2549" s="1070"/>
      <c r="BE2549" s="1070"/>
      <c r="BF2549" s="1070"/>
      <c r="BG2549" s="1070"/>
      <c r="BH2549" s="1070"/>
      <c r="BI2549" s="1070"/>
      <c r="BJ2549" s="1070"/>
      <c r="BK2549" s="1070"/>
      <c r="BL2549" s="1070"/>
      <c r="BM2549" s="1070"/>
      <c r="BN2549" s="1070"/>
      <c r="BO2549" s="1070"/>
      <c r="BP2549" s="1070"/>
      <c r="BQ2549" s="1070"/>
      <c r="BR2549" s="1070"/>
      <c r="BS2549" s="1070"/>
      <c r="BT2549" s="1070"/>
      <c r="BU2549" s="1070"/>
      <c r="BV2549" s="1070"/>
      <c r="BW2549" s="1070"/>
      <c r="BX2549" s="1070"/>
      <c r="BY2549" s="1070"/>
      <c r="BZ2549" s="1070"/>
      <c r="CA2549" s="1070"/>
      <c r="CB2549" s="1070"/>
      <c r="CC2549" s="1070"/>
      <c r="CD2549" s="1070"/>
      <c r="CE2549" s="1070"/>
      <c r="CF2549" s="1070"/>
      <c r="CG2549" s="1070"/>
      <c r="CH2549" s="1070"/>
      <c r="CI2549" s="1070"/>
      <c r="CJ2549" s="1070"/>
      <c r="CK2549" s="1070"/>
      <c r="CL2549" s="1070"/>
      <c r="CM2549" s="1070"/>
      <c r="CN2549" s="1070"/>
      <c r="CO2549" s="1070"/>
      <c r="CP2549" s="1070"/>
      <c r="CQ2549" s="1070"/>
      <c r="CR2549" s="1070"/>
      <c r="CS2549" s="1070"/>
      <c r="CT2549" s="1070"/>
      <c r="CU2549" s="1070"/>
      <c r="CV2549" s="1070"/>
      <c r="CW2549" s="1070"/>
      <c r="CX2549" s="1070"/>
      <c r="CY2549" s="1070"/>
      <c r="CZ2549" s="1070"/>
      <c r="DA2549" s="1070"/>
      <c r="DB2549" s="1070"/>
      <c r="DC2549" s="1070"/>
      <c r="DD2549" s="1070"/>
      <c r="DE2549" s="1070"/>
      <c r="DF2549" s="1070"/>
      <c r="DG2549" s="1070"/>
      <c r="DH2549" s="1070"/>
      <c r="DI2549" s="1070"/>
      <c r="DJ2549" s="1070"/>
    </row>
    <row r="2550" spans="1:114" s="1136" customFormat="1" ht="15.75" x14ac:dyDescent="0.25">
      <c r="A2550" s="1420" t="s">
        <v>2978</v>
      </c>
      <c r="B2550" s="1423">
        <f>IF(B2549=1,0.8,1)</f>
        <v>1</v>
      </c>
      <c r="C2550" s="1429"/>
      <c r="D2550" s="1434"/>
      <c r="E2550" s="1434"/>
      <c r="F2550" s="1434"/>
      <c r="G2550" s="1434"/>
      <c r="H2550" s="1350"/>
      <c r="I2550" s="1350"/>
      <c r="J2550" s="1350"/>
      <c r="K2550" s="1070"/>
      <c r="L2550" s="1070"/>
      <c r="M2550" s="1070"/>
      <c r="N2550" s="1070"/>
      <c r="O2550" s="1070"/>
      <c r="P2550" s="1070"/>
      <c r="Q2550" s="1070"/>
      <c r="R2550" s="1070"/>
      <c r="S2550" s="1070"/>
      <c r="T2550" s="1070"/>
      <c r="U2550" s="1070"/>
      <c r="V2550" s="1070"/>
      <c r="W2550" s="1070"/>
      <c r="X2550" s="1070"/>
      <c r="Y2550" s="1070"/>
      <c r="Z2550" s="1070"/>
      <c r="AA2550" s="1070"/>
      <c r="AB2550" s="1070"/>
      <c r="AC2550" s="1070"/>
      <c r="AD2550" s="1070"/>
      <c r="AE2550" s="1070"/>
      <c r="AF2550" s="1070"/>
      <c r="AG2550" s="1070"/>
      <c r="AH2550" s="1070"/>
      <c r="AI2550" s="1350"/>
      <c r="AJ2550" s="1350"/>
      <c r="AK2550" s="1350"/>
      <c r="AL2550" s="1350"/>
      <c r="AM2550" s="1350"/>
      <c r="AN2550" s="1350"/>
      <c r="AO2550" s="1350"/>
      <c r="AP2550" s="1350"/>
      <c r="AQ2550" s="1350"/>
      <c r="AR2550" s="1350"/>
      <c r="AS2550" s="1350"/>
      <c r="AT2550" s="1350"/>
      <c r="AU2550" s="1350"/>
      <c r="AV2550" s="1350"/>
      <c r="AW2550" s="1350"/>
      <c r="AX2550" s="1350"/>
      <c r="AY2550" s="1350"/>
      <c r="AZ2550" s="1350"/>
      <c r="BA2550" s="1070"/>
      <c r="BB2550" s="1070"/>
      <c r="BC2550" s="1070"/>
      <c r="BD2550" s="1070"/>
      <c r="BE2550" s="1070"/>
      <c r="BF2550" s="1070"/>
      <c r="BG2550" s="1070"/>
      <c r="BH2550" s="1070"/>
      <c r="BI2550" s="1070"/>
      <c r="BJ2550" s="1070"/>
      <c r="BK2550" s="1070"/>
      <c r="BL2550" s="1070"/>
      <c r="BM2550" s="1070"/>
      <c r="BN2550" s="1070"/>
      <c r="BO2550" s="1070"/>
      <c r="BP2550" s="1070"/>
      <c r="BQ2550" s="1070"/>
      <c r="BR2550" s="1070"/>
      <c r="BS2550" s="1070"/>
      <c r="BT2550" s="1070"/>
      <c r="BU2550" s="1070"/>
      <c r="BV2550" s="1070"/>
      <c r="BW2550" s="1070"/>
      <c r="BX2550" s="1070"/>
      <c r="BY2550" s="1070"/>
      <c r="BZ2550" s="1070"/>
      <c r="CA2550" s="1070"/>
      <c r="CB2550" s="1070"/>
      <c r="CC2550" s="1070"/>
      <c r="CD2550" s="1070"/>
      <c r="CE2550" s="1070"/>
      <c r="CF2550" s="1070"/>
      <c r="CG2550" s="1070"/>
      <c r="CH2550" s="1070"/>
      <c r="CI2550" s="1070"/>
      <c r="CJ2550" s="1070"/>
      <c r="CK2550" s="1070"/>
      <c r="CL2550" s="1070"/>
      <c r="CM2550" s="1070"/>
      <c r="CN2550" s="1070"/>
      <c r="CO2550" s="1070"/>
      <c r="CP2550" s="1070"/>
      <c r="CQ2550" s="1070"/>
      <c r="CR2550" s="1070"/>
      <c r="CS2550" s="1070"/>
      <c r="CT2550" s="1070"/>
      <c r="CU2550" s="1070"/>
      <c r="CV2550" s="1070"/>
      <c r="CW2550" s="1070"/>
      <c r="CX2550" s="1070"/>
      <c r="CY2550" s="1070"/>
      <c r="CZ2550" s="1070"/>
      <c r="DA2550" s="1070"/>
      <c r="DB2550" s="1070"/>
      <c r="DC2550" s="1070"/>
      <c r="DD2550" s="1070"/>
      <c r="DE2550" s="1070"/>
      <c r="DF2550" s="1070"/>
      <c r="DG2550" s="1070"/>
      <c r="DH2550" s="1070"/>
      <c r="DI2550" s="1070"/>
      <c r="DJ2550" s="1070"/>
    </row>
    <row r="2551" spans="1:114" s="1136" customFormat="1" ht="94.5" x14ac:dyDescent="0.25">
      <c r="A2551" s="1471" t="s">
        <v>3968</v>
      </c>
      <c r="B2551" s="1469">
        <v>0</v>
      </c>
      <c r="C2551" s="1470"/>
      <c r="D2551" s="1434"/>
      <c r="E2551" s="1434"/>
      <c r="F2551" s="1434"/>
      <c r="G2551" s="1434"/>
      <c r="H2551" s="1350"/>
      <c r="I2551" s="1350"/>
      <c r="J2551" s="1350"/>
      <c r="K2551" s="1070"/>
      <c r="L2551" s="1070"/>
      <c r="M2551" s="1070"/>
      <c r="N2551" s="1070"/>
      <c r="O2551" s="1070"/>
      <c r="P2551" s="1070"/>
      <c r="Q2551" s="1070"/>
      <c r="R2551" s="1070"/>
      <c r="S2551" s="1070"/>
      <c r="T2551" s="1070"/>
      <c r="U2551" s="1070"/>
      <c r="V2551" s="1070"/>
      <c r="W2551" s="1070"/>
      <c r="X2551" s="1070"/>
      <c r="Y2551" s="1070"/>
      <c r="Z2551" s="1070"/>
      <c r="AA2551" s="1070"/>
      <c r="AB2551" s="1070"/>
      <c r="AC2551" s="1070"/>
      <c r="AD2551" s="1070"/>
      <c r="AE2551" s="1070"/>
      <c r="AF2551" s="1070"/>
      <c r="AG2551" s="1070"/>
      <c r="AH2551" s="1070"/>
      <c r="AI2551" s="1350"/>
      <c r="AJ2551" s="1350"/>
      <c r="AK2551" s="1350"/>
      <c r="AL2551" s="1350"/>
      <c r="AM2551" s="1350"/>
      <c r="AN2551" s="1350"/>
      <c r="AO2551" s="1350"/>
      <c r="AP2551" s="1350"/>
      <c r="AQ2551" s="1350"/>
      <c r="AR2551" s="1350"/>
      <c r="AS2551" s="1350"/>
      <c r="AT2551" s="1350"/>
      <c r="AU2551" s="1350"/>
      <c r="AV2551" s="1350"/>
      <c r="AW2551" s="1350"/>
      <c r="AX2551" s="1350"/>
      <c r="AY2551" s="1350"/>
      <c r="AZ2551" s="1350"/>
      <c r="BA2551" s="1070"/>
      <c r="BB2551" s="1070"/>
      <c r="BC2551" s="1070"/>
      <c r="BD2551" s="1070"/>
      <c r="BE2551" s="1070"/>
      <c r="BF2551" s="1070"/>
      <c r="BG2551" s="1070"/>
      <c r="BH2551" s="1070"/>
      <c r="BI2551" s="1070"/>
      <c r="BJ2551" s="1070"/>
      <c r="BK2551" s="1070"/>
      <c r="BL2551" s="1070"/>
      <c r="BM2551" s="1070"/>
      <c r="BN2551" s="1070"/>
      <c r="BO2551" s="1070"/>
      <c r="BP2551" s="1070"/>
      <c r="BQ2551" s="1070"/>
      <c r="BR2551" s="1070"/>
      <c r="BS2551" s="1070"/>
      <c r="BT2551" s="1070"/>
      <c r="BU2551" s="1070"/>
      <c r="BV2551" s="1070"/>
      <c r="BW2551" s="1070"/>
      <c r="BX2551" s="1070"/>
      <c r="BY2551" s="1070"/>
      <c r="BZ2551" s="1070"/>
      <c r="CA2551" s="1070"/>
      <c r="CB2551" s="1070"/>
      <c r="CC2551" s="1070"/>
      <c r="CD2551" s="1070"/>
      <c r="CE2551" s="1070"/>
      <c r="CF2551" s="1070"/>
      <c r="CG2551" s="1070"/>
      <c r="CH2551" s="1070"/>
      <c r="CI2551" s="1070"/>
      <c r="CJ2551" s="1070"/>
      <c r="CK2551" s="1070"/>
      <c r="CL2551" s="1070"/>
      <c r="CM2551" s="1070"/>
      <c r="CN2551" s="1070"/>
      <c r="CO2551" s="1070"/>
      <c r="CP2551" s="1070"/>
      <c r="CQ2551" s="1070"/>
      <c r="CR2551" s="1070"/>
      <c r="CS2551" s="1070"/>
      <c r="CT2551" s="1070"/>
      <c r="CU2551" s="1070"/>
      <c r="CV2551" s="1070"/>
      <c r="CW2551" s="1070"/>
      <c r="CX2551" s="1070"/>
      <c r="CY2551" s="1070"/>
      <c r="CZ2551" s="1070"/>
      <c r="DA2551" s="1070"/>
      <c r="DB2551" s="1070"/>
      <c r="DC2551" s="1070"/>
      <c r="DD2551" s="1070"/>
      <c r="DE2551" s="1070"/>
      <c r="DF2551" s="1070"/>
      <c r="DG2551" s="1070"/>
      <c r="DH2551" s="1070"/>
      <c r="DI2551" s="1070"/>
      <c r="DJ2551" s="1070"/>
    </row>
    <row r="2552" spans="1:114" s="1136" customFormat="1" ht="31.5" x14ac:dyDescent="0.25">
      <c r="A2552" s="1420" t="s">
        <v>3969</v>
      </c>
      <c r="B2552" s="1423">
        <f>IF(B2551=1,0.9,1)</f>
        <v>1</v>
      </c>
      <c r="C2552" s="1429"/>
      <c r="D2552" s="1434"/>
      <c r="E2552" s="1434"/>
      <c r="F2552" s="1434"/>
      <c r="G2552" s="1434"/>
      <c r="H2552" s="1350"/>
      <c r="I2552" s="1350"/>
      <c r="J2552" s="1350"/>
      <c r="K2552" s="1070"/>
      <c r="L2552" s="1070"/>
      <c r="M2552" s="1070"/>
      <c r="N2552" s="1070"/>
      <c r="O2552" s="1070"/>
      <c r="P2552" s="1070"/>
      <c r="Q2552" s="1070"/>
      <c r="R2552" s="1070"/>
      <c r="S2552" s="1070"/>
      <c r="T2552" s="1070"/>
      <c r="U2552" s="1070"/>
      <c r="V2552" s="1070"/>
      <c r="W2552" s="1070"/>
      <c r="X2552" s="1070"/>
      <c r="Y2552" s="1070"/>
      <c r="Z2552" s="1070"/>
      <c r="AA2552" s="1070"/>
      <c r="AB2552" s="1070"/>
      <c r="AC2552" s="1070"/>
      <c r="AD2552" s="1070"/>
      <c r="AE2552" s="1070"/>
      <c r="AF2552" s="1070"/>
      <c r="AG2552" s="1070"/>
      <c r="AH2552" s="1070"/>
      <c r="AI2552" s="1350"/>
      <c r="AJ2552" s="1350"/>
      <c r="AK2552" s="1350"/>
      <c r="AL2552" s="1350"/>
      <c r="AM2552" s="1350"/>
      <c r="AN2552" s="1350"/>
      <c r="AO2552" s="1350"/>
      <c r="AP2552" s="1350"/>
      <c r="AQ2552" s="1350"/>
      <c r="AR2552" s="1350"/>
      <c r="AS2552" s="1350"/>
      <c r="AT2552" s="1350"/>
      <c r="AU2552" s="1350"/>
      <c r="AV2552" s="1350"/>
      <c r="AW2552" s="1350"/>
      <c r="AX2552" s="1350"/>
      <c r="AY2552" s="1350"/>
      <c r="AZ2552" s="1350"/>
      <c r="BA2552" s="1070"/>
      <c r="BB2552" s="1070"/>
      <c r="BC2552" s="1070"/>
      <c r="BD2552" s="1070"/>
      <c r="BE2552" s="1070"/>
      <c r="BF2552" s="1070"/>
      <c r="BG2552" s="1070"/>
      <c r="BH2552" s="1070"/>
      <c r="BI2552" s="1070"/>
      <c r="BJ2552" s="1070"/>
      <c r="BK2552" s="1070"/>
      <c r="BL2552" s="1070"/>
      <c r="BM2552" s="1070"/>
      <c r="BN2552" s="1070"/>
      <c r="BO2552" s="1070"/>
      <c r="BP2552" s="1070"/>
      <c r="BQ2552" s="1070"/>
      <c r="BR2552" s="1070"/>
      <c r="BS2552" s="1070"/>
      <c r="BT2552" s="1070"/>
      <c r="BU2552" s="1070"/>
      <c r="BV2552" s="1070"/>
      <c r="BW2552" s="1070"/>
      <c r="BX2552" s="1070"/>
      <c r="BY2552" s="1070"/>
      <c r="BZ2552" s="1070"/>
      <c r="CA2552" s="1070"/>
      <c r="CB2552" s="1070"/>
      <c r="CC2552" s="1070"/>
      <c r="CD2552" s="1070"/>
      <c r="CE2552" s="1070"/>
      <c r="CF2552" s="1070"/>
      <c r="CG2552" s="1070"/>
      <c r="CH2552" s="1070"/>
      <c r="CI2552" s="1070"/>
      <c r="CJ2552" s="1070"/>
      <c r="CK2552" s="1070"/>
      <c r="CL2552" s="1070"/>
      <c r="CM2552" s="1070"/>
      <c r="CN2552" s="1070"/>
      <c r="CO2552" s="1070"/>
      <c r="CP2552" s="1070"/>
      <c r="CQ2552" s="1070"/>
      <c r="CR2552" s="1070"/>
      <c r="CS2552" s="1070"/>
      <c r="CT2552" s="1070"/>
      <c r="CU2552" s="1070"/>
      <c r="CV2552" s="1070"/>
      <c r="CW2552" s="1070"/>
      <c r="CX2552" s="1070"/>
      <c r="CY2552" s="1070"/>
      <c r="CZ2552" s="1070"/>
      <c r="DA2552" s="1070"/>
      <c r="DB2552" s="1070"/>
      <c r="DC2552" s="1070"/>
      <c r="DD2552" s="1070"/>
      <c r="DE2552" s="1070"/>
      <c r="DF2552" s="1070"/>
      <c r="DG2552" s="1070"/>
      <c r="DH2552" s="1070"/>
      <c r="DI2552" s="1070"/>
      <c r="DJ2552" s="1070"/>
    </row>
    <row r="2553" spans="1:114" s="1136" customFormat="1" ht="63" x14ac:dyDescent="0.25">
      <c r="A2553" s="1471" t="s">
        <v>1335</v>
      </c>
      <c r="B2553" s="1469">
        <v>0</v>
      </c>
      <c r="C2553" s="1470"/>
      <c r="D2553" s="1434"/>
      <c r="E2553" s="1434"/>
      <c r="F2553" s="1434"/>
      <c r="G2553" s="1434"/>
      <c r="H2553" s="1350"/>
      <c r="I2553" s="1350"/>
      <c r="J2553" s="1350"/>
      <c r="K2553" s="1070"/>
      <c r="L2553" s="1070"/>
      <c r="M2553" s="1070"/>
      <c r="N2553" s="1070"/>
      <c r="O2553" s="1070"/>
      <c r="P2553" s="1070"/>
      <c r="Q2553" s="1070"/>
      <c r="R2553" s="1070"/>
      <c r="S2553" s="1070"/>
      <c r="T2553" s="1070"/>
      <c r="U2553" s="1070"/>
      <c r="V2553" s="1070"/>
      <c r="W2553" s="1070"/>
      <c r="X2553" s="1070"/>
      <c r="Y2553" s="1070"/>
      <c r="Z2553" s="1070"/>
      <c r="AA2553" s="1070"/>
      <c r="AB2553" s="1070"/>
      <c r="AC2553" s="1070"/>
      <c r="AD2553" s="1070"/>
      <c r="AE2553" s="1070"/>
      <c r="AF2553" s="1070"/>
      <c r="AG2553" s="1070"/>
      <c r="AH2553" s="1070"/>
      <c r="AI2553" s="1350"/>
      <c r="AJ2553" s="1350"/>
      <c r="AK2553" s="1350"/>
      <c r="AL2553" s="1350"/>
      <c r="AM2553" s="1350"/>
      <c r="AN2553" s="1350"/>
      <c r="AO2553" s="1350"/>
      <c r="AP2553" s="1350"/>
      <c r="AQ2553" s="1350"/>
      <c r="AR2553" s="1350"/>
      <c r="AS2553" s="1350"/>
      <c r="AT2553" s="1350"/>
      <c r="AU2553" s="1350"/>
      <c r="AV2553" s="1350"/>
      <c r="AW2553" s="1350"/>
      <c r="AX2553" s="1350"/>
      <c r="AY2553" s="1350"/>
      <c r="AZ2553" s="1350"/>
      <c r="BA2553" s="1070"/>
      <c r="BB2553" s="1070"/>
      <c r="BC2553" s="1070"/>
      <c r="BD2553" s="1070"/>
      <c r="BE2553" s="1070"/>
      <c r="BF2553" s="1070"/>
      <c r="BG2553" s="1070"/>
      <c r="BH2553" s="1070"/>
      <c r="BI2553" s="1070"/>
      <c r="BJ2553" s="1070"/>
      <c r="BK2553" s="1070"/>
      <c r="BL2553" s="1070"/>
      <c r="BM2553" s="1070"/>
      <c r="BN2553" s="1070"/>
      <c r="BO2553" s="1070"/>
      <c r="BP2553" s="1070"/>
      <c r="BQ2553" s="1070"/>
      <c r="BR2553" s="1070"/>
      <c r="BS2553" s="1070"/>
      <c r="BT2553" s="1070"/>
      <c r="BU2553" s="1070"/>
      <c r="BV2553" s="1070"/>
      <c r="BW2553" s="1070"/>
      <c r="BX2553" s="1070"/>
      <c r="BY2553" s="1070"/>
      <c r="BZ2553" s="1070"/>
      <c r="CA2553" s="1070"/>
      <c r="CB2553" s="1070"/>
      <c r="CC2553" s="1070"/>
      <c r="CD2553" s="1070"/>
      <c r="CE2553" s="1070"/>
      <c r="CF2553" s="1070"/>
      <c r="CG2553" s="1070"/>
      <c r="CH2553" s="1070"/>
      <c r="CI2553" s="1070"/>
      <c r="CJ2553" s="1070"/>
      <c r="CK2553" s="1070"/>
      <c r="CL2553" s="1070"/>
      <c r="CM2553" s="1070"/>
      <c r="CN2553" s="1070"/>
      <c r="CO2553" s="1070"/>
      <c r="CP2553" s="1070"/>
      <c r="CQ2553" s="1070"/>
      <c r="CR2553" s="1070"/>
      <c r="CS2553" s="1070"/>
      <c r="CT2553" s="1070"/>
      <c r="CU2553" s="1070"/>
      <c r="CV2553" s="1070"/>
      <c r="CW2553" s="1070"/>
      <c r="CX2553" s="1070"/>
      <c r="CY2553" s="1070"/>
      <c r="CZ2553" s="1070"/>
      <c r="DA2553" s="1070"/>
      <c r="DB2553" s="1070"/>
      <c r="DC2553" s="1070"/>
      <c r="DD2553" s="1070"/>
      <c r="DE2553" s="1070"/>
      <c r="DF2553" s="1070"/>
      <c r="DG2553" s="1070"/>
      <c r="DH2553" s="1070"/>
      <c r="DI2553" s="1070"/>
      <c r="DJ2553" s="1070"/>
    </row>
    <row r="2554" spans="1:114" s="1136" customFormat="1" ht="15.75" x14ac:dyDescent="0.25">
      <c r="A2554" s="1420" t="s">
        <v>1336</v>
      </c>
      <c r="B2554" s="1433">
        <f>IF(B2553=1,0.95,1)</f>
        <v>1</v>
      </c>
      <c r="C2554" s="1437"/>
      <c r="D2554" s="1350"/>
      <c r="E2554" s="1350"/>
      <c r="F2554" s="1350"/>
      <c r="G2554" s="1350"/>
      <c r="H2554" s="1350"/>
      <c r="I2554" s="1350"/>
      <c r="J2554" s="1350"/>
      <c r="K2554" s="1070"/>
      <c r="L2554" s="1070"/>
      <c r="M2554" s="1070"/>
      <c r="N2554" s="1070"/>
      <c r="O2554" s="1070"/>
      <c r="P2554" s="1070"/>
      <c r="Q2554" s="1070"/>
      <c r="R2554" s="1070"/>
      <c r="S2554" s="1070"/>
      <c r="T2554" s="1070"/>
      <c r="U2554" s="1070"/>
      <c r="V2554" s="1070"/>
      <c r="W2554" s="1070"/>
      <c r="X2554" s="1070"/>
      <c r="Y2554" s="1070"/>
      <c r="Z2554" s="1070"/>
      <c r="AA2554" s="1070"/>
      <c r="AB2554" s="1070"/>
      <c r="AC2554" s="1070"/>
      <c r="AD2554" s="1070"/>
      <c r="AE2554" s="1070"/>
      <c r="AF2554" s="1070"/>
      <c r="AG2554" s="1070"/>
      <c r="AH2554" s="1070"/>
      <c r="AI2554" s="1350"/>
      <c r="AJ2554" s="1350"/>
      <c r="AK2554" s="1350"/>
      <c r="AL2554" s="1350"/>
      <c r="AM2554" s="1350"/>
      <c r="AN2554" s="1350"/>
      <c r="AO2554" s="1350"/>
      <c r="AP2554" s="1350"/>
      <c r="AQ2554" s="1350"/>
      <c r="AR2554" s="1350"/>
      <c r="AS2554" s="1350"/>
      <c r="AT2554" s="1350"/>
      <c r="AU2554" s="1350"/>
      <c r="AV2554" s="1350"/>
      <c r="AW2554" s="1350"/>
      <c r="AX2554" s="1350"/>
      <c r="AY2554" s="1350"/>
      <c r="AZ2554" s="1350"/>
      <c r="BA2554" s="1070"/>
      <c r="BB2554" s="1070"/>
      <c r="BC2554" s="1070"/>
      <c r="BD2554" s="1070"/>
      <c r="BE2554" s="1070"/>
      <c r="BF2554" s="1070"/>
      <c r="BG2554" s="1070"/>
      <c r="BH2554" s="1070"/>
      <c r="BI2554" s="1070"/>
      <c r="BJ2554" s="1070"/>
      <c r="BK2554" s="1070"/>
      <c r="BL2554" s="1070"/>
      <c r="BM2554" s="1070"/>
      <c r="BN2554" s="1070"/>
      <c r="BO2554" s="1070"/>
      <c r="BP2554" s="1070"/>
      <c r="BQ2554" s="1070"/>
      <c r="BR2554" s="1070"/>
      <c r="BS2554" s="1070"/>
      <c r="BT2554" s="1070"/>
      <c r="BU2554" s="1070"/>
      <c r="BV2554" s="1070"/>
      <c r="BW2554" s="1070"/>
      <c r="BX2554" s="1070"/>
      <c r="BY2554" s="1070"/>
      <c r="BZ2554" s="1070"/>
      <c r="CA2554" s="1070"/>
      <c r="CB2554" s="1070"/>
      <c r="CC2554" s="1070"/>
      <c r="CD2554" s="1070"/>
      <c r="CE2554" s="1070"/>
      <c r="CF2554" s="1070"/>
      <c r="CG2554" s="1070"/>
      <c r="CH2554" s="1070"/>
      <c r="CI2554" s="1070"/>
      <c r="CJ2554" s="1070"/>
      <c r="CK2554" s="1070"/>
      <c r="CL2554" s="1070"/>
      <c r="CM2554" s="1070"/>
      <c r="CN2554" s="1070"/>
      <c r="CO2554" s="1070"/>
      <c r="CP2554" s="1070"/>
      <c r="CQ2554" s="1070"/>
      <c r="CR2554" s="1070"/>
      <c r="CS2554" s="1070"/>
      <c r="CT2554" s="1070"/>
      <c r="CU2554" s="1070"/>
      <c r="CV2554" s="1070"/>
      <c r="CW2554" s="1070"/>
      <c r="CX2554" s="1070"/>
      <c r="CY2554" s="1070"/>
      <c r="CZ2554" s="1070"/>
      <c r="DA2554" s="1070"/>
      <c r="DB2554" s="1070"/>
      <c r="DC2554" s="1070"/>
      <c r="DD2554" s="1070"/>
      <c r="DE2554" s="1070"/>
      <c r="DF2554" s="1070"/>
      <c r="DG2554" s="1070"/>
      <c r="DH2554" s="1070"/>
      <c r="DI2554" s="1070"/>
      <c r="DJ2554" s="1070"/>
    </row>
    <row r="2555" spans="1:114" s="1136" customFormat="1" ht="15.75" x14ac:dyDescent="0.25">
      <c r="A2555" s="1430" t="s">
        <v>1</v>
      </c>
      <c r="B2555" s="1433" t="e">
        <f>B2538*B2548*B2550*B2552*B2554*B2383</f>
        <v>#VALUE!</v>
      </c>
      <c r="C2555" s="1437"/>
      <c r="D2555" s="1440"/>
      <c r="E2555" s="1440"/>
      <c r="F2555" s="1440"/>
      <c r="G2555" s="1440"/>
      <c r="H2555" s="1350"/>
      <c r="I2555" s="1350"/>
      <c r="J2555" s="1350"/>
      <c r="K2555" s="1070"/>
      <c r="L2555" s="1070"/>
      <c r="M2555" s="1070"/>
      <c r="N2555" s="1070"/>
      <c r="O2555" s="1070"/>
      <c r="P2555" s="1070"/>
      <c r="Q2555" s="1070"/>
      <c r="R2555" s="1070"/>
      <c r="S2555" s="1070"/>
      <c r="T2555" s="1070"/>
      <c r="U2555" s="1070"/>
      <c r="V2555" s="1070"/>
      <c r="W2555" s="1070"/>
      <c r="X2555" s="1070"/>
      <c r="Y2555" s="1070"/>
      <c r="Z2555" s="1070"/>
      <c r="AA2555" s="1070"/>
      <c r="AB2555" s="1070"/>
      <c r="AC2555" s="1070"/>
      <c r="AD2555" s="1070"/>
      <c r="AE2555" s="1070"/>
      <c r="AF2555" s="1070"/>
      <c r="AG2555" s="1070"/>
      <c r="AH2555" s="1070"/>
      <c r="AI2555" s="1350"/>
      <c r="AJ2555" s="1350"/>
      <c r="AK2555" s="1350"/>
      <c r="AL2555" s="1350"/>
      <c r="AM2555" s="1350"/>
      <c r="AN2555" s="1350"/>
      <c r="AO2555" s="1350"/>
      <c r="AP2555" s="1350"/>
      <c r="AQ2555" s="1350"/>
      <c r="AR2555" s="1350"/>
      <c r="AS2555" s="1350"/>
      <c r="AT2555" s="1350"/>
      <c r="AU2555" s="1350"/>
      <c r="AV2555" s="1350"/>
      <c r="AW2555" s="1350"/>
      <c r="AX2555" s="1350"/>
      <c r="AY2555" s="1350"/>
      <c r="AZ2555" s="1350"/>
      <c r="BA2555" s="1070"/>
      <c r="BB2555" s="1070"/>
      <c r="BC2555" s="1070"/>
      <c r="BD2555" s="1070"/>
      <c r="BE2555" s="1070"/>
      <c r="BF2555" s="1070"/>
      <c r="BG2555" s="1070"/>
      <c r="BH2555" s="1070"/>
      <c r="BI2555" s="1070"/>
      <c r="BJ2555" s="1070"/>
      <c r="BK2555" s="1070"/>
      <c r="BL2555" s="1070"/>
      <c r="BM2555" s="1070"/>
      <c r="BN2555" s="1070"/>
      <c r="BO2555" s="1070"/>
      <c r="BP2555" s="1070"/>
      <c r="BQ2555" s="1070"/>
      <c r="BR2555" s="1070"/>
      <c r="BS2555" s="1070"/>
      <c r="BT2555" s="1070"/>
      <c r="BU2555" s="1070"/>
      <c r="BV2555" s="1070"/>
      <c r="BW2555" s="1070"/>
      <c r="BX2555" s="1070"/>
      <c r="BY2555" s="1070"/>
      <c r="BZ2555" s="1070"/>
      <c r="CA2555" s="1070"/>
      <c r="CB2555" s="1070"/>
      <c r="CC2555" s="1070"/>
      <c r="CD2555" s="1070"/>
      <c r="CE2555" s="1070"/>
      <c r="CF2555" s="1070"/>
      <c r="CG2555" s="1070"/>
      <c r="CH2555" s="1070"/>
      <c r="CI2555" s="1070"/>
      <c r="CJ2555" s="1070"/>
      <c r="CK2555" s="1070"/>
      <c r="CL2555" s="1070"/>
      <c r="CM2555" s="1070"/>
      <c r="CN2555" s="1070"/>
      <c r="CO2555" s="1070"/>
      <c r="CP2555" s="1070"/>
      <c r="CQ2555" s="1070"/>
      <c r="CR2555" s="1070"/>
      <c r="CS2555" s="1070"/>
      <c r="CT2555" s="1070"/>
      <c r="CU2555" s="1070"/>
      <c r="CV2555" s="1070"/>
      <c r="CW2555" s="1070"/>
      <c r="CX2555" s="1070"/>
      <c r="CY2555" s="1070"/>
      <c r="CZ2555" s="1070"/>
      <c r="DA2555" s="1070"/>
      <c r="DB2555" s="1070"/>
      <c r="DC2555" s="1070"/>
      <c r="DD2555" s="1070"/>
      <c r="DE2555" s="1070"/>
      <c r="DF2555" s="1070"/>
      <c r="DG2555" s="1070"/>
      <c r="DH2555" s="1070"/>
      <c r="DI2555" s="1070"/>
      <c r="DJ2555" s="1070"/>
    </row>
    <row r="2556" spans="1:114" s="1136" customFormat="1" ht="15.75" x14ac:dyDescent="0.25">
      <c r="A2556" s="1430" t="s">
        <v>429</v>
      </c>
      <c r="B2556" s="1428" t="e">
        <f>B2536/B2555</f>
        <v>#VALUE!</v>
      </c>
      <c r="C2556" s="1432"/>
      <c r="D2556" s="1470"/>
      <c r="E2556" s="1470"/>
      <c r="F2556" s="1470"/>
      <c r="G2556" s="1470"/>
      <c r="H2556" s="1350"/>
      <c r="I2556" s="1350"/>
      <c r="J2556" s="1350"/>
      <c r="K2556" s="1070"/>
      <c r="L2556" s="1070"/>
      <c r="M2556" s="1070"/>
      <c r="N2556" s="1070"/>
      <c r="O2556" s="1070"/>
      <c r="P2556" s="1070"/>
      <c r="Q2556" s="1070"/>
      <c r="R2556" s="1070"/>
      <c r="S2556" s="1070"/>
      <c r="T2556" s="1070"/>
      <c r="U2556" s="1070"/>
      <c r="V2556" s="1070"/>
      <c r="W2556" s="1070"/>
      <c r="X2556" s="1070"/>
      <c r="Y2556" s="1070"/>
      <c r="Z2556" s="1070"/>
      <c r="AA2556" s="1070"/>
      <c r="AB2556" s="1070"/>
      <c r="AC2556" s="1070"/>
      <c r="AD2556" s="1070"/>
      <c r="AE2556" s="1070"/>
      <c r="AF2556" s="1070"/>
      <c r="AG2556" s="1070"/>
      <c r="AH2556" s="1070"/>
      <c r="AI2556" s="1350"/>
      <c r="AJ2556" s="1350"/>
      <c r="AK2556" s="1350"/>
      <c r="AL2556" s="1350"/>
      <c r="AM2556" s="1350"/>
      <c r="AN2556" s="1350"/>
      <c r="AO2556" s="1350"/>
      <c r="AP2556" s="1350"/>
      <c r="AQ2556" s="1350"/>
      <c r="AR2556" s="1350"/>
      <c r="AS2556" s="1350"/>
      <c r="AT2556" s="1350"/>
      <c r="AU2556" s="1350"/>
      <c r="AV2556" s="1350"/>
      <c r="AW2556" s="1350"/>
      <c r="AX2556" s="1350"/>
      <c r="AY2556" s="1350"/>
      <c r="AZ2556" s="1350"/>
      <c r="BA2556" s="1070"/>
      <c r="BB2556" s="1070"/>
      <c r="BC2556" s="1070"/>
      <c r="BD2556" s="1070"/>
      <c r="BE2556" s="1070"/>
      <c r="BF2556" s="1070"/>
      <c r="BG2556" s="1070"/>
      <c r="BH2556" s="1070"/>
      <c r="BI2556" s="1070"/>
      <c r="BJ2556" s="1070"/>
      <c r="BK2556" s="1070"/>
      <c r="BL2556" s="1070"/>
      <c r="BM2556" s="1070"/>
      <c r="BN2556" s="1070"/>
      <c r="BO2556" s="1070"/>
      <c r="BP2556" s="1070"/>
      <c r="BQ2556" s="1070"/>
      <c r="BR2556" s="1070"/>
      <c r="BS2556" s="1070"/>
      <c r="BT2556" s="1070"/>
      <c r="BU2556" s="1070"/>
      <c r="BV2556" s="1070"/>
      <c r="BW2556" s="1070"/>
      <c r="BX2556" s="1070"/>
      <c r="BY2556" s="1070"/>
      <c r="BZ2556" s="1070"/>
      <c r="CA2556" s="1070"/>
      <c r="CB2556" s="1070"/>
      <c r="CC2556" s="1070"/>
      <c r="CD2556" s="1070"/>
      <c r="CE2556" s="1070"/>
      <c r="CF2556" s="1070"/>
      <c r="CG2556" s="1070"/>
      <c r="CH2556" s="1070"/>
      <c r="CI2556" s="1070"/>
      <c r="CJ2556" s="1070"/>
      <c r="CK2556" s="1070"/>
      <c r="CL2556" s="1070"/>
      <c r="CM2556" s="1070"/>
      <c r="CN2556" s="1070"/>
      <c r="CO2556" s="1070"/>
      <c r="CP2556" s="1070"/>
      <c r="CQ2556" s="1070"/>
      <c r="CR2556" s="1070"/>
      <c r="CS2556" s="1070"/>
      <c r="CT2556" s="1070"/>
      <c r="CU2556" s="1070"/>
      <c r="CV2556" s="1070"/>
      <c r="CW2556" s="1070"/>
      <c r="CX2556" s="1070"/>
      <c r="CY2556" s="1070"/>
      <c r="CZ2556" s="1070"/>
      <c r="DA2556" s="1070"/>
      <c r="DB2556" s="1070"/>
      <c r="DC2556" s="1070"/>
      <c r="DD2556" s="1070"/>
      <c r="DE2556" s="1070"/>
      <c r="DF2556" s="1070"/>
      <c r="DG2556" s="1070"/>
      <c r="DH2556" s="1070"/>
      <c r="DI2556" s="1070"/>
      <c r="DJ2556" s="1070"/>
    </row>
    <row r="2557" spans="1:114" s="1136" customFormat="1" ht="15.75" x14ac:dyDescent="0.25">
      <c r="A2557" s="1466" t="s">
        <v>831</v>
      </c>
      <c r="B2557" s="1459">
        <f>IF(B252=2,B2556,0)</f>
        <v>0</v>
      </c>
      <c r="C2557" s="1454"/>
      <c r="D2557" s="1429"/>
      <c r="E2557" s="1429"/>
      <c r="F2557" s="1429"/>
      <c r="G2557" s="1429"/>
      <c r="H2557" s="1350"/>
      <c r="I2557" s="1350"/>
      <c r="J2557" s="1350"/>
      <c r="K2557" s="1070"/>
      <c r="L2557" s="1070"/>
      <c r="M2557" s="1070"/>
      <c r="N2557" s="1070"/>
      <c r="O2557" s="1070"/>
      <c r="P2557" s="1070"/>
      <c r="Q2557" s="1070"/>
      <c r="R2557" s="1070"/>
      <c r="S2557" s="1070"/>
      <c r="T2557" s="1070"/>
      <c r="U2557" s="1070"/>
      <c r="V2557" s="1070"/>
      <c r="W2557" s="1070"/>
      <c r="X2557" s="1070"/>
      <c r="Y2557" s="1070"/>
      <c r="Z2557" s="1070"/>
      <c r="AA2557" s="1070"/>
      <c r="AB2557" s="1070"/>
      <c r="AC2557" s="1070"/>
      <c r="AD2557" s="1070"/>
      <c r="AE2557" s="1070"/>
      <c r="AF2557" s="1070"/>
      <c r="AG2557" s="1070"/>
      <c r="AH2557" s="1070"/>
      <c r="AI2557" s="1350"/>
      <c r="AJ2557" s="1350"/>
      <c r="AK2557" s="1350"/>
      <c r="AL2557" s="1350"/>
      <c r="AM2557" s="1350"/>
      <c r="AN2557" s="1350"/>
      <c r="AO2557" s="1350"/>
      <c r="AP2557" s="1350"/>
      <c r="AQ2557" s="1350"/>
      <c r="AR2557" s="1350"/>
      <c r="AS2557" s="1350"/>
      <c r="AT2557" s="1350"/>
      <c r="AU2557" s="1350"/>
      <c r="AV2557" s="1350"/>
      <c r="AW2557" s="1350"/>
      <c r="AX2557" s="1350"/>
      <c r="AY2557" s="1350"/>
      <c r="AZ2557" s="1350"/>
      <c r="BA2557" s="1070"/>
      <c r="BB2557" s="1070"/>
      <c r="BC2557" s="1070"/>
      <c r="BD2557" s="1070"/>
      <c r="BE2557" s="1070"/>
      <c r="BF2557" s="1070"/>
      <c r="BG2557" s="1070"/>
      <c r="BH2557" s="1070"/>
      <c r="BI2557" s="1070"/>
      <c r="BJ2557" s="1070"/>
      <c r="BK2557" s="1070"/>
      <c r="BL2557" s="1070"/>
      <c r="BM2557" s="1070"/>
      <c r="BN2557" s="1070"/>
      <c r="BO2557" s="1070"/>
      <c r="BP2557" s="1070"/>
      <c r="BQ2557" s="1070"/>
      <c r="BR2557" s="1070"/>
      <c r="BS2557" s="1070"/>
      <c r="BT2557" s="1070"/>
      <c r="BU2557" s="1070"/>
      <c r="BV2557" s="1070"/>
      <c r="BW2557" s="1070"/>
      <c r="BX2557" s="1070"/>
      <c r="BY2557" s="1070"/>
      <c r="BZ2557" s="1070"/>
      <c r="CA2557" s="1070"/>
      <c r="CB2557" s="1070"/>
      <c r="CC2557" s="1070"/>
      <c r="CD2557" s="1070"/>
      <c r="CE2557" s="1070"/>
      <c r="CF2557" s="1070"/>
      <c r="CG2557" s="1070"/>
      <c r="CH2557" s="1070"/>
      <c r="CI2557" s="1070"/>
      <c r="CJ2557" s="1070"/>
      <c r="CK2557" s="1070"/>
      <c r="CL2557" s="1070"/>
      <c r="CM2557" s="1070"/>
      <c r="CN2557" s="1070"/>
      <c r="CO2557" s="1070"/>
      <c r="CP2557" s="1070"/>
      <c r="CQ2557" s="1070"/>
      <c r="CR2557" s="1070"/>
      <c r="CS2557" s="1070"/>
      <c r="CT2557" s="1070"/>
      <c r="CU2557" s="1070"/>
      <c r="CV2557" s="1070"/>
      <c r="CW2557" s="1070"/>
      <c r="CX2557" s="1070"/>
      <c r="CY2557" s="1070"/>
      <c r="CZ2557" s="1070"/>
      <c r="DA2557" s="1070"/>
      <c r="DB2557" s="1070"/>
      <c r="DC2557" s="1070"/>
      <c r="DD2557" s="1070"/>
      <c r="DE2557" s="1070"/>
      <c r="DF2557" s="1070"/>
      <c r="DG2557" s="1070"/>
      <c r="DH2557" s="1070"/>
      <c r="DI2557" s="1070"/>
      <c r="DJ2557" s="1070"/>
    </row>
    <row r="2558" spans="1:114" s="1136" customFormat="1" ht="15.75" x14ac:dyDescent="0.25">
      <c r="A2558" s="1472"/>
      <c r="B2558" s="1459"/>
      <c r="C2558" s="1454"/>
      <c r="D2558" s="1470"/>
      <c r="E2558" s="1470"/>
      <c r="F2558" s="1470"/>
      <c r="G2558" s="1470"/>
      <c r="H2558" s="1350"/>
      <c r="I2558" s="1350"/>
      <c r="J2558" s="1350"/>
      <c r="K2558" s="1070"/>
      <c r="L2558" s="1070"/>
      <c r="M2558" s="1070"/>
      <c r="N2558" s="1070"/>
      <c r="O2558" s="1070"/>
      <c r="P2558" s="1070"/>
      <c r="Q2558" s="1070"/>
      <c r="R2558" s="1070"/>
      <c r="S2558" s="1070"/>
      <c r="T2558" s="1070"/>
      <c r="U2558" s="1070"/>
      <c r="V2558" s="1070"/>
      <c r="W2558" s="1070"/>
      <c r="X2558" s="1070"/>
      <c r="Y2558" s="1070"/>
      <c r="Z2558" s="1070"/>
      <c r="AA2558" s="1070"/>
      <c r="AB2558" s="1070"/>
      <c r="AC2558" s="1070"/>
      <c r="AD2558" s="1070"/>
      <c r="AE2558" s="1070"/>
      <c r="AF2558" s="1070"/>
      <c r="AG2558" s="1070"/>
      <c r="AH2558" s="1070"/>
      <c r="AI2558" s="1350"/>
      <c r="AJ2558" s="1350"/>
      <c r="AK2558" s="1350"/>
      <c r="AL2558" s="1350"/>
      <c r="AM2558" s="1350"/>
      <c r="AN2558" s="1350"/>
      <c r="AO2558" s="1350"/>
      <c r="AP2558" s="1350"/>
      <c r="AQ2558" s="1350"/>
      <c r="AR2558" s="1350"/>
      <c r="AS2558" s="1350"/>
      <c r="AT2558" s="1350"/>
      <c r="AU2558" s="1350"/>
      <c r="AV2558" s="1350"/>
      <c r="AW2558" s="1350"/>
      <c r="AX2558" s="1350"/>
      <c r="AY2558" s="1350"/>
      <c r="AZ2558" s="1350"/>
      <c r="BA2558" s="1070"/>
      <c r="BB2558" s="1070"/>
      <c r="BC2558" s="1070"/>
      <c r="BD2558" s="1070"/>
      <c r="BE2558" s="1070"/>
      <c r="BF2558" s="1070"/>
      <c r="BG2558" s="1070"/>
      <c r="BH2558" s="1070"/>
      <c r="BI2558" s="1070"/>
      <c r="BJ2558" s="1070"/>
      <c r="BK2558" s="1070"/>
      <c r="BL2558" s="1070"/>
      <c r="BM2558" s="1070"/>
      <c r="BN2558" s="1070"/>
      <c r="BO2558" s="1070"/>
      <c r="BP2558" s="1070"/>
      <c r="BQ2558" s="1070"/>
      <c r="BR2558" s="1070"/>
      <c r="BS2558" s="1070"/>
      <c r="BT2558" s="1070"/>
      <c r="BU2558" s="1070"/>
      <c r="BV2558" s="1070"/>
      <c r="BW2558" s="1070"/>
      <c r="BX2558" s="1070"/>
      <c r="BY2558" s="1070"/>
      <c r="BZ2558" s="1070"/>
      <c r="CA2558" s="1070"/>
      <c r="CB2558" s="1070"/>
      <c r="CC2558" s="1070"/>
      <c r="CD2558" s="1070"/>
      <c r="CE2558" s="1070"/>
      <c r="CF2558" s="1070"/>
      <c r="CG2558" s="1070"/>
      <c r="CH2558" s="1070"/>
      <c r="CI2558" s="1070"/>
      <c r="CJ2558" s="1070"/>
      <c r="CK2558" s="1070"/>
      <c r="CL2558" s="1070"/>
      <c r="CM2558" s="1070"/>
      <c r="CN2558" s="1070"/>
      <c r="CO2558" s="1070"/>
      <c r="CP2558" s="1070"/>
      <c r="CQ2558" s="1070"/>
      <c r="CR2558" s="1070"/>
      <c r="CS2558" s="1070"/>
      <c r="CT2558" s="1070"/>
      <c r="CU2558" s="1070"/>
      <c r="CV2558" s="1070"/>
      <c r="CW2558" s="1070"/>
      <c r="CX2558" s="1070"/>
      <c r="CY2558" s="1070"/>
      <c r="CZ2558" s="1070"/>
      <c r="DA2558" s="1070"/>
      <c r="DB2558" s="1070"/>
      <c r="DC2558" s="1070"/>
      <c r="DD2558" s="1070"/>
      <c r="DE2558" s="1070"/>
      <c r="DF2558" s="1070"/>
      <c r="DG2558" s="1070"/>
      <c r="DH2558" s="1070"/>
      <c r="DI2558" s="1070"/>
      <c r="DJ2558" s="1070"/>
    </row>
    <row r="2559" spans="1:114" s="1136" customFormat="1" ht="15.75" x14ac:dyDescent="0.25">
      <c r="A2559" s="1461" t="s">
        <v>3377</v>
      </c>
      <c r="B2559" s="1459"/>
      <c r="C2559" s="1454"/>
      <c r="D2559" s="1473"/>
      <c r="E2559" s="1429"/>
      <c r="F2559" s="1429"/>
      <c r="G2559" s="1429"/>
      <c r="H2559" s="1350"/>
      <c r="I2559" s="1350"/>
      <c r="J2559" s="1350"/>
      <c r="K2559" s="1070"/>
      <c r="L2559" s="1070"/>
      <c r="M2559" s="1070"/>
      <c r="N2559" s="1070"/>
      <c r="O2559" s="1070"/>
      <c r="P2559" s="1070"/>
      <c r="Q2559" s="1070"/>
      <c r="R2559" s="1070"/>
      <c r="S2559" s="1070"/>
      <c r="T2559" s="1070"/>
      <c r="U2559" s="1070"/>
      <c r="V2559" s="1070"/>
      <c r="W2559" s="1070"/>
      <c r="X2559" s="1070"/>
      <c r="Y2559" s="1070"/>
      <c r="Z2559" s="1070"/>
      <c r="AA2559" s="1070"/>
      <c r="AB2559" s="1070"/>
      <c r="AC2559" s="1070"/>
      <c r="AD2559" s="1070"/>
      <c r="AE2559" s="1070"/>
      <c r="AF2559" s="1070"/>
      <c r="AG2559" s="1070"/>
      <c r="AH2559" s="1070"/>
      <c r="AI2559" s="1350"/>
      <c r="AJ2559" s="1350"/>
      <c r="AK2559" s="1350"/>
      <c r="AL2559" s="1350"/>
      <c r="AM2559" s="1350"/>
      <c r="AN2559" s="1350"/>
      <c r="AO2559" s="1350"/>
      <c r="AP2559" s="1350"/>
      <c r="AQ2559" s="1350"/>
      <c r="AR2559" s="1350"/>
      <c r="AS2559" s="1350"/>
      <c r="AT2559" s="1350"/>
      <c r="AU2559" s="1350"/>
      <c r="AV2559" s="1350"/>
      <c r="AW2559" s="1350"/>
      <c r="AX2559" s="1350"/>
      <c r="AY2559" s="1350"/>
      <c r="AZ2559" s="1350"/>
      <c r="BA2559" s="1070"/>
      <c r="BB2559" s="1070"/>
      <c r="BC2559" s="1070"/>
      <c r="BD2559" s="1070"/>
      <c r="BE2559" s="1070"/>
      <c r="BF2559" s="1070"/>
      <c r="BG2559" s="1070"/>
      <c r="BH2559" s="1070"/>
      <c r="BI2559" s="1070"/>
      <c r="BJ2559" s="1070"/>
      <c r="BK2559" s="1070"/>
      <c r="BL2559" s="1070"/>
      <c r="BM2559" s="1070"/>
      <c r="BN2559" s="1070"/>
      <c r="BO2559" s="1070"/>
      <c r="BP2559" s="1070"/>
      <c r="BQ2559" s="1070"/>
      <c r="BR2559" s="1070"/>
      <c r="BS2559" s="1070"/>
      <c r="BT2559" s="1070"/>
      <c r="BU2559" s="1070"/>
      <c r="BV2559" s="1070"/>
      <c r="BW2559" s="1070"/>
      <c r="BX2559" s="1070"/>
      <c r="BY2559" s="1070"/>
      <c r="BZ2559" s="1070"/>
      <c r="CA2559" s="1070"/>
      <c r="CB2559" s="1070"/>
      <c r="CC2559" s="1070"/>
      <c r="CD2559" s="1070"/>
      <c r="CE2559" s="1070"/>
      <c r="CF2559" s="1070"/>
      <c r="CG2559" s="1070"/>
      <c r="CH2559" s="1070"/>
      <c r="CI2559" s="1070"/>
      <c r="CJ2559" s="1070"/>
      <c r="CK2559" s="1070"/>
      <c r="CL2559" s="1070"/>
      <c r="CM2559" s="1070"/>
      <c r="CN2559" s="1070"/>
      <c r="CO2559" s="1070"/>
      <c r="CP2559" s="1070"/>
      <c r="CQ2559" s="1070"/>
      <c r="CR2559" s="1070"/>
      <c r="CS2559" s="1070"/>
      <c r="CT2559" s="1070"/>
      <c r="CU2559" s="1070"/>
      <c r="CV2559" s="1070"/>
      <c r="CW2559" s="1070"/>
      <c r="CX2559" s="1070"/>
      <c r="CY2559" s="1070"/>
      <c r="CZ2559" s="1070"/>
      <c r="DA2559" s="1070"/>
      <c r="DB2559" s="1070"/>
      <c r="DC2559" s="1070"/>
      <c r="DD2559" s="1070"/>
      <c r="DE2559" s="1070"/>
      <c r="DF2559" s="1070"/>
      <c r="DG2559" s="1070"/>
      <c r="DH2559" s="1070"/>
      <c r="DI2559" s="1070"/>
      <c r="DJ2559" s="1070"/>
    </row>
    <row r="2560" spans="1:114" s="1136" customFormat="1" ht="15.75" x14ac:dyDescent="0.25">
      <c r="A2560" s="1456" t="s">
        <v>833</v>
      </c>
      <c r="B2560" s="1457">
        <v>0.5</v>
      </c>
      <c r="C2560" s="1458"/>
      <c r="D2560" s="1474"/>
      <c r="E2560" s="1470"/>
      <c r="F2560" s="1470"/>
      <c r="G2560" s="1470"/>
      <c r="H2560" s="1350"/>
      <c r="I2560" s="1350"/>
      <c r="J2560" s="1350"/>
      <c r="K2560" s="1350"/>
      <c r="L2560" s="1350"/>
      <c r="M2560" s="1350"/>
      <c r="N2560" s="1350"/>
      <c r="O2560" s="1350"/>
      <c r="P2560" s="1350"/>
      <c r="Q2560" s="1350"/>
      <c r="R2560" s="1350"/>
      <c r="S2560" s="1350"/>
      <c r="T2560" s="1350"/>
      <c r="U2560" s="1350"/>
      <c r="V2560" s="1350"/>
      <c r="W2560" s="1350"/>
      <c r="X2560" s="1350"/>
      <c r="Y2560" s="1350"/>
      <c r="Z2560" s="1350"/>
      <c r="AA2560" s="1350"/>
      <c r="AB2560" s="1350"/>
      <c r="AC2560" s="1350"/>
      <c r="AD2560" s="1350"/>
      <c r="AE2560" s="1350"/>
      <c r="AF2560" s="1350"/>
      <c r="AG2560" s="1350"/>
      <c r="AH2560" s="1350"/>
      <c r="AI2560" s="1350"/>
      <c r="AJ2560" s="1350"/>
      <c r="AK2560" s="1350"/>
      <c r="AL2560" s="1350"/>
      <c r="AM2560" s="1350"/>
      <c r="AN2560" s="1350"/>
      <c r="AO2560" s="1350"/>
      <c r="AP2560" s="1350"/>
      <c r="AQ2560" s="1350"/>
      <c r="AR2560" s="1350"/>
      <c r="AS2560" s="1350"/>
      <c r="AT2560" s="1350"/>
      <c r="AU2560" s="1350"/>
      <c r="AV2560" s="1350"/>
      <c r="AW2560" s="1350"/>
      <c r="AX2560" s="1350"/>
      <c r="AY2560" s="1350"/>
      <c r="AZ2560" s="1350"/>
      <c r="BA2560" s="1070"/>
      <c r="BB2560" s="1070"/>
      <c r="BC2560" s="1070"/>
      <c r="BD2560" s="1070"/>
      <c r="BE2560" s="1070"/>
      <c r="BF2560" s="1070"/>
      <c r="BG2560" s="1070"/>
      <c r="BH2560" s="1070"/>
      <c r="BI2560" s="1070"/>
      <c r="BJ2560" s="1070"/>
      <c r="BK2560" s="1070"/>
      <c r="BL2560" s="1070"/>
      <c r="BM2560" s="1070"/>
      <c r="BN2560" s="1070"/>
      <c r="BO2560" s="1070"/>
      <c r="BP2560" s="1070"/>
      <c r="BQ2560" s="1070"/>
      <c r="BR2560" s="1070"/>
      <c r="BS2560" s="1070"/>
      <c r="BT2560" s="1070"/>
      <c r="BU2560" s="1070"/>
      <c r="BV2560" s="1070"/>
      <c r="BW2560" s="1070"/>
      <c r="BX2560" s="1070"/>
      <c r="BY2560" s="1070"/>
      <c r="BZ2560" s="1070"/>
      <c r="CA2560" s="1070"/>
      <c r="CB2560" s="1070"/>
      <c r="CC2560" s="1070"/>
      <c r="CD2560" s="1070"/>
      <c r="CE2560" s="1070"/>
      <c r="CF2560" s="1070"/>
      <c r="CG2560" s="1070"/>
      <c r="CH2560" s="1070"/>
      <c r="CI2560" s="1070"/>
      <c r="CJ2560" s="1070"/>
      <c r="CK2560" s="1070"/>
      <c r="CL2560" s="1070"/>
      <c r="CM2560" s="1070"/>
      <c r="CN2560" s="1070"/>
      <c r="CO2560" s="1070"/>
      <c r="CP2560" s="1070"/>
      <c r="CQ2560" s="1070"/>
      <c r="CR2560" s="1070"/>
      <c r="CS2560" s="1070"/>
      <c r="CT2560" s="1070"/>
      <c r="CU2560" s="1070"/>
      <c r="CV2560" s="1070"/>
      <c r="CW2560" s="1070"/>
      <c r="CX2560" s="1070"/>
      <c r="CY2560" s="1070"/>
      <c r="CZ2560" s="1070"/>
      <c r="DA2560" s="1070"/>
      <c r="DB2560" s="1070"/>
      <c r="DC2560" s="1070"/>
      <c r="DD2560" s="1070"/>
      <c r="DE2560" s="1070"/>
      <c r="DF2560" s="1070"/>
      <c r="DG2560" s="1070"/>
      <c r="DH2560" s="1070"/>
      <c r="DI2560" s="1070"/>
      <c r="DJ2560" s="1070"/>
    </row>
    <row r="2561" spans="1:114" s="1136" customFormat="1" ht="15.75" x14ac:dyDescent="0.25">
      <c r="A2561" s="1430" t="s">
        <v>834</v>
      </c>
      <c r="B2561" s="1433" t="e">
        <f>B239*B2560*B245</f>
        <v>#VALUE!</v>
      </c>
      <c r="C2561" s="1437"/>
      <c r="D2561" s="1475"/>
      <c r="E2561" s="1437"/>
      <c r="F2561" s="1437"/>
      <c r="G2561" s="1437"/>
      <c r="H2561" s="1350"/>
      <c r="I2561" s="1350"/>
      <c r="J2561" s="1350"/>
      <c r="K2561" s="1350"/>
      <c r="L2561" s="1350"/>
      <c r="M2561" s="1350"/>
      <c r="N2561" s="1350"/>
      <c r="O2561" s="1350"/>
      <c r="P2561" s="1350"/>
      <c r="Q2561" s="1350"/>
      <c r="R2561" s="1350"/>
      <c r="S2561" s="1350"/>
      <c r="T2561" s="1350"/>
      <c r="U2561" s="1350"/>
      <c r="V2561" s="1350"/>
      <c r="W2561" s="1350"/>
      <c r="X2561" s="1350"/>
      <c r="Y2561" s="1350"/>
      <c r="Z2561" s="1350"/>
      <c r="AA2561" s="1350"/>
      <c r="AB2561" s="1350"/>
      <c r="AC2561" s="1350"/>
      <c r="AD2561" s="1350"/>
      <c r="AE2561" s="1350"/>
      <c r="AF2561" s="1350"/>
      <c r="AG2561" s="1350"/>
      <c r="AH2561" s="1350"/>
      <c r="AI2561" s="1350"/>
      <c r="AJ2561" s="1350"/>
      <c r="AK2561" s="1350"/>
      <c r="AL2561" s="1350"/>
      <c r="AM2561" s="1350"/>
      <c r="AN2561" s="1350"/>
      <c r="AO2561" s="1350"/>
      <c r="AP2561" s="1350"/>
      <c r="AQ2561" s="1350"/>
      <c r="AR2561" s="1350"/>
      <c r="AS2561" s="1350"/>
      <c r="AT2561" s="1350"/>
      <c r="AU2561" s="1350"/>
      <c r="AV2561" s="1350"/>
      <c r="AW2561" s="1350"/>
      <c r="AX2561" s="1350"/>
      <c r="AY2561" s="1350"/>
      <c r="AZ2561" s="1350"/>
      <c r="BA2561" s="1070"/>
      <c r="BB2561" s="1070"/>
      <c r="BC2561" s="1070"/>
      <c r="BD2561" s="1070"/>
      <c r="BE2561" s="1070"/>
      <c r="BF2561" s="1070"/>
      <c r="BG2561" s="1070"/>
      <c r="BH2561" s="1070"/>
      <c r="BI2561" s="1070"/>
      <c r="BJ2561" s="1070"/>
      <c r="BK2561" s="1070"/>
      <c r="BL2561" s="1070"/>
      <c r="BM2561" s="1070"/>
      <c r="BN2561" s="1070"/>
      <c r="BO2561" s="1070"/>
      <c r="BP2561" s="1070"/>
      <c r="BQ2561" s="1070"/>
      <c r="BR2561" s="1070"/>
      <c r="BS2561" s="1070"/>
      <c r="BT2561" s="1070"/>
      <c r="BU2561" s="1070"/>
      <c r="BV2561" s="1070"/>
      <c r="BW2561" s="1070"/>
      <c r="BX2561" s="1070"/>
      <c r="BY2561" s="1070"/>
      <c r="BZ2561" s="1070"/>
      <c r="CA2561" s="1070"/>
      <c r="CB2561" s="1070"/>
      <c r="CC2561" s="1070"/>
      <c r="CD2561" s="1070"/>
      <c r="CE2561" s="1070"/>
      <c r="CF2561" s="1070"/>
      <c r="CG2561" s="1070"/>
      <c r="CH2561" s="1070"/>
      <c r="CI2561" s="1070"/>
      <c r="CJ2561" s="1070"/>
      <c r="CK2561" s="1070"/>
      <c r="CL2561" s="1070"/>
      <c r="CM2561" s="1070"/>
      <c r="CN2561" s="1070"/>
      <c r="CO2561" s="1070"/>
      <c r="CP2561" s="1070"/>
      <c r="CQ2561" s="1070"/>
      <c r="CR2561" s="1070"/>
      <c r="CS2561" s="1070"/>
      <c r="CT2561" s="1070"/>
      <c r="CU2561" s="1070"/>
      <c r="CV2561" s="1070"/>
      <c r="CW2561" s="1070"/>
      <c r="CX2561" s="1070"/>
      <c r="CY2561" s="1070"/>
      <c r="CZ2561" s="1070"/>
      <c r="DA2561" s="1070"/>
      <c r="DB2561" s="1070"/>
      <c r="DC2561" s="1070"/>
      <c r="DD2561" s="1070"/>
      <c r="DE2561" s="1070"/>
      <c r="DF2561" s="1070"/>
      <c r="DG2561" s="1070"/>
      <c r="DH2561" s="1070"/>
      <c r="DI2561" s="1070"/>
      <c r="DJ2561" s="1070"/>
    </row>
    <row r="2562" spans="1:114" s="1136" customFormat="1" ht="15.75" x14ac:dyDescent="0.25">
      <c r="A2562" s="1417" t="s">
        <v>5572</v>
      </c>
      <c r="B2562" s="1431">
        <f>B2537</f>
        <v>3</v>
      </c>
      <c r="C2562" s="1434"/>
      <c r="D2562" s="1476"/>
      <c r="E2562" s="1437"/>
      <c r="F2562" s="1437"/>
      <c r="G2562" s="1437"/>
      <c r="H2562" s="1350"/>
      <c r="I2562" s="1350"/>
      <c r="J2562" s="1350"/>
      <c r="K2562" s="1350"/>
      <c r="L2562" s="1350"/>
      <c r="M2562" s="1350"/>
      <c r="N2562" s="1350"/>
      <c r="O2562" s="1350"/>
      <c r="P2562" s="1350"/>
      <c r="Q2562" s="1350"/>
      <c r="R2562" s="1350"/>
      <c r="S2562" s="1350"/>
      <c r="T2562" s="1350"/>
      <c r="U2562" s="1350"/>
      <c r="V2562" s="1350"/>
      <c r="W2562" s="1350"/>
      <c r="X2562" s="1350"/>
      <c r="Y2562" s="1350"/>
      <c r="Z2562" s="1350"/>
      <c r="AA2562" s="1350"/>
      <c r="AB2562" s="1350"/>
      <c r="AC2562" s="1350"/>
      <c r="AD2562" s="1350"/>
      <c r="AE2562" s="1350"/>
      <c r="AF2562" s="1350"/>
      <c r="AG2562" s="1350"/>
      <c r="AH2562" s="1350"/>
      <c r="AI2562" s="1350"/>
      <c r="AJ2562" s="1350"/>
      <c r="AK2562" s="1350"/>
      <c r="AL2562" s="1350"/>
      <c r="AM2562" s="1350"/>
      <c r="AN2562" s="1350"/>
      <c r="AO2562" s="1350"/>
      <c r="AP2562" s="1350"/>
      <c r="AQ2562" s="1350"/>
      <c r="AR2562" s="1350"/>
      <c r="AS2562" s="1350"/>
      <c r="AT2562" s="1350"/>
      <c r="AU2562" s="1350"/>
      <c r="AV2562" s="1350"/>
      <c r="AW2562" s="1350"/>
      <c r="AX2562" s="1350"/>
      <c r="AY2562" s="1350"/>
      <c r="AZ2562" s="1350"/>
      <c r="BA2562" s="1070"/>
      <c r="BB2562" s="1070"/>
      <c r="BC2562" s="1070"/>
      <c r="BD2562" s="1070"/>
      <c r="BE2562" s="1070"/>
      <c r="BF2562" s="1070"/>
      <c r="BG2562" s="1070"/>
      <c r="BH2562" s="1070"/>
      <c r="BI2562" s="1070"/>
      <c r="BJ2562" s="1070"/>
      <c r="BK2562" s="1070"/>
      <c r="BL2562" s="1070"/>
      <c r="BM2562" s="1070"/>
      <c r="BN2562" s="1070"/>
      <c r="BO2562" s="1070"/>
      <c r="BP2562" s="1070"/>
      <c r="BQ2562" s="1070"/>
      <c r="BR2562" s="1070"/>
      <c r="BS2562" s="1070"/>
      <c r="BT2562" s="1070"/>
      <c r="BU2562" s="1070"/>
      <c r="BV2562" s="1070"/>
      <c r="BW2562" s="1070"/>
      <c r="BX2562" s="1070"/>
      <c r="BY2562" s="1070"/>
      <c r="BZ2562" s="1070"/>
      <c r="CA2562" s="1070"/>
      <c r="CB2562" s="1070"/>
      <c r="CC2562" s="1070"/>
      <c r="CD2562" s="1070"/>
      <c r="CE2562" s="1070"/>
      <c r="CF2562" s="1070"/>
      <c r="CG2562" s="1070"/>
      <c r="CH2562" s="1070"/>
      <c r="CI2562" s="1070"/>
      <c r="CJ2562" s="1070"/>
      <c r="CK2562" s="1070"/>
      <c r="CL2562" s="1070"/>
      <c r="CM2562" s="1070"/>
      <c r="CN2562" s="1070"/>
      <c r="CO2562" s="1070"/>
      <c r="CP2562" s="1070"/>
      <c r="CQ2562" s="1070"/>
      <c r="CR2562" s="1070"/>
      <c r="CS2562" s="1070"/>
      <c r="CT2562" s="1070"/>
      <c r="CU2562" s="1070"/>
      <c r="CV2562" s="1070"/>
      <c r="CW2562" s="1070"/>
      <c r="CX2562" s="1070"/>
      <c r="CY2562" s="1070"/>
      <c r="CZ2562" s="1070"/>
      <c r="DA2562" s="1070"/>
      <c r="DB2562" s="1070"/>
      <c r="DC2562" s="1070"/>
      <c r="DD2562" s="1070"/>
      <c r="DE2562" s="1070"/>
      <c r="DF2562" s="1070"/>
      <c r="DG2562" s="1070"/>
      <c r="DH2562" s="1070"/>
      <c r="DI2562" s="1070"/>
      <c r="DJ2562" s="1070"/>
    </row>
    <row r="2563" spans="1:114" s="1136" customFormat="1" ht="15.75" x14ac:dyDescent="0.25">
      <c r="A2563" s="1430" t="s">
        <v>425</v>
      </c>
      <c r="B2563" s="1423">
        <f>B2538</f>
        <v>158</v>
      </c>
      <c r="C2563" s="1429"/>
      <c r="D2563" s="1477"/>
      <c r="E2563" s="1432"/>
      <c r="F2563" s="1432"/>
      <c r="G2563" s="1432"/>
      <c r="H2563" s="1350"/>
      <c r="I2563" s="1350"/>
      <c r="J2563" s="1350"/>
      <c r="K2563" s="1350"/>
      <c r="L2563" s="1350"/>
      <c r="M2563" s="1350"/>
      <c r="N2563" s="1350"/>
      <c r="O2563" s="1350"/>
      <c r="P2563" s="1350"/>
      <c r="Q2563" s="1350"/>
      <c r="R2563" s="1350"/>
      <c r="S2563" s="1350"/>
      <c r="T2563" s="1350"/>
      <c r="U2563" s="1350"/>
      <c r="V2563" s="1350"/>
      <c r="W2563" s="1350"/>
      <c r="X2563" s="1350"/>
      <c r="Y2563" s="1350"/>
      <c r="Z2563" s="1350"/>
      <c r="AA2563" s="1350"/>
      <c r="AB2563" s="1350"/>
      <c r="AC2563" s="1350"/>
      <c r="AD2563" s="1350"/>
      <c r="AE2563" s="1350"/>
      <c r="AF2563" s="1350"/>
      <c r="AG2563" s="1350"/>
      <c r="AH2563" s="1350"/>
      <c r="AI2563" s="1350"/>
      <c r="AJ2563" s="1350"/>
      <c r="AK2563" s="1350"/>
      <c r="AL2563" s="1350"/>
      <c r="AM2563" s="1350"/>
      <c r="AN2563" s="1350"/>
      <c r="AO2563" s="1350"/>
      <c r="AP2563" s="1350"/>
      <c r="AQ2563" s="1350"/>
      <c r="AR2563" s="1350"/>
      <c r="AS2563" s="1350"/>
      <c r="AT2563" s="1350"/>
      <c r="AU2563" s="1350"/>
      <c r="AV2563" s="1350"/>
      <c r="AW2563" s="1350"/>
      <c r="AX2563" s="1350"/>
      <c r="AY2563" s="1350"/>
      <c r="AZ2563" s="1350"/>
      <c r="BA2563" s="1070"/>
      <c r="BB2563" s="1070"/>
      <c r="BC2563" s="1070"/>
      <c r="BD2563" s="1070"/>
      <c r="BE2563" s="1070"/>
      <c r="BF2563" s="1070"/>
      <c r="BG2563" s="1070"/>
      <c r="BH2563" s="1070"/>
      <c r="BI2563" s="1070"/>
      <c r="BJ2563" s="1070"/>
      <c r="BK2563" s="1070"/>
      <c r="BL2563" s="1070"/>
      <c r="BM2563" s="1070"/>
      <c r="BN2563" s="1070"/>
      <c r="BO2563" s="1070"/>
      <c r="BP2563" s="1070"/>
      <c r="BQ2563" s="1070"/>
      <c r="BR2563" s="1070"/>
      <c r="BS2563" s="1070"/>
      <c r="BT2563" s="1070"/>
      <c r="BU2563" s="1070"/>
      <c r="BV2563" s="1070"/>
      <c r="BW2563" s="1070"/>
      <c r="BX2563" s="1070"/>
      <c r="BY2563" s="1070"/>
      <c r="BZ2563" s="1070"/>
      <c r="CA2563" s="1070"/>
      <c r="CB2563" s="1070"/>
      <c r="CC2563" s="1070"/>
      <c r="CD2563" s="1070"/>
      <c r="CE2563" s="1070"/>
      <c r="CF2563" s="1070"/>
      <c r="CG2563" s="1070"/>
      <c r="CH2563" s="1070"/>
      <c r="CI2563" s="1070"/>
      <c r="CJ2563" s="1070"/>
      <c r="CK2563" s="1070"/>
      <c r="CL2563" s="1070"/>
      <c r="CM2563" s="1070"/>
      <c r="CN2563" s="1070"/>
      <c r="CO2563" s="1070"/>
      <c r="CP2563" s="1070"/>
      <c r="CQ2563" s="1070"/>
      <c r="CR2563" s="1070"/>
      <c r="CS2563" s="1070"/>
      <c r="CT2563" s="1070"/>
      <c r="CU2563" s="1070"/>
      <c r="CV2563" s="1070"/>
      <c r="CW2563" s="1070"/>
      <c r="CX2563" s="1070"/>
      <c r="CY2563" s="1070"/>
      <c r="CZ2563" s="1070"/>
      <c r="DA2563" s="1070"/>
      <c r="DB2563" s="1070"/>
      <c r="DC2563" s="1070"/>
      <c r="DD2563" s="1070"/>
      <c r="DE2563" s="1070"/>
      <c r="DF2563" s="1070"/>
      <c r="DG2563" s="1070"/>
      <c r="DH2563" s="1070"/>
      <c r="DI2563" s="1070"/>
      <c r="DJ2563" s="1070"/>
    </row>
    <row r="2564" spans="1:114" s="1136" customFormat="1" ht="15.75" x14ac:dyDescent="0.25">
      <c r="A2564" s="1430" t="s">
        <v>1322</v>
      </c>
      <c r="B2564" s="1433" t="e">
        <f>B2548*B2550*B2552*B2554*B2383</f>
        <v>#VALUE!</v>
      </c>
      <c r="C2564" s="1437"/>
      <c r="D2564" s="1478"/>
      <c r="E2564" s="1454"/>
      <c r="F2564" s="1454"/>
      <c r="G2564" s="1454"/>
      <c r="H2564" s="1350"/>
      <c r="I2564" s="1350"/>
      <c r="J2564" s="1350"/>
      <c r="K2564" s="1350"/>
      <c r="L2564" s="1350"/>
      <c r="M2564" s="1350"/>
      <c r="N2564" s="1350"/>
      <c r="O2564" s="1350"/>
      <c r="P2564" s="1350"/>
      <c r="Q2564" s="1350"/>
      <c r="R2564" s="1350"/>
      <c r="S2564" s="1350"/>
      <c r="T2564" s="1350"/>
      <c r="U2564" s="1350"/>
      <c r="V2564" s="1350"/>
      <c r="W2564" s="1350"/>
      <c r="X2564" s="1350"/>
      <c r="Y2564" s="1350"/>
      <c r="Z2564" s="1350"/>
      <c r="AA2564" s="1350"/>
      <c r="AB2564" s="1350"/>
      <c r="AC2564" s="1350"/>
      <c r="AD2564" s="1350"/>
      <c r="AE2564" s="1350"/>
      <c r="AF2564" s="1350"/>
      <c r="AG2564" s="1350"/>
      <c r="AH2564" s="1350"/>
      <c r="AI2564" s="1350"/>
      <c r="AJ2564" s="1350"/>
      <c r="AK2564" s="1350"/>
      <c r="AL2564" s="1350"/>
      <c r="AM2564" s="1350"/>
      <c r="AN2564" s="1350"/>
      <c r="AO2564" s="1350"/>
      <c r="AP2564" s="1350"/>
      <c r="AQ2564" s="1350"/>
      <c r="AR2564" s="1350"/>
      <c r="AS2564" s="1350"/>
      <c r="AT2564" s="1350"/>
      <c r="AU2564" s="1350"/>
      <c r="AV2564" s="1350"/>
      <c r="AW2564" s="1350"/>
      <c r="AX2564" s="1350"/>
      <c r="AY2564" s="1350"/>
      <c r="AZ2564" s="1350"/>
      <c r="BA2564" s="1070"/>
      <c r="BB2564" s="1070"/>
      <c r="BC2564" s="1070"/>
      <c r="BD2564" s="1070"/>
      <c r="BE2564" s="1070"/>
      <c r="BF2564" s="1070"/>
      <c r="BG2564" s="1070"/>
      <c r="BH2564" s="1070"/>
      <c r="BI2564" s="1070"/>
      <c r="BJ2564" s="1070"/>
      <c r="BK2564" s="1070"/>
      <c r="BL2564" s="1070"/>
      <c r="BM2564" s="1070"/>
      <c r="BN2564" s="1070"/>
      <c r="BO2564" s="1070"/>
      <c r="BP2564" s="1070"/>
      <c r="BQ2564" s="1070"/>
      <c r="BR2564" s="1070"/>
      <c r="BS2564" s="1070"/>
      <c r="BT2564" s="1070"/>
      <c r="BU2564" s="1070"/>
      <c r="BV2564" s="1070"/>
      <c r="BW2564" s="1070"/>
      <c r="BX2564" s="1070"/>
      <c r="BY2564" s="1070"/>
      <c r="BZ2564" s="1070"/>
      <c r="CA2564" s="1070"/>
      <c r="CB2564" s="1070"/>
      <c r="CC2564" s="1070"/>
      <c r="CD2564" s="1070"/>
      <c r="CE2564" s="1070"/>
      <c r="CF2564" s="1070"/>
      <c r="CG2564" s="1070"/>
      <c r="CH2564" s="1070"/>
      <c r="CI2564" s="1070"/>
      <c r="CJ2564" s="1070"/>
      <c r="CK2564" s="1070"/>
      <c r="CL2564" s="1070"/>
      <c r="CM2564" s="1070"/>
      <c r="CN2564" s="1070"/>
      <c r="CO2564" s="1070"/>
      <c r="CP2564" s="1070"/>
      <c r="CQ2564" s="1070"/>
      <c r="CR2564" s="1070"/>
      <c r="CS2564" s="1070"/>
      <c r="CT2564" s="1070"/>
      <c r="CU2564" s="1070"/>
      <c r="CV2564" s="1070"/>
      <c r="CW2564" s="1070"/>
      <c r="CX2564" s="1070"/>
      <c r="CY2564" s="1070"/>
      <c r="CZ2564" s="1070"/>
      <c r="DA2564" s="1070"/>
      <c r="DB2564" s="1070"/>
      <c r="DC2564" s="1070"/>
      <c r="DD2564" s="1070"/>
      <c r="DE2564" s="1070"/>
      <c r="DF2564" s="1070"/>
      <c r="DG2564" s="1070"/>
      <c r="DH2564" s="1070"/>
      <c r="DI2564" s="1070"/>
      <c r="DJ2564" s="1070"/>
    </row>
    <row r="2565" spans="1:114" s="1136" customFormat="1" ht="15.75" x14ac:dyDescent="0.25">
      <c r="A2565" s="1430" t="s">
        <v>1</v>
      </c>
      <c r="B2565" s="1433" t="e">
        <f>B2563*B2564</f>
        <v>#VALUE!</v>
      </c>
      <c r="C2565" s="1437"/>
      <c r="D2565" s="1478"/>
      <c r="E2565" s="1454"/>
      <c r="F2565" s="1454"/>
      <c r="G2565" s="1454"/>
      <c r="H2565" s="1350"/>
      <c r="I2565" s="1350"/>
      <c r="J2565" s="1350"/>
      <c r="K2565" s="1350"/>
      <c r="L2565" s="1350"/>
      <c r="M2565" s="1350"/>
      <c r="N2565" s="1350"/>
      <c r="O2565" s="1350"/>
      <c r="P2565" s="1350"/>
      <c r="Q2565" s="1350"/>
      <c r="R2565" s="1350"/>
      <c r="S2565" s="1350"/>
      <c r="T2565" s="1350"/>
      <c r="U2565" s="1350"/>
      <c r="V2565" s="1350"/>
      <c r="W2565" s="1350"/>
      <c r="X2565" s="1350"/>
      <c r="Y2565" s="1350"/>
      <c r="Z2565" s="1350"/>
      <c r="AA2565" s="1350"/>
      <c r="AB2565" s="1350"/>
      <c r="AC2565" s="1350"/>
      <c r="AD2565" s="1350"/>
      <c r="AE2565" s="1350"/>
      <c r="AF2565" s="1350"/>
      <c r="AG2565" s="1350"/>
      <c r="AH2565" s="1350"/>
      <c r="AI2565" s="1350"/>
      <c r="AJ2565" s="1350"/>
      <c r="AK2565" s="1350"/>
      <c r="AL2565" s="1350"/>
      <c r="AM2565" s="1350"/>
      <c r="AN2565" s="1350"/>
      <c r="AO2565" s="1350"/>
      <c r="AP2565" s="1350"/>
      <c r="AQ2565" s="1350"/>
      <c r="AR2565" s="1350"/>
      <c r="AS2565" s="1350"/>
      <c r="AT2565" s="1350"/>
      <c r="AU2565" s="1350"/>
      <c r="AV2565" s="1350"/>
      <c r="AW2565" s="1350"/>
      <c r="AX2565" s="1350"/>
      <c r="AY2565" s="1350"/>
      <c r="AZ2565" s="1350"/>
      <c r="BA2565" s="1070"/>
      <c r="BB2565" s="1070"/>
      <c r="BC2565" s="1070"/>
      <c r="BD2565" s="1070"/>
      <c r="BE2565" s="1070"/>
      <c r="BF2565" s="1070"/>
      <c r="BG2565" s="1070"/>
      <c r="BH2565" s="1070"/>
      <c r="BI2565" s="1070"/>
      <c r="BJ2565" s="1070"/>
      <c r="BK2565" s="1070"/>
      <c r="BL2565" s="1070"/>
      <c r="BM2565" s="1070"/>
      <c r="BN2565" s="1070"/>
      <c r="BO2565" s="1070"/>
      <c r="BP2565" s="1070"/>
      <c r="BQ2565" s="1070"/>
      <c r="BR2565" s="1070"/>
      <c r="BS2565" s="1070"/>
      <c r="BT2565" s="1070"/>
      <c r="BU2565" s="1070"/>
      <c r="BV2565" s="1070"/>
      <c r="BW2565" s="1070"/>
      <c r="BX2565" s="1070"/>
      <c r="BY2565" s="1070"/>
      <c r="BZ2565" s="1070"/>
      <c r="CA2565" s="1070"/>
      <c r="CB2565" s="1070"/>
      <c r="CC2565" s="1070"/>
      <c r="CD2565" s="1070"/>
      <c r="CE2565" s="1070"/>
      <c r="CF2565" s="1070"/>
      <c r="CG2565" s="1070"/>
      <c r="CH2565" s="1070"/>
      <c r="CI2565" s="1070"/>
      <c r="CJ2565" s="1070"/>
      <c r="CK2565" s="1070"/>
      <c r="CL2565" s="1070"/>
      <c r="CM2565" s="1070"/>
      <c r="CN2565" s="1070"/>
      <c r="CO2565" s="1070"/>
      <c r="CP2565" s="1070"/>
      <c r="CQ2565" s="1070"/>
      <c r="CR2565" s="1070"/>
      <c r="CS2565" s="1070"/>
      <c r="CT2565" s="1070"/>
      <c r="CU2565" s="1070"/>
      <c r="CV2565" s="1070"/>
      <c r="CW2565" s="1070"/>
      <c r="CX2565" s="1070"/>
      <c r="CY2565" s="1070"/>
      <c r="CZ2565" s="1070"/>
      <c r="DA2565" s="1070"/>
      <c r="DB2565" s="1070"/>
      <c r="DC2565" s="1070"/>
      <c r="DD2565" s="1070"/>
      <c r="DE2565" s="1070"/>
      <c r="DF2565" s="1070"/>
      <c r="DG2565" s="1070"/>
      <c r="DH2565" s="1070"/>
      <c r="DI2565" s="1070"/>
      <c r="DJ2565" s="1070"/>
    </row>
    <row r="2566" spans="1:114" s="1136" customFormat="1" ht="15.75" x14ac:dyDescent="0.25">
      <c r="A2566" s="1430" t="s">
        <v>4351</v>
      </c>
      <c r="B2566" s="1433" t="e">
        <f>B2561/B2565</f>
        <v>#VALUE!</v>
      </c>
      <c r="C2566" s="1437"/>
      <c r="D2566" s="1478"/>
      <c r="E2566" s="1454"/>
      <c r="F2566" s="1454"/>
      <c r="G2566" s="1454"/>
      <c r="H2566" s="1350"/>
      <c r="I2566" s="1350"/>
      <c r="J2566" s="1350"/>
      <c r="K2566" s="1350"/>
      <c r="L2566" s="1350"/>
      <c r="M2566" s="1350"/>
      <c r="N2566" s="1350"/>
      <c r="O2566" s="1350"/>
      <c r="P2566" s="1350"/>
      <c r="Q2566" s="1350"/>
      <c r="R2566" s="1350"/>
      <c r="S2566" s="1350"/>
      <c r="T2566" s="1350"/>
      <c r="U2566" s="1350"/>
      <c r="V2566" s="1350"/>
      <c r="W2566" s="1350"/>
      <c r="X2566" s="1350"/>
      <c r="Y2566" s="1350"/>
      <c r="Z2566" s="1350"/>
      <c r="AA2566" s="1350"/>
      <c r="AB2566" s="1350"/>
      <c r="AC2566" s="1350"/>
      <c r="AD2566" s="1350"/>
      <c r="AE2566" s="1350"/>
      <c r="AF2566" s="1350"/>
      <c r="AG2566" s="1350"/>
      <c r="AH2566" s="1350"/>
      <c r="AI2566" s="1350"/>
      <c r="AJ2566" s="1350"/>
      <c r="AK2566" s="1350"/>
      <c r="AL2566" s="1350"/>
      <c r="AM2566" s="1350"/>
      <c r="AN2566" s="1350"/>
      <c r="AO2566" s="1350"/>
      <c r="AP2566" s="1350"/>
      <c r="AQ2566" s="1350"/>
      <c r="AR2566" s="1350"/>
      <c r="AS2566" s="1350"/>
      <c r="AT2566" s="1350"/>
      <c r="AU2566" s="1350"/>
      <c r="AV2566" s="1350"/>
      <c r="AW2566" s="1350"/>
      <c r="AX2566" s="1350"/>
      <c r="AY2566" s="1350"/>
      <c r="AZ2566" s="1350"/>
      <c r="BA2566" s="1070"/>
      <c r="BB2566" s="1070"/>
      <c r="BC2566" s="1070"/>
      <c r="BD2566" s="1070"/>
      <c r="BE2566" s="1070"/>
      <c r="BF2566" s="1070"/>
      <c r="BG2566" s="1070"/>
      <c r="BH2566" s="1070"/>
      <c r="BI2566" s="1070"/>
      <c r="BJ2566" s="1070"/>
      <c r="BK2566" s="1070"/>
      <c r="BL2566" s="1070"/>
      <c r="BM2566" s="1070"/>
      <c r="BN2566" s="1070"/>
      <c r="BO2566" s="1070"/>
      <c r="BP2566" s="1070"/>
      <c r="BQ2566" s="1070"/>
      <c r="BR2566" s="1070"/>
      <c r="BS2566" s="1070"/>
      <c r="BT2566" s="1070"/>
      <c r="BU2566" s="1070"/>
      <c r="BV2566" s="1070"/>
      <c r="BW2566" s="1070"/>
      <c r="BX2566" s="1070"/>
      <c r="BY2566" s="1070"/>
      <c r="BZ2566" s="1070"/>
      <c r="CA2566" s="1070"/>
      <c r="CB2566" s="1070"/>
      <c r="CC2566" s="1070"/>
      <c r="CD2566" s="1070"/>
      <c r="CE2566" s="1070"/>
      <c r="CF2566" s="1070"/>
      <c r="CG2566" s="1070"/>
      <c r="CH2566" s="1070"/>
      <c r="CI2566" s="1070"/>
      <c r="CJ2566" s="1070"/>
      <c r="CK2566" s="1070"/>
      <c r="CL2566" s="1070"/>
      <c r="CM2566" s="1070"/>
      <c r="CN2566" s="1070"/>
      <c r="CO2566" s="1070"/>
      <c r="CP2566" s="1070"/>
      <c r="CQ2566" s="1070"/>
      <c r="CR2566" s="1070"/>
      <c r="CS2566" s="1070"/>
      <c r="CT2566" s="1070"/>
      <c r="CU2566" s="1070"/>
      <c r="CV2566" s="1070"/>
      <c r="CW2566" s="1070"/>
      <c r="CX2566" s="1070"/>
      <c r="CY2566" s="1070"/>
      <c r="CZ2566" s="1070"/>
      <c r="DA2566" s="1070"/>
      <c r="DB2566" s="1070"/>
      <c r="DC2566" s="1070"/>
      <c r="DD2566" s="1070"/>
      <c r="DE2566" s="1070"/>
      <c r="DF2566" s="1070"/>
      <c r="DG2566" s="1070"/>
      <c r="DH2566" s="1070"/>
      <c r="DI2566" s="1070"/>
      <c r="DJ2566" s="1070"/>
    </row>
    <row r="2567" spans="1:114" s="1136" customFormat="1" ht="15.75" x14ac:dyDescent="0.25">
      <c r="A2567" s="1466" t="s">
        <v>831</v>
      </c>
      <c r="B2567" s="1433">
        <f>IF(B273=1,B2566,0)</f>
        <v>0</v>
      </c>
      <c r="C2567" s="1437"/>
      <c r="D2567" s="1478"/>
      <c r="E2567" s="1458"/>
      <c r="F2567" s="1458"/>
      <c r="G2567" s="1458"/>
      <c r="H2567" s="1350"/>
      <c r="I2567" s="1350"/>
      <c r="J2567" s="1350"/>
      <c r="K2567" s="1350"/>
      <c r="L2567" s="1350"/>
      <c r="M2567" s="1350"/>
      <c r="N2567" s="1350"/>
      <c r="O2567" s="1350"/>
      <c r="P2567" s="1350"/>
      <c r="Q2567" s="1350"/>
      <c r="R2567" s="1350"/>
      <c r="S2567" s="1350"/>
      <c r="T2567" s="1350"/>
      <c r="U2567" s="1350"/>
      <c r="V2567" s="1350"/>
      <c r="W2567" s="1350"/>
      <c r="X2567" s="1350"/>
      <c r="Y2567" s="1350"/>
      <c r="Z2567" s="1350"/>
      <c r="AA2567" s="1350"/>
      <c r="AB2567" s="1350"/>
      <c r="AC2567" s="1350"/>
      <c r="AD2567" s="1350"/>
      <c r="AE2567" s="1350"/>
      <c r="AF2567" s="1350"/>
      <c r="AG2567" s="1350"/>
      <c r="AH2567" s="1350"/>
      <c r="AI2567" s="1350"/>
      <c r="AJ2567" s="1350"/>
      <c r="AK2567" s="1350"/>
      <c r="AL2567" s="1350"/>
      <c r="AM2567" s="1350"/>
      <c r="AN2567" s="1350"/>
      <c r="AO2567" s="1350"/>
      <c r="AP2567" s="1350"/>
      <c r="AQ2567" s="1350"/>
      <c r="AR2567" s="1350"/>
      <c r="AS2567" s="1350"/>
      <c r="AT2567" s="1350"/>
      <c r="AU2567" s="1350"/>
      <c r="AV2567" s="1350"/>
      <c r="AW2567" s="1350"/>
      <c r="AX2567" s="1350"/>
      <c r="AY2567" s="1350"/>
      <c r="AZ2567" s="1350"/>
      <c r="BA2567" s="1070"/>
      <c r="BB2567" s="1070"/>
      <c r="BC2567" s="1070"/>
      <c r="BD2567" s="1070"/>
      <c r="BE2567" s="1070"/>
      <c r="BF2567" s="1070"/>
      <c r="BG2567" s="1070"/>
      <c r="BH2567" s="1070"/>
      <c r="BI2567" s="1070"/>
      <c r="BJ2567" s="1070"/>
      <c r="BK2567" s="1070"/>
      <c r="BL2567" s="1070"/>
      <c r="BM2567" s="1070"/>
      <c r="BN2567" s="1070"/>
      <c r="BO2567" s="1070"/>
      <c r="BP2567" s="1070"/>
      <c r="BQ2567" s="1070"/>
      <c r="BR2567" s="1070"/>
      <c r="BS2567" s="1070"/>
      <c r="BT2567" s="1070"/>
      <c r="BU2567" s="1070"/>
      <c r="BV2567" s="1070"/>
      <c r="BW2567" s="1070"/>
      <c r="BX2567" s="1070"/>
      <c r="BY2567" s="1070"/>
      <c r="BZ2567" s="1070"/>
      <c r="CA2567" s="1070"/>
      <c r="CB2567" s="1070"/>
      <c r="CC2567" s="1070"/>
      <c r="CD2567" s="1070"/>
      <c r="CE2567" s="1070"/>
      <c r="CF2567" s="1070"/>
      <c r="CG2567" s="1070"/>
      <c r="CH2567" s="1070"/>
      <c r="CI2567" s="1070"/>
      <c r="CJ2567" s="1070"/>
      <c r="CK2567" s="1070"/>
      <c r="CL2567" s="1070"/>
      <c r="CM2567" s="1070"/>
      <c r="CN2567" s="1070"/>
      <c r="CO2567" s="1070"/>
      <c r="CP2567" s="1070"/>
      <c r="CQ2567" s="1070"/>
      <c r="CR2567" s="1070"/>
      <c r="CS2567" s="1070"/>
      <c r="CT2567" s="1070"/>
      <c r="CU2567" s="1070"/>
      <c r="CV2567" s="1070"/>
      <c r="CW2567" s="1070"/>
      <c r="CX2567" s="1070"/>
      <c r="CY2567" s="1070"/>
      <c r="CZ2567" s="1070"/>
      <c r="DA2567" s="1070"/>
      <c r="DB2567" s="1070"/>
      <c r="DC2567" s="1070"/>
      <c r="DD2567" s="1070"/>
      <c r="DE2567" s="1070"/>
      <c r="DF2567" s="1070"/>
      <c r="DG2567" s="1070"/>
      <c r="DH2567" s="1070"/>
      <c r="DI2567" s="1070"/>
      <c r="DJ2567" s="1070"/>
    </row>
    <row r="2568" spans="1:114" s="1136" customFormat="1" ht="15.75" x14ac:dyDescent="0.25">
      <c r="A2568" s="1460"/>
      <c r="B2568" s="1428"/>
      <c r="C2568" s="1432"/>
      <c r="E2568" s="1437"/>
      <c r="F2568" s="1437"/>
      <c r="G2568" s="1437"/>
      <c r="H2568" s="1350"/>
      <c r="I2568" s="1350"/>
      <c r="J2568" s="1350"/>
      <c r="K2568" s="1350"/>
      <c r="L2568" s="1350"/>
      <c r="M2568" s="1350"/>
      <c r="N2568" s="1350"/>
      <c r="O2568" s="1350"/>
      <c r="P2568" s="1350"/>
      <c r="Q2568" s="1350"/>
      <c r="R2568" s="1350"/>
      <c r="S2568" s="1350"/>
      <c r="T2568" s="1350"/>
      <c r="U2568" s="1350"/>
      <c r="V2568" s="1350"/>
      <c r="W2568" s="1350"/>
      <c r="X2568" s="1350"/>
      <c r="Y2568" s="1350"/>
      <c r="Z2568" s="1350"/>
      <c r="AA2568" s="1350"/>
      <c r="AB2568" s="1350"/>
      <c r="AC2568" s="1350"/>
      <c r="AD2568" s="1350"/>
      <c r="AE2568" s="1350"/>
      <c r="AF2568" s="1350"/>
      <c r="AG2568" s="1350"/>
      <c r="AH2568" s="1350"/>
      <c r="AI2568" s="1350"/>
      <c r="AJ2568" s="1350"/>
      <c r="AK2568" s="1350"/>
      <c r="AL2568" s="1350"/>
      <c r="AM2568" s="1350"/>
      <c r="AN2568" s="1350"/>
      <c r="AO2568" s="1350"/>
      <c r="AP2568" s="1350"/>
      <c r="AQ2568" s="1350"/>
      <c r="AR2568" s="1350"/>
      <c r="AS2568" s="1350"/>
      <c r="AT2568" s="1350"/>
      <c r="AU2568" s="1350"/>
      <c r="AV2568" s="1350"/>
      <c r="AW2568" s="1350"/>
      <c r="AX2568" s="1350"/>
      <c r="AY2568" s="1350"/>
      <c r="AZ2568" s="1350"/>
      <c r="BA2568" s="1070"/>
      <c r="BB2568" s="1070"/>
      <c r="BC2568" s="1070"/>
      <c r="BD2568" s="1070"/>
      <c r="BE2568" s="1070"/>
      <c r="BF2568" s="1070"/>
      <c r="BG2568" s="1070"/>
      <c r="BH2568" s="1070"/>
      <c r="BI2568" s="1070"/>
      <c r="BJ2568" s="1070"/>
      <c r="BK2568" s="1070"/>
      <c r="BL2568" s="1070"/>
      <c r="BM2568" s="1070"/>
      <c r="BN2568" s="1070"/>
      <c r="BO2568" s="1070"/>
      <c r="BP2568" s="1070"/>
      <c r="BQ2568" s="1070"/>
      <c r="BR2568" s="1070"/>
      <c r="BS2568" s="1070"/>
      <c r="BT2568" s="1070"/>
      <c r="BU2568" s="1070"/>
      <c r="BV2568" s="1070"/>
      <c r="BW2568" s="1070"/>
      <c r="BX2568" s="1070"/>
      <c r="BY2568" s="1070"/>
      <c r="BZ2568" s="1070"/>
      <c r="CA2568" s="1070"/>
      <c r="CB2568" s="1070"/>
      <c r="CC2568" s="1070"/>
      <c r="CD2568" s="1070"/>
      <c r="CE2568" s="1070"/>
      <c r="CF2568" s="1070"/>
      <c r="CG2568" s="1070"/>
      <c r="CH2568" s="1070"/>
      <c r="CI2568" s="1070"/>
      <c r="CJ2568" s="1070"/>
      <c r="CK2568" s="1070"/>
      <c r="CL2568" s="1070"/>
      <c r="CM2568" s="1070"/>
      <c r="CN2568" s="1070"/>
      <c r="CO2568" s="1070"/>
      <c r="CP2568" s="1070"/>
      <c r="CQ2568" s="1070"/>
      <c r="CR2568" s="1070"/>
      <c r="CS2568" s="1070"/>
      <c r="CT2568" s="1070"/>
      <c r="CU2568" s="1070"/>
      <c r="CV2568" s="1070"/>
      <c r="CW2568" s="1070"/>
      <c r="CX2568" s="1070"/>
      <c r="CY2568" s="1070"/>
      <c r="CZ2568" s="1070"/>
      <c r="DA2568" s="1070"/>
      <c r="DB2568" s="1070"/>
      <c r="DC2568" s="1070"/>
      <c r="DD2568" s="1070"/>
      <c r="DE2568" s="1070"/>
      <c r="DF2568" s="1070"/>
      <c r="DG2568" s="1070"/>
      <c r="DH2568" s="1070"/>
      <c r="DI2568" s="1070"/>
      <c r="DJ2568" s="1070"/>
    </row>
    <row r="2569" spans="1:114" s="1136" customFormat="1" ht="15.75" x14ac:dyDescent="0.25">
      <c r="A2569" s="1461" t="s">
        <v>4352</v>
      </c>
      <c r="B2569" s="1428"/>
      <c r="C2569" s="1432"/>
      <c r="E2569" s="1434"/>
      <c r="F2569" s="1434"/>
      <c r="G2569" s="1434"/>
      <c r="H2569" s="1350"/>
      <c r="I2569" s="1350"/>
      <c r="J2569" s="1350"/>
      <c r="K2569" s="1350"/>
      <c r="L2569" s="1350"/>
      <c r="M2569" s="1350"/>
      <c r="N2569" s="1350"/>
      <c r="O2569" s="1350"/>
      <c r="P2569" s="1350"/>
      <c r="Q2569" s="1350"/>
      <c r="R2569" s="1350"/>
      <c r="S2569" s="1350"/>
      <c r="T2569" s="1350"/>
      <c r="U2569" s="1350"/>
      <c r="V2569" s="1350"/>
      <c r="W2569" s="1350"/>
      <c r="X2569" s="1350"/>
      <c r="Y2569" s="1350"/>
      <c r="Z2569" s="1350"/>
      <c r="AA2569" s="1350"/>
      <c r="AB2569" s="1350"/>
      <c r="AC2569" s="1350"/>
      <c r="AD2569" s="1350"/>
      <c r="AE2569" s="1350"/>
      <c r="AF2569" s="1350"/>
      <c r="AG2569" s="1350"/>
      <c r="AH2569" s="1350"/>
      <c r="AI2569" s="1350"/>
      <c r="AJ2569" s="1350"/>
      <c r="AK2569" s="1350"/>
      <c r="AL2569" s="1350"/>
      <c r="AM2569" s="1350"/>
      <c r="AN2569" s="1350"/>
      <c r="AO2569" s="1350"/>
      <c r="AP2569" s="1350"/>
      <c r="AQ2569" s="1350"/>
      <c r="AR2569" s="1350"/>
      <c r="AS2569" s="1350"/>
      <c r="AT2569" s="1350"/>
      <c r="AU2569" s="1350"/>
      <c r="AV2569" s="1350"/>
      <c r="AW2569" s="1350"/>
      <c r="AX2569" s="1350"/>
      <c r="AY2569" s="1350"/>
      <c r="AZ2569" s="1350"/>
      <c r="BA2569" s="1070"/>
      <c r="BB2569" s="1070"/>
      <c r="BC2569" s="1070"/>
      <c r="BD2569" s="1070"/>
      <c r="BE2569" s="1070"/>
      <c r="BF2569" s="1070"/>
      <c r="BG2569" s="1070"/>
      <c r="BH2569" s="1070"/>
      <c r="BI2569" s="1070"/>
      <c r="BJ2569" s="1070"/>
      <c r="BK2569" s="1070"/>
      <c r="BL2569" s="1070"/>
      <c r="BM2569" s="1070"/>
      <c r="BN2569" s="1070"/>
      <c r="BO2569" s="1070"/>
      <c r="BP2569" s="1070"/>
      <c r="BQ2569" s="1070"/>
      <c r="BR2569" s="1070"/>
      <c r="BS2569" s="1070"/>
      <c r="BT2569" s="1070"/>
      <c r="BU2569" s="1070"/>
      <c r="BV2569" s="1070"/>
      <c r="BW2569" s="1070"/>
      <c r="BX2569" s="1070"/>
      <c r="BY2569" s="1070"/>
      <c r="BZ2569" s="1070"/>
      <c r="CA2569" s="1070"/>
      <c r="CB2569" s="1070"/>
      <c r="CC2569" s="1070"/>
      <c r="CD2569" s="1070"/>
      <c r="CE2569" s="1070"/>
      <c r="CF2569" s="1070"/>
      <c r="CG2569" s="1070"/>
      <c r="CH2569" s="1070"/>
      <c r="CI2569" s="1070"/>
      <c r="CJ2569" s="1070"/>
      <c r="CK2569" s="1070"/>
      <c r="CL2569" s="1070"/>
      <c r="CM2569" s="1070"/>
      <c r="CN2569" s="1070"/>
      <c r="CO2569" s="1070"/>
      <c r="CP2569" s="1070"/>
      <c r="CQ2569" s="1070"/>
      <c r="CR2569" s="1070"/>
      <c r="CS2569" s="1070"/>
      <c r="CT2569" s="1070"/>
      <c r="CU2569" s="1070"/>
      <c r="CV2569" s="1070"/>
      <c r="CW2569" s="1070"/>
      <c r="CX2569" s="1070"/>
      <c r="CY2569" s="1070"/>
      <c r="CZ2569" s="1070"/>
      <c r="DA2569" s="1070"/>
      <c r="DB2569" s="1070"/>
      <c r="DC2569" s="1070"/>
      <c r="DD2569" s="1070"/>
      <c r="DE2569" s="1070"/>
      <c r="DF2569" s="1070"/>
      <c r="DG2569" s="1070"/>
      <c r="DH2569" s="1070"/>
      <c r="DI2569" s="1070"/>
      <c r="DJ2569" s="1070"/>
    </row>
    <row r="2570" spans="1:114" s="1136" customFormat="1" ht="15.75" x14ac:dyDescent="0.25">
      <c r="A2570" s="1430" t="s">
        <v>2995</v>
      </c>
      <c r="B2570" s="1428" t="e">
        <f>B240*B245*B259*B244*B247</f>
        <v>#VALUE!</v>
      </c>
      <c r="C2570" s="1432"/>
      <c r="E2570" s="1429"/>
      <c r="F2570" s="1429"/>
      <c r="G2570" s="1429"/>
      <c r="I2570" s="1350"/>
      <c r="J2570" s="1350"/>
      <c r="K2570" s="1350"/>
      <c r="L2570" s="1350"/>
      <c r="M2570" s="1350"/>
      <c r="N2570" s="1350"/>
      <c r="O2570" s="1350"/>
      <c r="P2570" s="1350"/>
      <c r="Q2570" s="1350"/>
      <c r="R2570" s="1350"/>
      <c r="S2570" s="1350"/>
      <c r="T2570" s="1350"/>
      <c r="U2570" s="1350"/>
      <c r="V2570" s="1350"/>
      <c r="W2570" s="1350"/>
      <c r="X2570" s="1350"/>
      <c r="Y2570" s="1350"/>
      <c r="Z2570" s="1350"/>
      <c r="AA2570" s="1350"/>
      <c r="AB2570" s="1350"/>
      <c r="AC2570" s="1350"/>
      <c r="AD2570" s="1350"/>
      <c r="AE2570" s="1350"/>
      <c r="AF2570" s="1350"/>
      <c r="AG2570" s="1350"/>
      <c r="AH2570" s="1350"/>
      <c r="AI2570" s="1350"/>
      <c r="AJ2570" s="1350"/>
      <c r="AK2570" s="1350"/>
      <c r="AL2570" s="1350"/>
      <c r="AM2570" s="1350"/>
      <c r="AN2570" s="1350"/>
      <c r="AO2570" s="1350"/>
      <c r="AP2570" s="1350"/>
      <c r="AQ2570" s="1350"/>
      <c r="AR2570" s="1350"/>
      <c r="AS2570" s="1350"/>
      <c r="AT2570" s="1350"/>
      <c r="AU2570" s="1350"/>
      <c r="AV2570" s="1350"/>
      <c r="AW2570" s="1350"/>
      <c r="AX2570" s="1350"/>
      <c r="AY2570" s="1350"/>
      <c r="AZ2570" s="1350"/>
      <c r="BA2570" s="1070"/>
      <c r="BB2570" s="1070"/>
      <c r="BC2570" s="1070"/>
      <c r="BD2570" s="1070"/>
      <c r="BE2570" s="1070"/>
      <c r="BF2570" s="1070"/>
      <c r="BG2570" s="1070"/>
      <c r="BH2570" s="1070"/>
      <c r="BI2570" s="1070"/>
      <c r="BJ2570" s="1070"/>
      <c r="BK2570" s="1070"/>
      <c r="BL2570" s="1070"/>
      <c r="BM2570" s="1070"/>
      <c r="BN2570" s="1070"/>
      <c r="BO2570" s="1070"/>
      <c r="BP2570" s="1070"/>
      <c r="BQ2570" s="1070"/>
      <c r="BR2570" s="1070"/>
      <c r="BS2570" s="1070"/>
      <c r="BT2570" s="1070"/>
      <c r="BU2570" s="1070"/>
      <c r="BV2570" s="1070"/>
      <c r="BW2570" s="1070"/>
      <c r="BX2570" s="1070"/>
      <c r="BY2570" s="1070"/>
      <c r="BZ2570" s="1070"/>
      <c r="CA2570" s="1070"/>
      <c r="CB2570" s="1070"/>
      <c r="CC2570" s="1070"/>
      <c r="CD2570" s="1070"/>
      <c r="CE2570" s="1070"/>
      <c r="CF2570" s="1070"/>
      <c r="CG2570" s="1070"/>
      <c r="CH2570" s="1070"/>
      <c r="CI2570" s="1070"/>
      <c r="CJ2570" s="1070"/>
      <c r="CK2570" s="1070"/>
      <c r="CL2570" s="1070"/>
      <c r="CM2570" s="1070"/>
      <c r="CN2570" s="1070"/>
      <c r="CO2570" s="1070"/>
      <c r="CP2570" s="1070"/>
      <c r="CQ2570" s="1070"/>
      <c r="CR2570" s="1070"/>
      <c r="CS2570" s="1070"/>
      <c r="CT2570" s="1070"/>
      <c r="CU2570" s="1070"/>
      <c r="CV2570" s="1070"/>
      <c r="CW2570" s="1070"/>
      <c r="CX2570" s="1070"/>
      <c r="CY2570" s="1070"/>
      <c r="CZ2570" s="1070"/>
      <c r="DA2570" s="1070"/>
      <c r="DB2570" s="1070"/>
      <c r="DC2570" s="1070"/>
      <c r="DD2570" s="1070"/>
      <c r="DE2570" s="1070"/>
      <c r="DF2570" s="1070"/>
      <c r="DG2570" s="1070"/>
      <c r="DH2570" s="1070"/>
      <c r="DI2570" s="1070"/>
      <c r="DJ2570" s="1070"/>
    </row>
    <row r="2571" spans="1:114" s="1136" customFormat="1" ht="15.75" x14ac:dyDescent="0.25">
      <c r="A2571" s="1430" t="s">
        <v>4353</v>
      </c>
      <c r="B2571" s="1423">
        <f>IF(B240&lt;0.61,9.05,IF(B240&lt;0.71,9.93,IF(B240&lt;0.81,10.8,IF(B240&lt;0.91,11.4,IF(B240&lt;1.01,12,IF(B240&lt;1.11,12.5,IF(B240&lt;1.26,13.2,B2572)))))))</f>
        <v>16.5</v>
      </c>
      <c r="C2571" s="1429"/>
      <c r="E2571" s="1437"/>
      <c r="F2571" s="1437"/>
      <c r="G2571" s="1437"/>
      <c r="H2571" s="1350"/>
      <c r="I2571" s="1350"/>
      <c r="J2571" s="1350"/>
      <c r="K2571" s="1350"/>
      <c r="L2571" s="1350"/>
      <c r="M2571" s="1350"/>
      <c r="N2571" s="1350"/>
      <c r="O2571" s="1350"/>
      <c r="P2571" s="1350"/>
      <c r="Q2571" s="1350"/>
      <c r="R2571" s="1350"/>
      <c r="S2571" s="1350"/>
      <c r="T2571" s="1350"/>
      <c r="U2571" s="1350"/>
      <c r="V2571" s="1350"/>
      <c r="W2571" s="1350"/>
      <c r="X2571" s="1350"/>
      <c r="Y2571" s="1350"/>
      <c r="Z2571" s="1350"/>
      <c r="AA2571" s="1350"/>
      <c r="AB2571" s="1350"/>
      <c r="AC2571" s="1350"/>
      <c r="AD2571" s="1350"/>
      <c r="AE2571" s="1350"/>
      <c r="AF2571" s="1350"/>
      <c r="AG2571" s="1350"/>
      <c r="AH2571" s="1350"/>
      <c r="AI2571" s="1350"/>
      <c r="AJ2571" s="1350"/>
      <c r="AK2571" s="1350"/>
      <c r="AL2571" s="1350"/>
      <c r="AM2571" s="1350"/>
      <c r="AN2571" s="1350"/>
      <c r="AO2571" s="1350"/>
      <c r="AP2571" s="1350"/>
      <c r="AQ2571" s="1350"/>
      <c r="AR2571" s="1350"/>
      <c r="AS2571" s="1350"/>
      <c r="AT2571" s="1350"/>
      <c r="AU2571" s="1350"/>
      <c r="AV2571" s="1350"/>
      <c r="AW2571" s="1350"/>
      <c r="AX2571" s="1350"/>
      <c r="AY2571" s="1350"/>
      <c r="AZ2571" s="1350"/>
      <c r="BA2571" s="1070"/>
      <c r="BB2571" s="1070"/>
      <c r="BC2571" s="1070"/>
      <c r="BD2571" s="1070"/>
      <c r="BE2571" s="1070"/>
      <c r="BF2571" s="1070"/>
      <c r="BG2571" s="1070"/>
      <c r="BH2571" s="1070"/>
      <c r="BI2571" s="1070"/>
      <c r="BJ2571" s="1070"/>
      <c r="BK2571" s="1070"/>
      <c r="BL2571" s="1070"/>
      <c r="BM2571" s="1070"/>
      <c r="BN2571" s="1070"/>
      <c r="BO2571" s="1070"/>
      <c r="BP2571" s="1070"/>
      <c r="BQ2571" s="1070"/>
      <c r="BR2571" s="1070"/>
      <c r="BS2571" s="1070"/>
      <c r="BT2571" s="1070"/>
      <c r="BU2571" s="1070"/>
      <c r="BV2571" s="1070"/>
      <c r="BW2571" s="1070"/>
      <c r="BX2571" s="1070"/>
      <c r="BY2571" s="1070"/>
      <c r="BZ2571" s="1070"/>
      <c r="CA2571" s="1070"/>
      <c r="CB2571" s="1070"/>
      <c r="CC2571" s="1070"/>
      <c r="CD2571" s="1070"/>
      <c r="CE2571" s="1070"/>
      <c r="CF2571" s="1070"/>
      <c r="CG2571" s="1070"/>
      <c r="CH2571" s="1070"/>
      <c r="CI2571" s="1070"/>
      <c r="CJ2571" s="1070"/>
      <c r="CK2571" s="1070"/>
      <c r="CL2571" s="1070"/>
      <c r="CM2571" s="1070"/>
      <c r="CN2571" s="1070"/>
      <c r="CO2571" s="1070"/>
      <c r="CP2571" s="1070"/>
      <c r="CQ2571" s="1070"/>
      <c r="CR2571" s="1070"/>
      <c r="CS2571" s="1070"/>
      <c r="CT2571" s="1070"/>
      <c r="CU2571" s="1070"/>
      <c r="CV2571" s="1070"/>
      <c r="CW2571" s="1070"/>
      <c r="CX2571" s="1070"/>
      <c r="CY2571" s="1070"/>
      <c r="CZ2571" s="1070"/>
      <c r="DA2571" s="1070"/>
      <c r="DB2571" s="1070"/>
      <c r="DC2571" s="1070"/>
      <c r="DD2571" s="1070"/>
      <c r="DE2571" s="1070"/>
      <c r="DF2571" s="1070"/>
      <c r="DG2571" s="1070"/>
      <c r="DH2571" s="1070"/>
      <c r="DI2571" s="1070"/>
      <c r="DJ2571" s="1070"/>
    </row>
    <row r="2572" spans="1:114" s="1136" customFormat="1" ht="15.75" x14ac:dyDescent="0.25">
      <c r="A2572" s="1430" t="s">
        <v>4354</v>
      </c>
      <c r="B2572" s="1423">
        <f>IF(B240&lt;1.41,13.8,IF(B240&lt;1.81,14.7,16.5))</f>
        <v>16.5</v>
      </c>
      <c r="C2572" s="1429"/>
      <c r="E2572" s="1437"/>
      <c r="F2572" s="1437"/>
      <c r="G2572" s="1437"/>
      <c r="H2572" s="1350"/>
      <c r="I2572" s="1350"/>
      <c r="J2572" s="1350"/>
      <c r="K2572" s="1350"/>
      <c r="L2572" s="1350"/>
      <c r="M2572" s="1350"/>
      <c r="N2572" s="1350"/>
      <c r="O2572" s="1350"/>
      <c r="P2572" s="1350"/>
      <c r="Q2572" s="1350"/>
      <c r="R2572" s="1350"/>
      <c r="S2572" s="1350"/>
      <c r="T2572" s="1350"/>
      <c r="U2572" s="1350"/>
      <c r="V2572" s="1350"/>
      <c r="W2572" s="1350"/>
      <c r="X2572" s="1350"/>
      <c r="Y2572" s="1350"/>
      <c r="Z2572" s="1350"/>
      <c r="AA2572" s="1350"/>
      <c r="AB2572" s="1350"/>
      <c r="AC2572" s="1350"/>
      <c r="AD2572" s="1350"/>
      <c r="AE2572" s="1350"/>
      <c r="AF2572" s="1350"/>
      <c r="AG2572" s="1350"/>
      <c r="AH2572" s="1350"/>
      <c r="AI2572" s="1350"/>
      <c r="AJ2572" s="1350"/>
      <c r="AK2572" s="1350"/>
      <c r="AL2572" s="1350"/>
      <c r="AM2572" s="1350"/>
      <c r="AN2572" s="1350"/>
      <c r="AO2572" s="1350"/>
      <c r="AP2572" s="1350"/>
      <c r="AQ2572" s="1350"/>
      <c r="AR2572" s="1350"/>
      <c r="AS2572" s="1350"/>
      <c r="AT2572" s="1350"/>
      <c r="AU2572" s="1350"/>
      <c r="AV2572" s="1350"/>
      <c r="AW2572" s="1350"/>
      <c r="AX2572" s="1350"/>
      <c r="AY2572" s="1350"/>
      <c r="AZ2572" s="1350"/>
      <c r="BA2572" s="1070"/>
      <c r="BB2572" s="1070"/>
      <c r="BC2572" s="1070"/>
      <c r="BD2572" s="1070"/>
      <c r="BE2572" s="1070"/>
      <c r="BF2572" s="1070"/>
      <c r="BG2572" s="1070"/>
      <c r="BH2572" s="1070"/>
      <c r="BI2572" s="1070"/>
      <c r="BJ2572" s="1070"/>
      <c r="BK2572" s="1070"/>
      <c r="BL2572" s="1070"/>
      <c r="BM2572" s="1070"/>
      <c r="BN2572" s="1070"/>
      <c r="BO2572" s="1070"/>
      <c r="BP2572" s="1070"/>
      <c r="BQ2572" s="1070"/>
      <c r="BR2572" s="1070"/>
      <c r="BS2572" s="1070"/>
      <c r="BT2572" s="1070"/>
      <c r="BU2572" s="1070"/>
      <c r="BV2572" s="1070"/>
      <c r="BW2572" s="1070"/>
      <c r="BX2572" s="1070"/>
      <c r="BY2572" s="1070"/>
      <c r="BZ2572" s="1070"/>
      <c r="CA2572" s="1070"/>
      <c r="CB2572" s="1070"/>
      <c r="CC2572" s="1070"/>
      <c r="CD2572" s="1070"/>
      <c r="CE2572" s="1070"/>
      <c r="CF2572" s="1070"/>
      <c r="CG2572" s="1070"/>
      <c r="CH2572" s="1070"/>
      <c r="CI2572" s="1070"/>
      <c r="CJ2572" s="1070"/>
      <c r="CK2572" s="1070"/>
      <c r="CL2572" s="1070"/>
      <c r="CM2572" s="1070"/>
      <c r="CN2572" s="1070"/>
      <c r="CO2572" s="1070"/>
      <c r="CP2572" s="1070"/>
      <c r="CQ2572" s="1070"/>
      <c r="CR2572" s="1070"/>
      <c r="CS2572" s="1070"/>
      <c r="CT2572" s="1070"/>
      <c r="CU2572" s="1070"/>
      <c r="CV2572" s="1070"/>
      <c r="CW2572" s="1070"/>
      <c r="CX2572" s="1070"/>
      <c r="CY2572" s="1070"/>
      <c r="CZ2572" s="1070"/>
      <c r="DA2572" s="1070"/>
      <c r="DB2572" s="1070"/>
      <c r="DC2572" s="1070"/>
      <c r="DD2572" s="1070"/>
      <c r="DE2572" s="1070"/>
      <c r="DF2572" s="1070"/>
      <c r="DG2572" s="1070"/>
      <c r="DH2572" s="1070"/>
      <c r="DI2572" s="1070"/>
      <c r="DJ2572" s="1070"/>
    </row>
    <row r="2573" spans="1:114" s="1136" customFormat="1" ht="15.75" x14ac:dyDescent="0.25">
      <c r="A2573" s="1430" t="s">
        <v>1322</v>
      </c>
      <c r="B2573" s="1423"/>
      <c r="C2573" s="1429"/>
      <c r="E2573" s="1437"/>
      <c r="F2573" s="1437"/>
      <c r="G2573" s="1437"/>
      <c r="H2573" s="1350"/>
      <c r="I2573" s="1350"/>
      <c r="J2573" s="1350"/>
      <c r="K2573" s="1350"/>
      <c r="L2573" s="1350"/>
      <c r="M2573" s="1350"/>
      <c r="N2573" s="1350"/>
      <c r="O2573" s="1350"/>
      <c r="P2573" s="1350"/>
      <c r="Q2573" s="1350"/>
      <c r="R2573" s="1350"/>
      <c r="S2573" s="1350"/>
      <c r="T2573" s="1350"/>
      <c r="U2573" s="1350"/>
      <c r="V2573" s="1350"/>
      <c r="W2573" s="1350"/>
      <c r="X2573" s="1350"/>
      <c r="Y2573" s="1350"/>
      <c r="Z2573" s="1350"/>
      <c r="AA2573" s="1350"/>
      <c r="AB2573" s="1350"/>
      <c r="AC2573" s="1350"/>
      <c r="AD2573" s="1350"/>
      <c r="AE2573" s="1350"/>
      <c r="AF2573" s="1350"/>
      <c r="AG2573" s="1350"/>
      <c r="AH2573" s="1350"/>
      <c r="AI2573" s="1350"/>
      <c r="AJ2573" s="1350"/>
      <c r="AK2573" s="1350"/>
      <c r="AL2573" s="1350"/>
      <c r="AM2573" s="1350"/>
      <c r="AN2573" s="1350"/>
      <c r="AO2573" s="1350"/>
      <c r="AP2573" s="1350"/>
      <c r="AQ2573" s="1350"/>
      <c r="AR2573" s="1350"/>
      <c r="AS2573" s="1350"/>
      <c r="AT2573" s="1350"/>
      <c r="AU2573" s="1350"/>
      <c r="AV2573" s="1350"/>
      <c r="AW2573" s="1350"/>
      <c r="AX2573" s="1350"/>
      <c r="AY2573" s="1350"/>
      <c r="AZ2573" s="1350"/>
      <c r="BA2573" s="1070"/>
      <c r="BB2573" s="1070"/>
      <c r="BC2573" s="1070"/>
      <c r="BD2573" s="1070"/>
      <c r="BE2573" s="1070"/>
      <c r="BF2573" s="1070"/>
      <c r="BG2573" s="1070"/>
      <c r="BH2573" s="1070"/>
      <c r="BI2573" s="1070"/>
      <c r="BJ2573" s="1070"/>
      <c r="BK2573" s="1070"/>
      <c r="BL2573" s="1070"/>
      <c r="BM2573" s="1070"/>
      <c r="BN2573" s="1070"/>
      <c r="BO2573" s="1070"/>
      <c r="BP2573" s="1070"/>
      <c r="BQ2573" s="1070"/>
      <c r="BR2573" s="1070"/>
      <c r="BS2573" s="1070"/>
      <c r="BT2573" s="1070"/>
      <c r="BU2573" s="1070"/>
      <c r="BV2573" s="1070"/>
      <c r="BW2573" s="1070"/>
      <c r="BX2573" s="1070"/>
      <c r="BY2573" s="1070"/>
      <c r="BZ2573" s="1070"/>
      <c r="CA2573" s="1070"/>
      <c r="CB2573" s="1070"/>
      <c r="CC2573" s="1070"/>
      <c r="CD2573" s="1070"/>
      <c r="CE2573" s="1070"/>
      <c r="CF2573" s="1070"/>
      <c r="CG2573" s="1070"/>
      <c r="CH2573" s="1070"/>
      <c r="CI2573" s="1070"/>
      <c r="CJ2573" s="1070"/>
      <c r="CK2573" s="1070"/>
      <c r="CL2573" s="1070"/>
      <c r="CM2573" s="1070"/>
      <c r="CN2573" s="1070"/>
      <c r="CO2573" s="1070"/>
      <c r="CP2573" s="1070"/>
      <c r="CQ2573" s="1070"/>
      <c r="CR2573" s="1070"/>
      <c r="CS2573" s="1070"/>
      <c r="CT2573" s="1070"/>
      <c r="CU2573" s="1070"/>
      <c r="CV2573" s="1070"/>
      <c r="CW2573" s="1070"/>
      <c r="CX2573" s="1070"/>
      <c r="CY2573" s="1070"/>
      <c r="CZ2573" s="1070"/>
      <c r="DA2573" s="1070"/>
      <c r="DB2573" s="1070"/>
      <c r="DC2573" s="1070"/>
      <c r="DD2573" s="1070"/>
      <c r="DE2573" s="1070"/>
      <c r="DF2573" s="1070"/>
      <c r="DG2573" s="1070"/>
      <c r="DH2573" s="1070"/>
      <c r="DI2573" s="1070"/>
      <c r="DJ2573" s="1070"/>
    </row>
    <row r="2574" spans="1:114" s="1136" customFormat="1" ht="15.75" x14ac:dyDescent="0.25">
      <c r="A2574" s="1456" t="s">
        <v>4355</v>
      </c>
      <c r="B2574" s="1423">
        <f>1.5*B259</f>
        <v>0</v>
      </c>
      <c r="C2574" s="1429"/>
      <c r="E2574" s="1437"/>
      <c r="F2574" s="1437"/>
      <c r="G2574" s="1437"/>
      <c r="H2574" s="1350"/>
      <c r="I2574" s="1350"/>
      <c r="J2574" s="1350"/>
      <c r="K2574" s="1350"/>
      <c r="L2574" s="1350"/>
      <c r="M2574" s="1350"/>
      <c r="N2574" s="1350"/>
      <c r="O2574" s="1350"/>
      <c r="P2574" s="1350"/>
      <c r="Q2574" s="1350"/>
      <c r="R2574" s="1350"/>
      <c r="S2574" s="1350"/>
      <c r="T2574" s="1350"/>
      <c r="U2574" s="1350"/>
      <c r="V2574" s="1350"/>
      <c r="W2574" s="1350"/>
      <c r="X2574" s="1350"/>
      <c r="Y2574" s="1350"/>
      <c r="Z2574" s="1350"/>
      <c r="AA2574" s="1350"/>
      <c r="AB2574" s="1350"/>
      <c r="AC2574" s="1350"/>
      <c r="AD2574" s="1350"/>
      <c r="AE2574" s="1350"/>
      <c r="AF2574" s="1350"/>
      <c r="AG2574" s="1350"/>
      <c r="AH2574" s="1350"/>
      <c r="AI2574" s="1350"/>
      <c r="AJ2574" s="1350"/>
      <c r="AK2574" s="1350"/>
      <c r="AL2574" s="1350"/>
      <c r="AM2574" s="1350"/>
      <c r="AN2574" s="1350"/>
      <c r="AO2574" s="1350"/>
      <c r="AP2574" s="1350"/>
      <c r="AQ2574" s="1350"/>
      <c r="AR2574" s="1350"/>
      <c r="AS2574" s="1350"/>
      <c r="AT2574" s="1350"/>
      <c r="AU2574" s="1350"/>
      <c r="AV2574" s="1350"/>
      <c r="AW2574" s="1350"/>
      <c r="AX2574" s="1350"/>
      <c r="AY2574" s="1350"/>
      <c r="AZ2574" s="1350"/>
      <c r="BA2574" s="1070"/>
      <c r="BB2574" s="1070"/>
      <c r="BC2574" s="1070"/>
      <c r="BD2574" s="1070"/>
      <c r="BE2574" s="1070"/>
      <c r="BF2574" s="1070"/>
      <c r="BG2574" s="1070"/>
      <c r="BH2574" s="1070"/>
      <c r="BI2574" s="1070"/>
      <c r="BJ2574" s="1070"/>
      <c r="BK2574" s="1070"/>
      <c r="BL2574" s="1070"/>
      <c r="BM2574" s="1070"/>
      <c r="BN2574" s="1070"/>
      <c r="BO2574" s="1070"/>
      <c r="BP2574" s="1070"/>
      <c r="BQ2574" s="1070"/>
      <c r="BR2574" s="1070"/>
      <c r="BS2574" s="1070"/>
      <c r="BT2574" s="1070"/>
      <c r="BU2574" s="1070"/>
      <c r="BV2574" s="1070"/>
      <c r="BW2574" s="1070"/>
      <c r="BX2574" s="1070"/>
      <c r="BY2574" s="1070"/>
      <c r="BZ2574" s="1070"/>
      <c r="CA2574" s="1070"/>
      <c r="CB2574" s="1070"/>
      <c r="CC2574" s="1070"/>
      <c r="CD2574" s="1070"/>
      <c r="CE2574" s="1070"/>
      <c r="CF2574" s="1070"/>
      <c r="CG2574" s="1070"/>
      <c r="CH2574" s="1070"/>
      <c r="CI2574" s="1070"/>
      <c r="CJ2574" s="1070"/>
      <c r="CK2574" s="1070"/>
      <c r="CL2574" s="1070"/>
      <c r="CM2574" s="1070"/>
      <c r="CN2574" s="1070"/>
      <c r="CO2574" s="1070"/>
      <c r="CP2574" s="1070"/>
      <c r="CQ2574" s="1070"/>
      <c r="CR2574" s="1070"/>
      <c r="CS2574" s="1070"/>
      <c r="CT2574" s="1070"/>
      <c r="CU2574" s="1070"/>
      <c r="CV2574" s="1070"/>
      <c r="CW2574" s="1070"/>
      <c r="CX2574" s="1070"/>
      <c r="CY2574" s="1070"/>
      <c r="CZ2574" s="1070"/>
      <c r="DA2574" s="1070"/>
      <c r="DB2574" s="1070"/>
      <c r="DC2574" s="1070"/>
      <c r="DD2574" s="1070"/>
      <c r="DE2574" s="1070"/>
      <c r="DF2574" s="1070"/>
      <c r="DG2574" s="1070"/>
      <c r="DH2574" s="1070"/>
      <c r="DI2574" s="1070"/>
      <c r="DJ2574" s="1070"/>
    </row>
    <row r="2575" spans="1:114" s="1136" customFormat="1" ht="15.75" x14ac:dyDescent="0.25">
      <c r="A2575" s="1430" t="s">
        <v>4356</v>
      </c>
      <c r="B2575" s="1433">
        <f>IF(B2574&lt;6.1,0.85,0.9)</f>
        <v>0.85</v>
      </c>
      <c r="C2575" s="1437"/>
      <c r="D2575" s="1350"/>
      <c r="E2575" s="1350"/>
      <c r="F2575" s="1350"/>
      <c r="G2575" s="1350"/>
      <c r="H2575" s="1350"/>
      <c r="I2575" s="1350"/>
      <c r="J2575" s="1350"/>
      <c r="K2575" s="1350"/>
      <c r="L2575" s="1350"/>
      <c r="M2575" s="1350"/>
      <c r="N2575" s="1350"/>
      <c r="O2575" s="1350"/>
      <c r="P2575" s="1350"/>
      <c r="Q2575" s="1350"/>
      <c r="R2575" s="1350"/>
      <c r="S2575" s="1350"/>
      <c r="T2575" s="1350"/>
      <c r="U2575" s="1350"/>
      <c r="V2575" s="1350"/>
      <c r="W2575" s="1350"/>
      <c r="X2575" s="1350"/>
      <c r="Y2575" s="1350"/>
      <c r="Z2575" s="1350"/>
      <c r="AA2575" s="1350"/>
      <c r="AB2575" s="1350"/>
      <c r="AC2575" s="1350"/>
      <c r="AD2575" s="1350"/>
      <c r="AE2575" s="1350"/>
      <c r="AF2575" s="1350"/>
      <c r="AG2575" s="1350"/>
      <c r="AH2575" s="1350"/>
      <c r="AI2575" s="1350"/>
      <c r="AJ2575" s="1350"/>
      <c r="AK2575" s="1350"/>
      <c r="AL2575" s="1350"/>
      <c r="AM2575" s="1350"/>
      <c r="AN2575" s="1350"/>
      <c r="AO2575" s="1350"/>
      <c r="AP2575" s="1350"/>
      <c r="AQ2575" s="1350"/>
      <c r="AR2575" s="1350"/>
      <c r="AS2575" s="1350"/>
      <c r="AT2575" s="1350"/>
      <c r="AU2575" s="1350"/>
      <c r="AV2575" s="1350"/>
      <c r="AW2575" s="1350"/>
      <c r="AX2575" s="1350"/>
      <c r="AY2575" s="1350"/>
      <c r="AZ2575" s="1350"/>
      <c r="BA2575" s="1070"/>
      <c r="BB2575" s="1070"/>
      <c r="BC2575" s="1070"/>
      <c r="BD2575" s="1070"/>
      <c r="BE2575" s="1070"/>
      <c r="BF2575" s="1070"/>
      <c r="BG2575" s="1070"/>
      <c r="BH2575" s="1070"/>
      <c r="BI2575" s="1070"/>
      <c r="BJ2575" s="1070"/>
      <c r="BK2575" s="1070"/>
      <c r="BL2575" s="1070"/>
      <c r="BM2575" s="1070"/>
      <c r="BN2575" s="1070"/>
      <c r="BO2575" s="1070"/>
      <c r="BP2575" s="1070"/>
      <c r="BQ2575" s="1070"/>
      <c r="BR2575" s="1070"/>
      <c r="BS2575" s="1070"/>
      <c r="BT2575" s="1070"/>
      <c r="BU2575" s="1070"/>
      <c r="BV2575" s="1070"/>
      <c r="BW2575" s="1070"/>
      <c r="BX2575" s="1070"/>
      <c r="BY2575" s="1070"/>
      <c r="BZ2575" s="1070"/>
      <c r="CA2575" s="1070"/>
      <c r="CB2575" s="1070"/>
      <c r="CC2575" s="1070"/>
      <c r="CD2575" s="1070"/>
      <c r="CE2575" s="1070"/>
      <c r="CF2575" s="1070"/>
      <c r="CG2575" s="1070"/>
      <c r="CH2575" s="1070"/>
      <c r="CI2575" s="1070"/>
      <c r="CJ2575" s="1070"/>
      <c r="CK2575" s="1070"/>
      <c r="CL2575" s="1070"/>
      <c r="CM2575" s="1070"/>
      <c r="CN2575" s="1070"/>
      <c r="CO2575" s="1070"/>
      <c r="CP2575" s="1070"/>
      <c r="CQ2575" s="1070"/>
      <c r="CR2575" s="1070"/>
      <c r="CS2575" s="1070"/>
      <c r="CT2575" s="1070"/>
      <c r="CU2575" s="1070"/>
      <c r="CV2575" s="1070"/>
      <c r="CW2575" s="1070"/>
      <c r="CX2575" s="1070"/>
      <c r="CY2575" s="1070"/>
      <c r="CZ2575" s="1070"/>
      <c r="DA2575" s="1070"/>
      <c r="DB2575" s="1070"/>
      <c r="DC2575" s="1070"/>
      <c r="DD2575" s="1070"/>
      <c r="DE2575" s="1070"/>
      <c r="DF2575" s="1070"/>
      <c r="DG2575" s="1070"/>
      <c r="DH2575" s="1070"/>
      <c r="DI2575" s="1070"/>
      <c r="DJ2575" s="1070"/>
    </row>
    <row r="2576" spans="1:114" s="1136" customFormat="1" ht="15.75" x14ac:dyDescent="0.25">
      <c r="A2576" s="1430" t="s">
        <v>4357</v>
      </c>
      <c r="B2576" s="1433" t="e">
        <f>B2382</f>
        <v>#VALUE!</v>
      </c>
      <c r="C2576" s="1437"/>
      <c r="D2576" s="1350"/>
      <c r="E2576" s="1350"/>
      <c r="F2576" s="1350"/>
      <c r="G2576" s="1350"/>
      <c r="H2576" s="1350"/>
      <c r="I2576" s="1350"/>
      <c r="J2576" s="1350"/>
      <c r="K2576" s="1350"/>
      <c r="L2576" s="1350"/>
      <c r="M2576" s="1350"/>
      <c r="N2576" s="1350"/>
      <c r="O2576" s="1350"/>
      <c r="P2576" s="1350"/>
      <c r="Q2576" s="1350"/>
      <c r="R2576" s="1350"/>
      <c r="S2576" s="1350"/>
      <c r="T2576" s="1350"/>
      <c r="U2576" s="1350"/>
      <c r="V2576" s="1350"/>
      <c r="W2576" s="1350"/>
      <c r="X2576" s="1350"/>
      <c r="Y2576" s="1350"/>
      <c r="Z2576" s="1350"/>
      <c r="AA2576" s="1350"/>
      <c r="AB2576" s="1350"/>
      <c r="AC2576" s="1350"/>
      <c r="AD2576" s="1350"/>
      <c r="AE2576" s="1350"/>
      <c r="AF2576" s="1350"/>
      <c r="AG2576" s="1350"/>
      <c r="AH2576" s="1350"/>
      <c r="AI2576" s="1350"/>
      <c r="AJ2576" s="1350"/>
      <c r="AK2576" s="1350"/>
      <c r="AL2576" s="1350"/>
      <c r="AM2576" s="1350"/>
      <c r="AN2576" s="1350"/>
      <c r="AO2576" s="1350"/>
      <c r="AP2576" s="1350"/>
      <c r="AQ2576" s="1350"/>
      <c r="AR2576" s="1350"/>
      <c r="AS2576" s="1350"/>
      <c r="AT2576" s="1350"/>
      <c r="AU2576" s="1350"/>
      <c r="AV2576" s="1350"/>
      <c r="AW2576" s="1350"/>
      <c r="AX2576" s="1350"/>
      <c r="AY2576" s="1350"/>
      <c r="AZ2576" s="1350"/>
      <c r="BA2576" s="1070"/>
      <c r="BB2576" s="1070"/>
      <c r="BC2576" s="1070"/>
      <c r="BD2576" s="1070"/>
      <c r="BE2576" s="1070"/>
      <c r="BF2576" s="1070"/>
      <c r="BG2576" s="1070"/>
      <c r="BH2576" s="1070"/>
      <c r="BI2576" s="1070"/>
      <c r="BJ2576" s="1070"/>
      <c r="BK2576" s="1070"/>
      <c r="BL2576" s="1070"/>
      <c r="BM2576" s="1070"/>
      <c r="BN2576" s="1070"/>
      <c r="BO2576" s="1070"/>
      <c r="BP2576" s="1070"/>
      <c r="BQ2576" s="1070"/>
      <c r="BR2576" s="1070"/>
      <c r="BS2576" s="1070"/>
      <c r="BT2576" s="1070"/>
      <c r="BU2576" s="1070"/>
      <c r="BV2576" s="1070"/>
      <c r="BW2576" s="1070"/>
      <c r="BX2576" s="1070"/>
      <c r="BY2576" s="1070"/>
      <c r="BZ2576" s="1070"/>
      <c r="CA2576" s="1070"/>
      <c r="CB2576" s="1070"/>
      <c r="CC2576" s="1070"/>
      <c r="CD2576" s="1070"/>
      <c r="CE2576" s="1070"/>
      <c r="CF2576" s="1070"/>
      <c r="CG2576" s="1070"/>
      <c r="CH2576" s="1070"/>
      <c r="CI2576" s="1070"/>
      <c r="CJ2576" s="1070"/>
      <c r="CK2576" s="1070"/>
      <c r="CL2576" s="1070"/>
      <c r="CM2576" s="1070"/>
      <c r="CN2576" s="1070"/>
      <c r="CO2576" s="1070"/>
      <c r="CP2576" s="1070"/>
      <c r="CQ2576" s="1070"/>
      <c r="CR2576" s="1070"/>
      <c r="CS2576" s="1070"/>
      <c r="CT2576" s="1070"/>
      <c r="CU2576" s="1070"/>
      <c r="CV2576" s="1070"/>
      <c r="CW2576" s="1070"/>
      <c r="CX2576" s="1070"/>
      <c r="CY2576" s="1070"/>
      <c r="CZ2576" s="1070"/>
      <c r="DA2576" s="1070"/>
      <c r="DB2576" s="1070"/>
      <c r="DC2576" s="1070"/>
      <c r="DD2576" s="1070"/>
      <c r="DE2576" s="1070"/>
      <c r="DF2576" s="1070"/>
      <c r="DG2576" s="1070"/>
      <c r="DH2576" s="1070"/>
      <c r="DI2576" s="1070"/>
      <c r="DJ2576" s="1070"/>
    </row>
    <row r="2577" spans="1:114" s="1136" customFormat="1" ht="15.75" x14ac:dyDescent="0.25">
      <c r="A2577" s="1430" t="s">
        <v>4358</v>
      </c>
      <c r="B2577" s="1479">
        <v>0.7</v>
      </c>
      <c r="C2577" s="1458"/>
      <c r="D2577" s="1432"/>
      <c r="E2577" s="1432"/>
      <c r="F2577" s="1432"/>
      <c r="G2577" s="1432"/>
      <c r="H2577" s="1350"/>
      <c r="I2577" s="1350"/>
      <c r="J2577" s="1350"/>
      <c r="K2577" s="1350"/>
      <c r="L2577" s="1350"/>
      <c r="M2577" s="1350"/>
      <c r="N2577" s="1350"/>
      <c r="O2577" s="1350"/>
      <c r="P2577" s="1350"/>
      <c r="Q2577" s="1350"/>
      <c r="R2577" s="1350"/>
      <c r="S2577" s="1350"/>
      <c r="T2577" s="1350"/>
      <c r="U2577" s="1350"/>
      <c r="V2577" s="1350"/>
      <c r="W2577" s="1350"/>
      <c r="X2577" s="1350"/>
      <c r="Y2577" s="1350"/>
      <c r="Z2577" s="1350"/>
      <c r="AA2577" s="1350"/>
      <c r="AB2577" s="1350"/>
      <c r="AC2577" s="1350"/>
      <c r="AD2577" s="1350"/>
      <c r="AE2577" s="1350"/>
      <c r="AF2577" s="1350"/>
      <c r="AG2577" s="1350"/>
      <c r="AH2577" s="1350"/>
      <c r="AI2577" s="1350"/>
      <c r="AJ2577" s="1350"/>
      <c r="AK2577" s="1350"/>
      <c r="AL2577" s="1350"/>
      <c r="AM2577" s="1350"/>
      <c r="AN2577" s="1350"/>
      <c r="AO2577" s="1350"/>
      <c r="AP2577" s="1350"/>
      <c r="AQ2577" s="1350"/>
      <c r="AR2577" s="1350"/>
      <c r="AS2577" s="1350"/>
      <c r="AT2577" s="1350"/>
      <c r="AU2577" s="1350"/>
      <c r="AV2577" s="1350"/>
      <c r="AW2577" s="1350"/>
      <c r="AX2577" s="1350"/>
      <c r="AY2577" s="1350"/>
      <c r="AZ2577" s="1350"/>
      <c r="BA2577" s="1070"/>
      <c r="BB2577" s="1070"/>
      <c r="BC2577" s="1070"/>
      <c r="BD2577" s="1070"/>
      <c r="BE2577" s="1070"/>
      <c r="BF2577" s="1070"/>
      <c r="BG2577" s="1070"/>
      <c r="BH2577" s="1070"/>
      <c r="BI2577" s="1070"/>
      <c r="BJ2577" s="1070"/>
      <c r="BK2577" s="1070"/>
      <c r="BL2577" s="1070"/>
      <c r="BM2577" s="1070"/>
      <c r="BN2577" s="1070"/>
      <c r="BO2577" s="1070"/>
      <c r="BP2577" s="1070"/>
      <c r="BQ2577" s="1070"/>
      <c r="BR2577" s="1070"/>
      <c r="BS2577" s="1070"/>
      <c r="BT2577" s="1070"/>
      <c r="BU2577" s="1070"/>
      <c r="BV2577" s="1070"/>
      <c r="BW2577" s="1070"/>
      <c r="BX2577" s="1070"/>
      <c r="BY2577" s="1070"/>
      <c r="BZ2577" s="1070"/>
      <c r="CA2577" s="1070"/>
      <c r="CB2577" s="1070"/>
      <c r="CC2577" s="1070"/>
      <c r="CD2577" s="1070"/>
      <c r="CE2577" s="1070"/>
      <c r="CF2577" s="1070"/>
      <c r="CG2577" s="1070"/>
      <c r="CH2577" s="1070"/>
      <c r="CI2577" s="1070"/>
      <c r="CJ2577" s="1070"/>
      <c r="CK2577" s="1070"/>
      <c r="CL2577" s="1070"/>
      <c r="CM2577" s="1070"/>
      <c r="CN2577" s="1070"/>
      <c r="CO2577" s="1070"/>
      <c r="CP2577" s="1070"/>
      <c r="CQ2577" s="1070"/>
      <c r="CR2577" s="1070"/>
      <c r="CS2577" s="1070"/>
      <c r="CT2577" s="1070"/>
      <c r="CU2577" s="1070"/>
      <c r="CV2577" s="1070"/>
      <c r="CW2577" s="1070"/>
      <c r="CX2577" s="1070"/>
      <c r="CY2577" s="1070"/>
      <c r="CZ2577" s="1070"/>
      <c r="DA2577" s="1070"/>
      <c r="DB2577" s="1070"/>
      <c r="DC2577" s="1070"/>
      <c r="DD2577" s="1070"/>
      <c r="DE2577" s="1070"/>
      <c r="DF2577" s="1070"/>
      <c r="DG2577" s="1070"/>
      <c r="DH2577" s="1070"/>
      <c r="DI2577" s="1070"/>
      <c r="DJ2577" s="1070"/>
    </row>
    <row r="2578" spans="1:114" s="1136" customFormat="1" ht="31.5" x14ac:dyDescent="0.25">
      <c r="A2578" s="1471" t="s">
        <v>4359</v>
      </c>
      <c r="B2578" s="1469">
        <v>0</v>
      </c>
      <c r="C2578" s="1470"/>
      <c r="D2578" s="1429"/>
      <c r="E2578" s="1429"/>
      <c r="F2578" s="1429"/>
      <c r="G2578" s="1429"/>
      <c r="H2578" s="1350"/>
      <c r="I2578" s="1350"/>
      <c r="J2578" s="1350"/>
      <c r="K2578" s="1350"/>
      <c r="L2578" s="1350"/>
      <c r="M2578" s="1350"/>
      <c r="N2578" s="1350"/>
      <c r="O2578" s="1350"/>
      <c r="P2578" s="1350"/>
      <c r="Q2578" s="1350"/>
      <c r="R2578" s="1350"/>
      <c r="S2578" s="1350"/>
      <c r="T2578" s="1350"/>
      <c r="U2578" s="1350"/>
      <c r="V2578" s="1350"/>
      <c r="W2578" s="1350"/>
      <c r="X2578" s="1350"/>
      <c r="Y2578" s="1350"/>
      <c r="Z2578" s="1350"/>
      <c r="AA2578" s="1350"/>
      <c r="AB2578" s="1350"/>
      <c r="AC2578" s="1350"/>
      <c r="AD2578" s="1350"/>
      <c r="AE2578" s="1350"/>
      <c r="AF2578" s="1350"/>
      <c r="AG2578" s="1350"/>
      <c r="AH2578" s="1350"/>
      <c r="AI2578" s="1350"/>
      <c r="AJ2578" s="1350"/>
      <c r="AK2578" s="1350"/>
      <c r="AL2578" s="1350"/>
      <c r="AM2578" s="1350"/>
      <c r="AN2578" s="1350"/>
      <c r="AO2578" s="1350"/>
      <c r="AP2578" s="1350"/>
      <c r="AQ2578" s="1350"/>
      <c r="AR2578" s="1350"/>
      <c r="AS2578" s="1350"/>
      <c r="AT2578" s="1350"/>
      <c r="AU2578" s="1350"/>
      <c r="AV2578" s="1350"/>
      <c r="AW2578" s="1350"/>
      <c r="AX2578" s="1350"/>
      <c r="AY2578" s="1350"/>
      <c r="AZ2578" s="1350"/>
      <c r="BA2578" s="1070"/>
      <c r="BB2578" s="1070"/>
      <c r="BC2578" s="1070"/>
      <c r="BD2578" s="1070"/>
      <c r="BE2578" s="1070"/>
      <c r="BF2578" s="1070"/>
      <c r="BG2578" s="1070"/>
      <c r="BH2578" s="1070"/>
      <c r="BI2578" s="1070"/>
      <c r="BJ2578" s="1070"/>
      <c r="BK2578" s="1070"/>
      <c r="BL2578" s="1070"/>
      <c r="BM2578" s="1070"/>
      <c r="BN2578" s="1070"/>
      <c r="BO2578" s="1070"/>
      <c r="BP2578" s="1070"/>
      <c r="BQ2578" s="1070"/>
      <c r="BR2578" s="1070"/>
      <c r="BS2578" s="1070"/>
      <c r="BT2578" s="1070"/>
      <c r="BU2578" s="1070"/>
      <c r="BV2578" s="1070"/>
      <c r="BW2578" s="1070"/>
      <c r="BX2578" s="1070"/>
      <c r="BY2578" s="1070"/>
      <c r="BZ2578" s="1070"/>
      <c r="CA2578" s="1070"/>
      <c r="CB2578" s="1070"/>
      <c r="CC2578" s="1070"/>
      <c r="CD2578" s="1070"/>
      <c r="CE2578" s="1070"/>
      <c r="CF2578" s="1070"/>
      <c r="CG2578" s="1070"/>
      <c r="CH2578" s="1070"/>
      <c r="CI2578" s="1070"/>
      <c r="CJ2578" s="1070"/>
      <c r="CK2578" s="1070"/>
      <c r="CL2578" s="1070"/>
      <c r="CM2578" s="1070"/>
      <c r="CN2578" s="1070"/>
      <c r="CO2578" s="1070"/>
      <c r="CP2578" s="1070"/>
      <c r="CQ2578" s="1070"/>
      <c r="CR2578" s="1070"/>
      <c r="CS2578" s="1070"/>
      <c r="CT2578" s="1070"/>
      <c r="CU2578" s="1070"/>
      <c r="CV2578" s="1070"/>
      <c r="CW2578" s="1070"/>
      <c r="CX2578" s="1070"/>
      <c r="CY2578" s="1070"/>
      <c r="CZ2578" s="1070"/>
      <c r="DA2578" s="1070"/>
      <c r="DB2578" s="1070"/>
      <c r="DC2578" s="1070"/>
      <c r="DD2578" s="1070"/>
      <c r="DE2578" s="1070"/>
      <c r="DF2578" s="1070"/>
      <c r="DG2578" s="1070"/>
      <c r="DH2578" s="1070"/>
      <c r="DI2578" s="1070"/>
      <c r="DJ2578" s="1070"/>
    </row>
    <row r="2579" spans="1:114" s="1136" customFormat="1" ht="15.75" x14ac:dyDescent="0.25">
      <c r="A2579" s="1430" t="s">
        <v>4360</v>
      </c>
      <c r="B2579" s="1433">
        <f>IF(B2578=0,1.15,1.1)</f>
        <v>1.1499999999999999</v>
      </c>
      <c r="C2579" s="1437"/>
      <c r="D2579" s="1429"/>
      <c r="E2579" s="1429"/>
      <c r="F2579" s="1429"/>
      <c r="G2579" s="1429"/>
      <c r="H2579" s="1350"/>
      <c r="I2579" s="1350"/>
      <c r="J2579" s="1350"/>
      <c r="K2579" s="1350"/>
      <c r="L2579" s="1350"/>
      <c r="M2579" s="1350"/>
      <c r="N2579" s="1350"/>
      <c r="O2579" s="1350"/>
      <c r="P2579" s="1350"/>
      <c r="Q2579" s="1350"/>
      <c r="R2579" s="1350"/>
      <c r="S2579" s="1350"/>
      <c r="T2579" s="1350"/>
      <c r="U2579" s="1350"/>
      <c r="V2579" s="1350"/>
      <c r="W2579" s="1350"/>
      <c r="X2579" s="1350"/>
      <c r="Y2579" s="1350"/>
      <c r="Z2579" s="1350"/>
      <c r="AA2579" s="1350"/>
      <c r="AB2579" s="1350"/>
      <c r="AC2579" s="1350"/>
      <c r="AD2579" s="1350"/>
      <c r="AE2579" s="1350"/>
      <c r="AF2579" s="1350"/>
      <c r="AG2579" s="1350"/>
      <c r="AH2579" s="1350"/>
      <c r="AI2579" s="1350"/>
      <c r="AJ2579" s="1350"/>
      <c r="AK2579" s="1350"/>
      <c r="AL2579" s="1350"/>
      <c r="AM2579" s="1350"/>
      <c r="AN2579" s="1350"/>
      <c r="AO2579" s="1350"/>
      <c r="AP2579" s="1350"/>
      <c r="AQ2579" s="1350"/>
      <c r="AR2579" s="1350"/>
      <c r="AS2579" s="1350"/>
      <c r="AT2579" s="1350"/>
      <c r="AU2579" s="1350"/>
      <c r="AV2579" s="1350"/>
      <c r="AW2579" s="1350"/>
      <c r="AX2579" s="1350"/>
      <c r="AY2579" s="1350"/>
      <c r="AZ2579" s="1350"/>
      <c r="BA2579" s="1070"/>
      <c r="BB2579" s="1070"/>
      <c r="BC2579" s="1070"/>
      <c r="BD2579" s="1070"/>
      <c r="BE2579" s="1070"/>
      <c r="BF2579" s="1070"/>
      <c r="BG2579" s="1070"/>
      <c r="BH2579" s="1070"/>
      <c r="BI2579" s="1070"/>
      <c r="BJ2579" s="1070"/>
      <c r="BK2579" s="1070"/>
      <c r="BL2579" s="1070"/>
      <c r="BM2579" s="1070"/>
      <c r="BN2579" s="1070"/>
      <c r="BO2579" s="1070"/>
      <c r="BP2579" s="1070"/>
      <c r="BQ2579" s="1070"/>
      <c r="BR2579" s="1070"/>
      <c r="BS2579" s="1070"/>
      <c r="BT2579" s="1070"/>
      <c r="BU2579" s="1070"/>
      <c r="BV2579" s="1070"/>
      <c r="BW2579" s="1070"/>
      <c r="BX2579" s="1070"/>
      <c r="BY2579" s="1070"/>
      <c r="BZ2579" s="1070"/>
      <c r="CA2579" s="1070"/>
      <c r="CB2579" s="1070"/>
      <c r="CC2579" s="1070"/>
      <c r="CD2579" s="1070"/>
      <c r="CE2579" s="1070"/>
      <c r="CF2579" s="1070"/>
      <c r="CG2579" s="1070"/>
      <c r="CH2579" s="1070"/>
      <c r="CI2579" s="1070"/>
      <c r="CJ2579" s="1070"/>
      <c r="CK2579" s="1070"/>
      <c r="CL2579" s="1070"/>
      <c r="CM2579" s="1070"/>
      <c r="CN2579" s="1070"/>
      <c r="CO2579" s="1070"/>
      <c r="CP2579" s="1070"/>
      <c r="CQ2579" s="1070"/>
      <c r="CR2579" s="1070"/>
      <c r="CS2579" s="1070"/>
      <c r="CT2579" s="1070"/>
      <c r="CU2579" s="1070"/>
      <c r="CV2579" s="1070"/>
      <c r="CW2579" s="1070"/>
      <c r="CX2579" s="1070"/>
      <c r="CY2579" s="1070"/>
      <c r="CZ2579" s="1070"/>
      <c r="DA2579" s="1070"/>
      <c r="DB2579" s="1070"/>
      <c r="DC2579" s="1070"/>
      <c r="DD2579" s="1070"/>
      <c r="DE2579" s="1070"/>
      <c r="DF2579" s="1070"/>
      <c r="DG2579" s="1070"/>
      <c r="DH2579" s="1070"/>
      <c r="DI2579" s="1070"/>
      <c r="DJ2579" s="1070"/>
    </row>
    <row r="2580" spans="1:114" s="1136" customFormat="1" ht="47.25" x14ac:dyDescent="0.25">
      <c r="A2580" s="1471" t="s">
        <v>4361</v>
      </c>
      <c r="B2580" s="1423" t="e">
        <f>(B274/B240)*100</f>
        <v>#VALUE!</v>
      </c>
      <c r="C2580" s="1429"/>
      <c r="D2580" s="1350"/>
      <c r="E2580" s="1350"/>
      <c r="F2580" s="1350"/>
      <c r="G2580" s="1350"/>
      <c r="H2580" s="1350"/>
      <c r="I2580" s="1350"/>
      <c r="J2580" s="1350"/>
      <c r="K2580" s="1350"/>
      <c r="L2580" s="1350"/>
      <c r="M2580" s="1350"/>
      <c r="N2580" s="1350"/>
      <c r="O2580" s="1350"/>
      <c r="P2580" s="1350"/>
      <c r="Q2580" s="1350"/>
      <c r="R2580" s="1350"/>
      <c r="S2580" s="1350"/>
      <c r="T2580" s="1350"/>
      <c r="U2580" s="1350"/>
      <c r="V2580" s="1350"/>
      <c r="W2580" s="1350"/>
      <c r="X2580" s="1350"/>
      <c r="Y2580" s="1350"/>
      <c r="Z2580" s="1350"/>
      <c r="AA2580" s="1350"/>
      <c r="AB2580" s="1350"/>
      <c r="AC2580" s="1350"/>
      <c r="AD2580" s="1350"/>
      <c r="AE2580" s="1350"/>
      <c r="AF2580" s="1350"/>
      <c r="AG2580" s="1350"/>
      <c r="AH2580" s="1350"/>
      <c r="AI2580" s="1350"/>
      <c r="AJ2580" s="1350"/>
      <c r="AK2580" s="1350"/>
      <c r="AL2580" s="1350"/>
      <c r="AM2580" s="1350"/>
      <c r="AN2580" s="1350"/>
      <c r="AO2580" s="1350"/>
      <c r="AP2580" s="1350"/>
      <c r="AQ2580" s="1350"/>
      <c r="AR2580" s="1350"/>
      <c r="AS2580" s="1350"/>
      <c r="AT2580" s="1350"/>
      <c r="AU2580" s="1350"/>
      <c r="AV2580" s="1350"/>
      <c r="AW2580" s="1350"/>
      <c r="AX2580" s="1350"/>
      <c r="AY2580" s="1350"/>
      <c r="AZ2580" s="1350"/>
      <c r="BA2580" s="1070"/>
      <c r="BB2580" s="1070"/>
      <c r="BC2580" s="1070"/>
      <c r="BD2580" s="1070"/>
      <c r="BE2580" s="1070"/>
      <c r="BF2580" s="1070"/>
      <c r="BG2580" s="1070"/>
      <c r="BH2580" s="1070"/>
      <c r="BI2580" s="1070"/>
      <c r="BJ2580" s="1070"/>
      <c r="BK2580" s="1070"/>
      <c r="BL2580" s="1070"/>
      <c r="BM2580" s="1070"/>
      <c r="BN2580" s="1070"/>
      <c r="BO2580" s="1070"/>
      <c r="BP2580" s="1070"/>
      <c r="BQ2580" s="1070"/>
      <c r="BR2580" s="1070"/>
      <c r="BS2580" s="1070"/>
      <c r="BT2580" s="1070"/>
      <c r="BU2580" s="1070"/>
      <c r="BV2580" s="1070"/>
      <c r="BW2580" s="1070"/>
      <c r="BX2580" s="1070"/>
      <c r="BY2580" s="1070"/>
      <c r="BZ2580" s="1070"/>
      <c r="CA2580" s="1070"/>
      <c r="CB2580" s="1070"/>
      <c r="CC2580" s="1070"/>
      <c r="CD2580" s="1070"/>
      <c r="CE2580" s="1070"/>
      <c r="CF2580" s="1070"/>
      <c r="CG2580" s="1070"/>
      <c r="CH2580" s="1070"/>
      <c r="CI2580" s="1070"/>
      <c r="CJ2580" s="1070"/>
      <c r="CK2580" s="1070"/>
      <c r="CL2580" s="1070"/>
      <c r="CM2580" s="1070"/>
      <c r="CN2580" s="1070"/>
      <c r="CO2580" s="1070"/>
      <c r="CP2580" s="1070"/>
      <c r="CQ2580" s="1070"/>
      <c r="CR2580" s="1070"/>
      <c r="CS2580" s="1070"/>
      <c r="CT2580" s="1070"/>
      <c r="CU2580" s="1070"/>
      <c r="CV2580" s="1070"/>
      <c r="CW2580" s="1070"/>
      <c r="CX2580" s="1070"/>
      <c r="CY2580" s="1070"/>
      <c r="CZ2580" s="1070"/>
      <c r="DA2580" s="1070"/>
      <c r="DB2580" s="1070"/>
      <c r="DC2580" s="1070"/>
      <c r="DD2580" s="1070"/>
      <c r="DE2580" s="1070"/>
      <c r="DF2580" s="1070"/>
      <c r="DG2580" s="1070"/>
      <c r="DH2580" s="1070"/>
      <c r="DI2580" s="1070"/>
      <c r="DJ2580" s="1070"/>
    </row>
    <row r="2581" spans="1:114" s="1136" customFormat="1" ht="78.75" x14ac:dyDescent="0.25">
      <c r="A2581" s="1420" t="s">
        <v>4362</v>
      </c>
      <c r="B2581" s="1433" t="e">
        <f>IF(B2580&lt;10.1,0.9,IF(B2580&lt;20.1,0.8,IF(B2580&lt;30.1,0.7,0.6)))</f>
        <v>#VALUE!</v>
      </c>
      <c r="C2581" s="1437"/>
      <c r="D2581" s="1429"/>
      <c r="E2581" s="1429"/>
      <c r="F2581" s="1429"/>
      <c r="G2581" s="1429"/>
      <c r="H2581" s="1350"/>
      <c r="I2581" s="1350"/>
      <c r="J2581" s="1350"/>
      <c r="K2581" s="1350"/>
      <c r="L2581" s="1350"/>
      <c r="M2581" s="1350"/>
      <c r="N2581" s="1350"/>
      <c r="O2581" s="1350"/>
      <c r="P2581" s="1350"/>
      <c r="Q2581" s="1350"/>
      <c r="R2581" s="1350"/>
      <c r="S2581" s="1350"/>
      <c r="T2581" s="1350"/>
      <c r="U2581" s="1350"/>
      <c r="V2581" s="1350"/>
      <c r="W2581" s="1350"/>
      <c r="X2581" s="1350"/>
      <c r="Y2581" s="1350"/>
      <c r="Z2581" s="1350"/>
      <c r="AA2581" s="1350"/>
      <c r="AB2581" s="1350"/>
      <c r="AC2581" s="1350"/>
      <c r="AD2581" s="1350"/>
      <c r="AE2581" s="1350"/>
      <c r="AF2581" s="1350"/>
      <c r="AG2581" s="1350"/>
      <c r="AH2581" s="1350"/>
      <c r="AI2581" s="1350"/>
      <c r="AJ2581" s="1350"/>
      <c r="AK2581" s="1350"/>
      <c r="AL2581" s="1350"/>
      <c r="AM2581" s="1350"/>
      <c r="AN2581" s="1350"/>
      <c r="AO2581" s="1350"/>
      <c r="AP2581" s="1350"/>
      <c r="AQ2581" s="1350"/>
      <c r="AR2581" s="1350"/>
      <c r="AS2581" s="1350"/>
      <c r="AT2581" s="1350"/>
      <c r="AU2581" s="1350"/>
      <c r="AV2581" s="1350"/>
      <c r="AW2581" s="1350"/>
      <c r="AX2581" s="1350"/>
      <c r="AY2581" s="1350"/>
      <c r="AZ2581" s="1350"/>
      <c r="BA2581" s="1070"/>
      <c r="BB2581" s="1070"/>
      <c r="BC2581" s="1070"/>
      <c r="BD2581" s="1070"/>
      <c r="BE2581" s="1070"/>
      <c r="BF2581" s="1070"/>
      <c r="BG2581" s="1070"/>
      <c r="BH2581" s="1070"/>
      <c r="BI2581" s="1070"/>
      <c r="BJ2581" s="1070"/>
      <c r="BK2581" s="1070"/>
      <c r="BL2581" s="1070"/>
      <c r="BM2581" s="1070"/>
      <c r="BN2581" s="1070"/>
      <c r="BO2581" s="1070"/>
      <c r="BP2581" s="1070"/>
      <c r="BQ2581" s="1070"/>
      <c r="BR2581" s="1070"/>
      <c r="BS2581" s="1070"/>
      <c r="BT2581" s="1070"/>
      <c r="BU2581" s="1070"/>
      <c r="BV2581" s="1070"/>
      <c r="BW2581" s="1070"/>
      <c r="BX2581" s="1070"/>
      <c r="BY2581" s="1070"/>
      <c r="BZ2581" s="1070"/>
      <c r="CA2581" s="1070"/>
      <c r="CB2581" s="1070"/>
      <c r="CC2581" s="1070"/>
      <c r="CD2581" s="1070"/>
      <c r="CE2581" s="1070"/>
      <c r="CF2581" s="1070"/>
      <c r="CG2581" s="1070"/>
      <c r="CH2581" s="1070"/>
      <c r="CI2581" s="1070"/>
      <c r="CJ2581" s="1070"/>
      <c r="CK2581" s="1070"/>
      <c r="CL2581" s="1070"/>
      <c r="CM2581" s="1070"/>
      <c r="CN2581" s="1070"/>
      <c r="CO2581" s="1070"/>
      <c r="CP2581" s="1070"/>
      <c r="CQ2581" s="1070"/>
      <c r="CR2581" s="1070"/>
      <c r="CS2581" s="1070"/>
      <c r="CT2581" s="1070"/>
      <c r="CU2581" s="1070"/>
      <c r="CV2581" s="1070"/>
      <c r="CW2581" s="1070"/>
      <c r="CX2581" s="1070"/>
      <c r="CY2581" s="1070"/>
      <c r="CZ2581" s="1070"/>
      <c r="DA2581" s="1070"/>
      <c r="DB2581" s="1070"/>
      <c r="DC2581" s="1070"/>
      <c r="DD2581" s="1070"/>
      <c r="DE2581" s="1070"/>
      <c r="DF2581" s="1070"/>
      <c r="DG2581" s="1070"/>
      <c r="DH2581" s="1070"/>
      <c r="DI2581" s="1070"/>
      <c r="DJ2581" s="1070"/>
    </row>
    <row r="2582" spans="1:114" s="1136" customFormat="1" ht="15.75" x14ac:dyDescent="0.25">
      <c r="A2582" s="1430" t="s">
        <v>830</v>
      </c>
      <c r="B2582" s="1433" t="e">
        <f>B2571*B2575*B2576*B2577*B2579*B2581*B2383</f>
        <v>#VALUE!</v>
      </c>
      <c r="C2582" s="1437"/>
      <c r="D2582" s="1437"/>
      <c r="E2582" s="1437"/>
      <c r="F2582" s="1437"/>
      <c r="G2582" s="1437"/>
      <c r="H2582" s="1350"/>
      <c r="I2582" s="1350"/>
      <c r="J2582" s="1350"/>
      <c r="K2582" s="1350"/>
      <c r="L2582" s="1350"/>
      <c r="M2582" s="1350"/>
      <c r="N2582" s="1350"/>
      <c r="O2582" s="1350"/>
      <c r="P2582" s="1350"/>
      <c r="Q2582" s="1350"/>
      <c r="R2582" s="1350"/>
      <c r="S2582" s="1350"/>
      <c r="T2582" s="1350"/>
      <c r="U2582" s="1350"/>
      <c r="V2582" s="1350"/>
      <c r="W2582" s="1350"/>
      <c r="X2582" s="1350"/>
      <c r="Y2582" s="1350"/>
      <c r="Z2582" s="1350"/>
      <c r="AA2582" s="1350"/>
      <c r="AB2582" s="1350"/>
      <c r="AC2582" s="1350"/>
      <c r="AD2582" s="1350"/>
      <c r="AE2582" s="1350"/>
      <c r="AF2582" s="1350"/>
      <c r="AG2582" s="1350"/>
      <c r="AH2582" s="1350"/>
      <c r="AI2582" s="1350"/>
      <c r="AJ2582" s="1350"/>
      <c r="AK2582" s="1350"/>
      <c r="AL2582" s="1350"/>
      <c r="AM2582" s="1350"/>
      <c r="AN2582" s="1350"/>
      <c r="AO2582" s="1350"/>
      <c r="AP2582" s="1350"/>
      <c r="AQ2582" s="1350"/>
      <c r="AR2582" s="1350"/>
      <c r="AS2582" s="1350"/>
      <c r="AT2582" s="1350"/>
      <c r="AU2582" s="1350"/>
      <c r="AV2582" s="1350"/>
      <c r="AW2582" s="1350"/>
      <c r="AX2582" s="1350"/>
      <c r="AY2582" s="1350"/>
      <c r="AZ2582" s="1350"/>
      <c r="BA2582" s="1070"/>
      <c r="BB2582" s="1070"/>
      <c r="BC2582" s="1070"/>
      <c r="BD2582" s="1070"/>
      <c r="BE2582" s="1070"/>
      <c r="BF2582" s="1070"/>
      <c r="BG2582" s="1070"/>
      <c r="BH2582" s="1070"/>
      <c r="BI2582" s="1070"/>
      <c r="BJ2582" s="1070"/>
      <c r="BK2582" s="1070"/>
      <c r="BL2582" s="1070"/>
      <c r="BM2582" s="1070"/>
      <c r="BN2582" s="1070"/>
      <c r="BO2582" s="1070"/>
      <c r="BP2582" s="1070"/>
      <c r="BQ2582" s="1070"/>
      <c r="BR2582" s="1070"/>
      <c r="BS2582" s="1070"/>
      <c r="BT2582" s="1070"/>
      <c r="BU2582" s="1070"/>
      <c r="BV2582" s="1070"/>
      <c r="BW2582" s="1070"/>
      <c r="BX2582" s="1070"/>
      <c r="BY2582" s="1070"/>
      <c r="BZ2582" s="1070"/>
      <c r="CA2582" s="1070"/>
      <c r="CB2582" s="1070"/>
      <c r="CC2582" s="1070"/>
      <c r="CD2582" s="1070"/>
      <c r="CE2582" s="1070"/>
      <c r="CF2582" s="1070"/>
      <c r="CG2582" s="1070"/>
      <c r="CH2582" s="1070"/>
      <c r="CI2582" s="1070"/>
      <c r="CJ2582" s="1070"/>
      <c r="CK2582" s="1070"/>
      <c r="CL2582" s="1070"/>
      <c r="CM2582" s="1070"/>
      <c r="CN2582" s="1070"/>
      <c r="CO2582" s="1070"/>
      <c r="CP2582" s="1070"/>
      <c r="CQ2582" s="1070"/>
      <c r="CR2582" s="1070"/>
      <c r="CS2582" s="1070"/>
      <c r="CT2582" s="1070"/>
      <c r="CU2582" s="1070"/>
      <c r="CV2582" s="1070"/>
      <c r="CW2582" s="1070"/>
      <c r="CX2582" s="1070"/>
      <c r="CY2582" s="1070"/>
      <c r="CZ2582" s="1070"/>
      <c r="DA2582" s="1070"/>
      <c r="DB2582" s="1070"/>
      <c r="DC2582" s="1070"/>
      <c r="DD2582" s="1070"/>
      <c r="DE2582" s="1070"/>
      <c r="DF2582" s="1070"/>
      <c r="DG2582" s="1070"/>
      <c r="DH2582" s="1070"/>
      <c r="DI2582" s="1070"/>
      <c r="DJ2582" s="1070"/>
    </row>
    <row r="2583" spans="1:114" s="1136" customFormat="1" ht="15.75" x14ac:dyDescent="0.25">
      <c r="A2583" s="1430" t="s">
        <v>429</v>
      </c>
      <c r="B2583" s="1428" t="e">
        <f>B2570/B2582</f>
        <v>#VALUE!</v>
      </c>
      <c r="C2583" s="1432"/>
      <c r="D2583" s="1437"/>
      <c r="E2583" s="1437"/>
      <c r="F2583" s="1437"/>
      <c r="G2583" s="1437"/>
      <c r="H2583" s="1350"/>
      <c r="I2583" s="1350"/>
      <c r="J2583" s="1350"/>
      <c r="K2583" s="1350"/>
      <c r="L2583" s="1350"/>
      <c r="M2583" s="1350"/>
      <c r="N2583" s="1350"/>
      <c r="O2583" s="1350"/>
      <c r="P2583" s="1350"/>
      <c r="Q2583" s="1350"/>
      <c r="R2583" s="1350"/>
      <c r="S2583" s="1350"/>
      <c r="T2583" s="1350"/>
      <c r="U2583" s="1350"/>
      <c r="V2583" s="1350"/>
      <c r="W2583" s="1350"/>
      <c r="X2583" s="1350"/>
      <c r="Y2583" s="1350"/>
      <c r="Z2583" s="1350"/>
      <c r="AA2583" s="1350"/>
      <c r="AB2583" s="1350"/>
      <c r="AC2583" s="1350"/>
      <c r="AD2583" s="1350"/>
      <c r="AE2583" s="1350"/>
      <c r="AF2583" s="1350"/>
      <c r="AG2583" s="1350"/>
      <c r="AH2583" s="1350"/>
      <c r="AI2583" s="1350"/>
      <c r="AJ2583" s="1350"/>
      <c r="AK2583" s="1350"/>
      <c r="AL2583" s="1350"/>
      <c r="AM2583" s="1350"/>
      <c r="AN2583" s="1350"/>
      <c r="AO2583" s="1350"/>
      <c r="AP2583" s="1350"/>
      <c r="AQ2583" s="1350"/>
      <c r="AR2583" s="1350"/>
      <c r="AS2583" s="1350"/>
      <c r="AT2583" s="1350"/>
      <c r="AU2583" s="1350"/>
      <c r="AV2583" s="1350"/>
      <c r="AW2583" s="1350"/>
      <c r="AX2583" s="1350"/>
      <c r="AY2583" s="1350"/>
      <c r="AZ2583" s="1350"/>
      <c r="BA2583" s="1070"/>
      <c r="BB2583" s="1070"/>
      <c r="BC2583" s="1070"/>
      <c r="BD2583" s="1070"/>
      <c r="BE2583" s="1070"/>
      <c r="BF2583" s="1070"/>
      <c r="BG2583" s="1070"/>
      <c r="BH2583" s="1070"/>
      <c r="BI2583" s="1070"/>
      <c r="BJ2583" s="1070"/>
      <c r="BK2583" s="1070"/>
      <c r="BL2583" s="1070"/>
      <c r="BM2583" s="1070"/>
      <c r="BN2583" s="1070"/>
      <c r="BO2583" s="1070"/>
      <c r="BP2583" s="1070"/>
      <c r="BQ2583" s="1070"/>
      <c r="BR2583" s="1070"/>
      <c r="BS2583" s="1070"/>
      <c r="BT2583" s="1070"/>
      <c r="BU2583" s="1070"/>
      <c r="BV2583" s="1070"/>
      <c r="BW2583" s="1070"/>
      <c r="BX2583" s="1070"/>
      <c r="BY2583" s="1070"/>
      <c r="BZ2583" s="1070"/>
      <c r="CA2583" s="1070"/>
      <c r="CB2583" s="1070"/>
      <c r="CC2583" s="1070"/>
      <c r="CD2583" s="1070"/>
      <c r="CE2583" s="1070"/>
      <c r="CF2583" s="1070"/>
      <c r="CG2583" s="1070"/>
      <c r="CH2583" s="1070"/>
      <c r="CI2583" s="1070"/>
      <c r="CJ2583" s="1070"/>
      <c r="CK2583" s="1070"/>
      <c r="CL2583" s="1070"/>
      <c r="CM2583" s="1070"/>
      <c r="CN2583" s="1070"/>
      <c r="CO2583" s="1070"/>
      <c r="CP2583" s="1070"/>
      <c r="CQ2583" s="1070"/>
      <c r="CR2583" s="1070"/>
      <c r="CS2583" s="1070"/>
      <c r="CT2583" s="1070"/>
      <c r="CU2583" s="1070"/>
      <c r="CV2583" s="1070"/>
      <c r="CW2583" s="1070"/>
      <c r="CX2583" s="1070"/>
      <c r="CY2583" s="1070"/>
      <c r="CZ2583" s="1070"/>
      <c r="DA2583" s="1070"/>
      <c r="DB2583" s="1070"/>
      <c r="DC2583" s="1070"/>
      <c r="DD2583" s="1070"/>
      <c r="DE2583" s="1070"/>
      <c r="DF2583" s="1070"/>
      <c r="DG2583" s="1070"/>
      <c r="DH2583" s="1070"/>
      <c r="DI2583" s="1070"/>
      <c r="DJ2583" s="1070"/>
    </row>
    <row r="2584" spans="1:114" s="1136" customFormat="1" ht="15.75" x14ac:dyDescent="0.25">
      <c r="A2584" s="1466" t="s">
        <v>831</v>
      </c>
      <c r="B2584" s="1459">
        <f>IF(B252=1,0,B2583)</f>
        <v>0</v>
      </c>
      <c r="C2584" s="1454"/>
      <c r="D2584" s="1458"/>
      <c r="E2584" s="1458"/>
      <c r="F2584" s="1458"/>
      <c r="G2584" s="1458"/>
      <c r="H2584" s="1350"/>
      <c r="I2584" s="1350"/>
      <c r="J2584" s="1350"/>
      <c r="K2584" s="1350"/>
      <c r="L2584" s="1350"/>
      <c r="M2584" s="1350"/>
      <c r="N2584" s="1350"/>
      <c r="O2584" s="1350"/>
      <c r="P2584" s="1350"/>
      <c r="Q2584" s="1350"/>
      <c r="R2584" s="1350"/>
      <c r="S2584" s="1350"/>
      <c r="T2584" s="1350"/>
      <c r="U2584" s="1350"/>
      <c r="V2584" s="1350"/>
      <c r="W2584" s="1350"/>
      <c r="X2584" s="1350"/>
      <c r="Y2584" s="1350"/>
      <c r="Z2584" s="1350"/>
      <c r="AA2584" s="1350"/>
      <c r="AB2584" s="1350"/>
      <c r="AC2584" s="1350"/>
      <c r="AD2584" s="1350"/>
      <c r="AE2584" s="1350"/>
      <c r="AF2584" s="1350"/>
      <c r="AG2584" s="1350"/>
      <c r="AH2584" s="1350"/>
      <c r="AI2584" s="1350"/>
      <c r="AJ2584" s="1350"/>
      <c r="AK2584" s="1350"/>
      <c r="AL2584" s="1350"/>
      <c r="AM2584" s="1350"/>
      <c r="AN2584" s="1350"/>
      <c r="AO2584" s="1350"/>
      <c r="AP2584" s="1350"/>
      <c r="AQ2584" s="1350"/>
      <c r="AR2584" s="1350"/>
      <c r="AS2584" s="1350"/>
      <c r="AT2584" s="1350"/>
      <c r="AU2584" s="1350"/>
      <c r="AV2584" s="1350"/>
      <c r="AW2584" s="1350"/>
      <c r="AX2584" s="1350"/>
      <c r="AY2584" s="1350"/>
      <c r="AZ2584" s="1350"/>
      <c r="BA2584" s="1070"/>
      <c r="BB2584" s="1070"/>
      <c r="BC2584" s="1070"/>
      <c r="BD2584" s="1070"/>
      <c r="BE2584" s="1070"/>
      <c r="BF2584" s="1070"/>
      <c r="BG2584" s="1070"/>
      <c r="BH2584" s="1070"/>
      <c r="BI2584" s="1070"/>
      <c r="BJ2584" s="1070"/>
      <c r="BK2584" s="1070"/>
      <c r="BL2584" s="1070"/>
      <c r="BM2584" s="1070"/>
      <c r="BN2584" s="1070"/>
      <c r="BO2584" s="1070"/>
      <c r="BP2584" s="1070"/>
      <c r="BQ2584" s="1070"/>
      <c r="BR2584" s="1070"/>
      <c r="BS2584" s="1070"/>
      <c r="BT2584" s="1070"/>
      <c r="BU2584" s="1070"/>
      <c r="BV2584" s="1070"/>
      <c r="BW2584" s="1070"/>
      <c r="BX2584" s="1070"/>
      <c r="BY2584" s="1070"/>
      <c r="BZ2584" s="1070"/>
      <c r="CA2584" s="1070"/>
      <c r="CB2584" s="1070"/>
      <c r="CC2584" s="1070"/>
      <c r="CD2584" s="1070"/>
      <c r="CE2584" s="1070"/>
      <c r="CF2584" s="1070"/>
      <c r="CG2584" s="1070"/>
      <c r="CH2584" s="1070"/>
      <c r="CI2584" s="1070"/>
      <c r="CJ2584" s="1070"/>
      <c r="CK2584" s="1070"/>
      <c r="CL2584" s="1070"/>
      <c r="CM2584" s="1070"/>
      <c r="CN2584" s="1070"/>
      <c r="CO2584" s="1070"/>
      <c r="CP2584" s="1070"/>
      <c r="CQ2584" s="1070"/>
      <c r="CR2584" s="1070"/>
      <c r="CS2584" s="1070"/>
      <c r="CT2584" s="1070"/>
      <c r="CU2584" s="1070"/>
      <c r="CV2584" s="1070"/>
      <c r="CW2584" s="1070"/>
      <c r="CX2584" s="1070"/>
      <c r="CY2584" s="1070"/>
      <c r="CZ2584" s="1070"/>
      <c r="DA2584" s="1070"/>
      <c r="DB2584" s="1070"/>
      <c r="DC2584" s="1070"/>
      <c r="DD2584" s="1070"/>
      <c r="DE2584" s="1070"/>
      <c r="DF2584" s="1070"/>
      <c r="DG2584" s="1070"/>
      <c r="DH2584" s="1070"/>
      <c r="DI2584" s="1070"/>
      <c r="DJ2584" s="1070"/>
    </row>
    <row r="2585" spans="1:114" s="1136" customFormat="1" ht="15.75" x14ac:dyDescent="0.25">
      <c r="A2585" s="1480"/>
      <c r="B2585" s="1415"/>
      <c r="C2585" s="1350"/>
      <c r="D2585" s="1470"/>
      <c r="E2585" s="1470"/>
      <c r="F2585" s="1470"/>
      <c r="G2585" s="1470"/>
      <c r="H2585" s="1350"/>
      <c r="I2585" s="1350"/>
      <c r="J2585" s="1350"/>
      <c r="K2585" s="1350"/>
      <c r="L2585" s="1350"/>
      <c r="M2585" s="1350"/>
      <c r="N2585" s="1350"/>
      <c r="O2585" s="1350"/>
      <c r="P2585" s="1350"/>
      <c r="Q2585" s="1350"/>
      <c r="R2585" s="1350"/>
      <c r="S2585" s="1350"/>
      <c r="T2585" s="1350"/>
      <c r="U2585" s="1350"/>
      <c r="V2585" s="1350"/>
      <c r="W2585" s="1350"/>
      <c r="X2585" s="1350"/>
      <c r="Y2585" s="1350"/>
      <c r="Z2585" s="1350"/>
      <c r="AA2585" s="1350"/>
      <c r="AB2585" s="1350"/>
      <c r="AC2585" s="1350"/>
      <c r="AD2585" s="1350"/>
      <c r="AE2585" s="1350"/>
      <c r="AF2585" s="1350"/>
      <c r="AG2585" s="1350"/>
      <c r="AH2585" s="1350"/>
      <c r="AI2585" s="1350"/>
      <c r="AJ2585" s="1350"/>
      <c r="AK2585" s="1350"/>
      <c r="AL2585" s="1350"/>
      <c r="AM2585" s="1350"/>
      <c r="AN2585" s="1350"/>
      <c r="AO2585" s="1350"/>
      <c r="AP2585" s="1350"/>
      <c r="AQ2585" s="1350"/>
      <c r="AR2585" s="1350"/>
      <c r="AS2585" s="1350"/>
      <c r="AT2585" s="1350"/>
      <c r="AU2585" s="1350"/>
      <c r="AV2585" s="1350"/>
      <c r="AW2585" s="1350"/>
      <c r="AX2585" s="1350"/>
      <c r="AY2585" s="1350"/>
      <c r="AZ2585" s="1350"/>
      <c r="BA2585" s="1070"/>
      <c r="BB2585" s="1070"/>
      <c r="BC2585" s="1070"/>
      <c r="BD2585" s="1070"/>
      <c r="BE2585" s="1070"/>
      <c r="BF2585" s="1070"/>
      <c r="BG2585" s="1070"/>
      <c r="BH2585" s="1070"/>
      <c r="BI2585" s="1070"/>
      <c r="BJ2585" s="1070"/>
      <c r="BK2585" s="1070"/>
      <c r="BL2585" s="1070"/>
      <c r="BM2585" s="1070"/>
      <c r="BN2585" s="1070"/>
      <c r="BO2585" s="1070"/>
      <c r="BP2585" s="1070"/>
      <c r="BQ2585" s="1070"/>
      <c r="BR2585" s="1070"/>
      <c r="BS2585" s="1070"/>
      <c r="BT2585" s="1070"/>
      <c r="BU2585" s="1070"/>
      <c r="BV2585" s="1070"/>
      <c r="BW2585" s="1070"/>
      <c r="BX2585" s="1070"/>
      <c r="BY2585" s="1070"/>
      <c r="BZ2585" s="1070"/>
      <c r="CA2585" s="1070"/>
      <c r="CB2585" s="1070"/>
      <c r="CC2585" s="1070"/>
      <c r="CD2585" s="1070"/>
      <c r="CE2585" s="1070"/>
      <c r="CF2585" s="1070"/>
      <c r="CG2585" s="1070"/>
      <c r="CH2585" s="1070"/>
      <c r="CI2585" s="1070"/>
      <c r="CJ2585" s="1070"/>
      <c r="CK2585" s="1070"/>
      <c r="CL2585" s="1070"/>
      <c r="CM2585" s="1070"/>
      <c r="CN2585" s="1070"/>
      <c r="CO2585" s="1070"/>
      <c r="CP2585" s="1070"/>
      <c r="CQ2585" s="1070"/>
      <c r="CR2585" s="1070"/>
      <c r="CS2585" s="1070"/>
      <c r="CT2585" s="1070"/>
      <c r="CU2585" s="1070"/>
      <c r="CV2585" s="1070"/>
      <c r="CW2585" s="1070"/>
      <c r="CX2585" s="1070"/>
      <c r="CY2585" s="1070"/>
      <c r="CZ2585" s="1070"/>
      <c r="DA2585" s="1070"/>
      <c r="DB2585" s="1070"/>
      <c r="DC2585" s="1070"/>
      <c r="DD2585" s="1070"/>
      <c r="DE2585" s="1070"/>
      <c r="DF2585" s="1070"/>
      <c r="DG2585" s="1070"/>
      <c r="DH2585" s="1070"/>
      <c r="DI2585" s="1070"/>
      <c r="DJ2585" s="1070"/>
    </row>
    <row r="2586" spans="1:114" s="1136" customFormat="1" ht="15.75" x14ac:dyDescent="0.25">
      <c r="A2586" s="1461" t="s">
        <v>2391</v>
      </c>
      <c r="B2586" s="1443"/>
      <c r="C2586" s="1437"/>
      <c r="D2586" s="1437"/>
      <c r="E2586" s="1437"/>
      <c r="F2586" s="1437"/>
      <c r="G2586" s="1437"/>
      <c r="H2586" s="1350"/>
      <c r="I2586" s="1350"/>
      <c r="J2586" s="1350"/>
      <c r="K2586" s="1350"/>
      <c r="L2586" s="1350"/>
      <c r="M2586" s="1350"/>
      <c r="N2586" s="1350"/>
      <c r="O2586" s="1350"/>
      <c r="P2586" s="1350"/>
      <c r="Q2586" s="1350"/>
      <c r="R2586" s="1350"/>
      <c r="S2586" s="1350"/>
      <c r="T2586" s="1350"/>
      <c r="U2586" s="1350"/>
      <c r="V2586" s="1350"/>
      <c r="W2586" s="1350"/>
      <c r="X2586" s="1350"/>
      <c r="Y2586" s="1350"/>
      <c r="Z2586" s="1350"/>
      <c r="AA2586" s="1350"/>
      <c r="AB2586" s="1350"/>
      <c r="AC2586" s="1350"/>
      <c r="AD2586" s="1350"/>
      <c r="AE2586" s="1350"/>
      <c r="AF2586" s="1350"/>
      <c r="AG2586" s="1350"/>
      <c r="AH2586" s="1350"/>
      <c r="AI2586" s="1350"/>
      <c r="AJ2586" s="1350"/>
      <c r="AK2586" s="1350"/>
      <c r="AL2586" s="1350"/>
      <c r="AM2586" s="1350"/>
      <c r="AN2586" s="1350"/>
      <c r="AO2586" s="1350"/>
      <c r="AP2586" s="1350"/>
      <c r="AQ2586" s="1350"/>
      <c r="AR2586" s="1350"/>
      <c r="AS2586" s="1350"/>
      <c r="AT2586" s="1350"/>
      <c r="AU2586" s="1350"/>
      <c r="AV2586" s="1350"/>
      <c r="AW2586" s="1350"/>
      <c r="AX2586" s="1350"/>
      <c r="AY2586" s="1350"/>
      <c r="AZ2586" s="1350"/>
      <c r="BA2586" s="1070"/>
      <c r="BB2586" s="1070"/>
      <c r="BC2586" s="1070"/>
      <c r="BD2586" s="1070"/>
      <c r="BE2586" s="1070"/>
      <c r="BF2586" s="1070"/>
      <c r="BG2586" s="1070"/>
      <c r="BH2586" s="1070"/>
      <c r="BI2586" s="1070"/>
      <c r="BJ2586" s="1070"/>
      <c r="BK2586" s="1070"/>
      <c r="BL2586" s="1070"/>
      <c r="BM2586" s="1070"/>
      <c r="BN2586" s="1070"/>
      <c r="BO2586" s="1070"/>
      <c r="BP2586" s="1070"/>
      <c r="BQ2586" s="1070"/>
      <c r="BR2586" s="1070"/>
      <c r="BS2586" s="1070"/>
      <c r="BT2586" s="1070"/>
      <c r="BU2586" s="1070"/>
      <c r="BV2586" s="1070"/>
      <c r="BW2586" s="1070"/>
      <c r="BX2586" s="1070"/>
      <c r="BY2586" s="1070"/>
      <c r="BZ2586" s="1070"/>
      <c r="CA2586" s="1070"/>
      <c r="CB2586" s="1070"/>
      <c r="CC2586" s="1070"/>
      <c r="CD2586" s="1070"/>
      <c r="CE2586" s="1070"/>
      <c r="CF2586" s="1070"/>
      <c r="CG2586" s="1070"/>
      <c r="CH2586" s="1070"/>
      <c r="CI2586" s="1070"/>
      <c r="CJ2586" s="1070"/>
      <c r="CK2586" s="1070"/>
      <c r="CL2586" s="1070"/>
      <c r="CM2586" s="1070"/>
      <c r="CN2586" s="1070"/>
      <c r="CO2586" s="1070"/>
      <c r="CP2586" s="1070"/>
      <c r="CQ2586" s="1070"/>
      <c r="CR2586" s="1070"/>
      <c r="CS2586" s="1070"/>
      <c r="CT2586" s="1070"/>
      <c r="CU2586" s="1070"/>
      <c r="CV2586" s="1070"/>
      <c r="CW2586" s="1070"/>
      <c r="CX2586" s="1070"/>
      <c r="CY2586" s="1070"/>
      <c r="CZ2586" s="1070"/>
      <c r="DA2586" s="1070"/>
      <c r="DB2586" s="1070"/>
      <c r="DC2586" s="1070"/>
      <c r="DD2586" s="1070"/>
      <c r="DE2586" s="1070"/>
      <c r="DF2586" s="1070"/>
      <c r="DG2586" s="1070"/>
      <c r="DH2586" s="1070"/>
      <c r="DI2586" s="1070"/>
      <c r="DJ2586" s="1070"/>
    </row>
    <row r="2587" spans="1:114" s="1136" customFormat="1" ht="15.75" x14ac:dyDescent="0.25">
      <c r="A2587" s="1430" t="s">
        <v>4144</v>
      </c>
      <c r="B2587" s="1439" t="e">
        <f>B245/B263</f>
        <v>#VALUE!</v>
      </c>
      <c r="C2587" s="1432"/>
      <c r="D2587" s="1429"/>
      <c r="E2587" s="1429"/>
      <c r="F2587" s="1429"/>
      <c r="G2587" s="1429"/>
      <c r="H2587" s="1429"/>
      <c r="I2587" s="1350"/>
      <c r="J2587" s="1350"/>
      <c r="K2587" s="1350"/>
      <c r="L2587" s="1350"/>
      <c r="M2587" s="1350"/>
      <c r="N2587" s="1350"/>
      <c r="O2587" s="1350"/>
      <c r="P2587" s="1350"/>
      <c r="Q2587" s="1350"/>
      <c r="R2587" s="1350"/>
      <c r="S2587" s="1350"/>
      <c r="T2587" s="1350"/>
      <c r="U2587" s="1350"/>
      <c r="V2587" s="1350"/>
      <c r="W2587" s="1350"/>
      <c r="X2587" s="1350"/>
      <c r="Y2587" s="1350"/>
      <c r="Z2587" s="1350"/>
      <c r="AA2587" s="1350"/>
      <c r="AB2587" s="1350"/>
      <c r="AC2587" s="1350"/>
      <c r="AD2587" s="1350"/>
      <c r="AE2587" s="1350"/>
      <c r="AF2587" s="1350"/>
      <c r="AG2587" s="1350"/>
      <c r="AH2587" s="1350"/>
      <c r="AI2587" s="1350"/>
      <c r="AJ2587" s="1350"/>
      <c r="AK2587" s="1350"/>
      <c r="AL2587" s="1350"/>
      <c r="AM2587" s="1350"/>
      <c r="AN2587" s="1350"/>
      <c r="AO2587" s="1350"/>
      <c r="AP2587" s="1350"/>
      <c r="AQ2587" s="1350"/>
      <c r="AR2587" s="1350"/>
      <c r="AS2587" s="1350"/>
      <c r="AT2587" s="1350"/>
      <c r="AU2587" s="1350"/>
      <c r="AV2587" s="1350"/>
      <c r="AW2587" s="1350"/>
      <c r="AX2587" s="1350"/>
      <c r="AY2587" s="1350"/>
      <c r="AZ2587" s="1350"/>
      <c r="BA2587" s="1070"/>
      <c r="BB2587" s="1070"/>
      <c r="BC2587" s="1070"/>
      <c r="BD2587" s="1070"/>
      <c r="BE2587" s="1070"/>
      <c r="BF2587" s="1070"/>
      <c r="BG2587" s="1070"/>
      <c r="BH2587" s="1070"/>
      <c r="BI2587" s="1070"/>
      <c r="BJ2587" s="1070"/>
      <c r="BK2587" s="1070"/>
      <c r="BL2587" s="1070"/>
      <c r="BM2587" s="1070"/>
      <c r="BN2587" s="1070"/>
      <c r="BO2587" s="1070"/>
      <c r="BP2587" s="1070"/>
      <c r="BQ2587" s="1070"/>
      <c r="BR2587" s="1070"/>
      <c r="BS2587" s="1070"/>
      <c r="BT2587" s="1070"/>
      <c r="BU2587" s="1070"/>
      <c r="BV2587" s="1070"/>
      <c r="BW2587" s="1070"/>
      <c r="BX2587" s="1070"/>
      <c r="BY2587" s="1070"/>
      <c r="BZ2587" s="1070"/>
      <c r="CA2587" s="1070"/>
      <c r="CB2587" s="1070"/>
      <c r="CC2587" s="1070"/>
      <c r="CD2587" s="1070"/>
      <c r="CE2587" s="1070"/>
      <c r="CF2587" s="1070"/>
      <c r="CG2587" s="1070"/>
      <c r="CH2587" s="1070"/>
      <c r="CI2587" s="1070"/>
      <c r="CJ2587" s="1070"/>
      <c r="CK2587" s="1070"/>
      <c r="CL2587" s="1070"/>
      <c r="CM2587" s="1070"/>
      <c r="CN2587" s="1070"/>
      <c r="CO2587" s="1070"/>
      <c r="CP2587" s="1070"/>
      <c r="CQ2587" s="1070"/>
      <c r="CR2587" s="1070"/>
      <c r="CS2587" s="1070"/>
      <c r="CT2587" s="1070"/>
      <c r="CU2587" s="1070"/>
      <c r="CV2587" s="1070"/>
      <c r="CW2587" s="1070"/>
      <c r="CX2587" s="1070"/>
      <c r="CY2587" s="1070"/>
      <c r="CZ2587" s="1070"/>
      <c r="DA2587" s="1070"/>
      <c r="DB2587" s="1070"/>
      <c r="DC2587" s="1070"/>
      <c r="DD2587" s="1070"/>
      <c r="DE2587" s="1070"/>
      <c r="DF2587" s="1070"/>
      <c r="DG2587" s="1070"/>
      <c r="DH2587" s="1070"/>
      <c r="DI2587" s="1070"/>
      <c r="DJ2587" s="1070"/>
    </row>
    <row r="2588" spans="1:114" s="1136" customFormat="1" ht="15.75" x14ac:dyDescent="0.25">
      <c r="A2588" s="1430" t="s">
        <v>425</v>
      </c>
      <c r="B2588" s="1424">
        <v>12.8</v>
      </c>
      <c r="C2588" s="1429"/>
      <c r="D2588" s="1437"/>
      <c r="E2588" s="1437"/>
      <c r="F2588" s="1437"/>
      <c r="G2588" s="1437"/>
      <c r="H2588" s="1350"/>
      <c r="I2588" s="1350"/>
      <c r="J2588" s="1350"/>
      <c r="K2588" s="1350"/>
      <c r="L2588" s="1350"/>
      <c r="M2588" s="1350"/>
      <c r="N2588" s="1350"/>
      <c r="O2588" s="1350"/>
      <c r="P2588" s="1350"/>
      <c r="Q2588" s="1350"/>
      <c r="R2588" s="1350"/>
      <c r="S2588" s="1350"/>
      <c r="T2588" s="1350"/>
      <c r="U2588" s="1350"/>
      <c r="V2588" s="1350"/>
      <c r="W2588" s="1350"/>
      <c r="X2588" s="1350"/>
      <c r="Y2588" s="1350"/>
      <c r="Z2588" s="1350"/>
      <c r="AA2588" s="1350"/>
      <c r="AB2588" s="1350"/>
      <c r="AC2588" s="1350"/>
      <c r="AD2588" s="1350"/>
      <c r="AE2588" s="1350"/>
      <c r="AF2588" s="1350"/>
      <c r="AG2588" s="1350"/>
      <c r="AH2588" s="1350"/>
      <c r="AI2588" s="1350"/>
      <c r="AJ2588" s="1350"/>
      <c r="AK2588" s="1350"/>
      <c r="AL2588" s="1350"/>
      <c r="AM2588" s="1350"/>
      <c r="AN2588" s="1350"/>
      <c r="AO2588" s="1350"/>
      <c r="AP2588" s="1350"/>
      <c r="AQ2588" s="1350"/>
      <c r="AR2588" s="1350"/>
      <c r="AS2588" s="1350"/>
      <c r="AT2588" s="1350"/>
      <c r="AU2588" s="1350"/>
      <c r="AV2588" s="1350"/>
      <c r="AW2588" s="1350"/>
      <c r="AX2588" s="1350"/>
      <c r="AY2588" s="1350"/>
      <c r="AZ2588" s="1350"/>
      <c r="BA2588" s="1070"/>
      <c r="BB2588" s="1070"/>
      <c r="BC2588" s="1070"/>
      <c r="BD2588" s="1070"/>
      <c r="BE2588" s="1070"/>
      <c r="BF2588" s="1070"/>
      <c r="BG2588" s="1070"/>
      <c r="BH2588" s="1070"/>
      <c r="BI2588" s="1070"/>
      <c r="BJ2588" s="1070"/>
      <c r="BK2588" s="1070"/>
      <c r="BL2588" s="1070"/>
      <c r="BM2588" s="1070"/>
      <c r="BN2588" s="1070"/>
      <c r="BO2588" s="1070"/>
      <c r="BP2588" s="1070"/>
      <c r="BQ2588" s="1070"/>
      <c r="BR2588" s="1070"/>
      <c r="BS2588" s="1070"/>
      <c r="BT2588" s="1070"/>
      <c r="BU2588" s="1070"/>
      <c r="BV2588" s="1070"/>
      <c r="BW2588" s="1070"/>
      <c r="BX2588" s="1070"/>
      <c r="BY2588" s="1070"/>
      <c r="BZ2588" s="1070"/>
      <c r="CA2588" s="1070"/>
      <c r="CB2588" s="1070"/>
      <c r="CC2588" s="1070"/>
      <c r="CD2588" s="1070"/>
      <c r="CE2588" s="1070"/>
      <c r="CF2588" s="1070"/>
      <c r="CG2588" s="1070"/>
      <c r="CH2588" s="1070"/>
      <c r="CI2588" s="1070"/>
      <c r="CJ2588" s="1070"/>
      <c r="CK2588" s="1070"/>
      <c r="CL2588" s="1070"/>
      <c r="CM2588" s="1070"/>
      <c r="CN2588" s="1070"/>
      <c r="CO2588" s="1070"/>
      <c r="CP2588" s="1070"/>
      <c r="CQ2588" s="1070"/>
      <c r="CR2588" s="1070"/>
      <c r="CS2588" s="1070"/>
      <c r="CT2588" s="1070"/>
      <c r="CU2588" s="1070"/>
      <c r="CV2588" s="1070"/>
      <c r="CW2588" s="1070"/>
      <c r="CX2588" s="1070"/>
      <c r="CY2588" s="1070"/>
      <c r="CZ2588" s="1070"/>
      <c r="DA2588" s="1070"/>
      <c r="DB2588" s="1070"/>
      <c r="DC2588" s="1070"/>
      <c r="DD2588" s="1070"/>
      <c r="DE2588" s="1070"/>
      <c r="DF2588" s="1070"/>
      <c r="DG2588" s="1070"/>
      <c r="DH2588" s="1070"/>
      <c r="DI2588" s="1070"/>
      <c r="DJ2588" s="1070"/>
    </row>
    <row r="2589" spans="1:114" s="1136" customFormat="1" ht="15.75" x14ac:dyDescent="0.25">
      <c r="A2589" s="1430" t="s">
        <v>830</v>
      </c>
      <c r="B2589" s="1424" t="e">
        <f>B2588*B2383</f>
        <v>#VALUE!</v>
      </c>
      <c r="C2589" s="1429"/>
      <c r="D2589" s="1437"/>
      <c r="E2589" s="1437"/>
      <c r="F2589" s="1437"/>
      <c r="G2589" s="1437"/>
      <c r="H2589" s="1350"/>
      <c r="I2589" s="1350"/>
      <c r="J2589" s="1350"/>
      <c r="K2589" s="1350"/>
      <c r="L2589" s="1350"/>
      <c r="M2589" s="1350"/>
      <c r="N2589" s="1350"/>
      <c r="O2589" s="1350"/>
      <c r="P2589" s="1350"/>
      <c r="Q2589" s="1350"/>
      <c r="R2589" s="1350"/>
      <c r="S2589" s="1350"/>
      <c r="T2589" s="1350"/>
      <c r="U2589" s="1350"/>
      <c r="V2589" s="1350"/>
      <c r="W2589" s="1350"/>
      <c r="X2589" s="1350"/>
      <c r="Y2589" s="1350"/>
      <c r="Z2589" s="1350"/>
      <c r="AA2589" s="1350"/>
      <c r="AB2589" s="1350"/>
      <c r="AC2589" s="1350"/>
      <c r="AD2589" s="1350"/>
      <c r="AE2589" s="1350"/>
      <c r="AF2589" s="1350"/>
      <c r="AG2589" s="1350"/>
      <c r="AH2589" s="1350"/>
      <c r="AI2589" s="1350"/>
      <c r="AJ2589" s="1350"/>
      <c r="AK2589" s="1350"/>
      <c r="AL2589" s="1350"/>
      <c r="AM2589" s="1350"/>
      <c r="AN2589" s="1350"/>
      <c r="AO2589" s="1350"/>
      <c r="AP2589" s="1350"/>
      <c r="AQ2589" s="1350"/>
      <c r="AR2589" s="1350"/>
      <c r="AS2589" s="1350"/>
      <c r="AT2589" s="1350"/>
      <c r="AU2589" s="1350"/>
      <c r="AV2589" s="1350"/>
      <c r="AW2589" s="1350"/>
      <c r="AX2589" s="1350"/>
      <c r="AY2589" s="1350"/>
      <c r="AZ2589" s="1350"/>
      <c r="BA2589" s="1070"/>
      <c r="BB2589" s="1070"/>
      <c r="BC2589" s="1070"/>
      <c r="BD2589" s="1070"/>
      <c r="BE2589" s="1070"/>
      <c r="BF2589" s="1070"/>
      <c r="BG2589" s="1070"/>
      <c r="BH2589" s="1070"/>
      <c r="BI2589" s="1070"/>
      <c r="BJ2589" s="1070"/>
      <c r="BK2589" s="1070"/>
      <c r="BL2589" s="1070"/>
      <c r="BM2589" s="1070"/>
      <c r="BN2589" s="1070"/>
      <c r="BO2589" s="1070"/>
      <c r="BP2589" s="1070"/>
      <c r="BQ2589" s="1070"/>
      <c r="BR2589" s="1070"/>
      <c r="BS2589" s="1070"/>
      <c r="BT2589" s="1070"/>
      <c r="BU2589" s="1070"/>
      <c r="BV2589" s="1070"/>
      <c r="BW2589" s="1070"/>
      <c r="BX2589" s="1070"/>
      <c r="BY2589" s="1070"/>
      <c r="BZ2589" s="1070"/>
      <c r="CA2589" s="1070"/>
      <c r="CB2589" s="1070"/>
      <c r="CC2589" s="1070"/>
      <c r="CD2589" s="1070"/>
      <c r="CE2589" s="1070"/>
      <c r="CF2589" s="1070"/>
      <c r="CG2589" s="1070"/>
      <c r="CH2589" s="1070"/>
      <c r="CI2589" s="1070"/>
      <c r="CJ2589" s="1070"/>
      <c r="CK2589" s="1070"/>
      <c r="CL2589" s="1070"/>
      <c r="CM2589" s="1070"/>
      <c r="CN2589" s="1070"/>
      <c r="CO2589" s="1070"/>
      <c r="CP2589" s="1070"/>
      <c r="CQ2589" s="1070"/>
      <c r="CR2589" s="1070"/>
      <c r="CS2589" s="1070"/>
      <c r="CT2589" s="1070"/>
      <c r="CU2589" s="1070"/>
      <c r="CV2589" s="1070"/>
      <c r="CW2589" s="1070"/>
      <c r="CX2589" s="1070"/>
      <c r="CY2589" s="1070"/>
      <c r="CZ2589" s="1070"/>
      <c r="DA2589" s="1070"/>
      <c r="DB2589" s="1070"/>
      <c r="DC2589" s="1070"/>
      <c r="DD2589" s="1070"/>
      <c r="DE2589" s="1070"/>
      <c r="DF2589" s="1070"/>
      <c r="DG2589" s="1070"/>
      <c r="DH2589" s="1070"/>
      <c r="DI2589" s="1070"/>
      <c r="DJ2589" s="1070"/>
    </row>
    <row r="2590" spans="1:114" s="1136" customFormat="1" ht="15.75" x14ac:dyDescent="0.25">
      <c r="A2590" s="1483" t="s">
        <v>429</v>
      </c>
      <c r="B2590" s="1484" t="e">
        <f>B2587/B2589</f>
        <v>#VALUE!</v>
      </c>
      <c r="C2590" s="1485"/>
      <c r="D2590" s="1432"/>
      <c r="E2590" s="1432"/>
      <c r="F2590" s="1432"/>
      <c r="G2590" s="1432"/>
      <c r="H2590" s="1350"/>
      <c r="I2590" s="1350"/>
      <c r="J2590" s="1350"/>
      <c r="K2590" s="1350"/>
      <c r="L2590" s="1350"/>
      <c r="M2590" s="1350"/>
      <c r="N2590" s="1350"/>
      <c r="O2590" s="1350"/>
      <c r="P2590" s="1350"/>
      <c r="Q2590" s="1350"/>
      <c r="R2590" s="1350"/>
      <c r="S2590" s="1350"/>
      <c r="T2590" s="1350"/>
      <c r="U2590" s="1350"/>
      <c r="V2590" s="1350"/>
      <c r="W2590" s="1350"/>
      <c r="X2590" s="1350"/>
      <c r="Y2590" s="1350"/>
      <c r="Z2590" s="1350"/>
      <c r="AA2590" s="1350"/>
      <c r="AB2590" s="1350"/>
      <c r="AC2590" s="1350"/>
      <c r="AD2590" s="1350"/>
      <c r="AE2590" s="1350"/>
      <c r="AF2590" s="1350"/>
      <c r="AG2590" s="1350"/>
      <c r="AH2590" s="1350"/>
      <c r="AI2590" s="1350"/>
      <c r="AJ2590" s="1350"/>
      <c r="AK2590" s="1350"/>
      <c r="AL2590" s="1350"/>
      <c r="AM2590" s="1350"/>
      <c r="AN2590" s="1350"/>
      <c r="AO2590" s="1350"/>
      <c r="AP2590" s="1350"/>
      <c r="AQ2590" s="1350"/>
      <c r="AR2590" s="1350"/>
      <c r="AS2590" s="1350"/>
      <c r="AT2590" s="1350"/>
      <c r="AU2590" s="1350"/>
      <c r="AV2590" s="1350"/>
      <c r="AW2590" s="1350"/>
      <c r="AX2590" s="1350"/>
      <c r="AY2590" s="1350"/>
      <c r="AZ2590" s="1350"/>
      <c r="BA2590" s="1070"/>
      <c r="BB2590" s="1070"/>
      <c r="BC2590" s="1070"/>
      <c r="BD2590" s="1070"/>
      <c r="BE2590" s="1070"/>
      <c r="BF2590" s="1070"/>
      <c r="BG2590" s="1070"/>
      <c r="BH2590" s="1070"/>
      <c r="BI2590" s="1070"/>
      <c r="BJ2590" s="1070"/>
      <c r="BK2590" s="1070"/>
      <c r="BL2590" s="1070"/>
      <c r="BM2590" s="1070"/>
      <c r="BN2590" s="1070"/>
      <c r="BO2590" s="1070"/>
      <c r="BP2590" s="1070"/>
      <c r="BQ2590" s="1070"/>
      <c r="BR2590" s="1070"/>
      <c r="BS2590" s="1070"/>
      <c r="BT2590" s="1070"/>
      <c r="BU2590" s="1070"/>
      <c r="BV2590" s="1070"/>
      <c r="BW2590" s="1070"/>
      <c r="BX2590" s="1070"/>
      <c r="BY2590" s="1070"/>
      <c r="BZ2590" s="1070"/>
      <c r="CA2590" s="1070"/>
      <c r="CB2590" s="1070"/>
      <c r="CC2590" s="1070"/>
      <c r="CD2590" s="1070"/>
      <c r="CE2590" s="1070"/>
      <c r="CF2590" s="1070"/>
      <c r="CG2590" s="1070"/>
      <c r="CH2590" s="1070"/>
      <c r="CI2590" s="1070"/>
      <c r="CJ2590" s="1070"/>
      <c r="CK2590" s="1070"/>
      <c r="CL2590" s="1070"/>
      <c r="CM2590" s="1070"/>
      <c r="CN2590" s="1070"/>
      <c r="CO2590" s="1070"/>
      <c r="CP2590" s="1070"/>
      <c r="CQ2590" s="1070"/>
      <c r="CR2590" s="1070"/>
      <c r="CS2590" s="1070"/>
      <c r="CT2590" s="1070"/>
      <c r="CU2590" s="1070"/>
      <c r="CV2590" s="1070"/>
      <c r="CW2590" s="1070"/>
      <c r="CX2590" s="1070"/>
      <c r="CY2590" s="1070"/>
      <c r="CZ2590" s="1070"/>
      <c r="DA2590" s="1070"/>
      <c r="DB2590" s="1070"/>
      <c r="DC2590" s="1070"/>
      <c r="DD2590" s="1070"/>
      <c r="DE2590" s="1070"/>
      <c r="DF2590" s="1070"/>
      <c r="DG2590" s="1070"/>
      <c r="DH2590" s="1070"/>
      <c r="DI2590" s="1070"/>
      <c r="DJ2590" s="1070"/>
    </row>
    <row r="2591" spans="1:114" s="1136" customFormat="1" ht="31.5" x14ac:dyDescent="0.25">
      <c r="A2591" s="1452" t="s">
        <v>1443</v>
      </c>
      <c r="B2591" s="1453" t="e">
        <f>IF(AND(B258&gt;0,B265=0),B2587/B2589,0)</f>
        <v>#VALUE!</v>
      </c>
      <c r="C2591" s="1454"/>
      <c r="D2591" s="1454"/>
      <c r="E2591" s="1454"/>
      <c r="F2591" s="1454"/>
      <c r="G2591" s="1454"/>
      <c r="H2591" s="1350"/>
      <c r="I2591" s="1350"/>
      <c r="J2591" s="1350"/>
      <c r="K2591" s="1350"/>
      <c r="L2591" s="1350"/>
      <c r="M2591" s="1350"/>
      <c r="N2591" s="1350"/>
      <c r="O2591" s="1350"/>
      <c r="P2591" s="1350"/>
      <c r="Q2591" s="1350"/>
      <c r="R2591" s="1350"/>
      <c r="S2591" s="1350"/>
      <c r="T2591" s="1350"/>
      <c r="U2591" s="1350"/>
      <c r="V2591" s="1350"/>
      <c r="W2591" s="1350"/>
      <c r="X2591" s="1350"/>
      <c r="Y2591" s="1350"/>
      <c r="Z2591" s="1350"/>
      <c r="AA2591" s="1350"/>
      <c r="AB2591" s="1350"/>
      <c r="AC2591" s="1350"/>
      <c r="AD2591" s="1350"/>
      <c r="AE2591" s="1350"/>
      <c r="AF2591" s="1350"/>
      <c r="AG2591" s="1350"/>
      <c r="AH2591" s="1350"/>
      <c r="AI2591" s="1350"/>
      <c r="AJ2591" s="1350"/>
      <c r="AK2591" s="1350"/>
      <c r="AL2591" s="1350"/>
      <c r="AM2591" s="1350"/>
      <c r="AN2591" s="1350"/>
      <c r="AO2591" s="1350"/>
      <c r="AP2591" s="1350"/>
      <c r="AQ2591" s="1350"/>
      <c r="AR2591" s="1350"/>
      <c r="AS2591" s="1350"/>
      <c r="AT2591" s="1350"/>
      <c r="AU2591" s="1350"/>
      <c r="AV2591" s="1350"/>
      <c r="AW2591" s="1350"/>
      <c r="AX2591" s="1350"/>
      <c r="AY2591" s="1350"/>
      <c r="AZ2591" s="1350"/>
      <c r="BA2591" s="1070"/>
      <c r="BB2591" s="1070"/>
      <c r="BC2591" s="1070"/>
      <c r="BD2591" s="1070"/>
      <c r="BE2591" s="1070"/>
      <c r="BF2591" s="1070"/>
      <c r="BG2591" s="1070"/>
      <c r="BH2591" s="1070"/>
      <c r="BI2591" s="1070"/>
      <c r="BJ2591" s="1070"/>
      <c r="BK2591" s="1070"/>
      <c r="BL2591" s="1070"/>
      <c r="BM2591" s="1070"/>
      <c r="BN2591" s="1070"/>
      <c r="BO2591" s="1070"/>
      <c r="BP2591" s="1070"/>
      <c r="BQ2591" s="1070"/>
      <c r="BR2591" s="1070"/>
      <c r="BS2591" s="1070"/>
      <c r="BT2591" s="1070"/>
      <c r="BU2591" s="1070"/>
      <c r="BV2591" s="1070"/>
      <c r="BW2591" s="1070"/>
      <c r="BX2591" s="1070"/>
      <c r="BY2591" s="1070"/>
      <c r="BZ2591" s="1070"/>
      <c r="CA2591" s="1070"/>
      <c r="CB2591" s="1070"/>
      <c r="CC2591" s="1070"/>
      <c r="CD2591" s="1070"/>
      <c r="CE2591" s="1070"/>
      <c r="CF2591" s="1070"/>
      <c r="CG2591" s="1070"/>
      <c r="CH2591" s="1070"/>
      <c r="CI2591" s="1070"/>
      <c r="CJ2591" s="1070"/>
      <c r="CK2591" s="1070"/>
      <c r="CL2591" s="1070"/>
      <c r="CM2591" s="1070"/>
      <c r="CN2591" s="1070"/>
      <c r="CO2591" s="1070"/>
      <c r="CP2591" s="1070"/>
      <c r="CQ2591" s="1070"/>
      <c r="CR2591" s="1070"/>
      <c r="CS2591" s="1070"/>
      <c r="CT2591" s="1070"/>
      <c r="CU2591" s="1070"/>
      <c r="CV2591" s="1070"/>
      <c r="CW2591" s="1070"/>
      <c r="CX2591" s="1070"/>
      <c r="CY2591" s="1070"/>
      <c r="CZ2591" s="1070"/>
      <c r="DA2591" s="1070"/>
      <c r="DB2591" s="1070"/>
      <c r="DC2591" s="1070"/>
      <c r="DD2591" s="1070"/>
      <c r="DE2591" s="1070"/>
      <c r="DF2591" s="1070"/>
      <c r="DG2591" s="1070"/>
      <c r="DH2591" s="1070"/>
      <c r="DI2591" s="1070"/>
      <c r="DJ2591" s="1070"/>
    </row>
    <row r="2592" spans="1:114" s="1136" customFormat="1" ht="31.5" x14ac:dyDescent="0.25">
      <c r="A2592" s="1486" t="s">
        <v>2386</v>
      </c>
      <c r="B2592" s="1453" t="e">
        <f>IF(AND(B260&gt;0,B266=0),B2587/B2589,0)</f>
        <v>#VALUE!</v>
      </c>
      <c r="C2592" s="1454"/>
      <c r="D2592" s="1454"/>
      <c r="E2592" s="1454"/>
      <c r="F2592" s="1454"/>
      <c r="G2592" s="1454"/>
      <c r="H2592" s="1350"/>
      <c r="I2592" s="1350"/>
      <c r="J2592" s="1350"/>
      <c r="K2592" s="1350"/>
      <c r="L2592" s="1350"/>
      <c r="M2592" s="1350"/>
      <c r="N2592" s="1350"/>
      <c r="O2592" s="1350"/>
      <c r="P2592" s="1350"/>
      <c r="Q2592" s="1350"/>
      <c r="R2592" s="1350"/>
      <c r="S2592" s="1350"/>
      <c r="T2592" s="1350"/>
      <c r="U2592" s="1350"/>
      <c r="V2592" s="1350"/>
      <c r="W2592" s="1350"/>
      <c r="X2592" s="1350"/>
      <c r="Y2592" s="1350"/>
      <c r="Z2592" s="1350"/>
      <c r="AA2592" s="1350"/>
      <c r="AB2592" s="1350"/>
      <c r="AC2592" s="1350"/>
      <c r="AD2592" s="1350"/>
      <c r="AE2592" s="1350"/>
      <c r="AF2592" s="1350"/>
      <c r="AG2592" s="1350"/>
      <c r="AH2592" s="1350"/>
      <c r="AI2592" s="1350"/>
      <c r="AJ2592" s="1350"/>
      <c r="AK2592" s="1350"/>
      <c r="AL2592" s="1350"/>
      <c r="AM2592" s="1350"/>
      <c r="AN2592" s="1350"/>
      <c r="AO2592" s="1350"/>
      <c r="AP2592" s="1350"/>
      <c r="AQ2592" s="1350"/>
      <c r="AR2592" s="1350"/>
      <c r="AS2592" s="1350"/>
      <c r="AT2592" s="1350"/>
      <c r="AU2592" s="1350"/>
      <c r="AV2592" s="1350"/>
      <c r="AW2592" s="1350"/>
      <c r="AX2592" s="1350"/>
      <c r="AY2592" s="1350"/>
      <c r="AZ2592" s="1350"/>
      <c r="BA2592" s="1070"/>
      <c r="BB2592" s="1070"/>
      <c r="BC2592" s="1070"/>
      <c r="BD2592" s="1070"/>
      <c r="BE2592" s="1070"/>
      <c r="BF2592" s="1070"/>
      <c r="BG2592" s="1070"/>
      <c r="BH2592" s="1070"/>
      <c r="BI2592" s="1070"/>
      <c r="BJ2592" s="1070"/>
      <c r="BK2592" s="1070"/>
      <c r="BL2592" s="1070"/>
      <c r="BM2592" s="1070"/>
      <c r="BN2592" s="1070"/>
      <c r="BO2592" s="1070"/>
      <c r="BP2592" s="1070"/>
      <c r="BQ2592" s="1070"/>
      <c r="BR2592" s="1070"/>
      <c r="BS2592" s="1070"/>
      <c r="BT2592" s="1070"/>
      <c r="BU2592" s="1070"/>
      <c r="BV2592" s="1070"/>
      <c r="BW2592" s="1070"/>
      <c r="BX2592" s="1070"/>
      <c r="BY2592" s="1070"/>
      <c r="BZ2592" s="1070"/>
      <c r="CA2592" s="1070"/>
      <c r="CB2592" s="1070"/>
      <c r="CC2592" s="1070"/>
      <c r="CD2592" s="1070"/>
      <c r="CE2592" s="1070"/>
      <c r="CF2592" s="1070"/>
      <c r="CG2592" s="1070"/>
      <c r="CH2592" s="1070"/>
      <c r="CI2592" s="1070"/>
      <c r="CJ2592" s="1070"/>
      <c r="CK2592" s="1070"/>
      <c r="CL2592" s="1070"/>
      <c r="CM2592" s="1070"/>
      <c r="CN2592" s="1070"/>
      <c r="CO2592" s="1070"/>
      <c r="CP2592" s="1070"/>
      <c r="CQ2592" s="1070"/>
      <c r="CR2592" s="1070"/>
      <c r="CS2592" s="1070"/>
      <c r="CT2592" s="1070"/>
      <c r="CU2592" s="1070"/>
      <c r="CV2592" s="1070"/>
      <c r="CW2592" s="1070"/>
      <c r="CX2592" s="1070"/>
      <c r="CY2592" s="1070"/>
      <c r="CZ2592" s="1070"/>
      <c r="DA2592" s="1070"/>
      <c r="DB2592" s="1070"/>
      <c r="DC2592" s="1070"/>
      <c r="DD2592" s="1070"/>
      <c r="DE2592" s="1070"/>
      <c r="DF2592" s="1070"/>
      <c r="DG2592" s="1070"/>
      <c r="DH2592" s="1070"/>
      <c r="DI2592" s="1070"/>
      <c r="DJ2592" s="1070"/>
    </row>
    <row r="2593" spans="1:114" s="1136" customFormat="1" ht="15.75" x14ac:dyDescent="0.25">
      <c r="A2593" s="1460"/>
      <c r="B2593" s="1439"/>
      <c r="C2593" s="1432"/>
      <c r="D2593" s="1350"/>
      <c r="E2593" s="1350"/>
      <c r="F2593" s="1350"/>
      <c r="G2593" s="1350"/>
      <c r="H2593" s="1350"/>
      <c r="I2593" s="1350"/>
      <c r="J2593" s="1350"/>
      <c r="K2593" s="1350"/>
      <c r="L2593" s="1350"/>
      <c r="M2593" s="1350"/>
      <c r="N2593" s="1350"/>
      <c r="O2593" s="1350"/>
      <c r="P2593" s="1350"/>
      <c r="Q2593" s="1350"/>
      <c r="R2593" s="1350"/>
      <c r="S2593" s="1350"/>
      <c r="T2593" s="1350"/>
      <c r="U2593" s="1350"/>
      <c r="V2593" s="1350"/>
      <c r="W2593" s="1350"/>
      <c r="X2593" s="1350"/>
      <c r="Y2593" s="1350"/>
      <c r="Z2593" s="1350"/>
      <c r="AA2593" s="1350"/>
      <c r="AB2593" s="1350"/>
      <c r="AC2593" s="1350"/>
      <c r="AD2593" s="1350"/>
      <c r="AE2593" s="1350"/>
      <c r="AF2593" s="1350"/>
      <c r="AG2593" s="1350"/>
      <c r="AH2593" s="1350"/>
      <c r="AI2593" s="1350"/>
      <c r="AJ2593" s="1350"/>
      <c r="AK2593" s="1350"/>
      <c r="AL2593" s="1350"/>
      <c r="AM2593" s="1350"/>
      <c r="AN2593" s="1350"/>
      <c r="AO2593" s="1350"/>
      <c r="AP2593" s="1350"/>
      <c r="AQ2593" s="1350"/>
      <c r="AR2593" s="1350"/>
      <c r="AS2593" s="1350"/>
      <c r="AT2593" s="1350"/>
      <c r="AU2593" s="1350"/>
      <c r="AV2593" s="1350"/>
      <c r="AW2593" s="1350"/>
      <c r="AX2593" s="1350"/>
      <c r="AY2593" s="1350"/>
      <c r="AZ2593" s="1350"/>
      <c r="BA2593" s="1070"/>
      <c r="BB2593" s="1070"/>
      <c r="BC2593" s="1070"/>
      <c r="BD2593" s="1070"/>
      <c r="BE2593" s="1070"/>
      <c r="BF2593" s="1070"/>
      <c r="BG2593" s="1070"/>
      <c r="BH2593" s="1070"/>
      <c r="BI2593" s="1070"/>
      <c r="BJ2593" s="1070"/>
      <c r="BK2593" s="1070"/>
      <c r="BL2593" s="1070"/>
      <c r="BM2593" s="1070"/>
      <c r="BN2593" s="1070"/>
      <c r="BO2593" s="1070"/>
      <c r="BP2593" s="1070"/>
      <c r="BQ2593" s="1070"/>
      <c r="BR2593" s="1070"/>
      <c r="BS2593" s="1070"/>
      <c r="BT2593" s="1070"/>
      <c r="BU2593" s="1070"/>
      <c r="BV2593" s="1070"/>
      <c r="BW2593" s="1070"/>
      <c r="BX2593" s="1070"/>
      <c r="BY2593" s="1070"/>
      <c r="BZ2593" s="1070"/>
      <c r="CA2593" s="1070"/>
      <c r="CB2593" s="1070"/>
      <c r="CC2593" s="1070"/>
      <c r="CD2593" s="1070"/>
      <c r="CE2593" s="1070"/>
      <c r="CF2593" s="1070"/>
      <c r="CG2593" s="1070"/>
      <c r="CH2593" s="1070"/>
      <c r="CI2593" s="1070"/>
      <c r="CJ2593" s="1070"/>
      <c r="CK2593" s="1070"/>
      <c r="CL2593" s="1070"/>
      <c r="CM2593" s="1070"/>
      <c r="CN2593" s="1070"/>
      <c r="CO2593" s="1070"/>
      <c r="CP2593" s="1070"/>
      <c r="CQ2593" s="1070"/>
      <c r="CR2593" s="1070"/>
      <c r="CS2593" s="1070"/>
      <c r="CT2593" s="1070"/>
      <c r="CU2593" s="1070"/>
      <c r="CV2593" s="1070"/>
      <c r="CW2593" s="1070"/>
      <c r="CX2593" s="1070"/>
      <c r="CY2593" s="1070"/>
      <c r="CZ2593" s="1070"/>
      <c r="DA2593" s="1070"/>
      <c r="DB2593" s="1070"/>
      <c r="DC2593" s="1070"/>
      <c r="DD2593" s="1070"/>
      <c r="DE2593" s="1070"/>
      <c r="DF2593" s="1070"/>
      <c r="DG2593" s="1070"/>
      <c r="DH2593" s="1070"/>
      <c r="DI2593" s="1070"/>
      <c r="DJ2593" s="1070"/>
    </row>
    <row r="2594" spans="1:114" s="1136" customFormat="1" ht="15.75" x14ac:dyDescent="0.25">
      <c r="A2594" s="1461" t="s">
        <v>5158</v>
      </c>
      <c r="B2594" s="1439"/>
      <c r="C2594" s="1432"/>
      <c r="D2594" s="1350"/>
      <c r="E2594" s="1350"/>
      <c r="F2594" s="1350"/>
      <c r="G2594" s="1350"/>
      <c r="H2594" s="1350"/>
      <c r="I2594" s="1350"/>
      <c r="J2594" s="1350"/>
      <c r="K2594" s="1350"/>
      <c r="L2594" s="1350"/>
      <c r="M2594" s="1350"/>
      <c r="N2594" s="1350"/>
      <c r="O2594" s="1350"/>
      <c r="P2594" s="1350"/>
      <c r="Q2594" s="1350"/>
      <c r="R2594" s="1350"/>
      <c r="S2594" s="1350"/>
      <c r="T2594" s="1350"/>
      <c r="U2594" s="1350"/>
      <c r="V2594" s="1350"/>
      <c r="W2594" s="1350"/>
      <c r="X2594" s="1350"/>
      <c r="Y2594" s="1350"/>
      <c r="Z2594" s="1350"/>
      <c r="AA2594" s="1350"/>
      <c r="AB2594" s="1350"/>
      <c r="AC2594" s="1350"/>
      <c r="AD2594" s="1350"/>
      <c r="AE2594" s="1350"/>
      <c r="AF2594" s="1350"/>
      <c r="AG2594" s="1350"/>
      <c r="AH2594" s="1350"/>
      <c r="AI2594" s="1350"/>
      <c r="AJ2594" s="1350"/>
      <c r="AK2594" s="1350"/>
      <c r="AL2594" s="1350"/>
      <c r="AM2594" s="1350"/>
      <c r="AN2594" s="1350"/>
      <c r="AO2594" s="1350"/>
      <c r="AP2594" s="1350"/>
      <c r="AQ2594" s="1350"/>
      <c r="AR2594" s="1350"/>
      <c r="AS2594" s="1350"/>
      <c r="AT2594" s="1350"/>
      <c r="AU2594" s="1350"/>
      <c r="AV2594" s="1350"/>
      <c r="AW2594" s="1350"/>
      <c r="AX2594" s="1350"/>
      <c r="AY2594" s="1350"/>
      <c r="AZ2594" s="1350"/>
      <c r="BA2594" s="1070"/>
      <c r="BB2594" s="1070"/>
      <c r="BC2594" s="1070"/>
      <c r="BD2594" s="1070"/>
      <c r="BE2594" s="1070"/>
      <c r="BF2594" s="1070"/>
      <c r="BG2594" s="1070"/>
      <c r="BH2594" s="1070"/>
      <c r="BI2594" s="1070"/>
      <c r="BJ2594" s="1070"/>
      <c r="BK2594" s="1070"/>
      <c r="BL2594" s="1070"/>
      <c r="BM2594" s="1070"/>
      <c r="BN2594" s="1070"/>
      <c r="BO2594" s="1070"/>
      <c r="BP2594" s="1070"/>
      <c r="BQ2594" s="1070"/>
      <c r="BR2594" s="1070"/>
      <c r="BS2594" s="1070"/>
      <c r="BT2594" s="1070"/>
      <c r="BU2594" s="1070"/>
      <c r="BV2594" s="1070"/>
      <c r="BW2594" s="1070"/>
      <c r="BX2594" s="1070"/>
      <c r="BY2594" s="1070"/>
      <c r="BZ2594" s="1070"/>
      <c r="CA2594" s="1070"/>
      <c r="CB2594" s="1070"/>
      <c r="CC2594" s="1070"/>
      <c r="CD2594" s="1070"/>
      <c r="CE2594" s="1070"/>
      <c r="CF2594" s="1070"/>
      <c r="CG2594" s="1070"/>
      <c r="CH2594" s="1070"/>
      <c r="CI2594" s="1070"/>
      <c r="CJ2594" s="1070"/>
      <c r="CK2594" s="1070"/>
      <c r="CL2594" s="1070"/>
      <c r="CM2594" s="1070"/>
      <c r="CN2594" s="1070"/>
      <c r="CO2594" s="1070"/>
      <c r="CP2594" s="1070"/>
      <c r="CQ2594" s="1070"/>
      <c r="CR2594" s="1070"/>
      <c r="CS2594" s="1070"/>
      <c r="CT2594" s="1070"/>
      <c r="CU2594" s="1070"/>
      <c r="CV2594" s="1070"/>
      <c r="CW2594" s="1070"/>
      <c r="CX2594" s="1070"/>
      <c r="CY2594" s="1070"/>
      <c r="CZ2594" s="1070"/>
      <c r="DA2594" s="1070"/>
      <c r="DB2594" s="1070"/>
      <c r="DC2594" s="1070"/>
      <c r="DD2594" s="1070"/>
      <c r="DE2594" s="1070"/>
      <c r="DF2594" s="1070"/>
      <c r="DG2594" s="1070"/>
      <c r="DH2594" s="1070"/>
      <c r="DI2594" s="1070"/>
      <c r="DJ2594" s="1070"/>
    </row>
    <row r="2595" spans="1:114" s="1136" customFormat="1" ht="15.75" x14ac:dyDescent="0.25">
      <c r="A2595" s="1430" t="s">
        <v>4144</v>
      </c>
      <c r="B2595" s="1439" t="str">
        <f>B245</f>
        <v/>
      </c>
      <c r="C2595" s="1432"/>
      <c r="D2595" s="1432"/>
      <c r="E2595" s="1432"/>
      <c r="F2595" s="1432"/>
      <c r="G2595" s="1432"/>
      <c r="H2595" s="1350"/>
      <c r="I2595" s="1350"/>
      <c r="J2595" s="1350"/>
      <c r="K2595" s="1350"/>
      <c r="L2595" s="1350"/>
      <c r="M2595" s="1350"/>
      <c r="N2595" s="1350"/>
      <c r="O2595" s="1350"/>
      <c r="P2595" s="1350"/>
      <c r="Q2595" s="1350"/>
      <c r="R2595" s="1350"/>
      <c r="S2595" s="1350"/>
      <c r="T2595" s="1350"/>
      <c r="U2595" s="1350"/>
      <c r="V2595" s="1350"/>
      <c r="W2595" s="1350"/>
      <c r="X2595" s="1350"/>
      <c r="Y2595" s="1350"/>
      <c r="Z2595" s="1350"/>
      <c r="AA2595" s="1350"/>
      <c r="AB2595" s="1350"/>
      <c r="AC2595" s="1350"/>
      <c r="AD2595" s="1350"/>
      <c r="AE2595" s="1350"/>
      <c r="AF2595" s="1350"/>
      <c r="AG2595" s="1350"/>
      <c r="AH2595" s="1350"/>
      <c r="AI2595" s="1350"/>
      <c r="AJ2595" s="1350"/>
      <c r="AK2595" s="1350"/>
      <c r="AL2595" s="1350"/>
      <c r="AM2595" s="1350"/>
      <c r="AN2595" s="1350"/>
      <c r="AO2595" s="1350"/>
      <c r="AP2595" s="1350"/>
      <c r="AQ2595" s="1350"/>
      <c r="AR2595" s="1350"/>
      <c r="AS2595" s="1350"/>
      <c r="AT2595" s="1350"/>
      <c r="AU2595" s="1350"/>
      <c r="AV2595" s="1350"/>
      <c r="AW2595" s="1350"/>
      <c r="AX2595" s="1350"/>
      <c r="AY2595" s="1350"/>
      <c r="AZ2595" s="1350"/>
      <c r="BA2595" s="1070"/>
      <c r="BB2595" s="1070"/>
      <c r="BC2595" s="1070"/>
      <c r="BD2595" s="1070"/>
      <c r="BE2595" s="1070"/>
      <c r="BF2595" s="1070"/>
      <c r="BG2595" s="1070"/>
      <c r="BH2595" s="1070"/>
      <c r="BI2595" s="1070"/>
      <c r="BJ2595" s="1070"/>
      <c r="BK2595" s="1070"/>
      <c r="BL2595" s="1070"/>
      <c r="BM2595" s="1070"/>
      <c r="BN2595" s="1070"/>
      <c r="BO2595" s="1070"/>
      <c r="BP2595" s="1070"/>
      <c r="BQ2595" s="1070"/>
      <c r="BR2595" s="1070"/>
      <c r="BS2595" s="1070"/>
      <c r="BT2595" s="1070"/>
      <c r="BU2595" s="1070"/>
      <c r="BV2595" s="1070"/>
      <c r="BW2595" s="1070"/>
      <c r="BX2595" s="1070"/>
      <c r="BY2595" s="1070"/>
      <c r="BZ2595" s="1070"/>
      <c r="CA2595" s="1070"/>
      <c r="CB2595" s="1070"/>
      <c r="CC2595" s="1070"/>
      <c r="CD2595" s="1070"/>
      <c r="CE2595" s="1070"/>
      <c r="CF2595" s="1070"/>
      <c r="CG2595" s="1070"/>
      <c r="CH2595" s="1070"/>
      <c r="CI2595" s="1070"/>
      <c r="CJ2595" s="1070"/>
      <c r="CK2595" s="1070"/>
      <c r="CL2595" s="1070"/>
      <c r="CM2595" s="1070"/>
      <c r="CN2595" s="1070"/>
      <c r="CO2595" s="1070"/>
      <c r="CP2595" s="1070"/>
      <c r="CQ2595" s="1070"/>
      <c r="CR2595" s="1070"/>
      <c r="CS2595" s="1070"/>
      <c r="CT2595" s="1070"/>
      <c r="CU2595" s="1070"/>
      <c r="CV2595" s="1070"/>
      <c r="CW2595" s="1070"/>
      <c r="CX2595" s="1070"/>
      <c r="CY2595" s="1070"/>
      <c r="CZ2595" s="1070"/>
      <c r="DA2595" s="1070"/>
      <c r="DB2595" s="1070"/>
      <c r="DC2595" s="1070"/>
      <c r="DD2595" s="1070"/>
      <c r="DE2595" s="1070"/>
      <c r="DF2595" s="1070"/>
      <c r="DG2595" s="1070"/>
      <c r="DH2595" s="1070"/>
      <c r="DI2595" s="1070"/>
      <c r="DJ2595" s="1070"/>
    </row>
    <row r="2596" spans="1:114" s="1136" customFormat="1" ht="15.75" x14ac:dyDescent="0.25">
      <c r="A2596" s="1430" t="s">
        <v>425</v>
      </c>
      <c r="B2596" s="1443">
        <f>IF(B2597=1,5.98,4.64)</f>
        <v>4.6399999999999997</v>
      </c>
      <c r="C2596" s="1437"/>
      <c r="D2596" s="1429"/>
      <c r="E2596" s="1429"/>
      <c r="F2596" s="1429"/>
      <c r="G2596" s="1429"/>
      <c r="H2596" s="1350"/>
      <c r="I2596" s="1350"/>
      <c r="J2596" s="1350"/>
      <c r="K2596" s="1350"/>
      <c r="L2596" s="1350"/>
      <c r="M2596" s="1350"/>
      <c r="N2596" s="1350"/>
      <c r="O2596" s="1350"/>
      <c r="P2596" s="1350"/>
      <c r="Q2596" s="1350"/>
      <c r="R2596" s="1350"/>
      <c r="S2596" s="1350"/>
      <c r="T2596" s="1350"/>
      <c r="U2596" s="1350"/>
      <c r="V2596" s="1350"/>
      <c r="W2596" s="1350"/>
      <c r="X2596" s="1350"/>
      <c r="Y2596" s="1350"/>
      <c r="Z2596" s="1350"/>
      <c r="AA2596" s="1350"/>
      <c r="AB2596" s="1350"/>
      <c r="AC2596" s="1350"/>
      <c r="AD2596" s="1350"/>
      <c r="AE2596" s="1350"/>
      <c r="AF2596" s="1350"/>
      <c r="AG2596" s="1350"/>
      <c r="AH2596" s="1350"/>
      <c r="AI2596" s="1350"/>
      <c r="AJ2596" s="1350"/>
      <c r="AK2596" s="1350"/>
      <c r="AL2596" s="1350"/>
      <c r="AM2596" s="1350"/>
      <c r="AN2596" s="1350"/>
      <c r="AO2596" s="1350"/>
      <c r="AP2596" s="1350"/>
      <c r="AQ2596" s="1350"/>
      <c r="AR2596" s="1350"/>
      <c r="AS2596" s="1350"/>
      <c r="AT2596" s="1350"/>
      <c r="AU2596" s="1350"/>
      <c r="AV2596" s="1350"/>
      <c r="AW2596" s="1350"/>
      <c r="AX2596" s="1350"/>
      <c r="AY2596" s="1350"/>
      <c r="AZ2596" s="1350"/>
      <c r="BA2596" s="1070"/>
      <c r="BB2596" s="1070"/>
      <c r="BC2596" s="1070"/>
      <c r="BD2596" s="1070"/>
      <c r="BE2596" s="1070"/>
      <c r="BF2596" s="1070"/>
      <c r="BG2596" s="1070"/>
      <c r="BH2596" s="1070"/>
      <c r="BI2596" s="1070"/>
      <c r="BJ2596" s="1070"/>
      <c r="BK2596" s="1070"/>
      <c r="BL2596" s="1070"/>
      <c r="BM2596" s="1070"/>
      <c r="BN2596" s="1070"/>
      <c r="BO2596" s="1070"/>
      <c r="BP2596" s="1070"/>
      <c r="BQ2596" s="1070"/>
      <c r="BR2596" s="1070"/>
      <c r="BS2596" s="1070"/>
      <c r="BT2596" s="1070"/>
      <c r="BU2596" s="1070"/>
      <c r="BV2596" s="1070"/>
      <c r="BW2596" s="1070"/>
      <c r="BX2596" s="1070"/>
      <c r="BY2596" s="1070"/>
      <c r="BZ2596" s="1070"/>
      <c r="CA2596" s="1070"/>
      <c r="CB2596" s="1070"/>
      <c r="CC2596" s="1070"/>
      <c r="CD2596" s="1070"/>
      <c r="CE2596" s="1070"/>
      <c r="CF2596" s="1070"/>
      <c r="CG2596" s="1070"/>
      <c r="CH2596" s="1070"/>
      <c r="CI2596" s="1070"/>
      <c r="CJ2596" s="1070"/>
      <c r="CK2596" s="1070"/>
      <c r="CL2596" s="1070"/>
      <c r="CM2596" s="1070"/>
      <c r="CN2596" s="1070"/>
      <c r="CO2596" s="1070"/>
      <c r="CP2596" s="1070"/>
      <c r="CQ2596" s="1070"/>
      <c r="CR2596" s="1070"/>
      <c r="CS2596" s="1070"/>
      <c r="CT2596" s="1070"/>
      <c r="CU2596" s="1070"/>
      <c r="CV2596" s="1070"/>
      <c r="CW2596" s="1070"/>
      <c r="CX2596" s="1070"/>
      <c r="CY2596" s="1070"/>
      <c r="CZ2596" s="1070"/>
      <c r="DA2596" s="1070"/>
      <c r="DB2596" s="1070"/>
      <c r="DC2596" s="1070"/>
      <c r="DD2596" s="1070"/>
      <c r="DE2596" s="1070"/>
      <c r="DF2596" s="1070"/>
      <c r="DG2596" s="1070"/>
      <c r="DH2596" s="1070"/>
      <c r="DI2596" s="1070"/>
      <c r="DJ2596" s="1070"/>
    </row>
    <row r="2597" spans="1:114" s="1136" customFormat="1" ht="31.5" x14ac:dyDescent="0.25">
      <c r="A2597" s="1471" t="s">
        <v>5168</v>
      </c>
      <c r="B2597" s="1469">
        <v>2</v>
      </c>
      <c r="C2597" s="1470"/>
      <c r="D2597" s="1429"/>
      <c r="E2597" s="1429"/>
      <c r="F2597" s="1429"/>
      <c r="G2597" s="1429"/>
      <c r="H2597" s="1350"/>
      <c r="I2597" s="1350"/>
      <c r="J2597" s="1350"/>
      <c r="K2597" s="1350"/>
      <c r="L2597" s="1350"/>
      <c r="M2597" s="1350"/>
      <c r="N2597" s="1350"/>
      <c r="O2597" s="1350"/>
      <c r="P2597" s="1350"/>
      <c r="Q2597" s="1350"/>
      <c r="R2597" s="1350"/>
      <c r="S2597" s="1350"/>
      <c r="T2597" s="1350"/>
      <c r="U2597" s="1350"/>
      <c r="V2597" s="1350"/>
      <c r="W2597" s="1350"/>
      <c r="X2597" s="1350"/>
      <c r="Y2597" s="1350"/>
      <c r="Z2597" s="1350"/>
      <c r="AA2597" s="1350"/>
      <c r="AB2597" s="1350"/>
      <c r="AC2597" s="1350"/>
      <c r="AD2597" s="1350"/>
      <c r="AE2597" s="1350"/>
      <c r="AF2597" s="1350"/>
      <c r="AG2597" s="1350"/>
      <c r="AH2597" s="1350"/>
      <c r="AI2597" s="1350"/>
      <c r="AJ2597" s="1350"/>
      <c r="AK2597" s="1350"/>
      <c r="AL2597" s="1350"/>
      <c r="AM2597" s="1350"/>
      <c r="AN2597" s="1350"/>
      <c r="AO2597" s="1350"/>
      <c r="AP2597" s="1350"/>
      <c r="AQ2597" s="1350"/>
      <c r="AR2597" s="1350"/>
      <c r="AS2597" s="1350"/>
      <c r="AT2597" s="1350"/>
      <c r="AU2597" s="1350"/>
      <c r="AV2597" s="1350"/>
      <c r="AW2597" s="1350"/>
      <c r="AX2597" s="1350"/>
      <c r="AY2597" s="1350"/>
      <c r="AZ2597" s="1350"/>
      <c r="BA2597" s="1070"/>
      <c r="BB2597" s="1070"/>
      <c r="BC2597" s="1070"/>
      <c r="BD2597" s="1070"/>
      <c r="BE2597" s="1070"/>
      <c r="BF2597" s="1070"/>
      <c r="BG2597" s="1070"/>
      <c r="BH2597" s="1070"/>
      <c r="BI2597" s="1070"/>
      <c r="BJ2597" s="1070"/>
      <c r="BK2597" s="1070"/>
      <c r="BL2597" s="1070"/>
      <c r="BM2597" s="1070"/>
      <c r="BN2597" s="1070"/>
      <c r="BO2597" s="1070"/>
      <c r="BP2597" s="1070"/>
      <c r="BQ2597" s="1070"/>
      <c r="BR2597" s="1070"/>
      <c r="BS2597" s="1070"/>
      <c r="BT2597" s="1070"/>
      <c r="BU2597" s="1070"/>
      <c r="BV2597" s="1070"/>
      <c r="BW2597" s="1070"/>
      <c r="BX2597" s="1070"/>
      <c r="BY2597" s="1070"/>
      <c r="BZ2597" s="1070"/>
      <c r="CA2597" s="1070"/>
      <c r="CB2597" s="1070"/>
      <c r="CC2597" s="1070"/>
      <c r="CD2597" s="1070"/>
      <c r="CE2597" s="1070"/>
      <c r="CF2597" s="1070"/>
      <c r="CG2597" s="1070"/>
      <c r="CH2597" s="1070"/>
      <c r="CI2597" s="1070"/>
      <c r="CJ2597" s="1070"/>
      <c r="CK2597" s="1070"/>
      <c r="CL2597" s="1070"/>
      <c r="CM2597" s="1070"/>
      <c r="CN2597" s="1070"/>
      <c r="CO2597" s="1070"/>
      <c r="CP2597" s="1070"/>
      <c r="CQ2597" s="1070"/>
      <c r="CR2597" s="1070"/>
      <c r="CS2597" s="1070"/>
      <c r="CT2597" s="1070"/>
      <c r="CU2597" s="1070"/>
      <c r="CV2597" s="1070"/>
      <c r="CW2597" s="1070"/>
      <c r="CX2597" s="1070"/>
      <c r="CY2597" s="1070"/>
      <c r="CZ2597" s="1070"/>
      <c r="DA2597" s="1070"/>
      <c r="DB2597" s="1070"/>
      <c r="DC2597" s="1070"/>
      <c r="DD2597" s="1070"/>
      <c r="DE2597" s="1070"/>
      <c r="DF2597" s="1070"/>
      <c r="DG2597" s="1070"/>
      <c r="DH2597" s="1070"/>
      <c r="DI2597" s="1070"/>
      <c r="DJ2597" s="1070"/>
    </row>
    <row r="2598" spans="1:114" s="1136" customFormat="1" ht="15.75" x14ac:dyDescent="0.25">
      <c r="A2598" s="1430" t="s">
        <v>3412</v>
      </c>
      <c r="B2598" s="1443" t="e">
        <f>B2596*B2383</f>
        <v>#VALUE!</v>
      </c>
      <c r="C2598" s="1437"/>
      <c r="D2598" s="1485"/>
      <c r="E2598" s="1485"/>
      <c r="F2598" s="1485"/>
      <c r="G2598" s="1485"/>
      <c r="H2598" s="1350"/>
      <c r="I2598" s="1350"/>
      <c r="J2598" s="1350"/>
      <c r="K2598" s="1350"/>
      <c r="L2598" s="1350"/>
      <c r="M2598" s="1350"/>
      <c r="N2598" s="1350"/>
      <c r="O2598" s="1350"/>
      <c r="P2598" s="1350"/>
      <c r="Q2598" s="1350"/>
      <c r="R2598" s="1350"/>
      <c r="S2598" s="1350"/>
      <c r="T2598" s="1350"/>
      <c r="U2598" s="1350"/>
      <c r="V2598" s="1350"/>
      <c r="W2598" s="1350"/>
      <c r="X2598" s="1350"/>
      <c r="Y2598" s="1350"/>
      <c r="Z2598" s="1350"/>
      <c r="AA2598" s="1350"/>
      <c r="AB2598" s="1350"/>
      <c r="AC2598" s="1350"/>
      <c r="AD2598" s="1350"/>
      <c r="AE2598" s="1350"/>
      <c r="AF2598" s="1350"/>
      <c r="AG2598" s="1350"/>
      <c r="AH2598" s="1350"/>
      <c r="AI2598" s="1350"/>
      <c r="AJ2598" s="1350"/>
      <c r="AK2598" s="1350"/>
      <c r="AL2598" s="1350"/>
      <c r="AM2598" s="1350"/>
      <c r="AN2598" s="1350"/>
      <c r="AO2598" s="1350"/>
      <c r="AP2598" s="1350"/>
      <c r="AQ2598" s="1350"/>
      <c r="AR2598" s="1350"/>
      <c r="AS2598" s="1350"/>
      <c r="AT2598" s="1350"/>
      <c r="AU2598" s="1350"/>
      <c r="AV2598" s="1350"/>
      <c r="AW2598" s="1350"/>
      <c r="AX2598" s="1350"/>
      <c r="AY2598" s="1350"/>
      <c r="AZ2598" s="1350"/>
      <c r="BA2598" s="1070"/>
      <c r="BB2598" s="1070"/>
      <c r="BC2598" s="1070"/>
      <c r="BD2598" s="1070"/>
      <c r="BE2598" s="1070"/>
      <c r="BF2598" s="1070"/>
      <c r="BG2598" s="1070"/>
      <c r="BH2598" s="1070"/>
      <c r="BI2598" s="1070"/>
      <c r="BJ2598" s="1070"/>
      <c r="BK2598" s="1070"/>
      <c r="BL2598" s="1070"/>
      <c r="BM2598" s="1070"/>
      <c r="BN2598" s="1070"/>
      <c r="BO2598" s="1070"/>
      <c r="BP2598" s="1070"/>
      <c r="BQ2598" s="1070"/>
      <c r="BR2598" s="1070"/>
      <c r="BS2598" s="1070"/>
      <c r="BT2598" s="1070"/>
      <c r="BU2598" s="1070"/>
      <c r="BV2598" s="1070"/>
      <c r="BW2598" s="1070"/>
      <c r="BX2598" s="1070"/>
      <c r="BY2598" s="1070"/>
      <c r="BZ2598" s="1070"/>
      <c r="CA2598" s="1070"/>
      <c r="CB2598" s="1070"/>
      <c r="CC2598" s="1070"/>
      <c r="CD2598" s="1070"/>
      <c r="CE2598" s="1070"/>
      <c r="CF2598" s="1070"/>
      <c r="CG2598" s="1070"/>
      <c r="CH2598" s="1070"/>
      <c r="CI2598" s="1070"/>
      <c r="CJ2598" s="1070"/>
      <c r="CK2598" s="1070"/>
      <c r="CL2598" s="1070"/>
      <c r="CM2598" s="1070"/>
      <c r="CN2598" s="1070"/>
      <c r="CO2598" s="1070"/>
      <c r="CP2598" s="1070"/>
      <c r="CQ2598" s="1070"/>
      <c r="CR2598" s="1070"/>
      <c r="CS2598" s="1070"/>
      <c r="CT2598" s="1070"/>
      <c r="CU2598" s="1070"/>
      <c r="CV2598" s="1070"/>
      <c r="CW2598" s="1070"/>
      <c r="CX2598" s="1070"/>
      <c r="CY2598" s="1070"/>
      <c r="CZ2598" s="1070"/>
      <c r="DA2598" s="1070"/>
      <c r="DB2598" s="1070"/>
      <c r="DC2598" s="1070"/>
      <c r="DD2598" s="1070"/>
      <c r="DE2598" s="1070"/>
      <c r="DF2598" s="1070"/>
      <c r="DG2598" s="1070"/>
      <c r="DH2598" s="1070"/>
      <c r="DI2598" s="1070"/>
      <c r="DJ2598" s="1070"/>
    </row>
    <row r="2599" spans="1:114" s="1136" customFormat="1" ht="15.75" x14ac:dyDescent="0.25">
      <c r="A2599" s="1466" t="s">
        <v>5169</v>
      </c>
      <c r="B2599" s="1453" t="e">
        <f>B2595/B2598</f>
        <v>#VALUE!</v>
      </c>
      <c r="C2599" s="1454"/>
      <c r="D2599" s="1454"/>
      <c r="E2599" s="1454"/>
      <c r="F2599" s="1454"/>
      <c r="G2599" s="1454"/>
      <c r="H2599" s="1350"/>
      <c r="I2599" s="1350"/>
      <c r="J2599" s="1350"/>
      <c r="K2599" s="1350"/>
      <c r="L2599" s="1350"/>
      <c r="M2599" s="1350"/>
      <c r="N2599" s="1350"/>
      <c r="O2599" s="1350"/>
      <c r="P2599" s="1350"/>
      <c r="Q2599" s="1350"/>
      <c r="R2599" s="1350"/>
      <c r="S2599" s="1350"/>
      <c r="T2599" s="1350"/>
      <c r="U2599" s="1350"/>
      <c r="V2599" s="1350"/>
      <c r="W2599" s="1350"/>
      <c r="X2599" s="1350"/>
      <c r="Y2599" s="1350"/>
      <c r="Z2599" s="1350"/>
      <c r="AA2599" s="1350"/>
      <c r="AB2599" s="1350"/>
      <c r="AC2599" s="1350"/>
      <c r="AD2599" s="1350"/>
      <c r="AE2599" s="1350"/>
      <c r="AF2599" s="1350"/>
      <c r="AG2599" s="1350"/>
      <c r="AH2599" s="1350"/>
      <c r="AI2599" s="1350"/>
      <c r="AJ2599" s="1350"/>
      <c r="AK2599" s="1350"/>
      <c r="AL2599" s="1350"/>
      <c r="AM2599" s="1350"/>
      <c r="AN2599" s="1350"/>
      <c r="AO2599" s="1350"/>
      <c r="AP2599" s="1350"/>
      <c r="AQ2599" s="1350"/>
      <c r="AR2599" s="1350"/>
      <c r="AS2599" s="1350"/>
      <c r="AT2599" s="1350"/>
      <c r="AU2599" s="1350"/>
      <c r="AV2599" s="1350"/>
      <c r="AW2599" s="1350"/>
      <c r="AX2599" s="1350"/>
      <c r="AY2599" s="1350"/>
      <c r="AZ2599" s="1350"/>
      <c r="BA2599" s="1070"/>
      <c r="BB2599" s="1070"/>
      <c r="BC2599" s="1070"/>
      <c r="BD2599" s="1070"/>
      <c r="BE2599" s="1070"/>
      <c r="BF2599" s="1070"/>
      <c r="BG2599" s="1070"/>
      <c r="BH2599" s="1070"/>
      <c r="BI2599" s="1070"/>
      <c r="BJ2599" s="1070"/>
      <c r="BK2599" s="1070"/>
      <c r="BL2599" s="1070"/>
      <c r="BM2599" s="1070"/>
      <c r="BN2599" s="1070"/>
      <c r="BO2599" s="1070"/>
      <c r="BP2599" s="1070"/>
      <c r="BQ2599" s="1070"/>
      <c r="BR2599" s="1070"/>
      <c r="BS2599" s="1070"/>
      <c r="BT2599" s="1070"/>
      <c r="BU2599" s="1070"/>
      <c r="BV2599" s="1070"/>
      <c r="BW2599" s="1070"/>
      <c r="BX2599" s="1070"/>
      <c r="BY2599" s="1070"/>
      <c r="BZ2599" s="1070"/>
      <c r="CA2599" s="1070"/>
      <c r="CB2599" s="1070"/>
      <c r="CC2599" s="1070"/>
      <c r="CD2599" s="1070"/>
      <c r="CE2599" s="1070"/>
      <c r="CF2599" s="1070"/>
      <c r="CG2599" s="1070"/>
      <c r="CH2599" s="1070"/>
      <c r="CI2599" s="1070"/>
      <c r="CJ2599" s="1070"/>
      <c r="CK2599" s="1070"/>
      <c r="CL2599" s="1070"/>
      <c r="CM2599" s="1070"/>
      <c r="CN2599" s="1070"/>
      <c r="CO2599" s="1070"/>
      <c r="CP2599" s="1070"/>
      <c r="CQ2599" s="1070"/>
      <c r="CR2599" s="1070"/>
      <c r="CS2599" s="1070"/>
      <c r="CT2599" s="1070"/>
      <c r="CU2599" s="1070"/>
      <c r="CV2599" s="1070"/>
      <c r="CW2599" s="1070"/>
      <c r="CX2599" s="1070"/>
      <c r="CY2599" s="1070"/>
      <c r="CZ2599" s="1070"/>
      <c r="DA2599" s="1070"/>
      <c r="DB2599" s="1070"/>
      <c r="DC2599" s="1070"/>
      <c r="DD2599" s="1070"/>
      <c r="DE2599" s="1070"/>
      <c r="DF2599" s="1070"/>
      <c r="DG2599" s="1070"/>
      <c r="DH2599" s="1070"/>
      <c r="DI2599" s="1070"/>
      <c r="DJ2599" s="1070"/>
    </row>
    <row r="2600" spans="1:114" s="1136" customFormat="1" ht="15.75" x14ac:dyDescent="0.25">
      <c r="A2600" s="1472"/>
      <c r="B2600" s="1453"/>
      <c r="C2600" s="1454"/>
      <c r="D2600" s="1350"/>
      <c r="E2600" s="1350"/>
      <c r="F2600" s="1350"/>
      <c r="G2600" s="1350"/>
      <c r="H2600" s="1350"/>
      <c r="I2600" s="1350"/>
      <c r="J2600" s="1350"/>
      <c r="K2600" s="1350"/>
      <c r="L2600" s="1350"/>
      <c r="M2600" s="1350"/>
      <c r="N2600" s="1350"/>
      <c r="O2600" s="1350"/>
      <c r="P2600" s="1350"/>
      <c r="Q2600" s="1350"/>
      <c r="R2600" s="1350"/>
      <c r="S2600" s="1350"/>
      <c r="T2600" s="1350"/>
      <c r="U2600" s="1350"/>
      <c r="V2600" s="1350"/>
      <c r="W2600" s="1350"/>
      <c r="X2600" s="1350"/>
      <c r="Y2600" s="1350"/>
      <c r="Z2600" s="1350"/>
      <c r="AA2600" s="1350"/>
      <c r="AB2600" s="1350"/>
      <c r="AC2600" s="1350"/>
      <c r="AD2600" s="1350"/>
      <c r="AE2600" s="1350"/>
      <c r="AF2600" s="1350"/>
      <c r="AG2600" s="1350"/>
      <c r="AH2600" s="1350"/>
      <c r="AI2600" s="1350"/>
      <c r="AJ2600" s="1350"/>
      <c r="AK2600" s="1350"/>
      <c r="AL2600" s="1350"/>
      <c r="AM2600" s="1350"/>
      <c r="AN2600" s="1350"/>
      <c r="AO2600" s="1350"/>
      <c r="AP2600" s="1350"/>
      <c r="AQ2600" s="1350"/>
      <c r="AR2600" s="1350"/>
      <c r="AS2600" s="1350"/>
      <c r="AT2600" s="1350"/>
      <c r="AU2600" s="1350"/>
      <c r="AV2600" s="1350"/>
      <c r="AW2600" s="1350"/>
      <c r="AX2600" s="1350"/>
      <c r="AY2600" s="1350"/>
      <c r="AZ2600" s="1350"/>
      <c r="BA2600" s="1070"/>
      <c r="BB2600" s="1070"/>
      <c r="BC2600" s="1070"/>
      <c r="BD2600" s="1070"/>
      <c r="BE2600" s="1070"/>
      <c r="BF2600" s="1070"/>
      <c r="BG2600" s="1070"/>
      <c r="BH2600" s="1070"/>
      <c r="BI2600" s="1070"/>
      <c r="BJ2600" s="1070"/>
      <c r="BK2600" s="1070"/>
      <c r="BL2600" s="1070"/>
      <c r="BM2600" s="1070"/>
      <c r="BN2600" s="1070"/>
      <c r="BO2600" s="1070"/>
      <c r="BP2600" s="1070"/>
      <c r="BQ2600" s="1070"/>
      <c r="BR2600" s="1070"/>
      <c r="BS2600" s="1070"/>
      <c r="BT2600" s="1070"/>
      <c r="BU2600" s="1070"/>
      <c r="BV2600" s="1070"/>
      <c r="BW2600" s="1070"/>
      <c r="BX2600" s="1070"/>
      <c r="BY2600" s="1070"/>
      <c r="BZ2600" s="1070"/>
      <c r="CA2600" s="1070"/>
      <c r="CB2600" s="1070"/>
      <c r="CC2600" s="1070"/>
      <c r="CD2600" s="1070"/>
      <c r="CE2600" s="1070"/>
      <c r="CF2600" s="1070"/>
      <c r="CG2600" s="1070"/>
      <c r="CH2600" s="1070"/>
      <c r="CI2600" s="1070"/>
      <c r="CJ2600" s="1070"/>
      <c r="CK2600" s="1070"/>
      <c r="CL2600" s="1070"/>
      <c r="CM2600" s="1070"/>
      <c r="CN2600" s="1070"/>
      <c r="CO2600" s="1070"/>
      <c r="CP2600" s="1070"/>
      <c r="CQ2600" s="1070"/>
      <c r="CR2600" s="1070"/>
      <c r="CS2600" s="1070"/>
      <c r="CT2600" s="1070"/>
      <c r="CU2600" s="1070"/>
      <c r="CV2600" s="1070"/>
      <c r="CW2600" s="1070"/>
      <c r="CX2600" s="1070"/>
      <c r="CY2600" s="1070"/>
      <c r="CZ2600" s="1070"/>
      <c r="DA2600" s="1070"/>
      <c r="DB2600" s="1070"/>
      <c r="DC2600" s="1070"/>
      <c r="DD2600" s="1070"/>
      <c r="DE2600" s="1070"/>
      <c r="DF2600" s="1070"/>
      <c r="DG2600" s="1070"/>
      <c r="DH2600" s="1070"/>
      <c r="DI2600" s="1070"/>
      <c r="DJ2600" s="1070"/>
    </row>
    <row r="2601" spans="1:114" s="1136" customFormat="1" ht="15.75" x14ac:dyDescent="0.25">
      <c r="A2601" s="1487" t="s">
        <v>5170</v>
      </c>
      <c r="B2601" s="1488"/>
      <c r="C2601" s="1454"/>
      <c r="D2601" s="1350"/>
      <c r="E2601" s="1350"/>
      <c r="F2601" s="1350"/>
      <c r="G2601" s="1350"/>
      <c r="H2601" s="1350"/>
      <c r="I2601" s="1350"/>
      <c r="J2601" s="1350"/>
      <c r="K2601" s="1350"/>
      <c r="L2601" s="1350"/>
      <c r="M2601" s="1350"/>
      <c r="N2601" s="1350"/>
      <c r="O2601" s="1350"/>
      <c r="P2601" s="1350"/>
      <c r="Q2601" s="1350"/>
      <c r="R2601" s="1350"/>
      <c r="S2601" s="1350"/>
      <c r="T2601" s="1350"/>
      <c r="U2601" s="1350"/>
      <c r="V2601" s="1350"/>
      <c r="W2601" s="1350"/>
      <c r="X2601" s="1350"/>
      <c r="Y2601" s="1350"/>
      <c r="Z2601" s="1350"/>
      <c r="AA2601" s="1350"/>
      <c r="AB2601" s="1350"/>
      <c r="AC2601" s="1350"/>
      <c r="AD2601" s="1350"/>
      <c r="AE2601" s="1350"/>
      <c r="AF2601" s="1350"/>
      <c r="AG2601" s="1350"/>
      <c r="AH2601" s="1350"/>
      <c r="AI2601" s="1350"/>
      <c r="AJ2601" s="1350"/>
      <c r="AK2601" s="1350"/>
      <c r="AL2601" s="1350"/>
      <c r="AM2601" s="1350"/>
      <c r="AN2601" s="1350"/>
      <c r="AO2601" s="1350"/>
      <c r="AP2601" s="1350"/>
      <c r="AQ2601" s="1350"/>
      <c r="AR2601" s="1350"/>
      <c r="AS2601" s="1350"/>
      <c r="AT2601" s="1350"/>
      <c r="AU2601" s="1350"/>
      <c r="AV2601" s="1350"/>
      <c r="AW2601" s="1350"/>
      <c r="AX2601" s="1350"/>
      <c r="AY2601" s="1350"/>
      <c r="AZ2601" s="1350"/>
      <c r="BA2601" s="1070"/>
      <c r="BB2601" s="1070"/>
      <c r="BC2601" s="1070"/>
      <c r="BD2601" s="1070"/>
      <c r="BE2601" s="1070"/>
      <c r="BF2601" s="1070"/>
      <c r="BG2601" s="1070"/>
      <c r="BH2601" s="1070"/>
      <c r="BI2601" s="1070"/>
      <c r="BJ2601" s="1070"/>
      <c r="BK2601" s="1070"/>
      <c r="BL2601" s="1070"/>
      <c r="BM2601" s="1070"/>
      <c r="BN2601" s="1070"/>
      <c r="BO2601" s="1070"/>
      <c r="BP2601" s="1070"/>
      <c r="BQ2601" s="1070"/>
      <c r="BR2601" s="1070"/>
      <c r="BS2601" s="1070"/>
      <c r="BT2601" s="1070"/>
      <c r="BU2601" s="1070"/>
      <c r="BV2601" s="1070"/>
      <c r="BW2601" s="1070"/>
      <c r="BX2601" s="1070"/>
      <c r="BY2601" s="1070"/>
      <c r="BZ2601" s="1070"/>
      <c r="CA2601" s="1070"/>
      <c r="CB2601" s="1070"/>
      <c r="CC2601" s="1070"/>
      <c r="CD2601" s="1070"/>
      <c r="CE2601" s="1070"/>
      <c r="CF2601" s="1070"/>
      <c r="CG2601" s="1070"/>
      <c r="CH2601" s="1070"/>
      <c r="CI2601" s="1070"/>
      <c r="CJ2601" s="1070"/>
      <c r="CK2601" s="1070"/>
      <c r="CL2601" s="1070"/>
      <c r="CM2601" s="1070"/>
      <c r="CN2601" s="1070"/>
      <c r="CO2601" s="1070"/>
      <c r="CP2601" s="1070"/>
      <c r="CQ2601" s="1070"/>
      <c r="CR2601" s="1070"/>
      <c r="CS2601" s="1070"/>
      <c r="CT2601" s="1070"/>
      <c r="CU2601" s="1070"/>
      <c r="CV2601" s="1070"/>
      <c r="CW2601" s="1070"/>
      <c r="CX2601" s="1070"/>
      <c r="CY2601" s="1070"/>
      <c r="CZ2601" s="1070"/>
      <c r="DA2601" s="1070"/>
      <c r="DB2601" s="1070"/>
      <c r="DC2601" s="1070"/>
      <c r="DD2601" s="1070"/>
      <c r="DE2601" s="1070"/>
      <c r="DF2601" s="1070"/>
      <c r="DG2601" s="1070"/>
      <c r="DH2601" s="1070"/>
      <c r="DI2601" s="1070"/>
      <c r="DJ2601" s="1070"/>
    </row>
    <row r="2602" spans="1:114" s="1136" customFormat="1" ht="15.75" x14ac:dyDescent="0.25">
      <c r="A2602" s="1489" t="s">
        <v>5171</v>
      </c>
      <c r="B2602" s="1490" t="e">
        <f>B245/B263</f>
        <v>#VALUE!</v>
      </c>
      <c r="C2602" s="1432"/>
      <c r="D2602" s="1432"/>
      <c r="E2602" s="1432"/>
      <c r="F2602" s="1432"/>
      <c r="G2602" s="1432"/>
      <c r="H2602" s="1350"/>
      <c r="I2602" s="1350"/>
      <c r="J2602" s="1350"/>
      <c r="K2602" s="1350"/>
      <c r="L2602" s="1350"/>
      <c r="M2602" s="1350"/>
      <c r="N2602" s="1350"/>
      <c r="O2602" s="1350"/>
      <c r="P2602" s="1350"/>
      <c r="Q2602" s="1350"/>
      <c r="R2602" s="1350"/>
      <c r="S2602" s="1350"/>
      <c r="T2602" s="1350"/>
      <c r="U2602" s="1350"/>
      <c r="V2602" s="1350"/>
      <c r="W2602" s="1350"/>
      <c r="X2602" s="1350"/>
      <c r="Y2602" s="1350"/>
      <c r="Z2602" s="1350"/>
      <c r="AA2602" s="1350"/>
      <c r="AB2602" s="1350"/>
      <c r="AC2602" s="1350"/>
      <c r="AD2602" s="1350"/>
      <c r="AE2602" s="1350"/>
      <c r="AF2602" s="1350"/>
      <c r="AG2602" s="1350"/>
      <c r="AH2602" s="1350"/>
      <c r="AI2602" s="1350"/>
      <c r="AJ2602" s="1350"/>
      <c r="AK2602" s="1350"/>
      <c r="AL2602" s="1350"/>
      <c r="AM2602" s="1350"/>
      <c r="AN2602" s="1350"/>
      <c r="AO2602" s="1350"/>
      <c r="AP2602" s="1350"/>
      <c r="AQ2602" s="1350"/>
      <c r="AR2602" s="1350"/>
      <c r="AS2602" s="1350"/>
      <c r="AT2602" s="1350"/>
      <c r="AU2602" s="1350"/>
      <c r="AV2602" s="1350"/>
      <c r="AW2602" s="1350"/>
      <c r="AX2602" s="1350"/>
      <c r="AY2602" s="1350"/>
      <c r="AZ2602" s="1350"/>
      <c r="BA2602" s="1070"/>
      <c r="BB2602" s="1070"/>
      <c r="BC2602" s="1070"/>
      <c r="BD2602" s="1070"/>
      <c r="BE2602" s="1070"/>
      <c r="BF2602" s="1070"/>
      <c r="BG2602" s="1070"/>
      <c r="BH2602" s="1070"/>
      <c r="BI2602" s="1070"/>
      <c r="BJ2602" s="1070"/>
      <c r="BK2602" s="1070"/>
      <c r="BL2602" s="1070"/>
      <c r="BM2602" s="1070"/>
      <c r="BN2602" s="1070"/>
      <c r="BO2602" s="1070"/>
      <c r="BP2602" s="1070"/>
      <c r="BQ2602" s="1070"/>
      <c r="BR2602" s="1070"/>
      <c r="BS2602" s="1070"/>
      <c r="BT2602" s="1070"/>
      <c r="BU2602" s="1070"/>
      <c r="BV2602" s="1070"/>
      <c r="BW2602" s="1070"/>
      <c r="BX2602" s="1070"/>
      <c r="BY2602" s="1070"/>
      <c r="BZ2602" s="1070"/>
      <c r="CA2602" s="1070"/>
      <c r="CB2602" s="1070"/>
      <c r="CC2602" s="1070"/>
      <c r="CD2602" s="1070"/>
      <c r="CE2602" s="1070"/>
      <c r="CF2602" s="1070"/>
      <c r="CG2602" s="1070"/>
      <c r="CH2602" s="1070"/>
      <c r="CI2602" s="1070"/>
      <c r="CJ2602" s="1070"/>
      <c r="CK2602" s="1070"/>
      <c r="CL2602" s="1070"/>
      <c r="CM2602" s="1070"/>
      <c r="CN2602" s="1070"/>
      <c r="CO2602" s="1070"/>
      <c r="CP2602" s="1070"/>
      <c r="CQ2602" s="1070"/>
      <c r="CR2602" s="1070"/>
      <c r="CS2602" s="1070"/>
      <c r="CT2602" s="1070"/>
      <c r="CU2602" s="1070"/>
      <c r="CV2602" s="1070"/>
      <c r="CW2602" s="1070"/>
      <c r="CX2602" s="1070"/>
      <c r="CY2602" s="1070"/>
      <c r="CZ2602" s="1070"/>
      <c r="DA2602" s="1070"/>
      <c r="DB2602" s="1070"/>
      <c r="DC2602" s="1070"/>
      <c r="DD2602" s="1070"/>
      <c r="DE2602" s="1070"/>
      <c r="DF2602" s="1070"/>
      <c r="DG2602" s="1070"/>
      <c r="DH2602" s="1070"/>
      <c r="DI2602" s="1070"/>
      <c r="DJ2602" s="1070"/>
    </row>
    <row r="2603" spans="1:114" s="1136" customFormat="1" ht="63" x14ac:dyDescent="0.25">
      <c r="A2603" s="1491" t="s">
        <v>3196</v>
      </c>
      <c r="B2603" s="1492">
        <f>B207</f>
        <v>1</v>
      </c>
      <c r="C2603" s="1470"/>
      <c r="D2603" s="1437"/>
      <c r="E2603" s="1437"/>
      <c r="F2603" s="1437"/>
      <c r="G2603" s="1437"/>
      <c r="H2603" s="1350"/>
      <c r="I2603" s="1350"/>
      <c r="J2603" s="1350"/>
      <c r="K2603" s="1350"/>
      <c r="L2603" s="1350"/>
      <c r="M2603" s="1350"/>
      <c r="N2603" s="1350"/>
      <c r="O2603" s="1350"/>
      <c r="P2603" s="1350"/>
      <c r="Q2603" s="1350"/>
      <c r="R2603" s="1350"/>
      <c r="S2603" s="1350"/>
      <c r="T2603" s="1350"/>
      <c r="U2603" s="1350"/>
      <c r="V2603" s="1350"/>
      <c r="W2603" s="1350"/>
      <c r="X2603" s="1350"/>
      <c r="Y2603" s="1350"/>
      <c r="Z2603" s="1350"/>
      <c r="AA2603" s="1350"/>
      <c r="AB2603" s="1350"/>
      <c r="AC2603" s="1350"/>
      <c r="AD2603" s="1350"/>
      <c r="AE2603" s="1350"/>
      <c r="AF2603" s="1350"/>
      <c r="AG2603" s="1350"/>
      <c r="AH2603" s="1350"/>
      <c r="AI2603" s="1350"/>
      <c r="AJ2603" s="1350"/>
      <c r="AK2603" s="1350"/>
      <c r="AL2603" s="1350"/>
      <c r="AM2603" s="1350"/>
      <c r="AN2603" s="1350"/>
      <c r="AO2603" s="1350"/>
      <c r="AP2603" s="1350"/>
      <c r="AQ2603" s="1350"/>
      <c r="AR2603" s="1350"/>
      <c r="AS2603" s="1350"/>
      <c r="AT2603" s="1350"/>
      <c r="AU2603" s="1350"/>
      <c r="AV2603" s="1350"/>
      <c r="AW2603" s="1350"/>
      <c r="AX2603" s="1350"/>
      <c r="AY2603" s="1350"/>
      <c r="AZ2603" s="1350"/>
      <c r="BA2603" s="1070"/>
      <c r="BB2603" s="1070"/>
      <c r="BC2603" s="1070"/>
      <c r="BD2603" s="1070"/>
      <c r="BE2603" s="1070"/>
      <c r="BF2603" s="1070"/>
      <c r="BG2603" s="1070"/>
      <c r="BH2603" s="1070"/>
      <c r="BI2603" s="1070"/>
      <c r="BJ2603" s="1070"/>
      <c r="BK2603" s="1070"/>
      <c r="BL2603" s="1070"/>
      <c r="BM2603" s="1070"/>
      <c r="BN2603" s="1070"/>
      <c r="BO2603" s="1070"/>
      <c r="BP2603" s="1070"/>
      <c r="BQ2603" s="1070"/>
      <c r="BR2603" s="1070"/>
      <c r="BS2603" s="1070"/>
      <c r="BT2603" s="1070"/>
      <c r="BU2603" s="1070"/>
      <c r="BV2603" s="1070"/>
      <c r="BW2603" s="1070"/>
      <c r="BX2603" s="1070"/>
      <c r="BY2603" s="1070"/>
      <c r="BZ2603" s="1070"/>
      <c r="CA2603" s="1070"/>
      <c r="CB2603" s="1070"/>
      <c r="CC2603" s="1070"/>
      <c r="CD2603" s="1070"/>
      <c r="CE2603" s="1070"/>
      <c r="CF2603" s="1070"/>
      <c r="CG2603" s="1070"/>
      <c r="CH2603" s="1070"/>
      <c r="CI2603" s="1070"/>
      <c r="CJ2603" s="1070"/>
      <c r="CK2603" s="1070"/>
      <c r="CL2603" s="1070"/>
      <c r="CM2603" s="1070"/>
      <c r="CN2603" s="1070"/>
      <c r="CO2603" s="1070"/>
      <c r="CP2603" s="1070"/>
      <c r="CQ2603" s="1070"/>
      <c r="CR2603" s="1070"/>
      <c r="CS2603" s="1070"/>
      <c r="CT2603" s="1070"/>
      <c r="CU2603" s="1070"/>
      <c r="CV2603" s="1070"/>
      <c r="CW2603" s="1070"/>
      <c r="CX2603" s="1070"/>
      <c r="CY2603" s="1070"/>
      <c r="CZ2603" s="1070"/>
      <c r="DA2603" s="1070"/>
      <c r="DB2603" s="1070"/>
      <c r="DC2603" s="1070"/>
      <c r="DD2603" s="1070"/>
      <c r="DE2603" s="1070"/>
      <c r="DF2603" s="1070"/>
      <c r="DG2603" s="1070"/>
      <c r="DH2603" s="1070"/>
      <c r="DI2603" s="1070"/>
      <c r="DJ2603" s="1070"/>
    </row>
    <row r="2604" spans="1:114" s="1136" customFormat="1" ht="15.75" x14ac:dyDescent="0.25">
      <c r="A2604" s="1489" t="s">
        <v>425</v>
      </c>
      <c r="B2604" s="1490">
        <f>IF(B2603&lt;2,B2607,IF(B2603&lt;3,B2606,B2608))</f>
        <v>8.68</v>
      </c>
      <c r="C2604" s="1432"/>
      <c r="D2604" s="1470"/>
      <c r="E2604" s="1470"/>
      <c r="F2604" s="1470"/>
      <c r="G2604" s="1470"/>
      <c r="H2604" s="1350"/>
      <c r="I2604" s="1350"/>
      <c r="J2604" s="1350"/>
      <c r="K2604" s="1350"/>
      <c r="L2604" s="1350"/>
      <c r="M2604" s="1350"/>
      <c r="N2604" s="1350"/>
      <c r="O2604" s="1350"/>
      <c r="P2604" s="1350"/>
      <c r="Q2604" s="1350"/>
      <c r="R2604" s="1350"/>
      <c r="S2604" s="1350"/>
      <c r="T2604" s="1350"/>
      <c r="U2604" s="1350"/>
      <c r="V2604" s="1350"/>
      <c r="W2604" s="1350"/>
      <c r="X2604" s="1350"/>
      <c r="Y2604" s="1350"/>
      <c r="Z2604" s="1350"/>
      <c r="AA2604" s="1350"/>
      <c r="AB2604" s="1350"/>
      <c r="AC2604" s="1350"/>
      <c r="AD2604" s="1350"/>
      <c r="AE2604" s="1350"/>
      <c r="AF2604" s="1350"/>
      <c r="AG2604" s="1350"/>
      <c r="AH2604" s="1350"/>
      <c r="AI2604" s="1350"/>
      <c r="AJ2604" s="1350"/>
      <c r="AK2604" s="1350"/>
      <c r="AL2604" s="1350"/>
      <c r="AM2604" s="1350"/>
      <c r="AN2604" s="1350"/>
      <c r="AO2604" s="1350"/>
      <c r="AP2604" s="1350"/>
      <c r="AQ2604" s="1350"/>
      <c r="AR2604" s="1350"/>
      <c r="AS2604" s="1350"/>
      <c r="AT2604" s="1350"/>
      <c r="AU2604" s="1350"/>
      <c r="AV2604" s="1350"/>
      <c r="AW2604" s="1350"/>
      <c r="AX2604" s="1350"/>
      <c r="AY2604" s="1350"/>
      <c r="AZ2604" s="1350"/>
      <c r="BA2604" s="1070"/>
      <c r="BB2604" s="1070"/>
      <c r="BC2604" s="1070"/>
      <c r="BD2604" s="1070"/>
      <c r="BE2604" s="1070"/>
      <c r="BF2604" s="1070"/>
      <c r="BG2604" s="1070"/>
      <c r="BH2604" s="1070"/>
      <c r="BI2604" s="1070"/>
      <c r="BJ2604" s="1070"/>
      <c r="BK2604" s="1070"/>
      <c r="BL2604" s="1070"/>
      <c r="BM2604" s="1070"/>
      <c r="BN2604" s="1070"/>
      <c r="BO2604" s="1070"/>
      <c r="BP2604" s="1070"/>
      <c r="BQ2604" s="1070"/>
      <c r="BR2604" s="1070"/>
      <c r="BS2604" s="1070"/>
      <c r="BT2604" s="1070"/>
      <c r="BU2604" s="1070"/>
      <c r="BV2604" s="1070"/>
      <c r="BW2604" s="1070"/>
      <c r="BX2604" s="1070"/>
      <c r="BY2604" s="1070"/>
      <c r="BZ2604" s="1070"/>
      <c r="CA2604" s="1070"/>
      <c r="CB2604" s="1070"/>
      <c r="CC2604" s="1070"/>
      <c r="CD2604" s="1070"/>
      <c r="CE2604" s="1070"/>
      <c r="CF2604" s="1070"/>
      <c r="CG2604" s="1070"/>
      <c r="CH2604" s="1070"/>
      <c r="CI2604" s="1070"/>
      <c r="CJ2604" s="1070"/>
      <c r="CK2604" s="1070"/>
      <c r="CL2604" s="1070"/>
      <c r="CM2604" s="1070"/>
      <c r="CN2604" s="1070"/>
      <c r="CO2604" s="1070"/>
      <c r="CP2604" s="1070"/>
      <c r="CQ2604" s="1070"/>
      <c r="CR2604" s="1070"/>
      <c r="CS2604" s="1070"/>
      <c r="CT2604" s="1070"/>
      <c r="CU2604" s="1070"/>
      <c r="CV2604" s="1070"/>
      <c r="CW2604" s="1070"/>
      <c r="CX2604" s="1070"/>
      <c r="CY2604" s="1070"/>
      <c r="CZ2604" s="1070"/>
      <c r="DA2604" s="1070"/>
      <c r="DB2604" s="1070"/>
      <c r="DC2604" s="1070"/>
      <c r="DD2604" s="1070"/>
      <c r="DE2604" s="1070"/>
      <c r="DF2604" s="1070"/>
      <c r="DG2604" s="1070"/>
      <c r="DH2604" s="1070"/>
      <c r="DI2604" s="1070"/>
      <c r="DJ2604" s="1070"/>
    </row>
    <row r="2605" spans="1:114" s="1136" customFormat="1" ht="15.75" x14ac:dyDescent="0.25">
      <c r="A2605" s="1493" t="s">
        <v>3001</v>
      </c>
      <c r="B2605" s="1494"/>
      <c r="C2605" s="1454"/>
      <c r="D2605" s="1437"/>
      <c r="E2605" s="1437"/>
      <c r="F2605" s="1437"/>
      <c r="G2605" s="1437"/>
      <c r="H2605" s="1350"/>
      <c r="I2605" s="1350"/>
      <c r="J2605" s="1350"/>
      <c r="K2605" s="1350"/>
      <c r="L2605" s="1350"/>
      <c r="M2605" s="1350"/>
      <c r="N2605" s="1350"/>
      <c r="O2605" s="1350"/>
      <c r="P2605" s="1350"/>
      <c r="Q2605" s="1350"/>
      <c r="R2605" s="1350"/>
      <c r="S2605" s="1350"/>
      <c r="T2605" s="1350"/>
      <c r="U2605" s="1350"/>
      <c r="V2605" s="1350"/>
      <c r="W2605" s="1350"/>
      <c r="X2605" s="1350"/>
      <c r="Y2605" s="1350"/>
      <c r="Z2605" s="1350"/>
      <c r="AA2605" s="1350"/>
      <c r="AB2605" s="1350"/>
      <c r="AC2605" s="1350"/>
      <c r="AD2605" s="1350"/>
      <c r="AE2605" s="1350"/>
      <c r="AF2605" s="1350"/>
      <c r="AG2605" s="1350"/>
      <c r="AH2605" s="1350"/>
      <c r="AI2605" s="1350"/>
      <c r="AJ2605" s="1350"/>
      <c r="AK2605" s="1350"/>
      <c r="AL2605" s="1350"/>
      <c r="AM2605" s="1350"/>
      <c r="AN2605" s="1350"/>
      <c r="AO2605" s="1350"/>
      <c r="AP2605" s="1350"/>
      <c r="AQ2605" s="1350"/>
      <c r="AR2605" s="1350"/>
      <c r="AS2605" s="1350"/>
      <c r="AT2605" s="1350"/>
      <c r="AU2605" s="1350"/>
      <c r="AV2605" s="1350"/>
      <c r="AW2605" s="1350"/>
      <c r="AX2605" s="1350"/>
      <c r="AY2605" s="1350"/>
      <c r="AZ2605" s="1350"/>
      <c r="BA2605" s="1070"/>
      <c r="BB2605" s="1070"/>
      <c r="BC2605" s="1070"/>
      <c r="BD2605" s="1070"/>
      <c r="BE2605" s="1070"/>
      <c r="BF2605" s="1070"/>
      <c r="BG2605" s="1070"/>
      <c r="BH2605" s="1070"/>
      <c r="BI2605" s="1070"/>
      <c r="BJ2605" s="1070"/>
      <c r="BK2605" s="1070"/>
      <c r="BL2605" s="1070"/>
      <c r="BM2605" s="1070"/>
      <c r="BN2605" s="1070"/>
      <c r="BO2605" s="1070"/>
      <c r="BP2605" s="1070"/>
      <c r="BQ2605" s="1070"/>
      <c r="BR2605" s="1070"/>
      <c r="BS2605" s="1070"/>
      <c r="BT2605" s="1070"/>
      <c r="BU2605" s="1070"/>
      <c r="BV2605" s="1070"/>
      <c r="BW2605" s="1070"/>
      <c r="BX2605" s="1070"/>
      <c r="BY2605" s="1070"/>
      <c r="BZ2605" s="1070"/>
      <c r="CA2605" s="1070"/>
      <c r="CB2605" s="1070"/>
      <c r="CC2605" s="1070"/>
      <c r="CD2605" s="1070"/>
      <c r="CE2605" s="1070"/>
      <c r="CF2605" s="1070"/>
      <c r="CG2605" s="1070"/>
      <c r="CH2605" s="1070"/>
      <c r="CI2605" s="1070"/>
      <c r="CJ2605" s="1070"/>
      <c r="CK2605" s="1070"/>
      <c r="CL2605" s="1070"/>
      <c r="CM2605" s="1070"/>
      <c r="CN2605" s="1070"/>
      <c r="CO2605" s="1070"/>
      <c r="CP2605" s="1070"/>
      <c r="CQ2605" s="1070"/>
      <c r="CR2605" s="1070"/>
      <c r="CS2605" s="1070"/>
      <c r="CT2605" s="1070"/>
      <c r="CU2605" s="1070"/>
      <c r="CV2605" s="1070"/>
      <c r="CW2605" s="1070"/>
      <c r="CX2605" s="1070"/>
      <c r="CY2605" s="1070"/>
      <c r="CZ2605" s="1070"/>
      <c r="DA2605" s="1070"/>
      <c r="DB2605" s="1070"/>
      <c r="DC2605" s="1070"/>
      <c r="DD2605" s="1070"/>
      <c r="DE2605" s="1070"/>
      <c r="DF2605" s="1070"/>
      <c r="DG2605" s="1070"/>
      <c r="DH2605" s="1070"/>
      <c r="DI2605" s="1070"/>
      <c r="DJ2605" s="1070"/>
    </row>
    <row r="2606" spans="1:114" s="1136" customFormat="1" ht="15.75" x14ac:dyDescent="0.25">
      <c r="A2606" s="1489" t="s">
        <v>5112</v>
      </c>
      <c r="B2606" s="1490">
        <f>IF(B267&lt;6.01,11.5,IF(B267&lt;8.01,9.41,IF(B267&lt;10.01,7.87,IF(B267&lt;12.01,6.5,IF(B267&lt;14.01,5.66,IF(B267&lt;16.01,4.84,IF(B267&lt;18.01,4.08,3.5)))))))</f>
        <v>11.5</v>
      </c>
      <c r="C2606" s="1432"/>
      <c r="D2606" s="1454"/>
      <c r="E2606" s="1454"/>
      <c r="F2606" s="1454"/>
      <c r="G2606" s="1454"/>
      <c r="H2606" s="1350"/>
      <c r="I2606" s="1350"/>
      <c r="J2606" s="1350"/>
      <c r="K2606" s="1350"/>
      <c r="L2606" s="1350"/>
      <c r="M2606" s="1350"/>
      <c r="N2606" s="1350"/>
      <c r="O2606" s="1350"/>
      <c r="P2606" s="1350"/>
      <c r="Q2606" s="1350"/>
      <c r="R2606" s="1350"/>
      <c r="S2606" s="1350"/>
      <c r="T2606" s="1350"/>
      <c r="U2606" s="1350"/>
      <c r="V2606" s="1350"/>
      <c r="W2606" s="1350"/>
      <c r="X2606" s="1350"/>
      <c r="Y2606" s="1350"/>
      <c r="Z2606" s="1350"/>
      <c r="AA2606" s="1350"/>
      <c r="AB2606" s="1350"/>
      <c r="AC2606" s="1350"/>
      <c r="AD2606" s="1350"/>
      <c r="AE2606" s="1350"/>
      <c r="AF2606" s="1350"/>
      <c r="AG2606" s="1350"/>
      <c r="AH2606" s="1350"/>
      <c r="AI2606" s="1350"/>
      <c r="AJ2606" s="1350"/>
      <c r="AK2606" s="1350"/>
      <c r="AL2606" s="1350"/>
      <c r="AM2606" s="1350"/>
      <c r="AN2606" s="1350"/>
      <c r="AO2606" s="1350"/>
      <c r="AP2606" s="1350"/>
      <c r="AQ2606" s="1350"/>
      <c r="AR2606" s="1350"/>
      <c r="AS2606" s="1350"/>
      <c r="AT2606" s="1350"/>
      <c r="AU2606" s="1350"/>
      <c r="AV2606" s="1350"/>
      <c r="AW2606" s="1350"/>
      <c r="AX2606" s="1350"/>
      <c r="AY2606" s="1350"/>
      <c r="AZ2606" s="1350"/>
      <c r="BA2606" s="1070"/>
      <c r="BB2606" s="1070"/>
      <c r="BC2606" s="1070"/>
      <c r="BD2606" s="1070"/>
      <c r="BE2606" s="1070"/>
      <c r="BF2606" s="1070"/>
      <c r="BG2606" s="1070"/>
      <c r="BH2606" s="1070"/>
      <c r="BI2606" s="1070"/>
      <c r="BJ2606" s="1070"/>
      <c r="BK2606" s="1070"/>
      <c r="BL2606" s="1070"/>
      <c r="BM2606" s="1070"/>
      <c r="BN2606" s="1070"/>
      <c r="BO2606" s="1070"/>
      <c r="BP2606" s="1070"/>
      <c r="BQ2606" s="1070"/>
      <c r="BR2606" s="1070"/>
      <c r="BS2606" s="1070"/>
      <c r="BT2606" s="1070"/>
      <c r="BU2606" s="1070"/>
      <c r="BV2606" s="1070"/>
      <c r="BW2606" s="1070"/>
      <c r="BX2606" s="1070"/>
      <c r="BY2606" s="1070"/>
      <c r="BZ2606" s="1070"/>
      <c r="CA2606" s="1070"/>
      <c r="CB2606" s="1070"/>
      <c r="CC2606" s="1070"/>
      <c r="CD2606" s="1070"/>
      <c r="CE2606" s="1070"/>
      <c r="CF2606" s="1070"/>
      <c r="CG2606" s="1070"/>
      <c r="CH2606" s="1070"/>
      <c r="CI2606" s="1070"/>
      <c r="CJ2606" s="1070"/>
      <c r="CK2606" s="1070"/>
      <c r="CL2606" s="1070"/>
      <c r="CM2606" s="1070"/>
      <c r="CN2606" s="1070"/>
      <c r="CO2606" s="1070"/>
      <c r="CP2606" s="1070"/>
      <c r="CQ2606" s="1070"/>
      <c r="CR2606" s="1070"/>
      <c r="CS2606" s="1070"/>
      <c r="CT2606" s="1070"/>
      <c r="CU2606" s="1070"/>
      <c r="CV2606" s="1070"/>
      <c r="CW2606" s="1070"/>
      <c r="CX2606" s="1070"/>
      <c r="CY2606" s="1070"/>
      <c r="CZ2606" s="1070"/>
      <c r="DA2606" s="1070"/>
      <c r="DB2606" s="1070"/>
      <c r="DC2606" s="1070"/>
      <c r="DD2606" s="1070"/>
      <c r="DE2606" s="1070"/>
      <c r="DF2606" s="1070"/>
      <c r="DG2606" s="1070"/>
      <c r="DH2606" s="1070"/>
      <c r="DI2606" s="1070"/>
      <c r="DJ2606" s="1070"/>
    </row>
    <row r="2607" spans="1:114" s="1136" customFormat="1" ht="15.75" x14ac:dyDescent="0.25">
      <c r="A2607" s="1489" t="s">
        <v>5113</v>
      </c>
      <c r="B2607" s="1490">
        <f>IF(B267&lt;6.01,8.68,IF(B267&lt;8.01,7.4,IF(B267&lt;10.01,6.28,IF(B267&lt;12.01,5.38,IF(B267&lt;14.01,4.7,IF(B267&lt;16.01,4.24,IF(B267&lt;18.01,3.71,3.37)))))))</f>
        <v>8.68</v>
      </c>
      <c r="C2607" s="1432"/>
      <c r="D2607" s="1454"/>
      <c r="E2607" s="1454"/>
      <c r="F2607" s="1454"/>
      <c r="G2607" s="1454"/>
      <c r="H2607" s="1350"/>
      <c r="I2607" s="1350"/>
      <c r="J2607" s="1350"/>
      <c r="K2607" s="1350"/>
      <c r="L2607" s="1350"/>
      <c r="M2607" s="1350"/>
      <c r="N2607" s="1350"/>
      <c r="O2607" s="1350"/>
      <c r="P2607" s="1350"/>
      <c r="Q2607" s="1350"/>
      <c r="R2607" s="1350"/>
      <c r="S2607" s="1350"/>
      <c r="T2607" s="1350"/>
      <c r="U2607" s="1350"/>
      <c r="V2607" s="1350"/>
      <c r="W2607" s="1350"/>
      <c r="X2607" s="1350"/>
      <c r="Y2607" s="1350"/>
      <c r="Z2607" s="1350"/>
      <c r="AA2607" s="1350"/>
      <c r="AB2607" s="1350"/>
      <c r="AC2607" s="1350"/>
      <c r="AD2607" s="1350"/>
      <c r="AE2607" s="1350"/>
      <c r="AF2607" s="1350"/>
      <c r="AG2607" s="1350"/>
      <c r="AH2607" s="1350"/>
      <c r="AI2607" s="1350"/>
      <c r="AJ2607" s="1350"/>
      <c r="AK2607" s="1350"/>
      <c r="AL2607" s="1350"/>
      <c r="AM2607" s="1350"/>
      <c r="AN2607" s="1350"/>
      <c r="AO2607" s="1350"/>
      <c r="AP2607" s="1350"/>
      <c r="AQ2607" s="1350"/>
      <c r="AR2607" s="1350"/>
      <c r="AS2607" s="1350"/>
      <c r="AT2607" s="1350"/>
      <c r="AU2607" s="1350"/>
      <c r="AV2607" s="1350"/>
      <c r="AW2607" s="1350"/>
      <c r="AX2607" s="1350"/>
      <c r="AY2607" s="1350"/>
      <c r="AZ2607" s="1350"/>
      <c r="BA2607" s="1070"/>
      <c r="BB2607" s="1070"/>
      <c r="BC2607" s="1070"/>
      <c r="BD2607" s="1070"/>
      <c r="BE2607" s="1070"/>
      <c r="BF2607" s="1070"/>
      <c r="BG2607" s="1070"/>
      <c r="BH2607" s="1070"/>
      <c r="BI2607" s="1070"/>
      <c r="BJ2607" s="1070"/>
      <c r="BK2607" s="1070"/>
      <c r="BL2607" s="1070"/>
      <c r="BM2607" s="1070"/>
      <c r="BN2607" s="1070"/>
      <c r="BO2607" s="1070"/>
      <c r="BP2607" s="1070"/>
      <c r="BQ2607" s="1070"/>
      <c r="BR2607" s="1070"/>
      <c r="BS2607" s="1070"/>
      <c r="BT2607" s="1070"/>
      <c r="BU2607" s="1070"/>
      <c r="BV2607" s="1070"/>
      <c r="BW2607" s="1070"/>
      <c r="BX2607" s="1070"/>
      <c r="BY2607" s="1070"/>
      <c r="BZ2607" s="1070"/>
      <c r="CA2607" s="1070"/>
      <c r="CB2607" s="1070"/>
      <c r="CC2607" s="1070"/>
      <c r="CD2607" s="1070"/>
      <c r="CE2607" s="1070"/>
      <c r="CF2607" s="1070"/>
      <c r="CG2607" s="1070"/>
      <c r="CH2607" s="1070"/>
      <c r="CI2607" s="1070"/>
      <c r="CJ2607" s="1070"/>
      <c r="CK2607" s="1070"/>
      <c r="CL2607" s="1070"/>
      <c r="CM2607" s="1070"/>
      <c r="CN2607" s="1070"/>
      <c r="CO2607" s="1070"/>
      <c r="CP2607" s="1070"/>
      <c r="CQ2607" s="1070"/>
      <c r="CR2607" s="1070"/>
      <c r="CS2607" s="1070"/>
      <c r="CT2607" s="1070"/>
      <c r="CU2607" s="1070"/>
      <c r="CV2607" s="1070"/>
      <c r="CW2607" s="1070"/>
      <c r="CX2607" s="1070"/>
      <c r="CY2607" s="1070"/>
      <c r="CZ2607" s="1070"/>
      <c r="DA2607" s="1070"/>
      <c r="DB2607" s="1070"/>
      <c r="DC2607" s="1070"/>
      <c r="DD2607" s="1070"/>
      <c r="DE2607" s="1070"/>
      <c r="DF2607" s="1070"/>
      <c r="DG2607" s="1070"/>
      <c r="DH2607" s="1070"/>
      <c r="DI2607" s="1070"/>
      <c r="DJ2607" s="1070"/>
    </row>
    <row r="2608" spans="1:114" s="1136" customFormat="1" ht="15.75" x14ac:dyDescent="0.25">
      <c r="A2608" s="1489" t="s">
        <v>5114</v>
      </c>
      <c r="B2608" s="1490">
        <f>IF(B267&lt;6.01,6.32,IF(B267&lt;8.01,5.69,IF(B267&lt;10.01,4.97,IF(B267&lt;12.01,4.34,IF(B267&lt;14.01,3.97,IF(B267&lt;16.01,3.62,IF(B267&lt;18.01,3.29,2.98)))))))</f>
        <v>6.32</v>
      </c>
      <c r="C2608" s="1432"/>
      <c r="D2608" s="1454"/>
      <c r="E2608" s="1454"/>
      <c r="F2608" s="1454"/>
      <c r="G2608" s="1454"/>
      <c r="H2608" s="1350"/>
      <c r="I2608" s="1350"/>
      <c r="J2608" s="1350"/>
      <c r="K2608" s="1350"/>
      <c r="L2608" s="1350"/>
      <c r="M2608" s="1350"/>
      <c r="N2608" s="1350"/>
      <c r="O2608" s="1350"/>
      <c r="P2608" s="1350"/>
      <c r="Q2608" s="1350"/>
      <c r="R2608" s="1350"/>
      <c r="S2608" s="1350"/>
      <c r="T2608" s="1350"/>
      <c r="U2608" s="1350"/>
      <c r="V2608" s="1350"/>
      <c r="W2608" s="1350"/>
      <c r="X2608" s="1350"/>
      <c r="Y2608" s="1350"/>
      <c r="Z2608" s="1350"/>
      <c r="AA2608" s="1350"/>
      <c r="AB2608" s="1350"/>
      <c r="AC2608" s="1350"/>
      <c r="AD2608" s="1350"/>
      <c r="AE2608" s="1350"/>
      <c r="AF2608" s="1350"/>
      <c r="AG2608" s="1350"/>
      <c r="AH2608" s="1350"/>
      <c r="AI2608" s="1350"/>
      <c r="AJ2608" s="1350"/>
      <c r="AK2608" s="1350"/>
      <c r="AL2608" s="1350"/>
      <c r="AM2608" s="1350"/>
      <c r="AN2608" s="1350"/>
      <c r="AO2608" s="1350"/>
      <c r="AP2608" s="1350"/>
      <c r="AQ2608" s="1350"/>
      <c r="AR2608" s="1350"/>
      <c r="AS2608" s="1350"/>
      <c r="AT2608" s="1350"/>
      <c r="AU2608" s="1350"/>
      <c r="AV2608" s="1350"/>
      <c r="AW2608" s="1350"/>
      <c r="AX2608" s="1350"/>
      <c r="AY2608" s="1350"/>
      <c r="AZ2608" s="1350"/>
      <c r="BA2608" s="1070"/>
      <c r="BB2608" s="1070"/>
      <c r="BC2608" s="1070"/>
      <c r="BD2608" s="1070"/>
      <c r="BE2608" s="1070"/>
      <c r="BF2608" s="1070"/>
      <c r="BG2608" s="1070"/>
      <c r="BH2608" s="1070"/>
      <c r="BI2608" s="1070"/>
      <c r="BJ2608" s="1070"/>
      <c r="BK2608" s="1070"/>
      <c r="BL2608" s="1070"/>
      <c r="BM2608" s="1070"/>
      <c r="BN2608" s="1070"/>
      <c r="BO2608" s="1070"/>
      <c r="BP2608" s="1070"/>
      <c r="BQ2608" s="1070"/>
      <c r="BR2608" s="1070"/>
      <c r="BS2608" s="1070"/>
      <c r="BT2608" s="1070"/>
      <c r="BU2608" s="1070"/>
      <c r="BV2608" s="1070"/>
      <c r="BW2608" s="1070"/>
      <c r="BX2608" s="1070"/>
      <c r="BY2608" s="1070"/>
      <c r="BZ2608" s="1070"/>
      <c r="CA2608" s="1070"/>
      <c r="CB2608" s="1070"/>
      <c r="CC2608" s="1070"/>
      <c r="CD2608" s="1070"/>
      <c r="CE2608" s="1070"/>
      <c r="CF2608" s="1070"/>
      <c r="CG2608" s="1070"/>
      <c r="CH2608" s="1070"/>
      <c r="CI2608" s="1070"/>
      <c r="CJ2608" s="1070"/>
      <c r="CK2608" s="1070"/>
      <c r="CL2608" s="1070"/>
      <c r="CM2608" s="1070"/>
      <c r="CN2608" s="1070"/>
      <c r="CO2608" s="1070"/>
      <c r="CP2608" s="1070"/>
      <c r="CQ2608" s="1070"/>
      <c r="CR2608" s="1070"/>
      <c r="CS2608" s="1070"/>
      <c r="CT2608" s="1070"/>
      <c r="CU2608" s="1070"/>
      <c r="CV2608" s="1070"/>
      <c r="CW2608" s="1070"/>
      <c r="CX2608" s="1070"/>
      <c r="CY2608" s="1070"/>
      <c r="CZ2608" s="1070"/>
      <c r="DA2608" s="1070"/>
      <c r="DB2608" s="1070"/>
      <c r="DC2608" s="1070"/>
      <c r="DD2608" s="1070"/>
      <c r="DE2608" s="1070"/>
      <c r="DF2608" s="1070"/>
      <c r="DG2608" s="1070"/>
      <c r="DH2608" s="1070"/>
      <c r="DI2608" s="1070"/>
      <c r="DJ2608" s="1070"/>
    </row>
    <row r="2609" spans="1:114" s="1136" customFormat="1" ht="31.5" x14ac:dyDescent="0.25">
      <c r="A2609" s="1495" t="s">
        <v>3427</v>
      </c>
      <c r="B2609" s="1496"/>
      <c r="C2609" s="1454"/>
      <c r="D2609" s="1432"/>
      <c r="E2609" s="1432"/>
      <c r="F2609" s="1432"/>
      <c r="G2609" s="1432"/>
      <c r="H2609" s="1350"/>
      <c r="I2609" s="1350"/>
      <c r="J2609" s="1350"/>
      <c r="K2609" s="1350"/>
      <c r="L2609" s="1350"/>
      <c r="M2609" s="1350"/>
      <c r="N2609" s="1350"/>
      <c r="O2609" s="1350"/>
      <c r="P2609" s="1350"/>
      <c r="Q2609" s="1350"/>
      <c r="R2609" s="1350"/>
      <c r="S2609" s="1350"/>
      <c r="T2609" s="1350"/>
      <c r="U2609" s="1350"/>
      <c r="V2609" s="1350"/>
      <c r="W2609" s="1350"/>
      <c r="X2609" s="1350"/>
      <c r="Y2609" s="1350"/>
      <c r="Z2609" s="1350"/>
      <c r="AA2609" s="1350"/>
      <c r="AB2609" s="1350"/>
      <c r="AC2609" s="1350"/>
      <c r="AD2609" s="1350"/>
      <c r="AE2609" s="1350"/>
      <c r="AF2609" s="1350"/>
      <c r="AG2609" s="1350"/>
      <c r="AH2609" s="1350"/>
      <c r="AI2609" s="1350"/>
      <c r="AJ2609" s="1350"/>
      <c r="AK2609" s="1350"/>
      <c r="AL2609" s="1350"/>
      <c r="AM2609" s="1350"/>
      <c r="AN2609" s="1350"/>
      <c r="AO2609" s="1350"/>
      <c r="AP2609" s="1350"/>
      <c r="AQ2609" s="1350"/>
      <c r="AR2609" s="1350"/>
      <c r="AS2609" s="1350"/>
      <c r="AT2609" s="1350"/>
      <c r="AU2609" s="1350"/>
      <c r="AV2609" s="1350"/>
      <c r="AW2609" s="1350"/>
      <c r="AX2609" s="1350"/>
      <c r="AY2609" s="1350"/>
      <c r="AZ2609" s="1350"/>
      <c r="BA2609" s="1070"/>
      <c r="BB2609" s="1070"/>
      <c r="BC2609" s="1070"/>
      <c r="BD2609" s="1070"/>
      <c r="BE2609" s="1070"/>
      <c r="BF2609" s="1070"/>
      <c r="BG2609" s="1070"/>
      <c r="BH2609" s="1070"/>
      <c r="BI2609" s="1070"/>
      <c r="BJ2609" s="1070"/>
      <c r="BK2609" s="1070"/>
      <c r="BL2609" s="1070"/>
      <c r="BM2609" s="1070"/>
      <c r="BN2609" s="1070"/>
      <c r="BO2609" s="1070"/>
      <c r="BP2609" s="1070"/>
      <c r="BQ2609" s="1070"/>
      <c r="BR2609" s="1070"/>
      <c r="BS2609" s="1070"/>
      <c r="BT2609" s="1070"/>
      <c r="BU2609" s="1070"/>
      <c r="BV2609" s="1070"/>
      <c r="BW2609" s="1070"/>
      <c r="BX2609" s="1070"/>
      <c r="BY2609" s="1070"/>
      <c r="BZ2609" s="1070"/>
      <c r="CA2609" s="1070"/>
      <c r="CB2609" s="1070"/>
      <c r="CC2609" s="1070"/>
      <c r="CD2609" s="1070"/>
      <c r="CE2609" s="1070"/>
      <c r="CF2609" s="1070"/>
      <c r="CG2609" s="1070"/>
      <c r="CH2609" s="1070"/>
      <c r="CI2609" s="1070"/>
      <c r="CJ2609" s="1070"/>
      <c r="CK2609" s="1070"/>
      <c r="CL2609" s="1070"/>
      <c r="CM2609" s="1070"/>
      <c r="CN2609" s="1070"/>
      <c r="CO2609" s="1070"/>
      <c r="CP2609" s="1070"/>
      <c r="CQ2609" s="1070"/>
      <c r="CR2609" s="1070"/>
      <c r="CS2609" s="1070"/>
      <c r="CT2609" s="1070"/>
      <c r="CU2609" s="1070"/>
      <c r="CV2609" s="1070"/>
      <c r="CW2609" s="1070"/>
      <c r="CX2609" s="1070"/>
      <c r="CY2609" s="1070"/>
      <c r="CZ2609" s="1070"/>
      <c r="DA2609" s="1070"/>
      <c r="DB2609" s="1070"/>
      <c r="DC2609" s="1070"/>
      <c r="DD2609" s="1070"/>
      <c r="DE2609" s="1070"/>
      <c r="DF2609" s="1070"/>
      <c r="DG2609" s="1070"/>
      <c r="DH2609" s="1070"/>
      <c r="DI2609" s="1070"/>
      <c r="DJ2609" s="1070"/>
    </row>
    <row r="2610" spans="1:114" s="1136" customFormat="1" ht="15.75" x14ac:dyDescent="0.25">
      <c r="A2610" s="1497" t="s">
        <v>3195</v>
      </c>
      <c r="B2610" s="1434">
        <f>B208</f>
        <v>0</v>
      </c>
      <c r="C2610" s="1470"/>
      <c r="D2610" s="1470"/>
      <c r="E2610" s="1470"/>
      <c r="F2610" s="1470"/>
      <c r="G2610" s="1470"/>
      <c r="H2610" s="1350"/>
      <c r="I2610" s="1350"/>
      <c r="J2610" s="1350"/>
      <c r="K2610" s="1350"/>
      <c r="L2610" s="1350"/>
      <c r="M2610" s="1350"/>
      <c r="N2610" s="1350"/>
      <c r="O2610" s="1350"/>
      <c r="P2610" s="1350"/>
      <c r="Q2610" s="1350"/>
      <c r="R2610" s="1350"/>
      <c r="S2610" s="1350"/>
      <c r="T2610" s="1350"/>
      <c r="U2610" s="1350"/>
      <c r="V2610" s="1350"/>
      <c r="W2610" s="1350"/>
      <c r="X2610" s="1350"/>
      <c r="Y2610" s="1350"/>
      <c r="Z2610" s="1350"/>
      <c r="AA2610" s="1350"/>
      <c r="AB2610" s="1350"/>
      <c r="AC2610" s="1350"/>
      <c r="AD2610" s="1350"/>
      <c r="AE2610" s="1350"/>
      <c r="AF2610" s="1350"/>
      <c r="AG2610" s="1350"/>
      <c r="AH2610" s="1350"/>
      <c r="AI2610" s="1350"/>
      <c r="AJ2610" s="1350"/>
      <c r="AK2610" s="1350"/>
      <c r="AL2610" s="1350"/>
      <c r="AM2610" s="1350"/>
      <c r="AN2610" s="1350"/>
      <c r="AO2610" s="1350"/>
      <c r="AP2610" s="1350"/>
      <c r="AQ2610" s="1350"/>
      <c r="AR2610" s="1350"/>
      <c r="AS2610" s="1350"/>
      <c r="AT2610" s="1350"/>
      <c r="AU2610" s="1350"/>
      <c r="AV2610" s="1350"/>
      <c r="AW2610" s="1350"/>
      <c r="AX2610" s="1350"/>
      <c r="AY2610" s="1350"/>
      <c r="AZ2610" s="1350"/>
      <c r="BA2610" s="1070"/>
      <c r="BB2610" s="1070"/>
      <c r="BC2610" s="1070"/>
      <c r="BD2610" s="1070"/>
      <c r="BE2610" s="1070"/>
      <c r="BF2610" s="1070"/>
      <c r="BG2610" s="1070"/>
      <c r="BH2610" s="1070"/>
      <c r="BI2610" s="1070"/>
      <c r="BJ2610" s="1070"/>
      <c r="BK2610" s="1070"/>
      <c r="BL2610" s="1070"/>
      <c r="BM2610" s="1070"/>
      <c r="BN2610" s="1070"/>
      <c r="BO2610" s="1070"/>
      <c r="BP2610" s="1070"/>
      <c r="BQ2610" s="1070"/>
      <c r="BR2610" s="1070"/>
      <c r="BS2610" s="1070"/>
      <c r="BT2610" s="1070"/>
      <c r="BU2610" s="1070"/>
      <c r="BV2610" s="1070"/>
      <c r="BW2610" s="1070"/>
      <c r="BX2610" s="1070"/>
      <c r="BY2610" s="1070"/>
      <c r="BZ2610" s="1070"/>
      <c r="CA2610" s="1070"/>
      <c r="CB2610" s="1070"/>
      <c r="CC2610" s="1070"/>
      <c r="CD2610" s="1070"/>
      <c r="CE2610" s="1070"/>
      <c r="CF2610" s="1070"/>
      <c r="CG2610" s="1070"/>
      <c r="CH2610" s="1070"/>
      <c r="CI2610" s="1070"/>
      <c r="CJ2610" s="1070"/>
      <c r="CK2610" s="1070"/>
      <c r="CL2610" s="1070"/>
      <c r="CM2610" s="1070"/>
      <c r="CN2610" s="1070"/>
      <c r="CO2610" s="1070"/>
      <c r="CP2610" s="1070"/>
      <c r="CQ2610" s="1070"/>
      <c r="CR2610" s="1070"/>
      <c r="CS2610" s="1070"/>
      <c r="CT2610" s="1070"/>
      <c r="CU2610" s="1070"/>
      <c r="CV2610" s="1070"/>
      <c r="CW2610" s="1070"/>
      <c r="CX2610" s="1070"/>
      <c r="CY2610" s="1070"/>
      <c r="CZ2610" s="1070"/>
      <c r="DA2610" s="1070"/>
      <c r="DB2610" s="1070"/>
      <c r="DC2610" s="1070"/>
      <c r="DD2610" s="1070"/>
      <c r="DE2610" s="1070"/>
      <c r="DF2610" s="1070"/>
      <c r="DG2610" s="1070"/>
      <c r="DH2610" s="1070"/>
      <c r="DI2610" s="1070"/>
      <c r="DJ2610" s="1070"/>
    </row>
    <row r="2611" spans="1:114" s="1136" customFormat="1" ht="15.75" x14ac:dyDescent="0.25">
      <c r="A2611" s="1498" t="s">
        <v>3428</v>
      </c>
      <c r="B2611" s="1499">
        <f>IF(B2610=1,1,0.85)</f>
        <v>0.85</v>
      </c>
      <c r="C2611" s="1437"/>
      <c r="D2611" s="1432"/>
      <c r="E2611" s="1432"/>
      <c r="F2611" s="1432"/>
      <c r="G2611" s="1432"/>
      <c r="H2611" s="1350"/>
      <c r="I2611" s="1350"/>
      <c r="J2611" s="1350"/>
      <c r="K2611" s="1350"/>
      <c r="L2611" s="1350"/>
      <c r="M2611" s="1350"/>
      <c r="N2611" s="1350"/>
      <c r="O2611" s="1350"/>
      <c r="P2611" s="1350"/>
      <c r="Q2611" s="1350"/>
      <c r="R2611" s="1350"/>
      <c r="S2611" s="1350"/>
      <c r="T2611" s="1350"/>
      <c r="U2611" s="1350"/>
      <c r="V2611" s="1350"/>
      <c r="W2611" s="1350"/>
      <c r="X2611" s="1350"/>
      <c r="Y2611" s="1350"/>
      <c r="Z2611" s="1350"/>
      <c r="AA2611" s="1350"/>
      <c r="AB2611" s="1350"/>
      <c r="AC2611" s="1350"/>
      <c r="AD2611" s="1350"/>
      <c r="AE2611" s="1350"/>
      <c r="AF2611" s="1350"/>
      <c r="AG2611" s="1350"/>
      <c r="AH2611" s="1350"/>
      <c r="AI2611" s="1350"/>
      <c r="AJ2611" s="1350"/>
      <c r="AK2611" s="1350"/>
      <c r="AL2611" s="1350"/>
      <c r="AM2611" s="1350"/>
      <c r="AN2611" s="1350"/>
      <c r="AO2611" s="1350"/>
      <c r="AP2611" s="1350"/>
      <c r="AQ2611" s="1350"/>
      <c r="AR2611" s="1350"/>
      <c r="AS2611" s="1350"/>
      <c r="AT2611" s="1350"/>
      <c r="AU2611" s="1350"/>
      <c r="AV2611" s="1350"/>
      <c r="AW2611" s="1350"/>
      <c r="AX2611" s="1350"/>
      <c r="AY2611" s="1350"/>
      <c r="AZ2611" s="1350"/>
      <c r="BA2611" s="1070"/>
      <c r="BB2611" s="1070"/>
      <c r="BC2611" s="1070"/>
      <c r="BD2611" s="1070"/>
      <c r="BE2611" s="1070"/>
      <c r="BF2611" s="1070"/>
      <c r="BG2611" s="1070"/>
      <c r="BH2611" s="1070"/>
      <c r="BI2611" s="1070"/>
      <c r="BJ2611" s="1070"/>
      <c r="BK2611" s="1070"/>
      <c r="BL2611" s="1070"/>
      <c r="BM2611" s="1070"/>
      <c r="BN2611" s="1070"/>
      <c r="BO2611" s="1070"/>
      <c r="BP2611" s="1070"/>
      <c r="BQ2611" s="1070"/>
      <c r="BR2611" s="1070"/>
      <c r="BS2611" s="1070"/>
      <c r="BT2611" s="1070"/>
      <c r="BU2611" s="1070"/>
      <c r="BV2611" s="1070"/>
      <c r="BW2611" s="1070"/>
      <c r="BX2611" s="1070"/>
      <c r="BY2611" s="1070"/>
      <c r="BZ2611" s="1070"/>
      <c r="CA2611" s="1070"/>
      <c r="CB2611" s="1070"/>
      <c r="CC2611" s="1070"/>
      <c r="CD2611" s="1070"/>
      <c r="CE2611" s="1070"/>
      <c r="CF2611" s="1070"/>
      <c r="CG2611" s="1070"/>
      <c r="CH2611" s="1070"/>
      <c r="CI2611" s="1070"/>
      <c r="CJ2611" s="1070"/>
      <c r="CK2611" s="1070"/>
      <c r="CL2611" s="1070"/>
      <c r="CM2611" s="1070"/>
      <c r="CN2611" s="1070"/>
      <c r="CO2611" s="1070"/>
      <c r="CP2611" s="1070"/>
      <c r="CQ2611" s="1070"/>
      <c r="CR2611" s="1070"/>
      <c r="CS2611" s="1070"/>
      <c r="CT2611" s="1070"/>
      <c r="CU2611" s="1070"/>
      <c r="CV2611" s="1070"/>
      <c r="CW2611" s="1070"/>
      <c r="CX2611" s="1070"/>
      <c r="CY2611" s="1070"/>
      <c r="CZ2611" s="1070"/>
      <c r="DA2611" s="1070"/>
      <c r="DB2611" s="1070"/>
      <c r="DC2611" s="1070"/>
      <c r="DD2611" s="1070"/>
      <c r="DE2611" s="1070"/>
      <c r="DF2611" s="1070"/>
      <c r="DG2611" s="1070"/>
      <c r="DH2611" s="1070"/>
      <c r="DI2611" s="1070"/>
      <c r="DJ2611" s="1070"/>
    </row>
    <row r="2612" spans="1:114" s="1136" customFormat="1" ht="15.75" x14ac:dyDescent="0.25">
      <c r="A2612" s="1500" t="s">
        <v>3412</v>
      </c>
      <c r="B2612" s="1501">
        <f>IF(B2603&lt;2,B2604,IF(B2603&lt;3,B2604,B2604*B2611))</f>
        <v>8.68</v>
      </c>
      <c r="C2612" s="1437"/>
      <c r="D2612" s="1454"/>
      <c r="E2612" s="1454"/>
      <c r="F2612" s="1454"/>
      <c r="G2612" s="1454"/>
      <c r="H2612" s="1350"/>
      <c r="I2612" s="1350"/>
      <c r="J2612" s="1350"/>
      <c r="K2612" s="1350"/>
      <c r="L2612" s="1350"/>
      <c r="M2612" s="1350"/>
      <c r="N2612" s="1350"/>
      <c r="O2612" s="1350"/>
      <c r="P2612" s="1350"/>
      <c r="Q2612" s="1350"/>
      <c r="R2612" s="1350"/>
      <c r="S2612" s="1350"/>
      <c r="T2612" s="1350"/>
      <c r="U2612" s="1350"/>
      <c r="V2612" s="1350"/>
      <c r="W2612" s="1350"/>
      <c r="X2612" s="1350"/>
      <c r="Y2612" s="1350"/>
      <c r="Z2612" s="1350"/>
      <c r="AA2612" s="1350"/>
      <c r="AB2612" s="1350"/>
      <c r="AC2612" s="1350"/>
      <c r="AD2612" s="1350"/>
      <c r="AE2612" s="1350"/>
      <c r="AF2612" s="1350"/>
      <c r="AG2612" s="1350"/>
      <c r="AH2612" s="1350"/>
      <c r="AI2612" s="1350"/>
      <c r="AJ2612" s="1350"/>
      <c r="AK2612" s="1350"/>
      <c r="AL2612" s="1350"/>
      <c r="AM2612" s="1350"/>
      <c r="AN2612" s="1350"/>
      <c r="AO2612" s="1350"/>
      <c r="AP2612" s="1350"/>
      <c r="AQ2612" s="1350"/>
      <c r="AR2612" s="1350"/>
      <c r="AS2612" s="1350"/>
      <c r="AT2612" s="1350"/>
      <c r="AU2612" s="1350"/>
      <c r="AV2612" s="1350"/>
      <c r="AW2612" s="1350"/>
      <c r="AX2612" s="1350"/>
      <c r="AY2612" s="1350"/>
      <c r="AZ2612" s="1350"/>
      <c r="BA2612" s="1070"/>
      <c r="BB2612" s="1070"/>
      <c r="BC2612" s="1070"/>
      <c r="BD2612" s="1070"/>
      <c r="BE2612" s="1070"/>
      <c r="BF2612" s="1070"/>
      <c r="BG2612" s="1070"/>
      <c r="BH2612" s="1070"/>
      <c r="BI2612" s="1070"/>
      <c r="BJ2612" s="1070"/>
      <c r="BK2612" s="1070"/>
      <c r="BL2612" s="1070"/>
      <c r="BM2612" s="1070"/>
      <c r="BN2612" s="1070"/>
      <c r="BO2612" s="1070"/>
      <c r="BP2612" s="1070"/>
      <c r="BQ2612" s="1070"/>
      <c r="BR2612" s="1070"/>
      <c r="BS2612" s="1070"/>
      <c r="BT2612" s="1070"/>
      <c r="BU2612" s="1070"/>
      <c r="BV2612" s="1070"/>
      <c r="BW2612" s="1070"/>
      <c r="BX2612" s="1070"/>
      <c r="BY2612" s="1070"/>
      <c r="BZ2612" s="1070"/>
      <c r="CA2612" s="1070"/>
      <c r="CB2612" s="1070"/>
      <c r="CC2612" s="1070"/>
      <c r="CD2612" s="1070"/>
      <c r="CE2612" s="1070"/>
      <c r="CF2612" s="1070"/>
      <c r="CG2612" s="1070"/>
      <c r="CH2612" s="1070"/>
      <c r="CI2612" s="1070"/>
      <c r="CJ2612" s="1070"/>
      <c r="CK2612" s="1070"/>
      <c r="CL2612" s="1070"/>
      <c r="CM2612" s="1070"/>
      <c r="CN2612" s="1070"/>
      <c r="CO2612" s="1070"/>
      <c r="CP2612" s="1070"/>
      <c r="CQ2612" s="1070"/>
      <c r="CR2612" s="1070"/>
      <c r="CS2612" s="1070"/>
      <c r="CT2612" s="1070"/>
      <c r="CU2612" s="1070"/>
      <c r="CV2612" s="1070"/>
      <c r="CW2612" s="1070"/>
      <c r="CX2612" s="1070"/>
      <c r="CY2612" s="1070"/>
      <c r="CZ2612" s="1070"/>
      <c r="DA2612" s="1070"/>
      <c r="DB2612" s="1070"/>
      <c r="DC2612" s="1070"/>
      <c r="DD2612" s="1070"/>
      <c r="DE2612" s="1070"/>
      <c r="DF2612" s="1070"/>
      <c r="DG2612" s="1070"/>
      <c r="DH2612" s="1070"/>
      <c r="DI2612" s="1070"/>
      <c r="DJ2612" s="1070"/>
    </row>
    <row r="2613" spans="1:114" s="1136" customFormat="1" ht="15.75" x14ac:dyDescent="0.25">
      <c r="A2613" s="1500" t="s">
        <v>429</v>
      </c>
      <c r="B2613" s="1490" t="e">
        <f>B2602/B2612</f>
        <v>#VALUE!</v>
      </c>
      <c r="C2613" s="1432"/>
      <c r="D2613" s="1432"/>
      <c r="E2613" s="1432"/>
      <c r="F2613" s="1432"/>
      <c r="G2613" s="1432"/>
      <c r="H2613" s="1350"/>
      <c r="I2613" s="1350"/>
      <c r="J2613" s="1350"/>
      <c r="K2613" s="1350"/>
      <c r="L2613" s="1350"/>
      <c r="M2613" s="1350"/>
      <c r="N2613" s="1350"/>
      <c r="O2613" s="1350"/>
      <c r="P2613" s="1350"/>
      <c r="Q2613" s="1350"/>
      <c r="R2613" s="1350"/>
      <c r="S2613" s="1350"/>
      <c r="T2613" s="1350"/>
      <c r="U2613" s="1350"/>
      <c r="V2613" s="1350"/>
      <c r="W2613" s="1350"/>
      <c r="X2613" s="1350"/>
      <c r="Y2613" s="1350"/>
      <c r="Z2613" s="1350"/>
      <c r="AA2613" s="1350"/>
      <c r="AB2613" s="1350"/>
      <c r="AC2613" s="1350"/>
      <c r="AD2613" s="1350"/>
      <c r="AE2613" s="1350"/>
      <c r="AF2613" s="1350"/>
      <c r="AG2613" s="1350"/>
      <c r="AH2613" s="1350"/>
      <c r="AI2613" s="1350"/>
      <c r="AJ2613" s="1350"/>
      <c r="AK2613" s="1350"/>
      <c r="AL2613" s="1350"/>
      <c r="AM2613" s="1350"/>
      <c r="AN2613" s="1350"/>
      <c r="AO2613" s="1350"/>
      <c r="AP2613" s="1350"/>
      <c r="AQ2613" s="1350"/>
      <c r="AR2613" s="1350"/>
      <c r="AS2613" s="1350"/>
      <c r="AT2613" s="1350"/>
      <c r="AU2613" s="1350"/>
      <c r="AV2613" s="1350"/>
      <c r="AW2613" s="1350"/>
      <c r="AX2613" s="1350"/>
      <c r="AY2613" s="1350"/>
      <c r="AZ2613" s="1350"/>
      <c r="BA2613" s="1070"/>
      <c r="BB2613" s="1070"/>
      <c r="BC2613" s="1070"/>
      <c r="BD2613" s="1070"/>
      <c r="BE2613" s="1070"/>
      <c r="BF2613" s="1070"/>
      <c r="BG2613" s="1070"/>
      <c r="BH2613" s="1070"/>
      <c r="BI2613" s="1070"/>
      <c r="BJ2613" s="1070"/>
      <c r="BK2613" s="1070"/>
      <c r="BL2613" s="1070"/>
      <c r="BM2613" s="1070"/>
      <c r="BN2613" s="1070"/>
      <c r="BO2613" s="1070"/>
      <c r="BP2613" s="1070"/>
      <c r="BQ2613" s="1070"/>
      <c r="BR2613" s="1070"/>
      <c r="BS2613" s="1070"/>
      <c r="BT2613" s="1070"/>
      <c r="BU2613" s="1070"/>
      <c r="BV2613" s="1070"/>
      <c r="BW2613" s="1070"/>
      <c r="BX2613" s="1070"/>
      <c r="BY2613" s="1070"/>
      <c r="BZ2613" s="1070"/>
      <c r="CA2613" s="1070"/>
      <c r="CB2613" s="1070"/>
      <c r="CC2613" s="1070"/>
      <c r="CD2613" s="1070"/>
      <c r="CE2613" s="1070"/>
      <c r="CF2613" s="1070"/>
      <c r="CG2613" s="1070"/>
      <c r="CH2613" s="1070"/>
      <c r="CI2613" s="1070"/>
      <c r="CJ2613" s="1070"/>
      <c r="CK2613" s="1070"/>
      <c r="CL2613" s="1070"/>
      <c r="CM2613" s="1070"/>
      <c r="CN2613" s="1070"/>
      <c r="CO2613" s="1070"/>
      <c r="CP2613" s="1070"/>
      <c r="CQ2613" s="1070"/>
      <c r="CR2613" s="1070"/>
      <c r="CS2613" s="1070"/>
      <c r="CT2613" s="1070"/>
      <c r="CU2613" s="1070"/>
      <c r="CV2613" s="1070"/>
      <c r="CW2613" s="1070"/>
      <c r="CX2613" s="1070"/>
      <c r="CY2613" s="1070"/>
      <c r="CZ2613" s="1070"/>
      <c r="DA2613" s="1070"/>
      <c r="DB2613" s="1070"/>
      <c r="DC2613" s="1070"/>
      <c r="DD2613" s="1070"/>
      <c r="DE2613" s="1070"/>
      <c r="DF2613" s="1070"/>
      <c r="DG2613" s="1070"/>
      <c r="DH2613" s="1070"/>
      <c r="DI2613" s="1070"/>
      <c r="DJ2613" s="1070"/>
    </row>
    <row r="2614" spans="1:114" s="1136" customFormat="1" ht="15.75" x14ac:dyDescent="0.25">
      <c r="A2614" s="1488" t="s">
        <v>831</v>
      </c>
      <c r="B2614" s="1494" t="e">
        <f>IF(B265=1,B2613,0)</f>
        <v>#VALUE!</v>
      </c>
      <c r="C2614" s="1454"/>
      <c r="D2614" s="1432"/>
      <c r="E2614" s="1432"/>
      <c r="F2614" s="1432"/>
      <c r="G2614" s="1432"/>
      <c r="H2614" s="1350"/>
      <c r="I2614" s="1350"/>
      <c r="J2614" s="1350"/>
      <c r="K2614" s="1350"/>
      <c r="L2614" s="1350"/>
      <c r="M2614" s="1350"/>
      <c r="N2614" s="1350"/>
      <c r="O2614" s="1350"/>
      <c r="P2614" s="1350"/>
      <c r="Q2614" s="1350"/>
      <c r="R2614" s="1350"/>
      <c r="S2614" s="1350"/>
      <c r="T2614" s="1350"/>
      <c r="U2614" s="1350"/>
      <c r="V2614" s="1350"/>
      <c r="W2614" s="1350"/>
      <c r="X2614" s="1350"/>
      <c r="Y2614" s="1350"/>
      <c r="Z2614" s="1350"/>
      <c r="AA2614" s="1350"/>
      <c r="AB2614" s="1350"/>
      <c r="AC2614" s="1350"/>
      <c r="AD2614" s="1350"/>
      <c r="AE2614" s="1350"/>
      <c r="AF2614" s="1350"/>
      <c r="AG2614" s="1350"/>
      <c r="AH2614" s="1350"/>
      <c r="AI2614" s="1350"/>
      <c r="AJ2614" s="1350"/>
      <c r="AK2614" s="1350"/>
      <c r="AL2614" s="1350"/>
      <c r="AM2614" s="1350"/>
      <c r="AN2614" s="1350"/>
      <c r="AO2614" s="1350"/>
      <c r="AP2614" s="1350"/>
      <c r="AQ2614" s="1350"/>
      <c r="AR2614" s="1350"/>
      <c r="AS2614" s="1350"/>
      <c r="AT2614" s="1350"/>
      <c r="AU2614" s="1350"/>
      <c r="AV2614" s="1350"/>
      <c r="AW2614" s="1350"/>
      <c r="AX2614" s="1350"/>
      <c r="AY2614" s="1350"/>
      <c r="AZ2614" s="1350"/>
      <c r="BA2614" s="1070"/>
      <c r="BB2614" s="1070"/>
      <c r="BC2614" s="1070"/>
      <c r="BD2614" s="1070"/>
      <c r="BE2614" s="1070"/>
      <c r="BF2614" s="1070"/>
      <c r="BG2614" s="1070"/>
      <c r="BH2614" s="1070"/>
      <c r="BI2614" s="1070"/>
      <c r="BJ2614" s="1070"/>
      <c r="BK2614" s="1070"/>
      <c r="BL2614" s="1070"/>
      <c r="BM2614" s="1070"/>
      <c r="BN2614" s="1070"/>
      <c r="BO2614" s="1070"/>
      <c r="BP2614" s="1070"/>
      <c r="BQ2614" s="1070"/>
      <c r="BR2614" s="1070"/>
      <c r="BS2614" s="1070"/>
      <c r="BT2614" s="1070"/>
      <c r="BU2614" s="1070"/>
      <c r="BV2614" s="1070"/>
      <c r="BW2614" s="1070"/>
      <c r="BX2614" s="1070"/>
      <c r="BY2614" s="1070"/>
      <c r="BZ2614" s="1070"/>
      <c r="CA2614" s="1070"/>
      <c r="CB2614" s="1070"/>
      <c r="CC2614" s="1070"/>
      <c r="CD2614" s="1070"/>
      <c r="CE2614" s="1070"/>
      <c r="CF2614" s="1070"/>
      <c r="CG2614" s="1070"/>
      <c r="CH2614" s="1070"/>
      <c r="CI2614" s="1070"/>
      <c r="CJ2614" s="1070"/>
      <c r="CK2614" s="1070"/>
      <c r="CL2614" s="1070"/>
      <c r="CM2614" s="1070"/>
      <c r="CN2614" s="1070"/>
      <c r="CO2614" s="1070"/>
      <c r="CP2614" s="1070"/>
      <c r="CQ2614" s="1070"/>
      <c r="CR2614" s="1070"/>
      <c r="CS2614" s="1070"/>
      <c r="CT2614" s="1070"/>
      <c r="CU2614" s="1070"/>
      <c r="CV2614" s="1070"/>
      <c r="CW2614" s="1070"/>
      <c r="CX2614" s="1070"/>
      <c r="CY2614" s="1070"/>
      <c r="CZ2614" s="1070"/>
      <c r="DA2614" s="1070"/>
      <c r="DB2614" s="1070"/>
      <c r="DC2614" s="1070"/>
      <c r="DD2614" s="1070"/>
      <c r="DE2614" s="1070"/>
      <c r="DF2614" s="1070"/>
      <c r="DG2614" s="1070"/>
      <c r="DH2614" s="1070"/>
      <c r="DI2614" s="1070"/>
      <c r="DJ2614" s="1070"/>
    </row>
    <row r="2615" spans="1:114" s="1136" customFormat="1" ht="15.75" x14ac:dyDescent="0.25">
      <c r="A2615" s="1430"/>
      <c r="B2615" s="1443"/>
      <c r="C2615" s="1437"/>
      <c r="D2615" s="1432"/>
      <c r="E2615" s="1432"/>
      <c r="F2615" s="1432"/>
      <c r="G2615" s="1432"/>
      <c r="H2615" s="1350"/>
      <c r="I2615" s="1350"/>
      <c r="J2615" s="1350"/>
      <c r="K2615" s="1350"/>
      <c r="L2615" s="1350"/>
      <c r="M2615" s="1350"/>
      <c r="N2615" s="1350"/>
      <c r="O2615" s="1350"/>
      <c r="P2615" s="1350"/>
      <c r="Q2615" s="1350"/>
      <c r="R2615" s="1350"/>
      <c r="S2615" s="1350"/>
      <c r="T2615" s="1350"/>
      <c r="U2615" s="1350"/>
      <c r="V2615" s="1350"/>
      <c r="W2615" s="1350"/>
      <c r="X2615" s="1350"/>
      <c r="Y2615" s="1350"/>
      <c r="Z2615" s="1350"/>
      <c r="AA2615" s="1350"/>
      <c r="AB2615" s="1350"/>
      <c r="AC2615" s="1350"/>
      <c r="AD2615" s="1350"/>
      <c r="AE2615" s="1350"/>
      <c r="AF2615" s="1350"/>
      <c r="AG2615" s="1350"/>
      <c r="AH2615" s="1350"/>
      <c r="AI2615" s="1350"/>
      <c r="AJ2615" s="1350"/>
      <c r="AK2615" s="1350"/>
      <c r="AL2615" s="1350"/>
      <c r="AM2615" s="1350"/>
      <c r="AN2615" s="1350"/>
      <c r="AO2615" s="1350"/>
      <c r="AP2615" s="1350"/>
      <c r="AQ2615" s="1350"/>
      <c r="AR2615" s="1350"/>
      <c r="AS2615" s="1350"/>
      <c r="AT2615" s="1350"/>
      <c r="AU2615" s="1350"/>
      <c r="AV2615" s="1350"/>
      <c r="AW2615" s="1350"/>
      <c r="AX2615" s="1350"/>
      <c r="AY2615" s="1350"/>
      <c r="AZ2615" s="1350"/>
      <c r="BA2615" s="1070"/>
      <c r="BB2615" s="1070"/>
      <c r="BC2615" s="1070"/>
      <c r="BD2615" s="1070"/>
      <c r="BE2615" s="1070"/>
      <c r="BF2615" s="1070"/>
      <c r="BG2615" s="1070"/>
      <c r="BH2615" s="1070"/>
      <c r="BI2615" s="1070"/>
      <c r="BJ2615" s="1070"/>
      <c r="BK2615" s="1070"/>
      <c r="BL2615" s="1070"/>
      <c r="BM2615" s="1070"/>
      <c r="BN2615" s="1070"/>
      <c r="BO2615" s="1070"/>
      <c r="BP2615" s="1070"/>
      <c r="BQ2615" s="1070"/>
      <c r="BR2615" s="1070"/>
      <c r="BS2615" s="1070"/>
      <c r="BT2615" s="1070"/>
      <c r="BU2615" s="1070"/>
      <c r="BV2615" s="1070"/>
      <c r="BW2615" s="1070"/>
      <c r="BX2615" s="1070"/>
      <c r="BY2615" s="1070"/>
      <c r="BZ2615" s="1070"/>
      <c r="CA2615" s="1070"/>
      <c r="CB2615" s="1070"/>
      <c r="CC2615" s="1070"/>
      <c r="CD2615" s="1070"/>
      <c r="CE2615" s="1070"/>
      <c r="CF2615" s="1070"/>
      <c r="CG2615" s="1070"/>
      <c r="CH2615" s="1070"/>
      <c r="CI2615" s="1070"/>
      <c r="CJ2615" s="1070"/>
      <c r="CK2615" s="1070"/>
      <c r="CL2615" s="1070"/>
      <c r="CM2615" s="1070"/>
      <c r="CN2615" s="1070"/>
      <c r="CO2615" s="1070"/>
      <c r="CP2615" s="1070"/>
      <c r="CQ2615" s="1070"/>
      <c r="CR2615" s="1070"/>
      <c r="CS2615" s="1070"/>
      <c r="CT2615" s="1070"/>
      <c r="CU2615" s="1070"/>
      <c r="CV2615" s="1070"/>
      <c r="CW2615" s="1070"/>
      <c r="CX2615" s="1070"/>
      <c r="CY2615" s="1070"/>
      <c r="CZ2615" s="1070"/>
      <c r="DA2615" s="1070"/>
      <c r="DB2615" s="1070"/>
      <c r="DC2615" s="1070"/>
      <c r="DD2615" s="1070"/>
      <c r="DE2615" s="1070"/>
      <c r="DF2615" s="1070"/>
      <c r="DG2615" s="1070"/>
      <c r="DH2615" s="1070"/>
      <c r="DI2615" s="1070"/>
      <c r="DJ2615" s="1070"/>
    </row>
    <row r="2616" spans="1:114" s="1136" customFormat="1" ht="31.5" x14ac:dyDescent="0.25">
      <c r="A2616" s="1502" t="s">
        <v>3429</v>
      </c>
      <c r="B2616" s="1439"/>
      <c r="C2616" s="1432"/>
      <c r="D2616" s="1454"/>
      <c r="E2616" s="1454"/>
      <c r="F2616" s="1454"/>
      <c r="G2616" s="1454"/>
      <c r="H2616" s="1350"/>
      <c r="I2616" s="1350"/>
      <c r="J2616" s="1350"/>
      <c r="K2616" s="1350"/>
      <c r="L2616" s="1350"/>
      <c r="M2616" s="1350"/>
      <c r="N2616" s="1350"/>
      <c r="O2616" s="1350"/>
      <c r="P2616" s="1350"/>
      <c r="Q2616" s="1350"/>
      <c r="R2616" s="1350"/>
      <c r="S2616" s="1350"/>
      <c r="T2616" s="1350"/>
      <c r="U2616" s="1350"/>
      <c r="V2616" s="1350"/>
      <c r="W2616" s="1350"/>
      <c r="X2616" s="1350"/>
      <c r="Y2616" s="1350"/>
      <c r="Z2616" s="1350"/>
      <c r="AA2616" s="1350"/>
      <c r="AB2616" s="1350"/>
      <c r="AC2616" s="1350"/>
      <c r="AD2616" s="1350"/>
      <c r="AE2616" s="1350"/>
      <c r="AF2616" s="1350"/>
      <c r="AG2616" s="1350"/>
      <c r="AH2616" s="1350"/>
      <c r="AI2616" s="1350"/>
      <c r="AJ2616" s="1350"/>
      <c r="AK2616" s="1350"/>
      <c r="AL2616" s="1350"/>
      <c r="AM2616" s="1350"/>
      <c r="AN2616" s="1350"/>
      <c r="AO2616" s="1350"/>
      <c r="AP2616" s="1350"/>
      <c r="AQ2616" s="1350"/>
      <c r="AR2616" s="1350"/>
      <c r="AS2616" s="1350"/>
      <c r="AT2616" s="1350"/>
      <c r="AU2616" s="1350"/>
      <c r="AV2616" s="1350"/>
      <c r="AW2616" s="1350"/>
      <c r="AX2616" s="1350"/>
      <c r="AY2616" s="1350"/>
      <c r="AZ2616" s="1350"/>
      <c r="BA2616" s="1070"/>
      <c r="BB2616" s="1070"/>
      <c r="BC2616" s="1070"/>
      <c r="BD2616" s="1070"/>
      <c r="BE2616" s="1070"/>
      <c r="BF2616" s="1070"/>
      <c r="BG2616" s="1070"/>
      <c r="BH2616" s="1070"/>
      <c r="BI2616" s="1070"/>
      <c r="BJ2616" s="1070"/>
      <c r="BK2616" s="1070"/>
      <c r="BL2616" s="1070"/>
      <c r="BM2616" s="1070"/>
      <c r="BN2616" s="1070"/>
      <c r="BO2616" s="1070"/>
      <c r="BP2616" s="1070"/>
      <c r="BQ2616" s="1070"/>
      <c r="BR2616" s="1070"/>
      <c r="BS2616" s="1070"/>
      <c r="BT2616" s="1070"/>
      <c r="BU2616" s="1070"/>
      <c r="BV2616" s="1070"/>
      <c r="BW2616" s="1070"/>
      <c r="BX2616" s="1070"/>
      <c r="BY2616" s="1070"/>
      <c r="BZ2616" s="1070"/>
      <c r="CA2616" s="1070"/>
      <c r="CB2616" s="1070"/>
      <c r="CC2616" s="1070"/>
      <c r="CD2616" s="1070"/>
      <c r="CE2616" s="1070"/>
      <c r="CF2616" s="1070"/>
      <c r="CG2616" s="1070"/>
      <c r="CH2616" s="1070"/>
      <c r="CI2616" s="1070"/>
      <c r="CJ2616" s="1070"/>
      <c r="CK2616" s="1070"/>
      <c r="CL2616" s="1070"/>
      <c r="CM2616" s="1070"/>
      <c r="CN2616" s="1070"/>
      <c r="CO2616" s="1070"/>
      <c r="CP2616" s="1070"/>
      <c r="CQ2616" s="1070"/>
      <c r="CR2616" s="1070"/>
      <c r="CS2616" s="1070"/>
      <c r="CT2616" s="1070"/>
      <c r="CU2616" s="1070"/>
      <c r="CV2616" s="1070"/>
      <c r="CW2616" s="1070"/>
      <c r="CX2616" s="1070"/>
      <c r="CY2616" s="1070"/>
      <c r="CZ2616" s="1070"/>
      <c r="DA2616" s="1070"/>
      <c r="DB2616" s="1070"/>
      <c r="DC2616" s="1070"/>
      <c r="DD2616" s="1070"/>
      <c r="DE2616" s="1070"/>
      <c r="DF2616" s="1070"/>
      <c r="DG2616" s="1070"/>
      <c r="DH2616" s="1070"/>
      <c r="DI2616" s="1070"/>
      <c r="DJ2616" s="1070"/>
    </row>
    <row r="2617" spans="1:114" s="1136" customFormat="1" ht="31.5" x14ac:dyDescent="0.25">
      <c r="A2617" s="1435" t="s">
        <v>1612</v>
      </c>
      <c r="B2617" s="3941">
        <f>kursovoy!B2249</f>
        <v>4</v>
      </c>
      <c r="C2617" s="1504"/>
      <c r="D2617" s="1470"/>
      <c r="E2617" s="1470"/>
      <c r="F2617" s="1470"/>
      <c r="G2617" s="1470"/>
      <c r="H2617" s="1350"/>
      <c r="I2617" s="1350"/>
      <c r="J2617" s="1350"/>
      <c r="K2617" s="1350"/>
      <c r="L2617" s="1350"/>
      <c r="M2617" s="1350"/>
      <c r="N2617" s="1350"/>
      <c r="O2617" s="1350"/>
      <c r="P2617" s="1350"/>
      <c r="Q2617" s="1350"/>
      <c r="R2617" s="1350"/>
      <c r="S2617" s="1350"/>
      <c r="T2617" s="1350"/>
      <c r="U2617" s="1350"/>
      <c r="V2617" s="1350"/>
      <c r="W2617" s="1350"/>
      <c r="X2617" s="1350"/>
      <c r="Y2617" s="1350"/>
      <c r="Z2617" s="1350"/>
      <c r="AA2617" s="1350"/>
      <c r="AB2617" s="1350"/>
      <c r="AC2617" s="1350"/>
      <c r="AD2617" s="1350"/>
      <c r="AE2617" s="1350"/>
      <c r="AF2617" s="1350"/>
      <c r="AG2617" s="1350"/>
      <c r="AH2617" s="1350"/>
      <c r="AI2617" s="1350"/>
      <c r="AJ2617" s="1350"/>
      <c r="AK2617" s="1350"/>
      <c r="AL2617" s="1350"/>
      <c r="AM2617" s="1350"/>
      <c r="AN2617" s="1350"/>
      <c r="AO2617" s="1350"/>
      <c r="AP2617" s="1350"/>
      <c r="AQ2617" s="1350"/>
      <c r="AR2617" s="1350"/>
      <c r="AS2617" s="1350"/>
      <c r="AT2617" s="1350"/>
      <c r="AU2617" s="1350"/>
      <c r="AV2617" s="1350"/>
      <c r="AW2617" s="1350"/>
      <c r="AX2617" s="1350"/>
      <c r="AY2617" s="1350"/>
      <c r="AZ2617" s="1350"/>
      <c r="BA2617" s="1070"/>
      <c r="BB2617" s="1070"/>
      <c r="BC2617" s="1070"/>
      <c r="BD2617" s="1070"/>
      <c r="BE2617" s="1070"/>
      <c r="BF2617" s="1070"/>
      <c r="BG2617" s="1070"/>
      <c r="BH2617" s="1070"/>
      <c r="BI2617" s="1070"/>
      <c r="BJ2617" s="1070"/>
      <c r="BK2617" s="1070"/>
      <c r="BL2617" s="1070"/>
      <c r="BM2617" s="1070"/>
      <c r="BN2617" s="1070"/>
      <c r="BO2617" s="1070"/>
      <c r="BP2617" s="1070"/>
      <c r="BQ2617" s="1070"/>
      <c r="BR2617" s="1070"/>
      <c r="BS2617" s="1070"/>
      <c r="BT2617" s="1070"/>
      <c r="BU2617" s="1070"/>
      <c r="BV2617" s="1070"/>
      <c r="BW2617" s="1070"/>
      <c r="BX2617" s="1070"/>
      <c r="BY2617" s="1070"/>
      <c r="BZ2617" s="1070"/>
      <c r="CA2617" s="1070"/>
      <c r="CB2617" s="1070"/>
      <c r="CC2617" s="1070"/>
      <c r="CD2617" s="1070"/>
      <c r="CE2617" s="1070"/>
      <c r="CF2617" s="1070"/>
      <c r="CG2617" s="1070"/>
      <c r="CH2617" s="1070"/>
      <c r="CI2617" s="1070"/>
      <c r="CJ2617" s="1070"/>
      <c r="CK2617" s="1070"/>
      <c r="CL2617" s="1070"/>
      <c r="CM2617" s="1070"/>
      <c r="CN2617" s="1070"/>
      <c r="CO2617" s="1070"/>
      <c r="CP2617" s="1070"/>
      <c r="CQ2617" s="1070"/>
      <c r="CR2617" s="1070"/>
      <c r="CS2617" s="1070"/>
      <c r="CT2617" s="1070"/>
      <c r="CU2617" s="1070"/>
      <c r="CV2617" s="1070"/>
      <c r="CW2617" s="1070"/>
      <c r="CX2617" s="1070"/>
      <c r="CY2617" s="1070"/>
      <c r="CZ2617" s="1070"/>
      <c r="DA2617" s="1070"/>
      <c r="DB2617" s="1070"/>
      <c r="DC2617" s="1070"/>
      <c r="DD2617" s="1070"/>
      <c r="DE2617" s="1070"/>
      <c r="DF2617" s="1070"/>
      <c r="DG2617" s="1070"/>
      <c r="DH2617" s="1070"/>
      <c r="DI2617" s="1070"/>
      <c r="DJ2617" s="1070"/>
    </row>
    <row r="2618" spans="1:114" s="1136" customFormat="1" ht="47.25" x14ac:dyDescent="0.25">
      <c r="A2618" s="1427" t="s">
        <v>4151</v>
      </c>
      <c r="B2618" s="1439"/>
      <c r="C2618" s="1432"/>
      <c r="D2618" s="1437"/>
      <c r="E2618" s="1437"/>
      <c r="F2618" s="1437"/>
      <c r="G2618" s="1437"/>
      <c r="H2618" s="1350"/>
      <c r="I2618" s="1350"/>
      <c r="J2618" s="1350"/>
      <c r="K2618" s="1350"/>
      <c r="L2618" s="1350"/>
      <c r="M2618" s="1350"/>
      <c r="N2618" s="1350"/>
      <c r="O2618" s="1350"/>
      <c r="P2618" s="1350"/>
      <c r="Q2618" s="1350"/>
      <c r="R2618" s="1350"/>
      <c r="S2618" s="1350"/>
      <c r="T2618" s="1350"/>
      <c r="U2618" s="1350"/>
      <c r="V2618" s="1350"/>
      <c r="W2618" s="1350"/>
      <c r="X2618" s="1350"/>
      <c r="Y2618" s="1350"/>
      <c r="Z2618" s="1350"/>
      <c r="AA2618" s="1350"/>
      <c r="AB2618" s="1350"/>
      <c r="AC2618" s="1350"/>
      <c r="AD2618" s="1350"/>
      <c r="AE2618" s="1350"/>
      <c r="AF2618" s="1350"/>
      <c r="AG2618" s="1350"/>
      <c r="AH2618" s="1350"/>
      <c r="AI2618" s="1350"/>
      <c r="AJ2618" s="1350"/>
      <c r="AK2618" s="1350"/>
      <c r="AL2618" s="1350"/>
      <c r="AM2618" s="1350"/>
      <c r="AN2618" s="1350"/>
      <c r="AO2618" s="1350"/>
      <c r="AP2618" s="1350"/>
      <c r="AQ2618" s="1350"/>
      <c r="AR2618" s="1350"/>
      <c r="AS2618" s="1350"/>
      <c r="AT2618" s="1350"/>
      <c r="AU2618" s="1350"/>
      <c r="AV2618" s="1350"/>
      <c r="AW2618" s="1350"/>
      <c r="AX2618" s="1350"/>
      <c r="AY2618" s="1350"/>
      <c r="AZ2618" s="1350"/>
      <c r="BA2618" s="1070"/>
      <c r="BB2618" s="1070"/>
      <c r="BC2618" s="1070"/>
      <c r="BD2618" s="1070"/>
      <c r="BE2618" s="1070"/>
      <c r="BF2618" s="1070"/>
      <c r="BG2618" s="1070"/>
      <c r="BH2618" s="1070"/>
      <c r="BI2618" s="1070"/>
      <c r="BJ2618" s="1070"/>
      <c r="BK2618" s="1070"/>
      <c r="BL2618" s="1070"/>
      <c r="BM2618" s="1070"/>
      <c r="BN2618" s="1070"/>
      <c r="BO2618" s="1070"/>
      <c r="BP2618" s="1070"/>
      <c r="BQ2618" s="1070"/>
      <c r="BR2618" s="1070"/>
      <c r="BS2618" s="1070"/>
      <c r="BT2618" s="1070"/>
      <c r="BU2618" s="1070"/>
      <c r="BV2618" s="1070"/>
      <c r="BW2618" s="1070"/>
      <c r="BX2618" s="1070"/>
      <c r="BY2618" s="1070"/>
      <c r="BZ2618" s="1070"/>
      <c r="CA2618" s="1070"/>
      <c r="CB2618" s="1070"/>
      <c r="CC2618" s="1070"/>
      <c r="CD2618" s="1070"/>
      <c r="CE2618" s="1070"/>
      <c r="CF2618" s="1070"/>
      <c r="CG2618" s="1070"/>
      <c r="CH2618" s="1070"/>
      <c r="CI2618" s="1070"/>
      <c r="CJ2618" s="1070"/>
      <c r="CK2618" s="1070"/>
      <c r="CL2618" s="1070"/>
      <c r="CM2618" s="1070"/>
      <c r="CN2618" s="1070"/>
      <c r="CO2618" s="1070"/>
      <c r="CP2618" s="1070"/>
      <c r="CQ2618" s="1070"/>
      <c r="CR2618" s="1070"/>
      <c r="CS2618" s="1070"/>
      <c r="CT2618" s="1070"/>
      <c r="CU2618" s="1070"/>
      <c r="CV2618" s="1070"/>
      <c r="CW2618" s="1070"/>
      <c r="CX2618" s="1070"/>
      <c r="CY2618" s="1070"/>
      <c r="CZ2618" s="1070"/>
      <c r="DA2618" s="1070"/>
      <c r="DB2618" s="1070"/>
      <c r="DC2618" s="1070"/>
      <c r="DD2618" s="1070"/>
      <c r="DE2618" s="1070"/>
      <c r="DF2618" s="1070"/>
      <c r="DG2618" s="1070"/>
      <c r="DH2618" s="1070"/>
      <c r="DI2618" s="1070"/>
      <c r="DJ2618" s="1070"/>
    </row>
    <row r="2619" spans="1:114" s="1136" customFormat="1" ht="15.75" x14ac:dyDescent="0.25">
      <c r="A2619" s="1422" t="s">
        <v>4152</v>
      </c>
      <c r="B2619" s="1439" t="e">
        <f>(B245/(B2617-B2390))*B2388</f>
        <v>#VALUE!</v>
      </c>
      <c r="C2619" s="1432"/>
      <c r="D2619" s="1437"/>
      <c r="E2619" s="1437"/>
      <c r="F2619" s="1437"/>
      <c r="G2619" s="1437"/>
      <c r="H2619" s="1350"/>
      <c r="I2619" s="1350"/>
      <c r="J2619" s="1350"/>
      <c r="K2619" s="1350"/>
      <c r="L2619" s="1350"/>
      <c r="M2619" s="1350"/>
      <c r="N2619" s="1350"/>
      <c r="O2619" s="1350"/>
      <c r="P2619" s="1350"/>
      <c r="Q2619" s="1350"/>
      <c r="R2619" s="1350"/>
      <c r="S2619" s="1350"/>
      <c r="T2619" s="1350"/>
      <c r="U2619" s="1350"/>
      <c r="V2619" s="1350"/>
      <c r="W2619" s="1350"/>
      <c r="X2619" s="1350"/>
      <c r="Y2619" s="1350"/>
      <c r="Z2619" s="1350"/>
      <c r="AA2619" s="1350"/>
      <c r="AB2619" s="1350"/>
      <c r="AC2619" s="1350"/>
      <c r="AD2619" s="1350"/>
      <c r="AE2619" s="1350"/>
      <c r="AF2619" s="1350"/>
      <c r="AG2619" s="1350"/>
      <c r="AH2619" s="1350"/>
      <c r="AI2619" s="1350"/>
      <c r="AJ2619" s="1350"/>
      <c r="AK2619" s="1350"/>
      <c r="AL2619" s="1350"/>
      <c r="AM2619" s="1350"/>
      <c r="AN2619" s="1350"/>
      <c r="AO2619" s="1350"/>
      <c r="AP2619" s="1350"/>
      <c r="AQ2619" s="1350"/>
      <c r="AR2619" s="1350"/>
      <c r="AS2619" s="1350"/>
      <c r="AT2619" s="1350"/>
      <c r="AU2619" s="1350"/>
      <c r="AV2619" s="1350"/>
      <c r="AW2619" s="1350"/>
      <c r="AX2619" s="1350"/>
      <c r="AY2619" s="1350"/>
      <c r="AZ2619" s="1350"/>
      <c r="BA2619" s="1070"/>
      <c r="BB2619" s="1070"/>
      <c r="BC2619" s="1070"/>
      <c r="BD2619" s="1070"/>
      <c r="BE2619" s="1070"/>
      <c r="BF2619" s="1070"/>
      <c r="BG2619" s="1070"/>
      <c r="BH2619" s="1070"/>
      <c r="BI2619" s="1070"/>
      <c r="BJ2619" s="1070"/>
      <c r="BK2619" s="1070"/>
      <c r="BL2619" s="1070"/>
      <c r="BM2619" s="1070"/>
      <c r="BN2619" s="1070"/>
      <c r="BO2619" s="1070"/>
      <c r="BP2619" s="1070"/>
      <c r="BQ2619" s="1070"/>
      <c r="BR2619" s="1070"/>
      <c r="BS2619" s="1070"/>
      <c r="BT2619" s="1070"/>
      <c r="BU2619" s="1070"/>
      <c r="BV2619" s="1070"/>
      <c r="BW2619" s="1070"/>
      <c r="BX2619" s="1070"/>
      <c r="BY2619" s="1070"/>
      <c r="BZ2619" s="1070"/>
      <c r="CA2619" s="1070"/>
      <c r="CB2619" s="1070"/>
      <c r="CC2619" s="1070"/>
      <c r="CD2619" s="1070"/>
      <c r="CE2619" s="1070"/>
      <c r="CF2619" s="1070"/>
      <c r="CG2619" s="1070"/>
      <c r="CH2619" s="1070"/>
      <c r="CI2619" s="1070"/>
      <c r="CJ2619" s="1070"/>
      <c r="CK2619" s="1070"/>
      <c r="CL2619" s="1070"/>
      <c r="CM2619" s="1070"/>
      <c r="CN2619" s="1070"/>
      <c r="CO2619" s="1070"/>
      <c r="CP2619" s="1070"/>
      <c r="CQ2619" s="1070"/>
      <c r="CR2619" s="1070"/>
      <c r="CS2619" s="1070"/>
      <c r="CT2619" s="1070"/>
      <c r="CU2619" s="1070"/>
      <c r="CV2619" s="1070"/>
      <c r="CW2619" s="1070"/>
      <c r="CX2619" s="1070"/>
      <c r="CY2619" s="1070"/>
      <c r="CZ2619" s="1070"/>
      <c r="DA2619" s="1070"/>
      <c r="DB2619" s="1070"/>
      <c r="DC2619" s="1070"/>
      <c r="DD2619" s="1070"/>
      <c r="DE2619" s="1070"/>
      <c r="DF2619" s="1070"/>
      <c r="DG2619" s="1070"/>
      <c r="DH2619" s="1070"/>
      <c r="DI2619" s="1070"/>
      <c r="DJ2619" s="1070"/>
    </row>
    <row r="2620" spans="1:114" s="1136" customFormat="1" ht="31.5" x14ac:dyDescent="0.25">
      <c r="A2620" s="1422" t="s">
        <v>2048</v>
      </c>
      <c r="B2620" s="1424" t="e">
        <f>INDEX($U$3487:$X$3496,B2623,B2624)</f>
        <v>#VALUE!</v>
      </c>
      <c r="C2620" s="1429"/>
      <c r="D2620" s="1432"/>
      <c r="E2620" s="1432"/>
      <c r="F2620" s="1432"/>
      <c r="G2620" s="1432"/>
      <c r="H2620" s="1350"/>
      <c r="I2620" s="1350"/>
      <c r="J2620" s="1350"/>
      <c r="K2620" s="1350"/>
      <c r="L2620" s="1350"/>
      <c r="M2620" s="1350"/>
      <c r="N2620" s="1350"/>
      <c r="O2620" s="1350"/>
      <c r="P2620" s="1350"/>
      <c r="Q2620" s="1350"/>
      <c r="R2620" s="1350"/>
      <c r="S2620" s="1350"/>
      <c r="T2620" s="1350"/>
      <c r="U2620" s="1350"/>
      <c r="V2620" s="1350"/>
      <c r="W2620" s="1350"/>
      <c r="X2620" s="1350"/>
      <c r="Y2620" s="1350"/>
      <c r="Z2620" s="1350"/>
      <c r="AA2620" s="1350"/>
      <c r="AB2620" s="1350"/>
      <c r="AC2620" s="1350"/>
      <c r="AD2620" s="1350"/>
      <c r="AE2620" s="1350"/>
      <c r="AF2620" s="1350"/>
      <c r="AG2620" s="1350"/>
      <c r="AH2620" s="1350"/>
      <c r="AI2620" s="1350"/>
      <c r="AJ2620" s="1350"/>
      <c r="AK2620" s="1350"/>
      <c r="AL2620" s="1350"/>
      <c r="AM2620" s="1350"/>
      <c r="AN2620" s="1350"/>
      <c r="AO2620" s="1350"/>
      <c r="AP2620" s="1350"/>
      <c r="AQ2620" s="1350"/>
      <c r="AR2620" s="1350"/>
      <c r="AS2620" s="1350"/>
      <c r="AT2620" s="1350"/>
      <c r="AU2620" s="1350"/>
      <c r="AV2620" s="1350"/>
      <c r="AW2620" s="1350"/>
      <c r="AX2620" s="1350"/>
      <c r="AY2620" s="1350"/>
      <c r="AZ2620" s="1350"/>
      <c r="BA2620" s="1070"/>
      <c r="BB2620" s="1070"/>
      <c r="BC2620" s="1070"/>
      <c r="BD2620" s="1070"/>
      <c r="BE2620" s="1070"/>
      <c r="BF2620" s="1070"/>
      <c r="BG2620" s="1070"/>
      <c r="BH2620" s="1070"/>
      <c r="BI2620" s="1070"/>
      <c r="BJ2620" s="1070"/>
      <c r="BK2620" s="1070"/>
      <c r="BL2620" s="1070"/>
      <c r="BM2620" s="1070"/>
      <c r="BN2620" s="1070"/>
      <c r="BO2620" s="1070"/>
      <c r="BP2620" s="1070"/>
      <c r="BQ2620" s="1070"/>
      <c r="BR2620" s="1070"/>
      <c r="BS2620" s="1070"/>
      <c r="BT2620" s="1070"/>
      <c r="BU2620" s="1070"/>
      <c r="BV2620" s="1070"/>
      <c r="BW2620" s="1070"/>
      <c r="BX2620" s="1070"/>
      <c r="BY2620" s="1070"/>
      <c r="BZ2620" s="1070"/>
      <c r="CA2620" s="1070"/>
      <c r="CB2620" s="1070"/>
      <c r="CC2620" s="1070"/>
      <c r="CD2620" s="1070"/>
      <c r="CE2620" s="1070"/>
      <c r="CF2620" s="1070"/>
      <c r="CG2620" s="1070"/>
      <c r="CH2620" s="1070"/>
      <c r="CI2620" s="1070"/>
      <c r="CJ2620" s="1070"/>
      <c r="CK2620" s="1070"/>
      <c r="CL2620" s="1070"/>
      <c r="CM2620" s="1070"/>
      <c r="CN2620" s="1070"/>
      <c r="CO2620" s="1070"/>
      <c r="CP2620" s="1070"/>
      <c r="CQ2620" s="1070"/>
      <c r="CR2620" s="1070"/>
      <c r="CS2620" s="1070"/>
      <c r="CT2620" s="1070"/>
      <c r="CU2620" s="1070"/>
      <c r="CV2620" s="1070"/>
      <c r="CW2620" s="1070"/>
      <c r="CX2620" s="1070"/>
      <c r="CY2620" s="1070"/>
      <c r="CZ2620" s="1070"/>
      <c r="DA2620" s="1070"/>
      <c r="DB2620" s="1070"/>
      <c r="DC2620" s="1070"/>
      <c r="DD2620" s="1070"/>
      <c r="DE2620" s="1070"/>
      <c r="DF2620" s="1070"/>
      <c r="DG2620" s="1070"/>
      <c r="DH2620" s="1070"/>
      <c r="DI2620" s="1070"/>
      <c r="DJ2620" s="1070"/>
    </row>
    <row r="2621" spans="1:114" s="1136" customFormat="1" ht="15.75" x14ac:dyDescent="0.25">
      <c r="A2621" s="1456" t="s">
        <v>1719</v>
      </c>
      <c r="B2621" s="1439"/>
      <c r="C2621" s="1432"/>
      <c r="D2621" s="1454"/>
      <c r="E2621" s="1454"/>
      <c r="F2621" s="1454"/>
      <c r="G2621" s="1454"/>
      <c r="H2621" s="1350"/>
      <c r="I2621" s="1350"/>
      <c r="J2621" s="1350"/>
      <c r="K2621" s="1350"/>
      <c r="L2621" s="1350"/>
      <c r="M2621" s="1350"/>
      <c r="N2621" s="1350"/>
      <c r="O2621" s="1350"/>
      <c r="P2621" s="1350"/>
      <c r="Q2621" s="1350"/>
      <c r="R2621" s="1350"/>
      <c r="S2621" s="1350"/>
      <c r="T2621" s="1350"/>
      <c r="U2621" s="1350"/>
      <c r="V2621" s="1350"/>
      <c r="W2621" s="1350"/>
      <c r="X2621" s="1350"/>
      <c r="Y2621" s="1350"/>
      <c r="Z2621" s="1350"/>
      <c r="AA2621" s="1350"/>
      <c r="AB2621" s="1350"/>
      <c r="AC2621" s="1350"/>
      <c r="AD2621" s="1350"/>
      <c r="AE2621" s="1350"/>
      <c r="AF2621" s="1350"/>
      <c r="AG2621" s="1350"/>
      <c r="AH2621" s="1350"/>
      <c r="AI2621" s="1350"/>
      <c r="AJ2621" s="1350"/>
      <c r="AK2621" s="1350"/>
      <c r="AL2621" s="1350"/>
      <c r="AM2621" s="1350"/>
      <c r="AN2621" s="1350"/>
      <c r="AO2621" s="1350"/>
      <c r="AP2621" s="1350"/>
      <c r="AQ2621" s="1350"/>
      <c r="AR2621" s="1350"/>
      <c r="AS2621" s="1350"/>
      <c r="AT2621" s="1350"/>
      <c r="AU2621" s="1350"/>
      <c r="AV2621" s="1350"/>
      <c r="AW2621" s="1350"/>
      <c r="AX2621" s="1350"/>
      <c r="AY2621" s="1350"/>
      <c r="AZ2621" s="1350"/>
      <c r="BA2621" s="1070"/>
      <c r="BB2621" s="1070"/>
      <c r="BC2621" s="1070"/>
      <c r="BD2621" s="1070"/>
      <c r="BE2621" s="1070"/>
      <c r="BF2621" s="1070"/>
      <c r="BG2621" s="1070"/>
      <c r="BH2621" s="1070"/>
      <c r="BI2621" s="1070"/>
      <c r="BJ2621" s="1070"/>
      <c r="BK2621" s="1070"/>
      <c r="BL2621" s="1070"/>
      <c r="BM2621" s="1070"/>
      <c r="BN2621" s="1070"/>
      <c r="BO2621" s="1070"/>
      <c r="BP2621" s="1070"/>
      <c r="BQ2621" s="1070"/>
      <c r="BR2621" s="1070"/>
      <c r="BS2621" s="1070"/>
      <c r="BT2621" s="1070"/>
      <c r="BU2621" s="1070"/>
      <c r="BV2621" s="1070"/>
      <c r="BW2621" s="1070"/>
      <c r="BX2621" s="1070"/>
      <c r="BY2621" s="1070"/>
      <c r="BZ2621" s="1070"/>
      <c r="CA2621" s="1070"/>
      <c r="CB2621" s="1070"/>
      <c r="CC2621" s="1070"/>
      <c r="CD2621" s="1070"/>
      <c r="CE2621" s="1070"/>
      <c r="CF2621" s="1070"/>
      <c r="CG2621" s="1070"/>
      <c r="CH2621" s="1070"/>
      <c r="CI2621" s="1070"/>
      <c r="CJ2621" s="1070"/>
      <c r="CK2621" s="1070"/>
      <c r="CL2621" s="1070"/>
      <c r="CM2621" s="1070"/>
      <c r="CN2621" s="1070"/>
      <c r="CO2621" s="1070"/>
      <c r="CP2621" s="1070"/>
      <c r="CQ2621" s="1070"/>
      <c r="CR2621" s="1070"/>
      <c r="CS2621" s="1070"/>
      <c r="CT2621" s="1070"/>
      <c r="CU2621" s="1070"/>
      <c r="CV2621" s="1070"/>
      <c r="CW2621" s="1070"/>
      <c r="CX2621" s="1070"/>
      <c r="CY2621" s="1070"/>
      <c r="CZ2621" s="1070"/>
      <c r="DA2621" s="1070"/>
      <c r="DB2621" s="1070"/>
      <c r="DC2621" s="1070"/>
      <c r="DD2621" s="1070"/>
      <c r="DE2621" s="1070"/>
      <c r="DF2621" s="1070"/>
      <c r="DG2621" s="1070"/>
      <c r="DH2621" s="1070"/>
      <c r="DI2621" s="1070"/>
      <c r="DJ2621" s="1070"/>
    </row>
    <row r="2622" spans="1:114" s="1136" customFormat="1" ht="15.75" x14ac:dyDescent="0.25">
      <c r="A2622" s="1430" t="s">
        <v>1613</v>
      </c>
      <c r="B2622" s="1424" t="e">
        <f>B2399</f>
        <v>#VALUE!</v>
      </c>
      <c r="C2622" s="1429"/>
      <c r="D2622" s="1350"/>
      <c r="E2622" s="1350"/>
      <c r="F2622" s="1350"/>
      <c r="G2622" s="1350"/>
      <c r="H2622" s="1350"/>
      <c r="I2622" s="1350"/>
      <c r="J2622" s="1350"/>
      <c r="K2622" s="1350"/>
      <c r="L2622" s="1350"/>
      <c r="M2622" s="1350"/>
      <c r="N2622" s="1350"/>
      <c r="O2622" s="1350"/>
      <c r="P2622" s="1350"/>
      <c r="Q2622" s="1350"/>
      <c r="R2622" s="1350"/>
      <c r="S2622" s="1350"/>
      <c r="T2622" s="1350"/>
      <c r="U2622" s="1350"/>
      <c r="V2622" s="1350"/>
      <c r="W2622" s="1350"/>
      <c r="X2622" s="1350"/>
      <c r="Y2622" s="1350"/>
      <c r="Z2622" s="1350"/>
      <c r="AA2622" s="1350"/>
      <c r="AB2622" s="1350"/>
      <c r="AC2622" s="1350"/>
      <c r="AD2622" s="1350"/>
      <c r="AE2622" s="1350"/>
      <c r="AF2622" s="1350"/>
      <c r="AG2622" s="1350"/>
      <c r="AH2622" s="1350"/>
      <c r="AI2622" s="1350"/>
      <c r="AJ2622" s="1350"/>
      <c r="AK2622" s="1350"/>
      <c r="AL2622" s="1350"/>
      <c r="AM2622" s="1350"/>
      <c r="AN2622" s="1350"/>
      <c r="AO2622" s="1350"/>
      <c r="AP2622" s="1350"/>
      <c r="AQ2622" s="1350"/>
      <c r="AR2622" s="1350"/>
      <c r="AS2622" s="1350"/>
      <c r="AT2622" s="1350"/>
      <c r="AU2622" s="1350"/>
      <c r="AV2622" s="1350"/>
      <c r="AW2622" s="1350"/>
      <c r="AX2622" s="1350"/>
      <c r="AY2622" s="1350"/>
      <c r="AZ2622" s="1350"/>
      <c r="BA2622" s="1070"/>
      <c r="BB2622" s="1070"/>
      <c r="BC2622" s="1070"/>
      <c r="BD2622" s="1070"/>
      <c r="BE2622" s="1070"/>
      <c r="BF2622" s="1070"/>
      <c r="BG2622" s="1070"/>
      <c r="BH2622" s="1070"/>
      <c r="BI2622" s="1070"/>
      <c r="BJ2622" s="1070"/>
      <c r="BK2622" s="1070"/>
      <c r="BL2622" s="1070"/>
      <c r="BM2622" s="1070"/>
      <c r="BN2622" s="1070"/>
      <c r="BO2622" s="1070"/>
      <c r="BP2622" s="1070"/>
      <c r="BQ2622" s="1070"/>
      <c r="BR2622" s="1070"/>
      <c r="BS2622" s="1070"/>
      <c r="BT2622" s="1070"/>
      <c r="BU2622" s="1070"/>
      <c r="BV2622" s="1070"/>
      <c r="BW2622" s="1070"/>
      <c r="BX2622" s="1070"/>
      <c r="BY2622" s="1070"/>
      <c r="BZ2622" s="1070"/>
      <c r="CA2622" s="1070"/>
      <c r="CB2622" s="1070"/>
      <c r="CC2622" s="1070"/>
      <c r="CD2622" s="1070"/>
      <c r="CE2622" s="1070"/>
      <c r="CF2622" s="1070"/>
      <c r="CG2622" s="1070"/>
      <c r="CH2622" s="1070"/>
      <c r="CI2622" s="1070"/>
      <c r="CJ2622" s="1070"/>
      <c r="CK2622" s="1070"/>
      <c r="CL2622" s="1070"/>
      <c r="CM2622" s="1070"/>
      <c r="CN2622" s="1070"/>
      <c r="CO2622" s="1070"/>
      <c r="CP2622" s="1070"/>
      <c r="CQ2622" s="1070"/>
      <c r="CR2622" s="1070"/>
      <c r="CS2622" s="1070"/>
      <c r="CT2622" s="1070"/>
      <c r="CU2622" s="1070"/>
      <c r="CV2622" s="1070"/>
      <c r="CW2622" s="1070"/>
      <c r="CX2622" s="1070"/>
      <c r="CY2622" s="1070"/>
      <c r="CZ2622" s="1070"/>
      <c r="DA2622" s="1070"/>
      <c r="DB2622" s="1070"/>
      <c r="DC2622" s="1070"/>
      <c r="DD2622" s="1070"/>
      <c r="DE2622" s="1070"/>
      <c r="DF2622" s="1070"/>
      <c r="DG2622" s="1070"/>
      <c r="DH2622" s="1070"/>
      <c r="DI2622" s="1070"/>
      <c r="DJ2622" s="1070"/>
    </row>
    <row r="2623" spans="1:114" s="1136" customFormat="1" ht="15.75" x14ac:dyDescent="0.25">
      <c r="A2623" s="1422" t="s">
        <v>1319</v>
      </c>
      <c r="B2623" s="1441" t="e">
        <f>B2400</f>
        <v>#VALUE!</v>
      </c>
      <c r="C2623" s="1434"/>
      <c r="D2623" s="1350"/>
      <c r="E2623" s="1350"/>
      <c r="F2623" s="1350"/>
      <c r="G2623" s="1350"/>
      <c r="H2623" s="1350"/>
      <c r="I2623" s="1350"/>
      <c r="J2623" s="1350"/>
      <c r="K2623" s="1350"/>
      <c r="L2623" s="1350"/>
      <c r="M2623" s="1350"/>
      <c r="N2623" s="1350"/>
      <c r="O2623" s="1350"/>
      <c r="P2623" s="1350"/>
      <c r="Q2623" s="1350"/>
      <c r="R2623" s="1350"/>
      <c r="S2623" s="1350"/>
      <c r="T2623" s="1350"/>
      <c r="U2623" s="1350"/>
      <c r="V2623" s="1350"/>
      <c r="W2623" s="1350"/>
      <c r="X2623" s="1350"/>
      <c r="Y2623" s="1350"/>
      <c r="Z2623" s="1350"/>
      <c r="AA2623" s="1350"/>
      <c r="AB2623" s="1350"/>
      <c r="AC2623" s="1350"/>
      <c r="AD2623" s="1350"/>
      <c r="AE2623" s="1350"/>
      <c r="AF2623" s="1350"/>
      <c r="AG2623" s="1350"/>
      <c r="AH2623" s="1350"/>
      <c r="AI2623" s="1350"/>
      <c r="AJ2623" s="1350"/>
      <c r="AK2623" s="1350"/>
      <c r="AL2623" s="1350"/>
      <c r="AM2623" s="1350"/>
      <c r="AN2623" s="1350"/>
      <c r="AO2623" s="1350"/>
      <c r="AP2623" s="1350"/>
      <c r="AQ2623" s="1350"/>
      <c r="AR2623" s="1350"/>
      <c r="AS2623" s="1350"/>
      <c r="AT2623" s="1350"/>
      <c r="AU2623" s="1350"/>
      <c r="AV2623" s="1350"/>
      <c r="AW2623" s="1350"/>
      <c r="AX2623" s="1350"/>
      <c r="AY2623" s="1350"/>
      <c r="AZ2623" s="1350"/>
      <c r="BA2623" s="1070"/>
      <c r="BB2623" s="1070"/>
      <c r="BC2623" s="1070"/>
      <c r="BD2623" s="1070"/>
      <c r="BE2623" s="1070"/>
      <c r="BF2623" s="1070"/>
      <c r="BG2623" s="1070"/>
      <c r="BH2623" s="1070"/>
      <c r="BI2623" s="1070"/>
      <c r="BJ2623" s="1070"/>
      <c r="BK2623" s="1070"/>
      <c r="BL2623" s="1070"/>
      <c r="BM2623" s="1070"/>
      <c r="BN2623" s="1070"/>
      <c r="BO2623" s="1070"/>
      <c r="BP2623" s="1070"/>
      <c r="BQ2623" s="1070"/>
      <c r="BR2623" s="1070"/>
      <c r="BS2623" s="1070"/>
      <c r="BT2623" s="1070"/>
      <c r="BU2623" s="1070"/>
      <c r="BV2623" s="1070"/>
      <c r="BW2623" s="1070"/>
      <c r="BX2623" s="1070"/>
      <c r="BY2623" s="1070"/>
      <c r="BZ2623" s="1070"/>
      <c r="CA2623" s="1070"/>
      <c r="CB2623" s="1070"/>
      <c r="CC2623" s="1070"/>
      <c r="CD2623" s="1070"/>
      <c r="CE2623" s="1070"/>
      <c r="CF2623" s="1070"/>
      <c r="CG2623" s="1070"/>
      <c r="CH2623" s="1070"/>
      <c r="CI2623" s="1070"/>
      <c r="CJ2623" s="1070"/>
      <c r="CK2623" s="1070"/>
      <c r="CL2623" s="1070"/>
      <c r="CM2623" s="1070"/>
      <c r="CN2623" s="1070"/>
      <c r="CO2623" s="1070"/>
      <c r="CP2623" s="1070"/>
      <c r="CQ2623" s="1070"/>
      <c r="CR2623" s="1070"/>
      <c r="CS2623" s="1070"/>
      <c r="CT2623" s="1070"/>
      <c r="CU2623" s="1070"/>
      <c r="CV2623" s="1070"/>
      <c r="CW2623" s="1070"/>
      <c r="CX2623" s="1070"/>
      <c r="CY2623" s="1070"/>
      <c r="CZ2623" s="1070"/>
      <c r="DA2623" s="1070"/>
      <c r="DB2623" s="1070"/>
      <c r="DC2623" s="1070"/>
      <c r="DD2623" s="1070"/>
      <c r="DE2623" s="1070"/>
      <c r="DF2623" s="1070"/>
      <c r="DG2623" s="1070"/>
      <c r="DH2623" s="1070"/>
      <c r="DI2623" s="1070"/>
      <c r="DJ2623" s="1070"/>
    </row>
    <row r="2624" spans="1:114" s="1136" customFormat="1" ht="15.75" x14ac:dyDescent="0.25">
      <c r="A2624" s="1422" t="s">
        <v>1321</v>
      </c>
      <c r="B2624" s="1441">
        <v>4</v>
      </c>
      <c r="C2624" s="1434"/>
      <c r="D2624" s="1504"/>
      <c r="E2624" s="1504"/>
      <c r="F2624" s="1504"/>
      <c r="G2624" s="1504"/>
      <c r="H2624" s="1350"/>
      <c r="I2624" s="1350"/>
      <c r="J2624" s="1350"/>
      <c r="K2624" s="1350"/>
      <c r="L2624" s="1350"/>
      <c r="M2624" s="1350"/>
      <c r="N2624" s="1350"/>
      <c r="O2624" s="1350"/>
      <c r="P2624" s="1350"/>
      <c r="Q2624" s="1350"/>
      <c r="R2624" s="1350"/>
      <c r="S2624" s="1350"/>
      <c r="T2624" s="1350"/>
      <c r="U2624" s="1350"/>
      <c r="V2624" s="1350"/>
      <c r="W2624" s="1350"/>
      <c r="X2624" s="1350"/>
      <c r="Y2624" s="1350"/>
      <c r="Z2624" s="1350"/>
      <c r="AA2624" s="1350"/>
      <c r="AB2624" s="1350"/>
      <c r="AC2624" s="1350"/>
      <c r="AD2624" s="1350"/>
      <c r="AE2624" s="1350"/>
      <c r="AF2624" s="1350"/>
      <c r="AG2624" s="1350"/>
      <c r="AH2624" s="1350"/>
      <c r="AI2624" s="1350"/>
      <c r="AJ2624" s="1350"/>
      <c r="AK2624" s="1350"/>
      <c r="AL2624" s="1350"/>
      <c r="AM2624" s="1350"/>
      <c r="AN2624" s="1350"/>
      <c r="AO2624" s="1350"/>
      <c r="AP2624" s="1350"/>
      <c r="AQ2624" s="1350"/>
      <c r="AR2624" s="1350"/>
      <c r="AS2624" s="1350"/>
      <c r="AT2624" s="1350"/>
      <c r="AU2624" s="1350"/>
      <c r="AV2624" s="1350"/>
      <c r="AW2624" s="1350"/>
      <c r="AX2624" s="1350"/>
      <c r="AY2624" s="1350"/>
      <c r="AZ2624" s="1350"/>
      <c r="BA2624" s="1070"/>
      <c r="BB2624" s="1070"/>
      <c r="BC2624" s="1070"/>
      <c r="BD2624" s="1070"/>
      <c r="BE2624" s="1070"/>
      <c r="BF2624" s="1070"/>
      <c r="BG2624" s="1070"/>
      <c r="BH2624" s="1070"/>
      <c r="BI2624" s="1070"/>
      <c r="BJ2624" s="1070"/>
      <c r="BK2624" s="1070"/>
      <c r="BL2624" s="1070"/>
      <c r="BM2624" s="1070"/>
      <c r="BN2624" s="1070"/>
      <c r="BO2624" s="1070"/>
      <c r="BP2624" s="1070"/>
      <c r="BQ2624" s="1070"/>
      <c r="BR2624" s="1070"/>
      <c r="BS2624" s="1070"/>
      <c r="BT2624" s="1070"/>
      <c r="BU2624" s="1070"/>
      <c r="BV2624" s="1070"/>
      <c r="BW2624" s="1070"/>
      <c r="BX2624" s="1070"/>
      <c r="BY2624" s="1070"/>
      <c r="BZ2624" s="1070"/>
      <c r="CA2624" s="1070"/>
      <c r="CB2624" s="1070"/>
      <c r="CC2624" s="1070"/>
      <c r="CD2624" s="1070"/>
      <c r="CE2624" s="1070"/>
      <c r="CF2624" s="1070"/>
      <c r="CG2624" s="1070"/>
      <c r="CH2624" s="1070"/>
      <c r="CI2624" s="1070"/>
      <c r="CJ2624" s="1070"/>
      <c r="CK2624" s="1070"/>
      <c r="CL2624" s="1070"/>
      <c r="CM2624" s="1070"/>
      <c r="CN2624" s="1070"/>
      <c r="CO2624" s="1070"/>
      <c r="CP2624" s="1070"/>
      <c r="CQ2624" s="1070"/>
      <c r="CR2624" s="1070"/>
      <c r="CS2624" s="1070"/>
      <c r="CT2624" s="1070"/>
      <c r="CU2624" s="1070"/>
      <c r="CV2624" s="1070"/>
      <c r="CW2624" s="1070"/>
      <c r="CX2624" s="1070"/>
      <c r="CY2624" s="1070"/>
      <c r="CZ2624" s="1070"/>
      <c r="DA2624" s="1070"/>
      <c r="DB2624" s="1070"/>
      <c r="DC2624" s="1070"/>
      <c r="DD2624" s="1070"/>
      <c r="DE2624" s="1070"/>
      <c r="DF2624" s="1070"/>
      <c r="DG2624" s="1070"/>
      <c r="DH2624" s="1070"/>
      <c r="DI2624" s="1070"/>
      <c r="DJ2624" s="1070"/>
    </row>
    <row r="2625" spans="1:114" s="1136" customFormat="1" ht="15.75" x14ac:dyDescent="0.25">
      <c r="A2625" s="1422" t="s">
        <v>1322</v>
      </c>
      <c r="B2625" s="1439"/>
      <c r="C2625" s="1432"/>
      <c r="D2625" s="1350"/>
      <c r="E2625" s="1350"/>
      <c r="F2625" s="1350"/>
      <c r="G2625" s="1350"/>
      <c r="H2625" s="1350"/>
      <c r="I2625" s="1350"/>
      <c r="J2625" s="1350"/>
      <c r="K2625" s="1350"/>
      <c r="L2625" s="1350"/>
      <c r="M2625" s="1350"/>
      <c r="N2625" s="1350"/>
      <c r="O2625" s="1350"/>
      <c r="P2625" s="1350"/>
      <c r="Q2625" s="1350"/>
      <c r="R2625" s="1350"/>
      <c r="S2625" s="1350"/>
      <c r="T2625" s="1350"/>
      <c r="U2625" s="1350"/>
      <c r="V2625" s="1350"/>
      <c r="W2625" s="1350"/>
      <c r="X2625" s="1350"/>
      <c r="Y2625" s="1350"/>
      <c r="Z2625" s="1350"/>
      <c r="AA2625" s="1350"/>
      <c r="AB2625" s="1350"/>
      <c r="AC2625" s="1350"/>
      <c r="AD2625" s="1350"/>
      <c r="AE2625" s="1350"/>
      <c r="AF2625" s="1350"/>
      <c r="AG2625" s="1350"/>
      <c r="AH2625" s="1350"/>
      <c r="AI2625" s="1350"/>
      <c r="AJ2625" s="1350"/>
      <c r="AK2625" s="1350"/>
      <c r="AL2625" s="1350"/>
      <c r="AM2625" s="1350"/>
      <c r="AN2625" s="1350"/>
      <c r="AO2625" s="1350"/>
      <c r="AP2625" s="1350"/>
      <c r="AQ2625" s="1350"/>
      <c r="AR2625" s="1350"/>
      <c r="AS2625" s="1350"/>
      <c r="AT2625" s="1350"/>
      <c r="AU2625" s="1350"/>
      <c r="AV2625" s="1350"/>
      <c r="AW2625" s="1350"/>
      <c r="AX2625" s="1350"/>
      <c r="AY2625" s="1350"/>
      <c r="AZ2625" s="1350"/>
      <c r="BA2625" s="1070"/>
      <c r="BB2625" s="1070"/>
      <c r="BC2625" s="1070"/>
      <c r="BD2625" s="1070"/>
      <c r="BE2625" s="1070"/>
      <c r="BF2625" s="1070"/>
      <c r="BG2625" s="1070"/>
      <c r="BH2625" s="1070"/>
      <c r="BI2625" s="1070"/>
      <c r="BJ2625" s="1070"/>
      <c r="BK2625" s="1070"/>
      <c r="BL2625" s="1070"/>
      <c r="BM2625" s="1070"/>
      <c r="BN2625" s="1070"/>
      <c r="BO2625" s="1070"/>
      <c r="BP2625" s="1070"/>
      <c r="BQ2625" s="1070"/>
      <c r="BR2625" s="1070"/>
      <c r="BS2625" s="1070"/>
      <c r="BT2625" s="1070"/>
      <c r="BU2625" s="1070"/>
      <c r="BV2625" s="1070"/>
      <c r="BW2625" s="1070"/>
      <c r="BX2625" s="1070"/>
      <c r="BY2625" s="1070"/>
      <c r="BZ2625" s="1070"/>
      <c r="CA2625" s="1070"/>
      <c r="CB2625" s="1070"/>
      <c r="CC2625" s="1070"/>
      <c r="CD2625" s="1070"/>
      <c r="CE2625" s="1070"/>
      <c r="CF2625" s="1070"/>
      <c r="CG2625" s="1070"/>
      <c r="CH2625" s="1070"/>
      <c r="CI2625" s="1070"/>
      <c r="CJ2625" s="1070"/>
      <c r="CK2625" s="1070"/>
      <c r="CL2625" s="1070"/>
      <c r="CM2625" s="1070"/>
      <c r="CN2625" s="1070"/>
      <c r="CO2625" s="1070"/>
      <c r="CP2625" s="1070"/>
      <c r="CQ2625" s="1070"/>
      <c r="CR2625" s="1070"/>
      <c r="CS2625" s="1070"/>
      <c r="CT2625" s="1070"/>
      <c r="CU2625" s="1070"/>
      <c r="CV2625" s="1070"/>
      <c r="CW2625" s="1070"/>
      <c r="CX2625" s="1070"/>
      <c r="CY2625" s="1070"/>
      <c r="CZ2625" s="1070"/>
      <c r="DA2625" s="1070"/>
      <c r="DB2625" s="1070"/>
      <c r="DC2625" s="1070"/>
      <c r="DD2625" s="1070"/>
      <c r="DE2625" s="1070"/>
      <c r="DF2625" s="1070"/>
      <c r="DG2625" s="1070"/>
      <c r="DH2625" s="1070"/>
      <c r="DI2625" s="1070"/>
      <c r="DJ2625" s="1070"/>
    </row>
    <row r="2626" spans="1:114" s="1136" customFormat="1" ht="15.75" x14ac:dyDescent="0.25">
      <c r="A2626" s="1422" t="s">
        <v>1323</v>
      </c>
      <c r="B2626" s="1443">
        <f>IF(B2617&lt;1.63,1,IF(B2617&lt;2.45,0.9,0.85))</f>
        <v>0.85</v>
      </c>
      <c r="C2626" s="1437"/>
      <c r="D2626" s="1432"/>
      <c r="E2626" s="1432"/>
      <c r="F2626" s="1432"/>
      <c r="G2626" s="1432"/>
      <c r="H2626" s="1350"/>
      <c r="I2626" s="1350"/>
      <c r="J2626" s="1350"/>
      <c r="K2626" s="1350"/>
      <c r="L2626" s="1350"/>
      <c r="M2626" s="1350"/>
      <c r="N2626" s="1350"/>
      <c r="O2626" s="1350"/>
      <c r="P2626" s="1350"/>
      <c r="Q2626" s="1350"/>
      <c r="R2626" s="1350"/>
      <c r="S2626" s="1350"/>
      <c r="T2626" s="1350"/>
      <c r="U2626" s="1350"/>
      <c r="V2626" s="1350"/>
      <c r="W2626" s="1350"/>
      <c r="X2626" s="1350"/>
      <c r="Y2626" s="1350"/>
      <c r="Z2626" s="1350"/>
      <c r="AA2626" s="1350"/>
      <c r="AB2626" s="1350"/>
      <c r="AC2626" s="1350"/>
      <c r="AD2626" s="1350"/>
      <c r="AE2626" s="1350"/>
      <c r="AF2626" s="1350"/>
      <c r="AG2626" s="1350"/>
      <c r="AH2626" s="1350"/>
      <c r="AI2626" s="1350"/>
      <c r="AJ2626" s="1350"/>
      <c r="AK2626" s="1350"/>
      <c r="AL2626" s="1350"/>
      <c r="AM2626" s="1350"/>
      <c r="AN2626" s="1350"/>
      <c r="AO2626" s="1350"/>
      <c r="AP2626" s="1350"/>
      <c r="AQ2626" s="1350"/>
      <c r="AR2626" s="1350"/>
      <c r="AS2626" s="1350"/>
      <c r="AT2626" s="1350"/>
      <c r="AU2626" s="1350"/>
      <c r="AV2626" s="1350"/>
      <c r="AW2626" s="1350"/>
      <c r="AX2626" s="1350"/>
      <c r="AY2626" s="1350"/>
      <c r="AZ2626" s="1350"/>
      <c r="BA2626" s="1070"/>
      <c r="BB2626" s="1070"/>
      <c r="BC2626" s="1070"/>
      <c r="BD2626" s="1070"/>
      <c r="BE2626" s="1070"/>
      <c r="BF2626" s="1070"/>
      <c r="BG2626" s="1070"/>
      <c r="BH2626" s="1070"/>
      <c r="BI2626" s="1070"/>
      <c r="BJ2626" s="1070"/>
      <c r="BK2626" s="1070"/>
      <c r="BL2626" s="1070"/>
      <c r="BM2626" s="1070"/>
      <c r="BN2626" s="1070"/>
      <c r="BO2626" s="1070"/>
      <c r="BP2626" s="1070"/>
      <c r="BQ2626" s="1070"/>
      <c r="BR2626" s="1070"/>
      <c r="BS2626" s="1070"/>
      <c r="BT2626" s="1070"/>
      <c r="BU2626" s="1070"/>
      <c r="BV2626" s="1070"/>
      <c r="BW2626" s="1070"/>
      <c r="BX2626" s="1070"/>
      <c r="BY2626" s="1070"/>
      <c r="BZ2626" s="1070"/>
      <c r="CA2626" s="1070"/>
      <c r="CB2626" s="1070"/>
      <c r="CC2626" s="1070"/>
      <c r="CD2626" s="1070"/>
      <c r="CE2626" s="1070"/>
      <c r="CF2626" s="1070"/>
      <c r="CG2626" s="1070"/>
      <c r="CH2626" s="1070"/>
      <c r="CI2626" s="1070"/>
      <c r="CJ2626" s="1070"/>
      <c r="CK2626" s="1070"/>
      <c r="CL2626" s="1070"/>
      <c r="CM2626" s="1070"/>
      <c r="CN2626" s="1070"/>
      <c r="CO2626" s="1070"/>
      <c r="CP2626" s="1070"/>
      <c r="CQ2626" s="1070"/>
      <c r="CR2626" s="1070"/>
      <c r="CS2626" s="1070"/>
      <c r="CT2626" s="1070"/>
      <c r="CU2626" s="1070"/>
      <c r="CV2626" s="1070"/>
      <c r="CW2626" s="1070"/>
      <c r="CX2626" s="1070"/>
      <c r="CY2626" s="1070"/>
      <c r="CZ2626" s="1070"/>
      <c r="DA2626" s="1070"/>
      <c r="DB2626" s="1070"/>
      <c r="DC2626" s="1070"/>
      <c r="DD2626" s="1070"/>
      <c r="DE2626" s="1070"/>
      <c r="DF2626" s="1070"/>
      <c r="DG2626" s="1070"/>
      <c r="DH2626" s="1070"/>
      <c r="DI2626" s="1070"/>
      <c r="DJ2626" s="1070"/>
    </row>
    <row r="2627" spans="1:114" s="1136" customFormat="1" ht="15.75" x14ac:dyDescent="0.25">
      <c r="A2627" s="1422" t="s">
        <v>391</v>
      </c>
      <c r="B2627" s="1443">
        <f>B2405</f>
        <v>1.1499999999999999</v>
      </c>
      <c r="C2627" s="1437"/>
      <c r="D2627" s="1429"/>
      <c r="E2627" s="1429"/>
      <c r="F2627" s="1429"/>
      <c r="G2627" s="1429"/>
      <c r="H2627" s="1350"/>
      <c r="I2627" s="1350"/>
      <c r="J2627" s="1350"/>
      <c r="K2627" s="1350"/>
      <c r="L2627" s="1350"/>
      <c r="M2627" s="1350"/>
      <c r="N2627" s="1350"/>
      <c r="O2627" s="1350"/>
      <c r="P2627" s="1350"/>
      <c r="Q2627" s="1350"/>
      <c r="R2627" s="1350"/>
      <c r="S2627" s="1350"/>
      <c r="T2627" s="1350"/>
      <c r="U2627" s="1350"/>
      <c r="V2627" s="1350"/>
      <c r="W2627" s="1350"/>
      <c r="X2627" s="1350"/>
      <c r="Y2627" s="1350"/>
      <c r="Z2627" s="1350"/>
      <c r="AA2627" s="1350"/>
      <c r="AB2627" s="1350"/>
      <c r="AC2627" s="1350"/>
      <c r="AD2627" s="1350"/>
      <c r="AE2627" s="1350"/>
      <c r="AF2627" s="1350"/>
      <c r="AG2627" s="1350"/>
      <c r="AH2627" s="1350"/>
      <c r="AI2627" s="1350"/>
      <c r="AJ2627" s="1350"/>
      <c r="AK2627" s="1350"/>
      <c r="AL2627" s="1350"/>
      <c r="AM2627" s="1350"/>
      <c r="AN2627" s="1350"/>
      <c r="AO2627" s="1350"/>
      <c r="AP2627" s="1350"/>
      <c r="AQ2627" s="1350"/>
      <c r="AR2627" s="1350"/>
      <c r="AS2627" s="1350"/>
      <c r="AT2627" s="1350"/>
      <c r="AU2627" s="1350"/>
      <c r="AV2627" s="1350"/>
      <c r="AW2627" s="1350"/>
      <c r="AX2627" s="1350"/>
      <c r="AY2627" s="1350"/>
      <c r="AZ2627" s="1350"/>
      <c r="BA2627" s="1070"/>
      <c r="BB2627" s="1070"/>
      <c r="BC2627" s="1070"/>
      <c r="BD2627" s="1070"/>
      <c r="BE2627" s="1070"/>
      <c r="BF2627" s="1070"/>
      <c r="BG2627" s="1070"/>
      <c r="BH2627" s="1070"/>
      <c r="BI2627" s="1070"/>
      <c r="BJ2627" s="1070"/>
      <c r="BK2627" s="1070"/>
      <c r="BL2627" s="1070"/>
      <c r="BM2627" s="1070"/>
      <c r="BN2627" s="1070"/>
      <c r="BO2627" s="1070"/>
      <c r="BP2627" s="1070"/>
      <c r="BQ2627" s="1070"/>
      <c r="BR2627" s="1070"/>
      <c r="BS2627" s="1070"/>
      <c r="BT2627" s="1070"/>
      <c r="BU2627" s="1070"/>
      <c r="BV2627" s="1070"/>
      <c r="BW2627" s="1070"/>
      <c r="BX2627" s="1070"/>
      <c r="BY2627" s="1070"/>
      <c r="BZ2627" s="1070"/>
      <c r="CA2627" s="1070"/>
      <c r="CB2627" s="1070"/>
      <c r="CC2627" s="1070"/>
      <c r="CD2627" s="1070"/>
      <c r="CE2627" s="1070"/>
      <c r="CF2627" s="1070"/>
      <c r="CG2627" s="1070"/>
      <c r="CH2627" s="1070"/>
      <c r="CI2627" s="1070"/>
      <c r="CJ2627" s="1070"/>
      <c r="CK2627" s="1070"/>
      <c r="CL2627" s="1070"/>
      <c r="CM2627" s="1070"/>
      <c r="CN2627" s="1070"/>
      <c r="CO2627" s="1070"/>
      <c r="CP2627" s="1070"/>
      <c r="CQ2627" s="1070"/>
      <c r="CR2627" s="1070"/>
      <c r="CS2627" s="1070"/>
      <c r="CT2627" s="1070"/>
      <c r="CU2627" s="1070"/>
      <c r="CV2627" s="1070"/>
      <c r="CW2627" s="1070"/>
      <c r="CX2627" s="1070"/>
      <c r="CY2627" s="1070"/>
      <c r="CZ2627" s="1070"/>
      <c r="DA2627" s="1070"/>
      <c r="DB2627" s="1070"/>
      <c r="DC2627" s="1070"/>
      <c r="DD2627" s="1070"/>
      <c r="DE2627" s="1070"/>
      <c r="DF2627" s="1070"/>
      <c r="DG2627" s="1070"/>
      <c r="DH2627" s="1070"/>
      <c r="DI2627" s="1070"/>
      <c r="DJ2627" s="1070"/>
    </row>
    <row r="2628" spans="1:114" s="1136" customFormat="1" ht="15.75" x14ac:dyDescent="0.25">
      <c r="A2628" s="1422" t="s">
        <v>392</v>
      </c>
      <c r="B2628" s="1443">
        <f>B2406</f>
        <v>1</v>
      </c>
      <c r="C2628" s="1437"/>
      <c r="D2628" s="1350"/>
      <c r="E2628" s="1350"/>
      <c r="F2628" s="1350"/>
      <c r="G2628" s="1350"/>
      <c r="H2628" s="1350"/>
      <c r="I2628" s="1350"/>
      <c r="J2628" s="1350"/>
      <c r="K2628" s="1350"/>
      <c r="L2628" s="1350"/>
      <c r="M2628" s="1350"/>
      <c r="N2628" s="1350"/>
      <c r="O2628" s="1350"/>
      <c r="P2628" s="1350"/>
      <c r="Q2628" s="1350"/>
      <c r="R2628" s="1350"/>
      <c r="S2628" s="1350"/>
      <c r="T2628" s="1350"/>
      <c r="U2628" s="1350"/>
      <c r="V2628" s="1350"/>
      <c r="W2628" s="1350"/>
      <c r="X2628" s="1350"/>
      <c r="Y2628" s="1350"/>
      <c r="Z2628" s="1350"/>
      <c r="AA2628" s="1350"/>
      <c r="AB2628" s="1350"/>
      <c r="AC2628" s="1350"/>
      <c r="AD2628" s="1350"/>
      <c r="AE2628" s="1350"/>
      <c r="AF2628" s="1350"/>
      <c r="AG2628" s="1350"/>
      <c r="AH2628" s="1350"/>
      <c r="AI2628" s="1350"/>
      <c r="AJ2628" s="1350"/>
      <c r="AK2628" s="1350"/>
      <c r="AL2628" s="1350"/>
      <c r="AM2628" s="1350"/>
      <c r="AN2628" s="1350"/>
      <c r="AO2628" s="1350"/>
      <c r="AP2628" s="1350"/>
      <c r="AQ2628" s="1350"/>
      <c r="AR2628" s="1350"/>
      <c r="AS2628" s="1350"/>
      <c r="AT2628" s="1350"/>
      <c r="AU2628" s="1350"/>
      <c r="AV2628" s="1350"/>
      <c r="AW2628" s="1350"/>
      <c r="AX2628" s="1350"/>
      <c r="AY2628" s="1350"/>
      <c r="AZ2628" s="1350"/>
      <c r="BA2628" s="1070"/>
      <c r="BB2628" s="1070"/>
      <c r="BC2628" s="1070"/>
      <c r="BD2628" s="1070"/>
      <c r="BE2628" s="1070"/>
      <c r="BF2628" s="1070"/>
      <c r="BG2628" s="1070"/>
      <c r="BH2628" s="1070"/>
      <c r="BI2628" s="1070"/>
      <c r="BJ2628" s="1070"/>
      <c r="BK2628" s="1070"/>
      <c r="BL2628" s="1070"/>
      <c r="BM2628" s="1070"/>
      <c r="BN2628" s="1070"/>
      <c r="BO2628" s="1070"/>
      <c r="BP2628" s="1070"/>
      <c r="BQ2628" s="1070"/>
      <c r="BR2628" s="1070"/>
      <c r="BS2628" s="1070"/>
      <c r="BT2628" s="1070"/>
      <c r="BU2628" s="1070"/>
      <c r="BV2628" s="1070"/>
      <c r="BW2628" s="1070"/>
      <c r="BX2628" s="1070"/>
      <c r="BY2628" s="1070"/>
      <c r="BZ2628" s="1070"/>
      <c r="CA2628" s="1070"/>
      <c r="CB2628" s="1070"/>
      <c r="CC2628" s="1070"/>
      <c r="CD2628" s="1070"/>
      <c r="CE2628" s="1070"/>
      <c r="CF2628" s="1070"/>
      <c r="CG2628" s="1070"/>
      <c r="CH2628" s="1070"/>
      <c r="CI2628" s="1070"/>
      <c r="CJ2628" s="1070"/>
      <c r="CK2628" s="1070"/>
      <c r="CL2628" s="1070"/>
      <c r="CM2628" s="1070"/>
      <c r="CN2628" s="1070"/>
      <c r="CO2628" s="1070"/>
      <c r="CP2628" s="1070"/>
      <c r="CQ2628" s="1070"/>
      <c r="CR2628" s="1070"/>
      <c r="CS2628" s="1070"/>
      <c r="CT2628" s="1070"/>
      <c r="CU2628" s="1070"/>
      <c r="CV2628" s="1070"/>
      <c r="CW2628" s="1070"/>
      <c r="CX2628" s="1070"/>
      <c r="CY2628" s="1070"/>
      <c r="CZ2628" s="1070"/>
      <c r="DA2628" s="1070"/>
      <c r="DB2628" s="1070"/>
      <c r="DC2628" s="1070"/>
      <c r="DD2628" s="1070"/>
      <c r="DE2628" s="1070"/>
      <c r="DF2628" s="1070"/>
      <c r="DG2628" s="1070"/>
      <c r="DH2628" s="1070"/>
      <c r="DI2628" s="1070"/>
      <c r="DJ2628" s="1070"/>
    </row>
    <row r="2629" spans="1:114" s="1136" customFormat="1" ht="31.5" x14ac:dyDescent="0.25">
      <c r="A2629" s="1422" t="s">
        <v>393</v>
      </c>
      <c r="B2629" s="1443">
        <f>B2407</f>
        <v>1</v>
      </c>
      <c r="C2629" s="1437"/>
      <c r="D2629" s="1429"/>
      <c r="E2629" s="1429"/>
      <c r="F2629" s="1429"/>
      <c r="G2629" s="1429"/>
      <c r="H2629" s="1350"/>
      <c r="I2629" s="1350"/>
      <c r="J2629" s="1350"/>
      <c r="K2629" s="1350"/>
      <c r="L2629" s="1350"/>
      <c r="M2629" s="1350"/>
      <c r="N2629" s="1350"/>
      <c r="O2629" s="1350"/>
      <c r="P2629" s="1350"/>
      <c r="Q2629" s="1350"/>
      <c r="R2629" s="1350"/>
      <c r="S2629" s="1350"/>
      <c r="T2629" s="1350"/>
      <c r="U2629" s="1350"/>
      <c r="V2629" s="1350"/>
      <c r="W2629" s="1350"/>
      <c r="X2629" s="1350"/>
      <c r="Y2629" s="1350"/>
      <c r="Z2629" s="1350"/>
      <c r="AA2629" s="1350"/>
      <c r="AB2629" s="1350"/>
      <c r="AC2629" s="1350"/>
      <c r="AD2629" s="1350"/>
      <c r="AE2629" s="1350"/>
      <c r="AF2629" s="1350"/>
      <c r="AG2629" s="1350"/>
      <c r="AH2629" s="1350"/>
      <c r="AI2629" s="1350"/>
      <c r="AJ2629" s="1350"/>
      <c r="AK2629" s="1350"/>
      <c r="AL2629" s="1350"/>
      <c r="AM2629" s="1350"/>
      <c r="AN2629" s="1350"/>
      <c r="AO2629" s="1350"/>
      <c r="AP2629" s="1350"/>
      <c r="AQ2629" s="1350"/>
      <c r="AR2629" s="1350"/>
      <c r="AS2629" s="1350"/>
      <c r="AT2629" s="1350"/>
      <c r="AU2629" s="1350"/>
      <c r="AV2629" s="1350"/>
      <c r="AW2629" s="1350"/>
      <c r="AX2629" s="1350"/>
      <c r="AY2629" s="1350"/>
      <c r="AZ2629" s="1350"/>
      <c r="BA2629" s="1070"/>
      <c r="BB2629" s="1070"/>
      <c r="BC2629" s="1070"/>
      <c r="BD2629" s="1070"/>
      <c r="BE2629" s="1070"/>
      <c r="BF2629" s="1070"/>
      <c r="BG2629" s="1070"/>
      <c r="BH2629" s="1070"/>
      <c r="BI2629" s="1070"/>
      <c r="BJ2629" s="1070"/>
      <c r="BK2629" s="1070"/>
      <c r="BL2629" s="1070"/>
      <c r="BM2629" s="1070"/>
      <c r="BN2629" s="1070"/>
      <c r="BO2629" s="1070"/>
      <c r="BP2629" s="1070"/>
      <c r="BQ2629" s="1070"/>
      <c r="BR2629" s="1070"/>
      <c r="BS2629" s="1070"/>
      <c r="BT2629" s="1070"/>
      <c r="BU2629" s="1070"/>
      <c r="BV2629" s="1070"/>
      <c r="BW2629" s="1070"/>
      <c r="BX2629" s="1070"/>
      <c r="BY2629" s="1070"/>
      <c r="BZ2629" s="1070"/>
      <c r="CA2629" s="1070"/>
      <c r="CB2629" s="1070"/>
      <c r="CC2629" s="1070"/>
      <c r="CD2629" s="1070"/>
      <c r="CE2629" s="1070"/>
      <c r="CF2629" s="1070"/>
      <c r="CG2629" s="1070"/>
      <c r="CH2629" s="1070"/>
      <c r="CI2629" s="1070"/>
      <c r="CJ2629" s="1070"/>
      <c r="CK2629" s="1070"/>
      <c r="CL2629" s="1070"/>
      <c r="CM2629" s="1070"/>
      <c r="CN2629" s="1070"/>
      <c r="CO2629" s="1070"/>
      <c r="CP2629" s="1070"/>
      <c r="CQ2629" s="1070"/>
      <c r="CR2629" s="1070"/>
      <c r="CS2629" s="1070"/>
      <c r="CT2629" s="1070"/>
      <c r="CU2629" s="1070"/>
      <c r="CV2629" s="1070"/>
      <c r="CW2629" s="1070"/>
      <c r="CX2629" s="1070"/>
      <c r="CY2629" s="1070"/>
      <c r="CZ2629" s="1070"/>
      <c r="DA2629" s="1070"/>
      <c r="DB2629" s="1070"/>
      <c r="DC2629" s="1070"/>
      <c r="DD2629" s="1070"/>
      <c r="DE2629" s="1070"/>
      <c r="DF2629" s="1070"/>
      <c r="DG2629" s="1070"/>
      <c r="DH2629" s="1070"/>
      <c r="DI2629" s="1070"/>
      <c r="DJ2629" s="1070"/>
    </row>
    <row r="2630" spans="1:114" s="1136" customFormat="1" ht="15.75" x14ac:dyDescent="0.25">
      <c r="A2630" s="1422" t="s">
        <v>1614</v>
      </c>
      <c r="B2630" s="1450">
        <v>0.7</v>
      </c>
      <c r="C2630" s="1440"/>
      <c r="D2630" s="1434"/>
      <c r="E2630" s="1434"/>
      <c r="F2630" s="1434"/>
      <c r="G2630" s="1434"/>
      <c r="H2630" s="1350"/>
      <c r="I2630" s="1350"/>
      <c r="J2630" s="1350"/>
      <c r="K2630" s="1350"/>
      <c r="L2630" s="1350"/>
      <c r="M2630" s="1350"/>
      <c r="N2630" s="1350"/>
      <c r="O2630" s="1350"/>
      <c r="P2630" s="1350"/>
      <c r="Q2630" s="1350"/>
      <c r="R2630" s="1350"/>
      <c r="S2630" s="1350"/>
      <c r="T2630" s="1350"/>
      <c r="U2630" s="1350"/>
      <c r="V2630" s="1350"/>
      <c r="W2630" s="1350"/>
      <c r="X2630" s="1350"/>
      <c r="Y2630" s="1350"/>
      <c r="Z2630" s="1350"/>
      <c r="AA2630" s="1350"/>
      <c r="AB2630" s="1350"/>
      <c r="AC2630" s="1350"/>
      <c r="AD2630" s="1350"/>
      <c r="AE2630" s="1350"/>
      <c r="AF2630" s="1350"/>
      <c r="AG2630" s="1350"/>
      <c r="AH2630" s="1350"/>
      <c r="AI2630" s="1350"/>
      <c r="AJ2630" s="1350"/>
      <c r="AK2630" s="1350"/>
      <c r="AL2630" s="1350"/>
      <c r="AM2630" s="1350"/>
      <c r="AN2630" s="1350"/>
      <c r="AO2630" s="1350"/>
      <c r="AP2630" s="1350"/>
      <c r="AQ2630" s="1350"/>
      <c r="AR2630" s="1350"/>
      <c r="AS2630" s="1350"/>
      <c r="AT2630" s="1350"/>
      <c r="AU2630" s="1350"/>
      <c r="AV2630" s="1350"/>
      <c r="AW2630" s="1350"/>
      <c r="AX2630" s="1350"/>
      <c r="AY2630" s="1350"/>
      <c r="AZ2630" s="1350"/>
      <c r="BA2630" s="1070"/>
      <c r="BB2630" s="1070"/>
      <c r="BC2630" s="1070"/>
      <c r="BD2630" s="1070"/>
      <c r="BE2630" s="1070"/>
      <c r="BF2630" s="1070"/>
      <c r="BG2630" s="1070"/>
      <c r="BH2630" s="1070"/>
      <c r="BI2630" s="1070"/>
      <c r="BJ2630" s="1070"/>
      <c r="BK2630" s="1070"/>
      <c r="BL2630" s="1070"/>
      <c r="BM2630" s="1070"/>
      <c r="BN2630" s="1070"/>
      <c r="BO2630" s="1070"/>
      <c r="BP2630" s="1070"/>
      <c r="BQ2630" s="1070"/>
      <c r="BR2630" s="1070"/>
      <c r="BS2630" s="1070"/>
      <c r="BT2630" s="1070"/>
      <c r="BU2630" s="1070"/>
      <c r="BV2630" s="1070"/>
      <c r="BW2630" s="1070"/>
      <c r="BX2630" s="1070"/>
      <c r="BY2630" s="1070"/>
      <c r="BZ2630" s="1070"/>
      <c r="CA2630" s="1070"/>
      <c r="CB2630" s="1070"/>
      <c r="CC2630" s="1070"/>
      <c r="CD2630" s="1070"/>
      <c r="CE2630" s="1070"/>
      <c r="CF2630" s="1070"/>
      <c r="CG2630" s="1070"/>
      <c r="CH2630" s="1070"/>
      <c r="CI2630" s="1070"/>
      <c r="CJ2630" s="1070"/>
      <c r="CK2630" s="1070"/>
      <c r="CL2630" s="1070"/>
      <c r="CM2630" s="1070"/>
      <c r="CN2630" s="1070"/>
      <c r="CO2630" s="1070"/>
      <c r="CP2630" s="1070"/>
      <c r="CQ2630" s="1070"/>
      <c r="CR2630" s="1070"/>
      <c r="CS2630" s="1070"/>
      <c r="CT2630" s="1070"/>
      <c r="CU2630" s="1070"/>
      <c r="CV2630" s="1070"/>
      <c r="CW2630" s="1070"/>
      <c r="CX2630" s="1070"/>
      <c r="CY2630" s="1070"/>
      <c r="CZ2630" s="1070"/>
      <c r="DA2630" s="1070"/>
      <c r="DB2630" s="1070"/>
      <c r="DC2630" s="1070"/>
      <c r="DD2630" s="1070"/>
      <c r="DE2630" s="1070"/>
      <c r="DF2630" s="1070"/>
      <c r="DG2630" s="1070"/>
      <c r="DH2630" s="1070"/>
      <c r="DI2630" s="1070"/>
      <c r="DJ2630" s="1070"/>
    </row>
    <row r="2631" spans="1:114" s="1136" customFormat="1" ht="15.75" x14ac:dyDescent="0.25">
      <c r="A2631" s="1422" t="s">
        <v>3412</v>
      </c>
      <c r="B2631" s="1443" t="e">
        <f>B2620*B2626*B2627*B2628*B2629*B2630*B2383</f>
        <v>#VALUE!</v>
      </c>
      <c r="C2631" s="1437"/>
      <c r="D2631" s="1434"/>
      <c r="E2631" s="1434"/>
      <c r="F2631" s="1434"/>
      <c r="G2631" s="1434"/>
      <c r="H2631" s="1350"/>
      <c r="I2631" s="1350"/>
      <c r="J2631" s="1350"/>
      <c r="K2631" s="1350"/>
      <c r="L2631" s="1350"/>
      <c r="M2631" s="1350"/>
      <c r="N2631" s="1350"/>
      <c r="O2631" s="1350"/>
      <c r="P2631" s="1350"/>
      <c r="Q2631" s="1350"/>
      <c r="R2631" s="1350"/>
      <c r="S2631" s="1350"/>
      <c r="T2631" s="1350"/>
      <c r="U2631" s="1350"/>
      <c r="V2631" s="1350"/>
      <c r="W2631" s="1350"/>
      <c r="X2631" s="1350"/>
      <c r="Y2631" s="1350"/>
      <c r="Z2631" s="1350"/>
      <c r="AA2631" s="1350"/>
      <c r="AB2631" s="1350"/>
      <c r="AC2631" s="1350"/>
      <c r="AD2631" s="1350"/>
      <c r="AE2631" s="1350"/>
      <c r="AF2631" s="1350"/>
      <c r="AG2631" s="1350"/>
      <c r="AH2631" s="1350"/>
      <c r="AI2631" s="1350"/>
      <c r="AJ2631" s="1350"/>
      <c r="AK2631" s="1350"/>
      <c r="AL2631" s="1350"/>
      <c r="AM2631" s="1350"/>
      <c r="AN2631" s="1350"/>
      <c r="AO2631" s="1350"/>
      <c r="AP2631" s="1350"/>
      <c r="AQ2631" s="1350"/>
      <c r="AR2631" s="1350"/>
      <c r="AS2631" s="1350"/>
      <c r="AT2631" s="1350"/>
      <c r="AU2631" s="1350"/>
      <c r="AV2631" s="1350"/>
      <c r="AW2631" s="1350"/>
      <c r="AX2631" s="1350"/>
      <c r="AY2631" s="1350"/>
      <c r="AZ2631" s="1350"/>
      <c r="BA2631" s="1070"/>
      <c r="BB2631" s="1070"/>
      <c r="BC2631" s="1070"/>
      <c r="BD2631" s="1070"/>
      <c r="BE2631" s="1070"/>
      <c r="BF2631" s="1070"/>
      <c r="BG2631" s="1070"/>
      <c r="BH2631" s="1070"/>
      <c r="BI2631" s="1070"/>
      <c r="BJ2631" s="1070"/>
      <c r="BK2631" s="1070"/>
      <c r="BL2631" s="1070"/>
      <c r="BM2631" s="1070"/>
      <c r="BN2631" s="1070"/>
      <c r="BO2631" s="1070"/>
      <c r="BP2631" s="1070"/>
      <c r="BQ2631" s="1070"/>
      <c r="BR2631" s="1070"/>
      <c r="BS2631" s="1070"/>
      <c r="BT2631" s="1070"/>
      <c r="BU2631" s="1070"/>
      <c r="BV2631" s="1070"/>
      <c r="BW2631" s="1070"/>
      <c r="BX2631" s="1070"/>
      <c r="BY2631" s="1070"/>
      <c r="BZ2631" s="1070"/>
      <c r="CA2631" s="1070"/>
      <c r="CB2631" s="1070"/>
      <c r="CC2631" s="1070"/>
      <c r="CD2631" s="1070"/>
      <c r="CE2631" s="1070"/>
      <c r="CF2631" s="1070"/>
      <c r="CG2631" s="1070"/>
      <c r="CH2631" s="1070"/>
      <c r="CI2631" s="1070"/>
      <c r="CJ2631" s="1070"/>
      <c r="CK2631" s="1070"/>
      <c r="CL2631" s="1070"/>
      <c r="CM2631" s="1070"/>
      <c r="CN2631" s="1070"/>
      <c r="CO2631" s="1070"/>
      <c r="CP2631" s="1070"/>
      <c r="CQ2631" s="1070"/>
      <c r="CR2631" s="1070"/>
      <c r="CS2631" s="1070"/>
      <c r="CT2631" s="1070"/>
      <c r="CU2631" s="1070"/>
      <c r="CV2631" s="1070"/>
      <c r="CW2631" s="1070"/>
      <c r="CX2631" s="1070"/>
      <c r="CY2631" s="1070"/>
      <c r="CZ2631" s="1070"/>
      <c r="DA2631" s="1070"/>
      <c r="DB2631" s="1070"/>
      <c r="DC2631" s="1070"/>
      <c r="DD2631" s="1070"/>
      <c r="DE2631" s="1070"/>
      <c r="DF2631" s="1070"/>
      <c r="DG2631" s="1070"/>
      <c r="DH2631" s="1070"/>
      <c r="DI2631" s="1070"/>
      <c r="DJ2631" s="1070"/>
    </row>
    <row r="2632" spans="1:114" s="1136" customFormat="1" ht="15.75" x14ac:dyDescent="0.25">
      <c r="A2632" s="1422" t="s">
        <v>429</v>
      </c>
      <c r="B2632" s="1439" t="e">
        <f>B2619/B2631</f>
        <v>#VALUE!</v>
      </c>
      <c r="C2632" s="1432"/>
      <c r="D2632" s="1350"/>
      <c r="E2632" s="1350"/>
      <c r="F2632" s="1350"/>
      <c r="G2632" s="1350"/>
      <c r="H2632" s="1350"/>
      <c r="I2632" s="1350"/>
      <c r="J2632" s="1350"/>
      <c r="K2632" s="1350"/>
      <c r="L2632" s="1350"/>
      <c r="M2632" s="1350"/>
      <c r="N2632" s="1350"/>
      <c r="O2632" s="1350"/>
      <c r="P2632" s="1350"/>
      <c r="Q2632" s="1350"/>
      <c r="R2632" s="1350"/>
      <c r="S2632" s="1350"/>
      <c r="T2632" s="1350"/>
      <c r="U2632" s="1350"/>
      <c r="V2632" s="1350"/>
      <c r="W2632" s="1350"/>
      <c r="X2632" s="1350"/>
      <c r="Y2632" s="1350"/>
      <c r="Z2632" s="1350"/>
      <c r="AA2632" s="1350"/>
      <c r="AB2632" s="1350"/>
      <c r="AC2632" s="1350"/>
      <c r="AD2632" s="1350"/>
      <c r="AE2632" s="1350"/>
      <c r="AF2632" s="1350"/>
      <c r="AG2632" s="1350"/>
      <c r="AH2632" s="1350"/>
      <c r="AI2632" s="1350"/>
      <c r="AJ2632" s="1350"/>
      <c r="AK2632" s="1350"/>
      <c r="AL2632" s="1350"/>
      <c r="AM2632" s="1350"/>
      <c r="AN2632" s="1350"/>
      <c r="AO2632" s="1350"/>
      <c r="AP2632" s="1350"/>
      <c r="AQ2632" s="1350"/>
      <c r="AR2632" s="1350"/>
      <c r="AS2632" s="1350"/>
      <c r="AT2632" s="1350"/>
      <c r="AU2632" s="1350"/>
      <c r="AV2632" s="1350"/>
      <c r="AW2632" s="1350"/>
      <c r="AX2632" s="1350"/>
      <c r="AY2632" s="1350"/>
      <c r="AZ2632" s="1350"/>
      <c r="BA2632" s="1070"/>
      <c r="BB2632" s="1070"/>
      <c r="BC2632" s="1070"/>
      <c r="BD2632" s="1070"/>
      <c r="BE2632" s="1070"/>
      <c r="BF2632" s="1070"/>
      <c r="BG2632" s="1070"/>
      <c r="BH2632" s="1070"/>
      <c r="BI2632" s="1070"/>
      <c r="BJ2632" s="1070"/>
      <c r="BK2632" s="1070"/>
      <c r="BL2632" s="1070"/>
      <c r="BM2632" s="1070"/>
      <c r="BN2632" s="1070"/>
      <c r="BO2632" s="1070"/>
      <c r="BP2632" s="1070"/>
      <c r="BQ2632" s="1070"/>
      <c r="BR2632" s="1070"/>
      <c r="BS2632" s="1070"/>
      <c r="BT2632" s="1070"/>
      <c r="BU2632" s="1070"/>
      <c r="BV2632" s="1070"/>
      <c r="BW2632" s="1070"/>
      <c r="BX2632" s="1070"/>
      <c r="BY2632" s="1070"/>
      <c r="BZ2632" s="1070"/>
      <c r="CA2632" s="1070"/>
      <c r="CB2632" s="1070"/>
      <c r="CC2632" s="1070"/>
      <c r="CD2632" s="1070"/>
      <c r="CE2632" s="1070"/>
      <c r="CF2632" s="1070"/>
      <c r="CG2632" s="1070"/>
      <c r="CH2632" s="1070"/>
      <c r="CI2632" s="1070"/>
      <c r="CJ2632" s="1070"/>
      <c r="CK2632" s="1070"/>
      <c r="CL2632" s="1070"/>
      <c r="CM2632" s="1070"/>
      <c r="CN2632" s="1070"/>
      <c r="CO2632" s="1070"/>
      <c r="CP2632" s="1070"/>
      <c r="CQ2632" s="1070"/>
      <c r="CR2632" s="1070"/>
      <c r="CS2632" s="1070"/>
      <c r="CT2632" s="1070"/>
      <c r="CU2632" s="1070"/>
      <c r="CV2632" s="1070"/>
      <c r="CW2632" s="1070"/>
      <c r="CX2632" s="1070"/>
      <c r="CY2632" s="1070"/>
      <c r="CZ2632" s="1070"/>
      <c r="DA2632" s="1070"/>
      <c r="DB2632" s="1070"/>
      <c r="DC2632" s="1070"/>
      <c r="DD2632" s="1070"/>
      <c r="DE2632" s="1070"/>
      <c r="DF2632" s="1070"/>
      <c r="DG2632" s="1070"/>
      <c r="DH2632" s="1070"/>
      <c r="DI2632" s="1070"/>
      <c r="DJ2632" s="1070"/>
    </row>
    <row r="2633" spans="1:114" s="1136" customFormat="1" ht="15.75" x14ac:dyDescent="0.25">
      <c r="A2633" s="1422"/>
      <c r="B2633" s="1443"/>
      <c r="C2633" s="1437"/>
      <c r="D2633" s="1437"/>
      <c r="E2633" s="1437"/>
      <c r="F2633" s="1437"/>
      <c r="G2633" s="1437"/>
      <c r="H2633" s="1350"/>
      <c r="I2633" s="1350"/>
      <c r="J2633" s="1350"/>
      <c r="K2633" s="1350"/>
      <c r="L2633" s="1350"/>
      <c r="M2633" s="1350"/>
      <c r="N2633" s="1350"/>
      <c r="O2633" s="1350"/>
      <c r="P2633" s="1350"/>
      <c r="Q2633" s="1350"/>
      <c r="R2633" s="1350"/>
      <c r="S2633" s="1350"/>
      <c r="T2633" s="1350"/>
      <c r="U2633" s="1350"/>
      <c r="V2633" s="1350"/>
      <c r="W2633" s="1350"/>
      <c r="X2633" s="1350"/>
      <c r="Y2633" s="1350"/>
      <c r="Z2633" s="1350"/>
      <c r="AA2633" s="1350"/>
      <c r="AB2633" s="1350"/>
      <c r="AC2633" s="1350"/>
      <c r="AD2633" s="1350"/>
      <c r="AE2633" s="1350"/>
      <c r="AF2633" s="1350"/>
      <c r="AG2633" s="1350"/>
      <c r="AH2633" s="1350"/>
      <c r="AI2633" s="1350"/>
      <c r="AJ2633" s="1350"/>
      <c r="AK2633" s="1350"/>
      <c r="AL2633" s="1350"/>
      <c r="AM2633" s="1350"/>
      <c r="AN2633" s="1350"/>
      <c r="AO2633" s="1350"/>
      <c r="AP2633" s="1350"/>
      <c r="AQ2633" s="1350"/>
      <c r="AR2633" s="1350"/>
      <c r="AS2633" s="1350"/>
      <c r="AT2633" s="1350"/>
      <c r="AU2633" s="1350"/>
      <c r="AV2633" s="1350"/>
      <c r="AW2633" s="1350"/>
      <c r="AX2633" s="1350"/>
      <c r="AY2633" s="1350"/>
      <c r="AZ2633" s="1350"/>
      <c r="BA2633" s="1070"/>
      <c r="BB2633" s="1070"/>
      <c r="BC2633" s="1070"/>
      <c r="BD2633" s="1070"/>
      <c r="BE2633" s="1070"/>
      <c r="BF2633" s="1070"/>
      <c r="BG2633" s="1070"/>
      <c r="BH2633" s="1070"/>
      <c r="BI2633" s="1070"/>
      <c r="BJ2633" s="1070"/>
      <c r="BK2633" s="1070"/>
      <c r="BL2633" s="1070"/>
      <c r="BM2633" s="1070"/>
      <c r="BN2633" s="1070"/>
      <c r="BO2633" s="1070"/>
      <c r="BP2633" s="1070"/>
      <c r="BQ2633" s="1070"/>
      <c r="BR2633" s="1070"/>
      <c r="BS2633" s="1070"/>
      <c r="BT2633" s="1070"/>
      <c r="BU2633" s="1070"/>
      <c r="BV2633" s="1070"/>
      <c r="BW2633" s="1070"/>
      <c r="BX2633" s="1070"/>
      <c r="BY2633" s="1070"/>
      <c r="BZ2633" s="1070"/>
      <c r="CA2633" s="1070"/>
      <c r="CB2633" s="1070"/>
      <c r="CC2633" s="1070"/>
      <c r="CD2633" s="1070"/>
      <c r="CE2633" s="1070"/>
      <c r="CF2633" s="1070"/>
      <c r="CG2633" s="1070"/>
      <c r="CH2633" s="1070"/>
      <c r="CI2633" s="1070"/>
      <c r="CJ2633" s="1070"/>
      <c r="CK2633" s="1070"/>
      <c r="CL2633" s="1070"/>
      <c r="CM2633" s="1070"/>
      <c r="CN2633" s="1070"/>
      <c r="CO2633" s="1070"/>
      <c r="CP2633" s="1070"/>
      <c r="CQ2633" s="1070"/>
      <c r="CR2633" s="1070"/>
      <c r="CS2633" s="1070"/>
      <c r="CT2633" s="1070"/>
      <c r="CU2633" s="1070"/>
      <c r="CV2633" s="1070"/>
      <c r="CW2633" s="1070"/>
      <c r="CX2633" s="1070"/>
      <c r="CY2633" s="1070"/>
      <c r="CZ2633" s="1070"/>
      <c r="DA2633" s="1070"/>
      <c r="DB2633" s="1070"/>
      <c r="DC2633" s="1070"/>
      <c r="DD2633" s="1070"/>
      <c r="DE2633" s="1070"/>
      <c r="DF2633" s="1070"/>
      <c r="DG2633" s="1070"/>
      <c r="DH2633" s="1070"/>
      <c r="DI2633" s="1070"/>
      <c r="DJ2633" s="1070"/>
    </row>
    <row r="2634" spans="1:114" s="1136" customFormat="1" ht="63" x14ac:dyDescent="0.25">
      <c r="A2634" s="1438" t="s">
        <v>423</v>
      </c>
      <c r="B2634" s="1443"/>
      <c r="C2634" s="1437"/>
      <c r="D2634" s="1437"/>
      <c r="E2634" s="1437"/>
      <c r="F2634" s="1437"/>
      <c r="G2634" s="1437"/>
      <c r="H2634" s="1350"/>
      <c r="I2634" s="1350"/>
      <c r="J2634" s="1350"/>
      <c r="K2634" s="1350"/>
      <c r="L2634" s="1350"/>
      <c r="M2634" s="1350"/>
      <c r="N2634" s="1350"/>
      <c r="O2634" s="1350"/>
      <c r="P2634" s="1350"/>
      <c r="Q2634" s="1350"/>
      <c r="R2634" s="1350"/>
      <c r="S2634" s="1350"/>
      <c r="T2634" s="1350"/>
      <c r="U2634" s="1350"/>
      <c r="V2634" s="1350"/>
      <c r="W2634" s="1350"/>
      <c r="X2634" s="1350"/>
      <c r="Y2634" s="1350"/>
      <c r="Z2634" s="1350"/>
      <c r="AA2634" s="1350"/>
      <c r="AB2634" s="1350"/>
      <c r="AC2634" s="1350"/>
      <c r="AD2634" s="1350"/>
      <c r="AE2634" s="1350"/>
      <c r="AF2634" s="1350"/>
      <c r="AG2634" s="1350"/>
      <c r="AH2634" s="1350"/>
      <c r="AI2634" s="1350"/>
      <c r="AJ2634" s="1350"/>
      <c r="AK2634" s="1350"/>
      <c r="AL2634" s="1350"/>
      <c r="AM2634" s="1350"/>
      <c r="AN2634" s="1350"/>
      <c r="AO2634" s="1350"/>
      <c r="AP2634" s="1350"/>
      <c r="AQ2634" s="1350"/>
      <c r="AR2634" s="1350"/>
      <c r="AS2634" s="1350"/>
      <c r="AT2634" s="1350"/>
      <c r="AU2634" s="1350"/>
      <c r="AV2634" s="1350"/>
      <c r="AW2634" s="1350"/>
      <c r="AX2634" s="1350"/>
      <c r="AY2634" s="1350"/>
      <c r="AZ2634" s="1350"/>
      <c r="BA2634" s="1070"/>
      <c r="BB2634" s="1070"/>
      <c r="BC2634" s="1070"/>
      <c r="BD2634" s="1070"/>
      <c r="BE2634" s="1070"/>
      <c r="BF2634" s="1070"/>
      <c r="BG2634" s="1070"/>
      <c r="BH2634" s="1070"/>
      <c r="BI2634" s="1070"/>
      <c r="BJ2634" s="1070"/>
      <c r="BK2634" s="1070"/>
      <c r="BL2634" s="1070"/>
      <c r="BM2634" s="1070"/>
      <c r="BN2634" s="1070"/>
      <c r="BO2634" s="1070"/>
      <c r="BP2634" s="1070"/>
      <c r="BQ2634" s="1070"/>
      <c r="BR2634" s="1070"/>
      <c r="BS2634" s="1070"/>
      <c r="BT2634" s="1070"/>
      <c r="BU2634" s="1070"/>
      <c r="BV2634" s="1070"/>
      <c r="BW2634" s="1070"/>
      <c r="BX2634" s="1070"/>
      <c r="BY2634" s="1070"/>
      <c r="BZ2634" s="1070"/>
      <c r="CA2634" s="1070"/>
      <c r="CB2634" s="1070"/>
      <c r="CC2634" s="1070"/>
      <c r="CD2634" s="1070"/>
      <c r="CE2634" s="1070"/>
      <c r="CF2634" s="1070"/>
      <c r="CG2634" s="1070"/>
      <c r="CH2634" s="1070"/>
      <c r="CI2634" s="1070"/>
      <c r="CJ2634" s="1070"/>
      <c r="CK2634" s="1070"/>
      <c r="CL2634" s="1070"/>
      <c r="CM2634" s="1070"/>
      <c r="CN2634" s="1070"/>
      <c r="CO2634" s="1070"/>
      <c r="CP2634" s="1070"/>
      <c r="CQ2634" s="1070"/>
      <c r="CR2634" s="1070"/>
      <c r="CS2634" s="1070"/>
      <c r="CT2634" s="1070"/>
      <c r="CU2634" s="1070"/>
      <c r="CV2634" s="1070"/>
      <c r="CW2634" s="1070"/>
      <c r="CX2634" s="1070"/>
      <c r="CY2634" s="1070"/>
      <c r="CZ2634" s="1070"/>
      <c r="DA2634" s="1070"/>
      <c r="DB2634" s="1070"/>
      <c r="DC2634" s="1070"/>
      <c r="DD2634" s="1070"/>
      <c r="DE2634" s="1070"/>
      <c r="DF2634" s="1070"/>
      <c r="DG2634" s="1070"/>
      <c r="DH2634" s="1070"/>
      <c r="DI2634" s="1070"/>
      <c r="DJ2634" s="1070"/>
    </row>
    <row r="2635" spans="1:114" s="1136" customFormat="1" ht="15.75" x14ac:dyDescent="0.25">
      <c r="A2635" s="1420" t="s">
        <v>424</v>
      </c>
      <c r="B2635" s="1443" t="e">
        <f>(((B2617/B261)+1)-3)*B2388</f>
        <v>#VALUE!</v>
      </c>
      <c r="C2635" s="1437"/>
      <c r="D2635" s="1437"/>
      <c r="E2635" s="1437"/>
      <c r="F2635" s="1437"/>
      <c r="G2635" s="1437"/>
      <c r="H2635" s="1350"/>
      <c r="I2635" s="1350"/>
      <c r="J2635" s="1350"/>
      <c r="K2635" s="1350"/>
      <c r="L2635" s="1350"/>
      <c r="M2635" s="1350"/>
      <c r="N2635" s="1350"/>
      <c r="O2635" s="1350"/>
      <c r="P2635" s="1350"/>
      <c r="Q2635" s="1350"/>
      <c r="R2635" s="1350"/>
      <c r="S2635" s="1350"/>
      <c r="T2635" s="1350"/>
      <c r="U2635" s="1350"/>
      <c r="V2635" s="1350"/>
      <c r="W2635" s="1350"/>
      <c r="X2635" s="1350"/>
      <c r="Y2635" s="1350"/>
      <c r="Z2635" s="1350"/>
      <c r="AA2635" s="1350"/>
      <c r="AB2635" s="1350"/>
      <c r="AC2635" s="1350"/>
      <c r="AD2635" s="1350"/>
      <c r="AE2635" s="1350"/>
      <c r="AF2635" s="1350"/>
      <c r="AG2635" s="1350"/>
      <c r="AH2635" s="1350"/>
      <c r="AI2635" s="1350"/>
      <c r="AJ2635" s="1350"/>
      <c r="AK2635" s="1350"/>
      <c r="AL2635" s="1350"/>
      <c r="AM2635" s="1350"/>
      <c r="AN2635" s="1350"/>
      <c r="AO2635" s="1350"/>
      <c r="AP2635" s="1350"/>
      <c r="AQ2635" s="1350"/>
      <c r="AR2635" s="1350"/>
      <c r="AS2635" s="1350"/>
      <c r="AT2635" s="1350"/>
      <c r="AU2635" s="1350"/>
      <c r="AV2635" s="1350"/>
      <c r="AW2635" s="1350"/>
      <c r="AX2635" s="1350"/>
      <c r="AY2635" s="1350"/>
      <c r="AZ2635" s="1350"/>
      <c r="BA2635" s="1070"/>
      <c r="BB2635" s="1070"/>
      <c r="BC2635" s="1070"/>
      <c r="BD2635" s="1070"/>
      <c r="BE2635" s="1070"/>
      <c r="BF2635" s="1070"/>
      <c r="BG2635" s="1070"/>
      <c r="BH2635" s="1070"/>
      <c r="BI2635" s="1070"/>
      <c r="BJ2635" s="1070"/>
      <c r="BK2635" s="1070"/>
      <c r="BL2635" s="1070"/>
      <c r="BM2635" s="1070"/>
      <c r="BN2635" s="1070"/>
      <c r="BO2635" s="1070"/>
      <c r="BP2635" s="1070"/>
      <c r="BQ2635" s="1070"/>
      <c r="BR2635" s="1070"/>
      <c r="BS2635" s="1070"/>
      <c r="BT2635" s="1070"/>
      <c r="BU2635" s="1070"/>
      <c r="BV2635" s="1070"/>
      <c r="BW2635" s="1070"/>
      <c r="BX2635" s="1070"/>
      <c r="BY2635" s="1070"/>
      <c r="BZ2635" s="1070"/>
      <c r="CA2635" s="1070"/>
      <c r="CB2635" s="1070"/>
      <c r="CC2635" s="1070"/>
      <c r="CD2635" s="1070"/>
      <c r="CE2635" s="1070"/>
      <c r="CF2635" s="1070"/>
      <c r="CG2635" s="1070"/>
      <c r="CH2635" s="1070"/>
      <c r="CI2635" s="1070"/>
      <c r="CJ2635" s="1070"/>
      <c r="CK2635" s="1070"/>
      <c r="CL2635" s="1070"/>
      <c r="CM2635" s="1070"/>
      <c r="CN2635" s="1070"/>
      <c r="CO2635" s="1070"/>
      <c r="CP2635" s="1070"/>
      <c r="CQ2635" s="1070"/>
      <c r="CR2635" s="1070"/>
      <c r="CS2635" s="1070"/>
      <c r="CT2635" s="1070"/>
      <c r="CU2635" s="1070"/>
      <c r="CV2635" s="1070"/>
      <c r="CW2635" s="1070"/>
      <c r="CX2635" s="1070"/>
      <c r="CY2635" s="1070"/>
      <c r="CZ2635" s="1070"/>
      <c r="DA2635" s="1070"/>
      <c r="DB2635" s="1070"/>
      <c r="DC2635" s="1070"/>
      <c r="DD2635" s="1070"/>
      <c r="DE2635" s="1070"/>
      <c r="DF2635" s="1070"/>
      <c r="DG2635" s="1070"/>
      <c r="DH2635" s="1070"/>
      <c r="DI2635" s="1070"/>
      <c r="DJ2635" s="1070"/>
    </row>
    <row r="2636" spans="1:114" s="1136" customFormat="1" ht="15.75" x14ac:dyDescent="0.25">
      <c r="A2636" s="1420" t="s">
        <v>425</v>
      </c>
      <c r="B2636" s="1443" t="e">
        <f>B2416</f>
        <v>#VALUE!</v>
      </c>
      <c r="C2636" s="1437"/>
      <c r="D2636" s="1437"/>
      <c r="E2636" s="1437"/>
      <c r="F2636" s="1437"/>
      <c r="G2636" s="1437"/>
      <c r="H2636" s="1350"/>
      <c r="I2636" s="1350"/>
      <c r="J2636" s="1350"/>
      <c r="K2636" s="1350"/>
      <c r="L2636" s="1350"/>
      <c r="M2636" s="1350"/>
      <c r="N2636" s="1350"/>
      <c r="O2636" s="1350"/>
      <c r="P2636" s="1350"/>
      <c r="Q2636" s="1350"/>
      <c r="R2636" s="1350"/>
      <c r="S2636" s="1350"/>
      <c r="T2636" s="1350"/>
      <c r="U2636" s="1350"/>
      <c r="V2636" s="1350"/>
      <c r="W2636" s="1350"/>
      <c r="X2636" s="1350"/>
      <c r="Y2636" s="1350"/>
      <c r="Z2636" s="1350"/>
      <c r="AA2636" s="1350"/>
      <c r="AB2636" s="1350"/>
      <c r="AC2636" s="1350"/>
      <c r="AD2636" s="1350"/>
      <c r="AE2636" s="1350"/>
      <c r="AF2636" s="1350"/>
      <c r="AG2636" s="1350"/>
      <c r="AH2636" s="1350"/>
      <c r="AI2636" s="1350"/>
      <c r="AJ2636" s="1350"/>
      <c r="AK2636" s="1350"/>
      <c r="AL2636" s="1350"/>
      <c r="AM2636" s="1350"/>
      <c r="AN2636" s="1350"/>
      <c r="AO2636" s="1350"/>
      <c r="AP2636" s="1350"/>
      <c r="AQ2636" s="1350"/>
      <c r="AR2636" s="1350"/>
      <c r="AS2636" s="1350"/>
      <c r="AT2636" s="1350"/>
      <c r="AU2636" s="1350"/>
      <c r="AV2636" s="1350"/>
      <c r="AW2636" s="1350"/>
      <c r="AX2636" s="1350"/>
      <c r="AY2636" s="1350"/>
      <c r="AZ2636" s="1350"/>
      <c r="BA2636" s="1070"/>
      <c r="BB2636" s="1070"/>
      <c r="BC2636" s="1070"/>
      <c r="BD2636" s="1070"/>
      <c r="BE2636" s="1070"/>
      <c r="BF2636" s="1070"/>
      <c r="BG2636" s="1070"/>
      <c r="BH2636" s="1070"/>
      <c r="BI2636" s="1070"/>
      <c r="BJ2636" s="1070"/>
      <c r="BK2636" s="1070"/>
      <c r="BL2636" s="1070"/>
      <c r="BM2636" s="1070"/>
      <c r="BN2636" s="1070"/>
      <c r="BO2636" s="1070"/>
      <c r="BP2636" s="1070"/>
      <c r="BQ2636" s="1070"/>
      <c r="BR2636" s="1070"/>
      <c r="BS2636" s="1070"/>
      <c r="BT2636" s="1070"/>
      <c r="BU2636" s="1070"/>
      <c r="BV2636" s="1070"/>
      <c r="BW2636" s="1070"/>
      <c r="BX2636" s="1070"/>
      <c r="BY2636" s="1070"/>
      <c r="BZ2636" s="1070"/>
      <c r="CA2636" s="1070"/>
      <c r="CB2636" s="1070"/>
      <c r="CC2636" s="1070"/>
      <c r="CD2636" s="1070"/>
      <c r="CE2636" s="1070"/>
      <c r="CF2636" s="1070"/>
      <c r="CG2636" s="1070"/>
      <c r="CH2636" s="1070"/>
      <c r="CI2636" s="1070"/>
      <c r="CJ2636" s="1070"/>
      <c r="CK2636" s="1070"/>
      <c r="CL2636" s="1070"/>
      <c r="CM2636" s="1070"/>
      <c r="CN2636" s="1070"/>
      <c r="CO2636" s="1070"/>
      <c r="CP2636" s="1070"/>
      <c r="CQ2636" s="1070"/>
      <c r="CR2636" s="1070"/>
      <c r="CS2636" s="1070"/>
      <c r="CT2636" s="1070"/>
      <c r="CU2636" s="1070"/>
      <c r="CV2636" s="1070"/>
      <c r="CW2636" s="1070"/>
      <c r="CX2636" s="1070"/>
      <c r="CY2636" s="1070"/>
      <c r="CZ2636" s="1070"/>
      <c r="DA2636" s="1070"/>
      <c r="DB2636" s="1070"/>
      <c r="DC2636" s="1070"/>
      <c r="DD2636" s="1070"/>
      <c r="DE2636" s="1070"/>
      <c r="DF2636" s="1070"/>
      <c r="DG2636" s="1070"/>
      <c r="DH2636" s="1070"/>
      <c r="DI2636" s="1070"/>
      <c r="DJ2636" s="1070"/>
    </row>
    <row r="2637" spans="1:114" s="1136" customFormat="1" ht="15.75" x14ac:dyDescent="0.25">
      <c r="A2637" s="1420" t="s">
        <v>428</v>
      </c>
      <c r="B2637" s="1443" t="e">
        <f>B2626*B2627*B2628*B2629*B2630*B2383</f>
        <v>#VALUE!</v>
      </c>
      <c r="C2637" s="1437"/>
      <c r="D2637" s="1440"/>
      <c r="E2637" s="1440"/>
      <c r="F2637" s="1440"/>
      <c r="G2637" s="1440"/>
      <c r="H2637" s="1350"/>
      <c r="I2637" s="1350"/>
      <c r="J2637" s="1350"/>
      <c r="K2637" s="1350"/>
      <c r="L2637" s="1350"/>
      <c r="M2637" s="1350"/>
      <c r="N2637" s="1350"/>
      <c r="O2637" s="1350"/>
      <c r="P2637" s="1350"/>
      <c r="Q2637" s="1350"/>
      <c r="R2637" s="1350"/>
      <c r="S2637" s="1350"/>
      <c r="T2637" s="1350"/>
      <c r="U2637" s="1350"/>
      <c r="V2637" s="1350"/>
      <c r="W2637" s="1350"/>
      <c r="X2637" s="1350"/>
      <c r="Y2637" s="1350"/>
      <c r="Z2637" s="1350"/>
      <c r="AA2637" s="1350"/>
      <c r="AB2637" s="1350"/>
      <c r="AC2637" s="1350"/>
      <c r="AD2637" s="1350"/>
      <c r="AE2637" s="1350"/>
      <c r="AF2637" s="1350"/>
      <c r="AG2637" s="1350"/>
      <c r="AH2637" s="1350"/>
      <c r="AI2637" s="1350"/>
      <c r="AJ2637" s="1350"/>
      <c r="AK2637" s="1350"/>
      <c r="AL2637" s="1350"/>
      <c r="AM2637" s="1350"/>
      <c r="AN2637" s="1350"/>
      <c r="AO2637" s="1350"/>
      <c r="AP2637" s="1350"/>
      <c r="AQ2637" s="1350"/>
      <c r="AR2637" s="1350"/>
      <c r="AS2637" s="1350"/>
      <c r="AT2637" s="1350"/>
      <c r="AU2637" s="1350"/>
      <c r="AV2637" s="1350"/>
      <c r="AW2637" s="1350"/>
      <c r="AX2637" s="1350"/>
      <c r="AY2637" s="1350"/>
      <c r="AZ2637" s="1350"/>
      <c r="BA2637" s="1070"/>
      <c r="BB2637" s="1070"/>
      <c r="BC2637" s="1070"/>
      <c r="BD2637" s="1070"/>
      <c r="BE2637" s="1070"/>
      <c r="BF2637" s="1070"/>
      <c r="BG2637" s="1070"/>
      <c r="BH2637" s="1070"/>
      <c r="BI2637" s="1070"/>
      <c r="BJ2637" s="1070"/>
      <c r="BK2637" s="1070"/>
      <c r="BL2637" s="1070"/>
      <c r="BM2637" s="1070"/>
      <c r="BN2637" s="1070"/>
      <c r="BO2637" s="1070"/>
      <c r="BP2637" s="1070"/>
      <c r="BQ2637" s="1070"/>
      <c r="BR2637" s="1070"/>
      <c r="BS2637" s="1070"/>
      <c r="BT2637" s="1070"/>
      <c r="BU2637" s="1070"/>
      <c r="BV2637" s="1070"/>
      <c r="BW2637" s="1070"/>
      <c r="BX2637" s="1070"/>
      <c r="BY2637" s="1070"/>
      <c r="BZ2637" s="1070"/>
      <c r="CA2637" s="1070"/>
      <c r="CB2637" s="1070"/>
      <c r="CC2637" s="1070"/>
      <c r="CD2637" s="1070"/>
      <c r="CE2637" s="1070"/>
      <c r="CF2637" s="1070"/>
      <c r="CG2637" s="1070"/>
      <c r="CH2637" s="1070"/>
      <c r="CI2637" s="1070"/>
      <c r="CJ2637" s="1070"/>
      <c r="CK2637" s="1070"/>
      <c r="CL2637" s="1070"/>
      <c r="CM2637" s="1070"/>
      <c r="CN2637" s="1070"/>
      <c r="CO2637" s="1070"/>
      <c r="CP2637" s="1070"/>
      <c r="CQ2637" s="1070"/>
      <c r="CR2637" s="1070"/>
      <c r="CS2637" s="1070"/>
      <c r="CT2637" s="1070"/>
      <c r="CU2637" s="1070"/>
      <c r="CV2637" s="1070"/>
      <c r="CW2637" s="1070"/>
      <c r="CX2637" s="1070"/>
      <c r="CY2637" s="1070"/>
      <c r="CZ2637" s="1070"/>
      <c r="DA2637" s="1070"/>
      <c r="DB2637" s="1070"/>
      <c r="DC2637" s="1070"/>
      <c r="DD2637" s="1070"/>
      <c r="DE2637" s="1070"/>
      <c r="DF2637" s="1070"/>
      <c r="DG2637" s="1070"/>
      <c r="DH2637" s="1070"/>
      <c r="DI2637" s="1070"/>
      <c r="DJ2637" s="1070"/>
    </row>
    <row r="2638" spans="1:114" s="1136" customFormat="1" ht="15.75" x14ac:dyDescent="0.25">
      <c r="A2638" s="1420" t="s">
        <v>3412</v>
      </c>
      <c r="B2638" s="1443" t="e">
        <f>B2636*B2637</f>
        <v>#VALUE!</v>
      </c>
      <c r="C2638" s="1437"/>
      <c r="D2638" s="1437"/>
      <c r="E2638" s="1437"/>
      <c r="F2638" s="1437"/>
      <c r="G2638" s="1437"/>
      <c r="H2638" s="1350"/>
      <c r="I2638" s="1350"/>
      <c r="J2638" s="1350"/>
      <c r="K2638" s="1350"/>
      <c r="L2638" s="1350"/>
      <c r="M2638" s="1350"/>
      <c r="N2638" s="1350"/>
      <c r="O2638" s="1350"/>
      <c r="P2638" s="1350"/>
      <c r="Q2638" s="1350"/>
      <c r="R2638" s="1350"/>
      <c r="S2638" s="1350"/>
      <c r="T2638" s="1350"/>
      <c r="U2638" s="1350"/>
      <c r="V2638" s="1350"/>
      <c r="W2638" s="1350"/>
      <c r="X2638" s="1350"/>
      <c r="Y2638" s="1350"/>
      <c r="Z2638" s="1350"/>
      <c r="AA2638" s="1350"/>
      <c r="AB2638" s="1350"/>
      <c r="AC2638" s="1350"/>
      <c r="AD2638" s="1350"/>
      <c r="AE2638" s="1350"/>
      <c r="AF2638" s="1350"/>
      <c r="AG2638" s="1350"/>
      <c r="AH2638" s="1350"/>
      <c r="AI2638" s="1350"/>
      <c r="AJ2638" s="1350"/>
      <c r="AK2638" s="1350"/>
      <c r="AL2638" s="1350"/>
      <c r="AM2638" s="1350"/>
      <c r="AN2638" s="1350"/>
      <c r="AO2638" s="1350"/>
      <c r="AP2638" s="1350"/>
      <c r="AQ2638" s="1350"/>
      <c r="AR2638" s="1350"/>
      <c r="AS2638" s="1350"/>
      <c r="AT2638" s="1350"/>
      <c r="AU2638" s="1350"/>
      <c r="AV2638" s="1350"/>
      <c r="AW2638" s="1350"/>
      <c r="AX2638" s="1350"/>
      <c r="AY2638" s="1350"/>
      <c r="AZ2638" s="1350"/>
      <c r="BA2638" s="1070"/>
      <c r="BB2638" s="1070"/>
      <c r="BC2638" s="1070"/>
      <c r="BD2638" s="1070"/>
      <c r="BE2638" s="1070"/>
      <c r="BF2638" s="1070"/>
      <c r="BG2638" s="1070"/>
      <c r="BH2638" s="1070"/>
      <c r="BI2638" s="1070"/>
      <c r="BJ2638" s="1070"/>
      <c r="BK2638" s="1070"/>
      <c r="BL2638" s="1070"/>
      <c r="BM2638" s="1070"/>
      <c r="BN2638" s="1070"/>
      <c r="BO2638" s="1070"/>
      <c r="BP2638" s="1070"/>
      <c r="BQ2638" s="1070"/>
      <c r="BR2638" s="1070"/>
      <c r="BS2638" s="1070"/>
      <c r="BT2638" s="1070"/>
      <c r="BU2638" s="1070"/>
      <c r="BV2638" s="1070"/>
      <c r="BW2638" s="1070"/>
      <c r="BX2638" s="1070"/>
      <c r="BY2638" s="1070"/>
      <c r="BZ2638" s="1070"/>
      <c r="CA2638" s="1070"/>
      <c r="CB2638" s="1070"/>
      <c r="CC2638" s="1070"/>
      <c r="CD2638" s="1070"/>
      <c r="CE2638" s="1070"/>
      <c r="CF2638" s="1070"/>
      <c r="CG2638" s="1070"/>
      <c r="CH2638" s="1070"/>
      <c r="CI2638" s="1070"/>
      <c r="CJ2638" s="1070"/>
      <c r="CK2638" s="1070"/>
      <c r="CL2638" s="1070"/>
      <c r="CM2638" s="1070"/>
      <c r="CN2638" s="1070"/>
      <c r="CO2638" s="1070"/>
      <c r="CP2638" s="1070"/>
      <c r="CQ2638" s="1070"/>
      <c r="CR2638" s="1070"/>
      <c r="CS2638" s="1070"/>
      <c r="CT2638" s="1070"/>
      <c r="CU2638" s="1070"/>
      <c r="CV2638" s="1070"/>
      <c r="CW2638" s="1070"/>
      <c r="CX2638" s="1070"/>
      <c r="CY2638" s="1070"/>
      <c r="CZ2638" s="1070"/>
      <c r="DA2638" s="1070"/>
      <c r="DB2638" s="1070"/>
      <c r="DC2638" s="1070"/>
      <c r="DD2638" s="1070"/>
      <c r="DE2638" s="1070"/>
      <c r="DF2638" s="1070"/>
      <c r="DG2638" s="1070"/>
      <c r="DH2638" s="1070"/>
      <c r="DI2638" s="1070"/>
      <c r="DJ2638" s="1070"/>
    </row>
    <row r="2639" spans="1:114" s="1136" customFormat="1" ht="15.75" x14ac:dyDescent="0.25">
      <c r="A2639" s="1422" t="s">
        <v>429</v>
      </c>
      <c r="B2639" s="1439" t="e">
        <f>B2635/B2638</f>
        <v>#VALUE!</v>
      </c>
      <c r="C2639" s="1432"/>
      <c r="D2639" s="1432"/>
      <c r="E2639" s="1432"/>
      <c r="F2639" s="1432"/>
      <c r="G2639" s="1432"/>
      <c r="H2639" s="1350"/>
      <c r="I2639" s="1350"/>
      <c r="J2639" s="1350"/>
      <c r="K2639" s="1350"/>
      <c r="L2639" s="1350"/>
      <c r="M2639" s="1350"/>
      <c r="N2639" s="1350"/>
      <c r="O2639" s="1350"/>
      <c r="P2639" s="1350"/>
      <c r="Q2639" s="1350"/>
      <c r="R2639" s="1350"/>
      <c r="S2639" s="1350"/>
      <c r="T2639" s="1350"/>
      <c r="U2639" s="1350"/>
      <c r="V2639" s="1350"/>
      <c r="W2639" s="1350"/>
      <c r="X2639" s="1350"/>
      <c r="Y2639" s="1350"/>
      <c r="Z2639" s="1350"/>
      <c r="AA2639" s="1350"/>
      <c r="AB2639" s="1350"/>
      <c r="AC2639" s="1350"/>
      <c r="AD2639" s="1350"/>
      <c r="AE2639" s="1350"/>
      <c r="AF2639" s="1350"/>
      <c r="AG2639" s="1350"/>
      <c r="AH2639" s="1350"/>
      <c r="AI2639" s="1350"/>
      <c r="AJ2639" s="1350"/>
      <c r="AK2639" s="1350"/>
      <c r="AL2639" s="1350"/>
      <c r="AM2639" s="1350"/>
      <c r="AN2639" s="1350"/>
      <c r="AO2639" s="1350"/>
      <c r="AP2639" s="1350"/>
      <c r="AQ2639" s="1350"/>
      <c r="AR2639" s="1350"/>
      <c r="AS2639" s="1350"/>
      <c r="AT2639" s="1350"/>
      <c r="AU2639" s="1350"/>
      <c r="AV2639" s="1350"/>
      <c r="AW2639" s="1350"/>
      <c r="AX2639" s="1350"/>
      <c r="AY2639" s="1350"/>
      <c r="AZ2639" s="1350"/>
      <c r="BA2639" s="1070"/>
      <c r="BB2639" s="1070"/>
      <c r="BC2639" s="1070"/>
      <c r="BD2639" s="1070"/>
      <c r="BE2639" s="1070"/>
      <c r="BF2639" s="1070"/>
      <c r="BG2639" s="1070"/>
      <c r="BH2639" s="1070"/>
      <c r="BI2639" s="1070"/>
      <c r="BJ2639" s="1070"/>
      <c r="BK2639" s="1070"/>
      <c r="BL2639" s="1070"/>
      <c r="BM2639" s="1070"/>
      <c r="BN2639" s="1070"/>
      <c r="BO2639" s="1070"/>
      <c r="BP2639" s="1070"/>
      <c r="BQ2639" s="1070"/>
      <c r="BR2639" s="1070"/>
      <c r="BS2639" s="1070"/>
      <c r="BT2639" s="1070"/>
      <c r="BU2639" s="1070"/>
      <c r="BV2639" s="1070"/>
      <c r="BW2639" s="1070"/>
      <c r="BX2639" s="1070"/>
      <c r="BY2639" s="1070"/>
      <c r="BZ2639" s="1070"/>
      <c r="CA2639" s="1070"/>
      <c r="CB2639" s="1070"/>
      <c r="CC2639" s="1070"/>
      <c r="CD2639" s="1070"/>
      <c r="CE2639" s="1070"/>
      <c r="CF2639" s="1070"/>
      <c r="CG2639" s="1070"/>
      <c r="CH2639" s="1070"/>
      <c r="CI2639" s="1070"/>
      <c r="CJ2639" s="1070"/>
      <c r="CK2639" s="1070"/>
      <c r="CL2639" s="1070"/>
      <c r="CM2639" s="1070"/>
      <c r="CN2639" s="1070"/>
      <c r="CO2639" s="1070"/>
      <c r="CP2639" s="1070"/>
      <c r="CQ2639" s="1070"/>
      <c r="CR2639" s="1070"/>
      <c r="CS2639" s="1070"/>
      <c r="CT2639" s="1070"/>
      <c r="CU2639" s="1070"/>
      <c r="CV2639" s="1070"/>
      <c r="CW2639" s="1070"/>
      <c r="CX2639" s="1070"/>
      <c r="CY2639" s="1070"/>
      <c r="CZ2639" s="1070"/>
      <c r="DA2639" s="1070"/>
      <c r="DB2639" s="1070"/>
      <c r="DC2639" s="1070"/>
      <c r="DD2639" s="1070"/>
      <c r="DE2639" s="1070"/>
      <c r="DF2639" s="1070"/>
      <c r="DG2639" s="1070"/>
      <c r="DH2639" s="1070"/>
      <c r="DI2639" s="1070"/>
      <c r="DJ2639" s="1070"/>
    </row>
    <row r="2640" spans="1:114" s="1136" customFormat="1" ht="15.75" x14ac:dyDescent="0.25">
      <c r="A2640" s="1430"/>
      <c r="B2640" s="1443"/>
      <c r="C2640" s="1437"/>
      <c r="D2640" s="1350"/>
      <c r="E2640" s="1350"/>
      <c r="F2640" s="1350"/>
      <c r="G2640" s="1350"/>
      <c r="H2640" s="1350"/>
      <c r="I2640" s="1350"/>
      <c r="J2640" s="1350"/>
      <c r="K2640" s="1350"/>
      <c r="L2640" s="1350"/>
      <c r="M2640" s="1350"/>
      <c r="N2640" s="1350"/>
      <c r="O2640" s="1350"/>
      <c r="P2640" s="1350"/>
      <c r="Q2640" s="1350"/>
      <c r="R2640" s="1350"/>
      <c r="S2640" s="1350"/>
      <c r="T2640" s="1350"/>
      <c r="U2640" s="1350"/>
      <c r="V2640" s="1350"/>
      <c r="W2640" s="1350"/>
      <c r="X2640" s="1350"/>
      <c r="Y2640" s="1350"/>
      <c r="Z2640" s="1350"/>
      <c r="AA2640" s="1350"/>
      <c r="AB2640" s="1350"/>
      <c r="AC2640" s="1350"/>
      <c r="AD2640" s="1350"/>
      <c r="AE2640" s="1350"/>
      <c r="AF2640" s="1350"/>
      <c r="AG2640" s="1350"/>
      <c r="AH2640" s="1350"/>
      <c r="AI2640" s="1350"/>
      <c r="AJ2640" s="1350"/>
      <c r="AK2640" s="1350"/>
      <c r="AL2640" s="1350"/>
      <c r="AM2640" s="1350"/>
      <c r="AN2640" s="1350"/>
      <c r="AO2640" s="1350"/>
      <c r="AP2640" s="1350"/>
      <c r="AQ2640" s="1350"/>
      <c r="AR2640" s="1350"/>
      <c r="AS2640" s="1350"/>
      <c r="AT2640" s="1350"/>
      <c r="AU2640" s="1350"/>
      <c r="AV2640" s="1350"/>
      <c r="AW2640" s="1350"/>
      <c r="AX2640" s="1350"/>
      <c r="AY2640" s="1350"/>
      <c r="AZ2640" s="1350"/>
      <c r="BA2640" s="1070"/>
      <c r="BB2640" s="1070"/>
      <c r="BC2640" s="1070"/>
      <c r="BD2640" s="1070"/>
      <c r="BE2640" s="1070"/>
      <c r="BF2640" s="1070"/>
      <c r="BG2640" s="1070"/>
      <c r="BH2640" s="1070"/>
      <c r="BI2640" s="1070"/>
      <c r="BJ2640" s="1070"/>
      <c r="BK2640" s="1070"/>
      <c r="BL2640" s="1070"/>
      <c r="BM2640" s="1070"/>
      <c r="BN2640" s="1070"/>
      <c r="BO2640" s="1070"/>
      <c r="BP2640" s="1070"/>
      <c r="BQ2640" s="1070"/>
      <c r="BR2640" s="1070"/>
      <c r="BS2640" s="1070"/>
      <c r="BT2640" s="1070"/>
      <c r="BU2640" s="1070"/>
      <c r="BV2640" s="1070"/>
      <c r="BW2640" s="1070"/>
      <c r="BX2640" s="1070"/>
      <c r="BY2640" s="1070"/>
      <c r="BZ2640" s="1070"/>
      <c r="CA2640" s="1070"/>
      <c r="CB2640" s="1070"/>
      <c r="CC2640" s="1070"/>
      <c r="CD2640" s="1070"/>
      <c r="CE2640" s="1070"/>
      <c r="CF2640" s="1070"/>
      <c r="CG2640" s="1070"/>
      <c r="CH2640" s="1070"/>
      <c r="CI2640" s="1070"/>
      <c r="CJ2640" s="1070"/>
      <c r="CK2640" s="1070"/>
      <c r="CL2640" s="1070"/>
      <c r="CM2640" s="1070"/>
      <c r="CN2640" s="1070"/>
      <c r="CO2640" s="1070"/>
      <c r="CP2640" s="1070"/>
      <c r="CQ2640" s="1070"/>
      <c r="CR2640" s="1070"/>
      <c r="CS2640" s="1070"/>
      <c r="CT2640" s="1070"/>
      <c r="CU2640" s="1070"/>
      <c r="CV2640" s="1070"/>
      <c r="CW2640" s="1070"/>
      <c r="CX2640" s="1070"/>
      <c r="CY2640" s="1070"/>
      <c r="CZ2640" s="1070"/>
      <c r="DA2640" s="1070"/>
      <c r="DB2640" s="1070"/>
      <c r="DC2640" s="1070"/>
      <c r="DD2640" s="1070"/>
      <c r="DE2640" s="1070"/>
      <c r="DF2640" s="1070"/>
      <c r="DG2640" s="1070"/>
      <c r="DH2640" s="1070"/>
      <c r="DI2640" s="1070"/>
      <c r="DJ2640" s="1070"/>
    </row>
    <row r="2641" spans="1:114" s="1136" customFormat="1" ht="63" x14ac:dyDescent="0.25">
      <c r="A2641" s="1438" t="s">
        <v>3389</v>
      </c>
      <c r="B2641" s="1443"/>
      <c r="C2641" s="1437"/>
      <c r="D2641" s="1350"/>
      <c r="E2641" s="1350"/>
      <c r="F2641" s="1350"/>
      <c r="G2641" s="1350"/>
      <c r="H2641" s="1350"/>
      <c r="I2641" s="1350"/>
      <c r="J2641" s="1350"/>
      <c r="K2641" s="1350"/>
      <c r="L2641" s="1350"/>
      <c r="M2641" s="1350"/>
      <c r="N2641" s="1350"/>
      <c r="O2641" s="1350"/>
      <c r="P2641" s="1350"/>
      <c r="Q2641" s="1350"/>
      <c r="R2641" s="1350"/>
      <c r="S2641" s="1350"/>
      <c r="T2641" s="1350"/>
      <c r="U2641" s="1350"/>
      <c r="V2641" s="1350"/>
      <c r="W2641" s="1350"/>
      <c r="X2641" s="1350"/>
      <c r="Y2641" s="1350"/>
      <c r="Z2641" s="1350"/>
      <c r="AA2641" s="1350"/>
      <c r="AB2641" s="1350"/>
      <c r="AC2641" s="1350"/>
      <c r="AD2641" s="1350"/>
      <c r="AE2641" s="1350"/>
      <c r="AF2641" s="1350"/>
      <c r="AG2641" s="1350"/>
      <c r="AH2641" s="1350"/>
      <c r="AI2641" s="1350"/>
      <c r="AJ2641" s="1350"/>
      <c r="AK2641" s="1350"/>
      <c r="AL2641" s="1350"/>
      <c r="AM2641" s="1350"/>
      <c r="AN2641" s="1350"/>
      <c r="AO2641" s="1350"/>
      <c r="AP2641" s="1350"/>
      <c r="AQ2641" s="1350"/>
      <c r="AR2641" s="1350"/>
      <c r="AS2641" s="1350"/>
      <c r="AT2641" s="1350"/>
      <c r="AU2641" s="1350"/>
      <c r="AV2641" s="1350"/>
      <c r="AW2641" s="1350"/>
      <c r="AX2641" s="1350"/>
      <c r="AY2641" s="1350"/>
      <c r="AZ2641" s="1350"/>
      <c r="BA2641" s="1070"/>
      <c r="BB2641" s="1070"/>
      <c r="BC2641" s="1070"/>
      <c r="BD2641" s="1070"/>
      <c r="BE2641" s="1070"/>
      <c r="BF2641" s="1070"/>
      <c r="BG2641" s="1070"/>
      <c r="BH2641" s="1070"/>
      <c r="BI2641" s="1070"/>
      <c r="BJ2641" s="1070"/>
      <c r="BK2641" s="1070"/>
      <c r="BL2641" s="1070"/>
      <c r="BM2641" s="1070"/>
      <c r="BN2641" s="1070"/>
      <c r="BO2641" s="1070"/>
      <c r="BP2641" s="1070"/>
      <c r="BQ2641" s="1070"/>
      <c r="BR2641" s="1070"/>
      <c r="BS2641" s="1070"/>
      <c r="BT2641" s="1070"/>
      <c r="BU2641" s="1070"/>
      <c r="BV2641" s="1070"/>
      <c r="BW2641" s="1070"/>
      <c r="BX2641" s="1070"/>
      <c r="BY2641" s="1070"/>
      <c r="BZ2641" s="1070"/>
      <c r="CA2641" s="1070"/>
      <c r="CB2641" s="1070"/>
      <c r="CC2641" s="1070"/>
      <c r="CD2641" s="1070"/>
      <c r="CE2641" s="1070"/>
      <c r="CF2641" s="1070"/>
      <c r="CG2641" s="1070"/>
      <c r="CH2641" s="1070"/>
      <c r="CI2641" s="1070"/>
      <c r="CJ2641" s="1070"/>
      <c r="CK2641" s="1070"/>
      <c r="CL2641" s="1070"/>
      <c r="CM2641" s="1070"/>
      <c r="CN2641" s="1070"/>
      <c r="CO2641" s="1070"/>
      <c r="CP2641" s="1070"/>
      <c r="CQ2641" s="1070"/>
      <c r="CR2641" s="1070"/>
      <c r="CS2641" s="1070"/>
      <c r="CT2641" s="1070"/>
      <c r="CU2641" s="1070"/>
      <c r="CV2641" s="1070"/>
      <c r="CW2641" s="1070"/>
      <c r="CX2641" s="1070"/>
      <c r="CY2641" s="1070"/>
      <c r="CZ2641" s="1070"/>
      <c r="DA2641" s="1070"/>
      <c r="DB2641" s="1070"/>
      <c r="DC2641" s="1070"/>
      <c r="DD2641" s="1070"/>
      <c r="DE2641" s="1070"/>
      <c r="DF2641" s="1070"/>
      <c r="DG2641" s="1070"/>
      <c r="DH2641" s="1070"/>
      <c r="DI2641" s="1070"/>
      <c r="DJ2641" s="1070"/>
    </row>
    <row r="2642" spans="1:114" s="1136" customFormat="1" ht="15.75" x14ac:dyDescent="0.25">
      <c r="A2642" s="1420" t="s">
        <v>424</v>
      </c>
      <c r="B2642" s="1439" t="e">
        <f>(B245*(((B2617-B2390)/B261+1)-1)/(B2617-B2390))*B2388</f>
        <v>#VALUE!</v>
      </c>
      <c r="C2642" s="1432"/>
      <c r="D2642" s="1437"/>
      <c r="E2642" s="1437"/>
      <c r="F2642" s="1437"/>
      <c r="G2642" s="1437"/>
      <c r="H2642" s="1350"/>
      <c r="I2642" s="1350"/>
      <c r="J2642" s="1350"/>
      <c r="K2642" s="1350"/>
      <c r="L2642" s="1350"/>
      <c r="M2642" s="1350"/>
      <c r="N2642" s="1350"/>
      <c r="O2642" s="1350"/>
      <c r="P2642" s="1350"/>
      <c r="Q2642" s="1350"/>
      <c r="R2642" s="1350"/>
      <c r="S2642" s="1350"/>
      <c r="T2642" s="1350"/>
      <c r="U2642" s="1350"/>
      <c r="V2642" s="1350"/>
      <c r="W2642" s="1350"/>
      <c r="X2642" s="1350"/>
      <c r="Y2642" s="1350"/>
      <c r="Z2642" s="1350"/>
      <c r="AA2642" s="1350"/>
      <c r="AB2642" s="1350"/>
      <c r="AC2642" s="1350"/>
      <c r="AD2642" s="1350"/>
      <c r="AE2642" s="1350"/>
      <c r="AF2642" s="1350"/>
      <c r="AG2642" s="1350"/>
      <c r="AH2642" s="1350"/>
      <c r="AI2642" s="1350"/>
      <c r="AJ2642" s="1350"/>
      <c r="AK2642" s="1350"/>
      <c r="AL2642" s="1350"/>
      <c r="AM2642" s="1350"/>
      <c r="AN2642" s="1350"/>
      <c r="AO2642" s="1350"/>
      <c r="AP2642" s="1350"/>
      <c r="AQ2642" s="1350"/>
      <c r="AR2642" s="1350"/>
      <c r="AS2642" s="1350"/>
      <c r="AT2642" s="1350"/>
      <c r="AU2642" s="1350"/>
      <c r="AV2642" s="1350"/>
      <c r="AW2642" s="1350"/>
      <c r="AX2642" s="1350"/>
      <c r="AY2642" s="1350"/>
      <c r="AZ2642" s="1350"/>
      <c r="BA2642" s="1070"/>
      <c r="BB2642" s="1070"/>
      <c r="BC2642" s="1070"/>
      <c r="BD2642" s="1070"/>
      <c r="BE2642" s="1070"/>
      <c r="BF2642" s="1070"/>
      <c r="BG2642" s="1070"/>
      <c r="BH2642" s="1070"/>
      <c r="BI2642" s="1070"/>
      <c r="BJ2642" s="1070"/>
      <c r="BK2642" s="1070"/>
      <c r="BL2642" s="1070"/>
      <c r="BM2642" s="1070"/>
      <c r="BN2642" s="1070"/>
      <c r="BO2642" s="1070"/>
      <c r="BP2642" s="1070"/>
      <c r="BQ2642" s="1070"/>
      <c r="BR2642" s="1070"/>
      <c r="BS2642" s="1070"/>
      <c r="BT2642" s="1070"/>
      <c r="BU2642" s="1070"/>
      <c r="BV2642" s="1070"/>
      <c r="BW2642" s="1070"/>
      <c r="BX2642" s="1070"/>
      <c r="BY2642" s="1070"/>
      <c r="BZ2642" s="1070"/>
      <c r="CA2642" s="1070"/>
      <c r="CB2642" s="1070"/>
      <c r="CC2642" s="1070"/>
      <c r="CD2642" s="1070"/>
      <c r="CE2642" s="1070"/>
      <c r="CF2642" s="1070"/>
      <c r="CG2642" s="1070"/>
      <c r="CH2642" s="1070"/>
      <c r="CI2642" s="1070"/>
      <c r="CJ2642" s="1070"/>
      <c r="CK2642" s="1070"/>
      <c r="CL2642" s="1070"/>
      <c r="CM2642" s="1070"/>
      <c r="CN2642" s="1070"/>
      <c r="CO2642" s="1070"/>
      <c r="CP2642" s="1070"/>
      <c r="CQ2642" s="1070"/>
      <c r="CR2642" s="1070"/>
      <c r="CS2642" s="1070"/>
      <c r="CT2642" s="1070"/>
      <c r="CU2642" s="1070"/>
      <c r="CV2642" s="1070"/>
      <c r="CW2642" s="1070"/>
      <c r="CX2642" s="1070"/>
      <c r="CY2642" s="1070"/>
      <c r="CZ2642" s="1070"/>
      <c r="DA2642" s="1070"/>
      <c r="DB2642" s="1070"/>
      <c r="DC2642" s="1070"/>
      <c r="DD2642" s="1070"/>
      <c r="DE2642" s="1070"/>
      <c r="DF2642" s="1070"/>
      <c r="DG2642" s="1070"/>
      <c r="DH2642" s="1070"/>
      <c r="DI2642" s="1070"/>
      <c r="DJ2642" s="1070"/>
    </row>
    <row r="2643" spans="1:114" s="1136" customFormat="1" ht="15.75" x14ac:dyDescent="0.25">
      <c r="A2643" s="1420" t="s">
        <v>3390</v>
      </c>
      <c r="B2643" s="1441" t="e">
        <f>B2424</f>
        <v>#VALUE!</v>
      </c>
      <c r="C2643" s="1434"/>
      <c r="D2643" s="1437"/>
      <c r="E2643" s="1437"/>
      <c r="F2643" s="1437"/>
      <c r="G2643" s="1437"/>
      <c r="H2643" s="1350"/>
      <c r="I2643" s="1350"/>
      <c r="J2643" s="1350"/>
      <c r="K2643" s="1350"/>
      <c r="L2643" s="1350"/>
      <c r="M2643" s="1350"/>
      <c r="N2643" s="1350"/>
      <c r="O2643" s="1350"/>
      <c r="P2643" s="1350"/>
      <c r="Q2643" s="1350"/>
      <c r="R2643" s="1350"/>
      <c r="S2643" s="1350"/>
      <c r="T2643" s="1350"/>
      <c r="U2643" s="1350"/>
      <c r="V2643" s="1350"/>
      <c r="W2643" s="1350"/>
      <c r="X2643" s="1350"/>
      <c r="Y2643" s="1350"/>
      <c r="Z2643" s="1350"/>
      <c r="AA2643" s="1350"/>
      <c r="AB2643" s="1350"/>
      <c r="AC2643" s="1350"/>
      <c r="AD2643" s="1350"/>
      <c r="AE2643" s="1350"/>
      <c r="AF2643" s="1350"/>
      <c r="AG2643" s="1350"/>
      <c r="AH2643" s="1350"/>
      <c r="AI2643" s="1350"/>
      <c r="AJ2643" s="1350"/>
      <c r="AK2643" s="1350"/>
      <c r="AL2643" s="1350"/>
      <c r="AM2643" s="1350"/>
      <c r="AN2643" s="1350"/>
      <c r="AO2643" s="1350"/>
      <c r="AP2643" s="1350"/>
      <c r="AQ2643" s="1350"/>
      <c r="AR2643" s="1350"/>
      <c r="AS2643" s="1350"/>
      <c r="AT2643" s="1350"/>
      <c r="AU2643" s="1350"/>
      <c r="AV2643" s="1350"/>
      <c r="AW2643" s="1350"/>
      <c r="AX2643" s="1350"/>
      <c r="AY2643" s="1350"/>
      <c r="AZ2643" s="1350"/>
      <c r="BA2643" s="1070"/>
      <c r="BB2643" s="1070"/>
      <c r="BC2643" s="1070"/>
      <c r="BD2643" s="1070"/>
      <c r="BE2643" s="1070"/>
      <c r="BF2643" s="1070"/>
      <c r="BG2643" s="1070"/>
      <c r="BH2643" s="1070"/>
      <c r="BI2643" s="1070"/>
      <c r="BJ2643" s="1070"/>
      <c r="BK2643" s="1070"/>
      <c r="BL2643" s="1070"/>
      <c r="BM2643" s="1070"/>
      <c r="BN2643" s="1070"/>
      <c r="BO2643" s="1070"/>
      <c r="BP2643" s="1070"/>
      <c r="BQ2643" s="1070"/>
      <c r="BR2643" s="1070"/>
      <c r="BS2643" s="1070"/>
      <c r="BT2643" s="1070"/>
      <c r="BU2643" s="1070"/>
      <c r="BV2643" s="1070"/>
      <c r="BW2643" s="1070"/>
      <c r="BX2643" s="1070"/>
      <c r="BY2643" s="1070"/>
      <c r="BZ2643" s="1070"/>
      <c r="CA2643" s="1070"/>
      <c r="CB2643" s="1070"/>
      <c r="CC2643" s="1070"/>
      <c r="CD2643" s="1070"/>
      <c r="CE2643" s="1070"/>
      <c r="CF2643" s="1070"/>
      <c r="CG2643" s="1070"/>
      <c r="CH2643" s="1070"/>
      <c r="CI2643" s="1070"/>
      <c r="CJ2643" s="1070"/>
      <c r="CK2643" s="1070"/>
      <c r="CL2643" s="1070"/>
      <c r="CM2643" s="1070"/>
      <c r="CN2643" s="1070"/>
      <c r="CO2643" s="1070"/>
      <c r="CP2643" s="1070"/>
      <c r="CQ2643" s="1070"/>
      <c r="CR2643" s="1070"/>
      <c r="CS2643" s="1070"/>
      <c r="CT2643" s="1070"/>
      <c r="CU2643" s="1070"/>
      <c r="CV2643" s="1070"/>
      <c r="CW2643" s="1070"/>
      <c r="CX2643" s="1070"/>
      <c r="CY2643" s="1070"/>
      <c r="CZ2643" s="1070"/>
      <c r="DA2643" s="1070"/>
      <c r="DB2643" s="1070"/>
      <c r="DC2643" s="1070"/>
      <c r="DD2643" s="1070"/>
      <c r="DE2643" s="1070"/>
      <c r="DF2643" s="1070"/>
      <c r="DG2643" s="1070"/>
      <c r="DH2643" s="1070"/>
      <c r="DI2643" s="1070"/>
      <c r="DJ2643" s="1070"/>
    </row>
    <row r="2644" spans="1:114" s="1136" customFormat="1" ht="15.75" x14ac:dyDescent="0.25">
      <c r="A2644" s="1420" t="s">
        <v>3391</v>
      </c>
      <c r="B2644" s="1443"/>
      <c r="C2644" s="1437"/>
      <c r="D2644" s="1437"/>
      <c r="E2644" s="1437"/>
      <c r="F2644" s="1437"/>
      <c r="G2644" s="1437"/>
      <c r="H2644" s="1437"/>
      <c r="I2644" s="1350"/>
      <c r="J2644" s="1350"/>
      <c r="K2644" s="1350"/>
      <c r="L2644" s="1350"/>
      <c r="M2644" s="1350"/>
      <c r="N2644" s="1350"/>
      <c r="O2644" s="1350"/>
      <c r="P2644" s="1350"/>
      <c r="Q2644" s="1350"/>
      <c r="R2644" s="1350"/>
      <c r="S2644" s="1350"/>
      <c r="T2644" s="1350"/>
      <c r="U2644" s="1350"/>
      <c r="V2644" s="1350"/>
      <c r="W2644" s="1350"/>
      <c r="X2644" s="1350"/>
      <c r="Y2644" s="1350"/>
      <c r="Z2644" s="1350"/>
      <c r="AA2644" s="1350"/>
      <c r="AB2644" s="1350"/>
      <c r="AC2644" s="1350"/>
      <c r="AD2644" s="1350"/>
      <c r="AE2644" s="1350"/>
      <c r="AF2644" s="1350"/>
      <c r="AG2644" s="1350"/>
      <c r="AH2644" s="1350"/>
      <c r="AI2644" s="1350"/>
      <c r="AJ2644" s="1350"/>
      <c r="AK2644" s="1350"/>
      <c r="AL2644" s="1350"/>
      <c r="AM2644" s="1350"/>
      <c r="AN2644" s="1350"/>
      <c r="AO2644" s="1350"/>
      <c r="AP2644" s="1350"/>
      <c r="AQ2644" s="1350"/>
      <c r="AR2644" s="1350"/>
      <c r="AS2644" s="1350"/>
      <c r="AT2644" s="1350"/>
      <c r="AU2644" s="1350"/>
      <c r="AV2644" s="1350"/>
      <c r="AW2644" s="1350"/>
      <c r="AX2644" s="1350"/>
      <c r="AY2644" s="1350"/>
      <c r="AZ2644" s="1350"/>
      <c r="BA2644" s="1070"/>
      <c r="BB2644" s="1070"/>
      <c r="BC2644" s="1070"/>
      <c r="BD2644" s="1070"/>
      <c r="BE2644" s="1070"/>
      <c r="BF2644" s="1070"/>
      <c r="BG2644" s="1070"/>
      <c r="BH2644" s="1070"/>
      <c r="BI2644" s="1070"/>
      <c r="BJ2644" s="1070"/>
      <c r="BK2644" s="1070"/>
      <c r="BL2644" s="1070"/>
      <c r="BM2644" s="1070"/>
      <c r="BN2644" s="1070"/>
      <c r="BO2644" s="1070"/>
      <c r="BP2644" s="1070"/>
      <c r="BQ2644" s="1070"/>
      <c r="BR2644" s="1070"/>
      <c r="BS2644" s="1070"/>
      <c r="BT2644" s="1070"/>
      <c r="BU2644" s="1070"/>
      <c r="BV2644" s="1070"/>
      <c r="BW2644" s="1070"/>
      <c r="BX2644" s="1070"/>
      <c r="BY2644" s="1070"/>
      <c r="BZ2644" s="1070"/>
      <c r="CA2644" s="1070"/>
      <c r="CB2644" s="1070"/>
      <c r="CC2644" s="1070"/>
      <c r="CD2644" s="1070"/>
      <c r="CE2644" s="1070"/>
      <c r="CF2644" s="1070"/>
      <c r="CG2644" s="1070"/>
      <c r="CH2644" s="1070"/>
      <c r="CI2644" s="1070"/>
      <c r="CJ2644" s="1070"/>
      <c r="CK2644" s="1070"/>
      <c r="CL2644" s="1070"/>
      <c r="CM2644" s="1070"/>
      <c r="CN2644" s="1070"/>
      <c r="CO2644" s="1070"/>
      <c r="CP2644" s="1070"/>
      <c r="CQ2644" s="1070"/>
      <c r="CR2644" s="1070"/>
      <c r="CS2644" s="1070"/>
      <c r="CT2644" s="1070"/>
      <c r="CU2644" s="1070"/>
      <c r="CV2644" s="1070"/>
      <c r="CW2644" s="1070"/>
      <c r="CX2644" s="1070"/>
      <c r="CY2644" s="1070"/>
      <c r="CZ2644" s="1070"/>
      <c r="DA2644" s="1070"/>
      <c r="DB2644" s="1070"/>
      <c r="DC2644" s="1070"/>
      <c r="DD2644" s="1070"/>
      <c r="DE2644" s="1070"/>
      <c r="DF2644" s="1070"/>
      <c r="DG2644" s="1070"/>
      <c r="DH2644" s="1070"/>
      <c r="DI2644" s="1070"/>
      <c r="DJ2644" s="1070"/>
    </row>
    <row r="2645" spans="1:114" s="1136" customFormat="1" ht="15.75" x14ac:dyDescent="0.25">
      <c r="A2645" s="1420" t="s">
        <v>392</v>
      </c>
      <c r="B2645" s="1443">
        <f>B2426</f>
        <v>1</v>
      </c>
      <c r="C2645" s="1437"/>
      <c r="D2645" s="1437"/>
      <c r="E2645" s="1437"/>
      <c r="F2645" s="1437"/>
      <c r="G2645" s="1437"/>
      <c r="H2645" s="1350"/>
      <c r="I2645" s="1350"/>
      <c r="J2645" s="1350"/>
      <c r="K2645" s="1350"/>
      <c r="L2645" s="1350"/>
      <c r="M2645" s="1350"/>
      <c r="N2645" s="1350"/>
      <c r="O2645" s="1350"/>
      <c r="P2645" s="1350"/>
      <c r="Q2645" s="1350"/>
      <c r="R2645" s="1350"/>
      <c r="S2645" s="1350"/>
      <c r="T2645" s="1350"/>
      <c r="U2645" s="1350"/>
      <c r="V2645" s="1350"/>
      <c r="W2645" s="1350"/>
      <c r="X2645" s="1350"/>
      <c r="Y2645" s="1350"/>
      <c r="Z2645" s="1350"/>
      <c r="AA2645" s="1350"/>
      <c r="AB2645" s="1350"/>
      <c r="AC2645" s="1350"/>
      <c r="AD2645" s="1350"/>
      <c r="AE2645" s="1350"/>
      <c r="AF2645" s="1350"/>
      <c r="AG2645" s="1350"/>
      <c r="AH2645" s="1350"/>
      <c r="AI2645" s="1350"/>
      <c r="AJ2645" s="1350"/>
      <c r="AK2645" s="1350"/>
      <c r="AL2645" s="1350"/>
      <c r="AM2645" s="1350"/>
      <c r="AN2645" s="1350"/>
      <c r="AO2645" s="1350"/>
      <c r="AP2645" s="1350"/>
      <c r="AQ2645" s="1350"/>
      <c r="AR2645" s="1350"/>
      <c r="AS2645" s="1350"/>
      <c r="AT2645" s="1350"/>
      <c r="AU2645" s="1350"/>
      <c r="AV2645" s="1350"/>
      <c r="AW2645" s="1350"/>
      <c r="AX2645" s="1350"/>
      <c r="AY2645" s="1350"/>
      <c r="AZ2645" s="1350"/>
      <c r="BA2645" s="1070"/>
      <c r="BB2645" s="1070"/>
      <c r="BC2645" s="1070"/>
      <c r="BD2645" s="1070"/>
      <c r="BE2645" s="1070"/>
      <c r="BF2645" s="1070"/>
      <c r="BG2645" s="1070"/>
      <c r="BH2645" s="1070"/>
      <c r="BI2645" s="1070"/>
      <c r="BJ2645" s="1070"/>
      <c r="BK2645" s="1070"/>
      <c r="BL2645" s="1070"/>
      <c r="BM2645" s="1070"/>
      <c r="BN2645" s="1070"/>
      <c r="BO2645" s="1070"/>
      <c r="BP2645" s="1070"/>
      <c r="BQ2645" s="1070"/>
      <c r="BR2645" s="1070"/>
      <c r="BS2645" s="1070"/>
      <c r="BT2645" s="1070"/>
      <c r="BU2645" s="1070"/>
      <c r="BV2645" s="1070"/>
      <c r="BW2645" s="1070"/>
      <c r="BX2645" s="1070"/>
      <c r="BY2645" s="1070"/>
      <c r="BZ2645" s="1070"/>
      <c r="CA2645" s="1070"/>
      <c r="CB2645" s="1070"/>
      <c r="CC2645" s="1070"/>
      <c r="CD2645" s="1070"/>
      <c r="CE2645" s="1070"/>
      <c r="CF2645" s="1070"/>
      <c r="CG2645" s="1070"/>
      <c r="CH2645" s="1070"/>
      <c r="CI2645" s="1070"/>
      <c r="CJ2645" s="1070"/>
      <c r="CK2645" s="1070"/>
      <c r="CL2645" s="1070"/>
      <c r="CM2645" s="1070"/>
      <c r="CN2645" s="1070"/>
      <c r="CO2645" s="1070"/>
      <c r="CP2645" s="1070"/>
      <c r="CQ2645" s="1070"/>
      <c r="CR2645" s="1070"/>
      <c r="CS2645" s="1070"/>
      <c r="CT2645" s="1070"/>
      <c r="CU2645" s="1070"/>
      <c r="CV2645" s="1070"/>
      <c r="CW2645" s="1070"/>
      <c r="CX2645" s="1070"/>
      <c r="CY2645" s="1070"/>
      <c r="CZ2645" s="1070"/>
      <c r="DA2645" s="1070"/>
      <c r="DB2645" s="1070"/>
      <c r="DC2645" s="1070"/>
      <c r="DD2645" s="1070"/>
      <c r="DE2645" s="1070"/>
      <c r="DF2645" s="1070"/>
      <c r="DG2645" s="1070"/>
      <c r="DH2645" s="1070"/>
      <c r="DI2645" s="1070"/>
      <c r="DJ2645" s="1070"/>
    </row>
    <row r="2646" spans="1:114" s="1136" customFormat="1" ht="15.75" x14ac:dyDescent="0.25">
      <c r="A2646" s="1420" t="s">
        <v>391</v>
      </c>
      <c r="B2646" s="1443">
        <f>B2427</f>
        <v>0.9</v>
      </c>
      <c r="C2646" s="1437"/>
      <c r="D2646" s="1432"/>
      <c r="E2646" s="1432"/>
      <c r="F2646" s="1432"/>
      <c r="G2646" s="1432"/>
      <c r="H2646" s="1350"/>
      <c r="I2646" s="1350"/>
      <c r="J2646" s="1350"/>
      <c r="K2646" s="1350"/>
      <c r="L2646" s="1350"/>
      <c r="M2646" s="1350"/>
      <c r="N2646" s="1350"/>
      <c r="O2646" s="1350"/>
      <c r="P2646" s="1350"/>
      <c r="Q2646" s="1350"/>
      <c r="R2646" s="1350"/>
      <c r="S2646" s="1350"/>
      <c r="T2646" s="1350"/>
      <c r="U2646" s="1350"/>
      <c r="V2646" s="1350"/>
      <c r="W2646" s="1350"/>
      <c r="X2646" s="1350"/>
      <c r="Y2646" s="1350"/>
      <c r="Z2646" s="1350"/>
      <c r="AA2646" s="1350"/>
      <c r="AB2646" s="1350"/>
      <c r="AC2646" s="1350"/>
      <c r="AD2646" s="1350"/>
      <c r="AE2646" s="1350"/>
      <c r="AF2646" s="1350"/>
      <c r="AG2646" s="1350"/>
      <c r="AH2646" s="1350"/>
      <c r="AI2646" s="1350"/>
      <c r="AJ2646" s="1350"/>
      <c r="AK2646" s="1350"/>
      <c r="AL2646" s="1350"/>
      <c r="AM2646" s="1350"/>
      <c r="AN2646" s="1350"/>
      <c r="AO2646" s="1350"/>
      <c r="AP2646" s="1350"/>
      <c r="AQ2646" s="1350"/>
      <c r="AR2646" s="1350"/>
      <c r="AS2646" s="1350"/>
      <c r="AT2646" s="1350"/>
      <c r="AU2646" s="1350"/>
      <c r="AV2646" s="1350"/>
      <c r="AW2646" s="1350"/>
      <c r="AX2646" s="1350"/>
      <c r="AY2646" s="1350"/>
      <c r="AZ2646" s="1350"/>
      <c r="BA2646" s="1070"/>
      <c r="BB2646" s="1070"/>
      <c r="BC2646" s="1070"/>
      <c r="BD2646" s="1070"/>
      <c r="BE2646" s="1070"/>
      <c r="BF2646" s="1070"/>
      <c r="BG2646" s="1070"/>
      <c r="BH2646" s="1070"/>
      <c r="BI2646" s="1070"/>
      <c r="BJ2646" s="1070"/>
      <c r="BK2646" s="1070"/>
      <c r="BL2646" s="1070"/>
      <c r="BM2646" s="1070"/>
      <c r="BN2646" s="1070"/>
      <c r="BO2646" s="1070"/>
      <c r="BP2646" s="1070"/>
      <c r="BQ2646" s="1070"/>
      <c r="BR2646" s="1070"/>
      <c r="BS2646" s="1070"/>
      <c r="BT2646" s="1070"/>
      <c r="BU2646" s="1070"/>
      <c r="BV2646" s="1070"/>
      <c r="BW2646" s="1070"/>
      <c r="BX2646" s="1070"/>
      <c r="BY2646" s="1070"/>
      <c r="BZ2646" s="1070"/>
      <c r="CA2646" s="1070"/>
      <c r="CB2646" s="1070"/>
      <c r="CC2646" s="1070"/>
      <c r="CD2646" s="1070"/>
      <c r="CE2646" s="1070"/>
      <c r="CF2646" s="1070"/>
      <c r="CG2646" s="1070"/>
      <c r="CH2646" s="1070"/>
      <c r="CI2646" s="1070"/>
      <c r="CJ2646" s="1070"/>
      <c r="CK2646" s="1070"/>
      <c r="CL2646" s="1070"/>
      <c r="CM2646" s="1070"/>
      <c r="CN2646" s="1070"/>
      <c r="CO2646" s="1070"/>
      <c r="CP2646" s="1070"/>
      <c r="CQ2646" s="1070"/>
      <c r="CR2646" s="1070"/>
      <c r="CS2646" s="1070"/>
      <c r="CT2646" s="1070"/>
      <c r="CU2646" s="1070"/>
      <c r="CV2646" s="1070"/>
      <c r="CW2646" s="1070"/>
      <c r="CX2646" s="1070"/>
      <c r="CY2646" s="1070"/>
      <c r="CZ2646" s="1070"/>
      <c r="DA2646" s="1070"/>
      <c r="DB2646" s="1070"/>
      <c r="DC2646" s="1070"/>
      <c r="DD2646" s="1070"/>
      <c r="DE2646" s="1070"/>
      <c r="DF2646" s="1070"/>
      <c r="DG2646" s="1070"/>
      <c r="DH2646" s="1070"/>
      <c r="DI2646" s="1070"/>
      <c r="DJ2646" s="1070"/>
    </row>
    <row r="2647" spans="1:114" s="1136" customFormat="1" ht="31.5" x14ac:dyDescent="0.25">
      <c r="A2647" s="1420" t="s">
        <v>3392</v>
      </c>
      <c r="B2647" s="1451">
        <f>B2428</f>
        <v>0</v>
      </c>
      <c r="C2647" s="1434"/>
      <c r="D2647" s="1350"/>
      <c r="E2647" s="1350"/>
      <c r="F2647" s="1350"/>
      <c r="G2647" s="1350"/>
      <c r="H2647" s="1350"/>
      <c r="I2647" s="1350"/>
      <c r="J2647" s="1350"/>
      <c r="K2647" s="1350"/>
      <c r="L2647" s="1350"/>
      <c r="M2647" s="1350"/>
      <c r="N2647" s="1350"/>
      <c r="O2647" s="1350"/>
      <c r="P2647" s="1350"/>
      <c r="Q2647" s="1350"/>
      <c r="R2647" s="1350"/>
      <c r="S2647" s="1350"/>
      <c r="T2647" s="1350"/>
      <c r="U2647" s="1350"/>
      <c r="V2647" s="1350"/>
      <c r="W2647" s="1350"/>
      <c r="X2647" s="1350"/>
      <c r="Y2647" s="1350"/>
      <c r="Z2647" s="1350"/>
      <c r="AA2647" s="1350"/>
      <c r="AB2647" s="1350"/>
      <c r="AC2647" s="1350"/>
      <c r="AD2647" s="1350"/>
      <c r="AE2647" s="1350"/>
      <c r="AF2647" s="1350"/>
      <c r="AG2647" s="1350"/>
      <c r="AH2647" s="1350"/>
      <c r="AI2647" s="1350"/>
      <c r="AJ2647" s="1350"/>
      <c r="AK2647" s="1350"/>
      <c r="AL2647" s="1350"/>
      <c r="AM2647" s="1350"/>
      <c r="AN2647" s="1350"/>
      <c r="AO2647" s="1350"/>
      <c r="AP2647" s="1350"/>
      <c r="AQ2647" s="1350"/>
      <c r="AR2647" s="1350"/>
      <c r="AS2647" s="1350"/>
      <c r="AT2647" s="1350"/>
      <c r="AU2647" s="1350"/>
      <c r="AV2647" s="1350"/>
      <c r="AW2647" s="1350"/>
      <c r="AX2647" s="1350"/>
      <c r="AY2647" s="1350"/>
      <c r="AZ2647" s="1350"/>
      <c r="BA2647" s="1070"/>
      <c r="BB2647" s="1070"/>
      <c r="BC2647" s="1070"/>
      <c r="BD2647" s="1070"/>
      <c r="BE2647" s="1070"/>
      <c r="BF2647" s="1070"/>
      <c r="BG2647" s="1070"/>
      <c r="BH2647" s="1070"/>
      <c r="BI2647" s="1070"/>
      <c r="BJ2647" s="1070"/>
      <c r="BK2647" s="1070"/>
      <c r="BL2647" s="1070"/>
      <c r="BM2647" s="1070"/>
      <c r="BN2647" s="1070"/>
      <c r="BO2647" s="1070"/>
      <c r="BP2647" s="1070"/>
      <c r="BQ2647" s="1070"/>
      <c r="BR2647" s="1070"/>
      <c r="BS2647" s="1070"/>
      <c r="BT2647" s="1070"/>
      <c r="BU2647" s="1070"/>
      <c r="BV2647" s="1070"/>
      <c r="BW2647" s="1070"/>
      <c r="BX2647" s="1070"/>
      <c r="BY2647" s="1070"/>
      <c r="BZ2647" s="1070"/>
      <c r="CA2647" s="1070"/>
      <c r="CB2647" s="1070"/>
      <c r="CC2647" s="1070"/>
      <c r="CD2647" s="1070"/>
      <c r="CE2647" s="1070"/>
      <c r="CF2647" s="1070"/>
      <c r="CG2647" s="1070"/>
      <c r="CH2647" s="1070"/>
      <c r="CI2647" s="1070"/>
      <c r="CJ2647" s="1070"/>
      <c r="CK2647" s="1070"/>
      <c r="CL2647" s="1070"/>
      <c r="CM2647" s="1070"/>
      <c r="CN2647" s="1070"/>
      <c r="CO2647" s="1070"/>
      <c r="CP2647" s="1070"/>
      <c r="CQ2647" s="1070"/>
      <c r="CR2647" s="1070"/>
      <c r="CS2647" s="1070"/>
      <c r="CT2647" s="1070"/>
      <c r="CU2647" s="1070"/>
      <c r="CV2647" s="1070"/>
      <c r="CW2647" s="1070"/>
      <c r="CX2647" s="1070"/>
      <c r="CY2647" s="1070"/>
      <c r="CZ2647" s="1070"/>
      <c r="DA2647" s="1070"/>
      <c r="DB2647" s="1070"/>
      <c r="DC2647" s="1070"/>
      <c r="DD2647" s="1070"/>
      <c r="DE2647" s="1070"/>
      <c r="DF2647" s="1070"/>
      <c r="DG2647" s="1070"/>
      <c r="DH2647" s="1070"/>
      <c r="DI2647" s="1070"/>
      <c r="DJ2647" s="1070"/>
    </row>
    <row r="2648" spans="1:114" s="1136" customFormat="1" ht="15.75" x14ac:dyDescent="0.25">
      <c r="A2648" s="1420" t="s">
        <v>3393</v>
      </c>
      <c r="B2648" s="1443">
        <f>IF(B2647=0,1,1.2)</f>
        <v>1</v>
      </c>
      <c r="C2648" s="1437"/>
      <c r="D2648" s="1350"/>
      <c r="E2648" s="1350"/>
      <c r="F2648" s="1350"/>
      <c r="G2648" s="1350"/>
      <c r="H2648" s="1350"/>
      <c r="I2648" s="1350"/>
      <c r="J2648" s="1350"/>
      <c r="K2648" s="1350"/>
      <c r="L2648" s="1350"/>
      <c r="M2648" s="1350"/>
      <c r="N2648" s="1350"/>
      <c r="O2648" s="1350"/>
      <c r="P2648" s="1350"/>
      <c r="Q2648" s="1350"/>
      <c r="R2648" s="1350"/>
      <c r="S2648" s="1350"/>
      <c r="T2648" s="1350"/>
      <c r="U2648" s="1350"/>
      <c r="V2648" s="1350"/>
      <c r="W2648" s="1350"/>
      <c r="X2648" s="1350"/>
      <c r="Y2648" s="1350"/>
      <c r="Z2648" s="1350"/>
      <c r="AA2648" s="1350"/>
      <c r="AB2648" s="1350"/>
      <c r="AC2648" s="1350"/>
      <c r="AD2648" s="1350"/>
      <c r="AE2648" s="1350"/>
      <c r="AF2648" s="1350"/>
      <c r="AG2648" s="1350"/>
      <c r="AH2648" s="1350"/>
      <c r="AI2648" s="1350"/>
      <c r="AJ2648" s="1350"/>
      <c r="AK2648" s="1350"/>
      <c r="AL2648" s="1350"/>
      <c r="AM2648" s="1350"/>
      <c r="AN2648" s="1350"/>
      <c r="AO2648" s="1350"/>
      <c r="AP2648" s="1350"/>
      <c r="AQ2648" s="1350"/>
      <c r="AR2648" s="1350"/>
      <c r="AS2648" s="1350"/>
      <c r="AT2648" s="1350"/>
      <c r="AU2648" s="1350"/>
      <c r="AV2648" s="1350"/>
      <c r="AW2648" s="1350"/>
      <c r="AX2648" s="1350"/>
      <c r="AY2648" s="1350"/>
      <c r="AZ2648" s="1350"/>
      <c r="BA2648" s="1070"/>
      <c r="BB2648" s="1070"/>
      <c r="BC2648" s="1070"/>
      <c r="BD2648" s="1070"/>
      <c r="BE2648" s="1070"/>
      <c r="BF2648" s="1070"/>
      <c r="BG2648" s="1070"/>
      <c r="BH2648" s="1070"/>
      <c r="BI2648" s="1070"/>
      <c r="BJ2648" s="1070"/>
      <c r="BK2648" s="1070"/>
      <c r="BL2648" s="1070"/>
      <c r="BM2648" s="1070"/>
      <c r="BN2648" s="1070"/>
      <c r="BO2648" s="1070"/>
      <c r="BP2648" s="1070"/>
      <c r="BQ2648" s="1070"/>
      <c r="BR2648" s="1070"/>
      <c r="BS2648" s="1070"/>
      <c r="BT2648" s="1070"/>
      <c r="BU2648" s="1070"/>
      <c r="BV2648" s="1070"/>
      <c r="BW2648" s="1070"/>
      <c r="BX2648" s="1070"/>
      <c r="BY2648" s="1070"/>
      <c r="BZ2648" s="1070"/>
      <c r="CA2648" s="1070"/>
      <c r="CB2648" s="1070"/>
      <c r="CC2648" s="1070"/>
      <c r="CD2648" s="1070"/>
      <c r="CE2648" s="1070"/>
      <c r="CF2648" s="1070"/>
      <c r="CG2648" s="1070"/>
      <c r="CH2648" s="1070"/>
      <c r="CI2648" s="1070"/>
      <c r="CJ2648" s="1070"/>
      <c r="CK2648" s="1070"/>
      <c r="CL2648" s="1070"/>
      <c r="CM2648" s="1070"/>
      <c r="CN2648" s="1070"/>
      <c r="CO2648" s="1070"/>
      <c r="CP2648" s="1070"/>
      <c r="CQ2648" s="1070"/>
      <c r="CR2648" s="1070"/>
      <c r="CS2648" s="1070"/>
      <c r="CT2648" s="1070"/>
      <c r="CU2648" s="1070"/>
      <c r="CV2648" s="1070"/>
      <c r="CW2648" s="1070"/>
      <c r="CX2648" s="1070"/>
      <c r="CY2648" s="1070"/>
      <c r="CZ2648" s="1070"/>
      <c r="DA2648" s="1070"/>
      <c r="DB2648" s="1070"/>
      <c r="DC2648" s="1070"/>
      <c r="DD2648" s="1070"/>
      <c r="DE2648" s="1070"/>
      <c r="DF2648" s="1070"/>
      <c r="DG2648" s="1070"/>
      <c r="DH2648" s="1070"/>
      <c r="DI2648" s="1070"/>
      <c r="DJ2648" s="1070"/>
    </row>
    <row r="2649" spans="1:114" s="1136" customFormat="1" ht="47.25" x14ac:dyDescent="0.25">
      <c r="A2649" s="1420" t="s">
        <v>1892</v>
      </c>
      <c r="B2649" s="1451">
        <f>B2430</f>
        <v>1</v>
      </c>
      <c r="C2649" s="1434"/>
      <c r="D2649" s="1432"/>
      <c r="E2649" s="1432"/>
      <c r="F2649" s="1432"/>
      <c r="G2649" s="1432"/>
      <c r="H2649" s="1350"/>
      <c r="I2649" s="1350"/>
      <c r="J2649" s="1350"/>
      <c r="K2649" s="1350"/>
      <c r="L2649" s="1350"/>
      <c r="M2649" s="1350"/>
      <c r="N2649" s="1350"/>
      <c r="O2649" s="1350"/>
      <c r="P2649" s="1350"/>
      <c r="Q2649" s="1350"/>
      <c r="R2649" s="1350"/>
      <c r="S2649" s="1350"/>
      <c r="T2649" s="1350"/>
      <c r="U2649" s="1350"/>
      <c r="V2649" s="1350"/>
      <c r="W2649" s="1350"/>
      <c r="X2649" s="1350"/>
      <c r="Y2649" s="1350"/>
      <c r="Z2649" s="1350"/>
      <c r="AA2649" s="1350"/>
      <c r="AB2649" s="1350"/>
      <c r="AC2649" s="1350"/>
      <c r="AD2649" s="1350"/>
      <c r="AE2649" s="1350"/>
      <c r="AF2649" s="1350"/>
      <c r="AG2649" s="1350"/>
      <c r="AH2649" s="1350"/>
      <c r="AI2649" s="1350"/>
      <c r="AJ2649" s="1350"/>
      <c r="AK2649" s="1350"/>
      <c r="AL2649" s="1350"/>
      <c r="AM2649" s="1350"/>
      <c r="AN2649" s="1350"/>
      <c r="AO2649" s="1350"/>
      <c r="AP2649" s="1350"/>
      <c r="AQ2649" s="1350"/>
      <c r="AR2649" s="1350"/>
      <c r="AS2649" s="1350"/>
      <c r="AT2649" s="1350"/>
      <c r="AU2649" s="1350"/>
      <c r="AV2649" s="1350"/>
      <c r="AW2649" s="1350"/>
      <c r="AX2649" s="1350"/>
      <c r="AY2649" s="1350"/>
      <c r="AZ2649" s="1350"/>
      <c r="BA2649" s="1070"/>
      <c r="BB2649" s="1070"/>
      <c r="BC2649" s="1070"/>
      <c r="BD2649" s="1070"/>
      <c r="BE2649" s="1070"/>
      <c r="BF2649" s="1070"/>
      <c r="BG2649" s="1070"/>
      <c r="BH2649" s="1070"/>
      <c r="BI2649" s="1070"/>
      <c r="BJ2649" s="1070"/>
      <c r="BK2649" s="1070"/>
      <c r="BL2649" s="1070"/>
      <c r="BM2649" s="1070"/>
      <c r="BN2649" s="1070"/>
      <c r="BO2649" s="1070"/>
      <c r="BP2649" s="1070"/>
      <c r="BQ2649" s="1070"/>
      <c r="BR2649" s="1070"/>
      <c r="BS2649" s="1070"/>
      <c r="BT2649" s="1070"/>
      <c r="BU2649" s="1070"/>
      <c r="BV2649" s="1070"/>
      <c r="BW2649" s="1070"/>
      <c r="BX2649" s="1070"/>
      <c r="BY2649" s="1070"/>
      <c r="BZ2649" s="1070"/>
      <c r="CA2649" s="1070"/>
      <c r="CB2649" s="1070"/>
      <c r="CC2649" s="1070"/>
      <c r="CD2649" s="1070"/>
      <c r="CE2649" s="1070"/>
      <c r="CF2649" s="1070"/>
      <c r="CG2649" s="1070"/>
      <c r="CH2649" s="1070"/>
      <c r="CI2649" s="1070"/>
      <c r="CJ2649" s="1070"/>
      <c r="CK2649" s="1070"/>
      <c r="CL2649" s="1070"/>
      <c r="CM2649" s="1070"/>
      <c r="CN2649" s="1070"/>
      <c r="CO2649" s="1070"/>
      <c r="CP2649" s="1070"/>
      <c r="CQ2649" s="1070"/>
      <c r="CR2649" s="1070"/>
      <c r="CS2649" s="1070"/>
      <c r="CT2649" s="1070"/>
      <c r="CU2649" s="1070"/>
      <c r="CV2649" s="1070"/>
      <c r="CW2649" s="1070"/>
      <c r="CX2649" s="1070"/>
      <c r="CY2649" s="1070"/>
      <c r="CZ2649" s="1070"/>
      <c r="DA2649" s="1070"/>
      <c r="DB2649" s="1070"/>
      <c r="DC2649" s="1070"/>
      <c r="DD2649" s="1070"/>
      <c r="DE2649" s="1070"/>
      <c r="DF2649" s="1070"/>
      <c r="DG2649" s="1070"/>
      <c r="DH2649" s="1070"/>
      <c r="DI2649" s="1070"/>
      <c r="DJ2649" s="1070"/>
    </row>
    <row r="2650" spans="1:114" s="1136" customFormat="1" ht="15.75" x14ac:dyDescent="0.25">
      <c r="A2650" s="1420" t="s">
        <v>1893</v>
      </c>
      <c r="B2650" s="1443">
        <f>IF(B2649=0,1.05,1)</f>
        <v>1</v>
      </c>
      <c r="C2650" s="1437"/>
      <c r="D2650" s="1434"/>
      <c r="E2650" s="1434"/>
      <c r="F2650" s="1434"/>
      <c r="G2650" s="1434"/>
      <c r="H2650" s="1350"/>
      <c r="I2650" s="1350"/>
      <c r="J2650" s="1350"/>
      <c r="K2650" s="1350"/>
      <c r="L2650" s="1350"/>
      <c r="M2650" s="1350"/>
      <c r="N2650" s="1350"/>
      <c r="O2650" s="1350"/>
      <c r="P2650" s="1350"/>
      <c r="Q2650" s="1350"/>
      <c r="R2650" s="1350"/>
      <c r="S2650" s="1350"/>
      <c r="T2650" s="1350"/>
      <c r="U2650" s="1350"/>
      <c r="V2650" s="1350"/>
      <c r="W2650" s="1350"/>
      <c r="X2650" s="1350"/>
      <c r="Y2650" s="1350"/>
      <c r="Z2650" s="1350"/>
      <c r="AA2650" s="1350"/>
      <c r="AB2650" s="1350"/>
      <c r="AC2650" s="1350"/>
      <c r="AD2650" s="1350"/>
      <c r="AE2650" s="1350"/>
      <c r="AF2650" s="1350"/>
      <c r="AG2650" s="1350"/>
      <c r="AH2650" s="1350"/>
      <c r="AI2650" s="1350"/>
      <c r="AJ2650" s="1350"/>
      <c r="AK2650" s="1350"/>
      <c r="AL2650" s="1350"/>
      <c r="AM2650" s="1350"/>
      <c r="AN2650" s="1350"/>
      <c r="AO2650" s="1350"/>
      <c r="AP2650" s="1350"/>
      <c r="AQ2650" s="1350"/>
      <c r="AR2650" s="1350"/>
      <c r="AS2650" s="1350"/>
      <c r="AT2650" s="1350"/>
      <c r="AU2650" s="1350"/>
      <c r="AV2650" s="1350"/>
      <c r="AW2650" s="1350"/>
      <c r="AX2650" s="1350"/>
      <c r="AY2650" s="1350"/>
      <c r="AZ2650" s="1350"/>
      <c r="BA2650" s="1070"/>
      <c r="BB2650" s="1070"/>
      <c r="BC2650" s="1070"/>
      <c r="BD2650" s="1070"/>
      <c r="BE2650" s="1070"/>
      <c r="BF2650" s="1070"/>
      <c r="BG2650" s="1070"/>
      <c r="BH2650" s="1070"/>
      <c r="BI2650" s="1070"/>
      <c r="BJ2650" s="1070"/>
      <c r="BK2650" s="1070"/>
      <c r="BL2650" s="1070"/>
      <c r="BM2650" s="1070"/>
      <c r="BN2650" s="1070"/>
      <c r="BO2650" s="1070"/>
      <c r="BP2650" s="1070"/>
      <c r="BQ2650" s="1070"/>
      <c r="BR2650" s="1070"/>
      <c r="BS2650" s="1070"/>
      <c r="BT2650" s="1070"/>
      <c r="BU2650" s="1070"/>
      <c r="BV2650" s="1070"/>
      <c r="BW2650" s="1070"/>
      <c r="BX2650" s="1070"/>
      <c r="BY2650" s="1070"/>
      <c r="BZ2650" s="1070"/>
      <c r="CA2650" s="1070"/>
      <c r="CB2650" s="1070"/>
      <c r="CC2650" s="1070"/>
      <c r="CD2650" s="1070"/>
      <c r="CE2650" s="1070"/>
      <c r="CF2650" s="1070"/>
      <c r="CG2650" s="1070"/>
      <c r="CH2650" s="1070"/>
      <c r="CI2650" s="1070"/>
      <c r="CJ2650" s="1070"/>
      <c r="CK2650" s="1070"/>
      <c r="CL2650" s="1070"/>
      <c r="CM2650" s="1070"/>
      <c r="CN2650" s="1070"/>
      <c r="CO2650" s="1070"/>
      <c r="CP2650" s="1070"/>
      <c r="CQ2650" s="1070"/>
      <c r="CR2650" s="1070"/>
      <c r="CS2650" s="1070"/>
      <c r="CT2650" s="1070"/>
      <c r="CU2650" s="1070"/>
      <c r="CV2650" s="1070"/>
      <c r="CW2650" s="1070"/>
      <c r="CX2650" s="1070"/>
      <c r="CY2650" s="1070"/>
      <c r="CZ2650" s="1070"/>
      <c r="DA2650" s="1070"/>
      <c r="DB2650" s="1070"/>
      <c r="DC2650" s="1070"/>
      <c r="DD2650" s="1070"/>
      <c r="DE2650" s="1070"/>
      <c r="DF2650" s="1070"/>
      <c r="DG2650" s="1070"/>
      <c r="DH2650" s="1070"/>
      <c r="DI2650" s="1070"/>
      <c r="DJ2650" s="1070"/>
    </row>
    <row r="2651" spans="1:114" s="1136" customFormat="1" ht="15.75" x14ac:dyDescent="0.25">
      <c r="A2651" s="1420" t="s">
        <v>1894</v>
      </c>
      <c r="B2651" s="1443" t="e">
        <f>B2643*B2645*B2646*B2648*B2650*B2383</f>
        <v>#VALUE!</v>
      </c>
      <c r="C2651" s="1437"/>
      <c r="D2651" s="1350"/>
      <c r="E2651" s="1350"/>
      <c r="F2651" s="1350"/>
      <c r="G2651" s="1350"/>
      <c r="H2651" s="1350"/>
      <c r="I2651" s="1350"/>
      <c r="J2651" s="1350"/>
      <c r="K2651" s="1350"/>
      <c r="L2651" s="1350"/>
      <c r="M2651" s="1350"/>
      <c r="N2651" s="1350"/>
      <c r="O2651" s="1350"/>
      <c r="P2651" s="1350"/>
      <c r="Q2651" s="1350"/>
      <c r="R2651" s="1350"/>
      <c r="S2651" s="1350"/>
      <c r="T2651" s="1350"/>
      <c r="U2651" s="1350"/>
      <c r="V2651" s="1350"/>
      <c r="W2651" s="1350"/>
      <c r="X2651" s="1350"/>
      <c r="Y2651" s="1350"/>
      <c r="Z2651" s="1350"/>
      <c r="AA2651" s="1350"/>
      <c r="AB2651" s="1350"/>
      <c r="AC2651" s="1350"/>
      <c r="AD2651" s="1350"/>
      <c r="AE2651" s="1350"/>
      <c r="AF2651" s="1350"/>
      <c r="AG2651" s="1350"/>
      <c r="AH2651" s="1350"/>
      <c r="AI2651" s="1350"/>
      <c r="AJ2651" s="1350"/>
      <c r="AK2651" s="1350"/>
      <c r="AL2651" s="1350"/>
      <c r="AM2651" s="1350"/>
      <c r="AN2651" s="1350"/>
      <c r="AO2651" s="1350"/>
      <c r="AP2651" s="1350"/>
      <c r="AQ2651" s="1350"/>
      <c r="AR2651" s="1350"/>
      <c r="AS2651" s="1350"/>
      <c r="AT2651" s="1350"/>
      <c r="AU2651" s="1350"/>
      <c r="AV2651" s="1350"/>
      <c r="AW2651" s="1350"/>
      <c r="AX2651" s="1350"/>
      <c r="AY2651" s="1350"/>
      <c r="AZ2651" s="1350"/>
      <c r="BA2651" s="1070"/>
      <c r="BB2651" s="1070"/>
      <c r="BC2651" s="1070"/>
      <c r="BD2651" s="1070"/>
      <c r="BE2651" s="1070"/>
      <c r="BF2651" s="1070"/>
      <c r="BG2651" s="1070"/>
      <c r="BH2651" s="1070"/>
      <c r="BI2651" s="1070"/>
      <c r="BJ2651" s="1070"/>
      <c r="BK2651" s="1070"/>
      <c r="BL2651" s="1070"/>
      <c r="BM2651" s="1070"/>
      <c r="BN2651" s="1070"/>
      <c r="BO2651" s="1070"/>
      <c r="BP2651" s="1070"/>
      <c r="BQ2651" s="1070"/>
      <c r="BR2651" s="1070"/>
      <c r="BS2651" s="1070"/>
      <c r="BT2651" s="1070"/>
      <c r="BU2651" s="1070"/>
      <c r="BV2651" s="1070"/>
      <c r="BW2651" s="1070"/>
      <c r="BX2651" s="1070"/>
      <c r="BY2651" s="1070"/>
      <c r="BZ2651" s="1070"/>
      <c r="CA2651" s="1070"/>
      <c r="CB2651" s="1070"/>
      <c r="CC2651" s="1070"/>
      <c r="CD2651" s="1070"/>
      <c r="CE2651" s="1070"/>
      <c r="CF2651" s="1070"/>
      <c r="CG2651" s="1070"/>
      <c r="CH2651" s="1070"/>
      <c r="CI2651" s="1070"/>
      <c r="CJ2651" s="1070"/>
      <c r="CK2651" s="1070"/>
      <c r="CL2651" s="1070"/>
      <c r="CM2651" s="1070"/>
      <c r="CN2651" s="1070"/>
      <c r="CO2651" s="1070"/>
      <c r="CP2651" s="1070"/>
      <c r="CQ2651" s="1070"/>
      <c r="CR2651" s="1070"/>
      <c r="CS2651" s="1070"/>
      <c r="CT2651" s="1070"/>
      <c r="CU2651" s="1070"/>
      <c r="CV2651" s="1070"/>
      <c r="CW2651" s="1070"/>
      <c r="CX2651" s="1070"/>
      <c r="CY2651" s="1070"/>
      <c r="CZ2651" s="1070"/>
      <c r="DA2651" s="1070"/>
      <c r="DB2651" s="1070"/>
      <c r="DC2651" s="1070"/>
      <c r="DD2651" s="1070"/>
      <c r="DE2651" s="1070"/>
      <c r="DF2651" s="1070"/>
      <c r="DG2651" s="1070"/>
      <c r="DH2651" s="1070"/>
      <c r="DI2651" s="1070"/>
      <c r="DJ2651" s="1070"/>
    </row>
    <row r="2652" spans="1:114" s="1136" customFormat="1" ht="15.75" x14ac:dyDescent="0.25">
      <c r="A2652" s="1420" t="s">
        <v>429</v>
      </c>
      <c r="B2652" s="1439" t="e">
        <f>B2642/B2651</f>
        <v>#VALUE!</v>
      </c>
      <c r="C2652" s="1432"/>
      <c r="D2652" s="1437"/>
      <c r="E2652" s="1437"/>
      <c r="F2652" s="1437"/>
      <c r="G2652" s="1437"/>
      <c r="H2652" s="1350"/>
      <c r="I2652" s="1350"/>
      <c r="J2652" s="1350"/>
      <c r="K2652" s="1350"/>
      <c r="L2652" s="1350"/>
      <c r="M2652" s="1350"/>
      <c r="N2652" s="1350"/>
      <c r="O2652" s="1350"/>
      <c r="P2652" s="1350"/>
      <c r="Q2652" s="1350"/>
      <c r="R2652" s="1350"/>
      <c r="S2652" s="1350"/>
      <c r="T2652" s="1350"/>
      <c r="U2652" s="1350"/>
      <c r="V2652" s="1350"/>
      <c r="W2652" s="1350"/>
      <c r="X2652" s="1350"/>
      <c r="Y2652" s="1350"/>
      <c r="Z2652" s="1350"/>
      <c r="AA2652" s="1350"/>
      <c r="AB2652" s="1350"/>
      <c r="AC2652" s="1350"/>
      <c r="AD2652" s="1350"/>
      <c r="AE2652" s="1350"/>
      <c r="AF2652" s="1350"/>
      <c r="AG2652" s="1350"/>
      <c r="AH2652" s="1350"/>
      <c r="AI2652" s="1350"/>
      <c r="AJ2652" s="1350"/>
      <c r="AK2652" s="1350"/>
      <c r="AL2652" s="1350"/>
      <c r="AM2652" s="1350"/>
      <c r="AN2652" s="1350"/>
      <c r="AO2652" s="1350"/>
      <c r="AP2652" s="1350"/>
      <c r="AQ2652" s="1350"/>
      <c r="AR2652" s="1350"/>
      <c r="AS2652" s="1350"/>
      <c r="AT2652" s="1350"/>
      <c r="AU2652" s="1350"/>
      <c r="AV2652" s="1350"/>
      <c r="AW2652" s="1350"/>
      <c r="AX2652" s="1350"/>
      <c r="AY2652" s="1350"/>
      <c r="AZ2652" s="1350"/>
      <c r="BA2652" s="1070"/>
      <c r="BB2652" s="1070"/>
      <c r="BC2652" s="1070"/>
      <c r="BD2652" s="1070"/>
      <c r="BE2652" s="1070"/>
      <c r="BF2652" s="1070"/>
      <c r="BG2652" s="1070"/>
      <c r="BH2652" s="1070"/>
      <c r="BI2652" s="1070"/>
      <c r="BJ2652" s="1070"/>
      <c r="BK2652" s="1070"/>
      <c r="BL2652" s="1070"/>
      <c r="BM2652" s="1070"/>
      <c r="BN2652" s="1070"/>
      <c r="BO2652" s="1070"/>
      <c r="BP2652" s="1070"/>
      <c r="BQ2652" s="1070"/>
      <c r="BR2652" s="1070"/>
      <c r="BS2652" s="1070"/>
      <c r="BT2652" s="1070"/>
      <c r="BU2652" s="1070"/>
      <c r="BV2652" s="1070"/>
      <c r="BW2652" s="1070"/>
      <c r="BX2652" s="1070"/>
      <c r="BY2652" s="1070"/>
      <c r="BZ2652" s="1070"/>
      <c r="CA2652" s="1070"/>
      <c r="CB2652" s="1070"/>
      <c r="CC2652" s="1070"/>
      <c r="CD2652" s="1070"/>
      <c r="CE2652" s="1070"/>
      <c r="CF2652" s="1070"/>
      <c r="CG2652" s="1070"/>
      <c r="CH2652" s="1070"/>
      <c r="CI2652" s="1070"/>
      <c r="CJ2652" s="1070"/>
      <c r="CK2652" s="1070"/>
      <c r="CL2652" s="1070"/>
      <c r="CM2652" s="1070"/>
      <c r="CN2652" s="1070"/>
      <c r="CO2652" s="1070"/>
      <c r="CP2652" s="1070"/>
      <c r="CQ2652" s="1070"/>
      <c r="CR2652" s="1070"/>
      <c r="CS2652" s="1070"/>
      <c r="CT2652" s="1070"/>
      <c r="CU2652" s="1070"/>
      <c r="CV2652" s="1070"/>
      <c r="CW2652" s="1070"/>
      <c r="CX2652" s="1070"/>
      <c r="CY2652" s="1070"/>
      <c r="CZ2652" s="1070"/>
      <c r="DA2652" s="1070"/>
      <c r="DB2652" s="1070"/>
      <c r="DC2652" s="1070"/>
      <c r="DD2652" s="1070"/>
      <c r="DE2652" s="1070"/>
      <c r="DF2652" s="1070"/>
      <c r="DG2652" s="1070"/>
      <c r="DH2652" s="1070"/>
      <c r="DI2652" s="1070"/>
      <c r="DJ2652" s="1070"/>
    </row>
    <row r="2653" spans="1:114" s="1136" customFormat="1" ht="15.75" x14ac:dyDescent="0.25">
      <c r="A2653" s="1430"/>
      <c r="B2653" s="1443"/>
      <c r="C2653" s="1437"/>
      <c r="D2653" s="1437"/>
      <c r="E2653" s="1437"/>
      <c r="F2653" s="1437"/>
      <c r="G2653" s="1437"/>
      <c r="H2653" s="1350"/>
      <c r="I2653" s="1350"/>
      <c r="J2653" s="1350"/>
      <c r="K2653" s="1350"/>
      <c r="L2653" s="1350"/>
      <c r="M2653" s="1350"/>
      <c r="N2653" s="1350"/>
      <c r="O2653" s="1350"/>
      <c r="P2653" s="1350"/>
      <c r="Q2653" s="1350"/>
      <c r="R2653" s="1350"/>
      <c r="S2653" s="1350"/>
      <c r="T2653" s="1350"/>
      <c r="U2653" s="1350"/>
      <c r="V2653" s="1350"/>
      <c r="W2653" s="1350"/>
      <c r="X2653" s="1350"/>
      <c r="Y2653" s="1350"/>
      <c r="Z2653" s="1350"/>
      <c r="AA2653" s="1350"/>
      <c r="AB2653" s="1350"/>
      <c r="AC2653" s="1350"/>
      <c r="AD2653" s="1350"/>
      <c r="AE2653" s="1350"/>
      <c r="AF2653" s="1350"/>
      <c r="AG2653" s="1350"/>
      <c r="AH2653" s="1350"/>
      <c r="AI2653" s="1350"/>
      <c r="AJ2653" s="1350"/>
      <c r="AK2653" s="1350"/>
      <c r="AL2653" s="1350"/>
      <c r="AM2653" s="1350"/>
      <c r="AN2653" s="1350"/>
      <c r="AO2653" s="1350"/>
      <c r="AP2653" s="1350"/>
      <c r="AQ2653" s="1350"/>
      <c r="AR2653" s="1350"/>
      <c r="AS2653" s="1350"/>
      <c r="AT2653" s="1350"/>
      <c r="AU2653" s="1350"/>
      <c r="AV2653" s="1350"/>
      <c r="AW2653" s="1350"/>
      <c r="AX2653" s="1350"/>
      <c r="AY2653" s="1350"/>
      <c r="AZ2653" s="1350"/>
      <c r="BA2653" s="1070"/>
      <c r="BB2653" s="1070"/>
      <c r="BC2653" s="1070"/>
      <c r="BD2653" s="1070"/>
      <c r="BE2653" s="1070"/>
      <c r="BF2653" s="1070"/>
      <c r="BG2653" s="1070"/>
      <c r="BH2653" s="1070"/>
      <c r="BI2653" s="1070"/>
      <c r="BJ2653" s="1070"/>
      <c r="BK2653" s="1070"/>
      <c r="BL2653" s="1070"/>
      <c r="BM2653" s="1070"/>
      <c r="BN2653" s="1070"/>
      <c r="BO2653" s="1070"/>
      <c r="BP2653" s="1070"/>
      <c r="BQ2653" s="1070"/>
      <c r="BR2653" s="1070"/>
      <c r="BS2653" s="1070"/>
      <c r="BT2653" s="1070"/>
      <c r="BU2653" s="1070"/>
      <c r="BV2653" s="1070"/>
      <c r="BW2653" s="1070"/>
      <c r="BX2653" s="1070"/>
      <c r="BY2653" s="1070"/>
      <c r="BZ2653" s="1070"/>
      <c r="CA2653" s="1070"/>
      <c r="CB2653" s="1070"/>
      <c r="CC2653" s="1070"/>
      <c r="CD2653" s="1070"/>
      <c r="CE2653" s="1070"/>
      <c r="CF2653" s="1070"/>
      <c r="CG2653" s="1070"/>
      <c r="CH2653" s="1070"/>
      <c r="CI2653" s="1070"/>
      <c r="CJ2653" s="1070"/>
      <c r="CK2653" s="1070"/>
      <c r="CL2653" s="1070"/>
      <c r="CM2653" s="1070"/>
      <c r="CN2653" s="1070"/>
      <c r="CO2653" s="1070"/>
      <c r="CP2653" s="1070"/>
      <c r="CQ2653" s="1070"/>
      <c r="CR2653" s="1070"/>
      <c r="CS2653" s="1070"/>
      <c r="CT2653" s="1070"/>
      <c r="CU2653" s="1070"/>
      <c r="CV2653" s="1070"/>
      <c r="CW2653" s="1070"/>
      <c r="CX2653" s="1070"/>
      <c r="CY2653" s="1070"/>
      <c r="CZ2653" s="1070"/>
      <c r="DA2653" s="1070"/>
      <c r="DB2653" s="1070"/>
      <c r="DC2653" s="1070"/>
      <c r="DD2653" s="1070"/>
      <c r="DE2653" s="1070"/>
      <c r="DF2653" s="1070"/>
      <c r="DG2653" s="1070"/>
      <c r="DH2653" s="1070"/>
      <c r="DI2653" s="1070"/>
      <c r="DJ2653" s="1070"/>
    </row>
    <row r="2654" spans="1:114" s="1136" customFormat="1" ht="63" x14ac:dyDescent="0.25">
      <c r="A2654" s="1438" t="s">
        <v>1895</v>
      </c>
      <c r="B2654" s="1443"/>
      <c r="C2654" s="1437"/>
      <c r="D2654" s="1434"/>
      <c r="E2654" s="1434"/>
      <c r="F2654" s="1434"/>
      <c r="G2654" s="1434"/>
      <c r="H2654" s="1350"/>
      <c r="I2654" s="1350"/>
      <c r="J2654" s="1350"/>
      <c r="K2654" s="1350"/>
      <c r="L2654" s="1350"/>
      <c r="M2654" s="1350"/>
      <c r="N2654" s="1350"/>
      <c r="O2654" s="1350"/>
      <c r="P2654" s="1350"/>
      <c r="Q2654" s="1350"/>
      <c r="R2654" s="1350"/>
      <c r="S2654" s="1350"/>
      <c r="T2654" s="1350"/>
      <c r="U2654" s="1350"/>
      <c r="V2654" s="1350"/>
      <c r="W2654" s="1350"/>
      <c r="X2654" s="1350"/>
      <c r="Y2654" s="1350"/>
      <c r="Z2654" s="1350"/>
      <c r="AA2654" s="1350"/>
      <c r="AB2654" s="1350"/>
      <c r="AC2654" s="1350"/>
      <c r="AD2654" s="1350"/>
      <c r="AE2654" s="1350"/>
      <c r="AF2654" s="1350"/>
      <c r="AG2654" s="1350"/>
      <c r="AH2654" s="1350"/>
      <c r="AI2654" s="1350"/>
      <c r="AJ2654" s="1350"/>
      <c r="AK2654" s="1350"/>
      <c r="AL2654" s="1350"/>
      <c r="AM2654" s="1350"/>
      <c r="AN2654" s="1350"/>
      <c r="AO2654" s="1350"/>
      <c r="AP2654" s="1350"/>
      <c r="AQ2654" s="1350"/>
      <c r="AR2654" s="1350"/>
      <c r="AS2654" s="1350"/>
      <c r="AT2654" s="1350"/>
      <c r="AU2654" s="1350"/>
      <c r="AV2654" s="1350"/>
      <c r="AW2654" s="1350"/>
      <c r="AX2654" s="1350"/>
      <c r="AY2654" s="1350"/>
      <c r="AZ2654" s="1350"/>
      <c r="BA2654" s="1070"/>
      <c r="BB2654" s="1070"/>
      <c r="BC2654" s="1070"/>
      <c r="BD2654" s="1070"/>
      <c r="BE2654" s="1070"/>
      <c r="BF2654" s="1070"/>
      <c r="BG2654" s="1070"/>
      <c r="BH2654" s="1070"/>
      <c r="BI2654" s="1070"/>
      <c r="BJ2654" s="1070"/>
      <c r="BK2654" s="1070"/>
      <c r="BL2654" s="1070"/>
      <c r="BM2654" s="1070"/>
      <c r="BN2654" s="1070"/>
      <c r="BO2654" s="1070"/>
      <c r="BP2654" s="1070"/>
      <c r="BQ2654" s="1070"/>
      <c r="BR2654" s="1070"/>
      <c r="BS2654" s="1070"/>
      <c r="BT2654" s="1070"/>
      <c r="BU2654" s="1070"/>
      <c r="BV2654" s="1070"/>
      <c r="BW2654" s="1070"/>
      <c r="BX2654" s="1070"/>
      <c r="BY2654" s="1070"/>
      <c r="BZ2654" s="1070"/>
      <c r="CA2654" s="1070"/>
      <c r="CB2654" s="1070"/>
      <c r="CC2654" s="1070"/>
      <c r="CD2654" s="1070"/>
      <c r="CE2654" s="1070"/>
      <c r="CF2654" s="1070"/>
      <c r="CG2654" s="1070"/>
      <c r="CH2654" s="1070"/>
      <c r="CI2654" s="1070"/>
      <c r="CJ2654" s="1070"/>
      <c r="CK2654" s="1070"/>
      <c r="CL2654" s="1070"/>
      <c r="CM2654" s="1070"/>
      <c r="CN2654" s="1070"/>
      <c r="CO2654" s="1070"/>
      <c r="CP2654" s="1070"/>
      <c r="CQ2654" s="1070"/>
      <c r="CR2654" s="1070"/>
      <c r="CS2654" s="1070"/>
      <c r="CT2654" s="1070"/>
      <c r="CU2654" s="1070"/>
      <c r="CV2654" s="1070"/>
      <c r="CW2654" s="1070"/>
      <c r="CX2654" s="1070"/>
      <c r="CY2654" s="1070"/>
      <c r="CZ2654" s="1070"/>
      <c r="DA2654" s="1070"/>
      <c r="DB2654" s="1070"/>
      <c r="DC2654" s="1070"/>
      <c r="DD2654" s="1070"/>
      <c r="DE2654" s="1070"/>
      <c r="DF2654" s="1070"/>
      <c r="DG2654" s="1070"/>
      <c r="DH2654" s="1070"/>
      <c r="DI2654" s="1070"/>
      <c r="DJ2654" s="1070"/>
    </row>
    <row r="2655" spans="1:114" s="1136" customFormat="1" ht="15.75" x14ac:dyDescent="0.25">
      <c r="A2655" s="1420" t="s">
        <v>424</v>
      </c>
      <c r="B2655" s="1443" t="e">
        <f>B2642</f>
        <v>#VALUE!</v>
      </c>
      <c r="C2655" s="1437"/>
      <c r="D2655" s="1437"/>
      <c r="E2655" s="1437"/>
      <c r="F2655" s="1437"/>
      <c r="G2655" s="1437"/>
      <c r="H2655" s="1350"/>
      <c r="I2655" s="1350"/>
      <c r="J2655" s="1350"/>
      <c r="K2655" s="1350"/>
      <c r="L2655" s="1350"/>
      <c r="M2655" s="1350"/>
      <c r="N2655" s="1350"/>
      <c r="O2655" s="1350"/>
      <c r="P2655" s="1350"/>
      <c r="Q2655" s="1350"/>
      <c r="R2655" s="1350"/>
      <c r="S2655" s="1350"/>
      <c r="T2655" s="1350"/>
      <c r="U2655" s="1350"/>
      <c r="V2655" s="1350"/>
      <c r="W2655" s="1350"/>
      <c r="X2655" s="1350"/>
      <c r="Y2655" s="1350"/>
      <c r="Z2655" s="1350"/>
      <c r="AA2655" s="1350"/>
      <c r="AB2655" s="1350"/>
      <c r="AC2655" s="1350"/>
      <c r="AD2655" s="1350"/>
      <c r="AE2655" s="1350"/>
      <c r="AF2655" s="1350"/>
      <c r="AG2655" s="1350"/>
      <c r="AH2655" s="1350"/>
      <c r="AI2655" s="1350"/>
      <c r="AJ2655" s="1350"/>
      <c r="AK2655" s="1350"/>
      <c r="AL2655" s="1350"/>
      <c r="AM2655" s="1350"/>
      <c r="AN2655" s="1350"/>
      <c r="AO2655" s="1350"/>
      <c r="AP2655" s="1350"/>
      <c r="AQ2655" s="1350"/>
      <c r="AR2655" s="1350"/>
      <c r="AS2655" s="1350"/>
      <c r="AT2655" s="1350"/>
      <c r="AU2655" s="1350"/>
      <c r="AV2655" s="1350"/>
      <c r="AW2655" s="1350"/>
      <c r="AX2655" s="1350"/>
      <c r="AY2655" s="1350"/>
      <c r="AZ2655" s="1350"/>
      <c r="BA2655" s="1070"/>
      <c r="BB2655" s="1070"/>
      <c r="BC2655" s="1070"/>
      <c r="BD2655" s="1070"/>
      <c r="BE2655" s="1070"/>
      <c r="BF2655" s="1070"/>
      <c r="BG2655" s="1070"/>
      <c r="BH2655" s="1070"/>
      <c r="BI2655" s="1070"/>
      <c r="BJ2655" s="1070"/>
      <c r="BK2655" s="1070"/>
      <c r="BL2655" s="1070"/>
      <c r="BM2655" s="1070"/>
      <c r="BN2655" s="1070"/>
      <c r="BO2655" s="1070"/>
      <c r="BP2655" s="1070"/>
      <c r="BQ2655" s="1070"/>
      <c r="BR2655" s="1070"/>
      <c r="BS2655" s="1070"/>
      <c r="BT2655" s="1070"/>
      <c r="BU2655" s="1070"/>
      <c r="BV2655" s="1070"/>
      <c r="BW2655" s="1070"/>
      <c r="BX2655" s="1070"/>
      <c r="BY2655" s="1070"/>
      <c r="BZ2655" s="1070"/>
      <c r="CA2655" s="1070"/>
      <c r="CB2655" s="1070"/>
      <c r="CC2655" s="1070"/>
      <c r="CD2655" s="1070"/>
      <c r="CE2655" s="1070"/>
      <c r="CF2655" s="1070"/>
      <c r="CG2655" s="1070"/>
      <c r="CH2655" s="1070"/>
      <c r="CI2655" s="1070"/>
      <c r="CJ2655" s="1070"/>
      <c r="CK2655" s="1070"/>
      <c r="CL2655" s="1070"/>
      <c r="CM2655" s="1070"/>
      <c r="CN2655" s="1070"/>
      <c r="CO2655" s="1070"/>
      <c r="CP2655" s="1070"/>
      <c r="CQ2655" s="1070"/>
      <c r="CR2655" s="1070"/>
      <c r="CS2655" s="1070"/>
      <c r="CT2655" s="1070"/>
      <c r="CU2655" s="1070"/>
      <c r="CV2655" s="1070"/>
      <c r="CW2655" s="1070"/>
      <c r="CX2655" s="1070"/>
      <c r="CY2655" s="1070"/>
      <c r="CZ2655" s="1070"/>
      <c r="DA2655" s="1070"/>
      <c r="DB2655" s="1070"/>
      <c r="DC2655" s="1070"/>
      <c r="DD2655" s="1070"/>
      <c r="DE2655" s="1070"/>
      <c r="DF2655" s="1070"/>
      <c r="DG2655" s="1070"/>
      <c r="DH2655" s="1070"/>
      <c r="DI2655" s="1070"/>
      <c r="DJ2655" s="1070"/>
    </row>
    <row r="2656" spans="1:114" s="1136" customFormat="1" ht="15.75" x14ac:dyDescent="0.25">
      <c r="A2656" s="1420" t="s">
        <v>1718</v>
      </c>
      <c r="B2656" s="1443">
        <f>B2437</f>
        <v>53.8</v>
      </c>
      <c r="C2656" s="1437"/>
      <c r="D2656" s="1434"/>
      <c r="E2656" s="1434"/>
      <c r="F2656" s="1434"/>
      <c r="G2656" s="1434"/>
      <c r="H2656" s="1350"/>
      <c r="I2656" s="1350"/>
      <c r="J2656" s="1350"/>
      <c r="K2656" s="1350"/>
      <c r="L2656" s="1350"/>
      <c r="M2656" s="1350"/>
      <c r="N2656" s="1350"/>
      <c r="O2656" s="1350"/>
      <c r="P2656" s="1350"/>
      <c r="Q2656" s="1350"/>
      <c r="R2656" s="1350"/>
      <c r="S2656" s="1350"/>
      <c r="T2656" s="1350"/>
      <c r="U2656" s="1350"/>
      <c r="V2656" s="1350"/>
      <c r="W2656" s="1350"/>
      <c r="X2656" s="1350"/>
      <c r="Y2656" s="1350"/>
      <c r="Z2656" s="1350"/>
      <c r="AA2656" s="1350"/>
      <c r="AB2656" s="1350"/>
      <c r="AC2656" s="1350"/>
      <c r="AD2656" s="1350"/>
      <c r="AE2656" s="1350"/>
      <c r="AF2656" s="1350"/>
      <c r="AG2656" s="1350"/>
      <c r="AH2656" s="1350"/>
      <c r="AI2656" s="1350"/>
      <c r="AJ2656" s="1350"/>
      <c r="AK2656" s="1350"/>
      <c r="AL2656" s="1350"/>
      <c r="AM2656" s="1350"/>
      <c r="AN2656" s="1350"/>
      <c r="AO2656" s="1350"/>
      <c r="AP2656" s="1350"/>
      <c r="AQ2656" s="1350"/>
      <c r="AR2656" s="1350"/>
      <c r="AS2656" s="1350"/>
      <c r="AT2656" s="1350"/>
      <c r="AU2656" s="1350"/>
      <c r="AV2656" s="1350"/>
      <c r="AW2656" s="1350"/>
      <c r="AX2656" s="1350"/>
      <c r="AY2656" s="1350"/>
      <c r="AZ2656" s="1350"/>
      <c r="BA2656" s="1070"/>
      <c r="BB2656" s="1070"/>
      <c r="BC2656" s="1070"/>
      <c r="BD2656" s="1070"/>
      <c r="BE2656" s="1070"/>
      <c r="BF2656" s="1070"/>
      <c r="BG2656" s="1070"/>
      <c r="BH2656" s="1070"/>
      <c r="BI2656" s="1070"/>
      <c r="BJ2656" s="1070"/>
      <c r="BK2656" s="1070"/>
      <c r="BL2656" s="1070"/>
      <c r="BM2656" s="1070"/>
      <c r="BN2656" s="1070"/>
      <c r="BO2656" s="1070"/>
      <c r="BP2656" s="1070"/>
      <c r="BQ2656" s="1070"/>
      <c r="BR2656" s="1070"/>
      <c r="BS2656" s="1070"/>
      <c r="BT2656" s="1070"/>
      <c r="BU2656" s="1070"/>
      <c r="BV2656" s="1070"/>
      <c r="BW2656" s="1070"/>
      <c r="BX2656" s="1070"/>
      <c r="BY2656" s="1070"/>
      <c r="BZ2656" s="1070"/>
      <c r="CA2656" s="1070"/>
      <c r="CB2656" s="1070"/>
      <c r="CC2656" s="1070"/>
      <c r="CD2656" s="1070"/>
      <c r="CE2656" s="1070"/>
      <c r="CF2656" s="1070"/>
      <c r="CG2656" s="1070"/>
      <c r="CH2656" s="1070"/>
      <c r="CI2656" s="1070"/>
      <c r="CJ2656" s="1070"/>
      <c r="CK2656" s="1070"/>
      <c r="CL2656" s="1070"/>
      <c r="CM2656" s="1070"/>
      <c r="CN2656" s="1070"/>
      <c r="CO2656" s="1070"/>
      <c r="CP2656" s="1070"/>
      <c r="CQ2656" s="1070"/>
      <c r="CR2656" s="1070"/>
      <c r="CS2656" s="1070"/>
      <c r="CT2656" s="1070"/>
      <c r="CU2656" s="1070"/>
      <c r="CV2656" s="1070"/>
      <c r="CW2656" s="1070"/>
      <c r="CX2656" s="1070"/>
      <c r="CY2656" s="1070"/>
      <c r="CZ2656" s="1070"/>
      <c r="DA2656" s="1070"/>
      <c r="DB2656" s="1070"/>
      <c r="DC2656" s="1070"/>
      <c r="DD2656" s="1070"/>
      <c r="DE2656" s="1070"/>
      <c r="DF2656" s="1070"/>
      <c r="DG2656" s="1070"/>
      <c r="DH2656" s="1070"/>
      <c r="DI2656" s="1070"/>
      <c r="DJ2656" s="1070"/>
    </row>
    <row r="2657" spans="1:114" s="1136" customFormat="1" ht="15.75" x14ac:dyDescent="0.25">
      <c r="A2657" s="1420" t="s">
        <v>1723</v>
      </c>
      <c r="B2657" s="1443"/>
      <c r="C2657" s="1437"/>
      <c r="D2657" s="1437"/>
      <c r="E2657" s="1437"/>
      <c r="F2657" s="1437"/>
      <c r="G2657" s="1437"/>
      <c r="H2657" s="1350"/>
      <c r="I2657" s="1350"/>
      <c r="J2657" s="1350"/>
      <c r="K2657" s="1350"/>
      <c r="L2657" s="1350"/>
      <c r="M2657" s="1350"/>
      <c r="N2657" s="1350"/>
      <c r="O2657" s="1350"/>
      <c r="P2657" s="1350"/>
      <c r="Q2657" s="1350"/>
      <c r="R2657" s="1350"/>
      <c r="S2657" s="1350"/>
      <c r="T2657" s="1350"/>
      <c r="U2657" s="1350"/>
      <c r="V2657" s="1350"/>
      <c r="W2657" s="1350"/>
      <c r="X2657" s="1350"/>
      <c r="Y2657" s="1350"/>
      <c r="Z2657" s="1350"/>
      <c r="AA2657" s="1350"/>
      <c r="AB2657" s="1350"/>
      <c r="AC2657" s="1350"/>
      <c r="AD2657" s="1350"/>
      <c r="AE2657" s="1350"/>
      <c r="AF2657" s="1350"/>
      <c r="AG2657" s="1350"/>
      <c r="AH2657" s="1350"/>
      <c r="AI2657" s="1350"/>
      <c r="AJ2657" s="1350"/>
      <c r="AK2657" s="1350"/>
      <c r="AL2657" s="1350"/>
      <c r="AM2657" s="1350"/>
      <c r="AN2657" s="1350"/>
      <c r="AO2657" s="1350"/>
      <c r="AP2657" s="1350"/>
      <c r="AQ2657" s="1350"/>
      <c r="AR2657" s="1350"/>
      <c r="AS2657" s="1350"/>
      <c r="AT2657" s="1350"/>
      <c r="AU2657" s="1350"/>
      <c r="AV2657" s="1350"/>
      <c r="AW2657" s="1350"/>
      <c r="AX2657" s="1350"/>
      <c r="AY2657" s="1350"/>
      <c r="AZ2657" s="1350"/>
      <c r="BA2657" s="1070"/>
      <c r="BB2657" s="1070"/>
      <c r="BC2657" s="1070"/>
      <c r="BD2657" s="1070"/>
      <c r="BE2657" s="1070"/>
      <c r="BF2657" s="1070"/>
      <c r="BG2657" s="1070"/>
      <c r="BH2657" s="1070"/>
      <c r="BI2657" s="1070"/>
      <c r="BJ2657" s="1070"/>
      <c r="BK2657" s="1070"/>
      <c r="BL2657" s="1070"/>
      <c r="BM2657" s="1070"/>
      <c r="BN2657" s="1070"/>
      <c r="BO2657" s="1070"/>
      <c r="BP2657" s="1070"/>
      <c r="BQ2657" s="1070"/>
      <c r="BR2657" s="1070"/>
      <c r="BS2657" s="1070"/>
      <c r="BT2657" s="1070"/>
      <c r="BU2657" s="1070"/>
      <c r="BV2657" s="1070"/>
      <c r="BW2657" s="1070"/>
      <c r="BX2657" s="1070"/>
      <c r="BY2657" s="1070"/>
      <c r="BZ2657" s="1070"/>
      <c r="CA2657" s="1070"/>
      <c r="CB2657" s="1070"/>
      <c r="CC2657" s="1070"/>
      <c r="CD2657" s="1070"/>
      <c r="CE2657" s="1070"/>
      <c r="CF2657" s="1070"/>
      <c r="CG2657" s="1070"/>
      <c r="CH2657" s="1070"/>
      <c r="CI2657" s="1070"/>
      <c r="CJ2657" s="1070"/>
      <c r="CK2657" s="1070"/>
      <c r="CL2657" s="1070"/>
      <c r="CM2657" s="1070"/>
      <c r="CN2657" s="1070"/>
      <c r="CO2657" s="1070"/>
      <c r="CP2657" s="1070"/>
      <c r="CQ2657" s="1070"/>
      <c r="CR2657" s="1070"/>
      <c r="CS2657" s="1070"/>
      <c r="CT2657" s="1070"/>
      <c r="CU2657" s="1070"/>
      <c r="CV2657" s="1070"/>
      <c r="CW2657" s="1070"/>
      <c r="CX2657" s="1070"/>
      <c r="CY2657" s="1070"/>
      <c r="CZ2657" s="1070"/>
      <c r="DA2657" s="1070"/>
      <c r="DB2657" s="1070"/>
      <c r="DC2657" s="1070"/>
      <c r="DD2657" s="1070"/>
      <c r="DE2657" s="1070"/>
      <c r="DF2657" s="1070"/>
      <c r="DG2657" s="1070"/>
      <c r="DH2657" s="1070"/>
      <c r="DI2657" s="1070"/>
      <c r="DJ2657" s="1070"/>
    </row>
    <row r="2658" spans="1:114" s="1136" customFormat="1" ht="31.5" x14ac:dyDescent="0.25">
      <c r="A2658" s="1420" t="s">
        <v>1724</v>
      </c>
      <c r="B2658" s="1451">
        <f>B2443</f>
        <v>0</v>
      </c>
      <c r="C2658" s="1434"/>
      <c r="D2658" s="1437"/>
      <c r="E2658" s="1437"/>
      <c r="F2658" s="1437"/>
      <c r="G2658" s="1437"/>
      <c r="H2658" s="1350"/>
      <c r="I2658" s="1350"/>
      <c r="J2658" s="1350"/>
      <c r="K2658" s="1350"/>
      <c r="L2658" s="1350"/>
      <c r="M2658" s="1350"/>
      <c r="N2658" s="1350"/>
      <c r="O2658" s="1350"/>
      <c r="P2658" s="1350"/>
      <c r="Q2658" s="1350"/>
      <c r="R2658" s="1350"/>
      <c r="S2658" s="1350"/>
      <c r="T2658" s="1350"/>
      <c r="U2658" s="1350"/>
      <c r="V2658" s="1350"/>
      <c r="W2658" s="1350"/>
      <c r="X2658" s="1350"/>
      <c r="Y2658" s="1350"/>
      <c r="Z2658" s="1350"/>
      <c r="AA2658" s="1350"/>
      <c r="AB2658" s="1350"/>
      <c r="AC2658" s="1350"/>
      <c r="AD2658" s="1350"/>
      <c r="AE2658" s="1350"/>
      <c r="AF2658" s="1350"/>
      <c r="AG2658" s="1350"/>
      <c r="AH2658" s="1350"/>
      <c r="AI2658" s="1350"/>
      <c r="AJ2658" s="1350"/>
      <c r="AK2658" s="1350"/>
      <c r="AL2658" s="1350"/>
      <c r="AM2658" s="1350"/>
      <c r="AN2658" s="1350"/>
      <c r="AO2658" s="1350"/>
      <c r="AP2658" s="1350"/>
      <c r="AQ2658" s="1350"/>
      <c r="AR2658" s="1350"/>
      <c r="AS2658" s="1350"/>
      <c r="AT2658" s="1350"/>
      <c r="AU2658" s="1350"/>
      <c r="AV2658" s="1350"/>
      <c r="AW2658" s="1350"/>
      <c r="AX2658" s="1350"/>
      <c r="AY2658" s="1350"/>
      <c r="AZ2658" s="1350"/>
      <c r="BA2658" s="1070"/>
      <c r="BB2658" s="1070"/>
      <c r="BC2658" s="1070"/>
      <c r="BD2658" s="1070"/>
      <c r="BE2658" s="1070"/>
      <c r="BF2658" s="1070"/>
      <c r="BG2658" s="1070"/>
      <c r="BH2658" s="1070"/>
      <c r="BI2658" s="1070"/>
      <c r="BJ2658" s="1070"/>
      <c r="BK2658" s="1070"/>
      <c r="BL2658" s="1070"/>
      <c r="BM2658" s="1070"/>
      <c r="BN2658" s="1070"/>
      <c r="BO2658" s="1070"/>
      <c r="BP2658" s="1070"/>
      <c r="BQ2658" s="1070"/>
      <c r="BR2658" s="1070"/>
      <c r="BS2658" s="1070"/>
      <c r="BT2658" s="1070"/>
      <c r="BU2658" s="1070"/>
      <c r="BV2658" s="1070"/>
      <c r="BW2658" s="1070"/>
      <c r="BX2658" s="1070"/>
      <c r="BY2658" s="1070"/>
      <c r="BZ2658" s="1070"/>
      <c r="CA2658" s="1070"/>
      <c r="CB2658" s="1070"/>
      <c r="CC2658" s="1070"/>
      <c r="CD2658" s="1070"/>
      <c r="CE2658" s="1070"/>
      <c r="CF2658" s="1070"/>
      <c r="CG2658" s="1070"/>
      <c r="CH2658" s="1070"/>
      <c r="CI2658" s="1070"/>
      <c r="CJ2658" s="1070"/>
      <c r="CK2658" s="1070"/>
      <c r="CL2658" s="1070"/>
      <c r="CM2658" s="1070"/>
      <c r="CN2658" s="1070"/>
      <c r="CO2658" s="1070"/>
      <c r="CP2658" s="1070"/>
      <c r="CQ2658" s="1070"/>
      <c r="CR2658" s="1070"/>
      <c r="CS2658" s="1070"/>
      <c r="CT2658" s="1070"/>
      <c r="CU2658" s="1070"/>
      <c r="CV2658" s="1070"/>
      <c r="CW2658" s="1070"/>
      <c r="CX2658" s="1070"/>
      <c r="CY2658" s="1070"/>
      <c r="CZ2658" s="1070"/>
      <c r="DA2658" s="1070"/>
      <c r="DB2658" s="1070"/>
      <c r="DC2658" s="1070"/>
      <c r="DD2658" s="1070"/>
      <c r="DE2658" s="1070"/>
      <c r="DF2658" s="1070"/>
      <c r="DG2658" s="1070"/>
      <c r="DH2658" s="1070"/>
      <c r="DI2658" s="1070"/>
      <c r="DJ2658" s="1070"/>
    </row>
    <row r="2659" spans="1:114" s="1136" customFormat="1" ht="15.75" x14ac:dyDescent="0.25">
      <c r="A2659" s="1420" t="s">
        <v>1725</v>
      </c>
      <c r="B2659" s="1443">
        <f>IF(B2658=1,1.15,1)</f>
        <v>1</v>
      </c>
      <c r="C2659" s="1437"/>
      <c r="D2659" s="1432"/>
      <c r="E2659" s="1432"/>
      <c r="F2659" s="1432"/>
      <c r="G2659" s="1432"/>
      <c r="H2659" s="1350"/>
      <c r="I2659" s="1350"/>
      <c r="J2659" s="1350"/>
      <c r="K2659" s="1350"/>
      <c r="L2659" s="1350"/>
      <c r="M2659" s="1350"/>
      <c r="N2659" s="1350"/>
      <c r="O2659" s="1350"/>
      <c r="P2659" s="1350"/>
      <c r="Q2659" s="1350"/>
      <c r="R2659" s="1350"/>
      <c r="S2659" s="1350"/>
      <c r="T2659" s="1350"/>
      <c r="U2659" s="1350"/>
      <c r="V2659" s="1350"/>
      <c r="W2659" s="1350"/>
      <c r="X2659" s="1350"/>
      <c r="Y2659" s="1350"/>
      <c r="Z2659" s="1350"/>
      <c r="AA2659" s="1350"/>
      <c r="AB2659" s="1350"/>
      <c r="AC2659" s="1350"/>
      <c r="AD2659" s="1350"/>
      <c r="AE2659" s="1350"/>
      <c r="AF2659" s="1350"/>
      <c r="AG2659" s="1350"/>
      <c r="AH2659" s="1350"/>
      <c r="AI2659" s="1350"/>
      <c r="AJ2659" s="1350"/>
      <c r="AK2659" s="1350"/>
      <c r="AL2659" s="1350"/>
      <c r="AM2659" s="1350"/>
      <c r="AN2659" s="1350"/>
      <c r="AO2659" s="1350"/>
      <c r="AP2659" s="1350"/>
      <c r="AQ2659" s="1350"/>
      <c r="AR2659" s="1350"/>
      <c r="AS2659" s="1350"/>
      <c r="AT2659" s="1350"/>
      <c r="AU2659" s="1350"/>
      <c r="AV2659" s="1350"/>
      <c r="AW2659" s="1350"/>
      <c r="AX2659" s="1350"/>
      <c r="AY2659" s="1350"/>
      <c r="AZ2659" s="1350"/>
      <c r="BA2659" s="1070"/>
      <c r="BB2659" s="1070"/>
      <c r="BC2659" s="1070"/>
      <c r="BD2659" s="1070"/>
      <c r="BE2659" s="1070"/>
      <c r="BF2659" s="1070"/>
      <c r="BG2659" s="1070"/>
      <c r="BH2659" s="1070"/>
      <c r="BI2659" s="1070"/>
      <c r="BJ2659" s="1070"/>
      <c r="BK2659" s="1070"/>
      <c r="BL2659" s="1070"/>
      <c r="BM2659" s="1070"/>
      <c r="BN2659" s="1070"/>
      <c r="BO2659" s="1070"/>
      <c r="BP2659" s="1070"/>
      <c r="BQ2659" s="1070"/>
      <c r="BR2659" s="1070"/>
      <c r="BS2659" s="1070"/>
      <c r="BT2659" s="1070"/>
      <c r="BU2659" s="1070"/>
      <c r="BV2659" s="1070"/>
      <c r="BW2659" s="1070"/>
      <c r="BX2659" s="1070"/>
      <c r="BY2659" s="1070"/>
      <c r="BZ2659" s="1070"/>
      <c r="CA2659" s="1070"/>
      <c r="CB2659" s="1070"/>
      <c r="CC2659" s="1070"/>
      <c r="CD2659" s="1070"/>
      <c r="CE2659" s="1070"/>
      <c r="CF2659" s="1070"/>
      <c r="CG2659" s="1070"/>
      <c r="CH2659" s="1070"/>
      <c r="CI2659" s="1070"/>
      <c r="CJ2659" s="1070"/>
      <c r="CK2659" s="1070"/>
      <c r="CL2659" s="1070"/>
      <c r="CM2659" s="1070"/>
      <c r="CN2659" s="1070"/>
      <c r="CO2659" s="1070"/>
      <c r="CP2659" s="1070"/>
      <c r="CQ2659" s="1070"/>
      <c r="CR2659" s="1070"/>
      <c r="CS2659" s="1070"/>
      <c r="CT2659" s="1070"/>
      <c r="CU2659" s="1070"/>
      <c r="CV2659" s="1070"/>
      <c r="CW2659" s="1070"/>
      <c r="CX2659" s="1070"/>
      <c r="CY2659" s="1070"/>
      <c r="CZ2659" s="1070"/>
      <c r="DA2659" s="1070"/>
      <c r="DB2659" s="1070"/>
      <c r="DC2659" s="1070"/>
      <c r="DD2659" s="1070"/>
      <c r="DE2659" s="1070"/>
      <c r="DF2659" s="1070"/>
      <c r="DG2659" s="1070"/>
      <c r="DH2659" s="1070"/>
      <c r="DI2659" s="1070"/>
      <c r="DJ2659" s="1070"/>
    </row>
    <row r="2660" spans="1:114" s="1136" customFormat="1" ht="31.5" x14ac:dyDescent="0.25">
      <c r="A2660" s="1420" t="s">
        <v>5573</v>
      </c>
      <c r="B2660" s="1451">
        <f>B2445</f>
        <v>0</v>
      </c>
      <c r="C2660" s="1434"/>
      <c r="D2660" s="1350"/>
      <c r="E2660" s="1350"/>
      <c r="F2660" s="1350"/>
      <c r="G2660" s="1350"/>
      <c r="H2660" s="1350"/>
      <c r="I2660" s="1350"/>
      <c r="J2660" s="1350"/>
      <c r="K2660" s="1350"/>
      <c r="L2660" s="1350"/>
      <c r="M2660" s="1350"/>
      <c r="N2660" s="1350"/>
      <c r="O2660" s="1350"/>
      <c r="P2660" s="1350"/>
      <c r="Q2660" s="1350"/>
      <c r="R2660" s="1350"/>
      <c r="S2660" s="1350"/>
      <c r="T2660" s="1350"/>
      <c r="U2660" s="1350"/>
      <c r="V2660" s="1350"/>
      <c r="W2660" s="1350"/>
      <c r="X2660" s="1350"/>
      <c r="Y2660" s="1350"/>
      <c r="Z2660" s="1350"/>
      <c r="AA2660" s="1350"/>
      <c r="AB2660" s="1350"/>
      <c r="AC2660" s="1350"/>
      <c r="AD2660" s="1350"/>
      <c r="AE2660" s="1350"/>
      <c r="AF2660" s="1350"/>
      <c r="AG2660" s="1350"/>
      <c r="AH2660" s="1350"/>
      <c r="AI2660" s="1350"/>
      <c r="AJ2660" s="1350"/>
      <c r="AK2660" s="1350"/>
      <c r="AL2660" s="1350"/>
      <c r="AM2660" s="1350"/>
      <c r="AN2660" s="1350"/>
      <c r="AO2660" s="1350"/>
      <c r="AP2660" s="1350"/>
      <c r="AQ2660" s="1350"/>
      <c r="AR2660" s="1350"/>
      <c r="AS2660" s="1350"/>
      <c r="AT2660" s="1350"/>
      <c r="AU2660" s="1350"/>
      <c r="AV2660" s="1350"/>
      <c r="AW2660" s="1350"/>
      <c r="AX2660" s="1350"/>
      <c r="AY2660" s="1350"/>
      <c r="AZ2660" s="1350"/>
      <c r="BA2660" s="1070"/>
      <c r="BB2660" s="1070"/>
      <c r="BC2660" s="1070"/>
      <c r="BD2660" s="1070"/>
      <c r="BE2660" s="1070"/>
      <c r="BF2660" s="1070"/>
      <c r="BG2660" s="1070"/>
      <c r="BH2660" s="1070"/>
      <c r="BI2660" s="1070"/>
      <c r="BJ2660" s="1070"/>
      <c r="BK2660" s="1070"/>
      <c r="BL2660" s="1070"/>
      <c r="BM2660" s="1070"/>
      <c r="BN2660" s="1070"/>
      <c r="BO2660" s="1070"/>
      <c r="BP2660" s="1070"/>
      <c r="BQ2660" s="1070"/>
      <c r="BR2660" s="1070"/>
      <c r="BS2660" s="1070"/>
      <c r="BT2660" s="1070"/>
      <c r="BU2660" s="1070"/>
      <c r="BV2660" s="1070"/>
      <c r="BW2660" s="1070"/>
      <c r="BX2660" s="1070"/>
      <c r="BY2660" s="1070"/>
      <c r="BZ2660" s="1070"/>
      <c r="CA2660" s="1070"/>
      <c r="CB2660" s="1070"/>
      <c r="CC2660" s="1070"/>
      <c r="CD2660" s="1070"/>
      <c r="CE2660" s="1070"/>
      <c r="CF2660" s="1070"/>
      <c r="CG2660" s="1070"/>
      <c r="CH2660" s="1070"/>
      <c r="CI2660" s="1070"/>
      <c r="CJ2660" s="1070"/>
      <c r="CK2660" s="1070"/>
      <c r="CL2660" s="1070"/>
      <c r="CM2660" s="1070"/>
      <c r="CN2660" s="1070"/>
      <c r="CO2660" s="1070"/>
      <c r="CP2660" s="1070"/>
      <c r="CQ2660" s="1070"/>
      <c r="CR2660" s="1070"/>
      <c r="CS2660" s="1070"/>
      <c r="CT2660" s="1070"/>
      <c r="CU2660" s="1070"/>
      <c r="CV2660" s="1070"/>
      <c r="CW2660" s="1070"/>
      <c r="CX2660" s="1070"/>
      <c r="CY2660" s="1070"/>
      <c r="CZ2660" s="1070"/>
      <c r="DA2660" s="1070"/>
      <c r="DB2660" s="1070"/>
      <c r="DC2660" s="1070"/>
      <c r="DD2660" s="1070"/>
      <c r="DE2660" s="1070"/>
      <c r="DF2660" s="1070"/>
      <c r="DG2660" s="1070"/>
      <c r="DH2660" s="1070"/>
      <c r="DI2660" s="1070"/>
      <c r="DJ2660" s="1070"/>
    </row>
    <row r="2661" spans="1:114" s="1136" customFormat="1" ht="15.75" x14ac:dyDescent="0.25">
      <c r="A2661" s="1420" t="s">
        <v>2636</v>
      </c>
      <c r="B2661" s="1443">
        <f>IF(B2660=1,1.15,1)</f>
        <v>1</v>
      </c>
      <c r="C2661" s="1437"/>
      <c r="D2661" s="1350"/>
      <c r="E2661" s="1350"/>
      <c r="F2661" s="1350"/>
      <c r="G2661" s="1350"/>
      <c r="H2661" s="1350"/>
      <c r="I2661" s="1350"/>
      <c r="J2661" s="1350"/>
      <c r="K2661" s="1350"/>
      <c r="L2661" s="1350"/>
      <c r="M2661" s="1350"/>
      <c r="N2661" s="1350"/>
      <c r="O2661" s="1350"/>
      <c r="P2661" s="1350"/>
      <c r="Q2661" s="1350"/>
      <c r="R2661" s="1350"/>
      <c r="S2661" s="1350"/>
      <c r="T2661" s="1350"/>
      <c r="U2661" s="1350"/>
      <c r="V2661" s="1350"/>
      <c r="W2661" s="1350"/>
      <c r="X2661" s="1350"/>
      <c r="Y2661" s="1350"/>
      <c r="Z2661" s="1350"/>
      <c r="AA2661" s="1350"/>
      <c r="AB2661" s="1350"/>
      <c r="AC2661" s="1350"/>
      <c r="AD2661" s="1350"/>
      <c r="AE2661" s="1350"/>
      <c r="AF2661" s="1350"/>
      <c r="AG2661" s="1350"/>
      <c r="AH2661" s="1350"/>
      <c r="AI2661" s="1350"/>
      <c r="AJ2661" s="1350"/>
      <c r="AK2661" s="1350"/>
      <c r="AL2661" s="1350"/>
      <c r="AM2661" s="1350"/>
      <c r="AN2661" s="1350"/>
      <c r="AO2661" s="1350"/>
      <c r="AP2661" s="1350"/>
      <c r="AQ2661" s="1350"/>
      <c r="AR2661" s="1350"/>
      <c r="AS2661" s="1350"/>
      <c r="AT2661" s="1350"/>
      <c r="AU2661" s="1350"/>
      <c r="AV2661" s="1350"/>
      <c r="AW2661" s="1350"/>
      <c r="AX2661" s="1350"/>
      <c r="AY2661" s="1350"/>
      <c r="AZ2661" s="1350"/>
      <c r="BA2661" s="1070"/>
      <c r="BB2661" s="1070"/>
      <c r="BC2661" s="1070"/>
      <c r="BD2661" s="1070"/>
      <c r="BE2661" s="1070"/>
      <c r="BF2661" s="1070"/>
      <c r="BG2661" s="1070"/>
      <c r="BH2661" s="1070"/>
      <c r="BI2661" s="1070"/>
      <c r="BJ2661" s="1070"/>
      <c r="BK2661" s="1070"/>
      <c r="BL2661" s="1070"/>
      <c r="BM2661" s="1070"/>
      <c r="BN2661" s="1070"/>
      <c r="BO2661" s="1070"/>
      <c r="BP2661" s="1070"/>
      <c r="BQ2661" s="1070"/>
      <c r="BR2661" s="1070"/>
      <c r="BS2661" s="1070"/>
      <c r="BT2661" s="1070"/>
      <c r="BU2661" s="1070"/>
      <c r="BV2661" s="1070"/>
      <c r="BW2661" s="1070"/>
      <c r="BX2661" s="1070"/>
      <c r="BY2661" s="1070"/>
      <c r="BZ2661" s="1070"/>
      <c r="CA2661" s="1070"/>
      <c r="CB2661" s="1070"/>
      <c r="CC2661" s="1070"/>
      <c r="CD2661" s="1070"/>
      <c r="CE2661" s="1070"/>
      <c r="CF2661" s="1070"/>
      <c r="CG2661" s="1070"/>
      <c r="CH2661" s="1070"/>
      <c r="CI2661" s="1070"/>
      <c r="CJ2661" s="1070"/>
      <c r="CK2661" s="1070"/>
      <c r="CL2661" s="1070"/>
      <c r="CM2661" s="1070"/>
      <c r="CN2661" s="1070"/>
      <c r="CO2661" s="1070"/>
      <c r="CP2661" s="1070"/>
      <c r="CQ2661" s="1070"/>
      <c r="CR2661" s="1070"/>
      <c r="CS2661" s="1070"/>
      <c r="CT2661" s="1070"/>
      <c r="CU2661" s="1070"/>
      <c r="CV2661" s="1070"/>
      <c r="CW2661" s="1070"/>
      <c r="CX2661" s="1070"/>
      <c r="CY2661" s="1070"/>
      <c r="CZ2661" s="1070"/>
      <c r="DA2661" s="1070"/>
      <c r="DB2661" s="1070"/>
      <c r="DC2661" s="1070"/>
      <c r="DD2661" s="1070"/>
      <c r="DE2661" s="1070"/>
      <c r="DF2661" s="1070"/>
      <c r="DG2661" s="1070"/>
      <c r="DH2661" s="1070"/>
      <c r="DI2661" s="1070"/>
      <c r="DJ2661" s="1070"/>
    </row>
    <row r="2662" spans="1:114" s="1136" customFormat="1" ht="47.25" x14ac:dyDescent="0.25">
      <c r="A2662" s="1420" t="s">
        <v>2637</v>
      </c>
      <c r="B2662" s="1443">
        <f>IF(B275&lt;2,0.85,1)</f>
        <v>1</v>
      </c>
      <c r="C2662" s="1437"/>
      <c r="D2662" s="1437"/>
      <c r="E2662" s="1437"/>
      <c r="F2662" s="1437"/>
      <c r="G2662" s="1437"/>
      <c r="H2662" s="1350"/>
      <c r="I2662" s="1350"/>
      <c r="J2662" s="1350"/>
      <c r="K2662" s="1350"/>
      <c r="L2662" s="1350"/>
      <c r="M2662" s="1350"/>
      <c r="N2662" s="1350"/>
      <c r="O2662" s="1350"/>
      <c r="P2662" s="1350"/>
      <c r="Q2662" s="1350"/>
      <c r="R2662" s="1350"/>
      <c r="S2662" s="1350"/>
      <c r="T2662" s="1350"/>
      <c r="U2662" s="1350"/>
      <c r="V2662" s="1350"/>
      <c r="W2662" s="1350"/>
      <c r="X2662" s="1350"/>
      <c r="Y2662" s="1350"/>
      <c r="Z2662" s="1350"/>
      <c r="AA2662" s="1350"/>
      <c r="AB2662" s="1350"/>
      <c r="AC2662" s="1350"/>
      <c r="AD2662" s="1350"/>
      <c r="AE2662" s="1350"/>
      <c r="AF2662" s="1350"/>
      <c r="AG2662" s="1350"/>
      <c r="AH2662" s="1350"/>
      <c r="AI2662" s="1350"/>
      <c r="AJ2662" s="1350"/>
      <c r="AK2662" s="1350"/>
      <c r="AL2662" s="1350"/>
      <c r="AM2662" s="1350"/>
      <c r="AN2662" s="1350"/>
      <c r="AO2662" s="1350"/>
      <c r="AP2662" s="1350"/>
      <c r="AQ2662" s="1350"/>
      <c r="AR2662" s="1350"/>
      <c r="AS2662" s="1350"/>
      <c r="AT2662" s="1350"/>
      <c r="AU2662" s="1350"/>
      <c r="AV2662" s="1350"/>
      <c r="AW2662" s="1350"/>
      <c r="AX2662" s="1350"/>
      <c r="AY2662" s="1350"/>
      <c r="AZ2662" s="1350"/>
      <c r="BA2662" s="1070"/>
      <c r="BB2662" s="1070"/>
      <c r="BC2662" s="1070"/>
      <c r="BD2662" s="1070"/>
      <c r="BE2662" s="1070"/>
      <c r="BF2662" s="1070"/>
      <c r="BG2662" s="1070"/>
      <c r="BH2662" s="1070"/>
      <c r="BI2662" s="1070"/>
      <c r="BJ2662" s="1070"/>
      <c r="BK2662" s="1070"/>
      <c r="BL2662" s="1070"/>
      <c r="BM2662" s="1070"/>
      <c r="BN2662" s="1070"/>
      <c r="BO2662" s="1070"/>
      <c r="BP2662" s="1070"/>
      <c r="BQ2662" s="1070"/>
      <c r="BR2662" s="1070"/>
      <c r="BS2662" s="1070"/>
      <c r="BT2662" s="1070"/>
      <c r="BU2662" s="1070"/>
      <c r="BV2662" s="1070"/>
      <c r="BW2662" s="1070"/>
      <c r="BX2662" s="1070"/>
      <c r="BY2662" s="1070"/>
      <c r="BZ2662" s="1070"/>
      <c r="CA2662" s="1070"/>
      <c r="CB2662" s="1070"/>
      <c r="CC2662" s="1070"/>
      <c r="CD2662" s="1070"/>
      <c r="CE2662" s="1070"/>
      <c r="CF2662" s="1070"/>
      <c r="CG2662" s="1070"/>
      <c r="CH2662" s="1070"/>
      <c r="CI2662" s="1070"/>
      <c r="CJ2662" s="1070"/>
      <c r="CK2662" s="1070"/>
      <c r="CL2662" s="1070"/>
      <c r="CM2662" s="1070"/>
      <c r="CN2662" s="1070"/>
      <c r="CO2662" s="1070"/>
      <c r="CP2662" s="1070"/>
      <c r="CQ2662" s="1070"/>
      <c r="CR2662" s="1070"/>
      <c r="CS2662" s="1070"/>
      <c r="CT2662" s="1070"/>
      <c r="CU2662" s="1070"/>
      <c r="CV2662" s="1070"/>
      <c r="CW2662" s="1070"/>
      <c r="CX2662" s="1070"/>
      <c r="CY2662" s="1070"/>
      <c r="CZ2662" s="1070"/>
      <c r="DA2662" s="1070"/>
      <c r="DB2662" s="1070"/>
      <c r="DC2662" s="1070"/>
      <c r="DD2662" s="1070"/>
      <c r="DE2662" s="1070"/>
      <c r="DF2662" s="1070"/>
      <c r="DG2662" s="1070"/>
      <c r="DH2662" s="1070"/>
      <c r="DI2662" s="1070"/>
      <c r="DJ2662" s="1070"/>
    </row>
    <row r="2663" spans="1:114" s="1136" customFormat="1" ht="15.75" x14ac:dyDescent="0.25">
      <c r="A2663" s="1420" t="s">
        <v>1615</v>
      </c>
      <c r="B2663" s="1505">
        <v>0.7</v>
      </c>
      <c r="C2663" s="1446"/>
      <c r="D2663" s="1437"/>
      <c r="E2663" s="1437"/>
      <c r="F2663" s="1437"/>
      <c r="G2663" s="1437"/>
      <c r="H2663" s="1350"/>
      <c r="I2663" s="1350"/>
      <c r="J2663" s="1350"/>
      <c r="K2663" s="1350"/>
      <c r="L2663" s="1350"/>
      <c r="M2663" s="1350"/>
      <c r="N2663" s="1350"/>
      <c r="O2663" s="1350"/>
      <c r="P2663" s="1350"/>
      <c r="Q2663" s="1350"/>
      <c r="R2663" s="1350"/>
      <c r="S2663" s="1350"/>
      <c r="T2663" s="1350"/>
      <c r="U2663" s="1350"/>
      <c r="V2663" s="1350"/>
      <c r="W2663" s="1350"/>
      <c r="X2663" s="1350"/>
      <c r="Y2663" s="1350"/>
      <c r="Z2663" s="1350"/>
      <c r="AA2663" s="1350"/>
      <c r="AB2663" s="1350"/>
      <c r="AC2663" s="1350"/>
      <c r="AD2663" s="1350"/>
      <c r="AE2663" s="1350"/>
      <c r="AF2663" s="1350"/>
      <c r="AG2663" s="1350"/>
      <c r="AH2663" s="1350"/>
      <c r="AI2663" s="1350"/>
      <c r="AJ2663" s="1350"/>
      <c r="AK2663" s="1350"/>
      <c r="AL2663" s="1350"/>
      <c r="AM2663" s="1350"/>
      <c r="AN2663" s="1350"/>
      <c r="AO2663" s="1350"/>
      <c r="AP2663" s="1350"/>
      <c r="AQ2663" s="1350"/>
      <c r="AR2663" s="1350"/>
      <c r="AS2663" s="1350"/>
      <c r="AT2663" s="1350"/>
      <c r="AU2663" s="1350"/>
      <c r="AV2663" s="1350"/>
      <c r="AW2663" s="1350"/>
      <c r="AX2663" s="1350"/>
      <c r="AY2663" s="1350"/>
      <c r="AZ2663" s="1350"/>
      <c r="BA2663" s="1070"/>
      <c r="BB2663" s="1070"/>
      <c r="BC2663" s="1070"/>
      <c r="BD2663" s="1070"/>
      <c r="BE2663" s="1070"/>
      <c r="BF2663" s="1070"/>
      <c r="BG2663" s="1070"/>
      <c r="BH2663" s="1070"/>
      <c r="BI2663" s="1070"/>
      <c r="BJ2663" s="1070"/>
      <c r="BK2663" s="1070"/>
      <c r="BL2663" s="1070"/>
      <c r="BM2663" s="1070"/>
      <c r="BN2663" s="1070"/>
      <c r="BO2663" s="1070"/>
      <c r="BP2663" s="1070"/>
      <c r="BQ2663" s="1070"/>
      <c r="BR2663" s="1070"/>
      <c r="BS2663" s="1070"/>
      <c r="BT2663" s="1070"/>
      <c r="BU2663" s="1070"/>
      <c r="BV2663" s="1070"/>
      <c r="BW2663" s="1070"/>
      <c r="BX2663" s="1070"/>
      <c r="BY2663" s="1070"/>
      <c r="BZ2663" s="1070"/>
      <c r="CA2663" s="1070"/>
      <c r="CB2663" s="1070"/>
      <c r="CC2663" s="1070"/>
      <c r="CD2663" s="1070"/>
      <c r="CE2663" s="1070"/>
      <c r="CF2663" s="1070"/>
      <c r="CG2663" s="1070"/>
      <c r="CH2663" s="1070"/>
      <c r="CI2663" s="1070"/>
      <c r="CJ2663" s="1070"/>
      <c r="CK2663" s="1070"/>
      <c r="CL2663" s="1070"/>
      <c r="CM2663" s="1070"/>
      <c r="CN2663" s="1070"/>
      <c r="CO2663" s="1070"/>
      <c r="CP2663" s="1070"/>
      <c r="CQ2663" s="1070"/>
      <c r="CR2663" s="1070"/>
      <c r="CS2663" s="1070"/>
      <c r="CT2663" s="1070"/>
      <c r="CU2663" s="1070"/>
      <c r="CV2663" s="1070"/>
      <c r="CW2663" s="1070"/>
      <c r="CX2663" s="1070"/>
      <c r="CY2663" s="1070"/>
      <c r="CZ2663" s="1070"/>
      <c r="DA2663" s="1070"/>
      <c r="DB2663" s="1070"/>
      <c r="DC2663" s="1070"/>
      <c r="DD2663" s="1070"/>
      <c r="DE2663" s="1070"/>
      <c r="DF2663" s="1070"/>
      <c r="DG2663" s="1070"/>
      <c r="DH2663" s="1070"/>
      <c r="DI2663" s="1070"/>
      <c r="DJ2663" s="1070"/>
    </row>
    <row r="2664" spans="1:114" s="1136" customFormat="1" ht="15.75" x14ac:dyDescent="0.25">
      <c r="A2664" s="1420" t="s">
        <v>3412</v>
      </c>
      <c r="B2664" s="1439" t="e">
        <f>B2656*B2659*B2661*B2662*B2663*B2383</f>
        <v>#VALUE!</v>
      </c>
      <c r="C2664" s="1432"/>
      <c r="D2664" s="1350"/>
      <c r="E2664" s="1350"/>
      <c r="F2664" s="1350"/>
      <c r="G2664" s="1350"/>
      <c r="H2664" s="1350"/>
      <c r="I2664" s="1350"/>
      <c r="J2664" s="1350"/>
      <c r="K2664" s="1350"/>
      <c r="L2664" s="1350"/>
      <c r="M2664" s="1350"/>
      <c r="N2664" s="1350"/>
      <c r="O2664" s="1350"/>
      <c r="P2664" s="1350"/>
      <c r="Q2664" s="1350"/>
      <c r="R2664" s="1350"/>
      <c r="S2664" s="1350"/>
      <c r="T2664" s="1350"/>
      <c r="U2664" s="1350"/>
      <c r="V2664" s="1350"/>
      <c r="W2664" s="1350"/>
      <c r="X2664" s="1350"/>
      <c r="Y2664" s="1350"/>
      <c r="Z2664" s="1350"/>
      <c r="AA2664" s="1350"/>
      <c r="AB2664" s="1350"/>
      <c r="AC2664" s="1350"/>
      <c r="AD2664" s="1350"/>
      <c r="AE2664" s="1350"/>
      <c r="AF2664" s="1350"/>
      <c r="AG2664" s="1350"/>
      <c r="AH2664" s="1350"/>
      <c r="AI2664" s="1350"/>
      <c r="AJ2664" s="1350"/>
      <c r="AK2664" s="1350"/>
      <c r="AL2664" s="1350"/>
      <c r="AM2664" s="1350"/>
      <c r="AN2664" s="1350"/>
      <c r="AO2664" s="1350"/>
      <c r="AP2664" s="1350"/>
      <c r="AQ2664" s="1350"/>
      <c r="AR2664" s="1350"/>
      <c r="AS2664" s="1350"/>
      <c r="AT2664" s="1350"/>
      <c r="AU2664" s="1350"/>
      <c r="AV2664" s="1350"/>
      <c r="AW2664" s="1350"/>
      <c r="AX2664" s="1350"/>
      <c r="AY2664" s="1350"/>
      <c r="AZ2664" s="1350"/>
      <c r="BA2664" s="1070"/>
      <c r="BB2664" s="1070"/>
      <c r="BC2664" s="1070"/>
      <c r="BD2664" s="1070"/>
      <c r="BE2664" s="1070"/>
      <c r="BF2664" s="1070"/>
      <c r="BG2664" s="1070"/>
      <c r="BH2664" s="1070"/>
      <c r="BI2664" s="1070"/>
      <c r="BJ2664" s="1070"/>
      <c r="BK2664" s="1070"/>
      <c r="BL2664" s="1070"/>
      <c r="BM2664" s="1070"/>
      <c r="BN2664" s="1070"/>
      <c r="BO2664" s="1070"/>
      <c r="BP2664" s="1070"/>
      <c r="BQ2664" s="1070"/>
      <c r="BR2664" s="1070"/>
      <c r="BS2664" s="1070"/>
      <c r="BT2664" s="1070"/>
      <c r="BU2664" s="1070"/>
      <c r="BV2664" s="1070"/>
      <c r="BW2664" s="1070"/>
      <c r="BX2664" s="1070"/>
      <c r="BY2664" s="1070"/>
      <c r="BZ2664" s="1070"/>
      <c r="CA2664" s="1070"/>
      <c r="CB2664" s="1070"/>
      <c r="CC2664" s="1070"/>
      <c r="CD2664" s="1070"/>
      <c r="CE2664" s="1070"/>
      <c r="CF2664" s="1070"/>
      <c r="CG2664" s="1070"/>
      <c r="CH2664" s="1070"/>
      <c r="CI2664" s="1070"/>
      <c r="CJ2664" s="1070"/>
      <c r="CK2664" s="1070"/>
      <c r="CL2664" s="1070"/>
      <c r="CM2664" s="1070"/>
      <c r="CN2664" s="1070"/>
      <c r="CO2664" s="1070"/>
      <c r="CP2664" s="1070"/>
      <c r="CQ2664" s="1070"/>
      <c r="CR2664" s="1070"/>
      <c r="CS2664" s="1070"/>
      <c r="CT2664" s="1070"/>
      <c r="CU2664" s="1070"/>
      <c r="CV2664" s="1070"/>
      <c r="CW2664" s="1070"/>
      <c r="CX2664" s="1070"/>
      <c r="CY2664" s="1070"/>
      <c r="CZ2664" s="1070"/>
      <c r="DA2664" s="1070"/>
      <c r="DB2664" s="1070"/>
      <c r="DC2664" s="1070"/>
      <c r="DD2664" s="1070"/>
      <c r="DE2664" s="1070"/>
      <c r="DF2664" s="1070"/>
      <c r="DG2664" s="1070"/>
      <c r="DH2664" s="1070"/>
      <c r="DI2664" s="1070"/>
      <c r="DJ2664" s="1070"/>
    </row>
    <row r="2665" spans="1:114" s="1136" customFormat="1" ht="15.75" x14ac:dyDescent="0.25">
      <c r="A2665" s="1420" t="s">
        <v>429</v>
      </c>
      <c r="B2665" s="1439" t="e">
        <f>B2655/B2664</f>
        <v>#VALUE!</v>
      </c>
      <c r="C2665" s="1432"/>
      <c r="D2665" s="1434"/>
      <c r="E2665" s="1434"/>
      <c r="F2665" s="1434"/>
      <c r="G2665" s="1434"/>
      <c r="H2665" s="1350"/>
      <c r="I2665" s="1350"/>
      <c r="J2665" s="1350"/>
      <c r="K2665" s="1350"/>
      <c r="L2665" s="1350"/>
      <c r="M2665" s="1350"/>
      <c r="N2665" s="1350"/>
      <c r="O2665" s="1350"/>
      <c r="P2665" s="1350"/>
      <c r="Q2665" s="1350"/>
      <c r="R2665" s="1350"/>
      <c r="S2665" s="1350"/>
      <c r="T2665" s="1350"/>
      <c r="U2665" s="1350"/>
      <c r="V2665" s="1350"/>
      <c r="W2665" s="1350"/>
      <c r="X2665" s="1350"/>
      <c r="Y2665" s="1350"/>
      <c r="Z2665" s="1350"/>
      <c r="AA2665" s="1350"/>
      <c r="AB2665" s="1350"/>
      <c r="AC2665" s="1350"/>
      <c r="AD2665" s="1350"/>
      <c r="AE2665" s="1350"/>
      <c r="AF2665" s="1350"/>
      <c r="AG2665" s="1350"/>
      <c r="AH2665" s="1350"/>
      <c r="AI2665" s="1350"/>
      <c r="AJ2665" s="1350"/>
      <c r="AK2665" s="1350"/>
      <c r="AL2665" s="1350"/>
      <c r="AM2665" s="1350"/>
      <c r="AN2665" s="1350"/>
      <c r="AO2665" s="1350"/>
      <c r="AP2665" s="1350"/>
      <c r="AQ2665" s="1350"/>
      <c r="AR2665" s="1350"/>
      <c r="AS2665" s="1350"/>
      <c r="AT2665" s="1350"/>
      <c r="AU2665" s="1350"/>
      <c r="AV2665" s="1350"/>
      <c r="AW2665" s="1350"/>
      <c r="AX2665" s="1350"/>
      <c r="AY2665" s="1350"/>
      <c r="AZ2665" s="1350"/>
      <c r="BA2665" s="1070"/>
      <c r="BB2665" s="1070"/>
      <c r="BC2665" s="1070"/>
      <c r="BD2665" s="1070"/>
      <c r="BE2665" s="1070"/>
      <c r="BF2665" s="1070"/>
      <c r="BG2665" s="1070"/>
      <c r="BH2665" s="1070"/>
      <c r="BI2665" s="1070"/>
      <c r="BJ2665" s="1070"/>
      <c r="BK2665" s="1070"/>
      <c r="BL2665" s="1070"/>
      <c r="BM2665" s="1070"/>
      <c r="BN2665" s="1070"/>
      <c r="BO2665" s="1070"/>
      <c r="BP2665" s="1070"/>
      <c r="BQ2665" s="1070"/>
      <c r="BR2665" s="1070"/>
      <c r="BS2665" s="1070"/>
      <c r="BT2665" s="1070"/>
      <c r="BU2665" s="1070"/>
      <c r="BV2665" s="1070"/>
      <c r="BW2665" s="1070"/>
      <c r="BX2665" s="1070"/>
      <c r="BY2665" s="1070"/>
      <c r="BZ2665" s="1070"/>
      <c r="CA2665" s="1070"/>
      <c r="CB2665" s="1070"/>
      <c r="CC2665" s="1070"/>
      <c r="CD2665" s="1070"/>
      <c r="CE2665" s="1070"/>
      <c r="CF2665" s="1070"/>
      <c r="CG2665" s="1070"/>
      <c r="CH2665" s="1070"/>
      <c r="CI2665" s="1070"/>
      <c r="CJ2665" s="1070"/>
      <c r="CK2665" s="1070"/>
      <c r="CL2665" s="1070"/>
      <c r="CM2665" s="1070"/>
      <c r="CN2665" s="1070"/>
      <c r="CO2665" s="1070"/>
      <c r="CP2665" s="1070"/>
      <c r="CQ2665" s="1070"/>
      <c r="CR2665" s="1070"/>
      <c r="CS2665" s="1070"/>
      <c r="CT2665" s="1070"/>
      <c r="CU2665" s="1070"/>
      <c r="CV2665" s="1070"/>
      <c r="CW2665" s="1070"/>
      <c r="CX2665" s="1070"/>
      <c r="CY2665" s="1070"/>
      <c r="CZ2665" s="1070"/>
      <c r="DA2665" s="1070"/>
      <c r="DB2665" s="1070"/>
      <c r="DC2665" s="1070"/>
      <c r="DD2665" s="1070"/>
      <c r="DE2665" s="1070"/>
      <c r="DF2665" s="1070"/>
      <c r="DG2665" s="1070"/>
      <c r="DH2665" s="1070"/>
      <c r="DI2665" s="1070"/>
      <c r="DJ2665" s="1070"/>
    </row>
    <row r="2666" spans="1:114" s="1136" customFormat="1" ht="15.75" x14ac:dyDescent="0.25">
      <c r="A2666" s="1430"/>
      <c r="B2666" s="1443"/>
      <c r="C2666" s="1437"/>
      <c r="D2666" s="1437"/>
      <c r="E2666" s="1437"/>
      <c r="F2666" s="1437"/>
      <c r="G2666" s="1437"/>
      <c r="H2666" s="1350"/>
      <c r="I2666" s="1350"/>
      <c r="J2666" s="1350"/>
      <c r="K2666" s="1350"/>
      <c r="L2666" s="1350"/>
      <c r="M2666" s="1350"/>
      <c r="N2666" s="1350"/>
      <c r="O2666" s="1350"/>
      <c r="P2666" s="1350"/>
      <c r="Q2666" s="1350"/>
      <c r="R2666" s="1350"/>
      <c r="S2666" s="1350"/>
      <c r="T2666" s="1350"/>
      <c r="U2666" s="1350"/>
      <c r="V2666" s="1350"/>
      <c r="W2666" s="1350"/>
      <c r="X2666" s="1350"/>
      <c r="Y2666" s="1350"/>
      <c r="Z2666" s="1350"/>
      <c r="AA2666" s="1350"/>
      <c r="AB2666" s="1350"/>
      <c r="AC2666" s="1350"/>
      <c r="AD2666" s="1350"/>
      <c r="AE2666" s="1350"/>
      <c r="AF2666" s="1350"/>
      <c r="AG2666" s="1350"/>
      <c r="AH2666" s="1350"/>
      <c r="AI2666" s="1350"/>
      <c r="AJ2666" s="1350"/>
      <c r="AK2666" s="1350"/>
      <c r="AL2666" s="1350"/>
      <c r="AM2666" s="1350"/>
      <c r="AN2666" s="1350"/>
      <c r="AO2666" s="1350"/>
      <c r="AP2666" s="1350"/>
      <c r="AQ2666" s="1350"/>
      <c r="AR2666" s="1350"/>
      <c r="AS2666" s="1350"/>
      <c r="AT2666" s="1350"/>
      <c r="AU2666" s="1350"/>
      <c r="AV2666" s="1350"/>
      <c r="AW2666" s="1350"/>
      <c r="AX2666" s="1350"/>
      <c r="AY2666" s="1350"/>
      <c r="AZ2666" s="1350"/>
      <c r="BA2666" s="1070"/>
      <c r="BB2666" s="1070"/>
      <c r="BC2666" s="1070"/>
      <c r="BD2666" s="1070"/>
      <c r="BE2666" s="1070"/>
      <c r="BF2666" s="1070"/>
      <c r="BG2666" s="1070"/>
      <c r="BH2666" s="1070"/>
      <c r="BI2666" s="1070"/>
      <c r="BJ2666" s="1070"/>
      <c r="BK2666" s="1070"/>
      <c r="BL2666" s="1070"/>
      <c r="BM2666" s="1070"/>
      <c r="BN2666" s="1070"/>
      <c r="BO2666" s="1070"/>
      <c r="BP2666" s="1070"/>
      <c r="BQ2666" s="1070"/>
      <c r="BR2666" s="1070"/>
      <c r="BS2666" s="1070"/>
      <c r="BT2666" s="1070"/>
      <c r="BU2666" s="1070"/>
      <c r="BV2666" s="1070"/>
      <c r="BW2666" s="1070"/>
      <c r="BX2666" s="1070"/>
      <c r="BY2666" s="1070"/>
      <c r="BZ2666" s="1070"/>
      <c r="CA2666" s="1070"/>
      <c r="CB2666" s="1070"/>
      <c r="CC2666" s="1070"/>
      <c r="CD2666" s="1070"/>
      <c r="CE2666" s="1070"/>
      <c r="CF2666" s="1070"/>
      <c r="CG2666" s="1070"/>
      <c r="CH2666" s="1070"/>
      <c r="CI2666" s="1070"/>
      <c r="CJ2666" s="1070"/>
      <c r="CK2666" s="1070"/>
      <c r="CL2666" s="1070"/>
      <c r="CM2666" s="1070"/>
      <c r="CN2666" s="1070"/>
      <c r="CO2666" s="1070"/>
      <c r="CP2666" s="1070"/>
      <c r="CQ2666" s="1070"/>
      <c r="CR2666" s="1070"/>
      <c r="CS2666" s="1070"/>
      <c r="CT2666" s="1070"/>
      <c r="CU2666" s="1070"/>
      <c r="CV2666" s="1070"/>
      <c r="CW2666" s="1070"/>
      <c r="CX2666" s="1070"/>
      <c r="CY2666" s="1070"/>
      <c r="CZ2666" s="1070"/>
      <c r="DA2666" s="1070"/>
      <c r="DB2666" s="1070"/>
      <c r="DC2666" s="1070"/>
      <c r="DD2666" s="1070"/>
      <c r="DE2666" s="1070"/>
      <c r="DF2666" s="1070"/>
      <c r="DG2666" s="1070"/>
      <c r="DH2666" s="1070"/>
      <c r="DI2666" s="1070"/>
      <c r="DJ2666" s="1070"/>
    </row>
    <row r="2667" spans="1:114" s="1136" customFormat="1" ht="78.75" x14ac:dyDescent="0.25">
      <c r="A2667" s="1438" t="s">
        <v>1616</v>
      </c>
      <c r="B2667" s="1443"/>
      <c r="C2667" s="1437"/>
      <c r="D2667" s="1434"/>
      <c r="E2667" s="1434"/>
      <c r="F2667" s="1434"/>
      <c r="G2667" s="1434"/>
      <c r="H2667" s="1350"/>
      <c r="I2667" s="1350"/>
      <c r="J2667" s="1350"/>
      <c r="K2667" s="1350"/>
      <c r="L2667" s="1350"/>
      <c r="M2667" s="1350"/>
      <c r="N2667" s="1350"/>
      <c r="O2667" s="1350"/>
      <c r="P2667" s="1350"/>
      <c r="Q2667" s="1350"/>
      <c r="R2667" s="1350"/>
      <c r="S2667" s="1350"/>
      <c r="T2667" s="1350"/>
      <c r="U2667" s="1350"/>
      <c r="V2667" s="1350"/>
      <c r="W2667" s="1350"/>
      <c r="X2667" s="1350"/>
      <c r="Y2667" s="1350"/>
      <c r="Z2667" s="1350"/>
      <c r="AA2667" s="1350"/>
      <c r="AB2667" s="1350"/>
      <c r="AC2667" s="1350"/>
      <c r="AD2667" s="1350"/>
      <c r="AE2667" s="1350"/>
      <c r="AF2667" s="1350"/>
      <c r="AG2667" s="1350"/>
      <c r="AH2667" s="1350"/>
      <c r="AI2667" s="1350"/>
      <c r="AJ2667" s="1350"/>
      <c r="AK2667" s="1350"/>
      <c r="AL2667" s="1350"/>
      <c r="AM2667" s="1350"/>
      <c r="AN2667" s="1350"/>
      <c r="AO2667" s="1350"/>
      <c r="AP2667" s="1350"/>
      <c r="AQ2667" s="1350"/>
      <c r="AR2667" s="1350"/>
      <c r="AS2667" s="1350"/>
      <c r="AT2667" s="1350"/>
      <c r="AU2667" s="1350"/>
      <c r="AV2667" s="1350"/>
      <c r="AW2667" s="1350"/>
      <c r="AX2667" s="1350"/>
      <c r="AY2667" s="1350"/>
      <c r="AZ2667" s="1350"/>
      <c r="BA2667" s="1070"/>
      <c r="BB2667" s="1070"/>
      <c r="BC2667" s="1070"/>
      <c r="BD2667" s="1070"/>
      <c r="BE2667" s="1070"/>
      <c r="BF2667" s="1070"/>
      <c r="BG2667" s="1070"/>
      <c r="BH2667" s="1070"/>
      <c r="BI2667" s="1070"/>
      <c r="BJ2667" s="1070"/>
      <c r="BK2667" s="1070"/>
      <c r="BL2667" s="1070"/>
      <c r="BM2667" s="1070"/>
      <c r="BN2667" s="1070"/>
      <c r="BO2667" s="1070"/>
      <c r="BP2667" s="1070"/>
      <c r="BQ2667" s="1070"/>
      <c r="BR2667" s="1070"/>
      <c r="BS2667" s="1070"/>
      <c r="BT2667" s="1070"/>
      <c r="BU2667" s="1070"/>
      <c r="BV2667" s="1070"/>
      <c r="BW2667" s="1070"/>
      <c r="BX2667" s="1070"/>
      <c r="BY2667" s="1070"/>
      <c r="BZ2667" s="1070"/>
      <c r="CA2667" s="1070"/>
      <c r="CB2667" s="1070"/>
      <c r="CC2667" s="1070"/>
      <c r="CD2667" s="1070"/>
      <c r="CE2667" s="1070"/>
      <c r="CF2667" s="1070"/>
      <c r="CG2667" s="1070"/>
      <c r="CH2667" s="1070"/>
      <c r="CI2667" s="1070"/>
      <c r="CJ2667" s="1070"/>
      <c r="CK2667" s="1070"/>
      <c r="CL2667" s="1070"/>
      <c r="CM2667" s="1070"/>
      <c r="CN2667" s="1070"/>
      <c r="CO2667" s="1070"/>
      <c r="CP2667" s="1070"/>
      <c r="CQ2667" s="1070"/>
      <c r="CR2667" s="1070"/>
      <c r="CS2667" s="1070"/>
      <c r="CT2667" s="1070"/>
      <c r="CU2667" s="1070"/>
      <c r="CV2667" s="1070"/>
      <c r="CW2667" s="1070"/>
      <c r="CX2667" s="1070"/>
      <c r="CY2667" s="1070"/>
      <c r="CZ2667" s="1070"/>
      <c r="DA2667" s="1070"/>
      <c r="DB2667" s="1070"/>
      <c r="DC2667" s="1070"/>
      <c r="DD2667" s="1070"/>
      <c r="DE2667" s="1070"/>
      <c r="DF2667" s="1070"/>
      <c r="DG2667" s="1070"/>
      <c r="DH2667" s="1070"/>
      <c r="DI2667" s="1070"/>
      <c r="DJ2667" s="1070"/>
    </row>
    <row r="2668" spans="1:114" s="1136" customFormat="1" ht="15.75" x14ac:dyDescent="0.25">
      <c r="A2668" s="1422" t="s">
        <v>424</v>
      </c>
      <c r="B2668" s="1443" t="e">
        <f>((B2617/B261+1)*B2388*B245)/(B2617-B2390)</f>
        <v>#VALUE!</v>
      </c>
      <c r="C2668" s="1437"/>
      <c r="D2668" s="1437"/>
      <c r="E2668" s="1437"/>
      <c r="F2668" s="1437"/>
      <c r="G2668" s="1437"/>
      <c r="H2668" s="1350"/>
      <c r="I2668" s="1350"/>
      <c r="J2668" s="1350"/>
      <c r="K2668" s="1350"/>
      <c r="L2668" s="1350"/>
      <c r="M2668" s="1350"/>
      <c r="N2668" s="1350"/>
      <c r="O2668" s="1350"/>
      <c r="P2668" s="1350"/>
      <c r="Q2668" s="1350"/>
      <c r="R2668" s="1350"/>
      <c r="S2668" s="1350"/>
      <c r="T2668" s="1350"/>
      <c r="U2668" s="1350"/>
      <c r="V2668" s="1350"/>
      <c r="W2668" s="1350"/>
      <c r="X2668" s="1350"/>
      <c r="Y2668" s="1350"/>
      <c r="Z2668" s="1350"/>
      <c r="AA2668" s="1350"/>
      <c r="AB2668" s="1350"/>
      <c r="AC2668" s="1350"/>
      <c r="AD2668" s="1350"/>
      <c r="AE2668" s="1350"/>
      <c r="AF2668" s="1350"/>
      <c r="AG2668" s="1350"/>
      <c r="AH2668" s="1350"/>
      <c r="AI2668" s="1350"/>
      <c r="AJ2668" s="1350"/>
      <c r="AK2668" s="1350"/>
      <c r="AL2668" s="1350"/>
      <c r="AM2668" s="1350"/>
      <c r="AN2668" s="1350"/>
      <c r="AO2668" s="1350"/>
      <c r="AP2668" s="1350"/>
      <c r="AQ2668" s="1350"/>
      <c r="AR2668" s="1350"/>
      <c r="AS2668" s="1350"/>
      <c r="AT2668" s="1350"/>
      <c r="AU2668" s="1350"/>
      <c r="AV2668" s="1350"/>
      <c r="AW2668" s="1350"/>
      <c r="AX2668" s="1350"/>
      <c r="AY2668" s="1350"/>
      <c r="AZ2668" s="1350"/>
      <c r="BA2668" s="1070"/>
      <c r="BB2668" s="1070"/>
      <c r="BC2668" s="1070"/>
      <c r="BD2668" s="1070"/>
      <c r="BE2668" s="1070"/>
      <c r="BF2668" s="1070"/>
      <c r="BG2668" s="1070"/>
      <c r="BH2668" s="1070"/>
      <c r="BI2668" s="1070"/>
      <c r="BJ2668" s="1070"/>
      <c r="BK2668" s="1070"/>
      <c r="BL2668" s="1070"/>
      <c r="BM2668" s="1070"/>
      <c r="BN2668" s="1070"/>
      <c r="BO2668" s="1070"/>
      <c r="BP2668" s="1070"/>
      <c r="BQ2668" s="1070"/>
      <c r="BR2668" s="1070"/>
      <c r="BS2668" s="1070"/>
      <c r="BT2668" s="1070"/>
      <c r="BU2668" s="1070"/>
      <c r="BV2668" s="1070"/>
      <c r="BW2668" s="1070"/>
      <c r="BX2668" s="1070"/>
      <c r="BY2668" s="1070"/>
      <c r="BZ2668" s="1070"/>
      <c r="CA2668" s="1070"/>
      <c r="CB2668" s="1070"/>
      <c r="CC2668" s="1070"/>
      <c r="CD2668" s="1070"/>
      <c r="CE2668" s="1070"/>
      <c r="CF2668" s="1070"/>
      <c r="CG2668" s="1070"/>
      <c r="CH2668" s="1070"/>
      <c r="CI2668" s="1070"/>
      <c r="CJ2668" s="1070"/>
      <c r="CK2668" s="1070"/>
      <c r="CL2668" s="1070"/>
      <c r="CM2668" s="1070"/>
      <c r="CN2668" s="1070"/>
      <c r="CO2668" s="1070"/>
      <c r="CP2668" s="1070"/>
      <c r="CQ2668" s="1070"/>
      <c r="CR2668" s="1070"/>
      <c r="CS2668" s="1070"/>
      <c r="CT2668" s="1070"/>
      <c r="CU2668" s="1070"/>
      <c r="CV2668" s="1070"/>
      <c r="CW2668" s="1070"/>
      <c r="CX2668" s="1070"/>
      <c r="CY2668" s="1070"/>
      <c r="CZ2668" s="1070"/>
      <c r="DA2668" s="1070"/>
      <c r="DB2668" s="1070"/>
      <c r="DC2668" s="1070"/>
      <c r="DD2668" s="1070"/>
      <c r="DE2668" s="1070"/>
      <c r="DF2668" s="1070"/>
      <c r="DG2668" s="1070"/>
      <c r="DH2668" s="1070"/>
      <c r="DI2668" s="1070"/>
      <c r="DJ2668" s="1070"/>
    </row>
    <row r="2669" spans="1:114" s="1136" customFormat="1" ht="15.75" x14ac:dyDescent="0.25">
      <c r="A2669" s="1456" t="s">
        <v>1617</v>
      </c>
      <c r="B2669" s="1506">
        <v>400</v>
      </c>
      <c r="C2669" s="1470"/>
      <c r="D2669" s="1437"/>
      <c r="E2669" s="1437"/>
      <c r="F2669" s="1437"/>
      <c r="G2669" s="1437"/>
      <c r="H2669" s="1350"/>
      <c r="I2669" s="1350"/>
      <c r="J2669" s="1350"/>
      <c r="K2669" s="1350"/>
      <c r="L2669" s="1350"/>
      <c r="M2669" s="1350"/>
      <c r="N2669" s="1350"/>
      <c r="O2669" s="1350"/>
      <c r="P2669" s="1350"/>
      <c r="Q2669" s="1350"/>
      <c r="R2669" s="1350"/>
      <c r="S2669" s="1350"/>
      <c r="T2669" s="1350"/>
      <c r="U2669" s="1350"/>
      <c r="V2669" s="1350"/>
      <c r="W2669" s="1350"/>
      <c r="X2669" s="1350"/>
      <c r="Y2669" s="1350"/>
      <c r="Z2669" s="1350"/>
      <c r="AA2669" s="1350"/>
      <c r="AB2669" s="1350"/>
      <c r="AC2669" s="1350"/>
      <c r="AD2669" s="1350"/>
      <c r="AE2669" s="1350"/>
      <c r="AF2669" s="1350"/>
      <c r="AG2669" s="1350"/>
      <c r="AH2669" s="1350"/>
      <c r="AI2669" s="1350"/>
      <c r="AJ2669" s="1350"/>
      <c r="AK2669" s="1350"/>
      <c r="AL2669" s="1350"/>
      <c r="AM2669" s="1350"/>
      <c r="AN2669" s="1350"/>
      <c r="AO2669" s="1350"/>
      <c r="AP2669" s="1350"/>
      <c r="AQ2669" s="1350"/>
      <c r="AR2669" s="1350"/>
      <c r="AS2669" s="1350"/>
      <c r="AT2669" s="1350"/>
      <c r="AU2669" s="1350"/>
      <c r="AV2669" s="1350"/>
      <c r="AW2669" s="1350"/>
      <c r="AX2669" s="1350"/>
      <c r="AY2669" s="1350"/>
      <c r="AZ2669" s="1350"/>
      <c r="BA2669" s="1070"/>
      <c r="BB2669" s="1070"/>
      <c r="BC2669" s="1070"/>
      <c r="BD2669" s="1070"/>
      <c r="BE2669" s="1070"/>
      <c r="BF2669" s="1070"/>
      <c r="BG2669" s="1070"/>
      <c r="BH2669" s="1070"/>
      <c r="BI2669" s="1070"/>
      <c r="BJ2669" s="1070"/>
      <c r="BK2669" s="1070"/>
      <c r="BL2669" s="1070"/>
      <c r="BM2669" s="1070"/>
      <c r="BN2669" s="1070"/>
      <c r="BO2669" s="1070"/>
      <c r="BP2669" s="1070"/>
      <c r="BQ2669" s="1070"/>
      <c r="BR2669" s="1070"/>
      <c r="BS2669" s="1070"/>
      <c r="BT2669" s="1070"/>
      <c r="BU2669" s="1070"/>
      <c r="BV2669" s="1070"/>
      <c r="BW2669" s="1070"/>
      <c r="BX2669" s="1070"/>
      <c r="BY2669" s="1070"/>
      <c r="BZ2669" s="1070"/>
      <c r="CA2669" s="1070"/>
      <c r="CB2669" s="1070"/>
      <c r="CC2669" s="1070"/>
      <c r="CD2669" s="1070"/>
      <c r="CE2669" s="1070"/>
      <c r="CF2669" s="1070"/>
      <c r="CG2669" s="1070"/>
      <c r="CH2669" s="1070"/>
      <c r="CI2669" s="1070"/>
      <c r="CJ2669" s="1070"/>
      <c r="CK2669" s="1070"/>
      <c r="CL2669" s="1070"/>
      <c r="CM2669" s="1070"/>
      <c r="CN2669" s="1070"/>
      <c r="CO2669" s="1070"/>
      <c r="CP2669" s="1070"/>
      <c r="CQ2669" s="1070"/>
      <c r="CR2669" s="1070"/>
      <c r="CS2669" s="1070"/>
      <c r="CT2669" s="1070"/>
      <c r="CU2669" s="1070"/>
      <c r="CV2669" s="1070"/>
      <c r="CW2669" s="1070"/>
      <c r="CX2669" s="1070"/>
      <c r="CY2669" s="1070"/>
      <c r="CZ2669" s="1070"/>
      <c r="DA2669" s="1070"/>
      <c r="DB2669" s="1070"/>
      <c r="DC2669" s="1070"/>
      <c r="DD2669" s="1070"/>
      <c r="DE2669" s="1070"/>
      <c r="DF2669" s="1070"/>
      <c r="DG2669" s="1070"/>
      <c r="DH2669" s="1070"/>
      <c r="DI2669" s="1070"/>
      <c r="DJ2669" s="1070"/>
    </row>
    <row r="2670" spans="1:114" s="1136" customFormat="1" ht="15.75" x14ac:dyDescent="0.25">
      <c r="A2670" s="1420" t="s">
        <v>3412</v>
      </c>
      <c r="B2670" s="1441" t="e">
        <f>B2669*B2383</f>
        <v>#VALUE!</v>
      </c>
      <c r="C2670" s="1434"/>
      <c r="D2670" s="1446"/>
      <c r="E2670" s="1446"/>
      <c r="F2670" s="1446"/>
      <c r="G2670" s="1446"/>
      <c r="H2670" s="1350"/>
      <c r="I2670" s="1350"/>
      <c r="J2670" s="1350"/>
      <c r="K2670" s="1350"/>
      <c r="L2670" s="1350"/>
      <c r="M2670" s="1350"/>
      <c r="N2670" s="1350"/>
      <c r="O2670" s="1350"/>
      <c r="P2670" s="1350"/>
      <c r="Q2670" s="1350"/>
      <c r="R2670" s="1350"/>
      <c r="S2670" s="1350"/>
      <c r="T2670" s="1350"/>
      <c r="U2670" s="1350"/>
      <c r="V2670" s="1350"/>
      <c r="W2670" s="1350"/>
      <c r="X2670" s="1350"/>
      <c r="Y2670" s="1350"/>
      <c r="Z2670" s="1350"/>
      <c r="AA2670" s="1350"/>
      <c r="AB2670" s="1350"/>
      <c r="AC2670" s="1350"/>
      <c r="AD2670" s="1350"/>
      <c r="AE2670" s="1350"/>
      <c r="AF2670" s="1350"/>
      <c r="AG2670" s="1350"/>
      <c r="AH2670" s="1350"/>
      <c r="AI2670" s="1350"/>
      <c r="AJ2670" s="1350"/>
      <c r="AK2670" s="1350"/>
      <c r="AL2670" s="1350"/>
      <c r="AM2670" s="1350"/>
      <c r="AN2670" s="1350"/>
      <c r="AO2670" s="1350"/>
      <c r="AP2670" s="1350"/>
      <c r="AQ2670" s="1350"/>
      <c r="AR2670" s="1350"/>
      <c r="AS2670" s="1350"/>
      <c r="AT2670" s="1350"/>
      <c r="AU2670" s="1350"/>
      <c r="AV2670" s="1350"/>
      <c r="AW2670" s="1350"/>
      <c r="AX2670" s="1350"/>
      <c r="AY2670" s="1350"/>
      <c r="AZ2670" s="1350"/>
      <c r="BA2670" s="1070"/>
      <c r="BB2670" s="1070"/>
      <c r="BC2670" s="1070"/>
      <c r="BD2670" s="1070"/>
      <c r="BE2670" s="1070"/>
      <c r="BF2670" s="1070"/>
      <c r="BG2670" s="1070"/>
      <c r="BH2670" s="1070"/>
      <c r="BI2670" s="1070"/>
      <c r="BJ2670" s="1070"/>
      <c r="BK2670" s="1070"/>
      <c r="BL2670" s="1070"/>
      <c r="BM2670" s="1070"/>
      <c r="BN2670" s="1070"/>
      <c r="BO2670" s="1070"/>
      <c r="BP2670" s="1070"/>
      <c r="BQ2670" s="1070"/>
      <c r="BR2670" s="1070"/>
      <c r="BS2670" s="1070"/>
      <c r="BT2670" s="1070"/>
      <c r="BU2670" s="1070"/>
      <c r="BV2670" s="1070"/>
      <c r="BW2670" s="1070"/>
      <c r="BX2670" s="1070"/>
      <c r="BY2670" s="1070"/>
      <c r="BZ2670" s="1070"/>
      <c r="CA2670" s="1070"/>
      <c r="CB2670" s="1070"/>
      <c r="CC2670" s="1070"/>
      <c r="CD2670" s="1070"/>
      <c r="CE2670" s="1070"/>
      <c r="CF2670" s="1070"/>
      <c r="CG2670" s="1070"/>
      <c r="CH2670" s="1070"/>
      <c r="CI2670" s="1070"/>
      <c r="CJ2670" s="1070"/>
      <c r="CK2670" s="1070"/>
      <c r="CL2670" s="1070"/>
      <c r="CM2670" s="1070"/>
      <c r="CN2670" s="1070"/>
      <c r="CO2670" s="1070"/>
      <c r="CP2670" s="1070"/>
      <c r="CQ2670" s="1070"/>
      <c r="CR2670" s="1070"/>
      <c r="CS2670" s="1070"/>
      <c r="CT2670" s="1070"/>
      <c r="CU2670" s="1070"/>
      <c r="CV2670" s="1070"/>
      <c r="CW2670" s="1070"/>
      <c r="CX2670" s="1070"/>
      <c r="CY2670" s="1070"/>
      <c r="CZ2670" s="1070"/>
      <c r="DA2670" s="1070"/>
      <c r="DB2670" s="1070"/>
      <c r="DC2670" s="1070"/>
      <c r="DD2670" s="1070"/>
      <c r="DE2670" s="1070"/>
      <c r="DF2670" s="1070"/>
      <c r="DG2670" s="1070"/>
      <c r="DH2670" s="1070"/>
      <c r="DI2670" s="1070"/>
      <c r="DJ2670" s="1070"/>
    </row>
    <row r="2671" spans="1:114" s="1136" customFormat="1" ht="15.75" x14ac:dyDescent="0.25">
      <c r="A2671" s="1430" t="s">
        <v>429</v>
      </c>
      <c r="B2671" s="1439" t="e">
        <f>B2668/B2670</f>
        <v>#VALUE!</v>
      </c>
      <c r="C2671" s="1432"/>
      <c r="D2671" s="1432"/>
      <c r="E2671" s="1432"/>
      <c r="F2671" s="1432"/>
      <c r="G2671" s="1432"/>
      <c r="H2671" s="1350"/>
      <c r="I2671" s="1350"/>
      <c r="J2671" s="1350"/>
      <c r="K2671" s="1350"/>
      <c r="L2671" s="1350"/>
      <c r="M2671" s="1350"/>
      <c r="N2671" s="1350"/>
      <c r="O2671" s="1350"/>
      <c r="P2671" s="1350"/>
      <c r="Q2671" s="1350"/>
      <c r="R2671" s="1350"/>
      <c r="S2671" s="1350"/>
      <c r="T2671" s="1350"/>
      <c r="U2671" s="1350"/>
      <c r="V2671" s="1350"/>
      <c r="W2671" s="1350"/>
      <c r="X2671" s="1350"/>
      <c r="Y2671" s="1350"/>
      <c r="Z2671" s="1350"/>
      <c r="AA2671" s="1350"/>
      <c r="AB2671" s="1350"/>
      <c r="AC2671" s="1350"/>
      <c r="AD2671" s="1350"/>
      <c r="AE2671" s="1350"/>
      <c r="AF2671" s="1350"/>
      <c r="AG2671" s="1350"/>
      <c r="AH2671" s="1350"/>
      <c r="AI2671" s="1350"/>
      <c r="AJ2671" s="1350"/>
      <c r="AK2671" s="1350"/>
      <c r="AL2671" s="1350"/>
      <c r="AM2671" s="1350"/>
      <c r="AN2671" s="1350"/>
      <c r="AO2671" s="1350"/>
      <c r="AP2671" s="1350"/>
      <c r="AQ2671" s="1350"/>
      <c r="AR2671" s="1350"/>
      <c r="AS2671" s="1350"/>
      <c r="AT2671" s="1350"/>
      <c r="AU2671" s="1350"/>
      <c r="AV2671" s="1350"/>
      <c r="AW2671" s="1350"/>
      <c r="AX2671" s="1350"/>
      <c r="AY2671" s="1350"/>
      <c r="AZ2671" s="1350"/>
      <c r="BA2671" s="1070"/>
      <c r="BB2671" s="1070"/>
      <c r="BC2671" s="1070"/>
      <c r="BD2671" s="1070"/>
      <c r="BE2671" s="1070"/>
      <c r="BF2671" s="1070"/>
      <c r="BG2671" s="1070"/>
      <c r="BH2671" s="1070"/>
      <c r="BI2671" s="1070"/>
      <c r="BJ2671" s="1070"/>
      <c r="BK2671" s="1070"/>
      <c r="BL2671" s="1070"/>
      <c r="BM2671" s="1070"/>
      <c r="BN2671" s="1070"/>
      <c r="BO2671" s="1070"/>
      <c r="BP2671" s="1070"/>
      <c r="BQ2671" s="1070"/>
      <c r="BR2671" s="1070"/>
      <c r="BS2671" s="1070"/>
      <c r="BT2671" s="1070"/>
      <c r="BU2671" s="1070"/>
      <c r="BV2671" s="1070"/>
      <c r="BW2671" s="1070"/>
      <c r="BX2671" s="1070"/>
      <c r="BY2671" s="1070"/>
      <c r="BZ2671" s="1070"/>
      <c r="CA2671" s="1070"/>
      <c r="CB2671" s="1070"/>
      <c r="CC2671" s="1070"/>
      <c r="CD2671" s="1070"/>
      <c r="CE2671" s="1070"/>
      <c r="CF2671" s="1070"/>
      <c r="CG2671" s="1070"/>
      <c r="CH2671" s="1070"/>
      <c r="CI2671" s="1070"/>
      <c r="CJ2671" s="1070"/>
      <c r="CK2671" s="1070"/>
      <c r="CL2671" s="1070"/>
      <c r="CM2671" s="1070"/>
      <c r="CN2671" s="1070"/>
      <c r="CO2671" s="1070"/>
      <c r="CP2671" s="1070"/>
      <c r="CQ2671" s="1070"/>
      <c r="CR2671" s="1070"/>
      <c r="CS2671" s="1070"/>
      <c r="CT2671" s="1070"/>
      <c r="CU2671" s="1070"/>
      <c r="CV2671" s="1070"/>
      <c r="CW2671" s="1070"/>
      <c r="CX2671" s="1070"/>
      <c r="CY2671" s="1070"/>
      <c r="CZ2671" s="1070"/>
      <c r="DA2671" s="1070"/>
      <c r="DB2671" s="1070"/>
      <c r="DC2671" s="1070"/>
      <c r="DD2671" s="1070"/>
      <c r="DE2671" s="1070"/>
      <c r="DF2671" s="1070"/>
      <c r="DG2671" s="1070"/>
      <c r="DH2671" s="1070"/>
      <c r="DI2671" s="1070"/>
      <c r="DJ2671" s="1070"/>
    </row>
    <row r="2672" spans="1:114" s="1136" customFormat="1" ht="15.75" x14ac:dyDescent="0.25">
      <c r="A2672" s="1430"/>
      <c r="B2672" s="1443"/>
      <c r="C2672" s="1437"/>
      <c r="D2672" s="1432"/>
      <c r="E2672" s="1432"/>
      <c r="F2672" s="1432"/>
      <c r="G2672" s="1432"/>
      <c r="H2672" s="1350"/>
      <c r="I2672" s="1350"/>
      <c r="J2672" s="1350"/>
      <c r="K2672" s="1350"/>
      <c r="L2672" s="1350"/>
      <c r="M2672" s="1350"/>
      <c r="N2672" s="1350"/>
      <c r="O2672" s="1350"/>
      <c r="P2672" s="1350"/>
      <c r="Q2672" s="1350"/>
      <c r="R2672" s="1350"/>
      <c r="S2672" s="1350"/>
      <c r="T2672" s="1350"/>
      <c r="U2672" s="1350"/>
      <c r="V2672" s="1350"/>
      <c r="W2672" s="1350"/>
      <c r="X2672" s="1350"/>
      <c r="Y2672" s="1350"/>
      <c r="Z2672" s="1350"/>
      <c r="AA2672" s="1350"/>
      <c r="AB2672" s="1350"/>
      <c r="AC2672" s="1350"/>
      <c r="AD2672" s="1350"/>
      <c r="AE2672" s="1350"/>
      <c r="AF2672" s="1350"/>
      <c r="AG2672" s="1350"/>
      <c r="AH2672" s="1350"/>
      <c r="AI2672" s="1350"/>
      <c r="AJ2672" s="1350"/>
      <c r="AK2672" s="1350"/>
      <c r="AL2672" s="1350"/>
      <c r="AM2672" s="1350"/>
      <c r="AN2672" s="1350"/>
      <c r="AO2672" s="1350"/>
      <c r="AP2672" s="1350"/>
      <c r="AQ2672" s="1350"/>
      <c r="AR2672" s="1350"/>
      <c r="AS2672" s="1350"/>
      <c r="AT2672" s="1350"/>
      <c r="AU2672" s="1350"/>
      <c r="AV2672" s="1350"/>
      <c r="AW2672" s="1350"/>
      <c r="AX2672" s="1350"/>
      <c r="AY2672" s="1350"/>
      <c r="AZ2672" s="1350"/>
      <c r="BA2672" s="1070"/>
      <c r="BB2672" s="1070"/>
      <c r="BC2672" s="1070"/>
      <c r="BD2672" s="1070"/>
      <c r="BE2672" s="1070"/>
      <c r="BF2672" s="1070"/>
      <c r="BG2672" s="1070"/>
      <c r="BH2672" s="1070"/>
      <c r="BI2672" s="1070"/>
      <c r="BJ2672" s="1070"/>
      <c r="BK2672" s="1070"/>
      <c r="BL2672" s="1070"/>
      <c r="BM2672" s="1070"/>
      <c r="BN2672" s="1070"/>
      <c r="BO2672" s="1070"/>
      <c r="BP2672" s="1070"/>
      <c r="BQ2672" s="1070"/>
      <c r="BR2672" s="1070"/>
      <c r="BS2672" s="1070"/>
      <c r="BT2672" s="1070"/>
      <c r="BU2672" s="1070"/>
      <c r="BV2672" s="1070"/>
      <c r="BW2672" s="1070"/>
      <c r="BX2672" s="1070"/>
      <c r="BY2672" s="1070"/>
      <c r="BZ2672" s="1070"/>
      <c r="CA2672" s="1070"/>
      <c r="CB2672" s="1070"/>
      <c r="CC2672" s="1070"/>
      <c r="CD2672" s="1070"/>
      <c r="CE2672" s="1070"/>
      <c r="CF2672" s="1070"/>
      <c r="CG2672" s="1070"/>
      <c r="CH2672" s="1070"/>
      <c r="CI2672" s="1070"/>
      <c r="CJ2672" s="1070"/>
      <c r="CK2672" s="1070"/>
      <c r="CL2672" s="1070"/>
      <c r="CM2672" s="1070"/>
      <c r="CN2672" s="1070"/>
      <c r="CO2672" s="1070"/>
      <c r="CP2672" s="1070"/>
      <c r="CQ2672" s="1070"/>
      <c r="CR2672" s="1070"/>
      <c r="CS2672" s="1070"/>
      <c r="CT2672" s="1070"/>
      <c r="CU2672" s="1070"/>
      <c r="CV2672" s="1070"/>
      <c r="CW2672" s="1070"/>
      <c r="CX2672" s="1070"/>
      <c r="CY2672" s="1070"/>
      <c r="CZ2672" s="1070"/>
      <c r="DA2672" s="1070"/>
      <c r="DB2672" s="1070"/>
      <c r="DC2672" s="1070"/>
      <c r="DD2672" s="1070"/>
      <c r="DE2672" s="1070"/>
      <c r="DF2672" s="1070"/>
      <c r="DG2672" s="1070"/>
      <c r="DH2672" s="1070"/>
      <c r="DI2672" s="1070"/>
      <c r="DJ2672" s="1070"/>
    </row>
    <row r="2673" spans="1:114" s="1136" customFormat="1" ht="47.25" x14ac:dyDescent="0.25">
      <c r="A2673" s="1438" t="s">
        <v>1618</v>
      </c>
      <c r="B2673" s="1443"/>
      <c r="C2673" s="1437"/>
      <c r="D2673" s="1350"/>
      <c r="E2673" s="1350"/>
      <c r="F2673" s="1350"/>
      <c r="G2673" s="1350"/>
      <c r="H2673" s="1350"/>
      <c r="I2673" s="1350"/>
      <c r="J2673" s="1350"/>
      <c r="K2673" s="1350"/>
      <c r="L2673" s="1350"/>
      <c r="M2673" s="1350"/>
      <c r="N2673" s="1350"/>
      <c r="O2673" s="1350"/>
      <c r="P2673" s="1350"/>
      <c r="Q2673" s="1350"/>
      <c r="R2673" s="1350"/>
      <c r="S2673" s="1350"/>
      <c r="T2673" s="1350"/>
      <c r="U2673" s="1350"/>
      <c r="V2673" s="1350"/>
      <c r="W2673" s="1350"/>
      <c r="X2673" s="1350"/>
      <c r="Y2673" s="1350"/>
      <c r="Z2673" s="1350"/>
      <c r="AA2673" s="1350"/>
      <c r="AB2673" s="1350"/>
      <c r="AC2673" s="1350"/>
      <c r="AD2673" s="1350"/>
      <c r="AE2673" s="1350"/>
      <c r="AF2673" s="1350"/>
      <c r="AG2673" s="1350"/>
      <c r="AH2673" s="1350"/>
      <c r="AI2673" s="1350"/>
      <c r="AJ2673" s="1350"/>
      <c r="AK2673" s="1350"/>
      <c r="AL2673" s="1350"/>
      <c r="AM2673" s="1350"/>
      <c r="AN2673" s="1350"/>
      <c r="AO2673" s="1350"/>
      <c r="AP2673" s="1350"/>
      <c r="AQ2673" s="1350"/>
      <c r="AR2673" s="1350"/>
      <c r="AS2673" s="1350"/>
      <c r="AT2673" s="1350"/>
      <c r="AU2673" s="1350"/>
      <c r="AV2673" s="1350"/>
      <c r="AW2673" s="1350"/>
      <c r="AX2673" s="1350"/>
      <c r="AY2673" s="1350"/>
      <c r="AZ2673" s="1350"/>
      <c r="BA2673" s="1070"/>
      <c r="BB2673" s="1070"/>
      <c r="BC2673" s="1070"/>
      <c r="BD2673" s="1070"/>
      <c r="BE2673" s="1070"/>
      <c r="BF2673" s="1070"/>
      <c r="BG2673" s="1070"/>
      <c r="BH2673" s="1070"/>
      <c r="BI2673" s="1070"/>
      <c r="BJ2673" s="1070"/>
      <c r="BK2673" s="1070"/>
      <c r="BL2673" s="1070"/>
      <c r="BM2673" s="1070"/>
      <c r="BN2673" s="1070"/>
      <c r="BO2673" s="1070"/>
      <c r="BP2673" s="1070"/>
      <c r="BQ2673" s="1070"/>
      <c r="BR2673" s="1070"/>
      <c r="BS2673" s="1070"/>
      <c r="BT2673" s="1070"/>
      <c r="BU2673" s="1070"/>
      <c r="BV2673" s="1070"/>
      <c r="BW2673" s="1070"/>
      <c r="BX2673" s="1070"/>
      <c r="BY2673" s="1070"/>
      <c r="BZ2673" s="1070"/>
      <c r="CA2673" s="1070"/>
      <c r="CB2673" s="1070"/>
      <c r="CC2673" s="1070"/>
      <c r="CD2673" s="1070"/>
      <c r="CE2673" s="1070"/>
      <c r="CF2673" s="1070"/>
      <c r="CG2673" s="1070"/>
      <c r="CH2673" s="1070"/>
      <c r="CI2673" s="1070"/>
      <c r="CJ2673" s="1070"/>
      <c r="CK2673" s="1070"/>
      <c r="CL2673" s="1070"/>
      <c r="CM2673" s="1070"/>
      <c r="CN2673" s="1070"/>
      <c r="CO2673" s="1070"/>
      <c r="CP2673" s="1070"/>
      <c r="CQ2673" s="1070"/>
      <c r="CR2673" s="1070"/>
      <c r="CS2673" s="1070"/>
      <c r="CT2673" s="1070"/>
      <c r="CU2673" s="1070"/>
      <c r="CV2673" s="1070"/>
      <c r="CW2673" s="1070"/>
      <c r="CX2673" s="1070"/>
      <c r="CY2673" s="1070"/>
      <c r="CZ2673" s="1070"/>
      <c r="DA2673" s="1070"/>
      <c r="DB2673" s="1070"/>
      <c r="DC2673" s="1070"/>
      <c r="DD2673" s="1070"/>
      <c r="DE2673" s="1070"/>
      <c r="DF2673" s="1070"/>
      <c r="DG2673" s="1070"/>
      <c r="DH2673" s="1070"/>
      <c r="DI2673" s="1070"/>
      <c r="DJ2673" s="1070"/>
    </row>
    <row r="2674" spans="1:114" s="1136" customFormat="1" ht="47.25" x14ac:dyDescent="0.25">
      <c r="A2674" s="1435" t="s">
        <v>1619</v>
      </c>
      <c r="B2674" s="3942">
        <f>kursovoy!B2250</f>
        <v>2.2000000000000002</v>
      </c>
      <c r="C2674" s="1458"/>
      <c r="D2674" s="1350"/>
      <c r="E2674" s="1350"/>
      <c r="F2674" s="1350"/>
      <c r="G2674" s="1350"/>
      <c r="H2674" s="1350"/>
      <c r="I2674" s="1350"/>
      <c r="J2674" s="1350"/>
      <c r="K2674" s="1350"/>
      <c r="L2674" s="1350"/>
      <c r="M2674" s="1350"/>
      <c r="N2674" s="1350"/>
      <c r="O2674" s="1350"/>
      <c r="P2674" s="1350"/>
      <c r="Q2674" s="1350"/>
      <c r="R2674" s="1350"/>
      <c r="S2674" s="1350"/>
      <c r="T2674" s="1350"/>
      <c r="U2674" s="1350"/>
      <c r="V2674" s="1350"/>
      <c r="W2674" s="1350"/>
      <c r="X2674" s="1350"/>
      <c r="Y2674" s="1350"/>
      <c r="Z2674" s="1350"/>
      <c r="AA2674" s="1350"/>
      <c r="AB2674" s="1350"/>
      <c r="AC2674" s="1350"/>
      <c r="AD2674" s="1350"/>
      <c r="AE2674" s="1350"/>
      <c r="AF2674" s="1350"/>
      <c r="AG2674" s="1350"/>
      <c r="AH2674" s="1350"/>
      <c r="AI2674" s="1350"/>
      <c r="AJ2674" s="1350"/>
      <c r="AK2674" s="1350"/>
      <c r="AL2674" s="1350"/>
      <c r="AM2674" s="1350"/>
      <c r="AN2674" s="1350"/>
      <c r="AO2674" s="1350"/>
      <c r="AP2674" s="1350"/>
      <c r="AQ2674" s="1350"/>
      <c r="AR2674" s="1350"/>
      <c r="AS2674" s="1350"/>
      <c r="AT2674" s="1350"/>
      <c r="AU2674" s="1350"/>
      <c r="AV2674" s="1350"/>
      <c r="AW2674" s="1350"/>
      <c r="AX2674" s="1350"/>
      <c r="AY2674" s="1350"/>
      <c r="AZ2674" s="1350"/>
      <c r="BA2674" s="1070"/>
      <c r="BB2674" s="1070"/>
      <c r="BC2674" s="1070"/>
      <c r="BD2674" s="1070"/>
      <c r="BE2674" s="1070"/>
      <c r="BF2674" s="1070"/>
      <c r="BG2674" s="1070"/>
      <c r="BH2674" s="1070"/>
      <c r="BI2674" s="1070"/>
      <c r="BJ2674" s="1070"/>
      <c r="BK2674" s="1070"/>
      <c r="BL2674" s="1070"/>
      <c r="BM2674" s="1070"/>
      <c r="BN2674" s="1070"/>
      <c r="BO2674" s="1070"/>
      <c r="BP2674" s="1070"/>
      <c r="BQ2674" s="1070"/>
      <c r="BR2674" s="1070"/>
      <c r="BS2674" s="1070"/>
      <c r="BT2674" s="1070"/>
      <c r="BU2674" s="1070"/>
      <c r="BV2674" s="1070"/>
      <c r="BW2674" s="1070"/>
      <c r="BX2674" s="1070"/>
      <c r="BY2674" s="1070"/>
      <c r="BZ2674" s="1070"/>
      <c r="CA2674" s="1070"/>
      <c r="CB2674" s="1070"/>
      <c r="CC2674" s="1070"/>
      <c r="CD2674" s="1070"/>
      <c r="CE2674" s="1070"/>
      <c r="CF2674" s="1070"/>
      <c r="CG2674" s="1070"/>
      <c r="CH2674" s="1070"/>
      <c r="CI2674" s="1070"/>
      <c r="CJ2674" s="1070"/>
      <c r="CK2674" s="1070"/>
      <c r="CL2674" s="1070"/>
      <c r="CM2674" s="1070"/>
      <c r="CN2674" s="1070"/>
      <c r="CO2674" s="1070"/>
      <c r="CP2674" s="1070"/>
      <c r="CQ2674" s="1070"/>
      <c r="CR2674" s="1070"/>
      <c r="CS2674" s="1070"/>
      <c r="CT2674" s="1070"/>
      <c r="CU2674" s="1070"/>
      <c r="CV2674" s="1070"/>
      <c r="CW2674" s="1070"/>
      <c r="CX2674" s="1070"/>
      <c r="CY2674" s="1070"/>
      <c r="CZ2674" s="1070"/>
      <c r="DA2674" s="1070"/>
      <c r="DB2674" s="1070"/>
      <c r="DC2674" s="1070"/>
      <c r="DD2674" s="1070"/>
      <c r="DE2674" s="1070"/>
      <c r="DF2674" s="1070"/>
      <c r="DG2674" s="1070"/>
      <c r="DH2674" s="1070"/>
      <c r="DI2674" s="1070"/>
      <c r="DJ2674" s="1070"/>
    </row>
    <row r="2675" spans="1:114" s="1136" customFormat="1" ht="15.75" x14ac:dyDescent="0.25">
      <c r="A2675" s="1430" t="s">
        <v>4152</v>
      </c>
      <c r="B2675" s="1433" t="e">
        <f>(B245/B2674)*(B2388+B2389)</f>
        <v>#VALUE!</v>
      </c>
      <c r="C2675" s="1437"/>
      <c r="D2675" s="1437"/>
      <c r="E2675" s="1437"/>
      <c r="F2675" s="1437"/>
      <c r="G2675" s="1437"/>
      <c r="H2675" s="1350"/>
      <c r="I2675" s="1350"/>
      <c r="J2675" s="1350"/>
      <c r="K2675" s="1350"/>
      <c r="L2675" s="1350"/>
      <c r="M2675" s="1350"/>
      <c r="N2675" s="1350"/>
      <c r="O2675" s="1350"/>
      <c r="P2675" s="1350"/>
      <c r="Q2675" s="1350"/>
      <c r="R2675" s="1350"/>
      <c r="S2675" s="1350"/>
      <c r="T2675" s="1350"/>
      <c r="U2675" s="1350"/>
      <c r="V2675" s="1350"/>
      <c r="W2675" s="1350"/>
      <c r="X2675" s="1350"/>
      <c r="Y2675" s="1350"/>
      <c r="Z2675" s="1350"/>
      <c r="AA2675" s="1350"/>
      <c r="AB2675" s="1350"/>
      <c r="AC2675" s="1350"/>
      <c r="AD2675" s="1350"/>
      <c r="AE2675" s="1350"/>
      <c r="AF2675" s="1350"/>
      <c r="AG2675" s="1350"/>
      <c r="AH2675" s="1350"/>
      <c r="AI2675" s="1350"/>
      <c r="AJ2675" s="1350"/>
      <c r="AK2675" s="1350"/>
      <c r="AL2675" s="1350"/>
      <c r="AM2675" s="1350"/>
      <c r="AN2675" s="1350"/>
      <c r="AO2675" s="1350"/>
      <c r="AP2675" s="1350"/>
      <c r="AQ2675" s="1350"/>
      <c r="AR2675" s="1350"/>
      <c r="AS2675" s="1350"/>
      <c r="AT2675" s="1350"/>
      <c r="AU2675" s="1350"/>
      <c r="AV2675" s="1350"/>
      <c r="AW2675" s="1350"/>
      <c r="AX2675" s="1350"/>
      <c r="AY2675" s="1350"/>
      <c r="AZ2675" s="1350"/>
      <c r="BA2675" s="1070"/>
      <c r="BB2675" s="1070"/>
      <c r="BC2675" s="1070"/>
      <c r="BD2675" s="1070"/>
      <c r="BE2675" s="1070"/>
      <c r="BF2675" s="1070"/>
      <c r="BG2675" s="1070"/>
      <c r="BH2675" s="1070"/>
      <c r="BI2675" s="1070"/>
      <c r="BJ2675" s="1070"/>
      <c r="BK2675" s="1070"/>
      <c r="BL2675" s="1070"/>
      <c r="BM2675" s="1070"/>
      <c r="BN2675" s="1070"/>
      <c r="BO2675" s="1070"/>
      <c r="BP2675" s="1070"/>
      <c r="BQ2675" s="1070"/>
      <c r="BR2675" s="1070"/>
      <c r="BS2675" s="1070"/>
      <c r="BT2675" s="1070"/>
      <c r="BU2675" s="1070"/>
      <c r="BV2675" s="1070"/>
      <c r="BW2675" s="1070"/>
      <c r="BX2675" s="1070"/>
      <c r="BY2675" s="1070"/>
      <c r="BZ2675" s="1070"/>
      <c r="CA2675" s="1070"/>
      <c r="CB2675" s="1070"/>
      <c r="CC2675" s="1070"/>
      <c r="CD2675" s="1070"/>
      <c r="CE2675" s="1070"/>
      <c r="CF2675" s="1070"/>
      <c r="CG2675" s="1070"/>
      <c r="CH2675" s="1070"/>
      <c r="CI2675" s="1070"/>
      <c r="CJ2675" s="1070"/>
      <c r="CK2675" s="1070"/>
      <c r="CL2675" s="1070"/>
      <c r="CM2675" s="1070"/>
      <c r="CN2675" s="1070"/>
      <c r="CO2675" s="1070"/>
      <c r="CP2675" s="1070"/>
      <c r="CQ2675" s="1070"/>
      <c r="CR2675" s="1070"/>
      <c r="CS2675" s="1070"/>
      <c r="CT2675" s="1070"/>
      <c r="CU2675" s="1070"/>
      <c r="CV2675" s="1070"/>
      <c r="CW2675" s="1070"/>
      <c r="CX2675" s="1070"/>
      <c r="CY2675" s="1070"/>
      <c r="CZ2675" s="1070"/>
      <c r="DA2675" s="1070"/>
      <c r="DB2675" s="1070"/>
      <c r="DC2675" s="1070"/>
      <c r="DD2675" s="1070"/>
      <c r="DE2675" s="1070"/>
      <c r="DF2675" s="1070"/>
      <c r="DG2675" s="1070"/>
      <c r="DH2675" s="1070"/>
      <c r="DI2675" s="1070"/>
      <c r="DJ2675" s="1070"/>
    </row>
    <row r="2676" spans="1:114" s="1136" customFormat="1" ht="15.75" x14ac:dyDescent="0.25">
      <c r="A2676" s="1430" t="s">
        <v>425</v>
      </c>
      <c r="B2676" s="1423">
        <f>INDEX($Q$3631:$T$3643,B2678,B2680)</f>
        <v>15.6</v>
      </c>
      <c r="C2676" s="1429"/>
      <c r="D2676" s="1470"/>
      <c r="E2676" s="1470"/>
      <c r="F2676" s="1470"/>
      <c r="G2676" s="1470"/>
      <c r="H2676" s="1350"/>
      <c r="I2676" s="1350"/>
      <c r="J2676" s="1350"/>
      <c r="K2676" s="1350"/>
      <c r="L2676" s="1350"/>
      <c r="M2676" s="1350"/>
      <c r="N2676" s="1350"/>
      <c r="O2676" s="1350"/>
      <c r="P2676" s="1350"/>
      <c r="Q2676" s="1350"/>
      <c r="R2676" s="1350"/>
      <c r="S2676" s="1350"/>
      <c r="T2676" s="1350"/>
      <c r="U2676" s="1350"/>
      <c r="V2676" s="1350"/>
      <c r="W2676" s="1350"/>
      <c r="X2676" s="1350"/>
      <c r="Y2676" s="1350"/>
      <c r="Z2676" s="1350"/>
      <c r="AA2676" s="1350"/>
      <c r="AB2676" s="1350"/>
      <c r="AC2676" s="1350"/>
      <c r="AD2676" s="1350"/>
      <c r="AE2676" s="1350"/>
      <c r="AF2676" s="1350"/>
      <c r="AG2676" s="1350"/>
      <c r="AH2676" s="1350"/>
      <c r="AI2676" s="1350"/>
      <c r="AJ2676" s="1350"/>
      <c r="AK2676" s="1350"/>
      <c r="AL2676" s="1350"/>
      <c r="AM2676" s="1350"/>
      <c r="AN2676" s="1350"/>
      <c r="AO2676" s="1350"/>
      <c r="AP2676" s="1350"/>
      <c r="AQ2676" s="1350"/>
      <c r="AR2676" s="1350"/>
      <c r="AS2676" s="1350"/>
      <c r="AT2676" s="1350"/>
      <c r="AU2676" s="1350"/>
      <c r="AV2676" s="1350"/>
      <c r="AW2676" s="1350"/>
      <c r="AX2676" s="1350"/>
      <c r="AY2676" s="1350"/>
      <c r="AZ2676" s="1350"/>
      <c r="BA2676" s="1070"/>
      <c r="BB2676" s="1070"/>
      <c r="BC2676" s="1070"/>
      <c r="BD2676" s="1070"/>
      <c r="BE2676" s="1070"/>
      <c r="BF2676" s="1070"/>
      <c r="BG2676" s="1070"/>
      <c r="BH2676" s="1070"/>
      <c r="BI2676" s="1070"/>
      <c r="BJ2676" s="1070"/>
      <c r="BK2676" s="1070"/>
      <c r="BL2676" s="1070"/>
      <c r="BM2676" s="1070"/>
      <c r="BN2676" s="1070"/>
      <c r="BO2676" s="1070"/>
      <c r="BP2676" s="1070"/>
      <c r="BQ2676" s="1070"/>
      <c r="BR2676" s="1070"/>
      <c r="BS2676" s="1070"/>
      <c r="BT2676" s="1070"/>
      <c r="BU2676" s="1070"/>
      <c r="BV2676" s="1070"/>
      <c r="BW2676" s="1070"/>
      <c r="BX2676" s="1070"/>
      <c r="BY2676" s="1070"/>
      <c r="BZ2676" s="1070"/>
      <c r="CA2676" s="1070"/>
      <c r="CB2676" s="1070"/>
      <c r="CC2676" s="1070"/>
      <c r="CD2676" s="1070"/>
      <c r="CE2676" s="1070"/>
      <c r="CF2676" s="1070"/>
      <c r="CG2676" s="1070"/>
      <c r="CH2676" s="1070"/>
      <c r="CI2676" s="1070"/>
      <c r="CJ2676" s="1070"/>
      <c r="CK2676" s="1070"/>
      <c r="CL2676" s="1070"/>
      <c r="CM2676" s="1070"/>
      <c r="CN2676" s="1070"/>
      <c r="CO2676" s="1070"/>
      <c r="CP2676" s="1070"/>
      <c r="CQ2676" s="1070"/>
      <c r="CR2676" s="1070"/>
      <c r="CS2676" s="1070"/>
      <c r="CT2676" s="1070"/>
      <c r="CU2676" s="1070"/>
      <c r="CV2676" s="1070"/>
      <c r="CW2676" s="1070"/>
      <c r="CX2676" s="1070"/>
      <c r="CY2676" s="1070"/>
      <c r="CZ2676" s="1070"/>
      <c r="DA2676" s="1070"/>
      <c r="DB2676" s="1070"/>
      <c r="DC2676" s="1070"/>
      <c r="DD2676" s="1070"/>
      <c r="DE2676" s="1070"/>
      <c r="DF2676" s="1070"/>
      <c r="DG2676" s="1070"/>
      <c r="DH2676" s="1070"/>
      <c r="DI2676" s="1070"/>
      <c r="DJ2676" s="1070"/>
    </row>
    <row r="2677" spans="1:114" s="1136" customFormat="1" ht="15.75" x14ac:dyDescent="0.25">
      <c r="A2677" s="1456" t="s">
        <v>1719</v>
      </c>
      <c r="B2677" s="1479"/>
      <c r="C2677" s="1458"/>
      <c r="D2677" s="1434"/>
      <c r="E2677" s="1434"/>
      <c r="F2677" s="1434"/>
      <c r="G2677" s="1434"/>
      <c r="H2677" s="1350"/>
      <c r="I2677" s="1350"/>
      <c r="J2677" s="1350"/>
      <c r="K2677" s="1350"/>
      <c r="L2677" s="1350"/>
      <c r="M2677" s="1350"/>
      <c r="N2677" s="1350"/>
      <c r="O2677" s="1350"/>
      <c r="P2677" s="1350"/>
      <c r="Q2677" s="1350"/>
      <c r="R2677" s="1350"/>
      <c r="S2677" s="1350"/>
      <c r="T2677" s="1350"/>
      <c r="U2677" s="1350"/>
      <c r="V2677" s="1350"/>
      <c r="W2677" s="1350"/>
      <c r="X2677" s="1350"/>
      <c r="Y2677" s="1350"/>
      <c r="Z2677" s="1350"/>
      <c r="AA2677" s="1350"/>
      <c r="AB2677" s="1350"/>
      <c r="AC2677" s="1350"/>
      <c r="AD2677" s="1350"/>
      <c r="AE2677" s="1350"/>
      <c r="AF2677" s="1350"/>
      <c r="AG2677" s="1350"/>
      <c r="AH2677" s="1350"/>
      <c r="AI2677" s="1350"/>
      <c r="AJ2677" s="1350"/>
      <c r="AK2677" s="1350"/>
      <c r="AL2677" s="1350"/>
      <c r="AM2677" s="1350"/>
      <c r="AN2677" s="1350"/>
      <c r="AO2677" s="1350"/>
      <c r="AP2677" s="1350"/>
      <c r="AQ2677" s="1350"/>
      <c r="AR2677" s="1350"/>
      <c r="AS2677" s="1350"/>
      <c r="AT2677" s="1350"/>
      <c r="AU2677" s="1350"/>
      <c r="AV2677" s="1350"/>
      <c r="AW2677" s="1350"/>
      <c r="AX2677" s="1350"/>
      <c r="AY2677" s="1350"/>
      <c r="AZ2677" s="1350"/>
      <c r="BA2677" s="1070"/>
      <c r="BB2677" s="1070"/>
      <c r="BC2677" s="1070"/>
      <c r="BD2677" s="1070"/>
      <c r="BE2677" s="1070"/>
      <c r="BF2677" s="1070"/>
      <c r="BG2677" s="1070"/>
      <c r="BH2677" s="1070"/>
      <c r="BI2677" s="1070"/>
      <c r="BJ2677" s="1070"/>
      <c r="BK2677" s="1070"/>
      <c r="BL2677" s="1070"/>
      <c r="BM2677" s="1070"/>
      <c r="BN2677" s="1070"/>
      <c r="BO2677" s="1070"/>
      <c r="BP2677" s="1070"/>
      <c r="BQ2677" s="1070"/>
      <c r="BR2677" s="1070"/>
      <c r="BS2677" s="1070"/>
      <c r="BT2677" s="1070"/>
      <c r="BU2677" s="1070"/>
      <c r="BV2677" s="1070"/>
      <c r="BW2677" s="1070"/>
      <c r="BX2677" s="1070"/>
      <c r="BY2677" s="1070"/>
      <c r="BZ2677" s="1070"/>
      <c r="CA2677" s="1070"/>
      <c r="CB2677" s="1070"/>
      <c r="CC2677" s="1070"/>
      <c r="CD2677" s="1070"/>
      <c r="CE2677" s="1070"/>
      <c r="CF2677" s="1070"/>
      <c r="CG2677" s="1070"/>
      <c r="CH2677" s="1070"/>
      <c r="CI2677" s="1070"/>
      <c r="CJ2677" s="1070"/>
      <c r="CK2677" s="1070"/>
      <c r="CL2677" s="1070"/>
      <c r="CM2677" s="1070"/>
      <c r="CN2677" s="1070"/>
      <c r="CO2677" s="1070"/>
      <c r="CP2677" s="1070"/>
      <c r="CQ2677" s="1070"/>
      <c r="CR2677" s="1070"/>
      <c r="CS2677" s="1070"/>
      <c r="CT2677" s="1070"/>
      <c r="CU2677" s="1070"/>
      <c r="CV2677" s="1070"/>
      <c r="CW2677" s="1070"/>
      <c r="CX2677" s="1070"/>
      <c r="CY2677" s="1070"/>
      <c r="CZ2677" s="1070"/>
      <c r="DA2677" s="1070"/>
      <c r="DB2677" s="1070"/>
      <c r="DC2677" s="1070"/>
      <c r="DD2677" s="1070"/>
      <c r="DE2677" s="1070"/>
      <c r="DF2677" s="1070"/>
      <c r="DG2677" s="1070"/>
      <c r="DH2677" s="1070"/>
      <c r="DI2677" s="1070"/>
      <c r="DJ2677" s="1070"/>
    </row>
    <row r="2678" spans="1:114" s="1136" customFormat="1" ht="15.75" x14ac:dyDescent="0.25">
      <c r="A2678" s="1430" t="s">
        <v>199</v>
      </c>
      <c r="B2678" s="1431">
        <f>IF(B240&lt;0.51,1,IF(B240&lt;0.61,2,IF(B240&lt;0.71,3,IF(B240&lt;0.81,4,IF(B240&lt;0.91,5,IF(B240&lt;1.01,6,IF(B240&lt;1.11,7,B2679)))))))</f>
        <v>13</v>
      </c>
      <c r="C2678" s="1434"/>
      <c r="D2678" s="1432"/>
      <c r="E2678" s="1432"/>
      <c r="F2678" s="1432"/>
      <c r="G2678" s="1432"/>
      <c r="H2678" s="1350"/>
      <c r="I2678" s="1350"/>
      <c r="J2678" s="1350"/>
      <c r="K2678" s="1350"/>
      <c r="L2678" s="1350"/>
      <c r="M2678" s="1350"/>
      <c r="N2678" s="1350"/>
      <c r="O2678" s="1350"/>
      <c r="P2678" s="1350"/>
      <c r="Q2678" s="1350"/>
      <c r="R2678" s="1350"/>
      <c r="S2678" s="1350"/>
      <c r="T2678" s="1350"/>
      <c r="U2678" s="1350"/>
      <c r="V2678" s="1350"/>
      <c r="W2678" s="1350"/>
      <c r="X2678" s="1350"/>
      <c r="Y2678" s="1350"/>
      <c r="Z2678" s="1350"/>
      <c r="AA2678" s="1350"/>
      <c r="AB2678" s="1350"/>
      <c r="AC2678" s="1350"/>
      <c r="AD2678" s="1350"/>
      <c r="AE2678" s="1350"/>
      <c r="AF2678" s="1350"/>
      <c r="AG2678" s="1350"/>
      <c r="AH2678" s="1350"/>
      <c r="AI2678" s="1350"/>
      <c r="AJ2678" s="1350"/>
      <c r="AK2678" s="1350"/>
      <c r="AL2678" s="1350"/>
      <c r="AM2678" s="1350"/>
      <c r="AN2678" s="1350"/>
      <c r="AO2678" s="1350"/>
      <c r="AP2678" s="1350"/>
      <c r="AQ2678" s="1350"/>
      <c r="AR2678" s="1350"/>
      <c r="AS2678" s="1350"/>
      <c r="AT2678" s="1350"/>
      <c r="AU2678" s="1350"/>
      <c r="AV2678" s="1350"/>
      <c r="AW2678" s="1350"/>
      <c r="AX2678" s="1350"/>
      <c r="AY2678" s="1350"/>
      <c r="AZ2678" s="1350"/>
      <c r="BA2678" s="1070"/>
      <c r="BB2678" s="1070"/>
      <c r="BC2678" s="1070"/>
      <c r="BD2678" s="1070"/>
      <c r="BE2678" s="1070"/>
      <c r="BF2678" s="1070"/>
      <c r="BG2678" s="1070"/>
      <c r="BH2678" s="1070"/>
      <c r="BI2678" s="1070"/>
      <c r="BJ2678" s="1070"/>
      <c r="BK2678" s="1070"/>
      <c r="BL2678" s="1070"/>
      <c r="BM2678" s="1070"/>
      <c r="BN2678" s="1070"/>
      <c r="BO2678" s="1070"/>
      <c r="BP2678" s="1070"/>
      <c r="BQ2678" s="1070"/>
      <c r="BR2678" s="1070"/>
      <c r="BS2678" s="1070"/>
      <c r="BT2678" s="1070"/>
      <c r="BU2678" s="1070"/>
      <c r="BV2678" s="1070"/>
      <c r="BW2678" s="1070"/>
      <c r="BX2678" s="1070"/>
      <c r="BY2678" s="1070"/>
      <c r="BZ2678" s="1070"/>
      <c r="CA2678" s="1070"/>
      <c r="CB2678" s="1070"/>
      <c r="CC2678" s="1070"/>
      <c r="CD2678" s="1070"/>
      <c r="CE2678" s="1070"/>
      <c r="CF2678" s="1070"/>
      <c r="CG2678" s="1070"/>
      <c r="CH2678" s="1070"/>
      <c r="CI2678" s="1070"/>
      <c r="CJ2678" s="1070"/>
      <c r="CK2678" s="1070"/>
      <c r="CL2678" s="1070"/>
      <c r="CM2678" s="1070"/>
      <c r="CN2678" s="1070"/>
      <c r="CO2678" s="1070"/>
      <c r="CP2678" s="1070"/>
      <c r="CQ2678" s="1070"/>
      <c r="CR2678" s="1070"/>
      <c r="CS2678" s="1070"/>
      <c r="CT2678" s="1070"/>
      <c r="CU2678" s="1070"/>
      <c r="CV2678" s="1070"/>
      <c r="CW2678" s="1070"/>
      <c r="CX2678" s="1070"/>
      <c r="CY2678" s="1070"/>
      <c r="CZ2678" s="1070"/>
      <c r="DA2678" s="1070"/>
      <c r="DB2678" s="1070"/>
      <c r="DC2678" s="1070"/>
      <c r="DD2678" s="1070"/>
      <c r="DE2678" s="1070"/>
      <c r="DF2678" s="1070"/>
      <c r="DG2678" s="1070"/>
      <c r="DH2678" s="1070"/>
      <c r="DI2678" s="1070"/>
      <c r="DJ2678" s="1070"/>
    </row>
    <row r="2679" spans="1:114" s="1136" customFormat="1" ht="15.75" x14ac:dyDescent="0.25">
      <c r="A2679" s="1456" t="s">
        <v>200</v>
      </c>
      <c r="B2679" s="1431">
        <f>IF(B240&lt;1.26,8,IF(B240&lt;1.41,9,IF(B240&lt;1.61,10,IF(B240&lt;1.81,11,IF(B240&lt;2.01,12,13)))))</f>
        <v>13</v>
      </c>
      <c r="C2679" s="1434"/>
      <c r="D2679" s="1350"/>
      <c r="E2679" s="1350"/>
      <c r="F2679" s="1350"/>
      <c r="G2679" s="1350"/>
      <c r="H2679" s="1350"/>
      <c r="I2679" s="1350"/>
      <c r="J2679" s="1350"/>
      <c r="K2679" s="1350"/>
      <c r="L2679" s="1350"/>
      <c r="M2679" s="1350"/>
      <c r="N2679" s="1350"/>
      <c r="O2679" s="1350"/>
      <c r="P2679" s="1350"/>
      <c r="Q2679" s="1350"/>
      <c r="R2679" s="1350"/>
      <c r="S2679" s="1350"/>
      <c r="T2679" s="1350"/>
      <c r="U2679" s="1350"/>
      <c r="V2679" s="1350"/>
      <c r="W2679" s="1350"/>
      <c r="X2679" s="1350"/>
      <c r="Y2679" s="1350"/>
      <c r="Z2679" s="1350"/>
      <c r="AA2679" s="1350"/>
      <c r="AB2679" s="1350"/>
      <c r="AC2679" s="1350"/>
      <c r="AD2679" s="1350"/>
      <c r="AE2679" s="1350"/>
      <c r="AF2679" s="1350"/>
      <c r="AG2679" s="1350"/>
      <c r="AH2679" s="1350"/>
      <c r="AI2679" s="1350"/>
      <c r="AJ2679" s="1350"/>
      <c r="AK2679" s="1350"/>
      <c r="AL2679" s="1350"/>
      <c r="AM2679" s="1350"/>
      <c r="AN2679" s="1350"/>
      <c r="AO2679" s="1350"/>
      <c r="AP2679" s="1350"/>
      <c r="AQ2679" s="1350"/>
      <c r="AR2679" s="1350"/>
      <c r="AS2679" s="1350"/>
      <c r="AT2679" s="1350"/>
      <c r="AU2679" s="1350"/>
      <c r="AV2679" s="1350"/>
      <c r="AW2679" s="1350"/>
      <c r="AX2679" s="1350"/>
      <c r="AY2679" s="1350"/>
      <c r="AZ2679" s="1350"/>
      <c r="BA2679" s="1070"/>
      <c r="BB2679" s="1070"/>
      <c r="BC2679" s="1070"/>
      <c r="BD2679" s="1070"/>
      <c r="BE2679" s="1070"/>
      <c r="BF2679" s="1070"/>
      <c r="BG2679" s="1070"/>
      <c r="BH2679" s="1070"/>
      <c r="BI2679" s="1070"/>
      <c r="BJ2679" s="1070"/>
      <c r="BK2679" s="1070"/>
      <c r="BL2679" s="1070"/>
      <c r="BM2679" s="1070"/>
      <c r="BN2679" s="1070"/>
      <c r="BO2679" s="1070"/>
      <c r="BP2679" s="1070"/>
      <c r="BQ2679" s="1070"/>
      <c r="BR2679" s="1070"/>
      <c r="BS2679" s="1070"/>
      <c r="BT2679" s="1070"/>
      <c r="BU2679" s="1070"/>
      <c r="BV2679" s="1070"/>
      <c r="BW2679" s="1070"/>
      <c r="BX2679" s="1070"/>
      <c r="BY2679" s="1070"/>
      <c r="BZ2679" s="1070"/>
      <c r="CA2679" s="1070"/>
      <c r="CB2679" s="1070"/>
      <c r="CC2679" s="1070"/>
      <c r="CD2679" s="1070"/>
      <c r="CE2679" s="1070"/>
      <c r="CF2679" s="1070"/>
      <c r="CG2679" s="1070"/>
      <c r="CH2679" s="1070"/>
      <c r="CI2679" s="1070"/>
      <c r="CJ2679" s="1070"/>
      <c r="CK2679" s="1070"/>
      <c r="CL2679" s="1070"/>
      <c r="CM2679" s="1070"/>
      <c r="CN2679" s="1070"/>
      <c r="CO2679" s="1070"/>
      <c r="CP2679" s="1070"/>
      <c r="CQ2679" s="1070"/>
      <c r="CR2679" s="1070"/>
      <c r="CS2679" s="1070"/>
      <c r="CT2679" s="1070"/>
      <c r="CU2679" s="1070"/>
      <c r="CV2679" s="1070"/>
      <c r="CW2679" s="1070"/>
      <c r="CX2679" s="1070"/>
      <c r="CY2679" s="1070"/>
      <c r="CZ2679" s="1070"/>
      <c r="DA2679" s="1070"/>
      <c r="DB2679" s="1070"/>
      <c r="DC2679" s="1070"/>
      <c r="DD2679" s="1070"/>
      <c r="DE2679" s="1070"/>
      <c r="DF2679" s="1070"/>
      <c r="DG2679" s="1070"/>
      <c r="DH2679" s="1070"/>
      <c r="DI2679" s="1070"/>
      <c r="DJ2679" s="1070"/>
    </row>
    <row r="2680" spans="1:114" s="1136" customFormat="1" ht="15.75" x14ac:dyDescent="0.25">
      <c r="A2680" s="1430" t="s">
        <v>201</v>
      </c>
      <c r="B2680" s="1431">
        <f>IF(B251&lt;21,1,IF(B251&lt;36,2,IF(B253&lt;56,3,4)))</f>
        <v>1</v>
      </c>
      <c r="C2680" s="1434"/>
      <c r="D2680" s="1350"/>
      <c r="E2680" s="1350"/>
      <c r="F2680" s="1350"/>
      <c r="G2680" s="1350"/>
      <c r="H2680" s="1350"/>
      <c r="I2680" s="1350"/>
      <c r="J2680" s="1350"/>
      <c r="K2680" s="1350"/>
      <c r="L2680" s="1350"/>
      <c r="M2680" s="1350"/>
      <c r="N2680" s="1350"/>
      <c r="O2680" s="1350"/>
      <c r="P2680" s="1350"/>
      <c r="Q2680" s="1350"/>
      <c r="R2680" s="1350"/>
      <c r="S2680" s="1350"/>
      <c r="T2680" s="1350"/>
      <c r="U2680" s="1350"/>
      <c r="V2680" s="1350"/>
      <c r="W2680" s="1350"/>
      <c r="X2680" s="1350"/>
      <c r="Y2680" s="1350"/>
      <c r="Z2680" s="1350"/>
      <c r="AA2680" s="1350"/>
      <c r="AB2680" s="1350"/>
      <c r="AC2680" s="1350"/>
      <c r="AD2680" s="1350"/>
      <c r="AE2680" s="1350"/>
      <c r="AF2680" s="1350"/>
      <c r="AG2680" s="1350"/>
      <c r="AH2680" s="1350"/>
      <c r="AI2680" s="1350"/>
      <c r="AJ2680" s="1350"/>
      <c r="AK2680" s="1350"/>
      <c r="AL2680" s="1350"/>
      <c r="AM2680" s="1350"/>
      <c r="AN2680" s="1350"/>
      <c r="AO2680" s="1350"/>
      <c r="AP2680" s="1350"/>
      <c r="AQ2680" s="1350"/>
      <c r="AR2680" s="1350"/>
      <c r="AS2680" s="1350"/>
      <c r="AT2680" s="1350"/>
      <c r="AU2680" s="1350"/>
      <c r="AV2680" s="1350"/>
      <c r="AW2680" s="1350"/>
      <c r="AX2680" s="1350"/>
      <c r="AY2680" s="1350"/>
      <c r="AZ2680" s="1350"/>
      <c r="BA2680" s="1070"/>
      <c r="BB2680" s="1070"/>
      <c r="BC2680" s="1070"/>
      <c r="BD2680" s="1070"/>
      <c r="BE2680" s="1070"/>
      <c r="BF2680" s="1070"/>
      <c r="BG2680" s="1070"/>
      <c r="BH2680" s="1070"/>
      <c r="BI2680" s="1070"/>
      <c r="BJ2680" s="1070"/>
      <c r="BK2680" s="1070"/>
      <c r="BL2680" s="1070"/>
      <c r="BM2680" s="1070"/>
      <c r="BN2680" s="1070"/>
      <c r="BO2680" s="1070"/>
      <c r="BP2680" s="1070"/>
      <c r="BQ2680" s="1070"/>
      <c r="BR2680" s="1070"/>
      <c r="BS2680" s="1070"/>
      <c r="BT2680" s="1070"/>
      <c r="BU2680" s="1070"/>
      <c r="BV2680" s="1070"/>
      <c r="BW2680" s="1070"/>
      <c r="BX2680" s="1070"/>
      <c r="BY2680" s="1070"/>
      <c r="BZ2680" s="1070"/>
      <c r="CA2680" s="1070"/>
      <c r="CB2680" s="1070"/>
      <c r="CC2680" s="1070"/>
      <c r="CD2680" s="1070"/>
      <c r="CE2680" s="1070"/>
      <c r="CF2680" s="1070"/>
      <c r="CG2680" s="1070"/>
      <c r="CH2680" s="1070"/>
      <c r="CI2680" s="1070"/>
      <c r="CJ2680" s="1070"/>
      <c r="CK2680" s="1070"/>
      <c r="CL2680" s="1070"/>
      <c r="CM2680" s="1070"/>
      <c r="CN2680" s="1070"/>
      <c r="CO2680" s="1070"/>
      <c r="CP2680" s="1070"/>
      <c r="CQ2680" s="1070"/>
      <c r="CR2680" s="1070"/>
      <c r="CS2680" s="1070"/>
      <c r="CT2680" s="1070"/>
      <c r="CU2680" s="1070"/>
      <c r="CV2680" s="1070"/>
      <c r="CW2680" s="1070"/>
      <c r="CX2680" s="1070"/>
      <c r="CY2680" s="1070"/>
      <c r="CZ2680" s="1070"/>
      <c r="DA2680" s="1070"/>
      <c r="DB2680" s="1070"/>
      <c r="DC2680" s="1070"/>
      <c r="DD2680" s="1070"/>
      <c r="DE2680" s="1070"/>
      <c r="DF2680" s="1070"/>
      <c r="DG2680" s="1070"/>
      <c r="DH2680" s="1070"/>
      <c r="DI2680" s="1070"/>
      <c r="DJ2680" s="1070"/>
    </row>
    <row r="2681" spans="1:114" s="1136" customFormat="1" ht="15.75" x14ac:dyDescent="0.25">
      <c r="A2681" s="1430" t="s">
        <v>3391</v>
      </c>
      <c r="B2681" s="1479"/>
      <c r="C2681" s="1458"/>
      <c r="D2681" s="1458"/>
      <c r="E2681" s="1458"/>
      <c r="F2681" s="1458"/>
      <c r="G2681" s="1458"/>
      <c r="H2681" s="1350"/>
      <c r="I2681" s="1350"/>
      <c r="J2681" s="1350"/>
      <c r="K2681" s="1350"/>
      <c r="L2681" s="1350"/>
      <c r="M2681" s="1350"/>
      <c r="N2681" s="1350"/>
      <c r="O2681" s="1350"/>
      <c r="P2681" s="1350"/>
      <c r="Q2681" s="1350"/>
      <c r="R2681" s="1350"/>
      <c r="S2681" s="1350"/>
      <c r="T2681" s="1350"/>
      <c r="U2681" s="1350"/>
      <c r="V2681" s="1350"/>
      <c r="W2681" s="1350"/>
      <c r="X2681" s="1350"/>
      <c r="Y2681" s="1350"/>
      <c r="Z2681" s="1350"/>
      <c r="AA2681" s="1350"/>
      <c r="AB2681" s="1350"/>
      <c r="AC2681" s="1350"/>
      <c r="AD2681" s="1350"/>
      <c r="AE2681" s="1350"/>
      <c r="AF2681" s="1350"/>
      <c r="AG2681" s="1350"/>
      <c r="AH2681" s="1350"/>
      <c r="AI2681" s="1350"/>
      <c r="AJ2681" s="1350"/>
      <c r="AK2681" s="1350"/>
      <c r="AL2681" s="1350"/>
      <c r="AM2681" s="1350"/>
      <c r="AN2681" s="1350"/>
      <c r="AO2681" s="1350"/>
      <c r="AP2681" s="1350"/>
      <c r="AQ2681" s="1350"/>
      <c r="AR2681" s="1350"/>
      <c r="AS2681" s="1350"/>
      <c r="AT2681" s="1350"/>
      <c r="AU2681" s="1350"/>
      <c r="AV2681" s="1350"/>
      <c r="AW2681" s="1350"/>
      <c r="AX2681" s="1350"/>
      <c r="AY2681" s="1350"/>
      <c r="AZ2681" s="1350"/>
      <c r="BA2681" s="1070"/>
      <c r="BB2681" s="1070"/>
      <c r="BC2681" s="1070"/>
      <c r="BD2681" s="1070"/>
      <c r="BE2681" s="1070"/>
      <c r="BF2681" s="1070"/>
      <c r="BG2681" s="1070"/>
      <c r="BH2681" s="1070"/>
      <c r="BI2681" s="1070"/>
      <c r="BJ2681" s="1070"/>
      <c r="BK2681" s="1070"/>
      <c r="BL2681" s="1070"/>
      <c r="BM2681" s="1070"/>
      <c r="BN2681" s="1070"/>
      <c r="BO2681" s="1070"/>
      <c r="BP2681" s="1070"/>
      <c r="BQ2681" s="1070"/>
      <c r="BR2681" s="1070"/>
      <c r="BS2681" s="1070"/>
      <c r="BT2681" s="1070"/>
      <c r="BU2681" s="1070"/>
      <c r="BV2681" s="1070"/>
      <c r="BW2681" s="1070"/>
      <c r="BX2681" s="1070"/>
      <c r="BY2681" s="1070"/>
      <c r="BZ2681" s="1070"/>
      <c r="CA2681" s="1070"/>
      <c r="CB2681" s="1070"/>
      <c r="CC2681" s="1070"/>
      <c r="CD2681" s="1070"/>
      <c r="CE2681" s="1070"/>
      <c r="CF2681" s="1070"/>
      <c r="CG2681" s="1070"/>
      <c r="CH2681" s="1070"/>
      <c r="CI2681" s="1070"/>
      <c r="CJ2681" s="1070"/>
      <c r="CK2681" s="1070"/>
      <c r="CL2681" s="1070"/>
      <c r="CM2681" s="1070"/>
      <c r="CN2681" s="1070"/>
      <c r="CO2681" s="1070"/>
      <c r="CP2681" s="1070"/>
      <c r="CQ2681" s="1070"/>
      <c r="CR2681" s="1070"/>
      <c r="CS2681" s="1070"/>
      <c r="CT2681" s="1070"/>
      <c r="CU2681" s="1070"/>
      <c r="CV2681" s="1070"/>
      <c r="CW2681" s="1070"/>
      <c r="CX2681" s="1070"/>
      <c r="CY2681" s="1070"/>
      <c r="CZ2681" s="1070"/>
      <c r="DA2681" s="1070"/>
      <c r="DB2681" s="1070"/>
      <c r="DC2681" s="1070"/>
      <c r="DD2681" s="1070"/>
      <c r="DE2681" s="1070"/>
      <c r="DF2681" s="1070"/>
      <c r="DG2681" s="1070"/>
      <c r="DH2681" s="1070"/>
      <c r="DI2681" s="1070"/>
      <c r="DJ2681" s="1070"/>
    </row>
    <row r="2682" spans="1:114" s="1136" customFormat="1" ht="31.5" x14ac:dyDescent="0.25">
      <c r="A2682" s="1420" t="s">
        <v>1724</v>
      </c>
      <c r="B2682" s="1451">
        <f>B2443</f>
        <v>0</v>
      </c>
      <c r="C2682" s="1434"/>
      <c r="D2682" s="1437"/>
      <c r="E2682" s="1437"/>
      <c r="F2682" s="1437"/>
      <c r="G2682" s="1437"/>
      <c r="H2682" s="1350"/>
      <c r="I2682" s="1350"/>
      <c r="J2682" s="1350"/>
      <c r="K2682" s="1350"/>
      <c r="L2682" s="1350"/>
      <c r="M2682" s="1350"/>
      <c r="N2682" s="1350"/>
      <c r="O2682" s="1350"/>
      <c r="P2682" s="1350"/>
      <c r="Q2682" s="1350"/>
      <c r="R2682" s="1350"/>
      <c r="S2682" s="1350"/>
      <c r="T2682" s="1350"/>
      <c r="U2682" s="1350"/>
      <c r="V2682" s="1350"/>
      <c r="W2682" s="1350"/>
      <c r="X2682" s="1350"/>
      <c r="Y2682" s="1350"/>
      <c r="Z2682" s="1350"/>
      <c r="AA2682" s="1350"/>
      <c r="AB2682" s="1350"/>
      <c r="AC2682" s="1350"/>
      <c r="AD2682" s="1350"/>
      <c r="AE2682" s="1350"/>
      <c r="AF2682" s="1350"/>
      <c r="AG2682" s="1350"/>
      <c r="AH2682" s="1350"/>
      <c r="AI2682" s="1350"/>
      <c r="AJ2682" s="1350"/>
      <c r="AK2682" s="1350"/>
      <c r="AL2682" s="1350"/>
      <c r="AM2682" s="1350"/>
      <c r="AN2682" s="1350"/>
      <c r="AO2682" s="1350"/>
      <c r="AP2682" s="1350"/>
      <c r="AQ2682" s="1350"/>
      <c r="AR2682" s="1350"/>
      <c r="AS2682" s="1350"/>
      <c r="AT2682" s="1350"/>
      <c r="AU2682" s="1350"/>
      <c r="AV2682" s="1350"/>
      <c r="AW2682" s="1350"/>
      <c r="AX2682" s="1350"/>
      <c r="AY2682" s="1350"/>
      <c r="AZ2682" s="1350"/>
      <c r="BA2682" s="1070"/>
      <c r="BB2682" s="1070"/>
      <c r="BC2682" s="1070"/>
      <c r="BD2682" s="1070"/>
      <c r="BE2682" s="1070"/>
      <c r="BF2682" s="1070"/>
      <c r="BG2682" s="1070"/>
      <c r="BH2682" s="1070"/>
      <c r="BI2682" s="1070"/>
      <c r="BJ2682" s="1070"/>
      <c r="BK2682" s="1070"/>
      <c r="BL2682" s="1070"/>
      <c r="BM2682" s="1070"/>
      <c r="BN2682" s="1070"/>
      <c r="BO2682" s="1070"/>
      <c r="BP2682" s="1070"/>
      <c r="BQ2682" s="1070"/>
      <c r="BR2682" s="1070"/>
      <c r="BS2682" s="1070"/>
      <c r="BT2682" s="1070"/>
      <c r="BU2682" s="1070"/>
      <c r="BV2682" s="1070"/>
      <c r="BW2682" s="1070"/>
      <c r="BX2682" s="1070"/>
      <c r="BY2682" s="1070"/>
      <c r="BZ2682" s="1070"/>
      <c r="CA2682" s="1070"/>
      <c r="CB2682" s="1070"/>
      <c r="CC2682" s="1070"/>
      <c r="CD2682" s="1070"/>
      <c r="CE2682" s="1070"/>
      <c r="CF2682" s="1070"/>
      <c r="CG2682" s="1070"/>
      <c r="CH2682" s="1070"/>
      <c r="CI2682" s="1070"/>
      <c r="CJ2682" s="1070"/>
      <c r="CK2682" s="1070"/>
      <c r="CL2682" s="1070"/>
      <c r="CM2682" s="1070"/>
      <c r="CN2682" s="1070"/>
      <c r="CO2682" s="1070"/>
      <c r="CP2682" s="1070"/>
      <c r="CQ2682" s="1070"/>
      <c r="CR2682" s="1070"/>
      <c r="CS2682" s="1070"/>
      <c r="CT2682" s="1070"/>
      <c r="CU2682" s="1070"/>
      <c r="CV2682" s="1070"/>
      <c r="CW2682" s="1070"/>
      <c r="CX2682" s="1070"/>
      <c r="CY2682" s="1070"/>
      <c r="CZ2682" s="1070"/>
      <c r="DA2682" s="1070"/>
      <c r="DB2682" s="1070"/>
      <c r="DC2682" s="1070"/>
      <c r="DD2682" s="1070"/>
      <c r="DE2682" s="1070"/>
      <c r="DF2682" s="1070"/>
      <c r="DG2682" s="1070"/>
      <c r="DH2682" s="1070"/>
      <c r="DI2682" s="1070"/>
      <c r="DJ2682" s="1070"/>
    </row>
    <row r="2683" spans="1:114" s="1136" customFormat="1" ht="15.75" x14ac:dyDescent="0.25">
      <c r="A2683" s="1420" t="s">
        <v>1725</v>
      </c>
      <c r="B2683" s="1443">
        <f>IF(B2682=1,1.15,1)</f>
        <v>1</v>
      </c>
      <c r="C2683" s="1437"/>
      <c r="D2683" s="1429"/>
      <c r="E2683" s="1429"/>
      <c r="F2683" s="1429"/>
      <c r="G2683" s="1429"/>
      <c r="H2683" s="1350"/>
      <c r="I2683" s="1350"/>
      <c r="J2683" s="1350"/>
      <c r="K2683" s="1350"/>
      <c r="L2683" s="1350"/>
      <c r="M2683" s="1350"/>
      <c r="N2683" s="1350"/>
      <c r="O2683" s="1350"/>
      <c r="P2683" s="1350"/>
      <c r="Q2683" s="1350"/>
      <c r="R2683" s="1350"/>
      <c r="S2683" s="1350"/>
      <c r="T2683" s="1350"/>
      <c r="U2683" s="1350"/>
      <c r="V2683" s="1350"/>
      <c r="W2683" s="1350"/>
      <c r="X2683" s="1350"/>
      <c r="Y2683" s="1350"/>
      <c r="Z2683" s="1350"/>
      <c r="AA2683" s="1350"/>
      <c r="AB2683" s="1350"/>
      <c r="AC2683" s="1350"/>
      <c r="AD2683" s="1350"/>
      <c r="AE2683" s="1350"/>
      <c r="AF2683" s="1350"/>
      <c r="AG2683" s="1350"/>
      <c r="AH2683" s="1350"/>
      <c r="AI2683" s="1350"/>
      <c r="AJ2683" s="1350"/>
      <c r="AK2683" s="1350"/>
      <c r="AL2683" s="1350"/>
      <c r="AM2683" s="1350"/>
      <c r="AN2683" s="1350"/>
      <c r="AO2683" s="1350"/>
      <c r="AP2683" s="1350"/>
      <c r="AQ2683" s="1350"/>
      <c r="AR2683" s="1350"/>
      <c r="AS2683" s="1350"/>
      <c r="AT2683" s="1350"/>
      <c r="AU2683" s="1350"/>
      <c r="AV2683" s="1350"/>
      <c r="AW2683" s="1350"/>
      <c r="AX2683" s="1350"/>
      <c r="AY2683" s="1350"/>
      <c r="AZ2683" s="1350"/>
      <c r="BA2683" s="1070"/>
      <c r="BB2683" s="1070"/>
      <c r="BC2683" s="1070"/>
      <c r="BD2683" s="1070"/>
      <c r="BE2683" s="1070"/>
      <c r="BF2683" s="1070"/>
      <c r="BG2683" s="1070"/>
      <c r="BH2683" s="1070"/>
      <c r="BI2683" s="1070"/>
      <c r="BJ2683" s="1070"/>
      <c r="BK2683" s="1070"/>
      <c r="BL2683" s="1070"/>
      <c r="BM2683" s="1070"/>
      <c r="BN2683" s="1070"/>
      <c r="BO2683" s="1070"/>
      <c r="BP2683" s="1070"/>
      <c r="BQ2683" s="1070"/>
      <c r="BR2683" s="1070"/>
      <c r="BS2683" s="1070"/>
      <c r="BT2683" s="1070"/>
      <c r="BU2683" s="1070"/>
      <c r="BV2683" s="1070"/>
      <c r="BW2683" s="1070"/>
      <c r="BX2683" s="1070"/>
      <c r="BY2683" s="1070"/>
      <c r="BZ2683" s="1070"/>
      <c r="CA2683" s="1070"/>
      <c r="CB2683" s="1070"/>
      <c r="CC2683" s="1070"/>
      <c r="CD2683" s="1070"/>
      <c r="CE2683" s="1070"/>
      <c r="CF2683" s="1070"/>
      <c r="CG2683" s="1070"/>
      <c r="CH2683" s="1070"/>
      <c r="CI2683" s="1070"/>
      <c r="CJ2683" s="1070"/>
      <c r="CK2683" s="1070"/>
      <c r="CL2683" s="1070"/>
      <c r="CM2683" s="1070"/>
      <c r="CN2683" s="1070"/>
      <c r="CO2683" s="1070"/>
      <c r="CP2683" s="1070"/>
      <c r="CQ2683" s="1070"/>
      <c r="CR2683" s="1070"/>
      <c r="CS2683" s="1070"/>
      <c r="CT2683" s="1070"/>
      <c r="CU2683" s="1070"/>
      <c r="CV2683" s="1070"/>
      <c r="CW2683" s="1070"/>
      <c r="CX2683" s="1070"/>
      <c r="CY2683" s="1070"/>
      <c r="CZ2683" s="1070"/>
      <c r="DA2683" s="1070"/>
      <c r="DB2683" s="1070"/>
      <c r="DC2683" s="1070"/>
      <c r="DD2683" s="1070"/>
      <c r="DE2683" s="1070"/>
      <c r="DF2683" s="1070"/>
      <c r="DG2683" s="1070"/>
      <c r="DH2683" s="1070"/>
      <c r="DI2683" s="1070"/>
      <c r="DJ2683" s="1070"/>
    </row>
    <row r="2684" spans="1:114" s="1136" customFormat="1" ht="31.5" x14ac:dyDescent="0.25">
      <c r="A2684" s="1420" t="s">
        <v>5573</v>
      </c>
      <c r="B2684" s="1451">
        <f>B2445</f>
        <v>0</v>
      </c>
      <c r="C2684" s="1434"/>
      <c r="D2684" s="1350"/>
      <c r="E2684" s="1350"/>
      <c r="F2684" s="1350"/>
      <c r="G2684" s="1350"/>
      <c r="H2684" s="1350"/>
      <c r="I2684" s="1350"/>
      <c r="J2684" s="1350"/>
      <c r="K2684" s="1350"/>
      <c r="L2684" s="1350"/>
      <c r="M2684" s="1350"/>
      <c r="N2684" s="1350"/>
      <c r="O2684" s="1350"/>
      <c r="P2684" s="1350"/>
      <c r="Q2684" s="1350"/>
      <c r="R2684" s="1350"/>
      <c r="S2684" s="1350"/>
      <c r="T2684" s="1350"/>
      <c r="U2684" s="1350"/>
      <c r="V2684" s="1350"/>
      <c r="W2684" s="1350"/>
      <c r="X2684" s="1350"/>
      <c r="Y2684" s="1350"/>
      <c r="Z2684" s="1350"/>
      <c r="AA2684" s="1350"/>
      <c r="AB2684" s="1350"/>
      <c r="AC2684" s="1350"/>
      <c r="AD2684" s="1350"/>
      <c r="AE2684" s="1350"/>
      <c r="AF2684" s="1350"/>
      <c r="AG2684" s="1350"/>
      <c r="AH2684" s="1350"/>
      <c r="AI2684" s="1350"/>
      <c r="AJ2684" s="1350"/>
      <c r="AK2684" s="1350"/>
      <c r="AL2684" s="1350"/>
      <c r="AM2684" s="1350"/>
      <c r="AN2684" s="1350"/>
      <c r="AO2684" s="1350"/>
      <c r="AP2684" s="1350"/>
      <c r="AQ2684" s="1350"/>
      <c r="AR2684" s="1350"/>
      <c r="AS2684" s="1350"/>
      <c r="AT2684" s="1350"/>
      <c r="AU2684" s="1350"/>
      <c r="AV2684" s="1350"/>
      <c r="AW2684" s="1350"/>
      <c r="AX2684" s="1350"/>
      <c r="AY2684" s="1350"/>
      <c r="AZ2684" s="1350"/>
      <c r="BA2684" s="1070"/>
      <c r="BB2684" s="1070"/>
      <c r="BC2684" s="1070"/>
      <c r="BD2684" s="1070"/>
      <c r="BE2684" s="1070"/>
      <c r="BF2684" s="1070"/>
      <c r="BG2684" s="1070"/>
      <c r="BH2684" s="1070"/>
      <c r="BI2684" s="1070"/>
      <c r="BJ2684" s="1070"/>
      <c r="BK2684" s="1070"/>
      <c r="BL2684" s="1070"/>
      <c r="BM2684" s="1070"/>
      <c r="BN2684" s="1070"/>
      <c r="BO2684" s="1070"/>
      <c r="BP2684" s="1070"/>
      <c r="BQ2684" s="1070"/>
      <c r="BR2684" s="1070"/>
      <c r="BS2684" s="1070"/>
      <c r="BT2684" s="1070"/>
      <c r="BU2684" s="1070"/>
      <c r="BV2684" s="1070"/>
      <c r="BW2684" s="1070"/>
      <c r="BX2684" s="1070"/>
      <c r="BY2684" s="1070"/>
      <c r="BZ2684" s="1070"/>
      <c r="CA2684" s="1070"/>
      <c r="CB2684" s="1070"/>
      <c r="CC2684" s="1070"/>
      <c r="CD2684" s="1070"/>
      <c r="CE2684" s="1070"/>
      <c r="CF2684" s="1070"/>
      <c r="CG2684" s="1070"/>
      <c r="CH2684" s="1070"/>
      <c r="CI2684" s="1070"/>
      <c r="CJ2684" s="1070"/>
      <c r="CK2684" s="1070"/>
      <c r="CL2684" s="1070"/>
      <c r="CM2684" s="1070"/>
      <c r="CN2684" s="1070"/>
      <c r="CO2684" s="1070"/>
      <c r="CP2684" s="1070"/>
      <c r="CQ2684" s="1070"/>
      <c r="CR2684" s="1070"/>
      <c r="CS2684" s="1070"/>
      <c r="CT2684" s="1070"/>
      <c r="CU2684" s="1070"/>
      <c r="CV2684" s="1070"/>
      <c r="CW2684" s="1070"/>
      <c r="CX2684" s="1070"/>
      <c r="CY2684" s="1070"/>
      <c r="CZ2684" s="1070"/>
      <c r="DA2684" s="1070"/>
      <c r="DB2684" s="1070"/>
      <c r="DC2684" s="1070"/>
      <c r="DD2684" s="1070"/>
      <c r="DE2684" s="1070"/>
      <c r="DF2684" s="1070"/>
      <c r="DG2684" s="1070"/>
      <c r="DH2684" s="1070"/>
      <c r="DI2684" s="1070"/>
      <c r="DJ2684" s="1070"/>
    </row>
    <row r="2685" spans="1:114" s="1136" customFormat="1" ht="15.75" x14ac:dyDescent="0.25">
      <c r="A2685" s="1420" t="s">
        <v>2636</v>
      </c>
      <c r="B2685" s="1443">
        <f>IF(B2684=1,1.15,1)</f>
        <v>1</v>
      </c>
      <c r="C2685" s="1437"/>
      <c r="D2685" s="1434"/>
      <c r="E2685" s="1434"/>
      <c r="F2685" s="1434"/>
      <c r="G2685" s="1434"/>
      <c r="H2685" s="1350"/>
      <c r="I2685" s="1350"/>
      <c r="J2685" s="1350"/>
      <c r="K2685" s="1350"/>
      <c r="L2685" s="1350"/>
      <c r="M2685" s="1350"/>
      <c r="N2685" s="1350"/>
      <c r="O2685" s="1350"/>
      <c r="P2685" s="1350"/>
      <c r="Q2685" s="1350"/>
      <c r="R2685" s="1350"/>
      <c r="S2685" s="1350"/>
      <c r="T2685" s="1350"/>
      <c r="U2685" s="1350"/>
      <c r="V2685" s="1350"/>
      <c r="W2685" s="1350"/>
      <c r="X2685" s="1350"/>
      <c r="Y2685" s="1350"/>
      <c r="Z2685" s="1350"/>
      <c r="AA2685" s="1350"/>
      <c r="AB2685" s="1350"/>
      <c r="AC2685" s="1350"/>
      <c r="AD2685" s="1350"/>
      <c r="AE2685" s="1350"/>
      <c r="AF2685" s="1350"/>
      <c r="AG2685" s="1350"/>
      <c r="AH2685" s="1350"/>
      <c r="AI2685" s="1350"/>
      <c r="AJ2685" s="1350"/>
      <c r="AK2685" s="1350"/>
      <c r="AL2685" s="1350"/>
      <c r="AM2685" s="1350"/>
      <c r="AN2685" s="1350"/>
      <c r="AO2685" s="1350"/>
      <c r="AP2685" s="1350"/>
      <c r="AQ2685" s="1350"/>
      <c r="AR2685" s="1350"/>
      <c r="AS2685" s="1350"/>
      <c r="AT2685" s="1350"/>
      <c r="AU2685" s="1350"/>
      <c r="AV2685" s="1350"/>
      <c r="AW2685" s="1350"/>
      <c r="AX2685" s="1350"/>
      <c r="AY2685" s="1350"/>
      <c r="AZ2685" s="1350"/>
      <c r="BA2685" s="1070"/>
      <c r="BB2685" s="1070"/>
      <c r="BC2685" s="1070"/>
      <c r="BD2685" s="1070"/>
      <c r="BE2685" s="1070"/>
      <c r="BF2685" s="1070"/>
      <c r="BG2685" s="1070"/>
      <c r="BH2685" s="1070"/>
      <c r="BI2685" s="1070"/>
      <c r="BJ2685" s="1070"/>
      <c r="BK2685" s="1070"/>
      <c r="BL2685" s="1070"/>
      <c r="BM2685" s="1070"/>
      <c r="BN2685" s="1070"/>
      <c r="BO2685" s="1070"/>
      <c r="BP2685" s="1070"/>
      <c r="BQ2685" s="1070"/>
      <c r="BR2685" s="1070"/>
      <c r="BS2685" s="1070"/>
      <c r="BT2685" s="1070"/>
      <c r="BU2685" s="1070"/>
      <c r="BV2685" s="1070"/>
      <c r="BW2685" s="1070"/>
      <c r="BX2685" s="1070"/>
      <c r="BY2685" s="1070"/>
      <c r="BZ2685" s="1070"/>
      <c r="CA2685" s="1070"/>
      <c r="CB2685" s="1070"/>
      <c r="CC2685" s="1070"/>
      <c r="CD2685" s="1070"/>
      <c r="CE2685" s="1070"/>
      <c r="CF2685" s="1070"/>
      <c r="CG2685" s="1070"/>
      <c r="CH2685" s="1070"/>
      <c r="CI2685" s="1070"/>
      <c r="CJ2685" s="1070"/>
      <c r="CK2685" s="1070"/>
      <c r="CL2685" s="1070"/>
      <c r="CM2685" s="1070"/>
      <c r="CN2685" s="1070"/>
      <c r="CO2685" s="1070"/>
      <c r="CP2685" s="1070"/>
      <c r="CQ2685" s="1070"/>
      <c r="CR2685" s="1070"/>
      <c r="CS2685" s="1070"/>
      <c r="CT2685" s="1070"/>
      <c r="CU2685" s="1070"/>
      <c r="CV2685" s="1070"/>
      <c r="CW2685" s="1070"/>
      <c r="CX2685" s="1070"/>
      <c r="CY2685" s="1070"/>
      <c r="CZ2685" s="1070"/>
      <c r="DA2685" s="1070"/>
      <c r="DB2685" s="1070"/>
      <c r="DC2685" s="1070"/>
      <c r="DD2685" s="1070"/>
      <c r="DE2685" s="1070"/>
      <c r="DF2685" s="1070"/>
      <c r="DG2685" s="1070"/>
      <c r="DH2685" s="1070"/>
      <c r="DI2685" s="1070"/>
      <c r="DJ2685" s="1070"/>
    </row>
    <row r="2686" spans="1:114" s="1136" customFormat="1" ht="47.25" x14ac:dyDescent="0.25">
      <c r="A2686" s="1420" t="s">
        <v>2637</v>
      </c>
      <c r="B2686" s="1443">
        <f>IF(B275&lt;2,0.85,1)</f>
        <v>1</v>
      </c>
      <c r="C2686" s="1437"/>
      <c r="D2686" s="1434"/>
      <c r="E2686" s="1434"/>
      <c r="F2686" s="1434"/>
      <c r="G2686" s="1434"/>
      <c r="H2686" s="1350"/>
      <c r="I2686" s="1350"/>
      <c r="J2686" s="1350"/>
      <c r="K2686" s="1350"/>
      <c r="L2686" s="1350"/>
      <c r="M2686" s="1350"/>
      <c r="N2686" s="1350"/>
      <c r="O2686" s="1350"/>
      <c r="P2686" s="1350"/>
      <c r="Q2686" s="1350"/>
      <c r="R2686" s="1350"/>
      <c r="S2686" s="1350"/>
      <c r="T2686" s="1350"/>
      <c r="U2686" s="1350"/>
      <c r="V2686" s="1350"/>
      <c r="W2686" s="1350"/>
      <c r="X2686" s="1350"/>
      <c r="Y2686" s="1350"/>
      <c r="Z2686" s="1350"/>
      <c r="AA2686" s="1350"/>
      <c r="AB2686" s="1350"/>
      <c r="AC2686" s="1350"/>
      <c r="AD2686" s="1350"/>
      <c r="AE2686" s="1350"/>
      <c r="AF2686" s="1350"/>
      <c r="AG2686" s="1350"/>
      <c r="AH2686" s="1350"/>
      <c r="AI2686" s="1350"/>
      <c r="AJ2686" s="1350"/>
      <c r="AK2686" s="1350"/>
      <c r="AL2686" s="1350"/>
      <c r="AM2686" s="1350"/>
      <c r="AN2686" s="1350"/>
      <c r="AO2686" s="1350"/>
      <c r="AP2686" s="1350"/>
      <c r="AQ2686" s="1350"/>
      <c r="AR2686" s="1350"/>
      <c r="AS2686" s="1350"/>
      <c r="AT2686" s="1350"/>
      <c r="AU2686" s="1350"/>
      <c r="AV2686" s="1350"/>
      <c r="AW2686" s="1350"/>
      <c r="AX2686" s="1350"/>
      <c r="AY2686" s="1350"/>
      <c r="AZ2686" s="1350"/>
      <c r="BA2686" s="1070"/>
      <c r="BB2686" s="1070"/>
      <c r="BC2686" s="1070"/>
      <c r="BD2686" s="1070"/>
      <c r="BE2686" s="1070"/>
      <c r="BF2686" s="1070"/>
      <c r="BG2686" s="1070"/>
      <c r="BH2686" s="1070"/>
      <c r="BI2686" s="1070"/>
      <c r="BJ2686" s="1070"/>
      <c r="BK2686" s="1070"/>
      <c r="BL2686" s="1070"/>
      <c r="BM2686" s="1070"/>
      <c r="BN2686" s="1070"/>
      <c r="BO2686" s="1070"/>
      <c r="BP2686" s="1070"/>
      <c r="BQ2686" s="1070"/>
      <c r="BR2686" s="1070"/>
      <c r="BS2686" s="1070"/>
      <c r="BT2686" s="1070"/>
      <c r="BU2686" s="1070"/>
      <c r="BV2686" s="1070"/>
      <c r="BW2686" s="1070"/>
      <c r="BX2686" s="1070"/>
      <c r="BY2686" s="1070"/>
      <c r="BZ2686" s="1070"/>
      <c r="CA2686" s="1070"/>
      <c r="CB2686" s="1070"/>
      <c r="CC2686" s="1070"/>
      <c r="CD2686" s="1070"/>
      <c r="CE2686" s="1070"/>
      <c r="CF2686" s="1070"/>
      <c r="CG2686" s="1070"/>
      <c r="CH2686" s="1070"/>
      <c r="CI2686" s="1070"/>
      <c r="CJ2686" s="1070"/>
      <c r="CK2686" s="1070"/>
      <c r="CL2686" s="1070"/>
      <c r="CM2686" s="1070"/>
      <c r="CN2686" s="1070"/>
      <c r="CO2686" s="1070"/>
      <c r="CP2686" s="1070"/>
      <c r="CQ2686" s="1070"/>
      <c r="CR2686" s="1070"/>
      <c r="CS2686" s="1070"/>
      <c r="CT2686" s="1070"/>
      <c r="CU2686" s="1070"/>
      <c r="CV2686" s="1070"/>
      <c r="CW2686" s="1070"/>
      <c r="CX2686" s="1070"/>
      <c r="CY2686" s="1070"/>
      <c r="CZ2686" s="1070"/>
      <c r="DA2686" s="1070"/>
      <c r="DB2686" s="1070"/>
      <c r="DC2686" s="1070"/>
      <c r="DD2686" s="1070"/>
      <c r="DE2686" s="1070"/>
      <c r="DF2686" s="1070"/>
      <c r="DG2686" s="1070"/>
      <c r="DH2686" s="1070"/>
      <c r="DI2686" s="1070"/>
      <c r="DJ2686" s="1070"/>
    </row>
    <row r="2687" spans="1:114" s="1136" customFormat="1" ht="15.75" x14ac:dyDescent="0.25">
      <c r="A2687" s="1420" t="s">
        <v>1743</v>
      </c>
      <c r="B2687" s="1507">
        <v>0.7</v>
      </c>
      <c r="C2687" s="1458"/>
      <c r="D2687" s="1434"/>
      <c r="E2687" s="1434"/>
      <c r="F2687" s="1434"/>
      <c r="G2687" s="1434"/>
      <c r="H2687" s="1350"/>
      <c r="I2687" s="1350"/>
      <c r="J2687" s="1350"/>
      <c r="K2687" s="1350"/>
      <c r="L2687" s="1350"/>
      <c r="M2687" s="1350"/>
      <c r="N2687" s="1350"/>
      <c r="O2687" s="1350"/>
      <c r="P2687" s="1350"/>
      <c r="Q2687" s="1350"/>
      <c r="R2687" s="1350"/>
      <c r="S2687" s="1350"/>
      <c r="T2687" s="1350"/>
      <c r="U2687" s="1350"/>
      <c r="V2687" s="1350"/>
      <c r="W2687" s="1350"/>
      <c r="X2687" s="1350"/>
      <c r="Y2687" s="1350"/>
      <c r="Z2687" s="1350"/>
      <c r="AA2687" s="1350"/>
      <c r="AB2687" s="1350"/>
      <c r="AC2687" s="1350"/>
      <c r="AD2687" s="1350"/>
      <c r="AE2687" s="1350"/>
      <c r="AF2687" s="1350"/>
      <c r="AG2687" s="1350"/>
      <c r="AH2687" s="1350"/>
      <c r="AI2687" s="1350"/>
      <c r="AJ2687" s="1350"/>
      <c r="AK2687" s="1350"/>
      <c r="AL2687" s="1350"/>
      <c r="AM2687" s="1350"/>
      <c r="AN2687" s="1350"/>
      <c r="AO2687" s="1350"/>
      <c r="AP2687" s="1350"/>
      <c r="AQ2687" s="1350"/>
      <c r="AR2687" s="1350"/>
      <c r="AS2687" s="1350"/>
      <c r="AT2687" s="1350"/>
      <c r="AU2687" s="1350"/>
      <c r="AV2687" s="1350"/>
      <c r="AW2687" s="1350"/>
      <c r="AX2687" s="1350"/>
      <c r="AY2687" s="1350"/>
      <c r="AZ2687" s="1350"/>
      <c r="BA2687" s="1070"/>
      <c r="BB2687" s="1070"/>
      <c r="BC2687" s="1070"/>
      <c r="BD2687" s="1070"/>
      <c r="BE2687" s="1070"/>
      <c r="BF2687" s="1070"/>
      <c r="BG2687" s="1070"/>
      <c r="BH2687" s="1070"/>
      <c r="BI2687" s="1070"/>
      <c r="BJ2687" s="1070"/>
      <c r="BK2687" s="1070"/>
      <c r="BL2687" s="1070"/>
      <c r="BM2687" s="1070"/>
      <c r="BN2687" s="1070"/>
      <c r="BO2687" s="1070"/>
      <c r="BP2687" s="1070"/>
      <c r="BQ2687" s="1070"/>
      <c r="BR2687" s="1070"/>
      <c r="BS2687" s="1070"/>
      <c r="BT2687" s="1070"/>
      <c r="BU2687" s="1070"/>
      <c r="BV2687" s="1070"/>
      <c r="BW2687" s="1070"/>
      <c r="BX2687" s="1070"/>
      <c r="BY2687" s="1070"/>
      <c r="BZ2687" s="1070"/>
      <c r="CA2687" s="1070"/>
      <c r="CB2687" s="1070"/>
      <c r="CC2687" s="1070"/>
      <c r="CD2687" s="1070"/>
      <c r="CE2687" s="1070"/>
      <c r="CF2687" s="1070"/>
      <c r="CG2687" s="1070"/>
      <c r="CH2687" s="1070"/>
      <c r="CI2687" s="1070"/>
      <c r="CJ2687" s="1070"/>
      <c r="CK2687" s="1070"/>
      <c r="CL2687" s="1070"/>
      <c r="CM2687" s="1070"/>
      <c r="CN2687" s="1070"/>
      <c r="CO2687" s="1070"/>
      <c r="CP2687" s="1070"/>
      <c r="CQ2687" s="1070"/>
      <c r="CR2687" s="1070"/>
      <c r="CS2687" s="1070"/>
      <c r="CT2687" s="1070"/>
      <c r="CU2687" s="1070"/>
      <c r="CV2687" s="1070"/>
      <c r="CW2687" s="1070"/>
      <c r="CX2687" s="1070"/>
      <c r="CY2687" s="1070"/>
      <c r="CZ2687" s="1070"/>
      <c r="DA2687" s="1070"/>
      <c r="DB2687" s="1070"/>
      <c r="DC2687" s="1070"/>
      <c r="DD2687" s="1070"/>
      <c r="DE2687" s="1070"/>
      <c r="DF2687" s="1070"/>
      <c r="DG2687" s="1070"/>
      <c r="DH2687" s="1070"/>
      <c r="DI2687" s="1070"/>
      <c r="DJ2687" s="1070"/>
    </row>
    <row r="2688" spans="1:114" s="1136" customFormat="1" ht="31.5" x14ac:dyDescent="0.25">
      <c r="A2688" s="1420" t="s">
        <v>202</v>
      </c>
      <c r="B2688" s="1443">
        <f>IF(B2674&lt;2,0.8,0.7)</f>
        <v>0.7</v>
      </c>
      <c r="C2688" s="1437"/>
      <c r="D2688" s="1350"/>
      <c r="E2688" s="1350"/>
      <c r="F2688" s="1350"/>
      <c r="G2688" s="1350"/>
      <c r="H2688" s="1350"/>
      <c r="I2688" s="1350"/>
      <c r="J2688" s="1350"/>
      <c r="K2688" s="1350"/>
      <c r="L2688" s="1350"/>
      <c r="M2688" s="1350"/>
      <c r="N2688" s="1350"/>
      <c r="O2688" s="1350"/>
      <c r="P2688" s="1350"/>
      <c r="Q2688" s="1350"/>
      <c r="R2688" s="1350"/>
      <c r="S2688" s="1350"/>
      <c r="T2688" s="1350"/>
      <c r="U2688" s="1350"/>
      <c r="V2688" s="1350"/>
      <c r="W2688" s="1350"/>
      <c r="X2688" s="1350"/>
      <c r="Y2688" s="1350"/>
      <c r="Z2688" s="1350"/>
      <c r="AA2688" s="1350"/>
      <c r="AB2688" s="1350"/>
      <c r="AC2688" s="1350"/>
      <c r="AD2688" s="1350"/>
      <c r="AE2688" s="1350"/>
      <c r="AF2688" s="1350"/>
      <c r="AG2688" s="1350"/>
      <c r="AH2688" s="1350"/>
      <c r="AI2688" s="1350"/>
      <c r="AJ2688" s="1350"/>
      <c r="AK2688" s="1350"/>
      <c r="AL2688" s="1350"/>
      <c r="AM2688" s="1350"/>
      <c r="AN2688" s="1350"/>
      <c r="AO2688" s="1350"/>
      <c r="AP2688" s="1350"/>
      <c r="AQ2688" s="1350"/>
      <c r="AR2688" s="1350"/>
      <c r="AS2688" s="1350"/>
      <c r="AT2688" s="1350"/>
      <c r="AU2688" s="1350"/>
      <c r="AV2688" s="1350"/>
      <c r="AW2688" s="1350"/>
      <c r="AX2688" s="1350"/>
      <c r="AY2688" s="1350"/>
      <c r="AZ2688" s="1350"/>
      <c r="BA2688" s="1070"/>
      <c r="BB2688" s="1070"/>
      <c r="BC2688" s="1070"/>
      <c r="BD2688" s="1070"/>
      <c r="BE2688" s="1070"/>
      <c r="BF2688" s="1070"/>
      <c r="BG2688" s="1070"/>
      <c r="BH2688" s="1070"/>
      <c r="BI2688" s="1070"/>
      <c r="BJ2688" s="1070"/>
      <c r="BK2688" s="1070"/>
      <c r="BL2688" s="1070"/>
      <c r="BM2688" s="1070"/>
      <c r="BN2688" s="1070"/>
      <c r="BO2688" s="1070"/>
      <c r="BP2688" s="1070"/>
      <c r="BQ2688" s="1070"/>
      <c r="BR2688" s="1070"/>
      <c r="BS2688" s="1070"/>
      <c r="BT2688" s="1070"/>
      <c r="BU2688" s="1070"/>
      <c r="BV2688" s="1070"/>
      <c r="BW2688" s="1070"/>
      <c r="BX2688" s="1070"/>
      <c r="BY2688" s="1070"/>
      <c r="BZ2688" s="1070"/>
      <c r="CA2688" s="1070"/>
      <c r="CB2688" s="1070"/>
      <c r="CC2688" s="1070"/>
      <c r="CD2688" s="1070"/>
      <c r="CE2688" s="1070"/>
      <c r="CF2688" s="1070"/>
      <c r="CG2688" s="1070"/>
      <c r="CH2688" s="1070"/>
      <c r="CI2688" s="1070"/>
      <c r="CJ2688" s="1070"/>
      <c r="CK2688" s="1070"/>
      <c r="CL2688" s="1070"/>
      <c r="CM2688" s="1070"/>
      <c r="CN2688" s="1070"/>
      <c r="CO2688" s="1070"/>
      <c r="CP2688" s="1070"/>
      <c r="CQ2688" s="1070"/>
      <c r="CR2688" s="1070"/>
      <c r="CS2688" s="1070"/>
      <c r="CT2688" s="1070"/>
      <c r="CU2688" s="1070"/>
      <c r="CV2688" s="1070"/>
      <c r="CW2688" s="1070"/>
      <c r="CX2688" s="1070"/>
      <c r="CY2688" s="1070"/>
      <c r="CZ2688" s="1070"/>
      <c r="DA2688" s="1070"/>
      <c r="DB2688" s="1070"/>
      <c r="DC2688" s="1070"/>
      <c r="DD2688" s="1070"/>
      <c r="DE2688" s="1070"/>
      <c r="DF2688" s="1070"/>
      <c r="DG2688" s="1070"/>
      <c r="DH2688" s="1070"/>
      <c r="DI2688" s="1070"/>
      <c r="DJ2688" s="1070"/>
    </row>
    <row r="2689" spans="1:114" s="1136" customFormat="1" ht="15.75" x14ac:dyDescent="0.25">
      <c r="A2689" s="1420" t="s">
        <v>203</v>
      </c>
      <c r="B2689" s="1439" t="e">
        <f>B2676*B2683*B2685*B2686*B2687*B2688*B2383</f>
        <v>#VALUE!</v>
      </c>
      <c r="C2689" s="1432"/>
      <c r="D2689" s="1434"/>
      <c r="E2689" s="1434"/>
      <c r="F2689" s="1434"/>
      <c r="G2689" s="1434"/>
      <c r="H2689" s="1350"/>
      <c r="I2689" s="1350"/>
      <c r="J2689" s="1350"/>
      <c r="K2689" s="1350"/>
      <c r="L2689" s="1350"/>
      <c r="M2689" s="1350"/>
      <c r="N2689" s="1350"/>
      <c r="O2689" s="1350"/>
      <c r="P2689" s="1350"/>
      <c r="Q2689" s="1350"/>
      <c r="R2689" s="1350"/>
      <c r="S2689" s="1350"/>
      <c r="T2689" s="1350"/>
      <c r="U2689" s="1350"/>
      <c r="V2689" s="1350"/>
      <c r="W2689" s="1350"/>
      <c r="X2689" s="1350"/>
      <c r="Y2689" s="1350"/>
      <c r="Z2689" s="1350"/>
      <c r="AA2689" s="1350"/>
      <c r="AB2689" s="1350"/>
      <c r="AC2689" s="1350"/>
      <c r="AD2689" s="1350"/>
      <c r="AE2689" s="1350"/>
      <c r="AF2689" s="1350"/>
      <c r="AG2689" s="1350"/>
      <c r="AH2689" s="1350"/>
      <c r="AI2689" s="1350"/>
      <c r="AJ2689" s="1350"/>
      <c r="AK2689" s="1350"/>
      <c r="AL2689" s="1350"/>
      <c r="AM2689" s="1350"/>
      <c r="AN2689" s="1350"/>
      <c r="AO2689" s="1350"/>
      <c r="AP2689" s="1350"/>
      <c r="AQ2689" s="1350"/>
      <c r="AR2689" s="1350"/>
      <c r="AS2689" s="1350"/>
      <c r="AT2689" s="1350"/>
      <c r="AU2689" s="1350"/>
      <c r="AV2689" s="1350"/>
      <c r="AW2689" s="1350"/>
      <c r="AX2689" s="1350"/>
      <c r="AY2689" s="1350"/>
      <c r="AZ2689" s="1350"/>
      <c r="BA2689" s="1070"/>
      <c r="BB2689" s="1070"/>
      <c r="BC2689" s="1070"/>
      <c r="BD2689" s="1070"/>
      <c r="BE2689" s="1070"/>
      <c r="BF2689" s="1070"/>
      <c r="BG2689" s="1070"/>
      <c r="BH2689" s="1070"/>
      <c r="BI2689" s="1070"/>
      <c r="BJ2689" s="1070"/>
      <c r="BK2689" s="1070"/>
      <c r="BL2689" s="1070"/>
      <c r="BM2689" s="1070"/>
      <c r="BN2689" s="1070"/>
      <c r="BO2689" s="1070"/>
      <c r="BP2689" s="1070"/>
      <c r="BQ2689" s="1070"/>
      <c r="BR2689" s="1070"/>
      <c r="BS2689" s="1070"/>
      <c r="BT2689" s="1070"/>
      <c r="BU2689" s="1070"/>
      <c r="BV2689" s="1070"/>
      <c r="BW2689" s="1070"/>
      <c r="BX2689" s="1070"/>
      <c r="BY2689" s="1070"/>
      <c r="BZ2689" s="1070"/>
      <c r="CA2689" s="1070"/>
      <c r="CB2689" s="1070"/>
      <c r="CC2689" s="1070"/>
      <c r="CD2689" s="1070"/>
      <c r="CE2689" s="1070"/>
      <c r="CF2689" s="1070"/>
      <c r="CG2689" s="1070"/>
      <c r="CH2689" s="1070"/>
      <c r="CI2689" s="1070"/>
      <c r="CJ2689" s="1070"/>
      <c r="CK2689" s="1070"/>
      <c r="CL2689" s="1070"/>
      <c r="CM2689" s="1070"/>
      <c r="CN2689" s="1070"/>
      <c r="CO2689" s="1070"/>
      <c r="CP2689" s="1070"/>
      <c r="CQ2689" s="1070"/>
      <c r="CR2689" s="1070"/>
      <c r="CS2689" s="1070"/>
      <c r="CT2689" s="1070"/>
      <c r="CU2689" s="1070"/>
      <c r="CV2689" s="1070"/>
      <c r="CW2689" s="1070"/>
      <c r="CX2689" s="1070"/>
      <c r="CY2689" s="1070"/>
      <c r="CZ2689" s="1070"/>
      <c r="DA2689" s="1070"/>
      <c r="DB2689" s="1070"/>
      <c r="DC2689" s="1070"/>
      <c r="DD2689" s="1070"/>
      <c r="DE2689" s="1070"/>
      <c r="DF2689" s="1070"/>
      <c r="DG2689" s="1070"/>
      <c r="DH2689" s="1070"/>
      <c r="DI2689" s="1070"/>
      <c r="DJ2689" s="1070"/>
    </row>
    <row r="2690" spans="1:114" s="1136" customFormat="1" ht="15.75" x14ac:dyDescent="0.25">
      <c r="A2690" s="1461" t="s">
        <v>429</v>
      </c>
      <c r="B2690" s="1439" t="e">
        <f>B2675/B2689</f>
        <v>#VALUE!</v>
      </c>
      <c r="C2690" s="1432"/>
      <c r="D2690" s="1437"/>
      <c r="E2690" s="1437"/>
      <c r="F2690" s="1437"/>
      <c r="G2690" s="1437"/>
      <c r="H2690" s="1350"/>
      <c r="I2690" s="1350"/>
      <c r="J2690" s="1350"/>
      <c r="K2690" s="1350"/>
      <c r="L2690" s="1350"/>
      <c r="M2690" s="1350"/>
      <c r="N2690" s="1350"/>
      <c r="O2690" s="1350"/>
      <c r="P2690" s="1350"/>
      <c r="Q2690" s="1350"/>
      <c r="R2690" s="1350"/>
      <c r="S2690" s="1350"/>
      <c r="T2690" s="1350"/>
      <c r="U2690" s="1350"/>
      <c r="V2690" s="1350"/>
      <c r="W2690" s="1350"/>
      <c r="X2690" s="1350"/>
      <c r="Y2690" s="1350"/>
      <c r="Z2690" s="1350"/>
      <c r="AA2690" s="1350"/>
      <c r="AB2690" s="1350"/>
      <c r="AC2690" s="1350"/>
      <c r="AD2690" s="1350"/>
      <c r="AE2690" s="1350"/>
      <c r="AF2690" s="1350"/>
      <c r="AG2690" s="1350"/>
      <c r="AH2690" s="1350"/>
      <c r="AI2690" s="1350"/>
      <c r="AJ2690" s="1350"/>
      <c r="AK2690" s="1350"/>
      <c r="AL2690" s="1350"/>
      <c r="AM2690" s="1350"/>
      <c r="AN2690" s="1350"/>
      <c r="AO2690" s="1350"/>
      <c r="AP2690" s="1350"/>
      <c r="AQ2690" s="1350"/>
      <c r="AR2690" s="1350"/>
      <c r="AS2690" s="1350"/>
      <c r="AT2690" s="1350"/>
      <c r="AU2690" s="1350"/>
      <c r="AV2690" s="1350"/>
      <c r="AW2690" s="1350"/>
      <c r="AX2690" s="1350"/>
      <c r="AY2690" s="1350"/>
      <c r="AZ2690" s="1350"/>
      <c r="BA2690" s="1070"/>
      <c r="BB2690" s="1070"/>
      <c r="BC2690" s="1070"/>
      <c r="BD2690" s="1070"/>
      <c r="BE2690" s="1070"/>
      <c r="BF2690" s="1070"/>
      <c r="BG2690" s="1070"/>
      <c r="BH2690" s="1070"/>
      <c r="BI2690" s="1070"/>
      <c r="BJ2690" s="1070"/>
      <c r="BK2690" s="1070"/>
      <c r="BL2690" s="1070"/>
      <c r="BM2690" s="1070"/>
      <c r="BN2690" s="1070"/>
      <c r="BO2690" s="1070"/>
      <c r="BP2690" s="1070"/>
      <c r="BQ2690" s="1070"/>
      <c r="BR2690" s="1070"/>
      <c r="BS2690" s="1070"/>
      <c r="BT2690" s="1070"/>
      <c r="BU2690" s="1070"/>
      <c r="BV2690" s="1070"/>
      <c r="BW2690" s="1070"/>
      <c r="BX2690" s="1070"/>
      <c r="BY2690" s="1070"/>
      <c r="BZ2690" s="1070"/>
      <c r="CA2690" s="1070"/>
      <c r="CB2690" s="1070"/>
      <c r="CC2690" s="1070"/>
      <c r="CD2690" s="1070"/>
      <c r="CE2690" s="1070"/>
      <c r="CF2690" s="1070"/>
      <c r="CG2690" s="1070"/>
      <c r="CH2690" s="1070"/>
      <c r="CI2690" s="1070"/>
      <c r="CJ2690" s="1070"/>
      <c r="CK2690" s="1070"/>
      <c r="CL2690" s="1070"/>
      <c r="CM2690" s="1070"/>
      <c r="CN2690" s="1070"/>
      <c r="CO2690" s="1070"/>
      <c r="CP2690" s="1070"/>
      <c r="CQ2690" s="1070"/>
      <c r="CR2690" s="1070"/>
      <c r="CS2690" s="1070"/>
      <c r="CT2690" s="1070"/>
      <c r="CU2690" s="1070"/>
      <c r="CV2690" s="1070"/>
      <c r="CW2690" s="1070"/>
      <c r="CX2690" s="1070"/>
      <c r="CY2690" s="1070"/>
      <c r="CZ2690" s="1070"/>
      <c r="DA2690" s="1070"/>
      <c r="DB2690" s="1070"/>
      <c r="DC2690" s="1070"/>
      <c r="DD2690" s="1070"/>
      <c r="DE2690" s="1070"/>
      <c r="DF2690" s="1070"/>
      <c r="DG2690" s="1070"/>
      <c r="DH2690" s="1070"/>
      <c r="DI2690" s="1070"/>
      <c r="DJ2690" s="1070"/>
    </row>
    <row r="2691" spans="1:114" s="1136" customFormat="1" ht="15.75" x14ac:dyDescent="0.25">
      <c r="A2691" s="1430"/>
      <c r="B2691" s="1443"/>
      <c r="C2691" s="1437"/>
      <c r="D2691" s="1434"/>
      <c r="E2691" s="1434"/>
      <c r="F2691" s="1434"/>
      <c r="G2691" s="1434"/>
      <c r="H2691" s="1350"/>
      <c r="I2691" s="1350"/>
      <c r="J2691" s="1350"/>
      <c r="K2691" s="1350"/>
      <c r="L2691" s="1350"/>
      <c r="M2691" s="1350"/>
      <c r="N2691" s="1350"/>
      <c r="O2691" s="1350"/>
      <c r="P2691" s="1350"/>
      <c r="Q2691" s="1350"/>
      <c r="R2691" s="1350"/>
      <c r="S2691" s="1350"/>
      <c r="T2691" s="1350"/>
      <c r="U2691" s="1350"/>
      <c r="V2691" s="1350"/>
      <c r="W2691" s="1350"/>
      <c r="X2691" s="1350"/>
      <c r="Y2691" s="1350"/>
      <c r="Z2691" s="1350"/>
      <c r="AA2691" s="1350"/>
      <c r="AB2691" s="1350"/>
      <c r="AC2691" s="1350"/>
      <c r="AD2691" s="1350"/>
      <c r="AE2691" s="1350"/>
      <c r="AF2691" s="1350"/>
      <c r="AG2691" s="1350"/>
      <c r="AH2691" s="1350"/>
      <c r="AI2691" s="1350"/>
      <c r="AJ2691" s="1350"/>
      <c r="AK2691" s="1350"/>
      <c r="AL2691" s="1350"/>
      <c r="AM2691" s="1350"/>
      <c r="AN2691" s="1350"/>
      <c r="AO2691" s="1350"/>
      <c r="AP2691" s="1350"/>
      <c r="AQ2691" s="1350"/>
      <c r="AR2691" s="1350"/>
      <c r="AS2691" s="1350"/>
      <c r="AT2691" s="1350"/>
      <c r="AU2691" s="1350"/>
      <c r="AV2691" s="1350"/>
      <c r="AW2691" s="1350"/>
      <c r="AX2691" s="1350"/>
      <c r="AY2691" s="1350"/>
      <c r="AZ2691" s="1350"/>
      <c r="BA2691" s="1070"/>
      <c r="BB2691" s="1070"/>
      <c r="BC2691" s="1070"/>
      <c r="BD2691" s="1070"/>
      <c r="BE2691" s="1070"/>
      <c r="BF2691" s="1070"/>
      <c r="BG2691" s="1070"/>
      <c r="BH2691" s="1070"/>
      <c r="BI2691" s="1070"/>
      <c r="BJ2691" s="1070"/>
      <c r="BK2691" s="1070"/>
      <c r="BL2691" s="1070"/>
      <c r="BM2691" s="1070"/>
      <c r="BN2691" s="1070"/>
      <c r="BO2691" s="1070"/>
      <c r="BP2691" s="1070"/>
      <c r="BQ2691" s="1070"/>
      <c r="BR2691" s="1070"/>
      <c r="BS2691" s="1070"/>
      <c r="BT2691" s="1070"/>
      <c r="BU2691" s="1070"/>
      <c r="BV2691" s="1070"/>
      <c r="BW2691" s="1070"/>
      <c r="BX2691" s="1070"/>
      <c r="BY2691" s="1070"/>
      <c r="BZ2691" s="1070"/>
      <c r="CA2691" s="1070"/>
      <c r="CB2691" s="1070"/>
      <c r="CC2691" s="1070"/>
      <c r="CD2691" s="1070"/>
      <c r="CE2691" s="1070"/>
      <c r="CF2691" s="1070"/>
      <c r="CG2691" s="1070"/>
      <c r="CH2691" s="1070"/>
      <c r="CI2691" s="1070"/>
      <c r="CJ2691" s="1070"/>
      <c r="CK2691" s="1070"/>
      <c r="CL2691" s="1070"/>
      <c r="CM2691" s="1070"/>
      <c r="CN2691" s="1070"/>
      <c r="CO2691" s="1070"/>
      <c r="CP2691" s="1070"/>
      <c r="CQ2691" s="1070"/>
      <c r="CR2691" s="1070"/>
      <c r="CS2691" s="1070"/>
      <c r="CT2691" s="1070"/>
      <c r="CU2691" s="1070"/>
      <c r="CV2691" s="1070"/>
      <c r="CW2691" s="1070"/>
      <c r="CX2691" s="1070"/>
      <c r="CY2691" s="1070"/>
      <c r="CZ2691" s="1070"/>
      <c r="DA2691" s="1070"/>
      <c r="DB2691" s="1070"/>
      <c r="DC2691" s="1070"/>
      <c r="DD2691" s="1070"/>
      <c r="DE2691" s="1070"/>
      <c r="DF2691" s="1070"/>
      <c r="DG2691" s="1070"/>
      <c r="DH2691" s="1070"/>
      <c r="DI2691" s="1070"/>
      <c r="DJ2691" s="1070"/>
    </row>
    <row r="2692" spans="1:114" s="1136" customFormat="1" ht="31.5" x14ac:dyDescent="0.25">
      <c r="A2692" s="1427" t="s">
        <v>204</v>
      </c>
      <c r="B2692" s="1443"/>
      <c r="C2692" s="1437"/>
      <c r="D2692" s="1437"/>
      <c r="E2692" s="1437"/>
      <c r="F2692" s="1437"/>
      <c r="G2692" s="1437"/>
      <c r="H2692" s="1350"/>
      <c r="I2692" s="1350"/>
      <c r="J2692" s="1350"/>
      <c r="K2692" s="1350"/>
      <c r="L2692" s="1350"/>
      <c r="M2692" s="1350"/>
      <c r="N2692" s="1350"/>
      <c r="O2692" s="1350"/>
      <c r="P2692" s="1350"/>
      <c r="Q2692" s="1350"/>
      <c r="R2692" s="1350"/>
      <c r="S2692" s="1350"/>
      <c r="T2692" s="1350"/>
      <c r="U2692" s="1350"/>
      <c r="V2692" s="1350"/>
      <c r="W2692" s="1350"/>
      <c r="X2692" s="1350"/>
      <c r="Y2692" s="1350"/>
      <c r="Z2692" s="1350"/>
      <c r="AA2692" s="1350"/>
      <c r="AB2692" s="1350"/>
      <c r="AC2692" s="1350"/>
      <c r="AD2692" s="1350"/>
      <c r="AE2692" s="1350"/>
      <c r="AF2692" s="1350"/>
      <c r="AG2692" s="1350"/>
      <c r="AH2692" s="1350"/>
      <c r="AI2692" s="1350"/>
      <c r="AJ2692" s="1350"/>
      <c r="AK2692" s="1350"/>
      <c r="AL2692" s="1350"/>
      <c r="AM2692" s="1350"/>
      <c r="AN2692" s="1350"/>
      <c r="AO2692" s="1350"/>
      <c r="AP2692" s="1350"/>
      <c r="AQ2692" s="1350"/>
      <c r="AR2692" s="1350"/>
      <c r="AS2692" s="1350"/>
      <c r="AT2692" s="1350"/>
      <c r="AU2692" s="1350"/>
      <c r="AV2692" s="1350"/>
      <c r="AW2692" s="1350"/>
      <c r="AX2692" s="1350"/>
      <c r="AY2692" s="1350"/>
      <c r="AZ2692" s="1350"/>
      <c r="BA2692" s="1070"/>
      <c r="BB2692" s="1070"/>
      <c r="BC2692" s="1070"/>
      <c r="BD2692" s="1070"/>
      <c r="BE2692" s="1070"/>
      <c r="BF2692" s="1070"/>
      <c r="BG2692" s="1070"/>
      <c r="BH2692" s="1070"/>
      <c r="BI2692" s="1070"/>
      <c r="BJ2692" s="1070"/>
      <c r="BK2692" s="1070"/>
      <c r="BL2692" s="1070"/>
      <c r="BM2692" s="1070"/>
      <c r="BN2692" s="1070"/>
      <c r="BO2692" s="1070"/>
      <c r="BP2692" s="1070"/>
      <c r="BQ2692" s="1070"/>
      <c r="BR2692" s="1070"/>
      <c r="BS2692" s="1070"/>
      <c r="BT2692" s="1070"/>
      <c r="BU2692" s="1070"/>
      <c r="BV2692" s="1070"/>
      <c r="BW2692" s="1070"/>
      <c r="BX2692" s="1070"/>
      <c r="BY2692" s="1070"/>
      <c r="BZ2692" s="1070"/>
      <c r="CA2692" s="1070"/>
      <c r="CB2692" s="1070"/>
      <c r="CC2692" s="1070"/>
      <c r="CD2692" s="1070"/>
      <c r="CE2692" s="1070"/>
      <c r="CF2692" s="1070"/>
      <c r="CG2692" s="1070"/>
      <c r="CH2692" s="1070"/>
      <c r="CI2692" s="1070"/>
      <c r="CJ2692" s="1070"/>
      <c r="CK2692" s="1070"/>
      <c r="CL2692" s="1070"/>
      <c r="CM2692" s="1070"/>
      <c r="CN2692" s="1070"/>
      <c r="CO2692" s="1070"/>
      <c r="CP2692" s="1070"/>
      <c r="CQ2692" s="1070"/>
      <c r="CR2692" s="1070"/>
      <c r="CS2692" s="1070"/>
      <c r="CT2692" s="1070"/>
      <c r="CU2692" s="1070"/>
      <c r="CV2692" s="1070"/>
      <c r="CW2692" s="1070"/>
      <c r="CX2692" s="1070"/>
      <c r="CY2692" s="1070"/>
      <c r="CZ2692" s="1070"/>
      <c r="DA2692" s="1070"/>
      <c r="DB2692" s="1070"/>
      <c r="DC2692" s="1070"/>
      <c r="DD2692" s="1070"/>
      <c r="DE2692" s="1070"/>
      <c r="DF2692" s="1070"/>
      <c r="DG2692" s="1070"/>
      <c r="DH2692" s="1070"/>
      <c r="DI2692" s="1070"/>
      <c r="DJ2692" s="1070"/>
    </row>
    <row r="2693" spans="1:114" s="1136" customFormat="1" ht="15.75" x14ac:dyDescent="0.25">
      <c r="A2693" s="1508" t="s">
        <v>205</v>
      </c>
      <c r="B2693" s="1508" t="str">
        <f>B240</f>
        <v/>
      </c>
      <c r="C2693" s="1416"/>
      <c r="D2693" s="1437"/>
      <c r="E2693" s="1437"/>
      <c r="F2693" s="1437"/>
      <c r="G2693" s="1437"/>
      <c r="H2693" s="1350"/>
      <c r="I2693" s="1350"/>
      <c r="J2693" s="1350"/>
      <c r="K2693" s="1350"/>
      <c r="L2693" s="1350"/>
      <c r="M2693" s="1350"/>
      <c r="N2693" s="1350"/>
      <c r="O2693" s="1350"/>
      <c r="P2693" s="1350"/>
      <c r="Q2693" s="1350"/>
      <c r="R2693" s="1350"/>
      <c r="S2693" s="1350"/>
      <c r="T2693" s="1350"/>
      <c r="U2693" s="1350"/>
      <c r="V2693" s="1350"/>
      <c r="W2693" s="1350"/>
      <c r="X2693" s="1350"/>
      <c r="Y2693" s="1350"/>
      <c r="Z2693" s="1350"/>
      <c r="AA2693" s="1350"/>
      <c r="AB2693" s="1350"/>
      <c r="AC2693" s="1350"/>
      <c r="AD2693" s="1350"/>
      <c r="AE2693" s="1350"/>
      <c r="AF2693" s="1350"/>
      <c r="AG2693" s="1350"/>
      <c r="AH2693" s="1350"/>
      <c r="AI2693" s="1350"/>
      <c r="AJ2693" s="1350"/>
      <c r="AK2693" s="1350"/>
      <c r="AL2693" s="1350"/>
      <c r="AM2693" s="1350"/>
      <c r="AN2693" s="1350"/>
      <c r="AO2693" s="1350"/>
      <c r="AP2693" s="1350"/>
      <c r="AQ2693" s="1350"/>
      <c r="AR2693" s="1350"/>
      <c r="AS2693" s="1350"/>
      <c r="AT2693" s="1350"/>
      <c r="AU2693" s="1350"/>
      <c r="AV2693" s="1350"/>
      <c r="AW2693" s="1350"/>
      <c r="AX2693" s="1350"/>
      <c r="AY2693" s="1350"/>
      <c r="AZ2693" s="1350"/>
      <c r="BA2693" s="1070"/>
      <c r="BB2693" s="1070"/>
      <c r="BC2693" s="1070"/>
      <c r="BD2693" s="1070"/>
      <c r="BE2693" s="1070"/>
      <c r="BF2693" s="1070"/>
      <c r="BG2693" s="1070"/>
      <c r="BH2693" s="1070"/>
      <c r="BI2693" s="1070"/>
      <c r="BJ2693" s="1070"/>
      <c r="BK2693" s="1070"/>
      <c r="BL2693" s="1070"/>
      <c r="BM2693" s="1070"/>
      <c r="BN2693" s="1070"/>
      <c r="BO2693" s="1070"/>
      <c r="BP2693" s="1070"/>
      <c r="BQ2693" s="1070"/>
      <c r="BR2693" s="1070"/>
      <c r="BS2693" s="1070"/>
      <c r="BT2693" s="1070"/>
      <c r="BU2693" s="1070"/>
      <c r="BV2693" s="1070"/>
      <c r="BW2693" s="1070"/>
      <c r="BX2693" s="1070"/>
      <c r="BY2693" s="1070"/>
      <c r="BZ2693" s="1070"/>
      <c r="CA2693" s="1070"/>
      <c r="CB2693" s="1070"/>
      <c r="CC2693" s="1070"/>
      <c r="CD2693" s="1070"/>
      <c r="CE2693" s="1070"/>
      <c r="CF2693" s="1070"/>
      <c r="CG2693" s="1070"/>
      <c r="CH2693" s="1070"/>
      <c r="CI2693" s="1070"/>
      <c r="CJ2693" s="1070"/>
      <c r="CK2693" s="1070"/>
      <c r="CL2693" s="1070"/>
      <c r="CM2693" s="1070"/>
      <c r="CN2693" s="1070"/>
      <c r="CO2693" s="1070"/>
      <c r="CP2693" s="1070"/>
      <c r="CQ2693" s="1070"/>
      <c r="CR2693" s="1070"/>
      <c r="CS2693" s="1070"/>
      <c r="CT2693" s="1070"/>
      <c r="CU2693" s="1070"/>
      <c r="CV2693" s="1070"/>
      <c r="CW2693" s="1070"/>
      <c r="CX2693" s="1070"/>
      <c r="CY2693" s="1070"/>
      <c r="CZ2693" s="1070"/>
      <c r="DA2693" s="1070"/>
      <c r="DB2693" s="1070"/>
      <c r="DC2693" s="1070"/>
      <c r="DD2693" s="1070"/>
      <c r="DE2693" s="1070"/>
      <c r="DF2693" s="1070"/>
      <c r="DG2693" s="1070"/>
      <c r="DH2693" s="1070"/>
      <c r="DI2693" s="1070"/>
      <c r="DJ2693" s="1070"/>
    </row>
    <row r="2694" spans="1:114" s="1136" customFormat="1" ht="15.75" x14ac:dyDescent="0.25">
      <c r="A2694" s="1508" t="s">
        <v>418</v>
      </c>
      <c r="B2694" s="1508" t="str">
        <f>B245</f>
        <v/>
      </c>
      <c r="C2694" s="1416"/>
      <c r="D2694" s="1458"/>
      <c r="E2694" s="1458"/>
      <c r="F2694" s="1458"/>
      <c r="G2694" s="1458"/>
      <c r="H2694" s="1350"/>
      <c r="I2694" s="1350"/>
      <c r="J2694" s="1350"/>
      <c r="K2694" s="1350"/>
      <c r="L2694" s="1350"/>
      <c r="M2694" s="1350"/>
      <c r="N2694" s="1350"/>
      <c r="O2694" s="1350"/>
      <c r="P2694" s="1350"/>
      <c r="Q2694" s="1350"/>
      <c r="R2694" s="1350"/>
      <c r="S2694" s="1350"/>
      <c r="T2694" s="1350"/>
      <c r="U2694" s="1350"/>
      <c r="V2694" s="1350"/>
      <c r="W2694" s="1350"/>
      <c r="X2694" s="1350"/>
      <c r="Y2694" s="1350"/>
      <c r="Z2694" s="1350"/>
      <c r="AA2694" s="1350"/>
      <c r="AB2694" s="1350"/>
      <c r="AC2694" s="1350"/>
      <c r="AD2694" s="1350"/>
      <c r="AE2694" s="1350"/>
      <c r="AF2694" s="1350"/>
      <c r="AG2694" s="1350"/>
      <c r="AH2694" s="1350"/>
      <c r="AI2694" s="1350"/>
      <c r="AJ2694" s="1350"/>
      <c r="AK2694" s="1350"/>
      <c r="AL2694" s="1350"/>
      <c r="AM2694" s="1350"/>
      <c r="AN2694" s="1350"/>
      <c r="AO2694" s="1350"/>
      <c r="AP2694" s="1350"/>
      <c r="AQ2694" s="1350"/>
      <c r="AR2694" s="1350"/>
      <c r="AS2694" s="1350"/>
      <c r="AT2694" s="1350"/>
      <c r="AU2694" s="1350"/>
      <c r="AV2694" s="1350"/>
      <c r="AW2694" s="1350"/>
      <c r="AX2694" s="1350"/>
      <c r="AY2694" s="1350"/>
      <c r="AZ2694" s="1350"/>
      <c r="BA2694" s="1070"/>
      <c r="BB2694" s="1070"/>
      <c r="BC2694" s="1070"/>
      <c r="BD2694" s="1070"/>
      <c r="BE2694" s="1070"/>
      <c r="BF2694" s="1070"/>
      <c r="BG2694" s="1070"/>
      <c r="BH2694" s="1070"/>
      <c r="BI2694" s="1070"/>
      <c r="BJ2694" s="1070"/>
      <c r="BK2694" s="1070"/>
      <c r="BL2694" s="1070"/>
      <c r="BM2694" s="1070"/>
      <c r="BN2694" s="1070"/>
      <c r="BO2694" s="1070"/>
      <c r="BP2694" s="1070"/>
      <c r="BQ2694" s="1070"/>
      <c r="BR2694" s="1070"/>
      <c r="BS2694" s="1070"/>
      <c r="BT2694" s="1070"/>
      <c r="BU2694" s="1070"/>
      <c r="BV2694" s="1070"/>
      <c r="BW2694" s="1070"/>
      <c r="BX2694" s="1070"/>
      <c r="BY2694" s="1070"/>
      <c r="BZ2694" s="1070"/>
      <c r="CA2694" s="1070"/>
      <c r="CB2694" s="1070"/>
      <c r="CC2694" s="1070"/>
      <c r="CD2694" s="1070"/>
      <c r="CE2694" s="1070"/>
      <c r="CF2694" s="1070"/>
      <c r="CG2694" s="1070"/>
      <c r="CH2694" s="1070"/>
      <c r="CI2694" s="1070"/>
      <c r="CJ2694" s="1070"/>
      <c r="CK2694" s="1070"/>
      <c r="CL2694" s="1070"/>
      <c r="CM2694" s="1070"/>
      <c r="CN2694" s="1070"/>
      <c r="CO2694" s="1070"/>
      <c r="CP2694" s="1070"/>
      <c r="CQ2694" s="1070"/>
      <c r="CR2694" s="1070"/>
      <c r="CS2694" s="1070"/>
      <c r="CT2694" s="1070"/>
      <c r="CU2694" s="1070"/>
      <c r="CV2694" s="1070"/>
      <c r="CW2694" s="1070"/>
      <c r="CX2694" s="1070"/>
      <c r="CY2694" s="1070"/>
      <c r="CZ2694" s="1070"/>
      <c r="DA2694" s="1070"/>
      <c r="DB2694" s="1070"/>
      <c r="DC2694" s="1070"/>
      <c r="DD2694" s="1070"/>
      <c r="DE2694" s="1070"/>
      <c r="DF2694" s="1070"/>
      <c r="DG2694" s="1070"/>
      <c r="DH2694" s="1070"/>
      <c r="DI2694" s="1070"/>
      <c r="DJ2694" s="1070"/>
    </row>
    <row r="2695" spans="1:114" s="1136" customFormat="1" ht="15.75" x14ac:dyDescent="0.25">
      <c r="A2695" s="1509" t="s">
        <v>3785</v>
      </c>
      <c r="B2695" s="1508">
        <f>B251</f>
        <v>0</v>
      </c>
      <c r="C2695" s="1416"/>
      <c r="D2695" s="1437"/>
      <c r="E2695" s="1437"/>
      <c r="F2695" s="1437"/>
      <c r="G2695" s="1437"/>
      <c r="H2695" s="1350"/>
      <c r="I2695" s="1350"/>
      <c r="J2695" s="1350"/>
      <c r="K2695" s="1350"/>
      <c r="L2695" s="1350"/>
      <c r="M2695" s="1350"/>
      <c r="N2695" s="1350"/>
      <c r="O2695" s="1350"/>
      <c r="P2695" s="1350"/>
      <c r="Q2695" s="1350"/>
      <c r="R2695" s="1350"/>
      <c r="S2695" s="1350"/>
      <c r="T2695" s="1350"/>
      <c r="U2695" s="1350"/>
      <c r="V2695" s="1350"/>
      <c r="W2695" s="1350"/>
      <c r="X2695" s="1350"/>
      <c r="Y2695" s="1350"/>
      <c r="Z2695" s="1350"/>
      <c r="AA2695" s="1350"/>
      <c r="AB2695" s="1350"/>
      <c r="AC2695" s="1350"/>
      <c r="AD2695" s="1350"/>
      <c r="AE2695" s="1350"/>
      <c r="AF2695" s="1350"/>
      <c r="AG2695" s="1350"/>
      <c r="AH2695" s="1350"/>
      <c r="AI2695" s="1350"/>
      <c r="AJ2695" s="1350"/>
      <c r="AK2695" s="1350"/>
      <c r="AL2695" s="1350"/>
      <c r="AM2695" s="1350"/>
      <c r="AN2695" s="1350"/>
      <c r="AO2695" s="1350"/>
      <c r="AP2695" s="1350"/>
      <c r="AQ2695" s="1350"/>
      <c r="AR2695" s="1350"/>
      <c r="AS2695" s="1350"/>
      <c r="AT2695" s="1350"/>
      <c r="AU2695" s="1350"/>
      <c r="AV2695" s="1350"/>
      <c r="AW2695" s="1350"/>
      <c r="AX2695" s="1350"/>
      <c r="AY2695" s="1350"/>
      <c r="AZ2695" s="1350"/>
      <c r="BA2695" s="1070"/>
      <c r="BB2695" s="1070"/>
      <c r="BC2695" s="1070"/>
      <c r="BD2695" s="1070"/>
      <c r="BE2695" s="1070"/>
      <c r="BF2695" s="1070"/>
      <c r="BG2695" s="1070"/>
      <c r="BH2695" s="1070"/>
      <c r="BI2695" s="1070"/>
      <c r="BJ2695" s="1070"/>
      <c r="BK2695" s="1070"/>
      <c r="BL2695" s="1070"/>
      <c r="BM2695" s="1070"/>
      <c r="BN2695" s="1070"/>
      <c r="BO2695" s="1070"/>
      <c r="BP2695" s="1070"/>
      <c r="BQ2695" s="1070"/>
      <c r="BR2695" s="1070"/>
      <c r="BS2695" s="1070"/>
      <c r="BT2695" s="1070"/>
      <c r="BU2695" s="1070"/>
      <c r="BV2695" s="1070"/>
      <c r="BW2695" s="1070"/>
      <c r="BX2695" s="1070"/>
      <c r="BY2695" s="1070"/>
      <c r="BZ2695" s="1070"/>
      <c r="CA2695" s="1070"/>
      <c r="CB2695" s="1070"/>
      <c r="CC2695" s="1070"/>
      <c r="CD2695" s="1070"/>
      <c r="CE2695" s="1070"/>
      <c r="CF2695" s="1070"/>
      <c r="CG2695" s="1070"/>
      <c r="CH2695" s="1070"/>
      <c r="CI2695" s="1070"/>
      <c r="CJ2695" s="1070"/>
      <c r="CK2695" s="1070"/>
      <c r="CL2695" s="1070"/>
      <c r="CM2695" s="1070"/>
      <c r="CN2695" s="1070"/>
      <c r="CO2695" s="1070"/>
      <c r="CP2695" s="1070"/>
      <c r="CQ2695" s="1070"/>
      <c r="CR2695" s="1070"/>
      <c r="CS2695" s="1070"/>
      <c r="CT2695" s="1070"/>
      <c r="CU2695" s="1070"/>
      <c r="CV2695" s="1070"/>
      <c r="CW2695" s="1070"/>
      <c r="CX2695" s="1070"/>
      <c r="CY2695" s="1070"/>
      <c r="CZ2695" s="1070"/>
      <c r="DA2695" s="1070"/>
      <c r="DB2695" s="1070"/>
      <c r="DC2695" s="1070"/>
      <c r="DD2695" s="1070"/>
      <c r="DE2695" s="1070"/>
      <c r="DF2695" s="1070"/>
      <c r="DG2695" s="1070"/>
      <c r="DH2695" s="1070"/>
      <c r="DI2695" s="1070"/>
      <c r="DJ2695" s="1070"/>
    </row>
    <row r="2696" spans="1:114" s="1136" customFormat="1" ht="47.25" x14ac:dyDescent="0.25">
      <c r="A2696" s="1509" t="s">
        <v>4334</v>
      </c>
      <c r="B2696" s="1508" t="str">
        <f>B255</f>
        <v/>
      </c>
      <c r="C2696" s="1416"/>
      <c r="D2696" s="1432"/>
      <c r="E2696" s="1432"/>
      <c r="F2696" s="1432"/>
      <c r="G2696" s="1432"/>
      <c r="H2696" s="1350"/>
      <c r="I2696" s="1350"/>
      <c r="J2696" s="1350"/>
      <c r="K2696" s="1350"/>
      <c r="L2696" s="1350"/>
      <c r="M2696" s="1350"/>
      <c r="N2696" s="1350"/>
      <c r="O2696" s="1350"/>
      <c r="P2696" s="1350"/>
      <c r="Q2696" s="1350"/>
      <c r="R2696" s="1350"/>
      <c r="S2696" s="1350"/>
      <c r="T2696" s="1350"/>
      <c r="U2696" s="1350"/>
      <c r="V2696" s="1350"/>
      <c r="W2696" s="1350"/>
      <c r="X2696" s="1350"/>
      <c r="Y2696" s="1350"/>
      <c r="Z2696" s="1350"/>
      <c r="AA2696" s="1350"/>
      <c r="AB2696" s="1350"/>
      <c r="AC2696" s="1350"/>
      <c r="AD2696" s="1350"/>
      <c r="AE2696" s="1350"/>
      <c r="AF2696" s="1350"/>
      <c r="AG2696" s="1350"/>
      <c r="AH2696" s="1350"/>
      <c r="AI2696" s="1350"/>
      <c r="AJ2696" s="1350"/>
      <c r="AK2696" s="1350"/>
      <c r="AL2696" s="1350"/>
      <c r="AM2696" s="1350"/>
      <c r="AN2696" s="1350"/>
      <c r="AO2696" s="1350"/>
      <c r="AP2696" s="1350"/>
      <c r="AQ2696" s="1350"/>
      <c r="AR2696" s="1350"/>
      <c r="AS2696" s="1350"/>
      <c r="AT2696" s="1350"/>
      <c r="AU2696" s="1350"/>
      <c r="AV2696" s="1350"/>
      <c r="AW2696" s="1350"/>
      <c r="AX2696" s="1350"/>
      <c r="AY2696" s="1350"/>
      <c r="AZ2696" s="1350"/>
      <c r="BA2696" s="1070"/>
      <c r="BB2696" s="1070"/>
      <c r="BC2696" s="1070"/>
      <c r="BD2696" s="1070"/>
      <c r="BE2696" s="1070"/>
      <c r="BF2696" s="1070"/>
      <c r="BG2696" s="1070"/>
      <c r="BH2696" s="1070"/>
      <c r="BI2696" s="1070"/>
      <c r="BJ2696" s="1070"/>
      <c r="BK2696" s="1070"/>
      <c r="BL2696" s="1070"/>
      <c r="BM2696" s="1070"/>
      <c r="BN2696" s="1070"/>
      <c r="BO2696" s="1070"/>
      <c r="BP2696" s="1070"/>
      <c r="BQ2696" s="1070"/>
      <c r="BR2696" s="1070"/>
      <c r="BS2696" s="1070"/>
      <c r="BT2696" s="1070"/>
      <c r="BU2696" s="1070"/>
      <c r="BV2696" s="1070"/>
      <c r="BW2696" s="1070"/>
      <c r="BX2696" s="1070"/>
      <c r="BY2696" s="1070"/>
      <c r="BZ2696" s="1070"/>
      <c r="CA2696" s="1070"/>
      <c r="CB2696" s="1070"/>
      <c r="CC2696" s="1070"/>
      <c r="CD2696" s="1070"/>
      <c r="CE2696" s="1070"/>
      <c r="CF2696" s="1070"/>
      <c r="CG2696" s="1070"/>
      <c r="CH2696" s="1070"/>
      <c r="CI2696" s="1070"/>
      <c r="CJ2696" s="1070"/>
      <c r="CK2696" s="1070"/>
      <c r="CL2696" s="1070"/>
      <c r="CM2696" s="1070"/>
      <c r="CN2696" s="1070"/>
      <c r="CO2696" s="1070"/>
      <c r="CP2696" s="1070"/>
      <c r="CQ2696" s="1070"/>
      <c r="CR2696" s="1070"/>
      <c r="CS2696" s="1070"/>
      <c r="CT2696" s="1070"/>
      <c r="CU2696" s="1070"/>
      <c r="CV2696" s="1070"/>
      <c r="CW2696" s="1070"/>
      <c r="CX2696" s="1070"/>
      <c r="CY2696" s="1070"/>
      <c r="CZ2696" s="1070"/>
      <c r="DA2696" s="1070"/>
      <c r="DB2696" s="1070"/>
      <c r="DC2696" s="1070"/>
      <c r="DD2696" s="1070"/>
      <c r="DE2696" s="1070"/>
      <c r="DF2696" s="1070"/>
      <c r="DG2696" s="1070"/>
      <c r="DH2696" s="1070"/>
      <c r="DI2696" s="1070"/>
      <c r="DJ2696" s="1070"/>
    </row>
    <row r="2697" spans="1:114" s="1136" customFormat="1" ht="15.75" x14ac:dyDescent="0.25">
      <c r="A2697" s="1510" t="s">
        <v>5436</v>
      </c>
      <c r="B2697" s="1511" t="str">
        <f>B274</f>
        <v/>
      </c>
      <c r="C2697" s="1429"/>
      <c r="D2697" s="1432"/>
      <c r="E2697" s="1432"/>
      <c r="F2697" s="1432"/>
      <c r="G2697" s="1432"/>
      <c r="H2697" s="1350"/>
      <c r="I2697" s="1350"/>
      <c r="J2697" s="1350"/>
      <c r="K2697" s="1350"/>
      <c r="L2697" s="1350"/>
      <c r="M2697" s="1350"/>
      <c r="N2697" s="1350"/>
      <c r="O2697" s="1350"/>
      <c r="P2697" s="1350"/>
      <c r="Q2697" s="1350"/>
      <c r="R2697" s="1350"/>
      <c r="S2697" s="1350"/>
      <c r="T2697" s="1350"/>
      <c r="U2697" s="1350"/>
      <c r="V2697" s="1350"/>
      <c r="W2697" s="1350"/>
      <c r="X2697" s="1350"/>
      <c r="Y2697" s="1350"/>
      <c r="Z2697" s="1350"/>
      <c r="AA2697" s="1350"/>
      <c r="AB2697" s="1350"/>
      <c r="AC2697" s="1350"/>
      <c r="AD2697" s="1350"/>
      <c r="AE2697" s="1350"/>
      <c r="AF2697" s="1350"/>
      <c r="AG2697" s="1350"/>
      <c r="AH2697" s="1350"/>
      <c r="AI2697" s="1350"/>
      <c r="AJ2697" s="1350"/>
      <c r="AK2697" s="1350"/>
      <c r="AL2697" s="1350"/>
      <c r="AM2697" s="1350"/>
      <c r="AN2697" s="1350"/>
      <c r="AO2697" s="1350"/>
      <c r="AP2697" s="1350"/>
      <c r="AQ2697" s="1350"/>
      <c r="AR2697" s="1350"/>
      <c r="AS2697" s="1350"/>
      <c r="AT2697" s="1350"/>
      <c r="AU2697" s="1350"/>
      <c r="AV2697" s="1350"/>
      <c r="AW2697" s="1350"/>
      <c r="AX2697" s="1350"/>
      <c r="AY2697" s="1350"/>
      <c r="AZ2697" s="1350"/>
      <c r="BA2697" s="1070"/>
      <c r="BB2697" s="1070"/>
      <c r="BC2697" s="1070"/>
      <c r="BD2697" s="1070"/>
      <c r="BE2697" s="1070"/>
      <c r="BF2697" s="1070"/>
      <c r="BG2697" s="1070"/>
      <c r="BH2697" s="1070"/>
      <c r="BI2697" s="1070"/>
      <c r="BJ2697" s="1070"/>
      <c r="BK2697" s="1070"/>
      <c r="BL2697" s="1070"/>
      <c r="BM2697" s="1070"/>
      <c r="BN2697" s="1070"/>
      <c r="BO2697" s="1070"/>
      <c r="BP2697" s="1070"/>
      <c r="BQ2697" s="1070"/>
      <c r="BR2697" s="1070"/>
      <c r="BS2697" s="1070"/>
      <c r="BT2697" s="1070"/>
      <c r="BU2697" s="1070"/>
      <c r="BV2697" s="1070"/>
      <c r="BW2697" s="1070"/>
      <c r="BX2697" s="1070"/>
      <c r="BY2697" s="1070"/>
      <c r="BZ2697" s="1070"/>
      <c r="CA2697" s="1070"/>
      <c r="CB2697" s="1070"/>
      <c r="CC2697" s="1070"/>
      <c r="CD2697" s="1070"/>
      <c r="CE2697" s="1070"/>
      <c r="CF2697" s="1070"/>
      <c r="CG2697" s="1070"/>
      <c r="CH2697" s="1070"/>
      <c r="CI2697" s="1070"/>
      <c r="CJ2697" s="1070"/>
      <c r="CK2697" s="1070"/>
      <c r="CL2697" s="1070"/>
      <c r="CM2697" s="1070"/>
      <c r="CN2697" s="1070"/>
      <c r="CO2697" s="1070"/>
      <c r="CP2697" s="1070"/>
      <c r="CQ2697" s="1070"/>
      <c r="CR2697" s="1070"/>
      <c r="CS2697" s="1070"/>
      <c r="CT2697" s="1070"/>
      <c r="CU2697" s="1070"/>
      <c r="CV2697" s="1070"/>
      <c r="CW2697" s="1070"/>
      <c r="CX2697" s="1070"/>
      <c r="CY2697" s="1070"/>
      <c r="CZ2697" s="1070"/>
      <c r="DA2697" s="1070"/>
      <c r="DB2697" s="1070"/>
      <c r="DC2697" s="1070"/>
      <c r="DD2697" s="1070"/>
      <c r="DE2697" s="1070"/>
      <c r="DF2697" s="1070"/>
      <c r="DG2697" s="1070"/>
      <c r="DH2697" s="1070"/>
      <c r="DI2697" s="1070"/>
      <c r="DJ2697" s="1070"/>
    </row>
    <row r="2698" spans="1:114" s="1136" customFormat="1" ht="16.5" thickBot="1" x14ac:dyDescent="0.3">
      <c r="A2698" s="1512" t="s">
        <v>4325</v>
      </c>
      <c r="B2698" s="1513"/>
      <c r="C2698" s="1514"/>
      <c r="D2698" s="1350"/>
      <c r="E2698" s="1350"/>
      <c r="F2698" s="1350"/>
      <c r="G2698" s="1350"/>
      <c r="H2698" s="1350"/>
      <c r="I2698" s="1350"/>
      <c r="J2698" s="1350"/>
      <c r="K2698" s="1350"/>
      <c r="L2698" s="1350"/>
      <c r="M2698" s="1350"/>
      <c r="N2698" s="1350"/>
      <c r="O2698" s="1350"/>
      <c r="P2698" s="1350"/>
      <c r="Q2698" s="1350"/>
      <c r="R2698" s="1350"/>
      <c r="S2698" s="1350"/>
      <c r="T2698" s="1350"/>
      <c r="U2698" s="1350"/>
      <c r="V2698" s="1350"/>
      <c r="W2698" s="1350"/>
      <c r="X2698" s="1350"/>
      <c r="Y2698" s="1350"/>
      <c r="Z2698" s="1350"/>
      <c r="AA2698" s="1350"/>
      <c r="AB2698" s="1350"/>
      <c r="AC2698" s="1350"/>
      <c r="AD2698" s="1350"/>
      <c r="AE2698" s="1350"/>
      <c r="AF2698" s="1350"/>
      <c r="AG2698" s="1350"/>
      <c r="AH2698" s="1350"/>
      <c r="AI2698" s="1350"/>
      <c r="AJ2698" s="1350"/>
      <c r="AK2698" s="1350"/>
      <c r="AL2698" s="1350"/>
      <c r="AM2698" s="1350"/>
      <c r="AN2698" s="1350"/>
      <c r="AO2698" s="1350"/>
      <c r="AP2698" s="1350"/>
      <c r="AQ2698" s="1350"/>
      <c r="AR2698" s="1350"/>
      <c r="AS2698" s="1350"/>
      <c r="AT2698" s="1350"/>
      <c r="AU2698" s="1350"/>
      <c r="AV2698" s="1350"/>
      <c r="AW2698" s="1350"/>
      <c r="AX2698" s="1350"/>
      <c r="AY2698" s="1350"/>
      <c r="AZ2698" s="1350"/>
      <c r="BA2698" s="1070"/>
      <c r="BB2698" s="1070"/>
      <c r="BC2698" s="1070"/>
      <c r="BD2698" s="1070"/>
      <c r="BE2698" s="1070"/>
      <c r="BF2698" s="1070"/>
      <c r="BG2698" s="1070"/>
      <c r="BH2698" s="1070"/>
      <c r="BI2698" s="1070"/>
      <c r="BJ2698" s="1070"/>
      <c r="BK2698" s="1070"/>
      <c r="BL2698" s="1070"/>
      <c r="BM2698" s="1070"/>
      <c r="BN2698" s="1070"/>
      <c r="BO2698" s="1070"/>
      <c r="BP2698" s="1070"/>
      <c r="BQ2698" s="1070"/>
      <c r="BR2698" s="1070"/>
      <c r="BS2698" s="1070"/>
      <c r="BT2698" s="1070"/>
      <c r="BU2698" s="1070"/>
      <c r="BV2698" s="1070"/>
      <c r="BW2698" s="1070"/>
      <c r="BX2698" s="1070"/>
      <c r="BY2698" s="1070"/>
      <c r="BZ2698" s="1070"/>
      <c r="CA2698" s="1070"/>
      <c r="CB2698" s="1070"/>
      <c r="CC2698" s="1070"/>
      <c r="CD2698" s="1070"/>
      <c r="CE2698" s="1070"/>
      <c r="CF2698" s="1070"/>
      <c r="CG2698" s="1070"/>
      <c r="CH2698" s="1070"/>
      <c r="CI2698" s="1070"/>
      <c r="CJ2698" s="1070"/>
      <c r="CK2698" s="1070"/>
      <c r="CL2698" s="1070"/>
      <c r="CM2698" s="1070"/>
      <c r="CN2698" s="1070"/>
      <c r="CO2698" s="1070"/>
      <c r="CP2698" s="1070"/>
      <c r="CQ2698" s="1070"/>
      <c r="CR2698" s="1070"/>
      <c r="CS2698" s="1070"/>
      <c r="CT2698" s="1070"/>
      <c r="CU2698" s="1070"/>
      <c r="CV2698" s="1070"/>
      <c r="CW2698" s="1070"/>
      <c r="CX2698" s="1070"/>
      <c r="CY2698" s="1070"/>
      <c r="CZ2698" s="1070"/>
      <c r="DA2698" s="1070"/>
      <c r="DB2698" s="1070"/>
      <c r="DC2698" s="1070"/>
      <c r="DD2698" s="1070"/>
      <c r="DE2698" s="1070"/>
      <c r="DF2698" s="1070"/>
      <c r="DG2698" s="1070"/>
      <c r="DH2698" s="1070"/>
      <c r="DI2698" s="1070"/>
      <c r="DJ2698" s="1070"/>
    </row>
    <row r="2699" spans="1:114" s="1136" customFormat="1" ht="27" customHeight="1" x14ac:dyDescent="0.25">
      <c r="A2699" s="1515" t="s">
        <v>5019</v>
      </c>
      <c r="B2699" s="1516" t="b">
        <f>IF(B245=0.5,1,IF(B245=0.63,1.25,IF(B245=0.8,0.8,IF(B245=1,1))))</f>
        <v>0</v>
      </c>
      <c r="C2699" s="1350"/>
      <c r="D2699" s="1350"/>
      <c r="E2699" s="1350"/>
      <c r="F2699" s="1350"/>
      <c r="G2699" s="1350"/>
      <c r="H2699" s="1350"/>
      <c r="I2699" s="1350"/>
      <c r="J2699" s="1350"/>
      <c r="K2699" s="1350"/>
      <c r="L2699" s="1350"/>
      <c r="M2699" s="1350"/>
      <c r="N2699" s="1350"/>
      <c r="O2699" s="1350"/>
      <c r="P2699" s="1350"/>
      <c r="Q2699" s="1350"/>
      <c r="R2699" s="1350"/>
      <c r="S2699" s="1350"/>
      <c r="T2699" s="1350"/>
      <c r="U2699" s="1350"/>
      <c r="V2699" s="1350"/>
      <c r="W2699" s="1350"/>
      <c r="X2699" s="1350"/>
      <c r="Y2699" s="1350"/>
      <c r="Z2699" s="1350"/>
      <c r="AA2699" s="1350"/>
      <c r="AB2699" s="1350"/>
      <c r="AC2699" s="1350"/>
      <c r="AD2699" s="1350"/>
      <c r="AE2699" s="1350"/>
      <c r="AF2699" s="1350"/>
      <c r="AG2699" s="1350"/>
      <c r="AH2699" s="1350"/>
      <c r="AI2699" s="1350"/>
      <c r="AJ2699" s="1350"/>
      <c r="AK2699" s="1350"/>
      <c r="AL2699" s="1350"/>
      <c r="AM2699" s="1350"/>
      <c r="AN2699" s="1350"/>
      <c r="AO2699" s="1350"/>
      <c r="AP2699" s="1350"/>
      <c r="AQ2699" s="1350"/>
      <c r="AR2699" s="1350"/>
      <c r="AS2699" s="1350"/>
      <c r="AT2699" s="1350"/>
      <c r="AU2699" s="1350"/>
      <c r="AV2699" s="1350"/>
      <c r="AW2699" s="1350"/>
      <c r="AX2699" s="1350"/>
      <c r="AY2699" s="1350"/>
      <c r="AZ2699" s="1350"/>
      <c r="BA2699" s="1070"/>
      <c r="BB2699" s="1070"/>
      <c r="BC2699" s="1070"/>
      <c r="BD2699" s="1070"/>
      <c r="BE2699" s="1070"/>
      <c r="BF2699" s="1070"/>
      <c r="BG2699" s="1070"/>
      <c r="BH2699" s="1070"/>
      <c r="BI2699" s="1070"/>
      <c r="BJ2699" s="1070"/>
      <c r="BK2699" s="1070"/>
      <c r="BL2699" s="1070"/>
      <c r="BM2699" s="1070"/>
      <c r="BN2699" s="1070"/>
      <c r="BO2699" s="1070"/>
      <c r="BP2699" s="1070"/>
      <c r="BQ2699" s="1070"/>
      <c r="BR2699" s="1070"/>
      <c r="BS2699" s="1070"/>
      <c r="BT2699" s="1070"/>
      <c r="BU2699" s="1070"/>
      <c r="BV2699" s="1070"/>
      <c r="BW2699" s="1070"/>
      <c r="BX2699" s="1070"/>
      <c r="BY2699" s="1070"/>
      <c r="BZ2699" s="1070"/>
      <c r="CA2699" s="1070"/>
      <c r="CB2699" s="1070"/>
      <c r="CC2699" s="1070"/>
      <c r="CD2699" s="1070"/>
      <c r="CE2699" s="1070"/>
      <c r="CF2699" s="1070"/>
      <c r="CG2699" s="1070"/>
      <c r="CH2699" s="1070"/>
      <c r="CI2699" s="1070"/>
      <c r="CJ2699" s="1070"/>
      <c r="CK2699" s="1070"/>
      <c r="CL2699" s="1070"/>
      <c r="CM2699" s="1070"/>
      <c r="CN2699" s="1070"/>
      <c r="CO2699" s="1070"/>
      <c r="CP2699" s="1070"/>
      <c r="CQ2699" s="1070"/>
      <c r="CR2699" s="1070"/>
      <c r="CS2699" s="1070"/>
      <c r="CT2699" s="1070"/>
      <c r="CU2699" s="1070"/>
      <c r="CV2699" s="1070"/>
      <c r="CW2699" s="1070"/>
      <c r="CX2699" s="1070"/>
      <c r="CY2699" s="1070"/>
      <c r="CZ2699" s="1070"/>
      <c r="DA2699" s="1070"/>
      <c r="DB2699" s="1070"/>
      <c r="DC2699" s="1070"/>
      <c r="DD2699" s="1070"/>
      <c r="DE2699" s="1070"/>
      <c r="DF2699" s="1070"/>
      <c r="DG2699" s="1070"/>
      <c r="DH2699" s="1070"/>
      <c r="DI2699" s="1070"/>
      <c r="DJ2699" s="1070"/>
    </row>
    <row r="2700" spans="1:114" s="1531" customFormat="1" ht="15.75" x14ac:dyDescent="0.25">
      <c r="A2700" s="1517" t="s">
        <v>5476</v>
      </c>
      <c r="B2700" s="1518">
        <v>1</v>
      </c>
      <c r="C2700" s="1350"/>
      <c r="D2700" s="1416"/>
      <c r="E2700" s="1416"/>
      <c r="F2700" s="1416"/>
      <c r="G2700" s="1416"/>
      <c r="H2700" s="1493"/>
      <c r="I2700" s="1493"/>
      <c r="J2700" s="1493"/>
      <c r="K2700" s="1493"/>
      <c r="L2700" s="1493"/>
      <c r="M2700" s="1493"/>
      <c r="N2700" s="1493"/>
      <c r="O2700" s="1493"/>
      <c r="P2700" s="1493"/>
      <c r="Q2700" s="1493"/>
      <c r="R2700" s="1493"/>
      <c r="S2700" s="1493"/>
      <c r="T2700" s="1493"/>
      <c r="U2700" s="1493"/>
      <c r="V2700" s="1493"/>
      <c r="W2700" s="1493"/>
      <c r="X2700" s="1493"/>
      <c r="Y2700" s="1493"/>
      <c r="Z2700" s="1493"/>
      <c r="AA2700" s="1493"/>
      <c r="AB2700" s="1493"/>
      <c r="AC2700" s="1493"/>
      <c r="AD2700" s="1493"/>
      <c r="AE2700" s="1493"/>
      <c r="AF2700" s="1493"/>
      <c r="AG2700" s="1493"/>
      <c r="AH2700" s="1493"/>
      <c r="AI2700" s="1493"/>
      <c r="AJ2700" s="1493"/>
      <c r="AK2700" s="1493"/>
      <c r="AL2700" s="1493"/>
      <c r="AM2700" s="1493"/>
      <c r="AN2700" s="1493"/>
      <c r="AO2700" s="1493"/>
      <c r="AP2700" s="1493"/>
      <c r="AQ2700" s="1493"/>
      <c r="AR2700" s="1493"/>
      <c r="AS2700" s="1493"/>
      <c r="AT2700" s="1493"/>
      <c r="AU2700" s="1493"/>
      <c r="AV2700" s="1493"/>
      <c r="AW2700" s="1493"/>
      <c r="AX2700" s="1493"/>
      <c r="AY2700" s="1493"/>
      <c r="AZ2700" s="1493"/>
      <c r="BA2700" s="1493"/>
      <c r="BB2700" s="1493"/>
      <c r="BC2700" s="1493"/>
      <c r="BD2700" s="1493"/>
      <c r="BE2700" s="1493"/>
      <c r="BF2700" s="1493"/>
      <c r="BG2700" s="1493"/>
      <c r="BH2700" s="1493"/>
      <c r="BI2700" s="1493"/>
      <c r="BJ2700" s="1493"/>
      <c r="BK2700" s="1493"/>
      <c r="BL2700" s="1493"/>
      <c r="BM2700" s="1493"/>
      <c r="BN2700" s="1493"/>
      <c r="BO2700" s="1493"/>
      <c r="BP2700" s="1493"/>
      <c r="BQ2700" s="1493"/>
      <c r="BR2700" s="1493"/>
      <c r="BS2700" s="1493"/>
      <c r="BT2700" s="1493"/>
      <c r="BU2700" s="1493"/>
      <c r="BV2700" s="1493"/>
      <c r="BW2700" s="1493"/>
      <c r="BX2700" s="1493"/>
      <c r="BY2700" s="1493"/>
      <c r="BZ2700" s="1493"/>
      <c r="CA2700" s="1493"/>
      <c r="CB2700" s="1493"/>
      <c r="CC2700" s="1493"/>
      <c r="CD2700" s="1493"/>
      <c r="CE2700" s="1493"/>
      <c r="CF2700" s="1493"/>
      <c r="CG2700" s="1493"/>
      <c r="CH2700" s="1493"/>
      <c r="CI2700" s="1493"/>
      <c r="CJ2700" s="1493"/>
      <c r="CK2700" s="1493"/>
      <c r="CL2700" s="1493"/>
      <c r="CM2700" s="1493"/>
      <c r="CN2700" s="1493"/>
      <c r="CO2700" s="1493"/>
      <c r="CP2700" s="1493"/>
      <c r="CQ2700" s="1493"/>
      <c r="CR2700" s="1493"/>
      <c r="CS2700" s="1493"/>
      <c r="CT2700" s="1493"/>
      <c r="CU2700" s="1493"/>
      <c r="CV2700" s="1493"/>
      <c r="CW2700" s="1493"/>
      <c r="CX2700" s="1493"/>
      <c r="CY2700" s="1493"/>
      <c r="CZ2700" s="1493"/>
      <c r="DA2700" s="1493"/>
      <c r="DB2700" s="1493"/>
      <c r="DC2700" s="1493"/>
      <c r="DD2700" s="1493"/>
      <c r="DE2700" s="1493"/>
      <c r="DF2700" s="1493"/>
      <c r="DG2700" s="1493"/>
      <c r="DH2700" s="1493"/>
      <c r="DI2700" s="1493"/>
      <c r="DJ2700" s="1493"/>
    </row>
    <row r="2701" spans="1:114" s="1531" customFormat="1" ht="15.75" x14ac:dyDescent="0.25">
      <c r="A2701" s="1517" t="s">
        <v>5477</v>
      </c>
      <c r="B2701" s="1508" t="b">
        <f>B2699</f>
        <v>0</v>
      </c>
      <c r="C2701" s="1416"/>
      <c r="D2701" s="1416"/>
      <c r="E2701" s="1416"/>
      <c r="F2701" s="1416"/>
      <c r="G2701" s="1416"/>
      <c r="H2701" s="1493"/>
      <c r="I2701" s="1493"/>
      <c r="J2701" s="1493"/>
      <c r="K2701" s="1493"/>
      <c r="L2701" s="1493"/>
      <c r="M2701" s="1493"/>
      <c r="N2701" s="1493"/>
      <c r="O2701" s="1493"/>
      <c r="P2701" s="1493"/>
      <c r="Q2701" s="1493"/>
      <c r="R2701" s="1493"/>
      <c r="S2701" s="1493"/>
      <c r="T2701" s="1493"/>
      <c r="U2701" s="1493"/>
      <c r="V2701" s="1493"/>
      <c r="W2701" s="1493"/>
      <c r="X2701" s="1493"/>
      <c r="Y2701" s="1493"/>
      <c r="Z2701" s="1493"/>
      <c r="AA2701" s="1493"/>
      <c r="AB2701" s="1493"/>
      <c r="AC2701" s="1493"/>
      <c r="AD2701" s="1493"/>
      <c r="AE2701" s="1493"/>
      <c r="AF2701" s="1493"/>
      <c r="AG2701" s="1493"/>
      <c r="AH2701" s="1493"/>
      <c r="AI2701" s="1493"/>
      <c r="AJ2701" s="1493"/>
      <c r="AK2701" s="1493"/>
      <c r="AL2701" s="1493"/>
      <c r="AM2701" s="1493"/>
      <c r="AN2701" s="1493"/>
      <c r="AO2701" s="1493"/>
      <c r="AP2701" s="1493"/>
      <c r="AQ2701" s="1493"/>
      <c r="AR2701" s="1493"/>
      <c r="AS2701" s="1493"/>
      <c r="AT2701" s="1493"/>
      <c r="AU2701" s="1493"/>
      <c r="AV2701" s="1493"/>
      <c r="AW2701" s="1493"/>
      <c r="AX2701" s="1493"/>
      <c r="AY2701" s="1493"/>
      <c r="AZ2701" s="1493"/>
      <c r="BA2701" s="1493"/>
      <c r="BB2701" s="1493"/>
      <c r="BC2701" s="1493"/>
      <c r="BD2701" s="1493"/>
      <c r="BE2701" s="1493"/>
      <c r="BF2701" s="1493"/>
      <c r="BG2701" s="1493"/>
      <c r="BH2701" s="1493"/>
      <c r="BI2701" s="1493"/>
      <c r="BJ2701" s="1493"/>
      <c r="BK2701" s="1493"/>
      <c r="BL2701" s="1493"/>
      <c r="BM2701" s="1493"/>
      <c r="BN2701" s="1493"/>
      <c r="BO2701" s="1493"/>
      <c r="BP2701" s="1493"/>
      <c r="BQ2701" s="1493"/>
      <c r="BR2701" s="1493"/>
      <c r="BS2701" s="1493"/>
      <c r="BT2701" s="1493"/>
      <c r="BU2701" s="1493"/>
      <c r="BV2701" s="1493"/>
      <c r="BW2701" s="1493"/>
      <c r="BX2701" s="1493"/>
      <c r="BY2701" s="1493"/>
      <c r="BZ2701" s="1493"/>
      <c r="CA2701" s="1493"/>
      <c r="CB2701" s="1493"/>
      <c r="CC2701" s="1493"/>
      <c r="CD2701" s="1493"/>
      <c r="CE2701" s="1493"/>
      <c r="CF2701" s="1493"/>
      <c r="CG2701" s="1493"/>
      <c r="CH2701" s="1493"/>
      <c r="CI2701" s="1493"/>
      <c r="CJ2701" s="1493"/>
      <c r="CK2701" s="1493"/>
      <c r="CL2701" s="1493"/>
      <c r="CM2701" s="1493"/>
      <c r="CN2701" s="1493"/>
      <c r="CO2701" s="1493"/>
      <c r="CP2701" s="1493"/>
      <c r="CQ2701" s="1493"/>
      <c r="CR2701" s="1493"/>
      <c r="CS2701" s="1493"/>
      <c r="CT2701" s="1493"/>
      <c r="CU2701" s="1493"/>
      <c r="CV2701" s="1493"/>
      <c r="CW2701" s="1493"/>
      <c r="CX2701" s="1493"/>
      <c r="CY2701" s="1493"/>
      <c r="CZ2701" s="1493"/>
      <c r="DA2701" s="1493"/>
      <c r="DB2701" s="1493"/>
      <c r="DC2701" s="1493"/>
      <c r="DD2701" s="1493"/>
      <c r="DE2701" s="1493"/>
      <c r="DF2701" s="1493"/>
      <c r="DG2701" s="1493"/>
      <c r="DH2701" s="1493"/>
      <c r="DI2701" s="1493"/>
      <c r="DJ2701" s="1493"/>
    </row>
    <row r="2702" spans="1:114" s="1531" customFormat="1" ht="15.75" x14ac:dyDescent="0.25">
      <c r="A2702" s="1519" t="s">
        <v>5478</v>
      </c>
      <c r="B2702" s="1520" t="e">
        <f>(B2694/B2699)*B2389</f>
        <v>#VALUE!</v>
      </c>
      <c r="C2702" s="1521"/>
      <c r="D2702" s="1416"/>
      <c r="E2702" s="1416"/>
      <c r="F2702" s="1416"/>
      <c r="G2702" s="1416"/>
      <c r="H2702" s="1493"/>
      <c r="I2702" s="1493"/>
      <c r="J2702" s="1493"/>
      <c r="K2702" s="1493"/>
      <c r="L2702" s="1493"/>
      <c r="M2702" s="1493"/>
      <c r="N2702" s="1493"/>
      <c r="O2702" s="1493"/>
      <c r="P2702" s="1493"/>
      <c r="Q2702" s="1493"/>
      <c r="R2702" s="1493"/>
      <c r="S2702" s="1493"/>
      <c r="T2702" s="1493"/>
      <c r="U2702" s="1493"/>
      <c r="V2702" s="1493"/>
      <c r="W2702" s="1493"/>
      <c r="X2702" s="1493"/>
      <c r="Y2702" s="1493"/>
      <c r="Z2702" s="1493"/>
      <c r="AA2702" s="1493"/>
      <c r="AB2702" s="1493"/>
      <c r="AC2702" s="1493"/>
      <c r="AD2702" s="1493"/>
      <c r="AE2702" s="1493"/>
      <c r="AF2702" s="1493"/>
      <c r="AG2702" s="1493"/>
      <c r="AH2702" s="1493"/>
      <c r="AI2702" s="1493"/>
      <c r="AJ2702" s="1493"/>
      <c r="AK2702" s="1493"/>
      <c r="AL2702" s="1493"/>
      <c r="AM2702" s="1493"/>
      <c r="AN2702" s="1493"/>
      <c r="AO2702" s="1493"/>
      <c r="AP2702" s="1493"/>
      <c r="AQ2702" s="1493"/>
      <c r="AR2702" s="1493"/>
      <c r="AS2702" s="1493"/>
      <c r="AT2702" s="1493"/>
      <c r="AU2702" s="1493"/>
      <c r="AV2702" s="1493"/>
      <c r="AW2702" s="1493"/>
      <c r="AX2702" s="1493"/>
      <c r="AY2702" s="1493"/>
      <c r="AZ2702" s="1493"/>
      <c r="BA2702" s="1493"/>
      <c r="BB2702" s="1493"/>
      <c r="BC2702" s="1493"/>
      <c r="BD2702" s="1493"/>
      <c r="BE2702" s="1493"/>
      <c r="BF2702" s="1493"/>
      <c r="BG2702" s="1493"/>
      <c r="BH2702" s="1493"/>
      <c r="BI2702" s="1493"/>
      <c r="BJ2702" s="1493"/>
      <c r="BK2702" s="1493"/>
      <c r="BL2702" s="1493"/>
      <c r="BM2702" s="1493"/>
      <c r="BN2702" s="1493"/>
      <c r="BO2702" s="1493"/>
      <c r="BP2702" s="1493"/>
      <c r="BQ2702" s="1493"/>
      <c r="BR2702" s="1493"/>
      <c r="BS2702" s="1493"/>
      <c r="BT2702" s="1493"/>
      <c r="BU2702" s="1493"/>
      <c r="BV2702" s="1493"/>
      <c r="BW2702" s="1493"/>
      <c r="BX2702" s="1493"/>
      <c r="BY2702" s="1493"/>
      <c r="BZ2702" s="1493"/>
      <c r="CA2702" s="1493"/>
      <c r="CB2702" s="1493"/>
      <c r="CC2702" s="1493"/>
      <c r="CD2702" s="1493"/>
      <c r="CE2702" s="1493"/>
      <c r="CF2702" s="1493"/>
      <c r="CG2702" s="1493"/>
      <c r="CH2702" s="1493"/>
      <c r="CI2702" s="1493"/>
      <c r="CJ2702" s="1493"/>
      <c r="CK2702" s="1493"/>
      <c r="CL2702" s="1493"/>
      <c r="CM2702" s="1493"/>
      <c r="CN2702" s="1493"/>
      <c r="CO2702" s="1493"/>
      <c r="CP2702" s="1493"/>
      <c r="CQ2702" s="1493"/>
      <c r="CR2702" s="1493"/>
      <c r="CS2702" s="1493"/>
      <c r="CT2702" s="1493"/>
      <c r="CU2702" s="1493"/>
      <c r="CV2702" s="1493"/>
      <c r="CW2702" s="1493"/>
      <c r="CX2702" s="1493"/>
      <c r="CY2702" s="1493"/>
      <c r="CZ2702" s="1493"/>
      <c r="DA2702" s="1493"/>
      <c r="DB2702" s="1493"/>
      <c r="DC2702" s="1493"/>
      <c r="DD2702" s="1493"/>
      <c r="DE2702" s="1493"/>
      <c r="DF2702" s="1493"/>
      <c r="DG2702" s="1493"/>
      <c r="DH2702" s="1493"/>
      <c r="DI2702" s="1493"/>
      <c r="DJ2702" s="1493"/>
    </row>
    <row r="2703" spans="1:114" s="1531" customFormat="1" ht="15.75" x14ac:dyDescent="0.25">
      <c r="A2703" s="1519" t="s">
        <v>5479</v>
      </c>
      <c r="B2703" s="1522" t="e">
        <f>29.34*LN(B2693)+31.4</f>
        <v>#VALUE!</v>
      </c>
      <c r="C2703" s="1523"/>
      <c r="D2703" s="1416"/>
      <c r="E2703" s="1416"/>
      <c r="F2703" s="1416"/>
      <c r="G2703" s="1416"/>
      <c r="H2703" s="1493"/>
      <c r="I2703" s="1493"/>
      <c r="J2703" s="1493"/>
      <c r="K2703" s="1493"/>
      <c r="L2703" s="1493"/>
      <c r="M2703" s="1493"/>
      <c r="N2703" s="1493"/>
      <c r="O2703" s="1493"/>
      <c r="P2703" s="1493"/>
      <c r="Q2703" s="1493"/>
      <c r="R2703" s="1493"/>
      <c r="S2703" s="1493"/>
      <c r="T2703" s="1493"/>
      <c r="U2703" s="1493"/>
      <c r="V2703" s="1493"/>
      <c r="W2703" s="1493"/>
      <c r="X2703" s="1493"/>
      <c r="Y2703" s="1493"/>
      <c r="Z2703" s="1493"/>
      <c r="AA2703" s="1493"/>
      <c r="AB2703" s="1493"/>
      <c r="AC2703" s="1493"/>
      <c r="AD2703" s="1493"/>
      <c r="AE2703" s="1493"/>
      <c r="AF2703" s="1493"/>
      <c r="AG2703" s="1493"/>
      <c r="AH2703" s="1493"/>
      <c r="AI2703" s="1493"/>
      <c r="AJ2703" s="1493"/>
      <c r="AK2703" s="1493"/>
      <c r="AL2703" s="1493"/>
      <c r="AM2703" s="1493"/>
      <c r="AN2703" s="1493"/>
      <c r="AO2703" s="1493"/>
      <c r="AP2703" s="1493"/>
      <c r="AQ2703" s="1493"/>
      <c r="AR2703" s="1493"/>
      <c r="AS2703" s="1493"/>
      <c r="AT2703" s="1493"/>
      <c r="AU2703" s="1493"/>
      <c r="AV2703" s="1493"/>
      <c r="AW2703" s="1493"/>
      <c r="AX2703" s="1493"/>
      <c r="AY2703" s="1493"/>
      <c r="AZ2703" s="1493"/>
      <c r="BA2703" s="1493"/>
      <c r="BB2703" s="1493"/>
      <c r="BC2703" s="1493"/>
      <c r="BD2703" s="1493"/>
      <c r="BE2703" s="1493"/>
      <c r="BF2703" s="1493"/>
      <c r="BG2703" s="1493"/>
      <c r="BH2703" s="1493"/>
      <c r="BI2703" s="1493"/>
      <c r="BJ2703" s="1493"/>
      <c r="BK2703" s="1493"/>
      <c r="BL2703" s="1493"/>
      <c r="BM2703" s="1493"/>
      <c r="BN2703" s="1493"/>
      <c r="BO2703" s="1493"/>
      <c r="BP2703" s="1493"/>
      <c r="BQ2703" s="1493"/>
      <c r="BR2703" s="1493"/>
      <c r="BS2703" s="1493"/>
      <c r="BT2703" s="1493"/>
      <c r="BU2703" s="1493"/>
      <c r="BV2703" s="1493"/>
      <c r="BW2703" s="1493"/>
      <c r="BX2703" s="1493"/>
      <c r="BY2703" s="1493"/>
      <c r="BZ2703" s="1493"/>
      <c r="CA2703" s="1493"/>
      <c r="CB2703" s="1493"/>
      <c r="CC2703" s="1493"/>
      <c r="CD2703" s="1493"/>
      <c r="CE2703" s="1493"/>
      <c r="CF2703" s="1493"/>
      <c r="CG2703" s="1493"/>
      <c r="CH2703" s="1493"/>
      <c r="CI2703" s="1493"/>
      <c r="CJ2703" s="1493"/>
      <c r="CK2703" s="1493"/>
      <c r="CL2703" s="1493"/>
      <c r="CM2703" s="1493"/>
      <c r="CN2703" s="1493"/>
      <c r="CO2703" s="1493"/>
      <c r="CP2703" s="1493"/>
      <c r="CQ2703" s="1493"/>
      <c r="CR2703" s="1493"/>
      <c r="CS2703" s="1493"/>
      <c r="CT2703" s="1493"/>
      <c r="CU2703" s="1493"/>
      <c r="CV2703" s="1493"/>
      <c r="CW2703" s="1493"/>
      <c r="CX2703" s="1493"/>
      <c r="CY2703" s="1493"/>
      <c r="CZ2703" s="1493"/>
      <c r="DA2703" s="1493"/>
      <c r="DB2703" s="1493"/>
      <c r="DC2703" s="1493"/>
      <c r="DD2703" s="1493"/>
      <c r="DE2703" s="1493"/>
      <c r="DF2703" s="1493"/>
      <c r="DG2703" s="1493"/>
      <c r="DH2703" s="1493"/>
      <c r="DI2703" s="1493"/>
      <c r="DJ2703" s="1493"/>
    </row>
    <row r="2704" spans="1:114" s="1531" customFormat="1" ht="15.75" x14ac:dyDescent="0.25">
      <c r="A2704" s="1519" t="s">
        <v>955</v>
      </c>
      <c r="B2704" s="1522" t="e">
        <f>IF(B2703&lt;24.3,1,IF(B2703&lt;28.1,2,IF(B2703&lt;32.1,3,IF(B2703&lt;36.3,4,IF(B2703&lt;41.1,5,IF(B2703&lt;46.1,6,IF(B2703&lt;51.32,7,B2705)))))))</f>
        <v>#VALUE!</v>
      </c>
      <c r="C2704" s="1523"/>
      <c r="D2704" s="1429"/>
      <c r="E2704" s="1429"/>
      <c r="F2704" s="1429"/>
      <c r="G2704" s="1429"/>
      <c r="H2704" s="1493"/>
      <c r="I2704" s="1493"/>
      <c r="J2704" s="1493"/>
      <c r="K2704" s="1493"/>
      <c r="L2704" s="1493"/>
      <c r="M2704" s="1493"/>
      <c r="N2704" s="1493"/>
      <c r="O2704" s="1493"/>
      <c r="P2704" s="1493"/>
      <c r="Q2704" s="1493"/>
      <c r="R2704" s="1493"/>
      <c r="S2704" s="1493"/>
      <c r="T2704" s="1493"/>
      <c r="U2704" s="1493"/>
      <c r="V2704" s="1493"/>
      <c r="W2704" s="1493"/>
      <c r="X2704" s="1493"/>
      <c r="Y2704" s="1493"/>
      <c r="Z2704" s="1493"/>
      <c r="AA2704" s="1493"/>
      <c r="AB2704" s="1493"/>
      <c r="AC2704" s="1493"/>
      <c r="AD2704" s="1493"/>
      <c r="AE2704" s="1493"/>
      <c r="AF2704" s="1493"/>
      <c r="AG2704" s="1493"/>
      <c r="AH2704" s="1493"/>
      <c r="AI2704" s="1493"/>
      <c r="AJ2704" s="1493"/>
      <c r="AK2704" s="1493"/>
      <c r="AL2704" s="1493"/>
      <c r="AM2704" s="1493"/>
      <c r="AN2704" s="1493"/>
      <c r="AO2704" s="1493"/>
      <c r="AP2704" s="1493"/>
      <c r="AQ2704" s="1493"/>
      <c r="AR2704" s="1493"/>
      <c r="AS2704" s="1493"/>
      <c r="AT2704" s="1493"/>
      <c r="AU2704" s="1493"/>
      <c r="AV2704" s="1493"/>
      <c r="AW2704" s="1493"/>
      <c r="AX2704" s="1493"/>
      <c r="AY2704" s="1493"/>
      <c r="AZ2704" s="1493"/>
      <c r="BA2704" s="1493"/>
      <c r="BB2704" s="1493"/>
      <c r="BC2704" s="1493"/>
      <c r="BD2704" s="1493"/>
      <c r="BE2704" s="1493"/>
      <c r="BF2704" s="1493"/>
      <c r="BG2704" s="1493"/>
      <c r="BH2704" s="1493"/>
      <c r="BI2704" s="1493"/>
      <c r="BJ2704" s="1493"/>
      <c r="BK2704" s="1493"/>
      <c r="BL2704" s="1493"/>
      <c r="BM2704" s="1493"/>
      <c r="BN2704" s="1493"/>
      <c r="BO2704" s="1493"/>
      <c r="BP2704" s="1493"/>
      <c r="BQ2704" s="1493"/>
      <c r="BR2704" s="1493"/>
      <c r="BS2704" s="1493"/>
      <c r="BT2704" s="1493"/>
      <c r="BU2704" s="1493"/>
      <c r="BV2704" s="1493"/>
      <c r="BW2704" s="1493"/>
      <c r="BX2704" s="1493"/>
      <c r="BY2704" s="1493"/>
      <c r="BZ2704" s="1493"/>
      <c r="CA2704" s="1493"/>
      <c r="CB2704" s="1493"/>
      <c r="CC2704" s="1493"/>
      <c r="CD2704" s="1493"/>
      <c r="CE2704" s="1493"/>
      <c r="CF2704" s="1493"/>
      <c r="CG2704" s="1493"/>
      <c r="CH2704" s="1493"/>
      <c r="CI2704" s="1493"/>
      <c r="CJ2704" s="1493"/>
      <c r="CK2704" s="1493"/>
      <c r="CL2704" s="1493"/>
      <c r="CM2704" s="1493"/>
      <c r="CN2704" s="1493"/>
      <c r="CO2704" s="1493"/>
      <c r="CP2704" s="1493"/>
      <c r="CQ2704" s="1493"/>
      <c r="CR2704" s="1493"/>
      <c r="CS2704" s="1493"/>
      <c r="CT2704" s="1493"/>
      <c r="CU2704" s="1493"/>
      <c r="CV2704" s="1493"/>
      <c r="CW2704" s="1493"/>
      <c r="CX2704" s="1493"/>
      <c r="CY2704" s="1493"/>
      <c r="CZ2704" s="1493"/>
      <c r="DA2704" s="1493"/>
      <c r="DB2704" s="1493"/>
      <c r="DC2704" s="1493"/>
      <c r="DD2704" s="1493"/>
      <c r="DE2704" s="1493"/>
      <c r="DF2704" s="1493"/>
      <c r="DG2704" s="1493"/>
      <c r="DH2704" s="1493"/>
      <c r="DI2704" s="1493"/>
      <c r="DJ2704" s="1493"/>
    </row>
    <row r="2705" spans="1:114" s="1531" customFormat="1" ht="15.75" x14ac:dyDescent="0.25">
      <c r="A2705" s="1524" t="s">
        <v>3053</v>
      </c>
      <c r="B2705" s="1525" t="e">
        <f>IF(B2703&lt;57.1,8,IF(B2703&lt;63.1,9,IF(B2703&lt;69.7,10,11)))</f>
        <v>#VALUE!</v>
      </c>
      <c r="C2705" s="1350"/>
      <c r="D2705" s="1514"/>
      <c r="E2705" s="1514"/>
      <c r="F2705" s="1514"/>
      <c r="G2705" s="1514"/>
      <c r="H2705" s="1526"/>
      <c r="I2705" s="1526"/>
      <c r="J2705" s="1526"/>
      <c r="K2705" s="1526"/>
      <c r="L2705" s="1526"/>
      <c r="M2705" s="1526"/>
      <c r="N2705" s="1526"/>
      <c r="O2705" s="1526"/>
      <c r="P2705" s="1493"/>
      <c r="Q2705" s="1493"/>
      <c r="R2705" s="1493"/>
      <c r="S2705" s="1493"/>
      <c r="T2705" s="1493"/>
      <c r="U2705" s="1493"/>
      <c r="V2705" s="1493"/>
      <c r="W2705" s="1493"/>
      <c r="X2705" s="1493"/>
      <c r="Y2705" s="1493"/>
      <c r="Z2705" s="1493"/>
      <c r="AA2705" s="1493"/>
      <c r="AB2705" s="1493"/>
      <c r="AC2705" s="1493"/>
      <c r="AD2705" s="1493"/>
      <c r="AE2705" s="1493"/>
      <c r="AF2705" s="1493"/>
      <c r="AG2705" s="1493"/>
      <c r="AH2705" s="1493"/>
      <c r="AI2705" s="1493"/>
      <c r="AJ2705" s="1493"/>
      <c r="AK2705" s="1493"/>
      <c r="AL2705" s="1493"/>
      <c r="AM2705" s="1493"/>
      <c r="AN2705" s="1493"/>
      <c r="AO2705" s="1493"/>
      <c r="AP2705" s="1493"/>
      <c r="AQ2705" s="1493"/>
      <c r="AR2705" s="1493"/>
      <c r="AS2705" s="1493"/>
      <c r="AT2705" s="1493"/>
      <c r="AU2705" s="1493"/>
      <c r="AV2705" s="1493"/>
      <c r="AW2705" s="1493"/>
      <c r="AX2705" s="1493"/>
      <c r="AY2705" s="1493"/>
      <c r="AZ2705" s="1493"/>
      <c r="BA2705" s="1493"/>
      <c r="BB2705" s="1493"/>
      <c r="BC2705" s="1493"/>
      <c r="BD2705" s="1493"/>
      <c r="BE2705" s="1493"/>
      <c r="BF2705" s="1493"/>
      <c r="BG2705" s="1493"/>
      <c r="BH2705" s="1493"/>
      <c r="BI2705" s="1493"/>
      <c r="BJ2705" s="1493"/>
      <c r="BK2705" s="1493"/>
      <c r="BL2705" s="1493"/>
      <c r="BM2705" s="1493"/>
      <c r="BN2705" s="1493"/>
      <c r="BO2705" s="1493"/>
      <c r="BP2705" s="1493"/>
      <c r="BQ2705" s="1493"/>
      <c r="BR2705" s="1493"/>
      <c r="BS2705" s="1493"/>
      <c r="BT2705" s="1493"/>
      <c r="BU2705" s="1493"/>
      <c r="BV2705" s="1493"/>
      <c r="BW2705" s="1493"/>
      <c r="BX2705" s="1493"/>
      <c r="BY2705" s="1493"/>
      <c r="BZ2705" s="1493"/>
      <c r="CA2705" s="1493"/>
      <c r="CB2705" s="1493"/>
      <c r="CC2705" s="1493"/>
      <c r="CD2705" s="1493"/>
      <c r="CE2705" s="1493"/>
      <c r="CF2705" s="1493"/>
      <c r="CG2705" s="1493"/>
      <c r="CH2705" s="1493"/>
      <c r="CI2705" s="1493"/>
      <c r="CJ2705" s="1493"/>
      <c r="CK2705" s="1493"/>
      <c r="CL2705" s="1493"/>
      <c r="CM2705" s="1493"/>
      <c r="CN2705" s="1493"/>
      <c r="CO2705" s="1493"/>
      <c r="CP2705" s="1493"/>
      <c r="CQ2705" s="1493"/>
      <c r="CR2705" s="1493"/>
      <c r="CS2705" s="1493"/>
      <c r="CT2705" s="1493"/>
      <c r="CU2705" s="1493"/>
      <c r="CV2705" s="1493"/>
      <c r="CW2705" s="1493"/>
      <c r="CX2705" s="1493"/>
      <c r="CY2705" s="1493"/>
      <c r="CZ2705" s="1493"/>
      <c r="DA2705" s="1493"/>
      <c r="DB2705" s="1493"/>
      <c r="DC2705" s="1493"/>
      <c r="DD2705" s="1493"/>
      <c r="DE2705" s="1493"/>
      <c r="DF2705" s="1493"/>
      <c r="DG2705" s="1493"/>
      <c r="DH2705" s="1493"/>
      <c r="DI2705" s="1493"/>
      <c r="DJ2705" s="1493"/>
    </row>
    <row r="2706" spans="1:114" s="1531" customFormat="1" ht="15.75" x14ac:dyDescent="0.25">
      <c r="A2706" s="1527" t="s">
        <v>3054</v>
      </c>
      <c r="B2706" s="1522">
        <v>98.8</v>
      </c>
      <c r="C2706" s="1523"/>
      <c r="D2706" s="1350"/>
      <c r="E2706" s="1350"/>
      <c r="F2706" s="1350"/>
      <c r="G2706" s="1350"/>
      <c r="H2706" s="1526"/>
      <c r="I2706" s="1526"/>
      <c r="J2706" s="1526"/>
      <c r="K2706" s="1526"/>
      <c r="L2706" s="1526"/>
      <c r="M2706" s="1526"/>
      <c r="N2706" s="1526"/>
      <c r="O2706" s="1526"/>
      <c r="P2706" s="1493"/>
      <c r="Q2706" s="1493"/>
      <c r="R2706" s="1493"/>
      <c r="S2706" s="1493"/>
      <c r="T2706" s="1493"/>
      <c r="U2706" s="1493"/>
      <c r="V2706" s="1493"/>
      <c r="W2706" s="1493"/>
      <c r="X2706" s="1493"/>
      <c r="Y2706" s="1493"/>
      <c r="Z2706" s="1493"/>
      <c r="AA2706" s="1493"/>
      <c r="AB2706" s="1493"/>
      <c r="AC2706" s="1493"/>
      <c r="AD2706" s="1493"/>
      <c r="AE2706" s="1493"/>
      <c r="AF2706" s="1493"/>
      <c r="AG2706" s="1493"/>
      <c r="AH2706" s="1493"/>
      <c r="AI2706" s="1493"/>
      <c r="AJ2706" s="1493"/>
      <c r="AK2706" s="1493"/>
      <c r="AL2706" s="1493"/>
      <c r="AM2706" s="1493"/>
      <c r="AN2706" s="1493"/>
      <c r="AO2706" s="1493"/>
      <c r="AP2706" s="1493"/>
      <c r="AQ2706" s="1493"/>
      <c r="AR2706" s="1493"/>
      <c r="AS2706" s="1493"/>
      <c r="AT2706" s="1493"/>
      <c r="AU2706" s="1493"/>
      <c r="AV2706" s="1493"/>
      <c r="AW2706" s="1493"/>
      <c r="AX2706" s="1493"/>
      <c r="AY2706" s="1493"/>
      <c r="AZ2706" s="1493"/>
      <c r="BA2706" s="1493"/>
      <c r="BB2706" s="1493"/>
      <c r="BC2706" s="1493"/>
      <c r="BD2706" s="1493"/>
      <c r="BE2706" s="1493"/>
      <c r="BF2706" s="1493"/>
      <c r="BG2706" s="1493"/>
      <c r="BH2706" s="1493"/>
      <c r="BI2706" s="1493"/>
      <c r="BJ2706" s="1493"/>
      <c r="BK2706" s="1493"/>
      <c r="BL2706" s="1493"/>
      <c r="BM2706" s="1493"/>
      <c r="BN2706" s="1493"/>
      <c r="BO2706" s="1493"/>
      <c r="BP2706" s="1493"/>
      <c r="BQ2706" s="1493"/>
      <c r="BR2706" s="1493"/>
      <c r="BS2706" s="1493"/>
      <c r="BT2706" s="1493"/>
      <c r="BU2706" s="1493"/>
      <c r="BV2706" s="1493"/>
      <c r="BW2706" s="1493"/>
      <c r="BX2706" s="1493"/>
      <c r="BY2706" s="1493"/>
      <c r="BZ2706" s="1493"/>
      <c r="CA2706" s="1493"/>
      <c r="CB2706" s="1493"/>
      <c r="CC2706" s="1493"/>
      <c r="CD2706" s="1493"/>
      <c r="CE2706" s="1493"/>
      <c r="CF2706" s="1493"/>
      <c r="CG2706" s="1493"/>
      <c r="CH2706" s="1493"/>
      <c r="CI2706" s="1493"/>
      <c r="CJ2706" s="1493"/>
      <c r="CK2706" s="1493"/>
      <c r="CL2706" s="1493"/>
      <c r="CM2706" s="1493"/>
      <c r="CN2706" s="1493"/>
      <c r="CO2706" s="1493"/>
      <c r="CP2706" s="1493"/>
      <c r="CQ2706" s="1493"/>
      <c r="CR2706" s="1493"/>
      <c r="CS2706" s="1493"/>
      <c r="CT2706" s="1493"/>
      <c r="CU2706" s="1493"/>
      <c r="CV2706" s="1493"/>
      <c r="CW2706" s="1493"/>
      <c r="CX2706" s="1493"/>
      <c r="CY2706" s="1493"/>
      <c r="CZ2706" s="1493"/>
      <c r="DA2706" s="1493"/>
      <c r="DB2706" s="1493"/>
      <c r="DC2706" s="1493"/>
      <c r="DD2706" s="1493"/>
      <c r="DE2706" s="1493"/>
      <c r="DF2706" s="1493"/>
      <c r="DG2706" s="1493"/>
      <c r="DH2706" s="1493"/>
      <c r="DI2706" s="1493"/>
      <c r="DJ2706" s="1493"/>
    </row>
    <row r="2707" spans="1:114" s="1531" customFormat="1" ht="15.75" x14ac:dyDescent="0.25">
      <c r="A2707" s="1519" t="s">
        <v>3055</v>
      </c>
      <c r="B2707" s="1528"/>
      <c r="C2707" s="1529"/>
      <c r="D2707" s="1350"/>
      <c r="E2707" s="1350"/>
      <c r="F2707" s="1350"/>
      <c r="G2707" s="1350"/>
      <c r="H2707" s="1526"/>
      <c r="I2707" s="1526"/>
      <c r="J2707" s="1526"/>
      <c r="K2707" s="1526"/>
      <c r="L2707" s="1526"/>
      <c r="M2707" s="1526"/>
      <c r="N2707" s="1526"/>
      <c r="O2707" s="1526"/>
      <c r="P2707" s="1493"/>
      <c r="Q2707" s="1493"/>
      <c r="R2707" s="1493"/>
      <c r="S2707" s="1493"/>
      <c r="T2707" s="1493"/>
      <c r="U2707" s="1493"/>
      <c r="V2707" s="1493"/>
      <c r="W2707" s="1493"/>
      <c r="X2707" s="1493"/>
      <c r="Y2707" s="1493"/>
      <c r="Z2707" s="1493"/>
      <c r="AA2707" s="1493"/>
      <c r="AB2707" s="1493"/>
      <c r="AC2707" s="1493"/>
      <c r="AD2707" s="1493"/>
      <c r="AE2707" s="1493"/>
      <c r="AF2707" s="1493"/>
      <c r="AG2707" s="1493"/>
      <c r="AH2707" s="1493"/>
      <c r="AI2707" s="1493"/>
      <c r="AJ2707" s="1493"/>
      <c r="AK2707" s="1493"/>
      <c r="AL2707" s="1493"/>
      <c r="AM2707" s="1493"/>
      <c r="AN2707" s="1493"/>
      <c r="AO2707" s="1493"/>
      <c r="AP2707" s="1493"/>
      <c r="AQ2707" s="1493"/>
      <c r="AR2707" s="1493"/>
      <c r="AS2707" s="1493"/>
      <c r="AT2707" s="1493"/>
      <c r="AU2707" s="1493"/>
      <c r="AV2707" s="1493"/>
      <c r="AW2707" s="1493"/>
      <c r="AX2707" s="1493"/>
      <c r="AY2707" s="1493"/>
      <c r="AZ2707" s="1493"/>
      <c r="BA2707" s="1493"/>
      <c r="BB2707" s="1493"/>
      <c r="BC2707" s="1493"/>
      <c r="BD2707" s="1493"/>
      <c r="BE2707" s="1493"/>
      <c r="BF2707" s="1493"/>
      <c r="BG2707" s="1493"/>
      <c r="BH2707" s="1493"/>
      <c r="BI2707" s="1493"/>
      <c r="BJ2707" s="1493"/>
      <c r="BK2707" s="1493"/>
      <c r="BL2707" s="1493"/>
      <c r="BM2707" s="1493"/>
      <c r="BN2707" s="1493"/>
      <c r="BO2707" s="1493"/>
      <c r="BP2707" s="1493"/>
      <c r="BQ2707" s="1493"/>
      <c r="BR2707" s="1493"/>
      <c r="BS2707" s="1493"/>
      <c r="BT2707" s="1493"/>
      <c r="BU2707" s="1493"/>
      <c r="BV2707" s="1493"/>
      <c r="BW2707" s="1493"/>
      <c r="BX2707" s="1493"/>
      <c r="BY2707" s="1493"/>
      <c r="BZ2707" s="1493"/>
      <c r="CA2707" s="1493"/>
      <c r="CB2707" s="1493"/>
      <c r="CC2707" s="1493"/>
      <c r="CD2707" s="1493"/>
      <c r="CE2707" s="1493"/>
      <c r="CF2707" s="1493"/>
      <c r="CG2707" s="1493"/>
      <c r="CH2707" s="1493"/>
      <c r="CI2707" s="1493"/>
      <c r="CJ2707" s="1493"/>
      <c r="CK2707" s="1493"/>
      <c r="CL2707" s="1493"/>
      <c r="CM2707" s="1493"/>
      <c r="CN2707" s="1493"/>
      <c r="CO2707" s="1493"/>
      <c r="CP2707" s="1493"/>
      <c r="CQ2707" s="1493"/>
      <c r="CR2707" s="1493"/>
      <c r="CS2707" s="1493"/>
      <c r="CT2707" s="1493"/>
      <c r="CU2707" s="1493"/>
      <c r="CV2707" s="1493"/>
      <c r="CW2707" s="1493"/>
      <c r="CX2707" s="1493"/>
      <c r="CY2707" s="1493"/>
      <c r="CZ2707" s="1493"/>
      <c r="DA2707" s="1493"/>
      <c r="DB2707" s="1493"/>
      <c r="DC2707" s="1493"/>
      <c r="DD2707" s="1493"/>
      <c r="DE2707" s="1493"/>
      <c r="DF2707" s="1493"/>
      <c r="DG2707" s="1493"/>
      <c r="DH2707" s="1493"/>
      <c r="DI2707" s="1493"/>
      <c r="DJ2707" s="1493"/>
    </row>
    <row r="2708" spans="1:114" s="1531" customFormat="1" ht="15.75" x14ac:dyDescent="0.25">
      <c r="A2708" s="1530" t="s">
        <v>3056</v>
      </c>
      <c r="B2708" s="1508">
        <f>IF(B2699=1.26,0.9,1)</f>
        <v>1</v>
      </c>
      <c r="C2708" s="1416"/>
      <c r="D2708" s="1416"/>
      <c r="E2708" s="1416"/>
      <c r="F2708" s="1416"/>
      <c r="G2708" s="1416"/>
      <c r="H2708" s="1526"/>
      <c r="I2708" s="1526"/>
      <c r="J2708" s="1526"/>
      <c r="K2708" s="1526"/>
      <c r="L2708" s="1526"/>
      <c r="M2708" s="1526"/>
      <c r="N2708" s="1526"/>
      <c r="O2708" s="1526"/>
      <c r="P2708" s="1493"/>
      <c r="Q2708" s="1493"/>
      <c r="R2708" s="1493"/>
      <c r="S2708" s="1493"/>
      <c r="T2708" s="1493"/>
      <c r="U2708" s="1493"/>
      <c r="V2708" s="1493"/>
      <c r="W2708" s="1493"/>
      <c r="X2708" s="1493"/>
      <c r="Y2708" s="1493"/>
      <c r="Z2708" s="1493"/>
      <c r="AA2708" s="1493"/>
      <c r="AB2708" s="1493"/>
      <c r="AC2708" s="1493"/>
      <c r="AD2708" s="1493"/>
      <c r="AE2708" s="1493"/>
      <c r="AF2708" s="1493"/>
      <c r="AG2708" s="1493"/>
      <c r="AH2708" s="1493"/>
      <c r="AI2708" s="1493"/>
      <c r="AJ2708" s="1493"/>
      <c r="AK2708" s="1493"/>
      <c r="AL2708" s="1493"/>
      <c r="AM2708" s="1493"/>
      <c r="AN2708" s="1493"/>
      <c r="AO2708" s="1493"/>
      <c r="AP2708" s="1493"/>
      <c r="AQ2708" s="1493"/>
      <c r="AR2708" s="1493"/>
      <c r="AS2708" s="1493"/>
      <c r="AT2708" s="1493"/>
      <c r="AU2708" s="1493"/>
      <c r="AV2708" s="1493"/>
      <c r="AW2708" s="1493"/>
      <c r="AX2708" s="1493"/>
      <c r="AY2708" s="1493"/>
      <c r="AZ2708" s="1493"/>
      <c r="BA2708" s="1493"/>
      <c r="BB2708" s="1493"/>
      <c r="BC2708" s="1493"/>
      <c r="BD2708" s="1493"/>
      <c r="BE2708" s="1493"/>
      <c r="BF2708" s="1493"/>
      <c r="BG2708" s="1493"/>
      <c r="BH2708" s="1493"/>
      <c r="BI2708" s="1493"/>
      <c r="BJ2708" s="1493"/>
      <c r="BK2708" s="1493"/>
      <c r="BL2708" s="1493"/>
      <c r="BM2708" s="1493"/>
      <c r="BN2708" s="1493"/>
      <c r="BO2708" s="1493"/>
      <c r="BP2708" s="1493"/>
      <c r="BQ2708" s="1493"/>
      <c r="BR2708" s="1493"/>
      <c r="BS2708" s="1493"/>
      <c r="BT2708" s="1493"/>
      <c r="BU2708" s="1493"/>
      <c r="BV2708" s="1493"/>
      <c r="BW2708" s="1493"/>
      <c r="BX2708" s="1493"/>
      <c r="BY2708" s="1493"/>
      <c r="BZ2708" s="1493"/>
      <c r="CA2708" s="1493"/>
      <c r="CB2708" s="1493"/>
      <c r="CC2708" s="1493"/>
      <c r="CD2708" s="1493"/>
      <c r="CE2708" s="1493"/>
      <c r="CF2708" s="1493"/>
      <c r="CG2708" s="1493"/>
      <c r="CH2708" s="1493"/>
      <c r="CI2708" s="1493"/>
      <c r="CJ2708" s="1493"/>
      <c r="CK2708" s="1493"/>
      <c r="CL2708" s="1493"/>
      <c r="CM2708" s="1493"/>
      <c r="CN2708" s="1493"/>
      <c r="CO2708" s="1493"/>
      <c r="CP2708" s="1493"/>
      <c r="CQ2708" s="1493"/>
      <c r="CR2708" s="1493"/>
      <c r="CS2708" s="1493"/>
      <c r="CT2708" s="1493"/>
      <c r="CU2708" s="1493"/>
      <c r="CV2708" s="1493"/>
      <c r="CW2708" s="1493"/>
      <c r="CX2708" s="1493"/>
      <c r="CY2708" s="1493"/>
      <c r="CZ2708" s="1493"/>
      <c r="DA2708" s="1493"/>
      <c r="DB2708" s="1493"/>
      <c r="DC2708" s="1493"/>
      <c r="DD2708" s="1493"/>
      <c r="DE2708" s="1493"/>
      <c r="DF2708" s="1493"/>
      <c r="DG2708" s="1493"/>
      <c r="DH2708" s="1493"/>
      <c r="DI2708" s="1493"/>
      <c r="DJ2708" s="1493"/>
    </row>
    <row r="2709" spans="1:114" s="1531" customFormat="1" ht="15.75" x14ac:dyDescent="0.25">
      <c r="A2709" s="1519" t="s">
        <v>3057</v>
      </c>
      <c r="B2709" s="1522">
        <f>IF(B2695&lt;30,0.9,0.8)</f>
        <v>0.9</v>
      </c>
      <c r="C2709" s="1523"/>
      <c r="D2709" s="1521"/>
      <c r="E2709" s="1521"/>
      <c r="F2709" s="1521"/>
      <c r="G2709" s="1521"/>
      <c r="J2709" s="1493"/>
      <c r="K2709" s="1493"/>
      <c r="L2709" s="1493"/>
      <c r="M2709" s="1493"/>
      <c r="N2709" s="1493"/>
      <c r="O2709" s="1493"/>
      <c r="P2709" s="1493"/>
      <c r="Q2709" s="1493"/>
      <c r="R2709" s="1493"/>
      <c r="S2709" s="1493"/>
      <c r="T2709" s="1493"/>
      <c r="U2709" s="1493"/>
      <c r="V2709" s="1493"/>
      <c r="W2709" s="1493"/>
      <c r="X2709" s="1493"/>
      <c r="Y2709" s="1493"/>
      <c r="Z2709" s="1493"/>
      <c r="AA2709" s="1493"/>
      <c r="AB2709" s="1493"/>
      <c r="AC2709" s="1493"/>
      <c r="AD2709" s="1493"/>
      <c r="AE2709" s="1493"/>
      <c r="AF2709" s="1493"/>
      <c r="AG2709" s="1493"/>
      <c r="AH2709" s="1493"/>
      <c r="AI2709" s="1493"/>
      <c r="AJ2709" s="1493"/>
      <c r="AK2709" s="1493"/>
      <c r="AL2709" s="1493"/>
      <c r="AM2709" s="1493"/>
      <c r="AN2709" s="1493"/>
      <c r="AO2709" s="1493"/>
      <c r="AP2709" s="1493"/>
      <c r="AQ2709" s="1493"/>
      <c r="AR2709" s="1493"/>
      <c r="AS2709" s="1493"/>
      <c r="AT2709" s="1493"/>
      <c r="AU2709" s="1493"/>
      <c r="AV2709" s="1493"/>
      <c r="AW2709" s="1493"/>
      <c r="AX2709" s="1493"/>
      <c r="AY2709" s="1493"/>
      <c r="AZ2709" s="1493"/>
      <c r="BA2709" s="1493"/>
      <c r="BB2709" s="1493"/>
      <c r="BC2709" s="1493"/>
      <c r="BD2709" s="1493"/>
      <c r="BE2709" s="1493"/>
      <c r="BF2709" s="1493"/>
      <c r="BG2709" s="1493"/>
      <c r="BH2709" s="1493"/>
      <c r="BI2709" s="1493"/>
      <c r="BJ2709" s="1493"/>
      <c r="BK2709" s="1493"/>
      <c r="BL2709" s="1493"/>
      <c r="BM2709" s="1493"/>
      <c r="BN2709" s="1493"/>
      <c r="BO2709" s="1493"/>
      <c r="BP2709" s="1493"/>
      <c r="BQ2709" s="1493"/>
      <c r="BR2709" s="1493"/>
      <c r="BS2709" s="1493"/>
      <c r="BT2709" s="1493"/>
      <c r="BU2709" s="1493"/>
      <c r="BV2709" s="1493"/>
      <c r="BW2709" s="1493"/>
      <c r="BX2709" s="1493"/>
      <c r="BY2709" s="1493"/>
      <c r="BZ2709" s="1493"/>
      <c r="CA2709" s="1493"/>
      <c r="CB2709" s="1493"/>
      <c r="CC2709" s="1493"/>
      <c r="CD2709" s="1493"/>
      <c r="CE2709" s="1493"/>
      <c r="CF2709" s="1493"/>
      <c r="CG2709" s="1493"/>
      <c r="CH2709" s="1493"/>
      <c r="CI2709" s="1493"/>
      <c r="CJ2709" s="1493"/>
      <c r="CK2709" s="1493"/>
      <c r="CL2709" s="1493"/>
      <c r="CM2709" s="1493"/>
      <c r="CN2709" s="1493"/>
      <c r="CO2709" s="1493"/>
      <c r="CP2709" s="1493"/>
      <c r="CQ2709" s="1493"/>
      <c r="CR2709" s="1493"/>
      <c r="CS2709" s="1493"/>
      <c r="CT2709" s="1493"/>
      <c r="CU2709" s="1493"/>
      <c r="CV2709" s="1493"/>
      <c r="CW2709" s="1493"/>
      <c r="CX2709" s="1493"/>
      <c r="CY2709" s="1493"/>
      <c r="CZ2709" s="1493"/>
      <c r="DA2709" s="1493"/>
      <c r="DB2709" s="1493"/>
      <c r="DC2709" s="1493"/>
      <c r="DD2709" s="1493"/>
      <c r="DE2709" s="1493"/>
      <c r="DF2709" s="1493"/>
      <c r="DG2709" s="1493"/>
      <c r="DH2709" s="1493"/>
      <c r="DI2709" s="1493"/>
      <c r="DJ2709" s="1493"/>
    </row>
    <row r="2710" spans="1:114" s="1531" customFormat="1" ht="15.75" x14ac:dyDescent="0.25">
      <c r="A2710" s="1519" t="s">
        <v>3058</v>
      </c>
      <c r="B2710" s="1522">
        <f>IF(B2696=3,1.15,IF(B2696=4,1.15,1))</f>
        <v>1</v>
      </c>
      <c r="C2710" s="1523"/>
      <c r="D2710" s="1523"/>
      <c r="E2710" s="1523"/>
      <c r="F2710" s="1523"/>
      <c r="G2710" s="1523"/>
      <c r="J2710" s="1493"/>
      <c r="K2710" s="1493"/>
      <c r="L2710" s="1493"/>
      <c r="M2710" s="1493"/>
      <c r="N2710" s="1493"/>
      <c r="O2710" s="1493"/>
      <c r="P2710" s="1493"/>
      <c r="Q2710" s="1493"/>
      <c r="R2710" s="1493"/>
      <c r="S2710" s="1493"/>
      <c r="T2710" s="1493"/>
      <c r="U2710" s="1493"/>
      <c r="V2710" s="1493"/>
      <c r="W2710" s="1493"/>
      <c r="X2710" s="1493"/>
      <c r="Y2710" s="1493"/>
      <c r="Z2710" s="1493"/>
      <c r="AA2710" s="1493"/>
      <c r="AB2710" s="1493"/>
      <c r="AC2710" s="1493"/>
      <c r="AD2710" s="1493"/>
      <c r="AE2710" s="1493"/>
      <c r="AF2710" s="1493"/>
      <c r="AG2710" s="1493"/>
      <c r="AH2710" s="1493"/>
      <c r="AI2710" s="1493"/>
      <c r="AJ2710" s="1493"/>
      <c r="AK2710" s="1493"/>
      <c r="AL2710" s="1493"/>
      <c r="AM2710" s="1493"/>
      <c r="AN2710" s="1493"/>
      <c r="AO2710" s="1493"/>
      <c r="AP2710" s="1493"/>
      <c r="AQ2710" s="1493"/>
      <c r="AR2710" s="1493"/>
      <c r="AS2710" s="1493"/>
      <c r="AT2710" s="1493"/>
      <c r="AU2710" s="1493"/>
      <c r="AV2710" s="1493"/>
      <c r="AW2710" s="1493"/>
      <c r="AX2710" s="1493"/>
      <c r="AY2710" s="1493"/>
      <c r="AZ2710" s="1493"/>
      <c r="BA2710" s="1493"/>
      <c r="BB2710" s="1493"/>
      <c r="BC2710" s="1493"/>
      <c r="BD2710" s="1493"/>
      <c r="BE2710" s="1493"/>
      <c r="BF2710" s="1493"/>
      <c r="BG2710" s="1493"/>
      <c r="BH2710" s="1493"/>
      <c r="BI2710" s="1493"/>
      <c r="BJ2710" s="1493"/>
      <c r="BK2710" s="1493"/>
      <c r="BL2710" s="1493"/>
      <c r="BM2710" s="1493"/>
      <c r="BN2710" s="1493"/>
      <c r="BO2710" s="1493"/>
      <c r="BP2710" s="1493"/>
      <c r="BQ2710" s="1493"/>
      <c r="BR2710" s="1493"/>
      <c r="BS2710" s="1493"/>
      <c r="BT2710" s="1493"/>
      <c r="BU2710" s="1493"/>
      <c r="BV2710" s="1493"/>
      <c r="BW2710" s="1493"/>
      <c r="BX2710" s="1493"/>
      <c r="BY2710" s="1493"/>
      <c r="BZ2710" s="1493"/>
      <c r="CA2710" s="1493"/>
      <c r="CB2710" s="1493"/>
      <c r="CC2710" s="1493"/>
      <c r="CD2710" s="1493"/>
      <c r="CE2710" s="1493"/>
      <c r="CF2710" s="1493"/>
      <c r="CG2710" s="1493"/>
      <c r="CH2710" s="1493"/>
      <c r="CI2710" s="1493"/>
      <c r="CJ2710" s="1493"/>
      <c r="CK2710" s="1493"/>
      <c r="CL2710" s="1493"/>
      <c r="CM2710" s="1493"/>
      <c r="CN2710" s="1493"/>
      <c r="CO2710" s="1493"/>
      <c r="CP2710" s="1493"/>
      <c r="CQ2710" s="1493"/>
      <c r="CR2710" s="1493"/>
      <c r="CS2710" s="1493"/>
      <c r="CT2710" s="1493"/>
      <c r="CU2710" s="1493"/>
      <c r="CV2710" s="1493"/>
      <c r="CW2710" s="1493"/>
      <c r="CX2710" s="1493"/>
      <c r="CY2710" s="1493"/>
      <c r="CZ2710" s="1493"/>
      <c r="DA2710" s="1493"/>
      <c r="DB2710" s="1493"/>
      <c r="DC2710" s="1493"/>
      <c r="DD2710" s="1493"/>
      <c r="DE2710" s="1493"/>
      <c r="DF2710" s="1493"/>
      <c r="DG2710" s="1493"/>
      <c r="DH2710" s="1493"/>
      <c r="DI2710" s="1493"/>
      <c r="DJ2710" s="1493"/>
    </row>
    <row r="2711" spans="1:114" s="1531" customFormat="1" ht="15.75" x14ac:dyDescent="0.25">
      <c r="A2711" s="1519" t="s">
        <v>3059</v>
      </c>
      <c r="B2711" s="1522" t="e">
        <f>B2708*B2709*B2710*B2383</f>
        <v>#VALUE!</v>
      </c>
      <c r="C2711" s="1523"/>
      <c r="D2711" s="1523"/>
      <c r="E2711" s="1523"/>
      <c r="F2711" s="1523"/>
      <c r="G2711" s="1523"/>
      <c r="J2711" s="1493"/>
      <c r="K2711" s="1493"/>
      <c r="L2711" s="1493"/>
      <c r="M2711" s="1493"/>
      <c r="N2711" s="1493"/>
      <c r="O2711" s="1493"/>
      <c r="P2711" s="1493"/>
      <c r="Q2711" s="1493"/>
      <c r="R2711" s="1493"/>
      <c r="S2711" s="1493"/>
      <c r="T2711" s="1493"/>
      <c r="U2711" s="1493"/>
      <c r="V2711" s="1493"/>
      <c r="W2711" s="1493"/>
      <c r="X2711" s="1493"/>
      <c r="Y2711" s="1493"/>
      <c r="Z2711" s="1493"/>
      <c r="AA2711" s="1493"/>
      <c r="AB2711" s="1493"/>
      <c r="AC2711" s="1493"/>
      <c r="AD2711" s="1493"/>
      <c r="AE2711" s="1493"/>
      <c r="AF2711" s="1493"/>
      <c r="AG2711" s="1493"/>
      <c r="AH2711" s="1493"/>
      <c r="AI2711" s="1493"/>
      <c r="AJ2711" s="1493"/>
      <c r="AK2711" s="1493"/>
      <c r="AL2711" s="1493"/>
      <c r="AM2711" s="1493"/>
      <c r="AN2711" s="1493"/>
      <c r="AO2711" s="1493"/>
      <c r="AP2711" s="1493"/>
      <c r="AQ2711" s="1493"/>
      <c r="AR2711" s="1493"/>
      <c r="AS2711" s="1493"/>
      <c r="AT2711" s="1493"/>
      <c r="AU2711" s="1493"/>
      <c r="AV2711" s="1493"/>
      <c r="AW2711" s="1493"/>
      <c r="AX2711" s="1493"/>
      <c r="AY2711" s="1493"/>
      <c r="AZ2711" s="1493"/>
      <c r="BA2711" s="1493"/>
      <c r="BB2711" s="1493"/>
      <c r="BC2711" s="1493"/>
      <c r="BD2711" s="1493"/>
      <c r="BE2711" s="1493"/>
      <c r="BF2711" s="1493"/>
      <c r="BG2711" s="1493"/>
      <c r="BH2711" s="1493"/>
      <c r="BI2711" s="1493"/>
      <c r="BJ2711" s="1493"/>
      <c r="BK2711" s="1493"/>
      <c r="BL2711" s="1493"/>
      <c r="BM2711" s="1493"/>
      <c r="BN2711" s="1493"/>
      <c r="BO2711" s="1493"/>
      <c r="BP2711" s="1493"/>
      <c r="BQ2711" s="1493"/>
      <c r="BR2711" s="1493"/>
      <c r="BS2711" s="1493"/>
      <c r="BT2711" s="1493"/>
      <c r="BU2711" s="1493"/>
      <c r="BV2711" s="1493"/>
      <c r="BW2711" s="1493"/>
      <c r="BX2711" s="1493"/>
      <c r="BY2711" s="1493"/>
      <c r="BZ2711" s="1493"/>
      <c r="CA2711" s="1493"/>
      <c r="CB2711" s="1493"/>
      <c r="CC2711" s="1493"/>
      <c r="CD2711" s="1493"/>
      <c r="CE2711" s="1493"/>
      <c r="CF2711" s="1493"/>
      <c r="CG2711" s="1493"/>
      <c r="CH2711" s="1493"/>
      <c r="CI2711" s="1493"/>
      <c r="CJ2711" s="1493"/>
      <c r="CK2711" s="1493"/>
      <c r="CL2711" s="1493"/>
      <c r="CM2711" s="1493"/>
      <c r="CN2711" s="1493"/>
      <c r="CO2711" s="1493"/>
      <c r="CP2711" s="1493"/>
      <c r="CQ2711" s="1493"/>
      <c r="CR2711" s="1493"/>
      <c r="CS2711" s="1493"/>
      <c r="CT2711" s="1493"/>
      <c r="CU2711" s="1493"/>
      <c r="CV2711" s="1493"/>
      <c r="CW2711" s="1493"/>
      <c r="CX2711" s="1493"/>
      <c r="CY2711" s="1493"/>
      <c r="CZ2711" s="1493"/>
      <c r="DA2711" s="1493"/>
      <c r="DB2711" s="1493"/>
      <c r="DC2711" s="1493"/>
      <c r="DD2711" s="1493"/>
      <c r="DE2711" s="1493"/>
      <c r="DF2711" s="1493"/>
      <c r="DG2711" s="1493"/>
      <c r="DH2711" s="1493"/>
      <c r="DI2711" s="1493"/>
      <c r="DJ2711" s="1493"/>
    </row>
    <row r="2712" spans="1:114" s="1531" customFormat="1" ht="15.75" x14ac:dyDescent="0.25">
      <c r="A2712" s="1519" t="s">
        <v>3060</v>
      </c>
      <c r="B2712" s="1522" t="e">
        <f>B2711*B2706</f>
        <v>#VALUE!</v>
      </c>
      <c r="C2712" s="1523"/>
      <c r="D2712" s="1350"/>
      <c r="E2712" s="1350"/>
      <c r="F2712" s="1350"/>
      <c r="G2712" s="1350"/>
      <c r="H2712" s="1350"/>
      <c r="J2712" s="1493"/>
      <c r="K2712" s="1493"/>
      <c r="L2712" s="1493"/>
      <c r="M2712" s="1493"/>
      <c r="N2712" s="1493"/>
      <c r="O2712" s="1493"/>
      <c r="P2712" s="1493"/>
      <c r="Q2712" s="1493"/>
      <c r="R2712" s="1493"/>
      <c r="S2712" s="1493"/>
      <c r="T2712" s="1493"/>
      <c r="U2712" s="1493"/>
      <c r="V2712" s="1493"/>
      <c r="W2712" s="1493"/>
      <c r="X2712" s="1493"/>
      <c r="Y2712" s="1493"/>
      <c r="Z2712" s="1493"/>
      <c r="AA2712" s="1493"/>
      <c r="AB2712" s="1493"/>
      <c r="AC2712" s="1493"/>
      <c r="AD2712" s="1493"/>
      <c r="AE2712" s="1493"/>
      <c r="AF2712" s="1493"/>
      <c r="AG2712" s="1493"/>
      <c r="AH2712" s="1493"/>
      <c r="AI2712" s="1493"/>
      <c r="AJ2712" s="1493"/>
      <c r="AK2712" s="1493"/>
      <c r="AL2712" s="1493"/>
      <c r="AM2712" s="1493"/>
      <c r="AN2712" s="1493"/>
      <c r="AO2712" s="1493"/>
      <c r="AP2712" s="1493"/>
      <c r="AQ2712" s="1493"/>
      <c r="AR2712" s="1493"/>
      <c r="AS2712" s="1493"/>
      <c r="AT2712" s="1493"/>
      <c r="AU2712" s="1493"/>
      <c r="AV2712" s="1493"/>
      <c r="AW2712" s="1493"/>
      <c r="AX2712" s="1493"/>
      <c r="AY2712" s="1493"/>
      <c r="AZ2712" s="1493"/>
      <c r="BA2712" s="1493"/>
      <c r="BB2712" s="1493"/>
      <c r="BC2712" s="1493"/>
      <c r="BD2712" s="1493"/>
      <c r="BE2712" s="1493"/>
      <c r="BF2712" s="1493"/>
      <c r="BG2712" s="1493"/>
      <c r="BH2712" s="1493"/>
      <c r="BI2712" s="1493"/>
      <c r="BJ2712" s="1493"/>
      <c r="BK2712" s="1493"/>
      <c r="BL2712" s="1493"/>
      <c r="BM2712" s="1493"/>
      <c r="BN2712" s="1493"/>
      <c r="BO2712" s="1493"/>
      <c r="BP2712" s="1493"/>
      <c r="BQ2712" s="1493"/>
      <c r="BR2712" s="1493"/>
      <c r="BS2712" s="1493"/>
      <c r="BT2712" s="1493"/>
      <c r="BU2712" s="1493"/>
      <c r="BV2712" s="1493"/>
      <c r="BW2712" s="1493"/>
      <c r="BX2712" s="1493"/>
      <c r="BY2712" s="1493"/>
      <c r="BZ2712" s="1493"/>
      <c r="CA2712" s="1493"/>
      <c r="CB2712" s="1493"/>
      <c r="CC2712" s="1493"/>
      <c r="CD2712" s="1493"/>
      <c r="CE2712" s="1493"/>
      <c r="CF2712" s="1493"/>
      <c r="CG2712" s="1493"/>
      <c r="CH2712" s="1493"/>
      <c r="CI2712" s="1493"/>
      <c r="CJ2712" s="1493"/>
      <c r="CK2712" s="1493"/>
      <c r="CL2712" s="1493"/>
      <c r="CM2712" s="1493"/>
      <c r="CN2712" s="1493"/>
      <c r="CO2712" s="1493"/>
      <c r="CP2712" s="1493"/>
      <c r="CQ2712" s="1493"/>
      <c r="CR2712" s="1493"/>
      <c r="CS2712" s="1493"/>
      <c r="CT2712" s="1493"/>
      <c r="CU2712" s="1493"/>
      <c r="CV2712" s="1493"/>
      <c r="CW2712" s="1493"/>
      <c r="CX2712" s="1493"/>
      <c r="CY2712" s="1493"/>
      <c r="CZ2712" s="1493"/>
      <c r="DA2712" s="1493"/>
      <c r="DB2712" s="1493"/>
      <c r="DC2712" s="1493"/>
      <c r="DD2712" s="1493"/>
      <c r="DE2712" s="1493"/>
      <c r="DF2712" s="1493"/>
      <c r="DG2712" s="1493"/>
      <c r="DH2712" s="1493"/>
      <c r="DI2712" s="1493"/>
      <c r="DJ2712" s="1493"/>
    </row>
    <row r="2713" spans="1:114" s="1493" customFormat="1" ht="16.5" thickBot="1" x14ac:dyDescent="0.3">
      <c r="A2713" s="1532" t="s">
        <v>3061</v>
      </c>
      <c r="B2713" s="1533" t="e">
        <f>B2702/B2712</f>
        <v>#VALUE!</v>
      </c>
      <c r="C2713" s="1523"/>
      <c r="D2713" s="1523"/>
      <c r="E2713" s="1523"/>
      <c r="F2713" s="1523"/>
      <c r="G2713" s="1523"/>
      <c r="H2713" s="1531"/>
      <c r="I2713" s="1531"/>
    </row>
    <row r="2714" spans="1:114" s="1493" customFormat="1" ht="15.75" x14ac:dyDescent="0.25">
      <c r="A2714" s="1493" t="s">
        <v>3062</v>
      </c>
      <c r="B2714" s="1489" t="e">
        <f>INDEX($C$3594:$C$3604,B2704)</f>
        <v>#VALUE!</v>
      </c>
      <c r="C2714" s="1523"/>
      <c r="D2714" s="1529"/>
      <c r="E2714" s="1529"/>
      <c r="F2714" s="1529"/>
      <c r="G2714" s="1529"/>
      <c r="H2714" s="1531"/>
      <c r="I2714" s="1531"/>
    </row>
    <row r="2715" spans="1:114" s="1493" customFormat="1" ht="15.75" x14ac:dyDescent="0.25">
      <c r="A2715" s="1493" t="s">
        <v>4653</v>
      </c>
      <c r="B2715" s="1489" t="e">
        <f>B2708*B2709*B2383</f>
        <v>#VALUE!</v>
      </c>
      <c r="C2715" s="1523"/>
      <c r="D2715" s="1416"/>
      <c r="E2715" s="1416"/>
      <c r="F2715" s="1416"/>
      <c r="G2715" s="1416"/>
      <c r="H2715" s="1531"/>
      <c r="I2715" s="1531"/>
    </row>
    <row r="2716" spans="1:114" s="1493" customFormat="1" ht="15.75" x14ac:dyDescent="0.25">
      <c r="A2716" s="1493" t="s">
        <v>4654</v>
      </c>
      <c r="B2716" s="1489" t="e">
        <f>B2714*B2715</f>
        <v>#VALUE!</v>
      </c>
      <c r="C2716" s="1489"/>
      <c r="D2716" s="1523"/>
      <c r="E2716" s="1523"/>
      <c r="F2716" s="1523"/>
      <c r="G2716" s="1523"/>
      <c r="H2716" s="1531"/>
      <c r="I2716" s="1531"/>
    </row>
    <row r="2717" spans="1:114" s="1493" customFormat="1" ht="15.75" x14ac:dyDescent="0.25">
      <c r="A2717" s="1493" t="s">
        <v>18</v>
      </c>
      <c r="B2717" s="1489" t="e">
        <f>B2702/B2716</f>
        <v>#VALUE!</v>
      </c>
      <c r="C2717" s="1489"/>
      <c r="D2717" s="1523"/>
      <c r="E2717" s="1523"/>
      <c r="F2717" s="1523"/>
      <c r="G2717" s="1523"/>
      <c r="H2717" s="1531"/>
      <c r="I2717" s="1531"/>
    </row>
    <row r="2718" spans="1:114" s="1493" customFormat="1" ht="15" customHeight="1" x14ac:dyDescent="0.25">
      <c r="A2718" s="1493" t="s">
        <v>19</v>
      </c>
      <c r="B2718" s="1489" t="e">
        <f>B2713+B2717</f>
        <v>#VALUE!</v>
      </c>
      <c r="C2718" s="1489"/>
      <c r="D2718" s="1523"/>
      <c r="E2718" s="1523"/>
      <c r="F2718" s="1523"/>
      <c r="G2718" s="1523"/>
      <c r="H2718" s="1531"/>
      <c r="I2718" s="1531"/>
    </row>
    <row r="2719" spans="1:114" s="1493" customFormat="1" ht="16.5" thickBot="1" x14ac:dyDescent="0.3">
      <c r="A2719" s="1534"/>
      <c r="B2719" s="1535"/>
      <c r="C2719" s="1416"/>
      <c r="D2719" s="1523"/>
      <c r="E2719" s="1523"/>
      <c r="F2719" s="1523"/>
      <c r="G2719" s="1523"/>
      <c r="H2719" s="1536"/>
      <c r="I2719" s="1531"/>
    </row>
    <row r="2720" spans="1:114" s="1493" customFormat="1" ht="16.5" thickBot="1" x14ac:dyDescent="0.3">
      <c r="A2720" s="1537" t="s">
        <v>20</v>
      </c>
      <c r="B2720" s="1538"/>
      <c r="C2720" s="1514"/>
      <c r="D2720" s="1523"/>
      <c r="E2720" s="1523"/>
      <c r="F2720" s="1523"/>
      <c r="G2720" s="1523"/>
      <c r="H2720" s="1531"/>
      <c r="I2720" s="1531"/>
    </row>
    <row r="2721" spans="1:64" s="1493" customFormat="1" ht="31.5" x14ac:dyDescent="0.25">
      <c r="A2721" s="1539" t="s">
        <v>21</v>
      </c>
      <c r="B2721" s="1540" t="e">
        <f>B2702</f>
        <v>#VALUE!</v>
      </c>
      <c r="C2721" s="1523"/>
      <c r="D2721" s="1523"/>
      <c r="E2721" s="1523"/>
      <c r="F2721" s="1523"/>
      <c r="G2721" s="1523"/>
      <c r="H2721" s="1531"/>
      <c r="I2721" s="1531"/>
    </row>
    <row r="2722" spans="1:64" s="1493" customFormat="1" ht="15.75" x14ac:dyDescent="0.25">
      <c r="A2722" s="1519" t="s">
        <v>1536</v>
      </c>
      <c r="B2722" s="1541"/>
      <c r="C2722" s="1531"/>
      <c r="D2722" s="1523"/>
      <c r="E2722" s="1523"/>
      <c r="F2722" s="1523"/>
      <c r="G2722" s="1523"/>
      <c r="H2722" s="1531"/>
      <c r="I2722" s="1531"/>
    </row>
    <row r="2723" spans="1:64" s="1493" customFormat="1" ht="15.75" x14ac:dyDescent="0.25">
      <c r="A2723" s="1519" t="s">
        <v>5479</v>
      </c>
      <c r="B2723" s="1522" t="e">
        <f>B2703</f>
        <v>#VALUE!</v>
      </c>
      <c r="C2723" s="1523"/>
      <c r="D2723" s="1489"/>
      <c r="E2723" s="1489"/>
      <c r="F2723" s="1489"/>
      <c r="G2723" s="1489"/>
    </row>
    <row r="2724" spans="1:64" s="1493" customFormat="1" ht="15.75" x14ac:dyDescent="0.25">
      <c r="A2724" s="1519" t="s">
        <v>1537</v>
      </c>
      <c r="B2724" s="1522" t="e">
        <f>IF(B2723&lt;23.1,1,IF(B2723&lt;29.1,2,IF(B2723&lt;36.1,3,IF(B2723&lt;45.1,4,IF(B2723&lt;55.1,5,6)))))</f>
        <v>#VALUE!</v>
      </c>
      <c r="C2724" s="1523"/>
      <c r="D2724" s="1489"/>
      <c r="E2724" s="1489"/>
      <c r="F2724" s="1489"/>
      <c r="G2724" s="1489"/>
    </row>
    <row r="2725" spans="1:64" s="1493" customFormat="1" ht="15.75" x14ac:dyDescent="0.25">
      <c r="A2725" s="1519" t="s">
        <v>1538</v>
      </c>
      <c r="B2725" s="1522">
        <v>224</v>
      </c>
      <c r="C2725" s="1523"/>
      <c r="D2725" s="1489"/>
      <c r="E2725" s="1489"/>
      <c r="F2725" s="1489"/>
      <c r="G2725" s="1489"/>
    </row>
    <row r="2726" spans="1:64" s="1493" customFormat="1" ht="31.5" x14ac:dyDescent="0.25">
      <c r="A2726" s="1542" t="s">
        <v>3055</v>
      </c>
      <c r="B2726" s="1541"/>
      <c r="C2726" s="1531"/>
      <c r="D2726" s="1416"/>
      <c r="E2726" s="1416"/>
      <c r="F2726" s="1416"/>
      <c r="G2726" s="1416"/>
      <c r="H2726" s="1531"/>
    </row>
    <row r="2727" spans="1:64" s="1493" customFormat="1" ht="15.75" x14ac:dyDescent="0.25">
      <c r="A2727" s="1519" t="s">
        <v>3057</v>
      </c>
      <c r="B2727" s="1522">
        <f>IF(B2695&lt;21,1,IF(B2695&lt;31,0.9,0.8))</f>
        <v>1</v>
      </c>
      <c r="C2727" s="1523"/>
      <c r="D2727" s="1514"/>
      <c r="E2727" s="1514"/>
      <c r="F2727" s="1514"/>
      <c r="G2727" s="1514"/>
      <c r="H2727" s="1531"/>
      <c r="I2727" s="1531"/>
      <c r="J2727" s="1531"/>
      <c r="K2727" s="1531"/>
      <c r="L2727" s="1531"/>
      <c r="M2727" s="1531"/>
      <c r="N2727" s="1531"/>
      <c r="O2727" s="1531"/>
      <c r="P2727" s="1531"/>
      <c r="Q2727" s="1531"/>
      <c r="R2727" s="1531"/>
      <c r="S2727" s="1531"/>
      <c r="T2727" s="1531"/>
      <c r="U2727" s="1531"/>
      <c r="V2727" s="1531"/>
      <c r="W2727" s="1531"/>
      <c r="X2727" s="1531"/>
      <c r="Y2727" s="1531"/>
      <c r="Z2727" s="1531"/>
      <c r="AA2727" s="1531"/>
      <c r="AB2727" s="1531"/>
      <c r="AC2727" s="1531"/>
      <c r="AD2727" s="1531"/>
      <c r="AE2727" s="1531"/>
      <c r="AF2727" s="1531"/>
      <c r="AG2727" s="1531"/>
      <c r="AH2727" s="1531"/>
      <c r="AI2727" s="1531"/>
      <c r="AJ2727" s="1531"/>
      <c r="AK2727" s="1531"/>
      <c r="AL2727" s="1531"/>
      <c r="AM2727" s="1531"/>
      <c r="AN2727" s="1531"/>
      <c r="AO2727" s="1531"/>
      <c r="AP2727" s="1531"/>
      <c r="AQ2727" s="1531"/>
      <c r="AR2727" s="1531"/>
      <c r="AS2727" s="1531"/>
      <c r="AT2727" s="1531"/>
      <c r="AU2727" s="1531"/>
      <c r="AV2727" s="1531"/>
      <c r="AW2727" s="1531"/>
      <c r="AX2727" s="1531"/>
      <c r="AY2727" s="1531"/>
      <c r="AZ2727" s="1531"/>
      <c r="BA2727" s="1531"/>
      <c r="BB2727" s="1531"/>
      <c r="BC2727" s="1531"/>
      <c r="BD2727" s="1531"/>
      <c r="BE2727" s="1531"/>
      <c r="BF2727" s="1531"/>
      <c r="BG2727" s="1531"/>
      <c r="BH2727" s="1531"/>
      <c r="BI2727" s="1531"/>
      <c r="BJ2727" s="1531"/>
      <c r="BK2727" s="1531"/>
      <c r="BL2727" s="1531"/>
    </row>
    <row r="2728" spans="1:64" s="1493" customFormat="1" ht="47.25" x14ac:dyDescent="0.25">
      <c r="A2728" s="1530" t="s">
        <v>1539</v>
      </c>
      <c r="B2728" s="1522" t="e">
        <f>IF((B2697)/B2693&gt;0.2,0.9,1)</f>
        <v>#VALUE!</v>
      </c>
      <c r="C2728" s="1523"/>
      <c r="D2728" s="1523"/>
      <c r="E2728" s="1523"/>
      <c r="F2728" s="1523"/>
      <c r="G2728" s="1523"/>
      <c r="H2728" s="1531"/>
      <c r="I2728" s="1531"/>
      <c r="J2728" s="1531"/>
      <c r="K2728" s="1531"/>
      <c r="L2728" s="1531"/>
      <c r="M2728" s="1531"/>
      <c r="N2728" s="1531"/>
      <c r="O2728" s="1531"/>
      <c r="P2728" s="1531"/>
      <c r="Q2728" s="1531"/>
      <c r="R2728" s="1531"/>
      <c r="S2728" s="1531"/>
      <c r="T2728" s="1531"/>
      <c r="U2728" s="1531"/>
      <c r="V2728" s="1531"/>
      <c r="W2728" s="1531"/>
      <c r="X2728" s="1531"/>
      <c r="Y2728" s="1531"/>
      <c r="Z2728" s="1531"/>
      <c r="AA2728" s="1531"/>
      <c r="AB2728" s="1531"/>
      <c r="AC2728" s="1531"/>
      <c r="AD2728" s="1531"/>
      <c r="AE2728" s="1531"/>
      <c r="AF2728" s="1531"/>
      <c r="AG2728" s="1531"/>
      <c r="AH2728" s="1531"/>
      <c r="AI2728" s="1531"/>
      <c r="AJ2728" s="1531"/>
      <c r="AK2728" s="1531"/>
      <c r="AL2728" s="1531"/>
      <c r="AM2728" s="1531"/>
      <c r="AN2728" s="1531"/>
      <c r="AO2728" s="1531"/>
      <c r="AP2728" s="1531"/>
      <c r="AQ2728" s="1531"/>
      <c r="AR2728" s="1531"/>
      <c r="AS2728" s="1531"/>
      <c r="AT2728" s="1531"/>
      <c r="AU2728" s="1531"/>
      <c r="AV2728" s="1531"/>
      <c r="AW2728" s="1531"/>
      <c r="AX2728" s="1531"/>
      <c r="AY2728" s="1531"/>
      <c r="AZ2728" s="1531"/>
      <c r="BA2728" s="1531"/>
      <c r="BB2728" s="1531"/>
      <c r="BC2728" s="1531"/>
      <c r="BD2728" s="1531"/>
      <c r="BE2728" s="1531"/>
      <c r="BF2728" s="1531"/>
      <c r="BG2728" s="1531"/>
      <c r="BH2728" s="1531"/>
      <c r="BI2728" s="1531"/>
      <c r="BJ2728" s="1531"/>
      <c r="BK2728" s="1531"/>
      <c r="BL2728" s="1531"/>
    </row>
    <row r="2729" spans="1:64" s="1493" customFormat="1" ht="15.75" x14ac:dyDescent="0.25">
      <c r="A2729" s="1519" t="s">
        <v>3059</v>
      </c>
      <c r="B2729" s="1522" t="e">
        <f>B2727*B2728*B2383</f>
        <v>#VALUE!</v>
      </c>
      <c r="C2729" s="1523"/>
      <c r="D2729" s="1531"/>
      <c r="E2729" s="1531"/>
      <c r="F2729" s="1531"/>
      <c r="G2729" s="1531"/>
      <c r="H2729" s="1531"/>
      <c r="I2729" s="1531"/>
      <c r="J2729" s="1531"/>
      <c r="K2729" s="1531"/>
      <c r="L2729" s="1531"/>
      <c r="M2729" s="1531"/>
      <c r="N2729" s="1531"/>
      <c r="O2729" s="1531"/>
      <c r="P2729" s="1531"/>
      <c r="Q2729" s="1531"/>
      <c r="R2729" s="1531"/>
      <c r="S2729" s="1531"/>
      <c r="T2729" s="1531"/>
      <c r="U2729" s="1531"/>
      <c r="V2729" s="1531"/>
      <c r="W2729" s="1531"/>
      <c r="X2729" s="1531"/>
      <c r="Y2729" s="1531"/>
      <c r="Z2729" s="1531"/>
      <c r="AA2729" s="1531"/>
      <c r="AB2729" s="1531"/>
      <c r="AC2729" s="1531"/>
      <c r="AD2729" s="1531"/>
      <c r="AE2729" s="1531"/>
      <c r="AF2729" s="1531"/>
      <c r="AG2729" s="1531"/>
      <c r="AH2729" s="1531"/>
      <c r="AI2729" s="1531"/>
      <c r="AJ2729" s="1531"/>
      <c r="AK2729" s="1531"/>
      <c r="AL2729" s="1531"/>
      <c r="AM2729" s="1531"/>
      <c r="AN2729" s="1531"/>
      <c r="AO2729" s="1531"/>
      <c r="AP2729" s="1531"/>
      <c r="AQ2729" s="1531"/>
      <c r="AR2729" s="1531"/>
      <c r="AS2729" s="1531"/>
      <c r="AT2729" s="1531"/>
      <c r="AU2729" s="1531"/>
      <c r="AV2729" s="1531"/>
      <c r="AW2729" s="1531"/>
      <c r="AX2729" s="1531"/>
      <c r="AY2729" s="1531"/>
      <c r="AZ2729" s="1531"/>
      <c r="BA2729" s="1531"/>
      <c r="BB2729" s="1531"/>
      <c r="BC2729" s="1531"/>
      <c r="BD2729" s="1531"/>
      <c r="BE2729" s="1531"/>
      <c r="BF2729" s="1531"/>
      <c r="BG2729" s="1531"/>
      <c r="BH2729" s="1531"/>
      <c r="BI2729" s="1531"/>
      <c r="BJ2729" s="1531"/>
      <c r="BK2729" s="1531"/>
      <c r="BL2729" s="1531"/>
    </row>
    <row r="2730" spans="1:64" s="1493" customFormat="1" ht="15.75" x14ac:dyDescent="0.25">
      <c r="A2730" s="1519" t="s">
        <v>3412</v>
      </c>
      <c r="B2730" s="1522" t="e">
        <f>B2729*B2725</f>
        <v>#VALUE!</v>
      </c>
      <c r="C2730" s="1523"/>
      <c r="D2730" s="1523"/>
      <c r="E2730" s="1523"/>
      <c r="F2730" s="1523"/>
      <c r="G2730" s="1523"/>
      <c r="H2730" s="1531"/>
      <c r="I2730" s="1531"/>
      <c r="J2730" s="1531"/>
      <c r="K2730" s="1531"/>
      <c r="L2730" s="1531"/>
      <c r="M2730" s="1531"/>
      <c r="N2730" s="1531"/>
      <c r="O2730" s="1531"/>
      <c r="P2730" s="1531"/>
      <c r="Q2730" s="1531"/>
      <c r="R2730" s="1531"/>
      <c r="S2730" s="1531"/>
      <c r="T2730" s="1531"/>
      <c r="U2730" s="1531"/>
      <c r="V2730" s="1531"/>
      <c r="W2730" s="1531"/>
      <c r="X2730" s="1531"/>
      <c r="Y2730" s="1531"/>
      <c r="Z2730" s="1531"/>
      <c r="AA2730" s="1531"/>
      <c r="AB2730" s="1531"/>
      <c r="AC2730" s="1531"/>
      <c r="AD2730" s="1531"/>
      <c r="AE2730" s="1531"/>
      <c r="AF2730" s="1531"/>
      <c r="AG2730" s="1531"/>
      <c r="AH2730" s="1531"/>
      <c r="AI2730" s="1531"/>
      <c r="AJ2730" s="1531"/>
      <c r="AK2730" s="1531"/>
      <c r="AL2730" s="1531"/>
      <c r="AM2730" s="1531"/>
      <c r="AN2730" s="1531"/>
      <c r="AO2730" s="1531"/>
      <c r="AP2730" s="1531"/>
      <c r="AQ2730" s="1531"/>
      <c r="AR2730" s="1531"/>
      <c r="AS2730" s="1531"/>
      <c r="AT2730" s="1531"/>
      <c r="AU2730" s="1531"/>
      <c r="AV2730" s="1531"/>
      <c r="AW2730" s="1531"/>
      <c r="AX2730" s="1531"/>
      <c r="AY2730" s="1531"/>
      <c r="AZ2730" s="1531"/>
      <c r="BA2730" s="1531"/>
      <c r="BB2730" s="1531"/>
      <c r="BC2730" s="1531"/>
      <c r="BD2730" s="1531"/>
      <c r="BE2730" s="1531"/>
      <c r="BF2730" s="1531"/>
      <c r="BG2730" s="1531"/>
      <c r="BH2730" s="1531"/>
      <c r="BI2730" s="1531"/>
      <c r="BJ2730" s="1531"/>
      <c r="BK2730" s="1531"/>
      <c r="BL2730" s="1531"/>
    </row>
    <row r="2731" spans="1:64" s="1493" customFormat="1" ht="32.25" thickBot="1" x14ac:dyDescent="0.3">
      <c r="A2731" s="1543" t="s">
        <v>1540</v>
      </c>
      <c r="B2731" s="1533" t="e">
        <f>B2721/B2730</f>
        <v>#VALUE!</v>
      </c>
      <c r="C2731" s="1523"/>
      <c r="D2731" s="1523"/>
      <c r="E2731" s="1523"/>
      <c r="F2731" s="1523"/>
      <c r="G2731" s="1523"/>
      <c r="H2731" s="1531"/>
      <c r="I2731" s="1531"/>
      <c r="J2731" s="1531"/>
      <c r="K2731" s="1531"/>
      <c r="L2731" s="1531"/>
      <c r="M2731" s="1531"/>
      <c r="N2731" s="1531"/>
      <c r="O2731" s="1531"/>
      <c r="P2731" s="1531"/>
      <c r="Q2731" s="1531"/>
      <c r="R2731" s="1531"/>
      <c r="S2731" s="1531"/>
      <c r="T2731" s="1531"/>
      <c r="U2731" s="1531"/>
      <c r="V2731" s="1531"/>
      <c r="W2731" s="1531"/>
      <c r="X2731" s="1531"/>
      <c r="Y2731" s="1531"/>
      <c r="Z2731" s="1531"/>
      <c r="AA2731" s="1531"/>
      <c r="AB2731" s="1531"/>
      <c r="AC2731" s="1531"/>
      <c r="AD2731" s="1531"/>
      <c r="AE2731" s="1531"/>
      <c r="AF2731" s="1531"/>
      <c r="AG2731" s="1531"/>
      <c r="AH2731" s="1531"/>
      <c r="AI2731" s="1531"/>
      <c r="AJ2731" s="1531"/>
      <c r="AK2731" s="1531"/>
      <c r="AL2731" s="1531"/>
      <c r="AM2731" s="1531"/>
      <c r="AN2731" s="1531"/>
      <c r="AO2731" s="1531"/>
      <c r="AP2731" s="1531"/>
      <c r="AQ2731" s="1531"/>
      <c r="AR2731" s="1531"/>
      <c r="AS2731" s="1531"/>
      <c r="AT2731" s="1531"/>
      <c r="AU2731" s="1531"/>
      <c r="AV2731" s="1531"/>
      <c r="AW2731" s="1531"/>
      <c r="AX2731" s="1531"/>
      <c r="AY2731" s="1531"/>
      <c r="AZ2731" s="1531"/>
      <c r="BA2731" s="1531"/>
      <c r="BB2731" s="1531"/>
      <c r="BC2731" s="1531"/>
      <c r="BD2731" s="1531"/>
      <c r="BE2731" s="1531"/>
      <c r="BF2731" s="1531"/>
      <c r="BG2731" s="1531"/>
      <c r="BH2731" s="1531"/>
      <c r="BI2731" s="1531"/>
      <c r="BJ2731" s="1531"/>
      <c r="BK2731" s="1531"/>
      <c r="BL2731" s="1531"/>
    </row>
    <row r="2732" spans="1:64" s="1493" customFormat="1" ht="16.5" thickBot="1" x14ac:dyDescent="0.3">
      <c r="A2732" s="1544" t="s">
        <v>1541</v>
      </c>
      <c r="B2732" s="1545"/>
      <c r="C2732" s="1546"/>
      <c r="D2732" s="1523"/>
      <c r="E2732" s="1523"/>
      <c r="F2732" s="1523"/>
      <c r="G2732" s="1523"/>
      <c r="H2732" s="1531"/>
      <c r="I2732" s="1531"/>
      <c r="J2732" s="1531"/>
      <c r="K2732" s="1531"/>
      <c r="L2732" s="1531"/>
      <c r="M2732" s="1531"/>
      <c r="N2732" s="1531"/>
      <c r="O2732" s="1531"/>
      <c r="P2732" s="1531"/>
      <c r="Q2732" s="1531"/>
      <c r="R2732" s="1531"/>
      <c r="S2732" s="1531"/>
      <c r="T2732" s="1531"/>
      <c r="U2732" s="1531"/>
      <c r="V2732" s="1531"/>
      <c r="W2732" s="1531"/>
      <c r="X2732" s="1531"/>
      <c r="Y2732" s="1531"/>
      <c r="Z2732" s="1531"/>
      <c r="AA2732" s="1531"/>
      <c r="AB2732" s="1531"/>
      <c r="AC2732" s="1531"/>
      <c r="AD2732" s="1531"/>
      <c r="AE2732" s="1531"/>
      <c r="AF2732" s="1531"/>
      <c r="AG2732" s="1531"/>
      <c r="AH2732" s="1531"/>
      <c r="AI2732" s="1531"/>
      <c r="AJ2732" s="1531"/>
      <c r="AK2732" s="1531"/>
      <c r="AL2732" s="1531"/>
      <c r="AM2732" s="1531"/>
      <c r="AN2732" s="1531"/>
      <c r="AO2732" s="1531"/>
      <c r="AP2732" s="1531"/>
      <c r="AQ2732" s="1531"/>
      <c r="AR2732" s="1531"/>
      <c r="AS2732" s="1531"/>
      <c r="AT2732" s="1531"/>
      <c r="AU2732" s="1531"/>
      <c r="AV2732" s="1531"/>
      <c r="AW2732" s="1531"/>
      <c r="AX2732" s="1531"/>
      <c r="AY2732" s="1531"/>
      <c r="AZ2732" s="1531"/>
      <c r="BA2732" s="1531"/>
      <c r="BB2732" s="1531"/>
      <c r="BC2732" s="1531"/>
      <c r="BD2732" s="1531"/>
      <c r="BE2732" s="1531"/>
      <c r="BF2732" s="1531"/>
      <c r="BG2732" s="1531"/>
      <c r="BH2732" s="1531"/>
      <c r="BI2732" s="1531"/>
      <c r="BJ2732" s="1531"/>
      <c r="BK2732" s="1531"/>
      <c r="BL2732" s="1531"/>
    </row>
    <row r="2733" spans="1:64" s="1493" customFormat="1" ht="15.75" x14ac:dyDescent="0.25">
      <c r="A2733" s="1547"/>
      <c r="B2733" s="1548"/>
      <c r="C2733" s="1416"/>
      <c r="D2733" s="1531"/>
      <c r="E2733" s="1531"/>
      <c r="F2733" s="1531"/>
      <c r="G2733" s="1531"/>
      <c r="H2733" s="1531"/>
      <c r="I2733" s="1531"/>
      <c r="J2733" s="1531"/>
      <c r="K2733" s="1531"/>
      <c r="L2733" s="1531"/>
      <c r="M2733" s="1531"/>
      <c r="N2733" s="1531"/>
      <c r="O2733" s="1531"/>
      <c r="P2733" s="1531"/>
      <c r="Q2733" s="1531"/>
      <c r="R2733" s="1531"/>
      <c r="S2733" s="1531"/>
      <c r="T2733" s="1531"/>
      <c r="U2733" s="1531"/>
      <c r="V2733" s="1531"/>
      <c r="W2733" s="1531"/>
      <c r="X2733" s="1531"/>
      <c r="Y2733" s="1531"/>
      <c r="Z2733" s="1531"/>
      <c r="AA2733" s="1531"/>
      <c r="AB2733" s="1531"/>
      <c r="AC2733" s="1531"/>
      <c r="AD2733" s="1531"/>
      <c r="AE2733" s="1531"/>
      <c r="AF2733" s="1531"/>
      <c r="AG2733" s="1531"/>
      <c r="AH2733" s="1531"/>
      <c r="AI2733" s="1531"/>
      <c r="AJ2733" s="1531"/>
      <c r="AK2733" s="1531"/>
      <c r="AL2733" s="1531"/>
      <c r="AM2733" s="1531"/>
      <c r="AN2733" s="1531"/>
      <c r="AO2733" s="1531"/>
      <c r="AP2733" s="1531"/>
      <c r="AQ2733" s="1531"/>
      <c r="AR2733" s="1531"/>
      <c r="AS2733" s="1531"/>
      <c r="AT2733" s="1531"/>
      <c r="AU2733" s="1531"/>
      <c r="AV2733" s="1531"/>
      <c r="AW2733" s="1531"/>
      <c r="AX2733" s="1531"/>
      <c r="AY2733" s="1531"/>
      <c r="AZ2733" s="1531"/>
      <c r="BA2733" s="1531"/>
      <c r="BB2733" s="1531"/>
      <c r="BC2733" s="1531"/>
      <c r="BD2733" s="1531"/>
      <c r="BE2733" s="1531"/>
      <c r="BF2733" s="1531"/>
      <c r="BG2733" s="1531"/>
      <c r="BH2733" s="1531"/>
      <c r="BI2733" s="1531"/>
      <c r="BJ2733" s="1531"/>
      <c r="BK2733" s="1531"/>
      <c r="BL2733" s="1531"/>
    </row>
    <row r="2734" spans="1:64" s="1493" customFormat="1" ht="15.75" x14ac:dyDescent="0.25">
      <c r="A2734" s="1549" t="s">
        <v>1542</v>
      </c>
      <c r="B2734" s="1550">
        <f>IF(B2693&gt;1.2,2,1)</f>
        <v>2</v>
      </c>
      <c r="C2734" s="1350"/>
      <c r="D2734" s="1523"/>
      <c r="E2734" s="1523"/>
      <c r="F2734" s="1523"/>
      <c r="G2734" s="1523"/>
      <c r="H2734" s="1531"/>
      <c r="I2734" s="1531"/>
      <c r="J2734" s="1531"/>
      <c r="K2734" s="1531"/>
      <c r="L2734" s="1531"/>
      <c r="M2734" s="1531"/>
      <c r="N2734" s="1531"/>
      <c r="O2734" s="1531"/>
      <c r="P2734" s="1531"/>
      <c r="Q2734" s="1531"/>
      <c r="R2734" s="1531"/>
      <c r="S2734" s="1531"/>
      <c r="T2734" s="1531"/>
      <c r="U2734" s="1531"/>
      <c r="V2734" s="1531"/>
      <c r="W2734" s="1531"/>
      <c r="X2734" s="1531"/>
      <c r="Y2734" s="1531"/>
      <c r="Z2734" s="1531"/>
      <c r="AA2734" s="1531"/>
      <c r="AB2734" s="1531"/>
      <c r="AC2734" s="1531"/>
      <c r="AD2734" s="1531"/>
      <c r="AE2734" s="1531"/>
      <c r="AF2734" s="1531"/>
      <c r="AG2734" s="1531"/>
      <c r="AH2734" s="1531"/>
      <c r="AI2734" s="1531"/>
      <c r="AJ2734" s="1531"/>
      <c r="AK2734" s="1531"/>
      <c r="AL2734" s="1531"/>
      <c r="AM2734" s="1531"/>
      <c r="AN2734" s="1531"/>
      <c r="AO2734" s="1531"/>
      <c r="AP2734" s="1531"/>
      <c r="AQ2734" s="1531"/>
      <c r="AR2734" s="1531"/>
      <c r="AS2734" s="1531"/>
      <c r="AT2734" s="1531"/>
      <c r="AU2734" s="1531"/>
      <c r="AV2734" s="1531"/>
      <c r="AW2734" s="1531"/>
      <c r="AX2734" s="1531"/>
      <c r="AY2734" s="1531"/>
      <c r="AZ2734" s="1531"/>
      <c r="BA2734" s="1531"/>
      <c r="BB2734" s="1531"/>
      <c r="BC2734" s="1531"/>
      <c r="BD2734" s="1531"/>
      <c r="BE2734" s="1531"/>
      <c r="BF2734" s="1531"/>
      <c r="BG2734" s="1531"/>
      <c r="BH2734" s="1531"/>
      <c r="BI2734" s="1531"/>
      <c r="BJ2734" s="1531"/>
      <c r="BK2734" s="1531"/>
      <c r="BL2734" s="1531"/>
    </row>
    <row r="2735" spans="1:64" s="1493" customFormat="1" ht="15.75" x14ac:dyDescent="0.25">
      <c r="A2735" s="1549" t="s">
        <v>1543</v>
      </c>
      <c r="B2735" s="1550">
        <f>IF(B2699&gt;1.25,3,1)</f>
        <v>3</v>
      </c>
      <c r="C2735" s="1350"/>
      <c r="D2735" s="1523"/>
      <c r="E2735" s="1523"/>
      <c r="F2735" s="1523"/>
      <c r="G2735" s="1523"/>
      <c r="H2735" s="1551"/>
      <c r="I2735" s="1531"/>
      <c r="J2735" s="1531"/>
      <c r="K2735" s="1531"/>
      <c r="L2735" s="1531"/>
      <c r="M2735" s="1531"/>
      <c r="N2735" s="1531"/>
      <c r="O2735" s="1531"/>
      <c r="P2735" s="1531"/>
      <c r="Q2735" s="1531"/>
      <c r="R2735" s="1531"/>
      <c r="S2735" s="1531"/>
      <c r="T2735" s="1531"/>
      <c r="U2735" s="1531"/>
      <c r="V2735" s="1531"/>
      <c r="W2735" s="1531"/>
      <c r="X2735" s="1531"/>
      <c r="Y2735" s="1531"/>
      <c r="Z2735" s="1531"/>
      <c r="AA2735" s="1531"/>
      <c r="AB2735" s="1531"/>
      <c r="AC2735" s="1531"/>
      <c r="AD2735" s="1531"/>
      <c r="AE2735" s="1531"/>
      <c r="AF2735" s="1531"/>
      <c r="AG2735" s="1531"/>
      <c r="AH2735" s="1531"/>
      <c r="AI2735" s="1531"/>
      <c r="AJ2735" s="1531"/>
      <c r="AK2735" s="1531"/>
      <c r="AL2735" s="1531"/>
      <c r="AM2735" s="1531"/>
      <c r="AN2735" s="1531"/>
      <c r="AO2735" s="1531"/>
      <c r="AP2735" s="1531"/>
      <c r="AQ2735" s="1531"/>
      <c r="AR2735" s="1531"/>
      <c r="AS2735" s="1531"/>
      <c r="AT2735" s="1531"/>
      <c r="AU2735" s="1531"/>
      <c r="AV2735" s="1531"/>
      <c r="AW2735" s="1531"/>
      <c r="AX2735" s="1531"/>
      <c r="AY2735" s="1531"/>
      <c r="AZ2735" s="1531"/>
      <c r="BA2735" s="1531"/>
      <c r="BB2735" s="1531"/>
      <c r="BC2735" s="1531"/>
      <c r="BD2735" s="1531"/>
      <c r="BE2735" s="1531"/>
      <c r="BF2735" s="1531"/>
      <c r="BG2735" s="1531"/>
      <c r="BH2735" s="1531"/>
      <c r="BI2735" s="1531"/>
      <c r="BJ2735" s="1531"/>
      <c r="BK2735" s="1531"/>
      <c r="BL2735" s="1531"/>
    </row>
    <row r="2736" spans="1:64" s="1493" customFormat="1" ht="16.5" thickBot="1" x14ac:dyDescent="0.3">
      <c r="A2736" s="1552" t="s">
        <v>1538</v>
      </c>
      <c r="B2736" s="1553">
        <v>369</v>
      </c>
      <c r="C2736" s="1416"/>
      <c r="D2736" s="1523"/>
      <c r="E2736" s="1523"/>
      <c r="F2736" s="1523"/>
      <c r="G2736" s="1523"/>
      <c r="H2736" s="1531"/>
      <c r="I2736" s="1531"/>
      <c r="J2736" s="1531"/>
      <c r="K2736" s="1531"/>
      <c r="L2736" s="1531"/>
      <c r="M2736" s="1531"/>
      <c r="N2736" s="1531"/>
      <c r="O2736" s="1531"/>
      <c r="P2736" s="1554"/>
      <c r="Q2736" s="1070"/>
      <c r="R2736" s="1070"/>
      <c r="S2736" s="1070"/>
      <c r="T2736" s="1531"/>
      <c r="U2736" s="1531"/>
      <c r="V2736" s="1531"/>
      <c r="W2736" s="1531"/>
      <c r="X2736" s="1531"/>
      <c r="Y2736" s="1531"/>
      <c r="Z2736" s="1531"/>
      <c r="AA2736" s="1531"/>
      <c r="AB2736" s="1531"/>
      <c r="AC2736" s="1531"/>
      <c r="AD2736" s="1531"/>
      <c r="AE2736" s="1531"/>
      <c r="AF2736" s="1531"/>
      <c r="AG2736" s="1531"/>
      <c r="AH2736" s="1531"/>
      <c r="AI2736" s="1531"/>
      <c r="AJ2736" s="1531"/>
      <c r="AK2736" s="1531"/>
      <c r="AL2736" s="1531"/>
      <c r="AM2736" s="1531"/>
      <c r="AN2736" s="1531"/>
      <c r="AO2736" s="1531"/>
      <c r="AP2736" s="1531"/>
      <c r="AQ2736" s="1531"/>
      <c r="AR2736" s="1531"/>
      <c r="AS2736" s="1531"/>
      <c r="AT2736" s="1531"/>
      <c r="AU2736" s="1531"/>
      <c r="AV2736" s="1531"/>
      <c r="AW2736" s="1531"/>
      <c r="AX2736" s="1531"/>
      <c r="AY2736" s="1531"/>
      <c r="AZ2736" s="1531"/>
      <c r="BA2736" s="1531"/>
      <c r="BB2736" s="1531"/>
      <c r="BC2736" s="1531"/>
      <c r="BD2736" s="1531"/>
      <c r="BE2736" s="1531"/>
      <c r="BF2736" s="1531"/>
      <c r="BG2736" s="1531"/>
      <c r="BH2736" s="1531"/>
      <c r="BI2736" s="1531"/>
      <c r="BJ2736" s="1531"/>
      <c r="BK2736" s="1531"/>
      <c r="BL2736" s="1531"/>
    </row>
    <row r="2737" spans="1:65" s="1493" customFormat="1" ht="16.5" thickBot="1" x14ac:dyDescent="0.3">
      <c r="A2737" s="1555" t="s">
        <v>3055</v>
      </c>
      <c r="B2737" s="1556"/>
      <c r="C2737" s="1557"/>
      <c r="D2737" s="1523"/>
      <c r="E2737" s="1523"/>
      <c r="F2737" s="1523"/>
      <c r="G2737" s="1523"/>
      <c r="H2737" s="1531"/>
      <c r="I2737" s="1531"/>
      <c r="J2737" s="1531"/>
      <c r="K2737" s="1531"/>
      <c r="L2737" s="1531"/>
      <c r="M2737" s="1531"/>
      <c r="N2737" s="1531"/>
      <c r="O2737" s="1531"/>
      <c r="P2737" s="1554"/>
      <c r="Q2737" s="1070"/>
      <c r="R2737" s="1070"/>
      <c r="S2737" s="1070"/>
      <c r="T2737" s="1531"/>
      <c r="U2737" s="1531"/>
      <c r="V2737" s="1531"/>
      <c r="W2737" s="1531"/>
      <c r="X2737" s="1531"/>
      <c r="Y2737" s="1531"/>
      <c r="Z2737" s="1531"/>
      <c r="AA2737" s="1531"/>
      <c r="AB2737" s="1531"/>
      <c r="AC2737" s="1531"/>
      <c r="AD2737" s="1531"/>
      <c r="AE2737" s="1531"/>
      <c r="AF2737" s="1531"/>
      <c r="AG2737" s="1531"/>
      <c r="AH2737" s="1531"/>
      <c r="AI2737" s="1531"/>
      <c r="AJ2737" s="1531"/>
      <c r="AK2737" s="1531"/>
      <c r="AL2737" s="1531"/>
      <c r="AM2737" s="1531"/>
      <c r="AN2737" s="1531"/>
      <c r="AO2737" s="1531"/>
      <c r="AP2737" s="1531"/>
      <c r="AQ2737" s="1531"/>
      <c r="AR2737" s="1531"/>
      <c r="AS2737" s="1531"/>
      <c r="AT2737" s="1531"/>
      <c r="AU2737" s="1531"/>
      <c r="AV2737" s="1531"/>
      <c r="AW2737" s="1531"/>
      <c r="AX2737" s="1531"/>
      <c r="AY2737" s="1531"/>
      <c r="AZ2737" s="1531"/>
      <c r="BA2737" s="1531"/>
      <c r="BB2737" s="1531"/>
      <c r="BC2737" s="1531"/>
      <c r="BD2737" s="1531"/>
      <c r="BE2737" s="1531"/>
      <c r="BF2737" s="1531"/>
      <c r="BG2737" s="1531"/>
      <c r="BH2737" s="1531"/>
      <c r="BI2737" s="1531"/>
      <c r="BJ2737" s="1531"/>
      <c r="BK2737" s="1531"/>
      <c r="BL2737" s="1531"/>
    </row>
    <row r="2738" spans="1:65" s="1493" customFormat="1" ht="15.75" x14ac:dyDescent="0.25">
      <c r="A2738" s="1558" t="s">
        <v>1544</v>
      </c>
      <c r="B2738" s="1516" t="e">
        <f>B2383</f>
        <v>#VALUE!</v>
      </c>
      <c r="C2738" s="1416"/>
      <c r="D2738" s="1523"/>
      <c r="E2738" s="1523"/>
      <c r="F2738" s="1523"/>
      <c r="G2738" s="1523"/>
      <c r="H2738" s="1531"/>
      <c r="I2738" s="1531"/>
      <c r="J2738" s="1531"/>
      <c r="K2738" s="1531"/>
      <c r="L2738" s="1531"/>
      <c r="M2738" s="1531"/>
      <c r="N2738" s="1531"/>
      <c r="O2738" s="1531"/>
      <c r="P2738" s="1554"/>
      <c r="Q2738" s="1070"/>
      <c r="R2738" s="1070"/>
      <c r="S2738" s="1070"/>
      <c r="T2738" s="1531"/>
      <c r="U2738" s="1531"/>
      <c r="V2738" s="1531"/>
      <c r="W2738" s="1531"/>
      <c r="X2738" s="1531"/>
      <c r="Y2738" s="1531"/>
      <c r="Z2738" s="1531"/>
      <c r="AA2738" s="1531"/>
      <c r="AB2738" s="1531"/>
      <c r="AC2738" s="1531"/>
      <c r="AD2738" s="1531"/>
      <c r="AE2738" s="1531"/>
      <c r="AF2738" s="1531"/>
      <c r="AG2738" s="1531"/>
      <c r="AH2738" s="1531"/>
      <c r="AI2738" s="1531"/>
      <c r="AJ2738" s="1531"/>
      <c r="AK2738" s="1531"/>
      <c r="AL2738" s="1531"/>
      <c r="AM2738" s="1531"/>
      <c r="AN2738" s="1531"/>
      <c r="AO2738" s="1531"/>
      <c r="AP2738" s="1531"/>
      <c r="AQ2738" s="1531"/>
      <c r="AR2738" s="1531"/>
      <c r="AS2738" s="1531"/>
      <c r="AT2738" s="1531"/>
      <c r="AU2738" s="1531"/>
      <c r="AV2738" s="1531"/>
      <c r="AW2738" s="1531"/>
      <c r="AX2738" s="1531"/>
      <c r="AY2738" s="1531"/>
      <c r="AZ2738" s="1531"/>
      <c r="BA2738" s="1531"/>
      <c r="BB2738" s="1531"/>
      <c r="BC2738" s="1531"/>
      <c r="BD2738" s="1531"/>
      <c r="BE2738" s="1531"/>
      <c r="BF2738" s="1531"/>
      <c r="BG2738" s="1531"/>
      <c r="BH2738" s="1531"/>
      <c r="BI2738" s="1531"/>
      <c r="BJ2738" s="1531"/>
      <c r="BK2738" s="1531"/>
      <c r="BL2738" s="1531"/>
    </row>
    <row r="2739" spans="1:65" s="1493" customFormat="1" ht="15.75" x14ac:dyDescent="0.25">
      <c r="A2739" s="1519" t="s">
        <v>3059</v>
      </c>
      <c r="B2739" s="1522" t="e">
        <f>B2738</f>
        <v>#VALUE!</v>
      </c>
      <c r="C2739" s="1523"/>
      <c r="D2739" s="1546"/>
      <c r="E2739" s="1546"/>
      <c r="F2739" s="1546"/>
      <c r="G2739" s="1546"/>
      <c r="H2739" s="1350"/>
      <c r="I2739" s="1531"/>
      <c r="J2739" s="1531"/>
      <c r="K2739" s="1531"/>
      <c r="L2739" s="1531"/>
      <c r="M2739" s="1531"/>
      <c r="N2739" s="1531"/>
      <c r="O2739" s="1531"/>
      <c r="P2739" s="1554"/>
      <c r="Q2739" s="1070"/>
      <c r="R2739" s="1070"/>
      <c r="S2739" s="1070"/>
      <c r="T2739" s="1350"/>
      <c r="U2739" s="1350"/>
      <c r="V2739" s="1350"/>
      <c r="W2739" s="1350"/>
      <c r="X2739" s="1350"/>
      <c r="Y2739" s="1350"/>
      <c r="Z2739" s="1350"/>
      <c r="AA2739" s="1350"/>
      <c r="AB2739" s="1350"/>
      <c r="AC2739" s="1531"/>
      <c r="AD2739" s="1531"/>
      <c r="AE2739" s="1531"/>
      <c r="AF2739" s="1531"/>
      <c r="AG2739" s="1531"/>
      <c r="AH2739" s="1531"/>
      <c r="AI2739" s="1531"/>
      <c r="AJ2739" s="1531"/>
      <c r="AK2739" s="1531"/>
      <c r="AL2739" s="1531"/>
      <c r="AM2739" s="1531"/>
      <c r="AN2739" s="1531"/>
      <c r="AO2739" s="1531"/>
      <c r="AP2739" s="1531"/>
      <c r="AQ2739" s="1531"/>
      <c r="AR2739" s="1531"/>
      <c r="AS2739" s="1531"/>
      <c r="AT2739" s="1531"/>
      <c r="AU2739" s="1531"/>
      <c r="AV2739" s="1531"/>
      <c r="AW2739" s="1531"/>
      <c r="AX2739" s="1531"/>
      <c r="AY2739" s="1531"/>
      <c r="AZ2739" s="1531"/>
      <c r="BA2739" s="1531"/>
      <c r="BB2739" s="1531"/>
      <c r="BC2739" s="1531"/>
      <c r="BD2739" s="1531"/>
      <c r="BE2739" s="1531"/>
      <c r="BF2739" s="1531"/>
      <c r="BG2739" s="1531"/>
      <c r="BH2739" s="1531"/>
      <c r="BI2739" s="1531"/>
      <c r="BJ2739" s="1531"/>
      <c r="BK2739" s="1531"/>
      <c r="BL2739" s="1531"/>
    </row>
    <row r="2740" spans="1:65" s="1493" customFormat="1" ht="15.75" x14ac:dyDescent="0.25">
      <c r="A2740" s="1519" t="s">
        <v>3412</v>
      </c>
      <c r="B2740" s="1522" t="e">
        <f>B2736*B2739</f>
        <v>#VALUE!</v>
      </c>
      <c r="C2740" s="1523"/>
      <c r="D2740" s="1416"/>
      <c r="E2740" s="1416"/>
      <c r="F2740" s="1416"/>
      <c r="G2740" s="1416"/>
      <c r="H2740" s="1350"/>
      <c r="I2740" s="1531"/>
      <c r="J2740" s="1531"/>
      <c r="K2740" s="1531"/>
      <c r="L2740" s="1531"/>
      <c r="M2740" s="1531"/>
      <c r="N2740" s="1531"/>
      <c r="O2740" s="1531"/>
      <c r="P2740" s="1554"/>
      <c r="Q2740" s="1070"/>
      <c r="R2740" s="1070"/>
      <c r="S2740" s="1070"/>
      <c r="T2740" s="1350"/>
      <c r="U2740" s="1350"/>
      <c r="V2740" s="1350"/>
      <c r="W2740" s="1350"/>
      <c r="X2740" s="1350"/>
      <c r="Y2740" s="1350"/>
      <c r="Z2740" s="1350"/>
      <c r="AA2740" s="1350"/>
      <c r="AB2740" s="1350"/>
      <c r="AC2740" s="1531"/>
      <c r="AD2740" s="1531"/>
      <c r="AE2740" s="1531"/>
      <c r="AF2740" s="1531"/>
      <c r="AG2740" s="1531"/>
      <c r="AH2740" s="1531"/>
      <c r="AI2740" s="1531"/>
      <c r="AJ2740" s="1531"/>
      <c r="AK2740" s="1531"/>
      <c r="AL2740" s="1531"/>
      <c r="AM2740" s="1531"/>
      <c r="AN2740" s="1531"/>
      <c r="AO2740" s="1531"/>
      <c r="AP2740" s="1531"/>
      <c r="AQ2740" s="1531"/>
      <c r="AR2740" s="1531"/>
      <c r="AS2740" s="1531"/>
      <c r="AT2740" s="1531"/>
      <c r="AU2740" s="1531"/>
      <c r="AV2740" s="1531"/>
      <c r="AW2740" s="1531"/>
      <c r="AX2740" s="1531"/>
      <c r="AY2740" s="1531"/>
      <c r="AZ2740" s="1531"/>
      <c r="BA2740" s="1531"/>
      <c r="BB2740" s="1531"/>
      <c r="BC2740" s="1531"/>
      <c r="BD2740" s="1531"/>
      <c r="BE2740" s="1531"/>
      <c r="BF2740" s="1531"/>
      <c r="BG2740" s="1531"/>
      <c r="BH2740" s="1531"/>
      <c r="BI2740" s="1531"/>
      <c r="BJ2740" s="1531"/>
      <c r="BK2740" s="1531"/>
      <c r="BL2740" s="1531"/>
    </row>
    <row r="2741" spans="1:65" s="1493" customFormat="1" ht="31.5" x14ac:dyDescent="0.25">
      <c r="A2741" s="1542" t="s">
        <v>3032</v>
      </c>
      <c r="B2741" s="1522" t="e">
        <f>B2702/B2740</f>
        <v>#VALUE!</v>
      </c>
      <c r="C2741" s="1523"/>
      <c r="D2741" s="1350"/>
      <c r="E2741" s="1350"/>
      <c r="F2741" s="1350"/>
      <c r="G2741" s="1350"/>
      <c r="H2741" s="1350"/>
      <c r="I2741" s="1531"/>
      <c r="J2741" s="1531"/>
      <c r="K2741" s="1531"/>
      <c r="L2741" s="1531"/>
      <c r="M2741" s="1531"/>
      <c r="N2741" s="1531"/>
      <c r="O2741" s="1531"/>
      <c r="P2741" s="1554"/>
      <c r="Q2741" s="1070"/>
      <c r="R2741" s="1070"/>
      <c r="S2741" s="1070"/>
      <c r="T2741" s="1350"/>
      <c r="U2741" s="1350"/>
      <c r="V2741" s="1350"/>
      <c r="W2741" s="1350"/>
      <c r="X2741" s="1350"/>
      <c r="Y2741" s="1350"/>
      <c r="Z2741" s="1350"/>
      <c r="AA2741" s="1350"/>
      <c r="AB2741" s="1350"/>
      <c r="AC2741" s="1531"/>
      <c r="AD2741" s="1531"/>
      <c r="AE2741" s="1531"/>
      <c r="AF2741" s="1531"/>
      <c r="AG2741" s="1531"/>
      <c r="AH2741" s="1531"/>
      <c r="AI2741" s="1531"/>
      <c r="AJ2741" s="1531"/>
      <c r="AK2741" s="1531"/>
      <c r="AL2741" s="1531"/>
      <c r="AM2741" s="1531"/>
      <c r="AN2741" s="1531"/>
      <c r="AO2741" s="1531"/>
      <c r="AP2741" s="1531"/>
      <c r="AQ2741" s="1531"/>
      <c r="AR2741" s="1531"/>
      <c r="AS2741" s="1531"/>
      <c r="AT2741" s="1531"/>
      <c r="AU2741" s="1531"/>
      <c r="AV2741" s="1531"/>
      <c r="AW2741" s="1531"/>
      <c r="AX2741" s="1531"/>
      <c r="AY2741" s="1531"/>
      <c r="AZ2741" s="1531"/>
      <c r="BA2741" s="1531"/>
      <c r="BB2741" s="1531"/>
      <c r="BC2741" s="1531"/>
      <c r="BD2741" s="1531"/>
      <c r="BE2741" s="1531"/>
      <c r="BF2741" s="1531"/>
      <c r="BG2741" s="1531"/>
      <c r="BH2741" s="1531"/>
      <c r="BI2741" s="1531"/>
      <c r="BJ2741" s="1531"/>
      <c r="BK2741" s="1531"/>
      <c r="BL2741" s="1531"/>
    </row>
    <row r="2742" spans="1:65" s="1493" customFormat="1" ht="47.25" x14ac:dyDescent="0.25">
      <c r="A2742" s="1559" t="s">
        <v>4409</v>
      </c>
      <c r="B2742" s="1560" t="e">
        <f>B2718+B2731+B2741</f>
        <v>#VALUE!</v>
      </c>
      <c r="C2742" s="1561"/>
      <c r="D2742" s="1350"/>
      <c r="E2742" s="1350"/>
      <c r="F2742" s="1350"/>
      <c r="G2742" s="1350"/>
      <c r="H2742" s="1350"/>
      <c r="I2742" s="1531"/>
      <c r="J2742" s="1531"/>
      <c r="K2742" s="1531"/>
      <c r="L2742" s="1531"/>
      <c r="M2742" s="1531"/>
      <c r="N2742" s="1531"/>
      <c r="O2742" s="1531"/>
      <c r="P2742" s="1554"/>
      <c r="Q2742" s="1070"/>
      <c r="R2742" s="1070"/>
      <c r="S2742" s="1070"/>
      <c r="T2742" s="1350"/>
      <c r="U2742" s="1350"/>
      <c r="V2742" s="1350"/>
      <c r="W2742" s="1350"/>
      <c r="X2742" s="1350"/>
      <c r="Y2742" s="1350"/>
      <c r="Z2742" s="1350"/>
      <c r="AA2742" s="1350"/>
      <c r="AB2742" s="1350"/>
      <c r="AC2742" s="1531"/>
      <c r="AD2742" s="1531"/>
      <c r="AE2742" s="1531"/>
      <c r="AF2742" s="1531"/>
      <c r="AG2742" s="1531"/>
      <c r="AH2742" s="1531"/>
      <c r="AI2742" s="1531"/>
      <c r="AJ2742" s="1531"/>
      <c r="AK2742" s="1531"/>
      <c r="AL2742" s="1531"/>
      <c r="AM2742" s="1531"/>
      <c r="AN2742" s="1531"/>
      <c r="AO2742" s="1531"/>
      <c r="AP2742" s="1531"/>
      <c r="AQ2742" s="1531"/>
      <c r="AR2742" s="1531"/>
      <c r="AS2742" s="1531"/>
      <c r="AT2742" s="1531"/>
      <c r="AU2742" s="1531"/>
      <c r="AV2742" s="1531"/>
      <c r="AW2742" s="1531"/>
      <c r="AX2742" s="1531"/>
      <c r="AY2742" s="1531"/>
      <c r="AZ2742" s="1531"/>
      <c r="BA2742" s="1531"/>
      <c r="BB2742" s="1531"/>
      <c r="BC2742" s="1531"/>
      <c r="BD2742" s="1531"/>
      <c r="BE2742" s="1531"/>
      <c r="BF2742" s="1531"/>
      <c r="BG2742" s="1531"/>
      <c r="BH2742" s="1531"/>
      <c r="BI2742" s="1531"/>
      <c r="BJ2742" s="1531"/>
      <c r="BK2742" s="1531"/>
      <c r="BL2742" s="1531"/>
    </row>
    <row r="2743" spans="1:65" s="1493" customFormat="1" ht="31.5" x14ac:dyDescent="0.25">
      <c r="A2743" s="1438" t="s">
        <v>4410</v>
      </c>
      <c r="B2743" s="1439" t="e">
        <f>B2632+B2639+B2652+B2665+B2671+B2690+B2742</f>
        <v>#VALUE!</v>
      </c>
      <c r="C2743" s="1562"/>
      <c r="D2743" s="1416"/>
      <c r="E2743" s="1416"/>
      <c r="F2743" s="1416"/>
      <c r="G2743" s="1416"/>
      <c r="H2743" s="1350"/>
      <c r="I2743" s="1531"/>
      <c r="J2743" s="1531"/>
      <c r="K2743" s="1531"/>
      <c r="L2743" s="1531"/>
      <c r="M2743" s="1531"/>
      <c r="N2743" s="1531"/>
      <c r="O2743" s="1531"/>
      <c r="P2743" s="1531"/>
      <c r="Q2743" s="1531"/>
      <c r="R2743" s="1531"/>
      <c r="S2743" s="1531"/>
      <c r="T2743" s="1350"/>
      <c r="U2743" s="1350"/>
      <c r="V2743" s="1350"/>
      <c r="W2743" s="1350"/>
      <c r="X2743" s="1350"/>
      <c r="Y2743" s="1350"/>
      <c r="Z2743" s="1350"/>
      <c r="AA2743" s="1350"/>
      <c r="AB2743" s="1350"/>
      <c r="AC2743" s="1531"/>
      <c r="AD2743" s="1531"/>
      <c r="AE2743" s="1531"/>
      <c r="AF2743" s="1531"/>
      <c r="AG2743" s="1531"/>
      <c r="AH2743" s="1531"/>
      <c r="AI2743" s="1531"/>
      <c r="AJ2743" s="1531"/>
      <c r="AK2743" s="1531"/>
      <c r="AL2743" s="1531"/>
      <c r="AM2743" s="1531"/>
      <c r="AN2743" s="1531"/>
      <c r="AO2743" s="1531"/>
      <c r="AP2743" s="1531"/>
      <c r="AQ2743" s="1531"/>
      <c r="AR2743" s="1531"/>
      <c r="AS2743" s="1531"/>
      <c r="AT2743" s="1531"/>
      <c r="AU2743" s="1531"/>
      <c r="AV2743" s="1531"/>
      <c r="AW2743" s="1531"/>
      <c r="AX2743" s="1531"/>
      <c r="AY2743" s="1531"/>
      <c r="AZ2743" s="1531"/>
      <c r="BA2743" s="1531"/>
      <c r="BB2743" s="1531"/>
      <c r="BC2743" s="1531"/>
      <c r="BD2743" s="1531"/>
      <c r="BE2743" s="1531"/>
      <c r="BF2743" s="1531"/>
      <c r="BG2743" s="1531"/>
      <c r="BH2743" s="1531"/>
      <c r="BI2743" s="1531"/>
      <c r="BJ2743" s="1531"/>
      <c r="BK2743" s="1531"/>
      <c r="BL2743" s="1531"/>
    </row>
    <row r="2744" spans="1:65" s="1493" customFormat="1" ht="15.75" x14ac:dyDescent="0.25">
      <c r="A2744" s="1466" t="s">
        <v>831</v>
      </c>
      <c r="B2744" s="1453" t="e">
        <f>IF(B276=1,B2743,0)</f>
        <v>#VALUE!</v>
      </c>
      <c r="C2744" s="1563"/>
      <c r="D2744" s="1557"/>
      <c r="E2744" s="1557"/>
      <c r="F2744" s="1557"/>
      <c r="G2744" s="1557"/>
      <c r="H2744" s="1350"/>
      <c r="I2744" s="1531"/>
      <c r="J2744" s="1531"/>
      <c r="K2744" s="1531"/>
      <c r="L2744" s="1531"/>
      <c r="M2744" s="1531"/>
      <c r="N2744" s="1531"/>
      <c r="O2744" s="1531"/>
      <c r="P2744" s="1531"/>
      <c r="Q2744" s="1531"/>
      <c r="R2744" s="1531"/>
      <c r="S2744" s="1531"/>
      <c r="T2744" s="1350"/>
      <c r="U2744" s="1350"/>
      <c r="V2744" s="1350"/>
      <c r="W2744" s="1350"/>
      <c r="X2744" s="1350"/>
      <c r="Y2744" s="1350"/>
      <c r="Z2744" s="1350"/>
      <c r="AA2744" s="1350"/>
      <c r="AB2744" s="1350"/>
      <c r="AC2744" s="1531"/>
      <c r="AD2744" s="1531"/>
      <c r="AE2744" s="1531"/>
      <c r="AF2744" s="1531"/>
      <c r="AG2744" s="1531"/>
      <c r="AH2744" s="1531"/>
      <c r="AI2744" s="1531"/>
      <c r="AJ2744" s="1531"/>
      <c r="AK2744" s="1531"/>
      <c r="AL2744" s="1531"/>
      <c r="AM2744" s="1531"/>
      <c r="AN2744" s="1531"/>
      <c r="AO2744" s="1531"/>
      <c r="AP2744" s="1531"/>
      <c r="AQ2744" s="1531"/>
      <c r="AR2744" s="1531"/>
      <c r="AS2744" s="1531"/>
      <c r="AT2744" s="1531"/>
      <c r="AU2744" s="1531"/>
      <c r="AV2744" s="1531"/>
      <c r="AW2744" s="1531"/>
      <c r="AX2744" s="1531"/>
      <c r="AY2744" s="1531"/>
      <c r="AZ2744" s="1531"/>
      <c r="BA2744" s="1531"/>
      <c r="BB2744" s="1531"/>
      <c r="BC2744" s="1531"/>
      <c r="BD2744" s="1531"/>
      <c r="BE2744" s="1531"/>
      <c r="BF2744" s="1531"/>
      <c r="BG2744" s="1531"/>
      <c r="BH2744" s="1531"/>
      <c r="BI2744" s="1531"/>
      <c r="BJ2744" s="1531"/>
      <c r="BK2744" s="1531"/>
      <c r="BL2744" s="1531"/>
    </row>
    <row r="2745" spans="1:65" s="1493" customFormat="1" ht="15.75" x14ac:dyDescent="0.25">
      <c r="A2745" s="1564"/>
      <c r="B2745" s="1479"/>
      <c r="C2745" s="1565"/>
      <c r="D2745" s="1416"/>
      <c r="E2745" s="1416"/>
      <c r="F2745" s="1416"/>
      <c r="G2745" s="1416"/>
      <c r="H2745" s="1070"/>
      <c r="I2745" s="1070"/>
      <c r="J2745" s="1070"/>
      <c r="K2745" s="1070"/>
      <c r="L2745" s="1070"/>
      <c r="M2745" s="1070"/>
      <c r="N2745" s="1070"/>
      <c r="O2745" s="1136"/>
      <c r="P2745" s="1136"/>
      <c r="Q2745" s="1136"/>
      <c r="R2745" s="1136"/>
      <c r="S2745" s="1136"/>
      <c r="T2745" s="1136"/>
      <c r="U2745" s="1136"/>
      <c r="V2745" s="1136"/>
      <c r="W2745" s="1136"/>
      <c r="X2745" s="1136"/>
      <c r="Y2745" s="1136"/>
      <c r="Z2745" s="1136"/>
      <c r="AA2745" s="1136"/>
      <c r="AB2745" s="1136"/>
      <c r="AC2745" s="1136"/>
      <c r="AD2745" s="1136"/>
      <c r="AE2745" s="1136"/>
      <c r="AF2745" s="1136"/>
      <c r="AG2745" s="1136"/>
      <c r="AH2745" s="1136"/>
      <c r="AI2745" s="1136"/>
      <c r="AJ2745" s="1136"/>
      <c r="AK2745" s="1136"/>
      <c r="AL2745" s="1136"/>
      <c r="AM2745" s="1136"/>
      <c r="AN2745" s="1531"/>
      <c r="AO2745" s="1531"/>
      <c r="AP2745" s="1531"/>
      <c r="AQ2745" s="1531"/>
      <c r="AR2745" s="1531"/>
      <c r="AS2745" s="1531"/>
      <c r="AT2745" s="1531"/>
      <c r="AU2745" s="1531"/>
      <c r="AV2745" s="1531"/>
      <c r="AW2745" s="1531"/>
      <c r="AX2745" s="1531"/>
      <c r="AY2745" s="1531"/>
      <c r="AZ2745" s="1531"/>
      <c r="BA2745" s="1531"/>
      <c r="BB2745" s="1531"/>
      <c r="BC2745" s="1531"/>
      <c r="BD2745" s="1531"/>
      <c r="BE2745" s="1531"/>
      <c r="BF2745" s="1531"/>
      <c r="BG2745" s="1531"/>
      <c r="BH2745" s="1531"/>
      <c r="BI2745" s="1531"/>
      <c r="BJ2745" s="1531"/>
      <c r="BK2745" s="1531"/>
      <c r="BL2745" s="1531"/>
    </row>
    <row r="2746" spans="1:65" s="1493" customFormat="1" ht="31.5" x14ac:dyDescent="0.25">
      <c r="A2746" s="1438" t="s">
        <v>4411</v>
      </c>
      <c r="B2746" s="1479"/>
      <c r="C2746" s="1565"/>
      <c r="D2746" s="1523"/>
      <c r="E2746" s="1523"/>
      <c r="F2746" s="1523"/>
      <c r="G2746" s="1523"/>
      <c r="H2746" s="1136"/>
      <c r="I2746" s="1136"/>
      <c r="J2746" s="1136"/>
      <c r="K2746" s="1136"/>
      <c r="L2746" s="1136"/>
      <c r="M2746" s="1136"/>
      <c r="N2746" s="1136"/>
      <c r="O2746" s="1136"/>
      <c r="P2746" s="1070"/>
      <c r="Q2746" s="1070"/>
      <c r="R2746" s="1070"/>
      <c r="S2746" s="1070"/>
      <c r="T2746" s="1070"/>
      <c r="U2746" s="1070"/>
      <c r="V2746" s="1070"/>
      <c r="W2746" s="1070"/>
      <c r="X2746" s="1070"/>
      <c r="Y2746" s="1070"/>
      <c r="Z2746" s="1070"/>
      <c r="AA2746" s="1136"/>
      <c r="AB2746" s="1136"/>
      <c r="AC2746" s="1136"/>
      <c r="AD2746" s="1136"/>
      <c r="AE2746" s="1136"/>
      <c r="AF2746" s="1136"/>
      <c r="AG2746" s="1136"/>
      <c r="AH2746" s="1136"/>
      <c r="AI2746" s="1136"/>
      <c r="AJ2746" s="1136"/>
      <c r="AK2746" s="1136"/>
      <c r="AL2746" s="1136"/>
      <c r="AM2746" s="1136"/>
      <c r="AN2746" s="1531"/>
      <c r="AO2746" s="1531"/>
      <c r="AP2746" s="1531"/>
      <c r="AQ2746" s="1531"/>
      <c r="AR2746" s="1531"/>
      <c r="AS2746" s="1531"/>
      <c r="AT2746" s="1531"/>
      <c r="AU2746" s="1531"/>
      <c r="AV2746" s="1531"/>
      <c r="AW2746" s="1531"/>
      <c r="AX2746" s="1531"/>
      <c r="AY2746" s="1531"/>
      <c r="AZ2746" s="1531"/>
      <c r="BA2746" s="1531"/>
      <c r="BB2746" s="1531"/>
      <c r="BC2746" s="1531"/>
      <c r="BD2746" s="1531"/>
      <c r="BE2746" s="1531"/>
      <c r="BF2746" s="1531"/>
      <c r="BG2746" s="1531"/>
      <c r="BH2746" s="1531"/>
      <c r="BI2746" s="1531"/>
      <c r="BJ2746" s="1531"/>
      <c r="BK2746" s="1531"/>
      <c r="BL2746" s="1531"/>
    </row>
    <row r="2747" spans="1:65" s="1493" customFormat="1" ht="15.75" x14ac:dyDescent="0.25">
      <c r="A2747" s="1422" t="s">
        <v>2995</v>
      </c>
      <c r="B2747" s="1428" t="e">
        <f>B240*B245*B244*B247*B239</f>
        <v>#VALUE!</v>
      </c>
      <c r="C2747" s="1566"/>
      <c r="D2747" s="1523"/>
      <c r="E2747" s="1523"/>
      <c r="F2747" s="1523"/>
      <c r="G2747" s="1523"/>
      <c r="H2747" s="1136"/>
      <c r="I2747" s="1136"/>
      <c r="J2747" s="1136"/>
      <c r="K2747" s="1136"/>
      <c r="L2747" s="1136"/>
      <c r="M2747" s="1136"/>
      <c r="N2747" s="1136"/>
      <c r="O2747" s="1136"/>
      <c r="P2747" s="1136"/>
      <c r="Q2747" s="1136"/>
      <c r="R2747" s="1136"/>
      <c r="S2747" s="1136"/>
      <c r="T2747" s="1136"/>
      <c r="U2747" s="1136"/>
      <c r="V2747" s="1136"/>
      <c r="W2747" s="1136"/>
      <c r="X2747" s="1136"/>
      <c r="Y2747" s="1136"/>
      <c r="Z2747" s="1136"/>
      <c r="AA2747" s="1136"/>
      <c r="AB2747" s="1136"/>
      <c r="AC2747" s="1136"/>
      <c r="AD2747" s="1136"/>
      <c r="AE2747" s="1136"/>
      <c r="AF2747" s="1136"/>
      <c r="AG2747" s="1136"/>
      <c r="AH2747" s="1136"/>
      <c r="AI2747" s="1136"/>
      <c r="AJ2747" s="1136"/>
      <c r="AK2747" s="1136"/>
      <c r="AL2747" s="1136"/>
      <c r="AM2747" s="1136"/>
      <c r="AN2747" s="1531"/>
      <c r="AO2747" s="1531"/>
      <c r="AP2747" s="1531"/>
      <c r="AQ2747" s="1531"/>
      <c r="AR2747" s="1531"/>
      <c r="AS2747" s="1531"/>
      <c r="AT2747" s="1531"/>
      <c r="AU2747" s="1531"/>
      <c r="AV2747" s="1531"/>
      <c r="AW2747" s="1531"/>
      <c r="AX2747" s="1531"/>
      <c r="AY2747" s="1531"/>
      <c r="AZ2747" s="1531"/>
      <c r="BA2747" s="1531"/>
      <c r="BB2747" s="1531"/>
      <c r="BC2747" s="1531"/>
      <c r="BD2747" s="1531"/>
      <c r="BE2747" s="1531"/>
      <c r="BF2747" s="1531"/>
      <c r="BG2747" s="1531"/>
      <c r="BH2747" s="1531"/>
      <c r="BI2747" s="1531"/>
      <c r="BJ2747" s="1531"/>
      <c r="BK2747" s="1531"/>
      <c r="BL2747" s="1531"/>
    </row>
    <row r="2748" spans="1:65" s="1493" customFormat="1" ht="15.75" x14ac:dyDescent="0.25">
      <c r="A2748" s="1420" t="s">
        <v>425</v>
      </c>
      <c r="B2748" s="1423" t="e">
        <f>IF(B2749&lt;101,164,IF(B2749&lt;201,182,IF(B2749&lt;351,209,IF(B2749&lt;501,240,276))))</f>
        <v>#VALUE!</v>
      </c>
      <c r="C2748" s="1567"/>
      <c r="D2748" s="1523"/>
      <c r="E2748" s="1523"/>
      <c r="F2748" s="1523"/>
      <c r="G2748" s="1523"/>
      <c r="H2748" s="1531"/>
      <c r="I2748" s="1531"/>
      <c r="J2748" s="1136"/>
      <c r="K2748" s="1531"/>
      <c r="L2748" s="1531"/>
      <c r="M2748" s="1136"/>
      <c r="N2748" s="1136"/>
      <c r="O2748" s="1136"/>
      <c r="P2748" s="1136"/>
      <c r="Q2748" s="1136"/>
      <c r="R2748" s="1136"/>
      <c r="S2748" s="1136"/>
      <c r="T2748" s="1136"/>
      <c r="U2748" s="1136"/>
      <c r="V2748" s="1136"/>
      <c r="W2748" s="1136"/>
      <c r="X2748" s="1136"/>
      <c r="Y2748" s="1136"/>
      <c r="Z2748" s="1136"/>
      <c r="AA2748" s="1136"/>
      <c r="AB2748" s="1136"/>
      <c r="AC2748" s="1136"/>
      <c r="AD2748" s="1136"/>
      <c r="AE2748" s="1136"/>
      <c r="AF2748" s="1136"/>
      <c r="AG2748" s="1136"/>
      <c r="AH2748" s="1136"/>
      <c r="AI2748" s="1136"/>
      <c r="AJ2748" s="1136"/>
      <c r="AK2748" s="1136"/>
      <c r="AL2748" s="1136"/>
      <c r="AM2748" s="1136"/>
      <c r="AN2748" s="1531"/>
      <c r="AO2748" s="1531"/>
      <c r="AP2748" s="1531"/>
      <c r="AQ2748" s="1531"/>
      <c r="AR2748" s="1531"/>
      <c r="AS2748" s="1531"/>
      <c r="AT2748" s="1531"/>
      <c r="AU2748" s="1531"/>
      <c r="AV2748" s="1531"/>
      <c r="AW2748" s="1531"/>
      <c r="AX2748" s="1531"/>
      <c r="AY2748" s="1531"/>
      <c r="AZ2748" s="1531"/>
      <c r="BA2748" s="1531"/>
      <c r="BB2748" s="1531"/>
      <c r="BC2748" s="1531"/>
      <c r="BD2748" s="1531"/>
      <c r="BE2748" s="1531"/>
      <c r="BF2748" s="1531"/>
      <c r="BG2748" s="1531"/>
      <c r="BH2748" s="1531"/>
      <c r="BI2748" s="1531"/>
      <c r="BJ2748" s="1531"/>
      <c r="BK2748" s="1531"/>
      <c r="BL2748" s="1531"/>
    </row>
    <row r="2749" spans="1:65" s="1493" customFormat="1" ht="47.25" x14ac:dyDescent="0.25">
      <c r="A2749" s="1420" t="s">
        <v>4412</v>
      </c>
      <c r="B2749" s="1428" t="e">
        <f>B241/3</f>
        <v>#VALUE!</v>
      </c>
      <c r="C2749" s="1566"/>
      <c r="D2749" s="1561"/>
      <c r="E2749" s="1561"/>
      <c r="F2749" s="1561"/>
      <c r="G2749" s="1561"/>
      <c r="H2749" s="1531"/>
      <c r="I2749" s="1531"/>
      <c r="J2749" s="1136"/>
      <c r="K2749" s="1531"/>
      <c r="L2749" s="1531"/>
      <c r="M2749" s="1136"/>
      <c r="N2749" s="1136"/>
      <c r="O2749" s="1136"/>
      <c r="P2749" s="1136"/>
      <c r="Q2749" s="1136"/>
      <c r="R2749" s="1136"/>
      <c r="S2749" s="1136"/>
      <c r="T2749" s="1136"/>
      <c r="U2749" s="1136"/>
      <c r="V2749" s="1136"/>
      <c r="W2749" s="1136"/>
      <c r="X2749" s="1136"/>
      <c r="Y2749" s="1136"/>
      <c r="Z2749" s="1136"/>
      <c r="AA2749" s="1136"/>
      <c r="AB2749" s="1136"/>
      <c r="AC2749" s="1136"/>
      <c r="AD2749" s="1136"/>
      <c r="AE2749" s="1136"/>
      <c r="AF2749" s="1136"/>
      <c r="AG2749" s="1136"/>
      <c r="AH2749" s="1136"/>
      <c r="AI2749" s="1136"/>
      <c r="AJ2749" s="1136"/>
      <c r="AK2749" s="1136"/>
      <c r="AL2749" s="1136"/>
      <c r="AM2749" s="1136"/>
      <c r="AN2749" s="1531"/>
      <c r="AO2749" s="1531"/>
      <c r="AP2749" s="1531"/>
      <c r="AQ2749" s="1531"/>
      <c r="AR2749" s="1531"/>
      <c r="AS2749" s="1531"/>
      <c r="AT2749" s="1531"/>
      <c r="AU2749" s="1531"/>
      <c r="AV2749" s="1531"/>
      <c r="AW2749" s="1531"/>
      <c r="AX2749" s="1531"/>
      <c r="AY2749" s="1531"/>
      <c r="AZ2749" s="1531"/>
      <c r="BA2749" s="1531"/>
      <c r="BB2749" s="1531"/>
      <c r="BC2749" s="1531"/>
      <c r="BD2749" s="1531"/>
      <c r="BE2749" s="1531"/>
      <c r="BF2749" s="1531"/>
      <c r="BG2749" s="1531"/>
      <c r="BH2749" s="1531"/>
      <c r="BI2749" s="1531"/>
      <c r="BJ2749" s="1531"/>
      <c r="BK2749" s="1531"/>
      <c r="BL2749" s="1531"/>
    </row>
    <row r="2750" spans="1:65" s="1391" customFormat="1" ht="15.75" x14ac:dyDescent="0.25">
      <c r="A2750" s="1420" t="s">
        <v>1322</v>
      </c>
      <c r="B2750" s="1479"/>
      <c r="C2750" s="1565"/>
      <c r="D2750" s="1562"/>
      <c r="E2750" s="1562"/>
      <c r="F2750" s="1562"/>
      <c r="G2750" s="1562"/>
      <c r="H2750" s="1531"/>
      <c r="I2750" s="1531"/>
      <c r="J2750" s="1531"/>
      <c r="K2750" s="1531"/>
      <c r="L2750" s="1531"/>
      <c r="M2750" s="1531"/>
      <c r="N2750" s="1531"/>
      <c r="O2750" s="1531"/>
      <c r="P2750" s="1531"/>
      <c r="Q2750" s="1531"/>
      <c r="R2750" s="1531"/>
      <c r="S2750" s="1531"/>
      <c r="T2750" s="1531"/>
      <c r="U2750" s="1531"/>
      <c r="V2750" s="1531"/>
      <c r="W2750" s="1531"/>
      <c r="X2750" s="1531"/>
      <c r="Y2750" s="1531"/>
      <c r="Z2750" s="1531"/>
      <c r="AA2750" s="1531"/>
      <c r="AB2750" s="1531"/>
      <c r="AC2750" s="1531"/>
      <c r="AD2750" s="1531"/>
      <c r="AE2750" s="1531"/>
      <c r="AF2750" s="1531"/>
      <c r="AG2750" s="1531"/>
      <c r="AH2750" s="1531"/>
      <c r="AI2750" s="1531"/>
      <c r="AJ2750" s="1531"/>
      <c r="AK2750" s="1531"/>
      <c r="AL2750" s="1531"/>
      <c r="AM2750" s="1531"/>
      <c r="AN2750" s="1531"/>
      <c r="AO2750" s="1531"/>
      <c r="AP2750" s="1531"/>
      <c r="AQ2750" s="1531"/>
      <c r="AR2750" s="1531"/>
      <c r="AS2750" s="1531"/>
      <c r="AT2750" s="1531"/>
      <c r="AU2750" s="1531"/>
      <c r="AV2750" s="1531"/>
      <c r="AW2750" s="1531"/>
      <c r="AX2750" s="1531"/>
      <c r="AY2750" s="1531"/>
      <c r="AZ2750" s="1531"/>
      <c r="BA2750" s="1136"/>
      <c r="BB2750" s="1136"/>
      <c r="BC2750" s="1136"/>
      <c r="BD2750" s="1136"/>
      <c r="BE2750" s="1136"/>
      <c r="BF2750" s="1136"/>
      <c r="BG2750" s="1136"/>
      <c r="BH2750" s="1136"/>
      <c r="BI2750" s="1136"/>
      <c r="BJ2750" s="1136"/>
      <c r="BK2750" s="1136"/>
      <c r="BL2750" s="1136"/>
      <c r="BM2750" s="1568"/>
    </row>
    <row r="2751" spans="1:65" s="1391" customFormat="1" ht="31.5" x14ac:dyDescent="0.25">
      <c r="A2751" s="1420" t="s">
        <v>4413</v>
      </c>
      <c r="B2751" s="1479">
        <v>1.5</v>
      </c>
      <c r="C2751" s="1565"/>
      <c r="D2751" s="1563"/>
      <c r="E2751" s="1563"/>
      <c r="F2751" s="1563"/>
      <c r="G2751" s="1563"/>
      <c r="H2751" s="1531"/>
      <c r="I2751" s="1531"/>
      <c r="J2751" s="1531"/>
      <c r="K2751" s="1531"/>
      <c r="L2751" s="1531"/>
      <c r="M2751" s="1531"/>
      <c r="N2751" s="1531"/>
      <c r="O2751" s="1531"/>
      <c r="P2751" s="1531"/>
      <c r="Q2751" s="1531"/>
      <c r="R2751" s="1531"/>
      <c r="S2751" s="1531"/>
      <c r="T2751" s="1531"/>
      <c r="U2751" s="1531"/>
      <c r="V2751" s="1531"/>
      <c r="W2751" s="1531"/>
      <c r="X2751" s="1531"/>
      <c r="Y2751" s="1531"/>
      <c r="Z2751" s="1531"/>
      <c r="AA2751" s="1531"/>
      <c r="AB2751" s="1531"/>
      <c r="AC2751" s="1531"/>
      <c r="AD2751" s="1531"/>
      <c r="AE2751" s="1531"/>
      <c r="AF2751" s="1531"/>
      <c r="AG2751" s="1531"/>
      <c r="AH2751" s="1531"/>
      <c r="AI2751" s="1531"/>
      <c r="AJ2751" s="1531"/>
      <c r="AK2751" s="1531"/>
      <c r="AL2751" s="1531"/>
      <c r="AM2751" s="1531"/>
      <c r="AN2751" s="1531"/>
      <c r="AO2751" s="1531"/>
      <c r="AP2751" s="1531"/>
      <c r="AQ2751" s="1531"/>
      <c r="AR2751" s="1531"/>
      <c r="AS2751" s="1531"/>
      <c r="AT2751" s="1531"/>
      <c r="AU2751" s="1531"/>
      <c r="AV2751" s="1531"/>
      <c r="AW2751" s="1531"/>
      <c r="AX2751" s="1531"/>
      <c r="AY2751" s="1531"/>
      <c r="AZ2751" s="1531"/>
      <c r="BA2751" s="1136"/>
      <c r="BB2751" s="1136"/>
      <c r="BC2751" s="1136"/>
      <c r="BD2751" s="1136"/>
      <c r="BE2751" s="1136"/>
      <c r="BF2751" s="1136"/>
      <c r="BG2751" s="1136"/>
      <c r="BH2751" s="1136"/>
      <c r="BI2751" s="1136"/>
      <c r="BJ2751" s="1136"/>
      <c r="BK2751" s="1136"/>
      <c r="BL2751" s="1136"/>
      <c r="BM2751" s="1568"/>
    </row>
    <row r="2752" spans="1:65" s="1391" customFormat="1" ht="15.75" x14ac:dyDescent="0.25">
      <c r="A2752" s="1420" t="s">
        <v>4414</v>
      </c>
      <c r="B2752" s="1433">
        <f>IF(B244&gt;1.51,1.15,1)</f>
        <v>1.1499999999999999</v>
      </c>
      <c r="C2752" s="1569"/>
      <c r="D2752" s="1531"/>
      <c r="E2752" s="1531"/>
      <c r="F2752" s="1531"/>
      <c r="G2752" s="1531"/>
      <c r="H2752" s="1531"/>
      <c r="I2752" s="1531"/>
      <c r="J2752" s="1531"/>
      <c r="K2752" s="1531"/>
      <c r="L2752" s="1531"/>
      <c r="M2752" s="1531"/>
      <c r="N2752" s="1531"/>
      <c r="O2752" s="1531"/>
      <c r="P2752" s="1531"/>
      <c r="Q2752" s="1531"/>
      <c r="R2752" s="1531"/>
      <c r="S2752" s="1531"/>
      <c r="T2752" s="1531"/>
      <c r="U2752" s="1531"/>
      <c r="V2752" s="1531"/>
      <c r="W2752" s="1531"/>
      <c r="X2752" s="1531"/>
      <c r="Y2752" s="1531"/>
      <c r="Z2752" s="1531"/>
      <c r="AA2752" s="1531"/>
      <c r="AB2752" s="1531"/>
      <c r="AC2752" s="1531"/>
      <c r="AD2752" s="1531"/>
      <c r="AE2752" s="1531"/>
      <c r="AF2752" s="1531"/>
      <c r="AG2752" s="1531"/>
      <c r="AH2752" s="1531"/>
      <c r="AI2752" s="1531"/>
      <c r="AJ2752" s="1531"/>
      <c r="AK2752" s="1531"/>
      <c r="AL2752" s="1531"/>
      <c r="AM2752" s="1531"/>
      <c r="AN2752" s="1531"/>
      <c r="AO2752" s="1531"/>
      <c r="AP2752" s="1531"/>
      <c r="AQ2752" s="1531"/>
      <c r="AR2752" s="1531"/>
      <c r="AS2752" s="1531"/>
      <c r="AT2752" s="1531"/>
      <c r="AU2752" s="1531"/>
      <c r="AV2752" s="1531"/>
      <c r="AW2752" s="1531"/>
      <c r="AX2752" s="1531"/>
      <c r="AY2752" s="1531"/>
      <c r="AZ2752" s="1531"/>
      <c r="BA2752" s="1136"/>
      <c r="BB2752" s="1136"/>
      <c r="BC2752" s="1136"/>
      <c r="BD2752" s="1136"/>
      <c r="BE2752" s="1136"/>
      <c r="BF2752" s="1136"/>
      <c r="BG2752" s="1136"/>
      <c r="BH2752" s="1136"/>
      <c r="BI2752" s="1136"/>
      <c r="BJ2752" s="1136"/>
      <c r="BK2752" s="1136"/>
      <c r="BL2752" s="1136"/>
      <c r="BM2752" s="1568"/>
    </row>
    <row r="2753" spans="1:65" s="1391" customFormat="1" ht="15.75" x14ac:dyDescent="0.25">
      <c r="A2753" s="1422" t="s">
        <v>3412</v>
      </c>
      <c r="B2753" s="1433" t="e">
        <f>B2748*B2751*B2752*B2383</f>
        <v>#VALUE!</v>
      </c>
      <c r="C2753" s="1569"/>
      <c r="D2753" s="1531"/>
      <c r="E2753" s="1531"/>
      <c r="F2753" s="1531"/>
      <c r="G2753" s="1531"/>
      <c r="H2753" s="1531"/>
      <c r="I2753" s="1531"/>
      <c r="J2753" s="1531"/>
      <c r="K2753" s="1531"/>
      <c r="L2753" s="1531"/>
      <c r="M2753" s="1531"/>
      <c r="N2753" s="1531"/>
      <c r="O2753" s="1531"/>
      <c r="P2753" s="1531"/>
      <c r="Q2753" s="1531"/>
      <c r="R2753" s="1531"/>
      <c r="S2753" s="1531"/>
      <c r="T2753" s="1531"/>
      <c r="U2753" s="1531"/>
      <c r="V2753" s="1531"/>
      <c r="W2753" s="1531"/>
      <c r="X2753" s="1531"/>
      <c r="Y2753" s="1531"/>
      <c r="Z2753" s="1531"/>
      <c r="AA2753" s="1531"/>
      <c r="AB2753" s="1531"/>
      <c r="AC2753" s="1531"/>
      <c r="AD2753" s="1531"/>
      <c r="AE2753" s="1531"/>
      <c r="AF2753" s="1531"/>
      <c r="AG2753" s="1531"/>
      <c r="AH2753" s="1531"/>
      <c r="AI2753" s="1531"/>
      <c r="AJ2753" s="1531"/>
      <c r="AK2753" s="1531"/>
      <c r="AL2753" s="1531"/>
      <c r="AM2753" s="1531"/>
      <c r="AN2753" s="1531"/>
      <c r="AO2753" s="1531"/>
      <c r="AP2753" s="1531"/>
      <c r="AQ2753" s="1531"/>
      <c r="AR2753" s="1531"/>
      <c r="AS2753" s="1531"/>
      <c r="AT2753" s="1531"/>
      <c r="AU2753" s="1531"/>
      <c r="AV2753" s="1531"/>
      <c r="AW2753" s="1531"/>
      <c r="AX2753" s="1531"/>
      <c r="AY2753" s="1531"/>
      <c r="AZ2753" s="1531"/>
      <c r="BA2753" s="1136"/>
      <c r="BB2753" s="1136"/>
      <c r="BC2753" s="1136"/>
      <c r="BD2753" s="1136"/>
      <c r="BE2753" s="1136"/>
      <c r="BF2753" s="1136"/>
      <c r="BG2753" s="1136"/>
      <c r="BH2753" s="1136"/>
      <c r="BI2753" s="1136"/>
      <c r="BJ2753" s="1136"/>
      <c r="BK2753" s="1136"/>
      <c r="BL2753" s="1136"/>
      <c r="BM2753" s="1568"/>
    </row>
    <row r="2754" spans="1:65" s="1391" customFormat="1" ht="15.75" x14ac:dyDescent="0.25">
      <c r="A2754" s="1570" t="s">
        <v>4415</v>
      </c>
      <c r="B2754" s="1571" t="e">
        <f>B2747/B2753</f>
        <v>#VALUE!</v>
      </c>
      <c r="C2754" s="1572"/>
      <c r="D2754" s="1566"/>
      <c r="E2754" s="1566"/>
      <c r="F2754" s="1566"/>
      <c r="G2754" s="1566"/>
      <c r="H2754" s="1531"/>
      <c r="I2754" s="1531"/>
      <c r="J2754" s="1531"/>
      <c r="K2754" s="1531"/>
      <c r="L2754" s="1531"/>
      <c r="M2754" s="1531"/>
      <c r="N2754" s="1531"/>
      <c r="O2754" s="1531"/>
      <c r="P2754" s="1531"/>
      <c r="Q2754" s="1531"/>
      <c r="R2754" s="1531"/>
      <c r="S2754" s="1531"/>
      <c r="T2754" s="1531"/>
      <c r="U2754" s="1531"/>
      <c r="V2754" s="1531"/>
      <c r="W2754" s="1531"/>
      <c r="X2754" s="1531"/>
      <c r="Y2754" s="1531"/>
      <c r="Z2754" s="1531"/>
      <c r="AA2754" s="1531"/>
      <c r="AB2754" s="1531"/>
      <c r="AC2754" s="1531"/>
      <c r="AD2754" s="1531"/>
      <c r="AE2754" s="1531"/>
      <c r="AF2754" s="1531"/>
      <c r="AG2754" s="1531"/>
      <c r="AH2754" s="1531"/>
      <c r="AI2754" s="1531"/>
      <c r="AJ2754" s="1531"/>
      <c r="AK2754" s="1531"/>
      <c r="AL2754" s="1531"/>
      <c r="AM2754" s="1531"/>
      <c r="AN2754" s="1531"/>
      <c r="AO2754" s="1531"/>
      <c r="AP2754" s="1531"/>
      <c r="AQ2754" s="1531"/>
      <c r="AR2754" s="1531"/>
      <c r="AS2754" s="1531"/>
      <c r="AT2754" s="1531"/>
      <c r="AU2754" s="1531"/>
      <c r="AV2754" s="1531"/>
      <c r="AW2754" s="1531"/>
      <c r="AX2754" s="1531"/>
      <c r="AY2754" s="1531"/>
      <c r="AZ2754" s="1531"/>
      <c r="BA2754" s="1136"/>
      <c r="BB2754" s="1136"/>
      <c r="BC2754" s="1136"/>
      <c r="BD2754" s="1136"/>
      <c r="BE2754" s="1136"/>
      <c r="BF2754" s="1136"/>
      <c r="BG2754" s="1136"/>
      <c r="BH2754" s="1136"/>
      <c r="BI2754" s="1136"/>
      <c r="BJ2754" s="1136"/>
      <c r="BK2754" s="1136"/>
      <c r="BL2754" s="1136"/>
      <c r="BM2754" s="1568"/>
    </row>
    <row r="2755" spans="1:65" s="1391" customFormat="1" ht="15.75" x14ac:dyDescent="0.25">
      <c r="A2755" s="1417"/>
      <c r="B2755" s="1573"/>
      <c r="C2755" s="1574"/>
      <c r="D2755" s="1567"/>
      <c r="E2755" s="1567"/>
      <c r="F2755" s="1567"/>
      <c r="G2755" s="1567"/>
      <c r="H2755" s="1531"/>
      <c r="I2755" s="1531"/>
      <c r="J2755" s="1531"/>
      <c r="K2755" s="1531"/>
      <c r="L2755" s="1531"/>
      <c r="M2755" s="1531"/>
      <c r="N2755" s="1531"/>
      <c r="O2755" s="1531"/>
      <c r="P2755" s="1531"/>
      <c r="Q2755" s="1531"/>
      <c r="R2755" s="1531"/>
      <c r="S2755" s="1531"/>
      <c r="T2755" s="1531"/>
      <c r="U2755" s="1531"/>
      <c r="V2755" s="1531"/>
      <c r="W2755" s="1531"/>
      <c r="X2755" s="1531"/>
      <c r="Y2755" s="1531"/>
      <c r="Z2755" s="1531"/>
      <c r="AA2755" s="1531"/>
      <c r="AB2755" s="1531"/>
      <c r="AC2755" s="1531"/>
      <c r="AD2755" s="1531"/>
      <c r="AE2755" s="1531"/>
      <c r="AF2755" s="1531"/>
      <c r="AG2755" s="1531"/>
      <c r="AH2755" s="1531"/>
      <c r="AI2755" s="1531"/>
      <c r="AJ2755" s="1531"/>
      <c r="AK2755" s="1531"/>
      <c r="AL2755" s="1531"/>
      <c r="AM2755" s="1531"/>
      <c r="AN2755" s="1531"/>
      <c r="AO2755" s="1531"/>
      <c r="AP2755" s="1531"/>
      <c r="AQ2755" s="1531"/>
      <c r="AR2755" s="1531"/>
      <c r="AS2755" s="1531"/>
      <c r="AT2755" s="1531"/>
      <c r="AU2755" s="1531"/>
      <c r="AV2755" s="1531"/>
      <c r="AW2755" s="1531"/>
      <c r="AX2755" s="1531"/>
      <c r="AY2755" s="1531"/>
      <c r="AZ2755" s="1531"/>
      <c r="BA2755" s="1136"/>
      <c r="BB2755" s="1136"/>
      <c r="BC2755" s="1136"/>
      <c r="BD2755" s="1136"/>
      <c r="BE2755" s="1136"/>
      <c r="BF2755" s="1136"/>
      <c r="BG2755" s="1136"/>
      <c r="BH2755" s="1136"/>
      <c r="BI2755" s="1136"/>
      <c r="BJ2755" s="1136"/>
      <c r="BK2755" s="1136"/>
      <c r="BL2755" s="1136"/>
      <c r="BM2755" s="1568"/>
    </row>
    <row r="2756" spans="1:65" s="1391" customFormat="1" ht="15.75" x14ac:dyDescent="0.25">
      <c r="A2756" s="1575" t="s">
        <v>2513</v>
      </c>
      <c r="B2756" s="1576" t="e">
        <f>B2511+B2518+B2532+B2557+B2584+B2591+B2599+B2744+B2754+B2567</f>
        <v>#VALUE!</v>
      </c>
      <c r="C2756" s="1577"/>
      <c r="D2756" s="1566"/>
      <c r="E2756" s="1566"/>
      <c r="F2756" s="1566"/>
      <c r="G2756" s="1566"/>
      <c r="H2756" s="1531"/>
      <c r="I2756" s="1531"/>
      <c r="J2756" s="1531"/>
      <c r="K2756" s="1531"/>
      <c r="L2756" s="1531"/>
      <c r="M2756" s="1531"/>
      <c r="N2756" s="1531"/>
      <c r="O2756" s="1531"/>
      <c r="P2756" s="1531"/>
      <c r="Q2756" s="1531"/>
      <c r="R2756" s="1531"/>
      <c r="S2756" s="1531"/>
      <c r="T2756" s="1531"/>
      <c r="U2756" s="1531"/>
      <c r="V2756" s="1531"/>
      <c r="W2756" s="1531"/>
      <c r="X2756" s="1531"/>
      <c r="Y2756" s="1531"/>
      <c r="Z2756" s="1531"/>
      <c r="AA2756" s="1531"/>
      <c r="AB2756" s="1531"/>
      <c r="AC2756" s="1531"/>
      <c r="AD2756" s="1531"/>
      <c r="AE2756" s="1531"/>
      <c r="AF2756" s="1531"/>
      <c r="AG2756" s="1531"/>
      <c r="AH2756" s="1531"/>
      <c r="AI2756" s="1531"/>
      <c r="AJ2756" s="1531"/>
      <c r="AK2756" s="1531"/>
      <c r="AL2756" s="1531"/>
      <c r="AM2756" s="1531"/>
      <c r="AN2756" s="1531"/>
      <c r="AO2756" s="1531"/>
      <c r="AP2756" s="1531"/>
      <c r="AQ2756" s="1531"/>
      <c r="AR2756" s="1531"/>
      <c r="AS2756" s="1531"/>
      <c r="AT2756" s="1531"/>
      <c r="AU2756" s="1531"/>
      <c r="AV2756" s="1531"/>
      <c r="AW2756" s="1531"/>
      <c r="AX2756" s="1531"/>
      <c r="AY2756" s="1531"/>
      <c r="AZ2756" s="1531"/>
      <c r="BA2756" s="1136"/>
      <c r="BB2756" s="1136"/>
      <c r="BC2756" s="1136"/>
      <c r="BD2756" s="1136"/>
      <c r="BE2756" s="1136"/>
      <c r="BF2756" s="1136"/>
      <c r="BG2756" s="1136"/>
      <c r="BH2756" s="1136"/>
      <c r="BI2756" s="1136"/>
      <c r="BJ2756" s="1136"/>
      <c r="BK2756" s="1136"/>
      <c r="BL2756" s="1136"/>
      <c r="BM2756" s="1568"/>
    </row>
    <row r="2757" spans="1:65" s="1391" customFormat="1" ht="15.75" x14ac:dyDescent="0.25">
      <c r="A2757" s="1471"/>
      <c r="B2757" s="1506"/>
      <c r="C2757" s="1578"/>
      <c r="D2757" s="1531"/>
      <c r="E2757" s="1531"/>
      <c r="F2757" s="1531"/>
      <c r="G2757" s="1531"/>
      <c r="H2757" s="1531"/>
      <c r="I2757" s="1531"/>
      <c r="J2757" s="1531"/>
      <c r="K2757" s="1531"/>
      <c r="L2757" s="1531"/>
      <c r="M2757" s="1531"/>
      <c r="N2757" s="1531"/>
      <c r="O2757" s="1531"/>
      <c r="P2757" s="1531"/>
      <c r="Q2757" s="1531"/>
      <c r="R2757" s="1531"/>
      <c r="S2757" s="1531"/>
      <c r="T2757" s="1531"/>
      <c r="U2757" s="1531"/>
      <c r="V2757" s="1531"/>
      <c r="W2757" s="1531"/>
      <c r="X2757" s="1531"/>
      <c r="Y2757" s="1531"/>
      <c r="Z2757" s="1531"/>
      <c r="AA2757" s="1531"/>
      <c r="AB2757" s="1531"/>
      <c r="AC2757" s="1531"/>
      <c r="AD2757" s="1531"/>
      <c r="AE2757" s="1531"/>
      <c r="AF2757" s="1531"/>
      <c r="AG2757" s="1531"/>
      <c r="AH2757" s="1531"/>
      <c r="AI2757" s="1531"/>
      <c r="AJ2757" s="1531"/>
      <c r="AK2757" s="1531"/>
      <c r="AL2757" s="1531"/>
      <c r="AM2757" s="1531"/>
      <c r="AN2757" s="1531"/>
      <c r="AO2757" s="1531"/>
      <c r="AP2757" s="1531"/>
      <c r="AQ2757" s="1531"/>
      <c r="AR2757" s="1531"/>
      <c r="AS2757" s="1531"/>
      <c r="AT2757" s="1531"/>
      <c r="AU2757" s="1531"/>
      <c r="AV2757" s="1531"/>
      <c r="AW2757" s="1531"/>
      <c r="AX2757" s="1531"/>
      <c r="AY2757" s="1531"/>
      <c r="AZ2757" s="1531"/>
      <c r="BA2757" s="1136"/>
      <c r="BB2757" s="1136"/>
      <c r="BC2757" s="1136"/>
      <c r="BD2757" s="1136"/>
      <c r="BE2757" s="1136"/>
      <c r="BF2757" s="1136"/>
      <c r="BG2757" s="1136"/>
      <c r="BH2757" s="1136"/>
      <c r="BI2757" s="1136"/>
      <c r="BJ2757" s="1136"/>
      <c r="BK2757" s="1136"/>
      <c r="BL2757" s="1136"/>
      <c r="BM2757" s="1568"/>
    </row>
    <row r="2758" spans="1:65" s="1391" customFormat="1" ht="15.75" x14ac:dyDescent="0.25">
      <c r="A2758" s="1579" t="s">
        <v>2514</v>
      </c>
      <c r="B2758" s="1443"/>
      <c r="C2758" s="1521"/>
      <c r="D2758" s="1565"/>
      <c r="E2758" s="1565"/>
      <c r="F2758" s="1565"/>
      <c r="G2758" s="1565"/>
      <c r="H2758" s="1531"/>
      <c r="I2758" s="1531"/>
      <c r="J2758" s="1531"/>
      <c r="K2758" s="1531"/>
      <c r="L2758" s="1531"/>
      <c r="M2758" s="1531"/>
      <c r="N2758" s="1531"/>
      <c r="O2758" s="1531"/>
      <c r="P2758" s="1531"/>
      <c r="Q2758" s="1531"/>
      <c r="R2758" s="1531"/>
      <c r="S2758" s="1531"/>
      <c r="T2758" s="1531"/>
      <c r="U2758" s="1531"/>
      <c r="V2758" s="1531"/>
      <c r="W2758" s="1531"/>
      <c r="X2758" s="1531"/>
      <c r="Y2758" s="1531"/>
      <c r="Z2758" s="1531"/>
      <c r="AA2758" s="1531"/>
      <c r="AB2758" s="1531"/>
      <c r="AC2758" s="1531"/>
      <c r="AD2758" s="1531"/>
      <c r="AE2758" s="1531"/>
      <c r="AF2758" s="1531"/>
      <c r="AG2758" s="1531"/>
      <c r="AH2758" s="1531"/>
      <c r="AI2758" s="1531"/>
      <c r="AJ2758" s="1531"/>
      <c r="AK2758" s="1531"/>
      <c r="AL2758" s="1531"/>
      <c r="AM2758" s="1531"/>
      <c r="AN2758" s="1531"/>
      <c r="AO2758" s="1531"/>
      <c r="AP2758" s="1531"/>
      <c r="AQ2758" s="1531"/>
      <c r="AR2758" s="1531"/>
      <c r="AS2758" s="1531"/>
      <c r="AT2758" s="1531"/>
      <c r="AU2758" s="1531"/>
      <c r="AV2758" s="1531"/>
      <c r="AW2758" s="1531"/>
      <c r="AX2758" s="1531"/>
      <c r="AY2758" s="1531"/>
      <c r="AZ2758" s="1531"/>
      <c r="BA2758" s="1136"/>
      <c r="BB2758" s="1136"/>
      <c r="BC2758" s="1136"/>
      <c r="BD2758" s="1136"/>
      <c r="BE2758" s="1136"/>
      <c r="BF2758" s="1136"/>
      <c r="BG2758" s="1136"/>
      <c r="BH2758" s="1136"/>
      <c r="BI2758" s="1136"/>
      <c r="BJ2758" s="1136"/>
      <c r="BK2758" s="1136"/>
      <c r="BL2758" s="1136"/>
      <c r="BM2758" s="1568"/>
    </row>
    <row r="2759" spans="1:65" s="1391" customFormat="1" ht="15.75" x14ac:dyDescent="0.25">
      <c r="A2759" s="1461" t="s">
        <v>2515</v>
      </c>
      <c r="B2759" s="1443"/>
      <c r="C2759" s="1521"/>
      <c r="D2759" s="1569"/>
      <c r="E2759" s="1569"/>
      <c r="F2759" s="1569"/>
      <c r="G2759" s="1569"/>
      <c r="H2759" s="1531"/>
      <c r="I2759" s="1531"/>
      <c r="J2759" s="1531"/>
      <c r="K2759" s="1531"/>
      <c r="L2759" s="1531"/>
      <c r="M2759" s="1531"/>
      <c r="N2759" s="1531"/>
      <c r="O2759" s="1531"/>
      <c r="P2759" s="1531"/>
      <c r="Q2759" s="1531"/>
      <c r="R2759" s="1531"/>
      <c r="S2759" s="1531"/>
      <c r="T2759" s="1531"/>
      <c r="U2759" s="1531"/>
      <c r="V2759" s="1531"/>
      <c r="W2759" s="1531"/>
      <c r="X2759" s="1531"/>
      <c r="Y2759" s="1531"/>
      <c r="Z2759" s="1531"/>
      <c r="AA2759" s="1531"/>
      <c r="AB2759" s="1531"/>
      <c r="AC2759" s="1531"/>
      <c r="AD2759" s="1531"/>
      <c r="AE2759" s="1531"/>
      <c r="AF2759" s="1531"/>
      <c r="AG2759" s="1531"/>
      <c r="AH2759" s="1531"/>
      <c r="AI2759" s="1531"/>
      <c r="AJ2759" s="1531"/>
      <c r="AK2759" s="1531"/>
      <c r="AL2759" s="1531"/>
      <c r="AM2759" s="1531"/>
      <c r="AN2759" s="1531"/>
      <c r="AO2759" s="1531"/>
      <c r="AP2759" s="1531"/>
      <c r="AQ2759" s="1531"/>
      <c r="AR2759" s="1531"/>
      <c r="AS2759" s="1531"/>
      <c r="AT2759" s="1531"/>
      <c r="AU2759" s="1531"/>
      <c r="AV2759" s="1531"/>
      <c r="AW2759" s="1531"/>
      <c r="AX2759" s="1531"/>
      <c r="AY2759" s="1531"/>
      <c r="AZ2759" s="1531"/>
      <c r="BA2759" s="1136"/>
      <c r="BB2759" s="1136"/>
      <c r="BC2759" s="1136"/>
      <c r="BD2759" s="1136"/>
      <c r="BE2759" s="1136"/>
      <c r="BF2759" s="1136"/>
      <c r="BG2759" s="1136"/>
      <c r="BH2759" s="1136"/>
      <c r="BI2759" s="1136"/>
      <c r="BJ2759" s="1136"/>
      <c r="BK2759" s="1136"/>
      <c r="BL2759" s="1136"/>
      <c r="BM2759" s="1568"/>
    </row>
    <row r="2760" spans="1:65" s="1391" customFormat="1" ht="31.5" x14ac:dyDescent="0.25">
      <c r="A2760" s="1502" t="s">
        <v>4149</v>
      </c>
      <c r="B2760" s="1443"/>
      <c r="C2760" s="1521"/>
      <c r="D2760" s="1569"/>
      <c r="E2760" s="1569"/>
      <c r="F2760" s="1569"/>
      <c r="G2760" s="1569"/>
      <c r="H2760" s="1531"/>
      <c r="I2760" s="1531"/>
      <c r="J2760" s="1531"/>
      <c r="K2760" s="1531"/>
      <c r="L2760" s="1531"/>
      <c r="M2760" s="1531"/>
      <c r="N2760" s="1531"/>
      <c r="O2760" s="1531"/>
      <c r="P2760" s="1531"/>
      <c r="Q2760" s="1531"/>
      <c r="R2760" s="1531"/>
      <c r="S2760" s="1531"/>
      <c r="T2760" s="1531"/>
      <c r="U2760" s="1531"/>
      <c r="V2760" s="1531"/>
      <c r="W2760" s="1531"/>
      <c r="X2760" s="1531"/>
      <c r="Y2760" s="1531"/>
      <c r="Z2760" s="1531"/>
      <c r="AA2760" s="1531"/>
      <c r="AB2760" s="1531"/>
      <c r="AC2760" s="1531"/>
      <c r="AD2760" s="1531"/>
      <c r="AE2760" s="1531"/>
      <c r="AF2760" s="1531"/>
      <c r="AG2760" s="1531"/>
      <c r="AH2760" s="1531"/>
      <c r="AI2760" s="1531"/>
      <c r="AJ2760" s="1531"/>
      <c r="AK2760" s="1531"/>
      <c r="AL2760" s="1531"/>
      <c r="AM2760" s="1531"/>
      <c r="AN2760" s="1531"/>
      <c r="AO2760" s="1531"/>
      <c r="AP2760" s="1531"/>
      <c r="AQ2760" s="1531"/>
      <c r="AR2760" s="1531"/>
      <c r="AS2760" s="1531"/>
      <c r="AT2760" s="1531"/>
      <c r="AU2760" s="1531"/>
      <c r="AV2760" s="1531"/>
      <c r="AW2760" s="1531"/>
      <c r="AX2760" s="1531"/>
      <c r="AY2760" s="1531"/>
      <c r="AZ2760" s="1531"/>
      <c r="BA2760" s="1136"/>
      <c r="BB2760" s="1136"/>
      <c r="BC2760" s="1136"/>
      <c r="BD2760" s="1136"/>
      <c r="BE2760" s="1136"/>
      <c r="BF2760" s="1136"/>
      <c r="BG2760" s="1136"/>
      <c r="BH2760" s="1136"/>
      <c r="BI2760" s="1136"/>
      <c r="BJ2760" s="1136"/>
      <c r="BK2760" s="1136"/>
      <c r="BL2760" s="1136"/>
      <c r="BM2760" s="1568"/>
    </row>
    <row r="2761" spans="1:65" s="1391" customFormat="1" ht="15.75" x14ac:dyDescent="0.25">
      <c r="A2761" s="1580" t="s">
        <v>2516</v>
      </c>
      <c r="B2761" s="1439"/>
      <c r="C2761" s="1432"/>
      <c r="D2761" s="1572"/>
      <c r="E2761" s="1572"/>
      <c r="F2761" s="1572"/>
      <c r="G2761" s="1572"/>
      <c r="H2761" s="1531"/>
      <c r="I2761" s="1531"/>
      <c r="J2761" s="1531"/>
      <c r="K2761" s="1531"/>
      <c r="L2761" s="1531"/>
      <c r="M2761" s="1531"/>
      <c r="N2761" s="1531"/>
      <c r="O2761" s="1531"/>
      <c r="P2761" s="1531"/>
      <c r="Q2761" s="1531"/>
      <c r="R2761" s="1531"/>
      <c r="S2761" s="1531"/>
      <c r="T2761" s="1531"/>
      <c r="U2761" s="1531"/>
      <c r="V2761" s="1531"/>
      <c r="W2761" s="1531"/>
      <c r="X2761" s="1531"/>
      <c r="Y2761" s="1531"/>
      <c r="Z2761" s="1531"/>
      <c r="AA2761" s="1531"/>
      <c r="AB2761" s="1531"/>
      <c r="AC2761" s="1531"/>
      <c r="AD2761" s="1531"/>
      <c r="AE2761" s="1531"/>
      <c r="AF2761" s="1531"/>
      <c r="AG2761" s="1531"/>
      <c r="AH2761" s="1531"/>
      <c r="AI2761" s="1531"/>
      <c r="AJ2761" s="1531"/>
      <c r="AK2761" s="1531"/>
      <c r="AL2761" s="1531"/>
      <c r="AM2761" s="1531"/>
      <c r="AN2761" s="1531"/>
      <c r="AO2761" s="1531"/>
      <c r="AP2761" s="1531"/>
      <c r="AQ2761" s="1531"/>
      <c r="AR2761" s="1531"/>
      <c r="AS2761" s="1531"/>
      <c r="AT2761" s="1531"/>
      <c r="AU2761" s="1531"/>
      <c r="AV2761" s="1531"/>
      <c r="AW2761" s="1531"/>
      <c r="AX2761" s="1531"/>
      <c r="AY2761" s="1531"/>
      <c r="AZ2761" s="1531"/>
      <c r="BA2761" s="1136"/>
      <c r="BB2761" s="1136"/>
      <c r="BC2761" s="1136"/>
      <c r="BD2761" s="1136"/>
      <c r="BE2761" s="1136"/>
      <c r="BF2761" s="1136"/>
      <c r="BG2761" s="1136"/>
      <c r="BH2761" s="1136"/>
      <c r="BI2761" s="1136"/>
      <c r="BJ2761" s="1136"/>
      <c r="BK2761" s="1136"/>
      <c r="BL2761" s="1136"/>
      <c r="BM2761" s="1568"/>
    </row>
    <row r="2762" spans="1:65" s="1391" customFormat="1" ht="15.75" x14ac:dyDescent="0.25">
      <c r="A2762" s="1456" t="s">
        <v>2517</v>
      </c>
      <c r="B2762" s="1439"/>
      <c r="C2762" s="1432"/>
      <c r="D2762" s="1531"/>
      <c r="E2762" s="1531"/>
      <c r="F2762" s="1531"/>
      <c r="G2762" s="1531"/>
      <c r="H2762" s="1531"/>
      <c r="I2762" s="1531"/>
      <c r="J2762" s="1531"/>
      <c r="K2762" s="1531"/>
      <c r="L2762" s="1531"/>
      <c r="M2762" s="1531"/>
      <c r="N2762" s="1531"/>
      <c r="O2762" s="1531"/>
      <c r="P2762" s="1531"/>
      <c r="Q2762" s="1531"/>
      <c r="R2762" s="1531"/>
      <c r="S2762" s="1531"/>
      <c r="T2762" s="1531"/>
      <c r="U2762" s="1531"/>
      <c r="V2762" s="1531"/>
      <c r="W2762" s="1531"/>
      <c r="X2762" s="1531"/>
      <c r="Y2762" s="1531"/>
      <c r="Z2762" s="1531"/>
      <c r="AA2762" s="1531"/>
      <c r="AB2762" s="1531"/>
      <c r="AC2762" s="1531"/>
      <c r="AD2762" s="1531"/>
      <c r="AE2762" s="1531"/>
      <c r="AF2762" s="1531"/>
      <c r="AG2762" s="1531"/>
      <c r="AH2762" s="1531"/>
      <c r="AI2762" s="1531"/>
      <c r="AJ2762" s="1531"/>
      <c r="AK2762" s="1531"/>
      <c r="AL2762" s="1531"/>
      <c r="AM2762" s="1531"/>
      <c r="AN2762" s="1531"/>
      <c r="AO2762" s="1531"/>
      <c r="AP2762" s="1531"/>
      <c r="AQ2762" s="1531"/>
      <c r="AR2762" s="1531"/>
      <c r="AS2762" s="1531"/>
      <c r="AT2762" s="1531"/>
      <c r="AU2762" s="1531"/>
      <c r="AV2762" s="1531"/>
      <c r="AW2762" s="1531"/>
      <c r="AX2762" s="1531"/>
      <c r="AY2762" s="1531"/>
      <c r="AZ2762" s="1531"/>
      <c r="BA2762" s="1136"/>
      <c r="BB2762" s="1136"/>
      <c r="BC2762" s="1136"/>
      <c r="BD2762" s="1136"/>
      <c r="BE2762" s="1136"/>
      <c r="BF2762" s="1136"/>
      <c r="BG2762" s="1136"/>
      <c r="BH2762" s="1136"/>
      <c r="BI2762" s="1136"/>
      <c r="BJ2762" s="1136"/>
      <c r="BK2762" s="1136"/>
      <c r="BL2762" s="1136"/>
      <c r="BM2762" s="1568"/>
    </row>
    <row r="2763" spans="1:65" s="1391" customFormat="1" ht="15.75" x14ac:dyDescent="0.25">
      <c r="A2763" s="1417" t="s">
        <v>2518</v>
      </c>
      <c r="B2763" s="1418">
        <v>0.2</v>
      </c>
      <c r="C2763" s="1350"/>
      <c r="D2763" s="1577"/>
      <c r="E2763" s="1577"/>
      <c r="F2763" s="1577"/>
      <c r="G2763" s="1577"/>
      <c r="H2763" s="1531"/>
      <c r="I2763" s="1531"/>
      <c r="J2763" s="1531"/>
      <c r="K2763" s="1531"/>
      <c r="L2763" s="1531"/>
      <c r="M2763" s="1531"/>
      <c r="N2763" s="1531"/>
      <c r="O2763" s="1531"/>
      <c r="P2763" s="1531"/>
      <c r="Q2763" s="1531"/>
      <c r="R2763" s="1531"/>
      <c r="S2763" s="1531"/>
      <c r="T2763" s="1531"/>
      <c r="U2763" s="1531"/>
      <c r="V2763" s="1531"/>
      <c r="W2763" s="1531"/>
      <c r="X2763" s="1531"/>
      <c r="Y2763" s="1531"/>
      <c r="Z2763" s="1531"/>
      <c r="AA2763" s="1531"/>
      <c r="AB2763" s="1531"/>
      <c r="AC2763" s="1531"/>
      <c r="AD2763" s="1531"/>
      <c r="AE2763" s="1531"/>
      <c r="AF2763" s="1531"/>
      <c r="AG2763" s="1531"/>
      <c r="AH2763" s="1531"/>
      <c r="AI2763" s="1531"/>
      <c r="AJ2763" s="1531"/>
      <c r="AK2763" s="1531"/>
      <c r="AL2763" s="1531"/>
      <c r="AM2763" s="1531"/>
      <c r="AN2763" s="1531"/>
      <c r="AO2763" s="1531"/>
      <c r="AP2763" s="1531"/>
      <c r="AQ2763" s="1531"/>
      <c r="AR2763" s="1531"/>
      <c r="AS2763" s="1531"/>
      <c r="AT2763" s="1531"/>
      <c r="AU2763" s="1531"/>
      <c r="AV2763" s="1531"/>
      <c r="AW2763" s="1531"/>
      <c r="AX2763" s="1531"/>
      <c r="AY2763" s="1531"/>
      <c r="AZ2763" s="1531"/>
      <c r="BA2763" s="1136"/>
      <c r="BB2763" s="1136"/>
      <c r="BC2763" s="1136"/>
      <c r="BD2763" s="1136"/>
      <c r="BE2763" s="1136"/>
      <c r="BF2763" s="1136"/>
      <c r="BG2763" s="1136"/>
      <c r="BH2763" s="1136"/>
      <c r="BI2763" s="1136"/>
      <c r="BJ2763" s="1136"/>
      <c r="BK2763" s="1136"/>
      <c r="BL2763" s="1136"/>
      <c r="BM2763" s="1568"/>
    </row>
    <row r="2764" spans="1:65" s="1391" customFormat="1" ht="15.75" x14ac:dyDescent="0.25">
      <c r="A2764" s="1417" t="s">
        <v>2519</v>
      </c>
      <c r="B2764" s="1581">
        <v>0.1</v>
      </c>
      <c r="C2764" s="1465"/>
      <c r="D2764" s="1531"/>
      <c r="E2764" s="1531"/>
      <c r="F2764" s="1531"/>
      <c r="G2764" s="1531"/>
      <c r="H2764" s="1531"/>
      <c r="I2764" s="1531"/>
      <c r="J2764" s="1531"/>
      <c r="K2764" s="1531"/>
      <c r="L2764" s="1531"/>
      <c r="M2764" s="1531"/>
      <c r="N2764" s="1531"/>
      <c r="O2764" s="1531"/>
      <c r="P2764" s="1531"/>
      <c r="Q2764" s="1531"/>
      <c r="R2764" s="1531"/>
      <c r="S2764" s="1531"/>
      <c r="T2764" s="1531"/>
      <c r="U2764" s="1531"/>
      <c r="V2764" s="1531"/>
      <c r="W2764" s="1531"/>
      <c r="X2764" s="1531"/>
      <c r="Y2764" s="1531"/>
      <c r="Z2764" s="1531"/>
      <c r="AA2764" s="1531"/>
      <c r="AB2764" s="1531"/>
      <c r="AC2764" s="1531"/>
      <c r="AD2764" s="1531"/>
      <c r="AE2764" s="1531"/>
      <c r="AF2764" s="1531"/>
      <c r="AG2764" s="1531"/>
      <c r="AH2764" s="1531"/>
      <c r="AI2764" s="1531"/>
      <c r="AJ2764" s="1531"/>
      <c r="AK2764" s="1531"/>
      <c r="AL2764" s="1531"/>
      <c r="AM2764" s="1531"/>
      <c r="AN2764" s="1531"/>
      <c r="AO2764" s="1531"/>
      <c r="AP2764" s="1531"/>
      <c r="AQ2764" s="1531"/>
      <c r="AR2764" s="1531"/>
      <c r="AS2764" s="1531"/>
      <c r="AT2764" s="1531"/>
      <c r="AU2764" s="1531"/>
      <c r="AV2764" s="1531"/>
      <c r="AW2764" s="1531"/>
      <c r="AX2764" s="1531"/>
      <c r="AY2764" s="1531"/>
      <c r="AZ2764" s="1531"/>
      <c r="BA2764" s="1136"/>
      <c r="BB2764" s="1136"/>
      <c r="BC2764" s="1136"/>
      <c r="BD2764" s="1136"/>
      <c r="BE2764" s="1136"/>
      <c r="BF2764" s="1136"/>
      <c r="BG2764" s="1136"/>
      <c r="BH2764" s="1136"/>
      <c r="BI2764" s="1136"/>
      <c r="BJ2764" s="1136"/>
      <c r="BK2764" s="1136"/>
      <c r="BL2764" s="1136"/>
      <c r="BM2764" s="1568"/>
    </row>
    <row r="2765" spans="1:65" s="1391" customFormat="1" ht="15.75" x14ac:dyDescent="0.25">
      <c r="A2765" s="1430" t="s">
        <v>2520</v>
      </c>
      <c r="B2765" s="1582">
        <f>B2763*B2764</f>
        <v>2.0000000000000004E-2</v>
      </c>
      <c r="C2765" s="1416"/>
      <c r="D2765" s="1531"/>
      <c r="E2765" s="1531"/>
      <c r="F2765" s="1531"/>
      <c r="G2765" s="1531"/>
      <c r="H2765" s="1531"/>
      <c r="I2765" s="1531"/>
      <c r="J2765" s="1531"/>
      <c r="K2765" s="1531"/>
      <c r="L2765" s="1531"/>
      <c r="M2765" s="1531"/>
      <c r="N2765" s="1531"/>
      <c r="O2765" s="1531"/>
      <c r="P2765" s="1531"/>
      <c r="Q2765" s="1531"/>
      <c r="R2765" s="1531"/>
      <c r="S2765" s="1531"/>
      <c r="T2765" s="1531"/>
      <c r="U2765" s="1531"/>
      <c r="V2765" s="1531"/>
      <c r="W2765" s="1531"/>
      <c r="X2765" s="1531"/>
      <c r="Y2765" s="1531"/>
      <c r="Z2765" s="1531"/>
      <c r="AA2765" s="1531"/>
      <c r="AB2765" s="1531"/>
      <c r="AC2765" s="1531"/>
      <c r="AD2765" s="1531"/>
      <c r="AE2765" s="1531"/>
      <c r="AF2765" s="1531"/>
      <c r="AG2765" s="1531"/>
      <c r="AH2765" s="1531"/>
      <c r="AI2765" s="1531"/>
      <c r="AJ2765" s="1531"/>
      <c r="AK2765" s="1531"/>
      <c r="AL2765" s="1531"/>
      <c r="AM2765" s="1531"/>
      <c r="AN2765" s="1531"/>
      <c r="AO2765" s="1531"/>
      <c r="AP2765" s="1531"/>
      <c r="AQ2765" s="1531"/>
      <c r="AR2765" s="1531"/>
      <c r="AS2765" s="1531"/>
      <c r="AT2765" s="1531"/>
      <c r="AU2765" s="1531"/>
      <c r="AV2765" s="1531"/>
      <c r="AW2765" s="1531"/>
      <c r="AX2765" s="1531"/>
      <c r="AY2765" s="1531"/>
      <c r="AZ2765" s="1531"/>
      <c r="BA2765" s="1136"/>
      <c r="BB2765" s="1136"/>
      <c r="BC2765" s="1136"/>
      <c r="BD2765" s="1136"/>
      <c r="BE2765" s="1136"/>
      <c r="BF2765" s="1136"/>
      <c r="BG2765" s="1136"/>
      <c r="BH2765" s="1136"/>
      <c r="BI2765" s="1136"/>
      <c r="BJ2765" s="1136"/>
      <c r="BK2765" s="1136"/>
      <c r="BL2765" s="1136"/>
      <c r="BM2765" s="1568"/>
    </row>
    <row r="2766" spans="1:65" s="1391" customFormat="1" ht="15.75" x14ac:dyDescent="0.25">
      <c r="A2766" s="1417" t="s">
        <v>2521</v>
      </c>
      <c r="B2766" s="1583"/>
      <c r="C2766" s="1584"/>
      <c r="D2766" s="1531"/>
      <c r="E2766" s="1531"/>
      <c r="F2766" s="1531"/>
      <c r="G2766" s="1531"/>
      <c r="H2766" s="1531"/>
      <c r="I2766" s="1531"/>
      <c r="J2766" s="1531"/>
      <c r="K2766" s="1531"/>
      <c r="L2766" s="1531"/>
      <c r="M2766" s="1531"/>
      <c r="N2766" s="1531"/>
      <c r="O2766" s="1531"/>
      <c r="P2766" s="1531"/>
      <c r="Q2766" s="1531"/>
      <c r="R2766" s="1531"/>
      <c r="S2766" s="1531"/>
      <c r="T2766" s="1531"/>
      <c r="U2766" s="1531"/>
      <c r="V2766" s="1531"/>
      <c r="W2766" s="1531"/>
      <c r="X2766" s="1531"/>
      <c r="Y2766" s="1531"/>
      <c r="Z2766" s="1531"/>
      <c r="AA2766" s="1531"/>
      <c r="AB2766" s="1531"/>
      <c r="AC2766" s="1531"/>
      <c r="AD2766" s="1531"/>
      <c r="AE2766" s="1531"/>
      <c r="AF2766" s="1531"/>
      <c r="AG2766" s="1531"/>
      <c r="AH2766" s="1531"/>
      <c r="AI2766" s="1531"/>
      <c r="AJ2766" s="1531"/>
      <c r="AK2766" s="1531"/>
      <c r="AL2766" s="1531"/>
      <c r="AM2766" s="1531"/>
      <c r="AN2766" s="1531"/>
      <c r="AO2766" s="1531"/>
      <c r="AP2766" s="1531"/>
      <c r="AQ2766" s="1531"/>
      <c r="AR2766" s="1531"/>
      <c r="AS2766" s="1531"/>
      <c r="AT2766" s="1531"/>
      <c r="AU2766" s="1531"/>
      <c r="AV2766" s="1531"/>
      <c r="AW2766" s="1531"/>
      <c r="AX2766" s="1531"/>
      <c r="AY2766" s="1531"/>
      <c r="AZ2766" s="1531"/>
      <c r="BA2766" s="1136"/>
      <c r="BB2766" s="1136"/>
      <c r="BC2766" s="1136"/>
      <c r="BD2766" s="1136"/>
      <c r="BE2766" s="1136"/>
      <c r="BF2766" s="1136"/>
      <c r="BG2766" s="1136"/>
      <c r="BH2766" s="1136"/>
      <c r="BI2766" s="1136"/>
      <c r="BJ2766" s="1136"/>
      <c r="BK2766" s="1136"/>
      <c r="BL2766" s="1136"/>
      <c r="BM2766" s="1568"/>
    </row>
    <row r="2767" spans="1:65" s="1391" customFormat="1" ht="15.75" x14ac:dyDescent="0.25">
      <c r="A2767" s="1417" t="s">
        <v>2522</v>
      </c>
      <c r="B2767" s="1585" t="e">
        <f>ROUND((1.2*(B240*100)^0.5)/100,2)</f>
        <v>#VALUE!</v>
      </c>
      <c r="C2767" s="1416"/>
      <c r="D2767" s="1531"/>
      <c r="E2767" s="1531"/>
      <c r="F2767" s="1531"/>
      <c r="G2767" s="1531"/>
      <c r="H2767" s="1531"/>
      <c r="I2767" s="1531"/>
      <c r="J2767" s="1531"/>
      <c r="K2767" s="1531"/>
      <c r="L2767" s="1531"/>
      <c r="M2767" s="1531"/>
      <c r="N2767" s="1531"/>
      <c r="O2767" s="1531"/>
      <c r="P2767" s="1531"/>
      <c r="Q2767" s="1531"/>
      <c r="R2767" s="1531"/>
      <c r="S2767" s="1531"/>
      <c r="T2767" s="1531"/>
      <c r="U2767" s="1531"/>
      <c r="V2767" s="1531"/>
      <c r="W2767" s="1531"/>
      <c r="X2767" s="1531"/>
      <c r="Y2767" s="1531"/>
      <c r="Z2767" s="1531"/>
      <c r="AA2767" s="1531"/>
      <c r="AB2767" s="1531"/>
      <c r="AC2767" s="1531"/>
      <c r="AD2767" s="1531"/>
      <c r="AE2767" s="1531"/>
      <c r="AF2767" s="1531"/>
      <c r="AG2767" s="1531"/>
      <c r="AH2767" s="1531"/>
      <c r="AI2767" s="1531"/>
      <c r="AJ2767" s="1531"/>
      <c r="AK2767" s="1531"/>
      <c r="AL2767" s="1531"/>
      <c r="AM2767" s="1531"/>
      <c r="AN2767" s="1531"/>
      <c r="AO2767" s="1531"/>
      <c r="AP2767" s="1531"/>
      <c r="AQ2767" s="1531"/>
      <c r="AR2767" s="1531"/>
      <c r="AS2767" s="1531"/>
      <c r="AT2767" s="1531"/>
      <c r="AU2767" s="1531"/>
      <c r="AV2767" s="1531"/>
      <c r="AW2767" s="1531"/>
      <c r="AX2767" s="1531"/>
      <c r="AY2767" s="1531"/>
      <c r="AZ2767" s="1531"/>
      <c r="BA2767" s="1136"/>
      <c r="BB2767" s="1136"/>
      <c r="BC2767" s="1136"/>
      <c r="BD2767" s="1136"/>
      <c r="BE2767" s="1136"/>
      <c r="BF2767" s="1136"/>
      <c r="BG2767" s="1136"/>
      <c r="BH2767" s="1136"/>
      <c r="BI2767" s="1136"/>
      <c r="BJ2767" s="1136"/>
      <c r="BK2767" s="1136"/>
      <c r="BL2767" s="1136"/>
      <c r="BM2767" s="1568"/>
    </row>
    <row r="2768" spans="1:65" s="1391" customFormat="1" ht="15.75" x14ac:dyDescent="0.25">
      <c r="A2768" s="1430" t="s">
        <v>2523</v>
      </c>
      <c r="B2768" s="1428" t="e">
        <f>3.14*B2767^2/4</f>
        <v>#VALUE!</v>
      </c>
      <c r="C2768" s="1566"/>
      <c r="D2768" s="1350"/>
      <c r="E2768" s="1350"/>
      <c r="F2768" s="1350"/>
      <c r="G2768" s="1350"/>
      <c r="H2768" s="1350"/>
      <c r="I2768" s="1350"/>
      <c r="J2768" s="1350"/>
      <c r="K2768" s="1350"/>
      <c r="L2768" s="1350"/>
      <c r="M2768" s="1350"/>
      <c r="N2768" s="1350"/>
      <c r="O2768" s="1350"/>
      <c r="P2768" s="1350"/>
      <c r="Q2768" s="1350"/>
      <c r="R2768" s="1350"/>
      <c r="S2768" s="1531"/>
      <c r="T2768" s="1531"/>
      <c r="U2768" s="1531"/>
      <c r="V2768" s="1531"/>
      <c r="W2768" s="1531"/>
      <c r="X2768" s="1531"/>
      <c r="Y2768" s="1531"/>
      <c r="Z2768" s="1531"/>
      <c r="AA2768" s="1531"/>
      <c r="AB2768" s="1531"/>
      <c r="AC2768" s="1531"/>
      <c r="AD2768" s="1531"/>
      <c r="AE2768" s="1531"/>
      <c r="AF2768" s="1531"/>
      <c r="AG2768" s="1531"/>
      <c r="AH2768" s="1531"/>
      <c r="AI2768" s="1531"/>
      <c r="AJ2768" s="1531"/>
      <c r="AK2768" s="1531"/>
      <c r="AL2768" s="1531"/>
      <c r="AM2768" s="1531"/>
      <c r="AN2768" s="1531"/>
      <c r="AO2768" s="1531"/>
      <c r="AP2768" s="1531"/>
      <c r="AQ2768" s="1531"/>
      <c r="AR2768" s="1531"/>
      <c r="AS2768" s="1531"/>
      <c r="AT2768" s="1531"/>
      <c r="AU2768" s="1531"/>
      <c r="AV2768" s="1531"/>
      <c r="AW2768" s="1531"/>
      <c r="AX2768" s="1531"/>
      <c r="AY2768" s="1531"/>
      <c r="AZ2768" s="1531"/>
      <c r="BA2768" s="1136"/>
      <c r="BB2768" s="1136"/>
      <c r="BC2768" s="1136"/>
      <c r="BD2768" s="1136"/>
      <c r="BE2768" s="1136"/>
      <c r="BF2768" s="1136"/>
      <c r="BG2768" s="1136"/>
      <c r="BH2768" s="1136"/>
      <c r="BI2768" s="1136"/>
      <c r="BJ2768" s="1136"/>
      <c r="BK2768" s="1136"/>
      <c r="BL2768" s="1136"/>
      <c r="BM2768" s="1568"/>
    </row>
    <row r="2769" spans="1:65" s="1391" customFormat="1" ht="15.75" x14ac:dyDescent="0.25">
      <c r="A2769" s="1430" t="s">
        <v>2524</v>
      </c>
      <c r="B2769" s="1586" t="e">
        <f>B2396*B2386*B2765</f>
        <v>#VALUE!</v>
      </c>
      <c r="C2769" s="1587"/>
      <c r="D2769" s="1350"/>
      <c r="E2769" s="1350"/>
      <c r="F2769" s="1350"/>
      <c r="G2769" s="1350"/>
      <c r="H2769" s="1350"/>
      <c r="I2769" s="1350"/>
      <c r="J2769" s="1350"/>
      <c r="K2769" s="1350"/>
      <c r="L2769" s="1350"/>
      <c r="M2769" s="1350"/>
      <c r="N2769" s="1350"/>
      <c r="O2769" s="1350"/>
      <c r="P2769" s="1350"/>
      <c r="Q2769" s="1350"/>
      <c r="R2769" s="1350"/>
      <c r="S2769" s="1531"/>
      <c r="T2769" s="1531"/>
      <c r="U2769" s="1531"/>
      <c r="V2769" s="1531"/>
      <c r="W2769" s="1531"/>
      <c r="X2769" s="1531"/>
      <c r="Y2769" s="1531"/>
      <c r="Z2769" s="1531"/>
      <c r="AA2769" s="1531"/>
      <c r="AB2769" s="1531"/>
      <c r="AC2769" s="1531"/>
      <c r="AD2769" s="1531"/>
      <c r="AE2769" s="1531"/>
      <c r="AF2769" s="1531"/>
      <c r="AG2769" s="1531"/>
      <c r="AH2769" s="1531"/>
      <c r="AI2769" s="1531"/>
      <c r="AJ2769" s="1531"/>
      <c r="AK2769" s="1531"/>
      <c r="AL2769" s="1531"/>
      <c r="AM2769" s="1531"/>
      <c r="AN2769" s="1531"/>
      <c r="AO2769" s="1531"/>
      <c r="AP2769" s="1531"/>
      <c r="AQ2769" s="1531"/>
      <c r="AR2769" s="1531"/>
      <c r="AS2769" s="1531"/>
      <c r="AT2769" s="1531"/>
      <c r="AU2769" s="1531"/>
      <c r="AV2769" s="1531"/>
      <c r="AW2769" s="1531"/>
      <c r="AX2769" s="1531"/>
      <c r="AY2769" s="1531"/>
      <c r="AZ2769" s="1531"/>
      <c r="BA2769" s="1136"/>
      <c r="BB2769" s="1136"/>
      <c r="BC2769" s="1136"/>
      <c r="BD2769" s="1136"/>
      <c r="BE2769" s="1136"/>
      <c r="BF2769" s="1136"/>
      <c r="BG2769" s="1136"/>
      <c r="BH2769" s="1136"/>
      <c r="BI2769" s="1136"/>
      <c r="BJ2769" s="1136"/>
      <c r="BK2769" s="1136"/>
      <c r="BL2769" s="1136"/>
      <c r="BM2769" s="1568"/>
    </row>
    <row r="2770" spans="1:65" s="1391" customFormat="1" ht="15.75" x14ac:dyDescent="0.25">
      <c r="A2770" s="1430" t="s">
        <v>2525</v>
      </c>
      <c r="B2770" s="1588" t="e">
        <f>B2453*B2459*B2765</f>
        <v>#VALUE!</v>
      </c>
      <c r="C2770" s="1589"/>
      <c r="D2770" s="1350"/>
      <c r="E2770" s="1350"/>
      <c r="F2770" s="1350"/>
      <c r="G2770" s="1350"/>
      <c r="H2770" s="1350"/>
      <c r="I2770" s="1350"/>
      <c r="J2770" s="1350"/>
      <c r="K2770" s="1350"/>
      <c r="L2770" s="1350"/>
      <c r="M2770" s="1350"/>
      <c r="N2770" s="1350"/>
      <c r="O2770" s="1350"/>
      <c r="P2770" s="1350"/>
      <c r="Q2770" s="1350"/>
      <c r="R2770" s="1350"/>
      <c r="S2770" s="1531"/>
      <c r="T2770" s="1531"/>
      <c r="U2770" s="1531"/>
      <c r="V2770" s="1531"/>
      <c r="W2770" s="1531"/>
      <c r="X2770" s="1531"/>
      <c r="Y2770" s="1531"/>
      <c r="Z2770" s="1531"/>
      <c r="AA2770" s="1531"/>
      <c r="AB2770" s="1531"/>
      <c r="AC2770" s="1531"/>
      <c r="AD2770" s="1531"/>
      <c r="AE2770" s="1531"/>
      <c r="AF2770" s="1531"/>
      <c r="AG2770" s="1531"/>
      <c r="AH2770" s="1531"/>
      <c r="AI2770" s="1531"/>
      <c r="AJ2770" s="1531"/>
      <c r="AK2770" s="1531"/>
      <c r="AL2770" s="1531"/>
      <c r="AM2770" s="1531"/>
      <c r="AN2770" s="1531"/>
      <c r="AO2770" s="1531"/>
      <c r="AP2770" s="1531"/>
      <c r="AQ2770" s="1531"/>
      <c r="AR2770" s="1531"/>
      <c r="AS2770" s="1531"/>
      <c r="AT2770" s="1531"/>
      <c r="AU2770" s="1531"/>
      <c r="AV2770" s="1531"/>
      <c r="AW2770" s="1531"/>
      <c r="AX2770" s="1531"/>
      <c r="AY2770" s="1531"/>
      <c r="AZ2770" s="1531"/>
      <c r="BA2770" s="1136"/>
      <c r="BB2770" s="1136"/>
      <c r="BC2770" s="1136"/>
      <c r="BD2770" s="1136"/>
      <c r="BE2770" s="1136"/>
      <c r="BF2770" s="1136"/>
      <c r="BG2770" s="1136"/>
      <c r="BH2770" s="1136"/>
      <c r="BI2770" s="1136"/>
      <c r="BJ2770" s="1136"/>
      <c r="BK2770" s="1136"/>
      <c r="BL2770" s="1136"/>
      <c r="BM2770" s="1568"/>
    </row>
    <row r="2771" spans="1:65" s="1391" customFormat="1" ht="31.5" x14ac:dyDescent="0.25">
      <c r="A2771" s="1444" t="s">
        <v>2526</v>
      </c>
      <c r="B2771" s="1439" t="e">
        <f>B2436*B240*B2768</f>
        <v>#VALUE!</v>
      </c>
      <c r="C2771" s="1562"/>
      <c r="D2771" s="1465"/>
      <c r="E2771" s="1465"/>
      <c r="F2771" s="1465"/>
      <c r="G2771" s="1465"/>
      <c r="H2771" s="1350"/>
      <c r="I2771" s="1350"/>
      <c r="J2771" s="1350"/>
      <c r="K2771" s="1350"/>
      <c r="L2771" s="1350"/>
      <c r="M2771" s="1350"/>
      <c r="N2771" s="1350"/>
      <c r="O2771" s="1350"/>
      <c r="P2771" s="1350"/>
      <c r="Q2771" s="1350"/>
      <c r="R2771" s="1350"/>
      <c r="S2771" s="1531"/>
      <c r="T2771" s="1531"/>
      <c r="U2771" s="1531"/>
      <c r="V2771" s="1531"/>
      <c r="W2771" s="1531"/>
      <c r="X2771" s="1531"/>
      <c r="Y2771" s="1531"/>
      <c r="Z2771" s="1531"/>
      <c r="AA2771" s="1531"/>
      <c r="AB2771" s="1531"/>
      <c r="AC2771" s="1531"/>
      <c r="AD2771" s="1531"/>
      <c r="AE2771" s="1531"/>
      <c r="AF2771" s="1531"/>
      <c r="AG2771" s="1531"/>
      <c r="AH2771" s="1531"/>
      <c r="AI2771" s="1531"/>
      <c r="AJ2771" s="1531"/>
      <c r="AK2771" s="1531"/>
      <c r="AL2771" s="1531"/>
      <c r="AM2771" s="1531"/>
      <c r="AN2771" s="1531"/>
      <c r="AO2771" s="1531"/>
      <c r="AP2771" s="1531"/>
      <c r="AQ2771" s="1531"/>
      <c r="AR2771" s="1531"/>
      <c r="AS2771" s="1531"/>
      <c r="AT2771" s="1531"/>
      <c r="AU2771" s="1531"/>
      <c r="AV2771" s="1531"/>
      <c r="AW2771" s="1531"/>
      <c r="AX2771" s="1531"/>
      <c r="AY2771" s="1531"/>
      <c r="AZ2771" s="1531"/>
      <c r="BA2771" s="1136"/>
      <c r="BB2771" s="1136"/>
      <c r="BC2771" s="1136"/>
      <c r="BD2771" s="1136"/>
      <c r="BE2771" s="1136"/>
      <c r="BF2771" s="1136"/>
      <c r="BG2771" s="1136"/>
      <c r="BH2771" s="1136"/>
      <c r="BI2771" s="1136"/>
      <c r="BJ2771" s="1136"/>
      <c r="BK2771" s="1136"/>
      <c r="BL2771" s="1136"/>
      <c r="BM2771" s="1568"/>
    </row>
    <row r="2772" spans="1:65" s="1391" customFormat="1" ht="31.5" x14ac:dyDescent="0.25">
      <c r="A2772" s="1420" t="s">
        <v>3328</v>
      </c>
      <c r="B2772" s="1439" t="e">
        <f>B2496*B240*B2768</f>
        <v>#VALUE!</v>
      </c>
      <c r="C2772" s="1562"/>
      <c r="D2772" s="1416"/>
      <c r="E2772" s="1416"/>
      <c r="F2772" s="1416"/>
      <c r="G2772" s="1416"/>
      <c r="H2772" s="1350"/>
      <c r="I2772" s="1350"/>
      <c r="J2772" s="1350"/>
      <c r="K2772" s="1350"/>
      <c r="L2772" s="1350"/>
      <c r="M2772" s="1350"/>
      <c r="N2772" s="1350"/>
      <c r="O2772" s="1350"/>
      <c r="P2772" s="1350"/>
      <c r="Q2772" s="1350"/>
      <c r="R2772" s="1350"/>
      <c r="S2772" s="1531"/>
      <c r="T2772" s="1531"/>
      <c r="U2772" s="1531"/>
      <c r="V2772" s="1531"/>
      <c r="W2772" s="1531"/>
      <c r="X2772" s="1531"/>
      <c r="Y2772" s="1531"/>
      <c r="Z2772" s="1531"/>
      <c r="AA2772" s="1531"/>
      <c r="AB2772" s="1531"/>
      <c r="AC2772" s="1531"/>
      <c r="AD2772" s="1531"/>
      <c r="AE2772" s="1531"/>
      <c r="AF2772" s="1531"/>
      <c r="AG2772" s="1531"/>
      <c r="AH2772" s="1531"/>
      <c r="AI2772" s="1531"/>
      <c r="AJ2772" s="1531"/>
      <c r="AK2772" s="1531"/>
      <c r="AL2772" s="1531"/>
      <c r="AM2772" s="1531"/>
      <c r="AN2772" s="1531"/>
      <c r="AO2772" s="1531"/>
      <c r="AP2772" s="1531"/>
      <c r="AQ2772" s="1531"/>
      <c r="AR2772" s="1531"/>
      <c r="AS2772" s="1531"/>
      <c r="AT2772" s="1531"/>
      <c r="AU2772" s="1531"/>
      <c r="AV2772" s="1531"/>
      <c r="AW2772" s="1531"/>
      <c r="AX2772" s="1531"/>
      <c r="AY2772" s="1531"/>
      <c r="AZ2772" s="1531"/>
      <c r="BA2772" s="1136"/>
      <c r="BB2772" s="1136"/>
      <c r="BC2772" s="1136"/>
      <c r="BD2772" s="1136"/>
      <c r="BE2772" s="1136"/>
      <c r="BF2772" s="1136"/>
      <c r="BG2772" s="1136"/>
      <c r="BH2772" s="1136"/>
      <c r="BI2772" s="1136"/>
      <c r="BJ2772" s="1136"/>
      <c r="BK2772" s="1136"/>
      <c r="BL2772" s="1136"/>
      <c r="BM2772" s="1568"/>
    </row>
    <row r="2773" spans="1:65" s="1391" customFormat="1" ht="15.75" x14ac:dyDescent="0.25">
      <c r="A2773" s="1430" t="s">
        <v>3329</v>
      </c>
      <c r="B2773" s="1588" t="e">
        <f>B2514*B2516*B2767</f>
        <v>#VALUE!</v>
      </c>
      <c r="C2773" s="1589"/>
      <c r="D2773" s="1531"/>
      <c r="E2773" s="1531"/>
      <c r="F2773" s="1531"/>
      <c r="G2773" s="1531"/>
      <c r="H2773" s="1531"/>
      <c r="I2773" s="1531"/>
      <c r="J2773" s="1531"/>
      <c r="K2773" s="1531"/>
      <c r="L2773" s="1531"/>
      <c r="M2773" s="1531"/>
      <c r="N2773" s="1531"/>
      <c r="O2773" s="1531"/>
      <c r="P2773" s="1531"/>
      <c r="Q2773" s="1531"/>
      <c r="R2773" s="1531"/>
      <c r="S2773" s="1531"/>
      <c r="T2773" s="1531"/>
      <c r="U2773" s="1531"/>
      <c r="V2773" s="1531"/>
      <c r="W2773" s="1531"/>
      <c r="X2773" s="1531"/>
      <c r="Y2773" s="1531"/>
      <c r="Z2773" s="1531"/>
      <c r="AA2773" s="1531"/>
      <c r="AB2773" s="1531"/>
      <c r="AC2773" s="1531"/>
      <c r="AD2773" s="1531"/>
      <c r="AE2773" s="1531"/>
      <c r="AF2773" s="1531"/>
      <c r="AG2773" s="1531"/>
      <c r="AH2773" s="1531"/>
      <c r="AI2773" s="1531"/>
      <c r="AJ2773" s="1531"/>
      <c r="AK2773" s="1531"/>
      <c r="AL2773" s="1531"/>
      <c r="AM2773" s="1531"/>
      <c r="AN2773" s="1531"/>
      <c r="AO2773" s="1531"/>
      <c r="AP2773" s="1531"/>
      <c r="AQ2773" s="1531"/>
      <c r="AR2773" s="1531"/>
      <c r="AS2773" s="1531"/>
      <c r="AT2773" s="1531"/>
      <c r="AU2773" s="1531"/>
      <c r="AV2773" s="1531"/>
      <c r="AW2773" s="1531"/>
      <c r="AX2773" s="1531"/>
      <c r="AY2773" s="1531"/>
      <c r="AZ2773" s="1531"/>
      <c r="BA2773" s="1136"/>
      <c r="BB2773" s="1136"/>
      <c r="BC2773" s="1136"/>
      <c r="BD2773" s="1136"/>
      <c r="BE2773" s="1136"/>
      <c r="BF2773" s="1136"/>
      <c r="BG2773" s="1136"/>
      <c r="BH2773" s="1136"/>
      <c r="BI2773" s="1136"/>
      <c r="BJ2773" s="1136"/>
      <c r="BK2773" s="1136"/>
      <c r="BL2773" s="1136"/>
      <c r="BM2773" s="1568"/>
    </row>
    <row r="2774" spans="1:65" s="1391" customFormat="1" ht="15.75" x14ac:dyDescent="0.25">
      <c r="A2774" s="1420" t="s">
        <v>3330</v>
      </c>
      <c r="B2774" s="1439" t="e">
        <f>B2769+B2770+B2771+B2773+B2772</f>
        <v>#VALUE!</v>
      </c>
      <c r="C2774" s="1562"/>
      <c r="D2774" s="1416"/>
      <c r="E2774" s="1416"/>
      <c r="F2774" s="1416"/>
      <c r="G2774" s="1416"/>
      <c r="H2774" s="1531"/>
      <c r="I2774" s="1531"/>
      <c r="J2774" s="1531"/>
      <c r="K2774" s="1531"/>
      <c r="L2774" s="1531"/>
      <c r="M2774" s="1531"/>
      <c r="N2774" s="1531"/>
      <c r="O2774" s="1531"/>
      <c r="P2774" s="1531"/>
      <c r="Q2774" s="1531"/>
      <c r="R2774" s="1531"/>
      <c r="S2774" s="1531"/>
      <c r="T2774" s="1531"/>
      <c r="U2774" s="1531"/>
      <c r="V2774" s="1531"/>
      <c r="W2774" s="1531"/>
      <c r="X2774" s="1531"/>
      <c r="Y2774" s="1531"/>
      <c r="Z2774" s="1531"/>
      <c r="AA2774" s="1531"/>
      <c r="AB2774" s="1531"/>
      <c r="AC2774" s="1531"/>
      <c r="AD2774" s="1531"/>
      <c r="AE2774" s="1531"/>
      <c r="AF2774" s="1531"/>
      <c r="AG2774" s="1531"/>
      <c r="AH2774" s="1531"/>
      <c r="AI2774" s="1531"/>
      <c r="AJ2774" s="1531"/>
      <c r="AK2774" s="1531"/>
      <c r="AL2774" s="1531"/>
      <c r="AM2774" s="1531"/>
      <c r="AN2774" s="1531"/>
      <c r="AO2774" s="1531"/>
      <c r="AP2774" s="1531"/>
      <c r="AQ2774" s="1531"/>
      <c r="AR2774" s="1531"/>
      <c r="AS2774" s="1531"/>
      <c r="AT2774" s="1531"/>
      <c r="AU2774" s="1531"/>
      <c r="AV2774" s="1531"/>
      <c r="AW2774" s="1531"/>
      <c r="AX2774" s="1531"/>
      <c r="AY2774" s="1531"/>
      <c r="AZ2774" s="1531"/>
      <c r="BA2774" s="1136"/>
      <c r="BB2774" s="1136"/>
      <c r="BC2774" s="1136"/>
      <c r="BD2774" s="1136"/>
      <c r="BE2774" s="1136"/>
      <c r="BF2774" s="1136"/>
      <c r="BG2774" s="1136"/>
      <c r="BH2774" s="1136"/>
      <c r="BI2774" s="1136"/>
      <c r="BJ2774" s="1136"/>
      <c r="BK2774" s="1136"/>
      <c r="BL2774" s="1136"/>
      <c r="BM2774" s="1568"/>
    </row>
    <row r="2775" spans="1:65" s="1391" customFormat="1" ht="15.75" x14ac:dyDescent="0.25">
      <c r="A2775" s="1471" t="s">
        <v>3331</v>
      </c>
      <c r="B2775" s="1469">
        <v>300</v>
      </c>
      <c r="C2775" s="1470"/>
      <c r="D2775" s="1566"/>
      <c r="E2775" s="1566"/>
      <c r="F2775" s="1566"/>
      <c r="G2775" s="1566"/>
      <c r="H2775" s="1531"/>
      <c r="I2775" s="1531"/>
      <c r="J2775" s="1531"/>
      <c r="K2775" s="1531"/>
      <c r="L2775" s="1531"/>
      <c r="M2775" s="1531"/>
      <c r="N2775" s="1531"/>
      <c r="O2775" s="1531"/>
      <c r="P2775" s="1531"/>
      <c r="Q2775" s="1531"/>
      <c r="R2775" s="1531"/>
      <c r="S2775" s="1531"/>
      <c r="T2775" s="1531"/>
      <c r="U2775" s="1531"/>
      <c r="V2775" s="1531"/>
      <c r="W2775" s="1531"/>
      <c r="X2775" s="1531"/>
      <c r="Y2775" s="1531"/>
      <c r="Z2775" s="1531"/>
      <c r="AA2775" s="1531"/>
      <c r="AB2775" s="1531"/>
      <c r="AC2775" s="1531"/>
      <c r="AD2775" s="1531"/>
      <c r="AE2775" s="1531"/>
      <c r="AF2775" s="1531"/>
      <c r="AG2775" s="1531"/>
      <c r="AH2775" s="1531"/>
      <c r="AI2775" s="1531"/>
      <c r="AJ2775" s="1531"/>
      <c r="AK2775" s="1531"/>
      <c r="AL2775" s="1531"/>
      <c r="AM2775" s="1531"/>
      <c r="AN2775" s="1531"/>
      <c r="AO2775" s="1531"/>
      <c r="AP2775" s="1531"/>
      <c r="AQ2775" s="1531"/>
      <c r="AR2775" s="1531"/>
      <c r="AS2775" s="1531"/>
      <c r="AT2775" s="1531"/>
      <c r="AU2775" s="1531"/>
      <c r="AV2775" s="1531"/>
      <c r="AW2775" s="1531"/>
      <c r="AX2775" s="1531"/>
      <c r="AY2775" s="1531"/>
      <c r="AZ2775" s="1531"/>
      <c r="BA2775" s="1136"/>
      <c r="BB2775" s="1136"/>
      <c r="BC2775" s="1136"/>
      <c r="BD2775" s="1136"/>
      <c r="BE2775" s="1136"/>
      <c r="BF2775" s="1136"/>
      <c r="BG2775" s="1136"/>
      <c r="BH2775" s="1136"/>
      <c r="BI2775" s="1136"/>
      <c r="BJ2775" s="1136"/>
      <c r="BK2775" s="1136"/>
      <c r="BL2775" s="1136"/>
      <c r="BM2775" s="1568"/>
    </row>
    <row r="2776" spans="1:65" s="1391" customFormat="1" ht="15.75" x14ac:dyDescent="0.25">
      <c r="A2776" s="1420" t="s">
        <v>3332</v>
      </c>
      <c r="B2776" s="1433" t="e">
        <f>B2774*B2775</f>
        <v>#VALUE!</v>
      </c>
      <c r="C2776" s="1437"/>
      <c r="D2776" s="1587"/>
      <c r="E2776" s="1587"/>
      <c r="F2776" s="1587"/>
      <c r="G2776" s="1587"/>
      <c r="H2776" s="1531"/>
      <c r="I2776" s="1531"/>
      <c r="J2776" s="1531"/>
      <c r="K2776" s="1531"/>
      <c r="L2776" s="1531"/>
      <c r="M2776" s="1531"/>
      <c r="N2776" s="1531"/>
      <c r="O2776" s="1531"/>
      <c r="P2776" s="1531"/>
      <c r="Q2776" s="1531"/>
      <c r="R2776" s="1531"/>
      <c r="S2776" s="1531"/>
      <c r="T2776" s="1531"/>
      <c r="U2776" s="1531"/>
      <c r="V2776" s="1531"/>
      <c r="W2776" s="1531"/>
      <c r="X2776" s="1531"/>
      <c r="Y2776" s="1531"/>
      <c r="Z2776" s="1531"/>
      <c r="AA2776" s="1531"/>
      <c r="AB2776" s="1531"/>
      <c r="AC2776" s="1531"/>
      <c r="AD2776" s="1531"/>
      <c r="AE2776" s="1531"/>
      <c r="AF2776" s="1531"/>
      <c r="AG2776" s="1531"/>
      <c r="AH2776" s="1531"/>
      <c r="AI2776" s="1531"/>
      <c r="AJ2776" s="1531"/>
      <c r="AK2776" s="1531"/>
      <c r="AL2776" s="1531"/>
      <c r="AM2776" s="1531"/>
      <c r="AN2776" s="1531"/>
      <c r="AO2776" s="1531"/>
      <c r="AP2776" s="1531"/>
      <c r="AQ2776" s="1531"/>
      <c r="AR2776" s="1531"/>
      <c r="AS2776" s="1531"/>
      <c r="AT2776" s="1531"/>
      <c r="AU2776" s="1531"/>
      <c r="AV2776" s="1531"/>
      <c r="AW2776" s="1531"/>
      <c r="AX2776" s="1531"/>
      <c r="AY2776" s="1531"/>
      <c r="AZ2776" s="1531"/>
      <c r="BA2776" s="1136"/>
      <c r="BB2776" s="1136"/>
      <c r="BC2776" s="1136"/>
      <c r="BD2776" s="1136"/>
      <c r="BE2776" s="1136"/>
      <c r="BF2776" s="1136"/>
      <c r="BG2776" s="1136"/>
      <c r="BH2776" s="1136"/>
      <c r="BI2776" s="1136"/>
      <c r="BJ2776" s="1136"/>
      <c r="BK2776" s="1136"/>
      <c r="BL2776" s="1136"/>
      <c r="BM2776" s="1568"/>
    </row>
    <row r="2777" spans="1:65" s="1391" customFormat="1" ht="18.75" customHeight="1" x14ac:dyDescent="0.25">
      <c r="A2777" s="1452" t="s">
        <v>3333</v>
      </c>
      <c r="B2777" s="1571">
        <f>IF(B276=0,B2776,0)</f>
        <v>0</v>
      </c>
      <c r="C2777" s="1572"/>
      <c r="D2777" s="1589"/>
      <c r="E2777" s="1589"/>
      <c r="F2777" s="1589"/>
      <c r="G2777" s="1589"/>
      <c r="H2777" s="1531"/>
      <c r="I2777" s="1531"/>
      <c r="J2777" s="1531"/>
      <c r="K2777" s="1531"/>
      <c r="L2777" s="1531"/>
      <c r="M2777" s="1531"/>
      <c r="N2777" s="1531"/>
      <c r="O2777" s="1531"/>
      <c r="P2777" s="1531"/>
      <c r="Q2777" s="1531"/>
      <c r="R2777" s="1531"/>
      <c r="S2777" s="1531"/>
      <c r="T2777" s="1531"/>
      <c r="U2777" s="1531"/>
      <c r="V2777" s="1531"/>
      <c r="W2777" s="1531"/>
      <c r="X2777" s="1531"/>
      <c r="Y2777" s="1531"/>
      <c r="Z2777" s="1531"/>
      <c r="AA2777" s="1531"/>
      <c r="AB2777" s="1531"/>
      <c r="AC2777" s="1531"/>
      <c r="AD2777" s="1531"/>
      <c r="AE2777" s="1531"/>
      <c r="AF2777" s="1531"/>
      <c r="AG2777" s="1531"/>
      <c r="AH2777" s="1531"/>
      <c r="AI2777" s="1531"/>
      <c r="AJ2777" s="1531"/>
      <c r="AK2777" s="1531"/>
      <c r="AL2777" s="1531"/>
      <c r="AM2777" s="1531"/>
      <c r="AN2777" s="1531"/>
      <c r="AO2777" s="1531"/>
      <c r="AP2777" s="1531"/>
      <c r="AQ2777" s="1531"/>
      <c r="AR2777" s="1531"/>
      <c r="AS2777" s="1531"/>
      <c r="AT2777" s="1531"/>
      <c r="AU2777" s="1531"/>
      <c r="AV2777" s="1531"/>
      <c r="AW2777" s="1531"/>
      <c r="AX2777" s="1531"/>
      <c r="AY2777" s="1531"/>
      <c r="AZ2777" s="1531"/>
      <c r="BA2777" s="1136"/>
      <c r="BB2777" s="1136"/>
      <c r="BC2777" s="1136"/>
      <c r="BD2777" s="1136"/>
      <c r="BE2777" s="1136"/>
      <c r="BF2777" s="1136"/>
      <c r="BG2777" s="1136"/>
      <c r="BH2777" s="1136"/>
      <c r="BI2777" s="1136"/>
      <c r="BJ2777" s="1136"/>
      <c r="BK2777" s="1136"/>
      <c r="BL2777" s="1136"/>
      <c r="BM2777" s="1568"/>
    </row>
    <row r="2778" spans="1:65" s="1391" customFormat="1" ht="34.5" customHeight="1" x14ac:dyDescent="0.25">
      <c r="A2778" s="1471"/>
      <c r="B2778" s="1573"/>
      <c r="C2778" s="1574"/>
      <c r="D2778" s="1562"/>
      <c r="E2778" s="1562"/>
      <c r="F2778" s="1562"/>
      <c r="G2778" s="1562"/>
      <c r="H2778" s="1531"/>
      <c r="I2778" s="1531"/>
      <c r="J2778" s="1531"/>
      <c r="K2778" s="1531"/>
      <c r="L2778" s="1531"/>
      <c r="M2778" s="1531"/>
      <c r="N2778" s="1531"/>
      <c r="O2778" s="1531"/>
      <c r="P2778" s="1531"/>
      <c r="Q2778" s="1531"/>
      <c r="R2778" s="1531"/>
      <c r="S2778" s="1531"/>
      <c r="T2778" s="1531"/>
      <c r="U2778" s="1531"/>
      <c r="V2778" s="1531"/>
      <c r="W2778" s="1531"/>
      <c r="X2778" s="1531"/>
      <c r="Y2778" s="1531"/>
      <c r="Z2778" s="1531"/>
      <c r="AA2778" s="1531"/>
      <c r="AB2778" s="1531"/>
      <c r="AC2778" s="1531"/>
      <c r="AD2778" s="1531"/>
      <c r="AE2778" s="1531"/>
      <c r="AF2778" s="1531"/>
      <c r="AG2778" s="1531"/>
      <c r="AH2778" s="1531"/>
      <c r="AI2778" s="1531"/>
      <c r="AJ2778" s="1531"/>
      <c r="AK2778" s="1531"/>
      <c r="AL2778" s="1531"/>
      <c r="AM2778" s="1531"/>
      <c r="AN2778" s="1531"/>
      <c r="AO2778" s="1531"/>
      <c r="AP2778" s="1531"/>
      <c r="AQ2778" s="1531"/>
      <c r="AR2778" s="1531"/>
      <c r="AS2778" s="1531"/>
      <c r="AT2778" s="1531"/>
      <c r="AU2778" s="1531"/>
      <c r="AV2778" s="1531"/>
      <c r="AW2778" s="1531"/>
      <c r="AX2778" s="1531"/>
      <c r="AY2778" s="1531"/>
      <c r="AZ2778" s="1531"/>
      <c r="BA2778" s="1136"/>
      <c r="BB2778" s="1136"/>
      <c r="BC2778" s="1136"/>
      <c r="BD2778" s="1136"/>
      <c r="BE2778" s="1136"/>
      <c r="BF2778" s="1136"/>
      <c r="BG2778" s="1136"/>
      <c r="BH2778" s="1136"/>
      <c r="BI2778" s="1136"/>
      <c r="BJ2778" s="1136"/>
      <c r="BK2778" s="1136"/>
      <c r="BL2778" s="1136"/>
      <c r="BM2778" s="1568"/>
    </row>
    <row r="2779" spans="1:65" s="1391" customFormat="1" ht="17.25" customHeight="1" x14ac:dyDescent="0.25">
      <c r="A2779" s="1502" t="s">
        <v>3334</v>
      </c>
      <c r="B2779" s="1415"/>
      <c r="C2779" s="1531"/>
      <c r="D2779" s="1562"/>
      <c r="E2779" s="1562"/>
      <c r="F2779" s="1562"/>
      <c r="G2779" s="1562"/>
      <c r="H2779" s="1531"/>
      <c r="I2779" s="1531"/>
      <c r="J2779" s="1531"/>
      <c r="K2779" s="1531"/>
      <c r="L2779" s="1531"/>
      <c r="M2779" s="1531"/>
      <c r="N2779" s="1531"/>
      <c r="O2779" s="1531"/>
      <c r="P2779" s="1531"/>
      <c r="Q2779" s="1531"/>
      <c r="R2779" s="1531"/>
      <c r="S2779" s="1531"/>
      <c r="T2779" s="1531"/>
      <c r="U2779" s="1531"/>
      <c r="V2779" s="1531"/>
      <c r="W2779" s="1531"/>
      <c r="X2779" s="1531"/>
      <c r="Y2779" s="1531"/>
      <c r="Z2779" s="1531"/>
      <c r="AA2779" s="1531"/>
      <c r="AB2779" s="1531"/>
      <c r="AC2779" s="1531"/>
      <c r="AD2779" s="1531"/>
      <c r="AE2779" s="1531"/>
      <c r="AF2779" s="1531"/>
      <c r="AG2779" s="1531"/>
      <c r="AH2779" s="1531"/>
      <c r="AI2779" s="1531"/>
      <c r="AJ2779" s="1531"/>
      <c r="AK2779" s="1531"/>
      <c r="AL2779" s="1531"/>
      <c r="AM2779" s="1531"/>
      <c r="AN2779" s="1531"/>
      <c r="AO2779" s="1531"/>
      <c r="AP2779" s="1531"/>
      <c r="AQ2779" s="1531"/>
      <c r="AR2779" s="1531"/>
      <c r="AS2779" s="1531"/>
      <c r="AT2779" s="1531"/>
      <c r="AU2779" s="1531"/>
      <c r="AV2779" s="1531"/>
      <c r="AW2779" s="1531"/>
      <c r="AX2779" s="1531"/>
      <c r="AY2779" s="1531"/>
      <c r="AZ2779" s="1531"/>
      <c r="BA2779" s="1136"/>
      <c r="BB2779" s="1136"/>
      <c r="BC2779" s="1136"/>
      <c r="BD2779" s="1136"/>
      <c r="BE2779" s="1136"/>
      <c r="BF2779" s="1136"/>
      <c r="BG2779" s="1136"/>
      <c r="BH2779" s="1136"/>
      <c r="BI2779" s="1136"/>
      <c r="BJ2779" s="1136"/>
      <c r="BK2779" s="1136"/>
      <c r="BL2779" s="1136"/>
      <c r="BM2779" s="1568"/>
    </row>
    <row r="2780" spans="1:65" s="1391" customFormat="1" ht="15.75" x14ac:dyDescent="0.25">
      <c r="A2780" s="1456" t="s">
        <v>2516</v>
      </c>
      <c r="B2780" s="1415"/>
      <c r="C2780" s="1531"/>
      <c r="D2780" s="1589"/>
      <c r="E2780" s="1589"/>
      <c r="F2780" s="1589"/>
      <c r="G2780" s="1589"/>
      <c r="H2780" s="1531"/>
      <c r="I2780" s="1531"/>
      <c r="J2780" s="1531"/>
      <c r="K2780" s="1531"/>
      <c r="L2780" s="1531"/>
      <c r="M2780" s="1531"/>
      <c r="N2780" s="1531"/>
      <c r="O2780" s="1531"/>
      <c r="P2780" s="1531"/>
      <c r="Q2780" s="1531"/>
      <c r="R2780" s="1531"/>
      <c r="S2780" s="1531"/>
      <c r="T2780" s="1531"/>
      <c r="U2780" s="1531"/>
      <c r="V2780" s="1531"/>
      <c r="W2780" s="1531"/>
      <c r="X2780" s="1531"/>
      <c r="Y2780" s="1531"/>
      <c r="Z2780" s="1531"/>
      <c r="AA2780" s="1531"/>
      <c r="AB2780" s="1531"/>
      <c r="AC2780" s="1531"/>
      <c r="AD2780" s="1531"/>
      <c r="AE2780" s="1531"/>
      <c r="AF2780" s="1531"/>
      <c r="AG2780" s="1531"/>
      <c r="AH2780" s="1531"/>
      <c r="AI2780" s="1531"/>
      <c r="AJ2780" s="1531"/>
      <c r="AK2780" s="1531"/>
      <c r="AL2780" s="1531"/>
      <c r="AM2780" s="1531"/>
      <c r="AN2780" s="1531"/>
      <c r="AO2780" s="1531"/>
      <c r="AP2780" s="1531"/>
      <c r="AQ2780" s="1531"/>
      <c r="AR2780" s="1531"/>
      <c r="AS2780" s="1531"/>
      <c r="AT2780" s="1531"/>
      <c r="AU2780" s="1531"/>
      <c r="AV2780" s="1531"/>
      <c r="AW2780" s="1531"/>
      <c r="AX2780" s="1531"/>
      <c r="AY2780" s="1531"/>
      <c r="AZ2780" s="1531"/>
      <c r="BA2780" s="1136"/>
      <c r="BB2780" s="1136"/>
      <c r="BC2780" s="1136"/>
      <c r="BD2780" s="1136"/>
      <c r="BE2780" s="1136"/>
      <c r="BF2780" s="1136"/>
      <c r="BG2780" s="1136"/>
      <c r="BH2780" s="1136"/>
      <c r="BI2780" s="1136"/>
      <c r="BJ2780" s="1136"/>
      <c r="BK2780" s="1136"/>
      <c r="BL2780" s="1136"/>
      <c r="BM2780" s="1568"/>
    </row>
    <row r="2781" spans="1:65" s="1391" customFormat="1" ht="47.25" x14ac:dyDescent="0.25">
      <c r="A2781" s="1420" t="s">
        <v>3335</v>
      </c>
      <c r="B2781" s="1421" t="e">
        <f>B2675*B2674*B2765</f>
        <v>#VALUE!</v>
      </c>
      <c r="C2781" s="1523"/>
      <c r="D2781" s="1562"/>
      <c r="E2781" s="1562"/>
      <c r="F2781" s="1562"/>
      <c r="G2781" s="1562"/>
      <c r="H2781" s="1562"/>
      <c r="I2781" s="1531"/>
      <c r="J2781" s="1531"/>
      <c r="K2781" s="1531"/>
      <c r="L2781" s="1531"/>
      <c r="M2781" s="1531"/>
      <c r="N2781" s="1531"/>
      <c r="O2781" s="1531"/>
      <c r="P2781" s="1531"/>
      <c r="Q2781" s="1531"/>
      <c r="R2781" s="1531"/>
      <c r="S2781" s="1531"/>
      <c r="T2781" s="1531"/>
      <c r="U2781" s="1531"/>
      <c r="V2781" s="1531"/>
      <c r="W2781" s="1531"/>
      <c r="X2781" s="1531"/>
      <c r="Y2781" s="1531"/>
      <c r="Z2781" s="1531"/>
      <c r="AA2781" s="1531"/>
      <c r="AB2781" s="1531"/>
      <c r="AC2781" s="1531"/>
      <c r="AD2781" s="1531"/>
      <c r="AE2781" s="1531"/>
      <c r="AF2781" s="1531"/>
      <c r="AG2781" s="1531"/>
      <c r="AH2781" s="1531"/>
      <c r="AI2781" s="1531"/>
      <c r="AJ2781" s="1531"/>
      <c r="AK2781" s="1531"/>
      <c r="AL2781" s="1531"/>
      <c r="AM2781" s="1531"/>
      <c r="AN2781" s="1531"/>
      <c r="AO2781" s="1531"/>
      <c r="AP2781" s="1531"/>
      <c r="AQ2781" s="1531"/>
      <c r="AR2781" s="1531"/>
      <c r="AS2781" s="1531"/>
      <c r="AT2781" s="1531"/>
      <c r="AU2781" s="1531"/>
      <c r="AV2781" s="1531"/>
      <c r="AW2781" s="1531"/>
      <c r="AX2781" s="1531"/>
      <c r="AY2781" s="1531"/>
      <c r="AZ2781" s="1531"/>
      <c r="BA2781" s="1136"/>
      <c r="BB2781" s="1136"/>
      <c r="BC2781" s="1136"/>
      <c r="BD2781" s="1136"/>
      <c r="BE2781" s="1136"/>
      <c r="BF2781" s="1136"/>
      <c r="BG2781" s="1136"/>
      <c r="BH2781" s="1136"/>
      <c r="BI2781" s="1136"/>
      <c r="BJ2781" s="1136"/>
      <c r="BK2781" s="1136"/>
      <c r="BL2781" s="1136"/>
      <c r="BM2781" s="1568"/>
    </row>
    <row r="2782" spans="1:65" s="1391" customFormat="1" ht="31.5" x14ac:dyDescent="0.25">
      <c r="A2782" s="1420" t="s">
        <v>2800</v>
      </c>
      <c r="B2782" s="1421"/>
      <c r="C2782" s="1523"/>
      <c r="D2782" s="1470"/>
      <c r="E2782" s="1470"/>
      <c r="F2782" s="1470"/>
      <c r="G2782" s="1470"/>
      <c r="H2782" s="1350"/>
      <c r="I2782" s="1350"/>
      <c r="J2782" s="1350"/>
      <c r="K2782" s="1350"/>
      <c r="L2782" s="1350"/>
      <c r="M2782" s="1350"/>
      <c r="N2782" s="1350"/>
      <c r="O2782" s="1350"/>
      <c r="P2782" s="1350"/>
      <c r="Q2782" s="1350"/>
      <c r="R2782" s="1350"/>
      <c r="S2782" s="1531"/>
      <c r="T2782" s="1531"/>
      <c r="U2782" s="1531"/>
      <c r="V2782" s="1531"/>
      <c r="W2782" s="1531"/>
      <c r="X2782" s="1531"/>
      <c r="Y2782" s="1531"/>
      <c r="Z2782" s="1531"/>
      <c r="AA2782" s="1531"/>
      <c r="AB2782" s="1531"/>
      <c r="AC2782" s="1531"/>
      <c r="AD2782" s="1531"/>
      <c r="AE2782" s="1531"/>
      <c r="AF2782" s="1531"/>
      <c r="AG2782" s="1531"/>
      <c r="AH2782" s="1531"/>
      <c r="AI2782" s="1531"/>
      <c r="AJ2782" s="1531"/>
      <c r="AK2782" s="1531"/>
      <c r="AL2782" s="1531"/>
      <c r="AM2782" s="1531"/>
      <c r="AN2782" s="1531"/>
      <c r="AO2782" s="1531"/>
      <c r="AP2782" s="1531"/>
      <c r="AQ2782" s="1531"/>
      <c r="AR2782" s="1531"/>
      <c r="AS2782" s="1531"/>
      <c r="AT2782" s="1531"/>
      <c r="AU2782" s="1531"/>
      <c r="AV2782" s="1531"/>
      <c r="AW2782" s="1531"/>
      <c r="AX2782" s="1531"/>
      <c r="AY2782" s="1531"/>
      <c r="AZ2782" s="1531"/>
      <c r="BA2782" s="1136"/>
      <c r="BB2782" s="1136"/>
      <c r="BC2782" s="1136"/>
      <c r="BD2782" s="1136"/>
      <c r="BE2782" s="1136"/>
      <c r="BF2782" s="1136"/>
      <c r="BG2782" s="1136"/>
      <c r="BH2782" s="1136"/>
      <c r="BI2782" s="1136"/>
      <c r="BJ2782" s="1136"/>
      <c r="BK2782" s="1136"/>
      <c r="BL2782" s="1136"/>
      <c r="BM2782" s="1568"/>
    </row>
    <row r="2783" spans="1:65" s="1391" customFormat="1" ht="15.75" x14ac:dyDescent="0.25">
      <c r="A2783" s="1430" t="s">
        <v>2813</v>
      </c>
      <c r="B2783" s="1588" t="e">
        <f>B2655*B240*B2768</f>
        <v>#VALUE!</v>
      </c>
      <c r="C2783" s="1589"/>
      <c r="D2783" s="1437"/>
      <c r="E2783" s="1437"/>
      <c r="F2783" s="1437"/>
      <c r="G2783" s="1437"/>
      <c r="H2783" s="1350"/>
      <c r="I2783" s="1350"/>
      <c r="J2783" s="1350"/>
      <c r="K2783" s="1350"/>
      <c r="L2783" s="1350"/>
      <c r="M2783" s="1350"/>
      <c r="N2783" s="1350"/>
      <c r="O2783" s="1350"/>
      <c r="P2783" s="1350"/>
      <c r="Q2783" s="1350"/>
      <c r="R2783" s="1350"/>
      <c r="S2783" s="1531"/>
      <c r="T2783" s="1531"/>
      <c r="U2783" s="1531"/>
      <c r="V2783" s="1531"/>
      <c r="W2783" s="1531"/>
      <c r="X2783" s="1531"/>
      <c r="Y2783" s="1531"/>
      <c r="Z2783" s="1531"/>
      <c r="AA2783" s="1531"/>
      <c r="AB2783" s="1531"/>
      <c r="AC2783" s="1531"/>
      <c r="AD2783" s="1531"/>
      <c r="AE2783" s="1531"/>
      <c r="AF2783" s="1531"/>
      <c r="AG2783" s="1531"/>
      <c r="AH2783" s="1531"/>
      <c r="AI2783" s="1531"/>
      <c r="AJ2783" s="1531"/>
      <c r="AK2783" s="1531"/>
      <c r="AL2783" s="1531"/>
      <c r="AM2783" s="1531"/>
      <c r="AN2783" s="1531"/>
      <c r="AO2783" s="1531"/>
      <c r="AP2783" s="1531"/>
      <c r="AQ2783" s="1531"/>
      <c r="AR2783" s="1531"/>
      <c r="AS2783" s="1531"/>
      <c r="AT2783" s="1531"/>
      <c r="AU2783" s="1531"/>
      <c r="AV2783" s="1531"/>
      <c r="AW2783" s="1531"/>
      <c r="AX2783" s="1531"/>
      <c r="AY2783" s="1531"/>
      <c r="AZ2783" s="1531"/>
      <c r="BA2783" s="1136"/>
      <c r="BB2783" s="1136"/>
      <c r="BC2783" s="1136"/>
      <c r="BD2783" s="1136"/>
      <c r="BE2783" s="1136"/>
      <c r="BF2783" s="1136"/>
      <c r="BG2783" s="1136"/>
      <c r="BH2783" s="1136"/>
      <c r="BI2783" s="1136"/>
      <c r="BJ2783" s="1136"/>
      <c r="BK2783" s="1136"/>
      <c r="BL2783" s="1136"/>
      <c r="BM2783" s="1568"/>
    </row>
    <row r="2784" spans="1:65" s="1391" customFormat="1" ht="15.75" x14ac:dyDescent="0.25">
      <c r="A2784" s="1430" t="s">
        <v>2814</v>
      </c>
      <c r="B2784" s="1588"/>
      <c r="C2784" s="1589"/>
      <c r="D2784" s="1572"/>
      <c r="E2784" s="1572"/>
      <c r="F2784" s="1572"/>
      <c r="G2784" s="1572"/>
      <c r="H2784" s="1531"/>
      <c r="I2784" s="1531"/>
      <c r="J2784" s="1531"/>
      <c r="K2784" s="1531"/>
      <c r="L2784" s="1531"/>
      <c r="M2784" s="1531"/>
      <c r="N2784" s="1531"/>
      <c r="O2784" s="1531"/>
      <c r="P2784" s="1531"/>
      <c r="Q2784" s="1531"/>
      <c r="R2784" s="1531"/>
      <c r="S2784" s="1531"/>
      <c r="T2784" s="1531"/>
      <c r="U2784" s="1531"/>
      <c r="V2784" s="1531"/>
      <c r="W2784" s="1531"/>
      <c r="X2784" s="1531"/>
      <c r="Y2784" s="1531"/>
      <c r="Z2784" s="1531"/>
      <c r="AA2784" s="1531"/>
      <c r="AB2784" s="1531"/>
      <c r="AC2784" s="1531"/>
      <c r="AD2784" s="1531"/>
      <c r="AE2784" s="1531"/>
      <c r="AF2784" s="1531"/>
      <c r="AG2784" s="1531"/>
      <c r="AH2784" s="1531"/>
      <c r="AI2784" s="1531"/>
      <c r="AJ2784" s="1531"/>
      <c r="AK2784" s="1531"/>
      <c r="AL2784" s="1531"/>
      <c r="AM2784" s="1531"/>
      <c r="AN2784" s="1531"/>
      <c r="AO2784" s="1531"/>
      <c r="AP2784" s="1531"/>
      <c r="AQ2784" s="1531"/>
      <c r="AR2784" s="1531"/>
      <c r="AS2784" s="1531"/>
      <c r="AT2784" s="1531"/>
      <c r="AU2784" s="1531"/>
      <c r="AV2784" s="1531"/>
      <c r="AW2784" s="1531"/>
      <c r="AX2784" s="1531"/>
      <c r="AY2784" s="1531"/>
      <c r="AZ2784" s="1531"/>
      <c r="BA2784" s="1136"/>
      <c r="BB2784" s="1136"/>
      <c r="BC2784" s="1136"/>
      <c r="BD2784" s="1136"/>
      <c r="BE2784" s="1136"/>
      <c r="BF2784" s="1136"/>
      <c r="BG2784" s="1136"/>
      <c r="BH2784" s="1136"/>
      <c r="BI2784" s="1136"/>
      <c r="BJ2784" s="1136"/>
      <c r="BK2784" s="1136"/>
      <c r="BL2784" s="1136"/>
      <c r="BM2784" s="1568"/>
    </row>
    <row r="2785" spans="1:65" s="1391" customFormat="1" ht="47.25" x14ac:dyDescent="0.25">
      <c r="A2785" s="1420" t="s">
        <v>2815</v>
      </c>
      <c r="B2785" s="1588" t="e">
        <f>B2675*3*B240*B2768</f>
        <v>#VALUE!</v>
      </c>
      <c r="C2785" s="1589"/>
      <c r="D2785" s="1531"/>
      <c r="E2785" s="1531"/>
      <c r="F2785" s="1531"/>
      <c r="G2785" s="1531"/>
      <c r="H2785" s="1531"/>
      <c r="I2785" s="1531"/>
      <c r="J2785" s="1531"/>
      <c r="K2785" s="1531"/>
      <c r="L2785" s="1531"/>
      <c r="M2785" s="1531"/>
      <c r="N2785" s="1531"/>
      <c r="O2785" s="1531"/>
      <c r="P2785" s="1531"/>
      <c r="Q2785" s="1531"/>
      <c r="R2785" s="1531"/>
      <c r="S2785" s="1531"/>
      <c r="T2785" s="1531"/>
      <c r="U2785" s="1531"/>
      <c r="V2785" s="1531"/>
      <c r="W2785" s="1531"/>
      <c r="X2785" s="1531"/>
      <c r="Y2785" s="1531"/>
      <c r="Z2785" s="1531"/>
      <c r="AA2785" s="1531"/>
      <c r="AB2785" s="1531"/>
      <c r="AC2785" s="1531"/>
      <c r="AD2785" s="1531"/>
      <c r="AE2785" s="1531"/>
      <c r="AF2785" s="1531"/>
      <c r="AG2785" s="1531"/>
      <c r="AH2785" s="1531"/>
      <c r="AI2785" s="1531"/>
      <c r="AJ2785" s="1531"/>
      <c r="AK2785" s="1531"/>
      <c r="AL2785" s="1531"/>
      <c r="AM2785" s="1531"/>
      <c r="AN2785" s="1531"/>
      <c r="AO2785" s="1531"/>
      <c r="AP2785" s="1531"/>
      <c r="AQ2785" s="1531"/>
      <c r="AR2785" s="1531"/>
      <c r="AS2785" s="1531"/>
      <c r="AT2785" s="1531"/>
      <c r="AU2785" s="1531"/>
      <c r="AV2785" s="1531"/>
      <c r="AW2785" s="1531"/>
      <c r="AX2785" s="1531"/>
      <c r="AY2785" s="1531"/>
      <c r="AZ2785" s="1531"/>
      <c r="BA2785" s="1136"/>
      <c r="BB2785" s="1136"/>
      <c r="BC2785" s="1136"/>
      <c r="BD2785" s="1136"/>
      <c r="BE2785" s="1136"/>
      <c r="BF2785" s="1136"/>
      <c r="BG2785" s="1136"/>
      <c r="BH2785" s="1136"/>
      <c r="BI2785" s="1136"/>
      <c r="BJ2785" s="1136"/>
      <c r="BK2785" s="1136"/>
      <c r="BL2785" s="1136"/>
      <c r="BM2785" s="1568"/>
    </row>
    <row r="2786" spans="1:65" s="1391" customFormat="1" ht="15.75" x14ac:dyDescent="0.25">
      <c r="A2786" s="1430" t="s">
        <v>3329</v>
      </c>
      <c r="B2786" s="1588" t="e">
        <f>B2773</f>
        <v>#VALUE!</v>
      </c>
      <c r="C2786" s="1589"/>
      <c r="D2786" s="1531"/>
      <c r="E2786" s="1531"/>
      <c r="F2786" s="1531"/>
      <c r="G2786" s="1531"/>
      <c r="H2786" s="1531"/>
      <c r="I2786" s="1531"/>
      <c r="J2786" s="1531"/>
      <c r="K2786" s="1531"/>
      <c r="L2786" s="1531"/>
      <c r="M2786" s="1531"/>
      <c r="N2786" s="1531"/>
      <c r="O2786" s="1531"/>
      <c r="P2786" s="1531"/>
      <c r="Q2786" s="1531"/>
      <c r="R2786" s="1531"/>
      <c r="S2786" s="1531"/>
      <c r="T2786" s="1531"/>
      <c r="U2786" s="1531"/>
      <c r="V2786" s="1531"/>
      <c r="W2786" s="1531"/>
      <c r="X2786" s="1531"/>
      <c r="Y2786" s="1531"/>
      <c r="Z2786" s="1531"/>
      <c r="AA2786" s="1531"/>
      <c r="AB2786" s="1531"/>
      <c r="AC2786" s="1531"/>
      <c r="AD2786" s="1531"/>
      <c r="AE2786" s="1531"/>
      <c r="AF2786" s="1531"/>
      <c r="AG2786" s="1531"/>
      <c r="AH2786" s="1531"/>
      <c r="AI2786" s="1531"/>
      <c r="AJ2786" s="1531"/>
      <c r="AK2786" s="1531"/>
      <c r="AL2786" s="1531"/>
      <c r="AM2786" s="1531"/>
      <c r="AN2786" s="1531"/>
      <c r="AO2786" s="1531"/>
      <c r="AP2786" s="1531"/>
      <c r="AQ2786" s="1531"/>
      <c r="AR2786" s="1531"/>
      <c r="AS2786" s="1531"/>
      <c r="AT2786" s="1531"/>
      <c r="AU2786" s="1531"/>
      <c r="AV2786" s="1531"/>
      <c r="AW2786" s="1531"/>
      <c r="AX2786" s="1531"/>
      <c r="AY2786" s="1531"/>
      <c r="AZ2786" s="1531"/>
      <c r="BA2786" s="1136"/>
      <c r="BB2786" s="1136"/>
      <c r="BC2786" s="1136"/>
      <c r="BD2786" s="1136"/>
      <c r="BE2786" s="1136"/>
      <c r="BF2786" s="1136"/>
      <c r="BG2786" s="1136"/>
      <c r="BH2786" s="1136"/>
      <c r="BI2786" s="1136"/>
      <c r="BJ2786" s="1136"/>
      <c r="BK2786" s="1136"/>
      <c r="BL2786" s="1136"/>
      <c r="BM2786" s="1568"/>
    </row>
    <row r="2787" spans="1:65" s="1391" customFormat="1" ht="15.75" x14ac:dyDescent="0.25">
      <c r="A2787" s="1420" t="s">
        <v>3330</v>
      </c>
      <c r="B2787" s="1439" t="e">
        <f>B2781+B2782+B2783+B2784+B2785+B2786</f>
        <v>#VALUE!</v>
      </c>
      <c r="C2787" s="1562"/>
      <c r="D2787" s="1531"/>
      <c r="E2787" s="1531"/>
      <c r="F2787" s="1531"/>
      <c r="G2787" s="1531"/>
      <c r="H2787" s="1531"/>
      <c r="I2787" s="1531"/>
      <c r="J2787" s="1531"/>
      <c r="K2787" s="1531"/>
      <c r="L2787" s="1531"/>
      <c r="M2787" s="1531"/>
      <c r="N2787" s="1531"/>
      <c r="O2787" s="1531"/>
      <c r="P2787" s="1531"/>
      <c r="Q2787" s="1531"/>
      <c r="R2787" s="1531"/>
      <c r="S2787" s="1531"/>
      <c r="T2787" s="1531"/>
      <c r="U2787" s="1531"/>
      <c r="V2787" s="1531"/>
      <c r="W2787" s="1531"/>
      <c r="X2787" s="1531"/>
      <c r="Y2787" s="1531"/>
      <c r="Z2787" s="1531"/>
      <c r="AA2787" s="1531"/>
      <c r="AB2787" s="1531"/>
      <c r="AC2787" s="1531"/>
      <c r="AD2787" s="1531"/>
      <c r="AE2787" s="1531"/>
      <c r="AF2787" s="1531"/>
      <c r="AG2787" s="1531"/>
      <c r="AH2787" s="1531"/>
      <c r="AI2787" s="1531"/>
      <c r="AJ2787" s="1531"/>
      <c r="AK2787" s="1531"/>
      <c r="AL2787" s="1531"/>
      <c r="AM2787" s="1531"/>
      <c r="AN2787" s="1531"/>
      <c r="AO2787" s="1531"/>
      <c r="AP2787" s="1531"/>
      <c r="AQ2787" s="1531"/>
      <c r="AR2787" s="1531"/>
      <c r="AS2787" s="1531"/>
      <c r="AT2787" s="1531"/>
      <c r="AU2787" s="1531"/>
      <c r="AV2787" s="1531"/>
      <c r="AW2787" s="1531"/>
      <c r="AX2787" s="1531"/>
      <c r="AY2787" s="1531"/>
      <c r="AZ2787" s="1531"/>
      <c r="BA2787" s="1136"/>
      <c r="BB2787" s="1136"/>
      <c r="BC2787" s="1136"/>
      <c r="BD2787" s="1136"/>
      <c r="BE2787" s="1136"/>
      <c r="BF2787" s="1136"/>
      <c r="BG2787" s="1136"/>
      <c r="BH2787" s="1136"/>
      <c r="BI2787" s="1136"/>
      <c r="BJ2787" s="1136"/>
      <c r="BK2787" s="1136"/>
      <c r="BL2787" s="1136"/>
      <c r="BM2787" s="1568"/>
    </row>
    <row r="2788" spans="1:65" s="1391" customFormat="1" ht="15.75" x14ac:dyDescent="0.25">
      <c r="A2788" s="1420" t="s">
        <v>3332</v>
      </c>
      <c r="B2788" s="1443" t="e">
        <f>B2787*B2775</f>
        <v>#VALUE!</v>
      </c>
      <c r="C2788" s="1521"/>
      <c r="D2788" s="1523"/>
      <c r="E2788" s="1523"/>
      <c r="F2788" s="1523"/>
      <c r="G2788" s="1523"/>
      <c r="H2788" s="1531"/>
      <c r="I2788" s="1531"/>
      <c r="J2788" s="1531"/>
      <c r="K2788" s="1531"/>
      <c r="L2788" s="1531"/>
      <c r="M2788" s="1531"/>
      <c r="N2788" s="1531"/>
      <c r="O2788" s="1531"/>
      <c r="P2788" s="1531"/>
      <c r="Q2788" s="1531"/>
      <c r="R2788" s="1531"/>
      <c r="S2788" s="1531"/>
      <c r="T2788" s="1531"/>
      <c r="U2788" s="1531"/>
      <c r="V2788" s="1531"/>
      <c r="W2788" s="1531"/>
      <c r="X2788" s="1531"/>
      <c r="Y2788" s="1531"/>
      <c r="Z2788" s="1531"/>
      <c r="AA2788" s="1531"/>
      <c r="AB2788" s="1531"/>
      <c r="AC2788" s="1531"/>
      <c r="AD2788" s="1531"/>
      <c r="AE2788" s="1531"/>
      <c r="AF2788" s="1531"/>
      <c r="AG2788" s="1531"/>
      <c r="AH2788" s="1531"/>
      <c r="AI2788" s="1531"/>
      <c r="AJ2788" s="1531"/>
      <c r="AK2788" s="1531"/>
      <c r="AL2788" s="1531"/>
      <c r="AM2788" s="1531"/>
      <c r="AN2788" s="1531"/>
      <c r="AO2788" s="1531"/>
      <c r="AP2788" s="1531"/>
      <c r="AQ2788" s="1531"/>
      <c r="AR2788" s="1531"/>
      <c r="AS2788" s="1531"/>
      <c r="AT2788" s="1531"/>
      <c r="AU2788" s="1531"/>
      <c r="AV2788" s="1531"/>
      <c r="AW2788" s="1531"/>
      <c r="AX2788" s="1531"/>
      <c r="AY2788" s="1531"/>
      <c r="AZ2788" s="1531"/>
      <c r="BA2788" s="1136"/>
      <c r="BB2788" s="1136"/>
      <c r="BC2788" s="1136"/>
      <c r="BD2788" s="1136"/>
      <c r="BE2788" s="1136"/>
      <c r="BF2788" s="1136"/>
      <c r="BG2788" s="1136"/>
      <c r="BH2788" s="1136"/>
      <c r="BI2788" s="1136"/>
      <c r="BJ2788" s="1136"/>
      <c r="BK2788" s="1136"/>
      <c r="BL2788" s="1136"/>
      <c r="BM2788" s="1568"/>
    </row>
    <row r="2789" spans="1:65" s="1391" customFormat="1" ht="15.75" x14ac:dyDescent="0.25">
      <c r="A2789" s="1452" t="s">
        <v>3333</v>
      </c>
      <c r="B2789" s="1467" t="e">
        <f>IF(B276=1,B2788,0)</f>
        <v>#VALUE!</v>
      </c>
      <c r="C2789" s="1590"/>
      <c r="D2789" s="1523"/>
      <c r="E2789" s="1523"/>
      <c r="F2789" s="1523"/>
      <c r="G2789" s="1523"/>
      <c r="H2789" s="1531"/>
      <c r="I2789" s="1531"/>
      <c r="J2789" s="1531"/>
      <c r="K2789" s="1531"/>
      <c r="L2789" s="1531"/>
      <c r="M2789" s="1531"/>
      <c r="N2789" s="1531"/>
      <c r="O2789" s="1531"/>
      <c r="P2789" s="1531"/>
      <c r="Q2789" s="1531"/>
      <c r="R2789" s="1531"/>
      <c r="S2789" s="1531"/>
      <c r="T2789" s="1531"/>
      <c r="U2789" s="1531"/>
      <c r="V2789" s="1531"/>
      <c r="W2789" s="1531"/>
      <c r="X2789" s="1531"/>
      <c r="Y2789" s="1531"/>
      <c r="Z2789" s="1531"/>
      <c r="AA2789" s="1531"/>
      <c r="AB2789" s="1531"/>
      <c r="AC2789" s="1531"/>
      <c r="AD2789" s="1531"/>
      <c r="AE2789" s="1531"/>
      <c r="AF2789" s="1531"/>
      <c r="AG2789" s="1531"/>
      <c r="AH2789" s="1531"/>
      <c r="AI2789" s="1531"/>
      <c r="AJ2789" s="1531"/>
      <c r="AK2789" s="1531"/>
      <c r="AL2789" s="1531"/>
      <c r="AM2789" s="1531"/>
      <c r="AN2789" s="1531"/>
      <c r="AO2789" s="1531"/>
      <c r="AP2789" s="1531"/>
      <c r="AQ2789" s="1531"/>
      <c r="AR2789" s="1531"/>
      <c r="AS2789" s="1531"/>
      <c r="AT2789" s="1531"/>
      <c r="AU2789" s="1531"/>
      <c r="AV2789" s="1531"/>
      <c r="AW2789" s="1531"/>
      <c r="AX2789" s="1531"/>
      <c r="AY2789" s="1531"/>
      <c r="AZ2789" s="1531"/>
      <c r="BA2789" s="1136"/>
      <c r="BB2789" s="1136"/>
      <c r="BC2789" s="1136"/>
      <c r="BD2789" s="1136"/>
      <c r="BE2789" s="1136"/>
      <c r="BF2789" s="1136"/>
      <c r="BG2789" s="1136"/>
      <c r="BH2789" s="1136"/>
      <c r="BI2789" s="1136"/>
      <c r="BJ2789" s="1136"/>
      <c r="BK2789" s="1136"/>
      <c r="BL2789" s="1136"/>
      <c r="BM2789" s="1568"/>
    </row>
    <row r="2790" spans="1:65" s="1391" customFormat="1" ht="15.75" x14ac:dyDescent="0.25">
      <c r="A2790" s="1471"/>
      <c r="B2790" s="1573"/>
      <c r="C2790" s="1591"/>
      <c r="D2790" s="1589"/>
      <c r="E2790" s="1589"/>
      <c r="F2790" s="1589"/>
      <c r="G2790" s="1589"/>
      <c r="H2790" s="1531"/>
      <c r="I2790" s="1531"/>
      <c r="J2790" s="1531"/>
      <c r="K2790" s="1531"/>
      <c r="L2790" s="1531"/>
      <c r="M2790" s="1531"/>
      <c r="N2790" s="1531"/>
      <c r="O2790" s="1531"/>
      <c r="P2790" s="1531"/>
      <c r="Q2790" s="1531"/>
      <c r="R2790" s="1531"/>
      <c r="S2790" s="1531"/>
      <c r="T2790" s="1531"/>
      <c r="U2790" s="1531"/>
      <c r="V2790" s="1531"/>
      <c r="W2790" s="1531"/>
      <c r="X2790" s="1531"/>
      <c r="Y2790" s="1531"/>
      <c r="Z2790" s="1531"/>
      <c r="AA2790" s="1531"/>
      <c r="AB2790" s="1531"/>
      <c r="AC2790" s="1531"/>
      <c r="AD2790" s="1531"/>
      <c r="AE2790" s="1531"/>
      <c r="AF2790" s="1531"/>
      <c r="AG2790" s="1531"/>
      <c r="AH2790" s="1531"/>
      <c r="AI2790" s="1531"/>
      <c r="AJ2790" s="1531"/>
      <c r="AK2790" s="1531"/>
      <c r="AL2790" s="1531"/>
      <c r="AM2790" s="1531"/>
      <c r="AN2790" s="1531"/>
      <c r="AO2790" s="1531"/>
      <c r="AP2790" s="1531"/>
      <c r="AQ2790" s="1531"/>
      <c r="AR2790" s="1531"/>
      <c r="AS2790" s="1531"/>
      <c r="AT2790" s="1531"/>
      <c r="AU2790" s="1531"/>
      <c r="AV2790" s="1531"/>
      <c r="AW2790" s="1531"/>
      <c r="AX2790" s="1531"/>
      <c r="AY2790" s="1531"/>
      <c r="AZ2790" s="1531"/>
      <c r="BA2790" s="1136"/>
      <c r="BB2790" s="1136"/>
      <c r="BC2790" s="1136"/>
      <c r="BD2790" s="1136"/>
      <c r="BE2790" s="1136"/>
      <c r="BF2790" s="1136"/>
      <c r="BG2790" s="1136"/>
      <c r="BH2790" s="1136"/>
      <c r="BI2790" s="1136"/>
      <c r="BJ2790" s="1136"/>
      <c r="BK2790" s="1136"/>
      <c r="BL2790" s="1136"/>
      <c r="BM2790" s="1568"/>
    </row>
    <row r="2791" spans="1:65" s="1391" customFormat="1" ht="15.75" x14ac:dyDescent="0.25">
      <c r="A2791" s="1417" t="s">
        <v>2816</v>
      </c>
      <c r="B2791" s="1469">
        <v>3</v>
      </c>
      <c r="C2791" s="1470"/>
      <c r="D2791" s="1589"/>
      <c r="E2791" s="1589"/>
      <c r="F2791" s="1589"/>
      <c r="G2791" s="1589"/>
      <c r="H2791" s="1531"/>
      <c r="I2791" s="1531"/>
      <c r="J2791" s="1531"/>
      <c r="K2791" s="1531"/>
      <c r="L2791" s="1531"/>
      <c r="M2791" s="1531"/>
      <c r="N2791" s="1531"/>
      <c r="O2791" s="1531"/>
      <c r="P2791" s="1531"/>
      <c r="Q2791" s="1531"/>
      <c r="R2791" s="1531"/>
      <c r="S2791" s="1531"/>
      <c r="T2791" s="1531"/>
      <c r="U2791" s="1531"/>
      <c r="V2791" s="1531"/>
      <c r="W2791" s="1531"/>
      <c r="X2791" s="1531"/>
      <c r="Y2791" s="1531"/>
      <c r="Z2791" s="1531"/>
      <c r="AA2791" s="1531"/>
      <c r="AB2791" s="1531"/>
      <c r="AC2791" s="1531"/>
      <c r="AD2791" s="1531"/>
      <c r="AE2791" s="1531"/>
      <c r="AF2791" s="1531"/>
      <c r="AG2791" s="1531"/>
      <c r="AH2791" s="1531"/>
      <c r="AI2791" s="1531"/>
      <c r="AJ2791" s="1531"/>
      <c r="AK2791" s="1531"/>
      <c r="AL2791" s="1531"/>
      <c r="AM2791" s="1531"/>
      <c r="AN2791" s="1531"/>
      <c r="AO2791" s="1531"/>
      <c r="AP2791" s="1531"/>
      <c r="AQ2791" s="1531"/>
      <c r="AR2791" s="1531"/>
      <c r="AS2791" s="1531"/>
      <c r="AT2791" s="1531"/>
      <c r="AU2791" s="1531"/>
      <c r="AV2791" s="1531"/>
      <c r="AW2791" s="1531"/>
      <c r="AX2791" s="1531"/>
      <c r="AY2791" s="1531"/>
      <c r="AZ2791" s="1531"/>
      <c r="BA2791" s="1136"/>
      <c r="BB2791" s="1136"/>
      <c r="BC2791" s="1136"/>
      <c r="BD2791" s="1136"/>
      <c r="BE2791" s="1136"/>
      <c r="BF2791" s="1136"/>
      <c r="BG2791" s="1136"/>
      <c r="BH2791" s="1136"/>
      <c r="BI2791" s="1136"/>
      <c r="BJ2791" s="1136"/>
      <c r="BK2791" s="1136"/>
      <c r="BL2791" s="1136"/>
      <c r="BM2791" s="1568"/>
    </row>
    <row r="2792" spans="1:65" s="1391" customFormat="1" ht="15.75" x14ac:dyDescent="0.25">
      <c r="A2792" s="1592" t="s">
        <v>2817</v>
      </c>
      <c r="B2792" s="1586" t="e">
        <f>B240*B245*B244*B247*B239*B2791/(B241*B281)</f>
        <v>#VALUE!</v>
      </c>
      <c r="C2792" s="1593"/>
      <c r="D2792" s="1589"/>
      <c r="E2792" s="1589"/>
      <c r="F2792" s="1589"/>
      <c r="G2792" s="1589"/>
      <c r="H2792" s="1531"/>
      <c r="I2792" s="1531"/>
      <c r="J2792" s="1531"/>
      <c r="K2792" s="1531"/>
      <c r="L2792" s="1531"/>
      <c r="M2792" s="1531"/>
      <c r="N2792" s="1531"/>
      <c r="O2792" s="1531"/>
      <c r="P2792" s="1531"/>
      <c r="Q2792" s="1531"/>
      <c r="R2792" s="1531"/>
      <c r="S2792" s="1531"/>
      <c r="T2792" s="1531"/>
      <c r="U2792" s="1531"/>
      <c r="V2792" s="1531"/>
      <c r="W2792" s="1531"/>
      <c r="X2792" s="1531"/>
      <c r="Y2792" s="1531"/>
      <c r="Z2792" s="1531"/>
      <c r="AA2792" s="1531"/>
      <c r="AB2792" s="1531"/>
      <c r="AC2792" s="1531"/>
      <c r="AD2792" s="1531"/>
      <c r="AE2792" s="1531"/>
      <c r="AF2792" s="1531"/>
      <c r="AG2792" s="1531"/>
      <c r="AH2792" s="1531"/>
      <c r="AI2792" s="1531"/>
      <c r="AJ2792" s="1531"/>
      <c r="AK2792" s="1531"/>
      <c r="AL2792" s="1531"/>
      <c r="AM2792" s="1531"/>
      <c r="AN2792" s="1531"/>
      <c r="AO2792" s="1531"/>
      <c r="AP2792" s="1531"/>
      <c r="AQ2792" s="1531"/>
      <c r="AR2792" s="1531"/>
      <c r="AS2792" s="1531"/>
      <c r="AT2792" s="1531"/>
      <c r="AU2792" s="1531"/>
      <c r="AV2792" s="1531"/>
      <c r="AW2792" s="1531"/>
      <c r="AX2792" s="1531"/>
      <c r="AY2792" s="1531"/>
      <c r="AZ2792" s="1531"/>
      <c r="BA2792" s="1136"/>
      <c r="BB2792" s="1136"/>
      <c r="BC2792" s="1136"/>
      <c r="BD2792" s="1136"/>
      <c r="BE2792" s="1136"/>
      <c r="BF2792" s="1136"/>
      <c r="BG2792" s="1136"/>
      <c r="BH2792" s="1136"/>
      <c r="BI2792" s="1136"/>
      <c r="BJ2792" s="1136"/>
      <c r="BK2792" s="1136"/>
      <c r="BL2792" s="1136"/>
      <c r="BM2792" s="1568"/>
    </row>
    <row r="2793" spans="1:65" s="1391" customFormat="1" ht="15.75" x14ac:dyDescent="0.25">
      <c r="A2793" s="1580" t="s">
        <v>1896</v>
      </c>
      <c r="B2793" s="1588"/>
      <c r="C2793" s="1593"/>
      <c r="D2793" s="1589"/>
      <c r="E2793" s="1589"/>
      <c r="F2793" s="1589"/>
      <c r="G2793" s="1589"/>
      <c r="H2793" s="1531"/>
      <c r="I2793" s="1531"/>
      <c r="J2793" s="1531"/>
      <c r="K2793" s="1531"/>
      <c r="L2793" s="1531"/>
      <c r="M2793" s="1531"/>
      <c r="N2793" s="1531"/>
      <c r="O2793" s="1531"/>
      <c r="P2793" s="1531"/>
      <c r="Q2793" s="1531"/>
      <c r="R2793" s="1531"/>
      <c r="S2793" s="1531"/>
      <c r="T2793" s="1531"/>
      <c r="U2793" s="1531"/>
      <c r="V2793" s="1531"/>
      <c r="W2793" s="1531"/>
      <c r="X2793" s="1531"/>
      <c r="Y2793" s="1531"/>
      <c r="Z2793" s="1531"/>
      <c r="AA2793" s="1531"/>
      <c r="AB2793" s="1531"/>
      <c r="AC2793" s="1531"/>
      <c r="AD2793" s="1531"/>
      <c r="AE2793" s="1531"/>
      <c r="AF2793" s="1531"/>
      <c r="AG2793" s="1531"/>
      <c r="AH2793" s="1531"/>
      <c r="AI2793" s="1531"/>
      <c r="AJ2793" s="1531"/>
      <c r="AK2793" s="1531"/>
      <c r="AL2793" s="1531"/>
      <c r="AM2793" s="1531"/>
      <c r="AN2793" s="1531"/>
      <c r="AO2793" s="1531"/>
      <c r="AP2793" s="1531"/>
      <c r="AQ2793" s="1531"/>
      <c r="AR2793" s="1531"/>
      <c r="AS2793" s="1531"/>
      <c r="AT2793" s="1531"/>
      <c r="AU2793" s="1531"/>
      <c r="AV2793" s="1531"/>
      <c r="AW2793" s="1531"/>
      <c r="AX2793" s="1531"/>
      <c r="AY2793" s="1531"/>
      <c r="AZ2793" s="1531"/>
      <c r="BA2793" s="1136"/>
      <c r="BB2793" s="1136"/>
      <c r="BC2793" s="1136"/>
      <c r="BD2793" s="1136"/>
      <c r="BE2793" s="1136"/>
      <c r="BF2793" s="1136"/>
      <c r="BG2793" s="1136"/>
      <c r="BH2793" s="1136"/>
      <c r="BI2793" s="1136"/>
      <c r="BJ2793" s="1136"/>
      <c r="BK2793" s="1136"/>
      <c r="BL2793" s="1136"/>
      <c r="BM2793" s="1568"/>
    </row>
    <row r="2794" spans="1:65" s="1391" customFormat="1" ht="15.75" x14ac:dyDescent="0.25">
      <c r="A2794" s="1594" t="s">
        <v>1897</v>
      </c>
      <c r="B2794" s="1588"/>
      <c r="C2794" s="1593"/>
      <c r="D2794" s="1562"/>
      <c r="E2794" s="1562"/>
      <c r="F2794" s="1562"/>
      <c r="G2794" s="1562"/>
      <c r="H2794" s="1531"/>
      <c r="I2794" s="1531"/>
      <c r="J2794" s="1531"/>
      <c r="K2794" s="1531"/>
      <c r="L2794" s="1531"/>
      <c r="M2794" s="1531"/>
      <c r="N2794" s="1531"/>
      <c r="O2794" s="1531"/>
      <c r="P2794" s="1531"/>
      <c r="Q2794" s="1531"/>
      <c r="R2794" s="1531"/>
      <c r="S2794" s="1531"/>
      <c r="T2794" s="1531"/>
      <c r="U2794" s="1531"/>
      <c r="V2794" s="1531"/>
      <c r="W2794" s="1531"/>
      <c r="X2794" s="1531"/>
      <c r="Y2794" s="1531"/>
      <c r="Z2794" s="1531"/>
      <c r="AA2794" s="1531"/>
      <c r="AB2794" s="1531"/>
      <c r="AC2794" s="1531"/>
      <c r="AD2794" s="1531"/>
      <c r="AE2794" s="1531"/>
      <c r="AF2794" s="1531"/>
      <c r="AG2794" s="1531"/>
      <c r="AH2794" s="1531"/>
      <c r="AI2794" s="1531"/>
      <c r="AJ2794" s="1531"/>
      <c r="AK2794" s="1531"/>
      <c r="AL2794" s="1531"/>
      <c r="AM2794" s="1531"/>
      <c r="AN2794" s="1531"/>
      <c r="AO2794" s="1531"/>
      <c r="AP2794" s="1531"/>
      <c r="AQ2794" s="1531"/>
      <c r="AR2794" s="1531"/>
      <c r="AS2794" s="1531"/>
      <c r="AT2794" s="1531"/>
      <c r="AU2794" s="1531"/>
      <c r="AV2794" s="1531"/>
      <c r="AW2794" s="1531"/>
      <c r="AX2794" s="1531"/>
      <c r="AY2794" s="1531"/>
      <c r="AZ2794" s="1531"/>
      <c r="BA2794" s="1136"/>
      <c r="BB2794" s="1136"/>
      <c r="BC2794" s="1136"/>
      <c r="BD2794" s="1136"/>
      <c r="BE2794" s="1136"/>
      <c r="BF2794" s="1136"/>
      <c r="BG2794" s="1136"/>
      <c r="BH2794" s="1136"/>
      <c r="BI2794" s="1136"/>
      <c r="BJ2794" s="1136"/>
      <c r="BK2794" s="1136"/>
      <c r="BL2794" s="1136"/>
      <c r="BM2794" s="1568"/>
    </row>
    <row r="2795" spans="1:65" s="1391" customFormat="1" ht="15.75" x14ac:dyDescent="0.25">
      <c r="A2795" s="1456" t="s">
        <v>1898</v>
      </c>
      <c r="B2795" s="1441">
        <f>(CEILING((B278+B279/(B2617-B2390)),1))*B2388*4</f>
        <v>16</v>
      </c>
      <c r="C2795" s="1434"/>
      <c r="D2795" s="1521"/>
      <c r="E2795" s="1521"/>
      <c r="F2795" s="1521"/>
      <c r="G2795" s="1521"/>
      <c r="H2795" s="1531"/>
      <c r="I2795" s="1531"/>
      <c r="J2795" s="1531"/>
      <c r="K2795" s="1531"/>
      <c r="L2795" s="1531"/>
      <c r="M2795" s="1531"/>
      <c r="N2795" s="1531"/>
      <c r="O2795" s="1531"/>
      <c r="P2795" s="1531"/>
      <c r="Q2795" s="1531"/>
      <c r="R2795" s="1531"/>
      <c r="S2795" s="1531"/>
      <c r="T2795" s="1531"/>
      <c r="U2795" s="1531"/>
      <c r="V2795" s="1531"/>
      <c r="W2795" s="1531"/>
      <c r="X2795" s="1531"/>
      <c r="Y2795" s="1531"/>
      <c r="Z2795" s="1531"/>
      <c r="AA2795" s="1531"/>
      <c r="AB2795" s="1531"/>
      <c r="AC2795" s="1531"/>
      <c r="AD2795" s="1531"/>
      <c r="AE2795" s="1531"/>
      <c r="AF2795" s="1531"/>
      <c r="AG2795" s="1531"/>
      <c r="AH2795" s="1531"/>
      <c r="AI2795" s="1531"/>
      <c r="AJ2795" s="1531"/>
      <c r="AK2795" s="1531"/>
      <c r="AL2795" s="1531"/>
      <c r="AM2795" s="1531"/>
      <c r="AN2795" s="1531"/>
      <c r="AO2795" s="1531"/>
      <c r="AP2795" s="1531"/>
      <c r="AQ2795" s="1531"/>
      <c r="AR2795" s="1531"/>
      <c r="AS2795" s="1531"/>
      <c r="AT2795" s="1531"/>
      <c r="AU2795" s="1531"/>
      <c r="AV2795" s="1531"/>
      <c r="AW2795" s="1531"/>
      <c r="AX2795" s="1531"/>
      <c r="AY2795" s="1531"/>
      <c r="AZ2795" s="1531"/>
      <c r="BA2795" s="1136"/>
      <c r="BB2795" s="1136"/>
      <c r="BC2795" s="1136"/>
      <c r="BD2795" s="1136"/>
      <c r="BE2795" s="1136"/>
      <c r="BF2795" s="1136"/>
      <c r="BG2795" s="1136"/>
      <c r="BH2795" s="1136"/>
      <c r="BI2795" s="1136"/>
      <c r="BJ2795" s="1136"/>
      <c r="BK2795" s="1136"/>
      <c r="BL2795" s="1136"/>
      <c r="BM2795" s="1568"/>
    </row>
    <row r="2796" spans="1:65" s="1391" customFormat="1" ht="15.75" x14ac:dyDescent="0.25">
      <c r="A2796" s="1417" t="s">
        <v>1899</v>
      </c>
      <c r="B2796" s="1421" t="e">
        <f>ROUNDUP(((B278+B279)/B2699),0)*B2389</f>
        <v>#DIV/0!</v>
      </c>
      <c r="C2796" s="1416"/>
      <c r="D2796" s="1590"/>
      <c r="E2796" s="1590"/>
      <c r="F2796" s="1590"/>
      <c r="G2796" s="1590"/>
      <c r="H2796" s="1531"/>
      <c r="I2796" s="1531"/>
      <c r="J2796" s="1531"/>
      <c r="K2796" s="1531"/>
      <c r="L2796" s="1531"/>
      <c r="M2796" s="1531"/>
      <c r="N2796" s="1531"/>
      <c r="O2796" s="1531"/>
      <c r="P2796" s="1531"/>
      <c r="Q2796" s="1531"/>
      <c r="R2796" s="1531"/>
      <c r="S2796" s="1531"/>
      <c r="T2796" s="1531"/>
      <c r="U2796" s="1531"/>
      <c r="V2796" s="1531"/>
      <c r="W2796" s="1531"/>
      <c r="X2796" s="1531"/>
      <c r="Y2796" s="1531"/>
      <c r="Z2796" s="1531"/>
      <c r="AA2796" s="1531"/>
      <c r="AB2796" s="1531"/>
      <c r="AC2796" s="1531"/>
      <c r="AD2796" s="1531"/>
      <c r="AE2796" s="1531"/>
      <c r="AF2796" s="1531"/>
      <c r="AG2796" s="1531"/>
      <c r="AH2796" s="1531"/>
      <c r="AI2796" s="1531"/>
      <c r="AJ2796" s="1531"/>
      <c r="AK2796" s="1531"/>
      <c r="AL2796" s="1531"/>
      <c r="AM2796" s="1531"/>
      <c r="AN2796" s="1531"/>
      <c r="AO2796" s="1531"/>
      <c r="AP2796" s="1531"/>
      <c r="AQ2796" s="1531"/>
      <c r="AR2796" s="1531"/>
      <c r="AS2796" s="1531"/>
      <c r="AT2796" s="1531"/>
      <c r="AU2796" s="1531"/>
      <c r="AV2796" s="1531"/>
      <c r="AW2796" s="1531"/>
      <c r="AX2796" s="1531"/>
      <c r="AY2796" s="1531"/>
      <c r="AZ2796" s="1531"/>
      <c r="BA2796" s="1136"/>
      <c r="BB2796" s="1136"/>
      <c r="BC2796" s="1136"/>
      <c r="BD2796" s="1136"/>
      <c r="BE2796" s="1136"/>
      <c r="BF2796" s="1136"/>
      <c r="BG2796" s="1136"/>
      <c r="BH2796" s="1136"/>
      <c r="BI2796" s="1136"/>
      <c r="BJ2796" s="1136"/>
      <c r="BK2796" s="1136"/>
      <c r="BL2796" s="1136"/>
      <c r="BM2796" s="1568"/>
    </row>
    <row r="2797" spans="1:65" s="1391" customFormat="1" ht="15.75" x14ac:dyDescent="0.25">
      <c r="A2797" s="1430" t="s">
        <v>1900</v>
      </c>
      <c r="B2797" s="1588" t="e">
        <f>(B2795+B2796)*B2792/100</f>
        <v>#DIV/0!</v>
      </c>
      <c r="C2797" s="1593"/>
      <c r="D2797" s="1350"/>
      <c r="E2797" s="1350"/>
      <c r="F2797" s="1350"/>
      <c r="G2797" s="1350"/>
      <c r="H2797" s="1350"/>
      <c r="I2797" s="1350"/>
      <c r="J2797" s="1350"/>
      <c r="K2797" s="1350"/>
      <c r="L2797" s="1350"/>
      <c r="M2797" s="1350"/>
      <c r="N2797" s="1350"/>
      <c r="O2797" s="1350"/>
      <c r="P2797" s="1531"/>
      <c r="Q2797" s="1531"/>
      <c r="R2797" s="1531"/>
      <c r="S2797" s="1531"/>
      <c r="T2797" s="1531"/>
      <c r="U2797" s="1531"/>
      <c r="V2797" s="1531"/>
      <c r="W2797" s="1531"/>
      <c r="X2797" s="1531"/>
      <c r="Y2797" s="1531"/>
      <c r="Z2797" s="1531"/>
      <c r="AA2797" s="1531"/>
      <c r="AB2797" s="1531"/>
      <c r="AC2797" s="1531"/>
      <c r="AD2797" s="1531"/>
      <c r="AE2797" s="1531"/>
      <c r="AF2797" s="1531"/>
      <c r="AG2797" s="1531"/>
      <c r="AH2797" s="1531"/>
      <c r="AI2797" s="1531"/>
      <c r="AJ2797" s="1531"/>
      <c r="AK2797" s="1531"/>
      <c r="AL2797" s="1531"/>
      <c r="AM2797" s="1531"/>
      <c r="AN2797" s="1531"/>
      <c r="AO2797" s="1531"/>
      <c r="AP2797" s="1531"/>
      <c r="AQ2797" s="1531"/>
      <c r="AR2797" s="1531"/>
      <c r="AS2797" s="1531"/>
      <c r="AT2797" s="1531"/>
      <c r="AU2797" s="1531"/>
      <c r="AV2797" s="1531"/>
      <c r="AW2797" s="1531"/>
      <c r="AX2797" s="1531"/>
      <c r="AY2797" s="1531"/>
      <c r="AZ2797" s="1531"/>
      <c r="BA2797" s="1136"/>
      <c r="BB2797" s="1136"/>
      <c r="BC2797" s="1136"/>
      <c r="BD2797" s="1136"/>
      <c r="BE2797" s="1136"/>
      <c r="BF2797" s="1136"/>
      <c r="BG2797" s="1136"/>
      <c r="BH2797" s="1136"/>
      <c r="BI2797" s="1136"/>
      <c r="BJ2797" s="1136"/>
      <c r="BK2797" s="1136"/>
      <c r="BL2797" s="1136"/>
      <c r="BM2797" s="1568"/>
    </row>
    <row r="2798" spans="1:65" s="1391" customFormat="1" ht="15.75" x14ac:dyDescent="0.25">
      <c r="A2798" s="1456" t="s">
        <v>1901</v>
      </c>
      <c r="B2798" s="1469">
        <v>800</v>
      </c>
      <c r="C2798" s="1470"/>
      <c r="D2798" s="1470"/>
      <c r="E2798" s="1470"/>
      <c r="F2798" s="1470"/>
      <c r="G2798" s="1470"/>
      <c r="H2798" s="1350"/>
      <c r="I2798" s="1350"/>
      <c r="J2798" s="1350"/>
      <c r="K2798" s="1350"/>
      <c r="L2798" s="1350"/>
      <c r="M2798" s="1350"/>
      <c r="N2798" s="1350"/>
      <c r="O2798" s="1350"/>
      <c r="P2798" s="1531"/>
      <c r="Q2798" s="1531"/>
      <c r="R2798" s="1531"/>
      <c r="S2798" s="1531"/>
      <c r="T2798" s="1531"/>
      <c r="U2798" s="1531"/>
      <c r="V2798" s="1531"/>
      <c r="W2798" s="1531"/>
      <c r="X2798" s="1531"/>
      <c r="Y2798" s="1531"/>
      <c r="Z2798" s="1531"/>
      <c r="AA2798" s="1531"/>
      <c r="AB2798" s="1531"/>
      <c r="AC2798" s="1531"/>
      <c r="AD2798" s="1531"/>
      <c r="AE2798" s="1531"/>
      <c r="AF2798" s="1531"/>
      <c r="AG2798" s="1531"/>
      <c r="AH2798" s="1531"/>
      <c r="AI2798" s="1531"/>
      <c r="AJ2798" s="1531"/>
      <c r="AK2798" s="1531"/>
      <c r="AL2798" s="1531"/>
      <c r="AM2798" s="1531"/>
      <c r="AN2798" s="1531"/>
      <c r="AO2798" s="1531"/>
      <c r="AP2798" s="1531"/>
      <c r="AQ2798" s="1531"/>
      <c r="AR2798" s="1531"/>
      <c r="AS2798" s="1531"/>
      <c r="AT2798" s="1531"/>
      <c r="AU2798" s="1531"/>
      <c r="AV2798" s="1531"/>
      <c r="AW2798" s="1531"/>
      <c r="AX2798" s="1531"/>
      <c r="AY2798" s="1531"/>
      <c r="AZ2798" s="1531"/>
      <c r="BA2798" s="1136"/>
      <c r="BB2798" s="1136"/>
      <c r="BC2798" s="1136"/>
      <c r="BD2798" s="1136"/>
      <c r="BE2798" s="1136"/>
      <c r="BF2798" s="1136"/>
      <c r="BG2798" s="1136"/>
      <c r="BH2798" s="1136"/>
      <c r="BI2798" s="1136"/>
      <c r="BJ2798" s="1136"/>
      <c r="BK2798" s="1136"/>
      <c r="BL2798" s="1136"/>
      <c r="BM2798" s="1568"/>
    </row>
    <row r="2799" spans="1:65" s="1391" customFormat="1" ht="15.75" x14ac:dyDescent="0.25">
      <c r="A2799" s="1430" t="s">
        <v>1902</v>
      </c>
      <c r="B2799" s="1433" t="e">
        <f>B2797*B2798</f>
        <v>#DIV/0!</v>
      </c>
      <c r="C2799" s="1437"/>
      <c r="D2799" s="1593"/>
      <c r="E2799" s="1593"/>
      <c r="F2799" s="1593"/>
      <c r="G2799" s="1593"/>
      <c r="H2799" s="1350"/>
      <c r="I2799" s="1350"/>
      <c r="J2799" s="1350"/>
      <c r="K2799" s="1350"/>
      <c r="L2799" s="1350"/>
      <c r="M2799" s="1350"/>
      <c r="N2799" s="1350"/>
      <c r="O2799" s="1350"/>
      <c r="P2799" s="1531"/>
      <c r="Q2799" s="1531"/>
      <c r="R2799" s="1531"/>
      <c r="S2799" s="1531"/>
      <c r="T2799" s="1531"/>
      <c r="U2799" s="1531"/>
      <c r="V2799" s="1531"/>
      <c r="W2799" s="1531"/>
      <c r="X2799" s="1531"/>
      <c r="Y2799" s="1531"/>
      <c r="Z2799" s="1531"/>
      <c r="AA2799" s="1531"/>
      <c r="AB2799" s="1531"/>
      <c r="AC2799" s="1531"/>
      <c r="AD2799" s="1531"/>
      <c r="AE2799" s="1531"/>
      <c r="AF2799" s="1531"/>
      <c r="AG2799" s="1531"/>
      <c r="AH2799" s="1531"/>
      <c r="AI2799" s="1531"/>
      <c r="AJ2799" s="1531"/>
      <c r="AK2799" s="1531"/>
      <c r="AL2799" s="1531"/>
      <c r="AM2799" s="1531"/>
      <c r="AN2799" s="1531"/>
      <c r="AO2799" s="1531"/>
      <c r="AP2799" s="1531"/>
      <c r="AQ2799" s="1531"/>
      <c r="AR2799" s="1531"/>
      <c r="AS2799" s="1531"/>
      <c r="AT2799" s="1531"/>
      <c r="AU2799" s="1531"/>
      <c r="AV2799" s="1531"/>
      <c r="AW2799" s="1531"/>
      <c r="AX2799" s="1531"/>
      <c r="AY2799" s="1531"/>
      <c r="AZ2799" s="1531"/>
      <c r="BA2799" s="1136"/>
      <c r="BB2799" s="1136"/>
      <c r="BC2799" s="1136"/>
      <c r="BD2799" s="1136"/>
      <c r="BE2799" s="1136"/>
      <c r="BF2799" s="1136"/>
      <c r="BG2799" s="1136"/>
      <c r="BH2799" s="1136"/>
      <c r="BI2799" s="1136"/>
      <c r="BJ2799" s="1136"/>
      <c r="BK2799" s="1136"/>
      <c r="BL2799" s="1136"/>
      <c r="BM2799" s="1568"/>
    </row>
    <row r="2800" spans="1:65" s="1391" customFormat="1" ht="15.75" x14ac:dyDescent="0.25">
      <c r="A2800" s="1595" t="s">
        <v>1903</v>
      </c>
      <c r="B2800" s="1415"/>
      <c r="C2800" s="1531"/>
      <c r="D2800" s="1350"/>
      <c r="E2800" s="1350"/>
      <c r="F2800" s="1350"/>
      <c r="G2800" s="1350"/>
      <c r="H2800" s="1350"/>
      <c r="I2800" s="1350"/>
      <c r="J2800" s="1350"/>
      <c r="K2800" s="1350"/>
      <c r="L2800" s="1350"/>
      <c r="M2800" s="1350"/>
      <c r="N2800" s="1350"/>
      <c r="O2800" s="1350"/>
      <c r="P2800" s="1531"/>
      <c r="Q2800" s="1531"/>
      <c r="R2800" s="1531"/>
      <c r="S2800" s="1531"/>
      <c r="T2800" s="1531"/>
      <c r="U2800" s="1531"/>
      <c r="V2800" s="1531"/>
      <c r="W2800" s="1531"/>
      <c r="X2800" s="1531"/>
      <c r="Y2800" s="1531"/>
      <c r="Z2800" s="1531"/>
      <c r="AA2800" s="1531"/>
      <c r="AB2800" s="1531"/>
      <c r="AC2800" s="1531"/>
      <c r="AD2800" s="1531"/>
      <c r="AE2800" s="1531"/>
      <c r="AF2800" s="1531"/>
      <c r="AG2800" s="1531"/>
      <c r="AH2800" s="1531"/>
      <c r="AI2800" s="1531"/>
      <c r="AJ2800" s="1531"/>
      <c r="AK2800" s="1531"/>
      <c r="AL2800" s="1531"/>
      <c r="AM2800" s="1531"/>
      <c r="AN2800" s="1531"/>
      <c r="AO2800" s="1531"/>
      <c r="AP2800" s="1531"/>
      <c r="AQ2800" s="1531"/>
      <c r="AR2800" s="1531"/>
      <c r="AS2800" s="1531"/>
      <c r="AT2800" s="1531"/>
      <c r="AU2800" s="1531"/>
      <c r="AV2800" s="1531"/>
      <c r="AW2800" s="1531"/>
      <c r="AX2800" s="1531"/>
      <c r="AY2800" s="1531"/>
      <c r="AZ2800" s="1531"/>
      <c r="BA2800" s="1136"/>
      <c r="BB2800" s="1136"/>
      <c r="BC2800" s="1136"/>
      <c r="BD2800" s="1136"/>
      <c r="BE2800" s="1136"/>
      <c r="BF2800" s="1136"/>
      <c r="BG2800" s="1136"/>
      <c r="BH2800" s="1136"/>
      <c r="BI2800" s="1136"/>
      <c r="BJ2800" s="1136"/>
      <c r="BK2800" s="1136"/>
      <c r="BL2800" s="1136"/>
      <c r="BM2800" s="1568"/>
    </row>
    <row r="2801" spans="1:65" s="1391" customFormat="1" ht="15.75" x14ac:dyDescent="0.25">
      <c r="A2801" s="1456" t="s">
        <v>1904</v>
      </c>
      <c r="B2801" s="1441">
        <f>B2795</f>
        <v>16</v>
      </c>
      <c r="C2801" s="1596"/>
      <c r="D2801" s="1350"/>
      <c r="E2801" s="1350"/>
      <c r="F2801" s="1350"/>
      <c r="G2801" s="1350"/>
      <c r="H2801" s="1350"/>
      <c r="I2801" s="1350"/>
      <c r="J2801" s="1350"/>
      <c r="K2801" s="1350"/>
      <c r="L2801" s="1350"/>
      <c r="M2801" s="1350"/>
      <c r="N2801" s="1350"/>
      <c r="O2801" s="1350"/>
      <c r="P2801" s="1531"/>
      <c r="Q2801" s="1531"/>
      <c r="R2801" s="1531"/>
      <c r="S2801" s="1531"/>
      <c r="T2801" s="1531"/>
      <c r="U2801" s="1531"/>
      <c r="V2801" s="1531"/>
      <c r="W2801" s="1531"/>
      <c r="X2801" s="1531"/>
      <c r="Y2801" s="1531"/>
      <c r="Z2801" s="1531"/>
      <c r="AA2801" s="1531"/>
      <c r="AB2801" s="1531"/>
      <c r="AC2801" s="1531"/>
      <c r="AD2801" s="1531"/>
      <c r="AE2801" s="1531"/>
      <c r="AF2801" s="1531"/>
      <c r="AG2801" s="1531"/>
      <c r="AH2801" s="1531"/>
      <c r="AI2801" s="1531"/>
      <c r="AJ2801" s="1531"/>
      <c r="AK2801" s="1531"/>
      <c r="AL2801" s="1531"/>
      <c r="AM2801" s="1531"/>
      <c r="AN2801" s="1531"/>
      <c r="AO2801" s="1531"/>
      <c r="AP2801" s="1531"/>
      <c r="AQ2801" s="1531"/>
      <c r="AR2801" s="1531"/>
      <c r="AS2801" s="1531"/>
      <c r="AT2801" s="1531"/>
      <c r="AU2801" s="1531"/>
      <c r="AV2801" s="1531"/>
      <c r="AW2801" s="1531"/>
      <c r="AX2801" s="1531"/>
      <c r="AY2801" s="1531"/>
      <c r="AZ2801" s="1531"/>
      <c r="BA2801" s="1136"/>
      <c r="BB2801" s="1136"/>
      <c r="BC2801" s="1136"/>
      <c r="BD2801" s="1136"/>
      <c r="BE2801" s="1136"/>
      <c r="BF2801" s="1136"/>
      <c r="BG2801" s="1136"/>
      <c r="BH2801" s="1136"/>
      <c r="BI2801" s="1136"/>
      <c r="BJ2801" s="1136"/>
      <c r="BK2801" s="1136"/>
      <c r="BL2801" s="1136"/>
      <c r="BM2801" s="1568"/>
    </row>
    <row r="2802" spans="1:65" s="1391" customFormat="1" ht="15.75" x14ac:dyDescent="0.25">
      <c r="A2802" s="1417" t="s">
        <v>1899</v>
      </c>
      <c r="B2802" s="1441" t="e">
        <f>CEILING(((((B278+B279)/B261)+1)*B2389),1)</f>
        <v>#VALUE!</v>
      </c>
      <c r="C2802" s="1596"/>
      <c r="D2802" s="1434"/>
      <c r="E2802" s="1434"/>
      <c r="F2802" s="1434"/>
      <c r="G2802" s="1434"/>
      <c r="H2802" s="1350"/>
      <c r="I2802" s="1350"/>
      <c r="J2802" s="1350"/>
      <c r="K2802" s="1350"/>
      <c r="L2802" s="1350"/>
      <c r="M2802" s="1350"/>
      <c r="N2802" s="1350"/>
      <c r="O2802" s="1350"/>
      <c r="P2802" s="1531"/>
      <c r="Q2802" s="1531"/>
      <c r="R2802" s="1531"/>
      <c r="S2802" s="1531"/>
      <c r="T2802" s="1531"/>
      <c r="U2802" s="1531"/>
      <c r="V2802" s="1531"/>
      <c r="W2802" s="1531"/>
      <c r="X2802" s="1531"/>
      <c r="Y2802" s="1531"/>
      <c r="Z2802" s="1531"/>
      <c r="AA2802" s="1531"/>
      <c r="AB2802" s="1531"/>
      <c r="AC2802" s="1531"/>
      <c r="AD2802" s="1531"/>
      <c r="AE2802" s="1531"/>
      <c r="AF2802" s="1531"/>
      <c r="AG2802" s="1531"/>
      <c r="AH2802" s="1531"/>
      <c r="AI2802" s="1531"/>
      <c r="AJ2802" s="1531"/>
      <c r="AK2802" s="1531"/>
      <c r="AL2802" s="1531"/>
      <c r="AM2802" s="1531"/>
      <c r="AN2802" s="1531"/>
      <c r="AO2802" s="1531"/>
      <c r="AP2802" s="1531"/>
      <c r="AQ2802" s="1531"/>
      <c r="AR2802" s="1531"/>
      <c r="AS2802" s="1531"/>
      <c r="AT2802" s="1531"/>
      <c r="AU2802" s="1531"/>
      <c r="AV2802" s="1531"/>
      <c r="AW2802" s="1531"/>
      <c r="AX2802" s="1531"/>
      <c r="AY2802" s="1531"/>
      <c r="AZ2802" s="1531"/>
      <c r="BA2802" s="1136"/>
      <c r="BB2802" s="1136"/>
      <c r="BC2802" s="1136"/>
      <c r="BD2802" s="1136"/>
      <c r="BE2802" s="1136"/>
      <c r="BF2802" s="1136"/>
      <c r="BG2802" s="1136"/>
      <c r="BH2802" s="1136"/>
      <c r="BI2802" s="1136"/>
      <c r="BJ2802" s="1136"/>
      <c r="BK2802" s="1136"/>
      <c r="BL2802" s="1136"/>
      <c r="BM2802" s="1568"/>
    </row>
    <row r="2803" spans="1:65" s="1391" customFormat="1" ht="15.75" x14ac:dyDescent="0.25">
      <c r="A2803" s="1430" t="s">
        <v>1900</v>
      </c>
      <c r="B2803" s="1588" t="e">
        <f>(B2801+B2802)*B2792/100</f>
        <v>#VALUE!</v>
      </c>
      <c r="C2803" s="1589"/>
      <c r="D2803" s="1416"/>
      <c r="E2803" s="1416"/>
      <c r="F2803" s="1416"/>
      <c r="G2803" s="1416"/>
      <c r="H2803" s="1350"/>
      <c r="I2803" s="1350"/>
      <c r="J2803" s="1350"/>
      <c r="K2803" s="1350"/>
      <c r="L2803" s="1350"/>
      <c r="M2803" s="1350"/>
      <c r="N2803" s="1350"/>
      <c r="O2803" s="1350"/>
      <c r="P2803" s="1531"/>
      <c r="Q2803" s="1531"/>
      <c r="R2803" s="1531"/>
      <c r="S2803" s="1531"/>
      <c r="T2803" s="1531"/>
      <c r="U2803" s="1531"/>
      <c r="V2803" s="1531"/>
      <c r="W2803" s="1531"/>
      <c r="X2803" s="1531"/>
      <c r="Y2803" s="1531"/>
      <c r="Z2803" s="1531"/>
      <c r="AA2803" s="1531"/>
      <c r="AB2803" s="1531"/>
      <c r="AC2803" s="1531"/>
      <c r="AD2803" s="1531"/>
      <c r="AE2803" s="1531"/>
      <c r="AF2803" s="1531"/>
      <c r="AG2803" s="1531"/>
      <c r="AH2803" s="1531"/>
      <c r="AI2803" s="1531"/>
      <c r="AJ2803" s="1531"/>
      <c r="AK2803" s="1531"/>
      <c r="AL2803" s="1531"/>
      <c r="AM2803" s="1531"/>
      <c r="AN2803" s="1531"/>
      <c r="AO2803" s="1531"/>
      <c r="AP2803" s="1531"/>
      <c r="AQ2803" s="1531"/>
      <c r="AR2803" s="1531"/>
      <c r="AS2803" s="1531"/>
      <c r="AT2803" s="1531"/>
      <c r="AU2803" s="1531"/>
      <c r="AV2803" s="1531"/>
      <c r="AW2803" s="1531"/>
      <c r="AX2803" s="1531"/>
      <c r="AY2803" s="1531"/>
      <c r="AZ2803" s="1531"/>
      <c r="BA2803" s="1136"/>
      <c r="BB2803" s="1136"/>
      <c r="BC2803" s="1136"/>
      <c r="BD2803" s="1136"/>
      <c r="BE2803" s="1136"/>
      <c r="BF2803" s="1136"/>
      <c r="BG2803" s="1136"/>
      <c r="BH2803" s="1136"/>
      <c r="BI2803" s="1136"/>
      <c r="BJ2803" s="1136"/>
      <c r="BK2803" s="1136"/>
      <c r="BL2803" s="1136"/>
      <c r="BM2803" s="1568"/>
    </row>
    <row r="2804" spans="1:65" s="1391" customFormat="1" ht="15.75" x14ac:dyDescent="0.25">
      <c r="A2804" s="1430" t="s">
        <v>4306</v>
      </c>
      <c r="B2804" s="1588" t="e">
        <f>B2803*B2798</f>
        <v>#VALUE!</v>
      </c>
      <c r="C2804" s="1593"/>
      <c r="D2804" s="1593"/>
      <c r="E2804" s="1593"/>
      <c r="F2804" s="1593"/>
      <c r="G2804" s="1593"/>
      <c r="H2804" s="1350"/>
      <c r="I2804" s="1350"/>
      <c r="J2804" s="1350"/>
      <c r="K2804" s="1350"/>
      <c r="L2804" s="1350"/>
      <c r="M2804" s="1350"/>
      <c r="N2804" s="1350"/>
      <c r="O2804" s="1350"/>
      <c r="P2804" s="1531"/>
      <c r="Q2804" s="1531"/>
      <c r="R2804" s="1531"/>
      <c r="S2804" s="1531"/>
      <c r="T2804" s="1531"/>
      <c r="U2804" s="1531"/>
      <c r="V2804" s="1531"/>
      <c r="W2804" s="1531"/>
      <c r="X2804" s="1531"/>
      <c r="Y2804" s="1531"/>
      <c r="Z2804" s="1531"/>
      <c r="AA2804" s="1531"/>
      <c r="AB2804" s="1531"/>
      <c r="AC2804" s="1531"/>
      <c r="AD2804" s="1531"/>
      <c r="AE2804" s="1531"/>
      <c r="AF2804" s="1531"/>
      <c r="AG2804" s="1531"/>
      <c r="AH2804" s="1531"/>
      <c r="AI2804" s="1531"/>
      <c r="AJ2804" s="1531"/>
      <c r="AK2804" s="1531"/>
      <c r="AL2804" s="1531"/>
      <c r="AM2804" s="1531"/>
      <c r="AN2804" s="1531"/>
      <c r="AO2804" s="1531"/>
      <c r="AP2804" s="1531"/>
      <c r="AQ2804" s="1531"/>
      <c r="AR2804" s="1531"/>
      <c r="AS2804" s="1531"/>
      <c r="AT2804" s="1531"/>
      <c r="AU2804" s="1531"/>
      <c r="AV2804" s="1531"/>
      <c r="AW2804" s="1531"/>
      <c r="AX2804" s="1531"/>
      <c r="AY2804" s="1531"/>
      <c r="AZ2804" s="1531"/>
      <c r="BA2804" s="1136"/>
      <c r="BB2804" s="1136"/>
      <c r="BC2804" s="1136"/>
      <c r="BD2804" s="1136"/>
      <c r="BE2804" s="1136"/>
      <c r="BF2804" s="1136"/>
      <c r="BG2804" s="1136"/>
      <c r="BH2804" s="1136"/>
      <c r="BI2804" s="1136"/>
      <c r="BJ2804" s="1136"/>
      <c r="BK2804" s="1136"/>
      <c r="BL2804" s="1136"/>
      <c r="BM2804" s="1568"/>
    </row>
    <row r="2805" spans="1:65" s="1391" customFormat="1" ht="15.75" x14ac:dyDescent="0.25">
      <c r="A2805" s="1466" t="s">
        <v>4307</v>
      </c>
      <c r="B2805" s="1467" t="e">
        <f>IF(B276=0,B2799,B2804)</f>
        <v>#VALUE!</v>
      </c>
      <c r="C2805" s="1468"/>
      <c r="D2805" s="1470"/>
      <c r="E2805" s="1470"/>
      <c r="F2805" s="1470"/>
      <c r="G2805" s="1470"/>
      <c r="H2805" s="1349"/>
      <c r="I2805" s="1350"/>
      <c r="J2805" s="1350"/>
      <c r="K2805" s="1350"/>
      <c r="L2805" s="1350"/>
      <c r="M2805" s="1350"/>
      <c r="N2805" s="1350"/>
      <c r="O2805" s="1350"/>
      <c r="P2805" s="1531"/>
      <c r="Q2805" s="1531"/>
      <c r="R2805" s="1531"/>
      <c r="S2805" s="1531"/>
      <c r="T2805" s="1531"/>
      <c r="U2805" s="1531"/>
      <c r="V2805" s="1531"/>
      <c r="W2805" s="1531"/>
      <c r="X2805" s="1531"/>
      <c r="Y2805" s="1531"/>
      <c r="Z2805" s="1531"/>
      <c r="AA2805" s="1531"/>
      <c r="AB2805" s="1531"/>
      <c r="AC2805" s="1531"/>
      <c r="AD2805" s="1531"/>
      <c r="AE2805" s="1531"/>
      <c r="AF2805" s="1531"/>
      <c r="AG2805" s="1531"/>
      <c r="AH2805" s="1531"/>
      <c r="AI2805" s="1531"/>
      <c r="AJ2805" s="1531"/>
      <c r="AK2805" s="1531"/>
      <c r="AL2805" s="1531"/>
      <c r="AM2805" s="1531"/>
      <c r="AN2805" s="1531"/>
      <c r="AO2805" s="1531"/>
      <c r="AP2805" s="1531"/>
      <c r="AQ2805" s="1531"/>
      <c r="AR2805" s="1531"/>
      <c r="AS2805" s="1531"/>
      <c r="AT2805" s="1531"/>
      <c r="AU2805" s="1531"/>
      <c r="AV2805" s="1531"/>
      <c r="AW2805" s="1531"/>
      <c r="AX2805" s="1531"/>
      <c r="AY2805" s="1531"/>
      <c r="AZ2805" s="1531"/>
      <c r="BA2805" s="1136"/>
      <c r="BB2805" s="1136"/>
      <c r="BC2805" s="1136"/>
      <c r="BD2805" s="1136"/>
      <c r="BE2805" s="1136"/>
      <c r="BF2805" s="1136"/>
      <c r="BG2805" s="1136"/>
      <c r="BH2805" s="1136"/>
      <c r="BI2805" s="1136"/>
      <c r="BJ2805" s="1136"/>
      <c r="BK2805" s="1136"/>
      <c r="BL2805" s="1136"/>
      <c r="BM2805" s="1568"/>
    </row>
    <row r="2806" spans="1:65" s="1391" customFormat="1" ht="15.75" x14ac:dyDescent="0.25">
      <c r="A2806" s="1417"/>
      <c r="B2806" s="1421"/>
      <c r="C2806" s="1416"/>
      <c r="D2806" s="1437"/>
      <c r="E2806" s="1437"/>
      <c r="F2806" s="1437"/>
      <c r="G2806" s="1437"/>
      <c r="H2806" s="1350"/>
      <c r="I2806" s="1350"/>
      <c r="J2806" s="1350"/>
      <c r="K2806" s="1350"/>
      <c r="L2806" s="1350"/>
      <c r="M2806" s="1350"/>
      <c r="N2806" s="1350"/>
      <c r="O2806" s="1350"/>
      <c r="P2806" s="1531"/>
      <c r="Q2806" s="1531"/>
      <c r="R2806" s="1531"/>
      <c r="S2806" s="1531"/>
      <c r="T2806" s="1531"/>
      <c r="U2806" s="1531"/>
      <c r="V2806" s="1531"/>
      <c r="W2806" s="1531"/>
      <c r="X2806" s="1531"/>
      <c r="Y2806" s="1531"/>
      <c r="Z2806" s="1531"/>
      <c r="AA2806" s="1531"/>
      <c r="AB2806" s="1531"/>
      <c r="AC2806" s="1531"/>
      <c r="AD2806" s="1531"/>
      <c r="AE2806" s="1531"/>
      <c r="AF2806" s="1531"/>
      <c r="AG2806" s="1531"/>
      <c r="AH2806" s="1531"/>
      <c r="AI2806" s="1531"/>
      <c r="AJ2806" s="1531"/>
      <c r="AK2806" s="1531"/>
      <c r="AL2806" s="1531"/>
      <c r="AM2806" s="1531"/>
      <c r="AN2806" s="1531"/>
      <c r="AO2806" s="1531"/>
      <c r="AP2806" s="1531"/>
      <c r="AQ2806" s="1531"/>
      <c r="AR2806" s="1531"/>
      <c r="AS2806" s="1531"/>
      <c r="AT2806" s="1531"/>
      <c r="AU2806" s="1531"/>
      <c r="AV2806" s="1531"/>
      <c r="AW2806" s="1531"/>
      <c r="AX2806" s="1531"/>
      <c r="AY2806" s="1531"/>
      <c r="AZ2806" s="1531"/>
      <c r="BA2806" s="1136"/>
      <c r="BB2806" s="1136"/>
      <c r="BC2806" s="1136"/>
      <c r="BD2806" s="1136"/>
      <c r="BE2806" s="1136"/>
      <c r="BF2806" s="1136"/>
      <c r="BG2806" s="1136"/>
      <c r="BH2806" s="1136"/>
      <c r="BI2806" s="1136"/>
      <c r="BJ2806" s="1136"/>
      <c r="BK2806" s="1136"/>
      <c r="BL2806" s="1136"/>
      <c r="BM2806" s="1568"/>
    </row>
    <row r="2807" spans="1:65" s="1391" customFormat="1" ht="15.75" x14ac:dyDescent="0.25">
      <c r="A2807" s="1580" t="s">
        <v>4308</v>
      </c>
      <c r="B2807" s="1597"/>
      <c r="C2807" s="1598"/>
      <c r="D2807" s="1531"/>
      <c r="E2807" s="1531"/>
      <c r="F2807" s="1531"/>
      <c r="G2807" s="1531"/>
      <c r="H2807" s="1531"/>
      <c r="I2807" s="1531"/>
      <c r="J2807" s="1531"/>
      <c r="K2807" s="1531"/>
      <c r="L2807" s="1531"/>
      <c r="M2807" s="1531"/>
      <c r="N2807" s="1531"/>
      <c r="O2807" s="1531"/>
      <c r="P2807" s="1531"/>
      <c r="Q2807" s="1531"/>
      <c r="R2807" s="1531"/>
      <c r="S2807" s="1531"/>
      <c r="T2807" s="1531"/>
      <c r="U2807" s="1531"/>
      <c r="V2807" s="1531"/>
      <c r="W2807" s="1531"/>
      <c r="X2807" s="1531"/>
      <c r="Y2807" s="1531"/>
      <c r="Z2807" s="1531"/>
      <c r="AA2807" s="1531"/>
      <c r="AB2807" s="1531"/>
      <c r="AC2807" s="1531"/>
      <c r="AD2807" s="1531"/>
      <c r="AE2807" s="1531"/>
      <c r="AF2807" s="1531"/>
      <c r="AG2807" s="1531"/>
      <c r="AH2807" s="1531"/>
      <c r="AI2807" s="1531"/>
      <c r="AJ2807" s="1531"/>
      <c r="AK2807" s="1531"/>
      <c r="AL2807" s="1531"/>
      <c r="AM2807" s="1531"/>
      <c r="AN2807" s="1531"/>
      <c r="AO2807" s="1531"/>
      <c r="AP2807" s="1531"/>
      <c r="AQ2807" s="1531"/>
      <c r="AR2807" s="1531"/>
      <c r="AS2807" s="1531"/>
      <c r="AT2807" s="1531"/>
      <c r="AU2807" s="1531"/>
      <c r="AV2807" s="1531"/>
      <c r="AW2807" s="1531"/>
      <c r="AX2807" s="1531"/>
      <c r="AY2807" s="1531"/>
      <c r="AZ2807" s="1531"/>
      <c r="BA2807" s="1136"/>
      <c r="BB2807" s="1136"/>
      <c r="BC2807" s="1136"/>
      <c r="BD2807" s="1136"/>
      <c r="BE2807" s="1136"/>
      <c r="BF2807" s="1136"/>
      <c r="BG2807" s="1136"/>
      <c r="BH2807" s="1136"/>
      <c r="BI2807" s="1136"/>
      <c r="BJ2807" s="1136"/>
      <c r="BK2807" s="1136"/>
      <c r="BL2807" s="1136"/>
      <c r="BM2807" s="1568"/>
    </row>
    <row r="2808" spans="1:65" s="1391" customFormat="1" ht="15.75" x14ac:dyDescent="0.25">
      <c r="A2808" s="1417" t="s">
        <v>4309</v>
      </c>
      <c r="B2808" s="1469">
        <v>5</v>
      </c>
      <c r="C2808" s="1470"/>
      <c r="D2808" s="1596"/>
      <c r="E2808" s="1596"/>
      <c r="F2808" s="1596"/>
      <c r="G2808" s="1596"/>
      <c r="H2808" s="1531"/>
      <c r="I2808" s="1531"/>
      <c r="J2808" s="1531"/>
      <c r="K2808" s="1531"/>
      <c r="L2808" s="1531"/>
      <c r="M2808" s="1531"/>
      <c r="N2808" s="1531"/>
      <c r="O2808" s="1531"/>
      <c r="P2808" s="1531"/>
      <c r="Q2808" s="1531"/>
      <c r="R2808" s="1531"/>
      <c r="S2808" s="1531"/>
      <c r="T2808" s="1531"/>
      <c r="U2808" s="1531"/>
      <c r="V2808" s="1531"/>
      <c r="W2808" s="1531"/>
      <c r="X2808" s="1531"/>
      <c r="Y2808" s="1531"/>
      <c r="Z2808" s="1531"/>
      <c r="AA2808" s="1531"/>
      <c r="AB2808" s="1531"/>
      <c r="AC2808" s="1531"/>
      <c r="AD2808" s="1531"/>
      <c r="AE2808" s="1531"/>
      <c r="AF2808" s="1531"/>
      <c r="AG2808" s="1531"/>
      <c r="AH2808" s="1531"/>
      <c r="AI2808" s="1531"/>
      <c r="AJ2808" s="1531"/>
      <c r="AK2808" s="1531"/>
      <c r="AL2808" s="1531"/>
      <c r="AM2808" s="1531"/>
      <c r="AN2808" s="1531"/>
      <c r="AO2808" s="1531"/>
      <c r="AP2808" s="1531"/>
      <c r="AQ2808" s="1531"/>
      <c r="AR2808" s="1531"/>
      <c r="AS2808" s="1531"/>
      <c r="AT2808" s="1531"/>
      <c r="AU2808" s="1531"/>
      <c r="AV2808" s="1531"/>
      <c r="AW2808" s="1531"/>
      <c r="AX2808" s="1531"/>
      <c r="AY2808" s="1531"/>
      <c r="AZ2808" s="1531"/>
      <c r="BA2808" s="1136"/>
      <c r="BB2808" s="1136"/>
      <c r="BC2808" s="1136"/>
      <c r="BD2808" s="1136"/>
      <c r="BE2808" s="1136"/>
      <c r="BF2808" s="1136"/>
      <c r="BG2808" s="1136"/>
      <c r="BH2808" s="1136"/>
      <c r="BI2808" s="1136"/>
      <c r="BJ2808" s="1136"/>
      <c r="BK2808" s="1136"/>
      <c r="BL2808" s="1136"/>
      <c r="BM2808" s="1568"/>
    </row>
    <row r="2809" spans="1:65" s="1391" customFormat="1" ht="15.75" x14ac:dyDescent="0.25">
      <c r="A2809" s="1592" t="s">
        <v>4310</v>
      </c>
      <c r="B2809" s="1588" t="e">
        <f>B240*B245*B244*B247*B239*B2808/(B241*B281)</f>
        <v>#VALUE!</v>
      </c>
      <c r="C2809" s="1593"/>
      <c r="D2809" s="1596"/>
      <c r="E2809" s="1596"/>
      <c r="F2809" s="1596"/>
      <c r="G2809" s="1596"/>
      <c r="H2809" s="1596"/>
      <c r="I2809" s="1531"/>
      <c r="J2809" s="1531"/>
      <c r="K2809" s="1531"/>
      <c r="L2809" s="1531"/>
      <c r="M2809" s="1531"/>
      <c r="N2809" s="1531"/>
      <c r="O2809" s="1531"/>
      <c r="P2809" s="1531"/>
      <c r="Q2809" s="1531"/>
      <c r="R2809" s="1531"/>
      <c r="S2809" s="1531"/>
      <c r="T2809" s="1531"/>
      <c r="U2809" s="1531"/>
      <c r="V2809" s="1531"/>
      <c r="W2809" s="1531"/>
      <c r="X2809" s="1531"/>
      <c r="Y2809" s="1531"/>
      <c r="Z2809" s="1531"/>
      <c r="AA2809" s="1531"/>
      <c r="AB2809" s="1531"/>
      <c r="AC2809" s="1531"/>
      <c r="AD2809" s="1531"/>
      <c r="AE2809" s="1531"/>
      <c r="AF2809" s="1531"/>
      <c r="AG2809" s="1531"/>
      <c r="AH2809" s="1531"/>
      <c r="AI2809" s="1531"/>
      <c r="AJ2809" s="1531"/>
      <c r="AK2809" s="1531"/>
      <c r="AL2809" s="1531"/>
      <c r="AM2809" s="1531"/>
      <c r="AN2809" s="1531"/>
      <c r="AO2809" s="1531"/>
      <c r="AP2809" s="1531"/>
      <c r="AQ2809" s="1531"/>
      <c r="AR2809" s="1531"/>
      <c r="AS2809" s="1531"/>
      <c r="AT2809" s="1531"/>
      <c r="AU2809" s="1531"/>
      <c r="AV2809" s="1531"/>
      <c r="AW2809" s="1531"/>
      <c r="AX2809" s="1531"/>
      <c r="AY2809" s="1531"/>
      <c r="AZ2809" s="1531"/>
      <c r="BA2809" s="1136"/>
      <c r="BB2809" s="1136"/>
      <c r="BC2809" s="1136"/>
      <c r="BD2809" s="1136"/>
      <c r="BE2809" s="1136"/>
      <c r="BF2809" s="1136"/>
      <c r="BG2809" s="1136"/>
      <c r="BH2809" s="1136"/>
      <c r="BI2809" s="1136"/>
      <c r="BJ2809" s="1136"/>
      <c r="BK2809" s="1136"/>
      <c r="BL2809" s="1136"/>
      <c r="BM2809" s="1568"/>
    </row>
    <row r="2810" spans="1:65" s="1391" customFormat="1" ht="15.75" x14ac:dyDescent="0.25">
      <c r="A2810" s="1417" t="s">
        <v>4311</v>
      </c>
      <c r="B2810" s="1415"/>
      <c r="C2810" s="1350"/>
      <c r="D2810" s="1589"/>
      <c r="E2810" s="1589"/>
      <c r="F2810" s="1589"/>
      <c r="G2810" s="1589"/>
      <c r="H2810" s="1531"/>
      <c r="I2810" s="1531"/>
      <c r="J2810" s="1531"/>
      <c r="K2810" s="1531"/>
      <c r="L2810" s="1531"/>
      <c r="M2810" s="1531"/>
      <c r="N2810" s="1531"/>
      <c r="O2810" s="1531"/>
      <c r="P2810" s="1531"/>
      <c r="Q2810" s="1531"/>
      <c r="R2810" s="1531"/>
      <c r="S2810" s="1531"/>
      <c r="T2810" s="1531"/>
      <c r="U2810" s="1531"/>
      <c r="V2810" s="1531"/>
      <c r="W2810" s="1531"/>
      <c r="X2810" s="1531"/>
      <c r="Y2810" s="1531"/>
      <c r="Z2810" s="1531"/>
      <c r="AA2810" s="1531"/>
      <c r="AB2810" s="1531"/>
      <c r="AC2810" s="1531"/>
      <c r="AD2810" s="1531"/>
      <c r="AE2810" s="1531"/>
      <c r="AF2810" s="1531"/>
      <c r="AG2810" s="1531"/>
      <c r="AH2810" s="1531"/>
      <c r="AI2810" s="1531"/>
      <c r="AJ2810" s="1531"/>
      <c r="AK2810" s="1531"/>
      <c r="AL2810" s="1531"/>
      <c r="AM2810" s="1531"/>
      <c r="AN2810" s="1531"/>
      <c r="AO2810" s="1531"/>
      <c r="AP2810" s="1531"/>
      <c r="AQ2810" s="1531"/>
      <c r="AR2810" s="1531"/>
      <c r="AS2810" s="1531"/>
      <c r="AT2810" s="1531"/>
      <c r="AU2810" s="1531"/>
      <c r="AV2810" s="1531"/>
      <c r="AW2810" s="1531"/>
      <c r="AX2810" s="1531"/>
      <c r="AY2810" s="1531"/>
      <c r="AZ2810" s="1531"/>
      <c r="BA2810" s="1136"/>
      <c r="BB2810" s="1136"/>
      <c r="BC2810" s="1136"/>
      <c r="BD2810" s="1136"/>
      <c r="BE2810" s="1136"/>
      <c r="BF2810" s="1136"/>
      <c r="BG2810" s="1136"/>
      <c r="BH2810" s="1136"/>
      <c r="BI2810" s="1136"/>
      <c r="BJ2810" s="1136"/>
      <c r="BK2810" s="1136"/>
      <c r="BL2810" s="1136"/>
      <c r="BM2810" s="1568"/>
    </row>
    <row r="2811" spans="1:65" s="1391" customFormat="1" ht="15.75" x14ac:dyDescent="0.25">
      <c r="A2811" s="1430" t="s">
        <v>470</v>
      </c>
      <c r="B2811" s="1421">
        <f>12.3*(CEILING((B278+B279/(B2617-B2390)),1))*B2388*B2617</f>
        <v>196.8</v>
      </c>
      <c r="C2811" s="1416"/>
      <c r="D2811" s="1593"/>
      <c r="E2811" s="1593"/>
      <c r="F2811" s="1593"/>
      <c r="G2811" s="1593"/>
      <c r="H2811" s="1531"/>
      <c r="I2811" s="1531"/>
      <c r="J2811" s="1531"/>
      <c r="K2811" s="1531"/>
      <c r="L2811" s="1531"/>
      <c r="M2811" s="1531"/>
      <c r="N2811" s="1531"/>
      <c r="O2811" s="1531"/>
      <c r="P2811" s="1531"/>
      <c r="Q2811" s="1531"/>
      <c r="R2811" s="1531"/>
      <c r="S2811" s="1531"/>
      <c r="T2811" s="1531"/>
      <c r="U2811" s="1531"/>
      <c r="V2811" s="1531"/>
      <c r="W2811" s="1531"/>
      <c r="X2811" s="1531"/>
      <c r="Y2811" s="1531"/>
      <c r="Z2811" s="1531"/>
      <c r="AA2811" s="1531"/>
      <c r="AB2811" s="1531"/>
      <c r="AC2811" s="1531"/>
      <c r="AD2811" s="1531"/>
      <c r="AE2811" s="1531"/>
      <c r="AF2811" s="1531"/>
      <c r="AG2811" s="1531"/>
      <c r="AH2811" s="1531"/>
      <c r="AI2811" s="1531"/>
      <c r="AJ2811" s="1531"/>
      <c r="AK2811" s="1531"/>
      <c r="AL2811" s="1531"/>
      <c r="AM2811" s="1531"/>
      <c r="AN2811" s="1531"/>
      <c r="AO2811" s="1531"/>
      <c r="AP2811" s="1531"/>
      <c r="AQ2811" s="1531"/>
      <c r="AR2811" s="1531"/>
      <c r="AS2811" s="1531"/>
      <c r="AT2811" s="1531"/>
      <c r="AU2811" s="1531"/>
      <c r="AV2811" s="1531"/>
      <c r="AW2811" s="1531"/>
      <c r="AX2811" s="1531"/>
      <c r="AY2811" s="1531"/>
      <c r="AZ2811" s="1531"/>
      <c r="BA2811" s="1136"/>
      <c r="BB2811" s="1136"/>
      <c r="BC2811" s="1136"/>
      <c r="BD2811" s="1136"/>
      <c r="BE2811" s="1136"/>
      <c r="BF2811" s="1136"/>
      <c r="BG2811" s="1136"/>
      <c r="BH2811" s="1136"/>
      <c r="BI2811" s="1136"/>
      <c r="BJ2811" s="1136"/>
      <c r="BK2811" s="1136"/>
      <c r="BL2811" s="1136"/>
      <c r="BM2811" s="1568"/>
    </row>
    <row r="2812" spans="1:65" s="1391" customFormat="1" ht="15.75" x14ac:dyDescent="0.25">
      <c r="A2812" s="1430" t="s">
        <v>471</v>
      </c>
      <c r="B2812" s="1421" t="e">
        <f>B2796</f>
        <v>#DIV/0!</v>
      </c>
      <c r="C2812" s="1416"/>
      <c r="D2812" s="1468"/>
      <c r="E2812" s="1468"/>
      <c r="F2812" s="1468"/>
      <c r="G2812" s="1468"/>
      <c r="H2812" s="1531"/>
      <c r="I2812" s="1531"/>
      <c r="J2812" s="1531"/>
      <c r="K2812" s="1531"/>
      <c r="L2812" s="1531"/>
      <c r="M2812" s="1531"/>
      <c r="N2812" s="1531"/>
      <c r="O2812" s="1531"/>
      <c r="P2812" s="1531"/>
      <c r="Q2812" s="1531"/>
      <c r="R2812" s="1531"/>
      <c r="S2812" s="1531"/>
      <c r="T2812" s="1531"/>
      <c r="U2812" s="1531"/>
      <c r="V2812" s="1531"/>
      <c r="W2812" s="1531"/>
      <c r="X2812" s="1531"/>
      <c r="Y2812" s="1531"/>
      <c r="Z2812" s="1531"/>
      <c r="AA2812" s="1531"/>
      <c r="AB2812" s="1531"/>
      <c r="AC2812" s="1531"/>
      <c r="AD2812" s="1531"/>
      <c r="AE2812" s="1531"/>
      <c r="AF2812" s="1531"/>
      <c r="AG2812" s="1531"/>
      <c r="AH2812" s="1531"/>
      <c r="AI2812" s="1531"/>
      <c r="AJ2812" s="1531"/>
      <c r="AK2812" s="1531"/>
      <c r="AL2812" s="1531"/>
      <c r="AM2812" s="1531"/>
      <c r="AN2812" s="1531"/>
      <c r="AO2812" s="1531"/>
      <c r="AP2812" s="1531"/>
      <c r="AQ2812" s="1531"/>
      <c r="AR2812" s="1531"/>
      <c r="AS2812" s="1531"/>
      <c r="AT2812" s="1531"/>
      <c r="AU2812" s="1531"/>
      <c r="AV2812" s="1531"/>
      <c r="AW2812" s="1531"/>
      <c r="AX2812" s="1531"/>
      <c r="AY2812" s="1531"/>
      <c r="AZ2812" s="1531"/>
      <c r="BA2812" s="1136"/>
      <c r="BB2812" s="1136"/>
      <c r="BC2812" s="1136"/>
      <c r="BD2812" s="1136"/>
      <c r="BE2812" s="1136"/>
      <c r="BF2812" s="1136"/>
      <c r="BG2812" s="1136"/>
      <c r="BH2812" s="1136"/>
      <c r="BI2812" s="1136"/>
      <c r="BJ2812" s="1136"/>
      <c r="BK2812" s="1136"/>
      <c r="BL2812" s="1136"/>
      <c r="BM2812" s="1568"/>
    </row>
    <row r="2813" spans="1:65" s="1391" customFormat="1" ht="15.75" x14ac:dyDescent="0.25">
      <c r="A2813" s="1417" t="s">
        <v>472</v>
      </c>
      <c r="B2813" s="1418">
        <v>3.5</v>
      </c>
      <c r="C2813" s="1350"/>
      <c r="D2813" s="1350"/>
      <c r="E2813" s="1350"/>
      <c r="F2813" s="1350"/>
      <c r="G2813" s="1350"/>
      <c r="H2813" s="1531"/>
      <c r="I2813" s="1531"/>
      <c r="J2813" s="1350"/>
      <c r="K2813" s="1350"/>
      <c r="L2813" s="1350"/>
      <c r="M2813" s="1350"/>
      <c r="N2813" s="1350"/>
      <c r="O2813" s="1350"/>
      <c r="P2813" s="1350"/>
      <c r="Q2813" s="1350"/>
      <c r="R2813" s="1531"/>
      <c r="S2813" s="1531"/>
      <c r="T2813" s="1531"/>
      <c r="U2813" s="1531"/>
      <c r="V2813" s="1531"/>
      <c r="W2813" s="1531"/>
      <c r="X2813" s="1531"/>
      <c r="Y2813" s="1531"/>
      <c r="Z2813" s="1531"/>
      <c r="AA2813" s="1531"/>
      <c r="AB2813" s="1531"/>
      <c r="AC2813" s="1531"/>
      <c r="AD2813" s="1531"/>
      <c r="AE2813" s="1531"/>
      <c r="AF2813" s="1531"/>
      <c r="AG2813" s="1531"/>
      <c r="AH2813" s="1531"/>
      <c r="AI2813" s="1531"/>
      <c r="AJ2813" s="1531"/>
      <c r="AK2813" s="1531"/>
      <c r="AL2813" s="1531"/>
      <c r="AM2813" s="1531"/>
      <c r="AN2813" s="1531"/>
      <c r="AO2813" s="1531"/>
      <c r="AP2813" s="1531"/>
      <c r="AQ2813" s="1531"/>
      <c r="AR2813" s="1531"/>
      <c r="AS2813" s="1531"/>
      <c r="AT2813" s="1531"/>
      <c r="AU2813" s="1531"/>
      <c r="AV2813" s="1531"/>
      <c r="AW2813" s="1531"/>
      <c r="AX2813" s="1531"/>
      <c r="AY2813" s="1531"/>
      <c r="AZ2813" s="1531"/>
      <c r="BA2813" s="1136"/>
      <c r="BB2813" s="1136"/>
      <c r="BC2813" s="1136"/>
      <c r="BD2813" s="1136"/>
      <c r="BE2813" s="1136"/>
      <c r="BF2813" s="1136"/>
      <c r="BG2813" s="1136"/>
      <c r="BH2813" s="1136"/>
      <c r="BI2813" s="1136"/>
      <c r="BJ2813" s="1136"/>
      <c r="BK2813" s="1136"/>
      <c r="BL2813" s="1136"/>
      <c r="BM2813" s="1568"/>
    </row>
    <row r="2814" spans="1:65" s="1391" customFormat="1" ht="15.75" x14ac:dyDescent="0.25">
      <c r="A2814" s="1417" t="s">
        <v>473</v>
      </c>
      <c r="B2814" s="1418">
        <v>200</v>
      </c>
      <c r="C2814" s="1350"/>
      <c r="D2814" s="1350"/>
      <c r="E2814" s="1350"/>
      <c r="F2814" s="1350"/>
      <c r="G2814" s="1350"/>
      <c r="H2814" s="1531"/>
      <c r="I2814" s="1531"/>
      <c r="J2814" s="1350"/>
      <c r="K2814" s="1350"/>
      <c r="L2814" s="1350"/>
      <c r="M2814" s="1350"/>
      <c r="N2814" s="1350"/>
      <c r="O2814" s="1350"/>
      <c r="P2814" s="1350"/>
      <c r="Q2814" s="1350"/>
      <c r="R2814" s="1531"/>
      <c r="S2814" s="1531"/>
      <c r="T2814" s="1531"/>
      <c r="U2814" s="1531"/>
      <c r="V2814" s="1531"/>
      <c r="W2814" s="1531"/>
      <c r="X2814" s="1531"/>
      <c r="Y2814" s="1531"/>
      <c r="Z2814" s="1531"/>
      <c r="AA2814" s="1531"/>
      <c r="AB2814" s="1531"/>
      <c r="AC2814" s="1531"/>
      <c r="AD2814" s="1531"/>
      <c r="AE2814" s="1531"/>
      <c r="AF2814" s="1531"/>
      <c r="AG2814" s="1531"/>
      <c r="AH2814" s="1531"/>
      <c r="AI2814" s="1531"/>
      <c r="AJ2814" s="1531"/>
      <c r="AK2814" s="1531"/>
      <c r="AL2814" s="1531"/>
      <c r="AM2814" s="1531"/>
      <c r="AN2814" s="1531"/>
      <c r="AO2814" s="1531"/>
      <c r="AP2814" s="1531"/>
      <c r="AQ2814" s="1531"/>
      <c r="AR2814" s="1531"/>
      <c r="AS2814" s="1531"/>
      <c r="AT2814" s="1531"/>
      <c r="AU2814" s="1531"/>
      <c r="AV2814" s="1531"/>
      <c r="AW2814" s="1531"/>
      <c r="AX2814" s="1531"/>
      <c r="AY2814" s="1531"/>
      <c r="AZ2814" s="1531"/>
      <c r="BA2814" s="1136"/>
      <c r="BB2814" s="1136"/>
      <c r="BC2814" s="1136"/>
      <c r="BD2814" s="1136"/>
      <c r="BE2814" s="1136"/>
      <c r="BF2814" s="1136"/>
      <c r="BG2814" s="1136"/>
      <c r="BH2814" s="1136"/>
      <c r="BI2814" s="1136"/>
      <c r="BJ2814" s="1136"/>
      <c r="BK2814" s="1136"/>
      <c r="BL2814" s="1136"/>
      <c r="BM2814" s="1568"/>
    </row>
    <row r="2815" spans="1:65" s="1391" customFormat="1" ht="15.75" x14ac:dyDescent="0.25">
      <c r="A2815" s="1417" t="s">
        <v>474</v>
      </c>
      <c r="B2815" s="1585" t="e">
        <f>B2812*B2809*B2814/100</f>
        <v>#DIV/0!</v>
      </c>
      <c r="C2815" s="1416"/>
      <c r="D2815" s="1470"/>
      <c r="E2815" s="1470"/>
      <c r="F2815" s="1470"/>
      <c r="G2815" s="1470"/>
      <c r="H2815" s="1531"/>
      <c r="I2815" s="1531"/>
      <c r="J2815" s="1350"/>
      <c r="K2815" s="1350"/>
      <c r="L2815" s="1350"/>
      <c r="M2815" s="1350"/>
      <c r="N2815" s="1350"/>
      <c r="O2815" s="1350"/>
      <c r="P2815" s="1350"/>
      <c r="Q2815" s="1350"/>
      <c r="R2815" s="1531"/>
      <c r="S2815" s="1531"/>
      <c r="T2815" s="1531"/>
      <c r="U2815" s="1531"/>
      <c r="V2815" s="1531"/>
      <c r="W2815" s="1531"/>
      <c r="X2815" s="1531"/>
      <c r="Y2815" s="1531"/>
      <c r="Z2815" s="1531"/>
      <c r="AA2815" s="1531"/>
      <c r="AB2815" s="1531"/>
      <c r="AC2815" s="1531"/>
      <c r="AD2815" s="1531"/>
      <c r="AE2815" s="1531"/>
      <c r="AF2815" s="1531"/>
      <c r="AG2815" s="1531"/>
      <c r="AH2815" s="1531"/>
      <c r="AI2815" s="1531"/>
      <c r="AJ2815" s="1531"/>
      <c r="AK2815" s="1531"/>
      <c r="AL2815" s="1531"/>
      <c r="AM2815" s="1531"/>
      <c r="AN2815" s="1531"/>
      <c r="AO2815" s="1531"/>
      <c r="AP2815" s="1531"/>
      <c r="AQ2815" s="1531"/>
      <c r="AR2815" s="1531"/>
      <c r="AS2815" s="1531"/>
      <c r="AT2815" s="1531"/>
      <c r="AU2815" s="1531"/>
      <c r="AV2815" s="1531"/>
      <c r="AW2815" s="1531"/>
      <c r="AX2815" s="1531"/>
      <c r="AY2815" s="1531"/>
      <c r="AZ2815" s="1531"/>
      <c r="BA2815" s="1136"/>
      <c r="BB2815" s="1136"/>
      <c r="BC2815" s="1136"/>
      <c r="BD2815" s="1136"/>
      <c r="BE2815" s="1136"/>
      <c r="BF2815" s="1136"/>
      <c r="BG2815" s="1136"/>
      <c r="BH2815" s="1136"/>
      <c r="BI2815" s="1136"/>
      <c r="BJ2815" s="1136"/>
      <c r="BK2815" s="1136"/>
      <c r="BL2815" s="1136"/>
      <c r="BM2815" s="1568"/>
    </row>
    <row r="2816" spans="1:65" s="1391" customFormat="1" ht="15.75" x14ac:dyDescent="0.25">
      <c r="A2816" s="1430" t="s">
        <v>475</v>
      </c>
      <c r="B2816" s="1439" t="e">
        <f>(B2811)*B2813*B2809/100</f>
        <v>#VALUE!</v>
      </c>
      <c r="C2816" s="1432"/>
      <c r="D2816" s="1593"/>
      <c r="E2816" s="1593"/>
      <c r="F2816" s="1593"/>
      <c r="G2816" s="1593"/>
      <c r="H2816" s="1531"/>
      <c r="I2816" s="1531"/>
      <c r="J2816" s="1350"/>
      <c r="K2816" s="1350"/>
      <c r="L2816" s="1350"/>
      <c r="M2816" s="1350"/>
      <c r="N2816" s="1350"/>
      <c r="O2816" s="1350"/>
      <c r="P2816" s="1350"/>
      <c r="Q2816" s="1350"/>
      <c r="R2816" s="1531"/>
      <c r="S2816" s="1531"/>
      <c r="T2816" s="1531"/>
      <c r="U2816" s="1531"/>
      <c r="V2816" s="1531"/>
      <c r="W2816" s="1531"/>
      <c r="X2816" s="1531"/>
      <c r="Y2816" s="1531"/>
      <c r="Z2816" s="1531"/>
      <c r="AA2816" s="1531"/>
      <c r="AB2816" s="1531"/>
      <c r="AC2816" s="1531"/>
      <c r="AD2816" s="1531"/>
      <c r="AE2816" s="1531"/>
      <c r="AF2816" s="1531"/>
      <c r="AG2816" s="1531"/>
      <c r="AH2816" s="1531"/>
      <c r="AI2816" s="1531"/>
      <c r="AJ2816" s="1531"/>
      <c r="AK2816" s="1531"/>
      <c r="AL2816" s="1531"/>
      <c r="AM2816" s="1531"/>
      <c r="AN2816" s="1531"/>
      <c r="AO2816" s="1531"/>
      <c r="AP2816" s="1531"/>
      <c r="AQ2816" s="1531"/>
      <c r="AR2816" s="1531"/>
      <c r="AS2816" s="1531"/>
      <c r="AT2816" s="1531"/>
      <c r="AU2816" s="1531"/>
      <c r="AV2816" s="1531"/>
      <c r="AW2816" s="1531"/>
      <c r="AX2816" s="1531"/>
      <c r="AY2816" s="1531"/>
      <c r="AZ2816" s="1531"/>
      <c r="BA2816" s="1136"/>
      <c r="BB2816" s="1136"/>
      <c r="BC2816" s="1136"/>
      <c r="BD2816" s="1136"/>
      <c r="BE2816" s="1136"/>
      <c r="BF2816" s="1136"/>
      <c r="BG2816" s="1136"/>
      <c r="BH2816" s="1136"/>
      <c r="BI2816" s="1136"/>
      <c r="BJ2816" s="1136"/>
      <c r="BK2816" s="1136"/>
      <c r="BL2816" s="1136"/>
      <c r="BM2816" s="1568"/>
    </row>
    <row r="2817" spans="1:256" s="1391" customFormat="1" ht="15.75" x14ac:dyDescent="0.25">
      <c r="A2817" s="1466" t="s">
        <v>477</v>
      </c>
      <c r="B2817" s="1453" t="e">
        <f>IF(B276=1,B2816,0)</f>
        <v>#VALUE!</v>
      </c>
      <c r="C2817" s="1454"/>
      <c r="D2817" s="1350"/>
      <c r="E2817" s="1350"/>
      <c r="F2817" s="1350"/>
      <c r="G2817" s="1350"/>
      <c r="H2817" s="1531"/>
      <c r="I2817" s="1531"/>
      <c r="J2817" s="1350"/>
      <c r="K2817" s="1350"/>
      <c r="L2817" s="1350"/>
      <c r="M2817" s="1350"/>
      <c r="N2817" s="1350"/>
      <c r="O2817" s="1350"/>
      <c r="P2817" s="1350"/>
      <c r="Q2817" s="1350"/>
      <c r="R2817" s="1531"/>
      <c r="S2817" s="1531"/>
      <c r="T2817" s="1531"/>
      <c r="U2817" s="1531"/>
      <c r="V2817" s="1531"/>
      <c r="W2817" s="1531"/>
      <c r="X2817" s="1531"/>
      <c r="Y2817" s="1531"/>
      <c r="Z2817" s="1531"/>
      <c r="AA2817" s="1531"/>
      <c r="AB2817" s="1531"/>
      <c r="AC2817" s="1531"/>
      <c r="AD2817" s="1531"/>
      <c r="AE2817" s="1531"/>
      <c r="AF2817" s="1531"/>
      <c r="AG2817" s="1531"/>
      <c r="AH2817" s="1531"/>
      <c r="AI2817" s="1531"/>
      <c r="AJ2817" s="1531"/>
      <c r="AK2817" s="1531"/>
      <c r="AL2817" s="1531"/>
      <c r="AM2817" s="1531"/>
      <c r="AN2817" s="1531"/>
      <c r="AO2817" s="1531"/>
      <c r="AP2817" s="1531"/>
      <c r="AQ2817" s="1531"/>
      <c r="AR2817" s="1531"/>
      <c r="AS2817" s="1531"/>
      <c r="AT2817" s="1531"/>
      <c r="AU2817" s="1531"/>
      <c r="AV2817" s="1531"/>
      <c r="AW2817" s="1531"/>
      <c r="AX2817" s="1531"/>
      <c r="AY2817" s="1531"/>
      <c r="AZ2817" s="1531"/>
      <c r="BA2817" s="1136"/>
      <c r="BB2817" s="1136"/>
      <c r="BC2817" s="1136"/>
      <c r="BD2817" s="1136"/>
      <c r="BE2817" s="1136"/>
      <c r="BF2817" s="1136"/>
      <c r="BG2817" s="1136"/>
      <c r="BH2817" s="1136"/>
      <c r="BI2817" s="1136"/>
      <c r="BJ2817" s="1136"/>
      <c r="BK2817" s="1136"/>
      <c r="BL2817" s="1136"/>
      <c r="BM2817" s="1568"/>
    </row>
    <row r="2818" spans="1:256" s="1391" customFormat="1" ht="15.75" x14ac:dyDescent="0.25">
      <c r="A2818" s="1430"/>
      <c r="B2818" s="1443"/>
      <c r="C2818" s="1437"/>
      <c r="D2818" s="1416"/>
      <c r="E2818" s="1416"/>
      <c r="F2818" s="1416"/>
      <c r="G2818" s="1416"/>
      <c r="H2818" s="1531"/>
      <c r="I2818" s="1531"/>
      <c r="J2818" s="1350"/>
      <c r="K2818" s="1350"/>
      <c r="L2818" s="1350"/>
      <c r="M2818" s="1350"/>
      <c r="N2818" s="1350"/>
      <c r="O2818" s="1350"/>
      <c r="P2818" s="1350"/>
      <c r="Q2818" s="1350"/>
      <c r="R2818" s="1531"/>
      <c r="S2818" s="1531"/>
      <c r="T2818" s="1531"/>
      <c r="U2818" s="1531"/>
      <c r="V2818" s="1531"/>
      <c r="W2818" s="1531"/>
      <c r="X2818" s="1531"/>
      <c r="Y2818" s="1531"/>
      <c r="Z2818" s="1531"/>
      <c r="AA2818" s="1531"/>
      <c r="AB2818" s="1531"/>
      <c r="AC2818" s="1531"/>
      <c r="AD2818" s="1531"/>
      <c r="AE2818" s="1531"/>
      <c r="AF2818" s="1531"/>
      <c r="AG2818" s="1531"/>
      <c r="AH2818" s="1531"/>
      <c r="AI2818" s="1531"/>
      <c r="AJ2818" s="1531"/>
      <c r="AK2818" s="1531"/>
      <c r="AL2818" s="1531"/>
      <c r="AM2818" s="1531"/>
      <c r="AN2818" s="1531"/>
      <c r="AO2818" s="1531"/>
      <c r="AP2818" s="1531"/>
      <c r="AQ2818" s="1531"/>
      <c r="AR2818" s="1531"/>
      <c r="AS2818" s="1531"/>
      <c r="AT2818" s="1531"/>
      <c r="AU2818" s="1531"/>
      <c r="AV2818" s="1531"/>
      <c r="AW2818" s="1531"/>
      <c r="AX2818" s="1531"/>
      <c r="AY2818" s="1531"/>
      <c r="AZ2818" s="1531"/>
      <c r="BA2818" s="1136"/>
      <c r="BB2818" s="1136"/>
      <c r="BC2818" s="1136"/>
      <c r="BD2818" s="1136"/>
      <c r="BE2818" s="1136"/>
      <c r="BF2818" s="1136"/>
      <c r="BG2818" s="1136"/>
      <c r="BH2818" s="1136"/>
      <c r="BI2818" s="1136"/>
      <c r="BJ2818" s="1136"/>
      <c r="BK2818" s="1136"/>
      <c r="BL2818" s="1136"/>
      <c r="BM2818" s="1568"/>
    </row>
    <row r="2819" spans="1:256" s="1391" customFormat="1" ht="15.75" x14ac:dyDescent="0.25">
      <c r="A2819" s="1580" t="s">
        <v>478</v>
      </c>
      <c r="B2819" s="1443"/>
      <c r="C2819" s="1437"/>
      <c r="D2819" s="1416"/>
      <c r="E2819" s="1416"/>
      <c r="F2819" s="1416"/>
      <c r="G2819" s="1416"/>
      <c r="H2819" s="1531"/>
      <c r="I2819" s="1531"/>
      <c r="J2819" s="1350"/>
      <c r="K2819" s="1350"/>
      <c r="L2819" s="1350"/>
      <c r="M2819" s="1350"/>
      <c r="N2819" s="1350"/>
      <c r="O2819" s="1350"/>
      <c r="P2819" s="1350"/>
      <c r="Q2819" s="1350"/>
      <c r="R2819" s="1531"/>
      <c r="S2819" s="1531"/>
      <c r="T2819" s="1531"/>
      <c r="U2819" s="1531"/>
      <c r="V2819" s="1531"/>
      <c r="W2819" s="1531"/>
      <c r="X2819" s="1531"/>
      <c r="Y2819" s="1531"/>
      <c r="Z2819" s="1531"/>
      <c r="AA2819" s="1531"/>
      <c r="AB2819" s="1531"/>
      <c r="AC2819" s="1531"/>
      <c r="AD2819" s="1531"/>
      <c r="AE2819" s="1531"/>
      <c r="AF2819" s="1531"/>
      <c r="AG2819" s="1531"/>
      <c r="AH2819" s="1531"/>
      <c r="AI2819" s="1531"/>
      <c r="AJ2819" s="1531"/>
      <c r="AK2819" s="1531"/>
      <c r="AL2819" s="1531"/>
      <c r="AM2819" s="1531"/>
      <c r="AN2819" s="1531"/>
      <c r="AO2819" s="1531"/>
      <c r="AP2819" s="1531"/>
      <c r="AQ2819" s="1531"/>
      <c r="AR2819" s="1531"/>
      <c r="AS2819" s="1531"/>
      <c r="AT2819" s="1531"/>
      <c r="AU2819" s="1531"/>
      <c r="AV2819" s="1531"/>
      <c r="AW2819" s="1531"/>
      <c r="AX2819" s="1531"/>
      <c r="AY2819" s="1531"/>
      <c r="AZ2819" s="1531"/>
      <c r="BA2819" s="1136"/>
      <c r="BB2819" s="1136"/>
      <c r="BC2819" s="1136"/>
      <c r="BD2819" s="1136"/>
      <c r="BE2819" s="1136"/>
      <c r="BF2819" s="1136"/>
      <c r="BG2819" s="1136"/>
      <c r="BH2819" s="1136"/>
      <c r="BI2819" s="1136"/>
      <c r="BJ2819" s="1136"/>
      <c r="BK2819" s="1136"/>
      <c r="BL2819" s="1136"/>
      <c r="BM2819" s="1568"/>
    </row>
    <row r="2820" spans="1:256" s="1391" customFormat="1" ht="15.75" x14ac:dyDescent="0.25">
      <c r="A2820" s="1417" t="s">
        <v>479</v>
      </c>
      <c r="B2820" s="1599">
        <v>2</v>
      </c>
      <c r="C2820" s="1440"/>
      <c r="D2820" s="1350"/>
      <c r="E2820" s="1350"/>
      <c r="F2820" s="1350"/>
      <c r="G2820" s="1350"/>
      <c r="H2820" s="1531"/>
      <c r="I2820" s="1531"/>
      <c r="J2820" s="1350"/>
      <c r="K2820" s="1350"/>
      <c r="L2820" s="1350"/>
      <c r="M2820" s="1350"/>
      <c r="N2820" s="1350"/>
      <c r="O2820" s="1350"/>
      <c r="P2820" s="1350"/>
      <c r="Q2820" s="1350"/>
      <c r="R2820" s="1531"/>
      <c r="S2820" s="1531"/>
      <c r="T2820" s="1531"/>
      <c r="U2820" s="1531"/>
      <c r="V2820" s="1531"/>
      <c r="W2820" s="1531"/>
      <c r="X2820" s="1531"/>
      <c r="Y2820" s="1531"/>
      <c r="Z2820" s="1531"/>
      <c r="AA2820" s="1531"/>
      <c r="AB2820" s="1531"/>
      <c r="AC2820" s="1531"/>
      <c r="AD2820" s="1531"/>
      <c r="AE2820" s="1531"/>
      <c r="AF2820" s="1531"/>
      <c r="AG2820" s="1531"/>
      <c r="AH2820" s="1531"/>
      <c r="AI2820" s="1531"/>
      <c r="AJ2820" s="1531"/>
      <c r="AK2820" s="1531"/>
      <c r="AL2820" s="1531"/>
      <c r="AM2820" s="1531"/>
      <c r="AN2820" s="1531"/>
      <c r="AO2820" s="1531"/>
      <c r="AP2820" s="1531"/>
      <c r="AQ2820" s="1531"/>
      <c r="AR2820" s="1531"/>
      <c r="AS2820" s="1531"/>
      <c r="AT2820" s="1531"/>
      <c r="AU2820" s="1531"/>
      <c r="AV2820" s="1531"/>
      <c r="AW2820" s="1531"/>
      <c r="AX2820" s="1531"/>
      <c r="AY2820" s="1531"/>
      <c r="AZ2820" s="1531"/>
      <c r="BA2820" s="1136"/>
      <c r="BB2820" s="1136"/>
      <c r="BC2820" s="1136"/>
      <c r="BD2820" s="1136"/>
      <c r="BE2820" s="1136"/>
      <c r="BF2820" s="1136"/>
      <c r="BG2820" s="1136"/>
      <c r="BH2820" s="1136"/>
      <c r="BI2820" s="1136"/>
      <c r="BJ2820" s="1136"/>
      <c r="BK2820" s="1136"/>
      <c r="BL2820" s="1136"/>
      <c r="BM2820" s="1568"/>
    </row>
    <row r="2821" spans="1:256" s="1391" customFormat="1" ht="15.75" x14ac:dyDescent="0.25">
      <c r="A2821" s="1417" t="s">
        <v>3394</v>
      </c>
      <c r="B2821" s="1599">
        <v>1</v>
      </c>
      <c r="C2821" s="1440"/>
      <c r="D2821" s="1350"/>
      <c r="E2821" s="1350"/>
      <c r="F2821" s="1350"/>
      <c r="G2821" s="1350"/>
      <c r="H2821" s="1531"/>
      <c r="I2821" s="1531"/>
      <c r="J2821" s="1350"/>
      <c r="K2821" s="1350"/>
      <c r="L2821" s="1350"/>
      <c r="M2821" s="1350"/>
      <c r="N2821" s="1350"/>
      <c r="O2821" s="1350"/>
      <c r="P2821" s="1350"/>
      <c r="Q2821" s="1350"/>
      <c r="R2821" s="1531"/>
      <c r="S2821" s="1531"/>
      <c r="T2821" s="1531"/>
      <c r="U2821" s="1531"/>
      <c r="V2821" s="1531"/>
      <c r="W2821" s="1531"/>
      <c r="X2821" s="1531"/>
      <c r="Y2821" s="1531"/>
      <c r="Z2821" s="1531"/>
      <c r="AA2821" s="1531"/>
      <c r="AB2821" s="1531"/>
      <c r="AC2821" s="1531"/>
      <c r="AD2821" s="1531"/>
      <c r="AE2821" s="1531"/>
      <c r="AF2821" s="1531"/>
      <c r="AG2821" s="1531"/>
      <c r="AH2821" s="1531"/>
      <c r="AI2821" s="1531"/>
      <c r="AJ2821" s="1531"/>
      <c r="AK2821" s="1531"/>
      <c r="AL2821" s="1531"/>
      <c r="AM2821" s="1531"/>
      <c r="AN2821" s="1531"/>
      <c r="AO2821" s="1531"/>
      <c r="AP2821" s="1531"/>
      <c r="AQ2821" s="1531"/>
      <c r="AR2821" s="1531"/>
      <c r="AS2821" s="1531"/>
      <c r="AT2821" s="1531"/>
      <c r="AU2821" s="1531"/>
      <c r="AV2821" s="1531"/>
      <c r="AW2821" s="1531"/>
      <c r="AX2821" s="1531"/>
      <c r="AY2821" s="1531"/>
      <c r="AZ2821" s="1531"/>
      <c r="BA2821" s="1136"/>
      <c r="BB2821" s="1136"/>
      <c r="BC2821" s="1136"/>
      <c r="BD2821" s="1136"/>
      <c r="BE2821" s="1136"/>
      <c r="BF2821" s="1136"/>
      <c r="BG2821" s="1136"/>
      <c r="BH2821" s="1136"/>
      <c r="BI2821" s="1136"/>
      <c r="BJ2821" s="1136"/>
      <c r="BK2821" s="1136"/>
      <c r="BL2821" s="1136"/>
      <c r="BM2821" s="1568"/>
    </row>
    <row r="2822" spans="1:256" s="1391" customFormat="1" ht="15.75" x14ac:dyDescent="0.25">
      <c r="A2822" s="1430" t="s">
        <v>3395</v>
      </c>
      <c r="B2822" s="1443" t="e">
        <f>B240*B245*B259*B2535*B2821/B2820</f>
        <v>#VALUE!</v>
      </c>
      <c r="C2822" s="1437"/>
      <c r="D2822" s="1416"/>
      <c r="E2822" s="1416"/>
      <c r="F2822" s="1416"/>
      <c r="G2822" s="1416"/>
      <c r="H2822" s="1531"/>
      <c r="I2822" s="1531"/>
      <c r="J2822" s="1350"/>
      <c r="K2822" s="1350"/>
      <c r="L2822" s="1350"/>
      <c r="M2822" s="1350"/>
      <c r="N2822" s="1350"/>
      <c r="O2822" s="1350"/>
      <c r="P2822" s="1350"/>
      <c r="Q2822" s="1350"/>
      <c r="R2822" s="1531"/>
      <c r="S2822" s="1531"/>
      <c r="T2822" s="1531"/>
      <c r="U2822" s="1531"/>
      <c r="V2822" s="1531"/>
      <c r="W2822" s="1531"/>
      <c r="X2822" s="1531"/>
      <c r="Y2822" s="1531"/>
      <c r="Z2822" s="1531"/>
      <c r="AA2822" s="1531"/>
      <c r="AB2822" s="1531"/>
      <c r="AC2822" s="1531"/>
      <c r="AD2822" s="1531"/>
      <c r="AE2822" s="1531"/>
      <c r="AF2822" s="1531"/>
      <c r="AG2822" s="1531"/>
      <c r="AH2822" s="1531"/>
      <c r="AI2822" s="1531"/>
      <c r="AJ2822" s="1531"/>
      <c r="AK2822" s="1531"/>
      <c r="AL2822" s="1531"/>
      <c r="AM2822" s="1531"/>
      <c r="AN2822" s="1531"/>
      <c r="AO2822" s="1531"/>
      <c r="AP2822" s="1531"/>
      <c r="AQ2822" s="1531"/>
      <c r="AR2822" s="1531"/>
      <c r="AS2822" s="1531"/>
      <c r="AT2822" s="1531"/>
      <c r="AU2822" s="1531"/>
      <c r="AV2822" s="1531"/>
      <c r="AW2822" s="1531"/>
      <c r="AX2822" s="1531"/>
      <c r="AY2822" s="1531"/>
      <c r="AZ2822" s="1531"/>
      <c r="BA2822" s="1136"/>
      <c r="BB2822" s="1136"/>
      <c r="BC2822" s="1136"/>
      <c r="BD2822" s="1136"/>
      <c r="BE2822" s="1136"/>
      <c r="BF2822" s="1136"/>
      <c r="BG2822" s="1136"/>
      <c r="BH2822" s="1136"/>
      <c r="BI2822" s="1136"/>
      <c r="BJ2822" s="1136"/>
      <c r="BK2822" s="1136"/>
      <c r="BL2822" s="1136"/>
      <c r="BM2822" s="1568"/>
    </row>
    <row r="2823" spans="1:256" s="1391" customFormat="1" ht="15.75" x14ac:dyDescent="0.25">
      <c r="A2823" s="1456" t="s">
        <v>3396</v>
      </c>
      <c r="B2823" s="1599">
        <v>9</v>
      </c>
      <c r="C2823" s="1440"/>
      <c r="D2823" s="1432"/>
      <c r="E2823" s="1432"/>
      <c r="F2823" s="1432"/>
      <c r="G2823" s="1432"/>
      <c r="H2823" s="1531"/>
      <c r="I2823" s="1531"/>
      <c r="J2823" s="1350"/>
      <c r="K2823" s="1350"/>
      <c r="L2823" s="1350"/>
      <c r="M2823" s="1350"/>
      <c r="N2823" s="1350"/>
      <c r="O2823" s="1350"/>
      <c r="P2823" s="1350"/>
      <c r="Q2823" s="1350"/>
      <c r="R2823" s="1531"/>
      <c r="S2823" s="1531"/>
      <c r="T2823" s="1531"/>
      <c r="U2823" s="1531"/>
      <c r="V2823" s="1531"/>
      <c r="W2823" s="1531"/>
      <c r="X2823" s="1531"/>
      <c r="Y2823" s="1531"/>
      <c r="Z2823" s="1531"/>
      <c r="AA2823" s="1531"/>
      <c r="AB2823" s="1531"/>
      <c r="AC2823" s="1531"/>
      <c r="AD2823" s="1531"/>
      <c r="AE2823" s="1531"/>
      <c r="AF2823" s="1531"/>
      <c r="AG2823" s="1531"/>
      <c r="AH2823" s="1531"/>
      <c r="AI2823" s="1531"/>
      <c r="AJ2823" s="1531"/>
      <c r="AK2823" s="1531"/>
      <c r="AL2823" s="1531"/>
      <c r="AM2823" s="1531"/>
      <c r="AN2823" s="1531"/>
      <c r="AO2823" s="1531"/>
      <c r="AP2823" s="1531"/>
      <c r="AQ2823" s="1531"/>
      <c r="AR2823" s="1531"/>
      <c r="AS2823" s="1531"/>
      <c r="AT2823" s="1531"/>
      <c r="AU2823" s="1531"/>
      <c r="AV2823" s="1531"/>
      <c r="AW2823" s="1531"/>
      <c r="AX2823" s="1531"/>
      <c r="AY2823" s="1531"/>
      <c r="AZ2823" s="1531"/>
      <c r="BA2823" s="1136"/>
      <c r="BB2823" s="1136"/>
      <c r="BC2823" s="1136"/>
      <c r="BD2823" s="1136"/>
      <c r="BE2823" s="1136"/>
      <c r="BF2823" s="1136"/>
      <c r="BG2823" s="1136"/>
      <c r="BH2823" s="1136"/>
      <c r="BI2823" s="1136"/>
      <c r="BJ2823" s="1136"/>
      <c r="BK2823" s="1136"/>
      <c r="BL2823" s="1136"/>
      <c r="BM2823" s="1600"/>
      <c r="BN2823" s="1601"/>
      <c r="BO2823" s="1601"/>
      <c r="BP2823" s="1601"/>
      <c r="BQ2823" s="1601"/>
      <c r="BR2823" s="1601"/>
      <c r="BS2823" s="1601"/>
      <c r="BT2823" s="1601"/>
      <c r="BU2823" s="1601"/>
      <c r="BV2823" s="1601"/>
      <c r="BW2823" s="1601"/>
      <c r="BX2823" s="1601"/>
      <c r="BY2823" s="1601"/>
      <c r="BZ2823" s="1601"/>
      <c r="CA2823" s="1601"/>
      <c r="CB2823" s="1601"/>
      <c r="CC2823" s="1601"/>
      <c r="CD2823" s="1601"/>
      <c r="CE2823" s="1601"/>
      <c r="CF2823" s="1601"/>
      <c r="CG2823" s="1601"/>
      <c r="CH2823" s="1601"/>
      <c r="CI2823" s="1601"/>
      <c r="CJ2823" s="1601"/>
      <c r="CK2823" s="1601"/>
      <c r="CL2823" s="1601"/>
      <c r="CM2823" s="1601"/>
      <c r="CN2823" s="1601"/>
      <c r="CO2823" s="1601"/>
      <c r="CP2823" s="1601"/>
      <c r="CQ2823" s="1601"/>
      <c r="CR2823" s="1601"/>
      <c r="CS2823" s="1601"/>
      <c r="CT2823" s="1601"/>
      <c r="CU2823" s="1601"/>
      <c r="CV2823" s="1601"/>
      <c r="CW2823" s="1601"/>
      <c r="CX2823" s="1601"/>
      <c r="CY2823" s="1601"/>
      <c r="CZ2823" s="1601"/>
      <c r="DA2823" s="1601"/>
      <c r="DB2823" s="1601"/>
      <c r="DC2823" s="1601"/>
      <c r="DD2823" s="1601"/>
      <c r="DE2823" s="1601"/>
      <c r="DF2823" s="1601"/>
      <c r="DG2823" s="1601"/>
      <c r="DH2823" s="1601"/>
      <c r="DI2823" s="1601"/>
      <c r="DJ2823" s="1601"/>
      <c r="DK2823" s="1601"/>
      <c r="DL2823" s="1601"/>
      <c r="DM2823" s="1601"/>
      <c r="DN2823" s="1601"/>
      <c r="DO2823" s="1601"/>
      <c r="DP2823" s="1601"/>
      <c r="DQ2823" s="1601"/>
      <c r="DR2823" s="1601"/>
      <c r="DS2823" s="1601"/>
      <c r="DT2823" s="1601"/>
      <c r="DU2823" s="1601"/>
      <c r="DV2823" s="1601"/>
      <c r="DW2823" s="1601"/>
      <c r="DX2823" s="1601"/>
      <c r="DY2823" s="1601"/>
      <c r="DZ2823" s="1601"/>
      <c r="EA2823" s="1601"/>
      <c r="EB2823" s="1601"/>
      <c r="EC2823" s="1601"/>
      <c r="ED2823" s="1601"/>
      <c r="EE2823" s="1601"/>
      <c r="EF2823" s="1601"/>
      <c r="EG2823" s="1601"/>
      <c r="EH2823" s="1601"/>
      <c r="EI2823" s="1601"/>
      <c r="EJ2823" s="1601"/>
      <c r="EK2823" s="1601"/>
      <c r="EL2823" s="1601"/>
      <c r="EM2823" s="1601"/>
      <c r="EN2823" s="1601"/>
      <c r="EO2823" s="1601"/>
      <c r="EP2823" s="1601"/>
      <c r="EQ2823" s="1601"/>
      <c r="ER2823" s="1601"/>
      <c r="ES2823" s="1601"/>
      <c r="ET2823" s="1601"/>
      <c r="EU2823" s="1601"/>
      <c r="EV2823" s="1601"/>
      <c r="EW2823" s="1601"/>
      <c r="EX2823" s="1601"/>
      <c r="EY2823" s="1601"/>
      <c r="EZ2823" s="1601"/>
      <c r="FA2823" s="1601"/>
      <c r="FB2823" s="1601"/>
      <c r="FC2823" s="1601"/>
      <c r="FD2823" s="1601"/>
      <c r="FE2823" s="1601"/>
      <c r="FF2823" s="1601"/>
      <c r="FG2823" s="1601"/>
      <c r="FH2823" s="1601"/>
      <c r="FI2823" s="1601"/>
      <c r="FJ2823" s="1601"/>
      <c r="FK2823" s="1601"/>
      <c r="FL2823" s="1601"/>
      <c r="FM2823" s="1601"/>
      <c r="FN2823" s="1601"/>
      <c r="FO2823" s="1601"/>
      <c r="FP2823" s="1601"/>
      <c r="FQ2823" s="1601"/>
      <c r="FR2823" s="1601"/>
      <c r="FS2823" s="1601"/>
      <c r="FT2823" s="1601"/>
      <c r="FU2823" s="1601"/>
      <c r="FV2823" s="1601"/>
      <c r="FW2823" s="1601"/>
      <c r="FX2823" s="1601"/>
      <c r="FY2823" s="1601"/>
      <c r="FZ2823" s="1601"/>
      <c r="GA2823" s="1601"/>
      <c r="GB2823" s="1601"/>
      <c r="GC2823" s="1601"/>
      <c r="GD2823" s="1601"/>
      <c r="GE2823" s="1601"/>
      <c r="GF2823" s="1601"/>
      <c r="GG2823" s="1601"/>
      <c r="GH2823" s="1601"/>
      <c r="GI2823" s="1601"/>
      <c r="GJ2823" s="1601"/>
      <c r="GK2823" s="1601"/>
      <c r="GL2823" s="1601"/>
      <c r="GM2823" s="1601"/>
      <c r="GN2823" s="1601"/>
      <c r="GO2823" s="1601"/>
      <c r="GP2823" s="1601"/>
      <c r="GQ2823" s="1601"/>
      <c r="GR2823" s="1601"/>
      <c r="GS2823" s="1601"/>
      <c r="GT2823" s="1601"/>
      <c r="GU2823" s="1601"/>
      <c r="GV2823" s="1601"/>
      <c r="GW2823" s="1601"/>
      <c r="GX2823" s="1601"/>
      <c r="GY2823" s="1601"/>
      <c r="GZ2823" s="1601"/>
      <c r="HA2823" s="1601"/>
      <c r="HB2823" s="1601"/>
      <c r="HC2823" s="1601"/>
      <c r="HD2823" s="1601"/>
      <c r="HE2823" s="1601"/>
      <c r="HF2823" s="1601"/>
      <c r="HG2823" s="1601"/>
      <c r="HH2823" s="1601"/>
      <c r="HI2823" s="1601"/>
      <c r="HJ2823" s="1601"/>
      <c r="HK2823" s="1601"/>
      <c r="HL2823" s="1601"/>
      <c r="HM2823" s="1601"/>
      <c r="HN2823" s="1601"/>
      <c r="HO2823" s="1601"/>
      <c r="HP2823" s="1601"/>
      <c r="HQ2823" s="1601"/>
      <c r="HR2823" s="1601"/>
      <c r="HS2823" s="1601"/>
      <c r="HT2823" s="1601"/>
      <c r="HU2823" s="1601"/>
      <c r="HV2823" s="1601"/>
      <c r="HW2823" s="1601"/>
      <c r="HX2823" s="1601"/>
      <c r="HY2823" s="1601"/>
      <c r="HZ2823" s="1601"/>
      <c r="IA2823" s="1601"/>
      <c r="IB2823" s="1601"/>
      <c r="IC2823" s="1601"/>
      <c r="ID2823" s="1601"/>
      <c r="IE2823" s="1601"/>
      <c r="IF2823" s="1601"/>
      <c r="IG2823" s="1601"/>
      <c r="IH2823" s="1601"/>
      <c r="II2823" s="1601"/>
      <c r="IJ2823" s="1601"/>
      <c r="IK2823" s="1601"/>
      <c r="IL2823" s="1601"/>
      <c r="IM2823" s="1601"/>
      <c r="IN2823" s="1601"/>
      <c r="IO2823" s="1601"/>
      <c r="IP2823" s="1601"/>
      <c r="IQ2823" s="1601"/>
      <c r="IR2823" s="1601"/>
      <c r="IS2823" s="1601"/>
      <c r="IT2823" s="1601"/>
      <c r="IU2823" s="1601"/>
      <c r="IV2823" s="1601"/>
    </row>
    <row r="2824" spans="1:256" s="1136" customFormat="1" ht="15.75" x14ac:dyDescent="0.25">
      <c r="A2824" s="1430" t="s">
        <v>3397</v>
      </c>
      <c r="B2824" s="1433" t="e">
        <f>B2822*B2823</f>
        <v>#VALUE!</v>
      </c>
      <c r="C2824" s="1437"/>
      <c r="D2824" s="1454"/>
      <c r="E2824" s="1454"/>
      <c r="F2824" s="1454"/>
      <c r="G2824" s="1454"/>
      <c r="H2824" s="1531"/>
      <c r="I2824" s="1531"/>
      <c r="J2824" s="1350"/>
      <c r="K2824" s="1350"/>
      <c r="L2824" s="1350"/>
      <c r="M2824" s="1350"/>
      <c r="N2824" s="1350"/>
      <c r="O2824" s="1350"/>
      <c r="P2824" s="1350"/>
      <c r="Q2824" s="1350"/>
      <c r="R2824" s="1531"/>
      <c r="S2824" s="1531"/>
      <c r="T2824" s="1531"/>
      <c r="U2824" s="1531"/>
      <c r="V2824" s="1531"/>
      <c r="W2824" s="1531"/>
      <c r="X2824" s="1531"/>
      <c r="Y2824" s="1531"/>
      <c r="Z2824" s="1531"/>
      <c r="AA2824" s="1531"/>
      <c r="AB2824" s="1531"/>
      <c r="AC2824" s="1531"/>
      <c r="AD2824" s="1531"/>
      <c r="AE2824" s="1531"/>
      <c r="AF2824" s="1531"/>
      <c r="AG2824" s="1531"/>
      <c r="AH2824" s="1531"/>
      <c r="AI2824" s="1531"/>
      <c r="AJ2824" s="1531"/>
      <c r="AK2824" s="1531"/>
      <c r="AL2824" s="1531"/>
      <c r="AM2824" s="1531"/>
      <c r="AN2824" s="1531"/>
      <c r="AO2824" s="1531"/>
      <c r="AP2824" s="1531"/>
      <c r="AQ2824" s="1531"/>
      <c r="AR2824" s="1531"/>
      <c r="AS2824" s="1531"/>
      <c r="AT2824" s="1531"/>
      <c r="AU2824" s="1531"/>
      <c r="AV2824" s="1531"/>
      <c r="AW2824" s="1531"/>
      <c r="AX2824" s="1531"/>
      <c r="AY2824" s="1531"/>
      <c r="AZ2824" s="1531"/>
    </row>
    <row r="2825" spans="1:256" s="1136" customFormat="1" ht="15.75" x14ac:dyDescent="0.25">
      <c r="A2825" s="1466" t="s">
        <v>3398</v>
      </c>
      <c r="B2825" s="1571">
        <f>IF(B252=2,B2824,0)</f>
        <v>0</v>
      </c>
      <c r="C2825" s="1468"/>
      <c r="D2825" s="1350"/>
      <c r="E2825" s="1350"/>
      <c r="F2825" s="1350"/>
      <c r="G2825" s="1350"/>
      <c r="H2825" s="1531"/>
      <c r="I2825" s="1531"/>
      <c r="J2825" s="1350"/>
      <c r="K2825" s="1350"/>
      <c r="L2825" s="1350"/>
      <c r="M2825" s="1350"/>
      <c r="N2825" s="1350"/>
      <c r="O2825" s="1350"/>
      <c r="P2825" s="1350"/>
      <c r="Q2825" s="1350"/>
      <c r="R2825" s="1531"/>
      <c r="S2825" s="1531"/>
      <c r="T2825" s="1531"/>
      <c r="U2825" s="1531"/>
      <c r="V2825" s="1531"/>
      <c r="W2825" s="1531"/>
      <c r="X2825" s="1531"/>
      <c r="Y2825" s="1531"/>
      <c r="Z2825" s="1531"/>
      <c r="AA2825" s="1531"/>
      <c r="AB2825" s="1531"/>
      <c r="AC2825" s="1531"/>
      <c r="AD2825" s="1531"/>
      <c r="AE2825" s="1531"/>
      <c r="AF2825" s="1531"/>
      <c r="AG2825" s="1531"/>
      <c r="AH2825" s="1531"/>
      <c r="AI2825" s="1531"/>
      <c r="AJ2825" s="1531"/>
      <c r="AK2825" s="1531"/>
      <c r="AL2825" s="1531"/>
      <c r="AM2825" s="1531"/>
      <c r="AN2825" s="1531"/>
      <c r="AO2825" s="1531"/>
      <c r="AP2825" s="1531"/>
      <c r="AQ2825" s="1531"/>
      <c r="AR2825" s="1531"/>
      <c r="AS2825" s="1531"/>
      <c r="AT2825" s="1531"/>
      <c r="AU2825" s="1531"/>
      <c r="AV2825" s="1531"/>
      <c r="AW2825" s="1531"/>
      <c r="AX2825" s="1531"/>
      <c r="AY2825" s="1531"/>
      <c r="AZ2825" s="1531"/>
    </row>
    <row r="2826" spans="1:256" s="1136" customFormat="1" ht="15.75" x14ac:dyDescent="0.25">
      <c r="A2826" s="1430"/>
      <c r="B2826" s="1433"/>
      <c r="C2826" s="1437"/>
      <c r="D2826" s="1350"/>
      <c r="E2826" s="1350"/>
      <c r="F2826" s="1350"/>
      <c r="G2826" s="1350"/>
      <c r="H2826" s="1531"/>
      <c r="I2826" s="1531"/>
      <c r="J2826" s="1350"/>
      <c r="K2826" s="1350"/>
      <c r="L2826" s="1350"/>
      <c r="M2826" s="1350"/>
      <c r="N2826" s="1350"/>
      <c r="O2826" s="1350"/>
      <c r="P2826" s="1350"/>
      <c r="Q2826" s="1350"/>
      <c r="R2826" s="1531"/>
      <c r="S2826" s="1531"/>
      <c r="T2826" s="1531"/>
      <c r="U2826" s="1531"/>
      <c r="V2826" s="1531"/>
      <c r="W2826" s="1531"/>
      <c r="X2826" s="1531"/>
      <c r="Y2826" s="1531"/>
      <c r="Z2826" s="1531"/>
      <c r="AA2826" s="1531"/>
      <c r="AB2826" s="1531"/>
      <c r="AC2826" s="1531"/>
      <c r="AD2826" s="1531"/>
      <c r="AE2826" s="1531"/>
      <c r="AF2826" s="1531"/>
      <c r="AG2826" s="1531"/>
      <c r="AH2826" s="1531"/>
      <c r="AI2826" s="1531"/>
      <c r="AJ2826" s="1531"/>
      <c r="AK2826" s="1531"/>
      <c r="AL2826" s="1531"/>
      <c r="AM2826" s="1531"/>
      <c r="AN2826" s="1531"/>
      <c r="AO2826" s="1531"/>
      <c r="AP2826" s="1531"/>
      <c r="AQ2826" s="1531"/>
      <c r="AR2826" s="1531"/>
      <c r="AS2826" s="1531"/>
      <c r="AT2826" s="1531"/>
      <c r="AU2826" s="1531"/>
      <c r="AV2826" s="1531"/>
      <c r="AW2826" s="1531"/>
      <c r="AX2826" s="1531"/>
      <c r="AY2826" s="1531"/>
      <c r="AZ2826" s="1531"/>
    </row>
    <row r="2827" spans="1:256" s="1136" customFormat="1" ht="15.75" x14ac:dyDescent="0.25">
      <c r="A2827" s="1580" t="s">
        <v>3399</v>
      </c>
      <c r="B2827" s="1433"/>
      <c r="C2827" s="1437"/>
      <c r="D2827" s="1440"/>
      <c r="E2827" s="1440"/>
      <c r="F2827" s="1440"/>
      <c r="G2827" s="1440"/>
      <c r="H2827" s="1531"/>
      <c r="I2827" s="1531"/>
      <c r="J2827" s="1350"/>
      <c r="K2827" s="1350"/>
      <c r="L2827" s="1350"/>
      <c r="M2827" s="1350"/>
      <c r="N2827" s="1350"/>
      <c r="O2827" s="1350"/>
      <c r="P2827" s="1350"/>
      <c r="Q2827" s="1350"/>
      <c r="R2827" s="1531"/>
      <c r="S2827" s="1531"/>
      <c r="T2827" s="1531"/>
      <c r="U2827" s="1531"/>
      <c r="V2827" s="1531"/>
      <c r="W2827" s="1531"/>
      <c r="X2827" s="1531"/>
      <c r="Y2827" s="1531"/>
      <c r="Z2827" s="1531"/>
      <c r="AA2827" s="1531"/>
      <c r="AB2827" s="1531"/>
      <c r="AC2827" s="1531"/>
      <c r="AD2827" s="1531"/>
      <c r="AE2827" s="1531"/>
      <c r="AF2827" s="1531"/>
      <c r="AG2827" s="1531"/>
      <c r="AH2827" s="1531"/>
      <c r="AI2827" s="1531"/>
      <c r="AJ2827" s="1531"/>
      <c r="AK2827" s="1531"/>
      <c r="AL2827" s="1531"/>
      <c r="AM2827" s="1531"/>
      <c r="AN2827" s="1531"/>
      <c r="AO2827" s="1531"/>
      <c r="AP2827" s="1531"/>
      <c r="AQ2827" s="1531"/>
      <c r="AR2827" s="1531"/>
      <c r="AS2827" s="1531"/>
      <c r="AT2827" s="1531"/>
      <c r="AU2827" s="1531"/>
      <c r="AV2827" s="1531"/>
      <c r="AW2827" s="1531"/>
      <c r="AX2827" s="1531"/>
      <c r="AY2827" s="1531"/>
      <c r="AZ2827" s="1531"/>
    </row>
    <row r="2828" spans="1:256" s="1136" customFormat="1" ht="15.75" x14ac:dyDescent="0.25">
      <c r="A2828" s="1430" t="s">
        <v>3400</v>
      </c>
      <c r="B2828" s="1433" t="e">
        <f>B245*CEILING(B240*B259*B2535,1)/B2820</f>
        <v>#VALUE!</v>
      </c>
      <c r="C2828" s="1437"/>
      <c r="D2828" s="1440"/>
      <c r="E2828" s="1440"/>
      <c r="F2828" s="1440"/>
      <c r="G2828" s="1440"/>
      <c r="H2828" s="1531"/>
      <c r="I2828" s="1531"/>
      <c r="J2828" s="1350"/>
      <c r="K2828" s="1350"/>
      <c r="L2828" s="1350"/>
      <c r="M2828" s="1350"/>
      <c r="N2828" s="1350"/>
      <c r="O2828" s="1350"/>
      <c r="P2828" s="1350"/>
      <c r="Q2828" s="1350"/>
      <c r="R2828" s="1531"/>
      <c r="S2828" s="1531"/>
      <c r="T2828" s="1531"/>
      <c r="U2828" s="1531"/>
      <c r="V2828" s="1531"/>
      <c r="W2828" s="1531"/>
      <c r="X2828" s="1531"/>
      <c r="Y2828" s="1531"/>
      <c r="Z2828" s="1531"/>
      <c r="AA2828" s="1531"/>
      <c r="AB2828" s="1531"/>
      <c r="AC2828" s="1531"/>
      <c r="AD2828" s="1531"/>
      <c r="AE2828" s="1531"/>
      <c r="AF2828" s="1531"/>
      <c r="AG2828" s="1531"/>
      <c r="AH2828" s="1531"/>
      <c r="AI2828" s="1531"/>
      <c r="AJ2828" s="1531"/>
      <c r="AK2828" s="1531"/>
      <c r="AL2828" s="1531"/>
      <c r="AM2828" s="1531"/>
      <c r="AN2828" s="1531"/>
      <c r="AO2828" s="1531"/>
      <c r="AP2828" s="1531"/>
      <c r="AQ2828" s="1531"/>
      <c r="AR2828" s="1531"/>
      <c r="AS2828" s="1531"/>
      <c r="AT2828" s="1531"/>
      <c r="AU2828" s="1531"/>
      <c r="AV2828" s="1531"/>
      <c r="AW2828" s="1531"/>
      <c r="AX2828" s="1531"/>
      <c r="AY2828" s="1531"/>
      <c r="AZ2828" s="1531"/>
    </row>
    <row r="2829" spans="1:256" s="1136" customFormat="1" ht="15.75" x14ac:dyDescent="0.25">
      <c r="A2829" s="1456" t="s">
        <v>3401</v>
      </c>
      <c r="B2829" s="1599">
        <v>5</v>
      </c>
      <c r="C2829" s="1440"/>
      <c r="D2829" s="1437"/>
      <c r="E2829" s="1437"/>
      <c r="F2829" s="1437"/>
      <c r="G2829" s="1437"/>
      <c r="H2829" s="1531"/>
      <c r="I2829" s="1531"/>
      <c r="J2829" s="1350"/>
      <c r="K2829" s="1350"/>
      <c r="L2829" s="1350"/>
      <c r="M2829" s="1350"/>
      <c r="N2829" s="1350"/>
      <c r="O2829" s="1350"/>
      <c r="P2829" s="1350"/>
      <c r="Q2829" s="1350"/>
      <c r="R2829" s="1531"/>
      <c r="S2829" s="1531"/>
      <c r="T2829" s="1531"/>
      <c r="U2829" s="1531"/>
      <c r="V2829" s="1531"/>
      <c r="W2829" s="1531"/>
      <c r="X2829" s="1531"/>
      <c r="Y2829" s="1531"/>
      <c r="Z2829" s="1531"/>
      <c r="AA2829" s="1531"/>
      <c r="AB2829" s="1531"/>
      <c r="AC2829" s="1531"/>
      <c r="AD2829" s="1531"/>
      <c r="AE2829" s="1531"/>
      <c r="AF2829" s="1531"/>
      <c r="AG2829" s="1531"/>
      <c r="AH2829" s="1531"/>
      <c r="AI2829" s="1531"/>
      <c r="AJ2829" s="1531"/>
      <c r="AK2829" s="1531"/>
      <c r="AL2829" s="1531"/>
      <c r="AM2829" s="1531"/>
      <c r="AN2829" s="1531"/>
      <c r="AO2829" s="1531"/>
      <c r="AP2829" s="1531"/>
      <c r="AQ2829" s="1531"/>
      <c r="AR2829" s="1531"/>
      <c r="AS2829" s="1531"/>
      <c r="AT2829" s="1531"/>
      <c r="AU2829" s="1531"/>
      <c r="AV2829" s="1531"/>
      <c r="AW2829" s="1531"/>
      <c r="AX2829" s="1531"/>
      <c r="AY2829" s="1531"/>
      <c r="AZ2829" s="1531"/>
    </row>
    <row r="2830" spans="1:256" s="1136" customFormat="1" ht="15.75" x14ac:dyDescent="0.25">
      <c r="A2830" s="1430" t="s">
        <v>3402</v>
      </c>
      <c r="B2830" s="1433" t="e">
        <f>B2828*B2829</f>
        <v>#VALUE!</v>
      </c>
      <c r="C2830" s="1437"/>
      <c r="D2830" s="1440"/>
      <c r="E2830" s="1440"/>
      <c r="F2830" s="1440"/>
      <c r="G2830" s="1440"/>
      <c r="H2830" s="1531"/>
      <c r="I2830" s="1531"/>
      <c r="J2830" s="1350"/>
      <c r="K2830" s="1350"/>
      <c r="L2830" s="1350"/>
      <c r="M2830" s="1350"/>
      <c r="N2830" s="1350"/>
      <c r="O2830" s="1350"/>
      <c r="P2830" s="1350"/>
      <c r="Q2830" s="1350"/>
      <c r="R2830" s="1531"/>
      <c r="S2830" s="1531"/>
      <c r="T2830" s="1531"/>
      <c r="U2830" s="1531"/>
      <c r="V2830" s="1531"/>
      <c r="W2830" s="1531"/>
      <c r="X2830" s="1531"/>
      <c r="Y2830" s="1531"/>
      <c r="Z2830" s="1531"/>
      <c r="AA2830" s="1531"/>
      <c r="AB2830" s="1531"/>
      <c r="AC2830" s="1531"/>
      <c r="AD2830" s="1531"/>
      <c r="AE2830" s="1531"/>
      <c r="AF2830" s="1531"/>
      <c r="AG2830" s="1531"/>
      <c r="AH2830" s="1531"/>
      <c r="AI2830" s="1531"/>
      <c r="AJ2830" s="1531"/>
      <c r="AK2830" s="1531"/>
      <c r="AL2830" s="1531"/>
      <c r="AM2830" s="1531"/>
      <c r="AN2830" s="1531"/>
      <c r="AO2830" s="1531"/>
      <c r="AP2830" s="1531"/>
      <c r="AQ2830" s="1531"/>
      <c r="AR2830" s="1531"/>
      <c r="AS2830" s="1531"/>
      <c r="AT2830" s="1531"/>
      <c r="AU2830" s="1531"/>
      <c r="AV2830" s="1531"/>
      <c r="AW2830" s="1531"/>
      <c r="AX2830" s="1531"/>
      <c r="AY2830" s="1531"/>
      <c r="AZ2830" s="1531"/>
    </row>
    <row r="2831" spans="1:256" s="1136" customFormat="1" ht="15.75" x14ac:dyDescent="0.25">
      <c r="A2831" s="1466" t="s">
        <v>3403</v>
      </c>
      <c r="B2831" s="1571">
        <f>IF(B252=2,B2830,0)</f>
        <v>0</v>
      </c>
      <c r="C2831" s="1468"/>
      <c r="D2831" s="1437"/>
      <c r="E2831" s="1437"/>
      <c r="F2831" s="1437"/>
      <c r="G2831" s="1437"/>
      <c r="H2831" s="1531"/>
      <c r="I2831" s="1531"/>
      <c r="J2831" s="1350"/>
      <c r="K2831" s="1350"/>
      <c r="L2831" s="1350"/>
      <c r="M2831" s="1350"/>
      <c r="N2831" s="1350"/>
      <c r="O2831" s="1350"/>
      <c r="P2831" s="1350"/>
      <c r="Q2831" s="1350"/>
      <c r="R2831" s="1531"/>
      <c r="S2831" s="1531"/>
      <c r="T2831" s="1531"/>
      <c r="U2831" s="1531"/>
      <c r="V2831" s="1531"/>
      <c r="W2831" s="1531"/>
      <c r="X2831" s="1531"/>
      <c r="Y2831" s="1531"/>
      <c r="Z2831" s="1531"/>
      <c r="AA2831" s="1531"/>
      <c r="AB2831" s="1531"/>
      <c r="AC2831" s="1531"/>
      <c r="AD2831" s="1531"/>
      <c r="AE2831" s="1531"/>
      <c r="AF2831" s="1531"/>
      <c r="AG2831" s="1531"/>
      <c r="AH2831" s="1531"/>
      <c r="AI2831" s="1531"/>
      <c r="AJ2831" s="1531"/>
      <c r="AK2831" s="1531"/>
      <c r="AL2831" s="1531"/>
      <c r="AM2831" s="1531"/>
      <c r="AN2831" s="1531"/>
      <c r="AO2831" s="1531"/>
      <c r="AP2831" s="1531"/>
      <c r="AQ2831" s="1531"/>
      <c r="AR2831" s="1531"/>
      <c r="AS2831" s="1531"/>
      <c r="AT2831" s="1531"/>
      <c r="AU2831" s="1531"/>
      <c r="AV2831" s="1531"/>
      <c r="AW2831" s="1531"/>
      <c r="AX2831" s="1531"/>
      <c r="AY2831" s="1531"/>
      <c r="AZ2831" s="1531"/>
    </row>
    <row r="2832" spans="1:256" s="1136" customFormat="1" ht="15.75" x14ac:dyDescent="0.25">
      <c r="A2832" s="1430"/>
      <c r="B2832" s="1433"/>
      <c r="C2832" s="1437"/>
      <c r="D2832" s="1468"/>
      <c r="E2832" s="1468"/>
      <c r="F2832" s="1468"/>
      <c r="G2832" s="1468"/>
      <c r="H2832" s="1531"/>
      <c r="I2832" s="1531"/>
      <c r="J2832" s="1350"/>
      <c r="K2832" s="1350"/>
      <c r="L2832" s="1350"/>
      <c r="M2832" s="1350"/>
      <c r="N2832" s="1350"/>
      <c r="O2832" s="1350"/>
      <c r="P2832" s="1350"/>
      <c r="Q2832" s="1350"/>
      <c r="R2832" s="1531"/>
      <c r="S2832" s="1531"/>
      <c r="T2832" s="1531"/>
      <c r="U2832" s="1531"/>
      <c r="V2832" s="1531"/>
      <c r="W2832" s="1531"/>
      <c r="X2832" s="1531"/>
      <c r="Y2832" s="1531"/>
      <c r="Z2832" s="1531"/>
      <c r="AA2832" s="1531"/>
      <c r="AB2832" s="1531"/>
      <c r="AC2832" s="1531"/>
      <c r="AD2832" s="1531"/>
      <c r="AE2832" s="1531"/>
      <c r="AF2832" s="1531"/>
      <c r="AG2832" s="1531"/>
      <c r="AH2832" s="1531"/>
      <c r="AI2832" s="1531"/>
      <c r="AJ2832" s="1531"/>
      <c r="AK2832" s="1531"/>
      <c r="AL2832" s="1531"/>
      <c r="AM2832" s="1531"/>
      <c r="AN2832" s="1531"/>
      <c r="AO2832" s="1531"/>
      <c r="AP2832" s="1531"/>
      <c r="AQ2832" s="1531"/>
      <c r="AR2832" s="1531"/>
      <c r="AS2832" s="1531"/>
      <c r="AT2832" s="1531"/>
      <c r="AU2832" s="1531"/>
      <c r="AV2832" s="1531"/>
      <c r="AW2832" s="1531"/>
      <c r="AX2832" s="1531"/>
      <c r="AY2832" s="1531"/>
      <c r="AZ2832" s="1531"/>
    </row>
    <row r="2833" spans="1:52" s="1136" customFormat="1" ht="15.75" x14ac:dyDescent="0.25">
      <c r="A2833" s="1580" t="s">
        <v>3404</v>
      </c>
      <c r="B2833" s="1433"/>
      <c r="C2833" s="1437"/>
      <c r="D2833" s="1437"/>
      <c r="E2833" s="1437"/>
      <c r="F2833" s="1437"/>
      <c r="G2833" s="1437"/>
      <c r="H2833" s="1531"/>
      <c r="I2833" s="1531"/>
      <c r="J2833" s="1350"/>
      <c r="K2833" s="1350"/>
      <c r="L2833" s="1350"/>
      <c r="M2833" s="1350"/>
      <c r="N2833" s="1350"/>
      <c r="O2833" s="1350"/>
      <c r="P2833" s="1350"/>
      <c r="Q2833" s="1350"/>
      <c r="R2833" s="1531"/>
      <c r="S2833" s="1531"/>
      <c r="T2833" s="1531"/>
      <c r="U2833" s="1531"/>
      <c r="V2833" s="1531"/>
      <c r="W2833" s="1531"/>
      <c r="X2833" s="1531"/>
      <c r="Y2833" s="1531"/>
      <c r="Z2833" s="1531"/>
      <c r="AA2833" s="1531"/>
      <c r="AB2833" s="1531"/>
      <c r="AC2833" s="1531"/>
      <c r="AD2833" s="1531"/>
      <c r="AE2833" s="1531"/>
      <c r="AF2833" s="1531"/>
      <c r="AG2833" s="1531"/>
      <c r="AH2833" s="1531"/>
      <c r="AI2833" s="1531"/>
      <c r="AJ2833" s="1531"/>
      <c r="AK2833" s="1531"/>
      <c r="AL2833" s="1531"/>
      <c r="AM2833" s="1531"/>
      <c r="AN2833" s="1531"/>
      <c r="AO2833" s="1531"/>
      <c r="AP2833" s="1531"/>
      <c r="AQ2833" s="1531"/>
      <c r="AR2833" s="1531"/>
      <c r="AS2833" s="1531"/>
      <c r="AT2833" s="1531"/>
      <c r="AU2833" s="1531"/>
      <c r="AV2833" s="1531"/>
      <c r="AW2833" s="1531"/>
      <c r="AX2833" s="1531"/>
      <c r="AY2833" s="1531"/>
      <c r="AZ2833" s="1531"/>
    </row>
    <row r="2834" spans="1:52" s="1136" customFormat="1" ht="15.75" x14ac:dyDescent="0.25">
      <c r="A2834" s="1417" t="s">
        <v>3405</v>
      </c>
      <c r="B2834" s="1442">
        <v>40</v>
      </c>
      <c r="C2834" s="1349"/>
      <c r="D2834" s="1437"/>
      <c r="E2834" s="1437"/>
      <c r="F2834" s="1437"/>
      <c r="G2834" s="1437"/>
      <c r="H2834" s="1531"/>
      <c r="I2834" s="1531"/>
      <c r="J2834" s="1350"/>
      <c r="K2834" s="1350"/>
      <c r="L2834" s="1350"/>
      <c r="M2834" s="1350"/>
      <c r="N2834" s="1350"/>
      <c r="O2834" s="1350"/>
      <c r="P2834" s="1350"/>
      <c r="Q2834" s="1350"/>
      <c r="R2834" s="1531"/>
      <c r="S2834" s="1531"/>
      <c r="T2834" s="1531"/>
      <c r="U2834" s="1531"/>
      <c r="V2834" s="1531"/>
      <c r="W2834" s="1531"/>
      <c r="X2834" s="1531"/>
      <c r="Y2834" s="1531"/>
      <c r="Z2834" s="1531"/>
      <c r="AA2834" s="1531"/>
      <c r="AB2834" s="1531"/>
      <c r="AC2834" s="1531"/>
      <c r="AD2834" s="1531"/>
      <c r="AE2834" s="1531"/>
      <c r="AF2834" s="1531"/>
      <c r="AG2834" s="1531"/>
      <c r="AH2834" s="1531"/>
      <c r="AI2834" s="1531"/>
      <c r="AJ2834" s="1531"/>
      <c r="AK2834" s="1531"/>
      <c r="AL2834" s="1531"/>
      <c r="AM2834" s="1531"/>
      <c r="AN2834" s="1531"/>
      <c r="AO2834" s="1531"/>
      <c r="AP2834" s="1531"/>
      <c r="AQ2834" s="1531"/>
      <c r="AR2834" s="1531"/>
      <c r="AS2834" s="1531"/>
      <c r="AT2834" s="1531"/>
      <c r="AU2834" s="1531"/>
      <c r="AV2834" s="1531"/>
      <c r="AW2834" s="1531"/>
      <c r="AX2834" s="1531"/>
      <c r="AY2834" s="1531"/>
      <c r="AZ2834" s="1531"/>
    </row>
    <row r="2835" spans="1:52" s="1136" customFormat="1" ht="15.75" x14ac:dyDescent="0.25">
      <c r="A2835" s="1417" t="s">
        <v>3406</v>
      </c>
      <c r="B2835" s="1442">
        <v>10</v>
      </c>
      <c r="C2835" s="1349"/>
      <c r="D2835" s="1437"/>
      <c r="E2835" s="1437"/>
      <c r="F2835" s="1437"/>
      <c r="G2835" s="1437"/>
      <c r="H2835" s="1531"/>
      <c r="I2835" s="1531"/>
      <c r="J2835" s="1350"/>
      <c r="K2835" s="1350"/>
      <c r="L2835" s="1350"/>
      <c r="M2835" s="1350"/>
      <c r="N2835" s="1350"/>
      <c r="O2835" s="1350"/>
      <c r="P2835" s="1350"/>
      <c r="Q2835" s="1350"/>
      <c r="R2835" s="1531"/>
      <c r="S2835" s="1531"/>
      <c r="T2835" s="1531"/>
      <c r="U2835" s="1531"/>
      <c r="V2835" s="1531"/>
      <c r="W2835" s="1531"/>
      <c r="X2835" s="1531"/>
      <c r="Y2835" s="1531"/>
      <c r="Z2835" s="1531"/>
      <c r="AA2835" s="1531"/>
      <c r="AB2835" s="1531"/>
      <c r="AC2835" s="1531"/>
      <c r="AD2835" s="1531"/>
      <c r="AE2835" s="1531"/>
      <c r="AF2835" s="1531"/>
      <c r="AG2835" s="1531"/>
      <c r="AH2835" s="1531"/>
      <c r="AI2835" s="1531"/>
      <c r="AJ2835" s="1531"/>
      <c r="AK2835" s="1531"/>
      <c r="AL2835" s="1531"/>
      <c r="AM2835" s="1531"/>
      <c r="AN2835" s="1531"/>
      <c r="AO2835" s="1531"/>
      <c r="AP2835" s="1531"/>
      <c r="AQ2835" s="1531"/>
      <c r="AR2835" s="1531"/>
      <c r="AS2835" s="1531"/>
      <c r="AT2835" s="1531"/>
      <c r="AU2835" s="1531"/>
      <c r="AV2835" s="1531"/>
      <c r="AW2835" s="1531"/>
      <c r="AX2835" s="1531"/>
      <c r="AY2835" s="1531"/>
      <c r="AZ2835" s="1531"/>
    </row>
    <row r="2836" spans="1:52" s="1136" customFormat="1" ht="15.75" x14ac:dyDescent="0.25">
      <c r="A2836" s="1430" t="s">
        <v>3407</v>
      </c>
      <c r="B2836" s="1443" t="e">
        <f>((B240*B245*B244*B247*B239)/(B241*B281))*B2834*B2835</f>
        <v>#VALUE!</v>
      </c>
      <c r="C2836" s="1437"/>
      <c r="D2836" s="1440"/>
      <c r="E2836" s="1440"/>
      <c r="F2836" s="1440"/>
      <c r="G2836" s="1440"/>
      <c r="H2836" s="1531"/>
      <c r="I2836" s="1531"/>
      <c r="J2836" s="1350"/>
      <c r="K2836" s="1350"/>
      <c r="L2836" s="1350"/>
      <c r="M2836" s="1350"/>
      <c r="N2836" s="1350"/>
      <c r="O2836" s="1350"/>
      <c r="P2836" s="1350"/>
      <c r="Q2836" s="1350"/>
      <c r="R2836" s="1531"/>
      <c r="S2836" s="1531"/>
      <c r="T2836" s="1531"/>
      <c r="U2836" s="1531"/>
      <c r="V2836" s="1531"/>
      <c r="W2836" s="1531"/>
      <c r="X2836" s="1531"/>
      <c r="Y2836" s="1531"/>
      <c r="Z2836" s="1531"/>
      <c r="AA2836" s="1531"/>
      <c r="AB2836" s="1531"/>
      <c r="AC2836" s="1531"/>
      <c r="AD2836" s="1531"/>
      <c r="AE2836" s="1531"/>
      <c r="AF2836" s="1531"/>
      <c r="AG2836" s="1531"/>
      <c r="AH2836" s="1531"/>
      <c r="AI2836" s="1531"/>
      <c r="AJ2836" s="1531"/>
      <c r="AK2836" s="1531"/>
      <c r="AL2836" s="1531"/>
      <c r="AM2836" s="1531"/>
      <c r="AN2836" s="1531"/>
      <c r="AO2836" s="1531"/>
      <c r="AP2836" s="1531"/>
      <c r="AQ2836" s="1531"/>
      <c r="AR2836" s="1531"/>
      <c r="AS2836" s="1531"/>
      <c r="AT2836" s="1531"/>
      <c r="AU2836" s="1531"/>
      <c r="AV2836" s="1531"/>
      <c r="AW2836" s="1531"/>
      <c r="AX2836" s="1531"/>
      <c r="AY2836" s="1531"/>
      <c r="AZ2836" s="1531"/>
    </row>
    <row r="2837" spans="1:52" s="1136" customFormat="1" ht="15.75" x14ac:dyDescent="0.25">
      <c r="A2837" s="1466" t="s">
        <v>3408</v>
      </c>
      <c r="B2837" s="1467">
        <f>IF(B252=2,B2836,0)</f>
        <v>0</v>
      </c>
      <c r="C2837" s="1468"/>
      <c r="D2837" s="1437"/>
      <c r="E2837" s="1437"/>
      <c r="F2837" s="1437"/>
      <c r="G2837" s="1437"/>
      <c r="H2837" s="1350"/>
      <c r="I2837" s="1350"/>
      <c r="J2837" s="1350"/>
      <c r="K2837" s="1350"/>
      <c r="L2837" s="1350"/>
      <c r="M2837" s="1350"/>
      <c r="N2837" s="1350"/>
      <c r="O2837" s="1350"/>
      <c r="P2837" s="1350"/>
      <c r="Q2837" s="1350"/>
      <c r="R2837" s="1531"/>
      <c r="S2837" s="1531"/>
      <c r="T2837" s="1531"/>
      <c r="U2837" s="1531"/>
      <c r="V2837" s="1531"/>
      <c r="W2837" s="1531"/>
      <c r="X2837" s="1531"/>
      <c r="Y2837" s="1531"/>
      <c r="Z2837" s="1531"/>
      <c r="AA2837" s="1531"/>
      <c r="AB2837" s="1531"/>
      <c r="AC2837" s="1531"/>
      <c r="AD2837" s="1531"/>
      <c r="AE2837" s="1531"/>
      <c r="AF2837" s="1531"/>
      <c r="AG2837" s="1531"/>
      <c r="AH2837" s="1531"/>
      <c r="AI2837" s="1531"/>
      <c r="AJ2837" s="1531"/>
      <c r="AK2837" s="1531"/>
      <c r="AL2837" s="1531"/>
      <c r="AM2837" s="1531"/>
      <c r="AN2837" s="1531"/>
      <c r="AO2837" s="1531"/>
      <c r="AP2837" s="1531"/>
      <c r="AQ2837" s="1531"/>
      <c r="AR2837" s="1531"/>
      <c r="AS2837" s="1531"/>
      <c r="AT2837" s="1531"/>
      <c r="AU2837" s="1531"/>
      <c r="AV2837" s="1531"/>
      <c r="AW2837" s="1531"/>
      <c r="AX2837" s="1531"/>
      <c r="AY2837" s="1531"/>
      <c r="AZ2837" s="1531"/>
    </row>
    <row r="2838" spans="1:52" s="1136" customFormat="1" ht="15.75" x14ac:dyDescent="0.25">
      <c r="A2838" s="1580" t="s">
        <v>3409</v>
      </c>
      <c r="B2838" s="1467"/>
      <c r="C2838" s="1468"/>
      <c r="D2838" s="1468"/>
      <c r="E2838" s="1468"/>
      <c r="F2838" s="1468"/>
      <c r="G2838" s="1468"/>
      <c r="H2838" s="1350"/>
      <c r="I2838" s="1350"/>
      <c r="J2838" s="1350"/>
      <c r="K2838" s="1350"/>
      <c r="L2838" s="1350"/>
      <c r="M2838" s="1350"/>
      <c r="N2838" s="1350"/>
      <c r="O2838" s="1350"/>
      <c r="P2838" s="1350"/>
      <c r="Q2838" s="1350"/>
      <c r="R2838" s="1531"/>
      <c r="S2838" s="1531"/>
      <c r="T2838" s="1531"/>
      <c r="U2838" s="1531"/>
      <c r="V2838" s="1531"/>
      <c r="W2838" s="1531"/>
      <c r="X2838" s="1531"/>
      <c r="Y2838" s="1531"/>
      <c r="Z2838" s="1531"/>
      <c r="AA2838" s="1531"/>
      <c r="AB2838" s="1531"/>
      <c r="AC2838" s="1531"/>
      <c r="AD2838" s="1531"/>
      <c r="AE2838" s="1531"/>
      <c r="AF2838" s="1531"/>
      <c r="AG2838" s="1531"/>
      <c r="AH2838" s="1531"/>
      <c r="AI2838" s="1531"/>
      <c r="AJ2838" s="1531"/>
      <c r="AK2838" s="1531"/>
      <c r="AL2838" s="1531"/>
      <c r="AM2838" s="1531"/>
      <c r="AN2838" s="1531"/>
      <c r="AO2838" s="1531"/>
      <c r="AP2838" s="1531"/>
      <c r="AQ2838" s="1531"/>
      <c r="AR2838" s="1531"/>
      <c r="AS2838" s="1531"/>
      <c r="AT2838" s="1531"/>
      <c r="AU2838" s="1531"/>
      <c r="AV2838" s="1531"/>
      <c r="AW2838" s="1531"/>
      <c r="AX2838" s="1531"/>
      <c r="AY2838" s="1531"/>
      <c r="AZ2838" s="1531"/>
    </row>
    <row r="2839" spans="1:52" s="1136" customFormat="1" ht="15.75" x14ac:dyDescent="0.25">
      <c r="A2839" s="1417" t="s">
        <v>3405</v>
      </c>
      <c r="B2839" s="1442">
        <v>4</v>
      </c>
      <c r="C2839" s="1349"/>
      <c r="D2839" s="1437"/>
      <c r="E2839" s="1437"/>
      <c r="F2839" s="1437"/>
      <c r="G2839" s="1437"/>
      <c r="H2839" s="1350"/>
      <c r="I2839" s="1350"/>
      <c r="J2839" s="1350"/>
      <c r="K2839" s="1350"/>
      <c r="L2839" s="1350"/>
      <c r="M2839" s="1350"/>
      <c r="N2839" s="1350"/>
      <c r="O2839" s="1350"/>
      <c r="P2839" s="1350"/>
      <c r="Q2839" s="1350"/>
      <c r="R2839" s="1531"/>
      <c r="S2839" s="1531"/>
      <c r="T2839" s="1531"/>
      <c r="U2839" s="1531"/>
      <c r="V2839" s="1531"/>
      <c r="W2839" s="1531"/>
      <c r="X2839" s="1531"/>
      <c r="Y2839" s="1531"/>
      <c r="Z2839" s="1531"/>
      <c r="AA2839" s="1531"/>
      <c r="AB2839" s="1531"/>
      <c r="AC2839" s="1531"/>
      <c r="AD2839" s="1531"/>
      <c r="AE2839" s="1531"/>
      <c r="AF2839" s="1531"/>
      <c r="AG2839" s="1531"/>
      <c r="AH2839" s="1531"/>
      <c r="AI2839" s="1531"/>
      <c r="AJ2839" s="1531"/>
      <c r="AK2839" s="1531"/>
      <c r="AL2839" s="1531"/>
      <c r="AM2839" s="1531"/>
      <c r="AN2839" s="1531"/>
      <c r="AO2839" s="1531"/>
      <c r="AP2839" s="1531"/>
      <c r="AQ2839" s="1531"/>
      <c r="AR2839" s="1531"/>
      <c r="AS2839" s="1531"/>
      <c r="AT2839" s="1531"/>
      <c r="AU2839" s="1531"/>
      <c r="AV2839" s="1531"/>
      <c r="AW2839" s="1531"/>
      <c r="AX2839" s="1531"/>
      <c r="AY2839" s="1531"/>
      <c r="AZ2839" s="1531"/>
    </row>
    <row r="2840" spans="1:52" s="1136" customFormat="1" ht="15.75" x14ac:dyDescent="0.25">
      <c r="A2840" s="1417" t="s">
        <v>3406</v>
      </c>
      <c r="B2840" s="1442">
        <v>10</v>
      </c>
      <c r="C2840" s="1349"/>
      <c r="D2840" s="1437"/>
      <c r="E2840" s="1437"/>
      <c r="F2840" s="1437"/>
      <c r="G2840" s="1437"/>
      <c r="H2840" s="1350"/>
      <c r="I2840" s="1350"/>
      <c r="J2840" s="1350"/>
      <c r="K2840" s="1350"/>
      <c r="L2840" s="1350"/>
      <c r="M2840" s="1350"/>
      <c r="N2840" s="1350"/>
      <c r="O2840" s="1350"/>
      <c r="P2840" s="1350"/>
      <c r="Q2840" s="1350"/>
      <c r="R2840" s="1531"/>
      <c r="S2840" s="1531"/>
      <c r="T2840" s="1531"/>
      <c r="U2840" s="1531"/>
      <c r="V2840" s="1531"/>
      <c r="W2840" s="1531"/>
      <c r="X2840" s="1531"/>
      <c r="Y2840" s="1531"/>
      <c r="Z2840" s="1531"/>
      <c r="AA2840" s="1531"/>
      <c r="AB2840" s="1531"/>
      <c r="AC2840" s="1531"/>
      <c r="AD2840" s="1531"/>
      <c r="AE2840" s="1531"/>
      <c r="AF2840" s="1531"/>
      <c r="AG2840" s="1531"/>
      <c r="AH2840" s="1531"/>
      <c r="AI2840" s="1531"/>
      <c r="AJ2840" s="1531"/>
      <c r="AK2840" s="1531"/>
      <c r="AL2840" s="1531"/>
      <c r="AM2840" s="1531"/>
      <c r="AN2840" s="1531"/>
      <c r="AO2840" s="1531"/>
      <c r="AP2840" s="1531"/>
      <c r="AQ2840" s="1531"/>
      <c r="AR2840" s="1531"/>
      <c r="AS2840" s="1531"/>
      <c r="AT2840" s="1531"/>
      <c r="AU2840" s="1531"/>
      <c r="AV2840" s="1531"/>
      <c r="AW2840" s="1531"/>
      <c r="AX2840" s="1531"/>
      <c r="AY2840" s="1531"/>
      <c r="AZ2840" s="1531"/>
    </row>
    <row r="2841" spans="1:52" s="1136" customFormat="1" ht="15.75" x14ac:dyDescent="0.25">
      <c r="A2841" s="1430" t="s">
        <v>3407</v>
      </c>
      <c r="B2841" s="1443" t="e">
        <f>((B240*B245*B244*B247*B239)/(B241*B281))*B2839*B2840</f>
        <v>#VALUE!</v>
      </c>
      <c r="C2841" s="1437"/>
      <c r="D2841" s="1349"/>
      <c r="E2841" s="1349"/>
      <c r="F2841" s="1349"/>
      <c r="G2841" s="1349"/>
      <c r="H2841" s="1350"/>
      <c r="I2841" s="1350"/>
      <c r="J2841" s="1350"/>
      <c r="K2841" s="1350"/>
      <c r="L2841" s="1350"/>
      <c r="M2841" s="1350"/>
      <c r="N2841" s="1350"/>
      <c r="O2841" s="1350"/>
      <c r="P2841" s="1531"/>
      <c r="Q2841" s="1531"/>
      <c r="R2841" s="1531"/>
      <c r="S2841" s="1531"/>
      <c r="T2841" s="1531"/>
      <c r="U2841" s="1531"/>
      <c r="V2841" s="1531"/>
      <c r="W2841" s="1531"/>
      <c r="X2841" s="1531"/>
      <c r="Y2841" s="1531"/>
      <c r="Z2841" s="1531"/>
      <c r="AA2841" s="1531"/>
      <c r="AB2841" s="1531"/>
      <c r="AC2841" s="1531"/>
      <c r="AD2841" s="1531"/>
      <c r="AE2841" s="1531"/>
      <c r="AF2841" s="1531"/>
      <c r="AG2841" s="1531"/>
      <c r="AH2841" s="1531"/>
      <c r="AI2841" s="1531"/>
      <c r="AJ2841" s="1531"/>
      <c r="AK2841" s="1531"/>
      <c r="AL2841" s="1531"/>
      <c r="AM2841" s="1531"/>
      <c r="AN2841" s="1531"/>
      <c r="AO2841" s="1531"/>
      <c r="AP2841" s="1531"/>
      <c r="AQ2841" s="1531"/>
      <c r="AR2841" s="1531"/>
      <c r="AS2841" s="1531"/>
      <c r="AT2841" s="1531"/>
      <c r="AU2841" s="1531"/>
      <c r="AV2841" s="1531"/>
      <c r="AW2841" s="1531"/>
      <c r="AX2841" s="1531"/>
      <c r="AY2841" s="1531"/>
      <c r="AZ2841" s="1531"/>
    </row>
    <row r="2842" spans="1:52" s="1136" customFormat="1" ht="15.75" x14ac:dyDescent="0.25">
      <c r="A2842" s="1466" t="s">
        <v>3408</v>
      </c>
      <c r="B2842" s="1467" t="e">
        <f>IF(B252=1,B2841,0)</f>
        <v>#VALUE!</v>
      </c>
      <c r="C2842" s="1468"/>
      <c r="D2842" s="1349"/>
      <c r="E2842" s="1349"/>
      <c r="F2842" s="1349"/>
      <c r="G2842" s="1349"/>
      <c r="H2842" s="1350"/>
      <c r="I2842" s="1350"/>
      <c r="J2842" s="1350"/>
      <c r="K2842" s="1350"/>
      <c r="L2842" s="1350"/>
      <c r="M2842" s="1350"/>
      <c r="N2842" s="1350"/>
      <c r="O2842" s="1350"/>
      <c r="P2842" s="1531"/>
      <c r="Q2842" s="1531"/>
      <c r="R2842" s="1531"/>
      <c r="S2842" s="1531"/>
      <c r="T2842" s="1531"/>
      <c r="U2842" s="1531"/>
      <c r="V2842" s="1531"/>
      <c r="W2842" s="1531"/>
      <c r="X2842" s="1531"/>
      <c r="Y2842" s="1531"/>
      <c r="Z2842" s="1531"/>
      <c r="AA2842" s="1531"/>
      <c r="AB2842" s="1531"/>
      <c r="AC2842" s="1531"/>
      <c r="AD2842" s="1531"/>
      <c r="AE2842" s="1531"/>
      <c r="AF2842" s="1531"/>
      <c r="AG2842" s="1531"/>
      <c r="AH2842" s="1531"/>
      <c r="AI2842" s="1531"/>
      <c r="AJ2842" s="1531"/>
      <c r="AK2842" s="1531"/>
      <c r="AL2842" s="1531"/>
      <c r="AM2842" s="1531"/>
      <c r="AN2842" s="1531"/>
      <c r="AO2842" s="1531"/>
      <c r="AP2842" s="1531"/>
      <c r="AQ2842" s="1531"/>
      <c r="AR2842" s="1531"/>
      <c r="AS2842" s="1531"/>
      <c r="AT2842" s="1531"/>
      <c r="AU2842" s="1531"/>
      <c r="AV2842" s="1531"/>
      <c r="AW2842" s="1531"/>
      <c r="AX2842" s="1531"/>
      <c r="AY2842" s="1531"/>
      <c r="AZ2842" s="1531"/>
    </row>
    <row r="2843" spans="1:52" s="1136" customFormat="1" ht="15.75" x14ac:dyDescent="0.25">
      <c r="A2843" s="1417"/>
      <c r="B2843" s="1415"/>
      <c r="C2843" s="1350"/>
      <c r="D2843" s="1437"/>
      <c r="E2843" s="1437"/>
      <c r="F2843" s="1437"/>
      <c r="G2843" s="1437"/>
      <c r="H2843" s="1350"/>
      <c r="I2843" s="1350"/>
      <c r="J2843" s="1350"/>
      <c r="K2843" s="1350"/>
      <c r="L2843" s="1350"/>
      <c r="M2843" s="1350"/>
      <c r="N2843" s="1350"/>
      <c r="O2843" s="1350"/>
      <c r="P2843" s="1531"/>
      <c r="Q2843" s="1531"/>
      <c r="R2843" s="1531"/>
      <c r="S2843" s="1531"/>
      <c r="T2843" s="1531"/>
      <c r="U2843" s="1531"/>
      <c r="V2843" s="1531"/>
      <c r="W2843" s="1531"/>
      <c r="X2843" s="1531"/>
      <c r="Y2843" s="1531"/>
      <c r="Z2843" s="1531"/>
      <c r="AA2843" s="1531"/>
      <c r="AB2843" s="1531"/>
      <c r="AC2843" s="1531"/>
      <c r="AD2843" s="1531"/>
      <c r="AE2843" s="1531"/>
      <c r="AF2843" s="1531"/>
      <c r="AG2843" s="1531"/>
      <c r="AH2843" s="1531"/>
      <c r="AI2843" s="1531"/>
      <c r="AJ2843" s="1531"/>
      <c r="AK2843" s="1531"/>
      <c r="AL2843" s="1531"/>
      <c r="AM2843" s="1531"/>
      <c r="AN2843" s="1531"/>
      <c r="AO2843" s="1531"/>
      <c r="AP2843" s="1531"/>
      <c r="AQ2843" s="1531"/>
      <c r="AR2843" s="1531"/>
      <c r="AS2843" s="1531"/>
      <c r="AT2843" s="1531"/>
      <c r="AU2843" s="1531"/>
      <c r="AV2843" s="1531"/>
      <c r="AW2843" s="1531"/>
      <c r="AX2843" s="1531"/>
      <c r="AY2843" s="1531"/>
      <c r="AZ2843" s="1531"/>
    </row>
    <row r="2844" spans="1:52" s="1136" customFormat="1" ht="15.75" x14ac:dyDescent="0.25">
      <c r="A2844" s="1391"/>
      <c r="B2844" s="1602"/>
      <c r="D2844" s="1468"/>
      <c r="E2844" s="1468"/>
      <c r="F2844" s="1468"/>
      <c r="G2844" s="1468"/>
      <c r="H2844" s="1350"/>
      <c r="I2844" s="1350"/>
      <c r="J2844" s="1350"/>
      <c r="K2844" s="1350"/>
      <c r="L2844" s="1350"/>
      <c r="M2844" s="1350"/>
      <c r="N2844" s="1350"/>
      <c r="O2844" s="1350"/>
      <c r="P2844" s="1531"/>
      <c r="Q2844" s="1531"/>
      <c r="R2844" s="1531"/>
      <c r="S2844" s="1531"/>
      <c r="T2844" s="1531"/>
      <c r="U2844" s="1531"/>
      <c r="V2844" s="1531"/>
      <c r="W2844" s="1531"/>
      <c r="X2844" s="1531"/>
      <c r="Y2844" s="1531"/>
      <c r="Z2844" s="1531"/>
      <c r="AA2844" s="1531"/>
      <c r="AB2844" s="1531"/>
      <c r="AC2844" s="1531"/>
      <c r="AD2844" s="1531"/>
      <c r="AE2844" s="1531"/>
      <c r="AF2844" s="1531"/>
      <c r="AG2844" s="1531"/>
      <c r="AH2844" s="1531"/>
      <c r="AI2844" s="1531"/>
      <c r="AJ2844" s="1531"/>
      <c r="AK2844" s="1531"/>
      <c r="AL2844" s="1531"/>
      <c r="AM2844" s="1531"/>
      <c r="AN2844" s="1531"/>
      <c r="AO2844" s="1531"/>
      <c r="AP2844" s="1531"/>
      <c r="AQ2844" s="1531"/>
      <c r="AR2844" s="1531"/>
      <c r="AS2844" s="1531"/>
      <c r="AT2844" s="1531"/>
      <c r="AU2844" s="1531"/>
      <c r="AV2844" s="1531"/>
      <c r="AW2844" s="1531"/>
      <c r="AX2844" s="1531"/>
      <c r="AY2844" s="1531"/>
      <c r="AZ2844" s="1531"/>
    </row>
    <row r="2845" spans="1:52" s="1136" customFormat="1" ht="15.75" x14ac:dyDescent="0.25">
      <c r="A2845" s="1603" t="s">
        <v>3410</v>
      </c>
      <c r="B2845" s="1604"/>
      <c r="C2845" s="1605"/>
      <c r="D2845" s="1468"/>
      <c r="E2845" s="1468"/>
      <c r="F2845" s="1468"/>
      <c r="G2845" s="1468"/>
      <c r="H2845" s="1350"/>
      <c r="I2845" s="1350"/>
      <c r="J2845" s="1350"/>
      <c r="K2845" s="1350"/>
      <c r="L2845" s="1350"/>
      <c r="M2845" s="1350"/>
      <c r="N2845" s="1350"/>
      <c r="O2845" s="1350"/>
      <c r="P2845" s="1531"/>
      <c r="Q2845" s="1531"/>
      <c r="R2845" s="1531"/>
      <c r="S2845" s="1531"/>
      <c r="T2845" s="1531"/>
      <c r="U2845" s="1531"/>
      <c r="V2845" s="1531"/>
      <c r="W2845" s="1531"/>
      <c r="X2845" s="1531"/>
      <c r="Y2845" s="1531"/>
      <c r="Z2845" s="1531"/>
      <c r="AA2845" s="1531"/>
      <c r="AB2845" s="1531"/>
      <c r="AC2845" s="1531"/>
      <c r="AD2845" s="1531"/>
      <c r="AE2845" s="1531"/>
      <c r="AF2845" s="1531"/>
      <c r="AG2845" s="1531"/>
      <c r="AH2845" s="1531"/>
      <c r="AI2845" s="1531"/>
      <c r="AJ2845" s="1531"/>
      <c r="AK2845" s="1531"/>
      <c r="AL2845" s="1531"/>
      <c r="AM2845" s="1531"/>
      <c r="AN2845" s="1531"/>
      <c r="AO2845" s="1531"/>
      <c r="AP2845" s="1531"/>
      <c r="AQ2845" s="1531"/>
      <c r="AR2845" s="1531"/>
      <c r="AS2845" s="1531"/>
      <c r="AT2845" s="1531"/>
      <c r="AU2845" s="1531"/>
      <c r="AV2845" s="1531"/>
      <c r="AW2845" s="1531"/>
      <c r="AX2845" s="1531"/>
      <c r="AY2845" s="1531"/>
      <c r="AZ2845" s="1531"/>
    </row>
    <row r="2846" spans="1:52" s="1136" customFormat="1" ht="15.75" x14ac:dyDescent="0.25">
      <c r="A2846" s="1391"/>
      <c r="B2846" s="1046"/>
      <c r="D2846" s="1349"/>
      <c r="E2846" s="1349"/>
      <c r="F2846" s="1349"/>
      <c r="G2846" s="1349"/>
      <c r="H2846" s="1350"/>
      <c r="I2846" s="1350"/>
      <c r="J2846" s="1350"/>
      <c r="K2846" s="1350"/>
      <c r="L2846" s="1350"/>
      <c r="M2846" s="1350"/>
      <c r="N2846" s="1350"/>
      <c r="O2846" s="1350"/>
      <c r="P2846" s="1531"/>
      <c r="Q2846" s="1531"/>
      <c r="R2846" s="1531"/>
      <c r="S2846" s="1531"/>
      <c r="T2846" s="1531"/>
      <c r="U2846" s="1531"/>
      <c r="V2846" s="1531"/>
      <c r="W2846" s="1531"/>
      <c r="X2846" s="1531"/>
      <c r="Y2846" s="1531"/>
      <c r="Z2846" s="1531"/>
      <c r="AA2846" s="1531"/>
      <c r="AB2846" s="1531"/>
      <c r="AC2846" s="1531"/>
      <c r="AD2846" s="1531"/>
      <c r="AE2846" s="1531"/>
      <c r="AF2846" s="1531"/>
      <c r="AG2846" s="1531"/>
      <c r="AH2846" s="1531"/>
      <c r="AI2846" s="1531"/>
      <c r="AJ2846" s="1531"/>
      <c r="AK2846" s="1531"/>
      <c r="AL2846" s="1531"/>
      <c r="AM2846" s="1531"/>
      <c r="AN2846" s="1531"/>
      <c r="AO2846" s="1531"/>
      <c r="AP2846" s="1531"/>
      <c r="AQ2846" s="1531"/>
      <c r="AR2846" s="1531"/>
      <c r="AS2846" s="1531"/>
      <c r="AT2846" s="1531"/>
      <c r="AU2846" s="1531"/>
      <c r="AV2846" s="1531"/>
      <c r="AW2846" s="1531"/>
      <c r="AX2846" s="1531"/>
      <c r="AY2846" s="1531"/>
      <c r="AZ2846" s="1531"/>
    </row>
    <row r="2847" spans="1:52" s="1136" customFormat="1" ht="15.75" x14ac:dyDescent="0.25">
      <c r="A2847" s="1414" t="s">
        <v>4142</v>
      </c>
      <c r="B2847" s="1415"/>
      <c r="C2847" s="1531"/>
      <c r="D2847" s="1349"/>
      <c r="E2847" s="1349"/>
      <c r="F2847" s="1349"/>
      <c r="G2847" s="1349"/>
      <c r="H2847" s="1350"/>
      <c r="I2847" s="1350"/>
      <c r="J2847" s="1350"/>
      <c r="K2847" s="1350"/>
      <c r="L2847" s="1350"/>
      <c r="M2847" s="1350"/>
      <c r="N2847" s="1350"/>
      <c r="O2847" s="1350"/>
      <c r="P2847" s="1531"/>
      <c r="Q2847" s="1531"/>
      <c r="R2847" s="1531"/>
      <c r="S2847" s="1531"/>
      <c r="T2847" s="1531"/>
      <c r="U2847" s="1531"/>
      <c r="V2847" s="1531"/>
      <c r="W2847" s="1531"/>
      <c r="X2847" s="1531"/>
      <c r="Y2847" s="1531"/>
      <c r="Z2847" s="1531"/>
      <c r="AA2847" s="1531"/>
      <c r="AB2847" s="1531"/>
      <c r="AC2847" s="1531"/>
      <c r="AD2847" s="1531"/>
      <c r="AE2847" s="1531"/>
      <c r="AF2847" s="1531"/>
      <c r="AG2847" s="1531"/>
      <c r="AH2847" s="1531"/>
      <c r="AI2847" s="1531"/>
      <c r="AJ2847" s="1531"/>
      <c r="AK2847" s="1531"/>
      <c r="AL2847" s="1531"/>
      <c r="AM2847" s="1531"/>
      <c r="AN2847" s="1531"/>
      <c r="AO2847" s="1531"/>
      <c r="AP2847" s="1531"/>
      <c r="AQ2847" s="1531"/>
      <c r="AR2847" s="1531"/>
      <c r="AS2847" s="1531"/>
      <c r="AT2847" s="1531"/>
      <c r="AU2847" s="1531"/>
      <c r="AV2847" s="1531"/>
      <c r="AW2847" s="1531"/>
      <c r="AX2847" s="1531"/>
      <c r="AY2847" s="1531"/>
      <c r="AZ2847" s="1531"/>
    </row>
    <row r="2848" spans="1:52" s="1136" customFormat="1" ht="15.75" x14ac:dyDescent="0.25">
      <c r="A2848" s="1419" t="s">
        <v>4144</v>
      </c>
      <c r="B2848" s="1415"/>
      <c r="C2848" s="1531"/>
      <c r="D2848" s="1437"/>
      <c r="E2848" s="1437"/>
      <c r="F2848" s="1437"/>
      <c r="G2848" s="1437"/>
      <c r="H2848" s="1350"/>
      <c r="I2848" s="1350"/>
      <c r="J2848" s="1350"/>
      <c r="K2848" s="1350"/>
      <c r="L2848" s="1350"/>
      <c r="M2848" s="1350"/>
      <c r="N2848" s="1350"/>
      <c r="O2848" s="1350"/>
      <c r="P2848" s="1531"/>
      <c r="Q2848" s="1531"/>
      <c r="R2848" s="1531"/>
      <c r="S2848" s="1531"/>
      <c r="T2848" s="1531"/>
      <c r="U2848" s="1531"/>
      <c r="V2848" s="1531"/>
      <c r="W2848" s="1531"/>
      <c r="X2848" s="1531"/>
      <c r="Y2848" s="1531"/>
      <c r="Z2848" s="1531"/>
      <c r="AA2848" s="1531"/>
      <c r="AB2848" s="1531"/>
      <c r="AC2848" s="1531"/>
      <c r="AD2848" s="1531"/>
      <c r="AE2848" s="1531"/>
      <c r="AF2848" s="1531"/>
      <c r="AG2848" s="1531"/>
      <c r="AH2848" s="1531"/>
      <c r="AI2848" s="1531"/>
      <c r="AJ2848" s="1531"/>
      <c r="AK2848" s="1531"/>
      <c r="AL2848" s="1531"/>
      <c r="AM2848" s="1531"/>
      <c r="AN2848" s="1531"/>
      <c r="AO2848" s="1531"/>
      <c r="AP2848" s="1531"/>
      <c r="AQ2848" s="1531"/>
      <c r="AR2848" s="1531"/>
      <c r="AS2848" s="1531"/>
      <c r="AT2848" s="1531"/>
      <c r="AU2848" s="1531"/>
      <c r="AV2848" s="1531"/>
      <c r="AW2848" s="1531"/>
      <c r="AX2848" s="1531"/>
      <c r="AY2848" s="1531"/>
      <c r="AZ2848" s="1531"/>
    </row>
    <row r="2849" spans="1:52" s="1136" customFormat="1" ht="47.25" x14ac:dyDescent="0.25">
      <c r="A2849" s="1420" t="s">
        <v>4145</v>
      </c>
      <c r="B2849" s="1421">
        <f>IF(B257-B260&lt;=0,0,CEILING((B257-B260)/B262+1,1))</f>
        <v>4</v>
      </c>
      <c r="C2849" s="1523"/>
      <c r="D2849" s="1468"/>
      <c r="E2849" s="1468"/>
      <c r="F2849" s="1468"/>
      <c r="G2849" s="1468"/>
      <c r="H2849" s="1350"/>
      <c r="I2849" s="1350"/>
      <c r="J2849" s="1350"/>
      <c r="K2849" s="1350"/>
      <c r="L2849" s="1350"/>
      <c r="M2849" s="1350"/>
      <c r="N2849" s="1350"/>
      <c r="O2849" s="1350"/>
      <c r="P2849" s="1531"/>
      <c r="Q2849" s="1531"/>
      <c r="R2849" s="1531"/>
      <c r="S2849" s="1531"/>
      <c r="T2849" s="1531"/>
      <c r="U2849" s="1531"/>
      <c r="V2849" s="1531"/>
      <c r="W2849" s="1531"/>
      <c r="X2849" s="1531"/>
      <c r="Y2849" s="1531"/>
      <c r="Z2849" s="1531"/>
      <c r="AA2849" s="1531"/>
      <c r="AB2849" s="1531"/>
      <c r="AC2849" s="1531"/>
      <c r="AD2849" s="1531"/>
      <c r="AE2849" s="1531"/>
      <c r="AF2849" s="1531"/>
      <c r="AG2849" s="1531"/>
      <c r="AH2849" s="1531"/>
      <c r="AI2849" s="1531"/>
      <c r="AJ2849" s="1531"/>
      <c r="AK2849" s="1531"/>
      <c r="AL2849" s="1531"/>
      <c r="AM2849" s="1531"/>
      <c r="AN2849" s="1531"/>
      <c r="AO2849" s="1531"/>
      <c r="AP2849" s="1531"/>
      <c r="AQ2849" s="1531"/>
      <c r="AR2849" s="1531"/>
      <c r="AS2849" s="1531"/>
      <c r="AT2849" s="1531"/>
      <c r="AU2849" s="1531"/>
      <c r="AV2849" s="1531"/>
      <c r="AW2849" s="1531"/>
      <c r="AX2849" s="1531"/>
      <c r="AY2849" s="1531"/>
      <c r="AZ2849" s="1531"/>
    </row>
    <row r="2850" spans="1:52" s="1136" customFormat="1" ht="47.25" x14ac:dyDescent="0.25">
      <c r="A2850" s="1420" t="s">
        <v>4146</v>
      </c>
      <c r="B2850" s="1421">
        <f>CEILING((B243-B257+B260)/B262,1)</f>
        <v>-3</v>
      </c>
      <c r="C2850" s="1523"/>
      <c r="D2850" s="1350"/>
      <c r="E2850" s="1350"/>
      <c r="F2850" s="1350"/>
      <c r="G2850" s="1350"/>
      <c r="H2850" s="1350"/>
      <c r="I2850" s="1350"/>
      <c r="J2850" s="1350"/>
      <c r="K2850" s="1350"/>
      <c r="L2850" s="1350"/>
      <c r="M2850" s="1350"/>
      <c r="N2850" s="1350"/>
      <c r="O2850" s="1350"/>
      <c r="P2850" s="1350"/>
      <c r="Q2850" s="1531"/>
      <c r="R2850" s="1531"/>
      <c r="S2850" s="1531"/>
      <c r="T2850" s="1531"/>
      <c r="U2850" s="1531"/>
      <c r="V2850" s="1531"/>
      <c r="W2850" s="1531"/>
      <c r="X2850" s="1531"/>
      <c r="Y2850" s="1531"/>
      <c r="Z2850" s="1531"/>
      <c r="AA2850" s="1531"/>
      <c r="AB2850" s="1531"/>
      <c r="AC2850" s="1531"/>
      <c r="AD2850" s="1531"/>
      <c r="AE2850" s="1531"/>
      <c r="AF2850" s="1531"/>
      <c r="AG2850" s="1531"/>
      <c r="AH2850" s="1531"/>
      <c r="AI2850" s="1531"/>
      <c r="AJ2850" s="1531"/>
      <c r="AK2850" s="1531"/>
      <c r="AL2850" s="1531"/>
      <c r="AM2850" s="1531"/>
      <c r="AN2850" s="1531"/>
      <c r="AO2850" s="1531"/>
      <c r="AP2850" s="1531"/>
      <c r="AQ2850" s="1531"/>
      <c r="AR2850" s="1531"/>
      <c r="AS2850" s="1531"/>
      <c r="AT2850" s="1531"/>
      <c r="AU2850" s="1531"/>
      <c r="AV2850" s="1531"/>
      <c r="AW2850" s="1531"/>
      <c r="AX2850" s="1531"/>
      <c r="AY2850" s="1531"/>
      <c r="AZ2850" s="1531"/>
    </row>
    <row r="2851" spans="1:52" s="1136" customFormat="1" ht="47.25" x14ac:dyDescent="0.25">
      <c r="A2851" s="1422" t="s">
        <v>4147</v>
      </c>
      <c r="B2851" s="1423">
        <f>B270+0.1</f>
        <v>2.3000000000000003</v>
      </c>
      <c r="C2851" s="1567"/>
    </row>
    <row r="2852" spans="1:52" s="1136" customFormat="1" ht="47.25" x14ac:dyDescent="0.25">
      <c r="A2852" s="1420" t="s">
        <v>4148</v>
      </c>
      <c r="B2852" s="1424">
        <f>B271+0.1</f>
        <v>0.9</v>
      </c>
      <c r="C2852" s="1606"/>
      <c r="D2852" s="1070"/>
      <c r="E2852" s="1070"/>
      <c r="F2852" s="1070"/>
      <c r="G2852" s="1070"/>
      <c r="H2852" s="1070"/>
    </row>
    <row r="2853" spans="1:52" s="1136" customFormat="1" ht="15.75" x14ac:dyDescent="0.25">
      <c r="A2853" s="1420"/>
      <c r="B2853" s="1421"/>
      <c r="C2853" s="1523"/>
    </row>
    <row r="2854" spans="1:52" s="1136" customFormat="1" ht="31.5" x14ac:dyDescent="0.25">
      <c r="A2854" s="1607" t="s">
        <v>4149</v>
      </c>
      <c r="B2854" s="1608"/>
      <c r="C2854" s="1416"/>
      <c r="D2854" s="1523"/>
      <c r="E2854" s="1531"/>
      <c r="F2854" s="1531"/>
      <c r="G2854" s="1531"/>
      <c r="H2854" s="1531"/>
      <c r="I2854" s="1531"/>
      <c r="J2854" s="1531"/>
      <c r="K2854" s="1531"/>
      <c r="L2854" s="1531"/>
      <c r="M2854" s="1531"/>
      <c r="N2854" s="1531"/>
      <c r="O2854" s="1531"/>
      <c r="P2854" s="1531"/>
      <c r="Q2854" s="1531"/>
      <c r="R2854" s="1531"/>
      <c r="S2854" s="1531"/>
      <c r="T2854" s="1531"/>
      <c r="U2854" s="1531"/>
      <c r="V2854" s="1531"/>
      <c r="W2854" s="1531"/>
    </row>
    <row r="2855" spans="1:52" s="1136" customFormat="1" ht="15.75" x14ac:dyDescent="0.25">
      <c r="A2855" s="1417" t="s">
        <v>211</v>
      </c>
      <c r="B2855" s="1582">
        <f>B2386</f>
        <v>4</v>
      </c>
      <c r="C2855" s="1609"/>
      <c r="D2855" s="1531"/>
      <c r="E2855" s="1531"/>
      <c r="F2855" s="1531"/>
      <c r="G2855" s="1531"/>
      <c r="H2855" s="1531"/>
      <c r="I2855" s="1531"/>
      <c r="J2855" s="1531"/>
      <c r="K2855" s="1531"/>
      <c r="L2855" s="1531"/>
      <c r="M2855" s="1531"/>
      <c r="N2855" s="1531"/>
      <c r="O2855" s="1531"/>
      <c r="P2855" s="1531"/>
      <c r="Q2855" s="1531"/>
      <c r="R2855" s="1531"/>
      <c r="S2855" s="1531"/>
      <c r="T2855" s="1531"/>
      <c r="U2855" s="1531"/>
      <c r="V2855" s="1531"/>
      <c r="W2855" s="1531"/>
    </row>
    <row r="2856" spans="1:52" s="1136" customFormat="1" ht="47.25" x14ac:dyDescent="0.25">
      <c r="A2856" s="1427" t="s">
        <v>4151</v>
      </c>
      <c r="B2856" s="1415"/>
      <c r="C2856" s="1531"/>
      <c r="D2856" s="1523"/>
      <c r="E2856" s="1523"/>
      <c r="F2856" s="1523"/>
      <c r="G2856" s="1523"/>
      <c r="H2856" s="1531"/>
      <c r="I2856" s="1531"/>
      <c r="J2856" s="1531"/>
      <c r="K2856" s="1531"/>
      <c r="L2856" s="1531"/>
      <c r="M2856" s="1531"/>
      <c r="N2856" s="1531"/>
      <c r="O2856" s="1531"/>
      <c r="P2856" s="1531"/>
      <c r="Q2856" s="1531"/>
      <c r="R2856" s="1531"/>
      <c r="S2856" s="1531"/>
      <c r="T2856" s="1531"/>
      <c r="U2856" s="1531"/>
      <c r="V2856" s="1531"/>
      <c r="W2856" s="1531"/>
    </row>
    <row r="2857" spans="1:52" s="1136" customFormat="1" ht="15.75" x14ac:dyDescent="0.25">
      <c r="A2857" s="1422" t="s">
        <v>4152</v>
      </c>
      <c r="B2857" s="1428" t="e">
        <f>(B245/(B2855-B2851))*B2849</f>
        <v>#VALUE!</v>
      </c>
      <c r="C2857" s="1566"/>
      <c r="D2857" s="1523"/>
      <c r="E2857" s="1523"/>
      <c r="F2857" s="1523"/>
      <c r="G2857" s="1523"/>
      <c r="H2857" s="1531"/>
      <c r="I2857" s="1531"/>
      <c r="J2857" s="1531"/>
      <c r="K2857" s="1531"/>
      <c r="L2857" s="1531"/>
      <c r="M2857" s="1531"/>
      <c r="N2857" s="1531"/>
      <c r="O2857" s="1531"/>
      <c r="P2857" s="1531"/>
      <c r="Q2857" s="1531"/>
      <c r="R2857" s="1531"/>
      <c r="S2857" s="1531"/>
      <c r="T2857" s="1531"/>
      <c r="U2857" s="1531"/>
      <c r="V2857" s="1531"/>
      <c r="W2857" s="1531"/>
    </row>
    <row r="2858" spans="1:52" s="1136" customFormat="1" ht="31.5" x14ac:dyDescent="0.25">
      <c r="A2858" s="1422" t="s">
        <v>2048</v>
      </c>
      <c r="B2858" s="1423" t="e">
        <f>INDEX($U$3487:$X$3496,B2861,B2863)</f>
        <v>#VALUE!</v>
      </c>
      <c r="C2858" s="1567"/>
      <c r="D2858" s="1567"/>
      <c r="E2858" s="1567"/>
      <c r="F2858" s="1567"/>
      <c r="G2858" s="1567"/>
      <c r="H2858" s="1531"/>
      <c r="I2858" s="1531"/>
      <c r="J2858" s="1531"/>
      <c r="K2858" s="1531"/>
      <c r="L2858" s="1531"/>
      <c r="M2858" s="1531"/>
      <c r="N2858" s="1531"/>
      <c r="O2858" s="1531"/>
      <c r="P2858" s="1531"/>
      <c r="Q2858" s="1531"/>
      <c r="R2858" s="1531"/>
      <c r="S2858" s="1531"/>
      <c r="T2858" s="1531"/>
      <c r="U2858" s="1531"/>
      <c r="V2858" s="1531"/>
      <c r="W2858" s="1531"/>
    </row>
    <row r="2859" spans="1:52" s="1136" customFormat="1" ht="15.75" x14ac:dyDescent="0.25">
      <c r="A2859" s="1417" t="s">
        <v>2049</v>
      </c>
      <c r="B2859" s="1428"/>
      <c r="C2859" s="1566"/>
      <c r="D2859" s="1606"/>
      <c r="E2859" s="1606"/>
      <c r="F2859" s="1606"/>
      <c r="G2859" s="1606"/>
      <c r="H2859" s="1531"/>
      <c r="I2859" s="1531"/>
      <c r="J2859" s="1531"/>
      <c r="K2859" s="1531"/>
      <c r="L2859" s="1531"/>
      <c r="M2859" s="1531"/>
      <c r="N2859" s="1531"/>
      <c r="O2859" s="1531"/>
      <c r="P2859" s="1531"/>
      <c r="Q2859" s="1531"/>
      <c r="R2859" s="1531"/>
      <c r="S2859" s="1531"/>
      <c r="T2859" s="1531"/>
      <c r="U2859" s="1531"/>
      <c r="V2859" s="1531"/>
      <c r="W2859" s="1531"/>
    </row>
    <row r="2860" spans="1:52" s="1136" customFormat="1" ht="15.75" x14ac:dyDescent="0.25">
      <c r="A2860" s="1430" t="s">
        <v>1318</v>
      </c>
      <c r="B2860" s="1423" t="e">
        <f>30.872*LN(B240)+31.551</f>
        <v>#VALUE!</v>
      </c>
      <c r="C2860" s="1567"/>
      <c r="D2860" s="1531"/>
      <c r="E2860" s="1531"/>
      <c r="F2860" s="1531"/>
      <c r="G2860" s="1531"/>
      <c r="H2860" s="1531"/>
      <c r="I2860" s="1531"/>
      <c r="J2860" s="1531"/>
      <c r="K2860" s="1531"/>
      <c r="L2860" s="1531"/>
      <c r="M2860" s="1531"/>
      <c r="N2860" s="1531"/>
      <c r="O2860" s="1531"/>
      <c r="P2860" s="1531"/>
      <c r="Q2860" s="1531"/>
      <c r="R2860" s="1531"/>
      <c r="S2860" s="1531"/>
      <c r="T2860" s="1531"/>
      <c r="U2860" s="1531"/>
      <c r="V2860" s="1531"/>
      <c r="W2860" s="1531"/>
    </row>
    <row r="2861" spans="1:52" s="1136" customFormat="1" ht="15.75" x14ac:dyDescent="0.25">
      <c r="A2861" s="1422" t="s">
        <v>1319</v>
      </c>
      <c r="B2861" s="1431" t="e">
        <f>IF(B2860&lt;24.3,1,IF(B2860&lt;28.1,2,IF(B2860&lt;32.1,3,IF(B2860&lt;36.3,4,IF(B2860&lt;41.4,5,IF(B2860&lt;46.1,6,IF(B2860&lt;51.3,7,B2862)))))))</f>
        <v>#VALUE!</v>
      </c>
      <c r="C2861" s="1610"/>
      <c r="D2861" s="1350"/>
      <c r="E2861" s="1350"/>
      <c r="F2861" s="1350"/>
      <c r="G2861" s="1350"/>
      <c r="H2861" s="1531"/>
      <c r="I2861" s="1531"/>
      <c r="J2861" s="1531"/>
      <c r="K2861" s="1531"/>
      <c r="L2861" s="1531"/>
      <c r="M2861" s="1531"/>
      <c r="N2861" s="1531"/>
      <c r="O2861" s="1531"/>
      <c r="P2861" s="1531"/>
      <c r="Q2861" s="1531"/>
      <c r="R2861" s="1531"/>
      <c r="S2861" s="1531"/>
      <c r="T2861" s="1531"/>
      <c r="U2861" s="1531"/>
      <c r="V2861" s="1531"/>
      <c r="W2861" s="1531"/>
    </row>
    <row r="2862" spans="1:52" s="1136" customFormat="1" ht="15.75" x14ac:dyDescent="0.25">
      <c r="A2862" s="1417" t="s">
        <v>1320</v>
      </c>
      <c r="B2862" s="1431" t="e">
        <f>IF(B2860&lt;57.1,8,IF(B2860&lt;63.1,9,IF(B2860&lt;69.7,10,11)))</f>
        <v>#VALUE!</v>
      </c>
      <c r="C2862" s="1610"/>
      <c r="D2862" s="1609"/>
      <c r="E2862" s="1609"/>
      <c r="F2862" s="1609"/>
      <c r="G2862" s="1609"/>
      <c r="H2862" s="1531"/>
      <c r="I2862" s="1531"/>
      <c r="J2862" s="1531"/>
      <c r="K2862" s="1531"/>
      <c r="L2862" s="1531"/>
      <c r="M2862" s="1531"/>
      <c r="N2862" s="1531"/>
      <c r="O2862" s="1531"/>
      <c r="P2862" s="1531"/>
      <c r="Q2862" s="1531"/>
      <c r="R2862" s="1531"/>
      <c r="S2862" s="1531"/>
      <c r="T2862" s="1531"/>
      <c r="U2862" s="1531"/>
      <c r="V2862" s="1531"/>
      <c r="W2862" s="1531"/>
    </row>
    <row r="2863" spans="1:52" s="1136" customFormat="1" ht="15.75" x14ac:dyDescent="0.25">
      <c r="A2863" s="1422" t="s">
        <v>1321</v>
      </c>
      <c r="B2863" s="1611">
        <v>4</v>
      </c>
      <c r="C2863" s="1612"/>
      <c r="D2863" s="1531"/>
      <c r="E2863" s="1531"/>
      <c r="F2863" s="1531"/>
      <c r="G2863" s="1531"/>
      <c r="H2863" s="1531"/>
      <c r="I2863" s="1531"/>
      <c r="J2863" s="1531"/>
      <c r="K2863" s="1531"/>
      <c r="L2863" s="1531"/>
      <c r="M2863" s="1531"/>
      <c r="N2863" s="1531"/>
      <c r="O2863" s="1531"/>
      <c r="P2863" s="1531"/>
      <c r="Q2863" s="1531"/>
      <c r="R2863" s="1531"/>
      <c r="S2863" s="1531"/>
      <c r="T2863" s="1531"/>
      <c r="U2863" s="1531"/>
      <c r="V2863" s="1531"/>
      <c r="W2863" s="1531"/>
    </row>
    <row r="2864" spans="1:52" s="1136" customFormat="1" ht="15.75" x14ac:dyDescent="0.25">
      <c r="A2864" s="1422" t="s">
        <v>1322</v>
      </c>
      <c r="B2864" s="1428"/>
      <c r="C2864" s="1566"/>
      <c r="D2864" s="1566"/>
      <c r="E2864" s="1566"/>
      <c r="F2864" s="1566"/>
      <c r="G2864" s="1566"/>
      <c r="H2864" s="1531"/>
      <c r="I2864" s="1531"/>
      <c r="J2864" s="1531"/>
      <c r="K2864" s="1531"/>
      <c r="L2864" s="1531"/>
      <c r="M2864" s="1531"/>
      <c r="N2864" s="1531"/>
      <c r="O2864" s="1531"/>
      <c r="P2864" s="1531"/>
      <c r="Q2864" s="1531"/>
      <c r="R2864" s="1531"/>
      <c r="S2864" s="1531"/>
      <c r="T2864" s="1531"/>
      <c r="U2864" s="1531"/>
      <c r="V2864" s="1531"/>
      <c r="W2864" s="1531"/>
    </row>
    <row r="2865" spans="1:45" s="1136" customFormat="1" ht="15.75" x14ac:dyDescent="0.25">
      <c r="A2865" s="1422" t="s">
        <v>1323</v>
      </c>
      <c r="B2865" s="1433">
        <f>IF(B2855&lt;1.26,1,IF(B2855&lt;1.27,0.9,0.85))</f>
        <v>0.85</v>
      </c>
      <c r="C2865" s="1569"/>
      <c r="D2865" s="1567"/>
      <c r="E2865" s="1567"/>
      <c r="F2865" s="1567"/>
      <c r="G2865" s="1567"/>
      <c r="H2865" s="1531"/>
      <c r="I2865" s="1531"/>
      <c r="J2865" s="1531"/>
      <c r="K2865" s="1531"/>
      <c r="L2865" s="1531"/>
      <c r="M2865" s="1531"/>
      <c r="N2865" s="1531"/>
      <c r="O2865" s="1531"/>
      <c r="P2865" s="1531"/>
      <c r="Q2865" s="1531"/>
      <c r="R2865" s="1531"/>
      <c r="S2865" s="1531"/>
      <c r="T2865" s="1531"/>
      <c r="U2865" s="1531"/>
      <c r="V2865" s="1531"/>
      <c r="W2865" s="1531"/>
    </row>
    <row r="2866" spans="1:45" s="1136" customFormat="1" ht="15.75" x14ac:dyDescent="0.25">
      <c r="A2866" s="1422" t="s">
        <v>391</v>
      </c>
      <c r="B2866" s="1433">
        <f>IF(B256=2,1,1.15)</f>
        <v>1.1499999999999999</v>
      </c>
      <c r="C2866" s="1569"/>
      <c r="D2866" s="1531"/>
      <c r="E2866" s="1531"/>
      <c r="F2866" s="1531"/>
      <c r="G2866" s="1531"/>
      <c r="H2866" s="1531"/>
      <c r="I2866" s="1531"/>
      <c r="J2866" s="1531"/>
      <c r="K2866" s="1531"/>
      <c r="L2866" s="1531"/>
      <c r="M2866" s="1531"/>
      <c r="N2866" s="1531"/>
      <c r="O2866" s="1531"/>
      <c r="P2866" s="1531"/>
      <c r="Q2866" s="1531"/>
      <c r="R2866" s="1531"/>
      <c r="S2866" s="1531"/>
      <c r="T2866" s="1531"/>
      <c r="U2866" s="1531"/>
      <c r="V2866" s="1531"/>
      <c r="W2866" s="1531"/>
    </row>
    <row r="2867" spans="1:45" s="1136" customFormat="1" ht="15.75" x14ac:dyDescent="0.25">
      <c r="A2867" s="1422" t="s">
        <v>392</v>
      </c>
      <c r="B2867" s="1433">
        <f>IF(B251&lt;21,1,IF(B251&lt;31,0.9,0.8))</f>
        <v>1</v>
      </c>
      <c r="C2867" s="1569"/>
      <c r="D2867" s="1567"/>
      <c r="E2867" s="1567"/>
      <c r="F2867" s="1567"/>
      <c r="G2867" s="1567"/>
      <c r="H2867" s="1531"/>
      <c r="I2867" s="1531"/>
      <c r="J2867" s="1531"/>
      <c r="K2867" s="1531"/>
      <c r="L2867" s="1531"/>
      <c r="M2867" s="1531"/>
      <c r="N2867" s="1531"/>
      <c r="O2867" s="1531"/>
      <c r="P2867" s="1531"/>
      <c r="Q2867" s="1531"/>
      <c r="R2867" s="1531"/>
      <c r="S2867" s="1531"/>
      <c r="T2867" s="1531"/>
      <c r="U2867" s="1531"/>
      <c r="V2867" s="1531"/>
      <c r="W2867" s="1531"/>
    </row>
    <row r="2868" spans="1:45" s="1136" customFormat="1" ht="31.5" x14ac:dyDescent="0.25">
      <c r="A2868" s="1422" t="s">
        <v>393</v>
      </c>
      <c r="B2868" s="1433">
        <f>IF(B275&lt;2,0.85,1)</f>
        <v>1</v>
      </c>
      <c r="C2868" s="1569"/>
      <c r="D2868" s="1610"/>
      <c r="E2868" s="1610"/>
      <c r="F2868" s="1610"/>
      <c r="G2868" s="1610"/>
      <c r="H2868" s="1531"/>
      <c r="I2868" s="1531"/>
      <c r="J2868" s="1531"/>
      <c r="K2868" s="1531"/>
      <c r="L2868" s="1531"/>
      <c r="M2868" s="1531"/>
      <c r="N2868" s="1531"/>
      <c r="O2868" s="1531"/>
      <c r="P2868" s="1531"/>
      <c r="Q2868" s="1531"/>
      <c r="R2868" s="1531"/>
      <c r="S2868" s="1531"/>
      <c r="T2868" s="1531"/>
      <c r="U2868" s="1531"/>
      <c r="V2868" s="1531"/>
      <c r="W2868" s="1531"/>
    </row>
    <row r="2869" spans="1:45" s="1136" customFormat="1" ht="47.25" x14ac:dyDescent="0.25">
      <c r="A2869" s="1435" t="s">
        <v>419</v>
      </c>
      <c r="B2869" s="1433">
        <f>IF(B2855&lt;2.1,0.9,IF(B2855&lt;3.1,0.85,0.8))</f>
        <v>0.8</v>
      </c>
      <c r="C2869" s="1569"/>
      <c r="D2869" s="1610"/>
      <c r="E2869" s="1610"/>
      <c r="F2869" s="1610"/>
      <c r="G2869" s="1610"/>
      <c r="H2869" s="1531"/>
      <c r="I2869" s="1531"/>
      <c r="J2869" s="1531"/>
      <c r="K2869" s="1531"/>
      <c r="L2869" s="1531"/>
      <c r="M2869" s="1531"/>
      <c r="N2869" s="1531"/>
      <c r="O2869" s="1531"/>
      <c r="P2869" s="1531"/>
      <c r="Q2869" s="1531"/>
      <c r="R2869" s="1531"/>
      <c r="S2869" s="1531"/>
      <c r="T2869" s="1531"/>
      <c r="U2869" s="1531"/>
      <c r="V2869" s="1531"/>
      <c r="W2869" s="1531"/>
    </row>
    <row r="2870" spans="1:45" s="1136" customFormat="1" ht="31.5" x14ac:dyDescent="0.25">
      <c r="A2870" s="1422" t="s">
        <v>420</v>
      </c>
      <c r="B2870" s="1433">
        <v>0.8</v>
      </c>
      <c r="C2870" s="1569"/>
      <c r="D2870" s="1612"/>
      <c r="E2870" s="1612"/>
      <c r="F2870" s="1612"/>
      <c r="G2870" s="1612"/>
      <c r="H2870" s="1531"/>
      <c r="I2870" s="1531"/>
      <c r="J2870" s="1531"/>
      <c r="K2870" s="1531"/>
      <c r="L2870" s="1531"/>
      <c r="M2870" s="1531"/>
      <c r="N2870" s="1531"/>
      <c r="O2870" s="1531"/>
      <c r="P2870" s="1531"/>
      <c r="Q2870" s="1531"/>
      <c r="R2870" s="1531"/>
      <c r="S2870" s="1531"/>
      <c r="T2870" s="1531"/>
      <c r="U2870" s="1531"/>
      <c r="V2870" s="1531"/>
      <c r="W2870" s="1531"/>
    </row>
    <row r="2871" spans="1:45" s="1136" customFormat="1" ht="15.75" x14ac:dyDescent="0.25">
      <c r="A2871" s="1422" t="s">
        <v>421</v>
      </c>
      <c r="B2871" s="1436">
        <v>0.7</v>
      </c>
      <c r="C2871" s="1613"/>
      <c r="D2871" s="1531"/>
      <c r="E2871" s="1531"/>
      <c r="F2871" s="1531"/>
      <c r="G2871" s="1531"/>
      <c r="H2871" s="1531"/>
      <c r="I2871" s="1531"/>
      <c r="J2871" s="1531"/>
      <c r="K2871" s="1531"/>
      <c r="L2871" s="1531"/>
      <c r="M2871" s="1531"/>
      <c r="N2871" s="1531"/>
      <c r="O2871" s="1531"/>
      <c r="P2871" s="1531"/>
      <c r="Q2871" s="1531"/>
      <c r="R2871" s="1531"/>
      <c r="S2871" s="1531"/>
      <c r="T2871" s="1531"/>
      <c r="U2871" s="1531"/>
      <c r="V2871" s="1531"/>
      <c r="W2871" s="1531"/>
      <c r="X2871" s="1531"/>
      <c r="Y2871" s="1531"/>
      <c r="Z2871" s="1531"/>
      <c r="AA2871" s="1531"/>
      <c r="AB2871" s="1531"/>
      <c r="AC2871" s="1531"/>
      <c r="AD2871" s="1531"/>
      <c r="AE2871" s="1531"/>
      <c r="AF2871" s="1531"/>
      <c r="AG2871" s="1531"/>
      <c r="AH2871" s="1531"/>
      <c r="AI2871" s="1531"/>
      <c r="AJ2871" s="1531"/>
      <c r="AK2871" s="1531"/>
      <c r="AL2871" s="1531"/>
      <c r="AM2871" s="1531"/>
      <c r="AN2871" s="1531"/>
      <c r="AO2871" s="1531"/>
      <c r="AP2871" s="1531"/>
      <c r="AQ2871" s="1531"/>
      <c r="AR2871" s="1531"/>
      <c r="AS2871" s="1531"/>
    </row>
    <row r="2872" spans="1:45" s="1136" customFormat="1" ht="15.75" x14ac:dyDescent="0.25">
      <c r="A2872" s="1422" t="s">
        <v>3412</v>
      </c>
      <c r="B2872" s="1433" t="e">
        <f>B2858*B2865*B2866*B2867*B2868*B2870*B2871*B2383</f>
        <v>#VALUE!</v>
      </c>
      <c r="C2872" s="1569"/>
      <c r="D2872" s="1569"/>
      <c r="E2872" s="1569"/>
      <c r="F2872" s="1569"/>
      <c r="G2872" s="1569"/>
      <c r="H2872" s="1531"/>
      <c r="I2872" s="1531"/>
      <c r="J2872" s="1531"/>
      <c r="K2872" s="1531"/>
      <c r="L2872" s="1531"/>
      <c r="M2872" s="1531"/>
      <c r="N2872" s="1531"/>
      <c r="O2872" s="1531"/>
      <c r="P2872" s="1531"/>
      <c r="Q2872" s="1531"/>
      <c r="R2872" s="1531"/>
      <c r="S2872" s="1531"/>
      <c r="T2872" s="1531"/>
      <c r="U2872" s="1531"/>
      <c r="V2872" s="1531"/>
      <c r="W2872" s="1531"/>
      <c r="X2872" s="1531"/>
      <c r="Y2872" s="1531"/>
      <c r="Z2872" s="1531"/>
      <c r="AA2872" s="1531"/>
      <c r="AB2872" s="1531"/>
      <c r="AC2872" s="1531"/>
      <c r="AD2872" s="1531"/>
      <c r="AE2872" s="1531"/>
      <c r="AF2872" s="1531"/>
      <c r="AG2872" s="1531"/>
      <c r="AH2872" s="1531"/>
      <c r="AI2872" s="1531"/>
      <c r="AJ2872" s="1531"/>
      <c r="AK2872" s="1531"/>
      <c r="AL2872" s="1531"/>
      <c r="AM2872" s="1531"/>
      <c r="AN2872" s="1531"/>
      <c r="AO2872" s="1531"/>
      <c r="AP2872" s="1531"/>
      <c r="AQ2872" s="1531"/>
      <c r="AR2872" s="1531"/>
      <c r="AS2872" s="1531"/>
    </row>
    <row r="2873" spans="1:45" s="1136" customFormat="1" ht="15.75" x14ac:dyDescent="0.25">
      <c r="A2873" s="1422" t="s">
        <v>429</v>
      </c>
      <c r="B2873" s="1428" t="e">
        <f>B2857/B2872</f>
        <v>#VALUE!</v>
      </c>
      <c r="C2873" s="1566"/>
      <c r="D2873" s="1569"/>
      <c r="E2873" s="1569"/>
      <c r="F2873" s="1569"/>
      <c r="G2873" s="1569"/>
      <c r="H2873" s="1531"/>
      <c r="I2873" s="1531"/>
      <c r="J2873" s="1531"/>
      <c r="K2873" s="1531"/>
      <c r="L2873" s="1531"/>
      <c r="M2873" s="1531"/>
      <c r="N2873" s="1531"/>
      <c r="O2873" s="1531"/>
      <c r="P2873" s="1531"/>
      <c r="Q2873" s="1531"/>
      <c r="R2873" s="1531"/>
      <c r="S2873" s="1531"/>
      <c r="T2873" s="1531"/>
      <c r="U2873" s="1531"/>
      <c r="V2873" s="1531"/>
      <c r="W2873" s="1531"/>
      <c r="X2873" s="1531"/>
      <c r="Y2873" s="1531"/>
      <c r="Z2873" s="1531"/>
      <c r="AA2873" s="1531"/>
      <c r="AB2873" s="1531"/>
      <c r="AC2873" s="1531"/>
      <c r="AD2873" s="1531"/>
      <c r="AE2873" s="1531"/>
      <c r="AF2873" s="1531"/>
      <c r="AG2873" s="1531"/>
      <c r="AH2873" s="1531"/>
      <c r="AI2873" s="1531"/>
      <c r="AJ2873" s="1531"/>
      <c r="AK2873" s="1531"/>
      <c r="AL2873" s="1531"/>
      <c r="AM2873" s="1531"/>
      <c r="AN2873" s="1531"/>
      <c r="AO2873" s="1531"/>
      <c r="AP2873" s="1531"/>
      <c r="AQ2873" s="1531"/>
      <c r="AR2873" s="1531"/>
      <c r="AS2873" s="1531"/>
    </row>
    <row r="2874" spans="1:45" s="1136" customFormat="1" ht="15.75" x14ac:dyDescent="0.25">
      <c r="A2874" s="1422"/>
      <c r="B2874" s="1433"/>
      <c r="C2874" s="1569"/>
      <c r="D2874" s="1569"/>
      <c r="E2874" s="1569"/>
      <c r="F2874" s="1569"/>
      <c r="G2874" s="1569"/>
      <c r="H2874" s="1531"/>
      <c r="I2874" s="1531"/>
      <c r="J2874" s="1531"/>
      <c r="K2874" s="1531"/>
      <c r="L2874" s="1531"/>
      <c r="M2874" s="1531"/>
      <c r="N2874" s="1531"/>
      <c r="O2874" s="1531"/>
      <c r="P2874" s="1531"/>
      <c r="Q2874" s="1531"/>
      <c r="R2874" s="1531"/>
      <c r="S2874" s="1531"/>
      <c r="T2874" s="1531"/>
      <c r="U2874" s="1531"/>
      <c r="V2874" s="1531"/>
      <c r="W2874" s="1531"/>
      <c r="X2874" s="1531"/>
      <c r="Y2874" s="1531"/>
      <c r="Z2874" s="1531"/>
      <c r="AA2874" s="1531"/>
      <c r="AB2874" s="1531"/>
      <c r="AC2874" s="1531"/>
      <c r="AD2874" s="1531"/>
      <c r="AE2874" s="1531"/>
      <c r="AF2874" s="1531"/>
      <c r="AG2874" s="1531"/>
      <c r="AH2874" s="1531"/>
      <c r="AI2874" s="1531"/>
      <c r="AJ2874" s="1531"/>
      <c r="AK2874" s="1531"/>
      <c r="AL2874" s="1531"/>
      <c r="AM2874" s="1531"/>
      <c r="AN2874" s="1531"/>
      <c r="AO2874" s="1531"/>
      <c r="AP2874" s="1531"/>
      <c r="AQ2874" s="1531"/>
      <c r="AR2874" s="1531"/>
      <c r="AS2874" s="1531"/>
    </row>
    <row r="2875" spans="1:45" s="1136" customFormat="1" ht="63" x14ac:dyDescent="0.25">
      <c r="A2875" s="1438" t="s">
        <v>423</v>
      </c>
      <c r="B2875" s="1433"/>
      <c r="C2875" s="1569"/>
      <c r="D2875" s="1569"/>
      <c r="E2875" s="1569"/>
      <c r="F2875" s="1569"/>
      <c r="G2875" s="1569"/>
      <c r="H2875" s="1531"/>
      <c r="I2875" s="1531"/>
      <c r="J2875" s="1531"/>
      <c r="K2875" s="1531"/>
      <c r="L2875" s="1531"/>
      <c r="M2875" s="1531"/>
      <c r="N2875" s="1531"/>
      <c r="O2875" s="1531"/>
      <c r="P2875" s="1531"/>
      <c r="Q2875" s="1531"/>
      <c r="R2875" s="1531"/>
      <c r="S2875" s="1531"/>
      <c r="T2875" s="1531"/>
      <c r="U2875" s="1531"/>
      <c r="V2875" s="1531"/>
      <c r="W2875" s="1531"/>
      <c r="X2875" s="1531"/>
      <c r="Y2875" s="1531"/>
      <c r="Z2875" s="1531"/>
      <c r="AA2875" s="1531"/>
      <c r="AB2875" s="1531"/>
      <c r="AC2875" s="1531"/>
      <c r="AD2875" s="1531"/>
      <c r="AE2875" s="1531"/>
      <c r="AF2875" s="1531"/>
      <c r="AG2875" s="1531"/>
      <c r="AH2875" s="1531"/>
      <c r="AI2875" s="1531"/>
      <c r="AJ2875" s="1531"/>
      <c r="AK2875" s="1531"/>
      <c r="AL2875" s="1531"/>
      <c r="AM2875" s="1531"/>
      <c r="AN2875" s="1531"/>
      <c r="AO2875" s="1531"/>
      <c r="AP2875" s="1531"/>
      <c r="AQ2875" s="1531"/>
      <c r="AR2875" s="1531"/>
      <c r="AS2875" s="1531"/>
    </row>
    <row r="2876" spans="1:45" s="1136" customFormat="1" ht="15.75" x14ac:dyDescent="0.25">
      <c r="A2876" s="1420" t="s">
        <v>424</v>
      </c>
      <c r="B2876" s="1439" t="e">
        <f>((B2855/B261+1)-3)*B2849</f>
        <v>#VALUE!</v>
      </c>
      <c r="C2876" s="1562"/>
      <c r="D2876" s="1569"/>
      <c r="E2876" s="1569"/>
      <c r="F2876" s="1569"/>
      <c r="G2876" s="1569"/>
      <c r="H2876" s="1531"/>
      <c r="I2876" s="1531"/>
      <c r="J2876" s="1531"/>
      <c r="K2876" s="1531"/>
      <c r="L2876" s="1531"/>
      <c r="M2876" s="1531"/>
      <c r="N2876" s="1531"/>
      <c r="O2876" s="1531"/>
      <c r="P2876" s="1531"/>
      <c r="Q2876" s="1531"/>
      <c r="R2876" s="1531"/>
      <c r="S2876" s="1531"/>
      <c r="T2876" s="1531"/>
      <c r="U2876" s="1531"/>
      <c r="V2876" s="1531"/>
      <c r="W2876" s="1531"/>
      <c r="X2876" s="1531"/>
      <c r="Y2876" s="1531"/>
      <c r="Z2876" s="1531"/>
      <c r="AA2876" s="1531"/>
      <c r="AB2876" s="1531"/>
      <c r="AC2876" s="1531"/>
      <c r="AD2876" s="1531"/>
      <c r="AE2876" s="1531"/>
      <c r="AF2876" s="1531"/>
      <c r="AG2876" s="1531"/>
      <c r="AH2876" s="1531"/>
      <c r="AI2876" s="1531"/>
      <c r="AJ2876" s="1531"/>
      <c r="AK2876" s="1531"/>
      <c r="AL2876" s="1531"/>
      <c r="AM2876" s="1531"/>
      <c r="AN2876" s="1531"/>
      <c r="AO2876" s="1531"/>
      <c r="AP2876" s="1531"/>
      <c r="AQ2876" s="1531"/>
      <c r="AR2876" s="1531"/>
      <c r="AS2876" s="1531"/>
    </row>
    <row r="2877" spans="1:45" s="1136" customFormat="1" ht="15.75" x14ac:dyDescent="0.25">
      <c r="A2877" s="1420" t="s">
        <v>425</v>
      </c>
      <c r="B2877" s="1424" t="e">
        <f>INDEX($U$3487:$X$3496,B2878,B2879)</f>
        <v>#VALUE!</v>
      </c>
      <c r="C2877" s="1606"/>
      <c r="D2877" s="1569"/>
      <c r="E2877" s="1569"/>
      <c r="F2877" s="1569"/>
      <c r="G2877" s="1569"/>
      <c r="H2877" s="1531"/>
      <c r="I2877" s="1531"/>
      <c r="J2877" s="1531"/>
      <c r="K2877" s="1531"/>
      <c r="L2877" s="1531"/>
      <c r="M2877" s="1531"/>
      <c r="N2877" s="1531"/>
      <c r="O2877" s="1531"/>
      <c r="P2877" s="1531"/>
      <c r="Q2877" s="1531"/>
      <c r="R2877" s="1531"/>
      <c r="S2877" s="1531"/>
      <c r="T2877" s="1531"/>
      <c r="U2877" s="1531"/>
      <c r="V2877" s="1531"/>
      <c r="W2877" s="1531"/>
      <c r="X2877" s="1531"/>
      <c r="Y2877" s="1531"/>
      <c r="Z2877" s="1531"/>
      <c r="AA2877" s="1531"/>
      <c r="AB2877" s="1531"/>
      <c r="AC2877" s="1531"/>
      <c r="AD2877" s="1531"/>
      <c r="AE2877" s="1531"/>
      <c r="AF2877" s="1531"/>
      <c r="AG2877" s="1531"/>
      <c r="AH2877" s="1531"/>
      <c r="AI2877" s="1531"/>
      <c r="AJ2877" s="1531"/>
      <c r="AK2877" s="1531"/>
      <c r="AL2877" s="1531"/>
      <c r="AM2877" s="1531"/>
      <c r="AN2877" s="1531"/>
      <c r="AO2877" s="1531"/>
      <c r="AP2877" s="1531"/>
      <c r="AQ2877" s="1531"/>
      <c r="AR2877" s="1531"/>
      <c r="AS2877" s="1531"/>
    </row>
    <row r="2878" spans="1:45" s="1136" customFormat="1" ht="15.75" x14ac:dyDescent="0.25">
      <c r="A2878" s="1420" t="s">
        <v>426</v>
      </c>
      <c r="B2878" s="1441" t="e">
        <f>B2861</f>
        <v>#VALUE!</v>
      </c>
      <c r="C2878" s="1596"/>
      <c r="D2878" s="1613"/>
      <c r="E2878" s="1613"/>
      <c r="F2878" s="1613"/>
      <c r="G2878" s="1613"/>
      <c r="H2878" s="1531"/>
      <c r="I2878" s="1531"/>
      <c r="J2878" s="1531"/>
      <c r="K2878" s="1531"/>
      <c r="L2878" s="1531"/>
      <c r="M2878" s="1531"/>
      <c r="N2878" s="1531"/>
      <c r="O2878" s="1531"/>
      <c r="P2878" s="1531"/>
      <c r="Q2878" s="1531"/>
      <c r="R2878" s="1531"/>
      <c r="S2878" s="1531"/>
      <c r="T2878" s="1531"/>
      <c r="U2878" s="1531"/>
      <c r="V2878" s="1531"/>
      <c r="W2878" s="1531"/>
      <c r="X2878" s="1531"/>
      <c r="Y2878" s="1531"/>
      <c r="Z2878" s="1531"/>
      <c r="AA2878" s="1531"/>
      <c r="AB2878" s="1531"/>
      <c r="AC2878" s="1531"/>
      <c r="AD2878" s="1531"/>
      <c r="AE2878" s="1531"/>
      <c r="AF2878" s="1531"/>
      <c r="AG2878" s="1531"/>
      <c r="AH2878" s="1531"/>
      <c r="AI2878" s="1531"/>
      <c r="AJ2878" s="1531"/>
      <c r="AK2878" s="1531"/>
      <c r="AL2878" s="1531"/>
      <c r="AM2878" s="1531"/>
      <c r="AN2878" s="1531"/>
      <c r="AO2878" s="1531"/>
      <c r="AP2878" s="1531"/>
      <c r="AQ2878" s="1531"/>
      <c r="AR2878" s="1531"/>
      <c r="AS2878" s="1531"/>
    </row>
    <row r="2879" spans="1:45" s="1136" customFormat="1" ht="15.75" x14ac:dyDescent="0.25">
      <c r="A2879" s="1420" t="s">
        <v>427</v>
      </c>
      <c r="B2879" s="1614">
        <v>1</v>
      </c>
      <c r="C2879" s="1615"/>
      <c r="D2879" s="1569"/>
      <c r="E2879" s="1569"/>
      <c r="F2879" s="1569"/>
      <c r="G2879" s="1569"/>
      <c r="H2879" s="1531"/>
      <c r="I2879" s="1531"/>
      <c r="J2879" s="1531"/>
      <c r="K2879" s="1531"/>
      <c r="L2879" s="1531"/>
      <c r="M2879" s="1531"/>
      <c r="N2879" s="1531"/>
      <c r="O2879" s="1531"/>
      <c r="P2879" s="1531"/>
      <c r="Q2879" s="1531"/>
      <c r="R2879" s="1531"/>
      <c r="S2879" s="1531"/>
      <c r="T2879" s="1531"/>
      <c r="U2879" s="1531"/>
      <c r="V2879" s="1531"/>
      <c r="W2879" s="1531"/>
      <c r="X2879" s="1531"/>
      <c r="Y2879" s="1531"/>
      <c r="Z2879" s="1531"/>
      <c r="AA2879" s="1531"/>
      <c r="AB2879" s="1531"/>
      <c r="AC2879" s="1531"/>
      <c r="AD2879" s="1531"/>
      <c r="AE2879" s="1531"/>
      <c r="AF2879" s="1531"/>
      <c r="AG2879" s="1531"/>
      <c r="AH2879" s="1531"/>
      <c r="AI2879" s="1531"/>
      <c r="AJ2879" s="1531"/>
      <c r="AK2879" s="1531"/>
      <c r="AL2879" s="1531"/>
      <c r="AM2879" s="1531"/>
      <c r="AN2879" s="1531"/>
      <c r="AO2879" s="1531"/>
      <c r="AP2879" s="1531"/>
      <c r="AQ2879" s="1531"/>
      <c r="AR2879" s="1531"/>
      <c r="AS2879" s="1531"/>
    </row>
    <row r="2880" spans="1:45" s="1136" customFormat="1" ht="15.75" x14ac:dyDescent="0.25">
      <c r="A2880" s="1420" t="s">
        <v>428</v>
      </c>
      <c r="B2880" s="1439" t="e">
        <f>B2865*B2866*B2867*B2868*B2870*B2871*B2383</f>
        <v>#VALUE!</v>
      </c>
      <c r="C2880" s="1562"/>
      <c r="D2880" s="1566"/>
      <c r="E2880" s="1566"/>
      <c r="F2880" s="1566"/>
      <c r="G2880" s="1566"/>
      <c r="H2880" s="1531"/>
      <c r="I2880" s="1531"/>
      <c r="J2880" s="1531"/>
      <c r="K2880" s="1531"/>
      <c r="L2880" s="1531"/>
      <c r="M2880" s="1531"/>
      <c r="N2880" s="1531"/>
      <c r="O2880" s="1531"/>
      <c r="P2880" s="1531"/>
      <c r="Q2880" s="1531"/>
      <c r="R2880" s="1531"/>
      <c r="S2880" s="1531"/>
      <c r="T2880" s="1531"/>
      <c r="U2880" s="1531"/>
      <c r="V2880" s="1531"/>
      <c r="W2880" s="1531"/>
      <c r="X2880" s="1531"/>
      <c r="Y2880" s="1531"/>
      <c r="Z2880" s="1531"/>
      <c r="AA2880" s="1531"/>
      <c r="AB2880" s="1531"/>
      <c r="AC2880" s="1531"/>
      <c r="AD2880" s="1531"/>
      <c r="AE2880" s="1531"/>
      <c r="AF2880" s="1531"/>
      <c r="AG2880" s="1531"/>
      <c r="AH2880" s="1531"/>
      <c r="AI2880" s="1531"/>
      <c r="AJ2880" s="1531"/>
      <c r="AK2880" s="1531"/>
      <c r="AL2880" s="1531"/>
      <c r="AM2880" s="1531"/>
      <c r="AN2880" s="1531"/>
      <c r="AO2880" s="1531"/>
      <c r="AP2880" s="1531"/>
      <c r="AQ2880" s="1531"/>
      <c r="AR2880" s="1531"/>
      <c r="AS2880" s="1531"/>
    </row>
    <row r="2881" spans="1:45" s="1136" customFormat="1" ht="15.75" x14ac:dyDescent="0.25">
      <c r="A2881" s="1420" t="s">
        <v>3412</v>
      </c>
      <c r="B2881" s="1439" t="e">
        <f>B2877*B2880</f>
        <v>#VALUE!</v>
      </c>
      <c r="C2881" s="1562"/>
      <c r="D2881" s="1531"/>
      <c r="E2881" s="1531"/>
      <c r="F2881" s="1531"/>
      <c r="G2881" s="1531"/>
      <c r="H2881" s="1531"/>
      <c r="I2881" s="1531"/>
      <c r="J2881" s="1531"/>
      <c r="K2881" s="1531"/>
      <c r="L2881" s="1531"/>
      <c r="M2881" s="1531"/>
      <c r="N2881" s="1531"/>
      <c r="O2881" s="1531"/>
      <c r="P2881" s="1531"/>
      <c r="Q2881" s="1531"/>
      <c r="R2881" s="1531"/>
      <c r="S2881" s="1531"/>
      <c r="T2881" s="1531"/>
      <c r="U2881" s="1531"/>
      <c r="V2881" s="1531"/>
      <c r="W2881" s="1531"/>
      <c r="X2881" s="1531"/>
      <c r="Y2881" s="1531"/>
      <c r="Z2881" s="1531"/>
      <c r="AA2881" s="1531"/>
      <c r="AB2881" s="1531"/>
      <c r="AC2881" s="1531"/>
      <c r="AD2881" s="1531"/>
      <c r="AE2881" s="1531"/>
      <c r="AF2881" s="1531"/>
      <c r="AG2881" s="1531"/>
      <c r="AH2881" s="1531"/>
      <c r="AI2881" s="1531"/>
      <c r="AJ2881" s="1531"/>
      <c r="AK2881" s="1531"/>
      <c r="AL2881" s="1531"/>
      <c r="AM2881" s="1531"/>
      <c r="AN2881" s="1531"/>
      <c r="AO2881" s="1531"/>
      <c r="AP2881" s="1531"/>
      <c r="AQ2881" s="1531"/>
      <c r="AR2881" s="1531"/>
      <c r="AS2881" s="1531"/>
    </row>
    <row r="2882" spans="1:45" s="1136" customFormat="1" ht="15.75" x14ac:dyDescent="0.25">
      <c r="A2882" s="1422" t="s">
        <v>429</v>
      </c>
      <c r="B2882" s="1439" t="e">
        <f>B2876/B2881</f>
        <v>#VALUE!</v>
      </c>
      <c r="C2882" s="1562"/>
      <c r="D2882" s="1531"/>
      <c r="E2882" s="1531"/>
      <c r="F2882" s="1531"/>
      <c r="G2882" s="1531"/>
      <c r="H2882" s="1531"/>
      <c r="I2882" s="1531"/>
      <c r="J2882" s="1531"/>
      <c r="K2882" s="1531"/>
      <c r="L2882" s="1531"/>
      <c r="M2882" s="1531"/>
      <c r="N2882" s="1531"/>
      <c r="O2882" s="1531"/>
      <c r="P2882" s="1531"/>
      <c r="Q2882" s="1531"/>
      <c r="R2882" s="1531"/>
      <c r="S2882" s="1531"/>
      <c r="T2882" s="1531"/>
      <c r="U2882" s="1531"/>
      <c r="V2882" s="1531"/>
      <c r="W2882" s="1531"/>
      <c r="X2882" s="1531"/>
      <c r="Y2882" s="1531"/>
      <c r="Z2882" s="1531"/>
      <c r="AA2882" s="1531"/>
      <c r="AB2882" s="1531"/>
      <c r="AC2882" s="1531"/>
      <c r="AD2882" s="1531"/>
      <c r="AE2882" s="1531"/>
      <c r="AF2882" s="1531"/>
      <c r="AG2882" s="1531"/>
      <c r="AH2882" s="1531"/>
      <c r="AI2882" s="1531"/>
      <c r="AJ2882" s="1531"/>
      <c r="AK2882" s="1531"/>
      <c r="AL2882" s="1531"/>
      <c r="AM2882" s="1531"/>
      <c r="AN2882" s="1531"/>
      <c r="AO2882" s="1531"/>
      <c r="AP2882" s="1531"/>
      <c r="AQ2882" s="1531"/>
      <c r="AR2882" s="1531"/>
      <c r="AS2882" s="1531"/>
    </row>
    <row r="2883" spans="1:45" s="1136" customFormat="1" ht="15.75" x14ac:dyDescent="0.25">
      <c r="A2883" s="1420"/>
      <c r="B2883" s="1439"/>
      <c r="C2883" s="1562"/>
      <c r="D2883" s="1562"/>
      <c r="E2883" s="1562"/>
      <c r="F2883" s="1562"/>
      <c r="G2883" s="1562"/>
      <c r="H2883" s="1531"/>
      <c r="I2883" s="1531"/>
      <c r="J2883" s="1531"/>
      <c r="K2883" s="1531"/>
      <c r="L2883" s="1531"/>
      <c r="M2883" s="1531"/>
      <c r="N2883" s="1531"/>
      <c r="O2883" s="1531"/>
      <c r="P2883" s="1531"/>
      <c r="Q2883" s="1531"/>
      <c r="R2883" s="1531"/>
      <c r="S2883" s="1531"/>
      <c r="T2883" s="1531"/>
      <c r="U2883" s="1531"/>
      <c r="V2883" s="1531"/>
      <c r="W2883" s="1531"/>
      <c r="X2883" s="1531"/>
      <c r="Y2883" s="1531"/>
      <c r="Z2883" s="1531"/>
      <c r="AA2883" s="1531"/>
      <c r="AB2883" s="1531"/>
      <c r="AC2883" s="1531"/>
      <c r="AD2883" s="1531"/>
      <c r="AE2883" s="1531"/>
      <c r="AF2883" s="1531"/>
      <c r="AG2883" s="1531"/>
      <c r="AH2883" s="1531"/>
      <c r="AI2883" s="1531"/>
      <c r="AJ2883" s="1531"/>
      <c r="AK2883" s="1531"/>
      <c r="AL2883" s="1531"/>
      <c r="AM2883" s="1531"/>
      <c r="AN2883" s="1531"/>
      <c r="AO2883" s="1531"/>
      <c r="AP2883" s="1531"/>
      <c r="AQ2883" s="1531"/>
      <c r="AR2883" s="1531"/>
      <c r="AS2883" s="1531"/>
    </row>
    <row r="2884" spans="1:45" s="1136" customFormat="1" ht="63" x14ac:dyDescent="0.25">
      <c r="A2884" s="1438" t="s">
        <v>3389</v>
      </c>
      <c r="B2884" s="1439"/>
      <c r="C2884" s="1562"/>
      <c r="D2884" s="1606"/>
      <c r="E2884" s="1606"/>
      <c r="F2884" s="1606"/>
      <c r="G2884" s="1606"/>
      <c r="H2884" s="1531"/>
      <c r="I2884" s="1531"/>
      <c r="J2884" s="1531"/>
      <c r="K2884" s="1531"/>
      <c r="L2884" s="1531"/>
      <c r="M2884" s="1531"/>
      <c r="N2884" s="1531"/>
      <c r="O2884" s="1531"/>
      <c r="P2884" s="1531"/>
      <c r="Q2884" s="1531"/>
      <c r="R2884" s="1531"/>
      <c r="S2884" s="1531"/>
      <c r="T2884" s="1531"/>
      <c r="U2884" s="1531"/>
      <c r="V2884" s="1531"/>
      <c r="W2884" s="1531"/>
      <c r="X2884" s="1531"/>
      <c r="Y2884" s="1531"/>
      <c r="Z2884" s="1531"/>
      <c r="AA2884" s="1531"/>
      <c r="AB2884" s="1531"/>
      <c r="AC2884" s="1531"/>
      <c r="AD2884" s="1531"/>
      <c r="AE2884" s="1531"/>
      <c r="AF2884" s="1531"/>
      <c r="AG2884" s="1531"/>
      <c r="AH2884" s="1531"/>
      <c r="AI2884" s="1531"/>
      <c r="AJ2884" s="1531"/>
      <c r="AK2884" s="1531"/>
      <c r="AL2884" s="1531"/>
      <c r="AM2884" s="1531"/>
      <c r="AN2884" s="1531"/>
      <c r="AO2884" s="1531"/>
      <c r="AP2884" s="1531"/>
      <c r="AQ2884" s="1531"/>
      <c r="AR2884" s="1531"/>
      <c r="AS2884" s="1531"/>
    </row>
    <row r="2885" spans="1:45" s="1136" customFormat="1" ht="15.75" x14ac:dyDescent="0.25">
      <c r="A2885" s="1420" t="s">
        <v>424</v>
      </c>
      <c r="B2885" s="1439" t="e">
        <f>(B245^2*((B2855-B2851)/B261+1)/(B2855-B2851))*B2849</f>
        <v>#VALUE!</v>
      </c>
      <c r="C2885" s="1562"/>
      <c r="D2885" s="1596"/>
      <c r="E2885" s="1596"/>
      <c r="F2885" s="1596"/>
      <c r="G2885" s="1596"/>
      <c r="H2885" s="1531"/>
      <c r="I2885" s="1531"/>
      <c r="J2885" s="1531"/>
      <c r="K2885" s="1531"/>
      <c r="L2885" s="1531"/>
      <c r="M2885" s="1531"/>
      <c r="N2885" s="1531"/>
      <c r="O2885" s="1531"/>
      <c r="P2885" s="1531"/>
      <c r="Q2885" s="1531"/>
      <c r="R2885" s="1531"/>
      <c r="S2885" s="1531"/>
      <c r="T2885" s="1531"/>
      <c r="U2885" s="1531"/>
      <c r="V2885" s="1531"/>
      <c r="W2885" s="1531"/>
      <c r="X2885" s="1531"/>
      <c r="Y2885" s="1531"/>
      <c r="Z2885" s="1531"/>
      <c r="AA2885" s="1531"/>
      <c r="AB2885" s="1531"/>
      <c r="AC2885" s="1531"/>
      <c r="AD2885" s="1531"/>
      <c r="AE2885" s="1531"/>
      <c r="AF2885" s="1531"/>
      <c r="AG2885" s="1531"/>
      <c r="AH2885" s="1531"/>
      <c r="AI2885" s="1531"/>
      <c r="AJ2885" s="1531"/>
      <c r="AK2885" s="1531"/>
      <c r="AL2885" s="1531"/>
      <c r="AM2885" s="1531"/>
      <c r="AN2885" s="1531"/>
      <c r="AO2885" s="1531"/>
      <c r="AP2885" s="1531"/>
      <c r="AQ2885" s="1531"/>
      <c r="AR2885" s="1531"/>
      <c r="AS2885" s="1531"/>
    </row>
    <row r="2886" spans="1:45" s="1136" customFormat="1" ht="15.75" x14ac:dyDescent="0.25">
      <c r="A2886" s="1420" t="s">
        <v>3390</v>
      </c>
      <c r="B2886" s="1441" t="e">
        <f>IF(B2860&lt;23.1,281,IF(B2860&lt;29.1,250,IF(B2860&lt;36.1,224,IF(B2860&lt;45.1,197,IF(B2860&lt;55.1,172,IF(B2860&lt;65.1,149,128))))))</f>
        <v>#VALUE!</v>
      </c>
      <c r="C2886" s="1596"/>
      <c r="D2886" s="1615"/>
      <c r="E2886" s="1615"/>
      <c r="F2886" s="1615"/>
      <c r="G2886" s="1615"/>
      <c r="H2886" s="1531"/>
      <c r="I2886" s="1531"/>
      <c r="J2886" s="1531"/>
      <c r="K2886" s="1531"/>
      <c r="L2886" s="1531"/>
      <c r="M2886" s="1531"/>
      <c r="N2886" s="1531"/>
      <c r="O2886" s="1531"/>
      <c r="P2886" s="1531"/>
      <c r="Q2886" s="1531"/>
      <c r="R2886" s="1531"/>
      <c r="S2886" s="1531"/>
      <c r="T2886" s="1531"/>
      <c r="U2886" s="1531"/>
      <c r="V2886" s="1531"/>
      <c r="W2886" s="1531"/>
      <c r="X2886" s="1531"/>
      <c r="Y2886" s="1531"/>
      <c r="Z2886" s="1531"/>
      <c r="AA2886" s="1531"/>
      <c r="AB2886" s="1531"/>
      <c r="AC2886" s="1531"/>
      <c r="AD2886" s="1531"/>
      <c r="AE2886" s="1531"/>
      <c r="AF2886" s="1531"/>
      <c r="AG2886" s="1531"/>
      <c r="AH2886" s="1531"/>
      <c r="AI2886" s="1531"/>
      <c r="AJ2886" s="1531"/>
      <c r="AK2886" s="1531"/>
      <c r="AL2886" s="1531"/>
      <c r="AM2886" s="1531"/>
      <c r="AN2886" s="1531"/>
      <c r="AO2886" s="1531"/>
      <c r="AP2886" s="1531"/>
      <c r="AQ2886" s="1531"/>
      <c r="AR2886" s="1531"/>
      <c r="AS2886" s="1531"/>
    </row>
    <row r="2887" spans="1:45" s="1136" customFormat="1" ht="15.75" x14ac:dyDescent="0.25">
      <c r="A2887" s="1420" t="s">
        <v>3391</v>
      </c>
      <c r="B2887" s="1439"/>
      <c r="C2887" s="1562"/>
      <c r="D2887" s="1562"/>
      <c r="E2887" s="1562"/>
      <c r="F2887" s="1562"/>
      <c r="G2887" s="1562"/>
      <c r="H2887" s="1531"/>
      <c r="I2887" s="1531"/>
      <c r="J2887" s="1531"/>
      <c r="K2887" s="1531"/>
      <c r="L2887" s="1531"/>
      <c r="M2887" s="1531"/>
      <c r="N2887" s="1531"/>
      <c r="O2887" s="1531"/>
      <c r="P2887" s="1531"/>
      <c r="Q2887" s="1531"/>
      <c r="R2887" s="1531"/>
      <c r="S2887" s="1531"/>
      <c r="T2887" s="1531"/>
      <c r="U2887" s="1531"/>
      <c r="V2887" s="1531"/>
      <c r="W2887" s="1531"/>
      <c r="X2887" s="1531"/>
      <c r="Y2887" s="1531"/>
      <c r="Z2887" s="1531"/>
      <c r="AA2887" s="1531"/>
      <c r="AB2887" s="1531"/>
      <c r="AC2887" s="1531"/>
      <c r="AD2887" s="1531"/>
      <c r="AE2887" s="1531"/>
      <c r="AF2887" s="1531"/>
      <c r="AG2887" s="1531"/>
      <c r="AH2887" s="1531"/>
      <c r="AI2887" s="1531"/>
      <c r="AJ2887" s="1531"/>
      <c r="AK2887" s="1531"/>
      <c r="AL2887" s="1531"/>
      <c r="AM2887" s="1531"/>
      <c r="AN2887" s="1531"/>
      <c r="AO2887" s="1531"/>
      <c r="AP2887" s="1531"/>
      <c r="AQ2887" s="1531"/>
      <c r="AR2887" s="1531"/>
      <c r="AS2887" s="1531"/>
    </row>
    <row r="2888" spans="1:45" s="1136" customFormat="1" ht="15.75" x14ac:dyDescent="0.25">
      <c r="A2888" s="1420" t="s">
        <v>392</v>
      </c>
      <c r="B2888" s="1424">
        <f>IF(B251&lt;21,1,IF(B251&lt;31,0.9,0.8))</f>
        <v>1</v>
      </c>
      <c r="C2888" s="1606"/>
      <c r="D2888" s="1562"/>
      <c r="E2888" s="1562"/>
      <c r="F2888" s="1562"/>
      <c r="G2888" s="1562"/>
      <c r="H2888" s="1531"/>
      <c r="I2888" s="1531"/>
      <c r="J2888" s="1531"/>
      <c r="K2888" s="1531"/>
      <c r="L2888" s="1531"/>
      <c r="M2888" s="1531"/>
      <c r="N2888" s="1531"/>
      <c r="O2888" s="1531"/>
      <c r="P2888" s="1531"/>
      <c r="Q2888" s="1531"/>
      <c r="R2888" s="1531"/>
      <c r="S2888" s="1531"/>
      <c r="T2888" s="1531"/>
      <c r="U2888" s="1531"/>
      <c r="V2888" s="1531"/>
      <c r="W2888" s="1531"/>
      <c r="X2888" s="1531"/>
      <c r="Y2888" s="1531"/>
      <c r="Z2888" s="1531"/>
      <c r="AA2888" s="1531"/>
      <c r="AB2888" s="1531"/>
      <c r="AC2888" s="1531"/>
      <c r="AD2888" s="1531"/>
      <c r="AE2888" s="1531"/>
      <c r="AF2888" s="1531"/>
      <c r="AG2888" s="1531"/>
      <c r="AH2888" s="1531"/>
      <c r="AI2888" s="1531"/>
      <c r="AJ2888" s="1531"/>
      <c r="AK2888" s="1531"/>
      <c r="AL2888" s="1531"/>
      <c r="AM2888" s="1531"/>
      <c r="AN2888" s="1531"/>
      <c r="AO2888" s="1531"/>
      <c r="AP2888" s="1531"/>
      <c r="AQ2888" s="1531"/>
      <c r="AR2888" s="1531"/>
      <c r="AS2888" s="1531"/>
    </row>
    <row r="2889" spans="1:45" s="1136" customFormat="1" ht="15.75" x14ac:dyDescent="0.25">
      <c r="A2889" s="1420" t="s">
        <v>391</v>
      </c>
      <c r="B2889" s="1424">
        <f>IF(B274&gt;0.2,0.9,1)</f>
        <v>0.9</v>
      </c>
      <c r="C2889" s="1606"/>
      <c r="D2889" s="1562"/>
      <c r="E2889" s="1562"/>
      <c r="F2889" s="1562"/>
      <c r="G2889" s="1562"/>
      <c r="H2889" s="1531"/>
      <c r="I2889" s="1531"/>
      <c r="J2889" s="1531"/>
      <c r="K2889" s="1531"/>
      <c r="L2889" s="1531"/>
      <c r="M2889" s="1531"/>
      <c r="N2889" s="1531"/>
      <c r="O2889" s="1531"/>
      <c r="P2889" s="1531"/>
      <c r="Q2889" s="1531"/>
      <c r="R2889" s="1531"/>
      <c r="S2889" s="1531"/>
      <c r="T2889" s="1531"/>
      <c r="U2889" s="1531"/>
      <c r="V2889" s="1531"/>
      <c r="W2889" s="1531"/>
      <c r="X2889" s="1531"/>
      <c r="Y2889" s="1531"/>
      <c r="Z2889" s="1531"/>
      <c r="AA2889" s="1531"/>
      <c r="AB2889" s="1531"/>
      <c r="AC2889" s="1531"/>
      <c r="AD2889" s="1531"/>
      <c r="AE2889" s="1531"/>
      <c r="AF2889" s="1531"/>
      <c r="AG2889" s="1531"/>
      <c r="AH2889" s="1531"/>
      <c r="AI2889" s="1531"/>
      <c r="AJ2889" s="1531"/>
      <c r="AK2889" s="1531"/>
      <c r="AL2889" s="1531"/>
      <c r="AM2889" s="1531"/>
      <c r="AN2889" s="1531"/>
      <c r="AO2889" s="1531"/>
      <c r="AP2889" s="1531"/>
      <c r="AQ2889" s="1531"/>
      <c r="AR2889" s="1531"/>
      <c r="AS2889" s="1531"/>
    </row>
    <row r="2890" spans="1:45" s="1136" customFormat="1" ht="31.5" x14ac:dyDescent="0.25">
      <c r="A2890" s="1420" t="s">
        <v>3392</v>
      </c>
      <c r="B2890" s="1431">
        <f>B2428</f>
        <v>0</v>
      </c>
      <c r="C2890" s="1610"/>
      <c r="D2890" s="1531"/>
      <c r="E2890" s="1531"/>
      <c r="F2890" s="1531"/>
      <c r="G2890" s="1531"/>
      <c r="H2890" s="1531"/>
      <c r="I2890" s="1531"/>
      <c r="J2890" s="1531"/>
      <c r="K2890" s="1531"/>
      <c r="L2890" s="1531"/>
      <c r="M2890" s="1531"/>
      <c r="N2890" s="1531"/>
      <c r="O2890" s="1531"/>
      <c r="P2890" s="1531"/>
      <c r="Q2890" s="1531"/>
      <c r="R2890" s="1531"/>
      <c r="S2890" s="1531"/>
      <c r="T2890" s="1531"/>
      <c r="U2890" s="1531"/>
      <c r="V2890" s="1531"/>
      <c r="W2890" s="1531"/>
      <c r="X2890" s="1531"/>
      <c r="Y2890" s="1531"/>
      <c r="Z2890" s="1531"/>
      <c r="AA2890" s="1531"/>
      <c r="AB2890" s="1531"/>
      <c r="AC2890" s="1531"/>
      <c r="AD2890" s="1531"/>
      <c r="AE2890" s="1531"/>
      <c r="AF2890" s="1531"/>
      <c r="AG2890" s="1531"/>
      <c r="AH2890" s="1531"/>
      <c r="AI2890" s="1531"/>
      <c r="AJ2890" s="1531"/>
      <c r="AK2890" s="1531"/>
      <c r="AL2890" s="1531"/>
      <c r="AM2890" s="1531"/>
      <c r="AN2890" s="1531"/>
      <c r="AO2890" s="1531"/>
      <c r="AP2890" s="1531"/>
      <c r="AQ2890" s="1531"/>
      <c r="AR2890" s="1531"/>
      <c r="AS2890" s="1531"/>
    </row>
    <row r="2891" spans="1:45" s="1136" customFormat="1" ht="15.75" x14ac:dyDescent="0.25">
      <c r="A2891" s="1420" t="s">
        <v>3393</v>
      </c>
      <c r="B2891" s="1424">
        <f>IF(B2890=0,1,1.2)</f>
        <v>1</v>
      </c>
      <c r="C2891" s="1606"/>
      <c r="D2891" s="1531"/>
      <c r="E2891" s="1531"/>
      <c r="F2891" s="1531"/>
      <c r="G2891" s="1531"/>
      <c r="H2891" s="1531"/>
      <c r="I2891" s="1531"/>
      <c r="J2891" s="1531"/>
      <c r="K2891" s="1531"/>
      <c r="L2891" s="1531"/>
      <c r="M2891" s="1531"/>
      <c r="N2891" s="1531"/>
      <c r="O2891" s="1531"/>
      <c r="P2891" s="1531"/>
      <c r="Q2891" s="1531"/>
      <c r="R2891" s="1531"/>
      <c r="S2891" s="1531"/>
      <c r="T2891" s="1531"/>
      <c r="U2891" s="1531"/>
      <c r="V2891" s="1531"/>
      <c r="W2891" s="1531"/>
      <c r="X2891" s="1531"/>
      <c r="Y2891" s="1531"/>
      <c r="Z2891" s="1531"/>
      <c r="AA2891" s="1531"/>
      <c r="AB2891" s="1531"/>
      <c r="AC2891" s="1531"/>
      <c r="AD2891" s="1531"/>
      <c r="AE2891" s="1531"/>
      <c r="AF2891" s="1531"/>
      <c r="AG2891" s="1531"/>
      <c r="AH2891" s="1531"/>
      <c r="AI2891" s="1531"/>
      <c r="AJ2891" s="1531"/>
      <c r="AK2891" s="1531"/>
      <c r="AL2891" s="1531"/>
      <c r="AM2891" s="1531"/>
      <c r="AN2891" s="1531"/>
      <c r="AO2891" s="1531"/>
      <c r="AP2891" s="1531"/>
      <c r="AQ2891" s="1531"/>
      <c r="AR2891" s="1531"/>
      <c r="AS2891" s="1531"/>
    </row>
    <row r="2892" spans="1:45" s="1136" customFormat="1" ht="47.25" x14ac:dyDescent="0.25">
      <c r="A2892" s="1420" t="s">
        <v>1892</v>
      </c>
      <c r="B2892" s="1431">
        <f>B2430</f>
        <v>1</v>
      </c>
      <c r="C2892" s="1610"/>
      <c r="D2892" s="1562"/>
      <c r="E2892" s="1562"/>
      <c r="F2892" s="1562"/>
      <c r="G2892" s="1562"/>
      <c r="H2892" s="1531"/>
      <c r="I2892" s="1531"/>
      <c r="J2892" s="1531"/>
      <c r="K2892" s="1531"/>
      <c r="L2892" s="1531"/>
      <c r="M2892" s="1531"/>
      <c r="N2892" s="1531"/>
      <c r="O2892" s="1531"/>
      <c r="P2892" s="1531"/>
      <c r="Q2892" s="1531"/>
      <c r="R2892" s="1531"/>
      <c r="S2892" s="1531"/>
      <c r="T2892" s="1531"/>
      <c r="U2892" s="1531"/>
      <c r="V2892" s="1531"/>
      <c r="W2892" s="1531"/>
      <c r="X2892" s="1531"/>
      <c r="Y2892" s="1531"/>
      <c r="Z2892" s="1531"/>
      <c r="AA2892" s="1531"/>
      <c r="AB2892" s="1531"/>
      <c r="AC2892" s="1531"/>
      <c r="AD2892" s="1531"/>
      <c r="AE2892" s="1531"/>
      <c r="AF2892" s="1531"/>
      <c r="AG2892" s="1531"/>
      <c r="AH2892" s="1531"/>
      <c r="AI2892" s="1531"/>
      <c r="AJ2892" s="1531"/>
      <c r="AK2892" s="1531"/>
      <c r="AL2892" s="1531"/>
      <c r="AM2892" s="1531"/>
      <c r="AN2892" s="1531"/>
      <c r="AO2892" s="1531"/>
      <c r="AP2892" s="1531"/>
      <c r="AQ2892" s="1531"/>
      <c r="AR2892" s="1531"/>
      <c r="AS2892" s="1531"/>
    </row>
    <row r="2893" spans="1:45" s="1136" customFormat="1" ht="15.75" x14ac:dyDescent="0.25">
      <c r="A2893" s="1420" t="s">
        <v>1893</v>
      </c>
      <c r="B2893" s="1443">
        <f>IF(B2892=0,1.05,1)</f>
        <v>1</v>
      </c>
      <c r="C2893" s="1521"/>
      <c r="D2893" s="1596"/>
      <c r="E2893" s="1596"/>
      <c r="F2893" s="1596"/>
      <c r="G2893" s="1596"/>
      <c r="H2893" s="1531"/>
      <c r="I2893" s="1531"/>
      <c r="J2893" s="1531"/>
      <c r="K2893" s="1531"/>
      <c r="L2893" s="1531"/>
      <c r="M2893" s="1531"/>
      <c r="N2893" s="1531"/>
      <c r="O2893" s="1531"/>
      <c r="P2893" s="1531"/>
      <c r="Q2893" s="1531"/>
      <c r="R2893" s="1531"/>
      <c r="S2893" s="1531"/>
      <c r="T2893" s="1531"/>
      <c r="U2893" s="1531"/>
      <c r="V2893" s="1531"/>
      <c r="W2893" s="1531"/>
      <c r="X2893" s="1531"/>
      <c r="Y2893" s="1531"/>
      <c r="Z2893" s="1531"/>
      <c r="AA2893" s="1531"/>
      <c r="AB2893" s="1531"/>
      <c r="AC2893" s="1531"/>
      <c r="AD2893" s="1531"/>
      <c r="AE2893" s="1531"/>
      <c r="AF2893" s="1531"/>
      <c r="AG2893" s="1531"/>
      <c r="AH2893" s="1531"/>
      <c r="AI2893" s="1531"/>
      <c r="AJ2893" s="1531"/>
      <c r="AK2893" s="1531"/>
      <c r="AL2893" s="1531"/>
      <c r="AM2893" s="1531"/>
      <c r="AN2893" s="1531"/>
      <c r="AO2893" s="1531"/>
      <c r="AP2893" s="1531"/>
      <c r="AQ2893" s="1531"/>
      <c r="AR2893" s="1531"/>
      <c r="AS2893" s="1531"/>
    </row>
    <row r="2894" spans="1:45" s="1136" customFormat="1" ht="15.75" x14ac:dyDescent="0.25">
      <c r="A2894" s="1420" t="s">
        <v>1894</v>
      </c>
      <c r="B2894" s="1424" t="e">
        <f>B2886*B2888*B2889*B2891*B2893*B2383</f>
        <v>#VALUE!</v>
      </c>
      <c r="C2894" s="1606"/>
      <c r="D2894" s="1531"/>
      <c r="E2894" s="1531"/>
      <c r="F2894" s="1531"/>
      <c r="G2894" s="1531"/>
      <c r="H2894" s="1531"/>
      <c r="I2894" s="1531"/>
      <c r="J2894" s="1531"/>
      <c r="K2894" s="1531"/>
      <c r="L2894" s="1531"/>
      <c r="M2894" s="1531"/>
      <c r="N2894" s="1531"/>
      <c r="O2894" s="1531"/>
      <c r="P2894" s="1531"/>
      <c r="Q2894" s="1531"/>
      <c r="R2894" s="1531"/>
      <c r="S2894" s="1531"/>
      <c r="T2894" s="1531"/>
      <c r="U2894" s="1531"/>
      <c r="V2894" s="1531"/>
      <c r="W2894" s="1531"/>
      <c r="X2894" s="1531"/>
      <c r="Y2894" s="1531"/>
      <c r="Z2894" s="1531"/>
      <c r="AA2894" s="1531"/>
      <c r="AB2894" s="1531"/>
      <c r="AC2894" s="1531"/>
      <c r="AD2894" s="1531"/>
      <c r="AE2894" s="1531"/>
      <c r="AF2894" s="1531"/>
      <c r="AG2894" s="1531"/>
      <c r="AH2894" s="1531"/>
      <c r="AI2894" s="1531"/>
      <c r="AJ2894" s="1531"/>
      <c r="AK2894" s="1531"/>
      <c r="AL2894" s="1531"/>
      <c r="AM2894" s="1531"/>
      <c r="AN2894" s="1531"/>
      <c r="AO2894" s="1531"/>
      <c r="AP2894" s="1531"/>
      <c r="AQ2894" s="1531"/>
      <c r="AR2894" s="1531"/>
      <c r="AS2894" s="1531"/>
    </row>
    <row r="2895" spans="1:45" s="1136" customFormat="1" ht="15.75" x14ac:dyDescent="0.25">
      <c r="A2895" s="1420" t="s">
        <v>429</v>
      </c>
      <c r="B2895" s="1439" t="e">
        <f>B2885/B2894</f>
        <v>#VALUE!</v>
      </c>
      <c r="C2895" s="1562"/>
      <c r="D2895" s="1606"/>
      <c r="E2895" s="1606"/>
      <c r="F2895" s="1606"/>
      <c r="G2895" s="1606"/>
      <c r="H2895" s="1531"/>
      <c r="I2895" s="1531"/>
      <c r="J2895" s="1531"/>
      <c r="K2895" s="1531"/>
      <c r="L2895" s="1531"/>
      <c r="M2895" s="1531"/>
      <c r="N2895" s="1531"/>
      <c r="O2895" s="1531"/>
      <c r="P2895" s="1531"/>
      <c r="Q2895" s="1531"/>
      <c r="R2895" s="1531"/>
      <c r="S2895" s="1531"/>
      <c r="T2895" s="1531"/>
      <c r="U2895" s="1531"/>
      <c r="V2895" s="1531"/>
      <c r="W2895" s="1531"/>
      <c r="X2895" s="1531"/>
      <c r="Y2895" s="1531"/>
      <c r="Z2895" s="1531"/>
      <c r="AA2895" s="1531"/>
      <c r="AB2895" s="1531"/>
      <c r="AC2895" s="1531"/>
      <c r="AD2895" s="1531"/>
      <c r="AE2895" s="1531"/>
      <c r="AF2895" s="1531"/>
      <c r="AG2895" s="1531"/>
      <c r="AH2895" s="1531"/>
      <c r="AI2895" s="1531"/>
      <c r="AJ2895" s="1531"/>
      <c r="AK2895" s="1531"/>
      <c r="AL2895" s="1531"/>
      <c r="AM2895" s="1531"/>
      <c r="AN2895" s="1531"/>
      <c r="AO2895" s="1531"/>
      <c r="AP2895" s="1531"/>
      <c r="AQ2895" s="1531"/>
      <c r="AR2895" s="1531"/>
      <c r="AS2895" s="1531"/>
    </row>
    <row r="2896" spans="1:45" s="1136" customFormat="1" ht="15.75" x14ac:dyDescent="0.25">
      <c r="A2896" s="1420"/>
      <c r="B2896" s="1424"/>
      <c r="C2896" s="1606"/>
      <c r="D2896" s="1606"/>
      <c r="E2896" s="1606"/>
      <c r="F2896" s="1606"/>
      <c r="G2896" s="1606"/>
      <c r="H2896" s="1531"/>
      <c r="I2896" s="1531"/>
      <c r="J2896" s="1531"/>
      <c r="K2896" s="1531"/>
      <c r="L2896" s="1531"/>
      <c r="M2896" s="1531"/>
      <c r="N2896" s="1531"/>
      <c r="O2896" s="1531"/>
      <c r="P2896" s="1531"/>
      <c r="Q2896" s="1531"/>
      <c r="R2896" s="1531"/>
      <c r="S2896" s="1531"/>
      <c r="T2896" s="1531"/>
      <c r="U2896" s="1531"/>
      <c r="V2896" s="1531"/>
      <c r="W2896" s="1531"/>
      <c r="X2896" s="1531"/>
      <c r="Y2896" s="1531"/>
      <c r="Z2896" s="1531"/>
      <c r="AA2896" s="1531"/>
      <c r="AB2896" s="1531"/>
      <c r="AC2896" s="1531"/>
      <c r="AD2896" s="1531"/>
      <c r="AE2896" s="1531"/>
      <c r="AF2896" s="1531"/>
      <c r="AG2896" s="1531"/>
      <c r="AH2896" s="1531"/>
      <c r="AI2896" s="1531"/>
      <c r="AJ2896" s="1531"/>
      <c r="AK2896" s="1531"/>
      <c r="AL2896" s="1531"/>
      <c r="AM2896" s="1531"/>
      <c r="AN2896" s="1531"/>
      <c r="AO2896" s="1531"/>
      <c r="AP2896" s="1531"/>
      <c r="AQ2896" s="1531"/>
      <c r="AR2896" s="1531"/>
      <c r="AS2896" s="1531"/>
    </row>
    <row r="2897" spans="1:45" s="1136" customFormat="1" ht="63" x14ac:dyDescent="0.25">
      <c r="A2897" s="1438" t="s">
        <v>1895</v>
      </c>
      <c r="B2897" s="1439"/>
      <c r="C2897" s="1562"/>
      <c r="D2897" s="1610"/>
      <c r="E2897" s="1610"/>
      <c r="F2897" s="1610"/>
      <c r="G2897" s="1610"/>
      <c r="H2897" s="1531"/>
      <c r="I2897" s="1531"/>
      <c r="J2897" s="1531"/>
      <c r="K2897" s="1531"/>
      <c r="L2897" s="1531"/>
      <c r="M2897" s="1531"/>
      <c r="N2897" s="1531"/>
      <c r="O2897" s="1531"/>
      <c r="P2897" s="1531"/>
      <c r="Q2897" s="1531"/>
      <c r="R2897" s="1531"/>
      <c r="S2897" s="1531"/>
      <c r="T2897" s="1531"/>
      <c r="U2897" s="1531"/>
      <c r="V2897" s="1531"/>
      <c r="W2897" s="1531"/>
      <c r="X2897" s="1531"/>
      <c r="Y2897" s="1531"/>
      <c r="Z2897" s="1531"/>
      <c r="AA2897" s="1531"/>
      <c r="AB2897" s="1531"/>
      <c r="AC2897" s="1531"/>
      <c r="AD2897" s="1531"/>
      <c r="AE2897" s="1531"/>
      <c r="AF2897" s="1531"/>
      <c r="AG2897" s="1531"/>
      <c r="AH2897" s="1531"/>
      <c r="AI2897" s="1531"/>
      <c r="AJ2897" s="1531"/>
      <c r="AK2897" s="1531"/>
      <c r="AL2897" s="1531"/>
      <c r="AM2897" s="1531"/>
      <c r="AN2897" s="1531"/>
      <c r="AO2897" s="1531"/>
      <c r="AP2897" s="1531"/>
      <c r="AQ2897" s="1531"/>
      <c r="AR2897" s="1531"/>
      <c r="AS2897" s="1531"/>
    </row>
    <row r="2898" spans="1:45" s="1136" customFormat="1" ht="15.75" x14ac:dyDescent="0.25">
      <c r="A2898" s="1420" t="s">
        <v>424</v>
      </c>
      <c r="B2898" s="1439" t="e">
        <f>(B245^2*((B2855-B2851)/B261+1)/(B2855-B2851))*B2849</f>
        <v>#VALUE!</v>
      </c>
      <c r="C2898" s="1562"/>
      <c r="D2898" s="1606"/>
      <c r="E2898" s="1606"/>
      <c r="F2898" s="1606"/>
      <c r="G2898" s="1606"/>
      <c r="H2898" s="1531"/>
      <c r="I2898" s="1531"/>
      <c r="J2898" s="1531"/>
      <c r="K2898" s="1531"/>
      <c r="L2898" s="1531"/>
      <c r="M2898" s="1531"/>
      <c r="N2898" s="1531"/>
      <c r="O2898" s="1531"/>
      <c r="P2898" s="1531"/>
      <c r="Q2898" s="1531"/>
      <c r="R2898" s="1531"/>
      <c r="S2898" s="1531"/>
      <c r="T2898" s="1531"/>
      <c r="U2898" s="1531"/>
      <c r="V2898" s="1531"/>
      <c r="W2898" s="1531"/>
      <c r="X2898" s="1531"/>
      <c r="Y2898" s="1531"/>
      <c r="Z2898" s="1531"/>
      <c r="AA2898" s="1531"/>
      <c r="AB2898" s="1531"/>
      <c r="AC2898" s="1531"/>
      <c r="AD2898" s="1531"/>
      <c r="AE2898" s="1531"/>
      <c r="AF2898" s="1531"/>
      <c r="AG2898" s="1531"/>
      <c r="AH2898" s="1531"/>
      <c r="AI2898" s="1531"/>
      <c r="AJ2898" s="1531"/>
      <c r="AK2898" s="1531"/>
      <c r="AL2898" s="1531"/>
      <c r="AM2898" s="1531"/>
      <c r="AN2898" s="1531"/>
      <c r="AO2898" s="1531"/>
      <c r="AP2898" s="1531"/>
      <c r="AQ2898" s="1531"/>
      <c r="AR2898" s="1531"/>
      <c r="AS2898" s="1531"/>
    </row>
    <row r="2899" spans="1:45" s="1136" customFormat="1" ht="15.75" x14ac:dyDescent="0.25">
      <c r="A2899" s="1420" t="s">
        <v>1718</v>
      </c>
      <c r="B2899" s="1424">
        <f>INDEX($G$3631:$J$3643,B2901,B2903)</f>
        <v>53.8</v>
      </c>
      <c r="C2899" s="1606"/>
      <c r="D2899" s="1610"/>
      <c r="E2899" s="1610"/>
      <c r="F2899" s="1610"/>
      <c r="G2899" s="1610"/>
      <c r="H2899" s="1531"/>
      <c r="I2899" s="1531"/>
      <c r="J2899" s="1531"/>
      <c r="K2899" s="1531"/>
      <c r="L2899" s="1531"/>
      <c r="M2899" s="1531"/>
      <c r="N2899" s="1531"/>
      <c r="O2899" s="1531"/>
      <c r="P2899" s="1531"/>
      <c r="Q2899" s="1531"/>
      <c r="R2899" s="1531"/>
      <c r="S2899" s="1531"/>
      <c r="T2899" s="1531"/>
      <c r="U2899" s="1531"/>
      <c r="V2899" s="1531"/>
      <c r="W2899" s="1531"/>
      <c r="X2899" s="1531"/>
      <c r="Y2899" s="1531"/>
      <c r="Z2899" s="1531"/>
      <c r="AA2899" s="1531"/>
      <c r="AB2899" s="1531"/>
      <c r="AC2899" s="1531"/>
      <c r="AD2899" s="1531"/>
      <c r="AE2899" s="1531"/>
      <c r="AF2899" s="1531"/>
      <c r="AG2899" s="1531"/>
      <c r="AH2899" s="1531"/>
      <c r="AI2899" s="1531"/>
      <c r="AJ2899" s="1531"/>
      <c r="AK2899" s="1531"/>
      <c r="AL2899" s="1531"/>
      <c r="AM2899" s="1531"/>
      <c r="AN2899" s="1531"/>
      <c r="AO2899" s="1531"/>
      <c r="AP2899" s="1531"/>
      <c r="AQ2899" s="1531"/>
      <c r="AR2899" s="1531"/>
      <c r="AS2899" s="1531"/>
    </row>
    <row r="2900" spans="1:45" s="1136" customFormat="1" ht="15.75" x14ac:dyDescent="0.25">
      <c r="A2900" s="1435" t="s">
        <v>1719</v>
      </c>
      <c r="B2900" s="1439"/>
      <c r="C2900" s="1562"/>
      <c r="D2900" s="1521"/>
      <c r="E2900" s="1521"/>
      <c r="F2900" s="1521"/>
      <c r="G2900" s="1521"/>
      <c r="H2900" s="1531"/>
      <c r="I2900" s="1531"/>
      <c r="J2900" s="1531"/>
      <c r="K2900" s="1531"/>
      <c r="L2900" s="1531"/>
      <c r="M2900" s="1531"/>
      <c r="N2900" s="1531"/>
      <c r="O2900" s="1531"/>
      <c r="P2900" s="1531"/>
      <c r="Q2900" s="1531"/>
      <c r="R2900" s="1531"/>
      <c r="S2900" s="1531"/>
      <c r="T2900" s="1531"/>
      <c r="U2900" s="1531"/>
      <c r="V2900" s="1531"/>
      <c r="W2900" s="1531"/>
      <c r="X2900" s="1531"/>
      <c r="Y2900" s="1531"/>
      <c r="Z2900" s="1531"/>
      <c r="AA2900" s="1531"/>
      <c r="AB2900" s="1531"/>
      <c r="AC2900" s="1531"/>
      <c r="AD2900" s="1531"/>
      <c r="AE2900" s="1531"/>
      <c r="AF2900" s="1531"/>
      <c r="AG2900" s="1531"/>
      <c r="AH2900" s="1531"/>
      <c r="AI2900" s="1531"/>
      <c r="AJ2900" s="1531"/>
      <c r="AK2900" s="1531"/>
      <c r="AL2900" s="1531"/>
      <c r="AM2900" s="1531"/>
      <c r="AN2900" s="1531"/>
      <c r="AO2900" s="1531"/>
      <c r="AP2900" s="1531"/>
      <c r="AQ2900" s="1531"/>
      <c r="AR2900" s="1531"/>
      <c r="AS2900" s="1531"/>
    </row>
    <row r="2901" spans="1:45" s="1136" customFormat="1" ht="15.75" x14ac:dyDescent="0.25">
      <c r="A2901" s="1420" t="s">
        <v>1720</v>
      </c>
      <c r="B2901" s="1441">
        <f>IF(B240&lt;0.51,1,IF(B240&lt;0.61,2,IF(B240&lt;0.71,3,IF(B240&lt;0.81,4,IF(B240&lt;0.91,5,IF(B240&lt;1.01,6,IF(B240&lt;1.11,7,B2902)))))))</f>
        <v>13</v>
      </c>
      <c r="C2901" s="1596"/>
      <c r="D2901" s="1606"/>
      <c r="E2901" s="1606"/>
      <c r="F2901" s="1606"/>
      <c r="G2901" s="1606"/>
      <c r="H2901" s="1531"/>
      <c r="I2901" s="1531"/>
      <c r="J2901" s="1531"/>
      <c r="K2901" s="1531"/>
      <c r="L2901" s="1531"/>
      <c r="M2901" s="1531"/>
      <c r="N2901" s="1531"/>
      <c r="O2901" s="1531"/>
      <c r="P2901" s="1531"/>
      <c r="Q2901" s="1531"/>
      <c r="R2901" s="1531"/>
      <c r="S2901" s="1531"/>
      <c r="T2901" s="1531"/>
      <c r="U2901" s="1531"/>
      <c r="V2901" s="1531"/>
      <c r="W2901" s="1531"/>
      <c r="X2901" s="1531"/>
      <c r="Y2901" s="1531"/>
      <c r="Z2901" s="1531"/>
      <c r="AA2901" s="1531"/>
      <c r="AB2901" s="1531"/>
      <c r="AC2901" s="1531"/>
      <c r="AD2901" s="1531"/>
      <c r="AE2901" s="1531"/>
      <c r="AF2901" s="1531"/>
      <c r="AG2901" s="1531"/>
      <c r="AH2901" s="1531"/>
      <c r="AI2901" s="1531"/>
      <c r="AJ2901" s="1531"/>
      <c r="AK2901" s="1531"/>
      <c r="AL2901" s="1531"/>
      <c r="AM2901" s="1531"/>
      <c r="AN2901" s="1531"/>
      <c r="AO2901" s="1531"/>
      <c r="AP2901" s="1531"/>
      <c r="AQ2901" s="1531"/>
      <c r="AR2901" s="1531"/>
      <c r="AS2901" s="1531"/>
    </row>
    <row r="2902" spans="1:45" s="1136" customFormat="1" ht="31.5" x14ac:dyDescent="0.25">
      <c r="A2902" s="1435" t="s">
        <v>1721</v>
      </c>
      <c r="B2902" s="1441">
        <f>IF(B240&lt;1.26,8,IF(B240&lt;1.41,9,IF(B240&lt;1.61,10,IF(B240&lt;1.81,11,IF(B240&lt;2.01,12,13)))))</f>
        <v>13</v>
      </c>
      <c r="C2902" s="1596"/>
      <c r="D2902" s="1562"/>
      <c r="E2902" s="1562"/>
      <c r="F2902" s="1562"/>
      <c r="G2902" s="1562"/>
      <c r="H2902" s="1531"/>
      <c r="I2902" s="1531"/>
      <c r="J2902" s="1531"/>
      <c r="K2902" s="1531"/>
      <c r="L2902" s="1531"/>
      <c r="M2902" s="1531"/>
      <c r="N2902" s="1531"/>
      <c r="O2902" s="1531"/>
      <c r="P2902" s="1531"/>
      <c r="Q2902" s="1531"/>
      <c r="R2902" s="1531"/>
      <c r="S2902" s="1531"/>
      <c r="T2902" s="1531"/>
      <c r="U2902" s="1531"/>
      <c r="V2902" s="1531"/>
      <c r="W2902" s="1531"/>
      <c r="X2902" s="1531"/>
      <c r="Y2902" s="1531"/>
      <c r="Z2902" s="1531"/>
      <c r="AA2902" s="1531"/>
      <c r="AB2902" s="1531"/>
      <c r="AC2902" s="1531"/>
      <c r="AD2902" s="1531"/>
      <c r="AE2902" s="1531"/>
      <c r="AF2902" s="1531"/>
      <c r="AG2902" s="1531"/>
      <c r="AH2902" s="1531"/>
      <c r="AI2902" s="1531"/>
      <c r="AJ2902" s="1531"/>
      <c r="AK2902" s="1531"/>
      <c r="AL2902" s="1531"/>
      <c r="AM2902" s="1531"/>
      <c r="AN2902" s="1531"/>
      <c r="AO2902" s="1531"/>
      <c r="AP2902" s="1531"/>
      <c r="AQ2902" s="1531"/>
      <c r="AR2902" s="1531"/>
      <c r="AS2902" s="1531"/>
    </row>
    <row r="2903" spans="1:45" s="1136" customFormat="1" ht="15.75" x14ac:dyDescent="0.25">
      <c r="A2903" s="1420" t="s">
        <v>1722</v>
      </c>
      <c r="B2903" s="1441">
        <f>IF(B251&lt;21,1,IF(B251&lt;36,2,IF(B251&lt;56,3,4)))</f>
        <v>1</v>
      </c>
      <c r="C2903" s="1596"/>
      <c r="D2903" s="1531"/>
      <c r="E2903" s="1531"/>
      <c r="F2903" s="1531"/>
      <c r="G2903" s="1531"/>
      <c r="H2903" s="1531"/>
      <c r="I2903" s="1531"/>
      <c r="J2903" s="1531"/>
      <c r="K2903" s="1531"/>
      <c r="L2903" s="1531"/>
      <c r="M2903" s="1531"/>
      <c r="N2903" s="1531"/>
      <c r="O2903" s="1531"/>
      <c r="P2903" s="1531"/>
      <c r="Q2903" s="1531"/>
      <c r="R2903" s="1531"/>
      <c r="S2903" s="1531"/>
      <c r="T2903" s="1531"/>
      <c r="U2903" s="1531"/>
      <c r="V2903" s="1531"/>
      <c r="W2903" s="1531"/>
      <c r="X2903" s="1531"/>
      <c r="Y2903" s="1531"/>
      <c r="Z2903" s="1531"/>
      <c r="AA2903" s="1531"/>
      <c r="AB2903" s="1531"/>
      <c r="AC2903" s="1531"/>
      <c r="AD2903" s="1531"/>
      <c r="AE2903" s="1531"/>
      <c r="AF2903" s="1531"/>
      <c r="AG2903" s="1531"/>
      <c r="AH2903" s="1531"/>
      <c r="AI2903" s="1531"/>
      <c r="AJ2903" s="1531"/>
      <c r="AK2903" s="1531"/>
      <c r="AL2903" s="1531"/>
      <c r="AM2903" s="1531"/>
      <c r="AN2903" s="1531"/>
      <c r="AO2903" s="1531"/>
      <c r="AP2903" s="1531"/>
      <c r="AQ2903" s="1531"/>
      <c r="AR2903" s="1531"/>
      <c r="AS2903" s="1531"/>
    </row>
    <row r="2904" spans="1:45" s="1136" customFormat="1" ht="15.75" x14ac:dyDescent="0.25">
      <c r="A2904" s="1420" t="s">
        <v>1723</v>
      </c>
      <c r="B2904" s="1439"/>
      <c r="C2904" s="1562"/>
      <c r="D2904" s="1531"/>
      <c r="E2904" s="1531"/>
      <c r="F2904" s="1531"/>
      <c r="G2904" s="1531"/>
      <c r="H2904" s="1531"/>
      <c r="I2904" s="1531"/>
      <c r="J2904" s="1531"/>
      <c r="K2904" s="1531"/>
      <c r="L2904" s="1531"/>
      <c r="M2904" s="1531"/>
      <c r="N2904" s="1531"/>
      <c r="O2904" s="1531"/>
      <c r="P2904" s="1531"/>
      <c r="Q2904" s="1531"/>
      <c r="R2904" s="1531"/>
      <c r="S2904" s="1531"/>
      <c r="T2904" s="1531"/>
      <c r="U2904" s="1531"/>
      <c r="V2904" s="1531"/>
      <c r="W2904" s="1531"/>
      <c r="X2904" s="1531"/>
      <c r="Y2904" s="1531"/>
      <c r="Z2904" s="1531"/>
      <c r="AA2904" s="1531"/>
      <c r="AB2904" s="1531"/>
      <c r="AC2904" s="1531"/>
      <c r="AD2904" s="1531"/>
      <c r="AE2904" s="1531"/>
      <c r="AF2904" s="1531"/>
      <c r="AG2904" s="1531"/>
      <c r="AH2904" s="1531"/>
      <c r="AI2904" s="1531"/>
      <c r="AJ2904" s="1531"/>
      <c r="AK2904" s="1531"/>
      <c r="AL2904" s="1531"/>
      <c r="AM2904" s="1531"/>
      <c r="AN2904" s="1531"/>
      <c r="AO2904" s="1531"/>
      <c r="AP2904" s="1531"/>
      <c r="AQ2904" s="1531"/>
      <c r="AR2904" s="1531"/>
      <c r="AS2904" s="1531"/>
    </row>
    <row r="2905" spans="1:45" s="1136" customFormat="1" ht="31.5" x14ac:dyDescent="0.25">
      <c r="A2905" s="1420" t="s">
        <v>1724</v>
      </c>
      <c r="B2905" s="1431">
        <f>B2443</f>
        <v>0</v>
      </c>
      <c r="C2905" s="1610"/>
      <c r="D2905" s="1562"/>
      <c r="E2905" s="1562"/>
      <c r="F2905" s="1562"/>
      <c r="G2905" s="1562"/>
      <c r="H2905" s="1531"/>
      <c r="I2905" s="1531"/>
      <c r="J2905" s="1531"/>
      <c r="K2905" s="1531"/>
      <c r="L2905" s="1531"/>
      <c r="M2905" s="1531"/>
      <c r="N2905" s="1531"/>
      <c r="O2905" s="1531"/>
      <c r="P2905" s="1531"/>
      <c r="Q2905" s="1531"/>
      <c r="R2905" s="1531"/>
      <c r="S2905" s="1531"/>
      <c r="T2905" s="1531"/>
      <c r="U2905" s="1531"/>
      <c r="V2905" s="1531"/>
      <c r="W2905" s="1531"/>
      <c r="X2905" s="1531"/>
      <c r="Y2905" s="1531"/>
      <c r="Z2905" s="1531"/>
      <c r="AA2905" s="1531"/>
      <c r="AB2905" s="1531"/>
      <c r="AC2905" s="1531"/>
      <c r="AD2905" s="1531"/>
      <c r="AE2905" s="1531"/>
      <c r="AF2905" s="1531"/>
      <c r="AG2905" s="1531"/>
      <c r="AH2905" s="1531"/>
      <c r="AI2905" s="1531"/>
      <c r="AJ2905" s="1531"/>
      <c r="AK2905" s="1531"/>
      <c r="AL2905" s="1531"/>
      <c r="AM2905" s="1531"/>
      <c r="AN2905" s="1531"/>
      <c r="AO2905" s="1531"/>
      <c r="AP2905" s="1531"/>
      <c r="AQ2905" s="1531"/>
      <c r="AR2905" s="1531"/>
      <c r="AS2905" s="1531"/>
    </row>
    <row r="2906" spans="1:45" s="1136" customFormat="1" ht="15.75" x14ac:dyDescent="0.25">
      <c r="A2906" s="1420" t="s">
        <v>1725</v>
      </c>
      <c r="B2906" s="1433">
        <f>IF(B2905=1,1.15,1)</f>
        <v>1</v>
      </c>
      <c r="C2906" s="1569"/>
      <c r="D2906" s="1606"/>
      <c r="E2906" s="1606"/>
      <c r="F2906" s="1606"/>
      <c r="G2906" s="1606"/>
      <c r="H2906" s="1531"/>
      <c r="I2906" s="1531"/>
      <c r="J2906" s="1531"/>
      <c r="K2906" s="1531"/>
      <c r="L2906" s="1531"/>
      <c r="M2906" s="1531"/>
      <c r="N2906" s="1531"/>
      <c r="O2906" s="1531"/>
      <c r="P2906" s="1531"/>
      <c r="Q2906" s="1531"/>
      <c r="R2906" s="1531"/>
      <c r="S2906" s="1531"/>
      <c r="T2906" s="1531"/>
      <c r="U2906" s="1531"/>
      <c r="V2906" s="1531"/>
      <c r="W2906" s="1531"/>
      <c r="X2906" s="1531"/>
      <c r="Y2906" s="1531"/>
      <c r="Z2906" s="1531"/>
      <c r="AA2906" s="1531"/>
      <c r="AB2906" s="1531"/>
      <c r="AC2906" s="1531"/>
      <c r="AD2906" s="1531"/>
      <c r="AE2906" s="1531"/>
      <c r="AF2906" s="1531"/>
      <c r="AG2906" s="1531"/>
      <c r="AH2906" s="1531"/>
      <c r="AI2906" s="1531"/>
      <c r="AJ2906" s="1531"/>
      <c r="AK2906" s="1531"/>
      <c r="AL2906" s="1531"/>
      <c r="AM2906" s="1531"/>
      <c r="AN2906" s="1531"/>
      <c r="AO2906" s="1531"/>
      <c r="AP2906" s="1531"/>
      <c r="AQ2906" s="1531"/>
      <c r="AR2906" s="1531"/>
      <c r="AS2906" s="1531"/>
    </row>
    <row r="2907" spans="1:45" s="1136" customFormat="1" ht="31.5" x14ac:dyDescent="0.25">
      <c r="A2907" s="1420" t="s">
        <v>5573</v>
      </c>
      <c r="B2907" s="1431">
        <f>B2445</f>
        <v>0</v>
      </c>
      <c r="C2907" s="1610"/>
      <c r="D2907" s="1531"/>
      <c r="E2907" s="1531"/>
      <c r="F2907" s="1531"/>
      <c r="G2907" s="1531"/>
      <c r="H2907" s="1531"/>
      <c r="I2907" s="1531"/>
      <c r="J2907" s="1531"/>
      <c r="K2907" s="1531"/>
      <c r="L2907" s="1531"/>
      <c r="M2907" s="1531"/>
      <c r="N2907" s="1531"/>
      <c r="O2907" s="1531"/>
      <c r="P2907" s="1531"/>
      <c r="Q2907" s="1531"/>
      <c r="R2907" s="1531"/>
      <c r="S2907" s="1531"/>
      <c r="T2907" s="1531"/>
      <c r="U2907" s="1531"/>
      <c r="V2907" s="1531"/>
      <c r="W2907" s="1531"/>
      <c r="X2907" s="1531"/>
      <c r="Y2907" s="1531"/>
      <c r="Z2907" s="1531"/>
      <c r="AA2907" s="1531"/>
      <c r="AB2907" s="1531"/>
      <c r="AC2907" s="1531"/>
      <c r="AD2907" s="1531"/>
      <c r="AE2907" s="1531"/>
      <c r="AF2907" s="1531"/>
      <c r="AG2907" s="1531"/>
      <c r="AH2907" s="1531"/>
      <c r="AI2907" s="1531"/>
      <c r="AJ2907" s="1531"/>
      <c r="AK2907" s="1531"/>
      <c r="AL2907" s="1531"/>
      <c r="AM2907" s="1531"/>
      <c r="AN2907" s="1531"/>
      <c r="AO2907" s="1531"/>
      <c r="AP2907" s="1531"/>
      <c r="AQ2907" s="1531"/>
      <c r="AR2907" s="1531"/>
      <c r="AS2907" s="1531"/>
    </row>
    <row r="2908" spans="1:45" s="1136" customFormat="1" ht="15.75" x14ac:dyDescent="0.25">
      <c r="A2908" s="1420" t="s">
        <v>2636</v>
      </c>
      <c r="B2908" s="1433">
        <f>IF(B2907=1,1.15,1)</f>
        <v>1</v>
      </c>
      <c r="C2908" s="1569"/>
      <c r="D2908" s="1596"/>
      <c r="E2908" s="1596"/>
      <c r="F2908" s="1596"/>
      <c r="G2908" s="1596"/>
      <c r="H2908" s="1531"/>
      <c r="I2908" s="1531"/>
      <c r="J2908" s="1531"/>
      <c r="K2908" s="1531"/>
      <c r="L2908" s="1531"/>
      <c r="M2908" s="1531"/>
      <c r="N2908" s="1531"/>
      <c r="O2908" s="1531"/>
      <c r="P2908" s="1531"/>
      <c r="Q2908" s="1531"/>
      <c r="R2908" s="1531"/>
      <c r="S2908" s="1531"/>
      <c r="T2908" s="1531"/>
      <c r="U2908" s="1531"/>
      <c r="V2908" s="1531"/>
      <c r="W2908" s="1531"/>
      <c r="X2908" s="1531"/>
      <c r="Y2908" s="1531"/>
      <c r="Z2908" s="1531"/>
      <c r="AA2908" s="1531"/>
      <c r="AB2908" s="1531"/>
      <c r="AC2908" s="1531"/>
      <c r="AD2908" s="1531"/>
      <c r="AE2908" s="1531"/>
      <c r="AF2908" s="1531"/>
      <c r="AG2908" s="1531"/>
      <c r="AH2908" s="1531"/>
      <c r="AI2908" s="1531"/>
      <c r="AJ2908" s="1531"/>
      <c r="AK2908" s="1531"/>
      <c r="AL2908" s="1531"/>
      <c r="AM2908" s="1531"/>
      <c r="AN2908" s="1531"/>
      <c r="AO2908" s="1531"/>
      <c r="AP2908" s="1531"/>
      <c r="AQ2908" s="1531"/>
      <c r="AR2908" s="1531"/>
      <c r="AS2908" s="1531"/>
    </row>
    <row r="2909" spans="1:45" s="1136" customFormat="1" ht="47.25" x14ac:dyDescent="0.25">
      <c r="A2909" s="1420" t="s">
        <v>2637</v>
      </c>
      <c r="B2909" s="1433">
        <f>IF(B275&lt;2,0.85,1)</f>
        <v>1</v>
      </c>
      <c r="C2909" s="1569"/>
      <c r="D2909" s="1596"/>
      <c r="E2909" s="1596"/>
      <c r="F2909" s="1596"/>
      <c r="G2909" s="1596"/>
      <c r="H2909" s="1531"/>
      <c r="I2909" s="1531"/>
      <c r="J2909" s="1531"/>
      <c r="K2909" s="1531"/>
      <c r="L2909" s="1531"/>
      <c r="M2909" s="1531"/>
      <c r="N2909" s="1531"/>
      <c r="O2909" s="1531"/>
      <c r="P2909" s="1531"/>
      <c r="Q2909" s="1531"/>
      <c r="R2909" s="1531"/>
      <c r="S2909" s="1531"/>
      <c r="T2909" s="1531"/>
      <c r="U2909" s="1531"/>
      <c r="V2909" s="1531"/>
      <c r="W2909" s="1531"/>
      <c r="X2909" s="1531"/>
      <c r="Y2909" s="1531"/>
      <c r="Z2909" s="1531"/>
      <c r="AA2909" s="1531"/>
      <c r="AB2909" s="1531"/>
      <c r="AC2909" s="1531"/>
      <c r="AD2909" s="1531"/>
      <c r="AE2909" s="1531"/>
      <c r="AF2909" s="1531"/>
      <c r="AG2909" s="1531"/>
      <c r="AH2909" s="1531"/>
      <c r="AI2909" s="1531"/>
      <c r="AJ2909" s="1531"/>
      <c r="AK2909" s="1531"/>
      <c r="AL2909" s="1531"/>
      <c r="AM2909" s="1531"/>
      <c r="AN2909" s="1531"/>
      <c r="AO2909" s="1531"/>
      <c r="AP2909" s="1531"/>
      <c r="AQ2909" s="1531"/>
      <c r="AR2909" s="1531"/>
      <c r="AS2909" s="1531"/>
    </row>
    <row r="2910" spans="1:45" s="1136" customFormat="1" ht="15.75" x14ac:dyDescent="0.25">
      <c r="A2910" s="1420" t="s">
        <v>1743</v>
      </c>
      <c r="B2910" s="1445">
        <v>0.7</v>
      </c>
      <c r="C2910" s="1616"/>
      <c r="D2910" s="1596"/>
      <c r="E2910" s="1596"/>
      <c r="F2910" s="1596"/>
      <c r="G2910" s="1596"/>
      <c r="H2910" s="1531"/>
      <c r="I2910" s="1531"/>
      <c r="J2910" s="1531"/>
      <c r="K2910" s="1531"/>
      <c r="L2910" s="1531"/>
      <c r="M2910" s="1531"/>
      <c r="N2910" s="1531"/>
      <c r="O2910" s="1531"/>
      <c r="P2910" s="1531"/>
      <c r="Q2910" s="1531"/>
      <c r="R2910" s="1531"/>
      <c r="S2910" s="1531"/>
      <c r="T2910" s="1531"/>
      <c r="U2910" s="1531"/>
      <c r="V2910" s="1531"/>
      <c r="W2910" s="1531"/>
      <c r="X2910" s="1531"/>
      <c r="Y2910" s="1531"/>
      <c r="Z2910" s="1531"/>
      <c r="AA2910" s="1531"/>
      <c r="AB2910" s="1531"/>
      <c r="AC2910" s="1531"/>
      <c r="AD2910" s="1531"/>
      <c r="AE2910" s="1531"/>
      <c r="AF2910" s="1531"/>
      <c r="AG2910" s="1531"/>
      <c r="AH2910" s="1531"/>
      <c r="AI2910" s="1531"/>
      <c r="AJ2910" s="1531"/>
      <c r="AK2910" s="1531"/>
      <c r="AL2910" s="1531"/>
      <c r="AM2910" s="1531"/>
      <c r="AN2910" s="1531"/>
      <c r="AO2910" s="1531"/>
      <c r="AP2910" s="1531"/>
      <c r="AQ2910" s="1531"/>
      <c r="AR2910" s="1531"/>
      <c r="AS2910" s="1531"/>
    </row>
    <row r="2911" spans="1:45" s="1136" customFormat="1" ht="15.75" x14ac:dyDescent="0.25">
      <c r="A2911" s="1420" t="s">
        <v>3412</v>
      </c>
      <c r="B2911" s="1433" t="e">
        <f>B2899*B2906*B2908*B2909*B2910*B2383</f>
        <v>#VALUE!</v>
      </c>
      <c r="C2911" s="1569"/>
      <c r="D2911" s="1531"/>
      <c r="E2911" s="1531"/>
      <c r="F2911" s="1531"/>
      <c r="G2911" s="1531"/>
      <c r="H2911" s="1531"/>
      <c r="I2911" s="1531"/>
      <c r="J2911" s="1531"/>
      <c r="K2911" s="1531"/>
      <c r="L2911" s="1531"/>
      <c r="M2911" s="1531"/>
      <c r="N2911" s="1531"/>
      <c r="O2911" s="1531"/>
      <c r="P2911" s="1531"/>
      <c r="Q2911" s="1531"/>
      <c r="R2911" s="1531"/>
      <c r="S2911" s="1531"/>
      <c r="T2911" s="1531"/>
      <c r="U2911" s="1531"/>
      <c r="V2911" s="1531"/>
      <c r="W2911" s="1531"/>
      <c r="X2911" s="1531"/>
      <c r="Y2911" s="1531"/>
      <c r="Z2911" s="1531"/>
      <c r="AA2911" s="1531"/>
      <c r="AB2911" s="1531"/>
      <c r="AC2911" s="1531"/>
      <c r="AD2911" s="1531"/>
      <c r="AE2911" s="1531"/>
      <c r="AF2911" s="1531"/>
      <c r="AG2911" s="1531"/>
      <c r="AH2911" s="1531"/>
      <c r="AI2911" s="1531"/>
      <c r="AJ2911" s="1531"/>
      <c r="AK2911" s="1531"/>
      <c r="AL2911" s="1531"/>
      <c r="AM2911" s="1531"/>
      <c r="AN2911" s="1531"/>
      <c r="AO2911" s="1531"/>
      <c r="AP2911" s="1531"/>
      <c r="AQ2911" s="1531"/>
      <c r="AR2911" s="1531"/>
      <c r="AS2911" s="1531"/>
    </row>
    <row r="2912" spans="1:45" s="1136" customFormat="1" ht="15.75" x14ac:dyDescent="0.25">
      <c r="A2912" s="1420" t="s">
        <v>429</v>
      </c>
      <c r="B2912" s="1428" t="e">
        <f>B2898/B2911</f>
        <v>#VALUE!</v>
      </c>
      <c r="C2912" s="1566"/>
      <c r="D2912" s="1610"/>
      <c r="E2912" s="1610"/>
      <c r="F2912" s="1610"/>
      <c r="G2912" s="1610"/>
      <c r="H2912" s="1531"/>
      <c r="I2912" s="1531"/>
      <c r="J2912" s="1531"/>
      <c r="K2912" s="1531"/>
      <c r="L2912" s="1531"/>
      <c r="M2912" s="1531"/>
      <c r="N2912" s="1531"/>
      <c r="O2912" s="1531"/>
      <c r="P2912" s="1531"/>
      <c r="Q2912" s="1531"/>
      <c r="R2912" s="1531"/>
      <c r="S2912" s="1531"/>
      <c r="T2912" s="1531"/>
      <c r="U2912" s="1531"/>
      <c r="V2912" s="1531"/>
      <c r="W2912" s="1531"/>
      <c r="X2912" s="1531"/>
      <c r="Y2912" s="1531"/>
      <c r="Z2912" s="1531"/>
      <c r="AA2912" s="1531"/>
      <c r="AB2912" s="1531"/>
      <c r="AC2912" s="1531"/>
      <c r="AD2912" s="1531"/>
      <c r="AE2912" s="1531"/>
      <c r="AF2912" s="1531"/>
      <c r="AG2912" s="1531"/>
      <c r="AH2912" s="1531"/>
      <c r="AI2912" s="1531"/>
      <c r="AJ2912" s="1531"/>
      <c r="AK2912" s="1531"/>
      <c r="AL2912" s="1531"/>
      <c r="AM2912" s="1531"/>
      <c r="AN2912" s="1531"/>
      <c r="AO2912" s="1531"/>
      <c r="AP2912" s="1531"/>
      <c r="AQ2912" s="1531"/>
      <c r="AR2912" s="1531"/>
      <c r="AS2912" s="1531"/>
    </row>
    <row r="2913" spans="1:45" s="1136" customFormat="1" ht="15.75" x14ac:dyDescent="0.25">
      <c r="A2913" s="1420"/>
      <c r="B2913" s="1428"/>
      <c r="C2913" s="1566"/>
      <c r="D2913" s="1569"/>
      <c r="E2913" s="1569"/>
      <c r="F2913" s="1569"/>
      <c r="G2913" s="1569"/>
      <c r="H2913" s="1531"/>
      <c r="I2913" s="1531"/>
      <c r="J2913" s="1531"/>
      <c r="K2913" s="1531"/>
      <c r="L2913" s="1531"/>
      <c r="M2913" s="1531"/>
      <c r="N2913" s="1531"/>
      <c r="O2913" s="1531"/>
      <c r="P2913" s="1531"/>
      <c r="Q2913" s="1531"/>
      <c r="R2913" s="1531"/>
      <c r="S2913" s="1531"/>
      <c r="T2913" s="1531"/>
      <c r="U2913" s="1531"/>
      <c r="V2913" s="1531"/>
      <c r="W2913" s="1531"/>
      <c r="X2913" s="1531"/>
      <c r="Y2913" s="1531"/>
      <c r="Z2913" s="1531"/>
      <c r="AA2913" s="1531"/>
      <c r="AB2913" s="1531"/>
      <c r="AC2913" s="1531"/>
      <c r="AD2913" s="1531"/>
      <c r="AE2913" s="1531"/>
      <c r="AF2913" s="1531"/>
      <c r="AG2913" s="1531"/>
      <c r="AH2913" s="1531"/>
      <c r="AI2913" s="1531"/>
      <c r="AJ2913" s="1531"/>
      <c r="AK2913" s="1531"/>
      <c r="AL2913" s="1531"/>
      <c r="AM2913" s="1531"/>
      <c r="AN2913" s="1531"/>
      <c r="AO2913" s="1531"/>
      <c r="AP2913" s="1531"/>
      <c r="AQ2913" s="1531"/>
      <c r="AR2913" s="1531"/>
      <c r="AS2913" s="1531"/>
    </row>
    <row r="2914" spans="1:45" s="1136" customFormat="1" ht="47.25" x14ac:dyDescent="0.25">
      <c r="A2914" s="1427" t="s">
        <v>212</v>
      </c>
      <c r="B2914" s="1439"/>
      <c r="C2914" s="1562"/>
      <c r="D2914" s="1610"/>
      <c r="E2914" s="1610"/>
      <c r="F2914" s="1610"/>
      <c r="G2914" s="1610"/>
      <c r="H2914" s="1531"/>
      <c r="I2914" s="1531"/>
      <c r="J2914" s="1531"/>
      <c r="K2914" s="1531"/>
      <c r="L2914" s="1531"/>
      <c r="M2914" s="1531"/>
      <c r="N2914" s="1531"/>
      <c r="O2914" s="1531"/>
      <c r="P2914" s="1531"/>
      <c r="Q2914" s="1531"/>
      <c r="R2914" s="1531"/>
      <c r="S2914" s="1531"/>
      <c r="T2914" s="1531"/>
      <c r="U2914" s="1531"/>
      <c r="V2914" s="1531"/>
      <c r="W2914" s="1531"/>
      <c r="X2914" s="1531"/>
      <c r="Y2914" s="1531"/>
      <c r="Z2914" s="1531"/>
      <c r="AA2914" s="1531"/>
      <c r="AB2914" s="1531"/>
      <c r="AC2914" s="1531"/>
      <c r="AD2914" s="1531"/>
      <c r="AE2914" s="1531"/>
      <c r="AF2914" s="1531"/>
      <c r="AG2914" s="1531"/>
      <c r="AH2914" s="1531"/>
      <c r="AI2914" s="1531"/>
      <c r="AJ2914" s="1531"/>
      <c r="AK2914" s="1531"/>
      <c r="AL2914" s="1531"/>
      <c r="AM2914" s="1531"/>
      <c r="AN2914" s="1531"/>
      <c r="AO2914" s="1531"/>
      <c r="AP2914" s="1531"/>
      <c r="AQ2914" s="1531"/>
      <c r="AR2914" s="1531"/>
      <c r="AS2914" s="1531"/>
    </row>
    <row r="2915" spans="1:45" s="1136" customFormat="1" ht="15.75" x14ac:dyDescent="0.25">
      <c r="A2915" s="1422" t="s">
        <v>4152</v>
      </c>
      <c r="B2915" s="1439" t="e">
        <f>(B245/(B2855-B2852))*B2850</f>
        <v>#VALUE!</v>
      </c>
      <c r="C2915" s="1562"/>
      <c r="D2915" s="1569"/>
      <c r="E2915" s="1569"/>
      <c r="F2915" s="1569"/>
      <c r="G2915" s="1569"/>
      <c r="H2915" s="1531"/>
      <c r="I2915" s="1531"/>
      <c r="J2915" s="1531"/>
      <c r="K2915" s="1531"/>
      <c r="L2915" s="1531"/>
      <c r="M2915" s="1531"/>
      <c r="N2915" s="1531"/>
      <c r="O2915" s="1531"/>
      <c r="P2915" s="1531"/>
      <c r="Q2915" s="1531"/>
      <c r="R2915" s="1531"/>
      <c r="S2915" s="1531"/>
      <c r="T2915" s="1531"/>
      <c r="U2915" s="1531"/>
      <c r="V2915" s="1531"/>
      <c r="W2915" s="1531"/>
      <c r="X2915" s="1531"/>
      <c r="Y2915" s="1531"/>
      <c r="Z2915" s="1531"/>
      <c r="AA2915" s="1531"/>
      <c r="AB2915" s="1531"/>
      <c r="AC2915" s="1531"/>
      <c r="AD2915" s="1531"/>
      <c r="AE2915" s="1531"/>
      <c r="AF2915" s="1531"/>
      <c r="AG2915" s="1531"/>
      <c r="AH2915" s="1531"/>
      <c r="AI2915" s="1531"/>
      <c r="AJ2915" s="1531"/>
      <c r="AK2915" s="1531"/>
      <c r="AL2915" s="1531"/>
      <c r="AM2915" s="1531"/>
      <c r="AN2915" s="1531"/>
      <c r="AO2915" s="1531"/>
      <c r="AP2915" s="1531"/>
      <c r="AQ2915" s="1531"/>
      <c r="AR2915" s="1531"/>
      <c r="AS2915" s="1531"/>
    </row>
    <row r="2916" spans="1:45" s="1136" customFormat="1" ht="15.75" x14ac:dyDescent="0.25">
      <c r="A2916" s="1422" t="s">
        <v>425</v>
      </c>
      <c r="B2916" s="1424" t="e">
        <f>INDEX($U$3487:$X$3496,B2918,B2919)</f>
        <v>#VALUE!</v>
      </c>
      <c r="C2916" s="1606"/>
      <c r="D2916" s="1569"/>
      <c r="E2916" s="1569"/>
      <c r="F2916" s="1569"/>
      <c r="G2916" s="1569"/>
      <c r="H2916" s="1531"/>
      <c r="I2916" s="1531"/>
      <c r="J2916" s="1531"/>
      <c r="K2916" s="1531"/>
      <c r="L2916" s="1531"/>
      <c r="M2916" s="1531"/>
      <c r="N2916" s="1531"/>
      <c r="O2916" s="1531"/>
      <c r="P2916" s="1531"/>
      <c r="Q2916" s="1531"/>
      <c r="R2916" s="1531"/>
      <c r="S2916" s="1531"/>
      <c r="T2916" s="1531"/>
      <c r="U2916" s="1531"/>
      <c r="V2916" s="1531"/>
      <c r="W2916" s="1531"/>
      <c r="X2916" s="1531"/>
      <c r="Y2916" s="1531"/>
      <c r="Z2916" s="1531"/>
      <c r="AA2916" s="1531"/>
      <c r="AB2916" s="1531"/>
      <c r="AC2916" s="1531"/>
      <c r="AD2916" s="1531"/>
      <c r="AE2916" s="1531"/>
      <c r="AF2916" s="1531"/>
      <c r="AG2916" s="1531"/>
      <c r="AH2916" s="1531"/>
      <c r="AI2916" s="1531"/>
      <c r="AJ2916" s="1531"/>
      <c r="AK2916" s="1531"/>
      <c r="AL2916" s="1531"/>
      <c r="AM2916" s="1531"/>
      <c r="AN2916" s="1531"/>
      <c r="AO2916" s="1531"/>
      <c r="AP2916" s="1531"/>
      <c r="AQ2916" s="1531"/>
      <c r="AR2916" s="1531"/>
      <c r="AS2916" s="1531"/>
    </row>
    <row r="2917" spans="1:45" s="1136" customFormat="1" ht="15.75" x14ac:dyDescent="0.25">
      <c r="A2917" s="1448" t="s">
        <v>1719</v>
      </c>
      <c r="B2917" s="1439"/>
      <c r="C2917" s="1562"/>
      <c r="D2917" s="1616"/>
      <c r="E2917" s="1616"/>
      <c r="F2917" s="1616"/>
      <c r="G2917" s="1616"/>
      <c r="H2917" s="1531"/>
      <c r="I2917" s="1531"/>
      <c r="J2917" s="1531"/>
      <c r="K2917" s="1531"/>
      <c r="L2917" s="1531"/>
      <c r="M2917" s="1531"/>
      <c r="N2917" s="1531"/>
      <c r="O2917" s="1531"/>
      <c r="P2917" s="1531"/>
      <c r="Q2917" s="1531"/>
      <c r="R2917" s="1531"/>
      <c r="S2917" s="1531"/>
      <c r="T2917" s="1531"/>
      <c r="U2917" s="1531"/>
      <c r="V2917" s="1531"/>
      <c r="W2917" s="1531"/>
      <c r="X2917" s="1531"/>
      <c r="Y2917" s="1531"/>
      <c r="Z2917" s="1531"/>
      <c r="AA2917" s="1531"/>
      <c r="AB2917" s="1531"/>
      <c r="AC2917" s="1531"/>
      <c r="AD2917" s="1531"/>
      <c r="AE2917" s="1531"/>
      <c r="AF2917" s="1531"/>
      <c r="AG2917" s="1531"/>
      <c r="AH2917" s="1531"/>
      <c r="AI2917" s="1531"/>
      <c r="AJ2917" s="1531"/>
      <c r="AK2917" s="1531"/>
      <c r="AL2917" s="1531"/>
      <c r="AM2917" s="1531"/>
      <c r="AN2917" s="1531"/>
      <c r="AO2917" s="1531"/>
      <c r="AP2917" s="1531"/>
      <c r="AQ2917" s="1531"/>
      <c r="AR2917" s="1531"/>
      <c r="AS2917" s="1531"/>
    </row>
    <row r="2918" spans="1:45" s="1136" customFormat="1" ht="15.75" x14ac:dyDescent="0.25">
      <c r="A2918" s="1422" t="s">
        <v>1319</v>
      </c>
      <c r="B2918" s="1441" t="e">
        <f>B2861</f>
        <v>#VALUE!</v>
      </c>
      <c r="C2918" s="1596"/>
      <c r="D2918" s="1569"/>
      <c r="E2918" s="1569"/>
      <c r="F2918" s="1569"/>
      <c r="G2918" s="1569"/>
      <c r="H2918" s="1531"/>
      <c r="I2918" s="1531"/>
      <c r="J2918" s="1531"/>
      <c r="K2918" s="1531"/>
      <c r="L2918" s="1531"/>
      <c r="M2918" s="1531"/>
      <c r="N2918" s="1531"/>
      <c r="O2918" s="1531"/>
      <c r="P2918" s="1531"/>
      <c r="Q2918" s="1531"/>
      <c r="R2918" s="1531"/>
      <c r="S2918" s="1531"/>
      <c r="T2918" s="1531"/>
      <c r="U2918" s="1531"/>
      <c r="V2918" s="1531"/>
      <c r="W2918" s="1531"/>
      <c r="X2918" s="1531"/>
      <c r="Y2918" s="1531"/>
      <c r="Z2918" s="1531"/>
      <c r="AA2918" s="1531"/>
      <c r="AB2918" s="1531"/>
      <c r="AC2918" s="1531"/>
      <c r="AD2918" s="1531"/>
      <c r="AE2918" s="1531"/>
      <c r="AF2918" s="1531"/>
      <c r="AG2918" s="1531"/>
      <c r="AH2918" s="1531"/>
      <c r="AI2918" s="1531"/>
      <c r="AJ2918" s="1531"/>
      <c r="AK2918" s="1531"/>
      <c r="AL2918" s="1531"/>
      <c r="AM2918" s="1531"/>
      <c r="AN2918" s="1531"/>
      <c r="AO2918" s="1531"/>
      <c r="AP2918" s="1531"/>
      <c r="AQ2918" s="1531"/>
      <c r="AR2918" s="1531"/>
      <c r="AS2918" s="1531"/>
    </row>
    <row r="2919" spans="1:45" s="1136" customFormat="1" ht="15.75" x14ac:dyDescent="0.25">
      <c r="A2919" s="1422" t="s">
        <v>427</v>
      </c>
      <c r="B2919" s="1441">
        <f>B2863</f>
        <v>4</v>
      </c>
      <c r="C2919" s="1596"/>
      <c r="D2919" s="1566"/>
      <c r="E2919" s="1566"/>
      <c r="F2919" s="1566"/>
      <c r="G2919" s="1566"/>
      <c r="H2919" s="1531"/>
      <c r="I2919" s="1531"/>
      <c r="J2919" s="1531"/>
      <c r="K2919" s="1531"/>
      <c r="L2919" s="1531"/>
      <c r="M2919" s="1531"/>
      <c r="N2919" s="1531"/>
      <c r="O2919" s="1531"/>
      <c r="P2919" s="1531"/>
      <c r="Q2919" s="1531"/>
      <c r="R2919" s="1531"/>
      <c r="S2919" s="1531"/>
      <c r="T2919" s="1531"/>
      <c r="U2919" s="1531"/>
      <c r="V2919" s="1531"/>
      <c r="W2919" s="1531"/>
      <c r="X2919" s="1531"/>
      <c r="Y2919" s="1531"/>
      <c r="Z2919" s="1531"/>
      <c r="AA2919" s="1531"/>
      <c r="AB2919" s="1531"/>
      <c r="AC2919" s="1531"/>
      <c r="AD2919" s="1531"/>
      <c r="AE2919" s="1531"/>
      <c r="AF2919" s="1531"/>
      <c r="AG2919" s="1531"/>
      <c r="AH2919" s="1531"/>
      <c r="AI2919" s="1531"/>
      <c r="AJ2919" s="1531"/>
      <c r="AK2919" s="1531"/>
      <c r="AL2919" s="1531"/>
      <c r="AM2919" s="1531"/>
      <c r="AN2919" s="1531"/>
      <c r="AO2919" s="1531"/>
      <c r="AP2919" s="1531"/>
      <c r="AQ2919" s="1531"/>
      <c r="AR2919" s="1531"/>
      <c r="AS2919" s="1531"/>
    </row>
    <row r="2920" spans="1:45" s="1136" customFormat="1" ht="15.75" x14ac:dyDescent="0.25">
      <c r="A2920" s="1422" t="s">
        <v>1322</v>
      </c>
      <c r="B2920" s="1441"/>
      <c r="C2920" s="1596"/>
      <c r="D2920" s="1531"/>
      <c r="E2920" s="1531"/>
      <c r="F2920" s="1531"/>
      <c r="G2920" s="1531"/>
      <c r="H2920" s="1531"/>
      <c r="I2920" s="1531"/>
      <c r="J2920" s="1531"/>
      <c r="K2920" s="1531"/>
      <c r="L2920" s="1531"/>
      <c r="M2920" s="1531"/>
      <c r="N2920" s="1531"/>
      <c r="O2920" s="1531"/>
      <c r="P2920" s="1531"/>
      <c r="Q2920" s="1531"/>
      <c r="R2920" s="1531"/>
      <c r="S2920" s="1531"/>
      <c r="T2920" s="1531"/>
      <c r="U2920" s="1531"/>
      <c r="V2920" s="1531"/>
      <c r="W2920" s="1531"/>
      <c r="X2920" s="1531"/>
      <c r="Y2920" s="1531"/>
      <c r="Z2920" s="1531"/>
      <c r="AA2920" s="1531"/>
      <c r="AB2920" s="1531"/>
      <c r="AC2920" s="1531"/>
      <c r="AD2920" s="1531"/>
      <c r="AE2920" s="1531"/>
      <c r="AF2920" s="1531"/>
      <c r="AG2920" s="1531"/>
      <c r="AH2920" s="1531"/>
      <c r="AI2920" s="1531"/>
      <c r="AJ2920" s="1531"/>
      <c r="AK2920" s="1531"/>
      <c r="AL2920" s="1531"/>
      <c r="AM2920" s="1531"/>
      <c r="AN2920" s="1531"/>
      <c r="AO2920" s="1531"/>
      <c r="AP2920" s="1531"/>
      <c r="AQ2920" s="1531"/>
      <c r="AR2920" s="1531"/>
      <c r="AS2920" s="1531"/>
    </row>
    <row r="2921" spans="1:45" s="1136" customFormat="1" ht="15.75" x14ac:dyDescent="0.25">
      <c r="A2921" s="1448" t="s">
        <v>2973</v>
      </c>
      <c r="B2921" s="1433">
        <f>B2459</f>
        <v>4</v>
      </c>
      <c r="C2921" s="1569"/>
      <c r="D2921" s="1531"/>
      <c r="E2921" s="1531"/>
      <c r="F2921" s="1531"/>
      <c r="G2921" s="1531"/>
      <c r="H2921" s="1531"/>
      <c r="I2921" s="1531"/>
      <c r="J2921" s="1531"/>
      <c r="K2921" s="1531"/>
      <c r="L2921" s="1531"/>
      <c r="M2921" s="1531"/>
      <c r="N2921" s="1531"/>
      <c r="O2921" s="1531"/>
      <c r="P2921" s="1531"/>
      <c r="Q2921" s="1531"/>
      <c r="R2921" s="1531"/>
      <c r="S2921" s="1531"/>
      <c r="T2921" s="1531"/>
      <c r="U2921" s="1531"/>
      <c r="V2921" s="1531"/>
      <c r="W2921" s="1531"/>
      <c r="X2921" s="1531"/>
      <c r="Y2921" s="1531"/>
      <c r="Z2921" s="1531"/>
      <c r="AA2921" s="1531"/>
      <c r="AB2921" s="1531"/>
      <c r="AC2921" s="1531"/>
      <c r="AD2921" s="1531"/>
      <c r="AE2921" s="1531"/>
      <c r="AF2921" s="1531"/>
      <c r="AG2921" s="1531"/>
      <c r="AH2921" s="1531"/>
      <c r="AI2921" s="1531"/>
      <c r="AJ2921" s="1531"/>
      <c r="AK2921" s="1531"/>
      <c r="AL2921" s="1531"/>
      <c r="AM2921" s="1531"/>
      <c r="AN2921" s="1531"/>
      <c r="AO2921" s="1531"/>
      <c r="AP2921" s="1531"/>
      <c r="AQ2921" s="1531"/>
      <c r="AR2921" s="1531"/>
      <c r="AS2921" s="1531"/>
    </row>
    <row r="2922" spans="1:45" s="1136" customFormat="1" ht="15.75" x14ac:dyDescent="0.25">
      <c r="A2922" s="1448" t="s">
        <v>2974</v>
      </c>
      <c r="B2922" s="1423">
        <f>B2921*0.02*500</f>
        <v>40</v>
      </c>
      <c r="C2922" s="1567"/>
      <c r="D2922" s="1562"/>
      <c r="E2922" s="1562"/>
      <c r="F2922" s="1562"/>
      <c r="G2922" s="1562"/>
      <c r="H2922" s="1531"/>
      <c r="I2922" s="1531"/>
      <c r="J2922" s="1531"/>
      <c r="K2922" s="1531"/>
      <c r="L2922" s="1531"/>
      <c r="M2922" s="1531"/>
      <c r="N2922" s="1531"/>
      <c r="O2922" s="1531"/>
      <c r="P2922" s="1531"/>
      <c r="Q2922" s="1531"/>
      <c r="R2922" s="1531"/>
      <c r="S2922" s="1531"/>
      <c r="T2922" s="1531"/>
      <c r="U2922" s="1531"/>
      <c r="V2922" s="1531"/>
      <c r="W2922" s="1531"/>
      <c r="X2922" s="1531"/>
      <c r="Y2922" s="1531"/>
      <c r="Z2922" s="1531"/>
      <c r="AA2922" s="1531"/>
      <c r="AB2922" s="1531"/>
      <c r="AC2922" s="1531"/>
      <c r="AD2922" s="1531"/>
      <c r="AE2922" s="1531"/>
      <c r="AF2922" s="1531"/>
      <c r="AG2922" s="1531"/>
      <c r="AH2922" s="1531"/>
      <c r="AI2922" s="1531"/>
      <c r="AJ2922" s="1531"/>
      <c r="AK2922" s="1531"/>
      <c r="AL2922" s="1531"/>
      <c r="AM2922" s="1531"/>
      <c r="AN2922" s="1531"/>
      <c r="AO2922" s="1531"/>
      <c r="AP2922" s="1531"/>
      <c r="AQ2922" s="1531"/>
      <c r="AR2922" s="1531"/>
      <c r="AS2922" s="1531"/>
    </row>
    <row r="2923" spans="1:45" s="1136" customFormat="1" ht="15.75" x14ac:dyDescent="0.25">
      <c r="A2923" s="1422" t="s">
        <v>2975</v>
      </c>
      <c r="B2923" s="1433">
        <f>IF(B2922&lt;20.1,1,IF(B2922&lt;30,0.9,0.85))</f>
        <v>0.85</v>
      </c>
      <c r="C2923" s="1569"/>
      <c r="D2923" s="1606"/>
      <c r="E2923" s="1606"/>
      <c r="F2923" s="1606"/>
      <c r="G2923" s="1606"/>
      <c r="H2923" s="1531"/>
      <c r="I2923" s="1531"/>
      <c r="J2923" s="1531"/>
      <c r="K2923" s="1531"/>
      <c r="L2923" s="1531"/>
      <c r="M2923" s="1531"/>
      <c r="N2923" s="1531"/>
      <c r="O2923" s="1531"/>
      <c r="P2923" s="1531"/>
      <c r="Q2923" s="1531"/>
      <c r="R2923" s="1531"/>
      <c r="S2923" s="1531"/>
      <c r="T2923" s="1531"/>
      <c r="U2923" s="1531"/>
      <c r="V2923" s="1531"/>
      <c r="W2923" s="1531"/>
      <c r="X2923" s="1531"/>
      <c r="Y2923" s="1531"/>
      <c r="Z2923" s="1531"/>
      <c r="AA2923" s="1531"/>
      <c r="AB2923" s="1531"/>
      <c r="AC2923" s="1531"/>
      <c r="AD2923" s="1531"/>
      <c r="AE2923" s="1531"/>
      <c r="AF2923" s="1531"/>
      <c r="AG2923" s="1531"/>
      <c r="AH2923" s="1531"/>
      <c r="AI2923" s="1531"/>
      <c r="AJ2923" s="1531"/>
      <c r="AK2923" s="1531"/>
      <c r="AL2923" s="1531"/>
      <c r="AM2923" s="1531"/>
      <c r="AN2923" s="1531"/>
      <c r="AO2923" s="1531"/>
      <c r="AP2923" s="1531"/>
      <c r="AQ2923" s="1531"/>
      <c r="AR2923" s="1531"/>
      <c r="AS2923" s="1531"/>
    </row>
    <row r="2924" spans="1:45" s="1136" customFormat="1" ht="15.75" x14ac:dyDescent="0.25">
      <c r="A2924" s="1422" t="s">
        <v>391</v>
      </c>
      <c r="B2924" s="1443">
        <f>B2866</f>
        <v>1.1499999999999999</v>
      </c>
      <c r="C2924" s="1521"/>
      <c r="D2924" s="1531"/>
      <c r="E2924" s="1531"/>
      <c r="F2924" s="1531"/>
      <c r="G2924" s="1531"/>
      <c r="H2924" s="1531"/>
      <c r="I2924" s="1531"/>
      <c r="J2924" s="1531"/>
      <c r="K2924" s="1531"/>
      <c r="L2924" s="1531"/>
      <c r="M2924" s="1531"/>
      <c r="N2924" s="1531"/>
      <c r="O2924" s="1531"/>
      <c r="P2924" s="1531"/>
      <c r="Q2924" s="1531"/>
      <c r="R2924" s="1531"/>
      <c r="S2924" s="1531"/>
      <c r="T2924" s="1531"/>
      <c r="U2924" s="1531"/>
      <c r="V2924" s="1531"/>
      <c r="W2924" s="1531"/>
      <c r="X2924" s="1531"/>
      <c r="Y2924" s="1531"/>
      <c r="Z2924" s="1531"/>
      <c r="AA2924" s="1531"/>
      <c r="AB2924" s="1531"/>
      <c r="AC2924" s="1531"/>
      <c r="AD2924" s="1531"/>
      <c r="AE2924" s="1531"/>
      <c r="AF2924" s="1531"/>
      <c r="AG2924" s="1531"/>
      <c r="AH2924" s="1531"/>
      <c r="AI2924" s="1531"/>
      <c r="AJ2924" s="1531"/>
      <c r="AK2924" s="1531"/>
      <c r="AL2924" s="1531"/>
      <c r="AM2924" s="1531"/>
      <c r="AN2924" s="1531"/>
      <c r="AO2924" s="1531"/>
      <c r="AP2924" s="1531"/>
      <c r="AQ2924" s="1531"/>
      <c r="AR2924" s="1531"/>
      <c r="AS2924" s="1531"/>
    </row>
    <row r="2925" spans="1:45" s="1136" customFormat="1" ht="15.75" x14ac:dyDescent="0.25">
      <c r="A2925" s="1422" t="s">
        <v>392</v>
      </c>
      <c r="B2925" s="1443">
        <f>B2867</f>
        <v>1</v>
      </c>
      <c r="C2925" s="1521"/>
      <c r="D2925" s="1596"/>
      <c r="E2925" s="1596"/>
      <c r="F2925" s="1596"/>
      <c r="G2925" s="1596"/>
      <c r="H2925" s="1531"/>
      <c r="I2925" s="1531"/>
      <c r="J2925" s="1531"/>
      <c r="K2925" s="1531"/>
      <c r="L2925" s="1531"/>
      <c r="M2925" s="1531"/>
      <c r="N2925" s="1531"/>
      <c r="O2925" s="1531"/>
      <c r="P2925" s="1531"/>
      <c r="Q2925" s="1531"/>
      <c r="R2925" s="1531"/>
      <c r="S2925" s="1531"/>
      <c r="T2925" s="1531"/>
      <c r="U2925" s="1531"/>
      <c r="V2925" s="1531"/>
      <c r="W2925" s="1531"/>
      <c r="X2925" s="1531"/>
      <c r="Y2925" s="1531"/>
      <c r="Z2925" s="1531"/>
      <c r="AA2925" s="1531"/>
      <c r="AB2925" s="1531"/>
      <c r="AC2925" s="1531"/>
      <c r="AD2925" s="1531"/>
      <c r="AE2925" s="1531"/>
      <c r="AF2925" s="1531"/>
      <c r="AG2925" s="1531"/>
      <c r="AH2925" s="1531"/>
      <c r="AI2925" s="1531"/>
      <c r="AJ2925" s="1531"/>
      <c r="AK2925" s="1531"/>
      <c r="AL2925" s="1531"/>
      <c r="AM2925" s="1531"/>
      <c r="AN2925" s="1531"/>
      <c r="AO2925" s="1531"/>
      <c r="AP2925" s="1531"/>
      <c r="AQ2925" s="1531"/>
      <c r="AR2925" s="1531"/>
      <c r="AS2925" s="1531"/>
    </row>
    <row r="2926" spans="1:45" s="1136" customFormat="1" ht="31.5" x14ac:dyDescent="0.25">
      <c r="A2926" s="1422" t="s">
        <v>393</v>
      </c>
      <c r="B2926" s="1443">
        <f>B2868</f>
        <v>1</v>
      </c>
      <c r="C2926" s="1521"/>
      <c r="D2926" s="1596"/>
      <c r="E2926" s="1596"/>
      <c r="F2926" s="1596"/>
      <c r="G2926" s="1596"/>
      <c r="H2926" s="1531"/>
      <c r="I2926" s="1531"/>
      <c r="J2926" s="1531"/>
      <c r="K2926" s="1531"/>
      <c r="L2926" s="1531"/>
      <c r="M2926" s="1531"/>
      <c r="N2926" s="1531"/>
      <c r="O2926" s="1531"/>
      <c r="P2926" s="1531"/>
      <c r="Q2926" s="1531"/>
      <c r="R2926" s="1531"/>
      <c r="S2926" s="1531"/>
      <c r="T2926" s="1531"/>
      <c r="U2926" s="1531"/>
      <c r="V2926" s="1531"/>
      <c r="W2926" s="1531"/>
      <c r="X2926" s="1531"/>
      <c r="Y2926" s="1531"/>
      <c r="Z2926" s="1531"/>
      <c r="AA2926" s="1531"/>
      <c r="AB2926" s="1531"/>
      <c r="AC2926" s="1531"/>
      <c r="AD2926" s="1531"/>
      <c r="AE2926" s="1531"/>
      <c r="AF2926" s="1531"/>
      <c r="AG2926" s="1531"/>
      <c r="AH2926" s="1531"/>
      <c r="AI2926" s="1531"/>
      <c r="AJ2926" s="1531"/>
      <c r="AK2926" s="1531"/>
      <c r="AL2926" s="1531"/>
      <c r="AM2926" s="1531"/>
      <c r="AN2926" s="1531"/>
      <c r="AO2926" s="1531"/>
      <c r="AP2926" s="1531"/>
      <c r="AQ2926" s="1531"/>
      <c r="AR2926" s="1531"/>
      <c r="AS2926" s="1531"/>
    </row>
    <row r="2927" spans="1:45" s="1136" customFormat="1" ht="15.75" x14ac:dyDescent="0.25">
      <c r="A2927" s="1422" t="s">
        <v>1323</v>
      </c>
      <c r="B2927" s="1443">
        <f>IF(B2921&lt;2.1,0.9,IF(B2921&lt;3.1,0.85,0.8))</f>
        <v>0.8</v>
      </c>
      <c r="C2927" s="1521"/>
      <c r="D2927" s="1531"/>
      <c r="E2927" s="1531"/>
      <c r="F2927" s="1531"/>
      <c r="G2927" s="1531"/>
      <c r="H2927" s="1531"/>
      <c r="I2927" s="1531"/>
      <c r="J2927" s="1531"/>
      <c r="K2927" s="1531"/>
      <c r="L2927" s="1531"/>
      <c r="M2927" s="1531"/>
      <c r="N2927" s="1531"/>
      <c r="O2927" s="1531"/>
      <c r="P2927" s="1531"/>
      <c r="Q2927" s="1531"/>
      <c r="R2927" s="1531"/>
      <c r="S2927" s="1531"/>
      <c r="T2927" s="1531"/>
      <c r="U2927" s="1531"/>
      <c r="V2927" s="1531"/>
      <c r="W2927" s="1531"/>
      <c r="X2927" s="1531"/>
      <c r="Y2927" s="1531"/>
      <c r="Z2927" s="1531"/>
      <c r="AA2927" s="1531"/>
      <c r="AB2927" s="1531"/>
      <c r="AC2927" s="1531"/>
      <c r="AD2927" s="1531"/>
      <c r="AE2927" s="1531"/>
      <c r="AF2927" s="1531"/>
      <c r="AG2927" s="1531"/>
      <c r="AH2927" s="1531"/>
      <c r="AI2927" s="1531"/>
      <c r="AJ2927" s="1531"/>
      <c r="AK2927" s="1531"/>
      <c r="AL2927" s="1531"/>
      <c r="AM2927" s="1531"/>
      <c r="AN2927" s="1531"/>
      <c r="AO2927" s="1531"/>
      <c r="AP2927" s="1531"/>
      <c r="AQ2927" s="1531"/>
      <c r="AR2927" s="1531"/>
      <c r="AS2927" s="1531"/>
    </row>
    <row r="2928" spans="1:45" s="1136" customFormat="1" ht="15.75" x14ac:dyDescent="0.25">
      <c r="A2928" s="1422" t="s">
        <v>2976</v>
      </c>
      <c r="B2928" s="1450">
        <v>0.7</v>
      </c>
      <c r="C2928" s="1617"/>
      <c r="D2928" s="1569"/>
      <c r="E2928" s="1569"/>
      <c r="F2928" s="1569"/>
      <c r="G2928" s="1569"/>
      <c r="H2928" s="1531"/>
      <c r="I2928" s="1531"/>
      <c r="J2928" s="1531"/>
      <c r="K2928" s="1531"/>
      <c r="L2928" s="1531"/>
      <c r="M2928" s="1531"/>
      <c r="N2928" s="1531"/>
      <c r="O2928" s="1531"/>
      <c r="P2928" s="1531"/>
      <c r="Q2928" s="1531"/>
      <c r="R2928" s="1531"/>
      <c r="S2928" s="1531"/>
      <c r="T2928" s="1531"/>
      <c r="U2928" s="1531"/>
      <c r="V2928" s="1531"/>
      <c r="W2928" s="1531"/>
      <c r="X2928" s="1531"/>
      <c r="Y2928" s="1531"/>
      <c r="Z2928" s="1531"/>
      <c r="AA2928" s="1531"/>
      <c r="AB2928" s="1531"/>
      <c r="AC2928" s="1531"/>
      <c r="AD2928" s="1531"/>
      <c r="AE2928" s="1531"/>
      <c r="AF2928" s="1531"/>
      <c r="AG2928" s="1531"/>
      <c r="AH2928" s="1531"/>
      <c r="AI2928" s="1531"/>
      <c r="AJ2928" s="1531"/>
      <c r="AK2928" s="1531"/>
      <c r="AL2928" s="1531"/>
      <c r="AM2928" s="1531"/>
      <c r="AN2928" s="1531"/>
      <c r="AO2928" s="1531"/>
      <c r="AP2928" s="1531"/>
      <c r="AQ2928" s="1531"/>
      <c r="AR2928" s="1531"/>
      <c r="AS2928" s="1531"/>
    </row>
    <row r="2929" spans="1:45" s="1136" customFormat="1" ht="15.75" x14ac:dyDescent="0.25">
      <c r="A2929" s="1422" t="s">
        <v>3412</v>
      </c>
      <c r="B2929" s="1443" t="e">
        <f>B2916*B2923*B2924*B2925*B2926*B2927*B2928*B2383</f>
        <v>#VALUE!</v>
      </c>
      <c r="C2929" s="1521"/>
      <c r="D2929" s="1567"/>
      <c r="E2929" s="1567"/>
      <c r="F2929" s="1567"/>
      <c r="G2929" s="1567"/>
      <c r="H2929" s="1531"/>
      <c r="I2929" s="1531"/>
      <c r="J2929" s="1531"/>
      <c r="K2929" s="1531"/>
      <c r="L2929" s="1531"/>
      <c r="M2929" s="1531"/>
      <c r="N2929" s="1531"/>
      <c r="O2929" s="1531"/>
      <c r="P2929" s="1531"/>
      <c r="Q2929" s="1531"/>
      <c r="R2929" s="1531"/>
      <c r="S2929" s="1531"/>
      <c r="T2929" s="1531"/>
      <c r="U2929" s="1531"/>
      <c r="V2929" s="1531"/>
      <c r="W2929" s="1531"/>
      <c r="X2929" s="1531"/>
      <c r="Y2929" s="1531"/>
      <c r="Z2929" s="1531"/>
      <c r="AA2929" s="1531"/>
      <c r="AB2929" s="1531"/>
      <c r="AC2929" s="1531"/>
      <c r="AD2929" s="1531"/>
      <c r="AE2929" s="1531"/>
      <c r="AF2929" s="1531"/>
      <c r="AG2929" s="1531"/>
      <c r="AH2929" s="1531"/>
      <c r="AI2929" s="1531"/>
      <c r="AJ2929" s="1531"/>
      <c r="AK2929" s="1531"/>
      <c r="AL2929" s="1531"/>
      <c r="AM2929" s="1531"/>
      <c r="AN2929" s="1531"/>
      <c r="AO2929" s="1531"/>
      <c r="AP2929" s="1531"/>
      <c r="AQ2929" s="1531"/>
      <c r="AR2929" s="1531"/>
      <c r="AS2929" s="1531"/>
    </row>
    <row r="2930" spans="1:45" s="1136" customFormat="1" ht="15.75" x14ac:dyDescent="0.25">
      <c r="A2930" s="1422" t="s">
        <v>429</v>
      </c>
      <c r="B2930" s="1439" t="e">
        <f>B2915/B2929</f>
        <v>#VALUE!</v>
      </c>
      <c r="C2930" s="1562"/>
      <c r="D2930" s="1569"/>
      <c r="E2930" s="1569"/>
      <c r="F2930" s="1569"/>
      <c r="G2930" s="1569"/>
      <c r="H2930" s="1531"/>
      <c r="I2930" s="1531"/>
      <c r="J2930" s="1531"/>
      <c r="K2930" s="1531"/>
      <c r="L2930" s="1531"/>
      <c r="M2930" s="1531"/>
      <c r="N2930" s="1531"/>
      <c r="O2930" s="1531"/>
      <c r="P2930" s="1531"/>
      <c r="Q2930" s="1531"/>
      <c r="R2930" s="1531"/>
      <c r="S2930" s="1531"/>
      <c r="T2930" s="1531"/>
      <c r="U2930" s="1531"/>
      <c r="V2930" s="1531"/>
      <c r="W2930" s="1531"/>
      <c r="X2930" s="1531"/>
      <c r="Y2930" s="1531"/>
      <c r="Z2930" s="1531"/>
      <c r="AA2930" s="1531"/>
      <c r="AB2930" s="1531"/>
      <c r="AC2930" s="1531"/>
      <c r="AD2930" s="1531"/>
      <c r="AE2930" s="1531"/>
      <c r="AF2930" s="1531"/>
      <c r="AG2930" s="1531"/>
      <c r="AH2930" s="1531"/>
      <c r="AI2930" s="1531"/>
      <c r="AJ2930" s="1531"/>
      <c r="AK2930" s="1531"/>
      <c r="AL2930" s="1531"/>
      <c r="AM2930" s="1531"/>
      <c r="AN2930" s="1531"/>
      <c r="AO2930" s="1531"/>
      <c r="AP2930" s="1531"/>
      <c r="AQ2930" s="1531"/>
      <c r="AR2930" s="1531"/>
      <c r="AS2930" s="1531"/>
    </row>
    <row r="2931" spans="1:45" s="1136" customFormat="1" ht="15.75" x14ac:dyDescent="0.25">
      <c r="A2931" s="1422"/>
      <c r="B2931" s="1443"/>
      <c r="C2931" s="1521"/>
      <c r="D2931" s="1521"/>
      <c r="E2931" s="1521"/>
      <c r="F2931" s="1521"/>
      <c r="G2931" s="1521"/>
      <c r="H2931" s="1531"/>
      <c r="I2931" s="1531"/>
      <c r="J2931" s="1531"/>
      <c r="K2931" s="1531"/>
      <c r="L2931" s="1531"/>
      <c r="M2931" s="1531"/>
      <c r="N2931" s="1531"/>
      <c r="O2931" s="1531"/>
      <c r="P2931" s="1531"/>
      <c r="Q2931" s="1531"/>
      <c r="R2931" s="1531"/>
      <c r="S2931" s="1531"/>
      <c r="T2931" s="1531"/>
      <c r="U2931" s="1531"/>
      <c r="V2931" s="1531"/>
      <c r="W2931" s="1531"/>
      <c r="X2931" s="1531"/>
      <c r="Y2931" s="1531"/>
      <c r="Z2931" s="1531"/>
      <c r="AA2931" s="1531"/>
      <c r="AB2931" s="1531"/>
      <c r="AC2931" s="1531"/>
      <c r="AD2931" s="1531"/>
      <c r="AE2931" s="1531"/>
      <c r="AF2931" s="1531"/>
      <c r="AG2931" s="1531"/>
      <c r="AH2931" s="1531"/>
      <c r="AI2931" s="1531"/>
      <c r="AJ2931" s="1531"/>
      <c r="AK2931" s="1531"/>
      <c r="AL2931" s="1531"/>
      <c r="AM2931" s="1531"/>
      <c r="AN2931" s="1531"/>
      <c r="AO2931" s="1531"/>
      <c r="AP2931" s="1531"/>
      <c r="AQ2931" s="1531"/>
      <c r="AR2931" s="1531"/>
      <c r="AS2931" s="1531"/>
    </row>
    <row r="2932" spans="1:45" s="1136" customFormat="1" ht="47.25" x14ac:dyDescent="0.25">
      <c r="A2932" s="1438" t="s">
        <v>2977</v>
      </c>
      <c r="B2932" s="1433"/>
      <c r="C2932" s="1569"/>
      <c r="D2932" s="1521"/>
      <c r="E2932" s="1521"/>
      <c r="F2932" s="1521"/>
      <c r="G2932" s="1521"/>
      <c r="H2932" s="1531"/>
      <c r="I2932" s="1531"/>
      <c r="J2932" s="1531"/>
      <c r="K2932" s="1531"/>
      <c r="L2932" s="1531"/>
      <c r="M2932" s="1531"/>
      <c r="N2932" s="1531"/>
      <c r="O2932" s="1531"/>
      <c r="P2932" s="1531"/>
      <c r="Q2932" s="1531"/>
      <c r="R2932" s="1531"/>
      <c r="S2932" s="1531"/>
      <c r="T2932" s="1531"/>
      <c r="U2932" s="1531"/>
      <c r="V2932" s="1531"/>
      <c r="W2932" s="1531"/>
      <c r="X2932" s="1531"/>
      <c r="Y2932" s="1531"/>
      <c r="Z2932" s="1531"/>
      <c r="AA2932" s="1531"/>
      <c r="AB2932" s="1531"/>
      <c r="AC2932" s="1531"/>
      <c r="AD2932" s="1531"/>
      <c r="AE2932" s="1531"/>
      <c r="AF2932" s="1531"/>
      <c r="AG2932" s="1531"/>
      <c r="AH2932" s="1531"/>
      <c r="AI2932" s="1531"/>
      <c r="AJ2932" s="1531"/>
      <c r="AK2932" s="1531"/>
      <c r="AL2932" s="1531"/>
      <c r="AM2932" s="1531"/>
      <c r="AN2932" s="1531"/>
      <c r="AO2932" s="1531"/>
      <c r="AP2932" s="1531"/>
      <c r="AQ2932" s="1531"/>
      <c r="AR2932" s="1531"/>
      <c r="AS2932" s="1531"/>
    </row>
    <row r="2933" spans="1:45" s="1136" customFormat="1" ht="15.75" x14ac:dyDescent="0.25">
      <c r="A2933" s="1420" t="s">
        <v>1753</v>
      </c>
      <c r="B2933" s="1424" t="e">
        <f>((B2855/B261+1)-3)*B2850</f>
        <v>#VALUE!</v>
      </c>
      <c r="C2933" s="1606"/>
      <c r="D2933" s="1521"/>
      <c r="E2933" s="1521"/>
      <c r="F2933" s="1521"/>
      <c r="G2933" s="1521"/>
      <c r="H2933" s="1531"/>
      <c r="I2933" s="1531"/>
      <c r="J2933" s="1531"/>
      <c r="K2933" s="1531"/>
      <c r="L2933" s="1531"/>
      <c r="M2933" s="1531"/>
      <c r="N2933" s="1531"/>
      <c r="O2933" s="1531"/>
      <c r="P2933" s="1531"/>
      <c r="Q2933" s="1531"/>
      <c r="R2933" s="1531"/>
      <c r="S2933" s="1531"/>
      <c r="T2933" s="1531"/>
      <c r="U2933" s="1531"/>
      <c r="V2933" s="1531"/>
      <c r="W2933" s="1531"/>
      <c r="X2933" s="1531"/>
      <c r="Y2933" s="1531"/>
      <c r="Z2933" s="1531"/>
      <c r="AA2933" s="1531"/>
      <c r="AB2933" s="1531"/>
      <c r="AC2933" s="1531"/>
      <c r="AD2933" s="1531"/>
      <c r="AE2933" s="1531"/>
      <c r="AF2933" s="1531"/>
      <c r="AG2933" s="1531"/>
      <c r="AH2933" s="1531"/>
      <c r="AI2933" s="1531"/>
      <c r="AJ2933" s="1531"/>
      <c r="AK2933" s="1531"/>
      <c r="AL2933" s="1531"/>
      <c r="AM2933" s="1531"/>
      <c r="AN2933" s="1531"/>
      <c r="AO2933" s="1531"/>
      <c r="AP2933" s="1531"/>
      <c r="AQ2933" s="1531"/>
      <c r="AR2933" s="1531"/>
      <c r="AS2933" s="1531"/>
    </row>
    <row r="2934" spans="1:45" s="1136" customFormat="1" ht="15.75" x14ac:dyDescent="0.25">
      <c r="A2934" s="1420" t="s">
        <v>425</v>
      </c>
      <c r="B2934" s="1424" t="e">
        <f>INDEX($U$3487:$X$3496,B2935,B2936)</f>
        <v>#VALUE!</v>
      </c>
      <c r="C2934" s="1606"/>
      <c r="D2934" s="1521"/>
      <c r="E2934" s="1521"/>
      <c r="F2934" s="1521"/>
      <c r="G2934" s="1521"/>
      <c r="H2934" s="1531"/>
      <c r="I2934" s="1531"/>
      <c r="J2934" s="1531"/>
      <c r="K2934" s="1531"/>
      <c r="L2934" s="1531"/>
      <c r="M2934" s="1531"/>
      <c r="N2934" s="1531"/>
      <c r="O2934" s="1531"/>
      <c r="P2934" s="1531"/>
      <c r="Q2934" s="1531"/>
      <c r="R2934" s="1531"/>
      <c r="S2934" s="1531"/>
      <c r="T2934" s="1531"/>
      <c r="U2934" s="1531"/>
      <c r="V2934" s="1531"/>
      <c r="W2934" s="1531"/>
      <c r="X2934" s="1531"/>
      <c r="Y2934" s="1531"/>
      <c r="Z2934" s="1531"/>
      <c r="AA2934" s="1531"/>
      <c r="AB2934" s="1531"/>
      <c r="AC2934" s="1531"/>
      <c r="AD2934" s="1531"/>
      <c r="AE2934" s="1531"/>
      <c r="AF2934" s="1531"/>
      <c r="AG2934" s="1531"/>
      <c r="AH2934" s="1531"/>
      <c r="AI2934" s="1531"/>
      <c r="AJ2934" s="1531"/>
      <c r="AK2934" s="1531"/>
      <c r="AL2934" s="1531"/>
      <c r="AM2934" s="1531"/>
      <c r="AN2934" s="1531"/>
      <c r="AO2934" s="1531"/>
      <c r="AP2934" s="1531"/>
      <c r="AQ2934" s="1531"/>
      <c r="AR2934" s="1531"/>
      <c r="AS2934" s="1531"/>
    </row>
    <row r="2935" spans="1:45" s="1136" customFormat="1" ht="15.75" x14ac:dyDescent="0.25">
      <c r="A2935" s="1420" t="s">
        <v>426</v>
      </c>
      <c r="B2935" s="1441" t="e">
        <f>B2918</f>
        <v>#VALUE!</v>
      </c>
      <c r="C2935" s="1596"/>
      <c r="D2935" s="1617"/>
      <c r="E2935" s="1617"/>
      <c r="F2935" s="1617"/>
      <c r="G2935" s="1617"/>
      <c r="H2935" s="1531"/>
      <c r="I2935" s="1531"/>
      <c r="J2935" s="1531"/>
      <c r="K2935" s="1531"/>
      <c r="L2935" s="1531"/>
      <c r="M2935" s="1531"/>
      <c r="N2935" s="1531"/>
      <c r="O2935" s="1531"/>
      <c r="P2935" s="1531"/>
      <c r="Q2935" s="1531"/>
      <c r="R2935" s="1531"/>
      <c r="S2935" s="1531"/>
      <c r="T2935" s="1531"/>
      <c r="U2935" s="1531"/>
      <c r="V2935" s="1531"/>
      <c r="W2935" s="1531"/>
      <c r="X2935" s="1531"/>
      <c r="Y2935" s="1531"/>
      <c r="Z2935" s="1531"/>
      <c r="AA2935" s="1531"/>
      <c r="AB2935" s="1531"/>
      <c r="AC2935" s="1531"/>
      <c r="AD2935" s="1531"/>
      <c r="AE2935" s="1531"/>
      <c r="AF2935" s="1531"/>
      <c r="AG2935" s="1531"/>
      <c r="AH2935" s="1531"/>
      <c r="AI2935" s="1531"/>
      <c r="AJ2935" s="1531"/>
      <c r="AK2935" s="1531"/>
      <c r="AL2935" s="1531"/>
      <c r="AM2935" s="1531"/>
      <c r="AN2935" s="1531"/>
      <c r="AO2935" s="1531"/>
      <c r="AP2935" s="1531"/>
      <c r="AQ2935" s="1531"/>
      <c r="AR2935" s="1531"/>
      <c r="AS2935" s="1531"/>
    </row>
    <row r="2936" spans="1:45" s="1136" customFormat="1" ht="15.75" x14ac:dyDescent="0.25">
      <c r="A2936" s="1420" t="s">
        <v>427</v>
      </c>
      <c r="B2936" s="1415">
        <v>1</v>
      </c>
      <c r="C2936" s="1531"/>
      <c r="D2936" s="1521"/>
      <c r="E2936" s="1521"/>
      <c r="F2936" s="1521"/>
      <c r="G2936" s="1521"/>
      <c r="H2936" s="1531"/>
      <c r="I2936" s="1531"/>
      <c r="J2936" s="1531"/>
      <c r="K2936" s="1531"/>
      <c r="L2936" s="1531"/>
      <c r="M2936" s="1531"/>
      <c r="N2936" s="1531"/>
      <c r="O2936" s="1531"/>
      <c r="P2936" s="1531"/>
      <c r="Q2936" s="1531"/>
      <c r="R2936" s="1531"/>
      <c r="S2936" s="1531"/>
      <c r="T2936" s="1531"/>
      <c r="U2936" s="1531"/>
      <c r="V2936" s="1531"/>
      <c r="W2936" s="1531"/>
      <c r="X2936" s="1531"/>
      <c r="Y2936" s="1531"/>
      <c r="Z2936" s="1531"/>
      <c r="AA2936" s="1531"/>
      <c r="AB2936" s="1531"/>
      <c r="AC2936" s="1531"/>
      <c r="AD2936" s="1531"/>
      <c r="AE2936" s="1531"/>
      <c r="AF2936" s="1531"/>
      <c r="AG2936" s="1531"/>
      <c r="AH2936" s="1531"/>
      <c r="AI2936" s="1531"/>
      <c r="AJ2936" s="1531"/>
      <c r="AK2936" s="1531"/>
      <c r="AL2936" s="1531"/>
      <c r="AM2936" s="1531"/>
      <c r="AN2936" s="1531"/>
      <c r="AO2936" s="1531"/>
      <c r="AP2936" s="1531"/>
      <c r="AQ2936" s="1531"/>
      <c r="AR2936" s="1531"/>
      <c r="AS2936" s="1531"/>
    </row>
    <row r="2937" spans="1:45" s="1136" customFormat="1" ht="15.75" x14ac:dyDescent="0.25">
      <c r="A2937" s="1420" t="s">
        <v>1322</v>
      </c>
      <c r="B2937" s="1439"/>
      <c r="C2937" s="1562"/>
      <c r="D2937" s="1562"/>
      <c r="E2937" s="1562"/>
      <c r="F2937" s="1562"/>
      <c r="G2937" s="1562"/>
      <c r="H2937" s="1531"/>
      <c r="I2937" s="1531"/>
      <c r="J2937" s="1531"/>
      <c r="K2937" s="1531"/>
      <c r="L2937" s="1531"/>
      <c r="M2937" s="1531"/>
      <c r="N2937" s="1531"/>
      <c r="O2937" s="1531"/>
      <c r="P2937" s="1531"/>
      <c r="Q2937" s="1531"/>
      <c r="R2937" s="1531"/>
      <c r="S2937" s="1531"/>
      <c r="T2937" s="1531"/>
      <c r="U2937" s="1531"/>
      <c r="V2937" s="1531"/>
      <c r="W2937" s="1531"/>
      <c r="X2937" s="1531"/>
      <c r="Y2937" s="1531"/>
      <c r="Z2937" s="1531"/>
      <c r="AA2937" s="1531"/>
      <c r="AB2937" s="1531"/>
      <c r="AC2937" s="1531"/>
      <c r="AD2937" s="1531"/>
      <c r="AE2937" s="1531"/>
      <c r="AF2937" s="1531"/>
      <c r="AG2937" s="1531"/>
      <c r="AH2937" s="1531"/>
      <c r="AI2937" s="1531"/>
      <c r="AJ2937" s="1531"/>
      <c r="AK2937" s="1531"/>
      <c r="AL2937" s="1531"/>
      <c r="AM2937" s="1531"/>
      <c r="AN2937" s="1531"/>
      <c r="AO2937" s="1531"/>
      <c r="AP2937" s="1531"/>
      <c r="AQ2937" s="1531"/>
      <c r="AR2937" s="1531"/>
      <c r="AS2937" s="1531"/>
    </row>
    <row r="2938" spans="1:45" s="1136" customFormat="1" ht="15.75" x14ac:dyDescent="0.25">
      <c r="A2938" s="1420" t="s">
        <v>391</v>
      </c>
      <c r="B2938" s="1443">
        <f>B2924</f>
        <v>1.1499999999999999</v>
      </c>
      <c r="C2938" s="1521"/>
      <c r="D2938" s="1531"/>
      <c r="E2938" s="1531"/>
      <c r="F2938" s="1531"/>
      <c r="G2938" s="1531"/>
      <c r="H2938" s="1531"/>
      <c r="I2938" s="1531"/>
      <c r="J2938" s="1531"/>
      <c r="K2938" s="1531"/>
      <c r="L2938" s="1531"/>
      <c r="M2938" s="1531"/>
      <c r="N2938" s="1531"/>
      <c r="O2938" s="1531"/>
      <c r="P2938" s="1531"/>
      <c r="Q2938" s="1531"/>
      <c r="R2938" s="1531"/>
      <c r="S2938" s="1531"/>
      <c r="T2938" s="1531"/>
      <c r="U2938" s="1531"/>
      <c r="V2938" s="1531"/>
      <c r="W2938" s="1531"/>
      <c r="X2938" s="1531"/>
      <c r="Y2938" s="1531"/>
      <c r="Z2938" s="1531"/>
      <c r="AA2938" s="1531"/>
      <c r="AB2938" s="1531"/>
      <c r="AC2938" s="1531"/>
      <c r="AD2938" s="1531"/>
      <c r="AE2938" s="1531"/>
      <c r="AF2938" s="1531"/>
      <c r="AG2938" s="1531"/>
      <c r="AH2938" s="1531"/>
      <c r="AI2938" s="1531"/>
      <c r="AJ2938" s="1531"/>
      <c r="AK2938" s="1531"/>
      <c r="AL2938" s="1531"/>
      <c r="AM2938" s="1531"/>
      <c r="AN2938" s="1531"/>
      <c r="AO2938" s="1531"/>
      <c r="AP2938" s="1531"/>
      <c r="AQ2938" s="1531"/>
      <c r="AR2938" s="1531"/>
      <c r="AS2938" s="1531"/>
    </row>
    <row r="2939" spans="1:45" s="1136" customFormat="1" ht="15.75" x14ac:dyDescent="0.25">
      <c r="A2939" s="1422" t="s">
        <v>392</v>
      </c>
      <c r="B2939" s="1443">
        <f>B2925</f>
        <v>1</v>
      </c>
      <c r="C2939" s="1521"/>
      <c r="D2939" s="1531"/>
      <c r="E2939" s="1531"/>
      <c r="F2939" s="1531"/>
      <c r="G2939" s="1531"/>
      <c r="H2939" s="1531"/>
      <c r="I2939" s="1531"/>
      <c r="J2939" s="1531"/>
      <c r="K2939" s="1531"/>
      <c r="L2939" s="1531"/>
      <c r="M2939" s="1531"/>
      <c r="N2939" s="1531"/>
      <c r="O2939" s="1531"/>
      <c r="P2939" s="1531"/>
      <c r="Q2939" s="1531"/>
      <c r="R2939" s="1531"/>
      <c r="S2939" s="1531"/>
      <c r="T2939" s="1531"/>
      <c r="U2939" s="1531"/>
      <c r="V2939" s="1531"/>
      <c r="W2939" s="1531"/>
      <c r="X2939" s="1531"/>
      <c r="Y2939" s="1531"/>
      <c r="Z2939" s="1531"/>
      <c r="AA2939" s="1531"/>
      <c r="AB2939" s="1531"/>
      <c r="AC2939" s="1531"/>
      <c r="AD2939" s="1531"/>
      <c r="AE2939" s="1531"/>
      <c r="AF2939" s="1531"/>
      <c r="AG2939" s="1531"/>
      <c r="AH2939" s="1531"/>
      <c r="AI2939" s="1531"/>
      <c r="AJ2939" s="1531"/>
      <c r="AK2939" s="1531"/>
      <c r="AL2939" s="1531"/>
      <c r="AM2939" s="1531"/>
      <c r="AN2939" s="1531"/>
      <c r="AO2939" s="1531"/>
      <c r="AP2939" s="1531"/>
      <c r="AQ2939" s="1531"/>
      <c r="AR2939" s="1531"/>
      <c r="AS2939" s="1531"/>
    </row>
    <row r="2940" spans="1:45" s="1136" customFormat="1" ht="15.75" x14ac:dyDescent="0.25">
      <c r="A2940" s="1422" t="s">
        <v>2976</v>
      </c>
      <c r="B2940" s="1450">
        <v>0.7</v>
      </c>
      <c r="C2940" s="1617"/>
      <c r="D2940" s="1606"/>
      <c r="E2940" s="1606"/>
      <c r="F2940" s="1606"/>
      <c r="G2940" s="1606"/>
      <c r="H2940" s="1531"/>
      <c r="I2940" s="1531"/>
      <c r="J2940" s="1531"/>
      <c r="K2940" s="1531"/>
      <c r="L2940" s="1531"/>
      <c r="M2940" s="1531"/>
      <c r="N2940" s="1531"/>
      <c r="O2940" s="1531"/>
      <c r="P2940" s="1531"/>
      <c r="Q2940" s="1531"/>
      <c r="R2940" s="1531"/>
      <c r="S2940" s="1531"/>
      <c r="T2940" s="1531"/>
      <c r="U2940" s="1531"/>
      <c r="V2940" s="1531"/>
      <c r="W2940" s="1531"/>
      <c r="X2940" s="1531"/>
      <c r="Y2940" s="1531"/>
      <c r="Z2940" s="1531"/>
      <c r="AA2940" s="1531"/>
      <c r="AB2940" s="1531"/>
      <c r="AC2940" s="1531"/>
      <c r="AD2940" s="1531"/>
      <c r="AE2940" s="1531"/>
      <c r="AF2940" s="1531"/>
      <c r="AG2940" s="1531"/>
      <c r="AH2940" s="1531"/>
      <c r="AI2940" s="1531"/>
      <c r="AJ2940" s="1531"/>
      <c r="AK2940" s="1531"/>
      <c r="AL2940" s="1531"/>
      <c r="AM2940" s="1531"/>
      <c r="AN2940" s="1531"/>
      <c r="AO2940" s="1531"/>
      <c r="AP2940" s="1531"/>
      <c r="AQ2940" s="1531"/>
      <c r="AR2940" s="1531"/>
      <c r="AS2940" s="1531"/>
    </row>
    <row r="2941" spans="1:45" s="1136" customFormat="1" ht="15.75" x14ac:dyDescent="0.25">
      <c r="A2941" s="1420" t="s">
        <v>3412</v>
      </c>
      <c r="B2941" s="1443" t="e">
        <f>B2934*B2938*B2939*B2940*B2383</f>
        <v>#VALUE!</v>
      </c>
      <c r="C2941" s="1521"/>
      <c r="D2941" s="1606"/>
      <c r="E2941" s="1606"/>
      <c r="F2941" s="1606"/>
      <c r="G2941" s="1606"/>
      <c r="H2941" s="1531"/>
      <c r="I2941" s="1531"/>
      <c r="J2941" s="1531"/>
      <c r="K2941" s="1531"/>
      <c r="L2941" s="1531"/>
      <c r="M2941" s="1531"/>
      <c r="N2941" s="1531"/>
      <c r="O2941" s="1531"/>
      <c r="P2941" s="1531"/>
      <c r="Q2941" s="1531"/>
      <c r="R2941" s="1531"/>
      <c r="S2941" s="1531"/>
      <c r="T2941" s="1531"/>
      <c r="U2941" s="1531"/>
      <c r="V2941" s="1531"/>
      <c r="W2941" s="1531"/>
      <c r="X2941" s="1531"/>
      <c r="Y2941" s="1531"/>
      <c r="Z2941" s="1531"/>
      <c r="AA2941" s="1531"/>
      <c r="AB2941" s="1531"/>
      <c r="AC2941" s="1531"/>
      <c r="AD2941" s="1531"/>
      <c r="AE2941" s="1531"/>
      <c r="AF2941" s="1531"/>
      <c r="AG2941" s="1531"/>
      <c r="AH2941" s="1531"/>
      <c r="AI2941" s="1531"/>
      <c r="AJ2941" s="1531"/>
      <c r="AK2941" s="1531"/>
      <c r="AL2941" s="1531"/>
      <c r="AM2941" s="1531"/>
      <c r="AN2941" s="1531"/>
      <c r="AO2941" s="1531"/>
      <c r="AP2941" s="1531"/>
      <c r="AQ2941" s="1531"/>
      <c r="AR2941" s="1531"/>
      <c r="AS2941" s="1531"/>
    </row>
    <row r="2942" spans="1:45" s="1136" customFormat="1" ht="15.75" x14ac:dyDescent="0.25">
      <c r="A2942" s="1420" t="s">
        <v>429</v>
      </c>
      <c r="B2942" s="1439" t="e">
        <f>B2933/B2941</f>
        <v>#VALUE!</v>
      </c>
      <c r="C2942" s="1562"/>
      <c r="D2942" s="1596"/>
      <c r="E2942" s="1596"/>
      <c r="F2942" s="1596"/>
      <c r="G2942" s="1596"/>
      <c r="H2942" s="1531"/>
      <c r="I2942" s="1531"/>
      <c r="J2942" s="1531"/>
      <c r="K2942" s="1531"/>
      <c r="L2942" s="1531"/>
      <c r="M2942" s="1531"/>
      <c r="N2942" s="1531"/>
      <c r="O2942" s="1531"/>
      <c r="P2942" s="1531"/>
      <c r="Q2942" s="1531"/>
      <c r="R2942" s="1531"/>
      <c r="S2942" s="1531"/>
      <c r="T2942" s="1531"/>
      <c r="U2942" s="1531"/>
      <c r="V2942" s="1531"/>
      <c r="W2942" s="1531"/>
      <c r="X2942" s="1531"/>
      <c r="Y2942" s="1531"/>
      <c r="Z2942" s="1531"/>
      <c r="AA2942" s="1531"/>
      <c r="AB2942" s="1531"/>
      <c r="AC2942" s="1531"/>
      <c r="AD2942" s="1531"/>
      <c r="AE2942" s="1531"/>
      <c r="AF2942" s="1531"/>
      <c r="AG2942" s="1531"/>
      <c r="AH2942" s="1531"/>
      <c r="AI2942" s="1531"/>
      <c r="AJ2942" s="1531"/>
      <c r="AK2942" s="1531"/>
      <c r="AL2942" s="1531"/>
      <c r="AM2942" s="1531"/>
      <c r="AN2942" s="1531"/>
      <c r="AO2942" s="1531"/>
      <c r="AP2942" s="1531"/>
      <c r="AQ2942" s="1531"/>
      <c r="AR2942" s="1531"/>
      <c r="AS2942" s="1531"/>
    </row>
    <row r="2943" spans="1:45" s="1136" customFormat="1" ht="15.75" x14ac:dyDescent="0.25">
      <c r="A2943" s="1420"/>
      <c r="B2943" s="1443"/>
      <c r="C2943" s="1521"/>
      <c r="D2943" s="1531"/>
      <c r="E2943" s="1531"/>
      <c r="F2943" s="1531"/>
      <c r="G2943" s="1531"/>
      <c r="H2943" s="1531"/>
      <c r="I2943" s="1531"/>
      <c r="J2943" s="1531"/>
      <c r="K2943" s="1531"/>
      <c r="L2943" s="1531"/>
      <c r="M2943" s="1531"/>
      <c r="N2943" s="1531"/>
      <c r="O2943" s="1531"/>
      <c r="P2943" s="1531"/>
      <c r="Q2943" s="1531"/>
      <c r="R2943" s="1531"/>
      <c r="S2943" s="1531"/>
      <c r="T2943" s="1531"/>
      <c r="U2943" s="1531"/>
      <c r="V2943" s="1531"/>
      <c r="W2943" s="1531"/>
      <c r="X2943" s="1531"/>
      <c r="Y2943" s="1531"/>
      <c r="Z2943" s="1531"/>
      <c r="AA2943" s="1531"/>
      <c r="AB2943" s="1531"/>
      <c r="AC2943" s="1531"/>
      <c r="AD2943" s="1531"/>
      <c r="AE2943" s="1531"/>
      <c r="AF2943" s="1531"/>
      <c r="AG2943" s="1531"/>
      <c r="AH2943" s="1531"/>
      <c r="AI2943" s="1531"/>
      <c r="AJ2943" s="1531"/>
      <c r="AK2943" s="1531"/>
      <c r="AL2943" s="1531"/>
      <c r="AM2943" s="1531"/>
      <c r="AN2943" s="1531"/>
      <c r="AO2943" s="1531"/>
      <c r="AP2943" s="1531"/>
      <c r="AQ2943" s="1531"/>
      <c r="AR2943" s="1531"/>
      <c r="AS2943" s="1531"/>
    </row>
    <row r="2944" spans="1:45" s="1136" customFormat="1" ht="47.25" x14ac:dyDescent="0.25">
      <c r="A2944" s="1438" t="s">
        <v>3212</v>
      </c>
      <c r="B2944" s="1443"/>
      <c r="C2944" s="1521"/>
      <c r="D2944" s="1531"/>
      <c r="E2944" s="1531"/>
      <c r="F2944" s="1531"/>
      <c r="G2944" s="1531"/>
      <c r="H2944" s="1531"/>
      <c r="I2944" s="1531"/>
      <c r="J2944" s="1531"/>
      <c r="K2944" s="1531"/>
      <c r="L2944" s="1531"/>
      <c r="M2944" s="1531"/>
      <c r="N2944" s="1531"/>
      <c r="O2944" s="1531"/>
      <c r="P2944" s="1531"/>
      <c r="Q2944" s="1531"/>
      <c r="R2944" s="1531"/>
      <c r="S2944" s="1531"/>
      <c r="T2944" s="1531"/>
      <c r="U2944" s="1531"/>
      <c r="V2944" s="1531"/>
      <c r="W2944" s="1531"/>
      <c r="X2944" s="1531"/>
      <c r="Y2944" s="1531"/>
      <c r="Z2944" s="1531"/>
      <c r="AA2944" s="1531"/>
      <c r="AB2944" s="1531"/>
      <c r="AC2944" s="1531"/>
      <c r="AD2944" s="1531"/>
      <c r="AE2944" s="1531"/>
      <c r="AF2944" s="1531"/>
      <c r="AG2944" s="1531"/>
      <c r="AH2944" s="1531"/>
      <c r="AI2944" s="1531"/>
      <c r="AJ2944" s="1531"/>
      <c r="AK2944" s="1531"/>
      <c r="AL2944" s="1531"/>
      <c r="AM2944" s="1531"/>
      <c r="AN2944" s="1531"/>
      <c r="AO2944" s="1531"/>
      <c r="AP2944" s="1531"/>
      <c r="AQ2944" s="1531"/>
      <c r="AR2944" s="1531"/>
      <c r="AS2944" s="1531"/>
    </row>
    <row r="2945" spans="1:45" s="1136" customFormat="1" ht="15.75" x14ac:dyDescent="0.25">
      <c r="A2945" s="1420" t="s">
        <v>1753</v>
      </c>
      <c r="B2945" s="1439" t="e">
        <f>(B245^2*((B2855-B2852)/B261+1)/(B2855-B2852))*B2850</f>
        <v>#VALUE!</v>
      </c>
      <c r="C2945" s="1562"/>
      <c r="D2945" s="1521"/>
      <c r="E2945" s="1521"/>
      <c r="F2945" s="1521"/>
      <c r="G2945" s="1521"/>
      <c r="H2945" s="1531"/>
      <c r="I2945" s="1531"/>
      <c r="J2945" s="1531"/>
      <c r="K2945" s="1531"/>
      <c r="L2945" s="1531"/>
      <c r="M2945" s="1531"/>
      <c r="N2945" s="1531"/>
      <c r="O2945" s="1531"/>
      <c r="P2945" s="1531"/>
      <c r="Q2945" s="1531"/>
      <c r="R2945" s="1531"/>
      <c r="S2945" s="1531"/>
      <c r="T2945" s="1531"/>
      <c r="U2945" s="1531"/>
      <c r="V2945" s="1531"/>
      <c r="W2945" s="1531"/>
      <c r="X2945" s="1531"/>
      <c r="Y2945" s="1531"/>
      <c r="Z2945" s="1531"/>
      <c r="AA2945" s="1531"/>
      <c r="AB2945" s="1531"/>
      <c r="AC2945" s="1531"/>
      <c r="AD2945" s="1531"/>
      <c r="AE2945" s="1531"/>
      <c r="AF2945" s="1531"/>
      <c r="AG2945" s="1531"/>
      <c r="AH2945" s="1531"/>
      <c r="AI2945" s="1531"/>
      <c r="AJ2945" s="1531"/>
      <c r="AK2945" s="1531"/>
      <c r="AL2945" s="1531"/>
      <c r="AM2945" s="1531"/>
      <c r="AN2945" s="1531"/>
      <c r="AO2945" s="1531"/>
      <c r="AP2945" s="1531"/>
      <c r="AQ2945" s="1531"/>
      <c r="AR2945" s="1531"/>
      <c r="AS2945" s="1531"/>
    </row>
    <row r="2946" spans="1:45" s="1136" customFormat="1" ht="15.75" x14ac:dyDescent="0.25">
      <c r="A2946" s="1420" t="s">
        <v>3390</v>
      </c>
      <c r="B2946" s="1424" t="e">
        <f>B2886</f>
        <v>#VALUE!</v>
      </c>
      <c r="C2946" s="1606"/>
      <c r="D2946" s="1521"/>
      <c r="E2946" s="1521"/>
      <c r="F2946" s="1521"/>
      <c r="G2946" s="1521"/>
      <c r="H2946" s="1531"/>
      <c r="I2946" s="1531"/>
      <c r="J2946" s="1531"/>
      <c r="K2946" s="1531"/>
      <c r="L2946" s="1531"/>
      <c r="M2946" s="1531"/>
      <c r="N2946" s="1531"/>
      <c r="O2946" s="1531"/>
      <c r="P2946" s="1531"/>
      <c r="Q2946" s="1531"/>
      <c r="R2946" s="1531"/>
      <c r="S2946" s="1531"/>
      <c r="T2946" s="1531"/>
      <c r="U2946" s="1531"/>
      <c r="V2946" s="1531"/>
      <c r="W2946" s="1531"/>
      <c r="X2946" s="1531"/>
      <c r="Y2946" s="1531"/>
      <c r="Z2946" s="1531"/>
      <c r="AA2946" s="1531"/>
      <c r="AB2946" s="1531"/>
      <c r="AC2946" s="1531"/>
      <c r="AD2946" s="1531"/>
      <c r="AE2946" s="1531"/>
      <c r="AF2946" s="1531"/>
      <c r="AG2946" s="1531"/>
      <c r="AH2946" s="1531"/>
      <c r="AI2946" s="1531"/>
      <c r="AJ2946" s="1531"/>
      <c r="AK2946" s="1531"/>
      <c r="AL2946" s="1531"/>
      <c r="AM2946" s="1531"/>
      <c r="AN2946" s="1531"/>
      <c r="AO2946" s="1531"/>
      <c r="AP2946" s="1531"/>
      <c r="AQ2946" s="1531"/>
      <c r="AR2946" s="1531"/>
      <c r="AS2946" s="1531"/>
    </row>
    <row r="2947" spans="1:45" s="1136" customFormat="1" ht="15.75" x14ac:dyDescent="0.25">
      <c r="A2947" s="1420" t="s">
        <v>3391</v>
      </c>
      <c r="B2947" s="1439"/>
      <c r="C2947" s="1562"/>
      <c r="D2947" s="1617"/>
      <c r="E2947" s="1617"/>
      <c r="F2947" s="1617"/>
      <c r="G2947" s="1617"/>
      <c r="H2947" s="1531"/>
      <c r="I2947" s="1531"/>
      <c r="J2947" s="1531"/>
      <c r="K2947" s="1531"/>
      <c r="L2947" s="1531"/>
      <c r="M2947" s="1531"/>
      <c r="N2947" s="1531"/>
      <c r="O2947" s="1531"/>
      <c r="P2947" s="1531"/>
      <c r="Q2947" s="1531"/>
      <c r="R2947" s="1531"/>
      <c r="S2947" s="1531"/>
      <c r="T2947" s="1531"/>
      <c r="U2947" s="1531"/>
      <c r="V2947" s="1531"/>
      <c r="W2947" s="1531"/>
      <c r="X2947" s="1531"/>
      <c r="Y2947" s="1531"/>
      <c r="Z2947" s="1531"/>
      <c r="AA2947" s="1531"/>
      <c r="AB2947" s="1531"/>
      <c r="AC2947" s="1531"/>
      <c r="AD2947" s="1531"/>
      <c r="AE2947" s="1531"/>
      <c r="AF2947" s="1531"/>
      <c r="AG2947" s="1531"/>
      <c r="AH2947" s="1531"/>
      <c r="AI2947" s="1531"/>
      <c r="AJ2947" s="1531"/>
      <c r="AK2947" s="1531"/>
      <c r="AL2947" s="1531"/>
      <c r="AM2947" s="1531"/>
      <c r="AN2947" s="1531"/>
      <c r="AO2947" s="1531"/>
      <c r="AP2947" s="1531"/>
      <c r="AQ2947" s="1531"/>
      <c r="AR2947" s="1531"/>
      <c r="AS2947" s="1531"/>
    </row>
    <row r="2948" spans="1:45" s="1136" customFormat="1" ht="15.75" x14ac:dyDescent="0.25">
      <c r="A2948" s="1420" t="s">
        <v>392</v>
      </c>
      <c r="B2948" s="1443">
        <f>B2888</f>
        <v>1</v>
      </c>
      <c r="C2948" s="1521"/>
      <c r="D2948" s="1521"/>
      <c r="E2948" s="1521"/>
      <c r="F2948" s="1521"/>
      <c r="G2948" s="1521"/>
      <c r="H2948" s="1531"/>
      <c r="I2948" s="1531"/>
      <c r="J2948" s="1531"/>
      <c r="K2948" s="1531"/>
      <c r="L2948" s="1531"/>
      <c r="M2948" s="1531"/>
      <c r="N2948" s="1531"/>
      <c r="O2948" s="1531"/>
      <c r="P2948" s="1531"/>
      <c r="Q2948" s="1531"/>
      <c r="R2948" s="1531"/>
      <c r="S2948" s="1531"/>
      <c r="T2948" s="1531"/>
      <c r="U2948" s="1531"/>
      <c r="V2948" s="1531"/>
      <c r="W2948" s="1531"/>
      <c r="X2948" s="1531"/>
      <c r="Y2948" s="1531"/>
      <c r="Z2948" s="1531"/>
      <c r="AA2948" s="1531"/>
      <c r="AB2948" s="1531"/>
      <c r="AC2948" s="1531"/>
      <c r="AD2948" s="1531"/>
      <c r="AE2948" s="1531"/>
      <c r="AF2948" s="1531"/>
      <c r="AG2948" s="1531"/>
      <c r="AH2948" s="1531"/>
      <c r="AI2948" s="1531"/>
      <c r="AJ2948" s="1531"/>
      <c r="AK2948" s="1531"/>
      <c r="AL2948" s="1531"/>
      <c r="AM2948" s="1531"/>
      <c r="AN2948" s="1531"/>
      <c r="AO2948" s="1531"/>
      <c r="AP2948" s="1531"/>
      <c r="AQ2948" s="1531"/>
      <c r="AR2948" s="1531"/>
      <c r="AS2948" s="1531"/>
    </row>
    <row r="2949" spans="1:45" s="1136" customFormat="1" ht="15.75" x14ac:dyDescent="0.25">
      <c r="A2949" s="1420" t="s">
        <v>391</v>
      </c>
      <c r="B2949" s="1443">
        <f>B2889</f>
        <v>0.9</v>
      </c>
      <c r="C2949" s="1521"/>
      <c r="D2949" s="1562"/>
      <c r="E2949" s="1562"/>
      <c r="F2949" s="1562"/>
      <c r="G2949" s="1562"/>
      <c r="H2949" s="1531"/>
      <c r="I2949" s="1531"/>
      <c r="J2949" s="1531"/>
      <c r="K2949" s="1531"/>
      <c r="L2949" s="1531"/>
      <c r="M2949" s="1531"/>
      <c r="N2949" s="1531"/>
      <c r="O2949" s="1531"/>
      <c r="P2949" s="1531"/>
      <c r="Q2949" s="1531"/>
      <c r="R2949" s="1531"/>
      <c r="S2949" s="1531"/>
      <c r="T2949" s="1531"/>
      <c r="U2949" s="1531"/>
      <c r="V2949" s="1531"/>
      <c r="W2949" s="1531"/>
      <c r="X2949" s="1531"/>
      <c r="Y2949" s="1531"/>
      <c r="Z2949" s="1531"/>
      <c r="AA2949" s="1531"/>
      <c r="AB2949" s="1531"/>
      <c r="AC2949" s="1531"/>
      <c r="AD2949" s="1531"/>
      <c r="AE2949" s="1531"/>
      <c r="AF2949" s="1531"/>
      <c r="AG2949" s="1531"/>
      <c r="AH2949" s="1531"/>
      <c r="AI2949" s="1531"/>
      <c r="AJ2949" s="1531"/>
      <c r="AK2949" s="1531"/>
      <c r="AL2949" s="1531"/>
      <c r="AM2949" s="1531"/>
      <c r="AN2949" s="1531"/>
      <c r="AO2949" s="1531"/>
      <c r="AP2949" s="1531"/>
      <c r="AQ2949" s="1531"/>
      <c r="AR2949" s="1531"/>
      <c r="AS2949" s="1531"/>
    </row>
    <row r="2950" spans="1:45" s="1136" customFormat="1" ht="31.5" x14ac:dyDescent="0.25">
      <c r="A2950" s="1435" t="s">
        <v>3213</v>
      </c>
      <c r="B2950" s="1451">
        <f>B2890</f>
        <v>0</v>
      </c>
      <c r="C2950" s="1434"/>
      <c r="D2950" s="1531"/>
      <c r="E2950" s="1531"/>
      <c r="F2950" s="1531"/>
      <c r="G2950" s="1531"/>
      <c r="H2950" s="1531"/>
      <c r="I2950" s="1531"/>
      <c r="J2950" s="1531"/>
      <c r="K2950" s="1531"/>
      <c r="L2950" s="1531"/>
      <c r="M2950" s="1531"/>
      <c r="N2950" s="1531"/>
      <c r="O2950" s="1531"/>
      <c r="P2950" s="1531"/>
      <c r="Q2950" s="1531"/>
      <c r="R2950" s="1531"/>
      <c r="S2950" s="1531"/>
      <c r="T2950" s="1531"/>
      <c r="U2950" s="1531"/>
      <c r="V2950" s="1531"/>
      <c r="W2950" s="1531"/>
      <c r="X2950" s="1531"/>
      <c r="Y2950" s="1531"/>
      <c r="Z2950" s="1531"/>
      <c r="AA2950" s="1531"/>
      <c r="AB2950" s="1531"/>
      <c r="AC2950" s="1531"/>
      <c r="AD2950" s="1531"/>
      <c r="AE2950" s="1531"/>
      <c r="AF2950" s="1531"/>
      <c r="AG2950" s="1531"/>
      <c r="AH2950" s="1531"/>
      <c r="AI2950" s="1531"/>
      <c r="AJ2950" s="1531"/>
      <c r="AK2950" s="1531"/>
      <c r="AL2950" s="1531"/>
      <c r="AM2950" s="1531"/>
      <c r="AN2950" s="1531"/>
      <c r="AO2950" s="1531"/>
      <c r="AP2950" s="1531"/>
      <c r="AQ2950" s="1531"/>
      <c r="AR2950" s="1531"/>
      <c r="AS2950" s="1531"/>
    </row>
    <row r="2951" spans="1:45" s="1136" customFormat="1" ht="15.75" x14ac:dyDescent="0.25">
      <c r="A2951" s="1420" t="s">
        <v>3393</v>
      </c>
      <c r="B2951" s="1443">
        <f>IF(B2950=0,1,1.2)</f>
        <v>1</v>
      </c>
      <c r="C2951" s="1521"/>
      <c r="D2951" s="1531"/>
      <c r="E2951" s="1531"/>
      <c r="F2951" s="1531"/>
      <c r="G2951" s="1531"/>
      <c r="H2951" s="1531"/>
      <c r="I2951" s="1531"/>
      <c r="J2951" s="1531"/>
      <c r="K2951" s="1531"/>
      <c r="L2951" s="1531"/>
      <c r="M2951" s="1531"/>
      <c r="N2951" s="1531"/>
      <c r="O2951" s="1531"/>
      <c r="P2951" s="1531"/>
      <c r="Q2951" s="1531"/>
      <c r="R2951" s="1531"/>
      <c r="S2951" s="1531"/>
      <c r="T2951" s="1531"/>
      <c r="U2951" s="1531"/>
      <c r="V2951" s="1531"/>
      <c r="W2951" s="1531"/>
      <c r="X2951" s="1531"/>
      <c r="Y2951" s="1531"/>
      <c r="Z2951" s="1531"/>
      <c r="AA2951" s="1531"/>
      <c r="AB2951" s="1531"/>
      <c r="AC2951" s="1531"/>
      <c r="AD2951" s="1531"/>
      <c r="AE2951" s="1531"/>
      <c r="AF2951" s="1531"/>
      <c r="AG2951" s="1531"/>
      <c r="AH2951" s="1531"/>
      <c r="AI2951" s="1531"/>
      <c r="AJ2951" s="1531"/>
      <c r="AK2951" s="1531"/>
      <c r="AL2951" s="1531"/>
      <c r="AM2951" s="1531"/>
      <c r="AN2951" s="1531"/>
      <c r="AO2951" s="1531"/>
      <c r="AP2951" s="1531"/>
      <c r="AQ2951" s="1531"/>
      <c r="AR2951" s="1531"/>
      <c r="AS2951" s="1531"/>
    </row>
    <row r="2952" spans="1:45" s="1136" customFormat="1" ht="47.25" x14ac:dyDescent="0.25">
      <c r="A2952" s="1435" t="s">
        <v>3214</v>
      </c>
      <c r="B2952" s="1451">
        <f>B2892</f>
        <v>1</v>
      </c>
      <c r="C2952" s="1434"/>
      <c r="D2952" s="1562"/>
      <c r="E2952" s="1562"/>
      <c r="F2952" s="1562"/>
      <c r="G2952" s="1562"/>
      <c r="H2952" s="1531"/>
      <c r="I2952" s="1531"/>
      <c r="J2952" s="1531"/>
      <c r="K2952" s="1531"/>
      <c r="L2952" s="1531"/>
      <c r="M2952" s="1531"/>
      <c r="N2952" s="1531"/>
      <c r="O2952" s="1531"/>
      <c r="P2952" s="1531"/>
      <c r="Q2952" s="1531"/>
      <c r="R2952" s="1531"/>
      <c r="S2952" s="1531"/>
      <c r="T2952" s="1531"/>
      <c r="U2952" s="1531"/>
      <c r="V2952" s="1531"/>
      <c r="W2952" s="1531"/>
      <c r="X2952" s="1531"/>
      <c r="Y2952" s="1531"/>
      <c r="Z2952" s="1531"/>
      <c r="AA2952" s="1531"/>
      <c r="AB2952" s="1531"/>
      <c r="AC2952" s="1531"/>
      <c r="AD2952" s="1531"/>
      <c r="AE2952" s="1531"/>
      <c r="AF2952" s="1531"/>
      <c r="AG2952" s="1531"/>
      <c r="AH2952" s="1531"/>
      <c r="AI2952" s="1531"/>
      <c r="AJ2952" s="1531"/>
      <c r="AK2952" s="1531"/>
      <c r="AL2952" s="1531"/>
      <c r="AM2952" s="1531"/>
      <c r="AN2952" s="1531"/>
      <c r="AO2952" s="1531"/>
      <c r="AP2952" s="1531"/>
      <c r="AQ2952" s="1531"/>
      <c r="AR2952" s="1531"/>
      <c r="AS2952" s="1531"/>
    </row>
    <row r="2953" spans="1:45" s="1136" customFormat="1" ht="15.75" x14ac:dyDescent="0.25">
      <c r="A2953" s="1420" t="s">
        <v>1893</v>
      </c>
      <c r="B2953" s="1443">
        <f>IF(B2952=0,1.05,1)</f>
        <v>1</v>
      </c>
      <c r="C2953" s="1521"/>
      <c r="D2953" s="1606"/>
      <c r="E2953" s="1606"/>
      <c r="F2953" s="1606"/>
      <c r="G2953" s="1606"/>
      <c r="H2953" s="1531"/>
      <c r="I2953" s="1531"/>
      <c r="J2953" s="1531"/>
      <c r="K2953" s="1531"/>
      <c r="L2953" s="1531"/>
      <c r="M2953" s="1531"/>
      <c r="N2953" s="1531"/>
      <c r="O2953" s="1531"/>
      <c r="P2953" s="1531"/>
      <c r="Q2953" s="1531"/>
      <c r="R2953" s="1531"/>
      <c r="S2953" s="1531"/>
      <c r="T2953" s="1531"/>
      <c r="U2953" s="1531"/>
      <c r="V2953" s="1531"/>
      <c r="W2953" s="1531"/>
      <c r="X2953" s="1531"/>
      <c r="Y2953" s="1531"/>
      <c r="Z2953" s="1531"/>
      <c r="AA2953" s="1531"/>
      <c r="AB2953" s="1531"/>
      <c r="AC2953" s="1531"/>
      <c r="AD2953" s="1531"/>
      <c r="AE2953" s="1531"/>
      <c r="AF2953" s="1531"/>
      <c r="AG2953" s="1531"/>
      <c r="AH2953" s="1531"/>
      <c r="AI2953" s="1531"/>
      <c r="AJ2953" s="1531"/>
      <c r="AK2953" s="1531"/>
      <c r="AL2953" s="1531"/>
      <c r="AM2953" s="1531"/>
      <c r="AN2953" s="1531"/>
      <c r="AO2953" s="1531"/>
      <c r="AP2953" s="1531"/>
      <c r="AQ2953" s="1531"/>
      <c r="AR2953" s="1531"/>
      <c r="AS2953" s="1531"/>
    </row>
    <row r="2954" spans="1:45" s="1136" customFormat="1" ht="15.75" x14ac:dyDescent="0.25">
      <c r="A2954" s="1420" t="s">
        <v>1894</v>
      </c>
      <c r="B2954" s="1443" t="e">
        <f>B2946*B2948*B2949*B2951*B2953*B2383</f>
        <v>#VALUE!</v>
      </c>
      <c r="C2954" s="1521"/>
      <c r="D2954" s="1531"/>
      <c r="E2954" s="1531"/>
      <c r="F2954" s="1531"/>
      <c r="G2954" s="1531"/>
      <c r="H2954" s="1531"/>
      <c r="I2954" s="1531"/>
      <c r="J2954" s="1531"/>
      <c r="K2954" s="1531"/>
      <c r="L2954" s="1531"/>
      <c r="M2954" s="1531"/>
      <c r="N2954" s="1531"/>
      <c r="O2954" s="1531"/>
      <c r="P2954" s="1531"/>
      <c r="Q2954" s="1531"/>
      <c r="R2954" s="1531"/>
      <c r="S2954" s="1531"/>
      <c r="T2954" s="1531"/>
      <c r="U2954" s="1531"/>
      <c r="V2954" s="1531"/>
      <c r="W2954" s="1531"/>
      <c r="X2954" s="1531"/>
      <c r="Y2954" s="1531"/>
      <c r="Z2954" s="1531"/>
      <c r="AA2954" s="1531"/>
      <c r="AB2954" s="1531"/>
      <c r="AC2954" s="1531"/>
      <c r="AD2954" s="1531"/>
      <c r="AE2954" s="1531"/>
      <c r="AF2954" s="1531"/>
      <c r="AG2954" s="1531"/>
      <c r="AH2954" s="1531"/>
      <c r="AI2954" s="1531"/>
      <c r="AJ2954" s="1531"/>
      <c r="AK2954" s="1531"/>
      <c r="AL2954" s="1531"/>
      <c r="AM2954" s="1531"/>
      <c r="AN2954" s="1531"/>
      <c r="AO2954" s="1531"/>
      <c r="AP2954" s="1531"/>
      <c r="AQ2954" s="1531"/>
      <c r="AR2954" s="1531"/>
      <c r="AS2954" s="1531"/>
    </row>
    <row r="2955" spans="1:45" s="1136" customFormat="1" ht="15.75" x14ac:dyDescent="0.25">
      <c r="A2955" s="1420" t="s">
        <v>429</v>
      </c>
      <c r="B2955" s="1439" t="e">
        <f>B2945/B2954</f>
        <v>#VALUE!</v>
      </c>
      <c r="C2955" s="1562"/>
      <c r="D2955" s="1521"/>
      <c r="E2955" s="1521"/>
      <c r="F2955" s="1521"/>
      <c r="G2955" s="1521"/>
      <c r="H2955" s="1531"/>
      <c r="I2955" s="1531"/>
      <c r="J2955" s="1531"/>
      <c r="K2955" s="1531"/>
      <c r="L2955" s="1531"/>
      <c r="M2955" s="1531"/>
      <c r="N2955" s="1531"/>
      <c r="O2955" s="1531"/>
      <c r="P2955" s="1531"/>
      <c r="Q2955" s="1531"/>
      <c r="R2955" s="1531"/>
      <c r="S2955" s="1531"/>
      <c r="T2955" s="1531"/>
      <c r="U2955" s="1531"/>
      <c r="V2955" s="1531"/>
      <c r="W2955" s="1531"/>
      <c r="X2955" s="1531"/>
      <c r="Y2955" s="1531"/>
      <c r="Z2955" s="1531"/>
      <c r="AA2955" s="1531"/>
      <c r="AB2955" s="1531"/>
      <c r="AC2955" s="1531"/>
      <c r="AD2955" s="1531"/>
      <c r="AE2955" s="1531"/>
      <c r="AF2955" s="1531"/>
      <c r="AG2955" s="1531"/>
      <c r="AH2955" s="1531"/>
      <c r="AI2955" s="1531"/>
      <c r="AJ2955" s="1531"/>
      <c r="AK2955" s="1531"/>
      <c r="AL2955" s="1531"/>
      <c r="AM2955" s="1531"/>
      <c r="AN2955" s="1531"/>
      <c r="AO2955" s="1531"/>
      <c r="AP2955" s="1531"/>
      <c r="AQ2955" s="1531"/>
      <c r="AR2955" s="1531"/>
      <c r="AS2955" s="1531"/>
    </row>
    <row r="2956" spans="1:45" s="1136" customFormat="1" ht="15.75" x14ac:dyDescent="0.25">
      <c r="A2956" s="1420"/>
      <c r="B2956" s="1439"/>
      <c r="C2956" s="1562"/>
      <c r="D2956" s="1521"/>
      <c r="E2956" s="1521"/>
      <c r="F2956" s="1521"/>
      <c r="G2956" s="1521"/>
      <c r="H2956" s="1531"/>
      <c r="I2956" s="1531"/>
      <c r="J2956" s="1531"/>
      <c r="K2956" s="1531"/>
      <c r="L2956" s="1531"/>
      <c r="M2956" s="1531"/>
      <c r="N2956" s="1531"/>
      <c r="O2956" s="1531"/>
      <c r="P2956" s="1531"/>
      <c r="Q2956" s="1531"/>
      <c r="R2956" s="1531"/>
      <c r="S2956" s="1531"/>
      <c r="T2956" s="1531"/>
      <c r="U2956" s="1531"/>
      <c r="V2956" s="1531"/>
      <c r="W2956" s="1531"/>
      <c r="X2956" s="1531"/>
      <c r="Y2956" s="1531"/>
      <c r="Z2956" s="1531"/>
      <c r="AA2956" s="1531"/>
      <c r="AB2956" s="1531"/>
      <c r="AC2956" s="1531"/>
      <c r="AD2956" s="1531"/>
      <c r="AE2956" s="1531"/>
      <c r="AF2956" s="1531"/>
      <c r="AG2956" s="1531"/>
      <c r="AH2956" s="1531"/>
      <c r="AI2956" s="1531"/>
      <c r="AJ2956" s="1531"/>
      <c r="AK2956" s="1531"/>
      <c r="AL2956" s="1531"/>
      <c r="AM2956" s="1531"/>
      <c r="AN2956" s="1531"/>
      <c r="AO2956" s="1531"/>
      <c r="AP2956" s="1531"/>
      <c r="AQ2956" s="1531"/>
      <c r="AR2956" s="1531"/>
      <c r="AS2956" s="1531"/>
    </row>
    <row r="2957" spans="1:45" s="1136" customFormat="1" ht="47.25" x14ac:dyDescent="0.25">
      <c r="A2957" s="1438" t="s">
        <v>531</v>
      </c>
      <c r="B2957" s="1450"/>
      <c r="C2957" s="1617"/>
      <c r="D2957" s="1434"/>
      <c r="E2957" s="1434"/>
      <c r="F2957" s="1434"/>
      <c r="G2957" s="1434"/>
      <c r="H2957" s="1531"/>
      <c r="I2957" s="1531"/>
      <c r="J2957" s="1531"/>
      <c r="K2957" s="1531"/>
      <c r="L2957" s="1531"/>
      <c r="M2957" s="1531"/>
      <c r="N2957" s="1531"/>
      <c r="O2957" s="1531"/>
      <c r="P2957" s="1531"/>
      <c r="Q2957" s="1531"/>
      <c r="R2957" s="1531"/>
      <c r="S2957" s="1531"/>
      <c r="T2957" s="1531"/>
      <c r="U2957" s="1531"/>
      <c r="V2957" s="1531"/>
      <c r="W2957" s="1531"/>
      <c r="X2957" s="1531"/>
      <c r="Y2957" s="1531"/>
      <c r="Z2957" s="1531"/>
      <c r="AA2957" s="1531"/>
      <c r="AB2957" s="1531"/>
      <c r="AC2957" s="1531"/>
      <c r="AD2957" s="1531"/>
      <c r="AE2957" s="1531"/>
      <c r="AF2957" s="1531"/>
      <c r="AG2957" s="1531"/>
      <c r="AH2957" s="1531"/>
      <c r="AI2957" s="1531"/>
      <c r="AJ2957" s="1531"/>
      <c r="AK2957" s="1531"/>
      <c r="AL2957" s="1531"/>
      <c r="AM2957" s="1531"/>
      <c r="AN2957" s="1531"/>
      <c r="AO2957" s="1531"/>
      <c r="AP2957" s="1531"/>
      <c r="AQ2957" s="1531"/>
      <c r="AR2957" s="1531"/>
      <c r="AS2957" s="1531"/>
    </row>
    <row r="2958" spans="1:45" s="1136" customFormat="1" ht="15.75" x14ac:dyDescent="0.25">
      <c r="A2958" s="1420" t="s">
        <v>424</v>
      </c>
      <c r="B2958" s="1439" t="e">
        <f>(B245^2*((B2855-B2852)/B261+1)/(B2855-B2852))*B2850</f>
        <v>#VALUE!</v>
      </c>
      <c r="C2958" s="1562"/>
      <c r="D2958" s="1521"/>
      <c r="E2958" s="1521"/>
      <c r="F2958" s="1521"/>
      <c r="G2958" s="1521"/>
      <c r="H2958" s="1531"/>
      <c r="I2958" s="1531"/>
      <c r="J2958" s="1531"/>
      <c r="K2958" s="1531"/>
      <c r="L2958" s="1531"/>
      <c r="M2958" s="1531"/>
      <c r="N2958" s="1531"/>
      <c r="O2958" s="1531"/>
      <c r="P2958" s="1531"/>
      <c r="Q2958" s="1531"/>
      <c r="R2958" s="1531"/>
      <c r="S2958" s="1531"/>
      <c r="T2958" s="1531"/>
      <c r="U2958" s="1531"/>
      <c r="V2958" s="1531"/>
      <c r="W2958" s="1531"/>
      <c r="X2958" s="1531"/>
      <c r="Y2958" s="1531"/>
      <c r="Z2958" s="1531"/>
      <c r="AA2958" s="1531"/>
      <c r="AB2958" s="1531"/>
      <c r="AC2958" s="1531"/>
      <c r="AD2958" s="1531"/>
      <c r="AE2958" s="1531"/>
      <c r="AF2958" s="1531"/>
      <c r="AG2958" s="1531"/>
      <c r="AH2958" s="1531"/>
      <c r="AI2958" s="1531"/>
      <c r="AJ2958" s="1531"/>
      <c r="AK2958" s="1531"/>
      <c r="AL2958" s="1531"/>
      <c r="AM2958" s="1531"/>
      <c r="AN2958" s="1531"/>
      <c r="AO2958" s="1531"/>
      <c r="AP2958" s="1531"/>
      <c r="AQ2958" s="1531"/>
      <c r="AR2958" s="1531"/>
      <c r="AS2958" s="1531"/>
    </row>
    <row r="2959" spans="1:45" s="1136" customFormat="1" ht="15.75" x14ac:dyDescent="0.25">
      <c r="A2959" s="1420" t="s">
        <v>1718</v>
      </c>
      <c r="B2959" s="1424">
        <f>INDEX($G$3631:$J$3643,B2961,B2962)</f>
        <v>53.8</v>
      </c>
      <c r="C2959" s="1606"/>
      <c r="D2959" s="1434"/>
      <c r="E2959" s="1434"/>
      <c r="F2959" s="1434"/>
      <c r="G2959" s="1434"/>
      <c r="H2959" s="1531"/>
      <c r="I2959" s="1531"/>
      <c r="J2959" s="1531"/>
      <c r="K2959" s="1531"/>
      <c r="L2959" s="1531"/>
      <c r="M2959" s="1531"/>
      <c r="N2959" s="1531"/>
      <c r="O2959" s="1531"/>
      <c r="P2959" s="1531"/>
      <c r="Q2959" s="1531"/>
      <c r="R2959" s="1531"/>
      <c r="S2959" s="1531"/>
      <c r="T2959" s="1531"/>
      <c r="U2959" s="1531"/>
      <c r="V2959" s="1531"/>
      <c r="W2959" s="1531"/>
      <c r="X2959" s="1531"/>
      <c r="Y2959" s="1531"/>
      <c r="Z2959" s="1531"/>
      <c r="AA2959" s="1531"/>
      <c r="AB2959" s="1531"/>
      <c r="AC2959" s="1531"/>
      <c r="AD2959" s="1531"/>
      <c r="AE2959" s="1531"/>
      <c r="AF2959" s="1531"/>
      <c r="AG2959" s="1531"/>
      <c r="AH2959" s="1531"/>
      <c r="AI2959" s="1531"/>
      <c r="AJ2959" s="1531"/>
      <c r="AK2959" s="1531"/>
      <c r="AL2959" s="1531"/>
      <c r="AM2959" s="1531"/>
      <c r="AN2959" s="1531"/>
      <c r="AO2959" s="1531"/>
      <c r="AP2959" s="1531"/>
      <c r="AQ2959" s="1531"/>
      <c r="AR2959" s="1531"/>
      <c r="AS2959" s="1531"/>
    </row>
    <row r="2960" spans="1:45" s="1136" customFormat="1" ht="15.75" x14ac:dyDescent="0.25">
      <c r="A2960" s="1435" t="s">
        <v>1719</v>
      </c>
      <c r="B2960" s="1439"/>
      <c r="C2960" s="1562"/>
      <c r="D2960" s="1521"/>
      <c r="E2960" s="1521"/>
      <c r="F2960" s="1521"/>
      <c r="G2960" s="1521"/>
      <c r="H2960" s="1531"/>
      <c r="I2960" s="1531"/>
      <c r="J2960" s="1531"/>
      <c r="K2960" s="1531"/>
      <c r="L2960" s="1531"/>
      <c r="M2960" s="1531"/>
      <c r="N2960" s="1531"/>
      <c r="O2960" s="1531"/>
      <c r="P2960" s="1531"/>
      <c r="Q2960" s="1531"/>
      <c r="R2960" s="1531"/>
      <c r="S2960" s="1531"/>
      <c r="T2960" s="1531"/>
      <c r="U2960" s="1531"/>
      <c r="V2960" s="1531"/>
      <c r="W2960" s="1531"/>
      <c r="X2960" s="1531"/>
      <c r="Y2960" s="1531"/>
      <c r="Z2960" s="1531"/>
      <c r="AA2960" s="1531"/>
      <c r="AB2960" s="1531"/>
      <c r="AC2960" s="1531"/>
      <c r="AD2960" s="1531"/>
      <c r="AE2960" s="1531"/>
      <c r="AF2960" s="1531"/>
      <c r="AG2960" s="1531"/>
      <c r="AH2960" s="1531"/>
      <c r="AI2960" s="1531"/>
      <c r="AJ2960" s="1531"/>
      <c r="AK2960" s="1531"/>
      <c r="AL2960" s="1531"/>
      <c r="AM2960" s="1531"/>
      <c r="AN2960" s="1531"/>
      <c r="AO2960" s="1531"/>
      <c r="AP2960" s="1531"/>
      <c r="AQ2960" s="1531"/>
      <c r="AR2960" s="1531"/>
      <c r="AS2960" s="1531"/>
    </row>
    <row r="2961" spans="1:45" s="1136" customFormat="1" ht="15.75" x14ac:dyDescent="0.25">
      <c r="A2961" s="1420" t="s">
        <v>1720</v>
      </c>
      <c r="B2961" s="1441">
        <f>B2901</f>
        <v>13</v>
      </c>
      <c r="C2961" s="1596"/>
      <c r="D2961" s="1521"/>
      <c r="E2961" s="1521"/>
      <c r="F2961" s="1521"/>
      <c r="G2961" s="1521"/>
      <c r="H2961" s="1531"/>
      <c r="I2961" s="1531"/>
      <c r="J2961" s="1531"/>
      <c r="K2961" s="1531"/>
      <c r="L2961" s="1531"/>
      <c r="M2961" s="1531"/>
      <c r="N2961" s="1531"/>
      <c r="O2961" s="1531"/>
      <c r="P2961" s="1531"/>
      <c r="Q2961" s="1531"/>
      <c r="R2961" s="1531"/>
      <c r="S2961" s="1531"/>
      <c r="T2961" s="1531"/>
      <c r="U2961" s="1531"/>
      <c r="V2961" s="1531"/>
      <c r="W2961" s="1531"/>
      <c r="X2961" s="1531"/>
      <c r="Y2961" s="1531"/>
      <c r="Z2961" s="1531"/>
      <c r="AA2961" s="1531"/>
      <c r="AB2961" s="1531"/>
      <c r="AC2961" s="1531"/>
      <c r="AD2961" s="1531"/>
      <c r="AE2961" s="1531"/>
      <c r="AF2961" s="1531"/>
      <c r="AG2961" s="1531"/>
      <c r="AH2961" s="1531"/>
      <c r="AI2961" s="1531"/>
      <c r="AJ2961" s="1531"/>
      <c r="AK2961" s="1531"/>
      <c r="AL2961" s="1531"/>
      <c r="AM2961" s="1531"/>
      <c r="AN2961" s="1531"/>
      <c r="AO2961" s="1531"/>
      <c r="AP2961" s="1531"/>
      <c r="AQ2961" s="1531"/>
      <c r="AR2961" s="1531"/>
      <c r="AS2961" s="1531"/>
    </row>
    <row r="2962" spans="1:45" s="1136" customFormat="1" ht="15.75" x14ac:dyDescent="0.25">
      <c r="A2962" s="1420" t="s">
        <v>1722</v>
      </c>
      <c r="B2962" s="1441">
        <f>B2903</f>
        <v>1</v>
      </c>
      <c r="C2962" s="1596"/>
      <c r="D2962" s="1562"/>
      <c r="E2962" s="1562"/>
      <c r="F2962" s="1562"/>
      <c r="G2962" s="1562"/>
      <c r="H2962" s="1531"/>
      <c r="I2962" s="1531"/>
      <c r="J2962" s="1531"/>
      <c r="K2962" s="1531"/>
      <c r="L2962" s="1531"/>
      <c r="M2962" s="1531"/>
      <c r="N2962" s="1531"/>
      <c r="O2962" s="1531"/>
      <c r="P2962" s="1531"/>
      <c r="Q2962" s="1531"/>
      <c r="R2962" s="1531"/>
      <c r="S2962" s="1531"/>
      <c r="T2962" s="1531"/>
      <c r="U2962" s="1531"/>
      <c r="V2962" s="1531"/>
      <c r="W2962" s="1531"/>
      <c r="X2962" s="1531"/>
      <c r="Y2962" s="1531"/>
      <c r="Z2962" s="1531"/>
      <c r="AA2962" s="1531"/>
      <c r="AB2962" s="1531"/>
      <c r="AC2962" s="1531"/>
      <c r="AD2962" s="1531"/>
      <c r="AE2962" s="1531"/>
      <c r="AF2962" s="1531"/>
      <c r="AG2962" s="1531"/>
      <c r="AH2962" s="1531"/>
      <c r="AI2962" s="1531"/>
      <c r="AJ2962" s="1531"/>
      <c r="AK2962" s="1531"/>
      <c r="AL2962" s="1531"/>
      <c r="AM2962" s="1531"/>
      <c r="AN2962" s="1531"/>
      <c r="AO2962" s="1531"/>
      <c r="AP2962" s="1531"/>
      <c r="AQ2962" s="1531"/>
      <c r="AR2962" s="1531"/>
      <c r="AS2962" s="1531"/>
    </row>
    <row r="2963" spans="1:45" s="1136" customFormat="1" ht="15.75" x14ac:dyDescent="0.25">
      <c r="A2963" s="1420" t="s">
        <v>1723</v>
      </c>
      <c r="B2963" s="1439"/>
      <c r="C2963" s="1562"/>
      <c r="D2963" s="1531"/>
      <c r="E2963" s="1531"/>
      <c r="F2963" s="1531"/>
      <c r="G2963" s="1531"/>
      <c r="H2963" s="1531"/>
      <c r="I2963" s="1531"/>
      <c r="J2963" s="1531"/>
      <c r="K2963" s="1531"/>
      <c r="L2963" s="1531"/>
      <c r="M2963" s="1531"/>
      <c r="N2963" s="1531"/>
      <c r="O2963" s="1531"/>
      <c r="P2963" s="1531"/>
      <c r="Q2963" s="1531"/>
      <c r="R2963" s="1531"/>
      <c r="S2963" s="1531"/>
      <c r="T2963" s="1531"/>
      <c r="U2963" s="1531"/>
      <c r="V2963" s="1531"/>
      <c r="W2963" s="1531"/>
      <c r="X2963" s="1531"/>
      <c r="Y2963" s="1531"/>
      <c r="Z2963" s="1531"/>
      <c r="AA2963" s="1531"/>
      <c r="AB2963" s="1531"/>
      <c r="AC2963" s="1531"/>
      <c r="AD2963" s="1531"/>
      <c r="AE2963" s="1531"/>
      <c r="AF2963" s="1531"/>
      <c r="AG2963" s="1531"/>
      <c r="AH2963" s="1531"/>
      <c r="AI2963" s="1531"/>
      <c r="AJ2963" s="1531"/>
      <c r="AK2963" s="1531"/>
      <c r="AL2963" s="1531"/>
      <c r="AM2963" s="1531"/>
      <c r="AN2963" s="1531"/>
      <c r="AO2963" s="1531"/>
      <c r="AP2963" s="1531"/>
      <c r="AQ2963" s="1531"/>
      <c r="AR2963" s="1531"/>
      <c r="AS2963" s="1531"/>
    </row>
    <row r="2964" spans="1:45" s="1136" customFormat="1" ht="31.5" x14ac:dyDescent="0.25">
      <c r="A2964" s="1435" t="s">
        <v>1724</v>
      </c>
      <c r="B2964" s="1451">
        <f>B2905</f>
        <v>0</v>
      </c>
      <c r="C2964" s="1434"/>
      <c r="D2964" s="1531"/>
      <c r="E2964" s="1531"/>
      <c r="F2964" s="1531"/>
      <c r="G2964" s="1531"/>
      <c r="H2964" s="1531"/>
      <c r="I2964" s="1531"/>
      <c r="J2964" s="1531"/>
      <c r="K2964" s="1531"/>
      <c r="L2964" s="1531"/>
      <c r="M2964" s="1531"/>
      <c r="N2964" s="1531"/>
      <c r="O2964" s="1531"/>
      <c r="P2964" s="1531"/>
      <c r="Q2964" s="1531"/>
      <c r="R2964" s="1531"/>
      <c r="S2964" s="1531"/>
      <c r="T2964" s="1531"/>
      <c r="U2964" s="1531"/>
      <c r="V2964" s="1531"/>
      <c r="W2964" s="1531"/>
      <c r="X2964" s="1531"/>
      <c r="Y2964" s="1531"/>
      <c r="Z2964" s="1531"/>
      <c r="AA2964" s="1531"/>
      <c r="AB2964" s="1531"/>
      <c r="AC2964" s="1531"/>
      <c r="AD2964" s="1531"/>
      <c r="AE2964" s="1531"/>
      <c r="AF2964" s="1531"/>
      <c r="AG2964" s="1531"/>
      <c r="AH2964" s="1531"/>
      <c r="AI2964" s="1531"/>
      <c r="AJ2964" s="1531"/>
      <c r="AK2964" s="1531"/>
      <c r="AL2964" s="1531"/>
      <c r="AM2964" s="1531"/>
      <c r="AN2964" s="1531"/>
      <c r="AO2964" s="1531"/>
      <c r="AP2964" s="1531"/>
      <c r="AQ2964" s="1531"/>
      <c r="AR2964" s="1531"/>
      <c r="AS2964" s="1531"/>
    </row>
    <row r="2965" spans="1:45" s="1136" customFormat="1" ht="15.75" x14ac:dyDescent="0.25">
      <c r="A2965" s="1420" t="s">
        <v>1725</v>
      </c>
      <c r="B2965" s="1443">
        <f>IF(B2964=1,1.15,1)</f>
        <v>1</v>
      </c>
      <c r="C2965" s="1521"/>
      <c r="D2965" s="1562"/>
      <c r="E2965" s="1562"/>
      <c r="F2965" s="1562"/>
      <c r="G2965" s="1562"/>
      <c r="H2965" s="1531"/>
      <c r="I2965" s="1531"/>
      <c r="J2965" s="1531"/>
      <c r="K2965" s="1531"/>
      <c r="L2965" s="1531"/>
      <c r="M2965" s="1531"/>
      <c r="N2965" s="1531"/>
      <c r="O2965" s="1531"/>
      <c r="P2965" s="1531"/>
      <c r="Q2965" s="1531"/>
      <c r="R2965" s="1531"/>
      <c r="S2965" s="1531"/>
      <c r="T2965" s="1531"/>
      <c r="U2965" s="1531"/>
      <c r="V2965" s="1531"/>
      <c r="W2965" s="1531"/>
      <c r="X2965" s="1531"/>
      <c r="Y2965" s="1531"/>
      <c r="Z2965" s="1531"/>
      <c r="AA2965" s="1531"/>
      <c r="AB2965" s="1531"/>
      <c r="AC2965" s="1531"/>
      <c r="AD2965" s="1531"/>
      <c r="AE2965" s="1531"/>
      <c r="AF2965" s="1531"/>
      <c r="AG2965" s="1531"/>
      <c r="AH2965" s="1531"/>
      <c r="AI2965" s="1531"/>
      <c r="AJ2965" s="1531"/>
      <c r="AK2965" s="1531"/>
      <c r="AL2965" s="1531"/>
      <c r="AM2965" s="1531"/>
      <c r="AN2965" s="1531"/>
      <c r="AO2965" s="1531"/>
      <c r="AP2965" s="1531"/>
      <c r="AQ2965" s="1531"/>
      <c r="AR2965" s="1531"/>
      <c r="AS2965" s="1531"/>
    </row>
    <row r="2966" spans="1:45" s="1136" customFormat="1" ht="31.5" x14ac:dyDescent="0.25">
      <c r="A2966" s="1435" t="s">
        <v>5573</v>
      </c>
      <c r="B2966" s="1451">
        <f>B2907</f>
        <v>0</v>
      </c>
      <c r="C2966" s="1434"/>
      <c r="D2966" s="1606"/>
      <c r="E2966" s="1606"/>
      <c r="F2966" s="1606"/>
      <c r="G2966" s="1606"/>
      <c r="H2966" s="1531"/>
      <c r="I2966" s="1531"/>
      <c r="J2966" s="1531"/>
      <c r="K2966" s="1531"/>
      <c r="L2966" s="1531"/>
      <c r="M2966" s="1531"/>
      <c r="N2966" s="1531"/>
      <c r="O2966" s="1531"/>
      <c r="P2966" s="1531"/>
      <c r="Q2966" s="1531"/>
      <c r="R2966" s="1531"/>
      <c r="S2966" s="1531"/>
      <c r="T2966" s="1531"/>
      <c r="U2966" s="1531"/>
      <c r="V2966" s="1531"/>
      <c r="W2966" s="1531"/>
      <c r="X2966" s="1531"/>
      <c r="Y2966" s="1531"/>
      <c r="Z2966" s="1531"/>
      <c r="AA2966" s="1531"/>
      <c r="AB2966" s="1531"/>
      <c r="AC2966" s="1531"/>
      <c r="AD2966" s="1531"/>
      <c r="AE2966" s="1531"/>
      <c r="AF2966" s="1531"/>
      <c r="AG2966" s="1531"/>
      <c r="AH2966" s="1531"/>
      <c r="AI2966" s="1531"/>
      <c r="AJ2966" s="1531"/>
      <c r="AK2966" s="1531"/>
      <c r="AL2966" s="1531"/>
      <c r="AM2966" s="1531"/>
      <c r="AN2966" s="1531"/>
      <c r="AO2966" s="1531"/>
      <c r="AP2966" s="1531"/>
      <c r="AQ2966" s="1531"/>
      <c r="AR2966" s="1531"/>
      <c r="AS2966" s="1531"/>
    </row>
    <row r="2967" spans="1:45" s="1136" customFormat="1" ht="15.75" x14ac:dyDescent="0.25">
      <c r="A2967" s="1420" t="s">
        <v>2636</v>
      </c>
      <c r="B2967" s="1443">
        <f>IF(B2966=1,1.15,1)</f>
        <v>1</v>
      </c>
      <c r="C2967" s="1521"/>
      <c r="D2967" s="1531"/>
      <c r="E2967" s="1531"/>
      <c r="F2967" s="1531"/>
      <c r="G2967" s="1531"/>
      <c r="H2967" s="1531"/>
      <c r="I2967" s="1531"/>
      <c r="J2967" s="1531"/>
      <c r="K2967" s="1531"/>
      <c r="L2967" s="1531"/>
      <c r="M2967" s="1531"/>
      <c r="N2967" s="1531"/>
      <c r="O2967" s="1531"/>
      <c r="P2967" s="1531"/>
      <c r="Q2967" s="1531"/>
      <c r="R2967" s="1531"/>
      <c r="S2967" s="1531"/>
      <c r="T2967" s="1531"/>
      <c r="U2967" s="1531"/>
      <c r="V2967" s="1531"/>
      <c r="W2967" s="1531"/>
      <c r="X2967" s="1531"/>
      <c r="Y2967" s="1531"/>
      <c r="Z2967" s="1531"/>
      <c r="AA2967" s="1531"/>
      <c r="AB2967" s="1531"/>
      <c r="AC2967" s="1531"/>
      <c r="AD2967" s="1531"/>
      <c r="AE2967" s="1531"/>
      <c r="AF2967" s="1531"/>
      <c r="AG2967" s="1531"/>
      <c r="AH2967" s="1531"/>
      <c r="AI2967" s="1531"/>
      <c r="AJ2967" s="1531"/>
      <c r="AK2967" s="1531"/>
      <c r="AL2967" s="1531"/>
      <c r="AM2967" s="1531"/>
      <c r="AN2967" s="1531"/>
      <c r="AO2967" s="1531"/>
      <c r="AP2967" s="1531"/>
      <c r="AQ2967" s="1531"/>
      <c r="AR2967" s="1531"/>
      <c r="AS2967" s="1531"/>
    </row>
    <row r="2968" spans="1:45" s="1136" customFormat="1" ht="47.25" x14ac:dyDescent="0.25">
      <c r="A2968" s="1420" t="s">
        <v>2637</v>
      </c>
      <c r="B2968" s="1443">
        <f>IF(B275&lt;2,0.85,1)</f>
        <v>1</v>
      </c>
      <c r="C2968" s="1521"/>
      <c r="D2968" s="1596"/>
      <c r="E2968" s="1596"/>
      <c r="F2968" s="1596"/>
      <c r="G2968" s="1596"/>
      <c r="H2968" s="1531"/>
      <c r="I2968" s="1531"/>
      <c r="J2968" s="1531"/>
      <c r="K2968" s="1531"/>
      <c r="L2968" s="1531"/>
      <c r="M2968" s="1531"/>
      <c r="N2968" s="1531"/>
      <c r="O2968" s="1531"/>
      <c r="P2968" s="1531"/>
      <c r="Q2968" s="1531"/>
      <c r="R2968" s="1531"/>
      <c r="S2968" s="1531"/>
      <c r="T2968" s="1531"/>
      <c r="U2968" s="1531"/>
      <c r="V2968" s="1531"/>
      <c r="W2968" s="1531"/>
      <c r="X2968" s="1531"/>
      <c r="Y2968" s="1531"/>
      <c r="Z2968" s="1531"/>
      <c r="AA2968" s="1531"/>
      <c r="AB2968" s="1531"/>
      <c r="AC2968" s="1531"/>
      <c r="AD2968" s="1531"/>
      <c r="AE2968" s="1531"/>
      <c r="AF2968" s="1531"/>
      <c r="AG2968" s="1531"/>
      <c r="AH2968" s="1531"/>
      <c r="AI2968" s="1531"/>
      <c r="AJ2968" s="1531"/>
      <c r="AK2968" s="1531"/>
      <c r="AL2968" s="1531"/>
      <c r="AM2968" s="1531"/>
      <c r="AN2968" s="1531"/>
      <c r="AO2968" s="1531"/>
      <c r="AP2968" s="1531"/>
      <c r="AQ2968" s="1531"/>
      <c r="AR2968" s="1531"/>
      <c r="AS2968" s="1531"/>
    </row>
    <row r="2969" spans="1:45" s="1136" customFormat="1" ht="15.75" x14ac:dyDescent="0.25">
      <c r="A2969" s="1420" t="s">
        <v>532</v>
      </c>
      <c r="B2969" s="1450">
        <v>0.7</v>
      </c>
      <c r="C2969" s="1617"/>
      <c r="D2969" s="1596"/>
      <c r="E2969" s="1596"/>
      <c r="F2969" s="1596"/>
      <c r="G2969" s="1596"/>
      <c r="H2969" s="1531"/>
      <c r="I2969" s="1531"/>
      <c r="J2969" s="1531"/>
      <c r="K2969" s="1531"/>
      <c r="L2969" s="1531"/>
      <c r="M2969" s="1531"/>
      <c r="N2969" s="1531"/>
      <c r="O2969" s="1531"/>
      <c r="P2969" s="1531"/>
      <c r="Q2969" s="1531"/>
      <c r="R2969" s="1531"/>
      <c r="S2969" s="1531"/>
      <c r="T2969" s="1531"/>
      <c r="U2969" s="1531"/>
      <c r="V2969" s="1531"/>
      <c r="W2969" s="1531"/>
      <c r="X2969" s="1531"/>
      <c r="Y2969" s="1531"/>
      <c r="Z2969" s="1531"/>
      <c r="AA2969" s="1531"/>
      <c r="AB2969" s="1531"/>
      <c r="AC2969" s="1531"/>
      <c r="AD2969" s="1531"/>
      <c r="AE2969" s="1531"/>
      <c r="AF2969" s="1531"/>
      <c r="AG2969" s="1531"/>
      <c r="AH2969" s="1531"/>
      <c r="AI2969" s="1531"/>
      <c r="AJ2969" s="1531"/>
      <c r="AK2969" s="1531"/>
      <c r="AL2969" s="1531"/>
      <c r="AM2969" s="1531"/>
      <c r="AN2969" s="1531"/>
      <c r="AO2969" s="1531"/>
      <c r="AP2969" s="1531"/>
      <c r="AQ2969" s="1531"/>
      <c r="AR2969" s="1531"/>
      <c r="AS2969" s="1531"/>
    </row>
    <row r="2970" spans="1:45" s="1136" customFormat="1" ht="15.75" x14ac:dyDescent="0.25">
      <c r="A2970" s="1420" t="s">
        <v>3412</v>
      </c>
      <c r="B2970" s="1443" t="e">
        <f>B2959*B2965*B2967*B2968*B2969*B2383</f>
        <v>#VALUE!</v>
      </c>
      <c r="C2970" s="1521"/>
      <c r="D2970" s="1531"/>
      <c r="E2970" s="1531"/>
      <c r="F2970" s="1531"/>
      <c r="G2970" s="1531"/>
      <c r="H2970" s="1531"/>
      <c r="I2970" s="1531"/>
      <c r="J2970" s="1531"/>
      <c r="K2970" s="1531"/>
      <c r="L2970" s="1531"/>
      <c r="M2970" s="1531"/>
      <c r="N2970" s="1531"/>
      <c r="O2970" s="1531"/>
      <c r="P2970" s="1531"/>
      <c r="Q2970" s="1531"/>
      <c r="R2970" s="1531"/>
      <c r="S2970" s="1531"/>
      <c r="T2970" s="1531"/>
      <c r="U2970" s="1531"/>
      <c r="V2970" s="1531"/>
      <c r="W2970" s="1531"/>
      <c r="X2970" s="1531"/>
      <c r="Y2970" s="1531"/>
      <c r="Z2970" s="1531"/>
      <c r="AA2970" s="1531"/>
      <c r="AB2970" s="1531"/>
      <c r="AC2970" s="1531"/>
      <c r="AD2970" s="1531"/>
      <c r="AE2970" s="1531"/>
      <c r="AF2970" s="1531"/>
      <c r="AG2970" s="1531"/>
      <c r="AH2970" s="1531"/>
      <c r="AI2970" s="1531"/>
      <c r="AJ2970" s="1531"/>
      <c r="AK2970" s="1531"/>
      <c r="AL2970" s="1531"/>
      <c r="AM2970" s="1531"/>
      <c r="AN2970" s="1531"/>
      <c r="AO2970" s="1531"/>
      <c r="AP2970" s="1531"/>
      <c r="AQ2970" s="1531"/>
      <c r="AR2970" s="1531"/>
      <c r="AS2970" s="1531"/>
    </row>
    <row r="2971" spans="1:45" s="1136" customFormat="1" ht="15.75" x14ac:dyDescent="0.25">
      <c r="A2971" s="1420" t="s">
        <v>429</v>
      </c>
      <c r="B2971" s="1439" t="e">
        <f>B2958/B2970</f>
        <v>#VALUE!</v>
      </c>
      <c r="C2971" s="1562"/>
      <c r="D2971" s="1434"/>
      <c r="E2971" s="1434"/>
      <c r="F2971" s="1434"/>
      <c r="G2971" s="1434"/>
      <c r="H2971" s="1531"/>
      <c r="I2971" s="1531"/>
      <c r="J2971" s="1531"/>
      <c r="K2971" s="1531"/>
      <c r="L2971" s="1531"/>
      <c r="M2971" s="1531"/>
      <c r="N2971" s="1531"/>
      <c r="O2971" s="1531"/>
      <c r="P2971" s="1531"/>
      <c r="Q2971" s="1531"/>
      <c r="R2971" s="1531"/>
      <c r="S2971" s="1531"/>
      <c r="T2971" s="1531"/>
      <c r="U2971" s="1531"/>
      <c r="V2971" s="1531"/>
      <c r="W2971" s="1531"/>
      <c r="X2971" s="1531"/>
      <c r="Y2971" s="1531"/>
      <c r="Z2971" s="1531"/>
      <c r="AA2971" s="1531"/>
      <c r="AB2971" s="1531"/>
      <c r="AC2971" s="1531"/>
      <c r="AD2971" s="1531"/>
      <c r="AE2971" s="1531"/>
      <c r="AF2971" s="1531"/>
      <c r="AG2971" s="1531"/>
      <c r="AH2971" s="1531"/>
      <c r="AI2971" s="1531"/>
      <c r="AJ2971" s="1531"/>
      <c r="AK2971" s="1531"/>
      <c r="AL2971" s="1531"/>
      <c r="AM2971" s="1531"/>
      <c r="AN2971" s="1531"/>
      <c r="AO2971" s="1531"/>
      <c r="AP2971" s="1531"/>
      <c r="AQ2971" s="1531"/>
      <c r="AR2971" s="1531"/>
      <c r="AS2971" s="1531"/>
    </row>
    <row r="2972" spans="1:45" s="1136" customFormat="1" ht="31.5" x14ac:dyDescent="0.25">
      <c r="A2972" s="1420" t="s">
        <v>533</v>
      </c>
      <c r="B2972" s="1439" t="e">
        <f>B2873+B2882+B2895+B2912+B2930+B2942+B2955+B2971</f>
        <v>#VALUE!</v>
      </c>
      <c r="C2972" s="1562"/>
      <c r="D2972" s="1521"/>
      <c r="E2972" s="1521"/>
      <c r="F2972" s="1521"/>
      <c r="G2972" s="1521"/>
      <c r="H2972" s="1531"/>
      <c r="I2972" s="1531"/>
      <c r="J2972" s="1531"/>
      <c r="K2972" s="1531"/>
      <c r="L2972" s="1531"/>
      <c r="M2972" s="1531"/>
      <c r="N2972" s="1531"/>
      <c r="O2972" s="1531"/>
      <c r="P2972" s="1531"/>
      <c r="Q2972" s="1531"/>
      <c r="R2972" s="1531"/>
      <c r="S2972" s="1531"/>
      <c r="T2972" s="1531"/>
      <c r="U2972" s="1531"/>
      <c r="V2972" s="1531"/>
      <c r="W2972" s="1531"/>
      <c r="X2972" s="1531"/>
      <c r="Y2972" s="1531"/>
      <c r="Z2972" s="1531"/>
      <c r="AA2972" s="1531"/>
      <c r="AB2972" s="1531"/>
      <c r="AC2972" s="1531"/>
      <c r="AD2972" s="1531"/>
      <c r="AE2972" s="1531"/>
      <c r="AF2972" s="1531"/>
      <c r="AG2972" s="1531"/>
      <c r="AH2972" s="1531"/>
      <c r="AI2972" s="1531"/>
      <c r="AJ2972" s="1531"/>
      <c r="AK2972" s="1531"/>
      <c r="AL2972" s="1531"/>
      <c r="AM2972" s="1531"/>
      <c r="AN2972" s="1531"/>
      <c r="AO2972" s="1531"/>
      <c r="AP2972" s="1531"/>
      <c r="AQ2972" s="1531"/>
      <c r="AR2972" s="1531"/>
      <c r="AS2972" s="1531"/>
    </row>
    <row r="2973" spans="1:45" s="1136" customFormat="1" ht="47.25" x14ac:dyDescent="0.25">
      <c r="A2973" s="1452" t="s">
        <v>534</v>
      </c>
      <c r="B2973" s="1453">
        <f>IF(B276=0,B2972,0)</f>
        <v>0</v>
      </c>
      <c r="C2973" s="1563"/>
      <c r="D2973" s="1434"/>
      <c r="E2973" s="1434"/>
      <c r="F2973" s="1434"/>
      <c r="G2973" s="1434"/>
      <c r="H2973" s="1531"/>
      <c r="I2973" s="1531"/>
      <c r="J2973" s="1531"/>
      <c r="K2973" s="1531"/>
      <c r="L2973" s="1531"/>
      <c r="M2973" s="1531"/>
      <c r="N2973" s="1531"/>
      <c r="O2973" s="1531"/>
      <c r="P2973" s="1531"/>
      <c r="Q2973" s="1531"/>
      <c r="R2973" s="1531"/>
      <c r="S2973" s="1531"/>
      <c r="T2973" s="1531"/>
      <c r="U2973" s="1531"/>
      <c r="V2973" s="1531"/>
      <c r="W2973" s="1531"/>
      <c r="X2973" s="1531"/>
      <c r="Y2973" s="1531"/>
      <c r="Z2973" s="1531"/>
      <c r="AA2973" s="1531"/>
      <c r="AB2973" s="1531"/>
      <c r="AC2973" s="1531"/>
      <c r="AD2973" s="1531"/>
      <c r="AE2973" s="1531"/>
      <c r="AF2973" s="1531"/>
      <c r="AG2973" s="1531"/>
      <c r="AH2973" s="1531"/>
      <c r="AI2973" s="1531"/>
      <c r="AJ2973" s="1531"/>
      <c r="AK2973" s="1531"/>
      <c r="AL2973" s="1531"/>
      <c r="AM2973" s="1531"/>
      <c r="AN2973" s="1531"/>
      <c r="AO2973" s="1531"/>
      <c r="AP2973" s="1531"/>
      <c r="AQ2973" s="1531"/>
      <c r="AR2973" s="1531"/>
      <c r="AS2973" s="1531"/>
    </row>
    <row r="2974" spans="1:45" s="1136" customFormat="1" ht="15.75" x14ac:dyDescent="0.25">
      <c r="A2974" s="1420"/>
      <c r="B2974" s="1439"/>
      <c r="C2974" s="1562"/>
      <c r="D2974" s="1521"/>
      <c r="E2974" s="1521"/>
      <c r="F2974" s="1521"/>
      <c r="G2974" s="1521"/>
      <c r="H2974" s="1531"/>
      <c r="I2974" s="1531"/>
      <c r="J2974" s="1531"/>
      <c r="K2974" s="1531"/>
      <c r="L2974" s="1531"/>
      <c r="M2974" s="1531"/>
      <c r="N2974" s="1531"/>
      <c r="O2974" s="1531"/>
      <c r="P2974" s="1531"/>
      <c r="Q2974" s="1531"/>
      <c r="R2974" s="1531"/>
      <c r="S2974" s="1531"/>
      <c r="T2974" s="1531"/>
      <c r="U2974" s="1531"/>
      <c r="V2974" s="1531"/>
      <c r="W2974" s="1531"/>
      <c r="X2974" s="1531"/>
      <c r="Y2974" s="1531"/>
      <c r="Z2974" s="1531"/>
      <c r="AA2974" s="1531"/>
      <c r="AB2974" s="1531"/>
      <c r="AC2974" s="1531"/>
      <c r="AD2974" s="1531"/>
      <c r="AE2974" s="1531"/>
      <c r="AF2974" s="1531"/>
      <c r="AG2974" s="1531"/>
      <c r="AH2974" s="1531"/>
      <c r="AI2974" s="1531"/>
      <c r="AJ2974" s="1531"/>
      <c r="AK2974" s="1531"/>
      <c r="AL2974" s="1531"/>
      <c r="AM2974" s="1531"/>
      <c r="AN2974" s="1531"/>
      <c r="AO2974" s="1531"/>
      <c r="AP2974" s="1531"/>
      <c r="AQ2974" s="1531"/>
      <c r="AR2974" s="1531"/>
      <c r="AS2974" s="1531"/>
    </row>
    <row r="2975" spans="1:45" s="1136" customFormat="1" ht="31.5" x14ac:dyDescent="0.25">
      <c r="A2975" s="1438" t="s">
        <v>535</v>
      </c>
      <c r="B2975" s="1443"/>
      <c r="C2975" s="1521"/>
      <c r="D2975" s="1521"/>
      <c r="E2975" s="1521"/>
      <c r="F2975" s="1521"/>
      <c r="G2975" s="1521"/>
      <c r="H2975" s="1531"/>
      <c r="I2975" s="1531"/>
      <c r="J2975" s="1531"/>
      <c r="K2975" s="1531"/>
      <c r="L2975" s="1531"/>
      <c r="M2975" s="1531"/>
      <c r="N2975" s="1531"/>
      <c r="O2975" s="1531"/>
      <c r="P2975" s="1531"/>
      <c r="Q2975" s="1531"/>
      <c r="R2975" s="1531"/>
      <c r="S2975" s="1531"/>
      <c r="T2975" s="1531"/>
      <c r="U2975" s="1531"/>
      <c r="V2975" s="1531"/>
      <c r="W2975" s="1531"/>
      <c r="X2975" s="1531"/>
      <c r="Y2975" s="1531"/>
      <c r="Z2975" s="1531"/>
      <c r="AA2975" s="1531"/>
      <c r="AB2975" s="1531"/>
      <c r="AC2975" s="1531"/>
      <c r="AD2975" s="1531"/>
      <c r="AE2975" s="1531"/>
      <c r="AF2975" s="1531"/>
      <c r="AG2975" s="1531"/>
      <c r="AH2975" s="1531"/>
      <c r="AI2975" s="1531"/>
      <c r="AJ2975" s="1531"/>
      <c r="AK2975" s="1531"/>
      <c r="AL2975" s="1531"/>
      <c r="AM2975" s="1531"/>
      <c r="AN2975" s="1531"/>
      <c r="AO2975" s="1531"/>
      <c r="AP2975" s="1531"/>
      <c r="AQ2975" s="1531"/>
      <c r="AR2975" s="1531"/>
      <c r="AS2975" s="1531"/>
    </row>
    <row r="2976" spans="1:45" s="1136" customFormat="1" ht="15.75" x14ac:dyDescent="0.25">
      <c r="A2976" s="1430" t="s">
        <v>424</v>
      </c>
      <c r="B2976" s="1439" t="e">
        <f>B245/B263</f>
        <v>#VALUE!</v>
      </c>
      <c r="C2976" s="1562"/>
      <c r="D2976" s="1617"/>
      <c r="E2976" s="1617"/>
      <c r="F2976" s="1617"/>
      <c r="G2976" s="1617"/>
      <c r="H2976" s="1531"/>
      <c r="I2976" s="1531"/>
      <c r="J2976" s="1531"/>
      <c r="K2976" s="1531"/>
      <c r="L2976" s="1531"/>
      <c r="M2976" s="1531"/>
      <c r="N2976" s="1531"/>
      <c r="O2976" s="1531"/>
      <c r="P2976" s="1531"/>
      <c r="Q2976" s="1531"/>
      <c r="R2976" s="1531"/>
      <c r="S2976" s="1531"/>
      <c r="T2976" s="1531"/>
      <c r="U2976" s="1531"/>
      <c r="V2976" s="1531"/>
      <c r="W2976" s="1531"/>
      <c r="X2976" s="1531"/>
      <c r="Y2976" s="1531"/>
      <c r="Z2976" s="1531"/>
      <c r="AA2976" s="1531"/>
      <c r="AB2976" s="1531"/>
      <c r="AC2976" s="1531"/>
      <c r="AD2976" s="1531"/>
      <c r="AE2976" s="1531"/>
      <c r="AF2976" s="1531"/>
      <c r="AG2976" s="1531"/>
      <c r="AH2976" s="1531"/>
      <c r="AI2976" s="1531"/>
      <c r="AJ2976" s="1531"/>
      <c r="AK2976" s="1531"/>
      <c r="AL2976" s="1531"/>
      <c r="AM2976" s="1531"/>
      <c r="AN2976" s="1531"/>
      <c r="AO2976" s="1531"/>
      <c r="AP2976" s="1531"/>
      <c r="AQ2976" s="1531"/>
      <c r="AR2976" s="1531"/>
      <c r="AS2976" s="1531"/>
    </row>
    <row r="2977" spans="1:45" s="1136" customFormat="1" ht="15.75" x14ac:dyDescent="0.25">
      <c r="A2977" s="1430" t="s">
        <v>425</v>
      </c>
      <c r="B2977" s="1424">
        <f>IF(B2978&lt;2.51,30.8,IF(B2978&lt;3.01,26.1,IF(B2978&lt;3.31,22.4,IF(B2978&lt;3.61,18.9,IF(B2978&lt;3.81,16.1,IF(B2978&lt;4.4,14,12.1))))))</f>
        <v>22.4</v>
      </c>
      <c r="C2977" s="1606"/>
      <c r="D2977" s="1521"/>
      <c r="E2977" s="1521"/>
      <c r="F2977" s="1521"/>
      <c r="G2977" s="1521"/>
      <c r="H2977" s="1531"/>
      <c r="I2977" s="1531"/>
      <c r="J2977" s="1531"/>
      <c r="K2977" s="1531"/>
      <c r="L2977" s="1531"/>
      <c r="M2977" s="1531"/>
      <c r="N2977" s="1531"/>
      <c r="O2977" s="1531"/>
      <c r="P2977" s="1531"/>
      <c r="Q2977" s="1531"/>
      <c r="R2977" s="1531"/>
      <c r="S2977" s="1531"/>
      <c r="T2977" s="1531"/>
      <c r="U2977" s="1531"/>
      <c r="V2977" s="1531"/>
      <c r="W2977" s="1531"/>
      <c r="X2977" s="1531"/>
      <c r="Y2977" s="1531"/>
      <c r="Z2977" s="1531"/>
      <c r="AA2977" s="1531"/>
      <c r="AB2977" s="1531"/>
      <c r="AC2977" s="1531"/>
      <c r="AD2977" s="1531"/>
      <c r="AE2977" s="1531"/>
      <c r="AF2977" s="1531"/>
      <c r="AG2977" s="1531"/>
      <c r="AH2977" s="1531"/>
      <c r="AI2977" s="1531"/>
      <c r="AJ2977" s="1531"/>
      <c r="AK2977" s="1531"/>
      <c r="AL2977" s="1531"/>
      <c r="AM2977" s="1531"/>
      <c r="AN2977" s="1531"/>
      <c r="AO2977" s="1531"/>
      <c r="AP2977" s="1531"/>
      <c r="AQ2977" s="1531"/>
      <c r="AR2977" s="1531"/>
      <c r="AS2977" s="1531"/>
    </row>
    <row r="2978" spans="1:45" s="1136" customFormat="1" ht="15.75" x14ac:dyDescent="0.25">
      <c r="A2978" s="1430" t="s">
        <v>536</v>
      </c>
      <c r="B2978" s="1449">
        <f>B2516</f>
        <v>3.3</v>
      </c>
      <c r="C2978" s="1437"/>
      <c r="D2978" s="1562"/>
      <c r="E2978" s="1562"/>
      <c r="F2978" s="1562"/>
      <c r="G2978" s="1562"/>
      <c r="H2978" s="1531"/>
      <c r="I2978" s="1531"/>
      <c r="J2978" s="1531"/>
      <c r="K2978" s="1531"/>
      <c r="L2978" s="1531"/>
      <c r="M2978" s="1531"/>
      <c r="N2978" s="1531"/>
      <c r="O2978" s="1531"/>
      <c r="P2978" s="1531"/>
      <c r="Q2978" s="1531"/>
      <c r="R2978" s="1531"/>
      <c r="S2978" s="1531"/>
      <c r="T2978" s="1531"/>
      <c r="U2978" s="1531"/>
      <c r="V2978" s="1531"/>
      <c r="W2978" s="1531"/>
      <c r="X2978" s="1531"/>
      <c r="Y2978" s="1531"/>
      <c r="Z2978" s="1531"/>
      <c r="AA2978" s="1531"/>
      <c r="AB2978" s="1531"/>
      <c r="AC2978" s="1531"/>
      <c r="AD2978" s="1531"/>
      <c r="AE2978" s="1531"/>
      <c r="AF2978" s="1531"/>
      <c r="AG2978" s="1531"/>
      <c r="AH2978" s="1531"/>
      <c r="AI2978" s="1531"/>
      <c r="AJ2978" s="1531"/>
      <c r="AK2978" s="1531"/>
      <c r="AL2978" s="1531"/>
      <c r="AM2978" s="1531"/>
      <c r="AN2978" s="1531"/>
      <c r="AO2978" s="1531"/>
      <c r="AP2978" s="1531"/>
      <c r="AQ2978" s="1531"/>
      <c r="AR2978" s="1531"/>
      <c r="AS2978" s="1531"/>
    </row>
    <row r="2979" spans="1:45" s="1136" customFormat="1" ht="15.75" x14ac:dyDescent="0.25">
      <c r="A2979" s="1420" t="s">
        <v>3412</v>
      </c>
      <c r="B2979" s="1433" t="e">
        <f>B2977*B2383</f>
        <v>#VALUE!</v>
      </c>
      <c r="C2979" s="1569"/>
      <c r="D2979" s="1562"/>
      <c r="E2979" s="1562"/>
      <c r="F2979" s="1562"/>
      <c r="G2979" s="1562"/>
      <c r="H2979" s="1531"/>
      <c r="I2979" s="1531"/>
      <c r="J2979" s="1531"/>
      <c r="K2979" s="1531"/>
      <c r="L2979" s="1531"/>
      <c r="M2979" s="1531"/>
      <c r="N2979" s="1531"/>
      <c r="O2979" s="1531"/>
      <c r="P2979" s="1531"/>
      <c r="Q2979" s="1531"/>
      <c r="R2979" s="1531"/>
      <c r="S2979" s="1531"/>
      <c r="T2979" s="1531"/>
      <c r="U2979" s="1531"/>
      <c r="V2979" s="1531"/>
      <c r="W2979" s="1531"/>
      <c r="X2979" s="1531"/>
      <c r="Y2979" s="1531"/>
      <c r="Z2979" s="1531"/>
      <c r="AA2979" s="1531"/>
      <c r="AB2979" s="1531"/>
      <c r="AC2979" s="1531"/>
      <c r="AD2979" s="1531"/>
      <c r="AE2979" s="1531"/>
      <c r="AF2979" s="1531"/>
      <c r="AG2979" s="1531"/>
      <c r="AH2979" s="1531"/>
      <c r="AI2979" s="1531"/>
      <c r="AJ2979" s="1531"/>
      <c r="AK2979" s="1531"/>
      <c r="AL2979" s="1531"/>
      <c r="AM2979" s="1531"/>
      <c r="AN2979" s="1531"/>
      <c r="AO2979" s="1531"/>
      <c r="AP2979" s="1531"/>
      <c r="AQ2979" s="1531"/>
      <c r="AR2979" s="1531"/>
      <c r="AS2979" s="1531"/>
    </row>
    <row r="2980" spans="1:45" s="1136" customFormat="1" ht="15.75" x14ac:dyDescent="0.25">
      <c r="A2980" s="1452" t="s">
        <v>429</v>
      </c>
      <c r="B2980" s="1459" t="e">
        <f>B2976/B2979</f>
        <v>#VALUE!</v>
      </c>
      <c r="C2980" s="1618"/>
      <c r="D2980" s="1563"/>
      <c r="E2980" s="1563"/>
      <c r="F2980" s="1563"/>
      <c r="G2980" s="1563"/>
      <c r="H2980" s="1531"/>
      <c r="I2980" s="1531"/>
      <c r="J2980" s="1531"/>
      <c r="K2980" s="1531"/>
      <c r="L2980" s="1531"/>
      <c r="M2980" s="1531"/>
      <c r="N2980" s="1531"/>
      <c r="O2980" s="1531"/>
      <c r="P2980" s="1531"/>
      <c r="Q2980" s="1531"/>
      <c r="R2980" s="1531"/>
      <c r="S2980" s="1531"/>
      <c r="T2980" s="1531"/>
      <c r="U2980" s="1531"/>
      <c r="V2980" s="1531"/>
      <c r="W2980" s="1531"/>
      <c r="X2980" s="1531"/>
      <c r="Y2980" s="1531"/>
      <c r="Z2980" s="1531"/>
      <c r="AA2980" s="1531"/>
      <c r="AB2980" s="1531"/>
      <c r="AC2980" s="1531"/>
      <c r="AD2980" s="1531"/>
      <c r="AE2980" s="1531"/>
      <c r="AF2980" s="1531"/>
      <c r="AG2980" s="1531"/>
      <c r="AH2980" s="1531"/>
      <c r="AI2980" s="1531"/>
      <c r="AJ2980" s="1531"/>
      <c r="AK2980" s="1531"/>
      <c r="AL2980" s="1531"/>
      <c r="AM2980" s="1531"/>
      <c r="AN2980" s="1531"/>
      <c r="AO2980" s="1531"/>
      <c r="AP2980" s="1531"/>
      <c r="AQ2980" s="1531"/>
      <c r="AR2980" s="1531"/>
      <c r="AS2980" s="1531"/>
    </row>
    <row r="2981" spans="1:45" s="1136" customFormat="1" ht="15.75" x14ac:dyDescent="0.25">
      <c r="A2981" s="1430"/>
      <c r="B2981" s="1439"/>
      <c r="C2981" s="1562"/>
      <c r="D2981" s="1531"/>
      <c r="E2981" s="1531"/>
      <c r="F2981" s="1531"/>
      <c r="G2981" s="1531"/>
      <c r="H2981" s="1531"/>
      <c r="I2981" s="1531"/>
      <c r="J2981" s="1531"/>
      <c r="K2981" s="1531"/>
      <c r="L2981" s="1531"/>
      <c r="M2981" s="1531"/>
      <c r="N2981" s="1531"/>
      <c r="O2981" s="1531"/>
      <c r="P2981" s="1531"/>
      <c r="Q2981" s="1531"/>
      <c r="R2981" s="1531"/>
      <c r="S2981" s="1531"/>
      <c r="T2981" s="1531"/>
      <c r="U2981" s="1531"/>
      <c r="V2981" s="1531"/>
      <c r="W2981" s="1531"/>
      <c r="X2981" s="1531"/>
      <c r="Y2981" s="1531"/>
      <c r="Z2981" s="1531"/>
      <c r="AA2981" s="1531"/>
      <c r="AB2981" s="1531"/>
      <c r="AC2981" s="1531"/>
      <c r="AD2981" s="1531"/>
      <c r="AE2981" s="1531"/>
      <c r="AF2981" s="1531"/>
      <c r="AG2981" s="1531"/>
      <c r="AH2981" s="1531"/>
      <c r="AI2981" s="1531"/>
      <c r="AJ2981" s="1531"/>
      <c r="AK2981" s="1531"/>
      <c r="AL2981" s="1531"/>
      <c r="AM2981" s="1531"/>
      <c r="AN2981" s="1531"/>
      <c r="AO2981" s="1531"/>
      <c r="AP2981" s="1531"/>
      <c r="AQ2981" s="1531"/>
      <c r="AR2981" s="1531"/>
      <c r="AS2981" s="1531"/>
    </row>
    <row r="2982" spans="1:45" s="1136" customFormat="1" ht="15.75" x14ac:dyDescent="0.25">
      <c r="A2982" s="1619" t="s">
        <v>2994</v>
      </c>
      <c r="B2982" s="1439"/>
      <c r="C2982" s="1562"/>
      <c r="D2982" s="1531"/>
      <c r="E2982" s="1531"/>
      <c r="F2982" s="1531"/>
      <c r="G2982" s="1531"/>
      <c r="H2982" s="1531"/>
      <c r="I2982" s="1531"/>
      <c r="J2982" s="1531"/>
      <c r="K2982" s="1531"/>
      <c r="L2982" s="1531"/>
      <c r="M2982" s="1531"/>
      <c r="N2982" s="1531"/>
      <c r="O2982" s="1531"/>
      <c r="P2982" s="1531"/>
      <c r="Q2982" s="1531"/>
      <c r="R2982" s="1531"/>
      <c r="S2982" s="1531"/>
      <c r="T2982" s="1531"/>
      <c r="U2982" s="1531"/>
      <c r="V2982" s="1531"/>
      <c r="W2982" s="1531"/>
      <c r="X2982" s="1531"/>
      <c r="Y2982" s="1531"/>
      <c r="Z2982" s="1531"/>
      <c r="AA2982" s="1531"/>
      <c r="AB2982" s="1531"/>
      <c r="AC2982" s="1531"/>
      <c r="AD2982" s="1531"/>
      <c r="AE2982" s="1531"/>
      <c r="AF2982" s="1531"/>
      <c r="AG2982" s="1531"/>
      <c r="AH2982" s="1531"/>
      <c r="AI2982" s="1531"/>
      <c r="AJ2982" s="1531"/>
      <c r="AK2982" s="1531"/>
      <c r="AL2982" s="1531"/>
      <c r="AM2982" s="1531"/>
      <c r="AN2982" s="1531"/>
      <c r="AO2982" s="1531"/>
      <c r="AP2982" s="1531"/>
      <c r="AQ2982" s="1531"/>
      <c r="AR2982" s="1531"/>
      <c r="AS2982" s="1531"/>
    </row>
    <row r="2983" spans="1:45" s="1136" customFormat="1" ht="15.75" x14ac:dyDescent="0.25">
      <c r="A2983" s="1430" t="s">
        <v>2995</v>
      </c>
      <c r="B2983" s="1439" t="e">
        <f>B240*B243*B245*B247*B179</f>
        <v>#VALUE!</v>
      </c>
      <c r="C2983" s="1562"/>
      <c r="D2983" s="1562"/>
      <c r="E2983" s="1562"/>
      <c r="F2983" s="1562"/>
      <c r="G2983" s="1562"/>
      <c r="H2983" s="1531"/>
      <c r="I2983" s="1531"/>
      <c r="J2983" s="1531"/>
      <c r="K2983" s="1531"/>
      <c r="L2983" s="1531"/>
      <c r="M2983" s="1531"/>
      <c r="N2983" s="1531"/>
      <c r="O2983" s="1531"/>
      <c r="P2983" s="1531"/>
      <c r="Q2983" s="1531"/>
      <c r="R2983" s="1531"/>
      <c r="S2983" s="1531"/>
      <c r="T2983" s="1531"/>
      <c r="U2983" s="1531"/>
      <c r="V2983" s="1531"/>
      <c r="W2983" s="1531"/>
      <c r="X2983" s="1531"/>
      <c r="Y2983" s="1531"/>
      <c r="Z2983" s="1531"/>
      <c r="AA2983" s="1531"/>
      <c r="AB2983" s="1531"/>
      <c r="AC2983" s="1531"/>
      <c r="AD2983" s="1531"/>
      <c r="AE2983" s="1531"/>
      <c r="AF2983" s="1531"/>
      <c r="AG2983" s="1531"/>
      <c r="AH2983" s="1531"/>
      <c r="AI2983" s="1531"/>
      <c r="AJ2983" s="1531"/>
      <c r="AK2983" s="1531"/>
      <c r="AL2983" s="1531"/>
      <c r="AM2983" s="1531"/>
      <c r="AN2983" s="1531"/>
      <c r="AO2983" s="1531"/>
      <c r="AP2983" s="1531"/>
      <c r="AQ2983" s="1531"/>
      <c r="AR2983" s="1531"/>
      <c r="AS2983" s="1531"/>
    </row>
    <row r="2984" spans="1:45" s="1136" customFormat="1" ht="15.75" x14ac:dyDescent="0.25">
      <c r="A2984" s="1430" t="s">
        <v>425</v>
      </c>
      <c r="B2984" s="1439">
        <f>INDEX($I$3487:$Q$3490,B2985,B2986)</f>
        <v>11.83</v>
      </c>
      <c r="C2984" s="1562"/>
      <c r="D2984" s="1606"/>
      <c r="E2984" s="1606"/>
      <c r="F2984" s="1606"/>
      <c r="G2984" s="1606"/>
      <c r="H2984" s="1531"/>
      <c r="I2984" s="1531"/>
      <c r="J2984" s="1531"/>
      <c r="K2984" s="1531"/>
      <c r="L2984" s="1531"/>
      <c r="M2984" s="1531"/>
      <c r="N2984" s="1531"/>
      <c r="O2984" s="1531"/>
      <c r="P2984" s="1531"/>
      <c r="Q2984" s="1531"/>
      <c r="R2984" s="1531"/>
      <c r="S2984" s="1531"/>
      <c r="T2984" s="1531"/>
      <c r="U2984" s="1531"/>
      <c r="V2984" s="1531"/>
      <c r="W2984" s="1531"/>
      <c r="X2984" s="1531"/>
      <c r="Y2984" s="1531"/>
      <c r="Z2984" s="1531"/>
      <c r="AA2984" s="1531"/>
      <c r="AB2984" s="1531"/>
      <c r="AC2984" s="1531"/>
      <c r="AD2984" s="1531"/>
      <c r="AE2984" s="1531"/>
      <c r="AF2984" s="1531"/>
      <c r="AG2984" s="1531"/>
      <c r="AH2984" s="1531"/>
      <c r="AI2984" s="1531"/>
      <c r="AJ2984" s="1531"/>
      <c r="AK2984" s="1531"/>
      <c r="AL2984" s="1531"/>
      <c r="AM2984" s="1531"/>
      <c r="AN2984" s="1531"/>
      <c r="AO2984" s="1531"/>
      <c r="AP2984" s="1531"/>
      <c r="AQ2984" s="1531"/>
      <c r="AR2984" s="1531"/>
      <c r="AS2984" s="1531"/>
    </row>
    <row r="2985" spans="1:45" s="1136" customFormat="1" ht="15.75" x14ac:dyDescent="0.25">
      <c r="A2985" s="1430" t="s">
        <v>2997</v>
      </c>
      <c r="B2985" s="1441">
        <f>IF(B240&lt;0.91,1,IF(B240&lt;1.26,2,IF(B240&lt;1.6,3,4)))</f>
        <v>4</v>
      </c>
      <c r="C2985" s="1596"/>
      <c r="D2985" s="1437"/>
      <c r="E2985" s="1437"/>
      <c r="F2985" s="1437"/>
      <c r="G2985" s="1437"/>
      <c r="H2985" s="1531"/>
      <c r="I2985" s="1531"/>
      <c r="J2985" s="1531"/>
      <c r="K2985" s="1531"/>
      <c r="L2985" s="1531"/>
      <c r="M2985" s="1531"/>
      <c r="N2985" s="1531"/>
      <c r="O2985" s="1531"/>
      <c r="P2985" s="1531"/>
      <c r="Q2985" s="1531"/>
      <c r="R2985" s="1531"/>
      <c r="S2985" s="1531"/>
      <c r="T2985" s="1531"/>
      <c r="U2985" s="1531"/>
      <c r="V2985" s="1531"/>
      <c r="W2985" s="1531"/>
      <c r="X2985" s="1531"/>
      <c r="Y2985" s="1531"/>
      <c r="Z2985" s="1531"/>
      <c r="AA2985" s="1531"/>
      <c r="AB2985" s="1531"/>
      <c r="AC2985" s="1531"/>
      <c r="AD2985" s="1531"/>
      <c r="AE2985" s="1531"/>
      <c r="AF2985" s="1531"/>
      <c r="AG2985" s="1531"/>
      <c r="AH2985" s="1531"/>
      <c r="AI2985" s="1531"/>
      <c r="AJ2985" s="1531"/>
      <c r="AK2985" s="1531"/>
      <c r="AL2985" s="1531"/>
      <c r="AM2985" s="1531"/>
      <c r="AN2985" s="1531"/>
      <c r="AO2985" s="1531"/>
      <c r="AP2985" s="1531"/>
      <c r="AQ2985" s="1531"/>
      <c r="AR2985" s="1531"/>
      <c r="AS2985" s="1531"/>
    </row>
    <row r="2986" spans="1:45" s="1136" customFormat="1" ht="15.75" x14ac:dyDescent="0.25">
      <c r="A2986" s="1430" t="s">
        <v>2998</v>
      </c>
      <c r="B2986" s="1441">
        <f>B272</f>
        <v>5</v>
      </c>
      <c r="C2986" s="1596"/>
      <c r="D2986" s="1569"/>
      <c r="E2986" s="1569"/>
      <c r="F2986" s="1569"/>
      <c r="G2986" s="1569"/>
      <c r="H2986" s="1531"/>
      <c r="I2986" s="1531"/>
      <c r="J2986" s="1531"/>
      <c r="K2986" s="1531"/>
      <c r="L2986" s="1531"/>
      <c r="M2986" s="1531"/>
      <c r="N2986" s="1531"/>
      <c r="O2986" s="1531"/>
      <c r="P2986" s="1531"/>
      <c r="Q2986" s="1531"/>
      <c r="R2986" s="1531"/>
      <c r="S2986" s="1531"/>
      <c r="T2986" s="1531"/>
      <c r="U2986" s="1531"/>
      <c r="V2986" s="1531"/>
      <c r="W2986" s="1531"/>
      <c r="X2986" s="1531"/>
      <c r="Y2986" s="1531"/>
      <c r="Z2986" s="1531"/>
      <c r="AA2986" s="1531"/>
      <c r="AB2986" s="1531"/>
      <c r="AC2986" s="1531"/>
      <c r="AD2986" s="1531"/>
      <c r="AE2986" s="1531"/>
      <c r="AF2986" s="1531"/>
      <c r="AG2986" s="1531"/>
      <c r="AH2986" s="1531"/>
      <c r="AI2986" s="1531"/>
      <c r="AJ2986" s="1531"/>
      <c r="AK2986" s="1531"/>
      <c r="AL2986" s="1531"/>
      <c r="AM2986" s="1531"/>
      <c r="AN2986" s="1531"/>
      <c r="AO2986" s="1531"/>
      <c r="AP2986" s="1531"/>
      <c r="AQ2986" s="1531"/>
      <c r="AR2986" s="1531"/>
      <c r="AS2986" s="1531"/>
    </row>
    <row r="2987" spans="1:45" s="1136" customFormat="1" ht="15.75" x14ac:dyDescent="0.25">
      <c r="A2987" s="1430" t="s">
        <v>428</v>
      </c>
      <c r="B2987" s="1439" t="e">
        <f>B2988*B2989*B2991*B2383</f>
        <v>#VALUE!</v>
      </c>
      <c r="C2987" s="1432"/>
      <c r="D2987" s="1618"/>
      <c r="E2987" s="1618"/>
      <c r="F2987" s="1618"/>
      <c r="G2987" s="1618"/>
      <c r="H2987" s="1531"/>
      <c r="I2987" s="1531"/>
      <c r="J2987" s="1531"/>
      <c r="K2987" s="1531"/>
      <c r="L2987" s="1531"/>
      <c r="M2987" s="1531"/>
      <c r="N2987" s="1531"/>
      <c r="O2987" s="1531"/>
      <c r="P2987" s="1531"/>
      <c r="Q2987" s="1531"/>
      <c r="R2987" s="1531"/>
      <c r="S2987" s="1531"/>
      <c r="T2987" s="1531"/>
      <c r="U2987" s="1531"/>
      <c r="V2987" s="1531"/>
      <c r="W2987" s="1531"/>
      <c r="X2987" s="1531"/>
      <c r="Y2987" s="1531"/>
      <c r="Z2987" s="1531"/>
      <c r="AA2987" s="1531"/>
      <c r="AB2987" s="1531"/>
      <c r="AC2987" s="1531"/>
      <c r="AD2987" s="1531"/>
      <c r="AE2987" s="1531"/>
      <c r="AF2987" s="1531"/>
      <c r="AG2987" s="1531"/>
      <c r="AH2987" s="1531"/>
      <c r="AI2987" s="1531"/>
      <c r="AJ2987" s="1531"/>
      <c r="AK2987" s="1531"/>
      <c r="AL2987" s="1531"/>
      <c r="AM2987" s="1531"/>
      <c r="AN2987" s="1531"/>
      <c r="AO2987" s="1531"/>
      <c r="AP2987" s="1531"/>
      <c r="AQ2987" s="1531"/>
      <c r="AR2987" s="1531"/>
      <c r="AS2987" s="1531"/>
    </row>
    <row r="2988" spans="1:45" s="1136" customFormat="1" ht="15.75" x14ac:dyDescent="0.25">
      <c r="A2988" s="1430" t="s">
        <v>2999</v>
      </c>
      <c r="B2988" s="1421">
        <f>IF(B273=1,1.05,1)</f>
        <v>1</v>
      </c>
      <c r="C2988" s="1416"/>
      <c r="D2988" s="1531"/>
      <c r="E2988" s="1531"/>
      <c r="F2988" s="1531"/>
      <c r="G2988" s="1531"/>
      <c r="H2988" s="1531"/>
      <c r="I2988" s="1531"/>
      <c r="J2988" s="1531"/>
      <c r="K2988" s="1531"/>
      <c r="L2988" s="1531"/>
      <c r="M2988" s="1531"/>
      <c r="N2988" s="1531"/>
      <c r="O2988" s="1531"/>
      <c r="P2988" s="1531"/>
      <c r="Q2988" s="1531"/>
      <c r="R2988" s="1531"/>
      <c r="S2988" s="1531"/>
      <c r="T2988" s="1531"/>
      <c r="U2988" s="1531"/>
      <c r="V2988" s="1531"/>
      <c r="W2988" s="1531"/>
      <c r="X2988" s="1531"/>
      <c r="Y2988" s="1531"/>
      <c r="Z2988" s="1531"/>
      <c r="AA2988" s="1531"/>
      <c r="AB2988" s="1531"/>
      <c r="AC2988" s="1531"/>
      <c r="AD2988" s="1531"/>
      <c r="AE2988" s="1531"/>
      <c r="AF2988" s="1531"/>
      <c r="AG2988" s="1531"/>
      <c r="AH2988" s="1531"/>
      <c r="AI2988" s="1531"/>
      <c r="AJ2988" s="1531"/>
      <c r="AK2988" s="1531"/>
      <c r="AL2988" s="1531"/>
      <c r="AM2988" s="1531"/>
      <c r="AN2988" s="1531"/>
      <c r="AO2988" s="1531"/>
      <c r="AP2988" s="1531"/>
      <c r="AQ2988" s="1531"/>
      <c r="AR2988" s="1531"/>
      <c r="AS2988" s="1531"/>
    </row>
    <row r="2989" spans="1:45" s="1136" customFormat="1" ht="15.75" x14ac:dyDescent="0.25">
      <c r="A2989" s="1430" t="s">
        <v>3000</v>
      </c>
      <c r="B2989" s="1421" t="e">
        <f>IF(B2990&lt;5.1,1,IF(B2990&lt;10.1,0.9,IF(B2990&lt;20.1,0.8,0.7)))</f>
        <v>#VALUE!</v>
      </c>
      <c r="C2989" s="1416"/>
      <c r="D2989" s="1531"/>
      <c r="E2989" s="1531"/>
      <c r="F2989" s="1531"/>
      <c r="G2989" s="1531"/>
      <c r="H2989" s="1531"/>
      <c r="I2989" s="1531"/>
      <c r="J2989" s="1531"/>
      <c r="K2989" s="1531"/>
      <c r="L2989" s="1531"/>
      <c r="M2989" s="1531"/>
      <c r="N2989" s="1531"/>
      <c r="O2989" s="1531"/>
      <c r="P2989" s="1531"/>
      <c r="Q2989" s="1531"/>
      <c r="R2989" s="1531"/>
      <c r="S2989" s="1531"/>
      <c r="T2989" s="1531"/>
      <c r="U2989" s="1531"/>
      <c r="V2989" s="1531"/>
      <c r="W2989" s="1531"/>
      <c r="X2989" s="1531"/>
      <c r="Y2989" s="1531"/>
      <c r="Z2989" s="1531"/>
      <c r="AA2989" s="1531"/>
      <c r="AB2989" s="1531"/>
      <c r="AC2989" s="1531"/>
      <c r="AD2989" s="1531"/>
      <c r="AE2989" s="1531"/>
      <c r="AF2989" s="1531"/>
      <c r="AG2989" s="1531"/>
      <c r="AH2989" s="1531"/>
      <c r="AI2989" s="1531"/>
      <c r="AJ2989" s="1531"/>
      <c r="AK2989" s="1531"/>
      <c r="AL2989" s="1531"/>
      <c r="AM2989" s="1531"/>
      <c r="AN2989" s="1531"/>
      <c r="AO2989" s="1531"/>
      <c r="AP2989" s="1531"/>
      <c r="AQ2989" s="1531"/>
      <c r="AR2989" s="1531"/>
      <c r="AS2989" s="1531"/>
    </row>
    <row r="2990" spans="1:45" s="1136" customFormat="1" ht="15.75" x14ac:dyDescent="0.25">
      <c r="A2990" s="1417" t="s">
        <v>3001</v>
      </c>
      <c r="B2990" s="1421" t="e">
        <f>(B274/B240)*100</f>
        <v>#VALUE!</v>
      </c>
      <c r="C2990" s="1416"/>
      <c r="D2990" s="1562"/>
      <c r="E2990" s="1562"/>
      <c r="F2990" s="1562"/>
      <c r="G2990" s="1562"/>
      <c r="H2990" s="1531"/>
      <c r="I2990" s="1531"/>
      <c r="J2990" s="1531"/>
      <c r="K2990" s="1531"/>
      <c r="L2990" s="1531"/>
      <c r="M2990" s="1531"/>
      <c r="N2990" s="1531"/>
      <c r="O2990" s="1531"/>
      <c r="P2990" s="1531"/>
      <c r="Q2990" s="1531"/>
      <c r="R2990" s="1531"/>
      <c r="S2990" s="1531"/>
      <c r="T2990" s="1531"/>
      <c r="U2990" s="1531"/>
      <c r="V2990" s="1531"/>
      <c r="W2990" s="1531"/>
      <c r="X2990" s="1531"/>
      <c r="Y2990" s="1531"/>
      <c r="Z2990" s="1531"/>
      <c r="AA2990" s="1531"/>
      <c r="AB2990" s="1531"/>
      <c r="AC2990" s="1531"/>
      <c r="AD2990" s="1531"/>
      <c r="AE2990" s="1531"/>
      <c r="AF2990" s="1531"/>
      <c r="AG2990" s="1531"/>
      <c r="AH2990" s="1531"/>
      <c r="AI2990" s="1531"/>
      <c r="AJ2990" s="1531"/>
      <c r="AK2990" s="1531"/>
      <c r="AL2990" s="1531"/>
      <c r="AM2990" s="1531"/>
      <c r="AN2990" s="1531"/>
      <c r="AO2990" s="1531"/>
      <c r="AP2990" s="1531"/>
      <c r="AQ2990" s="1531"/>
      <c r="AR2990" s="1531"/>
      <c r="AS2990" s="1531"/>
    </row>
    <row r="2991" spans="1:45" s="1136" customFormat="1" ht="15.75" x14ac:dyDescent="0.25">
      <c r="A2991" s="1430" t="s">
        <v>3002</v>
      </c>
      <c r="B2991" s="1464">
        <v>0.7</v>
      </c>
      <c r="C2991" s="1465"/>
      <c r="D2991" s="1562"/>
      <c r="E2991" s="1562"/>
      <c r="F2991" s="1562"/>
      <c r="G2991" s="1562"/>
      <c r="H2991" s="1531"/>
      <c r="I2991" s="1531"/>
      <c r="J2991" s="1531"/>
      <c r="K2991" s="1531"/>
      <c r="L2991" s="1531"/>
      <c r="M2991" s="1531"/>
      <c r="N2991" s="1531"/>
      <c r="O2991" s="1531"/>
      <c r="P2991" s="1531"/>
      <c r="Q2991" s="1531"/>
      <c r="R2991" s="1531"/>
      <c r="S2991" s="1531"/>
      <c r="T2991" s="1531"/>
      <c r="U2991" s="1531"/>
      <c r="V2991" s="1531"/>
      <c r="W2991" s="1531"/>
      <c r="X2991" s="1531"/>
      <c r="Y2991" s="1531"/>
      <c r="Z2991" s="1531"/>
      <c r="AA2991" s="1531"/>
      <c r="AB2991" s="1531"/>
      <c r="AC2991" s="1531"/>
      <c r="AD2991" s="1531"/>
      <c r="AE2991" s="1531"/>
      <c r="AF2991" s="1531"/>
      <c r="AG2991" s="1531"/>
      <c r="AH2991" s="1531"/>
      <c r="AI2991" s="1531"/>
      <c r="AJ2991" s="1531"/>
      <c r="AK2991" s="1531"/>
      <c r="AL2991" s="1531"/>
      <c r="AM2991" s="1531"/>
      <c r="AN2991" s="1531"/>
      <c r="AO2991" s="1531"/>
      <c r="AP2991" s="1531"/>
      <c r="AQ2991" s="1531"/>
      <c r="AR2991" s="1531"/>
      <c r="AS2991" s="1531"/>
    </row>
    <row r="2992" spans="1:45" s="1136" customFormat="1" ht="15.75" x14ac:dyDescent="0.25">
      <c r="A2992" s="1430" t="s">
        <v>213</v>
      </c>
      <c r="B2992" s="1443" t="e">
        <f>B2984*B2987</f>
        <v>#VALUE!</v>
      </c>
      <c r="C2992" s="1437"/>
      <c r="D2992" s="1596"/>
      <c r="E2992" s="1596"/>
      <c r="F2992" s="1596"/>
      <c r="G2992" s="1596"/>
      <c r="H2992" s="1531"/>
      <c r="I2992" s="1531"/>
      <c r="J2992" s="1531"/>
      <c r="K2992" s="1531"/>
      <c r="L2992" s="1531"/>
      <c r="M2992" s="1531"/>
      <c r="N2992" s="1531"/>
      <c r="O2992" s="1531"/>
      <c r="P2992" s="1531"/>
      <c r="Q2992" s="1531"/>
      <c r="R2992" s="1531"/>
      <c r="S2992" s="1531"/>
      <c r="T2992" s="1531"/>
      <c r="U2992" s="1531"/>
      <c r="V2992" s="1531"/>
      <c r="W2992" s="1531"/>
      <c r="X2992" s="1531"/>
      <c r="Y2992" s="1531"/>
      <c r="Z2992" s="1531"/>
      <c r="AA2992" s="1531"/>
      <c r="AB2992" s="1531"/>
      <c r="AC2992" s="1531"/>
      <c r="AD2992" s="1531"/>
      <c r="AE2992" s="1531"/>
      <c r="AF2992" s="1531"/>
      <c r="AG2992" s="1531"/>
      <c r="AH2992" s="1531"/>
      <c r="AI2992" s="1531"/>
      <c r="AJ2992" s="1531"/>
      <c r="AK2992" s="1531"/>
      <c r="AL2992" s="1531"/>
      <c r="AM2992" s="1531"/>
      <c r="AN2992" s="1531"/>
      <c r="AO2992" s="1531"/>
      <c r="AP2992" s="1531"/>
      <c r="AQ2992" s="1531"/>
      <c r="AR2992" s="1531"/>
      <c r="AS2992" s="1531"/>
    </row>
    <row r="2993" spans="1:45" s="1136" customFormat="1" ht="15.75" x14ac:dyDescent="0.25">
      <c r="A2993" s="1430" t="s">
        <v>429</v>
      </c>
      <c r="B2993" s="1443" t="e">
        <f>B2983/B2992</f>
        <v>#VALUE!</v>
      </c>
      <c r="C2993" s="1437"/>
      <c r="D2993" s="1596"/>
      <c r="E2993" s="1596"/>
      <c r="F2993" s="1596"/>
      <c r="G2993" s="1596"/>
      <c r="H2993" s="1531"/>
      <c r="I2993" s="1531"/>
      <c r="J2993" s="1531"/>
      <c r="K2993" s="1531"/>
      <c r="L2993" s="1531"/>
      <c r="M2993" s="1531"/>
      <c r="N2993" s="1531"/>
      <c r="O2993" s="1531"/>
      <c r="P2993" s="1531"/>
      <c r="Q2993" s="1531"/>
      <c r="R2993" s="1531"/>
      <c r="S2993" s="1531"/>
      <c r="T2993" s="1531"/>
      <c r="U2993" s="1531"/>
      <c r="V2993" s="1531"/>
      <c r="W2993" s="1531"/>
      <c r="X2993" s="1531"/>
      <c r="Y2993" s="1531"/>
      <c r="Z2993" s="1531"/>
      <c r="AA2993" s="1531"/>
      <c r="AB2993" s="1531"/>
      <c r="AC2993" s="1531"/>
      <c r="AD2993" s="1531"/>
      <c r="AE2993" s="1531"/>
      <c r="AF2993" s="1531"/>
      <c r="AG2993" s="1531"/>
      <c r="AH2993" s="1531"/>
      <c r="AI2993" s="1531"/>
      <c r="AJ2993" s="1531"/>
      <c r="AK2993" s="1531"/>
      <c r="AL2993" s="1531"/>
      <c r="AM2993" s="1531"/>
      <c r="AN2993" s="1531"/>
      <c r="AO2993" s="1531"/>
      <c r="AP2993" s="1531"/>
      <c r="AQ2993" s="1531"/>
      <c r="AR2993" s="1531"/>
      <c r="AS2993" s="1531"/>
    </row>
    <row r="2994" spans="1:45" s="1136" customFormat="1" ht="15.75" x14ac:dyDescent="0.25">
      <c r="A2994" s="1466" t="s">
        <v>831</v>
      </c>
      <c r="B2994" s="1467" t="e">
        <f>IF(B252=1,B2993,0)</f>
        <v>#VALUE!</v>
      </c>
      <c r="C2994" s="1468"/>
      <c r="D2994" s="1432"/>
      <c r="E2994" s="1432"/>
      <c r="F2994" s="1432"/>
      <c r="G2994" s="1432"/>
      <c r="H2994" s="1531"/>
      <c r="I2994" s="1531"/>
      <c r="J2994" s="1531"/>
      <c r="K2994" s="1531"/>
      <c r="L2994" s="1531"/>
      <c r="M2994" s="1531"/>
      <c r="N2994" s="1531"/>
      <c r="O2994" s="1531"/>
      <c r="P2994" s="1531"/>
      <c r="Q2994" s="1531"/>
      <c r="R2994" s="1531"/>
      <c r="S2994" s="1531"/>
      <c r="T2994" s="1531"/>
      <c r="U2994" s="1531"/>
      <c r="V2994" s="1531"/>
      <c r="W2994" s="1531"/>
      <c r="X2994" s="1531"/>
      <c r="Y2994" s="1531"/>
      <c r="Z2994" s="1531"/>
      <c r="AA2994" s="1531"/>
      <c r="AB2994" s="1531"/>
      <c r="AC2994" s="1531"/>
      <c r="AD2994" s="1531"/>
      <c r="AE2994" s="1531"/>
      <c r="AF2994" s="1531"/>
      <c r="AG2994" s="1531"/>
      <c r="AH2994" s="1531"/>
      <c r="AI2994" s="1531"/>
      <c r="AJ2994" s="1531"/>
      <c r="AK2994" s="1531"/>
      <c r="AL2994" s="1531"/>
      <c r="AM2994" s="1531"/>
      <c r="AN2994" s="1531"/>
      <c r="AO2994" s="1531"/>
      <c r="AP2994" s="1531"/>
      <c r="AQ2994" s="1531"/>
      <c r="AR2994" s="1531"/>
      <c r="AS2994" s="1531"/>
    </row>
    <row r="2995" spans="1:45" s="1136" customFormat="1" ht="15.75" x14ac:dyDescent="0.25">
      <c r="A2995" s="1430"/>
      <c r="B2995" s="1443"/>
      <c r="C2995" s="1437"/>
      <c r="D2995" s="1416"/>
      <c r="E2995" s="1416"/>
      <c r="F2995" s="1416"/>
      <c r="G2995" s="1416"/>
      <c r="H2995" s="1531"/>
      <c r="I2995" s="1531"/>
      <c r="J2995" s="1531"/>
      <c r="K2995" s="1531"/>
      <c r="L2995" s="1531"/>
      <c r="M2995" s="1531"/>
      <c r="N2995" s="1531"/>
      <c r="O2995" s="1531"/>
      <c r="P2995" s="1531"/>
      <c r="Q2995" s="1531"/>
      <c r="R2995" s="1531"/>
      <c r="S2995" s="1531"/>
      <c r="T2995" s="1531"/>
      <c r="U2995" s="1531"/>
      <c r="V2995" s="1531"/>
      <c r="W2995" s="1531"/>
      <c r="X2995" s="1531"/>
      <c r="Y2995" s="1531"/>
      <c r="Z2995" s="1531"/>
      <c r="AA2995" s="1531"/>
      <c r="AB2995" s="1531"/>
      <c r="AC2995" s="1531"/>
      <c r="AD2995" s="1531"/>
      <c r="AE2995" s="1531"/>
      <c r="AF2995" s="1531"/>
      <c r="AG2995" s="1531"/>
      <c r="AH2995" s="1531"/>
      <c r="AI2995" s="1531"/>
      <c r="AJ2995" s="1531"/>
      <c r="AK2995" s="1531"/>
      <c r="AL2995" s="1531"/>
      <c r="AM2995" s="1531"/>
      <c r="AN2995" s="1531"/>
      <c r="AO2995" s="1531"/>
      <c r="AP2995" s="1531"/>
      <c r="AQ2995" s="1531"/>
      <c r="AR2995" s="1531"/>
      <c r="AS2995" s="1531"/>
    </row>
    <row r="2996" spans="1:45" s="1136" customFormat="1" ht="15.75" x14ac:dyDescent="0.25">
      <c r="A2996" s="1619" t="s">
        <v>832</v>
      </c>
      <c r="B2996" s="1443"/>
      <c r="C2996" s="1437"/>
      <c r="D2996" s="1416"/>
      <c r="E2996" s="1416"/>
      <c r="F2996" s="1416"/>
      <c r="G2996" s="1416"/>
      <c r="H2996" s="1531"/>
      <c r="I2996" s="1531"/>
      <c r="J2996" s="1531"/>
      <c r="K2996" s="1531"/>
      <c r="L2996" s="1531"/>
      <c r="M2996" s="1531"/>
      <c r="N2996" s="1531"/>
      <c r="O2996" s="1531"/>
      <c r="P2996" s="1531"/>
      <c r="Q2996" s="1531"/>
      <c r="R2996" s="1531"/>
      <c r="S2996" s="1531"/>
      <c r="T2996" s="1531"/>
      <c r="U2996" s="1531"/>
      <c r="V2996" s="1531"/>
      <c r="W2996" s="1531"/>
      <c r="X2996" s="1531"/>
      <c r="Y2996" s="1531"/>
      <c r="Z2996" s="1531"/>
      <c r="AA2996" s="1531"/>
      <c r="AB2996" s="1531"/>
      <c r="AC2996" s="1531"/>
      <c r="AD2996" s="1531"/>
      <c r="AE2996" s="1531"/>
      <c r="AF2996" s="1531"/>
      <c r="AG2996" s="1531"/>
      <c r="AH2996" s="1531"/>
      <c r="AI2996" s="1531"/>
      <c r="AJ2996" s="1531"/>
      <c r="AK2996" s="1531"/>
      <c r="AL2996" s="1531"/>
      <c r="AM2996" s="1531"/>
      <c r="AN2996" s="1531"/>
      <c r="AO2996" s="1531"/>
      <c r="AP2996" s="1531"/>
      <c r="AQ2996" s="1531"/>
      <c r="AR2996" s="1531"/>
      <c r="AS2996" s="1531"/>
    </row>
    <row r="2997" spans="1:45" s="1136" customFormat="1" ht="15.75" x14ac:dyDescent="0.25">
      <c r="A2997" s="1456" t="s">
        <v>833</v>
      </c>
      <c r="B2997" s="1433">
        <f>B2535</f>
        <v>2.1</v>
      </c>
      <c r="C2997" s="1437"/>
      <c r="D2997" s="1416"/>
      <c r="E2997" s="1416"/>
      <c r="F2997" s="1416"/>
      <c r="G2997" s="1416"/>
      <c r="H2997" s="1531"/>
      <c r="I2997" s="1531"/>
      <c r="J2997" s="1531"/>
      <c r="K2997" s="1531"/>
      <c r="L2997" s="1531"/>
      <c r="M2997" s="1531"/>
      <c r="N2997" s="1531"/>
      <c r="O2997" s="1531"/>
      <c r="P2997" s="1531"/>
      <c r="Q2997" s="1531"/>
      <c r="R2997" s="1531"/>
      <c r="S2997" s="1531"/>
      <c r="T2997" s="1531"/>
      <c r="U2997" s="1531"/>
      <c r="V2997" s="1531"/>
      <c r="W2997" s="1531"/>
      <c r="X2997" s="1531"/>
      <c r="Y2997" s="1531"/>
      <c r="Z2997" s="1531"/>
      <c r="AA2997" s="1531"/>
      <c r="AB2997" s="1531"/>
      <c r="AC2997" s="1531"/>
      <c r="AD2997" s="1531"/>
      <c r="AE2997" s="1531"/>
      <c r="AF2997" s="1531"/>
      <c r="AG2997" s="1531"/>
      <c r="AH2997" s="1531"/>
      <c r="AI2997" s="1531"/>
      <c r="AJ2997" s="1531"/>
      <c r="AK2997" s="1531"/>
      <c r="AL2997" s="1531"/>
      <c r="AM2997" s="1531"/>
      <c r="AN2997" s="1531"/>
      <c r="AO2997" s="1531"/>
      <c r="AP2997" s="1531"/>
      <c r="AQ2997" s="1531"/>
      <c r="AR2997" s="1531"/>
      <c r="AS2997" s="1531"/>
    </row>
    <row r="2998" spans="1:45" s="1136" customFormat="1" ht="15.75" x14ac:dyDescent="0.25">
      <c r="A2998" s="1430" t="s">
        <v>834</v>
      </c>
      <c r="B2998" s="1424" t="e">
        <f>B243*B240*B245*B2997</f>
        <v>#VALUE!</v>
      </c>
      <c r="C2998" s="1429"/>
      <c r="D2998" s="1465"/>
      <c r="E2998" s="1465"/>
      <c r="F2998" s="1465"/>
      <c r="G2998" s="1465"/>
      <c r="H2998" s="1531"/>
      <c r="I2998" s="1531"/>
      <c r="J2998" s="1531"/>
      <c r="K2998" s="1531"/>
      <c r="L2998" s="1531"/>
      <c r="M2998" s="1531"/>
      <c r="N2998" s="1531"/>
      <c r="O2998" s="1531"/>
      <c r="P2998" s="1531"/>
      <c r="Q2998" s="1531"/>
      <c r="R2998" s="1531"/>
      <c r="S2998" s="1531"/>
      <c r="T2998" s="1531"/>
      <c r="U2998" s="1531"/>
      <c r="V2998" s="1531"/>
      <c r="W2998" s="1531"/>
      <c r="X2998" s="1531"/>
      <c r="Y2998" s="1531"/>
      <c r="Z2998" s="1531"/>
      <c r="AA2998" s="1531"/>
      <c r="AB2998" s="1531"/>
      <c r="AC2998" s="1531"/>
      <c r="AD2998" s="1531"/>
      <c r="AE2998" s="1531"/>
      <c r="AF2998" s="1531"/>
      <c r="AG2998" s="1531"/>
      <c r="AH2998" s="1531"/>
      <c r="AI2998" s="1531"/>
      <c r="AJ2998" s="1531"/>
      <c r="AK2998" s="1531"/>
      <c r="AL2998" s="1531"/>
      <c r="AM2998" s="1531"/>
      <c r="AN2998" s="1531"/>
      <c r="AO2998" s="1531"/>
      <c r="AP2998" s="1531"/>
      <c r="AQ2998" s="1531"/>
      <c r="AR2998" s="1531"/>
      <c r="AS2998" s="1531"/>
    </row>
    <row r="2999" spans="1:45" s="1136" customFormat="1" ht="15.75" x14ac:dyDescent="0.25">
      <c r="A2999" s="1430" t="s">
        <v>5572</v>
      </c>
      <c r="B2999" s="1431">
        <f>B2537</f>
        <v>3</v>
      </c>
      <c r="C2999" s="1434"/>
      <c r="D2999" s="1437"/>
      <c r="E2999" s="1437"/>
      <c r="F2999" s="1437"/>
      <c r="G2999" s="1437"/>
      <c r="H2999" s="1531"/>
      <c r="I2999" s="1531"/>
      <c r="J2999" s="1531"/>
      <c r="K2999" s="1531"/>
      <c r="L2999" s="1531"/>
      <c r="M2999" s="1531"/>
      <c r="N2999" s="1531"/>
      <c r="O2999" s="1531"/>
      <c r="P2999" s="1531"/>
      <c r="Q2999" s="1531"/>
      <c r="R2999" s="1531"/>
      <c r="S2999" s="1531"/>
      <c r="T2999" s="1531"/>
      <c r="U2999" s="1531"/>
      <c r="V2999" s="1531"/>
      <c r="W2999" s="1531"/>
      <c r="X2999" s="1531"/>
      <c r="Y2999" s="1531"/>
      <c r="Z2999" s="1531"/>
      <c r="AA2999" s="1531"/>
      <c r="AB2999" s="1531"/>
      <c r="AC2999" s="1531"/>
      <c r="AD2999" s="1531"/>
      <c r="AE2999" s="1531"/>
      <c r="AF2999" s="1531"/>
      <c r="AG2999" s="1531"/>
      <c r="AH2999" s="1531"/>
      <c r="AI2999" s="1531"/>
      <c r="AJ2999" s="1531"/>
      <c r="AK2999" s="1531"/>
      <c r="AL2999" s="1531"/>
      <c r="AM2999" s="1531"/>
      <c r="AN2999" s="1531"/>
      <c r="AO2999" s="1531"/>
      <c r="AP2999" s="1531"/>
      <c r="AQ2999" s="1531"/>
      <c r="AR2999" s="1531"/>
      <c r="AS2999" s="1531"/>
    </row>
    <row r="3000" spans="1:45" s="1136" customFormat="1" ht="15.75" x14ac:dyDescent="0.25">
      <c r="A3000" s="1430" t="s">
        <v>425</v>
      </c>
      <c r="B3000" s="1441">
        <f>IF(B2999&lt;2,B3004,IF(B2999&lt;3,B3005,IF(B2999&lt;4,B3006,IF(B2999&lt;5,B3007,B3008))))</f>
        <v>158</v>
      </c>
      <c r="C3000" s="1434"/>
      <c r="D3000" s="1437"/>
      <c r="E3000" s="1437"/>
      <c r="F3000" s="1437"/>
      <c r="G3000" s="1437"/>
      <c r="H3000" s="1531"/>
      <c r="I3000" s="1531"/>
      <c r="J3000" s="1531"/>
      <c r="K3000" s="1531"/>
      <c r="L3000" s="1531"/>
      <c r="M3000" s="1531"/>
      <c r="N3000" s="1531"/>
      <c r="O3000" s="1531"/>
      <c r="P3000" s="1531"/>
      <c r="Q3000" s="1531"/>
      <c r="R3000" s="1531"/>
      <c r="S3000" s="1531"/>
      <c r="T3000" s="1531"/>
      <c r="U3000" s="1531"/>
      <c r="V3000" s="1531"/>
      <c r="W3000" s="1531"/>
      <c r="X3000" s="1531"/>
      <c r="Y3000" s="1531"/>
      <c r="Z3000" s="1531"/>
      <c r="AA3000" s="1531"/>
      <c r="AB3000" s="1531"/>
      <c r="AC3000" s="1531"/>
      <c r="AD3000" s="1531"/>
      <c r="AE3000" s="1531"/>
      <c r="AF3000" s="1531"/>
      <c r="AG3000" s="1531"/>
      <c r="AH3000" s="1531"/>
      <c r="AI3000" s="1531"/>
      <c r="AJ3000" s="1531"/>
      <c r="AK3000" s="1531"/>
      <c r="AL3000" s="1531"/>
      <c r="AM3000" s="1531"/>
      <c r="AN3000" s="1531"/>
      <c r="AO3000" s="1531"/>
      <c r="AP3000" s="1531"/>
      <c r="AQ3000" s="1531"/>
      <c r="AR3000" s="1531"/>
      <c r="AS3000" s="1531"/>
    </row>
    <row r="3001" spans="1:45" s="1136" customFormat="1" ht="15.75" x14ac:dyDescent="0.25">
      <c r="A3001" s="1430" t="s">
        <v>835</v>
      </c>
      <c r="B3001" s="1441">
        <f>IF(B240&lt;0.61,1,IF(B240&lt;0.81,2,IF(B240&lt;1.41,3,IF(B240&lt;1.81,4,5))))</f>
        <v>5</v>
      </c>
      <c r="C3001" s="1434"/>
      <c r="D3001" s="1468"/>
      <c r="E3001" s="1468"/>
      <c r="F3001" s="1468"/>
      <c r="G3001" s="1468"/>
      <c r="H3001" s="1531"/>
      <c r="I3001" s="1531"/>
      <c r="J3001" s="1531"/>
      <c r="K3001" s="1531"/>
      <c r="L3001" s="1531"/>
      <c r="M3001" s="1531"/>
      <c r="N3001" s="1531"/>
      <c r="O3001" s="1531"/>
      <c r="P3001" s="1531"/>
      <c r="Q3001" s="1531"/>
      <c r="R3001" s="1531"/>
      <c r="S3001" s="1531"/>
      <c r="T3001" s="1531"/>
      <c r="U3001" s="1531"/>
      <c r="V3001" s="1531"/>
      <c r="W3001" s="1531"/>
      <c r="X3001" s="1531"/>
      <c r="Y3001" s="1531"/>
      <c r="Z3001" s="1531"/>
      <c r="AA3001" s="1531"/>
      <c r="AB3001" s="1531"/>
      <c r="AC3001" s="1531"/>
      <c r="AD3001" s="1531"/>
      <c r="AE3001" s="1531"/>
      <c r="AF3001" s="1531"/>
      <c r="AG3001" s="1531"/>
      <c r="AH3001" s="1531"/>
      <c r="AI3001" s="1531"/>
      <c r="AJ3001" s="1531"/>
      <c r="AK3001" s="1531"/>
      <c r="AL3001" s="1531"/>
      <c r="AM3001" s="1531"/>
      <c r="AN3001" s="1531"/>
      <c r="AO3001" s="1531"/>
      <c r="AP3001" s="1531"/>
      <c r="AQ3001" s="1531"/>
      <c r="AR3001" s="1531"/>
      <c r="AS3001" s="1531"/>
    </row>
    <row r="3002" spans="1:45" s="1136" customFormat="1" ht="15.75" x14ac:dyDescent="0.25">
      <c r="A3002" s="1430" t="s">
        <v>836</v>
      </c>
      <c r="B3002" s="1441">
        <f>IF(B251&lt;25,1,IF(B251&lt;46,2,3))</f>
        <v>1</v>
      </c>
      <c r="C3002" s="1434"/>
      <c r="D3002" s="1350"/>
      <c r="E3002" s="1350"/>
      <c r="F3002" s="1350"/>
      <c r="G3002" s="1350"/>
      <c r="H3002" s="1531"/>
      <c r="I3002" s="1531"/>
      <c r="J3002" s="1531"/>
      <c r="K3002" s="1531"/>
      <c r="L3002" s="1531"/>
      <c r="M3002" s="1531"/>
      <c r="N3002" s="1531"/>
      <c r="O3002" s="1531"/>
      <c r="P3002" s="1531"/>
      <c r="Q3002" s="1531"/>
      <c r="R3002" s="1531"/>
      <c r="S3002" s="1531"/>
      <c r="T3002" s="1531"/>
      <c r="U3002" s="1531"/>
      <c r="V3002" s="1531"/>
      <c r="W3002" s="1531"/>
      <c r="X3002" s="1531"/>
      <c r="Y3002" s="1531"/>
      <c r="Z3002" s="1531"/>
      <c r="AA3002" s="1531"/>
      <c r="AB3002" s="1531"/>
      <c r="AC3002" s="1531"/>
      <c r="AD3002" s="1531"/>
      <c r="AE3002" s="1531"/>
      <c r="AF3002" s="1531"/>
      <c r="AG3002" s="1531"/>
      <c r="AH3002" s="1531"/>
      <c r="AI3002" s="1531"/>
      <c r="AJ3002" s="1531"/>
      <c r="AK3002" s="1531"/>
      <c r="AL3002" s="1531"/>
      <c r="AM3002" s="1531"/>
      <c r="AN3002" s="1531"/>
      <c r="AO3002" s="1531"/>
      <c r="AP3002" s="1531"/>
      <c r="AQ3002" s="1531"/>
      <c r="AR3002" s="1531"/>
      <c r="AS3002" s="1531"/>
    </row>
    <row r="3003" spans="1:45" s="1136" customFormat="1" ht="15.75" x14ac:dyDescent="0.25">
      <c r="A3003" s="1456" t="s">
        <v>1719</v>
      </c>
      <c r="B3003" s="1443"/>
      <c r="C3003" s="1437"/>
      <c r="D3003" s="1350"/>
      <c r="E3003" s="1350"/>
      <c r="F3003" s="1350"/>
      <c r="G3003" s="1350"/>
      <c r="H3003" s="1531"/>
      <c r="I3003" s="1531"/>
      <c r="J3003" s="1531"/>
      <c r="K3003" s="1531"/>
      <c r="T3003" s="1531"/>
      <c r="U3003" s="1531"/>
      <c r="V3003" s="1531"/>
      <c r="W3003" s="1531"/>
      <c r="X3003" s="1531"/>
      <c r="Y3003" s="1531"/>
      <c r="AG3003" s="1531"/>
      <c r="AH3003" s="1531"/>
      <c r="AI3003" s="1531"/>
      <c r="AJ3003" s="1531"/>
      <c r="AK3003" s="1531"/>
      <c r="AL3003" s="1531"/>
      <c r="AM3003" s="1531"/>
      <c r="AN3003" s="1531"/>
      <c r="AO3003" s="1531"/>
      <c r="AP3003" s="1531"/>
      <c r="AQ3003" s="1531"/>
      <c r="AR3003" s="1531"/>
      <c r="AS3003" s="1531"/>
    </row>
    <row r="3004" spans="1:45" s="1136" customFormat="1" ht="15.75" x14ac:dyDescent="0.25">
      <c r="A3004" s="1456" t="s">
        <v>837</v>
      </c>
      <c r="B3004" s="1441">
        <f>INDEX($AB$3492:$AD$3496,B3001,B3002)</f>
        <v>306</v>
      </c>
      <c r="C3004" s="1434"/>
      <c r="D3004" s="1437"/>
      <c r="E3004" s="1437"/>
      <c r="F3004" s="1437"/>
      <c r="G3004" s="1437"/>
      <c r="H3004" s="1531"/>
      <c r="I3004" s="1531"/>
      <c r="J3004" s="1531"/>
      <c r="K3004" s="1531"/>
      <c r="T3004" s="1531"/>
      <c r="U3004" s="1531"/>
      <c r="V3004" s="1531"/>
      <c r="W3004" s="1531"/>
      <c r="X3004" s="1531"/>
      <c r="Y3004" s="1531"/>
      <c r="AG3004" s="1531"/>
      <c r="AH3004" s="1531"/>
      <c r="AI3004" s="1531"/>
      <c r="AJ3004" s="1531"/>
      <c r="AK3004" s="1531"/>
      <c r="AL3004" s="1531"/>
      <c r="AM3004" s="1531"/>
      <c r="AN3004" s="1531"/>
      <c r="AO3004" s="1531"/>
      <c r="AP3004" s="1531"/>
      <c r="AQ3004" s="1531"/>
      <c r="AR3004" s="1531"/>
      <c r="AS3004" s="1531"/>
    </row>
    <row r="3005" spans="1:45" s="1136" customFormat="1" ht="15.75" x14ac:dyDescent="0.25">
      <c r="A3005" s="1417" t="s">
        <v>491</v>
      </c>
      <c r="B3005" s="1441">
        <f>INDEX($AE$3492:$AG$3496,B3001,B3002)</f>
        <v>217</v>
      </c>
      <c r="C3005" s="1434"/>
      <c r="D3005" s="1429"/>
      <c r="E3005" s="1429"/>
      <c r="F3005" s="1429"/>
      <c r="G3005" s="1429"/>
      <c r="H3005" s="1531"/>
      <c r="I3005" s="1531"/>
      <c r="J3005" s="1531"/>
      <c r="K3005" s="1531"/>
      <c r="T3005" s="1531"/>
      <c r="U3005" s="1531"/>
      <c r="V3005" s="1531"/>
      <c r="W3005" s="1531"/>
      <c r="X3005" s="1531"/>
      <c r="Y3005" s="1531"/>
      <c r="AG3005" s="1531"/>
      <c r="AH3005" s="1531"/>
      <c r="AI3005" s="1531"/>
      <c r="AJ3005" s="1531"/>
      <c r="AK3005" s="1531"/>
      <c r="AL3005" s="1531"/>
      <c r="AM3005" s="1531"/>
      <c r="AN3005" s="1531"/>
      <c r="AO3005" s="1531"/>
      <c r="AP3005" s="1531"/>
      <c r="AQ3005" s="1531"/>
      <c r="AR3005" s="1531"/>
      <c r="AS3005" s="1531"/>
    </row>
    <row r="3006" spans="1:45" s="1136" customFormat="1" ht="15.75" x14ac:dyDescent="0.25">
      <c r="A3006" s="1417" t="s">
        <v>492</v>
      </c>
      <c r="B3006" s="1441">
        <f>INDEX($AH$3492:$AJ$3496,B3001,B3002)</f>
        <v>158</v>
      </c>
      <c r="C3006" s="1434"/>
      <c r="D3006" s="1434"/>
      <c r="E3006" s="1434"/>
      <c r="F3006" s="1434"/>
      <c r="G3006" s="1434"/>
      <c r="H3006" s="1531"/>
      <c r="I3006" s="1531"/>
      <c r="J3006" s="1531"/>
      <c r="K3006" s="1531"/>
      <c r="T3006" s="1531"/>
      <c r="U3006" s="1531"/>
      <c r="V3006" s="1531"/>
      <c r="W3006" s="1531"/>
      <c r="X3006" s="1531"/>
      <c r="Y3006" s="1531"/>
      <c r="AG3006" s="1531"/>
      <c r="AH3006" s="1531"/>
      <c r="AI3006" s="1531"/>
      <c r="AJ3006" s="1531"/>
      <c r="AK3006" s="1531"/>
      <c r="AL3006" s="1531"/>
      <c r="AM3006" s="1531"/>
      <c r="AN3006" s="1531"/>
      <c r="AO3006" s="1531"/>
      <c r="AP3006" s="1531"/>
      <c r="AQ3006" s="1531"/>
      <c r="AR3006" s="1531"/>
      <c r="AS3006" s="1531"/>
    </row>
    <row r="3007" spans="1:45" s="1136" customFormat="1" ht="15.75" x14ac:dyDescent="0.25">
      <c r="A3007" s="1417" t="s">
        <v>493</v>
      </c>
      <c r="B3007" s="1441">
        <f>INDEX($AK$3492:$AM$3496,B3001,B3002)</f>
        <v>121</v>
      </c>
      <c r="C3007" s="1434"/>
      <c r="D3007" s="1434"/>
      <c r="E3007" s="1434"/>
      <c r="F3007" s="1434"/>
      <c r="G3007" s="1434"/>
      <c r="H3007" s="1531"/>
      <c r="I3007" s="1531"/>
      <c r="J3007" s="1531"/>
      <c r="K3007" s="1531"/>
      <c r="T3007" s="1531"/>
      <c r="U3007" s="1531"/>
      <c r="V3007" s="1531"/>
      <c r="W3007" s="1531"/>
      <c r="X3007" s="1531"/>
      <c r="Y3007" s="1531"/>
      <c r="AG3007" s="1531"/>
      <c r="AH3007" s="1531"/>
      <c r="AI3007" s="1531"/>
      <c r="AJ3007" s="1531"/>
      <c r="AK3007" s="1531"/>
      <c r="AL3007" s="1531"/>
      <c r="AM3007" s="1531"/>
      <c r="AN3007" s="1531"/>
      <c r="AO3007" s="1531"/>
      <c r="AP3007" s="1531"/>
      <c r="AQ3007" s="1531"/>
      <c r="AR3007" s="1531"/>
      <c r="AS3007" s="1531"/>
    </row>
    <row r="3008" spans="1:45" s="1136" customFormat="1" ht="15.75" x14ac:dyDescent="0.25">
      <c r="A3008" s="1417" t="s">
        <v>494</v>
      </c>
      <c r="B3008" s="1441">
        <f>INDEX($AN$3492:$AP$3496,B3001,B3002)</f>
        <v>93</v>
      </c>
      <c r="C3008" s="1434"/>
      <c r="D3008" s="1434"/>
      <c r="E3008" s="1434"/>
      <c r="F3008" s="1434"/>
      <c r="G3008" s="1434"/>
      <c r="H3008" s="1531"/>
      <c r="I3008" s="1531"/>
      <c r="J3008" s="1531"/>
      <c r="K3008" s="1531"/>
      <c r="T3008" s="1531"/>
      <c r="U3008" s="1531"/>
      <c r="V3008" s="1531"/>
      <c r="W3008" s="1531"/>
      <c r="X3008" s="1531"/>
      <c r="Y3008" s="1531"/>
      <c r="AG3008" s="1531"/>
      <c r="AH3008" s="1531"/>
      <c r="AI3008" s="1531"/>
      <c r="AJ3008" s="1531"/>
      <c r="AK3008" s="1531"/>
      <c r="AL3008" s="1531"/>
      <c r="AM3008" s="1531"/>
      <c r="AN3008" s="1531"/>
      <c r="AO3008" s="1531"/>
      <c r="AP3008" s="1531"/>
      <c r="AQ3008" s="1531"/>
      <c r="AR3008" s="1531"/>
      <c r="AS3008" s="1531"/>
    </row>
    <row r="3009" spans="1:45" s="1136" customFormat="1" ht="15.75" x14ac:dyDescent="0.25">
      <c r="A3009" s="1430" t="s">
        <v>1322</v>
      </c>
      <c r="B3009" s="1443"/>
      <c r="C3009" s="1437"/>
      <c r="D3009" s="1434"/>
      <c r="E3009" s="1434"/>
      <c r="F3009" s="1434"/>
      <c r="G3009" s="1434"/>
      <c r="H3009" s="1596"/>
      <c r="I3009" s="1531"/>
      <c r="J3009" s="1531"/>
      <c r="K3009" s="1531"/>
      <c r="T3009" s="1531"/>
      <c r="U3009" s="1531"/>
      <c r="V3009" s="1531"/>
      <c r="W3009" s="1531"/>
      <c r="X3009" s="1531"/>
      <c r="Y3009" s="1531"/>
      <c r="AG3009" s="1531"/>
      <c r="AH3009" s="1531"/>
      <c r="AI3009" s="1531"/>
      <c r="AJ3009" s="1531"/>
      <c r="AK3009" s="1531"/>
      <c r="AL3009" s="1531"/>
      <c r="AM3009" s="1531"/>
      <c r="AN3009" s="1531"/>
      <c r="AO3009" s="1531"/>
      <c r="AP3009" s="1531"/>
      <c r="AQ3009" s="1531"/>
      <c r="AR3009" s="1531"/>
      <c r="AS3009" s="1531"/>
    </row>
    <row r="3010" spans="1:45" s="1136" customFormat="1" ht="15.75" x14ac:dyDescent="0.25">
      <c r="A3010" s="1430" t="s">
        <v>495</v>
      </c>
      <c r="B3010" s="1450">
        <v>0.7</v>
      </c>
      <c r="C3010" s="1440"/>
      <c r="D3010" s="1350"/>
      <c r="E3010" s="1350"/>
      <c r="F3010" s="1350"/>
      <c r="G3010" s="1350"/>
      <c r="H3010" s="1531"/>
      <c r="I3010" s="1531"/>
      <c r="J3010" s="1531"/>
      <c r="K3010" s="1531"/>
      <c r="T3010" s="1531"/>
      <c r="U3010" s="1531"/>
      <c r="V3010" s="1531"/>
      <c r="W3010" s="1531"/>
      <c r="X3010" s="1531"/>
      <c r="Y3010" s="1531"/>
      <c r="AG3010" s="1531"/>
      <c r="AH3010" s="1531"/>
      <c r="AI3010" s="1531"/>
      <c r="AJ3010" s="1531"/>
      <c r="AK3010" s="1531"/>
      <c r="AL3010" s="1531"/>
      <c r="AM3010" s="1531"/>
      <c r="AN3010" s="1531"/>
      <c r="AO3010" s="1531"/>
      <c r="AP3010" s="1531"/>
      <c r="AQ3010" s="1531"/>
      <c r="AR3010" s="1531"/>
      <c r="AS3010" s="1531"/>
    </row>
    <row r="3011" spans="1:45" s="1136" customFormat="1" ht="47.25" x14ac:dyDescent="0.25">
      <c r="A3011" s="1420" t="s">
        <v>496</v>
      </c>
      <c r="B3011" s="1431">
        <f>B2549</f>
        <v>0</v>
      </c>
      <c r="C3011" s="1434"/>
      <c r="D3011" s="1434"/>
      <c r="E3011" s="1434"/>
      <c r="F3011" s="1434"/>
      <c r="G3011" s="1434"/>
      <c r="H3011" s="1531"/>
      <c r="I3011" s="1531"/>
      <c r="J3011" s="1531"/>
      <c r="K3011" s="1531"/>
      <c r="T3011" s="1531"/>
      <c r="U3011" s="1531"/>
      <c r="V3011" s="1531"/>
      <c r="W3011" s="1531"/>
      <c r="X3011" s="1531"/>
      <c r="Y3011" s="1531"/>
      <c r="AG3011" s="1531"/>
      <c r="AH3011" s="1531"/>
      <c r="AI3011" s="1531"/>
      <c r="AJ3011" s="1531"/>
      <c r="AK3011" s="1531"/>
      <c r="AL3011" s="1531"/>
      <c r="AM3011" s="1531"/>
      <c r="AN3011" s="1531"/>
      <c r="AO3011" s="1531"/>
      <c r="AP3011" s="1531"/>
      <c r="AQ3011" s="1531"/>
      <c r="AR3011" s="1531"/>
      <c r="AS3011" s="1531"/>
    </row>
    <row r="3012" spans="1:45" s="1136" customFormat="1" ht="15.75" x14ac:dyDescent="0.25">
      <c r="A3012" s="1420" t="s">
        <v>2978</v>
      </c>
      <c r="B3012" s="1423">
        <f>IF(B3011=1,0.8,1)</f>
        <v>1</v>
      </c>
      <c r="C3012" s="1429"/>
      <c r="D3012" s="1434"/>
      <c r="E3012" s="1434"/>
      <c r="F3012" s="1434"/>
      <c r="G3012" s="1434"/>
      <c r="H3012" s="1531"/>
      <c r="I3012" s="1531"/>
      <c r="J3012" s="1531"/>
      <c r="K3012" s="1531"/>
      <c r="T3012" s="1531"/>
      <c r="U3012" s="1531"/>
      <c r="V3012" s="1531"/>
      <c r="W3012" s="1531"/>
      <c r="X3012" s="1531"/>
      <c r="Y3012" s="1531"/>
      <c r="AG3012" s="1531"/>
      <c r="AH3012" s="1531"/>
      <c r="AI3012" s="1531"/>
      <c r="AJ3012" s="1531"/>
      <c r="AK3012" s="1531"/>
      <c r="AL3012" s="1531"/>
      <c r="AM3012" s="1531"/>
      <c r="AN3012" s="1531"/>
      <c r="AO3012" s="1531"/>
      <c r="AP3012" s="1531"/>
      <c r="AQ3012" s="1531"/>
      <c r="AR3012" s="1531"/>
      <c r="AS3012" s="1531"/>
    </row>
    <row r="3013" spans="1:45" s="1136" customFormat="1" ht="94.5" x14ac:dyDescent="0.25">
      <c r="A3013" s="1420" t="s">
        <v>3968</v>
      </c>
      <c r="B3013" s="1431">
        <f>B2551</f>
        <v>0</v>
      </c>
      <c r="C3013" s="1434"/>
      <c r="D3013" s="1434"/>
      <c r="E3013" s="1434"/>
      <c r="F3013" s="1434"/>
      <c r="G3013" s="1434"/>
      <c r="H3013" s="1531"/>
      <c r="I3013" s="1531"/>
      <c r="J3013" s="1531"/>
      <c r="K3013" s="1531"/>
      <c r="T3013" s="1531"/>
      <c r="U3013" s="1531"/>
      <c r="V3013" s="1531"/>
      <c r="W3013" s="1531"/>
      <c r="X3013" s="1531"/>
      <c r="Y3013" s="1531"/>
      <c r="AG3013" s="1531"/>
      <c r="AH3013" s="1531"/>
      <c r="AI3013" s="1531"/>
      <c r="AJ3013" s="1531"/>
      <c r="AK3013" s="1531"/>
      <c r="AL3013" s="1531"/>
      <c r="AM3013" s="1531"/>
      <c r="AN3013" s="1531"/>
      <c r="AO3013" s="1531"/>
      <c r="AP3013" s="1531"/>
      <c r="AQ3013" s="1531"/>
      <c r="AR3013" s="1531"/>
      <c r="AS3013" s="1531"/>
    </row>
    <row r="3014" spans="1:45" s="1136" customFormat="1" ht="31.5" x14ac:dyDescent="0.25">
      <c r="A3014" s="1420" t="s">
        <v>3969</v>
      </c>
      <c r="B3014" s="1423">
        <f>IF(B3013=1,0.9,1)</f>
        <v>1</v>
      </c>
      <c r="C3014" s="1429"/>
      <c r="D3014" s="1434"/>
      <c r="E3014" s="1434"/>
      <c r="F3014" s="1434"/>
      <c r="G3014" s="1434"/>
      <c r="H3014" s="1531"/>
      <c r="I3014" s="1531"/>
      <c r="J3014" s="1531"/>
      <c r="K3014" s="1531"/>
      <c r="T3014" s="1531"/>
      <c r="U3014" s="1531"/>
      <c r="V3014" s="1531"/>
      <c r="W3014" s="1531"/>
      <c r="X3014" s="1531"/>
      <c r="Y3014" s="1531"/>
      <c r="AG3014" s="1531"/>
      <c r="AH3014" s="1531"/>
      <c r="AI3014" s="1531"/>
      <c r="AJ3014" s="1531"/>
      <c r="AK3014" s="1531"/>
      <c r="AL3014" s="1531"/>
      <c r="AM3014" s="1531"/>
      <c r="AN3014" s="1531"/>
      <c r="AO3014" s="1531"/>
      <c r="AP3014" s="1531"/>
      <c r="AQ3014" s="1531"/>
      <c r="AR3014" s="1531"/>
      <c r="AS3014" s="1531"/>
    </row>
    <row r="3015" spans="1:45" s="1136" customFormat="1" ht="63" x14ac:dyDescent="0.25">
      <c r="A3015" s="1420" t="s">
        <v>1335</v>
      </c>
      <c r="B3015" s="1431">
        <f>B2553</f>
        <v>0</v>
      </c>
      <c r="C3015" s="1434"/>
      <c r="D3015" s="1434"/>
      <c r="E3015" s="1434"/>
      <c r="F3015" s="1434"/>
      <c r="G3015" s="1434"/>
      <c r="H3015" s="1531"/>
      <c r="I3015" s="1531"/>
      <c r="J3015" s="1531"/>
      <c r="K3015" s="1531"/>
      <c r="T3015" s="1531"/>
      <c r="U3015" s="1531"/>
      <c r="V3015" s="1531"/>
      <c r="W3015" s="1531"/>
      <c r="X3015" s="1531"/>
      <c r="Y3015" s="1531"/>
      <c r="Z3015" s="1531"/>
      <c r="AA3015" s="1531"/>
      <c r="AB3015" s="1531"/>
      <c r="AC3015" s="1531"/>
      <c r="AD3015" s="1531"/>
      <c r="AE3015" s="1531"/>
      <c r="AF3015" s="1531"/>
      <c r="AG3015" s="1531"/>
      <c r="AH3015" s="1531"/>
      <c r="AI3015" s="1531"/>
      <c r="AJ3015" s="1531"/>
      <c r="AK3015" s="1531"/>
      <c r="AL3015" s="1531"/>
      <c r="AM3015" s="1531"/>
      <c r="AN3015" s="1531"/>
      <c r="AO3015" s="1531"/>
      <c r="AP3015" s="1531"/>
      <c r="AQ3015" s="1531"/>
      <c r="AR3015" s="1531"/>
      <c r="AS3015" s="1531"/>
    </row>
    <row r="3016" spans="1:45" s="1136" customFormat="1" ht="15.75" x14ac:dyDescent="0.25">
      <c r="A3016" s="1420" t="s">
        <v>1336</v>
      </c>
      <c r="B3016" s="1433">
        <f>IF(B3015=1,0.95,1)</f>
        <v>1</v>
      </c>
      <c r="C3016" s="1437"/>
      <c r="D3016" s="1350"/>
      <c r="E3016" s="1350"/>
      <c r="F3016" s="1350"/>
      <c r="G3016" s="1350"/>
      <c r="H3016" s="1531"/>
      <c r="I3016" s="1531"/>
      <c r="J3016" s="1531"/>
      <c r="K3016" s="1531"/>
      <c r="T3016" s="1531"/>
      <c r="U3016" s="1531"/>
      <c r="V3016" s="1531"/>
      <c r="W3016" s="1531"/>
      <c r="X3016" s="1531"/>
      <c r="Y3016" s="1531"/>
      <c r="Z3016" s="1531"/>
      <c r="AA3016" s="1531"/>
      <c r="AB3016" s="1531"/>
      <c r="AC3016" s="1531"/>
      <c r="AD3016" s="1531"/>
      <c r="AE3016" s="1531"/>
      <c r="AF3016" s="1531"/>
      <c r="AG3016" s="1531"/>
      <c r="AH3016" s="1531"/>
      <c r="AI3016" s="1531"/>
      <c r="AJ3016" s="1531"/>
      <c r="AK3016" s="1531"/>
      <c r="AL3016" s="1531"/>
      <c r="AM3016" s="1531"/>
      <c r="AN3016" s="1531"/>
      <c r="AO3016" s="1531"/>
      <c r="AP3016" s="1531"/>
      <c r="AQ3016" s="1531"/>
      <c r="AR3016" s="1531"/>
      <c r="AS3016" s="1531"/>
    </row>
    <row r="3017" spans="1:45" s="1136" customFormat="1" ht="15.75" x14ac:dyDescent="0.25">
      <c r="A3017" s="1430" t="s">
        <v>1</v>
      </c>
      <c r="B3017" s="1433" t="e">
        <f>B3000*B3010*B3012*B3014*B3016*B2383</f>
        <v>#VALUE!</v>
      </c>
      <c r="C3017" s="1437"/>
      <c r="D3017" s="1440"/>
      <c r="E3017" s="1440"/>
      <c r="F3017" s="1440"/>
      <c r="G3017" s="1440"/>
      <c r="H3017" s="1531"/>
      <c r="I3017" s="1531"/>
      <c r="J3017" s="1531"/>
      <c r="K3017" s="1531"/>
      <c r="T3017" s="1531"/>
      <c r="U3017" s="1531"/>
      <c r="V3017" s="1531"/>
      <c r="W3017" s="1531"/>
      <c r="X3017" s="1531"/>
      <c r="Y3017" s="1531"/>
      <c r="Z3017" s="1531"/>
      <c r="AA3017" s="1531"/>
      <c r="AB3017" s="1531"/>
      <c r="AC3017" s="1531"/>
      <c r="AD3017" s="1531"/>
      <c r="AE3017" s="1531"/>
      <c r="AF3017" s="1531"/>
      <c r="AG3017" s="1531"/>
      <c r="AH3017" s="1531"/>
      <c r="AI3017" s="1531"/>
      <c r="AJ3017" s="1531"/>
      <c r="AK3017" s="1531"/>
      <c r="AL3017" s="1531"/>
      <c r="AM3017" s="1531"/>
      <c r="AN3017" s="1531"/>
      <c r="AO3017" s="1531"/>
      <c r="AP3017" s="1531"/>
      <c r="AQ3017" s="1531"/>
      <c r="AR3017" s="1531"/>
      <c r="AS3017" s="1531"/>
    </row>
    <row r="3018" spans="1:45" s="1136" customFormat="1" ht="15.75" x14ac:dyDescent="0.25">
      <c r="A3018" s="1430" t="s">
        <v>429</v>
      </c>
      <c r="B3018" s="1428" t="e">
        <f>B2998/B3017</f>
        <v>#VALUE!</v>
      </c>
      <c r="C3018" s="1432"/>
      <c r="D3018" s="1434"/>
      <c r="E3018" s="1434"/>
      <c r="F3018" s="1434"/>
      <c r="G3018" s="1434"/>
      <c r="H3018" s="1531"/>
      <c r="I3018" s="1531"/>
      <c r="J3018" s="1531"/>
      <c r="K3018" s="1531"/>
      <c r="T3018" s="1531"/>
      <c r="U3018" s="1531"/>
      <c r="V3018" s="1531"/>
      <c r="W3018" s="1531"/>
      <c r="X3018" s="1531"/>
      <c r="Y3018" s="1531"/>
      <c r="Z3018" s="1531"/>
      <c r="AA3018" s="1531"/>
      <c r="AB3018" s="1531"/>
      <c r="AC3018" s="1531"/>
      <c r="AD3018" s="1531"/>
      <c r="AE3018" s="1531"/>
      <c r="AF3018" s="1531"/>
      <c r="AG3018" s="1531"/>
      <c r="AH3018" s="1531"/>
      <c r="AI3018" s="1531"/>
      <c r="AJ3018" s="1531"/>
      <c r="AK3018" s="1531"/>
      <c r="AL3018" s="1531"/>
      <c r="AM3018" s="1531"/>
      <c r="AN3018" s="1531"/>
      <c r="AO3018" s="1531"/>
      <c r="AP3018" s="1531"/>
      <c r="AQ3018" s="1531"/>
      <c r="AR3018" s="1531"/>
      <c r="AS3018" s="1531"/>
    </row>
    <row r="3019" spans="1:45" s="1136" customFormat="1" ht="15.75" x14ac:dyDescent="0.25">
      <c r="A3019" s="1466" t="s">
        <v>831</v>
      </c>
      <c r="B3019" s="1459">
        <f>IF(B252=2,B3018,0)</f>
        <v>0</v>
      </c>
      <c r="C3019" s="1454"/>
      <c r="D3019" s="1429"/>
      <c r="E3019" s="1429"/>
      <c r="F3019" s="1429"/>
      <c r="G3019" s="1429"/>
      <c r="H3019" s="1531"/>
      <c r="I3019" s="1531"/>
      <c r="J3019" s="1531"/>
      <c r="K3019" s="1531"/>
      <c r="T3019" s="1531"/>
      <c r="U3019" s="1531"/>
      <c r="V3019" s="1531"/>
      <c r="W3019" s="1531"/>
      <c r="X3019" s="1531"/>
      <c r="Y3019" s="1531"/>
      <c r="Z3019" s="1531"/>
      <c r="AA3019" s="1531"/>
      <c r="AB3019" s="1531"/>
      <c r="AC3019" s="1531"/>
      <c r="AD3019" s="1531"/>
      <c r="AE3019" s="1531"/>
      <c r="AF3019" s="1531"/>
      <c r="AG3019" s="1531"/>
      <c r="AH3019" s="1531"/>
      <c r="AI3019" s="1531"/>
      <c r="AJ3019" s="1531"/>
      <c r="AK3019" s="1531"/>
      <c r="AL3019" s="1531"/>
      <c r="AM3019" s="1531"/>
      <c r="AN3019" s="1531"/>
      <c r="AO3019" s="1531"/>
      <c r="AP3019" s="1531"/>
      <c r="AQ3019" s="1531"/>
      <c r="AR3019" s="1531"/>
      <c r="AS3019" s="1531"/>
    </row>
    <row r="3020" spans="1:45" s="1136" customFormat="1" ht="15.75" x14ac:dyDescent="0.25">
      <c r="A3020" s="1430"/>
      <c r="B3020" s="1428"/>
      <c r="C3020" s="1432"/>
      <c r="D3020" s="1434"/>
      <c r="E3020" s="1434"/>
      <c r="F3020" s="1434"/>
      <c r="G3020" s="1434"/>
      <c r="H3020" s="1531"/>
      <c r="I3020" s="1531"/>
      <c r="J3020" s="1551"/>
      <c r="K3020" s="1531"/>
      <c r="L3020" s="1531"/>
      <c r="M3020" s="1531"/>
      <c r="N3020" s="1531"/>
      <c r="O3020" s="1531"/>
      <c r="P3020" s="1531"/>
      <c r="Q3020" s="1531"/>
      <c r="R3020" s="1531"/>
      <c r="S3020" s="1531"/>
      <c r="T3020" s="1531"/>
      <c r="U3020" s="1531"/>
      <c r="V3020" s="1531"/>
      <c r="W3020" s="1531"/>
      <c r="X3020" s="1531"/>
      <c r="Y3020" s="1531"/>
      <c r="Z3020" s="1531"/>
      <c r="AA3020" s="1531"/>
      <c r="AB3020" s="1531"/>
      <c r="AC3020" s="1531"/>
      <c r="AD3020" s="1531"/>
      <c r="AE3020" s="1531"/>
      <c r="AF3020" s="1531"/>
      <c r="AG3020" s="1531"/>
      <c r="AH3020" s="1531"/>
      <c r="AI3020" s="1531"/>
      <c r="AJ3020" s="1531"/>
      <c r="AK3020" s="1531"/>
      <c r="AL3020" s="1531"/>
      <c r="AM3020" s="1531"/>
      <c r="AN3020" s="1531"/>
      <c r="AO3020" s="1531"/>
      <c r="AP3020" s="1531"/>
      <c r="AQ3020" s="1531"/>
      <c r="AR3020" s="1531"/>
      <c r="AS3020" s="1531"/>
    </row>
    <row r="3021" spans="1:45" s="1136" customFormat="1" ht="15.75" x14ac:dyDescent="0.25">
      <c r="A3021" s="1461" t="s">
        <v>4352</v>
      </c>
      <c r="B3021" s="1428"/>
      <c r="C3021" s="1432"/>
      <c r="D3021" s="1429"/>
      <c r="E3021" s="1429"/>
      <c r="F3021" s="1429"/>
      <c r="G3021" s="1429"/>
      <c r="H3021" s="1531"/>
      <c r="I3021" s="1531"/>
      <c r="J3021" s="1531"/>
      <c r="K3021" s="1531"/>
      <c r="L3021" s="1531"/>
      <c r="M3021" s="1531"/>
      <c r="N3021" s="1531"/>
      <c r="O3021" s="1531"/>
      <c r="P3021" s="1531"/>
      <c r="Q3021" s="1531"/>
      <c r="R3021" s="1531"/>
      <c r="S3021" s="1531"/>
      <c r="T3021" s="1531"/>
      <c r="U3021" s="1531"/>
      <c r="V3021" s="1531"/>
      <c r="W3021" s="1531"/>
      <c r="X3021" s="1531"/>
      <c r="Y3021" s="1531"/>
      <c r="Z3021" s="1531"/>
      <c r="AA3021" s="1531"/>
      <c r="AB3021" s="1531"/>
      <c r="AC3021" s="1531"/>
      <c r="AD3021" s="1531"/>
      <c r="AE3021" s="1531"/>
      <c r="AF3021" s="1531"/>
      <c r="AG3021" s="1531"/>
      <c r="AH3021" s="1531"/>
      <c r="AI3021" s="1531"/>
      <c r="AJ3021" s="1531"/>
      <c r="AK3021" s="1531"/>
      <c r="AL3021" s="1531"/>
      <c r="AM3021" s="1531"/>
      <c r="AN3021" s="1531"/>
      <c r="AO3021" s="1531"/>
      <c r="AP3021" s="1531"/>
      <c r="AQ3021" s="1531"/>
      <c r="AR3021" s="1531"/>
      <c r="AS3021" s="1531"/>
    </row>
    <row r="3022" spans="1:45" s="1136" customFormat="1" ht="15.75" x14ac:dyDescent="0.25">
      <c r="A3022" s="1430" t="s">
        <v>2995</v>
      </c>
      <c r="B3022" s="1428" t="e">
        <f>B240*B245*B243*B244*B247</f>
        <v>#VALUE!</v>
      </c>
      <c r="C3022" s="1432"/>
      <c r="D3022" s="1434"/>
      <c r="E3022" s="1434"/>
      <c r="F3022" s="1434"/>
      <c r="G3022" s="1434"/>
      <c r="H3022" s="1531"/>
      <c r="I3022" s="1531"/>
      <c r="J3022" s="1531"/>
      <c r="K3022" s="1531"/>
      <c r="L3022" s="1531"/>
      <c r="M3022" s="1531"/>
      <c r="N3022" s="1531"/>
      <c r="O3022" s="1531"/>
      <c r="P3022" s="1531"/>
      <c r="Q3022" s="1531"/>
      <c r="R3022" s="1531"/>
      <c r="S3022" s="1531"/>
      <c r="T3022" s="1531"/>
      <c r="U3022" s="1531"/>
      <c r="V3022" s="1531"/>
      <c r="W3022" s="1531"/>
      <c r="X3022" s="1531"/>
      <c r="Y3022" s="1531"/>
      <c r="Z3022" s="1531"/>
      <c r="AA3022" s="1531"/>
      <c r="AB3022" s="1531"/>
      <c r="AC3022" s="1531"/>
      <c r="AD3022" s="1531"/>
      <c r="AE3022" s="1531"/>
      <c r="AF3022" s="1531"/>
      <c r="AG3022" s="1531"/>
      <c r="AH3022" s="1531"/>
      <c r="AI3022" s="1531"/>
      <c r="AJ3022" s="1531"/>
      <c r="AK3022" s="1531"/>
      <c r="AL3022" s="1531"/>
      <c r="AM3022" s="1531"/>
      <c r="AN3022" s="1531"/>
      <c r="AO3022" s="1531"/>
      <c r="AP3022" s="1531"/>
      <c r="AQ3022" s="1531"/>
      <c r="AR3022" s="1531"/>
      <c r="AS3022" s="1531"/>
    </row>
    <row r="3023" spans="1:45" s="1136" customFormat="1" ht="15.75" x14ac:dyDescent="0.25">
      <c r="A3023" s="1430" t="s">
        <v>4353</v>
      </c>
      <c r="B3023" s="1423">
        <f>IF(B240&lt;0.61,9.05,IF(B240&lt;0.71,9.93,IF(B240&lt;0.81,10.8,IF(B240&lt;0.91,11.4,IF(B240&lt;1.01,12,IF(B240&lt;1.11,12.5,IF(B240&lt;1.26,13.2,B3024)))))))</f>
        <v>16.5</v>
      </c>
      <c r="C3023" s="1429"/>
      <c r="D3023" s="1437"/>
      <c r="E3023" s="1437"/>
      <c r="F3023" s="1437"/>
      <c r="G3023" s="1437"/>
      <c r="H3023" s="1531"/>
      <c r="I3023" s="1531"/>
      <c r="J3023" s="1531"/>
      <c r="K3023" s="1531"/>
      <c r="L3023" s="1531"/>
      <c r="M3023" s="1531"/>
      <c r="N3023" s="1531"/>
      <c r="O3023" s="1531"/>
      <c r="P3023" s="1531"/>
      <c r="Q3023" s="1531"/>
      <c r="R3023" s="1531"/>
      <c r="S3023" s="1531"/>
      <c r="T3023" s="1531"/>
      <c r="U3023" s="1531"/>
      <c r="V3023" s="1531"/>
      <c r="W3023" s="1531"/>
      <c r="X3023" s="1531"/>
      <c r="Y3023" s="1531"/>
      <c r="Z3023" s="1531"/>
      <c r="AA3023" s="1531"/>
      <c r="AB3023" s="1531"/>
      <c r="AC3023" s="1531"/>
      <c r="AD3023" s="1531"/>
      <c r="AE3023" s="1531"/>
      <c r="AF3023" s="1531"/>
      <c r="AG3023" s="1531"/>
      <c r="AH3023" s="1531"/>
      <c r="AI3023" s="1531"/>
      <c r="AJ3023" s="1531"/>
      <c r="AK3023" s="1531"/>
      <c r="AL3023" s="1531"/>
      <c r="AM3023" s="1531"/>
      <c r="AN3023" s="1531"/>
      <c r="AO3023" s="1531"/>
      <c r="AP3023" s="1531"/>
      <c r="AQ3023" s="1531"/>
      <c r="AR3023" s="1531"/>
      <c r="AS3023" s="1531"/>
    </row>
    <row r="3024" spans="1:45" s="1136" customFormat="1" ht="15.75" x14ac:dyDescent="0.25">
      <c r="A3024" s="1430" t="s">
        <v>4354</v>
      </c>
      <c r="B3024" s="1423">
        <f>IF(B240&lt;1.41,13.8,IF(B240&lt;1.81,14.7,16.5))</f>
        <v>16.5</v>
      </c>
      <c r="C3024" s="1429"/>
      <c r="D3024" s="1437"/>
      <c r="E3024" s="1437"/>
      <c r="F3024" s="1437"/>
      <c r="G3024" s="1437"/>
      <c r="H3024" s="1531"/>
      <c r="I3024" s="1531"/>
      <c r="J3024" s="1531"/>
      <c r="K3024" s="1531"/>
      <c r="L3024" s="1531"/>
      <c r="M3024" s="1531"/>
      <c r="N3024" s="1531"/>
      <c r="O3024" s="1531"/>
      <c r="P3024" s="1531"/>
      <c r="Q3024" s="1531"/>
      <c r="R3024" s="1531"/>
      <c r="S3024" s="1531"/>
      <c r="T3024" s="1531"/>
      <c r="U3024" s="1531"/>
      <c r="V3024" s="1531"/>
      <c r="W3024" s="1531"/>
      <c r="X3024" s="1531"/>
      <c r="Y3024" s="1531"/>
      <c r="Z3024" s="1531"/>
      <c r="AA3024" s="1531"/>
      <c r="AB3024" s="1531"/>
      <c r="AC3024" s="1531"/>
      <c r="AD3024" s="1531"/>
      <c r="AE3024" s="1531"/>
      <c r="AF3024" s="1531"/>
      <c r="AG3024" s="1531"/>
      <c r="AH3024" s="1531"/>
      <c r="AI3024" s="1531"/>
      <c r="AJ3024" s="1531"/>
      <c r="AK3024" s="1531"/>
      <c r="AL3024" s="1531"/>
      <c r="AM3024" s="1531"/>
      <c r="AN3024" s="1531"/>
      <c r="AO3024" s="1531"/>
      <c r="AP3024" s="1531"/>
      <c r="AQ3024" s="1531"/>
      <c r="AR3024" s="1531"/>
      <c r="AS3024" s="1531"/>
    </row>
    <row r="3025" spans="1:45" s="1136" customFormat="1" ht="15.75" x14ac:dyDescent="0.25">
      <c r="A3025" s="1430" t="s">
        <v>1322</v>
      </c>
      <c r="B3025" s="1423"/>
      <c r="C3025" s="1429"/>
      <c r="D3025" s="1432"/>
      <c r="E3025" s="1432"/>
      <c r="F3025" s="1432"/>
      <c r="G3025" s="1432"/>
      <c r="H3025" s="1531"/>
      <c r="I3025" s="1531"/>
      <c r="J3025" s="1531"/>
      <c r="K3025" s="1531"/>
      <c r="L3025" s="1531"/>
      <c r="M3025" s="1531"/>
      <c r="N3025" s="1531"/>
      <c r="O3025" s="1531"/>
      <c r="P3025" s="1531"/>
      <c r="Q3025" s="1531"/>
      <c r="R3025" s="1531"/>
      <c r="S3025" s="1531"/>
      <c r="T3025" s="1531"/>
      <c r="U3025" s="1531"/>
      <c r="V3025" s="1531"/>
      <c r="W3025" s="1531"/>
      <c r="X3025" s="1531"/>
      <c r="Y3025" s="1531"/>
      <c r="Z3025" s="1531"/>
      <c r="AA3025" s="1531"/>
      <c r="AB3025" s="1531"/>
      <c r="AC3025" s="1531"/>
      <c r="AD3025" s="1531"/>
      <c r="AE3025" s="1531"/>
      <c r="AF3025" s="1531"/>
      <c r="AG3025" s="1531"/>
      <c r="AH3025" s="1531"/>
      <c r="AI3025" s="1531"/>
      <c r="AJ3025" s="1531"/>
      <c r="AK3025" s="1531"/>
      <c r="AL3025" s="1531"/>
      <c r="AM3025" s="1531"/>
      <c r="AN3025" s="1531"/>
      <c r="AO3025" s="1531"/>
      <c r="AP3025" s="1531"/>
      <c r="AQ3025" s="1531"/>
      <c r="AR3025" s="1531"/>
      <c r="AS3025" s="1531"/>
    </row>
    <row r="3026" spans="1:45" s="1136" customFormat="1" ht="15.75" x14ac:dyDescent="0.25">
      <c r="A3026" s="1456" t="s">
        <v>4355</v>
      </c>
      <c r="B3026" s="1423">
        <f>1.5*B243</f>
        <v>0</v>
      </c>
      <c r="C3026" s="1429"/>
      <c r="D3026" s="1454"/>
      <c r="E3026" s="1454"/>
      <c r="F3026" s="1454"/>
      <c r="G3026" s="1454"/>
      <c r="H3026" s="1531"/>
      <c r="I3026" s="1531"/>
      <c r="J3026" s="1531"/>
      <c r="K3026" s="1531"/>
      <c r="L3026" s="1531"/>
      <c r="M3026" s="1531"/>
      <c r="N3026" s="1531"/>
      <c r="O3026" s="1531"/>
      <c r="P3026" s="1531"/>
      <c r="Q3026" s="1531"/>
      <c r="R3026" s="1531"/>
      <c r="S3026" s="1531"/>
      <c r="T3026" s="1531"/>
      <c r="U3026" s="1531"/>
      <c r="V3026" s="1531"/>
      <c r="W3026" s="1531"/>
      <c r="X3026" s="1531"/>
      <c r="Y3026" s="1531"/>
      <c r="Z3026" s="1531"/>
      <c r="AA3026" s="1531"/>
      <c r="AB3026" s="1531"/>
      <c r="AC3026" s="1531"/>
      <c r="AD3026" s="1531"/>
      <c r="AE3026" s="1531"/>
      <c r="AF3026" s="1531"/>
      <c r="AG3026" s="1531"/>
      <c r="AH3026" s="1531"/>
      <c r="AI3026" s="1531"/>
      <c r="AJ3026" s="1531"/>
      <c r="AK3026" s="1531"/>
      <c r="AL3026" s="1531"/>
      <c r="AM3026" s="1531"/>
      <c r="AN3026" s="1531"/>
      <c r="AO3026" s="1531"/>
      <c r="AP3026" s="1531"/>
      <c r="AQ3026" s="1531"/>
      <c r="AR3026" s="1531"/>
      <c r="AS3026" s="1531"/>
    </row>
    <row r="3027" spans="1:45" s="1136" customFormat="1" ht="15.75" x14ac:dyDescent="0.25">
      <c r="A3027" s="1430" t="s">
        <v>4356</v>
      </c>
      <c r="B3027" s="1433">
        <f>IF(B3026&lt;6.1,0.85,0.9)</f>
        <v>0.85</v>
      </c>
      <c r="C3027" s="1437"/>
      <c r="D3027" s="1350"/>
      <c r="E3027" s="1350"/>
      <c r="F3027" s="1350"/>
      <c r="G3027" s="1350"/>
      <c r="H3027" s="1531"/>
      <c r="I3027" s="1531"/>
      <c r="J3027" s="1531"/>
      <c r="K3027" s="1531"/>
      <c r="L3027" s="1531"/>
      <c r="M3027" s="1531"/>
      <c r="N3027" s="1531"/>
      <c r="O3027" s="1531"/>
      <c r="P3027" s="1531"/>
      <c r="Q3027" s="1531"/>
      <c r="R3027" s="1531"/>
      <c r="S3027" s="1531"/>
      <c r="T3027" s="1531"/>
      <c r="U3027" s="1531"/>
      <c r="V3027" s="1531"/>
      <c r="W3027" s="1531"/>
      <c r="X3027" s="1531"/>
      <c r="Y3027" s="1531"/>
      <c r="Z3027" s="1531"/>
      <c r="AA3027" s="1531"/>
      <c r="AB3027" s="1531"/>
      <c r="AC3027" s="1531"/>
      <c r="AD3027" s="1531"/>
      <c r="AE3027" s="1531"/>
      <c r="AF3027" s="1531"/>
      <c r="AG3027" s="1531"/>
      <c r="AH3027" s="1531"/>
      <c r="AI3027" s="1531"/>
      <c r="AJ3027" s="1531"/>
      <c r="AK3027" s="1531"/>
      <c r="AL3027" s="1531"/>
      <c r="AM3027" s="1531"/>
      <c r="AN3027" s="1531"/>
      <c r="AO3027" s="1531"/>
      <c r="AP3027" s="1531"/>
      <c r="AQ3027" s="1531"/>
      <c r="AR3027" s="1531"/>
      <c r="AS3027" s="1531"/>
    </row>
    <row r="3028" spans="1:45" s="1136" customFormat="1" ht="15.75" x14ac:dyDescent="0.25">
      <c r="A3028" s="1430" t="s">
        <v>4357</v>
      </c>
      <c r="B3028" s="1433" t="e">
        <f>B2382</f>
        <v>#VALUE!</v>
      </c>
      <c r="C3028" s="1437"/>
      <c r="D3028" s="1350"/>
      <c r="E3028" s="1350"/>
      <c r="F3028" s="1350"/>
      <c r="G3028" s="1350"/>
      <c r="H3028" s="1531"/>
      <c r="I3028" s="1531"/>
      <c r="J3028" s="1531"/>
      <c r="K3028" s="1531"/>
      <c r="L3028" s="1531"/>
      <c r="M3028" s="1531"/>
      <c r="N3028" s="1531"/>
      <c r="O3028" s="1531"/>
      <c r="P3028" s="1531"/>
      <c r="Q3028" s="1531"/>
      <c r="R3028" s="1531"/>
      <c r="S3028" s="1531"/>
      <c r="T3028" s="1531"/>
      <c r="U3028" s="1531"/>
      <c r="V3028" s="1531"/>
      <c r="W3028" s="1531"/>
      <c r="X3028" s="1531"/>
      <c r="Y3028" s="1531"/>
      <c r="Z3028" s="1531"/>
      <c r="AA3028" s="1531"/>
      <c r="AB3028" s="1531"/>
      <c r="AC3028" s="1531"/>
      <c r="AD3028" s="1531"/>
      <c r="AE3028" s="1531"/>
      <c r="AF3028" s="1531"/>
      <c r="AG3028" s="1531"/>
      <c r="AH3028" s="1531"/>
      <c r="AI3028" s="1531"/>
      <c r="AJ3028" s="1531"/>
      <c r="AK3028" s="1531"/>
      <c r="AL3028" s="1531"/>
      <c r="AM3028" s="1531"/>
      <c r="AN3028" s="1531"/>
      <c r="AO3028" s="1531"/>
      <c r="AP3028" s="1531"/>
      <c r="AQ3028" s="1531"/>
      <c r="AR3028" s="1531"/>
      <c r="AS3028" s="1531"/>
    </row>
    <row r="3029" spans="1:45" s="1136" customFormat="1" ht="15.75" x14ac:dyDescent="0.25">
      <c r="A3029" s="1430" t="s">
        <v>4358</v>
      </c>
      <c r="B3029" s="1479">
        <v>0.7</v>
      </c>
      <c r="C3029" s="1458"/>
      <c r="D3029" s="1432"/>
      <c r="E3029" s="1432"/>
      <c r="F3029" s="1432"/>
      <c r="G3029" s="1432"/>
      <c r="H3029" s="1531"/>
      <c r="I3029" s="1531"/>
      <c r="J3029" s="1531"/>
      <c r="K3029" s="1531"/>
      <c r="L3029" s="1531"/>
      <c r="M3029" s="1531"/>
      <c r="N3029" s="1531"/>
      <c r="O3029" s="1531"/>
      <c r="P3029" s="1531"/>
      <c r="Q3029" s="1531"/>
      <c r="R3029" s="1531"/>
      <c r="S3029" s="1531"/>
      <c r="T3029" s="1531"/>
      <c r="U3029" s="1531"/>
      <c r="V3029" s="1531"/>
      <c r="W3029" s="1531"/>
      <c r="X3029" s="1531"/>
      <c r="Y3029" s="1531"/>
      <c r="Z3029" s="1531"/>
      <c r="AA3029" s="1531"/>
      <c r="AB3029" s="1531"/>
      <c r="AC3029" s="1531"/>
      <c r="AD3029" s="1531"/>
      <c r="AE3029" s="1531"/>
      <c r="AF3029" s="1531"/>
      <c r="AG3029" s="1531"/>
      <c r="AH3029" s="1531"/>
      <c r="AI3029" s="1531"/>
      <c r="AJ3029" s="1531"/>
      <c r="AK3029" s="1531"/>
      <c r="AL3029" s="1531"/>
      <c r="AM3029" s="1531"/>
      <c r="AN3029" s="1531"/>
      <c r="AO3029" s="1531"/>
      <c r="AP3029" s="1531"/>
      <c r="AQ3029" s="1531"/>
      <c r="AR3029" s="1531"/>
      <c r="AS3029" s="1531"/>
    </row>
    <row r="3030" spans="1:45" s="1136" customFormat="1" ht="31.5" x14ac:dyDescent="0.25">
      <c r="A3030" s="1420" t="s">
        <v>4359</v>
      </c>
      <c r="B3030" s="1431">
        <f>B2578</f>
        <v>0</v>
      </c>
      <c r="C3030" s="1434"/>
      <c r="D3030" s="1429"/>
      <c r="E3030" s="1429"/>
      <c r="F3030" s="1429"/>
      <c r="G3030" s="1429"/>
      <c r="H3030" s="1531"/>
      <c r="I3030" s="1531"/>
      <c r="J3030" s="1531"/>
      <c r="K3030" s="1531"/>
      <c r="L3030" s="1531"/>
      <c r="M3030" s="1531"/>
      <c r="N3030" s="1531"/>
      <c r="O3030" s="1531"/>
      <c r="P3030" s="1531"/>
      <c r="Q3030" s="1531"/>
      <c r="R3030" s="1531"/>
      <c r="S3030" s="1531"/>
      <c r="T3030" s="1531"/>
      <c r="U3030" s="1531"/>
      <c r="V3030" s="1531"/>
      <c r="W3030" s="1531"/>
      <c r="X3030" s="1531"/>
      <c r="Y3030" s="1531"/>
      <c r="Z3030" s="1531"/>
      <c r="AA3030" s="1531"/>
      <c r="AB3030" s="1531"/>
      <c r="AC3030" s="1531"/>
      <c r="AD3030" s="1531"/>
      <c r="AE3030" s="1531"/>
      <c r="AF3030" s="1531"/>
      <c r="AG3030" s="1531"/>
      <c r="AH3030" s="1531"/>
      <c r="AI3030" s="1531"/>
      <c r="AJ3030" s="1531"/>
      <c r="AK3030" s="1531"/>
      <c r="AL3030" s="1531"/>
      <c r="AM3030" s="1531"/>
      <c r="AN3030" s="1531"/>
      <c r="AO3030" s="1531"/>
      <c r="AP3030" s="1531"/>
      <c r="AQ3030" s="1531"/>
      <c r="AR3030" s="1531"/>
      <c r="AS3030" s="1531"/>
    </row>
    <row r="3031" spans="1:45" s="1136" customFormat="1" ht="15.75" x14ac:dyDescent="0.25">
      <c r="A3031" s="1430" t="s">
        <v>4360</v>
      </c>
      <c r="B3031" s="1433">
        <f>IF(B3030=0,1.15,1.1)</f>
        <v>1.1499999999999999</v>
      </c>
      <c r="C3031" s="1437"/>
      <c r="D3031" s="1429"/>
      <c r="E3031" s="1429"/>
      <c r="F3031" s="1429"/>
      <c r="G3031" s="1429"/>
      <c r="H3031" s="1531"/>
      <c r="I3031" s="1531"/>
      <c r="J3031" s="1531"/>
      <c r="K3031" s="1531"/>
      <c r="L3031" s="1531"/>
      <c r="M3031" s="1531"/>
      <c r="N3031" s="1531"/>
      <c r="O3031" s="1531"/>
      <c r="P3031" s="1531"/>
      <c r="Q3031" s="1531"/>
      <c r="R3031" s="1531"/>
      <c r="S3031" s="1531"/>
      <c r="T3031" s="1531"/>
      <c r="U3031" s="1531"/>
      <c r="V3031" s="1531"/>
      <c r="W3031" s="1531"/>
      <c r="X3031" s="1531"/>
      <c r="Y3031" s="1531"/>
      <c r="Z3031" s="1531"/>
      <c r="AA3031" s="1531"/>
      <c r="AB3031" s="1531"/>
      <c r="AC3031" s="1531"/>
      <c r="AD3031" s="1531"/>
      <c r="AE3031" s="1531"/>
      <c r="AF3031" s="1531"/>
      <c r="AG3031" s="1531"/>
      <c r="AH3031" s="1531"/>
      <c r="AI3031" s="1531"/>
      <c r="AJ3031" s="1531"/>
      <c r="AK3031" s="1531"/>
      <c r="AL3031" s="1531"/>
      <c r="AM3031" s="1531"/>
      <c r="AN3031" s="1531"/>
      <c r="AO3031" s="1531"/>
      <c r="AP3031" s="1531"/>
      <c r="AQ3031" s="1531"/>
      <c r="AR3031" s="1531"/>
      <c r="AS3031" s="1531"/>
    </row>
    <row r="3032" spans="1:45" s="1136" customFormat="1" ht="47.25" x14ac:dyDescent="0.25">
      <c r="A3032" s="1471" t="s">
        <v>4361</v>
      </c>
      <c r="B3032" s="1423" t="e">
        <f>(B274/B240)*100</f>
        <v>#VALUE!</v>
      </c>
      <c r="C3032" s="1429"/>
      <c r="D3032" s="1350"/>
      <c r="E3032" s="1350"/>
      <c r="F3032" s="1350"/>
      <c r="G3032" s="1350"/>
      <c r="H3032" s="1531"/>
      <c r="I3032" s="1531"/>
      <c r="J3032" s="1531"/>
      <c r="K3032" s="1531"/>
      <c r="L3032" s="1531"/>
      <c r="M3032" s="1531"/>
      <c r="N3032" s="1531"/>
      <c r="O3032" s="1531"/>
      <c r="P3032" s="1531"/>
      <c r="Q3032" s="1531"/>
      <c r="R3032" s="1531"/>
      <c r="S3032" s="1531"/>
      <c r="T3032" s="1531"/>
      <c r="U3032" s="1531"/>
      <c r="V3032" s="1531"/>
      <c r="W3032" s="1531"/>
      <c r="X3032" s="1531"/>
      <c r="Y3032" s="1531"/>
      <c r="Z3032" s="1531"/>
      <c r="AA3032" s="1531"/>
      <c r="AB3032" s="1531"/>
      <c r="AC3032" s="1531"/>
      <c r="AD3032" s="1531"/>
      <c r="AE3032" s="1531"/>
      <c r="AF3032" s="1531"/>
      <c r="AG3032" s="1531"/>
      <c r="AH3032" s="1531"/>
      <c r="AI3032" s="1531"/>
      <c r="AJ3032" s="1531"/>
      <c r="AK3032" s="1531"/>
      <c r="AL3032" s="1531"/>
      <c r="AM3032" s="1531"/>
      <c r="AN3032" s="1531"/>
      <c r="AO3032" s="1531"/>
      <c r="AP3032" s="1531"/>
      <c r="AQ3032" s="1531"/>
      <c r="AR3032" s="1531"/>
      <c r="AS3032" s="1531"/>
    </row>
    <row r="3033" spans="1:45" s="1136" customFormat="1" ht="78.75" x14ac:dyDescent="0.25">
      <c r="A3033" s="1420" t="s">
        <v>4362</v>
      </c>
      <c r="B3033" s="1433" t="e">
        <f>IF(B3032&lt;10.1,0.9,IF(B3032&lt;20.1,0.8,IF(B3032&lt;30.1,0.7,0.6)))</f>
        <v>#VALUE!</v>
      </c>
      <c r="C3033" s="1437"/>
      <c r="D3033" s="1429"/>
      <c r="E3033" s="1429"/>
      <c r="F3033" s="1429"/>
      <c r="G3033" s="1429"/>
      <c r="H3033" s="1531"/>
      <c r="I3033" s="1531"/>
      <c r="J3033" s="1531"/>
      <c r="K3033" s="1531"/>
      <c r="L3033" s="1531"/>
      <c r="M3033" s="1531"/>
      <c r="N3033" s="1531"/>
      <c r="O3033" s="1531"/>
      <c r="P3033" s="1531"/>
      <c r="Q3033" s="1531"/>
      <c r="R3033" s="1531"/>
      <c r="S3033" s="1531"/>
      <c r="T3033" s="1531"/>
      <c r="U3033" s="1531"/>
      <c r="V3033" s="1531"/>
      <c r="W3033" s="1531"/>
      <c r="X3033" s="1531"/>
      <c r="Y3033" s="1531"/>
      <c r="Z3033" s="1531"/>
      <c r="AA3033" s="1531"/>
      <c r="AB3033" s="1531"/>
      <c r="AC3033" s="1531"/>
      <c r="AD3033" s="1531"/>
      <c r="AE3033" s="1531"/>
      <c r="AF3033" s="1531"/>
      <c r="AG3033" s="1531"/>
      <c r="AH3033" s="1531"/>
      <c r="AI3033" s="1531"/>
      <c r="AJ3033" s="1531"/>
      <c r="AK3033" s="1531"/>
      <c r="AL3033" s="1531"/>
      <c r="AM3033" s="1531"/>
      <c r="AN3033" s="1531"/>
      <c r="AO3033" s="1531"/>
      <c r="AP3033" s="1531"/>
      <c r="AQ3033" s="1531"/>
      <c r="AR3033" s="1531"/>
      <c r="AS3033" s="1531"/>
    </row>
    <row r="3034" spans="1:45" s="1136" customFormat="1" ht="15.75" x14ac:dyDescent="0.25">
      <c r="A3034" s="1430" t="s">
        <v>830</v>
      </c>
      <c r="B3034" s="1433" t="e">
        <f>B3023*B3027*B3028*B3029*B3031*B3033*B2383</f>
        <v>#VALUE!</v>
      </c>
      <c r="C3034" s="1437"/>
      <c r="D3034" s="1437"/>
      <c r="E3034" s="1437"/>
      <c r="F3034" s="1437"/>
      <c r="G3034" s="1437"/>
      <c r="H3034" s="1531"/>
      <c r="I3034" s="1531"/>
      <c r="J3034" s="1531"/>
      <c r="K3034" s="1531"/>
      <c r="L3034" s="1531"/>
      <c r="M3034" s="1531"/>
      <c r="N3034" s="1531"/>
      <c r="O3034" s="1531"/>
      <c r="P3034" s="1531"/>
      <c r="Q3034" s="1531"/>
      <c r="R3034" s="1531"/>
      <c r="S3034" s="1531"/>
      <c r="T3034" s="1531"/>
      <c r="U3034" s="1531"/>
      <c r="V3034" s="1531"/>
      <c r="W3034" s="1531"/>
      <c r="X3034" s="1531"/>
      <c r="Y3034" s="1531"/>
      <c r="Z3034" s="1531"/>
      <c r="AA3034" s="1531"/>
      <c r="AB3034" s="1531"/>
      <c r="AC3034" s="1531"/>
      <c r="AD3034" s="1531"/>
      <c r="AE3034" s="1531"/>
      <c r="AF3034" s="1531"/>
      <c r="AG3034" s="1531"/>
      <c r="AH3034" s="1531"/>
      <c r="AI3034" s="1531"/>
      <c r="AJ3034" s="1531"/>
      <c r="AK3034" s="1531"/>
      <c r="AL3034" s="1531"/>
      <c r="AM3034" s="1531"/>
      <c r="AN3034" s="1531"/>
      <c r="AO3034" s="1531"/>
      <c r="AP3034" s="1531"/>
      <c r="AQ3034" s="1531"/>
      <c r="AR3034" s="1531"/>
      <c r="AS3034" s="1531"/>
    </row>
    <row r="3035" spans="1:45" s="1136" customFormat="1" ht="15.75" x14ac:dyDescent="0.25">
      <c r="A3035" s="1430" t="s">
        <v>429</v>
      </c>
      <c r="B3035" s="1428" t="e">
        <f>B3022/B3034</f>
        <v>#VALUE!</v>
      </c>
      <c r="C3035" s="1432"/>
      <c r="D3035" s="1437"/>
      <c r="E3035" s="1437"/>
      <c r="F3035" s="1437"/>
      <c r="G3035" s="1437"/>
      <c r="H3035" s="1531"/>
      <c r="I3035" s="1531"/>
      <c r="J3035" s="1531"/>
      <c r="K3035" s="1531"/>
      <c r="L3035" s="1531"/>
      <c r="M3035" s="1531"/>
      <c r="N3035" s="1531"/>
      <c r="O3035" s="1531"/>
      <c r="P3035" s="1531"/>
      <c r="Q3035" s="1531"/>
      <c r="R3035" s="1531"/>
      <c r="S3035" s="1531"/>
      <c r="T3035" s="1531"/>
      <c r="U3035" s="1531"/>
      <c r="V3035" s="1531"/>
      <c r="W3035" s="1531"/>
      <c r="X3035" s="1531"/>
      <c r="Y3035" s="1531"/>
      <c r="Z3035" s="1531"/>
      <c r="AA3035" s="1531"/>
      <c r="AB3035" s="1531"/>
      <c r="AC3035" s="1531"/>
      <c r="AD3035" s="1531"/>
      <c r="AE3035" s="1531"/>
      <c r="AF3035" s="1531"/>
      <c r="AG3035" s="1531"/>
      <c r="AH3035" s="1531"/>
      <c r="AI3035" s="1531"/>
      <c r="AJ3035" s="1531"/>
      <c r="AK3035" s="1531"/>
      <c r="AL3035" s="1531"/>
      <c r="AM3035" s="1531"/>
      <c r="AN3035" s="1531"/>
      <c r="AO3035" s="1531"/>
      <c r="AP3035" s="1531"/>
      <c r="AQ3035" s="1531"/>
      <c r="AR3035" s="1531"/>
      <c r="AS3035" s="1531"/>
    </row>
    <row r="3036" spans="1:45" s="1136" customFormat="1" ht="15.75" x14ac:dyDescent="0.25">
      <c r="A3036" s="1466" t="s">
        <v>831</v>
      </c>
      <c r="B3036" s="1459">
        <f>IF(B252=1,0,B3035)</f>
        <v>0</v>
      </c>
      <c r="C3036" s="1454"/>
      <c r="D3036" s="1458"/>
      <c r="E3036" s="1458"/>
      <c r="F3036" s="1458"/>
      <c r="G3036" s="1458"/>
      <c r="H3036" s="1531"/>
      <c r="I3036" s="1531"/>
      <c r="J3036" s="1531"/>
      <c r="K3036" s="1531"/>
      <c r="L3036" s="1531"/>
      <c r="M3036" s="1531"/>
      <c r="N3036" s="1531"/>
      <c r="O3036" s="1531"/>
      <c r="P3036" s="1531"/>
      <c r="Q3036" s="1531"/>
      <c r="R3036" s="1531"/>
      <c r="S3036" s="1531"/>
      <c r="T3036" s="1531"/>
      <c r="U3036" s="1531"/>
      <c r="V3036" s="1531"/>
      <c r="W3036" s="1531"/>
      <c r="X3036" s="1531"/>
      <c r="Y3036" s="1531"/>
      <c r="Z3036" s="1531"/>
      <c r="AA3036" s="1531"/>
      <c r="AB3036" s="1531"/>
      <c r="AC3036" s="1531"/>
      <c r="AD3036" s="1531"/>
      <c r="AE3036" s="1531"/>
      <c r="AF3036" s="1531"/>
      <c r="AG3036" s="1531"/>
      <c r="AH3036" s="1531"/>
      <c r="AI3036" s="1531"/>
      <c r="AJ3036" s="1531"/>
      <c r="AK3036" s="1531"/>
      <c r="AL3036" s="1531"/>
      <c r="AM3036" s="1531"/>
      <c r="AN3036" s="1531"/>
      <c r="AO3036" s="1531"/>
      <c r="AP3036" s="1531"/>
      <c r="AQ3036" s="1531"/>
      <c r="AR3036" s="1531"/>
      <c r="AS3036" s="1531"/>
    </row>
    <row r="3037" spans="1:45" s="1136" customFormat="1" ht="15.75" x14ac:dyDescent="0.25">
      <c r="A3037" s="1620"/>
      <c r="B3037" s="1415"/>
      <c r="C3037" s="1350"/>
      <c r="D3037" s="1434"/>
      <c r="E3037" s="1434"/>
      <c r="F3037" s="1434"/>
      <c r="G3037" s="1434"/>
      <c r="H3037" s="1531"/>
      <c r="I3037" s="1531"/>
      <c r="J3037" s="1531"/>
      <c r="K3037" s="1531"/>
      <c r="L3037" s="1531"/>
      <c r="M3037" s="1531"/>
      <c r="N3037" s="1531"/>
      <c r="O3037" s="1531"/>
      <c r="P3037" s="1531"/>
      <c r="Q3037" s="1531"/>
      <c r="R3037" s="1531"/>
      <c r="S3037" s="1531"/>
      <c r="T3037" s="1531"/>
      <c r="U3037" s="1531"/>
      <c r="V3037" s="1531"/>
      <c r="W3037" s="1531"/>
      <c r="X3037" s="1531"/>
      <c r="Y3037" s="1531"/>
      <c r="Z3037" s="1531"/>
      <c r="AA3037" s="1531"/>
      <c r="AB3037" s="1531"/>
      <c r="AC3037" s="1531"/>
      <c r="AD3037" s="1531"/>
      <c r="AE3037" s="1531"/>
      <c r="AF3037" s="1531"/>
      <c r="AG3037" s="1531"/>
      <c r="AH3037" s="1531"/>
      <c r="AI3037" s="1531"/>
      <c r="AJ3037" s="1531"/>
      <c r="AK3037" s="1531"/>
      <c r="AL3037" s="1531"/>
      <c r="AM3037" s="1531"/>
      <c r="AN3037" s="1531"/>
      <c r="AO3037" s="1531"/>
      <c r="AP3037" s="1531"/>
      <c r="AQ3037" s="1531"/>
      <c r="AR3037" s="1531"/>
      <c r="AS3037" s="1531"/>
    </row>
    <row r="3038" spans="1:45" s="1136" customFormat="1" ht="15.75" x14ac:dyDescent="0.25">
      <c r="A3038" s="1461" t="s">
        <v>2391</v>
      </c>
      <c r="B3038" s="1443"/>
      <c r="C3038" s="1437"/>
      <c r="D3038" s="1437"/>
      <c r="E3038" s="1437"/>
      <c r="F3038" s="1437"/>
      <c r="G3038" s="1437"/>
      <c r="H3038" s="1531"/>
      <c r="I3038" s="1531"/>
      <c r="J3038" s="1531"/>
      <c r="K3038" s="1531"/>
      <c r="L3038" s="1531"/>
      <c r="M3038" s="1531"/>
      <c r="N3038" s="1531"/>
      <c r="O3038" s="1531"/>
      <c r="P3038" s="1531"/>
      <c r="Q3038" s="1531"/>
      <c r="R3038" s="1531"/>
      <c r="S3038" s="1531"/>
      <c r="T3038" s="1531"/>
      <c r="U3038" s="1531"/>
      <c r="V3038" s="1531"/>
      <c r="W3038" s="1531"/>
      <c r="X3038" s="1531"/>
      <c r="Y3038" s="1531"/>
      <c r="Z3038" s="1531"/>
      <c r="AA3038" s="1531"/>
      <c r="AB3038" s="1531"/>
      <c r="AC3038" s="1531"/>
      <c r="AD3038" s="1531"/>
      <c r="AE3038" s="1531"/>
      <c r="AF3038" s="1531"/>
      <c r="AG3038" s="1531"/>
      <c r="AH3038" s="1531"/>
      <c r="AI3038" s="1531"/>
      <c r="AJ3038" s="1531"/>
      <c r="AK3038" s="1531"/>
      <c r="AL3038" s="1531"/>
      <c r="AM3038" s="1531"/>
      <c r="AN3038" s="1531"/>
      <c r="AO3038" s="1531"/>
      <c r="AP3038" s="1531"/>
      <c r="AQ3038" s="1531"/>
      <c r="AR3038" s="1531"/>
      <c r="AS3038" s="1531"/>
    </row>
    <row r="3039" spans="1:45" s="1136" customFormat="1" ht="15.75" x14ac:dyDescent="0.25">
      <c r="A3039" s="1430" t="s">
        <v>4144</v>
      </c>
      <c r="B3039" s="1439" t="e">
        <f>B245/B264</f>
        <v>#VALUE!</v>
      </c>
      <c r="C3039" s="1432"/>
      <c r="D3039" s="1429"/>
      <c r="E3039" s="1429"/>
      <c r="F3039" s="1429"/>
      <c r="G3039" s="1429"/>
      <c r="H3039" s="1531"/>
      <c r="I3039" s="1531"/>
      <c r="J3039" s="1531"/>
      <c r="K3039" s="1531"/>
      <c r="L3039" s="1531"/>
      <c r="M3039" s="1531"/>
      <c r="N3039" s="1531"/>
      <c r="O3039" s="1531"/>
      <c r="P3039" s="1531"/>
      <c r="Q3039" s="1531"/>
      <c r="R3039" s="1531"/>
      <c r="S3039" s="1531"/>
      <c r="T3039" s="1531"/>
      <c r="U3039" s="1531"/>
      <c r="V3039" s="1531"/>
      <c r="W3039" s="1531"/>
      <c r="X3039" s="1531"/>
      <c r="Y3039" s="1531"/>
      <c r="Z3039" s="1531"/>
      <c r="AA3039" s="1531"/>
      <c r="AB3039" s="1531"/>
      <c r="AC3039" s="1531"/>
      <c r="AD3039" s="1531"/>
      <c r="AE3039" s="1531"/>
      <c r="AF3039" s="1531"/>
      <c r="AG3039" s="1531"/>
      <c r="AH3039" s="1531"/>
      <c r="AI3039" s="1531"/>
      <c r="AJ3039" s="1531"/>
      <c r="AK3039" s="1531"/>
      <c r="AL3039" s="1531"/>
      <c r="AM3039" s="1531"/>
      <c r="AN3039" s="1531"/>
      <c r="AO3039" s="1531"/>
      <c r="AP3039" s="1531"/>
      <c r="AQ3039" s="1531"/>
      <c r="AR3039" s="1531"/>
      <c r="AS3039" s="1531"/>
    </row>
    <row r="3040" spans="1:45" s="1136" customFormat="1" ht="15.75" x14ac:dyDescent="0.25">
      <c r="A3040" s="1430" t="s">
        <v>425</v>
      </c>
      <c r="B3040" s="1505">
        <v>12.8</v>
      </c>
      <c r="C3040" s="1446"/>
      <c r="D3040" s="1437"/>
      <c r="E3040" s="1437"/>
      <c r="F3040" s="1437"/>
      <c r="G3040" s="1437"/>
      <c r="H3040" s="1531"/>
      <c r="I3040" s="1531"/>
      <c r="J3040" s="1531"/>
      <c r="K3040" s="1531"/>
      <c r="L3040" s="1531"/>
      <c r="M3040" s="1531"/>
      <c r="N3040" s="1531"/>
      <c r="O3040" s="1531"/>
      <c r="P3040" s="1531"/>
      <c r="Q3040" s="1531"/>
      <c r="R3040" s="1531"/>
      <c r="S3040" s="1531"/>
      <c r="T3040" s="1531"/>
      <c r="U3040" s="1531"/>
      <c r="V3040" s="1531"/>
      <c r="W3040" s="1531"/>
      <c r="X3040" s="1531"/>
      <c r="Y3040" s="1531"/>
      <c r="Z3040" s="1531"/>
      <c r="AA3040" s="1531"/>
      <c r="AB3040" s="1531"/>
      <c r="AC3040" s="1531"/>
      <c r="AD3040" s="1531"/>
      <c r="AE3040" s="1531"/>
      <c r="AF3040" s="1531"/>
      <c r="AG3040" s="1531"/>
      <c r="AH3040" s="1531"/>
      <c r="AI3040" s="1531"/>
      <c r="AJ3040" s="1531"/>
      <c r="AK3040" s="1531"/>
      <c r="AL3040" s="1531"/>
      <c r="AM3040" s="1531"/>
      <c r="AN3040" s="1531"/>
      <c r="AO3040" s="1531"/>
      <c r="AP3040" s="1531"/>
      <c r="AQ3040" s="1531"/>
      <c r="AR3040" s="1531"/>
      <c r="AS3040" s="1531"/>
    </row>
    <row r="3041" spans="1:45" s="1136" customFormat="1" ht="15.75" x14ac:dyDescent="0.25">
      <c r="A3041" s="1430" t="s">
        <v>830</v>
      </c>
      <c r="B3041" s="1424" t="e">
        <f>B3040*B2383</f>
        <v>#VALUE!</v>
      </c>
      <c r="C3041" s="1429"/>
      <c r="D3041" s="1437"/>
      <c r="E3041" s="1437"/>
      <c r="F3041" s="1437"/>
      <c r="G3041" s="1437"/>
      <c r="H3041" s="1531"/>
      <c r="I3041" s="1531"/>
      <c r="J3041" s="1531"/>
      <c r="K3041" s="1531"/>
      <c r="L3041" s="1531"/>
      <c r="M3041" s="1531"/>
      <c r="N3041" s="1531"/>
      <c r="O3041" s="1531"/>
      <c r="P3041" s="1531"/>
      <c r="Q3041" s="1531"/>
      <c r="R3041" s="1531"/>
      <c r="S3041" s="1531"/>
      <c r="T3041" s="1531"/>
      <c r="U3041" s="1531"/>
      <c r="V3041" s="1531"/>
      <c r="W3041" s="1531"/>
      <c r="X3041" s="1531"/>
      <c r="Y3041" s="1531"/>
      <c r="Z3041" s="1531"/>
      <c r="AA3041" s="1531"/>
      <c r="AB3041" s="1531"/>
      <c r="AC3041" s="1531"/>
      <c r="AD3041" s="1531"/>
      <c r="AE3041" s="1531"/>
      <c r="AF3041" s="1531"/>
      <c r="AG3041" s="1531"/>
      <c r="AH3041" s="1531"/>
      <c r="AI3041" s="1531"/>
      <c r="AJ3041" s="1531"/>
      <c r="AK3041" s="1531"/>
      <c r="AL3041" s="1531"/>
      <c r="AM3041" s="1531"/>
      <c r="AN3041" s="1531"/>
      <c r="AO3041" s="1531"/>
      <c r="AP3041" s="1531"/>
      <c r="AQ3041" s="1531"/>
      <c r="AR3041" s="1531"/>
      <c r="AS3041" s="1531"/>
    </row>
    <row r="3042" spans="1:45" s="1136" customFormat="1" ht="15.75" x14ac:dyDescent="0.25">
      <c r="A3042" s="1466" t="s">
        <v>429</v>
      </c>
      <c r="B3042" s="1453" t="e">
        <f>B3039/B3041</f>
        <v>#VALUE!</v>
      </c>
      <c r="C3042" s="1454"/>
      <c r="D3042" s="1432"/>
      <c r="E3042" s="1432"/>
      <c r="F3042" s="1432"/>
      <c r="G3042" s="1432"/>
      <c r="H3042" s="1531"/>
      <c r="I3042" s="1531"/>
      <c r="J3042" s="1531"/>
      <c r="K3042" s="1531"/>
      <c r="L3042" s="1531"/>
      <c r="M3042" s="1531"/>
      <c r="N3042" s="1531"/>
      <c r="O3042" s="1531"/>
      <c r="P3042" s="1531"/>
      <c r="Q3042" s="1531"/>
      <c r="R3042" s="1531"/>
      <c r="S3042" s="1531"/>
      <c r="T3042" s="1531"/>
      <c r="U3042" s="1531"/>
      <c r="V3042" s="1531"/>
      <c r="W3042" s="1531"/>
      <c r="X3042" s="1531"/>
      <c r="Y3042" s="1531"/>
      <c r="Z3042" s="1531"/>
      <c r="AA3042" s="1531"/>
      <c r="AB3042" s="1531"/>
      <c r="AC3042" s="1531"/>
      <c r="AD3042" s="1531"/>
      <c r="AE3042" s="1531"/>
      <c r="AF3042" s="1531"/>
      <c r="AG3042" s="1531"/>
      <c r="AH3042" s="1531"/>
      <c r="AI3042" s="1531"/>
      <c r="AJ3042" s="1531"/>
      <c r="AK3042" s="1531"/>
      <c r="AL3042" s="1531"/>
      <c r="AM3042" s="1531"/>
      <c r="AN3042" s="1531"/>
      <c r="AO3042" s="1531"/>
      <c r="AP3042" s="1531"/>
      <c r="AQ3042" s="1531"/>
      <c r="AR3042" s="1531"/>
      <c r="AS3042" s="1531"/>
    </row>
    <row r="3043" spans="1:45" s="1136" customFormat="1" ht="15.75" x14ac:dyDescent="0.25">
      <c r="A3043" s="1466"/>
      <c r="B3043" s="1453"/>
      <c r="C3043" s="1454"/>
      <c r="D3043" s="1454"/>
      <c r="E3043" s="1454"/>
      <c r="F3043" s="1454"/>
      <c r="G3043" s="1454"/>
      <c r="H3043" s="1531"/>
      <c r="I3043" s="1531"/>
      <c r="J3043" s="1531"/>
      <c r="K3043" s="1531"/>
      <c r="L3043" s="1531"/>
      <c r="M3043" s="1531"/>
      <c r="N3043" s="1531"/>
      <c r="O3043" s="1531"/>
      <c r="P3043" s="1531"/>
      <c r="Q3043" s="1531"/>
      <c r="R3043" s="1531"/>
      <c r="S3043" s="1531"/>
      <c r="T3043" s="1531"/>
      <c r="U3043" s="1531"/>
      <c r="V3043" s="1531"/>
      <c r="W3043" s="1531"/>
      <c r="X3043" s="1531"/>
      <c r="Y3043" s="1531"/>
      <c r="Z3043" s="1531"/>
      <c r="AA3043" s="1531"/>
      <c r="AB3043" s="1531"/>
      <c r="AC3043" s="1531"/>
      <c r="AD3043" s="1531"/>
      <c r="AE3043" s="1531"/>
      <c r="AF3043" s="1531"/>
      <c r="AG3043" s="1531"/>
      <c r="AH3043" s="1531"/>
      <c r="AI3043" s="1531"/>
      <c r="AJ3043" s="1531"/>
      <c r="AK3043" s="1531"/>
      <c r="AL3043" s="1531"/>
      <c r="AM3043" s="1531"/>
      <c r="AN3043" s="1531"/>
      <c r="AO3043" s="1531"/>
      <c r="AP3043" s="1531"/>
      <c r="AQ3043" s="1531"/>
      <c r="AR3043" s="1531"/>
      <c r="AS3043" s="1531"/>
    </row>
    <row r="3044" spans="1:45" s="1136" customFormat="1" ht="15.75" x14ac:dyDescent="0.25">
      <c r="A3044" s="1487" t="s">
        <v>5170</v>
      </c>
      <c r="B3044" s="1488"/>
      <c r="C3044" s="1454"/>
      <c r="D3044" s="1350"/>
      <c r="E3044" s="1350"/>
      <c r="F3044" s="1350"/>
      <c r="G3044" s="1350"/>
      <c r="H3044" s="1531"/>
      <c r="I3044" s="1531"/>
      <c r="J3044" s="1531"/>
      <c r="K3044" s="1531"/>
      <c r="L3044" s="1531"/>
      <c r="M3044" s="1531"/>
      <c r="N3044" s="1531"/>
      <c r="O3044" s="1531"/>
      <c r="P3044" s="1531"/>
      <c r="Q3044" s="1531"/>
      <c r="R3044" s="1531"/>
      <c r="S3044" s="1531"/>
      <c r="T3044" s="1531"/>
      <c r="U3044" s="1531"/>
      <c r="V3044" s="1531"/>
      <c r="W3044" s="1531"/>
      <c r="X3044" s="1531"/>
      <c r="Y3044" s="1531"/>
      <c r="Z3044" s="1531"/>
      <c r="AA3044" s="1531"/>
      <c r="AB3044" s="1531"/>
      <c r="AC3044" s="1531"/>
      <c r="AD3044" s="1531"/>
      <c r="AE3044" s="1531"/>
      <c r="AF3044" s="1531"/>
      <c r="AG3044" s="1531"/>
      <c r="AH3044" s="1531"/>
      <c r="AI3044" s="1531"/>
      <c r="AJ3044" s="1531"/>
      <c r="AK3044" s="1531"/>
      <c r="AL3044" s="1531"/>
      <c r="AM3044" s="1531"/>
      <c r="AN3044" s="1531"/>
      <c r="AO3044" s="1531"/>
      <c r="AP3044" s="1531"/>
      <c r="AQ3044" s="1531"/>
      <c r="AR3044" s="1531"/>
      <c r="AS3044" s="1531"/>
    </row>
    <row r="3045" spans="1:45" s="1136" customFormat="1" ht="15.75" x14ac:dyDescent="0.25">
      <c r="A3045" s="1489" t="s">
        <v>5171</v>
      </c>
      <c r="B3045" s="1490" t="e">
        <f>B245/B264</f>
        <v>#VALUE!</v>
      </c>
      <c r="C3045" s="1432"/>
      <c r="D3045" s="1350"/>
      <c r="E3045" s="1350"/>
      <c r="F3045" s="1350"/>
      <c r="G3045" s="1350"/>
      <c r="H3045" s="1531"/>
      <c r="I3045" s="1531"/>
      <c r="J3045" s="1531"/>
      <c r="K3045" s="1531"/>
      <c r="L3045" s="1531"/>
      <c r="M3045" s="1531"/>
      <c r="N3045" s="1531"/>
      <c r="O3045" s="1531"/>
      <c r="P3045" s="1531"/>
      <c r="Q3045" s="1531"/>
      <c r="R3045" s="1531"/>
      <c r="S3045" s="1531"/>
      <c r="T3045" s="1531"/>
      <c r="U3045" s="1531"/>
      <c r="V3045" s="1531"/>
      <c r="W3045" s="1531"/>
      <c r="X3045" s="1531"/>
      <c r="Y3045" s="1531"/>
      <c r="Z3045" s="1531"/>
      <c r="AA3045" s="1531"/>
      <c r="AB3045" s="1531"/>
      <c r="AC3045" s="1531"/>
      <c r="AD3045" s="1531"/>
      <c r="AE3045" s="1531"/>
      <c r="AF3045" s="1531"/>
      <c r="AG3045" s="1531"/>
      <c r="AH3045" s="1531"/>
      <c r="AI3045" s="1531"/>
      <c r="AJ3045" s="1531"/>
      <c r="AK3045" s="1531"/>
      <c r="AL3045" s="1531"/>
      <c r="AM3045" s="1531"/>
      <c r="AN3045" s="1531"/>
      <c r="AO3045" s="1531"/>
      <c r="AP3045" s="1531"/>
      <c r="AQ3045" s="1531"/>
      <c r="AR3045" s="1531"/>
      <c r="AS3045" s="1531"/>
    </row>
    <row r="3046" spans="1:45" s="1136" customFormat="1" ht="63" x14ac:dyDescent="0.25">
      <c r="A3046" s="1491" t="s">
        <v>3196</v>
      </c>
      <c r="B3046" s="1492">
        <f>B207</f>
        <v>1</v>
      </c>
      <c r="C3046" s="1470"/>
      <c r="D3046" s="1432"/>
      <c r="E3046" s="1432"/>
      <c r="F3046" s="1432"/>
      <c r="G3046" s="1432"/>
      <c r="H3046" s="1531"/>
      <c r="I3046" s="1531"/>
      <c r="J3046" s="1531"/>
      <c r="K3046" s="1531"/>
      <c r="L3046" s="1531"/>
      <c r="M3046" s="1531"/>
      <c r="N3046" s="1531"/>
      <c r="O3046" s="1531"/>
      <c r="P3046" s="1531"/>
      <c r="Q3046" s="1531"/>
      <c r="R3046" s="1531"/>
      <c r="S3046" s="1531"/>
      <c r="T3046" s="1531"/>
      <c r="U3046" s="1531"/>
      <c r="V3046" s="1531"/>
      <c r="W3046" s="1531"/>
      <c r="X3046" s="1531"/>
      <c r="Y3046" s="1531"/>
      <c r="Z3046" s="1531"/>
      <c r="AA3046" s="1531"/>
      <c r="AB3046" s="1531"/>
      <c r="AC3046" s="1531"/>
      <c r="AD3046" s="1531"/>
      <c r="AE3046" s="1531"/>
      <c r="AF3046" s="1531"/>
      <c r="AG3046" s="1531"/>
      <c r="AH3046" s="1531"/>
      <c r="AI3046" s="1531"/>
      <c r="AJ3046" s="1531"/>
      <c r="AK3046" s="1531"/>
      <c r="AL3046" s="1531"/>
      <c r="AM3046" s="1531"/>
      <c r="AN3046" s="1531"/>
      <c r="AO3046" s="1531"/>
      <c r="AP3046" s="1531"/>
      <c r="AQ3046" s="1531"/>
      <c r="AR3046" s="1531"/>
      <c r="AS3046" s="1531"/>
    </row>
    <row r="3047" spans="1:45" s="1136" customFormat="1" ht="15.75" x14ac:dyDescent="0.25">
      <c r="A3047" s="1489" t="s">
        <v>425</v>
      </c>
      <c r="B3047" s="1490">
        <f>IF(B3046&lt;2,B3050,IF(B3046&lt;3,B3049,B3051))</f>
        <v>8.68</v>
      </c>
      <c r="C3047" s="1432"/>
      <c r="D3047" s="1446"/>
      <c r="E3047" s="1446"/>
      <c r="F3047" s="1446"/>
      <c r="G3047" s="1446"/>
      <c r="H3047" s="1531"/>
      <c r="I3047" s="1531"/>
      <c r="J3047" s="1531"/>
      <c r="K3047" s="1531"/>
      <c r="L3047" s="1531"/>
      <c r="M3047" s="1531"/>
      <c r="N3047" s="1531"/>
      <c r="O3047" s="1531"/>
      <c r="P3047" s="1531"/>
      <c r="Q3047" s="1531"/>
      <c r="R3047" s="1531"/>
      <c r="S3047" s="1531"/>
      <c r="T3047" s="1531"/>
      <c r="U3047" s="1531"/>
      <c r="V3047" s="1531"/>
      <c r="W3047" s="1531"/>
      <c r="X3047" s="1531"/>
      <c r="Y3047" s="1531"/>
      <c r="Z3047" s="1531"/>
      <c r="AA3047" s="1531"/>
      <c r="AB3047" s="1531"/>
      <c r="AC3047" s="1531"/>
      <c r="AD3047" s="1531"/>
      <c r="AE3047" s="1531"/>
      <c r="AF3047" s="1531"/>
      <c r="AG3047" s="1531"/>
      <c r="AH3047" s="1531"/>
      <c r="AI3047" s="1531"/>
      <c r="AJ3047" s="1531"/>
      <c r="AK3047" s="1531"/>
      <c r="AL3047" s="1531"/>
      <c r="AM3047" s="1531"/>
      <c r="AN3047" s="1531"/>
      <c r="AO3047" s="1531"/>
      <c r="AP3047" s="1531"/>
      <c r="AQ3047" s="1531"/>
      <c r="AR3047" s="1531"/>
      <c r="AS3047" s="1531"/>
    </row>
    <row r="3048" spans="1:45" s="1136" customFormat="1" ht="15.75" x14ac:dyDescent="0.25">
      <c r="A3048" s="1493" t="s">
        <v>3001</v>
      </c>
      <c r="B3048" s="1494"/>
      <c r="C3048" s="1454"/>
      <c r="D3048" s="1429"/>
      <c r="E3048" s="1429"/>
      <c r="F3048" s="1429"/>
      <c r="G3048" s="1429"/>
      <c r="H3048" s="1531"/>
      <c r="I3048" s="1531"/>
      <c r="J3048" s="1531"/>
      <c r="K3048" s="1531"/>
      <c r="L3048" s="1531"/>
      <c r="M3048" s="1531"/>
      <c r="N3048" s="1531"/>
      <c r="O3048" s="1531"/>
      <c r="P3048" s="1531"/>
      <c r="Q3048" s="1531"/>
      <c r="R3048" s="1531"/>
      <c r="S3048" s="1531"/>
      <c r="T3048" s="1531"/>
      <c r="U3048" s="1531"/>
      <c r="V3048" s="1531"/>
      <c r="W3048" s="1531"/>
      <c r="X3048" s="1531"/>
      <c r="Y3048" s="1531"/>
      <c r="Z3048" s="1531"/>
      <c r="AA3048" s="1531"/>
      <c r="AB3048" s="1531"/>
      <c r="AC3048" s="1531"/>
      <c r="AD3048" s="1531"/>
      <c r="AE3048" s="1531"/>
      <c r="AF3048" s="1531"/>
      <c r="AG3048" s="1531"/>
      <c r="AH3048" s="1531"/>
      <c r="AI3048" s="1531"/>
      <c r="AJ3048" s="1531"/>
      <c r="AK3048" s="1531"/>
      <c r="AL3048" s="1531"/>
      <c r="AM3048" s="1531"/>
      <c r="AN3048" s="1531"/>
      <c r="AO3048" s="1531"/>
      <c r="AP3048" s="1531"/>
      <c r="AQ3048" s="1531"/>
      <c r="AR3048" s="1531"/>
      <c r="AS3048" s="1531"/>
    </row>
    <row r="3049" spans="1:45" s="1136" customFormat="1" ht="15.75" x14ac:dyDescent="0.25">
      <c r="A3049" s="1489" t="s">
        <v>5112</v>
      </c>
      <c r="B3049" s="1490">
        <f>IF(B268&lt;6.01,11.5,IF(B268&lt;8.01,9.41,IF(B268&lt;10.01,7.87,IF(B268&lt;12.01,6.5,IF(B268&lt;14.01,5.66,IF(B268&lt;16.01,4.84,IF(B268&lt;18.01,4.08,3.5)))))))</f>
        <v>11.5</v>
      </c>
      <c r="C3049" s="1432"/>
      <c r="D3049" s="1454"/>
      <c r="E3049" s="1454"/>
      <c r="F3049" s="1454"/>
      <c r="G3049" s="1454"/>
      <c r="H3049" s="1531"/>
      <c r="I3049" s="1531"/>
      <c r="J3049" s="1531"/>
      <c r="K3049" s="1531"/>
      <c r="L3049" s="1531"/>
      <c r="M3049" s="1531"/>
      <c r="N3049" s="1531"/>
      <c r="O3049" s="1531"/>
      <c r="P3049" s="1531"/>
      <c r="Q3049" s="1531"/>
      <c r="R3049" s="1531"/>
      <c r="S3049" s="1531"/>
      <c r="T3049" s="1531"/>
      <c r="U3049" s="1531"/>
      <c r="V3049" s="1531"/>
      <c r="W3049" s="1531"/>
      <c r="X3049" s="1531"/>
      <c r="Y3049" s="1531"/>
      <c r="Z3049" s="1531"/>
      <c r="AA3049" s="1531"/>
      <c r="AB3049" s="1531"/>
      <c r="AC3049" s="1531"/>
      <c r="AD3049" s="1531"/>
      <c r="AE3049" s="1531"/>
      <c r="AF3049" s="1531"/>
      <c r="AG3049" s="1531"/>
      <c r="AH3049" s="1531"/>
      <c r="AI3049" s="1531"/>
      <c r="AJ3049" s="1531"/>
      <c r="AK3049" s="1531"/>
      <c r="AL3049" s="1531"/>
      <c r="AM3049" s="1531"/>
      <c r="AN3049" s="1531"/>
      <c r="AO3049" s="1531"/>
      <c r="AP3049" s="1531"/>
      <c r="AQ3049" s="1531"/>
      <c r="AR3049" s="1531"/>
      <c r="AS3049" s="1531"/>
    </row>
    <row r="3050" spans="1:45" s="1136" customFormat="1" ht="15.75" x14ac:dyDescent="0.25">
      <c r="A3050" s="1489" t="s">
        <v>5113</v>
      </c>
      <c r="B3050" s="1490">
        <f>IF(B268&lt;6.01,8.68,IF(B268&lt;8.01,7.4,IF(B268&lt;10.01,6.28,IF(B268&lt;12.01,5.38,IF(B268&lt;14.01,4.7,IF(B268&lt;16.01,4.24,IF(B268&lt;18.01,3.71,3.37)))))))</f>
        <v>8.68</v>
      </c>
      <c r="C3050" s="1432"/>
      <c r="D3050" s="1454"/>
      <c r="E3050" s="1454"/>
      <c r="F3050" s="1454"/>
      <c r="G3050" s="1454"/>
      <c r="H3050" s="1531"/>
      <c r="I3050" s="1531"/>
      <c r="J3050" s="1531"/>
      <c r="K3050" s="1531"/>
      <c r="L3050" s="1531"/>
      <c r="M3050" s="1531"/>
      <c r="N3050" s="1531"/>
      <c r="O3050" s="1531"/>
      <c r="P3050" s="1531"/>
      <c r="Q3050" s="1531"/>
      <c r="R3050" s="1531"/>
      <c r="S3050" s="1531"/>
      <c r="T3050" s="1531"/>
      <c r="U3050" s="1531"/>
      <c r="V3050" s="1531"/>
      <c r="W3050" s="1531"/>
      <c r="X3050" s="1531"/>
      <c r="Y3050" s="1531"/>
      <c r="Z3050" s="1531"/>
      <c r="AA3050" s="1531"/>
      <c r="AB3050" s="1531"/>
      <c r="AC3050" s="1531"/>
      <c r="AD3050" s="1531"/>
      <c r="AE3050" s="1531"/>
      <c r="AF3050" s="1531"/>
      <c r="AG3050" s="1531"/>
      <c r="AH3050" s="1531"/>
      <c r="AI3050" s="1531"/>
      <c r="AJ3050" s="1531"/>
      <c r="AK3050" s="1531"/>
      <c r="AL3050" s="1531"/>
      <c r="AM3050" s="1531"/>
      <c r="AN3050" s="1531"/>
      <c r="AO3050" s="1531"/>
      <c r="AP3050" s="1531"/>
      <c r="AQ3050" s="1531"/>
      <c r="AR3050" s="1531"/>
      <c r="AS3050" s="1531"/>
    </row>
    <row r="3051" spans="1:45" s="1136" customFormat="1" ht="15.75" x14ac:dyDescent="0.25">
      <c r="A3051" s="1489" t="s">
        <v>5114</v>
      </c>
      <c r="B3051" s="1490">
        <f>IF(B268&lt;6.01,6.32,IF(B268&lt;8.01,5.69,IF(B268&lt;10.01,4.97,IF(B268&lt;12.01,4.34,IF(B268&lt;14.01,3.97,IF(B268&lt;16.01,3.62,IF(B268&lt;18.01,3.29,2.98)))))))</f>
        <v>6.32</v>
      </c>
      <c r="C3051" s="1432"/>
      <c r="D3051" s="1454"/>
      <c r="E3051" s="1454"/>
      <c r="F3051" s="1454"/>
      <c r="G3051" s="1454"/>
      <c r="H3051" s="1531"/>
      <c r="I3051" s="1531"/>
      <c r="J3051" s="1531"/>
      <c r="K3051" s="1531"/>
      <c r="L3051" s="1531"/>
      <c r="M3051" s="1531"/>
      <c r="N3051" s="1531"/>
      <c r="O3051" s="1531"/>
      <c r="P3051" s="1531"/>
      <c r="Q3051" s="1531"/>
      <c r="R3051" s="1531"/>
      <c r="S3051" s="1531"/>
      <c r="T3051" s="1531"/>
      <c r="U3051" s="1531"/>
      <c r="V3051" s="1531"/>
      <c r="W3051" s="1531"/>
      <c r="X3051" s="1531"/>
      <c r="Y3051" s="1531"/>
      <c r="Z3051" s="1531"/>
      <c r="AA3051" s="1531"/>
      <c r="AB3051" s="1531"/>
      <c r="AC3051" s="1531"/>
      <c r="AD3051" s="1531"/>
      <c r="AE3051" s="1531"/>
      <c r="AF3051" s="1531"/>
      <c r="AG3051" s="1531"/>
      <c r="AH3051" s="1531"/>
      <c r="AI3051" s="1531"/>
      <c r="AJ3051" s="1531"/>
      <c r="AK3051" s="1531"/>
      <c r="AL3051" s="1531"/>
      <c r="AM3051" s="1531"/>
      <c r="AN3051" s="1531"/>
      <c r="AO3051" s="1531"/>
      <c r="AP3051" s="1531"/>
      <c r="AQ3051" s="1531"/>
      <c r="AR3051" s="1531"/>
      <c r="AS3051" s="1531"/>
    </row>
    <row r="3052" spans="1:45" s="1136" customFormat="1" ht="31.5" x14ac:dyDescent="0.25">
      <c r="A3052" s="1495" t="s">
        <v>3427</v>
      </c>
      <c r="B3052" s="1496"/>
      <c r="C3052" s="1454"/>
      <c r="D3052" s="1432"/>
      <c r="E3052" s="1432"/>
      <c r="F3052" s="1432"/>
      <c r="G3052" s="1432"/>
      <c r="H3052" s="1531"/>
      <c r="I3052" s="1531"/>
      <c r="J3052" s="1531"/>
      <c r="K3052" s="1531"/>
      <c r="L3052" s="1531"/>
      <c r="M3052" s="1531"/>
      <c r="N3052" s="1531"/>
      <c r="O3052" s="1531"/>
      <c r="P3052" s="1531"/>
      <c r="Q3052" s="1531"/>
      <c r="R3052" s="1531"/>
      <c r="S3052" s="1531"/>
      <c r="T3052" s="1531"/>
      <c r="U3052" s="1531"/>
      <c r="V3052" s="1531"/>
      <c r="W3052" s="1531"/>
      <c r="X3052" s="1531"/>
      <c r="Y3052" s="1531"/>
      <c r="Z3052" s="1531"/>
      <c r="AA3052" s="1531"/>
      <c r="AB3052" s="1531"/>
      <c r="AC3052" s="1531"/>
      <c r="AD3052" s="1531"/>
      <c r="AE3052" s="1531"/>
      <c r="AF3052" s="1531"/>
      <c r="AG3052" s="1531"/>
      <c r="AH3052" s="1531"/>
      <c r="AI3052" s="1531"/>
      <c r="AJ3052" s="1531"/>
      <c r="AK3052" s="1531"/>
      <c r="AL3052" s="1531"/>
      <c r="AM3052" s="1531"/>
      <c r="AN3052" s="1531"/>
      <c r="AO3052" s="1531"/>
      <c r="AP3052" s="1531"/>
      <c r="AQ3052" s="1531"/>
      <c r="AR3052" s="1531"/>
      <c r="AS3052" s="1531"/>
    </row>
    <row r="3053" spans="1:45" s="1136" customFormat="1" ht="15.75" x14ac:dyDescent="0.25">
      <c r="A3053" s="1621" t="s">
        <v>3195</v>
      </c>
      <c r="B3053" s="1434">
        <f>B2610</f>
        <v>0</v>
      </c>
      <c r="C3053" s="1434"/>
      <c r="D3053" s="1470"/>
      <c r="E3053" s="1470"/>
      <c r="F3053" s="1470"/>
      <c r="G3053" s="1470"/>
      <c r="H3053" s="1531"/>
      <c r="I3053" s="1531"/>
      <c r="J3053" s="1531"/>
      <c r="K3053" s="1531"/>
      <c r="L3053" s="1531"/>
      <c r="M3053" s="1531"/>
      <c r="N3053" s="1531"/>
      <c r="O3053" s="1531"/>
      <c r="P3053" s="1531"/>
      <c r="Q3053" s="1531"/>
      <c r="R3053" s="1531"/>
      <c r="S3053" s="1531"/>
      <c r="T3053" s="1531"/>
      <c r="U3053" s="1531"/>
      <c r="V3053" s="1531"/>
      <c r="W3053" s="1531"/>
      <c r="X3053" s="1531"/>
      <c r="Y3053" s="1531"/>
      <c r="Z3053" s="1531"/>
      <c r="AA3053" s="1531"/>
      <c r="AB3053" s="1531"/>
      <c r="AC3053" s="1531"/>
      <c r="AD3053" s="1531"/>
      <c r="AE3053" s="1531"/>
      <c r="AF3053" s="1531"/>
      <c r="AG3053" s="1531"/>
      <c r="AH3053" s="1531"/>
      <c r="AI3053" s="1531"/>
      <c r="AJ3053" s="1531"/>
      <c r="AK3053" s="1531"/>
      <c r="AL3053" s="1531"/>
      <c r="AM3053" s="1531"/>
      <c r="AN3053" s="1531"/>
      <c r="AO3053" s="1531"/>
      <c r="AP3053" s="1531"/>
      <c r="AQ3053" s="1531"/>
      <c r="AR3053" s="1531"/>
      <c r="AS3053" s="1531"/>
    </row>
    <row r="3054" spans="1:45" s="1136" customFormat="1" ht="15.75" x14ac:dyDescent="0.25">
      <c r="A3054" s="1498" t="s">
        <v>3428</v>
      </c>
      <c r="B3054" s="1499">
        <f>IF(B3053=1,1,0.85)</f>
        <v>0.85</v>
      </c>
      <c r="C3054" s="1437"/>
      <c r="D3054" s="1432"/>
      <c r="E3054" s="1432"/>
      <c r="F3054" s="1432"/>
      <c r="G3054" s="1432"/>
      <c r="H3054" s="1531"/>
      <c r="I3054" s="1531"/>
      <c r="J3054" s="1531"/>
      <c r="K3054" s="1531"/>
      <c r="L3054" s="1531"/>
      <c r="M3054" s="1531"/>
      <c r="N3054" s="1531"/>
      <c r="O3054" s="1531"/>
      <c r="P3054" s="1531"/>
      <c r="Q3054" s="1531"/>
      <c r="R3054" s="1531"/>
      <c r="S3054" s="1531"/>
      <c r="T3054" s="1531"/>
      <c r="U3054" s="1531"/>
      <c r="V3054" s="1531"/>
      <c r="W3054" s="1531"/>
      <c r="X3054" s="1531"/>
      <c r="Y3054" s="1531"/>
      <c r="Z3054" s="1531"/>
      <c r="AA3054" s="1531"/>
      <c r="AB3054" s="1531"/>
      <c r="AC3054" s="1531"/>
      <c r="AD3054" s="1531"/>
      <c r="AE3054" s="1531"/>
      <c r="AF3054" s="1531"/>
      <c r="AG3054" s="1531"/>
      <c r="AH3054" s="1531"/>
      <c r="AI3054" s="1531"/>
      <c r="AJ3054" s="1531"/>
      <c r="AK3054" s="1531"/>
      <c r="AL3054" s="1531"/>
      <c r="AM3054" s="1531"/>
      <c r="AN3054" s="1531"/>
      <c r="AO3054" s="1531"/>
      <c r="AP3054" s="1531"/>
      <c r="AQ3054" s="1531"/>
      <c r="AR3054" s="1531"/>
      <c r="AS3054" s="1531"/>
    </row>
    <row r="3055" spans="1:45" s="1136" customFormat="1" ht="15.75" x14ac:dyDescent="0.25">
      <c r="A3055" s="1500" t="s">
        <v>3412</v>
      </c>
      <c r="B3055" s="1501">
        <f>IF(B3046&lt;2,B3047,IF(B3046&lt;3,B3047,B3047*B3054))</f>
        <v>8.68</v>
      </c>
      <c r="C3055" s="1437"/>
      <c r="D3055" s="1454"/>
      <c r="E3055" s="1454"/>
      <c r="F3055" s="1454"/>
      <c r="G3055" s="1454"/>
      <c r="H3055" s="1531"/>
      <c r="I3055" s="1531"/>
      <c r="J3055" s="1531"/>
      <c r="K3055" s="1531"/>
      <c r="L3055" s="1531"/>
      <c r="M3055" s="1531"/>
      <c r="N3055" s="1531"/>
      <c r="O3055" s="1531"/>
      <c r="P3055" s="1531"/>
      <c r="Q3055" s="1531"/>
      <c r="R3055" s="1531"/>
      <c r="S3055" s="1531"/>
      <c r="T3055" s="1531"/>
      <c r="U3055" s="1531"/>
      <c r="V3055" s="1531"/>
      <c r="W3055" s="1531"/>
      <c r="X3055" s="1531"/>
      <c r="Y3055" s="1531"/>
      <c r="Z3055" s="1531"/>
      <c r="AA3055" s="1531"/>
      <c r="AB3055" s="1531"/>
      <c r="AC3055" s="1531"/>
      <c r="AD3055" s="1531"/>
      <c r="AE3055" s="1531"/>
      <c r="AF3055" s="1531"/>
      <c r="AG3055" s="1531"/>
      <c r="AH3055" s="1531"/>
      <c r="AI3055" s="1531"/>
      <c r="AJ3055" s="1531"/>
      <c r="AK3055" s="1531"/>
      <c r="AL3055" s="1531"/>
      <c r="AM3055" s="1531"/>
      <c r="AN3055" s="1531"/>
      <c r="AO3055" s="1531"/>
      <c r="AP3055" s="1531"/>
      <c r="AQ3055" s="1531"/>
      <c r="AR3055" s="1531"/>
      <c r="AS3055" s="1531"/>
    </row>
    <row r="3056" spans="1:45" s="1136" customFormat="1" ht="15.75" x14ac:dyDescent="0.25">
      <c r="A3056" s="1500" t="s">
        <v>429</v>
      </c>
      <c r="B3056" s="1490" t="e">
        <f>B3045/B3055</f>
        <v>#VALUE!</v>
      </c>
      <c r="C3056" s="1432"/>
      <c r="D3056" s="1432"/>
      <c r="E3056" s="1432"/>
      <c r="F3056" s="1432"/>
      <c r="G3056" s="1432"/>
      <c r="H3056" s="1531"/>
      <c r="I3056" s="1531"/>
      <c r="J3056" s="1531"/>
      <c r="K3056" s="1531"/>
      <c r="L3056" s="1531"/>
      <c r="M3056" s="1531"/>
      <c r="N3056" s="1531"/>
      <c r="O3056" s="1531"/>
      <c r="P3056" s="1531"/>
      <c r="Q3056" s="1531"/>
      <c r="R3056" s="1531"/>
      <c r="S3056" s="1531"/>
      <c r="T3056" s="1531"/>
      <c r="U3056" s="1531"/>
      <c r="V3056" s="1531"/>
      <c r="W3056" s="1531"/>
      <c r="X3056" s="1531"/>
      <c r="Y3056" s="1531"/>
      <c r="Z3056" s="1531"/>
      <c r="AA3056" s="1531"/>
      <c r="AB3056" s="1531"/>
      <c r="AC3056" s="1531"/>
      <c r="AD3056" s="1531"/>
      <c r="AE3056" s="1531"/>
      <c r="AF3056" s="1531"/>
      <c r="AG3056" s="1531"/>
      <c r="AH3056" s="1531"/>
      <c r="AI3056" s="1531"/>
      <c r="AJ3056" s="1531"/>
      <c r="AK3056" s="1531"/>
      <c r="AL3056" s="1531"/>
      <c r="AM3056" s="1531"/>
      <c r="AN3056" s="1531"/>
      <c r="AO3056" s="1531"/>
      <c r="AP3056" s="1531"/>
      <c r="AQ3056" s="1531"/>
      <c r="AR3056" s="1531"/>
      <c r="AS3056" s="1531"/>
    </row>
    <row r="3057" spans="1:45" s="1136" customFormat="1" ht="15.75" x14ac:dyDescent="0.25">
      <c r="A3057" s="1488" t="s">
        <v>831</v>
      </c>
      <c r="B3057" s="1494" t="e">
        <f>IF(B266=1,B3056,0)</f>
        <v>#VALUE!</v>
      </c>
      <c r="C3057" s="1454"/>
      <c r="D3057" s="1432"/>
      <c r="E3057" s="1432"/>
      <c r="F3057" s="1432"/>
      <c r="G3057" s="1432"/>
      <c r="H3057" s="1531"/>
      <c r="I3057" s="1531"/>
      <c r="J3057" s="1531"/>
      <c r="K3057" s="1531"/>
      <c r="L3057" s="1531"/>
      <c r="M3057" s="1531"/>
      <c r="N3057" s="1531"/>
      <c r="O3057" s="1531"/>
      <c r="P3057" s="1531"/>
      <c r="Q3057" s="1531"/>
      <c r="R3057" s="1531"/>
      <c r="S3057" s="1531"/>
      <c r="T3057" s="1531"/>
      <c r="U3057" s="1531"/>
      <c r="V3057" s="1531"/>
      <c r="W3057" s="1531"/>
      <c r="X3057" s="1531"/>
      <c r="Y3057" s="1531"/>
      <c r="Z3057" s="1531"/>
      <c r="AA3057" s="1531"/>
      <c r="AB3057" s="1531"/>
      <c r="AC3057" s="1531"/>
      <c r="AD3057" s="1531"/>
      <c r="AE3057" s="1531"/>
      <c r="AF3057" s="1531"/>
      <c r="AG3057" s="1531"/>
      <c r="AH3057" s="1531"/>
      <c r="AI3057" s="1531"/>
      <c r="AJ3057" s="1531"/>
      <c r="AK3057" s="1531"/>
      <c r="AL3057" s="1531"/>
      <c r="AM3057" s="1531"/>
      <c r="AN3057" s="1531"/>
      <c r="AO3057" s="1531"/>
      <c r="AP3057" s="1531"/>
      <c r="AQ3057" s="1531"/>
      <c r="AR3057" s="1531"/>
      <c r="AS3057" s="1531"/>
    </row>
    <row r="3058" spans="1:45" s="1136" customFormat="1" ht="15.75" x14ac:dyDescent="0.25">
      <c r="A3058" s="1622"/>
      <c r="B3058" s="1453"/>
      <c r="C3058" s="1454"/>
      <c r="D3058" s="1432"/>
      <c r="E3058" s="1432"/>
      <c r="F3058" s="1432"/>
      <c r="G3058" s="1432"/>
      <c r="H3058" s="1531"/>
      <c r="I3058" s="1531"/>
      <c r="J3058" s="1531"/>
      <c r="K3058" s="1531"/>
      <c r="L3058" s="1531"/>
      <c r="M3058" s="1531"/>
      <c r="N3058" s="1531"/>
      <c r="O3058" s="1531"/>
      <c r="P3058" s="1531"/>
      <c r="Q3058" s="1531"/>
      <c r="R3058" s="1531"/>
      <c r="S3058" s="1531"/>
      <c r="T3058" s="1531"/>
      <c r="U3058" s="1531"/>
      <c r="V3058" s="1531"/>
      <c r="W3058" s="1531"/>
      <c r="X3058" s="1531"/>
      <c r="Y3058" s="1531"/>
      <c r="Z3058" s="1531"/>
      <c r="AA3058" s="1531"/>
      <c r="AB3058" s="1531"/>
      <c r="AC3058" s="1531"/>
      <c r="AD3058" s="1531"/>
      <c r="AE3058" s="1531"/>
      <c r="AF3058" s="1531"/>
      <c r="AG3058" s="1531"/>
      <c r="AH3058" s="1531"/>
      <c r="AI3058" s="1531"/>
      <c r="AJ3058" s="1531"/>
      <c r="AK3058" s="1531"/>
      <c r="AL3058" s="1531"/>
      <c r="AM3058" s="1531"/>
      <c r="AN3058" s="1531"/>
      <c r="AO3058" s="1531"/>
      <c r="AP3058" s="1531"/>
      <c r="AQ3058" s="1531"/>
      <c r="AR3058" s="1531"/>
      <c r="AS3058" s="1531"/>
    </row>
    <row r="3059" spans="1:45" s="1136" customFormat="1" ht="31.5" x14ac:dyDescent="0.25">
      <c r="A3059" s="1502" t="s">
        <v>3429</v>
      </c>
      <c r="B3059" s="1494"/>
      <c r="C3059" s="1563"/>
      <c r="D3059" s="1454"/>
      <c r="E3059" s="1454"/>
      <c r="F3059" s="1454"/>
      <c r="G3059" s="1454"/>
      <c r="H3059" s="1531"/>
      <c r="I3059" s="1531"/>
      <c r="J3059" s="1531"/>
      <c r="K3059" s="1531"/>
      <c r="L3059" s="1531"/>
      <c r="M3059" s="1531"/>
      <c r="N3059" s="1531"/>
      <c r="O3059" s="1531"/>
      <c r="P3059" s="1531"/>
      <c r="Q3059" s="1531"/>
      <c r="R3059" s="1531"/>
      <c r="S3059" s="1531"/>
      <c r="T3059" s="1531"/>
      <c r="U3059" s="1531"/>
      <c r="V3059" s="1531"/>
      <c r="W3059" s="1531"/>
      <c r="X3059" s="1531"/>
      <c r="Y3059" s="1531"/>
      <c r="Z3059" s="1531"/>
      <c r="AA3059" s="1531"/>
      <c r="AB3059" s="1531"/>
      <c r="AC3059" s="1531"/>
      <c r="AD3059" s="1531"/>
      <c r="AE3059" s="1531"/>
      <c r="AF3059" s="1531"/>
      <c r="AG3059" s="1531"/>
      <c r="AH3059" s="1531"/>
      <c r="AI3059" s="1531"/>
      <c r="AJ3059" s="1531"/>
      <c r="AK3059" s="1531"/>
      <c r="AL3059" s="1531"/>
      <c r="AM3059" s="1531"/>
      <c r="AN3059" s="1531"/>
      <c r="AO3059" s="1531"/>
      <c r="AP3059" s="1531"/>
      <c r="AQ3059" s="1531"/>
      <c r="AR3059" s="1531"/>
      <c r="AS3059" s="1531"/>
    </row>
    <row r="3060" spans="1:45" s="1136" customFormat="1" ht="15.75" x14ac:dyDescent="0.25">
      <c r="A3060" s="1430" t="s">
        <v>211</v>
      </c>
      <c r="B3060" s="1423">
        <f>B2617</f>
        <v>4</v>
      </c>
      <c r="C3060" s="1567"/>
      <c r="D3060" s="1434"/>
      <c r="E3060" s="1434"/>
      <c r="F3060" s="1434"/>
      <c r="G3060" s="1434"/>
      <c r="H3060" s="1531"/>
      <c r="I3060" s="1531"/>
      <c r="J3060" s="1531"/>
      <c r="K3060" s="1531"/>
      <c r="L3060" s="1531"/>
      <c r="M3060" s="1531"/>
      <c r="N3060" s="1531"/>
      <c r="O3060" s="1531"/>
      <c r="P3060" s="1531"/>
      <c r="Q3060" s="1531"/>
      <c r="R3060" s="1531"/>
      <c r="S3060" s="1531"/>
      <c r="T3060" s="1531"/>
      <c r="U3060" s="1531"/>
      <c r="V3060" s="1531"/>
      <c r="W3060" s="1531"/>
      <c r="X3060" s="1531"/>
      <c r="Y3060" s="1531"/>
      <c r="Z3060" s="1531"/>
      <c r="AA3060" s="1531"/>
      <c r="AB3060" s="1531"/>
      <c r="AC3060" s="1531"/>
      <c r="AD3060" s="1531"/>
      <c r="AE3060" s="1531"/>
      <c r="AF3060" s="1531"/>
      <c r="AG3060" s="1531"/>
      <c r="AH3060" s="1531"/>
      <c r="AI3060" s="1531"/>
      <c r="AJ3060" s="1531"/>
      <c r="AK3060" s="1531"/>
      <c r="AL3060" s="1531"/>
      <c r="AM3060" s="1531"/>
      <c r="AN3060" s="1531"/>
      <c r="AO3060" s="1531"/>
      <c r="AP3060" s="1531"/>
      <c r="AQ3060" s="1531"/>
      <c r="AR3060" s="1531"/>
      <c r="AS3060" s="1531"/>
    </row>
    <row r="3061" spans="1:45" s="1136" customFormat="1" ht="47.25" x14ac:dyDescent="0.25">
      <c r="A3061" s="1427" t="s">
        <v>4151</v>
      </c>
      <c r="B3061" s="1439"/>
      <c r="C3061" s="1562"/>
      <c r="D3061" s="1437"/>
      <c r="E3061" s="1437"/>
      <c r="F3061" s="1437"/>
      <c r="G3061" s="1437"/>
      <c r="H3061" s="1531"/>
      <c r="I3061" s="1531"/>
      <c r="J3061" s="1531"/>
      <c r="K3061" s="1531"/>
      <c r="L3061" s="1531"/>
      <c r="M3061" s="1531"/>
      <c r="N3061" s="1531"/>
      <c r="O3061" s="1531"/>
      <c r="P3061" s="1531"/>
      <c r="Q3061" s="1531"/>
      <c r="R3061" s="1531"/>
      <c r="S3061" s="1531"/>
      <c r="T3061" s="1531"/>
      <c r="U3061" s="1531"/>
      <c r="V3061" s="1531"/>
      <c r="W3061" s="1531"/>
      <c r="X3061" s="1531"/>
      <c r="Y3061" s="1531"/>
      <c r="Z3061" s="1531"/>
      <c r="AA3061" s="1531"/>
      <c r="AB3061" s="1531"/>
      <c r="AC3061" s="1531"/>
      <c r="AD3061" s="1531"/>
      <c r="AE3061" s="1531"/>
      <c r="AF3061" s="1531"/>
      <c r="AG3061" s="1531"/>
      <c r="AH3061" s="1531"/>
      <c r="AI3061" s="1531"/>
      <c r="AJ3061" s="1531"/>
      <c r="AK3061" s="1531"/>
      <c r="AL3061" s="1531"/>
      <c r="AM3061" s="1531"/>
      <c r="AN3061" s="1531"/>
      <c r="AO3061" s="1531"/>
      <c r="AP3061" s="1531"/>
      <c r="AQ3061" s="1531"/>
      <c r="AR3061" s="1531"/>
      <c r="AS3061" s="1531"/>
    </row>
    <row r="3062" spans="1:45" s="1136" customFormat="1" ht="15.75" x14ac:dyDescent="0.25">
      <c r="A3062" s="1422" t="s">
        <v>4152</v>
      </c>
      <c r="B3062" s="1439" t="e">
        <f>(B245/(B3060-B2851))*B2849</f>
        <v>#VALUE!</v>
      </c>
      <c r="C3062" s="1562"/>
      <c r="D3062" s="1437"/>
      <c r="E3062" s="1437"/>
      <c r="F3062" s="1437"/>
      <c r="G3062" s="1437"/>
      <c r="H3062" s="1531"/>
      <c r="I3062" s="1531"/>
      <c r="J3062" s="1531"/>
      <c r="K3062" s="1531"/>
      <c r="L3062" s="1531"/>
      <c r="M3062" s="1531"/>
      <c r="N3062" s="1531"/>
      <c r="O3062" s="1531"/>
      <c r="P3062" s="1531"/>
      <c r="Q3062" s="1531"/>
      <c r="R3062" s="1531"/>
      <c r="S3062" s="1531"/>
      <c r="T3062" s="1531"/>
      <c r="U3062" s="1531"/>
      <c r="V3062" s="1531"/>
      <c r="W3062" s="1531"/>
      <c r="X3062" s="1531"/>
      <c r="Y3062" s="1531"/>
      <c r="Z3062" s="1531"/>
      <c r="AA3062" s="1531"/>
      <c r="AB3062" s="1531"/>
      <c r="AC3062" s="1531"/>
      <c r="AD3062" s="1531"/>
      <c r="AE3062" s="1531"/>
      <c r="AF3062" s="1531"/>
      <c r="AG3062" s="1531"/>
      <c r="AH3062" s="1531"/>
      <c r="AI3062" s="1531"/>
      <c r="AJ3062" s="1531"/>
      <c r="AK3062" s="1531"/>
      <c r="AL3062" s="1531"/>
      <c r="AM3062" s="1531"/>
      <c r="AN3062" s="1531"/>
      <c r="AO3062" s="1531"/>
      <c r="AP3062" s="1531"/>
      <c r="AQ3062" s="1531"/>
      <c r="AR3062" s="1531"/>
      <c r="AS3062" s="1531"/>
    </row>
    <row r="3063" spans="1:45" s="1136" customFormat="1" ht="31.5" x14ac:dyDescent="0.25">
      <c r="A3063" s="1422" t="s">
        <v>2048</v>
      </c>
      <c r="B3063" s="1424" t="e">
        <f>INDEX($U$3487:$X$3496,B3066,B3067)</f>
        <v>#VALUE!</v>
      </c>
      <c r="C3063" s="1606"/>
      <c r="D3063" s="1432"/>
      <c r="E3063" s="1432"/>
      <c r="F3063" s="1432"/>
      <c r="G3063" s="1432"/>
      <c r="H3063" s="1531"/>
      <c r="I3063" s="1531"/>
      <c r="J3063" s="1531"/>
      <c r="K3063" s="1531"/>
      <c r="L3063" s="1531"/>
      <c r="M3063" s="1531"/>
      <c r="N3063" s="1531"/>
      <c r="O3063" s="1531"/>
      <c r="P3063" s="1531"/>
      <c r="Q3063" s="1531"/>
      <c r="R3063" s="1531"/>
      <c r="S3063" s="1531"/>
      <c r="T3063" s="1531"/>
      <c r="U3063" s="1531"/>
      <c r="V3063" s="1531"/>
      <c r="W3063" s="1531"/>
      <c r="X3063" s="1531"/>
      <c r="Y3063" s="1531"/>
      <c r="Z3063" s="1531"/>
      <c r="AA3063" s="1531"/>
      <c r="AB3063" s="1531"/>
      <c r="AC3063" s="1531"/>
      <c r="AD3063" s="1531"/>
      <c r="AE3063" s="1531"/>
      <c r="AF3063" s="1531"/>
      <c r="AG3063" s="1531"/>
      <c r="AH3063" s="1531"/>
      <c r="AI3063" s="1531"/>
      <c r="AJ3063" s="1531"/>
      <c r="AK3063" s="1531"/>
      <c r="AL3063" s="1531"/>
      <c r="AM3063" s="1531"/>
      <c r="AN3063" s="1531"/>
      <c r="AO3063" s="1531"/>
      <c r="AP3063" s="1531"/>
      <c r="AQ3063" s="1531"/>
      <c r="AR3063" s="1531"/>
      <c r="AS3063" s="1531"/>
    </row>
    <row r="3064" spans="1:45" s="1136" customFormat="1" ht="15.75" x14ac:dyDescent="0.25">
      <c r="A3064" s="1456" t="s">
        <v>1719</v>
      </c>
      <c r="B3064" s="1439"/>
      <c r="C3064" s="1562"/>
      <c r="D3064" s="1454"/>
      <c r="E3064" s="1454"/>
      <c r="F3064" s="1454"/>
      <c r="G3064" s="1454"/>
      <c r="H3064" s="1531"/>
      <c r="I3064" s="1531"/>
      <c r="J3064" s="1531"/>
      <c r="K3064" s="1531"/>
      <c r="L3064" s="1531"/>
      <c r="M3064" s="1531"/>
      <c r="N3064" s="1531"/>
      <c r="O3064" s="1531"/>
      <c r="P3064" s="1531"/>
      <c r="Q3064" s="1531"/>
      <c r="R3064" s="1531"/>
      <c r="S3064" s="1531"/>
      <c r="T3064" s="1531"/>
      <c r="U3064" s="1531"/>
      <c r="V3064" s="1531"/>
      <c r="W3064" s="1531"/>
      <c r="X3064" s="1531"/>
      <c r="Y3064" s="1531"/>
      <c r="Z3064" s="1531"/>
      <c r="AA3064" s="1531"/>
      <c r="AB3064" s="1531"/>
      <c r="AC3064" s="1531"/>
      <c r="AD3064" s="1531"/>
      <c r="AE3064" s="1531"/>
      <c r="AF3064" s="1531"/>
      <c r="AG3064" s="1531"/>
      <c r="AH3064" s="1531"/>
      <c r="AI3064" s="1531"/>
      <c r="AJ3064" s="1531"/>
      <c r="AK3064" s="1531"/>
      <c r="AL3064" s="1531"/>
      <c r="AM3064" s="1531"/>
      <c r="AN3064" s="1531"/>
      <c r="AO3064" s="1531"/>
      <c r="AP3064" s="1531"/>
      <c r="AQ3064" s="1531"/>
      <c r="AR3064" s="1531"/>
      <c r="AS3064" s="1531"/>
    </row>
    <row r="3065" spans="1:45" s="1136" customFormat="1" ht="15.75" x14ac:dyDescent="0.25">
      <c r="A3065" s="1430" t="s">
        <v>1613</v>
      </c>
      <c r="B3065" s="1424" t="e">
        <f>B2860</f>
        <v>#VALUE!</v>
      </c>
      <c r="C3065" s="1606"/>
      <c r="D3065" s="1454"/>
      <c r="E3065" s="1454"/>
      <c r="F3065" s="1454"/>
      <c r="G3065" s="1454"/>
      <c r="H3065" s="1531"/>
      <c r="I3065" s="1531"/>
      <c r="J3065" s="1531"/>
      <c r="K3065" s="1531"/>
      <c r="L3065" s="1531"/>
      <c r="M3065" s="1531"/>
      <c r="N3065" s="1531"/>
      <c r="O3065" s="1531"/>
      <c r="P3065" s="1531"/>
      <c r="Q3065" s="1531"/>
      <c r="R3065" s="1531"/>
      <c r="S3065" s="1531"/>
      <c r="T3065" s="1531"/>
      <c r="U3065" s="1531"/>
      <c r="V3065" s="1531"/>
      <c r="W3065" s="1531"/>
      <c r="X3065" s="1531"/>
      <c r="Y3065" s="1531"/>
      <c r="Z3065" s="1531"/>
      <c r="AA3065" s="1531"/>
      <c r="AB3065" s="1531"/>
      <c r="AC3065" s="1531"/>
      <c r="AD3065" s="1531"/>
      <c r="AE3065" s="1531"/>
      <c r="AF3065" s="1531"/>
      <c r="AG3065" s="1531"/>
      <c r="AH3065" s="1531"/>
      <c r="AI3065" s="1531"/>
      <c r="AJ3065" s="1531"/>
      <c r="AK3065" s="1531"/>
      <c r="AL3065" s="1531"/>
      <c r="AM3065" s="1531"/>
      <c r="AN3065" s="1531"/>
      <c r="AO3065" s="1531"/>
      <c r="AP3065" s="1531"/>
      <c r="AQ3065" s="1531"/>
      <c r="AR3065" s="1531"/>
      <c r="AS3065" s="1531"/>
    </row>
    <row r="3066" spans="1:45" s="1136" customFormat="1" ht="15.75" x14ac:dyDescent="0.25">
      <c r="A3066" s="1422" t="s">
        <v>1319</v>
      </c>
      <c r="B3066" s="1441" t="e">
        <f>B2861</f>
        <v>#VALUE!</v>
      </c>
      <c r="C3066" s="1596"/>
      <c r="D3066" s="1563"/>
      <c r="E3066" s="1563"/>
      <c r="F3066" s="1563"/>
      <c r="G3066" s="1563"/>
      <c r="H3066" s="1531"/>
      <c r="I3066" s="1531"/>
      <c r="J3066" s="1531"/>
      <c r="K3066" s="1531"/>
      <c r="L3066" s="1531"/>
      <c r="M3066" s="1531"/>
      <c r="N3066" s="1531"/>
      <c r="O3066" s="1531"/>
      <c r="P3066" s="1531"/>
      <c r="Q3066" s="1531"/>
      <c r="R3066" s="1531"/>
      <c r="S3066" s="1531"/>
      <c r="T3066" s="1531"/>
      <c r="U3066" s="1531"/>
      <c r="V3066" s="1531"/>
      <c r="W3066" s="1531"/>
      <c r="X3066" s="1531"/>
      <c r="Y3066" s="1531"/>
      <c r="Z3066" s="1531"/>
      <c r="AA3066" s="1531"/>
      <c r="AB3066" s="1531"/>
      <c r="AC3066" s="1531"/>
      <c r="AD3066" s="1531"/>
      <c r="AE3066" s="1531"/>
      <c r="AF3066" s="1531"/>
      <c r="AG3066" s="1531"/>
      <c r="AH3066" s="1531"/>
      <c r="AI3066" s="1531"/>
      <c r="AJ3066" s="1531"/>
      <c r="AK3066" s="1531"/>
      <c r="AL3066" s="1531"/>
      <c r="AM3066" s="1531"/>
      <c r="AN3066" s="1531"/>
      <c r="AO3066" s="1531"/>
      <c r="AP3066" s="1531"/>
      <c r="AQ3066" s="1531"/>
      <c r="AR3066" s="1531"/>
      <c r="AS3066" s="1531"/>
    </row>
    <row r="3067" spans="1:45" s="1136" customFormat="1" ht="15.75" x14ac:dyDescent="0.25">
      <c r="A3067" s="1422" t="s">
        <v>1321</v>
      </c>
      <c r="B3067" s="1614">
        <v>4</v>
      </c>
      <c r="C3067" s="1615"/>
      <c r="D3067" s="1567"/>
      <c r="E3067" s="1567"/>
      <c r="F3067" s="1567"/>
      <c r="G3067" s="1567"/>
      <c r="H3067" s="1531"/>
      <c r="I3067" s="1531"/>
      <c r="J3067" s="1531"/>
      <c r="K3067" s="1531"/>
      <c r="L3067" s="1531"/>
      <c r="M3067" s="1531"/>
      <c r="N3067" s="1531"/>
      <c r="O3067" s="1531"/>
      <c r="P3067" s="1531"/>
      <c r="Q3067" s="1531"/>
      <c r="R3067" s="1531"/>
      <c r="S3067" s="1531"/>
      <c r="T3067" s="1531"/>
      <c r="U3067" s="1531"/>
      <c r="V3067" s="1531"/>
      <c r="W3067" s="1531"/>
      <c r="X3067" s="1531"/>
      <c r="Y3067" s="1531"/>
      <c r="Z3067" s="1531"/>
      <c r="AA3067" s="1531"/>
      <c r="AB3067" s="1531"/>
      <c r="AC3067" s="1531"/>
      <c r="AD3067" s="1531"/>
      <c r="AE3067" s="1531"/>
      <c r="AF3067" s="1531"/>
      <c r="AG3067" s="1531"/>
      <c r="AH3067" s="1531"/>
      <c r="AI3067" s="1531"/>
      <c r="AJ3067" s="1531"/>
      <c r="AK3067" s="1531"/>
      <c r="AL3067" s="1531"/>
      <c r="AM3067" s="1531"/>
      <c r="AN3067" s="1531"/>
      <c r="AO3067" s="1531"/>
      <c r="AP3067" s="1531"/>
      <c r="AQ3067" s="1531"/>
      <c r="AR3067" s="1531"/>
      <c r="AS3067" s="1531"/>
    </row>
    <row r="3068" spans="1:45" s="1136" customFormat="1" ht="15.75" x14ac:dyDescent="0.25">
      <c r="A3068" s="1422" t="s">
        <v>1322</v>
      </c>
      <c r="B3068" s="1439"/>
      <c r="C3068" s="1562"/>
      <c r="D3068" s="1531"/>
      <c r="E3068" s="1531"/>
      <c r="F3068" s="1531"/>
      <c r="G3068" s="1531"/>
      <c r="H3068" s="1531"/>
      <c r="I3068" s="1531"/>
      <c r="J3068" s="1531"/>
      <c r="K3068" s="1531"/>
      <c r="L3068" s="1531"/>
      <c r="M3068" s="1531"/>
      <c r="N3068" s="1531"/>
      <c r="O3068" s="1531"/>
      <c r="P3068" s="1531"/>
      <c r="Q3068" s="1531"/>
      <c r="R3068" s="1531"/>
      <c r="S3068" s="1531"/>
      <c r="T3068" s="1531"/>
      <c r="U3068" s="1531"/>
      <c r="V3068" s="1531"/>
      <c r="W3068" s="1531"/>
      <c r="X3068" s="1531"/>
      <c r="Y3068" s="1531"/>
      <c r="Z3068" s="1531"/>
      <c r="AA3068" s="1531"/>
      <c r="AB3068" s="1531"/>
      <c r="AC3068" s="1531"/>
      <c r="AD3068" s="1531"/>
      <c r="AE3068" s="1531"/>
      <c r="AF3068" s="1531"/>
      <c r="AG3068" s="1531"/>
      <c r="AH3068" s="1531"/>
      <c r="AI3068" s="1531"/>
      <c r="AJ3068" s="1531"/>
      <c r="AK3068" s="1531"/>
      <c r="AL3068" s="1531"/>
      <c r="AM3068" s="1531"/>
      <c r="AN3068" s="1531"/>
      <c r="AO3068" s="1531"/>
      <c r="AP3068" s="1531"/>
      <c r="AQ3068" s="1531"/>
      <c r="AR3068" s="1531"/>
      <c r="AS3068" s="1531"/>
    </row>
    <row r="3069" spans="1:45" s="1136" customFormat="1" ht="15.75" x14ac:dyDescent="0.25">
      <c r="A3069" s="1422" t="s">
        <v>1323</v>
      </c>
      <c r="B3069" s="1443">
        <f>IF(B3060&lt;1.63,1,IF(B3060&lt;2.45,0.9,0.85))</f>
        <v>0.85</v>
      </c>
      <c r="C3069" s="1521"/>
      <c r="D3069" s="1562"/>
      <c r="E3069" s="1562"/>
      <c r="F3069" s="1562"/>
      <c r="G3069" s="1562"/>
      <c r="H3069" s="1531"/>
      <c r="I3069" s="1531"/>
      <c r="J3069" s="1531"/>
      <c r="K3069" s="1531"/>
      <c r="L3069" s="1531"/>
      <c r="M3069" s="1531"/>
      <c r="N3069" s="1531"/>
      <c r="O3069" s="1531"/>
      <c r="P3069" s="1531"/>
      <c r="Q3069" s="1531"/>
      <c r="R3069" s="1531"/>
      <c r="S3069" s="1531"/>
      <c r="T3069" s="1531"/>
      <c r="U3069" s="1531"/>
      <c r="V3069" s="1531"/>
      <c r="W3069" s="1531"/>
      <c r="X3069" s="1531"/>
      <c r="Y3069" s="1531"/>
      <c r="Z3069" s="1531"/>
      <c r="AA3069" s="1531"/>
      <c r="AB3069" s="1531"/>
      <c r="AC3069" s="1531"/>
      <c r="AD3069" s="1531"/>
      <c r="AE3069" s="1531"/>
      <c r="AF3069" s="1531"/>
      <c r="AG3069" s="1531"/>
      <c r="AH3069" s="1531"/>
      <c r="AI3069" s="1531"/>
      <c r="AJ3069" s="1531"/>
      <c r="AK3069" s="1531"/>
      <c r="AL3069" s="1531"/>
      <c r="AM3069" s="1531"/>
      <c r="AN3069" s="1531"/>
      <c r="AO3069" s="1531"/>
      <c r="AP3069" s="1531"/>
      <c r="AQ3069" s="1531"/>
      <c r="AR3069" s="1531"/>
      <c r="AS3069" s="1531"/>
    </row>
    <row r="3070" spans="1:45" s="1136" customFormat="1" ht="15.75" x14ac:dyDescent="0.25">
      <c r="A3070" s="1422" t="s">
        <v>391</v>
      </c>
      <c r="B3070" s="1443">
        <f>B2866</f>
        <v>1.1499999999999999</v>
      </c>
      <c r="C3070" s="1521"/>
      <c r="D3070" s="1606"/>
      <c r="E3070" s="1606"/>
      <c r="F3070" s="1606"/>
      <c r="G3070" s="1606"/>
      <c r="H3070" s="1531"/>
      <c r="I3070" s="1531"/>
      <c r="J3070" s="1531"/>
      <c r="K3070" s="1531"/>
      <c r="L3070" s="1531"/>
      <c r="M3070" s="1531"/>
      <c r="N3070" s="1531"/>
      <c r="O3070" s="1531"/>
      <c r="P3070" s="1531"/>
      <c r="Q3070" s="1531"/>
      <c r="R3070" s="1531"/>
      <c r="S3070" s="1531"/>
      <c r="T3070" s="1531"/>
      <c r="U3070" s="1531"/>
      <c r="V3070" s="1531"/>
      <c r="W3070" s="1531"/>
      <c r="X3070" s="1531"/>
      <c r="Y3070" s="1531"/>
      <c r="Z3070" s="1531"/>
      <c r="AA3070" s="1531"/>
      <c r="AB3070" s="1531"/>
      <c r="AC3070" s="1531"/>
      <c r="AD3070" s="1531"/>
      <c r="AE3070" s="1531"/>
      <c r="AF3070" s="1531"/>
      <c r="AG3070" s="1531"/>
      <c r="AH3070" s="1531"/>
      <c r="AI3070" s="1531"/>
      <c r="AJ3070" s="1531"/>
      <c r="AK3070" s="1531"/>
      <c r="AL3070" s="1531"/>
      <c r="AM3070" s="1531"/>
      <c r="AN3070" s="1531"/>
      <c r="AO3070" s="1531"/>
      <c r="AP3070" s="1531"/>
      <c r="AQ3070" s="1531"/>
      <c r="AR3070" s="1531"/>
      <c r="AS3070" s="1531"/>
    </row>
    <row r="3071" spans="1:45" s="1136" customFormat="1" ht="15.75" x14ac:dyDescent="0.25">
      <c r="A3071" s="1422" t="s">
        <v>392</v>
      </c>
      <c r="B3071" s="1443">
        <f>B2867</f>
        <v>1</v>
      </c>
      <c r="C3071" s="1521"/>
      <c r="D3071" s="1531"/>
      <c r="E3071" s="1531"/>
      <c r="F3071" s="1531"/>
      <c r="G3071" s="1531"/>
      <c r="H3071" s="1531"/>
      <c r="I3071" s="1531"/>
      <c r="J3071" s="1531"/>
      <c r="K3071" s="1531"/>
      <c r="L3071" s="1531"/>
      <c r="M3071" s="1531"/>
      <c r="N3071" s="1531"/>
      <c r="O3071" s="1531"/>
      <c r="P3071" s="1531"/>
      <c r="Q3071" s="1531"/>
      <c r="R3071" s="1531"/>
      <c r="S3071" s="1531"/>
      <c r="T3071" s="1531"/>
      <c r="U3071" s="1531"/>
      <c r="V3071" s="1531"/>
      <c r="W3071" s="1531"/>
      <c r="X3071" s="1531"/>
      <c r="Y3071" s="1531"/>
      <c r="Z3071" s="1531"/>
      <c r="AA3071" s="1531"/>
      <c r="AB3071" s="1531"/>
      <c r="AC3071" s="1531"/>
      <c r="AD3071" s="1531"/>
      <c r="AE3071" s="1531"/>
      <c r="AF3071" s="1531"/>
      <c r="AG3071" s="1531"/>
      <c r="AH3071" s="1531"/>
      <c r="AI3071" s="1531"/>
      <c r="AJ3071" s="1531"/>
      <c r="AK3071" s="1531"/>
      <c r="AL3071" s="1531"/>
      <c r="AM3071" s="1531"/>
      <c r="AN3071" s="1531"/>
      <c r="AO3071" s="1531"/>
      <c r="AP3071" s="1531"/>
      <c r="AQ3071" s="1531"/>
      <c r="AR3071" s="1531"/>
      <c r="AS3071" s="1531"/>
    </row>
    <row r="3072" spans="1:45" s="1136" customFormat="1" ht="31.5" x14ac:dyDescent="0.25">
      <c r="A3072" s="1422" t="s">
        <v>393</v>
      </c>
      <c r="B3072" s="1443">
        <f>B2868</f>
        <v>1</v>
      </c>
      <c r="C3072" s="1521"/>
      <c r="D3072" s="1606"/>
      <c r="E3072" s="1606"/>
      <c r="F3072" s="1606"/>
      <c r="G3072" s="1606"/>
      <c r="H3072" s="1531"/>
      <c r="I3072" s="1531"/>
      <c r="J3072" s="1531"/>
      <c r="K3072" s="1531"/>
      <c r="L3072" s="1531"/>
      <c r="M3072" s="1531"/>
      <c r="N3072" s="1531"/>
      <c r="O3072" s="1531"/>
      <c r="P3072" s="1531"/>
      <c r="Q3072" s="1531"/>
      <c r="R3072" s="1531"/>
      <c r="S3072" s="1531"/>
      <c r="T3072" s="1531"/>
      <c r="U3072" s="1531"/>
      <c r="V3072" s="1531"/>
      <c r="W3072" s="1531"/>
      <c r="X3072" s="1531"/>
      <c r="Y3072" s="1531"/>
      <c r="Z3072" s="1531"/>
      <c r="AA3072" s="1531"/>
      <c r="AB3072" s="1531"/>
      <c r="AC3072" s="1531"/>
      <c r="AD3072" s="1531"/>
      <c r="AE3072" s="1531"/>
      <c r="AF3072" s="1531"/>
      <c r="AG3072" s="1531"/>
      <c r="AH3072" s="1531"/>
      <c r="AI3072" s="1531"/>
      <c r="AJ3072" s="1531"/>
      <c r="AK3072" s="1531"/>
      <c r="AL3072" s="1531"/>
      <c r="AM3072" s="1531"/>
      <c r="AN3072" s="1531"/>
      <c r="AO3072" s="1531"/>
      <c r="AP3072" s="1531"/>
      <c r="AQ3072" s="1531"/>
      <c r="AR3072" s="1531"/>
      <c r="AS3072" s="1531"/>
    </row>
    <row r="3073" spans="1:45" s="1136" customFormat="1" ht="15.75" x14ac:dyDescent="0.25">
      <c r="A3073" s="1422" t="s">
        <v>1614</v>
      </c>
      <c r="B3073" s="1450">
        <v>0.7</v>
      </c>
      <c r="C3073" s="1617"/>
      <c r="D3073" s="1596"/>
      <c r="E3073" s="1596"/>
      <c r="F3073" s="1596"/>
      <c r="G3073" s="1596"/>
      <c r="H3073" s="1531"/>
      <c r="I3073" s="1531"/>
      <c r="J3073" s="1531"/>
      <c r="K3073" s="1531"/>
      <c r="L3073" s="1531"/>
      <c r="M3073" s="1531"/>
      <c r="N3073" s="1531"/>
      <c r="O3073" s="1531"/>
      <c r="P3073" s="1531"/>
      <c r="Q3073" s="1531"/>
      <c r="R3073" s="1531"/>
      <c r="S3073" s="1531"/>
      <c r="T3073" s="1531"/>
      <c r="U3073" s="1531"/>
      <c r="V3073" s="1531"/>
      <c r="W3073" s="1531"/>
      <c r="X3073" s="1531"/>
      <c r="Y3073" s="1531"/>
      <c r="Z3073" s="1531"/>
      <c r="AA3073" s="1531"/>
      <c r="AB3073" s="1531"/>
      <c r="AC3073" s="1531"/>
      <c r="AD3073" s="1531"/>
      <c r="AE3073" s="1531"/>
      <c r="AF3073" s="1531"/>
      <c r="AG3073" s="1531"/>
      <c r="AH3073" s="1531"/>
      <c r="AI3073" s="1531"/>
      <c r="AJ3073" s="1531"/>
      <c r="AK3073" s="1531"/>
      <c r="AL3073" s="1531"/>
      <c r="AM3073" s="1531"/>
      <c r="AN3073" s="1531"/>
      <c r="AO3073" s="1531"/>
      <c r="AP3073" s="1531"/>
      <c r="AQ3073" s="1531"/>
      <c r="AR3073" s="1531"/>
      <c r="AS3073" s="1531"/>
    </row>
    <row r="3074" spans="1:45" s="1136" customFormat="1" ht="15.75" x14ac:dyDescent="0.25">
      <c r="A3074" s="1422" t="s">
        <v>3412</v>
      </c>
      <c r="B3074" s="1443" t="e">
        <f>B3063*B3069*B3070*B3071*B3072*B3073*B2383</f>
        <v>#VALUE!</v>
      </c>
      <c r="C3074" s="1521"/>
      <c r="D3074" s="1615"/>
      <c r="E3074" s="1615"/>
      <c r="F3074" s="1615"/>
      <c r="G3074" s="1615"/>
      <c r="H3074" s="1531"/>
      <c r="I3074" s="1531"/>
      <c r="J3074" s="1531"/>
      <c r="K3074" s="1531"/>
      <c r="L3074" s="1531"/>
      <c r="M3074" s="1531"/>
      <c r="N3074" s="1531"/>
      <c r="O3074" s="1531"/>
      <c r="P3074" s="1531"/>
      <c r="Q3074" s="1531"/>
      <c r="R3074" s="1531"/>
      <c r="S3074" s="1531"/>
      <c r="T3074" s="1531"/>
      <c r="U3074" s="1531"/>
      <c r="V3074" s="1531"/>
      <c r="W3074" s="1531"/>
      <c r="X3074" s="1531"/>
      <c r="Y3074" s="1531"/>
      <c r="Z3074" s="1531"/>
      <c r="AA3074" s="1531"/>
      <c r="AB3074" s="1531"/>
      <c r="AC3074" s="1531"/>
      <c r="AD3074" s="1531"/>
      <c r="AE3074" s="1531"/>
      <c r="AF3074" s="1531"/>
      <c r="AG3074" s="1531"/>
      <c r="AH3074" s="1531"/>
      <c r="AI3074" s="1531"/>
      <c r="AJ3074" s="1531"/>
      <c r="AK3074" s="1531"/>
      <c r="AL3074" s="1531"/>
      <c r="AM3074" s="1531"/>
      <c r="AN3074" s="1531"/>
      <c r="AO3074" s="1531"/>
      <c r="AP3074" s="1531"/>
      <c r="AQ3074" s="1531"/>
      <c r="AR3074" s="1531"/>
      <c r="AS3074" s="1531"/>
    </row>
    <row r="3075" spans="1:45" s="1136" customFormat="1" ht="15.75" x14ac:dyDescent="0.25">
      <c r="A3075" s="1422" t="s">
        <v>429</v>
      </c>
      <c r="B3075" s="1439" t="e">
        <f>B3062/B3074</f>
        <v>#VALUE!</v>
      </c>
      <c r="C3075" s="1562"/>
      <c r="D3075" s="1531"/>
      <c r="E3075" s="1531"/>
      <c r="F3075" s="1531"/>
      <c r="G3075" s="1531"/>
      <c r="H3075" s="1531"/>
      <c r="I3075" s="1531"/>
      <c r="J3075" s="1531"/>
      <c r="K3075" s="1531"/>
      <c r="L3075" s="1531"/>
      <c r="M3075" s="1531"/>
      <c r="N3075" s="1531"/>
      <c r="O3075" s="1531"/>
      <c r="P3075" s="1531"/>
      <c r="Q3075" s="1531"/>
      <c r="R3075" s="1531"/>
      <c r="S3075" s="1531"/>
      <c r="T3075" s="1531"/>
      <c r="U3075" s="1531"/>
      <c r="V3075" s="1531"/>
      <c r="W3075" s="1531"/>
      <c r="X3075" s="1531"/>
      <c r="Y3075" s="1531"/>
      <c r="Z3075" s="1531"/>
      <c r="AA3075" s="1531"/>
      <c r="AB3075" s="1531"/>
      <c r="AC3075" s="1531"/>
      <c r="AD3075" s="1531"/>
      <c r="AE3075" s="1531"/>
      <c r="AF3075" s="1531"/>
      <c r="AG3075" s="1531"/>
      <c r="AH3075" s="1531"/>
      <c r="AI3075" s="1531"/>
      <c r="AJ3075" s="1531"/>
      <c r="AK3075" s="1531"/>
      <c r="AL3075" s="1531"/>
      <c r="AM3075" s="1531"/>
      <c r="AN3075" s="1531"/>
      <c r="AO3075" s="1531"/>
      <c r="AP3075" s="1531"/>
      <c r="AQ3075" s="1531"/>
      <c r="AR3075" s="1531"/>
      <c r="AS3075" s="1531"/>
    </row>
    <row r="3076" spans="1:45" s="1136" customFormat="1" ht="15.75" x14ac:dyDescent="0.25">
      <c r="A3076" s="1422"/>
      <c r="B3076" s="1443"/>
      <c r="C3076" s="1521"/>
      <c r="D3076" s="1521"/>
      <c r="E3076" s="1521"/>
      <c r="F3076" s="1521"/>
      <c r="G3076" s="1521"/>
      <c r="H3076" s="1531"/>
      <c r="I3076" s="1531"/>
      <c r="J3076" s="1531"/>
      <c r="K3076" s="1531"/>
      <c r="L3076" s="1531"/>
      <c r="M3076" s="1531"/>
      <c r="N3076" s="1531"/>
      <c r="O3076" s="1531"/>
      <c r="P3076" s="1531"/>
      <c r="Q3076" s="1531"/>
      <c r="R3076" s="1531"/>
      <c r="S3076" s="1531"/>
      <c r="T3076" s="1531"/>
      <c r="U3076" s="1531"/>
      <c r="V3076" s="1531"/>
      <c r="W3076" s="1531"/>
      <c r="X3076" s="1531"/>
      <c r="Y3076" s="1531"/>
      <c r="Z3076" s="1531"/>
      <c r="AA3076" s="1531"/>
      <c r="AB3076" s="1531"/>
      <c r="AC3076" s="1531"/>
      <c r="AD3076" s="1531"/>
      <c r="AE3076" s="1531"/>
      <c r="AF3076" s="1531"/>
      <c r="AG3076" s="1531"/>
      <c r="AH3076" s="1531"/>
      <c r="AI3076" s="1531"/>
      <c r="AJ3076" s="1531"/>
      <c r="AK3076" s="1531"/>
      <c r="AL3076" s="1531"/>
      <c r="AM3076" s="1531"/>
      <c r="AN3076" s="1531"/>
      <c r="AO3076" s="1531"/>
      <c r="AP3076" s="1531"/>
      <c r="AQ3076" s="1531"/>
      <c r="AR3076" s="1531"/>
      <c r="AS3076" s="1531"/>
    </row>
    <row r="3077" spans="1:45" s="1136" customFormat="1" ht="63" x14ac:dyDescent="0.25">
      <c r="A3077" s="1438" t="s">
        <v>423</v>
      </c>
      <c r="B3077" s="1443"/>
      <c r="C3077" s="1521"/>
      <c r="D3077" s="1521"/>
      <c r="E3077" s="1521"/>
      <c r="F3077" s="1521"/>
      <c r="G3077" s="1521"/>
      <c r="H3077" s="1531"/>
      <c r="I3077" s="1531"/>
      <c r="J3077" s="1531"/>
      <c r="K3077" s="1531"/>
      <c r="L3077" s="1531"/>
      <c r="M3077" s="1531"/>
      <c r="N3077" s="1531"/>
      <c r="O3077" s="1531"/>
      <c r="P3077" s="1531"/>
      <c r="Q3077" s="1531"/>
      <c r="R3077" s="1531"/>
      <c r="S3077" s="1531"/>
      <c r="T3077" s="1531"/>
      <c r="U3077" s="1531"/>
      <c r="V3077" s="1531"/>
      <c r="W3077" s="1531"/>
      <c r="X3077" s="1531"/>
      <c r="Y3077" s="1531"/>
      <c r="Z3077" s="1531"/>
      <c r="AA3077" s="1531"/>
      <c r="AB3077" s="1531"/>
      <c r="AC3077" s="1531"/>
      <c r="AD3077" s="1531"/>
      <c r="AE3077" s="1531"/>
      <c r="AF3077" s="1531"/>
      <c r="AG3077" s="1531"/>
      <c r="AH3077" s="1531"/>
      <c r="AI3077" s="1531"/>
      <c r="AJ3077" s="1531"/>
      <c r="AK3077" s="1531"/>
      <c r="AL3077" s="1531"/>
      <c r="AM3077" s="1531"/>
      <c r="AN3077" s="1531"/>
      <c r="AO3077" s="1531"/>
      <c r="AP3077" s="1531"/>
      <c r="AQ3077" s="1531"/>
      <c r="AR3077" s="1531"/>
      <c r="AS3077" s="1531"/>
    </row>
    <row r="3078" spans="1:45" s="1136" customFormat="1" ht="15.75" x14ac:dyDescent="0.25">
      <c r="A3078" s="1420" t="s">
        <v>424</v>
      </c>
      <c r="B3078" s="1443" t="e">
        <f>(((B3060/B261)+1)-3)*B2849</f>
        <v>#VALUE!</v>
      </c>
      <c r="C3078" s="1521"/>
      <c r="D3078" s="1521"/>
      <c r="E3078" s="1521"/>
      <c r="F3078" s="1521"/>
      <c r="G3078" s="1521"/>
      <c r="H3078" s="1531"/>
      <c r="I3078" s="1531"/>
      <c r="J3078" s="1531"/>
      <c r="K3078" s="1531"/>
      <c r="L3078" s="1531"/>
      <c r="M3078" s="1531"/>
      <c r="N3078" s="1531"/>
      <c r="O3078" s="1531"/>
      <c r="P3078" s="1531"/>
      <c r="Q3078" s="1531"/>
      <c r="R3078" s="1531"/>
      <c r="S3078" s="1531"/>
      <c r="T3078" s="1531"/>
      <c r="U3078" s="1531"/>
      <c r="V3078" s="1531"/>
      <c r="W3078" s="1531"/>
      <c r="X3078" s="1531"/>
      <c r="Y3078" s="1531"/>
      <c r="Z3078" s="1531"/>
      <c r="AA3078" s="1531"/>
      <c r="AB3078" s="1531"/>
      <c r="AC3078" s="1531"/>
      <c r="AD3078" s="1531"/>
      <c r="AE3078" s="1531"/>
      <c r="AF3078" s="1531"/>
      <c r="AG3078" s="1531"/>
      <c r="AH3078" s="1531"/>
      <c r="AI3078" s="1531"/>
      <c r="AJ3078" s="1531"/>
      <c r="AK3078" s="1531"/>
      <c r="AL3078" s="1531"/>
      <c r="AM3078" s="1531"/>
      <c r="AN3078" s="1531"/>
      <c r="AO3078" s="1531"/>
      <c r="AP3078" s="1531"/>
      <c r="AQ3078" s="1531"/>
      <c r="AR3078" s="1531"/>
      <c r="AS3078" s="1531"/>
    </row>
    <row r="3079" spans="1:45" s="1136" customFormat="1" ht="15.75" x14ac:dyDescent="0.25">
      <c r="A3079" s="1420" t="s">
        <v>425</v>
      </c>
      <c r="B3079" s="1443" t="e">
        <f>B2877</f>
        <v>#VALUE!</v>
      </c>
      <c r="C3079" s="1521"/>
      <c r="D3079" s="1521"/>
      <c r="E3079" s="1521"/>
      <c r="F3079" s="1521"/>
      <c r="G3079" s="1521"/>
      <c r="H3079" s="1531"/>
      <c r="I3079" s="1531"/>
      <c r="J3079" s="1531"/>
      <c r="K3079" s="1531"/>
      <c r="L3079" s="1531"/>
      <c r="M3079" s="1531"/>
      <c r="N3079" s="1531"/>
      <c r="O3079" s="1531"/>
      <c r="P3079" s="1531"/>
      <c r="Q3079" s="1531"/>
      <c r="R3079" s="1531"/>
      <c r="S3079" s="1531"/>
      <c r="T3079" s="1531"/>
      <c r="U3079" s="1531"/>
      <c r="V3079" s="1531"/>
      <c r="W3079" s="1531"/>
      <c r="X3079" s="1531"/>
      <c r="Y3079" s="1531"/>
      <c r="Z3079" s="1531"/>
      <c r="AA3079" s="1531"/>
      <c r="AB3079" s="1531"/>
      <c r="AC3079" s="1531"/>
      <c r="AD3079" s="1531"/>
      <c r="AE3079" s="1531"/>
      <c r="AF3079" s="1531"/>
      <c r="AG3079" s="1531"/>
      <c r="AH3079" s="1531"/>
      <c r="AI3079" s="1531"/>
      <c r="AJ3079" s="1531"/>
      <c r="AK3079" s="1531"/>
      <c r="AL3079" s="1531"/>
      <c r="AM3079" s="1531"/>
      <c r="AN3079" s="1531"/>
      <c r="AO3079" s="1531"/>
      <c r="AP3079" s="1531"/>
      <c r="AQ3079" s="1531"/>
      <c r="AR3079" s="1531"/>
      <c r="AS3079" s="1531"/>
    </row>
    <row r="3080" spans="1:45" s="1136" customFormat="1" ht="15.75" x14ac:dyDescent="0.25">
      <c r="A3080" s="1420" t="s">
        <v>428</v>
      </c>
      <c r="B3080" s="1443" t="e">
        <f>B3069*B3070*B3071*B3072*B3073*B2383</f>
        <v>#VALUE!</v>
      </c>
      <c r="C3080" s="1521"/>
      <c r="D3080" s="1617"/>
      <c r="E3080" s="1617"/>
      <c r="F3080" s="1617"/>
      <c r="G3080" s="1617"/>
      <c r="H3080" s="1531"/>
      <c r="I3080" s="1531"/>
      <c r="J3080" s="1531"/>
      <c r="K3080" s="1531"/>
      <c r="L3080" s="1531"/>
      <c r="M3080" s="1531"/>
      <c r="N3080" s="1531"/>
      <c r="O3080" s="1531"/>
      <c r="P3080" s="1531"/>
      <c r="Q3080" s="1531"/>
      <c r="R3080" s="1531"/>
      <c r="S3080" s="1531"/>
      <c r="T3080" s="1531"/>
      <c r="U3080" s="1531"/>
      <c r="V3080" s="1531"/>
      <c r="W3080" s="1531"/>
      <c r="X3080" s="1531"/>
      <c r="Y3080" s="1531"/>
      <c r="Z3080" s="1531"/>
      <c r="AA3080" s="1531"/>
      <c r="AB3080" s="1531"/>
      <c r="AC3080" s="1531"/>
      <c r="AD3080" s="1531"/>
      <c r="AE3080" s="1531"/>
      <c r="AF3080" s="1531"/>
      <c r="AG3080" s="1531"/>
      <c r="AH3080" s="1531"/>
      <c r="AI3080" s="1531"/>
      <c r="AJ3080" s="1531"/>
      <c r="AK3080" s="1531"/>
      <c r="AL3080" s="1531"/>
      <c r="AM3080" s="1531"/>
      <c r="AN3080" s="1531"/>
      <c r="AO3080" s="1531"/>
      <c r="AP3080" s="1531"/>
      <c r="AQ3080" s="1531"/>
      <c r="AR3080" s="1531"/>
      <c r="AS3080" s="1531"/>
    </row>
    <row r="3081" spans="1:45" s="1136" customFormat="1" ht="15.75" x14ac:dyDescent="0.25">
      <c r="A3081" s="1420" t="s">
        <v>3412</v>
      </c>
      <c r="B3081" s="1443" t="e">
        <f>B3079*B3080</f>
        <v>#VALUE!</v>
      </c>
      <c r="C3081" s="1521"/>
      <c r="D3081" s="1521"/>
      <c r="E3081" s="1521"/>
      <c r="F3081" s="1521"/>
      <c r="G3081" s="1521"/>
      <c r="H3081" s="1531"/>
      <c r="I3081" s="1531"/>
      <c r="J3081" s="1531"/>
      <c r="K3081" s="1531"/>
      <c r="L3081" s="1531"/>
      <c r="M3081" s="1531"/>
      <c r="N3081" s="1531"/>
      <c r="O3081" s="1531"/>
      <c r="P3081" s="1531"/>
      <c r="Q3081" s="1531"/>
      <c r="R3081" s="1531"/>
      <c r="S3081" s="1531"/>
      <c r="T3081" s="1531"/>
      <c r="U3081" s="1531"/>
      <c r="V3081" s="1531"/>
      <c r="W3081" s="1531"/>
      <c r="X3081" s="1531"/>
      <c r="Y3081" s="1531"/>
      <c r="Z3081" s="1531"/>
      <c r="AA3081" s="1531"/>
      <c r="AB3081" s="1531"/>
      <c r="AC3081" s="1531"/>
      <c r="AD3081" s="1531"/>
      <c r="AE3081" s="1531"/>
      <c r="AF3081" s="1531"/>
      <c r="AG3081" s="1531"/>
      <c r="AH3081" s="1531"/>
      <c r="AI3081" s="1531"/>
      <c r="AJ3081" s="1531"/>
      <c r="AK3081" s="1531"/>
      <c r="AL3081" s="1531"/>
      <c r="AM3081" s="1531"/>
      <c r="AN3081" s="1531"/>
      <c r="AO3081" s="1531"/>
      <c r="AP3081" s="1531"/>
      <c r="AQ3081" s="1531"/>
      <c r="AR3081" s="1531"/>
      <c r="AS3081" s="1531"/>
    </row>
    <row r="3082" spans="1:45" s="1136" customFormat="1" ht="15.75" x14ac:dyDescent="0.25">
      <c r="A3082" s="1422" t="s">
        <v>429</v>
      </c>
      <c r="B3082" s="1439" t="e">
        <f>B3078/B3081</f>
        <v>#VALUE!</v>
      </c>
      <c r="C3082" s="1562"/>
      <c r="D3082" s="1562"/>
      <c r="E3082" s="1562"/>
      <c r="F3082" s="1562"/>
      <c r="G3082" s="1562"/>
      <c r="H3082" s="1531"/>
      <c r="I3082" s="1531"/>
      <c r="J3082" s="1531"/>
      <c r="K3082" s="1531"/>
      <c r="L3082" s="1531"/>
      <c r="M3082" s="1531"/>
      <c r="N3082" s="1531"/>
      <c r="O3082" s="1531"/>
      <c r="P3082" s="1531"/>
      <c r="Q3082" s="1531"/>
      <c r="R3082" s="1531"/>
      <c r="S3082" s="1531"/>
      <c r="T3082" s="1531"/>
      <c r="U3082" s="1531"/>
      <c r="V3082" s="1531"/>
      <c r="W3082" s="1531"/>
      <c r="X3082" s="1531"/>
      <c r="Y3082" s="1531"/>
      <c r="Z3082" s="1531"/>
      <c r="AA3082" s="1531"/>
      <c r="AB3082" s="1531"/>
      <c r="AC3082" s="1531"/>
      <c r="AD3082" s="1531"/>
      <c r="AE3082" s="1531"/>
      <c r="AF3082" s="1531"/>
      <c r="AG3082" s="1531"/>
      <c r="AH3082" s="1531"/>
      <c r="AI3082" s="1531"/>
      <c r="AJ3082" s="1531"/>
      <c r="AK3082" s="1531"/>
      <c r="AL3082" s="1531"/>
      <c r="AM3082" s="1531"/>
      <c r="AN3082" s="1531"/>
      <c r="AO3082" s="1531"/>
      <c r="AP3082" s="1531"/>
      <c r="AQ3082" s="1531"/>
      <c r="AR3082" s="1531"/>
      <c r="AS3082" s="1531"/>
    </row>
    <row r="3083" spans="1:45" s="1136" customFormat="1" ht="15.75" x14ac:dyDescent="0.25">
      <c r="A3083" s="1430"/>
      <c r="B3083" s="1443"/>
      <c r="C3083" s="1521"/>
      <c r="D3083" s="1531"/>
      <c r="E3083" s="1531"/>
      <c r="F3083" s="1531"/>
      <c r="G3083" s="1531"/>
      <c r="H3083" s="1531"/>
      <c r="I3083" s="1531"/>
      <c r="J3083" s="1531"/>
      <c r="K3083" s="1531"/>
      <c r="L3083" s="1531"/>
      <c r="M3083" s="1531"/>
      <c r="N3083" s="1531"/>
      <c r="O3083" s="1531"/>
      <c r="P3083" s="1531"/>
      <c r="Q3083" s="1531"/>
      <c r="R3083" s="1531"/>
      <c r="S3083" s="1531"/>
      <c r="T3083" s="1531"/>
      <c r="U3083" s="1531"/>
      <c r="V3083" s="1531"/>
      <c r="W3083" s="1531"/>
      <c r="X3083" s="1531"/>
      <c r="Y3083" s="1531"/>
      <c r="Z3083" s="1531"/>
      <c r="AA3083" s="1531"/>
      <c r="AB3083" s="1531"/>
      <c r="AC3083" s="1531"/>
      <c r="AD3083" s="1531"/>
      <c r="AE3083" s="1531"/>
      <c r="AF3083" s="1531"/>
      <c r="AG3083" s="1531"/>
      <c r="AH3083" s="1531"/>
      <c r="AI3083" s="1531"/>
      <c r="AJ3083" s="1531"/>
      <c r="AK3083" s="1531"/>
      <c r="AL3083" s="1531"/>
      <c r="AM3083" s="1531"/>
      <c r="AN3083" s="1531"/>
      <c r="AO3083" s="1531"/>
      <c r="AP3083" s="1531"/>
      <c r="AQ3083" s="1531"/>
      <c r="AR3083" s="1531"/>
      <c r="AS3083" s="1531"/>
    </row>
    <row r="3084" spans="1:45" s="1136" customFormat="1" ht="63" x14ac:dyDescent="0.25">
      <c r="A3084" s="1438" t="s">
        <v>3389</v>
      </c>
      <c r="B3084" s="1443"/>
      <c r="C3084" s="1521"/>
      <c r="D3084" s="1531"/>
      <c r="E3084" s="1531"/>
      <c r="F3084" s="1531"/>
      <c r="G3084" s="1531"/>
      <c r="H3084" s="1531"/>
      <c r="I3084" s="1531"/>
      <c r="J3084" s="1531"/>
      <c r="K3084" s="1531"/>
      <c r="L3084" s="1531"/>
      <c r="M3084" s="1531"/>
      <c r="N3084" s="1531"/>
      <c r="O3084" s="1531"/>
      <c r="P3084" s="1531"/>
      <c r="Q3084" s="1531"/>
      <c r="R3084" s="1531"/>
      <c r="S3084" s="1531"/>
      <c r="T3084" s="1531"/>
      <c r="U3084" s="1531"/>
      <c r="V3084" s="1531"/>
      <c r="W3084" s="1531"/>
      <c r="X3084" s="1531"/>
      <c r="Y3084" s="1531"/>
      <c r="Z3084" s="1531"/>
      <c r="AA3084" s="1531"/>
      <c r="AB3084" s="1531"/>
      <c r="AC3084" s="1531"/>
      <c r="AD3084" s="1531"/>
      <c r="AE3084" s="1531"/>
      <c r="AF3084" s="1531"/>
      <c r="AG3084" s="1531"/>
      <c r="AH3084" s="1531"/>
      <c r="AI3084" s="1531"/>
      <c r="AJ3084" s="1531"/>
      <c r="AK3084" s="1531"/>
      <c r="AL3084" s="1531"/>
      <c r="AM3084" s="1531"/>
      <c r="AN3084" s="1531"/>
      <c r="AO3084" s="1531"/>
      <c r="AP3084" s="1531"/>
      <c r="AQ3084" s="1531"/>
      <c r="AR3084" s="1531"/>
      <c r="AS3084" s="1531"/>
    </row>
    <row r="3085" spans="1:45" s="1136" customFormat="1" ht="15.75" x14ac:dyDescent="0.25">
      <c r="A3085" s="1420" t="s">
        <v>424</v>
      </c>
      <c r="B3085" s="1439" t="e">
        <f>(B245*(((B3060-B2851)/B261+1)-1)/(B3060-B2851))*B2849</f>
        <v>#VALUE!</v>
      </c>
      <c r="C3085" s="1562"/>
      <c r="D3085" s="1521"/>
      <c r="E3085" s="1521"/>
      <c r="F3085" s="1521"/>
      <c r="G3085" s="1521"/>
      <c r="H3085" s="1531"/>
      <c r="I3085" s="1531"/>
      <c r="J3085" s="1531"/>
      <c r="K3085" s="1531"/>
      <c r="L3085" s="1531"/>
      <c r="M3085" s="1531"/>
      <c r="N3085" s="1531"/>
      <c r="O3085" s="1531"/>
      <c r="P3085" s="1531"/>
      <c r="Q3085" s="1531"/>
      <c r="R3085" s="1531"/>
      <c r="S3085" s="1531"/>
      <c r="T3085" s="1531"/>
      <c r="U3085" s="1531"/>
      <c r="V3085" s="1531"/>
      <c r="W3085" s="1531"/>
      <c r="X3085" s="1531"/>
      <c r="Y3085" s="1531"/>
      <c r="Z3085" s="1531"/>
      <c r="AA3085" s="1531"/>
      <c r="AB3085" s="1531"/>
      <c r="AC3085" s="1531"/>
      <c r="AD3085" s="1531"/>
      <c r="AE3085" s="1531"/>
      <c r="AF3085" s="1531"/>
      <c r="AG3085" s="1531"/>
      <c r="AH3085" s="1531"/>
      <c r="AI3085" s="1531"/>
      <c r="AJ3085" s="1531"/>
      <c r="AK3085" s="1531"/>
      <c r="AL3085" s="1531"/>
      <c r="AM3085" s="1531"/>
      <c r="AN3085" s="1531"/>
      <c r="AO3085" s="1531"/>
      <c r="AP3085" s="1531"/>
      <c r="AQ3085" s="1531"/>
      <c r="AR3085" s="1531"/>
      <c r="AS3085" s="1531"/>
    </row>
    <row r="3086" spans="1:45" s="1136" customFormat="1" ht="15.75" x14ac:dyDescent="0.25">
      <c r="A3086" s="1420" t="s">
        <v>3390</v>
      </c>
      <c r="B3086" s="1441" t="e">
        <f>B2886</f>
        <v>#VALUE!</v>
      </c>
      <c r="C3086" s="1596"/>
      <c r="D3086" s="1521"/>
      <c r="E3086" s="1521"/>
      <c r="F3086" s="1521"/>
      <c r="G3086" s="1521"/>
      <c r="H3086" s="1531"/>
      <c r="I3086" s="1531"/>
      <c r="J3086" s="1531"/>
      <c r="K3086" s="1531"/>
      <c r="L3086" s="1531"/>
      <c r="M3086" s="1531"/>
      <c r="N3086" s="1531"/>
      <c r="O3086" s="1531"/>
      <c r="P3086" s="1531"/>
      <c r="Q3086" s="1531"/>
      <c r="R3086" s="1531"/>
      <c r="S3086" s="1531"/>
      <c r="T3086" s="1531"/>
      <c r="U3086" s="1531"/>
      <c r="V3086" s="1531"/>
      <c r="W3086" s="1531"/>
      <c r="X3086" s="1531"/>
      <c r="Y3086" s="1531"/>
      <c r="Z3086" s="1531"/>
      <c r="AA3086" s="1531"/>
      <c r="AB3086" s="1531"/>
      <c r="AC3086" s="1531"/>
      <c r="AD3086" s="1531"/>
      <c r="AE3086" s="1531"/>
      <c r="AF3086" s="1531"/>
      <c r="AG3086" s="1531"/>
      <c r="AH3086" s="1531"/>
      <c r="AI3086" s="1531"/>
      <c r="AJ3086" s="1531"/>
      <c r="AK3086" s="1531"/>
      <c r="AL3086" s="1531"/>
      <c r="AM3086" s="1531"/>
      <c r="AN3086" s="1531"/>
      <c r="AO3086" s="1531"/>
      <c r="AP3086" s="1531"/>
      <c r="AQ3086" s="1531"/>
      <c r="AR3086" s="1531"/>
      <c r="AS3086" s="1531"/>
    </row>
    <row r="3087" spans="1:45" s="1136" customFormat="1" ht="15.75" x14ac:dyDescent="0.25">
      <c r="A3087" s="1420" t="s">
        <v>3391</v>
      </c>
      <c r="B3087" s="1443"/>
      <c r="C3087" s="1521"/>
      <c r="D3087" s="1521"/>
      <c r="E3087" s="1521"/>
      <c r="F3087" s="1521"/>
      <c r="G3087" s="1521"/>
      <c r="H3087" s="1531"/>
      <c r="I3087" s="1531"/>
      <c r="J3087" s="1531"/>
      <c r="K3087" s="1531"/>
      <c r="L3087" s="1531"/>
      <c r="M3087" s="1531"/>
      <c r="N3087" s="1531"/>
      <c r="O3087" s="1531"/>
      <c r="P3087" s="1531"/>
      <c r="Q3087" s="1531"/>
      <c r="R3087" s="1531"/>
      <c r="S3087" s="1531"/>
      <c r="T3087" s="1531"/>
      <c r="U3087" s="1531"/>
      <c r="V3087" s="1531"/>
      <c r="W3087" s="1531"/>
      <c r="X3087" s="1531"/>
      <c r="Y3087" s="1531"/>
      <c r="Z3087" s="1531"/>
      <c r="AA3087" s="1531"/>
      <c r="AB3087" s="1531"/>
      <c r="AC3087" s="1531"/>
      <c r="AD3087" s="1531"/>
      <c r="AE3087" s="1531"/>
      <c r="AF3087" s="1531"/>
      <c r="AG3087" s="1531"/>
      <c r="AH3087" s="1531"/>
      <c r="AI3087" s="1531"/>
      <c r="AJ3087" s="1531"/>
      <c r="AK3087" s="1531"/>
      <c r="AL3087" s="1531"/>
      <c r="AM3087" s="1531"/>
      <c r="AN3087" s="1531"/>
      <c r="AO3087" s="1531"/>
      <c r="AP3087" s="1531"/>
      <c r="AQ3087" s="1531"/>
      <c r="AR3087" s="1531"/>
      <c r="AS3087" s="1531"/>
    </row>
    <row r="3088" spans="1:45" s="1136" customFormat="1" ht="15.75" x14ac:dyDescent="0.25">
      <c r="A3088" s="1420" t="s">
        <v>392</v>
      </c>
      <c r="B3088" s="1443">
        <f>B2888</f>
        <v>1</v>
      </c>
      <c r="C3088" s="1521"/>
      <c r="D3088" s="1521"/>
      <c r="E3088" s="1521"/>
      <c r="F3088" s="1521"/>
      <c r="G3088" s="1521"/>
      <c r="H3088" s="1531"/>
      <c r="I3088" s="1531"/>
      <c r="J3088" s="1531"/>
      <c r="K3088" s="1531"/>
      <c r="L3088" s="1531"/>
      <c r="M3088" s="1531"/>
      <c r="N3088" s="1531"/>
      <c r="O3088" s="1531"/>
      <c r="P3088" s="1531"/>
      <c r="Q3088" s="1531"/>
      <c r="R3088" s="1531"/>
      <c r="S3088" s="1531"/>
      <c r="T3088" s="1531"/>
      <c r="U3088" s="1531"/>
      <c r="V3088" s="1531"/>
      <c r="W3088" s="1531"/>
      <c r="X3088" s="1531"/>
      <c r="Y3088" s="1531"/>
      <c r="Z3088" s="1531"/>
      <c r="AA3088" s="1531"/>
      <c r="AB3088" s="1531"/>
      <c r="AC3088" s="1531"/>
      <c r="AD3088" s="1531"/>
      <c r="AE3088" s="1531"/>
      <c r="AF3088" s="1531"/>
      <c r="AG3088" s="1531"/>
      <c r="AH3088" s="1531"/>
      <c r="AI3088" s="1531"/>
      <c r="AJ3088" s="1531"/>
      <c r="AK3088" s="1531"/>
      <c r="AL3088" s="1531"/>
      <c r="AM3088" s="1531"/>
      <c r="AN3088" s="1531"/>
      <c r="AO3088" s="1531"/>
      <c r="AP3088" s="1531"/>
      <c r="AQ3088" s="1531"/>
      <c r="AR3088" s="1531"/>
      <c r="AS3088" s="1531"/>
    </row>
    <row r="3089" spans="1:45" s="1136" customFormat="1" ht="15.75" x14ac:dyDescent="0.25">
      <c r="A3089" s="1420" t="s">
        <v>391</v>
      </c>
      <c r="B3089" s="1443">
        <f>B2889</f>
        <v>0.9</v>
      </c>
      <c r="C3089" s="1521"/>
      <c r="D3089" s="1562"/>
      <c r="E3089" s="1562"/>
      <c r="F3089" s="1562"/>
      <c r="G3089" s="1562"/>
      <c r="H3089" s="1531"/>
      <c r="I3089" s="1531"/>
      <c r="J3089" s="1531"/>
      <c r="K3089" s="1531"/>
      <c r="L3089" s="1531"/>
      <c r="M3089" s="1531"/>
      <c r="N3089" s="1531"/>
      <c r="O3089" s="1531"/>
      <c r="P3089" s="1531"/>
      <c r="Q3089" s="1531"/>
      <c r="R3089" s="1531"/>
      <c r="S3089" s="1531"/>
      <c r="T3089" s="1531"/>
      <c r="U3089" s="1531"/>
      <c r="V3089" s="1531"/>
      <c r="W3089" s="1531"/>
      <c r="X3089" s="1531"/>
      <c r="Y3089" s="1531"/>
      <c r="Z3089" s="1531"/>
      <c r="AA3089" s="1531"/>
      <c r="AB3089" s="1531"/>
      <c r="AC3089" s="1531"/>
      <c r="AD3089" s="1531"/>
      <c r="AE3089" s="1531"/>
      <c r="AF3089" s="1531"/>
      <c r="AG3089" s="1531"/>
      <c r="AH3089" s="1531"/>
      <c r="AI3089" s="1531"/>
      <c r="AJ3089" s="1531"/>
      <c r="AK3089" s="1531"/>
      <c r="AL3089" s="1531"/>
      <c r="AM3089" s="1531"/>
      <c r="AN3089" s="1531"/>
      <c r="AO3089" s="1531"/>
      <c r="AP3089" s="1531"/>
      <c r="AQ3089" s="1531"/>
      <c r="AR3089" s="1531"/>
      <c r="AS3089" s="1531"/>
    </row>
    <row r="3090" spans="1:45" s="1136" customFormat="1" ht="31.5" x14ac:dyDescent="0.25">
      <c r="A3090" s="1435" t="s">
        <v>3392</v>
      </c>
      <c r="B3090" s="1451">
        <f>B2890</f>
        <v>0</v>
      </c>
      <c r="C3090" s="1434"/>
      <c r="D3090" s="1531"/>
      <c r="E3090" s="1531"/>
      <c r="F3090" s="1531"/>
      <c r="G3090" s="1531"/>
      <c r="H3090" s="1531"/>
      <c r="I3090" s="1531"/>
      <c r="J3090" s="1531"/>
      <c r="K3090" s="1531"/>
      <c r="L3090" s="1531"/>
      <c r="M3090" s="1531"/>
    </row>
    <row r="3091" spans="1:45" s="1136" customFormat="1" ht="15.75" x14ac:dyDescent="0.25">
      <c r="A3091" s="1420" t="s">
        <v>3393</v>
      </c>
      <c r="B3091" s="1443">
        <f>IF(B3090=0,1,1.2)</f>
        <v>1</v>
      </c>
      <c r="C3091" s="1521"/>
      <c r="D3091" s="1531"/>
      <c r="E3091" s="1531"/>
      <c r="F3091" s="1531"/>
      <c r="G3091" s="1531"/>
      <c r="H3091" s="1531"/>
      <c r="I3091" s="1531"/>
      <c r="J3091" s="1531"/>
      <c r="K3091" s="1531"/>
      <c r="L3091" s="1531"/>
      <c r="M3091" s="1531"/>
    </row>
    <row r="3092" spans="1:45" s="1136" customFormat="1" ht="47.25" x14ac:dyDescent="0.25">
      <c r="A3092" s="1435" t="s">
        <v>1892</v>
      </c>
      <c r="B3092" s="1451">
        <f>B2892</f>
        <v>1</v>
      </c>
      <c r="C3092" s="1434"/>
      <c r="D3092" s="1562"/>
      <c r="E3092" s="1562"/>
      <c r="F3092" s="1562"/>
      <c r="G3092" s="1562"/>
      <c r="H3092" s="1531"/>
      <c r="I3092" s="1531"/>
      <c r="J3092" s="1531"/>
      <c r="K3092" s="1531"/>
      <c r="L3092" s="1531"/>
      <c r="M3092" s="1531"/>
    </row>
    <row r="3093" spans="1:45" s="1136" customFormat="1" ht="15.75" x14ac:dyDescent="0.25">
      <c r="A3093" s="1420" t="s">
        <v>1893</v>
      </c>
      <c r="B3093" s="1443">
        <f>IF(B3092=0,1.05,1)</f>
        <v>1</v>
      </c>
      <c r="C3093" s="1521"/>
      <c r="D3093" s="1596"/>
      <c r="E3093" s="1596"/>
      <c r="F3093" s="1596"/>
      <c r="G3093" s="1596"/>
      <c r="H3093" s="1531"/>
      <c r="I3093" s="1531"/>
      <c r="J3093" s="1531"/>
      <c r="K3093" s="1531"/>
      <c r="L3093" s="1531"/>
      <c r="M3093" s="1531"/>
    </row>
    <row r="3094" spans="1:45" s="1136" customFormat="1" ht="15.75" x14ac:dyDescent="0.25">
      <c r="A3094" s="1420" t="s">
        <v>1894</v>
      </c>
      <c r="B3094" s="1443" t="e">
        <f>B3086*B3088*B3089*B3091*B3093*B2383</f>
        <v>#VALUE!</v>
      </c>
      <c r="C3094" s="1521"/>
      <c r="D3094" s="1531"/>
      <c r="E3094" s="1531"/>
      <c r="F3094" s="1531"/>
      <c r="G3094" s="1531"/>
      <c r="H3094" s="1531"/>
      <c r="I3094" s="1531"/>
      <c r="J3094" s="1531"/>
      <c r="K3094" s="1531"/>
      <c r="L3094" s="1531"/>
      <c r="M3094" s="1531"/>
    </row>
    <row r="3095" spans="1:45" s="1136" customFormat="1" ht="15.75" x14ac:dyDescent="0.25">
      <c r="A3095" s="1420" t="s">
        <v>429</v>
      </c>
      <c r="B3095" s="1439" t="e">
        <f>B3085/B3094</f>
        <v>#VALUE!</v>
      </c>
      <c r="C3095" s="1562"/>
      <c r="D3095" s="1521"/>
      <c r="E3095" s="1521"/>
      <c r="F3095" s="1521"/>
      <c r="G3095" s="1521"/>
      <c r="H3095" s="1531"/>
      <c r="I3095" s="1531"/>
      <c r="J3095" s="1531"/>
      <c r="K3095" s="1531"/>
      <c r="L3095" s="1531"/>
      <c r="M3095" s="1531"/>
    </row>
    <row r="3096" spans="1:45" s="1136" customFormat="1" ht="15.75" x14ac:dyDescent="0.25">
      <c r="A3096" s="1430"/>
      <c r="B3096" s="1443"/>
      <c r="C3096" s="1521"/>
      <c r="D3096" s="1521"/>
      <c r="E3096" s="1521"/>
      <c r="F3096" s="1521"/>
      <c r="G3096" s="1521"/>
      <c r="H3096" s="1531"/>
      <c r="I3096" s="1531"/>
      <c r="J3096" s="1531"/>
      <c r="K3096" s="1531"/>
      <c r="L3096" s="1531"/>
      <c r="M3096" s="1531"/>
    </row>
    <row r="3097" spans="1:45" s="1136" customFormat="1" ht="63" x14ac:dyDescent="0.25">
      <c r="A3097" s="1438" t="s">
        <v>1895</v>
      </c>
      <c r="B3097" s="1443"/>
      <c r="C3097" s="1521"/>
      <c r="D3097" s="1434"/>
      <c r="E3097" s="1434"/>
      <c r="F3097" s="1434"/>
      <c r="G3097" s="1434"/>
      <c r="H3097" s="1531"/>
      <c r="I3097" s="1531"/>
      <c r="J3097" s="1531"/>
      <c r="K3097" s="1531"/>
      <c r="L3097" s="1531"/>
      <c r="M3097" s="1531"/>
    </row>
    <row r="3098" spans="1:45" s="1136" customFormat="1" ht="15.75" x14ac:dyDescent="0.25">
      <c r="A3098" s="1420" t="s">
        <v>424</v>
      </c>
      <c r="B3098" s="1443" t="e">
        <f>B3085</f>
        <v>#VALUE!</v>
      </c>
      <c r="C3098" s="1521"/>
      <c r="D3098" s="1521"/>
      <c r="E3098" s="1521"/>
      <c r="F3098" s="1521"/>
      <c r="G3098" s="1521"/>
      <c r="H3098" s="1531"/>
      <c r="I3098" s="1531"/>
      <c r="J3098" s="1531"/>
      <c r="K3098" s="1531"/>
      <c r="L3098" s="1531"/>
      <c r="M3098" s="1531"/>
    </row>
    <row r="3099" spans="1:45" s="1136" customFormat="1" ht="15.75" x14ac:dyDescent="0.25">
      <c r="A3099" s="1420" t="s">
        <v>1718</v>
      </c>
      <c r="B3099" s="1443">
        <f>B2899</f>
        <v>53.8</v>
      </c>
      <c r="C3099" s="1521"/>
      <c r="D3099" s="1434"/>
      <c r="E3099" s="1434"/>
      <c r="F3099" s="1434"/>
      <c r="G3099" s="1434"/>
      <c r="H3099" s="1531"/>
      <c r="I3099" s="1531"/>
      <c r="J3099" s="1531"/>
      <c r="K3099" s="1531"/>
      <c r="L3099" s="1531"/>
      <c r="M3099" s="1531"/>
    </row>
    <row r="3100" spans="1:45" s="1136" customFormat="1" ht="15.75" x14ac:dyDescent="0.25">
      <c r="A3100" s="1420" t="s">
        <v>1723</v>
      </c>
      <c r="B3100" s="1443"/>
      <c r="C3100" s="1521"/>
      <c r="D3100" s="1521"/>
      <c r="E3100" s="1521"/>
      <c r="F3100" s="1521"/>
      <c r="G3100" s="1521"/>
      <c r="H3100" s="1531"/>
      <c r="I3100" s="1531"/>
      <c r="J3100" s="1531"/>
      <c r="K3100" s="1531"/>
      <c r="L3100" s="1531"/>
      <c r="M3100" s="1531"/>
    </row>
    <row r="3101" spans="1:45" s="1136" customFormat="1" ht="31.5" x14ac:dyDescent="0.25">
      <c r="A3101" s="1435" t="s">
        <v>1724</v>
      </c>
      <c r="B3101" s="1451">
        <f>B2905</f>
        <v>0</v>
      </c>
      <c r="C3101" s="1434"/>
      <c r="D3101" s="1521"/>
      <c r="E3101" s="1521"/>
      <c r="F3101" s="1521"/>
      <c r="G3101" s="1521"/>
      <c r="H3101" s="1531"/>
      <c r="I3101" s="1531"/>
      <c r="J3101" s="1531"/>
      <c r="K3101" s="1531"/>
      <c r="L3101" s="1531"/>
      <c r="M3101" s="1531"/>
    </row>
    <row r="3102" spans="1:45" s="1136" customFormat="1" ht="15.75" x14ac:dyDescent="0.25">
      <c r="A3102" s="1420" t="s">
        <v>1725</v>
      </c>
      <c r="B3102" s="1443">
        <f>IF(B3101=1,1.15,1)</f>
        <v>1</v>
      </c>
      <c r="C3102" s="1521"/>
      <c r="D3102" s="1562"/>
      <c r="E3102" s="1562"/>
      <c r="F3102" s="1562"/>
      <c r="G3102" s="1562"/>
      <c r="H3102" s="1531"/>
      <c r="I3102" s="1531"/>
      <c r="J3102" s="1531"/>
      <c r="K3102" s="1531"/>
      <c r="L3102" s="1531"/>
      <c r="M3102" s="1531"/>
    </row>
    <row r="3103" spans="1:45" s="1136" customFormat="1" ht="31.5" x14ac:dyDescent="0.25">
      <c r="A3103" s="1435" t="s">
        <v>5573</v>
      </c>
      <c r="B3103" s="1451">
        <f>B2907</f>
        <v>0</v>
      </c>
      <c r="C3103" s="1434"/>
      <c r="D3103" s="1531"/>
      <c r="E3103" s="1531"/>
      <c r="F3103" s="1531"/>
      <c r="G3103" s="1531"/>
      <c r="H3103" s="1531"/>
      <c r="I3103" s="1531"/>
      <c r="J3103" s="1531"/>
      <c r="K3103" s="1531"/>
      <c r="L3103" s="1531"/>
      <c r="M3103" s="1531"/>
    </row>
    <row r="3104" spans="1:45" s="1136" customFormat="1" ht="15.75" x14ac:dyDescent="0.25">
      <c r="A3104" s="1420" t="s">
        <v>2636</v>
      </c>
      <c r="B3104" s="1443">
        <f>IF(B3103=1,1.15,1)</f>
        <v>1</v>
      </c>
      <c r="C3104" s="1521"/>
      <c r="D3104" s="1531"/>
      <c r="E3104" s="1531"/>
      <c r="F3104" s="1531"/>
      <c r="G3104" s="1531"/>
      <c r="H3104" s="1531"/>
      <c r="I3104" s="1531"/>
      <c r="J3104" s="1531"/>
      <c r="K3104" s="1531"/>
      <c r="L3104" s="1531"/>
      <c r="M3104" s="1531"/>
    </row>
    <row r="3105" spans="1:13" s="1136" customFormat="1" ht="47.25" x14ac:dyDescent="0.25">
      <c r="A3105" s="1420" t="s">
        <v>2637</v>
      </c>
      <c r="B3105" s="1443">
        <f>IF(B275&lt;2,0.85,1)</f>
        <v>1</v>
      </c>
      <c r="C3105" s="1521"/>
      <c r="D3105" s="1521"/>
      <c r="E3105" s="1521"/>
      <c r="F3105" s="1521"/>
      <c r="G3105" s="1521"/>
      <c r="H3105" s="1531"/>
      <c r="I3105" s="1531"/>
      <c r="J3105" s="1531"/>
      <c r="K3105" s="1531"/>
      <c r="L3105" s="1531"/>
      <c r="M3105" s="1531"/>
    </row>
    <row r="3106" spans="1:13" s="1136" customFormat="1" ht="15.75" x14ac:dyDescent="0.25">
      <c r="A3106" s="1420" t="s">
        <v>1615</v>
      </c>
      <c r="B3106" s="1505">
        <v>0.7</v>
      </c>
      <c r="C3106" s="1623"/>
      <c r="D3106" s="1521"/>
      <c r="E3106" s="1521"/>
      <c r="F3106" s="1521"/>
      <c r="G3106" s="1521"/>
      <c r="H3106" s="1531"/>
      <c r="I3106" s="1531"/>
      <c r="J3106" s="1531"/>
      <c r="K3106" s="1531"/>
      <c r="L3106" s="1531"/>
      <c r="M3106" s="1531"/>
    </row>
    <row r="3107" spans="1:13" s="1136" customFormat="1" ht="15.75" x14ac:dyDescent="0.25">
      <c r="A3107" s="1420" t="s">
        <v>3412</v>
      </c>
      <c r="B3107" s="1439" t="e">
        <f>B3099*B3102*B3104*B3105*B3106*B2383</f>
        <v>#VALUE!</v>
      </c>
      <c r="C3107" s="1562"/>
      <c r="D3107" s="1531"/>
      <c r="E3107" s="1531"/>
      <c r="F3107" s="1531"/>
      <c r="G3107" s="1531"/>
      <c r="H3107" s="1531"/>
      <c r="I3107" s="1531"/>
      <c r="J3107" s="1531"/>
      <c r="K3107" s="1531"/>
      <c r="L3107" s="1531"/>
      <c r="M3107" s="1531"/>
    </row>
    <row r="3108" spans="1:13" s="1136" customFormat="1" ht="15.75" x14ac:dyDescent="0.25">
      <c r="A3108" s="1420" t="s">
        <v>429</v>
      </c>
      <c r="B3108" s="1439" t="e">
        <f>B3098/B3107</f>
        <v>#VALUE!</v>
      </c>
      <c r="C3108" s="1562"/>
      <c r="D3108" s="1434"/>
      <c r="E3108" s="1434"/>
      <c r="F3108" s="1434"/>
      <c r="G3108" s="1434"/>
      <c r="H3108" s="1531"/>
      <c r="I3108" s="1531"/>
      <c r="J3108" s="1531"/>
      <c r="K3108" s="1531"/>
      <c r="L3108" s="1531"/>
      <c r="M3108" s="1531"/>
    </row>
    <row r="3109" spans="1:13" s="1136" customFormat="1" ht="15.75" x14ac:dyDescent="0.25">
      <c r="A3109" s="1430"/>
      <c r="B3109" s="1443"/>
      <c r="C3109" s="1521"/>
      <c r="D3109" s="1521"/>
      <c r="E3109" s="1521"/>
      <c r="F3109" s="1521"/>
      <c r="G3109" s="1521"/>
      <c r="H3109" s="1531"/>
      <c r="I3109" s="1531"/>
      <c r="J3109" s="1531"/>
      <c r="K3109" s="1531"/>
      <c r="L3109" s="1531"/>
      <c r="M3109" s="1531"/>
    </row>
    <row r="3110" spans="1:13" s="1136" customFormat="1" ht="78.75" x14ac:dyDescent="0.25">
      <c r="A3110" s="1438" t="s">
        <v>1616</v>
      </c>
      <c r="B3110" s="1443"/>
      <c r="C3110" s="1521"/>
      <c r="D3110" s="1434"/>
      <c r="E3110" s="1434"/>
      <c r="F3110" s="1434"/>
      <c r="G3110" s="1434"/>
      <c r="H3110" s="1531"/>
      <c r="I3110" s="1531"/>
      <c r="J3110" s="1531"/>
      <c r="K3110" s="1531"/>
      <c r="L3110" s="1531"/>
      <c r="M3110" s="1531"/>
    </row>
    <row r="3111" spans="1:13" s="1136" customFormat="1" ht="15.75" x14ac:dyDescent="0.25">
      <c r="A3111" s="1422" t="s">
        <v>424</v>
      </c>
      <c r="B3111" s="1443" t="e">
        <f>((B3060/B261+1)*B2849*B245)/(B3060-B2851)</f>
        <v>#VALUE!</v>
      </c>
      <c r="C3111" s="1521"/>
      <c r="D3111" s="1521"/>
      <c r="E3111" s="1521"/>
      <c r="F3111" s="1521"/>
      <c r="G3111" s="1521"/>
      <c r="H3111" s="1531"/>
      <c r="I3111" s="1531"/>
      <c r="J3111" s="1531"/>
      <c r="K3111" s="1531"/>
      <c r="L3111" s="1531"/>
      <c r="M3111" s="1531"/>
    </row>
    <row r="3112" spans="1:13" s="1136" customFormat="1" ht="15.75" x14ac:dyDescent="0.25">
      <c r="A3112" s="1456" t="s">
        <v>1617</v>
      </c>
      <c r="B3112" s="1506">
        <v>400</v>
      </c>
      <c r="C3112" s="1578"/>
      <c r="D3112" s="1521"/>
      <c r="E3112" s="1521"/>
      <c r="F3112" s="1521"/>
      <c r="G3112" s="1521"/>
      <c r="H3112" s="1531"/>
      <c r="I3112" s="1531"/>
      <c r="J3112" s="1531"/>
      <c r="K3112" s="1531"/>
      <c r="L3112" s="1531"/>
      <c r="M3112" s="1531"/>
    </row>
    <row r="3113" spans="1:13" s="1136" customFormat="1" ht="15.75" x14ac:dyDescent="0.25">
      <c r="A3113" s="1420" t="s">
        <v>3412</v>
      </c>
      <c r="B3113" s="1441" t="e">
        <f>B3112*B2383</f>
        <v>#VALUE!</v>
      </c>
      <c r="C3113" s="1596"/>
      <c r="D3113" s="1623"/>
      <c r="E3113" s="1623"/>
      <c r="F3113" s="1623"/>
      <c r="G3113" s="1623"/>
      <c r="H3113" s="1531"/>
      <c r="I3113" s="1531"/>
      <c r="J3113" s="1531"/>
      <c r="K3113" s="1531"/>
      <c r="L3113" s="1531"/>
      <c r="M3113" s="1531"/>
    </row>
    <row r="3114" spans="1:13" s="1136" customFormat="1" ht="15.75" x14ac:dyDescent="0.25">
      <c r="A3114" s="1430" t="s">
        <v>429</v>
      </c>
      <c r="B3114" s="1439" t="e">
        <f>B3111/B3113</f>
        <v>#VALUE!</v>
      </c>
      <c r="C3114" s="1562"/>
      <c r="D3114" s="1562"/>
      <c r="E3114" s="1562"/>
      <c r="F3114" s="1562"/>
      <c r="G3114" s="1562"/>
      <c r="H3114" s="1531"/>
      <c r="I3114" s="1531"/>
      <c r="J3114" s="1531"/>
      <c r="K3114" s="1531"/>
      <c r="L3114" s="1531"/>
      <c r="M3114" s="1531"/>
    </row>
    <row r="3115" spans="1:13" s="1136" customFormat="1" ht="15.75" x14ac:dyDescent="0.25">
      <c r="A3115" s="1430"/>
      <c r="B3115" s="1443"/>
      <c r="C3115" s="1521"/>
      <c r="D3115" s="1562"/>
      <c r="E3115" s="1562"/>
      <c r="F3115" s="1562"/>
      <c r="G3115" s="1562"/>
      <c r="H3115" s="1531"/>
      <c r="I3115" s="1531"/>
      <c r="J3115" s="1531"/>
      <c r="K3115" s="1531"/>
      <c r="L3115" s="1531"/>
      <c r="M3115" s="1531"/>
    </row>
    <row r="3116" spans="1:13" s="1136" customFormat="1" ht="63" x14ac:dyDescent="0.25">
      <c r="A3116" s="1438" t="s">
        <v>214</v>
      </c>
      <c r="B3116" s="1443"/>
      <c r="C3116" s="1521"/>
      <c r="D3116" s="1531"/>
      <c r="E3116" s="1531"/>
      <c r="F3116" s="1531"/>
      <c r="G3116" s="1531"/>
      <c r="H3116" s="1531"/>
      <c r="I3116" s="1531"/>
      <c r="J3116" s="1531"/>
      <c r="K3116" s="1531"/>
      <c r="L3116" s="1531"/>
      <c r="M3116" s="1531"/>
    </row>
    <row r="3117" spans="1:13" s="1136" customFormat="1" ht="15.75" x14ac:dyDescent="0.25">
      <c r="A3117" s="1430" t="s">
        <v>211</v>
      </c>
      <c r="B3117" s="1433">
        <f>B2674</f>
        <v>2.2000000000000002</v>
      </c>
      <c r="C3117" s="1569"/>
      <c r="D3117" s="1531"/>
      <c r="E3117" s="1531"/>
      <c r="F3117" s="1531"/>
      <c r="G3117" s="1531"/>
      <c r="H3117" s="1531"/>
      <c r="I3117" s="1531"/>
      <c r="J3117" s="1531"/>
      <c r="K3117" s="1531"/>
      <c r="L3117" s="1531"/>
      <c r="M3117" s="1531"/>
    </row>
    <row r="3118" spans="1:13" s="1136" customFormat="1" ht="15.75" x14ac:dyDescent="0.25">
      <c r="A3118" s="1430" t="s">
        <v>4152</v>
      </c>
      <c r="B3118" s="1433" t="e">
        <f>(B245/B3117)*(B2849+B2850)</f>
        <v>#VALUE!</v>
      </c>
      <c r="C3118" s="1569"/>
      <c r="D3118" s="1521"/>
      <c r="E3118" s="1521"/>
      <c r="F3118" s="1521"/>
      <c r="G3118" s="1521"/>
      <c r="H3118" s="1531"/>
      <c r="I3118" s="1531"/>
      <c r="J3118" s="1531"/>
      <c r="K3118" s="1531"/>
      <c r="L3118" s="1531"/>
      <c r="M3118" s="1531"/>
    </row>
    <row r="3119" spans="1:13" s="1136" customFormat="1" ht="15.75" x14ac:dyDescent="0.25">
      <c r="A3119" s="1430" t="s">
        <v>425</v>
      </c>
      <c r="B3119" s="1423">
        <f>INDEX($Q$3631:$T$3643,B3121,B3123)</f>
        <v>15.6</v>
      </c>
      <c r="C3119" s="1567"/>
      <c r="D3119" s="1578"/>
      <c r="E3119" s="1578"/>
      <c r="F3119" s="1578"/>
      <c r="G3119" s="1578"/>
      <c r="H3119" s="1531"/>
      <c r="I3119" s="1531"/>
      <c r="J3119" s="1531"/>
      <c r="K3119" s="1531"/>
      <c r="L3119" s="1531"/>
      <c r="M3119" s="1531"/>
    </row>
    <row r="3120" spans="1:13" s="1136" customFormat="1" ht="15.75" x14ac:dyDescent="0.25">
      <c r="A3120" s="1456" t="s">
        <v>1719</v>
      </c>
      <c r="B3120" s="1479"/>
      <c r="C3120" s="1565"/>
      <c r="D3120" s="1596"/>
      <c r="E3120" s="1596"/>
      <c r="F3120" s="1596"/>
      <c r="G3120" s="1596"/>
      <c r="H3120" s="1531"/>
      <c r="I3120" s="1531"/>
      <c r="J3120" s="1531"/>
      <c r="K3120" s="1531"/>
      <c r="L3120" s="1531"/>
      <c r="M3120" s="1531"/>
    </row>
    <row r="3121" spans="1:45" s="1136" customFormat="1" ht="15.75" x14ac:dyDescent="0.25">
      <c r="A3121" s="1430" t="s">
        <v>199</v>
      </c>
      <c r="B3121" s="1431">
        <f>IF(B240&lt;0.51,1,IF(B240&lt;0.61,2,IF(B240&lt;0.71,3,IF(B240&lt;0.81,4,IF(B240&lt;0.91,5,IF(B240&lt;1.01,6,IF(B240&lt;1.11,7,B3122)))))))</f>
        <v>13</v>
      </c>
      <c r="C3121" s="1610"/>
      <c r="D3121" s="1562"/>
      <c r="E3121" s="1562"/>
      <c r="F3121" s="1562"/>
      <c r="G3121" s="1562"/>
      <c r="H3121" s="1531"/>
      <c r="I3121" s="1531"/>
      <c r="J3121" s="1531"/>
      <c r="K3121" s="1531"/>
      <c r="L3121" s="1531"/>
      <c r="M3121" s="1531"/>
    </row>
    <row r="3122" spans="1:45" s="1136" customFormat="1" ht="15.75" x14ac:dyDescent="0.25">
      <c r="A3122" s="1456" t="s">
        <v>200</v>
      </c>
      <c r="B3122" s="1431">
        <f>IF(B240&lt;1.26,8,IF(B240&lt;1.41,9,IF(B240&lt;1.61,10,IF(B240&lt;1.81,11,IF(B240&lt;2.01,12,13)))))</f>
        <v>13</v>
      </c>
      <c r="C3122" s="1610"/>
      <c r="D3122" s="1531"/>
      <c r="E3122" s="1531"/>
      <c r="F3122" s="1531"/>
      <c r="G3122" s="1531"/>
      <c r="H3122" s="1531"/>
      <c r="I3122" s="1531"/>
      <c r="J3122" s="1531"/>
      <c r="K3122" s="1531"/>
      <c r="L3122" s="1531"/>
      <c r="M3122" s="1531"/>
    </row>
    <row r="3123" spans="1:45" s="1136" customFormat="1" ht="15.75" x14ac:dyDescent="0.25">
      <c r="A3123" s="1430" t="s">
        <v>201</v>
      </c>
      <c r="B3123" s="1431">
        <f>IF(B251&lt;21,1,IF(B251&lt;36,2,IF(B251&lt;56,3,4)))</f>
        <v>1</v>
      </c>
      <c r="C3123" s="1610"/>
      <c r="D3123" s="1531"/>
      <c r="E3123" s="1531"/>
      <c r="F3123" s="1531"/>
      <c r="G3123" s="1531"/>
      <c r="H3123" s="1531"/>
      <c r="I3123" s="1531"/>
      <c r="J3123" s="1531"/>
      <c r="K3123" s="1531"/>
      <c r="L3123" s="1531"/>
      <c r="M3123" s="1531"/>
    </row>
    <row r="3124" spans="1:45" s="1136" customFormat="1" ht="15.75" x14ac:dyDescent="0.25">
      <c r="A3124" s="1430" t="s">
        <v>3391</v>
      </c>
      <c r="B3124" s="1479"/>
      <c r="C3124" s="1565"/>
      <c r="D3124" s="1569"/>
      <c r="E3124" s="1569"/>
      <c r="F3124" s="1569"/>
      <c r="G3124" s="1569"/>
      <c r="H3124" s="1531"/>
      <c r="I3124" s="1531"/>
      <c r="J3124" s="1531"/>
      <c r="K3124" s="1531"/>
      <c r="L3124" s="1531"/>
      <c r="M3124" s="1531"/>
    </row>
    <row r="3125" spans="1:45" s="1136" customFormat="1" ht="31.5" x14ac:dyDescent="0.25">
      <c r="A3125" s="1435" t="s">
        <v>1724</v>
      </c>
      <c r="B3125" s="1451">
        <f>B2905</f>
        <v>0</v>
      </c>
      <c r="C3125" s="1434"/>
      <c r="D3125" s="1569"/>
      <c r="E3125" s="1569"/>
      <c r="F3125" s="1569"/>
      <c r="G3125" s="1569"/>
      <c r="H3125" s="1531"/>
      <c r="I3125" s="1531"/>
      <c r="J3125" s="1531"/>
      <c r="K3125" s="1531"/>
      <c r="L3125" s="1531"/>
      <c r="M3125" s="1531"/>
    </row>
    <row r="3126" spans="1:45" s="1136" customFormat="1" ht="15.75" x14ac:dyDescent="0.25">
      <c r="A3126" s="1420" t="s">
        <v>1725</v>
      </c>
      <c r="B3126" s="1443">
        <f>IF(B3125=1,1.15,1)</f>
        <v>1</v>
      </c>
      <c r="C3126" s="1521"/>
      <c r="D3126" s="1567"/>
      <c r="E3126" s="1567"/>
      <c r="F3126" s="1567"/>
      <c r="G3126" s="1567"/>
      <c r="H3126" s="1531"/>
      <c r="I3126" s="1531"/>
      <c r="J3126" s="1531"/>
      <c r="K3126" s="1531"/>
      <c r="L3126" s="1531"/>
      <c r="M3126" s="1531"/>
    </row>
    <row r="3127" spans="1:45" s="1136" customFormat="1" ht="31.5" x14ac:dyDescent="0.25">
      <c r="A3127" s="1435" t="s">
        <v>5573</v>
      </c>
      <c r="B3127" s="1451">
        <f>B2907</f>
        <v>0</v>
      </c>
      <c r="C3127" s="1434"/>
      <c r="D3127" s="1531"/>
      <c r="E3127" s="1531"/>
      <c r="F3127" s="1531"/>
      <c r="G3127" s="1531"/>
      <c r="H3127" s="1531"/>
      <c r="I3127" s="1531"/>
      <c r="J3127" s="1531"/>
      <c r="K3127" s="1531"/>
      <c r="L3127" s="1531"/>
      <c r="M3127" s="1531"/>
    </row>
    <row r="3128" spans="1:45" s="1136" customFormat="1" ht="15.75" x14ac:dyDescent="0.25">
      <c r="A3128" s="1420" t="s">
        <v>2636</v>
      </c>
      <c r="B3128" s="1443">
        <f>IF(B3127=1,1.15,1)</f>
        <v>1</v>
      </c>
      <c r="C3128" s="1521"/>
      <c r="D3128" s="1610"/>
      <c r="E3128" s="1610"/>
      <c r="F3128" s="1610"/>
      <c r="G3128" s="1610"/>
      <c r="H3128" s="1531"/>
      <c r="I3128" s="1531"/>
      <c r="J3128" s="1531"/>
      <c r="K3128" s="1531"/>
      <c r="L3128" s="1531"/>
      <c r="M3128" s="1531"/>
    </row>
    <row r="3129" spans="1:45" s="1136" customFormat="1" ht="47.25" x14ac:dyDescent="0.25">
      <c r="A3129" s="1420" t="s">
        <v>2637</v>
      </c>
      <c r="B3129" s="1443">
        <f>IF(B275&lt;2,0.85,1)</f>
        <v>1</v>
      </c>
      <c r="C3129" s="1521"/>
      <c r="D3129" s="1610"/>
      <c r="E3129" s="1610"/>
      <c r="F3129" s="1610"/>
      <c r="G3129" s="1610"/>
      <c r="H3129" s="1531"/>
      <c r="I3129" s="1531"/>
      <c r="J3129" s="1531"/>
      <c r="K3129" s="1531"/>
      <c r="L3129" s="1531"/>
      <c r="M3129" s="1531"/>
    </row>
    <row r="3130" spans="1:45" s="1136" customFormat="1" ht="15.75" x14ac:dyDescent="0.25">
      <c r="A3130" s="1420" t="s">
        <v>1743</v>
      </c>
      <c r="B3130" s="1507">
        <v>0.7</v>
      </c>
      <c r="C3130" s="1624"/>
      <c r="D3130" s="1610"/>
      <c r="E3130" s="1610"/>
      <c r="F3130" s="1610"/>
      <c r="G3130" s="1610"/>
      <c r="H3130" s="1531"/>
      <c r="I3130" s="1531"/>
      <c r="J3130" s="1531"/>
      <c r="K3130" s="1531"/>
      <c r="L3130" s="1531"/>
      <c r="M3130" s="1531"/>
    </row>
    <row r="3131" spans="1:45" s="1136" customFormat="1" ht="31.5" x14ac:dyDescent="0.25">
      <c r="A3131" s="1420" t="s">
        <v>202</v>
      </c>
      <c r="B3131" s="1443">
        <f>IF(B3117&lt;2,0.8,0.7)</f>
        <v>0.7</v>
      </c>
      <c r="C3131" s="1521"/>
      <c r="D3131" s="1531"/>
      <c r="E3131" s="1531"/>
      <c r="F3131" s="1531"/>
      <c r="G3131" s="1531"/>
      <c r="H3131" s="1531"/>
      <c r="I3131" s="1531"/>
      <c r="J3131" s="1531"/>
      <c r="K3131" s="1531"/>
      <c r="L3131" s="1531"/>
      <c r="M3131" s="1531"/>
    </row>
    <row r="3132" spans="1:45" s="1136" customFormat="1" ht="15.75" x14ac:dyDescent="0.25">
      <c r="A3132" s="1420" t="s">
        <v>203</v>
      </c>
      <c r="B3132" s="1439" t="e">
        <f>B3119*B3126*B3128*B3129*B3130*B3131*B2383</f>
        <v>#VALUE!</v>
      </c>
      <c r="C3132" s="1562"/>
      <c r="D3132" s="1434"/>
      <c r="E3132" s="1434"/>
      <c r="F3132" s="1434"/>
      <c r="G3132" s="1434"/>
      <c r="H3132" s="1531"/>
      <c r="I3132" s="1531"/>
      <c r="J3132" s="1531"/>
      <c r="K3132" s="1531"/>
      <c r="L3132" s="1531"/>
      <c r="M3132" s="1531"/>
    </row>
    <row r="3133" spans="1:45" s="1136" customFormat="1" ht="15.75" x14ac:dyDescent="0.25">
      <c r="A3133" s="1430" t="s">
        <v>429</v>
      </c>
      <c r="B3133" s="1439" t="e">
        <f>B3118/B3132</f>
        <v>#VALUE!</v>
      </c>
      <c r="C3133" s="1562"/>
      <c r="D3133" s="1521"/>
      <c r="E3133" s="1521"/>
      <c r="F3133" s="1521"/>
      <c r="G3133" s="1521"/>
      <c r="H3133" s="1531"/>
      <c r="I3133" s="1531"/>
      <c r="J3133" s="1531"/>
      <c r="K3133" s="1531"/>
      <c r="L3133" s="1531"/>
      <c r="M3133" s="1531"/>
      <c r="N3133" s="1531"/>
      <c r="O3133" s="1531"/>
      <c r="P3133" s="1531"/>
      <c r="Q3133" s="1531"/>
      <c r="R3133" s="1531"/>
      <c r="S3133" s="1531"/>
      <c r="T3133" s="1531"/>
      <c r="U3133" s="1531"/>
      <c r="V3133" s="1531"/>
      <c r="W3133" s="1531"/>
      <c r="X3133" s="1531"/>
      <c r="Y3133" s="1531"/>
      <c r="Z3133" s="1531"/>
      <c r="AA3133" s="1531"/>
      <c r="AB3133" s="1531"/>
      <c r="AC3133" s="1531"/>
      <c r="AD3133" s="1531"/>
      <c r="AE3133" s="1531"/>
      <c r="AF3133" s="1531"/>
      <c r="AG3133" s="1531"/>
      <c r="AH3133" s="1531"/>
      <c r="AI3133" s="1531"/>
      <c r="AJ3133" s="1531"/>
      <c r="AK3133" s="1531"/>
      <c r="AL3133" s="1531"/>
      <c r="AM3133" s="1531"/>
      <c r="AN3133" s="1531"/>
      <c r="AO3133" s="1531"/>
      <c r="AP3133" s="1531"/>
      <c r="AQ3133" s="1531"/>
      <c r="AR3133" s="1531"/>
      <c r="AS3133" s="1531"/>
    </row>
    <row r="3134" spans="1:45" s="1136" customFormat="1" ht="15.75" x14ac:dyDescent="0.25">
      <c r="A3134" s="1430"/>
      <c r="B3134" s="1443"/>
      <c r="C3134" s="1521"/>
      <c r="D3134" s="1434"/>
      <c r="E3134" s="1434"/>
      <c r="F3134" s="1434"/>
      <c r="G3134" s="1434"/>
      <c r="H3134" s="1531"/>
      <c r="I3134" s="1531"/>
      <c r="J3134" s="1531"/>
      <c r="K3134" s="1531"/>
      <c r="L3134" s="1531"/>
      <c r="M3134" s="1531"/>
      <c r="N3134" s="1531"/>
      <c r="O3134" s="1531"/>
      <c r="P3134" s="1531"/>
      <c r="Q3134" s="1531"/>
      <c r="R3134" s="1531"/>
      <c r="S3134" s="1531"/>
      <c r="T3134" s="1531"/>
      <c r="U3134" s="1531"/>
      <c r="V3134" s="1531"/>
      <c r="W3134" s="1531"/>
      <c r="X3134" s="1531"/>
      <c r="Y3134" s="1531"/>
      <c r="Z3134" s="1531"/>
      <c r="AA3134" s="1531"/>
      <c r="AB3134" s="1531"/>
      <c r="AC3134" s="1531"/>
      <c r="AD3134" s="1531"/>
      <c r="AE3134" s="1531"/>
      <c r="AF3134" s="1531"/>
      <c r="AG3134" s="1531"/>
      <c r="AH3134" s="1531"/>
      <c r="AI3134" s="1531"/>
      <c r="AJ3134" s="1531"/>
      <c r="AK3134" s="1531"/>
      <c r="AL3134" s="1531"/>
      <c r="AM3134" s="1531"/>
      <c r="AN3134" s="1531"/>
      <c r="AO3134" s="1531"/>
      <c r="AP3134" s="1531"/>
      <c r="AQ3134" s="1531"/>
      <c r="AR3134" s="1531"/>
      <c r="AS3134" s="1531"/>
    </row>
    <row r="3135" spans="1:45" s="1136" customFormat="1" ht="31.5" x14ac:dyDescent="0.25">
      <c r="A3135" s="1427" t="s">
        <v>204</v>
      </c>
      <c r="B3135" s="1443"/>
      <c r="C3135" s="1521"/>
      <c r="D3135" s="1521"/>
      <c r="E3135" s="1521"/>
      <c r="F3135" s="1521"/>
      <c r="G3135" s="1521"/>
      <c r="H3135" s="1531"/>
      <c r="I3135" s="1531"/>
      <c r="J3135" s="1531"/>
      <c r="K3135" s="1531"/>
      <c r="L3135" s="1531"/>
      <c r="M3135" s="1531"/>
      <c r="N3135" s="1531"/>
      <c r="O3135" s="1531"/>
      <c r="P3135" s="1531"/>
      <c r="Q3135" s="1531"/>
      <c r="R3135" s="1531"/>
      <c r="S3135" s="1531"/>
      <c r="T3135" s="1531"/>
      <c r="U3135" s="1531"/>
      <c r="V3135" s="1531"/>
      <c r="W3135" s="1531"/>
      <c r="X3135" s="1531"/>
      <c r="Y3135" s="1531"/>
      <c r="Z3135" s="1531"/>
      <c r="AA3135" s="1531"/>
      <c r="AB3135" s="1531"/>
      <c r="AC3135" s="1531"/>
      <c r="AD3135" s="1531"/>
      <c r="AE3135" s="1531"/>
      <c r="AF3135" s="1531"/>
      <c r="AG3135" s="1531"/>
      <c r="AH3135" s="1531"/>
      <c r="AI3135" s="1531"/>
      <c r="AJ3135" s="1531"/>
      <c r="AK3135" s="1531"/>
      <c r="AL3135" s="1531"/>
      <c r="AM3135" s="1531"/>
      <c r="AN3135" s="1531"/>
      <c r="AO3135" s="1531"/>
      <c r="AP3135" s="1531"/>
      <c r="AQ3135" s="1531"/>
      <c r="AR3135" s="1531"/>
      <c r="AS3135" s="1531"/>
    </row>
    <row r="3136" spans="1:45" s="1136" customFormat="1" ht="15.75" x14ac:dyDescent="0.25">
      <c r="A3136" s="1508" t="s">
        <v>205</v>
      </c>
      <c r="B3136" s="1508" t="str">
        <f>B2693</f>
        <v/>
      </c>
      <c r="C3136" s="1416"/>
      <c r="D3136" s="1521"/>
      <c r="E3136" s="1521"/>
      <c r="F3136" s="1521"/>
      <c r="G3136" s="1521"/>
      <c r="H3136" s="1531"/>
      <c r="I3136" s="1531"/>
      <c r="J3136" s="1531"/>
      <c r="K3136" s="1531"/>
      <c r="L3136" s="1531"/>
      <c r="M3136" s="1531"/>
      <c r="N3136" s="1531"/>
      <c r="O3136" s="1531"/>
      <c r="P3136" s="1531"/>
      <c r="Q3136" s="1531"/>
      <c r="R3136" s="1531"/>
      <c r="S3136" s="1531"/>
      <c r="T3136" s="1531"/>
      <c r="U3136" s="1531"/>
      <c r="V3136" s="1531"/>
      <c r="W3136" s="1531"/>
      <c r="X3136" s="1531"/>
      <c r="Y3136" s="1531"/>
      <c r="Z3136" s="1531"/>
      <c r="AA3136" s="1531"/>
      <c r="AB3136" s="1531"/>
      <c r="AC3136" s="1531"/>
      <c r="AD3136" s="1531"/>
      <c r="AE3136" s="1531"/>
      <c r="AF3136" s="1531"/>
      <c r="AG3136" s="1531"/>
      <c r="AH3136" s="1531"/>
      <c r="AI3136" s="1531"/>
      <c r="AJ3136" s="1531"/>
      <c r="AK3136" s="1531"/>
      <c r="AL3136" s="1531"/>
      <c r="AM3136" s="1531"/>
      <c r="AN3136" s="1531"/>
      <c r="AO3136" s="1531"/>
      <c r="AP3136" s="1531"/>
      <c r="AQ3136" s="1531"/>
      <c r="AR3136" s="1531"/>
      <c r="AS3136" s="1531"/>
    </row>
    <row r="3137" spans="1:45" s="1136" customFormat="1" ht="15.75" x14ac:dyDescent="0.25">
      <c r="A3137" s="1508" t="s">
        <v>418</v>
      </c>
      <c r="B3137" s="1508" t="str">
        <f>B2694</f>
        <v/>
      </c>
      <c r="C3137" s="1416"/>
      <c r="D3137" s="1624"/>
      <c r="E3137" s="1624"/>
      <c r="F3137" s="1624"/>
      <c r="G3137" s="1624"/>
      <c r="H3137" s="1531"/>
      <c r="I3137" s="1531"/>
      <c r="J3137" s="1531"/>
      <c r="K3137" s="1531"/>
      <c r="L3137" s="1531"/>
      <c r="M3137" s="1531"/>
      <c r="N3137" s="1531"/>
      <c r="O3137" s="1531"/>
      <c r="P3137" s="1531"/>
      <c r="Q3137" s="1531"/>
      <c r="R3137" s="1531"/>
      <c r="S3137" s="1531"/>
      <c r="T3137" s="1531"/>
      <c r="U3137" s="1531"/>
      <c r="V3137" s="1531"/>
      <c r="W3137" s="1531"/>
      <c r="X3137" s="1531"/>
      <c r="Y3137" s="1531"/>
      <c r="Z3137" s="1531"/>
      <c r="AA3137" s="1531"/>
      <c r="AB3137" s="1531"/>
      <c r="AC3137" s="1531"/>
      <c r="AD3137" s="1531"/>
      <c r="AE3137" s="1531"/>
      <c r="AF3137" s="1531"/>
      <c r="AG3137" s="1531"/>
      <c r="AH3137" s="1531"/>
      <c r="AI3137" s="1531"/>
      <c r="AJ3137" s="1531"/>
      <c r="AK3137" s="1531"/>
      <c r="AL3137" s="1531"/>
      <c r="AM3137" s="1531"/>
      <c r="AN3137" s="1531"/>
      <c r="AO3137" s="1531"/>
      <c r="AP3137" s="1531"/>
      <c r="AQ3137" s="1531"/>
      <c r="AR3137" s="1531"/>
      <c r="AS3137" s="1531"/>
    </row>
    <row r="3138" spans="1:45" s="1136" customFormat="1" ht="15.75" x14ac:dyDescent="0.25">
      <c r="A3138" s="1509" t="s">
        <v>3785</v>
      </c>
      <c r="B3138" s="1508">
        <f>B2695</f>
        <v>0</v>
      </c>
      <c r="C3138" s="1416"/>
      <c r="D3138" s="1521"/>
      <c r="E3138" s="1521"/>
      <c r="F3138" s="1521"/>
      <c r="G3138" s="1521"/>
      <c r="H3138" s="1531"/>
      <c r="I3138" s="1531"/>
      <c r="J3138" s="1531"/>
      <c r="K3138" s="1531"/>
      <c r="L3138" s="1531"/>
      <c r="M3138" s="1531"/>
      <c r="N3138" s="1531"/>
      <c r="O3138" s="1531"/>
      <c r="P3138" s="1531"/>
      <c r="Q3138" s="1531"/>
      <c r="R3138" s="1531"/>
      <c r="S3138" s="1531"/>
      <c r="T3138" s="1531"/>
      <c r="U3138" s="1531"/>
      <c r="V3138" s="1531"/>
      <c r="W3138" s="1531"/>
      <c r="X3138" s="1531"/>
      <c r="Y3138" s="1531"/>
      <c r="Z3138" s="1531"/>
      <c r="AA3138" s="1531"/>
      <c r="AB3138" s="1531"/>
      <c r="AC3138" s="1531"/>
      <c r="AD3138" s="1531"/>
      <c r="AE3138" s="1531"/>
      <c r="AF3138" s="1531"/>
      <c r="AG3138" s="1531"/>
      <c r="AH3138" s="1531"/>
      <c r="AI3138" s="1531"/>
      <c r="AJ3138" s="1531"/>
      <c r="AK3138" s="1531"/>
      <c r="AL3138" s="1531"/>
      <c r="AM3138" s="1531"/>
      <c r="AN3138" s="1531"/>
      <c r="AO3138" s="1531"/>
      <c r="AP3138" s="1531"/>
      <c r="AQ3138" s="1531"/>
      <c r="AR3138" s="1531"/>
      <c r="AS3138" s="1531"/>
    </row>
    <row r="3139" spans="1:45" s="1136" customFormat="1" ht="47.25" x14ac:dyDescent="0.25">
      <c r="A3139" s="1509" t="s">
        <v>4334</v>
      </c>
      <c r="B3139" s="1508" t="str">
        <f>B2696</f>
        <v/>
      </c>
      <c r="C3139" s="1416"/>
      <c r="D3139" s="1562"/>
      <c r="E3139" s="1562"/>
      <c r="F3139" s="1562"/>
      <c r="G3139" s="1562"/>
      <c r="H3139" s="1531"/>
      <c r="I3139" s="1531"/>
      <c r="J3139" s="1531"/>
      <c r="K3139" s="1531"/>
      <c r="L3139" s="1531"/>
      <c r="M3139" s="1531"/>
      <c r="N3139" s="1531"/>
      <c r="O3139" s="1531"/>
      <c r="P3139" s="1531"/>
      <c r="Q3139" s="1531"/>
      <c r="R3139" s="1531"/>
      <c r="S3139" s="1531"/>
      <c r="T3139" s="1531"/>
      <c r="U3139" s="1531"/>
      <c r="V3139" s="1531"/>
      <c r="W3139" s="1531"/>
      <c r="X3139" s="1531"/>
      <c r="Y3139" s="1531"/>
      <c r="Z3139" s="1531"/>
      <c r="AA3139" s="1531"/>
      <c r="AB3139" s="1531"/>
      <c r="AC3139" s="1531"/>
      <c r="AD3139" s="1531"/>
      <c r="AE3139" s="1531"/>
      <c r="AF3139" s="1531"/>
      <c r="AG3139" s="1531"/>
      <c r="AH3139" s="1531"/>
      <c r="AI3139" s="1531"/>
      <c r="AJ3139" s="1531"/>
      <c r="AK3139" s="1531"/>
      <c r="AL3139" s="1531"/>
      <c r="AM3139" s="1531"/>
      <c r="AN3139" s="1531"/>
      <c r="AO3139" s="1531"/>
      <c r="AP3139" s="1531"/>
      <c r="AQ3139" s="1531"/>
      <c r="AR3139" s="1531"/>
      <c r="AS3139" s="1531"/>
    </row>
    <row r="3140" spans="1:45" s="1136" customFormat="1" ht="15.75" x14ac:dyDescent="0.25">
      <c r="A3140" s="1510" t="s">
        <v>5436</v>
      </c>
      <c r="B3140" s="1511" t="str">
        <f>B2697</f>
        <v/>
      </c>
      <c r="C3140" s="1429"/>
      <c r="D3140" s="1562"/>
      <c r="E3140" s="1562"/>
      <c r="F3140" s="1562"/>
      <c r="G3140" s="1562"/>
      <c r="H3140" s="1531"/>
      <c r="I3140" s="1531"/>
      <c r="J3140" s="1531"/>
      <c r="K3140" s="1531"/>
      <c r="L3140" s="1531"/>
      <c r="M3140" s="1531"/>
      <c r="N3140" s="1531"/>
      <c r="O3140" s="1531"/>
      <c r="P3140" s="1531"/>
      <c r="Q3140" s="1531"/>
      <c r="R3140" s="1531"/>
      <c r="S3140" s="1531"/>
      <c r="T3140" s="1531"/>
      <c r="U3140" s="1531"/>
      <c r="V3140" s="1531"/>
      <c r="W3140" s="1531"/>
      <c r="X3140" s="1531"/>
      <c r="Y3140" s="1531"/>
      <c r="Z3140" s="1531"/>
      <c r="AA3140" s="1531"/>
      <c r="AB3140" s="1531"/>
      <c r="AC3140" s="1531"/>
      <c r="AD3140" s="1531"/>
      <c r="AE3140" s="1531"/>
      <c r="AF3140" s="1531"/>
      <c r="AG3140" s="1531"/>
      <c r="AH3140" s="1531"/>
      <c r="AI3140" s="1531"/>
      <c r="AJ3140" s="1531"/>
      <c r="AK3140" s="1531"/>
      <c r="AL3140" s="1531"/>
      <c r="AM3140" s="1531"/>
      <c r="AN3140" s="1531"/>
      <c r="AO3140" s="1531"/>
      <c r="AP3140" s="1531"/>
      <c r="AQ3140" s="1531"/>
      <c r="AR3140" s="1531"/>
      <c r="AS3140" s="1531"/>
    </row>
    <row r="3141" spans="1:45" s="1136" customFormat="1" ht="16.5" thickBot="1" x14ac:dyDescent="0.3">
      <c r="A3141" s="1625" t="s">
        <v>4325</v>
      </c>
      <c r="B3141" s="1626"/>
      <c r="C3141" s="1627"/>
      <c r="D3141" s="1531"/>
      <c r="E3141" s="1531"/>
      <c r="F3141" s="1531"/>
      <c r="G3141" s="1531"/>
      <c r="H3141" s="1531"/>
      <c r="I3141" s="1531"/>
      <c r="J3141" s="1531"/>
      <c r="K3141" s="1531"/>
      <c r="L3141" s="1531"/>
      <c r="M3141" s="1531"/>
      <c r="N3141" s="1531"/>
      <c r="O3141" s="1531"/>
      <c r="P3141" s="1531"/>
      <c r="Q3141" s="1531"/>
      <c r="R3141" s="1531"/>
      <c r="S3141" s="1531"/>
      <c r="T3141" s="1531"/>
      <c r="U3141" s="1531"/>
      <c r="V3141" s="1531"/>
      <c r="W3141" s="1531"/>
      <c r="X3141" s="1531"/>
      <c r="Y3141" s="1531"/>
      <c r="Z3141" s="1531"/>
      <c r="AA3141" s="1531"/>
      <c r="AB3141" s="1531"/>
      <c r="AC3141" s="1531"/>
      <c r="AD3141" s="1531"/>
      <c r="AE3141" s="1531"/>
      <c r="AF3141" s="1531"/>
      <c r="AG3141" s="1531"/>
      <c r="AH3141" s="1531"/>
      <c r="AI3141" s="1531"/>
      <c r="AJ3141" s="1531"/>
      <c r="AK3141" s="1531"/>
      <c r="AL3141" s="1531"/>
      <c r="AM3141" s="1531"/>
      <c r="AN3141" s="1531"/>
      <c r="AO3141" s="1531"/>
      <c r="AP3141" s="1531"/>
      <c r="AQ3141" s="1531"/>
      <c r="AR3141" s="1531"/>
      <c r="AS3141" s="1531"/>
    </row>
    <row r="3142" spans="1:45" s="1136" customFormat="1" ht="27.75" customHeight="1" x14ac:dyDescent="0.25">
      <c r="A3142" s="1515" t="s">
        <v>5019</v>
      </c>
      <c r="B3142" s="1443" t="b">
        <f>B2699</f>
        <v>0</v>
      </c>
      <c r="C3142" s="1437"/>
      <c r="D3142" s="1531"/>
      <c r="E3142" s="1531"/>
      <c r="F3142" s="1531"/>
      <c r="G3142" s="1531"/>
      <c r="H3142" s="1531"/>
      <c r="I3142" s="1531"/>
      <c r="R3142" s="1531"/>
      <c r="S3142" s="1531"/>
      <c r="T3142" s="1531"/>
      <c r="U3142" s="1531"/>
      <c r="V3142" s="1531"/>
      <c r="W3142" s="1531"/>
      <c r="X3142" s="1531"/>
      <c r="Y3142" s="1531"/>
      <c r="Z3142" s="1531"/>
      <c r="AA3142" s="1531"/>
      <c r="AB3142" s="1531"/>
      <c r="AC3142" s="1531"/>
      <c r="AD3142" s="1531"/>
      <c r="AE3142" s="1531"/>
      <c r="AF3142" s="1531"/>
      <c r="AG3142" s="1531"/>
      <c r="AH3142" s="1531"/>
      <c r="AI3142" s="1531"/>
      <c r="AJ3142" s="1531"/>
      <c r="AK3142" s="1531"/>
      <c r="AL3142" s="1531"/>
      <c r="AM3142" s="1531"/>
      <c r="AN3142" s="1531"/>
      <c r="AO3142" s="1531"/>
      <c r="AP3142" s="1531"/>
      <c r="AQ3142" s="1531"/>
      <c r="AR3142" s="1531"/>
      <c r="AS3142" s="1531"/>
    </row>
    <row r="3143" spans="1:45" s="1136" customFormat="1" ht="15.75" x14ac:dyDescent="0.25">
      <c r="A3143" s="1628" t="s">
        <v>5476</v>
      </c>
      <c r="B3143" s="1443">
        <f>B2700</f>
        <v>1</v>
      </c>
      <c r="C3143" s="1437"/>
      <c r="D3143" s="1416"/>
      <c r="E3143" s="1416"/>
      <c r="F3143" s="1416"/>
      <c r="G3143" s="1416"/>
      <c r="H3143" s="1531"/>
      <c r="I3143" s="1531"/>
      <c r="R3143" s="1531"/>
      <c r="S3143" s="1531"/>
      <c r="T3143" s="1531"/>
      <c r="U3143" s="1531"/>
      <c r="V3143" s="1531"/>
      <c r="W3143" s="1531"/>
      <c r="X3143" s="1531"/>
      <c r="Y3143" s="1531"/>
      <c r="Z3143" s="1531"/>
      <c r="AA3143" s="1531"/>
      <c r="AB3143" s="1531"/>
      <c r="AC3143" s="1531"/>
      <c r="AD3143" s="1531"/>
      <c r="AE3143" s="1531"/>
      <c r="AF3143" s="1531"/>
      <c r="AG3143" s="1531"/>
      <c r="AH3143" s="1531"/>
      <c r="AI3143" s="1531"/>
      <c r="AJ3143" s="1531"/>
      <c r="AK3143" s="1531"/>
      <c r="AL3143" s="1531"/>
      <c r="AM3143" s="1531"/>
      <c r="AN3143" s="1531"/>
      <c r="AO3143" s="1531"/>
      <c r="AP3143" s="1531"/>
      <c r="AQ3143" s="1531"/>
      <c r="AR3143" s="1531"/>
      <c r="AS3143" s="1531"/>
    </row>
    <row r="3144" spans="1:45" s="1136" customFormat="1" ht="15.75" x14ac:dyDescent="0.25">
      <c r="A3144" s="1519" t="s">
        <v>5478</v>
      </c>
      <c r="B3144" s="1443" t="e">
        <f>(B3137/B3142)*B2850</f>
        <v>#VALUE!</v>
      </c>
      <c r="C3144" s="1437"/>
      <c r="D3144" s="1416"/>
      <c r="E3144" s="1416"/>
      <c r="F3144" s="1416"/>
      <c r="G3144" s="1416"/>
      <c r="H3144" s="1531"/>
      <c r="I3144" s="1531"/>
      <c r="R3144" s="1531"/>
      <c r="S3144" s="1531"/>
      <c r="T3144" s="1531"/>
      <c r="U3144" s="1531"/>
      <c r="V3144" s="1531"/>
      <c r="W3144" s="1531"/>
      <c r="X3144" s="1531"/>
      <c r="Y3144" s="1531"/>
      <c r="Z3144" s="1531"/>
      <c r="AA3144" s="1531"/>
      <c r="AB3144" s="1531"/>
      <c r="AC3144" s="1531"/>
      <c r="AD3144" s="1531"/>
      <c r="AE3144" s="1531"/>
      <c r="AF3144" s="1531"/>
      <c r="AG3144" s="1531"/>
      <c r="AH3144" s="1531"/>
      <c r="AI3144" s="1531"/>
      <c r="AJ3144" s="1531"/>
      <c r="AK3144" s="1531"/>
      <c r="AL3144" s="1531"/>
      <c r="AM3144" s="1531"/>
      <c r="AN3144" s="1531"/>
      <c r="AO3144" s="1531"/>
      <c r="AP3144" s="1531"/>
      <c r="AQ3144" s="1531"/>
      <c r="AR3144" s="1531"/>
      <c r="AS3144" s="1531"/>
    </row>
    <row r="3145" spans="1:45" s="1136" customFormat="1" ht="15.75" x14ac:dyDescent="0.25">
      <c r="A3145" s="1519" t="s">
        <v>5479</v>
      </c>
      <c r="B3145" s="1441" t="e">
        <f>B2704</f>
        <v>#VALUE!</v>
      </c>
      <c r="C3145" s="1434"/>
      <c r="D3145" s="1416"/>
      <c r="E3145" s="1416"/>
      <c r="F3145" s="1416"/>
      <c r="G3145" s="1416"/>
      <c r="H3145" s="1531"/>
      <c r="I3145" s="1531"/>
      <c r="R3145" s="1531"/>
      <c r="S3145" s="1531"/>
      <c r="T3145" s="1531"/>
      <c r="U3145" s="1531"/>
      <c r="V3145" s="1531"/>
      <c r="W3145" s="1531"/>
      <c r="X3145" s="1531"/>
      <c r="Y3145" s="1531"/>
      <c r="Z3145" s="1531"/>
      <c r="AA3145" s="1531"/>
      <c r="AB3145" s="1531"/>
      <c r="AC3145" s="1531"/>
      <c r="AD3145" s="1531"/>
      <c r="AE3145" s="1531"/>
      <c r="AF3145" s="1531"/>
      <c r="AG3145" s="1531"/>
      <c r="AH3145" s="1531"/>
      <c r="AI3145" s="1531"/>
      <c r="AJ3145" s="1531"/>
      <c r="AK3145" s="1531"/>
      <c r="AL3145" s="1531"/>
      <c r="AM3145" s="1531"/>
      <c r="AN3145" s="1531"/>
      <c r="AO3145" s="1531"/>
      <c r="AP3145" s="1531"/>
      <c r="AQ3145" s="1531"/>
      <c r="AR3145" s="1531"/>
      <c r="AS3145" s="1531"/>
    </row>
    <row r="3146" spans="1:45" s="1136" customFormat="1" ht="15.75" x14ac:dyDescent="0.25">
      <c r="A3146" s="1524" t="s">
        <v>3053</v>
      </c>
      <c r="B3146" s="1525" t="e">
        <f>B2705</f>
        <v>#VALUE!</v>
      </c>
      <c r="C3146" s="1350"/>
      <c r="D3146" s="1416"/>
      <c r="E3146" s="1416"/>
      <c r="F3146" s="1416"/>
      <c r="G3146" s="1416"/>
      <c r="H3146" s="1531"/>
      <c r="I3146" s="1531"/>
      <c r="R3146" s="1531"/>
      <c r="S3146" s="1531"/>
      <c r="T3146" s="1531"/>
      <c r="U3146" s="1531"/>
      <c r="V3146" s="1531"/>
      <c r="W3146" s="1531"/>
      <c r="X3146" s="1531"/>
      <c r="Y3146" s="1531"/>
      <c r="Z3146" s="1531"/>
      <c r="AA3146" s="1531"/>
      <c r="AB3146" s="1531"/>
      <c r="AC3146" s="1531"/>
      <c r="AD3146" s="1531"/>
      <c r="AE3146" s="1531"/>
      <c r="AF3146" s="1531"/>
      <c r="AG3146" s="1531"/>
      <c r="AH3146" s="1531"/>
      <c r="AI3146" s="1531"/>
      <c r="AJ3146" s="1531"/>
      <c r="AK3146" s="1531"/>
      <c r="AL3146" s="1531"/>
      <c r="AM3146" s="1531"/>
      <c r="AN3146" s="1531"/>
      <c r="AO3146" s="1531"/>
      <c r="AP3146" s="1531"/>
      <c r="AQ3146" s="1531"/>
      <c r="AR3146" s="1531"/>
      <c r="AS3146" s="1531"/>
    </row>
    <row r="3147" spans="1:45" s="1136" customFormat="1" ht="15.75" x14ac:dyDescent="0.25">
      <c r="A3147" s="1527" t="s">
        <v>3054</v>
      </c>
      <c r="B3147" s="1443">
        <f>B2706</f>
        <v>98.8</v>
      </c>
      <c r="C3147" s="1521"/>
      <c r="D3147" s="1429"/>
      <c r="E3147" s="1429"/>
      <c r="F3147" s="1429"/>
      <c r="G3147" s="1429"/>
      <c r="H3147" s="1531"/>
      <c r="I3147" s="1531"/>
      <c r="R3147" s="1531"/>
      <c r="S3147" s="1531"/>
      <c r="T3147" s="1531"/>
      <c r="U3147" s="1531"/>
      <c r="V3147" s="1531"/>
      <c r="W3147" s="1531"/>
      <c r="X3147" s="1531"/>
      <c r="Y3147" s="1531"/>
      <c r="Z3147" s="1531"/>
      <c r="AA3147" s="1531"/>
      <c r="AB3147" s="1531"/>
      <c r="AC3147" s="1531"/>
      <c r="AD3147" s="1531"/>
      <c r="AE3147" s="1531"/>
      <c r="AF3147" s="1531"/>
      <c r="AG3147" s="1531"/>
      <c r="AH3147" s="1531"/>
      <c r="AI3147" s="1531"/>
      <c r="AJ3147" s="1531"/>
      <c r="AK3147" s="1531"/>
      <c r="AL3147" s="1531"/>
      <c r="AM3147" s="1531"/>
      <c r="AN3147" s="1531"/>
      <c r="AO3147" s="1531"/>
      <c r="AP3147" s="1531"/>
      <c r="AQ3147" s="1531"/>
      <c r="AR3147" s="1531"/>
      <c r="AS3147" s="1531"/>
    </row>
    <row r="3148" spans="1:45" s="1136" customFormat="1" ht="15.75" x14ac:dyDescent="0.25">
      <c r="A3148" s="1519" t="s">
        <v>3055</v>
      </c>
      <c r="B3148" s="1443"/>
      <c r="C3148" s="1521"/>
      <c r="D3148" s="1627"/>
      <c r="E3148" s="1627"/>
      <c r="F3148" s="1627"/>
      <c r="G3148" s="1627"/>
      <c r="H3148" s="1531"/>
      <c r="I3148" s="1531"/>
      <c r="R3148" s="1531"/>
      <c r="S3148" s="1531"/>
      <c r="T3148" s="1531"/>
      <c r="U3148" s="1531"/>
      <c r="V3148" s="1531"/>
      <c r="W3148" s="1531"/>
      <c r="X3148" s="1531"/>
      <c r="Y3148" s="1531"/>
      <c r="Z3148" s="1531"/>
      <c r="AA3148" s="1531"/>
      <c r="AB3148" s="1531"/>
      <c r="AC3148" s="1531"/>
      <c r="AD3148" s="1531"/>
      <c r="AE3148" s="1531"/>
      <c r="AF3148" s="1531"/>
      <c r="AG3148" s="1531"/>
      <c r="AH3148" s="1531"/>
      <c r="AI3148" s="1531"/>
      <c r="AJ3148" s="1531"/>
      <c r="AK3148" s="1531"/>
      <c r="AL3148" s="1531"/>
      <c r="AM3148" s="1531"/>
      <c r="AN3148" s="1531"/>
      <c r="AO3148" s="1531"/>
      <c r="AP3148" s="1531"/>
      <c r="AQ3148" s="1531"/>
      <c r="AR3148" s="1531"/>
      <c r="AS3148" s="1531"/>
    </row>
    <row r="3149" spans="1:45" s="1136" customFormat="1" ht="15.75" x14ac:dyDescent="0.25">
      <c r="A3149" s="1530" t="s">
        <v>3056</v>
      </c>
      <c r="B3149" s="1443">
        <f>B2708</f>
        <v>1</v>
      </c>
      <c r="C3149" s="1521"/>
      <c r="D3149" s="1437"/>
      <c r="E3149" s="1437"/>
      <c r="F3149" s="1437"/>
      <c r="G3149" s="1437"/>
      <c r="H3149" s="1531"/>
      <c r="I3149" s="1531"/>
      <c r="R3149" s="1531"/>
      <c r="S3149" s="1531"/>
      <c r="T3149" s="1531"/>
      <c r="U3149" s="1531"/>
      <c r="V3149" s="1531"/>
      <c r="W3149" s="1531"/>
      <c r="X3149" s="1531"/>
      <c r="Y3149" s="1531"/>
      <c r="Z3149" s="1531"/>
      <c r="AA3149" s="1531"/>
      <c r="AB3149" s="1531"/>
      <c r="AC3149" s="1531"/>
      <c r="AD3149" s="1531"/>
      <c r="AE3149" s="1531"/>
      <c r="AF3149" s="1531"/>
      <c r="AG3149" s="1531"/>
      <c r="AH3149" s="1531"/>
      <c r="AI3149" s="1531"/>
      <c r="AJ3149" s="1531"/>
      <c r="AK3149" s="1531"/>
      <c r="AL3149" s="1531"/>
      <c r="AM3149" s="1531"/>
      <c r="AN3149" s="1531"/>
      <c r="AO3149" s="1531"/>
      <c r="AP3149" s="1531"/>
      <c r="AQ3149" s="1531"/>
      <c r="AR3149" s="1531"/>
      <c r="AS3149" s="1531"/>
    </row>
    <row r="3150" spans="1:45" s="1136" customFormat="1" ht="15.75" x14ac:dyDescent="0.25">
      <c r="A3150" s="1519" t="s">
        <v>3057</v>
      </c>
      <c r="B3150" s="1443">
        <f>B2709</f>
        <v>0.9</v>
      </c>
      <c r="C3150" s="1521"/>
      <c r="D3150" s="1437"/>
      <c r="E3150" s="1437"/>
      <c r="F3150" s="1437"/>
      <c r="G3150" s="1437"/>
      <c r="H3150" s="1521"/>
      <c r="I3150" s="1531"/>
      <c r="R3150" s="1531"/>
      <c r="S3150" s="1531"/>
      <c r="T3150" s="1531"/>
      <c r="U3150" s="1531"/>
      <c r="V3150" s="1531"/>
      <c r="W3150" s="1531"/>
      <c r="X3150" s="1531"/>
      <c r="Y3150" s="1531"/>
      <c r="Z3150" s="1531"/>
      <c r="AA3150" s="1531"/>
      <c r="AB3150" s="1531"/>
      <c r="AC3150" s="1531"/>
      <c r="AD3150" s="1531"/>
      <c r="AE3150" s="1531"/>
      <c r="AF3150" s="1531"/>
      <c r="AG3150" s="1531"/>
      <c r="AH3150" s="1531"/>
      <c r="AI3150" s="1531"/>
      <c r="AJ3150" s="1531"/>
      <c r="AK3150" s="1531"/>
      <c r="AL3150" s="1531"/>
      <c r="AM3150" s="1531"/>
      <c r="AN3150" s="1531"/>
      <c r="AO3150" s="1531"/>
      <c r="AP3150" s="1531"/>
      <c r="AQ3150" s="1531"/>
      <c r="AR3150" s="1531"/>
      <c r="AS3150" s="1531"/>
    </row>
    <row r="3151" spans="1:45" s="1136" customFormat="1" ht="15.75" x14ac:dyDescent="0.25">
      <c r="A3151" s="1519" t="s">
        <v>3058</v>
      </c>
      <c r="B3151" s="1443">
        <f>B2710</f>
        <v>1</v>
      </c>
      <c r="C3151" s="1521"/>
      <c r="D3151" s="1437"/>
      <c r="E3151" s="1437"/>
      <c r="F3151" s="1437"/>
      <c r="G3151" s="1437"/>
      <c r="H3151" s="1531"/>
      <c r="I3151" s="1531"/>
      <c r="R3151" s="1531"/>
      <c r="S3151" s="1531"/>
      <c r="T3151" s="1531"/>
      <c r="U3151" s="1531"/>
      <c r="V3151" s="1531"/>
      <c r="W3151" s="1531"/>
      <c r="X3151" s="1531"/>
      <c r="Y3151" s="1531"/>
      <c r="Z3151" s="1531"/>
      <c r="AA3151" s="1531"/>
      <c r="AB3151" s="1531"/>
      <c r="AC3151" s="1531"/>
      <c r="AD3151" s="1531"/>
      <c r="AE3151" s="1531"/>
      <c r="AF3151" s="1531"/>
      <c r="AG3151" s="1531"/>
      <c r="AH3151" s="1531"/>
      <c r="AI3151" s="1531"/>
      <c r="AJ3151" s="1531"/>
      <c r="AK3151" s="1531"/>
      <c r="AL3151" s="1531"/>
      <c r="AM3151" s="1531"/>
      <c r="AN3151" s="1531"/>
      <c r="AO3151" s="1531"/>
      <c r="AP3151" s="1531"/>
      <c r="AQ3151" s="1531"/>
      <c r="AR3151" s="1531"/>
      <c r="AS3151" s="1531"/>
    </row>
    <row r="3152" spans="1:45" s="1136" customFormat="1" ht="15.75" x14ac:dyDescent="0.25">
      <c r="A3152" s="1519" t="s">
        <v>3059</v>
      </c>
      <c r="B3152" s="1439" t="e">
        <f>B2711</f>
        <v>#VALUE!</v>
      </c>
      <c r="C3152" s="1562"/>
      <c r="D3152" s="1434"/>
      <c r="E3152" s="1434"/>
      <c r="F3152" s="1434"/>
      <c r="G3152" s="1434"/>
      <c r="H3152" s="1531"/>
      <c r="I3152" s="1531"/>
      <c r="R3152" s="1531"/>
      <c r="S3152" s="1531"/>
      <c r="T3152" s="1531"/>
      <c r="U3152" s="1531"/>
      <c r="V3152" s="1531"/>
      <c r="W3152" s="1531"/>
      <c r="X3152" s="1531"/>
      <c r="Y3152" s="1531"/>
      <c r="Z3152" s="1531"/>
      <c r="AA3152" s="1531"/>
      <c r="AB3152" s="1531"/>
      <c r="AC3152" s="1531"/>
      <c r="AD3152" s="1531"/>
      <c r="AE3152" s="1531"/>
      <c r="AF3152" s="1531"/>
      <c r="AG3152" s="1531"/>
      <c r="AH3152" s="1531"/>
      <c r="AI3152" s="1531"/>
      <c r="AJ3152" s="1531"/>
      <c r="AK3152" s="1531"/>
      <c r="AL3152" s="1531"/>
      <c r="AM3152" s="1531"/>
      <c r="AN3152" s="1531"/>
      <c r="AO3152" s="1531"/>
      <c r="AP3152" s="1531"/>
      <c r="AQ3152" s="1531"/>
      <c r="AR3152" s="1531"/>
      <c r="AS3152" s="1531"/>
    </row>
    <row r="3153" spans="1:45" s="1136" customFormat="1" ht="15.75" x14ac:dyDescent="0.25">
      <c r="A3153" s="1519" t="s">
        <v>3060</v>
      </c>
      <c r="B3153" s="1439" t="e">
        <f>B3147*B3152</f>
        <v>#VALUE!</v>
      </c>
      <c r="C3153" s="1562"/>
      <c r="D3153" s="1350"/>
      <c r="E3153" s="1350"/>
      <c r="F3153" s="1350"/>
      <c r="G3153" s="1350"/>
      <c r="H3153" s="1531"/>
      <c r="I3153" s="1531"/>
      <c r="R3153" s="1531"/>
      <c r="S3153" s="1531"/>
      <c r="T3153" s="1531"/>
      <c r="U3153" s="1531"/>
      <c r="V3153" s="1531"/>
      <c r="W3153" s="1531"/>
      <c r="X3153" s="1531"/>
      <c r="Y3153" s="1531"/>
      <c r="Z3153" s="1531"/>
      <c r="AA3153" s="1531"/>
      <c r="AB3153" s="1531"/>
      <c r="AC3153" s="1531"/>
      <c r="AD3153" s="1531"/>
      <c r="AE3153" s="1531"/>
      <c r="AF3153" s="1531"/>
      <c r="AG3153" s="1531"/>
      <c r="AH3153" s="1531"/>
      <c r="AI3153" s="1531"/>
      <c r="AJ3153" s="1531"/>
      <c r="AK3153" s="1531"/>
      <c r="AL3153" s="1531"/>
      <c r="AM3153" s="1531"/>
      <c r="AN3153" s="1531"/>
      <c r="AO3153" s="1531"/>
      <c r="AP3153" s="1531"/>
      <c r="AQ3153" s="1531"/>
      <c r="AR3153" s="1531"/>
      <c r="AS3153" s="1531"/>
    </row>
    <row r="3154" spans="1:45" s="1136" customFormat="1" ht="16.5" thickBot="1" x14ac:dyDescent="0.3">
      <c r="A3154" s="1532" t="s">
        <v>3061</v>
      </c>
      <c r="B3154" s="1588" t="e">
        <f>B3144/B3153</f>
        <v>#VALUE!</v>
      </c>
      <c r="C3154" s="1589"/>
      <c r="D3154" s="1521"/>
      <c r="E3154" s="1521"/>
      <c r="F3154" s="1521"/>
      <c r="G3154" s="1521"/>
      <c r="H3154" s="1531"/>
      <c r="I3154" s="1531"/>
      <c r="R3154" s="1531"/>
      <c r="S3154" s="1531"/>
      <c r="T3154" s="1531"/>
      <c r="U3154" s="1531"/>
      <c r="V3154" s="1531"/>
      <c r="W3154" s="1531"/>
      <c r="X3154" s="1531"/>
      <c r="Y3154" s="1531"/>
      <c r="Z3154" s="1531"/>
      <c r="AA3154" s="1531"/>
      <c r="AB3154" s="1531"/>
      <c r="AC3154" s="1531"/>
      <c r="AD3154" s="1531"/>
      <c r="AE3154" s="1531"/>
      <c r="AF3154" s="1531"/>
      <c r="AG3154" s="1531"/>
      <c r="AH3154" s="1531"/>
      <c r="AI3154" s="1531"/>
      <c r="AJ3154" s="1531"/>
      <c r="AK3154" s="1531"/>
      <c r="AL3154" s="1531"/>
      <c r="AM3154" s="1531"/>
      <c r="AN3154" s="1531"/>
      <c r="AO3154" s="1531"/>
      <c r="AP3154" s="1531"/>
      <c r="AQ3154" s="1531"/>
      <c r="AR3154" s="1531"/>
      <c r="AS3154" s="1531"/>
    </row>
    <row r="3155" spans="1:45" s="1136" customFormat="1" ht="15.75" x14ac:dyDescent="0.25">
      <c r="A3155" s="1493" t="s">
        <v>3062</v>
      </c>
      <c r="B3155" s="1629" t="e">
        <f>B2714</f>
        <v>#VALUE!</v>
      </c>
      <c r="C3155" s="1630"/>
      <c r="D3155" s="1531"/>
      <c r="E3155" s="1531"/>
      <c r="F3155" s="1531"/>
      <c r="G3155" s="1531"/>
      <c r="H3155" s="1531"/>
      <c r="I3155" s="1531"/>
      <c r="R3155" s="1531"/>
      <c r="S3155" s="1531"/>
      <c r="T3155" s="1531"/>
      <c r="U3155" s="1531"/>
      <c r="V3155" s="1531"/>
      <c r="W3155" s="1531"/>
      <c r="X3155" s="1531"/>
      <c r="Y3155" s="1531"/>
      <c r="Z3155" s="1531"/>
      <c r="AA3155" s="1531"/>
      <c r="AB3155" s="1531"/>
      <c r="AC3155" s="1531"/>
      <c r="AD3155" s="1531"/>
      <c r="AE3155" s="1531"/>
      <c r="AF3155" s="1531"/>
      <c r="AG3155" s="1531"/>
      <c r="AH3155" s="1531"/>
      <c r="AI3155" s="1531"/>
      <c r="AJ3155" s="1531"/>
      <c r="AK3155" s="1531"/>
      <c r="AL3155" s="1531"/>
      <c r="AM3155" s="1531"/>
      <c r="AN3155" s="1531"/>
      <c r="AO3155" s="1531"/>
      <c r="AP3155" s="1531"/>
      <c r="AQ3155" s="1531"/>
      <c r="AR3155" s="1531"/>
      <c r="AS3155" s="1531"/>
    </row>
    <row r="3156" spans="1:45" s="1136" customFormat="1" ht="15.75" x14ac:dyDescent="0.25">
      <c r="A3156" s="1493" t="s">
        <v>4653</v>
      </c>
      <c r="B3156" s="1629" t="e">
        <f>B2715</f>
        <v>#VALUE!</v>
      </c>
      <c r="C3156" s="1630"/>
      <c r="D3156" s="1521"/>
      <c r="E3156" s="1521"/>
      <c r="F3156" s="1521"/>
      <c r="G3156" s="1521"/>
      <c r="H3156" s="1531"/>
      <c r="I3156" s="1531"/>
      <c r="R3156" s="1531"/>
      <c r="S3156" s="1531"/>
      <c r="T3156" s="1531"/>
      <c r="U3156" s="1531"/>
      <c r="V3156" s="1531"/>
      <c r="W3156" s="1531"/>
      <c r="X3156" s="1531"/>
      <c r="Y3156" s="1531"/>
      <c r="Z3156" s="1531"/>
      <c r="AA3156" s="1531"/>
      <c r="AB3156" s="1531"/>
      <c r="AC3156" s="1531"/>
      <c r="AD3156" s="1531"/>
      <c r="AE3156" s="1531"/>
      <c r="AF3156" s="1531"/>
      <c r="AG3156" s="1531"/>
      <c r="AH3156" s="1531"/>
      <c r="AI3156" s="1531"/>
      <c r="AJ3156" s="1531"/>
      <c r="AK3156" s="1531"/>
      <c r="AL3156" s="1531"/>
      <c r="AM3156" s="1531"/>
      <c r="AN3156" s="1531"/>
      <c r="AO3156" s="1531"/>
      <c r="AP3156" s="1531"/>
      <c r="AQ3156" s="1531"/>
      <c r="AR3156" s="1531"/>
      <c r="AS3156" s="1531"/>
    </row>
    <row r="3157" spans="1:45" s="1136" customFormat="1" ht="15.75" x14ac:dyDescent="0.25">
      <c r="A3157" s="1493" t="s">
        <v>4654</v>
      </c>
      <c r="B3157" s="1629" t="e">
        <f>B2716</f>
        <v>#VALUE!</v>
      </c>
      <c r="C3157" s="1630"/>
      <c r="D3157" s="1521"/>
      <c r="E3157" s="1521"/>
      <c r="F3157" s="1521"/>
      <c r="G3157" s="1521"/>
      <c r="H3157" s="1531"/>
      <c r="I3157" s="1531"/>
      <c r="R3157" s="1531"/>
      <c r="S3157" s="1531"/>
      <c r="T3157" s="1531"/>
      <c r="U3157" s="1531"/>
      <c r="V3157" s="1531"/>
      <c r="W3157" s="1531"/>
      <c r="X3157" s="1531"/>
      <c r="Y3157" s="1531"/>
      <c r="Z3157" s="1531"/>
      <c r="AA3157" s="1531"/>
      <c r="AB3157" s="1531"/>
      <c r="AC3157" s="1531"/>
      <c r="AD3157" s="1531"/>
      <c r="AE3157" s="1531"/>
      <c r="AF3157" s="1531"/>
      <c r="AG3157" s="1531"/>
      <c r="AH3157" s="1531"/>
      <c r="AI3157" s="1531"/>
      <c r="AJ3157" s="1531"/>
      <c r="AK3157" s="1531"/>
      <c r="AL3157" s="1531"/>
      <c r="AM3157" s="1531"/>
      <c r="AN3157" s="1531"/>
      <c r="AO3157" s="1531"/>
      <c r="AP3157" s="1531"/>
      <c r="AQ3157" s="1531"/>
      <c r="AR3157" s="1531"/>
      <c r="AS3157" s="1531"/>
    </row>
    <row r="3158" spans="1:45" s="1136" customFormat="1" ht="15.75" x14ac:dyDescent="0.25">
      <c r="A3158" s="1493" t="s">
        <v>18</v>
      </c>
      <c r="B3158" s="1629" t="e">
        <f>B3144/B3157</f>
        <v>#VALUE!</v>
      </c>
      <c r="C3158" s="1630"/>
      <c r="D3158" s="1521"/>
      <c r="E3158" s="1521"/>
      <c r="F3158" s="1521"/>
      <c r="G3158" s="1521"/>
      <c r="H3158" s="1531"/>
      <c r="I3158" s="1531"/>
      <c r="R3158" s="1531"/>
      <c r="S3158" s="1531"/>
      <c r="T3158" s="1531"/>
      <c r="U3158" s="1531"/>
      <c r="V3158" s="1531"/>
      <c r="W3158" s="1531"/>
      <c r="X3158" s="1531"/>
      <c r="Y3158" s="1531"/>
      <c r="Z3158" s="1531"/>
      <c r="AA3158" s="1531"/>
      <c r="AB3158" s="1531"/>
      <c r="AC3158" s="1531"/>
      <c r="AD3158" s="1531"/>
      <c r="AE3158" s="1531"/>
      <c r="AF3158" s="1531"/>
      <c r="AG3158" s="1531"/>
      <c r="AH3158" s="1531"/>
      <c r="AI3158" s="1531"/>
      <c r="AJ3158" s="1531"/>
      <c r="AK3158" s="1531"/>
      <c r="AL3158" s="1531"/>
      <c r="AM3158" s="1531"/>
      <c r="AN3158" s="1531"/>
      <c r="AO3158" s="1531"/>
      <c r="AP3158" s="1531"/>
      <c r="AQ3158" s="1531"/>
      <c r="AR3158" s="1531"/>
      <c r="AS3158" s="1531"/>
    </row>
    <row r="3159" spans="1:45" s="1136" customFormat="1" ht="15.75" x14ac:dyDescent="0.25">
      <c r="A3159" s="1493" t="s">
        <v>19</v>
      </c>
      <c r="B3159" s="1629" t="e">
        <f>B3154+B3158</f>
        <v>#VALUE!</v>
      </c>
      <c r="C3159" s="1630"/>
      <c r="D3159" s="1562"/>
      <c r="E3159" s="1562"/>
      <c r="F3159" s="1562"/>
      <c r="G3159" s="1562"/>
      <c r="H3159" s="1531"/>
      <c r="I3159" s="1531"/>
      <c r="J3159" s="1531"/>
      <c r="K3159" s="1531"/>
      <c r="L3159" s="1531"/>
      <c r="M3159" s="1531"/>
      <c r="N3159" s="1531"/>
      <c r="O3159" s="1531"/>
      <c r="P3159" s="1531"/>
      <c r="Q3159" s="1531"/>
      <c r="R3159" s="1531"/>
      <c r="S3159" s="1531"/>
      <c r="T3159" s="1531"/>
      <c r="U3159" s="1531"/>
      <c r="V3159" s="1531"/>
      <c r="W3159" s="1531"/>
      <c r="X3159" s="1531"/>
      <c r="Y3159" s="1531"/>
      <c r="Z3159" s="1531"/>
      <c r="AA3159" s="1531"/>
      <c r="AB3159" s="1531"/>
      <c r="AC3159" s="1531"/>
      <c r="AD3159" s="1531"/>
      <c r="AE3159" s="1531"/>
      <c r="AF3159" s="1531"/>
      <c r="AG3159" s="1531"/>
      <c r="AH3159" s="1531"/>
      <c r="AI3159" s="1531"/>
      <c r="AJ3159" s="1531"/>
      <c r="AK3159" s="1531"/>
      <c r="AL3159" s="1531"/>
      <c r="AM3159" s="1531"/>
      <c r="AN3159" s="1531"/>
      <c r="AO3159" s="1531"/>
      <c r="AP3159" s="1531"/>
      <c r="AQ3159" s="1531"/>
      <c r="AR3159" s="1531"/>
      <c r="AS3159" s="1531"/>
    </row>
    <row r="3160" spans="1:45" s="1136" customFormat="1" ht="16.5" thickBot="1" x14ac:dyDescent="0.3">
      <c r="A3160" s="1420"/>
      <c r="B3160" s="1443"/>
      <c r="C3160" s="1521"/>
      <c r="D3160" s="1562"/>
      <c r="E3160" s="1562"/>
      <c r="F3160" s="1562"/>
      <c r="G3160" s="1562"/>
      <c r="H3160" s="1531"/>
      <c r="I3160" s="1531"/>
      <c r="J3160" s="1531"/>
      <c r="K3160" s="1531"/>
      <c r="L3160" s="1531"/>
      <c r="M3160" s="1531"/>
      <c r="N3160" s="1531"/>
      <c r="O3160" s="1531"/>
      <c r="P3160" s="1531"/>
      <c r="Q3160" s="1531"/>
      <c r="R3160" s="1531"/>
      <c r="S3160" s="1531"/>
      <c r="T3160" s="1531"/>
      <c r="U3160" s="1531"/>
      <c r="V3160" s="1531"/>
      <c r="W3160" s="1531"/>
      <c r="X3160" s="1531"/>
      <c r="Y3160" s="1531"/>
      <c r="Z3160" s="1531"/>
      <c r="AA3160" s="1531"/>
      <c r="AB3160" s="1531"/>
      <c r="AC3160" s="1531"/>
      <c r="AD3160" s="1531"/>
      <c r="AE3160" s="1531"/>
      <c r="AF3160" s="1531"/>
      <c r="AG3160" s="1531"/>
      <c r="AH3160" s="1531"/>
      <c r="AI3160" s="1531"/>
      <c r="AJ3160" s="1531"/>
      <c r="AK3160" s="1531"/>
      <c r="AL3160" s="1531"/>
      <c r="AM3160" s="1531"/>
      <c r="AN3160" s="1531"/>
      <c r="AO3160" s="1531"/>
      <c r="AP3160" s="1531"/>
      <c r="AQ3160" s="1531"/>
      <c r="AR3160" s="1531"/>
      <c r="AS3160" s="1531"/>
    </row>
    <row r="3161" spans="1:45" s="1136" customFormat="1" ht="18" customHeight="1" thickBot="1" x14ac:dyDescent="0.3">
      <c r="A3161" s="1537" t="s">
        <v>20</v>
      </c>
      <c r="B3161" s="1538"/>
      <c r="C3161" s="1514"/>
      <c r="D3161" s="1589"/>
      <c r="E3161" s="1589"/>
      <c r="F3161" s="1589"/>
      <c r="G3161" s="1589"/>
      <c r="H3161" s="1531"/>
      <c r="I3161" s="1531"/>
      <c r="J3161" s="1531"/>
      <c r="K3161" s="1531"/>
      <c r="L3161" s="1531"/>
      <c r="M3161" s="1531"/>
      <c r="N3161" s="1531"/>
      <c r="O3161" s="1531"/>
      <c r="P3161" s="1531"/>
      <c r="Q3161" s="1531"/>
      <c r="R3161" s="1531"/>
      <c r="S3161" s="1531"/>
      <c r="T3161" s="1531"/>
      <c r="U3161" s="1531"/>
      <c r="V3161" s="1531"/>
      <c r="W3161" s="1531"/>
      <c r="X3161" s="1531"/>
      <c r="Y3161" s="1531"/>
      <c r="Z3161" s="1531"/>
      <c r="AA3161" s="1531"/>
      <c r="AB3161" s="1531"/>
      <c r="AC3161" s="1531"/>
      <c r="AD3161" s="1531"/>
      <c r="AE3161" s="1531"/>
      <c r="AF3161" s="1531"/>
      <c r="AG3161" s="1531"/>
      <c r="AH3161" s="1531"/>
      <c r="AI3161" s="1531"/>
      <c r="AJ3161" s="1531"/>
      <c r="AK3161" s="1531"/>
      <c r="AL3161" s="1531"/>
      <c r="AM3161" s="1531"/>
      <c r="AN3161" s="1531"/>
      <c r="AO3161" s="1531"/>
      <c r="AP3161" s="1531"/>
      <c r="AQ3161" s="1531"/>
      <c r="AR3161" s="1531"/>
      <c r="AS3161" s="1531"/>
    </row>
    <row r="3162" spans="1:45" s="1136" customFormat="1" ht="31.5" x14ac:dyDescent="0.25">
      <c r="A3162" s="1539" t="s">
        <v>21</v>
      </c>
      <c r="B3162" s="1424" t="e">
        <f>B3144</f>
        <v>#VALUE!</v>
      </c>
      <c r="C3162" s="1429"/>
      <c r="D3162" s="1630"/>
      <c r="E3162" s="1630"/>
      <c r="F3162" s="1630"/>
      <c r="G3162" s="1630"/>
      <c r="H3162" s="1531"/>
      <c r="I3162" s="1531"/>
      <c r="J3162" s="1531"/>
      <c r="K3162" s="1531"/>
      <c r="L3162" s="1531"/>
      <c r="M3162" s="1531"/>
      <c r="N3162" s="1531"/>
      <c r="O3162" s="1531"/>
      <c r="P3162" s="1531"/>
      <c r="Q3162" s="1531"/>
      <c r="R3162" s="1531"/>
      <c r="S3162" s="1531"/>
      <c r="T3162" s="1531"/>
      <c r="U3162" s="1531"/>
      <c r="V3162" s="1531"/>
      <c r="W3162" s="1531"/>
      <c r="X3162" s="1531"/>
      <c r="Y3162" s="1531"/>
      <c r="Z3162" s="1531"/>
      <c r="AA3162" s="1531"/>
      <c r="AB3162" s="1531"/>
      <c r="AC3162" s="1531"/>
      <c r="AD3162" s="1531"/>
      <c r="AE3162" s="1531"/>
      <c r="AF3162" s="1531"/>
      <c r="AG3162" s="1531"/>
      <c r="AH3162" s="1531"/>
      <c r="AI3162" s="1531"/>
      <c r="AJ3162" s="1531"/>
      <c r="AK3162" s="1531"/>
      <c r="AL3162" s="1531"/>
      <c r="AM3162" s="1531"/>
      <c r="AN3162" s="1531"/>
      <c r="AO3162" s="1531"/>
      <c r="AP3162" s="1531"/>
      <c r="AQ3162" s="1531"/>
      <c r="AR3162" s="1531"/>
      <c r="AS3162" s="1531"/>
    </row>
    <row r="3163" spans="1:45" s="1136" customFormat="1" ht="15.75" x14ac:dyDescent="0.25">
      <c r="A3163" s="1519" t="s">
        <v>1536</v>
      </c>
      <c r="B3163" s="1451"/>
      <c r="C3163" s="1434"/>
      <c r="D3163" s="1630"/>
      <c r="E3163" s="1630"/>
      <c r="F3163" s="1630"/>
      <c r="G3163" s="1630"/>
      <c r="H3163" s="1531"/>
      <c r="I3163" s="1531"/>
      <c r="J3163" s="1531"/>
      <c r="K3163" s="1531"/>
      <c r="L3163" s="1531"/>
      <c r="M3163" s="1531"/>
      <c r="N3163" s="1531"/>
      <c r="O3163" s="1531"/>
      <c r="P3163" s="1531"/>
      <c r="Q3163" s="1531"/>
      <c r="R3163" s="1531"/>
      <c r="S3163" s="1531"/>
      <c r="T3163" s="1531"/>
      <c r="U3163" s="1531"/>
      <c r="V3163" s="1531"/>
      <c r="W3163" s="1531"/>
      <c r="X3163" s="1531"/>
      <c r="Y3163" s="1531"/>
      <c r="Z3163" s="1531"/>
      <c r="AA3163" s="1531"/>
      <c r="AB3163" s="1531"/>
      <c r="AC3163" s="1531"/>
      <c r="AD3163" s="1531"/>
      <c r="AE3163" s="1531"/>
      <c r="AF3163" s="1531"/>
      <c r="AG3163" s="1531"/>
      <c r="AH3163" s="1531"/>
      <c r="AI3163" s="1531"/>
      <c r="AJ3163" s="1531"/>
      <c r="AK3163" s="1531"/>
      <c r="AL3163" s="1531"/>
      <c r="AM3163" s="1531"/>
      <c r="AN3163" s="1531"/>
      <c r="AO3163" s="1531"/>
      <c r="AP3163" s="1531"/>
      <c r="AQ3163" s="1531"/>
      <c r="AR3163" s="1531"/>
      <c r="AS3163" s="1531"/>
    </row>
    <row r="3164" spans="1:45" s="1136" customFormat="1" ht="15.75" x14ac:dyDescent="0.25">
      <c r="A3164" s="1519" t="s">
        <v>5479</v>
      </c>
      <c r="B3164" s="1443" t="e">
        <f>B2723</f>
        <v>#VALUE!</v>
      </c>
      <c r="C3164" s="1437"/>
      <c r="D3164" s="1630"/>
      <c r="E3164" s="1630"/>
      <c r="F3164" s="1630"/>
      <c r="G3164" s="1630"/>
      <c r="H3164" s="1531"/>
      <c r="I3164" s="1531"/>
      <c r="J3164" s="1531"/>
      <c r="K3164" s="1531"/>
      <c r="L3164" s="1531"/>
      <c r="M3164" s="1531"/>
      <c r="N3164" s="1531"/>
      <c r="O3164" s="1531"/>
      <c r="P3164" s="1531"/>
      <c r="Q3164" s="1531"/>
      <c r="R3164" s="1531"/>
      <c r="S3164" s="1531"/>
      <c r="T3164" s="1531"/>
      <c r="U3164" s="1531"/>
      <c r="V3164" s="1531"/>
      <c r="W3164" s="1531"/>
      <c r="X3164" s="1531"/>
      <c r="Y3164" s="1531"/>
      <c r="Z3164" s="1531"/>
      <c r="AA3164" s="1531"/>
      <c r="AB3164" s="1531"/>
      <c r="AC3164" s="1531"/>
      <c r="AD3164" s="1531"/>
      <c r="AE3164" s="1531"/>
      <c r="AF3164" s="1531"/>
      <c r="AG3164" s="1531"/>
      <c r="AH3164" s="1531"/>
      <c r="AI3164" s="1531"/>
      <c r="AJ3164" s="1531"/>
      <c r="AK3164" s="1531"/>
      <c r="AL3164" s="1531"/>
      <c r="AM3164" s="1531"/>
      <c r="AN3164" s="1531"/>
      <c r="AO3164" s="1531"/>
      <c r="AP3164" s="1531"/>
      <c r="AQ3164" s="1531"/>
      <c r="AR3164" s="1531"/>
      <c r="AS3164" s="1531"/>
    </row>
    <row r="3165" spans="1:45" s="1136" customFormat="1" ht="15.75" x14ac:dyDescent="0.25">
      <c r="A3165" s="1519" t="s">
        <v>1537</v>
      </c>
      <c r="B3165" s="1441" t="e">
        <f>B2724</f>
        <v>#VALUE!</v>
      </c>
      <c r="C3165" s="1434"/>
      <c r="D3165" s="1630"/>
      <c r="E3165" s="1630"/>
      <c r="F3165" s="1630"/>
      <c r="G3165" s="1630"/>
      <c r="H3165" s="1531"/>
      <c r="I3165" s="1531"/>
      <c r="J3165" s="1531"/>
      <c r="K3165" s="1531"/>
      <c r="L3165" s="1531"/>
      <c r="M3165" s="1531"/>
      <c r="N3165" s="1531"/>
      <c r="O3165" s="1531"/>
      <c r="P3165" s="1531"/>
      <c r="Q3165" s="1531"/>
      <c r="R3165" s="1531"/>
      <c r="S3165" s="1531"/>
      <c r="T3165" s="1531"/>
      <c r="U3165" s="1531"/>
      <c r="V3165" s="1531"/>
      <c r="W3165" s="1531"/>
      <c r="X3165" s="1531"/>
      <c r="Y3165" s="1531"/>
      <c r="Z3165" s="1531"/>
      <c r="AA3165" s="1531"/>
      <c r="AB3165" s="1531"/>
      <c r="AC3165" s="1531"/>
      <c r="AD3165" s="1531"/>
      <c r="AE3165" s="1531"/>
      <c r="AF3165" s="1531"/>
      <c r="AG3165" s="1531"/>
      <c r="AH3165" s="1531"/>
      <c r="AI3165" s="1531"/>
      <c r="AJ3165" s="1531"/>
      <c r="AK3165" s="1531"/>
      <c r="AL3165" s="1531"/>
      <c r="AM3165" s="1531"/>
      <c r="AN3165" s="1531"/>
      <c r="AO3165" s="1531"/>
      <c r="AP3165" s="1531"/>
      <c r="AQ3165" s="1531"/>
      <c r="AR3165" s="1531"/>
      <c r="AS3165" s="1531"/>
    </row>
    <row r="3166" spans="1:45" s="1136" customFormat="1" ht="15.75" x14ac:dyDescent="0.25">
      <c r="A3166" s="1519" t="s">
        <v>1538</v>
      </c>
      <c r="B3166" s="1439">
        <f>B2725</f>
        <v>224</v>
      </c>
      <c r="C3166" s="1432"/>
      <c r="D3166" s="1630"/>
      <c r="E3166" s="1630"/>
      <c r="F3166" s="1630"/>
      <c r="G3166" s="1630"/>
      <c r="H3166" s="1531"/>
      <c r="I3166" s="1531"/>
      <c r="J3166" s="1531"/>
      <c r="K3166" s="1531"/>
      <c r="L3166" s="1531"/>
      <c r="M3166" s="1531"/>
      <c r="N3166" s="1531"/>
      <c r="O3166" s="1531"/>
      <c r="P3166" s="1531"/>
      <c r="Q3166" s="1531"/>
      <c r="R3166" s="1531"/>
      <c r="S3166" s="1531"/>
      <c r="T3166" s="1531"/>
      <c r="U3166" s="1531"/>
      <c r="V3166" s="1531"/>
      <c r="W3166" s="1531"/>
      <c r="X3166" s="1531"/>
      <c r="Y3166" s="1531"/>
      <c r="Z3166" s="1531"/>
      <c r="AA3166" s="1531"/>
      <c r="AB3166" s="1531"/>
      <c r="AC3166" s="1531"/>
      <c r="AD3166" s="1531"/>
      <c r="AE3166" s="1531"/>
      <c r="AF3166" s="1531"/>
      <c r="AG3166" s="1531"/>
      <c r="AH3166" s="1531"/>
      <c r="AI3166" s="1531"/>
      <c r="AJ3166" s="1531"/>
      <c r="AK3166" s="1531"/>
      <c r="AL3166" s="1531"/>
      <c r="AM3166" s="1531"/>
      <c r="AN3166" s="1531"/>
      <c r="AO3166" s="1531"/>
      <c r="AP3166" s="1531"/>
      <c r="AQ3166" s="1531"/>
      <c r="AR3166" s="1531"/>
      <c r="AS3166" s="1531"/>
    </row>
    <row r="3167" spans="1:45" s="1136" customFormat="1" ht="31.5" x14ac:dyDescent="0.25">
      <c r="A3167" s="1542" t="s">
        <v>3055</v>
      </c>
      <c r="B3167" s="1443"/>
      <c r="C3167" s="1437"/>
      <c r="D3167" s="1521"/>
      <c r="E3167" s="1521"/>
      <c r="F3167" s="1521"/>
      <c r="G3167" s="1521"/>
      <c r="H3167" s="1531"/>
      <c r="I3167" s="1531"/>
      <c r="J3167" s="1531"/>
      <c r="K3167" s="1531"/>
      <c r="L3167" s="1531"/>
      <c r="M3167" s="1531"/>
      <c r="N3167" s="1531"/>
      <c r="O3167" s="1531"/>
      <c r="P3167" s="1531"/>
      <c r="Q3167" s="1531"/>
      <c r="R3167" s="1531"/>
      <c r="S3167" s="1531"/>
      <c r="T3167" s="1531"/>
      <c r="U3167" s="1531"/>
      <c r="V3167" s="1531"/>
      <c r="W3167" s="1531"/>
      <c r="X3167" s="1531"/>
      <c r="Y3167" s="1531"/>
      <c r="Z3167" s="1531"/>
      <c r="AA3167" s="1531"/>
      <c r="AB3167" s="1531"/>
      <c r="AC3167" s="1531"/>
      <c r="AD3167" s="1531"/>
      <c r="AE3167" s="1531"/>
      <c r="AF3167" s="1531"/>
      <c r="AG3167" s="1531"/>
      <c r="AH3167" s="1531"/>
      <c r="AI3167" s="1531"/>
      <c r="AJ3167" s="1531"/>
      <c r="AK3167" s="1531"/>
      <c r="AL3167" s="1531"/>
      <c r="AM3167" s="1531"/>
      <c r="AN3167" s="1531"/>
      <c r="AO3167" s="1531"/>
      <c r="AP3167" s="1531"/>
      <c r="AQ3167" s="1531"/>
      <c r="AR3167" s="1531"/>
      <c r="AS3167" s="1531"/>
    </row>
    <row r="3168" spans="1:45" s="1136" customFormat="1" ht="15.75" x14ac:dyDescent="0.25">
      <c r="A3168" s="1519" t="s">
        <v>3057</v>
      </c>
      <c r="B3168" s="1443">
        <f>B2727</f>
        <v>1</v>
      </c>
      <c r="C3168" s="1437"/>
      <c r="D3168" s="1514"/>
      <c r="E3168" s="1514"/>
      <c r="F3168" s="1514"/>
      <c r="G3168" s="1514"/>
      <c r="H3168" s="1531"/>
      <c r="I3168" s="1531"/>
      <c r="J3168" s="1531"/>
      <c r="K3168" s="1531"/>
      <c r="L3168" s="1531"/>
      <c r="M3168" s="1531"/>
      <c r="N3168" s="1531"/>
      <c r="O3168" s="1531"/>
      <c r="P3168" s="1531"/>
      <c r="Q3168" s="1531"/>
      <c r="R3168" s="1531"/>
      <c r="S3168" s="1531"/>
      <c r="T3168" s="1531"/>
      <c r="U3168" s="1531"/>
      <c r="V3168" s="1531"/>
      <c r="W3168" s="1531"/>
      <c r="X3168" s="1531"/>
      <c r="Y3168" s="1531"/>
      <c r="Z3168" s="1531"/>
      <c r="AA3168" s="1531"/>
      <c r="AB3168" s="1531"/>
      <c r="AC3168" s="1531"/>
      <c r="AD3168" s="1531"/>
      <c r="AE3168" s="1531"/>
      <c r="AF3168" s="1531"/>
      <c r="AG3168" s="1531"/>
      <c r="AH3168" s="1531"/>
      <c r="AI3168" s="1531"/>
      <c r="AJ3168" s="1531"/>
      <c r="AK3168" s="1531"/>
      <c r="AL3168" s="1531"/>
      <c r="AM3168" s="1531"/>
      <c r="AN3168" s="1531"/>
      <c r="AO3168" s="1531"/>
      <c r="AP3168" s="1531"/>
      <c r="AQ3168" s="1531"/>
      <c r="AR3168" s="1531"/>
      <c r="AS3168" s="1531"/>
    </row>
    <row r="3169" spans="1:45" s="1136" customFormat="1" ht="47.25" x14ac:dyDescent="0.25">
      <c r="A3169" s="1530" t="s">
        <v>1539</v>
      </c>
      <c r="B3169" s="1443" t="e">
        <f>B2728</f>
        <v>#VALUE!</v>
      </c>
      <c r="C3169" s="1437"/>
      <c r="D3169" s="1429"/>
      <c r="E3169" s="1429"/>
      <c r="F3169" s="1429"/>
      <c r="G3169" s="1429"/>
      <c r="H3169" s="1531"/>
      <c r="I3169" s="1531"/>
      <c r="J3169" s="1531"/>
      <c r="K3169" s="1531"/>
      <c r="L3169" s="1531"/>
      <c r="M3169" s="1531"/>
      <c r="N3169" s="1531"/>
      <c r="O3169" s="1531"/>
      <c r="P3169" s="1531"/>
      <c r="Q3169" s="1531"/>
      <c r="R3169" s="1531"/>
      <c r="S3169" s="1531"/>
      <c r="T3169" s="1531"/>
      <c r="U3169" s="1531"/>
      <c r="V3169" s="1531"/>
      <c r="W3169" s="1531"/>
      <c r="X3169" s="1531"/>
      <c r="Y3169" s="1531"/>
      <c r="Z3169" s="1531"/>
      <c r="AA3169" s="1531"/>
      <c r="AB3169" s="1531"/>
      <c r="AC3169" s="1531"/>
      <c r="AD3169" s="1531"/>
      <c r="AE3169" s="1531"/>
      <c r="AF3169" s="1531"/>
      <c r="AG3169" s="1531"/>
      <c r="AH3169" s="1531"/>
      <c r="AI3169" s="1531"/>
      <c r="AJ3169" s="1531"/>
      <c r="AK3169" s="1531"/>
      <c r="AL3169" s="1531"/>
      <c r="AM3169" s="1531"/>
      <c r="AN3169" s="1531"/>
      <c r="AO3169" s="1531"/>
      <c r="AP3169" s="1531"/>
      <c r="AQ3169" s="1531"/>
      <c r="AR3169" s="1531"/>
      <c r="AS3169" s="1531"/>
    </row>
    <row r="3170" spans="1:45" s="1136" customFormat="1" ht="15.75" x14ac:dyDescent="0.25">
      <c r="A3170" s="1519" t="s">
        <v>3059</v>
      </c>
      <c r="B3170" s="1439" t="e">
        <f>B2727*B2728*B2383</f>
        <v>#VALUE!</v>
      </c>
      <c r="C3170" s="1432"/>
      <c r="D3170" s="1434"/>
      <c r="E3170" s="1434"/>
      <c r="F3170" s="1434"/>
      <c r="G3170" s="1434"/>
      <c r="H3170" s="1531"/>
      <c r="I3170" s="1531"/>
      <c r="J3170" s="1531"/>
      <c r="K3170" s="1531"/>
      <c r="L3170" s="1531"/>
      <c r="M3170" s="1531"/>
      <c r="N3170" s="1531"/>
      <c r="O3170" s="1531"/>
      <c r="P3170" s="1531"/>
      <c r="Q3170" s="1531"/>
      <c r="R3170" s="1531"/>
      <c r="S3170" s="1531"/>
      <c r="T3170" s="1531"/>
      <c r="U3170" s="1531"/>
      <c r="V3170" s="1531"/>
      <c r="W3170" s="1531"/>
      <c r="X3170" s="1531"/>
      <c r="Y3170" s="1531"/>
      <c r="Z3170" s="1531"/>
      <c r="AA3170" s="1531"/>
      <c r="AB3170" s="1531"/>
      <c r="AC3170" s="1531"/>
      <c r="AD3170" s="1531"/>
      <c r="AE3170" s="1531"/>
      <c r="AF3170" s="1531"/>
      <c r="AG3170" s="1531"/>
      <c r="AH3170" s="1531"/>
      <c r="AI3170" s="1531"/>
      <c r="AJ3170" s="1531"/>
      <c r="AK3170" s="1531"/>
      <c r="AL3170" s="1531"/>
      <c r="AM3170" s="1531"/>
      <c r="AN3170" s="1531"/>
      <c r="AO3170" s="1531"/>
      <c r="AP3170" s="1531"/>
      <c r="AQ3170" s="1531"/>
      <c r="AR3170" s="1531"/>
      <c r="AS3170" s="1531"/>
    </row>
    <row r="3171" spans="1:45" s="1136" customFormat="1" ht="15.75" x14ac:dyDescent="0.25">
      <c r="A3171" s="1519" t="s">
        <v>3412</v>
      </c>
      <c r="B3171" s="1443" t="e">
        <f>B3166*B3170</f>
        <v>#VALUE!</v>
      </c>
      <c r="C3171" s="1437"/>
      <c r="D3171" s="1437"/>
      <c r="E3171" s="1437"/>
      <c r="F3171" s="1437"/>
      <c r="G3171" s="1437"/>
      <c r="H3171" s="1531"/>
      <c r="I3171" s="1531"/>
      <c r="J3171" s="1531"/>
      <c r="K3171" s="1531"/>
      <c r="L3171" s="1531"/>
      <c r="M3171" s="1531"/>
      <c r="N3171" s="1531"/>
      <c r="O3171" s="1531"/>
      <c r="P3171" s="1531"/>
      <c r="Q3171" s="1531"/>
      <c r="R3171" s="1531"/>
      <c r="S3171" s="1531"/>
      <c r="T3171" s="1531"/>
      <c r="U3171" s="1531"/>
      <c r="V3171" s="1531"/>
      <c r="W3171" s="1531"/>
      <c r="X3171" s="1531"/>
      <c r="Y3171" s="1531"/>
      <c r="Z3171" s="1531"/>
      <c r="AA3171" s="1531"/>
      <c r="AB3171" s="1531"/>
      <c r="AC3171" s="1531"/>
      <c r="AD3171" s="1531"/>
      <c r="AE3171" s="1531"/>
      <c r="AF3171" s="1531"/>
      <c r="AG3171" s="1531"/>
      <c r="AH3171" s="1531"/>
      <c r="AI3171" s="1531"/>
      <c r="AJ3171" s="1531"/>
      <c r="AK3171" s="1531"/>
      <c r="AL3171" s="1531"/>
      <c r="AM3171" s="1531"/>
      <c r="AN3171" s="1531"/>
      <c r="AO3171" s="1531"/>
      <c r="AP3171" s="1531"/>
      <c r="AQ3171" s="1531"/>
      <c r="AR3171" s="1531"/>
      <c r="AS3171" s="1531"/>
    </row>
    <row r="3172" spans="1:45" s="1136" customFormat="1" ht="32.25" thickBot="1" x14ac:dyDescent="0.3">
      <c r="A3172" s="1543" t="s">
        <v>1540</v>
      </c>
      <c r="B3172" s="1631" t="e">
        <f>B3162/B3171</f>
        <v>#VALUE!</v>
      </c>
      <c r="C3172" s="1632"/>
      <c r="D3172" s="1434"/>
      <c r="E3172" s="1434"/>
      <c r="F3172" s="1434"/>
      <c r="G3172" s="1434"/>
      <c r="H3172" s="1531"/>
      <c r="I3172" s="1531"/>
      <c r="J3172" s="1531"/>
      <c r="K3172" s="1531"/>
      <c r="L3172" s="1531"/>
      <c r="M3172" s="1531"/>
      <c r="N3172" s="1531"/>
      <c r="O3172" s="1531"/>
      <c r="P3172" s="1531"/>
      <c r="Q3172" s="1531"/>
      <c r="R3172" s="1531"/>
      <c r="S3172" s="1531"/>
      <c r="T3172" s="1531"/>
      <c r="U3172" s="1531"/>
      <c r="V3172" s="1531"/>
      <c r="W3172" s="1531"/>
      <c r="X3172" s="1531"/>
      <c r="Y3172" s="1531"/>
      <c r="Z3172" s="1531"/>
      <c r="AA3172" s="1531"/>
      <c r="AB3172" s="1531"/>
      <c r="AC3172" s="1531"/>
      <c r="AD3172" s="1531"/>
      <c r="AE3172" s="1531"/>
      <c r="AF3172" s="1531"/>
      <c r="AG3172" s="1531"/>
      <c r="AH3172" s="1531"/>
      <c r="AI3172" s="1531"/>
      <c r="AJ3172" s="1531"/>
      <c r="AK3172" s="1531"/>
      <c r="AL3172" s="1531"/>
      <c r="AM3172" s="1531"/>
      <c r="AN3172" s="1531"/>
      <c r="AO3172" s="1531"/>
      <c r="AP3172" s="1531"/>
      <c r="AQ3172" s="1531"/>
      <c r="AR3172" s="1531"/>
      <c r="AS3172" s="1531"/>
    </row>
    <row r="3173" spans="1:45" s="1136" customFormat="1" ht="16.5" thickBot="1" x14ac:dyDescent="0.3">
      <c r="A3173" s="1544" t="s">
        <v>1541</v>
      </c>
      <c r="B3173" s="1545"/>
      <c r="C3173" s="1546"/>
      <c r="D3173" s="1432"/>
      <c r="E3173" s="1432"/>
      <c r="F3173" s="1432"/>
      <c r="G3173" s="1432"/>
      <c r="H3173" s="1531"/>
      <c r="I3173" s="1531"/>
      <c r="J3173" s="1531"/>
      <c r="K3173" s="1531"/>
      <c r="L3173" s="1531"/>
      <c r="M3173" s="1531"/>
      <c r="N3173" s="1531"/>
      <c r="O3173" s="1531"/>
      <c r="P3173" s="1531"/>
      <c r="Q3173" s="1531"/>
      <c r="R3173" s="1531"/>
      <c r="S3173" s="1531"/>
      <c r="T3173" s="1531"/>
      <c r="U3173" s="1531"/>
      <c r="V3173" s="1531"/>
      <c r="W3173" s="1531"/>
      <c r="X3173" s="1531"/>
      <c r="Y3173" s="1531"/>
      <c r="Z3173" s="1531"/>
      <c r="AA3173" s="1531"/>
      <c r="AB3173" s="1531"/>
      <c r="AC3173" s="1531"/>
      <c r="AD3173" s="1531"/>
      <c r="AE3173" s="1531"/>
      <c r="AF3173" s="1531"/>
      <c r="AG3173" s="1531"/>
      <c r="AH3173" s="1531"/>
      <c r="AI3173" s="1531"/>
      <c r="AJ3173" s="1531"/>
      <c r="AK3173" s="1531"/>
      <c r="AL3173" s="1531"/>
      <c r="AM3173" s="1531"/>
      <c r="AN3173" s="1531"/>
      <c r="AO3173" s="1531"/>
      <c r="AP3173" s="1531"/>
      <c r="AQ3173" s="1531"/>
      <c r="AR3173" s="1531"/>
      <c r="AS3173" s="1531"/>
    </row>
    <row r="3174" spans="1:45" s="1136" customFormat="1" ht="15.75" x14ac:dyDescent="0.25">
      <c r="A3174" s="1549" t="s">
        <v>1542</v>
      </c>
      <c r="B3174" s="1451">
        <f>B2734</f>
        <v>2</v>
      </c>
      <c r="C3174" s="1434"/>
      <c r="D3174" s="1350"/>
      <c r="E3174" s="1350"/>
      <c r="F3174" s="1350"/>
      <c r="G3174" s="1350"/>
      <c r="H3174" s="1531"/>
      <c r="I3174" s="1531"/>
      <c r="J3174" s="1531"/>
      <c r="K3174" s="1531"/>
      <c r="L3174" s="1531"/>
      <c r="M3174" s="1531"/>
      <c r="N3174" s="1531"/>
      <c r="O3174" s="1531"/>
      <c r="P3174" s="1531"/>
      <c r="Q3174" s="1531"/>
      <c r="R3174" s="1531"/>
      <c r="S3174" s="1531"/>
      <c r="T3174" s="1531"/>
      <c r="U3174" s="1531"/>
      <c r="V3174" s="1531"/>
      <c r="W3174" s="1531"/>
      <c r="X3174" s="1531"/>
      <c r="Y3174" s="1531"/>
      <c r="Z3174" s="1531"/>
      <c r="AA3174" s="1531"/>
      <c r="AB3174" s="1531"/>
      <c r="AC3174" s="1531"/>
      <c r="AD3174" s="1531"/>
      <c r="AE3174" s="1531"/>
      <c r="AF3174" s="1531"/>
      <c r="AG3174" s="1531"/>
      <c r="AH3174" s="1531"/>
      <c r="AI3174" s="1531"/>
      <c r="AJ3174" s="1531"/>
      <c r="AK3174" s="1531"/>
      <c r="AL3174" s="1531"/>
      <c r="AM3174" s="1531"/>
      <c r="AN3174" s="1531"/>
      <c r="AO3174" s="1531"/>
      <c r="AP3174" s="1531"/>
      <c r="AQ3174" s="1531"/>
      <c r="AR3174" s="1531"/>
      <c r="AS3174" s="1531"/>
    </row>
    <row r="3175" spans="1:45" s="1136" customFormat="1" ht="15.75" x14ac:dyDescent="0.25">
      <c r="A3175" s="1549" t="s">
        <v>1543</v>
      </c>
      <c r="B3175" s="1441">
        <f>B2735</f>
        <v>3</v>
      </c>
      <c r="C3175" s="1596"/>
      <c r="D3175" s="1437"/>
      <c r="E3175" s="1437"/>
      <c r="F3175" s="1437"/>
      <c r="G3175" s="1437"/>
      <c r="H3175" s="1531"/>
      <c r="I3175" s="1531"/>
      <c r="J3175" s="1531"/>
      <c r="K3175" s="1531"/>
      <c r="L3175" s="1531"/>
      <c r="M3175" s="1531"/>
      <c r="N3175" s="1531"/>
      <c r="O3175" s="1531"/>
      <c r="P3175" s="1531"/>
      <c r="Q3175" s="1531"/>
      <c r="R3175" s="1531"/>
      <c r="S3175" s="1531"/>
      <c r="T3175" s="1531"/>
      <c r="U3175" s="1531"/>
      <c r="V3175" s="1531"/>
      <c r="W3175" s="1531"/>
      <c r="X3175" s="1531"/>
      <c r="Y3175" s="1531"/>
      <c r="Z3175" s="1531"/>
      <c r="AA3175" s="1531"/>
      <c r="AB3175" s="1531"/>
      <c r="AC3175" s="1531"/>
      <c r="AD3175" s="1531"/>
      <c r="AE3175" s="1531"/>
      <c r="AF3175" s="1531"/>
      <c r="AG3175" s="1531"/>
      <c r="AH3175" s="1531"/>
      <c r="AI3175" s="1531"/>
      <c r="AJ3175" s="1531"/>
      <c r="AK3175" s="1531"/>
      <c r="AL3175" s="1531"/>
      <c r="AM3175" s="1531"/>
      <c r="AN3175" s="1531"/>
      <c r="AO3175" s="1531"/>
      <c r="AP3175" s="1531"/>
      <c r="AQ3175" s="1531"/>
      <c r="AR3175" s="1531"/>
      <c r="AS3175" s="1531"/>
    </row>
    <row r="3176" spans="1:45" s="1136" customFormat="1" ht="16.5" thickBot="1" x14ac:dyDescent="0.3">
      <c r="A3176" s="1552" t="s">
        <v>1538</v>
      </c>
      <c r="B3176" s="1443">
        <f>B2736</f>
        <v>369</v>
      </c>
      <c r="C3176" s="1521"/>
      <c r="D3176" s="1437"/>
      <c r="E3176" s="1437"/>
      <c r="F3176" s="1437"/>
      <c r="G3176" s="1437"/>
      <c r="H3176" s="1531"/>
      <c r="I3176" s="1531"/>
      <c r="J3176" s="1531"/>
      <c r="K3176" s="1531"/>
      <c r="L3176" s="1531"/>
      <c r="M3176" s="1531"/>
      <c r="N3176" s="1531"/>
      <c r="O3176" s="1531"/>
      <c r="P3176" s="1531"/>
      <c r="Q3176" s="1531"/>
      <c r="R3176" s="1531"/>
      <c r="S3176" s="1531"/>
      <c r="T3176" s="1531"/>
      <c r="U3176" s="1531"/>
      <c r="V3176" s="1531"/>
      <c r="W3176" s="1531"/>
      <c r="X3176" s="1531"/>
      <c r="Y3176" s="1531"/>
      <c r="Z3176" s="1531"/>
      <c r="AA3176" s="1531"/>
      <c r="AB3176" s="1531"/>
      <c r="AC3176" s="1531"/>
      <c r="AD3176" s="1531"/>
      <c r="AE3176" s="1531"/>
      <c r="AF3176" s="1531"/>
      <c r="AG3176" s="1531"/>
      <c r="AH3176" s="1531"/>
      <c r="AI3176" s="1531"/>
      <c r="AJ3176" s="1531"/>
      <c r="AK3176" s="1531"/>
      <c r="AL3176" s="1531"/>
      <c r="AM3176" s="1531"/>
      <c r="AN3176" s="1531"/>
      <c r="AO3176" s="1531"/>
      <c r="AP3176" s="1531"/>
      <c r="AQ3176" s="1531"/>
      <c r="AR3176" s="1531"/>
      <c r="AS3176" s="1531"/>
    </row>
    <row r="3177" spans="1:45" s="1136" customFormat="1" ht="16.5" thickBot="1" x14ac:dyDescent="0.3">
      <c r="A3177" s="1555" t="s">
        <v>3055</v>
      </c>
      <c r="B3177" s="1450"/>
      <c r="C3177" s="1617"/>
      <c r="D3177" s="1432"/>
      <c r="E3177" s="1432"/>
      <c r="F3177" s="1432"/>
      <c r="G3177" s="1432"/>
      <c r="H3177" s="1531"/>
      <c r="I3177" s="1531"/>
      <c r="J3177" s="1531"/>
      <c r="K3177" s="1531"/>
      <c r="L3177" s="1531"/>
      <c r="M3177" s="1531"/>
      <c r="N3177" s="1531"/>
      <c r="O3177" s="1531"/>
      <c r="P3177" s="1531"/>
      <c r="Q3177" s="1531"/>
      <c r="R3177" s="1531"/>
      <c r="S3177" s="1531"/>
      <c r="T3177" s="1531"/>
      <c r="U3177" s="1531"/>
      <c r="V3177" s="1531"/>
      <c r="W3177" s="1531"/>
      <c r="X3177" s="1531"/>
      <c r="Y3177" s="1531"/>
      <c r="Z3177" s="1531"/>
      <c r="AA3177" s="1531"/>
      <c r="AB3177" s="1531"/>
      <c r="AC3177" s="1531"/>
      <c r="AD3177" s="1531"/>
      <c r="AE3177" s="1531"/>
      <c r="AF3177" s="1531"/>
      <c r="AG3177" s="1531"/>
      <c r="AH3177" s="1531"/>
      <c r="AI3177" s="1531"/>
      <c r="AJ3177" s="1531"/>
      <c r="AK3177" s="1531"/>
      <c r="AL3177" s="1531"/>
      <c r="AM3177" s="1531"/>
      <c r="AN3177" s="1531"/>
      <c r="AO3177" s="1531"/>
      <c r="AP3177" s="1531"/>
      <c r="AQ3177" s="1531"/>
      <c r="AR3177" s="1531"/>
      <c r="AS3177" s="1531"/>
    </row>
    <row r="3178" spans="1:45" s="1136" customFormat="1" ht="15.75" x14ac:dyDescent="0.25">
      <c r="A3178" s="1558" t="s">
        <v>1544</v>
      </c>
      <c r="B3178" s="1439" t="e">
        <f>B2738</f>
        <v>#VALUE!</v>
      </c>
      <c r="C3178" s="1562"/>
      <c r="D3178" s="1437"/>
      <c r="E3178" s="1437"/>
      <c r="F3178" s="1437"/>
      <c r="G3178" s="1437"/>
      <c r="H3178" s="1531"/>
      <c r="I3178" s="1531"/>
      <c r="J3178" s="1531"/>
      <c r="K3178" s="1531"/>
      <c r="L3178" s="1531"/>
      <c r="M3178" s="1531"/>
      <c r="N3178" s="1531"/>
      <c r="O3178" s="1531"/>
      <c r="P3178" s="1531"/>
      <c r="Q3178" s="1531"/>
      <c r="R3178" s="1531"/>
      <c r="S3178" s="1531"/>
      <c r="T3178" s="1531"/>
      <c r="U3178" s="1531"/>
      <c r="V3178" s="1531"/>
      <c r="W3178" s="1531"/>
      <c r="X3178" s="1531"/>
      <c r="Y3178" s="1531"/>
      <c r="Z3178" s="1531"/>
      <c r="AA3178" s="1531"/>
      <c r="AB3178" s="1531"/>
      <c r="AC3178" s="1531"/>
      <c r="AD3178" s="1531"/>
      <c r="AE3178" s="1531"/>
      <c r="AF3178" s="1531"/>
      <c r="AG3178" s="1531"/>
      <c r="AH3178" s="1531"/>
      <c r="AI3178" s="1531"/>
      <c r="AJ3178" s="1531"/>
      <c r="AK3178" s="1531"/>
      <c r="AL3178" s="1531"/>
      <c r="AM3178" s="1531"/>
      <c r="AN3178" s="1531"/>
      <c r="AO3178" s="1531"/>
      <c r="AP3178" s="1531"/>
      <c r="AQ3178" s="1531"/>
      <c r="AR3178" s="1531"/>
      <c r="AS3178" s="1531"/>
    </row>
    <row r="3179" spans="1:45" s="1136" customFormat="1" ht="20.25" customHeight="1" x14ac:dyDescent="0.25">
      <c r="A3179" s="1519" t="s">
        <v>3059</v>
      </c>
      <c r="B3179" s="1439" t="e">
        <f>B3178</f>
        <v>#VALUE!</v>
      </c>
      <c r="C3179" s="1562"/>
      <c r="D3179" s="1632"/>
      <c r="E3179" s="1632"/>
      <c r="F3179" s="1632"/>
      <c r="G3179" s="1632"/>
      <c r="H3179" s="1531"/>
      <c r="I3179" s="1531"/>
      <c r="J3179" s="1531"/>
      <c r="K3179" s="1531"/>
      <c r="L3179" s="1531"/>
      <c r="M3179" s="1531"/>
      <c r="N3179" s="1531"/>
      <c r="O3179" s="1531"/>
      <c r="P3179" s="1531"/>
      <c r="Q3179" s="1531"/>
      <c r="R3179" s="1531"/>
      <c r="S3179" s="1531"/>
      <c r="T3179" s="1531"/>
      <c r="U3179" s="1531"/>
      <c r="V3179" s="1531"/>
      <c r="W3179" s="1531"/>
      <c r="X3179" s="1531"/>
      <c r="Y3179" s="1531"/>
      <c r="Z3179" s="1531"/>
      <c r="AA3179" s="1531"/>
      <c r="AB3179" s="1531"/>
      <c r="AC3179" s="1531"/>
      <c r="AD3179" s="1531"/>
      <c r="AE3179" s="1531"/>
      <c r="AF3179" s="1531"/>
      <c r="AG3179" s="1531"/>
      <c r="AH3179" s="1531"/>
      <c r="AI3179" s="1531"/>
      <c r="AJ3179" s="1531"/>
      <c r="AK3179" s="1531"/>
      <c r="AL3179" s="1531"/>
      <c r="AM3179" s="1531"/>
      <c r="AN3179" s="1531"/>
      <c r="AO3179" s="1531"/>
      <c r="AP3179" s="1531"/>
      <c r="AQ3179" s="1531"/>
      <c r="AR3179" s="1531"/>
      <c r="AS3179" s="1531"/>
    </row>
    <row r="3180" spans="1:45" s="1136" customFormat="1" ht="15.75" x14ac:dyDescent="0.25">
      <c r="A3180" s="1519" t="s">
        <v>3412</v>
      </c>
      <c r="B3180" s="1443" t="e">
        <f>B3176*B3179</f>
        <v>#VALUE!</v>
      </c>
      <c r="C3180" s="1521"/>
      <c r="D3180" s="1546"/>
      <c r="E3180" s="1546"/>
      <c r="F3180" s="1546"/>
      <c r="G3180" s="1546"/>
      <c r="H3180" s="1531"/>
      <c r="I3180" s="1531"/>
      <c r="J3180" s="1531"/>
      <c r="K3180" s="1531"/>
      <c r="L3180" s="1531"/>
      <c r="M3180" s="1531"/>
      <c r="N3180" s="1531"/>
      <c r="O3180" s="1531"/>
      <c r="P3180" s="1531"/>
      <c r="Q3180" s="1531"/>
      <c r="R3180" s="1531"/>
      <c r="S3180" s="1531"/>
      <c r="T3180" s="1531"/>
      <c r="U3180" s="1531"/>
      <c r="V3180" s="1531"/>
      <c r="W3180" s="1531"/>
      <c r="X3180" s="1531"/>
      <c r="Y3180" s="1531"/>
      <c r="Z3180" s="1531"/>
      <c r="AA3180" s="1531"/>
      <c r="AB3180" s="1531"/>
      <c r="AC3180" s="1531"/>
      <c r="AD3180" s="1531"/>
      <c r="AE3180" s="1531"/>
      <c r="AF3180" s="1531"/>
      <c r="AG3180" s="1531"/>
      <c r="AH3180" s="1531"/>
      <c r="AI3180" s="1531"/>
      <c r="AJ3180" s="1531"/>
      <c r="AK3180" s="1531"/>
      <c r="AL3180" s="1531"/>
      <c r="AM3180" s="1531"/>
      <c r="AN3180" s="1531"/>
      <c r="AO3180" s="1531"/>
      <c r="AP3180" s="1531"/>
      <c r="AQ3180" s="1531"/>
      <c r="AR3180" s="1531"/>
      <c r="AS3180" s="1531"/>
    </row>
    <row r="3181" spans="1:45" s="1136" customFormat="1" ht="31.5" x14ac:dyDescent="0.25">
      <c r="A3181" s="1542" t="s">
        <v>3032</v>
      </c>
      <c r="B3181" s="1629" t="e">
        <f>B3144/B3180</f>
        <v>#VALUE!</v>
      </c>
      <c r="C3181" s="1630"/>
      <c r="D3181" s="1434"/>
      <c r="E3181" s="1434"/>
      <c r="F3181" s="1434"/>
      <c r="G3181" s="1434"/>
      <c r="H3181" s="1531"/>
      <c r="I3181" s="1531"/>
      <c r="J3181" s="1531"/>
      <c r="K3181" s="1531"/>
      <c r="L3181" s="1531"/>
      <c r="M3181" s="1531"/>
      <c r="N3181" s="1531"/>
      <c r="O3181" s="1531"/>
      <c r="P3181" s="1531"/>
      <c r="Q3181" s="1531"/>
      <c r="R3181" s="1531"/>
      <c r="S3181" s="1531"/>
      <c r="T3181" s="1531"/>
      <c r="U3181" s="1531"/>
      <c r="V3181" s="1531"/>
      <c r="W3181" s="1531"/>
      <c r="X3181" s="1531"/>
      <c r="Y3181" s="1531"/>
      <c r="Z3181" s="1531"/>
      <c r="AA3181" s="1531"/>
      <c r="AB3181" s="1531"/>
      <c r="AC3181" s="1531"/>
      <c r="AD3181" s="1531"/>
      <c r="AE3181" s="1531"/>
      <c r="AF3181" s="1531"/>
      <c r="AG3181" s="1531"/>
      <c r="AH3181" s="1531"/>
      <c r="AI3181" s="1531"/>
      <c r="AJ3181" s="1531"/>
      <c r="AK3181" s="1531"/>
      <c r="AL3181" s="1531"/>
      <c r="AM3181" s="1531"/>
      <c r="AN3181" s="1531"/>
      <c r="AO3181" s="1531"/>
      <c r="AP3181" s="1531"/>
      <c r="AQ3181" s="1531"/>
      <c r="AR3181" s="1531"/>
      <c r="AS3181" s="1531"/>
    </row>
    <row r="3182" spans="1:45" s="1136" customFormat="1" ht="47.25" x14ac:dyDescent="0.25">
      <c r="A3182" s="1559" t="s">
        <v>4409</v>
      </c>
      <c r="B3182" s="1633" t="e">
        <f>B3159+B3172+B3181</f>
        <v>#VALUE!</v>
      </c>
      <c r="C3182" s="1634"/>
      <c r="D3182" s="1596"/>
      <c r="E3182" s="1596"/>
      <c r="F3182" s="1596"/>
      <c r="G3182" s="1596"/>
      <c r="H3182" s="1531"/>
      <c r="I3182" s="1531"/>
      <c r="J3182" s="1531"/>
      <c r="K3182" s="1531"/>
      <c r="L3182" s="1531"/>
      <c r="M3182" s="1531"/>
      <c r="N3182" s="1531"/>
      <c r="O3182" s="1531"/>
      <c r="P3182" s="1531"/>
      <c r="Q3182" s="1531"/>
      <c r="R3182" s="1531"/>
      <c r="S3182" s="1531"/>
      <c r="T3182" s="1531"/>
      <c r="U3182" s="1531"/>
      <c r="V3182" s="1531"/>
      <c r="W3182" s="1531"/>
      <c r="X3182" s="1531"/>
      <c r="Y3182" s="1531"/>
      <c r="Z3182" s="1531"/>
      <c r="AA3182" s="1531"/>
      <c r="AB3182" s="1531"/>
      <c r="AC3182" s="1531"/>
      <c r="AD3182" s="1531"/>
      <c r="AE3182" s="1531"/>
      <c r="AF3182" s="1531"/>
      <c r="AG3182" s="1531"/>
      <c r="AH3182" s="1531"/>
      <c r="AI3182" s="1531"/>
      <c r="AJ3182" s="1531"/>
      <c r="AK3182" s="1531"/>
      <c r="AL3182" s="1531"/>
      <c r="AM3182" s="1531"/>
      <c r="AN3182" s="1531"/>
      <c r="AO3182" s="1531"/>
      <c r="AP3182" s="1531"/>
      <c r="AQ3182" s="1531"/>
      <c r="AR3182" s="1531"/>
      <c r="AS3182" s="1531"/>
    </row>
    <row r="3183" spans="1:45" s="1136" customFormat="1" ht="31.5" x14ac:dyDescent="0.25">
      <c r="A3183" s="1438" t="s">
        <v>4410</v>
      </c>
      <c r="B3183" s="1439" t="e">
        <f>B3075+B3082+B3095+B3108+B3114+B3133+B3182</f>
        <v>#VALUE!</v>
      </c>
      <c r="C3183" s="1562"/>
      <c r="D3183" s="1521"/>
      <c r="E3183" s="1521"/>
      <c r="F3183" s="1521"/>
      <c r="G3183" s="1521"/>
      <c r="H3183" s="1531"/>
      <c r="I3183" s="1531"/>
      <c r="J3183" s="1531"/>
      <c r="K3183" s="1531"/>
      <c r="L3183" s="1531"/>
      <c r="M3183" s="1531"/>
      <c r="N3183" s="1531"/>
      <c r="O3183" s="1531"/>
      <c r="P3183" s="1531"/>
      <c r="Q3183" s="1531"/>
      <c r="R3183" s="1531"/>
      <c r="S3183" s="1531"/>
      <c r="T3183" s="1531"/>
      <c r="U3183" s="1531"/>
      <c r="V3183" s="1531"/>
      <c r="W3183" s="1531"/>
      <c r="X3183" s="1531"/>
      <c r="Y3183" s="1531"/>
      <c r="Z3183" s="1531"/>
      <c r="AA3183" s="1531"/>
      <c r="AB3183" s="1531"/>
      <c r="AC3183" s="1531"/>
      <c r="AD3183" s="1531"/>
      <c r="AE3183" s="1531"/>
      <c r="AF3183" s="1531"/>
      <c r="AG3183" s="1531"/>
      <c r="AH3183" s="1531"/>
      <c r="AI3183" s="1531"/>
      <c r="AJ3183" s="1531"/>
      <c r="AK3183" s="1531"/>
      <c r="AL3183" s="1531"/>
      <c r="AM3183" s="1531"/>
      <c r="AN3183" s="1531"/>
      <c r="AO3183" s="1531"/>
      <c r="AP3183" s="1531"/>
      <c r="AQ3183" s="1531"/>
      <c r="AR3183" s="1531"/>
      <c r="AS3183" s="1531"/>
    </row>
    <row r="3184" spans="1:45" s="1136" customFormat="1" ht="15.75" x14ac:dyDescent="0.25">
      <c r="A3184" s="1466" t="s">
        <v>831</v>
      </c>
      <c r="B3184" s="1453" t="e">
        <f>IF(B276=1,B3183,0)</f>
        <v>#VALUE!</v>
      </c>
      <c r="C3184" s="1563"/>
      <c r="D3184" s="1617"/>
      <c r="E3184" s="1617"/>
      <c r="F3184" s="1617"/>
      <c r="G3184" s="1617"/>
      <c r="H3184" s="1531"/>
      <c r="I3184" s="1531"/>
      <c r="J3184" s="1531"/>
      <c r="K3184" s="1531"/>
      <c r="L3184" s="1531"/>
      <c r="M3184" s="1531"/>
      <c r="N3184" s="1531"/>
      <c r="O3184" s="1531"/>
      <c r="P3184" s="1531"/>
      <c r="Q3184" s="1531"/>
      <c r="R3184" s="1531"/>
      <c r="S3184" s="1531"/>
      <c r="T3184" s="1531"/>
      <c r="U3184" s="1531"/>
      <c r="V3184" s="1531"/>
      <c r="W3184" s="1531"/>
      <c r="X3184" s="1531"/>
      <c r="Y3184" s="1531"/>
      <c r="Z3184" s="1531"/>
      <c r="AA3184" s="1531"/>
      <c r="AB3184" s="1531"/>
      <c r="AC3184" s="1531"/>
      <c r="AD3184" s="1531"/>
      <c r="AE3184" s="1531"/>
      <c r="AF3184" s="1531"/>
      <c r="AG3184" s="1531"/>
      <c r="AH3184" s="1531"/>
      <c r="AI3184" s="1531"/>
      <c r="AJ3184" s="1531"/>
      <c r="AK3184" s="1531"/>
      <c r="AL3184" s="1531"/>
      <c r="AM3184" s="1531"/>
      <c r="AN3184" s="1531"/>
      <c r="AO3184" s="1531"/>
      <c r="AP3184" s="1531"/>
      <c r="AQ3184" s="1531"/>
      <c r="AR3184" s="1531"/>
      <c r="AS3184" s="1531"/>
    </row>
    <row r="3185" spans="1:45" s="1136" customFormat="1" ht="15.75" x14ac:dyDescent="0.25">
      <c r="A3185" s="1417"/>
      <c r="B3185" s="1573"/>
      <c r="C3185" s="1574"/>
      <c r="D3185" s="1562"/>
      <c r="E3185" s="1562"/>
      <c r="F3185" s="1562"/>
      <c r="G3185" s="1562"/>
      <c r="H3185" s="1531"/>
      <c r="I3185" s="1531"/>
      <c r="J3185" s="1531"/>
      <c r="K3185" s="1531"/>
      <c r="L3185" s="1531"/>
      <c r="M3185" s="1531"/>
      <c r="N3185" s="1531"/>
      <c r="O3185" s="1531"/>
      <c r="P3185" s="1531"/>
      <c r="Q3185" s="1531"/>
      <c r="R3185" s="1531"/>
      <c r="S3185" s="1531"/>
      <c r="T3185" s="1531"/>
      <c r="U3185" s="1531"/>
      <c r="V3185" s="1531"/>
      <c r="W3185" s="1531"/>
      <c r="X3185" s="1531"/>
      <c r="Y3185" s="1531"/>
      <c r="Z3185" s="1531"/>
      <c r="AA3185" s="1531"/>
      <c r="AB3185" s="1531"/>
      <c r="AC3185" s="1531"/>
      <c r="AD3185" s="1531"/>
      <c r="AE3185" s="1531"/>
      <c r="AF3185" s="1531"/>
      <c r="AG3185" s="1531"/>
      <c r="AH3185" s="1531"/>
      <c r="AI3185" s="1531"/>
      <c r="AJ3185" s="1531"/>
      <c r="AK3185" s="1531"/>
      <c r="AL3185" s="1531"/>
      <c r="AM3185" s="1531"/>
      <c r="AN3185" s="1531"/>
      <c r="AO3185" s="1531"/>
      <c r="AP3185" s="1531"/>
      <c r="AQ3185" s="1531"/>
      <c r="AR3185" s="1531"/>
      <c r="AS3185" s="1531"/>
    </row>
    <row r="3186" spans="1:45" s="1136" customFormat="1" ht="15.75" x14ac:dyDescent="0.25">
      <c r="A3186" s="1575" t="s">
        <v>2513</v>
      </c>
      <c r="B3186" s="1576" t="e">
        <f>B2973+B2980+B2994+B3019+B3036+B3042+B3184+B3057</f>
        <v>#VALUE!</v>
      </c>
      <c r="C3186" s="1577"/>
      <c r="D3186" s="1562"/>
      <c r="E3186" s="1562"/>
      <c r="F3186" s="1562"/>
      <c r="G3186" s="1562"/>
      <c r="H3186" s="1531"/>
      <c r="I3186" s="1531"/>
      <c r="J3186" s="1531"/>
      <c r="K3186" s="1531"/>
      <c r="L3186" s="1531"/>
      <c r="M3186" s="1531"/>
      <c r="N3186" s="1531"/>
      <c r="O3186" s="1531"/>
      <c r="P3186" s="1531"/>
      <c r="Q3186" s="1531"/>
      <c r="R3186" s="1531"/>
      <c r="S3186" s="1531"/>
      <c r="T3186" s="1531"/>
      <c r="U3186" s="1531"/>
      <c r="V3186" s="1531"/>
      <c r="W3186" s="1531"/>
      <c r="X3186" s="1531"/>
      <c r="Y3186" s="1531"/>
      <c r="Z3186" s="1531"/>
      <c r="AA3186" s="1531"/>
      <c r="AB3186" s="1531"/>
      <c r="AC3186" s="1531"/>
      <c r="AD3186" s="1531"/>
      <c r="AE3186" s="1531"/>
      <c r="AF3186" s="1531"/>
      <c r="AG3186" s="1531"/>
      <c r="AH3186" s="1531"/>
      <c r="AI3186" s="1531"/>
      <c r="AJ3186" s="1531"/>
      <c r="AK3186" s="1531"/>
      <c r="AL3186" s="1531"/>
      <c r="AM3186" s="1531"/>
      <c r="AN3186" s="1531"/>
      <c r="AO3186" s="1531"/>
      <c r="AP3186" s="1531"/>
      <c r="AQ3186" s="1531"/>
      <c r="AR3186" s="1531"/>
      <c r="AS3186" s="1531"/>
    </row>
    <row r="3187" spans="1:45" s="1136" customFormat="1" ht="15.75" x14ac:dyDescent="0.25">
      <c r="A3187" s="1471"/>
      <c r="B3187" s="1506"/>
      <c r="C3187" s="1578"/>
      <c r="D3187" s="1521"/>
      <c r="E3187" s="1521"/>
      <c r="F3187" s="1521"/>
      <c r="G3187" s="1521"/>
      <c r="H3187" s="1521"/>
      <c r="I3187" s="1531"/>
      <c r="J3187" s="1531"/>
      <c r="K3187" s="1531"/>
      <c r="L3187" s="1531"/>
      <c r="M3187" s="1531"/>
      <c r="N3187" s="1531"/>
      <c r="O3187" s="1531"/>
      <c r="P3187" s="1531"/>
      <c r="Q3187" s="1531"/>
      <c r="R3187" s="1531"/>
      <c r="S3187" s="1531"/>
      <c r="T3187" s="1531"/>
      <c r="U3187" s="1531"/>
      <c r="V3187" s="1531"/>
      <c r="W3187" s="1531"/>
      <c r="X3187" s="1531"/>
      <c r="Y3187" s="1531"/>
      <c r="Z3187" s="1531"/>
      <c r="AA3187" s="1531"/>
      <c r="AB3187" s="1531"/>
      <c r="AC3187" s="1531"/>
      <c r="AD3187" s="1531"/>
      <c r="AE3187" s="1531"/>
      <c r="AF3187" s="1531"/>
      <c r="AG3187" s="1531"/>
      <c r="AH3187" s="1531"/>
      <c r="AI3187" s="1531"/>
      <c r="AJ3187" s="1531"/>
      <c r="AK3187" s="1531"/>
      <c r="AL3187" s="1531"/>
      <c r="AM3187" s="1531"/>
      <c r="AN3187" s="1531"/>
      <c r="AO3187" s="1531"/>
      <c r="AP3187" s="1531"/>
      <c r="AQ3187" s="1531"/>
      <c r="AR3187" s="1531"/>
      <c r="AS3187" s="1531"/>
    </row>
    <row r="3188" spans="1:45" s="1136" customFormat="1" ht="15.75" x14ac:dyDescent="0.25">
      <c r="A3188" s="1471"/>
      <c r="B3188" s="1506"/>
      <c r="C3188" s="1578"/>
      <c r="D3188" s="1630"/>
      <c r="E3188" s="1630"/>
      <c r="F3188" s="1630"/>
      <c r="G3188" s="1630"/>
      <c r="H3188" s="1531"/>
      <c r="I3188" s="1531"/>
      <c r="J3188" s="1531"/>
      <c r="K3188" s="1531"/>
      <c r="L3188" s="1531"/>
      <c r="M3188" s="1531"/>
      <c r="N3188" s="1531"/>
      <c r="O3188" s="1531"/>
      <c r="P3188" s="1531"/>
      <c r="Q3188" s="1531"/>
      <c r="R3188" s="1531"/>
      <c r="S3188" s="1531"/>
      <c r="T3188" s="1531"/>
      <c r="U3188" s="1531"/>
      <c r="V3188" s="1531"/>
      <c r="W3188" s="1531"/>
      <c r="X3188" s="1531"/>
      <c r="Y3188" s="1531"/>
      <c r="Z3188" s="1531"/>
      <c r="AA3188" s="1531"/>
      <c r="AB3188" s="1531"/>
      <c r="AC3188" s="1531"/>
      <c r="AD3188" s="1531"/>
      <c r="AE3188" s="1531"/>
      <c r="AF3188" s="1531"/>
      <c r="AG3188" s="1531"/>
      <c r="AH3188" s="1531"/>
      <c r="AI3188" s="1531"/>
      <c r="AJ3188" s="1531"/>
      <c r="AK3188" s="1531"/>
      <c r="AL3188" s="1531"/>
      <c r="AM3188" s="1531"/>
      <c r="AN3188" s="1531"/>
      <c r="AO3188" s="1531"/>
      <c r="AP3188" s="1531"/>
      <c r="AQ3188" s="1531"/>
      <c r="AR3188" s="1531"/>
      <c r="AS3188" s="1531"/>
    </row>
    <row r="3189" spans="1:45" s="1136" customFormat="1" ht="15.75" x14ac:dyDescent="0.25">
      <c r="A3189" s="1579" t="s">
        <v>2514</v>
      </c>
      <c r="B3189" s="1443"/>
      <c r="C3189" s="1521"/>
      <c r="D3189" s="1634"/>
      <c r="E3189" s="1634"/>
      <c r="F3189" s="1634"/>
      <c r="G3189" s="1634"/>
      <c r="H3189" s="1531"/>
      <c r="I3189" s="1531"/>
      <c r="J3189" s="1531"/>
      <c r="K3189" s="1531"/>
      <c r="L3189" s="1531"/>
      <c r="M3189" s="1531"/>
      <c r="N3189" s="1531"/>
      <c r="O3189" s="1531"/>
      <c r="P3189" s="1531"/>
      <c r="Q3189" s="1531"/>
      <c r="R3189" s="1531"/>
      <c r="S3189" s="1531"/>
      <c r="T3189" s="1531"/>
      <c r="U3189" s="1531"/>
      <c r="V3189" s="1531"/>
      <c r="W3189" s="1531"/>
      <c r="X3189" s="1531"/>
      <c r="Y3189" s="1531"/>
      <c r="Z3189" s="1531"/>
      <c r="AA3189" s="1531"/>
      <c r="AB3189" s="1531"/>
      <c r="AC3189" s="1531"/>
      <c r="AD3189" s="1531"/>
      <c r="AE3189" s="1531"/>
      <c r="AF3189" s="1531"/>
      <c r="AG3189" s="1531"/>
      <c r="AH3189" s="1531"/>
      <c r="AI3189" s="1531"/>
      <c r="AJ3189" s="1531"/>
      <c r="AK3189" s="1531"/>
      <c r="AL3189" s="1531"/>
      <c r="AM3189" s="1531"/>
      <c r="AN3189" s="1531"/>
      <c r="AO3189" s="1531"/>
      <c r="AP3189" s="1531"/>
      <c r="AQ3189" s="1531"/>
      <c r="AR3189" s="1531"/>
      <c r="AS3189" s="1531"/>
    </row>
    <row r="3190" spans="1:45" s="1136" customFormat="1" ht="15.75" x14ac:dyDescent="0.25">
      <c r="A3190" s="1461" t="s">
        <v>2515</v>
      </c>
      <c r="B3190" s="1443"/>
      <c r="C3190" s="1521"/>
      <c r="D3190" s="1562"/>
      <c r="E3190" s="1562"/>
      <c r="F3190" s="1562"/>
      <c r="G3190" s="1562"/>
      <c r="H3190" s="1531"/>
      <c r="I3190" s="1531"/>
      <c r="J3190" s="1531"/>
      <c r="K3190" s="1531"/>
      <c r="L3190" s="1531"/>
      <c r="M3190" s="1531"/>
      <c r="N3190" s="1531"/>
      <c r="O3190" s="1531"/>
      <c r="P3190" s="1531"/>
      <c r="Q3190" s="1531"/>
      <c r="R3190" s="1531"/>
      <c r="S3190" s="1531"/>
      <c r="T3190" s="1531"/>
      <c r="U3190" s="1531"/>
      <c r="V3190" s="1531"/>
      <c r="W3190" s="1531"/>
      <c r="X3190" s="1531"/>
      <c r="Y3190" s="1531"/>
      <c r="Z3190" s="1531"/>
      <c r="AA3190" s="1531"/>
      <c r="AB3190" s="1531"/>
      <c r="AC3190" s="1531"/>
      <c r="AD3190" s="1531"/>
      <c r="AE3190" s="1531"/>
      <c r="AF3190" s="1531"/>
      <c r="AG3190" s="1531"/>
      <c r="AH3190" s="1531"/>
      <c r="AI3190" s="1531"/>
      <c r="AJ3190" s="1531"/>
      <c r="AK3190" s="1531"/>
      <c r="AL3190" s="1531"/>
      <c r="AM3190" s="1531"/>
      <c r="AN3190" s="1531"/>
      <c r="AO3190" s="1531"/>
      <c r="AP3190" s="1531"/>
      <c r="AQ3190" s="1531"/>
      <c r="AR3190" s="1531"/>
      <c r="AS3190" s="1531"/>
    </row>
    <row r="3191" spans="1:45" s="1136" customFormat="1" ht="31.5" x14ac:dyDescent="0.25">
      <c r="A3191" s="1502" t="s">
        <v>4149</v>
      </c>
      <c r="B3191" s="1443"/>
      <c r="C3191" s="1521"/>
      <c r="D3191" s="1563"/>
      <c r="E3191" s="1563"/>
      <c r="F3191" s="1563"/>
      <c r="G3191" s="1563"/>
      <c r="H3191" s="1531"/>
      <c r="I3191" s="1531"/>
      <c r="J3191" s="1531"/>
      <c r="K3191" s="1531"/>
      <c r="L3191" s="1531"/>
      <c r="M3191" s="1531"/>
      <c r="N3191" s="1531"/>
      <c r="O3191" s="1531"/>
      <c r="P3191" s="1531"/>
      <c r="Q3191" s="1531"/>
      <c r="R3191" s="1531"/>
      <c r="S3191" s="1531"/>
      <c r="T3191" s="1531"/>
      <c r="U3191" s="1531"/>
      <c r="V3191" s="1531"/>
      <c r="W3191" s="1531"/>
      <c r="X3191" s="1531"/>
      <c r="Y3191" s="1531"/>
      <c r="Z3191" s="1531"/>
      <c r="AA3191" s="1531"/>
      <c r="AB3191" s="1531"/>
      <c r="AC3191" s="1531"/>
      <c r="AD3191" s="1531"/>
      <c r="AE3191" s="1531"/>
      <c r="AF3191" s="1531"/>
      <c r="AG3191" s="1531"/>
      <c r="AH3191" s="1531"/>
      <c r="AI3191" s="1531"/>
      <c r="AJ3191" s="1531"/>
      <c r="AK3191" s="1531"/>
      <c r="AL3191" s="1531"/>
      <c r="AM3191" s="1531"/>
      <c r="AN3191" s="1531"/>
      <c r="AO3191" s="1531"/>
      <c r="AP3191" s="1531"/>
      <c r="AQ3191" s="1531"/>
      <c r="AR3191" s="1531"/>
      <c r="AS3191" s="1531"/>
    </row>
    <row r="3192" spans="1:45" s="1136" customFormat="1" ht="15.75" x14ac:dyDescent="0.25">
      <c r="A3192" s="1580" t="s">
        <v>2516</v>
      </c>
      <c r="B3192" s="1439"/>
      <c r="C3192" s="1562"/>
      <c r="D3192" s="1531"/>
      <c r="E3192" s="1531"/>
      <c r="F3192" s="1531"/>
      <c r="G3192" s="1531"/>
      <c r="H3192" s="1531"/>
      <c r="I3192" s="1531"/>
      <c r="J3192" s="1531"/>
      <c r="K3192" s="1531"/>
      <c r="L3192" s="1531"/>
      <c r="M3192" s="1531"/>
      <c r="N3192" s="1531"/>
      <c r="O3192" s="1531"/>
      <c r="P3192" s="1531"/>
      <c r="Q3192" s="1531"/>
      <c r="R3192" s="1531"/>
      <c r="S3192" s="1531"/>
      <c r="T3192" s="1531"/>
      <c r="U3192" s="1531"/>
      <c r="V3192" s="1531"/>
      <c r="W3192" s="1531"/>
      <c r="X3192" s="1531"/>
      <c r="Y3192" s="1531"/>
      <c r="Z3192" s="1531"/>
      <c r="AA3192" s="1531"/>
      <c r="AB3192" s="1531"/>
      <c r="AC3192" s="1531"/>
      <c r="AD3192" s="1531"/>
      <c r="AE3192" s="1531"/>
      <c r="AF3192" s="1531"/>
      <c r="AG3192" s="1531"/>
      <c r="AH3192" s="1531"/>
      <c r="AI3192" s="1531"/>
      <c r="AJ3192" s="1531"/>
      <c r="AK3192" s="1531"/>
      <c r="AL3192" s="1531"/>
      <c r="AM3192" s="1531"/>
      <c r="AN3192" s="1531"/>
      <c r="AO3192" s="1531"/>
      <c r="AP3192" s="1531"/>
      <c r="AQ3192" s="1531"/>
      <c r="AR3192" s="1531"/>
      <c r="AS3192" s="1531"/>
    </row>
    <row r="3193" spans="1:45" s="1136" customFormat="1" ht="15.75" x14ac:dyDescent="0.25">
      <c r="A3193" s="1456" t="s">
        <v>2517</v>
      </c>
      <c r="B3193" s="1439"/>
      <c r="C3193" s="1562"/>
      <c r="D3193" s="1577"/>
      <c r="E3193" s="1577"/>
      <c r="F3193" s="1577"/>
      <c r="G3193" s="1577"/>
      <c r="H3193" s="1531"/>
      <c r="I3193" s="1531"/>
      <c r="J3193" s="1531"/>
      <c r="K3193" s="1531"/>
      <c r="L3193" s="1531"/>
      <c r="M3193" s="1531"/>
      <c r="N3193" s="1531"/>
      <c r="O3193" s="1531"/>
      <c r="P3193" s="1531"/>
      <c r="Q3193" s="1531"/>
      <c r="R3193" s="1531"/>
      <c r="S3193" s="1531"/>
      <c r="T3193" s="1531"/>
      <c r="U3193" s="1531"/>
      <c r="V3193" s="1531"/>
      <c r="W3193" s="1531"/>
      <c r="X3193" s="1531"/>
      <c r="Y3193" s="1531"/>
      <c r="Z3193" s="1531"/>
      <c r="AA3193" s="1531"/>
      <c r="AB3193" s="1531"/>
      <c r="AC3193" s="1531"/>
      <c r="AD3193" s="1531"/>
      <c r="AE3193" s="1531"/>
      <c r="AF3193" s="1531"/>
      <c r="AG3193" s="1531"/>
      <c r="AH3193" s="1531"/>
      <c r="AI3193" s="1531"/>
      <c r="AJ3193" s="1531"/>
      <c r="AK3193" s="1531"/>
      <c r="AL3193" s="1531"/>
      <c r="AM3193" s="1531"/>
      <c r="AN3193" s="1531"/>
      <c r="AO3193" s="1531"/>
      <c r="AP3193" s="1531"/>
      <c r="AQ3193" s="1531"/>
      <c r="AR3193" s="1531"/>
      <c r="AS3193" s="1531"/>
    </row>
    <row r="3194" spans="1:45" s="1136" customFormat="1" ht="15.75" x14ac:dyDescent="0.25">
      <c r="A3194" s="1417" t="s">
        <v>2518</v>
      </c>
      <c r="B3194" s="1582">
        <f>B2763</f>
        <v>0.2</v>
      </c>
      <c r="C3194" s="1609"/>
      <c r="D3194" s="1531"/>
      <c r="E3194" s="1531"/>
      <c r="F3194" s="1531"/>
      <c r="G3194" s="1531"/>
      <c r="H3194" s="1531"/>
      <c r="I3194" s="1531"/>
      <c r="J3194" s="1531"/>
      <c r="K3194" s="1531"/>
      <c r="L3194" s="1531"/>
      <c r="M3194" s="1531"/>
      <c r="N3194" s="1531"/>
      <c r="O3194" s="1531"/>
      <c r="P3194" s="1531"/>
      <c r="Q3194" s="1531"/>
      <c r="R3194" s="1531"/>
      <c r="S3194" s="1531"/>
      <c r="T3194" s="1531"/>
      <c r="U3194" s="1531"/>
      <c r="V3194" s="1531"/>
      <c r="W3194" s="1531"/>
      <c r="X3194" s="1531"/>
      <c r="Y3194" s="1531"/>
      <c r="Z3194" s="1531"/>
      <c r="AA3194" s="1531"/>
      <c r="AB3194" s="1531"/>
      <c r="AC3194" s="1531"/>
      <c r="AD3194" s="1531"/>
      <c r="AE3194" s="1531"/>
      <c r="AF3194" s="1531"/>
      <c r="AG3194" s="1531"/>
      <c r="AH3194" s="1531"/>
      <c r="AI3194" s="1531"/>
      <c r="AJ3194" s="1531"/>
      <c r="AK3194" s="1531"/>
      <c r="AL3194" s="1531"/>
      <c r="AM3194" s="1531"/>
      <c r="AN3194" s="1531"/>
      <c r="AO3194" s="1531"/>
      <c r="AP3194" s="1531"/>
      <c r="AQ3194" s="1531"/>
      <c r="AR3194" s="1531"/>
      <c r="AS3194" s="1531"/>
    </row>
    <row r="3195" spans="1:45" s="1136" customFormat="1" ht="15.75" x14ac:dyDescent="0.25">
      <c r="A3195" s="1417" t="s">
        <v>2519</v>
      </c>
      <c r="B3195" s="1582">
        <f>B2764</f>
        <v>0.1</v>
      </c>
      <c r="C3195" s="1609"/>
      <c r="D3195" s="1531"/>
      <c r="E3195" s="1531"/>
      <c r="F3195" s="1531"/>
      <c r="G3195" s="1531"/>
      <c r="H3195" s="1531"/>
      <c r="I3195" s="1531"/>
      <c r="J3195" s="1531"/>
      <c r="K3195" s="1531"/>
      <c r="L3195" s="1531"/>
      <c r="M3195" s="1531"/>
      <c r="N3195" s="1531"/>
      <c r="O3195" s="1531"/>
      <c r="P3195" s="1531"/>
      <c r="Q3195" s="1531"/>
      <c r="R3195" s="1531"/>
      <c r="S3195" s="1531"/>
      <c r="T3195" s="1531"/>
      <c r="U3195" s="1531"/>
      <c r="V3195" s="1531"/>
      <c r="W3195" s="1531"/>
      <c r="X3195" s="1531"/>
      <c r="Y3195" s="1531"/>
      <c r="Z3195" s="1531"/>
      <c r="AA3195" s="1531"/>
      <c r="AB3195" s="1531"/>
      <c r="AC3195" s="1531"/>
      <c r="AD3195" s="1531"/>
      <c r="AE3195" s="1531"/>
      <c r="AF3195" s="1531"/>
      <c r="AG3195" s="1531"/>
      <c r="AH3195" s="1531"/>
      <c r="AI3195" s="1531"/>
      <c r="AJ3195" s="1531"/>
      <c r="AK3195" s="1531"/>
      <c r="AL3195" s="1531"/>
      <c r="AM3195" s="1531"/>
      <c r="AN3195" s="1531"/>
      <c r="AO3195" s="1531"/>
      <c r="AP3195" s="1531"/>
      <c r="AQ3195" s="1531"/>
      <c r="AR3195" s="1531"/>
      <c r="AS3195" s="1531"/>
    </row>
    <row r="3196" spans="1:45" s="1136" customFormat="1" ht="15.75" x14ac:dyDescent="0.25">
      <c r="A3196" s="1430" t="s">
        <v>2520</v>
      </c>
      <c r="B3196" s="1582">
        <f>B3194*B3195</f>
        <v>2.0000000000000004E-2</v>
      </c>
      <c r="C3196" s="1609"/>
      <c r="D3196" s="1531"/>
      <c r="E3196" s="1531"/>
      <c r="F3196" s="1531"/>
      <c r="G3196" s="1531"/>
      <c r="H3196" s="1531"/>
      <c r="I3196" s="1531"/>
      <c r="J3196" s="1531"/>
      <c r="K3196" s="1531"/>
      <c r="L3196" s="1531"/>
      <c r="M3196" s="1531"/>
      <c r="N3196" s="1531"/>
      <c r="O3196" s="1531"/>
      <c r="P3196" s="1531"/>
      <c r="Q3196" s="1531"/>
      <c r="R3196" s="1531"/>
      <c r="S3196" s="1531"/>
      <c r="T3196" s="1531"/>
      <c r="U3196" s="1531"/>
      <c r="V3196" s="1531"/>
      <c r="W3196" s="1531"/>
      <c r="X3196" s="1531"/>
      <c r="Y3196" s="1531"/>
      <c r="Z3196" s="1531"/>
      <c r="AA3196" s="1531"/>
      <c r="AB3196" s="1531"/>
      <c r="AC3196" s="1531"/>
      <c r="AD3196" s="1531"/>
      <c r="AE3196" s="1531"/>
      <c r="AF3196" s="1531"/>
      <c r="AG3196" s="1531"/>
      <c r="AH3196" s="1531"/>
      <c r="AI3196" s="1531"/>
      <c r="AJ3196" s="1531"/>
      <c r="AK3196" s="1531"/>
      <c r="AL3196" s="1531"/>
      <c r="AM3196" s="1531"/>
      <c r="AN3196" s="1531"/>
      <c r="AO3196" s="1531"/>
      <c r="AP3196" s="1531"/>
      <c r="AQ3196" s="1531"/>
      <c r="AR3196" s="1531"/>
      <c r="AS3196" s="1531"/>
    </row>
    <row r="3197" spans="1:45" s="1136" customFormat="1" ht="15.75" x14ac:dyDescent="0.25">
      <c r="A3197" s="1417" t="s">
        <v>2521</v>
      </c>
      <c r="B3197" s="1583"/>
      <c r="C3197" s="1584"/>
      <c r="D3197" s="1531"/>
      <c r="E3197" s="1531"/>
      <c r="F3197" s="1531"/>
      <c r="G3197" s="1531"/>
      <c r="H3197" s="1531"/>
      <c r="I3197" s="1531"/>
      <c r="J3197" s="1531"/>
      <c r="K3197" s="1531"/>
      <c r="L3197" s="1531"/>
      <c r="M3197" s="1531"/>
      <c r="N3197" s="1531"/>
      <c r="O3197" s="1531"/>
      <c r="P3197" s="1531"/>
      <c r="Q3197" s="1531"/>
      <c r="R3197" s="1531"/>
      <c r="S3197" s="1531"/>
      <c r="T3197" s="1531"/>
      <c r="U3197" s="1531"/>
      <c r="V3197" s="1531"/>
      <c r="W3197" s="1531"/>
      <c r="X3197" s="1531"/>
      <c r="Y3197" s="1531"/>
      <c r="Z3197" s="1531"/>
      <c r="AA3197" s="1531"/>
      <c r="AB3197" s="1531"/>
      <c r="AC3197" s="1531"/>
      <c r="AD3197" s="1531"/>
      <c r="AE3197" s="1531"/>
      <c r="AF3197" s="1531"/>
      <c r="AG3197" s="1531"/>
      <c r="AH3197" s="1531"/>
      <c r="AI3197" s="1531"/>
      <c r="AJ3197" s="1531"/>
      <c r="AK3197" s="1531"/>
      <c r="AL3197" s="1531"/>
      <c r="AM3197" s="1531"/>
      <c r="AN3197" s="1531"/>
      <c r="AO3197" s="1531"/>
      <c r="AP3197" s="1531"/>
      <c r="AQ3197" s="1531"/>
      <c r="AR3197" s="1531"/>
      <c r="AS3197" s="1531"/>
    </row>
    <row r="3198" spans="1:45" s="1136" customFormat="1" ht="15.75" x14ac:dyDescent="0.25">
      <c r="A3198" s="1417" t="s">
        <v>2522</v>
      </c>
      <c r="B3198" s="1585" t="e">
        <f>ROUND((1.2*(B240*100)^0.5)/100,2)</f>
        <v>#VALUE!</v>
      </c>
      <c r="C3198" s="1416"/>
      <c r="D3198" s="1531"/>
      <c r="E3198" s="1531"/>
      <c r="F3198" s="1531"/>
      <c r="G3198" s="1531"/>
      <c r="H3198" s="1531"/>
      <c r="I3198" s="1531"/>
      <c r="J3198" s="1531"/>
      <c r="K3198" s="1531"/>
      <c r="L3198" s="1531"/>
      <c r="M3198" s="1531"/>
      <c r="N3198" s="1531"/>
      <c r="O3198" s="1531"/>
      <c r="P3198" s="1531"/>
      <c r="Q3198" s="1531"/>
      <c r="R3198" s="1531"/>
      <c r="S3198" s="1531"/>
      <c r="T3198" s="1531"/>
      <c r="U3198" s="1531"/>
      <c r="V3198" s="1531"/>
      <c r="W3198" s="1531"/>
      <c r="X3198" s="1531"/>
      <c r="Y3198" s="1531"/>
      <c r="Z3198" s="1531"/>
      <c r="AA3198" s="1531"/>
      <c r="AB3198" s="1531"/>
      <c r="AC3198" s="1531"/>
      <c r="AD3198" s="1531"/>
      <c r="AE3198" s="1531"/>
      <c r="AF3198" s="1531"/>
      <c r="AG3198" s="1531"/>
      <c r="AH3198" s="1531"/>
      <c r="AI3198" s="1531"/>
      <c r="AJ3198" s="1531"/>
      <c r="AK3198" s="1531"/>
      <c r="AL3198" s="1531"/>
      <c r="AM3198" s="1531"/>
      <c r="AN3198" s="1531"/>
      <c r="AO3198" s="1531"/>
      <c r="AP3198" s="1531"/>
      <c r="AQ3198" s="1531"/>
      <c r="AR3198" s="1531"/>
      <c r="AS3198" s="1531"/>
    </row>
    <row r="3199" spans="1:45" s="1136" customFormat="1" ht="15.75" x14ac:dyDescent="0.25">
      <c r="A3199" s="1430" t="s">
        <v>2523</v>
      </c>
      <c r="B3199" s="1428" t="e">
        <f>3.14*B3198^2/4</f>
        <v>#VALUE!</v>
      </c>
      <c r="C3199" s="1566"/>
      <c r="D3199" s="1531"/>
      <c r="E3199" s="1531"/>
      <c r="F3199" s="1531"/>
      <c r="G3199" s="1531"/>
      <c r="H3199" s="1531"/>
      <c r="I3199" s="1531"/>
      <c r="J3199" s="1531"/>
      <c r="K3199" s="1531"/>
      <c r="L3199" s="1531"/>
      <c r="M3199" s="1531"/>
      <c r="N3199" s="1531"/>
      <c r="O3199" s="1531"/>
      <c r="P3199" s="1531"/>
      <c r="Q3199" s="1531"/>
      <c r="R3199" s="1531"/>
      <c r="S3199" s="1531"/>
      <c r="T3199" s="1531"/>
      <c r="U3199" s="1531"/>
      <c r="V3199" s="1531"/>
      <c r="W3199" s="1531"/>
      <c r="X3199" s="1531"/>
      <c r="Y3199" s="1531"/>
      <c r="Z3199" s="1531"/>
      <c r="AA3199" s="1531"/>
      <c r="AB3199" s="1531"/>
      <c r="AC3199" s="1531"/>
      <c r="AD3199" s="1531"/>
      <c r="AE3199" s="1531"/>
      <c r="AF3199" s="1531"/>
      <c r="AG3199" s="1531"/>
      <c r="AH3199" s="1531"/>
      <c r="AI3199" s="1531"/>
      <c r="AJ3199" s="1531"/>
      <c r="AK3199" s="1531"/>
      <c r="AL3199" s="1531"/>
      <c r="AM3199" s="1531"/>
      <c r="AN3199" s="1531"/>
      <c r="AO3199" s="1531"/>
      <c r="AP3199" s="1531"/>
      <c r="AQ3199" s="1531"/>
      <c r="AR3199" s="1531"/>
      <c r="AS3199" s="1531"/>
    </row>
    <row r="3200" spans="1:45" s="1136" customFormat="1" ht="15.75" x14ac:dyDescent="0.25">
      <c r="A3200" s="1430" t="s">
        <v>2524</v>
      </c>
      <c r="B3200" s="1586" t="e">
        <f>B2857*B2855*B3196</f>
        <v>#VALUE!</v>
      </c>
      <c r="C3200" s="1587"/>
      <c r="D3200" s="1531"/>
      <c r="E3200" s="1531"/>
      <c r="F3200" s="1531"/>
      <c r="G3200" s="1531"/>
      <c r="H3200" s="1531"/>
      <c r="I3200" s="1531"/>
      <c r="J3200" s="1531"/>
      <c r="K3200" s="1531"/>
      <c r="L3200" s="1531"/>
      <c r="M3200" s="1531"/>
      <c r="N3200" s="1531"/>
      <c r="O3200" s="1531"/>
      <c r="P3200" s="1531"/>
      <c r="Q3200" s="1531"/>
      <c r="R3200" s="1531"/>
      <c r="S3200" s="1531"/>
      <c r="T3200" s="1531"/>
      <c r="U3200" s="1531"/>
      <c r="V3200" s="1531"/>
      <c r="W3200" s="1531"/>
      <c r="X3200" s="1531"/>
      <c r="Y3200" s="1531"/>
      <c r="Z3200" s="1531"/>
      <c r="AA3200" s="1531"/>
      <c r="AB3200" s="1531"/>
      <c r="AC3200" s="1531"/>
      <c r="AD3200" s="1531"/>
      <c r="AE3200" s="1531"/>
      <c r="AF3200" s="1531"/>
      <c r="AG3200" s="1531"/>
      <c r="AH3200" s="1531"/>
      <c r="AI3200" s="1531"/>
      <c r="AJ3200" s="1531"/>
      <c r="AK3200" s="1531"/>
      <c r="AL3200" s="1531"/>
      <c r="AM3200" s="1531"/>
      <c r="AN3200" s="1531"/>
      <c r="AO3200" s="1531"/>
      <c r="AP3200" s="1531"/>
      <c r="AQ3200" s="1531"/>
      <c r="AR3200" s="1531"/>
      <c r="AS3200" s="1531"/>
    </row>
    <row r="3201" spans="1:45" s="1136" customFormat="1" ht="15.75" x14ac:dyDescent="0.25">
      <c r="A3201" s="1430" t="s">
        <v>2525</v>
      </c>
      <c r="B3201" s="1588" t="e">
        <f>B2915*B2921*B3196</f>
        <v>#VALUE!</v>
      </c>
      <c r="C3201" s="1589"/>
      <c r="D3201" s="1609"/>
      <c r="E3201" s="1609"/>
      <c r="F3201" s="1609"/>
      <c r="G3201" s="1609"/>
      <c r="H3201" s="1531"/>
      <c r="I3201" s="1531"/>
      <c r="J3201" s="1531"/>
      <c r="K3201" s="1531"/>
      <c r="L3201" s="1531"/>
      <c r="M3201" s="1531"/>
      <c r="N3201" s="1531"/>
      <c r="O3201" s="1531"/>
      <c r="P3201" s="1531"/>
      <c r="Q3201" s="1531"/>
      <c r="R3201" s="1531"/>
      <c r="S3201" s="1531"/>
      <c r="T3201" s="1531"/>
      <c r="U3201" s="1531"/>
      <c r="V3201" s="1531"/>
      <c r="W3201" s="1531"/>
      <c r="X3201" s="1531"/>
      <c r="Y3201" s="1531"/>
      <c r="Z3201" s="1531"/>
      <c r="AA3201" s="1531"/>
      <c r="AB3201" s="1531"/>
      <c r="AC3201" s="1531"/>
      <c r="AD3201" s="1531"/>
      <c r="AE3201" s="1531"/>
      <c r="AF3201" s="1531"/>
      <c r="AG3201" s="1531"/>
      <c r="AH3201" s="1531"/>
      <c r="AI3201" s="1531"/>
      <c r="AJ3201" s="1531"/>
      <c r="AK3201" s="1531"/>
      <c r="AL3201" s="1531"/>
      <c r="AM3201" s="1531"/>
      <c r="AN3201" s="1531"/>
      <c r="AO3201" s="1531"/>
      <c r="AP3201" s="1531"/>
      <c r="AQ3201" s="1531"/>
      <c r="AR3201" s="1531"/>
      <c r="AS3201" s="1531"/>
    </row>
    <row r="3202" spans="1:45" s="1136" customFormat="1" ht="31.5" x14ac:dyDescent="0.25">
      <c r="A3202" s="1420" t="s">
        <v>2526</v>
      </c>
      <c r="B3202" s="1439" t="e">
        <f>B2898*B240*B3199</f>
        <v>#VALUE!</v>
      </c>
      <c r="C3202" s="1562"/>
      <c r="D3202" s="1609"/>
      <c r="E3202" s="1609"/>
      <c r="F3202" s="1609"/>
      <c r="G3202" s="1609"/>
      <c r="H3202" s="1531"/>
      <c r="I3202" s="1531"/>
      <c r="J3202" s="1531"/>
      <c r="K3202" s="1531"/>
      <c r="L3202" s="1531"/>
      <c r="M3202" s="1531"/>
      <c r="N3202" s="1531"/>
      <c r="O3202" s="1531"/>
      <c r="P3202" s="1531"/>
      <c r="Q3202" s="1531"/>
      <c r="R3202" s="1531"/>
      <c r="S3202" s="1531"/>
      <c r="T3202" s="1531"/>
      <c r="U3202" s="1531"/>
      <c r="V3202" s="1531"/>
      <c r="W3202" s="1531"/>
      <c r="X3202" s="1531"/>
      <c r="Y3202" s="1531"/>
      <c r="Z3202" s="1531"/>
      <c r="AA3202" s="1531"/>
      <c r="AB3202" s="1531"/>
      <c r="AC3202" s="1531"/>
      <c r="AD3202" s="1531"/>
      <c r="AE3202" s="1531"/>
      <c r="AF3202" s="1531"/>
      <c r="AG3202" s="1531"/>
      <c r="AH3202" s="1531"/>
      <c r="AI3202" s="1531"/>
      <c r="AJ3202" s="1531"/>
      <c r="AK3202" s="1531"/>
      <c r="AL3202" s="1531"/>
      <c r="AM3202" s="1531"/>
      <c r="AN3202" s="1531"/>
      <c r="AO3202" s="1531"/>
      <c r="AP3202" s="1531"/>
      <c r="AQ3202" s="1531"/>
      <c r="AR3202" s="1531"/>
      <c r="AS3202" s="1531"/>
    </row>
    <row r="3203" spans="1:45" s="1136" customFormat="1" ht="31.5" x14ac:dyDescent="0.25">
      <c r="A3203" s="1420" t="s">
        <v>3328</v>
      </c>
      <c r="B3203" s="1439" t="e">
        <f>B2958*B240*B3199</f>
        <v>#VALUE!</v>
      </c>
      <c r="C3203" s="1562"/>
      <c r="D3203" s="1609"/>
      <c r="E3203" s="1609"/>
      <c r="F3203" s="1609"/>
      <c r="G3203" s="1609"/>
      <c r="H3203" s="1531"/>
      <c r="I3203" s="1531"/>
      <c r="J3203" s="1531"/>
      <c r="K3203" s="1531"/>
      <c r="L3203" s="1531"/>
      <c r="M3203" s="1531"/>
      <c r="N3203" s="1531"/>
      <c r="O3203" s="1531"/>
      <c r="P3203" s="1531"/>
      <c r="Q3203" s="1531"/>
      <c r="R3203" s="1531"/>
      <c r="S3203" s="1531"/>
      <c r="T3203" s="1531"/>
      <c r="U3203" s="1531"/>
      <c r="V3203" s="1531"/>
      <c r="W3203" s="1531"/>
      <c r="X3203" s="1531"/>
      <c r="Y3203" s="1531"/>
      <c r="Z3203" s="1531"/>
      <c r="AA3203" s="1531"/>
      <c r="AB3203" s="1531"/>
      <c r="AC3203" s="1531"/>
      <c r="AD3203" s="1531"/>
      <c r="AE3203" s="1531"/>
      <c r="AF3203" s="1531"/>
      <c r="AG3203" s="1531"/>
      <c r="AH3203" s="1531"/>
      <c r="AI3203" s="1531"/>
      <c r="AJ3203" s="1531"/>
      <c r="AK3203" s="1531"/>
      <c r="AL3203" s="1531"/>
      <c r="AM3203" s="1531"/>
      <c r="AN3203" s="1531"/>
      <c r="AO3203" s="1531"/>
      <c r="AP3203" s="1531"/>
      <c r="AQ3203" s="1531"/>
      <c r="AR3203" s="1531"/>
      <c r="AS3203" s="1531"/>
    </row>
    <row r="3204" spans="1:45" s="1136" customFormat="1" ht="15.75" x14ac:dyDescent="0.25">
      <c r="A3204" s="1430" t="s">
        <v>3329</v>
      </c>
      <c r="B3204" s="1588" t="e">
        <f>B2976*B2978*B3198</f>
        <v>#VALUE!</v>
      </c>
      <c r="C3204" s="1589"/>
      <c r="D3204" s="1531"/>
      <c r="E3204" s="1531"/>
      <c r="F3204" s="1531"/>
      <c r="G3204" s="1531"/>
      <c r="H3204" s="1531"/>
      <c r="I3204" s="1531"/>
      <c r="J3204" s="1531"/>
      <c r="K3204" s="1531"/>
      <c r="L3204" s="1531"/>
      <c r="M3204" s="1531"/>
      <c r="N3204" s="1531"/>
      <c r="O3204" s="1531"/>
      <c r="P3204" s="1531"/>
      <c r="Q3204" s="1531"/>
      <c r="R3204" s="1531"/>
      <c r="S3204" s="1531"/>
      <c r="T3204" s="1531"/>
      <c r="U3204" s="1531"/>
      <c r="V3204" s="1531"/>
      <c r="W3204" s="1531"/>
      <c r="X3204" s="1531"/>
      <c r="Y3204" s="1531"/>
      <c r="Z3204" s="1531"/>
      <c r="AA3204" s="1531"/>
      <c r="AB3204" s="1531"/>
      <c r="AC3204" s="1531"/>
      <c r="AD3204" s="1531"/>
      <c r="AE3204" s="1531"/>
      <c r="AF3204" s="1531"/>
      <c r="AG3204" s="1531"/>
      <c r="AH3204" s="1531"/>
      <c r="AI3204" s="1531"/>
      <c r="AJ3204" s="1531"/>
      <c r="AK3204" s="1531"/>
      <c r="AL3204" s="1531"/>
      <c r="AM3204" s="1531"/>
      <c r="AN3204" s="1531"/>
      <c r="AO3204" s="1531"/>
      <c r="AP3204" s="1531"/>
      <c r="AQ3204" s="1531"/>
      <c r="AR3204" s="1531"/>
      <c r="AS3204" s="1531"/>
    </row>
    <row r="3205" spans="1:45" s="1136" customFormat="1" ht="15.75" x14ac:dyDescent="0.25">
      <c r="A3205" s="1420" t="s">
        <v>3330</v>
      </c>
      <c r="B3205" s="1439" t="e">
        <f>B3200+B3201+B3202+B3204+B3203</f>
        <v>#VALUE!</v>
      </c>
      <c r="C3205" s="1562"/>
      <c r="D3205" s="1416"/>
      <c r="E3205" s="1416"/>
      <c r="F3205" s="1416"/>
      <c r="G3205" s="1416"/>
      <c r="H3205" s="1531"/>
      <c r="I3205" s="1531"/>
      <c r="J3205" s="1531"/>
      <c r="K3205" s="1531"/>
      <c r="L3205" s="1531"/>
      <c r="M3205" s="1531"/>
      <c r="N3205" s="1531"/>
      <c r="O3205" s="1531"/>
      <c r="P3205" s="1531"/>
      <c r="Q3205" s="1531"/>
      <c r="R3205" s="1531"/>
      <c r="S3205" s="1531"/>
      <c r="T3205" s="1531"/>
      <c r="U3205" s="1531"/>
      <c r="V3205" s="1531"/>
      <c r="W3205" s="1531"/>
      <c r="X3205" s="1531"/>
      <c r="Y3205" s="1531"/>
      <c r="Z3205" s="1531"/>
      <c r="AA3205" s="1531"/>
      <c r="AB3205" s="1531"/>
      <c r="AC3205" s="1531"/>
      <c r="AD3205" s="1531"/>
      <c r="AE3205" s="1531"/>
      <c r="AF3205" s="1531"/>
      <c r="AG3205" s="1531"/>
      <c r="AH3205" s="1531"/>
      <c r="AI3205" s="1531"/>
      <c r="AJ3205" s="1531"/>
      <c r="AK3205" s="1531"/>
      <c r="AL3205" s="1531"/>
      <c r="AM3205" s="1531"/>
      <c r="AN3205" s="1531"/>
      <c r="AO3205" s="1531"/>
      <c r="AP3205" s="1531"/>
      <c r="AQ3205" s="1531"/>
      <c r="AR3205" s="1531"/>
      <c r="AS3205" s="1531"/>
    </row>
    <row r="3206" spans="1:45" s="1136" customFormat="1" ht="15.75" x14ac:dyDescent="0.25">
      <c r="A3206" s="1471" t="s">
        <v>3331</v>
      </c>
      <c r="B3206" s="1431">
        <f>B2775</f>
        <v>300</v>
      </c>
      <c r="C3206" s="1610"/>
      <c r="D3206" s="1566"/>
      <c r="E3206" s="1566"/>
      <c r="F3206" s="1566"/>
      <c r="G3206" s="1566"/>
      <c r="H3206" s="1531"/>
      <c r="I3206" s="1531"/>
      <c r="J3206" s="1531"/>
      <c r="K3206" s="1531"/>
      <c r="L3206" s="1531"/>
      <c r="M3206" s="1531"/>
      <c r="N3206" s="1531"/>
      <c r="O3206" s="1531"/>
      <c r="P3206" s="1531"/>
      <c r="Q3206" s="1531"/>
      <c r="R3206" s="1531"/>
      <c r="S3206" s="1531"/>
      <c r="T3206" s="1531"/>
      <c r="U3206" s="1531"/>
      <c r="V3206" s="1531"/>
      <c r="W3206" s="1531"/>
      <c r="X3206" s="1531"/>
      <c r="Y3206" s="1531"/>
      <c r="Z3206" s="1531"/>
      <c r="AA3206" s="1531"/>
      <c r="AB3206" s="1531"/>
      <c r="AC3206" s="1531"/>
      <c r="AD3206" s="1531"/>
      <c r="AE3206" s="1531"/>
      <c r="AF3206" s="1531"/>
      <c r="AG3206" s="1531"/>
      <c r="AH3206" s="1531"/>
      <c r="AI3206" s="1531"/>
      <c r="AJ3206" s="1531"/>
      <c r="AK3206" s="1531"/>
      <c r="AL3206" s="1531"/>
      <c r="AM3206" s="1531"/>
      <c r="AN3206" s="1531"/>
      <c r="AO3206" s="1531"/>
      <c r="AP3206" s="1531"/>
      <c r="AQ3206" s="1531"/>
      <c r="AR3206" s="1531"/>
      <c r="AS3206" s="1531"/>
    </row>
    <row r="3207" spans="1:45" s="1136" customFormat="1" ht="15.75" x14ac:dyDescent="0.25">
      <c r="A3207" s="1420" t="s">
        <v>3332</v>
      </c>
      <c r="B3207" s="1433" t="e">
        <f>B3205*B3206</f>
        <v>#VALUE!</v>
      </c>
      <c r="C3207" s="1569"/>
      <c r="D3207" s="1587"/>
      <c r="E3207" s="1587"/>
      <c r="F3207" s="1587"/>
      <c r="G3207" s="1587"/>
      <c r="H3207" s="1531"/>
      <c r="I3207" s="1531"/>
      <c r="J3207" s="1531"/>
      <c r="K3207" s="1531"/>
      <c r="L3207" s="1531"/>
      <c r="M3207" s="1531"/>
      <c r="N3207" s="1531"/>
      <c r="O3207" s="1531"/>
      <c r="P3207" s="1531"/>
      <c r="Q3207" s="1531"/>
      <c r="R3207" s="1531"/>
      <c r="S3207" s="1531"/>
      <c r="T3207" s="1531"/>
      <c r="U3207" s="1531"/>
      <c r="V3207" s="1531"/>
      <c r="W3207" s="1531"/>
      <c r="X3207" s="1531"/>
      <c r="Y3207" s="1531"/>
      <c r="Z3207" s="1531"/>
      <c r="AA3207" s="1531"/>
      <c r="AB3207" s="1531"/>
      <c r="AC3207" s="1531"/>
      <c r="AD3207" s="1531"/>
      <c r="AE3207" s="1531"/>
      <c r="AF3207" s="1531"/>
      <c r="AG3207" s="1531"/>
      <c r="AH3207" s="1531"/>
      <c r="AI3207" s="1531"/>
      <c r="AJ3207" s="1531"/>
      <c r="AK3207" s="1531"/>
      <c r="AL3207" s="1531"/>
      <c r="AM3207" s="1531"/>
      <c r="AN3207" s="1531"/>
      <c r="AO3207" s="1531"/>
      <c r="AP3207" s="1531"/>
      <c r="AQ3207" s="1531"/>
      <c r="AR3207" s="1531"/>
      <c r="AS3207" s="1531"/>
    </row>
    <row r="3208" spans="1:45" s="1136" customFormat="1" ht="15.75" x14ac:dyDescent="0.25">
      <c r="A3208" s="1452" t="s">
        <v>3333</v>
      </c>
      <c r="B3208" s="1571">
        <f>IF(B276=0,B3207,0)</f>
        <v>0</v>
      </c>
      <c r="C3208" s="1572"/>
      <c r="D3208" s="1589"/>
      <c r="E3208" s="1589"/>
      <c r="F3208" s="1589"/>
      <c r="G3208" s="1589"/>
      <c r="H3208" s="1531"/>
      <c r="I3208" s="1531"/>
      <c r="J3208" s="1531"/>
      <c r="K3208" s="1531"/>
      <c r="L3208" s="1531"/>
      <c r="M3208" s="1531"/>
      <c r="N3208" s="1531"/>
      <c r="O3208" s="1531"/>
      <c r="P3208" s="1531"/>
      <c r="Q3208" s="1531"/>
      <c r="R3208" s="1531"/>
      <c r="S3208" s="1531"/>
      <c r="T3208" s="1531"/>
      <c r="U3208" s="1531"/>
      <c r="V3208" s="1531"/>
      <c r="W3208" s="1531"/>
      <c r="X3208" s="1531"/>
      <c r="Y3208" s="1531"/>
      <c r="Z3208" s="1531"/>
      <c r="AA3208" s="1531"/>
      <c r="AB3208" s="1531"/>
      <c r="AC3208" s="1531"/>
      <c r="AD3208" s="1531"/>
      <c r="AE3208" s="1531"/>
      <c r="AF3208" s="1531"/>
      <c r="AG3208" s="1531"/>
      <c r="AH3208" s="1531"/>
      <c r="AI3208" s="1531"/>
      <c r="AJ3208" s="1531"/>
      <c r="AK3208" s="1531"/>
      <c r="AL3208" s="1531"/>
      <c r="AM3208" s="1531"/>
      <c r="AN3208" s="1531"/>
      <c r="AO3208" s="1531"/>
      <c r="AP3208" s="1531"/>
      <c r="AQ3208" s="1531"/>
      <c r="AR3208" s="1531"/>
      <c r="AS3208" s="1531"/>
    </row>
    <row r="3209" spans="1:45" s="1136" customFormat="1" ht="17.25" customHeight="1" x14ac:dyDescent="0.25">
      <c r="A3209" s="1471"/>
      <c r="B3209" s="1573"/>
      <c r="C3209" s="1574"/>
      <c r="D3209" s="1562"/>
      <c r="E3209" s="1562"/>
      <c r="F3209" s="1562"/>
      <c r="G3209" s="1562"/>
      <c r="H3209" s="1531"/>
      <c r="I3209" s="1531"/>
      <c r="J3209" s="1531"/>
      <c r="K3209" s="1531"/>
      <c r="L3209" s="1531"/>
      <c r="M3209" s="1531"/>
      <c r="N3209" s="1531"/>
      <c r="O3209" s="1531"/>
      <c r="P3209" s="1531"/>
      <c r="Q3209" s="1531"/>
      <c r="R3209" s="1531"/>
      <c r="S3209" s="1531"/>
      <c r="T3209" s="1531"/>
      <c r="U3209" s="1531"/>
      <c r="V3209" s="1531"/>
      <c r="W3209" s="1531"/>
      <c r="X3209" s="1531"/>
      <c r="Y3209" s="1531"/>
      <c r="Z3209" s="1531"/>
      <c r="AA3209" s="1531"/>
      <c r="AB3209" s="1531"/>
      <c r="AC3209" s="1531"/>
      <c r="AD3209" s="1531"/>
      <c r="AE3209" s="1531"/>
      <c r="AF3209" s="1531"/>
      <c r="AG3209" s="1531"/>
      <c r="AH3209" s="1531"/>
      <c r="AI3209" s="1531"/>
      <c r="AJ3209" s="1531"/>
      <c r="AK3209" s="1531"/>
      <c r="AL3209" s="1531"/>
      <c r="AM3209" s="1531"/>
      <c r="AN3209" s="1531"/>
      <c r="AO3209" s="1531"/>
      <c r="AP3209" s="1531"/>
      <c r="AQ3209" s="1531"/>
      <c r="AR3209" s="1531"/>
      <c r="AS3209" s="1531"/>
    </row>
    <row r="3210" spans="1:45" s="1136" customFormat="1" ht="17.25" customHeight="1" x14ac:dyDescent="0.25">
      <c r="A3210" s="1502" t="s">
        <v>3334</v>
      </c>
      <c r="B3210" s="1415"/>
      <c r="C3210" s="1531"/>
      <c r="D3210" s="1562"/>
      <c r="E3210" s="1562"/>
      <c r="F3210" s="1562"/>
      <c r="G3210" s="1562"/>
      <c r="H3210" s="1531"/>
      <c r="I3210" s="1531"/>
      <c r="J3210" s="1531"/>
      <c r="K3210" s="1531"/>
      <c r="L3210" s="1531"/>
      <c r="M3210" s="1531"/>
      <c r="N3210" s="1531"/>
      <c r="O3210" s="1531"/>
      <c r="P3210" s="1531"/>
      <c r="Q3210" s="1531"/>
      <c r="R3210" s="1531"/>
      <c r="S3210" s="1531"/>
      <c r="T3210" s="1531"/>
      <c r="U3210" s="1531"/>
      <c r="V3210" s="1531"/>
      <c r="W3210" s="1531"/>
      <c r="X3210" s="1531"/>
      <c r="Y3210" s="1531"/>
      <c r="Z3210" s="1531"/>
      <c r="AA3210" s="1531"/>
      <c r="AB3210" s="1531"/>
      <c r="AC3210" s="1531"/>
      <c r="AD3210" s="1531"/>
      <c r="AE3210" s="1531"/>
      <c r="AF3210" s="1531"/>
      <c r="AG3210" s="1531"/>
      <c r="AH3210" s="1531"/>
      <c r="AI3210" s="1531"/>
      <c r="AJ3210" s="1531"/>
      <c r="AK3210" s="1531"/>
      <c r="AL3210" s="1531"/>
      <c r="AM3210" s="1531"/>
      <c r="AN3210" s="1531"/>
      <c r="AO3210" s="1531"/>
      <c r="AP3210" s="1531"/>
      <c r="AQ3210" s="1531"/>
      <c r="AR3210" s="1531"/>
      <c r="AS3210" s="1531"/>
    </row>
    <row r="3211" spans="1:45" s="1136" customFormat="1" ht="15.75" x14ac:dyDescent="0.25">
      <c r="A3211" s="1456" t="s">
        <v>2516</v>
      </c>
      <c r="B3211" s="1415"/>
      <c r="C3211" s="1531"/>
      <c r="D3211" s="1589"/>
      <c r="E3211" s="1589"/>
      <c r="F3211" s="1589"/>
      <c r="G3211" s="1589"/>
      <c r="H3211" s="1531"/>
      <c r="I3211" s="1531"/>
      <c r="J3211" s="1531"/>
      <c r="K3211" s="1531"/>
      <c r="L3211" s="1531"/>
      <c r="M3211" s="1531"/>
      <c r="N3211" s="1531"/>
      <c r="O3211" s="1531"/>
      <c r="P3211" s="1531"/>
      <c r="Q3211" s="1531"/>
      <c r="R3211" s="1531"/>
      <c r="S3211" s="1531"/>
      <c r="T3211" s="1531"/>
      <c r="U3211" s="1531"/>
      <c r="V3211" s="1531"/>
      <c r="W3211" s="1531"/>
      <c r="X3211" s="1531"/>
      <c r="Y3211" s="1531"/>
      <c r="Z3211" s="1531"/>
      <c r="AA3211" s="1531"/>
      <c r="AB3211" s="1531"/>
      <c r="AC3211" s="1531"/>
      <c r="AD3211" s="1531"/>
      <c r="AE3211" s="1531"/>
      <c r="AF3211" s="1531"/>
      <c r="AG3211" s="1531"/>
      <c r="AH3211" s="1531"/>
      <c r="AI3211" s="1531"/>
      <c r="AJ3211" s="1531"/>
      <c r="AK3211" s="1531"/>
      <c r="AL3211" s="1531"/>
      <c r="AM3211" s="1531"/>
      <c r="AN3211" s="1531"/>
      <c r="AO3211" s="1531"/>
      <c r="AP3211" s="1531"/>
      <c r="AQ3211" s="1531"/>
      <c r="AR3211" s="1531"/>
      <c r="AS3211" s="1531"/>
    </row>
    <row r="3212" spans="1:45" s="1136" customFormat="1" ht="47.25" x14ac:dyDescent="0.25">
      <c r="A3212" s="1420" t="s">
        <v>3335</v>
      </c>
      <c r="B3212" s="1421" t="e">
        <f>B3118*B3117*B3196</f>
        <v>#VALUE!</v>
      </c>
      <c r="C3212" s="1523"/>
      <c r="D3212" s="1562"/>
      <c r="E3212" s="1562"/>
      <c r="F3212" s="1562"/>
      <c r="G3212" s="1562"/>
      <c r="H3212" s="1531"/>
      <c r="I3212" s="1531"/>
      <c r="J3212" s="1531"/>
      <c r="K3212" s="1531"/>
      <c r="L3212" s="1531"/>
      <c r="M3212" s="1531"/>
      <c r="N3212" s="1531"/>
      <c r="O3212" s="1531"/>
      <c r="P3212" s="1531"/>
      <c r="Q3212" s="1531"/>
      <c r="R3212" s="1531"/>
      <c r="S3212" s="1531"/>
      <c r="T3212" s="1531"/>
      <c r="U3212" s="1531"/>
      <c r="V3212" s="1531"/>
      <c r="W3212" s="1531"/>
      <c r="X3212" s="1531"/>
      <c r="Y3212" s="1531"/>
      <c r="Z3212" s="1531"/>
      <c r="AA3212" s="1531"/>
      <c r="AB3212" s="1531"/>
      <c r="AC3212" s="1531"/>
      <c r="AD3212" s="1531"/>
      <c r="AE3212" s="1531"/>
      <c r="AF3212" s="1531"/>
      <c r="AG3212" s="1531"/>
      <c r="AH3212" s="1531"/>
      <c r="AI3212" s="1531"/>
      <c r="AJ3212" s="1531"/>
      <c r="AK3212" s="1531"/>
      <c r="AL3212" s="1531"/>
      <c r="AM3212" s="1531"/>
      <c r="AN3212" s="1531"/>
      <c r="AO3212" s="1531"/>
      <c r="AP3212" s="1531"/>
      <c r="AQ3212" s="1531"/>
      <c r="AR3212" s="1531"/>
      <c r="AS3212" s="1531"/>
    </row>
    <row r="3213" spans="1:45" s="1136" customFormat="1" ht="31.5" x14ac:dyDescent="0.25">
      <c r="A3213" s="1420" t="s">
        <v>2800</v>
      </c>
      <c r="B3213" s="1421" t="e">
        <f>B3142*B3144*B3196</f>
        <v>#VALUE!</v>
      </c>
      <c r="C3213" s="1523"/>
      <c r="D3213" s="1610"/>
      <c r="E3213" s="1610"/>
      <c r="F3213" s="1610"/>
      <c r="G3213" s="1610"/>
      <c r="H3213" s="1531"/>
      <c r="I3213" s="1531"/>
      <c r="J3213" s="1531"/>
      <c r="K3213" s="1531"/>
      <c r="L3213" s="1531"/>
      <c r="M3213" s="1531"/>
      <c r="N3213" s="1531"/>
      <c r="O3213" s="1531"/>
      <c r="P3213" s="1531"/>
      <c r="Q3213" s="1531"/>
      <c r="R3213" s="1531"/>
      <c r="S3213" s="1531"/>
      <c r="T3213" s="1531"/>
      <c r="U3213" s="1531"/>
      <c r="V3213" s="1531"/>
      <c r="W3213" s="1531"/>
      <c r="X3213" s="1531"/>
      <c r="Y3213" s="1531"/>
      <c r="Z3213" s="1531"/>
      <c r="AA3213" s="1531"/>
      <c r="AB3213" s="1531"/>
      <c r="AC3213" s="1531"/>
      <c r="AD3213" s="1531"/>
      <c r="AE3213" s="1531"/>
      <c r="AF3213" s="1531"/>
      <c r="AG3213" s="1531"/>
      <c r="AH3213" s="1531"/>
      <c r="AI3213" s="1531"/>
      <c r="AJ3213" s="1531"/>
      <c r="AK3213" s="1531"/>
      <c r="AL3213" s="1531"/>
      <c r="AM3213" s="1531"/>
      <c r="AN3213" s="1531"/>
      <c r="AO3213" s="1531"/>
      <c r="AP3213" s="1531"/>
      <c r="AQ3213" s="1531"/>
      <c r="AR3213" s="1531"/>
      <c r="AS3213" s="1531"/>
    </row>
    <row r="3214" spans="1:45" s="1136" customFormat="1" ht="15.75" x14ac:dyDescent="0.25">
      <c r="A3214" s="1430" t="s">
        <v>2813</v>
      </c>
      <c r="B3214" s="1588" t="e">
        <f>B3098*B240*B3199</f>
        <v>#VALUE!</v>
      </c>
      <c r="C3214" s="1589"/>
      <c r="D3214" s="1569"/>
      <c r="E3214" s="1569"/>
      <c r="F3214" s="1569"/>
      <c r="G3214" s="1569"/>
      <c r="H3214" s="1531"/>
      <c r="I3214" s="1531"/>
      <c r="J3214" s="1531"/>
      <c r="K3214" s="1531"/>
      <c r="L3214" s="1531"/>
      <c r="M3214" s="1531"/>
      <c r="N3214" s="1531"/>
      <c r="O3214" s="1531"/>
      <c r="P3214" s="1531"/>
      <c r="Q3214" s="1531"/>
      <c r="R3214" s="1531"/>
      <c r="S3214" s="1531"/>
      <c r="T3214" s="1531"/>
      <c r="U3214" s="1531"/>
      <c r="V3214" s="1531"/>
      <c r="W3214" s="1531"/>
      <c r="X3214" s="1531"/>
      <c r="Y3214" s="1531"/>
      <c r="Z3214" s="1531"/>
      <c r="AA3214" s="1531"/>
      <c r="AB3214" s="1531"/>
      <c r="AC3214" s="1531"/>
      <c r="AD3214" s="1531"/>
      <c r="AE3214" s="1531"/>
      <c r="AF3214" s="1531"/>
      <c r="AG3214" s="1531"/>
      <c r="AH3214" s="1531"/>
      <c r="AI3214" s="1531"/>
      <c r="AJ3214" s="1531"/>
      <c r="AK3214" s="1531"/>
      <c r="AL3214" s="1531"/>
      <c r="AM3214" s="1531"/>
      <c r="AN3214" s="1531"/>
      <c r="AO3214" s="1531"/>
      <c r="AP3214" s="1531"/>
      <c r="AQ3214" s="1531"/>
      <c r="AR3214" s="1531"/>
      <c r="AS3214" s="1531"/>
    </row>
    <row r="3215" spans="1:45" s="1136" customFormat="1" ht="15.75" x14ac:dyDescent="0.25">
      <c r="A3215" s="1430" t="s">
        <v>2814</v>
      </c>
      <c r="B3215" s="1588" t="e">
        <f>B3169*B240*B3199</f>
        <v>#VALUE!</v>
      </c>
      <c r="C3215" s="1589"/>
      <c r="D3215" s="1572"/>
      <c r="E3215" s="1572"/>
      <c r="F3215" s="1572"/>
      <c r="G3215" s="1572"/>
      <c r="H3215" s="1531"/>
      <c r="I3215" s="1531"/>
      <c r="J3215" s="1531"/>
      <c r="K3215" s="1531"/>
      <c r="L3215" s="1531"/>
      <c r="M3215" s="1531"/>
      <c r="N3215" s="1531"/>
      <c r="O3215" s="1531"/>
      <c r="P3215" s="1531"/>
      <c r="Q3215" s="1531"/>
      <c r="R3215" s="1531"/>
      <c r="S3215" s="1531"/>
      <c r="T3215" s="1531"/>
      <c r="U3215" s="1531"/>
      <c r="V3215" s="1531"/>
      <c r="W3215" s="1531"/>
      <c r="X3215" s="1531"/>
      <c r="Y3215" s="1531"/>
      <c r="Z3215" s="1531"/>
      <c r="AA3215" s="1531"/>
      <c r="AB3215" s="1531"/>
      <c r="AC3215" s="1531"/>
      <c r="AD3215" s="1531"/>
      <c r="AE3215" s="1531"/>
      <c r="AF3215" s="1531"/>
      <c r="AG3215" s="1531"/>
      <c r="AH3215" s="1531"/>
      <c r="AI3215" s="1531"/>
      <c r="AJ3215" s="1531"/>
      <c r="AK3215" s="1531"/>
      <c r="AL3215" s="1531"/>
      <c r="AM3215" s="1531"/>
      <c r="AN3215" s="1531"/>
      <c r="AO3215" s="1531"/>
      <c r="AP3215" s="1531"/>
      <c r="AQ3215" s="1531"/>
      <c r="AR3215" s="1531"/>
      <c r="AS3215" s="1531"/>
    </row>
    <row r="3216" spans="1:45" s="1136" customFormat="1" ht="47.25" x14ac:dyDescent="0.25">
      <c r="A3216" s="1420" t="s">
        <v>2815</v>
      </c>
      <c r="B3216" s="1588" t="e">
        <f>B3118*3*B240*B3199</f>
        <v>#VALUE!</v>
      </c>
      <c r="C3216" s="1589"/>
      <c r="D3216" s="1531"/>
      <c r="E3216" s="1531"/>
      <c r="F3216" s="1531"/>
      <c r="G3216" s="1531"/>
      <c r="H3216" s="1531"/>
      <c r="I3216" s="1531"/>
      <c r="J3216" s="1531"/>
      <c r="K3216" s="1531"/>
      <c r="L3216" s="1531"/>
      <c r="M3216" s="1531"/>
      <c r="N3216" s="1531"/>
      <c r="O3216" s="1531"/>
      <c r="P3216" s="1531"/>
      <c r="Q3216" s="1531"/>
      <c r="R3216" s="1531"/>
      <c r="S3216" s="1531"/>
      <c r="T3216" s="1531"/>
      <c r="U3216" s="1531"/>
      <c r="V3216" s="1531"/>
      <c r="W3216" s="1531"/>
      <c r="X3216" s="1531"/>
      <c r="Y3216" s="1531"/>
      <c r="Z3216" s="1531"/>
      <c r="AA3216" s="1531"/>
      <c r="AB3216" s="1531"/>
      <c r="AC3216" s="1531"/>
      <c r="AD3216" s="1531"/>
      <c r="AE3216" s="1531"/>
      <c r="AF3216" s="1531"/>
      <c r="AG3216" s="1531"/>
      <c r="AH3216" s="1531"/>
      <c r="AI3216" s="1531"/>
      <c r="AJ3216" s="1531"/>
      <c r="AK3216" s="1531"/>
      <c r="AL3216" s="1531"/>
      <c r="AM3216" s="1531"/>
      <c r="AN3216" s="1531"/>
      <c r="AO3216" s="1531"/>
      <c r="AP3216" s="1531"/>
      <c r="AQ3216" s="1531"/>
      <c r="AR3216" s="1531"/>
      <c r="AS3216" s="1531"/>
    </row>
    <row r="3217" spans="1:45" s="1136" customFormat="1" ht="15.75" x14ac:dyDescent="0.25">
      <c r="A3217" s="1430" t="s">
        <v>3329</v>
      </c>
      <c r="B3217" s="1588" t="e">
        <f>B3204</f>
        <v>#VALUE!</v>
      </c>
      <c r="C3217" s="1589"/>
      <c r="D3217" s="1531"/>
      <c r="E3217" s="1531"/>
      <c r="F3217" s="1531"/>
      <c r="G3217" s="1531"/>
      <c r="H3217" s="1531"/>
      <c r="I3217" s="1531"/>
      <c r="J3217" s="1531"/>
      <c r="K3217" s="1531"/>
      <c r="L3217" s="1531"/>
      <c r="M3217" s="1531"/>
      <c r="N3217" s="1531"/>
      <c r="O3217" s="1531"/>
      <c r="P3217" s="1531"/>
      <c r="Q3217" s="1531"/>
      <c r="R3217" s="1531"/>
      <c r="S3217" s="1531"/>
      <c r="T3217" s="1531"/>
      <c r="U3217" s="1531"/>
      <c r="V3217" s="1531"/>
      <c r="W3217" s="1531"/>
      <c r="X3217" s="1531"/>
      <c r="Y3217" s="1531"/>
      <c r="Z3217" s="1531"/>
      <c r="AA3217" s="1531"/>
      <c r="AB3217" s="1531"/>
      <c r="AC3217" s="1531"/>
      <c r="AD3217" s="1531"/>
      <c r="AE3217" s="1531"/>
      <c r="AF3217" s="1531"/>
      <c r="AG3217" s="1531"/>
      <c r="AH3217" s="1531"/>
      <c r="AI3217" s="1531"/>
      <c r="AJ3217" s="1531"/>
      <c r="AK3217" s="1531"/>
      <c r="AL3217" s="1531"/>
      <c r="AM3217" s="1531"/>
      <c r="AN3217" s="1531"/>
      <c r="AO3217" s="1531"/>
      <c r="AP3217" s="1531"/>
      <c r="AQ3217" s="1531"/>
      <c r="AR3217" s="1531"/>
      <c r="AS3217" s="1531"/>
    </row>
    <row r="3218" spans="1:45" s="1136" customFormat="1" ht="15.75" x14ac:dyDescent="0.25">
      <c r="A3218" s="1420" t="s">
        <v>3330</v>
      </c>
      <c r="B3218" s="1439" t="e">
        <f>B3212+B3213+B3214+B3215+B3216+B3217</f>
        <v>#VALUE!</v>
      </c>
      <c r="C3218" s="1562"/>
      <c r="D3218" s="1531"/>
      <c r="E3218" s="1531"/>
      <c r="F3218" s="1531"/>
      <c r="G3218" s="1531"/>
      <c r="H3218" s="1531"/>
      <c r="I3218" s="1531"/>
      <c r="J3218" s="1531"/>
      <c r="K3218" s="1531"/>
      <c r="L3218" s="1531"/>
      <c r="M3218" s="1531"/>
      <c r="N3218" s="1531"/>
      <c r="O3218" s="1531"/>
      <c r="P3218" s="1531"/>
      <c r="Q3218" s="1531"/>
      <c r="R3218" s="1531"/>
      <c r="S3218" s="1531"/>
      <c r="T3218" s="1531"/>
      <c r="U3218" s="1531"/>
      <c r="V3218" s="1531"/>
      <c r="W3218" s="1531"/>
      <c r="X3218" s="1531"/>
      <c r="Y3218" s="1531"/>
      <c r="Z3218" s="1531"/>
      <c r="AA3218" s="1531"/>
      <c r="AB3218" s="1531"/>
      <c r="AC3218" s="1531"/>
      <c r="AD3218" s="1531"/>
      <c r="AE3218" s="1531"/>
      <c r="AF3218" s="1531"/>
      <c r="AG3218" s="1531"/>
      <c r="AH3218" s="1531"/>
      <c r="AI3218" s="1531"/>
      <c r="AJ3218" s="1531"/>
      <c r="AK3218" s="1531"/>
      <c r="AL3218" s="1531"/>
      <c r="AM3218" s="1531"/>
      <c r="AN3218" s="1531"/>
      <c r="AO3218" s="1531"/>
      <c r="AP3218" s="1531"/>
      <c r="AQ3218" s="1531"/>
      <c r="AR3218" s="1531"/>
      <c r="AS3218" s="1531"/>
    </row>
    <row r="3219" spans="1:45" s="1136" customFormat="1" ht="15.75" x14ac:dyDescent="0.25">
      <c r="A3219" s="1420" t="s">
        <v>3332</v>
      </c>
      <c r="B3219" s="1443" t="e">
        <f>B3218*B3206</f>
        <v>#VALUE!</v>
      </c>
      <c r="C3219" s="1521"/>
      <c r="D3219" s="1523"/>
      <c r="E3219" s="1523"/>
      <c r="F3219" s="1523"/>
      <c r="G3219" s="1523"/>
      <c r="H3219" s="1531"/>
      <c r="I3219" s="1531"/>
      <c r="J3219" s="1531"/>
      <c r="K3219" s="1531"/>
      <c r="L3219" s="1531"/>
      <c r="M3219" s="1531"/>
      <c r="N3219" s="1531"/>
      <c r="O3219" s="1531"/>
      <c r="P3219" s="1531"/>
      <c r="Q3219" s="1531"/>
      <c r="R3219" s="1531"/>
      <c r="S3219" s="1531"/>
      <c r="T3219" s="1531"/>
      <c r="U3219" s="1531"/>
      <c r="V3219" s="1531"/>
      <c r="W3219" s="1531"/>
      <c r="X3219" s="1531"/>
      <c r="Y3219" s="1531"/>
      <c r="Z3219" s="1531"/>
      <c r="AA3219" s="1531"/>
      <c r="AB3219" s="1531"/>
      <c r="AC3219" s="1531"/>
      <c r="AD3219" s="1531"/>
      <c r="AE3219" s="1531"/>
      <c r="AF3219" s="1531"/>
      <c r="AG3219" s="1531"/>
      <c r="AH3219" s="1531"/>
      <c r="AI3219" s="1531"/>
      <c r="AJ3219" s="1531"/>
      <c r="AK3219" s="1531"/>
      <c r="AL3219" s="1531"/>
      <c r="AM3219" s="1531"/>
      <c r="AN3219" s="1531"/>
      <c r="AO3219" s="1531"/>
      <c r="AP3219" s="1531"/>
      <c r="AQ3219" s="1531"/>
      <c r="AR3219" s="1531"/>
      <c r="AS3219" s="1531"/>
    </row>
    <row r="3220" spans="1:45" s="1136" customFormat="1" ht="15.75" x14ac:dyDescent="0.25">
      <c r="A3220" s="1452" t="s">
        <v>3333</v>
      </c>
      <c r="B3220" s="1467" t="e">
        <f>IF(B276=1,B3219,0)</f>
        <v>#VALUE!</v>
      </c>
      <c r="C3220" s="1590"/>
      <c r="D3220" s="1523"/>
      <c r="E3220" s="1523"/>
      <c r="F3220" s="1523"/>
      <c r="G3220" s="1523"/>
      <c r="H3220" s="1531"/>
      <c r="I3220" s="1531"/>
      <c r="J3220" s="1531"/>
      <c r="K3220" s="1531"/>
      <c r="L3220" s="1531"/>
      <c r="M3220" s="1531"/>
      <c r="N3220" s="1531"/>
      <c r="O3220" s="1531"/>
      <c r="P3220" s="1531"/>
      <c r="Q3220" s="1531"/>
      <c r="R3220" s="1531"/>
      <c r="S3220" s="1531"/>
      <c r="T3220" s="1531"/>
      <c r="U3220" s="1531"/>
      <c r="V3220" s="1531"/>
      <c r="W3220" s="1531"/>
      <c r="X3220" s="1531"/>
      <c r="Y3220" s="1531"/>
      <c r="Z3220" s="1531"/>
      <c r="AA3220" s="1531"/>
      <c r="AB3220" s="1531"/>
      <c r="AC3220" s="1531"/>
      <c r="AD3220" s="1531"/>
      <c r="AE3220" s="1531"/>
      <c r="AF3220" s="1531"/>
      <c r="AG3220" s="1531"/>
      <c r="AH3220" s="1531"/>
      <c r="AI3220" s="1531"/>
      <c r="AJ3220" s="1531"/>
      <c r="AK3220" s="1531"/>
      <c r="AL3220" s="1531"/>
      <c r="AM3220" s="1531"/>
      <c r="AN3220" s="1531"/>
      <c r="AO3220" s="1531"/>
      <c r="AP3220" s="1531"/>
      <c r="AQ3220" s="1531"/>
      <c r="AR3220" s="1531"/>
      <c r="AS3220" s="1531"/>
    </row>
    <row r="3221" spans="1:45" s="1136" customFormat="1" ht="15.75" x14ac:dyDescent="0.25">
      <c r="A3221" s="1471"/>
      <c r="B3221" s="1573"/>
      <c r="C3221" s="1574"/>
      <c r="D3221" s="1589"/>
      <c r="E3221" s="1589"/>
      <c r="F3221" s="1589"/>
      <c r="G3221" s="1589"/>
      <c r="H3221" s="1531"/>
      <c r="I3221" s="1531"/>
      <c r="J3221" s="1531"/>
      <c r="K3221" s="1531"/>
      <c r="L3221" s="1531"/>
      <c r="M3221" s="1531"/>
      <c r="N3221" s="1531"/>
      <c r="O3221" s="1531"/>
      <c r="P3221" s="1531"/>
      <c r="Q3221" s="1531"/>
      <c r="R3221" s="1531"/>
      <c r="S3221" s="1531"/>
      <c r="T3221" s="1531"/>
      <c r="U3221" s="1531"/>
      <c r="V3221" s="1531"/>
      <c r="W3221" s="1531"/>
      <c r="X3221" s="1531"/>
      <c r="Y3221" s="1531"/>
      <c r="Z3221" s="1531"/>
      <c r="AA3221" s="1531"/>
      <c r="AB3221" s="1531"/>
      <c r="AC3221" s="1531"/>
      <c r="AD3221" s="1531"/>
      <c r="AE3221" s="1531"/>
      <c r="AF3221" s="1531"/>
      <c r="AG3221" s="1531"/>
      <c r="AH3221" s="1531"/>
      <c r="AI3221" s="1531"/>
      <c r="AJ3221" s="1531"/>
      <c r="AK3221" s="1531"/>
      <c r="AL3221" s="1531"/>
      <c r="AM3221" s="1531"/>
      <c r="AN3221" s="1531"/>
      <c r="AO3221" s="1531"/>
      <c r="AP3221" s="1531"/>
      <c r="AQ3221" s="1531"/>
      <c r="AR3221" s="1531"/>
      <c r="AS3221" s="1531"/>
    </row>
    <row r="3222" spans="1:45" s="1136" customFormat="1" ht="15.75" x14ac:dyDescent="0.25">
      <c r="A3222" s="1430" t="s">
        <v>2816</v>
      </c>
      <c r="B3222" s="1431">
        <f>B2791</f>
        <v>3</v>
      </c>
      <c r="C3222" s="1610"/>
      <c r="D3222" s="1589"/>
      <c r="E3222" s="1589"/>
      <c r="F3222" s="1589"/>
      <c r="G3222" s="1589"/>
      <c r="H3222" s="1531"/>
      <c r="I3222" s="1531"/>
      <c r="J3222" s="1531"/>
      <c r="K3222" s="1531"/>
      <c r="L3222" s="1531"/>
      <c r="M3222" s="1531"/>
      <c r="N3222" s="1531"/>
      <c r="O3222" s="1531"/>
      <c r="P3222" s="1531"/>
      <c r="Q3222" s="1531"/>
      <c r="R3222" s="1531"/>
      <c r="S3222" s="1531"/>
      <c r="T3222" s="1531"/>
      <c r="U3222" s="1531"/>
      <c r="V3222" s="1531"/>
      <c r="W3222" s="1531"/>
      <c r="X3222" s="1531"/>
      <c r="Y3222" s="1531"/>
      <c r="Z3222" s="1531"/>
      <c r="AA3222" s="1531"/>
      <c r="AB3222" s="1531"/>
      <c r="AC3222" s="1531"/>
      <c r="AD3222" s="1531"/>
      <c r="AE3222" s="1531"/>
      <c r="AF3222" s="1531"/>
      <c r="AG3222" s="1531"/>
      <c r="AH3222" s="1531"/>
      <c r="AI3222" s="1531"/>
      <c r="AJ3222" s="1531"/>
      <c r="AK3222" s="1531"/>
      <c r="AL3222" s="1531"/>
      <c r="AM3222" s="1531"/>
      <c r="AN3222" s="1531"/>
      <c r="AO3222" s="1531"/>
      <c r="AP3222" s="1531"/>
      <c r="AQ3222" s="1531"/>
      <c r="AR3222" s="1531"/>
      <c r="AS3222" s="1531"/>
    </row>
    <row r="3223" spans="1:45" s="1136" customFormat="1" ht="15.75" x14ac:dyDescent="0.25">
      <c r="A3223" s="1592" t="s">
        <v>2817</v>
      </c>
      <c r="B3223" s="1586" t="e">
        <f>B240*B245*B244*B247*B239*B3222/(B241*B281)</f>
        <v>#VALUE!</v>
      </c>
      <c r="C3223" s="1587"/>
      <c r="D3223" s="1589"/>
      <c r="E3223" s="1589"/>
      <c r="F3223" s="1589"/>
      <c r="G3223" s="1589"/>
      <c r="H3223" s="1531"/>
      <c r="I3223" s="1531"/>
      <c r="J3223" s="1531"/>
      <c r="K3223" s="1531"/>
      <c r="L3223" s="1531"/>
      <c r="M3223" s="1531"/>
      <c r="N3223" s="1531"/>
      <c r="O3223" s="1531"/>
      <c r="P3223" s="1531"/>
      <c r="Q3223" s="1531"/>
      <c r="R3223" s="1531"/>
      <c r="S3223" s="1531"/>
      <c r="T3223" s="1531"/>
      <c r="U3223" s="1531"/>
      <c r="V3223" s="1531"/>
      <c r="W3223" s="1531"/>
      <c r="X3223" s="1531"/>
      <c r="Y3223" s="1531"/>
      <c r="Z3223" s="1531"/>
      <c r="AA3223" s="1531"/>
      <c r="AB3223" s="1531"/>
      <c r="AC3223" s="1531"/>
      <c r="AD3223" s="1531"/>
      <c r="AE3223" s="1531"/>
      <c r="AF3223" s="1531"/>
      <c r="AG3223" s="1531"/>
      <c r="AH3223" s="1531"/>
      <c r="AI3223" s="1531"/>
      <c r="AJ3223" s="1531"/>
      <c r="AK3223" s="1531"/>
      <c r="AL3223" s="1531"/>
      <c r="AM3223" s="1531"/>
      <c r="AN3223" s="1531"/>
      <c r="AO3223" s="1531"/>
      <c r="AP3223" s="1531"/>
      <c r="AQ3223" s="1531"/>
      <c r="AR3223" s="1531"/>
      <c r="AS3223" s="1531"/>
    </row>
    <row r="3224" spans="1:45" s="1136" customFormat="1" ht="15.75" x14ac:dyDescent="0.25">
      <c r="A3224" s="1580" t="s">
        <v>1896</v>
      </c>
      <c r="B3224" s="1588"/>
      <c r="C3224" s="1589"/>
      <c r="D3224" s="1589"/>
      <c r="E3224" s="1589"/>
      <c r="F3224" s="1589"/>
      <c r="G3224" s="1589"/>
      <c r="H3224" s="1531"/>
      <c r="I3224" s="1531"/>
      <c r="J3224" s="1531"/>
      <c r="K3224" s="1531"/>
      <c r="L3224" s="1531"/>
      <c r="M3224" s="1531"/>
      <c r="N3224" s="1531"/>
      <c r="O3224" s="1531"/>
      <c r="P3224" s="1531"/>
      <c r="Q3224" s="1531"/>
      <c r="R3224" s="1531"/>
      <c r="S3224" s="1531"/>
      <c r="T3224" s="1531"/>
      <c r="U3224" s="1531"/>
      <c r="V3224" s="1531"/>
      <c r="W3224" s="1531"/>
      <c r="X3224" s="1531"/>
      <c r="Y3224" s="1531"/>
      <c r="Z3224" s="1531"/>
      <c r="AA3224" s="1531"/>
      <c r="AB3224" s="1531"/>
      <c r="AC3224" s="1531"/>
      <c r="AD3224" s="1531"/>
      <c r="AE3224" s="1531"/>
      <c r="AF3224" s="1531"/>
      <c r="AG3224" s="1531"/>
      <c r="AH3224" s="1531"/>
      <c r="AI3224" s="1531"/>
      <c r="AJ3224" s="1531"/>
      <c r="AK3224" s="1531"/>
      <c r="AL3224" s="1531"/>
      <c r="AM3224" s="1531"/>
      <c r="AN3224" s="1531"/>
      <c r="AO3224" s="1531"/>
      <c r="AP3224" s="1531"/>
      <c r="AQ3224" s="1531"/>
      <c r="AR3224" s="1531"/>
      <c r="AS3224" s="1531"/>
    </row>
    <row r="3225" spans="1:45" s="1136" customFormat="1" ht="15.75" x14ac:dyDescent="0.25">
      <c r="A3225" s="1594" t="s">
        <v>1897</v>
      </c>
      <c r="B3225" s="1588"/>
      <c r="C3225" s="1589"/>
      <c r="D3225" s="1562"/>
      <c r="E3225" s="1562"/>
      <c r="F3225" s="1562"/>
      <c r="G3225" s="1562"/>
      <c r="H3225" s="1531"/>
      <c r="I3225" s="1531"/>
      <c r="J3225" s="1531"/>
      <c r="K3225" s="1531"/>
      <c r="L3225" s="1531"/>
      <c r="M3225" s="1531"/>
      <c r="N3225" s="1531"/>
      <c r="O3225" s="1531"/>
      <c r="P3225" s="1531"/>
      <c r="Q3225" s="1531"/>
      <c r="R3225" s="1531"/>
      <c r="S3225" s="1531"/>
      <c r="T3225" s="1531"/>
      <c r="U3225" s="1531"/>
      <c r="V3225" s="1531"/>
      <c r="W3225" s="1531"/>
      <c r="X3225" s="1531"/>
      <c r="Y3225" s="1531"/>
      <c r="Z3225" s="1531"/>
      <c r="AA3225" s="1531"/>
      <c r="AB3225" s="1531"/>
      <c r="AC3225" s="1531"/>
      <c r="AD3225" s="1531"/>
      <c r="AE3225" s="1531"/>
      <c r="AF3225" s="1531"/>
      <c r="AG3225" s="1531"/>
      <c r="AH3225" s="1531"/>
      <c r="AI3225" s="1531"/>
      <c r="AJ3225" s="1531"/>
      <c r="AK3225" s="1531"/>
      <c r="AL3225" s="1531"/>
      <c r="AM3225" s="1531"/>
      <c r="AN3225" s="1531"/>
      <c r="AO3225" s="1531"/>
      <c r="AP3225" s="1531"/>
      <c r="AQ3225" s="1531"/>
      <c r="AR3225" s="1531"/>
      <c r="AS3225" s="1531"/>
    </row>
    <row r="3226" spans="1:45" s="1136" customFormat="1" ht="15.75" x14ac:dyDescent="0.25">
      <c r="A3226" s="1456" t="s">
        <v>1904</v>
      </c>
      <c r="B3226" s="1441">
        <f>(CEILING((B278+B279/(B3060-B2851)),1))*B2849*4</f>
        <v>16</v>
      </c>
      <c r="C3226" s="1596"/>
      <c r="D3226" s="1521"/>
      <c r="E3226" s="1521"/>
      <c r="F3226" s="1521"/>
      <c r="G3226" s="1521"/>
      <c r="H3226" s="1531"/>
      <c r="I3226" s="1531"/>
      <c r="J3226" s="1531"/>
      <c r="K3226" s="1531"/>
      <c r="L3226" s="1531"/>
      <c r="M3226" s="1531"/>
      <c r="N3226" s="1531"/>
      <c r="O3226" s="1531"/>
      <c r="P3226" s="1531"/>
      <c r="Q3226" s="1531"/>
      <c r="R3226" s="1531"/>
      <c r="S3226" s="1531"/>
      <c r="T3226" s="1531"/>
      <c r="U3226" s="1531"/>
      <c r="V3226" s="1531"/>
      <c r="W3226" s="1531"/>
      <c r="X3226" s="1531"/>
      <c r="Y3226" s="1531"/>
      <c r="Z3226" s="1531"/>
      <c r="AA3226" s="1531"/>
      <c r="AB3226" s="1531"/>
      <c r="AC3226" s="1531"/>
      <c r="AD3226" s="1531"/>
      <c r="AE3226" s="1531"/>
      <c r="AF3226" s="1531"/>
      <c r="AG3226" s="1531"/>
      <c r="AH3226" s="1531"/>
      <c r="AI3226" s="1531"/>
      <c r="AJ3226" s="1531"/>
      <c r="AK3226" s="1531"/>
      <c r="AL3226" s="1531"/>
      <c r="AM3226" s="1531"/>
      <c r="AN3226" s="1531"/>
      <c r="AO3226" s="1531"/>
      <c r="AP3226" s="1531"/>
      <c r="AQ3226" s="1531"/>
      <c r="AR3226" s="1531"/>
      <c r="AS3226" s="1531"/>
    </row>
    <row r="3227" spans="1:45" s="1136" customFormat="1" ht="15.75" x14ac:dyDescent="0.25">
      <c r="A3227" s="1417" t="s">
        <v>1899</v>
      </c>
      <c r="B3227" s="1421" t="e">
        <f>ROUNDUP(((B278+B279)/B3142),0)*B2850</f>
        <v>#DIV/0!</v>
      </c>
      <c r="C3227" s="1523"/>
      <c r="D3227" s="1590"/>
      <c r="E3227" s="1590"/>
      <c r="F3227" s="1590"/>
      <c r="G3227" s="1590"/>
      <c r="H3227" s="1531"/>
      <c r="I3227" s="1531"/>
      <c r="J3227" s="1531"/>
      <c r="K3227" s="1531"/>
      <c r="L3227" s="1531"/>
      <c r="M3227" s="1531"/>
      <c r="N3227" s="1531"/>
      <c r="O3227" s="1531"/>
      <c r="P3227" s="1531"/>
      <c r="Q3227" s="1531"/>
      <c r="R3227" s="1531"/>
      <c r="S3227" s="1531"/>
      <c r="T3227" s="1531"/>
      <c r="U3227" s="1531"/>
      <c r="V3227" s="1531"/>
      <c r="W3227" s="1531"/>
      <c r="X3227" s="1531"/>
      <c r="Y3227" s="1531"/>
      <c r="Z3227" s="1531"/>
      <c r="AA3227" s="1531"/>
      <c r="AB3227" s="1531"/>
      <c r="AC3227" s="1531"/>
      <c r="AD3227" s="1531"/>
      <c r="AE3227" s="1531"/>
      <c r="AF3227" s="1531"/>
      <c r="AG3227" s="1531"/>
      <c r="AH3227" s="1531"/>
      <c r="AI3227" s="1531"/>
      <c r="AJ3227" s="1531"/>
      <c r="AK3227" s="1531"/>
      <c r="AL3227" s="1531"/>
      <c r="AM3227" s="1531"/>
      <c r="AN3227" s="1531"/>
      <c r="AO3227" s="1531"/>
      <c r="AP3227" s="1531"/>
      <c r="AQ3227" s="1531"/>
      <c r="AR3227" s="1531"/>
      <c r="AS3227" s="1531"/>
    </row>
    <row r="3228" spans="1:45" s="1136" customFormat="1" ht="15.75" x14ac:dyDescent="0.25">
      <c r="A3228" s="1430" t="s">
        <v>1900</v>
      </c>
      <c r="B3228" s="1588" t="e">
        <f>(B3226+B3227)*B3223/100</f>
        <v>#DIV/0!</v>
      </c>
      <c r="C3228" s="1589"/>
      <c r="D3228" s="1531"/>
      <c r="E3228" s="1531"/>
      <c r="F3228" s="1531"/>
      <c r="G3228" s="1531"/>
      <c r="H3228" s="1531"/>
      <c r="I3228" s="1531"/>
      <c r="J3228" s="1531"/>
      <c r="K3228" s="1531"/>
      <c r="L3228" s="1531"/>
      <c r="M3228" s="1531"/>
      <c r="N3228" s="1531"/>
      <c r="O3228" s="1531"/>
      <c r="P3228" s="1531"/>
      <c r="Q3228" s="1531"/>
      <c r="R3228" s="1531"/>
      <c r="S3228" s="1531"/>
      <c r="T3228" s="1531"/>
      <c r="U3228" s="1531"/>
      <c r="V3228" s="1531"/>
      <c r="W3228" s="1531"/>
      <c r="X3228" s="1531"/>
      <c r="Y3228" s="1531"/>
      <c r="Z3228" s="1531"/>
      <c r="AA3228" s="1531"/>
      <c r="AB3228" s="1531"/>
      <c r="AC3228" s="1531"/>
      <c r="AD3228" s="1531"/>
      <c r="AE3228" s="1531"/>
      <c r="AF3228" s="1531"/>
      <c r="AG3228" s="1531"/>
      <c r="AH3228" s="1531"/>
      <c r="AI3228" s="1531"/>
      <c r="AJ3228" s="1531"/>
      <c r="AK3228" s="1531"/>
      <c r="AL3228" s="1531"/>
      <c r="AM3228" s="1531"/>
      <c r="AN3228" s="1531"/>
      <c r="AO3228" s="1531"/>
      <c r="AP3228" s="1531"/>
      <c r="AQ3228" s="1531"/>
      <c r="AR3228" s="1531"/>
      <c r="AS3228" s="1531"/>
    </row>
    <row r="3229" spans="1:45" s="1136" customFormat="1" ht="15.75" x14ac:dyDescent="0.25">
      <c r="A3229" s="1430" t="s">
        <v>1901</v>
      </c>
      <c r="B3229" s="1431">
        <f>B2798</f>
        <v>800</v>
      </c>
      <c r="C3229" s="1610"/>
      <c r="D3229" s="1610"/>
      <c r="E3229" s="1610"/>
      <c r="F3229" s="1610"/>
      <c r="G3229" s="1610"/>
      <c r="H3229" s="1531"/>
      <c r="I3229" s="1531"/>
      <c r="J3229" s="1531"/>
      <c r="K3229" s="1531"/>
      <c r="L3229" s="1531"/>
      <c r="M3229" s="1531"/>
      <c r="N3229" s="1531"/>
      <c r="O3229" s="1531"/>
      <c r="P3229" s="1531"/>
      <c r="Q3229" s="1531"/>
      <c r="R3229" s="1531"/>
      <c r="S3229" s="1531"/>
      <c r="T3229" s="1531"/>
      <c r="U3229" s="1531"/>
      <c r="V3229" s="1531"/>
      <c r="W3229" s="1531"/>
      <c r="X3229" s="1531"/>
      <c r="Y3229" s="1531"/>
      <c r="Z3229" s="1531"/>
      <c r="AA3229" s="1531"/>
      <c r="AB3229" s="1531"/>
      <c r="AC3229" s="1531"/>
      <c r="AD3229" s="1531"/>
      <c r="AE3229" s="1531"/>
      <c r="AF3229" s="1531"/>
      <c r="AG3229" s="1531"/>
      <c r="AH3229" s="1531"/>
      <c r="AI3229" s="1531"/>
      <c r="AJ3229" s="1531"/>
      <c r="AK3229" s="1531"/>
      <c r="AL3229" s="1531"/>
      <c r="AM3229" s="1531"/>
      <c r="AN3229" s="1531"/>
      <c r="AO3229" s="1531"/>
      <c r="AP3229" s="1531"/>
      <c r="AQ3229" s="1531"/>
      <c r="AR3229" s="1531"/>
      <c r="AS3229" s="1531"/>
    </row>
    <row r="3230" spans="1:45" s="1136" customFormat="1" ht="15.75" x14ac:dyDescent="0.25">
      <c r="A3230" s="1430" t="s">
        <v>4307</v>
      </c>
      <c r="B3230" s="1433" t="e">
        <f>B3228*B3229</f>
        <v>#DIV/0!</v>
      </c>
      <c r="C3230" s="1569"/>
      <c r="D3230" s="1587"/>
      <c r="E3230" s="1587"/>
      <c r="F3230" s="1587"/>
      <c r="G3230" s="1587"/>
      <c r="H3230" s="1531"/>
      <c r="I3230" s="1531"/>
      <c r="J3230" s="1531"/>
      <c r="K3230" s="1531"/>
      <c r="L3230" s="1531"/>
      <c r="M3230" s="1531"/>
      <c r="N3230" s="1531"/>
      <c r="O3230" s="1531"/>
      <c r="P3230" s="1531"/>
      <c r="Q3230" s="1531"/>
      <c r="R3230" s="1531"/>
      <c r="S3230" s="1531"/>
      <c r="T3230" s="1531"/>
      <c r="U3230" s="1531"/>
      <c r="V3230" s="1531"/>
      <c r="W3230" s="1531"/>
      <c r="X3230" s="1531"/>
      <c r="Y3230" s="1531"/>
      <c r="Z3230" s="1531"/>
      <c r="AA3230" s="1531"/>
      <c r="AB3230" s="1531"/>
      <c r="AC3230" s="1531"/>
      <c r="AD3230" s="1531"/>
      <c r="AE3230" s="1531"/>
      <c r="AF3230" s="1531"/>
      <c r="AG3230" s="1531"/>
      <c r="AH3230" s="1531"/>
      <c r="AI3230" s="1531"/>
      <c r="AJ3230" s="1531"/>
      <c r="AK3230" s="1531"/>
      <c r="AL3230" s="1531"/>
      <c r="AM3230" s="1531"/>
      <c r="AN3230" s="1531"/>
      <c r="AO3230" s="1531"/>
      <c r="AP3230" s="1531"/>
      <c r="AQ3230" s="1531"/>
      <c r="AR3230" s="1531"/>
      <c r="AS3230" s="1531"/>
    </row>
    <row r="3231" spans="1:45" s="1136" customFormat="1" ht="15.75" x14ac:dyDescent="0.25">
      <c r="A3231" s="1595" t="s">
        <v>1903</v>
      </c>
      <c r="B3231" s="1415"/>
      <c r="C3231" s="1531"/>
      <c r="D3231" s="1531"/>
      <c r="E3231" s="1531"/>
      <c r="F3231" s="1531"/>
      <c r="G3231" s="1531"/>
      <c r="H3231" s="1531"/>
      <c r="I3231" s="1531"/>
      <c r="J3231" s="1531"/>
      <c r="K3231" s="1531"/>
      <c r="L3231" s="1531"/>
      <c r="M3231" s="1531"/>
      <c r="N3231" s="1531"/>
      <c r="O3231" s="1531"/>
      <c r="P3231" s="1531"/>
      <c r="Q3231" s="1531"/>
      <c r="R3231" s="1531"/>
      <c r="S3231" s="1531"/>
      <c r="T3231" s="1531"/>
      <c r="U3231" s="1531"/>
      <c r="V3231" s="1531"/>
      <c r="W3231" s="1531"/>
      <c r="X3231" s="1531"/>
      <c r="Y3231" s="1531"/>
      <c r="Z3231" s="1531"/>
      <c r="AA3231" s="1531"/>
      <c r="AB3231" s="1531"/>
      <c r="AC3231" s="1531"/>
      <c r="AD3231" s="1531"/>
      <c r="AE3231" s="1531"/>
      <c r="AF3231" s="1531"/>
      <c r="AG3231" s="1531"/>
      <c r="AH3231" s="1531"/>
      <c r="AI3231" s="1531"/>
      <c r="AJ3231" s="1531"/>
      <c r="AK3231" s="1531"/>
      <c r="AL3231" s="1531"/>
      <c r="AM3231" s="1531"/>
      <c r="AN3231" s="1531"/>
      <c r="AO3231" s="1531"/>
      <c r="AP3231" s="1531"/>
      <c r="AQ3231" s="1531"/>
      <c r="AR3231" s="1531"/>
      <c r="AS3231" s="1531"/>
    </row>
    <row r="3232" spans="1:45" s="1136" customFormat="1" ht="15.75" x14ac:dyDescent="0.25">
      <c r="A3232" s="1456" t="s">
        <v>1904</v>
      </c>
      <c r="B3232" s="1441">
        <f>B3226</f>
        <v>16</v>
      </c>
      <c r="C3232" s="1596"/>
      <c r="D3232" s="1531"/>
      <c r="E3232" s="1531"/>
      <c r="F3232" s="1531"/>
      <c r="G3232" s="1531"/>
      <c r="H3232" s="1531"/>
      <c r="I3232" s="1531"/>
      <c r="J3232" s="1531"/>
      <c r="K3232" s="1531"/>
      <c r="L3232" s="1531"/>
      <c r="M3232" s="1531"/>
      <c r="N3232" s="1531"/>
      <c r="O3232" s="1531"/>
      <c r="P3232" s="1531"/>
      <c r="Q3232" s="1531"/>
      <c r="R3232" s="1531"/>
      <c r="S3232" s="1531"/>
      <c r="T3232" s="1531"/>
      <c r="U3232" s="1531"/>
      <c r="V3232" s="1531"/>
      <c r="W3232" s="1531"/>
      <c r="X3232" s="1531"/>
      <c r="Y3232" s="1531"/>
      <c r="Z3232" s="1531"/>
      <c r="AA3232" s="1531"/>
      <c r="AB3232" s="1531"/>
      <c r="AC3232" s="1531"/>
      <c r="AD3232" s="1531"/>
      <c r="AE3232" s="1531"/>
      <c r="AF3232" s="1531"/>
      <c r="AG3232" s="1531"/>
      <c r="AH3232" s="1531"/>
      <c r="AI3232" s="1531"/>
      <c r="AJ3232" s="1531"/>
      <c r="AK3232" s="1531"/>
      <c r="AL3232" s="1531"/>
      <c r="AM3232" s="1531"/>
      <c r="AN3232" s="1531"/>
      <c r="AO3232" s="1531"/>
      <c r="AP3232" s="1531"/>
      <c r="AQ3232" s="1531"/>
      <c r="AR3232" s="1531"/>
      <c r="AS3232" s="1531"/>
    </row>
    <row r="3233" spans="1:45" s="1136" customFormat="1" ht="15.75" x14ac:dyDescent="0.25">
      <c r="A3233" s="1417" t="s">
        <v>1899</v>
      </c>
      <c r="B3233" s="1441" t="e">
        <f>CEILING(((((B278+B279)/B261)+1)*B2850),1)</f>
        <v>#VALUE!</v>
      </c>
      <c r="C3233" s="1596"/>
      <c r="D3233" s="1596"/>
      <c r="E3233" s="1596"/>
      <c r="F3233" s="1596"/>
      <c r="G3233" s="1596"/>
      <c r="H3233" s="1531"/>
      <c r="I3233" s="1531"/>
      <c r="J3233" s="1531"/>
      <c r="K3233" s="1531"/>
      <c r="L3233" s="1531"/>
      <c r="M3233" s="1531"/>
      <c r="N3233" s="1531"/>
      <c r="O3233" s="1531"/>
      <c r="P3233" s="1531"/>
      <c r="Q3233" s="1531"/>
      <c r="R3233" s="1531"/>
      <c r="S3233" s="1531"/>
      <c r="T3233" s="1531"/>
      <c r="U3233" s="1531"/>
      <c r="V3233" s="1531"/>
      <c r="W3233" s="1531"/>
      <c r="X3233" s="1531"/>
      <c r="Y3233" s="1531"/>
      <c r="Z3233" s="1531"/>
      <c r="AA3233" s="1531"/>
      <c r="AB3233" s="1531"/>
      <c r="AC3233" s="1531"/>
      <c r="AD3233" s="1531"/>
      <c r="AE3233" s="1531"/>
      <c r="AF3233" s="1531"/>
      <c r="AG3233" s="1531"/>
      <c r="AH3233" s="1531"/>
      <c r="AI3233" s="1531"/>
      <c r="AJ3233" s="1531"/>
      <c r="AK3233" s="1531"/>
      <c r="AL3233" s="1531"/>
      <c r="AM3233" s="1531"/>
      <c r="AN3233" s="1531"/>
      <c r="AO3233" s="1531"/>
      <c r="AP3233" s="1531"/>
      <c r="AQ3233" s="1531"/>
      <c r="AR3233" s="1531"/>
      <c r="AS3233" s="1531"/>
    </row>
    <row r="3234" spans="1:45" s="1136" customFormat="1" ht="15.75" x14ac:dyDescent="0.25">
      <c r="A3234" s="1430" t="s">
        <v>1900</v>
      </c>
      <c r="B3234" s="1588" t="e">
        <f>(B3232+B3233)*B3223/100</f>
        <v>#VALUE!</v>
      </c>
      <c r="C3234" s="1589"/>
      <c r="D3234" s="1523"/>
      <c r="E3234" s="1523"/>
      <c r="F3234" s="1523"/>
      <c r="G3234" s="1523"/>
      <c r="H3234" s="1531"/>
      <c r="I3234" s="1531"/>
      <c r="J3234" s="1531"/>
      <c r="K3234" s="1531"/>
      <c r="L3234" s="1531"/>
      <c r="M3234" s="1531"/>
      <c r="N3234" s="1531"/>
      <c r="O3234" s="1531"/>
      <c r="P3234" s="1531"/>
      <c r="Q3234" s="1531"/>
      <c r="R3234" s="1531"/>
      <c r="S3234" s="1531"/>
      <c r="T3234" s="1531"/>
      <c r="U3234" s="1531"/>
      <c r="V3234" s="1531"/>
      <c r="W3234" s="1531"/>
      <c r="X3234" s="1531"/>
      <c r="Y3234" s="1531"/>
      <c r="Z3234" s="1531"/>
      <c r="AA3234" s="1531"/>
      <c r="AB3234" s="1531"/>
      <c r="AC3234" s="1531"/>
      <c r="AD3234" s="1531"/>
      <c r="AE3234" s="1531"/>
      <c r="AF3234" s="1531"/>
      <c r="AG3234" s="1531"/>
      <c r="AH3234" s="1531"/>
      <c r="AI3234" s="1531"/>
      <c r="AJ3234" s="1531"/>
      <c r="AK3234" s="1531"/>
      <c r="AL3234" s="1531"/>
      <c r="AM3234" s="1531"/>
      <c r="AN3234" s="1531"/>
      <c r="AO3234" s="1531"/>
      <c r="AP3234" s="1531"/>
      <c r="AQ3234" s="1531"/>
      <c r="AR3234" s="1531"/>
      <c r="AS3234" s="1531"/>
    </row>
    <row r="3235" spans="1:45" s="1136" customFormat="1" ht="15.75" x14ac:dyDescent="0.25">
      <c r="A3235" s="1430" t="s">
        <v>4307</v>
      </c>
      <c r="B3235" s="1588" t="e">
        <f>B3234*B3229</f>
        <v>#VALUE!</v>
      </c>
      <c r="C3235" s="1589"/>
      <c r="D3235" s="1589"/>
      <c r="E3235" s="1589"/>
      <c r="F3235" s="1589"/>
      <c r="G3235" s="1589"/>
      <c r="H3235" s="1531"/>
      <c r="I3235" s="1531"/>
      <c r="J3235" s="1531"/>
      <c r="K3235" s="1531"/>
      <c r="L3235" s="1531"/>
      <c r="M3235" s="1531"/>
      <c r="N3235" s="1531"/>
      <c r="O3235" s="1531"/>
      <c r="P3235" s="1531"/>
      <c r="Q3235" s="1531"/>
      <c r="R3235" s="1531"/>
      <c r="S3235" s="1531"/>
      <c r="T3235" s="1531"/>
      <c r="U3235" s="1531"/>
      <c r="V3235" s="1531"/>
      <c r="W3235" s="1531"/>
      <c r="X3235" s="1531"/>
      <c r="Y3235" s="1531"/>
      <c r="Z3235" s="1531"/>
      <c r="AA3235" s="1531"/>
      <c r="AB3235" s="1531"/>
      <c r="AC3235" s="1531"/>
      <c r="AD3235" s="1531"/>
      <c r="AE3235" s="1531"/>
      <c r="AF3235" s="1531"/>
      <c r="AG3235" s="1531"/>
      <c r="AH3235" s="1531"/>
      <c r="AI3235" s="1531"/>
      <c r="AJ3235" s="1531"/>
      <c r="AK3235" s="1531"/>
      <c r="AL3235" s="1531"/>
      <c r="AM3235" s="1531"/>
      <c r="AN3235" s="1531"/>
      <c r="AO3235" s="1531"/>
      <c r="AP3235" s="1531"/>
      <c r="AQ3235" s="1531"/>
      <c r="AR3235" s="1531"/>
      <c r="AS3235" s="1531"/>
    </row>
    <row r="3236" spans="1:45" s="1136" customFormat="1" ht="15.75" x14ac:dyDescent="0.25">
      <c r="A3236" s="1466" t="s">
        <v>4307</v>
      </c>
      <c r="B3236" s="1467" t="e">
        <f>IF(B276=0,B3230,B3235)</f>
        <v>#VALUE!</v>
      </c>
      <c r="C3236" s="1590"/>
      <c r="D3236" s="1610"/>
      <c r="E3236" s="1610"/>
      <c r="F3236" s="1610"/>
      <c r="G3236" s="1610"/>
      <c r="H3236" s="1531"/>
      <c r="I3236" s="1531"/>
      <c r="J3236" s="1531"/>
      <c r="K3236" s="1531"/>
      <c r="L3236" s="1531"/>
      <c r="M3236" s="1531"/>
      <c r="N3236" s="1531"/>
      <c r="O3236" s="1531"/>
      <c r="P3236" s="1531"/>
      <c r="Q3236" s="1531"/>
      <c r="R3236" s="1531"/>
      <c r="S3236" s="1531"/>
      <c r="T3236" s="1531"/>
      <c r="U3236" s="1531"/>
      <c r="V3236" s="1531"/>
      <c r="W3236" s="1531"/>
      <c r="X3236" s="1531"/>
      <c r="Y3236" s="1531"/>
      <c r="Z3236" s="1531"/>
      <c r="AA3236" s="1531"/>
      <c r="AB3236" s="1531"/>
      <c r="AC3236" s="1531"/>
      <c r="AD3236" s="1531"/>
      <c r="AE3236" s="1531"/>
      <c r="AF3236" s="1531"/>
      <c r="AG3236" s="1531"/>
      <c r="AH3236" s="1531"/>
      <c r="AI3236" s="1531"/>
      <c r="AJ3236" s="1531"/>
      <c r="AK3236" s="1531"/>
      <c r="AL3236" s="1531"/>
      <c r="AM3236" s="1531"/>
      <c r="AN3236" s="1531"/>
      <c r="AO3236" s="1531"/>
      <c r="AP3236" s="1531"/>
      <c r="AQ3236" s="1531"/>
      <c r="AR3236" s="1531"/>
      <c r="AS3236" s="1531"/>
    </row>
    <row r="3237" spans="1:45" s="1136" customFormat="1" ht="15.75" x14ac:dyDescent="0.25">
      <c r="A3237" s="1417"/>
      <c r="B3237" s="1421"/>
      <c r="C3237" s="1523"/>
      <c r="D3237" s="1569"/>
      <c r="E3237" s="1569"/>
      <c r="F3237" s="1569"/>
      <c r="G3237" s="1569"/>
      <c r="H3237" s="1531"/>
      <c r="I3237" s="1531"/>
      <c r="J3237" s="1531"/>
      <c r="K3237" s="1531"/>
      <c r="L3237" s="1531"/>
      <c r="M3237" s="1531"/>
      <c r="N3237" s="1531"/>
      <c r="O3237" s="1531"/>
      <c r="P3237" s="1531"/>
      <c r="Q3237" s="1531"/>
      <c r="R3237" s="1531"/>
      <c r="S3237" s="1531"/>
      <c r="T3237" s="1531"/>
      <c r="U3237" s="1531"/>
      <c r="V3237" s="1531"/>
      <c r="W3237" s="1531"/>
      <c r="X3237" s="1531"/>
      <c r="Y3237" s="1531"/>
      <c r="Z3237" s="1531"/>
      <c r="AA3237" s="1531"/>
      <c r="AB3237" s="1531"/>
      <c r="AC3237" s="1531"/>
      <c r="AD3237" s="1531"/>
      <c r="AE3237" s="1531"/>
      <c r="AF3237" s="1531"/>
      <c r="AG3237" s="1531"/>
      <c r="AH3237" s="1531"/>
      <c r="AI3237" s="1531"/>
      <c r="AJ3237" s="1531"/>
      <c r="AK3237" s="1531"/>
      <c r="AL3237" s="1531"/>
      <c r="AM3237" s="1531"/>
      <c r="AN3237" s="1531"/>
      <c r="AO3237" s="1531"/>
      <c r="AP3237" s="1531"/>
      <c r="AQ3237" s="1531"/>
      <c r="AR3237" s="1531"/>
      <c r="AS3237" s="1531"/>
    </row>
    <row r="3238" spans="1:45" s="1136" customFormat="1" ht="15.75" x14ac:dyDescent="0.25">
      <c r="A3238" s="1580" t="s">
        <v>4308</v>
      </c>
      <c r="B3238" s="1597"/>
      <c r="C3238" s="1635"/>
      <c r="D3238" s="1531"/>
      <c r="E3238" s="1531"/>
      <c r="F3238" s="1531"/>
      <c r="G3238" s="1531"/>
      <c r="H3238" s="1531"/>
      <c r="I3238" s="1531"/>
      <c r="J3238" s="1531"/>
      <c r="K3238" s="1531"/>
      <c r="L3238" s="1531"/>
      <c r="M3238" s="1531"/>
      <c r="N3238" s="1531"/>
      <c r="O3238" s="1531"/>
      <c r="P3238" s="1531"/>
      <c r="Q3238" s="1531"/>
      <c r="R3238" s="1531"/>
      <c r="S3238" s="1531"/>
      <c r="T3238" s="1531"/>
      <c r="U3238" s="1531"/>
      <c r="V3238" s="1531"/>
      <c r="W3238" s="1531"/>
      <c r="X3238" s="1531"/>
      <c r="Y3238" s="1531"/>
      <c r="Z3238" s="1531"/>
      <c r="AA3238" s="1531"/>
      <c r="AB3238" s="1531"/>
      <c r="AC3238" s="1531"/>
      <c r="AD3238" s="1531"/>
      <c r="AE3238" s="1531"/>
      <c r="AF3238" s="1531"/>
      <c r="AG3238" s="1531"/>
      <c r="AH3238" s="1531"/>
      <c r="AI3238" s="1531"/>
      <c r="AJ3238" s="1531"/>
      <c r="AK3238" s="1531"/>
      <c r="AL3238" s="1531"/>
      <c r="AM3238" s="1531"/>
      <c r="AN3238" s="1531"/>
      <c r="AO3238" s="1531"/>
      <c r="AP3238" s="1531"/>
      <c r="AQ3238" s="1531"/>
      <c r="AR3238" s="1531"/>
      <c r="AS3238" s="1531"/>
    </row>
    <row r="3239" spans="1:45" s="1136" customFormat="1" ht="15.75" x14ac:dyDescent="0.25">
      <c r="A3239" s="1430" t="s">
        <v>4309</v>
      </c>
      <c r="B3239" s="1431">
        <f>B2808</f>
        <v>5</v>
      </c>
      <c r="C3239" s="1610"/>
      <c r="D3239" s="1596"/>
      <c r="E3239" s="1596"/>
      <c r="F3239" s="1596"/>
      <c r="G3239" s="1596"/>
      <c r="H3239" s="1531"/>
      <c r="I3239" s="1531"/>
      <c r="J3239" s="1531"/>
      <c r="K3239" s="1531"/>
      <c r="L3239" s="1531"/>
      <c r="M3239" s="1531"/>
      <c r="N3239" s="1531"/>
      <c r="O3239" s="1531"/>
      <c r="P3239" s="1531"/>
      <c r="Q3239" s="1531"/>
      <c r="R3239" s="1531"/>
      <c r="S3239" s="1531"/>
      <c r="T3239" s="1531"/>
      <c r="U3239" s="1531"/>
      <c r="V3239" s="1531"/>
      <c r="W3239" s="1531"/>
      <c r="X3239" s="1531"/>
      <c r="Y3239" s="1531"/>
      <c r="Z3239" s="1531"/>
      <c r="AA3239" s="1531"/>
      <c r="AB3239" s="1531"/>
      <c r="AC3239" s="1531"/>
      <c r="AD3239" s="1531"/>
      <c r="AE3239" s="1531"/>
      <c r="AF3239" s="1531"/>
      <c r="AG3239" s="1531"/>
      <c r="AH3239" s="1531"/>
      <c r="AI3239" s="1531"/>
      <c r="AJ3239" s="1531"/>
      <c r="AK3239" s="1531"/>
      <c r="AL3239" s="1531"/>
      <c r="AM3239" s="1531"/>
      <c r="AN3239" s="1531"/>
      <c r="AO3239" s="1531"/>
      <c r="AP3239" s="1531"/>
      <c r="AQ3239" s="1531"/>
      <c r="AR3239" s="1531"/>
      <c r="AS3239" s="1531"/>
    </row>
    <row r="3240" spans="1:45" s="1136" customFormat="1" ht="15.75" x14ac:dyDescent="0.25">
      <c r="A3240" s="1592" t="s">
        <v>4310</v>
      </c>
      <c r="B3240" s="1588" t="e">
        <f>B240*B245*B244*B247*B239*B3239/(B241*B281)</f>
        <v>#VALUE!</v>
      </c>
      <c r="C3240" s="1589"/>
      <c r="D3240" s="1596"/>
      <c r="E3240" s="1596"/>
      <c r="F3240" s="1596"/>
      <c r="G3240" s="1596"/>
      <c r="H3240" s="1531"/>
      <c r="I3240" s="1531"/>
      <c r="J3240" s="1531"/>
      <c r="K3240" s="1531"/>
      <c r="L3240" s="1531"/>
      <c r="M3240" s="1531"/>
      <c r="N3240" s="1531"/>
      <c r="O3240" s="1531"/>
      <c r="P3240" s="1531"/>
      <c r="Q3240" s="1531"/>
      <c r="R3240" s="1531"/>
      <c r="S3240" s="1531"/>
      <c r="T3240" s="1531"/>
      <c r="U3240" s="1531"/>
      <c r="V3240" s="1531"/>
      <c r="W3240" s="1531"/>
      <c r="X3240" s="1531"/>
      <c r="Y3240" s="1531"/>
      <c r="Z3240" s="1531"/>
      <c r="AA3240" s="1531"/>
      <c r="AB3240" s="1531"/>
      <c r="AC3240" s="1531"/>
      <c r="AD3240" s="1531"/>
      <c r="AE3240" s="1531"/>
      <c r="AF3240" s="1531"/>
      <c r="AG3240" s="1531"/>
      <c r="AH3240" s="1531"/>
      <c r="AI3240" s="1531"/>
      <c r="AJ3240" s="1531"/>
      <c r="AK3240" s="1531"/>
      <c r="AL3240" s="1531"/>
      <c r="AM3240" s="1531"/>
      <c r="AN3240" s="1531"/>
      <c r="AO3240" s="1531"/>
      <c r="AP3240" s="1531"/>
      <c r="AQ3240" s="1531"/>
      <c r="AR3240" s="1531"/>
      <c r="AS3240" s="1531"/>
    </row>
    <row r="3241" spans="1:45" s="1136" customFormat="1" ht="15.75" x14ac:dyDescent="0.25">
      <c r="A3241" s="1417" t="s">
        <v>4311</v>
      </c>
      <c r="B3241" s="1415"/>
      <c r="C3241" s="1531"/>
      <c r="D3241" s="1589"/>
      <c r="E3241" s="1589"/>
      <c r="F3241" s="1589"/>
      <c r="G3241" s="1589"/>
      <c r="H3241" s="1531"/>
      <c r="I3241" s="1531"/>
      <c r="J3241" s="1531"/>
      <c r="K3241" s="1531"/>
      <c r="L3241" s="1531"/>
      <c r="M3241" s="1531"/>
      <c r="N3241" s="1531"/>
      <c r="O3241" s="1531"/>
      <c r="P3241" s="1531"/>
      <c r="Q3241" s="1531"/>
      <c r="R3241" s="1531"/>
      <c r="S3241" s="1531"/>
      <c r="T3241" s="1531"/>
      <c r="U3241" s="1531"/>
      <c r="V3241" s="1531"/>
      <c r="W3241" s="1531"/>
      <c r="X3241" s="1531"/>
      <c r="Y3241" s="1531"/>
      <c r="Z3241" s="1531"/>
      <c r="AA3241" s="1531"/>
      <c r="AB3241" s="1531"/>
      <c r="AC3241" s="1531"/>
      <c r="AD3241" s="1531"/>
      <c r="AE3241" s="1531"/>
      <c r="AF3241" s="1531"/>
      <c r="AG3241" s="1531"/>
      <c r="AH3241" s="1531"/>
      <c r="AI3241" s="1531"/>
      <c r="AJ3241" s="1531"/>
      <c r="AK3241" s="1531"/>
      <c r="AL3241" s="1531"/>
      <c r="AM3241" s="1531"/>
      <c r="AN3241" s="1531"/>
      <c r="AO3241" s="1531"/>
      <c r="AP3241" s="1531"/>
      <c r="AQ3241" s="1531"/>
      <c r="AR3241" s="1531"/>
      <c r="AS3241" s="1531"/>
    </row>
    <row r="3242" spans="1:45" s="1136" customFormat="1" ht="15.75" x14ac:dyDescent="0.25">
      <c r="A3242" s="1430" t="s">
        <v>470</v>
      </c>
      <c r="B3242" s="1421">
        <f>12.3*B2849*(B279+B278+B2851)</f>
        <v>162.36000000000001</v>
      </c>
      <c r="C3242" s="1523"/>
      <c r="D3242" s="1589"/>
      <c r="E3242" s="1589"/>
      <c r="F3242" s="1589"/>
      <c r="G3242" s="1589"/>
      <c r="H3242" s="1531"/>
      <c r="I3242" s="1531"/>
      <c r="J3242" s="1531"/>
      <c r="K3242" s="1531"/>
      <c r="L3242" s="1531"/>
      <c r="M3242" s="1531"/>
      <c r="N3242" s="1531"/>
      <c r="O3242" s="1531"/>
      <c r="P3242" s="1531"/>
      <c r="Q3242" s="1531"/>
      <c r="R3242" s="1531"/>
      <c r="S3242" s="1531"/>
      <c r="T3242" s="1531"/>
      <c r="U3242" s="1531"/>
      <c r="V3242" s="1531"/>
      <c r="W3242" s="1531"/>
      <c r="X3242" s="1531"/>
      <c r="Y3242" s="1531"/>
      <c r="Z3242" s="1531"/>
      <c r="AA3242" s="1531"/>
      <c r="AB3242" s="1531"/>
      <c r="AC3242" s="1531"/>
      <c r="AD3242" s="1531"/>
      <c r="AE3242" s="1531"/>
      <c r="AF3242" s="1531"/>
      <c r="AG3242" s="1531"/>
      <c r="AH3242" s="1531"/>
      <c r="AI3242" s="1531"/>
      <c r="AJ3242" s="1531"/>
      <c r="AK3242" s="1531"/>
      <c r="AL3242" s="1531"/>
      <c r="AM3242" s="1531"/>
      <c r="AN3242" s="1531"/>
      <c r="AO3242" s="1531"/>
      <c r="AP3242" s="1531"/>
      <c r="AQ3242" s="1531"/>
      <c r="AR3242" s="1531"/>
      <c r="AS3242" s="1531"/>
    </row>
    <row r="3243" spans="1:45" s="1136" customFormat="1" ht="15.75" x14ac:dyDescent="0.25">
      <c r="A3243" s="1430" t="s">
        <v>3740</v>
      </c>
      <c r="B3243" s="1421">
        <f>12.3*B2850*(B279+B278)</f>
        <v>-36.900000000000006</v>
      </c>
      <c r="C3243" s="1523"/>
      <c r="D3243" s="1590"/>
      <c r="E3243" s="1590"/>
      <c r="F3243" s="1590"/>
      <c r="G3243" s="1590"/>
      <c r="H3243" s="1531"/>
      <c r="I3243" s="1531"/>
      <c r="J3243" s="1531"/>
      <c r="K3243" s="1531"/>
      <c r="L3243" s="1531"/>
      <c r="M3243" s="1531"/>
      <c r="N3243" s="1531"/>
      <c r="O3243" s="1531"/>
      <c r="P3243" s="1531"/>
      <c r="Q3243" s="1531"/>
      <c r="R3243" s="1531"/>
      <c r="S3243" s="1531"/>
      <c r="T3243" s="1531"/>
      <c r="U3243" s="1531"/>
      <c r="V3243" s="1531"/>
      <c r="W3243" s="1531"/>
      <c r="X3243" s="1531"/>
      <c r="Y3243" s="1531"/>
      <c r="Z3243" s="1531"/>
      <c r="AA3243" s="1531"/>
      <c r="AB3243" s="1531"/>
      <c r="AC3243" s="1531"/>
      <c r="AD3243" s="1531"/>
      <c r="AE3243" s="1531"/>
      <c r="AF3243" s="1531"/>
      <c r="AG3243" s="1531"/>
      <c r="AH3243" s="1531"/>
      <c r="AI3243" s="1531"/>
      <c r="AJ3243" s="1531"/>
      <c r="AK3243" s="1531"/>
      <c r="AL3243" s="1531"/>
      <c r="AM3243" s="1531"/>
      <c r="AN3243" s="1531"/>
      <c r="AO3243" s="1531"/>
      <c r="AP3243" s="1531"/>
      <c r="AQ3243" s="1531"/>
      <c r="AR3243" s="1531"/>
      <c r="AS3243" s="1531"/>
    </row>
    <row r="3244" spans="1:45" s="1136" customFormat="1" ht="15.75" x14ac:dyDescent="0.25">
      <c r="A3244" s="1430" t="s">
        <v>472</v>
      </c>
      <c r="B3244" s="1582">
        <f>B2813</f>
        <v>3.5</v>
      </c>
      <c r="C3244" s="1609"/>
      <c r="D3244" s="1531"/>
      <c r="E3244" s="1531"/>
      <c r="F3244" s="1531"/>
      <c r="G3244" s="1531"/>
      <c r="H3244" s="1531"/>
      <c r="I3244" s="1531"/>
      <c r="J3244" s="1531"/>
      <c r="K3244" s="1531"/>
      <c r="L3244" s="1531"/>
      <c r="M3244" s="1531"/>
      <c r="N3244" s="1531"/>
      <c r="O3244" s="1531"/>
      <c r="P3244" s="1531"/>
      <c r="Q3244" s="1531"/>
      <c r="R3244" s="1531"/>
      <c r="S3244" s="1531"/>
      <c r="T3244" s="1531"/>
      <c r="U3244" s="1531"/>
      <c r="V3244" s="1531"/>
      <c r="W3244" s="1531"/>
      <c r="X3244" s="1531"/>
      <c r="Y3244" s="1531"/>
      <c r="Z3244" s="1531"/>
      <c r="AA3244" s="1531"/>
      <c r="AB3244" s="1531"/>
      <c r="AC3244" s="1531"/>
      <c r="AD3244" s="1531"/>
      <c r="AE3244" s="1531"/>
      <c r="AF3244" s="1531"/>
      <c r="AG3244" s="1531"/>
      <c r="AH3244" s="1531"/>
      <c r="AI3244" s="1531"/>
      <c r="AJ3244" s="1531"/>
      <c r="AK3244" s="1531"/>
      <c r="AL3244" s="1531"/>
      <c r="AM3244" s="1531"/>
      <c r="AN3244" s="1531"/>
      <c r="AO3244" s="1531"/>
      <c r="AP3244" s="1531"/>
      <c r="AQ3244" s="1531"/>
      <c r="AR3244" s="1531"/>
      <c r="AS3244" s="1531"/>
    </row>
    <row r="3245" spans="1:45" s="1136" customFormat="1" ht="15.75" x14ac:dyDescent="0.25">
      <c r="A3245" s="1430" t="s">
        <v>475</v>
      </c>
      <c r="B3245" s="1439" t="e">
        <f>(B3242+B3243)*B3244*B3240/100</f>
        <v>#VALUE!</v>
      </c>
      <c r="C3245" s="1562"/>
      <c r="D3245" s="1531"/>
      <c r="E3245" s="1531"/>
      <c r="F3245" s="1531"/>
      <c r="G3245" s="1531"/>
      <c r="H3245" s="1531"/>
      <c r="I3245" s="1531"/>
      <c r="J3245" s="1531"/>
      <c r="K3245" s="1531"/>
      <c r="L3245" s="1531"/>
      <c r="M3245" s="1531"/>
      <c r="N3245" s="1531"/>
      <c r="O3245" s="1531"/>
      <c r="P3245" s="1531"/>
      <c r="Q3245" s="1531"/>
      <c r="R3245" s="1531"/>
      <c r="S3245" s="1531"/>
      <c r="T3245" s="1531"/>
      <c r="U3245" s="1531"/>
      <c r="V3245" s="1531"/>
      <c r="W3245" s="1531"/>
      <c r="X3245" s="1531"/>
      <c r="Y3245" s="1531"/>
      <c r="Z3245" s="1531"/>
      <c r="AA3245" s="1531"/>
      <c r="AB3245" s="1531"/>
      <c r="AC3245" s="1531"/>
      <c r="AD3245" s="1531"/>
      <c r="AE3245" s="1531"/>
      <c r="AF3245" s="1531"/>
      <c r="AG3245" s="1531"/>
      <c r="AH3245" s="1531"/>
      <c r="AI3245" s="1531"/>
      <c r="AJ3245" s="1531"/>
      <c r="AK3245" s="1531"/>
      <c r="AL3245" s="1531"/>
      <c r="AM3245" s="1531"/>
      <c r="AN3245" s="1531"/>
      <c r="AO3245" s="1531"/>
      <c r="AP3245" s="1531"/>
      <c r="AQ3245" s="1531"/>
      <c r="AR3245" s="1531"/>
      <c r="AS3245" s="1531"/>
    </row>
    <row r="3246" spans="1:45" s="1136" customFormat="1" ht="15.75" x14ac:dyDescent="0.25">
      <c r="A3246" s="1466" t="s">
        <v>477</v>
      </c>
      <c r="B3246" s="1453" t="e">
        <f>IF(B276=1,B3245,0)</f>
        <v>#VALUE!</v>
      </c>
      <c r="C3246" s="1563"/>
      <c r="D3246" s="1610"/>
      <c r="E3246" s="1610"/>
      <c r="F3246" s="1610"/>
      <c r="G3246" s="1610"/>
      <c r="H3246" s="1531"/>
      <c r="I3246" s="1531"/>
      <c r="J3246" s="1531"/>
      <c r="K3246" s="1531"/>
      <c r="L3246" s="1531"/>
      <c r="M3246" s="1531"/>
      <c r="N3246" s="1531"/>
      <c r="O3246" s="1531"/>
      <c r="P3246" s="1531"/>
      <c r="Q3246" s="1531"/>
      <c r="R3246" s="1531"/>
      <c r="S3246" s="1531"/>
      <c r="T3246" s="1531"/>
      <c r="U3246" s="1531"/>
      <c r="V3246" s="1531"/>
      <c r="W3246" s="1531"/>
      <c r="X3246" s="1531"/>
      <c r="Y3246" s="1531"/>
      <c r="Z3246" s="1531"/>
      <c r="AA3246" s="1531"/>
      <c r="AB3246" s="1531"/>
      <c r="AC3246" s="1531"/>
      <c r="AD3246" s="1531"/>
      <c r="AE3246" s="1531"/>
      <c r="AF3246" s="1531"/>
      <c r="AG3246" s="1531"/>
      <c r="AH3246" s="1531"/>
      <c r="AI3246" s="1531"/>
      <c r="AJ3246" s="1531"/>
      <c r="AK3246" s="1531"/>
      <c r="AL3246" s="1531"/>
      <c r="AM3246" s="1531"/>
      <c r="AN3246" s="1531"/>
      <c r="AO3246" s="1531"/>
      <c r="AP3246" s="1531"/>
      <c r="AQ3246" s="1531"/>
      <c r="AR3246" s="1531"/>
      <c r="AS3246" s="1531"/>
    </row>
    <row r="3247" spans="1:45" s="1136" customFormat="1" ht="15.75" x14ac:dyDescent="0.25">
      <c r="A3247" s="1430"/>
      <c r="B3247" s="1443"/>
      <c r="C3247" s="1521"/>
      <c r="D3247" s="1589"/>
      <c r="E3247" s="1589"/>
      <c r="F3247" s="1589"/>
      <c r="G3247" s="1589"/>
      <c r="H3247" s="1531"/>
      <c r="I3247" s="1531"/>
      <c r="J3247" s="1531"/>
      <c r="K3247" s="1531"/>
      <c r="L3247" s="1531"/>
      <c r="M3247" s="1531"/>
      <c r="N3247" s="1531"/>
      <c r="O3247" s="1531"/>
      <c r="P3247" s="1531"/>
      <c r="Q3247" s="1531"/>
      <c r="R3247" s="1531"/>
      <c r="S3247" s="1531"/>
      <c r="T3247" s="1531"/>
      <c r="U3247" s="1531"/>
      <c r="V3247" s="1531"/>
      <c r="W3247" s="1531"/>
      <c r="X3247" s="1531"/>
      <c r="Y3247" s="1531"/>
      <c r="Z3247" s="1531"/>
      <c r="AA3247" s="1531"/>
      <c r="AB3247" s="1531"/>
      <c r="AC3247" s="1531"/>
      <c r="AD3247" s="1531"/>
      <c r="AE3247" s="1531"/>
      <c r="AF3247" s="1531"/>
      <c r="AG3247" s="1531"/>
      <c r="AH3247" s="1531"/>
      <c r="AI3247" s="1531"/>
      <c r="AJ3247" s="1531"/>
      <c r="AK3247" s="1531"/>
      <c r="AL3247" s="1531"/>
      <c r="AM3247" s="1531"/>
      <c r="AN3247" s="1531"/>
      <c r="AO3247" s="1531"/>
      <c r="AP3247" s="1531"/>
      <c r="AQ3247" s="1531"/>
      <c r="AR3247" s="1531"/>
      <c r="AS3247" s="1531"/>
    </row>
    <row r="3248" spans="1:45" s="1136" customFormat="1" ht="15.75" x14ac:dyDescent="0.25">
      <c r="A3248" s="1580" t="s">
        <v>478</v>
      </c>
      <c r="B3248" s="1443"/>
      <c r="C3248" s="1521"/>
      <c r="D3248" s="1531"/>
      <c r="E3248" s="1531"/>
      <c r="F3248" s="1531"/>
      <c r="G3248" s="1531"/>
      <c r="H3248" s="1531"/>
      <c r="I3248" s="1531"/>
      <c r="J3248" s="1531"/>
      <c r="K3248" s="1531"/>
      <c r="L3248" s="1531"/>
      <c r="M3248" s="1531"/>
      <c r="N3248" s="1531"/>
      <c r="O3248" s="1531"/>
      <c r="P3248" s="1531"/>
      <c r="Q3248" s="1531"/>
      <c r="R3248" s="1531"/>
      <c r="S3248" s="1531"/>
      <c r="T3248" s="1531"/>
      <c r="U3248" s="1531"/>
      <c r="V3248" s="1531"/>
      <c r="W3248" s="1531"/>
      <c r="X3248" s="1531"/>
      <c r="Y3248" s="1531"/>
      <c r="Z3248" s="1531"/>
      <c r="AA3248" s="1531"/>
      <c r="AB3248" s="1531"/>
      <c r="AC3248" s="1531"/>
      <c r="AD3248" s="1531"/>
      <c r="AE3248" s="1531"/>
      <c r="AF3248" s="1531"/>
      <c r="AG3248" s="1531"/>
      <c r="AH3248" s="1531"/>
      <c r="AI3248" s="1531"/>
      <c r="AJ3248" s="1531"/>
      <c r="AK3248" s="1531"/>
      <c r="AL3248" s="1531"/>
      <c r="AM3248" s="1531"/>
      <c r="AN3248" s="1531"/>
      <c r="AO3248" s="1531"/>
      <c r="AP3248" s="1531"/>
      <c r="AQ3248" s="1531"/>
      <c r="AR3248" s="1531"/>
      <c r="AS3248" s="1531"/>
    </row>
    <row r="3249" spans="1:45" s="1136" customFormat="1" ht="15.75" x14ac:dyDescent="0.25">
      <c r="A3249" s="1430" t="s">
        <v>479</v>
      </c>
      <c r="B3249" s="1433">
        <f>B2820</f>
        <v>2</v>
      </c>
      <c r="C3249" s="1569"/>
      <c r="D3249" s="1523"/>
      <c r="E3249" s="1523"/>
      <c r="F3249" s="1523"/>
      <c r="G3249" s="1523"/>
      <c r="H3249" s="1531"/>
      <c r="I3249" s="1531"/>
      <c r="J3249" s="1531"/>
      <c r="K3249" s="1531"/>
      <c r="L3249" s="1531"/>
      <c r="M3249" s="1531"/>
      <c r="N3249" s="1531"/>
      <c r="O3249" s="1531"/>
      <c r="P3249" s="1531"/>
      <c r="Q3249" s="1531"/>
      <c r="R3249" s="1531"/>
      <c r="S3249" s="1531"/>
      <c r="T3249" s="1531"/>
      <c r="U3249" s="1531"/>
      <c r="V3249" s="1531"/>
      <c r="W3249" s="1531"/>
      <c r="X3249" s="1531"/>
      <c r="Y3249" s="1531"/>
      <c r="Z3249" s="1531"/>
      <c r="AA3249" s="1531"/>
      <c r="AB3249" s="1531"/>
      <c r="AC3249" s="1531"/>
      <c r="AD3249" s="1531"/>
      <c r="AE3249" s="1531"/>
      <c r="AF3249" s="1531"/>
      <c r="AG3249" s="1531"/>
      <c r="AH3249" s="1531"/>
      <c r="AI3249" s="1531"/>
      <c r="AJ3249" s="1531"/>
      <c r="AK3249" s="1531"/>
      <c r="AL3249" s="1531"/>
      <c r="AM3249" s="1531"/>
      <c r="AN3249" s="1531"/>
      <c r="AO3249" s="1531"/>
      <c r="AP3249" s="1531"/>
      <c r="AQ3249" s="1531"/>
      <c r="AR3249" s="1531"/>
      <c r="AS3249" s="1531"/>
    </row>
    <row r="3250" spans="1:45" s="1136" customFormat="1" ht="15.75" x14ac:dyDescent="0.25">
      <c r="A3250" s="1430" t="s">
        <v>3394</v>
      </c>
      <c r="B3250" s="1433">
        <f>B2821</f>
        <v>1</v>
      </c>
      <c r="C3250" s="1569"/>
      <c r="D3250" s="1523"/>
      <c r="E3250" s="1523"/>
      <c r="F3250" s="1523"/>
      <c r="G3250" s="1523"/>
      <c r="H3250" s="1531"/>
      <c r="I3250" s="1531"/>
      <c r="J3250" s="1531"/>
      <c r="K3250" s="1531"/>
      <c r="L3250" s="1531"/>
      <c r="M3250" s="1531"/>
      <c r="N3250" s="1531"/>
      <c r="O3250" s="1531"/>
      <c r="P3250" s="1531"/>
      <c r="Q3250" s="1531"/>
      <c r="R3250" s="1531"/>
      <c r="S3250" s="1531"/>
      <c r="T3250" s="1531"/>
      <c r="U3250" s="1531"/>
      <c r="V3250" s="1531"/>
      <c r="W3250" s="1531"/>
      <c r="X3250" s="1531"/>
      <c r="Y3250" s="1531"/>
      <c r="Z3250" s="1531"/>
      <c r="AA3250" s="1531"/>
      <c r="AB3250" s="1531"/>
      <c r="AC3250" s="1531"/>
      <c r="AD3250" s="1531"/>
      <c r="AE3250" s="1531"/>
      <c r="AF3250" s="1531"/>
      <c r="AG3250" s="1531"/>
      <c r="AH3250" s="1531"/>
      <c r="AI3250" s="1531"/>
      <c r="AJ3250" s="1531"/>
      <c r="AK3250" s="1531"/>
      <c r="AL3250" s="1531"/>
      <c r="AM3250" s="1531"/>
      <c r="AN3250" s="1531"/>
      <c r="AO3250" s="1531"/>
      <c r="AP3250" s="1531"/>
      <c r="AQ3250" s="1531"/>
      <c r="AR3250" s="1531"/>
      <c r="AS3250" s="1531"/>
    </row>
    <row r="3251" spans="1:45" s="1136" customFormat="1" ht="15.75" x14ac:dyDescent="0.25">
      <c r="A3251" s="1430" t="s">
        <v>3395</v>
      </c>
      <c r="B3251" s="1443" t="e">
        <f>B240*B245*B243*B2997*B3250/B3249</f>
        <v>#VALUE!</v>
      </c>
      <c r="C3251" s="1521"/>
      <c r="D3251" s="1609"/>
      <c r="E3251" s="1609"/>
      <c r="F3251" s="1609"/>
      <c r="G3251" s="1609"/>
      <c r="H3251" s="1531"/>
      <c r="I3251" s="1531"/>
      <c r="J3251" s="1531"/>
      <c r="K3251" s="1531"/>
      <c r="L3251" s="1531"/>
      <c r="M3251" s="1531"/>
      <c r="N3251" s="1531"/>
      <c r="O3251" s="1531"/>
      <c r="P3251" s="1531"/>
      <c r="Q3251" s="1531"/>
      <c r="R3251" s="1531"/>
      <c r="S3251" s="1531"/>
      <c r="T3251" s="1531"/>
      <c r="U3251" s="1531"/>
      <c r="V3251" s="1531"/>
      <c r="W3251" s="1531"/>
      <c r="X3251" s="1531"/>
      <c r="Y3251" s="1531"/>
      <c r="Z3251" s="1531"/>
      <c r="AA3251" s="1531"/>
      <c r="AB3251" s="1531"/>
      <c r="AC3251" s="1531"/>
      <c r="AD3251" s="1531"/>
      <c r="AE3251" s="1531"/>
      <c r="AF3251" s="1531"/>
      <c r="AG3251" s="1531"/>
      <c r="AH3251" s="1531"/>
      <c r="AI3251" s="1531"/>
      <c r="AJ3251" s="1531"/>
      <c r="AK3251" s="1531"/>
      <c r="AL3251" s="1531"/>
      <c r="AM3251" s="1531"/>
      <c r="AN3251" s="1531"/>
      <c r="AO3251" s="1531"/>
      <c r="AP3251" s="1531"/>
      <c r="AQ3251" s="1531"/>
      <c r="AR3251" s="1531"/>
      <c r="AS3251" s="1531"/>
    </row>
    <row r="3252" spans="1:45" s="1136" customFormat="1" ht="15.75" x14ac:dyDescent="0.25">
      <c r="A3252" s="1430" t="s">
        <v>3396</v>
      </c>
      <c r="B3252" s="1433">
        <f>B2823</f>
        <v>9</v>
      </c>
      <c r="C3252" s="1569"/>
      <c r="D3252" s="1562"/>
      <c r="E3252" s="1562"/>
      <c r="F3252" s="1562"/>
      <c r="G3252" s="1562"/>
      <c r="H3252" s="1531"/>
      <c r="I3252" s="1531"/>
      <c r="J3252" s="1531"/>
      <c r="K3252" s="1531"/>
      <c r="L3252" s="1531"/>
      <c r="M3252" s="1531"/>
      <c r="N3252" s="1531"/>
      <c r="O3252" s="1531"/>
      <c r="P3252" s="1531"/>
      <c r="Q3252" s="1531"/>
      <c r="R3252" s="1531"/>
      <c r="S3252" s="1531"/>
      <c r="T3252" s="1531"/>
      <c r="U3252" s="1531"/>
      <c r="V3252" s="1531"/>
      <c r="W3252" s="1531"/>
      <c r="X3252" s="1531"/>
      <c r="Y3252" s="1531"/>
      <c r="Z3252" s="1531"/>
      <c r="AA3252" s="1531"/>
      <c r="AB3252" s="1531"/>
      <c r="AC3252" s="1531"/>
      <c r="AD3252" s="1531"/>
      <c r="AE3252" s="1531"/>
      <c r="AF3252" s="1531"/>
      <c r="AG3252" s="1531"/>
      <c r="AH3252" s="1531"/>
      <c r="AI3252" s="1531"/>
      <c r="AJ3252" s="1531"/>
      <c r="AK3252" s="1531"/>
      <c r="AL3252" s="1531"/>
      <c r="AM3252" s="1531"/>
      <c r="AN3252" s="1531"/>
      <c r="AO3252" s="1531"/>
      <c r="AP3252" s="1531"/>
      <c r="AQ3252" s="1531"/>
      <c r="AR3252" s="1531"/>
      <c r="AS3252" s="1531"/>
    </row>
    <row r="3253" spans="1:45" s="1136" customFormat="1" ht="15.75" x14ac:dyDescent="0.25">
      <c r="A3253" s="1430" t="s">
        <v>3397</v>
      </c>
      <c r="B3253" s="1433" t="e">
        <f>B3251*B3252</f>
        <v>#VALUE!</v>
      </c>
      <c r="C3253" s="1569"/>
      <c r="D3253" s="1563"/>
      <c r="E3253" s="1563"/>
      <c r="F3253" s="1563"/>
      <c r="G3253" s="1563"/>
      <c r="H3253" s="1531"/>
      <c r="I3253" s="1531"/>
      <c r="J3253" s="1531"/>
      <c r="K3253" s="1531"/>
      <c r="L3253" s="1531"/>
      <c r="M3253" s="1531"/>
      <c r="N3253" s="1531"/>
      <c r="O3253" s="1531"/>
      <c r="P3253" s="1531"/>
      <c r="Q3253" s="1531"/>
      <c r="R3253" s="1531"/>
      <c r="S3253" s="1531"/>
      <c r="T3253" s="1531"/>
      <c r="U3253" s="1531"/>
      <c r="V3253" s="1531"/>
      <c r="W3253" s="1531"/>
      <c r="X3253" s="1531"/>
      <c r="Y3253" s="1531"/>
      <c r="Z3253" s="1531"/>
      <c r="AA3253" s="1531"/>
      <c r="AB3253" s="1531"/>
      <c r="AC3253" s="1531"/>
      <c r="AD3253" s="1531"/>
      <c r="AE3253" s="1531"/>
      <c r="AF3253" s="1531"/>
      <c r="AG3253" s="1531"/>
      <c r="AH3253" s="1531"/>
      <c r="AI3253" s="1531"/>
      <c r="AJ3253" s="1531"/>
      <c r="AK3253" s="1531"/>
      <c r="AL3253" s="1531"/>
      <c r="AM3253" s="1531"/>
      <c r="AN3253" s="1531"/>
      <c r="AO3253" s="1531"/>
      <c r="AP3253" s="1531"/>
      <c r="AQ3253" s="1531"/>
      <c r="AR3253" s="1531"/>
      <c r="AS3253" s="1531"/>
    </row>
    <row r="3254" spans="1:45" s="1136" customFormat="1" ht="15.75" x14ac:dyDescent="0.25">
      <c r="A3254" s="1466" t="s">
        <v>3398</v>
      </c>
      <c r="B3254" s="1571">
        <f>IF(B252=2,B3253,0)</f>
        <v>0</v>
      </c>
      <c r="C3254" s="1572"/>
      <c r="D3254" s="1531"/>
      <c r="E3254" s="1531"/>
      <c r="F3254" s="1531"/>
      <c r="G3254" s="1531"/>
      <c r="H3254" s="1531"/>
      <c r="I3254" s="1531"/>
      <c r="J3254" s="1531"/>
      <c r="K3254" s="1531"/>
      <c r="L3254" s="1531"/>
      <c r="M3254" s="1531"/>
      <c r="N3254" s="1531"/>
      <c r="O3254" s="1531"/>
      <c r="P3254" s="1531"/>
      <c r="Q3254" s="1531"/>
      <c r="R3254" s="1531"/>
      <c r="S3254" s="1531"/>
      <c r="T3254" s="1531"/>
      <c r="U3254" s="1531"/>
      <c r="V3254" s="1531"/>
      <c r="W3254" s="1531"/>
      <c r="X3254" s="1531"/>
      <c r="Y3254" s="1531"/>
      <c r="Z3254" s="1531"/>
      <c r="AA3254" s="1531"/>
      <c r="AB3254" s="1531"/>
      <c r="AC3254" s="1531"/>
      <c r="AD3254" s="1531"/>
      <c r="AE3254" s="1531"/>
      <c r="AF3254" s="1531"/>
      <c r="AG3254" s="1531"/>
      <c r="AH3254" s="1531"/>
      <c r="AI3254" s="1531"/>
      <c r="AJ3254" s="1531"/>
      <c r="AK3254" s="1531"/>
      <c r="AL3254" s="1531"/>
      <c r="AM3254" s="1531"/>
      <c r="AN3254" s="1531"/>
      <c r="AO3254" s="1531"/>
      <c r="AP3254" s="1531"/>
      <c r="AQ3254" s="1531"/>
      <c r="AR3254" s="1531"/>
      <c r="AS3254" s="1531"/>
    </row>
    <row r="3255" spans="1:45" s="1136" customFormat="1" ht="15.75" x14ac:dyDescent="0.25">
      <c r="A3255" s="1430"/>
      <c r="B3255" s="1433"/>
      <c r="C3255" s="1569"/>
      <c r="D3255" s="1531"/>
      <c r="E3255" s="1531"/>
      <c r="F3255" s="1531"/>
      <c r="G3255" s="1531"/>
      <c r="H3255" s="1531"/>
      <c r="I3255" s="1531"/>
      <c r="J3255" s="1531"/>
      <c r="K3255" s="1531"/>
      <c r="L3255" s="1531"/>
      <c r="M3255" s="1531"/>
      <c r="N3255" s="1531"/>
      <c r="O3255" s="1531"/>
      <c r="P3255" s="1531"/>
      <c r="Q3255" s="1531"/>
      <c r="R3255" s="1531"/>
      <c r="S3255" s="1531"/>
      <c r="T3255" s="1531"/>
      <c r="U3255" s="1531"/>
      <c r="V3255" s="1531"/>
      <c r="W3255" s="1531"/>
      <c r="X3255" s="1531"/>
      <c r="Y3255" s="1531"/>
      <c r="Z3255" s="1531"/>
      <c r="AA3255" s="1531"/>
      <c r="AB3255" s="1531"/>
      <c r="AC3255" s="1531"/>
      <c r="AD3255" s="1531"/>
      <c r="AE3255" s="1531"/>
      <c r="AF3255" s="1531"/>
      <c r="AG3255" s="1531"/>
      <c r="AH3255" s="1531"/>
      <c r="AI3255" s="1531"/>
      <c r="AJ3255" s="1531"/>
      <c r="AK3255" s="1531"/>
      <c r="AL3255" s="1531"/>
      <c r="AM3255" s="1531"/>
      <c r="AN3255" s="1531"/>
      <c r="AO3255" s="1531"/>
      <c r="AP3255" s="1531"/>
      <c r="AQ3255" s="1531"/>
      <c r="AR3255" s="1531"/>
      <c r="AS3255" s="1531"/>
    </row>
    <row r="3256" spans="1:45" s="1136" customFormat="1" ht="15.75" x14ac:dyDescent="0.25">
      <c r="A3256" s="1580" t="s">
        <v>3399</v>
      </c>
      <c r="B3256" s="1433"/>
      <c r="C3256" s="1569"/>
      <c r="D3256" s="1569"/>
      <c r="E3256" s="1569"/>
      <c r="F3256" s="1569"/>
      <c r="G3256" s="1569"/>
      <c r="H3256" s="1531"/>
      <c r="I3256" s="1531"/>
      <c r="J3256" s="1531"/>
      <c r="K3256" s="1531"/>
      <c r="L3256" s="1531"/>
      <c r="M3256" s="1531"/>
      <c r="N3256" s="1531"/>
      <c r="O3256" s="1531"/>
      <c r="P3256" s="1531"/>
      <c r="Q3256" s="1531"/>
      <c r="R3256" s="1531"/>
      <c r="S3256" s="1531"/>
      <c r="T3256" s="1531"/>
      <c r="U3256" s="1531"/>
      <c r="V3256" s="1531"/>
      <c r="W3256" s="1531"/>
      <c r="X3256" s="1531"/>
      <c r="Y3256" s="1531"/>
      <c r="Z3256" s="1531"/>
      <c r="AA3256" s="1531"/>
      <c r="AB3256" s="1531"/>
      <c r="AC3256" s="1531"/>
      <c r="AD3256" s="1531"/>
      <c r="AE3256" s="1531"/>
      <c r="AF3256" s="1531"/>
      <c r="AG3256" s="1531"/>
      <c r="AH3256" s="1531"/>
      <c r="AI3256" s="1531"/>
      <c r="AJ3256" s="1531"/>
      <c r="AK3256" s="1531"/>
      <c r="AL3256" s="1531"/>
      <c r="AM3256" s="1531"/>
      <c r="AN3256" s="1531"/>
      <c r="AO3256" s="1531"/>
      <c r="AP3256" s="1531"/>
      <c r="AQ3256" s="1531"/>
      <c r="AR3256" s="1531"/>
      <c r="AS3256" s="1531"/>
    </row>
    <row r="3257" spans="1:45" s="1136" customFormat="1" ht="15.75" x14ac:dyDescent="0.25">
      <c r="A3257" s="1430" t="s">
        <v>3400</v>
      </c>
      <c r="B3257" s="1433" t="e">
        <f>B245*CEILING(B240*B243*B2997,1)/B3249</f>
        <v>#VALUE!</v>
      </c>
      <c r="C3257" s="1569"/>
      <c r="D3257" s="1569"/>
      <c r="E3257" s="1569"/>
      <c r="F3257" s="1569"/>
      <c r="G3257" s="1569"/>
      <c r="H3257" s="1531"/>
      <c r="I3257" s="1531"/>
      <c r="J3257" s="1531"/>
      <c r="K3257" s="1531"/>
      <c r="L3257" s="1531"/>
      <c r="M3257" s="1531"/>
      <c r="N3257" s="1531"/>
      <c r="O3257" s="1531"/>
      <c r="P3257" s="1531"/>
      <c r="Q3257" s="1531"/>
      <c r="R3257" s="1531"/>
      <c r="S3257" s="1531"/>
      <c r="T3257" s="1531"/>
      <c r="U3257" s="1531"/>
      <c r="V3257" s="1531"/>
      <c r="W3257" s="1531"/>
      <c r="X3257" s="1531"/>
      <c r="Y3257" s="1531"/>
      <c r="Z3257" s="1531"/>
      <c r="AA3257" s="1531"/>
      <c r="AB3257" s="1531"/>
      <c r="AC3257" s="1531"/>
      <c r="AD3257" s="1531"/>
      <c r="AE3257" s="1531"/>
      <c r="AF3257" s="1531"/>
      <c r="AG3257" s="1531"/>
      <c r="AH3257" s="1531"/>
      <c r="AI3257" s="1531"/>
      <c r="AJ3257" s="1531"/>
      <c r="AK3257" s="1531"/>
      <c r="AL3257" s="1531"/>
      <c r="AM3257" s="1531"/>
      <c r="AN3257" s="1531"/>
      <c r="AO3257" s="1531"/>
      <c r="AP3257" s="1531"/>
      <c r="AQ3257" s="1531"/>
      <c r="AR3257" s="1531"/>
      <c r="AS3257" s="1531"/>
    </row>
    <row r="3258" spans="1:45" s="1136" customFormat="1" ht="15.75" x14ac:dyDescent="0.25">
      <c r="A3258" s="1430" t="s">
        <v>3401</v>
      </c>
      <c r="B3258" s="1433">
        <f>B2829</f>
        <v>5</v>
      </c>
      <c r="C3258" s="1569"/>
      <c r="D3258" s="1521"/>
      <c r="E3258" s="1521"/>
      <c r="F3258" s="1521"/>
      <c r="G3258" s="1521"/>
      <c r="H3258" s="1531"/>
      <c r="I3258" s="1531"/>
      <c r="J3258" s="1531"/>
      <c r="K3258" s="1531"/>
      <c r="L3258" s="1531"/>
      <c r="M3258" s="1531"/>
      <c r="N3258" s="1531"/>
      <c r="O3258" s="1531"/>
      <c r="P3258" s="1531"/>
      <c r="Q3258" s="1531"/>
      <c r="R3258" s="1531"/>
      <c r="S3258" s="1531"/>
      <c r="T3258" s="1531"/>
      <c r="U3258" s="1531"/>
      <c r="V3258" s="1531"/>
      <c r="W3258" s="1531"/>
      <c r="X3258" s="1531"/>
      <c r="Y3258" s="1531"/>
      <c r="Z3258" s="1531"/>
      <c r="AA3258" s="1531"/>
      <c r="AB3258" s="1531"/>
      <c r="AC3258" s="1531"/>
      <c r="AD3258" s="1531"/>
      <c r="AE3258" s="1531"/>
      <c r="AF3258" s="1531"/>
      <c r="AG3258" s="1531"/>
      <c r="AH3258" s="1531"/>
      <c r="AI3258" s="1531"/>
      <c r="AJ3258" s="1531"/>
      <c r="AK3258" s="1531"/>
      <c r="AL3258" s="1531"/>
      <c r="AM3258" s="1531"/>
      <c r="AN3258" s="1531"/>
      <c r="AO3258" s="1531"/>
      <c r="AP3258" s="1531"/>
      <c r="AQ3258" s="1531"/>
      <c r="AR3258" s="1531"/>
      <c r="AS3258" s="1531"/>
    </row>
    <row r="3259" spans="1:45" s="1136" customFormat="1" ht="15.75" x14ac:dyDescent="0.25">
      <c r="A3259" s="1430" t="s">
        <v>3402</v>
      </c>
      <c r="B3259" s="1433" t="e">
        <f>B3257*B3258</f>
        <v>#VALUE!</v>
      </c>
      <c r="C3259" s="1569"/>
      <c r="D3259" s="1569"/>
      <c r="E3259" s="1569"/>
      <c r="F3259" s="1569"/>
      <c r="G3259" s="1569"/>
      <c r="H3259" s="1531"/>
      <c r="I3259" s="1531"/>
      <c r="J3259" s="1531"/>
      <c r="K3259" s="1531"/>
      <c r="L3259" s="1531"/>
      <c r="M3259" s="1531"/>
      <c r="N3259" s="1531"/>
      <c r="O3259" s="1531"/>
      <c r="P3259" s="1531"/>
      <c r="Q3259" s="1531"/>
      <c r="R3259" s="1531"/>
      <c r="S3259" s="1531"/>
      <c r="T3259" s="1531"/>
      <c r="U3259" s="1531"/>
      <c r="V3259" s="1531"/>
      <c r="W3259" s="1531"/>
      <c r="X3259" s="1531"/>
      <c r="Y3259" s="1531"/>
      <c r="Z3259" s="1531"/>
      <c r="AA3259" s="1531"/>
      <c r="AB3259" s="1531"/>
      <c r="AC3259" s="1531"/>
      <c r="AD3259" s="1531"/>
      <c r="AE3259" s="1531"/>
      <c r="AF3259" s="1531"/>
      <c r="AG3259" s="1531"/>
      <c r="AH3259" s="1531"/>
      <c r="AI3259" s="1531"/>
      <c r="AJ3259" s="1531"/>
      <c r="AK3259" s="1531"/>
      <c r="AL3259" s="1531"/>
      <c r="AM3259" s="1531"/>
      <c r="AN3259" s="1531"/>
      <c r="AO3259" s="1531"/>
      <c r="AP3259" s="1531"/>
      <c r="AQ3259" s="1531"/>
      <c r="AR3259" s="1531"/>
      <c r="AS3259" s="1531"/>
    </row>
    <row r="3260" spans="1:45" s="1136" customFormat="1" ht="15.75" x14ac:dyDescent="0.25">
      <c r="A3260" s="1466" t="s">
        <v>3403</v>
      </c>
      <c r="B3260" s="1571">
        <f>IF(B252=2,B3259,0)</f>
        <v>0</v>
      </c>
      <c r="C3260" s="1572"/>
      <c r="D3260" s="1569"/>
      <c r="E3260" s="1569"/>
      <c r="F3260" s="1569"/>
      <c r="G3260" s="1569"/>
      <c r="H3260" s="1531"/>
      <c r="I3260" s="1531"/>
      <c r="J3260" s="1531"/>
      <c r="K3260" s="1531"/>
      <c r="L3260" s="1531"/>
      <c r="M3260" s="1531"/>
      <c r="N3260" s="1531"/>
      <c r="O3260" s="1531"/>
      <c r="P3260" s="1531"/>
      <c r="Q3260" s="1531"/>
      <c r="R3260" s="1531"/>
      <c r="S3260" s="1531"/>
      <c r="T3260" s="1531"/>
      <c r="U3260" s="1531"/>
      <c r="V3260" s="1531"/>
      <c r="W3260" s="1531"/>
      <c r="X3260" s="1531"/>
      <c r="Y3260" s="1531"/>
      <c r="Z3260" s="1531"/>
      <c r="AA3260" s="1531"/>
      <c r="AB3260" s="1531"/>
      <c r="AC3260" s="1531"/>
      <c r="AD3260" s="1531"/>
      <c r="AE3260" s="1531"/>
      <c r="AF3260" s="1531"/>
      <c r="AG3260" s="1531"/>
      <c r="AH3260" s="1531"/>
      <c r="AI3260" s="1531"/>
      <c r="AJ3260" s="1531"/>
      <c r="AK3260" s="1531"/>
      <c r="AL3260" s="1531"/>
      <c r="AM3260" s="1531"/>
      <c r="AN3260" s="1531"/>
      <c r="AO3260" s="1531"/>
      <c r="AP3260" s="1531"/>
      <c r="AQ3260" s="1531"/>
      <c r="AR3260" s="1531"/>
      <c r="AS3260" s="1531"/>
    </row>
    <row r="3261" spans="1:45" s="1136" customFormat="1" ht="15.75" x14ac:dyDescent="0.25">
      <c r="A3261" s="1430"/>
      <c r="B3261" s="1433"/>
      <c r="C3261" s="1569"/>
      <c r="D3261" s="1572"/>
      <c r="E3261" s="1572"/>
      <c r="F3261" s="1572"/>
      <c r="G3261" s="1572"/>
      <c r="H3261" s="1531"/>
      <c r="I3261" s="1531"/>
      <c r="J3261" s="1531"/>
      <c r="K3261" s="1531"/>
      <c r="L3261" s="1531"/>
      <c r="M3261" s="1531"/>
      <c r="N3261" s="1531"/>
      <c r="O3261" s="1531"/>
      <c r="P3261" s="1531"/>
      <c r="Q3261" s="1531"/>
      <c r="R3261" s="1531"/>
      <c r="S3261" s="1531"/>
      <c r="T3261" s="1531"/>
      <c r="U3261" s="1531"/>
      <c r="V3261" s="1531"/>
      <c r="W3261" s="1531"/>
      <c r="X3261" s="1531"/>
      <c r="Y3261" s="1531"/>
      <c r="Z3261" s="1531"/>
      <c r="AA3261" s="1531"/>
      <c r="AB3261" s="1531"/>
      <c r="AC3261" s="1531"/>
      <c r="AD3261" s="1531"/>
      <c r="AE3261" s="1531"/>
      <c r="AF3261" s="1531"/>
      <c r="AG3261" s="1531"/>
      <c r="AH3261" s="1531"/>
      <c r="AI3261" s="1531"/>
      <c r="AJ3261" s="1531"/>
      <c r="AK3261" s="1531"/>
      <c r="AL3261" s="1531"/>
      <c r="AM3261" s="1531"/>
      <c r="AN3261" s="1531"/>
      <c r="AO3261" s="1531"/>
      <c r="AP3261" s="1531"/>
      <c r="AQ3261" s="1531"/>
      <c r="AR3261" s="1531"/>
      <c r="AS3261" s="1531"/>
    </row>
    <row r="3262" spans="1:45" s="1136" customFormat="1" ht="15.75" x14ac:dyDescent="0.25">
      <c r="A3262" s="1580" t="s">
        <v>3404</v>
      </c>
      <c r="B3262" s="1433"/>
      <c r="C3262" s="1569"/>
      <c r="D3262" s="1569"/>
      <c r="E3262" s="1569"/>
      <c r="F3262" s="1569"/>
      <c r="G3262" s="1569"/>
      <c r="H3262" s="1531"/>
      <c r="I3262" s="1531"/>
      <c r="J3262" s="1531"/>
      <c r="K3262" s="1531"/>
      <c r="L3262" s="1531"/>
      <c r="M3262" s="1531"/>
      <c r="N3262" s="1531"/>
      <c r="O3262" s="1531"/>
      <c r="P3262" s="1531"/>
      <c r="Q3262" s="1531"/>
      <c r="R3262" s="1531"/>
      <c r="S3262" s="1531"/>
      <c r="T3262" s="1531"/>
      <c r="U3262" s="1531"/>
      <c r="V3262" s="1531"/>
      <c r="W3262" s="1531"/>
      <c r="X3262" s="1531"/>
      <c r="Y3262" s="1531"/>
      <c r="Z3262" s="1531"/>
      <c r="AA3262" s="1531"/>
      <c r="AB3262" s="1531"/>
      <c r="AC3262" s="1531"/>
      <c r="AD3262" s="1531"/>
      <c r="AE3262" s="1531"/>
      <c r="AF3262" s="1531"/>
      <c r="AG3262" s="1531"/>
      <c r="AH3262" s="1531"/>
      <c r="AI3262" s="1531"/>
      <c r="AJ3262" s="1531"/>
      <c r="AK3262" s="1531"/>
      <c r="AL3262" s="1531"/>
      <c r="AM3262" s="1531"/>
      <c r="AN3262" s="1531"/>
      <c r="AO3262" s="1531"/>
      <c r="AP3262" s="1531"/>
      <c r="AQ3262" s="1531"/>
      <c r="AR3262" s="1531"/>
      <c r="AS3262" s="1531"/>
    </row>
    <row r="3263" spans="1:45" s="1136" customFormat="1" ht="15.75" x14ac:dyDescent="0.25">
      <c r="A3263" s="1417" t="s">
        <v>3405</v>
      </c>
      <c r="B3263" s="1442">
        <f>B2834</f>
        <v>40</v>
      </c>
      <c r="C3263" s="1349"/>
      <c r="D3263" s="1569"/>
      <c r="E3263" s="1569"/>
      <c r="F3263" s="1569"/>
      <c r="G3263" s="1569"/>
      <c r="H3263" s="1531"/>
      <c r="I3263" s="1531"/>
      <c r="J3263" s="1531"/>
      <c r="K3263" s="1531"/>
      <c r="L3263" s="1531"/>
      <c r="M3263" s="1531"/>
      <c r="N3263" s="1531"/>
      <c r="O3263" s="1531"/>
      <c r="P3263" s="1531"/>
      <c r="Q3263" s="1531"/>
      <c r="R3263" s="1531"/>
      <c r="S3263" s="1531"/>
      <c r="T3263" s="1531"/>
      <c r="U3263" s="1531"/>
      <c r="V3263" s="1531"/>
      <c r="W3263" s="1531"/>
      <c r="X3263" s="1531"/>
      <c r="Y3263" s="1531"/>
      <c r="Z3263" s="1531"/>
      <c r="AA3263" s="1531"/>
      <c r="AB3263" s="1531"/>
      <c r="AC3263" s="1531"/>
      <c r="AD3263" s="1531"/>
      <c r="AE3263" s="1531"/>
      <c r="AF3263" s="1531"/>
      <c r="AG3263" s="1531"/>
      <c r="AH3263" s="1531"/>
      <c r="AI3263" s="1531"/>
      <c r="AJ3263" s="1531"/>
      <c r="AK3263" s="1531"/>
      <c r="AL3263" s="1531"/>
      <c r="AM3263" s="1531"/>
      <c r="AN3263" s="1531"/>
      <c r="AO3263" s="1531"/>
      <c r="AP3263" s="1531"/>
      <c r="AQ3263" s="1531"/>
      <c r="AR3263" s="1531"/>
      <c r="AS3263" s="1531"/>
    </row>
    <row r="3264" spans="1:45" s="1136" customFormat="1" ht="15.75" x14ac:dyDescent="0.25">
      <c r="A3264" s="1417" t="s">
        <v>3406</v>
      </c>
      <c r="B3264" s="1431">
        <f>B2835</f>
        <v>10</v>
      </c>
      <c r="C3264" s="1434"/>
      <c r="D3264" s="1569"/>
      <c r="E3264" s="1569"/>
      <c r="F3264" s="1569"/>
      <c r="G3264" s="1569"/>
      <c r="H3264" s="1569"/>
      <c r="I3264" s="1531"/>
      <c r="J3264" s="1531"/>
      <c r="K3264" s="1531"/>
      <c r="L3264" s="1531"/>
      <c r="M3264" s="1531"/>
      <c r="N3264" s="1531"/>
      <c r="O3264" s="1531"/>
      <c r="P3264" s="1531"/>
      <c r="Q3264" s="1531"/>
      <c r="R3264" s="1531"/>
      <c r="S3264" s="1531"/>
      <c r="T3264" s="1531"/>
      <c r="U3264" s="1531"/>
      <c r="V3264" s="1531"/>
      <c r="W3264" s="1531"/>
      <c r="X3264" s="1531"/>
      <c r="Y3264" s="1531"/>
      <c r="Z3264" s="1531"/>
      <c r="AA3264" s="1531"/>
      <c r="AB3264" s="1531"/>
      <c r="AC3264" s="1531"/>
      <c r="AD3264" s="1531"/>
      <c r="AE3264" s="1531"/>
      <c r="AF3264" s="1531"/>
      <c r="AG3264" s="1531"/>
      <c r="AH3264" s="1531"/>
      <c r="AI3264" s="1531"/>
      <c r="AJ3264" s="1531"/>
      <c r="AK3264" s="1531"/>
      <c r="AL3264" s="1531"/>
      <c r="AM3264" s="1531"/>
      <c r="AN3264" s="1531"/>
      <c r="AO3264" s="1531"/>
      <c r="AP3264" s="1531"/>
      <c r="AQ3264" s="1531"/>
      <c r="AR3264" s="1531"/>
      <c r="AS3264" s="1531"/>
    </row>
    <row r="3265" spans="1:45" s="1136" customFormat="1" ht="15.75" x14ac:dyDescent="0.25">
      <c r="A3265" s="1430" t="s">
        <v>3407</v>
      </c>
      <c r="B3265" s="1443" t="e">
        <f>((B240*B245*B244*B247*B239)/(B241*B281))*B3263*B3264</f>
        <v>#VALUE!</v>
      </c>
      <c r="C3265" s="1437"/>
      <c r="D3265" s="1569"/>
      <c r="E3265" s="1569"/>
      <c r="F3265" s="1569"/>
      <c r="G3265" s="1569"/>
      <c r="H3265" s="1531"/>
      <c r="I3265" s="1531"/>
      <c r="J3265" s="1531"/>
      <c r="K3265" s="1531"/>
      <c r="L3265" s="1531"/>
      <c r="M3265" s="1531"/>
      <c r="N3265" s="1531"/>
      <c r="O3265" s="1531"/>
      <c r="P3265" s="1531"/>
      <c r="Q3265" s="1531"/>
      <c r="R3265" s="1531"/>
      <c r="S3265" s="1531"/>
      <c r="T3265" s="1531"/>
      <c r="U3265" s="1531"/>
      <c r="V3265" s="1531"/>
      <c r="W3265" s="1531"/>
      <c r="X3265" s="1531"/>
      <c r="Y3265" s="1531"/>
      <c r="Z3265" s="1531"/>
      <c r="AA3265" s="1531"/>
      <c r="AB3265" s="1531"/>
      <c r="AC3265" s="1531"/>
      <c r="AD3265" s="1531"/>
      <c r="AE3265" s="1531"/>
      <c r="AF3265" s="1531"/>
      <c r="AG3265" s="1531"/>
      <c r="AH3265" s="1531"/>
      <c r="AI3265" s="1531"/>
      <c r="AJ3265" s="1531"/>
      <c r="AK3265" s="1531"/>
      <c r="AL3265" s="1531"/>
      <c r="AM3265" s="1531"/>
      <c r="AN3265" s="1531"/>
      <c r="AO3265" s="1531"/>
      <c r="AP3265" s="1531"/>
      <c r="AQ3265" s="1531"/>
      <c r="AR3265" s="1531"/>
      <c r="AS3265" s="1531"/>
    </row>
    <row r="3266" spans="1:45" s="1136" customFormat="1" ht="15.75" x14ac:dyDescent="0.25">
      <c r="A3266" s="1466" t="s">
        <v>3408</v>
      </c>
      <c r="B3266" s="1467">
        <f>IF(B252=2,B3265,0)</f>
        <v>0</v>
      </c>
      <c r="C3266" s="1468"/>
      <c r="D3266" s="1569"/>
      <c r="E3266" s="1569"/>
      <c r="F3266" s="1569"/>
      <c r="G3266" s="1569"/>
      <c r="H3266" s="1531"/>
      <c r="I3266" s="1531"/>
      <c r="J3266" s="1531"/>
      <c r="K3266" s="1531"/>
      <c r="L3266" s="1531"/>
      <c r="M3266" s="1531"/>
      <c r="N3266" s="1531"/>
      <c r="O3266" s="1531"/>
      <c r="P3266" s="1531"/>
      <c r="Q3266" s="1531"/>
      <c r="R3266" s="1531"/>
      <c r="S3266" s="1531"/>
      <c r="T3266" s="1531"/>
      <c r="U3266" s="1531"/>
      <c r="V3266" s="1531"/>
      <c r="W3266" s="1531"/>
      <c r="X3266" s="1531"/>
      <c r="Y3266" s="1531"/>
      <c r="Z3266" s="1531"/>
      <c r="AA3266" s="1531"/>
      <c r="AB3266" s="1531"/>
      <c r="AC3266" s="1531"/>
      <c r="AD3266" s="1531"/>
      <c r="AE3266" s="1531"/>
      <c r="AF3266" s="1531"/>
      <c r="AG3266" s="1531"/>
      <c r="AH3266" s="1531"/>
      <c r="AI3266" s="1531"/>
      <c r="AJ3266" s="1531"/>
      <c r="AK3266" s="1531"/>
      <c r="AL3266" s="1531"/>
      <c r="AM3266" s="1531"/>
      <c r="AN3266" s="1531"/>
      <c r="AO3266" s="1531"/>
      <c r="AP3266" s="1531"/>
      <c r="AQ3266" s="1531"/>
      <c r="AR3266" s="1531"/>
      <c r="AS3266" s="1531"/>
    </row>
    <row r="3267" spans="1:45" s="1136" customFormat="1" ht="15.75" x14ac:dyDescent="0.25">
      <c r="A3267" s="1580" t="s">
        <v>3409</v>
      </c>
      <c r="B3267" s="1467"/>
      <c r="C3267" s="1468"/>
      <c r="D3267" s="1572"/>
      <c r="E3267" s="1572"/>
      <c r="F3267" s="1572"/>
      <c r="G3267" s="1572"/>
      <c r="H3267" s="1531"/>
      <c r="I3267" s="1531"/>
      <c r="J3267" s="1531"/>
      <c r="K3267" s="1531"/>
      <c r="L3267" s="1531"/>
      <c r="M3267" s="1531"/>
      <c r="N3267" s="1531"/>
      <c r="O3267" s="1531"/>
      <c r="P3267" s="1531"/>
      <c r="Q3267" s="1531"/>
      <c r="R3267" s="1531"/>
      <c r="S3267" s="1531"/>
      <c r="T3267" s="1531"/>
      <c r="U3267" s="1531"/>
      <c r="V3267" s="1531"/>
      <c r="W3267" s="1531"/>
      <c r="X3267" s="1531"/>
      <c r="Y3267" s="1531"/>
      <c r="Z3267" s="1531"/>
      <c r="AA3267" s="1531"/>
      <c r="AB3267" s="1531"/>
      <c r="AC3267" s="1531"/>
      <c r="AD3267" s="1531"/>
      <c r="AE3267" s="1531"/>
      <c r="AF3267" s="1531"/>
      <c r="AG3267" s="1531"/>
      <c r="AH3267" s="1531"/>
      <c r="AI3267" s="1531"/>
      <c r="AJ3267" s="1531"/>
      <c r="AK3267" s="1531"/>
      <c r="AL3267" s="1531"/>
      <c r="AM3267" s="1531"/>
      <c r="AN3267" s="1531"/>
      <c r="AO3267" s="1531"/>
      <c r="AP3267" s="1531"/>
      <c r="AQ3267" s="1531"/>
      <c r="AR3267" s="1531"/>
      <c r="AS3267" s="1531"/>
    </row>
    <row r="3268" spans="1:45" s="1136" customFormat="1" ht="15.75" x14ac:dyDescent="0.25">
      <c r="A3268" s="1417" t="s">
        <v>3405</v>
      </c>
      <c r="B3268" s="1442">
        <v>4</v>
      </c>
      <c r="C3268" s="1349"/>
      <c r="D3268" s="1569"/>
      <c r="E3268" s="1569"/>
      <c r="F3268" s="1569"/>
      <c r="G3268" s="1569"/>
      <c r="H3268" s="1531"/>
      <c r="I3268" s="1531"/>
      <c r="J3268" s="1531"/>
      <c r="K3268" s="1531"/>
      <c r="L3268" s="1531"/>
      <c r="M3268" s="1531"/>
      <c r="N3268" s="1531"/>
      <c r="O3268" s="1531"/>
      <c r="P3268" s="1531"/>
      <c r="Q3268" s="1531"/>
      <c r="R3268" s="1531"/>
      <c r="S3268" s="1531"/>
      <c r="T3268" s="1531"/>
      <c r="U3268" s="1531"/>
      <c r="V3268" s="1531"/>
      <c r="W3268" s="1531"/>
      <c r="X3268" s="1531"/>
      <c r="Y3268" s="1531"/>
      <c r="Z3268" s="1531"/>
      <c r="AA3268" s="1531"/>
      <c r="AB3268" s="1531"/>
      <c r="AC3268" s="1531"/>
      <c r="AD3268" s="1531"/>
      <c r="AE3268" s="1531"/>
      <c r="AF3268" s="1531"/>
      <c r="AG3268" s="1531"/>
      <c r="AH3268" s="1531"/>
      <c r="AI3268" s="1531"/>
      <c r="AJ3268" s="1531"/>
      <c r="AK3268" s="1531"/>
      <c r="AL3268" s="1531"/>
      <c r="AM3268" s="1531"/>
      <c r="AN3268" s="1531"/>
      <c r="AO3268" s="1531"/>
      <c r="AP3268" s="1531"/>
      <c r="AQ3268" s="1531"/>
      <c r="AR3268" s="1531"/>
      <c r="AS3268" s="1531"/>
    </row>
    <row r="3269" spans="1:45" s="1136" customFormat="1" ht="15.75" x14ac:dyDescent="0.25">
      <c r="A3269" s="1417" t="s">
        <v>3406</v>
      </c>
      <c r="B3269" s="1431">
        <f>B2840</f>
        <v>10</v>
      </c>
      <c r="C3269" s="1610"/>
      <c r="D3269" s="1569"/>
      <c r="E3269" s="1569"/>
      <c r="F3269" s="1569"/>
      <c r="G3269" s="1569"/>
      <c r="H3269" s="1531"/>
      <c r="I3269" s="1531"/>
      <c r="J3269" s="1531"/>
      <c r="K3269" s="1531"/>
      <c r="L3269" s="1531"/>
      <c r="M3269" s="1531"/>
      <c r="N3269" s="1531"/>
      <c r="O3269" s="1531"/>
      <c r="P3269" s="1531"/>
      <c r="Q3269" s="1531"/>
      <c r="R3269" s="1531"/>
      <c r="S3269" s="1531"/>
      <c r="T3269" s="1531"/>
      <c r="U3269" s="1531"/>
      <c r="V3269" s="1531"/>
      <c r="W3269" s="1531"/>
      <c r="X3269" s="1531"/>
      <c r="Y3269" s="1531"/>
      <c r="Z3269" s="1531"/>
      <c r="AA3269" s="1531"/>
      <c r="AB3269" s="1531"/>
      <c r="AC3269" s="1531"/>
      <c r="AD3269" s="1531"/>
      <c r="AE3269" s="1531"/>
      <c r="AF3269" s="1531"/>
      <c r="AG3269" s="1531"/>
      <c r="AH3269" s="1531"/>
      <c r="AI3269" s="1531"/>
      <c r="AJ3269" s="1531"/>
      <c r="AK3269" s="1531"/>
      <c r="AL3269" s="1531"/>
      <c r="AM3269" s="1531"/>
      <c r="AN3269" s="1531"/>
      <c r="AO3269" s="1531"/>
      <c r="AP3269" s="1531"/>
      <c r="AQ3269" s="1531"/>
      <c r="AR3269" s="1531"/>
      <c r="AS3269" s="1531"/>
    </row>
    <row r="3270" spans="1:45" s="1136" customFormat="1" ht="15.75" x14ac:dyDescent="0.25">
      <c r="A3270" s="1430" t="s">
        <v>3407</v>
      </c>
      <c r="B3270" s="1443" t="e">
        <f>((B240*B245*B244*B247*B239)/(B241*B281))*B3268*B3269</f>
        <v>#VALUE!</v>
      </c>
      <c r="C3270" s="1521"/>
      <c r="D3270" s="1349"/>
      <c r="E3270" s="1349"/>
      <c r="F3270" s="1349"/>
      <c r="G3270" s="1349"/>
      <c r="H3270" s="1531"/>
      <c r="I3270" s="1531"/>
      <c r="J3270" s="1531"/>
      <c r="K3270" s="1531"/>
      <c r="L3270" s="1531"/>
      <c r="M3270" s="1531"/>
      <c r="N3270" s="1531"/>
      <c r="O3270" s="1531"/>
      <c r="P3270" s="1531"/>
      <c r="Q3270" s="1531"/>
      <c r="R3270" s="1531"/>
      <c r="S3270" s="1531"/>
      <c r="T3270" s="1531"/>
      <c r="U3270" s="1531"/>
      <c r="V3270" s="1531"/>
      <c r="W3270" s="1531"/>
      <c r="X3270" s="1531"/>
      <c r="Y3270" s="1531"/>
      <c r="Z3270" s="1531"/>
      <c r="AA3270" s="1531"/>
      <c r="AB3270" s="1531"/>
      <c r="AC3270" s="1531"/>
      <c r="AD3270" s="1531"/>
      <c r="AE3270" s="1531"/>
      <c r="AF3270" s="1531"/>
      <c r="AG3270" s="1531"/>
      <c r="AH3270" s="1531"/>
      <c r="AI3270" s="1531"/>
      <c r="AJ3270" s="1531"/>
      <c r="AK3270" s="1531"/>
      <c r="AL3270" s="1531"/>
      <c r="AM3270" s="1531"/>
      <c r="AN3270" s="1531"/>
      <c r="AO3270" s="1531"/>
      <c r="AP3270" s="1531"/>
      <c r="AQ3270" s="1531"/>
      <c r="AR3270" s="1531"/>
      <c r="AS3270" s="1531"/>
    </row>
    <row r="3271" spans="1:45" s="1136" customFormat="1" ht="15.75" x14ac:dyDescent="0.25">
      <c r="A3271" s="1466" t="s">
        <v>3408</v>
      </c>
      <c r="B3271" s="1467" t="e">
        <f>IF(B252=1,B3270,0)</f>
        <v>#VALUE!</v>
      </c>
      <c r="C3271" s="1590"/>
      <c r="D3271" s="1434"/>
      <c r="E3271" s="1434"/>
      <c r="F3271" s="1434"/>
      <c r="G3271" s="1434"/>
      <c r="H3271" s="1531"/>
      <c r="I3271" s="1531"/>
      <c r="J3271" s="1531"/>
      <c r="K3271" s="1531"/>
      <c r="L3271" s="1531"/>
      <c r="M3271" s="1531"/>
      <c r="N3271" s="1531"/>
      <c r="O3271" s="1531"/>
      <c r="P3271" s="1531"/>
      <c r="Q3271" s="1531"/>
      <c r="R3271" s="1531"/>
      <c r="S3271" s="1531"/>
      <c r="T3271" s="1531"/>
      <c r="U3271" s="1531"/>
      <c r="V3271" s="1531"/>
      <c r="W3271" s="1531"/>
      <c r="X3271" s="1531"/>
      <c r="Y3271" s="1531"/>
      <c r="Z3271" s="1531"/>
      <c r="AA3271" s="1531"/>
      <c r="AB3271" s="1531"/>
      <c r="AC3271" s="1531"/>
      <c r="AD3271" s="1531"/>
      <c r="AE3271" s="1531"/>
      <c r="AF3271" s="1531"/>
      <c r="AG3271" s="1531"/>
      <c r="AH3271" s="1531"/>
      <c r="AI3271" s="1531"/>
      <c r="AJ3271" s="1531"/>
      <c r="AK3271" s="1531"/>
      <c r="AL3271" s="1531"/>
      <c r="AM3271" s="1531"/>
      <c r="AN3271" s="1531"/>
      <c r="AO3271" s="1531"/>
      <c r="AP3271" s="1531"/>
      <c r="AQ3271" s="1531"/>
      <c r="AR3271" s="1531"/>
      <c r="AS3271" s="1531"/>
    </row>
    <row r="3272" spans="1:45" s="1136" customFormat="1" ht="15.75" x14ac:dyDescent="0.25">
      <c r="A3272" s="1417"/>
      <c r="B3272" s="1415"/>
      <c r="C3272" s="1531"/>
      <c r="D3272" s="1437"/>
      <c r="E3272" s="1437"/>
      <c r="F3272" s="1437"/>
      <c r="G3272" s="1437"/>
      <c r="H3272" s="1521"/>
      <c r="I3272" s="1531"/>
      <c r="J3272" s="1531"/>
      <c r="K3272" s="1531"/>
      <c r="L3272" s="1531"/>
      <c r="M3272" s="1531"/>
      <c r="N3272" s="1531"/>
      <c r="O3272" s="1531"/>
      <c r="P3272" s="1531"/>
      <c r="Q3272" s="1531"/>
      <c r="R3272" s="1531"/>
      <c r="S3272" s="1531"/>
      <c r="T3272" s="1531"/>
      <c r="U3272" s="1531"/>
      <c r="V3272" s="1531"/>
      <c r="W3272" s="1531"/>
      <c r="X3272" s="1531"/>
      <c r="Y3272" s="1531"/>
      <c r="Z3272" s="1531"/>
      <c r="AA3272" s="1531"/>
      <c r="AB3272" s="1531"/>
      <c r="AC3272" s="1531"/>
      <c r="AD3272" s="1531"/>
      <c r="AE3272" s="1531"/>
      <c r="AF3272" s="1531"/>
      <c r="AG3272" s="1531"/>
      <c r="AH3272" s="1531"/>
      <c r="AI3272" s="1531"/>
      <c r="AJ3272" s="1531"/>
      <c r="AK3272" s="1531"/>
      <c r="AL3272" s="1531"/>
      <c r="AM3272" s="1531"/>
      <c r="AN3272" s="1531"/>
      <c r="AO3272" s="1531"/>
      <c r="AP3272" s="1531"/>
      <c r="AQ3272" s="1531"/>
      <c r="AR3272" s="1531"/>
      <c r="AS3272" s="1531"/>
    </row>
    <row r="3273" spans="1:45" s="1136" customFormat="1" ht="15.75" x14ac:dyDescent="0.25">
      <c r="A3273" s="1636" t="s">
        <v>3741</v>
      </c>
      <c r="B3273" s="1637"/>
      <c r="C3273" s="1070"/>
      <c r="D3273" s="1468"/>
      <c r="E3273" s="1468"/>
      <c r="F3273" s="1468"/>
      <c r="G3273" s="1468"/>
      <c r="H3273" s="1531"/>
      <c r="I3273" s="1531"/>
      <c r="J3273" s="1531"/>
      <c r="K3273" s="1531"/>
      <c r="L3273" s="1531"/>
      <c r="M3273" s="1531"/>
      <c r="N3273" s="1531"/>
      <c r="O3273" s="1531"/>
      <c r="P3273" s="1531"/>
      <c r="Q3273" s="1531"/>
      <c r="R3273" s="1531"/>
      <c r="S3273" s="1531"/>
      <c r="T3273" s="1531"/>
      <c r="U3273" s="1531"/>
      <c r="V3273" s="1531"/>
      <c r="W3273" s="1531"/>
      <c r="X3273" s="1531"/>
      <c r="Y3273" s="1531"/>
      <c r="Z3273" s="1531"/>
      <c r="AA3273" s="1531"/>
      <c r="AB3273" s="1531"/>
      <c r="AC3273" s="1531"/>
      <c r="AD3273" s="1531"/>
      <c r="AE3273" s="1531"/>
      <c r="AF3273" s="1531"/>
      <c r="AG3273" s="1531"/>
      <c r="AH3273" s="1531"/>
      <c r="AI3273" s="1531"/>
      <c r="AJ3273" s="1531"/>
      <c r="AK3273" s="1531"/>
      <c r="AL3273" s="1531"/>
      <c r="AM3273" s="1531"/>
      <c r="AN3273" s="1531"/>
      <c r="AO3273" s="1531"/>
      <c r="AP3273" s="1531"/>
      <c r="AQ3273" s="1531"/>
      <c r="AR3273" s="1531"/>
      <c r="AS3273" s="1531"/>
    </row>
    <row r="3274" spans="1:45" s="1136" customFormat="1" ht="15.75" x14ac:dyDescent="0.25">
      <c r="A3274" s="1595" t="s">
        <v>3742</v>
      </c>
      <c r="B3274" s="1046"/>
      <c r="D3274" s="1468"/>
      <c r="E3274" s="1468"/>
      <c r="F3274" s="1468"/>
      <c r="G3274" s="1468"/>
      <c r="H3274" s="1531"/>
      <c r="I3274" s="1531"/>
      <c r="J3274" s="1531"/>
      <c r="K3274" s="1531"/>
      <c r="L3274" s="1531"/>
      <c r="M3274" s="1531"/>
      <c r="N3274" s="1531"/>
      <c r="O3274" s="1531"/>
      <c r="P3274" s="1531"/>
      <c r="Q3274" s="1531"/>
      <c r="R3274" s="1531"/>
      <c r="S3274" s="1531"/>
      <c r="T3274" s="1531"/>
      <c r="U3274" s="1531"/>
      <c r="V3274" s="1531"/>
      <c r="W3274" s="1531"/>
      <c r="X3274" s="1531"/>
      <c r="Y3274" s="1531"/>
      <c r="Z3274" s="1531"/>
      <c r="AA3274" s="1531"/>
      <c r="AB3274" s="1531"/>
      <c r="AC3274" s="1531"/>
      <c r="AD3274" s="1531"/>
      <c r="AE3274" s="1531"/>
      <c r="AF3274" s="1531"/>
      <c r="AG3274" s="1531"/>
      <c r="AH3274" s="1531"/>
      <c r="AI3274" s="1531"/>
      <c r="AJ3274" s="1531"/>
      <c r="AK3274" s="1531"/>
      <c r="AL3274" s="1531"/>
      <c r="AM3274" s="1531"/>
      <c r="AN3274" s="1531"/>
      <c r="AO3274" s="1531"/>
      <c r="AP3274" s="1531"/>
      <c r="AQ3274" s="1531"/>
      <c r="AR3274" s="1531"/>
      <c r="AS3274" s="1531"/>
    </row>
    <row r="3275" spans="1:45" s="1136" customFormat="1" ht="15.75" x14ac:dyDescent="0.25">
      <c r="A3275" s="1638" t="s">
        <v>3743</v>
      </c>
      <c r="B3275" s="1046"/>
      <c r="D3275" s="1349"/>
      <c r="E3275" s="1349"/>
      <c r="F3275" s="1349"/>
      <c r="G3275" s="1349"/>
      <c r="H3275" s="1531"/>
      <c r="I3275" s="1531"/>
      <c r="J3275" s="1531"/>
      <c r="K3275" s="1531"/>
      <c r="L3275" s="1531"/>
      <c r="M3275" s="1531"/>
      <c r="N3275" s="1531"/>
      <c r="O3275" s="1531"/>
      <c r="P3275" s="1531"/>
      <c r="Q3275" s="1531"/>
      <c r="R3275" s="1531"/>
      <c r="S3275" s="1531"/>
      <c r="T3275" s="1531"/>
      <c r="U3275" s="1531"/>
      <c r="V3275" s="1531"/>
      <c r="W3275" s="1531"/>
      <c r="X3275" s="1531"/>
      <c r="Y3275" s="1531"/>
      <c r="Z3275" s="1531"/>
      <c r="AA3275" s="1531"/>
      <c r="AB3275" s="1531"/>
      <c r="AC3275" s="1531"/>
      <c r="AD3275" s="1531"/>
      <c r="AE3275" s="1531"/>
      <c r="AF3275" s="1531"/>
      <c r="AG3275" s="1531"/>
      <c r="AH3275" s="1531"/>
      <c r="AI3275" s="1531"/>
      <c r="AJ3275" s="1531"/>
      <c r="AK3275" s="1531"/>
      <c r="AL3275" s="1531"/>
      <c r="AM3275" s="1531"/>
      <c r="AN3275" s="1531"/>
      <c r="AO3275" s="1531"/>
      <c r="AP3275" s="1531"/>
      <c r="AQ3275" s="1531"/>
      <c r="AR3275" s="1531"/>
      <c r="AS3275" s="1531"/>
    </row>
    <row r="3276" spans="1:45" s="1136" customFormat="1" ht="15.75" x14ac:dyDescent="0.25">
      <c r="A3276" s="1417" t="s">
        <v>3744</v>
      </c>
      <c r="B3276" s="1046"/>
      <c r="D3276" s="1610"/>
      <c r="E3276" s="1610"/>
      <c r="F3276" s="1610"/>
      <c r="G3276" s="1610"/>
      <c r="H3276" s="1531"/>
      <c r="I3276" s="1531"/>
      <c r="J3276" s="1531"/>
      <c r="K3276" s="1531"/>
      <c r="L3276" s="1531"/>
      <c r="M3276" s="1531"/>
      <c r="N3276" s="1531"/>
      <c r="O3276" s="1531"/>
      <c r="P3276" s="1531"/>
      <c r="Q3276" s="1531"/>
      <c r="R3276" s="1531"/>
      <c r="S3276" s="1531"/>
      <c r="T3276" s="1531"/>
      <c r="U3276" s="1531"/>
      <c r="V3276" s="1531"/>
      <c r="W3276" s="1531"/>
      <c r="X3276" s="1531"/>
      <c r="Y3276" s="1531"/>
      <c r="Z3276" s="1531"/>
      <c r="AA3276" s="1531"/>
      <c r="AB3276" s="1531"/>
      <c r="AC3276" s="1531"/>
      <c r="AD3276" s="1531"/>
      <c r="AE3276" s="1531"/>
      <c r="AF3276" s="1531"/>
      <c r="AG3276" s="1531"/>
      <c r="AH3276" s="1531"/>
      <c r="AI3276" s="1531"/>
      <c r="AJ3276" s="1531"/>
      <c r="AK3276" s="1531"/>
      <c r="AL3276" s="1531"/>
      <c r="AM3276" s="1531"/>
      <c r="AN3276" s="1531"/>
      <c r="AO3276" s="1531"/>
      <c r="AP3276" s="1531"/>
      <c r="AQ3276" s="1531"/>
      <c r="AR3276" s="1531"/>
      <c r="AS3276" s="1531"/>
    </row>
    <row r="3277" spans="1:45" s="1136" customFormat="1" ht="15.75" x14ac:dyDescent="0.25">
      <c r="A3277" s="1430" t="s">
        <v>2735</v>
      </c>
      <c r="B3277" s="1484" t="e">
        <f>((B241*B281)/(B239*B240*B244*B245*B247))*(B2769+B2770)</f>
        <v>#VALUE!</v>
      </c>
      <c r="C3277" s="1639"/>
      <c r="D3277" s="1521"/>
      <c r="E3277" s="1521"/>
      <c r="F3277" s="1521"/>
      <c r="G3277" s="1521"/>
      <c r="H3277" s="1531"/>
      <c r="I3277" s="1531"/>
      <c r="J3277" s="1531"/>
      <c r="K3277" s="1531"/>
      <c r="L3277" s="1531"/>
      <c r="M3277" s="1531"/>
      <c r="N3277" s="1531"/>
      <c r="O3277" s="1531"/>
      <c r="P3277" s="1531"/>
      <c r="Q3277" s="1531"/>
      <c r="R3277" s="1531"/>
      <c r="S3277" s="1531"/>
      <c r="T3277" s="1531"/>
      <c r="U3277" s="1531"/>
      <c r="V3277" s="1531"/>
      <c r="W3277" s="1531"/>
      <c r="X3277" s="1531"/>
      <c r="Y3277" s="1531"/>
      <c r="Z3277" s="1531"/>
      <c r="AA3277" s="1531"/>
      <c r="AB3277" s="1531"/>
      <c r="AC3277" s="1531"/>
      <c r="AD3277" s="1531"/>
      <c r="AE3277" s="1531"/>
      <c r="AF3277" s="1531"/>
      <c r="AG3277" s="1531"/>
      <c r="AH3277" s="1531"/>
      <c r="AI3277" s="1531"/>
      <c r="AJ3277" s="1531"/>
      <c r="AK3277" s="1531"/>
      <c r="AL3277" s="1531"/>
      <c r="AM3277" s="1531"/>
      <c r="AN3277" s="1531"/>
      <c r="AO3277" s="1531"/>
      <c r="AP3277" s="1531"/>
      <c r="AQ3277" s="1531"/>
      <c r="AR3277" s="1531"/>
      <c r="AS3277" s="1531"/>
    </row>
    <row r="3278" spans="1:45" s="1136" customFormat="1" ht="15.75" x14ac:dyDescent="0.25">
      <c r="A3278" s="1430" t="s">
        <v>2736</v>
      </c>
      <c r="B3278" s="1484" t="e">
        <f>((B241*B281)/(B239*B240*B244*B245*B247))*(B2771+B2772)</f>
        <v>#VALUE!</v>
      </c>
      <c r="C3278" s="1639"/>
      <c r="D3278" s="1590"/>
      <c r="E3278" s="1590"/>
      <c r="F3278" s="1590"/>
      <c r="G3278" s="1590"/>
      <c r="H3278" s="1531"/>
      <c r="I3278" s="1531"/>
      <c r="J3278" s="1531"/>
      <c r="K3278" s="1531"/>
      <c r="L3278" s="1531"/>
      <c r="M3278" s="1531"/>
      <c r="N3278" s="1531"/>
      <c r="O3278" s="1531"/>
      <c r="P3278" s="1531"/>
      <c r="Q3278" s="1531"/>
      <c r="R3278" s="1531"/>
      <c r="S3278" s="1531"/>
      <c r="T3278" s="1531"/>
      <c r="U3278" s="1531"/>
      <c r="V3278" s="1531"/>
      <c r="W3278" s="1531"/>
      <c r="X3278" s="1531"/>
      <c r="Y3278" s="1531"/>
      <c r="Z3278" s="1531"/>
      <c r="AA3278" s="1531"/>
      <c r="AB3278" s="1531"/>
      <c r="AC3278" s="1531"/>
      <c r="AD3278" s="1531"/>
      <c r="AE3278" s="1531"/>
      <c r="AF3278" s="1531"/>
      <c r="AG3278" s="1531"/>
      <c r="AH3278" s="1531"/>
      <c r="AI3278" s="1531"/>
      <c r="AJ3278" s="1531"/>
      <c r="AK3278" s="1531"/>
      <c r="AL3278" s="1531"/>
      <c r="AM3278" s="1531"/>
      <c r="AN3278" s="1531"/>
      <c r="AO3278" s="1531"/>
      <c r="AP3278" s="1531"/>
      <c r="AQ3278" s="1531"/>
      <c r="AR3278" s="1531"/>
      <c r="AS3278" s="1531"/>
    </row>
    <row r="3279" spans="1:45" s="1136" customFormat="1" ht="15.75" x14ac:dyDescent="0.25">
      <c r="A3279" s="1430" t="s">
        <v>2737</v>
      </c>
      <c r="B3279" s="1484" t="e">
        <f>((B241*B281)/(B239*B240*B244*B245*B247))*B2773</f>
        <v>#VALUE!</v>
      </c>
      <c r="C3279" s="1639"/>
      <c r="D3279" s="1531"/>
      <c r="E3279" s="1531"/>
      <c r="F3279" s="1531"/>
      <c r="G3279" s="1531"/>
      <c r="H3279" s="1531"/>
      <c r="I3279" s="1531"/>
      <c r="J3279" s="1531"/>
      <c r="K3279" s="1531"/>
      <c r="L3279" s="1531"/>
      <c r="M3279" s="1531"/>
      <c r="N3279" s="1531"/>
      <c r="O3279" s="1531"/>
      <c r="P3279" s="1531"/>
      <c r="Q3279" s="1531"/>
      <c r="R3279" s="1531"/>
      <c r="S3279" s="1531"/>
      <c r="T3279" s="1531"/>
      <c r="U3279" s="1531"/>
      <c r="V3279" s="1531"/>
      <c r="W3279" s="1531"/>
      <c r="X3279" s="1531"/>
      <c r="Y3279" s="1531"/>
      <c r="Z3279" s="1531"/>
      <c r="AA3279" s="1531"/>
      <c r="AB3279" s="1531"/>
      <c r="AC3279" s="1531"/>
      <c r="AD3279" s="1531"/>
      <c r="AE3279" s="1531"/>
      <c r="AF3279" s="1531"/>
      <c r="AG3279" s="1531"/>
      <c r="AH3279" s="1531"/>
      <c r="AI3279" s="1531"/>
      <c r="AJ3279" s="1531"/>
      <c r="AK3279" s="1531"/>
      <c r="AL3279" s="1531"/>
      <c r="AM3279" s="1531"/>
      <c r="AN3279" s="1531"/>
      <c r="AO3279" s="1531"/>
      <c r="AP3279" s="1531"/>
      <c r="AQ3279" s="1531"/>
      <c r="AR3279" s="1531"/>
      <c r="AS3279" s="1531"/>
    </row>
    <row r="3280" spans="1:45" s="1136" customFormat="1" ht="15.75" x14ac:dyDescent="0.25">
      <c r="A3280" s="1417" t="s">
        <v>2738</v>
      </c>
      <c r="B3280" s="1484"/>
      <c r="C3280" s="1639"/>
      <c r="D3280" s="1070"/>
      <c r="E3280" s="1070"/>
      <c r="F3280" s="1070"/>
      <c r="G3280" s="1070"/>
    </row>
    <row r="3281" spans="1:7" s="1136" customFormat="1" ht="15.75" x14ac:dyDescent="0.25">
      <c r="A3281" s="1430" t="s">
        <v>2735</v>
      </c>
      <c r="B3281" s="1484" t="e">
        <f>((B241*B281)/(B239*B240*B244*B245*B247))*(B2781+B2782)</f>
        <v>#VALUE!</v>
      </c>
      <c r="C3281" s="1639"/>
    </row>
    <row r="3282" spans="1:7" s="1136" customFormat="1" ht="15.75" x14ac:dyDescent="0.25">
      <c r="A3282" s="1430" t="s">
        <v>2736</v>
      </c>
      <c r="B3282" s="1484" t="e">
        <f>((B241*B281)/(B239*B240*B244*B245*B247))*(B2783+B2784+B2785)</f>
        <v>#VALUE!</v>
      </c>
      <c r="C3282" s="1639"/>
    </row>
    <row r="3283" spans="1:7" s="1136" customFormat="1" ht="15.75" x14ac:dyDescent="0.25">
      <c r="A3283" s="1430" t="s">
        <v>2737</v>
      </c>
      <c r="B3283" s="1484" t="e">
        <f>((B241*B281)/(B239*B240*B244*B245*B247))*B2786</f>
        <v>#VALUE!</v>
      </c>
      <c r="C3283" s="1639"/>
    </row>
    <row r="3284" spans="1:7" s="1136" customFormat="1" ht="15.75" x14ac:dyDescent="0.25">
      <c r="A3284" s="1638" t="s">
        <v>2739</v>
      </c>
      <c r="B3284" s="1484"/>
      <c r="C3284" s="1639"/>
      <c r="D3284" s="1639"/>
      <c r="E3284" s="1639"/>
      <c r="F3284" s="1639"/>
      <c r="G3284" s="1639"/>
    </row>
    <row r="3285" spans="1:7" s="1136" customFormat="1" ht="15.75" x14ac:dyDescent="0.25">
      <c r="A3285" s="1417" t="s">
        <v>3744</v>
      </c>
      <c r="B3285" s="1484"/>
      <c r="C3285" s="1639"/>
      <c r="D3285" s="1639"/>
      <c r="E3285" s="1639"/>
      <c r="F3285" s="1639"/>
      <c r="G3285" s="1639"/>
    </row>
    <row r="3286" spans="1:7" s="1136" customFormat="1" ht="15.75" x14ac:dyDescent="0.25">
      <c r="A3286" s="1430" t="s">
        <v>2740</v>
      </c>
      <c r="B3286" s="1484" t="e">
        <f>((B241*B281)/(B239*B240*B244*B245*B247))*B2797</f>
        <v>#VALUE!</v>
      </c>
      <c r="C3286" s="1639"/>
      <c r="D3286" s="1639"/>
      <c r="E3286" s="1639"/>
      <c r="F3286" s="1639"/>
      <c r="G3286" s="1639"/>
    </row>
    <row r="3287" spans="1:7" s="1136" customFormat="1" ht="15.75" x14ac:dyDescent="0.25">
      <c r="A3287" s="1430" t="s">
        <v>2741</v>
      </c>
      <c r="B3287" s="1484" t="e">
        <f>(B2399*B3286)/1000</f>
        <v>#VALUE!</v>
      </c>
      <c r="C3287" s="1639"/>
      <c r="D3287" s="1639"/>
      <c r="E3287" s="1639"/>
      <c r="F3287" s="1639"/>
      <c r="G3287" s="1639"/>
    </row>
    <row r="3288" spans="1:7" s="1136" customFormat="1" ht="15.75" x14ac:dyDescent="0.25">
      <c r="A3288" s="1417" t="s">
        <v>2738</v>
      </c>
      <c r="B3288" s="1484"/>
      <c r="C3288" s="1639"/>
      <c r="D3288" s="1639"/>
      <c r="E3288" s="1639"/>
      <c r="F3288" s="1639"/>
      <c r="G3288" s="1639"/>
    </row>
    <row r="3289" spans="1:7" s="1136" customFormat="1" ht="15.75" x14ac:dyDescent="0.25">
      <c r="A3289" s="1430" t="s">
        <v>2740</v>
      </c>
      <c r="B3289" s="1484" t="e">
        <f>((B241*B281)/(B239*B240*B244*B245*B247))*B2803</f>
        <v>#VALUE!</v>
      </c>
      <c r="C3289" s="1639"/>
      <c r="D3289" s="1639"/>
      <c r="E3289" s="1639"/>
      <c r="F3289" s="1639"/>
      <c r="G3289" s="1639"/>
    </row>
    <row r="3290" spans="1:7" s="1136" customFormat="1" ht="15.75" x14ac:dyDescent="0.25">
      <c r="A3290" s="1430" t="s">
        <v>2741</v>
      </c>
      <c r="B3290" s="1484" t="e">
        <f>(B2399*B3289)/1000</f>
        <v>#VALUE!</v>
      </c>
      <c r="C3290" s="1639"/>
      <c r="D3290" s="1639"/>
      <c r="E3290" s="1639"/>
      <c r="F3290" s="1639"/>
      <c r="G3290" s="1639"/>
    </row>
    <row r="3291" spans="1:7" s="1136" customFormat="1" ht="15.75" x14ac:dyDescent="0.25">
      <c r="A3291" s="1638" t="s">
        <v>4308</v>
      </c>
      <c r="B3291" s="1484"/>
      <c r="C3291" s="1639"/>
      <c r="D3291" s="1639"/>
      <c r="E3291" s="1639"/>
      <c r="F3291" s="1639"/>
      <c r="G3291" s="1639"/>
    </row>
    <row r="3292" spans="1:7" s="1136" customFormat="1" ht="15.75" x14ac:dyDescent="0.25">
      <c r="A3292" s="1430" t="s">
        <v>2742</v>
      </c>
      <c r="B3292" s="1484" t="e">
        <f>(((B241*B281)/(B239*B240*B244*B245*B247))*((B2811+B2812)*B2809))/1000</f>
        <v>#VALUE!</v>
      </c>
      <c r="C3292" s="1639"/>
      <c r="D3292" s="1639"/>
      <c r="E3292" s="1639"/>
      <c r="F3292" s="1639"/>
      <c r="G3292" s="1639"/>
    </row>
    <row r="3293" spans="1:7" s="1136" customFormat="1" ht="15.75" x14ac:dyDescent="0.25">
      <c r="A3293" s="1430" t="s">
        <v>2743</v>
      </c>
      <c r="B3293" s="1484" t="e">
        <f>((B241*B281)/(B239*B240*B244*B245*B247))*B2822</f>
        <v>#VALUE!</v>
      </c>
      <c r="C3293" s="1639"/>
      <c r="D3293" s="1639"/>
      <c r="E3293" s="1639"/>
      <c r="F3293" s="1639"/>
      <c r="G3293" s="1639"/>
    </row>
    <row r="3294" spans="1:7" s="1136" customFormat="1" ht="15.75" x14ac:dyDescent="0.25">
      <c r="A3294" s="1640" t="s">
        <v>2744</v>
      </c>
      <c r="B3294" s="1484"/>
      <c r="C3294" s="1639"/>
      <c r="D3294" s="1639"/>
      <c r="E3294" s="1639"/>
      <c r="F3294" s="1639"/>
      <c r="G3294" s="1639"/>
    </row>
    <row r="3295" spans="1:7" s="1136" customFormat="1" ht="15.75" x14ac:dyDescent="0.25">
      <c r="A3295" s="1489" t="s">
        <v>2745</v>
      </c>
      <c r="B3295" s="1484" t="e">
        <f>((B241*B281)/(B239*B240*B244*B245*B247))*B2602</f>
        <v>#VALUE!</v>
      </c>
      <c r="C3295" s="1639"/>
      <c r="D3295" s="1639"/>
      <c r="E3295" s="1639"/>
      <c r="F3295" s="1639"/>
      <c r="G3295" s="1639"/>
    </row>
    <row r="3296" spans="1:7" s="1136" customFormat="1" ht="15.75" x14ac:dyDescent="0.25">
      <c r="A3296" s="1489" t="s">
        <v>2746</v>
      </c>
      <c r="B3296" s="1484" t="e">
        <f>(27.458*B267-48.908)*B3295</f>
        <v>#VALUE!</v>
      </c>
      <c r="C3296" s="1639"/>
      <c r="D3296" s="1639"/>
      <c r="E3296" s="1639"/>
      <c r="F3296" s="1639"/>
      <c r="G3296" s="1639"/>
    </row>
    <row r="3297" spans="1:8" s="1136" customFormat="1" ht="15" x14ac:dyDescent="0.2">
      <c r="A3297" s="1391"/>
      <c r="B3297" s="1046"/>
      <c r="D3297" s="1639"/>
      <c r="E3297" s="1639"/>
      <c r="F3297" s="1639"/>
      <c r="G3297" s="1639"/>
    </row>
    <row r="3298" spans="1:8" s="1136" customFormat="1" ht="15.75" x14ac:dyDescent="0.25">
      <c r="A3298" s="1595" t="s">
        <v>2747</v>
      </c>
      <c r="B3298" s="1641"/>
      <c r="C3298" s="1642"/>
      <c r="D3298" s="1639"/>
      <c r="E3298" s="1639"/>
      <c r="F3298" s="1639"/>
      <c r="G3298" s="1639"/>
      <c r="H3298" s="1643"/>
    </row>
    <row r="3299" spans="1:8" s="1136" customFormat="1" ht="15.75" x14ac:dyDescent="0.25">
      <c r="A3299" s="1638" t="s">
        <v>3743</v>
      </c>
      <c r="B3299" s="1641"/>
      <c r="C3299" s="1642"/>
      <c r="D3299" s="1639"/>
      <c r="E3299" s="1639"/>
      <c r="F3299" s="1639"/>
      <c r="G3299" s="1639"/>
      <c r="H3299" s="1643"/>
    </row>
    <row r="3300" spans="1:8" s="1136" customFormat="1" ht="15.75" x14ac:dyDescent="0.25">
      <c r="A3300" s="1417" t="s">
        <v>3744</v>
      </c>
      <c r="B3300" s="1641"/>
      <c r="C3300" s="1642"/>
      <c r="D3300" s="1639"/>
      <c r="E3300" s="1639"/>
      <c r="F3300" s="1639"/>
      <c r="G3300" s="1639"/>
      <c r="H3300" s="1643"/>
    </row>
    <row r="3301" spans="1:8" s="1136" customFormat="1" ht="15.75" x14ac:dyDescent="0.25">
      <c r="A3301" s="1430" t="s">
        <v>2735</v>
      </c>
      <c r="B3301" s="1484" t="e">
        <f>((B241*B281)/(B239*B240*B244*B245*B247))*(B3200+B3201)</f>
        <v>#VALUE!</v>
      </c>
      <c r="C3301" s="1639"/>
      <c r="D3301" s="1639"/>
      <c r="E3301" s="1639"/>
      <c r="F3301" s="1639"/>
      <c r="G3301" s="1639"/>
      <c r="H3301" s="1643"/>
    </row>
    <row r="3302" spans="1:8" s="1136" customFormat="1" ht="15.75" x14ac:dyDescent="0.25">
      <c r="A3302" s="1430" t="s">
        <v>2736</v>
      </c>
      <c r="B3302" s="1484" t="e">
        <f>((B241*B281)/(B239*B240*B244*B245*B247))*(B3202+B3203)</f>
        <v>#VALUE!</v>
      </c>
      <c r="C3302" s="1639"/>
      <c r="D3302" s="1639"/>
      <c r="E3302" s="1639"/>
      <c r="F3302" s="1639"/>
      <c r="G3302" s="1639"/>
      <c r="H3302" s="1643"/>
    </row>
    <row r="3303" spans="1:8" s="1136" customFormat="1" ht="15.75" x14ac:dyDescent="0.25">
      <c r="A3303" s="1430" t="s">
        <v>2737</v>
      </c>
      <c r="B3303" s="1484" t="e">
        <f>((B241*B281)/(B239*B240*B244*B245*B247))*B3204</f>
        <v>#VALUE!</v>
      </c>
      <c r="C3303" s="1639"/>
      <c r="D3303" s="1639"/>
      <c r="E3303" s="1639"/>
      <c r="F3303" s="1639"/>
      <c r="G3303" s="1639"/>
      <c r="H3303" s="1643"/>
    </row>
    <row r="3304" spans="1:8" s="1136" customFormat="1" ht="15.75" x14ac:dyDescent="0.25">
      <c r="A3304" s="1417" t="s">
        <v>2738</v>
      </c>
      <c r="B3304" s="1484"/>
      <c r="C3304" s="1639"/>
    </row>
    <row r="3305" spans="1:8" s="1136" customFormat="1" ht="15.75" x14ac:dyDescent="0.25">
      <c r="A3305" s="1430" t="s">
        <v>2735</v>
      </c>
      <c r="B3305" s="1484" t="e">
        <f>((B241*B281)/(B239*B240*B244*B245*B247))*(B3212+B3213)</f>
        <v>#VALUE!</v>
      </c>
      <c r="C3305" s="1639"/>
      <c r="D3305" s="1642"/>
      <c r="E3305" s="1642"/>
      <c r="F3305" s="1642"/>
      <c r="G3305" s="1642"/>
    </row>
    <row r="3306" spans="1:8" s="1136" customFormat="1" ht="15.75" x14ac:dyDescent="0.25">
      <c r="A3306" s="1430" t="s">
        <v>2736</v>
      </c>
      <c r="B3306" s="1484" t="e">
        <f>((B241*B281)/(B239*B240*B244*B245*B247))*(B3214+B3215+B3216)</f>
        <v>#VALUE!</v>
      </c>
      <c r="C3306" s="1639"/>
      <c r="D3306" s="1642"/>
      <c r="E3306" s="1642"/>
      <c r="F3306" s="1642"/>
      <c r="G3306" s="1642"/>
    </row>
    <row r="3307" spans="1:8" s="1136" customFormat="1" ht="15.75" x14ac:dyDescent="0.25">
      <c r="A3307" s="1430" t="s">
        <v>2737</v>
      </c>
      <c r="B3307" s="1484" t="e">
        <f>((B241*B281)/(B239*B240*B244*B245*B247))*B3217</f>
        <v>#VALUE!</v>
      </c>
      <c r="C3307" s="1639"/>
      <c r="D3307" s="1642"/>
      <c r="E3307" s="1642"/>
      <c r="F3307" s="1642"/>
      <c r="G3307" s="1642"/>
    </row>
    <row r="3308" spans="1:8" s="1136" customFormat="1" ht="15.75" x14ac:dyDescent="0.25">
      <c r="A3308" s="1638" t="s">
        <v>2739</v>
      </c>
      <c r="B3308" s="1484"/>
      <c r="C3308" s="1639"/>
      <c r="D3308" s="1639"/>
      <c r="E3308" s="1639"/>
      <c r="F3308" s="1639"/>
      <c r="G3308" s="1639"/>
    </row>
    <row r="3309" spans="1:8" s="1136" customFormat="1" ht="15.75" x14ac:dyDescent="0.25">
      <c r="A3309" s="1417" t="s">
        <v>3744</v>
      </c>
      <c r="B3309" s="1484"/>
      <c r="C3309" s="1639"/>
      <c r="D3309" s="1639"/>
      <c r="E3309" s="1639"/>
      <c r="F3309" s="1639"/>
      <c r="G3309" s="1639"/>
    </row>
    <row r="3310" spans="1:8" s="1136" customFormat="1" ht="15.75" x14ac:dyDescent="0.25">
      <c r="A3310" s="1430" t="s">
        <v>2740</v>
      </c>
      <c r="B3310" s="1484" t="e">
        <f>((B241*B281)/(B239*B240*B244*B245*B247))*B3228</f>
        <v>#VALUE!</v>
      </c>
      <c r="C3310" s="1639"/>
      <c r="D3310" s="1639"/>
      <c r="E3310" s="1639"/>
      <c r="F3310" s="1639"/>
      <c r="G3310" s="1639"/>
    </row>
    <row r="3311" spans="1:8" s="1136" customFormat="1" ht="15.75" x14ac:dyDescent="0.25">
      <c r="A3311" s="1430" t="s">
        <v>2741</v>
      </c>
      <c r="B3311" s="1484" t="e">
        <f>(B2399*B3310)/1000</f>
        <v>#VALUE!</v>
      </c>
      <c r="C3311" s="1639"/>
      <c r="D3311" s="1639"/>
      <c r="E3311" s="1639"/>
      <c r="F3311" s="1639"/>
      <c r="G3311" s="1639"/>
    </row>
    <row r="3312" spans="1:8" s="1136" customFormat="1" ht="15.75" x14ac:dyDescent="0.25">
      <c r="A3312" s="1417" t="s">
        <v>2738</v>
      </c>
      <c r="B3312" s="1484"/>
      <c r="C3312" s="1639"/>
      <c r="D3312" s="1639"/>
      <c r="E3312" s="1639"/>
      <c r="F3312" s="1639"/>
      <c r="G3312" s="1639"/>
    </row>
    <row r="3313" spans="1:7" s="1136" customFormat="1" ht="15.75" x14ac:dyDescent="0.25">
      <c r="A3313" s="1430" t="s">
        <v>2740</v>
      </c>
      <c r="B3313" s="1484" t="e">
        <f>((B241*B281)/(B239*B240*B244*B245*B247))*B3234</f>
        <v>#VALUE!</v>
      </c>
      <c r="C3313" s="1639"/>
      <c r="D3313" s="1639"/>
      <c r="E3313" s="1639"/>
      <c r="F3313" s="1639"/>
      <c r="G3313" s="1639"/>
    </row>
    <row r="3314" spans="1:7" s="1136" customFormat="1" ht="15.75" x14ac:dyDescent="0.25">
      <c r="A3314" s="1430" t="s">
        <v>2741</v>
      </c>
      <c r="B3314" s="1484" t="e">
        <f>(B2399*B3313)/1000</f>
        <v>#VALUE!</v>
      </c>
      <c r="C3314" s="1639"/>
      <c r="D3314" s="1639"/>
      <c r="E3314" s="1639"/>
      <c r="F3314" s="1639"/>
      <c r="G3314" s="1639"/>
    </row>
    <row r="3315" spans="1:7" s="1136" customFormat="1" ht="15.75" x14ac:dyDescent="0.25">
      <c r="A3315" s="1638" t="s">
        <v>4308</v>
      </c>
      <c r="B3315" s="1484"/>
      <c r="C3315" s="1639"/>
      <c r="D3315" s="1639"/>
      <c r="E3315" s="1639"/>
      <c r="F3315" s="1639"/>
      <c r="G3315" s="1639"/>
    </row>
    <row r="3316" spans="1:7" s="1136" customFormat="1" ht="15.75" x14ac:dyDescent="0.25">
      <c r="A3316" s="1430" t="s">
        <v>2742</v>
      </c>
      <c r="B3316" s="1484" t="e">
        <f>(((B241*B281)/(B239*B240*B244*B245*B247))*((B3242+B3243)*B3240))/1000</f>
        <v>#VALUE!</v>
      </c>
      <c r="C3316" s="1639"/>
      <c r="D3316" s="1639"/>
      <c r="E3316" s="1639"/>
      <c r="F3316" s="1639"/>
      <c r="G3316" s="1639"/>
    </row>
    <row r="3317" spans="1:7" s="1136" customFormat="1" ht="15.75" x14ac:dyDescent="0.25">
      <c r="A3317" s="1430" t="s">
        <v>2743</v>
      </c>
      <c r="B3317" s="1484" t="e">
        <f>((B241*B281)/(B239*B240*B244*B245*B247))*B3251</f>
        <v>#VALUE!</v>
      </c>
      <c r="C3317" s="1639"/>
      <c r="D3317" s="1639"/>
      <c r="E3317" s="1639"/>
      <c r="F3317" s="1639"/>
      <c r="G3317" s="1639"/>
    </row>
    <row r="3318" spans="1:7" s="1136" customFormat="1" ht="15.75" x14ac:dyDescent="0.25">
      <c r="A3318" s="1640" t="s">
        <v>2744</v>
      </c>
      <c r="B3318" s="1484"/>
      <c r="C3318" s="1639"/>
      <c r="D3318" s="1639"/>
      <c r="E3318" s="1639"/>
      <c r="F3318" s="1639"/>
      <c r="G3318" s="1639"/>
    </row>
    <row r="3319" spans="1:7" s="1136" customFormat="1" ht="15.75" x14ac:dyDescent="0.25">
      <c r="A3319" s="1489" t="s">
        <v>2745</v>
      </c>
      <c r="B3319" s="1484" t="e">
        <f>((B241*B281)/(B239*B240*B244*B245*B247))*B3045</f>
        <v>#VALUE!</v>
      </c>
      <c r="C3319" s="1639"/>
      <c r="D3319" s="1639"/>
      <c r="E3319" s="1639"/>
      <c r="F3319" s="1639"/>
      <c r="G3319" s="1639"/>
    </row>
    <row r="3320" spans="1:7" s="1136" customFormat="1" ht="15.75" x14ac:dyDescent="0.25">
      <c r="A3320" s="1489" t="s">
        <v>2746</v>
      </c>
      <c r="B3320" s="1484" t="e">
        <f>(27.458*B268-48.908)*B3319</f>
        <v>#VALUE!</v>
      </c>
      <c r="C3320" s="1639"/>
      <c r="D3320" s="1639"/>
      <c r="E3320" s="1639"/>
      <c r="F3320" s="1639"/>
      <c r="G3320" s="1639"/>
    </row>
    <row r="3321" spans="1:7" s="1136" customFormat="1" ht="15.75" x14ac:dyDescent="0.25">
      <c r="A3321" s="1595" t="s">
        <v>2748</v>
      </c>
      <c r="B3321" s="1046"/>
      <c r="D3321" s="1639"/>
      <c r="E3321" s="1639"/>
      <c r="F3321" s="1639"/>
      <c r="G3321" s="1639"/>
    </row>
    <row r="3322" spans="1:7" s="1136" customFormat="1" ht="15.75" x14ac:dyDescent="0.25">
      <c r="A3322" s="1417" t="s">
        <v>2749</v>
      </c>
      <c r="B3322" s="1484"/>
      <c r="C3322" s="1639"/>
      <c r="D3322" s="1639"/>
      <c r="E3322" s="1639"/>
      <c r="F3322" s="1639"/>
      <c r="G3322" s="1639"/>
    </row>
    <row r="3323" spans="1:7" s="1136" customFormat="1" ht="15.75" x14ac:dyDescent="0.25">
      <c r="A3323" s="1430" t="s">
        <v>2750</v>
      </c>
      <c r="B3323" s="1484" t="e">
        <f>B3277+B3301</f>
        <v>#VALUE!</v>
      </c>
      <c r="C3323" s="1639"/>
      <c r="D3323" s="1639"/>
      <c r="E3323" s="1639"/>
      <c r="F3323" s="1639"/>
      <c r="G3323" s="1639"/>
    </row>
    <row r="3324" spans="1:7" s="1136" customFormat="1" ht="15.75" x14ac:dyDescent="0.25">
      <c r="A3324" s="1430" t="s">
        <v>1840</v>
      </c>
      <c r="B3324" s="1484" t="e">
        <f>B3278+B3302</f>
        <v>#VALUE!</v>
      </c>
      <c r="C3324" s="1639"/>
      <c r="D3324" s="1639"/>
      <c r="E3324" s="1639"/>
      <c r="F3324" s="1639"/>
      <c r="G3324" s="1639"/>
    </row>
    <row r="3325" spans="1:7" s="1136" customFormat="1" ht="15.75" x14ac:dyDescent="0.25">
      <c r="A3325" s="1430" t="s">
        <v>1841</v>
      </c>
      <c r="B3325" s="1484" t="e">
        <f>B3279+B3303</f>
        <v>#VALUE!</v>
      </c>
      <c r="C3325" s="1639"/>
      <c r="D3325" s="1639"/>
      <c r="E3325" s="1639"/>
      <c r="F3325" s="1639"/>
      <c r="G3325" s="1639"/>
    </row>
    <row r="3326" spans="1:7" s="1136" customFormat="1" ht="15.75" x14ac:dyDescent="0.25">
      <c r="A3326" s="1430" t="s">
        <v>1842</v>
      </c>
      <c r="B3326" s="1484" t="e">
        <f>B3287+B3311</f>
        <v>#VALUE!</v>
      </c>
      <c r="C3326" s="1639"/>
      <c r="D3326" s="1639"/>
      <c r="E3326" s="1639"/>
      <c r="F3326" s="1639"/>
      <c r="G3326" s="1639"/>
    </row>
    <row r="3327" spans="1:7" s="1136" customFormat="1" ht="15.75" x14ac:dyDescent="0.25">
      <c r="A3327" s="1417" t="s">
        <v>1843</v>
      </c>
      <c r="B3327" s="1484"/>
      <c r="C3327" s="1639"/>
      <c r="D3327" s="1639"/>
      <c r="E3327" s="1639"/>
      <c r="F3327" s="1639"/>
      <c r="G3327" s="1639"/>
    </row>
    <row r="3328" spans="1:7" s="1136" customFormat="1" ht="15.75" x14ac:dyDescent="0.25">
      <c r="A3328" s="1430" t="s">
        <v>2750</v>
      </c>
      <c r="B3328" s="1484" t="e">
        <f>B3281+B3305</f>
        <v>#VALUE!</v>
      </c>
      <c r="C3328" s="1639"/>
    </row>
    <row r="3329" spans="1:93" s="1136" customFormat="1" ht="15.75" x14ac:dyDescent="0.25">
      <c r="A3329" s="1430" t="s">
        <v>1840</v>
      </c>
      <c r="B3329" s="1484" t="e">
        <f>B3282+B3306</f>
        <v>#VALUE!</v>
      </c>
      <c r="C3329" s="1639"/>
      <c r="D3329" s="1639"/>
      <c r="E3329" s="1639"/>
      <c r="F3329" s="1639"/>
      <c r="G3329" s="1639"/>
    </row>
    <row r="3330" spans="1:93" s="1136" customFormat="1" ht="15.75" x14ac:dyDescent="0.25">
      <c r="A3330" s="1430" t="s">
        <v>1841</v>
      </c>
      <c r="B3330" s="1484" t="e">
        <f>B3283+B3307</f>
        <v>#VALUE!</v>
      </c>
      <c r="C3330" s="1639"/>
      <c r="D3330" s="1639"/>
      <c r="E3330" s="1639"/>
      <c r="F3330" s="1639"/>
      <c r="G3330" s="1639"/>
    </row>
    <row r="3331" spans="1:93" s="1136" customFormat="1" ht="15.75" x14ac:dyDescent="0.25">
      <c r="A3331" s="1430" t="s">
        <v>1842</v>
      </c>
      <c r="B3331" s="1484" t="e">
        <f>B3290+B3314</f>
        <v>#VALUE!</v>
      </c>
      <c r="C3331" s="1639"/>
      <c r="D3331" s="1639"/>
      <c r="E3331" s="1639"/>
      <c r="F3331" s="1639"/>
      <c r="G3331" s="1639"/>
    </row>
    <row r="3332" spans="1:93" s="1136" customFormat="1" ht="15.75" x14ac:dyDescent="0.25">
      <c r="A3332" s="1430" t="s">
        <v>1844</v>
      </c>
      <c r="B3332" s="1484" t="e">
        <f>B3292+B3316</f>
        <v>#VALUE!</v>
      </c>
      <c r="C3332" s="1639"/>
      <c r="D3332" s="1639"/>
      <c r="E3332" s="1639"/>
      <c r="F3332" s="1639"/>
      <c r="G3332" s="1639"/>
    </row>
    <row r="3333" spans="1:93" s="1136" customFormat="1" ht="15.75" x14ac:dyDescent="0.25">
      <c r="A3333" s="1489" t="s">
        <v>1845</v>
      </c>
      <c r="B3333" s="1484" t="e">
        <f>IF(B265=1,B3296,0)</f>
        <v>#VALUE!</v>
      </c>
      <c r="C3333" s="1639"/>
      <c r="D3333" s="1639"/>
      <c r="E3333" s="1639"/>
      <c r="F3333" s="1639"/>
      <c r="G3333" s="1639"/>
    </row>
    <row r="3334" spans="1:93" s="1136" customFormat="1" ht="15.75" x14ac:dyDescent="0.25">
      <c r="A3334" s="1489" t="s">
        <v>1846</v>
      </c>
      <c r="B3334" s="1484" t="e">
        <f>IF(B266=1,B3320,0)</f>
        <v>#VALUE!</v>
      </c>
      <c r="C3334" s="1639"/>
      <c r="D3334" s="1639"/>
      <c r="E3334" s="1639"/>
      <c r="F3334" s="1639"/>
      <c r="G3334" s="1639"/>
    </row>
    <row r="3335" spans="1:93" s="1136" customFormat="1" ht="31.5" x14ac:dyDescent="0.25">
      <c r="A3335" s="1644" t="s">
        <v>1847</v>
      </c>
      <c r="B3335" s="1046"/>
      <c r="D3335" s="1639"/>
      <c r="E3335" s="1639"/>
      <c r="F3335" s="1639"/>
      <c r="G3335" s="1639"/>
    </row>
    <row r="3336" spans="1:93" s="1136" customFormat="1" ht="15.75" x14ac:dyDescent="0.25">
      <c r="A3336" s="1430" t="s">
        <v>2750</v>
      </c>
      <c r="B3336" s="1484" t="e">
        <f>IF(B276=0,B3323,B3328)</f>
        <v>#VALUE!</v>
      </c>
      <c r="C3336" s="1639"/>
      <c r="D3336" s="1639"/>
      <c r="E3336" s="1639"/>
      <c r="F3336" s="1639"/>
      <c r="G3336" s="1639"/>
      <c r="H3336" s="1639"/>
    </row>
    <row r="3337" spans="1:93" s="1136" customFormat="1" ht="15.75" x14ac:dyDescent="0.25">
      <c r="A3337" s="1430" t="s">
        <v>1840</v>
      </c>
      <c r="B3337" s="1484" t="e">
        <f>IF(B276=0,B3324,B3329)</f>
        <v>#VALUE!</v>
      </c>
      <c r="C3337" s="1639"/>
      <c r="D3337" s="1639"/>
      <c r="E3337" s="1639"/>
      <c r="F3337" s="1639"/>
      <c r="G3337" s="1639"/>
    </row>
    <row r="3338" spans="1:93" s="1136" customFormat="1" ht="15.75" x14ac:dyDescent="0.25">
      <c r="A3338" s="1430" t="s">
        <v>1841</v>
      </c>
      <c r="B3338" s="1484" t="e">
        <f>IF(B276=0,B3325,B3330)</f>
        <v>#VALUE!</v>
      </c>
      <c r="C3338" s="1639"/>
      <c r="D3338" s="1639"/>
      <c r="E3338" s="1639"/>
      <c r="F3338" s="1639"/>
      <c r="G3338" s="1639"/>
    </row>
    <row r="3339" spans="1:93" s="1136" customFormat="1" ht="15.75" x14ac:dyDescent="0.25">
      <c r="A3339" s="1430" t="s">
        <v>1842</v>
      </c>
      <c r="B3339" s="1484" t="e">
        <f>IF(B276=0,B3326,B3331)</f>
        <v>#VALUE!</v>
      </c>
      <c r="C3339" s="1639"/>
      <c r="D3339" s="1639"/>
      <c r="E3339" s="1639"/>
      <c r="F3339" s="1639"/>
      <c r="G3339" s="1639"/>
    </row>
    <row r="3340" spans="1:93" s="1136" customFormat="1" ht="15.75" x14ac:dyDescent="0.25">
      <c r="A3340" s="1430" t="s">
        <v>1848</v>
      </c>
      <c r="B3340" s="1484" t="e">
        <f>IF(B276=0,0,B3332)</f>
        <v>#VALUE!</v>
      </c>
      <c r="C3340" s="1639"/>
      <c r="D3340" s="1639"/>
      <c r="E3340" s="1639"/>
      <c r="F3340" s="1639"/>
      <c r="G3340" s="1639"/>
    </row>
    <row r="3341" spans="1:93" s="1136" customFormat="1" ht="15.75" x14ac:dyDescent="0.25">
      <c r="A3341" s="1430" t="s">
        <v>2743</v>
      </c>
      <c r="B3341" s="1484">
        <f>IF(B252=2,B3317,0)</f>
        <v>0</v>
      </c>
      <c r="C3341" s="1639"/>
      <c r="D3341" s="1639"/>
      <c r="E3341" s="1639"/>
      <c r="F3341" s="1639"/>
      <c r="G3341" s="1639"/>
    </row>
    <row r="3342" spans="1:93" s="1136" customFormat="1" ht="15.75" x14ac:dyDescent="0.25">
      <c r="A3342" s="1489" t="s">
        <v>1849</v>
      </c>
      <c r="B3342" s="1484" t="e">
        <f>(B3333+B3334)/1000</f>
        <v>#VALUE!</v>
      </c>
      <c r="C3342" s="1639"/>
    </row>
    <row r="3343" spans="1:93" s="1136" customFormat="1" ht="15" x14ac:dyDescent="0.2">
      <c r="D3343" s="1639"/>
      <c r="E3343" s="1639"/>
      <c r="F3343" s="1639"/>
      <c r="G3343" s="1639"/>
    </row>
    <row r="3344" spans="1:93" s="1136" customFormat="1" ht="15.75" x14ac:dyDescent="0.25">
      <c r="A3344" s="1426" t="s">
        <v>1850</v>
      </c>
      <c r="B3344" s="1046"/>
      <c r="Q3344" s="1551"/>
      <c r="R3344" s="1551"/>
      <c r="S3344" s="1551"/>
      <c r="T3344" s="1551"/>
      <c r="U3344" s="1551"/>
      <c r="V3344" s="1551"/>
      <c r="W3344" s="1551"/>
      <c r="X3344" s="1551"/>
      <c r="Y3344" s="1551"/>
      <c r="Z3344" s="1551"/>
      <c r="AA3344" s="1645"/>
      <c r="AB3344" s="1645"/>
      <c r="AC3344" s="1645"/>
      <c r="AD3344" s="1645"/>
      <c r="AE3344" s="1645"/>
      <c r="AF3344" s="1645"/>
      <c r="AG3344" s="1645"/>
      <c r="AH3344" s="1645"/>
      <c r="AI3344" s="1645"/>
      <c r="AJ3344" s="1645"/>
      <c r="AK3344" s="1645"/>
      <c r="AL3344" s="1645"/>
      <c r="AM3344" s="1645"/>
      <c r="AN3344" s="1645"/>
      <c r="AO3344" s="1645"/>
      <c r="AP3344" s="1645"/>
      <c r="AQ3344" s="1645"/>
      <c r="AR3344" s="1645"/>
      <c r="AS3344" s="1645"/>
      <c r="AT3344" s="1645"/>
      <c r="AU3344" s="1645"/>
      <c r="AV3344" s="1645"/>
      <c r="AW3344" s="1645"/>
      <c r="AX3344" s="1645"/>
      <c r="AY3344" s="1645"/>
      <c r="AZ3344" s="1645"/>
      <c r="BA3344" s="1645"/>
      <c r="BB3344" s="1645"/>
      <c r="BC3344" s="1645"/>
      <c r="BD3344" s="1645"/>
      <c r="BE3344" s="1645"/>
      <c r="BF3344" s="1645"/>
      <c r="BG3344" s="1645"/>
      <c r="BH3344" s="1645"/>
      <c r="BI3344" s="1645"/>
      <c r="BJ3344" s="1645"/>
      <c r="BK3344" s="1645"/>
      <c r="BL3344" s="1645"/>
      <c r="BM3344" s="1645"/>
      <c r="BN3344" s="1645"/>
      <c r="BO3344" s="1645"/>
      <c r="BP3344" s="1645"/>
      <c r="BQ3344" s="1645"/>
      <c r="BR3344" s="1645"/>
      <c r="BS3344" s="1645"/>
      <c r="BT3344" s="1645"/>
      <c r="BU3344" s="1645"/>
      <c r="BV3344" s="1645"/>
      <c r="BW3344" s="1645"/>
      <c r="BX3344" s="1645"/>
      <c r="BY3344" s="1645"/>
      <c r="BZ3344" s="1645"/>
      <c r="CA3344" s="1645"/>
      <c r="CB3344" s="1645"/>
      <c r="CC3344" s="1645"/>
      <c r="CD3344" s="1645"/>
      <c r="CE3344" s="1645"/>
      <c r="CF3344" s="1645"/>
      <c r="CG3344" s="1645"/>
      <c r="CH3344" s="1645"/>
      <c r="CI3344" s="1645"/>
      <c r="CJ3344" s="1645"/>
      <c r="CK3344" s="1645"/>
      <c r="CL3344" s="1645"/>
      <c r="CM3344" s="1645"/>
      <c r="CN3344" s="1645"/>
      <c r="CO3344" s="1645"/>
    </row>
    <row r="3345" spans="1:93" s="1136" customFormat="1" ht="15.75" x14ac:dyDescent="0.25">
      <c r="A3345" s="1646"/>
      <c r="B3345" s="1404"/>
      <c r="C3345" s="1070"/>
      <c r="D3345" s="1070"/>
      <c r="E3345" s="1070"/>
      <c r="F3345" s="1070"/>
      <c r="Q3345" s="1551"/>
      <c r="R3345" s="1551"/>
      <c r="S3345" s="1551"/>
      <c r="T3345" s="1551"/>
      <c r="U3345" s="1551"/>
      <c r="V3345" s="1551"/>
      <c r="W3345" s="1551"/>
      <c r="X3345" s="1551"/>
      <c r="Y3345" s="1551"/>
      <c r="Z3345" s="1551"/>
      <c r="AA3345" s="1645"/>
      <c r="AB3345" s="1645"/>
      <c r="AC3345" s="1645"/>
      <c r="AD3345" s="1645"/>
      <c r="AE3345" s="1645"/>
      <c r="AF3345" s="1645"/>
      <c r="AG3345" s="1645"/>
      <c r="AH3345" s="1645"/>
      <c r="AI3345" s="1645"/>
      <c r="AJ3345" s="1645"/>
      <c r="AK3345" s="1645"/>
      <c r="AL3345" s="1645"/>
      <c r="AM3345" s="1645"/>
      <c r="AN3345" s="1645"/>
      <c r="AO3345" s="1645"/>
      <c r="AP3345" s="1645"/>
      <c r="AQ3345" s="1645"/>
      <c r="AR3345" s="1645"/>
      <c r="AS3345" s="1645"/>
      <c r="AT3345" s="1645"/>
      <c r="AU3345" s="1645"/>
      <c r="AV3345" s="1645"/>
      <c r="AW3345" s="1645"/>
      <c r="AX3345" s="1645"/>
      <c r="AY3345" s="1645"/>
      <c r="AZ3345" s="1645"/>
      <c r="BA3345" s="1645"/>
      <c r="BB3345" s="1645"/>
      <c r="BC3345" s="1645"/>
      <c r="BD3345" s="1645"/>
      <c r="BE3345" s="1645"/>
      <c r="BF3345" s="1645"/>
      <c r="BG3345" s="1645"/>
      <c r="BH3345" s="1645"/>
      <c r="BI3345" s="1645"/>
      <c r="BJ3345" s="1645"/>
      <c r="BK3345" s="1645"/>
      <c r="BL3345" s="1645"/>
      <c r="BM3345" s="1645"/>
      <c r="BN3345" s="1645"/>
      <c r="BO3345" s="1645"/>
      <c r="BP3345" s="1645"/>
      <c r="BQ3345" s="1645"/>
      <c r="BR3345" s="1645"/>
      <c r="BS3345" s="1645"/>
      <c r="BT3345" s="1645"/>
      <c r="BU3345" s="1645"/>
      <c r="BV3345" s="1645"/>
      <c r="BW3345" s="1645"/>
      <c r="BX3345" s="1645"/>
      <c r="BY3345" s="1645"/>
      <c r="BZ3345" s="1645"/>
      <c r="CA3345" s="1645"/>
      <c r="CB3345" s="1645"/>
      <c r="CC3345" s="1645"/>
      <c r="CD3345" s="1645"/>
      <c r="CE3345" s="1645"/>
      <c r="CF3345" s="1645"/>
      <c r="CG3345" s="1645"/>
      <c r="CH3345" s="1645"/>
      <c r="CI3345" s="1645"/>
      <c r="CJ3345" s="1645"/>
      <c r="CK3345" s="1645"/>
      <c r="CL3345" s="1645"/>
      <c r="CM3345" s="1645"/>
      <c r="CN3345" s="1645"/>
      <c r="CO3345" s="1645"/>
    </row>
    <row r="3346" spans="1:93" s="1136" customFormat="1" ht="30.75" x14ac:dyDescent="0.25">
      <c r="A3346" s="1647" t="s">
        <v>1851</v>
      </c>
      <c r="B3346" s="1046"/>
      <c r="Q3346" s="1551"/>
      <c r="R3346" s="1551"/>
      <c r="S3346" s="1551"/>
      <c r="T3346" s="1551"/>
      <c r="U3346" s="1551"/>
      <c r="V3346" s="1551"/>
      <c r="W3346" s="1551"/>
      <c r="X3346" s="1551"/>
      <c r="Y3346" s="1551"/>
      <c r="Z3346" s="1551"/>
      <c r="AA3346" s="1645"/>
      <c r="AB3346" s="1645"/>
      <c r="AC3346" s="1645"/>
      <c r="AD3346" s="1645"/>
      <c r="AE3346" s="1645"/>
      <c r="AF3346" s="1645"/>
      <c r="AG3346" s="1645"/>
      <c r="AH3346" s="1645"/>
      <c r="AI3346" s="1645"/>
      <c r="AJ3346" s="1645"/>
      <c r="AK3346" s="1645"/>
      <c r="AL3346" s="1645"/>
      <c r="AM3346" s="1645"/>
      <c r="AN3346" s="1645"/>
      <c r="AO3346" s="1645"/>
      <c r="AP3346" s="1645"/>
      <c r="AQ3346" s="1645"/>
      <c r="AR3346" s="1645"/>
      <c r="AS3346" s="1645"/>
      <c r="AT3346" s="1645"/>
      <c r="AU3346" s="1645"/>
      <c r="AV3346" s="1645"/>
      <c r="AW3346" s="1645"/>
      <c r="AX3346" s="1645"/>
      <c r="AY3346" s="1645"/>
      <c r="AZ3346" s="1645"/>
      <c r="BA3346" s="1645"/>
      <c r="BB3346" s="1645"/>
      <c r="BC3346" s="1645"/>
      <c r="BD3346" s="1645"/>
      <c r="BE3346" s="1645"/>
      <c r="BF3346" s="1645"/>
      <c r="BG3346" s="1645"/>
      <c r="BH3346" s="1645"/>
      <c r="BI3346" s="1645"/>
      <c r="BJ3346" s="1645"/>
      <c r="BK3346" s="1645"/>
      <c r="BL3346" s="1645"/>
      <c r="BM3346" s="1645"/>
      <c r="BN3346" s="1645"/>
      <c r="BO3346" s="1645"/>
      <c r="BP3346" s="1645"/>
      <c r="BQ3346" s="1645"/>
      <c r="BR3346" s="1645"/>
      <c r="BS3346" s="1645"/>
      <c r="BT3346" s="1645"/>
      <c r="BU3346" s="1645"/>
      <c r="BV3346" s="1645"/>
      <c r="BW3346" s="1645"/>
      <c r="BX3346" s="1645"/>
      <c r="BY3346" s="1645"/>
      <c r="BZ3346" s="1645"/>
      <c r="CA3346" s="1645"/>
      <c r="CB3346" s="1645"/>
      <c r="CC3346" s="1645"/>
      <c r="CD3346" s="1645"/>
      <c r="CE3346" s="1645"/>
      <c r="CF3346" s="1645"/>
      <c r="CG3346" s="1645"/>
      <c r="CH3346" s="1645"/>
      <c r="CI3346" s="1645"/>
      <c r="CJ3346" s="1645"/>
      <c r="CK3346" s="1645"/>
      <c r="CL3346" s="1645"/>
      <c r="CM3346" s="1645"/>
      <c r="CN3346" s="1645"/>
      <c r="CO3346" s="1645"/>
    </row>
    <row r="3347" spans="1:93" s="1136" customFormat="1" ht="15.75" x14ac:dyDescent="0.25">
      <c r="A3347" s="1391" t="s">
        <v>1852</v>
      </c>
      <c r="B3347" s="1648" t="e">
        <f>B3337</f>
        <v>#VALUE!</v>
      </c>
      <c r="C3347" s="1485"/>
      <c r="D3347" s="1485"/>
      <c r="E3347" s="1485"/>
      <c r="F3347" s="1485"/>
      <c r="G3347" s="1485"/>
      <c r="H3347" s="1070"/>
      <c r="Q3347" s="1551"/>
      <c r="R3347" s="1551"/>
      <c r="S3347" s="1551"/>
      <c r="T3347" s="1551"/>
      <c r="U3347" s="1551"/>
      <c r="V3347" s="1551"/>
      <c r="W3347" s="1551"/>
      <c r="X3347" s="1551"/>
      <c r="Y3347" s="1551"/>
      <c r="Z3347" s="1551"/>
      <c r="AA3347" s="1645"/>
      <c r="AB3347" s="1645"/>
      <c r="AC3347" s="1645"/>
      <c r="AD3347" s="1645"/>
      <c r="AE3347" s="1645"/>
      <c r="AF3347" s="1645"/>
      <c r="AG3347" s="1645"/>
      <c r="AH3347" s="1645"/>
      <c r="AI3347" s="1645"/>
      <c r="AJ3347" s="1645"/>
      <c r="AK3347" s="1645"/>
      <c r="AL3347" s="1645"/>
      <c r="AM3347" s="1645"/>
      <c r="AN3347" s="1645"/>
      <c r="AO3347" s="1645"/>
      <c r="AP3347" s="1645"/>
      <c r="AQ3347" s="1645"/>
      <c r="AR3347" s="1645"/>
      <c r="AS3347" s="1645"/>
      <c r="AT3347" s="1645"/>
      <c r="AU3347" s="1645"/>
      <c r="AV3347" s="1645"/>
      <c r="AW3347" s="1645"/>
      <c r="AX3347" s="1645"/>
      <c r="AY3347" s="1645"/>
      <c r="AZ3347" s="1645"/>
      <c r="BA3347" s="1645"/>
      <c r="BB3347" s="1645"/>
      <c r="BC3347" s="1645"/>
      <c r="BD3347" s="1645"/>
      <c r="BE3347" s="1645"/>
      <c r="BF3347" s="1645"/>
      <c r="BG3347" s="1645"/>
      <c r="BH3347" s="1645"/>
      <c r="BI3347" s="1645"/>
      <c r="BJ3347" s="1645"/>
      <c r="BK3347" s="1645"/>
      <c r="BL3347" s="1645"/>
      <c r="BM3347" s="1645"/>
      <c r="BN3347" s="1645"/>
      <c r="BO3347" s="1645"/>
      <c r="BP3347" s="1645"/>
      <c r="BQ3347" s="1645"/>
      <c r="BR3347" s="1645"/>
      <c r="BS3347" s="1645"/>
      <c r="BT3347" s="1645"/>
      <c r="BU3347" s="1645"/>
      <c r="BV3347" s="1645"/>
      <c r="BW3347" s="1645"/>
      <c r="BX3347" s="1645"/>
      <c r="BY3347" s="1645"/>
      <c r="BZ3347" s="1645"/>
      <c r="CA3347" s="1645"/>
      <c r="CB3347" s="1645"/>
      <c r="CC3347" s="1645"/>
      <c r="CD3347" s="1645"/>
      <c r="CE3347" s="1645"/>
      <c r="CF3347" s="1645"/>
      <c r="CG3347" s="1645"/>
      <c r="CH3347" s="1645"/>
      <c r="CI3347" s="1645"/>
      <c r="CJ3347" s="1645"/>
      <c r="CK3347" s="1645"/>
      <c r="CL3347" s="1645"/>
      <c r="CM3347" s="1645"/>
      <c r="CN3347" s="1645"/>
      <c r="CO3347" s="1645"/>
    </row>
    <row r="3348" spans="1:93" s="1136" customFormat="1" ht="15.75" x14ac:dyDescent="0.25">
      <c r="A3348" s="1391" t="s">
        <v>1853</v>
      </c>
      <c r="B3348" s="1406" t="str">
        <f>B240</f>
        <v/>
      </c>
      <c r="C3348" s="1407"/>
      <c r="D3348" s="1407"/>
      <c r="E3348" s="1407"/>
      <c r="F3348" s="1407"/>
      <c r="G3348" s="1407"/>
      <c r="H3348" s="1070"/>
      <c r="Q3348" s="1551"/>
      <c r="R3348" s="1551"/>
      <c r="S3348" s="1551"/>
      <c r="T3348" s="1551"/>
      <c r="U3348" s="1551"/>
      <c r="V3348" s="1551"/>
      <c r="W3348" s="1551"/>
      <c r="X3348" s="1551"/>
      <c r="Y3348" s="1551"/>
      <c r="Z3348" s="1551"/>
      <c r="AA3348" s="1645"/>
      <c r="AB3348" s="1645"/>
      <c r="AC3348" s="1645"/>
      <c r="AD3348" s="1645"/>
      <c r="AE3348" s="1645"/>
      <c r="AF3348" s="1645"/>
      <c r="AG3348" s="1645"/>
      <c r="AH3348" s="1645"/>
      <c r="AI3348" s="1645"/>
      <c r="AJ3348" s="1645"/>
      <c r="AK3348" s="1645"/>
      <c r="AL3348" s="1645"/>
      <c r="AM3348" s="1645"/>
      <c r="AN3348" s="1645"/>
      <c r="AO3348" s="1645"/>
      <c r="AP3348" s="1645"/>
      <c r="AQ3348" s="1645"/>
      <c r="AR3348" s="1645"/>
      <c r="AS3348" s="1645"/>
      <c r="AT3348" s="1645"/>
      <c r="AU3348" s="1645"/>
      <c r="AV3348" s="1645"/>
      <c r="AW3348" s="1645"/>
      <c r="AX3348" s="1645"/>
      <c r="AY3348" s="1645"/>
      <c r="AZ3348" s="1645"/>
      <c r="BA3348" s="1645"/>
      <c r="BB3348" s="1645"/>
      <c r="BC3348" s="1645"/>
      <c r="BD3348" s="1645"/>
      <c r="BE3348" s="1645"/>
      <c r="BF3348" s="1645"/>
      <c r="BG3348" s="1645"/>
      <c r="BH3348" s="1645"/>
      <c r="BI3348" s="1645"/>
      <c r="BJ3348" s="1645"/>
      <c r="BK3348" s="1645"/>
      <c r="BL3348" s="1645"/>
      <c r="BM3348" s="1645"/>
      <c r="BN3348" s="1645"/>
      <c r="BO3348" s="1645"/>
      <c r="BP3348" s="1645"/>
      <c r="BQ3348" s="1645"/>
      <c r="BR3348" s="1645"/>
      <c r="BS3348" s="1645"/>
      <c r="BT3348" s="1645"/>
      <c r="BU3348" s="1645"/>
      <c r="BV3348" s="1645"/>
      <c r="BW3348" s="1645"/>
      <c r="BX3348" s="1645"/>
      <c r="BY3348" s="1645"/>
      <c r="BZ3348" s="1645"/>
      <c r="CA3348" s="1645"/>
      <c r="CB3348" s="1645"/>
      <c r="CC3348" s="1645"/>
      <c r="CD3348" s="1645"/>
      <c r="CE3348" s="1645"/>
      <c r="CF3348" s="1645"/>
      <c r="CG3348" s="1645"/>
      <c r="CH3348" s="1645"/>
      <c r="CI3348" s="1645"/>
      <c r="CJ3348" s="1645"/>
      <c r="CK3348" s="1645"/>
      <c r="CL3348" s="1645"/>
      <c r="CM3348" s="1645"/>
      <c r="CN3348" s="1645"/>
      <c r="CO3348" s="1645"/>
    </row>
    <row r="3349" spans="1:93" s="1136" customFormat="1" ht="15.75" x14ac:dyDescent="0.25">
      <c r="A3349" s="1483" t="s">
        <v>1854</v>
      </c>
      <c r="B3349" s="1641">
        <f>IF(B3348&lt;2.21,12.9*B3348+1.7,28.4)</f>
        <v>28.4</v>
      </c>
      <c r="C3349" s="1407"/>
      <c r="D3349" s="1407"/>
      <c r="E3349" s="1407"/>
      <c r="F3349" s="1407"/>
      <c r="G3349" s="1407"/>
      <c r="H3349" s="1070"/>
      <c r="Q3349" s="1551"/>
      <c r="R3349" s="1551"/>
      <c r="S3349" s="1551"/>
      <c r="T3349" s="1551"/>
      <c r="U3349" s="1551"/>
      <c r="V3349" s="1551"/>
      <c r="W3349" s="1551"/>
      <c r="X3349" s="1551"/>
      <c r="Y3349" s="1551"/>
      <c r="Z3349" s="1551"/>
      <c r="AA3349" s="1645"/>
      <c r="AB3349" s="1645"/>
      <c r="AC3349" s="1645"/>
      <c r="AD3349" s="1645"/>
      <c r="AE3349" s="1645"/>
      <c r="AF3349" s="1645"/>
      <c r="AG3349" s="1645"/>
      <c r="AH3349" s="1645"/>
      <c r="AI3349" s="1645"/>
      <c r="AJ3349" s="1645"/>
      <c r="AK3349" s="1645"/>
      <c r="AL3349" s="1645"/>
      <c r="AM3349" s="1645"/>
      <c r="AN3349" s="1645"/>
      <c r="AO3349" s="1645"/>
      <c r="AP3349" s="1645"/>
      <c r="AQ3349" s="1645"/>
      <c r="AR3349" s="1645"/>
      <c r="AS3349" s="1645"/>
      <c r="AT3349" s="1645"/>
      <c r="AU3349" s="1645"/>
      <c r="AV3349" s="1645"/>
      <c r="AW3349" s="1645"/>
      <c r="AX3349" s="1645"/>
      <c r="AY3349" s="1645"/>
      <c r="AZ3349" s="1645"/>
      <c r="BA3349" s="1645"/>
      <c r="BB3349" s="1645"/>
      <c r="BC3349" s="1645"/>
      <c r="BD3349" s="1645"/>
      <c r="BE3349" s="1645"/>
      <c r="BF3349" s="1645"/>
      <c r="BG3349" s="1645"/>
      <c r="BH3349" s="1645"/>
      <c r="BI3349" s="1645"/>
      <c r="BJ3349" s="1645"/>
      <c r="BK3349" s="1645"/>
      <c r="BL3349" s="1645"/>
      <c r="BM3349" s="1645"/>
      <c r="BN3349" s="1645"/>
      <c r="BO3349" s="1645"/>
      <c r="BP3349" s="1645"/>
      <c r="BQ3349" s="1645"/>
      <c r="BR3349" s="1645"/>
      <c r="BS3349" s="1645"/>
      <c r="BT3349" s="1645"/>
      <c r="BU3349" s="1645"/>
      <c r="BV3349" s="1645"/>
      <c r="BW3349" s="1645"/>
      <c r="BX3349" s="1645"/>
      <c r="BY3349" s="1645"/>
      <c r="BZ3349" s="1645"/>
      <c r="CA3349" s="1645"/>
      <c r="CB3349" s="1645"/>
      <c r="CC3349" s="1645"/>
      <c r="CD3349" s="1645"/>
      <c r="CE3349" s="1645"/>
      <c r="CF3349" s="1645"/>
      <c r="CG3349" s="1645"/>
      <c r="CH3349" s="1645"/>
      <c r="CI3349" s="1645"/>
      <c r="CJ3349" s="1645"/>
      <c r="CK3349" s="1645"/>
      <c r="CL3349" s="1645"/>
      <c r="CM3349" s="1645"/>
      <c r="CN3349" s="1645"/>
      <c r="CO3349" s="1645"/>
    </row>
    <row r="3350" spans="1:93" s="1136" customFormat="1" ht="15.75" x14ac:dyDescent="0.25">
      <c r="A3350" s="1483" t="s">
        <v>1855</v>
      </c>
      <c r="B3350" s="1641" t="e">
        <f>B3347/B3349</f>
        <v>#VALUE!</v>
      </c>
      <c r="C3350" s="1407"/>
      <c r="D3350" s="1407"/>
      <c r="E3350" s="1407"/>
      <c r="F3350" s="1407"/>
      <c r="G3350" s="1407"/>
      <c r="H3350" s="1070"/>
      <c r="Q3350" s="1551"/>
      <c r="R3350" s="1551"/>
      <c r="S3350" s="1551"/>
      <c r="T3350" s="1551"/>
      <c r="U3350" s="1551"/>
      <c r="V3350" s="1551"/>
      <c r="W3350" s="1551"/>
      <c r="X3350" s="1551"/>
      <c r="Y3350" s="1551"/>
      <c r="Z3350" s="1551"/>
      <c r="AA3350" s="1645"/>
      <c r="AB3350" s="1645"/>
      <c r="AC3350" s="1645"/>
      <c r="AD3350" s="1645"/>
      <c r="AE3350" s="1645"/>
      <c r="AF3350" s="1645"/>
      <c r="AG3350" s="1645"/>
      <c r="AH3350" s="1645"/>
      <c r="AI3350" s="1645"/>
      <c r="AJ3350" s="1645"/>
      <c r="AK3350" s="1645"/>
      <c r="AL3350" s="1645"/>
      <c r="AM3350" s="1645"/>
      <c r="AN3350" s="1645"/>
      <c r="AO3350" s="1645"/>
      <c r="AP3350" s="1645"/>
      <c r="AQ3350" s="1645"/>
      <c r="AR3350" s="1645"/>
      <c r="AS3350" s="1645"/>
      <c r="AT3350" s="1645"/>
      <c r="AU3350" s="1645"/>
      <c r="AV3350" s="1645"/>
      <c r="AW3350" s="1645"/>
      <c r="AX3350" s="1645"/>
      <c r="AY3350" s="1645"/>
      <c r="AZ3350" s="1645"/>
      <c r="BA3350" s="1645"/>
      <c r="BB3350" s="1645"/>
      <c r="BC3350" s="1645"/>
      <c r="BD3350" s="1645"/>
      <c r="BE3350" s="1645"/>
      <c r="BF3350" s="1645"/>
      <c r="BG3350" s="1645"/>
      <c r="BH3350" s="1645"/>
      <c r="BI3350" s="1645"/>
      <c r="BJ3350" s="1645"/>
      <c r="BK3350" s="1645"/>
      <c r="BL3350" s="1645"/>
      <c r="BM3350" s="1645"/>
      <c r="BN3350" s="1645"/>
      <c r="BO3350" s="1645"/>
      <c r="BP3350" s="1645"/>
      <c r="BQ3350" s="1645"/>
      <c r="BR3350" s="1645"/>
      <c r="BS3350" s="1645"/>
      <c r="BT3350" s="1645"/>
      <c r="BU3350" s="1645"/>
      <c r="BV3350" s="1645"/>
      <c r="BW3350" s="1645"/>
      <c r="BX3350" s="1645"/>
      <c r="BY3350" s="1645"/>
      <c r="BZ3350" s="1645"/>
      <c r="CA3350" s="1645"/>
      <c r="CB3350" s="1645"/>
      <c r="CC3350" s="1645"/>
      <c r="CD3350" s="1645"/>
      <c r="CE3350" s="1645"/>
      <c r="CF3350" s="1645"/>
      <c r="CG3350" s="1645"/>
      <c r="CH3350" s="1645"/>
      <c r="CI3350" s="1645"/>
      <c r="CJ3350" s="1645"/>
      <c r="CK3350" s="1645"/>
      <c r="CL3350" s="1645"/>
      <c r="CM3350" s="1645"/>
      <c r="CN3350" s="1645"/>
      <c r="CO3350" s="1645"/>
    </row>
    <row r="3351" spans="1:93" s="1136" customFormat="1" ht="15.75" x14ac:dyDescent="0.25">
      <c r="A3351" s="1391" t="s">
        <v>1856</v>
      </c>
      <c r="B3351" s="1404">
        <v>0</v>
      </c>
      <c r="C3351" s="1070"/>
      <c r="D3351" s="1070"/>
      <c r="E3351" s="1070"/>
      <c r="F3351" s="1070"/>
      <c r="G3351" s="1070"/>
      <c r="H3351" s="1070"/>
      <c r="Q3351" s="1551"/>
      <c r="R3351" s="1551"/>
      <c r="S3351" s="1551"/>
      <c r="T3351" s="1551"/>
      <c r="U3351" s="1551"/>
      <c r="V3351" s="1551"/>
      <c r="W3351" s="1551"/>
      <c r="X3351" s="1551"/>
      <c r="Y3351" s="1551"/>
      <c r="Z3351" s="1551"/>
      <c r="AA3351" s="1645"/>
      <c r="AB3351" s="1645"/>
      <c r="AC3351" s="1645"/>
      <c r="AD3351" s="1645"/>
      <c r="AE3351" s="1645"/>
      <c r="AF3351" s="1645"/>
      <c r="AG3351" s="1645"/>
      <c r="AH3351" s="1645"/>
      <c r="AI3351" s="1645"/>
      <c r="AJ3351" s="1645"/>
      <c r="AK3351" s="1645"/>
      <c r="AL3351" s="1645"/>
      <c r="AM3351" s="1645"/>
      <c r="AN3351" s="1645"/>
      <c r="AO3351" s="1645"/>
      <c r="AP3351" s="1645"/>
      <c r="AQ3351" s="1645"/>
      <c r="AR3351" s="1645"/>
      <c r="AS3351" s="1645"/>
      <c r="AT3351" s="1645"/>
      <c r="AU3351" s="1645"/>
      <c r="AV3351" s="1645"/>
      <c r="AW3351" s="1645"/>
      <c r="AX3351" s="1645"/>
      <c r="AY3351" s="1645"/>
      <c r="AZ3351" s="1645"/>
      <c r="BA3351" s="1645"/>
      <c r="BB3351" s="1645"/>
      <c r="BC3351" s="1645"/>
      <c r="BD3351" s="1645"/>
      <c r="BE3351" s="1645"/>
      <c r="BF3351" s="1645"/>
      <c r="BG3351" s="1645"/>
      <c r="BH3351" s="1645"/>
      <c r="BI3351" s="1645"/>
      <c r="BJ3351" s="1645"/>
      <c r="BK3351" s="1645"/>
      <c r="BL3351" s="1645"/>
      <c r="BM3351" s="1645"/>
      <c r="BN3351" s="1645"/>
      <c r="BO3351" s="1645"/>
      <c r="BP3351" s="1645"/>
      <c r="BQ3351" s="1645"/>
      <c r="BR3351" s="1645"/>
      <c r="BS3351" s="1645"/>
      <c r="BT3351" s="1645"/>
      <c r="BU3351" s="1645"/>
      <c r="BV3351" s="1645"/>
      <c r="BW3351" s="1645"/>
      <c r="BX3351" s="1645"/>
      <c r="BY3351" s="1645"/>
      <c r="BZ3351" s="1645"/>
      <c r="CA3351" s="1645"/>
      <c r="CB3351" s="1645"/>
      <c r="CC3351" s="1645"/>
      <c r="CD3351" s="1645"/>
      <c r="CE3351" s="1645"/>
      <c r="CF3351" s="1645"/>
      <c r="CG3351" s="1645"/>
      <c r="CH3351" s="1645"/>
      <c r="CI3351" s="1645"/>
      <c r="CJ3351" s="1645"/>
      <c r="CK3351" s="1645"/>
      <c r="CL3351" s="1645"/>
      <c r="CM3351" s="1645"/>
      <c r="CN3351" s="1645"/>
      <c r="CO3351" s="1645"/>
    </row>
    <row r="3352" spans="1:93" s="1136" customFormat="1" ht="15.75" x14ac:dyDescent="0.25">
      <c r="A3352" s="1391" t="s">
        <v>1857</v>
      </c>
      <c r="B3352" s="1648" t="e">
        <f>B3336+B3338</f>
        <v>#VALUE!</v>
      </c>
      <c r="C3352" s="1485"/>
      <c r="D3352" s="1485"/>
      <c r="E3352" s="1485"/>
      <c r="F3352" s="1485"/>
      <c r="G3352" s="1485"/>
      <c r="H3352" s="1070"/>
      <c r="Q3352" s="1551"/>
      <c r="R3352" s="1551"/>
      <c r="S3352" s="1551"/>
      <c r="T3352" s="1551"/>
      <c r="U3352" s="1551"/>
      <c r="V3352" s="1551"/>
      <c r="W3352" s="1551"/>
      <c r="X3352" s="1551"/>
      <c r="Y3352" s="1551"/>
      <c r="Z3352" s="1551"/>
      <c r="AA3352" s="1645"/>
      <c r="AB3352" s="1645"/>
      <c r="AC3352" s="1645"/>
      <c r="AD3352" s="1645"/>
      <c r="AE3352" s="1645"/>
      <c r="AF3352" s="1645"/>
      <c r="AG3352" s="1645"/>
      <c r="AH3352" s="1645"/>
      <c r="AI3352" s="1645"/>
      <c r="AJ3352" s="1645"/>
      <c r="AK3352" s="1645"/>
      <c r="AL3352" s="1645"/>
      <c r="AM3352" s="1645"/>
      <c r="AN3352" s="1645"/>
      <c r="AO3352" s="1645"/>
      <c r="AP3352" s="1645"/>
      <c r="AQ3352" s="1645"/>
      <c r="AR3352" s="1645"/>
      <c r="AS3352" s="1645"/>
      <c r="AT3352" s="1645"/>
      <c r="AU3352" s="1645"/>
      <c r="AV3352" s="1645"/>
      <c r="AW3352" s="1645"/>
      <c r="AX3352" s="1645"/>
      <c r="AY3352" s="1645"/>
      <c r="AZ3352" s="1645"/>
      <c r="BA3352" s="1645"/>
      <c r="BB3352" s="1645"/>
      <c r="BC3352" s="1645"/>
      <c r="BD3352" s="1645"/>
      <c r="BE3352" s="1645"/>
      <c r="BF3352" s="1645"/>
      <c r="BG3352" s="1645"/>
      <c r="BH3352" s="1645"/>
      <c r="BI3352" s="1645"/>
      <c r="BJ3352" s="1645"/>
      <c r="BK3352" s="1645"/>
      <c r="BL3352" s="1645"/>
      <c r="BM3352" s="1645"/>
      <c r="BN3352" s="1645"/>
      <c r="BO3352" s="1645"/>
      <c r="BP3352" s="1645"/>
      <c r="BQ3352" s="1645"/>
      <c r="BR3352" s="1645"/>
      <c r="BS3352" s="1645"/>
      <c r="BT3352" s="1645"/>
      <c r="BU3352" s="1645"/>
      <c r="BV3352" s="1645"/>
      <c r="BW3352" s="1645"/>
      <c r="BX3352" s="1645"/>
      <c r="BY3352" s="1645"/>
      <c r="BZ3352" s="1645"/>
      <c r="CA3352" s="1645"/>
      <c r="CB3352" s="1645"/>
      <c r="CC3352" s="1645"/>
      <c r="CD3352" s="1645"/>
      <c r="CE3352" s="1645"/>
      <c r="CF3352" s="1645"/>
      <c r="CG3352" s="1645"/>
      <c r="CH3352" s="1645"/>
      <c r="CI3352" s="1645"/>
      <c r="CJ3352" s="1645"/>
      <c r="CK3352" s="1645"/>
      <c r="CL3352" s="1645"/>
      <c r="CM3352" s="1645"/>
      <c r="CN3352" s="1645"/>
      <c r="CO3352" s="1645"/>
    </row>
    <row r="3353" spans="1:93" s="1136" customFormat="1" ht="15.75" x14ac:dyDescent="0.25">
      <c r="A3353" s="1391" t="s">
        <v>1858</v>
      </c>
      <c r="B3353" s="1404">
        <v>0</v>
      </c>
      <c r="C3353" s="1070"/>
      <c r="D3353" s="1070"/>
      <c r="E3353" s="1070"/>
      <c r="F3353" s="1070"/>
      <c r="G3353" s="1070"/>
      <c r="H3353" s="1070"/>
      <c r="Q3353" s="1551"/>
      <c r="R3353" s="1551"/>
      <c r="S3353" s="1551"/>
      <c r="T3353" s="1551"/>
      <c r="U3353" s="1551"/>
      <c r="V3353" s="1551"/>
      <c r="W3353" s="1551"/>
      <c r="X3353" s="1551"/>
      <c r="Y3353" s="1551"/>
      <c r="Z3353" s="1551"/>
      <c r="AA3353" s="1645"/>
      <c r="AB3353" s="1645"/>
      <c r="AC3353" s="1645"/>
      <c r="AD3353" s="1645"/>
      <c r="AE3353" s="1645"/>
      <c r="AF3353" s="1645"/>
      <c r="AG3353" s="1645"/>
      <c r="AH3353" s="1645"/>
      <c r="AI3353" s="1645"/>
      <c r="AJ3353" s="1645"/>
      <c r="AK3353" s="1645"/>
      <c r="AL3353" s="1645"/>
      <c r="AM3353" s="1645"/>
      <c r="AN3353" s="1645"/>
      <c r="AO3353" s="1645"/>
      <c r="AP3353" s="1645"/>
      <c r="AQ3353" s="1645"/>
      <c r="AR3353" s="1645"/>
      <c r="AS3353" s="1645"/>
      <c r="AT3353" s="1645"/>
      <c r="AU3353" s="1645"/>
      <c r="AV3353" s="1645"/>
      <c r="AW3353" s="1645"/>
      <c r="AX3353" s="1645"/>
      <c r="AY3353" s="1645"/>
      <c r="AZ3353" s="1645"/>
      <c r="BA3353" s="1645"/>
      <c r="BB3353" s="1645"/>
      <c r="BC3353" s="1645"/>
      <c r="BD3353" s="1645"/>
      <c r="BE3353" s="1645"/>
      <c r="BF3353" s="1645"/>
      <c r="BG3353" s="1645"/>
      <c r="BH3353" s="1645"/>
      <c r="BI3353" s="1645"/>
      <c r="BJ3353" s="1645"/>
      <c r="BK3353" s="1645"/>
      <c r="BL3353" s="1645"/>
      <c r="BM3353" s="1645"/>
      <c r="BN3353" s="1645"/>
      <c r="BO3353" s="1645"/>
      <c r="BP3353" s="1645"/>
      <c r="BQ3353" s="1645"/>
      <c r="BR3353" s="1645"/>
      <c r="BS3353" s="1645"/>
      <c r="BT3353" s="1645"/>
      <c r="BU3353" s="1645"/>
      <c r="BV3353" s="1645"/>
      <c r="BW3353" s="1645"/>
      <c r="BX3353" s="1645"/>
      <c r="BY3353" s="1645"/>
      <c r="BZ3353" s="1645"/>
      <c r="CA3353" s="1645"/>
      <c r="CB3353" s="1645"/>
      <c r="CC3353" s="1645"/>
      <c r="CD3353" s="1645"/>
      <c r="CE3353" s="1645"/>
      <c r="CF3353" s="1645"/>
      <c r="CG3353" s="1645"/>
      <c r="CH3353" s="1645"/>
      <c r="CI3353" s="1645"/>
      <c r="CJ3353" s="1645"/>
      <c r="CK3353" s="1645"/>
      <c r="CL3353" s="1645"/>
      <c r="CM3353" s="1645"/>
      <c r="CN3353" s="1645"/>
      <c r="CO3353" s="1645"/>
    </row>
    <row r="3354" spans="1:93" s="1136" customFormat="1" ht="15.75" x14ac:dyDescent="0.25">
      <c r="A3354" s="1483" t="s">
        <v>4591</v>
      </c>
      <c r="B3354" s="1641" t="e">
        <f>SUM(B3351:B3353)</f>
        <v>#VALUE!</v>
      </c>
      <c r="C3354" s="1407"/>
      <c r="D3354" s="1407"/>
      <c r="E3354" s="1407"/>
      <c r="F3354" s="1407"/>
      <c r="G3354" s="1407"/>
      <c r="H3354" s="1070"/>
      <c r="Q3354" s="1551"/>
      <c r="R3354" s="1551"/>
      <c r="S3354" s="1551"/>
      <c r="T3354" s="1551"/>
      <c r="U3354" s="1551"/>
      <c r="V3354" s="1551"/>
      <c r="W3354" s="1551"/>
      <c r="X3354" s="1551"/>
      <c r="Y3354" s="1551"/>
      <c r="Z3354" s="1551"/>
      <c r="AA3354" s="1645"/>
      <c r="AB3354" s="1645"/>
      <c r="AC3354" s="1645"/>
      <c r="AD3354" s="1645"/>
      <c r="AE3354" s="1645"/>
      <c r="AF3354" s="1645"/>
      <c r="AG3354" s="1645"/>
      <c r="AH3354" s="1645"/>
      <c r="AI3354" s="1645"/>
      <c r="AJ3354" s="1645"/>
      <c r="AK3354" s="1645"/>
      <c r="AL3354" s="1645"/>
      <c r="AM3354" s="1645"/>
      <c r="AN3354" s="1645"/>
      <c r="AO3354" s="1645"/>
      <c r="AP3354" s="1645"/>
      <c r="AQ3354" s="1645"/>
      <c r="AR3354" s="1645"/>
      <c r="AS3354" s="1645"/>
      <c r="AT3354" s="1645"/>
      <c r="AU3354" s="1645"/>
      <c r="AV3354" s="1645"/>
      <c r="AW3354" s="1645"/>
      <c r="AX3354" s="1645"/>
      <c r="AY3354" s="1645"/>
      <c r="AZ3354" s="1645"/>
      <c r="BA3354" s="1645"/>
      <c r="BB3354" s="1645"/>
      <c r="BC3354" s="1645"/>
      <c r="BD3354" s="1645"/>
      <c r="BE3354" s="1645"/>
      <c r="BF3354" s="1645"/>
      <c r="BG3354" s="1645"/>
      <c r="BH3354" s="1645"/>
      <c r="BI3354" s="1645"/>
      <c r="BJ3354" s="1645"/>
      <c r="BK3354" s="1645"/>
      <c r="BL3354" s="1645"/>
      <c r="BM3354" s="1645"/>
      <c r="BN3354" s="1645"/>
      <c r="BO3354" s="1645"/>
      <c r="BP3354" s="1645"/>
      <c r="BQ3354" s="1645"/>
      <c r="BR3354" s="1645"/>
      <c r="BS3354" s="1645"/>
      <c r="BT3354" s="1645"/>
      <c r="BU3354" s="1645"/>
      <c r="BV3354" s="1645"/>
      <c r="BW3354" s="1645"/>
      <c r="BX3354" s="1645"/>
      <c r="BY3354" s="1645"/>
      <c r="BZ3354" s="1645"/>
      <c r="CA3354" s="1645"/>
      <c r="CB3354" s="1645"/>
      <c r="CC3354" s="1645"/>
      <c r="CD3354" s="1645"/>
      <c r="CE3354" s="1645"/>
      <c r="CF3354" s="1645"/>
      <c r="CG3354" s="1645"/>
      <c r="CH3354" s="1645"/>
      <c r="CI3354" s="1645"/>
      <c r="CJ3354" s="1645"/>
      <c r="CK3354" s="1645"/>
      <c r="CL3354" s="1645"/>
      <c r="CM3354" s="1645"/>
      <c r="CN3354" s="1645"/>
      <c r="CO3354" s="1645"/>
    </row>
    <row r="3355" spans="1:93" s="1136" customFormat="1" ht="15.75" x14ac:dyDescent="0.25">
      <c r="A3355" s="1483" t="s">
        <v>1854</v>
      </c>
      <c r="B3355" s="1641">
        <v>24.2</v>
      </c>
      <c r="C3355" s="1407"/>
      <c r="D3355" s="1407"/>
      <c r="E3355" s="1407"/>
      <c r="F3355" s="1407"/>
      <c r="G3355" s="1407"/>
      <c r="H3355" s="1070"/>
      <c r="Q3355" s="1551"/>
      <c r="R3355" s="1551"/>
      <c r="S3355" s="1551"/>
      <c r="T3355" s="1551"/>
      <c r="U3355" s="1551"/>
      <c r="V3355" s="1551"/>
      <c r="W3355" s="1551"/>
      <c r="X3355" s="1551"/>
      <c r="Y3355" s="1551"/>
      <c r="Z3355" s="1551"/>
      <c r="AA3355" s="1645"/>
      <c r="AB3355" s="1645"/>
      <c r="AC3355" s="1645"/>
      <c r="AD3355" s="1645"/>
      <c r="AE3355" s="1645"/>
      <c r="AF3355" s="1645"/>
      <c r="AG3355" s="1645"/>
      <c r="AH3355" s="1645"/>
      <c r="AI3355" s="1645"/>
      <c r="AJ3355" s="1645"/>
      <c r="AK3355" s="1645"/>
      <c r="AL3355" s="1645"/>
      <c r="AM3355" s="1645"/>
      <c r="AN3355" s="1645"/>
      <c r="AO3355" s="1645"/>
      <c r="AP3355" s="1645"/>
      <c r="AQ3355" s="1645"/>
      <c r="AR3355" s="1645"/>
      <c r="AS3355" s="1645"/>
      <c r="AT3355" s="1645"/>
      <c r="AU3355" s="1645"/>
      <c r="AV3355" s="1645"/>
      <c r="AW3355" s="1645"/>
      <c r="AX3355" s="1645"/>
      <c r="AY3355" s="1645"/>
      <c r="AZ3355" s="1645"/>
      <c r="BA3355" s="1645"/>
      <c r="BB3355" s="1645"/>
      <c r="BC3355" s="1645"/>
      <c r="BD3355" s="1645"/>
      <c r="BE3355" s="1645"/>
      <c r="BF3355" s="1645"/>
      <c r="BG3355" s="1645"/>
      <c r="BH3355" s="1645"/>
      <c r="BI3355" s="1645"/>
      <c r="BJ3355" s="1645"/>
      <c r="BK3355" s="1645"/>
      <c r="BL3355" s="1645"/>
      <c r="BM3355" s="1645"/>
      <c r="BN3355" s="1645"/>
      <c r="BO3355" s="1645"/>
      <c r="BP3355" s="1645"/>
      <c r="BQ3355" s="1645"/>
      <c r="BR3355" s="1645"/>
      <c r="BS3355" s="1645"/>
      <c r="BT3355" s="1645"/>
      <c r="BU3355" s="1645"/>
      <c r="BV3355" s="1645"/>
      <c r="BW3355" s="1645"/>
      <c r="BX3355" s="1645"/>
      <c r="BY3355" s="1645"/>
      <c r="BZ3355" s="1645"/>
      <c r="CA3355" s="1645"/>
      <c r="CB3355" s="1645"/>
      <c r="CC3355" s="1645"/>
      <c r="CD3355" s="1645"/>
      <c r="CE3355" s="1645"/>
      <c r="CF3355" s="1645"/>
      <c r="CG3355" s="1645"/>
      <c r="CH3355" s="1645"/>
      <c r="CI3355" s="1645"/>
      <c r="CJ3355" s="1645"/>
      <c r="CK3355" s="1645"/>
      <c r="CL3355" s="1645"/>
      <c r="CM3355" s="1645"/>
      <c r="CN3355" s="1645"/>
      <c r="CO3355" s="1645"/>
    </row>
    <row r="3356" spans="1:93" s="1136" customFormat="1" ht="15.75" x14ac:dyDescent="0.25">
      <c r="A3356" s="1483" t="s">
        <v>1855</v>
      </c>
      <c r="B3356" s="1641" t="e">
        <f>B3354/B3355</f>
        <v>#VALUE!</v>
      </c>
      <c r="C3356" s="1407"/>
      <c r="D3356" s="1407"/>
      <c r="E3356" s="1407"/>
      <c r="F3356" s="1407"/>
      <c r="G3356" s="1407"/>
      <c r="H3356" s="1070"/>
      <c r="Q3356" s="1551"/>
      <c r="R3356" s="1551"/>
      <c r="S3356" s="1551"/>
      <c r="T3356" s="1551"/>
      <c r="U3356" s="1551"/>
      <c r="V3356" s="1551"/>
      <c r="W3356" s="1551"/>
      <c r="X3356" s="1551"/>
      <c r="Y3356" s="1551"/>
      <c r="Z3356" s="1551"/>
      <c r="AA3356" s="1645"/>
      <c r="AB3356" s="1645"/>
      <c r="AC3356" s="1645"/>
      <c r="AD3356" s="1645"/>
      <c r="AE3356" s="1645"/>
      <c r="AF3356" s="1645"/>
      <c r="AG3356" s="1645"/>
      <c r="AH3356" s="1645"/>
      <c r="AI3356" s="1645"/>
      <c r="AJ3356" s="1645"/>
      <c r="AK3356" s="1645"/>
      <c r="AL3356" s="1645"/>
      <c r="AM3356" s="1645"/>
      <c r="AN3356" s="1645"/>
      <c r="AO3356" s="1645"/>
      <c r="AP3356" s="1645"/>
      <c r="AQ3356" s="1645"/>
      <c r="AR3356" s="1645"/>
      <c r="AS3356" s="1645"/>
      <c r="AT3356" s="1645"/>
      <c r="AU3356" s="1645"/>
      <c r="AV3356" s="1645"/>
      <c r="AW3356" s="1645"/>
      <c r="AX3356" s="1645"/>
      <c r="AY3356" s="1645"/>
      <c r="AZ3356" s="1645"/>
      <c r="BA3356" s="1645"/>
      <c r="BB3356" s="1645"/>
      <c r="BC3356" s="1645"/>
      <c r="BD3356" s="1645"/>
      <c r="BE3356" s="1645"/>
      <c r="BF3356" s="1645"/>
      <c r="BG3356" s="1645"/>
      <c r="BH3356" s="1645"/>
      <c r="BI3356" s="1645"/>
      <c r="BJ3356" s="1645"/>
      <c r="BK3356" s="1645"/>
      <c r="BL3356" s="1645"/>
      <c r="BM3356" s="1645"/>
      <c r="BN3356" s="1645"/>
      <c r="BO3356" s="1645"/>
      <c r="BP3356" s="1645"/>
      <c r="BQ3356" s="1645"/>
      <c r="BR3356" s="1645"/>
      <c r="BS3356" s="1645"/>
      <c r="BT3356" s="1645"/>
      <c r="BU3356" s="1645"/>
      <c r="BV3356" s="1645"/>
      <c r="BW3356" s="1645"/>
      <c r="BX3356" s="1645"/>
      <c r="BY3356" s="1645"/>
      <c r="BZ3356" s="1645"/>
      <c r="CA3356" s="1645"/>
      <c r="CB3356" s="1645"/>
      <c r="CC3356" s="1645"/>
      <c r="CD3356" s="1645"/>
      <c r="CE3356" s="1645"/>
      <c r="CF3356" s="1645"/>
      <c r="CG3356" s="1645"/>
      <c r="CH3356" s="1645"/>
      <c r="CI3356" s="1645"/>
      <c r="CJ3356" s="1645"/>
      <c r="CK3356" s="1645"/>
      <c r="CL3356" s="1645"/>
      <c r="CM3356" s="1645"/>
      <c r="CN3356" s="1645"/>
      <c r="CO3356" s="1645"/>
    </row>
    <row r="3357" spans="1:93" s="1136" customFormat="1" ht="15.75" x14ac:dyDescent="0.25">
      <c r="A3357" s="1649" t="s">
        <v>4592</v>
      </c>
      <c r="B3357" s="1046"/>
      <c r="C3357" s="1070"/>
      <c r="D3357" s="1070"/>
      <c r="E3357" s="1070"/>
      <c r="F3357" s="1070"/>
      <c r="G3357" s="1070"/>
      <c r="H3357" s="1070"/>
      <c r="Q3357" s="1551"/>
      <c r="R3357" s="1551"/>
      <c r="S3357" s="1551"/>
      <c r="T3357" s="1551"/>
      <c r="U3357" s="1551"/>
      <c r="V3357" s="1551"/>
      <c r="W3357" s="1551"/>
      <c r="X3357" s="1551"/>
      <c r="Y3357" s="1551"/>
      <c r="Z3357" s="1551"/>
      <c r="AA3357" s="1645"/>
      <c r="AB3357" s="1645"/>
      <c r="AC3357" s="1645"/>
      <c r="AD3357" s="1645"/>
      <c r="AE3357" s="1645"/>
      <c r="AF3357" s="1645"/>
      <c r="AG3357" s="1645"/>
      <c r="AH3357" s="1645"/>
      <c r="AI3357" s="1645"/>
      <c r="AJ3357" s="1645"/>
      <c r="AK3357" s="1645"/>
      <c r="AL3357" s="1645"/>
      <c r="AM3357" s="1645"/>
      <c r="AN3357" s="1645"/>
      <c r="AO3357" s="1645"/>
      <c r="AP3357" s="1645"/>
      <c r="AQ3357" s="1645"/>
      <c r="AR3357" s="1645"/>
      <c r="AS3357" s="1645"/>
      <c r="AT3357" s="1645"/>
      <c r="AU3357" s="1645"/>
      <c r="AV3357" s="1645"/>
      <c r="AW3357" s="1645"/>
      <c r="AX3357" s="1645"/>
      <c r="AY3357" s="1645"/>
      <c r="AZ3357" s="1645"/>
      <c r="BA3357" s="1645"/>
      <c r="BB3357" s="1645"/>
      <c r="BC3357" s="1645"/>
      <c r="BD3357" s="1645"/>
      <c r="BE3357" s="1645"/>
      <c r="BF3357" s="1645"/>
      <c r="BG3357" s="1645"/>
      <c r="BH3357" s="1645"/>
      <c r="BI3357" s="1645"/>
      <c r="BJ3357" s="1645"/>
      <c r="BK3357" s="1645"/>
      <c r="BL3357" s="1645"/>
      <c r="BM3357" s="1645"/>
      <c r="BN3357" s="1645"/>
      <c r="BO3357" s="1645"/>
      <c r="BP3357" s="1645"/>
      <c r="BQ3357" s="1645"/>
      <c r="BR3357" s="1645"/>
      <c r="BS3357" s="1645"/>
      <c r="BT3357" s="1645"/>
      <c r="BU3357" s="1645"/>
      <c r="BV3357" s="1645"/>
      <c r="BW3357" s="1645"/>
      <c r="BX3357" s="1645"/>
      <c r="BY3357" s="1645"/>
      <c r="BZ3357" s="1645"/>
      <c r="CA3357" s="1645"/>
      <c r="CB3357" s="1645"/>
      <c r="CC3357" s="1645"/>
      <c r="CD3357" s="1645"/>
      <c r="CE3357" s="1645"/>
      <c r="CF3357" s="1645"/>
      <c r="CG3357" s="1645"/>
      <c r="CH3357" s="1645"/>
      <c r="CI3357" s="1645"/>
      <c r="CJ3357" s="1645"/>
      <c r="CK3357" s="1645"/>
      <c r="CL3357" s="1645"/>
      <c r="CM3357" s="1645"/>
      <c r="CN3357" s="1645"/>
      <c r="CO3357" s="1645"/>
    </row>
    <row r="3358" spans="1:93" s="1136" customFormat="1" ht="15.75" x14ac:dyDescent="0.25">
      <c r="A3358" s="1391" t="s">
        <v>4593</v>
      </c>
      <c r="B3358" s="1650">
        <v>0</v>
      </c>
      <c r="C3358" s="1070"/>
      <c r="D3358" s="1070"/>
      <c r="E3358" s="1070"/>
      <c r="F3358" s="1070"/>
      <c r="G3358" s="1070"/>
      <c r="H3358" s="1070"/>
      <c r="Q3358" s="1551"/>
      <c r="R3358" s="1551"/>
      <c r="S3358" s="1551"/>
      <c r="T3358" s="1551"/>
      <c r="U3358" s="1551"/>
      <c r="V3358" s="1551"/>
      <c r="W3358" s="1551"/>
      <c r="X3358" s="1551"/>
      <c r="Y3358" s="1551"/>
      <c r="Z3358" s="1551"/>
      <c r="AA3358" s="1645"/>
      <c r="AB3358" s="1645"/>
      <c r="AC3358" s="1645"/>
      <c r="AD3358" s="1645"/>
      <c r="AE3358" s="1645"/>
      <c r="AF3358" s="1645"/>
      <c r="AG3358" s="1645"/>
      <c r="AH3358" s="1645"/>
      <c r="AI3358" s="1645"/>
      <c r="AJ3358" s="1645"/>
      <c r="AK3358" s="1645"/>
      <c r="AL3358" s="1645"/>
      <c r="AM3358" s="1645"/>
      <c r="AN3358" s="1645"/>
      <c r="AO3358" s="1645"/>
      <c r="AP3358" s="1645"/>
      <c r="AQ3358" s="1645"/>
      <c r="AR3358" s="1645"/>
      <c r="AS3358" s="1645"/>
      <c r="AT3358" s="1645"/>
      <c r="AU3358" s="1645"/>
      <c r="AV3358" s="1645"/>
      <c r="AW3358" s="1645"/>
      <c r="AX3358" s="1645"/>
      <c r="AY3358" s="1645"/>
      <c r="AZ3358" s="1645"/>
      <c r="BA3358" s="1645"/>
      <c r="BB3358" s="1645"/>
      <c r="BC3358" s="1645"/>
      <c r="BD3358" s="1645"/>
      <c r="BE3358" s="1645"/>
      <c r="BF3358" s="1645"/>
      <c r="BG3358" s="1645"/>
      <c r="BH3358" s="1645"/>
      <c r="BI3358" s="1645"/>
      <c r="BJ3358" s="1645"/>
      <c r="BK3358" s="1645"/>
      <c r="BL3358" s="1645"/>
      <c r="BM3358" s="1645"/>
      <c r="BN3358" s="1645"/>
      <c r="BO3358" s="1645"/>
      <c r="BP3358" s="1645"/>
      <c r="BQ3358" s="1645"/>
      <c r="BR3358" s="1645"/>
      <c r="BS3358" s="1645"/>
      <c r="BT3358" s="1645"/>
      <c r="BU3358" s="1645"/>
      <c r="BV3358" s="1645"/>
      <c r="BW3358" s="1645"/>
      <c r="BX3358" s="1645"/>
      <c r="BY3358" s="1645"/>
      <c r="BZ3358" s="1645"/>
      <c r="CA3358" s="1645"/>
      <c r="CB3358" s="1645"/>
      <c r="CC3358" s="1645"/>
      <c r="CD3358" s="1645"/>
      <c r="CE3358" s="1645"/>
      <c r="CF3358" s="1645"/>
      <c r="CG3358" s="1645"/>
      <c r="CH3358" s="1645"/>
      <c r="CI3358" s="1645"/>
      <c r="CJ3358" s="1645"/>
      <c r="CK3358" s="1645"/>
      <c r="CL3358" s="1645"/>
      <c r="CM3358" s="1645"/>
      <c r="CN3358" s="1645"/>
      <c r="CO3358" s="1645"/>
    </row>
    <row r="3359" spans="1:93" s="1136" customFormat="1" ht="15.75" x14ac:dyDescent="0.25">
      <c r="A3359" s="1483" t="s">
        <v>1854</v>
      </c>
      <c r="B3359" s="1641">
        <f>17*1.15</f>
        <v>19.549999999999997</v>
      </c>
      <c r="C3359" s="1407"/>
      <c r="D3359" s="1407"/>
      <c r="E3359" s="1407"/>
      <c r="F3359" s="1407"/>
      <c r="G3359" s="1407"/>
      <c r="H3359" s="1070"/>
      <c r="Q3359" s="1551"/>
      <c r="R3359" s="1551"/>
      <c r="S3359" s="1551"/>
      <c r="T3359" s="1551"/>
      <c r="U3359" s="1551"/>
      <c r="V3359" s="1551"/>
      <c r="W3359" s="1551"/>
      <c r="X3359" s="1551"/>
      <c r="Y3359" s="1551"/>
      <c r="Z3359" s="1551"/>
      <c r="AA3359" s="1645"/>
      <c r="AB3359" s="1645"/>
      <c r="AC3359" s="1645"/>
      <c r="AD3359" s="1645"/>
      <c r="AE3359" s="1645"/>
      <c r="AF3359" s="1645"/>
      <c r="AG3359" s="1645"/>
      <c r="AH3359" s="1645"/>
      <c r="AI3359" s="1645"/>
      <c r="AJ3359" s="1645"/>
      <c r="AK3359" s="1645"/>
      <c r="AL3359" s="1645"/>
      <c r="AM3359" s="1645"/>
      <c r="AN3359" s="1645"/>
      <c r="AO3359" s="1645"/>
      <c r="AP3359" s="1645"/>
      <c r="AQ3359" s="1645"/>
      <c r="AR3359" s="1645"/>
      <c r="AS3359" s="1645"/>
      <c r="AT3359" s="1645"/>
      <c r="AU3359" s="1645"/>
      <c r="AV3359" s="1645"/>
      <c r="AW3359" s="1645"/>
      <c r="AX3359" s="1645"/>
      <c r="AY3359" s="1645"/>
      <c r="AZ3359" s="1645"/>
      <c r="BA3359" s="1645"/>
      <c r="BB3359" s="1645"/>
      <c r="BC3359" s="1645"/>
      <c r="BD3359" s="1645"/>
      <c r="BE3359" s="1645"/>
      <c r="BF3359" s="1645"/>
      <c r="BG3359" s="1645"/>
      <c r="BH3359" s="1645"/>
      <c r="BI3359" s="1645"/>
      <c r="BJ3359" s="1645"/>
      <c r="BK3359" s="1645"/>
      <c r="BL3359" s="1645"/>
      <c r="BM3359" s="1645"/>
      <c r="BN3359" s="1645"/>
      <c r="BO3359" s="1645"/>
      <c r="BP3359" s="1645"/>
      <c r="BQ3359" s="1645"/>
      <c r="BR3359" s="1645"/>
      <c r="BS3359" s="1645"/>
      <c r="BT3359" s="1645"/>
      <c r="BU3359" s="1645"/>
      <c r="BV3359" s="1645"/>
      <c r="BW3359" s="1645"/>
      <c r="BX3359" s="1645"/>
      <c r="BY3359" s="1645"/>
      <c r="BZ3359" s="1645"/>
      <c r="CA3359" s="1645"/>
      <c r="CB3359" s="1645"/>
      <c r="CC3359" s="1645"/>
      <c r="CD3359" s="1645"/>
      <c r="CE3359" s="1645"/>
      <c r="CF3359" s="1645"/>
      <c r="CG3359" s="1645"/>
      <c r="CH3359" s="1645"/>
      <c r="CI3359" s="1645"/>
      <c r="CJ3359" s="1645"/>
      <c r="CK3359" s="1645"/>
      <c r="CL3359" s="1645"/>
      <c r="CM3359" s="1645"/>
      <c r="CN3359" s="1645"/>
      <c r="CO3359" s="1645"/>
    </row>
    <row r="3360" spans="1:93" s="1136" customFormat="1" ht="15.75" x14ac:dyDescent="0.25">
      <c r="A3360" s="1651" t="s">
        <v>1855</v>
      </c>
      <c r="B3360" s="1641">
        <f>B3358/B3359</f>
        <v>0</v>
      </c>
      <c r="C3360" s="1407"/>
      <c r="D3360" s="1407"/>
      <c r="E3360" s="1407"/>
      <c r="F3360" s="1407"/>
      <c r="G3360" s="1407"/>
      <c r="H3360" s="1070"/>
      <c r="Q3360" s="1551"/>
      <c r="R3360" s="1551"/>
      <c r="S3360" s="1551"/>
      <c r="T3360" s="1551"/>
      <c r="U3360" s="1551"/>
      <c r="V3360" s="1551"/>
      <c r="W3360" s="1551"/>
      <c r="X3360" s="1551"/>
      <c r="Y3360" s="1551"/>
      <c r="Z3360" s="1551"/>
      <c r="AA3360" s="1645"/>
      <c r="AB3360" s="1645"/>
      <c r="AC3360" s="1645"/>
      <c r="AD3360" s="1645"/>
      <c r="AE3360" s="1645"/>
      <c r="AF3360" s="1645"/>
      <c r="AG3360" s="1645"/>
      <c r="AH3360" s="1645"/>
      <c r="AI3360" s="1645"/>
      <c r="AJ3360" s="1645"/>
      <c r="AK3360" s="1645"/>
      <c r="AL3360" s="1645"/>
      <c r="AM3360" s="1645"/>
      <c r="AN3360" s="1645"/>
      <c r="AO3360" s="1645"/>
      <c r="AP3360" s="1645"/>
      <c r="AQ3360" s="1645"/>
      <c r="AR3360" s="1645"/>
      <c r="AS3360" s="1645"/>
      <c r="AT3360" s="1645"/>
      <c r="AU3360" s="1645"/>
      <c r="AV3360" s="1645"/>
      <c r="AW3360" s="1645"/>
      <c r="AX3360" s="1645"/>
      <c r="AY3360" s="1645"/>
      <c r="AZ3360" s="1645"/>
      <c r="BA3360" s="1645"/>
      <c r="BB3360" s="1645"/>
      <c r="BC3360" s="1645"/>
      <c r="BD3360" s="1645"/>
      <c r="BE3360" s="1645"/>
      <c r="BF3360" s="1645"/>
      <c r="BG3360" s="1645"/>
      <c r="BH3360" s="1645"/>
      <c r="BI3360" s="1645"/>
      <c r="BJ3360" s="1645"/>
      <c r="BK3360" s="1645"/>
      <c r="BL3360" s="1645"/>
      <c r="BM3360" s="1645"/>
      <c r="BN3360" s="1645"/>
      <c r="BO3360" s="1645"/>
      <c r="BP3360" s="1645"/>
      <c r="BQ3360" s="1645"/>
      <c r="BR3360" s="1645"/>
      <c r="BS3360" s="1645"/>
      <c r="BT3360" s="1645"/>
      <c r="BU3360" s="1645"/>
      <c r="BV3360" s="1645"/>
      <c r="BW3360" s="1645"/>
      <c r="BX3360" s="1645"/>
      <c r="BY3360" s="1645"/>
      <c r="BZ3360" s="1645"/>
      <c r="CA3360" s="1645"/>
      <c r="CB3360" s="1645"/>
      <c r="CC3360" s="1645"/>
      <c r="CD3360" s="1645"/>
      <c r="CE3360" s="1645"/>
      <c r="CF3360" s="1645"/>
      <c r="CG3360" s="1645"/>
      <c r="CH3360" s="1645"/>
      <c r="CI3360" s="1645"/>
      <c r="CJ3360" s="1645"/>
      <c r="CK3360" s="1645"/>
      <c r="CL3360" s="1645"/>
      <c r="CM3360" s="1645"/>
      <c r="CN3360" s="1645"/>
      <c r="CO3360" s="1645"/>
    </row>
    <row r="3361" spans="1:93" s="1136" customFormat="1" ht="15.75" x14ac:dyDescent="0.25">
      <c r="A3361" s="1652" t="s">
        <v>3724</v>
      </c>
      <c r="B3361" s="1046"/>
      <c r="C3361" s="1070"/>
      <c r="D3361" s="1070"/>
      <c r="E3361" s="1070"/>
      <c r="F3361" s="1070"/>
      <c r="G3361" s="1070"/>
      <c r="H3361" s="1070"/>
      <c r="Q3361" s="1551"/>
      <c r="R3361" s="1551"/>
      <c r="S3361" s="1551"/>
      <c r="T3361" s="1551"/>
      <c r="U3361" s="1551"/>
      <c r="V3361" s="1551"/>
      <c r="W3361" s="1551"/>
      <c r="X3361" s="1551"/>
      <c r="Y3361" s="1551"/>
      <c r="Z3361" s="1551"/>
      <c r="AA3361" s="1645"/>
      <c r="AB3361" s="1645"/>
      <c r="AC3361" s="1645"/>
      <c r="AD3361" s="1645"/>
      <c r="AE3361" s="1645"/>
      <c r="AF3361" s="1645"/>
      <c r="AG3361" s="1645"/>
      <c r="AH3361" s="1645"/>
      <c r="AI3361" s="1645"/>
      <c r="AJ3361" s="1645"/>
      <c r="AK3361" s="1645"/>
      <c r="AL3361" s="1645"/>
      <c r="AM3361" s="1645"/>
      <c r="AN3361" s="1645"/>
      <c r="AO3361" s="1645"/>
      <c r="AP3361" s="1645"/>
      <c r="AQ3361" s="1645"/>
      <c r="AR3361" s="1645"/>
      <c r="AS3361" s="1645"/>
      <c r="AT3361" s="1645"/>
      <c r="AU3361" s="1645"/>
      <c r="AV3361" s="1645"/>
      <c r="AW3361" s="1645"/>
      <c r="AX3361" s="1645"/>
      <c r="AY3361" s="1645"/>
      <c r="AZ3361" s="1645"/>
      <c r="BA3361" s="1645"/>
      <c r="BB3361" s="1645"/>
      <c r="BC3361" s="1645"/>
      <c r="BD3361" s="1645"/>
      <c r="BE3361" s="1645"/>
      <c r="BF3361" s="1645"/>
      <c r="BG3361" s="1645"/>
      <c r="BH3361" s="1645"/>
      <c r="BI3361" s="1645"/>
      <c r="BJ3361" s="1645"/>
      <c r="BK3361" s="1645"/>
      <c r="BL3361" s="1645"/>
      <c r="BM3361" s="1645"/>
      <c r="BN3361" s="1645"/>
      <c r="BO3361" s="1645"/>
      <c r="BP3361" s="1645"/>
      <c r="BQ3361" s="1645"/>
      <c r="BR3361" s="1645"/>
      <c r="BS3361" s="1645"/>
      <c r="BT3361" s="1645"/>
      <c r="BU3361" s="1645"/>
      <c r="BV3361" s="1645"/>
      <c r="BW3361" s="1645"/>
      <c r="BX3361" s="1645"/>
      <c r="BY3361" s="1645"/>
      <c r="BZ3361" s="1645"/>
      <c r="CA3361" s="1645"/>
      <c r="CB3361" s="1645"/>
      <c r="CC3361" s="1645"/>
      <c r="CD3361" s="1645"/>
      <c r="CE3361" s="1645"/>
      <c r="CF3361" s="1645"/>
      <c r="CG3361" s="1645"/>
      <c r="CH3361" s="1645"/>
      <c r="CI3361" s="1645"/>
      <c r="CJ3361" s="1645"/>
      <c r="CK3361" s="1645"/>
      <c r="CL3361" s="1645"/>
      <c r="CM3361" s="1645"/>
      <c r="CN3361" s="1645"/>
      <c r="CO3361" s="1645"/>
    </row>
    <row r="3362" spans="1:93" s="1136" customFormat="1" ht="15.75" x14ac:dyDescent="0.25">
      <c r="A3362" s="1653" t="s">
        <v>3725</v>
      </c>
      <c r="B3362" s="1650">
        <v>50</v>
      </c>
      <c r="C3362" s="1070"/>
      <c r="D3362" s="1070"/>
      <c r="E3362" s="1070"/>
      <c r="F3362" s="1070"/>
      <c r="G3362" s="1070"/>
      <c r="H3362" s="1070"/>
      <c r="Q3362" s="1551"/>
      <c r="R3362" s="1551"/>
      <c r="S3362" s="1551"/>
      <c r="T3362" s="1551"/>
      <c r="U3362" s="1551"/>
      <c r="V3362" s="1551"/>
      <c r="W3362" s="1551"/>
      <c r="X3362" s="1551"/>
      <c r="Y3362" s="1551"/>
      <c r="Z3362" s="1551"/>
      <c r="AA3362" s="1645"/>
      <c r="AB3362" s="1645"/>
      <c r="AC3362" s="1645"/>
      <c r="AD3362" s="1645"/>
      <c r="AE3362" s="1645"/>
      <c r="AF3362" s="1645"/>
      <c r="AG3362" s="1645"/>
      <c r="AH3362" s="1645"/>
      <c r="AI3362" s="1645"/>
      <c r="AJ3362" s="1645"/>
      <c r="AK3362" s="1645"/>
      <c r="AL3362" s="1645"/>
      <c r="AM3362" s="1645"/>
      <c r="AN3362" s="1645"/>
      <c r="AO3362" s="1645"/>
      <c r="AP3362" s="1645"/>
      <c r="AQ3362" s="1645"/>
      <c r="AR3362" s="1645"/>
      <c r="AS3362" s="1645"/>
      <c r="AT3362" s="1645"/>
      <c r="AU3362" s="1645"/>
      <c r="AV3362" s="1645"/>
      <c r="AW3362" s="1645"/>
      <c r="AX3362" s="1645"/>
      <c r="AY3362" s="1645"/>
      <c r="AZ3362" s="1645"/>
      <c r="BA3362" s="1645"/>
      <c r="BB3362" s="1645"/>
      <c r="BC3362" s="1645"/>
      <c r="BD3362" s="1645"/>
      <c r="BE3362" s="1645"/>
      <c r="BF3362" s="1645"/>
      <c r="BG3362" s="1645"/>
      <c r="BH3362" s="1645"/>
      <c r="BI3362" s="1645"/>
      <c r="BJ3362" s="1645"/>
      <c r="BK3362" s="1645"/>
      <c r="BL3362" s="1645"/>
      <c r="BM3362" s="1645"/>
      <c r="BN3362" s="1645"/>
      <c r="BO3362" s="1645"/>
      <c r="BP3362" s="1645"/>
      <c r="BQ3362" s="1645"/>
      <c r="BR3362" s="1645"/>
      <c r="BS3362" s="1645"/>
      <c r="BT3362" s="1645"/>
      <c r="BU3362" s="1645"/>
      <c r="BV3362" s="1645"/>
      <c r="BW3362" s="1645"/>
      <c r="BX3362" s="1645"/>
      <c r="BY3362" s="1645"/>
      <c r="BZ3362" s="1645"/>
      <c r="CA3362" s="1645"/>
      <c r="CB3362" s="1645"/>
      <c r="CC3362" s="1645"/>
      <c r="CD3362" s="1645"/>
      <c r="CE3362" s="1645"/>
      <c r="CF3362" s="1645"/>
      <c r="CG3362" s="1645"/>
      <c r="CH3362" s="1645"/>
      <c r="CI3362" s="1645"/>
      <c r="CJ3362" s="1645"/>
      <c r="CK3362" s="1645"/>
      <c r="CL3362" s="1645"/>
      <c r="CM3362" s="1645"/>
      <c r="CN3362" s="1645"/>
      <c r="CO3362" s="1645"/>
    </row>
    <row r="3363" spans="1:93" s="1136" customFormat="1" ht="15.75" x14ac:dyDescent="0.25">
      <c r="A3363" s="1483" t="s">
        <v>1852</v>
      </c>
      <c r="B3363" s="1641" t="e">
        <f>B3347</f>
        <v>#VALUE!</v>
      </c>
      <c r="C3363" s="1407"/>
      <c r="D3363" s="1407"/>
      <c r="E3363" s="1407"/>
      <c r="F3363" s="1407"/>
      <c r="G3363" s="1407"/>
      <c r="H3363" s="1070"/>
      <c r="Q3363" s="1551"/>
      <c r="R3363" s="1551"/>
      <c r="S3363" s="1551"/>
      <c r="T3363" s="1551"/>
      <c r="U3363" s="1551"/>
      <c r="V3363" s="1551"/>
      <c r="W3363" s="1551"/>
      <c r="X3363" s="1551"/>
      <c r="Y3363" s="1551"/>
      <c r="Z3363" s="1551"/>
      <c r="AA3363" s="1645"/>
      <c r="AB3363" s="1645"/>
      <c r="AC3363" s="1645"/>
      <c r="AD3363" s="1645"/>
      <c r="AE3363" s="1645"/>
      <c r="AF3363" s="1645"/>
      <c r="AG3363" s="1645"/>
      <c r="AH3363" s="1645"/>
      <c r="AI3363" s="1645"/>
      <c r="AJ3363" s="1645"/>
      <c r="AK3363" s="1645"/>
      <c r="AL3363" s="1645"/>
      <c r="AM3363" s="1645"/>
      <c r="AN3363" s="1645"/>
      <c r="AO3363" s="1645"/>
      <c r="AP3363" s="1645"/>
      <c r="AQ3363" s="1645"/>
      <c r="AR3363" s="1645"/>
      <c r="AS3363" s="1645"/>
      <c r="AT3363" s="1645"/>
      <c r="AU3363" s="1645"/>
      <c r="AV3363" s="1645"/>
      <c r="AW3363" s="1645"/>
      <c r="AX3363" s="1645"/>
      <c r="AY3363" s="1645"/>
      <c r="AZ3363" s="1645"/>
      <c r="BA3363" s="1645"/>
      <c r="BB3363" s="1645"/>
      <c r="BC3363" s="1645"/>
      <c r="BD3363" s="1645"/>
      <c r="BE3363" s="1645"/>
      <c r="BF3363" s="1645"/>
      <c r="BG3363" s="1645"/>
      <c r="BH3363" s="1645"/>
      <c r="BI3363" s="1645"/>
      <c r="BJ3363" s="1645"/>
      <c r="BK3363" s="1645"/>
      <c r="BL3363" s="1645"/>
      <c r="BM3363" s="1645"/>
      <c r="BN3363" s="1645"/>
      <c r="BO3363" s="1645"/>
      <c r="BP3363" s="1645"/>
      <c r="BQ3363" s="1645"/>
      <c r="BR3363" s="1645"/>
      <c r="BS3363" s="1645"/>
      <c r="BT3363" s="1645"/>
      <c r="BU3363" s="1645"/>
      <c r="BV3363" s="1645"/>
      <c r="BW3363" s="1645"/>
      <c r="BX3363" s="1645"/>
      <c r="BY3363" s="1645"/>
      <c r="BZ3363" s="1645"/>
      <c r="CA3363" s="1645"/>
      <c r="CB3363" s="1645"/>
      <c r="CC3363" s="1645"/>
      <c r="CD3363" s="1645"/>
      <c r="CE3363" s="1645"/>
      <c r="CF3363" s="1645"/>
      <c r="CG3363" s="1645"/>
      <c r="CH3363" s="1645"/>
      <c r="CI3363" s="1645"/>
      <c r="CJ3363" s="1645"/>
      <c r="CK3363" s="1645"/>
      <c r="CL3363" s="1645"/>
      <c r="CM3363" s="1645"/>
      <c r="CN3363" s="1645"/>
      <c r="CO3363" s="1645"/>
    </row>
    <row r="3364" spans="1:93" s="1136" customFormat="1" ht="15.75" x14ac:dyDescent="0.25">
      <c r="A3364" s="1483" t="s">
        <v>3726</v>
      </c>
      <c r="B3364" s="1641" t="e">
        <f>79.5*B3348^-1.5</f>
        <v>#VALUE!</v>
      </c>
      <c r="C3364" s="1407"/>
      <c r="D3364" s="1407"/>
      <c r="E3364" s="1407"/>
      <c r="F3364" s="1407"/>
      <c r="G3364" s="1407"/>
      <c r="H3364" s="1070"/>
      <c r="Q3364" s="1551"/>
      <c r="R3364" s="1551"/>
      <c r="S3364" s="1551"/>
      <c r="T3364" s="1551"/>
      <c r="U3364" s="1551"/>
      <c r="V3364" s="1551"/>
      <c r="W3364" s="1551"/>
      <c r="X3364" s="1551"/>
      <c r="Y3364" s="1551"/>
      <c r="Z3364" s="1551"/>
      <c r="AA3364" s="1645"/>
      <c r="AB3364" s="1645"/>
      <c r="AC3364" s="1645"/>
      <c r="AD3364" s="1645"/>
      <c r="AE3364" s="1645"/>
      <c r="AF3364" s="1645"/>
      <c r="AG3364" s="1645"/>
      <c r="AH3364" s="1645"/>
      <c r="AI3364" s="1645"/>
      <c r="AJ3364" s="1645"/>
      <c r="AK3364" s="1645"/>
      <c r="AL3364" s="1645"/>
      <c r="AM3364" s="1645"/>
      <c r="AN3364" s="1645"/>
      <c r="AO3364" s="1645"/>
      <c r="AP3364" s="1645"/>
      <c r="AQ3364" s="1645"/>
      <c r="AR3364" s="1645"/>
      <c r="AS3364" s="1645"/>
      <c r="AT3364" s="1645"/>
      <c r="AU3364" s="1645"/>
      <c r="AV3364" s="1645"/>
      <c r="AW3364" s="1645"/>
      <c r="AX3364" s="1645"/>
      <c r="AY3364" s="1645"/>
      <c r="AZ3364" s="1645"/>
      <c r="BA3364" s="1645"/>
      <c r="BB3364" s="1645"/>
      <c r="BC3364" s="1645"/>
      <c r="BD3364" s="1645"/>
      <c r="BE3364" s="1645"/>
      <c r="BF3364" s="1645"/>
      <c r="BG3364" s="1645"/>
      <c r="BH3364" s="1645"/>
      <c r="BI3364" s="1645"/>
      <c r="BJ3364" s="1645"/>
      <c r="BK3364" s="1645"/>
      <c r="BL3364" s="1645"/>
      <c r="BM3364" s="1645"/>
      <c r="BN3364" s="1645"/>
      <c r="BO3364" s="1645"/>
      <c r="BP3364" s="1645"/>
      <c r="BQ3364" s="1645"/>
      <c r="BR3364" s="1645"/>
      <c r="BS3364" s="1645"/>
      <c r="BT3364" s="1645"/>
      <c r="BU3364" s="1645"/>
      <c r="BV3364" s="1645"/>
      <c r="BW3364" s="1645"/>
      <c r="BX3364" s="1645"/>
      <c r="BY3364" s="1645"/>
      <c r="BZ3364" s="1645"/>
      <c r="CA3364" s="1645"/>
      <c r="CB3364" s="1645"/>
      <c r="CC3364" s="1645"/>
      <c r="CD3364" s="1645"/>
      <c r="CE3364" s="1645"/>
      <c r="CF3364" s="1645"/>
      <c r="CG3364" s="1645"/>
      <c r="CH3364" s="1645"/>
      <c r="CI3364" s="1645"/>
      <c r="CJ3364" s="1645"/>
      <c r="CK3364" s="1645"/>
      <c r="CL3364" s="1645"/>
      <c r="CM3364" s="1645"/>
      <c r="CN3364" s="1645"/>
      <c r="CO3364" s="1645"/>
    </row>
    <row r="3365" spans="1:93" s="1136" customFormat="1" ht="15.75" x14ac:dyDescent="0.25">
      <c r="A3365" s="1483" t="s">
        <v>3727</v>
      </c>
      <c r="B3365" s="1641" t="e">
        <f>((3.14*((1.2*(B3348*100)^0.5)/100)^2)/4)*B3348</f>
        <v>#VALUE!</v>
      </c>
      <c r="C3365" s="1407"/>
      <c r="D3365" s="1407"/>
      <c r="E3365" s="1407"/>
      <c r="F3365" s="1407"/>
      <c r="G3365" s="1407"/>
      <c r="H3365" s="1070"/>
      <c r="Q3365" s="1551"/>
      <c r="R3365" s="1551"/>
      <c r="S3365" s="1551"/>
      <c r="T3365" s="1551"/>
      <c r="U3365" s="1551"/>
      <c r="V3365" s="1551"/>
      <c r="W3365" s="1551"/>
      <c r="X3365" s="1551"/>
      <c r="Y3365" s="1551"/>
      <c r="Z3365" s="1551"/>
      <c r="AA3365" s="1645"/>
      <c r="AB3365" s="1645"/>
      <c r="AC3365" s="1645"/>
      <c r="AD3365" s="1645"/>
      <c r="AE3365" s="1645"/>
      <c r="AF3365" s="1645"/>
      <c r="AG3365" s="1645"/>
      <c r="AH3365" s="1645"/>
      <c r="AI3365" s="1645"/>
      <c r="AJ3365" s="1645"/>
      <c r="AK3365" s="1645"/>
      <c r="AL3365" s="1645"/>
      <c r="AM3365" s="1645"/>
      <c r="AN3365" s="1645"/>
      <c r="AO3365" s="1645"/>
      <c r="AP3365" s="1645"/>
      <c r="AQ3365" s="1645"/>
      <c r="AR3365" s="1645"/>
      <c r="AS3365" s="1645"/>
      <c r="AT3365" s="1645"/>
      <c r="AU3365" s="1645"/>
      <c r="AV3365" s="1645"/>
      <c r="AW3365" s="1645"/>
      <c r="AX3365" s="1645"/>
      <c r="AY3365" s="1645"/>
      <c r="AZ3365" s="1645"/>
      <c r="BA3365" s="1645"/>
      <c r="BB3365" s="1645"/>
      <c r="BC3365" s="1645"/>
      <c r="BD3365" s="1645"/>
      <c r="BE3365" s="1645"/>
      <c r="BF3365" s="1645"/>
      <c r="BG3365" s="1645"/>
      <c r="BH3365" s="1645"/>
      <c r="BI3365" s="1645"/>
      <c r="BJ3365" s="1645"/>
      <c r="BK3365" s="1645"/>
      <c r="BL3365" s="1645"/>
      <c r="BM3365" s="1645"/>
      <c r="BN3365" s="1645"/>
      <c r="BO3365" s="1645"/>
      <c r="BP3365" s="1645"/>
      <c r="BQ3365" s="1645"/>
      <c r="BR3365" s="1645"/>
      <c r="BS3365" s="1645"/>
      <c r="BT3365" s="1645"/>
      <c r="BU3365" s="1645"/>
      <c r="BV3365" s="1645"/>
      <c r="BW3365" s="1645"/>
      <c r="BX3365" s="1645"/>
      <c r="BY3365" s="1645"/>
      <c r="BZ3365" s="1645"/>
      <c r="CA3365" s="1645"/>
      <c r="CB3365" s="1645"/>
      <c r="CC3365" s="1645"/>
      <c r="CD3365" s="1645"/>
      <c r="CE3365" s="1645"/>
      <c r="CF3365" s="1645"/>
      <c r="CG3365" s="1645"/>
      <c r="CH3365" s="1645"/>
      <c r="CI3365" s="1645"/>
      <c r="CJ3365" s="1645"/>
      <c r="CK3365" s="1645"/>
      <c r="CL3365" s="1645"/>
      <c r="CM3365" s="1645"/>
      <c r="CN3365" s="1645"/>
      <c r="CO3365" s="1645"/>
    </row>
    <row r="3366" spans="1:93" s="1136" customFormat="1" ht="15.75" x14ac:dyDescent="0.25">
      <c r="A3366" s="1483" t="s">
        <v>700</v>
      </c>
      <c r="B3366" s="1641" t="e">
        <f>B3347/B3365</f>
        <v>#VALUE!</v>
      </c>
      <c r="C3366" s="1407"/>
      <c r="D3366" s="1407"/>
      <c r="E3366" s="1407"/>
      <c r="F3366" s="1407"/>
      <c r="G3366" s="1407"/>
      <c r="H3366" s="1070"/>
      <c r="Q3366" s="1551"/>
      <c r="R3366" s="1551"/>
      <c r="S3366" s="1551"/>
      <c r="T3366" s="1551"/>
      <c r="U3366" s="1551"/>
      <c r="V3366" s="1551"/>
      <c r="W3366" s="1551"/>
      <c r="X3366" s="1551"/>
      <c r="Y3366" s="1551"/>
      <c r="Z3366" s="1551"/>
      <c r="AA3366" s="1645"/>
      <c r="AB3366" s="1645"/>
      <c r="AC3366" s="1645"/>
      <c r="AD3366" s="1645"/>
      <c r="AE3366" s="1645"/>
      <c r="AF3366" s="1645"/>
      <c r="AG3366" s="1645"/>
      <c r="AH3366" s="1645"/>
      <c r="AI3366" s="1645"/>
      <c r="AJ3366" s="1645"/>
      <c r="AK3366" s="1645"/>
      <c r="AL3366" s="1645"/>
      <c r="AM3366" s="1645"/>
      <c r="AN3366" s="1645"/>
      <c r="AO3366" s="1645"/>
      <c r="AP3366" s="1645"/>
      <c r="AQ3366" s="1645"/>
      <c r="AR3366" s="1645"/>
      <c r="AS3366" s="1645"/>
      <c r="AT3366" s="1645"/>
      <c r="AU3366" s="1645"/>
      <c r="AV3366" s="1645"/>
      <c r="AW3366" s="1645"/>
      <c r="AX3366" s="1645"/>
      <c r="AY3366" s="1645"/>
      <c r="AZ3366" s="1645"/>
      <c r="BA3366" s="1645"/>
      <c r="BB3366" s="1645"/>
      <c r="BC3366" s="1645"/>
      <c r="BD3366" s="1645"/>
      <c r="BE3366" s="1645"/>
      <c r="BF3366" s="1645"/>
      <c r="BG3366" s="1645"/>
      <c r="BH3366" s="1645"/>
      <c r="BI3366" s="1645"/>
      <c r="BJ3366" s="1645"/>
      <c r="BK3366" s="1645"/>
      <c r="BL3366" s="1645"/>
      <c r="BM3366" s="1645"/>
      <c r="BN3366" s="1645"/>
      <c r="BO3366" s="1645"/>
      <c r="BP3366" s="1645"/>
      <c r="BQ3366" s="1645"/>
      <c r="BR3366" s="1645"/>
      <c r="BS3366" s="1645"/>
      <c r="BT3366" s="1645"/>
      <c r="BU3366" s="1645"/>
      <c r="BV3366" s="1645"/>
      <c r="BW3366" s="1645"/>
      <c r="BX3366" s="1645"/>
      <c r="BY3366" s="1645"/>
      <c r="BZ3366" s="1645"/>
      <c r="CA3366" s="1645"/>
      <c r="CB3366" s="1645"/>
      <c r="CC3366" s="1645"/>
      <c r="CD3366" s="1645"/>
      <c r="CE3366" s="1645"/>
      <c r="CF3366" s="1645"/>
      <c r="CG3366" s="1645"/>
      <c r="CH3366" s="1645"/>
      <c r="CI3366" s="1645"/>
      <c r="CJ3366" s="1645"/>
      <c r="CK3366" s="1645"/>
      <c r="CL3366" s="1645"/>
      <c r="CM3366" s="1645"/>
      <c r="CN3366" s="1645"/>
      <c r="CO3366" s="1645"/>
    </row>
    <row r="3367" spans="1:93" s="1136" customFormat="1" ht="15.75" x14ac:dyDescent="0.25">
      <c r="A3367" s="1483" t="s">
        <v>701</v>
      </c>
      <c r="B3367" s="1641" t="e">
        <f>B3366/B3364</f>
        <v>#VALUE!</v>
      </c>
      <c r="C3367" s="1407"/>
      <c r="D3367" s="1407"/>
      <c r="E3367" s="1407"/>
      <c r="F3367" s="1407"/>
      <c r="G3367" s="1407"/>
      <c r="H3367" s="1070"/>
      <c r="Q3367" s="1551"/>
      <c r="R3367" s="1551"/>
      <c r="S3367" s="1551"/>
      <c r="T3367" s="1551"/>
      <c r="U3367" s="1551"/>
      <c r="V3367" s="1551"/>
      <c r="W3367" s="1551"/>
      <c r="X3367" s="1551"/>
      <c r="Y3367" s="1551"/>
      <c r="Z3367" s="1551"/>
      <c r="AA3367" s="1645"/>
      <c r="AB3367" s="1645"/>
      <c r="AC3367" s="1645"/>
      <c r="AD3367" s="1645"/>
      <c r="AE3367" s="1645"/>
      <c r="AF3367" s="1645"/>
      <c r="AG3367" s="1645"/>
      <c r="AH3367" s="1645"/>
      <c r="AI3367" s="1645"/>
      <c r="AJ3367" s="1645"/>
      <c r="AK3367" s="1645"/>
      <c r="AL3367" s="1645"/>
      <c r="AM3367" s="1645"/>
      <c r="AN3367" s="1645"/>
      <c r="AO3367" s="1645"/>
      <c r="AP3367" s="1645"/>
      <c r="AQ3367" s="1645"/>
      <c r="AR3367" s="1645"/>
      <c r="AS3367" s="1645"/>
      <c r="AT3367" s="1645"/>
      <c r="AU3367" s="1645"/>
      <c r="AV3367" s="1645"/>
      <c r="AW3367" s="1645"/>
      <c r="AX3367" s="1645"/>
      <c r="AY3367" s="1645"/>
      <c r="AZ3367" s="1645"/>
      <c r="BA3367" s="1645"/>
      <c r="BB3367" s="1645"/>
      <c r="BC3367" s="1645"/>
      <c r="BD3367" s="1645"/>
      <c r="BE3367" s="1645"/>
      <c r="BF3367" s="1645"/>
      <c r="BG3367" s="1645"/>
      <c r="BH3367" s="1645"/>
      <c r="BI3367" s="1645"/>
      <c r="BJ3367" s="1645"/>
      <c r="BK3367" s="1645"/>
      <c r="BL3367" s="1645"/>
      <c r="BM3367" s="1645"/>
      <c r="BN3367" s="1645"/>
      <c r="BO3367" s="1645"/>
      <c r="BP3367" s="1645"/>
      <c r="BQ3367" s="1645"/>
      <c r="BR3367" s="1645"/>
      <c r="BS3367" s="1645"/>
      <c r="BT3367" s="1645"/>
      <c r="BU3367" s="1645"/>
      <c r="BV3367" s="1645"/>
      <c r="BW3367" s="1645"/>
      <c r="BX3367" s="1645"/>
      <c r="BY3367" s="1645"/>
      <c r="BZ3367" s="1645"/>
      <c r="CA3367" s="1645"/>
      <c r="CB3367" s="1645"/>
      <c r="CC3367" s="1645"/>
      <c r="CD3367" s="1645"/>
      <c r="CE3367" s="1645"/>
      <c r="CF3367" s="1645"/>
      <c r="CG3367" s="1645"/>
      <c r="CH3367" s="1645"/>
      <c r="CI3367" s="1645"/>
      <c r="CJ3367" s="1645"/>
      <c r="CK3367" s="1645"/>
      <c r="CL3367" s="1645"/>
      <c r="CM3367" s="1645"/>
      <c r="CN3367" s="1645"/>
      <c r="CO3367" s="1645"/>
    </row>
    <row r="3368" spans="1:93" s="1136" customFormat="1" ht="15.75" x14ac:dyDescent="0.25">
      <c r="A3368" s="1483" t="s">
        <v>4429</v>
      </c>
      <c r="B3368" s="1641">
        <f>2.2*(IF(B3362&lt;51,32,IF(B3362&lt;71,25,21)))</f>
        <v>70.400000000000006</v>
      </c>
      <c r="C3368" s="1407"/>
      <c r="D3368" s="1407"/>
      <c r="E3368" s="1407"/>
      <c r="F3368" s="1407"/>
      <c r="G3368" s="1407"/>
      <c r="H3368" s="1070"/>
      <c r="Q3368" s="1551"/>
      <c r="R3368" s="1551"/>
      <c r="S3368" s="1551"/>
      <c r="T3368" s="1551"/>
      <c r="U3368" s="1551"/>
      <c r="V3368" s="1551"/>
      <c r="W3368" s="1551"/>
      <c r="X3368" s="1551"/>
      <c r="Y3368" s="1551"/>
      <c r="Z3368" s="1551"/>
      <c r="AA3368" s="1645"/>
      <c r="AB3368" s="1645"/>
      <c r="AC3368" s="1645"/>
      <c r="AD3368" s="1645"/>
      <c r="AE3368" s="1645"/>
      <c r="AF3368" s="1645"/>
      <c r="AG3368" s="1645"/>
      <c r="AH3368" s="1645"/>
      <c r="AI3368" s="1645"/>
      <c r="AJ3368" s="1645"/>
      <c r="AK3368" s="1645"/>
      <c r="AL3368" s="1645"/>
      <c r="AM3368" s="1645"/>
      <c r="AN3368" s="1645"/>
      <c r="AO3368" s="1645"/>
      <c r="AP3368" s="1645"/>
      <c r="AQ3368" s="1645"/>
      <c r="AR3368" s="1645"/>
      <c r="AS3368" s="1645"/>
      <c r="AT3368" s="1645"/>
      <c r="AU3368" s="1645"/>
      <c r="AV3368" s="1645"/>
      <c r="AW3368" s="1645"/>
      <c r="AX3368" s="1645"/>
      <c r="AY3368" s="1645"/>
      <c r="AZ3368" s="1645"/>
      <c r="BA3368" s="1645"/>
      <c r="BB3368" s="1645"/>
      <c r="BC3368" s="1645"/>
      <c r="BD3368" s="1645"/>
      <c r="BE3368" s="1645"/>
      <c r="BF3368" s="1645"/>
      <c r="BG3368" s="1645"/>
      <c r="BH3368" s="1645"/>
      <c r="BI3368" s="1645"/>
      <c r="BJ3368" s="1645"/>
      <c r="BK3368" s="1645"/>
      <c r="BL3368" s="1645"/>
      <c r="BM3368" s="1645"/>
      <c r="BN3368" s="1645"/>
      <c r="BO3368" s="1645"/>
      <c r="BP3368" s="1645"/>
      <c r="BQ3368" s="1645"/>
      <c r="BR3368" s="1645"/>
      <c r="BS3368" s="1645"/>
      <c r="BT3368" s="1645"/>
      <c r="BU3368" s="1645"/>
      <c r="BV3368" s="1645"/>
      <c r="BW3368" s="1645"/>
      <c r="BX3368" s="1645"/>
      <c r="BY3368" s="1645"/>
      <c r="BZ3368" s="1645"/>
      <c r="CA3368" s="1645"/>
      <c r="CB3368" s="1645"/>
      <c r="CC3368" s="1645"/>
      <c r="CD3368" s="1645"/>
      <c r="CE3368" s="1645"/>
      <c r="CF3368" s="1645"/>
      <c r="CG3368" s="1645"/>
      <c r="CH3368" s="1645"/>
      <c r="CI3368" s="1645"/>
      <c r="CJ3368" s="1645"/>
      <c r="CK3368" s="1645"/>
      <c r="CL3368" s="1645"/>
      <c r="CM3368" s="1645"/>
      <c r="CN3368" s="1645"/>
      <c r="CO3368" s="1645"/>
    </row>
    <row r="3369" spans="1:93" s="1136" customFormat="1" ht="15.75" x14ac:dyDescent="0.25">
      <c r="A3369" s="1483" t="s">
        <v>1855</v>
      </c>
      <c r="B3369" s="1641" t="e">
        <f>B3363/B3368</f>
        <v>#VALUE!</v>
      </c>
      <c r="C3369" s="1407"/>
      <c r="D3369" s="1407"/>
      <c r="E3369" s="1407"/>
      <c r="F3369" s="1407"/>
      <c r="G3369" s="1407"/>
      <c r="H3369" s="1070"/>
      <c r="Q3369" s="1551"/>
      <c r="R3369" s="1551"/>
      <c r="S3369" s="1551"/>
      <c r="T3369" s="1551"/>
      <c r="U3369" s="1551"/>
      <c r="V3369" s="1551"/>
      <c r="W3369" s="1551"/>
      <c r="X3369" s="1551"/>
      <c r="Y3369" s="1551"/>
      <c r="Z3369" s="1551"/>
      <c r="AA3369" s="1645"/>
      <c r="AB3369" s="1645"/>
      <c r="AC3369" s="1645"/>
      <c r="AD3369" s="1645"/>
      <c r="AE3369" s="1645"/>
      <c r="AF3369" s="1645"/>
      <c r="AG3369" s="1645"/>
      <c r="AH3369" s="1645"/>
      <c r="AI3369" s="1645"/>
      <c r="AJ3369" s="1645"/>
      <c r="AK3369" s="1645"/>
      <c r="AL3369" s="1645"/>
      <c r="AM3369" s="1645"/>
      <c r="AN3369" s="1645"/>
      <c r="AO3369" s="1645"/>
      <c r="AP3369" s="1645"/>
      <c r="AQ3369" s="1645"/>
      <c r="AR3369" s="1645"/>
      <c r="AS3369" s="1645"/>
      <c r="AT3369" s="1645"/>
      <c r="AU3369" s="1645"/>
      <c r="AV3369" s="1645"/>
      <c r="AW3369" s="1645"/>
      <c r="AX3369" s="1645"/>
      <c r="AY3369" s="1645"/>
      <c r="AZ3369" s="1645"/>
      <c r="BA3369" s="1645"/>
      <c r="BB3369" s="1645"/>
      <c r="BC3369" s="1645"/>
      <c r="BD3369" s="1645"/>
      <c r="BE3369" s="1645"/>
      <c r="BF3369" s="1645"/>
      <c r="BG3369" s="1645"/>
      <c r="BH3369" s="1645"/>
      <c r="BI3369" s="1645"/>
      <c r="BJ3369" s="1645"/>
      <c r="BK3369" s="1645"/>
      <c r="BL3369" s="1645"/>
      <c r="BM3369" s="1645"/>
      <c r="BN3369" s="1645"/>
      <c r="BO3369" s="1645"/>
      <c r="BP3369" s="1645"/>
      <c r="BQ3369" s="1645"/>
      <c r="BR3369" s="1645"/>
      <c r="BS3369" s="1645"/>
      <c r="BT3369" s="1645"/>
      <c r="BU3369" s="1645"/>
      <c r="BV3369" s="1645"/>
      <c r="BW3369" s="1645"/>
      <c r="BX3369" s="1645"/>
      <c r="BY3369" s="1645"/>
      <c r="BZ3369" s="1645"/>
      <c r="CA3369" s="1645"/>
      <c r="CB3369" s="1645"/>
      <c r="CC3369" s="1645"/>
      <c r="CD3369" s="1645"/>
      <c r="CE3369" s="1645"/>
      <c r="CF3369" s="1645"/>
      <c r="CG3369" s="1645"/>
      <c r="CH3369" s="1645"/>
      <c r="CI3369" s="1645"/>
      <c r="CJ3369" s="1645"/>
      <c r="CK3369" s="1645"/>
      <c r="CL3369" s="1645"/>
      <c r="CM3369" s="1645"/>
      <c r="CN3369" s="1645"/>
      <c r="CO3369" s="1645"/>
    </row>
    <row r="3370" spans="1:93" s="1136" customFormat="1" ht="15.75" x14ac:dyDescent="0.25">
      <c r="A3370" s="1391"/>
      <c r="B3370" s="1046"/>
      <c r="C3370" s="1070"/>
      <c r="D3370" s="1070"/>
      <c r="E3370" s="1070"/>
      <c r="F3370" s="1070"/>
      <c r="G3370" s="1070"/>
      <c r="H3370" s="1070"/>
      <c r="Q3370" s="1551"/>
      <c r="R3370" s="1551"/>
      <c r="S3370" s="1551"/>
      <c r="T3370" s="1551"/>
      <c r="U3370" s="1551"/>
      <c r="V3370" s="1551"/>
      <c r="W3370" s="1551"/>
      <c r="X3370" s="1551"/>
      <c r="Y3370" s="1551"/>
      <c r="Z3370" s="1551"/>
      <c r="AA3370" s="1645"/>
      <c r="AB3370" s="1645"/>
      <c r="AC3370" s="1645"/>
      <c r="AD3370" s="1645"/>
      <c r="AE3370" s="1645"/>
      <c r="AF3370" s="1645"/>
      <c r="AG3370" s="1645"/>
      <c r="AH3370" s="1645"/>
      <c r="AI3370" s="1645"/>
      <c r="AJ3370" s="1645"/>
      <c r="AK3370" s="1645"/>
      <c r="AL3370" s="1645"/>
      <c r="AM3370" s="1645"/>
      <c r="AN3370" s="1645"/>
      <c r="AO3370" s="1645"/>
      <c r="AP3370" s="1645"/>
      <c r="AQ3370" s="1645"/>
      <c r="AR3370" s="1645"/>
      <c r="AS3370" s="1645"/>
      <c r="AT3370" s="1645"/>
      <c r="AU3370" s="1645"/>
      <c r="AV3370" s="1645"/>
      <c r="AW3370" s="1645"/>
      <c r="AX3370" s="1645"/>
      <c r="AY3370" s="1645"/>
      <c r="AZ3370" s="1645"/>
      <c r="BA3370" s="1645"/>
      <c r="BB3370" s="1645"/>
      <c r="BC3370" s="1645"/>
      <c r="BD3370" s="1645"/>
      <c r="BE3370" s="1645"/>
      <c r="BF3370" s="1645"/>
      <c r="BG3370" s="1645"/>
      <c r="BH3370" s="1645"/>
      <c r="BI3370" s="1645"/>
      <c r="BJ3370" s="1645"/>
      <c r="BK3370" s="1645"/>
      <c r="BL3370" s="1645"/>
      <c r="BM3370" s="1645"/>
      <c r="BN3370" s="1645"/>
      <c r="BO3370" s="1645"/>
      <c r="BP3370" s="1645"/>
      <c r="BQ3370" s="1645"/>
      <c r="BR3370" s="1645"/>
      <c r="BS3370" s="1645"/>
      <c r="BT3370" s="1645"/>
      <c r="BU3370" s="1645"/>
      <c r="BV3370" s="1645"/>
      <c r="BW3370" s="1645"/>
      <c r="BX3370" s="1645"/>
      <c r="BY3370" s="1645"/>
      <c r="BZ3370" s="1645"/>
      <c r="CA3370" s="1645"/>
      <c r="CB3370" s="1645"/>
      <c r="CC3370" s="1645"/>
      <c r="CD3370" s="1645"/>
      <c r="CE3370" s="1645"/>
      <c r="CF3370" s="1645"/>
      <c r="CG3370" s="1645"/>
      <c r="CH3370" s="1645"/>
      <c r="CI3370" s="1645"/>
      <c r="CJ3370" s="1645"/>
      <c r="CK3370" s="1645"/>
      <c r="CL3370" s="1645"/>
      <c r="CM3370" s="1645"/>
      <c r="CN3370" s="1645"/>
      <c r="CO3370" s="1645"/>
    </row>
    <row r="3371" spans="1:93" s="1136" customFormat="1" ht="15.75" x14ac:dyDescent="0.25">
      <c r="A3371" s="1653" t="s">
        <v>4430</v>
      </c>
      <c r="B3371" s="1641" t="e">
        <f>B3354</f>
        <v>#VALUE!</v>
      </c>
      <c r="C3371" s="1407"/>
      <c r="D3371" s="1407"/>
      <c r="E3371" s="1407"/>
      <c r="F3371" s="1407"/>
      <c r="G3371" s="1407"/>
      <c r="H3371" s="1070"/>
      <c r="Q3371" s="1551"/>
      <c r="R3371" s="1551"/>
      <c r="S3371" s="1551"/>
      <c r="T3371" s="1551"/>
      <c r="U3371" s="1551"/>
      <c r="V3371" s="1551"/>
      <c r="W3371" s="1551"/>
      <c r="X3371" s="1551"/>
      <c r="Y3371" s="1551"/>
      <c r="Z3371" s="1551"/>
      <c r="AA3371" s="1645"/>
      <c r="AB3371" s="1645"/>
      <c r="AC3371" s="1645"/>
      <c r="AD3371" s="1645"/>
      <c r="AE3371" s="1645"/>
      <c r="AF3371" s="1645"/>
      <c r="AG3371" s="1645"/>
      <c r="AH3371" s="1645"/>
      <c r="AI3371" s="1645"/>
      <c r="AJ3371" s="1645"/>
      <c r="AK3371" s="1645"/>
      <c r="AL3371" s="1645"/>
      <c r="AM3371" s="1645"/>
      <c r="AN3371" s="1645"/>
      <c r="AO3371" s="1645"/>
      <c r="AP3371" s="1645"/>
      <c r="AQ3371" s="1645"/>
      <c r="AR3371" s="1645"/>
      <c r="AS3371" s="1645"/>
      <c r="AT3371" s="1645"/>
      <c r="AU3371" s="1645"/>
      <c r="AV3371" s="1645"/>
      <c r="AW3371" s="1645"/>
      <c r="AX3371" s="1645"/>
      <c r="AY3371" s="1645"/>
      <c r="AZ3371" s="1645"/>
      <c r="BA3371" s="1645"/>
      <c r="BB3371" s="1645"/>
      <c r="BC3371" s="1645"/>
      <c r="BD3371" s="1645"/>
      <c r="BE3371" s="1645"/>
      <c r="BF3371" s="1645"/>
      <c r="BG3371" s="1645"/>
      <c r="BH3371" s="1645"/>
      <c r="BI3371" s="1645"/>
      <c r="BJ3371" s="1645"/>
      <c r="BK3371" s="1645"/>
      <c r="BL3371" s="1645"/>
      <c r="BM3371" s="1645"/>
      <c r="BN3371" s="1645"/>
      <c r="BO3371" s="1645"/>
      <c r="BP3371" s="1645"/>
      <c r="BQ3371" s="1645"/>
      <c r="BR3371" s="1645"/>
      <c r="BS3371" s="1645"/>
      <c r="BT3371" s="1645"/>
      <c r="BU3371" s="1645"/>
      <c r="BV3371" s="1645"/>
      <c r="BW3371" s="1645"/>
      <c r="BX3371" s="1645"/>
      <c r="BY3371" s="1645"/>
      <c r="BZ3371" s="1645"/>
      <c r="CA3371" s="1645"/>
      <c r="CB3371" s="1645"/>
      <c r="CC3371" s="1645"/>
      <c r="CD3371" s="1645"/>
      <c r="CE3371" s="1645"/>
      <c r="CF3371" s="1645"/>
      <c r="CG3371" s="1645"/>
      <c r="CH3371" s="1645"/>
      <c r="CI3371" s="1645"/>
      <c r="CJ3371" s="1645"/>
      <c r="CK3371" s="1645"/>
      <c r="CL3371" s="1645"/>
      <c r="CM3371" s="1645"/>
      <c r="CN3371" s="1645"/>
      <c r="CO3371" s="1645"/>
    </row>
    <row r="3372" spans="1:93" s="1136" customFormat="1" ht="15.75" x14ac:dyDescent="0.25">
      <c r="A3372" s="1483" t="s">
        <v>4431</v>
      </c>
      <c r="B3372" s="1654">
        <v>0.8</v>
      </c>
      <c r="C3372" s="1655"/>
      <c r="D3372" s="1655"/>
      <c r="E3372" s="1655"/>
      <c r="F3372" s="1655"/>
      <c r="G3372" s="1655"/>
      <c r="H3372" s="1070"/>
      <c r="Q3372" s="1551"/>
      <c r="R3372" s="1551"/>
      <c r="S3372" s="1551"/>
      <c r="T3372" s="1551"/>
      <c r="U3372" s="1551"/>
      <c r="V3372" s="1551"/>
      <c r="W3372" s="1551"/>
      <c r="X3372" s="1551"/>
      <c r="Y3372" s="1551"/>
      <c r="Z3372" s="1551"/>
      <c r="AA3372" s="1645"/>
      <c r="AB3372" s="1645"/>
      <c r="AC3372" s="1645"/>
      <c r="AD3372" s="1645"/>
      <c r="AE3372" s="1645"/>
      <c r="AF3372" s="1645"/>
      <c r="AG3372" s="1645"/>
      <c r="AH3372" s="1645"/>
      <c r="AI3372" s="1645"/>
      <c r="AJ3372" s="1645"/>
      <c r="AK3372" s="1645"/>
      <c r="AL3372" s="1645"/>
      <c r="AM3372" s="1645"/>
      <c r="AN3372" s="1645"/>
      <c r="AO3372" s="1645"/>
      <c r="AP3372" s="1645"/>
      <c r="AQ3372" s="1645"/>
      <c r="AR3372" s="1645"/>
      <c r="AS3372" s="1645"/>
      <c r="AT3372" s="1645"/>
      <c r="AU3372" s="1645"/>
      <c r="AV3372" s="1645"/>
      <c r="AW3372" s="1645"/>
      <c r="AX3372" s="1645"/>
      <c r="AY3372" s="1645"/>
      <c r="AZ3372" s="1645"/>
      <c r="BA3372" s="1645"/>
      <c r="BB3372" s="1645"/>
      <c r="BC3372" s="1645"/>
      <c r="BD3372" s="1645"/>
      <c r="BE3372" s="1645"/>
      <c r="BF3372" s="1645"/>
      <c r="BG3372" s="1645"/>
      <c r="BH3372" s="1645"/>
      <c r="BI3372" s="1645"/>
      <c r="BJ3372" s="1645"/>
      <c r="BK3372" s="1645"/>
      <c r="BL3372" s="1645"/>
      <c r="BM3372" s="1645"/>
      <c r="BN3372" s="1645"/>
      <c r="BO3372" s="1645"/>
      <c r="BP3372" s="1645"/>
      <c r="BQ3372" s="1645"/>
      <c r="BR3372" s="1645"/>
      <c r="BS3372" s="1645"/>
      <c r="BT3372" s="1645"/>
      <c r="BU3372" s="1645"/>
      <c r="BV3372" s="1645"/>
      <c r="BW3372" s="1645"/>
      <c r="BX3372" s="1645"/>
      <c r="BY3372" s="1645"/>
      <c r="BZ3372" s="1645"/>
      <c r="CA3372" s="1645"/>
      <c r="CB3372" s="1645"/>
      <c r="CC3372" s="1645"/>
      <c r="CD3372" s="1645"/>
      <c r="CE3372" s="1645"/>
      <c r="CF3372" s="1645"/>
      <c r="CG3372" s="1645"/>
      <c r="CH3372" s="1645"/>
      <c r="CI3372" s="1645"/>
      <c r="CJ3372" s="1645"/>
      <c r="CK3372" s="1645"/>
      <c r="CL3372" s="1645"/>
      <c r="CM3372" s="1645"/>
      <c r="CN3372" s="1645"/>
      <c r="CO3372" s="1645"/>
    </row>
    <row r="3373" spans="1:93" s="1136" customFormat="1" ht="15.75" x14ac:dyDescent="0.25">
      <c r="A3373" s="1483" t="s">
        <v>4432</v>
      </c>
      <c r="B3373" s="1641" t="e">
        <f>B3371/(3*B3372)</f>
        <v>#VALUE!</v>
      </c>
      <c r="C3373" s="1407"/>
      <c r="D3373" s="1407"/>
      <c r="E3373" s="1407"/>
      <c r="F3373" s="1407"/>
      <c r="G3373" s="1407"/>
      <c r="H3373" s="1070"/>
      <c r="Q3373" s="1551"/>
      <c r="R3373" s="1551"/>
      <c r="S3373" s="1551"/>
      <c r="T3373" s="1551"/>
      <c r="U3373" s="1551"/>
      <c r="V3373" s="1551"/>
      <c r="W3373" s="1551"/>
      <c r="X3373" s="1551"/>
      <c r="Y3373" s="1551"/>
      <c r="Z3373" s="1551"/>
      <c r="AA3373" s="1645"/>
      <c r="AB3373" s="1645"/>
      <c r="AC3373" s="1645"/>
      <c r="AD3373" s="1645"/>
      <c r="AE3373" s="1645"/>
      <c r="AF3373" s="1645"/>
      <c r="AG3373" s="1645"/>
      <c r="AH3373" s="1645"/>
      <c r="AI3373" s="1645"/>
      <c r="AJ3373" s="1645"/>
      <c r="AK3373" s="1645"/>
      <c r="AL3373" s="1645"/>
      <c r="AM3373" s="1645"/>
      <c r="AN3373" s="1645"/>
      <c r="AO3373" s="1645"/>
      <c r="AP3373" s="1645"/>
      <c r="AQ3373" s="1645"/>
      <c r="AR3373" s="1645"/>
      <c r="AS3373" s="1645"/>
      <c r="AT3373" s="1645"/>
      <c r="AU3373" s="1645"/>
      <c r="AV3373" s="1645"/>
      <c r="AW3373" s="1645"/>
      <c r="AX3373" s="1645"/>
      <c r="AY3373" s="1645"/>
      <c r="AZ3373" s="1645"/>
      <c r="BA3373" s="1645"/>
      <c r="BB3373" s="1645"/>
      <c r="BC3373" s="1645"/>
      <c r="BD3373" s="1645"/>
      <c r="BE3373" s="1645"/>
      <c r="BF3373" s="1645"/>
      <c r="BG3373" s="1645"/>
      <c r="BH3373" s="1645"/>
      <c r="BI3373" s="1645"/>
      <c r="BJ3373" s="1645"/>
      <c r="BK3373" s="1645"/>
      <c r="BL3373" s="1645"/>
      <c r="BM3373" s="1645"/>
      <c r="BN3373" s="1645"/>
      <c r="BO3373" s="1645"/>
      <c r="BP3373" s="1645"/>
      <c r="BQ3373" s="1645"/>
      <c r="BR3373" s="1645"/>
      <c r="BS3373" s="1645"/>
      <c r="BT3373" s="1645"/>
      <c r="BU3373" s="1645"/>
      <c r="BV3373" s="1645"/>
      <c r="BW3373" s="1645"/>
      <c r="BX3373" s="1645"/>
      <c r="BY3373" s="1645"/>
      <c r="BZ3373" s="1645"/>
      <c r="CA3373" s="1645"/>
      <c r="CB3373" s="1645"/>
      <c r="CC3373" s="1645"/>
      <c r="CD3373" s="1645"/>
      <c r="CE3373" s="1645"/>
      <c r="CF3373" s="1645"/>
      <c r="CG3373" s="1645"/>
      <c r="CH3373" s="1645"/>
      <c r="CI3373" s="1645"/>
      <c r="CJ3373" s="1645"/>
      <c r="CK3373" s="1645"/>
      <c r="CL3373" s="1645"/>
      <c r="CM3373" s="1645"/>
      <c r="CN3373" s="1645"/>
      <c r="CO3373" s="1645"/>
    </row>
    <row r="3374" spans="1:93" s="1136" customFormat="1" ht="15.75" x14ac:dyDescent="0.25">
      <c r="A3374" s="1483" t="s">
        <v>4433</v>
      </c>
      <c r="B3374" s="1641">
        <f>2.2*(IF(B3362&lt;51,32,IF(B3362&lt;71,25,21)))</f>
        <v>70.400000000000006</v>
      </c>
      <c r="C3374" s="1407"/>
      <c r="D3374" s="1407"/>
      <c r="E3374" s="1407"/>
      <c r="F3374" s="1407"/>
      <c r="G3374" s="1407"/>
      <c r="H3374" s="1070"/>
      <c r="Q3374" s="1551"/>
      <c r="R3374" s="1551"/>
      <c r="S3374" s="1551"/>
      <c r="T3374" s="1551"/>
      <c r="U3374" s="1551"/>
      <c r="V3374" s="1551"/>
      <c r="W3374" s="1551"/>
      <c r="X3374" s="1551"/>
      <c r="Y3374" s="1551"/>
      <c r="Z3374" s="1551"/>
      <c r="AA3374" s="1645"/>
      <c r="AB3374" s="1645"/>
      <c r="AC3374" s="1645"/>
      <c r="AD3374" s="1645"/>
      <c r="AE3374" s="1645"/>
      <c r="AF3374" s="1645"/>
      <c r="AG3374" s="1645"/>
      <c r="AH3374" s="1645"/>
      <c r="AI3374" s="1645"/>
      <c r="AJ3374" s="1645"/>
      <c r="AK3374" s="1645"/>
      <c r="AL3374" s="1645"/>
      <c r="AM3374" s="1645"/>
      <c r="AN3374" s="1645"/>
      <c r="AO3374" s="1645"/>
      <c r="AP3374" s="1645"/>
      <c r="AQ3374" s="1645"/>
      <c r="AR3374" s="1645"/>
      <c r="AS3374" s="1645"/>
      <c r="AT3374" s="1645"/>
      <c r="AU3374" s="1645"/>
      <c r="AV3374" s="1645"/>
      <c r="AW3374" s="1645"/>
      <c r="AX3374" s="1645"/>
      <c r="AY3374" s="1645"/>
      <c r="AZ3374" s="1645"/>
      <c r="BA3374" s="1645"/>
      <c r="BB3374" s="1645"/>
      <c r="BC3374" s="1645"/>
      <c r="BD3374" s="1645"/>
      <c r="BE3374" s="1645"/>
      <c r="BF3374" s="1645"/>
      <c r="BG3374" s="1645"/>
      <c r="BH3374" s="1645"/>
      <c r="BI3374" s="1645"/>
      <c r="BJ3374" s="1645"/>
      <c r="BK3374" s="1645"/>
      <c r="BL3374" s="1645"/>
      <c r="BM3374" s="1645"/>
      <c r="BN3374" s="1645"/>
      <c r="BO3374" s="1645"/>
      <c r="BP3374" s="1645"/>
      <c r="BQ3374" s="1645"/>
      <c r="BR3374" s="1645"/>
      <c r="BS3374" s="1645"/>
      <c r="BT3374" s="1645"/>
      <c r="BU3374" s="1645"/>
      <c r="BV3374" s="1645"/>
      <c r="BW3374" s="1645"/>
      <c r="BX3374" s="1645"/>
      <c r="BY3374" s="1645"/>
      <c r="BZ3374" s="1645"/>
      <c r="CA3374" s="1645"/>
      <c r="CB3374" s="1645"/>
      <c r="CC3374" s="1645"/>
      <c r="CD3374" s="1645"/>
      <c r="CE3374" s="1645"/>
      <c r="CF3374" s="1645"/>
      <c r="CG3374" s="1645"/>
      <c r="CH3374" s="1645"/>
      <c r="CI3374" s="1645"/>
      <c r="CJ3374" s="1645"/>
      <c r="CK3374" s="1645"/>
      <c r="CL3374" s="1645"/>
      <c r="CM3374" s="1645"/>
      <c r="CN3374" s="1645"/>
      <c r="CO3374" s="1645"/>
    </row>
    <row r="3375" spans="1:93" s="1136" customFormat="1" ht="15.75" x14ac:dyDescent="0.25">
      <c r="A3375" s="1483" t="s">
        <v>1855</v>
      </c>
      <c r="B3375" s="1641" t="e">
        <f>B3373/B3374</f>
        <v>#VALUE!</v>
      </c>
      <c r="C3375" s="1407"/>
      <c r="D3375" s="1407"/>
      <c r="E3375" s="1407"/>
      <c r="F3375" s="1407"/>
      <c r="G3375" s="1407"/>
      <c r="H3375" s="1070"/>
      <c r="Q3375" s="1551"/>
      <c r="R3375" s="1551"/>
      <c r="S3375" s="1551"/>
      <c r="T3375" s="1551"/>
      <c r="U3375" s="1551"/>
      <c r="V3375" s="1551"/>
      <c r="W3375" s="1551"/>
      <c r="X3375" s="1551"/>
      <c r="Y3375" s="1551"/>
      <c r="Z3375" s="1551"/>
      <c r="AA3375" s="1645"/>
      <c r="AB3375" s="1645"/>
      <c r="AC3375" s="1645"/>
      <c r="AD3375" s="1645"/>
      <c r="AE3375" s="1645"/>
      <c r="AF3375" s="1645"/>
      <c r="AG3375" s="1645"/>
      <c r="AH3375" s="1645"/>
      <c r="AI3375" s="1645"/>
      <c r="AJ3375" s="1645"/>
      <c r="AK3375" s="1645"/>
      <c r="AL3375" s="1645"/>
      <c r="AM3375" s="1645"/>
      <c r="AN3375" s="1645"/>
      <c r="AO3375" s="1645"/>
      <c r="AP3375" s="1645"/>
      <c r="AQ3375" s="1645"/>
      <c r="AR3375" s="1645"/>
      <c r="AS3375" s="1645"/>
      <c r="AT3375" s="1645"/>
      <c r="AU3375" s="1645"/>
      <c r="AV3375" s="1645"/>
      <c r="AW3375" s="1645"/>
      <c r="AX3375" s="1645"/>
      <c r="AY3375" s="1645"/>
      <c r="AZ3375" s="1645"/>
      <c r="BA3375" s="1645"/>
      <c r="BB3375" s="1645"/>
      <c r="BC3375" s="1645"/>
      <c r="BD3375" s="1645"/>
      <c r="BE3375" s="1645"/>
      <c r="BF3375" s="1645"/>
      <c r="BG3375" s="1645"/>
      <c r="BH3375" s="1645"/>
      <c r="BI3375" s="1645"/>
      <c r="BJ3375" s="1645"/>
      <c r="BK3375" s="1645"/>
      <c r="BL3375" s="1645"/>
      <c r="BM3375" s="1645"/>
      <c r="BN3375" s="1645"/>
      <c r="BO3375" s="1645"/>
      <c r="BP3375" s="1645"/>
      <c r="BQ3375" s="1645"/>
      <c r="BR3375" s="1645"/>
      <c r="BS3375" s="1645"/>
      <c r="BT3375" s="1645"/>
      <c r="BU3375" s="1645"/>
      <c r="BV3375" s="1645"/>
      <c r="BW3375" s="1645"/>
      <c r="BX3375" s="1645"/>
      <c r="BY3375" s="1645"/>
      <c r="BZ3375" s="1645"/>
      <c r="CA3375" s="1645"/>
      <c r="CB3375" s="1645"/>
      <c r="CC3375" s="1645"/>
      <c r="CD3375" s="1645"/>
      <c r="CE3375" s="1645"/>
      <c r="CF3375" s="1645"/>
      <c r="CG3375" s="1645"/>
      <c r="CH3375" s="1645"/>
      <c r="CI3375" s="1645"/>
      <c r="CJ3375" s="1645"/>
      <c r="CK3375" s="1645"/>
      <c r="CL3375" s="1645"/>
      <c r="CM3375" s="1645"/>
      <c r="CN3375" s="1645"/>
      <c r="CO3375" s="1645"/>
    </row>
    <row r="3376" spans="1:93" s="1136" customFormat="1" ht="15.75" x14ac:dyDescent="0.25">
      <c r="A3376" s="1656" t="s">
        <v>3728</v>
      </c>
      <c r="B3376" s="1641"/>
      <c r="C3376" s="1407"/>
      <c r="D3376" s="1407"/>
      <c r="E3376" s="1407"/>
      <c r="F3376" s="1407"/>
      <c r="G3376" s="1407"/>
      <c r="H3376" s="1070"/>
      <c r="Q3376" s="1551"/>
      <c r="R3376" s="1551"/>
      <c r="S3376" s="1551"/>
      <c r="T3376" s="1551"/>
      <c r="U3376" s="1551"/>
      <c r="V3376" s="1551"/>
      <c r="W3376" s="1551"/>
      <c r="X3376" s="1551"/>
      <c r="Y3376" s="1551"/>
      <c r="Z3376" s="1551"/>
      <c r="AA3376" s="1645"/>
      <c r="AB3376" s="1645"/>
      <c r="AC3376" s="1645"/>
      <c r="AD3376" s="1645"/>
      <c r="AE3376" s="1645"/>
      <c r="AF3376" s="1645"/>
      <c r="AG3376" s="1645"/>
      <c r="AH3376" s="1645"/>
      <c r="AI3376" s="1645"/>
      <c r="AJ3376" s="1645"/>
      <c r="AK3376" s="1645"/>
      <c r="AL3376" s="1645"/>
      <c r="AM3376" s="1645"/>
      <c r="AN3376" s="1645"/>
      <c r="AO3376" s="1645"/>
      <c r="AP3376" s="1645"/>
      <c r="AQ3376" s="1645"/>
      <c r="AR3376" s="1645"/>
      <c r="AS3376" s="1645"/>
      <c r="AT3376" s="1645"/>
      <c r="AU3376" s="1645"/>
      <c r="AV3376" s="1645"/>
      <c r="AW3376" s="1645"/>
      <c r="AX3376" s="1645"/>
      <c r="AY3376" s="1645"/>
      <c r="AZ3376" s="1645"/>
      <c r="BA3376" s="1645"/>
      <c r="BB3376" s="1645"/>
      <c r="BC3376" s="1645"/>
      <c r="BD3376" s="1645"/>
      <c r="BE3376" s="1645"/>
      <c r="BF3376" s="1645"/>
      <c r="BG3376" s="1645"/>
      <c r="BH3376" s="1645"/>
      <c r="BI3376" s="1645"/>
      <c r="BJ3376" s="1645"/>
      <c r="BK3376" s="1645"/>
      <c r="BL3376" s="1645"/>
      <c r="BM3376" s="1645"/>
      <c r="BN3376" s="1645"/>
      <c r="BO3376" s="1645"/>
      <c r="BP3376" s="1645"/>
      <c r="BQ3376" s="1645"/>
      <c r="BR3376" s="1645"/>
      <c r="BS3376" s="1645"/>
      <c r="BT3376" s="1645"/>
      <c r="BU3376" s="1645"/>
      <c r="BV3376" s="1645"/>
      <c r="BW3376" s="1645"/>
      <c r="BX3376" s="1645"/>
      <c r="BY3376" s="1645"/>
      <c r="BZ3376" s="1645"/>
      <c r="CA3376" s="1645"/>
      <c r="CB3376" s="1645"/>
      <c r="CC3376" s="1645"/>
      <c r="CD3376" s="1645"/>
      <c r="CE3376" s="1645"/>
      <c r="CF3376" s="1645"/>
      <c r="CG3376" s="1645"/>
      <c r="CH3376" s="1645"/>
      <c r="CI3376" s="1645"/>
      <c r="CJ3376" s="1645"/>
      <c r="CK3376" s="1645"/>
      <c r="CL3376" s="1645"/>
      <c r="CM3376" s="1645"/>
      <c r="CN3376" s="1645"/>
      <c r="CO3376" s="1645"/>
    </row>
    <row r="3377" spans="1:93" s="1136" customFormat="1" ht="15.75" x14ac:dyDescent="0.25">
      <c r="A3377" s="1483" t="s">
        <v>4432</v>
      </c>
      <c r="B3377" s="1641">
        <f>B3358*2.2/3</f>
        <v>0</v>
      </c>
      <c r="C3377" s="1407"/>
      <c r="D3377" s="1407"/>
      <c r="E3377" s="1407"/>
      <c r="F3377" s="1407"/>
      <c r="G3377" s="1407"/>
      <c r="H3377" s="1070"/>
      <c r="Q3377" s="1551"/>
      <c r="R3377" s="1551"/>
      <c r="S3377" s="1551"/>
      <c r="T3377" s="1551"/>
      <c r="U3377" s="1551"/>
      <c r="V3377" s="1551"/>
      <c r="W3377" s="1551"/>
      <c r="X3377" s="1551"/>
      <c r="Y3377" s="1551"/>
      <c r="Z3377" s="1551"/>
      <c r="AA3377" s="1645"/>
      <c r="AB3377" s="1645"/>
      <c r="AC3377" s="1645"/>
      <c r="AD3377" s="1645"/>
      <c r="AE3377" s="1645"/>
      <c r="AF3377" s="1645"/>
      <c r="AG3377" s="1645"/>
      <c r="AH3377" s="1645"/>
      <c r="AI3377" s="1645"/>
      <c r="AJ3377" s="1645"/>
      <c r="AK3377" s="1645"/>
      <c r="AL3377" s="1645"/>
      <c r="AM3377" s="1645"/>
      <c r="AN3377" s="1645"/>
      <c r="AO3377" s="1645"/>
      <c r="AP3377" s="1645"/>
      <c r="AQ3377" s="1645"/>
      <c r="AR3377" s="1645"/>
      <c r="AS3377" s="1645"/>
      <c r="AT3377" s="1645"/>
      <c r="AU3377" s="1645"/>
      <c r="AV3377" s="1645"/>
      <c r="AW3377" s="1645"/>
      <c r="AX3377" s="1645"/>
      <c r="AY3377" s="1645"/>
      <c r="AZ3377" s="1645"/>
      <c r="BA3377" s="1645"/>
      <c r="BB3377" s="1645"/>
      <c r="BC3377" s="1645"/>
      <c r="BD3377" s="1645"/>
      <c r="BE3377" s="1645"/>
      <c r="BF3377" s="1645"/>
      <c r="BG3377" s="1645"/>
      <c r="BH3377" s="1645"/>
      <c r="BI3377" s="1645"/>
      <c r="BJ3377" s="1645"/>
      <c r="BK3377" s="1645"/>
      <c r="BL3377" s="1645"/>
      <c r="BM3377" s="1645"/>
      <c r="BN3377" s="1645"/>
      <c r="BO3377" s="1645"/>
      <c r="BP3377" s="1645"/>
      <c r="BQ3377" s="1645"/>
      <c r="BR3377" s="1645"/>
      <c r="BS3377" s="1645"/>
      <c r="BT3377" s="1645"/>
      <c r="BU3377" s="1645"/>
      <c r="BV3377" s="1645"/>
      <c r="BW3377" s="1645"/>
      <c r="BX3377" s="1645"/>
      <c r="BY3377" s="1645"/>
      <c r="BZ3377" s="1645"/>
      <c r="CA3377" s="1645"/>
      <c r="CB3377" s="1645"/>
      <c r="CC3377" s="1645"/>
      <c r="CD3377" s="1645"/>
      <c r="CE3377" s="1645"/>
      <c r="CF3377" s="1645"/>
      <c r="CG3377" s="1645"/>
      <c r="CH3377" s="1645"/>
      <c r="CI3377" s="1645"/>
      <c r="CJ3377" s="1645"/>
      <c r="CK3377" s="1645"/>
      <c r="CL3377" s="1645"/>
      <c r="CM3377" s="1645"/>
      <c r="CN3377" s="1645"/>
      <c r="CO3377" s="1645"/>
    </row>
    <row r="3378" spans="1:93" s="1136" customFormat="1" ht="15.75" x14ac:dyDescent="0.25">
      <c r="A3378" s="1483" t="s">
        <v>4433</v>
      </c>
      <c r="B3378" s="1641">
        <f>2.2*(IF(B3362&lt;51,32,IF(B3362&lt;71,25,21)))</f>
        <v>70.400000000000006</v>
      </c>
      <c r="C3378" s="1407"/>
      <c r="D3378" s="1407"/>
      <c r="E3378" s="1407"/>
      <c r="F3378" s="1407"/>
      <c r="G3378" s="1407"/>
      <c r="H3378" s="1070"/>
      <c r="Q3378" s="1551"/>
      <c r="R3378" s="1551"/>
      <c r="S3378" s="1551"/>
      <c r="T3378" s="1551"/>
      <c r="U3378" s="1551"/>
      <c r="V3378" s="1551"/>
      <c r="W3378" s="1551"/>
      <c r="X3378" s="1551"/>
      <c r="Y3378" s="1551"/>
      <c r="Z3378" s="1551"/>
      <c r="AA3378" s="1645"/>
      <c r="AB3378" s="1645"/>
      <c r="AC3378" s="1645"/>
      <c r="AD3378" s="1645"/>
      <c r="AE3378" s="1645"/>
      <c r="AF3378" s="1645"/>
      <c r="AG3378" s="1645"/>
      <c r="AH3378" s="1645"/>
      <c r="AI3378" s="1645"/>
      <c r="AJ3378" s="1645"/>
      <c r="AK3378" s="1645"/>
      <c r="AL3378" s="1645"/>
      <c r="AM3378" s="1645"/>
      <c r="AN3378" s="1645"/>
      <c r="AO3378" s="1645"/>
      <c r="AP3378" s="1645"/>
      <c r="AQ3378" s="1645"/>
      <c r="AR3378" s="1645"/>
      <c r="AS3378" s="1645"/>
      <c r="AT3378" s="1645"/>
      <c r="AU3378" s="1645"/>
      <c r="AV3378" s="1645"/>
      <c r="AW3378" s="1645"/>
      <c r="AX3378" s="1645"/>
      <c r="AY3378" s="1645"/>
      <c r="AZ3378" s="1645"/>
      <c r="BA3378" s="1645"/>
      <c r="BB3378" s="1645"/>
      <c r="BC3378" s="1645"/>
      <c r="BD3378" s="1645"/>
      <c r="BE3378" s="1645"/>
      <c r="BF3378" s="1645"/>
      <c r="BG3378" s="1645"/>
      <c r="BH3378" s="1645"/>
      <c r="BI3378" s="1645"/>
      <c r="BJ3378" s="1645"/>
      <c r="BK3378" s="1645"/>
      <c r="BL3378" s="1645"/>
      <c r="BM3378" s="1645"/>
      <c r="BN3378" s="1645"/>
      <c r="BO3378" s="1645"/>
      <c r="BP3378" s="1645"/>
      <c r="BQ3378" s="1645"/>
      <c r="BR3378" s="1645"/>
      <c r="BS3378" s="1645"/>
      <c r="BT3378" s="1645"/>
      <c r="BU3378" s="1645"/>
      <c r="BV3378" s="1645"/>
      <c r="BW3378" s="1645"/>
      <c r="BX3378" s="1645"/>
      <c r="BY3378" s="1645"/>
      <c r="BZ3378" s="1645"/>
      <c r="CA3378" s="1645"/>
      <c r="CB3378" s="1645"/>
      <c r="CC3378" s="1645"/>
      <c r="CD3378" s="1645"/>
      <c r="CE3378" s="1645"/>
      <c r="CF3378" s="1645"/>
      <c r="CG3378" s="1645"/>
      <c r="CH3378" s="1645"/>
      <c r="CI3378" s="1645"/>
      <c r="CJ3378" s="1645"/>
      <c r="CK3378" s="1645"/>
      <c r="CL3378" s="1645"/>
      <c r="CM3378" s="1645"/>
      <c r="CN3378" s="1645"/>
      <c r="CO3378" s="1645"/>
    </row>
    <row r="3379" spans="1:93" s="1136" customFormat="1" ht="15.75" x14ac:dyDescent="0.25">
      <c r="A3379" s="1483" t="s">
        <v>1855</v>
      </c>
      <c r="B3379" s="1641">
        <f>B3377/B3378</f>
        <v>0</v>
      </c>
      <c r="C3379" s="1407"/>
      <c r="D3379" s="1407"/>
      <c r="E3379" s="1407"/>
      <c r="F3379" s="1407"/>
      <c r="G3379" s="1407"/>
      <c r="H3379" s="1070"/>
      <c r="Q3379" s="1551"/>
      <c r="R3379" s="1551"/>
      <c r="S3379" s="1551"/>
      <c r="T3379" s="1551"/>
      <c r="U3379" s="1551"/>
      <c r="V3379" s="1551"/>
      <c r="W3379" s="1551"/>
      <c r="X3379" s="1551"/>
      <c r="Y3379" s="1551"/>
      <c r="Z3379" s="1551"/>
      <c r="AA3379" s="1645"/>
      <c r="AB3379" s="1645"/>
      <c r="AC3379" s="1645"/>
      <c r="AD3379" s="1645"/>
      <c r="AE3379" s="1645"/>
      <c r="AF3379" s="1645"/>
      <c r="AG3379" s="1645"/>
      <c r="AH3379" s="1645"/>
      <c r="AI3379" s="1645"/>
      <c r="AJ3379" s="1645"/>
      <c r="AK3379" s="1645"/>
      <c r="AL3379" s="1645"/>
      <c r="AM3379" s="1645"/>
      <c r="AN3379" s="1645"/>
      <c r="AO3379" s="1645"/>
      <c r="AP3379" s="1645"/>
      <c r="AQ3379" s="1645"/>
      <c r="AR3379" s="1645"/>
      <c r="AS3379" s="1645"/>
      <c r="AT3379" s="1645"/>
      <c r="AU3379" s="1645"/>
      <c r="AV3379" s="1645"/>
      <c r="AW3379" s="1645"/>
      <c r="AX3379" s="1645"/>
      <c r="AY3379" s="1645"/>
      <c r="AZ3379" s="1645"/>
      <c r="BA3379" s="1645"/>
      <c r="BB3379" s="1645"/>
      <c r="BC3379" s="1645"/>
      <c r="BD3379" s="1645"/>
      <c r="BE3379" s="1645"/>
      <c r="BF3379" s="1645"/>
      <c r="BG3379" s="1645"/>
      <c r="BH3379" s="1645"/>
      <c r="BI3379" s="1645"/>
      <c r="BJ3379" s="1645"/>
      <c r="BK3379" s="1645"/>
      <c r="BL3379" s="1645"/>
      <c r="BM3379" s="1645"/>
      <c r="BN3379" s="1645"/>
      <c r="BO3379" s="1645"/>
      <c r="BP3379" s="1645"/>
      <c r="BQ3379" s="1645"/>
      <c r="BR3379" s="1645"/>
      <c r="BS3379" s="1645"/>
      <c r="BT3379" s="1645"/>
      <c r="BU3379" s="1645"/>
      <c r="BV3379" s="1645"/>
      <c r="BW3379" s="1645"/>
      <c r="BX3379" s="1645"/>
      <c r="BY3379" s="1645"/>
      <c r="BZ3379" s="1645"/>
      <c r="CA3379" s="1645"/>
      <c r="CB3379" s="1645"/>
      <c r="CC3379" s="1645"/>
      <c r="CD3379" s="1645"/>
      <c r="CE3379" s="1645"/>
      <c r="CF3379" s="1645"/>
      <c r="CG3379" s="1645"/>
      <c r="CH3379" s="1645"/>
      <c r="CI3379" s="1645"/>
      <c r="CJ3379" s="1645"/>
      <c r="CK3379" s="1645"/>
      <c r="CL3379" s="1645"/>
      <c r="CM3379" s="1645"/>
      <c r="CN3379" s="1645"/>
      <c r="CO3379" s="1645"/>
    </row>
    <row r="3380" spans="1:93" s="1136" customFormat="1" ht="15.75" x14ac:dyDescent="0.25">
      <c r="A3380" s="1649" t="s">
        <v>3729</v>
      </c>
      <c r="B3380" s="1046"/>
      <c r="C3380" s="1070"/>
      <c r="D3380" s="1070"/>
      <c r="E3380" s="1070"/>
      <c r="F3380" s="1070"/>
      <c r="G3380" s="1070"/>
      <c r="H3380" s="1070"/>
      <c r="Q3380" s="1551"/>
      <c r="R3380" s="1551"/>
      <c r="S3380" s="1551"/>
      <c r="T3380" s="1551"/>
      <c r="U3380" s="1551"/>
      <c r="V3380" s="1551"/>
      <c r="W3380" s="1551"/>
      <c r="X3380" s="1551"/>
      <c r="Y3380" s="1551"/>
      <c r="Z3380" s="1551"/>
      <c r="AA3380" s="1645"/>
      <c r="AB3380" s="1645"/>
      <c r="AC3380" s="1645"/>
      <c r="AD3380" s="1645"/>
      <c r="AE3380" s="1645"/>
      <c r="AF3380" s="1645"/>
      <c r="AG3380" s="1645"/>
      <c r="AH3380" s="1645"/>
      <c r="AI3380" s="1645"/>
      <c r="AJ3380" s="1645"/>
      <c r="AK3380" s="1645"/>
      <c r="AL3380" s="1645"/>
      <c r="AM3380" s="1645"/>
      <c r="AN3380" s="1645"/>
      <c r="AO3380" s="1645"/>
      <c r="AP3380" s="1645"/>
      <c r="AQ3380" s="1645"/>
      <c r="AR3380" s="1645"/>
      <c r="AS3380" s="1645"/>
      <c r="AT3380" s="1645"/>
      <c r="AU3380" s="1645"/>
      <c r="AV3380" s="1645"/>
      <c r="AW3380" s="1645"/>
      <c r="AX3380" s="1645"/>
      <c r="AY3380" s="1645"/>
      <c r="AZ3380" s="1645"/>
      <c r="BA3380" s="1645"/>
      <c r="BB3380" s="1645"/>
      <c r="BC3380" s="1645"/>
      <c r="BD3380" s="1645"/>
      <c r="BE3380" s="1645"/>
      <c r="BF3380" s="1645"/>
      <c r="BG3380" s="1645"/>
      <c r="BH3380" s="1645"/>
      <c r="BI3380" s="1645"/>
      <c r="BJ3380" s="1645"/>
      <c r="BK3380" s="1645"/>
      <c r="BL3380" s="1645"/>
      <c r="BM3380" s="1645"/>
      <c r="BN3380" s="1645"/>
      <c r="BO3380" s="1645"/>
      <c r="BP3380" s="1645"/>
      <c r="BQ3380" s="1645"/>
      <c r="BR3380" s="1645"/>
      <c r="BS3380" s="1645"/>
      <c r="BT3380" s="1645"/>
      <c r="BU3380" s="1645"/>
      <c r="BV3380" s="1645"/>
      <c r="BW3380" s="1645"/>
      <c r="BX3380" s="1645"/>
      <c r="BY3380" s="1645"/>
      <c r="BZ3380" s="1645"/>
      <c r="CA3380" s="1645"/>
      <c r="CB3380" s="1645"/>
      <c r="CC3380" s="1645"/>
      <c r="CD3380" s="1645"/>
      <c r="CE3380" s="1645"/>
      <c r="CF3380" s="1645"/>
      <c r="CG3380" s="1645"/>
      <c r="CH3380" s="1645"/>
      <c r="CI3380" s="1645"/>
      <c r="CJ3380" s="1645"/>
      <c r="CK3380" s="1645"/>
      <c r="CL3380" s="1645"/>
      <c r="CM3380" s="1645"/>
      <c r="CN3380" s="1645"/>
      <c r="CO3380" s="1645"/>
    </row>
    <row r="3381" spans="1:93" s="1136" customFormat="1" ht="15.75" x14ac:dyDescent="0.25">
      <c r="A3381" s="1391" t="s">
        <v>3730</v>
      </c>
      <c r="B3381" s="1406">
        <v>0</v>
      </c>
      <c r="C3381" s="1407"/>
      <c r="D3381" s="1407"/>
      <c r="E3381" s="1407"/>
      <c r="F3381" s="1407"/>
      <c r="G3381" s="1407"/>
      <c r="H3381" s="1070"/>
      <c r="Q3381" s="1551"/>
      <c r="R3381" s="1551"/>
      <c r="S3381" s="1551"/>
      <c r="T3381" s="1551"/>
      <c r="U3381" s="1551"/>
      <c r="V3381" s="1551"/>
      <c r="W3381" s="1551"/>
      <c r="X3381" s="1551"/>
      <c r="Y3381" s="1551"/>
      <c r="Z3381" s="1551"/>
      <c r="AA3381" s="1645"/>
      <c r="AB3381" s="1645"/>
      <c r="AC3381" s="1645"/>
      <c r="AD3381" s="1645"/>
      <c r="AE3381" s="1645"/>
      <c r="AF3381" s="1645"/>
      <c r="AG3381" s="1645"/>
      <c r="AH3381" s="1645"/>
      <c r="AI3381" s="1645"/>
      <c r="AJ3381" s="1645"/>
      <c r="AK3381" s="1645"/>
      <c r="AL3381" s="1645"/>
      <c r="AM3381" s="1645"/>
      <c r="AN3381" s="1645"/>
      <c r="AO3381" s="1645"/>
      <c r="AP3381" s="1645"/>
      <c r="AQ3381" s="1645"/>
      <c r="AR3381" s="1645"/>
      <c r="AS3381" s="1645"/>
      <c r="AT3381" s="1645"/>
      <c r="AU3381" s="1645"/>
      <c r="AV3381" s="1645"/>
      <c r="AW3381" s="1645"/>
      <c r="AX3381" s="1645"/>
      <c r="AY3381" s="1645"/>
      <c r="AZ3381" s="1645"/>
      <c r="BA3381" s="1645"/>
      <c r="BB3381" s="1645"/>
      <c r="BC3381" s="1645"/>
      <c r="BD3381" s="1645"/>
      <c r="BE3381" s="1645"/>
      <c r="BF3381" s="1645"/>
      <c r="BG3381" s="1645"/>
      <c r="BH3381" s="1645"/>
      <c r="BI3381" s="1645"/>
      <c r="BJ3381" s="1645"/>
      <c r="BK3381" s="1645"/>
      <c r="BL3381" s="1645"/>
      <c r="BM3381" s="1645"/>
      <c r="BN3381" s="1645"/>
      <c r="BO3381" s="1645"/>
      <c r="BP3381" s="1645"/>
      <c r="BQ3381" s="1645"/>
      <c r="BR3381" s="1645"/>
      <c r="BS3381" s="1645"/>
      <c r="BT3381" s="1645"/>
      <c r="BU3381" s="1645"/>
      <c r="BV3381" s="1645"/>
      <c r="BW3381" s="1645"/>
      <c r="BX3381" s="1645"/>
      <c r="BY3381" s="1645"/>
      <c r="BZ3381" s="1645"/>
      <c r="CA3381" s="1645"/>
      <c r="CB3381" s="1645"/>
      <c r="CC3381" s="1645"/>
      <c r="CD3381" s="1645"/>
      <c r="CE3381" s="1645"/>
      <c r="CF3381" s="1645"/>
      <c r="CG3381" s="1645"/>
      <c r="CH3381" s="1645"/>
      <c r="CI3381" s="1645"/>
      <c r="CJ3381" s="1645"/>
      <c r="CK3381" s="1645"/>
      <c r="CL3381" s="1645"/>
      <c r="CM3381" s="1645"/>
      <c r="CN3381" s="1645"/>
      <c r="CO3381" s="1645"/>
    </row>
    <row r="3382" spans="1:93" s="1136" customFormat="1" ht="15.75" x14ac:dyDescent="0.25">
      <c r="A3382" s="1391" t="s">
        <v>3731</v>
      </c>
      <c r="B3382" s="1406">
        <v>0</v>
      </c>
      <c r="C3382" s="1407"/>
      <c r="D3382" s="1407"/>
      <c r="E3382" s="1407"/>
      <c r="F3382" s="1407"/>
      <c r="G3382" s="1407"/>
      <c r="H3382" s="1070"/>
      <c r="Q3382" s="1551"/>
      <c r="R3382" s="1551"/>
      <c r="S3382" s="1551"/>
      <c r="T3382" s="1551"/>
      <c r="U3382" s="1551"/>
      <c r="V3382" s="1551"/>
      <c r="W3382" s="1551"/>
      <c r="X3382" s="1551"/>
      <c r="Y3382" s="1551"/>
      <c r="Z3382" s="1551"/>
      <c r="AA3382" s="1645"/>
      <c r="AB3382" s="1645"/>
      <c r="AC3382" s="1645"/>
      <c r="AD3382" s="1645"/>
      <c r="AE3382" s="1645"/>
      <c r="AF3382" s="1645"/>
      <c r="AG3382" s="1645"/>
      <c r="AH3382" s="1645"/>
      <c r="AI3382" s="1645"/>
      <c r="AJ3382" s="1645"/>
      <c r="AK3382" s="1645"/>
      <c r="AL3382" s="1645"/>
      <c r="AM3382" s="1645"/>
      <c r="AN3382" s="1645"/>
      <c r="AO3382" s="1645"/>
      <c r="AP3382" s="1645"/>
      <c r="AQ3382" s="1645"/>
      <c r="AR3382" s="1645"/>
      <c r="AS3382" s="1645"/>
      <c r="AT3382" s="1645"/>
      <c r="AU3382" s="1645"/>
      <c r="AV3382" s="1645"/>
      <c r="AW3382" s="1645"/>
      <c r="AX3382" s="1645"/>
      <c r="AY3382" s="1645"/>
      <c r="AZ3382" s="1645"/>
      <c r="BA3382" s="1645"/>
      <c r="BB3382" s="1645"/>
      <c r="BC3382" s="1645"/>
      <c r="BD3382" s="1645"/>
      <c r="BE3382" s="1645"/>
      <c r="BF3382" s="1645"/>
      <c r="BG3382" s="1645"/>
      <c r="BH3382" s="1645"/>
      <c r="BI3382" s="1645"/>
      <c r="BJ3382" s="1645"/>
      <c r="BK3382" s="1645"/>
      <c r="BL3382" s="1645"/>
      <c r="BM3382" s="1645"/>
      <c r="BN3382" s="1645"/>
      <c r="BO3382" s="1645"/>
      <c r="BP3382" s="1645"/>
      <c r="BQ3382" s="1645"/>
      <c r="BR3382" s="1645"/>
      <c r="BS3382" s="1645"/>
      <c r="BT3382" s="1645"/>
      <c r="BU3382" s="1645"/>
      <c r="BV3382" s="1645"/>
      <c r="BW3382" s="1645"/>
      <c r="BX3382" s="1645"/>
      <c r="BY3382" s="1645"/>
      <c r="BZ3382" s="1645"/>
      <c r="CA3382" s="1645"/>
      <c r="CB3382" s="1645"/>
      <c r="CC3382" s="1645"/>
      <c r="CD3382" s="1645"/>
      <c r="CE3382" s="1645"/>
      <c r="CF3382" s="1645"/>
      <c r="CG3382" s="1645"/>
      <c r="CH3382" s="1645"/>
      <c r="CI3382" s="1645"/>
      <c r="CJ3382" s="1645"/>
      <c r="CK3382" s="1645"/>
      <c r="CL3382" s="1645"/>
      <c r="CM3382" s="1645"/>
      <c r="CN3382" s="1645"/>
      <c r="CO3382" s="1645"/>
    </row>
    <row r="3383" spans="1:93" s="1136" customFormat="1" ht="15.75" x14ac:dyDescent="0.25">
      <c r="A3383" s="1391" t="s">
        <v>3732</v>
      </c>
      <c r="B3383" s="1406">
        <v>0</v>
      </c>
      <c r="C3383" s="1407"/>
      <c r="D3383" s="1407"/>
      <c r="E3383" s="1407"/>
      <c r="F3383" s="1407"/>
      <c r="G3383" s="1407"/>
      <c r="H3383" s="1070"/>
      <c r="Q3383" s="1551"/>
      <c r="R3383" s="1551"/>
      <c r="S3383" s="1551"/>
      <c r="T3383" s="1551"/>
      <c r="U3383" s="1551"/>
      <c r="V3383" s="1551"/>
      <c r="W3383" s="1551"/>
      <c r="X3383" s="1551"/>
      <c r="Y3383" s="1551"/>
      <c r="Z3383" s="1551"/>
      <c r="AA3383" s="1645"/>
      <c r="AB3383" s="1645"/>
      <c r="AC3383" s="1645"/>
      <c r="AD3383" s="1645"/>
      <c r="AE3383" s="1645"/>
      <c r="AF3383" s="1645"/>
      <c r="AG3383" s="1645"/>
      <c r="AH3383" s="1645"/>
      <c r="AI3383" s="1645"/>
      <c r="AJ3383" s="1645"/>
      <c r="AK3383" s="1645"/>
      <c r="AL3383" s="1645"/>
      <c r="AM3383" s="1645"/>
      <c r="AN3383" s="1645"/>
      <c r="AO3383" s="1645"/>
      <c r="AP3383" s="1645"/>
      <c r="AQ3383" s="1645"/>
      <c r="AR3383" s="1645"/>
      <c r="AS3383" s="1645"/>
      <c r="AT3383" s="1645"/>
      <c r="AU3383" s="1645"/>
      <c r="AV3383" s="1645"/>
      <c r="AW3383" s="1645"/>
      <c r="AX3383" s="1645"/>
      <c r="AY3383" s="1645"/>
      <c r="AZ3383" s="1645"/>
      <c r="BA3383" s="1645"/>
      <c r="BB3383" s="1645"/>
      <c r="BC3383" s="1645"/>
      <c r="BD3383" s="1645"/>
      <c r="BE3383" s="1645"/>
      <c r="BF3383" s="1645"/>
      <c r="BG3383" s="1645"/>
      <c r="BH3383" s="1645"/>
      <c r="BI3383" s="1645"/>
      <c r="BJ3383" s="1645"/>
      <c r="BK3383" s="1645"/>
      <c r="BL3383" s="1645"/>
      <c r="BM3383" s="1645"/>
      <c r="BN3383" s="1645"/>
      <c r="BO3383" s="1645"/>
      <c r="BP3383" s="1645"/>
      <c r="BQ3383" s="1645"/>
      <c r="BR3383" s="1645"/>
      <c r="BS3383" s="1645"/>
      <c r="BT3383" s="1645"/>
      <c r="BU3383" s="1645"/>
      <c r="BV3383" s="1645"/>
      <c r="BW3383" s="1645"/>
      <c r="BX3383" s="1645"/>
      <c r="BY3383" s="1645"/>
      <c r="BZ3383" s="1645"/>
      <c r="CA3383" s="1645"/>
      <c r="CB3383" s="1645"/>
      <c r="CC3383" s="1645"/>
      <c r="CD3383" s="1645"/>
      <c r="CE3383" s="1645"/>
      <c r="CF3383" s="1645"/>
      <c r="CG3383" s="1645"/>
      <c r="CH3383" s="1645"/>
      <c r="CI3383" s="1645"/>
      <c r="CJ3383" s="1645"/>
      <c r="CK3383" s="1645"/>
      <c r="CL3383" s="1645"/>
      <c r="CM3383" s="1645"/>
      <c r="CN3383" s="1645"/>
      <c r="CO3383" s="1645"/>
    </row>
    <row r="3384" spans="1:93" s="1136" customFormat="1" ht="15.75" x14ac:dyDescent="0.25">
      <c r="A3384" s="1391" t="s">
        <v>2734</v>
      </c>
      <c r="B3384" s="1648" t="e">
        <f>B3342</f>
        <v>#VALUE!</v>
      </c>
      <c r="C3384" s="1485"/>
      <c r="D3384" s="1485"/>
      <c r="E3384" s="1485"/>
      <c r="F3384" s="1485"/>
      <c r="G3384" s="1485"/>
      <c r="H3384" s="1070"/>
      <c r="Q3384" s="1551"/>
      <c r="R3384" s="1551"/>
      <c r="S3384" s="1551"/>
      <c r="T3384" s="1551"/>
      <c r="U3384" s="1551"/>
      <c r="V3384" s="1551"/>
      <c r="W3384" s="1551"/>
      <c r="X3384" s="1551"/>
      <c r="Y3384" s="1551"/>
      <c r="Z3384" s="1551"/>
      <c r="AA3384" s="1645"/>
      <c r="AB3384" s="1645"/>
      <c r="AC3384" s="1645"/>
      <c r="AD3384" s="1645"/>
      <c r="AE3384" s="1645"/>
      <c r="AF3384" s="1645"/>
      <c r="AG3384" s="1645"/>
      <c r="AH3384" s="1645"/>
      <c r="AI3384" s="1645"/>
      <c r="AJ3384" s="1645"/>
      <c r="AK3384" s="1645"/>
      <c r="AL3384" s="1645"/>
      <c r="AM3384" s="1645"/>
      <c r="AN3384" s="1645"/>
      <c r="AO3384" s="1645"/>
      <c r="AP3384" s="1645"/>
      <c r="AQ3384" s="1645"/>
      <c r="AR3384" s="1645"/>
      <c r="AS3384" s="1645"/>
      <c r="AT3384" s="1645"/>
      <c r="AU3384" s="1645"/>
      <c r="AV3384" s="1645"/>
      <c r="AW3384" s="1645"/>
      <c r="AX3384" s="1645"/>
      <c r="AY3384" s="1645"/>
      <c r="AZ3384" s="1645"/>
      <c r="BA3384" s="1645"/>
      <c r="BB3384" s="1645"/>
      <c r="BC3384" s="1645"/>
      <c r="BD3384" s="1645"/>
      <c r="BE3384" s="1645"/>
      <c r="BF3384" s="1645"/>
      <c r="BG3384" s="1645"/>
      <c r="BH3384" s="1645"/>
      <c r="BI3384" s="1645"/>
      <c r="BJ3384" s="1645"/>
      <c r="BK3384" s="1645"/>
      <c r="BL3384" s="1645"/>
      <c r="BM3384" s="1645"/>
      <c r="BN3384" s="1645"/>
      <c r="BO3384" s="1645"/>
      <c r="BP3384" s="1645"/>
      <c r="BQ3384" s="1645"/>
      <c r="BR3384" s="1645"/>
      <c r="BS3384" s="1645"/>
      <c r="BT3384" s="1645"/>
      <c r="BU3384" s="1645"/>
      <c r="BV3384" s="1645"/>
      <c r="BW3384" s="1645"/>
      <c r="BX3384" s="1645"/>
      <c r="BY3384" s="1645"/>
      <c r="BZ3384" s="1645"/>
      <c r="CA3384" s="1645"/>
      <c r="CB3384" s="1645"/>
      <c r="CC3384" s="1645"/>
      <c r="CD3384" s="1645"/>
      <c r="CE3384" s="1645"/>
      <c r="CF3384" s="1645"/>
      <c r="CG3384" s="1645"/>
      <c r="CH3384" s="1645"/>
      <c r="CI3384" s="1645"/>
      <c r="CJ3384" s="1645"/>
      <c r="CK3384" s="1645"/>
      <c r="CL3384" s="1645"/>
      <c r="CM3384" s="1645"/>
      <c r="CN3384" s="1645"/>
      <c r="CO3384" s="1645"/>
    </row>
    <row r="3385" spans="1:93" s="1136" customFormat="1" ht="15.75" x14ac:dyDescent="0.25">
      <c r="A3385" s="1391" t="s">
        <v>1831</v>
      </c>
      <c r="B3385" s="1648" t="e">
        <f>2*B3339</f>
        <v>#VALUE!</v>
      </c>
      <c r="C3385" s="1485"/>
      <c r="D3385" s="1485"/>
      <c r="E3385" s="1485"/>
      <c r="F3385" s="1485"/>
      <c r="G3385" s="1485"/>
      <c r="H3385" s="1070"/>
      <c r="Q3385" s="1551"/>
      <c r="R3385" s="1551"/>
      <c r="S3385" s="1551"/>
      <c r="T3385" s="1551"/>
      <c r="U3385" s="1551"/>
      <c r="V3385" s="1551"/>
      <c r="W3385" s="1551"/>
      <c r="X3385" s="1551"/>
      <c r="Y3385" s="1551"/>
      <c r="Z3385" s="1551"/>
      <c r="AA3385" s="1645"/>
      <c r="AB3385" s="1645"/>
      <c r="AC3385" s="1645"/>
      <c r="AD3385" s="1645"/>
      <c r="AE3385" s="1645"/>
      <c r="AF3385" s="1645"/>
      <c r="AG3385" s="1645"/>
      <c r="AH3385" s="1645"/>
      <c r="AI3385" s="1645"/>
      <c r="AJ3385" s="1645"/>
      <c r="AK3385" s="1645"/>
      <c r="AL3385" s="1645"/>
      <c r="AM3385" s="1645"/>
      <c r="AN3385" s="1645"/>
      <c r="AO3385" s="1645"/>
      <c r="AP3385" s="1645"/>
      <c r="AQ3385" s="1645"/>
      <c r="AR3385" s="1645"/>
      <c r="AS3385" s="1645"/>
      <c r="AT3385" s="1645"/>
      <c r="AU3385" s="1645"/>
      <c r="AV3385" s="1645"/>
      <c r="AW3385" s="1645"/>
      <c r="AX3385" s="1645"/>
      <c r="AY3385" s="1645"/>
      <c r="AZ3385" s="1645"/>
      <c r="BA3385" s="1645"/>
      <c r="BB3385" s="1645"/>
      <c r="BC3385" s="1645"/>
      <c r="BD3385" s="1645"/>
      <c r="BE3385" s="1645"/>
      <c r="BF3385" s="1645"/>
      <c r="BG3385" s="1645"/>
      <c r="BH3385" s="1645"/>
      <c r="BI3385" s="1645"/>
      <c r="BJ3385" s="1645"/>
      <c r="BK3385" s="1645"/>
      <c r="BL3385" s="1645"/>
      <c r="BM3385" s="1645"/>
      <c r="BN3385" s="1645"/>
      <c r="BO3385" s="1645"/>
      <c r="BP3385" s="1645"/>
      <c r="BQ3385" s="1645"/>
      <c r="BR3385" s="1645"/>
      <c r="BS3385" s="1645"/>
      <c r="BT3385" s="1645"/>
      <c r="BU3385" s="1645"/>
      <c r="BV3385" s="1645"/>
      <c r="BW3385" s="1645"/>
      <c r="BX3385" s="1645"/>
      <c r="BY3385" s="1645"/>
      <c r="BZ3385" s="1645"/>
      <c r="CA3385" s="1645"/>
      <c r="CB3385" s="1645"/>
      <c r="CC3385" s="1645"/>
      <c r="CD3385" s="1645"/>
      <c r="CE3385" s="1645"/>
      <c r="CF3385" s="1645"/>
      <c r="CG3385" s="1645"/>
      <c r="CH3385" s="1645"/>
      <c r="CI3385" s="1645"/>
      <c r="CJ3385" s="1645"/>
      <c r="CK3385" s="1645"/>
      <c r="CL3385" s="1645"/>
      <c r="CM3385" s="1645"/>
      <c r="CN3385" s="1645"/>
      <c r="CO3385" s="1645"/>
    </row>
    <row r="3386" spans="1:93" s="1136" customFormat="1" ht="15.75" x14ac:dyDescent="0.25">
      <c r="A3386" s="1391" t="s">
        <v>1832</v>
      </c>
      <c r="B3386" s="1648" t="e">
        <f>2*B3340</f>
        <v>#VALUE!</v>
      </c>
      <c r="C3386" s="1485"/>
      <c r="D3386" s="1485"/>
      <c r="E3386" s="1485"/>
      <c r="F3386" s="1485"/>
      <c r="G3386" s="1485"/>
      <c r="H3386" s="1070"/>
      <c r="Q3386" s="1551"/>
      <c r="R3386" s="1551"/>
      <c r="S3386" s="1551"/>
      <c r="T3386" s="1551"/>
      <c r="U3386" s="1551"/>
      <c r="V3386" s="1551"/>
      <c r="W3386" s="1551"/>
      <c r="X3386" s="1551"/>
      <c r="Y3386" s="1551"/>
      <c r="Z3386" s="1551"/>
      <c r="AA3386" s="1645"/>
      <c r="AB3386" s="1645"/>
      <c r="AC3386" s="1645"/>
      <c r="AD3386" s="1645"/>
      <c r="AE3386" s="1645"/>
      <c r="AF3386" s="1645"/>
      <c r="AG3386" s="1645"/>
      <c r="AH3386" s="1645"/>
      <c r="AI3386" s="1645"/>
      <c r="AJ3386" s="1645"/>
      <c r="AK3386" s="1645"/>
      <c r="AL3386" s="1645"/>
      <c r="AM3386" s="1645"/>
      <c r="AN3386" s="1645"/>
      <c r="AO3386" s="1645"/>
      <c r="AP3386" s="1645"/>
      <c r="AQ3386" s="1645"/>
      <c r="AR3386" s="1645"/>
      <c r="AS3386" s="1645"/>
      <c r="AT3386" s="1645"/>
      <c r="AU3386" s="1645"/>
      <c r="AV3386" s="1645"/>
      <c r="AW3386" s="1645"/>
      <c r="AX3386" s="1645"/>
      <c r="AY3386" s="1645"/>
      <c r="AZ3386" s="1645"/>
      <c r="BA3386" s="1645"/>
      <c r="BB3386" s="1645"/>
      <c r="BC3386" s="1645"/>
      <c r="BD3386" s="1645"/>
      <c r="BE3386" s="1645"/>
      <c r="BF3386" s="1645"/>
      <c r="BG3386" s="1645"/>
      <c r="BH3386" s="1645"/>
      <c r="BI3386" s="1645"/>
      <c r="BJ3386" s="1645"/>
      <c r="BK3386" s="1645"/>
      <c r="BL3386" s="1645"/>
      <c r="BM3386" s="1645"/>
      <c r="BN3386" s="1645"/>
      <c r="BO3386" s="1645"/>
      <c r="BP3386" s="1645"/>
      <c r="BQ3386" s="1645"/>
      <c r="BR3386" s="1645"/>
      <c r="BS3386" s="1645"/>
      <c r="BT3386" s="1645"/>
      <c r="BU3386" s="1645"/>
      <c r="BV3386" s="1645"/>
      <c r="BW3386" s="1645"/>
      <c r="BX3386" s="1645"/>
      <c r="BY3386" s="1645"/>
      <c r="BZ3386" s="1645"/>
      <c r="CA3386" s="1645"/>
      <c r="CB3386" s="1645"/>
      <c r="CC3386" s="1645"/>
      <c r="CD3386" s="1645"/>
      <c r="CE3386" s="1645"/>
      <c r="CF3386" s="1645"/>
      <c r="CG3386" s="1645"/>
      <c r="CH3386" s="1645"/>
      <c r="CI3386" s="1645"/>
      <c r="CJ3386" s="1645"/>
      <c r="CK3386" s="1645"/>
      <c r="CL3386" s="1645"/>
      <c r="CM3386" s="1645"/>
      <c r="CN3386" s="1645"/>
      <c r="CO3386" s="1645"/>
    </row>
    <row r="3387" spans="1:93" s="1136" customFormat="1" ht="15.75" x14ac:dyDescent="0.25">
      <c r="A3387" s="1391" t="s">
        <v>1833</v>
      </c>
      <c r="B3387" s="1406">
        <v>0</v>
      </c>
      <c r="C3387" s="1407"/>
      <c r="D3387" s="1407"/>
      <c r="E3387" s="1407"/>
      <c r="F3387" s="1407"/>
      <c r="G3387" s="1407"/>
      <c r="H3387" s="1070"/>
      <c r="Q3387" s="1551"/>
      <c r="R3387" s="1551"/>
      <c r="S3387" s="1551"/>
      <c r="T3387" s="1551"/>
      <c r="U3387" s="1551"/>
      <c r="V3387" s="1551"/>
      <c r="W3387" s="1551"/>
      <c r="X3387" s="1551"/>
      <c r="Y3387" s="1551"/>
      <c r="Z3387" s="1551"/>
      <c r="AA3387" s="1645"/>
      <c r="AB3387" s="1645"/>
      <c r="AC3387" s="1645"/>
      <c r="AD3387" s="1645"/>
      <c r="AE3387" s="1645"/>
      <c r="AF3387" s="1645"/>
      <c r="AG3387" s="1645"/>
      <c r="AH3387" s="1645"/>
      <c r="AI3387" s="1645"/>
      <c r="AJ3387" s="1645"/>
      <c r="AK3387" s="1645"/>
      <c r="AL3387" s="1645"/>
      <c r="AM3387" s="1645"/>
      <c r="AN3387" s="1645"/>
      <c r="AO3387" s="1645"/>
      <c r="AP3387" s="1645"/>
      <c r="AQ3387" s="1645"/>
      <c r="AR3387" s="1645"/>
      <c r="AS3387" s="1645"/>
      <c r="AT3387" s="1645"/>
      <c r="AU3387" s="1645"/>
      <c r="AV3387" s="1645"/>
      <c r="AW3387" s="1645"/>
      <c r="AX3387" s="1645"/>
      <c r="AY3387" s="1645"/>
      <c r="AZ3387" s="1645"/>
      <c r="BA3387" s="1645"/>
      <c r="BB3387" s="1645"/>
      <c r="BC3387" s="1645"/>
      <c r="BD3387" s="1645"/>
      <c r="BE3387" s="1645"/>
      <c r="BF3387" s="1645"/>
      <c r="BG3387" s="1645"/>
      <c r="BH3387" s="1645"/>
      <c r="BI3387" s="1645"/>
      <c r="BJ3387" s="1645"/>
      <c r="BK3387" s="1645"/>
      <c r="BL3387" s="1645"/>
      <c r="BM3387" s="1645"/>
      <c r="BN3387" s="1645"/>
      <c r="BO3387" s="1645"/>
      <c r="BP3387" s="1645"/>
      <c r="BQ3387" s="1645"/>
      <c r="BR3387" s="1645"/>
      <c r="BS3387" s="1645"/>
      <c r="BT3387" s="1645"/>
      <c r="BU3387" s="1645"/>
      <c r="BV3387" s="1645"/>
      <c r="BW3387" s="1645"/>
      <c r="BX3387" s="1645"/>
      <c r="BY3387" s="1645"/>
      <c r="BZ3387" s="1645"/>
      <c r="CA3387" s="1645"/>
      <c r="CB3387" s="1645"/>
      <c r="CC3387" s="1645"/>
      <c r="CD3387" s="1645"/>
      <c r="CE3387" s="1645"/>
      <c r="CF3387" s="1645"/>
      <c r="CG3387" s="1645"/>
      <c r="CH3387" s="1645"/>
      <c r="CI3387" s="1645"/>
      <c r="CJ3387" s="1645"/>
      <c r="CK3387" s="1645"/>
      <c r="CL3387" s="1645"/>
      <c r="CM3387" s="1645"/>
      <c r="CN3387" s="1645"/>
      <c r="CO3387" s="1645"/>
    </row>
    <row r="3388" spans="1:93" s="1136" customFormat="1" ht="15.75" x14ac:dyDescent="0.25">
      <c r="A3388" s="1391" t="s">
        <v>1834</v>
      </c>
      <c r="B3388" s="1406">
        <v>0</v>
      </c>
      <c r="C3388" s="1407"/>
      <c r="D3388" s="1407"/>
      <c r="E3388" s="1407"/>
      <c r="F3388" s="1407"/>
      <c r="G3388" s="1407"/>
      <c r="H3388" s="1070"/>
      <c r="Q3388" s="1551"/>
      <c r="R3388" s="1551"/>
      <c r="S3388" s="1551"/>
      <c r="T3388" s="1551"/>
      <c r="U3388" s="1551"/>
      <c r="V3388" s="1551"/>
      <c r="W3388" s="1551"/>
      <c r="X3388" s="1551"/>
      <c r="Y3388" s="1551"/>
      <c r="Z3388" s="1551"/>
      <c r="AA3388" s="1645"/>
      <c r="AB3388" s="1645"/>
      <c r="AC3388" s="1645"/>
      <c r="AD3388" s="1645"/>
      <c r="AE3388" s="1645"/>
      <c r="AF3388" s="1645"/>
      <c r="AG3388" s="1645"/>
      <c r="AH3388" s="1645"/>
      <c r="AI3388" s="1645"/>
      <c r="AJ3388" s="1645"/>
      <c r="AK3388" s="1645"/>
      <c r="AL3388" s="1645"/>
      <c r="AM3388" s="1645"/>
      <c r="AN3388" s="1645"/>
      <c r="AO3388" s="1645"/>
      <c r="AP3388" s="1645"/>
      <c r="AQ3388" s="1645"/>
      <c r="AR3388" s="1645"/>
      <c r="AS3388" s="1645"/>
      <c r="AT3388" s="1645"/>
      <c r="AU3388" s="1645"/>
      <c r="AV3388" s="1645"/>
      <c r="AW3388" s="1645"/>
      <c r="AX3388" s="1645"/>
      <c r="AY3388" s="1645"/>
      <c r="AZ3388" s="1645"/>
      <c r="BA3388" s="1645"/>
      <c r="BB3388" s="1645"/>
      <c r="BC3388" s="1645"/>
      <c r="BD3388" s="1645"/>
      <c r="BE3388" s="1645"/>
      <c r="BF3388" s="1645"/>
      <c r="BG3388" s="1645"/>
      <c r="BH3388" s="1645"/>
      <c r="BI3388" s="1645"/>
      <c r="BJ3388" s="1645"/>
      <c r="BK3388" s="1645"/>
      <c r="BL3388" s="1645"/>
      <c r="BM3388" s="1645"/>
      <c r="BN3388" s="1645"/>
      <c r="BO3388" s="1645"/>
      <c r="BP3388" s="1645"/>
      <c r="BQ3388" s="1645"/>
      <c r="BR3388" s="1645"/>
      <c r="BS3388" s="1645"/>
      <c r="BT3388" s="1645"/>
      <c r="BU3388" s="1645"/>
      <c r="BV3388" s="1645"/>
      <c r="BW3388" s="1645"/>
      <c r="BX3388" s="1645"/>
      <c r="BY3388" s="1645"/>
      <c r="BZ3388" s="1645"/>
      <c r="CA3388" s="1645"/>
      <c r="CB3388" s="1645"/>
      <c r="CC3388" s="1645"/>
      <c r="CD3388" s="1645"/>
      <c r="CE3388" s="1645"/>
      <c r="CF3388" s="1645"/>
      <c r="CG3388" s="1645"/>
      <c r="CH3388" s="1645"/>
      <c r="CI3388" s="1645"/>
      <c r="CJ3388" s="1645"/>
      <c r="CK3388" s="1645"/>
      <c r="CL3388" s="1645"/>
      <c r="CM3388" s="1645"/>
      <c r="CN3388" s="1645"/>
      <c r="CO3388" s="1645"/>
    </row>
    <row r="3389" spans="1:93" s="1136" customFormat="1" ht="15.75" x14ac:dyDescent="0.25">
      <c r="A3389" s="1391" t="s">
        <v>1835</v>
      </c>
      <c r="B3389" s="1406" t="e">
        <f>SUM(B3381:B3388)</f>
        <v>#VALUE!</v>
      </c>
      <c r="C3389" s="1407"/>
      <c r="D3389" s="1407"/>
      <c r="E3389" s="1407"/>
      <c r="F3389" s="1407"/>
      <c r="G3389" s="1407"/>
      <c r="H3389" s="1070"/>
      <c r="Q3389" s="1551"/>
      <c r="R3389" s="1551"/>
      <c r="S3389" s="1551"/>
      <c r="T3389" s="1551"/>
      <c r="U3389" s="1551"/>
      <c r="V3389" s="1551"/>
      <c r="W3389" s="1551"/>
      <c r="X3389" s="1551"/>
      <c r="Y3389" s="1551"/>
      <c r="Z3389" s="1551"/>
      <c r="AA3389" s="1645"/>
      <c r="AB3389" s="1645"/>
      <c r="AC3389" s="1645"/>
      <c r="AD3389" s="1645"/>
      <c r="AE3389" s="1645"/>
      <c r="AF3389" s="1645"/>
      <c r="AG3389" s="1645"/>
      <c r="AH3389" s="1645"/>
      <c r="AI3389" s="1645"/>
      <c r="AJ3389" s="1645"/>
      <c r="AK3389" s="1645"/>
      <c r="AL3389" s="1645"/>
      <c r="AM3389" s="1645"/>
      <c r="AN3389" s="1645"/>
      <c r="AO3389" s="1645"/>
      <c r="AP3389" s="1645"/>
      <c r="AQ3389" s="1645"/>
      <c r="AR3389" s="1645"/>
      <c r="AS3389" s="1645"/>
      <c r="AT3389" s="1645"/>
      <c r="AU3389" s="1645"/>
      <c r="AV3389" s="1645"/>
      <c r="AW3389" s="1645"/>
      <c r="AX3389" s="1645"/>
      <c r="AY3389" s="1645"/>
      <c r="AZ3389" s="1645"/>
      <c r="BA3389" s="1645"/>
      <c r="BB3389" s="1645"/>
      <c r="BC3389" s="1645"/>
      <c r="BD3389" s="1645"/>
      <c r="BE3389" s="1645"/>
      <c r="BF3389" s="1645"/>
      <c r="BG3389" s="1645"/>
      <c r="BH3389" s="1645"/>
      <c r="BI3389" s="1645"/>
      <c r="BJ3389" s="1645"/>
      <c r="BK3389" s="1645"/>
      <c r="BL3389" s="1645"/>
      <c r="BM3389" s="1645"/>
      <c r="BN3389" s="1645"/>
      <c r="BO3389" s="1645"/>
      <c r="BP3389" s="1645"/>
      <c r="BQ3389" s="1645"/>
      <c r="BR3389" s="1645"/>
      <c r="BS3389" s="1645"/>
      <c r="BT3389" s="1645"/>
      <c r="BU3389" s="1645"/>
      <c r="BV3389" s="1645"/>
      <c r="BW3389" s="1645"/>
      <c r="BX3389" s="1645"/>
      <c r="BY3389" s="1645"/>
      <c r="BZ3389" s="1645"/>
      <c r="CA3389" s="1645"/>
      <c r="CB3389" s="1645"/>
      <c r="CC3389" s="1645"/>
      <c r="CD3389" s="1645"/>
      <c r="CE3389" s="1645"/>
      <c r="CF3389" s="1645"/>
      <c r="CG3389" s="1645"/>
      <c r="CH3389" s="1645"/>
      <c r="CI3389" s="1645"/>
      <c r="CJ3389" s="1645"/>
      <c r="CK3389" s="1645"/>
      <c r="CL3389" s="1645"/>
      <c r="CM3389" s="1645"/>
      <c r="CN3389" s="1645"/>
      <c r="CO3389" s="1645"/>
    </row>
    <row r="3390" spans="1:93" s="1136" customFormat="1" ht="15.75" x14ac:dyDescent="0.25">
      <c r="A3390" s="1483" t="s">
        <v>1836</v>
      </c>
      <c r="B3390" s="1641" t="e">
        <f>0.05*B3389</f>
        <v>#VALUE!</v>
      </c>
      <c r="C3390" s="1407"/>
      <c r="D3390" s="1407"/>
      <c r="E3390" s="1407"/>
      <c r="F3390" s="1407"/>
      <c r="G3390" s="1407"/>
      <c r="H3390" s="1070"/>
      <c r="Q3390" s="1551"/>
      <c r="R3390" s="1551"/>
      <c r="S3390" s="1551"/>
      <c r="T3390" s="1551"/>
      <c r="U3390" s="1551"/>
      <c r="V3390" s="1551"/>
      <c r="W3390" s="1551"/>
      <c r="X3390" s="1551"/>
      <c r="Y3390" s="1551"/>
      <c r="Z3390" s="1551"/>
      <c r="AA3390" s="1645"/>
      <c r="AB3390" s="1645"/>
      <c r="AC3390" s="1645"/>
      <c r="AD3390" s="1645"/>
      <c r="AE3390" s="1645"/>
      <c r="AF3390" s="1645"/>
      <c r="AG3390" s="1645"/>
      <c r="AH3390" s="1645"/>
      <c r="AI3390" s="1645"/>
      <c r="AJ3390" s="1645"/>
      <c r="AK3390" s="1645"/>
      <c r="AL3390" s="1645"/>
      <c r="AM3390" s="1645"/>
      <c r="AN3390" s="1645"/>
      <c r="AO3390" s="1645"/>
      <c r="AP3390" s="1645"/>
      <c r="AQ3390" s="1645"/>
      <c r="AR3390" s="1645"/>
      <c r="AS3390" s="1645"/>
      <c r="AT3390" s="1645"/>
      <c r="AU3390" s="1645"/>
      <c r="AV3390" s="1645"/>
      <c r="AW3390" s="1645"/>
      <c r="AX3390" s="1645"/>
      <c r="AY3390" s="1645"/>
      <c r="AZ3390" s="1645"/>
      <c r="BA3390" s="1645"/>
      <c r="BB3390" s="1645"/>
      <c r="BC3390" s="1645"/>
      <c r="BD3390" s="1645"/>
      <c r="BE3390" s="1645"/>
      <c r="BF3390" s="1645"/>
      <c r="BG3390" s="1645"/>
      <c r="BH3390" s="1645"/>
      <c r="BI3390" s="1645"/>
      <c r="BJ3390" s="1645"/>
      <c r="BK3390" s="1645"/>
      <c r="BL3390" s="1645"/>
      <c r="BM3390" s="1645"/>
      <c r="BN3390" s="1645"/>
      <c r="BO3390" s="1645"/>
      <c r="BP3390" s="1645"/>
      <c r="BQ3390" s="1645"/>
      <c r="BR3390" s="1645"/>
      <c r="BS3390" s="1645"/>
      <c r="BT3390" s="1645"/>
      <c r="BU3390" s="1645"/>
      <c r="BV3390" s="1645"/>
      <c r="BW3390" s="1645"/>
      <c r="BX3390" s="1645"/>
      <c r="BY3390" s="1645"/>
      <c r="BZ3390" s="1645"/>
      <c r="CA3390" s="1645"/>
      <c r="CB3390" s="1645"/>
      <c r="CC3390" s="1645"/>
      <c r="CD3390" s="1645"/>
      <c r="CE3390" s="1645"/>
      <c r="CF3390" s="1645"/>
      <c r="CG3390" s="1645"/>
      <c r="CH3390" s="1645"/>
      <c r="CI3390" s="1645"/>
      <c r="CJ3390" s="1645"/>
      <c r="CK3390" s="1645"/>
      <c r="CL3390" s="1645"/>
      <c r="CM3390" s="1645"/>
      <c r="CN3390" s="1645"/>
      <c r="CO3390" s="1645"/>
    </row>
    <row r="3391" spans="1:93" s="1136" customFormat="1" ht="15.75" x14ac:dyDescent="0.25">
      <c r="A3391" s="1483" t="s">
        <v>1780</v>
      </c>
      <c r="B3391" s="1641" t="e">
        <f>B3389+B3390</f>
        <v>#VALUE!</v>
      </c>
      <c r="C3391" s="1407"/>
      <c r="D3391" s="1407"/>
      <c r="E3391" s="1407"/>
      <c r="F3391" s="1407"/>
      <c r="G3391" s="1407"/>
      <c r="H3391" s="1070"/>
      <c r="Q3391" s="1551"/>
      <c r="R3391" s="1551"/>
      <c r="S3391" s="1551"/>
      <c r="T3391" s="1551"/>
      <c r="U3391" s="1551"/>
      <c r="V3391" s="1551"/>
      <c r="W3391" s="1551"/>
      <c r="X3391" s="1551"/>
      <c r="Y3391" s="1551"/>
      <c r="Z3391" s="1551"/>
      <c r="AA3391" s="1645"/>
      <c r="AB3391" s="1645"/>
      <c r="AC3391" s="1645"/>
      <c r="AD3391" s="1645"/>
      <c r="AE3391" s="1645"/>
      <c r="AF3391" s="1645"/>
      <c r="AG3391" s="1645"/>
      <c r="AH3391" s="1645"/>
      <c r="AI3391" s="1645"/>
      <c r="AJ3391" s="1645"/>
      <c r="AK3391" s="1645"/>
      <c r="AL3391" s="1645"/>
      <c r="AM3391" s="1645"/>
      <c r="AN3391" s="1645"/>
      <c r="AO3391" s="1645"/>
      <c r="AP3391" s="1645"/>
      <c r="AQ3391" s="1645"/>
      <c r="AR3391" s="1645"/>
      <c r="AS3391" s="1645"/>
      <c r="AT3391" s="1645"/>
      <c r="AU3391" s="1645"/>
      <c r="AV3391" s="1645"/>
      <c r="AW3391" s="1645"/>
      <c r="AX3391" s="1645"/>
      <c r="AY3391" s="1645"/>
      <c r="AZ3391" s="1645"/>
      <c r="BA3391" s="1645"/>
      <c r="BB3391" s="1645"/>
      <c r="BC3391" s="1645"/>
      <c r="BD3391" s="1645"/>
      <c r="BE3391" s="1645"/>
      <c r="BF3391" s="1645"/>
      <c r="BG3391" s="1645"/>
      <c r="BH3391" s="1645"/>
      <c r="BI3391" s="1645"/>
      <c r="BJ3391" s="1645"/>
      <c r="BK3391" s="1645"/>
      <c r="BL3391" s="1645"/>
      <c r="BM3391" s="1645"/>
      <c r="BN3391" s="1645"/>
      <c r="BO3391" s="1645"/>
      <c r="BP3391" s="1645"/>
      <c r="BQ3391" s="1645"/>
      <c r="BR3391" s="1645"/>
      <c r="BS3391" s="1645"/>
      <c r="BT3391" s="1645"/>
      <c r="BU3391" s="1645"/>
      <c r="BV3391" s="1645"/>
      <c r="BW3391" s="1645"/>
      <c r="BX3391" s="1645"/>
      <c r="BY3391" s="1645"/>
      <c r="BZ3391" s="1645"/>
      <c r="CA3391" s="1645"/>
      <c r="CB3391" s="1645"/>
      <c r="CC3391" s="1645"/>
      <c r="CD3391" s="1645"/>
      <c r="CE3391" s="1645"/>
      <c r="CF3391" s="1645"/>
      <c r="CG3391" s="1645"/>
      <c r="CH3391" s="1645"/>
      <c r="CI3391" s="1645"/>
      <c r="CJ3391" s="1645"/>
      <c r="CK3391" s="1645"/>
      <c r="CL3391" s="1645"/>
      <c r="CM3391" s="1645"/>
      <c r="CN3391" s="1645"/>
      <c r="CO3391" s="1645"/>
    </row>
    <row r="3392" spans="1:93" s="1136" customFormat="1" ht="15.75" x14ac:dyDescent="0.25">
      <c r="A3392" s="1483" t="s">
        <v>1781</v>
      </c>
      <c r="B3392" s="1641">
        <f>IF(B3362&lt;51,11,10.2)</f>
        <v>11</v>
      </c>
      <c r="C3392" s="1407"/>
      <c r="D3392" s="1407"/>
      <c r="E3392" s="1407"/>
      <c r="F3392" s="1407"/>
      <c r="G3392" s="1407"/>
      <c r="H3392" s="1070"/>
      <c r="Q3392" s="1551"/>
      <c r="R3392" s="1551"/>
      <c r="S3392" s="1551"/>
      <c r="T3392" s="1551"/>
      <c r="U3392" s="1551"/>
      <c r="V3392" s="1551"/>
      <c r="W3392" s="1551"/>
      <c r="X3392" s="1551"/>
      <c r="Y3392" s="1551"/>
      <c r="Z3392" s="1551"/>
      <c r="AA3392" s="1645"/>
      <c r="AB3392" s="1645"/>
      <c r="AC3392" s="1645"/>
      <c r="AD3392" s="1645"/>
      <c r="AE3392" s="1645"/>
      <c r="AF3392" s="1645"/>
      <c r="AG3392" s="1645"/>
      <c r="AH3392" s="1645"/>
      <c r="AI3392" s="1645"/>
      <c r="AJ3392" s="1645"/>
      <c r="AK3392" s="1645"/>
      <c r="AL3392" s="1645"/>
      <c r="AM3392" s="1645"/>
      <c r="AN3392" s="1645"/>
      <c r="AO3392" s="1645"/>
      <c r="AP3392" s="1645"/>
      <c r="AQ3392" s="1645"/>
      <c r="AR3392" s="1645"/>
      <c r="AS3392" s="1645"/>
      <c r="AT3392" s="1645"/>
      <c r="AU3392" s="1645"/>
      <c r="AV3392" s="1645"/>
      <c r="AW3392" s="1645"/>
      <c r="AX3392" s="1645"/>
      <c r="AY3392" s="1645"/>
      <c r="AZ3392" s="1645"/>
      <c r="BA3392" s="1645"/>
      <c r="BB3392" s="1645"/>
      <c r="BC3392" s="1645"/>
      <c r="BD3392" s="1645"/>
      <c r="BE3392" s="1645"/>
      <c r="BF3392" s="1645"/>
      <c r="BG3392" s="1645"/>
      <c r="BH3392" s="1645"/>
      <c r="BI3392" s="1645"/>
      <c r="BJ3392" s="1645"/>
      <c r="BK3392" s="1645"/>
      <c r="BL3392" s="1645"/>
      <c r="BM3392" s="1645"/>
      <c r="BN3392" s="1645"/>
      <c r="BO3392" s="1645"/>
      <c r="BP3392" s="1645"/>
      <c r="BQ3392" s="1645"/>
      <c r="BR3392" s="1645"/>
      <c r="BS3392" s="1645"/>
      <c r="BT3392" s="1645"/>
      <c r="BU3392" s="1645"/>
      <c r="BV3392" s="1645"/>
      <c r="BW3392" s="1645"/>
      <c r="BX3392" s="1645"/>
      <c r="BY3392" s="1645"/>
      <c r="BZ3392" s="1645"/>
      <c r="CA3392" s="1645"/>
      <c r="CB3392" s="1645"/>
      <c r="CC3392" s="1645"/>
      <c r="CD3392" s="1645"/>
      <c r="CE3392" s="1645"/>
      <c r="CF3392" s="1645"/>
      <c r="CG3392" s="1645"/>
      <c r="CH3392" s="1645"/>
      <c r="CI3392" s="1645"/>
      <c r="CJ3392" s="1645"/>
      <c r="CK3392" s="1645"/>
      <c r="CL3392" s="1645"/>
      <c r="CM3392" s="1645"/>
      <c r="CN3392" s="1645"/>
      <c r="CO3392" s="1645"/>
    </row>
    <row r="3393" spans="1:93" s="1136" customFormat="1" ht="15.75" x14ac:dyDescent="0.25">
      <c r="A3393" s="1651" t="s">
        <v>1855</v>
      </c>
      <c r="B3393" s="1641" t="e">
        <f>B3389/B3392</f>
        <v>#VALUE!</v>
      </c>
      <c r="C3393" s="1407"/>
      <c r="D3393" s="1407"/>
      <c r="E3393" s="1407"/>
      <c r="F3393" s="1407"/>
      <c r="G3393" s="1407"/>
      <c r="H3393" s="1070"/>
      <c r="Q3393" s="1551"/>
      <c r="R3393" s="1551"/>
      <c r="S3393" s="1551"/>
      <c r="T3393" s="1551"/>
      <c r="U3393" s="1551"/>
      <c r="V3393" s="1551"/>
      <c r="W3393" s="1551"/>
      <c r="X3393" s="1551"/>
      <c r="Y3393" s="1551"/>
      <c r="Z3393" s="1551"/>
      <c r="AA3393" s="1645"/>
      <c r="AB3393" s="1645"/>
      <c r="AC3393" s="1645"/>
      <c r="AD3393" s="1645"/>
      <c r="AE3393" s="1645"/>
      <c r="AF3393" s="1645"/>
      <c r="AG3393" s="1645"/>
      <c r="AH3393" s="1645"/>
      <c r="AI3393" s="1645"/>
      <c r="AJ3393" s="1645"/>
      <c r="AK3393" s="1645"/>
      <c r="AL3393" s="1645"/>
      <c r="AM3393" s="1645"/>
      <c r="AN3393" s="1645"/>
      <c r="AO3393" s="1645"/>
      <c r="AP3393" s="1645"/>
      <c r="AQ3393" s="1645"/>
      <c r="AR3393" s="1645"/>
      <c r="AS3393" s="1645"/>
      <c r="AT3393" s="1645"/>
      <c r="AU3393" s="1645"/>
      <c r="AV3393" s="1645"/>
      <c r="AW3393" s="1645"/>
      <c r="AX3393" s="1645"/>
      <c r="AY3393" s="1645"/>
      <c r="AZ3393" s="1645"/>
      <c r="BA3393" s="1645"/>
      <c r="BB3393" s="1645"/>
      <c r="BC3393" s="1645"/>
      <c r="BD3393" s="1645"/>
      <c r="BE3393" s="1645"/>
      <c r="BF3393" s="1645"/>
      <c r="BG3393" s="1645"/>
      <c r="BH3393" s="1645"/>
      <c r="BI3393" s="1645"/>
      <c r="BJ3393" s="1645"/>
      <c r="BK3393" s="1645"/>
      <c r="BL3393" s="1645"/>
      <c r="BM3393" s="1645"/>
      <c r="BN3393" s="1645"/>
      <c r="BO3393" s="1645"/>
      <c r="BP3393" s="1645"/>
      <c r="BQ3393" s="1645"/>
      <c r="BR3393" s="1645"/>
      <c r="BS3393" s="1645"/>
      <c r="BT3393" s="1645"/>
      <c r="BU3393" s="1645"/>
      <c r="BV3393" s="1645"/>
      <c r="BW3393" s="1645"/>
      <c r="BX3393" s="1645"/>
      <c r="BY3393" s="1645"/>
      <c r="BZ3393" s="1645"/>
      <c r="CA3393" s="1645"/>
      <c r="CB3393" s="1645"/>
      <c r="CC3393" s="1645"/>
      <c r="CD3393" s="1645"/>
      <c r="CE3393" s="1645"/>
      <c r="CF3393" s="1645"/>
      <c r="CG3393" s="1645"/>
      <c r="CH3393" s="1645"/>
      <c r="CI3393" s="1645"/>
      <c r="CJ3393" s="1645"/>
      <c r="CK3393" s="1645"/>
      <c r="CL3393" s="1645"/>
      <c r="CM3393" s="1645"/>
      <c r="CN3393" s="1645"/>
      <c r="CO3393" s="1645"/>
    </row>
    <row r="3394" spans="1:93" s="1136" customFormat="1" ht="15.75" x14ac:dyDescent="0.25">
      <c r="A3394" s="1391"/>
      <c r="B3394" s="1046"/>
      <c r="C3394" s="1070"/>
      <c r="D3394" s="1070"/>
      <c r="E3394" s="1070"/>
      <c r="F3394" s="1070"/>
      <c r="G3394" s="1070"/>
      <c r="H3394" s="1070"/>
      <c r="Q3394" s="1551"/>
      <c r="R3394" s="1551"/>
      <c r="S3394" s="1551"/>
      <c r="T3394" s="1551"/>
      <c r="U3394" s="1551"/>
      <c r="V3394" s="1551"/>
      <c r="W3394" s="1551"/>
      <c r="X3394" s="1551"/>
      <c r="Y3394" s="1551"/>
      <c r="Z3394" s="1551"/>
      <c r="AA3394" s="1645"/>
      <c r="AB3394" s="1645"/>
      <c r="AC3394" s="1645"/>
      <c r="AD3394" s="1645"/>
      <c r="AE3394" s="1645"/>
      <c r="AF3394" s="1645"/>
      <c r="AG3394" s="1645"/>
      <c r="AH3394" s="1645"/>
      <c r="AI3394" s="1645"/>
      <c r="AJ3394" s="1645"/>
      <c r="AK3394" s="1645"/>
      <c r="AL3394" s="1645"/>
      <c r="AM3394" s="1645"/>
      <c r="AN3394" s="1645"/>
      <c r="AO3394" s="1645"/>
      <c r="AP3394" s="1645"/>
      <c r="AQ3394" s="1645"/>
      <c r="AR3394" s="1645"/>
      <c r="AS3394" s="1645"/>
      <c r="AT3394" s="1645"/>
      <c r="AU3394" s="1645"/>
      <c r="AV3394" s="1645"/>
      <c r="AW3394" s="1645"/>
      <c r="AX3394" s="1645"/>
      <c r="AY3394" s="1645"/>
      <c r="AZ3394" s="1645"/>
      <c r="BA3394" s="1645"/>
      <c r="BB3394" s="1645"/>
      <c r="BC3394" s="1645"/>
      <c r="BD3394" s="1645"/>
      <c r="BE3394" s="1645"/>
      <c r="BF3394" s="1645"/>
      <c r="BG3394" s="1645"/>
      <c r="BH3394" s="1645"/>
      <c r="BI3394" s="1645"/>
      <c r="BJ3394" s="1645"/>
      <c r="BK3394" s="1645"/>
      <c r="BL3394" s="1645"/>
      <c r="BM3394" s="1645"/>
      <c r="BN3394" s="1645"/>
      <c r="BO3394" s="1645"/>
      <c r="BP3394" s="1645"/>
      <c r="BQ3394" s="1645"/>
      <c r="BR3394" s="1645"/>
      <c r="BS3394" s="1645"/>
      <c r="BT3394" s="1645"/>
      <c r="BU3394" s="1645"/>
      <c r="BV3394" s="1645"/>
      <c r="BW3394" s="1645"/>
      <c r="BX3394" s="1645"/>
      <c r="BY3394" s="1645"/>
      <c r="BZ3394" s="1645"/>
      <c r="CA3394" s="1645"/>
      <c r="CB3394" s="1645"/>
      <c r="CC3394" s="1645"/>
      <c r="CD3394" s="1645"/>
      <c r="CE3394" s="1645"/>
      <c r="CF3394" s="1645"/>
      <c r="CG3394" s="1645"/>
      <c r="CH3394" s="1645"/>
      <c r="CI3394" s="1645"/>
      <c r="CJ3394" s="1645"/>
      <c r="CK3394" s="1645"/>
      <c r="CL3394" s="1645"/>
      <c r="CM3394" s="1645"/>
      <c r="CN3394" s="1645"/>
      <c r="CO3394" s="1645"/>
    </row>
    <row r="3395" spans="1:93" s="1136" customFormat="1" ht="31.5" x14ac:dyDescent="0.25">
      <c r="A3395" s="1559" t="s">
        <v>1782</v>
      </c>
      <c r="B3395" s="1657" t="e">
        <f>B3393+B3379+B3375+B3369+B3360+B3356+B3350</f>
        <v>#VALUE!</v>
      </c>
      <c r="C3395" s="1410"/>
      <c r="D3395" s="1410"/>
      <c r="E3395" s="1410"/>
      <c r="F3395" s="1410"/>
      <c r="G3395" s="1410"/>
      <c r="H3395" s="1070"/>
      <c r="Q3395" s="1551"/>
      <c r="R3395" s="1551"/>
      <c r="S3395" s="1551"/>
      <c r="T3395" s="1551"/>
      <c r="U3395" s="1551"/>
      <c r="V3395" s="1551"/>
      <c r="W3395" s="1551"/>
      <c r="X3395" s="1551"/>
      <c r="Y3395" s="1551"/>
      <c r="Z3395" s="1551"/>
      <c r="AA3395" s="1645"/>
      <c r="AB3395" s="1645"/>
      <c r="AC3395" s="1645"/>
      <c r="AD3395" s="1645"/>
      <c r="AE3395" s="1645"/>
      <c r="AF3395" s="1645"/>
      <c r="AG3395" s="1645"/>
      <c r="AH3395" s="1645"/>
      <c r="AI3395" s="1645"/>
      <c r="AJ3395" s="1645"/>
      <c r="AK3395" s="1645"/>
      <c r="AL3395" s="1645"/>
      <c r="AM3395" s="1645"/>
      <c r="AN3395" s="1645"/>
      <c r="AO3395" s="1645"/>
      <c r="AP3395" s="1645"/>
      <c r="AQ3395" s="1645"/>
      <c r="AR3395" s="1645"/>
      <c r="AS3395" s="1645"/>
      <c r="AT3395" s="1645"/>
      <c r="AU3395" s="1645"/>
      <c r="AV3395" s="1645"/>
      <c r="AW3395" s="1645"/>
      <c r="AX3395" s="1645"/>
      <c r="AY3395" s="1645"/>
      <c r="AZ3395" s="1645"/>
      <c r="BA3395" s="1645"/>
      <c r="BB3395" s="1645"/>
      <c r="BC3395" s="1645"/>
      <c r="BD3395" s="1645"/>
      <c r="BE3395" s="1645"/>
      <c r="BF3395" s="1645"/>
      <c r="BG3395" s="1645"/>
      <c r="BH3395" s="1645"/>
      <c r="BI3395" s="1645"/>
      <c r="BJ3395" s="1645"/>
      <c r="BK3395" s="1645"/>
      <c r="BL3395" s="1645"/>
      <c r="BM3395" s="1645"/>
      <c r="BN3395" s="1645"/>
      <c r="BO3395" s="1645"/>
      <c r="BP3395" s="1645"/>
      <c r="BQ3395" s="1645"/>
      <c r="BR3395" s="1645"/>
      <c r="BS3395" s="1645"/>
      <c r="BT3395" s="1645"/>
      <c r="BU3395" s="1645"/>
      <c r="BV3395" s="1645"/>
      <c r="BW3395" s="1645"/>
      <c r="BX3395" s="1645"/>
      <c r="BY3395" s="1645"/>
      <c r="BZ3395" s="1645"/>
      <c r="CA3395" s="1645"/>
      <c r="CB3395" s="1645"/>
      <c r="CC3395" s="1645"/>
      <c r="CD3395" s="1645"/>
      <c r="CE3395" s="1645"/>
      <c r="CF3395" s="1645"/>
      <c r="CG3395" s="1645"/>
      <c r="CH3395" s="1645"/>
      <c r="CI3395" s="1645"/>
      <c r="CJ3395" s="1645"/>
      <c r="CK3395" s="1645"/>
      <c r="CL3395" s="1645"/>
      <c r="CM3395" s="1645"/>
      <c r="CN3395" s="1645"/>
      <c r="CO3395" s="1645"/>
    </row>
    <row r="3396" spans="1:93" s="1136" customFormat="1" ht="15.75" x14ac:dyDescent="0.25">
      <c r="A3396" s="1426" t="s">
        <v>4774</v>
      </c>
      <c r="B3396" s="1046"/>
      <c r="C3396" s="1070"/>
      <c r="D3396" s="1070"/>
      <c r="E3396" s="1070"/>
      <c r="F3396" s="1070"/>
      <c r="G3396" s="1070"/>
      <c r="H3396" s="1070"/>
      <c r="Q3396" s="1551"/>
      <c r="R3396" s="1551"/>
      <c r="S3396" s="1551"/>
      <c r="T3396" s="1551"/>
      <c r="U3396" s="1551"/>
      <c r="V3396" s="1551"/>
      <c r="W3396" s="1551"/>
      <c r="X3396" s="1551"/>
      <c r="Y3396" s="1551"/>
      <c r="Z3396" s="1551"/>
      <c r="AA3396" s="1645"/>
      <c r="AB3396" s="1645"/>
      <c r="AC3396" s="1645"/>
      <c r="AD3396" s="1645"/>
      <c r="AE3396" s="1645"/>
      <c r="AF3396" s="1645"/>
      <c r="AG3396" s="1645"/>
      <c r="AH3396" s="1645"/>
      <c r="AI3396" s="1645"/>
      <c r="AJ3396" s="1645"/>
      <c r="AK3396" s="1645"/>
      <c r="AL3396" s="1645"/>
      <c r="AM3396" s="1645"/>
      <c r="AN3396" s="1645"/>
      <c r="AO3396" s="1645"/>
      <c r="AP3396" s="1645"/>
      <c r="AQ3396" s="1645"/>
      <c r="AR3396" s="1645"/>
      <c r="AS3396" s="1645"/>
      <c r="AT3396" s="1645"/>
      <c r="AU3396" s="1645"/>
      <c r="AV3396" s="1645"/>
      <c r="AW3396" s="1645"/>
      <c r="AX3396" s="1645"/>
      <c r="AY3396" s="1645"/>
      <c r="AZ3396" s="1645"/>
      <c r="BA3396" s="1645"/>
      <c r="BB3396" s="1645"/>
      <c r="BC3396" s="1645"/>
      <c r="BD3396" s="1645"/>
      <c r="BE3396" s="1645"/>
      <c r="BF3396" s="1645"/>
      <c r="BG3396" s="1645"/>
      <c r="BH3396" s="1645"/>
      <c r="BI3396" s="1645"/>
      <c r="BJ3396" s="1645"/>
      <c r="BK3396" s="1645"/>
      <c r="BL3396" s="1645"/>
      <c r="BM3396" s="1645"/>
      <c r="BN3396" s="1645"/>
      <c r="BO3396" s="1645"/>
      <c r="BP3396" s="1645"/>
      <c r="BQ3396" s="1645"/>
      <c r="BR3396" s="1645"/>
      <c r="BS3396" s="1645"/>
      <c r="BT3396" s="1645"/>
      <c r="BU3396" s="1645"/>
      <c r="BV3396" s="1645"/>
      <c r="BW3396" s="1645"/>
      <c r="BX3396" s="1645"/>
      <c r="BY3396" s="1645"/>
      <c r="BZ3396" s="1645"/>
      <c r="CA3396" s="1645"/>
      <c r="CB3396" s="1645"/>
      <c r="CC3396" s="1645"/>
      <c r="CD3396" s="1645"/>
      <c r="CE3396" s="1645"/>
      <c r="CF3396" s="1645"/>
      <c r="CG3396" s="1645"/>
      <c r="CH3396" s="1645"/>
      <c r="CI3396" s="1645"/>
      <c r="CJ3396" s="1645"/>
      <c r="CK3396" s="1645"/>
      <c r="CL3396" s="1645"/>
      <c r="CM3396" s="1645"/>
      <c r="CN3396" s="1645"/>
      <c r="CO3396" s="1645"/>
    </row>
    <row r="3397" spans="1:93" s="1136" customFormat="1" ht="15.75" x14ac:dyDescent="0.25">
      <c r="A3397" s="1649" t="s">
        <v>4775</v>
      </c>
      <c r="B3397" s="1641"/>
      <c r="C3397" s="1407"/>
      <c r="D3397" s="1407"/>
      <c r="E3397" s="1407"/>
      <c r="F3397" s="1407"/>
      <c r="G3397" s="1407"/>
      <c r="H3397" s="1070"/>
      <c r="Q3397" s="1551"/>
      <c r="R3397" s="1551"/>
      <c r="S3397" s="1551"/>
      <c r="T3397" s="1551"/>
      <c r="U3397" s="1551"/>
      <c r="V3397" s="1551"/>
      <c r="W3397" s="1551"/>
      <c r="X3397" s="1551"/>
      <c r="Y3397" s="1551"/>
      <c r="Z3397" s="1551"/>
      <c r="AA3397" s="1645"/>
      <c r="AB3397" s="1645"/>
      <c r="AC3397" s="1645"/>
      <c r="AD3397" s="1645"/>
      <c r="AE3397" s="1645"/>
      <c r="AF3397" s="1645"/>
      <c r="AG3397" s="1645"/>
      <c r="AH3397" s="1645"/>
      <c r="AI3397" s="1645"/>
      <c r="AJ3397" s="1645"/>
      <c r="AK3397" s="1645"/>
      <c r="AL3397" s="1645"/>
      <c r="AM3397" s="1645"/>
      <c r="AN3397" s="1645"/>
      <c r="AO3397" s="1645"/>
      <c r="AP3397" s="1645"/>
      <c r="AQ3397" s="1645"/>
      <c r="AR3397" s="1645"/>
      <c r="AS3397" s="1645"/>
      <c r="AT3397" s="1645"/>
      <c r="AU3397" s="1645"/>
      <c r="AV3397" s="1645"/>
      <c r="AW3397" s="1645"/>
      <c r="AX3397" s="1645"/>
      <c r="AY3397" s="1645"/>
      <c r="AZ3397" s="1645"/>
      <c r="BA3397" s="1645"/>
      <c r="BB3397" s="1645"/>
      <c r="BC3397" s="1645"/>
      <c r="BD3397" s="1645"/>
      <c r="BE3397" s="1645"/>
      <c r="BF3397" s="1645"/>
      <c r="BG3397" s="1645"/>
      <c r="BH3397" s="1645"/>
      <c r="BI3397" s="1645"/>
      <c r="BJ3397" s="1645"/>
      <c r="BK3397" s="1645"/>
      <c r="BL3397" s="1645"/>
      <c r="BM3397" s="1645"/>
      <c r="BN3397" s="1645"/>
      <c r="BO3397" s="1645"/>
      <c r="BP3397" s="1645"/>
      <c r="BQ3397" s="1645"/>
      <c r="BR3397" s="1645"/>
      <c r="BS3397" s="1645"/>
      <c r="BT3397" s="1645"/>
      <c r="BU3397" s="1645"/>
      <c r="BV3397" s="1645"/>
      <c r="BW3397" s="1645"/>
      <c r="BX3397" s="1645"/>
      <c r="BY3397" s="1645"/>
      <c r="BZ3397" s="1645"/>
      <c r="CA3397" s="1645"/>
      <c r="CB3397" s="1645"/>
      <c r="CC3397" s="1645"/>
      <c r="CD3397" s="1645"/>
      <c r="CE3397" s="1645"/>
      <c r="CF3397" s="1645"/>
      <c r="CG3397" s="1645"/>
      <c r="CH3397" s="1645"/>
      <c r="CI3397" s="1645"/>
      <c r="CJ3397" s="1645"/>
      <c r="CK3397" s="1645"/>
      <c r="CL3397" s="1645"/>
      <c r="CM3397" s="1645"/>
      <c r="CN3397" s="1645"/>
      <c r="CO3397" s="1645"/>
    </row>
    <row r="3398" spans="1:93" s="1136" customFormat="1" ht="15.75" x14ac:dyDescent="0.25">
      <c r="A3398" s="1483" t="s">
        <v>1833</v>
      </c>
      <c r="B3398" s="1406">
        <f>B3387</f>
        <v>0</v>
      </c>
      <c r="C3398" s="1407"/>
      <c r="D3398" s="1407"/>
      <c r="E3398" s="1407"/>
      <c r="F3398" s="1407"/>
      <c r="G3398" s="1407"/>
      <c r="H3398" s="1070"/>
      <c r="Q3398" s="1551"/>
      <c r="R3398" s="1551"/>
      <c r="S3398" s="1551"/>
      <c r="T3398" s="1551"/>
      <c r="U3398" s="1551"/>
      <c r="V3398" s="1551"/>
      <c r="W3398" s="1551"/>
      <c r="X3398" s="1551"/>
      <c r="Y3398" s="1551"/>
      <c r="Z3398" s="1551"/>
      <c r="AA3398" s="1645"/>
      <c r="AB3398" s="1645"/>
      <c r="AC3398" s="1645"/>
      <c r="AD3398" s="1645"/>
      <c r="AE3398" s="1645"/>
      <c r="AF3398" s="1645"/>
      <c r="AG3398" s="1645"/>
      <c r="AH3398" s="1645"/>
      <c r="AI3398" s="1645"/>
      <c r="AJ3398" s="1645"/>
      <c r="AK3398" s="1645"/>
      <c r="AL3398" s="1645"/>
      <c r="AM3398" s="1645"/>
      <c r="AN3398" s="1645"/>
      <c r="AO3398" s="1645"/>
      <c r="AP3398" s="1645"/>
      <c r="AQ3398" s="1645"/>
      <c r="AR3398" s="1645"/>
      <c r="AS3398" s="1645"/>
      <c r="AT3398" s="1645"/>
      <c r="AU3398" s="1645"/>
      <c r="AV3398" s="1645"/>
      <c r="AW3398" s="1645"/>
      <c r="AX3398" s="1645"/>
      <c r="AY3398" s="1645"/>
      <c r="AZ3398" s="1645"/>
      <c r="BA3398" s="1645"/>
      <c r="BB3398" s="1645"/>
      <c r="BC3398" s="1645"/>
      <c r="BD3398" s="1645"/>
      <c r="BE3398" s="1645"/>
      <c r="BF3398" s="1645"/>
      <c r="BG3398" s="1645"/>
      <c r="BH3398" s="1645"/>
      <c r="BI3398" s="1645"/>
      <c r="BJ3398" s="1645"/>
      <c r="BK3398" s="1645"/>
      <c r="BL3398" s="1645"/>
      <c r="BM3398" s="1645"/>
      <c r="BN3398" s="1645"/>
      <c r="BO3398" s="1645"/>
      <c r="BP3398" s="1645"/>
      <c r="BQ3398" s="1645"/>
      <c r="BR3398" s="1645"/>
      <c r="BS3398" s="1645"/>
      <c r="BT3398" s="1645"/>
      <c r="BU3398" s="1645"/>
      <c r="BV3398" s="1645"/>
      <c r="BW3398" s="1645"/>
      <c r="BX3398" s="1645"/>
      <c r="BY3398" s="1645"/>
      <c r="BZ3398" s="1645"/>
      <c r="CA3398" s="1645"/>
      <c r="CB3398" s="1645"/>
      <c r="CC3398" s="1645"/>
      <c r="CD3398" s="1645"/>
      <c r="CE3398" s="1645"/>
      <c r="CF3398" s="1645"/>
      <c r="CG3398" s="1645"/>
      <c r="CH3398" s="1645"/>
      <c r="CI3398" s="1645"/>
      <c r="CJ3398" s="1645"/>
      <c r="CK3398" s="1645"/>
      <c r="CL3398" s="1645"/>
      <c r="CM3398" s="1645"/>
      <c r="CN3398" s="1645"/>
      <c r="CO3398" s="1645"/>
    </row>
    <row r="3399" spans="1:93" s="1136" customFormat="1" ht="15.75" x14ac:dyDescent="0.25">
      <c r="A3399" s="1483" t="s">
        <v>1834</v>
      </c>
      <c r="B3399" s="1406">
        <f>B3388</f>
        <v>0</v>
      </c>
      <c r="C3399" s="1407"/>
      <c r="D3399" s="1407"/>
      <c r="E3399" s="1407"/>
      <c r="F3399" s="1407"/>
      <c r="G3399" s="1407"/>
      <c r="H3399" s="1070"/>
      <c r="Q3399" s="1551"/>
      <c r="R3399" s="1551"/>
      <c r="S3399" s="1551"/>
      <c r="T3399" s="1551"/>
      <c r="U3399" s="1551"/>
      <c r="V3399" s="1551"/>
      <c r="W3399" s="1551"/>
      <c r="X3399" s="1551"/>
      <c r="Y3399" s="1551"/>
      <c r="Z3399" s="1551"/>
      <c r="AA3399" s="1645"/>
      <c r="AB3399" s="1645"/>
      <c r="AC3399" s="1645"/>
      <c r="AD3399" s="1645"/>
      <c r="AE3399" s="1645"/>
      <c r="AF3399" s="1645"/>
      <c r="AG3399" s="1645"/>
      <c r="AH3399" s="1645"/>
      <c r="AI3399" s="1645"/>
      <c r="AJ3399" s="1645"/>
      <c r="AK3399" s="1645"/>
      <c r="AL3399" s="1645"/>
      <c r="AM3399" s="1645"/>
      <c r="AN3399" s="1645"/>
      <c r="AO3399" s="1645"/>
      <c r="AP3399" s="1645"/>
      <c r="AQ3399" s="1645"/>
      <c r="AR3399" s="1645"/>
      <c r="AS3399" s="1645"/>
      <c r="AT3399" s="1645"/>
      <c r="AU3399" s="1645"/>
      <c r="AV3399" s="1645"/>
      <c r="AW3399" s="1645"/>
      <c r="AX3399" s="1645"/>
      <c r="AY3399" s="1645"/>
      <c r="AZ3399" s="1645"/>
      <c r="BA3399" s="1645"/>
      <c r="BB3399" s="1645"/>
      <c r="BC3399" s="1645"/>
      <c r="BD3399" s="1645"/>
      <c r="BE3399" s="1645"/>
      <c r="BF3399" s="1645"/>
      <c r="BG3399" s="1645"/>
      <c r="BH3399" s="1645"/>
      <c r="BI3399" s="1645"/>
      <c r="BJ3399" s="1645"/>
      <c r="BK3399" s="1645"/>
      <c r="BL3399" s="1645"/>
      <c r="BM3399" s="1645"/>
      <c r="BN3399" s="1645"/>
      <c r="BO3399" s="1645"/>
      <c r="BP3399" s="1645"/>
      <c r="BQ3399" s="1645"/>
      <c r="BR3399" s="1645"/>
      <c r="BS3399" s="1645"/>
      <c r="BT3399" s="1645"/>
      <c r="BU3399" s="1645"/>
      <c r="BV3399" s="1645"/>
      <c r="BW3399" s="1645"/>
      <c r="BX3399" s="1645"/>
      <c r="BY3399" s="1645"/>
      <c r="BZ3399" s="1645"/>
      <c r="CA3399" s="1645"/>
      <c r="CB3399" s="1645"/>
      <c r="CC3399" s="1645"/>
      <c r="CD3399" s="1645"/>
      <c r="CE3399" s="1645"/>
      <c r="CF3399" s="1645"/>
      <c r="CG3399" s="1645"/>
      <c r="CH3399" s="1645"/>
      <c r="CI3399" s="1645"/>
      <c r="CJ3399" s="1645"/>
      <c r="CK3399" s="1645"/>
      <c r="CL3399" s="1645"/>
      <c r="CM3399" s="1645"/>
      <c r="CN3399" s="1645"/>
      <c r="CO3399" s="1645"/>
    </row>
    <row r="3400" spans="1:93" s="1136" customFormat="1" ht="15.75" x14ac:dyDescent="0.25">
      <c r="A3400" s="1391" t="s">
        <v>1835</v>
      </c>
      <c r="B3400" s="1641">
        <f>SUM(B3398:B3399)</f>
        <v>0</v>
      </c>
      <c r="C3400" s="1407"/>
      <c r="D3400" s="1407"/>
      <c r="E3400" s="1407"/>
      <c r="F3400" s="1407"/>
      <c r="G3400" s="1407"/>
      <c r="H3400" s="1070"/>
      <c r="Q3400" s="1551"/>
      <c r="R3400" s="1551"/>
      <c r="S3400" s="1551"/>
      <c r="T3400" s="1551"/>
      <c r="U3400" s="1551"/>
      <c r="V3400" s="1551"/>
      <c r="W3400" s="1551"/>
      <c r="X3400" s="1551"/>
      <c r="Y3400" s="1551"/>
      <c r="Z3400" s="1551"/>
      <c r="AA3400" s="1645"/>
      <c r="AB3400" s="1645"/>
      <c r="AC3400" s="1645"/>
      <c r="AD3400" s="1645"/>
      <c r="AE3400" s="1645"/>
      <c r="AF3400" s="1645"/>
      <c r="AG3400" s="1645"/>
      <c r="AH3400" s="1645"/>
      <c r="AI3400" s="1645"/>
      <c r="AJ3400" s="1645"/>
      <c r="AK3400" s="1645"/>
      <c r="AL3400" s="1645"/>
      <c r="AM3400" s="1645"/>
      <c r="AN3400" s="1645"/>
      <c r="AO3400" s="1645"/>
      <c r="AP3400" s="1645"/>
      <c r="AQ3400" s="1645"/>
      <c r="AR3400" s="1645"/>
      <c r="AS3400" s="1645"/>
      <c r="AT3400" s="1645"/>
      <c r="AU3400" s="1645"/>
      <c r="AV3400" s="1645"/>
      <c r="AW3400" s="1645"/>
      <c r="AX3400" s="1645"/>
      <c r="AY3400" s="1645"/>
      <c r="AZ3400" s="1645"/>
      <c r="BA3400" s="1645"/>
      <c r="BB3400" s="1645"/>
      <c r="BC3400" s="1645"/>
      <c r="BD3400" s="1645"/>
      <c r="BE3400" s="1645"/>
      <c r="BF3400" s="1645"/>
      <c r="BG3400" s="1645"/>
      <c r="BH3400" s="1645"/>
      <c r="BI3400" s="1645"/>
      <c r="BJ3400" s="1645"/>
      <c r="BK3400" s="1645"/>
      <c r="BL3400" s="1645"/>
      <c r="BM3400" s="1645"/>
      <c r="BN3400" s="1645"/>
      <c r="BO3400" s="1645"/>
      <c r="BP3400" s="1645"/>
      <c r="BQ3400" s="1645"/>
      <c r="BR3400" s="1645"/>
      <c r="BS3400" s="1645"/>
      <c r="BT3400" s="1645"/>
      <c r="BU3400" s="1645"/>
      <c r="BV3400" s="1645"/>
      <c r="BW3400" s="1645"/>
      <c r="BX3400" s="1645"/>
      <c r="BY3400" s="1645"/>
      <c r="BZ3400" s="1645"/>
      <c r="CA3400" s="1645"/>
      <c r="CB3400" s="1645"/>
      <c r="CC3400" s="1645"/>
      <c r="CD3400" s="1645"/>
      <c r="CE3400" s="1645"/>
      <c r="CF3400" s="1645"/>
      <c r="CG3400" s="1645"/>
      <c r="CH3400" s="1645"/>
      <c r="CI3400" s="1645"/>
      <c r="CJ3400" s="1645"/>
      <c r="CK3400" s="1645"/>
      <c r="CL3400" s="1645"/>
      <c r="CM3400" s="1645"/>
      <c r="CN3400" s="1645"/>
      <c r="CO3400" s="1645"/>
    </row>
    <row r="3401" spans="1:93" s="1136" customFormat="1" ht="15.75" x14ac:dyDescent="0.25">
      <c r="A3401" s="1483" t="s">
        <v>4776</v>
      </c>
      <c r="B3401" s="1641">
        <v>10.8</v>
      </c>
      <c r="C3401" s="1407"/>
      <c r="D3401" s="1407"/>
      <c r="E3401" s="1407"/>
      <c r="F3401" s="1407"/>
      <c r="G3401" s="1407"/>
      <c r="H3401" s="1070"/>
      <c r="Q3401" s="1551"/>
      <c r="R3401" s="1551"/>
      <c r="S3401" s="1551"/>
      <c r="T3401" s="1551"/>
      <c r="U3401" s="1551"/>
      <c r="V3401" s="1551"/>
      <c r="W3401" s="1551"/>
      <c r="X3401" s="1551"/>
      <c r="Y3401" s="1551"/>
      <c r="Z3401" s="1551"/>
      <c r="AA3401" s="1645"/>
      <c r="AB3401" s="1645"/>
      <c r="AC3401" s="1645"/>
      <c r="AD3401" s="1645"/>
      <c r="AE3401" s="1645"/>
      <c r="AF3401" s="1645"/>
      <c r="AG3401" s="1645"/>
      <c r="AH3401" s="1645"/>
      <c r="AI3401" s="1645"/>
      <c r="AJ3401" s="1645"/>
      <c r="AK3401" s="1645"/>
      <c r="AL3401" s="1645"/>
      <c r="AM3401" s="1645"/>
      <c r="AN3401" s="1645"/>
      <c r="AO3401" s="1645"/>
      <c r="AP3401" s="1645"/>
      <c r="AQ3401" s="1645"/>
      <c r="AR3401" s="1645"/>
      <c r="AS3401" s="1645"/>
      <c r="AT3401" s="1645"/>
      <c r="AU3401" s="1645"/>
      <c r="AV3401" s="1645"/>
      <c r="AW3401" s="1645"/>
      <c r="AX3401" s="1645"/>
      <c r="AY3401" s="1645"/>
      <c r="AZ3401" s="1645"/>
      <c r="BA3401" s="1645"/>
      <c r="BB3401" s="1645"/>
      <c r="BC3401" s="1645"/>
      <c r="BD3401" s="1645"/>
      <c r="BE3401" s="1645"/>
      <c r="BF3401" s="1645"/>
      <c r="BG3401" s="1645"/>
      <c r="BH3401" s="1645"/>
      <c r="BI3401" s="1645"/>
      <c r="BJ3401" s="1645"/>
      <c r="BK3401" s="1645"/>
      <c r="BL3401" s="1645"/>
      <c r="BM3401" s="1645"/>
      <c r="BN3401" s="1645"/>
      <c r="BO3401" s="1645"/>
      <c r="BP3401" s="1645"/>
      <c r="BQ3401" s="1645"/>
      <c r="BR3401" s="1645"/>
      <c r="BS3401" s="1645"/>
      <c r="BT3401" s="1645"/>
      <c r="BU3401" s="1645"/>
      <c r="BV3401" s="1645"/>
      <c r="BW3401" s="1645"/>
      <c r="BX3401" s="1645"/>
      <c r="BY3401" s="1645"/>
      <c r="BZ3401" s="1645"/>
      <c r="CA3401" s="1645"/>
      <c r="CB3401" s="1645"/>
      <c r="CC3401" s="1645"/>
      <c r="CD3401" s="1645"/>
      <c r="CE3401" s="1645"/>
      <c r="CF3401" s="1645"/>
      <c r="CG3401" s="1645"/>
      <c r="CH3401" s="1645"/>
      <c r="CI3401" s="1645"/>
      <c r="CJ3401" s="1645"/>
      <c r="CK3401" s="1645"/>
      <c r="CL3401" s="1645"/>
      <c r="CM3401" s="1645"/>
      <c r="CN3401" s="1645"/>
      <c r="CO3401" s="1645"/>
    </row>
    <row r="3402" spans="1:93" s="1136" customFormat="1" ht="15.75" x14ac:dyDescent="0.25">
      <c r="A3402" s="1483" t="s">
        <v>4777</v>
      </c>
      <c r="B3402" s="1641">
        <v>12.4</v>
      </c>
      <c r="C3402" s="1407"/>
      <c r="D3402" s="1407"/>
      <c r="E3402" s="1407"/>
      <c r="F3402" s="1407"/>
      <c r="G3402" s="1407"/>
      <c r="H3402" s="1070"/>
      <c r="Q3402" s="1551"/>
      <c r="R3402" s="1551"/>
      <c r="S3402" s="1551"/>
      <c r="T3402" s="1551"/>
      <c r="U3402" s="1551"/>
      <c r="V3402" s="1551"/>
      <c r="W3402" s="1551"/>
      <c r="X3402" s="1551"/>
      <c r="Y3402" s="1551"/>
      <c r="Z3402" s="1551"/>
      <c r="AA3402" s="1645"/>
      <c r="AB3402" s="1645"/>
      <c r="AC3402" s="1645"/>
      <c r="AD3402" s="1645"/>
      <c r="AE3402" s="1645"/>
      <c r="AF3402" s="1645"/>
      <c r="AG3402" s="1645"/>
      <c r="AH3402" s="1645"/>
      <c r="AI3402" s="1645"/>
      <c r="AJ3402" s="1645"/>
      <c r="AK3402" s="1645"/>
      <c r="AL3402" s="1645"/>
      <c r="AM3402" s="1645"/>
      <c r="AN3402" s="1645"/>
      <c r="AO3402" s="1645"/>
      <c r="AP3402" s="1645"/>
      <c r="AQ3402" s="1645"/>
      <c r="AR3402" s="1645"/>
      <c r="AS3402" s="1645"/>
      <c r="AT3402" s="1645"/>
      <c r="AU3402" s="1645"/>
      <c r="AV3402" s="1645"/>
      <c r="AW3402" s="1645"/>
      <c r="AX3402" s="1645"/>
      <c r="AY3402" s="1645"/>
      <c r="AZ3402" s="1645"/>
      <c r="BA3402" s="1645"/>
      <c r="BB3402" s="1645"/>
      <c r="BC3402" s="1645"/>
      <c r="BD3402" s="1645"/>
      <c r="BE3402" s="1645"/>
      <c r="BF3402" s="1645"/>
      <c r="BG3402" s="1645"/>
      <c r="BH3402" s="1645"/>
      <c r="BI3402" s="1645"/>
      <c r="BJ3402" s="1645"/>
      <c r="BK3402" s="1645"/>
      <c r="BL3402" s="1645"/>
      <c r="BM3402" s="1645"/>
      <c r="BN3402" s="1645"/>
      <c r="BO3402" s="1645"/>
      <c r="BP3402" s="1645"/>
      <c r="BQ3402" s="1645"/>
      <c r="BR3402" s="1645"/>
      <c r="BS3402" s="1645"/>
      <c r="BT3402" s="1645"/>
      <c r="BU3402" s="1645"/>
      <c r="BV3402" s="1645"/>
      <c r="BW3402" s="1645"/>
      <c r="BX3402" s="1645"/>
      <c r="BY3402" s="1645"/>
      <c r="BZ3402" s="1645"/>
      <c r="CA3402" s="1645"/>
      <c r="CB3402" s="1645"/>
      <c r="CC3402" s="1645"/>
      <c r="CD3402" s="1645"/>
      <c r="CE3402" s="1645"/>
      <c r="CF3402" s="1645"/>
      <c r="CG3402" s="1645"/>
      <c r="CH3402" s="1645"/>
      <c r="CI3402" s="1645"/>
      <c r="CJ3402" s="1645"/>
      <c r="CK3402" s="1645"/>
      <c r="CL3402" s="1645"/>
      <c r="CM3402" s="1645"/>
      <c r="CN3402" s="1645"/>
      <c r="CO3402" s="1645"/>
    </row>
    <row r="3403" spans="1:93" s="1136" customFormat="1" ht="15.75" x14ac:dyDescent="0.25">
      <c r="A3403" s="1651" t="s">
        <v>1855</v>
      </c>
      <c r="B3403" s="1641">
        <f>B3400/B3401+B3400/B3402</f>
        <v>0</v>
      </c>
      <c r="C3403" s="1407"/>
      <c r="D3403" s="1407"/>
      <c r="E3403" s="1407"/>
      <c r="F3403" s="1407"/>
      <c r="G3403" s="1407"/>
      <c r="H3403" s="1070"/>
      <c r="Q3403" s="1551"/>
      <c r="R3403" s="1551"/>
      <c r="S3403" s="1551"/>
      <c r="T3403" s="1551"/>
      <c r="U3403" s="1551"/>
      <c r="V3403" s="1551"/>
      <c r="W3403" s="1551"/>
      <c r="X3403" s="1551"/>
      <c r="Y3403" s="1551"/>
      <c r="Z3403" s="1551"/>
      <c r="AA3403" s="1645"/>
      <c r="AB3403" s="1645"/>
      <c r="AC3403" s="1645"/>
      <c r="AD3403" s="1645"/>
      <c r="AE3403" s="1645"/>
      <c r="AF3403" s="1645"/>
      <c r="AG3403" s="1645"/>
      <c r="AH3403" s="1645"/>
      <c r="AI3403" s="1645"/>
      <c r="AJ3403" s="1645"/>
      <c r="AK3403" s="1645"/>
      <c r="AL3403" s="1645"/>
      <c r="AM3403" s="1645"/>
      <c r="AN3403" s="1645"/>
      <c r="AO3403" s="1645"/>
      <c r="AP3403" s="1645"/>
      <c r="AQ3403" s="1645"/>
      <c r="AR3403" s="1645"/>
      <c r="AS3403" s="1645"/>
      <c r="AT3403" s="1645"/>
      <c r="AU3403" s="1645"/>
      <c r="AV3403" s="1645"/>
      <c r="AW3403" s="1645"/>
      <c r="AX3403" s="1645"/>
      <c r="AY3403" s="1645"/>
      <c r="AZ3403" s="1645"/>
      <c r="BA3403" s="1645"/>
      <c r="BB3403" s="1645"/>
      <c r="BC3403" s="1645"/>
      <c r="BD3403" s="1645"/>
      <c r="BE3403" s="1645"/>
      <c r="BF3403" s="1645"/>
      <c r="BG3403" s="1645"/>
      <c r="BH3403" s="1645"/>
      <c r="BI3403" s="1645"/>
      <c r="BJ3403" s="1645"/>
      <c r="BK3403" s="1645"/>
      <c r="BL3403" s="1645"/>
      <c r="BM3403" s="1645"/>
      <c r="BN3403" s="1645"/>
      <c r="BO3403" s="1645"/>
      <c r="BP3403" s="1645"/>
      <c r="BQ3403" s="1645"/>
      <c r="BR3403" s="1645"/>
      <c r="BS3403" s="1645"/>
      <c r="BT3403" s="1645"/>
      <c r="BU3403" s="1645"/>
      <c r="BV3403" s="1645"/>
      <c r="BW3403" s="1645"/>
      <c r="BX3403" s="1645"/>
      <c r="BY3403" s="1645"/>
      <c r="BZ3403" s="1645"/>
      <c r="CA3403" s="1645"/>
      <c r="CB3403" s="1645"/>
      <c r="CC3403" s="1645"/>
      <c r="CD3403" s="1645"/>
      <c r="CE3403" s="1645"/>
      <c r="CF3403" s="1645"/>
      <c r="CG3403" s="1645"/>
      <c r="CH3403" s="1645"/>
      <c r="CI3403" s="1645"/>
      <c r="CJ3403" s="1645"/>
      <c r="CK3403" s="1645"/>
      <c r="CL3403" s="1645"/>
      <c r="CM3403" s="1645"/>
      <c r="CN3403" s="1645"/>
      <c r="CO3403" s="1645"/>
    </row>
    <row r="3404" spans="1:93" s="1136" customFormat="1" ht="15.75" x14ac:dyDescent="0.25">
      <c r="A3404" s="1658" t="s">
        <v>4778</v>
      </c>
      <c r="B3404" s="1046"/>
      <c r="C3404" s="1070"/>
      <c r="D3404" s="1070"/>
      <c r="E3404" s="1070"/>
      <c r="F3404" s="1070"/>
      <c r="G3404" s="1070"/>
      <c r="H3404" s="1070"/>
      <c r="Q3404" s="1551"/>
      <c r="R3404" s="1551"/>
      <c r="S3404" s="1551"/>
      <c r="T3404" s="1551"/>
      <c r="U3404" s="1551"/>
      <c r="V3404" s="1551"/>
      <c r="W3404" s="1551"/>
      <c r="X3404" s="1551"/>
      <c r="Y3404" s="1551"/>
      <c r="Z3404" s="1551"/>
      <c r="AA3404" s="1645"/>
      <c r="AB3404" s="1645"/>
      <c r="AC3404" s="1645"/>
      <c r="AD3404" s="1645"/>
      <c r="AE3404" s="1645"/>
      <c r="AF3404" s="1645"/>
      <c r="AG3404" s="1645"/>
      <c r="AH3404" s="1645"/>
      <c r="AI3404" s="1645"/>
      <c r="AJ3404" s="1645"/>
      <c r="AK3404" s="1645"/>
      <c r="AL3404" s="1645"/>
      <c r="AM3404" s="1645"/>
      <c r="AN3404" s="1645"/>
      <c r="AO3404" s="1645"/>
      <c r="AP3404" s="1645"/>
      <c r="AQ3404" s="1645"/>
      <c r="AR3404" s="1645"/>
      <c r="AS3404" s="1645"/>
      <c r="AT3404" s="1645"/>
      <c r="AU3404" s="1645"/>
      <c r="AV3404" s="1645"/>
      <c r="AW3404" s="1645"/>
      <c r="AX3404" s="1645"/>
      <c r="AY3404" s="1645"/>
      <c r="AZ3404" s="1645"/>
      <c r="BA3404" s="1645"/>
      <c r="BB3404" s="1645"/>
      <c r="BC3404" s="1645"/>
      <c r="BD3404" s="1645"/>
      <c r="BE3404" s="1645"/>
      <c r="BF3404" s="1645"/>
      <c r="BG3404" s="1645"/>
      <c r="BH3404" s="1645"/>
      <c r="BI3404" s="1645"/>
      <c r="BJ3404" s="1645"/>
      <c r="BK3404" s="1645"/>
      <c r="BL3404" s="1645"/>
      <c r="BM3404" s="1645"/>
      <c r="BN3404" s="1645"/>
      <c r="BO3404" s="1645"/>
      <c r="BP3404" s="1645"/>
      <c r="BQ3404" s="1645"/>
      <c r="BR3404" s="1645"/>
      <c r="BS3404" s="1645"/>
      <c r="BT3404" s="1645"/>
      <c r="BU3404" s="1645"/>
      <c r="BV3404" s="1645"/>
      <c r="BW3404" s="1645"/>
      <c r="BX3404" s="1645"/>
      <c r="BY3404" s="1645"/>
      <c r="BZ3404" s="1645"/>
      <c r="CA3404" s="1645"/>
      <c r="CB3404" s="1645"/>
      <c r="CC3404" s="1645"/>
      <c r="CD3404" s="1645"/>
      <c r="CE3404" s="1645"/>
      <c r="CF3404" s="1645"/>
      <c r="CG3404" s="1645"/>
      <c r="CH3404" s="1645"/>
      <c r="CI3404" s="1645"/>
      <c r="CJ3404" s="1645"/>
      <c r="CK3404" s="1645"/>
      <c r="CL3404" s="1645"/>
      <c r="CM3404" s="1645"/>
      <c r="CN3404" s="1645"/>
      <c r="CO3404" s="1645"/>
    </row>
    <row r="3405" spans="1:93" s="1136" customFormat="1" ht="15.75" x14ac:dyDescent="0.25">
      <c r="A3405" s="1391" t="s">
        <v>4779</v>
      </c>
      <c r="B3405" s="1650">
        <v>2000</v>
      </c>
      <c r="C3405" s="1070"/>
      <c r="D3405" s="1070"/>
      <c r="E3405" s="1070"/>
      <c r="F3405" s="1070"/>
      <c r="G3405" s="1070"/>
      <c r="H3405" s="1070"/>
      <c r="Q3405" s="1551"/>
      <c r="R3405" s="1551"/>
      <c r="S3405" s="1551"/>
      <c r="T3405" s="1551"/>
      <c r="U3405" s="1551"/>
      <c r="V3405" s="1551"/>
      <c r="W3405" s="1551"/>
      <c r="X3405" s="1551"/>
      <c r="Y3405" s="1551"/>
      <c r="Z3405" s="1551"/>
      <c r="AA3405" s="1645"/>
      <c r="AB3405" s="1645"/>
      <c r="AC3405" s="1645"/>
      <c r="AD3405" s="1645"/>
      <c r="AE3405" s="1645"/>
      <c r="AF3405" s="1645"/>
      <c r="AG3405" s="1645"/>
      <c r="AH3405" s="1645"/>
      <c r="AI3405" s="1645"/>
      <c r="AJ3405" s="1645"/>
      <c r="AK3405" s="1645"/>
      <c r="AL3405" s="1645"/>
      <c r="AM3405" s="1645"/>
      <c r="AN3405" s="1645"/>
      <c r="AO3405" s="1645"/>
      <c r="AP3405" s="1645"/>
      <c r="AQ3405" s="1645"/>
      <c r="AR3405" s="1645"/>
      <c r="AS3405" s="1645"/>
      <c r="AT3405" s="1645"/>
      <c r="AU3405" s="1645"/>
      <c r="AV3405" s="1645"/>
      <c r="AW3405" s="1645"/>
      <c r="AX3405" s="1645"/>
      <c r="AY3405" s="1645"/>
      <c r="AZ3405" s="1645"/>
      <c r="BA3405" s="1645"/>
      <c r="BB3405" s="1645"/>
      <c r="BC3405" s="1645"/>
      <c r="BD3405" s="1645"/>
      <c r="BE3405" s="1645"/>
      <c r="BF3405" s="1645"/>
      <c r="BG3405" s="1645"/>
      <c r="BH3405" s="1645"/>
      <c r="BI3405" s="1645"/>
      <c r="BJ3405" s="1645"/>
      <c r="BK3405" s="1645"/>
      <c r="BL3405" s="1645"/>
      <c r="BM3405" s="1645"/>
      <c r="BN3405" s="1645"/>
      <c r="BO3405" s="1645"/>
      <c r="BP3405" s="1645"/>
      <c r="BQ3405" s="1645"/>
      <c r="BR3405" s="1645"/>
      <c r="BS3405" s="1645"/>
      <c r="BT3405" s="1645"/>
      <c r="BU3405" s="1645"/>
      <c r="BV3405" s="1645"/>
      <c r="BW3405" s="1645"/>
      <c r="BX3405" s="1645"/>
      <c r="BY3405" s="1645"/>
      <c r="BZ3405" s="1645"/>
      <c r="CA3405" s="1645"/>
      <c r="CB3405" s="1645"/>
      <c r="CC3405" s="1645"/>
      <c r="CD3405" s="1645"/>
      <c r="CE3405" s="1645"/>
      <c r="CF3405" s="1645"/>
      <c r="CG3405" s="1645"/>
      <c r="CH3405" s="1645"/>
      <c r="CI3405" s="1645"/>
      <c r="CJ3405" s="1645"/>
      <c r="CK3405" s="1645"/>
      <c r="CL3405" s="1645"/>
      <c r="CM3405" s="1645"/>
      <c r="CN3405" s="1645"/>
      <c r="CO3405" s="1645"/>
    </row>
    <row r="3406" spans="1:93" s="1136" customFormat="1" ht="15.75" x14ac:dyDescent="0.25">
      <c r="A3406" s="1649" t="s">
        <v>4780</v>
      </c>
      <c r="B3406" s="1046"/>
      <c r="C3406" s="1070"/>
      <c r="D3406" s="1070"/>
      <c r="E3406" s="1070"/>
      <c r="F3406" s="1070"/>
      <c r="G3406" s="1070"/>
      <c r="H3406" s="1070"/>
      <c r="Q3406" s="1551"/>
      <c r="R3406" s="1551"/>
      <c r="S3406" s="1551"/>
      <c r="T3406" s="1551"/>
      <c r="U3406" s="1551"/>
      <c r="V3406" s="1551"/>
      <c r="W3406" s="1551"/>
      <c r="X3406" s="1551"/>
      <c r="Y3406" s="1551"/>
      <c r="Z3406" s="1551"/>
      <c r="AA3406" s="1645"/>
      <c r="AB3406" s="1645"/>
      <c r="AC3406" s="1645"/>
      <c r="AD3406" s="1645"/>
      <c r="AE3406" s="1645"/>
      <c r="AF3406" s="1645"/>
      <c r="AG3406" s="1645"/>
      <c r="AH3406" s="1645"/>
      <c r="AI3406" s="1645"/>
      <c r="AJ3406" s="1645"/>
      <c r="AK3406" s="1645"/>
      <c r="AL3406" s="1645"/>
      <c r="AM3406" s="1645"/>
      <c r="AN3406" s="1645"/>
      <c r="AO3406" s="1645"/>
      <c r="AP3406" s="1645"/>
      <c r="AQ3406" s="1645"/>
      <c r="AR3406" s="1645"/>
      <c r="AS3406" s="1645"/>
      <c r="AT3406" s="1645"/>
      <c r="AU3406" s="1645"/>
      <c r="AV3406" s="1645"/>
      <c r="AW3406" s="1645"/>
      <c r="AX3406" s="1645"/>
      <c r="AY3406" s="1645"/>
      <c r="AZ3406" s="1645"/>
      <c r="BA3406" s="1645"/>
      <c r="BB3406" s="1645"/>
      <c r="BC3406" s="1645"/>
      <c r="BD3406" s="1645"/>
      <c r="BE3406" s="1645"/>
      <c r="BF3406" s="1645"/>
      <c r="BG3406" s="1645"/>
      <c r="BH3406" s="1645"/>
      <c r="BI3406" s="1645"/>
      <c r="BJ3406" s="1645"/>
      <c r="BK3406" s="1645"/>
      <c r="BL3406" s="1645"/>
      <c r="BM3406" s="1645"/>
      <c r="BN3406" s="1645"/>
      <c r="BO3406" s="1645"/>
      <c r="BP3406" s="1645"/>
      <c r="BQ3406" s="1645"/>
      <c r="BR3406" s="1645"/>
      <c r="BS3406" s="1645"/>
      <c r="BT3406" s="1645"/>
      <c r="BU3406" s="1645"/>
      <c r="BV3406" s="1645"/>
      <c r="BW3406" s="1645"/>
      <c r="BX3406" s="1645"/>
      <c r="BY3406" s="1645"/>
      <c r="BZ3406" s="1645"/>
      <c r="CA3406" s="1645"/>
      <c r="CB3406" s="1645"/>
      <c r="CC3406" s="1645"/>
      <c r="CD3406" s="1645"/>
      <c r="CE3406" s="1645"/>
      <c r="CF3406" s="1645"/>
      <c r="CG3406" s="1645"/>
      <c r="CH3406" s="1645"/>
      <c r="CI3406" s="1645"/>
      <c r="CJ3406" s="1645"/>
      <c r="CK3406" s="1645"/>
      <c r="CL3406" s="1645"/>
      <c r="CM3406" s="1645"/>
      <c r="CN3406" s="1645"/>
      <c r="CO3406" s="1645"/>
    </row>
    <row r="3407" spans="1:93" s="1136" customFormat="1" ht="15.75" x14ac:dyDescent="0.25">
      <c r="A3407" s="1483" t="s">
        <v>4781</v>
      </c>
      <c r="B3407" s="1641" t="e">
        <f>B3347+B3351+B3352+B3353</f>
        <v>#VALUE!</v>
      </c>
      <c r="C3407" s="1407"/>
      <c r="D3407" s="1407"/>
      <c r="E3407" s="1407"/>
      <c r="F3407" s="1407"/>
      <c r="G3407" s="1407"/>
      <c r="H3407" s="1070"/>
      <c r="Q3407" s="1551"/>
      <c r="R3407" s="1551"/>
      <c r="S3407" s="1551"/>
      <c r="T3407" s="1551"/>
      <c r="U3407" s="1551"/>
      <c r="V3407" s="1551"/>
      <c r="W3407" s="1551"/>
      <c r="X3407" s="1551"/>
      <c r="Y3407" s="1551"/>
      <c r="Z3407" s="1551"/>
      <c r="AA3407" s="1645"/>
      <c r="AB3407" s="1645"/>
      <c r="AC3407" s="1645"/>
      <c r="AD3407" s="1645"/>
      <c r="AE3407" s="1645"/>
      <c r="AF3407" s="1645"/>
      <c r="AG3407" s="1645"/>
      <c r="AH3407" s="1645"/>
      <c r="AI3407" s="1645"/>
      <c r="AJ3407" s="1645"/>
      <c r="AK3407" s="1645"/>
      <c r="AL3407" s="1645"/>
      <c r="AM3407" s="1645"/>
      <c r="AN3407" s="1645"/>
      <c r="AO3407" s="1645"/>
      <c r="AP3407" s="1645"/>
      <c r="AQ3407" s="1645"/>
      <c r="AR3407" s="1645"/>
      <c r="AS3407" s="1645"/>
      <c r="AT3407" s="1645"/>
      <c r="AU3407" s="1645"/>
      <c r="AV3407" s="1645"/>
      <c r="AW3407" s="1645"/>
      <c r="AX3407" s="1645"/>
      <c r="AY3407" s="1645"/>
      <c r="AZ3407" s="1645"/>
      <c r="BA3407" s="1645"/>
      <c r="BB3407" s="1645"/>
      <c r="BC3407" s="1645"/>
      <c r="BD3407" s="1645"/>
      <c r="BE3407" s="1645"/>
      <c r="BF3407" s="1645"/>
      <c r="BG3407" s="1645"/>
      <c r="BH3407" s="1645"/>
      <c r="BI3407" s="1645"/>
      <c r="BJ3407" s="1645"/>
      <c r="BK3407" s="1645"/>
      <c r="BL3407" s="1645"/>
      <c r="BM3407" s="1645"/>
      <c r="BN3407" s="1645"/>
      <c r="BO3407" s="1645"/>
      <c r="BP3407" s="1645"/>
      <c r="BQ3407" s="1645"/>
      <c r="BR3407" s="1645"/>
      <c r="BS3407" s="1645"/>
      <c r="BT3407" s="1645"/>
      <c r="BU3407" s="1645"/>
      <c r="BV3407" s="1645"/>
      <c r="BW3407" s="1645"/>
      <c r="BX3407" s="1645"/>
      <c r="BY3407" s="1645"/>
      <c r="BZ3407" s="1645"/>
      <c r="CA3407" s="1645"/>
      <c r="CB3407" s="1645"/>
      <c r="CC3407" s="1645"/>
      <c r="CD3407" s="1645"/>
      <c r="CE3407" s="1645"/>
      <c r="CF3407" s="1645"/>
      <c r="CG3407" s="1645"/>
      <c r="CH3407" s="1645"/>
      <c r="CI3407" s="1645"/>
      <c r="CJ3407" s="1645"/>
      <c r="CK3407" s="1645"/>
      <c r="CL3407" s="1645"/>
      <c r="CM3407" s="1645"/>
      <c r="CN3407" s="1645"/>
      <c r="CO3407" s="1645"/>
    </row>
    <row r="3408" spans="1:93" s="1136" customFormat="1" ht="15.75" x14ac:dyDescent="0.25">
      <c r="A3408" s="1483" t="s">
        <v>5147</v>
      </c>
      <c r="B3408" s="1641">
        <f>16111*B3405^-0.653</f>
        <v>112.60298683393111</v>
      </c>
      <c r="C3408" s="1407"/>
      <c r="D3408" s="1407"/>
      <c r="E3408" s="1407"/>
      <c r="F3408" s="1407"/>
      <c r="G3408" s="1407"/>
      <c r="H3408" s="1070"/>
      <c r="Q3408" s="1551"/>
      <c r="R3408" s="1551"/>
      <c r="S3408" s="1551"/>
      <c r="T3408" s="1551"/>
      <c r="U3408" s="1551"/>
      <c r="V3408" s="1551"/>
      <c r="W3408" s="1551"/>
      <c r="X3408" s="1551"/>
      <c r="Y3408" s="1551"/>
      <c r="Z3408" s="1551"/>
      <c r="AA3408" s="1645"/>
      <c r="AB3408" s="1645"/>
      <c r="AC3408" s="1645"/>
      <c r="AD3408" s="1645"/>
      <c r="AE3408" s="1645"/>
      <c r="AF3408" s="1645"/>
      <c r="AG3408" s="1645"/>
      <c r="AH3408" s="1645"/>
      <c r="AI3408" s="1645"/>
      <c r="AJ3408" s="1645"/>
      <c r="AK3408" s="1645"/>
      <c r="AL3408" s="1645"/>
      <c r="AM3408" s="1645"/>
      <c r="AN3408" s="1645"/>
      <c r="AO3408" s="1645"/>
      <c r="AP3408" s="1645"/>
      <c r="AQ3408" s="1645"/>
      <c r="AR3408" s="1645"/>
      <c r="AS3408" s="1645"/>
      <c r="AT3408" s="1645"/>
      <c r="AU3408" s="1645"/>
      <c r="AV3408" s="1645"/>
      <c r="AW3408" s="1645"/>
      <c r="AX3408" s="1645"/>
      <c r="AY3408" s="1645"/>
      <c r="AZ3408" s="1645"/>
      <c r="BA3408" s="1645"/>
      <c r="BB3408" s="1645"/>
      <c r="BC3408" s="1645"/>
      <c r="BD3408" s="1645"/>
      <c r="BE3408" s="1645"/>
      <c r="BF3408" s="1645"/>
      <c r="BG3408" s="1645"/>
      <c r="BH3408" s="1645"/>
      <c r="BI3408" s="1645"/>
      <c r="BJ3408" s="1645"/>
      <c r="BK3408" s="1645"/>
      <c r="BL3408" s="1645"/>
      <c r="BM3408" s="1645"/>
      <c r="BN3408" s="1645"/>
      <c r="BO3408" s="1645"/>
      <c r="BP3408" s="1645"/>
      <c r="BQ3408" s="1645"/>
      <c r="BR3408" s="1645"/>
      <c r="BS3408" s="1645"/>
      <c r="BT3408" s="1645"/>
      <c r="BU3408" s="1645"/>
      <c r="BV3408" s="1645"/>
      <c r="BW3408" s="1645"/>
      <c r="BX3408" s="1645"/>
      <c r="BY3408" s="1645"/>
      <c r="BZ3408" s="1645"/>
      <c r="CA3408" s="1645"/>
      <c r="CB3408" s="1645"/>
      <c r="CC3408" s="1645"/>
      <c r="CD3408" s="1645"/>
      <c r="CE3408" s="1645"/>
      <c r="CF3408" s="1645"/>
      <c r="CG3408" s="1645"/>
      <c r="CH3408" s="1645"/>
      <c r="CI3408" s="1645"/>
      <c r="CJ3408" s="1645"/>
      <c r="CK3408" s="1645"/>
      <c r="CL3408" s="1645"/>
      <c r="CM3408" s="1645"/>
      <c r="CN3408" s="1645"/>
      <c r="CO3408" s="1645"/>
    </row>
    <row r="3409" spans="1:93" s="1136" customFormat="1" ht="15.75" x14ac:dyDescent="0.25">
      <c r="A3409" s="1483" t="s">
        <v>3088</v>
      </c>
      <c r="B3409" s="1641" t="e">
        <f>B3407/B3408</f>
        <v>#VALUE!</v>
      </c>
      <c r="C3409" s="1407"/>
      <c r="D3409" s="1407"/>
      <c r="E3409" s="1407"/>
      <c r="F3409" s="1407"/>
      <c r="G3409" s="1407"/>
      <c r="H3409" s="1070"/>
      <c r="Q3409" s="1551"/>
      <c r="R3409" s="1551"/>
      <c r="S3409" s="1551"/>
      <c r="T3409" s="1551"/>
      <c r="U3409" s="1551"/>
      <c r="V3409" s="1551"/>
      <c r="W3409" s="1551"/>
      <c r="X3409" s="1551"/>
      <c r="Y3409" s="1551"/>
      <c r="Z3409" s="1551"/>
      <c r="AA3409" s="1645"/>
      <c r="AB3409" s="1645"/>
      <c r="AC3409" s="1645"/>
      <c r="AD3409" s="1645"/>
      <c r="AE3409" s="1645"/>
      <c r="AF3409" s="1645"/>
      <c r="AG3409" s="1645"/>
      <c r="AH3409" s="1645"/>
      <c r="AI3409" s="1645"/>
      <c r="AJ3409" s="1645"/>
      <c r="AK3409" s="1645"/>
      <c r="AL3409" s="1645"/>
      <c r="AM3409" s="1645"/>
      <c r="AN3409" s="1645"/>
      <c r="AO3409" s="1645"/>
      <c r="AP3409" s="1645"/>
      <c r="AQ3409" s="1645"/>
      <c r="AR3409" s="1645"/>
      <c r="AS3409" s="1645"/>
      <c r="AT3409" s="1645"/>
      <c r="AU3409" s="1645"/>
      <c r="AV3409" s="1645"/>
      <c r="AW3409" s="1645"/>
      <c r="AX3409" s="1645"/>
      <c r="AY3409" s="1645"/>
      <c r="AZ3409" s="1645"/>
      <c r="BA3409" s="1645"/>
      <c r="BB3409" s="1645"/>
      <c r="BC3409" s="1645"/>
      <c r="BD3409" s="1645"/>
      <c r="BE3409" s="1645"/>
      <c r="BF3409" s="1645"/>
      <c r="BG3409" s="1645"/>
      <c r="BH3409" s="1645"/>
      <c r="BI3409" s="1645"/>
      <c r="BJ3409" s="1645"/>
      <c r="BK3409" s="1645"/>
      <c r="BL3409" s="1645"/>
      <c r="BM3409" s="1645"/>
      <c r="BN3409" s="1645"/>
      <c r="BO3409" s="1645"/>
      <c r="BP3409" s="1645"/>
      <c r="BQ3409" s="1645"/>
      <c r="BR3409" s="1645"/>
      <c r="BS3409" s="1645"/>
      <c r="BT3409" s="1645"/>
      <c r="BU3409" s="1645"/>
      <c r="BV3409" s="1645"/>
      <c r="BW3409" s="1645"/>
      <c r="BX3409" s="1645"/>
      <c r="BY3409" s="1645"/>
      <c r="BZ3409" s="1645"/>
      <c r="CA3409" s="1645"/>
      <c r="CB3409" s="1645"/>
      <c r="CC3409" s="1645"/>
      <c r="CD3409" s="1645"/>
      <c r="CE3409" s="1645"/>
      <c r="CF3409" s="1645"/>
      <c r="CG3409" s="1645"/>
      <c r="CH3409" s="1645"/>
      <c r="CI3409" s="1645"/>
      <c r="CJ3409" s="1645"/>
      <c r="CK3409" s="1645"/>
      <c r="CL3409" s="1645"/>
      <c r="CM3409" s="1645"/>
      <c r="CN3409" s="1645"/>
      <c r="CO3409" s="1645"/>
    </row>
    <row r="3410" spans="1:93" s="1136" customFormat="1" ht="15.75" x14ac:dyDescent="0.25">
      <c r="A3410" s="1649" t="s">
        <v>3089</v>
      </c>
      <c r="B3410" s="1046"/>
      <c r="C3410" s="1070"/>
      <c r="D3410" s="1070"/>
      <c r="E3410" s="1070"/>
      <c r="F3410" s="1070"/>
      <c r="G3410" s="1070"/>
      <c r="H3410" s="1070"/>
      <c r="Q3410" s="1551"/>
      <c r="R3410" s="1551"/>
      <c r="S3410" s="1551"/>
      <c r="T3410" s="1551"/>
      <c r="U3410" s="1551"/>
      <c r="V3410" s="1551"/>
      <c r="W3410" s="1551"/>
      <c r="X3410" s="1551"/>
      <c r="Y3410" s="1551"/>
      <c r="Z3410" s="1551"/>
      <c r="AA3410" s="1645"/>
      <c r="AB3410" s="1645"/>
      <c r="AC3410" s="1645"/>
      <c r="AD3410" s="1645"/>
      <c r="AE3410" s="1645"/>
      <c r="AF3410" s="1645"/>
      <c r="AG3410" s="1645"/>
      <c r="AH3410" s="1645"/>
      <c r="AI3410" s="1645"/>
      <c r="AJ3410" s="1645"/>
      <c r="AK3410" s="1645"/>
      <c r="AL3410" s="1645"/>
      <c r="AM3410" s="1645"/>
      <c r="AN3410" s="1645"/>
      <c r="AO3410" s="1645"/>
      <c r="AP3410" s="1645"/>
      <c r="AQ3410" s="1645"/>
      <c r="AR3410" s="1645"/>
      <c r="AS3410" s="1645"/>
      <c r="AT3410" s="1645"/>
      <c r="AU3410" s="1645"/>
      <c r="AV3410" s="1645"/>
      <c r="AW3410" s="1645"/>
      <c r="AX3410" s="1645"/>
      <c r="AY3410" s="1645"/>
      <c r="AZ3410" s="1645"/>
      <c r="BA3410" s="1645"/>
      <c r="BB3410" s="1645"/>
      <c r="BC3410" s="1645"/>
      <c r="BD3410" s="1645"/>
      <c r="BE3410" s="1645"/>
      <c r="BF3410" s="1645"/>
      <c r="BG3410" s="1645"/>
      <c r="BH3410" s="1645"/>
      <c r="BI3410" s="1645"/>
      <c r="BJ3410" s="1645"/>
      <c r="BK3410" s="1645"/>
      <c r="BL3410" s="1645"/>
      <c r="BM3410" s="1645"/>
      <c r="BN3410" s="1645"/>
      <c r="BO3410" s="1645"/>
      <c r="BP3410" s="1645"/>
      <c r="BQ3410" s="1645"/>
      <c r="BR3410" s="1645"/>
      <c r="BS3410" s="1645"/>
      <c r="BT3410" s="1645"/>
      <c r="BU3410" s="1645"/>
      <c r="BV3410" s="1645"/>
      <c r="BW3410" s="1645"/>
      <c r="BX3410" s="1645"/>
      <c r="BY3410" s="1645"/>
      <c r="BZ3410" s="1645"/>
      <c r="CA3410" s="1645"/>
      <c r="CB3410" s="1645"/>
      <c r="CC3410" s="1645"/>
      <c r="CD3410" s="1645"/>
      <c r="CE3410" s="1645"/>
      <c r="CF3410" s="1645"/>
      <c r="CG3410" s="1645"/>
      <c r="CH3410" s="1645"/>
      <c r="CI3410" s="1645"/>
      <c r="CJ3410" s="1645"/>
      <c r="CK3410" s="1645"/>
      <c r="CL3410" s="1645"/>
      <c r="CM3410" s="1645"/>
      <c r="CN3410" s="1645"/>
      <c r="CO3410" s="1645"/>
    </row>
    <row r="3411" spans="1:93" s="1136" customFormat="1" ht="15.75" x14ac:dyDescent="0.25">
      <c r="A3411" s="1483" t="s">
        <v>3090</v>
      </c>
      <c r="B3411" s="1641" t="e">
        <f>B3358*2+B3391</f>
        <v>#VALUE!</v>
      </c>
      <c r="C3411" s="1407"/>
      <c r="D3411" s="1407"/>
      <c r="E3411" s="1407"/>
      <c r="F3411" s="1407"/>
      <c r="G3411" s="1407"/>
      <c r="H3411" s="1070"/>
      <c r="Q3411" s="1551"/>
      <c r="R3411" s="1551"/>
      <c r="S3411" s="1551"/>
      <c r="T3411" s="1551"/>
      <c r="U3411" s="1551"/>
      <c r="V3411" s="1551"/>
      <c r="W3411" s="1551"/>
      <c r="X3411" s="1551"/>
      <c r="Y3411" s="1551"/>
      <c r="Z3411" s="1551"/>
      <c r="AA3411" s="1645"/>
      <c r="AB3411" s="1645"/>
      <c r="AC3411" s="1645"/>
      <c r="AD3411" s="1645"/>
      <c r="AE3411" s="1645"/>
      <c r="AF3411" s="1645"/>
      <c r="AG3411" s="1645"/>
      <c r="AH3411" s="1645"/>
      <c r="AI3411" s="1645"/>
      <c r="AJ3411" s="1645"/>
      <c r="AK3411" s="1645"/>
      <c r="AL3411" s="1645"/>
      <c r="AM3411" s="1645"/>
      <c r="AN3411" s="1645"/>
      <c r="AO3411" s="1645"/>
      <c r="AP3411" s="1645"/>
      <c r="AQ3411" s="1645"/>
      <c r="AR3411" s="1645"/>
      <c r="AS3411" s="1645"/>
      <c r="AT3411" s="1645"/>
      <c r="AU3411" s="1645"/>
      <c r="AV3411" s="1645"/>
      <c r="AW3411" s="1645"/>
      <c r="AX3411" s="1645"/>
      <c r="AY3411" s="1645"/>
      <c r="AZ3411" s="1645"/>
      <c r="BA3411" s="1645"/>
      <c r="BB3411" s="1645"/>
      <c r="BC3411" s="1645"/>
      <c r="BD3411" s="1645"/>
      <c r="BE3411" s="1645"/>
      <c r="BF3411" s="1645"/>
      <c r="BG3411" s="1645"/>
      <c r="BH3411" s="1645"/>
      <c r="BI3411" s="1645"/>
      <c r="BJ3411" s="1645"/>
      <c r="BK3411" s="1645"/>
      <c r="BL3411" s="1645"/>
      <c r="BM3411" s="1645"/>
      <c r="BN3411" s="1645"/>
      <c r="BO3411" s="1645"/>
      <c r="BP3411" s="1645"/>
      <c r="BQ3411" s="1645"/>
      <c r="BR3411" s="1645"/>
      <c r="BS3411" s="1645"/>
      <c r="BT3411" s="1645"/>
      <c r="BU3411" s="1645"/>
      <c r="BV3411" s="1645"/>
      <c r="BW3411" s="1645"/>
      <c r="BX3411" s="1645"/>
      <c r="BY3411" s="1645"/>
      <c r="BZ3411" s="1645"/>
      <c r="CA3411" s="1645"/>
      <c r="CB3411" s="1645"/>
      <c r="CC3411" s="1645"/>
      <c r="CD3411" s="1645"/>
      <c r="CE3411" s="1645"/>
      <c r="CF3411" s="1645"/>
      <c r="CG3411" s="1645"/>
      <c r="CH3411" s="1645"/>
      <c r="CI3411" s="1645"/>
      <c r="CJ3411" s="1645"/>
      <c r="CK3411" s="1645"/>
      <c r="CL3411" s="1645"/>
      <c r="CM3411" s="1645"/>
      <c r="CN3411" s="1645"/>
      <c r="CO3411" s="1645"/>
    </row>
    <row r="3412" spans="1:93" s="1136" customFormat="1" ht="15.75" x14ac:dyDescent="0.25">
      <c r="A3412" s="1483" t="s">
        <v>3091</v>
      </c>
      <c r="B3412" s="1641">
        <f>25667*B3405^-0.666</f>
        <v>162.51338393276461</v>
      </c>
      <c r="C3412" s="1407"/>
      <c r="D3412" s="1407"/>
      <c r="E3412" s="1407"/>
      <c r="F3412" s="1407"/>
      <c r="G3412" s="1407"/>
      <c r="H3412" s="1070"/>
      <c r="Q3412" s="1551"/>
      <c r="R3412" s="1551"/>
      <c r="S3412" s="1551"/>
      <c r="T3412" s="1551"/>
      <c r="U3412" s="1551"/>
      <c r="V3412" s="1551"/>
      <c r="W3412" s="1551"/>
      <c r="X3412" s="1551"/>
      <c r="Y3412" s="1551"/>
      <c r="Z3412" s="1551"/>
      <c r="AA3412" s="1645"/>
      <c r="AB3412" s="1645"/>
      <c r="AC3412" s="1645"/>
      <c r="AD3412" s="1645"/>
      <c r="AE3412" s="1645"/>
      <c r="AF3412" s="1645"/>
      <c r="AG3412" s="1645"/>
      <c r="AH3412" s="1645"/>
      <c r="AI3412" s="1645"/>
      <c r="AJ3412" s="1645"/>
      <c r="AK3412" s="1645"/>
      <c r="AL3412" s="1645"/>
      <c r="AM3412" s="1645"/>
      <c r="AN3412" s="1645"/>
      <c r="AO3412" s="1645"/>
      <c r="AP3412" s="1645"/>
      <c r="AQ3412" s="1645"/>
      <c r="AR3412" s="1645"/>
      <c r="AS3412" s="1645"/>
      <c r="AT3412" s="1645"/>
      <c r="AU3412" s="1645"/>
      <c r="AV3412" s="1645"/>
      <c r="AW3412" s="1645"/>
      <c r="AX3412" s="1645"/>
      <c r="AY3412" s="1645"/>
      <c r="AZ3412" s="1645"/>
      <c r="BA3412" s="1645"/>
      <c r="BB3412" s="1645"/>
      <c r="BC3412" s="1645"/>
      <c r="BD3412" s="1645"/>
      <c r="BE3412" s="1645"/>
      <c r="BF3412" s="1645"/>
      <c r="BG3412" s="1645"/>
      <c r="BH3412" s="1645"/>
      <c r="BI3412" s="1645"/>
      <c r="BJ3412" s="1645"/>
      <c r="BK3412" s="1645"/>
      <c r="BL3412" s="1645"/>
      <c r="BM3412" s="1645"/>
      <c r="BN3412" s="1645"/>
      <c r="BO3412" s="1645"/>
      <c r="BP3412" s="1645"/>
      <c r="BQ3412" s="1645"/>
      <c r="BR3412" s="1645"/>
      <c r="BS3412" s="1645"/>
      <c r="BT3412" s="1645"/>
      <c r="BU3412" s="1645"/>
      <c r="BV3412" s="1645"/>
      <c r="BW3412" s="1645"/>
      <c r="BX3412" s="1645"/>
      <c r="BY3412" s="1645"/>
      <c r="BZ3412" s="1645"/>
      <c r="CA3412" s="1645"/>
      <c r="CB3412" s="1645"/>
      <c r="CC3412" s="1645"/>
      <c r="CD3412" s="1645"/>
      <c r="CE3412" s="1645"/>
      <c r="CF3412" s="1645"/>
      <c r="CG3412" s="1645"/>
      <c r="CH3412" s="1645"/>
      <c r="CI3412" s="1645"/>
      <c r="CJ3412" s="1645"/>
      <c r="CK3412" s="1645"/>
      <c r="CL3412" s="1645"/>
      <c r="CM3412" s="1645"/>
      <c r="CN3412" s="1645"/>
      <c r="CO3412" s="1645"/>
    </row>
    <row r="3413" spans="1:93" s="1136" customFormat="1" ht="15.75" x14ac:dyDescent="0.25">
      <c r="A3413" s="1483" t="s">
        <v>3088</v>
      </c>
      <c r="B3413" s="1641" t="e">
        <f>B3411/B3412</f>
        <v>#VALUE!</v>
      </c>
      <c r="C3413" s="1407"/>
      <c r="D3413" s="1407"/>
      <c r="E3413" s="1407"/>
      <c r="F3413" s="1407"/>
      <c r="G3413" s="1407"/>
      <c r="H3413" s="1070"/>
      <c r="Q3413" s="1551"/>
      <c r="R3413" s="1551"/>
      <c r="S3413" s="1551"/>
      <c r="T3413" s="1551"/>
      <c r="U3413" s="1551"/>
      <c r="V3413" s="1551"/>
      <c r="W3413" s="1551"/>
      <c r="X3413" s="1551"/>
      <c r="Y3413" s="1551"/>
      <c r="Z3413" s="1551"/>
      <c r="AA3413" s="1645"/>
      <c r="AB3413" s="1645"/>
      <c r="AC3413" s="1645"/>
      <c r="AD3413" s="1645"/>
      <c r="AE3413" s="1645"/>
      <c r="AF3413" s="1645"/>
      <c r="AG3413" s="1645"/>
      <c r="AH3413" s="1645"/>
      <c r="AI3413" s="1645"/>
      <c r="AJ3413" s="1645"/>
      <c r="AK3413" s="1645"/>
      <c r="AL3413" s="1645"/>
      <c r="AM3413" s="1645"/>
      <c r="AN3413" s="1645"/>
      <c r="AO3413" s="1645"/>
      <c r="AP3413" s="1645"/>
      <c r="AQ3413" s="1645"/>
      <c r="AR3413" s="1645"/>
      <c r="AS3413" s="1645"/>
      <c r="AT3413" s="1645"/>
      <c r="AU3413" s="1645"/>
      <c r="AV3413" s="1645"/>
      <c r="AW3413" s="1645"/>
      <c r="AX3413" s="1645"/>
      <c r="AY3413" s="1645"/>
      <c r="AZ3413" s="1645"/>
      <c r="BA3413" s="1645"/>
      <c r="BB3413" s="1645"/>
      <c r="BC3413" s="1645"/>
      <c r="BD3413" s="1645"/>
      <c r="BE3413" s="1645"/>
      <c r="BF3413" s="1645"/>
      <c r="BG3413" s="1645"/>
      <c r="BH3413" s="1645"/>
      <c r="BI3413" s="1645"/>
      <c r="BJ3413" s="1645"/>
      <c r="BK3413" s="1645"/>
      <c r="BL3413" s="1645"/>
      <c r="BM3413" s="1645"/>
      <c r="BN3413" s="1645"/>
      <c r="BO3413" s="1645"/>
      <c r="BP3413" s="1645"/>
      <c r="BQ3413" s="1645"/>
      <c r="BR3413" s="1645"/>
      <c r="BS3413" s="1645"/>
      <c r="BT3413" s="1645"/>
      <c r="BU3413" s="1645"/>
      <c r="BV3413" s="1645"/>
      <c r="BW3413" s="1645"/>
      <c r="BX3413" s="1645"/>
      <c r="BY3413" s="1645"/>
      <c r="BZ3413" s="1645"/>
      <c r="CA3413" s="1645"/>
      <c r="CB3413" s="1645"/>
      <c r="CC3413" s="1645"/>
      <c r="CD3413" s="1645"/>
      <c r="CE3413" s="1645"/>
      <c r="CF3413" s="1645"/>
      <c r="CG3413" s="1645"/>
      <c r="CH3413" s="1645"/>
      <c r="CI3413" s="1645"/>
      <c r="CJ3413" s="1645"/>
      <c r="CK3413" s="1645"/>
      <c r="CL3413" s="1645"/>
      <c r="CM3413" s="1645"/>
      <c r="CN3413" s="1645"/>
      <c r="CO3413" s="1645"/>
    </row>
    <row r="3414" spans="1:93" s="1136" customFormat="1" ht="15.75" x14ac:dyDescent="0.25">
      <c r="A3414" s="1649" t="s">
        <v>3092</v>
      </c>
      <c r="B3414" s="1046"/>
      <c r="C3414" s="1070"/>
      <c r="D3414" s="1070"/>
      <c r="E3414" s="1070"/>
      <c r="F3414" s="1070"/>
      <c r="G3414" s="1070"/>
      <c r="H3414" s="1070"/>
      <c r="Q3414" s="1551"/>
      <c r="R3414" s="1551"/>
      <c r="S3414" s="1551"/>
      <c r="T3414" s="1551"/>
      <c r="U3414" s="1551"/>
      <c r="V3414" s="1551"/>
      <c r="W3414" s="1551"/>
      <c r="X3414" s="1551"/>
      <c r="Y3414" s="1551"/>
      <c r="Z3414" s="1551"/>
      <c r="AA3414" s="1645"/>
      <c r="AB3414" s="1645"/>
      <c r="AC3414" s="1645"/>
      <c r="AD3414" s="1645"/>
      <c r="AE3414" s="1645"/>
      <c r="AF3414" s="1645"/>
      <c r="AG3414" s="1645"/>
      <c r="AH3414" s="1645"/>
      <c r="AI3414" s="1645"/>
      <c r="AJ3414" s="1645"/>
      <c r="AK3414" s="1645"/>
      <c r="AL3414" s="1645"/>
      <c r="AM3414" s="1645"/>
      <c r="AN3414" s="1645"/>
      <c r="AO3414" s="1645"/>
      <c r="AP3414" s="1645"/>
      <c r="AQ3414" s="1645"/>
      <c r="AR3414" s="1645"/>
      <c r="AS3414" s="1645"/>
      <c r="AT3414" s="1645"/>
      <c r="AU3414" s="1645"/>
      <c r="AV3414" s="1645"/>
      <c r="AW3414" s="1645"/>
      <c r="AX3414" s="1645"/>
      <c r="AY3414" s="1645"/>
      <c r="AZ3414" s="1645"/>
      <c r="BA3414" s="1645"/>
      <c r="BB3414" s="1645"/>
      <c r="BC3414" s="1645"/>
      <c r="BD3414" s="1645"/>
      <c r="BE3414" s="1645"/>
      <c r="BF3414" s="1645"/>
      <c r="BG3414" s="1645"/>
      <c r="BH3414" s="1645"/>
      <c r="BI3414" s="1645"/>
      <c r="BJ3414" s="1645"/>
      <c r="BK3414" s="1645"/>
      <c r="BL3414" s="1645"/>
      <c r="BM3414" s="1645"/>
      <c r="BN3414" s="1645"/>
      <c r="BO3414" s="1645"/>
      <c r="BP3414" s="1645"/>
      <c r="BQ3414" s="1645"/>
      <c r="BR3414" s="1645"/>
      <c r="BS3414" s="1645"/>
      <c r="BT3414" s="1645"/>
      <c r="BU3414" s="1645"/>
      <c r="BV3414" s="1645"/>
      <c r="BW3414" s="1645"/>
      <c r="BX3414" s="1645"/>
      <c r="BY3414" s="1645"/>
      <c r="BZ3414" s="1645"/>
      <c r="CA3414" s="1645"/>
      <c r="CB3414" s="1645"/>
      <c r="CC3414" s="1645"/>
      <c r="CD3414" s="1645"/>
      <c r="CE3414" s="1645"/>
      <c r="CF3414" s="1645"/>
      <c r="CG3414" s="1645"/>
      <c r="CH3414" s="1645"/>
      <c r="CI3414" s="1645"/>
      <c r="CJ3414" s="1645"/>
      <c r="CK3414" s="1645"/>
      <c r="CL3414" s="1645"/>
      <c r="CM3414" s="1645"/>
      <c r="CN3414" s="1645"/>
      <c r="CO3414" s="1645"/>
    </row>
    <row r="3415" spans="1:93" s="1136" customFormat="1" ht="15.75" x14ac:dyDescent="0.25">
      <c r="A3415" s="1483" t="s">
        <v>3090</v>
      </c>
      <c r="B3415" s="1641">
        <f>B3400</f>
        <v>0</v>
      </c>
      <c r="C3415" s="1407"/>
      <c r="D3415" s="1407"/>
      <c r="E3415" s="1407"/>
      <c r="F3415" s="1407"/>
      <c r="G3415" s="1407"/>
      <c r="H3415" s="1070"/>
      <c r="Q3415" s="1551"/>
      <c r="R3415" s="1551"/>
      <c r="S3415" s="1551"/>
      <c r="T3415" s="1551"/>
      <c r="U3415" s="1551"/>
      <c r="V3415" s="1551"/>
      <c r="W3415" s="1551"/>
      <c r="X3415" s="1551"/>
      <c r="Y3415" s="1551"/>
      <c r="Z3415" s="1551"/>
      <c r="AA3415" s="1645"/>
      <c r="AB3415" s="1645"/>
      <c r="AC3415" s="1645"/>
      <c r="AD3415" s="1645"/>
      <c r="AE3415" s="1645"/>
      <c r="AF3415" s="1645"/>
      <c r="AG3415" s="1645"/>
      <c r="AH3415" s="1645"/>
      <c r="AI3415" s="1645"/>
      <c r="AJ3415" s="1645"/>
      <c r="AK3415" s="1645"/>
      <c r="AL3415" s="1645"/>
      <c r="AM3415" s="1645"/>
      <c r="AN3415" s="1645"/>
      <c r="AO3415" s="1645"/>
      <c r="AP3415" s="1645"/>
      <c r="AQ3415" s="1645"/>
      <c r="AR3415" s="1645"/>
      <c r="AS3415" s="1645"/>
      <c r="AT3415" s="1645"/>
      <c r="AU3415" s="1645"/>
      <c r="AV3415" s="1645"/>
      <c r="AW3415" s="1645"/>
      <c r="AX3415" s="1645"/>
      <c r="AY3415" s="1645"/>
      <c r="AZ3415" s="1645"/>
      <c r="BA3415" s="1645"/>
      <c r="BB3415" s="1645"/>
      <c r="BC3415" s="1645"/>
      <c r="BD3415" s="1645"/>
      <c r="BE3415" s="1645"/>
      <c r="BF3415" s="1645"/>
      <c r="BG3415" s="1645"/>
      <c r="BH3415" s="1645"/>
      <c r="BI3415" s="1645"/>
      <c r="BJ3415" s="1645"/>
      <c r="BK3415" s="1645"/>
      <c r="BL3415" s="1645"/>
      <c r="BM3415" s="1645"/>
      <c r="BN3415" s="1645"/>
      <c r="BO3415" s="1645"/>
      <c r="BP3415" s="1645"/>
      <c r="BQ3415" s="1645"/>
      <c r="BR3415" s="1645"/>
      <c r="BS3415" s="1645"/>
      <c r="BT3415" s="1645"/>
      <c r="BU3415" s="1645"/>
      <c r="BV3415" s="1645"/>
      <c r="BW3415" s="1645"/>
      <c r="BX3415" s="1645"/>
      <c r="BY3415" s="1645"/>
      <c r="BZ3415" s="1645"/>
      <c r="CA3415" s="1645"/>
      <c r="CB3415" s="1645"/>
      <c r="CC3415" s="1645"/>
      <c r="CD3415" s="1645"/>
      <c r="CE3415" s="1645"/>
      <c r="CF3415" s="1645"/>
      <c r="CG3415" s="1645"/>
      <c r="CH3415" s="1645"/>
      <c r="CI3415" s="1645"/>
      <c r="CJ3415" s="1645"/>
      <c r="CK3415" s="1645"/>
      <c r="CL3415" s="1645"/>
      <c r="CM3415" s="1645"/>
      <c r="CN3415" s="1645"/>
      <c r="CO3415" s="1645"/>
    </row>
    <row r="3416" spans="1:93" s="1136" customFormat="1" ht="15.75" x14ac:dyDescent="0.25">
      <c r="A3416" s="1483" t="s">
        <v>3091</v>
      </c>
      <c r="B3416" s="1641">
        <f>25667*B3405^-0.666</f>
        <v>162.51338393276461</v>
      </c>
      <c r="C3416" s="1407"/>
      <c r="D3416" s="1407"/>
      <c r="E3416" s="1407"/>
      <c r="F3416" s="1407"/>
      <c r="G3416" s="1407"/>
      <c r="H3416" s="1070"/>
      <c r="Q3416" s="1551"/>
      <c r="R3416" s="1551"/>
      <c r="S3416" s="1551"/>
      <c r="T3416" s="1551"/>
      <c r="U3416" s="1551"/>
      <c r="V3416" s="1551"/>
      <c r="W3416" s="1551"/>
      <c r="X3416" s="1551"/>
      <c r="Y3416" s="1551"/>
      <c r="Z3416" s="1551"/>
      <c r="AA3416" s="1645"/>
      <c r="AB3416" s="1645"/>
      <c r="AC3416" s="1645"/>
      <c r="AD3416" s="1645"/>
      <c r="AE3416" s="1645"/>
      <c r="AF3416" s="1645"/>
      <c r="AG3416" s="1645"/>
      <c r="AH3416" s="1645"/>
      <c r="AI3416" s="1645"/>
      <c r="AJ3416" s="1645"/>
      <c r="AK3416" s="1645"/>
      <c r="AL3416" s="1645"/>
      <c r="AM3416" s="1645"/>
      <c r="AN3416" s="1645"/>
      <c r="AO3416" s="1645"/>
      <c r="AP3416" s="1645"/>
      <c r="AQ3416" s="1645"/>
      <c r="AR3416" s="1645"/>
      <c r="AS3416" s="1645"/>
      <c r="AT3416" s="1645"/>
      <c r="AU3416" s="1645"/>
      <c r="AV3416" s="1645"/>
      <c r="AW3416" s="1645"/>
      <c r="AX3416" s="1645"/>
      <c r="AY3416" s="1645"/>
      <c r="AZ3416" s="1645"/>
      <c r="BA3416" s="1645"/>
      <c r="BB3416" s="1645"/>
      <c r="BC3416" s="1645"/>
      <c r="BD3416" s="1645"/>
      <c r="BE3416" s="1645"/>
      <c r="BF3416" s="1645"/>
      <c r="BG3416" s="1645"/>
      <c r="BH3416" s="1645"/>
      <c r="BI3416" s="1645"/>
      <c r="BJ3416" s="1645"/>
      <c r="BK3416" s="1645"/>
      <c r="BL3416" s="1645"/>
      <c r="BM3416" s="1645"/>
      <c r="BN3416" s="1645"/>
      <c r="BO3416" s="1645"/>
      <c r="BP3416" s="1645"/>
      <c r="BQ3416" s="1645"/>
      <c r="BR3416" s="1645"/>
      <c r="BS3416" s="1645"/>
      <c r="BT3416" s="1645"/>
      <c r="BU3416" s="1645"/>
      <c r="BV3416" s="1645"/>
      <c r="BW3416" s="1645"/>
      <c r="BX3416" s="1645"/>
      <c r="BY3416" s="1645"/>
      <c r="BZ3416" s="1645"/>
      <c r="CA3416" s="1645"/>
      <c r="CB3416" s="1645"/>
      <c r="CC3416" s="1645"/>
      <c r="CD3416" s="1645"/>
      <c r="CE3416" s="1645"/>
      <c r="CF3416" s="1645"/>
      <c r="CG3416" s="1645"/>
      <c r="CH3416" s="1645"/>
      <c r="CI3416" s="1645"/>
      <c r="CJ3416" s="1645"/>
      <c r="CK3416" s="1645"/>
      <c r="CL3416" s="1645"/>
      <c r="CM3416" s="1645"/>
      <c r="CN3416" s="1645"/>
      <c r="CO3416" s="1645"/>
    </row>
    <row r="3417" spans="1:93" s="1136" customFormat="1" ht="15.75" x14ac:dyDescent="0.25">
      <c r="A3417" s="1483" t="s">
        <v>3088</v>
      </c>
      <c r="B3417" s="1641">
        <f>B3415/B3416</f>
        <v>0</v>
      </c>
      <c r="C3417" s="1407"/>
      <c r="D3417" s="1407"/>
      <c r="E3417" s="1407"/>
      <c r="F3417" s="1407"/>
      <c r="G3417" s="1407"/>
      <c r="H3417" s="1070"/>
      <c r="Q3417" s="1551"/>
      <c r="R3417" s="1551"/>
      <c r="S3417" s="1551"/>
      <c r="T3417" s="1551"/>
      <c r="U3417" s="1551"/>
      <c r="V3417" s="1551"/>
      <c r="W3417" s="1551"/>
      <c r="X3417" s="1551"/>
      <c r="Y3417" s="1551"/>
      <c r="Z3417" s="1551"/>
      <c r="AA3417" s="1645"/>
      <c r="AB3417" s="1645"/>
      <c r="AC3417" s="1645"/>
      <c r="AD3417" s="1645"/>
      <c r="AE3417" s="1645"/>
      <c r="AF3417" s="1645"/>
      <c r="AG3417" s="1645"/>
      <c r="AH3417" s="1645"/>
      <c r="AI3417" s="1645"/>
      <c r="AJ3417" s="1645"/>
      <c r="AK3417" s="1645"/>
      <c r="AL3417" s="1645"/>
      <c r="AM3417" s="1645"/>
      <c r="AN3417" s="1645"/>
      <c r="AO3417" s="1645"/>
      <c r="AP3417" s="1645"/>
      <c r="AQ3417" s="1645"/>
      <c r="AR3417" s="1645"/>
      <c r="AS3417" s="1645"/>
      <c r="AT3417" s="1645"/>
      <c r="AU3417" s="1645"/>
      <c r="AV3417" s="1645"/>
      <c r="AW3417" s="1645"/>
      <c r="AX3417" s="1645"/>
      <c r="AY3417" s="1645"/>
      <c r="AZ3417" s="1645"/>
      <c r="BA3417" s="1645"/>
      <c r="BB3417" s="1645"/>
      <c r="BC3417" s="1645"/>
      <c r="BD3417" s="1645"/>
      <c r="BE3417" s="1645"/>
      <c r="BF3417" s="1645"/>
      <c r="BG3417" s="1645"/>
      <c r="BH3417" s="1645"/>
      <c r="BI3417" s="1645"/>
      <c r="BJ3417" s="1645"/>
      <c r="BK3417" s="1645"/>
      <c r="BL3417" s="1645"/>
      <c r="BM3417" s="1645"/>
      <c r="BN3417" s="1645"/>
      <c r="BO3417" s="1645"/>
      <c r="BP3417" s="1645"/>
      <c r="BQ3417" s="1645"/>
      <c r="BR3417" s="1645"/>
      <c r="BS3417" s="1645"/>
      <c r="BT3417" s="1645"/>
      <c r="BU3417" s="1645"/>
      <c r="BV3417" s="1645"/>
      <c r="BW3417" s="1645"/>
      <c r="BX3417" s="1645"/>
      <c r="BY3417" s="1645"/>
      <c r="BZ3417" s="1645"/>
      <c r="CA3417" s="1645"/>
      <c r="CB3417" s="1645"/>
      <c r="CC3417" s="1645"/>
      <c r="CD3417" s="1645"/>
      <c r="CE3417" s="1645"/>
      <c r="CF3417" s="1645"/>
      <c r="CG3417" s="1645"/>
      <c r="CH3417" s="1645"/>
      <c r="CI3417" s="1645"/>
      <c r="CJ3417" s="1645"/>
      <c r="CK3417" s="1645"/>
      <c r="CL3417" s="1645"/>
      <c r="CM3417" s="1645"/>
      <c r="CN3417" s="1645"/>
      <c r="CO3417" s="1645"/>
    </row>
    <row r="3418" spans="1:93" s="1136" customFormat="1" ht="15.75" x14ac:dyDescent="0.25">
      <c r="A3418" s="1658" t="s">
        <v>3093</v>
      </c>
      <c r="B3418" s="1046"/>
      <c r="C3418" s="1070"/>
      <c r="D3418" s="1070"/>
      <c r="E3418" s="1070"/>
      <c r="F3418" s="1070"/>
      <c r="G3418" s="1070"/>
      <c r="H3418" s="1070"/>
      <c r="Q3418" s="1551"/>
      <c r="R3418" s="1551"/>
      <c r="S3418" s="1551"/>
      <c r="T3418" s="1551"/>
      <c r="U3418" s="1551"/>
      <c r="V3418" s="1551"/>
      <c r="W3418" s="1551"/>
      <c r="X3418" s="1551"/>
      <c r="Y3418" s="1551"/>
      <c r="Z3418" s="1551"/>
      <c r="AA3418" s="1645"/>
      <c r="AB3418" s="1645"/>
      <c r="AC3418" s="1645"/>
      <c r="AD3418" s="1645"/>
      <c r="AE3418" s="1645"/>
      <c r="AF3418" s="1645"/>
      <c r="AG3418" s="1645"/>
      <c r="AH3418" s="1645"/>
      <c r="AI3418" s="1645"/>
      <c r="AJ3418" s="1645"/>
      <c r="AK3418" s="1645"/>
      <c r="AL3418" s="1645"/>
      <c r="AM3418" s="1645"/>
      <c r="AN3418" s="1645"/>
      <c r="AO3418" s="1645"/>
      <c r="AP3418" s="1645"/>
      <c r="AQ3418" s="1645"/>
      <c r="AR3418" s="1645"/>
      <c r="AS3418" s="1645"/>
      <c r="AT3418" s="1645"/>
      <c r="AU3418" s="1645"/>
      <c r="AV3418" s="1645"/>
      <c r="AW3418" s="1645"/>
      <c r="AX3418" s="1645"/>
      <c r="AY3418" s="1645"/>
      <c r="AZ3418" s="1645"/>
      <c r="BA3418" s="1645"/>
      <c r="BB3418" s="1645"/>
      <c r="BC3418" s="1645"/>
      <c r="BD3418" s="1645"/>
      <c r="BE3418" s="1645"/>
      <c r="BF3418" s="1645"/>
      <c r="BG3418" s="1645"/>
      <c r="BH3418" s="1645"/>
      <c r="BI3418" s="1645"/>
      <c r="BJ3418" s="1645"/>
      <c r="BK3418" s="1645"/>
      <c r="BL3418" s="1645"/>
      <c r="BM3418" s="1645"/>
      <c r="BN3418" s="1645"/>
      <c r="BO3418" s="1645"/>
      <c r="BP3418" s="1645"/>
      <c r="BQ3418" s="1645"/>
      <c r="BR3418" s="1645"/>
      <c r="BS3418" s="1645"/>
      <c r="BT3418" s="1645"/>
      <c r="BU3418" s="1645"/>
      <c r="BV3418" s="1645"/>
      <c r="BW3418" s="1645"/>
      <c r="BX3418" s="1645"/>
      <c r="BY3418" s="1645"/>
      <c r="BZ3418" s="1645"/>
      <c r="CA3418" s="1645"/>
      <c r="CB3418" s="1645"/>
      <c r="CC3418" s="1645"/>
      <c r="CD3418" s="1645"/>
      <c r="CE3418" s="1645"/>
      <c r="CF3418" s="1645"/>
      <c r="CG3418" s="1645"/>
      <c r="CH3418" s="1645"/>
      <c r="CI3418" s="1645"/>
      <c r="CJ3418" s="1645"/>
      <c r="CK3418" s="1645"/>
      <c r="CL3418" s="1645"/>
      <c r="CM3418" s="1645"/>
      <c r="CN3418" s="1645"/>
      <c r="CO3418" s="1645"/>
    </row>
    <row r="3419" spans="1:93" s="1136" customFormat="1" ht="15.75" x14ac:dyDescent="0.25">
      <c r="A3419" s="1659" t="s">
        <v>3743</v>
      </c>
      <c r="B3419" s="1046"/>
      <c r="C3419" s="1070"/>
      <c r="D3419" s="1070"/>
      <c r="E3419" s="1070"/>
      <c r="F3419" s="1070"/>
      <c r="G3419" s="1070"/>
      <c r="H3419" s="1070"/>
      <c r="Q3419" s="1551"/>
      <c r="R3419" s="1551"/>
      <c r="S3419" s="1551"/>
      <c r="T3419" s="1551"/>
      <c r="U3419" s="1551"/>
      <c r="V3419" s="1551"/>
      <c r="W3419" s="1551"/>
      <c r="X3419" s="1551"/>
      <c r="Y3419" s="1551"/>
      <c r="Z3419" s="1551"/>
      <c r="AA3419" s="1645"/>
      <c r="AB3419" s="1645"/>
      <c r="AC3419" s="1645"/>
      <c r="AD3419" s="1645"/>
      <c r="AE3419" s="1645"/>
      <c r="AF3419" s="1645"/>
      <c r="AG3419" s="1645"/>
      <c r="AH3419" s="1645"/>
      <c r="AI3419" s="1645"/>
      <c r="AJ3419" s="1645"/>
      <c r="AK3419" s="1645"/>
      <c r="AL3419" s="1645"/>
      <c r="AM3419" s="1645"/>
      <c r="AN3419" s="1645"/>
      <c r="AO3419" s="1645"/>
      <c r="AP3419" s="1645"/>
      <c r="AQ3419" s="1645"/>
      <c r="AR3419" s="1645"/>
      <c r="AS3419" s="1645"/>
      <c r="AT3419" s="1645"/>
      <c r="AU3419" s="1645"/>
      <c r="AV3419" s="1645"/>
      <c r="AW3419" s="1645"/>
      <c r="AX3419" s="1645"/>
      <c r="AY3419" s="1645"/>
      <c r="AZ3419" s="1645"/>
      <c r="BA3419" s="1645"/>
      <c r="BB3419" s="1645"/>
      <c r="BC3419" s="1645"/>
      <c r="BD3419" s="1645"/>
      <c r="BE3419" s="1645"/>
      <c r="BF3419" s="1645"/>
      <c r="BG3419" s="1645"/>
      <c r="BH3419" s="1645"/>
      <c r="BI3419" s="1645"/>
      <c r="BJ3419" s="1645"/>
      <c r="BK3419" s="1645"/>
      <c r="BL3419" s="1645"/>
      <c r="BM3419" s="1645"/>
      <c r="BN3419" s="1645"/>
      <c r="BO3419" s="1645"/>
      <c r="BP3419" s="1645"/>
      <c r="BQ3419" s="1645"/>
      <c r="BR3419" s="1645"/>
      <c r="BS3419" s="1645"/>
      <c r="BT3419" s="1645"/>
      <c r="BU3419" s="1645"/>
      <c r="BV3419" s="1645"/>
      <c r="BW3419" s="1645"/>
      <c r="BX3419" s="1645"/>
      <c r="BY3419" s="1645"/>
      <c r="BZ3419" s="1645"/>
      <c r="CA3419" s="1645"/>
      <c r="CB3419" s="1645"/>
      <c r="CC3419" s="1645"/>
      <c r="CD3419" s="1645"/>
      <c r="CE3419" s="1645"/>
      <c r="CF3419" s="1645"/>
      <c r="CG3419" s="1645"/>
      <c r="CH3419" s="1645"/>
      <c r="CI3419" s="1645"/>
      <c r="CJ3419" s="1645"/>
      <c r="CK3419" s="1645"/>
      <c r="CL3419" s="1645"/>
      <c r="CM3419" s="1645"/>
      <c r="CN3419" s="1645"/>
      <c r="CO3419" s="1645"/>
    </row>
    <row r="3420" spans="1:93" s="1136" customFormat="1" ht="15.75" x14ac:dyDescent="0.25">
      <c r="A3420" s="1483" t="s">
        <v>3094</v>
      </c>
      <c r="B3420" s="1641" t="e">
        <f>B3407</f>
        <v>#VALUE!</v>
      </c>
      <c r="C3420" s="1407"/>
      <c r="D3420" s="1407"/>
      <c r="E3420" s="1407"/>
      <c r="F3420" s="1407"/>
      <c r="G3420" s="1407"/>
      <c r="H3420" s="1070"/>
      <c r="Q3420" s="1551"/>
      <c r="R3420" s="1551"/>
      <c r="S3420" s="1551"/>
      <c r="T3420" s="1551"/>
      <c r="U3420" s="1551"/>
      <c r="V3420" s="1551"/>
      <c r="W3420" s="1551"/>
      <c r="X3420" s="1551"/>
      <c r="Y3420" s="1551"/>
      <c r="Z3420" s="1551"/>
      <c r="AA3420" s="1645"/>
      <c r="AB3420" s="1645"/>
      <c r="AC3420" s="1645"/>
      <c r="AD3420" s="1645"/>
      <c r="AE3420" s="1645"/>
      <c r="AF3420" s="1645"/>
      <c r="AG3420" s="1645"/>
      <c r="AH3420" s="1645"/>
      <c r="AI3420" s="1645"/>
      <c r="AJ3420" s="1645"/>
      <c r="AK3420" s="1645"/>
      <c r="AL3420" s="1645"/>
      <c r="AM3420" s="1645"/>
      <c r="AN3420" s="1645"/>
      <c r="AO3420" s="1645"/>
      <c r="AP3420" s="1645"/>
      <c r="AQ3420" s="1645"/>
      <c r="AR3420" s="1645"/>
      <c r="AS3420" s="1645"/>
      <c r="AT3420" s="1645"/>
      <c r="AU3420" s="1645"/>
      <c r="AV3420" s="1645"/>
      <c r="AW3420" s="1645"/>
      <c r="AX3420" s="1645"/>
      <c r="AY3420" s="1645"/>
      <c r="AZ3420" s="1645"/>
      <c r="BA3420" s="1645"/>
      <c r="BB3420" s="1645"/>
      <c r="BC3420" s="1645"/>
      <c r="BD3420" s="1645"/>
      <c r="BE3420" s="1645"/>
      <c r="BF3420" s="1645"/>
      <c r="BG3420" s="1645"/>
      <c r="BH3420" s="1645"/>
      <c r="BI3420" s="1645"/>
      <c r="BJ3420" s="1645"/>
      <c r="BK3420" s="1645"/>
      <c r="BL3420" s="1645"/>
      <c r="BM3420" s="1645"/>
      <c r="BN3420" s="1645"/>
      <c r="BO3420" s="1645"/>
      <c r="BP3420" s="1645"/>
      <c r="BQ3420" s="1645"/>
      <c r="BR3420" s="1645"/>
      <c r="BS3420" s="1645"/>
      <c r="BT3420" s="1645"/>
      <c r="BU3420" s="1645"/>
      <c r="BV3420" s="1645"/>
      <c r="BW3420" s="1645"/>
      <c r="BX3420" s="1645"/>
      <c r="BY3420" s="1645"/>
      <c r="BZ3420" s="1645"/>
      <c r="CA3420" s="1645"/>
      <c r="CB3420" s="1645"/>
      <c r="CC3420" s="1645"/>
      <c r="CD3420" s="1645"/>
      <c r="CE3420" s="1645"/>
      <c r="CF3420" s="1645"/>
      <c r="CG3420" s="1645"/>
      <c r="CH3420" s="1645"/>
      <c r="CI3420" s="1645"/>
      <c r="CJ3420" s="1645"/>
      <c r="CK3420" s="1645"/>
      <c r="CL3420" s="1645"/>
      <c r="CM3420" s="1645"/>
      <c r="CN3420" s="1645"/>
      <c r="CO3420" s="1645"/>
    </row>
    <row r="3421" spans="1:93" s="1136" customFormat="1" ht="15.75" x14ac:dyDescent="0.25">
      <c r="A3421" s="1483" t="s">
        <v>3091</v>
      </c>
      <c r="B3421" s="1641">
        <v>8.6999999999999993</v>
      </c>
      <c r="C3421" s="1407"/>
      <c r="D3421" s="1407"/>
      <c r="E3421" s="1407"/>
      <c r="F3421" s="1407"/>
      <c r="G3421" s="1407"/>
      <c r="H3421" s="1070"/>
      <c r="Q3421" s="1551"/>
      <c r="R3421" s="1551"/>
      <c r="S3421" s="1551"/>
      <c r="T3421" s="1551"/>
      <c r="U3421" s="1551"/>
      <c r="V3421" s="1551"/>
      <c r="W3421" s="1551"/>
      <c r="X3421" s="1551"/>
      <c r="Y3421" s="1551"/>
      <c r="Z3421" s="1551"/>
      <c r="AA3421" s="1645"/>
      <c r="AB3421" s="1645"/>
      <c r="AC3421" s="1645"/>
      <c r="AD3421" s="1645"/>
      <c r="AE3421" s="1645"/>
      <c r="AF3421" s="1645"/>
      <c r="AG3421" s="1645"/>
      <c r="AH3421" s="1645"/>
      <c r="AI3421" s="1645"/>
      <c r="AJ3421" s="1645"/>
      <c r="AK3421" s="1645"/>
      <c r="AL3421" s="1645"/>
      <c r="AM3421" s="1645"/>
      <c r="AN3421" s="1645"/>
      <c r="AO3421" s="1645"/>
      <c r="AP3421" s="1645"/>
      <c r="AQ3421" s="1645"/>
      <c r="AR3421" s="1645"/>
      <c r="AS3421" s="1645"/>
      <c r="AT3421" s="1645"/>
      <c r="AU3421" s="1645"/>
      <c r="AV3421" s="1645"/>
      <c r="AW3421" s="1645"/>
      <c r="AX3421" s="1645"/>
      <c r="AY3421" s="1645"/>
      <c r="AZ3421" s="1645"/>
      <c r="BA3421" s="1645"/>
      <c r="BB3421" s="1645"/>
      <c r="BC3421" s="1645"/>
      <c r="BD3421" s="1645"/>
      <c r="BE3421" s="1645"/>
      <c r="BF3421" s="1645"/>
      <c r="BG3421" s="1645"/>
      <c r="BH3421" s="1645"/>
      <c r="BI3421" s="1645"/>
      <c r="BJ3421" s="1645"/>
      <c r="BK3421" s="1645"/>
      <c r="BL3421" s="1645"/>
      <c r="BM3421" s="1645"/>
      <c r="BN3421" s="1645"/>
      <c r="BO3421" s="1645"/>
      <c r="BP3421" s="1645"/>
      <c r="BQ3421" s="1645"/>
      <c r="BR3421" s="1645"/>
      <c r="BS3421" s="1645"/>
      <c r="BT3421" s="1645"/>
      <c r="BU3421" s="1645"/>
      <c r="BV3421" s="1645"/>
      <c r="BW3421" s="1645"/>
      <c r="BX3421" s="1645"/>
      <c r="BY3421" s="1645"/>
      <c r="BZ3421" s="1645"/>
      <c r="CA3421" s="1645"/>
      <c r="CB3421" s="1645"/>
      <c r="CC3421" s="1645"/>
      <c r="CD3421" s="1645"/>
      <c r="CE3421" s="1645"/>
      <c r="CF3421" s="1645"/>
      <c r="CG3421" s="1645"/>
      <c r="CH3421" s="1645"/>
      <c r="CI3421" s="1645"/>
      <c r="CJ3421" s="1645"/>
      <c r="CK3421" s="1645"/>
      <c r="CL3421" s="1645"/>
      <c r="CM3421" s="1645"/>
      <c r="CN3421" s="1645"/>
      <c r="CO3421" s="1645"/>
    </row>
    <row r="3422" spans="1:93" s="1136" customFormat="1" ht="15.75" x14ac:dyDescent="0.25">
      <c r="A3422" s="1483" t="s">
        <v>3088</v>
      </c>
      <c r="B3422" s="1641" t="e">
        <f>B3420*0.9/B3421</f>
        <v>#VALUE!</v>
      </c>
      <c r="C3422" s="1407"/>
      <c r="D3422" s="1407"/>
      <c r="E3422" s="1407"/>
      <c r="F3422" s="1407"/>
      <c r="G3422" s="1407"/>
      <c r="H3422" s="1070"/>
      <c r="Q3422" s="1551"/>
      <c r="R3422" s="1551"/>
      <c r="S3422" s="1551"/>
      <c r="T3422" s="1551"/>
      <c r="U3422" s="1551"/>
      <c r="V3422" s="1551"/>
      <c r="W3422" s="1551"/>
      <c r="X3422" s="1551"/>
      <c r="Y3422" s="1551"/>
      <c r="Z3422" s="1551"/>
      <c r="AA3422" s="1645"/>
      <c r="AB3422" s="1645"/>
      <c r="AC3422" s="1645"/>
      <c r="AD3422" s="1645"/>
      <c r="AE3422" s="1645"/>
      <c r="AF3422" s="1645"/>
      <c r="AG3422" s="1645"/>
      <c r="AH3422" s="1645"/>
      <c r="AI3422" s="1645"/>
      <c r="AJ3422" s="1645"/>
      <c r="AK3422" s="1645"/>
      <c r="AL3422" s="1645"/>
      <c r="AM3422" s="1645"/>
      <c r="AN3422" s="1645"/>
      <c r="AO3422" s="1645"/>
      <c r="AP3422" s="1645"/>
      <c r="AQ3422" s="1645"/>
      <c r="AR3422" s="1645"/>
      <c r="AS3422" s="1645"/>
      <c r="AT3422" s="1645"/>
      <c r="AU3422" s="1645"/>
      <c r="AV3422" s="1645"/>
      <c r="AW3422" s="1645"/>
      <c r="AX3422" s="1645"/>
      <c r="AY3422" s="1645"/>
      <c r="AZ3422" s="1645"/>
      <c r="BA3422" s="1645"/>
      <c r="BB3422" s="1645"/>
      <c r="BC3422" s="1645"/>
      <c r="BD3422" s="1645"/>
      <c r="BE3422" s="1645"/>
      <c r="BF3422" s="1645"/>
      <c r="BG3422" s="1645"/>
      <c r="BH3422" s="1645"/>
      <c r="BI3422" s="1645"/>
      <c r="BJ3422" s="1645"/>
      <c r="BK3422" s="1645"/>
      <c r="BL3422" s="1645"/>
      <c r="BM3422" s="1645"/>
      <c r="BN3422" s="1645"/>
      <c r="BO3422" s="1645"/>
      <c r="BP3422" s="1645"/>
      <c r="BQ3422" s="1645"/>
      <c r="BR3422" s="1645"/>
      <c r="BS3422" s="1645"/>
      <c r="BT3422" s="1645"/>
      <c r="BU3422" s="1645"/>
      <c r="BV3422" s="1645"/>
      <c r="BW3422" s="1645"/>
      <c r="BX3422" s="1645"/>
      <c r="BY3422" s="1645"/>
      <c r="BZ3422" s="1645"/>
      <c r="CA3422" s="1645"/>
      <c r="CB3422" s="1645"/>
      <c r="CC3422" s="1645"/>
      <c r="CD3422" s="1645"/>
      <c r="CE3422" s="1645"/>
      <c r="CF3422" s="1645"/>
      <c r="CG3422" s="1645"/>
      <c r="CH3422" s="1645"/>
      <c r="CI3422" s="1645"/>
      <c r="CJ3422" s="1645"/>
      <c r="CK3422" s="1645"/>
      <c r="CL3422" s="1645"/>
      <c r="CM3422" s="1645"/>
      <c r="CN3422" s="1645"/>
      <c r="CO3422" s="1645"/>
    </row>
    <row r="3423" spans="1:93" s="1136" customFormat="1" ht="15.75" x14ac:dyDescent="0.25">
      <c r="A3423" s="1649" t="s">
        <v>3095</v>
      </c>
      <c r="B3423" s="1046"/>
      <c r="C3423" s="1070"/>
      <c r="D3423" s="1070"/>
      <c r="E3423" s="1070"/>
      <c r="F3423" s="1070"/>
      <c r="G3423" s="1070"/>
      <c r="H3423" s="1070"/>
      <c r="Q3423" s="1551"/>
      <c r="R3423" s="1551"/>
      <c r="S3423" s="1551"/>
      <c r="T3423" s="1551"/>
      <c r="U3423" s="1551"/>
      <c r="V3423" s="1551"/>
      <c r="W3423" s="1551"/>
      <c r="X3423" s="1551"/>
      <c r="Y3423" s="1551"/>
      <c r="Z3423" s="1551"/>
      <c r="AA3423" s="1645"/>
      <c r="AB3423" s="1645"/>
      <c r="AC3423" s="1645"/>
      <c r="AD3423" s="1645"/>
      <c r="AE3423" s="1645"/>
      <c r="AF3423" s="1645"/>
      <c r="AG3423" s="1645"/>
      <c r="AH3423" s="1645"/>
      <c r="AI3423" s="1645"/>
      <c r="AJ3423" s="1645"/>
      <c r="AK3423" s="1645"/>
      <c r="AL3423" s="1645"/>
      <c r="AM3423" s="1645"/>
      <c r="AN3423" s="1645"/>
      <c r="AO3423" s="1645"/>
      <c r="AP3423" s="1645"/>
      <c r="AQ3423" s="1645"/>
      <c r="AR3423" s="1645"/>
      <c r="AS3423" s="1645"/>
      <c r="AT3423" s="1645"/>
      <c r="AU3423" s="1645"/>
      <c r="AV3423" s="1645"/>
      <c r="AW3423" s="1645"/>
      <c r="AX3423" s="1645"/>
      <c r="AY3423" s="1645"/>
      <c r="AZ3423" s="1645"/>
      <c r="BA3423" s="1645"/>
      <c r="BB3423" s="1645"/>
      <c r="BC3423" s="1645"/>
      <c r="BD3423" s="1645"/>
      <c r="BE3423" s="1645"/>
      <c r="BF3423" s="1645"/>
      <c r="BG3423" s="1645"/>
      <c r="BH3423" s="1645"/>
      <c r="BI3423" s="1645"/>
      <c r="BJ3423" s="1645"/>
      <c r="BK3423" s="1645"/>
      <c r="BL3423" s="1645"/>
      <c r="BM3423" s="1645"/>
      <c r="BN3423" s="1645"/>
      <c r="BO3423" s="1645"/>
      <c r="BP3423" s="1645"/>
      <c r="BQ3423" s="1645"/>
      <c r="BR3423" s="1645"/>
      <c r="BS3423" s="1645"/>
      <c r="BT3423" s="1645"/>
      <c r="BU3423" s="1645"/>
      <c r="BV3423" s="1645"/>
      <c r="BW3423" s="1645"/>
      <c r="BX3423" s="1645"/>
      <c r="BY3423" s="1645"/>
      <c r="BZ3423" s="1645"/>
      <c r="CA3423" s="1645"/>
      <c r="CB3423" s="1645"/>
      <c r="CC3423" s="1645"/>
      <c r="CD3423" s="1645"/>
      <c r="CE3423" s="1645"/>
      <c r="CF3423" s="1645"/>
      <c r="CG3423" s="1645"/>
      <c r="CH3423" s="1645"/>
      <c r="CI3423" s="1645"/>
      <c r="CJ3423" s="1645"/>
      <c r="CK3423" s="1645"/>
      <c r="CL3423" s="1645"/>
      <c r="CM3423" s="1645"/>
      <c r="CN3423" s="1645"/>
      <c r="CO3423" s="1645"/>
    </row>
    <row r="3424" spans="1:93" s="1136" customFormat="1" ht="15.75" x14ac:dyDescent="0.25">
      <c r="A3424" s="1483" t="s">
        <v>3094</v>
      </c>
      <c r="B3424" s="1641">
        <f>B3358</f>
        <v>0</v>
      </c>
      <c r="C3424" s="1407"/>
      <c r="D3424" s="1407"/>
      <c r="E3424" s="1407"/>
      <c r="F3424" s="1407"/>
      <c r="G3424" s="1407"/>
      <c r="H3424" s="1070"/>
      <c r="Q3424" s="1551"/>
      <c r="R3424" s="1551"/>
      <c r="S3424" s="1551"/>
      <c r="T3424" s="1551"/>
      <c r="U3424" s="1551"/>
      <c r="V3424" s="1551"/>
      <c r="W3424" s="1551"/>
      <c r="X3424" s="1551"/>
      <c r="Y3424" s="1551"/>
      <c r="Z3424" s="1551"/>
      <c r="AA3424" s="1645"/>
      <c r="AB3424" s="1645"/>
      <c r="AC3424" s="1645"/>
      <c r="AD3424" s="1645"/>
      <c r="AE3424" s="1645"/>
      <c r="AF3424" s="1645"/>
      <c r="AG3424" s="1645"/>
      <c r="AH3424" s="1645"/>
      <c r="AI3424" s="1645"/>
      <c r="AJ3424" s="1645"/>
      <c r="AK3424" s="1645"/>
      <c r="AL3424" s="1645"/>
      <c r="AM3424" s="1645"/>
      <c r="AN3424" s="1645"/>
      <c r="AO3424" s="1645"/>
      <c r="AP3424" s="1645"/>
      <c r="AQ3424" s="1645"/>
      <c r="AR3424" s="1645"/>
      <c r="AS3424" s="1645"/>
      <c r="AT3424" s="1645"/>
      <c r="AU3424" s="1645"/>
      <c r="AV3424" s="1645"/>
      <c r="AW3424" s="1645"/>
      <c r="AX3424" s="1645"/>
      <c r="AY3424" s="1645"/>
      <c r="AZ3424" s="1645"/>
      <c r="BA3424" s="1645"/>
      <c r="BB3424" s="1645"/>
      <c r="BC3424" s="1645"/>
      <c r="BD3424" s="1645"/>
      <c r="BE3424" s="1645"/>
      <c r="BF3424" s="1645"/>
      <c r="BG3424" s="1645"/>
      <c r="BH3424" s="1645"/>
      <c r="BI3424" s="1645"/>
      <c r="BJ3424" s="1645"/>
      <c r="BK3424" s="1645"/>
      <c r="BL3424" s="1645"/>
      <c r="BM3424" s="1645"/>
      <c r="BN3424" s="1645"/>
      <c r="BO3424" s="1645"/>
      <c r="BP3424" s="1645"/>
      <c r="BQ3424" s="1645"/>
      <c r="BR3424" s="1645"/>
      <c r="BS3424" s="1645"/>
      <c r="BT3424" s="1645"/>
      <c r="BU3424" s="1645"/>
      <c r="BV3424" s="1645"/>
      <c r="BW3424" s="1645"/>
      <c r="BX3424" s="1645"/>
      <c r="BY3424" s="1645"/>
      <c r="BZ3424" s="1645"/>
      <c r="CA3424" s="1645"/>
      <c r="CB3424" s="1645"/>
      <c r="CC3424" s="1645"/>
      <c r="CD3424" s="1645"/>
      <c r="CE3424" s="1645"/>
      <c r="CF3424" s="1645"/>
      <c r="CG3424" s="1645"/>
      <c r="CH3424" s="1645"/>
      <c r="CI3424" s="1645"/>
      <c r="CJ3424" s="1645"/>
      <c r="CK3424" s="1645"/>
      <c r="CL3424" s="1645"/>
      <c r="CM3424" s="1645"/>
      <c r="CN3424" s="1645"/>
      <c r="CO3424" s="1645"/>
    </row>
    <row r="3425" spans="1:93" s="1136" customFormat="1" ht="15.75" x14ac:dyDescent="0.25">
      <c r="A3425" s="1483" t="s">
        <v>5147</v>
      </c>
      <c r="B3425" s="1641">
        <v>16.600000000000001</v>
      </c>
      <c r="C3425" s="1407"/>
      <c r="D3425" s="1407"/>
      <c r="E3425" s="1407"/>
      <c r="F3425" s="1407"/>
      <c r="G3425" s="1407"/>
      <c r="H3425" s="1070"/>
      <c r="Q3425" s="1551"/>
      <c r="R3425" s="1551"/>
      <c r="S3425" s="1551"/>
      <c r="T3425" s="1551"/>
      <c r="U3425" s="1551"/>
      <c r="V3425" s="1551"/>
      <c r="W3425" s="1551"/>
      <c r="X3425" s="1551"/>
      <c r="Y3425" s="1551"/>
      <c r="Z3425" s="1551"/>
      <c r="AA3425" s="1645"/>
      <c r="AB3425" s="1645"/>
      <c r="AC3425" s="1645"/>
      <c r="AD3425" s="1645"/>
      <c r="AE3425" s="1645"/>
      <c r="AF3425" s="1645"/>
      <c r="AG3425" s="1645"/>
      <c r="AH3425" s="1645"/>
      <c r="AI3425" s="1645"/>
      <c r="AJ3425" s="1645"/>
      <c r="AK3425" s="1645"/>
      <c r="AL3425" s="1645"/>
      <c r="AM3425" s="1645"/>
      <c r="AN3425" s="1645"/>
      <c r="AO3425" s="1645"/>
      <c r="AP3425" s="1645"/>
      <c r="AQ3425" s="1645"/>
      <c r="AR3425" s="1645"/>
      <c r="AS3425" s="1645"/>
      <c r="AT3425" s="1645"/>
      <c r="AU3425" s="1645"/>
      <c r="AV3425" s="1645"/>
      <c r="AW3425" s="1645"/>
      <c r="AX3425" s="1645"/>
      <c r="AY3425" s="1645"/>
      <c r="AZ3425" s="1645"/>
      <c r="BA3425" s="1645"/>
      <c r="BB3425" s="1645"/>
      <c r="BC3425" s="1645"/>
      <c r="BD3425" s="1645"/>
      <c r="BE3425" s="1645"/>
      <c r="BF3425" s="1645"/>
      <c r="BG3425" s="1645"/>
      <c r="BH3425" s="1645"/>
      <c r="BI3425" s="1645"/>
      <c r="BJ3425" s="1645"/>
      <c r="BK3425" s="1645"/>
      <c r="BL3425" s="1645"/>
      <c r="BM3425" s="1645"/>
      <c r="BN3425" s="1645"/>
      <c r="BO3425" s="1645"/>
      <c r="BP3425" s="1645"/>
      <c r="BQ3425" s="1645"/>
      <c r="BR3425" s="1645"/>
      <c r="BS3425" s="1645"/>
      <c r="BT3425" s="1645"/>
      <c r="BU3425" s="1645"/>
      <c r="BV3425" s="1645"/>
      <c r="BW3425" s="1645"/>
      <c r="BX3425" s="1645"/>
      <c r="BY3425" s="1645"/>
      <c r="BZ3425" s="1645"/>
      <c r="CA3425" s="1645"/>
      <c r="CB3425" s="1645"/>
      <c r="CC3425" s="1645"/>
      <c r="CD3425" s="1645"/>
      <c r="CE3425" s="1645"/>
      <c r="CF3425" s="1645"/>
      <c r="CG3425" s="1645"/>
      <c r="CH3425" s="1645"/>
      <c r="CI3425" s="1645"/>
      <c r="CJ3425" s="1645"/>
      <c r="CK3425" s="1645"/>
      <c r="CL3425" s="1645"/>
      <c r="CM3425" s="1645"/>
      <c r="CN3425" s="1645"/>
      <c r="CO3425" s="1645"/>
    </row>
    <row r="3426" spans="1:93" s="1136" customFormat="1" ht="15.75" x14ac:dyDescent="0.25">
      <c r="A3426" s="1483" t="s">
        <v>3088</v>
      </c>
      <c r="B3426" s="1641">
        <f>B3424*2/B3425</f>
        <v>0</v>
      </c>
      <c r="C3426" s="1407"/>
      <c r="D3426" s="1407"/>
      <c r="E3426" s="1407"/>
      <c r="F3426" s="1407"/>
      <c r="G3426" s="1407"/>
      <c r="H3426" s="1070"/>
      <c r="Q3426" s="1551"/>
      <c r="R3426" s="1551"/>
      <c r="S3426" s="1551"/>
      <c r="T3426" s="1551"/>
      <c r="U3426" s="1551"/>
      <c r="V3426" s="1551"/>
      <c r="W3426" s="1551"/>
      <c r="X3426" s="1551"/>
      <c r="Y3426" s="1551"/>
      <c r="Z3426" s="1551"/>
      <c r="AA3426" s="1645"/>
      <c r="AB3426" s="1645"/>
      <c r="AC3426" s="1645"/>
      <c r="AD3426" s="1645"/>
      <c r="AE3426" s="1645"/>
      <c r="AF3426" s="1645"/>
      <c r="AG3426" s="1645"/>
      <c r="AH3426" s="1645"/>
      <c r="AI3426" s="1645"/>
      <c r="AJ3426" s="1645"/>
      <c r="AK3426" s="1645"/>
      <c r="AL3426" s="1645"/>
      <c r="AM3426" s="1645"/>
      <c r="AN3426" s="1645"/>
      <c r="AO3426" s="1645"/>
      <c r="AP3426" s="1645"/>
      <c r="AQ3426" s="1645"/>
      <c r="AR3426" s="1645"/>
      <c r="AS3426" s="1645"/>
      <c r="AT3426" s="1645"/>
      <c r="AU3426" s="1645"/>
      <c r="AV3426" s="1645"/>
      <c r="AW3426" s="1645"/>
      <c r="AX3426" s="1645"/>
      <c r="AY3426" s="1645"/>
      <c r="AZ3426" s="1645"/>
      <c r="BA3426" s="1645"/>
      <c r="BB3426" s="1645"/>
      <c r="BC3426" s="1645"/>
      <c r="BD3426" s="1645"/>
      <c r="BE3426" s="1645"/>
      <c r="BF3426" s="1645"/>
      <c r="BG3426" s="1645"/>
      <c r="BH3426" s="1645"/>
      <c r="BI3426" s="1645"/>
      <c r="BJ3426" s="1645"/>
      <c r="BK3426" s="1645"/>
      <c r="BL3426" s="1645"/>
      <c r="BM3426" s="1645"/>
      <c r="BN3426" s="1645"/>
      <c r="BO3426" s="1645"/>
      <c r="BP3426" s="1645"/>
      <c r="BQ3426" s="1645"/>
      <c r="BR3426" s="1645"/>
      <c r="BS3426" s="1645"/>
      <c r="BT3426" s="1645"/>
      <c r="BU3426" s="1645"/>
      <c r="BV3426" s="1645"/>
      <c r="BW3426" s="1645"/>
      <c r="BX3426" s="1645"/>
      <c r="BY3426" s="1645"/>
      <c r="BZ3426" s="1645"/>
      <c r="CA3426" s="1645"/>
      <c r="CB3426" s="1645"/>
      <c r="CC3426" s="1645"/>
      <c r="CD3426" s="1645"/>
      <c r="CE3426" s="1645"/>
      <c r="CF3426" s="1645"/>
      <c r="CG3426" s="1645"/>
      <c r="CH3426" s="1645"/>
      <c r="CI3426" s="1645"/>
      <c r="CJ3426" s="1645"/>
      <c r="CK3426" s="1645"/>
      <c r="CL3426" s="1645"/>
      <c r="CM3426" s="1645"/>
      <c r="CN3426" s="1645"/>
      <c r="CO3426" s="1645"/>
    </row>
    <row r="3427" spans="1:93" s="1136" customFormat="1" ht="15.75" x14ac:dyDescent="0.25">
      <c r="A3427" s="1649" t="s">
        <v>3096</v>
      </c>
      <c r="B3427" s="1046"/>
      <c r="C3427" s="1070"/>
      <c r="D3427" s="1070"/>
      <c r="E3427" s="1070"/>
      <c r="F3427" s="1070"/>
      <c r="G3427" s="1070"/>
      <c r="H3427" s="1070"/>
      <c r="Q3427" s="1551"/>
      <c r="R3427" s="1551"/>
      <c r="S3427" s="1551"/>
      <c r="T3427" s="1551"/>
      <c r="U3427" s="1551"/>
      <c r="V3427" s="1551"/>
      <c r="W3427" s="1551"/>
      <c r="X3427" s="1551"/>
      <c r="Y3427" s="1551"/>
      <c r="Z3427" s="1551"/>
      <c r="AA3427" s="1645"/>
      <c r="AB3427" s="1645"/>
      <c r="AC3427" s="1645"/>
      <c r="AD3427" s="1645"/>
      <c r="AE3427" s="1645"/>
      <c r="AF3427" s="1645"/>
      <c r="AG3427" s="1645"/>
      <c r="AH3427" s="1645"/>
      <c r="AI3427" s="1645"/>
      <c r="AJ3427" s="1645"/>
      <c r="AK3427" s="1645"/>
      <c r="AL3427" s="1645"/>
      <c r="AM3427" s="1645"/>
      <c r="AN3427" s="1645"/>
      <c r="AO3427" s="1645"/>
      <c r="AP3427" s="1645"/>
      <c r="AQ3427" s="1645"/>
      <c r="AR3427" s="1645"/>
      <c r="AS3427" s="1645"/>
      <c r="AT3427" s="1645"/>
      <c r="AU3427" s="1645"/>
      <c r="AV3427" s="1645"/>
      <c r="AW3427" s="1645"/>
      <c r="AX3427" s="1645"/>
      <c r="AY3427" s="1645"/>
      <c r="AZ3427" s="1645"/>
      <c r="BA3427" s="1645"/>
      <c r="BB3427" s="1645"/>
      <c r="BC3427" s="1645"/>
      <c r="BD3427" s="1645"/>
      <c r="BE3427" s="1645"/>
      <c r="BF3427" s="1645"/>
      <c r="BG3427" s="1645"/>
      <c r="BH3427" s="1645"/>
      <c r="BI3427" s="1645"/>
      <c r="BJ3427" s="1645"/>
      <c r="BK3427" s="1645"/>
      <c r="BL3427" s="1645"/>
      <c r="BM3427" s="1645"/>
      <c r="BN3427" s="1645"/>
      <c r="BO3427" s="1645"/>
      <c r="BP3427" s="1645"/>
      <c r="BQ3427" s="1645"/>
      <c r="BR3427" s="1645"/>
      <c r="BS3427" s="1645"/>
      <c r="BT3427" s="1645"/>
      <c r="BU3427" s="1645"/>
      <c r="BV3427" s="1645"/>
      <c r="BW3427" s="1645"/>
      <c r="BX3427" s="1645"/>
      <c r="BY3427" s="1645"/>
      <c r="BZ3427" s="1645"/>
      <c r="CA3427" s="1645"/>
      <c r="CB3427" s="1645"/>
      <c r="CC3427" s="1645"/>
      <c r="CD3427" s="1645"/>
      <c r="CE3427" s="1645"/>
      <c r="CF3427" s="1645"/>
      <c r="CG3427" s="1645"/>
      <c r="CH3427" s="1645"/>
      <c r="CI3427" s="1645"/>
      <c r="CJ3427" s="1645"/>
      <c r="CK3427" s="1645"/>
      <c r="CL3427" s="1645"/>
      <c r="CM3427" s="1645"/>
      <c r="CN3427" s="1645"/>
      <c r="CO3427" s="1645"/>
    </row>
    <row r="3428" spans="1:93" s="1136" customFormat="1" ht="15.75" x14ac:dyDescent="0.25">
      <c r="A3428" s="1483" t="s">
        <v>3097</v>
      </c>
      <c r="B3428" s="1641" t="e">
        <f>B3391</f>
        <v>#VALUE!</v>
      </c>
      <c r="C3428" s="1407"/>
      <c r="D3428" s="1407"/>
      <c r="E3428" s="1407"/>
      <c r="F3428" s="1407"/>
      <c r="G3428" s="1407"/>
      <c r="H3428" s="1070"/>
      <c r="Q3428" s="1551"/>
      <c r="R3428" s="1551"/>
      <c r="S3428" s="1551"/>
      <c r="T3428" s="1551"/>
      <c r="U3428" s="1551"/>
      <c r="V3428" s="1551"/>
      <c r="W3428" s="1551"/>
      <c r="X3428" s="1551"/>
      <c r="Y3428" s="1551"/>
      <c r="Z3428" s="1551"/>
      <c r="AA3428" s="1645"/>
      <c r="AB3428" s="1645"/>
      <c r="AC3428" s="1645"/>
      <c r="AD3428" s="1645"/>
      <c r="AE3428" s="1645"/>
      <c r="AF3428" s="1645"/>
      <c r="AG3428" s="1645"/>
      <c r="AH3428" s="1645"/>
      <c r="AI3428" s="1645"/>
      <c r="AJ3428" s="1645"/>
      <c r="AK3428" s="1645"/>
      <c r="AL3428" s="1645"/>
      <c r="AM3428" s="1645"/>
      <c r="AN3428" s="1645"/>
      <c r="AO3428" s="1645"/>
      <c r="AP3428" s="1645"/>
      <c r="AQ3428" s="1645"/>
      <c r="AR3428" s="1645"/>
      <c r="AS3428" s="1645"/>
      <c r="AT3428" s="1645"/>
      <c r="AU3428" s="1645"/>
      <c r="AV3428" s="1645"/>
      <c r="AW3428" s="1645"/>
      <c r="AX3428" s="1645"/>
      <c r="AY3428" s="1645"/>
      <c r="AZ3428" s="1645"/>
      <c r="BA3428" s="1645"/>
      <c r="BB3428" s="1645"/>
      <c r="BC3428" s="1645"/>
      <c r="BD3428" s="1645"/>
      <c r="BE3428" s="1645"/>
      <c r="BF3428" s="1645"/>
      <c r="BG3428" s="1645"/>
      <c r="BH3428" s="1645"/>
      <c r="BI3428" s="1645"/>
      <c r="BJ3428" s="1645"/>
      <c r="BK3428" s="1645"/>
      <c r="BL3428" s="1645"/>
      <c r="BM3428" s="1645"/>
      <c r="BN3428" s="1645"/>
      <c r="BO3428" s="1645"/>
      <c r="BP3428" s="1645"/>
      <c r="BQ3428" s="1645"/>
      <c r="BR3428" s="1645"/>
      <c r="BS3428" s="1645"/>
      <c r="BT3428" s="1645"/>
      <c r="BU3428" s="1645"/>
      <c r="BV3428" s="1645"/>
      <c r="BW3428" s="1645"/>
      <c r="BX3428" s="1645"/>
      <c r="BY3428" s="1645"/>
      <c r="BZ3428" s="1645"/>
      <c r="CA3428" s="1645"/>
      <c r="CB3428" s="1645"/>
      <c r="CC3428" s="1645"/>
      <c r="CD3428" s="1645"/>
      <c r="CE3428" s="1645"/>
      <c r="CF3428" s="1645"/>
      <c r="CG3428" s="1645"/>
      <c r="CH3428" s="1645"/>
      <c r="CI3428" s="1645"/>
      <c r="CJ3428" s="1645"/>
      <c r="CK3428" s="1645"/>
      <c r="CL3428" s="1645"/>
      <c r="CM3428" s="1645"/>
      <c r="CN3428" s="1645"/>
      <c r="CO3428" s="1645"/>
    </row>
    <row r="3429" spans="1:93" s="1136" customFormat="1" ht="15.75" x14ac:dyDescent="0.25">
      <c r="A3429" s="1483" t="s">
        <v>3091</v>
      </c>
      <c r="B3429" s="1641">
        <v>10.3</v>
      </c>
      <c r="C3429" s="1407"/>
      <c r="D3429" s="1407"/>
      <c r="E3429" s="1407"/>
      <c r="F3429" s="1407"/>
      <c r="G3429" s="1407"/>
      <c r="H3429" s="1070"/>
      <c r="Q3429" s="1551"/>
      <c r="R3429" s="1551"/>
      <c r="S3429" s="1551"/>
      <c r="T3429" s="1551"/>
      <c r="U3429" s="1551"/>
      <c r="V3429" s="1551"/>
      <c r="W3429" s="1551"/>
      <c r="X3429" s="1551"/>
      <c r="Y3429" s="1551"/>
      <c r="Z3429" s="1551"/>
      <c r="AA3429" s="1645"/>
      <c r="AB3429" s="1645"/>
      <c r="AC3429" s="1645"/>
      <c r="AD3429" s="1645"/>
      <c r="AE3429" s="1645"/>
      <c r="AF3429" s="1645"/>
      <c r="AG3429" s="1645"/>
      <c r="AH3429" s="1645"/>
      <c r="AI3429" s="1645"/>
      <c r="AJ3429" s="1645"/>
      <c r="AK3429" s="1645"/>
      <c r="AL3429" s="1645"/>
      <c r="AM3429" s="1645"/>
      <c r="AN3429" s="1645"/>
      <c r="AO3429" s="1645"/>
      <c r="AP3429" s="1645"/>
      <c r="AQ3429" s="1645"/>
      <c r="AR3429" s="1645"/>
      <c r="AS3429" s="1645"/>
      <c r="AT3429" s="1645"/>
      <c r="AU3429" s="1645"/>
      <c r="AV3429" s="1645"/>
      <c r="AW3429" s="1645"/>
      <c r="AX3429" s="1645"/>
      <c r="AY3429" s="1645"/>
      <c r="AZ3429" s="1645"/>
      <c r="BA3429" s="1645"/>
      <c r="BB3429" s="1645"/>
      <c r="BC3429" s="1645"/>
      <c r="BD3429" s="1645"/>
      <c r="BE3429" s="1645"/>
      <c r="BF3429" s="1645"/>
      <c r="BG3429" s="1645"/>
      <c r="BH3429" s="1645"/>
      <c r="BI3429" s="1645"/>
      <c r="BJ3429" s="1645"/>
      <c r="BK3429" s="1645"/>
      <c r="BL3429" s="1645"/>
      <c r="BM3429" s="1645"/>
      <c r="BN3429" s="1645"/>
      <c r="BO3429" s="1645"/>
      <c r="BP3429" s="1645"/>
      <c r="BQ3429" s="1645"/>
      <c r="BR3429" s="1645"/>
      <c r="BS3429" s="1645"/>
      <c r="BT3429" s="1645"/>
      <c r="BU3429" s="1645"/>
      <c r="BV3429" s="1645"/>
      <c r="BW3429" s="1645"/>
      <c r="BX3429" s="1645"/>
      <c r="BY3429" s="1645"/>
      <c r="BZ3429" s="1645"/>
      <c r="CA3429" s="1645"/>
      <c r="CB3429" s="1645"/>
      <c r="CC3429" s="1645"/>
      <c r="CD3429" s="1645"/>
      <c r="CE3429" s="1645"/>
      <c r="CF3429" s="1645"/>
      <c r="CG3429" s="1645"/>
      <c r="CH3429" s="1645"/>
      <c r="CI3429" s="1645"/>
      <c r="CJ3429" s="1645"/>
      <c r="CK3429" s="1645"/>
      <c r="CL3429" s="1645"/>
      <c r="CM3429" s="1645"/>
      <c r="CN3429" s="1645"/>
      <c r="CO3429" s="1645"/>
    </row>
    <row r="3430" spans="1:93" s="1136" customFormat="1" ht="15.75" x14ac:dyDescent="0.25">
      <c r="A3430" s="1483" t="s">
        <v>3088</v>
      </c>
      <c r="B3430" s="1641" t="e">
        <f>B3428/B3429</f>
        <v>#VALUE!</v>
      </c>
      <c r="C3430" s="1407"/>
      <c r="D3430" s="1407"/>
      <c r="E3430" s="1407"/>
      <c r="F3430" s="1407"/>
      <c r="G3430" s="1407"/>
      <c r="H3430" s="1070"/>
      <c r="Q3430" s="1551"/>
      <c r="R3430" s="1551"/>
      <c r="S3430" s="1551"/>
      <c r="T3430" s="1551"/>
      <c r="U3430" s="1551"/>
      <c r="V3430" s="1551"/>
      <c r="W3430" s="1551"/>
      <c r="X3430" s="1551"/>
      <c r="Y3430" s="1551"/>
      <c r="Z3430" s="1551"/>
      <c r="AA3430" s="1645"/>
      <c r="AB3430" s="1645"/>
      <c r="AC3430" s="1645"/>
      <c r="AD3430" s="1645"/>
      <c r="AE3430" s="1645"/>
      <c r="AF3430" s="1645"/>
      <c r="AG3430" s="1645"/>
      <c r="AH3430" s="1645"/>
      <c r="AI3430" s="1645"/>
      <c r="AJ3430" s="1645"/>
      <c r="AK3430" s="1645"/>
      <c r="AL3430" s="1645"/>
      <c r="AM3430" s="1645"/>
      <c r="AN3430" s="1645"/>
      <c r="AO3430" s="1645"/>
      <c r="AP3430" s="1645"/>
      <c r="AQ3430" s="1645"/>
      <c r="AR3430" s="1645"/>
      <c r="AS3430" s="1645"/>
      <c r="AT3430" s="1645"/>
      <c r="AU3430" s="1645"/>
      <c r="AV3430" s="1645"/>
      <c r="AW3430" s="1645"/>
      <c r="AX3430" s="1645"/>
      <c r="AY3430" s="1645"/>
      <c r="AZ3430" s="1645"/>
      <c r="BA3430" s="1645"/>
      <c r="BB3430" s="1645"/>
      <c r="BC3430" s="1645"/>
      <c r="BD3430" s="1645"/>
      <c r="BE3430" s="1645"/>
      <c r="BF3430" s="1645"/>
      <c r="BG3430" s="1645"/>
      <c r="BH3430" s="1645"/>
      <c r="BI3430" s="1645"/>
      <c r="BJ3430" s="1645"/>
      <c r="BK3430" s="1645"/>
      <c r="BL3430" s="1645"/>
      <c r="BM3430" s="1645"/>
      <c r="BN3430" s="1645"/>
      <c r="BO3430" s="1645"/>
      <c r="BP3430" s="1645"/>
      <c r="BQ3430" s="1645"/>
      <c r="BR3430" s="1645"/>
      <c r="BS3430" s="1645"/>
      <c r="BT3430" s="1645"/>
      <c r="BU3430" s="1645"/>
      <c r="BV3430" s="1645"/>
      <c r="BW3430" s="1645"/>
      <c r="BX3430" s="1645"/>
      <c r="BY3430" s="1645"/>
      <c r="BZ3430" s="1645"/>
      <c r="CA3430" s="1645"/>
      <c r="CB3430" s="1645"/>
      <c r="CC3430" s="1645"/>
      <c r="CD3430" s="1645"/>
      <c r="CE3430" s="1645"/>
      <c r="CF3430" s="1645"/>
      <c r="CG3430" s="1645"/>
      <c r="CH3430" s="1645"/>
      <c r="CI3430" s="1645"/>
      <c r="CJ3430" s="1645"/>
      <c r="CK3430" s="1645"/>
      <c r="CL3430" s="1645"/>
      <c r="CM3430" s="1645"/>
      <c r="CN3430" s="1645"/>
      <c r="CO3430" s="1645"/>
    </row>
    <row r="3431" spans="1:93" s="1136" customFormat="1" ht="15.75" x14ac:dyDescent="0.25">
      <c r="A3431" s="1649" t="s">
        <v>3098</v>
      </c>
      <c r="B3431" s="1046"/>
      <c r="C3431" s="1070"/>
      <c r="D3431" s="1070"/>
      <c r="E3431" s="1070"/>
      <c r="F3431" s="1070"/>
      <c r="G3431" s="1070"/>
      <c r="H3431" s="1070"/>
      <c r="Q3431" s="1551"/>
      <c r="R3431" s="1551"/>
      <c r="S3431" s="1551"/>
      <c r="T3431" s="1551"/>
      <c r="U3431" s="1551"/>
      <c r="V3431" s="1551"/>
      <c r="W3431" s="1551"/>
      <c r="X3431" s="1551"/>
      <c r="Y3431" s="1551"/>
      <c r="Z3431" s="1551"/>
      <c r="AA3431" s="1645"/>
      <c r="AB3431" s="1645"/>
      <c r="AC3431" s="1645"/>
      <c r="AD3431" s="1645"/>
      <c r="AE3431" s="1645"/>
      <c r="AF3431" s="1645"/>
      <c r="AG3431" s="1645"/>
      <c r="AH3431" s="1645"/>
      <c r="AI3431" s="1645"/>
      <c r="AJ3431" s="1645"/>
      <c r="AK3431" s="1645"/>
      <c r="AL3431" s="1645"/>
      <c r="AM3431" s="1645"/>
      <c r="AN3431" s="1645"/>
      <c r="AO3431" s="1645"/>
      <c r="AP3431" s="1645"/>
      <c r="AQ3431" s="1645"/>
      <c r="AR3431" s="1645"/>
      <c r="AS3431" s="1645"/>
      <c r="AT3431" s="1645"/>
      <c r="AU3431" s="1645"/>
      <c r="AV3431" s="1645"/>
      <c r="AW3431" s="1645"/>
      <c r="AX3431" s="1645"/>
      <c r="AY3431" s="1645"/>
      <c r="AZ3431" s="1645"/>
      <c r="BA3431" s="1645"/>
      <c r="BB3431" s="1645"/>
      <c r="BC3431" s="1645"/>
      <c r="BD3431" s="1645"/>
      <c r="BE3431" s="1645"/>
      <c r="BF3431" s="1645"/>
      <c r="BG3431" s="1645"/>
      <c r="BH3431" s="1645"/>
      <c r="BI3431" s="1645"/>
      <c r="BJ3431" s="1645"/>
      <c r="BK3431" s="1645"/>
      <c r="BL3431" s="1645"/>
      <c r="BM3431" s="1645"/>
      <c r="BN3431" s="1645"/>
      <c r="BO3431" s="1645"/>
      <c r="BP3431" s="1645"/>
      <c r="BQ3431" s="1645"/>
      <c r="BR3431" s="1645"/>
      <c r="BS3431" s="1645"/>
      <c r="BT3431" s="1645"/>
      <c r="BU3431" s="1645"/>
      <c r="BV3431" s="1645"/>
      <c r="BW3431" s="1645"/>
      <c r="BX3431" s="1645"/>
      <c r="BY3431" s="1645"/>
      <c r="BZ3431" s="1645"/>
      <c r="CA3431" s="1645"/>
      <c r="CB3431" s="1645"/>
      <c r="CC3431" s="1645"/>
      <c r="CD3431" s="1645"/>
      <c r="CE3431" s="1645"/>
      <c r="CF3431" s="1645"/>
      <c r="CG3431" s="1645"/>
      <c r="CH3431" s="1645"/>
      <c r="CI3431" s="1645"/>
      <c r="CJ3431" s="1645"/>
      <c r="CK3431" s="1645"/>
      <c r="CL3431" s="1645"/>
      <c r="CM3431" s="1645"/>
      <c r="CN3431" s="1645"/>
      <c r="CO3431" s="1645"/>
    </row>
    <row r="3432" spans="1:93" s="1136" customFormat="1" ht="15.75" x14ac:dyDescent="0.25">
      <c r="A3432" s="1483" t="s">
        <v>3097</v>
      </c>
      <c r="B3432" s="1641">
        <f>B3415</f>
        <v>0</v>
      </c>
      <c r="C3432" s="1407"/>
      <c r="D3432" s="1407"/>
      <c r="E3432" s="1407"/>
      <c r="F3432" s="1407"/>
      <c r="G3432" s="1407"/>
      <c r="H3432" s="1070"/>
      <c r="Q3432" s="1551"/>
      <c r="R3432" s="1551"/>
      <c r="S3432" s="1551"/>
      <c r="T3432" s="1551"/>
      <c r="U3432" s="1551"/>
      <c r="V3432" s="1551"/>
      <c r="W3432" s="1551"/>
      <c r="X3432" s="1551"/>
      <c r="Y3432" s="1551"/>
      <c r="Z3432" s="1551"/>
      <c r="AA3432" s="1645"/>
      <c r="AB3432" s="1645"/>
      <c r="AC3432" s="1645"/>
      <c r="AD3432" s="1645"/>
      <c r="AE3432" s="1645"/>
      <c r="AF3432" s="1645"/>
      <c r="AG3432" s="1645"/>
      <c r="AH3432" s="1645"/>
      <c r="AI3432" s="1645"/>
      <c r="AJ3432" s="1645"/>
      <c r="AK3432" s="1645"/>
      <c r="AL3432" s="1645"/>
      <c r="AM3432" s="1645"/>
      <c r="AN3432" s="1645"/>
      <c r="AO3432" s="1645"/>
      <c r="AP3432" s="1645"/>
      <c r="AQ3432" s="1645"/>
      <c r="AR3432" s="1645"/>
      <c r="AS3432" s="1645"/>
      <c r="AT3432" s="1645"/>
      <c r="AU3432" s="1645"/>
      <c r="AV3432" s="1645"/>
      <c r="AW3432" s="1645"/>
      <c r="AX3432" s="1645"/>
      <c r="AY3432" s="1645"/>
      <c r="AZ3432" s="1645"/>
      <c r="BA3432" s="1645"/>
      <c r="BB3432" s="1645"/>
      <c r="BC3432" s="1645"/>
      <c r="BD3432" s="1645"/>
      <c r="BE3432" s="1645"/>
      <c r="BF3432" s="1645"/>
      <c r="BG3432" s="1645"/>
      <c r="BH3432" s="1645"/>
      <c r="BI3432" s="1645"/>
      <c r="BJ3432" s="1645"/>
      <c r="BK3432" s="1645"/>
      <c r="BL3432" s="1645"/>
      <c r="BM3432" s="1645"/>
      <c r="BN3432" s="1645"/>
      <c r="BO3432" s="1645"/>
      <c r="BP3432" s="1645"/>
      <c r="BQ3432" s="1645"/>
      <c r="BR3432" s="1645"/>
      <c r="BS3432" s="1645"/>
      <c r="BT3432" s="1645"/>
      <c r="BU3432" s="1645"/>
      <c r="BV3432" s="1645"/>
      <c r="BW3432" s="1645"/>
      <c r="BX3432" s="1645"/>
      <c r="BY3432" s="1645"/>
      <c r="BZ3432" s="1645"/>
      <c r="CA3432" s="1645"/>
      <c r="CB3432" s="1645"/>
      <c r="CC3432" s="1645"/>
      <c r="CD3432" s="1645"/>
      <c r="CE3432" s="1645"/>
      <c r="CF3432" s="1645"/>
      <c r="CG3432" s="1645"/>
      <c r="CH3432" s="1645"/>
      <c r="CI3432" s="1645"/>
      <c r="CJ3432" s="1645"/>
      <c r="CK3432" s="1645"/>
      <c r="CL3432" s="1645"/>
      <c r="CM3432" s="1645"/>
      <c r="CN3432" s="1645"/>
      <c r="CO3432" s="1645"/>
    </row>
    <row r="3433" spans="1:93" s="1136" customFormat="1" ht="15.75" x14ac:dyDescent="0.25">
      <c r="A3433" s="1483" t="s">
        <v>1781</v>
      </c>
      <c r="B3433" s="1641">
        <f>IF(B3432&lt;0.301,9.6,IF(B3432&lt;0.601,10.7,IF(B3432&lt;0.901,12.2,IF(B3432&lt;1.301,14,16))))</f>
        <v>9.6</v>
      </c>
      <c r="C3433" s="1407"/>
      <c r="D3433" s="1407"/>
      <c r="E3433" s="1407"/>
      <c r="F3433" s="1407"/>
      <c r="G3433" s="1407"/>
      <c r="H3433" s="1070"/>
      <c r="Q3433" s="1551"/>
      <c r="R3433" s="1551"/>
      <c r="S3433" s="1551"/>
      <c r="T3433" s="1551"/>
      <c r="U3433" s="1551"/>
      <c r="V3433" s="1551"/>
      <c r="W3433" s="1551"/>
      <c r="X3433" s="1551"/>
      <c r="Y3433" s="1551"/>
      <c r="Z3433" s="1551"/>
      <c r="AA3433" s="1645"/>
      <c r="AB3433" s="1645"/>
      <c r="AC3433" s="1645"/>
      <c r="AD3433" s="1645"/>
      <c r="AE3433" s="1645"/>
      <c r="AF3433" s="1645"/>
      <c r="AG3433" s="1645"/>
      <c r="AH3433" s="1645"/>
      <c r="AI3433" s="1645"/>
      <c r="AJ3433" s="1645"/>
      <c r="AK3433" s="1645"/>
      <c r="AL3433" s="1645"/>
      <c r="AM3433" s="1645"/>
      <c r="AN3433" s="1645"/>
      <c r="AO3433" s="1645"/>
      <c r="AP3433" s="1645"/>
      <c r="AQ3433" s="1645"/>
      <c r="AR3433" s="1645"/>
      <c r="AS3433" s="1645"/>
      <c r="AT3433" s="1645"/>
      <c r="AU3433" s="1645"/>
      <c r="AV3433" s="1645"/>
      <c r="AW3433" s="1645"/>
      <c r="AX3433" s="1645"/>
      <c r="AY3433" s="1645"/>
      <c r="AZ3433" s="1645"/>
      <c r="BA3433" s="1645"/>
      <c r="BB3433" s="1645"/>
      <c r="BC3433" s="1645"/>
      <c r="BD3433" s="1645"/>
      <c r="BE3433" s="1645"/>
      <c r="BF3433" s="1645"/>
      <c r="BG3433" s="1645"/>
      <c r="BH3433" s="1645"/>
      <c r="BI3433" s="1645"/>
      <c r="BJ3433" s="1645"/>
      <c r="BK3433" s="1645"/>
      <c r="BL3433" s="1645"/>
      <c r="BM3433" s="1645"/>
      <c r="BN3433" s="1645"/>
      <c r="BO3433" s="1645"/>
      <c r="BP3433" s="1645"/>
      <c r="BQ3433" s="1645"/>
      <c r="BR3433" s="1645"/>
      <c r="BS3433" s="1645"/>
      <c r="BT3433" s="1645"/>
      <c r="BU3433" s="1645"/>
      <c r="BV3433" s="1645"/>
      <c r="BW3433" s="1645"/>
      <c r="BX3433" s="1645"/>
      <c r="BY3433" s="1645"/>
      <c r="BZ3433" s="1645"/>
      <c r="CA3433" s="1645"/>
      <c r="CB3433" s="1645"/>
      <c r="CC3433" s="1645"/>
      <c r="CD3433" s="1645"/>
      <c r="CE3433" s="1645"/>
      <c r="CF3433" s="1645"/>
      <c r="CG3433" s="1645"/>
      <c r="CH3433" s="1645"/>
      <c r="CI3433" s="1645"/>
      <c r="CJ3433" s="1645"/>
      <c r="CK3433" s="1645"/>
      <c r="CL3433" s="1645"/>
      <c r="CM3433" s="1645"/>
      <c r="CN3433" s="1645"/>
      <c r="CO3433" s="1645"/>
    </row>
    <row r="3434" spans="1:93" s="1136" customFormat="1" ht="15.75" x14ac:dyDescent="0.25">
      <c r="A3434" s="1483" t="s">
        <v>3088</v>
      </c>
      <c r="B3434" s="1641">
        <f>B3432/B3433</f>
        <v>0</v>
      </c>
      <c r="C3434" s="1407"/>
      <c r="D3434" s="1407"/>
      <c r="E3434" s="1407"/>
      <c r="F3434" s="1407"/>
      <c r="G3434" s="1407"/>
      <c r="H3434" s="1070"/>
      <c r="Q3434" s="1551"/>
      <c r="R3434" s="1551"/>
      <c r="S3434" s="1551"/>
      <c r="T3434" s="1551"/>
      <c r="U3434" s="1551"/>
      <c r="V3434" s="1551"/>
      <c r="W3434" s="1551"/>
      <c r="X3434" s="1551"/>
      <c r="Y3434" s="1551"/>
      <c r="Z3434" s="1551"/>
      <c r="AA3434" s="1645"/>
      <c r="AB3434" s="1645"/>
      <c r="AC3434" s="1645"/>
      <c r="AD3434" s="1645"/>
      <c r="AE3434" s="1645"/>
      <c r="AF3434" s="1645"/>
      <c r="AG3434" s="1645"/>
      <c r="AH3434" s="1645"/>
      <c r="AI3434" s="1645"/>
      <c r="AJ3434" s="1645"/>
      <c r="AK3434" s="1645"/>
      <c r="AL3434" s="1645"/>
      <c r="AM3434" s="1645"/>
      <c r="AN3434" s="1645"/>
      <c r="AO3434" s="1645"/>
      <c r="AP3434" s="1645"/>
      <c r="AQ3434" s="1645"/>
      <c r="AR3434" s="1645"/>
      <c r="AS3434" s="1645"/>
      <c r="AT3434" s="1645"/>
      <c r="AU3434" s="1645"/>
      <c r="AV3434" s="1645"/>
      <c r="AW3434" s="1645"/>
      <c r="AX3434" s="1645"/>
      <c r="AY3434" s="1645"/>
      <c r="AZ3434" s="1645"/>
      <c r="BA3434" s="1645"/>
      <c r="BB3434" s="1645"/>
      <c r="BC3434" s="1645"/>
      <c r="BD3434" s="1645"/>
      <c r="BE3434" s="1645"/>
      <c r="BF3434" s="1645"/>
      <c r="BG3434" s="1645"/>
      <c r="BH3434" s="1645"/>
      <c r="BI3434" s="1645"/>
      <c r="BJ3434" s="1645"/>
      <c r="BK3434" s="1645"/>
      <c r="BL3434" s="1645"/>
      <c r="BM3434" s="1645"/>
      <c r="BN3434" s="1645"/>
      <c r="BO3434" s="1645"/>
      <c r="BP3434" s="1645"/>
      <c r="BQ3434" s="1645"/>
      <c r="BR3434" s="1645"/>
      <c r="BS3434" s="1645"/>
      <c r="BT3434" s="1645"/>
      <c r="BU3434" s="1645"/>
      <c r="BV3434" s="1645"/>
      <c r="BW3434" s="1645"/>
      <c r="BX3434" s="1645"/>
      <c r="BY3434" s="1645"/>
      <c r="BZ3434" s="1645"/>
      <c r="CA3434" s="1645"/>
      <c r="CB3434" s="1645"/>
      <c r="CC3434" s="1645"/>
      <c r="CD3434" s="1645"/>
      <c r="CE3434" s="1645"/>
      <c r="CF3434" s="1645"/>
      <c r="CG3434" s="1645"/>
      <c r="CH3434" s="1645"/>
      <c r="CI3434" s="1645"/>
      <c r="CJ3434" s="1645"/>
      <c r="CK3434" s="1645"/>
      <c r="CL3434" s="1645"/>
      <c r="CM3434" s="1645"/>
      <c r="CN3434" s="1645"/>
      <c r="CO3434" s="1645"/>
    </row>
    <row r="3435" spans="1:93" s="1136" customFormat="1" ht="15.75" x14ac:dyDescent="0.25">
      <c r="A3435" s="1649" t="s">
        <v>478</v>
      </c>
      <c r="B3435" s="1641"/>
      <c r="C3435" s="1407"/>
      <c r="D3435" s="1407"/>
      <c r="E3435" s="1407"/>
      <c r="F3435" s="1407"/>
      <c r="G3435" s="1407"/>
      <c r="H3435" s="1070"/>
      <c r="Q3435" s="1551"/>
      <c r="R3435" s="1551"/>
      <c r="S3435" s="1551"/>
      <c r="T3435" s="1551"/>
      <c r="U3435" s="1551"/>
      <c r="V3435" s="1551"/>
      <c r="W3435" s="1551"/>
      <c r="X3435" s="1551"/>
      <c r="Y3435" s="1551"/>
      <c r="Z3435" s="1551"/>
      <c r="AA3435" s="1645"/>
      <c r="AB3435" s="1645"/>
      <c r="AC3435" s="1645"/>
      <c r="AD3435" s="1645"/>
      <c r="AE3435" s="1645"/>
      <c r="AF3435" s="1645"/>
      <c r="AG3435" s="1645"/>
      <c r="AH3435" s="1645"/>
      <c r="AI3435" s="1645"/>
      <c r="AJ3435" s="1645"/>
      <c r="AK3435" s="1645"/>
      <c r="AL3435" s="1645"/>
      <c r="AM3435" s="1645"/>
      <c r="AN3435" s="1645"/>
      <c r="AO3435" s="1645"/>
      <c r="AP3435" s="1645"/>
      <c r="AQ3435" s="1645"/>
      <c r="AR3435" s="1645"/>
      <c r="AS3435" s="1645"/>
      <c r="AT3435" s="1645"/>
      <c r="AU3435" s="1645"/>
      <c r="AV3435" s="1645"/>
      <c r="AW3435" s="1645"/>
      <c r="AX3435" s="1645"/>
      <c r="AY3435" s="1645"/>
      <c r="AZ3435" s="1645"/>
      <c r="BA3435" s="1645"/>
      <c r="BB3435" s="1645"/>
      <c r="BC3435" s="1645"/>
      <c r="BD3435" s="1645"/>
      <c r="BE3435" s="1645"/>
      <c r="BF3435" s="1645"/>
      <c r="BG3435" s="1645"/>
      <c r="BH3435" s="1645"/>
      <c r="BI3435" s="1645"/>
      <c r="BJ3435" s="1645"/>
      <c r="BK3435" s="1645"/>
      <c r="BL3435" s="1645"/>
      <c r="BM3435" s="1645"/>
      <c r="BN3435" s="1645"/>
      <c r="BO3435" s="1645"/>
      <c r="BP3435" s="1645"/>
      <c r="BQ3435" s="1645"/>
      <c r="BR3435" s="1645"/>
      <c r="BS3435" s="1645"/>
      <c r="BT3435" s="1645"/>
      <c r="BU3435" s="1645"/>
      <c r="BV3435" s="1645"/>
      <c r="BW3435" s="1645"/>
      <c r="BX3435" s="1645"/>
      <c r="BY3435" s="1645"/>
      <c r="BZ3435" s="1645"/>
      <c r="CA3435" s="1645"/>
      <c r="CB3435" s="1645"/>
      <c r="CC3435" s="1645"/>
      <c r="CD3435" s="1645"/>
      <c r="CE3435" s="1645"/>
      <c r="CF3435" s="1645"/>
      <c r="CG3435" s="1645"/>
      <c r="CH3435" s="1645"/>
      <c r="CI3435" s="1645"/>
      <c r="CJ3435" s="1645"/>
      <c r="CK3435" s="1645"/>
      <c r="CL3435" s="1645"/>
      <c r="CM3435" s="1645"/>
      <c r="CN3435" s="1645"/>
      <c r="CO3435" s="1645"/>
    </row>
    <row r="3436" spans="1:93" s="1136" customFormat="1" ht="15.75" x14ac:dyDescent="0.25">
      <c r="A3436" s="1653" t="s">
        <v>3099</v>
      </c>
      <c r="B3436" s="1406">
        <f>IF(B252=2,1,0)</f>
        <v>0</v>
      </c>
      <c r="C3436" s="1407"/>
      <c r="D3436" s="1407"/>
      <c r="E3436" s="1407"/>
      <c r="F3436" s="1407"/>
      <c r="G3436" s="1407"/>
      <c r="H3436" s="1070"/>
      <c r="Q3436" s="1551"/>
      <c r="R3436" s="1551"/>
      <c r="S3436" s="1551"/>
      <c r="T3436" s="1551"/>
      <c r="U3436" s="1551"/>
      <c r="V3436" s="1551"/>
      <c r="W3436" s="1551"/>
      <c r="X3436" s="1551"/>
      <c r="Y3436" s="1551"/>
      <c r="Z3436" s="1551"/>
      <c r="AA3436" s="1645"/>
      <c r="AB3436" s="1645"/>
      <c r="AC3436" s="1645"/>
      <c r="AD3436" s="1645"/>
      <c r="AE3436" s="1645"/>
      <c r="AF3436" s="1645"/>
      <c r="AG3436" s="1645"/>
      <c r="AH3436" s="1645"/>
      <c r="AI3436" s="1645"/>
      <c r="AJ3436" s="1645"/>
      <c r="AK3436" s="1645"/>
      <c r="AL3436" s="1645"/>
      <c r="AM3436" s="1645"/>
      <c r="AN3436" s="1645"/>
      <c r="AO3436" s="1645"/>
      <c r="AP3436" s="1645"/>
      <c r="AQ3436" s="1645"/>
      <c r="AR3436" s="1645"/>
      <c r="AS3436" s="1645"/>
      <c r="AT3436" s="1645"/>
      <c r="AU3436" s="1645"/>
      <c r="AV3436" s="1645"/>
      <c r="AW3436" s="1645"/>
      <c r="AX3436" s="1645"/>
      <c r="AY3436" s="1645"/>
      <c r="AZ3436" s="1645"/>
      <c r="BA3436" s="1645"/>
      <c r="BB3436" s="1645"/>
      <c r="BC3436" s="1645"/>
      <c r="BD3436" s="1645"/>
      <c r="BE3436" s="1645"/>
      <c r="BF3436" s="1645"/>
      <c r="BG3436" s="1645"/>
      <c r="BH3436" s="1645"/>
      <c r="BI3436" s="1645"/>
      <c r="BJ3436" s="1645"/>
      <c r="BK3436" s="1645"/>
      <c r="BL3436" s="1645"/>
      <c r="BM3436" s="1645"/>
      <c r="BN3436" s="1645"/>
      <c r="BO3436" s="1645"/>
      <c r="BP3436" s="1645"/>
      <c r="BQ3436" s="1645"/>
      <c r="BR3436" s="1645"/>
      <c r="BS3436" s="1645"/>
      <c r="BT3436" s="1645"/>
      <c r="BU3436" s="1645"/>
      <c r="BV3436" s="1645"/>
      <c r="BW3436" s="1645"/>
      <c r="BX3436" s="1645"/>
      <c r="BY3436" s="1645"/>
      <c r="BZ3436" s="1645"/>
      <c r="CA3436" s="1645"/>
      <c r="CB3436" s="1645"/>
      <c r="CC3436" s="1645"/>
      <c r="CD3436" s="1645"/>
      <c r="CE3436" s="1645"/>
      <c r="CF3436" s="1645"/>
      <c r="CG3436" s="1645"/>
      <c r="CH3436" s="1645"/>
      <c r="CI3436" s="1645"/>
      <c r="CJ3436" s="1645"/>
      <c r="CK3436" s="1645"/>
      <c r="CL3436" s="1645"/>
      <c r="CM3436" s="1645"/>
      <c r="CN3436" s="1645"/>
      <c r="CO3436" s="1645"/>
    </row>
    <row r="3437" spans="1:93" s="1136" customFormat="1" ht="15.75" x14ac:dyDescent="0.25">
      <c r="A3437" s="1483" t="s">
        <v>3100</v>
      </c>
      <c r="B3437" s="1641">
        <f>0.17+0.3*(B3405+1000)/1000</f>
        <v>1.07</v>
      </c>
      <c r="C3437" s="1407"/>
      <c r="D3437" s="1407"/>
      <c r="E3437" s="1407"/>
      <c r="F3437" s="1407"/>
      <c r="G3437" s="1407"/>
      <c r="H3437" s="1070"/>
      <c r="Q3437" s="1551"/>
      <c r="R3437" s="1551"/>
      <c r="S3437" s="1551"/>
      <c r="T3437" s="1551"/>
      <c r="U3437" s="1551"/>
      <c r="V3437" s="1551"/>
      <c r="W3437" s="1551"/>
      <c r="X3437" s="1551"/>
      <c r="Y3437" s="1551"/>
      <c r="Z3437" s="1551"/>
      <c r="AA3437" s="1645"/>
      <c r="AB3437" s="1645"/>
      <c r="AC3437" s="1645"/>
      <c r="AD3437" s="1645"/>
      <c r="AE3437" s="1645"/>
      <c r="AF3437" s="1645"/>
      <c r="AG3437" s="1645"/>
      <c r="AH3437" s="1645"/>
      <c r="AI3437" s="1645"/>
      <c r="AJ3437" s="1645"/>
      <c r="AK3437" s="1645"/>
      <c r="AL3437" s="1645"/>
      <c r="AM3437" s="1645"/>
      <c r="AN3437" s="1645"/>
      <c r="AO3437" s="1645"/>
      <c r="AP3437" s="1645"/>
      <c r="AQ3437" s="1645"/>
      <c r="AR3437" s="1645"/>
      <c r="AS3437" s="1645"/>
      <c r="AT3437" s="1645"/>
      <c r="AU3437" s="1645"/>
      <c r="AV3437" s="1645"/>
      <c r="AW3437" s="1645"/>
      <c r="AX3437" s="1645"/>
      <c r="AY3437" s="1645"/>
      <c r="AZ3437" s="1645"/>
      <c r="BA3437" s="1645"/>
      <c r="BB3437" s="1645"/>
      <c r="BC3437" s="1645"/>
      <c r="BD3437" s="1645"/>
      <c r="BE3437" s="1645"/>
      <c r="BF3437" s="1645"/>
      <c r="BG3437" s="1645"/>
      <c r="BH3437" s="1645"/>
      <c r="BI3437" s="1645"/>
      <c r="BJ3437" s="1645"/>
      <c r="BK3437" s="1645"/>
      <c r="BL3437" s="1645"/>
      <c r="BM3437" s="1645"/>
      <c r="BN3437" s="1645"/>
      <c r="BO3437" s="1645"/>
      <c r="BP3437" s="1645"/>
      <c r="BQ3437" s="1645"/>
      <c r="BR3437" s="1645"/>
      <c r="BS3437" s="1645"/>
      <c r="BT3437" s="1645"/>
      <c r="BU3437" s="1645"/>
      <c r="BV3437" s="1645"/>
      <c r="BW3437" s="1645"/>
      <c r="BX3437" s="1645"/>
      <c r="BY3437" s="1645"/>
      <c r="BZ3437" s="1645"/>
      <c r="CA3437" s="1645"/>
      <c r="CB3437" s="1645"/>
      <c r="CC3437" s="1645"/>
      <c r="CD3437" s="1645"/>
      <c r="CE3437" s="1645"/>
      <c r="CF3437" s="1645"/>
      <c r="CG3437" s="1645"/>
      <c r="CH3437" s="1645"/>
      <c r="CI3437" s="1645"/>
      <c r="CJ3437" s="1645"/>
      <c r="CK3437" s="1645"/>
      <c r="CL3437" s="1645"/>
      <c r="CM3437" s="1645"/>
      <c r="CN3437" s="1645"/>
      <c r="CO3437" s="1645"/>
    </row>
    <row r="3438" spans="1:93" s="1136" customFormat="1" ht="15.75" x14ac:dyDescent="0.25">
      <c r="A3438" s="1483" t="s">
        <v>3101</v>
      </c>
      <c r="B3438" s="1641">
        <f>IF(B3436=1,B3437/6,0)</f>
        <v>0</v>
      </c>
      <c r="C3438" s="1407"/>
      <c r="D3438" s="1407"/>
      <c r="E3438" s="1407"/>
      <c r="F3438" s="1407"/>
      <c r="G3438" s="1407"/>
      <c r="H3438" s="1070"/>
      <c r="Q3438" s="1551"/>
      <c r="R3438" s="1551"/>
      <c r="S3438" s="1551"/>
      <c r="T3438" s="1551"/>
      <c r="U3438" s="1551"/>
      <c r="V3438" s="1551"/>
      <c r="W3438" s="1551"/>
      <c r="X3438" s="1551"/>
      <c r="Y3438" s="1551"/>
      <c r="Z3438" s="1551"/>
      <c r="AA3438" s="1645"/>
      <c r="AB3438" s="1645"/>
      <c r="AC3438" s="1645"/>
      <c r="AD3438" s="1645"/>
      <c r="AE3438" s="1645"/>
      <c r="AF3438" s="1645"/>
      <c r="AG3438" s="1645"/>
      <c r="AH3438" s="1645"/>
      <c r="AI3438" s="1645"/>
      <c r="AJ3438" s="1645"/>
      <c r="AK3438" s="1645"/>
      <c r="AL3438" s="1645"/>
      <c r="AM3438" s="1645"/>
      <c r="AN3438" s="1645"/>
      <c r="AO3438" s="1645"/>
      <c r="AP3438" s="1645"/>
      <c r="AQ3438" s="1645"/>
      <c r="AR3438" s="1645"/>
      <c r="AS3438" s="1645"/>
      <c r="AT3438" s="1645"/>
      <c r="AU3438" s="1645"/>
      <c r="AV3438" s="1645"/>
      <c r="AW3438" s="1645"/>
      <c r="AX3438" s="1645"/>
      <c r="AY3438" s="1645"/>
      <c r="AZ3438" s="1645"/>
      <c r="BA3438" s="1645"/>
      <c r="BB3438" s="1645"/>
      <c r="BC3438" s="1645"/>
      <c r="BD3438" s="1645"/>
      <c r="BE3438" s="1645"/>
      <c r="BF3438" s="1645"/>
      <c r="BG3438" s="1645"/>
      <c r="BH3438" s="1645"/>
      <c r="BI3438" s="1645"/>
      <c r="BJ3438" s="1645"/>
      <c r="BK3438" s="1645"/>
      <c r="BL3438" s="1645"/>
      <c r="BM3438" s="1645"/>
      <c r="BN3438" s="1645"/>
      <c r="BO3438" s="1645"/>
      <c r="BP3438" s="1645"/>
      <c r="BQ3438" s="1645"/>
      <c r="BR3438" s="1645"/>
      <c r="BS3438" s="1645"/>
      <c r="BT3438" s="1645"/>
      <c r="BU3438" s="1645"/>
      <c r="BV3438" s="1645"/>
      <c r="BW3438" s="1645"/>
      <c r="BX3438" s="1645"/>
      <c r="BY3438" s="1645"/>
      <c r="BZ3438" s="1645"/>
      <c r="CA3438" s="1645"/>
      <c r="CB3438" s="1645"/>
      <c r="CC3438" s="1645"/>
      <c r="CD3438" s="1645"/>
      <c r="CE3438" s="1645"/>
      <c r="CF3438" s="1645"/>
      <c r="CG3438" s="1645"/>
      <c r="CH3438" s="1645"/>
      <c r="CI3438" s="1645"/>
      <c r="CJ3438" s="1645"/>
      <c r="CK3438" s="1645"/>
      <c r="CL3438" s="1645"/>
      <c r="CM3438" s="1645"/>
      <c r="CN3438" s="1645"/>
      <c r="CO3438" s="1645"/>
    </row>
    <row r="3439" spans="1:93" s="1136" customFormat="1" ht="15.75" x14ac:dyDescent="0.25">
      <c r="A3439" s="1651" t="s">
        <v>3102</v>
      </c>
      <c r="B3439" s="1657" t="e">
        <f>B3438+B3434+B3430+B3426+B3422+B3417+B3413+B3409+B3403</f>
        <v>#VALUE!</v>
      </c>
      <c r="C3439" s="1410"/>
      <c r="D3439" s="1410"/>
      <c r="E3439" s="1410"/>
      <c r="F3439" s="1410"/>
      <c r="G3439" s="1410"/>
      <c r="H3439" s="1070"/>
      <c r="Q3439" s="1551"/>
      <c r="R3439" s="1551"/>
      <c r="S3439" s="1551"/>
      <c r="T3439" s="1551"/>
      <c r="U3439" s="1551"/>
      <c r="V3439" s="1551"/>
      <c r="W3439" s="1551"/>
      <c r="X3439" s="1551"/>
      <c r="Y3439" s="1551"/>
      <c r="Z3439" s="1551"/>
      <c r="AA3439" s="1645"/>
      <c r="AB3439" s="1645"/>
      <c r="AC3439" s="1645"/>
      <c r="AD3439" s="1645"/>
      <c r="AE3439" s="1645"/>
      <c r="AF3439" s="1645"/>
      <c r="AG3439" s="1645"/>
      <c r="AH3439" s="1645"/>
      <c r="AI3439" s="1645"/>
      <c r="AJ3439" s="1645"/>
      <c r="AK3439" s="1645"/>
      <c r="AL3439" s="1645"/>
      <c r="AM3439" s="1645"/>
      <c r="AN3439" s="1645"/>
      <c r="AO3439" s="1645"/>
      <c r="AP3439" s="1645"/>
      <c r="AQ3439" s="1645"/>
      <c r="AR3439" s="1645"/>
      <c r="AS3439" s="1645"/>
      <c r="AT3439" s="1645"/>
      <c r="AU3439" s="1645"/>
      <c r="AV3439" s="1645"/>
      <c r="AW3439" s="1645"/>
      <c r="AX3439" s="1645"/>
      <c r="AY3439" s="1645"/>
      <c r="AZ3439" s="1645"/>
      <c r="BA3439" s="1645"/>
      <c r="BB3439" s="1645"/>
      <c r="BC3439" s="1645"/>
      <c r="BD3439" s="1645"/>
      <c r="BE3439" s="1645"/>
      <c r="BF3439" s="1645"/>
      <c r="BG3439" s="1645"/>
      <c r="BH3439" s="1645"/>
      <c r="BI3439" s="1645"/>
      <c r="BJ3439" s="1645"/>
      <c r="BK3439" s="1645"/>
      <c r="BL3439" s="1645"/>
      <c r="BM3439" s="1645"/>
      <c r="BN3439" s="1645"/>
      <c r="BO3439" s="1645"/>
      <c r="BP3439" s="1645"/>
      <c r="BQ3439" s="1645"/>
      <c r="BR3439" s="1645"/>
      <c r="BS3439" s="1645"/>
      <c r="BT3439" s="1645"/>
      <c r="BU3439" s="1645"/>
      <c r="BV3439" s="1645"/>
      <c r="BW3439" s="1645"/>
      <c r="BX3439" s="1645"/>
      <c r="BY3439" s="1645"/>
      <c r="BZ3439" s="1645"/>
      <c r="CA3439" s="1645"/>
      <c r="CB3439" s="1645"/>
      <c r="CC3439" s="1645"/>
      <c r="CD3439" s="1645"/>
      <c r="CE3439" s="1645"/>
      <c r="CF3439" s="1645"/>
      <c r="CG3439" s="1645"/>
      <c r="CH3439" s="1645"/>
      <c r="CI3439" s="1645"/>
      <c r="CJ3439" s="1645"/>
      <c r="CK3439" s="1645"/>
      <c r="CL3439" s="1645"/>
      <c r="CM3439" s="1645"/>
      <c r="CN3439" s="1645"/>
      <c r="CO3439" s="1645"/>
    </row>
    <row r="3440" spans="1:93" s="1136" customFormat="1" ht="15.75" x14ac:dyDescent="0.25">
      <c r="A3440" s="1651" t="s">
        <v>3103</v>
      </c>
      <c r="B3440" s="1657" t="e">
        <f>B3439+B3395</f>
        <v>#VALUE!</v>
      </c>
      <c r="C3440" s="1410"/>
      <c r="D3440" s="1410"/>
      <c r="E3440" s="1410"/>
      <c r="F3440" s="1410"/>
      <c r="G3440" s="1410"/>
      <c r="H3440" s="1070"/>
      <c r="Q3440" s="1551"/>
      <c r="R3440" s="1551"/>
      <c r="S3440" s="1551"/>
      <c r="T3440" s="1551"/>
      <c r="U3440" s="1551"/>
      <c r="V3440" s="1551"/>
      <c r="W3440" s="1551"/>
      <c r="X3440" s="1551"/>
      <c r="Y3440" s="1551"/>
      <c r="Z3440" s="1551"/>
      <c r="AA3440" s="1645"/>
      <c r="AB3440" s="1645"/>
      <c r="AC3440" s="1645"/>
      <c r="AD3440" s="1645"/>
      <c r="AE3440" s="1645"/>
      <c r="AF3440" s="1645"/>
      <c r="AG3440" s="1645"/>
      <c r="AH3440" s="1645"/>
      <c r="AI3440" s="1645"/>
      <c r="AJ3440" s="1645"/>
      <c r="AK3440" s="1645"/>
      <c r="AL3440" s="1645"/>
      <c r="AM3440" s="1645"/>
      <c r="AN3440" s="1645"/>
      <c r="AO3440" s="1645"/>
      <c r="AP3440" s="1645"/>
      <c r="AQ3440" s="1645"/>
      <c r="AR3440" s="1645"/>
      <c r="AS3440" s="1645"/>
      <c r="AT3440" s="1645"/>
      <c r="AU3440" s="1645"/>
      <c r="AV3440" s="1645"/>
      <c r="AW3440" s="1645"/>
      <c r="AX3440" s="1645"/>
      <c r="AY3440" s="1645"/>
      <c r="AZ3440" s="1645"/>
      <c r="BA3440" s="1645"/>
      <c r="BB3440" s="1645"/>
      <c r="BC3440" s="1645"/>
      <c r="BD3440" s="1645"/>
      <c r="BE3440" s="1645"/>
      <c r="BF3440" s="1645"/>
      <c r="BG3440" s="1645"/>
      <c r="BH3440" s="1645"/>
      <c r="BI3440" s="1645"/>
      <c r="BJ3440" s="1645"/>
      <c r="BK3440" s="1645"/>
      <c r="BL3440" s="1645"/>
      <c r="BM3440" s="1645"/>
      <c r="BN3440" s="1645"/>
      <c r="BO3440" s="1645"/>
      <c r="BP3440" s="1645"/>
      <c r="BQ3440" s="1645"/>
      <c r="BR3440" s="1645"/>
      <c r="BS3440" s="1645"/>
      <c r="BT3440" s="1645"/>
      <c r="BU3440" s="1645"/>
      <c r="BV3440" s="1645"/>
      <c r="BW3440" s="1645"/>
      <c r="BX3440" s="1645"/>
      <c r="BY3440" s="1645"/>
      <c r="BZ3440" s="1645"/>
      <c r="CA3440" s="1645"/>
      <c r="CB3440" s="1645"/>
      <c r="CC3440" s="1645"/>
      <c r="CD3440" s="1645"/>
      <c r="CE3440" s="1645"/>
      <c r="CF3440" s="1645"/>
      <c r="CG3440" s="1645"/>
      <c r="CH3440" s="1645"/>
      <c r="CI3440" s="1645"/>
      <c r="CJ3440" s="1645"/>
      <c r="CK3440" s="1645"/>
      <c r="CL3440" s="1645"/>
      <c r="CM3440" s="1645"/>
      <c r="CN3440" s="1645"/>
      <c r="CO3440" s="1645"/>
    </row>
    <row r="3441" spans="1:93" s="1136" customFormat="1" ht="15.75" x14ac:dyDescent="0.25">
      <c r="A3441" s="1651" t="s">
        <v>3104</v>
      </c>
      <c r="B3441" s="1657" t="e">
        <f>B3440/B281</f>
        <v>#VALUE!</v>
      </c>
      <c r="C3441" s="1410"/>
      <c r="D3441" s="1410"/>
      <c r="E3441" s="1410"/>
      <c r="F3441" s="1410"/>
      <c r="G3441" s="1410"/>
      <c r="H3441" s="1070"/>
      <c r="Q3441" s="1551"/>
      <c r="R3441" s="1551"/>
      <c r="S3441" s="1551"/>
      <c r="T3441" s="1551"/>
      <c r="U3441" s="1551"/>
      <c r="V3441" s="1551"/>
      <c r="W3441" s="1551"/>
      <c r="X3441" s="1551"/>
      <c r="Y3441" s="1551"/>
      <c r="Z3441" s="1551"/>
      <c r="AA3441" s="1645"/>
      <c r="AB3441" s="1645"/>
      <c r="AC3441" s="1645"/>
      <c r="AD3441" s="1645"/>
      <c r="AE3441" s="1645"/>
      <c r="AF3441" s="1645"/>
      <c r="AG3441" s="1645"/>
      <c r="AH3441" s="1645"/>
      <c r="AI3441" s="1645"/>
      <c r="AJ3441" s="1645"/>
      <c r="AK3441" s="1645"/>
      <c r="AL3441" s="1645"/>
      <c r="AM3441" s="1645"/>
      <c r="AN3441" s="1645"/>
      <c r="AO3441" s="1645"/>
      <c r="AP3441" s="1645"/>
      <c r="AQ3441" s="1645"/>
      <c r="AR3441" s="1645"/>
      <c r="AS3441" s="1645"/>
      <c r="AT3441" s="1645"/>
      <c r="AU3441" s="1645"/>
      <c r="AV3441" s="1645"/>
      <c r="AW3441" s="1645"/>
      <c r="AX3441" s="1645"/>
      <c r="AY3441" s="1645"/>
      <c r="AZ3441" s="1645"/>
      <c r="BA3441" s="1645"/>
      <c r="BB3441" s="1645"/>
      <c r="BC3441" s="1645"/>
      <c r="BD3441" s="1645"/>
      <c r="BE3441" s="1645"/>
      <c r="BF3441" s="1645"/>
      <c r="BG3441" s="1645"/>
      <c r="BH3441" s="1645"/>
      <c r="BI3441" s="1645"/>
      <c r="BJ3441" s="1645"/>
      <c r="BK3441" s="1645"/>
      <c r="BL3441" s="1645"/>
      <c r="BM3441" s="1645"/>
      <c r="BN3441" s="1645"/>
      <c r="BO3441" s="1645"/>
      <c r="BP3441" s="1645"/>
      <c r="BQ3441" s="1645"/>
      <c r="BR3441" s="1645"/>
      <c r="BS3441" s="1645"/>
      <c r="BT3441" s="1645"/>
      <c r="BU3441" s="1645"/>
      <c r="BV3441" s="1645"/>
      <c r="BW3441" s="1645"/>
      <c r="BX3441" s="1645"/>
      <c r="BY3441" s="1645"/>
      <c r="BZ3441" s="1645"/>
      <c r="CA3441" s="1645"/>
      <c r="CB3441" s="1645"/>
      <c r="CC3441" s="1645"/>
      <c r="CD3441" s="1645"/>
      <c r="CE3441" s="1645"/>
      <c r="CF3441" s="1645"/>
      <c r="CG3441" s="1645"/>
      <c r="CH3441" s="1645"/>
      <c r="CI3441" s="1645"/>
      <c r="CJ3441" s="1645"/>
      <c r="CK3441" s="1645"/>
      <c r="CL3441" s="1645"/>
      <c r="CM3441" s="1645"/>
      <c r="CN3441" s="1645"/>
      <c r="CO3441" s="1645"/>
    </row>
    <row r="3442" spans="1:93" s="1136" customFormat="1" ht="15" x14ac:dyDescent="0.2">
      <c r="A3442" s="1660"/>
      <c r="B3442" s="1637"/>
      <c r="C3442" s="1070"/>
      <c r="D3442" s="1070"/>
      <c r="E3442" s="1070"/>
      <c r="F3442" s="1070"/>
      <c r="G3442" s="1070"/>
      <c r="H3442" s="1070"/>
      <c r="I3442" s="1645"/>
      <c r="J3442" s="1645"/>
      <c r="K3442" s="1645"/>
      <c r="L3442" s="1645"/>
      <c r="M3442" s="1645"/>
      <c r="N3442" s="1645"/>
      <c r="O3442" s="1645"/>
      <c r="P3442" s="1645"/>
      <c r="Q3442" s="1645"/>
      <c r="R3442" s="1645"/>
      <c r="S3442" s="1645"/>
      <c r="T3442" s="1645"/>
      <c r="U3442" s="1645"/>
      <c r="V3442" s="1645"/>
      <c r="W3442" s="1645"/>
      <c r="X3442" s="1645"/>
      <c r="Y3442" s="1645"/>
      <c r="Z3442" s="1645"/>
      <c r="AA3442" s="1645"/>
      <c r="AB3442" s="1645"/>
      <c r="AC3442" s="1645"/>
      <c r="AD3442" s="1645"/>
      <c r="AE3442" s="1645"/>
      <c r="AF3442" s="1645"/>
      <c r="AG3442" s="1645"/>
      <c r="AH3442" s="1645"/>
      <c r="AI3442" s="1645"/>
      <c r="AJ3442" s="1645"/>
      <c r="AK3442" s="1645"/>
      <c r="AL3442" s="1645"/>
      <c r="AM3442" s="1645"/>
      <c r="AN3442" s="1645"/>
      <c r="AO3442" s="1645"/>
      <c r="AP3442" s="1645"/>
      <c r="AQ3442" s="1645"/>
      <c r="AR3442" s="1645"/>
      <c r="AS3442" s="1645"/>
      <c r="AT3442" s="1645"/>
      <c r="AU3442" s="1645"/>
      <c r="AV3442" s="1645"/>
      <c r="AW3442" s="1645"/>
      <c r="AX3442" s="1645"/>
      <c r="AY3442" s="1645"/>
      <c r="AZ3442" s="1645"/>
      <c r="BA3442" s="1645"/>
      <c r="BB3442" s="1645"/>
      <c r="BC3442" s="1645"/>
      <c r="BD3442" s="1645"/>
      <c r="BE3442" s="1645"/>
      <c r="BF3442" s="1645"/>
      <c r="BG3442" s="1645"/>
      <c r="BH3442" s="1645"/>
      <c r="BI3442" s="1645"/>
      <c r="BJ3442" s="1645"/>
      <c r="BK3442" s="1645"/>
      <c r="BL3442" s="1645"/>
      <c r="BM3442" s="1645"/>
      <c r="BN3442" s="1645"/>
      <c r="BO3442" s="1645"/>
      <c r="BP3442" s="1645"/>
      <c r="BQ3442" s="1645"/>
      <c r="BR3442" s="1645"/>
      <c r="BS3442" s="1645"/>
      <c r="BT3442" s="1645"/>
      <c r="BU3442" s="1645"/>
      <c r="BV3442" s="1645"/>
      <c r="BW3442" s="1645"/>
      <c r="BX3442" s="1645"/>
      <c r="BY3442" s="1645"/>
      <c r="BZ3442" s="1645"/>
      <c r="CA3442" s="1645"/>
      <c r="CB3442" s="1645"/>
      <c r="CC3442" s="1645"/>
      <c r="CD3442" s="1645"/>
      <c r="CE3442" s="1645"/>
      <c r="CF3442" s="1645"/>
      <c r="CG3442" s="1645"/>
      <c r="CH3442" s="1645"/>
      <c r="CI3442" s="1645"/>
      <c r="CJ3442" s="1645"/>
      <c r="CK3442" s="1645"/>
      <c r="CL3442" s="1645"/>
      <c r="CM3442" s="1645"/>
      <c r="CN3442" s="1645"/>
      <c r="CO3442" s="1645"/>
    </row>
    <row r="3443" spans="1:93" s="1136" customFormat="1" ht="15" x14ac:dyDescent="0.2">
      <c r="A3443" s="1661"/>
      <c r="B3443" s="1662"/>
      <c r="C3443" s="1663"/>
      <c r="D3443" s="1663"/>
      <c r="E3443" s="1663"/>
      <c r="F3443" s="1663"/>
      <c r="G3443" s="1663"/>
      <c r="H3443" s="1070"/>
      <c r="I3443" s="1645"/>
      <c r="J3443" s="1645"/>
      <c r="K3443" s="1645"/>
      <c r="L3443" s="1645"/>
      <c r="M3443" s="1645"/>
      <c r="N3443" s="1645"/>
      <c r="O3443" s="1645"/>
      <c r="P3443" s="1645"/>
      <c r="Q3443" s="1645"/>
      <c r="R3443" s="1645"/>
      <c r="S3443" s="1645"/>
      <c r="T3443" s="1645"/>
      <c r="U3443" s="1645"/>
      <c r="V3443" s="1645"/>
      <c r="W3443" s="1645"/>
      <c r="X3443" s="1645"/>
      <c r="Y3443" s="1645"/>
      <c r="Z3443" s="1645"/>
      <c r="AA3443" s="1645"/>
      <c r="AB3443" s="1645"/>
      <c r="AC3443" s="1645"/>
      <c r="AD3443" s="1645"/>
      <c r="AE3443" s="1645"/>
      <c r="AF3443" s="1645"/>
      <c r="AG3443" s="1645"/>
      <c r="AH3443" s="1645"/>
      <c r="AI3443" s="1645"/>
      <c r="AJ3443" s="1645"/>
      <c r="AK3443" s="1645"/>
      <c r="AL3443" s="1645"/>
      <c r="AM3443" s="1645"/>
      <c r="AN3443" s="1645"/>
      <c r="AO3443" s="1645"/>
      <c r="AP3443" s="1645"/>
      <c r="AQ3443" s="1645"/>
      <c r="AR3443" s="1645"/>
      <c r="AS3443" s="1645"/>
      <c r="AT3443" s="1645"/>
      <c r="AU3443" s="1645"/>
      <c r="AV3443" s="1645"/>
      <c r="AW3443" s="1645"/>
      <c r="AX3443" s="1645"/>
      <c r="AY3443" s="1645"/>
      <c r="AZ3443" s="1645"/>
      <c r="BA3443" s="1645"/>
      <c r="BB3443" s="1645"/>
      <c r="BC3443" s="1645"/>
      <c r="BD3443" s="1645"/>
      <c r="BE3443" s="1645"/>
      <c r="BF3443" s="1645"/>
      <c r="BG3443" s="1645"/>
      <c r="BH3443" s="1645"/>
      <c r="BI3443" s="1645"/>
      <c r="BJ3443" s="1645"/>
      <c r="BK3443" s="1645"/>
      <c r="BL3443" s="1645"/>
      <c r="BM3443" s="1645"/>
      <c r="BN3443" s="1645"/>
      <c r="BO3443" s="1645"/>
      <c r="BP3443" s="1645"/>
      <c r="BQ3443" s="1645"/>
      <c r="BR3443" s="1645"/>
      <c r="BS3443" s="1645"/>
      <c r="BT3443" s="1645"/>
      <c r="BU3443" s="1645"/>
      <c r="BV3443" s="1645"/>
      <c r="BW3443" s="1645"/>
      <c r="BX3443" s="1645"/>
      <c r="BY3443" s="1645"/>
      <c r="BZ3443" s="1645"/>
      <c r="CA3443" s="1645"/>
      <c r="CB3443" s="1645"/>
      <c r="CC3443" s="1645"/>
      <c r="CD3443" s="1645"/>
      <c r="CE3443" s="1645"/>
      <c r="CF3443" s="1645"/>
      <c r="CG3443" s="1645"/>
      <c r="CH3443" s="1645"/>
      <c r="CI3443" s="1645"/>
      <c r="CJ3443" s="1645"/>
      <c r="CK3443" s="1645"/>
      <c r="CL3443" s="1645"/>
      <c r="CM3443" s="1645"/>
      <c r="CN3443" s="1645"/>
      <c r="CO3443" s="1645"/>
    </row>
    <row r="3444" spans="1:93" s="1136" customFormat="1" ht="15.75" x14ac:dyDescent="0.25">
      <c r="A3444" s="1664"/>
      <c r="B3444" s="1665"/>
      <c r="C3444" s="1070"/>
      <c r="D3444" s="1070"/>
      <c r="E3444" s="1070"/>
      <c r="F3444" s="1070"/>
      <c r="G3444" s="1070"/>
      <c r="H3444" s="1070"/>
      <c r="I3444" s="1645"/>
      <c r="J3444" s="1645"/>
      <c r="K3444" s="1645"/>
      <c r="L3444" s="1645"/>
      <c r="M3444" s="1645"/>
      <c r="N3444" s="1645"/>
      <c r="O3444" s="1645"/>
      <c r="P3444" s="1645"/>
      <c r="Q3444" s="1645"/>
      <c r="R3444" s="1645"/>
      <c r="S3444" s="1645"/>
      <c r="T3444" s="1645"/>
      <c r="U3444" s="1645"/>
      <c r="V3444" s="1645"/>
      <c r="W3444" s="1645"/>
      <c r="X3444" s="1645"/>
      <c r="Y3444" s="1645"/>
      <c r="Z3444" s="1645"/>
      <c r="AA3444" s="1645"/>
      <c r="AB3444" s="1645"/>
      <c r="AC3444" s="1645"/>
      <c r="AD3444" s="1645"/>
      <c r="AE3444" s="1645"/>
      <c r="AF3444" s="1645"/>
      <c r="AG3444" s="1645"/>
      <c r="AH3444" s="1645"/>
      <c r="AI3444" s="1645"/>
      <c r="AJ3444" s="1645"/>
      <c r="AK3444" s="1645"/>
      <c r="AL3444" s="1645"/>
      <c r="AM3444" s="1645"/>
      <c r="AN3444" s="1645"/>
      <c r="AO3444" s="1645"/>
      <c r="AP3444" s="1645"/>
      <c r="AQ3444" s="1645"/>
      <c r="AR3444" s="1645"/>
      <c r="AS3444" s="1645"/>
      <c r="AT3444" s="1645"/>
      <c r="AU3444" s="1645"/>
      <c r="AV3444" s="1645"/>
      <c r="AW3444" s="1645"/>
      <c r="AX3444" s="1645"/>
      <c r="AY3444" s="1645"/>
      <c r="AZ3444" s="1645"/>
      <c r="BA3444" s="1645"/>
      <c r="BB3444" s="1645"/>
      <c r="BC3444" s="1645"/>
      <c r="BD3444" s="1645"/>
      <c r="BE3444" s="1645"/>
      <c r="BF3444" s="1645"/>
      <c r="BG3444" s="1645"/>
      <c r="BH3444" s="1645"/>
      <c r="BI3444" s="1645"/>
      <c r="BJ3444" s="1645"/>
      <c r="BK3444" s="1645"/>
      <c r="BL3444" s="1645"/>
      <c r="BM3444" s="1645"/>
      <c r="BN3444" s="1645"/>
      <c r="BO3444" s="1645"/>
      <c r="BP3444" s="1645"/>
      <c r="BQ3444" s="1645"/>
      <c r="BR3444" s="1645"/>
      <c r="BS3444" s="1645"/>
      <c r="BT3444" s="1645"/>
      <c r="BU3444" s="1645"/>
      <c r="BV3444" s="1645"/>
      <c r="BW3444" s="1645"/>
      <c r="BX3444" s="1645"/>
      <c r="BY3444" s="1645"/>
      <c r="BZ3444" s="1645"/>
      <c r="CA3444" s="1645"/>
      <c r="CB3444" s="1645"/>
      <c r="CC3444" s="1645"/>
      <c r="CD3444" s="1645"/>
      <c r="CE3444" s="1645"/>
      <c r="CF3444" s="1645"/>
      <c r="CG3444" s="1645"/>
      <c r="CH3444" s="1645"/>
      <c r="CI3444" s="1645"/>
      <c r="CJ3444" s="1645"/>
      <c r="CK3444" s="1645"/>
      <c r="CL3444" s="1645"/>
      <c r="CM3444" s="1645"/>
      <c r="CN3444" s="1645"/>
      <c r="CO3444" s="1645"/>
    </row>
    <row r="3445" spans="1:93" s="1136" customFormat="1" ht="15" x14ac:dyDescent="0.2">
      <c r="A3445" s="1666" t="s">
        <v>3105</v>
      </c>
      <c r="B3445" s="1667" t="e">
        <f>B239*B240*B244*B245*B185</f>
        <v>#VALUE!</v>
      </c>
      <c r="C3445" s="1668"/>
      <c r="D3445" s="1668"/>
      <c r="E3445" s="1668"/>
      <c r="F3445" s="1668"/>
      <c r="G3445" s="1669"/>
      <c r="H3445" s="1070"/>
      <c r="I3445" s="1645"/>
      <c r="J3445" s="1645"/>
      <c r="K3445" s="1645"/>
      <c r="L3445" s="1645"/>
      <c r="M3445" s="1645"/>
      <c r="N3445" s="1645"/>
      <c r="O3445" s="1645"/>
      <c r="P3445" s="1645"/>
      <c r="Q3445" s="1645"/>
      <c r="R3445" s="1645"/>
      <c r="S3445" s="1645"/>
      <c r="T3445" s="1645"/>
      <c r="U3445" s="1645"/>
      <c r="V3445" s="1645"/>
      <c r="W3445" s="1645"/>
      <c r="X3445" s="1645"/>
      <c r="Y3445" s="1645"/>
      <c r="Z3445" s="1645"/>
      <c r="AA3445" s="1645"/>
      <c r="AB3445" s="1645"/>
      <c r="AC3445" s="1645"/>
      <c r="AD3445" s="1645"/>
      <c r="AE3445" s="1645"/>
      <c r="AF3445" s="1645"/>
      <c r="AG3445" s="1645"/>
      <c r="AH3445" s="1645"/>
      <c r="AI3445" s="1645"/>
      <c r="AJ3445" s="1645"/>
      <c r="AK3445" s="1645"/>
      <c r="AL3445" s="1645"/>
      <c r="AM3445" s="1645"/>
      <c r="AN3445" s="1645"/>
      <c r="AO3445" s="1645"/>
      <c r="AP3445" s="1645"/>
      <c r="AQ3445" s="1645"/>
      <c r="AR3445" s="1645"/>
      <c r="AS3445" s="1645"/>
      <c r="AT3445" s="1645"/>
      <c r="AU3445" s="1645"/>
      <c r="AV3445" s="1645"/>
      <c r="AW3445" s="1645"/>
      <c r="AX3445" s="1645"/>
      <c r="AY3445" s="1645"/>
      <c r="AZ3445" s="1645"/>
      <c r="BA3445" s="1645"/>
      <c r="BB3445" s="1645"/>
      <c r="BC3445" s="1645"/>
      <c r="BD3445" s="1645"/>
      <c r="BE3445" s="1645"/>
      <c r="BF3445" s="1645"/>
      <c r="BG3445" s="1645"/>
      <c r="BH3445" s="1645"/>
      <c r="BI3445" s="1645"/>
      <c r="BJ3445" s="1645"/>
      <c r="BK3445" s="1645"/>
      <c r="BL3445" s="1645"/>
      <c r="BM3445" s="1645"/>
      <c r="BN3445" s="1645"/>
      <c r="BO3445" s="1645"/>
      <c r="BP3445" s="1645"/>
      <c r="BQ3445" s="1645"/>
      <c r="BR3445" s="1645"/>
      <c r="BS3445" s="1645"/>
      <c r="BT3445" s="1645"/>
      <c r="BU3445" s="1645"/>
      <c r="BV3445" s="1645"/>
      <c r="BW3445" s="1645"/>
      <c r="BX3445" s="1645"/>
      <c r="BY3445" s="1645"/>
      <c r="BZ3445" s="1645"/>
      <c r="CA3445" s="1645"/>
      <c r="CB3445" s="1645"/>
      <c r="CC3445" s="1645"/>
      <c r="CD3445" s="1645"/>
      <c r="CE3445" s="1645"/>
      <c r="CF3445" s="1645"/>
      <c r="CG3445" s="1645"/>
      <c r="CH3445" s="1645"/>
      <c r="CI3445" s="1645"/>
      <c r="CJ3445" s="1645"/>
      <c r="CK3445" s="1645"/>
      <c r="CL3445" s="1645"/>
      <c r="CM3445" s="1645"/>
      <c r="CN3445" s="1645"/>
      <c r="CO3445" s="1645"/>
    </row>
    <row r="3446" spans="1:93" s="1136" customFormat="1" ht="15" x14ac:dyDescent="0.2">
      <c r="A3446" s="1666" t="s">
        <v>3106</v>
      </c>
      <c r="B3446" s="1667" t="e">
        <f>B3447/B3445</f>
        <v>#VALUE!</v>
      </c>
      <c r="C3446" s="1668"/>
      <c r="D3446" s="1668"/>
      <c r="E3446" s="1668"/>
      <c r="F3446" s="1668"/>
      <c r="G3446" s="1668"/>
      <c r="H3446" s="1070"/>
      <c r="I3446" s="1645"/>
      <c r="J3446" s="1645"/>
      <c r="K3446" s="1645"/>
      <c r="L3446" s="1645"/>
      <c r="M3446" s="1645"/>
      <c r="N3446" s="1645"/>
      <c r="O3446" s="1645"/>
      <c r="P3446" s="1645"/>
      <c r="Q3446" s="1645"/>
      <c r="R3446" s="1645"/>
      <c r="S3446" s="1645"/>
      <c r="T3446" s="1645"/>
      <c r="U3446" s="1645"/>
      <c r="V3446" s="1645"/>
      <c r="W3446" s="1645"/>
      <c r="X3446" s="1645"/>
      <c r="Y3446" s="1645"/>
      <c r="Z3446" s="1645"/>
      <c r="AA3446" s="1645"/>
      <c r="AB3446" s="1645"/>
      <c r="AC3446" s="1645"/>
      <c r="AD3446" s="1645"/>
      <c r="AE3446" s="1645"/>
      <c r="AF3446" s="1645"/>
      <c r="AG3446" s="1645"/>
      <c r="AH3446" s="1645"/>
      <c r="AI3446" s="1645"/>
      <c r="AJ3446" s="1645"/>
      <c r="AK3446" s="1645"/>
      <c r="AL3446" s="1645"/>
      <c r="AM3446" s="1645"/>
      <c r="AN3446" s="1645"/>
      <c r="AO3446" s="1645"/>
      <c r="AP3446" s="1645"/>
      <c r="AQ3446" s="1645"/>
      <c r="AR3446" s="1645"/>
      <c r="AS3446" s="1645"/>
      <c r="AT3446" s="1645"/>
      <c r="AU3446" s="1645"/>
      <c r="AV3446" s="1645"/>
      <c r="AW3446" s="1645"/>
      <c r="AX3446" s="1645"/>
      <c r="AY3446" s="1645"/>
      <c r="AZ3446" s="1645"/>
      <c r="BA3446" s="1645"/>
      <c r="BB3446" s="1645"/>
      <c r="BC3446" s="1645"/>
      <c r="BD3446" s="1645"/>
      <c r="BE3446" s="1645"/>
      <c r="BF3446" s="1645"/>
      <c r="BG3446" s="1645"/>
      <c r="BH3446" s="1645"/>
      <c r="BI3446" s="1645"/>
      <c r="BJ3446" s="1645"/>
      <c r="BK3446" s="1645"/>
      <c r="BL3446" s="1645"/>
      <c r="BM3446" s="1645"/>
      <c r="BN3446" s="1645"/>
      <c r="BO3446" s="1645"/>
      <c r="BP3446" s="1645"/>
      <c r="BQ3446" s="1645"/>
      <c r="BR3446" s="1645"/>
      <c r="BS3446" s="1645"/>
      <c r="BT3446" s="1645"/>
      <c r="BU3446" s="1645"/>
      <c r="BV3446" s="1645"/>
      <c r="BW3446" s="1645"/>
      <c r="BX3446" s="1645"/>
      <c r="BY3446" s="1645"/>
      <c r="BZ3446" s="1645"/>
      <c r="CA3446" s="1645"/>
      <c r="CB3446" s="1645"/>
      <c r="CC3446" s="1645"/>
      <c r="CD3446" s="1645"/>
      <c r="CE3446" s="1645"/>
      <c r="CF3446" s="1645"/>
      <c r="CG3446" s="1645"/>
      <c r="CH3446" s="1645"/>
      <c r="CI3446" s="1645"/>
      <c r="CJ3446" s="1645"/>
      <c r="CK3446" s="1645"/>
      <c r="CL3446" s="1645"/>
      <c r="CM3446" s="1645"/>
      <c r="CN3446" s="1645"/>
      <c r="CO3446" s="1645"/>
    </row>
    <row r="3447" spans="1:93" s="1136" customFormat="1" ht="15" x14ac:dyDescent="0.2">
      <c r="A3447" s="1666" t="s">
        <v>3107</v>
      </c>
      <c r="B3447" s="1667" t="e">
        <f>B241/B246</f>
        <v>#VALUE!</v>
      </c>
      <c r="C3447" s="1668"/>
      <c r="D3447" s="1668"/>
      <c r="E3447" s="1668"/>
      <c r="F3447" s="1668"/>
      <c r="G3447" s="1668"/>
      <c r="H3447" s="1070"/>
      <c r="I3447" s="1645"/>
      <c r="J3447" s="1645"/>
      <c r="K3447" s="1645"/>
      <c r="L3447" s="1645"/>
      <c r="M3447" s="1645"/>
      <c r="N3447" s="1645"/>
      <c r="O3447" s="1645"/>
      <c r="P3447" s="1645"/>
      <c r="Q3447" s="1645"/>
      <c r="R3447" s="1645"/>
      <c r="S3447" s="1645"/>
      <c r="T3447" s="1645"/>
      <c r="U3447" s="1645"/>
      <c r="V3447" s="1645"/>
      <c r="W3447" s="1645"/>
      <c r="X3447" s="1645"/>
      <c r="Y3447" s="1645"/>
      <c r="Z3447" s="1645"/>
      <c r="AA3447" s="1645"/>
      <c r="AB3447" s="1645"/>
      <c r="AC3447" s="1645"/>
      <c r="AD3447" s="1645"/>
      <c r="AE3447" s="1645"/>
      <c r="AF3447" s="1645"/>
      <c r="AG3447" s="1645"/>
      <c r="AH3447" s="1645"/>
      <c r="AI3447" s="1645"/>
      <c r="AJ3447" s="1645"/>
      <c r="AK3447" s="1645"/>
      <c r="AL3447" s="1645"/>
      <c r="AM3447" s="1645"/>
      <c r="AN3447" s="1645"/>
      <c r="AO3447" s="1645"/>
      <c r="AP3447" s="1645"/>
      <c r="AQ3447" s="1645"/>
      <c r="AR3447" s="1645"/>
      <c r="AS3447" s="1645"/>
      <c r="AT3447" s="1645"/>
      <c r="AU3447" s="1645"/>
      <c r="AV3447" s="1645"/>
      <c r="AW3447" s="1645"/>
      <c r="AX3447" s="1645"/>
      <c r="AY3447" s="1645"/>
      <c r="AZ3447" s="1645"/>
      <c r="BA3447" s="1645"/>
      <c r="BB3447" s="1645"/>
      <c r="BC3447" s="1645"/>
      <c r="BD3447" s="1645"/>
      <c r="BE3447" s="1645"/>
      <c r="BF3447" s="1645"/>
      <c r="BG3447" s="1645"/>
      <c r="BH3447" s="1645"/>
      <c r="BI3447" s="1645"/>
      <c r="BJ3447" s="1645"/>
      <c r="BK3447" s="1645"/>
      <c r="BL3447" s="1645"/>
      <c r="BM3447" s="1645"/>
      <c r="BN3447" s="1645"/>
      <c r="BO3447" s="1645"/>
      <c r="BP3447" s="1645"/>
      <c r="BQ3447" s="1645"/>
      <c r="BR3447" s="1645"/>
      <c r="BS3447" s="1645"/>
      <c r="BT3447" s="1645"/>
      <c r="BU3447" s="1645"/>
      <c r="BV3447" s="1645"/>
      <c r="BW3447" s="1645"/>
      <c r="BX3447" s="1645"/>
      <c r="BY3447" s="1645"/>
      <c r="BZ3447" s="1645"/>
      <c r="CA3447" s="1645"/>
      <c r="CB3447" s="1645"/>
      <c r="CC3447" s="1645"/>
      <c r="CD3447" s="1645"/>
      <c r="CE3447" s="1645"/>
      <c r="CF3447" s="1645"/>
      <c r="CG3447" s="1645"/>
      <c r="CH3447" s="1645"/>
      <c r="CI3447" s="1645"/>
      <c r="CJ3447" s="1645"/>
      <c r="CK3447" s="1645"/>
      <c r="CL3447" s="1645"/>
      <c r="CM3447" s="1645"/>
      <c r="CN3447" s="1645"/>
      <c r="CO3447" s="1645"/>
    </row>
    <row r="3448" spans="1:93" s="1136" customFormat="1" ht="15" x14ac:dyDescent="0.2">
      <c r="A3448" s="1391" t="s">
        <v>3108</v>
      </c>
      <c r="B3448" s="1667">
        <f>IF(B249&gt;=3,2,3)</f>
        <v>3</v>
      </c>
      <c r="C3448" s="1668"/>
      <c r="D3448" s="1668"/>
      <c r="E3448" s="1668"/>
      <c r="F3448" s="1668"/>
      <c r="G3448" s="1668"/>
      <c r="H3448" s="1070"/>
      <c r="I3448" s="1645"/>
      <c r="J3448" s="1645"/>
      <c r="K3448" s="1645"/>
      <c r="L3448" s="1645"/>
      <c r="M3448" s="1645"/>
      <c r="N3448" s="1645"/>
      <c r="O3448" s="1645"/>
      <c r="P3448" s="1645"/>
      <c r="Q3448" s="1645"/>
      <c r="R3448" s="1645"/>
      <c r="S3448" s="1645"/>
      <c r="T3448" s="1645"/>
      <c r="U3448" s="1645"/>
      <c r="V3448" s="1645"/>
      <c r="W3448" s="1645"/>
      <c r="X3448" s="1645"/>
      <c r="Y3448" s="1645"/>
      <c r="Z3448" s="1645"/>
      <c r="AA3448" s="1645"/>
      <c r="AB3448" s="1645"/>
      <c r="AC3448" s="1645"/>
      <c r="AD3448" s="1645"/>
      <c r="AE3448" s="1645"/>
      <c r="AF3448" s="1645"/>
      <c r="AG3448" s="1645"/>
      <c r="AH3448" s="1645"/>
      <c r="AI3448" s="1645"/>
      <c r="AJ3448" s="1645"/>
      <c r="AK3448" s="1645"/>
      <c r="AL3448" s="1645"/>
      <c r="AM3448" s="1645"/>
      <c r="AN3448" s="1645"/>
      <c r="AO3448" s="1645"/>
      <c r="AP3448" s="1645"/>
      <c r="AQ3448" s="1645"/>
      <c r="AR3448" s="1645"/>
      <c r="AS3448" s="1645"/>
      <c r="AT3448" s="1645"/>
      <c r="AU3448" s="1645"/>
      <c r="AV3448" s="1645"/>
      <c r="AW3448" s="1645"/>
      <c r="AX3448" s="1645"/>
      <c r="AY3448" s="1645"/>
      <c r="AZ3448" s="1645"/>
      <c r="BA3448" s="1645"/>
      <c r="BB3448" s="1645"/>
      <c r="BC3448" s="1645"/>
      <c r="BD3448" s="1645"/>
      <c r="BE3448" s="1645"/>
      <c r="BF3448" s="1645"/>
      <c r="BG3448" s="1645"/>
      <c r="BH3448" s="1645"/>
      <c r="BI3448" s="1645"/>
      <c r="BJ3448" s="1645"/>
      <c r="BK3448" s="1645"/>
      <c r="BL3448" s="1645"/>
      <c r="BM3448" s="1645"/>
      <c r="BN3448" s="1645"/>
      <c r="BO3448" s="1645"/>
      <c r="BP3448" s="1645"/>
      <c r="BQ3448" s="1645"/>
      <c r="BR3448" s="1645"/>
      <c r="BS3448" s="1645"/>
      <c r="BT3448" s="1645"/>
      <c r="BU3448" s="1645"/>
      <c r="BV3448" s="1645"/>
      <c r="BW3448" s="1645"/>
      <c r="BX3448" s="1645"/>
      <c r="BY3448" s="1645"/>
      <c r="BZ3448" s="1645"/>
      <c r="CA3448" s="1645"/>
      <c r="CB3448" s="1645"/>
      <c r="CC3448" s="1645"/>
      <c r="CD3448" s="1645"/>
      <c r="CE3448" s="1645"/>
      <c r="CF3448" s="1645"/>
      <c r="CG3448" s="1645"/>
      <c r="CH3448" s="1645"/>
      <c r="CI3448" s="1645"/>
      <c r="CJ3448" s="1645"/>
      <c r="CK3448" s="1645"/>
      <c r="CL3448" s="1645"/>
      <c r="CM3448" s="1645"/>
      <c r="CN3448" s="1645"/>
      <c r="CO3448" s="1645"/>
    </row>
    <row r="3449" spans="1:93" s="1136" customFormat="1" ht="31.5" x14ac:dyDescent="0.25">
      <c r="A3449" s="1670" t="s">
        <v>3109</v>
      </c>
      <c r="B3449" s="1671" t="e">
        <f>SUM(B3451:B3460)</f>
        <v>#VALUE!</v>
      </c>
      <c r="C3449" s="1668"/>
      <c r="D3449" s="1668"/>
      <c r="E3449" s="1668"/>
      <c r="F3449" s="1668"/>
      <c r="G3449" s="1668"/>
      <c r="H3449" s="1070"/>
      <c r="I3449" s="1645"/>
      <c r="J3449" s="1645"/>
      <c r="K3449" s="1645"/>
      <c r="L3449" s="1645"/>
      <c r="M3449" s="1645"/>
      <c r="N3449" s="1645"/>
      <c r="O3449" s="1645"/>
      <c r="P3449" s="1645"/>
      <c r="Q3449" s="1645"/>
      <c r="R3449" s="1645"/>
      <c r="S3449" s="1645"/>
      <c r="T3449" s="1645"/>
      <c r="U3449" s="1645"/>
      <c r="V3449" s="1645"/>
      <c r="W3449" s="1645"/>
      <c r="X3449" s="1645"/>
      <c r="Y3449" s="1645"/>
      <c r="Z3449" s="1645"/>
      <c r="AA3449" s="1645"/>
      <c r="AB3449" s="1645"/>
      <c r="AC3449" s="1645"/>
      <c r="AD3449" s="1645"/>
      <c r="AE3449" s="1645"/>
      <c r="AF3449" s="1645"/>
      <c r="AG3449" s="1645"/>
      <c r="AH3449" s="1645"/>
      <c r="AI3449" s="1645"/>
      <c r="AJ3449" s="1645"/>
      <c r="AK3449" s="1645"/>
      <c r="AL3449" s="1645"/>
      <c r="AM3449" s="1645"/>
      <c r="AN3449" s="1645"/>
      <c r="AO3449" s="1645"/>
      <c r="AP3449" s="1645"/>
      <c r="AQ3449" s="1645"/>
      <c r="AR3449" s="1645"/>
      <c r="AS3449" s="1645"/>
      <c r="AT3449" s="1645"/>
      <c r="AU3449" s="1645"/>
      <c r="AV3449" s="1645"/>
      <c r="AW3449" s="1645"/>
      <c r="AX3449" s="1645"/>
      <c r="AY3449" s="1645"/>
      <c r="AZ3449" s="1645"/>
      <c r="BA3449" s="1645"/>
      <c r="BB3449" s="1645"/>
      <c r="BC3449" s="1645"/>
      <c r="BD3449" s="1645"/>
      <c r="BE3449" s="1645"/>
      <c r="BF3449" s="1645"/>
      <c r="BG3449" s="1645"/>
      <c r="BH3449" s="1645"/>
      <c r="BI3449" s="1645"/>
      <c r="BJ3449" s="1645"/>
      <c r="BK3449" s="1645"/>
      <c r="BL3449" s="1645"/>
      <c r="BM3449" s="1645"/>
      <c r="BN3449" s="1645"/>
      <c r="BO3449" s="1645"/>
      <c r="BP3449" s="1645"/>
      <c r="BQ3449" s="1645"/>
      <c r="BR3449" s="1645"/>
      <c r="BS3449" s="1645"/>
      <c r="BT3449" s="1645"/>
      <c r="BU3449" s="1645"/>
      <c r="BV3449" s="1645"/>
      <c r="BW3449" s="1645"/>
      <c r="BX3449" s="1645"/>
      <c r="BY3449" s="1645"/>
      <c r="BZ3449" s="1645"/>
      <c r="CA3449" s="1645"/>
      <c r="CB3449" s="1645"/>
      <c r="CC3449" s="1645"/>
      <c r="CD3449" s="1645"/>
      <c r="CE3449" s="1645"/>
      <c r="CF3449" s="1645"/>
      <c r="CG3449" s="1645"/>
      <c r="CH3449" s="1645"/>
      <c r="CI3449" s="1645"/>
      <c r="CJ3449" s="1645"/>
      <c r="CK3449" s="1645"/>
      <c r="CL3449" s="1645"/>
      <c r="CM3449" s="1645"/>
      <c r="CN3449" s="1645"/>
      <c r="CO3449" s="1645"/>
    </row>
    <row r="3450" spans="1:93" s="1136" customFormat="1" ht="15" x14ac:dyDescent="0.2">
      <c r="A3450" s="1672" t="s">
        <v>3110</v>
      </c>
      <c r="B3450" s="1671"/>
      <c r="C3450" s="1668"/>
      <c r="D3450" s="1668"/>
      <c r="E3450" s="1668"/>
      <c r="F3450" s="1668"/>
      <c r="G3450" s="1668"/>
      <c r="H3450" s="1070"/>
      <c r="I3450" s="1645"/>
      <c r="J3450" s="1645"/>
      <c r="K3450" s="1645"/>
      <c r="L3450" s="1645"/>
      <c r="M3450" s="1645"/>
      <c r="N3450" s="1645"/>
      <c r="O3450" s="1645"/>
      <c r="P3450" s="1645"/>
      <c r="Q3450" s="1645"/>
      <c r="R3450" s="1645"/>
      <c r="S3450" s="1645"/>
      <c r="T3450" s="1645"/>
      <c r="U3450" s="1645"/>
      <c r="V3450" s="1645"/>
      <c r="W3450" s="1645"/>
      <c r="X3450" s="1645"/>
      <c r="Y3450" s="1645"/>
      <c r="Z3450" s="1645"/>
      <c r="AA3450" s="1645"/>
      <c r="AB3450" s="1645"/>
      <c r="AC3450" s="1645"/>
      <c r="AD3450" s="1645"/>
      <c r="AE3450" s="1645"/>
      <c r="AF3450" s="1645"/>
      <c r="AG3450" s="1645"/>
      <c r="AH3450" s="1645"/>
      <c r="AI3450" s="1645"/>
      <c r="AJ3450" s="1645"/>
      <c r="AK3450" s="1645"/>
      <c r="AL3450" s="1645"/>
      <c r="AM3450" s="1645"/>
      <c r="AN3450" s="1645"/>
      <c r="AO3450" s="1645"/>
      <c r="AP3450" s="1645"/>
      <c r="AQ3450" s="1645"/>
      <c r="AR3450" s="1645"/>
      <c r="AS3450" s="1645"/>
      <c r="AT3450" s="1645"/>
      <c r="AU3450" s="1645"/>
      <c r="AV3450" s="1645"/>
      <c r="AW3450" s="1645"/>
      <c r="AX3450" s="1645"/>
      <c r="AY3450" s="1645"/>
      <c r="AZ3450" s="1645"/>
      <c r="BA3450" s="1645"/>
      <c r="BB3450" s="1645"/>
      <c r="BC3450" s="1645"/>
      <c r="BD3450" s="1645"/>
      <c r="BE3450" s="1645"/>
      <c r="BF3450" s="1645"/>
      <c r="BG3450" s="1645"/>
      <c r="BH3450" s="1645"/>
      <c r="BI3450" s="1645"/>
      <c r="BJ3450" s="1645"/>
      <c r="BK3450" s="1645"/>
      <c r="BL3450" s="1645"/>
      <c r="BM3450" s="1645"/>
      <c r="BN3450" s="1645"/>
      <c r="BO3450" s="1645"/>
      <c r="BP3450" s="1645"/>
      <c r="BQ3450" s="1645"/>
      <c r="BR3450" s="1645"/>
      <c r="BS3450" s="1645"/>
      <c r="BT3450" s="1645"/>
      <c r="BU3450" s="1645"/>
      <c r="BV3450" s="1645"/>
      <c r="BW3450" s="1645"/>
      <c r="BX3450" s="1645"/>
      <c r="BY3450" s="1645"/>
      <c r="BZ3450" s="1645"/>
      <c r="CA3450" s="1645"/>
      <c r="CB3450" s="1645"/>
      <c r="CC3450" s="1645"/>
      <c r="CD3450" s="1645"/>
      <c r="CE3450" s="1645"/>
      <c r="CF3450" s="1645"/>
      <c r="CG3450" s="1645"/>
      <c r="CH3450" s="1645"/>
      <c r="CI3450" s="1645"/>
      <c r="CJ3450" s="1645"/>
      <c r="CK3450" s="1645"/>
      <c r="CL3450" s="1645"/>
      <c r="CM3450" s="1645"/>
      <c r="CN3450" s="1645"/>
      <c r="CO3450" s="1645"/>
    </row>
    <row r="3451" spans="1:93" s="1136" customFormat="1" ht="15" x14ac:dyDescent="0.2">
      <c r="A3451" s="1391" t="s">
        <v>3111</v>
      </c>
      <c r="B3451" s="1667" t="e">
        <f>B2510</f>
        <v>#VALUE!</v>
      </c>
      <c r="C3451" s="1668"/>
      <c r="D3451" s="1668"/>
      <c r="E3451" s="1668"/>
      <c r="F3451" s="1668"/>
      <c r="G3451" s="1668"/>
      <c r="H3451" s="1070"/>
      <c r="I3451" s="1645"/>
      <c r="J3451" s="1645"/>
      <c r="K3451" s="1645"/>
      <c r="L3451" s="1645"/>
      <c r="M3451" s="1645"/>
      <c r="N3451" s="1645"/>
      <c r="O3451" s="1645"/>
      <c r="P3451" s="1645"/>
      <c r="Q3451" s="1645"/>
      <c r="R3451" s="1645"/>
      <c r="S3451" s="1645"/>
      <c r="T3451" s="1645"/>
      <c r="U3451" s="1645"/>
      <c r="V3451" s="1645"/>
      <c r="W3451" s="1645"/>
      <c r="X3451" s="1645"/>
      <c r="Y3451" s="1645"/>
      <c r="Z3451" s="1645"/>
      <c r="AA3451" s="1645"/>
      <c r="AB3451" s="1645"/>
      <c r="AC3451" s="1645"/>
      <c r="AD3451" s="1645"/>
      <c r="AE3451" s="1645"/>
      <c r="AF3451" s="1645"/>
      <c r="AG3451" s="1645"/>
      <c r="AH3451" s="1645"/>
      <c r="AI3451" s="1645"/>
      <c r="AJ3451" s="1645"/>
      <c r="AK3451" s="1645"/>
      <c r="AL3451" s="1645"/>
      <c r="AM3451" s="1645"/>
      <c r="AN3451" s="1645"/>
      <c r="AO3451" s="1645"/>
      <c r="AP3451" s="1645"/>
      <c r="AQ3451" s="1645"/>
      <c r="AR3451" s="1645"/>
      <c r="AS3451" s="1645"/>
      <c r="AT3451" s="1645"/>
      <c r="AU3451" s="1645"/>
      <c r="AV3451" s="1645"/>
      <c r="AW3451" s="1645"/>
      <c r="AX3451" s="1645"/>
      <c r="AY3451" s="1645"/>
      <c r="AZ3451" s="1645"/>
      <c r="BA3451" s="1645"/>
      <c r="BB3451" s="1645"/>
      <c r="BC3451" s="1645"/>
      <c r="BD3451" s="1645"/>
      <c r="BE3451" s="1645"/>
      <c r="BF3451" s="1645"/>
      <c r="BG3451" s="1645"/>
      <c r="BH3451" s="1645"/>
      <c r="BI3451" s="1645"/>
      <c r="BJ3451" s="1645"/>
      <c r="BK3451" s="1645"/>
      <c r="BL3451" s="1645"/>
      <c r="BM3451" s="1645"/>
      <c r="BN3451" s="1645"/>
      <c r="BO3451" s="1645"/>
      <c r="BP3451" s="1645"/>
      <c r="BQ3451" s="1645"/>
      <c r="BR3451" s="1645"/>
      <c r="BS3451" s="1645"/>
      <c r="BT3451" s="1645"/>
      <c r="BU3451" s="1645"/>
      <c r="BV3451" s="1645"/>
      <c r="BW3451" s="1645"/>
      <c r="BX3451" s="1645"/>
      <c r="BY3451" s="1645"/>
      <c r="BZ3451" s="1645"/>
      <c r="CA3451" s="1645"/>
      <c r="CB3451" s="1645"/>
      <c r="CC3451" s="1645"/>
      <c r="CD3451" s="1645"/>
      <c r="CE3451" s="1645"/>
      <c r="CF3451" s="1645"/>
      <c r="CG3451" s="1645"/>
      <c r="CH3451" s="1645"/>
      <c r="CI3451" s="1645"/>
      <c r="CJ3451" s="1645"/>
      <c r="CK3451" s="1645"/>
      <c r="CL3451" s="1645"/>
      <c r="CM3451" s="1645"/>
      <c r="CN3451" s="1645"/>
      <c r="CO3451" s="1645"/>
    </row>
    <row r="3452" spans="1:93" s="1136" customFormat="1" ht="15" x14ac:dyDescent="0.2">
      <c r="A3452" s="1391" t="s">
        <v>3112</v>
      </c>
      <c r="B3452" s="1667" t="e">
        <f>B2754</f>
        <v>#VALUE!</v>
      </c>
      <c r="C3452" s="1668"/>
      <c r="D3452" s="1668"/>
      <c r="E3452" s="1668"/>
      <c r="F3452" s="1668"/>
      <c r="G3452" s="1668"/>
      <c r="H3452" s="1070"/>
      <c r="I3452" s="1645"/>
      <c r="J3452" s="1645"/>
      <c r="K3452" s="1645"/>
      <c r="L3452" s="1645"/>
      <c r="M3452" s="1645"/>
      <c r="N3452" s="1645"/>
      <c r="O3452" s="1645"/>
      <c r="P3452" s="1645"/>
      <c r="Q3452" s="1645"/>
      <c r="R3452" s="1645"/>
      <c r="S3452" s="1645"/>
      <c r="T3452" s="1645"/>
      <c r="U3452" s="1645"/>
      <c r="V3452" s="1645"/>
      <c r="W3452" s="1645"/>
      <c r="X3452" s="1645"/>
      <c r="Y3452" s="1645"/>
      <c r="Z3452" s="1645"/>
      <c r="AA3452" s="1645"/>
      <c r="AB3452" s="1645"/>
      <c r="AC3452" s="1645"/>
      <c r="AD3452" s="1645"/>
      <c r="AE3452" s="1645"/>
      <c r="AF3452" s="1645"/>
      <c r="AG3452" s="1645"/>
      <c r="AH3452" s="1645"/>
      <c r="AI3452" s="1645"/>
      <c r="AJ3452" s="1645"/>
      <c r="AK3452" s="1645"/>
      <c r="AL3452" s="1645"/>
      <c r="AM3452" s="1645"/>
      <c r="AN3452" s="1645"/>
      <c r="AO3452" s="1645"/>
      <c r="AP3452" s="1645"/>
      <c r="AQ3452" s="1645"/>
      <c r="AR3452" s="1645"/>
      <c r="AS3452" s="1645"/>
      <c r="AT3452" s="1645"/>
      <c r="AU3452" s="1645"/>
      <c r="AV3452" s="1645"/>
      <c r="AW3452" s="1645"/>
      <c r="AX3452" s="1645"/>
      <c r="AY3452" s="1645"/>
      <c r="AZ3452" s="1645"/>
      <c r="BA3452" s="1645"/>
      <c r="BB3452" s="1645"/>
      <c r="BC3452" s="1645"/>
      <c r="BD3452" s="1645"/>
      <c r="BE3452" s="1645"/>
      <c r="BF3452" s="1645"/>
      <c r="BG3452" s="1645"/>
      <c r="BH3452" s="1645"/>
      <c r="BI3452" s="1645"/>
      <c r="BJ3452" s="1645"/>
      <c r="BK3452" s="1645"/>
      <c r="BL3452" s="1645"/>
      <c r="BM3452" s="1645"/>
      <c r="BN3452" s="1645"/>
      <c r="BO3452" s="1645"/>
      <c r="BP3452" s="1645"/>
      <c r="BQ3452" s="1645"/>
      <c r="BR3452" s="1645"/>
      <c r="BS3452" s="1645"/>
      <c r="BT3452" s="1645"/>
      <c r="BU3452" s="1645"/>
      <c r="BV3452" s="1645"/>
      <c r="BW3452" s="1645"/>
      <c r="BX3452" s="1645"/>
      <c r="BY3452" s="1645"/>
      <c r="BZ3452" s="1645"/>
      <c r="CA3452" s="1645"/>
      <c r="CB3452" s="1645"/>
      <c r="CC3452" s="1645"/>
      <c r="CD3452" s="1645"/>
      <c r="CE3452" s="1645"/>
      <c r="CF3452" s="1645"/>
      <c r="CG3452" s="1645"/>
      <c r="CH3452" s="1645"/>
      <c r="CI3452" s="1645"/>
      <c r="CJ3452" s="1645"/>
      <c r="CK3452" s="1645"/>
      <c r="CL3452" s="1645"/>
      <c r="CM3452" s="1645"/>
      <c r="CN3452" s="1645"/>
      <c r="CO3452" s="1645"/>
    </row>
    <row r="3453" spans="1:93" s="1136" customFormat="1" ht="15" x14ac:dyDescent="0.2">
      <c r="A3453" s="1391" t="s">
        <v>3119</v>
      </c>
      <c r="B3453" s="1667" t="e">
        <f>B2614</f>
        <v>#VALUE!</v>
      </c>
      <c r="C3453" s="1668"/>
      <c r="D3453" s="1668"/>
      <c r="E3453" s="1668"/>
      <c r="F3453" s="1668"/>
      <c r="G3453" s="1668"/>
      <c r="H3453" s="1070"/>
      <c r="I3453" s="1645"/>
      <c r="J3453" s="1645"/>
      <c r="K3453" s="1645"/>
      <c r="L3453" s="1645"/>
      <c r="M3453" s="1645"/>
      <c r="N3453" s="1645"/>
      <c r="O3453" s="1645"/>
      <c r="P3453" s="1645"/>
      <c r="Q3453" s="1645"/>
      <c r="R3453" s="1645"/>
      <c r="S3453" s="1645"/>
      <c r="T3453" s="1645"/>
      <c r="U3453" s="1645"/>
      <c r="V3453" s="1645"/>
      <c r="W3453" s="1645"/>
      <c r="X3453" s="1645"/>
      <c r="Y3453" s="1645"/>
      <c r="Z3453" s="1645"/>
      <c r="AA3453" s="1645"/>
      <c r="AB3453" s="1645"/>
      <c r="AC3453" s="1645"/>
      <c r="AD3453" s="1645"/>
      <c r="AE3453" s="1645"/>
      <c r="AF3453" s="1645"/>
      <c r="AG3453" s="1645"/>
      <c r="AH3453" s="1645"/>
      <c r="AI3453" s="1645"/>
      <c r="AJ3453" s="1645"/>
      <c r="AK3453" s="1645"/>
      <c r="AL3453" s="1645"/>
      <c r="AM3453" s="1645"/>
      <c r="AN3453" s="1645"/>
      <c r="AO3453" s="1645"/>
      <c r="AP3453" s="1645"/>
      <c r="AQ3453" s="1645"/>
      <c r="AR3453" s="1645"/>
      <c r="AS3453" s="1645"/>
      <c r="AT3453" s="1645"/>
      <c r="AU3453" s="1645"/>
      <c r="AV3453" s="1645"/>
      <c r="AW3453" s="1645"/>
      <c r="AX3453" s="1645"/>
      <c r="AY3453" s="1645"/>
      <c r="AZ3453" s="1645"/>
      <c r="BA3453" s="1645"/>
      <c r="BB3453" s="1645"/>
      <c r="BC3453" s="1645"/>
      <c r="BD3453" s="1645"/>
      <c r="BE3453" s="1645"/>
      <c r="BF3453" s="1645"/>
      <c r="BG3453" s="1645"/>
      <c r="BH3453" s="1645"/>
      <c r="BI3453" s="1645"/>
      <c r="BJ3453" s="1645"/>
      <c r="BK3453" s="1645"/>
      <c r="BL3453" s="1645"/>
      <c r="BM3453" s="1645"/>
      <c r="BN3453" s="1645"/>
      <c r="BO3453" s="1645"/>
      <c r="BP3453" s="1645"/>
      <c r="BQ3453" s="1645"/>
      <c r="BR3453" s="1645"/>
      <c r="BS3453" s="1645"/>
      <c r="BT3453" s="1645"/>
      <c r="BU3453" s="1645"/>
      <c r="BV3453" s="1645"/>
      <c r="BW3453" s="1645"/>
      <c r="BX3453" s="1645"/>
      <c r="BY3453" s="1645"/>
      <c r="BZ3453" s="1645"/>
      <c r="CA3453" s="1645"/>
      <c r="CB3453" s="1645"/>
      <c r="CC3453" s="1645"/>
      <c r="CD3453" s="1645"/>
      <c r="CE3453" s="1645"/>
      <c r="CF3453" s="1645"/>
      <c r="CG3453" s="1645"/>
      <c r="CH3453" s="1645"/>
      <c r="CI3453" s="1645"/>
      <c r="CJ3453" s="1645"/>
      <c r="CK3453" s="1645"/>
      <c r="CL3453" s="1645"/>
      <c r="CM3453" s="1645"/>
      <c r="CN3453" s="1645"/>
      <c r="CO3453" s="1645"/>
    </row>
    <row r="3454" spans="1:93" s="1136" customFormat="1" ht="15" x14ac:dyDescent="0.2">
      <c r="A3454" s="1391" t="s">
        <v>3120</v>
      </c>
      <c r="B3454" s="1667" t="e">
        <f>B2591</f>
        <v>#VALUE!</v>
      </c>
      <c r="C3454" s="1668"/>
      <c r="D3454" s="1668"/>
      <c r="E3454" s="1668"/>
      <c r="F3454" s="1668"/>
      <c r="G3454" s="1668"/>
      <c r="H3454" s="1070"/>
      <c r="I3454" s="1645"/>
      <c r="J3454" s="1645"/>
      <c r="K3454" s="1645"/>
      <c r="L3454" s="1645"/>
      <c r="M3454" s="1645"/>
      <c r="N3454" s="1645"/>
      <c r="O3454" s="1645"/>
      <c r="P3454" s="1645"/>
      <c r="Q3454" s="1645"/>
      <c r="R3454" s="1645"/>
      <c r="S3454" s="1645"/>
      <c r="T3454" s="1645"/>
      <c r="U3454" s="1645"/>
      <c r="V3454" s="1645"/>
      <c r="W3454" s="1645"/>
      <c r="X3454" s="1645"/>
      <c r="Y3454" s="1645"/>
      <c r="Z3454" s="1645"/>
      <c r="AA3454" s="1645"/>
      <c r="AB3454" s="1645"/>
      <c r="AC3454" s="1645"/>
      <c r="AD3454" s="1645"/>
      <c r="AE3454" s="1645"/>
      <c r="AF3454" s="1645"/>
      <c r="AG3454" s="1645"/>
      <c r="AH3454" s="1645"/>
      <c r="AI3454" s="1645"/>
      <c r="AJ3454" s="1645"/>
      <c r="AK3454" s="1645"/>
      <c r="AL3454" s="1645"/>
      <c r="AM3454" s="1645"/>
      <c r="AN3454" s="1645"/>
      <c r="AO3454" s="1645"/>
      <c r="AP3454" s="1645"/>
      <c r="AQ3454" s="1645"/>
      <c r="AR3454" s="1645"/>
      <c r="AS3454" s="1645"/>
      <c r="AT3454" s="1645"/>
      <c r="AU3454" s="1645"/>
      <c r="AV3454" s="1645"/>
      <c r="AW3454" s="1645"/>
      <c r="AX3454" s="1645"/>
      <c r="AY3454" s="1645"/>
      <c r="AZ3454" s="1645"/>
      <c r="BA3454" s="1645"/>
      <c r="BB3454" s="1645"/>
      <c r="BC3454" s="1645"/>
      <c r="BD3454" s="1645"/>
      <c r="BE3454" s="1645"/>
      <c r="BF3454" s="1645"/>
      <c r="BG3454" s="1645"/>
      <c r="BH3454" s="1645"/>
      <c r="BI3454" s="1645"/>
      <c r="BJ3454" s="1645"/>
      <c r="BK3454" s="1645"/>
      <c r="BL3454" s="1645"/>
      <c r="BM3454" s="1645"/>
      <c r="BN3454" s="1645"/>
      <c r="BO3454" s="1645"/>
      <c r="BP3454" s="1645"/>
      <c r="BQ3454" s="1645"/>
      <c r="BR3454" s="1645"/>
      <c r="BS3454" s="1645"/>
      <c r="BT3454" s="1645"/>
      <c r="BU3454" s="1645"/>
      <c r="BV3454" s="1645"/>
      <c r="BW3454" s="1645"/>
      <c r="BX3454" s="1645"/>
      <c r="BY3454" s="1645"/>
      <c r="BZ3454" s="1645"/>
      <c r="CA3454" s="1645"/>
      <c r="CB3454" s="1645"/>
      <c r="CC3454" s="1645"/>
      <c r="CD3454" s="1645"/>
      <c r="CE3454" s="1645"/>
      <c r="CF3454" s="1645"/>
      <c r="CG3454" s="1645"/>
      <c r="CH3454" s="1645"/>
      <c r="CI3454" s="1645"/>
      <c r="CJ3454" s="1645"/>
      <c r="CK3454" s="1645"/>
      <c r="CL3454" s="1645"/>
      <c r="CM3454" s="1645"/>
      <c r="CN3454" s="1645"/>
      <c r="CO3454" s="1645"/>
    </row>
    <row r="3455" spans="1:93" s="1136" customFormat="1" ht="15" x14ac:dyDescent="0.2">
      <c r="A3455" s="1391" t="s">
        <v>3121</v>
      </c>
      <c r="B3455" s="1667" t="e">
        <f>B2599</f>
        <v>#VALUE!</v>
      </c>
      <c r="C3455" s="1668"/>
      <c r="D3455" s="1668"/>
      <c r="E3455" s="1668"/>
      <c r="F3455" s="1668"/>
      <c r="G3455" s="1668"/>
      <c r="H3455" s="1070"/>
      <c r="I3455" s="1645"/>
      <c r="J3455" s="1645"/>
      <c r="K3455" s="1645"/>
      <c r="L3455" s="1645"/>
      <c r="M3455" s="1645"/>
      <c r="N3455" s="1645"/>
      <c r="O3455" s="1645"/>
      <c r="P3455" s="1645"/>
      <c r="Q3455" s="1645"/>
      <c r="R3455" s="1645"/>
      <c r="S3455" s="1645"/>
      <c r="T3455" s="1645"/>
      <c r="U3455" s="1645"/>
      <c r="V3455" s="1645"/>
      <c r="W3455" s="1645"/>
      <c r="X3455" s="1645"/>
      <c r="Y3455" s="1645"/>
      <c r="Z3455" s="1645"/>
      <c r="AA3455" s="1645"/>
      <c r="AB3455" s="1645"/>
      <c r="AC3455" s="1645"/>
      <c r="AD3455" s="1645"/>
      <c r="AE3455" s="1645"/>
      <c r="AF3455" s="1645"/>
      <c r="AG3455" s="1645"/>
      <c r="AH3455" s="1645"/>
      <c r="AI3455" s="1645"/>
      <c r="AJ3455" s="1645"/>
      <c r="AK3455" s="1645"/>
      <c r="AL3455" s="1645"/>
      <c r="AM3455" s="1645"/>
      <c r="AN3455" s="1645"/>
      <c r="AO3455" s="1645"/>
      <c r="AP3455" s="1645"/>
      <c r="AQ3455" s="1645"/>
      <c r="AR3455" s="1645"/>
      <c r="AS3455" s="1645"/>
      <c r="AT3455" s="1645"/>
      <c r="AU3455" s="1645"/>
      <c r="AV3455" s="1645"/>
      <c r="AW3455" s="1645"/>
      <c r="AX3455" s="1645"/>
      <c r="AY3455" s="1645"/>
      <c r="AZ3455" s="1645"/>
      <c r="BA3455" s="1645"/>
      <c r="BB3455" s="1645"/>
      <c r="BC3455" s="1645"/>
      <c r="BD3455" s="1645"/>
      <c r="BE3455" s="1645"/>
      <c r="BF3455" s="1645"/>
      <c r="BG3455" s="1645"/>
      <c r="BH3455" s="1645"/>
      <c r="BI3455" s="1645"/>
      <c r="BJ3455" s="1645"/>
      <c r="BK3455" s="1645"/>
      <c r="BL3455" s="1645"/>
      <c r="BM3455" s="1645"/>
      <c r="BN3455" s="1645"/>
      <c r="BO3455" s="1645"/>
      <c r="BP3455" s="1645"/>
      <c r="BQ3455" s="1645"/>
      <c r="BR3455" s="1645"/>
      <c r="BS3455" s="1645"/>
      <c r="BT3455" s="1645"/>
      <c r="BU3455" s="1645"/>
      <c r="BV3455" s="1645"/>
      <c r="BW3455" s="1645"/>
      <c r="BX3455" s="1645"/>
      <c r="BY3455" s="1645"/>
      <c r="BZ3455" s="1645"/>
      <c r="CA3455" s="1645"/>
      <c r="CB3455" s="1645"/>
      <c r="CC3455" s="1645"/>
      <c r="CD3455" s="1645"/>
      <c r="CE3455" s="1645"/>
      <c r="CF3455" s="1645"/>
      <c r="CG3455" s="1645"/>
      <c r="CH3455" s="1645"/>
      <c r="CI3455" s="1645"/>
      <c r="CJ3455" s="1645"/>
      <c r="CK3455" s="1645"/>
      <c r="CL3455" s="1645"/>
      <c r="CM3455" s="1645"/>
      <c r="CN3455" s="1645"/>
      <c r="CO3455" s="1645"/>
    </row>
    <row r="3456" spans="1:93" s="1136" customFormat="1" ht="15" x14ac:dyDescent="0.2">
      <c r="A3456" s="1391" t="s">
        <v>3122</v>
      </c>
      <c r="B3456" s="1667">
        <f>B2584</f>
        <v>0</v>
      </c>
      <c r="C3456" s="1668"/>
      <c r="D3456" s="1668"/>
      <c r="E3456" s="1668"/>
      <c r="F3456" s="1668"/>
      <c r="G3456" s="1668"/>
      <c r="H3456" s="1070"/>
      <c r="I3456" s="1645"/>
      <c r="J3456" s="1645"/>
      <c r="K3456" s="1645"/>
      <c r="L3456" s="1645"/>
      <c r="M3456" s="1645"/>
      <c r="N3456" s="1645"/>
      <c r="O3456" s="1645"/>
      <c r="P3456" s="1645"/>
      <c r="Q3456" s="1645"/>
      <c r="R3456" s="1645"/>
      <c r="S3456" s="1645"/>
      <c r="T3456" s="1645"/>
      <c r="U3456" s="1645"/>
      <c r="V3456" s="1645"/>
      <c r="W3456" s="1645"/>
      <c r="X3456" s="1645"/>
      <c r="Y3456" s="1645"/>
      <c r="Z3456" s="1645"/>
      <c r="AA3456" s="1645"/>
      <c r="AB3456" s="1645"/>
      <c r="AC3456" s="1645"/>
      <c r="AD3456" s="1645"/>
      <c r="AE3456" s="1645"/>
      <c r="AF3456" s="1645"/>
      <c r="AG3456" s="1645"/>
      <c r="AH3456" s="1645"/>
      <c r="AI3456" s="1645"/>
      <c r="AJ3456" s="1645"/>
      <c r="AK3456" s="1645"/>
      <c r="AL3456" s="1645"/>
      <c r="AM3456" s="1645"/>
      <c r="AN3456" s="1645"/>
      <c r="AO3456" s="1645"/>
      <c r="AP3456" s="1645"/>
      <c r="AQ3456" s="1645"/>
      <c r="AR3456" s="1645"/>
      <c r="AS3456" s="1645"/>
      <c r="AT3456" s="1645"/>
      <c r="AU3456" s="1645"/>
      <c r="AV3456" s="1645"/>
      <c r="AW3456" s="1645"/>
      <c r="AX3456" s="1645"/>
      <c r="AY3456" s="1645"/>
      <c r="AZ3456" s="1645"/>
      <c r="BA3456" s="1645"/>
      <c r="BB3456" s="1645"/>
      <c r="BC3456" s="1645"/>
      <c r="BD3456" s="1645"/>
      <c r="BE3456" s="1645"/>
      <c r="BF3456" s="1645"/>
      <c r="BG3456" s="1645"/>
      <c r="BH3456" s="1645"/>
      <c r="BI3456" s="1645"/>
      <c r="BJ3456" s="1645"/>
      <c r="BK3456" s="1645"/>
      <c r="BL3456" s="1645"/>
      <c r="BM3456" s="1645"/>
      <c r="BN3456" s="1645"/>
      <c r="BO3456" s="1645"/>
      <c r="BP3456" s="1645"/>
      <c r="BQ3456" s="1645"/>
      <c r="BR3456" s="1645"/>
      <c r="BS3456" s="1645"/>
      <c r="BT3456" s="1645"/>
      <c r="BU3456" s="1645"/>
      <c r="BV3456" s="1645"/>
      <c r="BW3456" s="1645"/>
      <c r="BX3456" s="1645"/>
      <c r="BY3456" s="1645"/>
      <c r="BZ3456" s="1645"/>
      <c r="CA3456" s="1645"/>
      <c r="CB3456" s="1645"/>
      <c r="CC3456" s="1645"/>
      <c r="CD3456" s="1645"/>
      <c r="CE3456" s="1645"/>
      <c r="CF3456" s="1645"/>
      <c r="CG3456" s="1645"/>
      <c r="CH3456" s="1645"/>
      <c r="CI3456" s="1645"/>
      <c r="CJ3456" s="1645"/>
      <c r="CK3456" s="1645"/>
      <c r="CL3456" s="1645"/>
      <c r="CM3456" s="1645"/>
      <c r="CN3456" s="1645"/>
      <c r="CO3456" s="1645"/>
    </row>
    <row r="3457" spans="1:93" s="1136" customFormat="1" ht="15" x14ac:dyDescent="0.2">
      <c r="A3457" s="1391" t="s">
        <v>3123</v>
      </c>
      <c r="B3457" s="1667">
        <f>B2567</f>
        <v>0</v>
      </c>
      <c r="C3457" s="1668"/>
      <c r="D3457" s="1668"/>
      <c r="E3457" s="1668"/>
      <c r="F3457" s="1668"/>
      <c r="G3457" s="1668"/>
      <c r="H3457" s="1070"/>
      <c r="I3457" s="1645"/>
      <c r="J3457" s="1645"/>
      <c r="K3457" s="1645"/>
      <c r="L3457" s="1645"/>
      <c r="M3457" s="1645"/>
      <c r="N3457" s="1645"/>
      <c r="O3457" s="1645"/>
      <c r="P3457" s="1645"/>
      <c r="Q3457" s="1645"/>
      <c r="R3457" s="1645"/>
      <c r="S3457" s="1645"/>
      <c r="T3457" s="1645"/>
      <c r="U3457" s="1645"/>
      <c r="V3457" s="1645"/>
      <c r="W3457" s="1645"/>
      <c r="X3457" s="1645"/>
      <c r="Y3457" s="1645"/>
      <c r="Z3457" s="1645"/>
      <c r="AA3457" s="1645"/>
      <c r="AB3457" s="1645"/>
      <c r="AC3457" s="1645"/>
      <c r="AD3457" s="1645"/>
      <c r="AE3457" s="1645"/>
      <c r="AF3457" s="1645"/>
      <c r="AG3457" s="1645"/>
      <c r="AH3457" s="1645"/>
      <c r="AI3457" s="1645"/>
      <c r="AJ3457" s="1645"/>
      <c r="AK3457" s="1645"/>
      <c r="AL3457" s="1645"/>
      <c r="AM3457" s="1645"/>
      <c r="AN3457" s="1645"/>
      <c r="AO3457" s="1645"/>
      <c r="AP3457" s="1645"/>
      <c r="AQ3457" s="1645"/>
      <c r="AR3457" s="1645"/>
      <c r="AS3457" s="1645"/>
      <c r="AT3457" s="1645"/>
      <c r="AU3457" s="1645"/>
      <c r="AV3457" s="1645"/>
      <c r="AW3457" s="1645"/>
      <c r="AX3457" s="1645"/>
      <c r="AY3457" s="1645"/>
      <c r="AZ3457" s="1645"/>
      <c r="BA3457" s="1645"/>
      <c r="BB3457" s="1645"/>
      <c r="BC3457" s="1645"/>
      <c r="BD3457" s="1645"/>
      <c r="BE3457" s="1645"/>
      <c r="BF3457" s="1645"/>
      <c r="BG3457" s="1645"/>
      <c r="BH3457" s="1645"/>
      <c r="BI3457" s="1645"/>
      <c r="BJ3457" s="1645"/>
      <c r="BK3457" s="1645"/>
      <c r="BL3457" s="1645"/>
      <c r="BM3457" s="1645"/>
      <c r="BN3457" s="1645"/>
      <c r="BO3457" s="1645"/>
      <c r="BP3457" s="1645"/>
      <c r="BQ3457" s="1645"/>
      <c r="BR3457" s="1645"/>
      <c r="BS3457" s="1645"/>
      <c r="BT3457" s="1645"/>
      <c r="BU3457" s="1645"/>
      <c r="BV3457" s="1645"/>
      <c r="BW3457" s="1645"/>
      <c r="BX3457" s="1645"/>
      <c r="BY3457" s="1645"/>
      <c r="BZ3457" s="1645"/>
      <c r="CA3457" s="1645"/>
      <c r="CB3457" s="1645"/>
      <c r="CC3457" s="1645"/>
      <c r="CD3457" s="1645"/>
      <c r="CE3457" s="1645"/>
      <c r="CF3457" s="1645"/>
      <c r="CG3457" s="1645"/>
      <c r="CH3457" s="1645"/>
      <c r="CI3457" s="1645"/>
      <c r="CJ3457" s="1645"/>
      <c r="CK3457" s="1645"/>
      <c r="CL3457" s="1645"/>
      <c r="CM3457" s="1645"/>
      <c r="CN3457" s="1645"/>
      <c r="CO3457" s="1645"/>
    </row>
    <row r="3458" spans="1:93" s="1136" customFormat="1" ht="15" x14ac:dyDescent="0.2">
      <c r="A3458" s="1391" t="s">
        <v>3124</v>
      </c>
      <c r="B3458" s="1667">
        <f>B2557</f>
        <v>0</v>
      </c>
      <c r="C3458" s="1668"/>
      <c r="D3458" s="1668"/>
      <c r="E3458" s="1668"/>
      <c r="F3458" s="1668"/>
      <c r="G3458" s="1668"/>
      <c r="H3458" s="1070"/>
      <c r="I3458" s="1645"/>
      <c r="J3458" s="1645"/>
      <c r="K3458" s="1645"/>
      <c r="L3458" s="1645"/>
      <c r="M3458" s="1645"/>
      <c r="N3458" s="1645"/>
      <c r="O3458" s="1645"/>
      <c r="P3458" s="1645"/>
      <c r="Q3458" s="1645"/>
      <c r="R3458" s="1645"/>
      <c r="S3458" s="1645"/>
      <c r="T3458" s="1645"/>
      <c r="U3458" s="1645"/>
      <c r="V3458" s="1645"/>
      <c r="W3458" s="1645"/>
      <c r="X3458" s="1645"/>
      <c r="Y3458" s="1645"/>
      <c r="Z3458" s="1645"/>
      <c r="AA3458" s="1645"/>
      <c r="AB3458" s="1645"/>
      <c r="AC3458" s="1645"/>
      <c r="AD3458" s="1645"/>
      <c r="AE3458" s="1645"/>
      <c r="AF3458" s="1645"/>
      <c r="AG3458" s="1645"/>
      <c r="AH3458" s="1645"/>
      <c r="AI3458" s="1645"/>
      <c r="AJ3458" s="1645"/>
      <c r="AK3458" s="1645"/>
      <c r="AL3458" s="1645"/>
      <c r="AM3458" s="1645"/>
      <c r="AN3458" s="1645"/>
      <c r="AO3458" s="1645"/>
      <c r="AP3458" s="1645"/>
      <c r="AQ3458" s="1645"/>
      <c r="AR3458" s="1645"/>
      <c r="AS3458" s="1645"/>
      <c r="AT3458" s="1645"/>
      <c r="AU3458" s="1645"/>
      <c r="AV3458" s="1645"/>
      <c r="AW3458" s="1645"/>
      <c r="AX3458" s="1645"/>
      <c r="AY3458" s="1645"/>
      <c r="AZ3458" s="1645"/>
      <c r="BA3458" s="1645"/>
      <c r="BB3458" s="1645"/>
      <c r="BC3458" s="1645"/>
      <c r="BD3458" s="1645"/>
      <c r="BE3458" s="1645"/>
      <c r="BF3458" s="1645"/>
      <c r="BG3458" s="1645"/>
      <c r="BH3458" s="1645"/>
      <c r="BI3458" s="1645"/>
      <c r="BJ3458" s="1645"/>
      <c r="BK3458" s="1645"/>
      <c r="BL3458" s="1645"/>
      <c r="BM3458" s="1645"/>
      <c r="BN3458" s="1645"/>
      <c r="BO3458" s="1645"/>
      <c r="BP3458" s="1645"/>
      <c r="BQ3458" s="1645"/>
      <c r="BR3458" s="1645"/>
      <c r="BS3458" s="1645"/>
      <c r="BT3458" s="1645"/>
      <c r="BU3458" s="1645"/>
      <c r="BV3458" s="1645"/>
      <c r="BW3458" s="1645"/>
      <c r="BX3458" s="1645"/>
      <c r="BY3458" s="1645"/>
      <c r="BZ3458" s="1645"/>
      <c r="CA3458" s="1645"/>
      <c r="CB3458" s="1645"/>
      <c r="CC3458" s="1645"/>
      <c r="CD3458" s="1645"/>
      <c r="CE3458" s="1645"/>
      <c r="CF3458" s="1645"/>
      <c r="CG3458" s="1645"/>
      <c r="CH3458" s="1645"/>
      <c r="CI3458" s="1645"/>
      <c r="CJ3458" s="1645"/>
      <c r="CK3458" s="1645"/>
      <c r="CL3458" s="1645"/>
      <c r="CM3458" s="1645"/>
      <c r="CN3458" s="1645"/>
      <c r="CO3458" s="1645"/>
    </row>
    <row r="3459" spans="1:93" s="1136" customFormat="1" ht="15" x14ac:dyDescent="0.2">
      <c r="A3459" s="1391" t="s">
        <v>3125</v>
      </c>
      <c r="B3459" s="1667" t="e">
        <f>B2532</f>
        <v>#VALUE!</v>
      </c>
      <c r="C3459" s="1668"/>
      <c r="D3459" s="1668"/>
      <c r="E3459" s="1668"/>
      <c r="F3459" s="1668"/>
      <c r="G3459" s="1668"/>
      <c r="H3459" s="1070"/>
      <c r="I3459" s="1645"/>
      <c r="J3459" s="1645"/>
      <c r="K3459" s="1645"/>
      <c r="L3459" s="1645"/>
      <c r="M3459" s="1645"/>
      <c r="N3459" s="1645"/>
      <c r="O3459" s="1645"/>
      <c r="P3459" s="1645"/>
      <c r="Q3459" s="1645"/>
      <c r="R3459" s="1645"/>
      <c r="S3459" s="1645"/>
      <c r="T3459" s="1645"/>
      <c r="U3459" s="1645"/>
      <c r="V3459" s="1645"/>
      <c r="W3459" s="1645"/>
      <c r="X3459" s="1645"/>
      <c r="Y3459" s="1645"/>
      <c r="Z3459" s="1645"/>
      <c r="AA3459" s="1645"/>
      <c r="AB3459" s="1645"/>
      <c r="AC3459" s="1645"/>
      <c r="AD3459" s="1645"/>
      <c r="AE3459" s="1645"/>
      <c r="AF3459" s="1645"/>
      <c r="AG3459" s="1645"/>
      <c r="AH3459" s="1645"/>
      <c r="AI3459" s="1645"/>
      <c r="AJ3459" s="1645"/>
      <c r="AK3459" s="1645"/>
      <c r="AL3459" s="1645"/>
      <c r="AM3459" s="1645"/>
      <c r="AN3459" s="1645"/>
      <c r="AO3459" s="1645"/>
      <c r="AP3459" s="1645"/>
      <c r="AQ3459" s="1645"/>
      <c r="AR3459" s="1645"/>
      <c r="AS3459" s="1645"/>
      <c r="AT3459" s="1645"/>
      <c r="AU3459" s="1645"/>
      <c r="AV3459" s="1645"/>
      <c r="AW3459" s="1645"/>
      <c r="AX3459" s="1645"/>
      <c r="AY3459" s="1645"/>
      <c r="AZ3459" s="1645"/>
      <c r="BA3459" s="1645"/>
      <c r="BB3459" s="1645"/>
      <c r="BC3459" s="1645"/>
      <c r="BD3459" s="1645"/>
      <c r="BE3459" s="1645"/>
      <c r="BF3459" s="1645"/>
      <c r="BG3459" s="1645"/>
      <c r="BH3459" s="1645"/>
      <c r="BI3459" s="1645"/>
      <c r="BJ3459" s="1645"/>
      <c r="BK3459" s="1645"/>
      <c r="BL3459" s="1645"/>
      <c r="BM3459" s="1645"/>
      <c r="BN3459" s="1645"/>
      <c r="BO3459" s="1645"/>
      <c r="BP3459" s="1645"/>
      <c r="BQ3459" s="1645"/>
      <c r="BR3459" s="1645"/>
      <c r="BS3459" s="1645"/>
      <c r="BT3459" s="1645"/>
      <c r="BU3459" s="1645"/>
      <c r="BV3459" s="1645"/>
      <c r="BW3459" s="1645"/>
      <c r="BX3459" s="1645"/>
      <c r="BY3459" s="1645"/>
      <c r="BZ3459" s="1645"/>
      <c r="CA3459" s="1645"/>
      <c r="CB3459" s="1645"/>
      <c r="CC3459" s="1645"/>
      <c r="CD3459" s="1645"/>
      <c r="CE3459" s="1645"/>
      <c r="CF3459" s="1645"/>
      <c r="CG3459" s="1645"/>
      <c r="CH3459" s="1645"/>
      <c r="CI3459" s="1645"/>
      <c r="CJ3459" s="1645"/>
      <c r="CK3459" s="1645"/>
      <c r="CL3459" s="1645"/>
      <c r="CM3459" s="1645"/>
      <c r="CN3459" s="1645"/>
      <c r="CO3459" s="1645"/>
    </row>
    <row r="3460" spans="1:93" s="1136" customFormat="1" ht="15" x14ac:dyDescent="0.2">
      <c r="A3460" s="1391" t="s">
        <v>3126</v>
      </c>
      <c r="B3460" s="1667" t="e">
        <f>B2518</f>
        <v>#VALUE!</v>
      </c>
      <c r="C3460" s="1668"/>
      <c r="D3460" s="1668"/>
      <c r="E3460" s="1668"/>
      <c r="F3460" s="1668"/>
      <c r="G3460" s="1668"/>
      <c r="H3460" s="1070"/>
      <c r="I3460" s="1645"/>
      <c r="J3460" s="1645"/>
      <c r="K3460" s="1645"/>
      <c r="L3460" s="1645"/>
      <c r="M3460" s="1645"/>
      <c r="N3460" s="1645"/>
      <c r="O3460" s="1645"/>
      <c r="P3460" s="1645"/>
      <c r="Q3460" s="1645"/>
      <c r="R3460" s="1645"/>
      <c r="S3460" s="1645"/>
      <c r="T3460" s="1645"/>
      <c r="U3460" s="1645"/>
      <c r="V3460" s="1645"/>
      <c r="W3460" s="1645"/>
      <c r="X3460" s="1645"/>
      <c r="Y3460" s="1645"/>
      <c r="Z3460" s="1645"/>
      <c r="AA3460" s="1645"/>
      <c r="AB3460" s="1645"/>
      <c r="AC3460" s="1645"/>
      <c r="AD3460" s="1645"/>
      <c r="AE3460" s="1645"/>
      <c r="AF3460" s="1645"/>
      <c r="AG3460" s="1645"/>
      <c r="AH3460" s="1645"/>
      <c r="AI3460" s="1645"/>
      <c r="AJ3460" s="1645"/>
      <c r="AK3460" s="1645"/>
      <c r="AL3460" s="1645"/>
      <c r="AM3460" s="1645"/>
      <c r="AN3460" s="1645"/>
      <c r="AO3460" s="1645"/>
      <c r="AP3460" s="1645"/>
      <c r="AQ3460" s="1645"/>
      <c r="AR3460" s="1645"/>
      <c r="AS3460" s="1645"/>
      <c r="AT3460" s="1645"/>
      <c r="AU3460" s="1645"/>
      <c r="AV3460" s="1645"/>
      <c r="AW3460" s="1645"/>
      <c r="AX3460" s="1645"/>
      <c r="AY3460" s="1645"/>
      <c r="AZ3460" s="1645"/>
      <c r="BA3460" s="1645"/>
      <c r="BB3460" s="1645"/>
      <c r="BC3460" s="1645"/>
      <c r="BD3460" s="1645"/>
      <c r="BE3460" s="1645"/>
      <c r="BF3460" s="1645"/>
      <c r="BG3460" s="1645"/>
      <c r="BH3460" s="1645"/>
      <c r="BI3460" s="1645"/>
      <c r="BJ3460" s="1645"/>
      <c r="BK3460" s="1645"/>
      <c r="BL3460" s="1645"/>
      <c r="BM3460" s="1645"/>
      <c r="BN3460" s="1645"/>
      <c r="BO3460" s="1645"/>
      <c r="BP3460" s="1645"/>
      <c r="BQ3460" s="1645"/>
      <c r="BR3460" s="1645"/>
      <c r="BS3460" s="1645"/>
      <c r="BT3460" s="1645"/>
      <c r="BU3460" s="1645"/>
      <c r="BV3460" s="1645"/>
      <c r="BW3460" s="1645"/>
      <c r="BX3460" s="1645"/>
      <c r="BY3460" s="1645"/>
      <c r="BZ3460" s="1645"/>
      <c r="CA3460" s="1645"/>
      <c r="CB3460" s="1645"/>
      <c r="CC3460" s="1645"/>
      <c r="CD3460" s="1645"/>
      <c r="CE3460" s="1645"/>
      <c r="CF3460" s="1645"/>
      <c r="CG3460" s="1645"/>
      <c r="CH3460" s="1645"/>
      <c r="CI3460" s="1645"/>
      <c r="CJ3460" s="1645"/>
      <c r="CK3460" s="1645"/>
      <c r="CL3460" s="1645"/>
      <c r="CM3460" s="1645"/>
      <c r="CN3460" s="1645"/>
      <c r="CO3460" s="1645"/>
    </row>
    <row r="3461" spans="1:93" s="1136" customFormat="1" ht="31.5" x14ac:dyDescent="0.25">
      <c r="A3461" s="1670" t="s">
        <v>3063</v>
      </c>
      <c r="B3461" s="1667" t="e">
        <f>SUM(B3463:B3468)</f>
        <v>#VALUE!</v>
      </c>
      <c r="C3461" s="1668"/>
      <c r="D3461" s="1668"/>
      <c r="E3461" s="1668"/>
      <c r="F3461" s="1668"/>
      <c r="G3461" s="1668"/>
      <c r="H3461" s="1070"/>
      <c r="I3461" s="1645"/>
      <c r="J3461" s="1645"/>
      <c r="K3461" s="1645"/>
      <c r="L3461" s="1645"/>
      <c r="M3461" s="1645"/>
      <c r="N3461" s="1645"/>
      <c r="O3461" s="1645"/>
      <c r="P3461" s="1645"/>
      <c r="Q3461" s="1645"/>
      <c r="R3461" s="1645"/>
      <c r="S3461" s="1645"/>
      <c r="T3461" s="1645"/>
      <c r="U3461" s="1645"/>
      <c r="V3461" s="1645"/>
      <c r="W3461" s="1645"/>
      <c r="X3461" s="1645"/>
      <c r="Y3461" s="1645"/>
      <c r="Z3461" s="1645"/>
      <c r="AA3461" s="1645"/>
      <c r="AB3461" s="1645"/>
      <c r="AC3461" s="1645"/>
      <c r="AD3461" s="1645"/>
      <c r="AE3461" s="1645"/>
      <c r="AF3461" s="1645"/>
      <c r="AG3461" s="1645"/>
      <c r="AH3461" s="1645"/>
      <c r="AI3461" s="1645"/>
      <c r="AJ3461" s="1645"/>
      <c r="AK3461" s="1645"/>
      <c r="AL3461" s="1645"/>
      <c r="AM3461" s="1645"/>
      <c r="AN3461" s="1645"/>
      <c r="AO3461" s="1645"/>
      <c r="AP3461" s="1645"/>
      <c r="AQ3461" s="1645"/>
      <c r="AR3461" s="1645"/>
      <c r="AS3461" s="1645"/>
      <c r="AT3461" s="1645"/>
      <c r="AU3461" s="1645"/>
      <c r="AV3461" s="1645"/>
      <c r="AW3461" s="1645"/>
      <c r="AX3461" s="1645"/>
      <c r="AY3461" s="1645"/>
      <c r="AZ3461" s="1645"/>
      <c r="BA3461" s="1645"/>
      <c r="BB3461" s="1645"/>
      <c r="BC3461" s="1645"/>
      <c r="BD3461" s="1645"/>
      <c r="BE3461" s="1645"/>
      <c r="BF3461" s="1645"/>
      <c r="BG3461" s="1645"/>
      <c r="BH3461" s="1645"/>
      <c r="BI3461" s="1645"/>
      <c r="BJ3461" s="1645"/>
      <c r="BK3461" s="1645"/>
      <c r="BL3461" s="1645"/>
      <c r="BM3461" s="1645"/>
      <c r="BN3461" s="1645"/>
      <c r="BO3461" s="1645"/>
      <c r="BP3461" s="1645"/>
      <c r="BQ3461" s="1645"/>
      <c r="BR3461" s="1645"/>
      <c r="BS3461" s="1645"/>
      <c r="BT3461" s="1645"/>
      <c r="BU3461" s="1645"/>
      <c r="BV3461" s="1645"/>
      <c r="BW3461" s="1645"/>
      <c r="BX3461" s="1645"/>
      <c r="BY3461" s="1645"/>
      <c r="BZ3461" s="1645"/>
      <c r="CA3461" s="1645"/>
      <c r="CB3461" s="1645"/>
      <c r="CC3461" s="1645"/>
      <c r="CD3461" s="1645"/>
      <c r="CE3461" s="1645"/>
      <c r="CF3461" s="1645"/>
      <c r="CG3461" s="1645"/>
      <c r="CH3461" s="1645"/>
      <c r="CI3461" s="1645"/>
      <c r="CJ3461" s="1645"/>
      <c r="CK3461" s="1645"/>
      <c r="CL3461" s="1645"/>
      <c r="CM3461" s="1645"/>
      <c r="CN3461" s="1645"/>
      <c r="CO3461" s="1645"/>
    </row>
    <row r="3462" spans="1:93" s="1136" customFormat="1" ht="15" x14ac:dyDescent="0.2">
      <c r="A3462" s="1391" t="s">
        <v>3110</v>
      </c>
      <c r="B3462" s="1667"/>
      <c r="C3462" s="1668"/>
      <c r="D3462" s="1668"/>
      <c r="E3462" s="1668"/>
      <c r="F3462" s="1668"/>
      <c r="G3462" s="1668"/>
      <c r="H3462" s="1070"/>
      <c r="I3462" s="1645"/>
      <c r="J3462" s="1645"/>
      <c r="K3462" s="1645"/>
      <c r="L3462" s="1645"/>
      <c r="M3462" s="1645"/>
      <c r="N3462" s="1645"/>
      <c r="O3462" s="1645"/>
      <c r="P3462" s="1645"/>
      <c r="Q3462" s="1645"/>
      <c r="R3462" s="1645"/>
      <c r="S3462" s="1645"/>
      <c r="T3462" s="1645"/>
      <c r="U3462" s="1645"/>
      <c r="V3462" s="1645"/>
      <c r="W3462" s="1645"/>
      <c r="X3462" s="1645"/>
      <c r="Y3462" s="1645"/>
      <c r="Z3462" s="1645"/>
      <c r="AA3462" s="1645"/>
      <c r="AB3462" s="1645"/>
      <c r="AC3462" s="1645"/>
      <c r="AD3462" s="1645"/>
      <c r="AE3462" s="1645"/>
      <c r="AF3462" s="1645"/>
      <c r="AG3462" s="1645"/>
      <c r="AH3462" s="1645"/>
      <c r="AI3462" s="1645"/>
      <c r="AJ3462" s="1645"/>
      <c r="AK3462" s="1645"/>
      <c r="AL3462" s="1645"/>
      <c r="AM3462" s="1645"/>
      <c r="AN3462" s="1645"/>
      <c r="AO3462" s="1645"/>
      <c r="AP3462" s="1645"/>
      <c r="AQ3462" s="1645"/>
      <c r="AR3462" s="1645"/>
      <c r="AS3462" s="1645"/>
      <c r="AT3462" s="1645"/>
      <c r="AU3462" s="1645"/>
      <c r="AV3462" s="1645"/>
      <c r="AW3462" s="1645"/>
      <c r="AX3462" s="1645"/>
      <c r="AY3462" s="1645"/>
      <c r="AZ3462" s="1645"/>
      <c r="BA3462" s="1645"/>
      <c r="BB3462" s="1645"/>
      <c r="BC3462" s="1645"/>
      <c r="BD3462" s="1645"/>
      <c r="BE3462" s="1645"/>
      <c r="BF3462" s="1645"/>
      <c r="BG3462" s="1645"/>
      <c r="BH3462" s="1645"/>
      <c r="BI3462" s="1645"/>
      <c r="BJ3462" s="1645"/>
      <c r="BK3462" s="1645"/>
      <c r="BL3462" s="1645"/>
      <c r="BM3462" s="1645"/>
      <c r="BN3462" s="1645"/>
      <c r="BO3462" s="1645"/>
      <c r="BP3462" s="1645"/>
      <c r="BQ3462" s="1645"/>
      <c r="BR3462" s="1645"/>
      <c r="BS3462" s="1645"/>
      <c r="BT3462" s="1645"/>
      <c r="BU3462" s="1645"/>
      <c r="BV3462" s="1645"/>
      <c r="BW3462" s="1645"/>
      <c r="BX3462" s="1645"/>
      <c r="BY3462" s="1645"/>
      <c r="BZ3462" s="1645"/>
      <c r="CA3462" s="1645"/>
      <c r="CB3462" s="1645"/>
      <c r="CC3462" s="1645"/>
      <c r="CD3462" s="1645"/>
      <c r="CE3462" s="1645"/>
      <c r="CF3462" s="1645"/>
      <c r="CG3462" s="1645"/>
      <c r="CH3462" s="1645"/>
      <c r="CI3462" s="1645"/>
      <c r="CJ3462" s="1645"/>
      <c r="CK3462" s="1645"/>
      <c r="CL3462" s="1645"/>
      <c r="CM3462" s="1645"/>
      <c r="CN3462" s="1645"/>
      <c r="CO3462" s="1645"/>
    </row>
    <row r="3463" spans="1:93" s="1136" customFormat="1" ht="15" x14ac:dyDescent="0.2">
      <c r="A3463" s="1391" t="s">
        <v>3064</v>
      </c>
      <c r="B3463" s="1667" t="e">
        <f>B3154+B3158+B3118/B3132+B2973+B2955+B2942+B2930+B2912+B2895+B2882+B2873</f>
        <v>#VALUE!</v>
      </c>
      <c r="C3463" s="1668"/>
      <c r="D3463" s="1668"/>
      <c r="E3463" s="1668"/>
      <c r="F3463" s="1668"/>
      <c r="G3463" s="1668"/>
      <c r="H3463" s="1070"/>
      <c r="I3463" s="1645"/>
      <c r="J3463" s="1645"/>
      <c r="K3463" s="1645"/>
      <c r="L3463" s="1645"/>
      <c r="M3463" s="1645"/>
      <c r="N3463" s="1645"/>
      <c r="O3463" s="1645"/>
      <c r="P3463" s="1645"/>
      <c r="Q3463" s="1645"/>
      <c r="R3463" s="1645"/>
      <c r="S3463" s="1645"/>
      <c r="T3463" s="1645"/>
      <c r="U3463" s="1645"/>
      <c r="V3463" s="1645"/>
      <c r="W3463" s="1645"/>
      <c r="X3463" s="1645"/>
      <c r="Y3463" s="1645"/>
      <c r="Z3463" s="1645"/>
      <c r="AA3463" s="1645"/>
      <c r="AB3463" s="1645"/>
      <c r="AC3463" s="1645"/>
      <c r="AD3463" s="1645"/>
      <c r="AE3463" s="1645"/>
      <c r="AF3463" s="1645"/>
      <c r="AG3463" s="1645"/>
      <c r="AH3463" s="1645"/>
      <c r="AI3463" s="1645"/>
      <c r="AJ3463" s="1645"/>
      <c r="AK3463" s="1645"/>
      <c r="AL3463" s="1645"/>
      <c r="AM3463" s="1645"/>
      <c r="AN3463" s="1645"/>
      <c r="AO3463" s="1645"/>
      <c r="AP3463" s="1645"/>
      <c r="AQ3463" s="1645"/>
      <c r="AR3463" s="1645"/>
      <c r="AS3463" s="1645"/>
      <c r="AT3463" s="1645"/>
      <c r="AU3463" s="1645"/>
      <c r="AV3463" s="1645"/>
      <c r="AW3463" s="1645"/>
      <c r="AX3463" s="1645"/>
      <c r="AY3463" s="1645"/>
      <c r="AZ3463" s="1645"/>
      <c r="BA3463" s="1645"/>
      <c r="BB3463" s="1645"/>
      <c r="BC3463" s="1645"/>
      <c r="BD3463" s="1645"/>
      <c r="BE3463" s="1645"/>
      <c r="BF3463" s="1645"/>
      <c r="BG3463" s="1645"/>
      <c r="BH3463" s="1645"/>
      <c r="BI3463" s="1645"/>
      <c r="BJ3463" s="1645"/>
      <c r="BK3463" s="1645"/>
      <c r="BL3463" s="1645"/>
      <c r="BM3463" s="1645"/>
      <c r="BN3463" s="1645"/>
      <c r="BO3463" s="1645"/>
      <c r="BP3463" s="1645"/>
      <c r="BQ3463" s="1645"/>
      <c r="BR3463" s="1645"/>
      <c r="BS3463" s="1645"/>
      <c r="BT3463" s="1645"/>
      <c r="BU3463" s="1645"/>
      <c r="BV3463" s="1645"/>
      <c r="BW3463" s="1645"/>
      <c r="BX3463" s="1645"/>
      <c r="BY3463" s="1645"/>
      <c r="BZ3463" s="1645"/>
      <c r="CA3463" s="1645"/>
      <c r="CB3463" s="1645"/>
      <c r="CC3463" s="1645"/>
      <c r="CD3463" s="1645"/>
      <c r="CE3463" s="1645"/>
      <c r="CF3463" s="1645"/>
      <c r="CG3463" s="1645"/>
      <c r="CH3463" s="1645"/>
      <c r="CI3463" s="1645"/>
      <c r="CJ3463" s="1645"/>
      <c r="CK3463" s="1645"/>
      <c r="CL3463" s="1645"/>
      <c r="CM3463" s="1645"/>
      <c r="CN3463" s="1645"/>
      <c r="CO3463" s="1645"/>
    </row>
    <row r="3464" spans="1:93" s="1136" customFormat="1" ht="15" x14ac:dyDescent="0.2">
      <c r="A3464" s="1391" t="s">
        <v>3119</v>
      </c>
      <c r="B3464" s="1673" t="e">
        <f>B3057</f>
        <v>#VALUE!</v>
      </c>
      <c r="C3464" s="1674"/>
      <c r="D3464" s="1674"/>
      <c r="E3464" s="1674"/>
      <c r="F3464" s="1674"/>
      <c r="G3464" s="1674"/>
      <c r="H3464" s="1070"/>
      <c r="I3464" s="1645"/>
      <c r="J3464" s="1645"/>
      <c r="K3464" s="1645"/>
      <c r="L3464" s="1645"/>
      <c r="M3464" s="1645"/>
      <c r="N3464" s="1645"/>
      <c r="O3464" s="1645"/>
      <c r="P3464" s="1645"/>
      <c r="Q3464" s="1645"/>
      <c r="R3464" s="1645"/>
      <c r="S3464" s="1645"/>
      <c r="T3464" s="1645"/>
      <c r="U3464" s="1645"/>
      <c r="V3464" s="1645"/>
      <c r="W3464" s="1645"/>
      <c r="X3464" s="1645"/>
      <c r="Y3464" s="1645"/>
      <c r="Z3464" s="1645"/>
      <c r="AA3464" s="1645"/>
      <c r="AB3464" s="1645"/>
      <c r="AC3464" s="1645"/>
      <c r="AD3464" s="1645"/>
      <c r="AE3464" s="1645"/>
      <c r="AF3464" s="1645"/>
      <c r="AG3464" s="1645"/>
      <c r="AH3464" s="1645"/>
      <c r="AI3464" s="1645"/>
      <c r="AJ3464" s="1645"/>
      <c r="AK3464" s="1645"/>
      <c r="AL3464" s="1645"/>
      <c r="AM3464" s="1645"/>
      <c r="AN3464" s="1645"/>
      <c r="AO3464" s="1645"/>
      <c r="AP3464" s="1645"/>
      <c r="AQ3464" s="1645"/>
      <c r="AR3464" s="1645"/>
      <c r="AS3464" s="1645"/>
      <c r="AT3464" s="1645"/>
      <c r="AU3464" s="1645"/>
      <c r="AV3464" s="1645"/>
      <c r="AW3464" s="1645"/>
      <c r="AX3464" s="1645"/>
      <c r="AY3464" s="1645"/>
      <c r="AZ3464" s="1645"/>
      <c r="BA3464" s="1645"/>
      <c r="BB3464" s="1645"/>
      <c r="BC3464" s="1645"/>
      <c r="BD3464" s="1645"/>
      <c r="BE3464" s="1645"/>
      <c r="BF3464" s="1645"/>
      <c r="BG3464" s="1645"/>
      <c r="BH3464" s="1645"/>
      <c r="BI3464" s="1645"/>
      <c r="BJ3464" s="1645"/>
      <c r="BK3464" s="1645"/>
      <c r="BL3464" s="1645"/>
      <c r="BM3464" s="1645"/>
      <c r="BN3464" s="1645"/>
      <c r="BO3464" s="1645"/>
      <c r="BP3464" s="1645"/>
      <c r="BQ3464" s="1645"/>
      <c r="BR3464" s="1645"/>
      <c r="BS3464" s="1645"/>
      <c r="BT3464" s="1645"/>
      <c r="BU3464" s="1645"/>
      <c r="BV3464" s="1645"/>
      <c r="BW3464" s="1645"/>
      <c r="BX3464" s="1645"/>
      <c r="BY3464" s="1645"/>
      <c r="BZ3464" s="1645"/>
      <c r="CA3464" s="1645"/>
      <c r="CB3464" s="1645"/>
      <c r="CC3464" s="1645"/>
      <c r="CD3464" s="1645"/>
      <c r="CE3464" s="1645"/>
      <c r="CF3464" s="1645"/>
      <c r="CG3464" s="1645"/>
      <c r="CH3464" s="1645"/>
      <c r="CI3464" s="1645"/>
      <c r="CJ3464" s="1645"/>
      <c r="CK3464" s="1645"/>
      <c r="CL3464" s="1645"/>
      <c r="CM3464" s="1645"/>
      <c r="CN3464" s="1645"/>
      <c r="CO3464" s="1645"/>
    </row>
    <row r="3465" spans="1:93" s="1136" customFormat="1" ht="15" x14ac:dyDescent="0.2">
      <c r="A3465" s="1391" t="s">
        <v>3122</v>
      </c>
      <c r="B3465" s="1667">
        <f>B3036</f>
        <v>0</v>
      </c>
      <c r="C3465" s="1668"/>
      <c r="D3465" s="1668"/>
      <c r="E3465" s="1668"/>
      <c r="F3465" s="1668"/>
      <c r="G3465" s="1668"/>
      <c r="H3465" s="1070"/>
      <c r="I3465" s="1645"/>
      <c r="J3465" s="1645"/>
      <c r="K3465" s="1645"/>
      <c r="L3465" s="1645"/>
      <c r="M3465" s="1645"/>
      <c r="N3465" s="1645"/>
      <c r="O3465" s="1645"/>
      <c r="P3465" s="1645"/>
      <c r="Q3465" s="1645"/>
      <c r="R3465" s="1645"/>
      <c r="S3465" s="1645"/>
      <c r="T3465" s="1645"/>
      <c r="U3465" s="1645"/>
      <c r="V3465" s="1645"/>
      <c r="W3465" s="1645"/>
      <c r="X3465" s="1645"/>
      <c r="Y3465" s="1645"/>
      <c r="Z3465" s="1645"/>
      <c r="AA3465" s="1645"/>
      <c r="AB3465" s="1645"/>
      <c r="AC3465" s="1645"/>
      <c r="AD3465" s="1645"/>
      <c r="AE3465" s="1645"/>
      <c r="AF3465" s="1645"/>
      <c r="AG3465" s="1645"/>
      <c r="AH3465" s="1645"/>
      <c r="AI3465" s="1645"/>
      <c r="AJ3465" s="1645"/>
      <c r="AK3465" s="1645"/>
      <c r="AL3465" s="1645"/>
      <c r="AM3465" s="1645"/>
      <c r="AN3465" s="1645"/>
      <c r="AO3465" s="1645"/>
      <c r="AP3465" s="1645"/>
      <c r="AQ3465" s="1645"/>
      <c r="AR3465" s="1645"/>
      <c r="AS3465" s="1645"/>
      <c r="AT3465" s="1645"/>
      <c r="AU3465" s="1645"/>
      <c r="AV3465" s="1645"/>
      <c r="AW3465" s="1645"/>
      <c r="AX3465" s="1645"/>
      <c r="AY3465" s="1645"/>
      <c r="AZ3465" s="1645"/>
      <c r="BA3465" s="1645"/>
      <c r="BB3465" s="1645"/>
      <c r="BC3465" s="1645"/>
      <c r="BD3465" s="1645"/>
      <c r="BE3465" s="1645"/>
      <c r="BF3465" s="1645"/>
      <c r="BG3465" s="1645"/>
      <c r="BH3465" s="1645"/>
      <c r="BI3465" s="1645"/>
      <c r="BJ3465" s="1645"/>
      <c r="BK3465" s="1645"/>
      <c r="BL3465" s="1645"/>
      <c r="BM3465" s="1645"/>
      <c r="BN3465" s="1645"/>
      <c r="BO3465" s="1645"/>
      <c r="BP3465" s="1645"/>
      <c r="BQ3465" s="1645"/>
      <c r="BR3465" s="1645"/>
      <c r="BS3465" s="1645"/>
      <c r="BT3465" s="1645"/>
      <c r="BU3465" s="1645"/>
      <c r="BV3465" s="1645"/>
      <c r="BW3465" s="1645"/>
      <c r="BX3465" s="1645"/>
      <c r="BY3465" s="1645"/>
      <c r="BZ3465" s="1645"/>
      <c r="CA3465" s="1645"/>
      <c r="CB3465" s="1645"/>
      <c r="CC3465" s="1645"/>
      <c r="CD3465" s="1645"/>
      <c r="CE3465" s="1645"/>
      <c r="CF3465" s="1645"/>
      <c r="CG3465" s="1645"/>
      <c r="CH3465" s="1645"/>
      <c r="CI3465" s="1645"/>
      <c r="CJ3465" s="1645"/>
      <c r="CK3465" s="1645"/>
      <c r="CL3465" s="1645"/>
      <c r="CM3465" s="1645"/>
      <c r="CN3465" s="1645"/>
      <c r="CO3465" s="1645"/>
    </row>
    <row r="3466" spans="1:93" s="1136" customFormat="1" ht="15" x14ac:dyDescent="0.2">
      <c r="A3466" s="1391" t="s">
        <v>3065</v>
      </c>
      <c r="B3466" s="1667">
        <f>B3019</f>
        <v>0</v>
      </c>
      <c r="C3466" s="1668"/>
      <c r="D3466" s="1668"/>
      <c r="E3466" s="1668"/>
      <c r="F3466" s="1668"/>
      <c r="G3466" s="1668"/>
      <c r="H3466" s="1070"/>
      <c r="I3466" s="1645"/>
      <c r="J3466" s="1645"/>
      <c r="K3466" s="1645"/>
      <c r="L3466" s="1645"/>
      <c r="M3466" s="1645"/>
      <c r="N3466" s="1645"/>
      <c r="O3466" s="1645"/>
      <c r="P3466" s="1645"/>
      <c r="Q3466" s="1645"/>
      <c r="R3466" s="1645"/>
      <c r="S3466" s="1645"/>
      <c r="T3466" s="1645"/>
      <c r="U3466" s="1645"/>
      <c r="V3466" s="1645"/>
      <c r="W3466" s="1645"/>
      <c r="X3466" s="1645"/>
      <c r="Y3466" s="1645"/>
      <c r="Z3466" s="1645"/>
      <c r="AA3466" s="1645"/>
      <c r="AB3466" s="1645"/>
      <c r="AC3466" s="1645"/>
      <c r="AD3466" s="1645"/>
      <c r="AE3466" s="1645"/>
      <c r="AF3466" s="1645"/>
      <c r="AG3466" s="1645"/>
      <c r="AH3466" s="1645"/>
      <c r="AI3466" s="1645"/>
      <c r="AJ3466" s="1645"/>
      <c r="AK3466" s="1645"/>
      <c r="AL3466" s="1645"/>
      <c r="AM3466" s="1645"/>
      <c r="AN3466" s="1645"/>
      <c r="AO3466" s="1645"/>
      <c r="AP3466" s="1645"/>
      <c r="AQ3466" s="1645"/>
      <c r="AR3466" s="1645"/>
      <c r="AS3466" s="1645"/>
      <c r="AT3466" s="1645"/>
      <c r="AU3466" s="1645"/>
      <c r="AV3466" s="1645"/>
      <c r="AW3466" s="1645"/>
      <c r="AX3466" s="1645"/>
      <c r="AY3466" s="1645"/>
      <c r="AZ3466" s="1645"/>
      <c r="BA3466" s="1645"/>
      <c r="BB3466" s="1645"/>
      <c r="BC3466" s="1645"/>
      <c r="BD3466" s="1645"/>
      <c r="BE3466" s="1645"/>
      <c r="BF3466" s="1645"/>
      <c r="BG3466" s="1645"/>
      <c r="BH3466" s="1645"/>
      <c r="BI3466" s="1645"/>
      <c r="BJ3466" s="1645"/>
      <c r="BK3466" s="1645"/>
      <c r="BL3466" s="1645"/>
      <c r="BM3466" s="1645"/>
      <c r="BN3466" s="1645"/>
      <c r="BO3466" s="1645"/>
      <c r="BP3466" s="1645"/>
      <c r="BQ3466" s="1645"/>
      <c r="BR3466" s="1645"/>
      <c r="BS3466" s="1645"/>
      <c r="BT3466" s="1645"/>
      <c r="BU3466" s="1645"/>
      <c r="BV3466" s="1645"/>
      <c r="BW3466" s="1645"/>
      <c r="BX3466" s="1645"/>
      <c r="BY3466" s="1645"/>
      <c r="BZ3466" s="1645"/>
      <c r="CA3466" s="1645"/>
      <c r="CB3466" s="1645"/>
      <c r="CC3466" s="1645"/>
      <c r="CD3466" s="1645"/>
      <c r="CE3466" s="1645"/>
      <c r="CF3466" s="1645"/>
      <c r="CG3466" s="1645"/>
      <c r="CH3466" s="1645"/>
      <c r="CI3466" s="1645"/>
      <c r="CJ3466" s="1645"/>
      <c r="CK3466" s="1645"/>
      <c r="CL3466" s="1645"/>
      <c r="CM3466" s="1645"/>
      <c r="CN3466" s="1645"/>
      <c r="CO3466" s="1645"/>
    </row>
    <row r="3467" spans="1:93" s="1136" customFormat="1" ht="15" x14ac:dyDescent="0.2">
      <c r="A3467" s="1391" t="s">
        <v>3125</v>
      </c>
      <c r="B3467" s="1667" t="e">
        <f>B2994</f>
        <v>#VALUE!</v>
      </c>
      <c r="C3467" s="1668"/>
      <c r="D3467" s="1668"/>
      <c r="E3467" s="1668"/>
      <c r="F3467" s="1668"/>
      <c r="G3467" s="1668"/>
      <c r="H3467" s="1070"/>
      <c r="I3467" s="1645"/>
      <c r="J3467" s="1645"/>
      <c r="K3467" s="1645"/>
      <c r="L3467" s="1645"/>
      <c r="M3467" s="1645"/>
      <c r="N3467" s="1645"/>
      <c r="O3467" s="1645"/>
      <c r="P3467" s="1645"/>
      <c r="Q3467" s="1645"/>
      <c r="R3467" s="1645"/>
      <c r="S3467" s="1645"/>
      <c r="T3467" s="1645"/>
      <c r="U3467" s="1645"/>
      <c r="V3467" s="1645"/>
      <c r="W3467" s="1645"/>
      <c r="X3467" s="1645"/>
      <c r="Y3467" s="1645"/>
      <c r="Z3467" s="1645"/>
      <c r="AA3467" s="1645"/>
      <c r="AB3467" s="1645"/>
      <c r="AC3467" s="1645"/>
      <c r="AD3467" s="1645"/>
      <c r="AE3467" s="1645"/>
      <c r="AF3467" s="1645"/>
      <c r="AG3467" s="1645"/>
      <c r="AH3467" s="1645"/>
      <c r="AI3467" s="1645"/>
      <c r="AJ3467" s="1645"/>
      <c r="AK3467" s="1645"/>
      <c r="AL3467" s="1645"/>
      <c r="AM3467" s="1645"/>
      <c r="AN3467" s="1645"/>
      <c r="AO3467" s="1645"/>
      <c r="AP3467" s="1645"/>
      <c r="AQ3467" s="1645"/>
      <c r="AR3467" s="1645"/>
      <c r="AS3467" s="1645"/>
      <c r="AT3467" s="1645"/>
      <c r="AU3467" s="1645"/>
      <c r="AV3467" s="1645"/>
      <c r="AW3467" s="1645"/>
      <c r="AX3467" s="1645"/>
      <c r="AY3467" s="1645"/>
      <c r="AZ3467" s="1645"/>
      <c r="BA3467" s="1645"/>
      <c r="BB3467" s="1645"/>
      <c r="BC3467" s="1645"/>
      <c r="BD3467" s="1645"/>
      <c r="BE3467" s="1645"/>
      <c r="BF3467" s="1645"/>
      <c r="BG3467" s="1645"/>
      <c r="BH3467" s="1645"/>
      <c r="BI3467" s="1645"/>
      <c r="BJ3467" s="1645"/>
      <c r="BK3467" s="1645"/>
      <c r="BL3467" s="1645"/>
      <c r="BM3467" s="1645"/>
      <c r="BN3467" s="1645"/>
      <c r="BO3467" s="1645"/>
      <c r="BP3467" s="1645"/>
      <c r="BQ3467" s="1645"/>
      <c r="BR3467" s="1645"/>
      <c r="BS3467" s="1645"/>
      <c r="BT3467" s="1645"/>
      <c r="BU3467" s="1645"/>
      <c r="BV3467" s="1645"/>
      <c r="BW3467" s="1645"/>
      <c r="BX3467" s="1645"/>
      <c r="BY3467" s="1645"/>
      <c r="BZ3467" s="1645"/>
      <c r="CA3467" s="1645"/>
      <c r="CB3467" s="1645"/>
      <c r="CC3467" s="1645"/>
      <c r="CD3467" s="1645"/>
      <c r="CE3467" s="1645"/>
      <c r="CF3467" s="1645"/>
      <c r="CG3467" s="1645"/>
      <c r="CH3467" s="1645"/>
      <c r="CI3467" s="1645"/>
      <c r="CJ3467" s="1645"/>
      <c r="CK3467" s="1645"/>
      <c r="CL3467" s="1645"/>
      <c r="CM3467" s="1645"/>
      <c r="CN3467" s="1645"/>
      <c r="CO3467" s="1645"/>
    </row>
    <row r="3468" spans="1:93" s="1136" customFormat="1" ht="15" x14ac:dyDescent="0.2">
      <c r="A3468" s="1391" t="s">
        <v>3126</v>
      </c>
      <c r="B3468" s="1667" t="e">
        <f>B2980</f>
        <v>#VALUE!</v>
      </c>
      <c r="C3468" s="1668"/>
      <c r="D3468" s="1668"/>
      <c r="E3468" s="1668"/>
      <c r="F3468" s="1668"/>
      <c r="G3468" s="1668"/>
      <c r="H3468" s="1070"/>
      <c r="I3468" s="1645"/>
      <c r="J3468" s="1645"/>
      <c r="K3468" s="1645"/>
      <c r="L3468" s="1645"/>
      <c r="M3468" s="1645"/>
      <c r="N3468" s="1645"/>
      <c r="O3468" s="1645"/>
      <c r="P3468" s="1645"/>
      <c r="Q3468" s="1645"/>
      <c r="R3468" s="1645"/>
      <c r="S3468" s="1645"/>
      <c r="T3468" s="1645"/>
      <c r="U3468" s="1645"/>
      <c r="V3468" s="1645"/>
      <c r="W3468" s="1645"/>
      <c r="X3468" s="1645"/>
      <c r="Y3468" s="1645"/>
      <c r="Z3468" s="1645"/>
      <c r="AA3468" s="1645"/>
      <c r="AB3468" s="1645"/>
      <c r="AC3468" s="1645"/>
      <c r="AD3468" s="1645"/>
      <c r="AE3468" s="1645"/>
      <c r="AF3468" s="1645"/>
      <c r="AG3468" s="1645"/>
      <c r="AH3468" s="1645"/>
      <c r="AI3468" s="1645"/>
      <c r="AJ3468" s="1645"/>
      <c r="AK3468" s="1645"/>
      <c r="AL3468" s="1645"/>
      <c r="AM3468" s="1645"/>
      <c r="AN3468" s="1645"/>
      <c r="AO3468" s="1645"/>
      <c r="AP3468" s="1645"/>
      <c r="AQ3468" s="1645"/>
      <c r="AR3468" s="1645"/>
      <c r="AS3468" s="1645"/>
      <c r="AT3468" s="1645"/>
      <c r="AU3468" s="1645"/>
      <c r="AV3468" s="1645"/>
      <c r="AW3468" s="1645"/>
      <c r="AX3468" s="1645"/>
      <c r="AY3468" s="1645"/>
      <c r="AZ3468" s="1645"/>
      <c r="BA3468" s="1645"/>
      <c r="BB3468" s="1645"/>
      <c r="BC3468" s="1645"/>
      <c r="BD3468" s="1645"/>
      <c r="BE3468" s="1645"/>
      <c r="BF3468" s="1645"/>
      <c r="BG3468" s="1645"/>
      <c r="BH3468" s="1645"/>
      <c r="BI3468" s="1645"/>
      <c r="BJ3468" s="1645"/>
      <c r="BK3468" s="1645"/>
      <c r="BL3468" s="1645"/>
      <c r="BM3468" s="1645"/>
      <c r="BN3468" s="1645"/>
      <c r="BO3468" s="1645"/>
      <c r="BP3468" s="1645"/>
      <c r="BQ3468" s="1645"/>
      <c r="BR3468" s="1645"/>
      <c r="BS3468" s="1645"/>
      <c r="BT3468" s="1645"/>
      <c r="BU3468" s="1645"/>
      <c r="BV3468" s="1645"/>
      <c r="BW3468" s="1645"/>
      <c r="BX3468" s="1645"/>
      <c r="BY3468" s="1645"/>
      <c r="BZ3468" s="1645"/>
      <c r="CA3468" s="1645"/>
      <c r="CB3468" s="1645"/>
      <c r="CC3468" s="1645"/>
      <c r="CD3468" s="1645"/>
      <c r="CE3468" s="1645"/>
      <c r="CF3468" s="1645"/>
      <c r="CG3468" s="1645"/>
      <c r="CH3468" s="1645"/>
      <c r="CI3468" s="1645"/>
      <c r="CJ3468" s="1645"/>
      <c r="CK3468" s="1645"/>
      <c r="CL3468" s="1645"/>
      <c r="CM3468" s="1645"/>
      <c r="CN3468" s="1645"/>
      <c r="CO3468" s="1645"/>
    </row>
    <row r="3469" spans="1:93" s="1136" customFormat="1" ht="15" x14ac:dyDescent="0.2">
      <c r="C3469" s="1668"/>
      <c r="D3469" s="1668"/>
      <c r="E3469" s="1668"/>
      <c r="F3469" s="1668"/>
      <c r="G3469" s="1668"/>
      <c r="H3469" s="1070"/>
      <c r="I3469" s="1645"/>
      <c r="J3469" s="1645"/>
      <c r="K3469" s="1645"/>
      <c r="L3469" s="1645"/>
      <c r="M3469" s="1645"/>
      <c r="N3469" s="1645"/>
      <c r="O3469" s="1645"/>
      <c r="P3469" s="1645"/>
      <c r="Q3469" s="1645"/>
      <c r="R3469" s="1645"/>
      <c r="S3469" s="1645"/>
      <c r="T3469" s="1645"/>
      <c r="U3469" s="1645"/>
      <c r="V3469" s="1645"/>
      <c r="W3469" s="1645"/>
      <c r="X3469" s="1645"/>
      <c r="Y3469" s="1645"/>
      <c r="Z3469" s="1645"/>
      <c r="AA3469" s="1645"/>
      <c r="AB3469" s="1645"/>
      <c r="AC3469" s="1645"/>
      <c r="AD3469" s="1645"/>
      <c r="AE3469" s="1645"/>
      <c r="AF3469" s="1645"/>
      <c r="AG3469" s="1645"/>
      <c r="AH3469" s="1645"/>
      <c r="AI3469" s="1645"/>
      <c r="AJ3469" s="1645"/>
      <c r="AK3469" s="1645"/>
      <c r="AL3469" s="1645"/>
      <c r="AM3469" s="1645"/>
      <c r="AN3469" s="1645"/>
      <c r="AO3469" s="1645"/>
      <c r="AP3469" s="1645"/>
      <c r="AQ3469" s="1645"/>
      <c r="AR3469" s="1645"/>
      <c r="AS3469" s="1645"/>
      <c r="AT3469" s="1645"/>
      <c r="AU3469" s="1645"/>
      <c r="AV3469" s="1645"/>
      <c r="AW3469" s="1645"/>
      <c r="AX3469" s="1645"/>
      <c r="AY3469" s="1645"/>
      <c r="AZ3469" s="1645"/>
      <c r="BA3469" s="1645"/>
      <c r="BB3469" s="1645"/>
      <c r="BC3469" s="1645"/>
      <c r="BD3469" s="1645"/>
      <c r="BE3469" s="1645"/>
      <c r="BF3469" s="1645"/>
      <c r="BG3469" s="1645"/>
      <c r="BH3469" s="1645"/>
      <c r="BI3469" s="1645"/>
      <c r="BJ3469" s="1645"/>
      <c r="BK3469" s="1645"/>
      <c r="BL3469" s="1645"/>
      <c r="BM3469" s="1645"/>
      <c r="BN3469" s="1645"/>
      <c r="BO3469" s="1645"/>
      <c r="BP3469" s="1645"/>
      <c r="BQ3469" s="1645"/>
      <c r="BR3469" s="1645"/>
      <c r="BS3469" s="1645"/>
      <c r="BT3469" s="1645"/>
      <c r="BU3469" s="1645"/>
      <c r="BV3469" s="1645"/>
      <c r="BW3469" s="1645"/>
      <c r="BX3469" s="1645"/>
      <c r="BY3469" s="1645"/>
      <c r="BZ3469" s="1645"/>
      <c r="CA3469" s="1645"/>
      <c r="CB3469" s="1645"/>
      <c r="CC3469" s="1645"/>
      <c r="CD3469" s="1645"/>
      <c r="CE3469" s="1645"/>
      <c r="CF3469" s="1645"/>
      <c r="CG3469" s="1645"/>
      <c r="CH3469" s="1645"/>
      <c r="CI3469" s="1645"/>
      <c r="CJ3469" s="1645"/>
      <c r="CK3469" s="1645"/>
      <c r="CL3469" s="1645"/>
      <c r="CM3469" s="1645"/>
      <c r="CN3469" s="1645"/>
      <c r="CO3469" s="1645"/>
    </row>
    <row r="3470" spans="1:93" s="1136" customFormat="1" ht="15" x14ac:dyDescent="0.2">
      <c r="B3470" s="1679"/>
      <c r="C3470" s="1679"/>
      <c r="D3470" s="1679"/>
      <c r="E3470" s="1679"/>
      <c r="F3470" s="1679"/>
      <c r="G3470" s="1679"/>
      <c r="H3470" s="1645"/>
      <c r="I3470" s="1645"/>
      <c r="J3470" s="1645"/>
      <c r="K3470" s="1645"/>
      <c r="L3470" s="1645"/>
      <c r="M3470" s="1645"/>
      <c r="N3470" s="1645"/>
      <c r="O3470" s="1645"/>
      <c r="P3470" s="1645"/>
      <c r="Q3470" s="1645"/>
      <c r="R3470" s="1645"/>
      <c r="S3470" s="1645"/>
      <c r="T3470" s="1645"/>
      <c r="U3470" s="1645"/>
      <c r="V3470" s="1645"/>
      <c r="W3470" s="1645"/>
      <c r="X3470" s="1645"/>
      <c r="Y3470" s="1645"/>
      <c r="Z3470" s="1645"/>
      <c r="AA3470" s="1645"/>
      <c r="AB3470" s="1645"/>
      <c r="AC3470" s="1645"/>
      <c r="AD3470" s="1645"/>
      <c r="AE3470" s="1645"/>
      <c r="AF3470" s="1645"/>
      <c r="AG3470" s="1645"/>
      <c r="AH3470" s="1645"/>
      <c r="AI3470" s="1645"/>
      <c r="AJ3470" s="1645"/>
      <c r="AK3470" s="1645"/>
      <c r="AL3470" s="1645"/>
      <c r="AM3470" s="1645"/>
      <c r="AN3470" s="1645"/>
      <c r="AO3470" s="1645"/>
      <c r="AP3470" s="1645"/>
      <c r="AQ3470" s="1645"/>
      <c r="AR3470" s="1645"/>
      <c r="AS3470" s="1645"/>
      <c r="AT3470" s="1645"/>
      <c r="AU3470" s="1645"/>
      <c r="AV3470" s="1645"/>
      <c r="AW3470" s="1645"/>
      <c r="AX3470" s="1645"/>
      <c r="AY3470" s="1645"/>
      <c r="AZ3470" s="1645"/>
      <c r="BA3470" s="1645"/>
      <c r="BB3470" s="1645"/>
      <c r="BC3470" s="1645"/>
      <c r="BD3470" s="1645"/>
      <c r="BE3470" s="1645"/>
      <c r="BF3470" s="1645"/>
      <c r="BG3470" s="1645"/>
      <c r="BH3470" s="1645"/>
      <c r="BI3470" s="1645"/>
      <c r="BJ3470" s="1645"/>
      <c r="BK3470" s="1645"/>
      <c r="BL3470" s="1645"/>
      <c r="BM3470" s="1645"/>
      <c r="BN3470" s="1645"/>
      <c r="BO3470" s="1645"/>
      <c r="BP3470" s="1645"/>
      <c r="BQ3470" s="1645"/>
      <c r="BR3470" s="1645"/>
      <c r="BS3470" s="1645"/>
      <c r="BT3470" s="1645"/>
      <c r="BU3470" s="1645"/>
      <c r="BV3470" s="1645"/>
      <c r="BW3470" s="1645"/>
      <c r="BX3470" s="1645"/>
      <c r="BY3470" s="1645"/>
      <c r="BZ3470" s="1645"/>
      <c r="CA3470" s="1645"/>
      <c r="CB3470" s="1645"/>
      <c r="CC3470" s="1645"/>
      <c r="CD3470" s="1645"/>
      <c r="CE3470" s="1645"/>
      <c r="CF3470" s="1645"/>
      <c r="CG3470" s="1645"/>
      <c r="CH3470" s="1645"/>
      <c r="CI3470" s="1645"/>
      <c r="CJ3470" s="1645"/>
      <c r="CK3470" s="1645"/>
      <c r="CL3470" s="1645"/>
      <c r="CM3470" s="1645"/>
      <c r="CN3470" s="1645"/>
      <c r="CO3470" s="1645"/>
    </row>
    <row r="3471" spans="1:93" s="1136" customFormat="1" ht="20.25" x14ac:dyDescent="0.3">
      <c r="A3471" s="1680" t="s">
        <v>2825</v>
      </c>
      <c r="B3471" s="1681"/>
      <c r="C3471" s="1682"/>
      <c r="D3471" s="1683"/>
      <c r="E3471" s="1683"/>
      <c r="F3471" s="1683"/>
      <c r="G3471" s="1683"/>
      <c r="H3471" s="1683"/>
      <c r="I3471" s="1683"/>
      <c r="J3471" s="1683"/>
      <c r="K3471" s="1683"/>
      <c r="L3471" s="1645"/>
      <c r="M3471" s="1645"/>
      <c r="N3471" s="1645"/>
      <c r="O3471" s="1645"/>
      <c r="P3471" s="1645"/>
      <c r="Q3471" s="1645"/>
      <c r="R3471" s="1645"/>
      <c r="S3471" s="1645"/>
      <c r="T3471" s="1645"/>
      <c r="U3471" s="1645"/>
      <c r="V3471" s="1645"/>
      <c r="W3471" s="1645"/>
      <c r="X3471" s="1645"/>
      <c r="Y3471" s="1645"/>
      <c r="Z3471" s="1645"/>
      <c r="AA3471" s="1645"/>
      <c r="AB3471" s="1645"/>
      <c r="AC3471" s="1645"/>
      <c r="AD3471" s="1645"/>
      <c r="AE3471" s="1645"/>
      <c r="AF3471" s="1645"/>
      <c r="AG3471" s="1645"/>
      <c r="AH3471" s="1645"/>
      <c r="AI3471" s="1645"/>
      <c r="AJ3471" s="1645"/>
      <c r="AK3471" s="1645"/>
      <c r="AL3471" s="1645"/>
      <c r="AM3471" s="1645"/>
      <c r="AN3471" s="1645"/>
      <c r="AO3471" s="1645"/>
      <c r="AP3471" s="1645"/>
      <c r="AQ3471" s="1645"/>
      <c r="AR3471" s="1645"/>
      <c r="AS3471" s="1645"/>
      <c r="AT3471" s="1645"/>
      <c r="AU3471" s="1645"/>
      <c r="AV3471" s="1645"/>
      <c r="AW3471" s="1645"/>
      <c r="AX3471" s="1645"/>
      <c r="AY3471" s="1645"/>
      <c r="AZ3471" s="1645"/>
      <c r="BA3471" s="1645"/>
      <c r="BB3471" s="1645"/>
      <c r="BC3471" s="1645"/>
      <c r="BD3471" s="1645"/>
      <c r="BE3471" s="1645"/>
      <c r="BF3471" s="1645"/>
      <c r="BG3471" s="1645"/>
      <c r="BH3471" s="1645"/>
      <c r="BI3471" s="1645"/>
      <c r="BJ3471" s="1645"/>
      <c r="BK3471" s="1645"/>
      <c r="BL3471" s="1645"/>
      <c r="BM3471" s="1645"/>
      <c r="BN3471" s="1645"/>
      <c r="BO3471" s="1645"/>
      <c r="BP3471" s="1645"/>
      <c r="BQ3471" s="1645"/>
      <c r="BR3471" s="1645"/>
      <c r="BS3471" s="1645"/>
      <c r="BT3471" s="1645"/>
      <c r="BU3471" s="1645"/>
      <c r="BV3471" s="1645"/>
      <c r="BW3471" s="1645"/>
      <c r="BX3471" s="1645"/>
      <c r="BY3471" s="1645"/>
      <c r="BZ3471" s="1645"/>
      <c r="CA3471" s="1645"/>
      <c r="CB3471" s="1645"/>
      <c r="CC3471" s="1645"/>
      <c r="CD3471" s="1645"/>
      <c r="CE3471" s="1645"/>
      <c r="CF3471" s="1645"/>
      <c r="CG3471" s="1645"/>
      <c r="CH3471" s="1645"/>
      <c r="CI3471" s="1645"/>
      <c r="CJ3471" s="1645"/>
      <c r="CK3471" s="1645"/>
      <c r="CL3471" s="1645"/>
      <c r="CM3471" s="1645"/>
      <c r="CN3471" s="1645"/>
      <c r="CO3471" s="1645"/>
    </row>
    <row r="3472" spans="1:93" s="1391" customFormat="1" ht="15" x14ac:dyDescent="0.2">
      <c r="A3472" s="1684"/>
      <c r="B3472" s="1684"/>
      <c r="C3472"/>
      <c r="D3472"/>
      <c r="E3472"/>
      <c r="F3472"/>
      <c r="G3472"/>
      <c r="H3472"/>
      <c r="I3472"/>
      <c r="J3472"/>
      <c r="K3472"/>
      <c r="L3472"/>
      <c r="M3472"/>
      <c r="N3472"/>
      <c r="O3472"/>
      <c r="P3472"/>
      <c r="Q3472"/>
      <c r="R3472"/>
      <c r="S3472" s="1684"/>
      <c r="T3472" s="1684"/>
      <c r="U3472" s="1684"/>
      <c r="V3472" s="1684"/>
      <c r="W3472" s="1684"/>
      <c r="X3472" s="1684"/>
      <c r="Y3472" s="1684"/>
      <c r="Z3472" s="1684"/>
      <c r="AA3472" s="1684"/>
      <c r="AB3472" s="1684"/>
      <c r="AC3472" s="1684"/>
      <c r="AD3472" s="1684"/>
      <c r="AE3472" s="1684"/>
      <c r="AF3472" s="1684"/>
      <c r="AG3472" s="1684"/>
      <c r="AH3472" s="1684"/>
      <c r="AI3472" s="1684"/>
      <c r="AJ3472" s="1684"/>
      <c r="AK3472" s="1684"/>
      <c r="AL3472" s="1684"/>
      <c r="AM3472" s="1684"/>
      <c r="AN3472" s="1684"/>
      <c r="AO3472" s="1684"/>
      <c r="AP3472" s="1684"/>
      <c r="AQ3472" s="1684"/>
      <c r="AR3472" s="1684"/>
      <c r="AS3472" s="1684"/>
      <c r="AT3472" s="1684"/>
      <c r="AU3472" s="1684"/>
      <c r="AV3472" s="1684"/>
      <c r="AW3472" s="1684"/>
      <c r="AX3472" s="1684"/>
      <c r="AY3472" s="1684"/>
      <c r="AZ3472" s="1684"/>
      <c r="BA3472" s="1684"/>
      <c r="BB3472" s="1684"/>
      <c r="BC3472" s="1684"/>
      <c r="BD3472" s="1684"/>
      <c r="BE3472" s="1684"/>
      <c r="BF3472" s="1684"/>
      <c r="BG3472" s="1684"/>
      <c r="BH3472" s="1684"/>
      <c r="BI3472" s="1684"/>
      <c r="BJ3472" s="1684"/>
      <c r="BK3472" s="1684"/>
      <c r="BL3472" s="1684"/>
      <c r="BM3472" s="1684"/>
      <c r="BN3472" s="1684"/>
      <c r="BO3472" s="1684"/>
      <c r="BP3472" s="1684"/>
      <c r="BQ3472" s="1684"/>
      <c r="BR3472" s="1684"/>
      <c r="BS3472" s="1684"/>
      <c r="BT3472" s="1684"/>
      <c r="BU3472" s="1684"/>
      <c r="BV3472" s="1684"/>
      <c r="BW3472" s="1684"/>
      <c r="BX3472" s="1684"/>
      <c r="BY3472" s="1684"/>
      <c r="BZ3472" s="1684"/>
      <c r="CA3472" s="1684"/>
      <c r="CB3472" s="1684"/>
      <c r="CC3472" s="1684"/>
      <c r="CD3472" s="1684"/>
      <c r="CE3472" s="1684"/>
      <c r="CF3472" s="1684"/>
      <c r="CG3472" s="1684"/>
      <c r="CH3472" s="1684"/>
      <c r="CI3472" s="1684"/>
      <c r="CJ3472" s="1684"/>
      <c r="CK3472" s="1684"/>
      <c r="CL3472" s="1684"/>
      <c r="CM3472" s="1684"/>
      <c r="CN3472" s="1684"/>
      <c r="CO3472" s="1684"/>
    </row>
    <row r="3473" spans="1:93" s="1391" customFormat="1" ht="75" x14ac:dyDescent="0.2">
      <c r="A3473" s="1684"/>
      <c r="B3473" s="1684"/>
      <c r="C3473" s="1685" t="s">
        <v>4814</v>
      </c>
      <c r="D3473" s="1686"/>
      <c r="F3473" s="1660" t="s">
        <v>4815</v>
      </c>
      <c r="G3473" s="1660" t="s">
        <v>4816</v>
      </c>
      <c r="H3473" s="1660" t="s">
        <v>4817</v>
      </c>
      <c r="I3473" s="1684"/>
      <c r="J3473" s="1684"/>
      <c r="K3473" s="1684"/>
      <c r="L3473" s="1684"/>
      <c r="M3473" s="1684"/>
      <c r="N3473" s="1684"/>
      <c r="O3473" s="1684"/>
      <c r="P3473" s="1684"/>
      <c r="Q3473" s="1684"/>
      <c r="R3473" s="1684"/>
      <c r="S3473" s="1684"/>
      <c r="T3473" s="1684"/>
      <c r="U3473" s="1684"/>
      <c r="V3473" s="1684"/>
      <c r="W3473" s="1684"/>
      <c r="X3473" s="1684"/>
      <c r="Y3473" s="1684"/>
      <c r="Z3473" s="1684"/>
      <c r="AA3473" s="1684"/>
      <c r="AB3473" s="1684"/>
      <c r="AC3473" s="1684"/>
      <c r="AD3473" s="1684"/>
      <c r="AE3473" s="1684"/>
      <c r="AF3473" s="1684"/>
      <c r="AG3473" s="1684"/>
      <c r="AH3473" s="1684"/>
      <c r="AI3473" s="1684"/>
      <c r="AJ3473" s="1684"/>
      <c r="AK3473" s="1684"/>
      <c r="AL3473" s="1684"/>
      <c r="AM3473" s="1684"/>
      <c r="AN3473" s="1684"/>
      <c r="AO3473" s="1684"/>
      <c r="AP3473" s="1684"/>
      <c r="AQ3473" s="1684"/>
      <c r="AR3473" s="1684"/>
      <c r="AS3473" s="1684"/>
      <c r="AT3473" s="1684"/>
      <c r="AU3473" s="1684"/>
      <c r="AV3473" s="1684"/>
      <c r="AW3473" s="1684"/>
      <c r="AX3473" s="1684"/>
      <c r="AY3473" s="1684"/>
      <c r="AZ3473" s="1684"/>
      <c r="BA3473" s="1684"/>
      <c r="BB3473" s="1684"/>
      <c r="BC3473" s="1684"/>
      <c r="BD3473" s="1684"/>
      <c r="BE3473" s="1684"/>
      <c r="BF3473" s="1684"/>
      <c r="BG3473" s="1684"/>
      <c r="BH3473" s="1684"/>
      <c r="BI3473" s="1684"/>
      <c r="BJ3473" s="1684"/>
      <c r="BK3473" s="1684"/>
      <c r="BL3473" s="1684"/>
      <c r="BM3473" s="1684"/>
      <c r="BN3473" s="1684"/>
      <c r="BO3473" s="1684"/>
      <c r="BP3473" s="1684"/>
      <c r="BQ3473" s="1684"/>
      <c r="BR3473" s="1684"/>
      <c r="BS3473" s="1684"/>
      <c r="BT3473" s="1684"/>
      <c r="BU3473" s="1684"/>
      <c r="BV3473" s="1684"/>
      <c r="BW3473" s="1684"/>
      <c r="BX3473" s="1684"/>
      <c r="BY3473" s="1684"/>
      <c r="BZ3473" s="1684"/>
      <c r="CA3473" s="1684"/>
      <c r="CB3473" s="1684"/>
      <c r="CC3473" s="1684"/>
      <c r="CD3473" s="1684"/>
      <c r="CE3473" s="1684"/>
      <c r="CF3473" s="1684"/>
      <c r="CG3473" s="1684"/>
      <c r="CH3473" s="1684"/>
      <c r="CI3473" s="1684"/>
      <c r="CJ3473" s="1684"/>
      <c r="CK3473" s="1684"/>
      <c r="CL3473" s="1684"/>
      <c r="CM3473" s="1684"/>
      <c r="CN3473" s="1684"/>
      <c r="CO3473" s="1684"/>
    </row>
    <row r="3474" spans="1:93" s="1391" customFormat="1" ht="90" x14ac:dyDescent="0.2">
      <c r="A3474" s="1684"/>
      <c r="B3474" s="1684"/>
      <c r="C3474" s="1685"/>
      <c r="D3474" s="1686"/>
      <c r="F3474" s="1660"/>
      <c r="G3474" s="1660"/>
      <c r="H3474" s="1660"/>
      <c r="I3474" s="1684"/>
      <c r="J3474" s="1391" t="s">
        <v>2490</v>
      </c>
      <c r="K3474" s="1391" t="s">
        <v>5484</v>
      </c>
      <c r="L3474" s="1687" t="s">
        <v>4818</v>
      </c>
      <c r="M3474" s="1684"/>
      <c r="N3474" s="1684"/>
      <c r="O3474" s="1684"/>
      <c r="P3474" s="1684"/>
      <c r="Q3474" s="1684"/>
      <c r="R3474" s="1684"/>
      <c r="S3474" s="1684"/>
      <c r="T3474" s="1684"/>
      <c r="U3474" s="1684"/>
      <c r="V3474" s="1684"/>
      <c r="W3474" s="1684"/>
      <c r="X3474" s="1684"/>
      <c r="Y3474" s="1684"/>
      <c r="Z3474" s="1684"/>
      <c r="AA3474" s="1684"/>
      <c r="AB3474" s="1684"/>
      <c r="AC3474" s="1684"/>
      <c r="AD3474" s="1684"/>
      <c r="AE3474" s="1684"/>
      <c r="AF3474" s="1684"/>
      <c r="AG3474" s="1684"/>
      <c r="AH3474" s="1684"/>
      <c r="AI3474" s="1684"/>
      <c r="AJ3474" s="1684"/>
      <c r="AK3474" s="1684"/>
      <c r="AL3474" s="1684"/>
      <c r="AM3474" s="1684"/>
      <c r="AN3474" s="1684"/>
      <c r="AO3474" s="1684"/>
      <c r="AP3474" s="1684"/>
      <c r="AQ3474" s="1684"/>
      <c r="AR3474" s="1684"/>
      <c r="AS3474" s="1684"/>
      <c r="AT3474" s="1684"/>
      <c r="AU3474" s="1684"/>
      <c r="AV3474" s="1684"/>
      <c r="AW3474" s="1684"/>
      <c r="AX3474" s="1684"/>
      <c r="AY3474" s="1684"/>
      <c r="AZ3474" s="1684"/>
      <c r="BA3474" s="1684"/>
      <c r="BB3474" s="1684"/>
      <c r="BC3474" s="1684"/>
      <c r="BD3474" s="1684"/>
      <c r="BE3474" s="1684"/>
      <c r="BF3474" s="1684"/>
      <c r="BG3474" s="1684"/>
      <c r="BH3474" s="1684"/>
      <c r="BI3474" s="1684"/>
      <c r="BJ3474" s="1684"/>
      <c r="BK3474" s="1684"/>
      <c r="BL3474" s="1684"/>
      <c r="BM3474" s="1684"/>
      <c r="BN3474" s="1684"/>
      <c r="BO3474" s="1684"/>
      <c r="BP3474" s="1684"/>
      <c r="BQ3474" s="1684"/>
      <c r="BR3474" s="1684"/>
      <c r="BS3474" s="1684"/>
      <c r="BT3474" s="1684"/>
      <c r="BU3474" s="1684"/>
      <c r="BV3474" s="1684"/>
      <c r="BW3474" s="1684"/>
      <c r="BX3474" s="1684"/>
      <c r="BY3474" s="1684"/>
      <c r="BZ3474" s="1684"/>
      <c r="CA3474" s="1684"/>
      <c r="CB3474" s="1684"/>
      <c r="CC3474" s="1684"/>
      <c r="CD3474" s="1684"/>
      <c r="CE3474" s="1684"/>
      <c r="CF3474" s="1684"/>
      <c r="CG3474" s="1684"/>
      <c r="CH3474" s="1684"/>
      <c r="CI3474" s="1684"/>
      <c r="CJ3474" s="1684"/>
      <c r="CK3474" s="1684"/>
      <c r="CL3474" s="1684"/>
      <c r="CM3474" s="1684"/>
      <c r="CN3474" s="1684"/>
      <c r="CO3474" s="1684"/>
    </row>
    <row r="3475" spans="1:93" s="1391" customFormat="1" ht="15" x14ac:dyDescent="0.2">
      <c r="A3475" s="1684"/>
      <c r="B3475" s="1684"/>
      <c r="C3475" s="1686">
        <v>1</v>
      </c>
      <c r="D3475" s="1686">
        <v>1</v>
      </c>
      <c r="F3475" s="1660">
        <v>1</v>
      </c>
      <c r="G3475" s="1660">
        <v>1</v>
      </c>
      <c r="H3475" s="1660">
        <v>1</v>
      </c>
      <c r="I3475" s="1684"/>
      <c r="J3475" s="1391">
        <v>1</v>
      </c>
      <c r="K3475" s="1391" t="s">
        <v>4819</v>
      </c>
      <c r="M3475" s="1684"/>
      <c r="N3475" s="1684"/>
      <c r="O3475" s="1684"/>
      <c r="P3475" s="1684"/>
      <c r="Q3475" s="1684"/>
      <c r="R3475" s="1684"/>
      <c r="S3475" s="1684"/>
      <c r="T3475" s="1684"/>
      <c r="U3475" s="1684"/>
      <c r="V3475" s="1684"/>
      <c r="W3475" s="1684"/>
      <c r="X3475" s="1684"/>
      <c r="Y3475" s="1684"/>
      <c r="Z3475" s="1684"/>
      <c r="AA3475" s="1684"/>
      <c r="AB3475" s="1684"/>
      <c r="AC3475" s="1684"/>
      <c r="AD3475" s="1684"/>
      <c r="AE3475" s="1684"/>
      <c r="AF3475" s="1684"/>
      <c r="AG3475" s="1684"/>
      <c r="AH3475" s="1684"/>
      <c r="AI3475" s="1684"/>
      <c r="AJ3475" s="1684"/>
      <c r="AK3475" s="1684"/>
      <c r="AL3475" s="1684"/>
      <c r="AM3475" s="1684"/>
      <c r="AN3475" s="1684"/>
      <c r="AO3475" s="1684"/>
      <c r="AP3475" s="1684"/>
      <c r="AQ3475" s="1684"/>
      <c r="AR3475" s="1684"/>
      <c r="AS3475" s="1684"/>
      <c r="AT3475" s="1684"/>
      <c r="AU3475" s="1684"/>
      <c r="AV3475" s="1684"/>
      <c r="AW3475" s="1684"/>
      <c r="AX3475" s="1684"/>
      <c r="AY3475" s="1684"/>
      <c r="AZ3475" s="1684"/>
      <c r="BA3475" s="1684"/>
      <c r="BB3475" s="1684"/>
      <c r="BC3475" s="1684"/>
      <c r="BD3475" s="1684"/>
      <c r="BE3475" s="1684"/>
      <c r="BF3475" s="1684"/>
      <c r="BG3475" s="1684"/>
      <c r="BH3475" s="1684"/>
      <c r="BI3475" s="1684"/>
      <c r="BJ3475" s="1684"/>
      <c r="BK3475" s="1684"/>
      <c r="BL3475" s="1684"/>
      <c r="BM3475" s="1684"/>
      <c r="BN3475" s="1684"/>
      <c r="BO3475" s="1684"/>
      <c r="BP3475" s="1684"/>
      <c r="BQ3475" s="1684"/>
      <c r="BR3475" s="1684"/>
      <c r="BS3475" s="1684"/>
      <c r="BT3475" s="1684"/>
      <c r="BU3475" s="1684"/>
      <c r="BV3475" s="1684"/>
      <c r="BW3475" s="1684"/>
      <c r="BX3475" s="1684"/>
      <c r="BY3475" s="1684"/>
      <c r="BZ3475" s="1684"/>
      <c r="CA3475" s="1684"/>
      <c r="CB3475" s="1684"/>
      <c r="CC3475" s="1684"/>
      <c r="CD3475" s="1684"/>
      <c r="CE3475" s="1684"/>
      <c r="CF3475" s="1684"/>
      <c r="CG3475" s="1684"/>
      <c r="CH3475" s="1684"/>
      <c r="CI3475" s="1684"/>
      <c r="CJ3475" s="1684"/>
      <c r="CK3475" s="1684"/>
      <c r="CL3475" s="1684"/>
      <c r="CM3475" s="1684"/>
      <c r="CN3475" s="1684"/>
      <c r="CO3475" s="1684"/>
    </row>
    <row r="3476" spans="1:93" s="1391" customFormat="1" ht="15" x14ac:dyDescent="0.2">
      <c r="A3476" s="1684"/>
      <c r="B3476" s="1684"/>
      <c r="C3476" s="1686">
        <v>2</v>
      </c>
      <c r="D3476" s="1686">
        <v>0.95</v>
      </c>
      <c r="F3476" s="1660">
        <v>2</v>
      </c>
      <c r="G3476" s="1660">
        <v>0.9</v>
      </c>
      <c r="H3476" s="1660">
        <v>0.95</v>
      </c>
      <c r="I3476" s="1684"/>
      <c r="J3476" s="1391">
        <v>2</v>
      </c>
      <c r="K3476" s="1391" t="s">
        <v>4820</v>
      </c>
      <c r="M3476" s="1684"/>
      <c r="N3476" s="1684"/>
      <c r="O3476" s="1684"/>
      <c r="P3476" s="1684"/>
      <c r="Q3476" s="1684"/>
      <c r="R3476" s="1684"/>
      <c r="S3476" s="1684"/>
      <c r="T3476" s="1684"/>
      <c r="U3476" s="1684"/>
      <c r="V3476" s="1684"/>
      <c r="W3476" s="1684"/>
      <c r="X3476" s="1684"/>
      <c r="Y3476" s="1684"/>
      <c r="Z3476" s="1684"/>
      <c r="AA3476" s="1684"/>
      <c r="AB3476" s="1684"/>
      <c r="AC3476" s="1684"/>
      <c r="AD3476" s="1684"/>
      <c r="AE3476" s="1684"/>
      <c r="AF3476" s="1684"/>
      <c r="AG3476" s="1684"/>
      <c r="AH3476" s="1684"/>
      <c r="AI3476" s="1684"/>
      <c r="AJ3476" s="1684"/>
      <c r="AK3476" s="1684"/>
      <c r="AL3476" s="1684"/>
      <c r="AM3476" s="1684"/>
      <c r="AN3476" s="1684"/>
      <c r="AO3476" s="1684"/>
      <c r="AP3476" s="1684"/>
      <c r="AQ3476" s="1684"/>
      <c r="AR3476" s="1684"/>
      <c r="AS3476" s="1684"/>
      <c r="AT3476" s="1684"/>
      <c r="AU3476" s="1684"/>
      <c r="AV3476" s="1684"/>
      <c r="AW3476" s="1684"/>
      <c r="AX3476" s="1684"/>
      <c r="AY3476" s="1684"/>
      <c r="AZ3476" s="1684"/>
      <c r="BA3476" s="1684"/>
      <c r="BB3476" s="1684"/>
      <c r="BC3476" s="1684"/>
      <c r="BD3476" s="1684"/>
      <c r="BE3476" s="1684"/>
      <c r="BF3476" s="1684"/>
      <c r="BG3476" s="1684"/>
      <c r="BH3476" s="1684"/>
      <c r="BI3476" s="1684"/>
      <c r="BJ3476" s="1684"/>
      <c r="BK3476" s="1684"/>
      <c r="BL3476" s="1684"/>
      <c r="BM3476" s="1684"/>
      <c r="BN3476" s="1684"/>
      <c r="BO3476" s="1684"/>
      <c r="BP3476" s="1684"/>
      <c r="BQ3476" s="1684"/>
      <c r="BR3476" s="1684"/>
      <c r="BS3476" s="1684"/>
      <c r="BT3476" s="1684"/>
      <c r="BU3476" s="1684"/>
      <c r="BV3476" s="1684"/>
      <c r="BW3476" s="1684"/>
      <c r="BX3476" s="1684"/>
      <c r="BY3476" s="1684"/>
      <c r="BZ3476" s="1684"/>
      <c r="CA3476" s="1684"/>
      <c r="CB3476" s="1684"/>
      <c r="CC3476" s="1684"/>
      <c r="CD3476" s="1684"/>
      <c r="CE3476" s="1684"/>
      <c r="CF3476" s="1684"/>
      <c r="CG3476" s="1684"/>
      <c r="CH3476" s="1684"/>
      <c r="CI3476" s="1684"/>
      <c r="CJ3476" s="1684"/>
      <c r="CK3476" s="1684"/>
      <c r="CL3476" s="1684"/>
      <c r="CM3476" s="1684"/>
      <c r="CN3476" s="1684"/>
      <c r="CO3476" s="1684"/>
    </row>
    <row r="3477" spans="1:93" s="1391" customFormat="1" ht="15" x14ac:dyDescent="0.2">
      <c r="A3477" s="1684"/>
      <c r="B3477" s="1684"/>
      <c r="C3477" s="1686">
        <v>3</v>
      </c>
      <c r="D3477" s="1686">
        <v>0.9</v>
      </c>
      <c r="F3477" s="1660">
        <v>3</v>
      </c>
      <c r="G3477" s="1660">
        <v>0.85</v>
      </c>
      <c r="H3477" s="1660">
        <v>0.9</v>
      </c>
      <c r="I3477" s="1684"/>
      <c r="J3477" s="1391">
        <v>3</v>
      </c>
      <c r="K3477" s="1391" t="s">
        <v>4821</v>
      </c>
      <c r="M3477" s="1684"/>
      <c r="N3477" s="1684"/>
      <c r="O3477" s="1684"/>
      <c r="P3477" s="1684"/>
      <c r="Q3477" s="1684"/>
      <c r="R3477" s="1684"/>
      <c r="S3477" s="1684"/>
      <c r="T3477" s="1684"/>
      <c r="U3477" s="1684"/>
      <c r="V3477" s="1684"/>
      <c r="W3477" s="1684"/>
      <c r="X3477" s="1684"/>
      <c r="Y3477" s="1684"/>
      <c r="Z3477" s="1684"/>
      <c r="AA3477" s="1684"/>
      <c r="AB3477" s="1684"/>
      <c r="AC3477" s="1684"/>
      <c r="AD3477" s="1684"/>
      <c r="AE3477" s="1684"/>
      <c r="AF3477" s="1684"/>
      <c r="AG3477" s="1684"/>
      <c r="AH3477" s="1684"/>
      <c r="AI3477" s="1684"/>
      <c r="AJ3477" s="1684"/>
      <c r="AK3477" s="1684"/>
      <c r="AL3477" s="1684"/>
      <c r="AM3477" s="1684"/>
      <c r="AN3477" s="1684"/>
      <c r="AO3477" s="1684"/>
      <c r="AP3477" s="1684"/>
      <c r="AQ3477" s="1684"/>
      <c r="AR3477" s="1684"/>
      <c r="AS3477" s="1684"/>
      <c r="AT3477" s="1684"/>
      <c r="AU3477" s="1684"/>
      <c r="AV3477" s="1684"/>
      <c r="AW3477" s="1684"/>
      <c r="AX3477" s="1684"/>
      <c r="AY3477" s="1684"/>
      <c r="AZ3477" s="1684"/>
      <c r="BA3477" s="1684"/>
      <c r="BB3477" s="1684"/>
      <c r="BC3477" s="1684"/>
      <c r="BD3477" s="1684"/>
      <c r="BE3477" s="1684"/>
      <c r="BF3477" s="1684"/>
      <c r="BG3477" s="1684"/>
      <c r="BH3477" s="1684"/>
      <c r="BI3477" s="1684"/>
      <c r="BJ3477" s="1684"/>
      <c r="BK3477" s="1684"/>
      <c r="BL3477" s="1684"/>
      <c r="BM3477" s="1684"/>
      <c r="BN3477" s="1684"/>
      <c r="BO3477" s="1684"/>
      <c r="BP3477" s="1684"/>
      <c r="BQ3477" s="1684"/>
      <c r="BR3477" s="1684"/>
      <c r="BS3477" s="1684"/>
      <c r="BT3477" s="1684"/>
      <c r="BU3477" s="1684"/>
      <c r="BV3477" s="1684"/>
      <c r="BW3477" s="1684"/>
      <c r="BX3477" s="1684"/>
      <c r="BY3477" s="1684"/>
      <c r="BZ3477" s="1684"/>
      <c r="CA3477" s="1684"/>
      <c r="CB3477" s="1684"/>
      <c r="CC3477" s="1684"/>
      <c r="CD3477" s="1684"/>
      <c r="CE3477" s="1684"/>
      <c r="CF3477" s="1684"/>
      <c r="CG3477" s="1684"/>
      <c r="CH3477" s="1684"/>
      <c r="CI3477" s="1684"/>
      <c r="CJ3477" s="1684"/>
      <c r="CK3477" s="1684"/>
      <c r="CL3477" s="1684"/>
      <c r="CM3477" s="1684"/>
      <c r="CN3477" s="1684"/>
      <c r="CO3477" s="1684"/>
    </row>
    <row r="3478" spans="1:93" s="1391" customFormat="1" ht="15" x14ac:dyDescent="0.2">
      <c r="A3478" s="1684"/>
      <c r="B3478" s="1684"/>
      <c r="C3478" s="1686">
        <v>4</v>
      </c>
      <c r="D3478" s="1686">
        <v>0.85</v>
      </c>
      <c r="F3478" s="1660">
        <v>4</v>
      </c>
      <c r="G3478" s="1660">
        <v>0.8</v>
      </c>
      <c r="H3478" s="1660">
        <v>0.85</v>
      </c>
      <c r="I3478" s="1684"/>
      <c r="J3478" s="1391">
        <v>4</v>
      </c>
      <c r="K3478" s="1391" t="s">
        <v>4822</v>
      </c>
      <c r="M3478" s="1684"/>
      <c r="N3478" s="1684"/>
      <c r="O3478" s="1684"/>
      <c r="P3478" s="1684"/>
      <c r="Q3478" s="1684"/>
      <c r="R3478" s="1684"/>
      <c r="S3478" s="1684"/>
      <c r="T3478" s="1684"/>
      <c r="U3478" s="1684"/>
      <c r="V3478" s="1684"/>
      <c r="W3478" s="1684"/>
      <c r="X3478" s="1684"/>
      <c r="Y3478" s="1684"/>
      <c r="Z3478" s="1684"/>
      <c r="AA3478" s="1684"/>
      <c r="AB3478" s="1684"/>
      <c r="AC3478" s="1684"/>
      <c r="AD3478" s="1684"/>
      <c r="AE3478" s="1684"/>
      <c r="AF3478" s="1684"/>
      <c r="AG3478" s="1684"/>
      <c r="AH3478" s="1684"/>
      <c r="AI3478" s="1684"/>
      <c r="AJ3478" s="1684"/>
      <c r="AK3478" s="1684"/>
      <c r="AL3478" s="1684"/>
      <c r="AM3478" s="1684"/>
      <c r="AN3478" s="1684"/>
      <c r="AO3478" s="1684"/>
      <c r="AP3478" s="1684"/>
      <c r="AQ3478" s="1684"/>
      <c r="AR3478" s="1684"/>
      <c r="AS3478" s="1684"/>
      <c r="AT3478" s="1684"/>
      <c r="AU3478" s="1684"/>
      <c r="AV3478" s="1684"/>
      <c r="AW3478" s="1684"/>
      <c r="AX3478" s="1684"/>
      <c r="AY3478" s="1684"/>
      <c r="AZ3478" s="1684"/>
      <c r="BA3478" s="1684"/>
      <c r="BB3478" s="1684"/>
      <c r="BC3478" s="1684"/>
      <c r="BD3478" s="1684"/>
      <c r="BE3478" s="1684"/>
      <c r="BF3478" s="1684"/>
      <c r="BG3478" s="1684"/>
      <c r="BH3478" s="1684"/>
      <c r="BI3478" s="1684"/>
      <c r="BJ3478" s="1684"/>
      <c r="BK3478" s="1684"/>
      <c r="BL3478" s="1684"/>
      <c r="BM3478" s="1684"/>
      <c r="BN3478" s="1684"/>
      <c r="BO3478" s="1684"/>
      <c r="BP3478" s="1684"/>
      <c r="BQ3478" s="1684"/>
      <c r="BR3478" s="1684"/>
      <c r="BS3478" s="1684"/>
      <c r="BT3478" s="1684"/>
      <c r="BU3478" s="1684"/>
      <c r="BV3478" s="1684"/>
      <c r="BW3478" s="1684"/>
      <c r="BX3478" s="1684"/>
      <c r="BY3478" s="1684"/>
      <c r="BZ3478" s="1684"/>
      <c r="CA3478" s="1684"/>
      <c r="CB3478" s="1684"/>
      <c r="CC3478" s="1684"/>
      <c r="CD3478" s="1684"/>
      <c r="CE3478" s="1684"/>
      <c r="CF3478" s="1684"/>
      <c r="CG3478" s="1684"/>
      <c r="CH3478" s="1684"/>
      <c r="CI3478" s="1684"/>
      <c r="CJ3478" s="1684"/>
      <c r="CK3478" s="1684"/>
      <c r="CL3478" s="1684"/>
      <c r="CM3478" s="1684"/>
      <c r="CN3478" s="1684"/>
      <c r="CO3478" s="1684"/>
    </row>
    <row r="3479" spans="1:93" s="1391" customFormat="1" ht="15" x14ac:dyDescent="0.2">
      <c r="A3479" s="1684"/>
      <c r="B3479" s="1684"/>
      <c r="I3479" s="1684"/>
      <c r="J3479" s="1391">
        <v>5</v>
      </c>
      <c r="K3479" s="1391" t="s">
        <v>4823</v>
      </c>
      <c r="M3479" s="1684"/>
      <c r="N3479" s="1684"/>
      <c r="O3479" s="1684"/>
      <c r="P3479" s="1684"/>
      <c r="Q3479" s="1684"/>
      <c r="R3479" s="1684"/>
      <c r="S3479" s="1684"/>
      <c r="T3479" s="1684"/>
      <c r="U3479" s="1684"/>
      <c r="V3479" s="1684"/>
      <c r="W3479" s="1684"/>
      <c r="X3479" s="1684"/>
      <c r="Y3479" s="1684"/>
      <c r="Z3479" s="1684"/>
      <c r="AA3479" s="1684"/>
      <c r="AB3479" s="1684"/>
      <c r="AC3479" s="1684"/>
      <c r="AD3479" s="1684"/>
      <c r="AE3479" s="1684"/>
      <c r="AF3479" s="1684"/>
      <c r="AG3479" s="1684"/>
      <c r="AH3479" s="1684"/>
      <c r="AI3479" s="1684"/>
      <c r="AJ3479" s="1684"/>
      <c r="AK3479" s="1684"/>
      <c r="AL3479" s="1684"/>
      <c r="AM3479" s="1684"/>
      <c r="AN3479" s="1684"/>
      <c r="AO3479" s="1684"/>
      <c r="AP3479" s="1684"/>
      <c r="AQ3479" s="1684"/>
      <c r="AR3479" s="1684"/>
      <c r="AS3479" s="1684"/>
      <c r="AT3479" s="1684"/>
      <c r="AU3479" s="1684"/>
      <c r="AV3479" s="1684"/>
      <c r="AW3479" s="1684"/>
      <c r="AX3479" s="1684"/>
      <c r="AY3479" s="1684"/>
      <c r="AZ3479" s="1684"/>
      <c r="BA3479" s="1684"/>
      <c r="BB3479" s="1684"/>
      <c r="BC3479" s="1684"/>
      <c r="BD3479" s="1684"/>
      <c r="BE3479" s="1684"/>
      <c r="BF3479" s="1684"/>
      <c r="BG3479" s="1684"/>
      <c r="BH3479" s="1684"/>
      <c r="BI3479" s="1684"/>
      <c r="BJ3479" s="1684"/>
      <c r="BK3479" s="1684"/>
      <c r="BL3479" s="1684"/>
      <c r="BM3479" s="1684"/>
      <c r="BN3479" s="1684"/>
      <c r="BO3479" s="1684"/>
      <c r="BP3479" s="1684"/>
      <c r="BQ3479" s="1684"/>
      <c r="BR3479" s="1684"/>
      <c r="BS3479" s="1684"/>
      <c r="BT3479" s="1684"/>
      <c r="BU3479" s="1684"/>
      <c r="BV3479" s="1684"/>
      <c r="BW3479" s="1684"/>
      <c r="BX3479" s="1684"/>
      <c r="BY3479" s="1684"/>
      <c r="BZ3479" s="1684"/>
      <c r="CA3479" s="1684"/>
      <c r="CB3479" s="1684"/>
      <c r="CC3479" s="1684"/>
      <c r="CD3479" s="1684"/>
      <c r="CE3479" s="1684"/>
      <c r="CF3479" s="1684"/>
      <c r="CG3479" s="1684"/>
      <c r="CH3479" s="1684"/>
      <c r="CI3479" s="1684"/>
      <c r="CJ3479" s="1684"/>
      <c r="CK3479" s="1684"/>
      <c r="CL3479" s="1684"/>
      <c r="CM3479" s="1684"/>
      <c r="CN3479" s="1684"/>
      <c r="CO3479" s="1684"/>
    </row>
    <row r="3480" spans="1:93" s="1391" customFormat="1" ht="15" x14ac:dyDescent="0.2">
      <c r="A3480" s="1684"/>
      <c r="B3480" s="1684"/>
      <c r="C3480" s="1688" t="s">
        <v>4824</v>
      </c>
      <c r="D3480" s="1688" t="s">
        <v>4825</v>
      </c>
      <c r="E3480" s="1688" t="s">
        <v>4826</v>
      </c>
      <c r="F3480" s="1688" t="s">
        <v>4827</v>
      </c>
      <c r="G3480" s="1688" t="s">
        <v>4828</v>
      </c>
      <c r="H3480" s="1688"/>
      <c r="I3480" s="1684"/>
      <c r="J3480" s="1684"/>
      <c r="K3480" s="1684"/>
      <c r="L3480" s="1684"/>
      <c r="M3480" s="1684"/>
      <c r="N3480" s="1684"/>
      <c r="O3480" s="1684"/>
      <c r="P3480" s="1684"/>
      <c r="Q3480" s="1684"/>
      <c r="R3480" s="1684"/>
      <c r="S3480" s="1684"/>
      <c r="T3480" s="1684"/>
      <c r="U3480" s="1684"/>
      <c r="V3480" s="1684"/>
      <c r="W3480" s="1684"/>
      <c r="X3480" s="1684"/>
      <c r="Y3480" s="1684"/>
      <c r="Z3480" s="1684"/>
      <c r="AA3480" s="1684"/>
      <c r="AB3480" s="1684"/>
      <c r="AC3480" s="1684"/>
      <c r="AD3480" s="1684"/>
      <c r="AE3480" s="1684"/>
      <c r="AF3480" s="1684"/>
      <c r="AG3480" s="1684"/>
      <c r="AH3480" s="1684"/>
      <c r="AI3480" s="1684"/>
      <c r="AJ3480" s="1684"/>
      <c r="AK3480" s="1684"/>
      <c r="AL3480" s="1684"/>
      <c r="AM3480" s="1684"/>
      <c r="AN3480" s="1684"/>
      <c r="AO3480" s="1684"/>
      <c r="AP3480" s="1684"/>
      <c r="AQ3480" s="1684"/>
      <c r="AR3480" s="1684"/>
      <c r="AS3480" s="1684"/>
      <c r="AT3480" s="1684"/>
      <c r="AU3480" s="1684"/>
      <c r="AV3480" s="1684"/>
      <c r="AW3480" s="1684"/>
      <c r="AX3480" s="1684"/>
      <c r="AY3480" s="1684"/>
      <c r="AZ3480" s="1684"/>
      <c r="BA3480" s="1684"/>
      <c r="BB3480" s="1684"/>
      <c r="BC3480" s="1684"/>
      <c r="BD3480" s="1684"/>
      <c r="BE3480" s="1684"/>
      <c r="BF3480" s="1684"/>
      <c r="BG3480" s="1684"/>
      <c r="BH3480" s="1684"/>
      <c r="BI3480" s="1684"/>
      <c r="BJ3480" s="1684"/>
      <c r="BK3480" s="1684"/>
      <c r="BL3480" s="1684"/>
      <c r="BM3480" s="1684"/>
      <c r="BN3480" s="1684"/>
      <c r="BO3480" s="1684"/>
      <c r="BP3480" s="1684"/>
      <c r="BQ3480" s="1684"/>
      <c r="BR3480" s="1684"/>
      <c r="BS3480" s="1684"/>
      <c r="BT3480" s="1684"/>
      <c r="BU3480" s="1684"/>
      <c r="BV3480" s="1684"/>
      <c r="BW3480" s="1684"/>
      <c r="BX3480" s="1684"/>
      <c r="BY3480" s="1684"/>
      <c r="BZ3480" s="1684"/>
      <c r="CA3480" s="1684"/>
      <c r="CB3480" s="1684"/>
      <c r="CC3480" s="1684"/>
      <c r="CD3480" s="1684"/>
      <c r="CE3480" s="1684"/>
      <c r="CF3480" s="1684"/>
      <c r="CG3480" s="1684"/>
      <c r="CH3480" s="1684"/>
      <c r="CI3480" s="1684"/>
      <c r="CJ3480" s="1684"/>
      <c r="CK3480" s="1684"/>
      <c r="CL3480" s="1684"/>
      <c r="CM3480" s="1684"/>
      <c r="CN3480" s="1684"/>
      <c r="CO3480" s="1684"/>
    </row>
    <row r="3481" spans="1:93" s="1391" customFormat="1" ht="15" x14ac:dyDescent="0.2">
      <c r="A3481" s="1684"/>
      <c r="B3481" s="1684"/>
      <c r="C3481" s="1688">
        <v>1</v>
      </c>
      <c r="D3481" s="1688">
        <v>0.95</v>
      </c>
      <c r="E3481" s="1688">
        <v>0.9</v>
      </c>
      <c r="F3481" s="1688">
        <v>0.85</v>
      </c>
      <c r="G3481" s="1688">
        <v>0.8</v>
      </c>
      <c r="H3481" s="1688"/>
      <c r="I3481" s="1684"/>
      <c r="J3481" s="1684"/>
      <c r="K3481" s="1684"/>
      <c r="L3481" s="1684"/>
      <c r="M3481" s="1684"/>
      <c r="N3481" s="1684"/>
      <c r="O3481" s="1684"/>
      <c r="P3481" s="1684"/>
      <c r="Q3481" s="1684"/>
      <c r="R3481" s="1684"/>
      <c r="S3481" s="1684"/>
      <c r="T3481" s="1684"/>
      <c r="U3481" s="1684"/>
      <c r="V3481" s="1684"/>
      <c r="W3481" s="1684"/>
      <c r="X3481" s="1684"/>
      <c r="Y3481" s="1684"/>
      <c r="Z3481" s="1684"/>
      <c r="AA3481" s="1684"/>
      <c r="AB3481" s="1684"/>
      <c r="AC3481" s="1684"/>
      <c r="AD3481" s="1684"/>
      <c r="AE3481" s="1684"/>
      <c r="AF3481" s="1684"/>
      <c r="AG3481" s="1684"/>
      <c r="AH3481" s="1684"/>
      <c r="AI3481" s="1684"/>
      <c r="AJ3481" s="1684"/>
      <c r="AK3481" s="1684"/>
      <c r="AL3481" s="1684"/>
      <c r="AM3481" s="1684"/>
      <c r="AN3481" s="1684"/>
      <c r="AO3481" s="1684"/>
      <c r="AP3481" s="1684"/>
      <c r="AQ3481" s="1684"/>
      <c r="AR3481" s="1684"/>
      <c r="AS3481" s="1684"/>
      <c r="AT3481" s="1684"/>
      <c r="AU3481" s="1684"/>
      <c r="AV3481" s="1684"/>
      <c r="AW3481" s="1684"/>
      <c r="AX3481" s="1684"/>
      <c r="AY3481" s="1684"/>
      <c r="AZ3481" s="1684"/>
      <c r="BA3481" s="1684"/>
      <c r="BB3481" s="1684"/>
      <c r="BC3481" s="1684"/>
      <c r="BD3481" s="1684"/>
      <c r="BE3481" s="1684"/>
      <c r="BF3481" s="1684"/>
      <c r="BG3481" s="1684"/>
      <c r="BH3481" s="1684"/>
      <c r="BI3481" s="1684"/>
      <c r="BJ3481" s="1684"/>
      <c r="BK3481" s="1684"/>
      <c r="BL3481" s="1684"/>
      <c r="BM3481" s="1684"/>
      <c r="BN3481" s="1684"/>
      <c r="BO3481" s="1684"/>
      <c r="BP3481" s="1684"/>
      <c r="BQ3481" s="1684"/>
      <c r="BR3481" s="1684"/>
      <c r="BS3481" s="1684"/>
      <c r="BT3481" s="1684"/>
      <c r="BU3481" s="1684"/>
      <c r="BV3481" s="1684"/>
      <c r="BW3481" s="1684"/>
      <c r="BX3481" s="1684"/>
      <c r="BY3481" s="1684"/>
      <c r="BZ3481" s="1684"/>
      <c r="CA3481" s="1684"/>
      <c r="CB3481" s="1684"/>
      <c r="CC3481" s="1684"/>
      <c r="CD3481" s="1684"/>
      <c r="CE3481" s="1684"/>
      <c r="CF3481" s="1684"/>
      <c r="CG3481" s="1684"/>
      <c r="CH3481" s="1684"/>
      <c r="CI3481" s="1684"/>
      <c r="CJ3481" s="1684"/>
      <c r="CK3481" s="1684"/>
      <c r="CL3481" s="1684"/>
      <c r="CM3481" s="1684"/>
      <c r="CN3481" s="1684"/>
      <c r="CO3481" s="1684"/>
    </row>
    <row r="3482" spans="1:93" s="1391" customFormat="1" ht="15.75" thickBot="1" x14ac:dyDescent="0.25">
      <c r="A3482" s="1684"/>
      <c r="B3482" s="1684"/>
      <c r="C3482" s="1689"/>
      <c r="D3482" s="1689"/>
      <c r="E3482" s="1689"/>
      <c r="F3482" s="1689"/>
      <c r="G3482" s="1684"/>
      <c r="H3482" s="1684"/>
      <c r="I3482" s="1684"/>
      <c r="J3482" s="1684"/>
      <c r="K3482" s="1684"/>
      <c r="L3482" s="1684"/>
      <c r="Q3482" s="1684"/>
      <c r="R3482" s="1684"/>
      <c r="S3482" s="1684"/>
      <c r="T3482" s="1684"/>
      <c r="U3482" s="1684"/>
      <c r="V3482" s="1684"/>
      <c r="W3482" s="1684"/>
      <c r="X3482" s="1684"/>
      <c r="Y3482" s="1684"/>
      <c r="Z3482" s="1684"/>
      <c r="AA3482" s="1684"/>
      <c r="AB3482" s="1684"/>
      <c r="AC3482" s="1684"/>
      <c r="AD3482" s="1684"/>
      <c r="AE3482" s="1684"/>
      <c r="AF3482" s="1684"/>
      <c r="AG3482" s="1684"/>
      <c r="AH3482" s="1684"/>
      <c r="AI3482" s="1684"/>
      <c r="AJ3482" s="1684"/>
      <c r="AK3482" s="1684"/>
      <c r="AL3482" s="1684"/>
      <c r="AM3482" s="1684"/>
      <c r="AN3482" s="1684"/>
      <c r="AO3482" s="1684"/>
      <c r="AP3482" s="1684"/>
      <c r="AQ3482" s="1684"/>
      <c r="AR3482" s="1684"/>
      <c r="AS3482" s="1684"/>
      <c r="AT3482" s="1684"/>
      <c r="AU3482" s="1684"/>
      <c r="AV3482" s="1684"/>
      <c r="AW3482" s="1684"/>
      <c r="AX3482" s="1684"/>
      <c r="AY3482" s="1684"/>
      <c r="AZ3482" s="1684"/>
      <c r="BA3482" s="1684"/>
      <c r="BB3482" s="1684"/>
      <c r="BC3482" s="1684"/>
      <c r="BD3482" s="1684"/>
      <c r="BE3482" s="1684"/>
      <c r="BF3482" s="1684"/>
      <c r="BG3482" s="1684"/>
      <c r="BH3482" s="1684"/>
      <c r="BI3482" s="1684"/>
      <c r="BJ3482" s="1684"/>
      <c r="BK3482" s="1684"/>
      <c r="BL3482" s="1684"/>
      <c r="BM3482" s="1684"/>
      <c r="BN3482" s="1684"/>
      <c r="BO3482" s="1684"/>
      <c r="BP3482" s="1684"/>
      <c r="BQ3482" s="1684"/>
      <c r="BR3482" s="1684"/>
      <c r="BS3482" s="1684"/>
      <c r="BT3482" s="1684"/>
      <c r="BU3482" s="1684"/>
      <c r="BV3482" s="1684"/>
      <c r="BW3482" s="1684"/>
      <c r="BX3482" s="1684"/>
      <c r="BY3482" s="1684"/>
      <c r="BZ3482" s="1684"/>
      <c r="CA3482" s="1684"/>
      <c r="CB3482" s="1684"/>
      <c r="CC3482" s="1684"/>
      <c r="CD3482" s="1684"/>
      <c r="CE3482" s="1684"/>
      <c r="CF3482" s="1684"/>
      <c r="CG3482" s="1684"/>
      <c r="CH3482" s="1684"/>
      <c r="CI3482" s="1684"/>
      <c r="CJ3482" s="1684"/>
      <c r="CK3482" s="1684"/>
      <c r="CL3482" s="1684"/>
      <c r="CM3482" s="1684"/>
      <c r="CN3482" s="1684"/>
      <c r="CO3482" s="1684"/>
    </row>
    <row r="3483" spans="1:93" s="1391" customFormat="1" ht="15.75" x14ac:dyDescent="0.25">
      <c r="A3483" s="1684"/>
      <c r="B3483" s="1690"/>
      <c r="C3483" s="4620" t="s">
        <v>4783</v>
      </c>
      <c r="D3483" s="1691" t="s">
        <v>4784</v>
      </c>
      <c r="E3483" s="1691"/>
      <c r="F3483" s="1692"/>
      <c r="G3483" s="1693"/>
      <c r="H3483" s="1694" t="s">
        <v>1509</v>
      </c>
      <c r="I3483" s="1694"/>
      <c r="J3483" s="1694"/>
      <c r="K3483" s="1694"/>
      <c r="L3483" s="1694"/>
      <c r="M3483" s="1694"/>
      <c r="N3483" s="1694"/>
      <c r="O3483" s="1694"/>
      <c r="P3483" s="1694"/>
      <c r="Q3483" s="1694"/>
      <c r="T3483" s="1694" t="s">
        <v>1425</v>
      </c>
      <c r="U3483" s="1694"/>
      <c r="V3483" s="1694"/>
      <c r="W3483" s="1694"/>
      <c r="X3483" s="1694"/>
      <c r="AQ3483" s="1684"/>
      <c r="AR3483" s="1684"/>
      <c r="AS3483" s="1684"/>
      <c r="AT3483" s="1684"/>
      <c r="AU3483" s="1684"/>
      <c r="AV3483" s="1684"/>
      <c r="AW3483" s="1684"/>
      <c r="AX3483" s="1684"/>
      <c r="AY3483" s="1684"/>
      <c r="AZ3483" s="1684"/>
      <c r="BA3483" s="1684"/>
      <c r="BB3483" s="1684"/>
      <c r="BC3483" s="1684"/>
      <c r="BD3483" s="1684"/>
      <c r="BE3483" s="1684"/>
      <c r="BF3483" s="1684"/>
      <c r="BG3483" s="1684"/>
      <c r="BH3483" s="1684"/>
      <c r="BI3483" s="1684"/>
      <c r="BJ3483" s="1684"/>
      <c r="BK3483" s="1684"/>
      <c r="BL3483" s="1684"/>
      <c r="BM3483" s="1684"/>
      <c r="BN3483" s="1684"/>
      <c r="BO3483" s="1684"/>
      <c r="BP3483" s="1684"/>
      <c r="BQ3483" s="1684"/>
      <c r="BR3483" s="1684"/>
      <c r="BS3483" s="1684"/>
      <c r="BT3483" s="1684"/>
      <c r="BU3483" s="1684"/>
      <c r="BV3483" s="1684"/>
      <c r="BW3483" s="1684"/>
      <c r="BX3483" s="1684"/>
      <c r="BY3483" s="1684"/>
      <c r="BZ3483" s="1684"/>
      <c r="CA3483" s="1684"/>
      <c r="CB3483" s="1684"/>
      <c r="CC3483" s="1684"/>
      <c r="CD3483" s="1684"/>
      <c r="CE3483" s="1684"/>
      <c r="CF3483" s="1684"/>
      <c r="CG3483" s="1684"/>
      <c r="CH3483" s="1684"/>
      <c r="CI3483" s="1684"/>
      <c r="CJ3483" s="1684"/>
      <c r="CK3483" s="1684"/>
      <c r="CL3483" s="1684"/>
      <c r="CM3483" s="1684"/>
      <c r="CN3483" s="1684"/>
      <c r="CO3483" s="1684"/>
    </row>
    <row r="3484" spans="1:93" s="1391" customFormat="1" ht="15.75" x14ac:dyDescent="0.25">
      <c r="A3484" s="1684"/>
      <c r="B3484" s="1690"/>
      <c r="C3484" s="4621"/>
      <c r="D3484" s="4622" t="s">
        <v>1426</v>
      </c>
      <c r="E3484" s="4622" t="s">
        <v>1427</v>
      </c>
      <c r="F3484" s="1695"/>
      <c r="G3484" s="1693"/>
      <c r="H3484" s="1694" t="s">
        <v>1428</v>
      </c>
      <c r="I3484" s="1694"/>
      <c r="J3484" s="1694"/>
      <c r="K3484" s="1694"/>
      <c r="L3484" s="1694"/>
      <c r="M3484" s="1694"/>
      <c r="N3484" s="1694"/>
      <c r="O3484" s="1694"/>
      <c r="P3484" s="1694"/>
      <c r="Q3484" s="1694"/>
      <c r="T3484" s="1694" t="s">
        <v>1429</v>
      </c>
      <c r="U3484" s="1694"/>
      <c r="V3484" s="1694"/>
      <c r="W3484" s="1694"/>
      <c r="X3484" s="1694"/>
      <c r="AQ3484" s="1684"/>
      <c r="AR3484" s="1684"/>
      <c r="AS3484" s="1684"/>
      <c r="AT3484" s="1684"/>
      <c r="AU3484" s="1684"/>
      <c r="AV3484" s="1684"/>
      <c r="AW3484" s="1684"/>
      <c r="AX3484" s="1684"/>
      <c r="AY3484" s="1684"/>
      <c r="AZ3484" s="1684"/>
      <c r="BA3484" s="1684"/>
      <c r="BB3484" s="1684"/>
      <c r="BC3484" s="1684"/>
      <c r="BD3484" s="1684"/>
      <c r="BE3484" s="1684"/>
      <c r="BF3484" s="1684"/>
      <c r="BG3484" s="1684"/>
      <c r="BH3484" s="1684"/>
      <c r="BI3484" s="1684"/>
      <c r="BJ3484" s="1684"/>
      <c r="BK3484" s="1684"/>
      <c r="BL3484" s="1684"/>
      <c r="BM3484" s="1684"/>
      <c r="BN3484" s="1684"/>
      <c r="BO3484" s="1684"/>
      <c r="BP3484" s="1684"/>
      <c r="BQ3484" s="1684"/>
      <c r="BR3484" s="1684"/>
      <c r="BS3484" s="1684"/>
      <c r="BT3484" s="1684"/>
      <c r="BU3484" s="1684"/>
      <c r="BV3484" s="1684"/>
      <c r="BW3484" s="1684"/>
      <c r="BX3484" s="1684"/>
      <c r="BY3484" s="1684"/>
      <c r="BZ3484" s="1684"/>
      <c r="CA3484" s="1684"/>
      <c r="CB3484" s="1684"/>
      <c r="CC3484" s="1684"/>
      <c r="CD3484" s="1684"/>
      <c r="CE3484" s="1684"/>
      <c r="CF3484" s="1684"/>
      <c r="CG3484" s="1684"/>
      <c r="CH3484" s="1684"/>
      <c r="CI3484" s="1684"/>
      <c r="CJ3484" s="1684"/>
      <c r="CK3484" s="1684"/>
      <c r="CL3484" s="1684"/>
      <c r="CM3484" s="1684"/>
      <c r="CN3484" s="1684"/>
      <c r="CO3484" s="1684"/>
    </row>
    <row r="3485" spans="1:93" s="1391" customFormat="1" ht="15.75" x14ac:dyDescent="0.25">
      <c r="A3485" s="1684"/>
      <c r="B3485" s="1690"/>
      <c r="C3485" s="4621"/>
      <c r="D3485" s="4622"/>
      <c r="E3485" s="4622"/>
      <c r="F3485" s="1695"/>
      <c r="G3485" s="1693"/>
      <c r="H3485" s="1694"/>
      <c r="I3485" s="1694" t="s">
        <v>1430</v>
      </c>
      <c r="J3485" s="1694"/>
      <c r="K3485" s="1694"/>
      <c r="L3485" s="1694"/>
      <c r="M3485" s="1694"/>
      <c r="N3485" s="1694"/>
      <c r="O3485" s="1694"/>
      <c r="P3485" s="1694"/>
      <c r="Q3485" s="1694"/>
      <c r="T3485" s="1694"/>
      <c r="U3485" s="1694"/>
      <c r="V3485" s="1694" t="s">
        <v>1431</v>
      </c>
      <c r="W3485" s="1694"/>
      <c r="X3485" s="1694"/>
      <c r="AQ3485" s="1684"/>
      <c r="AR3485" s="1684"/>
      <c r="AS3485" s="1684"/>
      <c r="AT3485" s="1684"/>
      <c r="AU3485" s="1684"/>
      <c r="AV3485" s="1684"/>
      <c r="AW3485" s="1684"/>
      <c r="AX3485" s="1684"/>
      <c r="AY3485" s="1684"/>
      <c r="AZ3485" s="1684"/>
      <c r="BA3485" s="1684"/>
      <c r="BB3485" s="1684"/>
      <c r="BC3485" s="1684"/>
      <c r="BD3485" s="1684"/>
      <c r="BE3485" s="1684"/>
      <c r="BF3485" s="1684"/>
      <c r="BG3485" s="1684"/>
      <c r="BH3485" s="1684"/>
      <c r="BI3485" s="1684"/>
      <c r="BJ3485" s="1684"/>
      <c r="BK3485" s="1684"/>
      <c r="BL3485" s="1684"/>
      <c r="BM3485" s="1684"/>
      <c r="BN3485" s="1684"/>
      <c r="BO3485" s="1684"/>
      <c r="BP3485" s="1684"/>
      <c r="BQ3485" s="1684"/>
      <c r="BR3485" s="1684"/>
      <c r="BS3485" s="1684"/>
      <c r="BT3485" s="1684"/>
      <c r="BU3485" s="1684"/>
      <c r="BV3485" s="1684"/>
      <c r="BW3485" s="1684"/>
      <c r="BX3485" s="1684"/>
      <c r="BY3485" s="1684"/>
      <c r="BZ3485" s="1684"/>
      <c r="CA3485" s="1684"/>
      <c r="CB3485" s="1684"/>
      <c r="CC3485" s="1684"/>
      <c r="CD3485" s="1684"/>
      <c r="CE3485" s="1684"/>
      <c r="CF3485" s="1684"/>
      <c r="CG3485" s="1684"/>
      <c r="CH3485" s="1684"/>
      <c r="CI3485" s="1684"/>
      <c r="CJ3485" s="1684"/>
      <c r="CK3485" s="1684"/>
      <c r="CL3485" s="1684"/>
      <c r="CM3485" s="1684"/>
      <c r="CN3485" s="1684"/>
      <c r="CO3485" s="1684"/>
    </row>
    <row r="3486" spans="1:93" s="1391" customFormat="1" ht="110.25" x14ac:dyDescent="0.25">
      <c r="A3486" s="1684"/>
      <c r="B3486" s="1690"/>
      <c r="C3486" s="4621"/>
      <c r="D3486" s="4622"/>
      <c r="E3486" s="4622"/>
      <c r="F3486" s="1695"/>
      <c r="G3486" s="1693"/>
      <c r="H3486" s="1694" t="s">
        <v>5602</v>
      </c>
      <c r="I3486" s="1694" t="s">
        <v>1432</v>
      </c>
      <c r="J3486" s="1694" t="s">
        <v>1433</v>
      </c>
      <c r="K3486" s="1694" t="s">
        <v>1434</v>
      </c>
      <c r="L3486" s="1694" t="s">
        <v>1435</v>
      </c>
      <c r="M3486" s="1694" t="s">
        <v>1436</v>
      </c>
      <c r="N3486" s="1694" t="s">
        <v>1437</v>
      </c>
      <c r="O3486" s="1694" t="s">
        <v>1438</v>
      </c>
      <c r="P3486" s="1694" t="s">
        <v>1439</v>
      </c>
      <c r="Q3486" s="1694" t="s">
        <v>1440</v>
      </c>
      <c r="T3486" s="1694" t="s">
        <v>1441</v>
      </c>
      <c r="U3486" s="1696" t="s">
        <v>3313</v>
      </c>
      <c r="V3486" s="1696" t="s">
        <v>3655</v>
      </c>
      <c r="W3486" s="1696" t="s">
        <v>3656</v>
      </c>
      <c r="X3486" s="1696" t="s">
        <v>4318</v>
      </c>
      <c r="AA3486" s="1697" t="s">
        <v>4319</v>
      </c>
      <c r="AB3486" s="1697"/>
      <c r="AC3486" s="1697"/>
      <c r="AD3486" s="1697"/>
      <c r="AE3486" s="1697"/>
      <c r="AF3486" s="1697"/>
      <c r="AG3486" s="1697"/>
      <c r="AH3486" s="1697"/>
      <c r="AI3486" s="1697"/>
      <c r="AJ3486" s="1697"/>
      <c r="AK3486" s="1697"/>
      <c r="AL3486" s="1697"/>
      <c r="AM3486" s="1697"/>
      <c r="AN3486" s="1697"/>
      <c r="AO3486" s="1697"/>
      <c r="AP3486" s="1697"/>
      <c r="AQ3486" s="1684"/>
      <c r="AR3486" s="1684"/>
      <c r="AS3486" s="1684"/>
      <c r="AT3486" s="1684"/>
      <c r="AU3486" s="1684"/>
      <c r="AV3486" s="1684"/>
      <c r="AW3486" s="1684"/>
      <c r="AX3486" s="1684"/>
      <c r="AY3486" s="1684"/>
      <c r="AZ3486" s="1684"/>
      <c r="BA3486" s="1684"/>
      <c r="BB3486" s="1684"/>
      <c r="BC3486" s="1684"/>
      <c r="BD3486" s="1684"/>
      <c r="BE3486" s="1684"/>
      <c r="BF3486" s="1684"/>
      <c r="BG3486" s="1684"/>
      <c r="BH3486" s="1684"/>
      <c r="BI3486" s="1684"/>
      <c r="BJ3486" s="1684"/>
      <c r="BK3486" s="1684"/>
      <c r="BL3486" s="1684"/>
      <c r="BM3486" s="1684"/>
      <c r="BN3486" s="1684"/>
      <c r="BO3486" s="1684"/>
      <c r="BP3486" s="1684"/>
      <c r="BQ3486" s="1684"/>
      <c r="BR3486" s="1684"/>
      <c r="BS3486" s="1684"/>
      <c r="BT3486" s="1684"/>
      <c r="BU3486" s="1684"/>
      <c r="BV3486" s="1684"/>
      <c r="BW3486" s="1684"/>
      <c r="BX3486" s="1684"/>
      <c r="BY3486" s="1684"/>
      <c r="BZ3486" s="1684"/>
      <c r="CA3486" s="1684"/>
      <c r="CB3486" s="1684"/>
      <c r="CC3486" s="1684"/>
      <c r="CD3486" s="1684"/>
      <c r="CE3486" s="1684"/>
      <c r="CF3486" s="1684"/>
      <c r="CG3486" s="1684"/>
      <c r="CH3486" s="1684"/>
      <c r="CI3486" s="1684"/>
      <c r="CJ3486" s="1684"/>
      <c r="CK3486" s="1684"/>
      <c r="CL3486" s="1684"/>
      <c r="CM3486" s="1684"/>
      <c r="CN3486" s="1684"/>
      <c r="CO3486" s="1684"/>
    </row>
    <row r="3487" spans="1:93" s="1391" customFormat="1" ht="15.75" x14ac:dyDescent="0.25">
      <c r="A3487" s="1684"/>
      <c r="B3487" s="1690"/>
      <c r="C3487" s="4621"/>
      <c r="D3487" s="4622"/>
      <c r="E3487" s="4622"/>
      <c r="F3487" s="1695"/>
      <c r="G3487" s="1693"/>
      <c r="H3487" s="1694" t="s">
        <v>4320</v>
      </c>
      <c r="I3487" s="1694">
        <v>8.81</v>
      </c>
      <c r="J3487" s="1694">
        <v>8.17</v>
      </c>
      <c r="K3487" s="1694">
        <v>7.55</v>
      </c>
      <c r="L3487" s="1694">
        <v>6.9</v>
      </c>
      <c r="M3487" s="1694">
        <v>6.25</v>
      </c>
      <c r="N3487" s="1694">
        <v>5.62</v>
      </c>
      <c r="O3487" s="1694">
        <v>5.01</v>
      </c>
      <c r="P3487" s="1694">
        <v>4.43</v>
      </c>
      <c r="Q3487" s="1694">
        <v>3.9</v>
      </c>
      <c r="T3487" s="1694" t="s">
        <v>4321</v>
      </c>
      <c r="U3487" s="1694">
        <v>146</v>
      </c>
      <c r="V3487" s="1694">
        <v>118</v>
      </c>
      <c r="W3487" s="1694">
        <v>65</v>
      </c>
      <c r="X3487" s="1694">
        <v>44.9</v>
      </c>
      <c r="AA3487" s="1697" t="s">
        <v>5441</v>
      </c>
      <c r="AB3487" s="1697"/>
      <c r="AC3487" s="1697"/>
      <c r="AD3487" s="1697"/>
      <c r="AE3487" s="1697"/>
      <c r="AF3487" s="1697"/>
      <c r="AG3487" s="1697"/>
      <c r="AH3487" s="1697"/>
      <c r="AI3487" s="1697"/>
      <c r="AJ3487" s="1697"/>
      <c r="AK3487" s="1697"/>
      <c r="AL3487" s="1697"/>
      <c r="AM3487" s="1697"/>
      <c r="AN3487" s="1697"/>
      <c r="AO3487" s="1697"/>
      <c r="AP3487" s="1697"/>
      <c r="AQ3487" s="1684"/>
      <c r="AR3487" s="1684"/>
      <c r="AS3487" s="1684"/>
      <c r="AT3487" s="1684"/>
      <c r="AU3487" s="1684"/>
      <c r="AV3487" s="1684"/>
      <c r="AW3487" s="1684"/>
      <c r="AX3487" s="1684"/>
      <c r="AY3487" s="1684"/>
      <c r="AZ3487" s="1684"/>
      <c r="BA3487" s="1684"/>
      <c r="BB3487" s="1684"/>
      <c r="BC3487" s="1684"/>
      <c r="BD3487" s="1684"/>
      <c r="BE3487" s="1684"/>
      <c r="BF3487" s="1684"/>
      <c r="BG3487" s="1684"/>
      <c r="BH3487" s="1684"/>
      <c r="BI3487" s="1684"/>
      <c r="BJ3487" s="1684"/>
      <c r="BK3487" s="1684"/>
      <c r="BL3487" s="1684"/>
      <c r="BM3487" s="1684"/>
      <c r="BN3487" s="1684"/>
      <c r="BO3487" s="1684"/>
      <c r="BP3487" s="1684"/>
      <c r="BQ3487" s="1684"/>
      <c r="BR3487" s="1684"/>
      <c r="BS3487" s="1684"/>
      <c r="BT3487" s="1684"/>
      <c r="BU3487" s="1684"/>
      <c r="BV3487" s="1684"/>
      <c r="BW3487" s="1684"/>
      <c r="BX3487" s="1684"/>
      <c r="BY3487" s="1684"/>
      <c r="BZ3487" s="1684"/>
      <c r="CA3487" s="1684"/>
      <c r="CB3487" s="1684"/>
      <c r="CC3487" s="1684"/>
      <c r="CD3487" s="1684"/>
      <c r="CE3487" s="1684"/>
      <c r="CF3487" s="1684"/>
      <c r="CG3487" s="1684"/>
      <c r="CH3487" s="1684"/>
      <c r="CI3487" s="1684"/>
      <c r="CJ3487" s="1684"/>
      <c r="CK3487" s="1684"/>
      <c r="CL3487" s="1684"/>
      <c r="CM3487" s="1684"/>
      <c r="CN3487" s="1684"/>
      <c r="CO3487" s="1684"/>
    </row>
    <row r="3488" spans="1:93" s="1391" customFormat="1" ht="15.75" x14ac:dyDescent="0.25">
      <c r="A3488" s="1684"/>
      <c r="B3488" s="1690"/>
      <c r="C3488" s="4621"/>
      <c r="D3488" s="4622"/>
      <c r="E3488" s="4622"/>
      <c r="F3488" s="1695"/>
      <c r="G3488" s="1693"/>
      <c r="H3488" s="1694" t="s">
        <v>5442</v>
      </c>
      <c r="I3488" s="1694">
        <v>12.4</v>
      </c>
      <c r="J3488" s="1694">
        <v>11.55</v>
      </c>
      <c r="K3488" s="1694">
        <v>10.69</v>
      </c>
      <c r="L3488" s="1694">
        <v>9.77</v>
      </c>
      <c r="M3488" s="1694">
        <v>8.89</v>
      </c>
      <c r="N3488" s="1694">
        <v>8</v>
      </c>
      <c r="O3488" s="1694">
        <v>7.13</v>
      </c>
      <c r="P3488" s="1694">
        <v>6.32</v>
      </c>
      <c r="Q3488" s="1694">
        <v>5.56</v>
      </c>
      <c r="T3488" s="1694" t="s">
        <v>5443</v>
      </c>
      <c r="U3488" s="1694">
        <v>137</v>
      </c>
      <c r="V3488" s="1694">
        <v>105</v>
      </c>
      <c r="W3488" s="1694">
        <v>59.5</v>
      </c>
      <c r="X3488" s="1694">
        <v>41.4</v>
      </c>
      <c r="AA3488" s="1697"/>
      <c r="AB3488" s="1697" t="s">
        <v>5444</v>
      </c>
      <c r="AC3488" s="1697"/>
      <c r="AD3488" s="1697"/>
      <c r="AE3488" s="1697"/>
      <c r="AF3488" s="1697"/>
      <c r="AG3488" s="1697"/>
      <c r="AH3488" s="1697"/>
      <c r="AI3488" s="1697"/>
      <c r="AJ3488" s="1697"/>
      <c r="AK3488" s="1697"/>
      <c r="AL3488" s="1697"/>
      <c r="AM3488" s="1697"/>
      <c r="AN3488" s="1697"/>
      <c r="AO3488" s="1697"/>
      <c r="AP3488" s="1697"/>
      <c r="AQ3488" s="1684"/>
      <c r="AR3488" s="1684"/>
      <c r="AS3488" s="1684"/>
      <c r="AT3488" s="1684"/>
      <c r="AU3488" s="1684"/>
      <c r="AV3488" s="1684"/>
      <c r="AW3488" s="1684"/>
      <c r="AX3488" s="1684"/>
      <c r="AY3488" s="1684"/>
      <c r="AZ3488" s="1684"/>
      <c r="BA3488" s="1684"/>
      <c r="BB3488" s="1684"/>
      <c r="BC3488" s="1684"/>
      <c r="BD3488" s="1684"/>
      <c r="BE3488" s="1684"/>
      <c r="BF3488" s="1684"/>
      <c r="BG3488" s="1684"/>
      <c r="BH3488" s="1684"/>
      <c r="BI3488" s="1684"/>
      <c r="BJ3488" s="1684"/>
      <c r="BK3488" s="1684"/>
      <c r="BL3488" s="1684"/>
      <c r="BM3488" s="1684"/>
      <c r="BN3488" s="1684"/>
      <c r="BO3488" s="1684"/>
      <c r="BP3488" s="1684"/>
      <c r="BQ3488" s="1684"/>
      <c r="BR3488" s="1684"/>
      <c r="BS3488" s="1684"/>
      <c r="BT3488" s="1684"/>
      <c r="BU3488" s="1684"/>
      <c r="BV3488" s="1684"/>
      <c r="BW3488" s="1684"/>
      <c r="BX3488" s="1684"/>
      <c r="BY3488" s="1684"/>
      <c r="BZ3488" s="1684"/>
      <c r="CA3488" s="1684"/>
      <c r="CB3488" s="1684"/>
      <c r="CC3488" s="1684"/>
      <c r="CD3488" s="1684"/>
      <c r="CE3488" s="1684"/>
      <c r="CF3488" s="1684"/>
      <c r="CG3488" s="1684"/>
      <c r="CH3488" s="1684"/>
      <c r="CI3488" s="1684"/>
      <c r="CJ3488" s="1684"/>
      <c r="CK3488" s="1684"/>
      <c r="CL3488" s="1684"/>
      <c r="CM3488" s="1684"/>
      <c r="CN3488" s="1684"/>
      <c r="CO3488" s="1684"/>
    </row>
    <row r="3489" spans="1:93" s="1391" customFormat="1" ht="15.75" x14ac:dyDescent="0.25">
      <c r="A3489" s="1684"/>
      <c r="B3489" s="1690"/>
      <c r="C3489" s="4621"/>
      <c r="D3489" s="4622"/>
      <c r="E3489" s="4622"/>
      <c r="F3489" s="1695"/>
      <c r="G3489" s="1693"/>
      <c r="H3489" s="1694" t="s">
        <v>3370</v>
      </c>
      <c r="I3489" s="1694">
        <v>14.16</v>
      </c>
      <c r="J3489" s="1694">
        <v>13.25</v>
      </c>
      <c r="K3489" s="1694">
        <v>12.28</v>
      </c>
      <c r="L3489" s="1694">
        <v>11.3</v>
      </c>
      <c r="M3489" s="1694">
        <v>10.27</v>
      </c>
      <c r="N3489" s="1694">
        <v>9.3000000000000007</v>
      </c>
      <c r="O3489" s="1694">
        <v>8.34</v>
      </c>
      <c r="P3489" s="1694">
        <v>7.39</v>
      </c>
      <c r="Q3489" s="1694">
        <v>6.52</v>
      </c>
      <c r="T3489" s="1694" t="s">
        <v>2214</v>
      </c>
      <c r="U3489" s="1694">
        <v>132</v>
      </c>
      <c r="V3489" s="1694">
        <v>98.8</v>
      </c>
      <c r="W3489" s="1694">
        <v>56.6</v>
      </c>
      <c r="X3489" s="1694">
        <v>39.6</v>
      </c>
      <c r="AA3489" s="1697"/>
      <c r="AB3489" s="1697" t="s">
        <v>1435</v>
      </c>
      <c r="AC3489" s="1697" t="s">
        <v>1435</v>
      </c>
      <c r="AD3489" s="1697" t="s">
        <v>1435</v>
      </c>
      <c r="AE3489" s="1697" t="s">
        <v>1436</v>
      </c>
      <c r="AF3489" s="1697" t="s">
        <v>1436</v>
      </c>
      <c r="AG3489" s="1697" t="s">
        <v>1436</v>
      </c>
      <c r="AH3489" s="1697" t="s">
        <v>1437</v>
      </c>
      <c r="AI3489" s="1697" t="s">
        <v>1437</v>
      </c>
      <c r="AJ3489" s="1697" t="s">
        <v>1437</v>
      </c>
      <c r="AK3489" s="1697" t="s">
        <v>1438</v>
      </c>
      <c r="AL3489" s="1697" t="s">
        <v>1438</v>
      </c>
      <c r="AM3489" s="1697" t="s">
        <v>1438</v>
      </c>
      <c r="AN3489" s="1697" t="s">
        <v>1439</v>
      </c>
      <c r="AO3489" s="1697" t="s">
        <v>1439</v>
      </c>
      <c r="AP3489" s="1697" t="s">
        <v>1439</v>
      </c>
      <c r="AQ3489" s="1684"/>
      <c r="AR3489" s="1684"/>
      <c r="AS3489" s="1684"/>
      <c r="AT3489" s="1684"/>
      <c r="AU3489" s="1684"/>
      <c r="AV3489" s="1684"/>
      <c r="AW3489" s="1684"/>
      <c r="AX3489" s="1684"/>
      <c r="AY3489" s="1684"/>
      <c r="AZ3489" s="1684"/>
      <c r="BA3489" s="1684"/>
      <c r="BB3489" s="1684"/>
      <c r="BC3489" s="1684"/>
      <c r="BD3489" s="1684"/>
      <c r="BE3489" s="1684"/>
      <c r="BF3489" s="1684"/>
      <c r="BG3489" s="1684"/>
      <c r="BH3489" s="1684"/>
      <c r="BI3489" s="1684"/>
      <c r="BJ3489" s="1684"/>
      <c r="BK3489" s="1684"/>
      <c r="BL3489" s="1684"/>
      <c r="BM3489" s="1684"/>
      <c r="BN3489" s="1684"/>
      <c r="BO3489" s="1684"/>
      <c r="BP3489" s="1684"/>
      <c r="BQ3489" s="1684"/>
      <c r="BR3489" s="1684"/>
      <c r="BS3489" s="1684"/>
      <c r="BT3489" s="1684"/>
      <c r="BU3489" s="1684"/>
      <c r="BV3489" s="1684"/>
      <c r="BW3489" s="1684"/>
      <c r="BX3489" s="1684"/>
      <c r="BY3489" s="1684"/>
      <c r="BZ3489" s="1684"/>
      <c r="CA3489" s="1684"/>
      <c r="CB3489" s="1684"/>
      <c r="CC3489" s="1684"/>
      <c r="CD3489" s="1684"/>
      <c r="CE3489" s="1684"/>
      <c r="CF3489" s="1684"/>
      <c r="CG3489" s="1684"/>
      <c r="CH3489" s="1684"/>
      <c r="CI3489" s="1684"/>
      <c r="CJ3489" s="1684"/>
      <c r="CK3489" s="1684"/>
      <c r="CL3489" s="1684"/>
      <c r="CM3489" s="1684"/>
      <c r="CN3489" s="1684"/>
      <c r="CO3489" s="1684"/>
    </row>
    <row r="3490" spans="1:93" s="1391" customFormat="1" ht="15.75" x14ac:dyDescent="0.25">
      <c r="A3490" s="1684"/>
      <c r="B3490" s="1690"/>
      <c r="C3490" s="1698">
        <v>1</v>
      </c>
      <c r="D3490" s="1699">
        <v>2</v>
      </c>
      <c r="E3490" s="1699">
        <v>3</v>
      </c>
      <c r="F3490" s="1700"/>
      <c r="G3490" s="1693"/>
      <c r="H3490" s="1694" t="s">
        <v>3371</v>
      </c>
      <c r="I3490" s="1694">
        <v>16.03</v>
      </c>
      <c r="J3490" s="1694">
        <v>15.03</v>
      </c>
      <c r="K3490" s="1694">
        <v>13.99</v>
      </c>
      <c r="L3490" s="1694">
        <v>12.91</v>
      </c>
      <c r="M3490" s="1694">
        <v>11.83</v>
      </c>
      <c r="N3490" s="1694">
        <v>10.71</v>
      </c>
      <c r="O3490" s="1694">
        <v>9.65</v>
      </c>
      <c r="P3490" s="1694">
        <v>8.61</v>
      </c>
      <c r="Q3490" s="1694">
        <v>7.61</v>
      </c>
      <c r="T3490" s="1694" t="s">
        <v>3372</v>
      </c>
      <c r="U3490" s="1694">
        <v>122</v>
      </c>
      <c r="V3490" s="1694">
        <v>87.2</v>
      </c>
      <c r="W3490" s="1694">
        <v>51</v>
      </c>
      <c r="X3490" s="1694">
        <v>36</v>
      </c>
      <c r="AA3490" s="1697" t="s">
        <v>608</v>
      </c>
      <c r="AB3490" s="1697" t="s">
        <v>3373</v>
      </c>
      <c r="AC3490" s="1697" t="s">
        <v>3374</v>
      </c>
      <c r="AD3490" s="1697" t="s">
        <v>3375</v>
      </c>
      <c r="AE3490" s="1697" t="s">
        <v>3373</v>
      </c>
      <c r="AF3490" s="1697" t="s">
        <v>3374</v>
      </c>
      <c r="AG3490" s="1697" t="s">
        <v>3375</v>
      </c>
      <c r="AH3490" s="1697" t="s">
        <v>3373</v>
      </c>
      <c r="AI3490" s="1697" t="s">
        <v>3374</v>
      </c>
      <c r="AJ3490" s="1697" t="s">
        <v>3375</v>
      </c>
      <c r="AK3490" s="1697" t="s">
        <v>3373</v>
      </c>
      <c r="AL3490" s="1697" t="s">
        <v>3374</v>
      </c>
      <c r="AM3490" s="1697" t="s">
        <v>3375</v>
      </c>
      <c r="AN3490" s="1697" t="s">
        <v>3373</v>
      </c>
      <c r="AO3490" s="1697" t="s">
        <v>3374</v>
      </c>
      <c r="AP3490" s="1697" t="s">
        <v>3375</v>
      </c>
      <c r="AQ3490" s="1684"/>
      <c r="AR3490" s="1684"/>
      <c r="AS3490" s="1684"/>
      <c r="AT3490" s="1684"/>
      <c r="AU3490" s="1684"/>
      <c r="AV3490" s="1684"/>
      <c r="AW3490" s="1684"/>
      <c r="AX3490" s="1684"/>
      <c r="AY3490" s="1684"/>
      <c r="AZ3490" s="1684"/>
      <c r="BA3490" s="1684"/>
      <c r="BB3490" s="1684"/>
      <c r="BC3490" s="1684"/>
      <c r="BD3490" s="1684"/>
      <c r="BE3490" s="1684"/>
      <c r="BF3490" s="1684"/>
      <c r="BG3490" s="1684"/>
      <c r="BH3490" s="1684"/>
      <c r="BI3490" s="1684"/>
      <c r="BJ3490" s="1684"/>
      <c r="BK3490" s="1684"/>
      <c r="BL3490" s="1684"/>
      <c r="BM3490" s="1684"/>
      <c r="BN3490" s="1684"/>
      <c r="BO3490" s="1684"/>
      <c r="BP3490" s="1684"/>
      <c r="BQ3490" s="1684"/>
      <c r="BR3490" s="1684"/>
      <c r="BS3490" s="1684"/>
      <c r="BT3490" s="1684"/>
      <c r="BU3490" s="1684"/>
      <c r="BV3490" s="1684"/>
      <c r="BW3490" s="1684"/>
      <c r="BX3490" s="1684"/>
      <c r="BY3490" s="1684"/>
      <c r="BZ3490" s="1684"/>
      <c r="CA3490" s="1684"/>
      <c r="CB3490" s="1684"/>
      <c r="CC3490" s="1684"/>
      <c r="CD3490" s="1684"/>
      <c r="CE3490" s="1684"/>
      <c r="CF3490" s="1684"/>
      <c r="CG3490" s="1684"/>
      <c r="CH3490" s="1684"/>
      <c r="CI3490" s="1684"/>
      <c r="CJ3490" s="1684"/>
      <c r="CK3490" s="1684"/>
      <c r="CL3490" s="1684"/>
      <c r="CM3490" s="1684"/>
      <c r="CN3490" s="1684"/>
      <c r="CO3490" s="1684"/>
    </row>
    <row r="3491" spans="1:93" s="1391" customFormat="1" ht="16.5" thickBot="1" x14ac:dyDescent="0.3">
      <c r="A3491" s="1684"/>
      <c r="B3491" s="1690"/>
      <c r="C3491" s="1698" t="s">
        <v>1432</v>
      </c>
      <c r="D3491" s="1699" t="s">
        <v>3376</v>
      </c>
      <c r="E3491" s="1699" t="s">
        <v>4338</v>
      </c>
      <c r="F3491" s="1700"/>
      <c r="G3491" s="1693"/>
      <c r="H3491" s="1601"/>
      <c r="I3491" s="1601"/>
      <c r="T3491" s="1694" t="s">
        <v>4339</v>
      </c>
      <c r="U3491" s="1694">
        <v>128</v>
      </c>
      <c r="V3491" s="1694">
        <v>92.9</v>
      </c>
      <c r="W3491" s="1694">
        <v>53.8</v>
      </c>
      <c r="X3491" s="1694">
        <v>37.799999999999997</v>
      </c>
      <c r="AA3491" s="1697"/>
      <c r="AB3491" s="1697" t="s">
        <v>3785</v>
      </c>
      <c r="AC3491" s="1697"/>
      <c r="AD3491" s="1697"/>
      <c r="AE3491" s="1697"/>
      <c r="AF3491" s="1697"/>
      <c r="AG3491" s="1697"/>
      <c r="AH3491" s="1697"/>
      <c r="AI3491" s="1697"/>
      <c r="AJ3491" s="1697"/>
      <c r="AK3491" s="1697"/>
      <c r="AL3491" s="1697"/>
      <c r="AM3491" s="1697"/>
      <c r="AN3491" s="1697"/>
      <c r="AO3491" s="1697"/>
      <c r="AP3491" s="1697"/>
      <c r="AQ3491" s="1684"/>
      <c r="AR3491" s="1684"/>
      <c r="AS3491" s="1684"/>
      <c r="AT3491" s="1684"/>
      <c r="AU3491" s="1684"/>
      <c r="AV3491" s="1684"/>
      <c r="AW3491" s="1684"/>
      <c r="AX3491" s="1684"/>
      <c r="AY3491" s="1684"/>
      <c r="AZ3491" s="1684"/>
      <c r="BA3491" s="1684"/>
      <c r="BB3491" s="1684"/>
      <c r="BC3491" s="1684"/>
      <c r="BD3491" s="1684"/>
      <c r="BE3491" s="1684"/>
      <c r="BF3491" s="1684"/>
      <c r="BG3491" s="1684"/>
      <c r="BH3491" s="1684"/>
      <c r="BI3491" s="1684"/>
      <c r="BJ3491" s="1684"/>
      <c r="BK3491" s="1684"/>
      <c r="BL3491" s="1684"/>
      <c r="BM3491" s="1684"/>
      <c r="BN3491" s="1684"/>
      <c r="BO3491" s="1684"/>
      <c r="BP3491" s="1684"/>
      <c r="BQ3491" s="1684"/>
      <c r="BR3491" s="1684"/>
      <c r="BS3491" s="1684"/>
      <c r="BT3491" s="1684"/>
      <c r="BU3491" s="1684"/>
      <c r="BV3491" s="1684"/>
      <c r="BW3491" s="1684"/>
      <c r="BX3491" s="1684"/>
      <c r="BY3491" s="1684"/>
      <c r="BZ3491" s="1684"/>
      <c r="CA3491" s="1684"/>
      <c r="CB3491" s="1684"/>
      <c r="CC3491" s="1684"/>
      <c r="CD3491" s="1684"/>
      <c r="CE3491" s="1684"/>
      <c r="CF3491" s="1684"/>
      <c r="CG3491" s="1684"/>
      <c r="CH3491" s="1684"/>
      <c r="CI3491" s="1684"/>
      <c r="CJ3491" s="1684"/>
      <c r="CK3491" s="1684"/>
      <c r="CL3491" s="1684"/>
      <c r="CM3491" s="1684"/>
      <c r="CN3491" s="1684"/>
      <c r="CO3491" s="1684"/>
    </row>
    <row r="3492" spans="1:93" s="1391" customFormat="1" ht="15.75" x14ac:dyDescent="0.25">
      <c r="A3492" s="1684"/>
      <c r="B3492" s="1690"/>
      <c r="C3492" s="1698" t="s">
        <v>1433</v>
      </c>
      <c r="D3492" s="1699" t="s">
        <v>4340</v>
      </c>
      <c r="E3492" s="1699" t="s">
        <v>4341</v>
      </c>
      <c r="F3492" s="1700"/>
      <c r="G3492" s="1701"/>
      <c r="H3492" s="1702" t="s">
        <v>4342</v>
      </c>
      <c r="I3492" s="1692"/>
      <c r="J3492" s="1568"/>
      <c r="K3492" s="1658" t="s">
        <v>4343</v>
      </c>
      <c r="T3492" s="1694" t="s">
        <v>5428</v>
      </c>
      <c r="U3492" s="1694">
        <v>118</v>
      </c>
      <c r="V3492" s="1694">
        <v>81.900000000000006</v>
      </c>
      <c r="W3492" s="1694">
        <v>48.4</v>
      </c>
      <c r="X3492" s="1694">
        <v>34.299999999999997</v>
      </c>
      <c r="AA3492" s="1697" t="s">
        <v>4344</v>
      </c>
      <c r="AB3492" s="1697">
        <v>192</v>
      </c>
      <c r="AC3492" s="1697">
        <v>181</v>
      </c>
      <c r="AD3492" s="1697">
        <v>165</v>
      </c>
      <c r="AE3492" s="1697">
        <v>157</v>
      </c>
      <c r="AF3492" s="1697">
        <v>146</v>
      </c>
      <c r="AG3492" s="1697">
        <v>134</v>
      </c>
      <c r="AH3492" s="1697">
        <v>125</v>
      </c>
      <c r="AI3492" s="1697">
        <v>116</v>
      </c>
      <c r="AJ3492" s="1697">
        <v>109</v>
      </c>
      <c r="AK3492" s="1697">
        <v>102</v>
      </c>
      <c r="AL3492" s="1697">
        <v>92</v>
      </c>
      <c r="AM3492" s="1697">
        <v>89</v>
      </c>
      <c r="AN3492" s="1697">
        <v>79</v>
      </c>
      <c r="AO3492" s="1697">
        <v>72</v>
      </c>
      <c r="AP3492" s="1697">
        <v>70</v>
      </c>
      <c r="AQ3492" s="1684"/>
      <c r="AR3492" s="1684"/>
      <c r="AS3492" s="1684"/>
      <c r="AT3492" s="1684"/>
      <c r="AU3492" s="1684"/>
      <c r="AV3492" s="1684"/>
      <c r="AW3492" s="1684"/>
      <c r="AX3492" s="1684"/>
      <c r="AY3492" s="1684"/>
      <c r="AZ3492" s="1684"/>
      <c r="BA3492" s="1684"/>
      <c r="BB3492" s="1684"/>
      <c r="BC3492" s="1684"/>
      <c r="BD3492" s="1684"/>
      <c r="BE3492" s="1684"/>
      <c r="BF3492" s="1684"/>
      <c r="BG3492" s="1684"/>
      <c r="BH3492" s="1684"/>
      <c r="BI3492" s="1684"/>
      <c r="BJ3492" s="1684"/>
      <c r="BK3492" s="1684"/>
      <c r="BL3492" s="1684"/>
      <c r="BM3492" s="1684"/>
      <c r="BN3492" s="1684"/>
      <c r="BO3492" s="1684"/>
      <c r="BP3492" s="1684"/>
      <c r="BQ3492" s="1684"/>
      <c r="BR3492" s="1684"/>
      <c r="BS3492" s="1684"/>
      <c r="BT3492" s="1684"/>
      <c r="BU3492" s="1684"/>
      <c r="BV3492" s="1684"/>
      <c r="BW3492" s="1684"/>
      <c r="BX3492" s="1684"/>
      <c r="BY3492" s="1684"/>
      <c r="BZ3492" s="1684"/>
      <c r="CA3492" s="1684"/>
      <c r="CB3492" s="1684"/>
      <c r="CC3492" s="1684"/>
      <c r="CD3492" s="1684"/>
      <c r="CE3492" s="1684"/>
      <c r="CF3492" s="1684"/>
      <c r="CG3492" s="1684"/>
      <c r="CH3492" s="1684"/>
      <c r="CI3492" s="1684"/>
      <c r="CJ3492" s="1684"/>
      <c r="CK3492" s="1684"/>
      <c r="CL3492" s="1684"/>
      <c r="CM3492" s="1684"/>
      <c r="CN3492" s="1684"/>
      <c r="CO3492" s="1684"/>
    </row>
    <row r="3493" spans="1:93" s="1391" customFormat="1" ht="15.75" x14ac:dyDescent="0.25">
      <c r="A3493" s="1684"/>
      <c r="B3493" s="1690"/>
      <c r="C3493" s="1698" t="s">
        <v>1434</v>
      </c>
      <c r="D3493" s="1699" t="s">
        <v>4345</v>
      </c>
      <c r="E3493" s="1699" t="s">
        <v>2061</v>
      </c>
      <c r="F3493" s="1700"/>
      <c r="G3493" s="1701"/>
      <c r="H3493" s="1703" t="s">
        <v>2062</v>
      </c>
      <c r="I3493" s="1695"/>
      <c r="J3493" s="1568"/>
      <c r="K3493" s="1391" t="s">
        <v>5222</v>
      </c>
      <c r="T3493" s="1694" t="s">
        <v>5223</v>
      </c>
      <c r="U3493" s="1694">
        <v>113</v>
      </c>
      <c r="V3493" s="1694">
        <v>76.8</v>
      </c>
      <c r="W3493" s="1694">
        <v>45.8</v>
      </c>
      <c r="X3493" s="1694">
        <v>32.6</v>
      </c>
      <c r="AA3493" s="1697" t="s">
        <v>5224</v>
      </c>
      <c r="AB3493" s="1697">
        <v>210</v>
      </c>
      <c r="AC3493" s="1697">
        <v>192</v>
      </c>
      <c r="AD3493" s="1697">
        <v>172</v>
      </c>
      <c r="AE3493" s="1697">
        <v>166</v>
      </c>
      <c r="AF3493" s="1697">
        <v>155</v>
      </c>
      <c r="AG3493" s="1697">
        <v>140</v>
      </c>
      <c r="AH3493" s="1697">
        <v>131</v>
      </c>
      <c r="AI3493" s="1697">
        <v>122</v>
      </c>
      <c r="AJ3493" s="1697">
        <v>114</v>
      </c>
      <c r="AK3493" s="1697">
        <v>109</v>
      </c>
      <c r="AL3493" s="1697">
        <v>97</v>
      </c>
      <c r="AM3493" s="1697">
        <v>92</v>
      </c>
      <c r="AN3493" s="1697">
        <v>83</v>
      </c>
      <c r="AO3493" s="1697">
        <v>76</v>
      </c>
      <c r="AP3493" s="1697">
        <v>74</v>
      </c>
      <c r="AQ3493" s="1684"/>
      <c r="AR3493" s="1684"/>
      <c r="AS3493" s="1684"/>
      <c r="AT3493" s="1684"/>
      <c r="AU3493" s="1684"/>
      <c r="AV3493" s="1684"/>
      <c r="AW3493" s="1684"/>
      <c r="AX3493" s="1684"/>
      <c r="AY3493" s="1684"/>
      <c r="AZ3493" s="1684"/>
      <c r="BA3493" s="1684"/>
      <c r="BB3493" s="1684"/>
      <c r="BC3493" s="1684"/>
      <c r="BD3493" s="1684"/>
      <c r="BE3493" s="1684"/>
      <c r="BF3493" s="1684"/>
      <c r="BG3493" s="1684"/>
      <c r="BH3493" s="1684"/>
      <c r="BI3493" s="1684"/>
      <c r="BJ3493" s="1684"/>
      <c r="BK3493" s="1684"/>
      <c r="BL3493" s="1684"/>
      <c r="BM3493" s="1684"/>
      <c r="BN3493" s="1684"/>
      <c r="BO3493" s="1684"/>
      <c r="BP3493" s="1684"/>
      <c r="BQ3493" s="1684"/>
      <c r="BR3493" s="1684"/>
      <c r="BS3493" s="1684"/>
      <c r="BT3493" s="1684"/>
      <c r="BU3493" s="1684"/>
      <c r="BV3493" s="1684"/>
      <c r="BW3493" s="1684"/>
      <c r="BX3493" s="1684"/>
      <c r="BY3493" s="1684"/>
      <c r="BZ3493" s="1684"/>
      <c r="CA3493" s="1684"/>
      <c r="CB3493" s="1684"/>
      <c r="CC3493" s="1684"/>
      <c r="CD3493" s="1684"/>
      <c r="CE3493" s="1684"/>
      <c r="CF3493" s="1684"/>
      <c r="CG3493" s="1684"/>
      <c r="CH3493" s="1684"/>
      <c r="CI3493" s="1684"/>
      <c r="CJ3493" s="1684"/>
      <c r="CK3493" s="1684"/>
      <c r="CL3493" s="1684"/>
      <c r="CM3493" s="1684"/>
      <c r="CN3493" s="1684"/>
      <c r="CO3493" s="1684"/>
    </row>
    <row r="3494" spans="1:93" s="1391" customFormat="1" ht="15.75" x14ac:dyDescent="0.25">
      <c r="A3494" s="1684"/>
      <c r="B3494" s="1690"/>
      <c r="C3494" s="1698" t="s">
        <v>1435</v>
      </c>
      <c r="D3494" s="1699" t="s">
        <v>5225</v>
      </c>
      <c r="E3494" s="1699" t="s">
        <v>5226</v>
      </c>
      <c r="F3494" s="1700"/>
      <c r="G3494" s="1701"/>
      <c r="H3494" s="1703" t="s">
        <v>5227</v>
      </c>
      <c r="I3494" s="1695"/>
      <c r="J3494" s="1568"/>
      <c r="K3494" s="1391" t="s">
        <v>5227</v>
      </c>
      <c r="T3494" s="1694" t="s">
        <v>5228</v>
      </c>
      <c r="U3494" s="1694">
        <v>109</v>
      </c>
      <c r="V3494" s="1694">
        <v>72.099999999999994</v>
      </c>
      <c r="W3494" s="1694">
        <v>43.4</v>
      </c>
      <c r="X3494" s="1694">
        <v>31</v>
      </c>
      <c r="AA3494" s="1697" t="s">
        <v>5229</v>
      </c>
      <c r="AB3494" s="1697">
        <v>250</v>
      </c>
      <c r="AC3494" s="1697">
        <v>214</v>
      </c>
      <c r="AD3494" s="1697">
        <v>192</v>
      </c>
      <c r="AE3494" s="1697">
        <v>184</v>
      </c>
      <c r="AF3494" s="1697">
        <v>166</v>
      </c>
      <c r="AG3494" s="1697">
        <v>152</v>
      </c>
      <c r="AH3494" s="1697">
        <v>140</v>
      </c>
      <c r="AI3494" s="1697">
        <v>129</v>
      </c>
      <c r="AJ3494" s="1697">
        <v>120</v>
      </c>
      <c r="AK3494" s="1697">
        <v>114</v>
      </c>
      <c r="AL3494" s="1697">
        <v>102</v>
      </c>
      <c r="AM3494" s="1697">
        <v>97</v>
      </c>
      <c r="AN3494" s="1697">
        <v>87</v>
      </c>
      <c r="AO3494" s="1697">
        <v>80</v>
      </c>
      <c r="AP3494" s="1697">
        <v>78</v>
      </c>
      <c r="AQ3494" s="1684"/>
      <c r="AR3494" s="1684"/>
      <c r="AS3494" s="1684"/>
      <c r="AT3494" s="1684"/>
      <c r="AU3494" s="1684"/>
      <c r="AV3494" s="1684"/>
      <c r="AW3494" s="1684"/>
      <c r="AX3494" s="1684"/>
      <c r="AY3494" s="1684"/>
      <c r="AZ3494" s="1684"/>
      <c r="BA3494" s="1684"/>
      <c r="BB3494" s="1684"/>
      <c r="BC3494" s="1684"/>
      <c r="BD3494" s="1684"/>
      <c r="BE3494" s="1684"/>
      <c r="BF3494" s="1684"/>
      <c r="BG3494" s="1684"/>
      <c r="BH3494" s="1684"/>
      <c r="BI3494" s="1684"/>
      <c r="BJ3494" s="1684"/>
      <c r="BK3494" s="1684"/>
      <c r="BL3494" s="1684"/>
      <c r="BM3494" s="1684"/>
      <c r="BN3494" s="1684"/>
      <c r="BO3494" s="1684"/>
      <c r="BP3494" s="1684"/>
      <c r="BQ3494" s="1684"/>
      <c r="BR3494" s="1684"/>
      <c r="BS3494" s="1684"/>
      <c r="BT3494" s="1684"/>
      <c r="BU3494" s="1684"/>
      <c r="BV3494" s="1684"/>
      <c r="BW3494" s="1684"/>
      <c r="BX3494" s="1684"/>
      <c r="BY3494" s="1684"/>
      <c r="BZ3494" s="1684"/>
      <c r="CA3494" s="1684"/>
      <c r="CB3494" s="1684"/>
      <c r="CC3494" s="1684"/>
      <c r="CD3494" s="1684"/>
      <c r="CE3494" s="1684"/>
      <c r="CF3494" s="1684"/>
      <c r="CG3494" s="1684"/>
      <c r="CH3494" s="1684"/>
      <c r="CI3494" s="1684"/>
      <c r="CJ3494" s="1684"/>
      <c r="CK3494" s="1684"/>
      <c r="CL3494" s="1684"/>
      <c r="CM3494" s="1684"/>
      <c r="CN3494" s="1684"/>
      <c r="CO3494" s="1684"/>
    </row>
    <row r="3495" spans="1:93" s="1391" customFormat="1" ht="15.75" x14ac:dyDescent="0.25">
      <c r="A3495" s="1684"/>
      <c r="B3495" s="1690"/>
      <c r="C3495" s="1698" t="s">
        <v>1436</v>
      </c>
      <c r="D3495" s="1699" t="s">
        <v>5230</v>
      </c>
      <c r="E3495" s="1699" t="s">
        <v>5231</v>
      </c>
      <c r="F3495" s="1700"/>
      <c r="G3495" s="1701"/>
      <c r="H3495" s="1703" t="s">
        <v>5232</v>
      </c>
      <c r="I3495" s="1695" t="s">
        <v>2330</v>
      </c>
      <c r="J3495" s="1568"/>
      <c r="K3495" s="1391" t="s">
        <v>5232</v>
      </c>
      <c r="L3495" s="1391" t="s">
        <v>2330</v>
      </c>
      <c r="T3495" s="1694" t="s">
        <v>5233</v>
      </c>
      <c r="U3495" s="1694">
        <v>104</v>
      </c>
      <c r="V3495" s="1694">
        <v>67.599999999999994</v>
      </c>
      <c r="W3495" s="1694">
        <v>41</v>
      </c>
      <c r="X3495" s="1694">
        <v>29.5</v>
      </c>
      <c r="AA3495" s="1697" t="s">
        <v>5234</v>
      </c>
      <c r="AB3495" s="1697">
        <v>292</v>
      </c>
      <c r="AC3495" s="1697">
        <v>234</v>
      </c>
      <c r="AD3495" s="1697">
        <v>216</v>
      </c>
      <c r="AE3495" s="1697">
        <v>209</v>
      </c>
      <c r="AF3495" s="1697">
        <v>177</v>
      </c>
      <c r="AG3495" s="1697">
        <v>166</v>
      </c>
      <c r="AH3495" s="1697">
        <v>154</v>
      </c>
      <c r="AI3495" s="1697">
        <v>135</v>
      </c>
      <c r="AJ3495" s="1697">
        <v>127</v>
      </c>
      <c r="AK3495" s="1697">
        <v>118</v>
      </c>
      <c r="AL3495" s="1697">
        <v>107</v>
      </c>
      <c r="AM3495" s="1697">
        <v>103</v>
      </c>
      <c r="AN3495" s="1697">
        <v>91</v>
      </c>
      <c r="AO3495" s="1697">
        <v>84</v>
      </c>
      <c r="AP3495" s="1697">
        <v>82</v>
      </c>
      <c r="AQ3495" s="1684"/>
      <c r="AR3495" s="1684"/>
      <c r="AS3495" s="1684"/>
      <c r="AT3495" s="1684"/>
      <c r="AU3495" s="1684"/>
      <c r="AV3495" s="1684"/>
      <c r="AW3495" s="1684"/>
      <c r="AX3495" s="1684"/>
      <c r="AY3495" s="1684"/>
      <c r="AZ3495" s="1684"/>
      <c r="BA3495" s="1684"/>
      <c r="BB3495" s="1684"/>
      <c r="BC3495" s="1684"/>
      <c r="BD3495" s="1684"/>
      <c r="BE3495" s="1684"/>
      <c r="BF3495" s="1684"/>
      <c r="BG3495" s="1684"/>
      <c r="BH3495" s="1684"/>
      <c r="BI3495" s="1684"/>
      <c r="BJ3495" s="1684"/>
      <c r="BK3495" s="1684"/>
      <c r="BL3495" s="1684"/>
      <c r="BM3495" s="1684"/>
      <c r="BN3495" s="1684"/>
      <c r="BO3495" s="1684"/>
      <c r="BP3495" s="1684"/>
      <c r="BQ3495" s="1684"/>
      <c r="BR3495" s="1684"/>
      <c r="BS3495" s="1684"/>
      <c r="BT3495" s="1684"/>
      <c r="BU3495" s="1684"/>
      <c r="BV3495" s="1684"/>
      <c r="BW3495" s="1684"/>
      <c r="BX3495" s="1684"/>
      <c r="BY3495" s="1684"/>
      <c r="BZ3495" s="1684"/>
      <c r="CA3495" s="1684"/>
      <c r="CB3495" s="1684"/>
      <c r="CC3495" s="1684"/>
      <c r="CD3495" s="1684"/>
      <c r="CE3495" s="1684"/>
      <c r="CF3495" s="1684"/>
      <c r="CG3495" s="1684"/>
      <c r="CH3495" s="1684"/>
      <c r="CI3495" s="1684"/>
      <c r="CJ3495" s="1684"/>
      <c r="CK3495" s="1684"/>
      <c r="CL3495" s="1684"/>
      <c r="CM3495" s="1684"/>
      <c r="CN3495" s="1684"/>
      <c r="CO3495" s="1684"/>
    </row>
    <row r="3496" spans="1:93" s="1391" customFormat="1" ht="15.75" x14ac:dyDescent="0.25">
      <c r="A3496" s="1684"/>
      <c r="B3496" s="1690"/>
      <c r="C3496" s="1698" t="s">
        <v>1437</v>
      </c>
      <c r="D3496" s="1699" t="s">
        <v>5235</v>
      </c>
      <c r="E3496" s="1699" t="s">
        <v>5236</v>
      </c>
      <c r="F3496" s="1700"/>
      <c r="G3496" s="1701"/>
      <c r="H3496" s="1703">
        <v>500</v>
      </c>
      <c r="I3496" s="1695">
        <v>256</v>
      </c>
      <c r="J3496" s="1568"/>
      <c r="K3496" s="1391">
        <v>500</v>
      </c>
      <c r="L3496" s="1405">
        <v>376</v>
      </c>
      <c r="T3496" s="1694" t="s">
        <v>5237</v>
      </c>
      <c r="U3496" s="1694">
        <v>99.5</v>
      </c>
      <c r="V3496" s="1694">
        <v>62.8</v>
      </c>
      <c r="W3496" s="1694">
        <v>38.5</v>
      </c>
      <c r="X3496" s="1694">
        <v>27.8</v>
      </c>
      <c r="AA3496" s="1697" t="s">
        <v>5238</v>
      </c>
      <c r="AB3496" s="1697">
        <v>306</v>
      </c>
      <c r="AC3496" s="1697">
        <v>246</v>
      </c>
      <c r="AD3496" s="1697">
        <v>230</v>
      </c>
      <c r="AE3496" s="1697">
        <v>217</v>
      </c>
      <c r="AF3496" s="1697">
        <v>184</v>
      </c>
      <c r="AG3496" s="1697">
        <v>175</v>
      </c>
      <c r="AH3496" s="1697">
        <v>158</v>
      </c>
      <c r="AI3496" s="1697">
        <v>140</v>
      </c>
      <c r="AJ3496" s="1697">
        <v>134</v>
      </c>
      <c r="AK3496" s="1697">
        <v>121</v>
      </c>
      <c r="AL3496" s="1697">
        <v>110</v>
      </c>
      <c r="AM3496" s="1697">
        <v>106</v>
      </c>
      <c r="AN3496" s="1697">
        <v>93</v>
      </c>
      <c r="AO3496" s="1697">
        <v>86</v>
      </c>
      <c r="AP3496" s="1697">
        <v>84</v>
      </c>
      <c r="AQ3496" s="1684"/>
      <c r="AR3496" s="1684"/>
      <c r="AS3496" s="1684"/>
      <c r="AT3496" s="1684"/>
      <c r="AU3496" s="1684"/>
      <c r="AV3496" s="1684"/>
      <c r="AW3496" s="1684"/>
      <c r="AX3496" s="1684"/>
      <c r="AY3496" s="1684"/>
      <c r="AZ3496" s="1684"/>
      <c r="BA3496" s="1684"/>
      <c r="BB3496" s="1684"/>
      <c r="BC3496" s="1684"/>
      <c r="BD3496" s="1684"/>
      <c r="BE3496" s="1684"/>
      <c r="BF3496" s="1684"/>
      <c r="BG3496" s="1684"/>
      <c r="BH3496" s="1684"/>
      <c r="BI3496" s="1684"/>
      <c r="BJ3496" s="1684"/>
      <c r="BK3496" s="1684"/>
      <c r="BL3496" s="1684"/>
      <c r="BM3496" s="1684"/>
      <c r="BN3496" s="1684"/>
      <c r="BO3496" s="1684"/>
      <c r="BP3496" s="1684"/>
      <c r="BQ3496" s="1684"/>
      <c r="BR3496" s="1684"/>
      <c r="BS3496" s="1684"/>
      <c r="BT3496" s="1684"/>
      <c r="BU3496" s="1684"/>
      <c r="BV3496" s="1684"/>
      <c r="BW3496" s="1684"/>
      <c r="BX3496" s="1684"/>
      <c r="BY3496" s="1684"/>
      <c r="BZ3496" s="1684"/>
      <c r="CA3496" s="1684"/>
      <c r="CB3496" s="1684"/>
      <c r="CC3496" s="1684"/>
      <c r="CD3496" s="1684"/>
      <c r="CE3496" s="1684"/>
      <c r="CF3496" s="1684"/>
      <c r="CG3496" s="1684"/>
      <c r="CH3496" s="1684"/>
      <c r="CI3496" s="1684"/>
      <c r="CJ3496" s="1684"/>
      <c r="CK3496" s="1684"/>
      <c r="CL3496" s="1684"/>
      <c r="CM3496" s="1684"/>
      <c r="CN3496" s="1684"/>
      <c r="CO3496" s="1684"/>
    </row>
    <row r="3497" spans="1:93" s="1391" customFormat="1" ht="15.75" x14ac:dyDescent="0.2">
      <c r="A3497" s="1684"/>
      <c r="B3497" s="1690"/>
      <c r="C3497" s="1698"/>
      <c r="D3497" s="1699"/>
      <c r="E3497" s="1699"/>
      <c r="F3497" s="1700"/>
      <c r="G3497" s="1701"/>
      <c r="H3497" s="1703">
        <v>700</v>
      </c>
      <c r="I3497" s="1695">
        <v>220</v>
      </c>
      <c r="J3497" s="1568"/>
      <c r="K3497" s="1391">
        <v>700</v>
      </c>
      <c r="L3497" s="1405">
        <v>323</v>
      </c>
      <c r="AQ3497" s="1684"/>
      <c r="AR3497" s="1684"/>
      <c r="AS3497" s="1684"/>
      <c r="AT3497" s="1684"/>
      <c r="AU3497" s="1684"/>
      <c r="AV3497" s="1684"/>
      <c r="AW3497" s="1684"/>
      <c r="AX3497" s="1684"/>
      <c r="AY3497" s="1684"/>
      <c r="AZ3497" s="1684"/>
      <c r="BA3497" s="1684"/>
      <c r="BB3497" s="1684"/>
      <c r="BC3497" s="1684"/>
      <c r="BD3497" s="1684"/>
      <c r="BE3497" s="1684"/>
      <c r="BF3497" s="1684"/>
      <c r="BG3497" s="1684"/>
      <c r="BH3497" s="1684"/>
      <c r="BI3497" s="1684"/>
      <c r="BJ3497" s="1684"/>
      <c r="BK3497" s="1684"/>
      <c r="BL3497" s="1684"/>
      <c r="BM3497" s="1684"/>
      <c r="BN3497" s="1684"/>
      <c r="BO3497" s="1684"/>
      <c r="BP3497" s="1684"/>
      <c r="BQ3497" s="1684"/>
      <c r="BR3497" s="1684"/>
      <c r="BS3497" s="1684"/>
      <c r="BT3497" s="1684"/>
      <c r="BU3497" s="1684"/>
      <c r="BV3497" s="1684"/>
      <c r="BW3497" s="1684"/>
      <c r="BX3497" s="1684"/>
      <c r="BY3497" s="1684"/>
      <c r="BZ3497" s="1684"/>
      <c r="CA3497" s="1684"/>
      <c r="CB3497" s="1684"/>
      <c r="CC3497" s="1684"/>
      <c r="CD3497" s="1684"/>
      <c r="CE3497" s="1684"/>
      <c r="CF3497" s="1684"/>
      <c r="CG3497" s="1684"/>
      <c r="CH3497" s="1684"/>
      <c r="CI3497" s="1684"/>
      <c r="CJ3497" s="1684"/>
      <c r="CK3497" s="1684"/>
      <c r="CL3497" s="1684"/>
      <c r="CM3497" s="1684"/>
      <c r="CN3497" s="1684"/>
      <c r="CO3497" s="1684"/>
    </row>
    <row r="3498" spans="1:93" s="1391" customFormat="1" ht="15.75" x14ac:dyDescent="0.2">
      <c r="A3498" s="1684"/>
      <c r="B3498" s="1690"/>
      <c r="C3498" s="1698" t="s">
        <v>1438</v>
      </c>
      <c r="D3498" s="1699" t="s">
        <v>5239</v>
      </c>
      <c r="E3498" s="1699" t="s">
        <v>5240</v>
      </c>
      <c r="F3498" s="1700"/>
      <c r="G3498" s="1701"/>
      <c r="H3498" s="1704">
        <v>900</v>
      </c>
      <c r="I3498" s="1705">
        <v>194</v>
      </c>
      <c r="J3498" s="1568"/>
      <c r="K3498" s="1405">
        <v>900</v>
      </c>
      <c r="L3498" s="1405">
        <v>281</v>
      </c>
      <c r="AQ3498" s="1684"/>
      <c r="AR3498" s="1684"/>
      <c r="AS3498" s="1684"/>
      <c r="AT3498" s="1684"/>
      <c r="AU3498" s="1684"/>
      <c r="AV3498" s="1684"/>
      <c r="AW3498" s="1684"/>
      <c r="AX3498" s="1684"/>
      <c r="AY3498" s="1684"/>
      <c r="AZ3498" s="1684"/>
      <c r="BA3498" s="1684"/>
      <c r="BB3498" s="1684"/>
      <c r="BC3498" s="1684"/>
      <c r="BD3498" s="1684"/>
      <c r="BE3498" s="1684"/>
      <c r="BF3498" s="1684"/>
      <c r="BG3498" s="1684"/>
      <c r="BH3498" s="1684"/>
      <c r="BI3498" s="1684"/>
      <c r="BJ3498" s="1684"/>
      <c r="BK3498" s="1684"/>
      <c r="BL3498" s="1684"/>
      <c r="BM3498" s="1684"/>
      <c r="BN3498" s="1684"/>
      <c r="BO3498" s="1684"/>
      <c r="BP3498" s="1684"/>
      <c r="BQ3498" s="1684"/>
      <c r="BR3498" s="1684"/>
      <c r="BS3498" s="1684"/>
      <c r="BT3498" s="1684"/>
      <c r="BU3498" s="1684"/>
      <c r="BV3498" s="1684"/>
      <c r="BW3498" s="1684"/>
      <c r="BX3498" s="1684"/>
      <c r="BY3498" s="1684"/>
      <c r="BZ3498" s="1684"/>
      <c r="CA3498" s="1684"/>
      <c r="CB3498" s="1684"/>
      <c r="CC3498" s="1684"/>
      <c r="CD3498" s="1684"/>
      <c r="CE3498" s="1684"/>
      <c r="CF3498" s="1684"/>
      <c r="CG3498" s="1684"/>
      <c r="CH3498" s="1684"/>
      <c r="CI3498" s="1684"/>
      <c r="CJ3498" s="1684"/>
      <c r="CK3498" s="1684"/>
      <c r="CL3498" s="1684"/>
      <c r="CM3498" s="1684"/>
      <c r="CN3498" s="1684"/>
      <c r="CO3498" s="1684"/>
    </row>
    <row r="3499" spans="1:93" s="1391" customFormat="1" ht="15.75" x14ac:dyDescent="0.2">
      <c r="A3499" s="1684"/>
      <c r="B3499" s="1690"/>
      <c r="C3499" s="1698" t="s">
        <v>1439</v>
      </c>
      <c r="D3499" s="1699" t="s">
        <v>5241</v>
      </c>
      <c r="E3499" s="1699" t="s">
        <v>5242</v>
      </c>
      <c r="F3499" s="1700"/>
      <c r="G3499" s="1701"/>
      <c r="H3499" s="1703">
        <v>1100</v>
      </c>
      <c r="I3499" s="1695">
        <v>173</v>
      </c>
      <c r="J3499" s="1568"/>
      <c r="K3499" s="1391">
        <v>1100</v>
      </c>
      <c r="L3499" s="1405">
        <v>251</v>
      </c>
      <c r="AQ3499" s="1684"/>
      <c r="AR3499" s="1684"/>
      <c r="AS3499" s="1684"/>
      <c r="AT3499" s="1684"/>
      <c r="AU3499" s="1684"/>
      <c r="AV3499" s="1684"/>
      <c r="AW3499" s="1684"/>
      <c r="AX3499" s="1684"/>
      <c r="AY3499" s="1684"/>
      <c r="AZ3499" s="1684"/>
      <c r="BA3499" s="1684"/>
      <c r="BB3499" s="1684"/>
      <c r="BC3499" s="1684"/>
      <c r="BD3499" s="1684"/>
      <c r="BE3499" s="1684"/>
      <c r="BF3499" s="1684"/>
      <c r="BG3499" s="1684"/>
      <c r="BH3499" s="1684"/>
      <c r="BI3499" s="1684"/>
      <c r="BJ3499" s="1684"/>
      <c r="BK3499" s="1684"/>
      <c r="BL3499" s="1684"/>
      <c r="BM3499" s="1684"/>
      <c r="BN3499" s="1684"/>
      <c r="BO3499" s="1684"/>
      <c r="BP3499" s="1684"/>
      <c r="BQ3499" s="1684"/>
      <c r="BR3499" s="1684"/>
      <c r="BS3499" s="1684"/>
      <c r="BT3499" s="1684"/>
      <c r="BU3499" s="1684"/>
      <c r="BV3499" s="1684"/>
      <c r="BW3499" s="1684"/>
      <c r="BX3499" s="1684"/>
      <c r="BY3499" s="1684"/>
      <c r="BZ3499" s="1684"/>
      <c r="CA3499" s="1684"/>
      <c r="CB3499" s="1684"/>
      <c r="CC3499" s="1684"/>
      <c r="CD3499" s="1684"/>
      <c r="CE3499" s="1684"/>
      <c r="CF3499" s="1684"/>
      <c r="CG3499" s="1684"/>
      <c r="CH3499" s="1684"/>
      <c r="CI3499" s="1684"/>
      <c r="CJ3499" s="1684"/>
      <c r="CK3499" s="1684"/>
      <c r="CL3499" s="1684"/>
      <c r="CM3499" s="1684"/>
      <c r="CN3499" s="1684"/>
      <c r="CO3499" s="1684"/>
    </row>
    <row r="3500" spans="1:93" s="1391" customFormat="1" ht="15.75" x14ac:dyDescent="0.2">
      <c r="A3500" s="1684"/>
      <c r="B3500" s="1690"/>
      <c r="C3500" s="1698" t="s">
        <v>1440</v>
      </c>
      <c r="D3500" s="1699" t="s">
        <v>5243</v>
      </c>
      <c r="E3500" s="1699" t="s">
        <v>5244</v>
      </c>
      <c r="F3500" s="1700"/>
      <c r="G3500" s="1701"/>
      <c r="H3500" s="1703">
        <v>1350</v>
      </c>
      <c r="I3500" s="1695">
        <v>152</v>
      </c>
      <c r="J3500" s="1568"/>
      <c r="K3500" s="1391">
        <v>1350</v>
      </c>
      <c r="L3500" s="1405">
        <v>219</v>
      </c>
      <c r="AQ3500" s="1684"/>
      <c r="AR3500" s="1684"/>
      <c r="AS3500" s="1684"/>
      <c r="AT3500" s="1684"/>
      <c r="AU3500" s="1684"/>
      <c r="AV3500" s="1684"/>
      <c r="AW3500" s="1684"/>
      <c r="AX3500" s="1684"/>
      <c r="AY3500" s="1684"/>
      <c r="AZ3500" s="1684"/>
      <c r="BA3500" s="1684"/>
      <c r="BB3500" s="1684"/>
      <c r="BC3500" s="1684"/>
      <c r="BD3500" s="1684"/>
      <c r="BE3500" s="1684"/>
      <c r="BF3500" s="1684"/>
      <c r="BG3500" s="1684"/>
      <c r="BH3500" s="1684"/>
      <c r="BI3500" s="1684"/>
      <c r="BJ3500" s="1684"/>
      <c r="BK3500" s="1684"/>
      <c r="BL3500" s="1684"/>
      <c r="BM3500" s="1684"/>
      <c r="BN3500" s="1684"/>
      <c r="BO3500" s="1684"/>
      <c r="BP3500" s="1684"/>
      <c r="BQ3500" s="1684"/>
      <c r="BR3500" s="1684"/>
      <c r="BS3500" s="1684"/>
      <c r="BT3500" s="1684"/>
      <c r="BU3500" s="1684"/>
      <c r="BV3500" s="1684"/>
      <c r="BW3500" s="1684"/>
      <c r="BX3500" s="1684"/>
      <c r="BY3500" s="1684"/>
      <c r="BZ3500" s="1684"/>
      <c r="CA3500" s="1684"/>
      <c r="CB3500" s="1684"/>
      <c r="CC3500" s="1684"/>
      <c r="CD3500" s="1684"/>
      <c r="CE3500" s="1684"/>
      <c r="CF3500" s="1684"/>
      <c r="CG3500" s="1684"/>
      <c r="CH3500" s="1684"/>
      <c r="CI3500" s="1684"/>
      <c r="CJ3500" s="1684"/>
      <c r="CK3500" s="1684"/>
      <c r="CL3500" s="1684"/>
      <c r="CM3500" s="1684"/>
      <c r="CN3500" s="1684"/>
      <c r="CO3500" s="1684"/>
    </row>
    <row r="3501" spans="1:93" s="1391" customFormat="1" ht="15.75" x14ac:dyDescent="0.2">
      <c r="A3501" s="1684"/>
      <c r="B3501" s="1690"/>
      <c r="C3501" s="1698" t="s">
        <v>5245</v>
      </c>
      <c r="D3501" s="1699" t="s">
        <v>2885</v>
      </c>
      <c r="E3501" s="1699" t="s">
        <v>2886</v>
      </c>
      <c r="F3501" s="1700"/>
      <c r="G3501" s="1701"/>
      <c r="H3501" s="1703">
        <v>1600</v>
      </c>
      <c r="I3501" s="1695">
        <v>135</v>
      </c>
      <c r="J3501" s="1568"/>
      <c r="K3501" s="1391">
        <v>1600</v>
      </c>
      <c r="L3501" s="1405">
        <v>196</v>
      </c>
      <c r="AQ3501" s="1684"/>
      <c r="AR3501" s="1684"/>
      <c r="AS3501" s="1684"/>
      <c r="AT3501" s="1684"/>
      <c r="AU3501" s="1684"/>
      <c r="AV3501" s="1684"/>
      <c r="AW3501" s="1684"/>
      <c r="AX3501" s="1684"/>
      <c r="AY3501" s="1684"/>
      <c r="AZ3501" s="1684"/>
      <c r="BA3501" s="1684"/>
      <c r="BB3501" s="1684"/>
      <c r="BC3501" s="1684"/>
      <c r="BD3501" s="1684"/>
      <c r="BE3501" s="1684"/>
      <c r="BF3501" s="1684"/>
      <c r="BG3501" s="1684"/>
      <c r="BH3501" s="1684"/>
      <c r="BI3501" s="1684"/>
      <c r="BJ3501" s="1684"/>
      <c r="BK3501" s="1684"/>
      <c r="BL3501" s="1684"/>
      <c r="BM3501" s="1684"/>
      <c r="BN3501" s="1684"/>
      <c r="BO3501" s="1684"/>
      <c r="BP3501" s="1684"/>
      <c r="BQ3501" s="1684"/>
      <c r="BR3501" s="1684"/>
      <c r="BS3501" s="1684"/>
      <c r="BT3501" s="1684"/>
      <c r="BU3501" s="1684"/>
      <c r="BV3501" s="1684"/>
      <c r="BW3501" s="1684"/>
      <c r="BX3501" s="1684"/>
      <c r="BY3501" s="1684"/>
      <c r="BZ3501" s="1684"/>
      <c r="CA3501" s="1684"/>
      <c r="CB3501" s="1684"/>
      <c r="CC3501" s="1684"/>
      <c r="CD3501" s="1684"/>
      <c r="CE3501" s="1684"/>
      <c r="CF3501" s="1684"/>
      <c r="CG3501" s="1684"/>
      <c r="CH3501" s="1684"/>
      <c r="CI3501" s="1684"/>
      <c r="CJ3501" s="1684"/>
      <c r="CK3501" s="1684"/>
      <c r="CL3501" s="1684"/>
      <c r="CM3501" s="1684"/>
      <c r="CN3501" s="1684"/>
      <c r="CO3501" s="1684"/>
    </row>
    <row r="3502" spans="1:93" s="1391" customFormat="1" ht="15.75" x14ac:dyDescent="0.2">
      <c r="A3502" s="1684"/>
      <c r="B3502" s="1690"/>
      <c r="C3502" s="1698" t="s">
        <v>2887</v>
      </c>
      <c r="D3502" s="1699" t="s">
        <v>2888</v>
      </c>
      <c r="E3502" s="1699" t="s">
        <v>2889</v>
      </c>
      <c r="F3502" s="1700"/>
      <c r="G3502" s="1701"/>
      <c r="H3502" s="1703">
        <v>1850</v>
      </c>
      <c r="I3502" s="1695">
        <v>122</v>
      </c>
      <c r="J3502" s="1568"/>
      <c r="K3502" s="1391">
        <v>1850</v>
      </c>
      <c r="L3502" s="1405">
        <v>177</v>
      </c>
      <c r="AQ3502" s="1684"/>
      <c r="AR3502" s="1684"/>
      <c r="AS3502" s="1684"/>
      <c r="AT3502" s="1684"/>
      <c r="AU3502" s="1684"/>
      <c r="AV3502" s="1684"/>
      <c r="AW3502" s="1684"/>
      <c r="AX3502" s="1684"/>
      <c r="AY3502" s="1684"/>
      <c r="AZ3502" s="1684"/>
      <c r="BA3502" s="1684"/>
      <c r="BB3502" s="1684"/>
      <c r="BC3502" s="1684"/>
      <c r="BD3502" s="1684"/>
      <c r="BE3502" s="1684"/>
      <c r="BF3502" s="1684"/>
      <c r="BG3502" s="1684"/>
      <c r="BH3502" s="1684"/>
      <c r="BI3502" s="1684"/>
      <c r="BJ3502" s="1684"/>
      <c r="BK3502" s="1684"/>
      <c r="BL3502" s="1684"/>
      <c r="BM3502" s="1684"/>
      <c r="BN3502" s="1684"/>
      <c r="BO3502" s="1684"/>
      <c r="BP3502" s="1684"/>
      <c r="BQ3502" s="1684"/>
      <c r="BR3502" s="1684"/>
      <c r="BS3502" s="1684"/>
      <c r="BT3502" s="1684"/>
      <c r="BU3502" s="1684"/>
      <c r="BV3502" s="1684"/>
      <c r="BW3502" s="1684"/>
      <c r="BX3502" s="1684"/>
      <c r="BY3502" s="1684"/>
      <c r="BZ3502" s="1684"/>
      <c r="CA3502" s="1684"/>
      <c r="CB3502" s="1684"/>
      <c r="CC3502" s="1684"/>
      <c r="CD3502" s="1684"/>
      <c r="CE3502" s="1684"/>
      <c r="CF3502" s="1684"/>
      <c r="CG3502" s="1684"/>
      <c r="CH3502" s="1684"/>
      <c r="CI3502" s="1684"/>
      <c r="CJ3502" s="1684"/>
      <c r="CK3502" s="1684"/>
      <c r="CL3502" s="1684"/>
      <c r="CM3502" s="1684"/>
      <c r="CN3502" s="1684"/>
      <c r="CO3502" s="1684"/>
    </row>
    <row r="3503" spans="1:93" s="1391" customFormat="1" ht="15.75" x14ac:dyDescent="0.2">
      <c r="A3503" s="1684"/>
      <c r="B3503" s="1690"/>
      <c r="C3503" s="1698" t="s">
        <v>2890</v>
      </c>
      <c r="D3503" s="1699" t="s">
        <v>2891</v>
      </c>
      <c r="E3503" s="1699" t="s">
        <v>2892</v>
      </c>
      <c r="F3503" s="1700"/>
      <c r="G3503" s="1701"/>
      <c r="H3503" s="1703">
        <v>2100</v>
      </c>
      <c r="I3503" s="1695">
        <v>112</v>
      </c>
      <c r="J3503" s="1568"/>
      <c r="K3503" s="1391">
        <v>2100</v>
      </c>
      <c r="L3503" s="1405">
        <v>161</v>
      </c>
      <c r="AQ3503" s="1684"/>
      <c r="AR3503" s="1684"/>
      <c r="AS3503" s="1684"/>
      <c r="AT3503" s="1684"/>
      <c r="AU3503" s="1684"/>
      <c r="AV3503" s="1684"/>
      <c r="AW3503" s="1684"/>
      <c r="AX3503" s="1684"/>
      <c r="AY3503" s="1684"/>
      <c r="AZ3503" s="1684"/>
      <c r="BA3503" s="1684"/>
      <c r="BB3503" s="1684"/>
      <c r="BC3503" s="1684"/>
      <c r="BD3503" s="1684"/>
      <c r="BE3503" s="1684"/>
      <c r="BF3503" s="1684"/>
      <c r="BG3503" s="1684"/>
      <c r="BH3503" s="1684"/>
      <c r="BI3503" s="1684"/>
      <c r="BJ3503" s="1684"/>
      <c r="BK3503" s="1684"/>
      <c r="BL3503" s="1684"/>
      <c r="BM3503" s="1684"/>
      <c r="BN3503" s="1684"/>
      <c r="BO3503" s="1684"/>
      <c r="BP3503" s="1684"/>
      <c r="BQ3503" s="1684"/>
      <c r="BR3503" s="1684"/>
      <c r="BS3503" s="1684"/>
      <c r="BT3503" s="1684"/>
      <c r="BU3503" s="1684"/>
      <c r="BV3503" s="1684"/>
      <c r="BW3503" s="1684"/>
      <c r="BX3503" s="1684"/>
      <c r="BY3503" s="1684"/>
      <c r="BZ3503" s="1684"/>
      <c r="CA3503" s="1684"/>
      <c r="CB3503" s="1684"/>
      <c r="CC3503" s="1684"/>
      <c r="CD3503" s="1684"/>
      <c r="CE3503" s="1684"/>
      <c r="CF3503" s="1684"/>
      <c r="CG3503" s="1684"/>
      <c r="CH3503" s="1684"/>
      <c r="CI3503" s="1684"/>
      <c r="CJ3503" s="1684"/>
      <c r="CK3503" s="1684"/>
      <c r="CL3503" s="1684"/>
      <c r="CM3503" s="1684"/>
      <c r="CN3503" s="1684"/>
      <c r="CO3503" s="1684"/>
    </row>
    <row r="3504" spans="1:93" s="1391" customFormat="1" ht="15.75" x14ac:dyDescent="0.2">
      <c r="A3504" s="1684"/>
      <c r="B3504" s="1690"/>
      <c r="C3504" s="1698" t="s">
        <v>2893</v>
      </c>
      <c r="D3504" s="1699" t="s">
        <v>2894</v>
      </c>
      <c r="E3504" s="1699" t="s">
        <v>2895</v>
      </c>
      <c r="F3504" s="1700"/>
      <c r="G3504" s="1701"/>
      <c r="H3504" s="1703">
        <v>2350</v>
      </c>
      <c r="I3504" s="1695">
        <v>102</v>
      </c>
      <c r="J3504" s="1568"/>
      <c r="K3504" s="1391">
        <v>2350</v>
      </c>
      <c r="L3504" s="1405">
        <v>148</v>
      </c>
      <c r="AQ3504" s="1684"/>
      <c r="AR3504" s="1684"/>
      <c r="AS3504" s="1684"/>
      <c r="AT3504" s="1684"/>
      <c r="AU3504" s="1684"/>
      <c r="AV3504" s="1684"/>
      <c r="AW3504" s="1684"/>
      <c r="AX3504" s="1684"/>
      <c r="AY3504" s="1684"/>
      <c r="AZ3504" s="1684"/>
      <c r="BA3504" s="1684"/>
      <c r="BB3504" s="1684"/>
      <c r="BC3504" s="1684"/>
      <c r="BD3504" s="1684"/>
      <c r="BE3504" s="1684"/>
      <c r="BF3504" s="1684"/>
      <c r="BG3504" s="1684"/>
      <c r="BH3504" s="1684"/>
      <c r="BI3504" s="1684"/>
      <c r="BJ3504" s="1684"/>
      <c r="BK3504" s="1684"/>
      <c r="BL3504" s="1684"/>
      <c r="BM3504" s="1684"/>
      <c r="BN3504" s="1684"/>
      <c r="BO3504" s="1684"/>
      <c r="BP3504" s="1684"/>
      <c r="BQ3504" s="1684"/>
      <c r="BR3504" s="1684"/>
      <c r="BS3504" s="1684"/>
      <c r="BT3504" s="1684"/>
      <c r="BU3504" s="1684"/>
      <c r="BV3504" s="1684"/>
      <c r="BW3504" s="1684"/>
      <c r="BX3504" s="1684"/>
      <c r="BY3504" s="1684"/>
      <c r="BZ3504" s="1684"/>
      <c r="CA3504" s="1684"/>
      <c r="CB3504" s="1684"/>
      <c r="CC3504" s="1684"/>
      <c r="CD3504" s="1684"/>
      <c r="CE3504" s="1684"/>
      <c r="CF3504" s="1684"/>
      <c r="CG3504" s="1684"/>
      <c r="CH3504" s="1684"/>
      <c r="CI3504" s="1684"/>
      <c r="CJ3504" s="1684"/>
      <c r="CK3504" s="1684"/>
      <c r="CL3504" s="1684"/>
      <c r="CM3504" s="1684"/>
      <c r="CN3504" s="1684"/>
      <c r="CO3504" s="1684"/>
    </row>
    <row r="3505" spans="1:93" s="1391" customFormat="1" ht="15.75" x14ac:dyDescent="0.2">
      <c r="A3505" s="1684"/>
      <c r="B3505" s="1690"/>
      <c r="C3505" s="1698" t="s">
        <v>2896</v>
      </c>
      <c r="D3505" s="1699" t="s">
        <v>2897</v>
      </c>
      <c r="E3505" s="1699" t="s">
        <v>2898</v>
      </c>
      <c r="F3505" s="1700"/>
      <c r="G3505" s="1701"/>
      <c r="H3505" s="1703">
        <v>2600</v>
      </c>
      <c r="I3505" s="1695">
        <v>96</v>
      </c>
      <c r="J3505" s="1568"/>
      <c r="K3505" s="1391">
        <v>2600</v>
      </c>
      <c r="L3505" s="1405">
        <v>138</v>
      </c>
      <c r="AQ3505" s="1684"/>
      <c r="AR3505" s="1684"/>
      <c r="AS3505" s="1684"/>
      <c r="AT3505" s="1684"/>
      <c r="AU3505" s="1684"/>
      <c r="AV3505" s="1684"/>
      <c r="AW3505" s="1684"/>
      <c r="AX3505" s="1684"/>
      <c r="AY3505" s="1684"/>
      <c r="AZ3505" s="1684"/>
      <c r="BA3505" s="1684"/>
      <c r="BB3505" s="1684"/>
      <c r="BC3505" s="1684"/>
      <c r="BD3505" s="1684"/>
      <c r="BE3505" s="1684"/>
      <c r="BF3505" s="1684"/>
      <c r="BG3505" s="1684"/>
      <c r="BH3505" s="1684"/>
      <c r="BI3505" s="1684"/>
      <c r="BJ3505" s="1684"/>
      <c r="BK3505" s="1684"/>
      <c r="BL3505" s="1684"/>
      <c r="BM3505" s="1684"/>
      <c r="BN3505" s="1684"/>
      <c r="BO3505" s="1684"/>
      <c r="BP3505" s="1684"/>
      <c r="BQ3505" s="1684"/>
      <c r="BR3505" s="1684"/>
      <c r="BS3505" s="1684"/>
      <c r="BT3505" s="1684"/>
      <c r="BU3505" s="1684"/>
      <c r="BV3505" s="1684"/>
      <c r="BW3505" s="1684"/>
      <c r="BX3505" s="1684"/>
      <c r="BY3505" s="1684"/>
      <c r="BZ3505" s="1684"/>
      <c r="CA3505" s="1684"/>
      <c r="CB3505" s="1684"/>
      <c r="CC3505" s="1684"/>
      <c r="CD3505" s="1684"/>
      <c r="CE3505" s="1684"/>
      <c r="CF3505" s="1684"/>
      <c r="CG3505" s="1684"/>
      <c r="CH3505" s="1684"/>
      <c r="CI3505" s="1684"/>
      <c r="CJ3505" s="1684"/>
      <c r="CK3505" s="1684"/>
      <c r="CL3505" s="1684"/>
      <c r="CM3505" s="1684"/>
      <c r="CN3505" s="1684"/>
      <c r="CO3505" s="1684"/>
    </row>
    <row r="3506" spans="1:93" s="1391" customFormat="1" ht="15.75" x14ac:dyDescent="0.2">
      <c r="A3506" s="1684"/>
      <c r="B3506" s="1690"/>
      <c r="C3506" s="1698"/>
      <c r="D3506" s="1699"/>
      <c r="E3506" s="1699"/>
      <c r="F3506" s="1700"/>
      <c r="G3506" s="1701"/>
      <c r="H3506" s="1703">
        <v>2850</v>
      </c>
      <c r="I3506" s="1695">
        <v>89</v>
      </c>
      <c r="J3506" s="1568"/>
      <c r="K3506" s="1391">
        <v>2850</v>
      </c>
      <c r="L3506" s="1405">
        <v>127</v>
      </c>
      <c r="AQ3506" s="1684"/>
      <c r="AR3506" s="1684"/>
      <c r="AS3506" s="1684"/>
      <c r="AT3506" s="1684"/>
      <c r="AU3506" s="1684"/>
      <c r="AV3506" s="1684"/>
      <c r="AW3506" s="1684"/>
      <c r="AX3506" s="1684"/>
      <c r="AY3506" s="1684"/>
      <c r="AZ3506" s="1684"/>
      <c r="BA3506" s="1684"/>
      <c r="BB3506" s="1684"/>
      <c r="BC3506" s="1684"/>
      <c r="BD3506" s="1684"/>
      <c r="BE3506" s="1684"/>
      <c r="BF3506" s="1684"/>
      <c r="BG3506" s="1684"/>
      <c r="BH3506" s="1684"/>
      <c r="BI3506" s="1684"/>
      <c r="BJ3506" s="1684"/>
      <c r="BK3506" s="1684"/>
      <c r="BL3506" s="1684"/>
      <c r="BM3506" s="1684"/>
      <c r="BN3506" s="1684"/>
      <c r="BO3506" s="1684"/>
      <c r="BP3506" s="1684"/>
      <c r="BQ3506" s="1684"/>
      <c r="BR3506" s="1684"/>
      <c r="BS3506" s="1684"/>
      <c r="BT3506" s="1684"/>
      <c r="BU3506" s="1684"/>
      <c r="BV3506" s="1684"/>
      <c r="BW3506" s="1684"/>
      <c r="BX3506" s="1684"/>
      <c r="BY3506" s="1684"/>
      <c r="BZ3506" s="1684"/>
      <c r="CA3506" s="1684"/>
      <c r="CB3506" s="1684"/>
      <c r="CC3506" s="1684"/>
      <c r="CD3506" s="1684"/>
      <c r="CE3506" s="1684"/>
      <c r="CF3506" s="1684"/>
      <c r="CG3506" s="1684"/>
      <c r="CH3506" s="1684"/>
      <c r="CI3506" s="1684"/>
      <c r="CJ3506" s="1684"/>
      <c r="CK3506" s="1684"/>
      <c r="CL3506" s="1684"/>
      <c r="CM3506" s="1684"/>
      <c r="CN3506" s="1684"/>
      <c r="CO3506" s="1684"/>
    </row>
    <row r="3507" spans="1:93" s="1391" customFormat="1" ht="15.75" x14ac:dyDescent="0.2">
      <c r="A3507" s="1684"/>
      <c r="B3507" s="1690"/>
      <c r="C3507" s="1698" t="s">
        <v>2899</v>
      </c>
      <c r="D3507" s="1699" t="s">
        <v>2900</v>
      </c>
      <c r="E3507" s="1699" t="s">
        <v>2901</v>
      </c>
      <c r="F3507" s="1700"/>
      <c r="G3507" s="1701"/>
      <c r="H3507" s="1703">
        <v>3150</v>
      </c>
      <c r="I3507" s="1695">
        <v>82</v>
      </c>
      <c r="J3507" s="1568"/>
      <c r="K3507" s="1391">
        <v>3150</v>
      </c>
      <c r="L3507" s="1405">
        <v>118</v>
      </c>
      <c r="AQ3507" s="1684"/>
      <c r="AR3507" s="1684"/>
      <c r="AS3507" s="1684"/>
      <c r="AT3507" s="1684"/>
      <c r="AU3507" s="1684"/>
      <c r="AV3507" s="1684"/>
      <c r="AW3507" s="1684"/>
      <c r="AX3507" s="1684"/>
      <c r="AY3507" s="1684"/>
      <c r="AZ3507" s="1684"/>
      <c r="BA3507" s="1684"/>
      <c r="BB3507" s="1684"/>
      <c r="BC3507" s="1684"/>
      <c r="BD3507" s="1684"/>
      <c r="BE3507" s="1684"/>
      <c r="BF3507" s="1684"/>
      <c r="BG3507" s="1684"/>
      <c r="BH3507" s="1684"/>
      <c r="BI3507" s="1684"/>
      <c r="BJ3507" s="1684"/>
      <c r="BK3507" s="1684"/>
      <c r="BL3507" s="1684"/>
      <c r="BM3507" s="1684"/>
      <c r="BN3507" s="1684"/>
      <c r="BO3507" s="1684"/>
      <c r="BP3507" s="1684"/>
      <c r="BQ3507" s="1684"/>
      <c r="BR3507" s="1684"/>
      <c r="BS3507" s="1684"/>
      <c r="BT3507" s="1684"/>
      <c r="BU3507" s="1684"/>
      <c r="BV3507" s="1684"/>
      <c r="BW3507" s="1684"/>
      <c r="BX3507" s="1684"/>
      <c r="BY3507" s="1684"/>
      <c r="BZ3507" s="1684"/>
      <c r="CA3507" s="1684"/>
      <c r="CB3507" s="1684"/>
      <c r="CC3507" s="1684"/>
      <c r="CD3507" s="1684"/>
      <c r="CE3507" s="1684"/>
      <c r="CF3507" s="1684"/>
      <c r="CG3507" s="1684"/>
      <c r="CH3507" s="1684"/>
      <c r="CI3507" s="1684"/>
      <c r="CJ3507" s="1684"/>
      <c r="CK3507" s="1684"/>
      <c r="CL3507" s="1684"/>
      <c r="CM3507" s="1684"/>
      <c r="CN3507" s="1684"/>
      <c r="CO3507" s="1684"/>
    </row>
    <row r="3508" spans="1:93" s="1391" customFormat="1" ht="15.75" x14ac:dyDescent="0.2">
      <c r="A3508" s="1684"/>
      <c r="B3508" s="1690"/>
      <c r="C3508" s="1698" t="s">
        <v>2902</v>
      </c>
      <c r="D3508" s="1699" t="s">
        <v>2903</v>
      </c>
      <c r="E3508" s="1699" t="s">
        <v>2904</v>
      </c>
      <c r="F3508" s="1700"/>
      <c r="G3508" s="1701"/>
      <c r="H3508" s="1703">
        <v>3500</v>
      </c>
      <c r="I3508" s="1695">
        <v>75</v>
      </c>
      <c r="J3508" s="1568"/>
      <c r="K3508" s="1391">
        <v>3500</v>
      </c>
      <c r="L3508" s="1405">
        <v>107</v>
      </c>
      <c r="AQ3508" s="1684"/>
      <c r="AR3508" s="1684"/>
      <c r="AS3508" s="1684"/>
      <c r="AT3508" s="1684"/>
      <c r="AU3508" s="1684"/>
      <c r="AV3508" s="1684"/>
      <c r="AW3508" s="1684"/>
      <c r="AX3508" s="1684"/>
      <c r="AY3508" s="1684"/>
      <c r="AZ3508" s="1684"/>
      <c r="BA3508" s="1684"/>
      <c r="BB3508" s="1684"/>
      <c r="BC3508" s="1684"/>
      <c r="BD3508" s="1684"/>
      <c r="BE3508" s="1684"/>
      <c r="BF3508" s="1684"/>
      <c r="BG3508" s="1684"/>
      <c r="BH3508" s="1684"/>
      <c r="BI3508" s="1684"/>
      <c r="BJ3508" s="1684"/>
      <c r="BK3508" s="1684"/>
      <c r="BL3508" s="1684"/>
      <c r="BM3508" s="1684"/>
      <c r="BN3508" s="1684"/>
      <c r="BO3508" s="1684"/>
      <c r="BP3508" s="1684"/>
      <c r="BQ3508" s="1684"/>
      <c r="BR3508" s="1684"/>
      <c r="BS3508" s="1684"/>
      <c r="BT3508" s="1684"/>
      <c r="BU3508" s="1684"/>
      <c r="BV3508" s="1684"/>
      <c r="BW3508" s="1684"/>
      <c r="BX3508" s="1684"/>
      <c r="BY3508" s="1684"/>
      <c r="BZ3508" s="1684"/>
      <c r="CA3508" s="1684"/>
      <c r="CB3508" s="1684"/>
      <c r="CC3508" s="1684"/>
      <c r="CD3508" s="1684"/>
      <c r="CE3508" s="1684"/>
      <c r="CF3508" s="1684"/>
      <c r="CG3508" s="1684"/>
      <c r="CH3508" s="1684"/>
      <c r="CI3508" s="1684"/>
      <c r="CJ3508" s="1684"/>
      <c r="CK3508" s="1684"/>
      <c r="CL3508" s="1684"/>
      <c r="CM3508" s="1684"/>
      <c r="CN3508" s="1684"/>
      <c r="CO3508" s="1684"/>
    </row>
    <row r="3509" spans="1:93" s="1391" customFormat="1" ht="16.5" thickBot="1" x14ac:dyDescent="0.25">
      <c r="A3509" s="1684"/>
      <c r="B3509" s="1690"/>
      <c r="C3509" s="1698" t="s">
        <v>2905</v>
      </c>
      <c r="D3509" s="1699" t="s">
        <v>2906</v>
      </c>
      <c r="E3509" s="1699" t="s">
        <v>2907</v>
      </c>
      <c r="F3509" s="1700"/>
      <c r="G3509" s="1701"/>
      <c r="H3509" s="1706">
        <v>4000</v>
      </c>
      <c r="I3509" s="1707">
        <v>68</v>
      </c>
      <c r="J3509" s="1568"/>
      <c r="K3509" s="1391">
        <v>4000</v>
      </c>
      <c r="L3509" s="1405">
        <v>97</v>
      </c>
      <c r="AQ3509" s="1684"/>
      <c r="AR3509" s="1684"/>
      <c r="AS3509" s="1684"/>
      <c r="AT3509" s="1684"/>
      <c r="AU3509" s="1684"/>
      <c r="AV3509" s="1684"/>
      <c r="AW3509" s="1684"/>
      <c r="AX3509" s="1684"/>
      <c r="AY3509" s="1684"/>
      <c r="AZ3509" s="1684"/>
      <c r="BA3509" s="1684"/>
      <c r="BB3509" s="1684"/>
      <c r="BC3509" s="1684"/>
      <c r="BD3509" s="1684"/>
      <c r="BE3509" s="1684"/>
      <c r="BF3509" s="1684"/>
      <c r="BG3509" s="1684"/>
      <c r="BH3509" s="1684"/>
      <c r="BI3509" s="1684"/>
      <c r="BJ3509" s="1684"/>
      <c r="BK3509" s="1684"/>
      <c r="BL3509" s="1684"/>
      <c r="BM3509" s="1684"/>
      <c r="BN3509" s="1684"/>
      <c r="BO3509" s="1684"/>
      <c r="BP3509" s="1684"/>
      <c r="BQ3509" s="1684"/>
      <c r="BR3509" s="1684"/>
      <c r="BS3509" s="1684"/>
      <c r="BT3509" s="1684"/>
      <c r="BU3509" s="1684"/>
      <c r="BV3509" s="1684"/>
      <c r="BW3509" s="1684"/>
      <c r="BX3509" s="1684"/>
      <c r="BY3509" s="1684"/>
      <c r="BZ3509" s="1684"/>
      <c r="CA3509" s="1684"/>
      <c r="CB3509" s="1684"/>
      <c r="CC3509" s="1684"/>
      <c r="CD3509" s="1684"/>
      <c r="CE3509" s="1684"/>
      <c r="CF3509" s="1684"/>
      <c r="CG3509" s="1684"/>
      <c r="CH3509" s="1684"/>
      <c r="CI3509" s="1684"/>
      <c r="CJ3509" s="1684"/>
      <c r="CK3509" s="1684"/>
      <c r="CL3509" s="1684"/>
      <c r="CM3509" s="1684"/>
      <c r="CN3509" s="1684"/>
      <c r="CO3509" s="1684"/>
    </row>
    <row r="3510" spans="1:93" s="1391" customFormat="1" ht="15.75" thickBot="1" x14ac:dyDescent="0.25">
      <c r="A3510" s="1684"/>
      <c r="B3510" s="1690"/>
      <c r="C3510" s="1706" t="s">
        <v>2908</v>
      </c>
      <c r="D3510" s="1708" t="s">
        <v>2909</v>
      </c>
      <c r="E3510" s="1708"/>
      <c r="F3510" s="1707"/>
      <c r="G3510" s="1693"/>
      <c r="H3510" s="1216"/>
      <c r="I3510" s="1216"/>
      <c r="AQ3510" s="1684"/>
      <c r="AR3510" s="1684"/>
      <c r="AS3510" s="1684"/>
      <c r="AT3510" s="1684"/>
      <c r="AU3510" s="1684"/>
      <c r="AV3510" s="1684"/>
      <c r="AW3510" s="1684"/>
      <c r="AX3510" s="1684"/>
      <c r="AY3510" s="1684"/>
      <c r="AZ3510" s="1684"/>
      <c r="BA3510" s="1684"/>
      <c r="BB3510" s="1684"/>
      <c r="BC3510" s="1684"/>
      <c r="BD3510" s="1684"/>
      <c r="BE3510" s="1684"/>
      <c r="BF3510" s="1684"/>
      <c r="BG3510" s="1684"/>
      <c r="BH3510" s="1684"/>
      <c r="BI3510" s="1684"/>
      <c r="BJ3510" s="1684"/>
      <c r="BK3510" s="1684"/>
      <c r="BL3510" s="1684"/>
      <c r="BM3510" s="1684"/>
      <c r="BN3510" s="1684"/>
      <c r="BO3510" s="1684"/>
      <c r="BP3510" s="1684"/>
      <c r="BQ3510" s="1684"/>
      <c r="BR3510" s="1684"/>
      <c r="BS3510" s="1684"/>
      <c r="BT3510" s="1684"/>
      <c r="BU3510" s="1684"/>
      <c r="BV3510" s="1684"/>
      <c r="BW3510" s="1684"/>
      <c r="BX3510" s="1684"/>
      <c r="BY3510" s="1684"/>
      <c r="BZ3510" s="1684"/>
      <c r="CA3510" s="1684"/>
      <c r="CB3510" s="1684"/>
      <c r="CC3510" s="1684"/>
      <c r="CD3510" s="1684"/>
      <c r="CE3510" s="1684"/>
      <c r="CF3510" s="1684"/>
      <c r="CG3510" s="1684"/>
      <c r="CH3510" s="1684"/>
      <c r="CI3510" s="1684"/>
      <c r="CJ3510" s="1684"/>
      <c r="CK3510" s="1684"/>
      <c r="CL3510" s="1684"/>
      <c r="CM3510" s="1684"/>
      <c r="CN3510" s="1684"/>
      <c r="CO3510" s="1684"/>
    </row>
    <row r="3511" spans="1:93" s="1391" customFormat="1" ht="15.75" x14ac:dyDescent="0.25">
      <c r="A3511" s="1684"/>
      <c r="B3511" s="1684"/>
      <c r="C3511" s="1661"/>
      <c r="D3511" s="1661"/>
      <c r="E3511" s="1661"/>
      <c r="F3511" s="1661"/>
      <c r="G3511" s="1684"/>
      <c r="L3511" s="1694" t="s">
        <v>4289</v>
      </c>
      <c r="M3511" s="1694"/>
      <c r="N3511" s="1694"/>
      <c r="O3511" s="1694"/>
      <c r="P3511" s="1417"/>
      <c r="Q3511" s="1417"/>
      <c r="R3511" s="1417"/>
      <c r="S3511" s="1417"/>
      <c r="T3511" s="1417"/>
      <c r="U3511" s="1417"/>
      <c r="V3511" s="1417"/>
      <c r="W3511" s="1417"/>
      <c r="AQ3511" s="1684"/>
      <c r="AR3511" s="1684"/>
      <c r="AS3511" s="1684"/>
      <c r="AT3511" s="1684"/>
      <c r="AU3511" s="1684"/>
      <c r="AV3511" s="1684"/>
      <c r="AW3511" s="1684"/>
      <c r="AX3511" s="1684"/>
      <c r="AY3511" s="1684"/>
      <c r="AZ3511" s="1684"/>
      <c r="BA3511" s="1684"/>
      <c r="BB3511" s="1684"/>
      <c r="BC3511" s="1684"/>
      <c r="BD3511" s="1684"/>
      <c r="BE3511" s="1684"/>
      <c r="BF3511" s="1684"/>
      <c r="BG3511" s="1684"/>
      <c r="BH3511" s="1684"/>
      <c r="BI3511" s="1684"/>
      <c r="BJ3511" s="1684"/>
      <c r="BK3511" s="1684"/>
      <c r="BL3511" s="1684"/>
      <c r="BM3511" s="1684"/>
      <c r="BN3511" s="1684"/>
      <c r="BO3511" s="1684"/>
      <c r="BP3511" s="1684"/>
      <c r="BQ3511" s="1684"/>
      <c r="BR3511" s="1684"/>
      <c r="BS3511" s="1684"/>
      <c r="BT3511" s="1684"/>
      <c r="BU3511" s="1684"/>
      <c r="BV3511" s="1684"/>
      <c r="BW3511" s="1684"/>
      <c r="BX3511" s="1684"/>
      <c r="BY3511" s="1684"/>
      <c r="BZ3511" s="1684"/>
      <c r="CA3511" s="1684"/>
      <c r="CB3511" s="1684"/>
      <c r="CC3511" s="1684"/>
      <c r="CD3511" s="1684"/>
      <c r="CE3511" s="1684"/>
      <c r="CF3511" s="1684"/>
      <c r="CG3511" s="1684"/>
      <c r="CH3511" s="1684"/>
      <c r="CI3511" s="1684"/>
      <c r="CJ3511" s="1684"/>
      <c r="CK3511" s="1684"/>
      <c r="CL3511" s="1684"/>
      <c r="CM3511" s="1684"/>
      <c r="CN3511" s="1684"/>
      <c r="CO3511" s="1684"/>
    </row>
    <row r="3512" spans="1:93" s="1391" customFormat="1" ht="15.75" x14ac:dyDescent="0.25">
      <c r="A3512" s="1684"/>
      <c r="B3512" s="1684"/>
      <c r="C3512" s="1684"/>
      <c r="D3512" s="1684"/>
      <c r="E3512" s="1684"/>
      <c r="G3512" s="1391" t="s">
        <v>4290</v>
      </c>
      <c r="L3512" s="1694"/>
      <c r="M3512" s="1694" t="s">
        <v>4291</v>
      </c>
      <c r="N3512" s="1694"/>
      <c r="O3512" s="1694"/>
      <c r="P3512" s="1417"/>
      <c r="Q3512" s="1417"/>
      <c r="R3512" s="1417"/>
      <c r="S3512" s="1417"/>
      <c r="T3512" s="1417"/>
      <c r="U3512" s="1417"/>
      <c r="V3512" s="1417"/>
      <c r="W3512" s="1417"/>
      <c r="AQ3512" s="1684"/>
      <c r="AR3512" s="1684"/>
      <c r="AS3512" s="1684"/>
      <c r="AT3512" s="1684"/>
      <c r="AU3512" s="1684"/>
      <c r="AV3512" s="1684"/>
      <c r="AW3512" s="1684"/>
      <c r="AX3512" s="1684"/>
      <c r="AY3512" s="1684"/>
      <c r="AZ3512" s="1684"/>
      <c r="BA3512" s="1684"/>
      <c r="BB3512" s="1684"/>
      <c r="BC3512" s="1684"/>
      <c r="BD3512" s="1684"/>
      <c r="BE3512" s="1684"/>
      <c r="BF3512" s="1684"/>
      <c r="BG3512" s="1684"/>
      <c r="BH3512" s="1684"/>
      <c r="BI3512" s="1684"/>
      <c r="BJ3512" s="1684"/>
      <c r="BK3512" s="1684"/>
      <c r="BL3512" s="1684"/>
      <c r="BM3512" s="1684"/>
      <c r="BN3512" s="1684"/>
      <c r="BO3512" s="1684"/>
      <c r="BP3512" s="1684"/>
      <c r="BQ3512" s="1684"/>
      <c r="BR3512" s="1684"/>
      <c r="BS3512" s="1684"/>
      <c r="BT3512" s="1684"/>
      <c r="BU3512" s="1684"/>
      <c r="BV3512" s="1684"/>
      <c r="BW3512" s="1684"/>
      <c r="BX3512" s="1684"/>
      <c r="BY3512" s="1684"/>
      <c r="BZ3512" s="1684"/>
      <c r="CA3512" s="1684"/>
      <c r="CB3512" s="1684"/>
      <c r="CC3512" s="1684"/>
      <c r="CD3512" s="1684"/>
      <c r="CE3512" s="1684"/>
      <c r="CF3512" s="1684"/>
      <c r="CG3512" s="1684"/>
      <c r="CH3512" s="1684"/>
      <c r="CI3512" s="1684"/>
      <c r="CJ3512" s="1684"/>
      <c r="CK3512" s="1684"/>
      <c r="CL3512" s="1684"/>
      <c r="CM3512" s="1684"/>
      <c r="CN3512" s="1684"/>
      <c r="CO3512" s="1684"/>
    </row>
    <row r="3513" spans="1:93" s="1391" customFormat="1" ht="15.75" x14ac:dyDescent="0.25">
      <c r="A3513" s="1684"/>
      <c r="B3513" s="1684"/>
      <c r="C3513" s="1684"/>
      <c r="D3513" s="1684"/>
      <c r="E3513" s="1684"/>
      <c r="G3513" s="1391" t="s">
        <v>4292</v>
      </c>
      <c r="L3513" s="1694" t="s">
        <v>1421</v>
      </c>
      <c r="M3513" s="1694" t="s">
        <v>1422</v>
      </c>
      <c r="N3513" s="1694" t="s">
        <v>1423</v>
      </c>
      <c r="O3513" s="1694" t="s">
        <v>1424</v>
      </c>
      <c r="P3513" s="1417"/>
      <c r="Q3513" s="1417"/>
      <c r="R3513" s="1417"/>
      <c r="S3513" s="1417"/>
      <c r="T3513" s="1417"/>
      <c r="U3513" s="1417"/>
      <c r="V3513" s="1417"/>
      <c r="W3513" s="1417"/>
      <c r="AQ3513" s="1684"/>
      <c r="AR3513" s="1684"/>
      <c r="AS3513" s="1684"/>
      <c r="AT3513" s="1684"/>
      <c r="AU3513" s="1684"/>
      <c r="AV3513" s="1684"/>
      <c r="AW3513" s="1684"/>
      <c r="AX3513" s="1684"/>
      <c r="AY3513" s="1684"/>
      <c r="AZ3513" s="1684"/>
      <c r="BA3513" s="1684"/>
      <c r="BB3513" s="1684"/>
      <c r="BC3513" s="1684"/>
      <c r="BD3513" s="1684"/>
      <c r="BE3513" s="1684"/>
      <c r="BF3513" s="1684"/>
      <c r="BG3513" s="1684"/>
      <c r="BH3513" s="1684"/>
      <c r="BI3513" s="1684"/>
      <c r="BJ3513" s="1684"/>
      <c r="BK3513" s="1684"/>
      <c r="BL3513" s="1684"/>
      <c r="BM3513" s="1684"/>
      <c r="BN3513" s="1684"/>
      <c r="BO3513" s="1684"/>
      <c r="BP3513" s="1684"/>
      <c r="BQ3513" s="1684"/>
      <c r="BR3513" s="1684"/>
      <c r="BS3513" s="1684"/>
      <c r="BT3513" s="1684"/>
      <c r="BU3513" s="1684"/>
      <c r="BV3513" s="1684"/>
      <c r="BW3513" s="1684"/>
      <c r="BX3513" s="1684"/>
      <c r="BY3513" s="1684"/>
      <c r="BZ3513" s="1684"/>
      <c r="CA3513" s="1684"/>
      <c r="CB3513" s="1684"/>
      <c r="CC3513" s="1684"/>
      <c r="CD3513" s="1684"/>
      <c r="CE3513" s="1684"/>
      <c r="CF3513" s="1684"/>
      <c r="CG3513" s="1684"/>
      <c r="CH3513" s="1684"/>
      <c r="CI3513" s="1684"/>
      <c r="CJ3513" s="1684"/>
      <c r="CK3513" s="1684"/>
      <c r="CL3513" s="1684"/>
      <c r="CM3513" s="1684"/>
      <c r="CN3513" s="1684"/>
      <c r="CO3513" s="1684"/>
    </row>
    <row r="3514" spans="1:93" s="1391" customFormat="1" ht="15.75" x14ac:dyDescent="0.25">
      <c r="A3514" s="1684"/>
      <c r="B3514" s="1684"/>
      <c r="C3514" s="1684"/>
      <c r="D3514" s="1684"/>
      <c r="E3514" s="1684"/>
      <c r="G3514" s="1391" t="s">
        <v>1601</v>
      </c>
      <c r="L3514" s="1694">
        <v>30</v>
      </c>
      <c r="M3514" s="1694">
        <v>1.18</v>
      </c>
      <c r="N3514" s="1694">
        <v>1.42</v>
      </c>
      <c r="O3514" s="1694">
        <v>1.67</v>
      </c>
      <c r="P3514" s="1417"/>
      <c r="Q3514" s="1417"/>
      <c r="R3514" s="1417"/>
      <c r="S3514" s="1417"/>
      <c r="T3514" s="1417"/>
      <c r="U3514" s="1417"/>
      <c r="V3514" s="1417"/>
      <c r="W3514" s="1417"/>
      <c r="AQ3514" s="1684"/>
      <c r="AR3514" s="1684"/>
      <c r="AS3514" s="1684"/>
      <c r="AT3514" s="1684"/>
      <c r="AU3514" s="1684"/>
      <c r="AV3514" s="1684"/>
      <c r="AW3514" s="1684"/>
      <c r="AX3514" s="1684"/>
      <c r="AY3514" s="1684"/>
      <c r="AZ3514" s="1684"/>
      <c r="BA3514" s="1684"/>
      <c r="BB3514" s="1684"/>
      <c r="BC3514" s="1684"/>
      <c r="BD3514" s="1684"/>
      <c r="BE3514" s="1684"/>
      <c r="BF3514" s="1684"/>
      <c r="BG3514" s="1684"/>
      <c r="BH3514" s="1684"/>
      <c r="BI3514" s="1684"/>
      <c r="BJ3514" s="1684"/>
      <c r="BK3514" s="1684"/>
      <c r="BL3514" s="1684"/>
      <c r="BM3514" s="1684"/>
      <c r="BN3514" s="1684"/>
      <c r="BO3514" s="1684"/>
      <c r="BP3514" s="1684"/>
      <c r="BQ3514" s="1684"/>
      <c r="BR3514" s="1684"/>
      <c r="BS3514" s="1684"/>
      <c r="BT3514" s="1684"/>
      <c r="BU3514" s="1684"/>
      <c r="BV3514" s="1684"/>
      <c r="BW3514" s="1684"/>
      <c r="BX3514" s="1684"/>
      <c r="BY3514" s="1684"/>
      <c r="BZ3514" s="1684"/>
      <c r="CA3514" s="1684"/>
      <c r="CB3514" s="1684"/>
      <c r="CC3514" s="1684"/>
      <c r="CD3514" s="1684"/>
      <c r="CE3514" s="1684"/>
      <c r="CF3514" s="1684"/>
      <c r="CG3514" s="1684"/>
      <c r="CH3514" s="1684"/>
      <c r="CI3514" s="1684"/>
      <c r="CJ3514" s="1684"/>
      <c r="CK3514" s="1684"/>
      <c r="CL3514" s="1684"/>
      <c r="CM3514" s="1684"/>
      <c r="CN3514" s="1684"/>
      <c r="CO3514" s="1684"/>
    </row>
    <row r="3515" spans="1:93" s="1391" customFormat="1" ht="15.75" x14ac:dyDescent="0.25">
      <c r="A3515" s="1684"/>
      <c r="B3515" s="1684"/>
      <c r="C3515" s="1684"/>
      <c r="D3515" s="1684"/>
      <c r="E3515" s="1684"/>
      <c r="G3515" s="1391" t="s">
        <v>1602</v>
      </c>
      <c r="H3515" s="1391" t="s">
        <v>1603</v>
      </c>
      <c r="L3515" s="1694">
        <v>35</v>
      </c>
      <c r="M3515" s="1694">
        <v>1.22</v>
      </c>
      <c r="N3515" s="1694">
        <v>1.46</v>
      </c>
      <c r="O3515" s="1694">
        <v>1.72</v>
      </c>
      <c r="P3515" s="1417"/>
      <c r="Q3515" s="1417"/>
      <c r="R3515" s="1417"/>
      <c r="S3515" s="1417"/>
      <c r="T3515" s="1417"/>
      <c r="U3515" s="1417"/>
      <c r="V3515" s="1417"/>
      <c r="W3515" s="1417"/>
      <c r="AQ3515" s="1684"/>
      <c r="AR3515" s="1684"/>
      <c r="AS3515" s="1684"/>
      <c r="AT3515" s="1684"/>
      <c r="AU3515" s="1684"/>
      <c r="AV3515" s="1684"/>
      <c r="AW3515" s="1684"/>
      <c r="AX3515" s="1684"/>
      <c r="AY3515" s="1684"/>
      <c r="AZ3515" s="1684"/>
      <c r="BA3515" s="1684"/>
      <c r="BB3515" s="1684"/>
      <c r="BC3515" s="1684"/>
      <c r="BD3515" s="1684"/>
      <c r="BE3515" s="1684"/>
      <c r="BF3515" s="1684"/>
      <c r="BG3515" s="1684"/>
      <c r="BH3515" s="1684"/>
      <c r="BI3515" s="1684"/>
      <c r="BJ3515" s="1684"/>
      <c r="BK3515" s="1684"/>
      <c r="BL3515" s="1684"/>
      <c r="BM3515" s="1684"/>
      <c r="BN3515" s="1684"/>
      <c r="BO3515" s="1684"/>
      <c r="BP3515" s="1684"/>
      <c r="BQ3515" s="1684"/>
      <c r="BR3515" s="1684"/>
      <c r="BS3515" s="1684"/>
      <c r="BT3515" s="1684"/>
      <c r="BU3515" s="1684"/>
      <c r="BV3515" s="1684"/>
      <c r="BW3515" s="1684"/>
      <c r="BX3515" s="1684"/>
      <c r="BY3515" s="1684"/>
      <c r="BZ3515" s="1684"/>
      <c r="CA3515" s="1684"/>
      <c r="CB3515" s="1684"/>
      <c r="CC3515" s="1684"/>
      <c r="CD3515" s="1684"/>
      <c r="CE3515" s="1684"/>
      <c r="CF3515" s="1684"/>
      <c r="CG3515" s="1684"/>
      <c r="CH3515" s="1684"/>
      <c r="CI3515" s="1684"/>
      <c r="CJ3515" s="1684"/>
      <c r="CK3515" s="1684"/>
      <c r="CL3515" s="1684"/>
      <c r="CM3515" s="1684"/>
      <c r="CN3515" s="1684"/>
      <c r="CO3515" s="1684"/>
    </row>
    <row r="3516" spans="1:93" s="1391" customFormat="1" ht="15.75" x14ac:dyDescent="0.25">
      <c r="A3516" s="1684"/>
      <c r="B3516" s="1684"/>
      <c r="C3516" s="1684"/>
      <c r="D3516" s="1684"/>
      <c r="E3516" s="1684"/>
      <c r="G3516" s="1405">
        <v>0.5</v>
      </c>
      <c r="H3516" s="1405">
        <v>7.54</v>
      </c>
      <c r="L3516" s="1694">
        <v>40</v>
      </c>
      <c r="M3516" s="1694">
        <v>1.23</v>
      </c>
      <c r="N3516" s="1694">
        <v>1.49</v>
      </c>
      <c r="O3516" s="1694">
        <v>1.74</v>
      </c>
      <c r="P3516" s="1417"/>
      <c r="Q3516" s="1417"/>
      <c r="R3516" s="1417"/>
      <c r="S3516" s="1417"/>
      <c r="T3516" s="1417"/>
      <c r="U3516" s="1417"/>
      <c r="V3516" s="1417"/>
      <c r="W3516" s="1417"/>
      <c r="AQ3516" s="1684"/>
      <c r="AR3516" s="1684"/>
      <c r="AS3516" s="1684"/>
      <c r="AT3516" s="1684"/>
      <c r="AU3516" s="1684"/>
      <c r="AV3516" s="1684"/>
      <c r="AW3516" s="1684"/>
      <c r="AX3516" s="1684"/>
      <c r="AY3516" s="1684"/>
      <c r="AZ3516" s="1684"/>
      <c r="BA3516" s="1684"/>
      <c r="BB3516" s="1684"/>
      <c r="BC3516" s="1684"/>
      <c r="BD3516" s="1684"/>
      <c r="BE3516" s="1684"/>
      <c r="BF3516" s="1684"/>
      <c r="BG3516" s="1684"/>
      <c r="BH3516" s="1684"/>
      <c r="BI3516" s="1684"/>
      <c r="BJ3516" s="1684"/>
      <c r="BK3516" s="1684"/>
      <c r="BL3516" s="1684"/>
      <c r="BM3516" s="1684"/>
      <c r="BN3516" s="1684"/>
      <c r="BO3516" s="1684"/>
      <c r="BP3516" s="1684"/>
      <c r="BQ3516" s="1684"/>
      <c r="BR3516" s="1684"/>
      <c r="BS3516" s="1684"/>
      <c r="BT3516" s="1684"/>
      <c r="BU3516" s="1684"/>
      <c r="BV3516" s="1684"/>
      <c r="BW3516" s="1684"/>
      <c r="BX3516" s="1684"/>
      <c r="BY3516" s="1684"/>
      <c r="BZ3516" s="1684"/>
      <c r="CA3516" s="1684"/>
      <c r="CB3516" s="1684"/>
      <c r="CC3516" s="1684"/>
      <c r="CD3516" s="1684"/>
      <c r="CE3516" s="1684"/>
      <c r="CF3516" s="1684"/>
      <c r="CG3516" s="1684"/>
      <c r="CH3516" s="1684"/>
      <c r="CI3516" s="1684"/>
      <c r="CJ3516" s="1684"/>
      <c r="CK3516" s="1684"/>
      <c r="CL3516" s="1684"/>
      <c r="CM3516" s="1684"/>
      <c r="CN3516" s="1684"/>
      <c r="CO3516" s="1684"/>
    </row>
    <row r="3517" spans="1:93" s="1391" customFormat="1" ht="15.75" x14ac:dyDescent="0.25">
      <c r="A3517" s="1684"/>
      <c r="B3517" s="1684"/>
      <c r="C3517" s="1684"/>
      <c r="D3517" s="1684"/>
      <c r="E3517" s="1684"/>
      <c r="G3517" s="1405">
        <v>0.6</v>
      </c>
      <c r="H3517" s="1405">
        <v>9.0500000000000007</v>
      </c>
      <c r="L3517" s="1694">
        <v>45</v>
      </c>
      <c r="M3517" s="1694">
        <v>1.26</v>
      </c>
      <c r="N3517" s="1694">
        <v>1.52</v>
      </c>
      <c r="O3517" s="1694">
        <v>1.78</v>
      </c>
      <c r="P3517" s="1417"/>
      <c r="Q3517" s="1417"/>
      <c r="R3517" s="1417"/>
      <c r="S3517" s="1417"/>
      <c r="T3517" s="1417"/>
      <c r="U3517" s="1417"/>
      <c r="V3517" s="1417"/>
      <c r="W3517" s="1417"/>
      <c r="AQ3517" s="1684"/>
      <c r="AR3517" s="1684"/>
      <c r="AS3517" s="1684"/>
      <c r="AT3517" s="1684"/>
      <c r="AU3517" s="1684"/>
      <c r="AV3517" s="1684"/>
      <c r="AW3517" s="1684"/>
      <c r="AX3517" s="1684"/>
      <c r="AY3517" s="1684"/>
      <c r="AZ3517" s="1684"/>
      <c r="BA3517" s="1684"/>
      <c r="BB3517" s="1684"/>
      <c r="BC3517" s="1684"/>
      <c r="BD3517" s="1684"/>
      <c r="BE3517" s="1684"/>
      <c r="BF3517" s="1684"/>
      <c r="BG3517" s="1684"/>
      <c r="BH3517" s="1684"/>
      <c r="BI3517" s="1684"/>
      <c r="BJ3517" s="1684"/>
      <c r="BK3517" s="1684"/>
      <c r="BL3517" s="1684"/>
      <c r="BM3517" s="1684"/>
      <c r="BN3517" s="1684"/>
      <c r="BO3517" s="1684"/>
      <c r="BP3517" s="1684"/>
      <c r="BQ3517" s="1684"/>
      <c r="BR3517" s="1684"/>
      <c r="BS3517" s="1684"/>
      <c r="BT3517" s="1684"/>
      <c r="BU3517" s="1684"/>
      <c r="BV3517" s="1684"/>
      <c r="BW3517" s="1684"/>
      <c r="BX3517" s="1684"/>
      <c r="BY3517" s="1684"/>
      <c r="BZ3517" s="1684"/>
      <c r="CA3517" s="1684"/>
      <c r="CB3517" s="1684"/>
      <c r="CC3517" s="1684"/>
      <c r="CD3517" s="1684"/>
      <c r="CE3517" s="1684"/>
      <c r="CF3517" s="1684"/>
      <c r="CG3517" s="1684"/>
      <c r="CH3517" s="1684"/>
      <c r="CI3517" s="1684"/>
      <c r="CJ3517" s="1684"/>
      <c r="CK3517" s="1684"/>
      <c r="CL3517" s="1684"/>
      <c r="CM3517" s="1684"/>
      <c r="CN3517" s="1684"/>
      <c r="CO3517" s="1684"/>
    </row>
    <row r="3518" spans="1:93" s="1391" customFormat="1" ht="15.75" x14ac:dyDescent="0.25">
      <c r="A3518" s="1684"/>
      <c r="B3518" s="1684"/>
      <c r="C3518" s="1684"/>
      <c r="D3518" s="1684"/>
      <c r="E3518" s="1684"/>
      <c r="G3518" s="1405">
        <v>0.7</v>
      </c>
      <c r="H3518" s="1405">
        <v>10</v>
      </c>
      <c r="L3518" s="1694">
        <v>50</v>
      </c>
      <c r="M3518" s="1694">
        <v>1.3</v>
      </c>
      <c r="N3518" s="1694">
        <v>1.55</v>
      </c>
      <c r="O3518" s="1694">
        <v>1.82</v>
      </c>
      <c r="P3518" s="1417"/>
      <c r="Q3518" s="1417"/>
      <c r="R3518" s="1417"/>
      <c r="S3518" s="1417"/>
      <c r="T3518" s="1417"/>
      <c r="U3518" s="1417"/>
      <c r="V3518" s="1417"/>
      <c r="W3518" s="1417"/>
      <c r="AQ3518" s="1684"/>
      <c r="AR3518" s="1684"/>
      <c r="AS3518" s="1684"/>
      <c r="AT3518" s="1684"/>
      <c r="AU3518" s="1684"/>
      <c r="AV3518" s="1684"/>
      <c r="AW3518" s="1684"/>
      <c r="AX3518" s="1684"/>
      <c r="AY3518" s="1684"/>
      <c r="AZ3518" s="1684"/>
      <c r="BA3518" s="1684"/>
      <c r="BB3518" s="1684"/>
      <c r="BC3518" s="1684"/>
      <c r="BD3518" s="1684"/>
      <c r="BE3518" s="1684"/>
      <c r="BF3518" s="1684"/>
      <c r="BG3518" s="1684"/>
      <c r="BH3518" s="1684"/>
      <c r="BI3518" s="1684"/>
      <c r="BJ3518" s="1684"/>
      <c r="BK3518" s="1684"/>
      <c r="BL3518" s="1684"/>
      <c r="BM3518" s="1684"/>
      <c r="BN3518" s="1684"/>
      <c r="BO3518" s="1684"/>
      <c r="BP3518" s="1684"/>
      <c r="BQ3518" s="1684"/>
      <c r="BR3518" s="1684"/>
      <c r="BS3518" s="1684"/>
      <c r="BT3518" s="1684"/>
      <c r="BU3518" s="1684"/>
      <c r="BV3518" s="1684"/>
      <c r="BW3518" s="1684"/>
      <c r="BX3518" s="1684"/>
      <c r="BY3518" s="1684"/>
      <c r="BZ3518" s="1684"/>
      <c r="CA3518" s="1684"/>
      <c r="CB3518" s="1684"/>
      <c r="CC3518" s="1684"/>
      <c r="CD3518" s="1684"/>
      <c r="CE3518" s="1684"/>
      <c r="CF3518" s="1684"/>
      <c r="CG3518" s="1684"/>
      <c r="CH3518" s="1684"/>
      <c r="CI3518" s="1684"/>
      <c r="CJ3518" s="1684"/>
      <c r="CK3518" s="1684"/>
      <c r="CL3518" s="1684"/>
      <c r="CM3518" s="1684"/>
      <c r="CN3518" s="1684"/>
      <c r="CO3518" s="1684"/>
    </row>
    <row r="3519" spans="1:93" s="1391" customFormat="1" ht="15.75" x14ac:dyDescent="0.25">
      <c r="A3519" s="1684"/>
      <c r="B3519" s="1684"/>
      <c r="C3519" s="1684"/>
      <c r="D3519" s="1684"/>
      <c r="E3519" s="1684"/>
      <c r="G3519" s="1405">
        <v>0.8</v>
      </c>
      <c r="H3519" s="1405">
        <v>11.5</v>
      </c>
      <c r="L3519" s="1694">
        <v>55</v>
      </c>
      <c r="M3519" s="1694">
        <v>1.33</v>
      </c>
      <c r="N3519" s="1694">
        <v>1.6</v>
      </c>
      <c r="O3519" s="1694">
        <v>1.87</v>
      </c>
      <c r="P3519" s="1417"/>
      <c r="Q3519" s="1417"/>
      <c r="R3519" s="1417"/>
      <c r="S3519" s="1417"/>
      <c r="T3519" s="1417"/>
      <c r="U3519" s="1417"/>
      <c r="V3519" s="1417"/>
      <c r="W3519" s="1417"/>
      <c r="AQ3519" s="1684"/>
      <c r="AR3519" s="1684"/>
      <c r="AS3519" s="1684"/>
      <c r="AT3519" s="1684"/>
      <c r="AU3519" s="1684"/>
      <c r="AV3519" s="1684"/>
      <c r="AW3519" s="1684"/>
      <c r="AX3519" s="1684"/>
      <c r="AY3519" s="1684"/>
      <c r="AZ3519" s="1684"/>
      <c r="BA3519" s="1684"/>
      <c r="BB3519" s="1684"/>
      <c r="BC3519" s="1684"/>
      <c r="BD3519" s="1684"/>
      <c r="BE3519" s="1684"/>
      <c r="BF3519" s="1684"/>
      <c r="BG3519" s="1684"/>
      <c r="BH3519" s="1684"/>
      <c r="BI3519" s="1684"/>
      <c r="BJ3519" s="1684"/>
      <c r="BK3519" s="1684"/>
      <c r="BL3519" s="1684"/>
      <c r="BM3519" s="1684"/>
      <c r="BN3519" s="1684"/>
      <c r="BO3519" s="1684"/>
      <c r="BP3519" s="1684"/>
      <c r="BQ3519" s="1684"/>
      <c r="BR3519" s="1684"/>
      <c r="BS3519" s="1684"/>
      <c r="BT3519" s="1684"/>
      <c r="BU3519" s="1684"/>
      <c r="BV3519" s="1684"/>
      <c r="BW3519" s="1684"/>
      <c r="BX3519" s="1684"/>
      <c r="BY3519" s="1684"/>
      <c r="BZ3519" s="1684"/>
      <c r="CA3519" s="1684"/>
      <c r="CB3519" s="1684"/>
      <c r="CC3519" s="1684"/>
      <c r="CD3519" s="1684"/>
      <c r="CE3519" s="1684"/>
      <c r="CF3519" s="1684"/>
      <c r="CG3519" s="1684"/>
      <c r="CH3519" s="1684"/>
      <c r="CI3519" s="1684"/>
      <c r="CJ3519" s="1684"/>
      <c r="CK3519" s="1684"/>
      <c r="CL3519" s="1684"/>
      <c r="CM3519" s="1684"/>
      <c r="CN3519" s="1684"/>
      <c r="CO3519" s="1684"/>
    </row>
    <row r="3520" spans="1:93" s="1391" customFormat="1" ht="15" x14ac:dyDescent="0.2">
      <c r="A3520" s="1684"/>
      <c r="B3520" s="1684"/>
      <c r="C3520" s="1684"/>
      <c r="D3520" s="1684"/>
      <c r="E3520" s="1684"/>
      <c r="G3520" s="1405">
        <v>0.9</v>
      </c>
      <c r="H3520" s="1405">
        <v>13.4</v>
      </c>
      <c r="AQ3520" s="1684"/>
      <c r="AR3520" s="1684"/>
      <c r="AS3520" s="1684"/>
      <c r="AT3520" s="1684"/>
      <c r="AU3520" s="1684"/>
      <c r="AV3520" s="1684"/>
      <c r="AW3520" s="1684"/>
      <c r="AX3520" s="1684"/>
      <c r="AY3520" s="1684"/>
      <c r="AZ3520" s="1684"/>
      <c r="BA3520" s="1684"/>
      <c r="BB3520" s="1684"/>
      <c r="BC3520" s="1684"/>
      <c r="BD3520" s="1684"/>
      <c r="BE3520" s="1684"/>
      <c r="BF3520" s="1684"/>
      <c r="BG3520" s="1684"/>
      <c r="BH3520" s="1684"/>
      <c r="BI3520" s="1684"/>
      <c r="BJ3520" s="1684"/>
      <c r="BK3520" s="1684"/>
      <c r="BL3520" s="1684"/>
      <c r="BM3520" s="1684"/>
      <c r="BN3520" s="1684"/>
      <c r="BO3520" s="1684"/>
      <c r="BP3520" s="1684"/>
      <c r="BQ3520" s="1684"/>
      <c r="BR3520" s="1684"/>
      <c r="BS3520" s="1684"/>
      <c r="BT3520" s="1684"/>
      <c r="BU3520" s="1684"/>
      <c r="BV3520" s="1684"/>
      <c r="BW3520" s="1684"/>
      <c r="BX3520" s="1684"/>
      <c r="BY3520" s="1684"/>
      <c r="BZ3520" s="1684"/>
      <c r="CA3520" s="1684"/>
      <c r="CB3520" s="1684"/>
      <c r="CC3520" s="1684"/>
      <c r="CD3520" s="1684"/>
      <c r="CE3520" s="1684"/>
      <c r="CF3520" s="1684"/>
      <c r="CG3520" s="1684"/>
      <c r="CH3520" s="1684"/>
      <c r="CI3520" s="1684"/>
      <c r="CJ3520" s="1684"/>
      <c r="CK3520" s="1684"/>
      <c r="CL3520" s="1684"/>
      <c r="CM3520" s="1684"/>
      <c r="CN3520" s="1684"/>
      <c r="CO3520" s="1684"/>
    </row>
    <row r="3521" spans="1:93" s="1391" customFormat="1" ht="15" x14ac:dyDescent="0.2">
      <c r="A3521" s="1684"/>
      <c r="B3521" s="1684"/>
      <c r="C3521" s="1684"/>
      <c r="D3521" s="1684"/>
      <c r="E3521" s="1684"/>
      <c r="G3521" s="1405">
        <v>1</v>
      </c>
      <c r="H3521" s="1405">
        <v>13.6</v>
      </c>
      <c r="AQ3521" s="1684"/>
      <c r="AR3521" s="1684"/>
      <c r="AS3521" s="1684"/>
      <c r="AT3521" s="1684"/>
      <c r="AU3521" s="1684"/>
      <c r="AV3521" s="1684"/>
      <c r="AW3521" s="1684"/>
      <c r="AX3521" s="1684"/>
      <c r="AY3521" s="1684"/>
      <c r="AZ3521" s="1684"/>
      <c r="BA3521" s="1684"/>
      <c r="BB3521" s="1684"/>
      <c r="BC3521" s="1684"/>
      <c r="BD3521" s="1684"/>
      <c r="BE3521" s="1684"/>
      <c r="BF3521" s="1684"/>
      <c r="BG3521" s="1684"/>
      <c r="BH3521" s="1684"/>
      <c r="BI3521" s="1684"/>
      <c r="BJ3521" s="1684"/>
      <c r="BK3521" s="1684"/>
      <c r="BL3521" s="1684"/>
      <c r="BM3521" s="1684"/>
      <c r="BN3521" s="1684"/>
      <c r="BO3521" s="1684"/>
      <c r="BP3521" s="1684"/>
      <c r="BQ3521" s="1684"/>
      <c r="BR3521" s="1684"/>
      <c r="BS3521" s="1684"/>
      <c r="BT3521" s="1684"/>
      <c r="BU3521" s="1684"/>
      <c r="BV3521" s="1684"/>
      <c r="BW3521" s="1684"/>
      <c r="BX3521" s="1684"/>
      <c r="BY3521" s="1684"/>
      <c r="BZ3521" s="1684"/>
      <c r="CA3521" s="1684"/>
      <c r="CB3521" s="1684"/>
      <c r="CC3521" s="1684"/>
      <c r="CD3521" s="1684"/>
      <c r="CE3521" s="1684"/>
      <c r="CF3521" s="1684"/>
      <c r="CG3521" s="1684"/>
      <c r="CH3521" s="1684"/>
      <c r="CI3521" s="1684"/>
      <c r="CJ3521" s="1684"/>
      <c r="CK3521" s="1684"/>
      <c r="CL3521" s="1684"/>
      <c r="CM3521" s="1684"/>
      <c r="CN3521" s="1684"/>
      <c r="CO3521" s="1684"/>
    </row>
    <row r="3522" spans="1:93" s="1391" customFormat="1" ht="15.75" x14ac:dyDescent="0.25">
      <c r="A3522" s="1684"/>
      <c r="B3522" s="1684"/>
      <c r="C3522" s="1684"/>
      <c r="D3522" s="1684"/>
      <c r="E3522" s="1684"/>
      <c r="G3522" s="1405">
        <v>1.1000000000000001</v>
      </c>
      <c r="H3522" s="1405">
        <v>19.2</v>
      </c>
      <c r="K3522" s="1417" t="s">
        <v>1462</v>
      </c>
      <c r="L3522" s="1417"/>
      <c r="M3522" s="1417"/>
      <c r="N3522" s="1417"/>
      <c r="O3522" s="1417"/>
      <c r="P3522" s="1417"/>
      <c r="Q3522" s="1417"/>
      <c r="AQ3522" s="1684"/>
      <c r="AR3522" s="1684"/>
      <c r="AS3522" s="1684"/>
      <c r="AT3522" s="1684"/>
      <c r="AU3522" s="1684"/>
      <c r="AV3522" s="1684"/>
      <c r="AW3522" s="1684"/>
      <c r="AX3522" s="1684"/>
      <c r="AY3522" s="1684"/>
      <c r="AZ3522" s="1684"/>
      <c r="BA3522" s="1684"/>
      <c r="BB3522" s="1684"/>
      <c r="BC3522" s="1684"/>
      <c r="BD3522" s="1684"/>
      <c r="BE3522" s="1684"/>
      <c r="BF3522" s="1684"/>
      <c r="BG3522" s="1684"/>
      <c r="BH3522" s="1684"/>
      <c r="BI3522" s="1684"/>
      <c r="BJ3522" s="1684"/>
      <c r="BK3522" s="1684"/>
      <c r="BL3522" s="1684"/>
      <c r="BM3522" s="1684"/>
      <c r="BN3522" s="1684"/>
      <c r="BO3522" s="1684"/>
      <c r="BP3522" s="1684"/>
      <c r="BQ3522" s="1684"/>
      <c r="BR3522" s="1684"/>
      <c r="BS3522" s="1684"/>
      <c r="BT3522" s="1684"/>
      <c r="BU3522" s="1684"/>
      <c r="BV3522" s="1684"/>
      <c r="BW3522" s="1684"/>
      <c r="BX3522" s="1684"/>
      <c r="BY3522" s="1684"/>
      <c r="BZ3522" s="1684"/>
      <c r="CA3522" s="1684"/>
      <c r="CB3522" s="1684"/>
      <c r="CC3522" s="1684"/>
      <c r="CD3522" s="1684"/>
      <c r="CE3522" s="1684"/>
      <c r="CF3522" s="1684"/>
      <c r="CG3522" s="1684"/>
      <c r="CH3522" s="1684"/>
      <c r="CI3522" s="1684"/>
      <c r="CJ3522" s="1684"/>
      <c r="CK3522" s="1684"/>
      <c r="CL3522" s="1684"/>
      <c r="CM3522" s="1684"/>
      <c r="CN3522" s="1684"/>
      <c r="CO3522" s="1684"/>
    </row>
    <row r="3523" spans="1:93" s="1391" customFormat="1" ht="15.75" x14ac:dyDescent="0.25">
      <c r="A3523" s="1684"/>
      <c r="B3523" s="1684"/>
      <c r="C3523" s="1684"/>
      <c r="D3523" s="1684"/>
      <c r="E3523" s="1684"/>
      <c r="G3523" s="1405">
        <v>1.3</v>
      </c>
      <c r="H3523" s="1405">
        <v>19.2</v>
      </c>
      <c r="K3523" s="1417" t="s">
        <v>1463</v>
      </c>
      <c r="L3523" s="1417" t="s">
        <v>1464</v>
      </c>
      <c r="M3523" s="1417"/>
      <c r="N3523" s="1417"/>
      <c r="O3523" s="1417"/>
      <c r="P3523" s="1417"/>
      <c r="Q3523" s="1417"/>
      <c r="AQ3523" s="1684"/>
      <c r="AR3523" s="1684"/>
      <c r="AS3523" s="1684"/>
      <c r="AT3523" s="1684"/>
      <c r="AU3523" s="1684"/>
      <c r="AV3523" s="1684"/>
      <c r="AW3523" s="1684"/>
      <c r="AX3523" s="1684"/>
      <c r="AY3523" s="1684"/>
      <c r="AZ3523" s="1684"/>
      <c r="BA3523" s="1684"/>
      <c r="BB3523" s="1684"/>
      <c r="BC3523" s="1684"/>
      <c r="BD3523" s="1684"/>
      <c r="BE3523" s="1684"/>
      <c r="BF3523" s="1684"/>
      <c r="BG3523" s="1684"/>
      <c r="BH3523" s="1684"/>
      <c r="BI3523" s="1684"/>
      <c r="BJ3523" s="1684"/>
      <c r="BK3523" s="1684"/>
      <c r="BL3523" s="1684"/>
      <c r="BM3523" s="1684"/>
      <c r="BN3523" s="1684"/>
      <c r="BO3523" s="1684"/>
      <c r="BP3523" s="1684"/>
      <c r="BQ3523" s="1684"/>
      <c r="BR3523" s="1684"/>
      <c r="BS3523" s="1684"/>
      <c r="BT3523" s="1684"/>
      <c r="BU3523" s="1684"/>
      <c r="BV3523" s="1684"/>
      <c r="BW3523" s="1684"/>
      <c r="BX3523" s="1684"/>
      <c r="BY3523" s="1684"/>
      <c r="BZ3523" s="1684"/>
      <c r="CA3523" s="1684"/>
      <c r="CB3523" s="1684"/>
      <c r="CC3523" s="1684"/>
      <c r="CD3523" s="1684"/>
      <c r="CE3523" s="1684"/>
      <c r="CF3523" s="1684"/>
      <c r="CG3523" s="1684"/>
      <c r="CH3523" s="1684"/>
      <c r="CI3523" s="1684"/>
      <c r="CJ3523" s="1684"/>
      <c r="CK3523" s="1684"/>
      <c r="CL3523" s="1684"/>
      <c r="CM3523" s="1684"/>
      <c r="CN3523" s="1684"/>
      <c r="CO3523" s="1684"/>
    </row>
    <row r="3524" spans="1:93" s="1391" customFormat="1" ht="15.75" x14ac:dyDescent="0.25">
      <c r="A3524" s="1684"/>
      <c r="B3524" s="1684"/>
      <c r="C3524" s="1684"/>
      <c r="D3524" s="1684"/>
      <c r="E3524" s="1684"/>
      <c r="G3524" s="1405">
        <v>1.5</v>
      </c>
      <c r="H3524" s="1405">
        <v>22.6</v>
      </c>
      <c r="K3524" s="1417">
        <v>4</v>
      </c>
      <c r="L3524" s="1417">
        <v>7.28</v>
      </c>
      <c r="M3524" s="1417">
        <f>L3524/K3524</f>
        <v>1.82</v>
      </c>
      <c r="N3524" s="1417"/>
      <c r="O3524" s="1417"/>
      <c r="P3524" s="1417"/>
      <c r="Q3524" s="1417"/>
      <c r="AQ3524" s="1684"/>
      <c r="AR3524" s="1684"/>
      <c r="AS3524" s="1684"/>
      <c r="AT3524" s="1684"/>
      <c r="AU3524" s="1684"/>
      <c r="AV3524" s="1684"/>
      <c r="AW3524" s="1684"/>
      <c r="AX3524" s="1684"/>
      <c r="AY3524" s="1684"/>
      <c r="AZ3524" s="1684"/>
      <c r="BA3524" s="1684"/>
      <c r="BB3524" s="1684"/>
      <c r="BC3524" s="1684"/>
      <c r="BD3524" s="1684"/>
      <c r="BE3524" s="1684"/>
      <c r="BF3524" s="1684"/>
      <c r="BG3524" s="1684"/>
      <c r="BH3524" s="1684"/>
      <c r="BI3524" s="1684"/>
      <c r="BJ3524" s="1684"/>
      <c r="BK3524" s="1684"/>
      <c r="BL3524" s="1684"/>
      <c r="BM3524" s="1684"/>
      <c r="BN3524" s="1684"/>
      <c r="BO3524" s="1684"/>
      <c r="BP3524" s="1684"/>
      <c r="BQ3524" s="1684"/>
      <c r="BR3524" s="1684"/>
      <c r="BS3524" s="1684"/>
      <c r="BT3524" s="1684"/>
      <c r="BU3524" s="1684"/>
      <c r="BV3524" s="1684"/>
      <c r="BW3524" s="1684"/>
      <c r="BX3524" s="1684"/>
      <c r="BY3524" s="1684"/>
      <c r="BZ3524" s="1684"/>
      <c r="CA3524" s="1684"/>
      <c r="CB3524" s="1684"/>
      <c r="CC3524" s="1684"/>
      <c r="CD3524" s="1684"/>
      <c r="CE3524" s="1684"/>
      <c r="CF3524" s="1684"/>
      <c r="CG3524" s="1684"/>
      <c r="CH3524" s="1684"/>
      <c r="CI3524" s="1684"/>
      <c r="CJ3524" s="1684"/>
      <c r="CK3524" s="1684"/>
      <c r="CL3524" s="1684"/>
      <c r="CM3524" s="1684"/>
      <c r="CN3524" s="1684"/>
      <c r="CO3524" s="1684"/>
    </row>
    <row r="3525" spans="1:93" s="1391" customFormat="1" ht="15.75" x14ac:dyDescent="0.25">
      <c r="A3525" s="1684"/>
      <c r="B3525" s="1684"/>
      <c r="C3525" s="1684"/>
      <c r="D3525" s="1684"/>
      <c r="E3525" s="1684"/>
      <c r="G3525" s="1405">
        <v>1.7</v>
      </c>
      <c r="H3525" s="1405">
        <v>22.6</v>
      </c>
      <c r="K3525" s="1417">
        <v>6</v>
      </c>
      <c r="L3525" s="1417">
        <v>9.3000000000000007</v>
      </c>
      <c r="M3525" s="1417">
        <f t="shared" ref="M3525:M3531" si="2">L3525/K3525</f>
        <v>1.55</v>
      </c>
      <c r="N3525" s="1417"/>
      <c r="O3525" s="1417"/>
      <c r="P3525" s="1417"/>
      <c r="Q3525" s="1417"/>
      <c r="AQ3525" s="1684"/>
      <c r="AR3525" s="1684"/>
      <c r="AS3525" s="1684"/>
      <c r="AT3525" s="1684"/>
      <c r="AU3525" s="1684"/>
      <c r="AV3525" s="1684"/>
      <c r="AW3525" s="1684"/>
      <c r="AX3525" s="1684"/>
      <c r="AY3525" s="1684"/>
      <c r="AZ3525" s="1684"/>
      <c r="BA3525" s="1684"/>
      <c r="BB3525" s="1684"/>
      <c r="BC3525" s="1684"/>
      <c r="BD3525" s="1684"/>
      <c r="BE3525" s="1684"/>
      <c r="BF3525" s="1684"/>
      <c r="BG3525" s="1684"/>
      <c r="BH3525" s="1684"/>
      <c r="BI3525" s="1684"/>
      <c r="BJ3525" s="1684"/>
      <c r="BK3525" s="1684"/>
      <c r="BL3525" s="1684"/>
      <c r="BM3525" s="1684"/>
      <c r="BN3525" s="1684"/>
      <c r="BO3525" s="1684"/>
      <c r="BP3525" s="1684"/>
      <c r="BQ3525" s="1684"/>
      <c r="BR3525" s="1684"/>
      <c r="BS3525" s="1684"/>
      <c r="BT3525" s="1684"/>
      <c r="BU3525" s="1684"/>
      <c r="BV3525" s="1684"/>
      <c r="BW3525" s="1684"/>
      <c r="BX3525" s="1684"/>
      <c r="BY3525" s="1684"/>
      <c r="BZ3525" s="1684"/>
      <c r="CA3525" s="1684"/>
      <c r="CB3525" s="1684"/>
      <c r="CC3525" s="1684"/>
      <c r="CD3525" s="1684"/>
      <c r="CE3525" s="1684"/>
      <c r="CF3525" s="1684"/>
      <c r="CG3525" s="1684"/>
      <c r="CH3525" s="1684"/>
      <c r="CI3525" s="1684"/>
      <c r="CJ3525" s="1684"/>
      <c r="CK3525" s="1684"/>
      <c r="CL3525" s="1684"/>
      <c r="CM3525" s="1684"/>
      <c r="CN3525" s="1684"/>
      <c r="CO3525" s="1684"/>
    </row>
    <row r="3526" spans="1:93" s="1391" customFormat="1" ht="15.75" x14ac:dyDescent="0.25">
      <c r="A3526" s="1684"/>
      <c r="B3526" s="1684"/>
      <c r="C3526" s="1684"/>
      <c r="D3526" s="1684"/>
      <c r="E3526" s="1684"/>
      <c r="G3526" s="1405">
        <v>1.8</v>
      </c>
      <c r="H3526" s="1405">
        <v>25.8</v>
      </c>
      <c r="K3526" s="1417">
        <v>8</v>
      </c>
      <c r="L3526" s="1417">
        <v>11.04</v>
      </c>
      <c r="M3526" s="1417">
        <f t="shared" si="2"/>
        <v>1.38</v>
      </c>
      <c r="N3526" s="1417"/>
      <c r="O3526" s="1417"/>
      <c r="P3526" s="1417"/>
      <c r="Q3526" s="1417"/>
      <c r="R3526" s="1684"/>
      <c r="S3526" s="1684"/>
      <c r="T3526" s="1684"/>
      <c r="U3526" s="1684"/>
      <c r="V3526" s="1684"/>
      <c r="W3526" s="1684"/>
      <c r="X3526" s="1684"/>
      <c r="Y3526" s="1684"/>
      <c r="Z3526" s="1684"/>
      <c r="AA3526" s="1684"/>
      <c r="AB3526" s="1684"/>
      <c r="AC3526" s="1684"/>
      <c r="AD3526" s="1684"/>
      <c r="AE3526" s="1684"/>
      <c r="AF3526" s="1684"/>
      <c r="AG3526" s="1684"/>
      <c r="AH3526" s="1684"/>
      <c r="AI3526" s="1684"/>
      <c r="AJ3526" s="1684"/>
      <c r="AK3526" s="1684"/>
      <c r="AL3526" s="1684"/>
      <c r="AM3526" s="1684"/>
      <c r="AN3526" s="1684"/>
      <c r="AO3526" s="1684"/>
      <c r="AP3526" s="1684"/>
      <c r="AQ3526" s="1684"/>
      <c r="AR3526" s="1684"/>
      <c r="AS3526" s="1684"/>
      <c r="AT3526" s="1684"/>
      <c r="AU3526" s="1684"/>
      <c r="AV3526" s="1684"/>
      <c r="AW3526" s="1684"/>
      <c r="AX3526" s="1684"/>
      <c r="AY3526" s="1684"/>
      <c r="AZ3526" s="1684"/>
      <c r="BA3526" s="1684"/>
      <c r="BB3526" s="1684"/>
      <c r="BC3526" s="1684"/>
      <c r="BD3526" s="1684"/>
      <c r="BE3526" s="1684"/>
      <c r="BF3526" s="1684"/>
      <c r="BG3526" s="1684"/>
      <c r="BH3526" s="1684"/>
      <c r="BI3526" s="1684"/>
      <c r="BJ3526" s="1684"/>
      <c r="BK3526" s="1684"/>
      <c r="BL3526" s="1684"/>
      <c r="BM3526" s="1684"/>
      <c r="BN3526" s="1684"/>
      <c r="BO3526" s="1684"/>
      <c r="BP3526" s="1684"/>
      <c r="BQ3526" s="1684"/>
      <c r="BR3526" s="1684"/>
      <c r="BS3526" s="1684"/>
      <c r="BT3526" s="1684"/>
      <c r="BU3526" s="1684"/>
      <c r="BV3526" s="1684"/>
      <c r="BW3526" s="1684"/>
      <c r="BX3526" s="1684"/>
      <c r="BY3526" s="1684"/>
      <c r="BZ3526" s="1684"/>
      <c r="CA3526" s="1684"/>
      <c r="CB3526" s="1684"/>
      <c r="CC3526" s="1684"/>
      <c r="CD3526" s="1684"/>
      <c r="CE3526" s="1684"/>
      <c r="CF3526" s="1684"/>
      <c r="CG3526" s="1684"/>
      <c r="CH3526" s="1684"/>
      <c r="CI3526" s="1684"/>
      <c r="CJ3526" s="1684"/>
      <c r="CK3526" s="1684"/>
      <c r="CL3526" s="1684"/>
      <c r="CM3526" s="1684"/>
      <c r="CN3526" s="1684"/>
      <c r="CO3526" s="1684"/>
    </row>
    <row r="3527" spans="1:93" s="1391" customFormat="1" ht="15.75" x14ac:dyDescent="0.25">
      <c r="A3527" s="1684"/>
      <c r="B3527" s="1684"/>
      <c r="C3527" s="1684"/>
      <c r="D3527" s="1684"/>
      <c r="E3527" s="1684"/>
      <c r="G3527" s="1405">
        <v>1.9</v>
      </c>
      <c r="H3527" s="1405">
        <v>25.8</v>
      </c>
      <c r="K3527" s="1417">
        <v>10</v>
      </c>
      <c r="L3527" s="1417">
        <v>12.06</v>
      </c>
      <c r="M3527" s="1417">
        <f t="shared" si="2"/>
        <v>1.206</v>
      </c>
      <c r="N3527" s="1417"/>
      <c r="O3527" s="1417"/>
      <c r="P3527" s="1417"/>
      <c r="Q3527" s="1417"/>
      <c r="R3527" s="1684"/>
      <c r="S3527" s="1684"/>
      <c r="T3527" s="1684"/>
      <c r="U3527" s="1684"/>
      <c r="V3527" s="1684"/>
      <c r="W3527" s="1684"/>
      <c r="X3527" s="1684"/>
      <c r="Y3527" s="1684"/>
      <c r="Z3527" s="1684"/>
      <c r="AA3527" s="1684"/>
      <c r="AB3527" s="1684"/>
      <c r="AC3527" s="1684"/>
      <c r="AD3527" s="1684"/>
      <c r="AE3527" s="1684"/>
      <c r="AF3527" s="1684"/>
      <c r="AG3527" s="1684"/>
      <c r="AH3527" s="1684"/>
      <c r="AI3527" s="1684"/>
      <c r="AJ3527" s="1684"/>
      <c r="AK3527" s="1684"/>
      <c r="AL3527" s="1684"/>
      <c r="AM3527" s="1684"/>
      <c r="AN3527" s="1684"/>
      <c r="AO3527" s="1684"/>
      <c r="AP3527" s="1684"/>
      <c r="AQ3527" s="1684"/>
      <c r="AR3527" s="1684"/>
      <c r="AS3527" s="1684"/>
      <c r="AT3527" s="1684"/>
      <c r="AU3527" s="1684"/>
      <c r="AV3527" s="1684"/>
      <c r="AW3527" s="1684"/>
      <c r="AX3527" s="1684"/>
      <c r="AY3527" s="1684"/>
      <c r="AZ3527" s="1684"/>
      <c r="BA3527" s="1684"/>
      <c r="BB3527" s="1684"/>
      <c r="BC3527" s="1684"/>
      <c r="BD3527" s="1684"/>
      <c r="BE3527" s="1684"/>
      <c r="BF3527" s="1684"/>
      <c r="BG3527" s="1684"/>
      <c r="BH3527" s="1684"/>
      <c r="BI3527" s="1684"/>
      <c r="BJ3527" s="1684"/>
      <c r="BK3527" s="1684"/>
      <c r="BL3527" s="1684"/>
      <c r="BM3527" s="1684"/>
      <c r="BN3527" s="1684"/>
      <c r="BO3527" s="1684"/>
      <c r="BP3527" s="1684"/>
      <c r="BQ3527" s="1684"/>
      <c r="BR3527" s="1684"/>
      <c r="BS3527" s="1684"/>
      <c r="BT3527" s="1684"/>
      <c r="BU3527" s="1684"/>
      <c r="BV3527" s="1684"/>
      <c r="BW3527" s="1684"/>
      <c r="BX3527" s="1684"/>
      <c r="BY3527" s="1684"/>
      <c r="BZ3527" s="1684"/>
      <c r="CA3527" s="1684"/>
      <c r="CB3527" s="1684"/>
      <c r="CC3527" s="1684"/>
      <c r="CD3527" s="1684"/>
      <c r="CE3527" s="1684"/>
      <c r="CF3527" s="1684"/>
      <c r="CG3527" s="1684"/>
      <c r="CH3527" s="1684"/>
      <c r="CI3527" s="1684"/>
      <c r="CJ3527" s="1684"/>
      <c r="CK3527" s="1684"/>
      <c r="CL3527" s="1684"/>
      <c r="CM3527" s="1684"/>
      <c r="CN3527" s="1684"/>
      <c r="CO3527" s="1684"/>
    </row>
    <row r="3528" spans="1:93" s="1391" customFormat="1" ht="15.75" x14ac:dyDescent="0.25">
      <c r="A3528" s="1684"/>
      <c r="B3528" s="1684"/>
      <c r="C3528" s="1684"/>
      <c r="D3528" s="1684"/>
      <c r="E3528" s="1684"/>
      <c r="G3528" s="1405">
        <v>2</v>
      </c>
      <c r="H3528" s="1405">
        <v>25.8</v>
      </c>
      <c r="K3528" s="1417">
        <v>12</v>
      </c>
      <c r="L3528" s="1417">
        <v>14.04</v>
      </c>
      <c r="M3528" s="1417">
        <f t="shared" si="2"/>
        <v>1.17</v>
      </c>
      <c r="N3528" s="1417"/>
      <c r="O3528" s="1417"/>
      <c r="P3528" s="1417"/>
      <c r="Q3528" s="1417"/>
      <c r="R3528" s="1684"/>
      <c r="S3528" s="1684"/>
      <c r="T3528" s="1684"/>
      <c r="U3528" s="1684"/>
      <c r="V3528" s="1684"/>
      <c r="W3528" s="1684"/>
      <c r="X3528" s="1684"/>
      <c r="Y3528" s="1684"/>
      <c r="Z3528" s="1684"/>
      <c r="AA3528" s="1684"/>
      <c r="AB3528" s="1684"/>
      <c r="AC3528" s="1684"/>
      <c r="AD3528" s="1684"/>
      <c r="AE3528" s="1684"/>
      <c r="AF3528" s="1684"/>
      <c r="AG3528" s="1684"/>
      <c r="AH3528" s="1684"/>
      <c r="AI3528" s="1684"/>
      <c r="AJ3528" s="1684"/>
      <c r="AK3528" s="1684"/>
      <c r="AL3528" s="1684"/>
      <c r="AM3528" s="1684"/>
      <c r="AN3528" s="1684"/>
      <c r="AO3528" s="1684"/>
      <c r="AP3528" s="1684"/>
      <c r="AQ3528" s="1684"/>
      <c r="AR3528" s="1684"/>
      <c r="AS3528" s="1684"/>
      <c r="AT3528" s="1684"/>
      <c r="AU3528" s="1684"/>
      <c r="AV3528" s="1684"/>
      <c r="AW3528" s="1684"/>
      <c r="AX3528" s="1684"/>
      <c r="AY3528" s="1684"/>
      <c r="AZ3528" s="1684"/>
      <c r="BA3528" s="1684"/>
      <c r="BB3528" s="1684"/>
      <c r="BC3528" s="1684"/>
      <c r="BD3528" s="1684"/>
      <c r="BE3528" s="1684"/>
      <c r="BF3528" s="1684"/>
      <c r="BG3528" s="1684"/>
      <c r="BH3528" s="1684"/>
      <c r="BI3528" s="1684"/>
      <c r="BJ3528" s="1684"/>
      <c r="BK3528" s="1684"/>
      <c r="BL3528" s="1684"/>
      <c r="BM3528" s="1684"/>
      <c r="BN3528" s="1684"/>
      <c r="BO3528" s="1684"/>
      <c r="BP3528" s="1684"/>
      <c r="BQ3528" s="1684"/>
      <c r="BR3528" s="1684"/>
      <c r="BS3528" s="1684"/>
      <c r="BT3528" s="1684"/>
      <c r="BU3528" s="1684"/>
      <c r="BV3528" s="1684"/>
      <c r="BW3528" s="1684"/>
      <c r="BX3528" s="1684"/>
      <c r="BY3528" s="1684"/>
      <c r="BZ3528" s="1684"/>
      <c r="CA3528" s="1684"/>
      <c r="CB3528" s="1684"/>
      <c r="CC3528" s="1684"/>
      <c r="CD3528" s="1684"/>
      <c r="CE3528" s="1684"/>
      <c r="CF3528" s="1684"/>
      <c r="CG3528" s="1684"/>
      <c r="CH3528" s="1684"/>
      <c r="CI3528" s="1684"/>
      <c r="CJ3528" s="1684"/>
      <c r="CK3528" s="1684"/>
      <c r="CL3528" s="1684"/>
      <c r="CM3528" s="1684"/>
      <c r="CN3528" s="1684"/>
      <c r="CO3528" s="1684"/>
    </row>
    <row r="3529" spans="1:93" s="1391" customFormat="1" ht="15.75" x14ac:dyDescent="0.25">
      <c r="A3529" s="1684"/>
      <c r="B3529" s="1684"/>
      <c r="C3529" s="1684"/>
      <c r="D3529" s="1684"/>
      <c r="E3529" s="1684"/>
      <c r="G3529" s="1405">
        <v>2.4</v>
      </c>
      <c r="H3529" s="1405">
        <v>28.4</v>
      </c>
      <c r="K3529" s="1417">
        <v>14</v>
      </c>
      <c r="L3529" s="1417">
        <v>15.4</v>
      </c>
      <c r="M3529" s="1417">
        <f t="shared" si="2"/>
        <v>1.1000000000000001</v>
      </c>
      <c r="N3529" s="1417"/>
      <c r="O3529" s="1417"/>
      <c r="P3529" s="1417"/>
      <c r="Q3529" s="1417"/>
      <c r="R3529" s="1684"/>
      <c r="S3529" s="1684"/>
      <c r="T3529" s="1684"/>
      <c r="U3529" s="1684"/>
      <c r="V3529" s="1684"/>
      <c r="W3529" s="1684"/>
      <c r="X3529" s="1684"/>
      <c r="Y3529" s="1684"/>
      <c r="Z3529" s="1684"/>
      <c r="AA3529" s="1684"/>
      <c r="AB3529" s="1684"/>
      <c r="AC3529" s="1684"/>
      <c r="AD3529" s="1684"/>
      <c r="AE3529" s="1684"/>
      <c r="AF3529" s="1684"/>
      <c r="AG3529" s="1684"/>
      <c r="AH3529" s="1684"/>
      <c r="AI3529" s="1684"/>
      <c r="AJ3529" s="1684"/>
      <c r="AK3529" s="1684"/>
      <c r="AL3529" s="1684"/>
      <c r="AM3529" s="1684"/>
      <c r="AN3529" s="1684"/>
      <c r="AO3529" s="1684"/>
      <c r="AP3529" s="1684"/>
      <c r="AQ3529" s="1684"/>
      <c r="AR3529" s="1684"/>
      <c r="AS3529" s="1684"/>
      <c r="AT3529" s="1684"/>
      <c r="AU3529" s="1684"/>
      <c r="AV3529" s="1684"/>
      <c r="AW3529" s="1684"/>
      <c r="AX3529" s="1684"/>
      <c r="AY3529" s="1684"/>
      <c r="AZ3529" s="1684"/>
      <c r="BA3529" s="1684"/>
      <c r="BB3529" s="1684"/>
      <c r="BC3529" s="1684"/>
      <c r="BD3529" s="1684"/>
      <c r="BE3529" s="1684"/>
      <c r="BF3529" s="1684"/>
      <c r="BG3529" s="1684"/>
      <c r="BH3529" s="1684"/>
      <c r="BI3529" s="1684"/>
      <c r="BJ3529" s="1684"/>
      <c r="BK3529" s="1684"/>
      <c r="BL3529" s="1684"/>
      <c r="BM3529" s="1684"/>
      <c r="BN3529" s="1684"/>
      <c r="BO3529" s="1684"/>
      <c r="BP3529" s="1684"/>
      <c r="BQ3529" s="1684"/>
      <c r="BR3529" s="1684"/>
      <c r="BS3529" s="1684"/>
      <c r="BT3529" s="1684"/>
      <c r="BU3529" s="1684"/>
      <c r="BV3529" s="1684"/>
      <c r="BW3529" s="1684"/>
      <c r="BX3529" s="1684"/>
      <c r="BY3529" s="1684"/>
      <c r="BZ3529" s="1684"/>
      <c r="CA3529" s="1684"/>
      <c r="CB3529" s="1684"/>
      <c r="CC3529" s="1684"/>
      <c r="CD3529" s="1684"/>
      <c r="CE3529" s="1684"/>
      <c r="CF3529" s="1684"/>
      <c r="CG3529" s="1684"/>
      <c r="CH3529" s="1684"/>
      <c r="CI3529" s="1684"/>
      <c r="CJ3529" s="1684"/>
      <c r="CK3529" s="1684"/>
      <c r="CL3529" s="1684"/>
      <c r="CM3529" s="1684"/>
      <c r="CN3529" s="1684"/>
      <c r="CO3529" s="1684"/>
    </row>
    <row r="3530" spans="1:93" s="1391" customFormat="1" ht="15.75" x14ac:dyDescent="0.25">
      <c r="A3530" s="1684"/>
      <c r="B3530" s="1684"/>
      <c r="C3530" s="1684"/>
      <c r="D3530" s="1684"/>
      <c r="E3530" s="1684"/>
      <c r="G3530" s="1405">
        <v>2.6</v>
      </c>
      <c r="H3530" s="1405">
        <v>28.4</v>
      </c>
      <c r="K3530" s="1417">
        <v>16</v>
      </c>
      <c r="L3530" s="1417">
        <v>16.64</v>
      </c>
      <c r="M3530" s="1417">
        <f t="shared" si="2"/>
        <v>1.04</v>
      </c>
      <c r="N3530" s="1417"/>
      <c r="O3530" s="1417"/>
      <c r="P3530" s="1417"/>
      <c r="Q3530" s="1417"/>
      <c r="R3530" s="1684"/>
      <c r="S3530" s="1684"/>
      <c r="T3530" s="1684"/>
      <c r="U3530" s="1684"/>
      <c r="V3530" s="1684"/>
      <c r="W3530" s="1684"/>
      <c r="X3530" s="1684"/>
      <c r="Y3530" s="1684"/>
      <c r="Z3530" s="1684"/>
      <c r="AA3530" s="1684"/>
      <c r="AB3530" s="1684"/>
      <c r="AC3530" s="1684"/>
      <c r="AD3530" s="1684"/>
      <c r="AE3530" s="1684"/>
      <c r="AF3530" s="1684"/>
      <c r="AG3530" s="1684"/>
      <c r="AH3530" s="1684"/>
      <c r="AI3530" s="1684"/>
      <c r="AJ3530" s="1684"/>
      <c r="AK3530" s="1684"/>
      <c r="AL3530" s="1684"/>
      <c r="AM3530" s="1684"/>
      <c r="AN3530" s="1684"/>
      <c r="AO3530" s="1684"/>
      <c r="AP3530" s="1684"/>
      <c r="AQ3530" s="1684"/>
      <c r="AR3530" s="1684"/>
      <c r="AS3530" s="1684"/>
      <c r="AT3530" s="1684"/>
      <c r="AU3530" s="1684"/>
      <c r="AV3530" s="1684"/>
      <c r="AW3530" s="1684"/>
      <c r="AX3530" s="1684"/>
      <c r="AY3530" s="1684"/>
      <c r="AZ3530" s="1684"/>
      <c r="BA3530" s="1684"/>
      <c r="BB3530" s="1684"/>
      <c r="BC3530" s="1684"/>
      <c r="BD3530" s="1684"/>
      <c r="BE3530" s="1684"/>
      <c r="BF3530" s="1684"/>
      <c r="BG3530" s="1684"/>
      <c r="BH3530" s="1684"/>
      <c r="BI3530" s="1684"/>
      <c r="BJ3530" s="1684"/>
      <c r="BK3530" s="1684"/>
      <c r="BL3530" s="1684"/>
      <c r="BM3530" s="1684"/>
      <c r="BN3530" s="1684"/>
      <c r="BO3530" s="1684"/>
      <c r="BP3530" s="1684"/>
      <c r="BQ3530" s="1684"/>
      <c r="BR3530" s="1684"/>
      <c r="BS3530" s="1684"/>
      <c r="BT3530" s="1684"/>
      <c r="BU3530" s="1684"/>
      <c r="BV3530" s="1684"/>
      <c r="BW3530" s="1684"/>
      <c r="BX3530" s="1684"/>
      <c r="BY3530" s="1684"/>
      <c r="BZ3530" s="1684"/>
      <c r="CA3530" s="1684"/>
      <c r="CB3530" s="1684"/>
      <c r="CC3530" s="1684"/>
      <c r="CD3530" s="1684"/>
      <c r="CE3530" s="1684"/>
      <c r="CF3530" s="1684"/>
      <c r="CG3530" s="1684"/>
      <c r="CH3530" s="1684"/>
      <c r="CI3530" s="1684"/>
      <c r="CJ3530" s="1684"/>
      <c r="CK3530" s="1684"/>
      <c r="CL3530" s="1684"/>
      <c r="CM3530" s="1684"/>
      <c r="CN3530" s="1684"/>
      <c r="CO3530" s="1684"/>
    </row>
    <row r="3531" spans="1:93" s="1391" customFormat="1" ht="15.75" x14ac:dyDescent="0.25">
      <c r="A3531" s="1684"/>
      <c r="B3531" s="1684"/>
      <c r="C3531" s="1684"/>
      <c r="D3531" s="1684"/>
      <c r="E3531" s="1684"/>
      <c r="G3531" s="1405">
        <v>3</v>
      </c>
      <c r="H3531" s="1405">
        <v>28.4</v>
      </c>
      <c r="K3531" s="1417">
        <v>18</v>
      </c>
      <c r="L3531" s="1417">
        <v>17.82</v>
      </c>
      <c r="M3531" s="1417">
        <f t="shared" si="2"/>
        <v>0.99</v>
      </c>
      <c r="N3531" s="1417"/>
      <c r="O3531" s="1417"/>
      <c r="P3531" s="1417"/>
      <c r="Q3531" s="1417"/>
      <c r="R3531" s="1684"/>
      <c r="S3531" s="1684"/>
      <c r="T3531" s="1684"/>
      <c r="U3531" s="1684"/>
      <c r="V3531" s="1684"/>
      <c r="W3531" s="1684"/>
      <c r="X3531" s="1684"/>
      <c r="Y3531" s="1684"/>
      <c r="Z3531" s="1684"/>
      <c r="AA3531" s="1684"/>
      <c r="AB3531" s="1684"/>
      <c r="AC3531" s="1684"/>
      <c r="AD3531" s="1684"/>
      <c r="AE3531" s="1684"/>
      <c r="AF3531" s="1684"/>
      <c r="AG3531" s="1684"/>
      <c r="AH3531" s="1684"/>
      <c r="AI3531" s="1684"/>
      <c r="AJ3531" s="1684"/>
      <c r="AK3531" s="1684"/>
      <c r="AL3531" s="1684"/>
      <c r="AM3531" s="1684"/>
      <c r="AN3531" s="1684"/>
      <c r="AO3531" s="1684"/>
      <c r="AP3531" s="1684"/>
      <c r="AQ3531" s="1684"/>
      <c r="AR3531" s="1684"/>
      <c r="AS3531" s="1684"/>
      <c r="AT3531" s="1684"/>
      <c r="AU3531" s="1684"/>
      <c r="AV3531" s="1684"/>
      <c r="AW3531" s="1684"/>
      <c r="AX3531" s="1684"/>
      <c r="AY3531" s="1684"/>
      <c r="AZ3531" s="1684"/>
      <c r="BA3531" s="1684"/>
      <c r="BB3531" s="1684"/>
      <c r="BC3531" s="1684"/>
      <c r="BD3531" s="1684"/>
      <c r="BE3531" s="1684"/>
      <c r="BF3531" s="1684"/>
      <c r="BG3531" s="1684"/>
      <c r="BH3531" s="1684"/>
      <c r="BI3531" s="1684"/>
      <c r="BJ3531" s="1684"/>
      <c r="BK3531" s="1684"/>
      <c r="BL3531" s="1684"/>
      <c r="BM3531" s="1684"/>
      <c r="BN3531" s="1684"/>
      <c r="BO3531" s="1684"/>
      <c r="BP3531" s="1684"/>
      <c r="BQ3531" s="1684"/>
      <c r="BR3531" s="1684"/>
      <c r="BS3531" s="1684"/>
      <c r="BT3531" s="1684"/>
      <c r="BU3531" s="1684"/>
      <c r="BV3531" s="1684"/>
      <c r="BW3531" s="1684"/>
      <c r="BX3531" s="1684"/>
      <c r="BY3531" s="1684"/>
      <c r="BZ3531" s="1684"/>
      <c r="CA3531" s="1684"/>
      <c r="CB3531" s="1684"/>
      <c r="CC3531" s="1684"/>
      <c r="CD3531" s="1684"/>
      <c r="CE3531" s="1684"/>
      <c r="CF3531" s="1684"/>
      <c r="CG3531" s="1684"/>
      <c r="CH3531" s="1684"/>
      <c r="CI3531" s="1684"/>
      <c r="CJ3531" s="1684"/>
      <c r="CK3531" s="1684"/>
      <c r="CL3531" s="1684"/>
      <c r="CM3531" s="1684"/>
      <c r="CN3531" s="1684"/>
      <c r="CO3531" s="1684"/>
    </row>
    <row r="3532" spans="1:93" s="1391" customFormat="1" ht="15.75" x14ac:dyDescent="0.25">
      <c r="A3532" s="1684"/>
      <c r="B3532" s="1684"/>
      <c r="C3532" s="1684"/>
      <c r="D3532" s="1684"/>
      <c r="E3532" s="1684"/>
      <c r="G3532" s="1405">
        <v>3.5</v>
      </c>
      <c r="H3532" s="1405">
        <v>28.4</v>
      </c>
      <c r="K3532" s="1417"/>
      <c r="L3532" s="1417"/>
      <c r="M3532" s="1417">
        <f>SUM(M3524:M3531)</f>
        <v>10.255999999999998</v>
      </c>
      <c r="N3532" s="1417"/>
      <c r="O3532" s="1417"/>
      <c r="P3532" s="1417"/>
      <c r="Q3532" s="1417"/>
      <c r="R3532" s="1684"/>
      <c r="S3532" s="1684"/>
      <c r="T3532" s="1684"/>
      <c r="U3532" s="1684"/>
      <c r="V3532" s="1684"/>
      <c r="W3532" s="1684"/>
      <c r="X3532" s="1684"/>
      <c r="Y3532" s="1684"/>
      <c r="Z3532" s="1684"/>
      <c r="AA3532" s="1684"/>
      <c r="AB3532" s="1684"/>
      <c r="AC3532" s="1684"/>
      <c r="AD3532" s="1684"/>
      <c r="AE3532" s="1684"/>
      <c r="AF3532" s="1684"/>
      <c r="AG3532" s="1684"/>
      <c r="AH3532" s="1684"/>
      <c r="AI3532" s="1684"/>
      <c r="AJ3532" s="1684"/>
      <c r="AK3532" s="1684"/>
      <c r="AL3532" s="1684"/>
      <c r="AM3532" s="1684"/>
      <c r="AN3532" s="1684"/>
      <c r="AO3532" s="1684"/>
      <c r="AP3532" s="1684"/>
      <c r="AQ3532" s="1684"/>
      <c r="AR3532" s="1684"/>
      <c r="AS3532" s="1684"/>
      <c r="AT3532" s="1684"/>
      <c r="AU3532" s="1684"/>
      <c r="AV3532" s="1684"/>
      <c r="AW3532" s="1684"/>
      <c r="AX3532" s="1684"/>
      <c r="AY3532" s="1684"/>
      <c r="AZ3532" s="1684"/>
      <c r="BA3532" s="1684"/>
      <c r="BB3532" s="1684"/>
      <c r="BC3532" s="1684"/>
      <c r="BD3532" s="1684"/>
      <c r="BE3532" s="1684"/>
      <c r="BF3532" s="1684"/>
      <c r="BG3532" s="1684"/>
      <c r="BH3532" s="1684"/>
      <c r="BI3532" s="1684"/>
      <c r="BJ3532" s="1684"/>
      <c r="BK3532" s="1684"/>
      <c r="BL3532" s="1684"/>
      <c r="BM3532" s="1684"/>
      <c r="BN3532" s="1684"/>
      <c r="BO3532" s="1684"/>
      <c r="BP3532" s="1684"/>
      <c r="BQ3532" s="1684"/>
      <c r="BR3532" s="1684"/>
      <c r="BS3532" s="1684"/>
      <c r="BT3532" s="1684"/>
      <c r="BU3532" s="1684"/>
      <c r="BV3532" s="1684"/>
      <c r="BW3532" s="1684"/>
      <c r="BX3532" s="1684"/>
      <c r="BY3532" s="1684"/>
      <c r="BZ3532" s="1684"/>
      <c r="CA3532" s="1684"/>
      <c r="CB3532" s="1684"/>
      <c r="CC3532" s="1684"/>
      <c r="CD3532" s="1684"/>
      <c r="CE3532" s="1684"/>
      <c r="CF3532" s="1684"/>
      <c r="CG3532" s="1684"/>
      <c r="CH3532" s="1684"/>
      <c r="CI3532" s="1684"/>
      <c r="CJ3532" s="1684"/>
      <c r="CK3532" s="1684"/>
      <c r="CL3532" s="1684"/>
      <c r="CM3532" s="1684"/>
      <c r="CN3532" s="1684"/>
      <c r="CO3532" s="1684"/>
    </row>
    <row r="3533" spans="1:93" s="1391" customFormat="1" ht="15.75" x14ac:dyDescent="0.25">
      <c r="A3533" s="1684"/>
      <c r="B3533" s="1684"/>
      <c r="C3533" s="1684"/>
      <c r="D3533" s="1684"/>
      <c r="E3533" s="1684"/>
      <c r="K3533" s="1417"/>
      <c r="L3533" s="1417"/>
      <c r="M3533" s="1417">
        <f>M3532/8</f>
        <v>1.2819999999999998</v>
      </c>
      <c r="N3533" s="1417"/>
      <c r="O3533" s="1417"/>
      <c r="P3533" s="1417"/>
      <c r="Q3533" s="1417"/>
      <c r="R3533" s="1684"/>
      <c r="S3533" s="1684"/>
      <c r="T3533" s="1684"/>
      <c r="U3533" s="1684"/>
      <c r="V3533" s="1684"/>
      <c r="W3533" s="1684"/>
      <c r="X3533" s="1684"/>
      <c r="Y3533" s="1684"/>
      <c r="Z3533" s="1684"/>
      <c r="AA3533" s="1684"/>
      <c r="AB3533" s="1684"/>
      <c r="AC3533" s="1684"/>
      <c r="AD3533" s="1684"/>
      <c r="AE3533" s="1684"/>
      <c r="AF3533" s="1684"/>
      <c r="AG3533" s="1684"/>
      <c r="AH3533" s="1684"/>
      <c r="AI3533" s="1684"/>
      <c r="AJ3533" s="1684"/>
      <c r="AK3533" s="1684"/>
      <c r="AL3533" s="1684"/>
      <c r="AM3533" s="1684"/>
      <c r="AN3533" s="1684"/>
      <c r="AO3533" s="1684"/>
      <c r="AP3533" s="1684"/>
      <c r="AQ3533" s="1684"/>
      <c r="AR3533" s="1684"/>
      <c r="AS3533" s="1684"/>
      <c r="AT3533" s="1684"/>
      <c r="AU3533" s="1684"/>
      <c r="AV3533" s="1684"/>
      <c r="AW3533" s="1684"/>
      <c r="AX3533" s="1684"/>
      <c r="AY3533" s="1684"/>
      <c r="AZ3533" s="1684"/>
      <c r="BA3533" s="1684"/>
      <c r="BB3533" s="1684"/>
      <c r="BC3533" s="1684"/>
      <c r="BD3533" s="1684"/>
      <c r="BE3533" s="1684"/>
      <c r="BF3533" s="1684"/>
      <c r="BG3533" s="1684"/>
      <c r="BH3533" s="1684"/>
      <c r="BI3533" s="1684"/>
      <c r="BJ3533" s="1684"/>
      <c r="BK3533" s="1684"/>
      <c r="BL3533" s="1684"/>
      <c r="BM3533" s="1684"/>
      <c r="BN3533" s="1684"/>
      <c r="BO3533" s="1684"/>
      <c r="BP3533" s="1684"/>
      <c r="BQ3533" s="1684"/>
      <c r="BR3533" s="1684"/>
      <c r="BS3533" s="1684"/>
      <c r="BT3533" s="1684"/>
      <c r="BU3533" s="1684"/>
      <c r="BV3533" s="1684"/>
      <c r="BW3533" s="1684"/>
      <c r="BX3533" s="1684"/>
      <c r="BY3533" s="1684"/>
      <c r="BZ3533" s="1684"/>
      <c r="CA3533" s="1684"/>
      <c r="CB3533" s="1684"/>
      <c r="CC3533" s="1684"/>
      <c r="CD3533" s="1684"/>
      <c r="CE3533" s="1684"/>
      <c r="CF3533" s="1684"/>
      <c r="CG3533" s="1684"/>
      <c r="CH3533" s="1684"/>
      <c r="CI3533" s="1684"/>
      <c r="CJ3533" s="1684"/>
      <c r="CK3533" s="1684"/>
      <c r="CL3533" s="1684"/>
      <c r="CM3533" s="1684"/>
      <c r="CN3533" s="1684"/>
      <c r="CO3533" s="1684"/>
    </row>
    <row r="3534" spans="1:93" s="1391" customFormat="1" ht="15" x14ac:dyDescent="0.2">
      <c r="A3534" s="1684"/>
      <c r="B3534" s="1684"/>
      <c r="C3534" s="1684"/>
      <c r="D3534" s="1684"/>
      <c r="E3534" s="1684"/>
      <c r="F3534" s="1391" t="s">
        <v>1465</v>
      </c>
      <c r="K3534" s="1684"/>
      <c r="L3534" s="1684"/>
      <c r="M3534" s="1684"/>
      <c r="N3534" s="1684"/>
      <c r="O3534" s="1684"/>
      <c r="P3534" s="1684"/>
      <c r="Q3534" s="1684"/>
      <c r="R3534" s="1684"/>
      <c r="S3534" s="1684"/>
      <c r="T3534" s="1684"/>
      <c r="U3534" s="1684"/>
      <c r="V3534" s="1684"/>
      <c r="W3534" s="1684"/>
      <c r="X3534" s="1684"/>
      <c r="Y3534" s="1684"/>
      <c r="Z3534" s="1684"/>
      <c r="AA3534" s="1684"/>
      <c r="AB3534" s="1684"/>
      <c r="AC3534" s="1684"/>
      <c r="AD3534" s="1684"/>
      <c r="AE3534" s="1684"/>
      <c r="AF3534" s="1684"/>
      <c r="AG3534" s="1684"/>
      <c r="AH3534" s="1684"/>
      <c r="AI3534" s="1684"/>
      <c r="AJ3534" s="1684"/>
      <c r="AK3534" s="1684"/>
      <c r="AL3534" s="1684"/>
      <c r="AM3534" s="1684"/>
      <c r="AN3534" s="1684"/>
      <c r="AO3534" s="1684"/>
      <c r="AP3534" s="1684"/>
      <c r="AQ3534" s="1684"/>
      <c r="AR3534" s="1684"/>
      <c r="AS3534" s="1684"/>
      <c r="AT3534" s="1684"/>
      <c r="AU3534" s="1684"/>
      <c r="AV3534" s="1684"/>
      <c r="AW3534" s="1684"/>
      <c r="AX3534" s="1684"/>
      <c r="AY3534" s="1684"/>
      <c r="AZ3534" s="1684"/>
      <c r="BA3534" s="1684"/>
      <c r="BB3534" s="1684"/>
      <c r="BC3534" s="1684"/>
      <c r="BD3534" s="1684"/>
      <c r="BE3534" s="1684"/>
      <c r="BF3534" s="1684"/>
      <c r="BG3534" s="1684"/>
      <c r="BH3534" s="1684"/>
      <c r="BI3534" s="1684"/>
      <c r="BJ3534" s="1684"/>
      <c r="BK3534" s="1684"/>
      <c r="BL3534" s="1684"/>
      <c r="BM3534" s="1684"/>
      <c r="BN3534" s="1684"/>
      <c r="BO3534" s="1684"/>
      <c r="BP3534" s="1684"/>
      <c r="BQ3534" s="1684"/>
      <c r="BR3534" s="1684"/>
      <c r="BS3534" s="1684"/>
      <c r="BT3534" s="1684"/>
      <c r="BU3534" s="1684"/>
      <c r="BV3534" s="1684"/>
      <c r="BW3534" s="1684"/>
      <c r="BX3534" s="1684"/>
      <c r="BY3534" s="1684"/>
      <c r="BZ3534" s="1684"/>
      <c r="CA3534" s="1684"/>
      <c r="CB3534" s="1684"/>
      <c r="CC3534" s="1684"/>
      <c r="CD3534" s="1684"/>
      <c r="CE3534" s="1684"/>
      <c r="CF3534" s="1684"/>
      <c r="CG3534" s="1684"/>
      <c r="CH3534" s="1684"/>
      <c r="CI3534" s="1684"/>
      <c r="CJ3534" s="1684"/>
      <c r="CK3534" s="1684"/>
      <c r="CL3534" s="1684"/>
      <c r="CM3534" s="1684"/>
      <c r="CN3534" s="1684"/>
      <c r="CO3534" s="1684"/>
    </row>
    <row r="3535" spans="1:93" s="1391" customFormat="1" ht="15" x14ac:dyDescent="0.2">
      <c r="A3535" s="1684"/>
      <c r="B3535" s="1684"/>
      <c r="C3535" s="1684"/>
      <c r="D3535" s="1684"/>
      <c r="E3535" s="1684"/>
      <c r="F3535" s="1391" t="s">
        <v>1466</v>
      </c>
      <c r="K3535" s="1684"/>
      <c r="L3535" s="1684"/>
      <c r="M3535" s="1684"/>
      <c r="N3535" s="1684"/>
      <c r="O3535" s="1684"/>
      <c r="P3535" s="1684"/>
      <c r="Q3535" s="1684"/>
      <c r="R3535" s="1684"/>
      <c r="S3535" s="1684"/>
      <c r="T3535" s="1684"/>
      <c r="U3535" s="1684"/>
      <c r="V3535" s="1684"/>
      <c r="W3535" s="1684"/>
      <c r="X3535" s="1684"/>
      <c r="Y3535" s="1684"/>
      <c r="Z3535" s="1684"/>
      <c r="AA3535" s="1684"/>
      <c r="AB3535" s="1684"/>
      <c r="AC3535" s="1684"/>
      <c r="AD3535" s="1684"/>
      <c r="AE3535" s="1684"/>
      <c r="AF3535" s="1684"/>
      <c r="AG3535" s="1684"/>
      <c r="AH3535" s="1684"/>
      <c r="AI3535" s="1684"/>
      <c r="AJ3535" s="1684"/>
      <c r="AK3535" s="1684"/>
      <c r="AL3535" s="1684"/>
      <c r="AM3535" s="1684"/>
      <c r="AN3535" s="1684"/>
      <c r="AO3535" s="1684"/>
      <c r="AP3535" s="1684"/>
      <c r="AQ3535" s="1684"/>
      <c r="AR3535" s="1684"/>
      <c r="AS3535" s="1684"/>
      <c r="AT3535" s="1684"/>
      <c r="AU3535" s="1684"/>
      <c r="AV3535" s="1684"/>
      <c r="AW3535" s="1684"/>
      <c r="AX3535" s="1684"/>
      <c r="AY3535" s="1684"/>
      <c r="AZ3535" s="1684"/>
      <c r="BA3535" s="1684"/>
      <c r="BB3535" s="1684"/>
      <c r="BC3535" s="1684"/>
      <c r="BD3535" s="1684"/>
      <c r="BE3535" s="1684"/>
      <c r="BF3535" s="1684"/>
      <c r="BG3535" s="1684"/>
      <c r="BH3535" s="1684"/>
      <c r="BI3535" s="1684"/>
      <c r="BJ3535" s="1684"/>
      <c r="BK3535" s="1684"/>
      <c r="BL3535" s="1684"/>
      <c r="BM3535" s="1684"/>
      <c r="BN3535" s="1684"/>
      <c r="BO3535" s="1684"/>
      <c r="BP3535" s="1684"/>
      <c r="BQ3535" s="1684"/>
      <c r="BR3535" s="1684"/>
      <c r="BS3535" s="1684"/>
      <c r="BT3535" s="1684"/>
      <c r="BU3535" s="1684"/>
      <c r="BV3535" s="1684"/>
      <c r="BW3535" s="1684"/>
      <c r="BX3535" s="1684"/>
      <c r="BY3535" s="1684"/>
      <c r="BZ3535" s="1684"/>
      <c r="CA3535" s="1684"/>
      <c r="CB3535" s="1684"/>
      <c r="CC3535" s="1684"/>
      <c r="CD3535" s="1684"/>
      <c r="CE3535" s="1684"/>
      <c r="CF3535" s="1684"/>
      <c r="CG3535" s="1684"/>
      <c r="CH3535" s="1684"/>
      <c r="CI3535" s="1684"/>
      <c r="CJ3535" s="1684"/>
      <c r="CK3535" s="1684"/>
      <c r="CL3535" s="1684"/>
      <c r="CM3535" s="1684"/>
      <c r="CN3535" s="1684"/>
      <c r="CO3535" s="1684"/>
    </row>
    <row r="3536" spans="1:93" s="1391" customFormat="1" ht="15" x14ac:dyDescent="0.2">
      <c r="A3536" s="1684"/>
      <c r="B3536" s="1684"/>
      <c r="C3536" s="1684"/>
      <c r="D3536" s="1684"/>
      <c r="E3536" s="1684"/>
      <c r="F3536" s="1391" t="s">
        <v>1467</v>
      </c>
      <c r="K3536" s="1684"/>
      <c r="L3536" s="1684"/>
      <c r="M3536" s="1684"/>
      <c r="N3536" s="1684"/>
      <c r="O3536" s="1684"/>
      <c r="P3536" s="1684"/>
      <c r="Q3536" s="1684"/>
      <c r="R3536" s="1684"/>
      <c r="S3536" s="1684"/>
      <c r="T3536" s="1684"/>
      <c r="U3536" s="1684"/>
      <c r="V3536" s="1684"/>
      <c r="W3536" s="1684"/>
      <c r="X3536" s="1684"/>
      <c r="Y3536" s="1684"/>
      <c r="Z3536" s="1684"/>
      <c r="AA3536" s="1684"/>
      <c r="AB3536" s="1684"/>
      <c r="AC3536" s="1684"/>
      <c r="AD3536" s="1684"/>
      <c r="AE3536" s="1684"/>
      <c r="AF3536" s="1684"/>
      <c r="AG3536" s="1684"/>
      <c r="AH3536" s="1684"/>
      <c r="AI3536" s="1684"/>
      <c r="AJ3536" s="1684"/>
      <c r="AK3536" s="1684"/>
      <c r="AL3536" s="1684"/>
      <c r="AM3536" s="1684"/>
      <c r="AN3536" s="1684"/>
      <c r="AO3536" s="1684"/>
      <c r="AP3536" s="1684"/>
      <c r="AQ3536" s="1684"/>
      <c r="AR3536" s="1684"/>
      <c r="AS3536" s="1684"/>
      <c r="AT3536" s="1684"/>
      <c r="AU3536" s="1684"/>
      <c r="AV3536" s="1684"/>
      <c r="AW3536" s="1684"/>
      <c r="AX3536" s="1684"/>
      <c r="AY3536" s="1684"/>
      <c r="AZ3536" s="1684"/>
      <c r="BA3536" s="1684"/>
      <c r="BB3536" s="1684"/>
      <c r="BC3536" s="1684"/>
      <c r="BD3536" s="1684"/>
      <c r="BE3536" s="1684"/>
      <c r="BF3536" s="1684"/>
      <c r="BG3536" s="1684"/>
      <c r="BH3536" s="1684"/>
      <c r="BI3536" s="1684"/>
      <c r="BJ3536" s="1684"/>
      <c r="BK3536" s="1684"/>
      <c r="BL3536" s="1684"/>
      <c r="BM3536" s="1684"/>
      <c r="BN3536" s="1684"/>
      <c r="BO3536" s="1684"/>
      <c r="BP3536" s="1684"/>
      <c r="BQ3536" s="1684"/>
      <c r="BR3536" s="1684"/>
      <c r="BS3536" s="1684"/>
      <c r="BT3536" s="1684"/>
      <c r="BU3536" s="1684"/>
      <c r="BV3536" s="1684"/>
      <c r="BW3536" s="1684"/>
      <c r="BX3536" s="1684"/>
      <c r="BY3536" s="1684"/>
      <c r="BZ3536" s="1684"/>
      <c r="CA3536" s="1684"/>
      <c r="CB3536" s="1684"/>
      <c r="CC3536" s="1684"/>
      <c r="CD3536" s="1684"/>
      <c r="CE3536" s="1684"/>
      <c r="CF3536" s="1684"/>
      <c r="CG3536" s="1684"/>
      <c r="CH3536" s="1684"/>
      <c r="CI3536" s="1684"/>
      <c r="CJ3536" s="1684"/>
      <c r="CK3536" s="1684"/>
      <c r="CL3536" s="1684"/>
      <c r="CM3536" s="1684"/>
      <c r="CN3536" s="1684"/>
      <c r="CO3536" s="1684"/>
    </row>
    <row r="3537" spans="1:93" s="1391" customFormat="1" ht="15" x14ac:dyDescent="0.2">
      <c r="A3537" s="1684"/>
      <c r="B3537" s="1684"/>
      <c r="C3537" s="1684"/>
      <c r="D3537" s="1684"/>
      <c r="E3537" s="1684"/>
      <c r="F3537" s="1405" t="s">
        <v>1468</v>
      </c>
      <c r="G3537" s="1405"/>
      <c r="K3537" s="1684"/>
      <c r="L3537" s="1684"/>
      <c r="M3537" s="1684"/>
      <c r="N3537" s="1684"/>
      <c r="O3537" s="1684"/>
      <c r="P3537" s="1684"/>
      <c r="Q3537" s="1684"/>
      <c r="R3537" s="1684"/>
      <c r="S3537" s="1684"/>
      <c r="T3537" s="1684"/>
      <c r="U3537" s="1684"/>
      <c r="V3537" s="1684"/>
      <c r="W3537" s="1684"/>
      <c r="X3537" s="1684"/>
      <c r="Y3537" s="1684"/>
      <c r="Z3537" s="1684"/>
      <c r="AA3537" s="1684"/>
      <c r="AB3537" s="1684"/>
      <c r="AC3537" s="1684"/>
      <c r="AD3537" s="1684"/>
      <c r="AE3537" s="1684"/>
      <c r="AF3537" s="1684"/>
      <c r="AG3537" s="1684"/>
      <c r="AH3537" s="1684"/>
      <c r="AI3537" s="1684"/>
      <c r="AJ3537" s="1684"/>
      <c r="AK3537" s="1684"/>
      <c r="AL3537" s="1684"/>
      <c r="AM3537" s="1684"/>
      <c r="AN3537" s="1684"/>
      <c r="AO3537" s="1684"/>
      <c r="AP3537" s="1684"/>
      <c r="AQ3537" s="1684"/>
      <c r="AR3537" s="1684"/>
      <c r="AS3537" s="1684"/>
      <c r="AT3537" s="1684"/>
      <c r="AU3537" s="1684"/>
      <c r="AV3537" s="1684"/>
      <c r="AW3537" s="1684"/>
      <c r="AX3537" s="1684"/>
      <c r="AY3537" s="1684"/>
      <c r="AZ3537" s="1684"/>
      <c r="BA3537" s="1684"/>
      <c r="BB3537" s="1684"/>
      <c r="BC3537" s="1684"/>
      <c r="BD3537" s="1684"/>
      <c r="BE3537" s="1684"/>
      <c r="BF3537" s="1684"/>
      <c r="BG3537" s="1684"/>
      <c r="BH3537" s="1684"/>
      <c r="BI3537" s="1684"/>
      <c r="BJ3537" s="1684"/>
      <c r="BK3537" s="1684"/>
      <c r="BL3537" s="1684"/>
      <c r="BM3537" s="1684"/>
      <c r="BN3537" s="1684"/>
      <c r="BO3537" s="1684"/>
      <c r="BP3537" s="1684"/>
      <c r="BQ3537" s="1684"/>
      <c r="BR3537" s="1684"/>
      <c r="BS3537" s="1684"/>
      <c r="BT3537" s="1684"/>
      <c r="BU3537" s="1684"/>
      <c r="BV3537" s="1684"/>
      <c r="BW3537" s="1684"/>
      <c r="BX3537" s="1684"/>
      <c r="BY3537" s="1684"/>
      <c r="BZ3537" s="1684"/>
      <c r="CA3537" s="1684"/>
      <c r="CB3537" s="1684"/>
      <c r="CC3537" s="1684"/>
      <c r="CD3537" s="1684"/>
      <c r="CE3537" s="1684"/>
      <c r="CF3537" s="1684"/>
      <c r="CG3537" s="1684"/>
      <c r="CH3537" s="1684"/>
      <c r="CI3537" s="1684"/>
      <c r="CJ3537" s="1684"/>
      <c r="CK3537" s="1684"/>
      <c r="CL3537" s="1684"/>
      <c r="CM3537" s="1684"/>
      <c r="CN3537" s="1684"/>
      <c r="CO3537" s="1684"/>
    </row>
    <row r="3538" spans="1:93" s="1391" customFormat="1" ht="15" x14ac:dyDescent="0.2">
      <c r="A3538" s="1684"/>
      <c r="B3538" s="1684"/>
      <c r="C3538" s="1684"/>
      <c r="D3538" s="1684"/>
      <c r="E3538" s="1684"/>
      <c r="F3538" s="1405" t="s">
        <v>1469</v>
      </c>
      <c r="G3538" s="1405"/>
      <c r="K3538" s="1684"/>
      <c r="L3538" s="1684"/>
      <c r="M3538" s="1684"/>
      <c r="N3538" s="1684"/>
      <c r="O3538" s="1684"/>
      <c r="P3538" s="1684"/>
      <c r="Q3538" s="1684"/>
      <c r="R3538" s="1684"/>
      <c r="S3538" s="1684"/>
      <c r="T3538" s="1684"/>
      <c r="U3538" s="1684"/>
      <c r="V3538" s="1684"/>
      <c r="W3538" s="1684"/>
      <c r="X3538" s="1684"/>
      <c r="Y3538" s="1684"/>
      <c r="Z3538" s="1684"/>
      <c r="AA3538" s="1684"/>
      <c r="AB3538" s="1684"/>
      <c r="AC3538" s="1684"/>
      <c r="AD3538" s="1684"/>
      <c r="AE3538" s="1684"/>
      <c r="AF3538" s="1684"/>
      <c r="AG3538" s="1684"/>
      <c r="AH3538" s="1684"/>
      <c r="AI3538" s="1684"/>
      <c r="AJ3538" s="1684"/>
      <c r="AK3538" s="1684"/>
      <c r="AL3538" s="1684"/>
      <c r="AM3538" s="1684"/>
      <c r="AN3538" s="1684"/>
      <c r="AO3538" s="1684"/>
      <c r="AP3538" s="1684"/>
      <c r="AQ3538" s="1684"/>
      <c r="AR3538" s="1684"/>
      <c r="AS3538" s="1684"/>
      <c r="AT3538" s="1684"/>
      <c r="AU3538" s="1684"/>
      <c r="AV3538" s="1684"/>
      <c r="AW3538" s="1684"/>
      <c r="AX3538" s="1684"/>
      <c r="AY3538" s="1684"/>
      <c r="AZ3538" s="1684"/>
      <c r="BA3538" s="1684"/>
      <c r="BB3538" s="1684"/>
      <c r="BC3538" s="1684"/>
      <c r="BD3538" s="1684"/>
      <c r="BE3538" s="1684"/>
      <c r="BF3538" s="1684"/>
      <c r="BG3538" s="1684"/>
      <c r="BH3538" s="1684"/>
      <c r="BI3538" s="1684"/>
      <c r="BJ3538" s="1684"/>
      <c r="BK3538" s="1684"/>
      <c r="BL3538" s="1684"/>
      <c r="BM3538" s="1684"/>
      <c r="BN3538" s="1684"/>
      <c r="BO3538" s="1684"/>
      <c r="BP3538" s="1684"/>
      <c r="BQ3538" s="1684"/>
      <c r="BR3538" s="1684"/>
      <c r="BS3538" s="1684"/>
      <c r="BT3538" s="1684"/>
      <c r="BU3538" s="1684"/>
      <c r="BV3538" s="1684"/>
      <c r="BW3538" s="1684"/>
      <c r="BX3538" s="1684"/>
      <c r="BY3538" s="1684"/>
      <c r="BZ3538" s="1684"/>
      <c r="CA3538" s="1684"/>
      <c r="CB3538" s="1684"/>
      <c r="CC3538" s="1684"/>
      <c r="CD3538" s="1684"/>
      <c r="CE3538" s="1684"/>
      <c r="CF3538" s="1684"/>
      <c r="CG3538" s="1684"/>
      <c r="CH3538" s="1684"/>
      <c r="CI3538" s="1684"/>
      <c r="CJ3538" s="1684"/>
      <c r="CK3538" s="1684"/>
      <c r="CL3538" s="1684"/>
      <c r="CM3538" s="1684"/>
      <c r="CN3538" s="1684"/>
      <c r="CO3538" s="1684"/>
    </row>
    <row r="3539" spans="1:93" s="1391" customFormat="1" ht="15" x14ac:dyDescent="0.2">
      <c r="A3539" s="1684"/>
      <c r="B3539" s="1684"/>
      <c r="C3539" s="1684"/>
      <c r="D3539" s="1684"/>
      <c r="E3539" s="1684"/>
      <c r="F3539" s="1405" t="s">
        <v>1470</v>
      </c>
      <c r="G3539" s="1405"/>
      <c r="K3539" s="1684"/>
      <c r="L3539" s="1684"/>
      <c r="M3539" s="1684"/>
      <c r="N3539" s="1684"/>
      <c r="O3539" s="1684"/>
      <c r="P3539" s="1684"/>
      <c r="Q3539" s="1684"/>
      <c r="R3539" s="1684"/>
      <c r="S3539" s="1684"/>
      <c r="T3539" s="1684"/>
      <c r="U3539" s="1684"/>
      <c r="V3539" s="1684"/>
      <c r="W3539" s="1684"/>
      <c r="X3539" s="1684"/>
      <c r="Y3539" s="1684"/>
      <c r="Z3539" s="1684"/>
      <c r="AA3539" s="1684"/>
      <c r="AB3539" s="1684"/>
      <c r="AC3539" s="1684"/>
      <c r="AD3539" s="1684"/>
      <c r="AE3539" s="1684"/>
      <c r="AF3539" s="1684"/>
      <c r="AG3539" s="1684"/>
      <c r="AH3539" s="1684"/>
      <c r="AI3539" s="1684"/>
      <c r="AJ3539" s="1684"/>
      <c r="AK3539" s="1684"/>
      <c r="AL3539" s="1684"/>
      <c r="AM3539" s="1684"/>
      <c r="AN3539" s="1684"/>
      <c r="AO3539" s="1684"/>
      <c r="AP3539" s="1684"/>
      <c r="AQ3539" s="1684"/>
      <c r="AR3539" s="1684"/>
      <c r="AS3539" s="1684"/>
      <c r="AT3539" s="1684"/>
      <c r="AU3539" s="1684"/>
      <c r="AV3539" s="1684"/>
      <c r="AW3539" s="1684"/>
      <c r="AX3539" s="1684"/>
      <c r="AY3539" s="1684"/>
      <c r="AZ3539" s="1684"/>
      <c r="BA3539" s="1684"/>
      <c r="BB3539" s="1684"/>
      <c r="BC3539" s="1684"/>
      <c r="BD3539" s="1684"/>
      <c r="BE3539" s="1684"/>
      <c r="BF3539" s="1684"/>
      <c r="BG3539" s="1684"/>
      <c r="BH3539" s="1684"/>
      <c r="BI3539" s="1684"/>
      <c r="BJ3539" s="1684"/>
      <c r="BK3539" s="1684"/>
      <c r="BL3539" s="1684"/>
      <c r="BM3539" s="1684"/>
      <c r="BN3539" s="1684"/>
      <c r="BO3539" s="1684"/>
      <c r="BP3539" s="1684"/>
      <c r="BQ3539" s="1684"/>
      <c r="BR3539" s="1684"/>
      <c r="BS3539" s="1684"/>
      <c r="BT3539" s="1684"/>
      <c r="BU3539" s="1684"/>
      <c r="BV3539" s="1684"/>
      <c r="BW3539" s="1684"/>
      <c r="BX3539" s="1684"/>
      <c r="BY3539" s="1684"/>
      <c r="BZ3539" s="1684"/>
      <c r="CA3539" s="1684"/>
      <c r="CB3539" s="1684"/>
      <c r="CC3539" s="1684"/>
      <c r="CD3539" s="1684"/>
      <c r="CE3539" s="1684"/>
      <c r="CF3539" s="1684"/>
      <c r="CG3539" s="1684"/>
      <c r="CH3539" s="1684"/>
      <c r="CI3539" s="1684"/>
      <c r="CJ3539" s="1684"/>
      <c r="CK3539" s="1684"/>
      <c r="CL3539" s="1684"/>
      <c r="CM3539" s="1684"/>
      <c r="CN3539" s="1684"/>
      <c r="CO3539" s="1684"/>
    </row>
    <row r="3540" spans="1:93" s="1391" customFormat="1" ht="15" x14ac:dyDescent="0.2">
      <c r="A3540" s="1684"/>
      <c r="B3540" s="1684"/>
      <c r="C3540" s="1684"/>
      <c r="D3540" s="1684"/>
      <c r="E3540" s="1684"/>
      <c r="F3540" s="1405" t="s">
        <v>1471</v>
      </c>
      <c r="G3540" s="1391" t="s">
        <v>1472</v>
      </c>
      <c r="H3540" s="1391" t="s">
        <v>1473</v>
      </c>
      <c r="K3540" s="1684"/>
      <c r="L3540" s="1684"/>
      <c r="M3540" s="1684"/>
      <c r="N3540" s="1684"/>
      <c r="O3540" s="1684"/>
      <c r="P3540" s="1684"/>
      <c r="Q3540" s="1684"/>
      <c r="R3540" s="1684"/>
      <c r="S3540" s="1684"/>
      <c r="T3540" s="1684"/>
      <c r="U3540" s="1684"/>
      <c r="V3540" s="1684"/>
      <c r="W3540" s="1684"/>
      <c r="X3540" s="1684"/>
      <c r="Y3540" s="1684"/>
      <c r="Z3540" s="1684"/>
      <c r="AA3540" s="1684"/>
      <c r="AB3540" s="1684"/>
      <c r="AC3540" s="1684"/>
      <c r="AD3540" s="1684"/>
      <c r="AE3540" s="1684"/>
      <c r="AF3540" s="1684"/>
      <c r="AG3540" s="1684"/>
      <c r="AH3540" s="1684"/>
      <c r="AI3540" s="1684"/>
      <c r="AJ3540" s="1684"/>
      <c r="AK3540" s="1684"/>
      <c r="AL3540" s="1684"/>
      <c r="AM3540" s="1684"/>
      <c r="AN3540" s="1684"/>
      <c r="AO3540" s="1684"/>
      <c r="AP3540" s="1684"/>
      <c r="AQ3540" s="1684"/>
      <c r="AR3540" s="1684"/>
      <c r="AS3540" s="1684"/>
      <c r="AT3540" s="1684"/>
      <c r="AU3540" s="1684"/>
      <c r="AV3540" s="1684"/>
      <c r="AW3540" s="1684"/>
      <c r="AX3540" s="1684"/>
      <c r="AY3540" s="1684"/>
      <c r="AZ3540" s="1684"/>
      <c r="BA3540" s="1684"/>
      <c r="BB3540" s="1684"/>
      <c r="BC3540" s="1684"/>
      <c r="BD3540" s="1684"/>
      <c r="BE3540" s="1684"/>
      <c r="BF3540" s="1684"/>
      <c r="BG3540" s="1684"/>
      <c r="BH3540" s="1684"/>
      <c r="BI3540" s="1684"/>
      <c r="BJ3540" s="1684"/>
      <c r="BK3540" s="1684"/>
      <c r="BL3540" s="1684"/>
      <c r="BM3540" s="1684"/>
      <c r="BN3540" s="1684"/>
      <c r="BO3540" s="1684"/>
      <c r="BP3540" s="1684"/>
      <c r="BQ3540" s="1684"/>
      <c r="BR3540" s="1684"/>
      <c r="BS3540" s="1684"/>
      <c r="BT3540" s="1684"/>
      <c r="BU3540" s="1684"/>
      <c r="BV3540" s="1684"/>
      <c r="BW3540" s="1684"/>
      <c r="BX3540" s="1684"/>
      <c r="BY3540" s="1684"/>
      <c r="BZ3540" s="1684"/>
      <c r="CA3540" s="1684"/>
      <c r="CB3540" s="1684"/>
      <c r="CC3540" s="1684"/>
      <c r="CD3540" s="1684"/>
      <c r="CE3540" s="1684"/>
      <c r="CF3540" s="1684"/>
      <c r="CG3540" s="1684"/>
      <c r="CH3540" s="1684"/>
      <c r="CI3540" s="1684"/>
      <c r="CJ3540" s="1684"/>
      <c r="CK3540" s="1684"/>
      <c r="CL3540" s="1684"/>
      <c r="CM3540" s="1684"/>
      <c r="CN3540" s="1684"/>
      <c r="CO3540" s="1684"/>
    </row>
    <row r="3541" spans="1:93" s="1391" customFormat="1" ht="15" x14ac:dyDescent="0.2">
      <c r="A3541" s="1684"/>
      <c r="B3541" s="1684"/>
      <c r="C3541" s="1684"/>
      <c r="D3541" s="1684"/>
      <c r="E3541" s="1684"/>
      <c r="F3541" s="1405" t="s">
        <v>1474</v>
      </c>
      <c r="G3541" s="1391" t="s">
        <v>1475</v>
      </c>
      <c r="H3541" s="1391" t="s">
        <v>1476</v>
      </c>
      <c r="K3541" s="1684"/>
      <c r="L3541" s="1684"/>
      <c r="M3541" s="1684"/>
      <c r="N3541" s="1684"/>
      <c r="O3541" s="1684"/>
      <c r="P3541" s="1684"/>
      <c r="Q3541" s="1684"/>
      <c r="R3541" s="1684"/>
      <c r="S3541" s="1684"/>
      <c r="T3541" s="1684"/>
      <c r="U3541" s="1684"/>
      <c r="V3541" s="1684"/>
      <c r="W3541" s="1684"/>
      <c r="X3541" s="1684"/>
      <c r="Y3541" s="1684"/>
      <c r="Z3541" s="1684"/>
      <c r="AA3541" s="1684"/>
      <c r="AB3541" s="1684"/>
      <c r="AC3541" s="1684"/>
      <c r="AD3541" s="1684"/>
      <c r="AE3541" s="1684"/>
      <c r="AF3541" s="1684"/>
      <c r="AG3541" s="1684"/>
      <c r="AH3541" s="1684"/>
      <c r="AI3541" s="1684"/>
      <c r="AJ3541" s="1684"/>
      <c r="AK3541" s="1684"/>
      <c r="AL3541" s="1684"/>
      <c r="AM3541" s="1684"/>
      <c r="AN3541" s="1684"/>
      <c r="AO3541" s="1684"/>
      <c r="AP3541" s="1684"/>
      <c r="AQ3541" s="1684"/>
      <c r="AR3541" s="1684"/>
      <c r="AS3541" s="1684"/>
      <c r="AT3541" s="1684"/>
      <c r="AU3541" s="1684"/>
      <c r="AV3541" s="1684"/>
      <c r="AW3541" s="1684"/>
      <c r="AX3541" s="1684"/>
      <c r="AY3541" s="1684"/>
      <c r="AZ3541" s="1684"/>
      <c r="BA3541" s="1684"/>
      <c r="BB3541" s="1684"/>
      <c r="BC3541" s="1684"/>
      <c r="BD3541" s="1684"/>
      <c r="BE3541" s="1684"/>
      <c r="BF3541" s="1684"/>
      <c r="BG3541" s="1684"/>
      <c r="BH3541" s="1684"/>
      <c r="BI3541" s="1684"/>
      <c r="BJ3541" s="1684"/>
      <c r="BK3541" s="1684"/>
      <c r="BL3541" s="1684"/>
      <c r="BM3541" s="1684"/>
      <c r="BN3541" s="1684"/>
      <c r="BO3541" s="1684"/>
      <c r="BP3541" s="1684"/>
      <c r="BQ3541" s="1684"/>
      <c r="BR3541" s="1684"/>
      <c r="BS3541" s="1684"/>
      <c r="BT3541" s="1684"/>
      <c r="BU3541" s="1684"/>
      <c r="BV3541" s="1684"/>
      <c r="BW3541" s="1684"/>
      <c r="BX3541" s="1684"/>
      <c r="BY3541" s="1684"/>
      <c r="BZ3541" s="1684"/>
      <c r="CA3541" s="1684"/>
      <c r="CB3541" s="1684"/>
      <c r="CC3541" s="1684"/>
      <c r="CD3541" s="1684"/>
      <c r="CE3541" s="1684"/>
      <c r="CF3541" s="1684"/>
      <c r="CG3541" s="1684"/>
      <c r="CH3541" s="1684"/>
      <c r="CI3541" s="1684"/>
      <c r="CJ3541" s="1684"/>
      <c r="CK3541" s="1684"/>
      <c r="CL3541" s="1684"/>
      <c r="CM3541" s="1684"/>
      <c r="CN3541" s="1684"/>
      <c r="CO3541" s="1684"/>
    </row>
    <row r="3542" spans="1:93" s="1391" customFormat="1" ht="15" x14ac:dyDescent="0.2">
      <c r="A3542" s="1684"/>
      <c r="B3542" s="1684"/>
      <c r="C3542" s="1684"/>
      <c r="D3542" s="1684"/>
      <c r="E3542" s="1684"/>
      <c r="K3542" s="1684"/>
      <c r="L3542" s="1684"/>
      <c r="M3542" s="1684"/>
      <c r="N3542" s="1684"/>
      <c r="O3542" s="1684"/>
      <c r="P3542" s="1684"/>
      <c r="Q3542" s="1684"/>
      <c r="R3542" s="1684"/>
      <c r="S3542" s="1684"/>
      <c r="T3542" s="1684"/>
      <c r="U3542" s="1684"/>
      <c r="V3542" s="1684"/>
      <c r="W3542" s="1684"/>
      <c r="X3542" s="1684"/>
      <c r="Y3542" s="1684"/>
      <c r="Z3542" s="1684"/>
      <c r="AA3542" s="1684"/>
      <c r="AB3542" s="1684"/>
      <c r="AC3542" s="1684"/>
      <c r="AD3542" s="1684"/>
      <c r="AE3542" s="1684"/>
      <c r="AF3542" s="1684"/>
      <c r="AG3542" s="1684"/>
      <c r="AH3542" s="1684"/>
      <c r="AI3542" s="1684"/>
      <c r="AJ3542" s="1684"/>
      <c r="AK3542" s="1684"/>
      <c r="AL3542" s="1684"/>
      <c r="AM3542" s="1684"/>
      <c r="AN3542" s="1684"/>
      <c r="AO3542" s="1684"/>
      <c r="AP3542" s="1684"/>
      <c r="AQ3542" s="1684"/>
      <c r="AR3542" s="1684"/>
      <c r="AS3542" s="1684"/>
      <c r="AT3542" s="1684"/>
      <c r="AU3542" s="1684"/>
      <c r="AV3542" s="1684"/>
      <c r="AW3542" s="1684"/>
      <c r="AX3542" s="1684"/>
      <c r="AY3542" s="1684"/>
      <c r="AZ3542" s="1684"/>
      <c r="BA3542" s="1684"/>
      <c r="BB3542" s="1684"/>
      <c r="BC3542" s="1684"/>
      <c r="BD3542" s="1684"/>
      <c r="BE3542" s="1684"/>
      <c r="BF3542" s="1684"/>
      <c r="BG3542" s="1684"/>
      <c r="BH3542" s="1684"/>
      <c r="BI3542" s="1684"/>
      <c r="BJ3542" s="1684"/>
      <c r="BK3542" s="1684"/>
      <c r="BL3542" s="1684"/>
      <c r="BM3542" s="1684"/>
      <c r="BN3542" s="1684"/>
      <c r="BO3542" s="1684"/>
      <c r="BP3542" s="1684"/>
      <c r="BQ3542" s="1684"/>
      <c r="BR3542" s="1684"/>
      <c r="BS3542" s="1684"/>
      <c r="BT3542" s="1684"/>
      <c r="BU3542" s="1684"/>
      <c r="BV3542" s="1684"/>
      <c r="BW3542" s="1684"/>
      <c r="BX3542" s="1684"/>
      <c r="BY3542" s="1684"/>
      <c r="BZ3542" s="1684"/>
      <c r="CA3542" s="1684"/>
      <c r="CB3542" s="1684"/>
      <c r="CC3542" s="1684"/>
      <c r="CD3542" s="1684"/>
      <c r="CE3542" s="1684"/>
      <c r="CF3542" s="1684"/>
      <c r="CG3542" s="1684"/>
      <c r="CH3542" s="1684"/>
      <c r="CI3542" s="1684"/>
      <c r="CJ3542" s="1684"/>
      <c r="CK3542" s="1684"/>
      <c r="CL3542" s="1684"/>
      <c r="CM3542" s="1684"/>
      <c r="CN3542" s="1684"/>
      <c r="CO3542" s="1684"/>
    </row>
    <row r="3543" spans="1:93" s="1391" customFormat="1" ht="15" x14ac:dyDescent="0.2">
      <c r="A3543" s="1684"/>
      <c r="B3543" s="1391" t="s">
        <v>1477</v>
      </c>
      <c r="C3543" s="1405"/>
      <c r="D3543" s="1405"/>
      <c r="K3543" s="1684"/>
      <c r="L3543" s="1684"/>
      <c r="M3543" s="1684"/>
      <c r="N3543" s="1684"/>
      <c r="O3543" s="1684"/>
      <c r="P3543" s="1684"/>
      <c r="Q3543" s="1684"/>
      <c r="R3543" s="1684"/>
      <c r="S3543" s="1684"/>
      <c r="T3543" s="1684"/>
      <c r="U3543" s="1684"/>
      <c r="V3543" s="1684"/>
      <c r="W3543" s="1684"/>
      <c r="X3543" s="1684"/>
      <c r="Y3543" s="1684"/>
      <c r="Z3543" s="1684"/>
      <c r="AA3543" s="1684"/>
      <c r="AB3543" s="1684"/>
      <c r="AC3543" s="1684"/>
      <c r="AD3543" s="1684"/>
      <c r="AE3543" s="1684"/>
      <c r="AF3543" s="1684"/>
      <c r="AG3543" s="1684"/>
      <c r="AH3543" s="1684"/>
      <c r="AI3543" s="1684"/>
      <c r="AJ3543" s="1684"/>
      <c r="AK3543" s="1684"/>
      <c r="AL3543" s="1684"/>
      <c r="AM3543" s="1684"/>
      <c r="AN3543" s="1684"/>
      <c r="AO3543" s="1684"/>
      <c r="AP3543" s="1684"/>
      <c r="AQ3543" s="1684"/>
      <c r="AR3543" s="1684"/>
      <c r="AS3543" s="1684"/>
      <c r="AT3543" s="1684"/>
      <c r="AU3543" s="1684"/>
      <c r="AV3543" s="1684"/>
      <c r="AW3543" s="1684"/>
      <c r="AX3543" s="1684"/>
      <c r="AY3543" s="1684"/>
      <c r="AZ3543" s="1684"/>
      <c r="BA3543" s="1684"/>
      <c r="BB3543" s="1684"/>
      <c r="BC3543" s="1684"/>
      <c r="BD3543" s="1684"/>
      <c r="BE3543" s="1684"/>
      <c r="BF3543" s="1684"/>
      <c r="BG3543" s="1684"/>
      <c r="BH3543" s="1684"/>
      <c r="BI3543" s="1684"/>
      <c r="BJ3543" s="1684"/>
      <c r="BK3543" s="1684"/>
      <c r="BL3543" s="1684"/>
      <c r="BM3543" s="1684"/>
      <c r="BN3543" s="1684"/>
      <c r="BO3543" s="1684"/>
      <c r="BP3543" s="1684"/>
      <c r="BQ3543" s="1684"/>
      <c r="BR3543" s="1684"/>
      <c r="BS3543" s="1684"/>
      <c r="BT3543" s="1684"/>
      <c r="BU3543" s="1684"/>
      <c r="BV3543" s="1684"/>
      <c r="BW3543" s="1684"/>
      <c r="BX3543" s="1684"/>
      <c r="BY3543" s="1684"/>
      <c r="BZ3543" s="1684"/>
      <c r="CA3543" s="1684"/>
      <c r="CB3543" s="1684"/>
      <c r="CC3543" s="1684"/>
      <c r="CD3543" s="1684"/>
      <c r="CE3543" s="1684"/>
      <c r="CF3543" s="1684"/>
      <c r="CG3543" s="1684"/>
      <c r="CH3543" s="1684"/>
      <c r="CI3543" s="1684"/>
      <c r="CJ3543" s="1684"/>
      <c r="CK3543" s="1684"/>
      <c r="CL3543" s="1684"/>
      <c r="CM3543" s="1684"/>
      <c r="CN3543" s="1684"/>
      <c r="CO3543" s="1684"/>
    </row>
    <row r="3544" spans="1:93" s="1391" customFormat="1" ht="15" x14ac:dyDescent="0.2">
      <c r="A3544" s="1684"/>
      <c r="B3544" s="1391" t="s">
        <v>1478</v>
      </c>
      <c r="C3544" s="1405"/>
      <c r="D3544" s="1405"/>
      <c r="K3544" s="1684"/>
      <c r="L3544" s="1684"/>
      <c r="M3544" s="1684"/>
      <c r="N3544" s="1684"/>
      <c r="O3544" s="1684"/>
      <c r="P3544" s="1684"/>
      <c r="Q3544" s="1684"/>
      <c r="R3544" s="1684"/>
      <c r="S3544" s="1684"/>
      <c r="T3544" s="1684"/>
      <c r="U3544" s="1684"/>
      <c r="V3544" s="1684"/>
      <c r="W3544" s="1684"/>
      <c r="X3544" s="1684"/>
      <c r="Y3544" s="1684"/>
      <c r="Z3544" s="1684"/>
      <c r="AA3544" s="1684"/>
      <c r="AB3544" s="1684"/>
      <c r="AC3544" s="1684"/>
      <c r="AD3544" s="1684"/>
      <c r="AE3544" s="1684"/>
      <c r="AF3544" s="1684"/>
      <c r="AG3544" s="1684"/>
      <c r="AH3544" s="1684"/>
      <c r="AI3544" s="1684"/>
      <c r="AJ3544" s="1684"/>
      <c r="AK3544" s="1684"/>
      <c r="AL3544" s="1684"/>
      <c r="AM3544" s="1684"/>
      <c r="AN3544" s="1684"/>
      <c r="AO3544" s="1684"/>
      <c r="AP3544" s="1684"/>
      <c r="AQ3544" s="1684"/>
      <c r="AR3544" s="1684"/>
      <c r="AS3544" s="1684"/>
      <c r="AT3544" s="1684"/>
      <c r="AU3544" s="1684"/>
      <c r="AV3544" s="1684"/>
      <c r="AW3544" s="1684"/>
      <c r="AX3544" s="1684"/>
      <c r="AY3544" s="1684"/>
      <c r="AZ3544" s="1684"/>
      <c r="BA3544" s="1684"/>
      <c r="BB3544" s="1684"/>
      <c r="BC3544" s="1684"/>
      <c r="BD3544" s="1684"/>
      <c r="BE3544" s="1684"/>
      <c r="BF3544" s="1684"/>
      <c r="BG3544" s="1684"/>
      <c r="BH3544" s="1684"/>
      <c r="BI3544" s="1684"/>
      <c r="BJ3544" s="1684"/>
      <c r="BK3544" s="1684"/>
      <c r="BL3544" s="1684"/>
      <c r="BM3544" s="1684"/>
      <c r="BN3544" s="1684"/>
      <c r="BO3544" s="1684"/>
      <c r="BP3544" s="1684"/>
      <c r="BQ3544" s="1684"/>
      <c r="BR3544" s="1684"/>
      <c r="BS3544" s="1684"/>
      <c r="BT3544" s="1684"/>
      <c r="BU3544" s="1684"/>
      <c r="BV3544" s="1684"/>
      <c r="BW3544" s="1684"/>
      <c r="BX3544" s="1684"/>
      <c r="BY3544" s="1684"/>
      <c r="BZ3544" s="1684"/>
      <c r="CA3544" s="1684"/>
      <c r="CB3544" s="1684"/>
      <c r="CC3544" s="1684"/>
      <c r="CD3544" s="1684"/>
      <c r="CE3544" s="1684"/>
      <c r="CF3544" s="1684"/>
      <c r="CG3544" s="1684"/>
      <c r="CH3544" s="1684"/>
      <c r="CI3544" s="1684"/>
      <c r="CJ3544" s="1684"/>
      <c r="CK3544" s="1684"/>
      <c r="CL3544" s="1684"/>
      <c r="CM3544" s="1684"/>
      <c r="CN3544" s="1684"/>
      <c r="CO3544" s="1684"/>
    </row>
    <row r="3545" spans="1:93" s="1391" customFormat="1" ht="15" x14ac:dyDescent="0.2">
      <c r="A3545" s="1684"/>
      <c r="B3545" s="1391" t="s">
        <v>1479</v>
      </c>
      <c r="C3545" s="1405"/>
      <c r="D3545" s="1391" t="s">
        <v>1480</v>
      </c>
      <c r="E3545" s="1391" t="s">
        <v>1481</v>
      </c>
      <c r="K3545" s="1684"/>
      <c r="L3545" s="1684"/>
      <c r="M3545" s="1684"/>
      <c r="N3545" s="1684"/>
      <c r="O3545" s="1684"/>
      <c r="P3545" s="1684"/>
      <c r="Q3545" s="1684"/>
      <c r="R3545" s="1684"/>
      <c r="S3545" s="1684"/>
      <c r="T3545" s="1684"/>
      <c r="U3545" s="1684"/>
      <c r="V3545" s="1684"/>
      <c r="W3545" s="1684"/>
      <c r="X3545" s="1684"/>
      <c r="Y3545" s="1684"/>
      <c r="Z3545" s="1684"/>
      <c r="AA3545" s="1684"/>
      <c r="AB3545" s="1684"/>
      <c r="AC3545" s="1684"/>
      <c r="AD3545" s="1684"/>
      <c r="AE3545" s="1684"/>
      <c r="AF3545" s="1684"/>
      <c r="AG3545" s="1684"/>
      <c r="AH3545" s="1684"/>
      <c r="AI3545" s="1684"/>
      <c r="AJ3545" s="1684"/>
      <c r="AK3545" s="1684"/>
      <c r="AL3545" s="1684"/>
      <c r="AM3545" s="1684"/>
      <c r="AN3545" s="1684"/>
      <c r="AO3545" s="1684"/>
      <c r="AP3545" s="1684"/>
      <c r="AQ3545" s="1684"/>
      <c r="AR3545" s="1684"/>
      <c r="AS3545" s="1684"/>
      <c r="AT3545" s="1684"/>
      <c r="AU3545" s="1684"/>
      <c r="AV3545" s="1684"/>
      <c r="AW3545" s="1684"/>
      <c r="AX3545" s="1684"/>
      <c r="AY3545" s="1684"/>
      <c r="AZ3545" s="1684"/>
      <c r="BA3545" s="1684"/>
      <c r="BB3545" s="1684"/>
      <c r="BC3545" s="1684"/>
      <c r="BD3545" s="1684"/>
      <c r="BE3545" s="1684"/>
      <c r="BF3545" s="1684"/>
      <c r="BG3545" s="1684"/>
      <c r="BH3545" s="1684"/>
      <c r="BI3545" s="1684"/>
      <c r="BJ3545" s="1684"/>
      <c r="BK3545" s="1684"/>
      <c r="BL3545" s="1684"/>
      <c r="BM3545" s="1684"/>
      <c r="BN3545" s="1684"/>
      <c r="BO3545" s="1684"/>
      <c r="BP3545" s="1684"/>
      <c r="BQ3545" s="1684"/>
      <c r="BR3545" s="1684"/>
      <c r="BS3545" s="1684"/>
      <c r="BT3545" s="1684"/>
      <c r="BU3545" s="1684"/>
      <c r="BV3545" s="1684"/>
      <c r="BW3545" s="1684"/>
      <c r="BX3545" s="1684"/>
      <c r="BY3545" s="1684"/>
      <c r="BZ3545" s="1684"/>
      <c r="CA3545" s="1684"/>
      <c r="CB3545" s="1684"/>
      <c r="CC3545" s="1684"/>
      <c r="CD3545" s="1684"/>
      <c r="CE3545" s="1684"/>
      <c r="CF3545" s="1684"/>
      <c r="CG3545" s="1684"/>
      <c r="CH3545" s="1684"/>
      <c r="CI3545" s="1684"/>
      <c r="CJ3545" s="1684"/>
      <c r="CK3545" s="1684"/>
      <c r="CL3545" s="1684"/>
      <c r="CM3545" s="1684"/>
      <c r="CN3545" s="1684"/>
      <c r="CO3545" s="1684"/>
    </row>
    <row r="3546" spans="1:93" s="1391" customFormat="1" ht="15" x14ac:dyDescent="0.2">
      <c r="A3546" s="1684"/>
      <c r="B3546" s="1391" t="s">
        <v>1482</v>
      </c>
      <c r="D3546" s="1391">
        <v>11</v>
      </c>
      <c r="E3546" s="1391">
        <v>10.199999999999999</v>
      </c>
      <c r="K3546" s="1684"/>
      <c r="L3546" s="1684"/>
      <c r="M3546" s="1684"/>
      <c r="N3546" s="1684"/>
      <c r="O3546" s="1684"/>
      <c r="P3546" s="1684"/>
      <c r="Q3546" s="1684"/>
      <c r="R3546" s="1684"/>
      <c r="S3546" s="1684"/>
      <c r="T3546" s="1684"/>
      <c r="U3546" s="1684"/>
      <c r="V3546" s="1684"/>
      <c r="W3546" s="1684"/>
      <c r="X3546" s="1684"/>
      <c r="Y3546" s="1684"/>
      <c r="Z3546" s="1684"/>
      <c r="AA3546" s="1684"/>
      <c r="AB3546" s="1684"/>
      <c r="AC3546" s="1684"/>
      <c r="AD3546" s="1684"/>
      <c r="AE3546" s="1684"/>
      <c r="AF3546" s="1684"/>
      <c r="AG3546" s="1684"/>
      <c r="AH3546" s="1684"/>
      <c r="AI3546" s="1684"/>
      <c r="AJ3546" s="1684"/>
      <c r="AK3546" s="1684"/>
      <c r="AL3546" s="1684"/>
      <c r="AM3546" s="1684"/>
      <c r="AN3546" s="1684"/>
      <c r="AO3546" s="1684"/>
      <c r="AP3546" s="1684"/>
      <c r="AQ3546" s="1684"/>
      <c r="AR3546" s="1684"/>
      <c r="AS3546" s="1684"/>
      <c r="AT3546" s="1684"/>
      <c r="AU3546" s="1684"/>
      <c r="AV3546" s="1684"/>
      <c r="AW3546" s="1684"/>
      <c r="AX3546" s="1684"/>
      <c r="AY3546" s="1684"/>
      <c r="AZ3546" s="1684"/>
      <c r="BA3546" s="1684"/>
      <c r="BB3546" s="1684"/>
      <c r="BC3546" s="1684"/>
      <c r="BD3546" s="1684"/>
      <c r="BE3546" s="1684"/>
      <c r="BF3546" s="1684"/>
      <c r="BG3546" s="1684"/>
      <c r="BH3546" s="1684"/>
      <c r="BI3546" s="1684"/>
      <c r="BJ3546" s="1684"/>
      <c r="BK3546" s="1684"/>
      <c r="BL3546" s="1684"/>
      <c r="BM3546" s="1684"/>
      <c r="BN3546" s="1684"/>
      <c r="BO3546" s="1684"/>
      <c r="BP3546" s="1684"/>
      <c r="BQ3546" s="1684"/>
      <c r="BR3546" s="1684"/>
      <c r="BS3546" s="1684"/>
      <c r="BT3546" s="1684"/>
      <c r="BU3546" s="1684"/>
      <c r="BV3546" s="1684"/>
      <c r="BW3546" s="1684"/>
      <c r="BX3546" s="1684"/>
      <c r="BY3546" s="1684"/>
      <c r="BZ3546" s="1684"/>
      <c r="CA3546" s="1684"/>
      <c r="CB3546" s="1684"/>
      <c r="CC3546" s="1684"/>
      <c r="CD3546" s="1684"/>
      <c r="CE3546" s="1684"/>
      <c r="CF3546" s="1684"/>
      <c r="CG3546" s="1684"/>
      <c r="CH3546" s="1684"/>
      <c r="CI3546" s="1684"/>
      <c r="CJ3546" s="1684"/>
      <c r="CK3546" s="1684"/>
      <c r="CL3546" s="1684"/>
      <c r="CM3546" s="1684"/>
      <c r="CN3546" s="1684"/>
      <c r="CO3546" s="1684"/>
    </row>
    <row r="3547" spans="1:93" s="1391" customFormat="1" ht="15" x14ac:dyDescent="0.2">
      <c r="A3547" s="1684"/>
      <c r="B3547" s="1391" t="s">
        <v>1483</v>
      </c>
      <c r="D3547" s="1391">
        <v>5.94</v>
      </c>
      <c r="E3547" s="1391">
        <v>5.72</v>
      </c>
      <c r="K3547" s="1684"/>
      <c r="L3547" s="1684"/>
      <c r="M3547" s="1684"/>
      <c r="N3547" s="1684"/>
      <c r="O3547" s="1684"/>
      <c r="P3547" s="1684"/>
      <c r="Q3547" s="1684"/>
      <c r="R3547" s="1684"/>
      <c r="S3547" s="1684"/>
      <c r="T3547" s="1684"/>
      <c r="U3547" s="1684"/>
      <c r="V3547" s="1684"/>
      <c r="W3547" s="1684"/>
      <c r="X3547" s="1684"/>
      <c r="Y3547" s="1684"/>
      <c r="Z3547" s="1684"/>
      <c r="AA3547" s="1684"/>
      <c r="AB3547" s="1684"/>
      <c r="AC3547" s="1684"/>
      <c r="AD3547" s="1684"/>
      <c r="AE3547" s="1684"/>
      <c r="AF3547" s="1684"/>
      <c r="AG3547" s="1684"/>
      <c r="AH3547" s="1684"/>
      <c r="AI3547" s="1684"/>
      <c r="AJ3547" s="1684"/>
      <c r="AK3547" s="1684"/>
      <c r="AL3547" s="1684"/>
      <c r="AM3547" s="1684"/>
      <c r="AN3547" s="1684"/>
      <c r="AO3547" s="1684"/>
      <c r="AP3547" s="1684"/>
      <c r="AQ3547" s="1684"/>
      <c r="AR3547" s="1684"/>
      <c r="AS3547" s="1684"/>
      <c r="AT3547" s="1684"/>
      <c r="AU3547" s="1684"/>
      <c r="AV3547" s="1684"/>
      <c r="AW3547" s="1684"/>
      <c r="AX3547" s="1684"/>
      <c r="AY3547" s="1684"/>
      <c r="AZ3547" s="1684"/>
      <c r="BA3547" s="1684"/>
      <c r="BB3547" s="1684"/>
      <c r="BC3547" s="1684"/>
      <c r="BD3547" s="1684"/>
      <c r="BE3547" s="1684"/>
      <c r="BF3547" s="1684"/>
      <c r="BG3547" s="1684"/>
      <c r="BH3547" s="1684"/>
      <c r="BI3547" s="1684"/>
      <c r="BJ3547" s="1684"/>
      <c r="BK3547" s="1684"/>
      <c r="BL3547" s="1684"/>
      <c r="BM3547" s="1684"/>
      <c r="BN3547" s="1684"/>
      <c r="BO3547" s="1684"/>
      <c r="BP3547" s="1684"/>
      <c r="BQ3547" s="1684"/>
      <c r="BR3547" s="1684"/>
      <c r="BS3547" s="1684"/>
      <c r="BT3547" s="1684"/>
      <c r="BU3547" s="1684"/>
      <c r="BV3547" s="1684"/>
      <c r="BW3547" s="1684"/>
      <c r="BX3547" s="1684"/>
      <c r="BY3547" s="1684"/>
      <c r="BZ3547" s="1684"/>
      <c r="CA3547" s="1684"/>
      <c r="CB3547" s="1684"/>
      <c r="CC3547" s="1684"/>
      <c r="CD3547" s="1684"/>
      <c r="CE3547" s="1684"/>
      <c r="CF3547" s="1684"/>
      <c r="CG3547" s="1684"/>
      <c r="CH3547" s="1684"/>
      <c r="CI3547" s="1684"/>
      <c r="CJ3547" s="1684"/>
      <c r="CK3547" s="1684"/>
      <c r="CL3547" s="1684"/>
      <c r="CM3547" s="1684"/>
      <c r="CN3547" s="1684"/>
      <c r="CO3547" s="1684"/>
    </row>
    <row r="3548" spans="1:93" s="1391" customFormat="1" ht="15" x14ac:dyDescent="0.2">
      <c r="A3548" s="1684"/>
      <c r="B3548" s="1391" t="s">
        <v>1484</v>
      </c>
      <c r="D3548" s="1391">
        <v>10.3</v>
      </c>
      <c r="E3548" s="1391">
        <v>9.6</v>
      </c>
      <c r="K3548" s="1684"/>
      <c r="L3548" s="1684"/>
      <c r="M3548" s="1684"/>
      <c r="N3548" s="1684"/>
      <c r="O3548" s="1684"/>
      <c r="P3548" s="1684"/>
      <c r="Q3548" s="1684"/>
      <c r="R3548" s="1684"/>
      <c r="S3548" s="1684"/>
      <c r="T3548" s="1684"/>
      <c r="U3548" s="1684"/>
      <c r="V3548" s="1684"/>
      <c r="W3548" s="1684"/>
      <c r="X3548" s="1684"/>
      <c r="Y3548" s="1684"/>
      <c r="Z3548" s="1684"/>
      <c r="AA3548" s="1684"/>
      <c r="AB3548" s="1684"/>
      <c r="AC3548" s="1684"/>
      <c r="AD3548" s="1684"/>
      <c r="AE3548" s="1684"/>
      <c r="AF3548" s="1684"/>
      <c r="AG3548" s="1684"/>
      <c r="AH3548" s="1684"/>
      <c r="AI3548" s="1684"/>
      <c r="AJ3548" s="1684"/>
      <c r="AK3548" s="1684"/>
      <c r="AL3548" s="1684"/>
      <c r="AM3548" s="1684"/>
      <c r="AN3548" s="1684"/>
      <c r="AO3548" s="1684"/>
      <c r="AP3548" s="1684"/>
      <c r="AQ3548" s="1684"/>
      <c r="AR3548" s="1684"/>
      <c r="AS3548" s="1684"/>
      <c r="AT3548" s="1684"/>
      <c r="AU3548" s="1684"/>
      <c r="AV3548" s="1684"/>
      <c r="AW3548" s="1684"/>
      <c r="AX3548" s="1684"/>
      <c r="AY3548" s="1684"/>
      <c r="AZ3548" s="1684"/>
      <c r="BA3548" s="1684"/>
      <c r="BB3548" s="1684"/>
      <c r="BC3548" s="1684"/>
      <c r="BD3548" s="1684"/>
      <c r="BE3548" s="1684"/>
      <c r="BF3548" s="1684"/>
      <c r="BG3548" s="1684"/>
      <c r="BH3548" s="1684"/>
      <c r="BI3548" s="1684"/>
      <c r="BJ3548" s="1684"/>
      <c r="BK3548" s="1684"/>
      <c r="BL3548" s="1684"/>
      <c r="BM3548" s="1684"/>
      <c r="BN3548" s="1684"/>
      <c r="BO3548" s="1684"/>
      <c r="BP3548" s="1684"/>
      <c r="BQ3548" s="1684"/>
      <c r="BR3548" s="1684"/>
      <c r="BS3548" s="1684"/>
      <c r="BT3548" s="1684"/>
      <c r="BU3548" s="1684"/>
      <c r="BV3548" s="1684"/>
      <c r="BW3548" s="1684"/>
      <c r="BX3548" s="1684"/>
      <c r="BY3548" s="1684"/>
      <c r="BZ3548" s="1684"/>
      <c r="CA3548" s="1684"/>
      <c r="CB3548" s="1684"/>
      <c r="CC3548" s="1684"/>
      <c r="CD3548" s="1684"/>
      <c r="CE3548" s="1684"/>
      <c r="CF3548" s="1684"/>
      <c r="CG3548" s="1684"/>
      <c r="CH3548" s="1684"/>
      <c r="CI3548" s="1684"/>
      <c r="CJ3548" s="1684"/>
      <c r="CK3548" s="1684"/>
      <c r="CL3548" s="1684"/>
      <c r="CM3548" s="1684"/>
      <c r="CN3548" s="1684"/>
      <c r="CO3548" s="1684"/>
    </row>
    <row r="3549" spans="1:93" s="1391" customFormat="1" ht="15" x14ac:dyDescent="0.2">
      <c r="A3549" s="1684"/>
      <c r="B3549" s="1684"/>
      <c r="C3549" s="1684"/>
      <c r="D3549" s="1684"/>
      <c r="E3549" s="1684"/>
      <c r="F3549" s="1684"/>
      <c r="G3549" s="1684"/>
      <c r="H3549" s="1684"/>
      <c r="I3549" s="1684"/>
      <c r="J3549" s="1684"/>
      <c r="K3549" s="1684"/>
      <c r="L3549" s="1684"/>
      <c r="M3549" s="1684"/>
      <c r="N3549" s="1684"/>
      <c r="O3549" s="1684"/>
      <c r="P3549" s="1684"/>
      <c r="Q3549" s="1684"/>
      <c r="R3549" s="1684"/>
      <c r="S3549" s="1684"/>
      <c r="T3549" s="1684"/>
      <c r="U3549" s="1684"/>
      <c r="V3549" s="1684"/>
      <c r="W3549" s="1684"/>
      <c r="X3549" s="1684"/>
      <c r="Y3549" s="1684"/>
      <c r="Z3549" s="1684"/>
      <c r="AA3549" s="1684"/>
      <c r="AB3549" s="1684"/>
      <c r="AC3549" s="1684"/>
      <c r="AD3549" s="1684"/>
      <c r="AE3549" s="1684"/>
      <c r="AF3549" s="1684"/>
      <c r="AG3549" s="1684"/>
      <c r="AH3549" s="1684"/>
      <c r="AI3549" s="1684"/>
      <c r="AJ3549" s="1684"/>
      <c r="AK3549" s="1684"/>
      <c r="AL3549" s="1684"/>
      <c r="AM3549" s="1684"/>
      <c r="AN3549" s="1684"/>
      <c r="AO3549" s="1684"/>
      <c r="AP3549" s="1684"/>
      <c r="AQ3549" s="1684"/>
      <c r="AR3549" s="1684"/>
      <c r="AS3549" s="1684"/>
      <c r="AT3549" s="1684"/>
      <c r="AU3549" s="1684"/>
      <c r="AV3549" s="1684"/>
      <c r="AW3549" s="1684"/>
      <c r="AX3549" s="1684"/>
      <c r="AY3549" s="1684"/>
      <c r="AZ3549" s="1684"/>
      <c r="BA3549" s="1684"/>
      <c r="BB3549" s="1684"/>
      <c r="BC3549" s="1684"/>
      <c r="BD3549" s="1684"/>
      <c r="BE3549" s="1684"/>
      <c r="BF3549" s="1684"/>
      <c r="BG3549" s="1684"/>
      <c r="BH3549" s="1684"/>
      <c r="BI3549" s="1684"/>
      <c r="BJ3549" s="1684"/>
      <c r="BK3549" s="1684"/>
      <c r="BL3549" s="1684"/>
      <c r="BM3549" s="1684"/>
      <c r="BN3549" s="1684"/>
      <c r="BO3549" s="1684"/>
      <c r="BP3549" s="1684"/>
      <c r="BQ3549" s="1684"/>
      <c r="BR3549" s="1684"/>
      <c r="BS3549" s="1684"/>
      <c r="BT3549" s="1684"/>
      <c r="BU3549" s="1684"/>
      <c r="BV3549" s="1684"/>
      <c r="BW3549" s="1684"/>
      <c r="BX3549" s="1684"/>
      <c r="BY3549" s="1684"/>
      <c r="BZ3549" s="1684"/>
      <c r="CA3549" s="1684"/>
      <c r="CB3549" s="1684"/>
      <c r="CC3549" s="1684"/>
      <c r="CD3549" s="1684"/>
      <c r="CE3549" s="1684"/>
      <c r="CF3549" s="1684"/>
      <c r="CG3549" s="1684"/>
      <c r="CH3549" s="1684"/>
      <c r="CI3549" s="1684"/>
      <c r="CJ3549" s="1684"/>
      <c r="CK3549" s="1684"/>
      <c r="CL3549" s="1684"/>
      <c r="CM3549" s="1684"/>
      <c r="CN3549" s="1684"/>
      <c r="CO3549" s="1684"/>
    </row>
    <row r="3550" spans="1:93" s="1391" customFormat="1" ht="15.75" x14ac:dyDescent="0.25">
      <c r="A3550" s="1684"/>
      <c r="B3550" s="1684"/>
      <c r="C3550" s="1684"/>
      <c r="D3550" s="1684"/>
      <c r="E3550" s="1417" t="s">
        <v>1485</v>
      </c>
      <c r="F3550" s="1417"/>
      <c r="G3550" s="1417"/>
      <c r="H3550" s="1417"/>
      <c r="I3550" s="1417"/>
      <c r="J3550" s="1417"/>
      <c r="K3550" s="1417"/>
      <c r="L3550" s="1417"/>
      <c r="M3550" s="1684"/>
      <c r="N3550" s="1684"/>
      <c r="O3550" s="1684"/>
      <c r="P3550" s="1684"/>
      <c r="Q3550" s="1684"/>
      <c r="R3550" s="1684"/>
      <c r="S3550" s="1684"/>
      <c r="T3550" s="1684"/>
      <c r="U3550" s="1684"/>
      <c r="V3550" s="1684"/>
      <c r="W3550" s="1684"/>
      <c r="X3550" s="1684"/>
      <c r="Y3550" s="1684"/>
      <c r="Z3550" s="1684"/>
      <c r="AA3550" s="1684"/>
      <c r="AB3550" s="1684"/>
      <c r="AC3550" s="1684"/>
      <c r="AD3550" s="1684"/>
      <c r="AE3550" s="1684"/>
      <c r="AF3550" s="1684"/>
      <c r="AG3550" s="1684"/>
      <c r="AH3550" s="1684"/>
      <c r="AI3550" s="1684"/>
      <c r="AJ3550" s="1684"/>
      <c r="AK3550" s="1684"/>
      <c r="AL3550" s="1684"/>
      <c r="AM3550" s="1684"/>
      <c r="AN3550" s="1684"/>
      <c r="AO3550" s="1684"/>
      <c r="AP3550" s="1684"/>
      <c r="AQ3550" s="1684"/>
      <c r="AR3550" s="1684"/>
      <c r="AS3550" s="1684"/>
      <c r="AT3550" s="1684"/>
      <c r="AU3550" s="1684"/>
      <c r="AV3550" s="1684"/>
      <c r="AW3550" s="1684"/>
      <c r="AX3550" s="1684"/>
      <c r="AY3550" s="1684"/>
      <c r="AZ3550" s="1684"/>
      <c r="BA3550" s="1684"/>
      <c r="BB3550" s="1684"/>
      <c r="BC3550" s="1684"/>
      <c r="BD3550" s="1684"/>
      <c r="BE3550" s="1684"/>
      <c r="BF3550" s="1684"/>
      <c r="BG3550" s="1684"/>
      <c r="BH3550" s="1684"/>
      <c r="BI3550" s="1684"/>
      <c r="BJ3550" s="1684"/>
      <c r="BK3550" s="1684"/>
      <c r="BL3550" s="1684"/>
      <c r="BM3550" s="1684"/>
      <c r="BN3550" s="1684"/>
      <c r="BO3550" s="1684"/>
      <c r="BP3550" s="1684"/>
      <c r="BQ3550" s="1684"/>
      <c r="BR3550" s="1684"/>
      <c r="BS3550" s="1684"/>
      <c r="BT3550" s="1684"/>
      <c r="BU3550" s="1684"/>
      <c r="BV3550" s="1684"/>
      <c r="BW3550" s="1684"/>
      <c r="BX3550" s="1684"/>
      <c r="BY3550" s="1684"/>
      <c r="BZ3550" s="1684"/>
      <c r="CA3550" s="1684"/>
      <c r="CB3550" s="1684"/>
      <c r="CC3550" s="1684"/>
      <c r="CD3550" s="1684"/>
      <c r="CE3550" s="1684"/>
      <c r="CF3550" s="1684"/>
      <c r="CG3550" s="1684"/>
      <c r="CH3550" s="1684"/>
      <c r="CI3550" s="1684"/>
      <c r="CJ3550" s="1684"/>
      <c r="CK3550" s="1684"/>
      <c r="CL3550" s="1684"/>
      <c r="CM3550" s="1684"/>
      <c r="CN3550" s="1684"/>
      <c r="CO3550" s="1684"/>
    </row>
    <row r="3551" spans="1:93" s="1391" customFormat="1" ht="15.75" x14ac:dyDescent="0.25">
      <c r="A3551" s="1684"/>
      <c r="B3551" s="1684"/>
      <c r="C3551" s="1684"/>
      <c r="D3551" s="1684"/>
      <c r="E3551" s="1417" t="s">
        <v>1463</v>
      </c>
      <c r="F3551" s="1417" t="s">
        <v>1486</v>
      </c>
      <c r="G3551" s="1417"/>
      <c r="H3551" s="1417"/>
      <c r="I3551" s="1417"/>
      <c r="J3551" s="1417"/>
      <c r="K3551" s="1417"/>
      <c r="L3551" s="1417"/>
      <c r="M3551" s="1684"/>
      <c r="N3551" s="1684"/>
      <c r="O3551" s="1684"/>
      <c r="P3551" s="1684"/>
      <c r="Q3551" s="1684"/>
      <c r="R3551" s="1684"/>
      <c r="S3551" s="1684"/>
      <c r="T3551" s="1684"/>
      <c r="U3551" s="1684"/>
      <c r="V3551" s="1684"/>
      <c r="W3551" s="1684"/>
      <c r="X3551" s="1684"/>
      <c r="Y3551" s="1684"/>
      <c r="Z3551" s="1684"/>
      <c r="AA3551" s="1684"/>
      <c r="AB3551" s="1684"/>
      <c r="AC3551" s="1684"/>
      <c r="AD3551" s="1684"/>
      <c r="AE3551" s="1684"/>
      <c r="AF3551" s="1684"/>
      <c r="AG3551" s="1684"/>
      <c r="AH3551" s="1684"/>
      <c r="AI3551" s="1684"/>
      <c r="AJ3551" s="1684"/>
      <c r="AK3551" s="1684"/>
      <c r="AL3551" s="1684"/>
      <c r="AM3551" s="1684"/>
      <c r="AN3551" s="1684"/>
      <c r="AO3551" s="1684"/>
      <c r="AP3551" s="1684"/>
      <c r="AQ3551" s="1684"/>
      <c r="AR3551" s="1684"/>
      <c r="AS3551" s="1684"/>
      <c r="AT3551" s="1684"/>
      <c r="AU3551" s="1684"/>
      <c r="AV3551" s="1684"/>
      <c r="AW3551" s="1684"/>
      <c r="AX3551" s="1684"/>
      <c r="AY3551" s="1684"/>
      <c r="AZ3551" s="1684"/>
      <c r="BA3551" s="1684"/>
      <c r="BB3551" s="1684"/>
      <c r="BC3551" s="1684"/>
      <c r="BD3551" s="1684"/>
      <c r="BE3551" s="1684"/>
      <c r="BF3551" s="1684"/>
      <c r="BG3551" s="1684"/>
      <c r="BH3551" s="1684"/>
      <c r="BI3551" s="1684"/>
      <c r="BJ3551" s="1684"/>
      <c r="BK3551" s="1684"/>
      <c r="BL3551" s="1684"/>
      <c r="BM3551" s="1684"/>
      <c r="BN3551" s="1684"/>
      <c r="BO3551" s="1684"/>
      <c r="BP3551" s="1684"/>
      <c r="BQ3551" s="1684"/>
      <c r="BR3551" s="1684"/>
      <c r="BS3551" s="1684"/>
      <c r="BT3551" s="1684"/>
      <c r="BU3551" s="1684"/>
      <c r="BV3551" s="1684"/>
      <c r="BW3551" s="1684"/>
      <c r="BX3551" s="1684"/>
      <c r="BY3551" s="1684"/>
      <c r="BZ3551" s="1684"/>
      <c r="CA3551" s="1684"/>
      <c r="CB3551" s="1684"/>
      <c r="CC3551" s="1684"/>
      <c r="CD3551" s="1684"/>
      <c r="CE3551" s="1684"/>
      <c r="CF3551" s="1684"/>
      <c r="CG3551" s="1684"/>
      <c r="CH3551" s="1684"/>
      <c r="CI3551" s="1684"/>
      <c r="CJ3551" s="1684"/>
      <c r="CK3551" s="1684"/>
      <c r="CL3551" s="1684"/>
      <c r="CM3551" s="1684"/>
      <c r="CN3551" s="1684"/>
      <c r="CO3551" s="1684"/>
    </row>
    <row r="3552" spans="1:93" s="1391" customFormat="1" ht="15.75" x14ac:dyDescent="0.25">
      <c r="A3552" s="1684"/>
      <c r="B3552" s="1684"/>
      <c r="C3552" s="1684"/>
      <c r="D3552" s="1684"/>
      <c r="E3552" s="1417">
        <v>4</v>
      </c>
      <c r="F3552" s="1417">
        <v>8</v>
      </c>
      <c r="G3552" s="1417">
        <f>F3552/E3552</f>
        <v>2</v>
      </c>
      <c r="H3552" s="1417">
        <f>E3552/F3552</f>
        <v>0.5</v>
      </c>
      <c r="I3552" s="1417"/>
      <c r="J3552" s="1417"/>
      <c r="K3552" s="1417"/>
      <c r="L3552" s="1417"/>
      <c r="M3552" s="1684"/>
      <c r="N3552" s="1684"/>
      <c r="O3552" s="1684"/>
      <c r="P3552" s="1684"/>
      <c r="Q3552" s="1684"/>
      <c r="R3552" s="1684"/>
      <c r="S3552" s="1684"/>
      <c r="T3552" s="1684"/>
      <c r="U3552" s="1684"/>
      <c r="V3552" s="1684"/>
      <c r="W3552" s="1684"/>
      <c r="X3552" s="1684"/>
      <c r="Y3552" s="1684"/>
      <c r="Z3552" s="1684"/>
      <c r="AA3552" s="1684"/>
      <c r="AB3552" s="1684"/>
      <c r="AC3552" s="1684"/>
      <c r="AD3552" s="1684"/>
      <c r="AE3552" s="1684"/>
      <c r="AF3552" s="1684"/>
      <c r="AG3552" s="1684"/>
      <c r="AH3552" s="1684"/>
      <c r="AI3552" s="1684"/>
      <c r="AJ3552" s="1684"/>
      <c r="AK3552" s="1684"/>
      <c r="AL3552" s="1684"/>
      <c r="AM3552" s="1684"/>
      <c r="AN3552" s="1684"/>
      <c r="AO3552" s="1684"/>
      <c r="AP3552" s="1684"/>
      <c r="AQ3552" s="1684"/>
      <c r="AR3552" s="1684"/>
      <c r="AS3552" s="1684"/>
      <c r="AT3552" s="1684"/>
      <c r="AU3552" s="1684"/>
      <c r="AV3552" s="1684"/>
      <c r="AW3552" s="1684"/>
      <c r="AX3552" s="1684"/>
      <c r="AY3552" s="1684"/>
      <c r="AZ3552" s="1684"/>
      <c r="BA3552" s="1684"/>
      <c r="BB3552" s="1684"/>
      <c r="BC3552" s="1684"/>
      <c r="BD3552" s="1684"/>
      <c r="BE3552" s="1684"/>
      <c r="BF3552" s="1684"/>
      <c r="BG3552" s="1684"/>
      <c r="BH3552" s="1684"/>
      <c r="BI3552" s="1684"/>
      <c r="BJ3552" s="1684"/>
      <c r="BK3552" s="1684"/>
      <c r="BL3552" s="1684"/>
      <c r="BM3552" s="1684"/>
      <c r="BN3552" s="1684"/>
      <c r="BO3552" s="1684"/>
      <c r="BP3552" s="1684"/>
      <c r="BQ3552" s="1684"/>
      <c r="BR3552" s="1684"/>
      <c r="BS3552" s="1684"/>
      <c r="BT3552" s="1684"/>
      <c r="BU3552" s="1684"/>
      <c r="BV3552" s="1684"/>
      <c r="BW3552" s="1684"/>
      <c r="BX3552" s="1684"/>
      <c r="BY3552" s="1684"/>
      <c r="BZ3552" s="1684"/>
      <c r="CA3552" s="1684"/>
      <c r="CB3552" s="1684"/>
      <c r="CC3552" s="1684"/>
      <c r="CD3552" s="1684"/>
      <c r="CE3552" s="1684"/>
      <c r="CF3552" s="1684"/>
      <c r="CG3552" s="1684"/>
      <c r="CH3552" s="1684"/>
      <c r="CI3552" s="1684"/>
      <c r="CJ3552" s="1684"/>
      <c r="CK3552" s="1684"/>
      <c r="CL3552" s="1684"/>
      <c r="CM3552" s="1684"/>
      <c r="CN3552" s="1684"/>
      <c r="CO3552" s="1684"/>
    </row>
    <row r="3553" spans="1:93" s="1391" customFormat="1" ht="15.75" x14ac:dyDescent="0.25">
      <c r="A3553" s="1684"/>
      <c r="B3553" s="1684"/>
      <c r="C3553" s="1684"/>
      <c r="D3553" s="1684"/>
      <c r="E3553" s="1417">
        <v>6</v>
      </c>
      <c r="F3553" s="1417">
        <v>11</v>
      </c>
      <c r="G3553" s="1417">
        <f t="shared" ref="G3553:G3565" si="3">F3553/E3553</f>
        <v>1.8333333333333333</v>
      </c>
      <c r="H3553" s="1417">
        <f t="shared" ref="H3553:H3565" si="4">E3553/F3553</f>
        <v>0.54545454545454541</v>
      </c>
      <c r="I3553" s="1417"/>
      <c r="J3553" s="1417"/>
      <c r="K3553" s="1417"/>
      <c r="L3553" s="1417"/>
      <c r="M3553" s="1684"/>
      <c r="N3553" s="1684"/>
      <c r="O3553" s="1684"/>
      <c r="P3553" s="1684"/>
      <c r="Q3553" s="1684"/>
      <c r="R3553" s="1684"/>
      <c r="S3553" s="1684"/>
      <c r="T3553" s="1684"/>
      <c r="U3553" s="1684"/>
      <c r="V3553" s="1684"/>
      <c r="W3553" s="1684"/>
      <c r="X3553" s="1684"/>
      <c r="Y3553" s="1684"/>
      <c r="Z3553" s="1684"/>
      <c r="AA3553" s="1684"/>
      <c r="AB3553" s="1684"/>
      <c r="AC3553" s="1684"/>
      <c r="AD3553" s="1684"/>
      <c r="AE3553" s="1684"/>
      <c r="AF3553" s="1684"/>
      <c r="AG3553" s="1684"/>
      <c r="AH3553" s="1684"/>
      <c r="AI3553" s="1684"/>
      <c r="AJ3553" s="1684"/>
      <c r="AK3553" s="1684"/>
      <c r="AL3553" s="1684"/>
      <c r="AM3553" s="1684"/>
      <c r="AN3553" s="1684"/>
      <c r="AO3553" s="1684"/>
      <c r="AP3553" s="1684"/>
      <c r="AQ3553" s="1684"/>
      <c r="AR3553" s="1684"/>
      <c r="AS3553" s="1684"/>
      <c r="AT3553" s="1684"/>
      <c r="AU3553" s="1684"/>
      <c r="AV3553" s="1684"/>
      <c r="AW3553" s="1684"/>
      <c r="AX3553" s="1684"/>
      <c r="AY3553" s="1684"/>
      <c r="AZ3553" s="1684"/>
      <c r="BA3553" s="1684"/>
      <c r="BB3553" s="1684"/>
      <c r="BC3553" s="1684"/>
      <c r="BD3553" s="1684"/>
      <c r="BE3553" s="1684"/>
      <c r="BF3553" s="1684"/>
      <c r="BG3553" s="1684"/>
      <c r="BH3553" s="1684"/>
      <c r="BI3553" s="1684"/>
      <c r="BJ3553" s="1684"/>
      <c r="BK3553" s="1684"/>
      <c r="BL3553" s="1684"/>
      <c r="BM3553" s="1684"/>
      <c r="BN3553" s="1684"/>
      <c r="BO3553" s="1684"/>
      <c r="BP3553" s="1684"/>
      <c r="BQ3553" s="1684"/>
      <c r="BR3553" s="1684"/>
      <c r="BS3553" s="1684"/>
      <c r="BT3553" s="1684"/>
      <c r="BU3553" s="1684"/>
      <c r="BV3553" s="1684"/>
      <c r="BW3553" s="1684"/>
      <c r="BX3553" s="1684"/>
      <c r="BY3553" s="1684"/>
      <c r="BZ3553" s="1684"/>
      <c r="CA3553" s="1684"/>
      <c r="CB3553" s="1684"/>
      <c r="CC3553" s="1684"/>
      <c r="CD3553" s="1684"/>
      <c r="CE3553" s="1684"/>
      <c r="CF3553" s="1684"/>
      <c r="CG3553" s="1684"/>
      <c r="CH3553" s="1684"/>
      <c r="CI3553" s="1684"/>
      <c r="CJ3553" s="1684"/>
      <c r="CK3553" s="1684"/>
      <c r="CL3553" s="1684"/>
      <c r="CM3553" s="1684"/>
      <c r="CN3553" s="1684"/>
      <c r="CO3553" s="1684"/>
    </row>
    <row r="3554" spans="1:93" s="1391" customFormat="1" ht="15.75" x14ac:dyDescent="0.25">
      <c r="A3554" s="1684"/>
      <c r="B3554" s="1684"/>
      <c r="C3554" s="1684"/>
      <c r="D3554" s="1684"/>
      <c r="E3554" s="1417">
        <v>6</v>
      </c>
      <c r="F3554" s="1417">
        <v>12</v>
      </c>
      <c r="G3554" s="1417">
        <f t="shared" si="3"/>
        <v>2</v>
      </c>
      <c r="H3554" s="1417">
        <f t="shared" si="4"/>
        <v>0.5</v>
      </c>
      <c r="I3554" s="1417"/>
      <c r="J3554" s="1417"/>
      <c r="K3554" s="1417"/>
      <c r="L3554" s="1417"/>
      <c r="M3554" s="1684"/>
      <c r="N3554" s="1684"/>
      <c r="O3554" s="1684"/>
      <c r="P3554" s="1684"/>
      <c r="Q3554" s="1684"/>
      <c r="R3554" s="1684"/>
      <c r="S3554" s="1684"/>
      <c r="T3554" s="1684"/>
      <c r="U3554" s="1684"/>
      <c r="V3554" s="1684"/>
      <c r="W3554" s="1684"/>
      <c r="X3554" s="1684"/>
      <c r="Y3554" s="1684"/>
      <c r="Z3554" s="1684"/>
      <c r="AA3554" s="1684"/>
      <c r="AB3554" s="1684"/>
      <c r="AC3554" s="1684"/>
      <c r="AD3554" s="1684"/>
      <c r="AE3554" s="1684"/>
      <c r="AF3554" s="1684"/>
      <c r="AG3554" s="1684"/>
      <c r="AH3554" s="1684"/>
      <c r="AI3554" s="1684"/>
      <c r="AJ3554" s="1684"/>
      <c r="AK3554" s="1684"/>
      <c r="AL3554" s="1684"/>
      <c r="AM3554" s="1684"/>
      <c r="AN3554" s="1684"/>
      <c r="AO3554" s="1684"/>
      <c r="AP3554" s="1684"/>
      <c r="AQ3554" s="1684"/>
      <c r="AR3554" s="1684"/>
      <c r="AS3554" s="1684"/>
      <c r="AT3554" s="1684"/>
      <c r="AU3554" s="1684"/>
      <c r="AV3554" s="1684"/>
      <c r="AW3554" s="1684"/>
      <c r="AX3554" s="1684"/>
      <c r="AY3554" s="1684"/>
      <c r="AZ3554" s="1684"/>
      <c r="BA3554" s="1684"/>
      <c r="BB3554" s="1684"/>
      <c r="BC3554" s="1684"/>
      <c r="BD3554" s="1684"/>
      <c r="BE3554" s="1684"/>
      <c r="BF3554" s="1684"/>
      <c r="BG3554" s="1684"/>
      <c r="BH3554" s="1684"/>
      <c r="BI3554" s="1684"/>
      <c r="BJ3554" s="1684"/>
      <c r="BK3554" s="1684"/>
      <c r="BL3554" s="1684"/>
      <c r="BM3554" s="1684"/>
      <c r="BN3554" s="1684"/>
      <c r="BO3554" s="1684"/>
      <c r="BP3554" s="1684"/>
      <c r="BQ3554" s="1684"/>
      <c r="BR3554" s="1684"/>
      <c r="BS3554" s="1684"/>
      <c r="BT3554" s="1684"/>
      <c r="BU3554" s="1684"/>
      <c r="BV3554" s="1684"/>
      <c r="BW3554" s="1684"/>
      <c r="BX3554" s="1684"/>
      <c r="BY3554" s="1684"/>
      <c r="BZ3554" s="1684"/>
      <c r="CA3554" s="1684"/>
      <c r="CB3554" s="1684"/>
      <c r="CC3554" s="1684"/>
      <c r="CD3554" s="1684"/>
      <c r="CE3554" s="1684"/>
      <c r="CF3554" s="1684"/>
      <c r="CG3554" s="1684"/>
      <c r="CH3554" s="1684"/>
      <c r="CI3554" s="1684"/>
      <c r="CJ3554" s="1684"/>
      <c r="CK3554" s="1684"/>
      <c r="CL3554" s="1684"/>
      <c r="CM3554" s="1684"/>
      <c r="CN3554" s="1684"/>
      <c r="CO3554" s="1684"/>
    </row>
    <row r="3555" spans="1:93" s="1391" customFormat="1" ht="15.75" x14ac:dyDescent="0.25">
      <c r="A3555" s="1684"/>
      <c r="B3555" s="1684"/>
      <c r="C3555" s="1684"/>
      <c r="D3555" s="1684"/>
      <c r="E3555" s="1417">
        <v>8</v>
      </c>
      <c r="F3555" s="1417">
        <v>16</v>
      </c>
      <c r="G3555" s="1417">
        <f t="shared" si="3"/>
        <v>2</v>
      </c>
      <c r="H3555" s="1417">
        <f t="shared" si="4"/>
        <v>0.5</v>
      </c>
      <c r="I3555" s="1417"/>
      <c r="J3555" s="1417"/>
      <c r="K3555" s="1417"/>
      <c r="L3555" s="1417"/>
      <c r="M3555" s="1684"/>
      <c r="N3555" s="1684"/>
      <c r="O3555" s="1684"/>
      <c r="P3555" s="1684"/>
      <c r="Q3555" s="1684"/>
      <c r="R3555" s="1684"/>
      <c r="S3555" s="1684"/>
      <c r="T3555" s="1684"/>
      <c r="U3555" s="1684"/>
      <c r="V3555" s="1684"/>
      <c r="W3555" s="1684"/>
      <c r="X3555" s="1684"/>
      <c r="Y3555" s="1684"/>
      <c r="Z3555" s="1684"/>
      <c r="AA3555" s="1684"/>
      <c r="AB3555" s="1684"/>
      <c r="AC3555" s="1684"/>
      <c r="AD3555" s="1684"/>
      <c r="AE3555" s="1684"/>
      <c r="AF3555" s="1684"/>
      <c r="AG3555" s="1684"/>
      <c r="AH3555" s="1684"/>
      <c r="AI3555" s="1684"/>
      <c r="AJ3555" s="1684"/>
      <c r="AK3555" s="1684"/>
      <c r="AL3555" s="1684"/>
      <c r="AM3555" s="1684"/>
      <c r="AN3555" s="1684"/>
      <c r="AO3555" s="1684"/>
      <c r="AP3555" s="1684"/>
      <c r="AQ3555" s="1684"/>
      <c r="AR3555" s="1684"/>
      <c r="AS3555" s="1684"/>
      <c r="AT3555" s="1684"/>
      <c r="AU3555" s="1684"/>
      <c r="AV3555" s="1684"/>
      <c r="AW3555" s="1684"/>
      <c r="AX3555" s="1684"/>
      <c r="AY3555" s="1684"/>
      <c r="AZ3555" s="1684"/>
      <c r="BA3555" s="1684"/>
      <c r="BB3555" s="1684"/>
      <c r="BC3555" s="1684"/>
      <c r="BD3555" s="1684"/>
      <c r="BE3555" s="1684"/>
      <c r="BF3555" s="1684"/>
      <c r="BG3555" s="1684"/>
      <c r="BH3555" s="1684"/>
      <c r="BI3555" s="1684"/>
      <c r="BJ3555" s="1684"/>
      <c r="BK3555" s="1684"/>
      <c r="BL3555" s="1684"/>
      <c r="BM3555" s="1684"/>
      <c r="BN3555" s="1684"/>
      <c r="BO3555" s="1684"/>
      <c r="BP3555" s="1684"/>
      <c r="BQ3555" s="1684"/>
      <c r="BR3555" s="1684"/>
      <c r="BS3555" s="1684"/>
      <c r="BT3555" s="1684"/>
      <c r="BU3555" s="1684"/>
      <c r="BV3555" s="1684"/>
      <c r="BW3555" s="1684"/>
      <c r="BX3555" s="1684"/>
      <c r="BY3555" s="1684"/>
      <c r="BZ3555" s="1684"/>
      <c r="CA3555" s="1684"/>
      <c r="CB3555" s="1684"/>
      <c r="CC3555" s="1684"/>
      <c r="CD3555" s="1684"/>
      <c r="CE3555" s="1684"/>
      <c r="CF3555" s="1684"/>
      <c r="CG3555" s="1684"/>
      <c r="CH3555" s="1684"/>
      <c r="CI3555" s="1684"/>
      <c r="CJ3555" s="1684"/>
      <c r="CK3555" s="1684"/>
      <c r="CL3555" s="1684"/>
      <c r="CM3555" s="1684"/>
      <c r="CN3555" s="1684"/>
      <c r="CO3555" s="1684"/>
    </row>
    <row r="3556" spans="1:93" s="1391" customFormat="1" ht="15.75" x14ac:dyDescent="0.25">
      <c r="A3556" s="1684"/>
      <c r="B3556" s="1684"/>
      <c r="C3556" s="1684"/>
      <c r="D3556" s="1684"/>
      <c r="E3556" s="1417">
        <v>8</v>
      </c>
      <c r="F3556" s="1417">
        <v>17</v>
      </c>
      <c r="G3556" s="1417">
        <f t="shared" si="3"/>
        <v>2.125</v>
      </c>
      <c r="H3556" s="1417">
        <f t="shared" si="4"/>
        <v>0.47058823529411764</v>
      </c>
      <c r="I3556" s="1417"/>
      <c r="J3556" s="1417"/>
      <c r="K3556" s="1417"/>
      <c r="L3556" s="1417"/>
      <c r="M3556" s="1684"/>
      <c r="N3556" s="1684"/>
      <c r="O3556" s="1684"/>
      <c r="P3556" s="1684"/>
      <c r="Q3556" s="1684"/>
      <c r="R3556" s="1684"/>
      <c r="S3556" s="1684"/>
      <c r="T3556" s="1684"/>
      <c r="U3556" s="1684"/>
      <c r="V3556" s="1684"/>
      <c r="W3556" s="1684"/>
      <c r="X3556" s="1684"/>
      <c r="Y3556" s="1684"/>
      <c r="Z3556" s="1684"/>
      <c r="AA3556" s="1684"/>
      <c r="AB3556" s="1684"/>
      <c r="AC3556" s="1684"/>
      <c r="AD3556" s="1684"/>
      <c r="AE3556" s="1684"/>
      <c r="AF3556" s="1684"/>
      <c r="AG3556" s="1684"/>
      <c r="AH3556" s="1684"/>
      <c r="AI3556" s="1684"/>
      <c r="AJ3556" s="1684"/>
      <c r="AK3556" s="1684"/>
      <c r="AL3556" s="1684"/>
      <c r="AM3556" s="1684"/>
      <c r="AN3556" s="1684"/>
      <c r="AO3556" s="1684"/>
      <c r="AP3556" s="1684"/>
      <c r="AQ3556" s="1684"/>
      <c r="AR3556" s="1684"/>
      <c r="AS3556" s="1684"/>
      <c r="AT3556" s="1684"/>
      <c r="AU3556" s="1684"/>
      <c r="AV3556" s="1684"/>
      <c r="AW3556" s="1684"/>
      <c r="AX3556" s="1684"/>
      <c r="AY3556" s="1684"/>
      <c r="AZ3556" s="1684"/>
      <c r="BA3556" s="1684"/>
      <c r="BB3556" s="1684"/>
      <c r="BC3556" s="1684"/>
      <c r="BD3556" s="1684"/>
      <c r="BE3556" s="1684"/>
      <c r="BF3556" s="1684"/>
      <c r="BG3556" s="1684"/>
      <c r="BH3556" s="1684"/>
      <c r="BI3556" s="1684"/>
      <c r="BJ3556" s="1684"/>
      <c r="BK3556" s="1684"/>
      <c r="BL3556" s="1684"/>
      <c r="BM3556" s="1684"/>
      <c r="BN3556" s="1684"/>
      <c r="BO3556" s="1684"/>
      <c r="BP3556" s="1684"/>
      <c r="BQ3556" s="1684"/>
      <c r="BR3556" s="1684"/>
      <c r="BS3556" s="1684"/>
      <c r="BT3556" s="1684"/>
      <c r="BU3556" s="1684"/>
      <c r="BV3556" s="1684"/>
      <c r="BW3556" s="1684"/>
      <c r="BX3556" s="1684"/>
      <c r="BY3556" s="1684"/>
      <c r="BZ3556" s="1684"/>
      <c r="CA3556" s="1684"/>
      <c r="CB3556" s="1684"/>
      <c r="CC3556" s="1684"/>
      <c r="CD3556" s="1684"/>
      <c r="CE3556" s="1684"/>
      <c r="CF3556" s="1684"/>
      <c r="CG3556" s="1684"/>
      <c r="CH3556" s="1684"/>
      <c r="CI3556" s="1684"/>
      <c r="CJ3556" s="1684"/>
      <c r="CK3556" s="1684"/>
      <c r="CL3556" s="1684"/>
      <c r="CM3556" s="1684"/>
      <c r="CN3556" s="1684"/>
      <c r="CO3556" s="1684"/>
    </row>
    <row r="3557" spans="1:93" s="1391" customFormat="1" ht="15.75" x14ac:dyDescent="0.25">
      <c r="A3557" s="1684"/>
      <c r="B3557" s="1684"/>
      <c r="C3557" s="1684"/>
      <c r="D3557" s="1684"/>
      <c r="E3557" s="1417">
        <v>10</v>
      </c>
      <c r="F3557" s="1417">
        <v>21</v>
      </c>
      <c r="G3557" s="1417">
        <f t="shared" si="3"/>
        <v>2.1</v>
      </c>
      <c r="H3557" s="1417">
        <f t="shared" si="4"/>
        <v>0.47619047619047616</v>
      </c>
      <c r="I3557" s="1417"/>
      <c r="J3557" s="1417"/>
      <c r="K3557" s="1417"/>
      <c r="L3557" s="1417"/>
      <c r="M3557" s="1684"/>
      <c r="N3557" s="1684"/>
      <c r="O3557" s="1684"/>
      <c r="P3557" s="1684"/>
      <c r="Q3557" s="1684"/>
      <c r="R3557" s="1684"/>
      <c r="S3557" s="1684"/>
      <c r="T3557" s="1684"/>
      <c r="U3557" s="1684"/>
      <c r="V3557" s="1684"/>
      <c r="W3557" s="1684"/>
      <c r="X3557" s="1684"/>
      <c r="Y3557" s="1684"/>
      <c r="Z3557" s="1684"/>
      <c r="AA3557" s="1684"/>
      <c r="AB3557" s="1684"/>
      <c r="AC3557" s="1684"/>
      <c r="AD3557" s="1684"/>
      <c r="AE3557" s="1684"/>
      <c r="AF3557" s="1684"/>
      <c r="AG3557" s="1684"/>
      <c r="AH3557" s="1684"/>
      <c r="AI3557" s="1684"/>
      <c r="AJ3557" s="1684"/>
      <c r="AK3557" s="1684"/>
      <c r="AL3557" s="1684"/>
      <c r="AM3557" s="1684"/>
      <c r="AN3557" s="1684"/>
      <c r="AO3557" s="1684"/>
      <c r="AP3557" s="1684"/>
      <c r="AQ3557" s="1684"/>
      <c r="AR3557" s="1684"/>
      <c r="AS3557" s="1684"/>
      <c r="AT3557" s="1684"/>
      <c r="AU3557" s="1684"/>
      <c r="AV3557" s="1684"/>
      <c r="AW3557" s="1684"/>
      <c r="AX3557" s="1684"/>
      <c r="AY3557" s="1684"/>
      <c r="AZ3557" s="1684"/>
      <c r="BA3557" s="1684"/>
      <c r="BB3557" s="1684"/>
      <c r="BC3557" s="1684"/>
      <c r="BD3557" s="1684"/>
      <c r="BE3557" s="1684"/>
      <c r="BF3557" s="1684"/>
      <c r="BG3557" s="1684"/>
      <c r="BH3557" s="1684"/>
      <c r="BI3557" s="1684"/>
      <c r="BJ3557" s="1684"/>
      <c r="BK3557" s="1684"/>
      <c r="BL3557" s="1684"/>
      <c r="BM3557" s="1684"/>
      <c r="BN3557" s="1684"/>
      <c r="BO3557" s="1684"/>
      <c r="BP3557" s="1684"/>
      <c r="BQ3557" s="1684"/>
      <c r="BR3557" s="1684"/>
      <c r="BS3557" s="1684"/>
      <c r="BT3557" s="1684"/>
      <c r="BU3557" s="1684"/>
      <c r="BV3557" s="1684"/>
      <c r="BW3557" s="1684"/>
      <c r="BX3557" s="1684"/>
      <c r="BY3557" s="1684"/>
      <c r="BZ3557" s="1684"/>
      <c r="CA3557" s="1684"/>
      <c r="CB3557" s="1684"/>
      <c r="CC3557" s="1684"/>
      <c r="CD3557" s="1684"/>
      <c r="CE3557" s="1684"/>
      <c r="CF3557" s="1684"/>
      <c r="CG3557" s="1684"/>
      <c r="CH3557" s="1684"/>
      <c r="CI3557" s="1684"/>
      <c r="CJ3557" s="1684"/>
      <c r="CK3557" s="1684"/>
      <c r="CL3557" s="1684"/>
      <c r="CM3557" s="1684"/>
      <c r="CN3557" s="1684"/>
      <c r="CO3557" s="1684"/>
    </row>
    <row r="3558" spans="1:93" s="1391" customFormat="1" ht="15.75" x14ac:dyDescent="0.25">
      <c r="A3558" s="1684"/>
      <c r="B3558" s="1684"/>
      <c r="C3558" s="1684"/>
      <c r="D3558" s="1684"/>
      <c r="E3558" s="1417">
        <v>10</v>
      </c>
      <c r="F3558" s="1417">
        <v>22</v>
      </c>
      <c r="G3558" s="1417">
        <f t="shared" si="3"/>
        <v>2.2000000000000002</v>
      </c>
      <c r="H3558" s="1417">
        <f t="shared" si="4"/>
        <v>0.45454545454545453</v>
      </c>
      <c r="I3558" s="1417"/>
      <c r="J3558" s="1417"/>
      <c r="K3558" s="1417"/>
      <c r="L3558" s="1417"/>
      <c r="M3558" s="1684"/>
      <c r="N3558" s="1684"/>
      <c r="O3558" s="1684"/>
      <c r="P3558" s="1684"/>
      <c r="Q3558" s="1684"/>
      <c r="R3558" s="1684"/>
      <c r="S3558" s="1684"/>
      <c r="T3558" s="1684"/>
      <c r="U3558" s="1684"/>
      <c r="V3558" s="1684"/>
      <c r="W3558" s="1684"/>
      <c r="X3558" s="1684"/>
      <c r="Y3558" s="1684"/>
      <c r="Z3558" s="1684"/>
      <c r="AA3558" s="1684"/>
      <c r="AB3558" s="1684"/>
      <c r="AC3558" s="1684"/>
      <c r="AD3558" s="1684"/>
      <c r="AE3558" s="1684"/>
      <c r="AF3558" s="1684"/>
      <c r="AG3558" s="1684"/>
      <c r="AH3558" s="1684"/>
      <c r="AI3558" s="1684"/>
      <c r="AJ3558" s="1684"/>
      <c r="AK3558" s="1684"/>
      <c r="AL3558" s="1684"/>
      <c r="AM3558" s="1684"/>
      <c r="AN3558" s="1684"/>
      <c r="AO3558" s="1684"/>
      <c r="AP3558" s="1684"/>
      <c r="AQ3558" s="1684"/>
      <c r="AR3558" s="1684"/>
      <c r="AS3558" s="1684"/>
      <c r="AT3558" s="1684"/>
      <c r="AU3558" s="1684"/>
      <c r="AV3558" s="1684"/>
      <c r="AW3558" s="1684"/>
      <c r="AX3558" s="1684"/>
      <c r="AY3558" s="1684"/>
      <c r="AZ3558" s="1684"/>
      <c r="BA3558" s="1684"/>
      <c r="BB3558" s="1684"/>
      <c r="BC3558" s="1684"/>
      <c r="BD3558" s="1684"/>
      <c r="BE3558" s="1684"/>
      <c r="BF3558" s="1684"/>
      <c r="BG3558" s="1684"/>
      <c r="BH3558" s="1684"/>
      <c r="BI3558" s="1684"/>
      <c r="BJ3558" s="1684"/>
      <c r="BK3558" s="1684"/>
      <c r="BL3558" s="1684"/>
      <c r="BM3558" s="1684"/>
      <c r="BN3558" s="1684"/>
      <c r="BO3558" s="1684"/>
      <c r="BP3558" s="1684"/>
      <c r="BQ3558" s="1684"/>
      <c r="BR3558" s="1684"/>
      <c r="BS3558" s="1684"/>
      <c r="BT3558" s="1684"/>
      <c r="BU3558" s="1684"/>
      <c r="BV3558" s="1684"/>
      <c r="BW3558" s="1684"/>
      <c r="BX3558" s="1684"/>
      <c r="BY3558" s="1684"/>
      <c r="BZ3558" s="1684"/>
      <c r="CA3558" s="1684"/>
      <c r="CB3558" s="1684"/>
      <c r="CC3558" s="1684"/>
      <c r="CD3558" s="1684"/>
      <c r="CE3558" s="1684"/>
      <c r="CF3558" s="1684"/>
      <c r="CG3558" s="1684"/>
      <c r="CH3558" s="1684"/>
      <c r="CI3558" s="1684"/>
      <c r="CJ3558" s="1684"/>
      <c r="CK3558" s="1684"/>
      <c r="CL3558" s="1684"/>
      <c r="CM3558" s="1684"/>
      <c r="CN3558" s="1684"/>
      <c r="CO3558" s="1684"/>
    </row>
    <row r="3559" spans="1:93" s="1391" customFormat="1" ht="15.75" x14ac:dyDescent="0.25">
      <c r="A3559" s="1684"/>
      <c r="B3559" s="1684"/>
      <c r="C3559" s="1684"/>
      <c r="D3559" s="1684"/>
      <c r="E3559" s="1417">
        <v>12</v>
      </c>
      <c r="F3559" s="1417">
        <v>27</v>
      </c>
      <c r="G3559" s="1417">
        <f t="shared" si="3"/>
        <v>2.25</v>
      </c>
      <c r="H3559" s="1417">
        <f t="shared" si="4"/>
        <v>0.44444444444444442</v>
      </c>
      <c r="I3559" s="1417"/>
      <c r="J3559" s="1417"/>
      <c r="K3559" s="1417"/>
      <c r="L3559" s="1417"/>
      <c r="M3559" s="1684"/>
      <c r="N3559" s="1684"/>
      <c r="O3559" s="1684"/>
      <c r="P3559" s="1684"/>
      <c r="Q3559" s="1684"/>
      <c r="R3559" s="1684"/>
      <c r="S3559" s="1684"/>
      <c r="T3559" s="1684"/>
      <c r="U3559" s="1684"/>
      <c r="V3559" s="1684"/>
      <c r="W3559" s="1684"/>
      <c r="X3559" s="1684"/>
      <c r="Y3559" s="1684"/>
      <c r="Z3559" s="1684"/>
      <c r="AA3559" s="1684"/>
      <c r="AB3559" s="1684"/>
      <c r="AC3559" s="1684"/>
      <c r="AD3559" s="1684"/>
      <c r="AE3559" s="1684"/>
      <c r="AF3559" s="1684"/>
      <c r="AG3559" s="1684"/>
      <c r="AH3559" s="1684"/>
      <c r="AI3559" s="1684"/>
      <c r="AJ3559" s="1684"/>
      <c r="AK3559" s="1684"/>
      <c r="AL3559" s="1684"/>
      <c r="AM3559" s="1684"/>
      <c r="AN3559" s="1684"/>
      <c r="AO3559" s="1684"/>
      <c r="AP3559" s="1684"/>
      <c r="AQ3559" s="1684"/>
      <c r="AR3559" s="1684"/>
      <c r="AS3559" s="1684"/>
      <c r="AT3559" s="1684"/>
      <c r="AU3559" s="1684"/>
      <c r="AV3559" s="1684"/>
      <c r="AW3559" s="1684"/>
      <c r="AX3559" s="1684"/>
      <c r="AY3559" s="1684"/>
      <c r="AZ3559" s="1684"/>
      <c r="BA3559" s="1684"/>
      <c r="BB3559" s="1684"/>
      <c r="BC3559" s="1684"/>
      <c r="BD3559" s="1684"/>
      <c r="BE3559" s="1684"/>
      <c r="BF3559" s="1684"/>
      <c r="BG3559" s="1684"/>
      <c r="BH3559" s="1684"/>
      <c r="BI3559" s="1684"/>
      <c r="BJ3559" s="1684"/>
      <c r="BK3559" s="1684"/>
      <c r="BL3559" s="1684"/>
      <c r="BM3559" s="1684"/>
      <c r="BN3559" s="1684"/>
      <c r="BO3559" s="1684"/>
      <c r="BP3559" s="1684"/>
      <c r="BQ3559" s="1684"/>
      <c r="BR3559" s="1684"/>
      <c r="BS3559" s="1684"/>
      <c r="BT3559" s="1684"/>
      <c r="BU3559" s="1684"/>
      <c r="BV3559" s="1684"/>
      <c r="BW3559" s="1684"/>
      <c r="BX3559" s="1684"/>
      <c r="BY3559" s="1684"/>
      <c r="BZ3559" s="1684"/>
      <c r="CA3559" s="1684"/>
      <c r="CB3559" s="1684"/>
      <c r="CC3559" s="1684"/>
      <c r="CD3559" s="1684"/>
      <c r="CE3559" s="1684"/>
      <c r="CF3559" s="1684"/>
      <c r="CG3559" s="1684"/>
      <c r="CH3559" s="1684"/>
      <c r="CI3559" s="1684"/>
      <c r="CJ3559" s="1684"/>
      <c r="CK3559" s="1684"/>
      <c r="CL3559" s="1684"/>
      <c r="CM3559" s="1684"/>
      <c r="CN3559" s="1684"/>
      <c r="CO3559" s="1684"/>
    </row>
    <row r="3560" spans="1:93" s="1391" customFormat="1" ht="15.75" x14ac:dyDescent="0.25">
      <c r="A3560" s="1684"/>
      <c r="B3560" s="1684"/>
      <c r="C3560" s="1684"/>
      <c r="D3560" s="1684"/>
      <c r="E3560" s="1417">
        <v>12</v>
      </c>
      <c r="F3560" s="1417">
        <v>28</v>
      </c>
      <c r="G3560" s="1417">
        <f t="shared" si="3"/>
        <v>2.3333333333333335</v>
      </c>
      <c r="H3560" s="1417">
        <f t="shared" si="4"/>
        <v>0.42857142857142855</v>
      </c>
      <c r="I3560" s="1417"/>
      <c r="J3560" s="1417"/>
      <c r="K3560" s="1417"/>
      <c r="L3560" s="1417"/>
      <c r="M3560" s="1684"/>
      <c r="N3560" s="1684"/>
      <c r="O3560" s="1684"/>
      <c r="P3560" s="1684"/>
      <c r="Q3560" s="1684"/>
      <c r="R3560" s="1684"/>
      <c r="S3560" s="1684"/>
      <c r="T3560" s="1684"/>
      <c r="U3560" s="1684"/>
      <c r="V3560" s="1684"/>
      <c r="W3560" s="1684"/>
      <c r="X3560" s="1684"/>
      <c r="Y3560" s="1684"/>
      <c r="Z3560" s="1684"/>
      <c r="AA3560" s="1684"/>
      <c r="AB3560" s="1684"/>
      <c r="AC3560" s="1684"/>
      <c r="AD3560" s="1684"/>
      <c r="AE3560" s="1684"/>
      <c r="AF3560" s="1684"/>
      <c r="AG3560" s="1684"/>
      <c r="AH3560" s="1684"/>
      <c r="AI3560" s="1684"/>
      <c r="AJ3560" s="1684"/>
      <c r="AK3560" s="1684"/>
      <c r="AL3560" s="1684"/>
      <c r="AM3560" s="1684"/>
      <c r="AN3560" s="1684"/>
      <c r="AO3560" s="1684"/>
      <c r="AP3560" s="1684"/>
      <c r="AQ3560" s="1684"/>
      <c r="AR3560" s="1684"/>
      <c r="AS3560" s="1684"/>
      <c r="AT3560" s="1684"/>
      <c r="AU3560" s="1684"/>
      <c r="AV3560" s="1684"/>
      <c r="AW3560" s="1684"/>
      <c r="AX3560" s="1684"/>
      <c r="AY3560" s="1684"/>
      <c r="AZ3560" s="1684"/>
      <c r="BA3560" s="1684"/>
      <c r="BB3560" s="1684"/>
      <c r="BC3560" s="1684"/>
      <c r="BD3560" s="1684"/>
      <c r="BE3560" s="1684"/>
      <c r="BF3560" s="1684"/>
      <c r="BG3560" s="1684"/>
      <c r="BH3560" s="1684"/>
      <c r="BI3560" s="1684"/>
      <c r="BJ3560" s="1684"/>
      <c r="BK3560" s="1684"/>
      <c r="BL3560" s="1684"/>
      <c r="BM3560" s="1684"/>
      <c r="BN3560" s="1684"/>
      <c r="BO3560" s="1684"/>
      <c r="BP3560" s="1684"/>
      <c r="BQ3560" s="1684"/>
      <c r="BR3560" s="1684"/>
      <c r="BS3560" s="1684"/>
      <c r="BT3560" s="1684"/>
      <c r="BU3560" s="1684"/>
      <c r="BV3560" s="1684"/>
      <c r="BW3560" s="1684"/>
      <c r="BX3560" s="1684"/>
      <c r="BY3560" s="1684"/>
      <c r="BZ3560" s="1684"/>
      <c r="CA3560" s="1684"/>
      <c r="CB3560" s="1684"/>
      <c r="CC3560" s="1684"/>
      <c r="CD3560" s="1684"/>
      <c r="CE3560" s="1684"/>
      <c r="CF3560" s="1684"/>
      <c r="CG3560" s="1684"/>
      <c r="CH3560" s="1684"/>
      <c r="CI3560" s="1684"/>
      <c r="CJ3560" s="1684"/>
      <c r="CK3560" s="1684"/>
      <c r="CL3560" s="1684"/>
      <c r="CM3560" s="1684"/>
      <c r="CN3560" s="1684"/>
      <c r="CO3560" s="1684"/>
    </row>
    <row r="3561" spans="1:93" s="1391" customFormat="1" ht="15.75" x14ac:dyDescent="0.25">
      <c r="A3561" s="1684"/>
      <c r="B3561" s="1684"/>
      <c r="C3561" s="1684"/>
      <c r="D3561" s="1684"/>
      <c r="E3561" s="1417">
        <v>14</v>
      </c>
      <c r="F3561" s="1417">
        <v>33</v>
      </c>
      <c r="G3561" s="1417">
        <f t="shared" si="3"/>
        <v>2.3571428571428572</v>
      </c>
      <c r="H3561" s="1417">
        <f t="shared" si="4"/>
        <v>0.42424242424242425</v>
      </c>
      <c r="I3561" s="1417"/>
      <c r="J3561" s="1417"/>
      <c r="K3561" s="1417"/>
      <c r="L3561" s="1417"/>
      <c r="M3561" s="1684"/>
      <c r="N3561" s="1684"/>
      <c r="O3561" s="1684"/>
      <c r="P3561" s="1684"/>
      <c r="Q3561" s="1684"/>
      <c r="R3561" s="1684"/>
      <c r="S3561" s="1684"/>
      <c r="T3561" s="1684"/>
      <c r="U3561" s="1684"/>
      <c r="V3561" s="1684"/>
      <c r="W3561" s="1684"/>
      <c r="X3561" s="1684"/>
      <c r="Y3561" s="1684"/>
      <c r="Z3561" s="1684"/>
      <c r="AA3561" s="1684"/>
      <c r="AB3561" s="1684"/>
      <c r="AC3561" s="1684"/>
      <c r="AD3561" s="1684"/>
      <c r="AE3561" s="1684"/>
      <c r="AF3561" s="1684"/>
      <c r="AG3561" s="1684"/>
      <c r="AH3561" s="1684"/>
      <c r="AI3561" s="1684"/>
      <c r="AJ3561" s="1684"/>
      <c r="AK3561" s="1684"/>
      <c r="AL3561" s="1684"/>
      <c r="AM3561" s="1684"/>
      <c r="AN3561" s="1684"/>
      <c r="AO3561" s="1684"/>
      <c r="AP3561" s="1684"/>
      <c r="AQ3561" s="1684"/>
      <c r="AR3561" s="1684"/>
      <c r="AS3561" s="1684"/>
      <c r="AT3561" s="1684"/>
      <c r="AU3561" s="1684"/>
      <c r="AV3561" s="1684"/>
      <c r="AW3561" s="1684"/>
      <c r="AX3561" s="1684"/>
      <c r="AY3561" s="1684"/>
      <c r="AZ3561" s="1684"/>
      <c r="BA3561" s="1684"/>
      <c r="BB3561" s="1684"/>
      <c r="BC3561" s="1684"/>
      <c r="BD3561" s="1684"/>
      <c r="BE3561" s="1684"/>
      <c r="BF3561" s="1684"/>
      <c r="BG3561" s="1684"/>
      <c r="BH3561" s="1684"/>
      <c r="BI3561" s="1684"/>
      <c r="BJ3561" s="1684"/>
      <c r="BK3561" s="1684"/>
      <c r="BL3561" s="1684"/>
      <c r="BM3561" s="1684"/>
      <c r="BN3561" s="1684"/>
      <c r="BO3561" s="1684"/>
      <c r="BP3561" s="1684"/>
      <c r="BQ3561" s="1684"/>
      <c r="BR3561" s="1684"/>
      <c r="BS3561" s="1684"/>
      <c r="BT3561" s="1684"/>
      <c r="BU3561" s="1684"/>
      <c r="BV3561" s="1684"/>
      <c r="BW3561" s="1684"/>
      <c r="BX3561" s="1684"/>
      <c r="BY3561" s="1684"/>
      <c r="BZ3561" s="1684"/>
      <c r="CA3561" s="1684"/>
      <c r="CB3561" s="1684"/>
      <c r="CC3561" s="1684"/>
      <c r="CD3561" s="1684"/>
      <c r="CE3561" s="1684"/>
      <c r="CF3561" s="1684"/>
      <c r="CG3561" s="1684"/>
      <c r="CH3561" s="1684"/>
      <c r="CI3561" s="1684"/>
      <c r="CJ3561" s="1684"/>
      <c r="CK3561" s="1684"/>
      <c r="CL3561" s="1684"/>
      <c r="CM3561" s="1684"/>
      <c r="CN3561" s="1684"/>
      <c r="CO3561" s="1684"/>
    </row>
    <row r="3562" spans="1:93" s="1391" customFormat="1" ht="15.75" x14ac:dyDescent="0.25">
      <c r="A3562" s="1684"/>
      <c r="B3562" s="1684"/>
      <c r="C3562" s="1684"/>
      <c r="D3562" s="1684"/>
      <c r="E3562" s="1417">
        <v>14</v>
      </c>
      <c r="F3562" s="1417">
        <v>34</v>
      </c>
      <c r="G3562" s="1417">
        <f t="shared" si="3"/>
        <v>2.4285714285714284</v>
      </c>
      <c r="H3562" s="1417">
        <f t="shared" si="4"/>
        <v>0.41176470588235292</v>
      </c>
      <c r="I3562" s="1417"/>
      <c r="J3562" s="1417"/>
      <c r="K3562" s="1417"/>
      <c r="L3562" s="1417"/>
      <c r="M3562" s="1684"/>
      <c r="N3562" s="1684"/>
      <c r="O3562" s="1684"/>
      <c r="P3562" s="1684"/>
      <c r="Q3562" s="1684"/>
      <c r="R3562" s="1684"/>
      <c r="S3562" s="1684"/>
      <c r="T3562" s="1684"/>
      <c r="U3562" s="1684"/>
      <c r="V3562" s="1684"/>
      <c r="W3562" s="1684"/>
      <c r="X3562" s="1684"/>
      <c r="Y3562" s="1684"/>
      <c r="Z3562" s="1684"/>
      <c r="AA3562" s="1684"/>
      <c r="AB3562" s="1684"/>
      <c r="AC3562" s="1684"/>
      <c r="AD3562" s="1684"/>
      <c r="AE3562" s="1684"/>
      <c r="AF3562" s="1684"/>
      <c r="AG3562" s="1684"/>
      <c r="AH3562" s="1684"/>
      <c r="AI3562" s="1684"/>
      <c r="AJ3562" s="1684"/>
      <c r="AK3562" s="1684"/>
      <c r="AL3562" s="1684"/>
      <c r="AM3562" s="1684"/>
      <c r="AN3562" s="1684"/>
      <c r="AO3562" s="1684"/>
      <c r="AP3562" s="1684"/>
      <c r="AQ3562" s="1684"/>
      <c r="AR3562" s="1684"/>
      <c r="AS3562" s="1684"/>
      <c r="AT3562" s="1684"/>
      <c r="AU3562" s="1684"/>
      <c r="AV3562" s="1684"/>
      <c r="AW3562" s="1684"/>
      <c r="AX3562" s="1684"/>
      <c r="AY3562" s="1684"/>
      <c r="AZ3562" s="1684"/>
      <c r="BA3562" s="1684"/>
      <c r="BB3562" s="1684"/>
      <c r="BC3562" s="1684"/>
      <c r="BD3562" s="1684"/>
      <c r="BE3562" s="1684"/>
      <c r="BF3562" s="1684"/>
      <c r="BG3562" s="1684"/>
      <c r="BH3562" s="1684"/>
      <c r="BI3562" s="1684"/>
      <c r="BJ3562" s="1684"/>
      <c r="BK3562" s="1684"/>
      <c r="BL3562" s="1684"/>
      <c r="BM3562" s="1684"/>
      <c r="BN3562" s="1684"/>
      <c r="BO3562" s="1684"/>
      <c r="BP3562" s="1684"/>
      <c r="BQ3562" s="1684"/>
      <c r="BR3562" s="1684"/>
      <c r="BS3562" s="1684"/>
      <c r="BT3562" s="1684"/>
      <c r="BU3562" s="1684"/>
      <c r="BV3562" s="1684"/>
      <c r="BW3562" s="1684"/>
      <c r="BX3562" s="1684"/>
      <c r="BY3562" s="1684"/>
      <c r="BZ3562" s="1684"/>
      <c r="CA3562" s="1684"/>
      <c r="CB3562" s="1684"/>
      <c r="CC3562" s="1684"/>
      <c r="CD3562" s="1684"/>
      <c r="CE3562" s="1684"/>
      <c r="CF3562" s="1684"/>
      <c r="CG3562" s="1684"/>
      <c r="CH3562" s="1684"/>
      <c r="CI3562" s="1684"/>
      <c r="CJ3562" s="1684"/>
      <c r="CK3562" s="1684"/>
      <c r="CL3562" s="1684"/>
      <c r="CM3562" s="1684"/>
      <c r="CN3562" s="1684"/>
      <c r="CO3562" s="1684"/>
    </row>
    <row r="3563" spans="1:93" s="1391" customFormat="1" ht="15.75" x14ac:dyDescent="0.25">
      <c r="A3563" s="1684"/>
      <c r="B3563" s="1684"/>
      <c r="C3563" s="1684"/>
      <c r="D3563" s="1684"/>
      <c r="E3563" s="1417">
        <v>16</v>
      </c>
      <c r="F3563" s="1417">
        <v>38</v>
      </c>
      <c r="G3563" s="1417">
        <f t="shared" si="3"/>
        <v>2.375</v>
      </c>
      <c r="H3563" s="1417">
        <f t="shared" si="4"/>
        <v>0.42105263157894735</v>
      </c>
      <c r="I3563" s="1417"/>
      <c r="J3563" s="1417"/>
      <c r="K3563" s="1417"/>
      <c r="L3563" s="1417"/>
      <c r="M3563" s="1684"/>
      <c r="N3563" s="1684"/>
      <c r="O3563" s="1684"/>
      <c r="P3563" s="1684"/>
      <c r="Q3563" s="1684"/>
      <c r="R3563" s="1684"/>
      <c r="S3563" s="1684"/>
      <c r="T3563" s="1684"/>
      <c r="U3563" s="1684"/>
      <c r="V3563" s="1684"/>
      <c r="W3563" s="1684"/>
      <c r="X3563" s="1684"/>
      <c r="Y3563" s="1684"/>
      <c r="Z3563" s="1684"/>
      <c r="AA3563" s="1684"/>
      <c r="AB3563" s="1684"/>
      <c r="AC3563" s="1684"/>
      <c r="AD3563" s="1684"/>
      <c r="AE3563" s="1684"/>
      <c r="AF3563" s="1684"/>
      <c r="AG3563" s="1684"/>
      <c r="AH3563" s="1684"/>
      <c r="AI3563" s="1684"/>
      <c r="AJ3563" s="1684"/>
      <c r="AK3563" s="1684"/>
      <c r="AL3563" s="1684"/>
      <c r="AM3563" s="1684"/>
      <c r="AN3563" s="1684"/>
      <c r="AO3563" s="1684"/>
      <c r="AP3563" s="1684"/>
      <c r="AQ3563" s="1684"/>
      <c r="AR3563" s="1684"/>
      <c r="AS3563" s="1684"/>
      <c r="AT3563" s="1684"/>
      <c r="AU3563" s="1684"/>
      <c r="AV3563" s="1684"/>
      <c r="AW3563" s="1684"/>
      <c r="AX3563" s="1684"/>
      <c r="AY3563" s="1684"/>
      <c r="AZ3563" s="1684"/>
      <c r="BA3563" s="1684"/>
      <c r="BB3563" s="1684"/>
      <c r="BC3563" s="1684"/>
      <c r="BD3563" s="1684"/>
      <c r="BE3563" s="1684"/>
      <c r="BF3563" s="1684"/>
      <c r="BG3563" s="1684"/>
      <c r="BH3563" s="1684"/>
      <c r="BI3563" s="1684"/>
      <c r="BJ3563" s="1684"/>
      <c r="BK3563" s="1684"/>
      <c r="BL3563" s="1684"/>
      <c r="BM3563" s="1684"/>
      <c r="BN3563" s="1684"/>
      <c r="BO3563" s="1684"/>
      <c r="BP3563" s="1684"/>
      <c r="BQ3563" s="1684"/>
      <c r="BR3563" s="1684"/>
      <c r="BS3563" s="1684"/>
      <c r="BT3563" s="1684"/>
      <c r="BU3563" s="1684"/>
      <c r="BV3563" s="1684"/>
      <c r="BW3563" s="1684"/>
      <c r="BX3563" s="1684"/>
      <c r="BY3563" s="1684"/>
      <c r="BZ3563" s="1684"/>
      <c r="CA3563" s="1684"/>
      <c r="CB3563" s="1684"/>
      <c r="CC3563" s="1684"/>
      <c r="CD3563" s="1684"/>
      <c r="CE3563" s="1684"/>
      <c r="CF3563" s="1684"/>
      <c r="CG3563" s="1684"/>
      <c r="CH3563" s="1684"/>
      <c r="CI3563" s="1684"/>
      <c r="CJ3563" s="1684"/>
      <c r="CK3563" s="1684"/>
      <c r="CL3563" s="1684"/>
      <c r="CM3563" s="1684"/>
      <c r="CN3563" s="1684"/>
      <c r="CO3563" s="1684"/>
    </row>
    <row r="3564" spans="1:93" s="1391" customFormat="1" ht="15.75" x14ac:dyDescent="0.25">
      <c r="A3564" s="1684"/>
      <c r="B3564" s="1684"/>
      <c r="C3564" s="1684"/>
      <c r="D3564" s="1684"/>
      <c r="E3564" s="1417">
        <v>16</v>
      </c>
      <c r="F3564" s="1417">
        <v>39</v>
      </c>
      <c r="G3564" s="1417">
        <f t="shared" si="3"/>
        <v>2.4375</v>
      </c>
      <c r="H3564" s="1417">
        <f t="shared" si="4"/>
        <v>0.41025641025641024</v>
      </c>
      <c r="I3564" s="1417"/>
      <c r="J3564" s="1417"/>
      <c r="K3564" s="1417"/>
      <c r="L3564" s="1417"/>
      <c r="M3564" s="1684"/>
      <c r="N3564" s="1684"/>
      <c r="O3564" s="1684"/>
      <c r="P3564" s="1684"/>
      <c r="Q3564" s="1684"/>
      <c r="R3564" s="1684"/>
      <c r="S3564" s="1684"/>
      <c r="T3564" s="1684"/>
      <c r="U3564" s="1684"/>
      <c r="V3564" s="1684"/>
      <c r="W3564" s="1684"/>
      <c r="X3564" s="1684"/>
      <c r="Y3564" s="1684"/>
      <c r="Z3564" s="1684"/>
      <c r="AA3564" s="1684"/>
      <c r="AB3564" s="1684"/>
      <c r="AC3564" s="1684"/>
      <c r="AD3564" s="1684"/>
      <c r="AE3564" s="1684"/>
      <c r="AF3564" s="1684"/>
      <c r="AG3564" s="1684"/>
      <c r="AH3564" s="1684"/>
      <c r="AI3564" s="1684"/>
      <c r="AJ3564" s="1684"/>
      <c r="AK3564" s="1684"/>
      <c r="AL3564" s="1684"/>
      <c r="AM3564" s="1684"/>
      <c r="AN3564" s="1684"/>
      <c r="AO3564" s="1684"/>
      <c r="AP3564" s="1684"/>
      <c r="AQ3564" s="1684"/>
      <c r="AR3564" s="1684"/>
      <c r="AS3564" s="1684"/>
      <c r="AT3564" s="1684"/>
      <c r="AU3564" s="1684"/>
      <c r="AV3564" s="1684"/>
      <c r="AW3564" s="1684"/>
      <c r="AX3564" s="1684"/>
      <c r="AY3564" s="1684"/>
      <c r="AZ3564" s="1684"/>
      <c r="BA3564" s="1684"/>
      <c r="BB3564" s="1684"/>
      <c r="BC3564" s="1684"/>
      <c r="BD3564" s="1684"/>
      <c r="BE3564" s="1684"/>
      <c r="BF3564" s="1684"/>
      <c r="BG3564" s="1684"/>
      <c r="BH3564" s="1684"/>
      <c r="BI3564" s="1684"/>
      <c r="BJ3564" s="1684"/>
      <c r="BK3564" s="1684"/>
      <c r="BL3564" s="1684"/>
      <c r="BM3564" s="1684"/>
      <c r="BN3564" s="1684"/>
      <c r="BO3564" s="1684"/>
      <c r="BP3564" s="1684"/>
      <c r="BQ3564" s="1684"/>
      <c r="BR3564" s="1684"/>
      <c r="BS3564" s="1684"/>
      <c r="BT3564" s="1684"/>
      <c r="BU3564" s="1684"/>
      <c r="BV3564" s="1684"/>
      <c r="BW3564" s="1684"/>
      <c r="BX3564" s="1684"/>
      <c r="BY3564" s="1684"/>
      <c r="BZ3564" s="1684"/>
      <c r="CA3564" s="1684"/>
      <c r="CB3564" s="1684"/>
      <c r="CC3564" s="1684"/>
      <c r="CD3564" s="1684"/>
      <c r="CE3564" s="1684"/>
      <c r="CF3564" s="1684"/>
      <c r="CG3564" s="1684"/>
      <c r="CH3564" s="1684"/>
      <c r="CI3564" s="1684"/>
      <c r="CJ3564" s="1684"/>
      <c r="CK3564" s="1684"/>
      <c r="CL3564" s="1684"/>
      <c r="CM3564" s="1684"/>
      <c r="CN3564" s="1684"/>
      <c r="CO3564" s="1684"/>
    </row>
    <row r="3565" spans="1:93" s="1391" customFormat="1" ht="15.75" x14ac:dyDescent="0.25">
      <c r="A3565" s="1684"/>
      <c r="B3565" s="1684"/>
      <c r="C3565" s="1684"/>
      <c r="D3565" s="1684"/>
      <c r="E3565" s="1417">
        <v>18</v>
      </c>
      <c r="F3565" s="1417">
        <v>42</v>
      </c>
      <c r="G3565" s="1417">
        <f t="shared" si="3"/>
        <v>2.3333333333333335</v>
      </c>
      <c r="H3565" s="1417">
        <f t="shared" si="4"/>
        <v>0.42857142857142855</v>
      </c>
      <c r="I3565" s="1417"/>
      <c r="J3565" s="1417"/>
      <c r="K3565" s="1417"/>
      <c r="L3565" s="1417"/>
      <c r="M3565" s="1684"/>
      <c r="N3565" s="1684"/>
      <c r="O3565" s="1684"/>
      <c r="P3565" s="1684"/>
      <c r="Q3565" s="1684"/>
      <c r="R3565" s="1684"/>
      <c r="S3565" s="1684"/>
      <c r="T3565" s="1684"/>
      <c r="U3565" s="1684"/>
      <c r="V3565" s="1684"/>
      <c r="W3565" s="1684"/>
      <c r="X3565" s="1684"/>
      <c r="Y3565" s="1684"/>
      <c r="Z3565" s="1684"/>
      <c r="AA3565" s="1684"/>
      <c r="AB3565" s="1684"/>
      <c r="AC3565" s="1684"/>
      <c r="AD3565" s="1684"/>
      <c r="AE3565" s="1684"/>
      <c r="AF3565" s="1684"/>
      <c r="AG3565" s="1684"/>
      <c r="AH3565" s="1684"/>
      <c r="AI3565" s="1684"/>
      <c r="AJ3565" s="1684"/>
      <c r="AK3565" s="1684"/>
      <c r="AL3565" s="1684"/>
      <c r="AM3565" s="1684"/>
      <c r="AN3565" s="1684"/>
      <c r="AO3565" s="1684"/>
      <c r="AP3565" s="1684"/>
      <c r="AQ3565" s="1684"/>
      <c r="AR3565" s="1684"/>
      <c r="AS3565" s="1684"/>
      <c r="AT3565" s="1684"/>
      <c r="AU3565" s="1684"/>
      <c r="AV3565" s="1684"/>
      <c r="AW3565" s="1684"/>
      <c r="AX3565" s="1684"/>
      <c r="AY3565" s="1684"/>
      <c r="AZ3565" s="1684"/>
      <c r="BA3565" s="1684"/>
      <c r="BB3565" s="1684"/>
      <c r="BC3565" s="1684"/>
      <c r="BD3565" s="1684"/>
      <c r="BE3565" s="1684"/>
      <c r="BF3565" s="1684"/>
      <c r="BG3565" s="1684"/>
      <c r="BH3565" s="1684"/>
      <c r="BI3565" s="1684"/>
      <c r="BJ3565" s="1684"/>
      <c r="BK3565" s="1684"/>
      <c r="BL3565" s="1684"/>
      <c r="BM3565" s="1684"/>
      <c r="BN3565" s="1684"/>
      <c r="BO3565" s="1684"/>
      <c r="BP3565" s="1684"/>
      <c r="BQ3565" s="1684"/>
      <c r="BR3565" s="1684"/>
      <c r="BS3565" s="1684"/>
      <c r="BT3565" s="1684"/>
      <c r="BU3565" s="1684"/>
      <c r="BV3565" s="1684"/>
      <c r="BW3565" s="1684"/>
      <c r="BX3565" s="1684"/>
      <c r="BY3565" s="1684"/>
      <c r="BZ3565" s="1684"/>
      <c r="CA3565" s="1684"/>
      <c r="CB3565" s="1684"/>
      <c r="CC3565" s="1684"/>
      <c r="CD3565" s="1684"/>
      <c r="CE3565" s="1684"/>
      <c r="CF3565" s="1684"/>
      <c r="CG3565" s="1684"/>
      <c r="CH3565" s="1684"/>
      <c r="CI3565" s="1684"/>
      <c r="CJ3565" s="1684"/>
      <c r="CK3565" s="1684"/>
      <c r="CL3565" s="1684"/>
      <c r="CM3565" s="1684"/>
      <c r="CN3565" s="1684"/>
      <c r="CO3565" s="1684"/>
    </row>
    <row r="3566" spans="1:93" s="1391" customFormat="1" ht="15.75" x14ac:dyDescent="0.25">
      <c r="A3566" s="1684"/>
      <c r="B3566" s="1684"/>
      <c r="C3566" s="1684"/>
      <c r="D3566" s="1684"/>
      <c r="E3566" s="1417"/>
      <c r="F3566" s="1417"/>
      <c r="G3566" s="1417">
        <f>SUM(G3552:G3565)</f>
        <v>30.773214285714282</v>
      </c>
      <c r="H3566" s="1417"/>
      <c r="I3566" s="1417"/>
      <c r="J3566" s="1417"/>
      <c r="K3566" s="1417"/>
      <c r="L3566" s="1417"/>
      <c r="M3566" s="1684"/>
      <c r="N3566" s="1684"/>
      <c r="O3566" s="1684"/>
      <c r="P3566" s="1684"/>
      <c r="Q3566" s="1684"/>
      <c r="R3566" s="1684"/>
      <c r="S3566" s="1684"/>
      <c r="T3566" s="1684"/>
      <c r="U3566" s="1684"/>
      <c r="V3566" s="1684"/>
      <c r="W3566" s="1684"/>
      <c r="X3566" s="1684"/>
      <c r="Y3566" s="1684"/>
      <c r="Z3566" s="1684"/>
      <c r="AA3566" s="1684"/>
      <c r="AB3566" s="1684"/>
      <c r="AC3566" s="1684"/>
      <c r="AD3566" s="1684"/>
      <c r="AE3566" s="1684"/>
      <c r="AF3566" s="1684"/>
      <c r="AG3566" s="1684"/>
      <c r="AH3566" s="1684"/>
      <c r="AI3566" s="1684"/>
      <c r="AJ3566" s="1684"/>
      <c r="AK3566" s="1684"/>
      <c r="AL3566" s="1684"/>
      <c r="AM3566" s="1684"/>
      <c r="AN3566" s="1684"/>
      <c r="AO3566" s="1684"/>
      <c r="AP3566" s="1684"/>
      <c r="AQ3566" s="1684"/>
      <c r="AR3566" s="1684"/>
      <c r="AS3566" s="1684"/>
      <c r="AT3566" s="1684"/>
      <c r="AU3566" s="1684"/>
      <c r="AV3566" s="1684"/>
      <c r="AW3566" s="1684"/>
      <c r="AX3566" s="1684"/>
      <c r="AY3566" s="1684"/>
      <c r="AZ3566" s="1684"/>
      <c r="BA3566" s="1684"/>
      <c r="BB3566" s="1684"/>
      <c r="BC3566" s="1684"/>
      <c r="BD3566" s="1684"/>
      <c r="BE3566" s="1684"/>
      <c r="BF3566" s="1684"/>
      <c r="BG3566" s="1684"/>
      <c r="BH3566" s="1684"/>
      <c r="BI3566" s="1684"/>
      <c r="BJ3566" s="1684"/>
      <c r="BK3566" s="1684"/>
      <c r="BL3566" s="1684"/>
      <c r="BM3566" s="1684"/>
      <c r="BN3566" s="1684"/>
      <c r="BO3566" s="1684"/>
      <c r="BP3566" s="1684"/>
      <c r="BQ3566" s="1684"/>
      <c r="BR3566" s="1684"/>
      <c r="BS3566" s="1684"/>
      <c r="BT3566" s="1684"/>
      <c r="BU3566" s="1684"/>
      <c r="BV3566" s="1684"/>
      <c r="BW3566" s="1684"/>
      <c r="BX3566" s="1684"/>
      <c r="BY3566" s="1684"/>
      <c r="BZ3566" s="1684"/>
      <c r="CA3566" s="1684"/>
      <c r="CB3566" s="1684"/>
      <c r="CC3566" s="1684"/>
      <c r="CD3566" s="1684"/>
      <c r="CE3566" s="1684"/>
      <c r="CF3566" s="1684"/>
      <c r="CG3566" s="1684"/>
      <c r="CH3566" s="1684"/>
      <c r="CI3566" s="1684"/>
      <c r="CJ3566" s="1684"/>
      <c r="CK3566" s="1684"/>
      <c r="CL3566" s="1684"/>
      <c r="CM3566" s="1684"/>
      <c r="CN3566" s="1684"/>
      <c r="CO3566" s="1684"/>
    </row>
    <row r="3567" spans="1:93" s="1391" customFormat="1" ht="15" x14ac:dyDescent="0.2">
      <c r="A3567" s="1684"/>
      <c r="B3567" s="1684"/>
      <c r="C3567" s="1684"/>
      <c r="D3567" s="1684"/>
      <c r="E3567" s="1684"/>
      <c r="F3567" s="1684"/>
      <c r="G3567" s="1684"/>
      <c r="H3567" s="1684"/>
      <c r="I3567" s="1684"/>
      <c r="J3567" s="1684"/>
      <c r="K3567" s="1684"/>
      <c r="L3567" s="1684"/>
      <c r="M3567" s="1684"/>
      <c r="N3567" s="1684"/>
      <c r="O3567" s="1684"/>
      <c r="P3567" s="1684"/>
      <c r="Q3567" s="1684"/>
      <c r="R3567" s="1684"/>
      <c r="S3567" s="1684"/>
      <c r="T3567" s="1684"/>
      <c r="U3567" s="1684"/>
      <c r="V3567" s="1684"/>
      <c r="W3567" s="1684"/>
      <c r="X3567" s="1684"/>
      <c r="Y3567" s="1684"/>
      <c r="Z3567" s="1684"/>
      <c r="AA3567" s="1684"/>
      <c r="AB3567" s="1684"/>
      <c r="AC3567" s="1684"/>
      <c r="AD3567" s="1684"/>
      <c r="AE3567" s="1684"/>
      <c r="AF3567" s="1684"/>
      <c r="AG3567" s="1684"/>
      <c r="AH3567" s="1684"/>
      <c r="AI3567" s="1684"/>
      <c r="AJ3567" s="1684"/>
      <c r="AK3567" s="1684"/>
      <c r="AL3567" s="1684"/>
      <c r="AM3567" s="1684"/>
      <c r="AN3567" s="1684"/>
      <c r="AO3567" s="1684"/>
      <c r="AP3567" s="1684"/>
      <c r="AQ3567" s="1684"/>
      <c r="AR3567" s="1684"/>
      <c r="AS3567" s="1684"/>
      <c r="AT3567" s="1684"/>
      <c r="AU3567" s="1684"/>
      <c r="AV3567" s="1684"/>
      <c r="AW3567" s="1684"/>
      <c r="AX3567" s="1684"/>
      <c r="AY3567" s="1684"/>
      <c r="AZ3567" s="1684"/>
      <c r="BA3567" s="1684"/>
      <c r="BB3567" s="1684"/>
      <c r="BC3567" s="1684"/>
      <c r="BD3567" s="1684"/>
      <c r="BE3567" s="1684"/>
      <c r="BF3567" s="1684"/>
      <c r="BG3567" s="1684"/>
      <c r="BH3567" s="1684"/>
      <c r="BI3567" s="1684"/>
      <c r="BJ3567" s="1684"/>
      <c r="BK3567" s="1684"/>
      <c r="BL3567" s="1684"/>
      <c r="BM3567" s="1684"/>
      <c r="BN3567" s="1684"/>
      <c r="BO3567" s="1684"/>
      <c r="BP3567" s="1684"/>
      <c r="BQ3567" s="1684"/>
      <c r="BR3567" s="1684"/>
      <c r="BS3567" s="1684"/>
      <c r="BT3567" s="1684"/>
      <c r="BU3567" s="1684"/>
      <c r="BV3567" s="1684"/>
      <c r="BW3567" s="1684"/>
      <c r="BX3567" s="1684"/>
      <c r="BY3567" s="1684"/>
      <c r="BZ3567" s="1684"/>
      <c r="CA3567" s="1684"/>
      <c r="CB3567" s="1684"/>
      <c r="CC3567" s="1684"/>
      <c r="CD3567" s="1684"/>
      <c r="CE3567" s="1684"/>
      <c r="CF3567" s="1684"/>
      <c r="CG3567" s="1684"/>
      <c r="CH3567" s="1684"/>
      <c r="CI3567" s="1684"/>
      <c r="CJ3567" s="1684"/>
      <c r="CK3567" s="1684"/>
      <c r="CL3567" s="1684"/>
      <c r="CM3567" s="1684"/>
      <c r="CN3567" s="1684"/>
      <c r="CO3567" s="1684"/>
    </row>
    <row r="3568" spans="1:93" s="1391" customFormat="1" ht="15.75" x14ac:dyDescent="0.25">
      <c r="A3568" s="1684"/>
      <c r="B3568" s="1694" t="s">
        <v>1487</v>
      </c>
      <c r="C3568" s="1694"/>
      <c r="D3568" s="1694"/>
      <c r="E3568" s="1694"/>
      <c r="F3568" s="1694"/>
      <c r="G3568" s="1694"/>
      <c r="H3568" s="1694"/>
      <c r="I3568" s="1694"/>
      <c r="J3568" s="1694"/>
      <c r="K3568" s="1417"/>
      <c r="L3568" s="1694" t="s">
        <v>1488</v>
      </c>
      <c r="M3568" s="1694"/>
      <c r="N3568" s="1694"/>
      <c r="O3568" s="1694"/>
      <c r="P3568" s="1694"/>
      <c r="Q3568" s="1694"/>
      <c r="R3568" s="1694"/>
      <c r="S3568" s="1694"/>
      <c r="T3568" s="1694"/>
      <c r="U3568" s="1417"/>
      <c r="V3568" s="1417"/>
      <c r="W3568" s="1417"/>
      <c r="Z3568" s="1684"/>
      <c r="AA3568" s="1684"/>
      <c r="AB3568" s="1684"/>
      <c r="AC3568" s="1684"/>
      <c r="AD3568" s="1684"/>
      <c r="AE3568" s="1684"/>
      <c r="AF3568" s="1684"/>
      <c r="AG3568" s="1684"/>
      <c r="AH3568" s="1684"/>
      <c r="AI3568" s="1684"/>
      <c r="AJ3568" s="1684"/>
      <c r="AK3568" s="1684"/>
      <c r="AL3568" s="1684"/>
      <c r="AM3568" s="1684"/>
      <c r="AN3568" s="1684"/>
      <c r="AO3568" s="1684"/>
      <c r="AP3568" s="1684"/>
      <c r="AQ3568" s="1684"/>
      <c r="AR3568" s="1684"/>
      <c r="AS3568" s="1684"/>
      <c r="AT3568" s="1684"/>
      <c r="AU3568" s="1684"/>
      <c r="AV3568" s="1684"/>
      <c r="AW3568" s="1684"/>
      <c r="AX3568" s="1684"/>
      <c r="AY3568" s="1684"/>
      <c r="AZ3568" s="1684"/>
      <c r="BA3568" s="1684"/>
      <c r="BB3568" s="1684"/>
      <c r="BC3568" s="1684"/>
      <c r="BD3568" s="1684"/>
      <c r="BE3568" s="1684"/>
      <c r="BF3568" s="1684"/>
      <c r="BG3568" s="1684"/>
      <c r="BH3568" s="1684"/>
      <c r="BI3568" s="1684"/>
      <c r="BJ3568" s="1684"/>
      <c r="BK3568" s="1684"/>
      <c r="BL3568" s="1684"/>
      <c r="BM3568" s="1684"/>
      <c r="BN3568" s="1684"/>
      <c r="BO3568" s="1684"/>
      <c r="BP3568" s="1684"/>
      <c r="BQ3568" s="1684"/>
      <c r="BR3568" s="1684"/>
      <c r="BS3568" s="1684"/>
      <c r="BT3568" s="1684"/>
      <c r="BU3568" s="1684"/>
      <c r="BV3568" s="1684"/>
      <c r="BW3568" s="1684"/>
      <c r="BX3568" s="1684"/>
      <c r="BY3568" s="1684"/>
      <c r="BZ3568" s="1684"/>
      <c r="CA3568" s="1684"/>
      <c r="CB3568" s="1684"/>
      <c r="CC3568" s="1684"/>
      <c r="CD3568" s="1684"/>
      <c r="CE3568" s="1684"/>
      <c r="CF3568" s="1684"/>
      <c r="CG3568" s="1684"/>
      <c r="CH3568" s="1684"/>
      <c r="CI3568" s="1684"/>
      <c r="CJ3568" s="1684"/>
      <c r="CK3568" s="1684"/>
      <c r="CL3568" s="1684"/>
      <c r="CM3568" s="1684"/>
      <c r="CN3568" s="1684"/>
      <c r="CO3568" s="1684"/>
    </row>
    <row r="3569" spans="1:93" s="1391" customFormat="1" ht="15.75" x14ac:dyDescent="0.25">
      <c r="A3569" s="1684"/>
      <c r="B3569" s="1694" t="s">
        <v>3314</v>
      </c>
      <c r="C3569" s="1694"/>
      <c r="D3569" s="1694"/>
      <c r="E3569" s="1694"/>
      <c r="F3569" s="1694"/>
      <c r="G3569" s="1694"/>
      <c r="H3569" s="1694"/>
      <c r="I3569" s="1694"/>
      <c r="J3569" s="1694"/>
      <c r="K3569" s="1417"/>
      <c r="L3569" s="1694" t="s">
        <v>1081</v>
      </c>
      <c r="M3569" s="1694"/>
      <c r="N3569" s="1694"/>
      <c r="O3569" s="1694"/>
      <c r="P3569" s="1694"/>
      <c r="Q3569" s="1694"/>
      <c r="R3569" s="1694"/>
      <c r="S3569" s="1694"/>
      <c r="T3569" s="1694"/>
      <c r="U3569" s="1417"/>
      <c r="V3569" s="1417"/>
      <c r="W3569" s="1417"/>
      <c r="Z3569" s="1684"/>
      <c r="AA3569" s="1684"/>
      <c r="AB3569" s="1684"/>
      <c r="AC3569" s="1684"/>
      <c r="AD3569" s="1684"/>
      <c r="AE3569" s="1684"/>
      <c r="AF3569" s="1684"/>
      <c r="AG3569" s="1684"/>
      <c r="AH3569" s="1684"/>
      <c r="AI3569" s="1684"/>
      <c r="AJ3569" s="1684"/>
      <c r="AK3569" s="1684"/>
      <c r="AL3569" s="1684"/>
      <c r="AM3569" s="1684"/>
      <c r="AN3569" s="1684"/>
      <c r="AO3569" s="1684"/>
      <c r="AP3569" s="1684"/>
      <c r="AQ3569" s="1684"/>
      <c r="AR3569" s="1684"/>
      <c r="AS3569" s="1684"/>
      <c r="AT3569" s="1684"/>
      <c r="AU3569" s="1684"/>
      <c r="AV3569" s="1684"/>
      <c r="AW3569" s="1684"/>
      <c r="AX3569" s="1684"/>
      <c r="AY3569" s="1684"/>
      <c r="AZ3569" s="1684"/>
      <c r="BA3569" s="1684"/>
      <c r="BB3569" s="1684"/>
      <c r="BC3569" s="1684"/>
      <c r="BD3569" s="1684"/>
      <c r="BE3569" s="1684"/>
      <c r="BF3569" s="1684"/>
      <c r="BG3569" s="1684"/>
      <c r="BH3569" s="1684"/>
      <c r="BI3569" s="1684"/>
      <c r="BJ3569" s="1684"/>
      <c r="BK3569" s="1684"/>
      <c r="BL3569" s="1684"/>
      <c r="BM3569" s="1684"/>
      <c r="BN3569" s="1684"/>
      <c r="BO3569" s="1684"/>
      <c r="BP3569" s="1684"/>
      <c r="BQ3569" s="1684"/>
      <c r="BR3569" s="1684"/>
      <c r="BS3569" s="1684"/>
      <c r="BT3569" s="1684"/>
      <c r="BU3569" s="1684"/>
      <c r="BV3569" s="1684"/>
      <c r="BW3569" s="1684"/>
      <c r="BX3569" s="1684"/>
      <c r="BY3569" s="1684"/>
      <c r="BZ3569" s="1684"/>
      <c r="CA3569" s="1684"/>
      <c r="CB3569" s="1684"/>
      <c r="CC3569" s="1684"/>
      <c r="CD3569" s="1684"/>
      <c r="CE3569" s="1684"/>
      <c r="CF3569" s="1684"/>
      <c r="CG3569" s="1684"/>
      <c r="CH3569" s="1684"/>
      <c r="CI3569" s="1684"/>
      <c r="CJ3569" s="1684"/>
      <c r="CK3569" s="1684"/>
      <c r="CL3569" s="1684"/>
      <c r="CM3569" s="1684"/>
      <c r="CN3569" s="1684"/>
      <c r="CO3569" s="1684"/>
    </row>
    <row r="3570" spans="1:93" s="1391" customFormat="1" ht="15.75" x14ac:dyDescent="0.25">
      <c r="A3570" s="1684"/>
      <c r="B3570" s="1694"/>
      <c r="C3570" s="1694" t="s">
        <v>1082</v>
      </c>
      <c r="D3570" s="1694"/>
      <c r="E3570" s="1694"/>
      <c r="F3570" s="1694"/>
      <c r="G3570" s="1694"/>
      <c r="H3570" s="1694"/>
      <c r="I3570" s="1694"/>
      <c r="J3570" s="1694"/>
      <c r="K3570" s="1417"/>
      <c r="L3570" s="1694"/>
      <c r="M3570" s="1694" t="s">
        <v>1082</v>
      </c>
      <c r="N3570" s="1694"/>
      <c r="O3570" s="1694"/>
      <c r="P3570" s="1694"/>
      <c r="Q3570" s="1694"/>
      <c r="R3570" s="1694"/>
      <c r="S3570" s="1694"/>
      <c r="T3570" s="1694"/>
      <c r="U3570" s="1417"/>
      <c r="V3570" s="1417"/>
      <c r="W3570" s="1417"/>
      <c r="Z3570" s="1684"/>
      <c r="AA3570" s="1684"/>
      <c r="AB3570" s="1684"/>
      <c r="AC3570" s="1684"/>
      <c r="AD3570" s="1684"/>
      <c r="AE3570" s="1684"/>
      <c r="AF3570" s="1684"/>
      <c r="AG3570" s="1684"/>
      <c r="AH3570" s="1684"/>
      <c r="AI3570" s="1684"/>
      <c r="AJ3570" s="1684"/>
      <c r="AK3570" s="1684"/>
      <c r="AL3570" s="1684"/>
      <c r="AM3570" s="1684"/>
      <c r="AN3570" s="1684"/>
      <c r="AO3570" s="1684"/>
      <c r="AP3570" s="1684"/>
      <c r="AQ3570" s="1684"/>
      <c r="AR3570" s="1684"/>
      <c r="AS3570" s="1684"/>
      <c r="AT3570" s="1684"/>
      <c r="AU3570" s="1684"/>
      <c r="AV3570" s="1684"/>
      <c r="AW3570" s="1684"/>
      <c r="AX3570" s="1684"/>
      <c r="AY3570" s="1684"/>
      <c r="AZ3570" s="1684"/>
      <c r="BA3570" s="1684"/>
      <c r="BB3570" s="1684"/>
      <c r="BC3570" s="1684"/>
      <c r="BD3570" s="1684"/>
      <c r="BE3570" s="1684"/>
      <c r="BF3570" s="1684"/>
      <c r="BG3570" s="1684"/>
      <c r="BH3570" s="1684"/>
      <c r="BI3570" s="1684"/>
      <c r="BJ3570" s="1684"/>
      <c r="BK3570" s="1684"/>
      <c r="BL3570" s="1684"/>
      <c r="BM3570" s="1684"/>
      <c r="BN3570" s="1684"/>
      <c r="BO3570" s="1684"/>
      <c r="BP3570" s="1684"/>
      <c r="BQ3570" s="1684"/>
      <c r="BR3570" s="1684"/>
      <c r="BS3570" s="1684"/>
      <c r="BT3570" s="1684"/>
      <c r="BU3570" s="1684"/>
      <c r="BV3570" s="1684"/>
      <c r="BW3570" s="1684"/>
      <c r="BX3570" s="1684"/>
      <c r="BY3570" s="1684"/>
      <c r="BZ3570" s="1684"/>
      <c r="CA3570" s="1684"/>
      <c r="CB3570" s="1684"/>
      <c r="CC3570" s="1684"/>
      <c r="CD3570" s="1684"/>
      <c r="CE3570" s="1684"/>
      <c r="CF3570" s="1684"/>
      <c r="CG3570" s="1684"/>
      <c r="CH3570" s="1684"/>
      <c r="CI3570" s="1684"/>
      <c r="CJ3570" s="1684"/>
      <c r="CK3570" s="1684"/>
      <c r="CL3570" s="1684"/>
      <c r="CM3570" s="1684"/>
      <c r="CN3570" s="1684"/>
      <c r="CO3570" s="1684"/>
    </row>
    <row r="3571" spans="1:93" s="1391" customFormat="1" ht="15.75" x14ac:dyDescent="0.25">
      <c r="A3571" s="1684"/>
      <c r="B3571" s="1694" t="s">
        <v>1083</v>
      </c>
      <c r="C3571" s="1694" t="s">
        <v>1084</v>
      </c>
      <c r="D3571" s="1694" t="s">
        <v>1085</v>
      </c>
      <c r="E3571" s="1694" t="s">
        <v>3006</v>
      </c>
      <c r="F3571" s="1694" t="s">
        <v>3007</v>
      </c>
      <c r="G3571" s="1694"/>
      <c r="H3571" s="1694"/>
      <c r="I3571" s="1694"/>
      <c r="J3571" s="1694"/>
      <c r="K3571" s="1417"/>
      <c r="L3571" s="1694" t="s">
        <v>5602</v>
      </c>
      <c r="M3571" s="1694" t="s">
        <v>1084</v>
      </c>
      <c r="N3571" s="1694" t="s">
        <v>1085</v>
      </c>
      <c r="O3571" s="1694" t="s">
        <v>3006</v>
      </c>
      <c r="P3571" s="1694" t="s">
        <v>3007</v>
      </c>
      <c r="Q3571" s="1694"/>
      <c r="R3571" s="1694"/>
      <c r="S3571" s="1694"/>
      <c r="T3571" s="1694"/>
      <c r="U3571" s="1417"/>
      <c r="V3571" s="1417"/>
      <c r="W3571" s="1417"/>
      <c r="Z3571" s="1684"/>
      <c r="AA3571" s="1684"/>
      <c r="AB3571" s="1684"/>
      <c r="AC3571" s="1684"/>
      <c r="AD3571" s="1684"/>
      <c r="AE3571" s="1684"/>
      <c r="AF3571" s="1684"/>
      <c r="AG3571" s="1684"/>
      <c r="AH3571" s="1684"/>
      <c r="AI3571" s="1684"/>
      <c r="AJ3571" s="1684"/>
      <c r="AK3571" s="1684"/>
      <c r="AL3571" s="1684"/>
      <c r="AM3571" s="1684"/>
      <c r="AN3571" s="1684"/>
      <c r="AO3571" s="1684"/>
      <c r="AP3571" s="1684"/>
      <c r="AQ3571" s="1684"/>
      <c r="AR3571" s="1684"/>
      <c r="AS3571" s="1684"/>
      <c r="AT3571" s="1684"/>
      <c r="AU3571" s="1684"/>
      <c r="AV3571" s="1684"/>
      <c r="AW3571" s="1684"/>
      <c r="AX3571" s="1684"/>
      <c r="AY3571" s="1684"/>
      <c r="AZ3571" s="1684"/>
      <c r="BA3571" s="1684"/>
      <c r="BB3571" s="1684"/>
      <c r="BC3571" s="1684"/>
      <c r="BD3571" s="1684"/>
      <c r="BE3571" s="1684"/>
      <c r="BF3571" s="1684"/>
      <c r="BG3571" s="1684"/>
      <c r="BH3571" s="1684"/>
      <c r="BI3571" s="1684"/>
      <c r="BJ3571" s="1684"/>
      <c r="BK3571" s="1684"/>
      <c r="BL3571" s="1684"/>
      <c r="BM3571" s="1684"/>
      <c r="BN3571" s="1684"/>
      <c r="BO3571" s="1684"/>
      <c r="BP3571" s="1684"/>
      <c r="BQ3571" s="1684"/>
      <c r="BR3571" s="1684"/>
      <c r="BS3571" s="1684"/>
      <c r="BT3571" s="1684"/>
      <c r="BU3571" s="1684"/>
      <c r="BV3571" s="1684"/>
      <c r="BW3571" s="1684"/>
      <c r="BX3571" s="1684"/>
      <c r="BY3571" s="1684"/>
      <c r="BZ3571" s="1684"/>
      <c r="CA3571" s="1684"/>
      <c r="CB3571" s="1684"/>
      <c r="CC3571" s="1684"/>
      <c r="CD3571" s="1684"/>
      <c r="CE3571" s="1684"/>
      <c r="CF3571" s="1684"/>
      <c r="CG3571" s="1684"/>
      <c r="CH3571" s="1684"/>
      <c r="CI3571" s="1684"/>
      <c r="CJ3571" s="1684"/>
      <c r="CK3571" s="1684"/>
      <c r="CL3571" s="1684"/>
      <c r="CM3571" s="1684"/>
      <c r="CN3571" s="1684"/>
      <c r="CO3571" s="1684"/>
    </row>
    <row r="3572" spans="1:93" s="1391" customFormat="1" ht="15.75" x14ac:dyDescent="0.25">
      <c r="A3572" s="1684"/>
      <c r="B3572" s="1694" t="s">
        <v>3008</v>
      </c>
      <c r="C3572" s="1694">
        <v>168.3</v>
      </c>
      <c r="D3572" s="1694">
        <v>151.80000000000001</v>
      </c>
      <c r="E3572" s="1694">
        <v>124.3</v>
      </c>
      <c r="F3572" s="1694">
        <v>101.5</v>
      </c>
      <c r="G3572" s="1694"/>
      <c r="H3572" s="1694"/>
      <c r="I3572" s="1694"/>
      <c r="J3572" s="1694"/>
      <c r="K3572" s="1417"/>
      <c r="L3572" s="1694" t="s">
        <v>3008</v>
      </c>
      <c r="M3572" s="1694">
        <v>43.6</v>
      </c>
      <c r="N3572" s="1694">
        <v>39.700000000000003</v>
      </c>
      <c r="O3572" s="1694">
        <v>31.7</v>
      </c>
      <c r="P3572" s="1694">
        <v>30.1</v>
      </c>
      <c r="Q3572" s="1694"/>
      <c r="R3572" s="1694"/>
      <c r="S3572" s="1694"/>
      <c r="T3572" s="1694"/>
      <c r="U3572" s="1417"/>
      <c r="V3572" s="1417"/>
      <c r="W3572" s="1417"/>
      <c r="Z3572" s="1684"/>
      <c r="AA3572" s="1684"/>
      <c r="AB3572" s="1684"/>
      <c r="AC3572" s="1684"/>
      <c r="AD3572" s="1684"/>
      <c r="AE3572" s="1684"/>
      <c r="AF3572" s="1684"/>
      <c r="AG3572" s="1684"/>
      <c r="AH3572" s="1684"/>
      <c r="AI3572" s="1684"/>
      <c r="AJ3572" s="1684"/>
      <c r="AK3572" s="1684"/>
      <c r="AL3572" s="1684"/>
      <c r="AM3572" s="1684"/>
      <c r="AN3572" s="1684"/>
      <c r="AO3572" s="1684"/>
      <c r="AP3572" s="1684"/>
      <c r="AQ3572" s="1684"/>
      <c r="AR3572" s="1684"/>
      <c r="AS3572" s="1684"/>
      <c r="AT3572" s="1684"/>
      <c r="AU3572" s="1684"/>
      <c r="AV3572" s="1684"/>
      <c r="AW3572" s="1684"/>
      <c r="AX3572" s="1684"/>
      <c r="AY3572" s="1684"/>
      <c r="AZ3572" s="1684"/>
      <c r="BA3572" s="1684"/>
      <c r="BB3572" s="1684"/>
      <c r="BC3572" s="1684"/>
      <c r="BD3572" s="1684"/>
      <c r="BE3572" s="1684"/>
      <c r="BF3572" s="1684"/>
      <c r="BG3572" s="1684"/>
      <c r="BH3572" s="1684"/>
      <c r="BI3572" s="1684"/>
      <c r="BJ3572" s="1684"/>
      <c r="BK3572" s="1684"/>
      <c r="BL3572" s="1684"/>
      <c r="BM3572" s="1684"/>
      <c r="BN3572" s="1684"/>
      <c r="BO3572" s="1684"/>
      <c r="BP3572" s="1684"/>
      <c r="BQ3572" s="1684"/>
      <c r="BR3572" s="1684"/>
      <c r="BS3572" s="1684"/>
      <c r="BT3572" s="1684"/>
      <c r="BU3572" s="1684"/>
      <c r="BV3572" s="1684"/>
      <c r="BW3572" s="1684"/>
      <c r="BX3572" s="1684"/>
      <c r="BY3572" s="1684"/>
      <c r="BZ3572" s="1684"/>
      <c r="CA3572" s="1684"/>
      <c r="CB3572" s="1684"/>
      <c r="CC3572" s="1684"/>
      <c r="CD3572" s="1684"/>
      <c r="CE3572" s="1684"/>
      <c r="CF3572" s="1684"/>
      <c r="CG3572" s="1684"/>
      <c r="CH3572" s="1684"/>
      <c r="CI3572" s="1684"/>
      <c r="CJ3572" s="1684"/>
      <c r="CK3572" s="1684"/>
      <c r="CL3572" s="1684"/>
      <c r="CM3572" s="1684"/>
      <c r="CN3572" s="1684"/>
      <c r="CO3572" s="1684"/>
    </row>
    <row r="3573" spans="1:93" s="1391" customFormat="1" ht="15.75" x14ac:dyDescent="0.25">
      <c r="A3573" s="1684"/>
      <c r="B3573" s="1694" t="s">
        <v>3009</v>
      </c>
      <c r="C3573" s="1694">
        <v>159.4</v>
      </c>
      <c r="D3573" s="1694">
        <v>143.9</v>
      </c>
      <c r="E3573" s="1694">
        <v>117.9</v>
      </c>
      <c r="F3573" s="1694">
        <v>95.7</v>
      </c>
      <c r="G3573" s="1694"/>
      <c r="H3573" s="1694"/>
      <c r="I3573" s="1694"/>
      <c r="J3573" s="1694"/>
      <c r="K3573" s="1417"/>
      <c r="L3573" s="1694" t="s">
        <v>3009</v>
      </c>
      <c r="M3573" s="1694">
        <v>42.4</v>
      </c>
      <c r="N3573" s="1694">
        <v>38.1</v>
      </c>
      <c r="O3573" s="1694">
        <v>30.9</v>
      </c>
      <c r="P3573" s="1694">
        <v>29.2</v>
      </c>
      <c r="Q3573" s="1694"/>
      <c r="R3573" s="1694"/>
      <c r="S3573" s="1694"/>
      <c r="T3573" s="1694"/>
      <c r="U3573" s="1417"/>
      <c r="V3573" s="1417"/>
      <c r="W3573" s="1417"/>
      <c r="Z3573" s="1684"/>
      <c r="AA3573" s="1684"/>
      <c r="AB3573" s="1684"/>
      <c r="AC3573" s="1684"/>
      <c r="AD3573" s="1684"/>
      <c r="AE3573" s="1684"/>
      <c r="AF3573" s="1684"/>
      <c r="AG3573" s="1684"/>
      <c r="AH3573" s="1684"/>
      <c r="AI3573" s="1684"/>
      <c r="AJ3573" s="1684"/>
      <c r="AK3573" s="1684"/>
      <c r="AL3573" s="1684"/>
      <c r="AM3573" s="1684"/>
      <c r="AN3573" s="1684"/>
      <c r="AO3573" s="1684"/>
      <c r="AP3573" s="1684"/>
      <c r="AQ3573" s="1684"/>
      <c r="AR3573" s="1684"/>
      <c r="AS3573" s="1684"/>
      <c r="AT3573" s="1684"/>
      <c r="AU3573" s="1684"/>
      <c r="AV3573" s="1684"/>
      <c r="AW3573" s="1684"/>
      <c r="AX3573" s="1684"/>
      <c r="AY3573" s="1684"/>
      <c r="AZ3573" s="1684"/>
      <c r="BA3573" s="1684"/>
      <c r="BB3573" s="1684"/>
      <c r="BC3573" s="1684"/>
      <c r="BD3573" s="1684"/>
      <c r="BE3573" s="1684"/>
      <c r="BF3573" s="1684"/>
      <c r="BG3573" s="1684"/>
      <c r="BH3573" s="1684"/>
      <c r="BI3573" s="1684"/>
      <c r="BJ3573" s="1684"/>
      <c r="BK3573" s="1684"/>
      <c r="BL3573" s="1684"/>
      <c r="BM3573" s="1684"/>
      <c r="BN3573" s="1684"/>
      <c r="BO3573" s="1684"/>
      <c r="BP3573" s="1684"/>
      <c r="BQ3573" s="1684"/>
      <c r="BR3573" s="1684"/>
      <c r="BS3573" s="1684"/>
      <c r="BT3573" s="1684"/>
      <c r="BU3573" s="1684"/>
      <c r="BV3573" s="1684"/>
      <c r="BW3573" s="1684"/>
      <c r="BX3573" s="1684"/>
      <c r="BY3573" s="1684"/>
      <c r="BZ3573" s="1684"/>
      <c r="CA3573" s="1684"/>
      <c r="CB3573" s="1684"/>
      <c r="CC3573" s="1684"/>
      <c r="CD3573" s="1684"/>
      <c r="CE3573" s="1684"/>
      <c r="CF3573" s="1684"/>
      <c r="CG3573" s="1684"/>
      <c r="CH3573" s="1684"/>
      <c r="CI3573" s="1684"/>
      <c r="CJ3573" s="1684"/>
      <c r="CK3573" s="1684"/>
      <c r="CL3573" s="1684"/>
      <c r="CM3573" s="1684"/>
      <c r="CN3573" s="1684"/>
      <c r="CO3573" s="1684"/>
    </row>
    <row r="3574" spans="1:93" s="1391" customFormat="1" ht="15.75" x14ac:dyDescent="0.25">
      <c r="A3574" s="1684"/>
      <c r="B3574" s="1694" t="s">
        <v>3010</v>
      </c>
      <c r="C3574" s="1694">
        <v>144.5</v>
      </c>
      <c r="D3574" s="1694">
        <v>132.5</v>
      </c>
      <c r="E3574" s="1694">
        <v>107.1</v>
      </c>
      <c r="F3574" s="1694">
        <v>86.9</v>
      </c>
      <c r="G3574" s="1694"/>
      <c r="H3574" s="1694"/>
      <c r="I3574" s="1694"/>
      <c r="J3574" s="1694"/>
      <c r="K3574" s="1417"/>
      <c r="L3574" s="1694" t="s">
        <v>3010</v>
      </c>
      <c r="M3574" s="1694">
        <v>39</v>
      </c>
      <c r="N3574" s="1694">
        <v>35.6</v>
      </c>
      <c r="O3574" s="1694">
        <v>28.9</v>
      </c>
      <c r="P3574" s="1694">
        <v>27</v>
      </c>
      <c r="Q3574" s="1694"/>
      <c r="R3574" s="1694"/>
      <c r="S3574" s="1694"/>
      <c r="T3574" s="1694"/>
      <c r="U3574" s="1417"/>
      <c r="V3574" s="1417"/>
      <c r="W3574" s="1417"/>
      <c r="Z3574" s="1684"/>
      <c r="AA3574" s="1684"/>
      <c r="AB3574" s="1684"/>
      <c r="AC3574" s="1684"/>
      <c r="AD3574" s="1684"/>
      <c r="AE3574" s="1684"/>
      <c r="AF3574" s="1684"/>
      <c r="AG3574" s="1684"/>
      <c r="AH3574" s="1684"/>
      <c r="AI3574" s="1684"/>
      <c r="AJ3574" s="1684"/>
      <c r="AK3574" s="1684"/>
      <c r="AL3574" s="1684"/>
      <c r="AM3574" s="1684"/>
      <c r="AN3574" s="1684"/>
      <c r="AO3574" s="1684"/>
      <c r="AP3574" s="1684"/>
      <c r="AQ3574" s="1684"/>
      <c r="AR3574" s="1684"/>
      <c r="AS3574" s="1684"/>
      <c r="AT3574" s="1684"/>
      <c r="AU3574" s="1684"/>
      <c r="AV3574" s="1684"/>
      <c r="AW3574" s="1684"/>
      <c r="AX3574" s="1684"/>
      <c r="AY3574" s="1684"/>
      <c r="AZ3574" s="1684"/>
      <c r="BA3574" s="1684"/>
      <c r="BB3574" s="1684"/>
      <c r="BC3574" s="1684"/>
      <c r="BD3574" s="1684"/>
      <c r="BE3574" s="1684"/>
      <c r="BF3574" s="1684"/>
      <c r="BG3574" s="1684"/>
      <c r="BH3574" s="1684"/>
      <c r="BI3574" s="1684"/>
      <c r="BJ3574" s="1684"/>
      <c r="BK3574" s="1684"/>
      <c r="BL3574" s="1684"/>
      <c r="BM3574" s="1684"/>
      <c r="BN3574" s="1684"/>
      <c r="BO3574" s="1684"/>
      <c r="BP3574" s="1684"/>
      <c r="BQ3574" s="1684"/>
      <c r="BR3574" s="1684"/>
      <c r="BS3574" s="1684"/>
      <c r="BT3574" s="1684"/>
      <c r="BU3574" s="1684"/>
      <c r="BV3574" s="1684"/>
      <c r="BW3574" s="1684"/>
      <c r="BX3574" s="1684"/>
      <c r="BY3574" s="1684"/>
      <c r="BZ3574" s="1684"/>
      <c r="CA3574" s="1684"/>
      <c r="CB3574" s="1684"/>
      <c r="CC3574" s="1684"/>
      <c r="CD3574" s="1684"/>
      <c r="CE3574" s="1684"/>
      <c r="CF3574" s="1684"/>
      <c r="CG3574" s="1684"/>
      <c r="CH3574" s="1684"/>
      <c r="CI3574" s="1684"/>
      <c r="CJ3574" s="1684"/>
      <c r="CK3574" s="1684"/>
      <c r="CL3574" s="1684"/>
      <c r="CM3574" s="1684"/>
      <c r="CN3574" s="1684"/>
      <c r="CO3574" s="1684"/>
    </row>
    <row r="3575" spans="1:93" s="1391" customFormat="1" ht="15.75" x14ac:dyDescent="0.25">
      <c r="A3575" s="1684"/>
      <c r="B3575" s="1694" t="s">
        <v>3011</v>
      </c>
      <c r="C3575" s="1694">
        <v>131.9</v>
      </c>
      <c r="D3575" s="1694">
        <v>121.3</v>
      </c>
      <c r="E3575" s="1694">
        <v>97.9</v>
      </c>
      <c r="F3575" s="1694">
        <v>79.5</v>
      </c>
      <c r="G3575" s="1694"/>
      <c r="H3575" s="1694"/>
      <c r="I3575" s="1694"/>
      <c r="J3575" s="1694"/>
      <c r="K3575" s="1417"/>
      <c r="L3575" s="1694" t="s">
        <v>3011</v>
      </c>
      <c r="M3575" s="1694">
        <v>36.1</v>
      </c>
      <c r="N3575" s="1694">
        <v>33.200000000000003</v>
      </c>
      <c r="O3575" s="1694">
        <v>26.6</v>
      </c>
      <c r="P3575" s="1694">
        <v>25</v>
      </c>
      <c r="Q3575" s="1694"/>
      <c r="R3575" s="1694"/>
      <c r="S3575" s="1694"/>
      <c r="T3575" s="1694"/>
      <c r="U3575" s="1417"/>
      <c r="V3575" s="1417"/>
      <c r="W3575" s="1417"/>
      <c r="Z3575" s="1684"/>
      <c r="AA3575" s="1684"/>
      <c r="AB3575" s="1684"/>
      <c r="AC3575" s="1684"/>
      <c r="AD3575" s="1684"/>
      <c r="AE3575" s="1684"/>
      <c r="AF3575" s="1684"/>
      <c r="AG3575" s="1684"/>
      <c r="AH3575" s="1684"/>
      <c r="AI3575" s="1684"/>
      <c r="AJ3575" s="1684"/>
      <c r="AK3575" s="1684"/>
      <c r="AL3575" s="1684"/>
      <c r="AM3575" s="1684"/>
      <c r="AN3575" s="1684"/>
      <c r="AO3575" s="1684"/>
      <c r="AP3575" s="1684"/>
      <c r="AQ3575" s="1684"/>
      <c r="AR3575" s="1684"/>
      <c r="AS3575" s="1684"/>
      <c r="AT3575" s="1684"/>
      <c r="AU3575" s="1684"/>
      <c r="AV3575" s="1684"/>
      <c r="AW3575" s="1684"/>
      <c r="AX3575" s="1684"/>
      <c r="AY3575" s="1684"/>
      <c r="AZ3575" s="1684"/>
      <c r="BA3575" s="1684"/>
      <c r="BB3575" s="1684"/>
      <c r="BC3575" s="1684"/>
      <c r="BD3575" s="1684"/>
      <c r="BE3575" s="1684"/>
      <c r="BF3575" s="1684"/>
      <c r="BG3575" s="1684"/>
      <c r="BH3575" s="1684"/>
      <c r="BI3575" s="1684"/>
      <c r="BJ3575" s="1684"/>
      <c r="BK3575" s="1684"/>
      <c r="BL3575" s="1684"/>
      <c r="BM3575" s="1684"/>
      <c r="BN3575" s="1684"/>
      <c r="BO3575" s="1684"/>
      <c r="BP3575" s="1684"/>
      <c r="BQ3575" s="1684"/>
      <c r="BR3575" s="1684"/>
      <c r="BS3575" s="1684"/>
      <c r="BT3575" s="1684"/>
      <c r="BU3575" s="1684"/>
      <c r="BV3575" s="1684"/>
      <c r="BW3575" s="1684"/>
      <c r="BX3575" s="1684"/>
      <c r="BY3575" s="1684"/>
      <c r="BZ3575" s="1684"/>
      <c r="CA3575" s="1684"/>
      <c r="CB3575" s="1684"/>
      <c r="CC3575" s="1684"/>
      <c r="CD3575" s="1684"/>
      <c r="CE3575" s="1684"/>
      <c r="CF3575" s="1684"/>
      <c r="CG3575" s="1684"/>
      <c r="CH3575" s="1684"/>
      <c r="CI3575" s="1684"/>
      <c r="CJ3575" s="1684"/>
      <c r="CK3575" s="1684"/>
      <c r="CL3575" s="1684"/>
      <c r="CM3575" s="1684"/>
      <c r="CN3575" s="1684"/>
      <c r="CO3575" s="1684"/>
    </row>
    <row r="3576" spans="1:93" s="1391" customFormat="1" ht="15.75" x14ac:dyDescent="0.25">
      <c r="A3576" s="1684"/>
      <c r="B3576" s="1694" t="s">
        <v>3012</v>
      </c>
      <c r="C3576" s="1694">
        <v>120.1</v>
      </c>
      <c r="D3576" s="1694">
        <v>111.4</v>
      </c>
      <c r="E3576" s="1694">
        <v>90</v>
      </c>
      <c r="F3576" s="1694">
        <v>73</v>
      </c>
      <c r="G3576" s="1694"/>
      <c r="H3576" s="1694"/>
      <c r="I3576" s="1694"/>
      <c r="J3576" s="1694"/>
      <c r="K3576" s="1417"/>
      <c r="L3576" s="1694" t="s">
        <v>3012</v>
      </c>
      <c r="M3576" s="1694">
        <v>33.6</v>
      </c>
      <c r="N3576" s="1694">
        <v>30.7</v>
      </c>
      <c r="O3576" s="1694">
        <v>24.8</v>
      </c>
      <c r="P3576" s="1694">
        <v>22.9</v>
      </c>
      <c r="Q3576" s="1694"/>
      <c r="R3576" s="1694"/>
      <c r="S3576" s="1694"/>
      <c r="T3576" s="1694"/>
      <c r="U3576" s="1417"/>
      <c r="V3576" s="1417"/>
      <c r="W3576" s="1417"/>
      <c r="Z3576" s="1684"/>
      <c r="AA3576" s="1684"/>
      <c r="AB3576" s="1684"/>
      <c r="AC3576" s="1684"/>
      <c r="AD3576" s="1684"/>
      <c r="AE3576" s="1684"/>
      <c r="AF3576" s="1684"/>
      <c r="AG3576" s="1684"/>
      <c r="AH3576" s="1684"/>
      <c r="AI3576" s="1684"/>
      <c r="AJ3576" s="1684"/>
      <c r="AK3576" s="1684"/>
      <c r="AL3576" s="1684"/>
      <c r="AM3576" s="1684"/>
      <c r="AN3576" s="1684"/>
      <c r="AO3576" s="1684"/>
      <c r="AP3576" s="1684"/>
      <c r="AQ3576" s="1684"/>
      <c r="AR3576" s="1684"/>
      <c r="AS3576" s="1684"/>
      <c r="AT3576" s="1684"/>
      <c r="AU3576" s="1684"/>
      <c r="AV3576" s="1684"/>
      <c r="AW3576" s="1684"/>
      <c r="AX3576" s="1684"/>
      <c r="AY3576" s="1684"/>
      <c r="AZ3576" s="1684"/>
      <c r="BA3576" s="1684"/>
      <c r="BB3576" s="1684"/>
      <c r="BC3576" s="1684"/>
      <c r="BD3576" s="1684"/>
      <c r="BE3576" s="1684"/>
      <c r="BF3576" s="1684"/>
      <c r="BG3576" s="1684"/>
      <c r="BH3576" s="1684"/>
      <c r="BI3576" s="1684"/>
      <c r="BJ3576" s="1684"/>
      <c r="BK3576" s="1684"/>
      <c r="BL3576" s="1684"/>
      <c r="BM3576" s="1684"/>
      <c r="BN3576" s="1684"/>
      <c r="BO3576" s="1684"/>
      <c r="BP3576" s="1684"/>
      <c r="BQ3576" s="1684"/>
      <c r="BR3576" s="1684"/>
      <c r="BS3576" s="1684"/>
      <c r="BT3576" s="1684"/>
      <c r="BU3576" s="1684"/>
      <c r="BV3576" s="1684"/>
      <c r="BW3576" s="1684"/>
      <c r="BX3576" s="1684"/>
      <c r="BY3576" s="1684"/>
      <c r="BZ3576" s="1684"/>
      <c r="CA3576" s="1684"/>
      <c r="CB3576" s="1684"/>
      <c r="CC3576" s="1684"/>
      <c r="CD3576" s="1684"/>
      <c r="CE3576" s="1684"/>
      <c r="CF3576" s="1684"/>
      <c r="CG3576" s="1684"/>
      <c r="CH3576" s="1684"/>
      <c r="CI3576" s="1684"/>
      <c r="CJ3576" s="1684"/>
      <c r="CK3576" s="1684"/>
      <c r="CL3576" s="1684"/>
      <c r="CM3576" s="1684"/>
      <c r="CN3576" s="1684"/>
      <c r="CO3576" s="1684"/>
    </row>
    <row r="3577" spans="1:93" s="1391" customFormat="1" ht="15.75" x14ac:dyDescent="0.25">
      <c r="A3577" s="1684"/>
      <c r="B3577" s="1694" t="s">
        <v>3013</v>
      </c>
      <c r="C3577" s="1694">
        <v>112</v>
      </c>
      <c r="D3577" s="1694">
        <v>102.9</v>
      </c>
      <c r="E3577" s="1694">
        <v>83</v>
      </c>
      <c r="F3577" s="1694">
        <v>67.3</v>
      </c>
      <c r="G3577" s="1694"/>
      <c r="H3577" s="1694"/>
      <c r="I3577" s="1694"/>
      <c r="J3577" s="1694"/>
      <c r="K3577" s="1417"/>
      <c r="L3577" s="1694" t="s">
        <v>3013</v>
      </c>
      <c r="M3577" s="1694">
        <v>31.3</v>
      </c>
      <c r="N3577" s="1694">
        <v>28.9</v>
      </c>
      <c r="O3577" s="1694">
        <v>23</v>
      </c>
      <c r="P3577" s="1694">
        <v>21</v>
      </c>
      <c r="Q3577" s="1694"/>
      <c r="R3577" s="1694"/>
      <c r="S3577" s="1694"/>
      <c r="T3577" s="1694"/>
      <c r="U3577" s="1417"/>
      <c r="V3577" s="1417"/>
      <c r="W3577" s="1417"/>
      <c r="Z3577" s="1684"/>
      <c r="AA3577" s="1684"/>
      <c r="AB3577" s="1684"/>
      <c r="AC3577" s="1684"/>
      <c r="AD3577" s="1684"/>
      <c r="AE3577" s="1684"/>
      <c r="AF3577" s="1684"/>
      <c r="AG3577" s="1684"/>
      <c r="AH3577" s="1684"/>
      <c r="AI3577" s="1684"/>
      <c r="AJ3577" s="1684"/>
      <c r="AK3577" s="1684"/>
      <c r="AL3577" s="1684"/>
      <c r="AM3577" s="1684"/>
      <c r="AN3577" s="1684"/>
      <c r="AO3577" s="1684"/>
      <c r="AP3577" s="1684"/>
      <c r="AQ3577" s="1684"/>
      <c r="AR3577" s="1684"/>
      <c r="AS3577" s="1684"/>
      <c r="AT3577" s="1684"/>
      <c r="AU3577" s="1684"/>
      <c r="AV3577" s="1684"/>
      <c r="AW3577" s="1684"/>
      <c r="AX3577" s="1684"/>
      <c r="AY3577" s="1684"/>
      <c r="AZ3577" s="1684"/>
      <c r="BA3577" s="1684"/>
      <c r="BB3577" s="1684"/>
      <c r="BC3577" s="1684"/>
      <c r="BD3577" s="1684"/>
      <c r="BE3577" s="1684"/>
      <c r="BF3577" s="1684"/>
      <c r="BG3577" s="1684"/>
      <c r="BH3577" s="1684"/>
      <c r="BI3577" s="1684"/>
      <c r="BJ3577" s="1684"/>
      <c r="BK3577" s="1684"/>
      <c r="BL3577" s="1684"/>
      <c r="BM3577" s="1684"/>
      <c r="BN3577" s="1684"/>
      <c r="BO3577" s="1684"/>
      <c r="BP3577" s="1684"/>
      <c r="BQ3577" s="1684"/>
      <c r="BR3577" s="1684"/>
      <c r="BS3577" s="1684"/>
      <c r="BT3577" s="1684"/>
      <c r="BU3577" s="1684"/>
      <c r="BV3577" s="1684"/>
      <c r="BW3577" s="1684"/>
      <c r="BX3577" s="1684"/>
      <c r="BY3577" s="1684"/>
      <c r="BZ3577" s="1684"/>
      <c r="CA3577" s="1684"/>
      <c r="CB3577" s="1684"/>
      <c r="CC3577" s="1684"/>
      <c r="CD3577" s="1684"/>
      <c r="CE3577" s="1684"/>
      <c r="CF3577" s="1684"/>
      <c r="CG3577" s="1684"/>
      <c r="CH3577" s="1684"/>
      <c r="CI3577" s="1684"/>
      <c r="CJ3577" s="1684"/>
      <c r="CK3577" s="1684"/>
      <c r="CL3577" s="1684"/>
      <c r="CM3577" s="1684"/>
      <c r="CN3577" s="1684"/>
      <c r="CO3577" s="1684"/>
    </row>
    <row r="3578" spans="1:93" s="1391" customFormat="1" ht="15.75" x14ac:dyDescent="0.25">
      <c r="A3578" s="1684"/>
      <c r="B3578" s="1694" t="s">
        <v>3014</v>
      </c>
      <c r="C3578" s="1694">
        <v>107</v>
      </c>
      <c r="D3578" s="1694">
        <v>95.4</v>
      </c>
      <c r="E3578" s="1694">
        <v>77.599999999999994</v>
      </c>
      <c r="F3578" s="1694">
        <v>63.5</v>
      </c>
      <c r="G3578" s="1694"/>
      <c r="H3578" s="1694"/>
      <c r="I3578" s="1694"/>
      <c r="J3578" s="1694"/>
      <c r="K3578" s="1417"/>
      <c r="L3578" s="1694" t="s">
        <v>3014</v>
      </c>
      <c r="M3578" s="1694">
        <v>29.5</v>
      </c>
      <c r="N3578" s="1694">
        <v>26.7</v>
      </c>
      <c r="O3578" s="1694">
        <v>21.5</v>
      </c>
      <c r="P3578" s="1694">
        <v>19.3</v>
      </c>
      <c r="Q3578" s="1694"/>
      <c r="R3578" s="1694"/>
      <c r="S3578" s="1694"/>
      <c r="T3578" s="1694"/>
      <c r="U3578" s="1417"/>
      <c r="V3578" s="1417"/>
      <c r="W3578" s="1417"/>
      <c r="Z3578" s="1684"/>
      <c r="AA3578" s="1684"/>
      <c r="AB3578" s="1684"/>
      <c r="AC3578" s="1684"/>
      <c r="AD3578" s="1684"/>
      <c r="AE3578" s="1684"/>
      <c r="AF3578" s="1684"/>
      <c r="AG3578" s="1684"/>
      <c r="AH3578" s="1684"/>
      <c r="AI3578" s="1684"/>
      <c r="AJ3578" s="1684"/>
      <c r="AK3578" s="1684"/>
      <c r="AL3578" s="1684"/>
      <c r="AM3578" s="1684"/>
      <c r="AN3578" s="1684"/>
      <c r="AO3578" s="1684"/>
      <c r="AP3578" s="1684"/>
      <c r="AQ3578" s="1684"/>
      <c r="AR3578" s="1684"/>
      <c r="AS3578" s="1684"/>
      <c r="AT3578" s="1684"/>
      <c r="AU3578" s="1684"/>
      <c r="AV3578" s="1684"/>
      <c r="AW3578" s="1684"/>
      <c r="AX3578" s="1684"/>
      <c r="AY3578" s="1684"/>
      <c r="AZ3578" s="1684"/>
      <c r="BA3578" s="1684"/>
      <c r="BB3578" s="1684"/>
      <c r="BC3578" s="1684"/>
      <c r="BD3578" s="1684"/>
      <c r="BE3578" s="1684"/>
      <c r="BF3578" s="1684"/>
      <c r="BG3578" s="1684"/>
      <c r="BH3578" s="1684"/>
      <c r="BI3578" s="1684"/>
      <c r="BJ3578" s="1684"/>
      <c r="BK3578" s="1684"/>
      <c r="BL3578" s="1684"/>
      <c r="BM3578" s="1684"/>
      <c r="BN3578" s="1684"/>
      <c r="BO3578" s="1684"/>
      <c r="BP3578" s="1684"/>
      <c r="BQ3578" s="1684"/>
      <c r="BR3578" s="1684"/>
      <c r="BS3578" s="1684"/>
      <c r="BT3578" s="1684"/>
      <c r="BU3578" s="1684"/>
      <c r="BV3578" s="1684"/>
      <c r="BW3578" s="1684"/>
      <c r="BX3578" s="1684"/>
      <c r="BY3578" s="1684"/>
      <c r="BZ3578" s="1684"/>
      <c r="CA3578" s="1684"/>
      <c r="CB3578" s="1684"/>
      <c r="CC3578" s="1684"/>
      <c r="CD3578" s="1684"/>
      <c r="CE3578" s="1684"/>
      <c r="CF3578" s="1684"/>
      <c r="CG3578" s="1684"/>
      <c r="CH3578" s="1684"/>
      <c r="CI3578" s="1684"/>
      <c r="CJ3578" s="1684"/>
      <c r="CK3578" s="1684"/>
      <c r="CL3578" s="1684"/>
      <c r="CM3578" s="1684"/>
      <c r="CN3578" s="1684"/>
      <c r="CO3578" s="1684"/>
    </row>
    <row r="3579" spans="1:93" s="1391" customFormat="1" ht="15.75" x14ac:dyDescent="0.25">
      <c r="A3579" s="1684"/>
      <c r="B3579" s="1694" t="s">
        <v>3015</v>
      </c>
      <c r="C3579" s="1694">
        <v>97.5</v>
      </c>
      <c r="D3579" s="1694">
        <v>83.1</v>
      </c>
      <c r="E3579" s="1694">
        <v>69</v>
      </c>
      <c r="F3579" s="1694">
        <v>56.4</v>
      </c>
      <c r="G3579" s="1694"/>
      <c r="H3579" s="1694"/>
      <c r="I3579" s="1694"/>
      <c r="J3579" s="1694"/>
      <c r="K3579" s="1417"/>
      <c r="L3579" s="1694" t="s">
        <v>3015</v>
      </c>
      <c r="M3579" s="1694">
        <v>27.1</v>
      </c>
      <c r="N3579" s="1694">
        <v>24.4</v>
      </c>
      <c r="O3579" s="1694">
        <v>19.3</v>
      </c>
      <c r="P3579" s="1694">
        <v>17.2</v>
      </c>
      <c r="Q3579" s="1694"/>
      <c r="R3579" s="1694"/>
      <c r="S3579" s="1694"/>
      <c r="T3579" s="1694"/>
      <c r="U3579" s="1417"/>
      <c r="V3579" s="1417"/>
      <c r="W3579" s="1417"/>
      <c r="Z3579" s="1684"/>
      <c r="AA3579" s="1684"/>
      <c r="AB3579" s="1684"/>
      <c r="AC3579" s="1684"/>
      <c r="AD3579" s="1684"/>
      <c r="AE3579" s="1684"/>
      <c r="AF3579" s="1684"/>
      <c r="AG3579" s="1684"/>
      <c r="AH3579" s="1684"/>
      <c r="AI3579" s="1684"/>
      <c r="AJ3579" s="1684"/>
      <c r="AK3579" s="1684"/>
      <c r="AL3579" s="1684"/>
      <c r="AM3579" s="1684"/>
      <c r="AN3579" s="1684"/>
      <c r="AO3579" s="1684"/>
      <c r="AP3579" s="1684"/>
      <c r="AQ3579" s="1684"/>
      <c r="AR3579" s="1684"/>
      <c r="AS3579" s="1684"/>
      <c r="AT3579" s="1684"/>
      <c r="AU3579" s="1684"/>
      <c r="AV3579" s="1684"/>
      <c r="AW3579" s="1684"/>
      <c r="AX3579" s="1684"/>
      <c r="AY3579" s="1684"/>
      <c r="AZ3579" s="1684"/>
      <c r="BA3579" s="1684"/>
      <c r="BB3579" s="1684"/>
      <c r="BC3579" s="1684"/>
      <c r="BD3579" s="1684"/>
      <c r="BE3579" s="1684"/>
      <c r="BF3579" s="1684"/>
      <c r="BG3579" s="1684"/>
      <c r="BH3579" s="1684"/>
      <c r="BI3579" s="1684"/>
      <c r="BJ3579" s="1684"/>
      <c r="BK3579" s="1684"/>
      <c r="BL3579" s="1684"/>
      <c r="BM3579" s="1684"/>
      <c r="BN3579" s="1684"/>
      <c r="BO3579" s="1684"/>
      <c r="BP3579" s="1684"/>
      <c r="BQ3579" s="1684"/>
      <c r="BR3579" s="1684"/>
      <c r="BS3579" s="1684"/>
      <c r="BT3579" s="1684"/>
      <c r="BU3579" s="1684"/>
      <c r="BV3579" s="1684"/>
      <c r="BW3579" s="1684"/>
      <c r="BX3579" s="1684"/>
      <c r="BY3579" s="1684"/>
      <c r="BZ3579" s="1684"/>
      <c r="CA3579" s="1684"/>
      <c r="CB3579" s="1684"/>
      <c r="CC3579" s="1684"/>
      <c r="CD3579" s="1684"/>
      <c r="CE3579" s="1684"/>
      <c r="CF3579" s="1684"/>
      <c r="CG3579" s="1684"/>
      <c r="CH3579" s="1684"/>
      <c r="CI3579" s="1684"/>
      <c r="CJ3579" s="1684"/>
      <c r="CK3579" s="1684"/>
      <c r="CL3579" s="1684"/>
      <c r="CM3579" s="1684"/>
      <c r="CN3579" s="1684"/>
      <c r="CO3579" s="1684"/>
    </row>
    <row r="3580" spans="1:93" s="1391" customFormat="1" ht="15.75" x14ac:dyDescent="0.25">
      <c r="A3580" s="1684"/>
      <c r="B3580" s="1694" t="s">
        <v>3016</v>
      </c>
      <c r="C3580" s="1694">
        <v>87.9</v>
      </c>
      <c r="D3580" s="1694">
        <v>78.3</v>
      </c>
      <c r="E3580" s="1694">
        <v>60.9</v>
      </c>
      <c r="F3580" s="1694">
        <v>49.7</v>
      </c>
      <c r="G3580" s="1694"/>
      <c r="H3580" s="1694"/>
      <c r="I3580" s="1694"/>
      <c r="J3580" s="1694"/>
      <c r="K3580" s="1417"/>
      <c r="L3580" s="1694" t="s">
        <v>3016</v>
      </c>
      <c r="M3580" s="1694">
        <v>24.6</v>
      </c>
      <c r="N3580" s="1694">
        <v>22</v>
      </c>
      <c r="O3580" s="1694">
        <v>17.2</v>
      </c>
      <c r="P3580" s="1694">
        <v>15.3</v>
      </c>
      <c r="Q3580" s="1694"/>
      <c r="R3580" s="1694"/>
      <c r="S3580" s="1694"/>
      <c r="T3580" s="1694"/>
      <c r="U3580" s="1417"/>
      <c r="V3580" s="1417"/>
      <c r="W3580" s="1417"/>
      <c r="Z3580" s="1684"/>
      <c r="AA3580" s="1684"/>
      <c r="AB3580" s="1684"/>
      <c r="AC3580" s="1684"/>
      <c r="AD3580" s="1684"/>
      <c r="AE3580" s="1684"/>
      <c r="AF3580" s="1684"/>
      <c r="AG3580" s="1684"/>
      <c r="AH3580" s="1684"/>
      <c r="AI3580" s="1684"/>
      <c r="AJ3580" s="1684"/>
      <c r="AK3580" s="1684"/>
      <c r="AL3580" s="1684"/>
      <c r="AM3580" s="1684"/>
      <c r="AN3580" s="1684"/>
      <c r="AO3580" s="1684"/>
      <c r="AP3580" s="1684"/>
      <c r="AQ3580" s="1684"/>
      <c r="AR3580" s="1684"/>
      <c r="AS3580" s="1684"/>
      <c r="AT3580" s="1684"/>
      <c r="AU3580" s="1684"/>
      <c r="AV3580" s="1684"/>
      <c r="AW3580" s="1684"/>
      <c r="AX3580" s="1684"/>
      <c r="AY3580" s="1684"/>
      <c r="AZ3580" s="1684"/>
      <c r="BA3580" s="1684"/>
      <c r="BB3580" s="1684"/>
      <c r="BC3580" s="1684"/>
      <c r="BD3580" s="1684"/>
      <c r="BE3580" s="1684"/>
      <c r="BF3580" s="1684"/>
      <c r="BG3580" s="1684"/>
      <c r="BH3580" s="1684"/>
      <c r="BI3580" s="1684"/>
      <c r="BJ3580" s="1684"/>
      <c r="BK3580" s="1684"/>
      <c r="BL3580" s="1684"/>
      <c r="BM3580" s="1684"/>
      <c r="BN3580" s="1684"/>
      <c r="BO3580" s="1684"/>
      <c r="BP3580" s="1684"/>
      <c r="BQ3580" s="1684"/>
      <c r="BR3580" s="1684"/>
      <c r="BS3580" s="1684"/>
      <c r="BT3580" s="1684"/>
      <c r="BU3580" s="1684"/>
      <c r="BV3580" s="1684"/>
      <c r="BW3580" s="1684"/>
      <c r="BX3580" s="1684"/>
      <c r="BY3580" s="1684"/>
      <c r="BZ3580" s="1684"/>
      <c r="CA3580" s="1684"/>
      <c r="CB3580" s="1684"/>
      <c r="CC3580" s="1684"/>
      <c r="CD3580" s="1684"/>
      <c r="CE3580" s="1684"/>
      <c r="CF3580" s="1684"/>
      <c r="CG3580" s="1684"/>
      <c r="CH3580" s="1684"/>
      <c r="CI3580" s="1684"/>
      <c r="CJ3580" s="1684"/>
      <c r="CK3580" s="1684"/>
      <c r="CL3580" s="1684"/>
      <c r="CM3580" s="1684"/>
      <c r="CN3580" s="1684"/>
      <c r="CO3580" s="1684"/>
    </row>
    <row r="3581" spans="1:93" s="1391" customFormat="1" ht="15.75" x14ac:dyDescent="0.25">
      <c r="A3581" s="1684"/>
      <c r="B3581" s="1694" t="s">
        <v>3017</v>
      </c>
      <c r="C3581" s="1694">
        <v>78.7</v>
      </c>
      <c r="D3581" s="1694">
        <v>70.2</v>
      </c>
      <c r="E3581" s="1694">
        <v>53.5</v>
      </c>
      <c r="F3581" s="1694">
        <v>44.1</v>
      </c>
      <c r="G3581" s="1694"/>
      <c r="H3581" s="1694"/>
      <c r="I3581" s="1694"/>
      <c r="J3581" s="1694"/>
      <c r="K3581" s="1417"/>
      <c r="L3581" s="1694" t="s">
        <v>3017</v>
      </c>
      <c r="M3581" s="1694">
        <v>22.2</v>
      </c>
      <c r="N3581" s="1694">
        <v>19.8</v>
      </c>
      <c r="O3581" s="1694">
        <v>15.3</v>
      </c>
      <c r="P3581" s="1694">
        <v>13.5</v>
      </c>
      <c r="Q3581" s="1694"/>
      <c r="R3581" s="1694"/>
      <c r="S3581" s="1694"/>
      <c r="T3581" s="1694"/>
      <c r="U3581" s="1417"/>
      <c r="V3581" s="1417"/>
      <c r="W3581" s="1417"/>
      <c r="Z3581" s="1684"/>
      <c r="AA3581" s="1684"/>
      <c r="AB3581" s="1684"/>
      <c r="AC3581" s="1684"/>
      <c r="AD3581" s="1684"/>
      <c r="AE3581" s="1684"/>
      <c r="AF3581" s="1684"/>
      <c r="AG3581" s="1684"/>
      <c r="AH3581" s="1684"/>
      <c r="AI3581" s="1684"/>
      <c r="AJ3581" s="1684"/>
      <c r="AK3581" s="1684"/>
      <c r="AL3581" s="1684"/>
      <c r="AM3581" s="1684"/>
      <c r="AN3581" s="1684"/>
      <c r="AO3581" s="1684"/>
      <c r="AP3581" s="1684"/>
      <c r="AQ3581" s="1684"/>
      <c r="AR3581" s="1684"/>
      <c r="AS3581" s="1684"/>
      <c r="AT3581" s="1684"/>
      <c r="AU3581" s="1684"/>
      <c r="AV3581" s="1684"/>
      <c r="AW3581" s="1684"/>
      <c r="AX3581" s="1684"/>
      <c r="AY3581" s="1684"/>
      <c r="AZ3581" s="1684"/>
      <c r="BA3581" s="1684"/>
      <c r="BB3581" s="1684"/>
      <c r="BC3581" s="1684"/>
      <c r="BD3581" s="1684"/>
      <c r="BE3581" s="1684"/>
      <c r="BF3581" s="1684"/>
      <c r="BG3581" s="1684"/>
      <c r="BH3581" s="1684"/>
      <c r="BI3581" s="1684"/>
      <c r="BJ3581" s="1684"/>
      <c r="BK3581" s="1684"/>
      <c r="BL3581" s="1684"/>
      <c r="BM3581" s="1684"/>
      <c r="BN3581" s="1684"/>
      <c r="BO3581" s="1684"/>
      <c r="BP3581" s="1684"/>
      <c r="BQ3581" s="1684"/>
      <c r="BR3581" s="1684"/>
      <c r="BS3581" s="1684"/>
      <c r="BT3581" s="1684"/>
      <c r="BU3581" s="1684"/>
      <c r="BV3581" s="1684"/>
      <c r="BW3581" s="1684"/>
      <c r="BX3581" s="1684"/>
      <c r="BY3581" s="1684"/>
      <c r="BZ3581" s="1684"/>
      <c r="CA3581" s="1684"/>
      <c r="CB3581" s="1684"/>
      <c r="CC3581" s="1684"/>
      <c r="CD3581" s="1684"/>
      <c r="CE3581" s="1684"/>
      <c r="CF3581" s="1684"/>
      <c r="CG3581" s="1684"/>
      <c r="CH3581" s="1684"/>
      <c r="CI3581" s="1684"/>
      <c r="CJ3581" s="1684"/>
      <c r="CK3581" s="1684"/>
      <c r="CL3581" s="1684"/>
      <c r="CM3581" s="1684"/>
      <c r="CN3581" s="1684"/>
      <c r="CO3581" s="1684"/>
    </row>
    <row r="3582" spans="1:93" s="1391" customFormat="1" ht="15.75" x14ac:dyDescent="0.25">
      <c r="A3582" s="1684"/>
      <c r="B3582" s="1694" t="s">
        <v>3018</v>
      </c>
      <c r="C3582" s="1694">
        <v>70.2</v>
      </c>
      <c r="D3582" s="1694">
        <v>62.6</v>
      </c>
      <c r="E3582" s="1694">
        <v>47.1</v>
      </c>
      <c r="F3582" s="1694">
        <v>38.4</v>
      </c>
      <c r="G3582" s="1694"/>
      <c r="H3582" s="1694"/>
      <c r="I3582" s="1694"/>
      <c r="J3582" s="1694"/>
      <c r="K3582" s="1417"/>
      <c r="L3582" s="1694" t="s">
        <v>3018</v>
      </c>
      <c r="M3582" s="1694">
        <v>19.100000000000001</v>
      </c>
      <c r="N3582" s="1694">
        <v>17.7</v>
      </c>
      <c r="O3582" s="1694">
        <v>13.5</v>
      </c>
      <c r="P3582" s="1694">
        <v>11.9</v>
      </c>
      <c r="Q3582" s="1694"/>
      <c r="R3582" s="1694"/>
      <c r="S3582" s="1694"/>
      <c r="T3582" s="1694"/>
      <c r="U3582" s="1417"/>
      <c r="V3582" s="1417"/>
      <c r="W3582" s="1417"/>
      <c r="Z3582" s="1684"/>
      <c r="AA3582" s="1684"/>
      <c r="AB3582" s="1684"/>
      <c r="AC3582" s="1684"/>
      <c r="AD3582" s="1684"/>
      <c r="AE3582" s="1684"/>
      <c r="AF3582" s="1684"/>
      <c r="AG3582" s="1684"/>
      <c r="AH3582" s="1684"/>
      <c r="AI3582" s="1684"/>
      <c r="AJ3582" s="1684"/>
      <c r="AK3582" s="1684"/>
      <c r="AL3582" s="1684"/>
      <c r="AM3582" s="1684"/>
      <c r="AN3582" s="1684"/>
      <c r="AO3582" s="1684"/>
      <c r="AP3582" s="1684"/>
      <c r="AQ3582" s="1684"/>
      <c r="AR3582" s="1684"/>
      <c r="AS3582" s="1684"/>
      <c r="AT3582" s="1684"/>
      <c r="AU3582" s="1684"/>
      <c r="AV3582" s="1684"/>
      <c r="AW3582" s="1684"/>
      <c r="AX3582" s="1684"/>
      <c r="AY3582" s="1684"/>
      <c r="AZ3582" s="1684"/>
      <c r="BA3582" s="1684"/>
      <c r="BB3582" s="1684"/>
      <c r="BC3582" s="1684"/>
      <c r="BD3582" s="1684"/>
      <c r="BE3582" s="1684"/>
      <c r="BF3582" s="1684"/>
      <c r="BG3582" s="1684"/>
      <c r="BH3582" s="1684"/>
      <c r="BI3582" s="1684"/>
      <c r="BJ3582" s="1684"/>
      <c r="BK3582" s="1684"/>
      <c r="BL3582" s="1684"/>
      <c r="BM3582" s="1684"/>
      <c r="BN3582" s="1684"/>
      <c r="BO3582" s="1684"/>
      <c r="BP3582" s="1684"/>
      <c r="BQ3582" s="1684"/>
      <c r="BR3582" s="1684"/>
      <c r="BS3582" s="1684"/>
      <c r="BT3582" s="1684"/>
      <c r="BU3582" s="1684"/>
      <c r="BV3582" s="1684"/>
      <c r="BW3582" s="1684"/>
      <c r="BX3582" s="1684"/>
      <c r="BY3582" s="1684"/>
      <c r="BZ3582" s="1684"/>
      <c r="CA3582" s="1684"/>
      <c r="CB3582" s="1684"/>
      <c r="CC3582" s="1684"/>
      <c r="CD3582" s="1684"/>
      <c r="CE3582" s="1684"/>
      <c r="CF3582" s="1684"/>
      <c r="CG3582" s="1684"/>
      <c r="CH3582" s="1684"/>
      <c r="CI3582" s="1684"/>
      <c r="CJ3582" s="1684"/>
      <c r="CK3582" s="1684"/>
      <c r="CL3582" s="1684"/>
      <c r="CM3582" s="1684"/>
      <c r="CN3582" s="1684"/>
      <c r="CO3582" s="1684"/>
    </row>
    <row r="3583" spans="1:93" s="1391" customFormat="1" ht="15.75" x14ac:dyDescent="0.25">
      <c r="A3583" s="1684"/>
      <c r="B3583" s="1694" t="s">
        <v>3019</v>
      </c>
      <c r="C3583" s="1694">
        <v>60.4</v>
      </c>
      <c r="D3583" s="1694">
        <v>55.1</v>
      </c>
      <c r="E3583" s="1694">
        <v>41.3</v>
      </c>
      <c r="F3583" s="1694">
        <v>33.700000000000003</v>
      </c>
      <c r="G3583" s="1694"/>
      <c r="H3583" s="1694"/>
      <c r="I3583" s="1694"/>
      <c r="J3583" s="1694"/>
      <c r="K3583" s="1417"/>
      <c r="L3583" s="1694" t="s">
        <v>3019</v>
      </c>
      <c r="M3583" s="1694">
        <v>17.399999999999999</v>
      </c>
      <c r="N3583" s="1694">
        <v>15.7</v>
      </c>
      <c r="O3583" s="1694">
        <v>12</v>
      </c>
      <c r="P3583" s="1694">
        <v>10.4</v>
      </c>
      <c r="Q3583" s="1694"/>
      <c r="R3583" s="1694"/>
      <c r="S3583" s="1694"/>
      <c r="T3583" s="1694"/>
      <c r="U3583" s="1417"/>
      <c r="V3583" s="1417"/>
      <c r="W3583" s="1417"/>
      <c r="Z3583" s="1684"/>
      <c r="AA3583" s="1684"/>
      <c r="AB3583" s="1684"/>
      <c r="AC3583" s="1684"/>
      <c r="AD3583" s="1684"/>
      <c r="AE3583" s="1684"/>
      <c r="AF3583" s="1684"/>
      <c r="AG3583" s="1684"/>
      <c r="AH3583" s="1684"/>
      <c r="AI3583" s="1684"/>
      <c r="AJ3583" s="1684"/>
      <c r="AK3583" s="1684"/>
      <c r="AL3583" s="1684"/>
      <c r="AM3583" s="1684"/>
      <c r="AN3583" s="1684"/>
      <c r="AO3583" s="1684"/>
      <c r="AP3583" s="1684"/>
      <c r="AQ3583" s="1684"/>
      <c r="AR3583" s="1684"/>
      <c r="AS3583" s="1684"/>
      <c r="AT3583" s="1684"/>
      <c r="AU3583" s="1684"/>
      <c r="AV3583" s="1684"/>
      <c r="AW3583" s="1684"/>
      <c r="AX3583" s="1684"/>
      <c r="AY3583" s="1684"/>
      <c r="AZ3583" s="1684"/>
      <c r="BA3583" s="1684"/>
      <c r="BB3583" s="1684"/>
      <c r="BC3583" s="1684"/>
      <c r="BD3583" s="1684"/>
      <c r="BE3583" s="1684"/>
      <c r="BF3583" s="1684"/>
      <c r="BG3583" s="1684"/>
      <c r="BH3583" s="1684"/>
      <c r="BI3583" s="1684"/>
      <c r="BJ3583" s="1684"/>
      <c r="BK3583" s="1684"/>
      <c r="BL3583" s="1684"/>
      <c r="BM3583" s="1684"/>
      <c r="BN3583" s="1684"/>
      <c r="BO3583" s="1684"/>
      <c r="BP3583" s="1684"/>
      <c r="BQ3583" s="1684"/>
      <c r="BR3583" s="1684"/>
      <c r="BS3583" s="1684"/>
      <c r="BT3583" s="1684"/>
      <c r="BU3583" s="1684"/>
      <c r="BV3583" s="1684"/>
      <c r="BW3583" s="1684"/>
      <c r="BX3583" s="1684"/>
      <c r="BY3583" s="1684"/>
      <c r="BZ3583" s="1684"/>
      <c r="CA3583" s="1684"/>
      <c r="CB3583" s="1684"/>
      <c r="CC3583" s="1684"/>
      <c r="CD3583" s="1684"/>
      <c r="CE3583" s="1684"/>
      <c r="CF3583" s="1684"/>
      <c r="CG3583" s="1684"/>
      <c r="CH3583" s="1684"/>
      <c r="CI3583" s="1684"/>
      <c r="CJ3583" s="1684"/>
      <c r="CK3583" s="1684"/>
      <c r="CL3583" s="1684"/>
      <c r="CM3583" s="1684"/>
      <c r="CN3583" s="1684"/>
      <c r="CO3583" s="1684"/>
    </row>
    <row r="3584" spans="1:93" s="1391" customFormat="1" ht="15.75" x14ac:dyDescent="0.25">
      <c r="A3584" s="1684"/>
      <c r="B3584" s="1694" t="s">
        <v>3020</v>
      </c>
      <c r="C3584" s="1694">
        <v>53.8</v>
      </c>
      <c r="D3584" s="1694">
        <v>49.2</v>
      </c>
      <c r="E3584" s="1694">
        <v>36.5</v>
      </c>
      <c r="F3584" s="1694">
        <v>29.7</v>
      </c>
      <c r="G3584" s="1694"/>
      <c r="H3584" s="1694"/>
      <c r="I3584" s="1694"/>
      <c r="J3584" s="1694"/>
      <c r="K3584" s="1417"/>
      <c r="L3584" s="1694" t="s">
        <v>3020</v>
      </c>
      <c r="M3584" s="1694">
        <v>15.6</v>
      </c>
      <c r="N3584" s="1694">
        <v>14</v>
      </c>
      <c r="O3584" s="1694">
        <v>10.6</v>
      </c>
      <c r="P3584" s="1694">
        <v>9.1999999999999993</v>
      </c>
      <c r="Q3584" s="1694"/>
      <c r="R3584" s="1694"/>
      <c r="S3584" s="1694"/>
      <c r="T3584" s="1694"/>
      <c r="U3584" s="1417"/>
      <c r="V3584" s="1417"/>
      <c r="W3584" s="1417"/>
      <c r="Z3584" s="1684"/>
      <c r="AA3584" s="1684"/>
      <c r="AB3584" s="1684"/>
      <c r="AC3584" s="1684"/>
      <c r="AD3584" s="1684"/>
      <c r="AE3584" s="1684"/>
      <c r="AF3584" s="1684"/>
      <c r="AG3584" s="1684"/>
      <c r="AH3584" s="1684"/>
      <c r="AI3584" s="1684"/>
      <c r="AJ3584" s="1684"/>
      <c r="AK3584" s="1684"/>
      <c r="AL3584" s="1684"/>
      <c r="AM3584" s="1684"/>
      <c r="AN3584" s="1684"/>
      <c r="AO3584" s="1684"/>
      <c r="AP3584" s="1684"/>
      <c r="AQ3584" s="1684"/>
      <c r="AR3584" s="1684"/>
      <c r="AS3584" s="1684"/>
      <c r="AT3584" s="1684"/>
      <c r="AU3584" s="1684"/>
      <c r="AV3584" s="1684"/>
      <c r="AW3584" s="1684"/>
      <c r="AX3584" s="1684"/>
      <c r="AY3584" s="1684"/>
      <c r="AZ3584" s="1684"/>
      <c r="BA3584" s="1684"/>
      <c r="BB3584" s="1684"/>
      <c r="BC3584" s="1684"/>
      <c r="BD3584" s="1684"/>
      <c r="BE3584" s="1684"/>
      <c r="BF3584" s="1684"/>
      <c r="BG3584" s="1684"/>
      <c r="BH3584" s="1684"/>
      <c r="BI3584" s="1684"/>
      <c r="BJ3584" s="1684"/>
      <c r="BK3584" s="1684"/>
      <c r="BL3584" s="1684"/>
      <c r="BM3584" s="1684"/>
      <c r="BN3584" s="1684"/>
      <c r="BO3584" s="1684"/>
      <c r="BP3584" s="1684"/>
      <c r="BQ3584" s="1684"/>
      <c r="BR3584" s="1684"/>
      <c r="BS3584" s="1684"/>
      <c r="BT3584" s="1684"/>
      <c r="BU3584" s="1684"/>
      <c r="BV3584" s="1684"/>
      <c r="BW3584" s="1684"/>
      <c r="BX3584" s="1684"/>
      <c r="BY3584" s="1684"/>
      <c r="BZ3584" s="1684"/>
      <c r="CA3584" s="1684"/>
      <c r="CB3584" s="1684"/>
      <c r="CC3584" s="1684"/>
      <c r="CD3584" s="1684"/>
      <c r="CE3584" s="1684"/>
      <c r="CF3584" s="1684"/>
      <c r="CG3584" s="1684"/>
      <c r="CH3584" s="1684"/>
      <c r="CI3584" s="1684"/>
      <c r="CJ3584" s="1684"/>
      <c r="CK3584" s="1684"/>
      <c r="CL3584" s="1684"/>
      <c r="CM3584" s="1684"/>
      <c r="CN3584" s="1684"/>
      <c r="CO3584" s="1684"/>
    </row>
    <row r="3585" spans="1:93" s="1391" customFormat="1" ht="15" x14ac:dyDescent="0.2">
      <c r="A3585" s="1684"/>
      <c r="B3585" s="1684"/>
      <c r="C3585" s="1684"/>
      <c r="D3585" s="1684"/>
      <c r="E3585" s="1684"/>
      <c r="F3585" s="1684"/>
      <c r="G3585" s="1684"/>
      <c r="H3585" s="1684"/>
      <c r="I3585" s="1684"/>
      <c r="J3585" s="1684"/>
      <c r="K3585" s="1684"/>
      <c r="L3585" s="1684"/>
      <c r="M3585" s="1684"/>
      <c r="N3585" s="1684"/>
      <c r="O3585" s="1684"/>
      <c r="P3585" s="1684"/>
      <c r="Q3585" s="1684"/>
      <c r="R3585" s="1684"/>
      <c r="S3585" s="1684"/>
      <c r="T3585" s="1684"/>
      <c r="U3585" s="1684"/>
      <c r="V3585" s="1684"/>
      <c r="W3585" s="1684"/>
      <c r="X3585" s="1684"/>
      <c r="Y3585" s="1684"/>
      <c r="Z3585" s="1684"/>
      <c r="AA3585" s="1684"/>
      <c r="AB3585" s="1684"/>
      <c r="AC3585" s="1684"/>
      <c r="AD3585" s="1684"/>
      <c r="AE3585" s="1684"/>
      <c r="AF3585" s="1684"/>
      <c r="AG3585" s="1684"/>
      <c r="AH3585" s="1684"/>
      <c r="AI3585" s="1684"/>
      <c r="AJ3585" s="1684"/>
      <c r="AK3585" s="1684"/>
      <c r="AL3585" s="1684"/>
      <c r="AM3585" s="1684"/>
      <c r="AN3585" s="1684"/>
      <c r="AO3585" s="1684"/>
      <c r="AP3585" s="1684"/>
      <c r="AQ3585" s="1684"/>
      <c r="AR3585" s="1684"/>
      <c r="AS3585" s="1684"/>
      <c r="AT3585" s="1684"/>
      <c r="AU3585" s="1684"/>
      <c r="AV3585" s="1684"/>
      <c r="AW3585" s="1684"/>
      <c r="AX3585" s="1684"/>
      <c r="AY3585" s="1684"/>
      <c r="AZ3585" s="1684"/>
      <c r="BA3585" s="1684"/>
      <c r="BB3585" s="1684"/>
      <c r="BC3585" s="1684"/>
      <c r="BD3585" s="1684"/>
      <c r="BE3585" s="1684"/>
      <c r="BF3585" s="1684"/>
      <c r="BG3585" s="1684"/>
      <c r="BH3585" s="1684"/>
      <c r="BI3585" s="1684"/>
      <c r="BJ3585" s="1684"/>
      <c r="BK3585" s="1684"/>
      <c r="BL3585" s="1684"/>
      <c r="BM3585" s="1684"/>
      <c r="BN3585" s="1684"/>
      <c r="BO3585" s="1684"/>
      <c r="BP3585" s="1684"/>
      <c r="BQ3585" s="1684"/>
      <c r="BR3585" s="1684"/>
      <c r="BS3585" s="1684"/>
      <c r="BT3585" s="1684"/>
      <c r="BU3585" s="1684"/>
      <c r="BV3585" s="1684"/>
      <c r="BW3585" s="1684"/>
      <c r="BX3585" s="1684"/>
      <c r="BY3585" s="1684"/>
      <c r="BZ3585" s="1684"/>
      <c r="CA3585" s="1684"/>
      <c r="CB3585" s="1684"/>
      <c r="CC3585" s="1684"/>
      <c r="CD3585" s="1684"/>
      <c r="CE3585" s="1684"/>
      <c r="CF3585" s="1684"/>
      <c r="CG3585" s="1684"/>
      <c r="CH3585" s="1684"/>
      <c r="CI3585" s="1684"/>
      <c r="CJ3585" s="1684"/>
      <c r="CK3585" s="1684"/>
      <c r="CL3585" s="1684"/>
      <c r="CM3585" s="1684"/>
      <c r="CN3585" s="1684"/>
      <c r="CO3585" s="1684"/>
    </row>
    <row r="3586" spans="1:93" s="1391" customFormat="1" ht="15" x14ac:dyDescent="0.2">
      <c r="A3586" s="1684"/>
      <c r="B3586" s="1684"/>
      <c r="C3586" s="1684"/>
      <c r="D3586" s="1684"/>
      <c r="E3586" s="1684"/>
      <c r="F3586" s="1684"/>
      <c r="G3586" s="1684"/>
      <c r="H3586" s="1684"/>
      <c r="I3586" s="1684"/>
      <c r="J3586" s="1684"/>
      <c r="K3586" s="1684"/>
      <c r="L3586" s="1684"/>
      <c r="M3586" s="1684"/>
      <c r="N3586" s="1684"/>
      <c r="O3586" s="1684"/>
      <c r="P3586" s="1684"/>
      <c r="Q3586" s="1684"/>
      <c r="R3586" s="1684"/>
      <c r="S3586" s="1684"/>
      <c r="T3586" s="1684"/>
      <c r="U3586" s="1684"/>
      <c r="V3586" s="1684"/>
      <c r="W3586" s="1684"/>
      <c r="X3586" s="1684"/>
      <c r="Y3586" s="1684"/>
      <c r="Z3586" s="1684"/>
      <c r="AA3586" s="1684"/>
      <c r="AB3586" s="1684"/>
      <c r="AC3586" s="1684"/>
      <c r="AD3586" s="1684"/>
      <c r="AE3586" s="1684"/>
      <c r="AF3586" s="1684"/>
      <c r="AG3586" s="1684"/>
      <c r="AH3586" s="1684"/>
      <c r="AI3586" s="1684"/>
      <c r="AJ3586" s="1684"/>
      <c r="AK3586" s="1684"/>
      <c r="AL3586" s="1684"/>
      <c r="AM3586" s="1684"/>
      <c r="AN3586" s="1684"/>
      <c r="AO3586" s="1684"/>
      <c r="AP3586" s="1684"/>
      <c r="AQ3586" s="1684"/>
      <c r="AR3586" s="1684"/>
      <c r="AS3586" s="1684"/>
      <c r="AT3586" s="1684"/>
      <c r="AU3586" s="1684"/>
      <c r="AV3586" s="1684"/>
      <c r="AW3586" s="1684"/>
      <c r="AX3586" s="1684"/>
      <c r="AY3586" s="1684"/>
      <c r="AZ3586" s="1684"/>
      <c r="BA3586" s="1684"/>
      <c r="BB3586" s="1684"/>
      <c r="BC3586" s="1684"/>
      <c r="BD3586" s="1684"/>
      <c r="BE3586" s="1684"/>
      <c r="BF3586" s="1684"/>
      <c r="BG3586" s="1684"/>
      <c r="BH3586" s="1684"/>
      <c r="BI3586" s="1684"/>
      <c r="BJ3586" s="1684"/>
      <c r="BK3586" s="1684"/>
      <c r="BL3586" s="1684"/>
      <c r="BM3586" s="1684"/>
      <c r="BN3586" s="1684"/>
      <c r="BO3586" s="1684"/>
      <c r="BP3586" s="1684"/>
      <c r="BQ3586" s="1684"/>
      <c r="BR3586" s="1684"/>
      <c r="BS3586" s="1684"/>
      <c r="BT3586" s="1684"/>
      <c r="BU3586" s="1684"/>
      <c r="BV3586" s="1684"/>
      <c r="BW3586" s="1684"/>
      <c r="BX3586" s="1684"/>
      <c r="BY3586" s="1684"/>
      <c r="BZ3586" s="1684"/>
      <c r="CA3586" s="1684"/>
      <c r="CB3586" s="1684"/>
      <c r="CC3586" s="1684"/>
      <c r="CD3586" s="1684"/>
      <c r="CE3586" s="1684"/>
      <c r="CF3586" s="1684"/>
      <c r="CG3586" s="1684"/>
      <c r="CH3586" s="1684"/>
      <c r="CI3586" s="1684"/>
      <c r="CJ3586" s="1684"/>
      <c r="CK3586" s="1684"/>
      <c r="CL3586" s="1684"/>
      <c r="CM3586" s="1684"/>
      <c r="CN3586" s="1684"/>
      <c r="CO3586" s="1684"/>
    </row>
    <row r="3587" spans="1:93" s="1391" customFormat="1" ht="15" x14ac:dyDescent="0.2">
      <c r="A3587" s="1684"/>
      <c r="B3587" s="1684"/>
      <c r="C3587" s="1684"/>
      <c r="D3587" s="1684"/>
      <c r="E3587" s="1684"/>
      <c r="F3587" s="1684"/>
      <c r="G3587" s="1684"/>
      <c r="H3587" s="1684"/>
      <c r="I3587" s="1684"/>
      <c r="J3587" s="1684"/>
      <c r="K3587" s="1684"/>
      <c r="L3587" s="1684"/>
      <c r="M3587" s="1684"/>
      <c r="N3587" s="1684"/>
      <c r="O3587" s="1684"/>
      <c r="P3587" s="1684"/>
      <c r="Q3587" s="1684"/>
      <c r="R3587" s="1684"/>
      <c r="S3587" s="1684"/>
      <c r="T3587" s="1684"/>
      <c r="U3587" s="1684"/>
      <c r="V3587" s="1684"/>
      <c r="W3587" s="1684"/>
      <c r="X3587" s="1684"/>
      <c r="Y3587" s="1684"/>
      <c r="Z3587" s="1684"/>
      <c r="AA3587" s="1684"/>
      <c r="AB3587" s="1684"/>
      <c r="AC3587" s="1684"/>
      <c r="AD3587" s="1684"/>
      <c r="AE3587" s="1684"/>
      <c r="AF3587" s="1684"/>
      <c r="AG3587" s="1684"/>
      <c r="AH3587" s="1684"/>
      <c r="AI3587" s="1684"/>
      <c r="AJ3587" s="1684"/>
      <c r="AK3587" s="1684"/>
      <c r="AL3587" s="1684"/>
      <c r="AM3587" s="1684"/>
      <c r="AN3587" s="1684"/>
      <c r="AO3587" s="1684"/>
      <c r="AP3587" s="1684"/>
      <c r="AQ3587" s="1684"/>
      <c r="AR3587" s="1684"/>
      <c r="AS3587" s="1684"/>
      <c r="AT3587" s="1684"/>
      <c r="AU3587" s="1684"/>
      <c r="AV3587" s="1684"/>
      <c r="AW3587" s="1684"/>
      <c r="AX3587" s="1684"/>
      <c r="AY3587" s="1684"/>
      <c r="AZ3587" s="1684"/>
      <c r="BA3587" s="1684"/>
      <c r="BB3587" s="1684"/>
      <c r="BC3587" s="1684"/>
      <c r="BD3587" s="1684"/>
      <c r="BE3587" s="1684"/>
      <c r="BF3587" s="1684"/>
      <c r="BG3587" s="1684"/>
      <c r="BH3587" s="1684"/>
      <c r="BI3587" s="1684"/>
      <c r="BJ3587" s="1684"/>
      <c r="BK3587" s="1684"/>
      <c r="BL3587" s="1684"/>
      <c r="BM3587" s="1684"/>
      <c r="BN3587" s="1684"/>
      <c r="BO3587" s="1684"/>
      <c r="BP3587" s="1684"/>
      <c r="BQ3587" s="1684"/>
      <c r="BR3587" s="1684"/>
      <c r="BS3587" s="1684"/>
      <c r="BT3587" s="1684"/>
      <c r="BU3587" s="1684"/>
      <c r="BV3587" s="1684"/>
      <c r="BW3587" s="1684"/>
      <c r="BX3587" s="1684"/>
      <c r="BY3587" s="1684"/>
      <c r="BZ3587" s="1684"/>
      <c r="CA3587" s="1684"/>
      <c r="CB3587" s="1684"/>
      <c r="CC3587" s="1684"/>
      <c r="CD3587" s="1684"/>
      <c r="CE3587" s="1684"/>
      <c r="CF3587" s="1684"/>
      <c r="CG3587" s="1684"/>
      <c r="CH3587" s="1684"/>
      <c r="CI3587" s="1684"/>
      <c r="CJ3587" s="1684"/>
      <c r="CK3587" s="1684"/>
      <c r="CL3587" s="1684"/>
      <c r="CM3587" s="1684"/>
      <c r="CN3587" s="1684"/>
      <c r="CO3587" s="1684"/>
    </row>
    <row r="3588" spans="1:93" s="1391" customFormat="1" ht="15.75" x14ac:dyDescent="0.25">
      <c r="A3588" s="1684"/>
      <c r="B3588" s="1493"/>
      <c r="C3588" s="1493"/>
      <c r="D3588" s="1493"/>
      <c r="E3588" s="1493"/>
      <c r="F3588" s="1493"/>
      <c r="G3588" s="1493"/>
      <c r="H3588" s="1493"/>
      <c r="I3588" s="1493"/>
      <c r="J3588" s="1493"/>
      <c r="K3588" s="1493"/>
      <c r="L3588" s="1493"/>
      <c r="M3588" s="1493"/>
      <c r="N3588" s="1493"/>
      <c r="O3588" s="1493"/>
      <c r="P3588" s="1493"/>
      <c r="Q3588" s="1493"/>
      <c r="R3588" s="1493"/>
      <c r="S3588" s="1493"/>
      <c r="T3588" s="1493"/>
      <c r="U3588" s="1493"/>
      <c r="V3588" s="1493"/>
      <c r="W3588" s="1493"/>
      <c r="X3588" s="1493"/>
      <c r="Y3588" s="1493"/>
      <c r="Z3588" s="1493"/>
      <c r="AA3588" s="1493"/>
      <c r="AB3588" s="1493"/>
      <c r="AC3588" s="1493"/>
      <c r="AD3588" s="1493"/>
      <c r="AE3588" s="1493"/>
      <c r="AF3588" s="1493"/>
      <c r="AG3588" s="1493"/>
      <c r="AH3588" s="1493"/>
      <c r="AI3588" s="1493"/>
      <c r="AJ3588" s="1493"/>
      <c r="AK3588" s="1493"/>
      <c r="AL3588" s="1684"/>
      <c r="AM3588" s="1684"/>
      <c r="AN3588" s="1684"/>
      <c r="AO3588" s="1684"/>
      <c r="AP3588" s="1684"/>
      <c r="AQ3588" s="1684"/>
      <c r="AR3588" s="1684"/>
      <c r="AS3588" s="1684"/>
      <c r="AT3588" s="1684"/>
      <c r="AU3588" s="1684"/>
      <c r="AV3588" s="1684"/>
      <c r="AW3588" s="1684"/>
      <c r="AX3588" s="1684"/>
      <c r="AY3588" s="1684"/>
      <c r="AZ3588" s="1684"/>
      <c r="BA3588" s="1684"/>
      <c r="BB3588" s="1684"/>
      <c r="BC3588" s="1684"/>
      <c r="BD3588" s="1684"/>
      <c r="BE3588" s="1684"/>
      <c r="BF3588" s="1684"/>
      <c r="BG3588" s="1684"/>
      <c r="BH3588" s="1684"/>
      <c r="BI3588" s="1684"/>
      <c r="BJ3588" s="1684"/>
      <c r="BK3588" s="1684"/>
      <c r="BL3588" s="1684"/>
      <c r="BM3588" s="1684"/>
      <c r="BN3588" s="1684"/>
      <c r="BO3588" s="1684"/>
      <c r="BP3588" s="1684"/>
      <c r="BQ3588" s="1684"/>
      <c r="BR3588" s="1684"/>
      <c r="BS3588" s="1684"/>
      <c r="BT3588" s="1684"/>
      <c r="BU3588" s="1684"/>
      <c r="BV3588" s="1684"/>
      <c r="BW3588" s="1684"/>
      <c r="BX3588" s="1684"/>
      <c r="BY3588" s="1684"/>
      <c r="BZ3588" s="1684"/>
      <c r="CA3588" s="1684"/>
      <c r="CB3588" s="1684"/>
      <c r="CC3588" s="1684"/>
      <c r="CD3588" s="1684"/>
      <c r="CE3588" s="1684"/>
      <c r="CF3588" s="1684"/>
      <c r="CG3588" s="1684"/>
      <c r="CH3588" s="1684"/>
      <c r="CI3588" s="1684"/>
      <c r="CJ3588" s="1684"/>
      <c r="CK3588" s="1684"/>
      <c r="CL3588" s="1684"/>
      <c r="CM3588" s="1684"/>
      <c r="CN3588" s="1684"/>
      <c r="CO3588" s="1684"/>
    </row>
    <row r="3589" spans="1:93" s="1391" customFormat="1" ht="15.75" x14ac:dyDescent="0.25">
      <c r="A3589" s="1684"/>
      <c r="B3589" s="1709"/>
      <c r="C3589" s="1709"/>
      <c r="D3589" s="1709"/>
      <c r="E3589" s="1709"/>
      <c r="F3589" s="1709"/>
      <c r="G3589" s="1709"/>
      <c r="H3589" s="1493"/>
      <c r="I3589" s="1493"/>
      <c r="J3589" s="1493"/>
      <c r="K3589" s="1493"/>
      <c r="L3589" s="1493"/>
      <c r="M3589" s="1493"/>
      <c r="N3589" s="1493"/>
      <c r="O3589" s="1493"/>
      <c r="P3589" s="1493"/>
      <c r="Q3589" s="1493"/>
      <c r="R3589" s="1493"/>
      <c r="S3589" s="1493"/>
      <c r="T3589" s="1493"/>
      <c r="U3589" s="1493"/>
      <c r="V3589" s="1493"/>
      <c r="W3589" s="1493"/>
      <c r="X3589" s="1493"/>
      <c r="Y3589" s="1493"/>
      <c r="Z3589" s="1493"/>
      <c r="AA3589" s="1493"/>
      <c r="AB3589" s="1493"/>
      <c r="AC3589" s="1493"/>
      <c r="AD3589" s="1493"/>
      <c r="AE3589" s="1493"/>
      <c r="AF3589" s="1493"/>
      <c r="AG3589" s="1493"/>
      <c r="AH3589" s="1493"/>
      <c r="AI3589" s="1493"/>
      <c r="AJ3589" s="1493"/>
      <c r="AK3589" s="1493"/>
      <c r="AL3589" s="1684"/>
      <c r="AM3589" s="1684"/>
      <c r="AN3589" s="1684"/>
      <c r="AO3589" s="1684"/>
      <c r="AP3589" s="1684"/>
      <c r="AQ3589" s="1684"/>
      <c r="AR3589" s="1684"/>
      <c r="AS3589" s="1684"/>
      <c r="AT3589" s="1684"/>
      <c r="AU3589" s="1684"/>
      <c r="AV3589" s="1684"/>
      <c r="AW3589" s="1684"/>
      <c r="AX3589" s="1684"/>
      <c r="AY3589" s="1684"/>
      <c r="AZ3589" s="1684"/>
      <c r="BA3589" s="1684"/>
      <c r="BB3589" s="1684"/>
      <c r="BC3589" s="1684"/>
      <c r="BD3589" s="1684"/>
      <c r="BE3589" s="1684"/>
      <c r="BF3589" s="1684"/>
      <c r="BG3589" s="1684"/>
      <c r="BH3589" s="1684"/>
      <c r="BI3589" s="1684"/>
      <c r="BJ3589" s="1684"/>
      <c r="BK3589" s="1684"/>
      <c r="BL3589" s="1684"/>
      <c r="BM3589" s="1684"/>
      <c r="BN3589" s="1684"/>
      <c r="BO3589" s="1684"/>
      <c r="BP3589" s="1684"/>
      <c r="BQ3589" s="1684"/>
      <c r="BR3589" s="1684"/>
      <c r="BS3589" s="1684"/>
      <c r="BT3589" s="1684"/>
      <c r="BU3589" s="1684"/>
      <c r="BV3589" s="1684"/>
      <c r="BW3589" s="1684"/>
      <c r="BX3589" s="1684"/>
      <c r="BY3589" s="1684"/>
      <c r="BZ3589" s="1684"/>
      <c r="CA3589" s="1684"/>
      <c r="CB3589" s="1684"/>
      <c r="CC3589" s="1684"/>
      <c r="CD3589" s="1684"/>
      <c r="CE3589" s="1684"/>
      <c r="CF3589" s="1684"/>
      <c r="CG3589" s="1684"/>
      <c r="CH3589" s="1684"/>
      <c r="CI3589" s="1684"/>
      <c r="CJ3589" s="1684"/>
      <c r="CK3589" s="1684"/>
      <c r="CL3589" s="1684"/>
      <c r="CM3589" s="1684"/>
      <c r="CN3589" s="1684"/>
      <c r="CO3589" s="1684"/>
    </row>
    <row r="3590" spans="1:93" s="1391" customFormat="1" ht="15.75" x14ac:dyDescent="0.25">
      <c r="A3590" s="1684"/>
      <c r="B3590" s="1709"/>
      <c r="C3590" s="1709"/>
      <c r="D3590" s="1709"/>
      <c r="E3590" s="1709"/>
      <c r="F3590" s="1709" t="s">
        <v>3021</v>
      </c>
      <c r="G3590" s="1709"/>
      <c r="H3590" s="1709"/>
      <c r="I3590" s="1493"/>
      <c r="J3590" s="892"/>
      <c r="K3590" s="892"/>
      <c r="L3590" s="892"/>
      <c r="M3590" s="1710" t="s">
        <v>3022</v>
      </c>
      <c r="N3590" s="1710"/>
      <c r="O3590" s="1493"/>
      <c r="P3590" s="1493"/>
      <c r="Q3590" s="1493"/>
      <c r="R3590" s="1493"/>
      <c r="S3590" s="1493"/>
      <c r="T3590" s="1493"/>
      <c r="U3590" s="1493"/>
      <c r="V3590" s="1493"/>
      <c r="W3590" s="1493"/>
      <c r="X3590" s="1493"/>
      <c r="Y3590" s="1493"/>
      <c r="Z3590" s="1493"/>
      <c r="AA3590" s="1493"/>
      <c r="AB3590" s="1493"/>
      <c r="AC3590" s="1493"/>
      <c r="AD3590" s="1493"/>
      <c r="AE3590" s="1493"/>
      <c r="AF3590" s="1493"/>
      <c r="AG3590" s="1493"/>
      <c r="AH3590" s="1493"/>
      <c r="AI3590" s="1493"/>
      <c r="AJ3590" s="1493"/>
      <c r="AK3590" s="1493"/>
      <c r="AL3590" s="1684"/>
      <c r="AM3590" s="1684"/>
      <c r="AN3590" s="1684"/>
      <c r="AO3590" s="1684"/>
      <c r="AP3590" s="1684"/>
      <c r="AQ3590" s="1684"/>
      <c r="AR3590" s="1684"/>
      <c r="AS3590" s="1684"/>
      <c r="AT3590" s="1684"/>
      <c r="AU3590" s="1684"/>
      <c r="AV3590" s="1684"/>
      <c r="AW3590" s="1684"/>
      <c r="AX3590" s="1684"/>
      <c r="AY3590" s="1684"/>
      <c r="AZ3590" s="1684"/>
      <c r="BA3590" s="1684"/>
      <c r="BB3590" s="1684"/>
      <c r="BC3590" s="1684"/>
      <c r="BD3590" s="1684"/>
      <c r="BE3590" s="1684"/>
      <c r="BF3590" s="1684"/>
      <c r="BG3590" s="1684"/>
      <c r="BH3590" s="1684"/>
      <c r="BI3590" s="1684"/>
      <c r="BJ3590" s="1684"/>
      <c r="BK3590" s="1684"/>
      <c r="BL3590" s="1684"/>
      <c r="BM3590" s="1684"/>
      <c r="BN3590" s="1684"/>
      <c r="BO3590" s="1684"/>
      <c r="BP3590" s="1684"/>
      <c r="BQ3590" s="1684"/>
      <c r="BR3590" s="1684"/>
      <c r="BS3590" s="1684"/>
      <c r="BT3590" s="1684"/>
      <c r="BU3590" s="1684"/>
      <c r="BV3590" s="1684"/>
      <c r="BW3590" s="1684"/>
      <c r="BX3590" s="1684"/>
      <c r="BY3590" s="1684"/>
      <c r="BZ3590" s="1684"/>
      <c r="CA3590" s="1684"/>
      <c r="CB3590" s="1684"/>
      <c r="CC3590" s="1684"/>
      <c r="CD3590" s="1684"/>
      <c r="CE3590" s="1684"/>
      <c r="CF3590" s="1684"/>
      <c r="CG3590" s="1684"/>
      <c r="CH3590" s="1684"/>
      <c r="CI3590" s="1684"/>
      <c r="CJ3590" s="1684"/>
      <c r="CK3590" s="1684"/>
      <c r="CL3590" s="1684"/>
      <c r="CM3590" s="1684"/>
      <c r="CN3590" s="1684"/>
      <c r="CO3590" s="1684"/>
    </row>
    <row r="3591" spans="1:93" s="1391" customFormat="1" ht="15.75" x14ac:dyDescent="0.25">
      <c r="A3591" s="1684"/>
      <c r="B3591" s="4616" t="s">
        <v>5117</v>
      </c>
      <c r="C3591" s="4616"/>
      <c r="D3591" s="4616"/>
      <c r="E3591" s="4616"/>
      <c r="F3591" s="4616"/>
      <c r="G3591" s="4616"/>
      <c r="H3591" s="1709"/>
      <c r="I3591" s="1493"/>
      <c r="J3591" s="4617" t="s">
        <v>5118</v>
      </c>
      <c r="K3591" s="4617"/>
      <c r="L3591" s="4617"/>
      <c r="M3591" s="4617"/>
      <c r="N3591" s="4617"/>
      <c r="O3591" s="1493"/>
      <c r="P3591" s="4618" t="s">
        <v>5119</v>
      </c>
      <c r="Q3591" s="4618"/>
      <c r="R3591" s="4618"/>
      <c r="S3591" s="4618"/>
      <c r="T3591" s="1493"/>
      <c r="U3591" s="1493"/>
      <c r="V3591" s="1493"/>
      <c r="W3591" s="1493"/>
      <c r="X3591" s="1493"/>
      <c r="Y3591" s="1493"/>
      <c r="Z3591" s="1493"/>
      <c r="AA3591" s="1493"/>
      <c r="AB3591" s="1493"/>
      <c r="AC3591" s="1493"/>
      <c r="AD3591" s="1493"/>
      <c r="AE3591" s="1493"/>
      <c r="AF3591" s="1493"/>
      <c r="AG3591" s="1493"/>
      <c r="AH3591" s="1493"/>
      <c r="AI3591" s="1493"/>
      <c r="AJ3591" s="1493"/>
      <c r="AK3591" s="1493"/>
      <c r="AL3591" s="1684"/>
      <c r="AM3591" s="1684"/>
      <c r="AN3591" s="1684"/>
      <c r="AO3591" s="1684"/>
      <c r="AP3591" s="1684"/>
      <c r="AQ3591" s="1684"/>
      <c r="AR3591" s="1684"/>
      <c r="AS3591" s="1684"/>
      <c r="AT3591" s="1684"/>
      <c r="AU3591" s="1684"/>
      <c r="AV3591" s="1684"/>
      <c r="AW3591" s="1684"/>
      <c r="AX3591" s="1684"/>
      <c r="AY3591" s="1684"/>
      <c r="AZ3591" s="1684"/>
      <c r="BA3591" s="1684"/>
      <c r="BB3591" s="1684"/>
      <c r="BC3591" s="1684"/>
      <c r="BD3591" s="1684"/>
      <c r="BE3591" s="1684"/>
      <c r="BF3591" s="1684"/>
      <c r="BG3591" s="1684"/>
      <c r="BH3591" s="1684"/>
      <c r="BI3591" s="1684"/>
      <c r="BJ3591" s="1684"/>
      <c r="BK3591" s="1684"/>
      <c r="BL3591" s="1684"/>
      <c r="BM3591" s="1684"/>
      <c r="BN3591" s="1684"/>
      <c r="BO3591" s="1684"/>
      <c r="BP3591" s="1684"/>
      <c r="BQ3591" s="1684"/>
      <c r="BR3591" s="1684"/>
      <c r="BS3591" s="1684"/>
      <c r="BT3591" s="1684"/>
      <c r="BU3591" s="1684"/>
      <c r="BV3591" s="1684"/>
      <c r="BW3591" s="1684"/>
      <c r="BX3591" s="1684"/>
      <c r="BY3591" s="1684"/>
      <c r="BZ3591" s="1684"/>
      <c r="CA3591" s="1684"/>
      <c r="CB3591" s="1684"/>
      <c r="CC3591" s="1684"/>
      <c r="CD3591" s="1684"/>
      <c r="CE3591" s="1684"/>
      <c r="CF3591" s="1684"/>
      <c r="CG3591" s="1684"/>
      <c r="CH3591" s="1684"/>
      <c r="CI3591" s="1684"/>
      <c r="CJ3591" s="1684"/>
      <c r="CK3591" s="1684"/>
      <c r="CL3591" s="1684"/>
      <c r="CM3591" s="1684"/>
      <c r="CN3591" s="1684"/>
      <c r="CO3591" s="1684"/>
    </row>
    <row r="3592" spans="1:93" s="1391" customFormat="1" ht="120.75" x14ac:dyDescent="0.25">
      <c r="A3592" s="1684"/>
      <c r="B3592" s="1711" t="s">
        <v>1441</v>
      </c>
      <c r="C3592" s="1711" t="s">
        <v>3313</v>
      </c>
      <c r="D3592" s="1712" t="s">
        <v>1431</v>
      </c>
      <c r="E3592" s="1712"/>
      <c r="F3592" s="1712"/>
      <c r="G3592" s="1711"/>
      <c r="H3592" s="1709"/>
      <c r="I3592" s="1493"/>
      <c r="J3592" s="1713" t="s">
        <v>5120</v>
      </c>
      <c r="K3592" s="1713" t="s">
        <v>5121</v>
      </c>
      <c r="L3592" s="1713"/>
      <c r="M3592" s="1713"/>
      <c r="N3592" s="1713"/>
      <c r="O3592" s="1493"/>
      <c r="P3592" s="1714" t="s">
        <v>2098</v>
      </c>
      <c r="Q3592" s="1714" t="s">
        <v>5122</v>
      </c>
      <c r="R3592" s="1715" t="s">
        <v>2490</v>
      </c>
      <c r="S3592" s="892"/>
      <c r="T3592" s="1493"/>
      <c r="U3592" s="1493"/>
      <c r="V3592" s="1493"/>
      <c r="W3592" s="1493"/>
      <c r="X3592" s="1493"/>
      <c r="Y3592" s="1493"/>
      <c r="Z3592" s="1493"/>
      <c r="AA3592" s="1493"/>
      <c r="AB3592" s="1493"/>
      <c r="AC3592" s="1493"/>
      <c r="AD3592" s="1493"/>
      <c r="AE3592" s="1493"/>
      <c r="AF3592" s="1493"/>
      <c r="AG3592" s="1493"/>
      <c r="AH3592" s="1493"/>
      <c r="AI3592" s="1493"/>
      <c r="AJ3592" s="1493"/>
      <c r="AK3592" s="1493"/>
      <c r="AL3592" s="1684"/>
      <c r="AM3592" s="1684"/>
      <c r="AN3592" s="1684"/>
      <c r="AO3592" s="1684"/>
      <c r="AP3592" s="1684"/>
      <c r="AQ3592" s="1684"/>
      <c r="AR3592" s="1684"/>
      <c r="AS3592" s="1684"/>
      <c r="AT3592" s="1684"/>
      <c r="AU3592" s="1684"/>
      <c r="AV3592" s="1684"/>
      <c r="AW3592" s="1684"/>
      <c r="AX3592" s="1684"/>
      <c r="AY3592" s="1684"/>
      <c r="AZ3592" s="1684"/>
      <c r="BA3592" s="1684"/>
      <c r="BB3592" s="1684"/>
      <c r="BC3592" s="1684"/>
      <c r="BD3592" s="1684"/>
      <c r="BE3592" s="1684"/>
      <c r="BF3592" s="1684"/>
      <c r="BG3592" s="1684"/>
      <c r="BH3592" s="1684"/>
      <c r="BI3592" s="1684"/>
      <c r="BJ3592" s="1684"/>
      <c r="BK3592" s="1684"/>
      <c r="BL3592" s="1684"/>
      <c r="BM3592" s="1684"/>
      <c r="BN3592" s="1684"/>
      <c r="BO3592" s="1684"/>
      <c r="BP3592" s="1684"/>
      <c r="BQ3592" s="1684"/>
      <c r="BR3592" s="1684"/>
      <c r="BS3592" s="1684"/>
      <c r="BT3592" s="1684"/>
      <c r="BU3592" s="1684"/>
      <c r="BV3592" s="1684"/>
      <c r="BW3592" s="1684"/>
      <c r="BX3592" s="1684"/>
      <c r="BY3592" s="1684"/>
      <c r="BZ3592" s="1684"/>
      <c r="CA3592" s="1684"/>
      <c r="CB3592" s="1684"/>
      <c r="CC3592" s="1684"/>
      <c r="CD3592" s="1684"/>
      <c r="CE3592" s="1684"/>
      <c r="CF3592" s="1684"/>
      <c r="CG3592" s="1684"/>
      <c r="CH3592" s="1684"/>
      <c r="CI3592" s="1684"/>
      <c r="CJ3592" s="1684"/>
      <c r="CK3592" s="1684"/>
      <c r="CL3592" s="1684"/>
      <c r="CM3592" s="1684"/>
      <c r="CN3592" s="1684"/>
      <c r="CO3592" s="1684"/>
    </row>
    <row r="3593" spans="1:93" s="1391" customFormat="1" ht="75.75" x14ac:dyDescent="0.25">
      <c r="A3593" s="1684"/>
      <c r="B3593" s="1711"/>
      <c r="C3593" s="1711"/>
      <c r="D3593" s="1711" t="s">
        <v>5123</v>
      </c>
      <c r="E3593" s="1711" t="s">
        <v>5124</v>
      </c>
      <c r="F3593" s="1711" t="s">
        <v>5125</v>
      </c>
      <c r="G3593" s="1711" t="s">
        <v>2490</v>
      </c>
      <c r="H3593" s="1709"/>
      <c r="I3593" s="1493"/>
      <c r="J3593" s="1713"/>
      <c r="K3593" s="1713" t="s">
        <v>5126</v>
      </c>
      <c r="L3593" s="1713"/>
      <c r="M3593" s="1713" t="s">
        <v>5127</v>
      </c>
      <c r="N3593" s="1713"/>
      <c r="O3593" s="1493"/>
      <c r="P3593" s="1391" t="s">
        <v>1220</v>
      </c>
      <c r="Q3593" s="1391">
        <v>281</v>
      </c>
      <c r="R3593" s="1391">
        <v>1</v>
      </c>
      <c r="S3593" s="892"/>
      <c r="T3593" s="1493"/>
      <c r="U3593" s="1493"/>
      <c r="V3593" s="1493"/>
      <c r="W3593" s="1493"/>
      <c r="X3593" s="1493"/>
      <c r="Y3593" s="1493"/>
      <c r="Z3593" s="1493"/>
      <c r="AA3593" s="1493"/>
      <c r="AB3593" s="1493"/>
      <c r="AC3593" s="1493"/>
      <c r="AD3593" s="1493"/>
      <c r="AE3593" s="1493"/>
      <c r="AF3593" s="1493"/>
      <c r="AG3593" s="1493"/>
      <c r="AH3593" s="1493"/>
      <c r="AI3593" s="1493"/>
      <c r="AJ3593" s="1493"/>
      <c r="AK3593" s="1493"/>
      <c r="AL3593" s="1684"/>
      <c r="AM3593" s="1684"/>
      <c r="AN3593" s="1684"/>
      <c r="AO3593" s="1684"/>
      <c r="AP3593" s="1684"/>
      <c r="AQ3593" s="1684"/>
      <c r="AR3593" s="1684"/>
      <c r="AS3593" s="1684"/>
      <c r="AT3593" s="1684"/>
      <c r="AU3593" s="1684"/>
      <c r="AV3593" s="1684"/>
      <c r="AW3593" s="1684"/>
      <c r="AX3593" s="1684"/>
      <c r="AY3593" s="1684"/>
      <c r="AZ3593" s="1684"/>
      <c r="BA3593" s="1684"/>
      <c r="BB3593" s="1684"/>
      <c r="BC3593" s="1684"/>
      <c r="BD3593" s="1684"/>
      <c r="BE3593" s="1684"/>
      <c r="BF3593" s="1684"/>
      <c r="BG3593" s="1684"/>
      <c r="BH3593" s="1684"/>
      <c r="BI3593" s="1684"/>
      <c r="BJ3593" s="1684"/>
      <c r="BK3593" s="1684"/>
      <c r="BL3593" s="1684"/>
      <c r="BM3593" s="1684"/>
      <c r="BN3593" s="1684"/>
      <c r="BO3593" s="1684"/>
      <c r="BP3593" s="1684"/>
      <c r="BQ3593" s="1684"/>
      <c r="BR3593" s="1684"/>
      <c r="BS3593" s="1684"/>
      <c r="BT3593" s="1684"/>
      <c r="BU3593" s="1684"/>
      <c r="BV3593" s="1684"/>
      <c r="BW3593" s="1684"/>
      <c r="BX3593" s="1684"/>
      <c r="BY3593" s="1684"/>
      <c r="BZ3593" s="1684"/>
      <c r="CA3593" s="1684"/>
      <c r="CB3593" s="1684"/>
      <c r="CC3593" s="1684"/>
      <c r="CD3593" s="1684"/>
      <c r="CE3593" s="1684"/>
      <c r="CF3593" s="1684"/>
      <c r="CG3593" s="1684"/>
      <c r="CH3593" s="1684"/>
      <c r="CI3593" s="1684"/>
      <c r="CJ3593" s="1684"/>
      <c r="CK3593" s="1684"/>
      <c r="CL3593" s="1684"/>
      <c r="CM3593" s="1684"/>
      <c r="CN3593" s="1684"/>
      <c r="CO3593" s="1684"/>
    </row>
    <row r="3594" spans="1:93" s="1391" customFormat="1" ht="15.75" x14ac:dyDescent="0.25">
      <c r="A3594" s="1684"/>
      <c r="B3594" s="1716" t="s">
        <v>5128</v>
      </c>
      <c r="C3594" s="1716">
        <v>146</v>
      </c>
      <c r="D3594" s="1716">
        <v>118</v>
      </c>
      <c r="E3594" s="1716">
        <v>65</v>
      </c>
      <c r="F3594" s="1716">
        <v>44.9</v>
      </c>
      <c r="G3594" s="1716">
        <v>1</v>
      </c>
      <c r="H3594" s="1709"/>
      <c r="I3594" s="1493"/>
      <c r="J3594" s="1713"/>
      <c r="K3594" s="1717" t="s">
        <v>3713</v>
      </c>
      <c r="L3594" s="1717" t="s">
        <v>3714</v>
      </c>
      <c r="M3594" s="1717" t="s">
        <v>3713</v>
      </c>
      <c r="N3594" s="1717" t="s">
        <v>3714</v>
      </c>
      <c r="O3594" s="1493"/>
      <c r="P3594" s="1391" t="s">
        <v>4802</v>
      </c>
      <c r="Q3594" s="1391">
        <v>250</v>
      </c>
      <c r="R3594" s="1391">
        <v>2</v>
      </c>
      <c r="S3594" s="892"/>
      <c r="T3594" s="1493"/>
      <c r="U3594" s="1493"/>
      <c r="V3594" s="1493"/>
      <c r="W3594" s="1493"/>
      <c r="X3594" s="1493"/>
      <c r="Y3594" s="1493"/>
      <c r="Z3594" s="1493"/>
      <c r="AA3594" s="1493"/>
      <c r="AB3594" s="1493"/>
      <c r="AC3594" s="1493"/>
      <c r="AD3594" s="1493"/>
      <c r="AE3594" s="1493"/>
      <c r="AF3594" s="1493"/>
      <c r="AG3594" s="1493"/>
      <c r="AH3594" s="1493"/>
      <c r="AI3594" s="1493"/>
      <c r="AJ3594" s="1493"/>
      <c r="AK3594" s="1493"/>
      <c r="AL3594" s="1684"/>
      <c r="AM3594" s="1684"/>
      <c r="AN3594" s="1684"/>
      <c r="AO3594" s="1684"/>
      <c r="AP3594" s="1684"/>
      <c r="AQ3594" s="1684"/>
      <c r="AR3594" s="1684"/>
      <c r="AS3594" s="1684"/>
      <c r="AT3594" s="1684"/>
      <c r="AU3594" s="1684"/>
      <c r="AV3594" s="1684"/>
      <c r="AW3594" s="1684"/>
      <c r="AX3594" s="1684"/>
      <c r="AY3594" s="1684"/>
      <c r="AZ3594" s="1684"/>
      <c r="BA3594" s="1684"/>
      <c r="BB3594" s="1684"/>
      <c r="BC3594" s="1684"/>
      <c r="BD3594" s="1684"/>
      <c r="BE3594" s="1684"/>
      <c r="BF3594" s="1684"/>
      <c r="BG3594" s="1684"/>
      <c r="BH3594" s="1684"/>
      <c r="BI3594" s="1684"/>
      <c r="BJ3594" s="1684"/>
      <c r="BK3594" s="1684"/>
      <c r="BL3594" s="1684"/>
      <c r="BM3594" s="1684"/>
      <c r="BN3594" s="1684"/>
      <c r="BO3594" s="1684"/>
      <c r="BP3594" s="1684"/>
      <c r="BQ3594" s="1684"/>
      <c r="BR3594" s="1684"/>
      <c r="BS3594" s="1684"/>
      <c r="BT3594" s="1684"/>
      <c r="BU3594" s="1684"/>
      <c r="BV3594" s="1684"/>
      <c r="BW3594" s="1684"/>
      <c r="BX3594" s="1684"/>
      <c r="BY3594" s="1684"/>
      <c r="BZ3594" s="1684"/>
      <c r="CA3594" s="1684"/>
      <c r="CB3594" s="1684"/>
      <c r="CC3594" s="1684"/>
      <c r="CD3594" s="1684"/>
      <c r="CE3594" s="1684"/>
      <c r="CF3594" s="1684"/>
      <c r="CG3594" s="1684"/>
      <c r="CH3594" s="1684"/>
      <c r="CI3594" s="1684"/>
      <c r="CJ3594" s="1684"/>
      <c r="CK3594" s="1684"/>
      <c r="CL3594" s="1684"/>
      <c r="CM3594" s="1684"/>
      <c r="CN3594" s="1684"/>
      <c r="CO3594" s="1684"/>
    </row>
    <row r="3595" spans="1:93" s="1391" customFormat="1" ht="30.75" x14ac:dyDescent="0.25">
      <c r="A3595" s="1684"/>
      <c r="B3595" s="1716" t="s">
        <v>4803</v>
      </c>
      <c r="C3595" s="1716">
        <v>142</v>
      </c>
      <c r="D3595" s="1716">
        <v>112</v>
      </c>
      <c r="E3595" s="1716">
        <v>62.6</v>
      </c>
      <c r="F3595" s="1716">
        <v>43.4</v>
      </c>
      <c r="G3595" s="1716">
        <v>2</v>
      </c>
      <c r="H3595" s="1709"/>
      <c r="I3595" s="1493"/>
      <c r="J3595" s="1646" t="s">
        <v>4804</v>
      </c>
      <c r="K3595" s="1391">
        <v>317</v>
      </c>
      <c r="L3595" s="1391">
        <v>444</v>
      </c>
      <c r="M3595" s="1391">
        <v>353</v>
      </c>
      <c r="N3595" s="1391">
        <v>452</v>
      </c>
      <c r="O3595" s="1493"/>
      <c r="P3595" s="1391" t="s">
        <v>4805</v>
      </c>
      <c r="Q3595" s="1391">
        <v>224</v>
      </c>
      <c r="R3595" s="1391">
        <v>3</v>
      </c>
      <c r="S3595" s="892"/>
      <c r="T3595" s="1493"/>
      <c r="U3595" s="1493"/>
      <c r="V3595" s="1493"/>
      <c r="W3595" s="1493"/>
      <c r="X3595" s="1493"/>
      <c r="Y3595" s="1493"/>
      <c r="Z3595" s="1493"/>
      <c r="AA3595" s="1493"/>
      <c r="AB3595" s="1493"/>
      <c r="AC3595" s="1493"/>
      <c r="AD3595" s="1493"/>
      <c r="AE3595" s="1493"/>
      <c r="AF3595" s="1493"/>
      <c r="AG3595" s="1493"/>
      <c r="AH3595" s="1493"/>
      <c r="AI3595" s="1493"/>
      <c r="AJ3595" s="1493"/>
      <c r="AK3595" s="1493"/>
      <c r="AL3595" s="1684"/>
      <c r="AM3595" s="1684"/>
      <c r="AN3595" s="1684"/>
      <c r="AO3595" s="1684"/>
      <c r="AP3595" s="1684"/>
      <c r="AQ3595" s="1684"/>
      <c r="AR3595" s="1684"/>
      <c r="AS3595" s="1684"/>
      <c r="AT3595" s="1684"/>
      <c r="AU3595" s="1684"/>
      <c r="AV3595" s="1684"/>
      <c r="AW3595" s="1684"/>
      <c r="AX3595" s="1684"/>
      <c r="AY3595" s="1684"/>
      <c r="AZ3595" s="1684"/>
      <c r="BA3595" s="1684"/>
      <c r="BB3595" s="1684"/>
      <c r="BC3595" s="1684"/>
      <c r="BD3595" s="1684"/>
      <c r="BE3595" s="1684"/>
      <c r="BF3595" s="1684"/>
      <c r="BG3595" s="1684"/>
      <c r="BH3595" s="1684"/>
      <c r="BI3595" s="1684"/>
      <c r="BJ3595" s="1684"/>
      <c r="BK3595" s="1684"/>
      <c r="BL3595" s="1684"/>
      <c r="BM3595" s="1684"/>
      <c r="BN3595" s="1684"/>
      <c r="BO3595" s="1684"/>
      <c r="BP3595" s="1684"/>
      <c r="BQ3595" s="1684"/>
      <c r="BR3595" s="1684"/>
      <c r="BS3595" s="1684"/>
      <c r="BT3595" s="1684"/>
      <c r="BU3595" s="1684"/>
      <c r="BV3595" s="1684"/>
      <c r="BW3595" s="1684"/>
      <c r="BX3595" s="1684"/>
      <c r="BY3595" s="1684"/>
      <c r="BZ3595" s="1684"/>
      <c r="CA3595" s="1684"/>
      <c r="CB3595" s="1684"/>
      <c r="CC3595" s="1684"/>
      <c r="CD3595" s="1684"/>
      <c r="CE3595" s="1684"/>
      <c r="CF3595" s="1684"/>
      <c r="CG3595" s="1684"/>
      <c r="CH3595" s="1684"/>
      <c r="CI3595" s="1684"/>
      <c r="CJ3595" s="1684"/>
      <c r="CK3595" s="1684"/>
      <c r="CL3595" s="1684"/>
      <c r="CM3595" s="1684"/>
      <c r="CN3595" s="1684"/>
      <c r="CO3595" s="1684"/>
    </row>
    <row r="3596" spans="1:93" s="1391" customFormat="1" ht="30.75" x14ac:dyDescent="0.25">
      <c r="A3596" s="1684"/>
      <c r="B3596" s="1716" t="s">
        <v>5443</v>
      </c>
      <c r="C3596" s="1716">
        <v>137</v>
      </c>
      <c r="D3596" s="1716">
        <v>105</v>
      </c>
      <c r="E3596" s="1716">
        <v>59.5</v>
      </c>
      <c r="F3596" s="1716">
        <v>41.4</v>
      </c>
      <c r="G3596" s="1716">
        <v>3</v>
      </c>
      <c r="H3596" s="1709"/>
      <c r="I3596" s="1493"/>
      <c r="J3596" s="1646" t="s">
        <v>4806</v>
      </c>
      <c r="K3596" s="1391">
        <v>291</v>
      </c>
      <c r="L3596" s="1391">
        <v>444</v>
      </c>
      <c r="M3596" s="1391">
        <v>253</v>
      </c>
      <c r="N3596" s="1391">
        <v>452</v>
      </c>
      <c r="O3596" s="1493"/>
      <c r="P3596" s="1391" t="s">
        <v>4807</v>
      </c>
      <c r="Q3596" s="1391">
        <v>197</v>
      </c>
      <c r="R3596" s="1391">
        <v>4</v>
      </c>
      <c r="S3596" s="892"/>
      <c r="T3596" s="1493"/>
      <c r="U3596" s="1493"/>
      <c r="V3596" s="1493"/>
      <c r="W3596" s="892"/>
      <c r="X3596" s="892"/>
      <c r="Y3596" s="892"/>
      <c r="Z3596" s="1710" t="s">
        <v>4808</v>
      </c>
      <c r="AA3596" s="1710"/>
      <c r="AB3596" s="892"/>
      <c r="AC3596" s="892"/>
      <c r="AD3596" s="892"/>
      <c r="AE3596" s="1493"/>
      <c r="AF3596" s="1493"/>
      <c r="AG3596" s="1493"/>
      <c r="AH3596" s="1493"/>
      <c r="AI3596" s="1493"/>
      <c r="AJ3596" s="1493"/>
      <c r="AK3596" s="1493"/>
      <c r="AL3596" s="1684"/>
      <c r="AM3596" s="1684"/>
      <c r="AN3596" s="1684"/>
      <c r="AO3596" s="1684"/>
      <c r="AP3596" s="1684"/>
      <c r="AQ3596" s="1684"/>
      <c r="AR3596" s="1684"/>
      <c r="AS3596" s="1684"/>
      <c r="AT3596" s="1684"/>
      <c r="AU3596" s="1684"/>
      <c r="AV3596" s="1684"/>
      <c r="AW3596" s="1684"/>
      <c r="AX3596" s="1684"/>
      <c r="AY3596" s="1684"/>
      <c r="AZ3596" s="1684"/>
      <c r="BA3596" s="1684"/>
      <c r="BB3596" s="1684"/>
      <c r="BC3596" s="1684"/>
      <c r="BD3596" s="1684"/>
      <c r="BE3596" s="1684"/>
      <c r="BF3596" s="1684"/>
      <c r="BG3596" s="1684"/>
      <c r="BH3596" s="1684"/>
      <c r="BI3596" s="1684"/>
      <c r="BJ3596" s="1684"/>
      <c r="BK3596" s="1684"/>
      <c r="BL3596" s="1684"/>
      <c r="BM3596" s="1684"/>
      <c r="BN3596" s="1684"/>
      <c r="BO3596" s="1684"/>
      <c r="BP3596" s="1684"/>
      <c r="BQ3596" s="1684"/>
      <c r="BR3596" s="1684"/>
      <c r="BS3596" s="1684"/>
      <c r="BT3596" s="1684"/>
      <c r="BU3596" s="1684"/>
      <c r="BV3596" s="1684"/>
      <c r="BW3596" s="1684"/>
      <c r="BX3596" s="1684"/>
      <c r="BY3596" s="1684"/>
      <c r="BZ3596" s="1684"/>
      <c r="CA3596" s="1684"/>
      <c r="CB3596" s="1684"/>
      <c r="CC3596" s="1684"/>
      <c r="CD3596" s="1684"/>
      <c r="CE3596" s="1684"/>
      <c r="CF3596" s="1684"/>
      <c r="CG3596" s="1684"/>
      <c r="CH3596" s="1684"/>
      <c r="CI3596" s="1684"/>
      <c r="CJ3596" s="1684"/>
      <c r="CK3596" s="1684"/>
      <c r="CL3596" s="1684"/>
      <c r="CM3596" s="1684"/>
      <c r="CN3596" s="1684"/>
      <c r="CO3596" s="1684"/>
    </row>
    <row r="3597" spans="1:93" s="1391" customFormat="1" ht="15.75" x14ac:dyDescent="0.25">
      <c r="A3597" s="1684"/>
      <c r="B3597" s="1716" t="s">
        <v>2214</v>
      </c>
      <c r="C3597" s="1716">
        <v>132</v>
      </c>
      <c r="D3597" s="1716">
        <v>98.8</v>
      </c>
      <c r="E3597" s="1716">
        <v>56.6</v>
      </c>
      <c r="F3597" s="1716">
        <v>39.6</v>
      </c>
      <c r="G3597" s="1716">
        <v>4</v>
      </c>
      <c r="H3597" s="1709"/>
      <c r="I3597" s="1493"/>
      <c r="J3597" s="1646" t="s">
        <v>4809</v>
      </c>
      <c r="K3597" s="1391">
        <v>247</v>
      </c>
      <c r="L3597" s="1391">
        <v>369</v>
      </c>
      <c r="M3597" s="1391">
        <v>258</v>
      </c>
      <c r="N3597" s="1391">
        <v>376</v>
      </c>
      <c r="O3597" s="1493"/>
      <c r="P3597" s="1391" t="s">
        <v>3150</v>
      </c>
      <c r="Q3597" s="1391">
        <v>172</v>
      </c>
      <c r="R3597" s="1391">
        <v>5</v>
      </c>
      <c r="S3597" s="892"/>
      <c r="T3597" s="1493"/>
      <c r="U3597" s="1493"/>
      <c r="V3597" s="1493"/>
      <c r="W3597" s="4619" t="s">
        <v>3151</v>
      </c>
      <c r="X3597" s="4619"/>
      <c r="Y3597" s="4619"/>
      <c r="Z3597" s="4619"/>
      <c r="AA3597" s="4619"/>
      <c r="AB3597" s="4631" t="s">
        <v>3152</v>
      </c>
      <c r="AC3597" s="4631"/>
      <c r="AD3597" s="4631"/>
      <c r="AE3597" s="1493"/>
      <c r="AF3597" s="892"/>
      <c r="AG3597" s="892"/>
      <c r="AH3597" s="1710" t="s">
        <v>2469</v>
      </c>
      <c r="AI3597" s="1710"/>
      <c r="AJ3597" s="892"/>
      <c r="AK3597" s="1493"/>
      <c r="AL3597" s="1684"/>
      <c r="AM3597" s="1684"/>
      <c r="AN3597" s="1684"/>
      <c r="AO3597" s="1684"/>
      <c r="AP3597" s="1684"/>
      <c r="AQ3597" s="1684"/>
      <c r="AR3597" s="1684"/>
      <c r="AS3597" s="1684"/>
      <c r="AT3597" s="1684"/>
      <c r="AU3597" s="1684"/>
      <c r="AV3597" s="1684"/>
      <c r="AW3597" s="1684"/>
      <c r="AX3597" s="1684"/>
      <c r="AY3597" s="1684"/>
      <c r="AZ3597" s="1684"/>
      <c r="BA3597" s="1684"/>
      <c r="BB3597" s="1684"/>
      <c r="BC3597" s="1684"/>
      <c r="BD3597" s="1684"/>
      <c r="BE3597" s="1684"/>
      <c r="BF3597" s="1684"/>
      <c r="BG3597" s="1684"/>
      <c r="BH3597" s="1684"/>
      <c r="BI3597" s="1684"/>
      <c r="BJ3597" s="1684"/>
      <c r="BK3597" s="1684"/>
      <c r="BL3597" s="1684"/>
      <c r="BM3597" s="1684"/>
      <c r="BN3597" s="1684"/>
      <c r="BO3597" s="1684"/>
      <c r="BP3597" s="1684"/>
      <c r="BQ3597" s="1684"/>
      <c r="BR3597" s="1684"/>
      <c r="BS3597" s="1684"/>
      <c r="BT3597" s="1684"/>
      <c r="BU3597" s="1684"/>
      <c r="BV3597" s="1684"/>
      <c r="BW3597" s="1684"/>
      <c r="BX3597" s="1684"/>
      <c r="BY3597" s="1684"/>
      <c r="BZ3597" s="1684"/>
      <c r="CA3597" s="1684"/>
      <c r="CB3597" s="1684"/>
      <c r="CC3597" s="1684"/>
      <c r="CD3597" s="1684"/>
      <c r="CE3597" s="1684"/>
      <c r="CF3597" s="1684"/>
      <c r="CG3597" s="1684"/>
      <c r="CH3597" s="1684"/>
      <c r="CI3597" s="1684"/>
      <c r="CJ3597" s="1684"/>
      <c r="CK3597" s="1684"/>
      <c r="CL3597" s="1684"/>
      <c r="CM3597" s="1684"/>
      <c r="CN3597" s="1684"/>
      <c r="CO3597" s="1684"/>
    </row>
    <row r="3598" spans="1:93" s="1391" customFormat="1" ht="15.75" x14ac:dyDescent="0.25">
      <c r="A3598" s="1684"/>
      <c r="B3598" s="1716" t="s">
        <v>4339</v>
      </c>
      <c r="C3598" s="1716">
        <v>128</v>
      </c>
      <c r="D3598" s="1716">
        <v>92.9</v>
      </c>
      <c r="E3598" s="1716">
        <v>53.8</v>
      </c>
      <c r="F3598" s="1716">
        <v>37.799999999999997</v>
      </c>
      <c r="G3598" s="1716">
        <v>5</v>
      </c>
      <c r="H3598" s="1709"/>
      <c r="I3598" s="1493"/>
      <c r="J3598" s="1493"/>
      <c r="K3598" s="1493"/>
      <c r="L3598" s="1493"/>
      <c r="M3598" s="1493"/>
      <c r="N3598" s="1493"/>
      <c r="O3598" s="1493"/>
      <c r="P3598" s="1391" t="s">
        <v>2470</v>
      </c>
      <c r="Q3598" s="1391">
        <v>149</v>
      </c>
      <c r="R3598" s="1391">
        <v>6</v>
      </c>
      <c r="S3598" s="892"/>
      <c r="T3598" s="1493"/>
      <c r="U3598" s="1493"/>
      <c r="V3598" s="1493"/>
      <c r="W3598" s="4632" t="s">
        <v>2471</v>
      </c>
      <c r="X3598" s="4633"/>
      <c r="Y3598" s="4634" t="s">
        <v>2472</v>
      </c>
      <c r="Z3598" s="4634"/>
      <c r="AA3598" s="1715" t="s">
        <v>2490</v>
      </c>
      <c r="AB3598" s="1391" t="s">
        <v>2473</v>
      </c>
      <c r="AE3598" s="1493"/>
      <c r="AF3598" s="1719" t="s">
        <v>2474</v>
      </c>
      <c r="AG3598" s="1719"/>
      <c r="AH3598" s="1719"/>
      <c r="AI3598" s="1719"/>
      <c r="AJ3598" s="1719"/>
      <c r="AK3598" s="1493"/>
      <c r="AL3598" s="1684"/>
      <c r="AM3598" s="1684"/>
      <c r="AN3598" s="1684"/>
      <c r="AO3598" s="1684"/>
      <c r="AP3598" s="1684"/>
      <c r="AQ3598" s="1684"/>
      <c r="AR3598" s="1684"/>
      <c r="AS3598" s="1684"/>
      <c r="AT3598" s="1684"/>
      <c r="AU3598" s="1684"/>
      <c r="AV3598" s="1684"/>
      <c r="AW3598" s="1684"/>
      <c r="AX3598" s="1684"/>
      <c r="AY3598" s="1684"/>
      <c r="AZ3598" s="1684"/>
      <c r="BA3598" s="1684"/>
      <c r="BB3598" s="1684"/>
      <c r="BC3598" s="1684"/>
      <c r="BD3598" s="1684"/>
      <c r="BE3598" s="1684"/>
      <c r="BF3598" s="1684"/>
      <c r="BG3598" s="1684"/>
      <c r="BH3598" s="1684"/>
      <c r="BI3598" s="1684"/>
      <c r="BJ3598" s="1684"/>
      <c r="BK3598" s="1684"/>
      <c r="BL3598" s="1684"/>
      <c r="BM3598" s="1684"/>
      <c r="BN3598" s="1684"/>
      <c r="BO3598" s="1684"/>
      <c r="BP3598" s="1684"/>
      <c r="BQ3598" s="1684"/>
      <c r="BR3598" s="1684"/>
      <c r="BS3598" s="1684"/>
      <c r="BT3598" s="1684"/>
      <c r="BU3598" s="1684"/>
      <c r="BV3598" s="1684"/>
      <c r="BW3598" s="1684"/>
      <c r="BX3598" s="1684"/>
      <c r="BY3598" s="1684"/>
      <c r="BZ3598" s="1684"/>
      <c r="CA3598" s="1684"/>
      <c r="CB3598" s="1684"/>
      <c r="CC3598" s="1684"/>
      <c r="CD3598" s="1684"/>
      <c r="CE3598" s="1684"/>
      <c r="CF3598" s="1684"/>
      <c r="CG3598" s="1684"/>
      <c r="CH3598" s="1684"/>
      <c r="CI3598" s="1684"/>
      <c r="CJ3598" s="1684"/>
      <c r="CK3598" s="1684"/>
      <c r="CL3598" s="1684"/>
      <c r="CM3598" s="1684"/>
      <c r="CN3598" s="1684"/>
      <c r="CO3598" s="1684"/>
    </row>
    <row r="3599" spans="1:93" s="1391" customFormat="1" ht="30.75" x14ac:dyDescent="0.25">
      <c r="A3599" s="1684"/>
      <c r="B3599" s="1716" t="s">
        <v>3372</v>
      </c>
      <c r="C3599" s="1716">
        <v>122</v>
      </c>
      <c r="D3599" s="1716">
        <v>87.2</v>
      </c>
      <c r="E3599" s="1716">
        <v>51</v>
      </c>
      <c r="F3599" s="1716">
        <v>36</v>
      </c>
      <c r="G3599" s="1716">
        <v>6</v>
      </c>
      <c r="H3599" s="1709"/>
      <c r="I3599" s="1493"/>
      <c r="J3599" s="4635" t="s">
        <v>2475</v>
      </c>
      <c r="K3599" s="4635"/>
      <c r="L3599" s="4635"/>
      <c r="M3599" s="4635"/>
      <c r="N3599" s="1493"/>
      <c r="O3599" s="1493"/>
      <c r="P3599" s="1646" t="s">
        <v>2476</v>
      </c>
      <c r="Q3599" s="1391">
        <v>128</v>
      </c>
      <c r="R3599" s="1391">
        <v>7</v>
      </c>
      <c r="S3599" s="892"/>
      <c r="T3599" s="1493"/>
      <c r="U3599" s="1493"/>
      <c r="V3599" s="1493"/>
      <c r="W3599" s="4635" t="s">
        <v>2477</v>
      </c>
      <c r="X3599" s="4635"/>
      <c r="Y3599" s="4636">
        <v>43.4</v>
      </c>
      <c r="Z3599" s="4637"/>
      <c r="AA3599" s="1391">
        <v>1</v>
      </c>
      <c r="AB3599" s="1391">
        <f>(323+585)/2</f>
        <v>454</v>
      </c>
      <c r="AC3599" s="1391">
        <f t="shared" ref="AC3599:AC3605" si="5">AB3599/1000</f>
        <v>0.45400000000000001</v>
      </c>
      <c r="AE3599" s="1493"/>
      <c r="AF3599" s="1720" t="s">
        <v>5333</v>
      </c>
      <c r="AG3599" s="1720"/>
      <c r="AH3599" s="1720"/>
      <c r="AI3599" s="1721"/>
      <c r="AJ3599" s="892"/>
      <c r="AK3599" s="1493"/>
      <c r="AL3599" s="1684"/>
      <c r="AM3599" s="1684"/>
      <c r="AN3599" s="1684"/>
      <c r="AO3599" s="1684"/>
      <c r="AP3599" s="1684"/>
      <c r="AQ3599" s="1684"/>
      <c r="AR3599" s="1684"/>
      <c r="AS3599" s="1684"/>
      <c r="AT3599" s="1684"/>
      <c r="AU3599" s="1684"/>
      <c r="AV3599" s="1684"/>
      <c r="AW3599" s="1684"/>
      <c r="AX3599" s="1684"/>
      <c r="AY3599" s="1684"/>
      <c r="AZ3599" s="1684"/>
      <c r="BA3599" s="1684"/>
      <c r="BB3599" s="1684"/>
      <c r="BC3599" s="1684"/>
      <c r="BD3599" s="1684"/>
      <c r="BE3599" s="1684"/>
      <c r="BF3599" s="1684"/>
      <c r="BG3599" s="1684"/>
      <c r="BH3599" s="1684"/>
      <c r="BI3599" s="1684"/>
      <c r="BJ3599" s="1684"/>
      <c r="BK3599" s="1684"/>
      <c r="BL3599" s="1684"/>
      <c r="BM3599" s="1684"/>
      <c r="BN3599" s="1684"/>
      <c r="BO3599" s="1684"/>
      <c r="BP3599" s="1684"/>
      <c r="BQ3599" s="1684"/>
      <c r="BR3599" s="1684"/>
      <c r="BS3599" s="1684"/>
      <c r="BT3599" s="1684"/>
      <c r="BU3599" s="1684"/>
      <c r="BV3599" s="1684"/>
      <c r="BW3599" s="1684"/>
      <c r="BX3599" s="1684"/>
      <c r="BY3599" s="1684"/>
      <c r="BZ3599" s="1684"/>
      <c r="CA3599" s="1684"/>
      <c r="CB3599" s="1684"/>
      <c r="CC3599" s="1684"/>
      <c r="CD3599" s="1684"/>
      <c r="CE3599" s="1684"/>
      <c r="CF3599" s="1684"/>
      <c r="CG3599" s="1684"/>
      <c r="CH3599" s="1684"/>
      <c r="CI3599" s="1684"/>
      <c r="CJ3599" s="1684"/>
      <c r="CK3599" s="1684"/>
      <c r="CL3599" s="1684"/>
      <c r="CM3599" s="1684"/>
      <c r="CN3599" s="1684"/>
      <c r="CO3599" s="1684"/>
    </row>
    <row r="3600" spans="1:93" s="1391" customFormat="1" ht="15.75" x14ac:dyDescent="0.25">
      <c r="A3600" s="1684"/>
      <c r="B3600" s="1716" t="s">
        <v>5428</v>
      </c>
      <c r="C3600" s="1716">
        <v>118</v>
      </c>
      <c r="D3600" s="1716">
        <v>81.900000000000006</v>
      </c>
      <c r="E3600" s="1716">
        <v>48.4</v>
      </c>
      <c r="F3600" s="1716">
        <v>34.299999999999997</v>
      </c>
      <c r="G3600" s="1716">
        <v>7</v>
      </c>
      <c r="H3600" s="1709"/>
      <c r="I3600" s="1493"/>
      <c r="J3600" s="1391" t="s">
        <v>5334</v>
      </c>
      <c r="L3600" s="1391" t="s">
        <v>4253</v>
      </c>
      <c r="N3600" s="1493"/>
      <c r="O3600" s="1493"/>
      <c r="P3600" s="1493"/>
      <c r="Q3600" s="1493"/>
      <c r="R3600" s="1493"/>
      <c r="S3600" s="1493"/>
      <c r="T3600" s="1493"/>
      <c r="U3600" s="1493"/>
      <c r="V3600" s="1493"/>
      <c r="W3600" s="4635">
        <v>1</v>
      </c>
      <c r="X3600" s="4635"/>
      <c r="Y3600" s="4636">
        <v>44.9</v>
      </c>
      <c r="Z3600" s="4637"/>
      <c r="AA3600" s="1391">
        <v>2</v>
      </c>
      <c r="AB3600" s="1391">
        <v>546.5</v>
      </c>
      <c r="AC3600" s="1391">
        <f t="shared" si="5"/>
        <v>0.54649999999999999</v>
      </c>
      <c r="AE3600" s="1493"/>
      <c r="AF3600" s="4638" t="s">
        <v>4254</v>
      </c>
      <c r="AG3600" s="4639"/>
      <c r="AH3600" s="1715" t="s">
        <v>4255</v>
      </c>
      <c r="AI3600" s="1715"/>
      <c r="AJ3600" s="1715" t="s">
        <v>2490</v>
      </c>
      <c r="AK3600" s="1493"/>
      <c r="AL3600" s="1684"/>
      <c r="AM3600" s="1684"/>
      <c r="AN3600" s="1684"/>
      <c r="AO3600" s="1684"/>
      <c r="AP3600" s="1684"/>
      <c r="AQ3600" s="1684"/>
      <c r="AR3600" s="1684"/>
      <c r="AS3600" s="1684"/>
      <c r="AT3600" s="1684"/>
      <c r="AU3600" s="1684"/>
      <c r="AV3600" s="1684"/>
      <c r="AW3600" s="1684"/>
      <c r="AX3600" s="1684"/>
      <c r="AY3600" s="1684"/>
      <c r="AZ3600" s="1684"/>
      <c r="BA3600" s="1684"/>
      <c r="BB3600" s="1684"/>
      <c r="BC3600" s="1684"/>
      <c r="BD3600" s="1684"/>
      <c r="BE3600" s="1684"/>
      <c r="BF3600" s="1684"/>
      <c r="BG3600" s="1684"/>
      <c r="BH3600" s="1684"/>
      <c r="BI3600" s="1684"/>
      <c r="BJ3600" s="1684"/>
      <c r="BK3600" s="1684"/>
      <c r="BL3600" s="1684"/>
      <c r="BM3600" s="1684"/>
      <c r="BN3600" s="1684"/>
      <c r="BO3600" s="1684"/>
      <c r="BP3600" s="1684"/>
      <c r="BQ3600" s="1684"/>
      <c r="BR3600" s="1684"/>
      <c r="BS3600" s="1684"/>
      <c r="BT3600" s="1684"/>
      <c r="BU3600" s="1684"/>
      <c r="BV3600" s="1684"/>
      <c r="BW3600" s="1684"/>
      <c r="BX3600" s="1684"/>
      <c r="BY3600" s="1684"/>
      <c r="BZ3600" s="1684"/>
      <c r="CA3600" s="1684"/>
      <c r="CB3600" s="1684"/>
      <c r="CC3600" s="1684"/>
      <c r="CD3600" s="1684"/>
      <c r="CE3600" s="1684"/>
      <c r="CF3600" s="1684"/>
      <c r="CG3600" s="1684"/>
      <c r="CH3600" s="1684"/>
      <c r="CI3600" s="1684"/>
      <c r="CJ3600" s="1684"/>
      <c r="CK3600" s="1684"/>
      <c r="CL3600" s="1684"/>
      <c r="CM3600" s="1684"/>
      <c r="CN3600" s="1684"/>
      <c r="CO3600" s="1684"/>
    </row>
    <row r="3601" spans="1:93" s="1391" customFormat="1" ht="15.75" x14ac:dyDescent="0.25">
      <c r="A3601" s="1684"/>
      <c r="B3601" s="1716" t="s">
        <v>4256</v>
      </c>
      <c r="C3601" s="1716">
        <v>113</v>
      </c>
      <c r="D3601" s="1716">
        <v>76.8</v>
      </c>
      <c r="E3601" s="1716">
        <v>45.8</v>
      </c>
      <c r="F3601" s="1716">
        <v>32.6</v>
      </c>
      <c r="G3601" s="1716">
        <v>8</v>
      </c>
      <c r="H3601" s="1709"/>
      <c r="I3601" s="1493"/>
      <c r="J3601" s="4634" t="s">
        <v>4257</v>
      </c>
      <c r="K3601" s="4634"/>
      <c r="L3601" s="4634" t="s">
        <v>4257</v>
      </c>
      <c r="M3601" s="4634"/>
      <c r="N3601" s="1493"/>
      <c r="O3601" s="1493"/>
      <c r="P3601" s="1493"/>
      <c r="Q3601" s="892"/>
      <c r="R3601" s="892"/>
      <c r="S3601" s="892"/>
      <c r="T3601" s="1710" t="s">
        <v>4062</v>
      </c>
      <c r="U3601" s="1710"/>
      <c r="V3601" s="1493"/>
      <c r="W3601" s="4635">
        <v>2</v>
      </c>
      <c r="X3601" s="4635"/>
      <c r="Y3601" s="4636">
        <v>36.299999999999997</v>
      </c>
      <c r="Z3601" s="4637"/>
      <c r="AA3601" s="1391">
        <v>3</v>
      </c>
      <c r="AB3601" s="1391">
        <v>660</v>
      </c>
      <c r="AC3601" s="1391">
        <f t="shared" si="5"/>
        <v>0.66</v>
      </c>
      <c r="AE3601" s="1493"/>
      <c r="AF3601" s="4640"/>
      <c r="AG3601" s="4641"/>
      <c r="AH3601" s="1715" t="s">
        <v>4063</v>
      </c>
      <c r="AI3601" s="1715" t="s">
        <v>4064</v>
      </c>
      <c r="AJ3601" s="1715"/>
      <c r="AK3601" s="1493"/>
      <c r="AL3601" s="1684"/>
      <c r="AM3601" s="1684"/>
      <c r="AN3601" s="1684"/>
      <c r="AO3601" s="1684"/>
      <c r="AP3601" s="1684"/>
      <c r="AQ3601" s="1684"/>
      <c r="AR3601" s="1684"/>
      <c r="AS3601" s="1684"/>
      <c r="AT3601" s="1684"/>
      <c r="AU3601" s="1684"/>
      <c r="AV3601" s="1684"/>
      <c r="AW3601" s="1684"/>
      <c r="AX3601" s="1684"/>
      <c r="AY3601" s="1684"/>
      <c r="AZ3601" s="1684"/>
      <c r="BA3601" s="1684"/>
      <c r="BB3601" s="1684"/>
      <c r="BC3601" s="1684"/>
      <c r="BD3601" s="1684"/>
      <c r="BE3601" s="1684"/>
      <c r="BF3601" s="1684"/>
      <c r="BG3601" s="1684"/>
      <c r="BH3601" s="1684"/>
      <c r="BI3601" s="1684"/>
      <c r="BJ3601" s="1684"/>
      <c r="BK3601" s="1684"/>
      <c r="BL3601" s="1684"/>
      <c r="BM3601" s="1684"/>
      <c r="BN3601" s="1684"/>
      <c r="BO3601" s="1684"/>
      <c r="BP3601" s="1684"/>
      <c r="BQ3601" s="1684"/>
      <c r="BR3601" s="1684"/>
      <c r="BS3601" s="1684"/>
      <c r="BT3601" s="1684"/>
      <c r="BU3601" s="1684"/>
      <c r="BV3601" s="1684"/>
      <c r="BW3601" s="1684"/>
      <c r="BX3601" s="1684"/>
      <c r="BY3601" s="1684"/>
      <c r="BZ3601" s="1684"/>
      <c r="CA3601" s="1684"/>
      <c r="CB3601" s="1684"/>
      <c r="CC3601" s="1684"/>
      <c r="CD3601" s="1684"/>
      <c r="CE3601" s="1684"/>
      <c r="CF3601" s="1684"/>
      <c r="CG3601" s="1684"/>
      <c r="CH3601" s="1684"/>
      <c r="CI3601" s="1684"/>
      <c r="CJ3601" s="1684"/>
      <c r="CK3601" s="1684"/>
      <c r="CL3601" s="1684"/>
      <c r="CM3601" s="1684"/>
      <c r="CN3601" s="1684"/>
      <c r="CO3601" s="1684"/>
    </row>
    <row r="3602" spans="1:93" s="1391" customFormat="1" ht="15.75" x14ac:dyDescent="0.25">
      <c r="A3602" s="1684"/>
      <c r="B3602" s="1716" t="s">
        <v>5228</v>
      </c>
      <c r="C3602" s="1716">
        <v>109</v>
      </c>
      <c r="D3602" s="1716">
        <v>72.099999999999994</v>
      </c>
      <c r="E3602" s="1716">
        <v>43.4</v>
      </c>
      <c r="F3602" s="1716">
        <v>31</v>
      </c>
      <c r="G3602" s="1716">
        <v>9</v>
      </c>
      <c r="H3602" s="1709"/>
      <c r="I3602" s="1493"/>
      <c r="J3602" s="1715" t="s">
        <v>5126</v>
      </c>
      <c r="K3602" s="1715" t="s">
        <v>4065</v>
      </c>
      <c r="L3602" s="1715" t="s">
        <v>5126</v>
      </c>
      <c r="M3602" s="1715" t="s">
        <v>4065</v>
      </c>
      <c r="N3602" s="1493"/>
      <c r="O3602" s="1493"/>
      <c r="P3602" s="1493"/>
      <c r="Q3602" s="4643" t="s">
        <v>4066</v>
      </c>
      <c r="R3602" s="4644"/>
      <c r="S3602" s="4644"/>
      <c r="T3602" s="4644"/>
      <c r="U3602" s="4645"/>
      <c r="V3602" s="1493"/>
      <c r="W3602" s="4635">
        <v>3</v>
      </c>
      <c r="X3602" s="4635"/>
      <c r="Y3602" s="4636">
        <v>31.1</v>
      </c>
      <c r="Z3602" s="4637"/>
      <c r="AA3602" s="1391">
        <v>4</v>
      </c>
      <c r="AB3602" s="1391">
        <v>805</v>
      </c>
      <c r="AC3602" s="1391">
        <f t="shared" si="5"/>
        <v>0.80500000000000005</v>
      </c>
      <c r="AE3602" s="1493"/>
      <c r="AF3602" s="4636" t="s">
        <v>4067</v>
      </c>
      <c r="AG3602" s="4637"/>
      <c r="AH3602" s="1391">
        <v>110</v>
      </c>
      <c r="AI3602" s="1391">
        <v>90</v>
      </c>
      <c r="AJ3602" s="1391">
        <v>1</v>
      </c>
      <c r="AK3602" s="1493"/>
      <c r="AL3602" s="1684"/>
      <c r="AM3602" s="1684"/>
      <c r="AN3602" s="1684"/>
      <c r="AO3602" s="1684"/>
      <c r="AP3602" s="1684"/>
      <c r="AQ3602" s="1684"/>
      <c r="AR3602" s="1684"/>
      <c r="AS3602" s="1684"/>
      <c r="AT3602" s="1684"/>
      <c r="AU3602" s="1684"/>
      <c r="AV3602" s="1684"/>
      <c r="AW3602" s="1684"/>
      <c r="AX3602" s="1684"/>
      <c r="AY3602" s="1684"/>
      <c r="AZ3602" s="1684"/>
      <c r="BA3602" s="1684"/>
      <c r="BB3602" s="1684"/>
      <c r="BC3602" s="1684"/>
      <c r="BD3602" s="1684"/>
      <c r="BE3602" s="1684"/>
      <c r="BF3602" s="1684"/>
      <c r="BG3602" s="1684"/>
      <c r="BH3602" s="1684"/>
      <c r="BI3602" s="1684"/>
      <c r="BJ3602" s="1684"/>
      <c r="BK3602" s="1684"/>
      <c r="BL3602" s="1684"/>
      <c r="BM3602" s="1684"/>
      <c r="BN3602" s="1684"/>
      <c r="BO3602" s="1684"/>
      <c r="BP3602" s="1684"/>
      <c r="BQ3602" s="1684"/>
      <c r="BR3602" s="1684"/>
      <c r="BS3602" s="1684"/>
      <c r="BT3602" s="1684"/>
      <c r="BU3602" s="1684"/>
      <c r="BV3602" s="1684"/>
      <c r="BW3602" s="1684"/>
      <c r="BX3602" s="1684"/>
      <c r="BY3602" s="1684"/>
      <c r="BZ3602" s="1684"/>
      <c r="CA3602" s="1684"/>
      <c r="CB3602" s="1684"/>
      <c r="CC3602" s="1684"/>
      <c r="CD3602" s="1684"/>
      <c r="CE3602" s="1684"/>
      <c r="CF3602" s="1684"/>
      <c r="CG3602" s="1684"/>
      <c r="CH3602" s="1684"/>
      <c r="CI3602" s="1684"/>
      <c r="CJ3602" s="1684"/>
      <c r="CK3602" s="1684"/>
      <c r="CL3602" s="1684"/>
      <c r="CM3602" s="1684"/>
      <c r="CN3602" s="1684"/>
      <c r="CO3602" s="1684"/>
    </row>
    <row r="3603" spans="1:93" s="1391" customFormat="1" ht="15.75" x14ac:dyDescent="0.25">
      <c r="A3603" s="1684"/>
      <c r="B3603" s="1716" t="s">
        <v>5233</v>
      </c>
      <c r="C3603" s="1716">
        <v>104</v>
      </c>
      <c r="D3603" s="1716">
        <v>67.599999999999994</v>
      </c>
      <c r="E3603" s="1716">
        <v>41</v>
      </c>
      <c r="F3603" s="1716">
        <v>29.5</v>
      </c>
      <c r="G3603" s="1716">
        <v>10</v>
      </c>
      <c r="H3603" s="1709"/>
      <c r="I3603" s="1493"/>
      <c r="J3603" s="1391">
        <v>444</v>
      </c>
      <c r="K3603" s="1391">
        <v>452</v>
      </c>
      <c r="L3603" s="1391">
        <v>317</v>
      </c>
      <c r="M3603" s="1391">
        <v>353</v>
      </c>
      <c r="N3603" s="1493"/>
      <c r="O3603" s="1493"/>
      <c r="P3603" s="1493"/>
      <c r="Q3603" s="4642" t="s">
        <v>5602</v>
      </c>
      <c r="R3603" s="4642"/>
      <c r="S3603" s="4642" t="s">
        <v>4068</v>
      </c>
      <c r="T3603" s="4642"/>
      <c r="U3603" s="1722" t="s">
        <v>2490</v>
      </c>
      <c r="V3603" s="1493"/>
      <c r="W3603" s="4635">
        <v>4</v>
      </c>
      <c r="X3603" s="4635"/>
      <c r="Y3603" s="4636">
        <v>24.9</v>
      </c>
      <c r="Z3603" s="4637"/>
      <c r="AA3603" s="1391">
        <v>5</v>
      </c>
      <c r="AB3603" s="1391">
        <v>1007.5</v>
      </c>
      <c r="AC3603" s="1391">
        <f t="shared" si="5"/>
        <v>1.0075000000000001</v>
      </c>
      <c r="AE3603" s="1493"/>
      <c r="AF3603" s="4636" t="s">
        <v>4069</v>
      </c>
      <c r="AG3603" s="4637"/>
      <c r="AH3603" s="1391">
        <v>104</v>
      </c>
      <c r="AI3603" s="1391">
        <v>85</v>
      </c>
      <c r="AJ3603" s="1391">
        <v>2</v>
      </c>
      <c r="AK3603" s="1493"/>
      <c r="AL3603" s="1684"/>
      <c r="AM3603" s="1684"/>
      <c r="AN3603" s="1684"/>
      <c r="AO3603" s="1684"/>
      <c r="AP3603" s="1684"/>
      <c r="AQ3603" s="1684"/>
      <c r="AR3603" s="1684"/>
      <c r="AS3603" s="1684"/>
      <c r="AT3603" s="1684"/>
      <c r="AU3603" s="1684"/>
      <c r="AV3603" s="1684"/>
      <c r="AW3603" s="1684"/>
      <c r="AX3603" s="1684"/>
      <c r="AY3603" s="1684"/>
      <c r="AZ3603" s="1684"/>
      <c r="BA3603" s="1684"/>
      <c r="BB3603" s="1684"/>
      <c r="BC3603" s="1684"/>
      <c r="BD3603" s="1684"/>
      <c r="BE3603" s="1684"/>
      <c r="BF3603" s="1684"/>
      <c r="BG3603" s="1684"/>
      <c r="BH3603" s="1684"/>
      <c r="BI3603" s="1684"/>
      <c r="BJ3603" s="1684"/>
      <c r="BK3603" s="1684"/>
      <c r="BL3603" s="1684"/>
      <c r="BM3603" s="1684"/>
      <c r="BN3603" s="1684"/>
      <c r="BO3603" s="1684"/>
      <c r="BP3603" s="1684"/>
      <c r="BQ3603" s="1684"/>
      <c r="BR3603" s="1684"/>
      <c r="BS3603" s="1684"/>
      <c r="BT3603" s="1684"/>
      <c r="BU3603" s="1684"/>
      <c r="BV3603" s="1684"/>
      <c r="BW3603" s="1684"/>
      <c r="BX3603" s="1684"/>
      <c r="BY3603" s="1684"/>
      <c r="BZ3603" s="1684"/>
      <c r="CA3603" s="1684"/>
      <c r="CB3603" s="1684"/>
      <c r="CC3603" s="1684"/>
      <c r="CD3603" s="1684"/>
      <c r="CE3603" s="1684"/>
      <c r="CF3603" s="1684"/>
      <c r="CG3603" s="1684"/>
      <c r="CH3603" s="1684"/>
      <c r="CI3603" s="1684"/>
      <c r="CJ3603" s="1684"/>
      <c r="CK3603" s="1684"/>
      <c r="CL3603" s="1684"/>
      <c r="CM3603" s="1684"/>
      <c r="CN3603" s="1684"/>
      <c r="CO3603" s="1684"/>
    </row>
    <row r="3604" spans="1:93" s="1391" customFormat="1" ht="30.75" x14ac:dyDescent="0.25">
      <c r="A3604" s="1684"/>
      <c r="B3604" s="1711" t="s">
        <v>4070</v>
      </c>
      <c r="C3604" s="1716">
        <v>99.5</v>
      </c>
      <c r="D3604" s="1716">
        <v>62.8</v>
      </c>
      <c r="E3604" s="1716">
        <v>38.5</v>
      </c>
      <c r="F3604" s="1716">
        <v>27.8</v>
      </c>
      <c r="G3604" s="1716">
        <v>11</v>
      </c>
      <c r="H3604" s="1709"/>
      <c r="I3604" s="1493"/>
      <c r="J3604" s="1391">
        <v>444</v>
      </c>
      <c r="K3604" s="1391">
        <v>452</v>
      </c>
      <c r="L3604" s="1391">
        <v>291</v>
      </c>
      <c r="M3604" s="1391">
        <v>253</v>
      </c>
      <c r="N3604" s="1493"/>
      <c r="O3604" s="1493"/>
      <c r="P3604" s="1493"/>
      <c r="Q3604" s="4646"/>
      <c r="R3604" s="4646"/>
      <c r="S3604" s="1715" t="s">
        <v>1084</v>
      </c>
      <c r="T3604" s="1715" t="s">
        <v>4071</v>
      </c>
      <c r="U3604" s="1715"/>
      <c r="V3604" s="1493"/>
      <c r="W3604" s="4635">
        <v>5</v>
      </c>
      <c r="X3604" s="4635"/>
      <c r="Y3604" s="4636">
        <v>20.6</v>
      </c>
      <c r="Z3604" s="4637"/>
      <c r="AA3604" s="1391">
        <v>6</v>
      </c>
      <c r="AB3604" s="1391">
        <v>1212.5</v>
      </c>
      <c r="AC3604" s="1391">
        <f t="shared" si="5"/>
        <v>1.2124999999999999</v>
      </c>
      <c r="AE3604" s="1493"/>
      <c r="AF3604" s="4636" t="s">
        <v>4072</v>
      </c>
      <c r="AG3604" s="4637"/>
      <c r="AH3604" s="1391">
        <v>99</v>
      </c>
      <c r="AI3604" s="1391">
        <v>82</v>
      </c>
      <c r="AJ3604" s="1391">
        <v>3</v>
      </c>
      <c r="AK3604" s="1493"/>
      <c r="AL3604" s="1684"/>
      <c r="AM3604" s="1684"/>
      <c r="AN3604" s="1684"/>
      <c r="AO3604" s="1684"/>
      <c r="AP3604" s="1684"/>
      <c r="AQ3604" s="1684"/>
      <c r="AR3604" s="1684"/>
      <c r="AS3604" s="1684"/>
      <c r="AT3604" s="1684"/>
      <c r="AU3604" s="1684"/>
      <c r="AV3604" s="1684"/>
      <c r="AW3604" s="1684"/>
      <c r="AX3604" s="1684"/>
      <c r="AY3604" s="1684"/>
      <c r="AZ3604" s="1684"/>
      <c r="BA3604" s="1684"/>
      <c r="BB3604" s="1684"/>
      <c r="BC3604" s="1684"/>
      <c r="BD3604" s="1684"/>
      <c r="BE3604" s="1684"/>
      <c r="BF3604" s="1684"/>
      <c r="BG3604" s="1684"/>
      <c r="BH3604" s="1684"/>
      <c r="BI3604" s="1684"/>
      <c r="BJ3604" s="1684"/>
      <c r="BK3604" s="1684"/>
      <c r="BL3604" s="1684"/>
      <c r="BM3604" s="1684"/>
      <c r="BN3604" s="1684"/>
      <c r="BO3604" s="1684"/>
      <c r="BP3604" s="1684"/>
      <c r="BQ3604" s="1684"/>
      <c r="BR3604" s="1684"/>
      <c r="BS3604" s="1684"/>
      <c r="BT3604" s="1684"/>
      <c r="BU3604" s="1684"/>
      <c r="BV3604" s="1684"/>
      <c r="BW3604" s="1684"/>
      <c r="BX3604" s="1684"/>
      <c r="BY3604" s="1684"/>
      <c r="BZ3604" s="1684"/>
      <c r="CA3604" s="1684"/>
      <c r="CB3604" s="1684"/>
      <c r="CC3604" s="1684"/>
      <c r="CD3604" s="1684"/>
      <c r="CE3604" s="1684"/>
      <c r="CF3604" s="1684"/>
      <c r="CG3604" s="1684"/>
      <c r="CH3604" s="1684"/>
      <c r="CI3604" s="1684"/>
      <c r="CJ3604" s="1684"/>
      <c r="CK3604" s="1684"/>
      <c r="CL3604" s="1684"/>
      <c r="CM3604" s="1684"/>
      <c r="CN3604" s="1684"/>
      <c r="CO3604" s="1684"/>
    </row>
    <row r="3605" spans="1:93" s="1391" customFormat="1" ht="15.75" x14ac:dyDescent="0.25">
      <c r="A3605" s="1684"/>
      <c r="B3605" s="1493"/>
      <c r="C3605" s="1493"/>
      <c r="D3605" s="1493"/>
      <c r="E3605" s="1493"/>
      <c r="F3605" s="1493"/>
      <c r="G3605" s="1493"/>
      <c r="H3605" s="1709"/>
      <c r="I3605" s="1493"/>
      <c r="J3605" s="1391">
        <v>369</v>
      </c>
      <c r="K3605" s="1391">
        <v>376</v>
      </c>
      <c r="L3605" s="1391">
        <v>247</v>
      </c>
      <c r="M3605" s="1391">
        <v>258</v>
      </c>
      <c r="N3605" s="1493"/>
      <c r="O3605" s="1493"/>
      <c r="P3605" s="1493"/>
      <c r="Q3605" s="4647" t="s">
        <v>4067</v>
      </c>
      <c r="R3605" s="4647"/>
      <c r="T3605" s="1391">
        <v>57.8</v>
      </c>
      <c r="U3605" s="1391">
        <v>1</v>
      </c>
      <c r="V3605" s="1493"/>
      <c r="W3605" s="4635">
        <v>6</v>
      </c>
      <c r="X3605" s="4635"/>
      <c r="Y3605" s="4636">
        <v>17.5</v>
      </c>
      <c r="Z3605" s="4637"/>
      <c r="AA3605" s="1391">
        <v>7</v>
      </c>
      <c r="AB3605" s="1391">
        <v>1517.5</v>
      </c>
      <c r="AC3605" s="1391">
        <f t="shared" si="5"/>
        <v>1.5175000000000001</v>
      </c>
      <c r="AE3605" s="1493"/>
      <c r="AF3605" s="4636" t="s">
        <v>4073</v>
      </c>
      <c r="AG3605" s="4637"/>
      <c r="AH3605" s="1391">
        <v>93</v>
      </c>
      <c r="AI3605" s="1391">
        <v>77</v>
      </c>
      <c r="AJ3605" s="1391">
        <v>4</v>
      </c>
      <c r="AK3605" s="1493"/>
      <c r="AL3605" s="1684"/>
      <c r="AM3605" s="1684"/>
      <c r="AN3605" s="1684"/>
      <c r="AO3605" s="1684"/>
      <c r="AP3605" s="1684"/>
      <c r="AQ3605" s="1684"/>
      <c r="AR3605" s="1684"/>
      <c r="AS3605" s="1684"/>
      <c r="AT3605" s="1684"/>
      <c r="AU3605" s="1684"/>
      <c r="AV3605" s="1684"/>
      <c r="AW3605" s="1684"/>
      <c r="AX3605" s="1684"/>
      <c r="AY3605" s="1684"/>
      <c r="AZ3605" s="1684"/>
      <c r="BA3605" s="1684"/>
      <c r="BB3605" s="1684"/>
      <c r="BC3605" s="1684"/>
      <c r="BD3605" s="1684"/>
      <c r="BE3605" s="1684"/>
      <c r="BF3605" s="1684"/>
      <c r="BG3605" s="1684"/>
      <c r="BH3605" s="1684"/>
      <c r="BI3605" s="1684"/>
      <c r="BJ3605" s="1684"/>
      <c r="BK3605" s="1684"/>
      <c r="BL3605" s="1684"/>
      <c r="BM3605" s="1684"/>
      <c r="BN3605" s="1684"/>
      <c r="BO3605" s="1684"/>
      <c r="BP3605" s="1684"/>
      <c r="BQ3605" s="1684"/>
      <c r="BR3605" s="1684"/>
      <c r="BS3605" s="1684"/>
      <c r="BT3605" s="1684"/>
      <c r="BU3605" s="1684"/>
      <c r="BV3605" s="1684"/>
      <c r="BW3605" s="1684"/>
      <c r="BX3605" s="1684"/>
      <c r="BY3605" s="1684"/>
      <c r="BZ3605" s="1684"/>
      <c r="CA3605" s="1684"/>
      <c r="CB3605" s="1684"/>
      <c r="CC3605" s="1684"/>
      <c r="CD3605" s="1684"/>
      <c r="CE3605" s="1684"/>
      <c r="CF3605" s="1684"/>
      <c r="CG3605" s="1684"/>
      <c r="CH3605" s="1684"/>
      <c r="CI3605" s="1684"/>
      <c r="CJ3605" s="1684"/>
      <c r="CK3605" s="1684"/>
      <c r="CL3605" s="1684"/>
      <c r="CM3605" s="1684"/>
      <c r="CN3605" s="1684"/>
      <c r="CO3605" s="1684"/>
    </row>
    <row r="3606" spans="1:93" s="1391" customFormat="1" ht="15.75" x14ac:dyDescent="0.25">
      <c r="A3606" s="1684"/>
      <c r="B3606" s="1493"/>
      <c r="C3606" s="1493"/>
      <c r="D3606" s="1493"/>
      <c r="E3606" s="1493"/>
      <c r="F3606" s="1493"/>
      <c r="G3606" s="1493"/>
      <c r="H3606" s="1709"/>
      <c r="I3606" s="1493"/>
      <c r="J3606" s="1493"/>
      <c r="K3606" s="1493"/>
      <c r="L3606" s="1493"/>
      <c r="M3606" s="1493"/>
      <c r="N3606" s="1493"/>
      <c r="O3606" s="1493"/>
      <c r="P3606" s="1493"/>
      <c r="Q3606" s="4647" t="s">
        <v>4074</v>
      </c>
      <c r="R3606" s="4647"/>
      <c r="S3606" s="1391">
        <v>71.2</v>
      </c>
      <c r="T3606" s="1391">
        <v>61.8</v>
      </c>
      <c r="U3606" s="1391">
        <v>2</v>
      </c>
      <c r="V3606" s="1493"/>
      <c r="W3606" s="892"/>
      <c r="X3606" s="892"/>
      <c r="Y3606" s="892"/>
      <c r="Z3606" s="892"/>
      <c r="AA3606" s="892"/>
      <c r="AB3606" s="892" t="s">
        <v>4075</v>
      </c>
      <c r="AC3606" s="892" t="s">
        <v>4076</v>
      </c>
      <c r="AD3606" s="892"/>
      <c r="AE3606" s="1493"/>
      <c r="AF3606" s="4636" t="s">
        <v>4077</v>
      </c>
      <c r="AG3606" s="4637"/>
      <c r="AH3606" s="1391">
        <v>89</v>
      </c>
      <c r="AI3606" s="1391">
        <v>74</v>
      </c>
      <c r="AJ3606" s="1391">
        <v>5</v>
      </c>
      <c r="AK3606" s="1493"/>
      <c r="AL3606" s="1684"/>
      <c r="AM3606" s="1684"/>
      <c r="AN3606" s="1684"/>
      <c r="AO3606" s="1684"/>
      <c r="AP3606" s="1684"/>
      <c r="AQ3606" s="1684"/>
      <c r="AR3606" s="1684"/>
      <c r="AS3606" s="1684"/>
      <c r="AT3606" s="1684"/>
      <c r="AU3606" s="1684"/>
      <c r="AV3606" s="1684"/>
      <c r="AW3606" s="1684"/>
      <c r="AX3606" s="1684"/>
      <c r="AY3606" s="1684"/>
      <c r="AZ3606" s="1684"/>
      <c r="BA3606" s="1684"/>
      <c r="BB3606" s="1684"/>
      <c r="BC3606" s="1684"/>
      <c r="BD3606" s="1684"/>
      <c r="BE3606" s="1684"/>
      <c r="BF3606" s="1684"/>
      <c r="BG3606" s="1684"/>
      <c r="BH3606" s="1684"/>
      <c r="BI3606" s="1684"/>
      <c r="BJ3606" s="1684"/>
      <c r="BK3606" s="1684"/>
      <c r="BL3606" s="1684"/>
      <c r="BM3606" s="1684"/>
      <c r="BN3606" s="1684"/>
      <c r="BO3606" s="1684"/>
      <c r="BP3606" s="1684"/>
      <c r="BQ3606" s="1684"/>
      <c r="BR3606" s="1684"/>
      <c r="BS3606" s="1684"/>
      <c r="BT3606" s="1684"/>
      <c r="BU3606" s="1684"/>
      <c r="BV3606" s="1684"/>
      <c r="BW3606" s="1684"/>
      <c r="BX3606" s="1684"/>
      <c r="BY3606" s="1684"/>
      <c r="BZ3606" s="1684"/>
      <c r="CA3606" s="1684"/>
      <c r="CB3606" s="1684"/>
      <c r="CC3606" s="1684"/>
      <c r="CD3606" s="1684"/>
      <c r="CE3606" s="1684"/>
      <c r="CF3606" s="1684"/>
      <c r="CG3606" s="1684"/>
      <c r="CH3606" s="1684"/>
      <c r="CI3606" s="1684"/>
      <c r="CJ3606" s="1684"/>
      <c r="CK3606" s="1684"/>
      <c r="CL3606" s="1684"/>
      <c r="CM3606" s="1684"/>
      <c r="CN3606" s="1684"/>
      <c r="CO3606" s="1684"/>
    </row>
    <row r="3607" spans="1:93" s="1391" customFormat="1" ht="15.75" x14ac:dyDescent="0.25">
      <c r="A3607" s="1684"/>
      <c r="B3607" s="1709"/>
      <c r="C3607" s="1709"/>
      <c r="D3607" s="1709"/>
      <c r="E3607" s="1709"/>
      <c r="F3607" s="1709"/>
      <c r="G3607" s="1709"/>
      <c r="H3607" s="1709"/>
      <c r="I3607" s="1493"/>
      <c r="J3607" s="1493"/>
      <c r="K3607" s="1493"/>
      <c r="L3607" s="1493"/>
      <c r="M3607" s="1493"/>
      <c r="N3607" s="1493"/>
      <c r="O3607" s="1493"/>
      <c r="P3607" s="1493"/>
      <c r="Q3607" s="4647" t="s">
        <v>4078</v>
      </c>
      <c r="R3607" s="4647"/>
      <c r="S3607" s="1391">
        <v>81.3</v>
      </c>
      <c r="T3607" s="1391">
        <v>67.8</v>
      </c>
      <c r="U3607" s="1391">
        <v>3</v>
      </c>
      <c r="V3607" s="1493"/>
      <c r="W3607" s="892"/>
      <c r="X3607" s="892"/>
      <c r="Y3607" s="892"/>
      <c r="Z3607" s="892"/>
      <c r="AA3607" s="892"/>
      <c r="AB3607" s="892"/>
      <c r="AC3607" s="892"/>
      <c r="AD3607" s="892"/>
      <c r="AE3607" s="1493"/>
      <c r="AF3607" s="4636" t="s">
        <v>4079</v>
      </c>
      <c r="AG3607" s="4637"/>
      <c r="AH3607" s="1391">
        <v>85</v>
      </c>
      <c r="AI3607" s="1391">
        <v>69</v>
      </c>
      <c r="AJ3607" s="1391">
        <v>6</v>
      </c>
      <c r="AK3607" s="1493"/>
      <c r="AL3607" s="1684"/>
      <c r="AM3607" s="1684"/>
      <c r="AN3607" s="1684"/>
      <c r="AO3607" s="1684"/>
      <c r="AP3607" s="1684"/>
      <c r="AQ3607" s="1684"/>
      <c r="AR3607" s="1684"/>
      <c r="AS3607" s="1684"/>
      <c r="AT3607" s="1684"/>
      <c r="AU3607" s="1684"/>
      <c r="AV3607" s="1684"/>
      <c r="AW3607" s="1684"/>
      <c r="AX3607" s="1684"/>
      <c r="AY3607" s="1684"/>
      <c r="AZ3607" s="1684"/>
      <c r="BA3607" s="1684"/>
      <c r="BB3607" s="1684"/>
      <c r="BC3607" s="1684"/>
      <c r="BD3607" s="1684"/>
      <c r="BE3607" s="1684"/>
      <c r="BF3607" s="1684"/>
      <c r="BG3607" s="1684"/>
      <c r="BH3607" s="1684"/>
      <c r="BI3607" s="1684"/>
      <c r="BJ3607" s="1684"/>
      <c r="BK3607" s="1684"/>
      <c r="BL3607" s="1684"/>
      <c r="BM3607" s="1684"/>
      <c r="BN3607" s="1684"/>
      <c r="BO3607" s="1684"/>
      <c r="BP3607" s="1684"/>
      <c r="BQ3607" s="1684"/>
      <c r="BR3607" s="1684"/>
      <c r="BS3607" s="1684"/>
      <c r="BT3607" s="1684"/>
      <c r="BU3607" s="1684"/>
      <c r="BV3607" s="1684"/>
      <c r="BW3607" s="1684"/>
      <c r="BX3607" s="1684"/>
      <c r="BY3607" s="1684"/>
      <c r="BZ3607" s="1684"/>
      <c r="CA3607" s="1684"/>
      <c r="CB3607" s="1684"/>
      <c r="CC3607" s="1684"/>
      <c r="CD3607" s="1684"/>
      <c r="CE3607" s="1684"/>
      <c r="CF3607" s="1684"/>
      <c r="CG3607" s="1684"/>
      <c r="CH3607" s="1684"/>
      <c r="CI3607" s="1684"/>
      <c r="CJ3607" s="1684"/>
      <c r="CK3607" s="1684"/>
      <c r="CL3607" s="1684"/>
      <c r="CM3607" s="1684"/>
      <c r="CN3607" s="1684"/>
      <c r="CO3607" s="1684"/>
    </row>
    <row r="3608" spans="1:93" s="1391" customFormat="1" ht="15.75" x14ac:dyDescent="0.25">
      <c r="A3608" s="1684"/>
      <c r="B3608" s="1493"/>
      <c r="C3608" s="1493"/>
      <c r="D3608" s="1493"/>
      <c r="E3608" s="1493"/>
      <c r="F3608" s="1493"/>
      <c r="G3608" s="1493"/>
      <c r="H3608" s="1493"/>
      <c r="I3608" s="1493"/>
      <c r="J3608" s="1493"/>
      <c r="K3608" s="1493"/>
      <c r="L3608" s="1493"/>
      <c r="M3608" s="1493"/>
      <c r="N3608" s="1493"/>
      <c r="O3608" s="1493"/>
      <c r="P3608" s="1493"/>
      <c r="Q3608" s="4647" t="s">
        <v>4080</v>
      </c>
      <c r="R3608" s="4647"/>
      <c r="S3608" s="1391">
        <v>89.7</v>
      </c>
      <c r="T3608" s="1391">
        <v>83.2</v>
      </c>
      <c r="U3608" s="1391">
        <v>4</v>
      </c>
      <c r="V3608" s="1493"/>
      <c r="W3608" s="892"/>
      <c r="X3608" s="4648" t="s">
        <v>4081</v>
      </c>
      <c r="Y3608" s="4648"/>
      <c r="Z3608" s="4648"/>
      <c r="AA3608" s="4648"/>
      <c r="AB3608" s="4648"/>
      <c r="AC3608" s="4648"/>
      <c r="AD3608" s="4648"/>
      <c r="AE3608" s="1493"/>
      <c r="AF3608" s="4636" t="s">
        <v>4082</v>
      </c>
      <c r="AG3608" s="4637"/>
      <c r="AH3608" s="1391">
        <v>78</v>
      </c>
      <c r="AI3608" s="1391">
        <v>62</v>
      </c>
      <c r="AJ3608" s="1391">
        <v>7</v>
      </c>
      <c r="AK3608" s="1493"/>
      <c r="AL3608" s="1684"/>
      <c r="AM3608" s="1684"/>
      <c r="AN3608" s="1684"/>
      <c r="AO3608" s="1684"/>
      <c r="AP3608" s="1684"/>
      <c r="AQ3608" s="1684"/>
      <c r="AR3608" s="1684"/>
      <c r="AS3608" s="1684"/>
      <c r="AT3608" s="1684"/>
      <c r="AU3608" s="1684"/>
      <c r="AV3608" s="1684"/>
      <c r="AW3608" s="1684"/>
      <c r="AX3608" s="1684"/>
      <c r="AY3608" s="1684"/>
      <c r="AZ3608" s="1684"/>
      <c r="BA3608" s="1684"/>
      <c r="BB3608" s="1684"/>
      <c r="BC3608" s="1684"/>
      <c r="BD3608" s="1684"/>
      <c r="BE3608" s="1684"/>
      <c r="BF3608" s="1684"/>
      <c r="BG3608" s="1684"/>
      <c r="BH3608" s="1684"/>
      <c r="BI3608" s="1684"/>
      <c r="BJ3608" s="1684"/>
      <c r="BK3608" s="1684"/>
      <c r="BL3608" s="1684"/>
      <c r="BM3608" s="1684"/>
      <c r="BN3608" s="1684"/>
      <c r="BO3608" s="1684"/>
      <c r="BP3608" s="1684"/>
      <c r="BQ3608" s="1684"/>
      <c r="BR3608" s="1684"/>
      <c r="BS3608" s="1684"/>
      <c r="BT3608" s="1684"/>
      <c r="BU3608" s="1684"/>
      <c r="BV3608" s="1684"/>
      <c r="BW3608" s="1684"/>
      <c r="BX3608" s="1684"/>
      <c r="BY3608" s="1684"/>
      <c r="BZ3608" s="1684"/>
      <c r="CA3608" s="1684"/>
      <c r="CB3608" s="1684"/>
      <c r="CC3608" s="1684"/>
      <c r="CD3608" s="1684"/>
      <c r="CE3608" s="1684"/>
      <c r="CF3608" s="1684"/>
      <c r="CG3608" s="1684"/>
      <c r="CH3608" s="1684"/>
      <c r="CI3608" s="1684"/>
      <c r="CJ3608" s="1684"/>
      <c r="CK3608" s="1684"/>
      <c r="CL3608" s="1684"/>
      <c r="CM3608" s="1684"/>
      <c r="CN3608" s="1684"/>
      <c r="CO3608" s="1684"/>
    </row>
    <row r="3609" spans="1:93" s="1391" customFormat="1" ht="15.75" x14ac:dyDescent="0.25">
      <c r="A3609" s="1684"/>
      <c r="B3609" s="1723" t="s">
        <v>4083</v>
      </c>
      <c r="C3609" s="1724"/>
      <c r="D3609" s="1493"/>
      <c r="E3609" s="4650" t="s">
        <v>4084</v>
      </c>
      <c r="F3609" s="4650"/>
      <c r="G3609" s="1493"/>
      <c r="H3609" s="892"/>
      <c r="I3609" s="1710" t="s">
        <v>4085</v>
      </c>
      <c r="J3609" s="1710"/>
      <c r="K3609" s="892"/>
      <c r="L3609" s="892"/>
      <c r="M3609" s="892"/>
      <c r="N3609" s="892"/>
      <c r="O3609" s="1493"/>
      <c r="P3609" s="1493"/>
      <c r="Q3609" s="4647" t="s">
        <v>4086</v>
      </c>
      <c r="R3609" s="4647"/>
      <c r="S3609" s="1391">
        <v>71</v>
      </c>
      <c r="T3609" s="1725">
        <v>67.400000000000006</v>
      </c>
      <c r="U3609" s="1391">
        <v>5</v>
      </c>
      <c r="V3609" s="1493"/>
      <c r="W3609" s="892"/>
      <c r="X3609" s="4651" t="s">
        <v>4254</v>
      </c>
      <c r="Y3609" s="4651"/>
      <c r="Z3609" s="4651"/>
      <c r="AA3609" s="1725" t="s">
        <v>4170</v>
      </c>
      <c r="AB3609" s="1725" t="s">
        <v>1232</v>
      </c>
      <c r="AC3609" s="4651" t="s">
        <v>1233</v>
      </c>
      <c r="AD3609" s="4651"/>
      <c r="AE3609" s="1493"/>
      <c r="AF3609" s="4636" t="s">
        <v>4087</v>
      </c>
      <c r="AG3609" s="4637"/>
      <c r="AH3609" s="1391">
        <v>73</v>
      </c>
      <c r="AI3609" s="1391">
        <v>58</v>
      </c>
      <c r="AJ3609" s="1391">
        <v>8</v>
      </c>
      <c r="AK3609" s="1493"/>
      <c r="AL3609" s="1684"/>
      <c r="AM3609" s="1684"/>
      <c r="AN3609" s="1684"/>
      <c r="AO3609" s="1684"/>
      <c r="AP3609" s="1684"/>
      <c r="AQ3609" s="1684"/>
      <c r="AR3609" s="1684"/>
      <c r="AS3609" s="1684"/>
      <c r="AT3609" s="1684"/>
      <c r="AU3609" s="1684"/>
      <c r="AV3609" s="1684"/>
      <c r="AW3609" s="1684"/>
      <c r="AX3609" s="1684"/>
      <c r="AY3609" s="1684"/>
      <c r="AZ3609" s="1684"/>
      <c r="BA3609" s="1684"/>
      <c r="BB3609" s="1684"/>
      <c r="BC3609" s="1684"/>
      <c r="BD3609" s="1684"/>
      <c r="BE3609" s="1684"/>
      <c r="BF3609" s="1684"/>
      <c r="BG3609" s="1684"/>
      <c r="BH3609" s="1684"/>
      <c r="BI3609" s="1684"/>
      <c r="BJ3609" s="1684"/>
      <c r="BK3609" s="1684"/>
      <c r="BL3609" s="1684"/>
      <c r="BM3609" s="1684"/>
      <c r="BN3609" s="1684"/>
      <c r="BO3609" s="1684"/>
      <c r="BP3609" s="1684"/>
      <c r="BQ3609" s="1684"/>
      <c r="BR3609" s="1684"/>
      <c r="BS3609" s="1684"/>
      <c r="BT3609" s="1684"/>
      <c r="BU3609" s="1684"/>
      <c r="BV3609" s="1684"/>
      <c r="BW3609" s="1684"/>
      <c r="BX3609" s="1684"/>
      <c r="BY3609" s="1684"/>
      <c r="BZ3609" s="1684"/>
      <c r="CA3609" s="1684"/>
      <c r="CB3609" s="1684"/>
      <c r="CC3609" s="1684"/>
      <c r="CD3609" s="1684"/>
      <c r="CE3609" s="1684"/>
      <c r="CF3609" s="1684"/>
      <c r="CG3609" s="1684"/>
      <c r="CH3609" s="1684"/>
      <c r="CI3609" s="1684"/>
      <c r="CJ3609" s="1684"/>
      <c r="CK3609" s="1684"/>
      <c r="CL3609" s="1684"/>
      <c r="CM3609" s="1684"/>
      <c r="CN3609" s="1684"/>
      <c r="CO3609" s="1684"/>
    </row>
    <row r="3610" spans="1:93" s="1391" customFormat="1" ht="60.75" x14ac:dyDescent="0.25">
      <c r="A3610" s="1684"/>
      <c r="B3610" s="1726" t="s">
        <v>4088</v>
      </c>
      <c r="C3610" s="1726" t="s">
        <v>3501</v>
      </c>
      <c r="D3610" s="1493"/>
      <c r="E3610" s="1727" t="s">
        <v>3502</v>
      </c>
      <c r="F3610" s="1726" t="s">
        <v>3503</v>
      </c>
      <c r="G3610" s="1493"/>
      <c r="H3610" s="4649" t="s">
        <v>5333</v>
      </c>
      <c r="I3610" s="4649"/>
      <c r="J3610" s="4649"/>
      <c r="K3610" s="892"/>
      <c r="L3610" s="892"/>
      <c r="M3610" s="892"/>
      <c r="N3610" s="892"/>
      <c r="O3610" s="1493"/>
      <c r="P3610" s="1493"/>
      <c r="Q3610" s="1493"/>
      <c r="R3610" s="1493"/>
      <c r="S3610" s="1493"/>
      <c r="T3610" s="1493"/>
      <c r="U3610" s="1493"/>
      <c r="V3610" s="1493"/>
      <c r="W3610" s="892"/>
      <c r="X3610" s="4635" t="s">
        <v>2472</v>
      </c>
      <c r="Y3610" s="4635"/>
      <c r="Z3610" s="4635"/>
      <c r="AA3610" s="1391">
        <v>138</v>
      </c>
      <c r="AB3610" s="1391">
        <v>132</v>
      </c>
      <c r="AC3610" s="4635">
        <v>125</v>
      </c>
      <c r="AD3610" s="4635"/>
      <c r="AE3610" s="1493"/>
      <c r="AF3610" s="4636" t="s">
        <v>4879</v>
      </c>
      <c r="AG3610" s="4637"/>
      <c r="AH3610" s="1391">
        <v>67</v>
      </c>
      <c r="AI3610" s="1391">
        <v>53</v>
      </c>
      <c r="AJ3610" s="1391">
        <v>9</v>
      </c>
      <c r="AK3610" s="1493"/>
      <c r="AL3610" s="1684"/>
      <c r="AM3610" s="1684"/>
      <c r="AN3610" s="1684"/>
      <c r="AO3610" s="1684"/>
      <c r="AP3610" s="1684"/>
      <c r="AQ3610" s="1684"/>
      <c r="AR3610" s="1684"/>
      <c r="AS3610" s="1684"/>
      <c r="AT3610" s="1684"/>
      <c r="AU3610" s="1684"/>
      <c r="AV3610" s="1684"/>
      <c r="AW3610" s="1684"/>
      <c r="AX3610" s="1684"/>
      <c r="AY3610" s="1684"/>
      <c r="AZ3610" s="1684"/>
      <c r="BA3610" s="1684"/>
      <c r="BB3610" s="1684"/>
      <c r="BC3610" s="1684"/>
      <c r="BD3610" s="1684"/>
      <c r="BE3610" s="1684"/>
      <c r="BF3610" s="1684"/>
      <c r="BG3610" s="1684"/>
      <c r="BH3610" s="1684"/>
      <c r="BI3610" s="1684"/>
      <c r="BJ3610" s="1684"/>
      <c r="BK3610" s="1684"/>
      <c r="BL3610" s="1684"/>
      <c r="BM3610" s="1684"/>
      <c r="BN3610" s="1684"/>
      <c r="BO3610" s="1684"/>
      <c r="BP3610" s="1684"/>
      <c r="BQ3610" s="1684"/>
      <c r="BR3610" s="1684"/>
      <c r="BS3610" s="1684"/>
      <c r="BT3610" s="1684"/>
      <c r="BU3610" s="1684"/>
      <c r="BV3610" s="1684"/>
      <c r="BW3610" s="1684"/>
      <c r="BX3610" s="1684"/>
      <c r="BY3610" s="1684"/>
      <c r="BZ3610" s="1684"/>
      <c r="CA3610" s="1684"/>
      <c r="CB3610" s="1684"/>
      <c r="CC3610" s="1684"/>
      <c r="CD3610" s="1684"/>
      <c r="CE3610" s="1684"/>
      <c r="CF3610" s="1684"/>
      <c r="CG3610" s="1684"/>
      <c r="CH3610" s="1684"/>
      <c r="CI3610" s="1684"/>
      <c r="CJ3610" s="1684"/>
      <c r="CK3610" s="1684"/>
      <c r="CL3610" s="1684"/>
      <c r="CM3610" s="1684"/>
      <c r="CN3610" s="1684"/>
      <c r="CO3610" s="1684"/>
    </row>
    <row r="3611" spans="1:93" s="1391" customFormat="1" ht="15.75" x14ac:dyDescent="0.25">
      <c r="A3611" s="1684"/>
      <c r="B3611" s="1727" t="s">
        <v>4880</v>
      </c>
      <c r="C3611" s="1727">
        <v>0.9</v>
      </c>
      <c r="D3611" s="1493"/>
      <c r="E3611" s="1727" t="s">
        <v>4881</v>
      </c>
      <c r="F3611" s="1727">
        <v>0.9</v>
      </c>
      <c r="G3611" s="1493"/>
      <c r="H3611" s="4646" t="s">
        <v>4882</v>
      </c>
      <c r="I3611" s="4646"/>
      <c r="J3611" s="4646"/>
      <c r="K3611" s="1391" t="s">
        <v>4883</v>
      </c>
      <c r="L3611" s="1391" t="s">
        <v>4884</v>
      </c>
      <c r="M3611" s="4635" t="s">
        <v>4885</v>
      </c>
      <c r="N3611" s="4635"/>
      <c r="O3611" s="1493"/>
      <c r="P3611" s="1493"/>
      <c r="Q3611" s="1493"/>
      <c r="R3611" s="1493"/>
      <c r="S3611" s="1493"/>
      <c r="T3611" s="1493"/>
      <c r="U3611" s="1493"/>
      <c r="V3611" s="1493"/>
      <c r="W3611" s="1493"/>
      <c r="X3611" s="1493"/>
      <c r="Y3611" s="1493"/>
      <c r="Z3611" s="1493"/>
      <c r="AA3611" s="1493"/>
      <c r="AB3611" s="1493"/>
      <c r="AC3611" s="1493"/>
      <c r="AD3611" s="1493"/>
      <c r="AE3611" s="1493"/>
      <c r="AF3611" s="4636" t="s">
        <v>4886</v>
      </c>
      <c r="AG3611" s="4637"/>
      <c r="AH3611" s="1391">
        <v>58</v>
      </c>
      <c r="AI3611" s="1391">
        <v>46</v>
      </c>
      <c r="AJ3611" s="1391">
        <v>10</v>
      </c>
      <c r="AK3611" s="1493"/>
      <c r="AL3611" s="1684"/>
      <c r="AM3611" s="1684"/>
      <c r="AN3611" s="1684"/>
      <c r="AO3611" s="1684"/>
      <c r="AP3611" s="1684"/>
      <c r="AQ3611" s="1684"/>
      <c r="AR3611" s="1684"/>
      <c r="AS3611" s="1684"/>
      <c r="AT3611" s="1684"/>
      <c r="AU3611" s="1684"/>
      <c r="AV3611" s="1684"/>
      <c r="AW3611" s="1684"/>
      <c r="AX3611" s="1684"/>
      <c r="AY3611" s="1684"/>
      <c r="AZ3611" s="1684"/>
      <c r="BA3611" s="1684"/>
      <c r="BB3611" s="1684"/>
      <c r="BC3611" s="1684"/>
      <c r="BD3611" s="1684"/>
      <c r="BE3611" s="1684"/>
      <c r="BF3611" s="1684"/>
      <c r="BG3611" s="1684"/>
      <c r="BH3611" s="1684"/>
      <c r="BI3611" s="1684"/>
      <c r="BJ3611" s="1684"/>
      <c r="BK3611" s="1684"/>
      <c r="BL3611" s="1684"/>
      <c r="BM3611" s="1684"/>
      <c r="BN3611" s="1684"/>
      <c r="BO3611" s="1684"/>
      <c r="BP3611" s="1684"/>
      <c r="BQ3611" s="1684"/>
      <c r="BR3611" s="1684"/>
      <c r="BS3611" s="1684"/>
      <c r="BT3611" s="1684"/>
      <c r="BU3611" s="1684"/>
      <c r="BV3611" s="1684"/>
      <c r="BW3611" s="1684"/>
      <c r="BX3611" s="1684"/>
      <c r="BY3611" s="1684"/>
      <c r="BZ3611" s="1684"/>
      <c r="CA3611" s="1684"/>
      <c r="CB3611" s="1684"/>
      <c r="CC3611" s="1684"/>
      <c r="CD3611" s="1684"/>
      <c r="CE3611" s="1684"/>
      <c r="CF3611" s="1684"/>
      <c r="CG3611" s="1684"/>
      <c r="CH3611" s="1684"/>
      <c r="CI3611" s="1684"/>
      <c r="CJ3611" s="1684"/>
      <c r="CK3611" s="1684"/>
      <c r="CL3611" s="1684"/>
      <c r="CM3611" s="1684"/>
      <c r="CN3611" s="1684"/>
      <c r="CO3611" s="1684"/>
    </row>
    <row r="3612" spans="1:93" s="1391" customFormat="1" ht="30.75" x14ac:dyDescent="0.25">
      <c r="A3612" s="1684"/>
      <c r="B3612" s="1726" t="s">
        <v>4887</v>
      </c>
      <c r="C3612" s="1727">
        <v>0.85</v>
      </c>
      <c r="D3612" s="1493"/>
      <c r="E3612" s="1726" t="s">
        <v>4888</v>
      </c>
      <c r="F3612" s="1727">
        <v>0.8</v>
      </c>
      <c r="G3612" s="1493"/>
      <c r="H3612" s="4634" t="s">
        <v>2472</v>
      </c>
      <c r="I3612" s="4634"/>
      <c r="J3612" s="4634"/>
      <c r="K3612" s="1391">
        <v>138</v>
      </c>
      <c r="L3612" s="1391">
        <v>132</v>
      </c>
      <c r="M3612" s="4635">
        <v>125</v>
      </c>
      <c r="N3612" s="4635"/>
      <c r="O3612" s="1493"/>
      <c r="P3612" s="1493"/>
      <c r="Q3612" s="1493"/>
      <c r="R3612" s="1493"/>
      <c r="S3612" s="1493"/>
      <c r="T3612" s="1493"/>
      <c r="U3612" s="1493"/>
      <c r="V3612" s="1493"/>
      <c r="W3612" s="1493"/>
      <c r="X3612" s="1493"/>
      <c r="Y3612" s="1493"/>
      <c r="Z3612" s="1493"/>
      <c r="AA3612" s="1493"/>
      <c r="AB3612" s="1493"/>
      <c r="AC3612" s="1493"/>
      <c r="AD3612" s="1493"/>
      <c r="AE3612" s="1493"/>
      <c r="AF3612" s="4636" t="s">
        <v>4889</v>
      </c>
      <c r="AG3612" s="4637"/>
      <c r="AH3612" s="1391">
        <v>51</v>
      </c>
      <c r="AI3612" s="1391">
        <v>41</v>
      </c>
      <c r="AJ3612" s="1391">
        <v>11</v>
      </c>
      <c r="AK3612" s="1493"/>
      <c r="AL3612" s="1684"/>
      <c r="AM3612" s="1684"/>
      <c r="AN3612" s="1684"/>
      <c r="AO3612" s="1684"/>
      <c r="AP3612" s="1684"/>
      <c r="AQ3612" s="1684"/>
      <c r="AR3612" s="1684"/>
      <c r="AS3612" s="1684"/>
      <c r="AT3612" s="1684"/>
      <c r="AU3612" s="1684"/>
      <c r="AV3612" s="1684"/>
      <c r="AW3612" s="1684"/>
      <c r="AX3612" s="1684"/>
      <c r="AY3612" s="1684"/>
      <c r="AZ3612" s="1684"/>
      <c r="BA3612" s="1684"/>
      <c r="BB3612" s="1684"/>
      <c r="BC3612" s="1684"/>
      <c r="BD3612" s="1684"/>
      <c r="BE3612" s="1684"/>
      <c r="BF3612" s="1684"/>
      <c r="BG3612" s="1684"/>
      <c r="BH3612" s="1684"/>
      <c r="BI3612" s="1684"/>
      <c r="BJ3612" s="1684"/>
      <c r="BK3612" s="1684"/>
      <c r="BL3612" s="1684"/>
      <c r="BM3612" s="1684"/>
      <c r="BN3612" s="1684"/>
      <c r="BO3612" s="1684"/>
      <c r="BP3612" s="1684"/>
      <c r="BQ3612" s="1684"/>
      <c r="BR3612" s="1684"/>
      <c r="BS3612" s="1684"/>
      <c r="BT3612" s="1684"/>
      <c r="BU3612" s="1684"/>
      <c r="BV3612" s="1684"/>
      <c r="BW3612" s="1684"/>
      <c r="BX3612" s="1684"/>
      <c r="BY3612" s="1684"/>
      <c r="BZ3612" s="1684"/>
      <c r="CA3612" s="1684"/>
      <c r="CB3612" s="1684"/>
      <c r="CC3612" s="1684"/>
      <c r="CD3612" s="1684"/>
      <c r="CE3612" s="1684"/>
      <c r="CF3612" s="1684"/>
      <c r="CG3612" s="1684"/>
      <c r="CH3612" s="1684"/>
      <c r="CI3612" s="1684"/>
      <c r="CJ3612" s="1684"/>
      <c r="CK3612" s="1684"/>
      <c r="CL3612" s="1684"/>
      <c r="CM3612" s="1684"/>
      <c r="CN3612" s="1684"/>
      <c r="CO3612" s="1684"/>
    </row>
    <row r="3613" spans="1:93" s="1391" customFormat="1" ht="15.75" x14ac:dyDescent="0.25">
      <c r="A3613" s="1684"/>
      <c r="B3613" s="1493"/>
      <c r="C3613" s="1493"/>
      <c r="D3613" s="1493"/>
      <c r="E3613" s="1493"/>
      <c r="F3613" s="1493"/>
      <c r="G3613" s="1493"/>
      <c r="H3613" s="1493"/>
      <c r="I3613" s="1493"/>
      <c r="J3613" s="1493"/>
      <c r="K3613" s="1493"/>
      <c r="L3613" s="1493"/>
      <c r="M3613" s="1493"/>
      <c r="N3613" s="1493"/>
      <c r="O3613" s="1493"/>
      <c r="P3613" s="1493"/>
      <c r="Q3613" s="1493"/>
      <c r="R3613" s="1493"/>
      <c r="S3613" s="1493"/>
      <c r="T3613" s="1493"/>
      <c r="U3613" s="1493"/>
      <c r="V3613" s="1493"/>
      <c r="W3613" s="1493"/>
      <c r="X3613" s="1493"/>
      <c r="Y3613" s="1493"/>
      <c r="Z3613" s="1493"/>
      <c r="AA3613" s="1493"/>
      <c r="AB3613" s="1493"/>
      <c r="AC3613" s="1493"/>
      <c r="AD3613" s="1493"/>
      <c r="AE3613" s="1493"/>
      <c r="AF3613" s="4636" t="s">
        <v>4890</v>
      </c>
      <c r="AG3613" s="4637"/>
      <c r="AH3613" s="1391">
        <v>47</v>
      </c>
      <c r="AI3613" s="1391">
        <v>37</v>
      </c>
      <c r="AJ3613" s="1391">
        <v>12</v>
      </c>
      <c r="AK3613" s="1493"/>
      <c r="AL3613" s="1684"/>
      <c r="AM3613" s="1684"/>
      <c r="AN3613" s="1684"/>
      <c r="AO3613" s="1684"/>
      <c r="AP3613" s="1684"/>
      <c r="AQ3613" s="1684"/>
      <c r="AR3613" s="1684"/>
      <c r="AS3613" s="1684"/>
      <c r="AT3613" s="1684"/>
      <c r="AU3613" s="1684"/>
      <c r="AV3613" s="1684"/>
      <c r="AW3613" s="1684"/>
      <c r="AX3613" s="1684"/>
      <c r="AY3613" s="1684"/>
      <c r="AZ3613" s="1684"/>
      <c r="BA3613" s="1684"/>
      <c r="BB3613" s="1684"/>
      <c r="BC3613" s="1684"/>
      <c r="BD3613" s="1684"/>
      <c r="BE3613" s="1684"/>
      <c r="BF3613" s="1684"/>
      <c r="BG3613" s="1684"/>
      <c r="BH3613" s="1684"/>
      <c r="BI3613" s="1684"/>
      <c r="BJ3613" s="1684"/>
      <c r="BK3613" s="1684"/>
      <c r="BL3613" s="1684"/>
      <c r="BM3613" s="1684"/>
      <c r="BN3613" s="1684"/>
      <c r="BO3613" s="1684"/>
      <c r="BP3613" s="1684"/>
      <c r="BQ3613" s="1684"/>
      <c r="BR3613" s="1684"/>
      <c r="BS3613" s="1684"/>
      <c r="BT3613" s="1684"/>
      <c r="BU3613" s="1684"/>
      <c r="BV3613" s="1684"/>
      <c r="BW3613" s="1684"/>
      <c r="BX3613" s="1684"/>
      <c r="BY3613" s="1684"/>
      <c r="BZ3613" s="1684"/>
      <c r="CA3613" s="1684"/>
      <c r="CB3613" s="1684"/>
      <c r="CC3613" s="1684"/>
      <c r="CD3613" s="1684"/>
      <c r="CE3613" s="1684"/>
      <c r="CF3613" s="1684"/>
      <c r="CG3613" s="1684"/>
      <c r="CH3613" s="1684"/>
      <c r="CI3613" s="1684"/>
      <c r="CJ3613" s="1684"/>
      <c r="CK3613" s="1684"/>
      <c r="CL3613" s="1684"/>
      <c r="CM3613" s="1684"/>
      <c r="CN3613" s="1684"/>
      <c r="CO3613" s="1684"/>
    </row>
    <row r="3614" spans="1:93" s="1391" customFormat="1" ht="15.75" x14ac:dyDescent="0.25">
      <c r="A3614" s="1684"/>
      <c r="B3614" s="1493"/>
      <c r="C3614" s="1493"/>
      <c r="D3614" s="1493"/>
      <c r="E3614" s="1493"/>
      <c r="F3614" s="1493"/>
      <c r="G3614" s="1493"/>
      <c r="H3614" s="1493"/>
      <c r="I3614" s="1493"/>
      <c r="J3614" s="1493"/>
      <c r="K3614" s="1493"/>
      <c r="L3614" s="1493"/>
      <c r="M3614" s="1493"/>
      <c r="N3614" s="1493"/>
      <c r="O3614" s="1493"/>
      <c r="P3614" s="1493"/>
      <c r="Q3614" s="1493"/>
      <c r="R3614" s="1493"/>
      <c r="S3614" s="1493"/>
      <c r="T3614" s="1493"/>
      <c r="U3614" s="1493"/>
      <c r="V3614" s="1493"/>
      <c r="W3614" s="1493"/>
      <c r="X3614" s="1493"/>
      <c r="Y3614" s="1493"/>
      <c r="Z3614" s="1493"/>
      <c r="AA3614" s="1493"/>
      <c r="AB3614" s="1493"/>
      <c r="AC3614" s="1493"/>
      <c r="AD3614" s="1493"/>
      <c r="AE3614" s="1493"/>
      <c r="AF3614" s="4636" t="s">
        <v>4891</v>
      </c>
      <c r="AG3614" s="4637"/>
      <c r="AH3614" s="1391">
        <v>43</v>
      </c>
      <c r="AI3614" s="1391">
        <v>34</v>
      </c>
      <c r="AJ3614" s="1391">
        <v>13</v>
      </c>
      <c r="AK3614" s="1493"/>
      <c r="AL3614" s="1684"/>
      <c r="AM3614" s="1684"/>
      <c r="AN3614" s="1684"/>
      <c r="AO3614" s="1684"/>
      <c r="AP3614" s="1684"/>
      <c r="AQ3614" s="1684"/>
      <c r="AR3614" s="1684"/>
      <c r="AS3614" s="1684"/>
      <c r="AT3614" s="1684"/>
      <c r="AU3614" s="1684"/>
      <c r="AV3614" s="1684"/>
      <c r="AW3614" s="1684"/>
      <c r="AX3614" s="1684"/>
      <c r="AY3614" s="1684"/>
      <c r="AZ3614" s="1684"/>
      <c r="BA3614" s="1684"/>
      <c r="BB3614" s="1684"/>
      <c r="BC3614" s="1684"/>
      <c r="BD3614" s="1684"/>
      <c r="BE3614" s="1684"/>
      <c r="BF3614" s="1684"/>
      <c r="BG3614" s="1684"/>
      <c r="BH3614" s="1684"/>
      <c r="BI3614" s="1684"/>
      <c r="BJ3614" s="1684"/>
      <c r="BK3614" s="1684"/>
      <c r="BL3614" s="1684"/>
      <c r="BM3614" s="1684"/>
      <c r="BN3614" s="1684"/>
      <c r="BO3614" s="1684"/>
      <c r="BP3614" s="1684"/>
      <c r="BQ3614" s="1684"/>
      <c r="BR3614" s="1684"/>
      <c r="BS3614" s="1684"/>
      <c r="BT3614" s="1684"/>
      <c r="BU3614" s="1684"/>
      <c r="BV3614" s="1684"/>
      <c r="BW3614" s="1684"/>
      <c r="BX3614" s="1684"/>
      <c r="BY3614" s="1684"/>
      <c r="BZ3614" s="1684"/>
      <c r="CA3614" s="1684"/>
      <c r="CB3614" s="1684"/>
      <c r="CC3614" s="1684"/>
      <c r="CD3614" s="1684"/>
      <c r="CE3614" s="1684"/>
      <c r="CF3614" s="1684"/>
      <c r="CG3614" s="1684"/>
      <c r="CH3614" s="1684"/>
      <c r="CI3614" s="1684"/>
      <c r="CJ3614" s="1684"/>
      <c r="CK3614" s="1684"/>
      <c r="CL3614" s="1684"/>
      <c r="CM3614" s="1684"/>
      <c r="CN3614" s="1684"/>
      <c r="CO3614" s="1684"/>
    </row>
    <row r="3615" spans="1:93" s="1391" customFormat="1" ht="15.75" x14ac:dyDescent="0.25">
      <c r="A3615" s="1684"/>
      <c r="B3615" s="4652" t="s">
        <v>4892</v>
      </c>
      <c r="C3615" s="4653"/>
      <c r="D3615" s="1493"/>
      <c r="E3615" s="4650" t="s">
        <v>4893</v>
      </c>
      <c r="F3615" s="4650"/>
      <c r="G3615" s="1493"/>
      <c r="H3615" s="1070"/>
      <c r="I3615" s="1070"/>
      <c r="J3615" s="1070"/>
      <c r="K3615" s="1070"/>
      <c r="L3615" s="1493"/>
      <c r="M3615" s="1493"/>
      <c r="N3615" s="1493"/>
      <c r="O3615" s="1493"/>
      <c r="P3615" s="1493"/>
      <c r="Q3615" s="1493"/>
      <c r="R3615" s="1493"/>
      <c r="S3615" s="1493"/>
      <c r="T3615" s="1493"/>
      <c r="U3615" s="1493"/>
      <c r="V3615" s="1493"/>
      <c r="W3615" s="1493"/>
      <c r="X3615" s="1493"/>
      <c r="Y3615" s="1493"/>
      <c r="Z3615" s="1493"/>
      <c r="AA3615" s="1493"/>
      <c r="AB3615" s="1493"/>
      <c r="AC3615" s="1493"/>
      <c r="AD3615" s="1493"/>
      <c r="AE3615" s="1493"/>
      <c r="AF3615" s="4636" t="s">
        <v>3354</v>
      </c>
      <c r="AG3615" s="4637"/>
      <c r="AH3615" s="1391">
        <v>39</v>
      </c>
      <c r="AI3615" s="1391">
        <v>31</v>
      </c>
      <c r="AJ3615" s="1391">
        <v>14</v>
      </c>
      <c r="AK3615" s="1493"/>
      <c r="AL3615" s="1684"/>
      <c r="AM3615" s="1684"/>
      <c r="AN3615" s="1684"/>
      <c r="AO3615" s="1684"/>
      <c r="AP3615" s="1684"/>
      <c r="AQ3615" s="1684"/>
      <c r="AR3615" s="1684"/>
      <c r="AS3615" s="1684"/>
      <c r="AT3615" s="1684"/>
      <c r="AU3615" s="1684"/>
      <c r="AV3615" s="1684"/>
      <c r="AW3615" s="1684"/>
      <c r="AX3615" s="1684"/>
      <c r="AY3615" s="1684"/>
      <c r="AZ3615" s="1684"/>
      <c r="BA3615" s="1684"/>
      <c r="BB3615" s="1684"/>
      <c r="BC3615" s="1684"/>
      <c r="BD3615" s="1684"/>
      <c r="BE3615" s="1684"/>
      <c r="BF3615" s="1684"/>
      <c r="BG3615" s="1684"/>
      <c r="BH3615" s="1684"/>
      <c r="BI3615" s="1684"/>
      <c r="BJ3615" s="1684"/>
      <c r="BK3615" s="1684"/>
      <c r="BL3615" s="1684"/>
      <c r="BM3615" s="1684"/>
      <c r="BN3615" s="1684"/>
      <c r="BO3615" s="1684"/>
      <c r="BP3615" s="1684"/>
      <c r="BQ3615" s="1684"/>
      <c r="BR3615" s="1684"/>
      <c r="BS3615" s="1684"/>
      <c r="BT3615" s="1684"/>
      <c r="BU3615" s="1684"/>
      <c r="BV3615" s="1684"/>
      <c r="BW3615" s="1684"/>
      <c r="BX3615" s="1684"/>
      <c r="BY3615" s="1684"/>
      <c r="BZ3615" s="1684"/>
      <c r="CA3615" s="1684"/>
      <c r="CB3615" s="1684"/>
      <c r="CC3615" s="1684"/>
      <c r="CD3615" s="1684"/>
      <c r="CE3615" s="1684"/>
      <c r="CF3615" s="1684"/>
      <c r="CG3615" s="1684"/>
      <c r="CH3615" s="1684"/>
      <c r="CI3615" s="1684"/>
      <c r="CJ3615" s="1684"/>
      <c r="CK3615" s="1684"/>
      <c r="CL3615" s="1684"/>
      <c r="CM3615" s="1684"/>
      <c r="CN3615" s="1684"/>
      <c r="CO3615" s="1684"/>
    </row>
    <row r="3616" spans="1:93" s="1391" customFormat="1" ht="30.75" x14ac:dyDescent="0.25">
      <c r="A3616" s="1684"/>
      <c r="B3616" s="1726" t="s">
        <v>3355</v>
      </c>
      <c r="C3616" s="1727">
        <v>0.85</v>
      </c>
      <c r="D3616" s="1493"/>
      <c r="E3616" s="1727" t="s">
        <v>3356</v>
      </c>
      <c r="F3616" s="1727">
        <v>0.9</v>
      </c>
      <c r="G3616" s="1493"/>
      <c r="H3616" s="4654"/>
      <c r="I3616" s="4654"/>
      <c r="J3616" s="4654"/>
      <c r="K3616" s="4654"/>
      <c r="L3616" s="1493"/>
      <c r="M3616" s="1493"/>
      <c r="N3616" s="1493"/>
      <c r="O3616" s="1493"/>
      <c r="P3616" s="1493"/>
      <c r="Q3616" s="1493"/>
      <c r="R3616" s="1493"/>
      <c r="S3616" s="1493"/>
      <c r="T3616" s="1493"/>
      <c r="U3616" s="1493"/>
      <c r="V3616" s="1493"/>
      <c r="W3616" s="1493"/>
      <c r="X3616" s="1493"/>
      <c r="Y3616" s="1493"/>
      <c r="Z3616" s="1493"/>
      <c r="AA3616" s="1493"/>
      <c r="AB3616" s="1493"/>
      <c r="AC3616" s="1493"/>
      <c r="AD3616" s="1493"/>
      <c r="AE3616" s="1493"/>
      <c r="AF3616" s="4636" t="s">
        <v>3357</v>
      </c>
      <c r="AG3616" s="4637"/>
      <c r="AH3616" s="1391">
        <v>36</v>
      </c>
      <c r="AI3616" s="1391">
        <v>28</v>
      </c>
      <c r="AJ3616" s="1391">
        <v>15</v>
      </c>
      <c r="AK3616" s="1493"/>
      <c r="AL3616" s="1684"/>
      <c r="AM3616" s="1684"/>
      <c r="AN3616" s="1684"/>
      <c r="AO3616" s="1684"/>
      <c r="AP3616" s="1684"/>
      <c r="AQ3616" s="1684"/>
      <c r="AR3616" s="1684"/>
      <c r="AS3616" s="1684"/>
      <c r="AT3616" s="1684"/>
      <c r="AU3616" s="1684"/>
      <c r="AV3616" s="1684"/>
      <c r="AW3616" s="1684"/>
      <c r="AX3616" s="1684"/>
      <c r="AY3616" s="1684"/>
      <c r="AZ3616" s="1684"/>
      <c r="BA3616" s="1684"/>
      <c r="BB3616" s="1684"/>
      <c r="BC3616" s="1684"/>
      <c r="BD3616" s="1684"/>
      <c r="BE3616" s="1684"/>
      <c r="BF3616" s="1684"/>
      <c r="BG3616" s="1684"/>
      <c r="BH3616" s="1684"/>
      <c r="BI3616" s="1684"/>
      <c r="BJ3616" s="1684"/>
      <c r="BK3616" s="1684"/>
      <c r="BL3616" s="1684"/>
      <c r="BM3616" s="1684"/>
      <c r="BN3616" s="1684"/>
      <c r="BO3616" s="1684"/>
      <c r="BP3616" s="1684"/>
      <c r="BQ3616" s="1684"/>
      <c r="BR3616" s="1684"/>
      <c r="BS3616" s="1684"/>
      <c r="BT3616" s="1684"/>
      <c r="BU3616" s="1684"/>
      <c r="BV3616" s="1684"/>
      <c r="BW3616" s="1684"/>
      <c r="BX3616" s="1684"/>
      <c r="BY3616" s="1684"/>
      <c r="BZ3616" s="1684"/>
      <c r="CA3616" s="1684"/>
      <c r="CB3616" s="1684"/>
      <c r="CC3616" s="1684"/>
      <c r="CD3616" s="1684"/>
      <c r="CE3616" s="1684"/>
      <c r="CF3616" s="1684"/>
      <c r="CG3616" s="1684"/>
      <c r="CH3616" s="1684"/>
      <c r="CI3616" s="1684"/>
      <c r="CJ3616" s="1684"/>
      <c r="CK3616" s="1684"/>
      <c r="CL3616" s="1684"/>
      <c r="CM3616" s="1684"/>
      <c r="CN3616" s="1684"/>
      <c r="CO3616" s="1684"/>
    </row>
    <row r="3617" spans="1:93" s="1391" customFormat="1" ht="30.75" x14ac:dyDescent="0.25">
      <c r="A3617" s="1684"/>
      <c r="B3617" s="1726" t="s">
        <v>3358</v>
      </c>
      <c r="C3617" s="1727">
        <v>0.95</v>
      </c>
      <c r="D3617" s="1493"/>
      <c r="E3617" s="1727" t="s">
        <v>3359</v>
      </c>
      <c r="F3617" s="1727">
        <v>0.85</v>
      </c>
      <c r="G3617" s="1493"/>
      <c r="H3617" s="1554"/>
      <c r="I3617" s="1554"/>
      <c r="J3617" s="1070"/>
      <c r="K3617" s="1070"/>
      <c r="L3617" s="1493"/>
      <c r="M3617" s="1493"/>
      <c r="N3617" s="1493"/>
      <c r="O3617" s="1493"/>
      <c r="P3617" s="1493"/>
      <c r="Q3617" s="1493"/>
      <c r="R3617" s="1493"/>
      <c r="S3617" s="1493"/>
      <c r="T3617" s="1493"/>
      <c r="U3617" s="1493"/>
      <c r="V3617" s="1493"/>
      <c r="W3617" s="1493"/>
      <c r="X3617" s="1493"/>
      <c r="Y3617" s="1493"/>
      <c r="Z3617" s="1493"/>
      <c r="AA3617" s="1493"/>
      <c r="AB3617" s="1493"/>
      <c r="AC3617" s="1493"/>
      <c r="AD3617" s="1493"/>
      <c r="AE3617" s="1493"/>
      <c r="AF3617" s="4636" t="s">
        <v>3360</v>
      </c>
      <c r="AG3617" s="4637"/>
      <c r="AH3617" s="1391">
        <v>33</v>
      </c>
      <c r="AI3617" s="1391">
        <v>26</v>
      </c>
      <c r="AJ3617" s="1391">
        <v>16</v>
      </c>
      <c r="AK3617" s="1493"/>
      <c r="AL3617" s="1684"/>
      <c r="AM3617" s="1684"/>
      <c r="AN3617" s="1684"/>
      <c r="AO3617" s="1684"/>
      <c r="AP3617" s="1684"/>
      <c r="AQ3617" s="1684"/>
      <c r="AR3617" s="1684"/>
      <c r="AS3617" s="1684"/>
      <c r="AT3617" s="1684"/>
      <c r="AU3617" s="1684"/>
      <c r="AV3617" s="1684"/>
      <c r="AW3617" s="1684"/>
      <c r="AX3617" s="1684"/>
      <c r="AY3617" s="1684"/>
      <c r="AZ3617" s="1684"/>
      <c r="BA3617" s="1684"/>
      <c r="BB3617" s="1684"/>
      <c r="BC3617" s="1684"/>
      <c r="BD3617" s="1684"/>
      <c r="BE3617" s="1684"/>
      <c r="BF3617" s="1684"/>
      <c r="BG3617" s="1684"/>
      <c r="BH3617" s="1684"/>
      <c r="BI3617" s="1684"/>
      <c r="BJ3617" s="1684"/>
      <c r="BK3617" s="1684"/>
      <c r="BL3617" s="1684"/>
      <c r="BM3617" s="1684"/>
      <c r="BN3617" s="1684"/>
      <c r="BO3617" s="1684"/>
      <c r="BP3617" s="1684"/>
      <c r="BQ3617" s="1684"/>
      <c r="BR3617" s="1684"/>
      <c r="BS3617" s="1684"/>
      <c r="BT3617" s="1684"/>
      <c r="BU3617" s="1684"/>
      <c r="BV3617" s="1684"/>
      <c r="BW3617" s="1684"/>
      <c r="BX3617" s="1684"/>
      <c r="BY3617" s="1684"/>
      <c r="BZ3617" s="1684"/>
      <c r="CA3617" s="1684"/>
      <c r="CB3617" s="1684"/>
      <c r="CC3617" s="1684"/>
      <c r="CD3617" s="1684"/>
      <c r="CE3617" s="1684"/>
      <c r="CF3617" s="1684"/>
      <c r="CG3617" s="1684"/>
      <c r="CH3617" s="1684"/>
      <c r="CI3617" s="1684"/>
      <c r="CJ3617" s="1684"/>
      <c r="CK3617" s="1684"/>
      <c r="CL3617" s="1684"/>
      <c r="CM3617" s="1684"/>
      <c r="CN3617" s="1684"/>
      <c r="CO3617" s="1684"/>
    </row>
    <row r="3618" spans="1:93" s="1391" customFormat="1" ht="15.75" x14ac:dyDescent="0.25">
      <c r="A3618" s="1684"/>
      <c r="B3618" s="1493"/>
      <c r="C3618" s="1493"/>
      <c r="D3618" s="1493"/>
      <c r="E3618" s="1727" t="s">
        <v>3361</v>
      </c>
      <c r="F3618" s="1727">
        <v>0.8</v>
      </c>
      <c r="G3618" s="1493"/>
      <c r="H3618" s="1554"/>
      <c r="I3618" s="1070"/>
      <c r="J3618" s="1070"/>
      <c r="K3618" s="1070"/>
      <c r="L3618" s="1493"/>
      <c r="M3618" s="1493"/>
      <c r="N3618" s="1493"/>
      <c r="O3618" s="1493"/>
      <c r="P3618" s="1493"/>
      <c r="Q3618" s="1493"/>
      <c r="R3618" s="1493"/>
      <c r="S3618" s="1493"/>
      <c r="T3618" s="1493"/>
      <c r="U3618" s="1493"/>
      <c r="V3618" s="1493"/>
      <c r="W3618" s="1493"/>
      <c r="X3618" s="1493"/>
      <c r="Y3618" s="1493"/>
      <c r="Z3618" s="1493"/>
      <c r="AA3618" s="1493"/>
      <c r="AB3618" s="1493"/>
      <c r="AC3618" s="1493"/>
      <c r="AD3618" s="1493"/>
      <c r="AE3618" s="1493"/>
      <c r="AF3618" s="4636" t="s">
        <v>3362</v>
      </c>
      <c r="AG3618" s="4637"/>
      <c r="AH3618" s="1391">
        <v>31</v>
      </c>
      <c r="AI3618" s="1391">
        <v>25</v>
      </c>
      <c r="AJ3618" s="1391">
        <v>17</v>
      </c>
      <c r="AK3618" s="1493"/>
      <c r="AL3618" s="1684"/>
      <c r="AM3618" s="1684"/>
      <c r="AN3618" s="1684"/>
      <c r="AO3618" s="1684"/>
      <c r="AP3618" s="1684"/>
      <c r="AQ3618" s="1684"/>
      <c r="AR3618" s="1684"/>
      <c r="AS3618" s="1684"/>
      <c r="AT3618" s="1684"/>
      <c r="AU3618" s="1684"/>
      <c r="AV3618" s="1684"/>
      <c r="AW3618" s="1684"/>
      <c r="AX3618" s="1684"/>
      <c r="AY3618" s="1684"/>
      <c r="AZ3618" s="1684"/>
      <c r="BA3618" s="1684"/>
      <c r="BB3618" s="1684"/>
      <c r="BC3618" s="1684"/>
      <c r="BD3618" s="1684"/>
      <c r="BE3618" s="1684"/>
      <c r="BF3618" s="1684"/>
      <c r="BG3618" s="1684"/>
      <c r="BH3618" s="1684"/>
      <c r="BI3618" s="1684"/>
      <c r="BJ3618" s="1684"/>
      <c r="BK3618" s="1684"/>
      <c r="BL3618" s="1684"/>
      <c r="BM3618" s="1684"/>
      <c r="BN3618" s="1684"/>
      <c r="BO3618" s="1684"/>
      <c r="BP3618" s="1684"/>
      <c r="BQ3618" s="1684"/>
      <c r="BR3618" s="1684"/>
      <c r="BS3618" s="1684"/>
      <c r="BT3618" s="1684"/>
      <c r="BU3618" s="1684"/>
      <c r="BV3618" s="1684"/>
      <c r="BW3618" s="1684"/>
      <c r="BX3618" s="1684"/>
      <c r="BY3618" s="1684"/>
      <c r="BZ3618" s="1684"/>
      <c r="CA3618" s="1684"/>
      <c r="CB3618" s="1684"/>
      <c r="CC3618" s="1684"/>
      <c r="CD3618" s="1684"/>
      <c r="CE3618" s="1684"/>
      <c r="CF3618" s="1684"/>
      <c r="CG3618" s="1684"/>
      <c r="CH3618" s="1684"/>
      <c r="CI3618" s="1684"/>
      <c r="CJ3618" s="1684"/>
      <c r="CK3618" s="1684"/>
      <c r="CL3618" s="1684"/>
      <c r="CM3618" s="1684"/>
      <c r="CN3618" s="1684"/>
      <c r="CO3618" s="1684"/>
    </row>
    <row r="3619" spans="1:93" s="1391" customFormat="1" ht="15.75" x14ac:dyDescent="0.25">
      <c r="A3619" s="1684"/>
      <c r="B3619" s="1493"/>
      <c r="C3619" s="1493"/>
      <c r="D3619" s="1493"/>
      <c r="E3619" s="1493"/>
      <c r="F3619" s="1493"/>
      <c r="G3619" s="1493"/>
      <c r="H3619" s="1554"/>
      <c r="I3619" s="1070"/>
      <c r="J3619" s="1070"/>
      <c r="K3619" s="1070"/>
      <c r="L3619" s="1493"/>
      <c r="M3619" s="1493"/>
      <c r="N3619" s="1493"/>
      <c r="O3619" s="1493"/>
      <c r="P3619" s="1493"/>
      <c r="Q3619" s="1493"/>
      <c r="R3619" s="1493"/>
      <c r="S3619" s="1493"/>
      <c r="T3619" s="1493"/>
      <c r="U3619" s="1493"/>
      <c r="V3619" s="1493"/>
      <c r="W3619" s="1493"/>
      <c r="X3619" s="1493"/>
      <c r="Y3619" s="1493"/>
      <c r="Z3619" s="1493"/>
      <c r="AA3619" s="1493"/>
      <c r="AB3619" s="1493"/>
      <c r="AC3619" s="1493"/>
      <c r="AD3619" s="1493"/>
      <c r="AE3619" s="1493"/>
      <c r="AF3619" s="4636" t="s">
        <v>3363</v>
      </c>
      <c r="AG3619" s="4637"/>
      <c r="AH3619" s="1391">
        <v>30</v>
      </c>
      <c r="AI3619" s="1391">
        <v>23</v>
      </c>
      <c r="AJ3619" s="1391">
        <v>18</v>
      </c>
      <c r="AK3619" s="1493"/>
      <c r="AL3619" s="1684"/>
      <c r="AM3619" s="1684"/>
      <c r="AN3619" s="1684"/>
      <c r="AO3619" s="1684"/>
      <c r="AP3619" s="1684"/>
      <c r="AQ3619" s="1684"/>
      <c r="AR3619" s="1684"/>
      <c r="AS3619" s="1684"/>
      <c r="AT3619" s="1684"/>
      <c r="AU3619" s="1684"/>
      <c r="AV3619" s="1684"/>
      <c r="AW3619" s="1684"/>
      <c r="AX3619" s="1684"/>
      <c r="AY3619" s="1684"/>
      <c r="AZ3619" s="1684"/>
      <c r="BA3619" s="1684"/>
      <c r="BB3619" s="1684"/>
      <c r="BC3619" s="1684"/>
      <c r="BD3619" s="1684"/>
      <c r="BE3619" s="1684"/>
      <c r="BF3619" s="1684"/>
      <c r="BG3619" s="1684"/>
      <c r="BH3619" s="1684"/>
      <c r="BI3619" s="1684"/>
      <c r="BJ3619" s="1684"/>
      <c r="BK3619" s="1684"/>
      <c r="BL3619" s="1684"/>
      <c r="BM3619" s="1684"/>
      <c r="BN3619" s="1684"/>
      <c r="BO3619" s="1684"/>
      <c r="BP3619" s="1684"/>
      <c r="BQ3619" s="1684"/>
      <c r="BR3619" s="1684"/>
      <c r="BS3619" s="1684"/>
      <c r="BT3619" s="1684"/>
      <c r="BU3619" s="1684"/>
      <c r="BV3619" s="1684"/>
      <c r="BW3619" s="1684"/>
      <c r="BX3619" s="1684"/>
      <c r="BY3619" s="1684"/>
      <c r="BZ3619" s="1684"/>
      <c r="CA3619" s="1684"/>
      <c r="CB3619" s="1684"/>
      <c r="CC3619" s="1684"/>
      <c r="CD3619" s="1684"/>
      <c r="CE3619" s="1684"/>
      <c r="CF3619" s="1684"/>
      <c r="CG3619" s="1684"/>
      <c r="CH3619" s="1684"/>
      <c r="CI3619" s="1684"/>
      <c r="CJ3619" s="1684"/>
      <c r="CK3619" s="1684"/>
      <c r="CL3619" s="1684"/>
      <c r="CM3619" s="1684"/>
      <c r="CN3619" s="1684"/>
      <c r="CO3619" s="1684"/>
    </row>
    <row r="3620" spans="1:93" s="1391" customFormat="1" ht="15.75" x14ac:dyDescent="0.25">
      <c r="A3620" s="1684"/>
      <c r="B3620" s="1493"/>
      <c r="C3620" s="1493"/>
      <c r="D3620" s="1493"/>
      <c r="E3620" s="1493"/>
      <c r="F3620" s="1493"/>
      <c r="G3620" s="1493"/>
      <c r="H3620" s="1554"/>
      <c r="I3620" s="1070"/>
      <c r="J3620" s="1070"/>
      <c r="K3620" s="1070"/>
      <c r="L3620" s="1493"/>
      <c r="M3620" s="1493"/>
      <c r="N3620" s="1493"/>
      <c r="O3620" s="1493"/>
      <c r="P3620" s="1493"/>
      <c r="Q3620" s="1493"/>
      <c r="R3620" s="1493"/>
      <c r="S3620" s="1493"/>
      <c r="T3620" s="1493"/>
      <c r="U3620" s="1493"/>
      <c r="V3620" s="1493"/>
      <c r="W3620" s="1493"/>
      <c r="X3620" s="1493"/>
      <c r="Y3620" s="1493"/>
      <c r="Z3620" s="1493"/>
      <c r="AA3620" s="1493"/>
      <c r="AB3620" s="1493"/>
      <c r="AC3620" s="1493"/>
      <c r="AD3620" s="1493"/>
      <c r="AE3620" s="1493"/>
      <c r="AF3620" s="4635" t="s">
        <v>3364</v>
      </c>
      <c r="AG3620" s="4635"/>
      <c r="AH3620" s="1391">
        <v>28</v>
      </c>
      <c r="AI3620" s="1391">
        <v>22</v>
      </c>
      <c r="AJ3620" s="1391">
        <v>19</v>
      </c>
      <c r="AK3620" s="1493"/>
      <c r="AL3620" s="1684"/>
      <c r="AM3620" s="1684"/>
      <c r="AN3620" s="1684"/>
      <c r="AO3620" s="1684"/>
      <c r="AP3620" s="1684"/>
      <c r="AQ3620" s="1684"/>
      <c r="AR3620" s="1684"/>
      <c r="AS3620" s="1684"/>
      <c r="AT3620" s="1684"/>
      <c r="AU3620" s="1684"/>
      <c r="AV3620" s="1684"/>
      <c r="AW3620" s="1684"/>
      <c r="AX3620" s="1684"/>
      <c r="AY3620" s="1684"/>
      <c r="AZ3620" s="1684"/>
      <c r="BA3620" s="1684"/>
      <c r="BB3620" s="1684"/>
      <c r="BC3620" s="1684"/>
      <c r="BD3620" s="1684"/>
      <c r="BE3620" s="1684"/>
      <c r="BF3620" s="1684"/>
      <c r="BG3620" s="1684"/>
      <c r="BH3620" s="1684"/>
      <c r="BI3620" s="1684"/>
      <c r="BJ3620" s="1684"/>
      <c r="BK3620" s="1684"/>
      <c r="BL3620" s="1684"/>
      <c r="BM3620" s="1684"/>
      <c r="BN3620" s="1684"/>
      <c r="BO3620" s="1684"/>
      <c r="BP3620" s="1684"/>
      <c r="BQ3620" s="1684"/>
      <c r="BR3620" s="1684"/>
      <c r="BS3620" s="1684"/>
      <c r="BT3620" s="1684"/>
      <c r="BU3620" s="1684"/>
      <c r="BV3620" s="1684"/>
      <c r="BW3620" s="1684"/>
      <c r="BX3620" s="1684"/>
      <c r="BY3620" s="1684"/>
      <c r="BZ3620" s="1684"/>
      <c r="CA3620" s="1684"/>
      <c r="CB3620" s="1684"/>
      <c r="CC3620" s="1684"/>
      <c r="CD3620" s="1684"/>
      <c r="CE3620" s="1684"/>
      <c r="CF3620" s="1684"/>
      <c r="CG3620" s="1684"/>
      <c r="CH3620" s="1684"/>
      <c r="CI3620" s="1684"/>
      <c r="CJ3620" s="1684"/>
      <c r="CK3620" s="1684"/>
      <c r="CL3620" s="1684"/>
      <c r="CM3620" s="1684"/>
      <c r="CN3620" s="1684"/>
      <c r="CO3620" s="1684"/>
    </row>
    <row r="3621" spans="1:93" s="1391" customFormat="1" ht="15.75" x14ac:dyDescent="0.25">
      <c r="A3621" s="1417" t="s">
        <v>2917</v>
      </c>
      <c r="E3621" s="1417"/>
      <c r="F3621" s="1684"/>
      <c r="G3621" s="1684"/>
      <c r="H3621" s="1684"/>
      <c r="I3621" s="1684"/>
      <c r="J3621" s="1684"/>
      <c r="K3621" s="1684"/>
      <c r="L3621" s="1684"/>
      <c r="M3621" s="1684"/>
      <c r="N3621" s="1684"/>
      <c r="O3621" s="1684"/>
      <c r="P3621" s="1684"/>
      <c r="Q3621" s="1684"/>
      <c r="R3621" s="1684"/>
      <c r="S3621" s="1684"/>
      <c r="T3621" s="1684"/>
      <c r="U3621" s="1684"/>
      <c r="V3621" s="1684"/>
      <c r="W3621" s="1684"/>
      <c r="X3621" s="1684"/>
      <c r="Y3621" s="1684"/>
      <c r="Z3621" s="1684"/>
      <c r="AA3621" s="1684"/>
      <c r="AB3621" s="1684"/>
      <c r="AC3621" s="1684"/>
      <c r="AD3621" s="1684"/>
      <c r="AE3621" s="1684"/>
      <c r="AF3621" s="1684"/>
      <c r="AG3621" s="1684"/>
      <c r="AH3621" s="1684"/>
      <c r="AI3621" s="1684"/>
      <c r="AJ3621" s="1684"/>
      <c r="AK3621" s="1684"/>
      <c r="AL3621" s="1684"/>
      <c r="AM3621" s="1684"/>
      <c r="AN3621" s="1684"/>
      <c r="AO3621" s="1684"/>
      <c r="AP3621" s="1684"/>
      <c r="AQ3621" s="1684"/>
      <c r="AR3621" s="1684"/>
      <c r="AS3621" s="1684"/>
      <c r="AT3621" s="1684"/>
      <c r="AU3621" s="1684"/>
      <c r="AV3621" s="1684"/>
      <c r="AW3621" s="1684"/>
      <c r="AX3621" s="1684"/>
      <c r="AY3621" s="1684"/>
      <c r="AZ3621" s="1684"/>
      <c r="BA3621" s="1684"/>
      <c r="BB3621" s="1684"/>
      <c r="BC3621" s="1684"/>
      <c r="BD3621" s="1684"/>
      <c r="BE3621" s="1684"/>
      <c r="BF3621" s="1684"/>
      <c r="BG3621" s="1684"/>
      <c r="BH3621" s="1684"/>
      <c r="BI3621" s="1684"/>
      <c r="BJ3621" s="1684"/>
      <c r="BK3621" s="1684"/>
      <c r="BL3621" s="1684"/>
      <c r="BM3621" s="1684"/>
      <c r="BN3621" s="1684"/>
      <c r="BO3621" s="1684"/>
      <c r="BP3621" s="1684"/>
      <c r="BQ3621" s="1684"/>
      <c r="BR3621" s="1684"/>
      <c r="BS3621" s="1684"/>
      <c r="BT3621" s="1684"/>
      <c r="BU3621" s="1684"/>
      <c r="BV3621" s="1684"/>
      <c r="BW3621" s="1684"/>
      <c r="BX3621" s="1684"/>
      <c r="BY3621" s="1684"/>
      <c r="BZ3621" s="1684"/>
      <c r="CA3621" s="1684"/>
      <c r="CB3621" s="1684"/>
      <c r="CC3621" s="1684"/>
      <c r="CD3621" s="1684"/>
      <c r="CE3621" s="1684"/>
      <c r="CF3621" s="1684"/>
      <c r="CG3621" s="1684"/>
      <c r="CH3621" s="1684"/>
      <c r="CI3621" s="1684"/>
      <c r="CJ3621" s="1684"/>
      <c r="CK3621" s="1684"/>
      <c r="CL3621" s="1684"/>
      <c r="CM3621" s="1684"/>
      <c r="CN3621" s="1684"/>
      <c r="CO3621" s="1684"/>
    </row>
    <row r="3622" spans="1:93" s="1391" customFormat="1" ht="15.75" x14ac:dyDescent="0.25">
      <c r="A3622" s="1417"/>
      <c r="B3622" s="1417">
        <v>0.5</v>
      </c>
      <c r="C3622" s="1417">
        <v>18</v>
      </c>
      <c r="E3622" s="1417"/>
      <c r="F3622" s="1684"/>
      <c r="G3622" s="1684"/>
      <c r="H3622" s="1684"/>
      <c r="I3622" s="1684"/>
      <c r="J3622" s="1684"/>
      <c r="K3622" s="1684"/>
      <c r="L3622" s="1684"/>
      <c r="M3622" s="1684"/>
      <c r="N3622" s="1684"/>
      <c r="O3622" s="1684"/>
      <c r="P3622" s="1684"/>
      <c r="Q3622" s="1684"/>
      <c r="R3622" s="1684"/>
      <c r="S3622" s="1684"/>
      <c r="T3622" s="1684"/>
      <c r="U3622" s="1684"/>
      <c r="V3622" s="1684"/>
      <c r="W3622" s="1684"/>
      <c r="X3622" s="1684"/>
      <c r="Y3622" s="1684"/>
      <c r="Z3622" s="1684"/>
      <c r="AA3622" s="1684"/>
      <c r="AB3622" s="1684"/>
      <c r="AC3622" s="1684"/>
      <c r="AD3622" s="1684"/>
      <c r="AE3622" s="1684"/>
      <c r="AF3622" s="1684"/>
      <c r="AG3622" s="1684"/>
      <c r="AH3622" s="1684"/>
      <c r="AI3622" s="1684"/>
      <c r="AJ3622" s="1684"/>
      <c r="AK3622" s="1684"/>
      <c r="AL3622" s="1684"/>
      <c r="AM3622" s="1684"/>
      <c r="AN3622" s="1684"/>
      <c r="AO3622" s="1684"/>
      <c r="AP3622" s="1684"/>
      <c r="AQ3622" s="1684"/>
      <c r="AR3622" s="1684"/>
      <c r="AS3622" s="1684"/>
      <c r="AT3622" s="1684"/>
      <c r="AU3622" s="1684"/>
      <c r="AV3622" s="1684"/>
      <c r="AW3622" s="1684"/>
      <c r="AX3622" s="1684"/>
      <c r="AY3622" s="1684"/>
      <c r="AZ3622" s="1684"/>
      <c r="BA3622" s="1684"/>
      <c r="BB3622" s="1684"/>
      <c r="BC3622" s="1684"/>
      <c r="BD3622" s="1684"/>
      <c r="BE3622" s="1684"/>
      <c r="BF3622" s="1684"/>
      <c r="BG3622" s="1684"/>
      <c r="BH3622" s="1684"/>
      <c r="BI3622" s="1684"/>
      <c r="BJ3622" s="1684"/>
      <c r="BK3622" s="1684"/>
      <c r="BL3622" s="1684"/>
      <c r="BM3622" s="1684"/>
      <c r="BN3622" s="1684"/>
      <c r="BO3622" s="1684"/>
      <c r="BP3622" s="1684"/>
      <c r="BQ3622" s="1684"/>
      <c r="BR3622" s="1684"/>
      <c r="BS3622" s="1684"/>
      <c r="BT3622" s="1684"/>
      <c r="BU3622" s="1684"/>
      <c r="BV3622" s="1684"/>
      <c r="BW3622" s="1684"/>
      <c r="BX3622" s="1684"/>
      <c r="BY3622" s="1684"/>
      <c r="BZ3622" s="1684"/>
      <c r="CA3622" s="1684"/>
      <c r="CB3622" s="1684"/>
      <c r="CC3622" s="1684"/>
      <c r="CD3622" s="1684"/>
      <c r="CE3622" s="1684"/>
      <c r="CF3622" s="1684"/>
      <c r="CG3622" s="1684"/>
      <c r="CH3622" s="1684"/>
      <c r="CI3622" s="1684"/>
      <c r="CJ3622" s="1684"/>
      <c r="CK3622" s="1684"/>
      <c r="CL3622" s="1684"/>
      <c r="CM3622" s="1684"/>
      <c r="CN3622" s="1684"/>
      <c r="CO3622" s="1684"/>
    </row>
    <row r="3623" spans="1:93" s="1391" customFormat="1" ht="15.75" x14ac:dyDescent="0.25">
      <c r="A3623" s="1417"/>
      <c r="B3623" s="1417">
        <v>0.65</v>
      </c>
      <c r="C3623" s="1417">
        <v>18</v>
      </c>
      <c r="E3623" s="1417"/>
      <c r="F3623" s="1684"/>
      <c r="G3623" s="1684"/>
      <c r="H3623" s="1684"/>
      <c r="I3623" s="1684"/>
      <c r="J3623" s="1684"/>
      <c r="K3623" s="1684"/>
      <c r="L3623" s="1684"/>
      <c r="M3623" s="1684"/>
      <c r="N3623" s="1684"/>
      <c r="O3623" s="1684"/>
      <c r="P3623" s="1684"/>
      <c r="Q3623" s="1684"/>
      <c r="R3623" s="1684"/>
      <c r="S3623" s="1684"/>
      <c r="T3623" s="1684"/>
      <c r="U3623" s="1684"/>
      <c r="V3623" s="1684"/>
      <c r="W3623" s="1684"/>
      <c r="X3623" s="1684"/>
      <c r="Y3623" s="1684"/>
      <c r="Z3623" s="1684"/>
      <c r="AA3623" s="1684"/>
      <c r="AB3623" s="1684"/>
      <c r="AC3623" s="1684"/>
      <c r="AD3623" s="1684"/>
      <c r="AE3623" s="1684"/>
      <c r="AF3623" s="1684"/>
      <c r="AG3623" s="1684"/>
      <c r="AH3623" s="1684"/>
      <c r="AI3623" s="1684"/>
      <c r="AJ3623" s="1684"/>
      <c r="AK3623" s="1684"/>
      <c r="AL3623" s="1684"/>
      <c r="AM3623" s="1684"/>
      <c r="AN3623" s="1684"/>
      <c r="AO3623" s="1684"/>
      <c r="AP3623" s="1684"/>
      <c r="AQ3623" s="1684"/>
      <c r="AR3623" s="1684"/>
      <c r="AS3623" s="1684"/>
      <c r="AT3623" s="1684"/>
      <c r="AU3623" s="1684"/>
      <c r="AV3623" s="1684"/>
      <c r="AW3623" s="1684"/>
      <c r="AX3623" s="1684"/>
      <c r="AY3623" s="1684"/>
      <c r="AZ3623" s="1684"/>
      <c r="BA3623" s="1684"/>
      <c r="BB3623" s="1684"/>
      <c r="BC3623" s="1684"/>
      <c r="BD3623" s="1684"/>
      <c r="BE3623" s="1684"/>
      <c r="BF3623" s="1684"/>
      <c r="BG3623" s="1684"/>
      <c r="BH3623" s="1684"/>
      <c r="BI3623" s="1684"/>
      <c r="BJ3623" s="1684"/>
      <c r="BK3623" s="1684"/>
      <c r="BL3623" s="1684"/>
      <c r="BM3623" s="1684"/>
      <c r="BN3623" s="1684"/>
      <c r="BO3623" s="1684"/>
      <c r="BP3623" s="1684"/>
      <c r="BQ3623" s="1684"/>
      <c r="BR3623" s="1684"/>
      <c r="BS3623" s="1684"/>
      <c r="BT3623" s="1684"/>
      <c r="BU3623" s="1684"/>
      <c r="BV3623" s="1684"/>
      <c r="BW3623" s="1684"/>
      <c r="BX3623" s="1684"/>
      <c r="BY3623" s="1684"/>
      <c r="BZ3623" s="1684"/>
      <c r="CA3623" s="1684"/>
      <c r="CB3623" s="1684"/>
      <c r="CC3623" s="1684"/>
      <c r="CD3623" s="1684"/>
      <c r="CE3623" s="1684"/>
      <c r="CF3623" s="1684"/>
      <c r="CG3623" s="1684"/>
      <c r="CH3623" s="1684"/>
      <c r="CI3623" s="1684"/>
      <c r="CJ3623" s="1684"/>
      <c r="CK3623" s="1684"/>
      <c r="CL3623" s="1684"/>
      <c r="CM3623" s="1684"/>
      <c r="CN3623" s="1684"/>
      <c r="CO3623" s="1684"/>
    </row>
    <row r="3624" spans="1:93" s="1391" customFormat="1" ht="15.75" x14ac:dyDescent="0.25">
      <c r="A3624" s="1417"/>
      <c r="B3624" s="1417">
        <v>0.56000000000000005</v>
      </c>
      <c r="C3624" s="1417">
        <v>20</v>
      </c>
      <c r="E3624" s="1417"/>
      <c r="F3624" s="1684"/>
      <c r="G3624" s="1684"/>
      <c r="H3624" s="1684"/>
      <c r="I3624" s="1684"/>
      <c r="J3624" s="1684"/>
      <c r="K3624" s="1684"/>
      <c r="L3624" s="1684"/>
      <c r="M3624" s="1684"/>
      <c r="N3624" s="1684"/>
      <c r="O3624" s="1684"/>
      <c r="P3624" s="1684"/>
      <c r="Q3624" s="1684"/>
      <c r="R3624" s="1684"/>
      <c r="S3624" s="1684"/>
      <c r="T3624" s="1684"/>
      <c r="U3624" s="1684"/>
      <c r="V3624" s="1684"/>
      <c r="W3624" s="1684"/>
      <c r="X3624" s="1684"/>
      <c r="Y3624" s="1684"/>
      <c r="Z3624" s="1684"/>
      <c r="AA3624" s="1684"/>
      <c r="AB3624" s="1684"/>
      <c r="AC3624" s="1684"/>
      <c r="AD3624" s="1684"/>
      <c r="AE3624" s="1684"/>
      <c r="AF3624" s="1684"/>
      <c r="AG3624" s="1684"/>
      <c r="AH3624" s="1684"/>
      <c r="AI3624" s="1684"/>
      <c r="AJ3624" s="1684"/>
      <c r="AK3624" s="1684"/>
      <c r="AL3624" s="1684"/>
      <c r="AM3624" s="1684"/>
      <c r="AN3624" s="1684"/>
      <c r="AO3624" s="1684"/>
      <c r="AP3624" s="1684"/>
      <c r="AQ3624" s="1684"/>
      <c r="AR3624" s="1684"/>
      <c r="AS3624" s="1684"/>
      <c r="AT3624" s="1684"/>
      <c r="AU3624" s="1684"/>
      <c r="AV3624" s="1684"/>
      <c r="AW3624" s="1684"/>
      <c r="AX3624" s="1684"/>
      <c r="AY3624" s="1684"/>
      <c r="AZ3624" s="1684"/>
      <c r="BA3624" s="1684"/>
      <c r="BB3624" s="1684"/>
      <c r="BC3624" s="1684"/>
      <c r="BD3624" s="1684"/>
      <c r="BE3624" s="1684"/>
      <c r="BF3624" s="1684"/>
      <c r="BG3624" s="1684"/>
      <c r="BH3624" s="1684"/>
      <c r="BI3624" s="1684"/>
      <c r="BJ3624" s="1684"/>
      <c r="BK3624" s="1684"/>
      <c r="BL3624" s="1684"/>
      <c r="BM3624" s="1684"/>
      <c r="BN3624" s="1684"/>
      <c r="BO3624" s="1684"/>
      <c r="BP3624" s="1684"/>
      <c r="BQ3624" s="1684"/>
      <c r="BR3624" s="1684"/>
      <c r="BS3624" s="1684"/>
      <c r="BT3624" s="1684"/>
      <c r="BU3624" s="1684"/>
      <c r="BV3624" s="1684"/>
      <c r="BW3624" s="1684"/>
      <c r="BX3624" s="1684"/>
      <c r="BY3624" s="1684"/>
      <c r="BZ3624" s="1684"/>
      <c r="CA3624" s="1684"/>
      <c r="CB3624" s="1684"/>
      <c r="CC3624" s="1684"/>
      <c r="CD3624" s="1684"/>
      <c r="CE3624" s="1684"/>
      <c r="CF3624" s="1684"/>
      <c r="CG3624" s="1684"/>
      <c r="CH3624" s="1684"/>
      <c r="CI3624" s="1684"/>
      <c r="CJ3624" s="1684"/>
      <c r="CK3624" s="1684"/>
      <c r="CL3624" s="1684"/>
      <c r="CM3624" s="1684"/>
      <c r="CN3624" s="1684"/>
      <c r="CO3624" s="1684"/>
    </row>
    <row r="3625" spans="1:93" s="1391" customFormat="1" ht="15.75" x14ac:dyDescent="0.25">
      <c r="A3625" s="1417"/>
      <c r="B3625" s="1417">
        <v>0.8</v>
      </c>
      <c r="C3625" s="1417">
        <v>20</v>
      </c>
      <c r="E3625" s="1417"/>
      <c r="F3625" s="1684"/>
      <c r="G3625" s="1684"/>
      <c r="H3625" s="1684"/>
      <c r="I3625" s="1684"/>
      <c r="J3625" s="1684"/>
      <c r="K3625" s="1684"/>
      <c r="L3625" s="1684"/>
      <c r="M3625" s="1684"/>
      <c r="N3625" s="1684"/>
      <c r="O3625" s="1684"/>
      <c r="P3625" s="1684"/>
      <c r="Q3625" s="1684"/>
      <c r="R3625" s="1684"/>
      <c r="S3625" s="1684"/>
      <c r="T3625" s="1684"/>
      <c r="U3625" s="1684"/>
      <c r="V3625" s="1684"/>
      <c r="W3625" s="1684"/>
      <c r="X3625" s="1684"/>
      <c r="Y3625" s="1684"/>
      <c r="Z3625" s="1684"/>
      <c r="AA3625" s="1684"/>
      <c r="AB3625" s="1684"/>
      <c r="AC3625" s="1684"/>
      <c r="AD3625" s="1684"/>
      <c r="AE3625" s="1684"/>
      <c r="AF3625" s="1684"/>
      <c r="AG3625" s="1684"/>
      <c r="AH3625" s="1684"/>
      <c r="AI3625" s="1684"/>
      <c r="AJ3625" s="1684"/>
      <c r="AK3625" s="1684"/>
      <c r="AL3625" s="1684"/>
      <c r="AM3625" s="1684"/>
      <c r="AN3625" s="1684"/>
      <c r="AO3625" s="1684"/>
      <c r="AP3625" s="1684"/>
      <c r="AQ3625" s="1684"/>
      <c r="AR3625" s="1684"/>
      <c r="AS3625" s="1684"/>
      <c r="AT3625" s="1684"/>
      <c r="AU3625" s="1684"/>
      <c r="AV3625" s="1684"/>
      <c r="AW3625" s="1684"/>
      <c r="AX3625" s="1684"/>
      <c r="AY3625" s="1684"/>
      <c r="AZ3625" s="1684"/>
      <c r="BA3625" s="1684"/>
      <c r="BB3625" s="1684"/>
      <c r="BC3625" s="1684"/>
      <c r="BD3625" s="1684"/>
      <c r="BE3625" s="1684"/>
      <c r="BF3625" s="1684"/>
      <c r="BG3625" s="1684"/>
      <c r="BH3625" s="1684"/>
      <c r="BI3625" s="1684"/>
      <c r="BJ3625" s="1684"/>
      <c r="BK3625" s="1684"/>
      <c r="BL3625" s="1684"/>
      <c r="BM3625" s="1684"/>
      <c r="BN3625" s="1684"/>
      <c r="BO3625" s="1684"/>
      <c r="BP3625" s="1684"/>
      <c r="BQ3625" s="1684"/>
      <c r="BR3625" s="1684"/>
      <c r="BS3625" s="1684"/>
      <c r="BT3625" s="1684"/>
      <c r="BU3625" s="1684"/>
      <c r="BV3625" s="1684"/>
      <c r="BW3625" s="1684"/>
      <c r="BX3625" s="1684"/>
      <c r="BY3625" s="1684"/>
      <c r="BZ3625" s="1684"/>
      <c r="CA3625" s="1684"/>
      <c r="CB3625" s="1684"/>
      <c r="CC3625" s="1684"/>
      <c r="CD3625" s="1684"/>
      <c r="CE3625" s="1684"/>
      <c r="CF3625" s="1684"/>
      <c r="CG3625" s="1684"/>
      <c r="CH3625" s="1684"/>
      <c r="CI3625" s="1684"/>
      <c r="CJ3625" s="1684"/>
      <c r="CK3625" s="1684"/>
      <c r="CL3625" s="1684"/>
      <c r="CM3625" s="1684"/>
      <c r="CN3625" s="1684"/>
      <c r="CO3625" s="1684"/>
    </row>
    <row r="3626" spans="1:93" s="1391" customFormat="1" ht="15.75" x14ac:dyDescent="0.25">
      <c r="A3626" s="1417"/>
      <c r="B3626" s="1417">
        <v>0.63</v>
      </c>
      <c r="C3626" s="1417">
        <v>22</v>
      </c>
      <c r="E3626" s="1417"/>
      <c r="F3626" s="1728"/>
      <c r="G3626" s="1728"/>
      <c r="H3626" s="1728"/>
      <c r="I3626" s="1728"/>
      <c r="J3626" s="1728"/>
      <c r="K3626" s="1728"/>
      <c r="L3626" s="1728"/>
      <c r="M3626" s="1728"/>
      <c r="N3626" s="1728"/>
      <c r="O3626" s="1728"/>
      <c r="P3626" s="1728"/>
      <c r="Q3626" s="1728"/>
      <c r="R3626" s="1728"/>
      <c r="S3626" s="1728"/>
      <c r="T3626" s="1728"/>
      <c r="U3626" s="1728"/>
      <c r="V3626" s="1728"/>
      <c r="W3626" s="1728"/>
      <c r="X3626" s="1728"/>
      <c r="Y3626" s="1728"/>
      <c r="Z3626" s="1728"/>
      <c r="AA3626" s="1728"/>
      <c r="AB3626" s="1728"/>
      <c r="AC3626" s="1728"/>
      <c r="AD3626" s="1728"/>
      <c r="AE3626" s="1728"/>
      <c r="AF3626" s="1728"/>
      <c r="AG3626" s="1728"/>
      <c r="AH3626" s="1728"/>
      <c r="AI3626" s="1728"/>
      <c r="AJ3626" s="1728"/>
      <c r="AK3626" s="1684"/>
      <c r="AL3626" s="1684"/>
      <c r="AM3626" s="1684"/>
      <c r="AN3626" s="1684"/>
      <c r="AO3626" s="1684"/>
      <c r="AP3626" s="1684"/>
      <c r="AQ3626" s="1684"/>
      <c r="AR3626" s="1684"/>
      <c r="AS3626" s="1684"/>
      <c r="AT3626" s="1684"/>
      <c r="AU3626" s="1684"/>
      <c r="AV3626" s="1684"/>
      <c r="AW3626" s="1684"/>
      <c r="AX3626" s="1684"/>
      <c r="AY3626" s="1684"/>
      <c r="AZ3626" s="1684"/>
      <c r="BA3626" s="1684"/>
      <c r="BB3626" s="1684"/>
      <c r="BC3626" s="1684"/>
      <c r="BD3626" s="1684"/>
      <c r="BE3626" s="1684"/>
      <c r="BF3626" s="1684"/>
      <c r="BG3626" s="1684"/>
      <c r="BH3626" s="1684"/>
      <c r="BI3626" s="1684"/>
      <c r="BJ3626" s="1684"/>
      <c r="BK3626" s="1684"/>
      <c r="BL3626" s="1684"/>
      <c r="BM3626" s="1684"/>
      <c r="BN3626" s="1684"/>
      <c r="BO3626" s="1684"/>
      <c r="BP3626" s="1684"/>
      <c r="BQ3626" s="1684"/>
      <c r="BR3626" s="1684"/>
      <c r="BS3626" s="1684"/>
      <c r="BT3626" s="1684"/>
      <c r="BU3626" s="1684"/>
      <c r="BV3626" s="1684"/>
      <c r="BW3626" s="1684"/>
      <c r="BX3626" s="1684"/>
      <c r="BY3626" s="1684"/>
      <c r="BZ3626" s="1684"/>
      <c r="CA3626" s="1684"/>
      <c r="CB3626" s="1684"/>
      <c r="CC3626" s="1684"/>
      <c r="CD3626" s="1684"/>
      <c r="CE3626" s="1684"/>
      <c r="CF3626" s="1684"/>
      <c r="CG3626" s="1684"/>
      <c r="CH3626" s="1684"/>
      <c r="CI3626" s="1684"/>
      <c r="CJ3626" s="1684"/>
      <c r="CK3626" s="1684"/>
      <c r="CL3626" s="1684"/>
      <c r="CM3626" s="1684"/>
      <c r="CN3626" s="1684"/>
      <c r="CO3626" s="1684"/>
    </row>
    <row r="3627" spans="1:93" s="1391" customFormat="1" ht="15.75" x14ac:dyDescent="0.25">
      <c r="A3627" s="1417"/>
      <c r="B3627" s="1417">
        <v>0.9</v>
      </c>
      <c r="C3627" s="1417">
        <v>22</v>
      </c>
      <c r="E3627" s="1417"/>
      <c r="F3627" s="1694" t="s">
        <v>1487</v>
      </c>
      <c r="G3627" s="1694"/>
      <c r="H3627" s="1694"/>
      <c r="I3627" s="1694"/>
      <c r="J3627" s="1694"/>
      <c r="K3627" s="1694"/>
      <c r="L3627" s="1694"/>
      <c r="M3627" s="1694"/>
      <c r="N3627" s="1694"/>
      <c r="O3627" s="1417"/>
      <c r="P3627" s="1694" t="s">
        <v>1488</v>
      </c>
      <c r="Q3627" s="1694"/>
      <c r="R3627" s="1694"/>
      <c r="S3627" s="1694"/>
      <c r="T3627" s="1694"/>
      <c r="U3627" s="1694"/>
      <c r="V3627" s="1694"/>
      <c r="W3627" s="1694"/>
      <c r="X3627" s="1694"/>
      <c r="Y3627" s="1417"/>
      <c r="Z3627" s="1417"/>
      <c r="AA3627" s="1417"/>
      <c r="AB3627" s="1417"/>
      <c r="AC3627" s="1684"/>
      <c r="AL3627" s="1684"/>
      <c r="AM3627" s="1684"/>
      <c r="AN3627" s="1684"/>
      <c r="AO3627" s="1684"/>
      <c r="AP3627" s="1684"/>
      <c r="AQ3627" s="1684"/>
      <c r="AR3627" s="1684"/>
      <c r="AS3627" s="1684"/>
      <c r="AT3627" s="1684"/>
      <c r="AU3627" s="1684"/>
      <c r="AV3627" s="1684"/>
      <c r="AW3627" s="1684"/>
      <c r="AX3627" s="1684"/>
      <c r="AY3627" s="1684"/>
      <c r="AZ3627" s="1684"/>
      <c r="BA3627" s="1684"/>
      <c r="BB3627" s="1684"/>
      <c r="BC3627" s="1684"/>
      <c r="BD3627" s="1684"/>
      <c r="BE3627" s="1684"/>
      <c r="BF3627" s="1684"/>
      <c r="BG3627" s="1684"/>
      <c r="BH3627" s="1684"/>
      <c r="BI3627" s="1684"/>
      <c r="BJ3627" s="1684"/>
      <c r="BK3627" s="1684"/>
      <c r="BL3627" s="1684"/>
      <c r="BM3627" s="1684"/>
      <c r="BN3627" s="1684"/>
      <c r="BO3627" s="1684"/>
      <c r="BP3627" s="1684"/>
      <c r="BQ3627" s="1684"/>
      <c r="BR3627" s="1684"/>
      <c r="BS3627" s="1684"/>
      <c r="BT3627" s="1684"/>
      <c r="BU3627" s="1684"/>
      <c r="BV3627" s="1684"/>
      <c r="BW3627" s="1684"/>
      <c r="BX3627" s="1684"/>
      <c r="BY3627" s="1684"/>
      <c r="BZ3627" s="1684"/>
      <c r="CA3627" s="1684"/>
      <c r="CB3627" s="1684"/>
      <c r="CC3627" s="1684"/>
      <c r="CD3627" s="1684"/>
      <c r="CE3627" s="1684"/>
      <c r="CF3627" s="1684"/>
      <c r="CG3627" s="1684"/>
      <c r="CH3627" s="1684"/>
      <c r="CI3627" s="1684"/>
      <c r="CJ3627" s="1684"/>
      <c r="CK3627" s="1684"/>
      <c r="CL3627" s="1684"/>
      <c r="CM3627" s="1684"/>
      <c r="CN3627" s="1684"/>
      <c r="CO3627" s="1684"/>
    </row>
    <row r="3628" spans="1:93" s="1391" customFormat="1" ht="15.75" x14ac:dyDescent="0.25">
      <c r="A3628" s="1417"/>
      <c r="B3628" s="1417">
        <v>0.71</v>
      </c>
      <c r="C3628" s="1417">
        <v>24</v>
      </c>
      <c r="E3628" s="1417"/>
      <c r="F3628" s="1694" t="s">
        <v>3314</v>
      </c>
      <c r="G3628" s="1694"/>
      <c r="H3628" s="1694"/>
      <c r="I3628" s="1694"/>
      <c r="J3628" s="1694"/>
      <c r="K3628" s="1694"/>
      <c r="L3628" s="1694"/>
      <c r="M3628" s="1694"/>
      <c r="N3628" s="1694"/>
      <c r="O3628" s="1417"/>
      <c r="P3628" s="1694" t="s">
        <v>1081</v>
      </c>
      <c r="Q3628" s="1694"/>
      <c r="R3628" s="1694"/>
      <c r="S3628" s="1694"/>
      <c r="T3628" s="1694"/>
      <c r="U3628" s="1694"/>
      <c r="V3628" s="1694"/>
      <c r="W3628" s="1694"/>
      <c r="X3628" s="1694"/>
      <c r="Y3628" s="1417"/>
      <c r="Z3628" s="1417"/>
      <c r="AA3628" s="1417"/>
      <c r="AB3628" s="1417"/>
      <c r="AC3628" s="1684"/>
      <c r="AL3628" s="1684"/>
      <c r="AM3628" s="1684"/>
      <c r="AN3628" s="1684"/>
      <c r="AO3628" s="1684"/>
      <c r="AP3628" s="1684"/>
      <c r="AQ3628" s="1684"/>
      <c r="AR3628" s="1684"/>
      <c r="AS3628" s="1684"/>
      <c r="AT3628" s="1684"/>
      <c r="AU3628" s="1684"/>
      <c r="AV3628" s="1684"/>
      <c r="AW3628" s="1684"/>
      <c r="AX3628" s="1684"/>
      <c r="AY3628" s="1684"/>
      <c r="AZ3628" s="1684"/>
      <c r="BA3628" s="1684"/>
      <c r="BB3628" s="1684"/>
      <c r="BC3628" s="1684"/>
      <c r="BD3628" s="1684"/>
      <c r="BE3628" s="1684"/>
      <c r="BF3628" s="1684"/>
      <c r="BG3628" s="1684"/>
      <c r="BH3628" s="1684"/>
      <c r="BI3628" s="1684"/>
      <c r="BJ3628" s="1684"/>
      <c r="BK3628" s="1684"/>
      <c r="BL3628" s="1684"/>
      <c r="BM3628" s="1684"/>
      <c r="BN3628" s="1684"/>
      <c r="BO3628" s="1684"/>
      <c r="BP3628" s="1684"/>
      <c r="BQ3628" s="1684"/>
      <c r="BR3628" s="1684"/>
      <c r="BS3628" s="1684"/>
      <c r="BT3628" s="1684"/>
      <c r="BU3628" s="1684"/>
      <c r="BV3628" s="1684"/>
      <c r="BW3628" s="1684"/>
      <c r="BX3628" s="1684"/>
      <c r="BY3628" s="1684"/>
      <c r="BZ3628" s="1684"/>
      <c r="CA3628" s="1684"/>
      <c r="CB3628" s="1684"/>
      <c r="CC3628" s="1684"/>
      <c r="CD3628" s="1684"/>
      <c r="CE3628" s="1684"/>
      <c r="CF3628" s="1684"/>
      <c r="CG3628" s="1684"/>
      <c r="CH3628" s="1684"/>
      <c r="CI3628" s="1684"/>
      <c r="CJ3628" s="1684"/>
      <c r="CK3628" s="1684"/>
      <c r="CL3628" s="1684"/>
      <c r="CM3628" s="1684"/>
      <c r="CN3628" s="1684"/>
      <c r="CO3628" s="1684"/>
    </row>
    <row r="3629" spans="1:93" s="1391" customFormat="1" ht="15.75" x14ac:dyDescent="0.25">
      <c r="A3629" s="1417"/>
      <c r="B3629" s="1417">
        <v>1</v>
      </c>
      <c r="C3629" s="1417">
        <v>24</v>
      </c>
      <c r="E3629" s="1417"/>
      <c r="F3629" s="1694"/>
      <c r="G3629" s="1694" t="s">
        <v>1082</v>
      </c>
      <c r="H3629" s="1694"/>
      <c r="I3629" s="1694"/>
      <c r="J3629" s="1694"/>
      <c r="K3629" s="1694"/>
      <c r="L3629" s="1694"/>
      <c r="M3629" s="1694"/>
      <c r="N3629" s="1694"/>
      <c r="O3629" s="1417"/>
      <c r="P3629" s="1694"/>
      <c r="Q3629" s="1694" t="s">
        <v>1082</v>
      </c>
      <c r="R3629" s="1694"/>
      <c r="S3629" s="1694"/>
      <c r="T3629" s="1694"/>
      <c r="U3629" s="1694"/>
      <c r="V3629" s="1694"/>
      <c r="W3629" s="1694"/>
      <c r="X3629" s="1694"/>
      <c r="Y3629" s="1417"/>
      <c r="Z3629" s="1417"/>
      <c r="AA3629" s="1417"/>
      <c r="AB3629" s="1417"/>
      <c r="AC3629" s="1684"/>
      <c r="AL3629" s="1684"/>
      <c r="AM3629" s="1684"/>
      <c r="AN3629" s="1684"/>
      <c r="AO3629" s="1684"/>
      <c r="AP3629" s="1684"/>
      <c r="AQ3629" s="1684"/>
      <c r="AR3629" s="1684"/>
      <c r="AS3629" s="1684"/>
      <c r="AT3629" s="1684"/>
      <c r="AU3629" s="1684"/>
      <c r="AV3629" s="1684"/>
      <c r="AW3629" s="1684"/>
      <c r="AX3629" s="1684"/>
      <c r="AY3629" s="1684"/>
      <c r="AZ3629" s="1684"/>
      <c r="BA3629" s="1684"/>
      <c r="BB3629" s="1684"/>
      <c r="BC3629" s="1684"/>
      <c r="BD3629" s="1684"/>
      <c r="BE3629" s="1684"/>
      <c r="BF3629" s="1684"/>
      <c r="BG3629" s="1684"/>
      <c r="BH3629" s="1684"/>
      <c r="BI3629" s="1684"/>
      <c r="BJ3629" s="1684"/>
      <c r="BK3629" s="1684"/>
      <c r="BL3629" s="1684"/>
      <c r="BM3629" s="1684"/>
      <c r="BN3629" s="1684"/>
      <c r="BO3629" s="1684"/>
      <c r="BP3629" s="1684"/>
      <c r="BQ3629" s="1684"/>
      <c r="BR3629" s="1684"/>
      <c r="BS3629" s="1684"/>
      <c r="BT3629" s="1684"/>
      <c r="BU3629" s="1684"/>
      <c r="BV3629" s="1684"/>
      <c r="BW3629" s="1684"/>
      <c r="BX3629" s="1684"/>
      <c r="BY3629" s="1684"/>
      <c r="BZ3629" s="1684"/>
      <c r="CA3629" s="1684"/>
      <c r="CB3629" s="1684"/>
      <c r="CC3629" s="1684"/>
      <c r="CD3629" s="1684"/>
      <c r="CE3629" s="1684"/>
      <c r="CF3629" s="1684"/>
      <c r="CG3629" s="1684"/>
      <c r="CH3629" s="1684"/>
      <c r="CI3629" s="1684"/>
      <c r="CJ3629" s="1684"/>
      <c r="CK3629" s="1684"/>
      <c r="CL3629" s="1684"/>
      <c r="CM3629" s="1684"/>
      <c r="CN3629" s="1684"/>
      <c r="CO3629" s="1684"/>
    </row>
    <row r="3630" spans="1:93" s="1391" customFormat="1" ht="15.75" x14ac:dyDescent="0.25">
      <c r="A3630" s="1417"/>
      <c r="B3630" s="1417">
        <v>0.8</v>
      </c>
      <c r="C3630" s="1417">
        <v>27</v>
      </c>
      <c r="E3630" s="1417"/>
      <c r="F3630" s="1694" t="s">
        <v>1083</v>
      </c>
      <c r="G3630" s="1694" t="s">
        <v>1084</v>
      </c>
      <c r="H3630" s="1694" t="s">
        <v>1085</v>
      </c>
      <c r="I3630" s="1694" t="s">
        <v>3006</v>
      </c>
      <c r="J3630" s="1694" t="s">
        <v>3007</v>
      </c>
      <c r="K3630" s="1694"/>
      <c r="L3630" s="1694"/>
      <c r="M3630" s="1694"/>
      <c r="N3630" s="1694"/>
      <c r="O3630" s="1417"/>
      <c r="P3630" s="1694" t="s">
        <v>5602</v>
      </c>
      <c r="Q3630" s="1694" t="s">
        <v>1084</v>
      </c>
      <c r="R3630" s="1694" t="s">
        <v>1085</v>
      </c>
      <c r="S3630" s="1694" t="s">
        <v>3006</v>
      </c>
      <c r="T3630" s="1694" t="s">
        <v>3007</v>
      </c>
      <c r="U3630" s="1694"/>
      <c r="V3630" s="1694"/>
      <c r="W3630" s="1694"/>
      <c r="X3630" s="1694"/>
      <c r="Y3630" s="1417"/>
      <c r="Z3630" s="1417"/>
      <c r="AA3630" s="1417"/>
      <c r="AB3630" s="1417"/>
      <c r="AC3630" s="1684"/>
      <c r="AL3630" s="1684"/>
      <c r="AM3630" s="1684"/>
      <c r="AN3630" s="1684"/>
      <c r="AO3630" s="1684"/>
      <c r="AP3630" s="1684"/>
      <c r="AQ3630" s="1684"/>
      <c r="AR3630" s="1684"/>
      <c r="AS3630" s="1684"/>
      <c r="AT3630" s="1684"/>
      <c r="AU3630" s="1684"/>
      <c r="AV3630" s="1684"/>
      <c r="AW3630" s="1684"/>
      <c r="AX3630" s="1684"/>
      <c r="AY3630" s="1684"/>
      <c r="AZ3630" s="1684"/>
      <c r="BA3630" s="1684"/>
      <c r="BB3630" s="1684"/>
      <c r="BC3630" s="1684"/>
      <c r="BD3630" s="1684"/>
      <c r="BE3630" s="1684"/>
      <c r="BF3630" s="1684"/>
      <c r="BG3630" s="1684"/>
      <c r="BH3630" s="1684"/>
      <c r="BI3630" s="1684"/>
      <c r="BJ3630" s="1684"/>
      <c r="BK3630" s="1684"/>
      <c r="BL3630" s="1684"/>
      <c r="BM3630" s="1684"/>
      <c r="BN3630" s="1684"/>
      <c r="BO3630" s="1684"/>
      <c r="BP3630" s="1684"/>
      <c r="BQ3630" s="1684"/>
      <c r="BR3630" s="1684"/>
      <c r="BS3630" s="1684"/>
      <c r="BT3630" s="1684"/>
      <c r="BU3630" s="1684"/>
      <c r="BV3630" s="1684"/>
      <c r="BW3630" s="1684"/>
      <c r="BX3630" s="1684"/>
      <c r="BY3630" s="1684"/>
      <c r="BZ3630" s="1684"/>
      <c r="CA3630" s="1684"/>
      <c r="CB3630" s="1684"/>
      <c r="CC3630" s="1684"/>
      <c r="CD3630" s="1684"/>
      <c r="CE3630" s="1684"/>
      <c r="CF3630" s="1684"/>
      <c r="CG3630" s="1684"/>
      <c r="CH3630" s="1684"/>
      <c r="CI3630" s="1684"/>
      <c r="CJ3630" s="1684"/>
      <c r="CK3630" s="1684"/>
      <c r="CL3630" s="1684"/>
      <c r="CM3630" s="1684"/>
      <c r="CN3630" s="1684"/>
      <c r="CO3630" s="1684"/>
    </row>
    <row r="3631" spans="1:93" s="1391" customFormat="1" ht="15.75" x14ac:dyDescent="0.25">
      <c r="A3631" s="1417"/>
      <c r="B3631" s="1417">
        <v>1.1200000000000001</v>
      </c>
      <c r="C3631" s="1417">
        <v>27</v>
      </c>
      <c r="E3631" s="1417"/>
      <c r="F3631" s="1694" t="s">
        <v>3008</v>
      </c>
      <c r="G3631" s="1694">
        <v>168.3</v>
      </c>
      <c r="H3631" s="1694">
        <v>151.80000000000001</v>
      </c>
      <c r="I3631" s="1694">
        <v>124.3</v>
      </c>
      <c r="J3631" s="1694">
        <v>101.5</v>
      </c>
      <c r="K3631" s="1694"/>
      <c r="L3631" s="1694"/>
      <c r="M3631" s="1694"/>
      <c r="N3631" s="1694"/>
      <c r="O3631" s="1417"/>
      <c r="P3631" s="1694" t="s">
        <v>3008</v>
      </c>
      <c r="Q3631" s="1694">
        <v>43.6</v>
      </c>
      <c r="R3631" s="1694">
        <v>39.700000000000003</v>
      </c>
      <c r="S3631" s="1694">
        <v>31.7</v>
      </c>
      <c r="T3631" s="1694">
        <v>30.1</v>
      </c>
      <c r="U3631" s="1694"/>
      <c r="V3631" s="1694"/>
      <c r="W3631" s="1694"/>
      <c r="X3631" s="1694"/>
      <c r="Y3631" s="1417"/>
      <c r="Z3631" s="1417"/>
      <c r="AA3631" s="1417"/>
      <c r="AB3631" s="1417"/>
      <c r="AC3631" s="1684"/>
      <c r="AL3631" s="1684"/>
      <c r="AM3631" s="1684"/>
      <c r="AN3631" s="1684"/>
      <c r="AO3631" s="1684"/>
      <c r="AP3631" s="1684"/>
      <c r="AQ3631" s="1684"/>
      <c r="AR3631" s="1684"/>
      <c r="AS3631" s="1684"/>
      <c r="AT3631" s="1684"/>
      <c r="AU3631" s="1684"/>
      <c r="AV3631" s="1684"/>
      <c r="AW3631" s="1684"/>
      <c r="AX3631" s="1684"/>
      <c r="AY3631" s="1684"/>
      <c r="AZ3631" s="1684"/>
      <c r="BA3631" s="1684"/>
      <c r="BB3631" s="1684"/>
      <c r="BC3631" s="1684"/>
      <c r="BD3631" s="1684"/>
      <c r="BE3631" s="1684"/>
      <c r="BF3631" s="1684"/>
      <c r="BG3631" s="1684"/>
      <c r="BH3631" s="1684"/>
      <c r="BI3631" s="1684"/>
      <c r="BJ3631" s="1684"/>
      <c r="BK3631" s="1684"/>
      <c r="BL3631" s="1684"/>
      <c r="BM3631" s="1684"/>
      <c r="BN3631" s="1684"/>
      <c r="BO3631" s="1684"/>
      <c r="BP3631" s="1684"/>
      <c r="BQ3631" s="1684"/>
      <c r="BR3631" s="1684"/>
      <c r="BS3631" s="1684"/>
      <c r="BT3631" s="1684"/>
      <c r="BU3631" s="1684"/>
      <c r="BV3631" s="1684"/>
      <c r="BW3631" s="1684"/>
      <c r="BX3631" s="1684"/>
      <c r="BY3631" s="1684"/>
      <c r="BZ3631" s="1684"/>
      <c r="CA3631" s="1684"/>
      <c r="CB3631" s="1684"/>
      <c r="CC3631" s="1684"/>
      <c r="CD3631" s="1684"/>
      <c r="CE3631" s="1684"/>
      <c r="CF3631" s="1684"/>
      <c r="CG3631" s="1684"/>
      <c r="CH3631" s="1684"/>
      <c r="CI3631" s="1684"/>
      <c r="CJ3631" s="1684"/>
      <c r="CK3631" s="1684"/>
      <c r="CL3631" s="1684"/>
      <c r="CM3631" s="1684"/>
      <c r="CN3631" s="1684"/>
      <c r="CO3631" s="1684"/>
    </row>
    <row r="3632" spans="1:93" s="1391" customFormat="1" ht="15.75" x14ac:dyDescent="0.25">
      <c r="A3632" s="1417"/>
      <c r="B3632" s="1417">
        <v>0.9</v>
      </c>
      <c r="C3632" s="1417">
        <v>30</v>
      </c>
      <c r="E3632" s="1417"/>
      <c r="F3632" s="1694" t="s">
        <v>3009</v>
      </c>
      <c r="G3632" s="1694">
        <v>159.4</v>
      </c>
      <c r="H3632" s="1694">
        <v>143.9</v>
      </c>
      <c r="I3632" s="1694">
        <v>117.9</v>
      </c>
      <c r="J3632" s="1694">
        <v>95.7</v>
      </c>
      <c r="K3632" s="1694"/>
      <c r="L3632" s="1694"/>
      <c r="M3632" s="1694"/>
      <c r="N3632" s="1694"/>
      <c r="O3632" s="1417"/>
      <c r="P3632" s="1694" t="s">
        <v>3009</v>
      </c>
      <c r="Q3632" s="1694">
        <v>42.4</v>
      </c>
      <c r="R3632" s="1694">
        <v>38.1</v>
      </c>
      <c r="S3632" s="1694">
        <v>30.9</v>
      </c>
      <c r="T3632" s="1694">
        <v>29.2</v>
      </c>
      <c r="U3632" s="1694"/>
      <c r="V3632" s="1694"/>
      <c r="W3632" s="1694"/>
      <c r="X3632" s="1694"/>
      <c r="Y3632" s="1417"/>
      <c r="Z3632" s="1417"/>
      <c r="AA3632" s="1417"/>
      <c r="AB3632" s="1417"/>
      <c r="AC3632" s="1684"/>
      <c r="AL3632" s="1684"/>
      <c r="AM3632" s="1684"/>
      <c r="AN3632" s="1684"/>
      <c r="AO3632" s="1684"/>
      <c r="AP3632" s="1684"/>
      <c r="AQ3632" s="1684"/>
      <c r="AR3632" s="1684"/>
      <c r="AS3632" s="1684"/>
      <c r="AT3632" s="1684"/>
      <c r="AU3632" s="1684"/>
      <c r="AV3632" s="1684"/>
      <c r="AW3632" s="1684"/>
      <c r="AX3632" s="1684"/>
      <c r="AY3632" s="1684"/>
      <c r="AZ3632" s="1684"/>
      <c r="BA3632" s="1684"/>
      <c r="BB3632" s="1684"/>
      <c r="BC3632" s="1684"/>
      <c r="BD3632" s="1684"/>
      <c r="BE3632" s="1684"/>
      <c r="BF3632" s="1684"/>
      <c r="BG3632" s="1684"/>
      <c r="BH3632" s="1684"/>
      <c r="BI3632" s="1684"/>
      <c r="BJ3632" s="1684"/>
      <c r="BK3632" s="1684"/>
      <c r="BL3632" s="1684"/>
      <c r="BM3632" s="1684"/>
      <c r="BN3632" s="1684"/>
      <c r="BO3632" s="1684"/>
      <c r="BP3632" s="1684"/>
      <c r="BQ3632" s="1684"/>
      <c r="BR3632" s="1684"/>
      <c r="BS3632" s="1684"/>
      <c r="BT3632" s="1684"/>
      <c r="BU3632" s="1684"/>
      <c r="BV3632" s="1684"/>
      <c r="BW3632" s="1684"/>
      <c r="BX3632" s="1684"/>
      <c r="BY3632" s="1684"/>
      <c r="BZ3632" s="1684"/>
      <c r="CA3632" s="1684"/>
      <c r="CB3632" s="1684"/>
      <c r="CC3632" s="1684"/>
      <c r="CD3632" s="1684"/>
      <c r="CE3632" s="1684"/>
      <c r="CF3632" s="1684"/>
      <c r="CG3632" s="1684"/>
      <c r="CH3632" s="1684"/>
      <c r="CI3632" s="1684"/>
      <c r="CJ3632" s="1684"/>
      <c r="CK3632" s="1684"/>
      <c r="CL3632" s="1684"/>
      <c r="CM3632" s="1684"/>
      <c r="CN3632" s="1684"/>
      <c r="CO3632" s="1684"/>
    </row>
    <row r="3633" spans="1:93" s="1391" customFormat="1" ht="15.75" x14ac:dyDescent="0.25">
      <c r="A3633" s="1417"/>
      <c r="B3633" s="1417">
        <v>1.25</v>
      </c>
      <c r="C3633" s="1417">
        <v>30</v>
      </c>
      <c r="E3633" s="1417"/>
      <c r="F3633" s="1694" t="s">
        <v>3010</v>
      </c>
      <c r="G3633" s="1694">
        <v>144.5</v>
      </c>
      <c r="H3633" s="1694">
        <v>132.5</v>
      </c>
      <c r="I3633" s="1694">
        <v>107.1</v>
      </c>
      <c r="J3633" s="1694">
        <v>86.9</v>
      </c>
      <c r="K3633" s="1694"/>
      <c r="L3633" s="1694"/>
      <c r="M3633" s="1694"/>
      <c r="N3633" s="1694"/>
      <c r="O3633" s="1417"/>
      <c r="P3633" s="1694" t="s">
        <v>3010</v>
      </c>
      <c r="Q3633" s="1694">
        <v>39</v>
      </c>
      <c r="R3633" s="1694">
        <v>35.6</v>
      </c>
      <c r="S3633" s="1694">
        <v>28.9</v>
      </c>
      <c r="T3633" s="1694">
        <v>27</v>
      </c>
      <c r="U3633" s="1694"/>
      <c r="V3633" s="1694"/>
      <c r="W3633" s="1694"/>
      <c r="X3633" s="1694"/>
      <c r="Y3633" s="1417"/>
      <c r="Z3633" s="1417"/>
      <c r="AA3633" s="1417"/>
      <c r="AB3633" s="1417"/>
      <c r="AC3633" s="1684"/>
      <c r="AL3633" s="1684"/>
      <c r="AM3633" s="1684"/>
      <c r="AN3633" s="1684"/>
      <c r="AO3633" s="1684"/>
      <c r="AP3633" s="1684"/>
      <c r="AQ3633" s="1684"/>
      <c r="AR3633" s="1684"/>
      <c r="AS3633" s="1684"/>
      <c r="AT3633" s="1684"/>
      <c r="AU3633" s="1684"/>
      <c r="AV3633" s="1684"/>
      <c r="AW3633" s="1684"/>
      <c r="AX3633" s="1684"/>
      <c r="AY3633" s="1684"/>
      <c r="AZ3633" s="1684"/>
      <c r="BA3633" s="1684"/>
      <c r="BB3633" s="1684"/>
      <c r="BC3633" s="1684"/>
      <c r="BD3633" s="1684"/>
      <c r="BE3633" s="1684"/>
      <c r="BF3633" s="1684"/>
      <c r="BG3633" s="1684"/>
      <c r="BH3633" s="1684"/>
      <c r="BI3633" s="1684"/>
      <c r="BJ3633" s="1684"/>
      <c r="BK3633" s="1684"/>
      <c r="BL3633" s="1684"/>
      <c r="BM3633" s="1684"/>
      <c r="BN3633" s="1684"/>
      <c r="BO3633" s="1684"/>
      <c r="BP3633" s="1684"/>
      <c r="BQ3633" s="1684"/>
      <c r="BR3633" s="1684"/>
      <c r="BS3633" s="1684"/>
      <c r="BT3633" s="1684"/>
      <c r="BU3633" s="1684"/>
      <c r="BV3633" s="1684"/>
      <c r="BW3633" s="1684"/>
      <c r="BX3633" s="1684"/>
      <c r="BY3633" s="1684"/>
      <c r="BZ3633" s="1684"/>
      <c r="CA3633" s="1684"/>
      <c r="CB3633" s="1684"/>
      <c r="CC3633" s="1684"/>
      <c r="CD3633" s="1684"/>
      <c r="CE3633" s="1684"/>
      <c r="CF3633" s="1684"/>
      <c r="CG3633" s="1684"/>
      <c r="CH3633" s="1684"/>
      <c r="CI3633" s="1684"/>
      <c r="CJ3633" s="1684"/>
      <c r="CK3633" s="1684"/>
      <c r="CL3633" s="1684"/>
      <c r="CM3633" s="1684"/>
      <c r="CN3633" s="1684"/>
      <c r="CO3633" s="1684"/>
    </row>
    <row r="3634" spans="1:93" s="1391" customFormat="1" ht="15.75" x14ac:dyDescent="0.25">
      <c r="A3634" s="1417"/>
      <c r="B3634" s="1417">
        <v>1</v>
      </c>
      <c r="C3634" s="1417">
        <v>32</v>
      </c>
      <c r="E3634" s="1417"/>
      <c r="F3634" s="1694" t="s">
        <v>3011</v>
      </c>
      <c r="G3634" s="1694">
        <v>131.9</v>
      </c>
      <c r="H3634" s="1694">
        <v>121.3</v>
      </c>
      <c r="I3634" s="1694">
        <v>97.9</v>
      </c>
      <c r="J3634" s="1694">
        <v>79.5</v>
      </c>
      <c r="K3634" s="1694"/>
      <c r="L3634" s="1694"/>
      <c r="M3634" s="1694"/>
      <c r="N3634" s="1694"/>
      <c r="O3634" s="1417"/>
      <c r="P3634" s="1694" t="s">
        <v>3011</v>
      </c>
      <c r="Q3634" s="1694">
        <v>36.1</v>
      </c>
      <c r="R3634" s="1694">
        <v>33.200000000000003</v>
      </c>
      <c r="S3634" s="1694">
        <v>26.6</v>
      </c>
      <c r="T3634" s="1694">
        <v>25</v>
      </c>
      <c r="U3634" s="1694"/>
      <c r="V3634" s="1694"/>
      <c r="W3634" s="1694"/>
      <c r="X3634" s="1694"/>
      <c r="Y3634" s="1417"/>
      <c r="Z3634" s="1417"/>
      <c r="AA3634" s="1417"/>
      <c r="AB3634" s="1417"/>
      <c r="AC3634" s="1684"/>
      <c r="AL3634" s="1684"/>
      <c r="AM3634" s="1684"/>
      <c r="AN3634" s="1684"/>
      <c r="AO3634" s="1684"/>
      <c r="AP3634" s="1684"/>
      <c r="AQ3634" s="1684"/>
      <c r="AR3634" s="1684"/>
      <c r="AS3634" s="1684"/>
      <c r="AT3634" s="1684"/>
      <c r="AU3634" s="1684"/>
      <c r="AV3634" s="1684"/>
      <c r="AW3634" s="1684"/>
      <c r="AX3634" s="1684"/>
      <c r="AY3634" s="1684"/>
      <c r="AZ3634" s="1684"/>
      <c r="BA3634" s="1684"/>
      <c r="BB3634" s="1684"/>
      <c r="BC3634" s="1684"/>
      <c r="BD3634" s="1684"/>
      <c r="BE3634" s="1684"/>
      <c r="BF3634" s="1684"/>
      <c r="BG3634" s="1684"/>
      <c r="BH3634" s="1684"/>
      <c r="BI3634" s="1684"/>
      <c r="BJ3634" s="1684"/>
      <c r="BK3634" s="1684"/>
      <c r="BL3634" s="1684"/>
      <c r="BM3634" s="1684"/>
      <c r="BN3634" s="1684"/>
      <c r="BO3634" s="1684"/>
      <c r="BP3634" s="1684"/>
      <c r="BQ3634" s="1684"/>
      <c r="BR3634" s="1684"/>
      <c r="BS3634" s="1684"/>
      <c r="BT3634" s="1684"/>
      <c r="BU3634" s="1684"/>
      <c r="BV3634" s="1684"/>
      <c r="BW3634" s="1684"/>
      <c r="BX3634" s="1684"/>
      <c r="BY3634" s="1684"/>
      <c r="BZ3634" s="1684"/>
      <c r="CA3634" s="1684"/>
      <c r="CB3634" s="1684"/>
      <c r="CC3634" s="1684"/>
      <c r="CD3634" s="1684"/>
      <c r="CE3634" s="1684"/>
      <c r="CF3634" s="1684"/>
      <c r="CG3634" s="1684"/>
      <c r="CH3634" s="1684"/>
      <c r="CI3634" s="1684"/>
      <c r="CJ3634" s="1684"/>
      <c r="CK3634" s="1684"/>
      <c r="CL3634" s="1684"/>
      <c r="CM3634" s="1684"/>
      <c r="CN3634" s="1684"/>
      <c r="CO3634" s="1684"/>
    </row>
    <row r="3635" spans="1:93" s="1391" customFormat="1" ht="15.75" x14ac:dyDescent="0.25">
      <c r="A3635" s="1417"/>
      <c r="B3635" s="1417">
        <v>1.4</v>
      </c>
      <c r="C3635" s="1417">
        <v>32</v>
      </c>
      <c r="E3635" s="1417"/>
      <c r="F3635" s="1694" t="s">
        <v>3012</v>
      </c>
      <c r="G3635" s="1694">
        <v>120.1</v>
      </c>
      <c r="H3635" s="1694">
        <v>111.4</v>
      </c>
      <c r="I3635" s="1694">
        <v>90</v>
      </c>
      <c r="J3635" s="1694">
        <v>73</v>
      </c>
      <c r="K3635" s="1694"/>
      <c r="L3635" s="1694"/>
      <c r="M3635" s="1694"/>
      <c r="N3635" s="1694"/>
      <c r="O3635" s="1417"/>
      <c r="P3635" s="1694" t="s">
        <v>3012</v>
      </c>
      <c r="Q3635" s="1694">
        <v>33.6</v>
      </c>
      <c r="R3635" s="1694">
        <v>30.7</v>
      </c>
      <c r="S3635" s="1694">
        <v>24.8</v>
      </c>
      <c r="T3635" s="1694">
        <v>22.9</v>
      </c>
      <c r="U3635" s="1694"/>
      <c r="V3635" s="1694"/>
      <c r="W3635" s="1694"/>
      <c r="X3635" s="1694"/>
      <c r="Y3635" s="1417"/>
      <c r="Z3635" s="1417"/>
      <c r="AA3635" s="1417"/>
      <c r="AB3635" s="1417"/>
      <c r="AC3635" s="1684"/>
      <c r="AL3635" s="1684"/>
      <c r="AM3635" s="1684"/>
      <c r="AN3635" s="1684"/>
      <c r="AO3635" s="1684"/>
      <c r="AP3635" s="1684"/>
      <c r="AQ3635" s="1684"/>
      <c r="AR3635" s="1684"/>
      <c r="AS3635" s="1684"/>
      <c r="AT3635" s="1684"/>
      <c r="AU3635" s="1684"/>
      <c r="AV3635" s="1684"/>
      <c r="AW3635" s="1684"/>
      <c r="AX3635" s="1684"/>
      <c r="AY3635" s="1684"/>
      <c r="AZ3635" s="1684"/>
      <c r="BA3635" s="1684"/>
      <c r="BB3635" s="1684"/>
      <c r="BC3635" s="1684"/>
      <c r="BD3635" s="1684"/>
      <c r="BE3635" s="1684"/>
      <c r="BF3635" s="1684"/>
      <c r="BG3635" s="1684"/>
      <c r="BH3635" s="1684"/>
      <c r="BI3635" s="1684"/>
      <c r="BJ3635" s="1684"/>
      <c r="BK3635" s="1684"/>
      <c r="BL3635" s="1684"/>
      <c r="BM3635" s="1684"/>
      <c r="BN3635" s="1684"/>
      <c r="BO3635" s="1684"/>
      <c r="BP3635" s="1684"/>
      <c r="BQ3635" s="1684"/>
      <c r="BR3635" s="1684"/>
      <c r="BS3635" s="1684"/>
      <c r="BT3635" s="1684"/>
      <c r="BU3635" s="1684"/>
      <c r="BV3635" s="1684"/>
      <c r="BW3635" s="1684"/>
      <c r="BX3635" s="1684"/>
      <c r="BY3635" s="1684"/>
      <c r="BZ3635" s="1684"/>
      <c r="CA3635" s="1684"/>
      <c r="CB3635" s="1684"/>
      <c r="CC3635" s="1684"/>
      <c r="CD3635" s="1684"/>
      <c r="CE3635" s="1684"/>
      <c r="CF3635" s="1684"/>
      <c r="CG3635" s="1684"/>
      <c r="CH3635" s="1684"/>
      <c r="CI3635" s="1684"/>
      <c r="CJ3635" s="1684"/>
      <c r="CK3635" s="1684"/>
      <c r="CL3635" s="1684"/>
      <c r="CM3635" s="1684"/>
      <c r="CN3635" s="1684"/>
      <c r="CO3635" s="1684"/>
    </row>
    <row r="3636" spans="1:93" s="1391" customFormat="1" ht="15.75" x14ac:dyDescent="0.25">
      <c r="A3636" s="1417"/>
      <c r="B3636" s="1417">
        <v>1.1200000000000001</v>
      </c>
      <c r="C3636" s="1417">
        <v>36</v>
      </c>
      <c r="E3636" s="1417"/>
      <c r="F3636" s="1694" t="s">
        <v>3013</v>
      </c>
      <c r="G3636" s="1694">
        <v>112</v>
      </c>
      <c r="H3636" s="1694">
        <v>102.9</v>
      </c>
      <c r="I3636" s="1694">
        <v>83</v>
      </c>
      <c r="J3636" s="1694">
        <v>67.3</v>
      </c>
      <c r="K3636" s="1694"/>
      <c r="L3636" s="1694"/>
      <c r="M3636" s="1694"/>
      <c r="N3636" s="1694"/>
      <c r="O3636" s="1417"/>
      <c r="P3636" s="1694" t="s">
        <v>3013</v>
      </c>
      <c r="Q3636" s="1694">
        <v>31.3</v>
      </c>
      <c r="R3636" s="1694">
        <v>28.9</v>
      </c>
      <c r="S3636" s="1694">
        <v>23</v>
      </c>
      <c r="T3636" s="1694">
        <v>21</v>
      </c>
      <c r="U3636" s="1694"/>
      <c r="V3636" s="1694"/>
      <c r="W3636" s="1694"/>
      <c r="X3636" s="1694"/>
      <c r="Y3636" s="1417"/>
      <c r="Z3636" s="1417"/>
      <c r="AA3636" s="1417"/>
      <c r="AB3636" s="1417"/>
      <c r="AC3636" s="1684"/>
      <c r="AL3636" s="1684"/>
      <c r="AM3636" s="1684"/>
      <c r="AN3636" s="1684"/>
      <c r="AO3636" s="1684"/>
      <c r="AP3636" s="1684"/>
      <c r="AQ3636" s="1684"/>
      <c r="AR3636" s="1684"/>
      <c r="AS3636" s="1684"/>
      <c r="AT3636" s="1684"/>
      <c r="AU3636" s="1684"/>
      <c r="AV3636" s="1684"/>
      <c r="AW3636" s="1684"/>
      <c r="AX3636" s="1684"/>
      <c r="AY3636" s="1684"/>
      <c r="AZ3636" s="1684"/>
      <c r="BA3636" s="1684"/>
      <c r="BB3636" s="1684"/>
      <c r="BC3636" s="1684"/>
      <c r="BD3636" s="1684"/>
      <c r="BE3636" s="1684"/>
      <c r="BF3636" s="1684"/>
      <c r="BG3636" s="1684"/>
      <c r="BH3636" s="1684"/>
      <c r="BI3636" s="1684"/>
      <c r="BJ3636" s="1684"/>
      <c r="BK3636" s="1684"/>
      <c r="BL3636" s="1684"/>
      <c r="BM3636" s="1684"/>
      <c r="BN3636" s="1684"/>
      <c r="BO3636" s="1684"/>
      <c r="BP3636" s="1684"/>
      <c r="BQ3636" s="1684"/>
      <c r="BR3636" s="1684"/>
      <c r="BS3636" s="1684"/>
      <c r="BT3636" s="1684"/>
      <c r="BU3636" s="1684"/>
      <c r="BV3636" s="1684"/>
      <c r="BW3636" s="1684"/>
      <c r="BX3636" s="1684"/>
      <c r="BY3636" s="1684"/>
      <c r="BZ3636" s="1684"/>
      <c r="CA3636" s="1684"/>
      <c r="CB3636" s="1684"/>
      <c r="CC3636" s="1684"/>
      <c r="CD3636" s="1684"/>
      <c r="CE3636" s="1684"/>
      <c r="CF3636" s="1684"/>
      <c r="CG3636" s="1684"/>
      <c r="CH3636" s="1684"/>
      <c r="CI3636" s="1684"/>
      <c r="CJ3636" s="1684"/>
      <c r="CK3636" s="1684"/>
      <c r="CL3636" s="1684"/>
      <c r="CM3636" s="1684"/>
      <c r="CN3636" s="1684"/>
      <c r="CO3636" s="1684"/>
    </row>
    <row r="3637" spans="1:93" s="1391" customFormat="1" ht="15.75" x14ac:dyDescent="0.25">
      <c r="A3637" s="1417"/>
      <c r="B3637" s="1417">
        <v>1.85</v>
      </c>
      <c r="C3637" s="1417">
        <v>58</v>
      </c>
      <c r="E3637" s="1417"/>
      <c r="F3637" s="1694" t="s">
        <v>3014</v>
      </c>
      <c r="G3637" s="1694">
        <v>107</v>
      </c>
      <c r="H3637" s="1694">
        <v>95.4</v>
      </c>
      <c r="I3637" s="1694">
        <v>77.599999999999994</v>
      </c>
      <c r="J3637" s="1694">
        <v>63.5</v>
      </c>
      <c r="K3637" s="1694"/>
      <c r="L3637" s="1694"/>
      <c r="M3637" s="1694"/>
      <c r="N3637" s="1694"/>
      <c r="O3637" s="1417"/>
      <c r="P3637" s="1694" t="s">
        <v>3014</v>
      </c>
      <c r="Q3637" s="1694">
        <v>29.5</v>
      </c>
      <c r="R3637" s="1694">
        <v>26.7</v>
      </c>
      <c r="S3637" s="1694">
        <v>21.5</v>
      </c>
      <c r="T3637" s="1694">
        <v>19.3</v>
      </c>
      <c r="U3637" s="1694"/>
      <c r="V3637" s="1694"/>
      <c r="W3637" s="1694"/>
      <c r="X3637" s="1694"/>
      <c r="Y3637" s="1417"/>
      <c r="Z3637" s="1417"/>
      <c r="AA3637" s="1417"/>
      <c r="AB3637" s="1417"/>
      <c r="AC3637" s="1684"/>
      <c r="AL3637" s="1684"/>
      <c r="AM3637" s="1684"/>
      <c r="AN3637" s="1684"/>
      <c r="AO3637" s="1684"/>
      <c r="AP3637" s="1684"/>
      <c r="AQ3637" s="1684"/>
      <c r="AR3637" s="1684"/>
      <c r="AS3637" s="1684"/>
      <c r="AT3637" s="1684"/>
      <c r="AU3637" s="1684"/>
      <c r="AV3637" s="1684"/>
      <c r="AW3637" s="1684"/>
      <c r="AX3637" s="1684"/>
      <c r="AY3637" s="1684"/>
      <c r="AZ3637" s="1684"/>
      <c r="BA3637" s="1684"/>
      <c r="BB3637" s="1684"/>
      <c r="BC3637" s="1684"/>
      <c r="BD3637" s="1684"/>
      <c r="BE3637" s="1684"/>
      <c r="BF3637" s="1684"/>
      <c r="BG3637" s="1684"/>
      <c r="BH3637" s="1684"/>
      <c r="BI3637" s="1684"/>
      <c r="BJ3637" s="1684"/>
      <c r="BK3637" s="1684"/>
      <c r="BL3637" s="1684"/>
      <c r="BM3637" s="1684"/>
      <c r="BN3637" s="1684"/>
      <c r="BO3637" s="1684"/>
      <c r="BP3637" s="1684"/>
      <c r="BQ3637" s="1684"/>
      <c r="BR3637" s="1684"/>
      <c r="BS3637" s="1684"/>
      <c r="BT3637" s="1684"/>
      <c r="BU3637" s="1684"/>
      <c r="BV3637" s="1684"/>
      <c r="BW3637" s="1684"/>
      <c r="BX3637" s="1684"/>
      <c r="BY3637" s="1684"/>
      <c r="BZ3637" s="1684"/>
      <c r="CA3637" s="1684"/>
      <c r="CB3637" s="1684"/>
      <c r="CC3637" s="1684"/>
      <c r="CD3637" s="1684"/>
      <c r="CE3637" s="1684"/>
      <c r="CF3637" s="1684"/>
      <c r="CG3637" s="1684"/>
      <c r="CH3637" s="1684"/>
      <c r="CI3637" s="1684"/>
      <c r="CJ3637" s="1684"/>
      <c r="CK3637" s="1684"/>
      <c r="CL3637" s="1684"/>
      <c r="CM3637" s="1684"/>
      <c r="CN3637" s="1684"/>
      <c r="CO3637" s="1684"/>
    </row>
    <row r="3638" spans="1:93" s="1391" customFormat="1" ht="15.75" x14ac:dyDescent="0.25">
      <c r="A3638" s="1417"/>
      <c r="B3638" s="1417">
        <v>2.5</v>
      </c>
      <c r="C3638" s="1417">
        <v>58</v>
      </c>
      <c r="E3638" s="1417"/>
      <c r="F3638" s="1694" t="s">
        <v>3015</v>
      </c>
      <c r="G3638" s="1694">
        <v>97.5</v>
      </c>
      <c r="H3638" s="1694">
        <v>83.1</v>
      </c>
      <c r="I3638" s="1694">
        <v>69</v>
      </c>
      <c r="J3638" s="1694">
        <v>56.4</v>
      </c>
      <c r="K3638" s="1694"/>
      <c r="L3638" s="1694"/>
      <c r="M3638" s="1694"/>
      <c r="N3638" s="1694"/>
      <c r="O3638" s="1417"/>
      <c r="P3638" s="1694" t="s">
        <v>3015</v>
      </c>
      <c r="Q3638" s="1694">
        <v>27.1</v>
      </c>
      <c r="R3638" s="1694">
        <v>24.4</v>
      </c>
      <c r="S3638" s="1694">
        <v>19.3</v>
      </c>
      <c r="T3638" s="1694">
        <v>17.2</v>
      </c>
      <c r="U3638" s="1694"/>
      <c r="V3638" s="1694"/>
      <c r="W3638" s="1694"/>
      <c r="X3638" s="1694"/>
      <c r="Y3638" s="1417"/>
      <c r="Z3638" s="1417"/>
      <c r="AA3638" s="1417"/>
      <c r="AB3638" s="1417"/>
      <c r="AC3638" s="1684"/>
      <c r="AL3638" s="1684"/>
      <c r="AM3638" s="1684"/>
      <c r="AN3638" s="1684"/>
      <c r="AO3638" s="1684"/>
      <c r="AP3638" s="1684"/>
      <c r="AQ3638" s="1684"/>
      <c r="AR3638" s="1684"/>
      <c r="AS3638" s="1684"/>
      <c r="AT3638" s="1684"/>
      <c r="AU3638" s="1684"/>
      <c r="AV3638" s="1684"/>
      <c r="AW3638" s="1684"/>
      <c r="AX3638" s="1684"/>
      <c r="AY3638" s="1684"/>
      <c r="AZ3638" s="1684"/>
      <c r="BA3638" s="1684"/>
      <c r="BB3638" s="1684"/>
      <c r="BC3638" s="1684"/>
      <c r="BD3638" s="1684"/>
      <c r="BE3638" s="1684"/>
      <c r="BF3638" s="1684"/>
      <c r="BG3638" s="1684"/>
      <c r="BH3638" s="1684"/>
      <c r="BI3638" s="1684"/>
      <c r="BJ3638" s="1684"/>
      <c r="BK3638" s="1684"/>
      <c r="BL3638" s="1684"/>
      <c r="BM3638" s="1684"/>
      <c r="BN3638" s="1684"/>
      <c r="BO3638" s="1684"/>
      <c r="BP3638" s="1684"/>
      <c r="BQ3638" s="1684"/>
      <c r="BR3638" s="1684"/>
      <c r="BS3638" s="1684"/>
      <c r="BT3638" s="1684"/>
      <c r="BU3638" s="1684"/>
      <c r="BV3638" s="1684"/>
      <c r="BW3638" s="1684"/>
      <c r="BX3638" s="1684"/>
      <c r="BY3638" s="1684"/>
      <c r="BZ3638" s="1684"/>
      <c r="CA3638" s="1684"/>
      <c r="CB3638" s="1684"/>
      <c r="CC3638" s="1684"/>
      <c r="CD3638" s="1684"/>
      <c r="CE3638" s="1684"/>
      <c r="CF3638" s="1684"/>
      <c r="CG3638" s="1684"/>
      <c r="CH3638" s="1684"/>
      <c r="CI3638" s="1684"/>
      <c r="CJ3638" s="1684"/>
      <c r="CK3638" s="1684"/>
      <c r="CL3638" s="1684"/>
      <c r="CM3638" s="1684"/>
      <c r="CN3638" s="1684"/>
      <c r="CO3638" s="1684"/>
    </row>
    <row r="3639" spans="1:93" s="1391" customFormat="1" ht="15.75" x14ac:dyDescent="0.25">
      <c r="A3639" s="1417"/>
      <c r="B3639" s="1417">
        <v>2.1</v>
      </c>
      <c r="C3639" s="1417">
        <v>62</v>
      </c>
      <c r="E3639" s="1417"/>
      <c r="F3639" s="1694" t="s">
        <v>3016</v>
      </c>
      <c r="G3639" s="1694">
        <v>87.9</v>
      </c>
      <c r="H3639" s="1694">
        <v>78.3</v>
      </c>
      <c r="I3639" s="1694">
        <v>60.9</v>
      </c>
      <c r="J3639" s="1694">
        <v>49.7</v>
      </c>
      <c r="K3639" s="1694"/>
      <c r="L3639" s="1694"/>
      <c r="M3639" s="1694"/>
      <c r="N3639" s="1694"/>
      <c r="O3639" s="1417"/>
      <c r="P3639" s="1694" t="s">
        <v>3016</v>
      </c>
      <c r="Q3639" s="1694">
        <v>24.6</v>
      </c>
      <c r="R3639" s="1694">
        <v>22</v>
      </c>
      <c r="S3639" s="1694">
        <v>17.2</v>
      </c>
      <c r="T3639" s="1694">
        <v>15.3</v>
      </c>
      <c r="U3639" s="1694"/>
      <c r="V3639" s="1694"/>
      <c r="W3639" s="1694"/>
      <c r="X3639" s="1694"/>
      <c r="Y3639" s="1417"/>
      <c r="Z3639" s="1417"/>
      <c r="AA3639" s="1417"/>
      <c r="AB3639" s="1417"/>
      <c r="AC3639" s="1684"/>
      <c r="AL3639" s="1684"/>
      <c r="AM3639" s="1684"/>
      <c r="AN3639" s="1684"/>
      <c r="AO3639" s="1684"/>
      <c r="AP3639" s="1684"/>
      <c r="AQ3639" s="1684"/>
      <c r="AR3639" s="1684"/>
      <c r="AS3639" s="1684"/>
      <c r="AT3639" s="1684"/>
      <c r="AU3639" s="1684"/>
      <c r="AV3639" s="1684"/>
      <c r="AW3639" s="1684"/>
      <c r="AX3639" s="1684"/>
      <c r="AY3639" s="1684"/>
      <c r="AZ3639" s="1684"/>
      <c r="BA3639" s="1684"/>
      <c r="BB3639" s="1684"/>
      <c r="BC3639" s="1684"/>
      <c r="BD3639" s="1684"/>
      <c r="BE3639" s="1684"/>
      <c r="BF3639" s="1684"/>
      <c r="BG3639" s="1684"/>
      <c r="BH3639" s="1684"/>
      <c r="BI3639" s="1684"/>
      <c r="BJ3639" s="1684"/>
      <c r="BK3639" s="1684"/>
      <c r="BL3639" s="1684"/>
      <c r="BM3639" s="1684"/>
      <c r="BN3639" s="1684"/>
      <c r="BO3639" s="1684"/>
      <c r="BP3639" s="1684"/>
      <c r="BQ3639" s="1684"/>
      <c r="BR3639" s="1684"/>
      <c r="BS3639" s="1684"/>
      <c r="BT3639" s="1684"/>
      <c r="BU3639" s="1684"/>
      <c r="BV3639" s="1684"/>
      <c r="BW3639" s="1684"/>
      <c r="BX3639" s="1684"/>
      <c r="BY3639" s="1684"/>
      <c r="BZ3639" s="1684"/>
      <c r="CA3639" s="1684"/>
      <c r="CB3639" s="1684"/>
      <c r="CC3639" s="1684"/>
      <c r="CD3639" s="1684"/>
      <c r="CE3639" s="1684"/>
      <c r="CF3639" s="1684"/>
      <c r="CG3639" s="1684"/>
      <c r="CH3639" s="1684"/>
      <c r="CI3639" s="1684"/>
      <c r="CJ3639" s="1684"/>
      <c r="CK3639" s="1684"/>
      <c r="CL3639" s="1684"/>
      <c r="CM3639" s="1684"/>
      <c r="CN3639" s="1684"/>
      <c r="CO3639" s="1684"/>
    </row>
    <row r="3640" spans="1:93" s="1391" customFormat="1" ht="15.75" x14ac:dyDescent="0.25">
      <c r="A3640" s="1417"/>
      <c r="B3640" s="1417">
        <v>2.75</v>
      </c>
      <c r="C3640" s="1417">
        <v>62</v>
      </c>
      <c r="E3640" s="1417"/>
      <c r="F3640" s="1694" t="s">
        <v>3017</v>
      </c>
      <c r="G3640" s="1694">
        <v>78.7</v>
      </c>
      <c r="H3640" s="1694">
        <v>70.2</v>
      </c>
      <c r="I3640" s="1694">
        <v>53.5</v>
      </c>
      <c r="J3640" s="1694">
        <v>44.1</v>
      </c>
      <c r="K3640" s="1694"/>
      <c r="L3640" s="1694"/>
      <c r="M3640" s="1694"/>
      <c r="N3640" s="1694"/>
      <c r="O3640" s="1417"/>
      <c r="P3640" s="1694" t="s">
        <v>3017</v>
      </c>
      <c r="Q3640" s="1694">
        <v>22.2</v>
      </c>
      <c r="R3640" s="1694">
        <v>19.8</v>
      </c>
      <c r="S3640" s="1694">
        <v>15.3</v>
      </c>
      <c r="T3640" s="1694">
        <v>13.5</v>
      </c>
      <c r="U3640" s="1694"/>
      <c r="V3640" s="1694"/>
      <c r="W3640" s="1694"/>
      <c r="X3640" s="1694"/>
      <c r="Y3640" s="1417"/>
      <c r="Z3640" s="1417"/>
      <c r="AA3640" s="1417"/>
      <c r="AB3640" s="1417"/>
      <c r="AC3640" s="1684"/>
      <c r="AL3640" s="1684"/>
      <c r="AM3640" s="1684"/>
      <c r="AN3640" s="1684"/>
      <c r="AO3640" s="1684"/>
      <c r="AP3640" s="1684"/>
      <c r="AQ3640" s="1684"/>
      <c r="AR3640" s="1684"/>
      <c r="AS3640" s="1684"/>
      <c r="AT3640" s="1684"/>
      <c r="AU3640" s="1684"/>
      <c r="AV3640" s="1684"/>
      <c r="AW3640" s="1684"/>
      <c r="AX3640" s="1684"/>
      <c r="AY3640" s="1684"/>
      <c r="AZ3640" s="1684"/>
      <c r="BA3640" s="1684"/>
      <c r="BB3640" s="1684"/>
      <c r="BC3640" s="1684"/>
      <c r="BD3640" s="1684"/>
      <c r="BE3640" s="1684"/>
      <c r="BF3640" s="1684"/>
      <c r="BG3640" s="1684"/>
      <c r="BH3640" s="1684"/>
      <c r="BI3640" s="1684"/>
      <c r="BJ3640" s="1684"/>
      <c r="BK3640" s="1684"/>
      <c r="BL3640" s="1684"/>
      <c r="BM3640" s="1684"/>
      <c r="BN3640" s="1684"/>
      <c r="BO3640" s="1684"/>
      <c r="BP3640" s="1684"/>
      <c r="BQ3640" s="1684"/>
      <c r="BR3640" s="1684"/>
      <c r="BS3640" s="1684"/>
      <c r="BT3640" s="1684"/>
      <c r="BU3640" s="1684"/>
      <c r="BV3640" s="1684"/>
      <c r="BW3640" s="1684"/>
      <c r="BX3640" s="1684"/>
      <c r="BY3640" s="1684"/>
      <c r="BZ3640" s="1684"/>
      <c r="CA3640" s="1684"/>
      <c r="CB3640" s="1684"/>
      <c r="CC3640" s="1684"/>
      <c r="CD3640" s="1684"/>
      <c r="CE3640" s="1684"/>
      <c r="CF3640" s="1684"/>
      <c r="CG3640" s="1684"/>
      <c r="CH3640" s="1684"/>
      <c r="CI3640" s="1684"/>
      <c r="CJ3640" s="1684"/>
      <c r="CK3640" s="1684"/>
      <c r="CL3640" s="1684"/>
      <c r="CM3640" s="1684"/>
      <c r="CN3640" s="1684"/>
      <c r="CO3640" s="1684"/>
    </row>
    <row r="3641" spans="1:93" s="1391" customFormat="1" ht="15.75" x14ac:dyDescent="0.25">
      <c r="A3641" s="1417"/>
      <c r="B3641" s="1417">
        <v>2.35</v>
      </c>
      <c r="C3641" s="1417">
        <v>64</v>
      </c>
      <c r="E3641" s="1417"/>
      <c r="F3641" s="1694" t="s">
        <v>3018</v>
      </c>
      <c r="G3641" s="1694">
        <v>70.2</v>
      </c>
      <c r="H3641" s="1694">
        <v>62.6</v>
      </c>
      <c r="I3641" s="1694">
        <v>47.1</v>
      </c>
      <c r="J3641" s="1694">
        <v>38.4</v>
      </c>
      <c r="K3641" s="1694"/>
      <c r="L3641" s="1694"/>
      <c r="M3641" s="1694"/>
      <c r="N3641" s="1694"/>
      <c r="O3641" s="1417"/>
      <c r="P3641" s="1694" t="s">
        <v>3018</v>
      </c>
      <c r="Q3641" s="1694">
        <v>19.100000000000001</v>
      </c>
      <c r="R3641" s="1694">
        <v>17.7</v>
      </c>
      <c r="S3641" s="1694">
        <v>13.5</v>
      </c>
      <c r="T3641" s="1694">
        <v>11.9</v>
      </c>
      <c r="U3641" s="1694"/>
      <c r="V3641" s="1694"/>
      <c r="W3641" s="1694"/>
      <c r="X3641" s="1694"/>
      <c r="Y3641" s="1417"/>
      <c r="Z3641" s="1417"/>
      <c r="AA3641" s="1417"/>
      <c r="AB3641" s="1417"/>
      <c r="AC3641" s="1684"/>
      <c r="AL3641" s="1684"/>
      <c r="AM3641" s="1684"/>
      <c r="AN3641" s="1684"/>
      <c r="AO3641" s="1684"/>
      <c r="AP3641" s="1684"/>
      <c r="AQ3641" s="1684"/>
      <c r="AR3641" s="1684"/>
      <c r="AS3641" s="1684"/>
      <c r="AT3641" s="1684"/>
      <c r="AU3641" s="1684"/>
      <c r="AV3641" s="1684"/>
      <c r="AW3641" s="1684"/>
      <c r="AX3641" s="1684"/>
      <c r="AY3641" s="1684"/>
      <c r="AZ3641" s="1684"/>
      <c r="BA3641" s="1684"/>
      <c r="BB3641" s="1684"/>
      <c r="BC3641" s="1684"/>
      <c r="BD3641" s="1684"/>
      <c r="BE3641" s="1684"/>
      <c r="BF3641" s="1684"/>
      <c r="BG3641" s="1684"/>
      <c r="BH3641" s="1684"/>
      <c r="BI3641" s="1684"/>
      <c r="BJ3641" s="1684"/>
      <c r="BK3641" s="1684"/>
      <c r="BL3641" s="1684"/>
      <c r="BM3641" s="1684"/>
      <c r="BN3641" s="1684"/>
      <c r="BO3641" s="1684"/>
      <c r="BP3641" s="1684"/>
      <c r="BQ3641" s="1684"/>
      <c r="BR3641" s="1684"/>
      <c r="BS3641" s="1684"/>
      <c r="BT3641" s="1684"/>
      <c r="BU3641" s="1684"/>
      <c r="BV3641" s="1684"/>
      <c r="BW3641" s="1684"/>
      <c r="BX3641" s="1684"/>
      <c r="BY3641" s="1684"/>
      <c r="BZ3641" s="1684"/>
      <c r="CA3641" s="1684"/>
      <c r="CB3641" s="1684"/>
      <c r="CC3641" s="1684"/>
      <c r="CD3641" s="1684"/>
      <c r="CE3641" s="1684"/>
      <c r="CF3641" s="1684"/>
      <c r="CG3641" s="1684"/>
      <c r="CH3641" s="1684"/>
      <c r="CI3641" s="1684"/>
      <c r="CJ3641" s="1684"/>
      <c r="CK3641" s="1684"/>
      <c r="CL3641" s="1684"/>
      <c r="CM3641" s="1684"/>
      <c r="CN3641" s="1684"/>
      <c r="CO3641" s="1684"/>
    </row>
    <row r="3642" spans="1:93" s="1391" customFormat="1" ht="15.75" x14ac:dyDescent="0.25">
      <c r="A3642" s="1417"/>
      <c r="B3642" s="1417">
        <v>3</v>
      </c>
      <c r="C3642" s="1417">
        <v>64</v>
      </c>
      <c r="E3642" s="1417"/>
      <c r="F3642" s="1694" t="s">
        <v>3019</v>
      </c>
      <c r="G3642" s="1694">
        <v>60.4</v>
      </c>
      <c r="H3642" s="1694">
        <v>55.1</v>
      </c>
      <c r="I3642" s="1694">
        <v>41.3</v>
      </c>
      <c r="J3642" s="1694">
        <v>33.700000000000003</v>
      </c>
      <c r="K3642" s="1694"/>
      <c r="L3642" s="1694"/>
      <c r="M3642" s="1694"/>
      <c r="N3642" s="1694"/>
      <c r="O3642" s="1417"/>
      <c r="P3642" s="1694" t="s">
        <v>3019</v>
      </c>
      <c r="Q3642" s="1694">
        <v>17.399999999999999</v>
      </c>
      <c r="R3642" s="1694">
        <v>15.7</v>
      </c>
      <c r="S3642" s="1694">
        <v>12</v>
      </c>
      <c r="T3642" s="1694">
        <v>10.4</v>
      </c>
      <c r="U3642" s="1694"/>
      <c r="V3642" s="1694"/>
      <c r="W3642" s="1694"/>
      <c r="X3642" s="1694"/>
      <c r="Y3642" s="1417"/>
      <c r="Z3642" s="1417"/>
      <c r="AA3642" s="1417"/>
      <c r="AB3642" s="1417"/>
      <c r="AC3642" s="1684"/>
      <c r="AL3642" s="1684"/>
      <c r="AM3642" s="1684"/>
      <c r="AN3642" s="1684"/>
      <c r="AO3642" s="1684"/>
      <c r="AP3642" s="1684"/>
      <c r="AQ3642" s="1684"/>
      <c r="AR3642" s="1684"/>
      <c r="AS3642" s="1684"/>
      <c r="AT3642" s="1684"/>
      <c r="AU3642" s="1684"/>
      <c r="AV3642" s="1684"/>
      <c r="AW3642" s="1684"/>
      <c r="AX3642" s="1684"/>
      <c r="AY3642" s="1684"/>
      <c r="AZ3642" s="1684"/>
      <c r="BA3642" s="1684"/>
      <c r="BB3642" s="1684"/>
      <c r="BC3642" s="1684"/>
      <c r="BD3642" s="1684"/>
      <c r="BE3642" s="1684"/>
      <c r="BF3642" s="1684"/>
      <c r="BG3642" s="1684"/>
      <c r="BH3642" s="1684"/>
      <c r="BI3642" s="1684"/>
      <c r="BJ3642" s="1684"/>
      <c r="BK3642" s="1684"/>
      <c r="BL3642" s="1684"/>
      <c r="BM3642" s="1684"/>
      <c r="BN3642" s="1684"/>
      <c r="BO3642" s="1684"/>
      <c r="BP3642" s="1684"/>
      <c r="BQ3642" s="1684"/>
      <c r="BR3642" s="1684"/>
      <c r="BS3642" s="1684"/>
      <c r="BT3642" s="1684"/>
      <c r="BU3642" s="1684"/>
      <c r="BV3642" s="1684"/>
      <c r="BW3642" s="1684"/>
      <c r="BX3642" s="1684"/>
      <c r="BY3642" s="1684"/>
      <c r="BZ3642" s="1684"/>
      <c r="CA3642" s="1684"/>
      <c r="CB3642" s="1684"/>
      <c r="CC3642" s="1684"/>
      <c r="CD3642" s="1684"/>
      <c r="CE3642" s="1684"/>
      <c r="CF3642" s="1684"/>
      <c r="CG3642" s="1684"/>
      <c r="CH3642" s="1684"/>
      <c r="CI3642" s="1684"/>
      <c r="CJ3642" s="1684"/>
      <c r="CK3642" s="1684"/>
      <c r="CL3642" s="1684"/>
      <c r="CM3642" s="1684"/>
      <c r="CN3642" s="1684"/>
      <c r="CO3642" s="1684"/>
    </row>
    <row r="3643" spans="1:93" s="1391" customFormat="1" ht="15.75" x14ac:dyDescent="0.25">
      <c r="A3643" s="1417"/>
      <c r="B3643" s="1417">
        <v>2.6</v>
      </c>
      <c r="C3643" s="1417">
        <v>67</v>
      </c>
      <c r="E3643" s="1417"/>
      <c r="F3643" s="1694" t="s">
        <v>3020</v>
      </c>
      <c r="G3643" s="1694">
        <v>53.8</v>
      </c>
      <c r="H3643" s="1694">
        <v>49.2</v>
      </c>
      <c r="I3643" s="1694">
        <v>36.5</v>
      </c>
      <c r="J3643" s="1694">
        <v>29.7</v>
      </c>
      <c r="K3643" s="1694"/>
      <c r="L3643" s="1694"/>
      <c r="M3643" s="1694"/>
      <c r="N3643" s="1694"/>
      <c r="O3643" s="1417"/>
      <c r="P3643" s="1694" t="s">
        <v>3020</v>
      </c>
      <c r="Q3643" s="1694">
        <v>15.6</v>
      </c>
      <c r="R3643" s="1694">
        <v>14</v>
      </c>
      <c r="S3643" s="1694">
        <v>10.6</v>
      </c>
      <c r="T3643" s="1694">
        <v>9.1999999999999993</v>
      </c>
      <c r="U3643" s="1694"/>
      <c r="V3643" s="1694"/>
      <c r="W3643" s="1694"/>
      <c r="X3643" s="1694"/>
      <c r="Y3643" s="1417"/>
      <c r="Z3643" s="1417"/>
      <c r="AA3643" s="1417"/>
      <c r="AB3643" s="1417"/>
      <c r="AC3643" s="1684"/>
      <c r="AL3643" s="1684"/>
      <c r="AM3643" s="1684"/>
      <c r="AN3643" s="1684"/>
      <c r="AO3643" s="1684"/>
      <c r="AP3643" s="1684"/>
      <c r="AQ3643" s="1684"/>
      <c r="AR3643" s="1684"/>
      <c r="AS3643" s="1684"/>
      <c r="AT3643" s="1684"/>
      <c r="AU3643" s="1684"/>
      <c r="AV3643" s="1684"/>
      <c r="AW3643" s="1684"/>
      <c r="AX3643" s="1684"/>
      <c r="AY3643" s="1684"/>
      <c r="AZ3643" s="1684"/>
      <c r="BA3643" s="1684"/>
      <c r="BB3643" s="1684"/>
      <c r="BC3643" s="1684"/>
      <c r="BD3643" s="1684"/>
      <c r="BE3643" s="1684"/>
      <c r="BF3643" s="1684"/>
      <c r="BG3643" s="1684"/>
      <c r="BH3643" s="1684"/>
      <c r="BI3643" s="1684"/>
      <c r="BJ3643" s="1684"/>
      <c r="BK3643" s="1684"/>
      <c r="BL3643" s="1684"/>
      <c r="BM3643" s="1684"/>
      <c r="BN3643" s="1684"/>
      <c r="BO3643" s="1684"/>
      <c r="BP3643" s="1684"/>
      <c r="BQ3643" s="1684"/>
      <c r="BR3643" s="1684"/>
      <c r="BS3643" s="1684"/>
      <c r="BT3643" s="1684"/>
      <c r="BU3643" s="1684"/>
      <c r="BV3643" s="1684"/>
      <c r="BW3643" s="1684"/>
      <c r="BX3643" s="1684"/>
      <c r="BY3643" s="1684"/>
      <c r="BZ3643" s="1684"/>
      <c r="CA3643" s="1684"/>
      <c r="CB3643" s="1684"/>
      <c r="CC3643" s="1684"/>
      <c r="CD3643" s="1684"/>
      <c r="CE3643" s="1684"/>
      <c r="CF3643" s="1684"/>
      <c r="CG3643" s="1684"/>
      <c r="CH3643" s="1684"/>
      <c r="CI3643" s="1684"/>
      <c r="CJ3643" s="1684"/>
      <c r="CK3643" s="1684"/>
      <c r="CL3643" s="1684"/>
      <c r="CM3643" s="1684"/>
      <c r="CN3643" s="1684"/>
      <c r="CO3643" s="1684"/>
    </row>
    <row r="3644" spans="1:93" s="1391" customFormat="1" ht="15.75" x14ac:dyDescent="0.25">
      <c r="A3644" s="1417"/>
      <c r="B3644" s="1417">
        <v>3.25</v>
      </c>
      <c r="C3644" s="1417">
        <v>67</v>
      </c>
      <c r="E3644" s="1417"/>
      <c r="G3644" s="1417"/>
      <c r="H3644" s="1417"/>
      <c r="I3644" s="1417"/>
      <c r="J3644" s="1417"/>
      <c r="K3644" s="1417"/>
      <c r="L3644" s="1417"/>
      <c r="M3644" s="1417"/>
      <c r="N3644" s="1417"/>
      <c r="O3644" s="1417"/>
      <c r="P3644" s="1417"/>
      <c r="Q3644" s="1417"/>
      <c r="R3644" s="1417"/>
      <c r="S3644" s="1417"/>
      <c r="T3644" s="1417"/>
      <c r="U3644" s="1417"/>
      <c r="V3644" s="1417"/>
      <c r="W3644" s="1417"/>
      <c r="X3644" s="1417"/>
      <c r="Y3644" s="1417"/>
      <c r="Z3644" s="1417"/>
      <c r="AA3644" s="1417"/>
      <c r="AB3644" s="1417"/>
      <c r="AC3644" s="1417"/>
      <c r="AD3644" s="1417"/>
      <c r="AE3644" s="1417"/>
      <c r="AF3644" s="1417"/>
      <c r="AG3644" s="1417"/>
      <c r="AH3644" s="1417"/>
      <c r="AI3644" s="1417"/>
      <c r="AJ3644" s="1417"/>
      <c r="AK3644" s="1684"/>
      <c r="AL3644" s="1684"/>
      <c r="AM3644" s="1684"/>
      <c r="AN3644" s="1684"/>
      <c r="AO3644" s="1684"/>
      <c r="AP3644" s="1684"/>
      <c r="AQ3644" s="1684"/>
      <c r="AR3644" s="1684"/>
      <c r="AS3644" s="1684"/>
      <c r="AT3644" s="1684"/>
      <c r="AU3644" s="1684"/>
      <c r="AV3644" s="1684"/>
      <c r="AW3644" s="1684"/>
      <c r="AX3644" s="1684"/>
      <c r="AY3644" s="1684"/>
      <c r="AZ3644" s="1684"/>
      <c r="BA3644" s="1684"/>
      <c r="BB3644" s="1684"/>
      <c r="BC3644" s="1684"/>
      <c r="BD3644" s="1684"/>
      <c r="BE3644" s="1684"/>
      <c r="BF3644" s="1684"/>
      <c r="BG3644" s="1684"/>
      <c r="BH3644" s="1684"/>
      <c r="BI3644" s="1684"/>
      <c r="BJ3644" s="1684"/>
      <c r="BK3644" s="1684"/>
      <c r="BL3644" s="1684"/>
      <c r="BM3644" s="1684"/>
      <c r="BN3644" s="1684"/>
      <c r="BO3644" s="1684"/>
      <c r="BP3644" s="1684"/>
      <c r="BQ3644" s="1684"/>
      <c r="BR3644" s="1684"/>
      <c r="BS3644" s="1684"/>
      <c r="BT3644" s="1684"/>
      <c r="BU3644" s="1684"/>
      <c r="BV3644" s="1684"/>
      <c r="BW3644" s="1684"/>
      <c r="BX3644" s="1684"/>
      <c r="BY3644" s="1684"/>
      <c r="BZ3644" s="1684"/>
      <c r="CA3644" s="1684"/>
      <c r="CB3644" s="1684"/>
      <c r="CC3644" s="1684"/>
      <c r="CD3644" s="1684"/>
      <c r="CE3644" s="1684"/>
      <c r="CF3644" s="1684"/>
      <c r="CG3644" s="1684"/>
      <c r="CH3644" s="1684"/>
      <c r="CI3644" s="1684"/>
      <c r="CJ3644" s="1684"/>
      <c r="CK3644" s="1684"/>
      <c r="CL3644" s="1684"/>
      <c r="CM3644" s="1684"/>
      <c r="CN3644" s="1684"/>
      <c r="CO3644" s="1684"/>
    </row>
    <row r="3645" spans="1:93" s="1391" customFormat="1" ht="15.75" x14ac:dyDescent="0.25">
      <c r="A3645" s="1417"/>
      <c r="B3645" s="1417">
        <v>2.85</v>
      </c>
      <c r="C3645" s="1417">
        <v>70</v>
      </c>
      <c r="E3645" s="1417"/>
      <c r="G3645" s="1417"/>
      <c r="H3645" s="1417"/>
      <c r="I3645" s="1417"/>
      <c r="J3645" s="1417"/>
      <c r="K3645" s="1417"/>
      <c r="L3645" s="1417"/>
      <c r="M3645" s="1417"/>
      <c r="N3645" s="1417"/>
      <c r="O3645" s="1417"/>
      <c r="P3645" s="1417"/>
      <c r="Q3645" s="1417"/>
      <c r="R3645" s="1417"/>
      <c r="S3645" s="1417"/>
      <c r="T3645" s="1417"/>
      <c r="U3645" s="1417"/>
      <c r="V3645" s="1417"/>
      <c r="W3645" s="1417"/>
      <c r="X3645" s="1417"/>
      <c r="Y3645" s="1417"/>
      <c r="Z3645" s="1417"/>
      <c r="AA3645" s="1417"/>
      <c r="AB3645" s="1417"/>
      <c r="AC3645" s="1417"/>
      <c r="AD3645" s="1417"/>
      <c r="AE3645" s="1417"/>
      <c r="AF3645" s="1417"/>
      <c r="AG3645" s="1417"/>
      <c r="AH3645" s="1417"/>
      <c r="AI3645" s="1417"/>
      <c r="AJ3645" s="1417"/>
      <c r="AK3645" s="1684"/>
      <c r="AL3645" s="1684"/>
      <c r="AM3645" s="1684"/>
      <c r="AN3645" s="1684"/>
      <c r="AO3645" s="1684"/>
      <c r="AP3645" s="1684"/>
      <c r="AQ3645" s="1684"/>
      <c r="AR3645" s="1684"/>
      <c r="AS3645" s="1684"/>
      <c r="AT3645" s="1684"/>
      <c r="AU3645" s="1684"/>
      <c r="AV3645" s="1684"/>
      <c r="AW3645" s="1684"/>
      <c r="AX3645" s="1684"/>
      <c r="AY3645" s="1684"/>
      <c r="AZ3645" s="1684"/>
      <c r="BA3645" s="1684"/>
      <c r="BB3645" s="1684"/>
      <c r="BC3645" s="1684"/>
      <c r="BD3645" s="1684"/>
      <c r="BE3645" s="1684"/>
      <c r="BF3645" s="1684"/>
      <c r="BG3645" s="1684"/>
      <c r="BH3645" s="1684"/>
      <c r="BI3645" s="1684"/>
      <c r="BJ3645" s="1684"/>
      <c r="BK3645" s="1684"/>
      <c r="BL3645" s="1684"/>
      <c r="BM3645" s="1684"/>
      <c r="BN3645" s="1684"/>
      <c r="BO3645" s="1684"/>
      <c r="BP3645" s="1684"/>
      <c r="BQ3645" s="1684"/>
      <c r="BR3645" s="1684"/>
      <c r="BS3645" s="1684"/>
      <c r="BT3645" s="1684"/>
      <c r="BU3645" s="1684"/>
      <c r="BV3645" s="1684"/>
      <c r="BW3645" s="1684"/>
      <c r="BX3645" s="1684"/>
      <c r="BY3645" s="1684"/>
      <c r="BZ3645" s="1684"/>
      <c r="CA3645" s="1684"/>
      <c r="CB3645" s="1684"/>
      <c r="CC3645" s="1684"/>
      <c r="CD3645" s="1684"/>
      <c r="CE3645" s="1684"/>
      <c r="CF3645" s="1684"/>
      <c r="CG3645" s="1684"/>
      <c r="CH3645" s="1684"/>
      <c r="CI3645" s="1684"/>
      <c r="CJ3645" s="1684"/>
      <c r="CK3645" s="1684"/>
      <c r="CL3645" s="1684"/>
      <c r="CM3645" s="1684"/>
      <c r="CN3645" s="1684"/>
      <c r="CO3645" s="1684"/>
    </row>
    <row r="3646" spans="1:93" s="1391" customFormat="1" ht="15.75" x14ac:dyDescent="0.25">
      <c r="A3646" s="1417"/>
      <c r="B3646" s="1417">
        <v>3.5</v>
      </c>
      <c r="C3646" s="1417">
        <v>70</v>
      </c>
      <c r="E3646" s="1417"/>
      <c r="G3646" s="1417"/>
      <c r="H3646" s="1417"/>
      <c r="I3646" s="1417"/>
      <c r="J3646" s="1417"/>
      <c r="K3646" s="1417"/>
      <c r="L3646" s="1417"/>
      <c r="M3646" s="1417"/>
      <c r="N3646" s="1417"/>
      <c r="O3646" s="1417"/>
      <c r="P3646" s="1417"/>
      <c r="Q3646" s="1417"/>
      <c r="R3646" s="1417"/>
      <c r="S3646" s="1417"/>
      <c r="T3646" s="1417"/>
      <c r="U3646" s="1417"/>
      <c r="V3646" s="1417"/>
      <c r="W3646" s="1417"/>
      <c r="X3646" s="1417"/>
      <c r="Y3646" s="1417"/>
      <c r="Z3646" s="1417"/>
      <c r="AA3646" s="1417"/>
      <c r="AB3646" s="1417"/>
      <c r="AC3646" s="1417"/>
      <c r="AD3646" s="1417"/>
      <c r="AE3646" s="1417"/>
      <c r="AF3646" s="1417"/>
      <c r="AG3646" s="1417"/>
      <c r="AH3646" s="1417"/>
      <c r="AI3646" s="1417"/>
      <c r="AJ3646" s="1417"/>
      <c r="AK3646" s="1684"/>
      <c r="AL3646" s="1684"/>
      <c r="AM3646" s="1684"/>
      <c r="AN3646" s="1684"/>
      <c r="AO3646" s="1684"/>
      <c r="AP3646" s="1684"/>
      <c r="AQ3646" s="1684"/>
      <c r="AR3646" s="1684"/>
      <c r="AS3646" s="1684"/>
      <c r="AT3646" s="1684"/>
      <c r="AU3646" s="1684"/>
      <c r="AV3646" s="1684"/>
      <c r="AW3646" s="1684"/>
      <c r="AX3646" s="1684"/>
      <c r="AY3646" s="1684"/>
      <c r="AZ3646" s="1684"/>
      <c r="BA3646" s="1684"/>
      <c r="BB3646" s="1684"/>
      <c r="BC3646" s="1684"/>
      <c r="BD3646" s="1684"/>
      <c r="BE3646" s="1684"/>
      <c r="BF3646" s="1684"/>
      <c r="BG3646" s="1684"/>
      <c r="BH3646" s="1684"/>
      <c r="BI3646" s="1684"/>
      <c r="BJ3646" s="1684"/>
      <c r="BK3646" s="1684"/>
      <c r="BL3646" s="1684"/>
      <c r="BM3646" s="1684"/>
      <c r="BN3646" s="1684"/>
      <c r="BO3646" s="1684"/>
      <c r="BP3646" s="1684"/>
      <c r="BQ3646" s="1684"/>
      <c r="BR3646" s="1684"/>
      <c r="BS3646" s="1684"/>
      <c r="BT3646" s="1684"/>
      <c r="BU3646" s="1684"/>
      <c r="BV3646" s="1684"/>
      <c r="BW3646" s="1684"/>
      <c r="BX3646" s="1684"/>
      <c r="BY3646" s="1684"/>
      <c r="BZ3646" s="1684"/>
      <c r="CA3646" s="1684"/>
      <c r="CB3646" s="1684"/>
      <c r="CC3646" s="1684"/>
      <c r="CD3646" s="1684"/>
      <c r="CE3646" s="1684"/>
      <c r="CF3646" s="1684"/>
      <c r="CG3646" s="1684"/>
      <c r="CH3646" s="1684"/>
      <c r="CI3646" s="1684"/>
      <c r="CJ3646" s="1684"/>
      <c r="CK3646" s="1684"/>
      <c r="CL3646" s="1684"/>
      <c r="CM3646" s="1684"/>
      <c r="CN3646" s="1684"/>
      <c r="CO3646" s="1684"/>
    </row>
    <row r="3647" spans="1:93" s="1391" customFormat="1" ht="15.75" x14ac:dyDescent="0.25">
      <c r="A3647" s="1684"/>
      <c r="B3647" s="1417"/>
      <c r="G3647" s="1417"/>
      <c r="H3647" s="1417"/>
      <c r="I3647" s="1417"/>
      <c r="J3647" s="1417"/>
      <c r="K3647" s="1417"/>
      <c r="L3647" s="1417"/>
      <c r="M3647" s="1417"/>
      <c r="N3647" s="1417"/>
      <c r="O3647" s="1417"/>
      <c r="P3647" s="1417"/>
      <c r="Q3647" s="1417"/>
      <c r="R3647" s="1417"/>
      <c r="S3647" s="1417"/>
      <c r="T3647" s="1417"/>
      <c r="U3647" s="1417"/>
      <c r="V3647" s="1417"/>
      <c r="W3647" s="1417"/>
      <c r="X3647" s="1417"/>
      <c r="Y3647" s="1417"/>
      <c r="Z3647" s="1417"/>
      <c r="AA3647" s="1417"/>
      <c r="AB3647" s="1417"/>
      <c r="AC3647" s="1417"/>
      <c r="AD3647" s="1417"/>
      <c r="AE3647" s="1417"/>
      <c r="AF3647" s="1417"/>
      <c r="AG3647" s="1417"/>
      <c r="AH3647" s="1417"/>
      <c r="AI3647" s="1417"/>
      <c r="AJ3647" s="1417"/>
      <c r="AK3647" s="1684"/>
      <c r="AL3647" s="1684"/>
      <c r="AM3647" s="1684"/>
      <c r="AN3647" s="1684"/>
      <c r="AO3647" s="1684"/>
      <c r="AP3647" s="1684"/>
      <c r="AQ3647" s="1684"/>
      <c r="AR3647" s="1684"/>
      <c r="AS3647" s="1684"/>
      <c r="AT3647" s="1684"/>
      <c r="AU3647" s="1684"/>
      <c r="AV3647" s="1684"/>
      <c r="AW3647" s="1684"/>
      <c r="AX3647" s="1684"/>
      <c r="AY3647" s="1684"/>
      <c r="AZ3647" s="1684"/>
      <c r="BA3647" s="1684"/>
      <c r="BB3647" s="1684"/>
      <c r="BC3647" s="1684"/>
      <c r="BD3647" s="1684"/>
      <c r="BE3647" s="1684"/>
      <c r="BF3647" s="1684"/>
      <c r="BG3647" s="1684"/>
      <c r="BH3647" s="1684"/>
      <c r="BI3647" s="1684"/>
      <c r="BJ3647" s="1684"/>
      <c r="BK3647" s="1684"/>
      <c r="BL3647" s="1684"/>
      <c r="BM3647" s="1684"/>
      <c r="BN3647" s="1684"/>
      <c r="BO3647" s="1684"/>
      <c r="BP3647" s="1684"/>
      <c r="BQ3647" s="1684"/>
      <c r="BR3647" s="1684"/>
      <c r="BS3647" s="1684"/>
      <c r="BT3647" s="1684"/>
      <c r="BU3647" s="1684"/>
      <c r="BV3647" s="1684"/>
      <c r="BW3647" s="1684"/>
      <c r="BX3647" s="1684"/>
      <c r="BY3647" s="1684"/>
      <c r="BZ3647" s="1684"/>
      <c r="CA3647" s="1684"/>
      <c r="CB3647" s="1684"/>
      <c r="CC3647" s="1684"/>
      <c r="CD3647" s="1684"/>
      <c r="CE3647" s="1684"/>
      <c r="CF3647" s="1684"/>
      <c r="CG3647" s="1684"/>
      <c r="CH3647" s="1684"/>
      <c r="CI3647" s="1684"/>
      <c r="CJ3647" s="1684"/>
      <c r="CK3647" s="1684"/>
      <c r="CL3647" s="1684"/>
      <c r="CM3647" s="1684"/>
      <c r="CN3647" s="1684"/>
      <c r="CO3647" s="1684"/>
    </row>
    <row r="3648" spans="1:93" s="1391" customFormat="1" ht="15.75" x14ac:dyDescent="0.25">
      <c r="A3648" s="1684"/>
      <c r="B3648" s="1417" t="s">
        <v>1485</v>
      </c>
      <c r="C3648" s="1417"/>
      <c r="D3648" s="1417"/>
      <c r="E3648" s="1417"/>
      <c r="F3648" s="1417"/>
      <c r="G3648" s="1417"/>
      <c r="H3648" s="1417"/>
      <c r="I3648" s="1417"/>
      <c r="J3648" s="1417"/>
      <c r="K3648" s="1417"/>
      <c r="T3648" s="1417"/>
      <c r="U3648" s="1417"/>
      <c r="V3648" s="1417"/>
      <c r="W3648" s="1417"/>
      <c r="X3648" s="1417"/>
      <c r="Y3648" s="1417"/>
      <c r="Z3648" s="1417" t="s">
        <v>1462</v>
      </c>
      <c r="AA3648" s="1417"/>
      <c r="AB3648" s="1417"/>
      <c r="AC3648" s="1417"/>
      <c r="AD3648" s="1417"/>
      <c r="AE3648" s="1417"/>
      <c r="AF3648" s="1417"/>
      <c r="AG3648" s="1417"/>
      <c r="AH3648" s="1417"/>
      <c r="AI3648" s="1417"/>
      <c r="AJ3648" s="1417"/>
      <c r="AK3648" s="1684"/>
      <c r="AL3648" s="1684"/>
      <c r="AM3648" s="1684"/>
      <c r="AN3648" s="1684"/>
      <c r="AO3648" s="1684"/>
      <c r="AP3648" s="1684"/>
      <c r="AQ3648" s="1684"/>
      <c r="AR3648" s="1684"/>
      <c r="AS3648" s="1684"/>
      <c r="AT3648" s="1684"/>
      <c r="AU3648" s="1684"/>
      <c r="AV3648" s="1684"/>
      <c r="AW3648" s="1684"/>
      <c r="AX3648" s="1684"/>
      <c r="AY3648" s="1684"/>
      <c r="AZ3648" s="1684"/>
      <c r="BA3648" s="1684"/>
      <c r="BB3648" s="1684"/>
      <c r="BC3648" s="1684"/>
      <c r="BD3648" s="1684"/>
      <c r="BE3648" s="1684"/>
      <c r="BF3648" s="1684"/>
      <c r="BG3648" s="1684"/>
      <c r="BH3648" s="1684"/>
      <c r="BI3648" s="1684"/>
      <c r="BJ3648" s="1684"/>
      <c r="BK3648" s="1684"/>
      <c r="BL3648" s="1684"/>
      <c r="BM3648" s="1684"/>
      <c r="BN3648" s="1684"/>
      <c r="BO3648" s="1684"/>
      <c r="BP3648" s="1684"/>
      <c r="BQ3648" s="1684"/>
      <c r="BR3648" s="1684"/>
      <c r="BS3648" s="1684"/>
      <c r="BT3648" s="1684"/>
      <c r="BU3648" s="1684"/>
      <c r="BV3648" s="1684"/>
      <c r="BW3648" s="1684"/>
      <c r="BX3648" s="1684"/>
      <c r="BY3648" s="1684"/>
      <c r="BZ3648" s="1684"/>
      <c r="CA3648" s="1684"/>
      <c r="CB3648" s="1684"/>
      <c r="CC3648" s="1684"/>
      <c r="CD3648" s="1684"/>
      <c r="CE3648" s="1684"/>
      <c r="CF3648" s="1684"/>
      <c r="CG3648" s="1684"/>
      <c r="CH3648" s="1684"/>
      <c r="CI3648" s="1684"/>
      <c r="CJ3648" s="1684"/>
      <c r="CK3648" s="1684"/>
      <c r="CL3648" s="1684"/>
      <c r="CM3648" s="1684"/>
      <c r="CN3648" s="1684"/>
      <c r="CO3648" s="1684"/>
    </row>
    <row r="3649" spans="1:93" s="1391" customFormat="1" ht="15.75" x14ac:dyDescent="0.25">
      <c r="A3649" s="1684"/>
      <c r="B3649" s="1417" t="s">
        <v>1463</v>
      </c>
      <c r="C3649" s="1417" t="s">
        <v>1486</v>
      </c>
      <c r="D3649" s="1417"/>
      <c r="E3649" s="1417"/>
      <c r="F3649" s="1417"/>
      <c r="G3649" s="1417"/>
      <c r="H3649" s="1417"/>
      <c r="I3649" s="1417"/>
      <c r="J3649" s="1417"/>
      <c r="K3649" s="1417"/>
      <c r="T3649" s="1417"/>
      <c r="U3649" s="1417"/>
      <c r="V3649" s="1417"/>
      <c r="W3649" s="1417"/>
      <c r="X3649" s="1417"/>
      <c r="Y3649" s="1417"/>
      <c r="Z3649" s="1417" t="s">
        <v>1463</v>
      </c>
      <c r="AA3649" s="1417" t="s">
        <v>1464</v>
      </c>
      <c r="AB3649" s="1417"/>
      <c r="AC3649" s="1417"/>
      <c r="AD3649" s="1417"/>
      <c r="AE3649" s="1417"/>
      <c r="AF3649" s="1417"/>
      <c r="AG3649" s="1417"/>
      <c r="AH3649" s="1417"/>
      <c r="AI3649" s="1417"/>
      <c r="AJ3649" s="1417"/>
      <c r="AK3649" s="1684"/>
      <c r="AL3649" s="1684"/>
      <c r="AM3649" s="1684"/>
      <c r="AN3649" s="1684"/>
      <c r="AO3649" s="1684"/>
      <c r="AP3649" s="1684"/>
      <c r="AQ3649" s="1684"/>
      <c r="AR3649" s="1684"/>
      <c r="AS3649" s="1684"/>
      <c r="AT3649" s="1684"/>
      <c r="AU3649" s="1684"/>
      <c r="AV3649" s="1684"/>
      <c r="AW3649" s="1684"/>
      <c r="AX3649" s="1684"/>
      <c r="AY3649" s="1684"/>
      <c r="AZ3649" s="1684"/>
      <c r="BA3649" s="1684"/>
      <c r="BB3649" s="1684"/>
      <c r="BC3649" s="1684"/>
      <c r="BD3649" s="1684"/>
      <c r="BE3649" s="1684"/>
      <c r="BF3649" s="1684"/>
      <c r="BG3649" s="1684"/>
      <c r="BH3649" s="1684"/>
      <c r="BI3649" s="1684"/>
      <c r="BJ3649" s="1684"/>
      <c r="BK3649" s="1684"/>
      <c r="BL3649" s="1684"/>
      <c r="BM3649" s="1684"/>
      <c r="BN3649" s="1684"/>
      <c r="BO3649" s="1684"/>
      <c r="BP3649" s="1684"/>
      <c r="BQ3649" s="1684"/>
      <c r="BR3649" s="1684"/>
      <c r="BS3649" s="1684"/>
      <c r="BT3649" s="1684"/>
      <c r="BU3649" s="1684"/>
      <c r="BV3649" s="1684"/>
      <c r="BW3649" s="1684"/>
      <c r="BX3649" s="1684"/>
      <c r="BY3649" s="1684"/>
      <c r="BZ3649" s="1684"/>
      <c r="CA3649" s="1684"/>
      <c r="CB3649" s="1684"/>
      <c r="CC3649" s="1684"/>
      <c r="CD3649" s="1684"/>
      <c r="CE3649" s="1684"/>
      <c r="CF3649" s="1684"/>
      <c r="CG3649" s="1684"/>
      <c r="CH3649" s="1684"/>
      <c r="CI3649" s="1684"/>
      <c r="CJ3649" s="1684"/>
      <c r="CK3649" s="1684"/>
      <c r="CL3649" s="1684"/>
      <c r="CM3649" s="1684"/>
      <c r="CN3649" s="1684"/>
      <c r="CO3649" s="1684"/>
    </row>
    <row r="3650" spans="1:93" s="1391" customFormat="1" ht="15.75" x14ac:dyDescent="0.25">
      <c r="A3650" s="1684"/>
      <c r="B3650" s="1417">
        <v>4</v>
      </c>
      <c r="C3650" s="1417">
        <v>8</v>
      </c>
      <c r="D3650" s="1417">
        <f>C3650/B3650</f>
        <v>2</v>
      </c>
      <c r="E3650" s="1417">
        <f>B3650/C3650</f>
        <v>0.5</v>
      </c>
      <c r="F3650" s="1417"/>
      <c r="G3650" s="1417"/>
      <c r="H3650" s="1417"/>
      <c r="I3650" s="1417"/>
      <c r="J3650" s="1417"/>
      <c r="K3650" s="1417"/>
      <c r="T3650" s="1417"/>
      <c r="U3650" s="1417"/>
      <c r="V3650" s="1417"/>
      <c r="W3650" s="1417"/>
      <c r="X3650" s="1417"/>
      <c r="Y3650" s="1417"/>
      <c r="Z3650" s="1417">
        <v>4</v>
      </c>
      <c r="AA3650" s="1417">
        <v>7.28</v>
      </c>
      <c r="AB3650" s="1417">
        <f>AA3650/Z3650</f>
        <v>1.82</v>
      </c>
      <c r="AC3650" s="1417"/>
      <c r="AD3650" s="1417"/>
      <c r="AE3650" s="1417"/>
      <c r="AF3650" s="1417"/>
      <c r="AG3650" s="1417"/>
      <c r="AH3650" s="1417"/>
      <c r="AI3650" s="1417"/>
      <c r="AJ3650" s="1417"/>
      <c r="AK3650" s="1684"/>
      <c r="AL3650" s="1684"/>
      <c r="AM3650" s="1684"/>
      <c r="AN3650" s="1684"/>
      <c r="AO3650" s="1684"/>
      <c r="AP3650" s="1684"/>
      <c r="AQ3650" s="1684"/>
      <c r="AR3650" s="1684"/>
      <c r="AS3650" s="1684"/>
      <c r="AT3650" s="1684"/>
      <c r="AU3650" s="1684"/>
      <c r="AV3650" s="1684"/>
      <c r="AW3650" s="1684"/>
      <c r="AX3650" s="1684"/>
      <c r="AY3650" s="1684"/>
      <c r="AZ3650" s="1684"/>
      <c r="BA3650" s="1684"/>
      <c r="BB3650" s="1684"/>
      <c r="BC3650" s="1684"/>
      <c r="BD3650" s="1684"/>
      <c r="BE3650" s="1684"/>
      <c r="BF3650" s="1684"/>
      <c r="BG3650" s="1684"/>
      <c r="BH3650" s="1684"/>
      <c r="BI3650" s="1684"/>
      <c r="BJ3650" s="1684"/>
      <c r="BK3650" s="1684"/>
      <c r="BL3650" s="1684"/>
      <c r="BM3650" s="1684"/>
      <c r="BN3650" s="1684"/>
      <c r="BO3650" s="1684"/>
      <c r="BP3650" s="1684"/>
      <c r="BQ3650" s="1684"/>
      <c r="BR3650" s="1684"/>
      <c r="BS3650" s="1684"/>
      <c r="BT3650" s="1684"/>
      <c r="BU3650" s="1684"/>
      <c r="BV3650" s="1684"/>
      <c r="BW3650" s="1684"/>
      <c r="BX3650" s="1684"/>
      <c r="BY3650" s="1684"/>
      <c r="BZ3650" s="1684"/>
      <c r="CA3650" s="1684"/>
      <c r="CB3650" s="1684"/>
      <c r="CC3650" s="1684"/>
      <c r="CD3650" s="1684"/>
      <c r="CE3650" s="1684"/>
      <c r="CF3650" s="1684"/>
      <c r="CG3650" s="1684"/>
      <c r="CH3650" s="1684"/>
      <c r="CI3650" s="1684"/>
      <c r="CJ3650" s="1684"/>
      <c r="CK3650" s="1684"/>
      <c r="CL3650" s="1684"/>
      <c r="CM3650" s="1684"/>
      <c r="CN3650" s="1684"/>
      <c r="CO3650" s="1684"/>
    </row>
    <row r="3651" spans="1:93" s="1391" customFormat="1" ht="15.75" x14ac:dyDescent="0.25">
      <c r="A3651" s="1684"/>
      <c r="B3651" s="1417">
        <v>6</v>
      </c>
      <c r="C3651" s="1417">
        <v>11</v>
      </c>
      <c r="D3651" s="1417">
        <f t="shared" ref="D3651:D3663" si="6">C3651/B3651</f>
        <v>1.8333333333333333</v>
      </c>
      <c r="E3651" s="1417">
        <f t="shared" ref="E3651:E3663" si="7">B3651/C3651</f>
        <v>0.54545454545454541</v>
      </c>
      <c r="F3651" s="1417"/>
      <c r="G3651" s="1417"/>
      <c r="H3651" s="1417"/>
      <c r="I3651" s="1417"/>
      <c r="J3651" s="1417"/>
      <c r="K3651" s="1417"/>
      <c r="T3651" s="1417"/>
      <c r="U3651" s="1417"/>
      <c r="V3651" s="1417"/>
      <c r="W3651" s="1417"/>
      <c r="X3651" s="1417"/>
      <c r="Y3651" s="1417"/>
      <c r="Z3651" s="1417">
        <v>6</v>
      </c>
      <c r="AA3651" s="1417">
        <v>9.3000000000000007</v>
      </c>
      <c r="AB3651" s="1417">
        <f t="shared" ref="AB3651:AB3657" si="8">AA3651/Z3651</f>
        <v>1.55</v>
      </c>
      <c r="AC3651" s="1417"/>
      <c r="AD3651" s="1417"/>
      <c r="AE3651" s="1417"/>
      <c r="AF3651" s="1417"/>
      <c r="AG3651" s="1417"/>
      <c r="AH3651" s="1417"/>
      <c r="AI3651" s="1417"/>
      <c r="AJ3651" s="1417"/>
      <c r="AK3651" s="1684"/>
      <c r="AL3651" s="1684"/>
      <c r="AM3651" s="1684"/>
      <c r="AN3651" s="1684"/>
      <c r="AO3651" s="1684"/>
      <c r="AP3651" s="1684"/>
      <c r="AQ3651" s="1684"/>
      <c r="AR3651" s="1684"/>
      <c r="AS3651" s="1684"/>
      <c r="AT3651" s="1684"/>
      <c r="AU3651" s="1684"/>
      <c r="AV3651" s="1684"/>
      <c r="AW3651" s="1684"/>
      <c r="AX3651" s="1684"/>
      <c r="AY3651" s="1684"/>
      <c r="AZ3651" s="1684"/>
      <c r="BA3651" s="1684"/>
      <c r="BB3651" s="1684"/>
      <c r="BC3651" s="1684"/>
      <c r="BD3651" s="1684"/>
      <c r="BE3651" s="1684"/>
      <c r="BF3651" s="1684"/>
      <c r="BG3651" s="1684"/>
      <c r="BH3651" s="1684"/>
      <c r="BI3651" s="1684"/>
      <c r="BJ3651" s="1684"/>
      <c r="BK3651" s="1684"/>
      <c r="BL3651" s="1684"/>
      <c r="BM3651" s="1684"/>
      <c r="BN3651" s="1684"/>
      <c r="BO3651" s="1684"/>
      <c r="BP3651" s="1684"/>
      <c r="BQ3651" s="1684"/>
      <c r="BR3651" s="1684"/>
      <c r="BS3651" s="1684"/>
      <c r="BT3651" s="1684"/>
      <c r="BU3651" s="1684"/>
      <c r="BV3651" s="1684"/>
      <c r="BW3651" s="1684"/>
      <c r="BX3651" s="1684"/>
      <c r="BY3651" s="1684"/>
      <c r="BZ3651" s="1684"/>
      <c r="CA3651" s="1684"/>
      <c r="CB3651" s="1684"/>
      <c r="CC3651" s="1684"/>
      <c r="CD3651" s="1684"/>
      <c r="CE3651" s="1684"/>
      <c r="CF3651" s="1684"/>
      <c r="CG3651" s="1684"/>
      <c r="CH3651" s="1684"/>
      <c r="CI3651" s="1684"/>
      <c r="CJ3651" s="1684"/>
      <c r="CK3651" s="1684"/>
      <c r="CL3651" s="1684"/>
      <c r="CM3651" s="1684"/>
      <c r="CN3651" s="1684"/>
      <c r="CO3651" s="1684"/>
    </row>
    <row r="3652" spans="1:93" s="1391" customFormat="1" ht="15.75" x14ac:dyDescent="0.25">
      <c r="A3652" s="1684"/>
      <c r="B3652" s="1417">
        <v>6</v>
      </c>
      <c r="C3652" s="1417">
        <v>12</v>
      </c>
      <c r="D3652" s="1417">
        <f t="shared" si="6"/>
        <v>2</v>
      </c>
      <c r="E3652" s="1417">
        <f t="shared" si="7"/>
        <v>0.5</v>
      </c>
      <c r="F3652" s="1417"/>
      <c r="G3652" s="1417"/>
      <c r="H3652" s="1417"/>
      <c r="I3652" s="1417"/>
      <c r="J3652" s="1684"/>
      <c r="K3652" s="1417"/>
      <c r="T3652" s="1417"/>
      <c r="U3652" s="1417"/>
      <c r="V3652" s="1417"/>
      <c r="W3652" s="1417"/>
      <c r="X3652" s="1417"/>
      <c r="Y3652" s="1417"/>
      <c r="Z3652" s="1417">
        <v>8</v>
      </c>
      <c r="AA3652" s="1417">
        <v>11.04</v>
      </c>
      <c r="AB3652" s="1417">
        <f t="shared" si="8"/>
        <v>1.38</v>
      </c>
      <c r="AC3652" s="1417"/>
      <c r="AD3652" s="1417"/>
      <c r="AE3652" s="1417"/>
      <c r="AF3652" s="1417"/>
      <c r="AG3652" s="1417"/>
      <c r="AH3652" s="1417"/>
      <c r="AI3652" s="1684"/>
      <c r="AJ3652" s="1684"/>
      <c r="AK3652" s="1684"/>
      <c r="AL3652" s="1684"/>
      <c r="AM3652" s="1684"/>
      <c r="AN3652" s="1684"/>
      <c r="AO3652" s="1684"/>
      <c r="AP3652" s="1684"/>
      <c r="AQ3652" s="1684"/>
      <c r="AR3652" s="1684"/>
      <c r="AS3652" s="1684"/>
      <c r="AT3652" s="1684"/>
      <c r="AU3652" s="1684"/>
      <c r="AV3652" s="1684"/>
      <c r="AW3652" s="1684"/>
      <c r="AX3652" s="1684"/>
      <c r="AY3652" s="1684"/>
      <c r="AZ3652" s="1684"/>
      <c r="BA3652" s="1684"/>
      <c r="BB3652" s="1684"/>
      <c r="BC3652" s="1684"/>
      <c r="BD3652" s="1684"/>
      <c r="BE3652" s="1684"/>
      <c r="BF3652" s="1684"/>
      <c r="BG3652" s="1684"/>
      <c r="BH3652" s="1684"/>
      <c r="BI3652" s="1684"/>
      <c r="BJ3652" s="1684"/>
      <c r="BK3652" s="1684"/>
      <c r="BL3652" s="1684"/>
      <c r="BM3652" s="1684"/>
      <c r="BN3652" s="1684"/>
      <c r="BO3652" s="1684"/>
      <c r="BP3652" s="1684"/>
      <c r="BQ3652" s="1684"/>
      <c r="BR3652" s="1684"/>
      <c r="BS3652" s="1684"/>
      <c r="BT3652" s="1684"/>
      <c r="BU3652" s="1684"/>
      <c r="BV3652" s="1684"/>
      <c r="BW3652" s="1684"/>
      <c r="BX3652" s="1684"/>
      <c r="BY3652" s="1684"/>
      <c r="BZ3652" s="1684"/>
      <c r="CA3652" s="1684"/>
      <c r="CB3652" s="1684"/>
      <c r="CC3652" s="1684"/>
      <c r="CD3652" s="1684"/>
      <c r="CE3652" s="1684"/>
      <c r="CF3652" s="1684"/>
      <c r="CG3652" s="1684"/>
      <c r="CH3652" s="1684"/>
      <c r="CI3652" s="1684"/>
      <c r="CJ3652" s="1684"/>
      <c r="CK3652" s="1684"/>
      <c r="CL3652" s="1684"/>
      <c r="CM3652" s="1684"/>
      <c r="CN3652" s="1684"/>
      <c r="CO3652" s="1684"/>
    </row>
    <row r="3653" spans="1:93" s="1391" customFormat="1" ht="15.75" x14ac:dyDescent="0.25">
      <c r="A3653" s="1684"/>
      <c r="B3653" s="1417">
        <v>8</v>
      </c>
      <c r="C3653" s="1417">
        <v>16</v>
      </c>
      <c r="D3653" s="1417">
        <f t="shared" si="6"/>
        <v>2</v>
      </c>
      <c r="E3653" s="1417">
        <f t="shared" si="7"/>
        <v>0.5</v>
      </c>
      <c r="F3653" s="1417"/>
      <c r="G3653" s="1417"/>
      <c r="H3653" s="1417"/>
      <c r="I3653" s="1417"/>
      <c r="J3653" s="1684"/>
      <c r="K3653" s="1417"/>
      <c r="T3653" s="1417"/>
      <c r="U3653" s="1417"/>
      <c r="V3653" s="1417"/>
      <c r="W3653" s="1417"/>
      <c r="X3653" s="1417"/>
      <c r="Y3653" s="1417"/>
      <c r="Z3653" s="1417">
        <v>10</v>
      </c>
      <c r="AA3653" s="1417">
        <v>12.06</v>
      </c>
      <c r="AB3653" s="1417">
        <f t="shared" si="8"/>
        <v>1.206</v>
      </c>
      <c r="AC3653" s="1417"/>
      <c r="AD3653" s="1417"/>
      <c r="AE3653" s="1417"/>
      <c r="AF3653" s="1417"/>
      <c r="AG3653" s="1417"/>
      <c r="AH3653" s="1417"/>
      <c r="AI3653" s="1684"/>
      <c r="AJ3653" s="1684"/>
      <c r="AK3653" s="1684"/>
      <c r="AL3653" s="1684"/>
      <c r="AM3653" s="1684"/>
      <c r="AN3653" s="1684"/>
      <c r="AO3653" s="1684"/>
      <c r="AP3653" s="1684"/>
      <c r="AQ3653" s="1684"/>
      <c r="AR3653" s="1684"/>
      <c r="AS3653" s="1684"/>
      <c r="AT3653" s="1684"/>
      <c r="AU3653" s="1684"/>
      <c r="AV3653" s="1684"/>
      <c r="AW3653" s="1684"/>
      <c r="AX3653" s="1684"/>
      <c r="AY3653" s="1684"/>
      <c r="AZ3653" s="1684"/>
      <c r="BA3653" s="1684"/>
      <c r="BB3653" s="1684"/>
      <c r="BC3653" s="1684"/>
      <c r="BD3653" s="1684"/>
      <c r="BE3653" s="1684"/>
      <c r="BF3653" s="1684"/>
      <c r="BG3653" s="1684"/>
      <c r="BH3653" s="1684"/>
      <c r="BI3653" s="1684"/>
      <c r="BJ3653" s="1684"/>
      <c r="BK3653" s="1684"/>
      <c r="BL3653" s="1684"/>
      <c r="BM3653" s="1684"/>
      <c r="BN3653" s="1684"/>
      <c r="BO3653" s="1684"/>
      <c r="BP3653" s="1684"/>
      <c r="BQ3653" s="1684"/>
      <c r="BR3653" s="1684"/>
      <c r="BS3653" s="1684"/>
      <c r="BT3653" s="1684"/>
      <c r="BU3653" s="1684"/>
      <c r="BV3653" s="1684"/>
      <c r="BW3653" s="1684"/>
      <c r="BX3653" s="1684"/>
      <c r="BY3653" s="1684"/>
      <c r="BZ3653" s="1684"/>
      <c r="CA3653" s="1684"/>
      <c r="CB3653" s="1684"/>
      <c r="CC3653" s="1684"/>
      <c r="CD3653" s="1684"/>
      <c r="CE3653" s="1684"/>
      <c r="CF3653" s="1684"/>
      <c r="CG3653" s="1684"/>
      <c r="CH3653" s="1684"/>
      <c r="CI3653" s="1684"/>
      <c r="CJ3653" s="1684"/>
      <c r="CK3653" s="1684"/>
      <c r="CL3653" s="1684"/>
      <c r="CM3653" s="1684"/>
      <c r="CN3653" s="1684"/>
      <c r="CO3653" s="1684"/>
    </row>
    <row r="3654" spans="1:93" s="1391" customFormat="1" ht="15.75" x14ac:dyDescent="0.25">
      <c r="A3654" s="1684"/>
      <c r="B3654" s="1417">
        <v>8</v>
      </c>
      <c r="C3654" s="1417">
        <v>17</v>
      </c>
      <c r="D3654" s="1417">
        <f t="shared" si="6"/>
        <v>2.125</v>
      </c>
      <c r="E3654" s="1417">
        <f t="shared" si="7"/>
        <v>0.47058823529411764</v>
      </c>
      <c r="F3654" s="1417"/>
      <c r="G3654" s="1417"/>
      <c r="H3654" s="1417"/>
      <c r="I3654" s="1417"/>
      <c r="J3654" s="1684"/>
      <c r="K3654" s="1417"/>
      <c r="T3654" s="1417"/>
      <c r="U3654" s="1417"/>
      <c r="V3654" s="1417"/>
      <c r="W3654" s="1417"/>
      <c r="X3654" s="1417"/>
      <c r="Y3654" s="1417"/>
      <c r="Z3654" s="1417">
        <v>12</v>
      </c>
      <c r="AA3654" s="1417">
        <v>14.04</v>
      </c>
      <c r="AB3654" s="1417">
        <f t="shared" si="8"/>
        <v>1.17</v>
      </c>
      <c r="AC3654" s="1417"/>
      <c r="AD3654" s="1417"/>
      <c r="AE3654" s="1417"/>
      <c r="AF3654" s="1417"/>
      <c r="AG3654" s="1417"/>
      <c r="AH3654" s="1417"/>
      <c r="AI3654" s="1684"/>
      <c r="AJ3654" s="1684"/>
      <c r="AK3654" s="1684"/>
      <c r="AL3654" s="1684"/>
      <c r="AM3654" s="1684"/>
      <c r="AN3654" s="1684"/>
      <c r="AO3654" s="1684"/>
      <c r="AP3654" s="1684"/>
      <c r="AQ3654" s="1684"/>
      <c r="AR3654" s="1684"/>
      <c r="AS3654" s="1684"/>
      <c r="AT3654" s="1684"/>
      <c r="AU3654" s="1684"/>
      <c r="AV3654" s="1684"/>
      <c r="AW3654" s="1684"/>
      <c r="AX3654" s="1684"/>
      <c r="AY3654" s="1684"/>
      <c r="AZ3654" s="1684"/>
      <c r="BA3654" s="1684"/>
      <c r="BB3654" s="1684"/>
      <c r="BC3654" s="1684"/>
      <c r="BD3654" s="1684"/>
      <c r="BE3654" s="1684"/>
      <c r="BF3654" s="1684"/>
      <c r="BG3654" s="1684"/>
      <c r="BH3654" s="1684"/>
      <c r="BI3654" s="1684"/>
      <c r="BJ3654" s="1684"/>
      <c r="BK3654" s="1684"/>
      <c r="BL3654" s="1684"/>
      <c r="BM3654" s="1684"/>
      <c r="BN3654" s="1684"/>
      <c r="BO3654" s="1684"/>
      <c r="BP3654" s="1684"/>
      <c r="BQ3654" s="1684"/>
      <c r="BR3654" s="1684"/>
      <c r="BS3654" s="1684"/>
      <c r="BT3654" s="1684"/>
      <c r="BU3654" s="1684"/>
      <c r="BV3654" s="1684"/>
      <c r="BW3654" s="1684"/>
      <c r="BX3654" s="1684"/>
      <c r="BY3654" s="1684"/>
      <c r="BZ3654" s="1684"/>
      <c r="CA3654" s="1684"/>
      <c r="CB3654" s="1684"/>
      <c r="CC3654" s="1684"/>
      <c r="CD3654" s="1684"/>
      <c r="CE3654" s="1684"/>
      <c r="CF3654" s="1684"/>
      <c r="CG3654" s="1684"/>
      <c r="CH3654" s="1684"/>
      <c r="CI3654" s="1684"/>
      <c r="CJ3654" s="1684"/>
      <c r="CK3654" s="1684"/>
      <c r="CL3654" s="1684"/>
      <c r="CM3654" s="1684"/>
      <c r="CN3654" s="1684"/>
      <c r="CO3654" s="1684"/>
    </row>
    <row r="3655" spans="1:93" s="1391" customFormat="1" ht="15.75" x14ac:dyDescent="0.25">
      <c r="A3655" s="1684"/>
      <c r="B3655" s="1417">
        <v>10</v>
      </c>
      <c r="C3655" s="1417">
        <v>21</v>
      </c>
      <c r="D3655" s="1417">
        <f t="shared" si="6"/>
        <v>2.1</v>
      </c>
      <c r="E3655" s="1417">
        <f t="shared" si="7"/>
        <v>0.47619047619047616</v>
      </c>
      <c r="F3655" s="1417"/>
      <c r="G3655" s="1417"/>
      <c r="H3655" s="1417"/>
      <c r="I3655" s="1417"/>
      <c r="J3655" s="1684"/>
      <c r="K3655" s="1417"/>
      <c r="T3655" s="1417"/>
      <c r="U3655" s="1417"/>
      <c r="V3655" s="1417"/>
      <c r="W3655" s="1417"/>
      <c r="X3655" s="1417"/>
      <c r="Y3655" s="1417"/>
      <c r="Z3655" s="1417">
        <v>14</v>
      </c>
      <c r="AA3655" s="1417">
        <v>15.4</v>
      </c>
      <c r="AB3655" s="1417">
        <f t="shared" si="8"/>
        <v>1.1000000000000001</v>
      </c>
      <c r="AC3655" s="1417"/>
      <c r="AD3655" s="1417"/>
      <c r="AE3655" s="1417"/>
      <c r="AF3655" s="1417"/>
      <c r="AG3655" s="1417"/>
      <c r="AH3655" s="1417"/>
      <c r="AI3655" s="1684"/>
      <c r="AJ3655" s="1684"/>
      <c r="AK3655" s="1684"/>
      <c r="AL3655" s="1684"/>
      <c r="AM3655" s="1684"/>
      <c r="AN3655" s="1684"/>
      <c r="AO3655" s="1684"/>
      <c r="AP3655" s="1684"/>
      <c r="AQ3655" s="1684"/>
      <c r="AR3655" s="1684"/>
      <c r="AS3655" s="1684"/>
      <c r="AT3655" s="1684"/>
      <c r="AU3655" s="1684"/>
      <c r="AV3655" s="1684"/>
      <c r="AW3655" s="1684"/>
      <c r="AX3655" s="1684"/>
      <c r="AY3655" s="1684"/>
      <c r="AZ3655" s="1684"/>
      <c r="BA3655" s="1684"/>
      <c r="BB3655" s="1684"/>
      <c r="BC3655" s="1684"/>
      <c r="BD3655" s="1684"/>
      <c r="BE3655" s="1684"/>
      <c r="BF3655" s="1684"/>
      <c r="BG3655" s="1684"/>
      <c r="BH3655" s="1684"/>
      <c r="BI3655" s="1684"/>
      <c r="BJ3655" s="1684"/>
      <c r="BK3655" s="1684"/>
      <c r="BL3655" s="1684"/>
      <c r="BM3655" s="1684"/>
      <c r="BN3655" s="1684"/>
      <c r="BO3655" s="1684"/>
      <c r="BP3655" s="1684"/>
      <c r="BQ3655" s="1684"/>
      <c r="BR3655" s="1684"/>
      <c r="BS3655" s="1684"/>
      <c r="BT3655" s="1684"/>
      <c r="BU3655" s="1684"/>
      <c r="BV3655" s="1684"/>
      <c r="BW3655" s="1684"/>
      <c r="BX3655" s="1684"/>
      <c r="BY3655" s="1684"/>
      <c r="BZ3655" s="1684"/>
      <c r="CA3655" s="1684"/>
      <c r="CB3655" s="1684"/>
      <c r="CC3655" s="1684"/>
      <c r="CD3655" s="1684"/>
      <c r="CE3655" s="1684"/>
      <c r="CF3655" s="1684"/>
      <c r="CG3655" s="1684"/>
      <c r="CH3655" s="1684"/>
      <c r="CI3655" s="1684"/>
      <c r="CJ3655" s="1684"/>
      <c r="CK3655" s="1684"/>
      <c r="CL3655" s="1684"/>
      <c r="CM3655" s="1684"/>
      <c r="CN3655" s="1684"/>
      <c r="CO3655" s="1684"/>
    </row>
    <row r="3656" spans="1:93" s="1391" customFormat="1" ht="15.75" x14ac:dyDescent="0.25">
      <c r="A3656" s="1684"/>
      <c r="B3656" s="1417">
        <v>10</v>
      </c>
      <c r="C3656" s="1417">
        <v>22</v>
      </c>
      <c r="D3656" s="1417">
        <f t="shared" si="6"/>
        <v>2.2000000000000002</v>
      </c>
      <c r="E3656" s="1417">
        <f t="shared" si="7"/>
        <v>0.45454545454545453</v>
      </c>
      <c r="F3656" s="1417"/>
      <c r="G3656" s="1417"/>
      <c r="H3656" s="1417"/>
      <c r="I3656" s="1417"/>
      <c r="J3656" s="1684"/>
      <c r="K3656" s="1417"/>
      <c r="T3656" s="1417"/>
      <c r="U3656" s="1417"/>
      <c r="V3656" s="1417"/>
      <c r="W3656" s="1417"/>
      <c r="X3656" s="1417"/>
      <c r="Y3656" s="1417"/>
      <c r="Z3656" s="1417">
        <v>16</v>
      </c>
      <c r="AA3656" s="1417">
        <v>16.64</v>
      </c>
      <c r="AB3656" s="1417">
        <f t="shared" si="8"/>
        <v>1.04</v>
      </c>
      <c r="AC3656" s="1417"/>
      <c r="AD3656" s="1417"/>
      <c r="AE3656" s="1417"/>
      <c r="AF3656" s="1417"/>
      <c r="AG3656" s="1417"/>
      <c r="AH3656" s="1417"/>
      <c r="AI3656" s="1684"/>
      <c r="AJ3656" s="1684"/>
      <c r="AK3656" s="1684"/>
      <c r="AL3656" s="1684"/>
      <c r="AM3656" s="1684"/>
      <c r="AN3656" s="1684"/>
      <c r="AO3656" s="1684"/>
      <c r="AP3656" s="1684"/>
      <c r="AQ3656" s="1684"/>
      <c r="AR3656" s="1684"/>
      <c r="AS3656" s="1684"/>
      <c r="AT3656" s="1684"/>
      <c r="AU3656" s="1684"/>
      <c r="AV3656" s="1684"/>
      <c r="AW3656" s="1684"/>
      <c r="AX3656" s="1684"/>
      <c r="AY3656" s="1684"/>
      <c r="AZ3656" s="1684"/>
      <c r="BA3656" s="1684"/>
      <c r="BB3656" s="1684"/>
      <c r="BC3656" s="1684"/>
      <c r="BD3656" s="1684"/>
      <c r="BE3656" s="1684"/>
      <c r="BF3656" s="1684"/>
      <c r="BG3656" s="1684"/>
      <c r="BH3656" s="1684"/>
      <c r="BI3656" s="1684"/>
      <c r="BJ3656" s="1684"/>
      <c r="BK3656" s="1684"/>
      <c r="BL3656" s="1684"/>
      <c r="BM3656" s="1684"/>
      <c r="BN3656" s="1684"/>
      <c r="BO3656" s="1684"/>
      <c r="BP3656" s="1684"/>
      <c r="BQ3656" s="1684"/>
      <c r="BR3656" s="1684"/>
      <c r="BS3656" s="1684"/>
      <c r="BT3656" s="1684"/>
      <c r="BU3656" s="1684"/>
      <c r="BV3656" s="1684"/>
      <c r="BW3656" s="1684"/>
      <c r="BX3656" s="1684"/>
      <c r="BY3656" s="1684"/>
      <c r="BZ3656" s="1684"/>
      <c r="CA3656" s="1684"/>
      <c r="CB3656" s="1684"/>
      <c r="CC3656" s="1684"/>
      <c r="CD3656" s="1684"/>
      <c r="CE3656" s="1684"/>
      <c r="CF3656" s="1684"/>
      <c r="CG3656" s="1684"/>
      <c r="CH3656" s="1684"/>
      <c r="CI3656" s="1684"/>
      <c r="CJ3656" s="1684"/>
      <c r="CK3656" s="1684"/>
      <c r="CL3656" s="1684"/>
      <c r="CM3656" s="1684"/>
      <c r="CN3656" s="1684"/>
      <c r="CO3656" s="1684"/>
    </row>
    <row r="3657" spans="1:93" s="1391" customFormat="1" ht="15.75" x14ac:dyDescent="0.25">
      <c r="A3657" s="1684"/>
      <c r="B3657" s="1417">
        <v>12</v>
      </c>
      <c r="C3657" s="1417">
        <v>27</v>
      </c>
      <c r="D3657" s="1417">
        <f t="shared" si="6"/>
        <v>2.25</v>
      </c>
      <c r="E3657" s="1417">
        <f t="shared" si="7"/>
        <v>0.44444444444444442</v>
      </c>
      <c r="F3657" s="1417"/>
      <c r="G3657" s="1417"/>
      <c r="H3657" s="1417"/>
      <c r="I3657" s="1417"/>
      <c r="J3657" s="1684"/>
      <c r="K3657" s="1417"/>
      <c r="T3657" s="1417"/>
      <c r="U3657" s="1417"/>
      <c r="V3657" s="1417"/>
      <c r="W3657" s="1417"/>
      <c r="X3657" s="1417"/>
      <c r="Y3657" s="1417"/>
      <c r="Z3657" s="1417">
        <v>18</v>
      </c>
      <c r="AA3657" s="1417">
        <v>17.82</v>
      </c>
      <c r="AB3657" s="1417">
        <f t="shared" si="8"/>
        <v>0.99</v>
      </c>
      <c r="AC3657" s="1417"/>
      <c r="AD3657" s="1417"/>
      <c r="AE3657" s="1417"/>
      <c r="AF3657" s="1417"/>
      <c r="AG3657" s="1417"/>
      <c r="AH3657" s="1417"/>
      <c r="AI3657" s="1684"/>
      <c r="AJ3657" s="1684"/>
      <c r="AK3657" s="1684"/>
      <c r="AL3657" s="1684"/>
      <c r="AM3657" s="1684"/>
      <c r="AN3657" s="1684"/>
      <c r="AO3657" s="1684"/>
      <c r="AP3657" s="1684"/>
      <c r="AQ3657" s="1684"/>
      <c r="AR3657" s="1684"/>
      <c r="AS3657" s="1684"/>
      <c r="AT3657" s="1684"/>
      <c r="AU3657" s="1684"/>
      <c r="AV3657" s="1684"/>
      <c r="AW3657" s="1684"/>
      <c r="AX3657" s="1684"/>
      <c r="AY3657" s="1684"/>
      <c r="AZ3657" s="1684"/>
      <c r="BA3657" s="1684"/>
      <c r="BB3657" s="1684"/>
      <c r="BC3657" s="1684"/>
      <c r="BD3657" s="1684"/>
      <c r="BE3657" s="1684"/>
      <c r="BF3657" s="1684"/>
      <c r="BG3657" s="1684"/>
      <c r="BH3657" s="1684"/>
      <c r="BI3657" s="1684"/>
      <c r="BJ3657" s="1684"/>
      <c r="BK3657" s="1684"/>
      <c r="BL3657" s="1684"/>
      <c r="BM3657" s="1684"/>
      <c r="BN3657" s="1684"/>
      <c r="BO3657" s="1684"/>
      <c r="BP3657" s="1684"/>
      <c r="BQ3657" s="1684"/>
      <c r="BR3657" s="1684"/>
      <c r="BS3657" s="1684"/>
      <c r="BT3657" s="1684"/>
      <c r="BU3657" s="1684"/>
      <c r="BV3657" s="1684"/>
      <c r="BW3657" s="1684"/>
      <c r="BX3657" s="1684"/>
      <c r="BY3657" s="1684"/>
      <c r="BZ3657" s="1684"/>
      <c r="CA3657" s="1684"/>
      <c r="CB3657" s="1684"/>
      <c r="CC3657" s="1684"/>
      <c r="CD3657" s="1684"/>
      <c r="CE3657" s="1684"/>
      <c r="CF3657" s="1684"/>
      <c r="CG3657" s="1684"/>
      <c r="CH3657" s="1684"/>
      <c r="CI3657" s="1684"/>
      <c r="CJ3657" s="1684"/>
      <c r="CK3657" s="1684"/>
      <c r="CL3657" s="1684"/>
      <c r="CM3657" s="1684"/>
      <c r="CN3657" s="1684"/>
      <c r="CO3657" s="1684"/>
    </row>
    <row r="3658" spans="1:93" s="1391" customFormat="1" ht="15.75" x14ac:dyDescent="0.25">
      <c r="A3658" s="1684"/>
      <c r="B3658" s="1417">
        <v>12</v>
      </c>
      <c r="C3658" s="1417">
        <v>28</v>
      </c>
      <c r="D3658" s="1417">
        <f t="shared" si="6"/>
        <v>2.3333333333333335</v>
      </c>
      <c r="E3658" s="1417">
        <f t="shared" si="7"/>
        <v>0.42857142857142855</v>
      </c>
      <c r="F3658" s="1417"/>
      <c r="G3658" s="1417"/>
      <c r="H3658" s="1417"/>
      <c r="I3658" s="1417"/>
      <c r="J3658" s="1684"/>
      <c r="K3658" s="1417"/>
      <c r="T3658" s="1417"/>
      <c r="U3658" s="1417"/>
      <c r="V3658" s="1417"/>
      <c r="W3658" s="1417"/>
      <c r="X3658" s="1417"/>
      <c r="Y3658" s="1417"/>
      <c r="Z3658" s="1417"/>
      <c r="AA3658" s="1417"/>
      <c r="AB3658" s="1417">
        <f>SUM(AB3650:AB3657)</f>
        <v>10.255999999999998</v>
      </c>
      <c r="AC3658" s="1417"/>
      <c r="AD3658" s="1417"/>
      <c r="AE3658" s="1417"/>
      <c r="AF3658" s="1417"/>
      <c r="AG3658" s="1417"/>
      <c r="AH3658" s="1417"/>
      <c r="AI3658" s="1684"/>
      <c r="AJ3658" s="1684"/>
      <c r="AK3658" s="1684"/>
      <c r="AL3658" s="1684"/>
      <c r="AM3658" s="1684"/>
      <c r="AN3658" s="1684"/>
      <c r="AO3658" s="1684"/>
      <c r="AP3658" s="1684"/>
      <c r="AQ3658" s="1684"/>
      <c r="AR3658" s="1684"/>
      <c r="AS3658" s="1684"/>
      <c r="AT3658" s="1684"/>
      <c r="AU3658" s="1684"/>
      <c r="AV3658" s="1684"/>
      <c r="AW3658" s="1684"/>
      <c r="AX3658" s="1684"/>
      <c r="AY3658" s="1684"/>
      <c r="AZ3658" s="1684"/>
      <c r="BA3658" s="1684"/>
      <c r="BB3658" s="1684"/>
      <c r="BC3658" s="1684"/>
      <c r="BD3658" s="1684"/>
      <c r="BE3658" s="1684"/>
      <c r="BF3658" s="1684"/>
      <c r="BG3658" s="1684"/>
      <c r="BH3658" s="1684"/>
      <c r="BI3658" s="1684"/>
      <c r="BJ3658" s="1684"/>
      <c r="BK3658" s="1684"/>
      <c r="BL3658" s="1684"/>
      <c r="BM3658" s="1684"/>
      <c r="BN3658" s="1684"/>
      <c r="BO3658" s="1684"/>
      <c r="BP3658" s="1684"/>
      <c r="BQ3658" s="1684"/>
      <c r="BR3658" s="1684"/>
      <c r="BS3658" s="1684"/>
      <c r="BT3658" s="1684"/>
      <c r="BU3658" s="1684"/>
      <c r="BV3658" s="1684"/>
      <c r="BW3658" s="1684"/>
      <c r="BX3658" s="1684"/>
      <c r="BY3658" s="1684"/>
      <c r="BZ3658" s="1684"/>
      <c r="CA3658" s="1684"/>
      <c r="CB3658" s="1684"/>
      <c r="CC3658" s="1684"/>
      <c r="CD3658" s="1684"/>
      <c r="CE3658" s="1684"/>
      <c r="CF3658" s="1684"/>
      <c r="CG3658" s="1684"/>
      <c r="CH3658" s="1684"/>
      <c r="CI3658" s="1684"/>
      <c r="CJ3658" s="1684"/>
      <c r="CK3658" s="1684"/>
      <c r="CL3658" s="1684"/>
      <c r="CM3658" s="1684"/>
      <c r="CN3658" s="1684"/>
      <c r="CO3658" s="1684"/>
    </row>
    <row r="3659" spans="1:93" s="1391" customFormat="1" ht="15.75" x14ac:dyDescent="0.25">
      <c r="A3659" s="1684"/>
      <c r="B3659" s="1417">
        <v>14</v>
      </c>
      <c r="C3659" s="1417">
        <v>33</v>
      </c>
      <c r="D3659" s="1417">
        <f t="shared" si="6"/>
        <v>2.3571428571428572</v>
      </c>
      <c r="E3659" s="1417">
        <f t="shared" si="7"/>
        <v>0.42424242424242425</v>
      </c>
      <c r="F3659" s="1417"/>
      <c r="G3659" s="1417"/>
      <c r="H3659" s="1417"/>
      <c r="I3659" s="1417"/>
      <c r="J3659" s="1684"/>
      <c r="K3659" s="1417"/>
      <c r="T3659" s="1417"/>
      <c r="U3659" s="1417"/>
      <c r="V3659" s="1417"/>
      <c r="W3659" s="1417"/>
      <c r="X3659" s="1417"/>
      <c r="Y3659" s="1417"/>
      <c r="Z3659" s="1417"/>
      <c r="AA3659" s="1417"/>
      <c r="AB3659" s="1417">
        <f>AB3658/8</f>
        <v>1.2819999999999998</v>
      </c>
      <c r="AC3659" s="1417"/>
      <c r="AD3659" s="1417"/>
      <c r="AE3659" s="1417"/>
      <c r="AF3659" s="1417"/>
      <c r="AG3659" s="1417"/>
      <c r="AH3659" s="1417"/>
      <c r="AI3659" s="1684"/>
      <c r="AJ3659" s="1684"/>
      <c r="AK3659" s="1684"/>
      <c r="AL3659" s="1684"/>
      <c r="AM3659" s="1684"/>
      <c r="AN3659" s="1684"/>
      <c r="AO3659" s="1684"/>
      <c r="AP3659" s="1684"/>
      <c r="AQ3659" s="1684"/>
      <c r="AR3659" s="1684"/>
      <c r="AS3659" s="1684"/>
      <c r="AT3659" s="1684"/>
      <c r="AU3659" s="1684"/>
      <c r="AV3659" s="1684"/>
      <c r="AW3659" s="1684"/>
      <c r="AX3659" s="1684"/>
      <c r="AY3659" s="1684"/>
      <c r="AZ3659" s="1684"/>
      <c r="BA3659" s="1684"/>
      <c r="BB3659" s="1684"/>
      <c r="BC3659" s="1684"/>
      <c r="BD3659" s="1684"/>
      <c r="BE3659" s="1684"/>
      <c r="BF3659" s="1684"/>
      <c r="BG3659" s="1684"/>
      <c r="BH3659" s="1684"/>
      <c r="BI3659" s="1684"/>
      <c r="BJ3659" s="1684"/>
      <c r="BK3659" s="1684"/>
      <c r="BL3659" s="1684"/>
      <c r="BM3659" s="1684"/>
      <c r="BN3659" s="1684"/>
      <c r="BO3659" s="1684"/>
      <c r="BP3659" s="1684"/>
      <c r="BQ3659" s="1684"/>
      <c r="BR3659" s="1684"/>
      <c r="BS3659" s="1684"/>
      <c r="BT3659" s="1684"/>
      <c r="BU3659" s="1684"/>
      <c r="BV3659" s="1684"/>
      <c r="BW3659" s="1684"/>
      <c r="BX3659" s="1684"/>
      <c r="BY3659" s="1684"/>
      <c r="BZ3659" s="1684"/>
      <c r="CA3659" s="1684"/>
      <c r="CB3659" s="1684"/>
      <c r="CC3659" s="1684"/>
      <c r="CD3659" s="1684"/>
      <c r="CE3659" s="1684"/>
      <c r="CF3659" s="1684"/>
      <c r="CG3659" s="1684"/>
      <c r="CH3659" s="1684"/>
      <c r="CI3659" s="1684"/>
      <c r="CJ3659" s="1684"/>
      <c r="CK3659" s="1684"/>
      <c r="CL3659" s="1684"/>
      <c r="CM3659" s="1684"/>
      <c r="CN3659" s="1684"/>
      <c r="CO3659" s="1684"/>
    </row>
    <row r="3660" spans="1:93" s="1391" customFormat="1" ht="15.75" x14ac:dyDescent="0.25">
      <c r="A3660" s="1684"/>
      <c r="B3660" s="1417">
        <v>14</v>
      </c>
      <c r="C3660" s="1417">
        <v>34</v>
      </c>
      <c r="D3660" s="1417">
        <f t="shared" si="6"/>
        <v>2.4285714285714284</v>
      </c>
      <c r="E3660" s="1417">
        <f t="shared" si="7"/>
        <v>0.41176470588235292</v>
      </c>
      <c r="F3660" s="1417"/>
      <c r="G3660" s="1417"/>
      <c r="H3660" s="1417"/>
      <c r="I3660" s="1417"/>
      <c r="J3660" s="1684"/>
      <c r="K3660" s="1417"/>
      <c r="T3660" s="1417"/>
      <c r="U3660" s="1417"/>
      <c r="V3660" s="1417"/>
      <c r="W3660" s="1417"/>
      <c r="X3660" s="1417"/>
      <c r="Y3660" s="1417"/>
      <c r="Z3660" s="1417"/>
      <c r="AA3660" s="1417"/>
      <c r="AB3660" s="1417"/>
      <c r="AC3660" s="1417"/>
      <c r="AD3660" s="1417"/>
      <c r="AE3660" s="1417"/>
      <c r="AF3660" s="1417"/>
      <c r="AG3660" s="1417"/>
      <c r="AH3660" s="1417"/>
      <c r="AI3660" s="1684"/>
      <c r="AJ3660" s="1684"/>
      <c r="AK3660" s="1684"/>
      <c r="AL3660" s="1684"/>
      <c r="AM3660" s="1684"/>
      <c r="AN3660" s="1684"/>
      <c r="AO3660" s="1684"/>
      <c r="AP3660" s="1684"/>
      <c r="AQ3660" s="1684"/>
      <c r="AR3660" s="1684"/>
      <c r="AS3660" s="1684"/>
      <c r="AT3660" s="1684"/>
      <c r="AU3660" s="1684"/>
      <c r="AV3660" s="1684"/>
      <c r="AW3660" s="1684"/>
      <c r="AX3660" s="1684"/>
      <c r="AY3660" s="1684"/>
      <c r="AZ3660" s="1684"/>
      <c r="BA3660" s="1684"/>
      <c r="BB3660" s="1684"/>
      <c r="BC3660" s="1684"/>
      <c r="BD3660" s="1684"/>
      <c r="BE3660" s="1684"/>
      <c r="BF3660" s="1684"/>
      <c r="BG3660" s="1684"/>
      <c r="BH3660" s="1684"/>
      <c r="BI3660" s="1684"/>
      <c r="BJ3660" s="1684"/>
      <c r="BK3660" s="1684"/>
      <c r="BL3660" s="1684"/>
      <c r="BM3660" s="1684"/>
      <c r="BN3660" s="1684"/>
      <c r="BO3660" s="1684"/>
      <c r="BP3660" s="1684"/>
      <c r="BQ3660" s="1684"/>
      <c r="BR3660" s="1684"/>
      <c r="BS3660" s="1684"/>
      <c r="BT3660" s="1684"/>
      <c r="BU3660" s="1684"/>
      <c r="BV3660" s="1684"/>
      <c r="BW3660" s="1684"/>
      <c r="BX3660" s="1684"/>
      <c r="BY3660" s="1684"/>
      <c r="BZ3660" s="1684"/>
      <c r="CA3660" s="1684"/>
      <c r="CB3660" s="1684"/>
      <c r="CC3660" s="1684"/>
      <c r="CD3660" s="1684"/>
      <c r="CE3660" s="1684"/>
      <c r="CF3660" s="1684"/>
      <c r="CG3660" s="1684"/>
      <c r="CH3660" s="1684"/>
      <c r="CI3660" s="1684"/>
      <c r="CJ3660" s="1684"/>
      <c r="CK3660" s="1684"/>
      <c r="CL3660" s="1684"/>
      <c r="CM3660" s="1684"/>
      <c r="CN3660" s="1684"/>
      <c r="CO3660" s="1684"/>
    </row>
    <row r="3661" spans="1:93" s="1391" customFormat="1" ht="15.75" x14ac:dyDescent="0.25">
      <c r="A3661" s="1684"/>
      <c r="B3661" s="1417">
        <v>16</v>
      </c>
      <c r="C3661" s="1417">
        <v>38</v>
      </c>
      <c r="D3661" s="1417">
        <f t="shared" si="6"/>
        <v>2.375</v>
      </c>
      <c r="E3661" s="1417">
        <f t="shared" si="7"/>
        <v>0.42105263157894735</v>
      </c>
      <c r="F3661" s="1417"/>
      <c r="G3661" s="1417"/>
      <c r="H3661" s="1417"/>
      <c r="I3661" s="1417"/>
      <c r="J3661" s="1684"/>
      <c r="K3661" s="1417"/>
      <c r="T3661" s="1417"/>
      <c r="U3661" s="1417"/>
      <c r="V3661" s="1417"/>
      <c r="W3661" s="1417"/>
      <c r="X3661" s="1417"/>
      <c r="Y3661" s="1417"/>
      <c r="Z3661" s="1417"/>
      <c r="AA3661" s="1417"/>
      <c r="AB3661" s="1417"/>
      <c r="AC3661" s="1417"/>
      <c r="AD3661" s="1417"/>
      <c r="AE3661" s="1417"/>
      <c r="AF3661" s="1417"/>
      <c r="AG3661" s="1417"/>
      <c r="AH3661" s="1417"/>
      <c r="AI3661" s="1684"/>
      <c r="AJ3661" s="1684"/>
      <c r="AK3661" s="1684"/>
      <c r="AL3661" s="1684"/>
      <c r="AM3661" s="1684"/>
      <c r="AN3661" s="1684"/>
      <c r="AO3661" s="1684"/>
      <c r="AP3661" s="1684"/>
      <c r="AQ3661" s="1684"/>
      <c r="AR3661" s="1684"/>
      <c r="AS3661" s="1684"/>
      <c r="AT3661" s="1684"/>
      <c r="AU3661" s="1684"/>
      <c r="AV3661" s="1684"/>
      <c r="AW3661" s="1684"/>
      <c r="AX3661" s="1684"/>
      <c r="AY3661" s="1684"/>
      <c r="AZ3661" s="1684"/>
      <c r="BA3661" s="1684"/>
      <c r="BB3661" s="1684"/>
      <c r="BC3661" s="1684"/>
      <c r="BD3661" s="1684"/>
      <c r="BE3661" s="1684"/>
      <c r="BF3661" s="1684"/>
      <c r="BG3661" s="1684"/>
      <c r="BH3661" s="1684"/>
      <c r="BI3661" s="1684"/>
      <c r="BJ3661" s="1684"/>
      <c r="BK3661" s="1684"/>
      <c r="BL3661" s="1684"/>
      <c r="BM3661" s="1684"/>
      <c r="BN3661" s="1684"/>
      <c r="BO3661" s="1684"/>
      <c r="BP3661" s="1684"/>
      <c r="BQ3661" s="1684"/>
      <c r="BR3661" s="1684"/>
      <c r="BS3661" s="1684"/>
      <c r="BT3661" s="1684"/>
      <c r="BU3661" s="1684"/>
      <c r="BV3661" s="1684"/>
      <c r="BW3661" s="1684"/>
      <c r="BX3661" s="1684"/>
      <c r="BY3661" s="1684"/>
      <c r="BZ3661" s="1684"/>
      <c r="CA3661" s="1684"/>
      <c r="CB3661" s="1684"/>
      <c r="CC3661" s="1684"/>
      <c r="CD3661" s="1684"/>
      <c r="CE3661" s="1684"/>
      <c r="CF3661" s="1684"/>
      <c r="CG3661" s="1684"/>
      <c r="CH3661" s="1684"/>
      <c r="CI3661" s="1684"/>
      <c r="CJ3661" s="1684"/>
      <c r="CK3661" s="1684"/>
      <c r="CL3661" s="1684"/>
      <c r="CM3661" s="1684"/>
      <c r="CN3661" s="1684"/>
      <c r="CO3661" s="1684"/>
    </row>
    <row r="3662" spans="1:93" s="1391" customFormat="1" ht="15.75" x14ac:dyDescent="0.25">
      <c r="A3662" s="1684"/>
      <c r="B3662" s="1417">
        <v>16</v>
      </c>
      <c r="C3662" s="1417">
        <v>39</v>
      </c>
      <c r="D3662" s="1417">
        <f t="shared" si="6"/>
        <v>2.4375</v>
      </c>
      <c r="E3662" s="1417">
        <f t="shared" si="7"/>
        <v>0.41025641025641024</v>
      </c>
      <c r="F3662" s="1417"/>
      <c r="G3662" s="1417"/>
      <c r="H3662" s="1417"/>
      <c r="I3662" s="1417"/>
      <c r="J3662" s="1684"/>
      <c r="K3662" s="1417"/>
      <c r="T3662" s="1417"/>
      <c r="U3662" s="1417"/>
      <c r="V3662" s="1417"/>
      <c r="W3662" s="1417"/>
      <c r="X3662" s="1417"/>
      <c r="Y3662" s="1417"/>
      <c r="Z3662" s="1417"/>
      <c r="AA3662" s="1417"/>
      <c r="AB3662" s="1417"/>
      <c r="AC3662" s="1417"/>
      <c r="AD3662" s="1417"/>
      <c r="AE3662" s="1417"/>
      <c r="AF3662" s="1417"/>
      <c r="AG3662" s="1417"/>
      <c r="AH3662" s="1417"/>
      <c r="AI3662" s="1684"/>
      <c r="AJ3662" s="1684"/>
      <c r="AK3662" s="1684"/>
      <c r="AL3662" s="1684"/>
      <c r="AM3662" s="1684"/>
      <c r="AN3662" s="1684"/>
      <c r="AO3662" s="1684"/>
      <c r="AP3662" s="1684"/>
      <c r="AQ3662" s="1684"/>
      <c r="AR3662" s="1684"/>
      <c r="AS3662" s="1684"/>
      <c r="AT3662" s="1684"/>
      <c r="AU3662" s="1684"/>
      <c r="AV3662" s="1684"/>
      <c r="AW3662" s="1684"/>
      <c r="AX3662" s="1684"/>
      <c r="AY3662" s="1684"/>
      <c r="AZ3662" s="1684"/>
      <c r="BA3662" s="1684"/>
      <c r="BB3662" s="1684"/>
      <c r="BC3662" s="1684"/>
      <c r="BD3662" s="1684"/>
      <c r="BE3662" s="1684"/>
      <c r="BF3662" s="1684"/>
      <c r="BG3662" s="1684"/>
      <c r="BH3662" s="1684"/>
      <c r="BI3662" s="1684"/>
      <c r="BJ3662" s="1684"/>
      <c r="BK3662" s="1684"/>
      <c r="BL3662" s="1684"/>
      <c r="BM3662" s="1684"/>
      <c r="BN3662" s="1684"/>
      <c r="BO3662" s="1684"/>
      <c r="BP3662" s="1684"/>
      <c r="BQ3662" s="1684"/>
      <c r="BR3662" s="1684"/>
      <c r="BS3662" s="1684"/>
      <c r="BT3662" s="1684"/>
      <c r="BU3662" s="1684"/>
      <c r="BV3662" s="1684"/>
      <c r="BW3662" s="1684"/>
      <c r="BX3662" s="1684"/>
      <c r="BY3662" s="1684"/>
      <c r="BZ3662" s="1684"/>
      <c r="CA3662" s="1684"/>
      <c r="CB3662" s="1684"/>
      <c r="CC3662" s="1684"/>
      <c r="CD3662" s="1684"/>
      <c r="CE3662" s="1684"/>
      <c r="CF3662" s="1684"/>
      <c r="CG3662" s="1684"/>
      <c r="CH3662" s="1684"/>
      <c r="CI3662" s="1684"/>
      <c r="CJ3662" s="1684"/>
      <c r="CK3662" s="1684"/>
      <c r="CL3662" s="1684"/>
      <c r="CM3662" s="1684"/>
      <c r="CN3662" s="1684"/>
      <c r="CO3662" s="1684"/>
    </row>
    <row r="3663" spans="1:93" s="1391" customFormat="1" ht="15.75" x14ac:dyDescent="0.25">
      <c r="A3663" s="1684"/>
      <c r="B3663" s="1417">
        <v>18</v>
      </c>
      <c r="C3663" s="1417">
        <v>42</v>
      </c>
      <c r="D3663" s="1417">
        <f t="shared" si="6"/>
        <v>2.3333333333333335</v>
      </c>
      <c r="E3663" s="1417">
        <f t="shared" si="7"/>
        <v>0.42857142857142855</v>
      </c>
      <c r="F3663" s="1417"/>
      <c r="G3663" s="1417"/>
      <c r="H3663" s="1417"/>
      <c r="I3663" s="1417"/>
      <c r="J3663" s="1684"/>
      <c r="K3663" s="1417"/>
      <c r="T3663" s="1417"/>
      <c r="U3663" s="1417"/>
      <c r="V3663" s="1417"/>
      <c r="W3663" s="1417"/>
      <c r="X3663" s="1417"/>
      <c r="Y3663" s="1417"/>
      <c r="Z3663" s="1417"/>
      <c r="AA3663" s="1417"/>
      <c r="AB3663" s="1417"/>
      <c r="AC3663" s="1417"/>
      <c r="AD3663" s="1417"/>
      <c r="AE3663" s="1417"/>
      <c r="AF3663" s="1417"/>
      <c r="AG3663" s="1417"/>
      <c r="AH3663" s="1417"/>
      <c r="AI3663" s="1684"/>
      <c r="AJ3663" s="1684"/>
      <c r="AK3663" s="1684"/>
      <c r="AL3663" s="1684"/>
      <c r="AM3663" s="1684"/>
      <c r="AN3663" s="1684"/>
      <c r="AO3663" s="1684"/>
      <c r="AP3663" s="1684"/>
      <c r="AQ3663" s="1684"/>
      <c r="AR3663" s="1684"/>
      <c r="AS3663" s="1684"/>
      <c r="AT3663" s="1684"/>
      <c r="AU3663" s="1684"/>
      <c r="AV3663" s="1684"/>
      <c r="AW3663" s="1684"/>
      <c r="AX3663" s="1684"/>
      <c r="AY3663" s="1684"/>
      <c r="AZ3663" s="1684"/>
      <c r="BA3663" s="1684"/>
      <c r="BB3663" s="1684"/>
      <c r="BC3663" s="1684"/>
      <c r="BD3663" s="1684"/>
      <c r="BE3663" s="1684"/>
      <c r="BF3663" s="1684"/>
      <c r="BG3663" s="1684"/>
      <c r="BH3663" s="1684"/>
      <c r="BI3663" s="1684"/>
      <c r="BJ3663" s="1684"/>
      <c r="BK3663" s="1684"/>
      <c r="BL3663" s="1684"/>
      <c r="BM3663" s="1684"/>
      <c r="BN3663" s="1684"/>
      <c r="BO3663" s="1684"/>
      <c r="BP3663" s="1684"/>
      <c r="BQ3663" s="1684"/>
      <c r="BR3663" s="1684"/>
      <c r="BS3663" s="1684"/>
      <c r="BT3663" s="1684"/>
      <c r="BU3663" s="1684"/>
      <c r="BV3663" s="1684"/>
      <c r="BW3663" s="1684"/>
      <c r="BX3663" s="1684"/>
      <c r="BY3663" s="1684"/>
      <c r="BZ3663" s="1684"/>
      <c r="CA3663" s="1684"/>
      <c r="CB3663" s="1684"/>
      <c r="CC3663" s="1684"/>
      <c r="CD3663" s="1684"/>
      <c r="CE3663" s="1684"/>
      <c r="CF3663" s="1684"/>
      <c r="CG3663" s="1684"/>
      <c r="CH3663" s="1684"/>
      <c r="CI3663" s="1684"/>
      <c r="CJ3663" s="1684"/>
      <c r="CK3663" s="1684"/>
      <c r="CL3663" s="1684"/>
      <c r="CM3663" s="1684"/>
      <c r="CN3663" s="1684"/>
      <c r="CO3663" s="1684"/>
    </row>
    <row r="3664" spans="1:93" s="1391" customFormat="1" ht="15.75" x14ac:dyDescent="0.25">
      <c r="A3664" s="1684"/>
      <c r="B3664" s="1417"/>
      <c r="C3664" s="1417"/>
      <c r="D3664" s="1417">
        <f>SUM(D3650:D3663)</f>
        <v>30.773214285714282</v>
      </c>
      <c r="E3664" s="1417"/>
      <c r="F3664" s="1417"/>
      <c r="G3664" s="1417"/>
      <c r="H3664" s="1417"/>
      <c r="I3664" s="1417"/>
      <c r="J3664" s="1684"/>
      <c r="K3664" s="1417"/>
      <c r="T3664" s="1417"/>
      <c r="U3664" s="1417"/>
      <c r="V3664" s="1417"/>
      <c r="W3664" s="1417"/>
      <c r="X3664" s="1417"/>
      <c r="Y3664" s="1417"/>
      <c r="Z3664" s="1417"/>
      <c r="AA3664" s="1417"/>
      <c r="AB3664" s="1417"/>
      <c r="AC3664" s="1417"/>
      <c r="AD3664" s="1417"/>
      <c r="AE3664" s="1417"/>
      <c r="AF3664" s="1417"/>
      <c r="AG3664" s="1417"/>
      <c r="AH3664" s="1417"/>
      <c r="AI3664" s="1684"/>
      <c r="AJ3664" s="1684"/>
      <c r="AK3664" s="1684"/>
      <c r="AL3664" s="1684"/>
      <c r="AM3664" s="1684"/>
      <c r="AN3664" s="1684"/>
      <c r="AO3664" s="1684"/>
      <c r="AP3664" s="1684"/>
      <c r="AQ3664" s="1684"/>
      <c r="AR3664" s="1684"/>
      <c r="AS3664" s="1684"/>
      <c r="AT3664" s="1684"/>
      <c r="AU3664" s="1684"/>
      <c r="AV3664" s="1684"/>
      <c r="AW3664" s="1684"/>
      <c r="AX3664" s="1684"/>
      <c r="AY3664" s="1684"/>
      <c r="AZ3664" s="1684"/>
      <c r="BA3664" s="1684"/>
      <c r="BB3664" s="1684"/>
      <c r="BC3664" s="1684"/>
      <c r="BD3664" s="1684"/>
      <c r="BE3664" s="1684"/>
      <c r="BF3664" s="1684"/>
      <c r="BG3664" s="1684"/>
      <c r="BH3664" s="1684"/>
      <c r="BI3664" s="1684"/>
      <c r="BJ3664" s="1684"/>
      <c r="BK3664" s="1684"/>
      <c r="BL3664" s="1684"/>
      <c r="BM3664" s="1684"/>
      <c r="BN3664" s="1684"/>
      <c r="BO3664" s="1684"/>
      <c r="BP3664" s="1684"/>
      <c r="BQ3664" s="1684"/>
      <c r="BR3664" s="1684"/>
      <c r="BS3664" s="1684"/>
      <c r="BT3664" s="1684"/>
      <c r="BU3664" s="1684"/>
      <c r="BV3664" s="1684"/>
      <c r="BW3664" s="1684"/>
      <c r="BX3664" s="1684"/>
      <c r="BY3664" s="1684"/>
      <c r="BZ3664" s="1684"/>
      <c r="CA3664" s="1684"/>
      <c r="CB3664" s="1684"/>
      <c r="CC3664" s="1684"/>
      <c r="CD3664" s="1684"/>
      <c r="CE3664" s="1684"/>
      <c r="CF3664" s="1684"/>
      <c r="CG3664" s="1684"/>
      <c r="CH3664" s="1684"/>
      <c r="CI3664" s="1684"/>
      <c r="CJ3664" s="1684"/>
      <c r="CK3664" s="1684"/>
      <c r="CL3664" s="1684"/>
      <c r="CM3664" s="1684"/>
      <c r="CN3664" s="1684"/>
      <c r="CO3664" s="1684"/>
    </row>
    <row r="3665" spans="1:93" s="1391" customFormat="1" ht="15.75" x14ac:dyDescent="0.25">
      <c r="A3665" s="1684"/>
      <c r="B3665" s="1684"/>
      <c r="C3665" s="1684"/>
      <c r="D3665" s="1684"/>
      <c r="E3665" s="1684"/>
      <c r="F3665" s="1684"/>
      <c r="G3665" s="1684"/>
      <c r="H3665" s="1684"/>
      <c r="I3665" s="1684"/>
      <c r="J3665" s="1684"/>
      <c r="K3665" s="1417"/>
      <c r="L3665" s="1417"/>
      <c r="M3665" s="1417"/>
      <c r="N3665" s="1417"/>
      <c r="O3665" s="1417"/>
      <c r="P3665" s="1417"/>
      <c r="Q3665" s="1417"/>
      <c r="R3665" s="1417"/>
      <c r="S3665" s="1417"/>
      <c r="T3665" s="1417"/>
      <c r="U3665" s="1417"/>
      <c r="V3665" s="1417"/>
      <c r="W3665" s="1417"/>
      <c r="X3665" s="1417"/>
      <c r="Y3665" s="1417"/>
      <c r="Z3665" s="1417"/>
      <c r="AA3665" s="1417"/>
      <c r="AB3665" s="1417"/>
      <c r="AC3665" s="1417"/>
      <c r="AD3665" s="1417"/>
      <c r="AE3665" s="1417"/>
      <c r="AF3665" s="1417"/>
      <c r="AG3665" s="1417"/>
      <c r="AH3665" s="1417"/>
      <c r="AI3665" s="1684"/>
      <c r="AJ3665" s="1684"/>
      <c r="AK3665" s="1684"/>
      <c r="AL3665" s="1684"/>
      <c r="AM3665" s="1684"/>
      <c r="AN3665" s="1684"/>
      <c r="AO3665" s="1684"/>
      <c r="AP3665" s="1684"/>
      <c r="AQ3665" s="1684"/>
      <c r="AR3665" s="1684"/>
      <c r="AS3665" s="1684"/>
      <c r="AT3665" s="1684"/>
      <c r="AU3665" s="1684"/>
      <c r="AV3665" s="1684"/>
      <c r="AW3665" s="1684"/>
      <c r="AX3665" s="1684"/>
      <c r="AY3665" s="1684"/>
      <c r="AZ3665" s="1684"/>
      <c r="BA3665" s="1684"/>
      <c r="BB3665" s="1684"/>
      <c r="BC3665" s="1684"/>
      <c r="BD3665" s="1684"/>
      <c r="BE3665" s="1684"/>
      <c r="BF3665" s="1684"/>
      <c r="BG3665" s="1684"/>
      <c r="BH3665" s="1684"/>
      <c r="BI3665" s="1684"/>
      <c r="BJ3665" s="1684"/>
      <c r="BK3665" s="1684"/>
      <c r="BL3665" s="1684"/>
      <c r="BM3665" s="1684"/>
      <c r="BN3665" s="1684"/>
      <c r="BO3665" s="1684"/>
      <c r="BP3665" s="1684"/>
      <c r="BQ3665" s="1684"/>
      <c r="BR3665" s="1684"/>
      <c r="BS3665" s="1684"/>
      <c r="BT3665" s="1684"/>
      <c r="BU3665" s="1684"/>
      <c r="BV3665" s="1684"/>
      <c r="BW3665" s="1684"/>
      <c r="BX3665" s="1684"/>
      <c r="BY3665" s="1684"/>
      <c r="BZ3665" s="1684"/>
      <c r="CA3665" s="1684"/>
      <c r="CB3665" s="1684"/>
      <c r="CC3665" s="1684"/>
      <c r="CD3665" s="1684"/>
      <c r="CE3665" s="1684"/>
      <c r="CF3665" s="1684"/>
      <c r="CG3665" s="1684"/>
      <c r="CH3665" s="1684"/>
      <c r="CI3665" s="1684"/>
      <c r="CJ3665" s="1684"/>
      <c r="CK3665" s="1684"/>
      <c r="CL3665" s="1684"/>
      <c r="CM3665" s="1684"/>
      <c r="CN3665" s="1684"/>
      <c r="CO3665" s="1684"/>
    </row>
    <row r="3666" spans="1:93" s="1391" customFormat="1" ht="15.75" x14ac:dyDescent="0.25">
      <c r="A3666" s="1729"/>
      <c r="B3666" s="1729"/>
      <c r="C3666" s="1729"/>
      <c r="D3666" s="1729"/>
      <c r="E3666" s="1729"/>
      <c r="F3666" s="1729"/>
      <c r="G3666" s="1729"/>
      <c r="H3666" s="1729"/>
      <c r="I3666" s="1729"/>
      <c r="J3666" s="1729"/>
      <c r="K3666" s="1730"/>
      <c r="L3666" s="1730"/>
      <c r="M3666" s="1730"/>
      <c r="N3666" s="1730"/>
      <c r="O3666" s="1730"/>
      <c r="P3666" s="1730"/>
      <c r="Q3666" s="1730"/>
      <c r="R3666" s="1730"/>
      <c r="S3666" s="1730"/>
      <c r="T3666" s="1730"/>
      <c r="U3666" s="1730"/>
      <c r="V3666" s="1417"/>
      <c r="W3666" s="1417"/>
      <c r="X3666" s="1417"/>
      <c r="Y3666" s="1417"/>
      <c r="Z3666" s="1417"/>
      <c r="AA3666" s="1417"/>
      <c r="AB3666" s="1417"/>
      <c r="AC3666" s="1417"/>
      <c r="AD3666" s="1417"/>
      <c r="AE3666" s="1417"/>
      <c r="AF3666" s="1417"/>
      <c r="AG3666" s="1417"/>
      <c r="AH3666" s="1417"/>
      <c r="AI3666" s="1684"/>
      <c r="AJ3666" s="1684"/>
      <c r="AK3666" s="1684"/>
      <c r="AL3666" s="1684"/>
      <c r="AM3666" s="1684"/>
      <c r="AN3666" s="1684"/>
      <c r="AO3666" s="1684"/>
      <c r="AP3666" s="1684"/>
      <c r="AQ3666" s="1684"/>
      <c r="AR3666" s="1684"/>
      <c r="AS3666" s="1684"/>
      <c r="AT3666" s="1684"/>
      <c r="AU3666" s="1684"/>
      <c r="AV3666" s="1684"/>
      <c r="AW3666" s="1684"/>
      <c r="AX3666" s="1684"/>
      <c r="AY3666" s="1684"/>
      <c r="AZ3666" s="1684"/>
      <c r="BA3666" s="1684"/>
      <c r="BB3666" s="1684"/>
      <c r="BC3666" s="1684"/>
      <c r="BD3666" s="1684"/>
      <c r="BE3666" s="1684"/>
      <c r="BF3666" s="1684"/>
      <c r="BG3666" s="1684"/>
      <c r="BH3666" s="1684"/>
      <c r="BI3666" s="1684"/>
      <c r="BJ3666" s="1684"/>
      <c r="BK3666" s="1684"/>
      <c r="BL3666" s="1684"/>
      <c r="BM3666" s="1684"/>
      <c r="BN3666" s="1684"/>
      <c r="BO3666" s="1684"/>
      <c r="BP3666" s="1684"/>
      <c r="BQ3666" s="1684"/>
      <c r="BR3666" s="1684"/>
      <c r="BS3666" s="1684"/>
      <c r="BT3666" s="1684"/>
      <c r="BU3666" s="1684"/>
      <c r="BV3666" s="1684"/>
      <c r="BW3666" s="1684"/>
      <c r="BX3666" s="1684"/>
      <c r="BY3666" s="1684"/>
      <c r="BZ3666" s="1684"/>
      <c r="CA3666" s="1684"/>
      <c r="CB3666" s="1684"/>
      <c r="CC3666" s="1684"/>
      <c r="CD3666" s="1684"/>
      <c r="CE3666" s="1684"/>
      <c r="CF3666" s="1684"/>
      <c r="CG3666" s="1684"/>
      <c r="CH3666" s="1684"/>
      <c r="CI3666" s="1684"/>
      <c r="CJ3666" s="1684"/>
      <c r="CK3666" s="1684"/>
      <c r="CL3666" s="1684"/>
      <c r="CM3666" s="1684"/>
      <c r="CN3666" s="1684"/>
      <c r="CO3666" s="1684"/>
    </row>
  </sheetData>
  <sheetProtection sort="0" autoFilter="0" pivotTables="0"/>
  <mergeCells count="366">
    <mergeCell ref="C1549:C1555"/>
    <mergeCell ref="D1550:D1555"/>
    <mergeCell ref="E1550:E1555"/>
    <mergeCell ref="C1415:Q1417"/>
    <mergeCell ref="AF3618:AG3618"/>
    <mergeCell ref="AF3619:AG3619"/>
    <mergeCell ref="AF3620:AG3620"/>
    <mergeCell ref="AF3613:AG3613"/>
    <mergeCell ref="AF3614:AG3614"/>
    <mergeCell ref="AF3609:AG3609"/>
    <mergeCell ref="AF3603:AG3603"/>
    <mergeCell ref="Q3602:U3602"/>
    <mergeCell ref="W3602:X3602"/>
    <mergeCell ref="Q3603:R3604"/>
    <mergeCell ref="W3603:X3603"/>
    <mergeCell ref="Y3603:Z3603"/>
    <mergeCell ref="Y3602:Z3602"/>
    <mergeCell ref="Y3604:Z3604"/>
    <mergeCell ref="AF3604:AG3604"/>
    <mergeCell ref="B3615:C3615"/>
    <mergeCell ref="E3615:F3615"/>
    <mergeCell ref="AF3615:AG3615"/>
    <mergeCell ref="AF3617:AG3617"/>
    <mergeCell ref="H3616:K3616"/>
    <mergeCell ref="AF3616:AG3616"/>
    <mergeCell ref="H3611:J3611"/>
    <mergeCell ref="M3611:N3611"/>
    <mergeCell ref="AF3611:AG3611"/>
    <mergeCell ref="H3612:J3612"/>
    <mergeCell ref="M3612:N3612"/>
    <mergeCell ref="AF3612:AG3612"/>
    <mergeCell ref="AC3610:AD3610"/>
    <mergeCell ref="AF3610:AG3610"/>
    <mergeCell ref="E3609:F3609"/>
    <mergeCell ref="Q3609:R3609"/>
    <mergeCell ref="X3609:Z3609"/>
    <mergeCell ref="AC3609:AD3609"/>
    <mergeCell ref="Y3605:Z3605"/>
    <mergeCell ref="AF3605:AG3605"/>
    <mergeCell ref="Q3606:R3606"/>
    <mergeCell ref="AF3606:AG3606"/>
    <mergeCell ref="Q3607:R3607"/>
    <mergeCell ref="AF3607:AG3607"/>
    <mergeCell ref="Q3608:R3608"/>
    <mergeCell ref="X3608:AD3608"/>
    <mergeCell ref="AF3608:AG3608"/>
    <mergeCell ref="Q3605:R3605"/>
    <mergeCell ref="W3605:X3605"/>
    <mergeCell ref="W3604:X3604"/>
    <mergeCell ref="J3599:M3599"/>
    <mergeCell ref="W3599:X3599"/>
    <mergeCell ref="Y3599:Z3599"/>
    <mergeCell ref="W3600:X3600"/>
    <mergeCell ref="Y3600:Z3600"/>
    <mergeCell ref="S3603:T3603"/>
    <mergeCell ref="H3610:J3610"/>
    <mergeCell ref="X3610:Z3610"/>
    <mergeCell ref="AB3597:AD3597"/>
    <mergeCell ref="W3598:X3598"/>
    <mergeCell ref="Y3598:Z3598"/>
    <mergeCell ref="B2345:N2345"/>
    <mergeCell ref="B2353:N2353"/>
    <mergeCell ref="A2362:B2362"/>
    <mergeCell ref="C3483:C3489"/>
    <mergeCell ref="D3484:D3489"/>
    <mergeCell ref="AF3602:AG3602"/>
    <mergeCell ref="E3484:E3489"/>
    <mergeCell ref="B3591:G3591"/>
    <mergeCell ref="J3591:N3591"/>
    <mergeCell ref="P3591:S3591"/>
    <mergeCell ref="W3597:AA3597"/>
    <mergeCell ref="AF3600:AG3601"/>
    <mergeCell ref="J3601:K3601"/>
    <mergeCell ref="L3601:M3601"/>
    <mergeCell ref="W3601:X3601"/>
    <mergeCell ref="Y3601:Z3601"/>
    <mergeCell ref="B2258:N2258"/>
    <mergeCell ref="B2259:N2259"/>
    <mergeCell ref="B2336:N2336"/>
    <mergeCell ref="B2337:N2337"/>
    <mergeCell ref="B2283:N2283"/>
    <mergeCell ref="B2284:N2284"/>
    <mergeCell ref="B2292:N2292"/>
    <mergeCell ref="B2300:N2300"/>
    <mergeCell ref="B2308:N2309"/>
    <mergeCell ref="B2310:D2310"/>
    <mergeCell ref="B2267:N2267"/>
    <mergeCell ref="B2275:N2275"/>
    <mergeCell ref="B2311:N2311"/>
    <mergeCell ref="B2312:N2312"/>
    <mergeCell ref="B2320:N2320"/>
    <mergeCell ref="B2328:N2328"/>
    <mergeCell ref="B2231:N2231"/>
    <mergeCell ref="B2239:N2239"/>
    <mergeCell ref="B2247:N2247"/>
    <mergeCell ref="B2255:N2256"/>
    <mergeCell ref="B2257:D2257"/>
    <mergeCell ref="B2177:N2177"/>
    <mergeCell ref="B2178:N2178"/>
    <mergeCell ref="B2186:N2186"/>
    <mergeCell ref="B2194:N2194"/>
    <mergeCell ref="B2202:N2203"/>
    <mergeCell ref="B2204:D2204"/>
    <mergeCell ref="B2205:N2205"/>
    <mergeCell ref="B2206:N2206"/>
    <mergeCell ref="B2152:N2152"/>
    <mergeCell ref="B2153:N2153"/>
    <mergeCell ref="B2161:N2161"/>
    <mergeCell ref="B2169:N2169"/>
    <mergeCell ref="B2214:N2214"/>
    <mergeCell ref="B2222:N2222"/>
    <mergeCell ref="B2230:N2230"/>
    <mergeCell ref="B2070:K2070"/>
    <mergeCell ref="B2071:K2071"/>
    <mergeCell ref="B2080:K2080"/>
    <mergeCell ref="B2089:K2089"/>
    <mergeCell ref="B2147:N2148"/>
    <mergeCell ref="B2149:B2151"/>
    <mergeCell ref="C2149:C2151"/>
    <mergeCell ref="D2149:M2149"/>
    <mergeCell ref="N2149:N2151"/>
    <mergeCell ref="D2151:M2151"/>
    <mergeCell ref="B2098:K2098"/>
    <mergeCell ref="B2107:K2107"/>
    <mergeCell ref="B2108:K2108"/>
    <mergeCell ref="B2117:K2117"/>
    <mergeCell ref="B2126:K2126"/>
    <mergeCell ref="B2135:K2135"/>
    <mergeCell ref="B2029:K2029"/>
    <mergeCell ref="B2038:K2038"/>
    <mergeCell ref="B2047:K2047"/>
    <mergeCell ref="B2056:K2056"/>
    <mergeCell ref="B2066:K2066"/>
    <mergeCell ref="B2067:B2069"/>
    <mergeCell ref="C2067:C2069"/>
    <mergeCell ref="D2067:J2067"/>
    <mergeCell ref="K2067:K2069"/>
    <mergeCell ref="D2069:J2069"/>
    <mergeCell ref="B2001:K2001"/>
    <mergeCell ref="B2010:K2010"/>
    <mergeCell ref="B2019:K2019"/>
    <mergeCell ref="B2028:K2028"/>
    <mergeCell ref="B1968:L1968"/>
    <mergeCell ref="B1976:L1976"/>
    <mergeCell ref="B1987:K1987"/>
    <mergeCell ref="B1988:B1990"/>
    <mergeCell ref="C1988:C1990"/>
    <mergeCell ref="D1988:J1988"/>
    <mergeCell ref="K1988:K1990"/>
    <mergeCell ref="D1990:J1990"/>
    <mergeCell ref="B1934:L1934"/>
    <mergeCell ref="B1935:L1935"/>
    <mergeCell ref="B1943:L1943"/>
    <mergeCell ref="B1951:L1951"/>
    <mergeCell ref="B1876:M1876"/>
    <mergeCell ref="B1886:M1886"/>
    <mergeCell ref="B1959:L1959"/>
    <mergeCell ref="B1991:K1991"/>
    <mergeCell ref="B1992:K1992"/>
    <mergeCell ref="B1866:M1866"/>
    <mergeCell ref="B1841:M1841"/>
    <mergeCell ref="B1842:B1844"/>
    <mergeCell ref="C1842:C1844"/>
    <mergeCell ref="D1842:L1842"/>
    <mergeCell ref="M1842:M1844"/>
    <mergeCell ref="D1844:L1844"/>
    <mergeCell ref="C1931:C1933"/>
    <mergeCell ref="D1931:K1931"/>
    <mergeCell ref="D1755:L1755"/>
    <mergeCell ref="B1758:M1758"/>
    <mergeCell ref="B1759:M1759"/>
    <mergeCell ref="B1769:M1769"/>
    <mergeCell ref="B1779:M1779"/>
    <mergeCell ref="B1702:M1702"/>
    <mergeCell ref="B1712:M1712"/>
    <mergeCell ref="B1789:M1789"/>
    <mergeCell ref="B1960:L1960"/>
    <mergeCell ref="B1887:M1887"/>
    <mergeCell ref="B1897:M1897"/>
    <mergeCell ref="B1907:M1907"/>
    <mergeCell ref="B1917:M1917"/>
    <mergeCell ref="B1930:L1930"/>
    <mergeCell ref="B1931:B1933"/>
    <mergeCell ref="B1800:M1800"/>
    <mergeCell ref="B1810:M1810"/>
    <mergeCell ref="B1820:M1820"/>
    <mergeCell ref="B1830:M1830"/>
    <mergeCell ref="L1931:L1933"/>
    <mergeCell ref="D1933:K1933"/>
    <mergeCell ref="B1845:M1845"/>
    <mergeCell ref="B1846:M1846"/>
    <mergeCell ref="B1856:M1856"/>
    <mergeCell ref="B1799:M1799"/>
    <mergeCell ref="B1713:M1713"/>
    <mergeCell ref="B1723:M1723"/>
    <mergeCell ref="B1733:M1733"/>
    <mergeCell ref="B1743:M1743"/>
    <mergeCell ref="B1754:M1754"/>
    <mergeCell ref="B1755:B1757"/>
    <mergeCell ref="B1626:M1626"/>
    <mergeCell ref="B1636:M1636"/>
    <mergeCell ref="B1646:M1646"/>
    <mergeCell ref="B1656:M1656"/>
    <mergeCell ref="M1755:M1757"/>
    <mergeCell ref="D1757:L1757"/>
    <mergeCell ref="B1671:M1671"/>
    <mergeCell ref="B1672:M1672"/>
    <mergeCell ref="B1682:M1682"/>
    <mergeCell ref="B1692:M1692"/>
    <mergeCell ref="B1667:M1667"/>
    <mergeCell ref="B1668:B1670"/>
    <mergeCell ref="C1668:C1670"/>
    <mergeCell ref="D1668:L1668"/>
    <mergeCell ref="M1668:M1670"/>
    <mergeCell ref="D1670:L1670"/>
    <mergeCell ref="C1755:C1757"/>
    <mergeCell ref="D1419:D1421"/>
    <mergeCell ref="C1422:Q1423"/>
    <mergeCell ref="C1424:Q1425"/>
    <mergeCell ref="C1438:Q1439"/>
    <mergeCell ref="C1328:Q1329"/>
    <mergeCell ref="C1342:Q1343"/>
    <mergeCell ref="C1356:Q1357"/>
    <mergeCell ref="C1466:Q1467"/>
    <mergeCell ref="B1625:M1625"/>
    <mergeCell ref="B1580:M1580"/>
    <mergeCell ref="B1581:B1583"/>
    <mergeCell ref="C1581:C1583"/>
    <mergeCell ref="D1581:L1581"/>
    <mergeCell ref="M1581:M1583"/>
    <mergeCell ref="D1583:L1583"/>
    <mergeCell ref="B1584:M1584"/>
    <mergeCell ref="B1585:M1585"/>
    <mergeCell ref="B1595:M1595"/>
    <mergeCell ref="B1615:M1615"/>
    <mergeCell ref="B1605:M1605"/>
    <mergeCell ref="C1452:Q1453"/>
    <mergeCell ref="C1496:Q1497"/>
    <mergeCell ref="C1510:Q1511"/>
    <mergeCell ref="C1524:Q1525"/>
    <mergeCell ref="C1218:Q1219"/>
    <mergeCell ref="C1480:Q1481"/>
    <mergeCell ref="C1482:Q1483"/>
    <mergeCell ref="C1358:Q1359"/>
    <mergeCell ref="C1372:Q1373"/>
    <mergeCell ref="C1386:Q1387"/>
    <mergeCell ref="C1400:Q1401"/>
    <mergeCell ref="C1234:Q1235"/>
    <mergeCell ref="C1248:Q1249"/>
    <mergeCell ref="C1262:Q1263"/>
    <mergeCell ref="C1276:Q1277"/>
    <mergeCell ref="E1419:P1419"/>
    <mergeCell ref="Q1419:Q1421"/>
    <mergeCell ref="E1421:P1421"/>
    <mergeCell ref="C1298:Q1299"/>
    <mergeCell ref="C1300:Q1301"/>
    <mergeCell ref="C1314:Q1315"/>
    <mergeCell ref="C1291:Q1293"/>
    <mergeCell ref="C1295:C1297"/>
    <mergeCell ref="D1295:D1297"/>
    <mergeCell ref="E1295:P1295"/>
    <mergeCell ref="Q1295:Q1297"/>
    <mergeCell ref="E1297:P1297"/>
    <mergeCell ref="C1419:C1421"/>
    <mergeCell ref="E1049:P1049"/>
    <mergeCell ref="D1171:D1173"/>
    <mergeCell ref="E1171:P1171"/>
    <mergeCell ref="C1174:Q1175"/>
    <mergeCell ref="C1176:Q1177"/>
    <mergeCell ref="C1190:Q1191"/>
    <mergeCell ref="C1204:Q1205"/>
    <mergeCell ref="C1094:Q1095"/>
    <mergeCell ref="C1108:Q1109"/>
    <mergeCell ref="C860:Q861"/>
    <mergeCell ref="C970:Q971"/>
    <mergeCell ref="C1232:Q1233"/>
    <mergeCell ref="C1110:Q1111"/>
    <mergeCell ref="C1124:Q1125"/>
    <mergeCell ref="C1138:Q1139"/>
    <mergeCell ref="C1152:Q1153"/>
    <mergeCell ref="C1167:Q1169"/>
    <mergeCell ref="C1171:C1173"/>
    <mergeCell ref="C986:Q987"/>
    <mergeCell ref="C1000:Q1001"/>
    <mergeCell ref="C1014:Q1015"/>
    <mergeCell ref="C1028:Q1029"/>
    <mergeCell ref="Q1171:Q1173"/>
    <mergeCell ref="E1173:P1173"/>
    <mergeCell ref="C1050:Q1051"/>
    <mergeCell ref="C1052:Q1053"/>
    <mergeCell ref="C1066:Q1067"/>
    <mergeCell ref="C1080:Q1081"/>
    <mergeCell ref="C1043:Q1045"/>
    <mergeCell ref="C1047:C1049"/>
    <mergeCell ref="D1047:D1049"/>
    <mergeCell ref="E1047:P1047"/>
    <mergeCell ref="Q1047:Q1049"/>
    <mergeCell ref="C984:Q985"/>
    <mergeCell ref="C862:Q863"/>
    <mergeCell ref="C876:Q877"/>
    <mergeCell ref="C890:Q891"/>
    <mergeCell ref="C904:Q905"/>
    <mergeCell ref="C919:Q921"/>
    <mergeCell ref="C923:C925"/>
    <mergeCell ref="C738:Q739"/>
    <mergeCell ref="C752:Q753"/>
    <mergeCell ref="C766:Q767"/>
    <mergeCell ref="C780:Q781"/>
    <mergeCell ref="Q923:Q925"/>
    <mergeCell ref="E925:P925"/>
    <mergeCell ref="C802:Q803"/>
    <mergeCell ref="C804:Q805"/>
    <mergeCell ref="C818:Q819"/>
    <mergeCell ref="C832:Q833"/>
    <mergeCell ref="D923:D925"/>
    <mergeCell ref="E923:P923"/>
    <mergeCell ref="C926:Q927"/>
    <mergeCell ref="C928:Q929"/>
    <mergeCell ref="C942:Q943"/>
    <mergeCell ref="C956:Q957"/>
    <mergeCell ref="C846:Q847"/>
    <mergeCell ref="C678:Q679"/>
    <mergeCell ref="C680:Q681"/>
    <mergeCell ref="C694:Q695"/>
    <mergeCell ref="C708:Q709"/>
    <mergeCell ref="C795:Q797"/>
    <mergeCell ref="C799:C801"/>
    <mergeCell ref="D799:D801"/>
    <mergeCell ref="E799:P799"/>
    <mergeCell ref="Q799:Q801"/>
    <mergeCell ref="E801:P801"/>
    <mergeCell ref="C722:Q723"/>
    <mergeCell ref="C736:Q737"/>
    <mergeCell ref="C628:Q629"/>
    <mergeCell ref="C642:Q643"/>
    <mergeCell ref="C656:Q657"/>
    <mergeCell ref="C671:Q673"/>
    <mergeCell ref="C675:C677"/>
    <mergeCell ref="D675:D677"/>
    <mergeCell ref="E675:P675"/>
    <mergeCell ref="Q675:Q677"/>
    <mergeCell ref="Q551:Q553"/>
    <mergeCell ref="E553:P553"/>
    <mergeCell ref="E677:P677"/>
    <mergeCell ref="C556:Q557"/>
    <mergeCell ref="C570:Q571"/>
    <mergeCell ref="C584:Q585"/>
    <mergeCell ref="C598:Q599"/>
    <mergeCell ref="C612:Q613"/>
    <mergeCell ref="C614:Q615"/>
    <mergeCell ref="C554:Q555"/>
    <mergeCell ref="A40:H40"/>
    <mergeCell ref="A41:H41"/>
    <mergeCell ref="A42:H42"/>
    <mergeCell ref="C551:C553"/>
    <mergeCell ref="D551:D553"/>
    <mergeCell ref="E551:P551"/>
    <mergeCell ref="A36:H36"/>
    <mergeCell ref="A47:H47"/>
    <mergeCell ref="A44:H44"/>
    <mergeCell ref="A39:H39"/>
    <mergeCell ref="A45:H45"/>
    <mergeCell ref="C547:Q549"/>
    <mergeCell ref="A37:H37"/>
    <mergeCell ref="A38:H38"/>
    <mergeCell ref="A43:H43"/>
  </mergeCells>
  <phoneticPr fontId="20" type="noConversion"/>
  <hyperlinks>
    <hyperlink ref="A93" location="kursovoy!A70" display="Расчет окончен. Переходите к составлению отчета"/>
    <hyperlink ref="A92" location="kursovoy!A1528" display="Переходите для продолжения вычислений"/>
  </hyperlinks>
  <pageMargins left="0.75" right="0.75" top="1" bottom="1" header="0.5" footer="0.5"/>
  <pageSetup paperSize="9"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L1287"/>
  <sheetViews>
    <sheetView workbookViewId="0">
      <selection activeCell="D274" sqref="D274"/>
    </sheetView>
  </sheetViews>
  <sheetFormatPr defaultRowHeight="12.75" x14ac:dyDescent="0.2"/>
  <cols>
    <col min="1" max="1" width="74.7109375" customWidth="1"/>
  </cols>
  <sheetData>
    <row r="1" spans="1:1" ht="13.5" thickBot="1" x14ac:dyDescent="0.25"/>
    <row r="2" spans="1:1" x14ac:dyDescent="0.2">
      <c r="A2" s="2415"/>
    </row>
    <row r="3" spans="1:1" x14ac:dyDescent="0.2">
      <c r="A3" s="2418"/>
    </row>
    <row r="4" spans="1:1" x14ac:dyDescent="0.2">
      <c r="A4" s="2418"/>
    </row>
    <row r="5" spans="1:1" ht="22.5" x14ac:dyDescent="0.3">
      <c r="A5" s="2462" t="s">
        <v>3157</v>
      </c>
    </row>
    <row r="6" spans="1:1" ht="22.5" x14ac:dyDescent="0.3">
      <c r="A6" s="2462" t="s">
        <v>2170</v>
      </c>
    </row>
    <row r="7" spans="1:1" ht="22.5" x14ac:dyDescent="0.3">
      <c r="A7" s="2462" t="s">
        <v>2171</v>
      </c>
    </row>
    <row r="8" spans="1:1" x14ac:dyDescent="0.2">
      <c r="A8" s="2418"/>
    </row>
    <row r="9" spans="1:1" ht="18.75" x14ac:dyDescent="0.3">
      <c r="A9" s="2463" t="s">
        <v>3167</v>
      </c>
    </row>
    <row r="10" spans="1:1" x14ac:dyDescent="0.2">
      <c r="A10" s="2418"/>
    </row>
    <row r="11" spans="1:1" x14ac:dyDescent="0.2">
      <c r="A11" s="2418"/>
    </row>
    <row r="12" spans="1:1" x14ac:dyDescent="0.2">
      <c r="A12" s="2418"/>
    </row>
    <row r="13" spans="1:1" x14ac:dyDescent="0.2">
      <c r="A13" s="2418"/>
    </row>
    <row r="14" spans="1:1" x14ac:dyDescent="0.2">
      <c r="A14" s="2418"/>
    </row>
    <row r="15" spans="1:1" ht="13.5" thickBot="1" x14ac:dyDescent="0.25">
      <c r="A15" s="2419"/>
    </row>
    <row r="17" spans="1:6" ht="18.75" x14ac:dyDescent="0.3">
      <c r="A17" s="2053" t="s">
        <v>1413</v>
      </c>
      <c r="B17" s="346"/>
    </row>
    <row r="18" spans="1:6" ht="15.75" x14ac:dyDescent="0.25">
      <c r="A18" s="2054" t="s">
        <v>5602</v>
      </c>
      <c r="B18" s="2055" t="str">
        <f>kursovoy!B404</f>
        <v/>
      </c>
    </row>
    <row r="19" spans="1:6" ht="15.75" x14ac:dyDescent="0.25">
      <c r="A19" s="2054" t="s">
        <v>2387</v>
      </c>
      <c r="B19" s="2055" t="str">
        <f>kursovoy!B405</f>
        <v/>
      </c>
    </row>
    <row r="20" spans="1:6" ht="15.75" x14ac:dyDescent="0.25">
      <c r="A20" s="2056" t="s">
        <v>2388</v>
      </c>
      <c r="B20" s="2057" t="e">
        <f>'шт-кмех'!B233</f>
        <v>#VALUE!</v>
      </c>
      <c r="C20" s="549"/>
    </row>
    <row r="21" spans="1:6" ht="15.75" x14ac:dyDescent="0.25">
      <c r="A21" s="2058" t="s">
        <v>2389</v>
      </c>
      <c r="B21" s="2059" t="e">
        <f>kursovoy!B2305</f>
        <v>#VALUE!</v>
      </c>
    </row>
    <row r="22" spans="1:6" ht="15.75" x14ac:dyDescent="0.25">
      <c r="A22" s="2060" t="s">
        <v>2390</v>
      </c>
      <c r="B22" s="213" t="str">
        <f>kursovoy!B216</f>
        <v/>
      </c>
      <c r="F22" s="2061"/>
    </row>
    <row r="23" spans="1:6" ht="15.75" x14ac:dyDescent="0.25">
      <c r="A23" s="2062" t="s">
        <v>463</v>
      </c>
      <c r="B23" s="213">
        <f>IF(kursovoy!B207&lt;=2,1,2)</f>
        <v>2</v>
      </c>
      <c r="D23" s="2063"/>
      <c r="E23" s="2063"/>
      <c r="F23" s="2064"/>
    </row>
    <row r="24" spans="1:6" ht="15" x14ac:dyDescent="0.25">
      <c r="A24" s="2065" t="s">
        <v>464</v>
      </c>
      <c r="B24" s="213" t="str">
        <f>kursovoy!B225</f>
        <v/>
      </c>
      <c r="D24" s="2066"/>
      <c r="E24" s="2063"/>
      <c r="F24" s="2067"/>
    </row>
    <row r="25" spans="1:6" x14ac:dyDescent="0.2">
      <c r="A25" s="2068" t="s">
        <v>1027</v>
      </c>
      <c r="B25" s="213">
        <v>0</v>
      </c>
      <c r="D25" s="2066"/>
      <c r="E25" s="2063"/>
      <c r="F25" s="2069"/>
    </row>
    <row r="26" spans="1:6" ht="25.5" x14ac:dyDescent="0.2">
      <c r="A26" s="2068" t="s">
        <v>4297</v>
      </c>
      <c r="B26" s="213" t="str">
        <f>kursovoy!B221</f>
        <v/>
      </c>
      <c r="D26" s="2066"/>
      <c r="E26" s="2063"/>
      <c r="F26" s="2069"/>
    </row>
    <row r="27" spans="1:6" ht="37.5" x14ac:dyDescent="0.3">
      <c r="A27" s="2070" t="s">
        <v>4298</v>
      </c>
      <c r="B27" s="2071"/>
    </row>
    <row r="28" spans="1:6" x14ac:dyDescent="0.2">
      <c r="A28" s="2068" t="s">
        <v>4299</v>
      </c>
      <c r="B28" s="2072">
        <v>0</v>
      </c>
    </row>
    <row r="29" spans="1:6" x14ac:dyDescent="0.2">
      <c r="A29" s="2068" t="str">
        <f>IF(B28&gt;0,"Количество взрываний в лаве в сут.","не вводить")</f>
        <v>не вводить</v>
      </c>
      <c r="B29" s="2072"/>
    </row>
    <row r="30" spans="1:6" x14ac:dyDescent="0.2">
      <c r="A30" s="2068" t="str">
        <f>IF(B28=1,"Количество взрываемых шпуров за сут.","не вводить")</f>
        <v>не вводить</v>
      </c>
      <c r="B30" s="2072"/>
    </row>
    <row r="31" spans="1:6" x14ac:dyDescent="0.2">
      <c r="A31" s="2068" t="s">
        <v>4300</v>
      </c>
      <c r="B31" s="2072">
        <v>0</v>
      </c>
    </row>
    <row r="32" spans="1:6" x14ac:dyDescent="0.2">
      <c r="A32" s="2068" t="str">
        <f>IF(B31&gt;0,"Количество взрываний в бутовых штреках, в сут","не вводить")</f>
        <v>не вводить</v>
      </c>
      <c r="B32" s="2072"/>
    </row>
    <row r="33" spans="1:2" ht="25.5" x14ac:dyDescent="0.2">
      <c r="A33" s="2068" t="s">
        <v>4301</v>
      </c>
      <c r="B33" s="2072">
        <v>0</v>
      </c>
    </row>
    <row r="34" spans="1:2" x14ac:dyDescent="0.2">
      <c r="A34" s="2068" t="str">
        <f>IF(B33&gt;0,"Количество взрываний в нишах, в сут","не вводить")</f>
        <v>не вводить</v>
      </c>
      <c r="B34" s="2072"/>
    </row>
    <row r="35" spans="1:2" ht="15" x14ac:dyDescent="0.25">
      <c r="A35" s="2073" t="s">
        <v>4302</v>
      </c>
      <c r="B35" s="2074">
        <v>1</v>
      </c>
    </row>
    <row r="36" spans="1:2" ht="15" x14ac:dyDescent="0.25">
      <c r="A36" s="2073" t="str">
        <f>IF(B35=1,"Перепиливание стоек(1- электропилами, 0- с помощью др.средств)","Не заполнять!")</f>
        <v>Перепиливание стоек(1- электропилами, 0- с помощью др.средств)</v>
      </c>
      <c r="B36" s="2074">
        <v>0</v>
      </c>
    </row>
    <row r="37" spans="1:2" ht="15" x14ac:dyDescent="0.25">
      <c r="A37" s="2073" t="s">
        <v>4303</v>
      </c>
      <c r="B37" s="2075">
        <v>0</v>
      </c>
    </row>
    <row r="38" spans="1:2" ht="37.5" x14ac:dyDescent="0.3">
      <c r="A38" s="2076" t="s">
        <v>4304</v>
      </c>
      <c r="B38" s="2071"/>
    </row>
    <row r="39" spans="1:2" ht="18.75" x14ac:dyDescent="0.3">
      <c r="A39" s="2077" t="s">
        <v>4305</v>
      </c>
      <c r="B39" s="2071"/>
    </row>
    <row r="40" spans="1:2" x14ac:dyDescent="0.2">
      <c r="A40" s="2078" t="s">
        <v>3154</v>
      </c>
      <c r="B40" s="336">
        <v>1</v>
      </c>
    </row>
    <row r="41" spans="1:2" ht="17.25" x14ac:dyDescent="0.25">
      <c r="A41" s="2079" t="s">
        <v>4249</v>
      </c>
      <c r="B41" s="2080">
        <v>8000</v>
      </c>
    </row>
    <row r="42" spans="1:2" ht="17.25" x14ac:dyDescent="0.25">
      <c r="A42" s="2079" t="s">
        <v>4250</v>
      </c>
      <c r="B42" s="2080">
        <v>0.15</v>
      </c>
    </row>
    <row r="43" spans="1:2" x14ac:dyDescent="0.2">
      <c r="A43" s="2081" t="s">
        <v>4251</v>
      </c>
      <c r="B43" s="2080">
        <v>0.1</v>
      </c>
    </row>
    <row r="44" spans="1:2" ht="18.75" x14ac:dyDescent="0.3">
      <c r="A44" s="2077" t="s">
        <v>4252</v>
      </c>
      <c r="B44" s="2071"/>
    </row>
    <row r="45" spans="1:2" ht="17.25" x14ac:dyDescent="0.25">
      <c r="A45" s="2082" t="s">
        <v>687</v>
      </c>
      <c r="B45" s="2080">
        <v>0.5</v>
      </c>
    </row>
    <row r="46" spans="1:2" ht="18.75" x14ac:dyDescent="0.3">
      <c r="A46" s="2083" t="s">
        <v>688</v>
      </c>
      <c r="B46" s="2071"/>
    </row>
    <row r="47" spans="1:2" x14ac:dyDescent="0.2">
      <c r="A47" s="2084" t="s">
        <v>689</v>
      </c>
      <c r="B47" s="2080">
        <v>15</v>
      </c>
    </row>
    <row r="48" spans="1:2" x14ac:dyDescent="0.2">
      <c r="A48" s="2085" t="s">
        <v>690</v>
      </c>
      <c r="B48" s="2080">
        <v>0.8</v>
      </c>
    </row>
    <row r="49" spans="1:3" ht="18.75" x14ac:dyDescent="0.3">
      <c r="A49" s="2086" t="s">
        <v>691</v>
      </c>
      <c r="B49" s="2071"/>
    </row>
    <row r="50" spans="1:3" x14ac:dyDescent="0.2">
      <c r="A50" s="2085" t="s">
        <v>692</v>
      </c>
      <c r="B50" s="2080">
        <v>3</v>
      </c>
    </row>
    <row r="51" spans="1:3" x14ac:dyDescent="0.2">
      <c r="A51" s="2085" t="s">
        <v>693</v>
      </c>
      <c r="B51" s="2080">
        <v>1</v>
      </c>
      <c r="C51" s="1877"/>
    </row>
    <row r="52" spans="1:3" x14ac:dyDescent="0.2">
      <c r="A52" s="2085" t="s">
        <v>694</v>
      </c>
      <c r="B52" s="2080">
        <v>2</v>
      </c>
    </row>
    <row r="53" spans="1:3" ht="18" x14ac:dyDescent="0.25">
      <c r="A53" s="2087" t="s">
        <v>695</v>
      </c>
      <c r="B53" s="2061"/>
    </row>
    <row r="54" spans="1:3" x14ac:dyDescent="0.2">
      <c r="A54" s="2085" t="s">
        <v>692</v>
      </c>
      <c r="B54" s="2080">
        <v>2</v>
      </c>
    </row>
    <row r="55" spans="1:3" x14ac:dyDescent="0.2">
      <c r="A55" s="2085" t="s">
        <v>694</v>
      </c>
      <c r="B55" s="2080">
        <v>2</v>
      </c>
    </row>
    <row r="56" spans="1:3" ht="18.75" x14ac:dyDescent="0.3">
      <c r="A56" s="2088" t="s">
        <v>696</v>
      </c>
      <c r="B56" s="2071"/>
    </row>
    <row r="57" spans="1:3" ht="25.5" x14ac:dyDescent="0.2">
      <c r="A57" s="2089" t="s">
        <v>697</v>
      </c>
      <c r="B57" s="2080">
        <v>1</v>
      </c>
    </row>
    <row r="58" spans="1:3" ht="25.5" x14ac:dyDescent="0.2">
      <c r="A58" s="2089" t="s">
        <v>2138</v>
      </c>
      <c r="B58" s="2080">
        <v>0</v>
      </c>
    </row>
    <row r="59" spans="1:3" x14ac:dyDescent="0.2">
      <c r="A59" s="2089" t="s">
        <v>2139</v>
      </c>
      <c r="B59" s="2080">
        <v>2</v>
      </c>
    </row>
    <row r="60" spans="1:3" x14ac:dyDescent="0.2">
      <c r="A60" s="2089" t="s">
        <v>2140</v>
      </c>
      <c r="B60" s="2080">
        <v>2.5</v>
      </c>
    </row>
    <row r="61" spans="1:3" x14ac:dyDescent="0.2">
      <c r="A61" s="2089" t="s">
        <v>2141</v>
      </c>
      <c r="B61" s="2080">
        <v>2</v>
      </c>
    </row>
    <row r="62" spans="1:3" ht="18.75" x14ac:dyDescent="0.3">
      <c r="A62" s="2090" t="s">
        <v>2142</v>
      </c>
      <c r="B62" s="2061"/>
    </row>
    <row r="63" spans="1:3" x14ac:dyDescent="0.2">
      <c r="A63" s="2089" t="s">
        <v>2140</v>
      </c>
      <c r="B63" s="2080">
        <v>2.5</v>
      </c>
    </row>
    <row r="64" spans="1:3" x14ac:dyDescent="0.2">
      <c r="A64" s="2089" t="s">
        <v>2141</v>
      </c>
      <c r="B64" s="2080">
        <v>2</v>
      </c>
    </row>
    <row r="65" spans="1:12" x14ac:dyDescent="0.2">
      <c r="A65" s="2089" t="s">
        <v>2143</v>
      </c>
      <c r="B65" s="2080">
        <v>0.2</v>
      </c>
    </row>
    <row r="66" spans="1:12" x14ac:dyDescent="0.2">
      <c r="A66" s="2091"/>
      <c r="B66" s="489"/>
      <c r="C66" s="489"/>
      <c r="D66" s="489"/>
      <c r="E66" s="489"/>
      <c r="F66" s="489"/>
      <c r="G66" s="489"/>
      <c r="H66" s="1877"/>
    </row>
    <row r="67" spans="1:12" x14ac:dyDescent="0.2">
      <c r="A67" s="2091"/>
      <c r="B67" s="489"/>
      <c r="C67" s="489"/>
      <c r="D67" s="489"/>
      <c r="E67" s="489"/>
      <c r="F67" s="489"/>
      <c r="G67" s="489"/>
      <c r="H67" s="1877"/>
    </row>
    <row r="68" spans="1:12" x14ac:dyDescent="0.2">
      <c r="A68" s="2092"/>
      <c r="B68" s="2061"/>
      <c r="C68" s="2061"/>
      <c r="D68" s="2061"/>
      <c r="E68" s="2061"/>
      <c r="F68" s="2061"/>
      <c r="G68" s="2061"/>
      <c r="H68" s="2093"/>
      <c r="I68" s="215"/>
      <c r="J68" s="215"/>
      <c r="K68" s="215"/>
      <c r="L68" s="215"/>
    </row>
    <row r="69" spans="1:12" ht="18.75" customHeight="1" x14ac:dyDescent="0.3">
      <c r="A69" s="2094" t="s">
        <v>2144</v>
      </c>
      <c r="B69" s="4753" t="s">
        <v>2145</v>
      </c>
      <c r="C69" s="4753"/>
      <c r="D69" s="4753"/>
      <c r="E69" s="4753"/>
      <c r="F69" s="4753"/>
      <c r="G69" s="4753"/>
      <c r="H69" s="2093"/>
      <c r="I69" s="215"/>
      <c r="J69" s="215"/>
      <c r="K69" s="215"/>
      <c r="L69" s="215"/>
    </row>
    <row r="70" spans="1:12" ht="18.75" x14ac:dyDescent="0.3">
      <c r="A70" s="2095" t="s">
        <v>2146</v>
      </c>
      <c r="B70" s="2096" t="e">
        <f>B106+B123+B142+B155+B240+B260+B178+B203+B216</f>
        <v>#VALUE!</v>
      </c>
      <c r="C70" s="215">
        <v>1</v>
      </c>
      <c r="D70" s="215"/>
      <c r="E70" s="215"/>
      <c r="F70" s="215"/>
    </row>
    <row r="71" spans="1:12" ht="18.75" x14ac:dyDescent="0.3">
      <c r="A71" s="2097" t="s">
        <v>4655</v>
      </c>
      <c r="B71" s="2096" t="e">
        <f>B312+B324+B329+B358+B380+B430+B472</f>
        <v>#VALUE!</v>
      </c>
      <c r="C71" s="215">
        <v>2</v>
      </c>
      <c r="D71" s="215"/>
      <c r="E71" s="215"/>
      <c r="F71" s="215"/>
    </row>
    <row r="72" spans="1:12" ht="18.75" x14ac:dyDescent="0.3">
      <c r="A72" s="2097" t="s">
        <v>4656</v>
      </c>
      <c r="B72" s="2096" t="e">
        <f>B527+B545+B558</f>
        <v>#VALUE!</v>
      </c>
      <c r="C72" s="215">
        <v>3</v>
      </c>
      <c r="D72" s="2098" t="s">
        <v>4657</v>
      </c>
      <c r="E72" s="215"/>
      <c r="F72" s="215"/>
    </row>
    <row r="73" spans="1:12" ht="18.75" x14ac:dyDescent="0.3">
      <c r="A73" s="2097" t="s">
        <v>4658</v>
      </c>
      <c r="B73" s="2099" t="e">
        <f>B611+B636</f>
        <v>#VALUE!</v>
      </c>
      <c r="C73" s="215">
        <v>4</v>
      </c>
      <c r="D73" s="2098" t="s">
        <v>4657</v>
      </c>
      <c r="E73" s="215"/>
      <c r="F73" s="215"/>
    </row>
    <row r="74" spans="1:12" ht="18.75" x14ac:dyDescent="0.3">
      <c r="A74" s="2097" t="s">
        <v>4659</v>
      </c>
      <c r="B74" s="2099" t="e">
        <f>B616+B637</f>
        <v>#VALUE!</v>
      </c>
      <c r="C74" s="215">
        <v>5</v>
      </c>
      <c r="D74" s="2098" t="s">
        <v>4657</v>
      </c>
      <c r="E74" s="215"/>
      <c r="F74" s="215"/>
    </row>
    <row r="75" spans="1:12" ht="18.75" x14ac:dyDescent="0.3">
      <c r="A75" s="2097" t="s">
        <v>4660</v>
      </c>
      <c r="B75" s="2096" t="e">
        <f>B701+B719+B735+B748</f>
        <v>#VALUE!</v>
      </c>
      <c r="C75" s="215">
        <v>6</v>
      </c>
      <c r="D75" s="2098" t="s">
        <v>4657</v>
      </c>
      <c r="E75" s="215"/>
      <c r="F75" s="215"/>
    </row>
    <row r="76" spans="1:12" ht="18.75" x14ac:dyDescent="0.3">
      <c r="A76" s="2097" t="s">
        <v>4661</v>
      </c>
      <c r="B76" s="2096" t="e">
        <f>B801+B819+B832</f>
        <v>#VALUE!</v>
      </c>
      <c r="C76" s="215">
        <v>7</v>
      </c>
      <c r="D76" s="2098" t="s">
        <v>4657</v>
      </c>
      <c r="E76" s="215"/>
      <c r="F76" s="215"/>
    </row>
    <row r="77" spans="1:12" ht="18.75" x14ac:dyDescent="0.3">
      <c r="A77" s="2097" t="s">
        <v>4662</v>
      </c>
      <c r="B77" s="2096" t="e">
        <f>B886+B953+B996</f>
        <v>#VALUE!</v>
      </c>
      <c r="C77" s="215">
        <v>8</v>
      </c>
      <c r="D77" s="215"/>
      <c r="E77" s="215"/>
      <c r="F77" s="215"/>
    </row>
    <row r="78" spans="1:12" ht="37.5" x14ac:dyDescent="0.3">
      <c r="A78" s="2100" t="s">
        <v>4663</v>
      </c>
      <c r="B78" s="2096" t="e">
        <f>B1051+B1136+B1179</f>
        <v>#VALUE!</v>
      </c>
      <c r="C78" s="215">
        <v>9</v>
      </c>
      <c r="D78" s="215"/>
      <c r="E78" s="215"/>
      <c r="F78" s="215"/>
    </row>
    <row r="79" spans="1:12" x14ac:dyDescent="0.2">
      <c r="A79" s="2092"/>
      <c r="B79" s="2061"/>
      <c r="C79" s="215"/>
      <c r="D79" s="215"/>
      <c r="E79" s="215"/>
      <c r="F79" s="215"/>
    </row>
    <row r="80" spans="1:12" x14ac:dyDescent="0.2">
      <c r="A80" s="2101"/>
      <c r="B80" s="2101"/>
      <c r="C80" s="549"/>
    </row>
    <row r="81" spans="1:6" ht="18.75" x14ac:dyDescent="0.3">
      <c r="A81" s="2102" t="s">
        <v>4664</v>
      </c>
      <c r="B81" s="2103"/>
      <c r="C81" s="11"/>
      <c r="D81" s="11"/>
      <c r="E81" s="11"/>
      <c r="F81" s="11"/>
    </row>
    <row r="82" spans="1:6" x14ac:dyDescent="0.2">
      <c r="A82" s="2104" t="s">
        <v>4665</v>
      </c>
      <c r="B82" s="2105"/>
      <c r="C82" s="11"/>
      <c r="D82" s="11"/>
      <c r="E82" s="11"/>
      <c r="F82" s="11"/>
    </row>
    <row r="83" spans="1:6" ht="18.75" x14ac:dyDescent="0.3">
      <c r="A83" s="2106" t="s">
        <v>4666</v>
      </c>
      <c r="B83" s="488"/>
      <c r="C83" s="11"/>
      <c r="D83" s="11"/>
      <c r="E83" s="11"/>
      <c r="F83" s="11"/>
    </row>
    <row r="84" spans="1:6" ht="15.75" x14ac:dyDescent="0.25">
      <c r="A84" s="2107" t="s">
        <v>1723</v>
      </c>
      <c r="B84" s="446"/>
      <c r="C84" s="11"/>
      <c r="D84" s="11"/>
      <c r="E84" s="11"/>
      <c r="F84" s="11"/>
    </row>
    <row r="85" spans="1:6" x14ac:dyDescent="0.2">
      <c r="A85" s="2108" t="s">
        <v>4667</v>
      </c>
      <c r="B85" s="2109" t="e">
        <f>INDEX($A$1246:$B$1249,B26,IF(B18&lt;=1,1,2))</f>
        <v>#VALUE!</v>
      </c>
      <c r="C85" s="11"/>
      <c r="D85" s="11"/>
      <c r="E85" s="11"/>
      <c r="F85" s="11"/>
    </row>
    <row r="86" spans="1:6" x14ac:dyDescent="0.2">
      <c r="A86" s="2108" t="s">
        <v>4668</v>
      </c>
      <c r="B86" s="2110">
        <f>IF(F22=0,1,IF(F22=1,0.9,0.85))</f>
        <v>1</v>
      </c>
      <c r="C86" s="11"/>
      <c r="D86" s="11"/>
      <c r="E86" s="11"/>
      <c r="F86" s="11"/>
    </row>
    <row r="87" spans="1:6" x14ac:dyDescent="0.2">
      <c r="A87" s="2108" t="s">
        <v>4669</v>
      </c>
      <c r="B87" s="2111" t="e">
        <f>IF(B21&gt;1200,0.8,IF(B21&gt;1050,0.85,IF(B21&gt;900,0.9,IF(B21&gt;700,0.95,1))))</f>
        <v>#VALUE!</v>
      </c>
      <c r="C87" s="29"/>
      <c r="D87" s="11"/>
      <c r="E87" s="11"/>
      <c r="F87" s="11"/>
    </row>
    <row r="88" spans="1:6" x14ac:dyDescent="0.2">
      <c r="A88" s="2108" t="s">
        <v>4670</v>
      </c>
      <c r="B88" s="2111">
        <f>IF(F25&lt;1,1,IF(F25&lt;3.1,0.95,IF(F25&lt;5.1,0.9,IF(F25&lt;7.1,0.85,IF(F25&lt;9.1,0.75,1)))))</f>
        <v>1</v>
      </c>
      <c r="C88" s="11"/>
      <c r="D88" s="446"/>
      <c r="E88" s="446"/>
      <c r="F88" s="11"/>
    </row>
    <row r="89" spans="1:6" x14ac:dyDescent="0.2">
      <c r="A89" s="2112" t="s">
        <v>4671</v>
      </c>
      <c r="B89" s="446"/>
      <c r="C89" s="11"/>
      <c r="D89" s="446"/>
      <c r="E89" s="446"/>
      <c r="F89" s="11"/>
    </row>
    <row r="90" spans="1:6" x14ac:dyDescent="0.2">
      <c r="A90" s="2108" t="s">
        <v>4672</v>
      </c>
      <c r="B90" s="2111">
        <f>IF(B33=0,1,B91)</f>
        <v>1</v>
      </c>
      <c r="C90" s="29"/>
      <c r="D90" s="2113"/>
      <c r="E90" s="446"/>
      <c r="F90" s="11"/>
    </row>
    <row r="91" spans="1:6" x14ac:dyDescent="0.2">
      <c r="A91" s="2114" t="s">
        <v>4673</v>
      </c>
      <c r="B91" s="2111">
        <f>IF(B34&gt;8,0.8,IF(B34&gt;7,0.83,IF(B34&gt;6,0.85,IF(B34&gt;5,0.87,IF(B34&gt;4,0.89,IF(B34&gt;3,0.91,IF(B34&gt;2,0.93,IF(B34&gt;1,0.95,0.97))))))))</f>
        <v>0.97</v>
      </c>
      <c r="C91" s="29"/>
      <c r="D91" s="2113"/>
      <c r="E91" s="446"/>
      <c r="F91" s="11"/>
    </row>
    <row r="92" spans="1:6" ht="15" x14ac:dyDescent="0.25">
      <c r="A92" s="2115" t="s">
        <v>4674</v>
      </c>
      <c r="B92" s="2116">
        <f>IF(B32&gt;18,0.8,IF(B32&gt;15,0.82,IF(B32&gt;13,0.84,IF(B32&gt;11,0.86,IF(B32&gt;9,0.88,IF(B32&gt;7,0.9,IF(B32&gt;0,0.92,1)))))))</f>
        <v>1</v>
      </c>
      <c r="C92" s="29"/>
      <c r="D92" s="2113"/>
      <c r="E92" s="446"/>
      <c r="F92" s="11"/>
    </row>
    <row r="93" spans="1:6" ht="15.75" thickBot="1" x14ac:dyDescent="0.3">
      <c r="A93" s="2117" t="s">
        <v>4675</v>
      </c>
      <c r="B93" s="2118">
        <f>IF(B29=2,IF(B30&lt;45,0.95,0.92),IF(B29=3,IF(B30&lt;75,0.9,0.88),IF(B29=4,IF(B30&lt;105,0.86,0.84),1)))</f>
        <v>1</v>
      </c>
      <c r="C93" s="11"/>
      <c r="D93" s="11"/>
      <c r="E93" s="11"/>
      <c r="F93" s="11"/>
    </row>
    <row r="94" spans="1:6" ht="15.75" thickBot="1" x14ac:dyDescent="0.3">
      <c r="A94" s="2119"/>
      <c r="B94" s="2120" t="e">
        <f>B85*B86*B87*B88*B90*B92*B93</f>
        <v>#VALUE!</v>
      </c>
      <c r="C94" s="11"/>
      <c r="D94" s="11"/>
      <c r="E94" s="11"/>
      <c r="F94" s="11"/>
    </row>
    <row r="95" spans="1:6" ht="15" x14ac:dyDescent="0.2">
      <c r="A95" s="2121" t="s">
        <v>4676</v>
      </c>
      <c r="B95" s="2122"/>
      <c r="C95" s="11"/>
      <c r="D95" s="11"/>
      <c r="E95" s="11"/>
      <c r="F95" s="11"/>
    </row>
    <row r="96" spans="1:6" x14ac:dyDescent="0.2">
      <c r="A96" s="446"/>
      <c r="B96" s="446"/>
      <c r="C96" s="11"/>
      <c r="D96" s="11"/>
      <c r="E96" s="11"/>
      <c r="F96" s="11"/>
    </row>
    <row r="97" spans="1:6" x14ac:dyDescent="0.2">
      <c r="A97" s="2123" t="s">
        <v>428</v>
      </c>
      <c r="B97" s="2124">
        <f>IF(B40&gt;1,0.9,1)</f>
        <v>1</v>
      </c>
      <c r="C97" s="11"/>
      <c r="D97" s="11"/>
      <c r="E97" s="11"/>
      <c r="F97" s="11"/>
    </row>
    <row r="98" spans="1:6" ht="15" x14ac:dyDescent="0.25">
      <c r="A98" s="2125" t="s">
        <v>4666</v>
      </c>
      <c r="B98" s="2124"/>
      <c r="C98" s="11"/>
      <c r="D98" s="11"/>
      <c r="E98" s="11"/>
      <c r="F98" s="11"/>
    </row>
    <row r="99" spans="1:6" ht="15" x14ac:dyDescent="0.25">
      <c r="A99" s="2126" t="s">
        <v>4677</v>
      </c>
      <c r="B99" s="2124">
        <f>IF(B19&lt;13,IF(B18&lt;0.91,7.12,IF(B18&lt;1.31,5.69,5.03)),IF(B18&lt;0.91,6.48,IF(B18&lt;1.31,5.19,4.6)))</f>
        <v>4.5999999999999996</v>
      </c>
      <c r="C99" s="11"/>
      <c r="D99" s="11"/>
      <c r="E99" s="11"/>
      <c r="F99" s="11"/>
    </row>
    <row r="100" spans="1:6" ht="15" x14ac:dyDescent="0.25">
      <c r="A100" s="2127" t="s">
        <v>4678</v>
      </c>
      <c r="B100" s="2128" t="e">
        <f>B99*B97*B94</f>
        <v>#VALUE!</v>
      </c>
      <c r="C100" s="11"/>
      <c r="D100" s="11"/>
      <c r="E100" s="11"/>
      <c r="F100" s="11"/>
    </row>
    <row r="101" spans="1:6" ht="15" x14ac:dyDescent="0.25">
      <c r="A101" s="2129" t="s">
        <v>4679</v>
      </c>
      <c r="B101" s="2130">
        <f>IF(AND(F23=1,B18&lt;1),4000,IF(AND(F23=1,B18&lt;1.51),7000,IF(AND(F23=2,B18&lt;1),7000,IF(AND(F23=2,B18&lt;1.51),10000,10000))))</f>
        <v>10000</v>
      </c>
      <c r="C101" s="29"/>
      <c r="D101" s="29"/>
      <c r="E101" s="29"/>
      <c r="F101" s="29"/>
    </row>
    <row r="102" spans="1:6" ht="15" x14ac:dyDescent="0.25">
      <c r="A102" s="2131" t="s">
        <v>4680</v>
      </c>
      <c r="B102" s="2116">
        <f>INT(B101/(B41*B42))</f>
        <v>8</v>
      </c>
      <c r="C102" s="11"/>
      <c r="D102" s="11"/>
      <c r="E102" s="11"/>
      <c r="F102" s="11"/>
    </row>
    <row r="103" spans="1:6" ht="17.25" x14ac:dyDescent="0.25">
      <c r="A103" s="2131" t="s">
        <v>4681</v>
      </c>
      <c r="B103" s="2132" t="e">
        <f>(IF(B42=0.2,(0.4*0.5*0.1),(0.4*0.5*0.15))*B232)</f>
        <v>#VALUE!</v>
      </c>
      <c r="C103" s="11"/>
      <c r="D103" s="11"/>
      <c r="E103" s="11"/>
      <c r="F103" s="11"/>
    </row>
    <row r="104" spans="1:6" ht="17.25" x14ac:dyDescent="0.25">
      <c r="A104" s="2129" t="s">
        <v>566</v>
      </c>
      <c r="B104" s="2116" t="e">
        <f>B103*0.15</f>
        <v>#VALUE!</v>
      </c>
      <c r="C104" s="11"/>
      <c r="D104" s="11"/>
      <c r="E104" s="11"/>
      <c r="F104" s="11"/>
    </row>
    <row r="105" spans="1:6" ht="17.25" x14ac:dyDescent="0.25">
      <c r="A105" s="2129" t="s">
        <v>567</v>
      </c>
      <c r="B105" s="2116" t="e">
        <f>B104*B102</f>
        <v>#VALUE!</v>
      </c>
      <c r="C105" s="11"/>
      <c r="D105" s="11"/>
      <c r="E105" s="11"/>
      <c r="F105" s="11"/>
    </row>
    <row r="106" spans="1:6" ht="15" x14ac:dyDescent="0.25">
      <c r="A106" s="2126" t="s">
        <v>568</v>
      </c>
      <c r="B106" s="2124" t="e">
        <f>B102/B100</f>
        <v>#VALUE!</v>
      </c>
      <c r="C106" s="11"/>
      <c r="D106" s="11"/>
      <c r="E106" s="11"/>
      <c r="F106" s="11"/>
    </row>
    <row r="107" spans="1:6" ht="15.75" x14ac:dyDescent="0.25">
      <c r="A107" s="2133" t="s">
        <v>569</v>
      </c>
      <c r="B107" s="2134"/>
      <c r="C107" s="2135"/>
      <c r="D107" s="2135"/>
      <c r="E107" s="2135"/>
      <c r="F107" s="2135"/>
    </row>
    <row r="108" spans="1:6" ht="15" x14ac:dyDescent="0.25">
      <c r="A108" s="2136" t="s">
        <v>570</v>
      </c>
      <c r="B108" s="2137"/>
      <c r="C108" s="2138"/>
      <c r="D108" s="11"/>
      <c r="E108" s="11"/>
      <c r="F108" s="11"/>
    </row>
    <row r="109" spans="1:6" ht="15" x14ac:dyDescent="0.25">
      <c r="A109" s="2139" t="s">
        <v>571</v>
      </c>
      <c r="B109" s="2140">
        <f>IF(F24&gt;0.2,0.9,1)</f>
        <v>1</v>
      </c>
      <c r="C109" s="2138"/>
      <c r="D109" s="11"/>
      <c r="E109" s="11"/>
      <c r="F109" s="11"/>
    </row>
    <row r="110" spans="1:6" ht="15" x14ac:dyDescent="0.25">
      <c r="A110" s="2139" t="s">
        <v>572</v>
      </c>
      <c r="B110" s="2140">
        <f>IF(AND(B35=0,B18&gt;1.4),1.25,1)</f>
        <v>1</v>
      </c>
      <c r="C110" s="2138"/>
      <c r="D110" s="11"/>
      <c r="E110" s="11"/>
      <c r="F110" s="11"/>
    </row>
    <row r="111" spans="1:6" ht="15" x14ac:dyDescent="0.25">
      <c r="A111" s="2139" t="s">
        <v>3808</v>
      </c>
      <c r="B111" s="2140">
        <f>IF(AND(B36=1,B18&gt;1.4),1.15,1)</f>
        <v>1</v>
      </c>
      <c r="C111" s="2138"/>
      <c r="D111" s="11"/>
      <c r="E111" s="11"/>
      <c r="F111" s="11"/>
    </row>
    <row r="112" spans="1:6" ht="15" x14ac:dyDescent="0.25">
      <c r="A112" s="2139" t="s">
        <v>3809</v>
      </c>
      <c r="B112" s="2140">
        <f>IF(AND(B19&gt;45,B37=0),1.1,1)</f>
        <v>1.1000000000000001</v>
      </c>
      <c r="C112" s="2138"/>
      <c r="D112" s="11"/>
      <c r="E112" s="11"/>
      <c r="F112" s="11"/>
    </row>
    <row r="113" spans="1:6" ht="15" x14ac:dyDescent="0.25">
      <c r="A113" s="2125" t="s">
        <v>4666</v>
      </c>
      <c r="B113" s="11"/>
      <c r="C113" s="2138"/>
      <c r="D113" s="11"/>
      <c r="E113" s="11"/>
      <c r="F113" s="11"/>
    </row>
    <row r="114" spans="1:6" ht="15" x14ac:dyDescent="0.25">
      <c r="A114" s="2141" t="s">
        <v>3810</v>
      </c>
      <c r="B114" s="2132" t="e">
        <f>ROUNDDOWN((0.12*(B18^0.5)),2)</f>
        <v>#VALUE!</v>
      </c>
      <c r="C114" s="2138"/>
      <c r="D114" s="11"/>
      <c r="E114" s="11"/>
      <c r="F114" s="11"/>
    </row>
    <row r="115" spans="1:6" ht="15" x14ac:dyDescent="0.25">
      <c r="A115" s="2142" t="s">
        <v>3811</v>
      </c>
      <c r="B115" s="2143">
        <v>1</v>
      </c>
      <c r="C115" s="2138"/>
      <c r="D115" s="11"/>
      <c r="E115" s="11"/>
      <c r="F115" s="11"/>
    </row>
    <row r="116" spans="1:6" ht="15" x14ac:dyDescent="0.25">
      <c r="A116" s="2144" t="s">
        <v>3812</v>
      </c>
      <c r="B116" s="2145" t="e">
        <f>(1/B114)*B115</f>
        <v>#VALUE!</v>
      </c>
      <c r="C116" s="2138"/>
      <c r="D116" s="11"/>
      <c r="E116" s="11"/>
      <c r="F116" s="11"/>
    </row>
    <row r="117" spans="1:6" ht="15" x14ac:dyDescent="0.25">
      <c r="A117" s="2146" t="s">
        <v>3813</v>
      </c>
      <c r="B117" s="2147">
        <f>INDEX($B$1224:$C$1242,B118,B120)</f>
        <v>28</v>
      </c>
      <c r="C117" s="2138"/>
      <c r="D117" s="11"/>
      <c r="E117" s="11"/>
      <c r="F117" s="11"/>
    </row>
    <row r="118" spans="1:6" ht="15" x14ac:dyDescent="0.25">
      <c r="A118" s="2148" t="s">
        <v>3814</v>
      </c>
      <c r="B118" s="2147">
        <f>IF(B18&lt;0.61,1,IF(B18&lt;0.71,2,IF(B18&lt;0.81,3,IF(B18&lt;0.91,4,IF(B18&lt;1.01,5,IF(B18&lt;1.11,6,IF(B18&lt;1.26,7,B119)))))))</f>
        <v>15</v>
      </c>
      <c r="C118" s="2138"/>
      <c r="D118" s="11"/>
      <c r="E118" s="11"/>
      <c r="F118" s="11"/>
    </row>
    <row r="119" spans="1:6" ht="15" x14ac:dyDescent="0.25">
      <c r="A119" s="2149" t="s">
        <v>1329</v>
      </c>
      <c r="B119" s="2147">
        <f>IF(B18&lt;1.41,8,IF(B18&lt;1.61,9,IF(B18&lt;1.81,10,IF(B18&lt;2.01,11,IF(B18&lt;2.31,12,IF(B18&lt;2.66,13,IF(B18&lt;3.01,14,15)))))))</f>
        <v>15</v>
      </c>
      <c r="C119" s="2138"/>
      <c r="D119" s="11"/>
      <c r="E119" s="11"/>
      <c r="F119" s="11"/>
    </row>
    <row r="120" spans="1:6" ht="15" x14ac:dyDescent="0.25">
      <c r="A120" s="2149" t="s">
        <v>3815</v>
      </c>
      <c r="B120" s="2147">
        <f>IF(B19&lt;=35,1,2)</f>
        <v>2</v>
      </c>
      <c r="C120" s="2138"/>
      <c r="D120" s="11"/>
      <c r="E120" s="11"/>
      <c r="F120" s="11"/>
    </row>
    <row r="121" spans="1:6" ht="15" x14ac:dyDescent="0.25">
      <c r="A121" s="2149"/>
      <c r="B121" s="2147"/>
      <c r="C121" s="2138"/>
      <c r="D121" s="11"/>
      <c r="E121" s="11"/>
      <c r="F121" s="11"/>
    </row>
    <row r="122" spans="1:6" ht="15" x14ac:dyDescent="0.25">
      <c r="A122" s="2127" t="s">
        <v>3816</v>
      </c>
      <c r="B122" s="2116" t="e">
        <f>B117*B112*B111*B110*B109*B94</f>
        <v>#VALUE!</v>
      </c>
      <c r="C122" s="2138"/>
      <c r="D122" s="11"/>
      <c r="E122" s="11"/>
      <c r="F122" s="11"/>
    </row>
    <row r="123" spans="1:6" ht="15" x14ac:dyDescent="0.25">
      <c r="A123" s="2150" t="s">
        <v>3817</v>
      </c>
      <c r="B123" s="2151" t="e">
        <f>B116/B122</f>
        <v>#VALUE!</v>
      </c>
      <c r="C123" s="2138"/>
      <c r="D123" s="11"/>
      <c r="E123" s="11"/>
      <c r="F123" s="11"/>
    </row>
    <row r="124" spans="1:6" ht="15" x14ac:dyDescent="0.25">
      <c r="A124" s="65" t="s">
        <v>3818</v>
      </c>
      <c r="B124" s="2132" t="e">
        <f>((3.14*B114^2)/4)*B116</f>
        <v>#VALUE!</v>
      </c>
      <c r="C124" s="2138"/>
      <c r="D124" s="2152"/>
      <c r="E124" s="2152"/>
      <c r="F124" s="2103"/>
    </row>
    <row r="125" spans="1:6" ht="15" x14ac:dyDescent="0.25">
      <c r="A125" s="446"/>
      <c r="B125" s="446"/>
      <c r="C125" s="2138"/>
      <c r="D125" s="2152"/>
      <c r="E125" s="2152"/>
      <c r="F125" s="2103"/>
    </row>
    <row r="126" spans="1:6" ht="15" x14ac:dyDescent="0.25">
      <c r="A126" s="116" t="s">
        <v>3819</v>
      </c>
      <c r="B126" s="11"/>
      <c r="C126" s="11"/>
      <c r="D126" s="11"/>
      <c r="E126" s="11"/>
      <c r="F126" s="11"/>
    </row>
    <row r="127" spans="1:6" ht="15" x14ac:dyDescent="0.25">
      <c r="A127" s="2153" t="s">
        <v>1850</v>
      </c>
      <c r="B127" s="11"/>
      <c r="C127" s="11"/>
      <c r="D127" s="11"/>
      <c r="E127" s="11"/>
      <c r="F127" s="11"/>
    </row>
    <row r="128" spans="1:6" x14ac:dyDescent="0.2">
      <c r="A128" s="2154" t="s">
        <v>1851</v>
      </c>
      <c r="B128" s="11"/>
      <c r="C128" s="11"/>
      <c r="D128" s="11"/>
      <c r="E128" s="11"/>
      <c r="F128" s="11"/>
    </row>
    <row r="129" spans="1:6" ht="15" x14ac:dyDescent="0.25">
      <c r="A129" s="17" t="s">
        <v>1852</v>
      </c>
      <c r="B129" s="2155" t="e">
        <f>B124</f>
        <v>#VALUE!</v>
      </c>
      <c r="C129" s="11"/>
      <c r="D129" s="11"/>
      <c r="E129" s="11"/>
      <c r="F129" s="11"/>
    </row>
    <row r="130" spans="1:6" ht="15" x14ac:dyDescent="0.25">
      <c r="A130" s="17" t="s">
        <v>1853</v>
      </c>
      <c r="B130" s="2155" t="str">
        <f>B18</f>
        <v/>
      </c>
      <c r="C130" s="11"/>
      <c r="D130" s="11"/>
      <c r="E130" s="11"/>
      <c r="F130" s="11"/>
    </row>
    <row r="131" spans="1:6" x14ac:dyDescent="0.2">
      <c r="A131" s="24" t="s">
        <v>1854</v>
      </c>
      <c r="B131" s="24">
        <f>IF(B130&lt;2.21,12.9*B130+1.7,28.4)</f>
        <v>28.4</v>
      </c>
      <c r="C131" s="11"/>
      <c r="D131" s="11"/>
      <c r="E131" s="11"/>
      <c r="F131" s="11"/>
    </row>
    <row r="132" spans="1:6" x14ac:dyDescent="0.2">
      <c r="A132" s="24" t="s">
        <v>1855</v>
      </c>
      <c r="B132" s="24" t="e">
        <f>B129/B131</f>
        <v>#VALUE!</v>
      </c>
      <c r="C132" s="11"/>
      <c r="D132" s="11"/>
      <c r="E132" s="11"/>
      <c r="F132" s="11"/>
    </row>
    <row r="133" spans="1:6" x14ac:dyDescent="0.2">
      <c r="A133" s="2156" t="s">
        <v>3724</v>
      </c>
      <c r="B133" s="11"/>
      <c r="C133" s="11"/>
      <c r="D133" s="11"/>
      <c r="E133" s="11"/>
      <c r="F133" s="11"/>
    </row>
    <row r="134" spans="1:6" x14ac:dyDescent="0.2">
      <c r="A134" s="69" t="s">
        <v>3725</v>
      </c>
      <c r="B134" s="2157">
        <v>56</v>
      </c>
      <c r="C134" s="11"/>
      <c r="D134" s="11"/>
      <c r="E134" s="11"/>
      <c r="F134" s="11"/>
    </row>
    <row r="135" spans="1:6" x14ac:dyDescent="0.2">
      <c r="A135" s="24" t="s">
        <v>1852</v>
      </c>
      <c r="B135" s="24" t="e">
        <f>B129</f>
        <v>#VALUE!</v>
      </c>
      <c r="C135" s="11"/>
      <c r="D135" s="11"/>
      <c r="E135" s="11"/>
      <c r="F135" s="11"/>
    </row>
    <row r="136" spans="1:6" x14ac:dyDescent="0.2">
      <c r="A136" s="2158" t="s">
        <v>3726</v>
      </c>
      <c r="B136" s="24" t="e">
        <f>79.5*B130^-1.5</f>
        <v>#VALUE!</v>
      </c>
      <c r="C136" s="11"/>
      <c r="D136" s="11"/>
      <c r="E136" s="11"/>
      <c r="F136" s="11"/>
    </row>
    <row r="137" spans="1:6" x14ac:dyDescent="0.2">
      <c r="A137" s="24" t="s">
        <v>3727</v>
      </c>
      <c r="B137" s="24" t="e">
        <f>((3.14*((1.2*(B130*100)^0.5)/100)^2)/4)*B130</f>
        <v>#VALUE!</v>
      </c>
      <c r="C137" s="11"/>
      <c r="D137" s="11"/>
      <c r="E137" s="11"/>
      <c r="F137" s="11"/>
    </row>
    <row r="138" spans="1:6" x14ac:dyDescent="0.2">
      <c r="A138" s="24" t="s">
        <v>700</v>
      </c>
      <c r="B138" s="24" t="e">
        <f>B129/B137</f>
        <v>#VALUE!</v>
      </c>
      <c r="C138" s="11"/>
      <c r="D138" s="11"/>
      <c r="E138" s="11"/>
      <c r="F138" s="11"/>
    </row>
    <row r="139" spans="1:6" x14ac:dyDescent="0.2">
      <c r="A139" s="24" t="s">
        <v>701</v>
      </c>
      <c r="B139" s="24" t="e">
        <f>B138/B136</f>
        <v>#VALUE!</v>
      </c>
      <c r="C139" s="11"/>
      <c r="D139" s="11"/>
      <c r="E139" s="11"/>
      <c r="F139" s="11"/>
    </row>
    <row r="140" spans="1:6" x14ac:dyDescent="0.2">
      <c r="A140" s="24" t="s">
        <v>4429</v>
      </c>
      <c r="B140" s="24">
        <f>2.2*(IF(B134&lt;51,32,IF(B134&lt;71,25,21)))</f>
        <v>55.000000000000007</v>
      </c>
      <c r="C140" s="11"/>
      <c r="D140" s="11"/>
      <c r="E140" s="11"/>
      <c r="F140" s="11"/>
    </row>
    <row r="141" spans="1:6" x14ac:dyDescent="0.2">
      <c r="A141" s="24" t="s">
        <v>1855</v>
      </c>
      <c r="B141" s="24" t="e">
        <f>B135/B140</f>
        <v>#VALUE!</v>
      </c>
      <c r="C141" s="11"/>
      <c r="D141" s="11"/>
      <c r="E141" s="11"/>
      <c r="F141" s="11"/>
    </row>
    <row r="142" spans="1:6" ht="15" x14ac:dyDescent="0.25">
      <c r="A142" s="2159" t="s">
        <v>1782</v>
      </c>
      <c r="B142" s="806" t="e">
        <f>B141+B132</f>
        <v>#VALUE!</v>
      </c>
      <c r="C142" s="11"/>
      <c r="D142" s="11"/>
      <c r="E142" s="11"/>
      <c r="F142" s="11"/>
    </row>
    <row r="143" spans="1:6" ht="15" x14ac:dyDescent="0.25">
      <c r="A143" s="2153" t="s">
        <v>4774</v>
      </c>
      <c r="B143" s="11"/>
      <c r="C143" s="11"/>
      <c r="D143" s="11"/>
      <c r="E143" s="11"/>
      <c r="F143" s="11"/>
    </row>
    <row r="144" spans="1:6" ht="15" x14ac:dyDescent="0.25">
      <c r="A144" s="2160" t="s">
        <v>4778</v>
      </c>
      <c r="B144" s="11"/>
      <c r="C144" s="11"/>
      <c r="D144" s="11"/>
      <c r="E144" s="11"/>
      <c r="F144" s="11"/>
    </row>
    <row r="145" spans="1:6" x14ac:dyDescent="0.2">
      <c r="A145" s="17" t="s">
        <v>4779</v>
      </c>
      <c r="B145" s="2157">
        <v>2000</v>
      </c>
      <c r="C145" s="11"/>
      <c r="D145" s="11"/>
      <c r="E145" s="11"/>
      <c r="F145" s="11"/>
    </row>
    <row r="146" spans="1:6" x14ac:dyDescent="0.2">
      <c r="A146" s="2135" t="s">
        <v>4780</v>
      </c>
      <c r="B146" s="11"/>
      <c r="C146" s="11"/>
      <c r="D146" s="11"/>
      <c r="E146" s="11"/>
      <c r="F146" s="11"/>
    </row>
    <row r="147" spans="1:6" x14ac:dyDescent="0.2">
      <c r="A147" s="24" t="s">
        <v>4781</v>
      </c>
      <c r="B147" s="24" t="e">
        <f>B129</f>
        <v>#VALUE!</v>
      </c>
      <c r="C147" s="11"/>
      <c r="D147" s="11"/>
      <c r="E147" s="11"/>
      <c r="F147" s="11"/>
    </row>
    <row r="148" spans="1:6" x14ac:dyDescent="0.2">
      <c r="A148" s="24" t="s">
        <v>5147</v>
      </c>
      <c r="B148" s="24">
        <f>16111*B145^-0.653</f>
        <v>112.60298683393111</v>
      </c>
      <c r="C148" s="29"/>
      <c r="D148" s="11"/>
      <c r="E148" s="11"/>
      <c r="F148" s="11"/>
    </row>
    <row r="149" spans="1:6" x14ac:dyDescent="0.2">
      <c r="A149" s="24" t="s">
        <v>3088</v>
      </c>
      <c r="B149" s="24" t="e">
        <f>B147/B148</f>
        <v>#VALUE!</v>
      </c>
      <c r="C149" s="11"/>
      <c r="D149" s="11"/>
      <c r="E149" s="11"/>
      <c r="F149" s="11"/>
    </row>
    <row r="150" spans="1:6" ht="15" x14ac:dyDescent="0.25">
      <c r="A150" s="2160" t="s">
        <v>3093</v>
      </c>
      <c r="B150" s="11"/>
      <c r="C150" s="11"/>
      <c r="D150" s="11"/>
      <c r="E150" s="11"/>
      <c r="F150" s="11"/>
    </row>
    <row r="151" spans="1:6" x14ac:dyDescent="0.2">
      <c r="A151" s="2161" t="s">
        <v>3743</v>
      </c>
      <c r="B151" s="11"/>
      <c r="C151" s="11"/>
      <c r="D151" s="11"/>
      <c r="E151" s="11"/>
      <c r="F151" s="11"/>
    </row>
    <row r="152" spans="1:6" x14ac:dyDescent="0.2">
      <c r="A152" s="24" t="s">
        <v>3094</v>
      </c>
      <c r="B152" s="24" t="e">
        <f>B147</f>
        <v>#VALUE!</v>
      </c>
      <c r="C152" s="11"/>
      <c r="D152" s="11"/>
      <c r="E152" s="11"/>
      <c r="F152" s="11"/>
    </row>
    <row r="153" spans="1:6" x14ac:dyDescent="0.2">
      <c r="A153" s="24" t="s">
        <v>3091</v>
      </c>
      <c r="B153" s="24">
        <v>8.6999999999999993</v>
      </c>
      <c r="C153" s="29"/>
      <c r="D153" s="11"/>
      <c r="E153" s="11"/>
      <c r="F153" s="11"/>
    </row>
    <row r="154" spans="1:6" x14ac:dyDescent="0.2">
      <c r="A154" s="24" t="s">
        <v>3088</v>
      </c>
      <c r="B154" s="24" t="e">
        <f>B152*0.9/B153</f>
        <v>#VALUE!</v>
      </c>
      <c r="C154" s="11"/>
      <c r="D154" s="11"/>
      <c r="E154" s="11"/>
      <c r="F154" s="11"/>
    </row>
    <row r="155" spans="1:6" ht="15" x14ac:dyDescent="0.25">
      <c r="A155" s="2162" t="s">
        <v>3102</v>
      </c>
      <c r="B155" s="806" t="e">
        <f>B154+B149</f>
        <v>#VALUE!</v>
      </c>
      <c r="C155" s="14"/>
      <c r="D155" s="11"/>
      <c r="E155" s="11"/>
      <c r="F155" s="11"/>
    </row>
    <row r="156" spans="1:6" x14ac:dyDescent="0.2">
      <c r="A156" s="806" t="s">
        <v>3820</v>
      </c>
      <c r="B156" s="806" t="e">
        <f>B155+B142</f>
        <v>#VALUE!</v>
      </c>
      <c r="C156" s="14"/>
      <c r="D156" s="11"/>
      <c r="E156" s="11"/>
      <c r="F156" s="11"/>
    </row>
    <row r="157" spans="1:6" ht="15" x14ac:dyDescent="0.25">
      <c r="A157" s="24" t="s">
        <v>3821</v>
      </c>
      <c r="B157" s="2155" t="e">
        <f>B123</f>
        <v>#VALUE!</v>
      </c>
      <c r="C157" s="14"/>
      <c r="D157" s="11"/>
      <c r="E157" s="11"/>
      <c r="F157" s="11"/>
    </row>
    <row r="158" spans="1:6" ht="15" x14ac:dyDescent="0.25">
      <c r="A158" s="2163" t="s">
        <v>3822</v>
      </c>
      <c r="B158" s="11"/>
      <c r="C158" s="11"/>
      <c r="D158" s="11"/>
      <c r="E158" s="2135"/>
      <c r="F158" s="2135"/>
    </row>
    <row r="159" spans="1:6" ht="15" x14ac:dyDescent="0.25">
      <c r="A159" s="2142" t="s">
        <v>464</v>
      </c>
      <c r="B159" s="2164" t="str">
        <f>B24</f>
        <v/>
      </c>
      <c r="C159" s="11"/>
      <c r="D159" s="11"/>
      <c r="E159" s="2135"/>
      <c r="F159" s="2135"/>
    </row>
    <row r="160" spans="1:6" ht="15" x14ac:dyDescent="0.25">
      <c r="A160" s="2165" t="s">
        <v>3823</v>
      </c>
      <c r="B160" s="2145">
        <f>B162</f>
        <v>2</v>
      </c>
      <c r="C160" s="11"/>
      <c r="D160" s="11"/>
      <c r="E160" s="2135"/>
      <c r="F160" s="2135"/>
    </row>
    <row r="161" spans="1:6" ht="15" x14ac:dyDescent="0.25">
      <c r="A161" s="2165" t="s">
        <v>3824</v>
      </c>
      <c r="B161" s="2166">
        <v>1</v>
      </c>
      <c r="C161" s="11"/>
      <c r="D161" s="11"/>
      <c r="E161" s="2135"/>
      <c r="F161" s="2135"/>
    </row>
    <row r="162" spans="1:6" x14ac:dyDescent="0.2">
      <c r="A162" s="65" t="s">
        <v>694</v>
      </c>
      <c r="B162" s="2167">
        <v>2</v>
      </c>
      <c r="C162" s="11"/>
      <c r="D162" s="11"/>
      <c r="E162" s="2135"/>
      <c r="F162" s="2135"/>
    </row>
    <row r="163" spans="1:6" ht="15" x14ac:dyDescent="0.25">
      <c r="A163" s="2142" t="s">
        <v>3825</v>
      </c>
      <c r="B163" s="2166">
        <v>1</v>
      </c>
      <c r="C163" s="11"/>
      <c r="D163" s="11"/>
      <c r="E163" s="2135"/>
      <c r="F163" s="2135"/>
    </row>
    <row r="164" spans="1:6" ht="26.25" x14ac:dyDescent="0.25">
      <c r="A164" s="2165" t="s">
        <v>2528</v>
      </c>
      <c r="B164" s="2166">
        <v>1</v>
      </c>
      <c r="C164" s="11"/>
      <c r="D164" s="11"/>
      <c r="E164" s="2135"/>
      <c r="F164" s="2135"/>
    </row>
    <row r="165" spans="1:6" ht="15" x14ac:dyDescent="0.25">
      <c r="A165" s="2168" t="s">
        <v>1723</v>
      </c>
      <c r="B165" s="2169"/>
      <c r="C165" s="11"/>
      <c r="D165" s="11"/>
      <c r="E165" s="2135"/>
      <c r="F165" s="2135"/>
    </row>
    <row r="166" spans="1:6" ht="15" x14ac:dyDescent="0.25">
      <c r="A166" s="2139" t="s">
        <v>571</v>
      </c>
      <c r="B166" s="2140">
        <f>IF(B159&gt;0.2,0.9,1)</f>
        <v>0.9</v>
      </c>
      <c r="C166" s="11"/>
      <c r="D166" s="11"/>
      <c r="E166" s="2135"/>
      <c r="F166" s="2135"/>
    </row>
    <row r="167" spans="1:6" ht="15" x14ac:dyDescent="0.25">
      <c r="A167" s="2139" t="s">
        <v>165</v>
      </c>
      <c r="B167" s="2140" t="e">
        <f>IF(B180&gt;5,0.5,1)</f>
        <v>#VALUE!</v>
      </c>
      <c r="C167" s="11"/>
      <c r="D167" s="11"/>
      <c r="E167" s="2135"/>
      <c r="F167" s="2135"/>
    </row>
    <row r="168" spans="1:6" ht="15" x14ac:dyDescent="0.25">
      <c r="A168" s="2139" t="s">
        <v>1188</v>
      </c>
      <c r="B168" s="2140">
        <f>IF(B164=1,0.9,1)</f>
        <v>0.9</v>
      </c>
      <c r="C168" s="11"/>
      <c r="D168" s="11"/>
      <c r="E168" s="2135"/>
      <c r="F168" s="2135"/>
    </row>
    <row r="169" spans="1:6" ht="15" x14ac:dyDescent="0.25">
      <c r="A169" s="2125" t="s">
        <v>4666</v>
      </c>
      <c r="B169" s="11"/>
      <c r="C169" s="11"/>
      <c r="D169" s="11"/>
      <c r="E169" s="11"/>
      <c r="F169" s="11"/>
    </row>
    <row r="170" spans="1:6" ht="15.75" x14ac:dyDescent="0.25">
      <c r="A170" s="2141" t="s">
        <v>1189</v>
      </c>
      <c r="B170" s="2155" t="e">
        <f>ROUNDDOWN((0.12*(B18^0.5)),2)</f>
        <v>#VALUE!</v>
      </c>
      <c r="C170" s="11"/>
      <c r="D170" s="2170"/>
      <c r="E170" s="11"/>
      <c r="F170" s="11"/>
    </row>
    <row r="171" spans="1:6" ht="15" x14ac:dyDescent="0.25">
      <c r="A171" s="2125" t="s">
        <v>1190</v>
      </c>
      <c r="B171" s="2171"/>
      <c r="C171" s="15"/>
      <c r="D171" s="11"/>
      <c r="E171" s="11"/>
      <c r="F171" s="11"/>
    </row>
    <row r="172" spans="1:6" ht="15" x14ac:dyDescent="0.25">
      <c r="A172" s="2172" t="s">
        <v>3311</v>
      </c>
      <c r="B172" s="2116">
        <f>IF(B18&lt;0.66,1,IF(B18&lt;1.06,2,IF(B18&lt;1.31,3,IF(B18&lt;1.61,4,IF(B18&lt;1.91,5,IF(B18&lt;2.31,6,B173))))))</f>
        <v>9</v>
      </c>
      <c r="C172" s="11"/>
      <c r="D172" s="11"/>
      <c r="E172" s="11"/>
      <c r="F172" s="11"/>
    </row>
    <row r="173" spans="1:6" ht="15" x14ac:dyDescent="0.25">
      <c r="A173" s="2173" t="s">
        <v>1329</v>
      </c>
      <c r="B173" s="2174">
        <f>IF(B18&lt;2.66,7,IF(B18&lt;2.81,8,9))</f>
        <v>9</v>
      </c>
      <c r="C173" s="11"/>
      <c r="D173" s="11"/>
      <c r="E173" s="11"/>
      <c r="F173" s="11"/>
    </row>
    <row r="174" spans="1:6" ht="15" x14ac:dyDescent="0.25">
      <c r="A174" s="2175" t="s">
        <v>215</v>
      </c>
      <c r="B174" s="2116">
        <f>IF(B19&lt;13,1,IF(B19&lt;25,2,IF(B19&lt;36,3,IF(B19&lt;46,4,IF(B19&lt;61,5,6)))))</f>
        <v>6</v>
      </c>
      <c r="C174" s="11"/>
      <c r="D174" s="2176"/>
      <c r="E174" s="11"/>
      <c r="F174" s="11"/>
    </row>
    <row r="175" spans="1:6" ht="15" x14ac:dyDescent="0.25">
      <c r="A175" s="2177" t="s">
        <v>216</v>
      </c>
      <c r="B175" s="2116">
        <f>INDEX($B$1201:$G$1209,B172,B174)</f>
        <v>3.9</v>
      </c>
      <c r="C175" s="11"/>
      <c r="D175" s="2176"/>
      <c r="E175" s="11"/>
      <c r="F175" s="11"/>
    </row>
    <row r="176" spans="1:6" ht="15" x14ac:dyDescent="0.25">
      <c r="A176" s="2177" t="s">
        <v>217</v>
      </c>
      <c r="B176" s="2116" t="e">
        <f>B166*B168*B94*B175</f>
        <v>#VALUE!</v>
      </c>
      <c r="C176" s="11"/>
      <c r="D176" s="2176"/>
      <c r="E176" s="11"/>
      <c r="F176" s="11"/>
    </row>
    <row r="177" spans="1:6" ht="15" x14ac:dyDescent="0.25">
      <c r="A177" s="2178" t="s">
        <v>218</v>
      </c>
      <c r="B177" s="2151">
        <f>(1/B160)*B161</f>
        <v>0.5</v>
      </c>
      <c r="C177" s="11"/>
      <c r="D177" s="2176"/>
      <c r="E177" s="11"/>
      <c r="F177" s="11"/>
    </row>
    <row r="178" spans="1:6" ht="15" x14ac:dyDescent="0.25">
      <c r="A178" s="2150" t="s">
        <v>219</v>
      </c>
      <c r="B178" s="2151" t="e">
        <f>B177/B176</f>
        <v>#VALUE!</v>
      </c>
      <c r="C178" s="11"/>
      <c r="D178" s="2176"/>
      <c r="E178" s="11"/>
      <c r="F178" s="11"/>
    </row>
    <row r="179" spans="1:6" ht="15" x14ac:dyDescent="0.25">
      <c r="A179" s="2125" t="s">
        <v>220</v>
      </c>
      <c r="B179" s="11"/>
      <c r="C179" s="11"/>
      <c r="D179" s="2176"/>
      <c r="E179" s="11"/>
      <c r="F179" s="11"/>
    </row>
    <row r="180" spans="1:6" ht="15" x14ac:dyDescent="0.25">
      <c r="A180" s="2179" t="s">
        <v>221</v>
      </c>
      <c r="B180" s="2145" t="e">
        <f>ROUNDDOWN(B162/B170,0)</f>
        <v>#VALUE!</v>
      </c>
      <c r="C180" s="11"/>
      <c r="D180" s="2176"/>
      <c r="E180" s="11"/>
      <c r="F180" s="11"/>
    </row>
    <row r="181" spans="1:6" ht="15" x14ac:dyDescent="0.25">
      <c r="A181" s="2180" t="s">
        <v>216</v>
      </c>
      <c r="B181" s="2151">
        <f>B175</f>
        <v>3.9</v>
      </c>
      <c r="C181" s="11"/>
      <c r="D181" s="2176"/>
      <c r="E181" s="11"/>
      <c r="F181" s="11"/>
    </row>
    <row r="182" spans="1:6" ht="15" x14ac:dyDescent="0.25">
      <c r="A182" s="2180" t="s">
        <v>2246</v>
      </c>
      <c r="B182" s="2151" t="e">
        <f>B176*B167</f>
        <v>#VALUE!</v>
      </c>
      <c r="C182" s="11"/>
      <c r="D182" s="2176"/>
      <c r="E182" s="11"/>
      <c r="F182" s="11"/>
    </row>
    <row r="183" spans="1:6" ht="15" x14ac:dyDescent="0.25">
      <c r="A183" s="2181" t="s">
        <v>219</v>
      </c>
      <c r="B183" s="2151" t="e">
        <f>B177/B182</f>
        <v>#VALUE!</v>
      </c>
      <c r="C183" s="11"/>
      <c r="D183" s="11"/>
      <c r="E183" s="11"/>
      <c r="F183" s="11"/>
    </row>
    <row r="184" spans="1:6" ht="15" x14ac:dyDescent="0.25">
      <c r="A184" s="2181" t="s">
        <v>2247</v>
      </c>
      <c r="B184" s="2182" t="e">
        <f>IF(B163=1,B178,B183)</f>
        <v>#VALUE!</v>
      </c>
      <c r="C184" s="11"/>
      <c r="D184" s="2176"/>
      <c r="E184" s="11"/>
      <c r="F184" s="11"/>
    </row>
    <row r="185" spans="1:6" ht="15" x14ac:dyDescent="0.25">
      <c r="A185" s="2125" t="s">
        <v>2248</v>
      </c>
      <c r="B185" s="11"/>
      <c r="C185" s="11"/>
      <c r="D185" s="2176"/>
      <c r="E185" s="11"/>
      <c r="F185" s="11"/>
    </row>
    <row r="186" spans="1:6" ht="15" x14ac:dyDescent="0.25">
      <c r="A186" s="65" t="s">
        <v>3818</v>
      </c>
      <c r="B186" s="2151" t="e">
        <f>(((3.14*B170^2)/4)*B162*B177)*IF(B163=1,B18*2/B170,B18*(B162/B170)/B170)</f>
        <v>#VALUE!</v>
      </c>
      <c r="C186" s="11"/>
      <c r="D186" s="11"/>
      <c r="E186" s="2135"/>
      <c r="F186" s="2135"/>
    </row>
    <row r="187" spans="1:6" ht="15" x14ac:dyDescent="0.25">
      <c r="A187" s="116" t="s">
        <v>3819</v>
      </c>
      <c r="B187" s="11"/>
      <c r="C187" s="11"/>
      <c r="D187" s="11"/>
      <c r="E187" s="11"/>
      <c r="F187" s="11"/>
    </row>
    <row r="188" spans="1:6" ht="15" x14ac:dyDescent="0.25">
      <c r="A188" s="2153" t="s">
        <v>1850</v>
      </c>
      <c r="B188" s="11"/>
      <c r="C188" s="11"/>
      <c r="D188" s="11"/>
      <c r="E188" s="11"/>
      <c r="F188" s="11"/>
    </row>
    <row r="189" spans="1:6" x14ac:dyDescent="0.2">
      <c r="A189" s="2154" t="s">
        <v>1851</v>
      </c>
      <c r="B189" s="11"/>
      <c r="C189" s="11"/>
      <c r="D189" s="11"/>
      <c r="E189" s="11"/>
      <c r="F189" s="11"/>
    </row>
    <row r="190" spans="1:6" ht="15" x14ac:dyDescent="0.25">
      <c r="A190" s="17" t="s">
        <v>1852</v>
      </c>
      <c r="B190" s="2155" t="e">
        <f>B186</f>
        <v>#VALUE!</v>
      </c>
      <c r="C190" s="11"/>
      <c r="D190" s="11"/>
      <c r="E190" s="11"/>
      <c r="F190" s="11"/>
    </row>
    <row r="191" spans="1:6" ht="15" x14ac:dyDescent="0.25">
      <c r="A191" s="17" t="s">
        <v>1853</v>
      </c>
      <c r="B191" s="2155">
        <f>B160</f>
        <v>2</v>
      </c>
      <c r="C191" s="11"/>
      <c r="D191" s="11"/>
      <c r="E191" s="11"/>
      <c r="F191" s="11"/>
    </row>
    <row r="192" spans="1:6" x14ac:dyDescent="0.2">
      <c r="A192" s="24" t="s">
        <v>1854</v>
      </c>
      <c r="B192" s="24">
        <f>IF(B191&lt;2.21,12.9*B191+1.7,28.4)</f>
        <v>27.5</v>
      </c>
      <c r="C192" s="11"/>
      <c r="D192" s="11"/>
      <c r="E192" s="11"/>
      <c r="F192" s="11"/>
    </row>
    <row r="193" spans="1:6" x14ac:dyDescent="0.2">
      <c r="A193" s="24" t="s">
        <v>1855</v>
      </c>
      <c r="B193" s="24" t="e">
        <f>B190/B192</f>
        <v>#VALUE!</v>
      </c>
      <c r="C193" s="11"/>
      <c r="D193" s="11"/>
      <c r="E193" s="11"/>
      <c r="F193" s="11"/>
    </row>
    <row r="194" spans="1:6" x14ac:dyDescent="0.2">
      <c r="A194" s="2156" t="s">
        <v>3724</v>
      </c>
      <c r="B194" s="11"/>
      <c r="C194" s="11"/>
      <c r="D194" s="11"/>
      <c r="E194" s="11"/>
      <c r="F194" s="11"/>
    </row>
    <row r="195" spans="1:6" x14ac:dyDescent="0.2">
      <c r="A195" s="567" t="s">
        <v>3725</v>
      </c>
      <c r="B195" s="202">
        <f>B134</f>
        <v>56</v>
      </c>
      <c r="C195" s="11"/>
      <c r="D195" s="11"/>
      <c r="E195" s="11"/>
      <c r="F195" s="11"/>
    </row>
    <row r="196" spans="1:6" x14ac:dyDescent="0.2">
      <c r="A196" s="24" t="s">
        <v>1852</v>
      </c>
      <c r="B196" s="24" t="e">
        <f>B190</f>
        <v>#VALUE!</v>
      </c>
      <c r="C196" s="11"/>
      <c r="D196" s="11"/>
      <c r="E196" s="11"/>
      <c r="F196" s="11"/>
    </row>
    <row r="197" spans="1:6" x14ac:dyDescent="0.2">
      <c r="A197" s="24" t="s">
        <v>3726</v>
      </c>
      <c r="B197" s="24">
        <f>79.5*B191^-1.5</f>
        <v>28.107494552165267</v>
      </c>
      <c r="C197" s="11"/>
      <c r="D197" s="11"/>
      <c r="E197" s="11"/>
      <c r="F197" s="11"/>
    </row>
    <row r="198" spans="1:6" x14ac:dyDescent="0.2">
      <c r="A198" s="24" t="s">
        <v>3727</v>
      </c>
      <c r="B198" s="24">
        <f>((3.14*((1.2*(B191*100)^0.5)/100)^2)/4)*B191</f>
        <v>4.5215999999999992E-2</v>
      </c>
      <c r="C198" s="11"/>
      <c r="D198" s="11"/>
      <c r="E198" s="11"/>
      <c r="F198" s="11"/>
    </row>
    <row r="199" spans="1:6" x14ac:dyDescent="0.2">
      <c r="A199" s="24" t="s">
        <v>700</v>
      </c>
      <c r="B199" s="24" t="e">
        <f>B190/B198</f>
        <v>#VALUE!</v>
      </c>
      <c r="C199" s="11"/>
      <c r="D199" s="11"/>
      <c r="E199" s="11"/>
      <c r="F199" s="11"/>
    </row>
    <row r="200" spans="1:6" x14ac:dyDescent="0.2">
      <c r="A200" s="24" t="s">
        <v>701</v>
      </c>
      <c r="B200" s="24" t="e">
        <f>B199/B197</f>
        <v>#VALUE!</v>
      </c>
      <c r="C200" s="11"/>
      <c r="D200" s="11"/>
      <c r="E200" s="11"/>
      <c r="F200" s="11"/>
    </row>
    <row r="201" spans="1:6" x14ac:dyDescent="0.2">
      <c r="A201" s="24" t="s">
        <v>4429</v>
      </c>
      <c r="B201" s="24">
        <f>2.2*(IF(B195&lt;51,32,IF(B195&lt;71,25,21)))</f>
        <v>55.000000000000007</v>
      </c>
      <c r="C201" s="11"/>
      <c r="D201" s="11"/>
      <c r="E201" s="11"/>
      <c r="F201" s="11"/>
    </row>
    <row r="202" spans="1:6" x14ac:dyDescent="0.2">
      <c r="A202" s="24" t="s">
        <v>1855</v>
      </c>
      <c r="B202" s="24" t="e">
        <f>B196/B201</f>
        <v>#VALUE!</v>
      </c>
      <c r="C202" s="11"/>
      <c r="D202" s="11"/>
      <c r="E202" s="11"/>
      <c r="F202" s="11"/>
    </row>
    <row r="203" spans="1:6" ht="15" x14ac:dyDescent="0.25">
      <c r="A203" s="2159" t="s">
        <v>1782</v>
      </c>
      <c r="B203" s="806" t="e">
        <f>B202+B193</f>
        <v>#VALUE!</v>
      </c>
      <c r="C203" s="11"/>
      <c r="D203" s="11"/>
      <c r="E203" s="11"/>
      <c r="F203" s="11"/>
    </row>
    <row r="204" spans="1:6" ht="15" x14ac:dyDescent="0.25">
      <c r="A204" s="2153" t="s">
        <v>4774</v>
      </c>
      <c r="B204" s="11"/>
      <c r="C204" s="11"/>
      <c r="D204" s="11"/>
      <c r="E204" s="11"/>
      <c r="F204" s="11"/>
    </row>
    <row r="205" spans="1:6" ht="15" x14ac:dyDescent="0.25">
      <c r="A205" s="2160" t="s">
        <v>4778</v>
      </c>
      <c r="B205" s="11"/>
      <c r="C205" s="11"/>
      <c r="D205" s="11"/>
      <c r="E205" s="11"/>
      <c r="F205" s="11"/>
    </row>
    <row r="206" spans="1:6" x14ac:dyDescent="0.2">
      <c r="A206" s="17" t="s">
        <v>4779</v>
      </c>
      <c r="B206" s="202">
        <f>B145</f>
        <v>2000</v>
      </c>
      <c r="C206" s="11"/>
      <c r="D206" s="11"/>
      <c r="E206" s="11"/>
      <c r="F206" s="11"/>
    </row>
    <row r="207" spans="1:6" x14ac:dyDescent="0.2">
      <c r="A207" s="2135" t="s">
        <v>4780</v>
      </c>
      <c r="B207" s="11"/>
      <c r="C207" s="11"/>
      <c r="D207" s="11"/>
      <c r="E207" s="11"/>
      <c r="F207" s="11"/>
    </row>
    <row r="208" spans="1:6" x14ac:dyDescent="0.2">
      <c r="A208" s="24" t="s">
        <v>4781</v>
      </c>
      <c r="B208" s="24" t="e">
        <f>B190</f>
        <v>#VALUE!</v>
      </c>
      <c r="C208" s="11"/>
      <c r="D208" s="11"/>
      <c r="E208" s="11"/>
      <c r="F208" s="11"/>
    </row>
    <row r="209" spans="1:6" x14ac:dyDescent="0.2">
      <c r="A209" s="24" t="s">
        <v>5147</v>
      </c>
      <c r="B209" s="24">
        <f>16111*B206^-0.653</f>
        <v>112.60298683393111</v>
      </c>
      <c r="C209" s="29"/>
      <c r="D209" s="11"/>
      <c r="E209" s="11"/>
      <c r="F209" s="11"/>
    </row>
    <row r="210" spans="1:6" x14ac:dyDescent="0.2">
      <c r="A210" s="24" t="s">
        <v>3088</v>
      </c>
      <c r="B210" s="24" t="e">
        <f>B208/B209</f>
        <v>#VALUE!</v>
      </c>
      <c r="C210" s="11"/>
      <c r="D210" s="11"/>
      <c r="E210" s="11"/>
      <c r="F210" s="11"/>
    </row>
    <row r="211" spans="1:6" ht="15" x14ac:dyDescent="0.25">
      <c r="A211" s="2160" t="s">
        <v>3093</v>
      </c>
      <c r="B211" s="11"/>
      <c r="C211" s="11"/>
      <c r="D211" s="11"/>
      <c r="E211" s="11"/>
      <c r="F211" s="11"/>
    </row>
    <row r="212" spans="1:6" x14ac:dyDescent="0.2">
      <c r="A212" s="2161" t="s">
        <v>3743</v>
      </c>
      <c r="B212" s="11"/>
      <c r="C212" s="11"/>
      <c r="D212" s="11"/>
      <c r="E212" s="11"/>
      <c r="F212" s="11"/>
    </row>
    <row r="213" spans="1:6" x14ac:dyDescent="0.2">
      <c r="A213" s="24" t="s">
        <v>3094</v>
      </c>
      <c r="B213" s="24" t="e">
        <f>B208</f>
        <v>#VALUE!</v>
      </c>
      <c r="C213" s="11"/>
      <c r="D213" s="11"/>
      <c r="E213" s="11"/>
      <c r="F213" s="11"/>
    </row>
    <row r="214" spans="1:6" x14ac:dyDescent="0.2">
      <c r="A214" s="24" t="s">
        <v>3091</v>
      </c>
      <c r="B214" s="24">
        <v>8.6999999999999993</v>
      </c>
      <c r="C214" s="29"/>
      <c r="D214" s="11"/>
      <c r="E214" s="11"/>
      <c r="F214" s="11"/>
    </row>
    <row r="215" spans="1:6" x14ac:dyDescent="0.2">
      <c r="A215" s="24" t="s">
        <v>3088</v>
      </c>
      <c r="B215" s="24" t="e">
        <f>B213*0.9/B214</f>
        <v>#VALUE!</v>
      </c>
      <c r="C215" s="11"/>
      <c r="D215" s="11"/>
      <c r="E215" s="11"/>
      <c r="F215" s="11"/>
    </row>
    <row r="216" spans="1:6" ht="15" x14ac:dyDescent="0.25">
      <c r="A216" s="2159" t="s">
        <v>3102</v>
      </c>
      <c r="B216" s="806" t="e">
        <f>B215+B210</f>
        <v>#VALUE!</v>
      </c>
      <c r="C216" s="14"/>
      <c r="D216" s="11"/>
      <c r="E216" s="11"/>
      <c r="F216" s="11"/>
    </row>
    <row r="217" spans="1:6" x14ac:dyDescent="0.2">
      <c r="A217" s="806" t="s">
        <v>3820</v>
      </c>
      <c r="B217" s="806" t="e">
        <f>B216+B203</f>
        <v>#VALUE!</v>
      </c>
      <c r="C217" s="14"/>
      <c r="D217" s="11"/>
      <c r="E217" s="11"/>
      <c r="F217" s="11"/>
    </row>
    <row r="218" spans="1:6" ht="15" x14ac:dyDescent="0.25">
      <c r="A218" s="116" t="s">
        <v>2249</v>
      </c>
      <c r="B218" s="446"/>
      <c r="C218" s="11"/>
      <c r="D218" s="11"/>
      <c r="E218" s="11"/>
      <c r="F218" s="11"/>
    </row>
    <row r="219" spans="1:6" ht="15" x14ac:dyDescent="0.25">
      <c r="A219" s="2153" t="s">
        <v>1850</v>
      </c>
      <c r="B219" s="488"/>
      <c r="C219" s="11"/>
      <c r="D219" s="11"/>
      <c r="E219" s="11"/>
      <c r="F219" s="11"/>
    </row>
    <row r="220" spans="1:6" x14ac:dyDescent="0.2">
      <c r="A220" s="11" t="s">
        <v>2250</v>
      </c>
      <c r="B220" s="2183" t="s">
        <v>1851</v>
      </c>
      <c r="C220" s="11"/>
      <c r="D220" s="11"/>
      <c r="E220" s="11"/>
      <c r="F220" s="11"/>
    </row>
    <row r="221" spans="1:6" ht="15" x14ac:dyDescent="0.25">
      <c r="A221" s="17" t="s">
        <v>1858</v>
      </c>
      <c r="B221" s="2184" t="e">
        <f>B105</f>
        <v>#VALUE!</v>
      </c>
      <c r="C221" s="11"/>
      <c r="D221" s="11"/>
      <c r="E221" s="11"/>
      <c r="F221" s="11"/>
    </row>
    <row r="222" spans="1:6" x14ac:dyDescent="0.2">
      <c r="A222" s="24" t="s">
        <v>1854</v>
      </c>
      <c r="B222" s="24">
        <v>24.2</v>
      </c>
      <c r="C222" s="11"/>
      <c r="D222" s="11"/>
      <c r="E222" s="11"/>
      <c r="F222" s="11"/>
    </row>
    <row r="223" spans="1:6" x14ac:dyDescent="0.2">
      <c r="A223" s="24" t="s">
        <v>1855</v>
      </c>
      <c r="B223" s="24" t="e">
        <f>B221/B222</f>
        <v>#VALUE!</v>
      </c>
      <c r="C223" s="11"/>
      <c r="D223" s="11"/>
      <c r="E223" s="11"/>
      <c r="F223" s="11"/>
    </row>
    <row r="224" spans="1:6" x14ac:dyDescent="0.2">
      <c r="A224" s="11" t="s">
        <v>2251</v>
      </c>
      <c r="B224" s="2156" t="s">
        <v>3724</v>
      </c>
      <c r="C224" s="11"/>
      <c r="D224" s="11"/>
      <c r="E224" s="11"/>
      <c r="F224" s="11"/>
    </row>
    <row r="225" spans="1:6" x14ac:dyDescent="0.2">
      <c r="A225" s="567" t="s">
        <v>3725</v>
      </c>
      <c r="B225" s="202">
        <f>B134</f>
        <v>56</v>
      </c>
      <c r="C225" s="11"/>
      <c r="D225" s="11"/>
      <c r="E225" s="11"/>
      <c r="F225" s="11"/>
    </row>
    <row r="226" spans="1:6" x14ac:dyDescent="0.2">
      <c r="A226" s="567" t="s">
        <v>4430</v>
      </c>
      <c r="B226" s="24" t="e">
        <f>B221</f>
        <v>#VALUE!</v>
      </c>
      <c r="C226" s="11"/>
      <c r="D226" s="11"/>
      <c r="E226" s="11"/>
      <c r="F226" s="11"/>
    </row>
    <row r="227" spans="1:6" x14ac:dyDescent="0.2">
      <c r="A227" s="24" t="s">
        <v>4431</v>
      </c>
      <c r="B227" s="2185">
        <v>0.8</v>
      </c>
      <c r="C227" s="11"/>
      <c r="D227" s="11"/>
      <c r="E227" s="11"/>
      <c r="F227" s="11"/>
    </row>
    <row r="228" spans="1:6" x14ac:dyDescent="0.2">
      <c r="A228" s="24" t="s">
        <v>4432</v>
      </c>
      <c r="B228" s="24" t="e">
        <f>B226/(3*B227)</f>
        <v>#VALUE!</v>
      </c>
      <c r="C228" s="11"/>
      <c r="D228" s="11"/>
      <c r="E228" s="11"/>
      <c r="F228" s="11"/>
    </row>
    <row r="229" spans="1:6" x14ac:dyDescent="0.2">
      <c r="A229" s="24" t="s">
        <v>4433</v>
      </c>
      <c r="B229" s="24">
        <f>2.2*(IF(B225&lt;51,32,IF(B225&lt;71,25,21)))</f>
        <v>55.000000000000007</v>
      </c>
      <c r="C229" s="29"/>
      <c r="D229" s="29"/>
      <c r="E229" s="29"/>
      <c r="F229" s="29"/>
    </row>
    <row r="230" spans="1:6" x14ac:dyDescent="0.2">
      <c r="A230" s="24" t="s">
        <v>1855</v>
      </c>
      <c r="B230" s="24" t="e">
        <f>B228/B229</f>
        <v>#VALUE!</v>
      </c>
      <c r="C230" s="29"/>
      <c r="D230" s="29"/>
      <c r="E230" s="29"/>
      <c r="F230" s="29"/>
    </row>
    <row r="231" spans="1:6" x14ac:dyDescent="0.2">
      <c r="A231" s="29" t="s">
        <v>2252</v>
      </c>
      <c r="B231" s="2183" t="s">
        <v>3729</v>
      </c>
      <c r="C231" s="29"/>
      <c r="D231" s="29"/>
      <c r="E231" s="29"/>
      <c r="F231" s="29"/>
    </row>
    <row r="232" spans="1:6" x14ac:dyDescent="0.2">
      <c r="A232" s="2186" t="s">
        <v>2253</v>
      </c>
      <c r="B232" s="24" t="e">
        <f>B18/B43</f>
        <v>#VALUE!</v>
      </c>
      <c r="C232" s="29"/>
      <c r="D232" s="29"/>
      <c r="E232" s="29"/>
      <c r="F232" s="29"/>
    </row>
    <row r="233" spans="1:6" x14ac:dyDescent="0.2">
      <c r="A233" s="2186" t="s">
        <v>2254</v>
      </c>
      <c r="B233" s="24">
        <f>0.2*B43*2.8</f>
        <v>5.6000000000000008E-2</v>
      </c>
      <c r="C233" s="11"/>
      <c r="D233" s="11"/>
      <c r="E233" s="11"/>
      <c r="F233" s="11"/>
    </row>
    <row r="234" spans="1:6" x14ac:dyDescent="0.2">
      <c r="A234" s="567" t="s">
        <v>3725</v>
      </c>
      <c r="B234" s="202">
        <f>B225</f>
        <v>56</v>
      </c>
      <c r="C234" s="11"/>
      <c r="D234" s="11"/>
      <c r="E234" s="11"/>
      <c r="F234" s="11"/>
    </row>
    <row r="235" spans="1:6" ht="15" x14ac:dyDescent="0.25">
      <c r="A235" s="175" t="s">
        <v>2255</v>
      </c>
      <c r="B235" s="2155" t="e">
        <f>B233*B232*B102</f>
        <v>#VALUE!</v>
      </c>
      <c r="C235" s="11"/>
      <c r="D235" s="11"/>
      <c r="E235" s="11"/>
      <c r="F235" s="11"/>
    </row>
    <row r="236" spans="1:6" x14ac:dyDescent="0.2">
      <c r="A236" s="24" t="s">
        <v>1836</v>
      </c>
      <c r="B236" s="24" t="e">
        <f>0.05*B235</f>
        <v>#VALUE!</v>
      </c>
      <c r="C236" s="11"/>
      <c r="D236" s="11"/>
      <c r="E236" s="11"/>
      <c r="F236" s="11"/>
    </row>
    <row r="237" spans="1:6" x14ac:dyDescent="0.2">
      <c r="A237" s="24" t="s">
        <v>1780</v>
      </c>
      <c r="B237" s="24" t="e">
        <f>B235+B236</f>
        <v>#VALUE!</v>
      </c>
      <c r="C237" s="11"/>
      <c r="D237" s="11"/>
      <c r="E237" s="11"/>
      <c r="F237" s="11"/>
    </row>
    <row r="238" spans="1:6" x14ac:dyDescent="0.2">
      <c r="A238" s="24" t="s">
        <v>1781</v>
      </c>
      <c r="B238" s="24">
        <f>IF(B234&lt;51,11,10.2)</f>
        <v>10.199999999999999</v>
      </c>
      <c r="C238" s="11"/>
      <c r="D238" s="11"/>
      <c r="E238" s="11"/>
      <c r="F238" s="11"/>
    </row>
    <row r="239" spans="1:6" x14ac:dyDescent="0.2">
      <c r="A239" s="806" t="s">
        <v>1855</v>
      </c>
      <c r="B239" s="24" t="e">
        <f>B237/B238</f>
        <v>#VALUE!</v>
      </c>
      <c r="C239" s="11"/>
      <c r="D239" s="11"/>
      <c r="E239" s="11"/>
      <c r="F239" s="11"/>
    </row>
    <row r="240" spans="1:6" ht="15" x14ac:dyDescent="0.25">
      <c r="A240" s="2159" t="s">
        <v>1782</v>
      </c>
      <c r="B240" s="806" t="e">
        <f>B239+B230+B223</f>
        <v>#VALUE!</v>
      </c>
      <c r="C240" s="11"/>
      <c r="D240" s="11"/>
      <c r="E240" s="11"/>
      <c r="F240" s="11"/>
    </row>
    <row r="241" spans="1:6" ht="15" x14ac:dyDescent="0.25">
      <c r="A241" s="2153" t="s">
        <v>4774</v>
      </c>
      <c r="B241" s="124"/>
      <c r="C241" s="11"/>
      <c r="D241" s="11"/>
      <c r="E241" s="11"/>
      <c r="F241" s="11"/>
    </row>
    <row r="242" spans="1:6" ht="15" x14ac:dyDescent="0.25">
      <c r="A242" s="2160" t="s">
        <v>4778</v>
      </c>
      <c r="B242" s="446"/>
      <c r="C242" s="11"/>
      <c r="D242" s="11"/>
      <c r="E242" s="11"/>
      <c r="F242" s="11"/>
    </row>
    <row r="243" spans="1:6" x14ac:dyDescent="0.2">
      <c r="A243" s="17" t="s">
        <v>4779</v>
      </c>
      <c r="B243" s="202">
        <f>B145</f>
        <v>2000</v>
      </c>
      <c r="C243" s="11"/>
      <c r="D243" s="11"/>
      <c r="E243" s="11"/>
      <c r="F243" s="11"/>
    </row>
    <row r="244" spans="1:6" x14ac:dyDescent="0.2">
      <c r="A244" s="2135" t="s">
        <v>4780</v>
      </c>
      <c r="B244" s="11"/>
      <c r="C244" s="11"/>
      <c r="D244" s="11"/>
      <c r="E244" s="11"/>
      <c r="F244" s="11"/>
    </row>
    <row r="245" spans="1:6" x14ac:dyDescent="0.2">
      <c r="A245" s="24" t="s">
        <v>4781</v>
      </c>
      <c r="B245" s="24" t="e">
        <f>B221</f>
        <v>#VALUE!</v>
      </c>
      <c r="C245" s="11"/>
      <c r="D245" s="11"/>
      <c r="E245" s="11"/>
      <c r="F245" s="11"/>
    </row>
    <row r="246" spans="1:6" x14ac:dyDescent="0.2">
      <c r="A246" s="24" t="s">
        <v>5147</v>
      </c>
      <c r="B246" s="24">
        <f>16111*B243^-0.653</f>
        <v>112.60298683393111</v>
      </c>
      <c r="C246" s="11"/>
      <c r="D246" s="11"/>
      <c r="E246" s="11"/>
      <c r="F246" s="11"/>
    </row>
    <row r="247" spans="1:6" x14ac:dyDescent="0.2">
      <c r="A247" s="24" t="s">
        <v>3088</v>
      </c>
      <c r="B247" s="24" t="e">
        <f>B245/B246</f>
        <v>#VALUE!</v>
      </c>
      <c r="C247" s="11"/>
      <c r="D247" s="11"/>
      <c r="E247" s="11"/>
      <c r="F247" s="11"/>
    </row>
    <row r="248" spans="1:6" x14ac:dyDescent="0.2">
      <c r="A248" s="2135" t="s">
        <v>3089</v>
      </c>
      <c r="B248" s="446"/>
      <c r="C248" s="11"/>
      <c r="D248" s="11"/>
      <c r="E248" s="11"/>
      <c r="F248" s="11"/>
    </row>
    <row r="249" spans="1:6" x14ac:dyDescent="0.2">
      <c r="A249" s="24" t="s">
        <v>2256</v>
      </c>
      <c r="B249" s="24" t="e">
        <f>B237</f>
        <v>#VALUE!</v>
      </c>
      <c r="C249" s="11"/>
      <c r="D249" s="11"/>
      <c r="E249" s="11"/>
      <c r="F249" s="11"/>
    </row>
    <row r="250" spans="1:6" x14ac:dyDescent="0.2">
      <c r="A250" s="24" t="s">
        <v>3091</v>
      </c>
      <c r="B250" s="24">
        <f>25667*B243^-0.666</f>
        <v>162.51338393276461</v>
      </c>
      <c r="C250" s="11"/>
      <c r="D250" s="11"/>
      <c r="E250" s="11"/>
      <c r="F250" s="11"/>
    </row>
    <row r="251" spans="1:6" x14ac:dyDescent="0.2">
      <c r="A251" s="24" t="s">
        <v>3088</v>
      </c>
      <c r="B251" s="24" t="e">
        <f>B249/B250</f>
        <v>#VALUE!</v>
      </c>
      <c r="C251" s="11"/>
      <c r="D251" s="11"/>
      <c r="E251" s="11"/>
      <c r="F251" s="11"/>
    </row>
    <row r="252" spans="1:6" ht="15" x14ac:dyDescent="0.25">
      <c r="A252" s="2160" t="s">
        <v>3093</v>
      </c>
      <c r="B252" s="446"/>
      <c r="C252" s="11"/>
      <c r="D252" s="11"/>
      <c r="E252" s="11"/>
      <c r="F252" s="11"/>
    </row>
    <row r="253" spans="1:6" x14ac:dyDescent="0.2">
      <c r="A253" s="2161" t="s">
        <v>3743</v>
      </c>
      <c r="B253" s="11"/>
      <c r="C253" s="11"/>
      <c r="D253" s="11"/>
      <c r="E253" s="11"/>
      <c r="F253" s="11"/>
    </row>
    <row r="254" spans="1:6" x14ac:dyDescent="0.2">
      <c r="A254" s="24" t="s">
        <v>3094</v>
      </c>
      <c r="B254" s="24" t="e">
        <f>B245</f>
        <v>#VALUE!</v>
      </c>
      <c r="C254" s="11"/>
      <c r="D254" s="11"/>
      <c r="E254" s="11"/>
      <c r="F254" s="11"/>
    </row>
    <row r="255" spans="1:6" x14ac:dyDescent="0.2">
      <c r="A255" s="24" t="s">
        <v>3091</v>
      </c>
      <c r="B255" s="24">
        <v>8.6999999999999993</v>
      </c>
      <c r="C255" s="11"/>
      <c r="D255" s="11"/>
      <c r="E255" s="11"/>
      <c r="F255" s="11"/>
    </row>
    <row r="256" spans="1:6" x14ac:dyDescent="0.2">
      <c r="A256" s="24" t="s">
        <v>3088</v>
      </c>
      <c r="B256" s="24" t="e">
        <f>B254*0.9/B255</f>
        <v>#VALUE!</v>
      </c>
      <c r="C256" s="11"/>
      <c r="D256" s="11"/>
      <c r="E256" s="11"/>
      <c r="F256" s="11"/>
    </row>
    <row r="257" spans="1:6" x14ac:dyDescent="0.2">
      <c r="A257" s="2135" t="s">
        <v>3096</v>
      </c>
      <c r="B257" s="30"/>
      <c r="C257" s="11"/>
      <c r="D257" s="11"/>
      <c r="E257" s="11"/>
      <c r="F257" s="11"/>
    </row>
    <row r="258" spans="1:6" x14ac:dyDescent="0.2">
      <c r="A258" s="24" t="s">
        <v>3091</v>
      </c>
      <c r="B258" s="24">
        <v>10.3</v>
      </c>
      <c r="C258" s="11"/>
      <c r="D258" s="11"/>
      <c r="E258" s="11"/>
      <c r="F258" s="11"/>
    </row>
    <row r="259" spans="1:6" x14ac:dyDescent="0.2">
      <c r="A259" s="24" t="s">
        <v>3088</v>
      </c>
      <c r="B259" s="24" t="e">
        <f>B249/B258</f>
        <v>#VALUE!</v>
      </c>
      <c r="C259" s="11"/>
      <c r="D259" s="11"/>
      <c r="E259" s="11"/>
      <c r="F259" s="11"/>
    </row>
    <row r="260" spans="1:6" ht="15" x14ac:dyDescent="0.25">
      <c r="A260" s="2159" t="s">
        <v>3102</v>
      </c>
      <c r="B260" s="806" t="e">
        <f>B251+B259+B256+B247</f>
        <v>#VALUE!</v>
      </c>
      <c r="C260" s="11"/>
      <c r="D260" s="11"/>
      <c r="E260" s="11"/>
      <c r="F260" s="11"/>
    </row>
    <row r="261" spans="1:6" x14ac:dyDescent="0.2">
      <c r="A261" s="806" t="s">
        <v>3820</v>
      </c>
      <c r="B261" s="806" t="e">
        <f>B260+B240</f>
        <v>#VALUE!</v>
      </c>
      <c r="C261" s="11"/>
      <c r="D261" s="11"/>
      <c r="E261" s="11"/>
      <c r="F261" s="11"/>
    </row>
    <row r="262" spans="1:6" x14ac:dyDescent="0.2">
      <c r="A262" s="806"/>
      <c r="B262" s="806"/>
      <c r="C262" s="11"/>
      <c r="D262" s="11"/>
      <c r="E262" s="11"/>
      <c r="F262" s="11"/>
    </row>
    <row r="263" spans="1:6" x14ac:dyDescent="0.2">
      <c r="A263" s="2104" t="s">
        <v>2257</v>
      </c>
      <c r="B263" s="2105"/>
      <c r="C263" s="11"/>
      <c r="D263" s="11"/>
      <c r="E263" s="11"/>
      <c r="F263" s="11"/>
    </row>
    <row r="264" spans="1:6" x14ac:dyDescent="0.2">
      <c r="A264" s="485"/>
      <c r="B264" s="2113"/>
      <c r="C264" s="11"/>
      <c r="D264" s="11"/>
      <c r="E264" s="11"/>
      <c r="F264" s="11"/>
    </row>
    <row r="265" spans="1:6" ht="18.75" x14ac:dyDescent="0.3">
      <c r="A265" s="2187" t="s">
        <v>2258</v>
      </c>
      <c r="B265" s="2188"/>
      <c r="C265" s="2103"/>
      <c r="D265" s="2103"/>
      <c r="E265" s="2103"/>
      <c r="F265" s="2103"/>
    </row>
    <row r="266" spans="1:6" ht="18.75" x14ac:dyDescent="0.3">
      <c r="A266" s="2189" t="s">
        <v>1413</v>
      </c>
      <c r="B266" s="2190"/>
      <c r="C266" s="2191"/>
      <c r="D266" s="2191"/>
      <c r="E266" s="2191"/>
      <c r="F266" s="2103"/>
    </row>
    <row r="267" spans="1:6" ht="15" x14ac:dyDescent="0.25">
      <c r="A267" s="2192" t="s">
        <v>5602</v>
      </c>
      <c r="B267" s="2193" t="str">
        <f>B18</f>
        <v/>
      </c>
      <c r="C267" s="2191"/>
      <c r="D267" s="2103"/>
      <c r="E267" s="2103"/>
      <c r="F267" s="2103"/>
    </row>
    <row r="268" spans="1:6" ht="15" x14ac:dyDescent="0.25">
      <c r="A268" s="2194" t="s">
        <v>2387</v>
      </c>
      <c r="B268" s="2193" t="str">
        <f>B19</f>
        <v/>
      </c>
      <c r="C268" s="2191"/>
      <c r="D268" s="2103"/>
      <c r="E268" s="2103"/>
      <c r="F268" s="2103"/>
    </row>
    <row r="269" spans="1:6" ht="15" x14ac:dyDescent="0.25">
      <c r="A269" s="2195" t="s">
        <v>1027</v>
      </c>
      <c r="B269" s="2196">
        <f>B25</f>
        <v>0</v>
      </c>
      <c r="C269" s="2191"/>
      <c r="D269" s="2103"/>
      <c r="E269" s="2103"/>
      <c r="F269" s="2103"/>
    </row>
    <row r="270" spans="1:6" ht="29.25" x14ac:dyDescent="0.25">
      <c r="A270" s="2195" t="s">
        <v>4297</v>
      </c>
      <c r="B270" s="2196" t="str">
        <f>B26</f>
        <v/>
      </c>
      <c r="C270" s="2191"/>
      <c r="D270" s="2103"/>
      <c r="E270" s="2103"/>
      <c r="F270" s="2103"/>
    </row>
    <row r="271" spans="1:6" ht="15" x14ac:dyDescent="0.25">
      <c r="A271" s="2197" t="s">
        <v>2389</v>
      </c>
      <c r="B271" s="2196" t="e">
        <f>B21</f>
        <v>#VALUE!</v>
      </c>
      <c r="C271" s="2191"/>
      <c r="D271" s="2103"/>
      <c r="E271" s="2103"/>
      <c r="F271" s="2103"/>
    </row>
    <row r="272" spans="1:6" ht="15" x14ac:dyDescent="0.25">
      <c r="A272" s="2195" t="s">
        <v>4299</v>
      </c>
      <c r="B272" s="2196">
        <f t="shared" ref="B272:B278" si="0">B28</f>
        <v>0</v>
      </c>
      <c r="C272" s="2191"/>
      <c r="D272" s="2103"/>
      <c r="E272" s="2103"/>
      <c r="F272" s="2103"/>
    </row>
    <row r="273" spans="1:6" ht="15" x14ac:dyDescent="0.25">
      <c r="A273" s="2195" t="str">
        <f>IF(B272&gt;0,"Количество взрываний в лаве в сут.","не вводить")</f>
        <v>не вводить</v>
      </c>
      <c r="B273" s="2196">
        <f t="shared" si="0"/>
        <v>0</v>
      </c>
      <c r="C273" s="2191"/>
      <c r="D273" s="2191"/>
      <c r="E273" s="2191"/>
      <c r="F273" s="2103"/>
    </row>
    <row r="274" spans="1:6" ht="15" x14ac:dyDescent="0.25">
      <c r="A274" s="2195" t="str">
        <f>IF(B272=1,"Количество взрываемых шпуров за сут.","не вводить")</f>
        <v>не вводить</v>
      </c>
      <c r="B274" s="2196">
        <f t="shared" si="0"/>
        <v>0</v>
      </c>
      <c r="C274" s="2191"/>
      <c r="D274" s="2191"/>
      <c r="E274" s="2191"/>
      <c r="F274" s="2103"/>
    </row>
    <row r="275" spans="1:6" ht="15" x14ac:dyDescent="0.25">
      <c r="A275" s="2195" t="s">
        <v>4300</v>
      </c>
      <c r="B275" s="2196">
        <f t="shared" si="0"/>
        <v>0</v>
      </c>
      <c r="C275" s="2191"/>
      <c r="D275" s="2191"/>
      <c r="E275" s="2191"/>
      <c r="F275" s="2103"/>
    </row>
    <row r="276" spans="1:6" ht="15" x14ac:dyDescent="0.25">
      <c r="A276" s="2195" t="str">
        <f>IF(B275&gt;0,"Количество взрываний в бутовых штреках, в сут","не вводить")</f>
        <v>не вводить</v>
      </c>
      <c r="B276" s="2196">
        <f t="shared" si="0"/>
        <v>0</v>
      </c>
      <c r="C276" s="2191"/>
      <c r="D276" s="2191"/>
      <c r="E276" s="2191"/>
      <c r="F276" s="2103"/>
    </row>
    <row r="277" spans="1:6" ht="29.25" x14ac:dyDescent="0.25">
      <c r="A277" s="2195" t="s">
        <v>4301</v>
      </c>
      <c r="B277" s="2196">
        <f t="shared" si="0"/>
        <v>0</v>
      </c>
      <c r="C277" s="2191"/>
      <c r="D277" s="2191"/>
      <c r="E277" s="2191"/>
      <c r="F277" s="2103"/>
    </row>
    <row r="278" spans="1:6" ht="15" x14ac:dyDescent="0.25">
      <c r="A278" s="2195" t="str">
        <f>IF(B277&gt;0,"Количество взрываний в нишах, в сут","не вводить")</f>
        <v>не вводить</v>
      </c>
      <c r="B278" s="2196">
        <f t="shared" si="0"/>
        <v>0</v>
      </c>
      <c r="C278" s="2191"/>
      <c r="D278" s="2191"/>
      <c r="E278" s="2191"/>
      <c r="F278" s="2103"/>
    </row>
    <row r="279" spans="1:6" ht="30" x14ac:dyDescent="0.25">
      <c r="A279" s="2198" t="s">
        <v>2259</v>
      </c>
      <c r="B279" s="2130" t="str">
        <f>B22</f>
        <v/>
      </c>
      <c r="C279" s="2191"/>
      <c r="D279" s="2191"/>
      <c r="E279" s="2191"/>
      <c r="F279" s="2103"/>
    </row>
    <row r="280" spans="1:6" ht="15" x14ac:dyDescent="0.25">
      <c r="A280" s="2142" t="s">
        <v>2260</v>
      </c>
      <c r="B280" s="2130">
        <v>2</v>
      </c>
      <c r="C280" s="2191"/>
      <c r="D280" s="2191"/>
      <c r="E280" s="2191"/>
      <c r="F280" s="2103"/>
    </row>
    <row r="281" spans="1:6" ht="15" x14ac:dyDescent="0.25">
      <c r="A281" s="2199" t="s">
        <v>464</v>
      </c>
      <c r="B281" s="2132" t="str">
        <f>B24</f>
        <v/>
      </c>
      <c r="C281" s="2191"/>
      <c r="D281" s="2191"/>
      <c r="E281" s="2191"/>
      <c r="F281" s="2103"/>
    </row>
    <row r="282" spans="1:6" ht="15" x14ac:dyDescent="0.25">
      <c r="A282" s="2200" t="s">
        <v>4302</v>
      </c>
      <c r="B282" s="2132">
        <f>B35</f>
        <v>1</v>
      </c>
      <c r="C282" s="2191"/>
      <c r="D282" s="2191"/>
      <c r="E282" s="2191"/>
      <c r="F282" s="2103"/>
    </row>
    <row r="283" spans="1:6" ht="15" x14ac:dyDescent="0.25">
      <c r="A283" s="2200" t="str">
        <f>IF(B282=1,"Перепиливание стоек(1- электропилами, 0- с помощью др.средств)","Не заполнять!")</f>
        <v>Перепиливание стоек(1- электропилами, 0- с помощью др.средств)</v>
      </c>
      <c r="B283" s="2132">
        <f>B36</f>
        <v>0</v>
      </c>
      <c r="C283" s="2191"/>
      <c r="D283" s="2191"/>
      <c r="E283" s="2191"/>
      <c r="F283" s="2103"/>
    </row>
    <row r="284" spans="1:6" ht="15" x14ac:dyDescent="0.25">
      <c r="A284" s="2200" t="s">
        <v>4303</v>
      </c>
      <c r="B284" s="2132">
        <f>B37</f>
        <v>0</v>
      </c>
      <c r="C284" s="2191"/>
      <c r="D284" s="2191"/>
      <c r="E284" s="2191"/>
      <c r="F284" s="2103"/>
    </row>
    <row r="285" spans="1:6" ht="30" x14ac:dyDescent="0.25">
      <c r="A285" s="2201" t="s">
        <v>2261</v>
      </c>
      <c r="B285" s="2202" t="str">
        <f>B22</f>
        <v/>
      </c>
      <c r="C285" s="2191"/>
      <c r="D285" s="2191"/>
      <c r="E285" s="2191"/>
      <c r="F285" s="2103"/>
    </row>
    <row r="286" spans="1:6" ht="26.25" x14ac:dyDescent="0.4">
      <c r="A286" s="2203" t="s">
        <v>4142</v>
      </c>
      <c r="B286" s="2204"/>
      <c r="C286" s="2205"/>
      <c r="D286" s="2191"/>
      <c r="E286" s="2191"/>
      <c r="F286" s="2103"/>
    </row>
    <row r="287" spans="1:6" ht="15.75" x14ac:dyDescent="0.25">
      <c r="A287" s="2206" t="s">
        <v>1723</v>
      </c>
      <c r="B287" s="446"/>
      <c r="C287" s="2191"/>
      <c r="D287" s="2191"/>
      <c r="E287" s="2191"/>
      <c r="F287" s="2103"/>
    </row>
    <row r="288" spans="1:6" ht="15" x14ac:dyDescent="0.25">
      <c r="A288" s="2207" t="s">
        <v>4667</v>
      </c>
      <c r="B288" s="2109" t="e">
        <f>INDEX($A$1246:$B$1249,B270,IF(B267&lt;=1,1,2))</f>
        <v>#VALUE!</v>
      </c>
      <c r="C288" s="2191"/>
      <c r="D288" s="2191"/>
      <c r="E288" s="2191"/>
      <c r="F288" s="2103"/>
    </row>
    <row r="289" spans="1:6" ht="15" x14ac:dyDescent="0.25">
      <c r="A289" s="2207" t="s">
        <v>4668</v>
      </c>
      <c r="B289" s="2110">
        <f>IF(B279=0,1,IF(B279=1,0.9,0.85))</f>
        <v>0.85</v>
      </c>
      <c r="C289" s="2191"/>
      <c r="D289" s="2191"/>
      <c r="E289" s="2191"/>
      <c r="F289" s="2103"/>
    </row>
    <row r="290" spans="1:6" ht="15" x14ac:dyDescent="0.25">
      <c r="A290" s="2207" t="s">
        <v>4669</v>
      </c>
      <c r="B290" s="2111" t="e">
        <f>IF(B271&gt;1200,0.8,IF(B271&gt;1050,0.85,IF(B271&gt;900,0.9,IF(B271&gt;700,0.95,1))))</f>
        <v>#VALUE!</v>
      </c>
      <c r="C290" s="2208"/>
      <c r="D290" s="2191"/>
      <c r="E290" s="2191"/>
      <c r="F290" s="2103"/>
    </row>
    <row r="291" spans="1:6" ht="15" x14ac:dyDescent="0.25">
      <c r="A291" s="2207" t="s">
        <v>4670</v>
      </c>
      <c r="B291" s="2111">
        <f>IF(B269&lt;1,1,IF(B269&lt;3.1,0.95,IF(B269&lt;5.1,0.9,IF(B269&lt;7.1,0.85,IF(B269&lt;9.1,0.75,1)))))</f>
        <v>1</v>
      </c>
      <c r="C291" s="2191"/>
      <c r="D291" s="2191"/>
      <c r="E291" s="2191"/>
      <c r="F291" s="2103"/>
    </row>
    <row r="292" spans="1:6" ht="15" x14ac:dyDescent="0.25">
      <c r="A292" s="2209" t="s">
        <v>4671</v>
      </c>
      <c r="B292" s="446"/>
      <c r="C292" s="2191"/>
      <c r="D292" s="2191"/>
      <c r="E292" s="2191"/>
      <c r="F292" s="2103"/>
    </row>
    <row r="293" spans="1:6" ht="15" x14ac:dyDescent="0.25">
      <c r="A293" s="2207" t="s">
        <v>4672</v>
      </c>
      <c r="B293" s="2111">
        <f>IF(B277=0,1,B294)</f>
        <v>1</v>
      </c>
      <c r="C293" s="2208"/>
      <c r="D293" s="2208"/>
      <c r="E293" s="2191"/>
      <c r="F293" s="2103"/>
    </row>
    <row r="294" spans="1:6" ht="15" x14ac:dyDescent="0.25">
      <c r="A294" s="2210" t="s">
        <v>2262</v>
      </c>
      <c r="B294" s="2111">
        <f>IF(B278&gt;8,0.8,IF(B278&gt;7,0.83,IF(B278&gt;6,0.85,IF(B278&gt;5,0.87,IF(B278&gt;4,0.89,IF(B278&gt;3,0.91,IF(B278&gt;2,0.93,IF(B278&gt;1,0.95,0.97))))))))</f>
        <v>0.97</v>
      </c>
      <c r="C294" s="2208"/>
      <c r="D294" s="2208"/>
      <c r="E294" s="2191"/>
      <c r="F294" s="2103"/>
    </row>
    <row r="295" spans="1:6" ht="15" x14ac:dyDescent="0.25">
      <c r="A295" s="2211" t="s">
        <v>4674</v>
      </c>
      <c r="B295" s="2116">
        <f>IF(B276&gt;18,0.8,IF(B276&gt;15,0.82,IF(B276&gt;13,0.84,IF(B276&gt;11,0.86,IF(B276&gt;9,0.88,IF(B276&gt;7,0.9,IF(B276&gt;0,0.92,1)))))))</f>
        <v>1</v>
      </c>
      <c r="C295" s="2191"/>
      <c r="D295" s="2191"/>
      <c r="E295" s="2191"/>
      <c r="F295" s="2103"/>
    </row>
    <row r="296" spans="1:6" ht="15.75" thickBot="1" x14ac:dyDescent="0.3">
      <c r="A296" s="2212" t="s">
        <v>4675</v>
      </c>
      <c r="B296" s="2118">
        <f>IF(B273=2,IF(B274&lt;45,0.95,0.92),IF(B273=3,IF(B274&lt;75,0.9,0.88),IF(B273=4,IF(B274&lt;105,0.86,0.84),1)))</f>
        <v>1</v>
      </c>
      <c r="C296" s="2191"/>
      <c r="D296" s="2191"/>
      <c r="E296" s="2191"/>
      <c r="F296" s="2103"/>
    </row>
    <row r="297" spans="1:6" ht="15.75" thickBot="1" x14ac:dyDescent="0.3">
      <c r="A297" s="2213"/>
      <c r="B297" s="2120" t="e">
        <f>B288*B289*B290*B291*B293*B295*B296</f>
        <v>#VALUE!</v>
      </c>
      <c r="C297" s="2191"/>
      <c r="D297" s="2191"/>
      <c r="E297" s="2191"/>
      <c r="F297" s="2103"/>
    </row>
    <row r="298" spans="1:6" ht="15" x14ac:dyDescent="0.25">
      <c r="A298" s="2136" t="s">
        <v>570</v>
      </c>
      <c r="B298" s="2214"/>
      <c r="C298" s="2138"/>
      <c r="D298" s="2103"/>
      <c r="E298" s="2103"/>
      <c r="F298" s="2103"/>
    </row>
    <row r="299" spans="1:6" ht="15" x14ac:dyDescent="0.25">
      <c r="A299" s="2139" t="s">
        <v>571</v>
      </c>
      <c r="B299" s="2215">
        <f>IF(B281&gt;0.2,0.9,1)</f>
        <v>0.9</v>
      </c>
      <c r="C299" s="2138"/>
      <c r="D299" s="2103"/>
      <c r="E299" s="2103"/>
      <c r="F299" s="2103"/>
    </row>
    <row r="300" spans="1:6" ht="15" x14ac:dyDescent="0.25">
      <c r="A300" s="2139" t="s">
        <v>572</v>
      </c>
      <c r="B300" s="2215">
        <f>IF(AND(B282=0,B267&gt;1.4),1.25,1)</f>
        <v>1</v>
      </c>
      <c r="C300" s="2138"/>
      <c r="D300" s="2103"/>
      <c r="E300" s="2103"/>
      <c r="F300" s="2103"/>
    </row>
    <row r="301" spans="1:6" ht="15" x14ac:dyDescent="0.25">
      <c r="A301" s="2139" t="s">
        <v>3808</v>
      </c>
      <c r="B301" s="2215">
        <f>IF(AND(B283=1,B267&gt;1.4),1.15,1)</f>
        <v>1</v>
      </c>
      <c r="C301" s="2138"/>
      <c r="D301" s="2103"/>
      <c r="E301" s="2103"/>
      <c r="F301" s="2103"/>
    </row>
    <row r="302" spans="1:6" ht="15" x14ac:dyDescent="0.25">
      <c r="A302" s="2139" t="s">
        <v>3809</v>
      </c>
      <c r="B302" s="2215">
        <f>IF(AND(B268&gt;45,B284=0),1.1,1)</f>
        <v>1.1000000000000001</v>
      </c>
      <c r="C302" s="2138"/>
      <c r="D302" s="2103"/>
      <c r="E302" s="2103"/>
      <c r="F302" s="2103"/>
    </row>
    <row r="303" spans="1:6" ht="14.25" x14ac:dyDescent="0.2">
      <c r="A303" s="2216"/>
      <c r="B303" s="2217">
        <f>B299*B300*B301*B302</f>
        <v>0.9900000000000001</v>
      </c>
      <c r="C303" s="2138"/>
      <c r="D303" s="2103"/>
      <c r="E303" s="2103"/>
      <c r="F303" s="2103"/>
    </row>
    <row r="304" spans="1:6" ht="15" x14ac:dyDescent="0.25">
      <c r="A304" s="2125" t="s">
        <v>4666</v>
      </c>
      <c r="B304" s="62"/>
      <c r="C304" s="2138"/>
      <c r="D304" s="2103"/>
      <c r="E304" s="2103"/>
      <c r="F304" s="2103"/>
    </row>
    <row r="305" spans="1:6" ht="15" x14ac:dyDescent="0.25">
      <c r="A305" s="2141" t="s">
        <v>3810</v>
      </c>
      <c r="B305" s="2132" t="e">
        <f>ROUNDDOWN((0.12*(B267^0.5)),2)</f>
        <v>#VALUE!</v>
      </c>
      <c r="C305" s="2138"/>
      <c r="D305" s="2103"/>
      <c r="E305" s="2103"/>
      <c r="F305" s="2103"/>
    </row>
    <row r="306" spans="1:6" ht="15" x14ac:dyDescent="0.25">
      <c r="A306" s="2144" t="s">
        <v>3812</v>
      </c>
      <c r="B306" s="2132" t="e">
        <f>(1/B305)*B280</f>
        <v>#VALUE!</v>
      </c>
      <c r="C306" s="2138"/>
      <c r="D306" s="2103"/>
      <c r="E306" s="2103"/>
      <c r="F306" s="2103"/>
    </row>
    <row r="307" spans="1:6" ht="15" x14ac:dyDescent="0.25">
      <c r="A307" s="2146" t="s">
        <v>3813</v>
      </c>
      <c r="B307" s="2116">
        <f>INDEX($B$1224:$C$1242,B308,B310)</f>
        <v>28</v>
      </c>
      <c r="C307" s="2138"/>
      <c r="D307" s="2103"/>
      <c r="E307" s="2103"/>
      <c r="F307" s="2103"/>
    </row>
    <row r="308" spans="1:6" ht="15" x14ac:dyDescent="0.25">
      <c r="A308" s="2148" t="s">
        <v>3814</v>
      </c>
      <c r="B308" s="2116">
        <f>IF(B18&lt;0.61,1,IF(B18&lt;0.71,2,IF(B18&lt;0.81,3,IF(B18&lt;0.91,4,IF(B18&lt;1.01,5,IF(B18&lt;1.11,6,IF(B18&lt;1.26,7,B119)))))))</f>
        <v>15</v>
      </c>
      <c r="C308" s="2138"/>
      <c r="D308" s="2103"/>
      <c r="E308" s="2103"/>
      <c r="F308" s="2103"/>
    </row>
    <row r="309" spans="1:6" ht="15" x14ac:dyDescent="0.25">
      <c r="A309" s="2149" t="s">
        <v>1329</v>
      </c>
      <c r="B309" s="2116">
        <f>IF(B18&lt;1.41,8,IF(B18&lt;1.61,9,IF(B18&lt;1.81,10,IF(B18&lt;2.01,11,IF(B18&lt;2.31,12,IF(B18&lt;2.66,13,IF(B18&lt;3.01,14,15)))))))</f>
        <v>15</v>
      </c>
      <c r="C309" s="2138"/>
      <c r="D309" s="2103"/>
      <c r="E309" s="2103"/>
      <c r="F309" s="2103"/>
    </row>
    <row r="310" spans="1:6" ht="15" x14ac:dyDescent="0.25">
      <c r="A310" s="2149" t="s">
        <v>3815</v>
      </c>
      <c r="B310" s="2116">
        <f>IF(B19&lt;=35,1,2)</f>
        <v>2</v>
      </c>
      <c r="C310" s="2138"/>
      <c r="D310" s="2103"/>
      <c r="E310" s="2103"/>
      <c r="F310" s="2103"/>
    </row>
    <row r="311" spans="1:6" ht="15" x14ac:dyDescent="0.25">
      <c r="A311" s="2127" t="s">
        <v>3816</v>
      </c>
      <c r="B311" s="2116" t="e">
        <f>B307*B303*B297</f>
        <v>#VALUE!</v>
      </c>
      <c r="C311" s="2138"/>
      <c r="D311" s="2103"/>
      <c r="E311" s="2103"/>
      <c r="F311" s="2103"/>
    </row>
    <row r="312" spans="1:6" ht="15" x14ac:dyDescent="0.25">
      <c r="A312" s="2150" t="s">
        <v>3817</v>
      </c>
      <c r="B312" s="2141" t="e">
        <f>B306/B311</f>
        <v>#VALUE!</v>
      </c>
      <c r="C312" s="2138"/>
      <c r="D312" s="2103"/>
      <c r="E312" s="2103"/>
      <c r="F312" s="2103"/>
    </row>
    <row r="313" spans="1:6" ht="15" x14ac:dyDescent="0.25">
      <c r="A313" s="65" t="s">
        <v>3818</v>
      </c>
      <c r="B313" s="2132" t="e">
        <f>((3.14*B305^2)/4)*B306</f>
        <v>#VALUE!</v>
      </c>
      <c r="C313" s="2138"/>
      <c r="D313" s="2152"/>
      <c r="E313" s="2152"/>
      <c r="F313" s="2103"/>
    </row>
    <row r="314" spans="1:6" ht="15" x14ac:dyDescent="0.25">
      <c r="A314" s="2103"/>
      <c r="B314" s="2218"/>
      <c r="C314" s="2138"/>
      <c r="D314" s="2152"/>
      <c r="E314" s="2152"/>
      <c r="F314" s="2103"/>
    </row>
    <row r="315" spans="1:6" ht="15.75" x14ac:dyDescent="0.25">
      <c r="A315" s="2219" t="s">
        <v>2263</v>
      </c>
      <c r="B315" s="2220"/>
      <c r="C315" s="2138"/>
      <c r="D315" s="2152"/>
      <c r="E315" s="2152"/>
      <c r="F315" s="2103"/>
    </row>
    <row r="316" spans="1:6" ht="15.75" x14ac:dyDescent="0.25">
      <c r="A316" s="2221" t="s">
        <v>428</v>
      </c>
      <c r="B316" s="2222">
        <f>IF(B268&gt;12,0.86,1)</f>
        <v>0.86</v>
      </c>
      <c r="C316" s="2138"/>
      <c r="D316" s="2152"/>
      <c r="E316" s="2152"/>
      <c r="F316" s="2103"/>
    </row>
    <row r="317" spans="1:6" ht="15" x14ac:dyDescent="0.25">
      <c r="A317" s="2125" t="s">
        <v>4666</v>
      </c>
      <c r="B317" s="2220"/>
      <c r="C317" s="2138"/>
      <c r="D317" s="2152"/>
      <c r="E317" s="2152"/>
      <c r="F317" s="2103"/>
    </row>
    <row r="318" spans="1:6" ht="15" x14ac:dyDescent="0.25">
      <c r="A318" s="2103"/>
      <c r="B318" s="2218"/>
      <c r="C318" s="2138"/>
      <c r="D318" s="2152"/>
      <c r="E318" s="2152"/>
      <c r="F318" s="2103"/>
    </row>
    <row r="319" spans="1:6" ht="15" x14ac:dyDescent="0.25">
      <c r="A319" s="2223" t="s">
        <v>2264</v>
      </c>
      <c r="B319" s="2202">
        <f>IF(AND(B285=1,B267&lt;1),10000,IF(AND(B285=1,B267&lt;2),12000,IF(AND(B285=1,B267&lt;2.51),14000,IF(AND(B285=2,B267&lt;1),15000,IF(AND(B285=2,B267&lt;2),17000,20000)))))</f>
        <v>20000</v>
      </c>
      <c r="C319" s="2138"/>
      <c r="D319" s="2152"/>
      <c r="E319" s="2152"/>
      <c r="F319" s="2103"/>
    </row>
    <row r="320" spans="1:6" ht="32.25" x14ac:dyDescent="0.25">
      <c r="A320" s="2223" t="s">
        <v>1873</v>
      </c>
      <c r="B320" s="2202">
        <v>14000</v>
      </c>
      <c r="C320" s="2138"/>
      <c r="D320" s="2152"/>
      <c r="E320" s="2152"/>
      <c r="F320" s="2103"/>
    </row>
    <row r="321" spans="1:6" ht="15" x14ac:dyDescent="0.25">
      <c r="A321" s="2223" t="s">
        <v>1874</v>
      </c>
      <c r="B321" s="2202">
        <f>IF(B319/B320&lt;1,1,B319/B320)</f>
        <v>1.4285714285714286</v>
      </c>
      <c r="C321" s="2138"/>
      <c r="D321" s="2152"/>
      <c r="E321" s="2152"/>
      <c r="F321" s="2103"/>
    </row>
    <row r="322" spans="1:6" ht="17.25" x14ac:dyDescent="0.25">
      <c r="A322" s="2224" t="s">
        <v>1875</v>
      </c>
      <c r="B322" s="2202" t="e">
        <f>B321*B267*1</f>
        <v>#VALUE!</v>
      </c>
      <c r="C322" s="2138"/>
      <c r="D322" s="2152"/>
      <c r="E322" s="2152"/>
      <c r="F322" s="2103"/>
    </row>
    <row r="323" spans="1:6" ht="17.25" x14ac:dyDescent="0.25">
      <c r="A323" s="2224" t="s">
        <v>1876</v>
      </c>
      <c r="B323" s="2202">
        <f>1.35*6</f>
        <v>8.1000000000000014</v>
      </c>
      <c r="C323" s="2138"/>
      <c r="D323" s="2152"/>
      <c r="E323" s="2152"/>
      <c r="F323" s="2103"/>
    </row>
    <row r="324" spans="1:6" ht="15" x14ac:dyDescent="0.25">
      <c r="A324" s="2225" t="s">
        <v>568</v>
      </c>
      <c r="B324" s="2226" t="e">
        <f>(B322/B323)</f>
        <v>#VALUE!</v>
      </c>
      <c r="C324" s="2138"/>
      <c r="D324" s="2152"/>
      <c r="E324" s="2152"/>
      <c r="F324" s="2103"/>
    </row>
    <row r="325" spans="1:6" ht="15" x14ac:dyDescent="0.25">
      <c r="A325" s="2227" t="s">
        <v>1877</v>
      </c>
      <c r="B325" s="2228"/>
      <c r="C325" s="2138"/>
      <c r="D325" s="2152"/>
      <c r="E325" s="2152"/>
      <c r="F325" s="2103"/>
    </row>
    <row r="326" spans="1:6" ht="17.25" x14ac:dyDescent="0.25">
      <c r="A326" s="2223" t="s">
        <v>3387</v>
      </c>
      <c r="B326" s="2202">
        <f>B45</f>
        <v>0.5</v>
      </c>
      <c r="C326" s="2229"/>
      <c r="D326" s="2152"/>
      <c r="E326" s="2152"/>
      <c r="F326" s="2103"/>
    </row>
    <row r="327" spans="1:6" ht="17.25" x14ac:dyDescent="0.25">
      <c r="A327" s="2224" t="s">
        <v>1876</v>
      </c>
      <c r="B327" s="2177" t="e">
        <f>(IF(B326&lt;0.26,3.5,3.78))*B297</f>
        <v>#VALUE!</v>
      </c>
      <c r="C327" s="2138"/>
      <c r="D327" s="2152"/>
      <c r="E327" s="2152"/>
      <c r="F327" s="2103"/>
    </row>
    <row r="328" spans="1:6" ht="15" x14ac:dyDescent="0.25">
      <c r="A328" s="2225" t="s">
        <v>568</v>
      </c>
      <c r="B328" s="2226" t="e">
        <f>B322/B327</f>
        <v>#VALUE!</v>
      </c>
      <c r="C328" s="2138"/>
      <c r="D328" s="2152"/>
      <c r="E328" s="2152"/>
      <c r="F328" s="2103"/>
    </row>
    <row r="329" spans="1:6" ht="15" x14ac:dyDescent="0.25">
      <c r="A329" s="2230" t="s">
        <v>3388</v>
      </c>
      <c r="B329" s="2226" t="e">
        <f>(B328*B316+B324)*B297</f>
        <v>#VALUE!</v>
      </c>
      <c r="C329" s="2138"/>
      <c r="D329" s="2152"/>
      <c r="E329" s="2152"/>
      <c r="F329" s="2103"/>
    </row>
    <row r="330" spans="1:6" ht="15" x14ac:dyDescent="0.25">
      <c r="A330" s="2231" t="s">
        <v>3439</v>
      </c>
      <c r="B330" s="2116">
        <f>0.666*B321</f>
        <v>0.95142857142857151</v>
      </c>
      <c r="C330" s="2138"/>
      <c r="D330" s="2152"/>
      <c r="E330" s="2152"/>
      <c r="F330" s="2103"/>
    </row>
    <row r="331" spans="1:6" ht="15" x14ac:dyDescent="0.25">
      <c r="A331" s="2223" t="s">
        <v>24</v>
      </c>
      <c r="B331" s="2202" t="e">
        <f>B322/0.045</f>
        <v>#VALUE!</v>
      </c>
      <c r="C331" s="2138"/>
      <c r="D331" s="2152"/>
      <c r="E331" s="2152"/>
      <c r="F331" s="2103"/>
    </row>
    <row r="332" spans="1:6" ht="15" x14ac:dyDescent="0.25">
      <c r="A332" s="2223" t="s">
        <v>25</v>
      </c>
      <c r="B332" s="2202" t="e">
        <f>B331*0.025</f>
        <v>#VALUE!</v>
      </c>
      <c r="C332" s="2138"/>
      <c r="D332" s="2152"/>
      <c r="E332" s="2152"/>
      <c r="F332" s="2103"/>
    </row>
    <row r="333" spans="1:6" ht="15" x14ac:dyDescent="0.25">
      <c r="A333" s="2103"/>
      <c r="B333" s="2218"/>
      <c r="C333" s="2138"/>
      <c r="D333" s="2152"/>
      <c r="E333" s="2152"/>
      <c r="F333" s="2103"/>
    </row>
    <row r="334" spans="1:6" ht="15" x14ac:dyDescent="0.25">
      <c r="A334" s="116" t="s">
        <v>3819</v>
      </c>
      <c r="B334" s="454"/>
      <c r="C334" s="11"/>
      <c r="D334" s="11"/>
      <c r="E334" s="11"/>
      <c r="F334" s="11"/>
    </row>
    <row r="335" spans="1:6" ht="15" x14ac:dyDescent="0.25">
      <c r="A335" s="11"/>
      <c r="B335" s="2232" t="s">
        <v>1850</v>
      </c>
      <c r="C335" s="11"/>
      <c r="D335" s="11"/>
      <c r="E335" s="2103"/>
      <c r="F335" s="2103"/>
    </row>
    <row r="336" spans="1:6" x14ac:dyDescent="0.2">
      <c r="A336" s="2154" t="s">
        <v>1851</v>
      </c>
      <c r="B336" s="454"/>
      <c r="C336" s="11"/>
      <c r="D336" s="11"/>
      <c r="E336" s="2103"/>
      <c r="F336" s="2103"/>
    </row>
    <row r="337" spans="1:6" ht="15" x14ac:dyDescent="0.25">
      <c r="A337" s="17" t="s">
        <v>1852</v>
      </c>
      <c r="B337" s="2202" t="e">
        <f>B313</f>
        <v>#VALUE!</v>
      </c>
      <c r="C337" s="454"/>
      <c r="D337" s="11"/>
      <c r="E337" s="2103"/>
      <c r="F337" s="2103"/>
    </row>
    <row r="338" spans="1:6" ht="15" x14ac:dyDescent="0.25">
      <c r="A338" s="17" t="s">
        <v>1853</v>
      </c>
      <c r="B338" s="2202" t="str">
        <f>B267</f>
        <v/>
      </c>
      <c r="C338" s="454"/>
      <c r="D338" s="11"/>
      <c r="E338" s="2103"/>
      <c r="F338" s="2103"/>
    </row>
    <row r="339" spans="1:6" x14ac:dyDescent="0.2">
      <c r="A339" s="24" t="s">
        <v>1854</v>
      </c>
      <c r="B339" s="2233">
        <f>IF(B338&lt;2.21,12.9*B338+1.7,28.4)</f>
        <v>28.4</v>
      </c>
      <c r="C339" s="454"/>
      <c r="D339" s="11"/>
      <c r="E339" s="2103"/>
      <c r="F339" s="2103"/>
    </row>
    <row r="340" spans="1:6" x14ac:dyDescent="0.2">
      <c r="A340" s="24" t="s">
        <v>1855</v>
      </c>
      <c r="B340" s="2233" t="e">
        <f>B337/B339</f>
        <v>#VALUE!</v>
      </c>
      <c r="C340" s="454"/>
      <c r="D340" s="11"/>
      <c r="E340" s="2103"/>
      <c r="F340" s="2103"/>
    </row>
    <row r="341" spans="1:6" x14ac:dyDescent="0.2">
      <c r="A341" s="2156" t="s">
        <v>3724</v>
      </c>
      <c r="B341" s="454"/>
      <c r="C341" s="454"/>
      <c r="D341" s="11"/>
      <c r="E341" s="2103"/>
      <c r="F341" s="2103"/>
    </row>
    <row r="342" spans="1:6" x14ac:dyDescent="0.2">
      <c r="A342" s="69" t="s">
        <v>3725</v>
      </c>
      <c r="B342" s="2234">
        <f>B134</f>
        <v>56</v>
      </c>
      <c r="C342" s="11"/>
      <c r="D342" s="11"/>
      <c r="E342" s="2103"/>
      <c r="F342" s="2103"/>
    </row>
    <row r="343" spans="1:6" x14ac:dyDescent="0.2">
      <c r="A343" s="24" t="s">
        <v>1852</v>
      </c>
      <c r="B343" s="2233" t="e">
        <f>B337</f>
        <v>#VALUE!</v>
      </c>
      <c r="C343" s="11"/>
      <c r="D343" s="11"/>
      <c r="E343" s="2103"/>
      <c r="F343" s="2103"/>
    </row>
    <row r="344" spans="1:6" x14ac:dyDescent="0.2">
      <c r="A344" s="2158" t="s">
        <v>3726</v>
      </c>
      <c r="B344" s="2233" t="e">
        <f>79.5*B338^-1.5</f>
        <v>#VALUE!</v>
      </c>
      <c r="C344" s="11"/>
      <c r="D344" s="11"/>
      <c r="E344" s="2103"/>
      <c r="F344" s="2103"/>
    </row>
    <row r="345" spans="1:6" x14ac:dyDescent="0.2">
      <c r="A345" s="24" t="s">
        <v>3727</v>
      </c>
      <c r="B345" s="2233" t="e">
        <f>((3.14*((1.2*(B338*100)^0.5)/100)^2)/4)*B338</f>
        <v>#VALUE!</v>
      </c>
      <c r="C345" s="11"/>
      <c r="D345" s="11"/>
      <c r="E345" s="2103"/>
      <c r="F345" s="2103"/>
    </row>
    <row r="346" spans="1:6" x14ac:dyDescent="0.2">
      <c r="A346" s="24" t="s">
        <v>700</v>
      </c>
      <c r="B346" s="2233" t="e">
        <f>B337/B345</f>
        <v>#VALUE!</v>
      </c>
      <c r="C346" s="11"/>
      <c r="D346" s="11"/>
      <c r="E346" s="2103"/>
      <c r="F346" s="2103"/>
    </row>
    <row r="347" spans="1:6" x14ac:dyDescent="0.2">
      <c r="A347" s="24" t="s">
        <v>701</v>
      </c>
      <c r="B347" s="2233" t="e">
        <f>B346/B344</f>
        <v>#VALUE!</v>
      </c>
      <c r="C347" s="11"/>
      <c r="D347" s="11"/>
      <c r="E347" s="2103"/>
      <c r="F347" s="2103"/>
    </row>
    <row r="348" spans="1:6" x14ac:dyDescent="0.2">
      <c r="A348" s="24" t="s">
        <v>4429</v>
      </c>
      <c r="B348" s="2233">
        <f>2.2*(IF(B342&lt;51,32,IF(B342&lt;71,25,21)))</f>
        <v>55.000000000000007</v>
      </c>
      <c r="C348" s="11"/>
      <c r="D348" s="11"/>
      <c r="E348" s="2103"/>
      <c r="F348" s="2103"/>
    </row>
    <row r="349" spans="1:6" x14ac:dyDescent="0.2">
      <c r="A349" s="24" t="s">
        <v>1855</v>
      </c>
      <c r="B349" s="2233" t="e">
        <f>B343/B348</f>
        <v>#VALUE!</v>
      </c>
      <c r="C349" s="11"/>
      <c r="D349" s="11"/>
      <c r="E349" s="2103"/>
      <c r="F349" s="2103"/>
    </row>
    <row r="350" spans="1:6" x14ac:dyDescent="0.2">
      <c r="A350" s="2135" t="s">
        <v>4592</v>
      </c>
      <c r="B350" s="11"/>
      <c r="C350" s="11"/>
      <c r="D350" s="11"/>
      <c r="E350" s="11"/>
      <c r="F350" s="11"/>
    </row>
    <row r="351" spans="1:6" x14ac:dyDescent="0.2">
      <c r="A351" s="17" t="s">
        <v>4593</v>
      </c>
      <c r="B351" s="71">
        <v>0</v>
      </c>
      <c r="C351" s="11"/>
      <c r="D351" s="11"/>
      <c r="E351" s="11"/>
      <c r="F351" s="11"/>
    </row>
    <row r="352" spans="1:6" x14ac:dyDescent="0.2">
      <c r="A352" s="24" t="s">
        <v>1854</v>
      </c>
      <c r="B352" s="24">
        <v>0</v>
      </c>
      <c r="C352" s="11"/>
      <c r="D352" s="11"/>
      <c r="E352" s="11"/>
      <c r="F352" s="11"/>
    </row>
    <row r="353" spans="1:6" x14ac:dyDescent="0.2">
      <c r="A353" s="806" t="s">
        <v>1855</v>
      </c>
      <c r="B353" s="24">
        <v>0</v>
      </c>
      <c r="C353" s="36"/>
      <c r="D353" s="11"/>
      <c r="E353" s="11"/>
      <c r="F353" s="11"/>
    </row>
    <row r="354" spans="1:6" x14ac:dyDescent="0.2">
      <c r="A354" s="2235" t="s">
        <v>3728</v>
      </c>
      <c r="B354" s="30"/>
      <c r="C354" s="36"/>
      <c r="D354" s="11"/>
      <c r="E354" s="11"/>
      <c r="F354" s="11"/>
    </row>
    <row r="355" spans="1:6" x14ac:dyDescent="0.2">
      <c r="A355" s="24" t="s">
        <v>4432</v>
      </c>
      <c r="B355" s="24">
        <f>B351*2.2/3</f>
        <v>0</v>
      </c>
      <c r="C355" s="36"/>
      <c r="D355" s="11"/>
      <c r="E355" s="11"/>
      <c r="F355" s="11"/>
    </row>
    <row r="356" spans="1:6" x14ac:dyDescent="0.2">
      <c r="A356" s="24" t="s">
        <v>4433</v>
      </c>
      <c r="B356" s="24">
        <v>0</v>
      </c>
      <c r="C356" s="36"/>
      <c r="D356" s="11"/>
      <c r="E356" s="11"/>
      <c r="F356" s="11"/>
    </row>
    <row r="357" spans="1:6" x14ac:dyDescent="0.2">
      <c r="A357" s="24" t="s">
        <v>1855</v>
      </c>
      <c r="B357" s="24">
        <v>0</v>
      </c>
      <c r="C357" s="36"/>
      <c r="D357" s="11"/>
      <c r="E357" s="11"/>
      <c r="F357" s="11"/>
    </row>
    <row r="358" spans="1:6" ht="15" x14ac:dyDescent="0.25">
      <c r="A358" s="2159" t="s">
        <v>1782</v>
      </c>
      <c r="B358" s="2236" t="e">
        <f>B349+B340+B357+B353</f>
        <v>#VALUE!</v>
      </c>
      <c r="C358" s="11"/>
      <c r="D358" s="11"/>
      <c r="E358" s="11"/>
      <c r="F358" s="11"/>
    </row>
    <row r="359" spans="1:6" ht="15" x14ac:dyDescent="0.25">
      <c r="A359" s="2153" t="s">
        <v>4774</v>
      </c>
      <c r="B359" s="454"/>
      <c r="C359" s="11"/>
      <c r="D359" s="11"/>
      <c r="E359" s="11"/>
      <c r="F359" s="11"/>
    </row>
    <row r="360" spans="1:6" ht="15" x14ac:dyDescent="0.25">
      <c r="A360" s="2160" t="s">
        <v>4778</v>
      </c>
      <c r="B360" s="454"/>
      <c r="C360" s="11"/>
      <c r="D360" s="11"/>
      <c r="E360" s="11"/>
      <c r="F360" s="11"/>
    </row>
    <row r="361" spans="1:6" x14ac:dyDescent="0.2">
      <c r="A361" s="17" t="s">
        <v>4779</v>
      </c>
      <c r="B361" s="2234">
        <f>B145</f>
        <v>2000</v>
      </c>
      <c r="C361" s="11"/>
      <c r="D361" s="11"/>
      <c r="E361" s="11"/>
      <c r="F361" s="11"/>
    </row>
    <row r="362" spans="1:6" x14ac:dyDescent="0.2">
      <c r="A362" s="2135" t="s">
        <v>4780</v>
      </c>
      <c r="B362" s="454"/>
      <c r="C362" s="11"/>
      <c r="D362" s="11"/>
      <c r="E362" s="11"/>
      <c r="F362" s="11"/>
    </row>
    <row r="363" spans="1:6" x14ac:dyDescent="0.2">
      <c r="A363" s="24" t="s">
        <v>4781</v>
      </c>
      <c r="B363" s="2233" t="e">
        <f>B337</f>
        <v>#VALUE!</v>
      </c>
      <c r="C363" s="11"/>
      <c r="D363" s="11"/>
      <c r="E363" s="11"/>
      <c r="F363" s="11"/>
    </row>
    <row r="364" spans="1:6" x14ac:dyDescent="0.2">
      <c r="A364" s="24" t="s">
        <v>5147</v>
      </c>
      <c r="B364" s="2233">
        <f>16111*B361^-0.653</f>
        <v>112.60298683393111</v>
      </c>
      <c r="C364" s="11"/>
      <c r="D364" s="11"/>
      <c r="E364" s="11"/>
      <c r="F364" s="11"/>
    </row>
    <row r="365" spans="1:6" x14ac:dyDescent="0.2">
      <c r="A365" s="24" t="s">
        <v>3088</v>
      </c>
      <c r="B365" s="2233" t="e">
        <f>B363/B364</f>
        <v>#VALUE!</v>
      </c>
      <c r="C365" s="11"/>
      <c r="D365" s="11"/>
      <c r="E365" s="11"/>
      <c r="F365" s="11"/>
    </row>
    <row r="366" spans="1:6" x14ac:dyDescent="0.2">
      <c r="A366" s="2135" t="s">
        <v>3089</v>
      </c>
      <c r="B366" s="11"/>
      <c r="C366" s="11"/>
      <c r="D366" s="11"/>
      <c r="E366" s="11"/>
      <c r="F366" s="11"/>
    </row>
    <row r="367" spans="1:6" x14ac:dyDescent="0.2">
      <c r="A367" s="24" t="s">
        <v>4781</v>
      </c>
      <c r="B367" s="24">
        <v>0</v>
      </c>
      <c r="C367" s="11"/>
      <c r="D367" s="11"/>
      <c r="E367" s="11"/>
      <c r="F367" s="11"/>
    </row>
    <row r="368" spans="1:6" x14ac:dyDescent="0.2">
      <c r="A368" s="24" t="s">
        <v>3091</v>
      </c>
      <c r="B368" s="24">
        <v>0</v>
      </c>
      <c r="C368" s="11"/>
      <c r="D368" s="11"/>
      <c r="E368" s="11"/>
      <c r="F368" s="11"/>
    </row>
    <row r="369" spans="1:6" x14ac:dyDescent="0.2">
      <c r="A369" s="24" t="s">
        <v>3088</v>
      </c>
      <c r="B369" s="24">
        <v>0</v>
      </c>
      <c r="C369" s="11"/>
      <c r="D369" s="11"/>
      <c r="E369" s="11"/>
      <c r="F369" s="11"/>
    </row>
    <row r="370" spans="1:6" ht="15" x14ac:dyDescent="0.25">
      <c r="A370" s="2160" t="s">
        <v>3093</v>
      </c>
      <c r="B370" s="454"/>
      <c r="C370" s="11"/>
      <c r="D370" s="2103"/>
      <c r="E370" s="2103"/>
      <c r="F370" s="2103"/>
    </row>
    <row r="371" spans="1:6" x14ac:dyDescent="0.2">
      <c r="A371" s="2235" t="s">
        <v>3743</v>
      </c>
      <c r="B371" s="454"/>
      <c r="C371" s="11"/>
      <c r="D371" s="2103"/>
      <c r="E371" s="2103"/>
      <c r="F371" s="2103"/>
    </row>
    <row r="372" spans="1:6" x14ac:dyDescent="0.2">
      <c r="A372" s="24" t="s">
        <v>3094</v>
      </c>
      <c r="B372" s="2233" t="e">
        <f>B363</f>
        <v>#VALUE!</v>
      </c>
      <c r="C372" s="11"/>
      <c r="D372" s="2103"/>
      <c r="E372" s="2103"/>
      <c r="F372" s="2103"/>
    </row>
    <row r="373" spans="1:6" x14ac:dyDescent="0.2">
      <c r="A373" s="24" t="s">
        <v>3091</v>
      </c>
      <c r="B373" s="2233">
        <v>8.6999999999999993</v>
      </c>
      <c r="C373" s="29"/>
      <c r="D373" s="2103"/>
      <c r="E373" s="2103"/>
      <c r="F373" s="2103"/>
    </row>
    <row r="374" spans="1:6" x14ac:dyDescent="0.2">
      <c r="A374" s="24" t="s">
        <v>3088</v>
      </c>
      <c r="B374" s="2233" t="e">
        <f>B372*0.9/B373</f>
        <v>#VALUE!</v>
      </c>
      <c r="C374" s="11"/>
      <c r="D374" s="2103"/>
      <c r="E374" s="2103"/>
      <c r="F374" s="2103"/>
    </row>
    <row r="375" spans="1:6" x14ac:dyDescent="0.2">
      <c r="A375" s="2135" t="s">
        <v>3095</v>
      </c>
      <c r="B375" s="11"/>
      <c r="C375" s="11"/>
      <c r="D375" s="2103"/>
      <c r="E375" s="2103"/>
      <c r="F375" s="2103"/>
    </row>
    <row r="376" spans="1:6" x14ac:dyDescent="0.2">
      <c r="A376" s="24" t="s">
        <v>3094</v>
      </c>
      <c r="B376" s="24">
        <v>0</v>
      </c>
      <c r="C376" s="11"/>
      <c r="D376" s="2103"/>
      <c r="E376" s="2103"/>
      <c r="F376" s="2103"/>
    </row>
    <row r="377" spans="1:6" x14ac:dyDescent="0.2">
      <c r="A377" s="24" t="s">
        <v>5147</v>
      </c>
      <c r="B377" s="24">
        <v>0</v>
      </c>
      <c r="C377" s="11"/>
      <c r="D377" s="2103"/>
      <c r="E377" s="2103"/>
      <c r="F377" s="2103"/>
    </row>
    <row r="378" spans="1:6" x14ac:dyDescent="0.2">
      <c r="A378" s="24" t="s">
        <v>3088</v>
      </c>
      <c r="B378" s="24">
        <v>0</v>
      </c>
      <c r="C378" s="29"/>
      <c r="D378" s="2103"/>
      <c r="E378" s="2103"/>
      <c r="F378" s="2103"/>
    </row>
    <row r="379" spans="1:6" x14ac:dyDescent="0.2">
      <c r="A379" s="2103"/>
      <c r="B379" s="2218"/>
      <c r="C379" s="11"/>
      <c r="D379" s="2103"/>
      <c r="E379" s="2103"/>
      <c r="F379" s="2103"/>
    </row>
    <row r="380" spans="1:6" ht="15" x14ac:dyDescent="0.25">
      <c r="A380" s="2162" t="s">
        <v>3102</v>
      </c>
      <c r="B380" s="2236" t="e">
        <f>B374+B365+B378+B369</f>
        <v>#VALUE!</v>
      </c>
      <c r="C380" s="14"/>
      <c r="D380" s="2103"/>
      <c r="E380" s="2103"/>
      <c r="F380" s="2103"/>
    </row>
    <row r="381" spans="1:6" x14ac:dyDescent="0.2">
      <c r="A381" s="806" t="s">
        <v>3820</v>
      </c>
      <c r="B381" s="2236" t="e">
        <f>B380+B358</f>
        <v>#VALUE!</v>
      </c>
      <c r="C381" s="14"/>
      <c r="D381" s="2103"/>
      <c r="E381" s="2103"/>
      <c r="F381" s="2103"/>
    </row>
    <row r="382" spans="1:6" x14ac:dyDescent="0.2">
      <c r="A382" s="2237"/>
      <c r="B382" s="2238" t="s">
        <v>1850</v>
      </c>
      <c r="C382" s="14"/>
      <c r="D382" s="2103"/>
      <c r="E382" s="2103"/>
      <c r="F382" s="2103"/>
    </row>
    <row r="383" spans="1:6" x14ac:dyDescent="0.2">
      <c r="A383" s="2154" t="s">
        <v>1851</v>
      </c>
      <c r="B383" s="27"/>
      <c r="C383" s="11"/>
      <c r="D383" s="2103"/>
      <c r="E383" s="2103"/>
      <c r="F383" s="2103"/>
    </row>
    <row r="384" spans="1:6" x14ac:dyDescent="0.2">
      <c r="A384" s="27" t="s">
        <v>1852</v>
      </c>
      <c r="B384" s="23" t="e">
        <f>B313</f>
        <v>#VALUE!</v>
      </c>
      <c r="C384" s="11"/>
      <c r="D384" s="2103"/>
      <c r="E384" s="2103"/>
      <c r="F384" s="2103"/>
    </row>
    <row r="385" spans="1:6" x14ac:dyDescent="0.2">
      <c r="A385" s="27" t="s">
        <v>1853</v>
      </c>
      <c r="B385" s="23" t="str">
        <f>B267</f>
        <v/>
      </c>
      <c r="C385" s="11"/>
      <c r="D385" s="2103"/>
      <c r="E385" s="2103"/>
      <c r="F385" s="2103"/>
    </row>
    <row r="386" spans="1:6" x14ac:dyDescent="0.2">
      <c r="A386" s="30" t="s">
        <v>1854</v>
      </c>
      <c r="B386" s="30">
        <f>IF(B385&lt;2.21,12.9*B385+1.7,28.4)</f>
        <v>28.4</v>
      </c>
      <c r="C386" s="14"/>
      <c r="D386" s="11"/>
      <c r="E386" s="11"/>
      <c r="F386" s="11"/>
    </row>
    <row r="387" spans="1:6" x14ac:dyDescent="0.2">
      <c r="A387" s="30" t="s">
        <v>1855</v>
      </c>
      <c r="B387" s="30" t="e">
        <f>B384/B386</f>
        <v>#VALUE!</v>
      </c>
      <c r="C387" s="2103"/>
      <c r="D387" s="2103"/>
      <c r="E387" s="2103"/>
      <c r="F387" s="2103"/>
    </row>
    <row r="388" spans="1:6" ht="15" x14ac:dyDescent="0.25">
      <c r="A388" s="27" t="s">
        <v>1856</v>
      </c>
      <c r="B388" s="2185">
        <v>0</v>
      </c>
      <c r="C388" s="2152"/>
      <c r="D388" s="2152"/>
      <c r="E388" s="2152"/>
      <c r="F388" s="2103"/>
    </row>
    <row r="389" spans="1:6" x14ac:dyDescent="0.2">
      <c r="A389" s="27" t="s">
        <v>1857</v>
      </c>
      <c r="B389" s="2185">
        <v>0</v>
      </c>
      <c r="C389" s="2103"/>
      <c r="D389" s="2103"/>
      <c r="E389" s="2103"/>
      <c r="F389" s="2103"/>
    </row>
    <row r="390" spans="1:6" x14ac:dyDescent="0.2">
      <c r="A390" s="27" t="s">
        <v>1858</v>
      </c>
      <c r="B390" s="2185">
        <v>0</v>
      </c>
      <c r="C390" s="2103"/>
      <c r="D390" s="2103"/>
      <c r="E390" s="2103"/>
      <c r="F390" s="2103"/>
    </row>
    <row r="391" spans="1:6" x14ac:dyDescent="0.2">
      <c r="A391" s="30" t="s">
        <v>4591</v>
      </c>
      <c r="B391" s="30">
        <f>SUM(B388:B390)</f>
        <v>0</v>
      </c>
      <c r="C391" s="2103"/>
      <c r="D391" s="2103"/>
      <c r="E391" s="2103"/>
      <c r="F391" s="2103"/>
    </row>
    <row r="392" spans="1:6" x14ac:dyDescent="0.2">
      <c r="A392" s="30" t="s">
        <v>1854</v>
      </c>
      <c r="B392" s="30">
        <v>24.2</v>
      </c>
      <c r="C392" s="2103"/>
      <c r="D392" s="2103"/>
      <c r="E392" s="2103"/>
      <c r="F392" s="2103"/>
    </row>
    <row r="393" spans="1:6" x14ac:dyDescent="0.2">
      <c r="A393" s="30" t="s">
        <v>1855</v>
      </c>
      <c r="B393" s="30">
        <f>B391/B392</f>
        <v>0</v>
      </c>
      <c r="C393" s="2103"/>
      <c r="D393" s="2103"/>
      <c r="E393" s="2103"/>
      <c r="F393" s="2103"/>
    </row>
    <row r="394" spans="1:6" x14ac:dyDescent="0.2">
      <c r="A394" s="2135" t="s">
        <v>4592</v>
      </c>
      <c r="B394" s="27"/>
      <c r="C394" s="2103"/>
      <c r="D394" s="2103"/>
      <c r="E394" s="2103"/>
      <c r="F394" s="2103"/>
    </row>
    <row r="395" spans="1:6" x14ac:dyDescent="0.2">
      <c r="A395" s="27" t="s">
        <v>4593</v>
      </c>
      <c r="B395" s="2185">
        <v>0</v>
      </c>
      <c r="C395" s="2103"/>
      <c r="D395" s="2103"/>
      <c r="E395" s="2103"/>
      <c r="F395" s="2103"/>
    </row>
    <row r="396" spans="1:6" x14ac:dyDescent="0.2">
      <c r="A396" s="30" t="s">
        <v>1854</v>
      </c>
      <c r="B396" s="30">
        <f>17*1.15</f>
        <v>19.549999999999997</v>
      </c>
      <c r="C396" s="2103"/>
      <c r="D396" s="2103"/>
      <c r="E396" s="2103"/>
      <c r="F396" s="2103"/>
    </row>
    <row r="397" spans="1:6" x14ac:dyDescent="0.2">
      <c r="A397" s="20" t="s">
        <v>1855</v>
      </c>
      <c r="B397" s="30">
        <f>B395/B396</f>
        <v>0</v>
      </c>
      <c r="C397" s="2103"/>
      <c r="D397" s="2103"/>
      <c r="E397" s="2103"/>
      <c r="F397" s="2103"/>
    </row>
    <row r="398" spans="1:6" x14ac:dyDescent="0.2">
      <c r="A398" s="2156" t="s">
        <v>3724</v>
      </c>
      <c r="B398" s="27"/>
      <c r="C398" s="2103"/>
      <c r="D398" s="2103"/>
      <c r="E398" s="2103"/>
      <c r="F398" s="2103"/>
    </row>
    <row r="399" spans="1:6" x14ac:dyDescent="0.2">
      <c r="A399" s="27" t="s">
        <v>3725</v>
      </c>
      <c r="B399" s="23">
        <f>B195</f>
        <v>56</v>
      </c>
      <c r="C399" s="2103"/>
      <c r="D399" s="2103"/>
      <c r="E399" s="2103"/>
      <c r="F399" s="2103"/>
    </row>
    <row r="400" spans="1:6" x14ac:dyDescent="0.2">
      <c r="A400" s="30" t="s">
        <v>1852</v>
      </c>
      <c r="B400" s="30" t="e">
        <f>B384</f>
        <v>#VALUE!</v>
      </c>
      <c r="C400" s="2103"/>
      <c r="D400" s="2103"/>
      <c r="E400" s="2103"/>
      <c r="F400" s="2103"/>
    </row>
    <row r="401" spans="1:6" x14ac:dyDescent="0.2">
      <c r="A401" s="30" t="s">
        <v>3726</v>
      </c>
      <c r="B401" s="30" t="e">
        <f>79.5*B385^-1.5</f>
        <v>#VALUE!</v>
      </c>
      <c r="C401" s="2103"/>
      <c r="D401" s="2103"/>
      <c r="E401" s="2103"/>
      <c r="F401" s="2103"/>
    </row>
    <row r="402" spans="1:6" x14ac:dyDescent="0.2">
      <c r="A402" s="30" t="s">
        <v>3727</v>
      </c>
      <c r="B402" s="30" t="e">
        <f>((3.14*((1.2*(B385*100)^0.5)/100)^2)/4)*B385</f>
        <v>#VALUE!</v>
      </c>
      <c r="C402" s="2103"/>
      <c r="D402" s="2103"/>
      <c r="E402" s="2103"/>
      <c r="F402" s="2103"/>
    </row>
    <row r="403" spans="1:6" x14ac:dyDescent="0.2">
      <c r="A403" s="30" t="s">
        <v>700</v>
      </c>
      <c r="B403" s="30" t="e">
        <f>B384/B402</f>
        <v>#VALUE!</v>
      </c>
      <c r="C403" s="2103"/>
      <c r="D403" s="2103"/>
      <c r="E403" s="2103"/>
      <c r="F403" s="2103"/>
    </row>
    <row r="404" spans="1:6" x14ac:dyDescent="0.2">
      <c r="A404" s="30" t="s">
        <v>701</v>
      </c>
      <c r="B404" s="30" t="e">
        <f>B403/B401</f>
        <v>#VALUE!</v>
      </c>
      <c r="C404" s="2103"/>
      <c r="D404" s="2103"/>
      <c r="E404" s="2103"/>
      <c r="F404" s="2103"/>
    </row>
    <row r="405" spans="1:6" x14ac:dyDescent="0.2">
      <c r="A405" s="30" t="s">
        <v>4429</v>
      </c>
      <c r="B405" s="30">
        <f>2.2*(IF(B399&lt;51,32,IF(B399&lt;71,25,21)))</f>
        <v>55.000000000000007</v>
      </c>
      <c r="C405" s="2103"/>
      <c r="D405" s="2103"/>
      <c r="E405" s="2103"/>
      <c r="F405" s="2103"/>
    </row>
    <row r="406" spans="1:6" x14ac:dyDescent="0.2">
      <c r="A406" s="30" t="s">
        <v>1855</v>
      </c>
      <c r="B406" s="30" t="e">
        <f>B400/B405</f>
        <v>#VALUE!</v>
      </c>
      <c r="C406" s="2103"/>
      <c r="D406" s="2103"/>
      <c r="E406" s="2103"/>
      <c r="F406" s="2103"/>
    </row>
    <row r="407" spans="1:6" x14ac:dyDescent="0.2">
      <c r="A407" s="27" t="s">
        <v>4430</v>
      </c>
      <c r="B407" s="30">
        <f>B391</f>
        <v>0</v>
      </c>
      <c r="C407" s="2103"/>
      <c r="D407" s="2103"/>
      <c r="E407" s="2103"/>
      <c r="F407" s="2103"/>
    </row>
    <row r="408" spans="1:6" x14ac:dyDescent="0.2">
      <c r="A408" s="30" t="s">
        <v>4431</v>
      </c>
      <c r="B408" s="2239">
        <v>0.8</v>
      </c>
      <c r="C408" s="2103"/>
      <c r="D408" s="2103"/>
      <c r="E408" s="2103"/>
      <c r="F408" s="2103"/>
    </row>
    <row r="409" spans="1:6" x14ac:dyDescent="0.2">
      <c r="A409" s="30" t="s">
        <v>4432</v>
      </c>
      <c r="B409" s="30">
        <f>B407/(3*B408)</f>
        <v>0</v>
      </c>
      <c r="C409" s="2103"/>
      <c r="D409" s="2103"/>
      <c r="E409" s="2103"/>
      <c r="F409" s="2103"/>
    </row>
    <row r="410" spans="1:6" x14ac:dyDescent="0.2">
      <c r="A410" s="30" t="s">
        <v>4433</v>
      </c>
      <c r="B410" s="30">
        <f>2.2*(IF(B399&lt;51,32,IF(B399&lt;71,25,21)))</f>
        <v>55.000000000000007</v>
      </c>
      <c r="C410" s="2103"/>
      <c r="D410" s="2103"/>
      <c r="E410" s="2103"/>
      <c r="F410" s="2103"/>
    </row>
    <row r="411" spans="1:6" x14ac:dyDescent="0.2">
      <c r="A411" s="30" t="s">
        <v>1855</v>
      </c>
      <c r="B411" s="30">
        <f>B409/B410</f>
        <v>0</v>
      </c>
      <c r="C411" s="2103"/>
      <c r="D411" s="2103"/>
      <c r="E411" s="2103"/>
      <c r="F411" s="2103"/>
    </row>
    <row r="412" spans="1:6" x14ac:dyDescent="0.2">
      <c r="A412" s="2240" t="s">
        <v>3728</v>
      </c>
      <c r="B412" s="30"/>
      <c r="C412" s="2103"/>
      <c r="D412" s="2103"/>
      <c r="E412" s="2103"/>
      <c r="F412" s="2103"/>
    </row>
    <row r="413" spans="1:6" x14ac:dyDescent="0.2">
      <c r="A413" s="30" t="s">
        <v>4432</v>
      </c>
      <c r="B413" s="30">
        <f>B395*2.2/3</f>
        <v>0</v>
      </c>
      <c r="C413" s="2103"/>
      <c r="D413" s="2103"/>
      <c r="E413" s="2103"/>
      <c r="F413" s="2103"/>
    </row>
    <row r="414" spans="1:6" x14ac:dyDescent="0.2">
      <c r="A414" s="30" t="s">
        <v>4433</v>
      </c>
      <c r="B414" s="30">
        <f>2.2*(IF(B399&lt;51,32,IF(B399&lt;71,25,21)))</f>
        <v>55.000000000000007</v>
      </c>
      <c r="C414" s="2103"/>
      <c r="D414" s="2103"/>
      <c r="E414" s="2103"/>
      <c r="F414" s="2103"/>
    </row>
    <row r="415" spans="1:6" x14ac:dyDescent="0.2">
      <c r="A415" s="30" t="s">
        <v>1855</v>
      </c>
      <c r="B415" s="30">
        <f>B413/B414</f>
        <v>0</v>
      </c>
      <c r="C415" s="2103"/>
      <c r="D415" s="2103"/>
      <c r="E415" s="2103"/>
      <c r="F415" s="2103"/>
    </row>
    <row r="416" spans="1:6" x14ac:dyDescent="0.2">
      <c r="A416" s="2135" t="s">
        <v>3729</v>
      </c>
      <c r="B416" s="27"/>
      <c r="C416" s="2103"/>
      <c r="D416" s="2103"/>
      <c r="E416" s="2103"/>
      <c r="F416" s="2103"/>
    </row>
    <row r="417" spans="1:6" x14ac:dyDescent="0.2">
      <c r="A417" s="27" t="s">
        <v>3730</v>
      </c>
      <c r="B417" s="2185">
        <v>0</v>
      </c>
      <c r="C417" s="2103"/>
      <c r="D417" s="2103"/>
      <c r="E417" s="2103"/>
      <c r="F417" s="2103"/>
    </row>
    <row r="418" spans="1:6" x14ac:dyDescent="0.2">
      <c r="A418" s="27" t="s">
        <v>26</v>
      </c>
      <c r="B418" s="23" t="e">
        <f>B332</f>
        <v>#VALUE!</v>
      </c>
      <c r="C418" s="2103"/>
      <c r="D418" s="2103"/>
      <c r="E418" s="2103"/>
      <c r="F418" s="2103"/>
    </row>
    <row r="419" spans="1:6" x14ac:dyDescent="0.2">
      <c r="A419" s="27" t="s">
        <v>3732</v>
      </c>
      <c r="B419" s="2185">
        <v>0</v>
      </c>
      <c r="C419" s="2103"/>
      <c r="D419" s="2103"/>
      <c r="E419" s="2103"/>
      <c r="F419" s="2103"/>
    </row>
    <row r="420" spans="1:6" x14ac:dyDescent="0.2">
      <c r="A420" s="27" t="s">
        <v>2734</v>
      </c>
      <c r="B420" s="2185">
        <v>0</v>
      </c>
      <c r="C420" s="2103"/>
      <c r="D420" s="2103"/>
      <c r="E420" s="2103"/>
      <c r="F420" s="2103"/>
    </row>
    <row r="421" spans="1:6" x14ac:dyDescent="0.2">
      <c r="A421" s="27" t="s">
        <v>1831</v>
      </c>
      <c r="B421" s="2185">
        <v>0</v>
      </c>
      <c r="C421" s="2103"/>
      <c r="D421" s="2103"/>
      <c r="E421" s="2103"/>
      <c r="F421" s="2103"/>
    </row>
    <row r="422" spans="1:6" x14ac:dyDescent="0.2">
      <c r="A422" s="27" t="s">
        <v>1832</v>
      </c>
      <c r="B422" s="2185">
        <v>0</v>
      </c>
      <c r="C422" s="2103"/>
      <c r="D422" s="2103"/>
      <c r="E422" s="2103"/>
      <c r="F422" s="2103"/>
    </row>
    <row r="423" spans="1:6" x14ac:dyDescent="0.2">
      <c r="A423" s="27" t="s">
        <v>1833</v>
      </c>
      <c r="B423" s="2185">
        <v>0</v>
      </c>
      <c r="C423" s="2103"/>
      <c r="D423" s="2103"/>
      <c r="E423" s="2103"/>
      <c r="F423" s="2103"/>
    </row>
    <row r="424" spans="1:6" x14ac:dyDescent="0.2">
      <c r="A424" s="27" t="s">
        <v>1834</v>
      </c>
      <c r="B424" s="2185">
        <v>0</v>
      </c>
      <c r="C424" s="2103"/>
      <c r="D424" s="2103"/>
      <c r="E424" s="2103"/>
      <c r="F424" s="2103"/>
    </row>
    <row r="425" spans="1:6" x14ac:dyDescent="0.2">
      <c r="A425" s="27" t="s">
        <v>1835</v>
      </c>
      <c r="B425" s="36" t="e">
        <f>SUM(B417:B424)</f>
        <v>#VALUE!</v>
      </c>
      <c r="C425" s="2103"/>
      <c r="D425" s="2103"/>
      <c r="E425" s="2103"/>
      <c r="F425" s="2103"/>
    </row>
    <row r="426" spans="1:6" x14ac:dyDescent="0.2">
      <c r="A426" s="30" t="s">
        <v>1836</v>
      </c>
      <c r="B426" s="30" t="e">
        <f>0.05*B425</f>
        <v>#VALUE!</v>
      </c>
      <c r="C426" s="2103"/>
      <c r="D426" s="2103"/>
      <c r="E426" s="2103"/>
      <c r="F426" s="2103"/>
    </row>
    <row r="427" spans="1:6" x14ac:dyDescent="0.2">
      <c r="A427" s="30" t="s">
        <v>1780</v>
      </c>
      <c r="B427" s="30" t="e">
        <f>B425+B426</f>
        <v>#VALUE!</v>
      </c>
      <c r="C427" s="2103"/>
      <c r="D427" s="2103"/>
      <c r="E427" s="2103"/>
      <c r="F427" s="2103"/>
    </row>
    <row r="428" spans="1:6" x14ac:dyDescent="0.2">
      <c r="A428" s="30" t="s">
        <v>1781</v>
      </c>
      <c r="B428" s="30">
        <f>IF(B399&lt;51,11,10.2)</f>
        <v>10.199999999999999</v>
      </c>
      <c r="C428" s="2103"/>
      <c r="D428" s="2103"/>
      <c r="E428" s="2103"/>
      <c r="F428" s="2103"/>
    </row>
    <row r="429" spans="1:6" x14ac:dyDescent="0.2">
      <c r="A429" s="20" t="s">
        <v>1855</v>
      </c>
      <c r="B429" s="30" t="e">
        <f>B425/B428</f>
        <v>#VALUE!</v>
      </c>
      <c r="C429" s="2103"/>
      <c r="D429" s="2103"/>
      <c r="E429" s="2103"/>
      <c r="F429" s="2103"/>
    </row>
    <row r="430" spans="1:6" x14ac:dyDescent="0.2">
      <c r="A430" s="2241" t="s">
        <v>1782</v>
      </c>
      <c r="B430" s="20" t="e">
        <f>B429+B415+B411+B406+B397+B393+B387</f>
        <v>#VALUE!</v>
      </c>
      <c r="C430" s="2103"/>
      <c r="D430" s="2103"/>
      <c r="E430" s="2103"/>
      <c r="F430" s="2103"/>
    </row>
    <row r="431" spans="1:6" x14ac:dyDescent="0.2">
      <c r="A431" s="1226" t="s">
        <v>4774</v>
      </c>
      <c r="B431" s="27"/>
      <c r="C431" s="2103"/>
      <c r="D431" s="2103"/>
      <c r="E431" s="2103"/>
      <c r="F431" s="2103"/>
    </row>
    <row r="432" spans="1:6" x14ac:dyDescent="0.2">
      <c r="A432" s="2135" t="s">
        <v>4775</v>
      </c>
      <c r="B432" s="30"/>
      <c r="C432" s="2103"/>
      <c r="D432" s="2103"/>
      <c r="E432" s="2103"/>
      <c r="F432" s="2103"/>
    </row>
    <row r="433" spans="1:6" x14ac:dyDescent="0.2">
      <c r="A433" s="30" t="s">
        <v>1833</v>
      </c>
      <c r="B433" s="23">
        <f>B423</f>
        <v>0</v>
      </c>
      <c r="C433" s="2103"/>
      <c r="D433" s="2103"/>
      <c r="E433" s="2103"/>
      <c r="F433" s="2103"/>
    </row>
    <row r="434" spans="1:6" x14ac:dyDescent="0.2">
      <c r="A434" s="30" t="s">
        <v>1834</v>
      </c>
      <c r="B434" s="23">
        <f>B424</f>
        <v>0</v>
      </c>
      <c r="C434" s="2103"/>
      <c r="D434" s="2103"/>
      <c r="E434" s="2103"/>
      <c r="F434" s="2103"/>
    </row>
    <row r="435" spans="1:6" x14ac:dyDescent="0.2">
      <c r="A435" s="27" t="s">
        <v>1835</v>
      </c>
      <c r="B435" s="30">
        <f>SUM(B433:B434)</f>
        <v>0</v>
      </c>
      <c r="C435" s="2103"/>
      <c r="D435" s="2103"/>
      <c r="E435" s="2103"/>
      <c r="F435" s="2103"/>
    </row>
    <row r="436" spans="1:6" x14ac:dyDescent="0.2">
      <c r="A436" s="30" t="s">
        <v>4776</v>
      </c>
      <c r="B436" s="30">
        <v>10.8</v>
      </c>
      <c r="C436" s="2103"/>
      <c r="D436" s="2103"/>
      <c r="E436" s="2103"/>
      <c r="F436" s="2103"/>
    </row>
    <row r="437" spans="1:6" x14ac:dyDescent="0.2">
      <c r="A437" s="30" t="s">
        <v>4777</v>
      </c>
      <c r="B437" s="30">
        <v>12.4</v>
      </c>
      <c r="C437" s="2103"/>
      <c r="D437" s="2103"/>
      <c r="E437" s="2103"/>
      <c r="F437" s="2103"/>
    </row>
    <row r="438" spans="1:6" x14ac:dyDescent="0.2">
      <c r="A438" s="20" t="s">
        <v>1855</v>
      </c>
      <c r="B438" s="30">
        <f>B435/B436+B435/B437</f>
        <v>0</v>
      </c>
      <c r="C438" s="2103"/>
      <c r="D438" s="2103"/>
      <c r="E438" s="2103"/>
      <c r="F438" s="2103"/>
    </row>
    <row r="439" spans="1:6" x14ac:dyDescent="0.2">
      <c r="A439" s="25" t="s">
        <v>4778</v>
      </c>
      <c r="B439" s="27"/>
      <c r="C439" s="2103"/>
      <c r="D439" s="2103"/>
      <c r="E439" s="2103"/>
      <c r="F439" s="2103"/>
    </row>
    <row r="440" spans="1:6" x14ac:dyDescent="0.2">
      <c r="A440" s="27" t="s">
        <v>27</v>
      </c>
      <c r="B440" s="23">
        <f>B145</f>
        <v>2000</v>
      </c>
      <c r="C440" s="2103"/>
      <c r="D440" s="2103"/>
      <c r="E440" s="2103"/>
      <c r="F440" s="2103"/>
    </row>
    <row r="441" spans="1:6" x14ac:dyDescent="0.2">
      <c r="A441" s="2135" t="s">
        <v>4780</v>
      </c>
      <c r="B441" s="27"/>
      <c r="C441" s="2103"/>
      <c r="D441" s="2103"/>
      <c r="E441" s="2103"/>
      <c r="F441" s="2103"/>
    </row>
    <row r="442" spans="1:6" x14ac:dyDescent="0.2">
      <c r="A442" s="30" t="s">
        <v>4781</v>
      </c>
      <c r="B442" s="30" t="e">
        <f>B384+B388+B389+B390</f>
        <v>#VALUE!</v>
      </c>
      <c r="C442" s="2103"/>
      <c r="D442" s="2103"/>
      <c r="E442" s="2103"/>
      <c r="F442" s="2103"/>
    </row>
    <row r="443" spans="1:6" x14ac:dyDescent="0.2">
      <c r="A443" s="30" t="s">
        <v>5147</v>
      </c>
      <c r="B443" s="30">
        <f>16111*B440^-0.653</f>
        <v>112.60298683393111</v>
      </c>
      <c r="C443" s="2103"/>
      <c r="D443" s="2103"/>
      <c r="E443" s="2103"/>
      <c r="F443" s="2103"/>
    </row>
    <row r="444" spans="1:6" x14ac:dyDescent="0.2">
      <c r="A444" s="30" t="s">
        <v>3088</v>
      </c>
      <c r="B444" s="30" t="e">
        <f>B442/B443</f>
        <v>#VALUE!</v>
      </c>
      <c r="C444" s="2103"/>
      <c r="D444" s="2103"/>
      <c r="E444" s="2103"/>
      <c r="F444" s="2103"/>
    </row>
    <row r="445" spans="1:6" x14ac:dyDescent="0.2">
      <c r="A445" s="2135" t="s">
        <v>3089</v>
      </c>
      <c r="B445" s="27"/>
      <c r="C445" s="2103"/>
      <c r="D445" s="2103"/>
      <c r="E445" s="2103"/>
      <c r="F445" s="2103"/>
    </row>
    <row r="446" spans="1:6" x14ac:dyDescent="0.2">
      <c r="A446" s="30" t="s">
        <v>3090</v>
      </c>
      <c r="B446" s="30" t="e">
        <f>B395*2+B427</f>
        <v>#VALUE!</v>
      </c>
      <c r="C446" s="2103"/>
      <c r="D446" s="2103"/>
      <c r="E446" s="2103"/>
      <c r="F446" s="2103"/>
    </row>
    <row r="447" spans="1:6" x14ac:dyDescent="0.2">
      <c r="A447" s="30" t="s">
        <v>3091</v>
      </c>
      <c r="B447" s="30">
        <f>25667*B440^-0.666</f>
        <v>162.51338393276461</v>
      </c>
      <c r="C447" s="2103"/>
      <c r="D447" s="2103"/>
      <c r="E447" s="2103"/>
      <c r="F447" s="2103"/>
    </row>
    <row r="448" spans="1:6" x14ac:dyDescent="0.2">
      <c r="A448" s="30" t="s">
        <v>3088</v>
      </c>
      <c r="B448" s="30" t="e">
        <f>B446/B447</f>
        <v>#VALUE!</v>
      </c>
      <c r="C448" s="2103"/>
      <c r="D448" s="2103"/>
      <c r="E448" s="2103"/>
      <c r="F448" s="2103"/>
    </row>
    <row r="449" spans="1:6" x14ac:dyDescent="0.2">
      <c r="A449" s="2135" t="s">
        <v>3092</v>
      </c>
      <c r="B449" s="27"/>
      <c r="C449" s="2103"/>
      <c r="D449" s="2103"/>
      <c r="E449" s="2103"/>
      <c r="F449" s="2103"/>
    </row>
    <row r="450" spans="1:6" x14ac:dyDescent="0.2">
      <c r="A450" s="30" t="s">
        <v>3090</v>
      </c>
      <c r="B450" s="30">
        <f>B435</f>
        <v>0</v>
      </c>
      <c r="C450" s="2103"/>
      <c r="D450" s="2103"/>
      <c r="E450" s="2103"/>
      <c r="F450" s="2103"/>
    </row>
    <row r="451" spans="1:6" x14ac:dyDescent="0.2">
      <c r="A451" s="30" t="s">
        <v>3091</v>
      </c>
      <c r="B451" s="30">
        <f>25667*B440^-0.666</f>
        <v>162.51338393276461</v>
      </c>
      <c r="C451" s="2103"/>
      <c r="D451" s="2103"/>
      <c r="E451" s="2103"/>
      <c r="F451" s="2103"/>
    </row>
    <row r="452" spans="1:6" x14ac:dyDescent="0.2">
      <c r="A452" s="30" t="s">
        <v>3088</v>
      </c>
      <c r="B452" s="30">
        <f>B450/B451</f>
        <v>0</v>
      </c>
      <c r="C452" s="2103"/>
      <c r="D452" s="2103"/>
      <c r="E452" s="2103"/>
      <c r="F452" s="2103"/>
    </row>
    <row r="453" spans="1:6" x14ac:dyDescent="0.2">
      <c r="A453" s="25" t="s">
        <v>3093</v>
      </c>
      <c r="B453" s="27"/>
      <c r="C453" s="2103"/>
      <c r="D453" s="2103"/>
      <c r="E453" s="2103"/>
      <c r="F453" s="2103"/>
    </row>
    <row r="454" spans="1:6" x14ac:dyDescent="0.2">
      <c r="A454" s="2161" t="s">
        <v>3743</v>
      </c>
      <c r="B454" s="27"/>
      <c r="C454" s="2103"/>
      <c r="D454" s="2103"/>
      <c r="E454" s="2103"/>
      <c r="F454" s="2103"/>
    </row>
    <row r="455" spans="1:6" x14ac:dyDescent="0.2">
      <c r="A455" s="30" t="s">
        <v>3094</v>
      </c>
      <c r="B455" s="30" t="e">
        <f>B442</f>
        <v>#VALUE!</v>
      </c>
      <c r="C455" s="2103"/>
      <c r="D455" s="2103"/>
      <c r="E455" s="2103"/>
      <c r="F455" s="2103"/>
    </row>
    <row r="456" spans="1:6" x14ac:dyDescent="0.2">
      <c r="A456" s="30" t="s">
        <v>3091</v>
      </c>
      <c r="B456" s="30">
        <v>8.6999999999999993</v>
      </c>
      <c r="C456" s="2103"/>
      <c r="D456" s="2103"/>
      <c r="E456" s="2103"/>
      <c r="F456" s="2103"/>
    </row>
    <row r="457" spans="1:6" x14ac:dyDescent="0.2">
      <c r="A457" s="30" t="s">
        <v>3088</v>
      </c>
      <c r="B457" s="30" t="e">
        <f>B455*0.9/B456</f>
        <v>#VALUE!</v>
      </c>
      <c r="C457" s="2103"/>
      <c r="D457" s="2103"/>
      <c r="E457" s="2103"/>
      <c r="F457" s="2103"/>
    </row>
    <row r="458" spans="1:6" x14ac:dyDescent="0.2">
      <c r="A458" s="2135" t="s">
        <v>3095</v>
      </c>
      <c r="B458" s="27"/>
      <c r="C458" s="2103"/>
      <c r="D458" s="2103"/>
      <c r="E458" s="2103"/>
      <c r="F458" s="2103"/>
    </row>
    <row r="459" spans="1:6" x14ac:dyDescent="0.2">
      <c r="A459" s="30" t="s">
        <v>3094</v>
      </c>
      <c r="B459" s="30">
        <f>B395</f>
        <v>0</v>
      </c>
      <c r="C459" s="2103"/>
      <c r="D459" s="2103"/>
      <c r="E459" s="2103"/>
      <c r="F459" s="2103"/>
    </row>
    <row r="460" spans="1:6" x14ac:dyDescent="0.2">
      <c r="A460" s="30" t="s">
        <v>5147</v>
      </c>
      <c r="B460" s="30">
        <v>16.600000000000001</v>
      </c>
      <c r="C460" s="2103"/>
      <c r="D460" s="2103"/>
      <c r="E460" s="2103"/>
      <c r="F460" s="2103"/>
    </row>
    <row r="461" spans="1:6" x14ac:dyDescent="0.2">
      <c r="A461" s="30" t="s">
        <v>3088</v>
      </c>
      <c r="B461" s="30">
        <f>B459*2/B460</f>
        <v>0</v>
      </c>
      <c r="C461" s="2103"/>
      <c r="D461" s="2103"/>
      <c r="E461" s="2103"/>
      <c r="F461" s="2103"/>
    </row>
    <row r="462" spans="1:6" x14ac:dyDescent="0.2">
      <c r="A462" s="2135" t="s">
        <v>3096</v>
      </c>
      <c r="B462" s="27"/>
      <c r="C462" s="2103"/>
      <c r="D462" s="2103"/>
      <c r="E462" s="2103"/>
      <c r="F462" s="2103"/>
    </row>
    <row r="463" spans="1:6" x14ac:dyDescent="0.2">
      <c r="A463" s="30" t="s">
        <v>3097</v>
      </c>
      <c r="B463" s="30" t="e">
        <f>B427</f>
        <v>#VALUE!</v>
      </c>
      <c r="C463" s="2103"/>
      <c r="D463" s="2103"/>
      <c r="E463" s="2103"/>
      <c r="F463" s="2103"/>
    </row>
    <row r="464" spans="1:6" x14ac:dyDescent="0.2">
      <c r="A464" s="30" t="s">
        <v>3091</v>
      </c>
      <c r="B464" s="30">
        <v>10.3</v>
      </c>
      <c r="C464" s="2103"/>
      <c r="D464" s="2103"/>
      <c r="E464" s="2103"/>
      <c r="F464" s="2103"/>
    </row>
    <row r="465" spans="1:6" x14ac:dyDescent="0.2">
      <c r="A465" s="30" t="s">
        <v>3088</v>
      </c>
      <c r="B465" s="30" t="e">
        <f>B463/B464</f>
        <v>#VALUE!</v>
      </c>
      <c r="C465" s="2103"/>
      <c r="D465" s="2103"/>
      <c r="E465" s="2103"/>
      <c r="F465" s="2103"/>
    </row>
    <row r="466" spans="1:6" x14ac:dyDescent="0.2">
      <c r="A466" s="2135" t="s">
        <v>3098</v>
      </c>
      <c r="B466" s="27"/>
      <c r="C466" s="2103"/>
      <c r="D466" s="2103"/>
      <c r="E466" s="2103"/>
      <c r="F466" s="2103"/>
    </row>
    <row r="467" spans="1:6" x14ac:dyDescent="0.2">
      <c r="A467" s="30" t="s">
        <v>3097</v>
      </c>
      <c r="B467" s="30">
        <f>B450</f>
        <v>0</v>
      </c>
      <c r="C467" s="2103"/>
      <c r="D467" s="2103"/>
      <c r="E467" s="2103"/>
      <c r="F467" s="2103"/>
    </row>
    <row r="468" spans="1:6" x14ac:dyDescent="0.2">
      <c r="A468" s="30" t="s">
        <v>1781</v>
      </c>
      <c r="B468" s="30">
        <f>IF(B467&lt;0.301,9.6,IF(B467&lt;0.601,10.7,IF(B467&lt;0.901,12.2,IF(B467&lt;1.301,14,16))))</f>
        <v>9.6</v>
      </c>
      <c r="C468" s="2103"/>
      <c r="D468" s="2103"/>
      <c r="E468" s="2103"/>
      <c r="F468" s="2103"/>
    </row>
    <row r="469" spans="1:6" x14ac:dyDescent="0.2">
      <c r="A469" s="30" t="s">
        <v>3088</v>
      </c>
      <c r="B469" s="30">
        <f>B467/B468</f>
        <v>0</v>
      </c>
      <c r="C469" s="2103"/>
      <c r="D469" s="2103"/>
      <c r="E469" s="2103"/>
      <c r="F469" s="2103"/>
    </row>
    <row r="470" spans="1:6" x14ac:dyDescent="0.2">
      <c r="A470" s="30" t="s">
        <v>3100</v>
      </c>
      <c r="B470" s="30">
        <f>0.17+0.3*(B440+1000)/1000</f>
        <v>1.07</v>
      </c>
      <c r="C470" s="2103"/>
      <c r="D470" s="2103"/>
      <c r="E470" s="2103"/>
      <c r="F470" s="2103"/>
    </row>
    <row r="471" spans="1:6" x14ac:dyDescent="0.2">
      <c r="A471" s="30" t="s">
        <v>3101</v>
      </c>
      <c r="B471" s="30">
        <f>B470/6</f>
        <v>0.17833333333333334</v>
      </c>
      <c r="C471" s="2103"/>
      <c r="D471" s="2103"/>
      <c r="E471" s="2103"/>
      <c r="F471" s="2103"/>
    </row>
    <row r="472" spans="1:6" x14ac:dyDescent="0.2">
      <c r="A472" s="20" t="s">
        <v>3102</v>
      </c>
      <c r="B472" s="20" t="e">
        <f>B471+B469+B465+B461+B457+B452+B448+B444+B438</f>
        <v>#VALUE!</v>
      </c>
      <c r="C472" s="2103"/>
      <c r="D472" s="2103"/>
      <c r="E472" s="2103"/>
      <c r="F472" s="2103"/>
    </row>
    <row r="473" spans="1:6" x14ac:dyDescent="0.2">
      <c r="A473" s="20" t="s">
        <v>3820</v>
      </c>
      <c r="B473" s="20" t="e">
        <f>B472+B430</f>
        <v>#VALUE!</v>
      </c>
      <c r="C473" s="2103"/>
      <c r="D473" s="2103"/>
      <c r="E473" s="2103"/>
      <c r="F473" s="2103"/>
    </row>
    <row r="474" spans="1:6" ht="18.75" x14ac:dyDescent="0.3">
      <c r="A474" s="2187" t="s">
        <v>28</v>
      </c>
      <c r="B474" s="2242"/>
      <c r="C474" s="2242"/>
      <c r="D474" s="2103"/>
      <c r="E474" s="2103"/>
      <c r="F474" s="2103"/>
    </row>
    <row r="475" spans="1:6" ht="18.75" x14ac:dyDescent="0.3">
      <c r="A475" s="2243"/>
      <c r="B475" s="2244"/>
      <c r="C475" s="2244"/>
      <c r="D475" s="2103"/>
      <c r="E475" s="2103"/>
      <c r="F475" s="2103"/>
    </row>
    <row r="476" spans="1:6" ht="15.75" x14ac:dyDescent="0.25">
      <c r="A476" s="2245" t="s">
        <v>29</v>
      </c>
      <c r="B476" s="2246"/>
      <c r="C476" s="11"/>
      <c r="D476" s="11"/>
      <c r="E476" s="11"/>
      <c r="F476" s="11"/>
    </row>
    <row r="477" spans="1:6" ht="15" x14ac:dyDescent="0.25">
      <c r="A477" s="2247" t="s">
        <v>1413</v>
      </c>
      <c r="B477" s="446"/>
      <c r="C477" s="11"/>
      <c r="D477" s="11"/>
      <c r="E477" s="11"/>
      <c r="F477" s="11"/>
    </row>
    <row r="478" spans="1:6" ht="15" x14ac:dyDescent="0.25">
      <c r="A478" s="2198" t="s">
        <v>30</v>
      </c>
      <c r="B478" s="2248">
        <v>2</v>
      </c>
      <c r="C478" s="11"/>
      <c r="D478" s="2249"/>
      <c r="E478" s="2249"/>
      <c r="F478" s="2249"/>
    </row>
    <row r="479" spans="1:6" x14ac:dyDescent="0.2">
      <c r="A479" s="2250" t="s">
        <v>5602</v>
      </c>
      <c r="B479" s="2251" t="str">
        <f>B18</f>
        <v/>
      </c>
      <c r="C479" s="11"/>
      <c r="D479" s="61"/>
      <c r="E479" s="61"/>
      <c r="F479" s="61"/>
    </row>
    <row r="480" spans="1:6" x14ac:dyDescent="0.2">
      <c r="A480" s="2250" t="s">
        <v>2387</v>
      </c>
      <c r="B480" s="2251" t="str">
        <f>B19</f>
        <v/>
      </c>
      <c r="C480" s="11"/>
      <c r="D480" s="12"/>
      <c r="E480" s="12"/>
      <c r="F480" s="12"/>
    </row>
    <row r="481" spans="1:6" x14ac:dyDescent="0.2">
      <c r="A481" s="2252" t="s">
        <v>2389</v>
      </c>
      <c r="B481" s="2253" t="e">
        <f>B21</f>
        <v>#VALUE!</v>
      </c>
      <c r="C481" s="11"/>
      <c r="D481" s="11"/>
      <c r="E481" s="11"/>
      <c r="F481" s="11"/>
    </row>
    <row r="482" spans="1:6" ht="15" x14ac:dyDescent="0.25">
      <c r="A482" s="2195" t="s">
        <v>1027</v>
      </c>
      <c r="B482" s="2196">
        <f>B25</f>
        <v>0</v>
      </c>
      <c r="C482" s="2191"/>
      <c r="D482" s="11"/>
      <c r="E482" s="11"/>
      <c r="F482" s="2103"/>
    </row>
    <row r="483" spans="1:6" ht="29.25" x14ac:dyDescent="0.25">
      <c r="A483" s="2195" t="s">
        <v>4297</v>
      </c>
      <c r="B483" s="2196" t="str">
        <f>B26</f>
        <v/>
      </c>
      <c r="C483" s="2191"/>
      <c r="D483" s="11"/>
      <c r="E483" s="11"/>
      <c r="F483" s="2103"/>
    </row>
    <row r="484" spans="1:6" ht="15" x14ac:dyDescent="0.25">
      <c r="A484" s="2195" t="s">
        <v>4299</v>
      </c>
      <c r="B484" s="2196">
        <f>B28</f>
        <v>0</v>
      </c>
      <c r="C484" s="2191"/>
      <c r="D484" s="11"/>
      <c r="E484" s="11"/>
      <c r="F484" s="11"/>
    </row>
    <row r="485" spans="1:6" ht="15" x14ac:dyDescent="0.25">
      <c r="A485" s="2195" t="str">
        <f>IF(B484&gt;0,"Количество взрываний в лаве в сут.","не вводить")</f>
        <v>не вводить</v>
      </c>
      <c r="B485" s="2196">
        <f>B29</f>
        <v>0</v>
      </c>
      <c r="C485" s="2191"/>
      <c r="D485" s="11"/>
      <c r="E485" s="11"/>
      <c r="F485" s="11"/>
    </row>
    <row r="486" spans="1:6" ht="15" x14ac:dyDescent="0.25">
      <c r="A486" s="2195" t="str">
        <f>IF(B484=1,"Количество взрываемых шпуров за сут.","не вводить")</f>
        <v>не вводить</v>
      </c>
      <c r="B486" s="2196">
        <f>B30</f>
        <v>0</v>
      </c>
      <c r="C486" s="2191"/>
      <c r="D486" s="11"/>
      <c r="E486" s="11"/>
      <c r="F486" s="11"/>
    </row>
    <row r="487" spans="1:6" ht="15" x14ac:dyDescent="0.25">
      <c r="A487" s="2199" t="s">
        <v>464</v>
      </c>
      <c r="B487" s="2254" t="str">
        <f>B24</f>
        <v/>
      </c>
      <c r="C487" s="2191"/>
      <c r="D487" s="11"/>
      <c r="E487" s="11"/>
      <c r="F487" s="11"/>
    </row>
    <row r="488" spans="1:6" ht="15" x14ac:dyDescent="0.25">
      <c r="A488" s="2200" t="s">
        <v>4302</v>
      </c>
      <c r="B488" s="2254">
        <f>B35</f>
        <v>1</v>
      </c>
      <c r="C488" s="2191"/>
      <c r="D488" s="11"/>
      <c r="E488" s="11"/>
      <c r="F488" s="11"/>
    </row>
    <row r="489" spans="1:6" ht="15" x14ac:dyDescent="0.25">
      <c r="A489" s="2200" t="str">
        <f>IF(B488=1,"Перепиливание стоек(1- электропилами, 0- с помощью др.средств)","Не заполнять!")</f>
        <v>Перепиливание стоек(1- электропилами, 0- с помощью др.средств)</v>
      </c>
      <c r="B489" s="2254">
        <f>B36</f>
        <v>0</v>
      </c>
      <c r="C489" s="2191"/>
      <c r="D489" s="11"/>
      <c r="E489" s="11"/>
      <c r="F489" s="11"/>
    </row>
    <row r="490" spans="1:6" ht="15" x14ac:dyDescent="0.25">
      <c r="A490" s="2200" t="s">
        <v>4303</v>
      </c>
      <c r="B490" s="2254">
        <f>B37</f>
        <v>0</v>
      </c>
      <c r="C490" s="2191"/>
      <c r="D490" s="11"/>
      <c r="E490" s="11"/>
      <c r="F490" s="11"/>
    </row>
    <row r="491" spans="1:6" ht="15" x14ac:dyDescent="0.25">
      <c r="A491" s="2195" t="s">
        <v>4300</v>
      </c>
      <c r="B491" s="2196">
        <f>B31</f>
        <v>0</v>
      </c>
      <c r="C491" s="2191"/>
      <c r="D491" s="2191"/>
      <c r="E491" s="11"/>
      <c r="F491" s="11"/>
    </row>
    <row r="492" spans="1:6" ht="15" x14ac:dyDescent="0.25">
      <c r="A492" s="2195" t="str">
        <f>IF(B491&gt;0,"Количество взрываний в бутовых штреках, в сут","")</f>
        <v/>
      </c>
      <c r="B492" s="2196">
        <f>B32</f>
        <v>0</v>
      </c>
      <c r="C492" s="2191"/>
      <c r="D492" s="2191"/>
      <c r="E492" s="11"/>
      <c r="F492" s="11"/>
    </row>
    <row r="493" spans="1:6" ht="29.25" x14ac:dyDescent="0.25">
      <c r="A493" s="2195" t="s">
        <v>4301</v>
      </c>
      <c r="B493" s="2196">
        <f>B33</f>
        <v>0</v>
      </c>
      <c r="C493" s="2191"/>
      <c r="D493" s="2191"/>
      <c r="E493" s="11"/>
      <c r="F493" s="11"/>
    </row>
    <row r="494" spans="1:6" ht="15" x14ac:dyDescent="0.25">
      <c r="A494" s="2195" t="str">
        <f>IF(B493&gt;0,"Количество взрываний в нишах, в сут","")</f>
        <v/>
      </c>
      <c r="B494" s="2196">
        <f>B34</f>
        <v>0</v>
      </c>
      <c r="C494" s="2191"/>
      <c r="D494" s="2191"/>
      <c r="E494" s="2191"/>
      <c r="F494" s="2103"/>
    </row>
    <row r="495" spans="1:6" ht="30" x14ac:dyDescent="0.25">
      <c r="A495" s="2198" t="s">
        <v>2259</v>
      </c>
      <c r="B495" s="2130" t="str">
        <f>B22</f>
        <v/>
      </c>
      <c r="C495" s="2191"/>
      <c r="D495" s="2191"/>
      <c r="E495" s="2191"/>
      <c r="F495" s="2103"/>
    </row>
    <row r="496" spans="1:6" ht="15" x14ac:dyDescent="0.25">
      <c r="A496" s="446"/>
      <c r="B496" s="446"/>
      <c r="C496" s="2191"/>
      <c r="D496" s="2191"/>
      <c r="E496" s="2191"/>
      <c r="F496" s="2103"/>
    </row>
    <row r="497" spans="1:6" ht="15.75" x14ac:dyDescent="0.25">
      <c r="A497" s="2107" t="s">
        <v>1723</v>
      </c>
      <c r="B497" s="446"/>
      <c r="C497" s="2191"/>
      <c r="D497" s="2191"/>
      <c r="E497" s="2191"/>
      <c r="F497" s="2103"/>
    </row>
    <row r="498" spans="1:6" ht="15" x14ac:dyDescent="0.25">
      <c r="A498" s="2207" t="s">
        <v>4667</v>
      </c>
      <c r="B498" s="2109" t="e">
        <f>INDEX($A$1246:$B$1249,B483,IF(B479&lt;=1,1,2))</f>
        <v>#VALUE!</v>
      </c>
      <c r="C498" s="2191"/>
      <c r="D498" s="2191"/>
      <c r="E498" s="2191"/>
      <c r="F498" s="2103"/>
    </row>
    <row r="499" spans="1:6" ht="15" x14ac:dyDescent="0.25">
      <c r="A499" s="2207" t="s">
        <v>4668</v>
      </c>
      <c r="B499" s="2110">
        <f>IF(B495=0,1,IF(B495=1,0.9,0.85))</f>
        <v>0.85</v>
      </c>
      <c r="C499" s="2191"/>
      <c r="D499" s="2191"/>
      <c r="E499" s="2191"/>
      <c r="F499" s="2103"/>
    </row>
    <row r="500" spans="1:6" ht="15" x14ac:dyDescent="0.25">
      <c r="A500" s="2207" t="s">
        <v>4669</v>
      </c>
      <c r="B500" s="2111" t="e">
        <f>IF(B481&gt;1200,0.8,IF(B481&gt;1050,0.85,IF(B481&gt;900,0.9,IF(B481&gt;700,0.95,1))))</f>
        <v>#VALUE!</v>
      </c>
      <c r="C500" s="2208"/>
      <c r="D500" s="2191"/>
      <c r="E500" s="2191"/>
      <c r="F500" s="2103"/>
    </row>
    <row r="501" spans="1:6" ht="15" x14ac:dyDescent="0.25">
      <c r="A501" s="2207" t="s">
        <v>4670</v>
      </c>
      <c r="B501" s="2111">
        <f>IF(B482&lt;1,1,IF(B482&lt;3.1,0.95,IF(B482&lt;5.1,0.9,IF(B482&lt;7.1,0.85,IF(B482&lt;9.1,0.75,1)))))</f>
        <v>1</v>
      </c>
      <c r="C501" s="2191"/>
      <c r="D501" s="2191"/>
      <c r="E501" s="2191"/>
      <c r="F501" s="2103"/>
    </row>
    <row r="502" spans="1:6" ht="15" x14ac:dyDescent="0.25">
      <c r="A502" s="2209" t="s">
        <v>4671</v>
      </c>
      <c r="B502" s="446"/>
      <c r="C502" s="2191"/>
      <c r="D502" s="2191"/>
      <c r="E502" s="2191"/>
      <c r="F502" s="2103"/>
    </row>
    <row r="503" spans="1:6" ht="15" x14ac:dyDescent="0.25">
      <c r="A503" s="2207" t="s">
        <v>4672</v>
      </c>
      <c r="B503" s="2111">
        <f>IF(B493=0,1,B504)</f>
        <v>1</v>
      </c>
      <c r="C503" s="2208"/>
      <c r="D503" s="2208"/>
      <c r="E503" s="2191"/>
      <c r="F503" s="2103"/>
    </row>
    <row r="504" spans="1:6" ht="15" x14ac:dyDescent="0.25">
      <c r="A504" s="2210" t="s">
        <v>4673</v>
      </c>
      <c r="B504" s="2111">
        <f>IF(B494&gt;8,0.8,IF(B494&gt;7,0.83,IF(B494&gt;6,0.85,IF(B494&gt;5,0.87,IF(B494&gt;4,0.89,IF(B494&gt;3,0.91,IF(B494&gt;2,0.93,IF(B494&gt;1,0.95,0.97))))))))</f>
        <v>0.97</v>
      </c>
      <c r="C504" s="2208"/>
      <c r="D504" s="2208"/>
      <c r="E504" s="2191"/>
      <c r="F504" s="2103"/>
    </row>
    <row r="505" spans="1:6" ht="15" x14ac:dyDescent="0.25">
      <c r="A505" s="2211" t="s">
        <v>4674</v>
      </c>
      <c r="B505" s="2116">
        <f>IF(B492&gt;18,0.8,IF(B492&gt;15,0.82,IF(B492&gt;13,0.84,IF(B492&gt;11,0.86,IF(B492&gt;9,0.88,IF(B492&gt;7,0.9,IF(B492&gt;0,0.92,1)))))))</f>
        <v>1</v>
      </c>
      <c r="C505" s="2191"/>
      <c r="D505" s="2191"/>
      <c r="E505" s="2191"/>
      <c r="F505" s="2103"/>
    </row>
    <row r="506" spans="1:6" ht="15.75" thickBot="1" x14ac:dyDescent="0.3">
      <c r="A506" s="2212" t="s">
        <v>4675</v>
      </c>
      <c r="B506" s="2118">
        <f>IF(B485=2,IF(B486&lt;45,0.95,0.92),IF(B485=3,IF(B486&lt;75,0.9,0.88),IF(B485=4,IF(B486&lt;105,0.86,0.84),1)))</f>
        <v>1</v>
      </c>
      <c r="C506" s="2191"/>
      <c r="D506" s="2191"/>
      <c r="E506" s="2191"/>
      <c r="F506" s="2103"/>
    </row>
    <row r="507" spans="1:6" ht="15.75" thickBot="1" x14ac:dyDescent="0.3">
      <c r="A507" s="2213"/>
      <c r="B507" s="2120" t="e">
        <f>B498*B499*B500*B501*B503*B505*B506</f>
        <v>#VALUE!</v>
      </c>
      <c r="C507" s="2191"/>
      <c r="D507" s="2191"/>
      <c r="E507" s="2191"/>
      <c r="F507" s="2103"/>
    </row>
    <row r="508" spans="1:6" ht="15" x14ac:dyDescent="0.25">
      <c r="A508" s="2136" t="s">
        <v>570</v>
      </c>
      <c r="B508" s="2137"/>
      <c r="C508" s="2138"/>
      <c r="D508" s="11"/>
      <c r="E508" s="11"/>
      <c r="F508" s="11"/>
    </row>
    <row r="509" spans="1:6" ht="15" x14ac:dyDescent="0.25">
      <c r="A509" s="2139" t="s">
        <v>31</v>
      </c>
      <c r="B509" s="2140">
        <f>IF(B478=2,1.3,1)</f>
        <v>1.3</v>
      </c>
      <c r="C509" s="2138"/>
      <c r="D509" s="11"/>
      <c r="E509" s="11"/>
      <c r="F509" s="11"/>
    </row>
    <row r="510" spans="1:6" ht="15" x14ac:dyDescent="0.25">
      <c r="A510" s="2139" t="s">
        <v>571</v>
      </c>
      <c r="B510" s="2140">
        <f>IF(B487&gt;0.2,0.9,1)</f>
        <v>0.9</v>
      </c>
      <c r="C510" s="2138"/>
      <c r="D510" s="11"/>
      <c r="E510" s="11"/>
      <c r="F510" s="11"/>
    </row>
    <row r="511" spans="1:6" ht="15" x14ac:dyDescent="0.25">
      <c r="A511" s="2139" t="s">
        <v>572</v>
      </c>
      <c r="B511" s="2140">
        <f>IF(AND(B488=0,B479&gt;1.4),1.25,1)</f>
        <v>1</v>
      </c>
      <c r="C511" s="2138"/>
      <c r="D511" s="11"/>
      <c r="E511" s="11"/>
      <c r="F511" s="11"/>
    </row>
    <row r="512" spans="1:6" ht="15" x14ac:dyDescent="0.25">
      <c r="A512" s="2139" t="s">
        <v>3808</v>
      </c>
      <c r="B512" s="2140">
        <f>IF(AND(B489=1,B479&gt;1.4),1.15,1)</f>
        <v>1</v>
      </c>
      <c r="C512" s="2138"/>
      <c r="D512" s="11"/>
      <c r="E512" s="11"/>
      <c r="F512" s="11"/>
    </row>
    <row r="513" spans="1:6" ht="15" x14ac:dyDescent="0.25">
      <c r="A513" s="2139" t="s">
        <v>3809</v>
      </c>
      <c r="B513" s="2140">
        <f>IF(AND(B480&gt;45,B490=0),1.1,1)</f>
        <v>1.1000000000000001</v>
      </c>
      <c r="C513" s="2138"/>
      <c r="D513" s="11"/>
      <c r="E513" s="11"/>
      <c r="F513" s="11"/>
    </row>
    <row r="514" spans="1:6" ht="15" x14ac:dyDescent="0.25">
      <c r="A514" s="2125" t="s">
        <v>4666</v>
      </c>
      <c r="B514" s="11"/>
      <c r="C514" s="2138"/>
      <c r="D514" s="11"/>
      <c r="E514" s="11"/>
      <c r="F514" s="11"/>
    </row>
    <row r="515" spans="1:6" ht="15" x14ac:dyDescent="0.25">
      <c r="A515" s="2198" t="s">
        <v>32</v>
      </c>
      <c r="B515" s="2255" t="e">
        <f>ROUND((1.2*(B18*100)^0.5)/100,2)</f>
        <v>#VALUE!</v>
      </c>
      <c r="C515" s="2138"/>
      <c r="D515" s="11"/>
      <c r="E515" s="11"/>
      <c r="F515" s="11"/>
    </row>
    <row r="516" spans="1:6" ht="15" x14ac:dyDescent="0.25">
      <c r="A516" s="2198" t="s">
        <v>33</v>
      </c>
      <c r="B516" s="2255" t="e">
        <f>ROUND(1/B515,0)</f>
        <v>#VALUE!</v>
      </c>
      <c r="C516" s="2138"/>
      <c r="D516" s="11"/>
      <c r="E516" s="11"/>
      <c r="F516" s="11"/>
    </row>
    <row r="517" spans="1:6" ht="15" x14ac:dyDescent="0.25">
      <c r="A517" s="2256" t="s">
        <v>34</v>
      </c>
      <c r="B517" s="2164">
        <f>B47</f>
        <v>15</v>
      </c>
      <c r="C517" s="2138"/>
      <c r="D517" s="11"/>
      <c r="E517" s="11"/>
      <c r="F517" s="11"/>
    </row>
    <row r="518" spans="1:6" ht="15" x14ac:dyDescent="0.25">
      <c r="A518" s="2256" t="s">
        <v>35</v>
      </c>
      <c r="B518" s="2164" t="e">
        <f>ROUND(B521/B517,0)</f>
        <v>#VALUE!</v>
      </c>
      <c r="C518" s="2138"/>
      <c r="D518" s="11"/>
      <c r="E518" s="11"/>
      <c r="F518" s="11"/>
    </row>
    <row r="519" spans="1:6" ht="15" x14ac:dyDescent="0.25">
      <c r="A519" s="2256" t="s">
        <v>36</v>
      </c>
      <c r="B519" s="2164">
        <f>B48</f>
        <v>0.8</v>
      </c>
      <c r="C519" s="2138"/>
      <c r="D519" s="11"/>
      <c r="E519" s="11"/>
      <c r="F519" s="11"/>
    </row>
    <row r="520" spans="1:6" ht="15" x14ac:dyDescent="0.25">
      <c r="A520" s="2256" t="s">
        <v>37</v>
      </c>
      <c r="B520" s="2164" t="e">
        <f>ROUNDUP(B518/B519,0)</f>
        <v>#VALUE!</v>
      </c>
      <c r="C520" s="2138"/>
      <c r="D520" s="11"/>
      <c r="E520" s="11"/>
      <c r="F520" s="11"/>
    </row>
    <row r="521" spans="1:6" ht="15" x14ac:dyDescent="0.25">
      <c r="A521" s="2144" t="s">
        <v>3812</v>
      </c>
      <c r="B521" s="2145" t="e">
        <f>(ROUNDUP((2.4*B18^2-5.4*B18+6)*IF(F23=1,1,1.5),0))*B516</f>
        <v>#VALUE!</v>
      </c>
      <c r="C521" s="2138"/>
      <c r="D521" s="11"/>
      <c r="E521" s="11"/>
      <c r="F521" s="11"/>
    </row>
    <row r="522" spans="1:6" ht="15" x14ac:dyDescent="0.25">
      <c r="A522" s="2146" t="s">
        <v>3813</v>
      </c>
      <c r="B522" s="2147">
        <f>INDEX($B$1224:$C$1242,B523,B525)</f>
        <v>28</v>
      </c>
      <c r="C522" s="2138"/>
      <c r="D522" s="11"/>
      <c r="E522" s="11"/>
      <c r="F522" s="11"/>
    </row>
    <row r="523" spans="1:6" ht="15" x14ac:dyDescent="0.25">
      <c r="A523" s="2148" t="s">
        <v>3814</v>
      </c>
      <c r="B523" s="2116">
        <f>IF(B18&lt;0.61,1,IF(B18&lt;0.71,2,IF(B18&lt;0.81,3,IF(B18&lt;0.91,4,IF(B18&lt;1.01,5,IF(B18&lt;1.11,6,IF(B18&lt;1.26,7,B119)))))))</f>
        <v>15</v>
      </c>
      <c r="C523" s="2138"/>
      <c r="D523" s="11"/>
      <c r="E523" s="11"/>
      <c r="F523" s="11"/>
    </row>
    <row r="524" spans="1:6" ht="15" x14ac:dyDescent="0.25">
      <c r="A524" s="2149" t="s">
        <v>1329</v>
      </c>
      <c r="B524" s="2147">
        <f>IF(B18&lt;1.41,8,IF(B18&lt;1.61,9,IF(B18&lt;1.81,10,IF(B18&lt;2.01,11,IF(B18&lt;2.31,12,IF(B18&lt;2.66,13,IF(B18&lt;3.01,14,15)))))))</f>
        <v>15</v>
      </c>
      <c r="C524" s="2138"/>
      <c r="D524" s="11"/>
      <c r="E524" s="11"/>
      <c r="F524" s="11"/>
    </row>
    <row r="525" spans="1:6" ht="15" x14ac:dyDescent="0.25">
      <c r="A525" s="2149" t="s">
        <v>3815</v>
      </c>
      <c r="B525" s="2147">
        <f>IF(B19&lt;=35,1,2)</f>
        <v>2</v>
      </c>
      <c r="C525" s="2138"/>
      <c r="D525" s="11"/>
      <c r="E525" s="11"/>
      <c r="F525" s="11"/>
    </row>
    <row r="526" spans="1:6" ht="15" x14ac:dyDescent="0.25">
      <c r="A526" s="2127" t="s">
        <v>3816</v>
      </c>
      <c r="B526" s="2116" t="e">
        <f>B522*B513*B512*B511*B510*B509*B507</f>
        <v>#VALUE!</v>
      </c>
      <c r="C526" s="2138"/>
      <c r="D526" s="11"/>
      <c r="E526" s="11"/>
      <c r="F526" s="11"/>
    </row>
    <row r="527" spans="1:6" ht="15" x14ac:dyDescent="0.25">
      <c r="A527" s="2150" t="s">
        <v>3817</v>
      </c>
      <c r="B527" s="2151" t="e">
        <f>B521/B526</f>
        <v>#VALUE!</v>
      </c>
      <c r="C527" s="2138"/>
      <c r="D527" s="11"/>
      <c r="E527" s="11"/>
      <c r="F527" s="11"/>
    </row>
    <row r="528" spans="1:6" ht="15" x14ac:dyDescent="0.25">
      <c r="A528" s="65" t="s">
        <v>3818</v>
      </c>
      <c r="B528" s="2155" t="e">
        <f>((3.14*B515^2)/4)*B521</f>
        <v>#VALUE!</v>
      </c>
      <c r="C528" s="2138"/>
      <c r="D528" s="2152"/>
      <c r="E528" s="2152"/>
      <c r="F528" s="2103"/>
    </row>
    <row r="529" spans="1:6" ht="15" x14ac:dyDescent="0.25">
      <c r="A529" s="116" t="s">
        <v>3819</v>
      </c>
      <c r="B529" s="446"/>
      <c r="C529" s="2138"/>
      <c r="D529" s="2152"/>
      <c r="E529" s="2152"/>
      <c r="F529" s="2103"/>
    </row>
    <row r="530" spans="1:6" ht="15" x14ac:dyDescent="0.25">
      <c r="A530" s="2153" t="s">
        <v>1850</v>
      </c>
      <c r="B530" s="446"/>
      <c r="C530" s="2138"/>
      <c r="D530" s="2152"/>
      <c r="E530" s="2152"/>
      <c r="F530" s="2103"/>
    </row>
    <row r="531" spans="1:6" x14ac:dyDescent="0.2">
      <c r="A531" s="2154" t="s">
        <v>1851</v>
      </c>
      <c r="B531" s="11"/>
      <c r="C531" s="11"/>
      <c r="D531" s="11"/>
      <c r="E531" s="11"/>
      <c r="F531" s="11"/>
    </row>
    <row r="532" spans="1:6" ht="15" x14ac:dyDescent="0.25">
      <c r="A532" s="17" t="s">
        <v>1852</v>
      </c>
      <c r="B532" s="2155" t="e">
        <f>B528</f>
        <v>#VALUE!</v>
      </c>
      <c r="C532" s="15"/>
      <c r="D532" s="11"/>
      <c r="E532" s="11"/>
      <c r="F532" s="11"/>
    </row>
    <row r="533" spans="1:6" ht="15" x14ac:dyDescent="0.25">
      <c r="A533" s="17" t="s">
        <v>1853</v>
      </c>
      <c r="B533" s="2155" t="str">
        <f>B479</f>
        <v/>
      </c>
      <c r="C533" s="15"/>
      <c r="D533" s="11"/>
      <c r="E533" s="11"/>
      <c r="F533" s="11"/>
    </row>
    <row r="534" spans="1:6" x14ac:dyDescent="0.2">
      <c r="A534" s="24" t="s">
        <v>1854</v>
      </c>
      <c r="B534" s="24">
        <f>IF(B533&lt;2.21,12.9*B533+1.7,28.4)</f>
        <v>28.4</v>
      </c>
      <c r="C534" s="15"/>
      <c r="D534" s="11"/>
      <c r="E534" s="11"/>
      <c r="F534" s="11"/>
    </row>
    <row r="535" spans="1:6" x14ac:dyDescent="0.2">
      <c r="A535" s="24" t="s">
        <v>1855</v>
      </c>
      <c r="B535" s="24" t="e">
        <f>B532/B534</f>
        <v>#VALUE!</v>
      </c>
      <c r="C535" s="15"/>
      <c r="D535" s="11"/>
      <c r="E535" s="11"/>
      <c r="F535" s="11"/>
    </row>
    <row r="536" spans="1:6" x14ac:dyDescent="0.2">
      <c r="A536" s="2156" t="s">
        <v>3724</v>
      </c>
      <c r="B536" s="11"/>
      <c r="C536" s="11"/>
      <c r="D536" s="11"/>
      <c r="E536" s="11"/>
      <c r="F536" s="11"/>
    </row>
    <row r="537" spans="1:6" x14ac:dyDescent="0.2">
      <c r="A537" s="567" t="s">
        <v>3725</v>
      </c>
      <c r="B537" s="202">
        <f>B134</f>
        <v>56</v>
      </c>
      <c r="C537" s="11"/>
      <c r="D537" s="11"/>
      <c r="E537" s="11"/>
      <c r="F537" s="11"/>
    </row>
    <row r="538" spans="1:6" x14ac:dyDescent="0.2">
      <c r="A538" s="24" t="s">
        <v>1852</v>
      </c>
      <c r="B538" s="24" t="e">
        <f>B532</f>
        <v>#VALUE!</v>
      </c>
      <c r="C538" s="11"/>
      <c r="D538" s="11"/>
      <c r="E538" s="11"/>
      <c r="F538" s="11"/>
    </row>
    <row r="539" spans="1:6" x14ac:dyDescent="0.2">
      <c r="A539" s="24" t="s">
        <v>3726</v>
      </c>
      <c r="B539" s="24" t="e">
        <f>79.5*B533^-1.5</f>
        <v>#VALUE!</v>
      </c>
      <c r="C539" s="11"/>
      <c r="D539" s="11"/>
      <c r="E539" s="11"/>
      <c r="F539" s="11"/>
    </row>
    <row r="540" spans="1:6" x14ac:dyDescent="0.2">
      <c r="A540" s="24" t="s">
        <v>3727</v>
      </c>
      <c r="B540" s="24" t="e">
        <f>((3.14*((1.2*(B533*100)^0.5)/100)^2)/4)*B533</f>
        <v>#VALUE!</v>
      </c>
      <c r="C540" s="11"/>
      <c r="D540" s="11"/>
      <c r="E540" s="11"/>
      <c r="F540" s="11"/>
    </row>
    <row r="541" spans="1:6" x14ac:dyDescent="0.2">
      <c r="A541" s="24" t="s">
        <v>700</v>
      </c>
      <c r="B541" s="24" t="e">
        <f>B532/B540</f>
        <v>#VALUE!</v>
      </c>
      <c r="C541" s="11"/>
      <c r="D541" s="11"/>
      <c r="E541" s="11"/>
      <c r="F541" s="11"/>
    </row>
    <row r="542" spans="1:6" x14ac:dyDescent="0.2">
      <c r="A542" s="24" t="s">
        <v>701</v>
      </c>
      <c r="B542" s="24" t="e">
        <f>B541/B539</f>
        <v>#VALUE!</v>
      </c>
      <c r="C542" s="11"/>
      <c r="D542" s="11"/>
      <c r="E542" s="11"/>
      <c r="F542" s="11"/>
    </row>
    <row r="543" spans="1:6" x14ac:dyDescent="0.2">
      <c r="A543" s="24" t="s">
        <v>4429</v>
      </c>
      <c r="B543" s="24">
        <f>2.2*(IF(B537&lt;51,32,IF(B537&lt;71,25,21)))</f>
        <v>55.000000000000007</v>
      </c>
      <c r="C543" s="11"/>
      <c r="D543" s="11"/>
      <c r="E543" s="11"/>
      <c r="F543" s="11"/>
    </row>
    <row r="544" spans="1:6" x14ac:dyDescent="0.2">
      <c r="A544" s="24" t="s">
        <v>1855</v>
      </c>
      <c r="B544" s="24" t="e">
        <f>B538/B543</f>
        <v>#VALUE!</v>
      </c>
      <c r="C544" s="11"/>
      <c r="D544" s="11"/>
      <c r="E544" s="11"/>
      <c r="F544" s="11"/>
    </row>
    <row r="545" spans="1:6" ht="15" x14ac:dyDescent="0.25">
      <c r="A545" s="2159" t="s">
        <v>1782</v>
      </c>
      <c r="B545" s="806" t="e">
        <f>B544+B535</f>
        <v>#VALUE!</v>
      </c>
      <c r="C545" s="11"/>
      <c r="D545" s="11"/>
      <c r="E545" s="11"/>
      <c r="F545" s="11"/>
    </row>
    <row r="546" spans="1:6" ht="15" x14ac:dyDescent="0.25">
      <c r="A546" s="2153" t="s">
        <v>4774</v>
      </c>
      <c r="B546" s="11"/>
      <c r="C546" s="11"/>
      <c r="D546" s="11"/>
      <c r="E546" s="11"/>
      <c r="F546" s="11"/>
    </row>
    <row r="547" spans="1:6" ht="15" x14ac:dyDescent="0.25">
      <c r="A547" s="2160" t="s">
        <v>4778</v>
      </c>
      <c r="B547" s="11"/>
      <c r="C547" s="11"/>
      <c r="D547" s="11"/>
      <c r="E547" s="11"/>
      <c r="F547" s="11"/>
    </row>
    <row r="548" spans="1:6" x14ac:dyDescent="0.2">
      <c r="A548" s="17" t="s">
        <v>4779</v>
      </c>
      <c r="B548" s="202">
        <f>B145</f>
        <v>2000</v>
      </c>
      <c r="C548" s="11"/>
      <c r="D548" s="11"/>
      <c r="E548" s="11"/>
      <c r="F548" s="11"/>
    </row>
    <row r="549" spans="1:6" x14ac:dyDescent="0.2">
      <c r="A549" s="2135" t="s">
        <v>4780</v>
      </c>
      <c r="B549" s="11"/>
      <c r="C549" s="11"/>
      <c r="D549" s="11"/>
      <c r="E549" s="11"/>
      <c r="F549" s="11"/>
    </row>
    <row r="550" spans="1:6" x14ac:dyDescent="0.2">
      <c r="A550" s="24" t="s">
        <v>4781</v>
      </c>
      <c r="B550" s="24" t="e">
        <f>B532</f>
        <v>#VALUE!</v>
      </c>
      <c r="C550" s="11"/>
      <c r="D550" s="11"/>
      <c r="E550" s="11"/>
      <c r="F550" s="11"/>
    </row>
    <row r="551" spans="1:6" x14ac:dyDescent="0.2">
      <c r="A551" s="24" t="s">
        <v>5147</v>
      </c>
      <c r="B551" s="24">
        <f>16111*B548^-0.653</f>
        <v>112.60298683393111</v>
      </c>
      <c r="C551" s="29"/>
      <c r="D551" s="11"/>
      <c r="E551" s="11"/>
      <c r="F551" s="11"/>
    </row>
    <row r="552" spans="1:6" x14ac:dyDescent="0.2">
      <c r="A552" s="24" t="s">
        <v>3088</v>
      </c>
      <c r="B552" s="24" t="e">
        <f>B550/B551</f>
        <v>#VALUE!</v>
      </c>
      <c r="C552" s="11"/>
      <c r="D552" s="11"/>
      <c r="E552" s="11"/>
      <c r="F552" s="11"/>
    </row>
    <row r="553" spans="1:6" ht="15" x14ac:dyDescent="0.25">
      <c r="A553" s="2160" t="s">
        <v>3093</v>
      </c>
      <c r="B553" s="11"/>
      <c r="C553" s="11"/>
      <c r="D553" s="11"/>
      <c r="E553" s="11"/>
      <c r="F553" s="11"/>
    </row>
    <row r="554" spans="1:6" x14ac:dyDescent="0.2">
      <c r="A554" s="2161" t="s">
        <v>3743</v>
      </c>
      <c r="B554" s="11"/>
      <c r="C554" s="11"/>
      <c r="D554" s="11"/>
      <c r="E554" s="11"/>
      <c r="F554" s="11"/>
    </row>
    <row r="555" spans="1:6" x14ac:dyDescent="0.2">
      <c r="A555" s="24" t="s">
        <v>3094</v>
      </c>
      <c r="B555" s="24" t="e">
        <f>B550</f>
        <v>#VALUE!</v>
      </c>
      <c r="C555" s="11"/>
      <c r="D555" s="11"/>
      <c r="E555" s="11"/>
      <c r="F555" s="11"/>
    </row>
    <row r="556" spans="1:6" x14ac:dyDescent="0.2">
      <c r="A556" s="24" t="s">
        <v>3091</v>
      </c>
      <c r="B556" s="24">
        <v>8.6999999999999993</v>
      </c>
      <c r="C556" s="29"/>
      <c r="D556" s="11"/>
      <c r="E556" s="11"/>
      <c r="F556" s="11"/>
    </row>
    <row r="557" spans="1:6" x14ac:dyDescent="0.2">
      <c r="A557" s="24" t="s">
        <v>3088</v>
      </c>
      <c r="B557" s="24" t="e">
        <f>B555*0.9/B556</f>
        <v>#VALUE!</v>
      </c>
      <c r="C557" s="11"/>
      <c r="D557" s="11"/>
      <c r="E557" s="11"/>
      <c r="F557" s="11"/>
    </row>
    <row r="558" spans="1:6" ht="15" x14ac:dyDescent="0.25">
      <c r="A558" s="2162" t="s">
        <v>3102</v>
      </c>
      <c r="B558" s="806" t="e">
        <f>B557+B552</f>
        <v>#VALUE!</v>
      </c>
      <c r="C558" s="14"/>
      <c r="D558" s="11"/>
      <c r="E558" s="11"/>
      <c r="F558" s="11"/>
    </row>
    <row r="559" spans="1:6" x14ac:dyDescent="0.2">
      <c r="A559" s="806" t="s">
        <v>3820</v>
      </c>
      <c r="B559" s="806" t="e">
        <f>B558+B545</f>
        <v>#VALUE!</v>
      </c>
      <c r="C559" s="14"/>
      <c r="D559" s="11"/>
      <c r="E559" s="11"/>
      <c r="F559" s="11"/>
    </row>
    <row r="560" spans="1:6" x14ac:dyDescent="0.2">
      <c r="A560" s="2105" t="s">
        <v>38</v>
      </c>
      <c r="B560" s="2105"/>
      <c r="C560" s="28"/>
      <c r="D560" s="28"/>
      <c r="E560" s="11"/>
      <c r="F560" s="11"/>
    </row>
    <row r="561" spans="1:6" x14ac:dyDescent="0.2">
      <c r="A561" s="2113"/>
      <c r="B561" s="2113"/>
      <c r="C561" s="29"/>
      <c r="D561" s="29"/>
      <c r="E561" s="11"/>
      <c r="F561" s="11"/>
    </row>
    <row r="562" spans="1:6" ht="19.5" x14ac:dyDescent="0.35">
      <c r="A562" s="2257" t="s">
        <v>39</v>
      </c>
      <c r="B562" s="2258"/>
      <c r="C562" s="2258"/>
      <c r="D562" s="2259"/>
      <c r="E562" s="2259"/>
      <c r="F562" s="2259"/>
    </row>
    <row r="563" spans="1:6" ht="15" x14ac:dyDescent="0.25">
      <c r="A563" s="2260" t="s">
        <v>1413</v>
      </c>
      <c r="B563" s="446"/>
      <c r="C563" s="11"/>
      <c r="D563" s="11"/>
      <c r="E563" s="11"/>
      <c r="F563" s="11"/>
    </row>
    <row r="564" spans="1:6" ht="15" x14ac:dyDescent="0.25">
      <c r="A564" s="2256" t="s">
        <v>3825</v>
      </c>
      <c r="B564" s="2164">
        <f>B51</f>
        <v>1</v>
      </c>
      <c r="C564" s="11"/>
      <c r="D564" s="11"/>
      <c r="E564" s="11"/>
      <c r="F564" s="11"/>
    </row>
    <row r="565" spans="1:6" ht="15" x14ac:dyDescent="0.25">
      <c r="A565" s="2165" t="s">
        <v>3824</v>
      </c>
      <c r="B565" s="2164">
        <f>B50</f>
        <v>3</v>
      </c>
      <c r="C565" s="11"/>
      <c r="D565" s="11"/>
      <c r="E565" s="11"/>
      <c r="F565" s="11"/>
    </row>
    <row r="566" spans="1:6" x14ac:dyDescent="0.2">
      <c r="A566" s="2250" t="s">
        <v>5602</v>
      </c>
      <c r="B566" s="2251" t="str">
        <f>B18</f>
        <v/>
      </c>
      <c r="C566" s="11"/>
      <c r="D566" s="11"/>
      <c r="E566" s="11"/>
      <c r="F566" s="11"/>
    </row>
    <row r="567" spans="1:6" x14ac:dyDescent="0.2">
      <c r="A567" s="2250" t="s">
        <v>2387</v>
      </c>
      <c r="B567" s="2251" t="str">
        <f>B19</f>
        <v/>
      </c>
      <c r="C567" s="11"/>
      <c r="D567" s="11"/>
      <c r="E567" s="11"/>
      <c r="F567" s="11"/>
    </row>
    <row r="568" spans="1:6" x14ac:dyDescent="0.2">
      <c r="A568" s="2252" t="s">
        <v>2389</v>
      </c>
      <c r="B568" s="2253" t="e">
        <f>B21</f>
        <v>#VALUE!</v>
      </c>
      <c r="C568" s="11"/>
      <c r="D568" s="11"/>
      <c r="E568" s="11"/>
      <c r="F568" s="11"/>
    </row>
    <row r="569" spans="1:6" x14ac:dyDescent="0.2">
      <c r="A569" s="65" t="s">
        <v>694</v>
      </c>
      <c r="B569" s="2261">
        <f>B52</f>
        <v>2</v>
      </c>
      <c r="C569" s="11"/>
      <c r="D569" s="11"/>
      <c r="E569" s="29"/>
      <c r="F569" s="11"/>
    </row>
    <row r="570" spans="1:6" ht="26.25" x14ac:dyDescent="0.25">
      <c r="A570" s="2142" t="s">
        <v>2528</v>
      </c>
      <c r="B570" s="2166">
        <v>1</v>
      </c>
      <c r="C570" s="11"/>
      <c r="D570" s="11"/>
      <c r="E570" s="11"/>
      <c r="F570" s="11"/>
    </row>
    <row r="571" spans="1:6" x14ac:dyDescent="0.2">
      <c r="A571" s="2262" t="s">
        <v>4300</v>
      </c>
      <c r="B571" s="2253">
        <f>B31</f>
        <v>0</v>
      </c>
      <c r="C571" s="11"/>
      <c r="D571" s="11"/>
      <c r="E571" s="11"/>
      <c r="F571" s="11"/>
    </row>
    <row r="572" spans="1:6" x14ac:dyDescent="0.2">
      <c r="A572" s="2262" t="str">
        <f>IF(B571&gt;0,"Количество взрываний в бутовых штреках, в сут","не вводить")</f>
        <v>не вводить</v>
      </c>
      <c r="B572" s="2253">
        <f>B32</f>
        <v>0</v>
      </c>
      <c r="C572" s="11"/>
      <c r="D572" s="11"/>
      <c r="E572" s="11"/>
      <c r="F572" s="11"/>
    </row>
    <row r="573" spans="1:6" ht="25.5" x14ac:dyDescent="0.2">
      <c r="A573" s="2262" t="s">
        <v>4301</v>
      </c>
      <c r="B573" s="2253">
        <f>B33</f>
        <v>0</v>
      </c>
      <c r="C573" s="11"/>
      <c r="D573" s="11"/>
      <c r="E573" s="11"/>
      <c r="F573" s="11"/>
    </row>
    <row r="574" spans="1:6" x14ac:dyDescent="0.2">
      <c r="A574" s="2262" t="str">
        <f>IF(B573&gt;0,"Количество взрываний в нишах, в сут","не вводить")</f>
        <v>не вводить</v>
      </c>
      <c r="B574" s="2253">
        <f>B34</f>
        <v>0</v>
      </c>
      <c r="C574" s="11"/>
      <c r="D574" s="11"/>
      <c r="E574" s="11"/>
      <c r="F574" s="11"/>
    </row>
    <row r="575" spans="1:6" ht="25.5" x14ac:dyDescent="0.2">
      <c r="A575" s="2263" t="s">
        <v>2259</v>
      </c>
      <c r="B575" s="2261" t="str">
        <f>B22</f>
        <v/>
      </c>
      <c r="C575" s="11"/>
      <c r="D575" s="11"/>
      <c r="E575" s="11"/>
      <c r="F575" s="11"/>
    </row>
    <row r="576" spans="1:6" ht="15" x14ac:dyDescent="0.25">
      <c r="A576" s="2142" t="s">
        <v>464</v>
      </c>
      <c r="B576" s="2164" t="str">
        <f>B24</f>
        <v/>
      </c>
      <c r="C576" s="11"/>
      <c r="D576" s="11"/>
      <c r="E576" s="11"/>
      <c r="F576" s="11"/>
    </row>
    <row r="577" spans="1:6" x14ac:dyDescent="0.2">
      <c r="A577" s="2262" t="s">
        <v>4299</v>
      </c>
      <c r="B577" s="2253">
        <f>B28</f>
        <v>0</v>
      </c>
      <c r="C577" s="11"/>
      <c r="D577" s="11"/>
      <c r="E577" s="11"/>
      <c r="F577" s="11"/>
    </row>
    <row r="578" spans="1:6" x14ac:dyDescent="0.2">
      <c r="A578" s="2262" t="str">
        <f>IF(B577&gt;0,"Количество взрываний в лаве в сут.","не вводить")</f>
        <v>не вводить</v>
      </c>
      <c r="B578" s="2253">
        <f>B29</f>
        <v>0</v>
      </c>
      <c r="C578" s="11"/>
      <c r="D578" s="11"/>
      <c r="E578" s="11"/>
      <c r="F578" s="11"/>
    </row>
    <row r="579" spans="1:6" x14ac:dyDescent="0.2">
      <c r="A579" s="2262" t="str">
        <f>IF(B577=1,"Количество взрываемых шпуров за сут.","не вводить")</f>
        <v>не вводить</v>
      </c>
      <c r="B579" s="2253">
        <f>B30</f>
        <v>0</v>
      </c>
      <c r="C579" s="11"/>
      <c r="D579" s="11"/>
      <c r="E579" s="11"/>
      <c r="F579" s="11"/>
    </row>
    <row r="580" spans="1:6" x14ac:dyDescent="0.2">
      <c r="A580" s="2262" t="s">
        <v>1027</v>
      </c>
      <c r="B580" s="2253">
        <f>B25</f>
        <v>0</v>
      </c>
      <c r="C580" s="11"/>
      <c r="D580" s="11"/>
      <c r="E580" s="11"/>
      <c r="F580" s="11"/>
    </row>
    <row r="581" spans="1:6" ht="25.5" x14ac:dyDescent="0.2">
      <c r="A581" s="2262" t="s">
        <v>4297</v>
      </c>
      <c r="B581" s="2253" t="str">
        <f>B26</f>
        <v/>
      </c>
      <c r="C581" s="11"/>
      <c r="D581" s="11"/>
      <c r="E581" s="11"/>
      <c r="F581" s="11"/>
    </row>
    <row r="582" spans="1:6" x14ac:dyDescent="0.2">
      <c r="A582" s="567" t="s">
        <v>3725</v>
      </c>
      <c r="B582" s="2261">
        <f>B134</f>
        <v>56</v>
      </c>
      <c r="C582" s="11"/>
      <c r="D582" s="11"/>
      <c r="E582" s="11"/>
      <c r="F582" s="11"/>
    </row>
    <row r="583" spans="1:6" x14ac:dyDescent="0.2">
      <c r="A583" s="17" t="s">
        <v>4779</v>
      </c>
      <c r="B583" s="2261">
        <f>B145</f>
        <v>2000</v>
      </c>
      <c r="C583" s="11"/>
      <c r="D583" s="11"/>
      <c r="E583" s="11"/>
      <c r="F583" s="11"/>
    </row>
    <row r="584" spans="1:6" x14ac:dyDescent="0.2">
      <c r="A584" s="17"/>
      <c r="B584" s="1057"/>
      <c r="C584" s="11"/>
      <c r="D584" s="11"/>
      <c r="E584" s="11"/>
      <c r="F584" s="11"/>
    </row>
    <row r="585" spans="1:6" ht="18" x14ac:dyDescent="0.25">
      <c r="A585" s="2264" t="s">
        <v>4142</v>
      </c>
      <c r="B585" s="11"/>
      <c r="C585" s="11"/>
      <c r="D585" s="11"/>
      <c r="E585" s="11"/>
      <c r="F585" s="11"/>
    </row>
    <row r="586" spans="1:6" ht="15.75" x14ac:dyDescent="0.25">
      <c r="A586" s="2107" t="s">
        <v>1723</v>
      </c>
      <c r="B586" s="446"/>
      <c r="C586" s="11"/>
      <c r="D586" s="11"/>
      <c r="E586" s="11"/>
      <c r="F586" s="11"/>
    </row>
    <row r="587" spans="1:6" x14ac:dyDescent="0.2">
      <c r="A587" s="2207" t="s">
        <v>4667</v>
      </c>
      <c r="B587" s="2109" t="e">
        <f>INDEX($A$1246:$B$1249,B581,IF(B566&lt;=1,1,2))</f>
        <v>#VALUE!</v>
      </c>
      <c r="C587" s="11"/>
      <c r="D587" s="11"/>
      <c r="E587" s="11"/>
      <c r="F587" s="11"/>
    </row>
    <row r="588" spans="1:6" x14ac:dyDescent="0.2">
      <c r="A588" s="2207" t="s">
        <v>4668</v>
      </c>
      <c r="B588" s="2110">
        <f>IF(B575=0,1,IF(B575=1,0.9,0.85))</f>
        <v>0.85</v>
      </c>
      <c r="C588" s="11"/>
      <c r="D588" s="11"/>
      <c r="E588" s="11"/>
      <c r="F588" s="11"/>
    </row>
    <row r="589" spans="1:6" x14ac:dyDescent="0.2">
      <c r="A589" s="2207" t="s">
        <v>4669</v>
      </c>
      <c r="B589" s="2111" t="e">
        <f>IF(B568&gt;1200,0.8,IF(B568&gt;1050,0.85,IF(B568&gt;900,0.9,IF(B568&gt;700,0.95,1))))</f>
        <v>#VALUE!</v>
      </c>
      <c r="C589" s="11"/>
      <c r="D589" s="11"/>
      <c r="E589" s="11"/>
      <c r="F589" s="11"/>
    </row>
    <row r="590" spans="1:6" x14ac:dyDescent="0.2">
      <c r="A590" s="2207" t="s">
        <v>4670</v>
      </c>
      <c r="B590" s="2111">
        <f>IF(B580&lt;1,1,IF(B580&lt;3.1,0.95,IF(B580&lt;5.1,0.9,IF(B580&lt;7.1,0.85,IF(B580&lt;9.1,0.75,1)))))</f>
        <v>1</v>
      </c>
      <c r="C590" s="11"/>
      <c r="D590" s="11"/>
      <c r="E590" s="11"/>
      <c r="F590" s="11"/>
    </row>
    <row r="591" spans="1:6" x14ac:dyDescent="0.2">
      <c r="A591" s="2209" t="s">
        <v>4671</v>
      </c>
      <c r="B591" s="446"/>
      <c r="C591" s="11"/>
      <c r="D591" s="11"/>
      <c r="E591" s="11"/>
      <c r="F591" s="11"/>
    </row>
    <row r="592" spans="1:6" x14ac:dyDescent="0.2">
      <c r="A592" s="2207" t="s">
        <v>4672</v>
      </c>
      <c r="B592" s="2111">
        <f>IF(B573=0,1,B593)</f>
        <v>1</v>
      </c>
      <c r="C592" s="11"/>
      <c r="D592" s="11"/>
      <c r="E592" s="11"/>
      <c r="F592" s="11"/>
    </row>
    <row r="593" spans="1:6" x14ac:dyDescent="0.2">
      <c r="A593" s="2210" t="s">
        <v>4673</v>
      </c>
      <c r="B593" s="2111">
        <f>IF(B574&gt;8,0.8,IF(B574&gt;7,0.83,IF(B574&gt;6,0.85,IF(B574&gt;5,0.87,IF(B574&gt;4,0.89,IF(B574&gt;3,0.91,IF(B574&gt;2,0.93,IF(B574&gt;1,0.95,0.97))))))))</f>
        <v>0.97</v>
      </c>
      <c r="C593" s="11"/>
      <c r="D593" s="11"/>
      <c r="E593" s="11"/>
      <c r="F593" s="11"/>
    </row>
    <row r="594" spans="1:6" ht="15" x14ac:dyDescent="0.25">
      <c r="A594" s="2211" t="s">
        <v>4674</v>
      </c>
      <c r="B594" s="2116">
        <f>IF(B572&gt;18,0.8,IF(B572&gt;15,0.82,IF(B572&gt;13,0.84,IF(B572&gt;11,0.86,IF(B572&gt;9,0.88,IF(B572&gt;7,0.9,IF(B572&gt;0,0.92,1)))))))</f>
        <v>1</v>
      </c>
      <c r="C594" s="11"/>
      <c r="D594" s="11"/>
      <c r="E594" s="11"/>
      <c r="F594" s="11"/>
    </row>
    <row r="595" spans="1:6" ht="15.75" thickBot="1" x14ac:dyDescent="0.3">
      <c r="A595" s="2212" t="s">
        <v>4675</v>
      </c>
      <c r="B595" s="2118">
        <f>IF(B578=2,IF(B579&lt;45,0.95,0.92),IF(B578=3,IF(B579&lt;75,0.9,0.88),IF(B578=4,IF(B579&lt;105,0.86,0.84),1)))</f>
        <v>1</v>
      </c>
      <c r="C595" s="11"/>
      <c r="D595" s="11"/>
      <c r="E595" s="11"/>
      <c r="F595" s="11"/>
    </row>
    <row r="596" spans="1:6" ht="15.75" thickBot="1" x14ac:dyDescent="0.3">
      <c r="A596" s="2265" t="s">
        <v>40</v>
      </c>
      <c r="B596" s="2120" t="e">
        <f>B587*B588*B589*B590*B592*B594*B595</f>
        <v>#VALUE!</v>
      </c>
      <c r="C596" s="11"/>
      <c r="D596" s="11"/>
      <c r="E596" s="11"/>
      <c r="F596" s="11"/>
    </row>
    <row r="597" spans="1:6" ht="15" x14ac:dyDescent="0.25">
      <c r="A597" s="2165" t="s">
        <v>3823</v>
      </c>
      <c r="B597" s="2145">
        <f>B569</f>
        <v>2</v>
      </c>
      <c r="C597" s="11"/>
      <c r="D597" s="11"/>
      <c r="E597" s="11"/>
      <c r="F597" s="11"/>
    </row>
    <row r="598" spans="1:6" ht="15" x14ac:dyDescent="0.25">
      <c r="A598" s="2168" t="s">
        <v>1723</v>
      </c>
      <c r="B598" s="2169"/>
      <c r="C598" s="11"/>
      <c r="D598" s="11"/>
      <c r="E598" s="11"/>
      <c r="F598" s="11"/>
    </row>
    <row r="599" spans="1:6" ht="15" x14ac:dyDescent="0.25">
      <c r="A599" s="2139" t="s">
        <v>571</v>
      </c>
      <c r="B599" s="2140">
        <f>IF(B576&gt;0.2,0.9,1)</f>
        <v>0.9</v>
      </c>
      <c r="C599" s="11"/>
      <c r="D599" s="11"/>
      <c r="E599" s="11"/>
      <c r="F599" s="11"/>
    </row>
    <row r="600" spans="1:6" ht="15" x14ac:dyDescent="0.25">
      <c r="A600" s="2139" t="s">
        <v>165</v>
      </c>
      <c r="B600" s="2140" t="e">
        <f>IF(B613&gt;5,0.5,1)</f>
        <v>#VALUE!</v>
      </c>
      <c r="C600" s="11"/>
      <c r="D600" s="11"/>
      <c r="E600" s="11"/>
      <c r="F600" s="11"/>
    </row>
    <row r="601" spans="1:6" ht="15" x14ac:dyDescent="0.25">
      <c r="A601" s="2139" t="s">
        <v>1188</v>
      </c>
      <c r="B601" s="2140">
        <f>IF(B570=1,0.9,1)</f>
        <v>0.9</v>
      </c>
      <c r="C601" s="11"/>
      <c r="D601" s="11"/>
      <c r="E601" s="11"/>
      <c r="F601" s="11"/>
    </row>
    <row r="602" spans="1:6" ht="15" x14ac:dyDescent="0.25">
      <c r="A602" s="2125" t="s">
        <v>4666</v>
      </c>
      <c r="B602" s="11"/>
      <c r="C602" s="11"/>
      <c r="D602" s="11"/>
      <c r="E602" s="11"/>
      <c r="F602" s="11"/>
    </row>
    <row r="603" spans="1:6" ht="15" x14ac:dyDescent="0.25">
      <c r="A603" s="2141" t="s">
        <v>1189</v>
      </c>
      <c r="B603" s="2155" t="e">
        <f>ROUNDDOWN((0.12*(B566^0.5)),2)</f>
        <v>#VALUE!</v>
      </c>
      <c r="C603" s="11"/>
      <c r="D603" s="11"/>
      <c r="E603" s="11"/>
      <c r="F603" s="11"/>
    </row>
    <row r="604" spans="1:6" ht="15" x14ac:dyDescent="0.25">
      <c r="A604" s="2125" t="s">
        <v>1190</v>
      </c>
      <c r="B604" s="2171"/>
      <c r="C604" s="11"/>
      <c r="D604" s="11"/>
      <c r="E604" s="11"/>
      <c r="F604" s="11"/>
    </row>
    <row r="605" spans="1:6" ht="15" x14ac:dyDescent="0.25">
      <c r="A605" s="2172" t="s">
        <v>3311</v>
      </c>
      <c r="B605" s="2116">
        <f>IF(B566&lt;0.66,1,IF(B566&lt;1.06,2,IF(B566&lt;1.31,3,IF(B566&lt;1.61,4,IF(B566&lt;1.91,5,IF(B566&lt;2.31,6,B606))))))</f>
        <v>9</v>
      </c>
      <c r="C605" s="11"/>
      <c r="D605" s="11"/>
      <c r="E605" s="11"/>
      <c r="F605" s="11"/>
    </row>
    <row r="606" spans="1:6" ht="15" x14ac:dyDescent="0.25">
      <c r="A606" s="2173" t="s">
        <v>1329</v>
      </c>
      <c r="B606" s="2174">
        <f>IF(B566&lt;2.66,7,IF(B566&lt;2.81,8,9))</f>
        <v>9</v>
      </c>
      <c r="C606" s="11"/>
      <c r="D606" s="11"/>
      <c r="E606" s="11"/>
      <c r="F606" s="11"/>
    </row>
    <row r="607" spans="1:6" ht="15" x14ac:dyDescent="0.25">
      <c r="A607" s="2175" t="s">
        <v>215</v>
      </c>
      <c r="B607" s="2116">
        <f>IF(B567&lt;13,1,IF(B567&lt;25,2,IF(B567&lt;36,3,IF(B567&lt;46,4,IF(B567&lt;61,5,6)))))</f>
        <v>6</v>
      </c>
      <c r="C607" s="11"/>
      <c r="D607" s="11"/>
      <c r="E607" s="11"/>
      <c r="F607" s="11"/>
    </row>
    <row r="608" spans="1:6" ht="15" x14ac:dyDescent="0.25">
      <c r="A608" s="2177" t="s">
        <v>216</v>
      </c>
      <c r="B608" s="2116">
        <f>INDEX($B$1201:$G$1209,B605,B607)</f>
        <v>3.9</v>
      </c>
      <c r="C608" s="11"/>
      <c r="D608" s="11"/>
      <c r="E608" s="11"/>
      <c r="F608" s="11"/>
    </row>
    <row r="609" spans="1:6" ht="15" x14ac:dyDescent="0.25">
      <c r="A609" s="2177" t="s">
        <v>217</v>
      </c>
      <c r="B609" s="2116" t="e">
        <f>B599*B601*B596*B608</f>
        <v>#VALUE!</v>
      </c>
      <c r="C609" s="11"/>
      <c r="D609" s="11"/>
      <c r="E609" s="11"/>
      <c r="F609" s="11"/>
    </row>
    <row r="610" spans="1:6" ht="15" x14ac:dyDescent="0.25">
      <c r="A610" s="2141" t="s">
        <v>218</v>
      </c>
      <c r="B610" s="2116">
        <f>(1/B597)*B565</f>
        <v>1.5</v>
      </c>
      <c r="C610" s="11"/>
      <c r="D610" s="11"/>
      <c r="E610" s="11"/>
      <c r="F610" s="11"/>
    </row>
    <row r="611" spans="1:6" ht="15" x14ac:dyDescent="0.25">
      <c r="A611" s="2150" t="s">
        <v>5252</v>
      </c>
      <c r="B611" s="2116" t="e">
        <f>B610/B609</f>
        <v>#VALUE!</v>
      </c>
      <c r="C611" s="11"/>
      <c r="D611" s="11"/>
      <c r="E611" s="11"/>
      <c r="F611" s="11"/>
    </row>
    <row r="612" spans="1:6" ht="15" x14ac:dyDescent="0.25">
      <c r="A612" s="2125" t="s">
        <v>220</v>
      </c>
      <c r="B612" s="446"/>
      <c r="C612" s="11"/>
      <c r="D612" s="11"/>
      <c r="E612" s="11"/>
      <c r="F612" s="11"/>
    </row>
    <row r="613" spans="1:6" ht="15" x14ac:dyDescent="0.25">
      <c r="A613" s="2179" t="s">
        <v>221</v>
      </c>
      <c r="B613" s="2145" t="e">
        <f>ROUNDDOWN(B569/B603,0)</f>
        <v>#VALUE!</v>
      </c>
      <c r="C613" s="11"/>
      <c r="D613" s="11"/>
      <c r="E613" s="11"/>
      <c r="F613" s="11"/>
    </row>
    <row r="614" spans="1:6" ht="15" x14ac:dyDescent="0.25">
      <c r="A614" s="2180" t="s">
        <v>216</v>
      </c>
      <c r="B614" s="2116">
        <f>B608</f>
        <v>3.9</v>
      </c>
      <c r="C614" s="11"/>
      <c r="D614" s="11"/>
      <c r="E614" s="11"/>
      <c r="F614" s="11"/>
    </row>
    <row r="615" spans="1:6" ht="15" x14ac:dyDescent="0.25">
      <c r="A615" s="2180" t="s">
        <v>2246</v>
      </c>
      <c r="B615" s="2116" t="e">
        <f>B609*B600</f>
        <v>#VALUE!</v>
      </c>
      <c r="C615" s="11"/>
      <c r="D615" s="11"/>
      <c r="E615" s="11"/>
      <c r="F615" s="11"/>
    </row>
    <row r="616" spans="1:6" ht="15" x14ac:dyDescent="0.25">
      <c r="A616" s="2181" t="s">
        <v>5253</v>
      </c>
      <c r="B616" s="2116" t="e">
        <f>B610/B615</f>
        <v>#VALUE!</v>
      </c>
      <c r="C616" s="11"/>
      <c r="D616" s="11"/>
      <c r="E616" s="11"/>
      <c r="F616" s="11"/>
    </row>
    <row r="617" spans="1:6" ht="15" x14ac:dyDescent="0.25">
      <c r="A617" s="2181" t="s">
        <v>2247</v>
      </c>
      <c r="B617" s="2266" t="e">
        <f>IF(B564=1,B611,B616)</f>
        <v>#VALUE!</v>
      </c>
      <c r="C617" s="11"/>
      <c r="D617" s="11"/>
      <c r="E617" s="11"/>
      <c r="F617" s="11"/>
    </row>
    <row r="618" spans="1:6" ht="15" x14ac:dyDescent="0.25">
      <c r="A618" s="65" t="s">
        <v>3265</v>
      </c>
      <c r="B618" s="2116" t="e">
        <f>(((3.14*B603^2)/4)*B569*B610)*B566*2/B603</f>
        <v>#VALUE!</v>
      </c>
      <c r="C618" s="11"/>
      <c r="D618" s="11"/>
      <c r="E618" s="11"/>
      <c r="F618" s="11"/>
    </row>
    <row r="619" spans="1:6" x14ac:dyDescent="0.2">
      <c r="A619" s="989" t="s">
        <v>3266</v>
      </c>
      <c r="B619" s="148" t="e">
        <f>(((3.14*B603^2)/4)*B569*B610)*B566*(B569/B603)/B603</f>
        <v>#VALUE!</v>
      </c>
      <c r="C619" s="11"/>
      <c r="D619" s="11"/>
      <c r="E619" s="11"/>
      <c r="F619" s="11"/>
    </row>
    <row r="620" spans="1:6" ht="15" x14ac:dyDescent="0.25">
      <c r="A620" s="2153" t="s">
        <v>1850</v>
      </c>
      <c r="B620" s="14"/>
      <c r="C620" s="11"/>
      <c r="D620" s="11"/>
      <c r="E620" s="11"/>
      <c r="F620" s="11"/>
    </row>
    <row r="621" spans="1:6" x14ac:dyDescent="0.2">
      <c r="A621" s="2154" t="s">
        <v>1851</v>
      </c>
      <c r="B621" s="11"/>
      <c r="C621" s="11"/>
      <c r="D621" s="11"/>
      <c r="E621" s="11"/>
      <c r="F621" s="11"/>
    </row>
    <row r="622" spans="1:6" ht="15" x14ac:dyDescent="0.25">
      <c r="A622" s="17" t="s">
        <v>1852</v>
      </c>
      <c r="B622" s="2155" t="e">
        <f>B618</f>
        <v>#VALUE!</v>
      </c>
      <c r="C622" s="11"/>
      <c r="D622" s="11"/>
      <c r="E622" s="11"/>
      <c r="F622" s="11"/>
    </row>
    <row r="623" spans="1:6" ht="15" x14ac:dyDescent="0.25">
      <c r="A623" s="17" t="s">
        <v>1853</v>
      </c>
      <c r="B623" s="2155">
        <f>B569</f>
        <v>2</v>
      </c>
      <c r="C623" s="11"/>
      <c r="D623" s="11"/>
      <c r="E623" s="11"/>
      <c r="F623" s="11"/>
    </row>
    <row r="624" spans="1:6" x14ac:dyDescent="0.2">
      <c r="A624" s="24" t="s">
        <v>1854</v>
      </c>
      <c r="B624" s="24">
        <f>IF(B623&lt;2.21,12.9*B623+1.7,28.4)</f>
        <v>27.5</v>
      </c>
      <c r="C624" s="11"/>
      <c r="D624" s="11"/>
      <c r="E624" s="11"/>
      <c r="F624" s="11"/>
    </row>
    <row r="625" spans="1:6" x14ac:dyDescent="0.2">
      <c r="A625" s="24" t="s">
        <v>3267</v>
      </c>
      <c r="B625" s="24" t="e">
        <f>B622/B624</f>
        <v>#VALUE!</v>
      </c>
      <c r="C625" s="11"/>
      <c r="D625" s="11"/>
      <c r="E625" s="11"/>
      <c r="F625" s="11"/>
    </row>
    <row r="626" spans="1:6" ht="15" x14ac:dyDescent="0.25">
      <c r="A626" s="2267" t="s">
        <v>3268</v>
      </c>
      <c r="B626" s="12" t="e">
        <f>B619/B624</f>
        <v>#VALUE!</v>
      </c>
      <c r="C626" s="11"/>
      <c r="D626" s="11"/>
      <c r="E626" s="11"/>
      <c r="F626" s="11"/>
    </row>
    <row r="627" spans="1:6" x14ac:dyDescent="0.2">
      <c r="A627" s="2156" t="s">
        <v>3724</v>
      </c>
      <c r="B627" s="11"/>
      <c r="C627" s="11"/>
      <c r="D627" s="11"/>
      <c r="E627" s="11"/>
      <c r="F627" s="11"/>
    </row>
    <row r="628" spans="1:6" x14ac:dyDescent="0.2">
      <c r="A628" s="24" t="s">
        <v>1852</v>
      </c>
      <c r="B628" s="24" t="e">
        <f>B622</f>
        <v>#VALUE!</v>
      </c>
      <c r="C628" s="11"/>
      <c r="D628" s="11"/>
      <c r="E628" s="11"/>
      <c r="F628" s="11"/>
    </row>
    <row r="629" spans="1:6" x14ac:dyDescent="0.2">
      <c r="A629" s="2158" t="s">
        <v>3726</v>
      </c>
      <c r="B629" s="24">
        <f>79.5*B623^-1.5</f>
        <v>28.107494552165267</v>
      </c>
      <c r="C629" s="11"/>
      <c r="D629" s="11"/>
      <c r="E629" s="11"/>
      <c r="F629" s="11"/>
    </row>
    <row r="630" spans="1:6" x14ac:dyDescent="0.2">
      <c r="A630" s="24" t="s">
        <v>3727</v>
      </c>
      <c r="B630" s="24">
        <f>((3.14*((1.2*(B623*100)^0.5)/100)^2)/4)*B623</f>
        <v>4.5215999999999992E-2</v>
      </c>
      <c r="C630" s="11"/>
      <c r="D630" s="11"/>
      <c r="E630" s="11"/>
      <c r="F630" s="11"/>
    </row>
    <row r="631" spans="1:6" x14ac:dyDescent="0.2">
      <c r="A631" s="24" t="s">
        <v>700</v>
      </c>
      <c r="B631" s="24" t="e">
        <f>B622/B630</f>
        <v>#VALUE!</v>
      </c>
      <c r="C631" s="11"/>
      <c r="D631" s="11"/>
      <c r="E631" s="11"/>
      <c r="F631" s="11"/>
    </row>
    <row r="632" spans="1:6" x14ac:dyDescent="0.2">
      <c r="A632" s="24" t="s">
        <v>701</v>
      </c>
      <c r="B632" s="24" t="e">
        <f>B631/B629</f>
        <v>#VALUE!</v>
      </c>
      <c r="C632" s="11"/>
      <c r="D632" s="11"/>
      <c r="E632" s="11"/>
      <c r="F632" s="11"/>
    </row>
    <row r="633" spans="1:6" x14ac:dyDescent="0.2">
      <c r="A633" s="24" t="s">
        <v>4429</v>
      </c>
      <c r="B633" s="24">
        <f>2.2*(IF(B582&lt;51,32,IF(B582&lt;71,25,21)))</f>
        <v>55.000000000000007</v>
      </c>
      <c r="C633" s="11"/>
      <c r="D633" s="11"/>
      <c r="E633" s="11"/>
      <c r="F633" s="11"/>
    </row>
    <row r="634" spans="1:6" x14ac:dyDescent="0.2">
      <c r="A634" s="24" t="s">
        <v>3269</v>
      </c>
      <c r="B634" s="24" t="e">
        <f>B628/B633</f>
        <v>#VALUE!</v>
      </c>
      <c r="C634" s="11"/>
      <c r="D634" s="11"/>
      <c r="E634" s="11"/>
      <c r="F634" s="11"/>
    </row>
    <row r="635" spans="1:6" x14ac:dyDescent="0.2">
      <c r="A635" s="24" t="s">
        <v>2282</v>
      </c>
      <c r="B635" s="24" t="e">
        <f>B619/B633</f>
        <v>#VALUE!</v>
      </c>
      <c r="C635" s="11"/>
      <c r="D635" s="11"/>
      <c r="E635" s="11"/>
      <c r="F635" s="11"/>
    </row>
    <row r="636" spans="1:6" ht="15" x14ac:dyDescent="0.25">
      <c r="A636" s="2159" t="s">
        <v>2283</v>
      </c>
      <c r="B636" s="806" t="e">
        <f>B634+B625</f>
        <v>#VALUE!</v>
      </c>
      <c r="C636" s="11"/>
      <c r="D636" s="11"/>
      <c r="E636" s="11"/>
      <c r="F636" s="11"/>
    </row>
    <row r="637" spans="1:6" ht="15" x14ac:dyDescent="0.25">
      <c r="A637" s="2159" t="s">
        <v>2284</v>
      </c>
      <c r="B637" s="806" t="e">
        <f>B635+B626</f>
        <v>#VALUE!</v>
      </c>
      <c r="C637" s="11"/>
      <c r="D637" s="11"/>
      <c r="E637" s="11"/>
      <c r="F637" s="11"/>
    </row>
    <row r="638" spans="1:6" ht="15" x14ac:dyDescent="0.25">
      <c r="A638" s="2153" t="s">
        <v>4774</v>
      </c>
      <c r="B638" s="11"/>
      <c r="C638" s="11"/>
      <c r="D638" s="11"/>
      <c r="E638" s="11"/>
      <c r="F638" s="11"/>
    </row>
    <row r="639" spans="1:6" ht="15" x14ac:dyDescent="0.25">
      <c r="A639" s="2160" t="s">
        <v>4778</v>
      </c>
      <c r="B639" s="11"/>
      <c r="C639" s="11"/>
      <c r="D639" s="11"/>
      <c r="E639" s="11"/>
      <c r="F639" s="11"/>
    </row>
    <row r="640" spans="1:6" x14ac:dyDescent="0.2">
      <c r="A640" s="2268"/>
      <c r="B640" s="11"/>
      <c r="C640" s="11"/>
      <c r="D640" s="11"/>
      <c r="E640" s="11"/>
      <c r="F640" s="11"/>
    </row>
    <row r="641" spans="1:6" x14ac:dyDescent="0.2">
      <c r="A641" s="2135" t="s">
        <v>4780</v>
      </c>
      <c r="B641" s="11"/>
      <c r="C641" s="11"/>
      <c r="D641" s="11"/>
      <c r="E641" s="11"/>
      <c r="F641" s="11"/>
    </row>
    <row r="642" spans="1:6" x14ac:dyDescent="0.2">
      <c r="A642" s="24" t="s">
        <v>4781</v>
      </c>
      <c r="B642" s="24" t="e">
        <f>B622</f>
        <v>#VALUE!</v>
      </c>
      <c r="C642" s="11"/>
      <c r="D642" s="11"/>
      <c r="E642" s="11"/>
      <c r="F642" s="11"/>
    </row>
    <row r="643" spans="1:6" x14ac:dyDescent="0.2">
      <c r="A643" s="24" t="s">
        <v>5147</v>
      </c>
      <c r="B643" s="24">
        <f>16111*B583^-0.653</f>
        <v>112.60298683393111</v>
      </c>
      <c r="C643" s="11"/>
      <c r="D643" s="11"/>
      <c r="E643" s="11"/>
      <c r="F643" s="11"/>
    </row>
    <row r="644" spans="1:6" x14ac:dyDescent="0.2">
      <c r="A644" s="24" t="s">
        <v>2285</v>
      </c>
      <c r="B644" s="24" t="e">
        <f>B642/B643</f>
        <v>#VALUE!</v>
      </c>
      <c r="C644" s="11"/>
      <c r="D644" s="11"/>
      <c r="E644" s="11"/>
      <c r="F644" s="11"/>
    </row>
    <row r="645" spans="1:6" x14ac:dyDescent="0.2">
      <c r="A645" s="24" t="s">
        <v>2286</v>
      </c>
      <c r="B645" s="24" t="e">
        <f>B619/B643</f>
        <v>#VALUE!</v>
      </c>
      <c r="C645" s="11"/>
      <c r="D645" s="11"/>
      <c r="E645" s="11"/>
      <c r="F645" s="11"/>
    </row>
    <row r="646" spans="1:6" ht="15" x14ac:dyDescent="0.25">
      <c r="A646" s="2160" t="s">
        <v>3093</v>
      </c>
      <c r="B646" s="11"/>
      <c r="C646" s="11"/>
      <c r="D646" s="11"/>
      <c r="E646" s="11"/>
      <c r="F646" s="11"/>
    </row>
    <row r="647" spans="1:6" x14ac:dyDescent="0.2">
      <c r="A647" s="2161" t="s">
        <v>3743</v>
      </c>
      <c r="B647" s="11"/>
      <c r="C647" s="11"/>
      <c r="D647" s="11"/>
      <c r="E647" s="11"/>
      <c r="F647" s="11"/>
    </row>
    <row r="648" spans="1:6" x14ac:dyDescent="0.2">
      <c r="A648" s="24" t="s">
        <v>3094</v>
      </c>
      <c r="B648" s="24" t="e">
        <f>B642</f>
        <v>#VALUE!</v>
      </c>
      <c r="C648" s="11"/>
      <c r="D648" s="11"/>
      <c r="E648" s="11"/>
      <c r="F648" s="11"/>
    </row>
    <row r="649" spans="1:6" x14ac:dyDescent="0.2">
      <c r="A649" s="24" t="s">
        <v>3091</v>
      </c>
      <c r="B649" s="24">
        <v>8.6999999999999993</v>
      </c>
      <c r="C649" s="11"/>
      <c r="D649" s="11"/>
      <c r="E649" s="11"/>
      <c r="F649" s="11"/>
    </row>
    <row r="650" spans="1:6" x14ac:dyDescent="0.2">
      <c r="A650" s="24" t="s">
        <v>5133</v>
      </c>
      <c r="B650" s="24" t="e">
        <f>B648*0.9/B649</f>
        <v>#VALUE!</v>
      </c>
      <c r="C650" s="11"/>
      <c r="D650" s="11"/>
      <c r="E650" s="11"/>
      <c r="F650" s="11"/>
    </row>
    <row r="651" spans="1:6" x14ac:dyDescent="0.2">
      <c r="A651" s="24" t="s">
        <v>5134</v>
      </c>
      <c r="B651" s="24" t="e">
        <f>B619*0.9/B649</f>
        <v>#VALUE!</v>
      </c>
      <c r="C651" s="11"/>
      <c r="D651" s="11"/>
      <c r="E651" s="11"/>
      <c r="F651" s="11"/>
    </row>
    <row r="652" spans="1:6" ht="15" x14ac:dyDescent="0.25">
      <c r="A652" s="2159" t="s">
        <v>3747</v>
      </c>
      <c r="B652" s="806" t="e">
        <f>B650+B644</f>
        <v>#VALUE!</v>
      </c>
      <c r="C652" s="11"/>
      <c r="D652" s="11"/>
      <c r="E652" s="11"/>
      <c r="F652" s="11"/>
    </row>
    <row r="653" spans="1:6" ht="15" x14ac:dyDescent="0.25">
      <c r="A653" s="2159" t="s">
        <v>3748</v>
      </c>
      <c r="B653" s="806" t="e">
        <f>B651+B645</f>
        <v>#VALUE!</v>
      </c>
      <c r="C653" s="11"/>
      <c r="D653" s="11"/>
      <c r="E653" s="11"/>
      <c r="F653" s="11"/>
    </row>
    <row r="654" spans="1:6" x14ac:dyDescent="0.2">
      <c r="A654" s="806" t="s">
        <v>3749</v>
      </c>
      <c r="B654" s="806" t="e">
        <f>B652+B636</f>
        <v>#VALUE!</v>
      </c>
      <c r="C654" s="11"/>
      <c r="D654" s="11"/>
      <c r="E654" s="11"/>
      <c r="F654" s="11"/>
    </row>
    <row r="655" spans="1:6" x14ac:dyDescent="0.2">
      <c r="A655" s="806" t="s">
        <v>3750</v>
      </c>
      <c r="B655" s="806" t="e">
        <f>B653+B637</f>
        <v>#VALUE!</v>
      </c>
      <c r="C655" s="11"/>
      <c r="D655" s="11"/>
      <c r="E655" s="11"/>
      <c r="F655" s="11"/>
    </row>
    <row r="656" spans="1:6" ht="15.75" x14ac:dyDescent="0.25">
      <c r="A656" s="2269" t="s">
        <v>3751</v>
      </c>
      <c r="B656" s="28"/>
      <c r="C656" s="28"/>
      <c r="D656" s="11"/>
      <c r="E656" s="11"/>
      <c r="F656" s="11"/>
    </row>
    <row r="657" spans="1:6" ht="15.75" x14ac:dyDescent="0.25">
      <c r="A657" s="2270"/>
      <c r="B657" s="29"/>
      <c r="C657" s="29"/>
      <c r="D657" s="11"/>
      <c r="E657" s="11"/>
      <c r="F657" s="11"/>
    </row>
    <row r="658" spans="1:6" ht="18.75" x14ac:dyDescent="0.3">
      <c r="A658" s="2271" t="s">
        <v>3752</v>
      </c>
      <c r="B658" s="28"/>
      <c r="C658" s="28"/>
      <c r="D658" s="11"/>
      <c r="E658" s="11"/>
      <c r="F658" s="11"/>
    </row>
    <row r="659" spans="1:6" ht="18.75" x14ac:dyDescent="0.3">
      <c r="A659" s="2272" t="s">
        <v>1413</v>
      </c>
      <c r="B659" s="446"/>
      <c r="C659" s="2273"/>
      <c r="D659" s="11"/>
      <c r="E659" s="11"/>
      <c r="F659" s="11"/>
    </row>
    <row r="660" spans="1:6" ht="15" x14ac:dyDescent="0.25">
      <c r="A660" s="2250" t="s">
        <v>5602</v>
      </c>
      <c r="B660" s="2251" t="str">
        <f>B18</f>
        <v/>
      </c>
      <c r="C660" s="2274"/>
      <c r="D660" s="11"/>
      <c r="E660" s="11"/>
      <c r="F660" s="11"/>
    </row>
    <row r="661" spans="1:6" ht="15" x14ac:dyDescent="0.25">
      <c r="A661" s="2250" t="s">
        <v>2387</v>
      </c>
      <c r="B661" s="2251" t="str">
        <f>B19</f>
        <v/>
      </c>
      <c r="C661" s="2274"/>
      <c r="D661" s="11"/>
      <c r="E661" s="11"/>
      <c r="F661" s="11"/>
    </row>
    <row r="662" spans="1:6" ht="15" x14ac:dyDescent="0.25">
      <c r="A662" s="2252" t="s">
        <v>2389</v>
      </c>
      <c r="B662" s="2253" t="e">
        <f>B21</f>
        <v>#VALUE!</v>
      </c>
      <c r="C662" s="2274"/>
      <c r="D662" s="11"/>
      <c r="E662" s="11"/>
      <c r="F662" s="11"/>
    </row>
    <row r="663" spans="1:6" x14ac:dyDescent="0.2">
      <c r="A663" s="2262" t="s">
        <v>1027</v>
      </c>
      <c r="B663" s="2253">
        <f>B25</f>
        <v>0</v>
      </c>
      <c r="C663" s="11"/>
      <c r="D663" s="11"/>
      <c r="E663" s="11"/>
      <c r="F663" s="11"/>
    </row>
    <row r="664" spans="1:6" ht="25.5" x14ac:dyDescent="0.2">
      <c r="A664" s="2262" t="s">
        <v>4297</v>
      </c>
      <c r="B664" s="2253" t="str">
        <f>B26</f>
        <v/>
      </c>
      <c r="C664" s="11"/>
      <c r="D664" s="11"/>
      <c r="E664" s="11"/>
      <c r="F664" s="11"/>
    </row>
    <row r="665" spans="1:6" ht="15" x14ac:dyDescent="0.25">
      <c r="A665" s="2142" t="s">
        <v>464</v>
      </c>
      <c r="B665" s="2164" t="str">
        <f>B24</f>
        <v/>
      </c>
      <c r="C665" s="11"/>
      <c r="D665" s="11"/>
      <c r="E665" s="11"/>
      <c r="F665" s="11"/>
    </row>
    <row r="666" spans="1:6" ht="25.5" x14ac:dyDescent="0.2">
      <c r="A666" s="2263" t="s">
        <v>2259</v>
      </c>
      <c r="B666" s="2261" t="str">
        <f>B22</f>
        <v/>
      </c>
      <c r="C666" s="11"/>
      <c r="D666" s="11"/>
      <c r="E666" s="11"/>
      <c r="F666" s="11"/>
    </row>
    <row r="667" spans="1:6" x14ac:dyDescent="0.2">
      <c r="A667" s="65" t="s">
        <v>694</v>
      </c>
      <c r="B667" s="2261">
        <f>B55</f>
        <v>2</v>
      </c>
      <c r="C667" s="11"/>
      <c r="D667" s="11"/>
      <c r="E667" s="11"/>
      <c r="F667" s="11"/>
    </row>
    <row r="668" spans="1:6" x14ac:dyDescent="0.2">
      <c r="A668" s="2262" t="s">
        <v>3753</v>
      </c>
      <c r="B668" s="2253">
        <f>B28</f>
        <v>0</v>
      </c>
      <c r="C668" s="11"/>
      <c r="D668" s="11"/>
      <c r="E668" s="11"/>
      <c r="F668" s="11"/>
    </row>
    <row r="669" spans="1:6" x14ac:dyDescent="0.2">
      <c r="A669" s="2262" t="str">
        <f>IF(B668&gt;0,"Количество взрываний в лаве в сут.","Не вводить")</f>
        <v>Не вводить</v>
      </c>
      <c r="B669" s="2275">
        <f>B29</f>
        <v>0</v>
      </c>
      <c r="C669" s="11"/>
      <c r="D669" s="11"/>
      <c r="E669" s="11"/>
      <c r="F669" s="11"/>
    </row>
    <row r="670" spans="1:6" x14ac:dyDescent="0.2">
      <c r="A670" s="2262" t="str">
        <f>IF(B668=1,"Количество взрываемых шпуров за сут.","Не вводить")</f>
        <v>Не вводить</v>
      </c>
      <c r="B670" s="2253">
        <f>B30</f>
        <v>0</v>
      </c>
      <c r="C670" s="11"/>
      <c r="D670" s="11"/>
      <c r="E670" s="29"/>
      <c r="F670" s="11"/>
    </row>
    <row r="671" spans="1:6" x14ac:dyDescent="0.2">
      <c r="A671" s="2262" t="s">
        <v>4300</v>
      </c>
      <c r="B671" s="2253">
        <f>B31</f>
        <v>0</v>
      </c>
      <c r="C671" s="11"/>
      <c r="D671" s="11"/>
      <c r="E671" s="11"/>
      <c r="F671" s="11"/>
    </row>
    <row r="672" spans="1:6" ht="25.5" x14ac:dyDescent="0.2">
      <c r="A672" s="2276" t="s">
        <v>4301</v>
      </c>
      <c r="B672" s="2253">
        <f>B33</f>
        <v>0</v>
      </c>
      <c r="C672" s="11"/>
      <c r="D672" s="11"/>
      <c r="E672" s="11"/>
      <c r="F672" s="11"/>
    </row>
    <row r="673" spans="1:6" x14ac:dyDescent="0.2">
      <c r="A673" s="2262" t="str">
        <f>IF(B672&gt;0,"Количество взрываний в нишах, в сут","не вводить")</f>
        <v>не вводить</v>
      </c>
      <c r="B673" s="2253">
        <f>B34</f>
        <v>0</v>
      </c>
      <c r="C673" s="11"/>
      <c r="D673" s="11"/>
      <c r="E673" s="11"/>
      <c r="F673" s="11"/>
    </row>
    <row r="674" spans="1:6" ht="18" x14ac:dyDescent="0.25">
      <c r="A674" s="2277" t="s">
        <v>4142</v>
      </c>
      <c r="B674" s="2278"/>
      <c r="C674" s="11"/>
      <c r="D674" s="11"/>
      <c r="E674" s="11"/>
      <c r="F674" s="11"/>
    </row>
    <row r="675" spans="1:6" ht="15.75" x14ac:dyDescent="0.25">
      <c r="A675" s="2206" t="s">
        <v>1723</v>
      </c>
      <c r="B675" s="446"/>
      <c r="C675" s="11"/>
      <c r="D675" s="11"/>
      <c r="E675" s="11"/>
      <c r="F675" s="11"/>
    </row>
    <row r="676" spans="1:6" x14ac:dyDescent="0.2">
      <c r="A676" s="2207" t="s">
        <v>4667</v>
      </c>
      <c r="B676" s="2109" t="e">
        <f>INDEX($A$1246:$B$1249,B664,IF(B660&lt;=1,1,2))</f>
        <v>#VALUE!</v>
      </c>
      <c r="C676" s="11"/>
      <c r="D676" s="11"/>
      <c r="E676" s="11"/>
      <c r="F676" s="11"/>
    </row>
    <row r="677" spans="1:6" x14ac:dyDescent="0.2">
      <c r="A677" s="2207" t="s">
        <v>4668</v>
      </c>
      <c r="B677" s="2110">
        <f>IF(B666=0,1,IF(B666=1,0.9,0.85))</f>
        <v>0.85</v>
      </c>
      <c r="C677" s="11"/>
      <c r="D677" s="11"/>
      <c r="E677" s="11"/>
      <c r="F677" s="11"/>
    </row>
    <row r="678" spans="1:6" x14ac:dyDescent="0.2">
      <c r="A678" s="2207" t="s">
        <v>4669</v>
      </c>
      <c r="B678" s="2111" t="e">
        <f>IF(B662&gt;1200,0.8,IF(B662&gt;1050,0.85,IF(B662&gt;900,0.9,IF(B662&gt;700,0.95,1))))</f>
        <v>#VALUE!</v>
      </c>
      <c r="C678" s="11"/>
      <c r="D678" s="11"/>
      <c r="E678" s="11"/>
      <c r="F678" s="11"/>
    </row>
    <row r="679" spans="1:6" x14ac:dyDescent="0.2">
      <c r="A679" s="2207" t="s">
        <v>4670</v>
      </c>
      <c r="B679" s="2111">
        <f>IF(B663&lt;1,1,IF(B663&lt;3.1,0.95,IF(B663&lt;5.1,0.9,IF(B663&lt;7.1,0.85,IF(B663&lt;9.1,0.75,1)))))</f>
        <v>1</v>
      </c>
      <c r="C679" s="11"/>
      <c r="D679" s="11"/>
      <c r="E679" s="11"/>
      <c r="F679" s="11"/>
    </row>
    <row r="680" spans="1:6" x14ac:dyDescent="0.2">
      <c r="A680" s="2209" t="s">
        <v>4671</v>
      </c>
      <c r="B680" s="446"/>
      <c r="C680" s="29"/>
      <c r="D680" s="29"/>
      <c r="E680" s="11"/>
      <c r="F680" s="11"/>
    </row>
    <row r="681" spans="1:6" x14ac:dyDescent="0.2">
      <c r="A681" s="2207" t="s">
        <v>4672</v>
      </c>
      <c r="B681" s="2111">
        <f>IF(B672=0,1,B682)</f>
        <v>1</v>
      </c>
      <c r="C681" s="29"/>
      <c r="D681" s="29"/>
      <c r="E681" s="11"/>
      <c r="F681" s="11"/>
    </row>
    <row r="682" spans="1:6" x14ac:dyDescent="0.2">
      <c r="A682" s="2210" t="s">
        <v>4673</v>
      </c>
      <c r="B682" s="2111">
        <f>IF(B673&gt;8,0.8,IF(B673&gt;7,0.83,IF(B673&gt;6,0.85,IF(B673&gt;5,0.87,IF(B673&gt;4,0.89,IF(B673&gt;3,0.91,IF(B673&gt;2,0.93,IF(B673&gt;1,0.95,0.97))))))))</f>
        <v>0.97</v>
      </c>
      <c r="C682" s="29"/>
      <c r="D682" s="29"/>
      <c r="E682" s="11"/>
      <c r="F682" s="11"/>
    </row>
    <row r="683" spans="1:6" ht="15" x14ac:dyDescent="0.25">
      <c r="A683" s="2211" t="s">
        <v>4674</v>
      </c>
      <c r="B683" s="2116">
        <f>IF(B669&gt;18,0.8,IF(B669&gt;15,0.82,IF(B669&gt;13,0.84,IF(B669&gt;11,0.86,IF(B669&gt;9,0.88,IF(B669&gt;7,0.9,IF(B669&gt;0,0.92,1)))))))</f>
        <v>1</v>
      </c>
      <c r="C683" s="29"/>
      <c r="D683" s="29"/>
      <c r="E683" s="11"/>
      <c r="F683" s="11"/>
    </row>
    <row r="684" spans="1:6" ht="15.75" thickBot="1" x14ac:dyDescent="0.3">
      <c r="A684" s="2212" t="s">
        <v>4675</v>
      </c>
      <c r="B684" s="2118">
        <f>IF(B669=2,IF(B670&lt;45,0.95,0.92),IF(B669=3,IF(B670&lt;75,0.9,0.88),IF(B669=4,IF(B670&lt;105,0.86,0.84),1)))</f>
        <v>1</v>
      </c>
      <c r="C684" s="11"/>
      <c r="D684" s="11"/>
      <c r="E684" s="11"/>
      <c r="F684" s="11"/>
    </row>
    <row r="685" spans="1:6" ht="15.75" thickBot="1" x14ac:dyDescent="0.3">
      <c r="A685" s="2265" t="s">
        <v>40</v>
      </c>
      <c r="B685" s="2120" t="e">
        <f>B676*B677*B678*B679*B681*B683*B684</f>
        <v>#VALUE!</v>
      </c>
      <c r="C685" s="11"/>
      <c r="D685" s="11"/>
      <c r="E685" s="11"/>
      <c r="F685" s="11"/>
    </row>
    <row r="686" spans="1:6" ht="15" x14ac:dyDescent="0.25">
      <c r="A686" s="2279" t="s">
        <v>3822</v>
      </c>
      <c r="B686" s="11"/>
      <c r="C686" s="11"/>
      <c r="D686" s="11"/>
      <c r="E686" s="11"/>
      <c r="F686" s="11"/>
    </row>
    <row r="687" spans="1:6" ht="15" x14ac:dyDescent="0.25">
      <c r="A687" s="2165" t="s">
        <v>3823</v>
      </c>
      <c r="B687" s="2145">
        <f>B667</f>
        <v>2</v>
      </c>
      <c r="C687" s="11"/>
      <c r="D687" s="11"/>
      <c r="E687" s="11"/>
      <c r="F687" s="11"/>
    </row>
    <row r="688" spans="1:6" ht="15" x14ac:dyDescent="0.25">
      <c r="A688" s="2165" t="s">
        <v>3824</v>
      </c>
      <c r="B688" s="2145">
        <f>B54</f>
        <v>2</v>
      </c>
      <c r="C688" s="11"/>
      <c r="D688" s="11"/>
      <c r="E688" s="11"/>
      <c r="F688" s="11"/>
    </row>
    <row r="689" spans="1:6" ht="26.25" x14ac:dyDescent="0.25">
      <c r="A689" s="2165" t="s">
        <v>2528</v>
      </c>
      <c r="B689" s="2143">
        <v>1</v>
      </c>
      <c r="C689" s="11"/>
      <c r="D689" s="11"/>
      <c r="E689" s="11"/>
      <c r="F689" s="11"/>
    </row>
    <row r="690" spans="1:6" ht="15" x14ac:dyDescent="0.25">
      <c r="A690" s="2168" t="s">
        <v>1723</v>
      </c>
      <c r="B690" s="2169"/>
      <c r="C690" s="11"/>
      <c r="D690" s="11"/>
      <c r="E690" s="11"/>
      <c r="F690" s="11"/>
    </row>
    <row r="691" spans="1:6" ht="15" x14ac:dyDescent="0.25">
      <c r="A691" s="2139" t="s">
        <v>571</v>
      </c>
      <c r="B691" s="2140">
        <f>IF(B665&gt;0.2,0.9,1)</f>
        <v>0.9</v>
      </c>
      <c r="C691" s="11"/>
      <c r="D691" s="11"/>
      <c r="E691" s="11"/>
      <c r="F691" s="11"/>
    </row>
    <row r="692" spans="1:6" ht="15" x14ac:dyDescent="0.25">
      <c r="A692" s="2139" t="s">
        <v>1188</v>
      </c>
      <c r="B692" s="2140">
        <f>IF(B689=1,0.9,1)</f>
        <v>0.9</v>
      </c>
      <c r="C692" s="11"/>
      <c r="D692" s="11"/>
      <c r="E692" s="11"/>
      <c r="F692" s="11"/>
    </row>
    <row r="693" spans="1:6" ht="15" x14ac:dyDescent="0.25">
      <c r="A693" s="2125" t="s">
        <v>4666</v>
      </c>
      <c r="B693" s="11"/>
      <c r="C693" s="11"/>
      <c r="D693" s="11"/>
      <c r="E693" s="11"/>
      <c r="F693" s="11"/>
    </row>
    <row r="694" spans="1:6" ht="15" x14ac:dyDescent="0.25">
      <c r="A694" s="2141" t="s">
        <v>1189</v>
      </c>
      <c r="B694" s="2155" t="e">
        <f>ROUNDDOWN((0.12*(B660^0.5)),2)</f>
        <v>#VALUE!</v>
      </c>
      <c r="C694" s="11"/>
      <c r="D694" s="11"/>
      <c r="E694" s="11"/>
      <c r="F694" s="11"/>
    </row>
    <row r="695" spans="1:6" ht="15" x14ac:dyDescent="0.25">
      <c r="A695" s="2172" t="s">
        <v>3311</v>
      </c>
      <c r="B695" s="2116">
        <f>IF(B660&lt;0.66,1,IF(B660&lt;1.06,2,IF(B660&lt;1.31,3,IF(B660&lt;1.61,4,IF(B660&lt;1.91,5,IF(B660&lt;2.31,6,B696))))))</f>
        <v>9</v>
      </c>
      <c r="C695" s="11"/>
      <c r="D695" s="11"/>
      <c r="E695" s="11"/>
      <c r="F695" s="11"/>
    </row>
    <row r="696" spans="1:6" ht="15" x14ac:dyDescent="0.25">
      <c r="A696" s="2173" t="s">
        <v>1329</v>
      </c>
      <c r="B696" s="2174">
        <f>IF(B660&lt;2.66,7,IF(B660&lt;2.81,8,9))</f>
        <v>9</v>
      </c>
      <c r="C696" s="11"/>
      <c r="D696" s="11"/>
      <c r="E696" s="11"/>
      <c r="F696" s="11"/>
    </row>
    <row r="697" spans="1:6" ht="15" x14ac:dyDescent="0.25">
      <c r="A697" s="2175" t="s">
        <v>215</v>
      </c>
      <c r="B697" s="2116">
        <f>IF(B661&lt;13,1,IF(B661&lt;25,2,IF(B661&lt;36,3,IF(B661&lt;46,4,IF(B661&lt;61,5,6)))))</f>
        <v>6</v>
      </c>
      <c r="C697" s="11"/>
      <c r="D697" s="11"/>
      <c r="E697" s="11"/>
      <c r="F697" s="11"/>
    </row>
    <row r="698" spans="1:6" ht="15" x14ac:dyDescent="0.25">
      <c r="A698" s="2177" t="s">
        <v>216</v>
      </c>
      <c r="B698" s="2116">
        <f>INDEX($B$1201:$G$1209,B695,B697)</f>
        <v>3.9</v>
      </c>
      <c r="C698" s="11"/>
      <c r="D698" s="11"/>
      <c r="E698" s="11"/>
      <c r="F698" s="11"/>
    </row>
    <row r="699" spans="1:6" ht="15" x14ac:dyDescent="0.25">
      <c r="A699" s="2177" t="s">
        <v>217</v>
      </c>
      <c r="B699" s="2116" t="e">
        <f>B691*B692*B685*B698</f>
        <v>#VALUE!</v>
      </c>
      <c r="C699" s="11"/>
      <c r="D699" s="11"/>
      <c r="E699" s="11"/>
      <c r="F699" s="11"/>
    </row>
    <row r="700" spans="1:6" ht="15" x14ac:dyDescent="0.25">
      <c r="A700" s="2178" t="s">
        <v>218</v>
      </c>
      <c r="B700" s="2151">
        <f>(1/B687)*B688</f>
        <v>1</v>
      </c>
      <c r="C700" s="11"/>
      <c r="D700" s="11"/>
      <c r="E700" s="11"/>
      <c r="F700" s="11"/>
    </row>
    <row r="701" spans="1:6" ht="15" x14ac:dyDescent="0.25">
      <c r="A701" s="2150" t="s">
        <v>219</v>
      </c>
      <c r="B701" s="2151" t="e">
        <f>B700/B699</f>
        <v>#VALUE!</v>
      </c>
      <c r="C701" s="11"/>
      <c r="D701" s="11"/>
      <c r="E701" s="11"/>
      <c r="F701" s="11"/>
    </row>
    <row r="702" spans="1:6" ht="15" x14ac:dyDescent="0.25">
      <c r="A702" s="65" t="s">
        <v>3818</v>
      </c>
      <c r="B702" s="2155" t="e">
        <f>(((3.14*B694^2)/4)*B667*B700)*(B660*2/B694)</f>
        <v>#VALUE!</v>
      </c>
      <c r="C702" s="11"/>
      <c r="D702" s="11"/>
      <c r="E702" s="11"/>
      <c r="F702" s="11"/>
    </row>
    <row r="703" spans="1:6" x14ac:dyDescent="0.2">
      <c r="A703" s="2268"/>
      <c r="B703" s="11"/>
      <c r="C703" s="11"/>
      <c r="D703" s="11"/>
      <c r="E703" s="11"/>
      <c r="F703" s="11"/>
    </row>
    <row r="704" spans="1:6" ht="15" x14ac:dyDescent="0.25">
      <c r="A704" s="2280" t="s">
        <v>3754</v>
      </c>
      <c r="B704" s="11"/>
      <c r="C704" s="11"/>
      <c r="D704" s="11"/>
      <c r="E704" s="11"/>
      <c r="F704" s="11"/>
    </row>
    <row r="705" spans="1:6" x14ac:dyDescent="0.2">
      <c r="A705" s="2142" t="s">
        <v>3755</v>
      </c>
      <c r="B705" s="1057">
        <v>1</v>
      </c>
      <c r="C705" s="11"/>
      <c r="D705" s="11"/>
      <c r="E705" s="11"/>
      <c r="F705" s="11"/>
    </row>
    <row r="706" spans="1:6" ht="26.25" x14ac:dyDescent="0.25">
      <c r="A706" s="2165" t="s">
        <v>206</v>
      </c>
      <c r="B706" s="2143">
        <v>0</v>
      </c>
      <c r="C706" s="11"/>
      <c r="D706" s="11"/>
      <c r="E706" s="11"/>
      <c r="F706" s="11"/>
    </row>
    <row r="707" spans="1:6" ht="15" x14ac:dyDescent="0.25">
      <c r="A707" s="2165" t="s">
        <v>207</v>
      </c>
      <c r="B707" s="2143">
        <v>2</v>
      </c>
      <c r="C707" s="11"/>
      <c r="D707" s="11"/>
      <c r="E707" s="11"/>
      <c r="F707" s="11"/>
    </row>
    <row r="708" spans="1:6" ht="15" x14ac:dyDescent="0.25">
      <c r="A708" s="2281" t="s">
        <v>570</v>
      </c>
      <c r="B708" s="2282"/>
      <c r="C708" s="11"/>
      <c r="D708" s="11"/>
      <c r="E708" s="11"/>
      <c r="F708" s="11"/>
    </row>
    <row r="709" spans="1:6" ht="15" x14ac:dyDescent="0.25">
      <c r="A709" s="2139" t="s">
        <v>208</v>
      </c>
      <c r="B709" s="2140">
        <f>IF(B705=1,IF(B661&gt;17,1.1,IF(B661&gt;10,1.05,1)),IF(B705=2,IF(B661&gt;17,0.65,IF(B661&gt;10,0.85,IF(B661&gt;5,0.95,1))),1))</f>
        <v>1.1000000000000001</v>
      </c>
      <c r="C709" s="11"/>
      <c r="D709" s="11"/>
      <c r="E709" s="11"/>
      <c r="F709" s="11"/>
    </row>
    <row r="710" spans="1:6" ht="15" x14ac:dyDescent="0.25">
      <c r="A710" s="2139" t="s">
        <v>209</v>
      </c>
      <c r="B710" s="2140">
        <f>IF(B706=1,1.5,1)</f>
        <v>1</v>
      </c>
      <c r="C710" s="11"/>
      <c r="D710" s="11"/>
      <c r="E710" s="11"/>
      <c r="F710" s="11"/>
    </row>
    <row r="711" spans="1:6" ht="15.75" thickBot="1" x14ac:dyDescent="0.3">
      <c r="A711" s="2139" t="s">
        <v>210</v>
      </c>
      <c r="B711" s="2140">
        <f>IF(B707=1,0.7,1)</f>
        <v>1</v>
      </c>
      <c r="C711" s="11"/>
      <c r="D711" s="11"/>
      <c r="E711" s="11"/>
      <c r="F711" s="11"/>
    </row>
    <row r="712" spans="1:6" ht="15.75" thickBot="1" x14ac:dyDescent="0.3">
      <c r="A712" s="11"/>
      <c r="B712" s="2120">
        <f>B709*B710*B711</f>
        <v>1.1000000000000001</v>
      </c>
      <c r="C712" s="11"/>
      <c r="D712" s="11"/>
      <c r="E712" s="11"/>
      <c r="F712" s="11"/>
    </row>
    <row r="713" spans="1:6" ht="15" x14ac:dyDescent="0.25">
      <c r="A713" s="2125" t="s">
        <v>4666</v>
      </c>
      <c r="B713" s="2283"/>
      <c r="C713" s="11"/>
      <c r="D713" s="11"/>
      <c r="E713" s="11"/>
      <c r="F713" s="11"/>
    </row>
    <row r="714" spans="1:6" ht="17.25" x14ac:dyDescent="0.25">
      <c r="A714" s="17" t="s">
        <v>3756</v>
      </c>
      <c r="B714" s="2284" t="e">
        <f>((B667-0.4)^2)*B660</f>
        <v>#VALUE!</v>
      </c>
      <c r="C714" s="11"/>
      <c r="D714" s="11"/>
      <c r="E714" s="11"/>
      <c r="F714" s="11"/>
    </row>
    <row r="715" spans="1:6" ht="17.25" x14ac:dyDescent="0.25">
      <c r="A715" s="17" t="s">
        <v>3757</v>
      </c>
      <c r="B715" s="2284" t="e">
        <f>B714*B700*B688</f>
        <v>#VALUE!</v>
      </c>
      <c r="C715" s="11"/>
      <c r="D715" s="11"/>
      <c r="E715" s="11"/>
      <c r="F715" s="11"/>
    </row>
    <row r="716" spans="1:6" ht="15" x14ac:dyDescent="0.25">
      <c r="A716" s="2285" t="s">
        <v>1329</v>
      </c>
      <c r="B716" s="2174">
        <f>IF(B660&lt;1.16,8.89,IF(B660&lt;1.26,9.57,IF(B660&lt;1.46,10.9,12.2)))</f>
        <v>12.2</v>
      </c>
      <c r="C716" s="11"/>
      <c r="D716" s="11"/>
      <c r="E716" s="11"/>
      <c r="F716" s="11"/>
    </row>
    <row r="717" spans="1:6" ht="17.25" x14ac:dyDescent="0.25">
      <c r="A717" s="2146" t="s">
        <v>1876</v>
      </c>
      <c r="B717" s="2116">
        <f>IF(B660&lt;0.61,5.9,IF(B660&lt;0.71,6.05,IF(B660&lt;0.76,6.88,IF(B660&lt;0.86,7.29,IF(B660&lt;0.96,7.79,IF(B660&lt;1.06,8.31,B716))))))</f>
        <v>12.2</v>
      </c>
      <c r="C717" s="11"/>
      <c r="D717" s="11"/>
      <c r="E717" s="11"/>
      <c r="F717" s="11"/>
    </row>
    <row r="718" spans="1:6" ht="15" x14ac:dyDescent="0.25">
      <c r="A718" s="2286" t="s">
        <v>1349</v>
      </c>
      <c r="B718" s="2146" t="e">
        <f>B717*B712*B685</f>
        <v>#VALUE!</v>
      </c>
      <c r="C718" s="11"/>
      <c r="D718" s="11"/>
      <c r="E718" s="11"/>
      <c r="F718" s="11"/>
    </row>
    <row r="719" spans="1:6" ht="15" x14ac:dyDescent="0.25">
      <c r="A719" s="2126" t="s">
        <v>568</v>
      </c>
      <c r="B719" s="2124" t="e">
        <f>B715/B718</f>
        <v>#VALUE!</v>
      </c>
      <c r="C719" s="11"/>
      <c r="D719" s="11"/>
      <c r="E719" s="11"/>
      <c r="F719" s="11"/>
    </row>
    <row r="720" spans="1:6" ht="15" x14ac:dyDescent="0.25">
      <c r="A720" s="11"/>
      <c r="B720" s="2153" t="s">
        <v>1850</v>
      </c>
      <c r="C720" s="11"/>
      <c r="D720" s="11"/>
      <c r="E720" s="11"/>
      <c r="F720" s="11"/>
    </row>
    <row r="721" spans="1:6" x14ac:dyDescent="0.2">
      <c r="A721" s="2154" t="s">
        <v>1851</v>
      </c>
      <c r="B721" s="11"/>
      <c r="C721" s="11"/>
      <c r="D721" s="11"/>
      <c r="E721" s="11"/>
      <c r="F721" s="11"/>
    </row>
    <row r="722" spans="1:6" ht="15" x14ac:dyDescent="0.25">
      <c r="A722" s="17" t="s">
        <v>1852</v>
      </c>
      <c r="B722" s="2155" t="e">
        <f>B702</f>
        <v>#VALUE!</v>
      </c>
      <c r="C722" s="11"/>
      <c r="D722" s="11"/>
      <c r="E722" s="11"/>
      <c r="F722" s="11"/>
    </row>
    <row r="723" spans="1:6" ht="15" x14ac:dyDescent="0.25">
      <c r="A723" s="17" t="s">
        <v>1853</v>
      </c>
      <c r="B723" s="2155">
        <f>B667</f>
        <v>2</v>
      </c>
      <c r="C723" s="11"/>
      <c r="D723" s="11"/>
      <c r="E723" s="11"/>
      <c r="F723" s="11"/>
    </row>
    <row r="724" spans="1:6" x14ac:dyDescent="0.2">
      <c r="A724" s="24" t="s">
        <v>1854</v>
      </c>
      <c r="B724" s="24">
        <f>IF(B723&lt;2.21,12.9*B723+1.7,28.4)</f>
        <v>27.5</v>
      </c>
      <c r="C724" s="15"/>
      <c r="D724" s="11"/>
      <c r="E724" s="11"/>
      <c r="F724" s="11"/>
    </row>
    <row r="725" spans="1:6" x14ac:dyDescent="0.2">
      <c r="A725" s="24" t="s">
        <v>1855</v>
      </c>
      <c r="B725" s="24" t="e">
        <f>B722/B724</f>
        <v>#VALUE!</v>
      </c>
      <c r="C725" s="15"/>
      <c r="D725" s="11"/>
      <c r="E725" s="11"/>
      <c r="F725" s="11"/>
    </row>
    <row r="726" spans="1:6" x14ac:dyDescent="0.2">
      <c r="A726" s="2156" t="s">
        <v>3724</v>
      </c>
      <c r="B726" s="11"/>
      <c r="C726" s="11"/>
      <c r="D726" s="11"/>
      <c r="E726" s="11"/>
      <c r="F726" s="11"/>
    </row>
    <row r="727" spans="1:6" x14ac:dyDescent="0.2">
      <c r="A727" s="567" t="s">
        <v>3725</v>
      </c>
      <c r="B727" s="202">
        <f>B134</f>
        <v>56</v>
      </c>
      <c r="C727" s="11"/>
      <c r="D727" s="11"/>
      <c r="E727" s="11"/>
      <c r="F727" s="11"/>
    </row>
    <row r="728" spans="1:6" x14ac:dyDescent="0.2">
      <c r="A728" s="24" t="s">
        <v>1852</v>
      </c>
      <c r="B728" s="24" t="e">
        <f>B722</f>
        <v>#VALUE!</v>
      </c>
      <c r="C728" s="11"/>
      <c r="D728" s="11"/>
      <c r="E728" s="11"/>
      <c r="F728" s="11"/>
    </row>
    <row r="729" spans="1:6" x14ac:dyDescent="0.2">
      <c r="A729" s="24" t="s">
        <v>3726</v>
      </c>
      <c r="B729" s="24">
        <f>79.5*B723^-1.5</f>
        <v>28.107494552165267</v>
      </c>
      <c r="C729" s="11"/>
      <c r="D729" s="11"/>
      <c r="E729" s="11"/>
      <c r="F729" s="11"/>
    </row>
    <row r="730" spans="1:6" x14ac:dyDescent="0.2">
      <c r="A730" s="24" t="s">
        <v>3727</v>
      </c>
      <c r="B730" s="24">
        <f>((3.14*((1.2*(B723*100)^0.5)/100)^2)/4)*B723</f>
        <v>4.5215999999999992E-2</v>
      </c>
      <c r="C730" s="11"/>
      <c r="D730" s="11"/>
      <c r="E730" s="11"/>
      <c r="F730" s="11"/>
    </row>
    <row r="731" spans="1:6" x14ac:dyDescent="0.2">
      <c r="A731" s="24" t="s">
        <v>700</v>
      </c>
      <c r="B731" s="24" t="e">
        <f>B722/B730</f>
        <v>#VALUE!</v>
      </c>
      <c r="C731" s="11"/>
      <c r="D731" s="11"/>
      <c r="E731" s="11"/>
      <c r="F731" s="11"/>
    </row>
    <row r="732" spans="1:6" x14ac:dyDescent="0.2">
      <c r="A732" s="24" t="s">
        <v>701</v>
      </c>
      <c r="B732" s="24" t="e">
        <f>B731/B729</f>
        <v>#VALUE!</v>
      </c>
      <c r="C732" s="11"/>
      <c r="D732" s="11"/>
      <c r="E732" s="11"/>
      <c r="F732" s="11"/>
    </row>
    <row r="733" spans="1:6" x14ac:dyDescent="0.2">
      <c r="A733" s="24" t="s">
        <v>4429</v>
      </c>
      <c r="B733" s="24">
        <f>2.2*(IF(B727&lt;51,32,IF(B727&lt;71,25,21)))</f>
        <v>55.000000000000007</v>
      </c>
      <c r="C733" s="11"/>
      <c r="D733" s="11"/>
      <c r="E733" s="11"/>
      <c r="F733" s="11"/>
    </row>
    <row r="734" spans="1:6" x14ac:dyDescent="0.2">
      <c r="A734" s="24" t="s">
        <v>1855</v>
      </c>
      <c r="B734" s="24" t="e">
        <f>B728/B733</f>
        <v>#VALUE!</v>
      </c>
      <c r="C734" s="11"/>
      <c r="D734" s="11"/>
      <c r="E734" s="11"/>
      <c r="F734" s="11"/>
    </row>
    <row r="735" spans="1:6" ht="15" x14ac:dyDescent="0.25">
      <c r="A735" s="2159" t="s">
        <v>1782</v>
      </c>
      <c r="B735" s="806" t="e">
        <f>B734+B725</f>
        <v>#VALUE!</v>
      </c>
      <c r="C735" s="11"/>
      <c r="D735" s="11"/>
      <c r="E735" s="11"/>
      <c r="F735" s="11"/>
    </row>
    <row r="736" spans="1:6" ht="15" x14ac:dyDescent="0.25">
      <c r="A736" s="2153" t="s">
        <v>4774</v>
      </c>
      <c r="B736" s="11"/>
      <c r="C736" s="11"/>
      <c r="D736" s="11"/>
      <c r="E736" s="11"/>
      <c r="F736" s="11"/>
    </row>
    <row r="737" spans="1:6" ht="15" x14ac:dyDescent="0.25">
      <c r="A737" s="2160" t="s">
        <v>4778</v>
      </c>
      <c r="B737" s="11"/>
      <c r="C737" s="11"/>
      <c r="D737" s="11"/>
      <c r="E737" s="11"/>
      <c r="F737" s="11"/>
    </row>
    <row r="738" spans="1:6" x14ac:dyDescent="0.2">
      <c r="A738" s="17" t="s">
        <v>4779</v>
      </c>
      <c r="B738" s="202">
        <f>B145</f>
        <v>2000</v>
      </c>
      <c r="C738" s="11"/>
      <c r="D738" s="11"/>
      <c r="E738" s="11"/>
      <c r="F738" s="11"/>
    </row>
    <row r="739" spans="1:6" x14ac:dyDescent="0.2">
      <c r="A739" s="2135" t="s">
        <v>4780</v>
      </c>
      <c r="B739" s="11"/>
      <c r="C739" s="11"/>
      <c r="D739" s="11"/>
      <c r="E739" s="11"/>
      <c r="F739" s="11"/>
    </row>
    <row r="740" spans="1:6" x14ac:dyDescent="0.2">
      <c r="A740" s="24" t="s">
        <v>4781</v>
      </c>
      <c r="B740" s="24" t="e">
        <f>B722</f>
        <v>#VALUE!</v>
      </c>
      <c r="C740" s="11"/>
      <c r="D740" s="11"/>
      <c r="E740" s="11"/>
      <c r="F740" s="11"/>
    </row>
    <row r="741" spans="1:6" x14ac:dyDescent="0.2">
      <c r="A741" s="24" t="s">
        <v>5147</v>
      </c>
      <c r="B741" s="24">
        <f>16111*B738^-0.653</f>
        <v>112.60298683393111</v>
      </c>
      <c r="C741" s="29"/>
      <c r="D741" s="11"/>
      <c r="E741" s="11"/>
      <c r="F741" s="11"/>
    </row>
    <row r="742" spans="1:6" x14ac:dyDescent="0.2">
      <c r="A742" s="24" t="s">
        <v>3088</v>
      </c>
      <c r="B742" s="24" t="e">
        <f>B740/B741</f>
        <v>#VALUE!</v>
      </c>
      <c r="C742" s="11"/>
      <c r="D742" s="11"/>
      <c r="E742" s="11"/>
      <c r="F742" s="11"/>
    </row>
    <row r="743" spans="1:6" ht="15" x14ac:dyDescent="0.25">
      <c r="A743" s="2160" t="s">
        <v>3093</v>
      </c>
      <c r="B743" s="11"/>
      <c r="C743" s="11"/>
      <c r="D743" s="11"/>
      <c r="E743" s="11"/>
      <c r="F743" s="11"/>
    </row>
    <row r="744" spans="1:6" x14ac:dyDescent="0.2">
      <c r="A744" s="2161" t="s">
        <v>3743</v>
      </c>
      <c r="B744" s="11"/>
      <c r="C744" s="11"/>
      <c r="D744" s="11"/>
      <c r="E744" s="11"/>
      <c r="F744" s="11"/>
    </row>
    <row r="745" spans="1:6" x14ac:dyDescent="0.2">
      <c r="A745" s="24" t="s">
        <v>3094</v>
      </c>
      <c r="B745" s="24" t="e">
        <f>B740</f>
        <v>#VALUE!</v>
      </c>
      <c r="C745" s="11"/>
      <c r="D745" s="11"/>
      <c r="E745" s="11"/>
      <c r="F745" s="11"/>
    </row>
    <row r="746" spans="1:6" x14ac:dyDescent="0.2">
      <c r="A746" s="24" t="s">
        <v>3091</v>
      </c>
      <c r="B746" s="24">
        <v>8.6999999999999993</v>
      </c>
      <c r="C746" s="29"/>
      <c r="D746" s="11"/>
      <c r="E746" s="11"/>
      <c r="F746" s="11"/>
    </row>
    <row r="747" spans="1:6" x14ac:dyDescent="0.2">
      <c r="A747" s="24" t="s">
        <v>3088</v>
      </c>
      <c r="B747" s="24" t="e">
        <f>B745*0.9/B746</f>
        <v>#VALUE!</v>
      </c>
      <c r="C747" s="11"/>
      <c r="D747" s="11"/>
      <c r="E747" s="11"/>
      <c r="F747" s="11"/>
    </row>
    <row r="748" spans="1:6" ht="15" x14ac:dyDescent="0.25">
      <c r="A748" s="2159" t="s">
        <v>3102</v>
      </c>
      <c r="B748" s="806" t="e">
        <f>B747+B742</f>
        <v>#VALUE!</v>
      </c>
      <c r="C748" s="14"/>
      <c r="D748" s="11"/>
      <c r="E748" s="11"/>
      <c r="F748" s="11"/>
    </row>
    <row r="749" spans="1:6" x14ac:dyDescent="0.2">
      <c r="A749" s="806" t="s">
        <v>3820</v>
      </c>
      <c r="B749" s="806" t="e">
        <f>B748+B735</f>
        <v>#VALUE!</v>
      </c>
      <c r="C749" s="14"/>
      <c r="D749" s="11"/>
      <c r="E749" s="11"/>
      <c r="F749" s="11"/>
    </row>
    <row r="750" spans="1:6" x14ac:dyDescent="0.2">
      <c r="A750" s="2287" t="s">
        <v>1350</v>
      </c>
      <c r="B750" s="28"/>
      <c r="C750" s="28"/>
      <c r="D750" s="28"/>
      <c r="E750" s="11"/>
      <c r="F750" s="11"/>
    </row>
    <row r="751" spans="1:6" x14ac:dyDescent="0.2">
      <c r="A751" s="2288"/>
      <c r="B751" s="29"/>
      <c r="C751" s="29"/>
      <c r="D751" s="29"/>
      <c r="E751" s="11"/>
      <c r="F751" s="11"/>
    </row>
    <row r="752" spans="1:6" ht="18.75" x14ac:dyDescent="0.3">
      <c r="A752" s="2289" t="s">
        <v>1351</v>
      </c>
      <c r="B752" s="2103"/>
      <c r="C752" s="2103"/>
      <c r="D752" s="2103"/>
      <c r="E752" s="2103"/>
      <c r="F752" s="2103"/>
    </row>
    <row r="753" spans="1:6" ht="15" x14ac:dyDescent="0.25">
      <c r="A753" s="2247" t="s">
        <v>1413</v>
      </c>
      <c r="B753" s="2290"/>
      <c r="C753" s="2191"/>
      <c r="D753" s="2191"/>
      <c r="E753" s="2191"/>
      <c r="F753" s="2103"/>
    </row>
    <row r="754" spans="1:6" ht="15" x14ac:dyDescent="0.25">
      <c r="A754" s="2192" t="s">
        <v>5602</v>
      </c>
      <c r="B754" s="2193" t="str">
        <f>B18</f>
        <v/>
      </c>
      <c r="C754" s="2191"/>
      <c r="D754" s="2274"/>
      <c r="E754" s="2103"/>
      <c r="F754" s="2103"/>
    </row>
    <row r="755" spans="1:6" ht="15" x14ac:dyDescent="0.25">
      <c r="A755" s="2194" t="s">
        <v>2387</v>
      </c>
      <c r="B755" s="2193" t="str">
        <f>B19</f>
        <v/>
      </c>
      <c r="C755" s="2191"/>
      <c r="D755" s="2274"/>
      <c r="E755" s="2103"/>
      <c r="F755" s="2103"/>
    </row>
    <row r="756" spans="1:6" ht="15" x14ac:dyDescent="0.25">
      <c r="A756" s="2195" t="s">
        <v>1027</v>
      </c>
      <c r="B756" s="2196">
        <f>B25</f>
        <v>0</v>
      </c>
      <c r="C756" s="2191"/>
      <c r="D756" s="2274"/>
      <c r="E756" s="2103"/>
      <c r="F756" s="2103"/>
    </row>
    <row r="757" spans="1:6" ht="29.25" x14ac:dyDescent="0.25">
      <c r="A757" s="2195" t="s">
        <v>4297</v>
      </c>
      <c r="B757" s="2196" t="str">
        <f>B26</f>
        <v/>
      </c>
      <c r="C757" s="2191"/>
      <c r="D757" s="2103"/>
      <c r="E757" s="2103"/>
      <c r="F757" s="2103"/>
    </row>
    <row r="758" spans="1:6" ht="15" x14ac:dyDescent="0.25">
      <c r="A758" s="2197" t="s">
        <v>2389</v>
      </c>
      <c r="B758" s="2196" t="e">
        <f>B21</f>
        <v>#VALUE!</v>
      </c>
      <c r="C758" s="2191"/>
      <c r="D758" s="2103"/>
      <c r="E758" s="2103"/>
      <c r="F758" s="2103"/>
    </row>
    <row r="759" spans="1:6" ht="15" x14ac:dyDescent="0.25">
      <c r="A759" s="2195" t="s">
        <v>4299</v>
      </c>
      <c r="B759" s="2196">
        <f t="shared" ref="B759:B765" si="1">B28</f>
        <v>0</v>
      </c>
      <c r="C759" s="2191"/>
      <c r="D759" s="2103"/>
      <c r="E759" s="2103"/>
      <c r="F759" s="2103"/>
    </row>
    <row r="760" spans="1:6" ht="15" x14ac:dyDescent="0.25">
      <c r="A760" s="2195" t="str">
        <f>IF(B759&gt;0,"Количество взрываний в лаве в сут.","")</f>
        <v/>
      </c>
      <c r="B760" s="2196">
        <f t="shared" si="1"/>
        <v>0</v>
      </c>
      <c r="C760" s="2191"/>
      <c r="D760" s="2191"/>
      <c r="E760" s="2191"/>
      <c r="F760" s="2103"/>
    </row>
    <row r="761" spans="1:6" ht="15" x14ac:dyDescent="0.25">
      <c r="A761" s="2195" t="str">
        <f>IF(B759=1,"Количество взрываемых шпуров за сут.","")</f>
        <v/>
      </c>
      <c r="B761" s="2196">
        <f t="shared" si="1"/>
        <v>0</v>
      </c>
      <c r="C761" s="2191"/>
      <c r="D761" s="2191"/>
      <c r="E761" s="2191"/>
      <c r="F761" s="2103"/>
    </row>
    <row r="762" spans="1:6" ht="15" x14ac:dyDescent="0.25">
      <c r="A762" s="2195" t="s">
        <v>4300</v>
      </c>
      <c r="B762" s="2196">
        <f t="shared" si="1"/>
        <v>0</v>
      </c>
      <c r="C762" s="2191"/>
      <c r="D762" s="2191"/>
      <c r="E762" s="2191"/>
      <c r="F762" s="2103"/>
    </row>
    <row r="763" spans="1:6" ht="15" x14ac:dyDescent="0.25">
      <c r="A763" s="2195" t="str">
        <f>IF(B762&gt;0,"Количество взрываний в бутовых штреках, в сут","")</f>
        <v/>
      </c>
      <c r="B763" s="2196">
        <f t="shared" si="1"/>
        <v>0</v>
      </c>
      <c r="C763" s="2191"/>
      <c r="D763" s="2191"/>
      <c r="E763" s="2191"/>
      <c r="F763" s="2103"/>
    </row>
    <row r="764" spans="1:6" ht="29.25" x14ac:dyDescent="0.25">
      <c r="A764" s="2195" t="s">
        <v>4301</v>
      </c>
      <c r="B764" s="2196">
        <f t="shared" si="1"/>
        <v>0</v>
      </c>
      <c r="C764" s="2191"/>
      <c r="D764" s="2191"/>
      <c r="E764" s="2191"/>
      <c r="F764" s="2103"/>
    </row>
    <row r="765" spans="1:6" ht="15" x14ac:dyDescent="0.25">
      <c r="A765" s="2195" t="str">
        <f>IF(B764&gt;0,"Количество взрываний в нишах, в сут","")</f>
        <v/>
      </c>
      <c r="B765" s="2196">
        <f t="shared" si="1"/>
        <v>0</v>
      </c>
      <c r="C765" s="2191"/>
      <c r="D765" s="2191"/>
      <c r="E765" s="2191"/>
      <c r="F765" s="2103"/>
    </row>
    <row r="766" spans="1:6" ht="30" x14ac:dyDescent="0.25">
      <c r="A766" s="2198" t="s">
        <v>2259</v>
      </c>
      <c r="B766" s="2130" t="str">
        <f>B22</f>
        <v/>
      </c>
      <c r="C766" s="2191"/>
      <c r="D766" s="2191"/>
      <c r="E766" s="2191"/>
      <c r="F766" s="2103"/>
    </row>
    <row r="767" spans="1:6" ht="15" x14ac:dyDescent="0.25">
      <c r="A767" s="2103"/>
      <c r="B767" s="2103"/>
      <c r="C767" s="2191"/>
      <c r="D767" s="2191"/>
      <c r="E767" s="2191"/>
      <c r="F767" s="2103"/>
    </row>
    <row r="768" spans="1:6" ht="15" x14ac:dyDescent="0.25">
      <c r="A768" s="2291" t="s">
        <v>30</v>
      </c>
      <c r="B768" s="2292">
        <v>1</v>
      </c>
      <c r="C768" s="2191"/>
      <c r="D768" s="2191"/>
      <c r="E768" s="2191"/>
      <c r="F768" s="2103"/>
    </row>
    <row r="769" spans="1:6" ht="15" x14ac:dyDescent="0.25">
      <c r="A769" s="2199" t="s">
        <v>464</v>
      </c>
      <c r="B769" s="2255" t="str">
        <f>B24</f>
        <v/>
      </c>
      <c r="C769" s="2191"/>
      <c r="D769" s="2191"/>
      <c r="E769" s="2191"/>
      <c r="F769" s="2103"/>
    </row>
    <row r="770" spans="1:6" ht="15" x14ac:dyDescent="0.25">
      <c r="A770" s="2200" t="s">
        <v>4302</v>
      </c>
      <c r="B770" s="2255">
        <f>B35</f>
        <v>1</v>
      </c>
      <c r="C770" s="2191"/>
      <c r="D770" s="2191"/>
      <c r="E770" s="2191"/>
      <c r="F770" s="2103"/>
    </row>
    <row r="771" spans="1:6" ht="15" x14ac:dyDescent="0.25">
      <c r="A771" s="2200" t="str">
        <f>IF(B770=1,"Перепиливание стоек(1- электропилами, 0- с помощью др.средств)","Не заполнять!")</f>
        <v>Перепиливание стоек(1- электропилами, 0- с помощью др.средств)</v>
      </c>
      <c r="B771" s="2255">
        <f>B36</f>
        <v>0</v>
      </c>
      <c r="C771" s="2191"/>
      <c r="D771" s="2191"/>
      <c r="E771" s="2191"/>
      <c r="F771" s="2103"/>
    </row>
    <row r="772" spans="1:6" ht="15" x14ac:dyDescent="0.25">
      <c r="A772" s="2200" t="s">
        <v>4303</v>
      </c>
      <c r="B772" s="2255">
        <f>B37</f>
        <v>0</v>
      </c>
      <c r="C772" s="2191"/>
      <c r="D772" s="2191"/>
      <c r="E772" s="2191"/>
      <c r="F772" s="2103"/>
    </row>
    <row r="773" spans="1:6" ht="18.75" x14ac:dyDescent="0.3">
      <c r="A773" s="2203" t="s">
        <v>4142</v>
      </c>
      <c r="B773" s="2204"/>
      <c r="C773" s="2191"/>
      <c r="D773" s="2191"/>
      <c r="E773" s="2191"/>
      <c r="F773" s="2103"/>
    </row>
    <row r="774" spans="1:6" ht="15.75" x14ac:dyDescent="0.25">
      <c r="A774" s="2206" t="s">
        <v>1723</v>
      </c>
      <c r="B774" s="446"/>
      <c r="C774" s="2191"/>
      <c r="D774" s="2191"/>
      <c r="E774" s="2191"/>
      <c r="F774" s="2103"/>
    </row>
    <row r="775" spans="1:6" ht="15" x14ac:dyDescent="0.25">
      <c r="A775" s="2207" t="s">
        <v>4667</v>
      </c>
      <c r="B775" s="2109" t="e">
        <f>INDEX($A$1246:$B$1249,B757,IF(B754&lt;=1,1,2))</f>
        <v>#VALUE!</v>
      </c>
      <c r="C775" s="2191"/>
      <c r="D775" s="2191"/>
      <c r="E775" s="2191"/>
      <c r="F775" s="2103"/>
    </row>
    <row r="776" spans="1:6" ht="15" x14ac:dyDescent="0.25">
      <c r="A776" s="2207" t="s">
        <v>4668</v>
      </c>
      <c r="B776" s="2110">
        <f>IF(B766=0,1,IF(B766=1,0.9,0.85))</f>
        <v>0.85</v>
      </c>
      <c r="C776" s="2103"/>
      <c r="D776" s="2191"/>
      <c r="E776" s="2191"/>
      <c r="F776" s="2103"/>
    </row>
    <row r="777" spans="1:6" ht="15" x14ac:dyDescent="0.25">
      <c r="A777" s="2207" t="s">
        <v>4669</v>
      </c>
      <c r="B777" s="2111" t="e">
        <f>IF(B758&gt;1200,0.8,IF(B758&gt;1050,0.85,IF(B758&gt;900,0.9,IF(B758&gt;700,0.95,1))))</f>
        <v>#VALUE!</v>
      </c>
      <c r="C777" s="2191"/>
      <c r="D777" s="2191"/>
      <c r="E777" s="2191"/>
      <c r="F777" s="2103"/>
    </row>
    <row r="778" spans="1:6" ht="15" x14ac:dyDescent="0.25">
      <c r="A778" s="2207" t="s">
        <v>4670</v>
      </c>
      <c r="B778" s="2111">
        <f>IF(B756&lt;1,1,IF(B756&lt;3.1,0.95,IF(B756&lt;5.1,0.9,IF(B756&lt;7.1,0.85,IF(B756&lt;9.1,0.75,1)))))</f>
        <v>1</v>
      </c>
      <c r="C778" s="2191"/>
      <c r="D778" s="2191"/>
      <c r="E778" s="2191"/>
      <c r="F778" s="2103"/>
    </row>
    <row r="779" spans="1:6" ht="15" x14ac:dyDescent="0.25">
      <c r="A779" s="2209" t="s">
        <v>4671</v>
      </c>
      <c r="B779" s="446"/>
      <c r="C779" s="2191"/>
      <c r="D779" s="2191"/>
      <c r="E779" s="2191"/>
      <c r="F779" s="2103"/>
    </row>
    <row r="780" spans="1:6" ht="15" x14ac:dyDescent="0.25">
      <c r="A780" s="2207" t="s">
        <v>4672</v>
      </c>
      <c r="B780" s="2111">
        <f>IF(B764=0,1,B781)</f>
        <v>1</v>
      </c>
      <c r="C780" s="2208"/>
      <c r="D780" s="2208"/>
      <c r="E780" s="2191"/>
      <c r="F780" s="2103"/>
    </row>
    <row r="781" spans="1:6" ht="15" x14ac:dyDescent="0.25">
      <c r="A781" s="2210" t="s">
        <v>2262</v>
      </c>
      <c r="B781" s="2111">
        <f>IF(B765&gt;8,0.8,IF(B765&gt;7,0.83,IF(B765&gt;6,0.85,IF(B765&gt;5,0.87,IF(B765&gt;4,0.89,IF(B765&gt;3,0.91,IF(B765&gt;2,0.93,IF(B765&gt;1,0.95,0.97))))))))</f>
        <v>0.97</v>
      </c>
      <c r="C781" s="2208"/>
      <c r="D781" s="2208"/>
      <c r="E781" s="2191"/>
      <c r="F781" s="2103"/>
    </row>
    <row r="782" spans="1:6" ht="15" x14ac:dyDescent="0.25">
      <c r="A782" s="2211" t="s">
        <v>4674</v>
      </c>
      <c r="B782" s="2116">
        <f>IF(B763&gt;18,0.8,IF(B763&gt;15,0.82,IF(B763&gt;13,0.84,IF(B763&gt;11,0.86,IF(B763&gt;9,0.88,IF(B763&gt;7,0.9,IF(B763&gt;0,0.92,1)))))))</f>
        <v>1</v>
      </c>
      <c r="C782" s="2191"/>
      <c r="D782" s="2191"/>
      <c r="E782" s="2191"/>
      <c r="F782" s="2103"/>
    </row>
    <row r="783" spans="1:6" ht="15.75" thickBot="1" x14ac:dyDescent="0.3">
      <c r="A783" s="2212" t="s">
        <v>4675</v>
      </c>
      <c r="B783" s="2118">
        <f>IF(B760=2,IF(B761&lt;45,0.95,0.92),IF(B760=3,IF(B761&lt;75,0.9,0.88),IF(B760=4,IF(B761&lt;105,0.86,0.84),1)))</f>
        <v>1</v>
      </c>
      <c r="C783" s="2191"/>
      <c r="D783" s="2191"/>
      <c r="E783" s="2191"/>
      <c r="F783" s="2103"/>
    </row>
    <row r="784" spans="1:6" ht="15.75" thickBot="1" x14ac:dyDescent="0.3">
      <c r="A784" s="2213"/>
      <c r="B784" s="2120" t="e">
        <f>B775*B776*B777*B778*B780*B782*B783</f>
        <v>#VALUE!</v>
      </c>
      <c r="C784" s="2191"/>
      <c r="D784" s="2191"/>
      <c r="E784" s="2191"/>
      <c r="F784" s="2103"/>
    </row>
    <row r="785" spans="1:6" ht="15.75" x14ac:dyDescent="0.25">
      <c r="A785" s="2133" t="s">
        <v>569</v>
      </c>
      <c r="B785" s="2103"/>
      <c r="C785" s="2152"/>
      <c r="D785" s="2152"/>
      <c r="E785" s="2152"/>
      <c r="F785" s="2103"/>
    </row>
    <row r="786" spans="1:6" ht="15" x14ac:dyDescent="0.25">
      <c r="A786" s="2136" t="s">
        <v>570</v>
      </c>
      <c r="B786" s="2137"/>
      <c r="C786" s="2138"/>
      <c r="D786" s="2103"/>
      <c r="E786" s="2103"/>
      <c r="F786" s="2103"/>
    </row>
    <row r="787" spans="1:6" ht="15" x14ac:dyDescent="0.25">
      <c r="A787" s="2139" t="s">
        <v>31</v>
      </c>
      <c r="B787" s="2140">
        <f>IF(B768=2,1.3,1)</f>
        <v>1</v>
      </c>
      <c r="C787" s="2138"/>
      <c r="D787" s="2103"/>
      <c r="E787" s="2103"/>
      <c r="F787" s="2103"/>
    </row>
    <row r="788" spans="1:6" ht="15" x14ac:dyDescent="0.25">
      <c r="A788" s="2139" t="s">
        <v>571</v>
      </c>
      <c r="B788" s="2140">
        <f>IF(B769&gt;0.2,0.9,1)</f>
        <v>0.9</v>
      </c>
      <c r="C788" s="2138"/>
      <c r="D788" s="2103"/>
      <c r="E788" s="2103"/>
      <c r="F788" s="2103"/>
    </row>
    <row r="789" spans="1:6" ht="15" x14ac:dyDescent="0.25">
      <c r="A789" s="2139" t="s">
        <v>572</v>
      </c>
      <c r="B789" s="2140">
        <f>IF(AND(B770=0,B754&gt;1.4),1.25,1)</f>
        <v>1</v>
      </c>
      <c r="C789" s="2138"/>
      <c r="D789" s="2103"/>
      <c r="E789" s="2103"/>
      <c r="F789" s="2103"/>
    </row>
    <row r="790" spans="1:6" ht="15" x14ac:dyDescent="0.25">
      <c r="A790" s="2139" t="s">
        <v>3808</v>
      </c>
      <c r="B790" s="2140">
        <f>IF(AND(B771=1,B754&gt;1.4),1.15,1)</f>
        <v>1</v>
      </c>
      <c r="C790" s="2138"/>
      <c r="D790" s="2103"/>
      <c r="E790" s="2103"/>
      <c r="F790" s="2103"/>
    </row>
    <row r="791" spans="1:6" ht="15" x14ac:dyDescent="0.25">
      <c r="A791" s="2139" t="s">
        <v>3809</v>
      </c>
      <c r="B791" s="2140">
        <f>IF(AND(B755&gt;45,B772=0),1.1,1)</f>
        <v>1.1000000000000001</v>
      </c>
      <c r="C791" s="2138"/>
      <c r="D791" s="2103"/>
      <c r="E791" s="2103"/>
      <c r="F791" s="2103"/>
    </row>
    <row r="792" spans="1:6" ht="15" x14ac:dyDescent="0.25">
      <c r="A792" s="2125" t="s">
        <v>4666</v>
      </c>
      <c r="B792" s="11"/>
      <c r="C792" s="2138"/>
      <c r="D792" s="2103"/>
      <c r="E792" s="2103"/>
      <c r="F792" s="2103"/>
    </row>
    <row r="793" spans="1:6" ht="15" x14ac:dyDescent="0.25">
      <c r="A793" s="2141" t="s">
        <v>3810</v>
      </c>
      <c r="B793" s="2132" t="e">
        <f>ROUNDDOWN((0.12*(B754^0.5)),2)</f>
        <v>#VALUE!</v>
      </c>
      <c r="C793" s="2138"/>
      <c r="D793" s="2103"/>
      <c r="E793" s="2103"/>
      <c r="F793" s="2103"/>
    </row>
    <row r="794" spans="1:6" ht="15" x14ac:dyDescent="0.25">
      <c r="A794" s="2144" t="s">
        <v>3812</v>
      </c>
      <c r="B794" s="2145" t="e">
        <f>(1/B793)*B795</f>
        <v>#VALUE!</v>
      </c>
      <c r="C794" s="2138"/>
      <c r="D794" s="2103"/>
      <c r="E794" s="2103"/>
      <c r="F794" s="2103"/>
    </row>
    <row r="795" spans="1:6" ht="15" x14ac:dyDescent="0.25">
      <c r="A795" s="2142" t="s">
        <v>1352</v>
      </c>
      <c r="B795" s="2164" t="e">
        <f>ROUNDUP((2.4*B18^2-5.4*B18+6)*IF(F23=1,1,1.5),0)</f>
        <v>#VALUE!</v>
      </c>
      <c r="C795" s="2138"/>
      <c r="D795" s="2103"/>
      <c r="E795" s="2103"/>
      <c r="F795" s="2103"/>
    </row>
    <row r="796" spans="1:6" ht="15" x14ac:dyDescent="0.25">
      <c r="A796" s="2146" t="s">
        <v>3813</v>
      </c>
      <c r="B796" s="2147">
        <f>INDEX($B$1224:$C$1242,B797,B799)</f>
        <v>28</v>
      </c>
      <c r="C796" s="2138"/>
      <c r="D796" s="2103"/>
      <c r="E796" s="2103"/>
      <c r="F796" s="2103"/>
    </row>
    <row r="797" spans="1:6" ht="15" x14ac:dyDescent="0.25">
      <c r="A797" s="2148" t="s">
        <v>3814</v>
      </c>
      <c r="B797" s="2147">
        <f>IF(B18&lt;0.61,1,IF(B18&lt;0.71,2,IF(B18&lt;0.81,3,IF(B18&lt;0.91,4,IF(B18&lt;1.01,5,IF(B18&lt;1.11,6,IF(B18&lt;1.26,7,B119)))))))</f>
        <v>15</v>
      </c>
      <c r="C797" s="2138"/>
      <c r="D797" s="2103"/>
      <c r="E797" s="2103"/>
      <c r="F797" s="2103"/>
    </row>
    <row r="798" spans="1:6" ht="15" x14ac:dyDescent="0.25">
      <c r="A798" s="2149" t="s">
        <v>1329</v>
      </c>
      <c r="B798" s="2147">
        <f>IF(B18&lt;1.41,8,IF(B18&lt;1.61,9,IF(B18&lt;1.81,10,IF(B18&lt;2.01,11,IF(B18&lt;2.31,12,IF(B18&lt;2.66,13,IF(B18&lt;3.01,14,15)))))))</f>
        <v>15</v>
      </c>
      <c r="C798" s="2138"/>
      <c r="D798" s="2103"/>
      <c r="E798" s="2103"/>
      <c r="F798" s="2103"/>
    </row>
    <row r="799" spans="1:6" ht="15" x14ac:dyDescent="0.25">
      <c r="A799" s="2149" t="s">
        <v>3815</v>
      </c>
      <c r="B799" s="2147">
        <f>IF(B19&lt;=35,1,2)</f>
        <v>2</v>
      </c>
      <c r="C799" s="2138"/>
      <c r="D799" s="2103"/>
      <c r="E799" s="2103"/>
      <c r="F799" s="2103"/>
    </row>
    <row r="800" spans="1:6" ht="15" x14ac:dyDescent="0.25">
      <c r="A800" s="2127" t="s">
        <v>3816</v>
      </c>
      <c r="B800" s="2116" t="e">
        <f>B796*B791*B790*B789*B788*B787*B784</f>
        <v>#VALUE!</v>
      </c>
      <c r="C800" s="2138"/>
      <c r="D800" s="2103"/>
      <c r="E800" s="2103"/>
      <c r="F800" s="2103"/>
    </row>
    <row r="801" spans="1:6" ht="15" x14ac:dyDescent="0.25">
      <c r="A801" s="2150" t="s">
        <v>3817</v>
      </c>
      <c r="B801" s="2151" t="e">
        <f>B794/B800</f>
        <v>#VALUE!</v>
      </c>
      <c r="C801" s="2138"/>
      <c r="D801" s="2103"/>
      <c r="E801" s="2103"/>
      <c r="F801" s="2103"/>
    </row>
    <row r="802" spans="1:6" ht="15" x14ac:dyDescent="0.25">
      <c r="A802" s="65" t="s">
        <v>3818</v>
      </c>
      <c r="B802" s="2132" t="e">
        <f>((3.14*B793^2)/4)*B794</f>
        <v>#VALUE!</v>
      </c>
      <c r="C802" s="2138"/>
      <c r="D802" s="2152"/>
      <c r="E802" s="2152"/>
      <c r="F802" s="2103"/>
    </row>
    <row r="803" spans="1:6" ht="15" x14ac:dyDescent="0.25">
      <c r="A803" s="2103"/>
      <c r="B803" s="2103"/>
      <c r="C803" s="2138"/>
      <c r="D803" s="2152"/>
      <c r="E803" s="2152"/>
      <c r="F803" s="2103"/>
    </row>
    <row r="804" spans="1:6" ht="15" x14ac:dyDescent="0.25">
      <c r="A804" s="2153" t="s">
        <v>1850</v>
      </c>
      <c r="B804" s="11"/>
      <c r="C804" s="11"/>
      <c r="D804" s="11"/>
      <c r="E804" s="11"/>
      <c r="F804" s="2103"/>
    </row>
    <row r="805" spans="1:6" x14ac:dyDescent="0.2">
      <c r="A805" s="2154" t="s">
        <v>1851</v>
      </c>
      <c r="B805" s="11"/>
      <c r="C805" s="11"/>
      <c r="D805" s="11"/>
      <c r="E805" s="2103"/>
      <c r="F805" s="2103"/>
    </row>
    <row r="806" spans="1:6" ht="15" x14ac:dyDescent="0.25">
      <c r="A806" s="17" t="s">
        <v>1852</v>
      </c>
      <c r="B806" s="2155" t="e">
        <f>B802</f>
        <v>#VALUE!</v>
      </c>
      <c r="C806" s="11"/>
      <c r="D806" s="11"/>
      <c r="E806" s="2103"/>
      <c r="F806" s="2103"/>
    </row>
    <row r="807" spans="1:6" ht="15" x14ac:dyDescent="0.25">
      <c r="A807" s="17" t="s">
        <v>1853</v>
      </c>
      <c r="B807" s="2155" t="str">
        <f>B754</f>
        <v/>
      </c>
      <c r="C807" s="11"/>
      <c r="D807" s="11"/>
      <c r="E807" s="2103"/>
      <c r="F807" s="2103"/>
    </row>
    <row r="808" spans="1:6" x14ac:dyDescent="0.2">
      <c r="A808" s="24" t="s">
        <v>1854</v>
      </c>
      <c r="B808" s="24">
        <f>IF(B807&lt;2.21,12.9*B807+1.7,28.4)</f>
        <v>28.4</v>
      </c>
      <c r="C808" s="11"/>
      <c r="D808" s="11"/>
      <c r="E808" s="2103"/>
      <c r="F808" s="2103"/>
    </row>
    <row r="809" spans="1:6" x14ac:dyDescent="0.2">
      <c r="A809" s="24" t="s">
        <v>1855</v>
      </c>
      <c r="B809" s="24" t="e">
        <f>B806/B808</f>
        <v>#VALUE!</v>
      </c>
      <c r="C809" s="11"/>
      <c r="D809" s="11"/>
      <c r="E809" s="2103"/>
      <c r="F809" s="2103"/>
    </row>
    <row r="810" spans="1:6" x14ac:dyDescent="0.2">
      <c r="A810" s="2156" t="s">
        <v>3724</v>
      </c>
      <c r="B810" s="11"/>
      <c r="C810" s="11"/>
      <c r="D810" s="11"/>
      <c r="E810" s="2103"/>
      <c r="F810" s="2103"/>
    </row>
    <row r="811" spans="1:6" x14ac:dyDescent="0.2">
      <c r="A811" s="69" t="s">
        <v>3725</v>
      </c>
      <c r="B811" s="202">
        <f>B134</f>
        <v>56</v>
      </c>
      <c r="C811" s="11"/>
      <c r="D811" s="11"/>
      <c r="E811" s="2103"/>
      <c r="F811" s="2103"/>
    </row>
    <row r="812" spans="1:6" x14ac:dyDescent="0.2">
      <c r="A812" s="24" t="s">
        <v>1852</v>
      </c>
      <c r="B812" s="24" t="e">
        <f>B806</f>
        <v>#VALUE!</v>
      </c>
      <c r="C812" s="11"/>
      <c r="D812" s="11"/>
      <c r="E812" s="2103"/>
      <c r="F812" s="2103"/>
    </row>
    <row r="813" spans="1:6" x14ac:dyDescent="0.2">
      <c r="A813" s="2158" t="s">
        <v>3726</v>
      </c>
      <c r="B813" s="24" t="e">
        <f>79.5*B807^-1.5</f>
        <v>#VALUE!</v>
      </c>
      <c r="C813" s="11"/>
      <c r="D813" s="11"/>
      <c r="E813" s="2103"/>
      <c r="F813" s="2103"/>
    </row>
    <row r="814" spans="1:6" x14ac:dyDescent="0.2">
      <c r="A814" s="24" t="s">
        <v>3727</v>
      </c>
      <c r="B814" s="24" t="e">
        <f>((3.14*((1.2*(B807*100)^0.5)/100)^2)/4)*B807</f>
        <v>#VALUE!</v>
      </c>
      <c r="C814" s="11"/>
      <c r="D814" s="11"/>
      <c r="E814" s="2103"/>
      <c r="F814" s="2103"/>
    </row>
    <row r="815" spans="1:6" x14ac:dyDescent="0.2">
      <c r="A815" s="24" t="s">
        <v>700</v>
      </c>
      <c r="B815" s="24" t="e">
        <f>B806/B814</f>
        <v>#VALUE!</v>
      </c>
      <c r="C815" s="11"/>
      <c r="D815" s="11"/>
      <c r="E815" s="2103"/>
      <c r="F815" s="2103"/>
    </row>
    <row r="816" spans="1:6" x14ac:dyDescent="0.2">
      <c r="A816" s="24" t="s">
        <v>701</v>
      </c>
      <c r="B816" s="24" t="e">
        <f>B815/B813</f>
        <v>#VALUE!</v>
      </c>
      <c r="C816" s="11"/>
      <c r="D816" s="11"/>
      <c r="E816" s="2103"/>
      <c r="F816" s="2103"/>
    </row>
    <row r="817" spans="1:6" x14ac:dyDescent="0.2">
      <c r="A817" s="24" t="s">
        <v>4429</v>
      </c>
      <c r="B817" s="24">
        <f>2.2*(IF(B811&lt;51,32,IF(B811&lt;71,25,21)))</f>
        <v>55.000000000000007</v>
      </c>
      <c r="C817" s="11"/>
      <c r="D817" s="11"/>
      <c r="E817" s="2103"/>
      <c r="F817" s="2103"/>
    </row>
    <row r="818" spans="1:6" x14ac:dyDescent="0.2">
      <c r="A818" s="24" t="s">
        <v>1855</v>
      </c>
      <c r="B818" s="24" t="e">
        <f>B812/B817</f>
        <v>#VALUE!</v>
      </c>
      <c r="C818" s="11"/>
      <c r="D818" s="11"/>
      <c r="E818" s="2103"/>
      <c r="F818" s="2103"/>
    </row>
    <row r="819" spans="1:6" ht="15" x14ac:dyDescent="0.25">
      <c r="A819" s="2159" t="s">
        <v>1782</v>
      </c>
      <c r="B819" s="806" t="e">
        <f>B818+B809</f>
        <v>#VALUE!</v>
      </c>
      <c r="C819" s="11"/>
      <c r="D819" s="11"/>
      <c r="E819" s="11"/>
      <c r="F819" s="2103"/>
    </row>
    <row r="820" spans="1:6" ht="15" x14ac:dyDescent="0.25">
      <c r="A820" s="2153" t="s">
        <v>4774</v>
      </c>
      <c r="B820" s="11"/>
      <c r="C820" s="11"/>
      <c r="D820" s="11"/>
      <c r="E820" s="11"/>
      <c r="F820" s="2103"/>
    </row>
    <row r="821" spans="1:6" ht="15" x14ac:dyDescent="0.25">
      <c r="A821" s="2160" t="s">
        <v>4778</v>
      </c>
      <c r="B821" s="11"/>
      <c r="C821" s="11"/>
      <c r="D821" s="11"/>
      <c r="E821" s="11"/>
      <c r="F821" s="2103"/>
    </row>
    <row r="822" spans="1:6" x14ac:dyDescent="0.2">
      <c r="A822" s="17" t="s">
        <v>4779</v>
      </c>
      <c r="B822" s="202">
        <f>B145</f>
        <v>2000</v>
      </c>
      <c r="C822" s="11"/>
      <c r="D822" s="2103"/>
      <c r="E822" s="2103"/>
      <c r="F822" s="2103"/>
    </row>
    <row r="823" spans="1:6" x14ac:dyDescent="0.2">
      <c r="A823" s="2135" t="s">
        <v>4780</v>
      </c>
      <c r="B823" s="11"/>
      <c r="C823" s="11"/>
      <c r="D823" s="2103"/>
      <c r="E823" s="2103"/>
      <c r="F823" s="2103"/>
    </row>
    <row r="824" spans="1:6" x14ac:dyDescent="0.2">
      <c r="A824" s="24" t="s">
        <v>4781</v>
      </c>
      <c r="B824" s="24" t="e">
        <f>B806</f>
        <v>#VALUE!</v>
      </c>
      <c r="C824" s="11"/>
      <c r="D824" s="2103"/>
      <c r="E824" s="2103"/>
      <c r="F824" s="2103"/>
    </row>
    <row r="825" spans="1:6" x14ac:dyDescent="0.2">
      <c r="A825" s="24" t="s">
        <v>5147</v>
      </c>
      <c r="B825" s="24">
        <f>16111*B822^-0.653</f>
        <v>112.60298683393111</v>
      </c>
      <c r="C825" s="29"/>
      <c r="D825" s="2103"/>
      <c r="E825" s="2103"/>
      <c r="F825" s="2103"/>
    </row>
    <row r="826" spans="1:6" x14ac:dyDescent="0.2">
      <c r="A826" s="24" t="s">
        <v>3088</v>
      </c>
      <c r="B826" s="24" t="e">
        <f>B824/B825</f>
        <v>#VALUE!</v>
      </c>
      <c r="C826" s="11"/>
      <c r="D826" s="2103"/>
      <c r="E826" s="2103"/>
      <c r="F826" s="2103"/>
    </row>
    <row r="827" spans="1:6" ht="15" x14ac:dyDescent="0.25">
      <c r="A827" s="2160" t="s">
        <v>3093</v>
      </c>
      <c r="B827" s="11"/>
      <c r="C827" s="11"/>
      <c r="D827" s="2103"/>
      <c r="E827" s="2103"/>
      <c r="F827" s="2103"/>
    </row>
    <row r="828" spans="1:6" x14ac:dyDescent="0.2">
      <c r="A828" s="2161" t="s">
        <v>3743</v>
      </c>
      <c r="B828" s="11"/>
      <c r="C828" s="11"/>
      <c r="D828" s="2103"/>
      <c r="E828" s="2103"/>
      <c r="F828" s="2103"/>
    </row>
    <row r="829" spans="1:6" x14ac:dyDescent="0.2">
      <c r="A829" s="24" t="s">
        <v>3094</v>
      </c>
      <c r="B829" s="24" t="e">
        <f>B824</f>
        <v>#VALUE!</v>
      </c>
      <c r="C829" s="11"/>
      <c r="D829" s="2103"/>
      <c r="E829" s="2103"/>
      <c r="F829" s="2103"/>
    </row>
    <row r="830" spans="1:6" x14ac:dyDescent="0.2">
      <c r="A830" s="24" t="s">
        <v>3091</v>
      </c>
      <c r="B830" s="24">
        <v>8.6999999999999993</v>
      </c>
      <c r="C830" s="29"/>
      <c r="D830" s="2103"/>
      <c r="E830" s="2103"/>
      <c r="F830" s="2103"/>
    </row>
    <row r="831" spans="1:6" x14ac:dyDescent="0.2">
      <c r="A831" s="24" t="s">
        <v>3088</v>
      </c>
      <c r="B831" s="24" t="e">
        <f>B829*0.9/B830</f>
        <v>#VALUE!</v>
      </c>
      <c r="C831" s="11"/>
      <c r="D831" s="2103"/>
      <c r="E831" s="2103"/>
      <c r="F831" s="2103"/>
    </row>
    <row r="832" spans="1:6" ht="15" x14ac:dyDescent="0.25">
      <c r="A832" s="2162" t="s">
        <v>3102</v>
      </c>
      <c r="B832" s="806" t="e">
        <f>B831+B826</f>
        <v>#VALUE!</v>
      </c>
      <c r="C832" s="14"/>
      <c r="D832" s="2103"/>
      <c r="E832" s="2103"/>
      <c r="F832" s="2103"/>
    </row>
    <row r="833" spans="1:6" x14ac:dyDescent="0.2">
      <c r="A833" s="806" t="s">
        <v>3820</v>
      </c>
      <c r="B833" s="806" t="e">
        <f>B832+B819</f>
        <v>#VALUE!</v>
      </c>
      <c r="C833" s="14"/>
      <c r="D833" s="2103"/>
      <c r="E833" s="2103"/>
      <c r="F833" s="2103"/>
    </row>
    <row r="834" spans="1:6" ht="15.75" x14ac:dyDescent="0.25">
      <c r="A834" s="2293" t="s">
        <v>1353</v>
      </c>
      <c r="B834" s="2242"/>
      <c r="C834" s="2242"/>
      <c r="D834" s="2152"/>
      <c r="E834" s="2152"/>
      <c r="F834" s="2103"/>
    </row>
    <row r="835" spans="1:6" ht="18.75" x14ac:dyDescent="0.3">
      <c r="A835" s="2294" t="s">
        <v>1354</v>
      </c>
      <c r="B835" s="28"/>
      <c r="C835" s="28"/>
      <c r="D835" s="11"/>
      <c r="E835" s="11"/>
      <c r="F835" s="2103"/>
    </row>
    <row r="836" spans="1:6" ht="15" x14ac:dyDescent="0.25">
      <c r="A836" s="2125" t="s">
        <v>1413</v>
      </c>
      <c r="B836" s="446"/>
      <c r="C836" s="11"/>
      <c r="D836" s="11"/>
      <c r="E836" s="11"/>
      <c r="F836" s="2103"/>
    </row>
    <row r="837" spans="1:6" x14ac:dyDescent="0.2">
      <c r="A837" s="2250" t="s">
        <v>5602</v>
      </c>
      <c r="B837" s="2251" t="str">
        <f>B18</f>
        <v/>
      </c>
      <c r="C837" s="11"/>
      <c r="D837" s="2103"/>
      <c r="E837" s="2103"/>
      <c r="F837" s="2103"/>
    </row>
    <row r="838" spans="1:6" x14ac:dyDescent="0.2">
      <c r="A838" s="2250" t="s">
        <v>2387</v>
      </c>
      <c r="B838" s="2251" t="str">
        <f>B19</f>
        <v/>
      </c>
      <c r="C838" s="11"/>
      <c r="D838" s="2103"/>
      <c r="E838" s="2103"/>
      <c r="F838" s="2103"/>
    </row>
    <row r="839" spans="1:6" x14ac:dyDescent="0.2">
      <c r="A839" s="2262" t="s">
        <v>1027</v>
      </c>
      <c r="B839" s="2253">
        <f>B25</f>
        <v>0</v>
      </c>
      <c r="C839" s="11"/>
      <c r="D839" s="2103"/>
      <c r="E839" s="2103"/>
      <c r="F839" s="2103"/>
    </row>
    <row r="840" spans="1:6" ht="25.5" x14ac:dyDescent="0.2">
      <c r="A840" s="2262" t="s">
        <v>4297</v>
      </c>
      <c r="B840" s="2253" t="str">
        <f>B26</f>
        <v/>
      </c>
      <c r="C840" s="11"/>
      <c r="D840" s="2103"/>
      <c r="E840" s="2103"/>
      <c r="F840" s="2103"/>
    </row>
    <row r="841" spans="1:6" x14ac:dyDescent="0.2">
      <c r="A841" s="2252" t="s">
        <v>2389</v>
      </c>
      <c r="B841" s="2253" t="e">
        <f>B21</f>
        <v>#VALUE!</v>
      </c>
      <c r="C841" s="11"/>
      <c r="D841" s="2103"/>
      <c r="E841" s="2103"/>
      <c r="F841" s="2103"/>
    </row>
    <row r="842" spans="1:6" x14ac:dyDescent="0.2">
      <c r="A842" s="2262" t="s">
        <v>4299</v>
      </c>
      <c r="B842" s="2253">
        <f>B28</f>
        <v>0</v>
      </c>
      <c r="C842" s="11"/>
      <c r="D842" s="2103"/>
      <c r="E842" s="2103"/>
      <c r="F842" s="2103"/>
    </row>
    <row r="843" spans="1:6" x14ac:dyDescent="0.2">
      <c r="A843" s="2262" t="str">
        <f>IF(B842&gt;0,"Количество взрываний в лаве в сут.","")</f>
        <v/>
      </c>
      <c r="B843" s="2253">
        <f>B29</f>
        <v>0</v>
      </c>
      <c r="C843" s="11"/>
      <c r="D843" s="2103"/>
      <c r="E843" s="2103"/>
      <c r="F843" s="2103"/>
    </row>
    <row r="844" spans="1:6" x14ac:dyDescent="0.2">
      <c r="A844" s="2262" t="str">
        <f>IF(B842=1,"Количество взрываемых шпуров за сут.","")</f>
        <v/>
      </c>
      <c r="B844" s="2253">
        <f>B30</f>
        <v>0</v>
      </c>
      <c r="C844" s="11"/>
      <c r="D844" s="2103"/>
      <c r="E844" s="2103"/>
      <c r="F844" s="2103"/>
    </row>
    <row r="845" spans="1:6" x14ac:dyDescent="0.2">
      <c r="A845" s="2262" t="s">
        <v>4300</v>
      </c>
      <c r="B845" s="2253">
        <f>B31</f>
        <v>0</v>
      </c>
      <c r="C845" s="11"/>
      <c r="D845" s="2103"/>
      <c r="E845" s="2103"/>
      <c r="F845" s="2103"/>
    </row>
    <row r="846" spans="1:6" x14ac:dyDescent="0.2">
      <c r="A846" s="2262" t="str">
        <f>IF(B845&gt;0,"Количество взрываний в бутовых штреках, в сут","")</f>
        <v/>
      </c>
      <c r="B846" s="2253">
        <f>B34</f>
        <v>0</v>
      </c>
      <c r="C846" s="11"/>
      <c r="D846" s="2103"/>
      <c r="E846" s="2103"/>
      <c r="F846" s="2103"/>
    </row>
    <row r="847" spans="1:6" ht="25.5" x14ac:dyDescent="0.2">
      <c r="A847" s="2262" t="s">
        <v>4301</v>
      </c>
      <c r="B847" s="2253">
        <f>B33</f>
        <v>0</v>
      </c>
      <c r="C847" s="11"/>
      <c r="D847" s="2103"/>
      <c r="E847" s="2103"/>
      <c r="F847" s="2103"/>
    </row>
    <row r="848" spans="1:6" x14ac:dyDescent="0.2">
      <c r="A848" s="2262" t="str">
        <f>IF(B847&gt;0,"Количество взрываний в нишах, в сут","")</f>
        <v/>
      </c>
      <c r="B848" s="2253">
        <f>B34</f>
        <v>0</v>
      </c>
      <c r="C848" s="11"/>
      <c r="D848" s="2103"/>
      <c r="E848" s="2103"/>
      <c r="F848" s="2103"/>
    </row>
    <row r="849" spans="1:6" ht="25.5" x14ac:dyDescent="0.2">
      <c r="A849" s="2263" t="s">
        <v>2259</v>
      </c>
      <c r="B849" s="2261" t="str">
        <f>B22</f>
        <v/>
      </c>
      <c r="C849" s="11"/>
      <c r="D849" s="2103"/>
      <c r="E849" s="2103"/>
      <c r="F849" s="2103"/>
    </row>
    <row r="850" spans="1:6" ht="15.75" x14ac:dyDescent="0.25">
      <c r="A850" s="2107" t="s">
        <v>1723</v>
      </c>
      <c r="B850" s="446"/>
      <c r="C850" s="11"/>
      <c r="D850" s="2103"/>
      <c r="E850" s="2103"/>
      <c r="F850" s="2103"/>
    </row>
    <row r="851" spans="1:6" x14ac:dyDescent="0.2">
      <c r="A851" s="2207" t="s">
        <v>4667</v>
      </c>
      <c r="B851" s="2109" t="e">
        <f>INDEX($A$1246:$B$1249,B840,IF(B837&lt;=1,1,2))</f>
        <v>#VALUE!</v>
      </c>
      <c r="C851" s="11"/>
      <c r="D851" s="2103"/>
      <c r="E851" s="2103"/>
      <c r="F851" s="2103"/>
    </row>
    <row r="852" spans="1:6" x14ac:dyDescent="0.2">
      <c r="A852" s="2207" t="s">
        <v>4668</v>
      </c>
      <c r="B852" s="2110">
        <f>IF(B849=0,1,IF(B849=1,0.9,0.85))</f>
        <v>0.85</v>
      </c>
      <c r="C852" s="11"/>
      <c r="D852" s="2103"/>
      <c r="E852" s="2103"/>
      <c r="F852" s="2103"/>
    </row>
    <row r="853" spans="1:6" x14ac:dyDescent="0.2">
      <c r="A853" s="2207" t="s">
        <v>4669</v>
      </c>
      <c r="B853" s="2111" t="e">
        <f>IF(B841&gt;1200,0.8,IF(B841&gt;1050,0.85,IF(B841&gt;900,0.9,IF(B841&gt;700,0.95,1))))</f>
        <v>#VALUE!</v>
      </c>
      <c r="C853" s="11"/>
      <c r="D853" s="2103"/>
      <c r="E853" s="2103"/>
      <c r="F853" s="2103"/>
    </row>
    <row r="854" spans="1:6" x14ac:dyDescent="0.2">
      <c r="A854" s="2207" t="s">
        <v>4670</v>
      </c>
      <c r="B854" s="2111">
        <f>IF(B839&lt;1,1,IF(B839&lt;3.1,0.95,IF(B839&lt;5.1,0.9,IF(B839&lt;7.1,0.85,IF(B839&lt;9.1,0.75,1)))))</f>
        <v>1</v>
      </c>
      <c r="C854" s="29"/>
      <c r="D854" s="2103"/>
      <c r="E854" s="2103"/>
      <c r="F854" s="2103"/>
    </row>
    <row r="855" spans="1:6" x14ac:dyDescent="0.2">
      <c r="A855" s="2209" t="s">
        <v>4671</v>
      </c>
      <c r="B855" s="446"/>
      <c r="C855" s="29"/>
      <c r="D855" s="2103"/>
      <c r="E855" s="2103"/>
      <c r="F855" s="2103"/>
    </row>
    <row r="856" spans="1:6" x14ac:dyDescent="0.2">
      <c r="A856" s="2207" t="s">
        <v>4672</v>
      </c>
      <c r="B856" s="2111">
        <f>IF(B847=0,1,B857)</f>
        <v>1</v>
      </c>
      <c r="C856" s="29"/>
      <c r="D856" s="2103"/>
      <c r="E856" s="2103"/>
      <c r="F856" s="2103"/>
    </row>
    <row r="857" spans="1:6" x14ac:dyDescent="0.2">
      <c r="A857" s="2210" t="s">
        <v>1329</v>
      </c>
      <c r="B857" s="2111">
        <f>IF(B848&gt;8,0.8,IF(B848&gt;7,0.83,IF(B848&gt;6,0.85,IF(B848&gt;5,0.87,IF(B848&gt;4,0.89,IF(B848&gt;3,0.91,IF(B848&gt;2,0.93,IF(B848&gt;1,0.95,0.97))))))))</f>
        <v>0.97</v>
      </c>
      <c r="C857" s="29"/>
      <c r="D857" s="2103"/>
      <c r="E857" s="2103"/>
      <c r="F857" s="2103"/>
    </row>
    <row r="858" spans="1:6" ht="15" x14ac:dyDescent="0.25">
      <c r="A858" s="2211" t="s">
        <v>4674</v>
      </c>
      <c r="B858" s="2116">
        <f>IF(B846&gt;18,0.8,IF(B846&gt;15,0.82,IF(B846&gt;13,0.84,IF(B846&gt;11,0.86,IF(B846&gt;9,0.88,IF(B846&gt;7,0.9,IF(B846&gt;0,0.92,1)))))))</f>
        <v>1</v>
      </c>
      <c r="C858" s="11"/>
      <c r="D858" s="2103"/>
      <c r="E858" s="2103"/>
      <c r="F858" s="2103"/>
    </row>
    <row r="859" spans="1:6" ht="15.75" thickBot="1" x14ac:dyDescent="0.3">
      <c r="A859" s="2212" t="s">
        <v>4675</v>
      </c>
      <c r="B859" s="2118">
        <f>IF(B843=2,IF(B844&lt;45,0.95,0.92),IF(B843=3,IF(B844&lt;75,0.9,0.88),IF(B843=4,IF(B844&lt;105,0.86,0.84),1)))</f>
        <v>1</v>
      </c>
      <c r="C859" s="11"/>
      <c r="D859" s="2103"/>
      <c r="E859" s="2103"/>
      <c r="F859" s="2103"/>
    </row>
    <row r="860" spans="1:6" ht="15.75" thickBot="1" x14ac:dyDescent="0.3">
      <c r="A860" s="2213"/>
      <c r="B860" s="2120" t="e">
        <f>B851*B852*B853*B854*B856*B858*B859</f>
        <v>#VALUE!</v>
      </c>
      <c r="C860" s="11"/>
      <c r="D860" s="2103"/>
      <c r="E860" s="2103"/>
      <c r="F860" s="2103"/>
    </row>
    <row r="861" spans="1:6" x14ac:dyDescent="0.2">
      <c r="A861" s="11"/>
      <c r="B861" s="11"/>
      <c r="C861" s="11"/>
      <c r="D861" s="2103"/>
      <c r="E861" s="2103"/>
      <c r="F861" s="2103"/>
    </row>
    <row r="862" spans="1:6" ht="15" x14ac:dyDescent="0.25">
      <c r="A862" s="2295" t="s">
        <v>3754</v>
      </c>
      <c r="B862" s="11"/>
      <c r="C862" s="11"/>
      <c r="D862" s="2103"/>
      <c r="E862" s="2103"/>
      <c r="F862" s="2103"/>
    </row>
    <row r="863" spans="1:6" x14ac:dyDescent="0.2">
      <c r="A863" s="2142" t="s">
        <v>3755</v>
      </c>
      <c r="B863" s="2261">
        <f>B57</f>
        <v>1</v>
      </c>
      <c r="C863" s="11"/>
      <c r="D863" s="2103"/>
      <c r="E863" s="2103"/>
      <c r="F863" s="2103"/>
    </row>
    <row r="864" spans="1:6" ht="26.25" x14ac:dyDescent="0.25">
      <c r="A864" s="2165" t="s">
        <v>206</v>
      </c>
      <c r="B864" s="2164">
        <f>B58</f>
        <v>0</v>
      </c>
      <c r="C864" s="11"/>
      <c r="D864" s="2103"/>
      <c r="E864" s="2103"/>
      <c r="F864" s="2103"/>
    </row>
    <row r="865" spans="1:6" ht="15" x14ac:dyDescent="0.25">
      <c r="A865" s="2165" t="s">
        <v>207</v>
      </c>
      <c r="B865" s="2164">
        <f>B59</f>
        <v>2</v>
      </c>
      <c r="C865" s="11"/>
      <c r="D865" s="2103"/>
      <c r="E865" s="2103"/>
      <c r="F865" s="2103"/>
    </row>
    <row r="866" spans="1:6" ht="15" x14ac:dyDescent="0.25">
      <c r="A866" s="2281" t="s">
        <v>570</v>
      </c>
      <c r="B866" s="2282"/>
      <c r="C866" s="11"/>
      <c r="D866" s="2103"/>
      <c r="E866" s="2103"/>
      <c r="F866" s="2103"/>
    </row>
    <row r="867" spans="1:6" ht="15" x14ac:dyDescent="0.25">
      <c r="A867" s="2139" t="s">
        <v>208</v>
      </c>
      <c r="B867" s="2140">
        <f>IF(B863=1,IF(B838&gt;17,1.1,IF(B838&gt;10,1.05,1)),IF(B863=2,IF(B838&gt;17,0.65,IF(B838&gt;10,0.85,IF(B838&gt;5,0.95,1))),1))</f>
        <v>1.1000000000000001</v>
      </c>
      <c r="C867" s="11"/>
      <c r="D867" s="2103"/>
      <c r="E867" s="2103"/>
      <c r="F867" s="2103"/>
    </row>
    <row r="868" spans="1:6" ht="15" x14ac:dyDescent="0.25">
      <c r="A868" s="2139" t="s">
        <v>209</v>
      </c>
      <c r="B868" s="2140">
        <f>IF(B864=1,1.5,1)</f>
        <v>1</v>
      </c>
      <c r="C868" s="11"/>
      <c r="D868" s="2103"/>
      <c r="E868" s="2103"/>
      <c r="F868" s="2103"/>
    </row>
    <row r="869" spans="1:6" ht="15.75" thickBot="1" x14ac:dyDescent="0.3">
      <c r="A869" s="2139" t="s">
        <v>210</v>
      </c>
      <c r="B869" s="2140">
        <f>IF(B865=1,0.7,1)</f>
        <v>1</v>
      </c>
      <c r="C869" s="11"/>
      <c r="D869" s="2103"/>
      <c r="E869" s="2103"/>
      <c r="F869" s="2103"/>
    </row>
    <row r="870" spans="1:6" ht="15.75" thickBot="1" x14ac:dyDescent="0.3">
      <c r="A870" s="11"/>
      <c r="B870" s="2120" t="e">
        <f>B860*B867*B868*B869</f>
        <v>#VALUE!</v>
      </c>
      <c r="C870" s="11"/>
      <c r="D870" s="2103"/>
      <c r="E870" s="2103"/>
      <c r="F870" s="2103"/>
    </row>
    <row r="871" spans="1:6" ht="15" x14ac:dyDescent="0.25">
      <c r="A871" s="2125" t="s">
        <v>4666</v>
      </c>
      <c r="B871" s="11"/>
      <c r="C871" s="11"/>
      <c r="D871" s="2103"/>
      <c r="E871" s="2103"/>
      <c r="F871" s="2103"/>
    </row>
    <row r="872" spans="1:6" ht="15" x14ac:dyDescent="0.25">
      <c r="A872" s="17" t="s">
        <v>1355</v>
      </c>
      <c r="B872" s="2132" t="e">
        <f>8*B837</f>
        <v>#VALUE!</v>
      </c>
      <c r="C872" s="11"/>
      <c r="D872" s="2103"/>
      <c r="E872" s="2103"/>
      <c r="F872" s="2103"/>
    </row>
    <row r="873" spans="1:6" ht="17.25" x14ac:dyDescent="0.25">
      <c r="A873" s="17" t="s">
        <v>1356</v>
      </c>
      <c r="B873" s="2132" t="e">
        <f>B872*B837*1</f>
        <v>#VALUE!</v>
      </c>
      <c r="C873" s="11"/>
      <c r="D873" s="2103"/>
      <c r="E873" s="2103"/>
      <c r="F873" s="2103"/>
    </row>
    <row r="874" spans="1:6" ht="15" x14ac:dyDescent="0.25">
      <c r="A874" s="2296" t="s">
        <v>1357</v>
      </c>
      <c r="B874" s="2116">
        <f>IF(B837&lt;0.61,1,IF(B837&lt;0.71,2,IF(B837&lt;0.76,3,IF(B837&lt;0.86,4,IF(B837&lt;0.96,5,IF(B837&lt;1.06,6,B875))))))</f>
        <v>10</v>
      </c>
      <c r="C874" s="11"/>
      <c r="D874" s="2103"/>
      <c r="E874" s="2103"/>
      <c r="F874" s="2103"/>
    </row>
    <row r="875" spans="1:6" ht="15" x14ac:dyDescent="0.25">
      <c r="A875" s="2285" t="s">
        <v>1329</v>
      </c>
      <c r="B875" s="2174">
        <f>IF(B837&lt;1.16,7,IF(B837&lt;1.26,8,IF(B837&lt;1.46,9,10)))</f>
        <v>10</v>
      </c>
      <c r="C875" s="11"/>
      <c r="D875" s="2103"/>
      <c r="E875" s="2103"/>
      <c r="F875" s="2103"/>
    </row>
    <row r="876" spans="1:6" ht="15" x14ac:dyDescent="0.25">
      <c r="A876" s="17" t="s">
        <v>1358</v>
      </c>
      <c r="B876" s="2116" t="e">
        <f>IF(B872&lt;6.01,1,IF(B872&lt;9.01,2,IF(B872&lt;12.01,3,4)))</f>
        <v>#VALUE!</v>
      </c>
      <c r="C876" s="11"/>
      <c r="D876" s="2103"/>
      <c r="E876" s="2103"/>
      <c r="F876" s="2103"/>
    </row>
    <row r="877" spans="1:6" ht="17.25" x14ac:dyDescent="0.25">
      <c r="A877" s="2146" t="s">
        <v>1876</v>
      </c>
      <c r="B877" s="2116" t="e">
        <f>INDEX($B$1254:$E$1263,B874,B876)</f>
        <v>#VALUE!</v>
      </c>
      <c r="C877" s="11"/>
      <c r="D877" s="2103"/>
      <c r="E877" s="2103"/>
      <c r="F877" s="2103"/>
    </row>
    <row r="878" spans="1:6" ht="15" x14ac:dyDescent="0.25">
      <c r="A878" s="2127" t="s">
        <v>1349</v>
      </c>
      <c r="B878" s="2146" t="e">
        <f>B877*B870*B860</f>
        <v>#VALUE!</v>
      </c>
      <c r="C878" s="11"/>
      <c r="D878" s="2103"/>
      <c r="E878" s="2103"/>
      <c r="F878" s="2103"/>
    </row>
    <row r="879" spans="1:6" ht="15" x14ac:dyDescent="0.25">
      <c r="A879" s="2126" t="s">
        <v>568</v>
      </c>
      <c r="B879" s="2124" t="e">
        <f>B873/B878</f>
        <v>#VALUE!</v>
      </c>
      <c r="C879" s="11"/>
      <c r="D879" s="2103"/>
      <c r="E879" s="2103"/>
      <c r="F879" s="2103"/>
    </row>
    <row r="880" spans="1:6" ht="15" x14ac:dyDescent="0.25">
      <c r="A880" s="2297" t="s">
        <v>1359</v>
      </c>
      <c r="B880" s="2298" t="e">
        <f>((B892*(B60-B18))/0.8)*1.2</f>
        <v>#VALUE!</v>
      </c>
      <c r="C880" s="11"/>
      <c r="D880" s="2103"/>
      <c r="E880" s="2103"/>
      <c r="F880" s="2103"/>
    </row>
    <row r="881" spans="1:6" x14ac:dyDescent="0.2">
      <c r="A881" s="2103" t="s">
        <v>2302</v>
      </c>
      <c r="B881" s="2298" t="e">
        <f>IF(B20&lt;2.6,1,IF(B20&lt;3.3,2,IF(B20&lt;4,3,IF(B20&lt;5.1,4,IF(B20&lt;6.1,5,IF(B20&lt;7.6,6,7))))))</f>
        <v>#VALUE!</v>
      </c>
      <c r="C881" s="11"/>
      <c r="D881" s="2103"/>
      <c r="E881" s="2103"/>
      <c r="F881" s="2103"/>
    </row>
    <row r="882" spans="1:6" ht="15" x14ac:dyDescent="0.25">
      <c r="A882" s="2297" t="s">
        <v>3815</v>
      </c>
      <c r="B882" s="2298">
        <f>IF(B63&lt;2.1,1,2)</f>
        <v>2</v>
      </c>
      <c r="C882" s="11"/>
      <c r="D882" s="2103"/>
      <c r="E882" s="2103"/>
      <c r="F882" s="2103"/>
    </row>
    <row r="883" spans="1:6" ht="15" x14ac:dyDescent="0.25">
      <c r="A883" s="2297" t="s">
        <v>2346</v>
      </c>
      <c r="B883" s="2298" t="e">
        <f>INDEX($B$1278:$C$1284,B881,B882)</f>
        <v>#VALUE!</v>
      </c>
      <c r="C883" s="11"/>
      <c r="D883" s="2103"/>
      <c r="E883" s="2103"/>
      <c r="F883" s="2103"/>
    </row>
    <row r="884" spans="1:6" x14ac:dyDescent="0.2">
      <c r="A884" s="2103" t="s">
        <v>4617</v>
      </c>
      <c r="B884" s="2298" t="e">
        <f>B883*B870</f>
        <v>#VALUE!</v>
      </c>
      <c r="C884" s="11"/>
      <c r="D884" s="2103"/>
      <c r="E884" s="2103"/>
      <c r="F884" s="2103"/>
    </row>
    <row r="885" spans="1:6" ht="15" x14ac:dyDescent="0.25">
      <c r="A885" s="2297" t="s">
        <v>2347</v>
      </c>
      <c r="B885" s="2298" t="e">
        <f>B880/B884</f>
        <v>#VALUE!</v>
      </c>
      <c r="C885" s="11"/>
      <c r="D885" s="2103"/>
      <c r="E885" s="2103"/>
      <c r="F885" s="2103"/>
    </row>
    <row r="886" spans="1:6" ht="15" x14ac:dyDescent="0.25">
      <c r="A886" s="2299" t="s">
        <v>1161</v>
      </c>
      <c r="B886" s="2298" t="e">
        <f>B885+B879</f>
        <v>#VALUE!</v>
      </c>
      <c r="C886" s="11"/>
      <c r="D886" s="2103"/>
      <c r="E886" s="2103"/>
      <c r="F886" s="2103"/>
    </row>
    <row r="887" spans="1:6" ht="15.75" x14ac:dyDescent="0.25">
      <c r="A887" s="2300" t="s">
        <v>1162</v>
      </c>
      <c r="B887" s="11"/>
      <c r="C887" s="11"/>
      <c r="D887" s="2103"/>
      <c r="E887" s="2103"/>
      <c r="F887" s="2103"/>
    </row>
    <row r="888" spans="1:6" x14ac:dyDescent="0.2">
      <c r="A888" s="2301" t="s">
        <v>1163</v>
      </c>
      <c r="B888" s="11"/>
      <c r="C888" s="11"/>
      <c r="D888" s="2103"/>
      <c r="E888" s="2103"/>
      <c r="F888" s="2103"/>
    </row>
    <row r="889" spans="1:6" ht="15" x14ac:dyDescent="0.25">
      <c r="A889" s="2302" t="s">
        <v>2140</v>
      </c>
      <c r="B889" s="2155">
        <f>B60</f>
        <v>2.5</v>
      </c>
      <c r="C889" s="11"/>
      <c r="D889" s="2103"/>
      <c r="E889" s="2103"/>
      <c r="F889" s="2103"/>
    </row>
    <row r="890" spans="1:6" x14ac:dyDescent="0.2">
      <c r="A890" s="365" t="s">
        <v>2050</v>
      </c>
      <c r="B890" s="202">
        <f>B61</f>
        <v>2</v>
      </c>
      <c r="C890" s="11"/>
      <c r="D890" s="2103"/>
      <c r="E890" s="2103"/>
      <c r="F890" s="2103"/>
    </row>
    <row r="891" spans="1:6" x14ac:dyDescent="0.2">
      <c r="A891" s="365" t="s">
        <v>2107</v>
      </c>
      <c r="B891" s="202" t="e">
        <f>ROUNDUP(0.012*(100*B837)^0.5,2)</f>
        <v>#VALUE!</v>
      </c>
      <c r="C891" s="11"/>
      <c r="D891" s="2103"/>
      <c r="E891" s="2103"/>
      <c r="F891" s="2103"/>
    </row>
    <row r="892" spans="1:6" ht="15" x14ac:dyDescent="0.25">
      <c r="A892" s="2302" t="s">
        <v>2108</v>
      </c>
      <c r="B892" s="2151" t="e">
        <f>(B873/2)/(B889-B837)</f>
        <v>#VALUE!</v>
      </c>
      <c r="C892" s="11"/>
      <c r="D892" s="2103"/>
      <c r="E892" s="2103"/>
      <c r="F892" s="2103"/>
    </row>
    <row r="893" spans="1:6" ht="15" x14ac:dyDescent="0.25">
      <c r="A893" s="365" t="s">
        <v>2109</v>
      </c>
      <c r="B893" s="2151" t="e">
        <f>(ROUNDDOWN((B892+2*B890-0.8)/B891,0))/B890</f>
        <v>#VALUE!</v>
      </c>
      <c r="C893" s="11"/>
      <c r="D893" s="2103"/>
      <c r="E893" s="2103"/>
      <c r="F893" s="2103"/>
    </row>
    <row r="894" spans="1:6" ht="15" x14ac:dyDescent="0.25">
      <c r="A894" s="365" t="s">
        <v>2110</v>
      </c>
      <c r="B894" s="2151" t="e">
        <f>IF(B892&lt;2,1,IF(B892&lt;3,2,IF(B892&lt;4,3,IF(B892&lt;5,4,5))))</f>
        <v>#VALUE!</v>
      </c>
      <c r="C894" s="11"/>
      <c r="D894" s="2103"/>
      <c r="E894" s="2103"/>
      <c r="F894" s="2103"/>
    </row>
    <row r="895" spans="1:6" ht="15" x14ac:dyDescent="0.25">
      <c r="A895" s="365" t="s">
        <v>2111</v>
      </c>
      <c r="B895" s="2151" t="e">
        <f>B892</f>
        <v>#VALUE!</v>
      </c>
      <c r="C895" s="11"/>
      <c r="D895" s="2103"/>
      <c r="E895" s="2103"/>
      <c r="F895" s="2103"/>
    </row>
    <row r="896" spans="1:6" ht="15" x14ac:dyDescent="0.25">
      <c r="A896" s="365" t="s">
        <v>2112</v>
      </c>
      <c r="B896" s="2151" t="e">
        <f>(3.14*B891^2/4)*B837*B893</f>
        <v>#VALUE!</v>
      </c>
      <c r="C896" s="11"/>
      <c r="D896" s="2103"/>
      <c r="E896" s="2103"/>
      <c r="F896" s="2103"/>
    </row>
    <row r="897" spans="1:6" ht="15" x14ac:dyDescent="0.25">
      <c r="A897" s="365" t="s">
        <v>2113</v>
      </c>
      <c r="B897" s="2151" t="e">
        <f>((3.14*(ROUNDUP((0.012*(100*B889)^0.5),2))^2)/4)*B889*B894</f>
        <v>#VALUE!</v>
      </c>
      <c r="C897" s="11"/>
      <c r="D897" s="2103"/>
      <c r="E897" s="2103"/>
      <c r="F897" s="2103"/>
    </row>
    <row r="898" spans="1:6" ht="15" x14ac:dyDescent="0.25">
      <c r="A898" s="365" t="s">
        <v>2114</v>
      </c>
      <c r="B898" s="2151" t="e">
        <f>0.2*0.03*B895</f>
        <v>#VALUE!</v>
      </c>
      <c r="C898" s="11"/>
      <c r="D898" s="2103"/>
      <c r="E898" s="2103"/>
      <c r="F898" s="2103"/>
    </row>
    <row r="899" spans="1:6" ht="15" x14ac:dyDescent="0.25">
      <c r="A899" s="2303" t="s">
        <v>2115</v>
      </c>
      <c r="B899" s="11"/>
      <c r="C899" s="11"/>
      <c r="D899" s="2103"/>
      <c r="E899" s="2103"/>
      <c r="F899" s="2103"/>
    </row>
    <row r="900" spans="1:6" ht="15" x14ac:dyDescent="0.25">
      <c r="A900" s="365" t="s">
        <v>2116</v>
      </c>
      <c r="B900" s="2151" t="e">
        <f>ROUNDDOWN((B892*(B889-B837))/0.8,0)</f>
        <v>#VALUE!</v>
      </c>
      <c r="C900" s="11"/>
      <c r="D900" s="2103"/>
      <c r="E900" s="2103"/>
      <c r="F900" s="2103"/>
    </row>
    <row r="901" spans="1:6" ht="15" x14ac:dyDescent="0.25">
      <c r="A901" s="365" t="s">
        <v>2117</v>
      </c>
      <c r="B901" s="2151" t="e">
        <f>0.3*B890*B900*3.14*0.032^2/4</f>
        <v>#VALUE!</v>
      </c>
      <c r="C901" s="11"/>
      <c r="D901" s="2103"/>
      <c r="E901" s="2103"/>
      <c r="F901" s="2103"/>
    </row>
    <row r="902" spans="1:6" ht="15" x14ac:dyDescent="0.25">
      <c r="A902" s="365" t="s">
        <v>2118</v>
      </c>
      <c r="B902" s="2304">
        <v>1.3</v>
      </c>
      <c r="C902" s="11"/>
      <c r="D902" s="2103"/>
      <c r="E902" s="2103"/>
      <c r="F902" s="2103"/>
    </row>
    <row r="903" spans="1:6" ht="15" x14ac:dyDescent="0.25">
      <c r="A903" s="365" t="s">
        <v>2119</v>
      </c>
      <c r="B903" s="2151" t="e">
        <f>B901*B902</f>
        <v>#VALUE!</v>
      </c>
      <c r="C903" s="11"/>
      <c r="D903" s="2103"/>
      <c r="E903" s="2103"/>
      <c r="F903" s="2103"/>
    </row>
    <row r="904" spans="1:6" ht="15" x14ac:dyDescent="0.25">
      <c r="A904" s="2153" t="s">
        <v>1850</v>
      </c>
      <c r="B904" s="11"/>
      <c r="C904" s="11"/>
      <c r="D904" s="2103"/>
      <c r="E904" s="2103"/>
      <c r="F904" s="2103"/>
    </row>
    <row r="905" spans="1:6" x14ac:dyDescent="0.2">
      <c r="A905" s="2154" t="s">
        <v>1851</v>
      </c>
      <c r="B905" s="11"/>
      <c r="C905" s="11"/>
      <c r="D905" s="2103"/>
      <c r="E905" s="2103"/>
      <c r="F905" s="2103"/>
    </row>
    <row r="906" spans="1:6" ht="15" x14ac:dyDescent="0.25">
      <c r="A906" s="17" t="s">
        <v>1852</v>
      </c>
      <c r="B906" s="2155" t="e">
        <f>B896+B897</f>
        <v>#VALUE!</v>
      </c>
      <c r="C906" s="15"/>
      <c r="D906" s="2103"/>
      <c r="E906" s="2103"/>
      <c r="F906" s="2103"/>
    </row>
    <row r="907" spans="1:6" ht="15" x14ac:dyDescent="0.25">
      <c r="A907" s="17" t="s">
        <v>1853</v>
      </c>
      <c r="B907" s="2155" t="e">
        <f>(B896*B837+B897*B889)/B906</f>
        <v>#VALUE!</v>
      </c>
      <c r="C907" s="15"/>
      <c r="D907" s="2103"/>
      <c r="E907" s="2103"/>
      <c r="F907" s="2103"/>
    </row>
    <row r="908" spans="1:6" x14ac:dyDescent="0.2">
      <c r="A908" s="24" t="s">
        <v>1854</v>
      </c>
      <c r="B908" s="23" t="e">
        <f>IF(B907&lt;2.21,12.9*B907+1.7,28.4)</f>
        <v>#VALUE!</v>
      </c>
      <c r="C908" s="15"/>
      <c r="D908" s="2103"/>
      <c r="E908" s="2103"/>
      <c r="F908" s="2103"/>
    </row>
    <row r="909" spans="1:6" x14ac:dyDescent="0.2">
      <c r="A909" s="24" t="s">
        <v>1855</v>
      </c>
      <c r="B909" s="23" t="e">
        <f>B906/B908</f>
        <v>#VALUE!</v>
      </c>
      <c r="C909" s="15"/>
      <c r="D909" s="2103"/>
      <c r="E909" s="2103"/>
      <c r="F909" s="2103"/>
    </row>
    <row r="910" spans="1:6" ht="15" x14ac:dyDescent="0.25">
      <c r="A910" s="17" t="s">
        <v>1856</v>
      </c>
      <c r="B910" s="2155" t="e">
        <f>B898</f>
        <v>#VALUE!</v>
      </c>
      <c r="C910" s="15"/>
      <c r="D910" s="2103"/>
      <c r="E910" s="2103"/>
      <c r="F910" s="2103"/>
    </row>
    <row r="911" spans="1:6" x14ac:dyDescent="0.2">
      <c r="A911" s="17" t="s">
        <v>1857</v>
      </c>
      <c r="B911" s="2305">
        <v>0</v>
      </c>
      <c r="C911" s="15"/>
      <c r="D911" s="2103"/>
      <c r="E911" s="2103"/>
      <c r="F911" s="2103"/>
    </row>
    <row r="912" spans="1:6" x14ac:dyDescent="0.2">
      <c r="A912" s="17" t="s">
        <v>1858</v>
      </c>
      <c r="B912" s="1057">
        <v>0</v>
      </c>
      <c r="C912" s="15"/>
      <c r="D912" s="2103"/>
      <c r="E912" s="2103"/>
      <c r="F912" s="2103"/>
    </row>
    <row r="913" spans="1:6" x14ac:dyDescent="0.2">
      <c r="A913" s="2306" t="s">
        <v>2120</v>
      </c>
      <c r="B913" s="24" t="e">
        <f>SUM(B910:B912)</f>
        <v>#VALUE!</v>
      </c>
      <c r="C913" s="15"/>
      <c r="D913" s="2103"/>
      <c r="E913" s="2103"/>
      <c r="F913" s="2103"/>
    </row>
    <row r="914" spans="1:6" x14ac:dyDescent="0.2">
      <c r="A914" s="24" t="s">
        <v>1854</v>
      </c>
      <c r="B914" s="24">
        <v>24.2</v>
      </c>
      <c r="C914" s="11"/>
      <c r="D914" s="2103"/>
      <c r="E914" s="2103"/>
      <c r="F914" s="2103"/>
    </row>
    <row r="915" spans="1:6" x14ac:dyDescent="0.2">
      <c r="A915" s="24" t="s">
        <v>1855</v>
      </c>
      <c r="B915" s="24" t="e">
        <f>B913/B914</f>
        <v>#VALUE!</v>
      </c>
      <c r="C915" s="11"/>
      <c r="D915" s="2103"/>
      <c r="E915" s="2103"/>
      <c r="F915" s="2103"/>
    </row>
    <row r="916" spans="1:6" x14ac:dyDescent="0.2">
      <c r="A916" s="2135" t="s">
        <v>4592</v>
      </c>
      <c r="B916" s="11"/>
      <c r="C916" s="11"/>
      <c r="D916" s="2103"/>
      <c r="E916" s="2103"/>
      <c r="F916" s="2103"/>
    </row>
    <row r="917" spans="1:6" x14ac:dyDescent="0.2">
      <c r="A917" s="17" t="s">
        <v>4593</v>
      </c>
      <c r="B917" s="1057">
        <v>0</v>
      </c>
      <c r="C917" s="11"/>
      <c r="D917" s="2103"/>
      <c r="E917" s="2103"/>
      <c r="F917" s="2103"/>
    </row>
    <row r="918" spans="1:6" x14ac:dyDescent="0.2">
      <c r="A918" s="24" t="s">
        <v>1854</v>
      </c>
      <c r="B918" s="24">
        <f>17*1.15</f>
        <v>19.549999999999997</v>
      </c>
      <c r="C918" s="11"/>
      <c r="D918" s="2103"/>
      <c r="E918" s="2103"/>
      <c r="F918" s="2103"/>
    </row>
    <row r="919" spans="1:6" x14ac:dyDescent="0.2">
      <c r="A919" s="806" t="s">
        <v>1855</v>
      </c>
      <c r="B919" s="24">
        <f>B917/B918</f>
        <v>0</v>
      </c>
      <c r="C919" s="11"/>
      <c r="D919" s="2103"/>
      <c r="E919" s="2103"/>
      <c r="F919" s="2103"/>
    </row>
    <row r="920" spans="1:6" x14ac:dyDescent="0.2">
      <c r="A920" s="2156" t="s">
        <v>3724</v>
      </c>
      <c r="B920" s="11"/>
      <c r="C920" s="11"/>
      <c r="D920" s="2103"/>
      <c r="E920" s="2103"/>
      <c r="F920" s="2103"/>
    </row>
    <row r="921" spans="1:6" x14ac:dyDescent="0.2">
      <c r="A921" s="567" t="s">
        <v>3725</v>
      </c>
      <c r="B921" s="202">
        <f>B134</f>
        <v>56</v>
      </c>
      <c r="C921" s="11"/>
      <c r="D921" s="2103"/>
      <c r="E921" s="2103"/>
      <c r="F921" s="2103"/>
    </row>
    <row r="922" spans="1:6" x14ac:dyDescent="0.2">
      <c r="A922" s="24" t="s">
        <v>1852</v>
      </c>
      <c r="B922" s="24" t="e">
        <f>B906</f>
        <v>#VALUE!</v>
      </c>
      <c r="C922" s="11"/>
      <c r="D922" s="2103"/>
      <c r="E922" s="2103"/>
      <c r="F922" s="2103"/>
    </row>
    <row r="923" spans="1:6" x14ac:dyDescent="0.2">
      <c r="A923" s="2158" t="s">
        <v>3726</v>
      </c>
      <c r="B923" s="24" t="e">
        <f>79.5*B907^-1.5</f>
        <v>#VALUE!</v>
      </c>
      <c r="C923" s="11"/>
      <c r="D923" s="2103"/>
      <c r="E923" s="2103"/>
      <c r="F923" s="2103"/>
    </row>
    <row r="924" spans="1:6" x14ac:dyDescent="0.2">
      <c r="A924" s="24" t="s">
        <v>2121</v>
      </c>
      <c r="B924" s="24" t="e">
        <f>((3.14*((1.2*(B907*100)^0.5)/100)^2)/4)*B907</f>
        <v>#VALUE!</v>
      </c>
      <c r="C924" s="11"/>
      <c r="D924" s="2103"/>
      <c r="E924" s="2103"/>
      <c r="F924" s="2103"/>
    </row>
    <row r="925" spans="1:6" x14ac:dyDescent="0.2">
      <c r="A925" s="24" t="s">
        <v>2122</v>
      </c>
      <c r="B925" s="24" t="e">
        <f>B906/B924</f>
        <v>#VALUE!</v>
      </c>
      <c r="C925" s="11"/>
      <c r="D925" s="2103"/>
      <c r="E925" s="2103"/>
      <c r="F925" s="2103"/>
    </row>
    <row r="926" spans="1:6" x14ac:dyDescent="0.2">
      <c r="A926" s="24" t="s">
        <v>2123</v>
      </c>
      <c r="B926" s="24" t="e">
        <f>B925/B923</f>
        <v>#VALUE!</v>
      </c>
      <c r="C926" s="11"/>
      <c r="D926" s="2103"/>
      <c r="E926" s="2103"/>
      <c r="F926" s="2103"/>
    </row>
    <row r="927" spans="1:6" x14ac:dyDescent="0.2">
      <c r="A927" s="24" t="s">
        <v>4429</v>
      </c>
      <c r="B927" s="24">
        <f>2.2*(IF(B921&lt;51,32,IF(B921&lt;71,25,21)))</f>
        <v>55.000000000000007</v>
      </c>
      <c r="C927" s="11"/>
      <c r="D927" s="2103"/>
      <c r="E927" s="2103"/>
      <c r="F927" s="2103"/>
    </row>
    <row r="928" spans="1:6" x14ac:dyDescent="0.2">
      <c r="A928" s="24" t="s">
        <v>1855</v>
      </c>
      <c r="B928" s="24" t="e">
        <f>B922/B927</f>
        <v>#VALUE!</v>
      </c>
      <c r="C928" s="11"/>
      <c r="D928" s="2103"/>
      <c r="E928" s="2103"/>
      <c r="F928" s="2103"/>
    </row>
    <row r="929" spans="1:6" x14ac:dyDescent="0.2">
      <c r="A929" s="11"/>
      <c r="B929" s="11"/>
      <c r="C929" s="11"/>
      <c r="D929" s="2103"/>
      <c r="E929" s="2103"/>
      <c r="F929" s="2103"/>
    </row>
    <row r="930" spans="1:6" x14ac:dyDescent="0.2">
      <c r="A930" s="567" t="s">
        <v>4430</v>
      </c>
      <c r="B930" s="24" t="e">
        <f>B913</f>
        <v>#VALUE!</v>
      </c>
      <c r="C930" s="11"/>
      <c r="D930" s="2103"/>
      <c r="E930" s="2103"/>
      <c r="F930" s="2103"/>
    </row>
    <row r="931" spans="1:6" x14ac:dyDescent="0.2">
      <c r="A931" s="24" t="s">
        <v>4431</v>
      </c>
      <c r="B931" s="2185">
        <v>0.8</v>
      </c>
      <c r="C931" s="11"/>
      <c r="D931" s="2103"/>
      <c r="E931" s="2103"/>
      <c r="F931" s="2103"/>
    </row>
    <row r="932" spans="1:6" x14ac:dyDescent="0.2">
      <c r="A932" s="24" t="s">
        <v>2124</v>
      </c>
      <c r="B932" s="24" t="e">
        <f>B930/(3*B931)</f>
        <v>#VALUE!</v>
      </c>
      <c r="C932" s="11"/>
      <c r="D932" s="2103"/>
      <c r="E932" s="2103"/>
      <c r="F932" s="2103"/>
    </row>
    <row r="933" spans="1:6" x14ac:dyDescent="0.2">
      <c r="A933" s="24" t="s">
        <v>4433</v>
      </c>
      <c r="B933" s="24">
        <f>2.2*(IF(B921&lt;51,32,IF(B921&lt;71,25,21)))</f>
        <v>55.000000000000007</v>
      </c>
      <c r="C933" s="11"/>
      <c r="D933" s="2103"/>
      <c r="E933" s="2103"/>
      <c r="F933" s="2103"/>
    </row>
    <row r="934" spans="1:6" x14ac:dyDescent="0.2">
      <c r="A934" s="24" t="s">
        <v>1855</v>
      </c>
      <c r="B934" s="24" t="e">
        <f>B932/B933</f>
        <v>#VALUE!</v>
      </c>
      <c r="C934" s="11"/>
      <c r="D934" s="2103"/>
      <c r="E934" s="2103"/>
      <c r="F934" s="2103"/>
    </row>
    <row r="935" spans="1:6" x14ac:dyDescent="0.2">
      <c r="A935" s="2240" t="s">
        <v>3728</v>
      </c>
      <c r="B935" s="30"/>
      <c r="C935" s="11"/>
      <c r="D935" s="2103"/>
      <c r="E935" s="2103"/>
      <c r="F935" s="2103"/>
    </row>
    <row r="936" spans="1:6" x14ac:dyDescent="0.2">
      <c r="A936" s="24" t="s">
        <v>2124</v>
      </c>
      <c r="B936" s="24">
        <f>B917*2.2/3</f>
        <v>0</v>
      </c>
      <c r="C936" s="11"/>
      <c r="D936" s="2103"/>
      <c r="E936" s="2103"/>
      <c r="F936" s="2103"/>
    </row>
    <row r="937" spans="1:6" x14ac:dyDescent="0.2">
      <c r="A937" s="24" t="s">
        <v>4433</v>
      </c>
      <c r="B937" s="24">
        <f>2.2*(IF(B921&lt;51,32,IF(B921&lt;71,25,21)))</f>
        <v>55.000000000000007</v>
      </c>
      <c r="C937" s="11"/>
      <c r="D937" s="2103"/>
      <c r="E937" s="2103"/>
      <c r="F937" s="2103"/>
    </row>
    <row r="938" spans="1:6" x14ac:dyDescent="0.2">
      <c r="A938" s="24" t="s">
        <v>1855</v>
      </c>
      <c r="B938" s="24">
        <f>B936/B937</f>
        <v>0</v>
      </c>
      <c r="C938" s="11"/>
      <c r="D938" s="2103"/>
      <c r="E938" s="2103"/>
      <c r="F938" s="2103"/>
    </row>
    <row r="939" spans="1:6" x14ac:dyDescent="0.2">
      <c r="A939" s="2135" t="s">
        <v>3729</v>
      </c>
      <c r="B939" s="11"/>
      <c r="C939" s="11"/>
      <c r="D939" s="2103"/>
      <c r="E939" s="2103"/>
      <c r="F939" s="2103"/>
    </row>
    <row r="940" spans="1:6" x14ac:dyDescent="0.2">
      <c r="A940" s="17" t="s">
        <v>3730</v>
      </c>
      <c r="B940" s="71">
        <v>0</v>
      </c>
      <c r="C940" s="11"/>
      <c r="D940" s="2103"/>
      <c r="E940" s="2103"/>
      <c r="F940" s="2103"/>
    </row>
    <row r="941" spans="1:6" x14ac:dyDescent="0.2">
      <c r="A941" s="17" t="s">
        <v>3731</v>
      </c>
      <c r="B941" s="71">
        <v>0</v>
      </c>
      <c r="C941" s="11"/>
      <c r="D941" s="2103"/>
      <c r="E941" s="2103"/>
      <c r="F941" s="2103"/>
    </row>
    <row r="942" spans="1:6" x14ac:dyDescent="0.2">
      <c r="A942" s="17" t="s">
        <v>3732</v>
      </c>
      <c r="B942" s="71">
        <v>0</v>
      </c>
      <c r="C942" s="11"/>
      <c r="D942" s="2103"/>
      <c r="E942" s="2103"/>
      <c r="F942" s="2103"/>
    </row>
    <row r="943" spans="1:6" x14ac:dyDescent="0.2">
      <c r="A943" s="17" t="s">
        <v>2734</v>
      </c>
      <c r="B943" s="71">
        <v>0</v>
      </c>
      <c r="C943" s="11"/>
      <c r="D943" s="2103"/>
      <c r="E943" s="2103"/>
      <c r="F943" s="2103"/>
    </row>
    <row r="944" spans="1:6" x14ac:dyDescent="0.2">
      <c r="A944" s="365" t="s">
        <v>1831</v>
      </c>
      <c r="B944" s="71">
        <v>0</v>
      </c>
      <c r="C944" s="11"/>
      <c r="D944" s="2103"/>
      <c r="E944" s="2103"/>
      <c r="F944" s="2103"/>
    </row>
    <row r="945" spans="1:6" x14ac:dyDescent="0.2">
      <c r="A945" s="17" t="s">
        <v>1832</v>
      </c>
      <c r="B945" s="71">
        <v>0</v>
      </c>
      <c r="C945" s="11"/>
      <c r="D945" s="2103"/>
      <c r="E945" s="2103"/>
      <c r="F945" s="2103"/>
    </row>
    <row r="946" spans="1:6" x14ac:dyDescent="0.2">
      <c r="A946" s="17" t="s">
        <v>1833</v>
      </c>
      <c r="B946" s="71">
        <v>0</v>
      </c>
      <c r="C946" s="11"/>
      <c r="D946" s="2103"/>
      <c r="E946" s="2103"/>
      <c r="F946" s="2103"/>
    </row>
    <row r="947" spans="1:6" x14ac:dyDescent="0.2">
      <c r="A947" s="17" t="s">
        <v>1834</v>
      </c>
      <c r="B947" s="71">
        <v>0</v>
      </c>
      <c r="C947" s="11"/>
      <c r="D947" s="2103"/>
      <c r="E947" s="2103"/>
      <c r="F947" s="2103"/>
    </row>
    <row r="948" spans="1:6" x14ac:dyDescent="0.2">
      <c r="A948" s="17" t="s">
        <v>1835</v>
      </c>
      <c r="B948" s="23">
        <f>SUM(B940:B947)</f>
        <v>0</v>
      </c>
      <c r="C948" s="11"/>
      <c r="D948" s="2103"/>
      <c r="E948" s="2103"/>
      <c r="F948" s="2103"/>
    </row>
    <row r="949" spans="1:6" x14ac:dyDescent="0.2">
      <c r="A949" s="24" t="s">
        <v>1836</v>
      </c>
      <c r="B949" s="24">
        <f>0.05*B948</f>
        <v>0</v>
      </c>
      <c r="C949" s="11"/>
      <c r="D949" s="2103"/>
      <c r="E949" s="2103"/>
      <c r="F949" s="2103"/>
    </row>
    <row r="950" spans="1:6" x14ac:dyDescent="0.2">
      <c r="A950" s="24" t="s">
        <v>1780</v>
      </c>
      <c r="B950" s="24">
        <f>B948+B949</f>
        <v>0</v>
      </c>
      <c r="C950" s="11"/>
      <c r="D950" s="2103"/>
      <c r="E950" s="2103"/>
      <c r="F950" s="2103"/>
    </row>
    <row r="951" spans="1:6" x14ac:dyDescent="0.2">
      <c r="A951" s="24" t="s">
        <v>1781</v>
      </c>
      <c r="B951" s="24">
        <f>IF(B921&lt;51,11,10.2)</f>
        <v>10.199999999999999</v>
      </c>
      <c r="C951" s="11"/>
      <c r="D951" s="2103"/>
      <c r="E951" s="2103"/>
      <c r="F951" s="2103"/>
    </row>
    <row r="952" spans="1:6" x14ac:dyDescent="0.2">
      <c r="A952" s="806" t="s">
        <v>1855</v>
      </c>
      <c r="B952" s="24">
        <f>B948/B951</f>
        <v>0</v>
      </c>
      <c r="C952" s="11"/>
      <c r="D952" s="2103"/>
      <c r="E952" s="2103"/>
      <c r="F952" s="2103"/>
    </row>
    <row r="953" spans="1:6" ht="15" x14ac:dyDescent="0.25">
      <c r="A953" s="2159" t="s">
        <v>1782</v>
      </c>
      <c r="B953" s="806" t="e">
        <f>B952+B938+B934+B928+B919+B915+B909</f>
        <v>#VALUE!</v>
      </c>
      <c r="C953" s="11"/>
      <c r="D953" s="2103"/>
      <c r="E953" s="2103"/>
      <c r="F953" s="2103"/>
    </row>
    <row r="954" spans="1:6" x14ac:dyDescent="0.2">
      <c r="A954" s="2135" t="s">
        <v>4775</v>
      </c>
      <c r="B954" s="30"/>
      <c r="C954" s="11"/>
      <c r="D954" s="2103"/>
      <c r="E954" s="2103"/>
      <c r="F954" s="2103"/>
    </row>
    <row r="955" spans="1:6" x14ac:dyDescent="0.2">
      <c r="A955" s="24" t="s">
        <v>1833</v>
      </c>
      <c r="B955" s="23">
        <f>B946</f>
        <v>0</v>
      </c>
      <c r="C955" s="11"/>
      <c r="D955" s="2103"/>
      <c r="E955" s="2103"/>
      <c r="F955" s="2103"/>
    </row>
    <row r="956" spans="1:6" x14ac:dyDescent="0.2">
      <c r="A956" s="24" t="s">
        <v>1834</v>
      </c>
      <c r="B956" s="23">
        <f>B947</f>
        <v>0</v>
      </c>
      <c r="C956" s="11"/>
      <c r="D956" s="2103"/>
      <c r="E956" s="2103"/>
      <c r="F956" s="2103"/>
    </row>
    <row r="957" spans="1:6" x14ac:dyDescent="0.2">
      <c r="A957" s="17" t="s">
        <v>1835</v>
      </c>
      <c r="B957" s="24">
        <f>SUM(B955:B956)</f>
        <v>0</v>
      </c>
      <c r="C957" s="11"/>
      <c r="D957" s="2103"/>
      <c r="E957" s="2103"/>
      <c r="F957" s="2103"/>
    </row>
    <row r="958" spans="1:6" x14ac:dyDescent="0.2">
      <c r="A958" s="24" t="s">
        <v>4776</v>
      </c>
      <c r="B958" s="24">
        <v>10.8</v>
      </c>
      <c r="C958" s="11"/>
      <c r="D958" s="2103"/>
      <c r="E958" s="2103"/>
      <c r="F958" s="2103"/>
    </row>
    <row r="959" spans="1:6" x14ac:dyDescent="0.2">
      <c r="A959" s="24" t="s">
        <v>4777</v>
      </c>
      <c r="B959" s="24">
        <v>12.4</v>
      </c>
      <c r="C959" s="11"/>
      <c r="D959" s="2103"/>
      <c r="E959" s="2103"/>
      <c r="F959" s="2103"/>
    </row>
    <row r="960" spans="1:6" x14ac:dyDescent="0.2">
      <c r="A960" s="806" t="s">
        <v>1855</v>
      </c>
      <c r="B960" s="24">
        <f>B957/B958+B957/B959</f>
        <v>0</v>
      </c>
      <c r="C960" s="11"/>
      <c r="D960" s="2103"/>
      <c r="E960" s="2103"/>
      <c r="F960" s="2103"/>
    </row>
    <row r="961" spans="1:6" ht="15" x14ac:dyDescent="0.25">
      <c r="A961" s="2160" t="s">
        <v>4778</v>
      </c>
      <c r="B961" s="11"/>
      <c r="C961" s="11"/>
      <c r="D961" s="2103"/>
      <c r="E961" s="2103"/>
      <c r="F961" s="2103"/>
    </row>
    <row r="962" spans="1:6" x14ac:dyDescent="0.2">
      <c r="A962" s="17" t="s">
        <v>4779</v>
      </c>
      <c r="B962" s="2307">
        <f>B145</f>
        <v>2000</v>
      </c>
      <c r="C962" s="11"/>
      <c r="D962" s="2103"/>
      <c r="E962" s="2103"/>
      <c r="F962" s="2103"/>
    </row>
    <row r="963" spans="1:6" x14ac:dyDescent="0.2">
      <c r="A963" s="2135" t="s">
        <v>4780</v>
      </c>
      <c r="B963" s="11"/>
      <c r="C963" s="11"/>
      <c r="D963" s="2103"/>
      <c r="E963" s="2103"/>
      <c r="F963" s="2103"/>
    </row>
    <row r="964" spans="1:6" x14ac:dyDescent="0.2">
      <c r="A964" s="24" t="s">
        <v>4781</v>
      </c>
      <c r="B964" s="24" t="e">
        <f>B906+B910+B911+B912</f>
        <v>#VALUE!</v>
      </c>
      <c r="C964" s="11"/>
      <c r="D964" s="2103"/>
      <c r="E964" s="2103"/>
      <c r="F964" s="2103"/>
    </row>
    <row r="965" spans="1:6" x14ac:dyDescent="0.2">
      <c r="A965" s="24" t="s">
        <v>5147</v>
      </c>
      <c r="B965" s="24">
        <f>16111*B962^-0.653</f>
        <v>112.60298683393111</v>
      </c>
      <c r="C965" s="11"/>
      <c r="D965" s="2103"/>
      <c r="E965" s="2103"/>
      <c r="F965" s="2103"/>
    </row>
    <row r="966" spans="1:6" x14ac:dyDescent="0.2">
      <c r="A966" s="24" t="s">
        <v>3088</v>
      </c>
      <c r="B966" s="24" t="e">
        <f>B964/B965</f>
        <v>#VALUE!</v>
      </c>
      <c r="C966" s="11"/>
      <c r="D966" s="2103"/>
      <c r="E966" s="2103"/>
      <c r="F966" s="2103"/>
    </row>
    <row r="967" spans="1:6" x14ac:dyDescent="0.2">
      <c r="A967" s="2135" t="s">
        <v>3089</v>
      </c>
      <c r="B967" s="11"/>
      <c r="C967" s="11"/>
      <c r="D967" s="2103"/>
      <c r="E967" s="2103"/>
      <c r="F967" s="2103"/>
    </row>
    <row r="968" spans="1:6" x14ac:dyDescent="0.2">
      <c r="A968" s="24" t="s">
        <v>3090</v>
      </c>
      <c r="B968" s="24">
        <f>B917*2+B950</f>
        <v>0</v>
      </c>
      <c r="C968" s="11"/>
      <c r="D968" s="2103"/>
      <c r="E968" s="2103"/>
      <c r="F968" s="2103"/>
    </row>
    <row r="969" spans="1:6" x14ac:dyDescent="0.2">
      <c r="A969" s="24" t="s">
        <v>3091</v>
      </c>
      <c r="B969" s="24">
        <f>25667*B962^-0.666</f>
        <v>162.51338393276461</v>
      </c>
      <c r="C969" s="11"/>
      <c r="D969" s="2103"/>
      <c r="E969" s="2103"/>
      <c r="F969" s="2103"/>
    </row>
    <row r="970" spans="1:6" x14ac:dyDescent="0.2">
      <c r="A970" s="24" t="s">
        <v>3088</v>
      </c>
      <c r="B970" s="24">
        <f>B968/B969</f>
        <v>0</v>
      </c>
      <c r="C970" s="11"/>
      <c r="D970" s="2103"/>
      <c r="E970" s="2103"/>
      <c r="F970" s="2103"/>
    </row>
    <row r="971" spans="1:6" x14ac:dyDescent="0.2">
      <c r="A971" s="2135" t="s">
        <v>3092</v>
      </c>
      <c r="B971" s="11"/>
      <c r="C971" s="11"/>
      <c r="D971" s="2103"/>
      <c r="E971" s="2103"/>
      <c r="F971" s="2103"/>
    </row>
    <row r="972" spans="1:6" x14ac:dyDescent="0.2">
      <c r="A972" s="24" t="s">
        <v>3090</v>
      </c>
      <c r="B972" s="24">
        <f>B957</f>
        <v>0</v>
      </c>
      <c r="C972" s="11"/>
      <c r="D972" s="2103"/>
      <c r="E972" s="2103"/>
      <c r="F972" s="2103"/>
    </row>
    <row r="973" spans="1:6" x14ac:dyDescent="0.2">
      <c r="A973" s="24" t="s">
        <v>3091</v>
      </c>
      <c r="B973" s="24">
        <f>25667*B962^-0.666</f>
        <v>162.51338393276461</v>
      </c>
      <c r="C973" s="11"/>
      <c r="D973" s="2103"/>
      <c r="E973" s="2103"/>
      <c r="F973" s="2103"/>
    </row>
    <row r="974" spans="1:6" x14ac:dyDescent="0.2">
      <c r="A974" s="24" t="s">
        <v>3088</v>
      </c>
      <c r="B974" s="24">
        <f>B972/B973</f>
        <v>0</v>
      </c>
      <c r="C974" s="11"/>
      <c r="D974" s="2103"/>
      <c r="E974" s="2103"/>
      <c r="F974" s="2103"/>
    </row>
    <row r="975" spans="1:6" ht="15" x14ac:dyDescent="0.25">
      <c r="A975" s="2160" t="s">
        <v>3093</v>
      </c>
      <c r="B975" s="11"/>
      <c r="C975" s="11"/>
      <c r="D975" s="2103"/>
      <c r="E975" s="2103"/>
      <c r="F975" s="2103"/>
    </row>
    <row r="976" spans="1:6" x14ac:dyDescent="0.2">
      <c r="A976" s="2161" t="s">
        <v>3743</v>
      </c>
      <c r="B976" s="11"/>
      <c r="C976" s="11"/>
      <c r="D976" s="2103"/>
      <c r="E976" s="2103"/>
      <c r="F976" s="2103"/>
    </row>
    <row r="977" spans="1:6" x14ac:dyDescent="0.2">
      <c r="A977" s="24" t="s">
        <v>3094</v>
      </c>
      <c r="B977" s="24" t="e">
        <f>B964</f>
        <v>#VALUE!</v>
      </c>
      <c r="C977" s="11"/>
      <c r="D977" s="2103"/>
      <c r="E977" s="2103"/>
      <c r="F977" s="2103"/>
    </row>
    <row r="978" spans="1:6" x14ac:dyDescent="0.2">
      <c r="A978" s="24" t="s">
        <v>3091</v>
      </c>
      <c r="B978" s="24">
        <v>8.6999999999999993</v>
      </c>
      <c r="C978" s="11"/>
      <c r="D978" s="2103"/>
      <c r="E978" s="2103"/>
      <c r="F978" s="2103"/>
    </row>
    <row r="979" spans="1:6" x14ac:dyDescent="0.2">
      <c r="A979" s="24" t="s">
        <v>3088</v>
      </c>
      <c r="B979" s="24" t="e">
        <f>B977*0.9/B978</f>
        <v>#VALUE!</v>
      </c>
      <c r="C979" s="11"/>
      <c r="D979" s="2103"/>
      <c r="E979" s="2103"/>
      <c r="F979" s="2103"/>
    </row>
    <row r="980" spans="1:6" x14ac:dyDescent="0.2">
      <c r="A980" s="2135" t="s">
        <v>3095</v>
      </c>
      <c r="B980" s="11"/>
      <c r="C980" s="11"/>
      <c r="D980" s="2103"/>
      <c r="E980" s="2103"/>
      <c r="F980" s="2103"/>
    </row>
    <row r="981" spans="1:6" x14ac:dyDescent="0.2">
      <c r="A981" s="24" t="s">
        <v>3094</v>
      </c>
      <c r="B981" s="24">
        <f>B917</f>
        <v>0</v>
      </c>
      <c r="C981" s="11"/>
      <c r="D981" s="2103"/>
      <c r="E981" s="2103"/>
      <c r="F981" s="2103"/>
    </row>
    <row r="982" spans="1:6" x14ac:dyDescent="0.2">
      <c r="A982" s="24" t="s">
        <v>5147</v>
      </c>
      <c r="B982" s="24">
        <v>16.600000000000001</v>
      </c>
      <c r="C982" s="11"/>
      <c r="D982" s="2103"/>
      <c r="E982" s="2103"/>
      <c r="F982" s="2103"/>
    </row>
    <row r="983" spans="1:6" x14ac:dyDescent="0.2">
      <c r="A983" s="24" t="s">
        <v>3088</v>
      </c>
      <c r="B983" s="24">
        <f>B981*2/B982</f>
        <v>0</v>
      </c>
      <c r="C983" s="11"/>
      <c r="D983" s="2103"/>
      <c r="E983" s="2103"/>
      <c r="F983" s="2103"/>
    </row>
    <row r="984" spans="1:6" x14ac:dyDescent="0.2">
      <c r="A984" s="2135" t="s">
        <v>3096</v>
      </c>
      <c r="B984" s="11"/>
      <c r="C984" s="11"/>
      <c r="D984" s="2103"/>
      <c r="E984" s="2103"/>
      <c r="F984" s="2103"/>
    </row>
    <row r="985" spans="1:6" x14ac:dyDescent="0.2">
      <c r="A985" s="24" t="s">
        <v>3097</v>
      </c>
      <c r="B985" s="24">
        <f>B950</f>
        <v>0</v>
      </c>
      <c r="C985" s="11"/>
      <c r="D985" s="2103"/>
      <c r="E985" s="2103"/>
      <c r="F985" s="2103"/>
    </row>
    <row r="986" spans="1:6" x14ac:dyDescent="0.2">
      <c r="A986" s="24" t="s">
        <v>3091</v>
      </c>
      <c r="B986" s="24">
        <v>10.3</v>
      </c>
      <c r="C986" s="11"/>
      <c r="D986" s="2103"/>
      <c r="E986" s="2103"/>
      <c r="F986" s="2103"/>
    </row>
    <row r="987" spans="1:6" x14ac:dyDescent="0.2">
      <c r="A987" s="24" t="s">
        <v>3088</v>
      </c>
      <c r="B987" s="24">
        <f>B985/B986</f>
        <v>0</v>
      </c>
      <c r="C987" s="11"/>
      <c r="D987" s="2103"/>
      <c r="E987" s="2103"/>
      <c r="F987" s="2103"/>
    </row>
    <row r="988" spans="1:6" x14ac:dyDescent="0.2">
      <c r="A988" s="2135" t="s">
        <v>3098</v>
      </c>
      <c r="B988" s="11"/>
      <c r="C988" s="11"/>
      <c r="D988" s="2103"/>
      <c r="E988" s="2103"/>
      <c r="F988" s="2103"/>
    </row>
    <row r="989" spans="1:6" x14ac:dyDescent="0.2">
      <c r="A989" s="24" t="s">
        <v>3097</v>
      </c>
      <c r="B989" s="24">
        <f>B972</f>
        <v>0</v>
      </c>
      <c r="C989" s="11"/>
      <c r="D989" s="2103"/>
      <c r="E989" s="2103"/>
      <c r="F989" s="2103"/>
    </row>
    <row r="990" spans="1:6" x14ac:dyDescent="0.2">
      <c r="A990" s="24" t="s">
        <v>1781</v>
      </c>
      <c r="B990" s="24">
        <f>IF(B989&lt;0.301,9.6,IF(B989&lt;0.601,10.7,IF(B989&lt;0.901,12.2,IF(B989&lt;1.301,14,16))))</f>
        <v>9.6</v>
      </c>
      <c r="C990" s="11"/>
      <c r="D990" s="2103"/>
      <c r="E990" s="2103"/>
      <c r="F990" s="2103"/>
    </row>
    <row r="991" spans="1:6" x14ac:dyDescent="0.2">
      <c r="A991" s="24" t="s">
        <v>3088</v>
      </c>
      <c r="B991" s="24">
        <f>B989/B990</f>
        <v>0</v>
      </c>
      <c r="C991" s="11"/>
      <c r="D991" s="2103"/>
      <c r="E991" s="2103"/>
      <c r="F991" s="2103"/>
    </row>
    <row r="992" spans="1:6" x14ac:dyDescent="0.2">
      <c r="A992" s="2135" t="s">
        <v>478</v>
      </c>
      <c r="B992" s="30"/>
      <c r="C992" s="11"/>
      <c r="D992" s="2103"/>
      <c r="E992" s="2103"/>
      <c r="F992" s="2103"/>
    </row>
    <row r="993" spans="1:6" x14ac:dyDescent="0.2">
      <c r="A993" s="69" t="s">
        <v>3099</v>
      </c>
      <c r="B993" s="2308">
        <v>1</v>
      </c>
      <c r="C993" s="11"/>
      <c r="D993" s="2103"/>
      <c r="E993" s="2103"/>
      <c r="F993" s="2103"/>
    </row>
    <row r="994" spans="1:6" x14ac:dyDescent="0.2">
      <c r="A994" s="24" t="s">
        <v>3100</v>
      </c>
      <c r="B994" s="24">
        <f>0.17+0.3*(B962+1000)/1000</f>
        <v>1.07</v>
      </c>
      <c r="C994" s="11"/>
      <c r="D994" s="2103"/>
      <c r="E994" s="2103"/>
      <c r="F994" s="2103"/>
    </row>
    <row r="995" spans="1:6" x14ac:dyDescent="0.2">
      <c r="A995" s="24" t="s">
        <v>3101</v>
      </c>
      <c r="B995" s="24">
        <f>IF(B993=1,B994/6,0)</f>
        <v>0.17833333333333334</v>
      </c>
      <c r="C995" s="11"/>
      <c r="D995" s="2103"/>
      <c r="E995" s="2103"/>
      <c r="F995" s="2103"/>
    </row>
    <row r="996" spans="1:6" ht="15" x14ac:dyDescent="0.25">
      <c r="A996" s="2159" t="s">
        <v>3102</v>
      </c>
      <c r="B996" s="806" t="e">
        <f>B995+B991+B987+B983+B979+B974+B970+B966+B960</f>
        <v>#VALUE!</v>
      </c>
      <c r="C996" s="11"/>
      <c r="D996" s="2103"/>
      <c r="E996" s="2103"/>
      <c r="F996" s="2103"/>
    </row>
    <row r="997" spans="1:6" x14ac:dyDescent="0.2">
      <c r="A997" s="806" t="s">
        <v>3820</v>
      </c>
      <c r="B997" s="806" t="e">
        <f>B996+B953</f>
        <v>#VALUE!</v>
      </c>
      <c r="C997" s="11"/>
      <c r="D997" s="2103"/>
      <c r="E997" s="2103"/>
      <c r="F997" s="2103"/>
    </row>
    <row r="998" spans="1:6" x14ac:dyDescent="0.2">
      <c r="A998" s="2309" t="s">
        <v>2125</v>
      </c>
      <c r="B998" s="28"/>
      <c r="C998" s="28"/>
      <c r="D998" s="2242"/>
      <c r="E998" s="2242"/>
      <c r="F998" s="2103"/>
    </row>
    <row r="999" spans="1:6" x14ac:dyDescent="0.2">
      <c r="A999" s="2310" t="s">
        <v>2126</v>
      </c>
      <c r="B999" s="196"/>
      <c r="C999" s="196"/>
      <c r="D999" s="2311"/>
      <c r="E999" s="2311"/>
      <c r="F999" s="2103"/>
    </row>
    <row r="1000" spans="1:6" ht="15" x14ac:dyDescent="0.25">
      <c r="A1000" s="2125" t="s">
        <v>1413</v>
      </c>
      <c r="B1000" s="446"/>
      <c r="C1000" s="11"/>
      <c r="D1000" s="2103"/>
      <c r="E1000" s="2103"/>
      <c r="F1000" s="2103"/>
    </row>
    <row r="1001" spans="1:6" x14ac:dyDescent="0.2">
      <c r="A1001" s="2250" t="s">
        <v>5602</v>
      </c>
      <c r="B1001" s="2251" t="str">
        <f>B18</f>
        <v/>
      </c>
      <c r="C1001" s="11"/>
      <c r="D1001" s="2103"/>
      <c r="E1001" s="2103"/>
      <c r="F1001" s="2103"/>
    </row>
    <row r="1002" spans="1:6" x14ac:dyDescent="0.2">
      <c r="A1002" s="2250" t="s">
        <v>2387</v>
      </c>
      <c r="B1002" s="2251" t="str">
        <f>B19</f>
        <v/>
      </c>
      <c r="C1002" s="11"/>
      <c r="D1002" s="2103"/>
      <c r="E1002" s="2103"/>
      <c r="F1002" s="2103"/>
    </row>
    <row r="1003" spans="1:6" x14ac:dyDescent="0.2">
      <c r="A1003" s="2262" t="s">
        <v>1027</v>
      </c>
      <c r="B1003" s="2253">
        <f>B25</f>
        <v>0</v>
      </c>
      <c r="C1003" s="11"/>
      <c r="D1003" s="2103"/>
      <c r="E1003" s="2103"/>
      <c r="F1003" s="2103"/>
    </row>
    <row r="1004" spans="1:6" ht="25.5" x14ac:dyDescent="0.2">
      <c r="A1004" s="2262" t="s">
        <v>4297</v>
      </c>
      <c r="B1004" s="2253" t="str">
        <f>B26</f>
        <v/>
      </c>
      <c r="C1004" s="11"/>
      <c r="D1004" s="2103"/>
      <c r="E1004" s="2103"/>
      <c r="F1004" s="2103"/>
    </row>
    <row r="1005" spans="1:6" x14ac:dyDescent="0.2">
      <c r="A1005" s="2252" t="s">
        <v>2389</v>
      </c>
      <c r="B1005" s="2253" t="e">
        <f>B21</f>
        <v>#VALUE!</v>
      </c>
      <c r="C1005" s="11"/>
      <c r="D1005" s="2103"/>
      <c r="E1005" s="2103"/>
      <c r="F1005" s="2103"/>
    </row>
    <row r="1006" spans="1:6" x14ac:dyDescent="0.2">
      <c r="A1006" s="2262" t="s">
        <v>4299</v>
      </c>
      <c r="B1006" s="2253">
        <f>B28</f>
        <v>0</v>
      </c>
      <c r="C1006" s="11"/>
      <c r="D1006" s="2103"/>
      <c r="E1006" s="2103"/>
      <c r="F1006" s="2103"/>
    </row>
    <row r="1007" spans="1:6" x14ac:dyDescent="0.2">
      <c r="A1007" s="2262" t="str">
        <f>IF(B1006&gt;0,"Количество взрываний в лаве в сут.","")</f>
        <v/>
      </c>
      <c r="B1007" s="2253">
        <f>B29</f>
        <v>0</v>
      </c>
      <c r="C1007" s="11"/>
      <c r="D1007" s="2103"/>
      <c r="E1007" s="2103"/>
      <c r="F1007" s="2103"/>
    </row>
    <row r="1008" spans="1:6" x14ac:dyDescent="0.2">
      <c r="A1008" s="2262" t="str">
        <f>IF(B1006=1,"Количество взрываемых шпуров за сут.","")</f>
        <v/>
      </c>
      <c r="B1008" s="2253">
        <f>B30</f>
        <v>0</v>
      </c>
      <c r="C1008" s="11"/>
      <c r="D1008" s="2103"/>
      <c r="E1008" s="2103"/>
      <c r="F1008" s="2103"/>
    </row>
    <row r="1009" spans="1:6" x14ac:dyDescent="0.2">
      <c r="A1009" s="2262" t="s">
        <v>4300</v>
      </c>
      <c r="B1009" s="2253">
        <f>B31</f>
        <v>0</v>
      </c>
      <c r="C1009" s="11"/>
      <c r="D1009" s="2103"/>
      <c r="E1009" s="2103"/>
      <c r="F1009" s="2103"/>
    </row>
    <row r="1010" spans="1:6" x14ac:dyDescent="0.2">
      <c r="A1010" s="2262" t="str">
        <f>IF(B1009&gt;0,"Количество взрываний в бутовых штреках, в сут","")</f>
        <v/>
      </c>
      <c r="B1010" s="2253">
        <f>B34</f>
        <v>0</v>
      </c>
      <c r="C1010" s="11"/>
      <c r="D1010" s="2103"/>
      <c r="E1010" s="2103"/>
      <c r="F1010" s="2103"/>
    </row>
    <row r="1011" spans="1:6" ht="25.5" x14ac:dyDescent="0.2">
      <c r="A1011" s="2262" t="s">
        <v>4301</v>
      </c>
      <c r="B1011" s="2253">
        <f>B33</f>
        <v>0</v>
      </c>
      <c r="C1011" s="11"/>
      <c r="D1011" s="2103"/>
      <c r="E1011" s="2103"/>
      <c r="F1011" s="2103"/>
    </row>
    <row r="1012" spans="1:6" x14ac:dyDescent="0.2">
      <c r="A1012" s="2262" t="str">
        <f>IF(B1011&gt;0,"Количество взрываний в нишах, в сут","")</f>
        <v/>
      </c>
      <c r="B1012" s="2253">
        <f>B34</f>
        <v>0</v>
      </c>
      <c r="C1012" s="11"/>
      <c r="D1012" s="2103"/>
      <c r="E1012" s="2103"/>
      <c r="F1012" s="2103"/>
    </row>
    <row r="1013" spans="1:6" ht="25.5" x14ac:dyDescent="0.2">
      <c r="A1013" s="2263" t="s">
        <v>2259</v>
      </c>
      <c r="B1013" s="2261" t="str">
        <f>B22</f>
        <v/>
      </c>
      <c r="C1013" s="11"/>
      <c r="D1013" s="2103"/>
      <c r="E1013" s="2103"/>
      <c r="F1013" s="2103"/>
    </row>
    <row r="1014" spans="1:6" ht="15.75" x14ac:dyDescent="0.25">
      <c r="A1014" s="2107" t="s">
        <v>1723</v>
      </c>
      <c r="B1014" s="446"/>
      <c r="C1014" s="11"/>
      <c r="D1014" s="2103"/>
      <c r="E1014" s="2103"/>
      <c r="F1014" s="2103"/>
    </row>
    <row r="1015" spans="1:6" x14ac:dyDescent="0.2">
      <c r="A1015" s="2207" t="s">
        <v>4667</v>
      </c>
      <c r="B1015" s="2109" t="e">
        <f>INDEX($A$1246:$B$1249,B1004,IF(B1001&lt;=1,1,2))</f>
        <v>#VALUE!</v>
      </c>
      <c r="C1015" s="11"/>
      <c r="D1015" s="2103"/>
      <c r="E1015" s="2103"/>
      <c r="F1015" s="2103"/>
    </row>
    <row r="1016" spans="1:6" x14ac:dyDescent="0.2">
      <c r="A1016" s="2207" t="s">
        <v>4668</v>
      </c>
      <c r="B1016" s="2110">
        <f>IF(B1013=0,1,IF(B1013=1,0.9,0.85))</f>
        <v>0.85</v>
      </c>
      <c r="C1016" s="11"/>
      <c r="D1016" s="2103"/>
      <c r="E1016" s="2103"/>
      <c r="F1016" s="2103"/>
    </row>
    <row r="1017" spans="1:6" x14ac:dyDescent="0.2">
      <c r="A1017" s="2207" t="s">
        <v>4669</v>
      </c>
      <c r="B1017" s="2111" t="e">
        <f>IF(B1005&gt;1200,0.8,IF(B1005&gt;1050,0.85,IF(B1005&gt;900,0.9,IF(B1005&gt;700,0.95,1))))</f>
        <v>#VALUE!</v>
      </c>
      <c r="C1017" s="11"/>
      <c r="D1017" s="2103"/>
      <c r="E1017" s="2103"/>
      <c r="F1017" s="2103"/>
    </row>
    <row r="1018" spans="1:6" x14ac:dyDescent="0.2">
      <c r="A1018" s="2207" t="s">
        <v>4670</v>
      </c>
      <c r="B1018" s="2111">
        <f>IF(B1003&lt;1,1,IF(B1003&lt;3.1,0.95,IF(B1003&lt;5.1,0.9,IF(B1003&lt;7.1,0.85,IF(B1003&lt;9.1,0.75,1)))))</f>
        <v>1</v>
      </c>
      <c r="C1018" s="11"/>
      <c r="D1018" s="2103"/>
      <c r="E1018" s="2103"/>
      <c r="F1018" s="2103"/>
    </row>
    <row r="1019" spans="1:6" x14ac:dyDescent="0.2">
      <c r="A1019" s="2209" t="s">
        <v>4671</v>
      </c>
      <c r="B1019" s="446"/>
      <c r="C1019" s="11"/>
      <c r="D1019" s="2103"/>
      <c r="E1019" s="2103"/>
      <c r="F1019" s="2103"/>
    </row>
    <row r="1020" spans="1:6" x14ac:dyDescent="0.2">
      <c r="A1020" s="2207" t="s">
        <v>4672</v>
      </c>
      <c r="B1020" s="2111">
        <f>IF(B1011=0,1,B1021)</f>
        <v>1</v>
      </c>
      <c r="C1020" s="11"/>
      <c r="D1020" s="2103"/>
      <c r="E1020" s="2103"/>
      <c r="F1020" s="2103"/>
    </row>
    <row r="1021" spans="1:6" x14ac:dyDescent="0.2">
      <c r="A1021" s="2210" t="s">
        <v>1329</v>
      </c>
      <c r="B1021" s="2111">
        <f>IF(B1012&gt;8,0.8,IF(B1012&gt;7,0.83,IF(B1012&gt;6,0.85,IF(B1012&gt;5,0.87,IF(B1012&gt;4,0.89,IF(B1012&gt;3,0.91,IF(B1012&gt;2,0.93,IF(B1012&gt;1,0.95,0.97))))))))</f>
        <v>0.97</v>
      </c>
      <c r="C1021" s="11"/>
      <c r="D1021" s="2103"/>
      <c r="E1021" s="2103"/>
      <c r="F1021" s="2103"/>
    </row>
    <row r="1022" spans="1:6" ht="15" x14ac:dyDescent="0.25">
      <c r="A1022" s="2211" t="s">
        <v>4674</v>
      </c>
      <c r="B1022" s="2116">
        <f>IF(B1010&gt;18,0.8,IF(B1010&gt;15,0.82,IF(B1010&gt;13,0.84,IF(B1010&gt;11,0.86,IF(B1010&gt;9,0.88,IF(B1010&gt;7,0.9,IF(B1010&gt;0,0.92,1)))))))</f>
        <v>1</v>
      </c>
      <c r="C1022" s="11"/>
      <c r="D1022" s="2103"/>
      <c r="E1022" s="2103"/>
      <c r="F1022" s="2103"/>
    </row>
    <row r="1023" spans="1:6" ht="15.75" thickBot="1" x14ac:dyDescent="0.3">
      <c r="A1023" s="2212" t="s">
        <v>4675</v>
      </c>
      <c r="B1023" s="2118">
        <f>IF(B1007=2,IF(B1008&lt;45,0.95,0.92),IF(B1007=3,IF(B1008&lt;75,0.9,0.88),IF(B1007=4,IF(B1008&lt;105,0.86,0.84),1)))</f>
        <v>1</v>
      </c>
      <c r="C1023" s="11"/>
      <c r="D1023" s="2103"/>
      <c r="E1023" s="2103"/>
      <c r="F1023" s="2103"/>
    </row>
    <row r="1024" spans="1:6" ht="15.75" thickBot="1" x14ac:dyDescent="0.3">
      <c r="A1024" s="2213"/>
      <c r="B1024" s="2120" t="e">
        <f>B1015*B1016*B1017*B1018*B1020*B1022*B1023</f>
        <v>#VALUE!</v>
      </c>
      <c r="C1024" s="11"/>
      <c r="D1024" s="2103"/>
      <c r="E1024" s="2103"/>
      <c r="F1024" s="2103"/>
    </row>
    <row r="1025" spans="1:6" ht="13.5" thickBot="1" x14ac:dyDescent="0.25">
      <c r="A1025" s="11"/>
      <c r="B1025" s="11"/>
      <c r="C1025" s="11"/>
      <c r="D1025" s="2103"/>
      <c r="E1025" s="2103"/>
      <c r="F1025" s="2103"/>
    </row>
    <row r="1026" spans="1:6" ht="15.75" thickBot="1" x14ac:dyDescent="0.3">
      <c r="A1026" s="11"/>
      <c r="B1026" s="2120" t="e">
        <f>B1024</f>
        <v>#VALUE!</v>
      </c>
      <c r="C1026" s="11"/>
      <c r="D1026" s="2103"/>
      <c r="E1026" s="2103"/>
      <c r="F1026" s="2103"/>
    </row>
    <row r="1027" spans="1:6" ht="15" x14ac:dyDescent="0.25">
      <c r="A1027" s="2125" t="s">
        <v>2127</v>
      </c>
      <c r="B1027" s="11"/>
      <c r="C1027" s="11"/>
      <c r="D1027" s="2103"/>
      <c r="E1027" s="2103"/>
      <c r="F1027" s="2103"/>
    </row>
    <row r="1028" spans="1:6" ht="15" x14ac:dyDescent="0.25">
      <c r="A1028" s="17" t="s">
        <v>1355</v>
      </c>
      <c r="B1028" s="2132" t="e">
        <f>8*B1001</f>
        <v>#VALUE!</v>
      </c>
      <c r="C1028" s="11"/>
      <c r="D1028" s="2103"/>
      <c r="E1028" s="2103"/>
      <c r="F1028" s="2103"/>
    </row>
    <row r="1029" spans="1:6" ht="17.25" x14ac:dyDescent="0.25">
      <c r="A1029" s="17" t="s">
        <v>1356</v>
      </c>
      <c r="B1029" s="2132" t="e">
        <f>B1028*B1001*1</f>
        <v>#VALUE!</v>
      </c>
      <c r="C1029" s="11"/>
      <c r="D1029" s="2103"/>
      <c r="E1029" s="2103"/>
      <c r="F1029" s="2103"/>
    </row>
    <row r="1030" spans="1:6" ht="15" x14ac:dyDescent="0.25">
      <c r="A1030" s="365" t="s">
        <v>2128</v>
      </c>
      <c r="B1030" s="2132" t="e">
        <f>B1029/2</f>
        <v>#VALUE!</v>
      </c>
      <c r="C1030" s="11"/>
      <c r="D1030" s="2103"/>
      <c r="E1030" s="2103"/>
      <c r="F1030" s="2103"/>
    </row>
    <row r="1031" spans="1:6" ht="15" x14ac:dyDescent="0.25">
      <c r="A1031" s="2296" t="s">
        <v>2129</v>
      </c>
      <c r="B1031" s="2116">
        <f>IF(B65&lt;0.16,1,IF(B65&lt;0.25,2,IF(B65&lt;0.36,3,IF(B65&lt;0.45,4,5))))</f>
        <v>2</v>
      </c>
      <c r="C1031" s="11"/>
      <c r="D1031" s="2103"/>
      <c r="E1031" s="2103"/>
      <c r="F1031" s="2103"/>
    </row>
    <row r="1032" spans="1:6" ht="15" x14ac:dyDescent="0.25">
      <c r="A1032" s="17" t="s">
        <v>1358</v>
      </c>
      <c r="B1032" s="2116">
        <f>IF(B18&lt;0.66,1,IF(B18&lt;0.86,2,IF(B18&lt;1.11,3,4)))</f>
        <v>4</v>
      </c>
      <c r="C1032" s="11"/>
      <c r="D1032" s="2103"/>
      <c r="E1032" s="2103"/>
      <c r="F1032" s="2103"/>
    </row>
    <row r="1033" spans="1:6" ht="17.25" x14ac:dyDescent="0.25">
      <c r="A1033" s="2146" t="s">
        <v>1876</v>
      </c>
      <c r="B1033" s="2116">
        <f>INDEX($B$1268:$E$1272,B1031,B1032)</f>
        <v>13.7</v>
      </c>
      <c r="C1033" s="11"/>
      <c r="D1033" s="2103"/>
      <c r="E1033" s="2103"/>
      <c r="F1033" s="2103"/>
    </row>
    <row r="1034" spans="1:6" ht="15" x14ac:dyDescent="0.25">
      <c r="A1034" s="2127" t="s">
        <v>1349</v>
      </c>
      <c r="B1034" s="2146" t="e">
        <f>B1033*B1026*B1024</f>
        <v>#VALUE!</v>
      </c>
      <c r="C1034" s="11"/>
      <c r="D1034" s="2103"/>
      <c r="E1034" s="2103"/>
      <c r="F1034" s="2103"/>
    </row>
    <row r="1035" spans="1:6" ht="15" x14ac:dyDescent="0.25">
      <c r="A1035" s="2126" t="s">
        <v>568</v>
      </c>
      <c r="B1035" s="2124" t="e">
        <f>2*B1029/B1034</f>
        <v>#VALUE!</v>
      </c>
      <c r="C1035" s="11"/>
      <c r="D1035" s="2103"/>
      <c r="E1035" s="2103"/>
      <c r="F1035" s="2103"/>
    </row>
    <row r="1036" spans="1:6" ht="15" x14ac:dyDescent="0.25">
      <c r="A1036" s="2312" t="s">
        <v>2130</v>
      </c>
      <c r="B1036" s="2298"/>
      <c r="C1036" s="11"/>
      <c r="D1036" s="2103"/>
      <c r="E1036" s="2103"/>
      <c r="F1036" s="2103"/>
    </row>
    <row r="1037" spans="1:6" ht="15" x14ac:dyDescent="0.25">
      <c r="A1037" s="2297" t="s">
        <v>2131</v>
      </c>
      <c r="B1037" s="2298" t="e">
        <f>B1069/B1042</f>
        <v>#VALUE!</v>
      </c>
      <c r="C1037" s="11"/>
      <c r="D1037" s="2103"/>
      <c r="E1037" s="2103"/>
      <c r="F1037" s="2103"/>
    </row>
    <row r="1038" spans="1:6" ht="15" x14ac:dyDescent="0.25">
      <c r="A1038" s="2148" t="s">
        <v>3814</v>
      </c>
      <c r="B1038" s="2298">
        <f>IF(B18&lt;0.61,1,IF(B18&lt;0.71,2,IF(B18&lt;0.81,3,IF(B18&lt;0.91,4,IF(B18&lt;1.01,5,IF(B18&lt;1.11,6,IF(B18&lt;1.26,7,B119)))))))</f>
        <v>15</v>
      </c>
      <c r="C1038" s="11"/>
      <c r="D1038" s="2103"/>
      <c r="E1038" s="2103"/>
      <c r="F1038" s="2103"/>
    </row>
    <row r="1039" spans="1:6" ht="15" x14ac:dyDescent="0.25">
      <c r="A1039" s="2149" t="s">
        <v>1329</v>
      </c>
      <c r="B1039" s="2298">
        <f>IF(B18&lt;1.41,8,IF(B18&lt;1.61,9,IF(B18&lt;1.81,10,IF(B18&lt;2.01,11,IF(B18&lt;2.31,12,IF(B18&lt;2.66,13,IF(B18&lt;3.01,14,15)))))))</f>
        <v>15</v>
      </c>
      <c r="C1039" s="11"/>
      <c r="D1039" s="2103"/>
      <c r="E1039" s="2103"/>
      <c r="F1039" s="2103"/>
    </row>
    <row r="1040" spans="1:6" ht="15" x14ac:dyDescent="0.25">
      <c r="A1040" s="2149" t="s">
        <v>3815</v>
      </c>
      <c r="B1040" s="2298">
        <f>IF(B19&lt;=35,1,2)</f>
        <v>2</v>
      </c>
      <c r="C1040" s="11"/>
      <c r="D1040" s="2103"/>
      <c r="E1040" s="2103"/>
      <c r="F1040" s="2103"/>
    </row>
    <row r="1041" spans="1:6" ht="15" x14ac:dyDescent="0.25">
      <c r="A1041" s="2297" t="s">
        <v>5601</v>
      </c>
      <c r="B1041" s="2298">
        <f>INDEX($B$1224:$C$1242,B1038,B1040)</f>
        <v>28</v>
      </c>
      <c r="C1041" s="11"/>
      <c r="D1041" s="2103"/>
      <c r="E1041" s="2103"/>
      <c r="F1041" s="2103"/>
    </row>
    <row r="1042" spans="1:6" ht="15" x14ac:dyDescent="0.25">
      <c r="A1042" s="2297" t="s">
        <v>3745</v>
      </c>
      <c r="B1042" s="2298" t="e">
        <f>B1041*B1026</f>
        <v>#VALUE!</v>
      </c>
      <c r="C1042" s="11"/>
      <c r="D1042" s="2103"/>
      <c r="E1042" s="2103"/>
      <c r="F1042" s="2103"/>
    </row>
    <row r="1043" spans="1:6" ht="15" x14ac:dyDescent="0.25">
      <c r="A1043" s="2297" t="s">
        <v>3746</v>
      </c>
      <c r="B1043" s="2298">
        <v>30</v>
      </c>
      <c r="C1043" s="11"/>
      <c r="D1043" s="2103"/>
      <c r="E1043" s="2103"/>
      <c r="F1043" s="2103"/>
    </row>
    <row r="1044" spans="1:6" ht="15" x14ac:dyDescent="0.25">
      <c r="A1044" s="2299" t="s">
        <v>4398</v>
      </c>
      <c r="B1044" s="2298" t="e">
        <f>B1070/B1043</f>
        <v>#VALUE!</v>
      </c>
      <c r="C1044" s="11"/>
      <c r="D1044" s="2103"/>
      <c r="E1044" s="2103"/>
      <c r="F1044" s="2103"/>
    </row>
    <row r="1045" spans="1:6" ht="15" x14ac:dyDescent="0.25">
      <c r="A1045" s="2297" t="s">
        <v>1359</v>
      </c>
      <c r="B1045" s="2298" t="e">
        <f>((B1068*(B60-B18))/0.8)*1.2</f>
        <v>#VALUE!</v>
      </c>
      <c r="C1045" s="11"/>
      <c r="D1045" s="2103"/>
      <c r="E1045" s="2103"/>
      <c r="F1045" s="2103"/>
    </row>
    <row r="1046" spans="1:6" x14ac:dyDescent="0.2">
      <c r="A1046" s="2103" t="s">
        <v>2302</v>
      </c>
      <c r="B1046" s="2298" t="e">
        <f>IF(B20&lt;2.6,1,IF(B20&lt;3.3,2,IF(B20&lt;4,3,IF(B20&lt;5.1,4,IF(B20&lt;6.1,5,IF(B20&lt;7.6,6,7))))))</f>
        <v>#VALUE!</v>
      </c>
      <c r="C1046" s="11"/>
      <c r="D1046" s="2103"/>
      <c r="E1046" s="2103"/>
      <c r="F1046" s="2103"/>
    </row>
    <row r="1047" spans="1:6" ht="15" x14ac:dyDescent="0.25">
      <c r="A1047" s="2297" t="s">
        <v>3815</v>
      </c>
      <c r="B1047" s="2298">
        <f>IF(B63&lt;2.1,1,2)</f>
        <v>2</v>
      </c>
      <c r="C1047" s="11"/>
      <c r="D1047" s="2103"/>
      <c r="E1047" s="2103"/>
      <c r="F1047" s="2103"/>
    </row>
    <row r="1048" spans="1:6" ht="15" x14ac:dyDescent="0.25">
      <c r="A1048" s="2297" t="s">
        <v>2346</v>
      </c>
      <c r="B1048" s="2298" t="e">
        <f>INDEX($B$1278:$C$1284,B1046,B1047)</f>
        <v>#VALUE!</v>
      </c>
      <c r="C1048" s="11"/>
      <c r="D1048" s="2103"/>
      <c r="E1048" s="2103"/>
      <c r="F1048" s="2103"/>
    </row>
    <row r="1049" spans="1:6" x14ac:dyDescent="0.2">
      <c r="A1049" s="2103" t="s">
        <v>4617</v>
      </c>
      <c r="B1049" s="2298" t="e">
        <f>B1048*B1026</f>
        <v>#VALUE!</v>
      </c>
      <c r="C1049" s="11"/>
      <c r="D1049" s="2103"/>
      <c r="E1049" s="2103"/>
      <c r="F1049" s="2103"/>
    </row>
    <row r="1050" spans="1:6" ht="15" x14ac:dyDescent="0.25">
      <c r="A1050" s="2297" t="s">
        <v>2347</v>
      </c>
      <c r="B1050" s="2298" t="e">
        <f>B1045/B1049</f>
        <v>#VALUE!</v>
      </c>
      <c r="C1050" s="11"/>
      <c r="D1050" s="2103"/>
      <c r="E1050" s="2103"/>
      <c r="F1050" s="2103"/>
    </row>
    <row r="1051" spans="1:6" ht="15" x14ac:dyDescent="0.25">
      <c r="A1051" s="2299" t="s">
        <v>1161</v>
      </c>
      <c r="B1051" s="2298" t="e">
        <f>B1050+B1044+B1037+B1035</f>
        <v>#VALUE!</v>
      </c>
      <c r="C1051" s="11"/>
      <c r="D1051" s="2103"/>
      <c r="E1051" s="2103"/>
      <c r="F1051" s="2103"/>
    </row>
    <row r="1052" spans="1:6" ht="15" x14ac:dyDescent="0.25">
      <c r="A1052" s="2297"/>
      <c r="B1052" s="2298"/>
      <c r="C1052" s="11"/>
      <c r="D1052" s="2103"/>
      <c r="E1052" s="2103"/>
      <c r="F1052" s="2103"/>
    </row>
    <row r="1053" spans="1:6" ht="15" x14ac:dyDescent="0.25">
      <c r="A1053" s="2125" t="s">
        <v>2248</v>
      </c>
      <c r="B1053" s="11"/>
      <c r="C1053" s="11"/>
      <c r="D1053" s="2103"/>
      <c r="E1053" s="2103"/>
      <c r="F1053" s="2103"/>
    </row>
    <row r="1054" spans="1:6" x14ac:dyDescent="0.2">
      <c r="A1054" s="2131" t="s">
        <v>4399</v>
      </c>
      <c r="B1054" s="2261">
        <v>200</v>
      </c>
      <c r="C1054" s="11"/>
      <c r="D1054" s="2103"/>
      <c r="E1054" s="2103"/>
      <c r="F1054" s="2103"/>
    </row>
    <row r="1055" spans="1:6" x14ac:dyDescent="0.2">
      <c r="A1055" s="65" t="s">
        <v>4400</v>
      </c>
      <c r="B1055" s="2261">
        <v>1.27</v>
      </c>
      <c r="C1055" s="11"/>
      <c r="D1055" s="2103"/>
      <c r="E1055" s="2103"/>
      <c r="F1055" s="2103"/>
    </row>
    <row r="1056" spans="1:6" x14ac:dyDescent="0.2">
      <c r="A1056" s="65" t="s">
        <v>4401</v>
      </c>
      <c r="B1056" s="2261">
        <v>32</v>
      </c>
      <c r="C1056" s="11"/>
      <c r="D1056" s="2103"/>
      <c r="E1056" s="2103"/>
      <c r="F1056" s="2103"/>
    </row>
    <row r="1057" spans="1:6" x14ac:dyDescent="0.2">
      <c r="A1057" s="2313" t="s">
        <v>4402</v>
      </c>
      <c r="B1057" s="2261">
        <v>20</v>
      </c>
      <c r="C1057" s="11"/>
      <c r="D1057" s="2103"/>
      <c r="E1057" s="2103"/>
      <c r="F1057" s="2103"/>
    </row>
    <row r="1058" spans="1:6" ht="15" x14ac:dyDescent="0.25">
      <c r="A1058" s="65" t="s">
        <v>4403</v>
      </c>
      <c r="B1058" s="2151" t="e">
        <f>B1051*B1054</f>
        <v>#VALUE!</v>
      </c>
      <c r="C1058" s="11"/>
      <c r="D1058" s="2103"/>
      <c r="E1058" s="2103"/>
      <c r="F1058" s="2103"/>
    </row>
    <row r="1059" spans="1:6" ht="15" x14ac:dyDescent="0.25">
      <c r="A1059" s="2314" t="s">
        <v>4404</v>
      </c>
      <c r="B1059" s="2151" t="e">
        <f>B1058*B1055</f>
        <v>#VALUE!</v>
      </c>
      <c r="C1059" s="11"/>
      <c r="D1059" s="2103"/>
      <c r="E1059" s="2103"/>
      <c r="F1059" s="2103"/>
    </row>
    <row r="1060" spans="1:6" ht="15" x14ac:dyDescent="0.25">
      <c r="A1060" s="65" t="s">
        <v>4405</v>
      </c>
      <c r="B1060" s="2151" t="e">
        <f>B1059*1.4</f>
        <v>#VALUE!</v>
      </c>
      <c r="C1060" s="11"/>
      <c r="D1060" s="2103"/>
      <c r="E1060" s="2103"/>
      <c r="F1060" s="2103"/>
    </row>
    <row r="1061" spans="1:6" ht="15" x14ac:dyDescent="0.25">
      <c r="A1061" s="65" t="s">
        <v>4406</v>
      </c>
      <c r="B1061" s="2151" t="e">
        <f>B1060*(1+B1057/100)</f>
        <v>#VALUE!</v>
      </c>
      <c r="C1061" s="11"/>
      <c r="D1061" s="2103"/>
      <c r="E1061" s="2103"/>
      <c r="F1061" s="2103"/>
    </row>
    <row r="1062" spans="1:6" ht="15" x14ac:dyDescent="0.25">
      <c r="A1062" s="2315" t="s">
        <v>4407</v>
      </c>
      <c r="B1062" s="2182" t="e">
        <f>B1061*(1+B1056/100)</f>
        <v>#VALUE!</v>
      </c>
      <c r="C1062" s="11"/>
      <c r="D1062" s="2103"/>
      <c r="E1062" s="2103"/>
      <c r="F1062" s="2103"/>
    </row>
    <row r="1063" spans="1:6" ht="15.75" x14ac:dyDescent="0.25">
      <c r="A1063" s="2300" t="s">
        <v>1162</v>
      </c>
      <c r="B1063" s="11"/>
      <c r="C1063" s="11"/>
      <c r="D1063" s="2103"/>
      <c r="E1063" s="2103"/>
      <c r="F1063" s="2103"/>
    </row>
    <row r="1064" spans="1:6" x14ac:dyDescent="0.2">
      <c r="A1064" s="2301" t="s">
        <v>1163</v>
      </c>
      <c r="B1064" s="11"/>
      <c r="C1064" s="11"/>
      <c r="D1064" s="2103"/>
      <c r="E1064" s="2103"/>
      <c r="F1064" s="2103"/>
    </row>
    <row r="1065" spans="1:6" ht="15" x14ac:dyDescent="0.25">
      <c r="A1065" s="2302" t="s">
        <v>2140</v>
      </c>
      <c r="B1065" s="2155">
        <v>2.5</v>
      </c>
      <c r="C1065" s="11"/>
      <c r="D1065" s="2103"/>
      <c r="E1065" s="2103"/>
      <c r="F1065" s="2103"/>
    </row>
    <row r="1066" spans="1:6" x14ac:dyDescent="0.2">
      <c r="A1066" s="365" t="s">
        <v>2050</v>
      </c>
      <c r="B1066" s="202">
        <v>2</v>
      </c>
      <c r="C1066" s="11"/>
      <c r="D1066" s="2103"/>
      <c r="E1066" s="2103"/>
      <c r="F1066" s="2103"/>
    </row>
    <row r="1067" spans="1:6" x14ac:dyDescent="0.2">
      <c r="A1067" s="365" t="s">
        <v>2107</v>
      </c>
      <c r="B1067" s="202" t="e">
        <f>ROUNDUP(0.012*(100*B1001)^0.5,2)</f>
        <v>#VALUE!</v>
      </c>
      <c r="C1067" s="11"/>
      <c r="D1067" s="2103"/>
      <c r="E1067" s="2103"/>
      <c r="F1067" s="2103"/>
    </row>
    <row r="1068" spans="1:6" ht="15" x14ac:dyDescent="0.25">
      <c r="A1068" s="2302" t="s">
        <v>2108</v>
      </c>
      <c r="B1068" s="2151" t="e">
        <f>(B1029/2)/(B1065-B1001)</f>
        <v>#VALUE!</v>
      </c>
      <c r="C1068" s="11"/>
      <c r="D1068" s="2103"/>
      <c r="E1068" s="2103"/>
      <c r="F1068" s="2103"/>
    </row>
    <row r="1069" spans="1:6" ht="15" x14ac:dyDescent="0.25">
      <c r="A1069" s="365" t="s">
        <v>2109</v>
      </c>
      <c r="B1069" s="2151" t="e">
        <f>(ROUNDDOWN((B1068+2*B1066-0.8)/B1067,0))/B1066</f>
        <v>#VALUE!</v>
      </c>
      <c r="C1069" s="11"/>
      <c r="D1069" s="2103"/>
      <c r="E1069" s="2103"/>
      <c r="F1069" s="2103"/>
    </row>
    <row r="1070" spans="1:6" ht="15" x14ac:dyDescent="0.25">
      <c r="A1070" s="365" t="s">
        <v>2110</v>
      </c>
      <c r="B1070" s="2151" t="e">
        <f>IF(B1068&lt;2,1,IF(B1068&lt;3,2,IF(B1068&lt;4,3,IF(B1068&lt;5,4,5))))</f>
        <v>#VALUE!</v>
      </c>
      <c r="C1070" s="11"/>
      <c r="D1070" s="2103"/>
      <c r="E1070" s="2103"/>
      <c r="F1070" s="2103"/>
    </row>
    <row r="1071" spans="1:6" ht="15" x14ac:dyDescent="0.25">
      <c r="A1071" s="365" t="s">
        <v>2111</v>
      </c>
      <c r="B1071" s="2151" t="e">
        <f>B1068</f>
        <v>#VALUE!</v>
      </c>
      <c r="C1071" s="11"/>
      <c r="D1071" s="2103"/>
      <c r="E1071" s="2103"/>
      <c r="F1071" s="2103"/>
    </row>
    <row r="1072" spans="1:6" ht="15" x14ac:dyDescent="0.25">
      <c r="A1072" s="365" t="s">
        <v>2112</v>
      </c>
      <c r="B1072" s="2151" t="e">
        <f>(3.14*B1067^2/4)*B1001*B1069</f>
        <v>#VALUE!</v>
      </c>
      <c r="C1072" s="11"/>
      <c r="D1072" s="2103"/>
      <c r="E1072" s="2103"/>
      <c r="F1072" s="2103"/>
    </row>
    <row r="1073" spans="1:6" ht="15" x14ac:dyDescent="0.25">
      <c r="A1073" s="365" t="s">
        <v>2113</v>
      </c>
      <c r="B1073" s="2151" t="e">
        <f>((3.14*(ROUNDUP((0.012*(100*B1065)^0.5),2))^2)/4)*B1065*B1070</f>
        <v>#VALUE!</v>
      </c>
      <c r="C1073" s="11"/>
      <c r="D1073" s="2103"/>
      <c r="E1073" s="2103"/>
      <c r="F1073" s="2103"/>
    </row>
    <row r="1074" spans="1:6" ht="15" x14ac:dyDescent="0.25">
      <c r="A1074" s="365" t="s">
        <v>2114</v>
      </c>
      <c r="B1074" s="2151" t="e">
        <f>0.2*0.03*B1071</f>
        <v>#VALUE!</v>
      </c>
      <c r="C1074" s="11"/>
      <c r="D1074" s="2103"/>
      <c r="E1074" s="2103"/>
      <c r="F1074" s="2103"/>
    </row>
    <row r="1075" spans="1:6" x14ac:dyDescent="0.2">
      <c r="A1075" s="365" t="s">
        <v>4408</v>
      </c>
      <c r="B1075" s="202">
        <v>300</v>
      </c>
      <c r="C1075" s="11"/>
      <c r="D1075" s="2103"/>
      <c r="E1075" s="2103"/>
      <c r="F1075" s="2103"/>
    </row>
    <row r="1076" spans="1:6" ht="15" x14ac:dyDescent="0.25">
      <c r="A1076" s="365" t="s">
        <v>3895</v>
      </c>
      <c r="B1076" s="2151" t="e">
        <f>B1075*(B1072+B1073+B1074)</f>
        <v>#VALUE!</v>
      </c>
      <c r="C1076" s="11"/>
      <c r="D1076" s="2103"/>
      <c r="E1076" s="2103"/>
      <c r="F1076" s="2103"/>
    </row>
    <row r="1077" spans="1:6" ht="15" x14ac:dyDescent="0.25">
      <c r="A1077" s="2303" t="s">
        <v>2115</v>
      </c>
      <c r="B1077" s="11"/>
      <c r="C1077" s="11"/>
      <c r="D1077" s="2103"/>
      <c r="E1077" s="2103"/>
      <c r="F1077" s="2103"/>
    </row>
    <row r="1078" spans="1:6" ht="15" x14ac:dyDescent="0.25">
      <c r="A1078" s="365" t="s">
        <v>2116</v>
      </c>
      <c r="B1078" s="2151" t="e">
        <f>ROUNDDOWN((B1068*(B1065-B1001))/0.8,0)</f>
        <v>#VALUE!</v>
      </c>
      <c r="C1078" s="11"/>
      <c r="D1078" s="2103"/>
      <c r="E1078" s="2103"/>
      <c r="F1078" s="2103"/>
    </row>
    <row r="1079" spans="1:6" ht="15" x14ac:dyDescent="0.25">
      <c r="A1079" s="365" t="s">
        <v>2117</v>
      </c>
      <c r="B1079" s="2151" t="e">
        <f>0.3*B1066*B1078*3.14*0.032^2/4</f>
        <v>#VALUE!</v>
      </c>
      <c r="C1079" s="11"/>
      <c r="D1079" s="2103"/>
      <c r="E1079" s="2103"/>
      <c r="F1079" s="2103"/>
    </row>
    <row r="1080" spans="1:6" ht="15" x14ac:dyDescent="0.25">
      <c r="A1080" s="365" t="s">
        <v>2118</v>
      </c>
      <c r="B1080" s="2304">
        <v>1.3</v>
      </c>
      <c r="C1080" s="11"/>
      <c r="D1080" s="2103"/>
      <c r="E1080" s="2103"/>
      <c r="F1080" s="2103"/>
    </row>
    <row r="1081" spans="1:6" ht="15" x14ac:dyDescent="0.25">
      <c r="A1081" s="365" t="s">
        <v>2119</v>
      </c>
      <c r="B1081" s="2151" t="e">
        <f>B1079*B1080</f>
        <v>#VALUE!</v>
      </c>
      <c r="C1081" s="11"/>
      <c r="D1081" s="2103"/>
      <c r="E1081" s="2103"/>
      <c r="F1081" s="2103"/>
    </row>
    <row r="1082" spans="1:6" x14ac:dyDescent="0.2">
      <c r="A1082" s="365" t="s">
        <v>3896</v>
      </c>
      <c r="B1082" s="202">
        <v>9000</v>
      </c>
      <c r="C1082" s="11"/>
      <c r="D1082" s="2103"/>
      <c r="E1082" s="2103"/>
      <c r="F1082" s="2103"/>
    </row>
    <row r="1083" spans="1:6" ht="15" x14ac:dyDescent="0.25">
      <c r="A1083" s="365" t="s">
        <v>3897</v>
      </c>
      <c r="B1083" s="2151" t="e">
        <f>B1082*B1081</f>
        <v>#VALUE!</v>
      </c>
      <c r="C1083" s="11"/>
      <c r="D1083" s="2103"/>
      <c r="E1083" s="2103"/>
      <c r="F1083" s="2103"/>
    </row>
    <row r="1084" spans="1:6" ht="15" x14ac:dyDescent="0.25">
      <c r="A1084" s="365" t="s">
        <v>573</v>
      </c>
      <c r="B1084" s="2182" t="e">
        <f>B1076+B1083</f>
        <v>#VALUE!</v>
      </c>
      <c r="C1084" s="11"/>
      <c r="D1084" s="2103"/>
      <c r="E1084" s="2103"/>
      <c r="F1084" s="2103"/>
    </row>
    <row r="1085" spans="1:6" ht="15.75" x14ac:dyDescent="0.25">
      <c r="A1085" s="2316" t="s">
        <v>574</v>
      </c>
      <c r="B1085" s="11"/>
      <c r="C1085" s="11"/>
      <c r="D1085" s="2103"/>
      <c r="E1085" s="2103"/>
      <c r="F1085" s="2103"/>
    </row>
    <row r="1086" spans="1:6" x14ac:dyDescent="0.2">
      <c r="A1086" s="2317" t="s">
        <v>575</v>
      </c>
      <c r="B1086" s="201" t="e">
        <f>(#REF!*#REF!/100)/(#REF!*12)</f>
        <v>#REF!</v>
      </c>
      <c r="C1086" s="11"/>
      <c r="D1086" s="2103"/>
      <c r="E1086" s="2103"/>
      <c r="F1086" s="2103"/>
    </row>
    <row r="1087" spans="1:6" ht="15" x14ac:dyDescent="0.25">
      <c r="A1087" s="2153" t="s">
        <v>1850</v>
      </c>
      <c r="B1087" s="11"/>
      <c r="C1087" s="11"/>
      <c r="D1087" s="2103"/>
      <c r="E1087" s="2103"/>
      <c r="F1087" s="2103"/>
    </row>
    <row r="1088" spans="1:6" x14ac:dyDescent="0.2">
      <c r="A1088" s="2154" t="s">
        <v>1851</v>
      </c>
      <c r="B1088" s="11"/>
      <c r="C1088" s="11"/>
      <c r="D1088" s="2103"/>
      <c r="E1088" s="2103"/>
      <c r="F1088" s="2103"/>
    </row>
    <row r="1089" spans="1:6" ht="15" x14ac:dyDescent="0.25">
      <c r="A1089" s="17" t="s">
        <v>1852</v>
      </c>
      <c r="B1089" s="2155" t="e">
        <f>B1072+B1073</f>
        <v>#VALUE!</v>
      </c>
      <c r="C1089" s="11"/>
      <c r="D1089" s="2103"/>
      <c r="E1089" s="2103"/>
      <c r="F1089" s="2103"/>
    </row>
    <row r="1090" spans="1:6" ht="15" x14ac:dyDescent="0.25">
      <c r="A1090" s="17" t="s">
        <v>1853</v>
      </c>
      <c r="B1090" s="2155" t="e">
        <f>(B1072*B1001+B1073*B1065)/B1089</f>
        <v>#VALUE!</v>
      </c>
      <c r="C1090" s="11"/>
      <c r="D1090" s="2103"/>
      <c r="E1090" s="2103"/>
      <c r="F1090" s="2103"/>
    </row>
    <row r="1091" spans="1:6" x14ac:dyDescent="0.2">
      <c r="A1091" s="24" t="s">
        <v>1854</v>
      </c>
      <c r="B1091" s="23" t="e">
        <f>IF(B1090&lt;2.21,12.9*B1090+1.7,28.4)</f>
        <v>#VALUE!</v>
      </c>
      <c r="C1091" s="11"/>
      <c r="D1091" s="2103"/>
      <c r="E1091" s="2103"/>
      <c r="F1091" s="2103"/>
    </row>
    <row r="1092" spans="1:6" x14ac:dyDescent="0.2">
      <c r="A1092" s="24" t="s">
        <v>1855</v>
      </c>
      <c r="B1092" s="23" t="e">
        <f>B1089/B1091</f>
        <v>#VALUE!</v>
      </c>
      <c r="C1092" s="11"/>
      <c r="D1092" s="2103"/>
      <c r="E1092" s="2103"/>
      <c r="F1092" s="2103"/>
    </row>
    <row r="1093" spans="1:6" ht="15" x14ac:dyDescent="0.25">
      <c r="A1093" s="17" t="s">
        <v>1856</v>
      </c>
      <c r="B1093" s="2155" t="e">
        <f>B1074</f>
        <v>#VALUE!</v>
      </c>
      <c r="C1093" s="11"/>
      <c r="D1093" s="2103"/>
      <c r="E1093" s="2103"/>
      <c r="F1093" s="2103"/>
    </row>
    <row r="1094" spans="1:6" x14ac:dyDescent="0.2">
      <c r="A1094" s="17" t="s">
        <v>1857</v>
      </c>
      <c r="B1094" s="2305">
        <v>0</v>
      </c>
      <c r="C1094" s="11"/>
      <c r="D1094" s="2103"/>
      <c r="E1094" s="2103"/>
      <c r="F1094" s="2103"/>
    </row>
    <row r="1095" spans="1:6" x14ac:dyDescent="0.2">
      <c r="A1095" s="17" t="s">
        <v>1858</v>
      </c>
      <c r="B1095" s="1057">
        <v>0</v>
      </c>
      <c r="C1095" s="11"/>
      <c r="D1095" s="2103"/>
      <c r="E1095" s="2103"/>
      <c r="F1095" s="2103"/>
    </row>
    <row r="1096" spans="1:6" x14ac:dyDescent="0.2">
      <c r="A1096" s="2306" t="s">
        <v>2120</v>
      </c>
      <c r="B1096" s="24" t="e">
        <f>SUM(B1093:B1095)</f>
        <v>#VALUE!</v>
      </c>
      <c r="C1096" s="11"/>
      <c r="D1096" s="2103"/>
      <c r="E1096" s="2103"/>
      <c r="F1096" s="2103"/>
    </row>
    <row r="1097" spans="1:6" x14ac:dyDescent="0.2">
      <c r="A1097" s="24" t="s">
        <v>1854</v>
      </c>
      <c r="B1097" s="24">
        <v>24.2</v>
      </c>
      <c r="C1097" s="11"/>
      <c r="D1097" s="2103"/>
      <c r="E1097" s="2103"/>
      <c r="F1097" s="2103"/>
    </row>
    <row r="1098" spans="1:6" x14ac:dyDescent="0.2">
      <c r="A1098" s="24" t="s">
        <v>1855</v>
      </c>
      <c r="B1098" s="24" t="e">
        <f>B1096/B1097</f>
        <v>#VALUE!</v>
      </c>
      <c r="C1098" s="11"/>
      <c r="D1098" s="2103"/>
      <c r="E1098" s="2103"/>
      <c r="F1098" s="2103"/>
    </row>
    <row r="1099" spans="1:6" x14ac:dyDescent="0.2">
      <c r="A1099" s="2135" t="s">
        <v>4592</v>
      </c>
      <c r="B1099" s="11"/>
      <c r="C1099" s="11"/>
      <c r="D1099" s="2103"/>
      <c r="E1099" s="2103"/>
      <c r="F1099" s="2103"/>
    </row>
    <row r="1100" spans="1:6" x14ac:dyDescent="0.2">
      <c r="A1100" s="17" t="s">
        <v>4593</v>
      </c>
      <c r="B1100" s="1057">
        <v>0</v>
      </c>
      <c r="C1100" s="11"/>
      <c r="D1100" s="2103"/>
      <c r="E1100" s="2103"/>
      <c r="F1100" s="2103"/>
    </row>
    <row r="1101" spans="1:6" x14ac:dyDescent="0.2">
      <c r="A1101" s="24" t="s">
        <v>1854</v>
      </c>
      <c r="B1101" s="24">
        <f>17*1.15</f>
        <v>19.549999999999997</v>
      </c>
      <c r="C1101" s="11"/>
      <c r="D1101" s="2103"/>
      <c r="E1101" s="2103"/>
      <c r="F1101" s="2103"/>
    </row>
    <row r="1102" spans="1:6" x14ac:dyDescent="0.2">
      <c r="A1102" s="806" t="s">
        <v>1855</v>
      </c>
      <c r="B1102" s="24">
        <f>B1100/B1101</f>
        <v>0</v>
      </c>
      <c r="C1102" s="11"/>
      <c r="D1102" s="2103"/>
      <c r="E1102" s="2103"/>
      <c r="F1102" s="2103"/>
    </row>
    <row r="1103" spans="1:6" x14ac:dyDescent="0.2">
      <c r="A1103" s="2156" t="s">
        <v>3724</v>
      </c>
      <c r="B1103" s="11"/>
      <c r="C1103" s="11"/>
      <c r="D1103" s="2103"/>
      <c r="E1103" s="2103"/>
      <c r="F1103" s="2103"/>
    </row>
    <row r="1104" spans="1:6" x14ac:dyDescent="0.2">
      <c r="A1104" s="567" t="s">
        <v>3725</v>
      </c>
      <c r="B1104" s="2307">
        <v>56</v>
      </c>
      <c r="C1104" s="11"/>
      <c r="D1104" s="2103"/>
      <c r="E1104" s="2103"/>
      <c r="F1104" s="2103"/>
    </row>
    <row r="1105" spans="1:6" x14ac:dyDescent="0.2">
      <c r="A1105" s="24" t="s">
        <v>1852</v>
      </c>
      <c r="B1105" s="24" t="e">
        <f>B1089</f>
        <v>#VALUE!</v>
      </c>
      <c r="C1105" s="11"/>
      <c r="D1105" s="2103"/>
      <c r="E1105" s="2103"/>
      <c r="F1105" s="2103"/>
    </row>
    <row r="1106" spans="1:6" x14ac:dyDescent="0.2">
      <c r="A1106" s="2158" t="s">
        <v>3726</v>
      </c>
      <c r="B1106" s="24" t="e">
        <f>79.5*B1090^-1.5</f>
        <v>#VALUE!</v>
      </c>
      <c r="C1106" s="11"/>
      <c r="D1106" s="2103"/>
      <c r="E1106" s="2103"/>
      <c r="F1106" s="2103"/>
    </row>
    <row r="1107" spans="1:6" x14ac:dyDescent="0.2">
      <c r="A1107" s="24" t="s">
        <v>2121</v>
      </c>
      <c r="B1107" s="24" t="e">
        <f>((3.14*((1.2*(B1090*100)^0.5)/100)^2)/4)*B1090</f>
        <v>#VALUE!</v>
      </c>
      <c r="C1107" s="11"/>
      <c r="D1107" s="2103"/>
      <c r="E1107" s="2103"/>
      <c r="F1107" s="2103"/>
    </row>
    <row r="1108" spans="1:6" x14ac:dyDescent="0.2">
      <c r="A1108" s="24" t="s">
        <v>2122</v>
      </c>
      <c r="B1108" s="24" t="e">
        <f>B1089/B1107</f>
        <v>#VALUE!</v>
      </c>
      <c r="C1108" s="11"/>
      <c r="D1108" s="2103"/>
      <c r="E1108" s="2103"/>
      <c r="F1108" s="2103"/>
    </row>
    <row r="1109" spans="1:6" x14ac:dyDescent="0.2">
      <c r="A1109" s="24" t="s">
        <v>2123</v>
      </c>
      <c r="B1109" s="24" t="e">
        <f>B1108/B1106</f>
        <v>#VALUE!</v>
      </c>
      <c r="C1109" s="11"/>
      <c r="D1109" s="2103"/>
      <c r="E1109" s="2103"/>
      <c r="F1109" s="2103"/>
    </row>
    <row r="1110" spans="1:6" x14ac:dyDescent="0.2">
      <c r="A1110" s="24" t="s">
        <v>4429</v>
      </c>
      <c r="B1110" s="24">
        <f>2.2*(IF(B1104&lt;51,32,IF(B1104&lt;71,25,21)))</f>
        <v>55.000000000000007</v>
      </c>
      <c r="C1110" s="11"/>
      <c r="D1110" s="2103"/>
      <c r="E1110" s="2103"/>
      <c r="F1110" s="2103"/>
    </row>
    <row r="1111" spans="1:6" x14ac:dyDescent="0.2">
      <c r="A1111" s="24" t="s">
        <v>1855</v>
      </c>
      <c r="B1111" s="24" t="e">
        <f>B1105/B1110</f>
        <v>#VALUE!</v>
      </c>
      <c r="C1111" s="11"/>
      <c r="D1111" s="2103"/>
      <c r="E1111" s="2103"/>
      <c r="F1111" s="2103"/>
    </row>
    <row r="1112" spans="1:6" x14ac:dyDescent="0.2">
      <c r="A1112" s="11"/>
      <c r="B1112" s="11"/>
      <c r="C1112" s="11"/>
      <c r="D1112" s="2103"/>
      <c r="E1112" s="2103"/>
      <c r="F1112" s="2103"/>
    </row>
    <row r="1113" spans="1:6" x14ac:dyDescent="0.2">
      <c r="A1113" s="567" t="s">
        <v>4430</v>
      </c>
      <c r="B1113" s="24" t="e">
        <f>B1096</f>
        <v>#VALUE!</v>
      </c>
      <c r="C1113" s="11"/>
      <c r="D1113" s="2103"/>
      <c r="E1113" s="2103"/>
      <c r="F1113" s="2103"/>
    </row>
    <row r="1114" spans="1:6" x14ac:dyDescent="0.2">
      <c r="A1114" s="24" t="s">
        <v>4431</v>
      </c>
      <c r="B1114" s="2185">
        <v>0.8</v>
      </c>
      <c r="C1114" s="11"/>
      <c r="D1114" s="2103"/>
      <c r="E1114" s="2103"/>
      <c r="F1114" s="2103"/>
    </row>
    <row r="1115" spans="1:6" x14ac:dyDescent="0.2">
      <c r="A1115" s="24" t="s">
        <v>2124</v>
      </c>
      <c r="B1115" s="24" t="e">
        <f>B1113/(3*B1114)</f>
        <v>#VALUE!</v>
      </c>
      <c r="C1115" s="11"/>
      <c r="D1115" s="2103"/>
      <c r="E1115" s="2103"/>
      <c r="F1115" s="2103"/>
    </row>
    <row r="1116" spans="1:6" x14ac:dyDescent="0.2">
      <c r="A1116" s="24" t="s">
        <v>4433</v>
      </c>
      <c r="B1116" s="24">
        <f>2.2*(IF(B1104&lt;51,32,IF(B1104&lt;71,25,21)))</f>
        <v>55.000000000000007</v>
      </c>
      <c r="C1116" s="11"/>
      <c r="D1116" s="2103"/>
      <c r="E1116" s="2103"/>
      <c r="F1116" s="2103"/>
    </row>
    <row r="1117" spans="1:6" x14ac:dyDescent="0.2">
      <c r="A1117" s="24" t="s">
        <v>1855</v>
      </c>
      <c r="B1117" s="24" t="e">
        <f>B1115/B1116</f>
        <v>#VALUE!</v>
      </c>
      <c r="C1117" s="11"/>
      <c r="D1117" s="2103"/>
      <c r="E1117" s="2103"/>
      <c r="F1117" s="2103"/>
    </row>
    <row r="1118" spans="1:6" x14ac:dyDescent="0.2">
      <c r="A1118" s="2240" t="s">
        <v>3728</v>
      </c>
      <c r="B1118" s="30"/>
      <c r="C1118" s="11"/>
      <c r="D1118" s="2103"/>
      <c r="E1118" s="2103"/>
      <c r="F1118" s="2103"/>
    </row>
    <row r="1119" spans="1:6" x14ac:dyDescent="0.2">
      <c r="A1119" s="24" t="s">
        <v>2124</v>
      </c>
      <c r="B1119" s="24">
        <f>B1100*2.2/3</f>
        <v>0</v>
      </c>
      <c r="C1119" s="11"/>
      <c r="D1119" s="2103"/>
      <c r="E1119" s="2103"/>
      <c r="F1119" s="2103"/>
    </row>
    <row r="1120" spans="1:6" x14ac:dyDescent="0.2">
      <c r="A1120" s="24" t="s">
        <v>4433</v>
      </c>
      <c r="B1120" s="24">
        <f>2.2*(IF(B1104&lt;51,32,IF(B1104&lt;71,25,21)))</f>
        <v>55.000000000000007</v>
      </c>
      <c r="C1120" s="2103"/>
      <c r="D1120" s="2103"/>
      <c r="E1120" s="2103"/>
      <c r="F1120" s="2103"/>
    </row>
    <row r="1121" spans="1:6" x14ac:dyDescent="0.2">
      <c r="A1121" s="24" t="s">
        <v>1855</v>
      </c>
      <c r="B1121" s="24">
        <f>B1119/B1120</f>
        <v>0</v>
      </c>
      <c r="C1121" s="2103"/>
      <c r="D1121" s="2103"/>
      <c r="E1121" s="2103"/>
      <c r="F1121" s="2103"/>
    </row>
    <row r="1122" spans="1:6" x14ac:dyDescent="0.2">
      <c r="A1122" s="2135" t="s">
        <v>3729</v>
      </c>
      <c r="B1122" s="11"/>
      <c r="C1122" s="2103"/>
      <c r="D1122" s="2103"/>
      <c r="E1122" s="2103"/>
      <c r="F1122" s="2103"/>
    </row>
    <row r="1123" spans="1:6" x14ac:dyDescent="0.2">
      <c r="A1123" s="17" t="s">
        <v>3730</v>
      </c>
      <c r="B1123" s="2318">
        <v>0</v>
      </c>
      <c r="C1123" s="2103"/>
      <c r="D1123" s="2103"/>
      <c r="E1123" s="2103"/>
      <c r="F1123" s="2103"/>
    </row>
    <row r="1124" spans="1:6" x14ac:dyDescent="0.2">
      <c r="A1124" s="17" t="s">
        <v>3731</v>
      </c>
      <c r="B1124" s="2318">
        <v>0</v>
      </c>
      <c r="C1124" s="2103"/>
      <c r="D1124" s="2103"/>
      <c r="E1124" s="2103"/>
      <c r="F1124" s="2103"/>
    </row>
    <row r="1125" spans="1:6" x14ac:dyDescent="0.2">
      <c r="A1125" s="17" t="s">
        <v>3732</v>
      </c>
      <c r="B1125" s="2318">
        <v>0</v>
      </c>
      <c r="C1125" s="2103"/>
      <c r="D1125" s="2103"/>
      <c r="E1125" s="2103"/>
      <c r="F1125" s="2103"/>
    </row>
    <row r="1126" spans="1:6" x14ac:dyDescent="0.2">
      <c r="A1126" s="17" t="s">
        <v>2734</v>
      </c>
      <c r="B1126" s="2318">
        <v>0</v>
      </c>
      <c r="C1126" s="2103"/>
      <c r="D1126" s="2103"/>
      <c r="E1126" s="2103"/>
      <c r="F1126" s="2103"/>
    </row>
    <row r="1127" spans="1:6" x14ac:dyDescent="0.2">
      <c r="A1127" s="365" t="s">
        <v>1831</v>
      </c>
      <c r="B1127" s="2318">
        <v>0</v>
      </c>
      <c r="C1127" s="2103"/>
      <c r="D1127" s="2103"/>
      <c r="E1127" s="2103"/>
      <c r="F1127" s="2103"/>
    </row>
    <row r="1128" spans="1:6" x14ac:dyDescent="0.2">
      <c r="A1128" s="17" t="s">
        <v>1832</v>
      </c>
      <c r="B1128" s="2318">
        <v>0</v>
      </c>
      <c r="C1128" s="2103"/>
      <c r="D1128" s="2103"/>
      <c r="E1128" s="2103"/>
      <c r="F1128" s="2103"/>
    </row>
    <row r="1129" spans="1:6" x14ac:dyDescent="0.2">
      <c r="A1129" s="17" t="s">
        <v>1833</v>
      </c>
      <c r="B1129" s="2318">
        <v>0</v>
      </c>
      <c r="C1129" s="2103"/>
      <c r="D1129" s="2103"/>
      <c r="E1129" s="2103"/>
      <c r="F1129" s="2103"/>
    </row>
    <row r="1130" spans="1:6" x14ac:dyDescent="0.2">
      <c r="A1130" s="17" t="s">
        <v>1834</v>
      </c>
      <c r="B1130" s="2318">
        <v>0</v>
      </c>
      <c r="C1130" s="2103"/>
      <c r="D1130" s="2103"/>
      <c r="E1130" s="2103"/>
      <c r="F1130" s="2103"/>
    </row>
    <row r="1131" spans="1:6" x14ac:dyDescent="0.2">
      <c r="A1131" s="17" t="s">
        <v>1835</v>
      </c>
      <c r="B1131" s="23">
        <f>SUM(B1123:B1130)</f>
        <v>0</v>
      </c>
      <c r="C1131" s="2103"/>
      <c r="D1131" s="2103"/>
      <c r="E1131" s="2103"/>
      <c r="F1131" s="2103"/>
    </row>
    <row r="1132" spans="1:6" x14ac:dyDescent="0.2">
      <c r="A1132" s="24" t="s">
        <v>1836</v>
      </c>
      <c r="B1132" s="24">
        <f>0.05*B1131</f>
        <v>0</v>
      </c>
      <c r="C1132" s="2103"/>
      <c r="D1132" s="2103"/>
      <c r="E1132" s="2103"/>
      <c r="F1132" s="2103"/>
    </row>
    <row r="1133" spans="1:6" x14ac:dyDescent="0.2">
      <c r="A1133" s="24" t="s">
        <v>1780</v>
      </c>
      <c r="B1133" s="24">
        <f>B1131+B1132</f>
        <v>0</v>
      </c>
      <c r="C1133" s="2103"/>
      <c r="D1133" s="2103"/>
      <c r="E1133" s="2103"/>
      <c r="F1133" s="2103"/>
    </row>
    <row r="1134" spans="1:6" x14ac:dyDescent="0.2">
      <c r="A1134" s="24" t="s">
        <v>1781</v>
      </c>
      <c r="B1134" s="24">
        <f>IF(B1104&lt;51,11,10.2)</f>
        <v>10.199999999999999</v>
      </c>
      <c r="C1134" s="2103"/>
      <c r="D1134" s="2103"/>
      <c r="E1134" s="2103"/>
      <c r="F1134" s="2103"/>
    </row>
    <row r="1135" spans="1:6" x14ac:dyDescent="0.2">
      <c r="A1135" s="806" t="s">
        <v>1855</v>
      </c>
      <c r="B1135" s="24">
        <f>B1131/B1134</f>
        <v>0</v>
      </c>
      <c r="C1135" s="2103"/>
      <c r="D1135" s="2103"/>
      <c r="E1135" s="2103"/>
      <c r="F1135" s="2103"/>
    </row>
    <row r="1136" spans="1:6" ht="15" x14ac:dyDescent="0.25">
      <c r="A1136" s="2159" t="s">
        <v>1782</v>
      </c>
      <c r="B1136" s="806" t="e">
        <f>B1135+B1121+B1117+B1111+B1102+B1098+B1092</f>
        <v>#VALUE!</v>
      </c>
      <c r="C1136" s="2103"/>
      <c r="D1136" s="2103"/>
      <c r="E1136" s="2103"/>
      <c r="F1136" s="2103"/>
    </row>
    <row r="1137" spans="1:6" x14ac:dyDescent="0.2">
      <c r="A1137" s="2135" t="s">
        <v>4775</v>
      </c>
      <c r="B1137" s="30"/>
      <c r="C1137" s="2103"/>
      <c r="D1137" s="2103"/>
      <c r="E1137" s="2103"/>
      <c r="F1137" s="2103"/>
    </row>
    <row r="1138" spans="1:6" x14ac:dyDescent="0.2">
      <c r="A1138" s="24" t="s">
        <v>1833</v>
      </c>
      <c r="B1138" s="23">
        <f>B1129</f>
        <v>0</v>
      </c>
      <c r="C1138" s="2103"/>
      <c r="D1138" s="2103"/>
      <c r="E1138" s="2103"/>
      <c r="F1138" s="2103"/>
    </row>
    <row r="1139" spans="1:6" x14ac:dyDescent="0.2">
      <c r="A1139" s="24" t="s">
        <v>1834</v>
      </c>
      <c r="B1139" s="2319">
        <f>B1130</f>
        <v>0</v>
      </c>
      <c r="C1139" s="2103"/>
      <c r="D1139" s="2103"/>
      <c r="E1139" s="2103"/>
      <c r="F1139" s="2103"/>
    </row>
    <row r="1140" spans="1:6" x14ac:dyDescent="0.2">
      <c r="A1140" s="17" t="s">
        <v>1835</v>
      </c>
      <c r="B1140" s="24">
        <f>SUM(B1138:B1139)</f>
        <v>0</v>
      </c>
      <c r="C1140" s="2103"/>
      <c r="D1140" s="2103"/>
      <c r="E1140" s="2103"/>
      <c r="F1140" s="2103"/>
    </row>
    <row r="1141" spans="1:6" x14ac:dyDescent="0.2">
      <c r="A1141" s="24" t="s">
        <v>4776</v>
      </c>
      <c r="B1141" s="24">
        <v>10.8</v>
      </c>
      <c r="C1141" s="2103"/>
      <c r="D1141" s="2103"/>
      <c r="E1141" s="2103"/>
      <c r="F1141" s="2103"/>
    </row>
    <row r="1142" spans="1:6" x14ac:dyDescent="0.2">
      <c r="A1142" s="24" t="s">
        <v>4777</v>
      </c>
      <c r="B1142" s="24">
        <v>12.4</v>
      </c>
      <c r="C1142" s="2103"/>
      <c r="D1142" s="2103"/>
      <c r="E1142" s="2103"/>
      <c r="F1142" s="2103"/>
    </row>
    <row r="1143" spans="1:6" x14ac:dyDescent="0.2">
      <c r="A1143" s="806" t="s">
        <v>1855</v>
      </c>
      <c r="B1143" s="24">
        <f>B1140/B1141+B1140/B1142</f>
        <v>0</v>
      </c>
      <c r="C1143" s="2103"/>
      <c r="D1143" s="2103"/>
      <c r="E1143" s="2103"/>
      <c r="F1143" s="2103"/>
    </row>
    <row r="1144" spans="1:6" ht="15" x14ac:dyDescent="0.25">
      <c r="A1144" s="2160" t="s">
        <v>4778</v>
      </c>
      <c r="B1144" s="11"/>
      <c r="C1144" s="2103"/>
      <c r="D1144" s="2103"/>
      <c r="E1144" s="2103"/>
      <c r="F1144" s="2103"/>
    </row>
    <row r="1145" spans="1:6" x14ac:dyDescent="0.2">
      <c r="A1145" s="17" t="s">
        <v>4779</v>
      </c>
      <c r="B1145" s="2307">
        <v>2000</v>
      </c>
      <c r="C1145" s="2103"/>
      <c r="D1145" s="2103"/>
      <c r="E1145" s="2103"/>
      <c r="F1145" s="2103"/>
    </row>
    <row r="1146" spans="1:6" x14ac:dyDescent="0.2">
      <c r="A1146" s="2135" t="s">
        <v>4780</v>
      </c>
      <c r="B1146" s="11"/>
      <c r="C1146" s="2103"/>
      <c r="D1146" s="2103"/>
      <c r="E1146" s="2103"/>
      <c r="F1146" s="2103"/>
    </row>
    <row r="1147" spans="1:6" x14ac:dyDescent="0.2">
      <c r="A1147" s="24" t="s">
        <v>4781</v>
      </c>
      <c r="B1147" s="24" t="e">
        <f>B1089+B1093+B1094+B1095</f>
        <v>#VALUE!</v>
      </c>
      <c r="C1147" s="2103"/>
      <c r="D1147" s="2103"/>
      <c r="E1147" s="2103"/>
      <c r="F1147" s="2103"/>
    </row>
    <row r="1148" spans="1:6" x14ac:dyDescent="0.2">
      <c r="A1148" s="24" t="s">
        <v>5147</v>
      </c>
      <c r="B1148" s="24">
        <f>16111*B1145^-0.653</f>
        <v>112.60298683393111</v>
      </c>
      <c r="C1148" s="2103"/>
      <c r="D1148" s="2103"/>
      <c r="E1148" s="2103"/>
      <c r="F1148" s="2103"/>
    </row>
    <row r="1149" spans="1:6" x14ac:dyDescent="0.2">
      <c r="A1149" s="24" t="s">
        <v>3088</v>
      </c>
      <c r="B1149" s="24" t="e">
        <f>B1147/B1148</f>
        <v>#VALUE!</v>
      </c>
      <c r="C1149" s="2103"/>
      <c r="D1149" s="2103"/>
      <c r="E1149" s="2103"/>
      <c r="F1149" s="2103"/>
    </row>
    <row r="1150" spans="1:6" x14ac:dyDescent="0.2">
      <c r="A1150" s="2135" t="s">
        <v>3089</v>
      </c>
      <c r="B1150" s="11"/>
      <c r="C1150" s="2103"/>
      <c r="D1150" s="2103"/>
      <c r="E1150" s="2103"/>
      <c r="F1150" s="2103"/>
    </row>
    <row r="1151" spans="1:6" x14ac:dyDescent="0.2">
      <c r="A1151" s="24" t="s">
        <v>3090</v>
      </c>
      <c r="B1151" s="24">
        <f>B1100*2+B1133</f>
        <v>0</v>
      </c>
      <c r="C1151" s="2103"/>
      <c r="D1151" s="2103"/>
      <c r="E1151" s="2103"/>
      <c r="F1151" s="2103"/>
    </row>
    <row r="1152" spans="1:6" x14ac:dyDescent="0.2">
      <c r="A1152" s="24" t="s">
        <v>3091</v>
      </c>
      <c r="B1152" s="24">
        <f>25667*B1145^-0.666</f>
        <v>162.51338393276461</v>
      </c>
      <c r="C1152" s="2103"/>
      <c r="D1152" s="2103"/>
      <c r="E1152" s="2103"/>
      <c r="F1152" s="2103"/>
    </row>
    <row r="1153" spans="1:6" x14ac:dyDescent="0.2">
      <c r="A1153" s="24" t="s">
        <v>3088</v>
      </c>
      <c r="B1153" s="24">
        <f>B1151/B1152</f>
        <v>0</v>
      </c>
      <c r="C1153" s="2103"/>
      <c r="D1153" s="2103"/>
      <c r="E1153" s="2103"/>
      <c r="F1153" s="2103"/>
    </row>
    <row r="1154" spans="1:6" x14ac:dyDescent="0.2">
      <c r="A1154" s="2135" t="s">
        <v>3092</v>
      </c>
      <c r="B1154" s="11"/>
      <c r="C1154" s="2103"/>
      <c r="D1154" s="2103"/>
      <c r="E1154" s="2103"/>
      <c r="F1154" s="2103"/>
    </row>
    <row r="1155" spans="1:6" x14ac:dyDescent="0.2">
      <c r="A1155" s="24" t="s">
        <v>3090</v>
      </c>
      <c r="B1155" s="24">
        <f>B1140</f>
        <v>0</v>
      </c>
      <c r="C1155" s="2103"/>
      <c r="D1155" s="2103"/>
      <c r="E1155" s="2103"/>
      <c r="F1155" s="2103"/>
    </row>
    <row r="1156" spans="1:6" x14ac:dyDescent="0.2">
      <c r="A1156" s="24" t="s">
        <v>3091</v>
      </c>
      <c r="B1156" s="24">
        <f>25667*B1145^-0.666</f>
        <v>162.51338393276461</v>
      </c>
      <c r="C1156" s="2103"/>
      <c r="D1156" s="2103"/>
      <c r="E1156" s="2103"/>
      <c r="F1156" s="2103"/>
    </row>
    <row r="1157" spans="1:6" x14ac:dyDescent="0.2">
      <c r="A1157" s="24" t="s">
        <v>3088</v>
      </c>
      <c r="B1157" s="24">
        <f>B1155/B1156</f>
        <v>0</v>
      </c>
      <c r="C1157" s="2103"/>
      <c r="D1157" s="2103"/>
      <c r="E1157" s="2103"/>
      <c r="F1157" s="2103"/>
    </row>
    <row r="1158" spans="1:6" ht="15" x14ac:dyDescent="0.25">
      <c r="A1158" s="2160" t="s">
        <v>3093</v>
      </c>
      <c r="B1158" s="11"/>
      <c r="C1158" s="2103"/>
      <c r="D1158" s="2103"/>
      <c r="E1158" s="2103"/>
      <c r="F1158" s="2103"/>
    </row>
    <row r="1159" spans="1:6" x14ac:dyDescent="0.2">
      <c r="A1159" s="2161" t="s">
        <v>3743</v>
      </c>
      <c r="B1159" s="11"/>
      <c r="C1159" s="2103"/>
      <c r="D1159" s="2103"/>
      <c r="E1159" s="2103"/>
      <c r="F1159" s="2103"/>
    </row>
    <row r="1160" spans="1:6" x14ac:dyDescent="0.2">
      <c r="A1160" s="24" t="s">
        <v>3094</v>
      </c>
      <c r="B1160" s="24" t="e">
        <f>B1147</f>
        <v>#VALUE!</v>
      </c>
      <c r="C1160" s="2103"/>
      <c r="D1160" s="2103"/>
      <c r="E1160" s="2103"/>
      <c r="F1160" s="2103"/>
    </row>
    <row r="1161" spans="1:6" x14ac:dyDescent="0.2">
      <c r="A1161" s="24" t="s">
        <v>3091</v>
      </c>
      <c r="B1161" s="24">
        <v>8.6999999999999993</v>
      </c>
      <c r="C1161" s="2103"/>
      <c r="D1161" s="2103"/>
      <c r="E1161" s="2103"/>
      <c r="F1161" s="2103"/>
    </row>
    <row r="1162" spans="1:6" x14ac:dyDescent="0.2">
      <c r="A1162" s="24" t="s">
        <v>3088</v>
      </c>
      <c r="B1162" s="24" t="e">
        <f>B1160*0.9/B1161</f>
        <v>#VALUE!</v>
      </c>
      <c r="C1162" s="2103"/>
      <c r="D1162" s="2103"/>
      <c r="E1162" s="2103"/>
      <c r="F1162" s="2103"/>
    </row>
    <row r="1163" spans="1:6" x14ac:dyDescent="0.2">
      <c r="A1163" s="2135" t="s">
        <v>3095</v>
      </c>
      <c r="B1163" s="11"/>
      <c r="C1163" s="2103"/>
      <c r="D1163" s="2103"/>
      <c r="E1163" s="2103"/>
      <c r="F1163" s="2103"/>
    </row>
    <row r="1164" spans="1:6" x14ac:dyDescent="0.2">
      <c r="A1164" s="24" t="s">
        <v>3094</v>
      </c>
      <c r="B1164" s="24">
        <f>B1100</f>
        <v>0</v>
      </c>
      <c r="C1164" s="2103"/>
      <c r="D1164" s="2103"/>
      <c r="E1164" s="2103"/>
      <c r="F1164" s="2103"/>
    </row>
    <row r="1165" spans="1:6" x14ac:dyDescent="0.2">
      <c r="A1165" s="24" t="s">
        <v>5147</v>
      </c>
      <c r="B1165" s="24">
        <v>16.600000000000001</v>
      </c>
      <c r="C1165" s="2103"/>
      <c r="D1165" s="2103"/>
      <c r="E1165" s="2103"/>
      <c r="F1165" s="2103"/>
    </row>
    <row r="1166" spans="1:6" x14ac:dyDescent="0.2">
      <c r="A1166" s="24" t="s">
        <v>3088</v>
      </c>
      <c r="B1166" s="24">
        <f>B1164*2/B1165</f>
        <v>0</v>
      </c>
      <c r="C1166" s="2103"/>
      <c r="D1166" s="2103"/>
      <c r="E1166" s="2103"/>
      <c r="F1166" s="2103"/>
    </row>
    <row r="1167" spans="1:6" x14ac:dyDescent="0.2">
      <c r="A1167" s="2135" t="s">
        <v>3096</v>
      </c>
      <c r="B1167" s="11"/>
      <c r="C1167" s="2103"/>
      <c r="D1167" s="2103"/>
      <c r="E1167" s="2103"/>
      <c r="F1167" s="2103"/>
    </row>
    <row r="1168" spans="1:6" x14ac:dyDescent="0.2">
      <c r="A1168" s="24" t="s">
        <v>3097</v>
      </c>
      <c r="B1168" s="24">
        <f>B1133</f>
        <v>0</v>
      </c>
      <c r="C1168" s="2103"/>
      <c r="D1168" s="2103"/>
      <c r="E1168" s="2103"/>
      <c r="F1168" s="2103"/>
    </row>
    <row r="1169" spans="1:6" x14ac:dyDescent="0.2">
      <c r="A1169" s="24" t="s">
        <v>3091</v>
      </c>
      <c r="B1169" s="24">
        <v>10.3</v>
      </c>
      <c r="C1169" s="2103"/>
      <c r="D1169" s="2103"/>
      <c r="E1169" s="2103"/>
      <c r="F1169" s="2103"/>
    </row>
    <row r="1170" spans="1:6" x14ac:dyDescent="0.2">
      <c r="A1170" s="24" t="s">
        <v>3088</v>
      </c>
      <c r="B1170" s="24">
        <f>B1168/B1169</f>
        <v>0</v>
      </c>
      <c r="C1170" s="2103"/>
      <c r="D1170" s="2103"/>
      <c r="E1170" s="2103"/>
      <c r="F1170" s="2103"/>
    </row>
    <row r="1171" spans="1:6" x14ac:dyDescent="0.2">
      <c r="A1171" s="2135" t="s">
        <v>3098</v>
      </c>
      <c r="B1171" s="11"/>
      <c r="C1171" s="2103"/>
      <c r="D1171" s="2103"/>
      <c r="E1171" s="2103"/>
      <c r="F1171" s="2103"/>
    </row>
    <row r="1172" spans="1:6" x14ac:dyDescent="0.2">
      <c r="A1172" s="24" t="s">
        <v>3097</v>
      </c>
      <c r="B1172" s="24">
        <f>B1155</f>
        <v>0</v>
      </c>
      <c r="C1172" s="2103"/>
      <c r="D1172" s="2103"/>
      <c r="E1172" s="2103"/>
      <c r="F1172" s="2103"/>
    </row>
    <row r="1173" spans="1:6" x14ac:dyDescent="0.2">
      <c r="A1173" s="24" t="s">
        <v>1781</v>
      </c>
      <c r="B1173" s="24">
        <f>IF(B1172&lt;0.301,9.6,IF(B1172&lt;0.601,10.7,IF(B1172&lt;0.901,12.2,IF(B1172&lt;1.301,14,16))))</f>
        <v>9.6</v>
      </c>
      <c r="C1173" s="2103"/>
      <c r="D1173" s="2103"/>
      <c r="E1173" s="2103"/>
      <c r="F1173" s="2103"/>
    </row>
    <row r="1174" spans="1:6" x14ac:dyDescent="0.2">
      <c r="A1174" s="24" t="s">
        <v>3088</v>
      </c>
      <c r="B1174" s="24">
        <f>B1172/B1173</f>
        <v>0</v>
      </c>
      <c r="C1174" s="2103"/>
      <c r="D1174" s="2103"/>
      <c r="E1174" s="2103"/>
      <c r="F1174" s="2103"/>
    </row>
    <row r="1175" spans="1:6" x14ac:dyDescent="0.2">
      <c r="A1175" s="2135" t="s">
        <v>478</v>
      </c>
      <c r="B1175" s="30"/>
      <c r="C1175" s="2103"/>
      <c r="D1175" s="2103"/>
      <c r="E1175" s="2103"/>
      <c r="F1175" s="2103"/>
    </row>
    <row r="1176" spans="1:6" x14ac:dyDescent="0.2">
      <c r="A1176" s="69" t="s">
        <v>3099</v>
      </c>
      <c r="B1176" s="2308">
        <v>1</v>
      </c>
      <c r="C1176" s="2103"/>
      <c r="D1176" s="2103"/>
      <c r="E1176" s="2103"/>
      <c r="F1176" s="2103"/>
    </row>
    <row r="1177" spans="1:6" x14ac:dyDescent="0.2">
      <c r="A1177" s="24" t="s">
        <v>3100</v>
      </c>
      <c r="B1177" s="24">
        <f>0.17+0.3*(B1145+1000)/1000</f>
        <v>1.07</v>
      </c>
      <c r="C1177" s="2103"/>
      <c r="D1177" s="2103"/>
      <c r="E1177" s="2103"/>
      <c r="F1177" s="2103"/>
    </row>
    <row r="1178" spans="1:6" x14ac:dyDescent="0.2">
      <c r="A1178" s="24" t="s">
        <v>3101</v>
      </c>
      <c r="B1178" s="24">
        <f>IF(B1176=1,B1177/6,0)</f>
        <v>0.17833333333333334</v>
      </c>
      <c r="C1178" s="2103"/>
      <c r="D1178" s="2103"/>
      <c r="E1178" s="2103"/>
      <c r="F1178" s="2103"/>
    </row>
    <row r="1179" spans="1:6" ht="15" x14ac:dyDescent="0.25">
      <c r="A1179" s="2159" t="s">
        <v>3102</v>
      </c>
      <c r="B1179" s="806" t="e">
        <f>B1178+B1174+B1170+B1166+B1162+B1157+B1153+B1149+B1143</f>
        <v>#VALUE!</v>
      </c>
      <c r="C1179" s="2103"/>
      <c r="D1179" s="2103"/>
      <c r="E1179" s="2103"/>
      <c r="F1179" s="2103"/>
    </row>
    <row r="1180" spans="1:6" x14ac:dyDescent="0.2">
      <c r="A1180" s="806" t="s">
        <v>3820</v>
      </c>
      <c r="B1180" s="806" t="e">
        <f>B1179+B1136</f>
        <v>#VALUE!</v>
      </c>
      <c r="C1180" s="2103"/>
      <c r="D1180" s="2103"/>
      <c r="E1180" s="2103"/>
      <c r="F1180" s="2103"/>
    </row>
    <row r="1181" spans="1:6" x14ac:dyDescent="0.2">
      <c r="A1181" s="24" t="s">
        <v>3821</v>
      </c>
      <c r="B1181" s="2307">
        <v>200</v>
      </c>
      <c r="C1181" s="2103"/>
      <c r="D1181" s="2103"/>
      <c r="E1181" s="2103"/>
      <c r="F1181" s="2103"/>
    </row>
    <row r="1182" spans="1:6" ht="15" x14ac:dyDescent="0.25">
      <c r="A1182" s="365" t="s">
        <v>576</v>
      </c>
      <c r="B1182" s="2155">
        <f>0.8*B1181</f>
        <v>160</v>
      </c>
      <c r="C1182" s="2103"/>
      <c r="D1182" s="2103"/>
      <c r="E1182" s="2103"/>
      <c r="F1182" s="2103"/>
    </row>
    <row r="1183" spans="1:6" x14ac:dyDescent="0.2">
      <c r="A1183" s="365" t="s">
        <v>577</v>
      </c>
      <c r="B1183" s="23">
        <f>0.8*B1182</f>
        <v>128</v>
      </c>
      <c r="C1183" s="2103"/>
      <c r="D1183" s="2103"/>
      <c r="E1183" s="2103"/>
      <c r="F1183" s="2103"/>
    </row>
    <row r="1184" spans="1:6" x14ac:dyDescent="0.2">
      <c r="A1184" s="365" t="s">
        <v>4028</v>
      </c>
      <c r="B1184" s="24" t="e">
        <f>B1183*B1136</f>
        <v>#VALUE!</v>
      </c>
      <c r="C1184" s="2103"/>
      <c r="D1184" s="2103"/>
      <c r="E1184" s="2103"/>
      <c r="F1184" s="2103"/>
    </row>
    <row r="1185" spans="1:12" x14ac:dyDescent="0.2">
      <c r="A1185" s="365" t="s">
        <v>4029</v>
      </c>
      <c r="B1185" s="24" t="e">
        <f>B1182*B1179</f>
        <v>#VALUE!</v>
      </c>
      <c r="C1185" s="2103"/>
      <c r="D1185" s="2103"/>
      <c r="E1185" s="2103"/>
      <c r="F1185" s="2103"/>
    </row>
    <row r="1186" spans="1:12" x14ac:dyDescent="0.2">
      <c r="A1186" s="17" t="s">
        <v>2478</v>
      </c>
      <c r="B1186" s="24" t="e">
        <f>SUM(B1184:B1185)</f>
        <v>#VALUE!</v>
      </c>
      <c r="C1186" s="2103"/>
      <c r="D1186" s="2103"/>
      <c r="E1186" s="2103"/>
      <c r="F1186" s="2103"/>
    </row>
    <row r="1187" spans="1:12" ht="15" x14ac:dyDescent="0.25">
      <c r="A1187" s="2314" t="s">
        <v>4404</v>
      </c>
      <c r="B1187" s="2151" t="e">
        <f>B1186*B1055</f>
        <v>#VALUE!</v>
      </c>
      <c r="C1187" s="2103"/>
      <c r="D1187" s="2103"/>
      <c r="E1187" s="2103"/>
      <c r="F1187" s="2103"/>
    </row>
    <row r="1188" spans="1:12" ht="15" x14ac:dyDescent="0.25">
      <c r="A1188" s="65" t="s">
        <v>4406</v>
      </c>
      <c r="B1188" s="2151" t="e">
        <f>B1187*(1+B1057/100)</f>
        <v>#VALUE!</v>
      </c>
      <c r="C1188" s="2103"/>
      <c r="D1188" s="2103"/>
      <c r="E1188" s="2103"/>
      <c r="F1188" s="2103"/>
    </row>
    <row r="1189" spans="1:12" ht="15" x14ac:dyDescent="0.25">
      <c r="A1189" s="2320" t="s">
        <v>2479</v>
      </c>
      <c r="B1189" s="2151" t="e">
        <f>B1188*(1+B1056/100)</f>
        <v>#VALUE!</v>
      </c>
      <c r="C1189" s="2103"/>
      <c r="D1189" s="2103"/>
      <c r="E1189" s="2103"/>
      <c r="F1189" s="2103"/>
    </row>
    <row r="1190" spans="1:12" ht="15" x14ac:dyDescent="0.25">
      <c r="A1190" s="2273" t="s">
        <v>2480</v>
      </c>
      <c r="B1190" s="11"/>
      <c r="C1190" s="2103"/>
      <c r="D1190" s="2103"/>
      <c r="E1190" s="2103"/>
      <c r="F1190" s="2103"/>
    </row>
    <row r="1191" spans="1:12" ht="15" x14ac:dyDescent="0.25">
      <c r="A1191" s="2321" t="s">
        <v>2481</v>
      </c>
      <c r="B1191" s="2322" t="e">
        <f>B1062+B1189</f>
        <v>#VALUE!</v>
      </c>
      <c r="C1191" s="2103"/>
      <c r="D1191" s="2103"/>
      <c r="E1191" s="2103"/>
      <c r="F1191" s="2103"/>
    </row>
    <row r="1192" spans="1:12" ht="15" x14ac:dyDescent="0.25">
      <c r="A1192" s="2321" t="s">
        <v>2482</v>
      </c>
      <c r="B1192" s="2322" t="e">
        <f>B1084</f>
        <v>#VALUE!</v>
      </c>
      <c r="C1192" s="2103"/>
      <c r="D1192" s="2103"/>
      <c r="E1192" s="2103"/>
      <c r="F1192" s="2103"/>
    </row>
    <row r="1193" spans="1:12" x14ac:dyDescent="0.2">
      <c r="A1193" s="2103"/>
      <c r="B1193" s="2103"/>
      <c r="C1193" s="2103"/>
      <c r="D1193" s="2103"/>
      <c r="E1193" s="2103"/>
      <c r="F1193" s="2103"/>
      <c r="G1193" s="2103"/>
      <c r="H1193" s="2103"/>
      <c r="I1193" s="2103"/>
      <c r="J1193" s="2103"/>
      <c r="K1193" s="2103"/>
      <c r="L1193" s="2103"/>
    </row>
    <row r="1194" spans="1:12" x14ac:dyDescent="0.2">
      <c r="A1194" s="2103"/>
      <c r="B1194" s="2103"/>
      <c r="C1194" s="2103"/>
      <c r="D1194" s="2103"/>
      <c r="E1194" s="2103"/>
      <c r="F1194" s="2103"/>
      <c r="G1194" s="2103"/>
      <c r="H1194" s="2103"/>
      <c r="I1194" s="2103"/>
      <c r="J1194" s="2103"/>
      <c r="K1194" s="2103"/>
      <c r="L1194" s="2103"/>
    </row>
    <row r="1195" spans="1:12" ht="18.75" x14ac:dyDescent="0.3">
      <c r="A1195" s="2323" t="s">
        <v>733</v>
      </c>
      <c r="B1195" s="2324"/>
      <c r="C1195" s="2324"/>
      <c r="D1195" s="2324"/>
      <c r="E1195" s="2324"/>
      <c r="F1195" s="2324"/>
      <c r="G1195" s="2324"/>
      <c r="H1195" s="2324"/>
      <c r="I1195" s="2103"/>
      <c r="J1195" s="2103"/>
      <c r="K1195" s="2103"/>
      <c r="L1195" s="2103"/>
    </row>
    <row r="1196" spans="1:12" ht="13.5" thickBot="1" x14ac:dyDescent="0.25">
      <c r="A1196" s="446"/>
      <c r="B1196" s="446"/>
      <c r="C1196" s="446"/>
      <c r="D1196" s="446"/>
      <c r="E1196" s="446"/>
      <c r="F1196" s="446"/>
      <c r="G1196" s="446"/>
      <c r="H1196" s="446"/>
      <c r="I1196" s="2103"/>
      <c r="J1196" s="2103"/>
      <c r="K1196" s="2103"/>
      <c r="L1196" s="2103"/>
    </row>
    <row r="1197" spans="1:12" ht="15.75" x14ac:dyDescent="0.25">
      <c r="A1197" s="2325" t="s">
        <v>2483</v>
      </c>
      <c r="B1197" s="2326"/>
      <c r="C1197" s="2326"/>
      <c r="D1197" s="2326"/>
      <c r="E1197" s="2326"/>
      <c r="F1197" s="2326"/>
      <c r="G1197" s="2327"/>
      <c r="H1197" s="446"/>
      <c r="I1197" s="2103"/>
      <c r="J1197" s="2103"/>
      <c r="K1197" s="2103"/>
      <c r="L1197" s="2103"/>
    </row>
    <row r="1198" spans="1:12" ht="15" x14ac:dyDescent="0.2">
      <c r="A1198" s="2328" t="s">
        <v>5602</v>
      </c>
      <c r="B1198" s="2329" t="s">
        <v>1082</v>
      </c>
      <c r="C1198" s="2329"/>
      <c r="D1198" s="2329"/>
      <c r="E1198" s="2329"/>
      <c r="F1198" s="2329"/>
      <c r="G1198" s="2330"/>
      <c r="H1198" s="446"/>
      <c r="I1198" s="2103"/>
      <c r="J1198" s="2103"/>
      <c r="K1198" s="2103"/>
      <c r="L1198" s="2103"/>
    </row>
    <row r="1199" spans="1:12" ht="15" x14ac:dyDescent="0.2">
      <c r="A1199" s="2328"/>
      <c r="B1199" s="2329" t="s">
        <v>2484</v>
      </c>
      <c r="C1199" s="2329" t="s">
        <v>2485</v>
      </c>
      <c r="D1199" s="2329" t="s">
        <v>2486</v>
      </c>
      <c r="E1199" s="2329" t="s">
        <v>2487</v>
      </c>
      <c r="F1199" s="2329" t="s">
        <v>4286</v>
      </c>
      <c r="G1199" s="2330" t="s">
        <v>4287</v>
      </c>
      <c r="H1199" s="446"/>
      <c r="I1199" s="2103"/>
      <c r="J1199" s="2103"/>
      <c r="K1199" s="2103"/>
      <c r="L1199" s="2103"/>
    </row>
    <row r="1200" spans="1:12" ht="15" x14ac:dyDescent="0.2">
      <c r="A1200" s="2328"/>
      <c r="B1200" s="2329" t="s">
        <v>5503</v>
      </c>
      <c r="C1200" s="2329"/>
      <c r="D1200" s="2329"/>
      <c r="E1200" s="2329"/>
      <c r="F1200" s="2329"/>
      <c r="G1200" s="2330"/>
      <c r="H1200" s="446"/>
      <c r="I1200" s="2103"/>
      <c r="J1200" s="2103"/>
      <c r="K1200" s="2103"/>
      <c r="L1200" s="2103"/>
    </row>
    <row r="1201" spans="1:12" ht="15" x14ac:dyDescent="0.2">
      <c r="A1201" s="2331" t="s">
        <v>4396</v>
      </c>
      <c r="B1201" s="2329">
        <v>25.4</v>
      </c>
      <c r="C1201" s="2329">
        <v>22.6</v>
      </c>
      <c r="D1201" s="2329">
        <v>18.5</v>
      </c>
      <c r="E1201" s="2329">
        <v>16.8</v>
      </c>
      <c r="F1201" s="2329">
        <v>12.9</v>
      </c>
      <c r="G1201" s="2330">
        <v>11.1</v>
      </c>
      <c r="H1201" s="446"/>
      <c r="I1201" s="2103"/>
      <c r="J1201" s="2103"/>
      <c r="K1201" s="2103"/>
      <c r="L1201" s="2103"/>
    </row>
    <row r="1202" spans="1:12" ht="15" x14ac:dyDescent="0.2">
      <c r="A1202" s="2331" t="s">
        <v>4397</v>
      </c>
      <c r="B1202" s="2329">
        <v>22.6</v>
      </c>
      <c r="C1202" s="2329">
        <v>18.399999999999999</v>
      </c>
      <c r="D1202" s="2329">
        <v>16</v>
      </c>
      <c r="E1202" s="2329">
        <v>13.9</v>
      </c>
      <c r="F1202" s="2329">
        <v>11.8</v>
      </c>
      <c r="G1202" s="2330">
        <v>9.1999999999999993</v>
      </c>
      <c r="H1202" s="446"/>
      <c r="I1202" s="2103"/>
      <c r="J1202" s="2103"/>
      <c r="K1202" s="2103"/>
      <c r="L1202" s="2103"/>
    </row>
    <row r="1203" spans="1:12" ht="15" x14ac:dyDescent="0.2">
      <c r="A1203" s="2331" t="s">
        <v>13</v>
      </c>
      <c r="B1203" s="2329">
        <v>20.5</v>
      </c>
      <c r="C1203" s="2329">
        <v>15.2</v>
      </c>
      <c r="D1203" s="2329">
        <v>12.8</v>
      </c>
      <c r="E1203" s="2329">
        <v>11.5</v>
      </c>
      <c r="F1203" s="2329">
        <v>9.1</v>
      </c>
      <c r="G1203" s="2330">
        <v>8</v>
      </c>
      <c r="H1203" s="446"/>
      <c r="I1203" s="2103"/>
      <c r="J1203" s="2103"/>
      <c r="K1203" s="2103"/>
      <c r="L1203" s="2103"/>
    </row>
    <row r="1204" spans="1:12" ht="15" x14ac:dyDescent="0.2">
      <c r="A1204" s="2331" t="s">
        <v>14</v>
      </c>
      <c r="B1204" s="2329">
        <v>17.5</v>
      </c>
      <c r="C1204" s="2329">
        <v>14.7</v>
      </c>
      <c r="D1204" s="2329">
        <v>11.5</v>
      </c>
      <c r="E1204" s="2329">
        <v>10.8</v>
      </c>
      <c r="F1204" s="2329">
        <v>8.9</v>
      </c>
      <c r="G1204" s="2330">
        <v>7.1</v>
      </c>
      <c r="H1204" s="446"/>
      <c r="I1204" s="2103"/>
      <c r="J1204" s="2103"/>
      <c r="K1204" s="2103"/>
      <c r="L1204" s="2103"/>
    </row>
    <row r="1205" spans="1:12" ht="15" x14ac:dyDescent="0.2">
      <c r="A1205" s="2331" t="s">
        <v>596</v>
      </c>
      <c r="B1205" s="2329">
        <v>15.8</v>
      </c>
      <c r="C1205" s="2329">
        <v>13.2</v>
      </c>
      <c r="D1205" s="2329">
        <v>10.9</v>
      </c>
      <c r="E1205" s="2329">
        <v>9.5</v>
      </c>
      <c r="F1205" s="2329">
        <v>7.6</v>
      </c>
      <c r="G1205" s="2330">
        <v>6.6</v>
      </c>
      <c r="H1205" s="446"/>
      <c r="I1205" s="2103"/>
      <c r="J1205" s="2103"/>
      <c r="K1205" s="2103"/>
      <c r="L1205" s="2103"/>
    </row>
    <row r="1206" spans="1:12" ht="15" x14ac:dyDescent="0.2">
      <c r="A1206" s="2331" t="s">
        <v>597</v>
      </c>
      <c r="B1206" s="2329">
        <v>14.2</v>
      </c>
      <c r="C1206" s="2329">
        <v>11.9</v>
      </c>
      <c r="D1206" s="2329">
        <v>9.8000000000000007</v>
      </c>
      <c r="E1206" s="2329">
        <v>8.5</v>
      </c>
      <c r="F1206" s="2329">
        <v>6.7</v>
      </c>
      <c r="G1206" s="2330">
        <v>6</v>
      </c>
      <c r="H1206" s="446"/>
      <c r="I1206" s="2103"/>
      <c r="J1206" s="2103"/>
      <c r="K1206" s="2103"/>
      <c r="L1206" s="2103"/>
    </row>
    <row r="1207" spans="1:12" ht="15" x14ac:dyDescent="0.2">
      <c r="A1207" s="2331" t="s">
        <v>598</v>
      </c>
      <c r="B1207" s="2329">
        <v>13.1</v>
      </c>
      <c r="C1207" s="2329">
        <v>10.3</v>
      </c>
      <c r="D1207" s="2329">
        <v>9</v>
      </c>
      <c r="E1207" s="2329">
        <v>7.5</v>
      </c>
      <c r="F1207" s="2329">
        <v>6</v>
      </c>
      <c r="G1207" s="2330">
        <v>5.3</v>
      </c>
      <c r="H1207" s="446"/>
      <c r="I1207" s="2103"/>
      <c r="J1207" s="2103"/>
      <c r="K1207" s="2103"/>
      <c r="L1207" s="2103"/>
    </row>
    <row r="1208" spans="1:12" ht="15" x14ac:dyDescent="0.2">
      <c r="A1208" s="2331" t="s">
        <v>599</v>
      </c>
      <c r="B1208" s="2329">
        <v>12.2</v>
      </c>
      <c r="C1208" s="2329">
        <v>9.1999999999999993</v>
      </c>
      <c r="D1208" s="2329">
        <v>7.5</v>
      </c>
      <c r="E1208" s="2329">
        <v>6.5</v>
      </c>
      <c r="F1208" s="2329">
        <v>5.6</v>
      </c>
      <c r="G1208" s="2330">
        <v>4.8</v>
      </c>
      <c r="H1208" s="446"/>
      <c r="I1208" s="2103"/>
      <c r="J1208" s="2103"/>
      <c r="K1208" s="2103"/>
      <c r="L1208" s="2103"/>
    </row>
    <row r="1209" spans="1:12" ht="15" x14ac:dyDescent="0.2">
      <c r="A1209" s="2331" t="s">
        <v>600</v>
      </c>
      <c r="B1209" s="2329">
        <v>10.9</v>
      </c>
      <c r="C1209" s="2329">
        <v>8.1</v>
      </c>
      <c r="D1209" s="2329">
        <v>6.6</v>
      </c>
      <c r="E1209" s="2329">
        <v>5.7</v>
      </c>
      <c r="F1209" s="2329">
        <v>4.8</v>
      </c>
      <c r="G1209" s="2330">
        <v>3.9</v>
      </c>
      <c r="H1209" s="446"/>
      <c r="I1209" s="2103"/>
      <c r="J1209" s="2103"/>
      <c r="K1209" s="2103"/>
      <c r="L1209" s="2103"/>
    </row>
    <row r="1210" spans="1:12" ht="15" x14ac:dyDescent="0.2">
      <c r="A1210" s="2331"/>
      <c r="B1210" s="2329" t="s">
        <v>601</v>
      </c>
      <c r="C1210" s="2329"/>
      <c r="D1210" s="2329"/>
      <c r="E1210" s="2329"/>
      <c r="F1210" s="2329"/>
      <c r="G1210" s="2330"/>
      <c r="H1210" s="446"/>
      <c r="I1210" s="2103"/>
      <c r="J1210" s="2103"/>
      <c r="K1210" s="2103"/>
      <c r="L1210" s="2103"/>
    </row>
    <row r="1211" spans="1:12" ht="15" x14ac:dyDescent="0.2">
      <c r="A1211" s="2331" t="s">
        <v>4396</v>
      </c>
      <c r="B1211" s="2329">
        <v>20.9</v>
      </c>
      <c r="C1211" s="2329">
        <v>15</v>
      </c>
      <c r="D1211" s="2329">
        <v>12.3</v>
      </c>
      <c r="E1211" s="2329">
        <v>11.3</v>
      </c>
      <c r="F1211" s="2329">
        <v>10.8</v>
      </c>
      <c r="G1211" s="2330">
        <v>7.5</v>
      </c>
      <c r="H1211" s="446"/>
      <c r="I1211" s="2103"/>
      <c r="J1211" s="2103"/>
      <c r="K1211" s="2103"/>
      <c r="L1211" s="2103"/>
    </row>
    <row r="1212" spans="1:12" ht="15" x14ac:dyDescent="0.2">
      <c r="A1212" s="2331" t="s">
        <v>4397</v>
      </c>
      <c r="B1212" s="2329">
        <v>16.899999999999999</v>
      </c>
      <c r="C1212" s="2329">
        <v>12.4</v>
      </c>
      <c r="D1212" s="2329">
        <v>10.8</v>
      </c>
      <c r="E1212" s="2329">
        <v>10</v>
      </c>
      <c r="F1212" s="2329">
        <v>9.4</v>
      </c>
      <c r="G1212" s="2330">
        <v>6.4</v>
      </c>
      <c r="H1212" s="446"/>
      <c r="I1212" s="2103"/>
      <c r="J1212" s="2103"/>
      <c r="K1212" s="2103"/>
      <c r="L1212" s="2103"/>
    </row>
    <row r="1213" spans="1:12" ht="15" x14ac:dyDescent="0.2">
      <c r="A1213" s="2331" t="s">
        <v>13</v>
      </c>
      <c r="B1213" s="2329">
        <v>14.9</v>
      </c>
      <c r="C1213" s="2329">
        <v>11.3</v>
      </c>
      <c r="D1213" s="2329">
        <v>9.8000000000000007</v>
      </c>
      <c r="E1213" s="2329">
        <v>8.8000000000000007</v>
      </c>
      <c r="F1213" s="2329">
        <v>8</v>
      </c>
      <c r="G1213" s="2330">
        <v>5.8</v>
      </c>
      <c r="H1213" s="446"/>
      <c r="I1213" s="2103"/>
      <c r="J1213" s="2103"/>
      <c r="K1213" s="2103"/>
      <c r="L1213" s="2103"/>
    </row>
    <row r="1214" spans="1:12" ht="15" x14ac:dyDescent="0.2">
      <c r="A1214" s="2331" t="s">
        <v>14</v>
      </c>
      <c r="B1214" s="2329">
        <v>12.6</v>
      </c>
      <c r="C1214" s="2329">
        <v>10</v>
      </c>
      <c r="D1214" s="2329">
        <v>8.9</v>
      </c>
      <c r="E1214" s="2329">
        <v>7.9</v>
      </c>
      <c r="F1214" s="2329">
        <v>7.3</v>
      </c>
      <c r="G1214" s="2330">
        <v>5.3</v>
      </c>
      <c r="H1214" s="446"/>
      <c r="I1214" s="2103"/>
      <c r="J1214" s="2103"/>
      <c r="K1214" s="2103"/>
      <c r="L1214" s="2103"/>
    </row>
    <row r="1215" spans="1:12" ht="15" x14ac:dyDescent="0.2">
      <c r="A1215" s="2331" t="s">
        <v>596</v>
      </c>
      <c r="B1215" s="2329">
        <v>10.8</v>
      </c>
      <c r="C1215" s="2329">
        <v>9.1999999999999993</v>
      </c>
      <c r="D1215" s="2329">
        <v>7.8</v>
      </c>
      <c r="E1215" s="2329">
        <v>7.4</v>
      </c>
      <c r="F1215" s="2329">
        <v>6.9</v>
      </c>
      <c r="G1215" s="2330">
        <v>5</v>
      </c>
      <c r="H1215" s="446"/>
      <c r="I1215" s="2103"/>
      <c r="J1215" s="2103"/>
      <c r="K1215" s="2103"/>
      <c r="L1215" s="2103"/>
    </row>
    <row r="1216" spans="1:12" ht="15" x14ac:dyDescent="0.2">
      <c r="A1216" s="2331" t="s">
        <v>597</v>
      </c>
      <c r="B1216" s="2329">
        <v>9.6</v>
      </c>
      <c r="C1216" s="2329">
        <v>8.3000000000000007</v>
      </c>
      <c r="D1216" s="2329">
        <v>6.9</v>
      </c>
      <c r="E1216" s="2329">
        <v>6.6</v>
      </c>
      <c r="F1216" s="2329">
        <v>6.2</v>
      </c>
      <c r="G1216" s="2330">
        <v>4.7</v>
      </c>
      <c r="H1216" s="446"/>
      <c r="I1216" s="2103"/>
      <c r="J1216" s="2103"/>
      <c r="K1216" s="2103"/>
      <c r="L1216" s="2103"/>
    </row>
    <row r="1217" spans="1:12" ht="15" x14ac:dyDescent="0.2">
      <c r="A1217" s="2331" t="s">
        <v>598</v>
      </c>
      <c r="B1217" s="2329">
        <v>8.5</v>
      </c>
      <c r="C1217" s="2329">
        <v>7.2</v>
      </c>
      <c r="D1217" s="2329">
        <v>6.3</v>
      </c>
      <c r="E1217" s="2329">
        <v>6</v>
      </c>
      <c r="F1217" s="2329">
        <v>5.5</v>
      </c>
      <c r="G1217" s="2330">
        <v>4.2</v>
      </c>
      <c r="H1217" s="446"/>
      <c r="I1217" s="2103"/>
      <c r="J1217" s="2103"/>
      <c r="K1217" s="2103"/>
      <c r="L1217" s="2103"/>
    </row>
    <row r="1218" spans="1:12" ht="15" x14ac:dyDescent="0.2">
      <c r="A1218" s="2331" t="s">
        <v>599</v>
      </c>
      <c r="B1218" s="2329">
        <v>8</v>
      </c>
      <c r="C1218" s="2329">
        <v>6.3</v>
      </c>
      <c r="D1218" s="2329">
        <v>5.8</v>
      </c>
      <c r="E1218" s="2329">
        <v>5.3</v>
      </c>
      <c r="F1218" s="2329">
        <v>4.9000000000000004</v>
      </c>
      <c r="G1218" s="2330">
        <v>3.8</v>
      </c>
      <c r="H1218" s="446"/>
      <c r="I1218" s="2103"/>
      <c r="J1218" s="2103"/>
      <c r="K1218" s="2103"/>
      <c r="L1218" s="2103"/>
    </row>
    <row r="1219" spans="1:12" ht="15.75" thickBot="1" x14ac:dyDescent="0.25">
      <c r="A1219" s="2332" t="s">
        <v>600</v>
      </c>
      <c r="B1219" s="2333">
        <v>7.2</v>
      </c>
      <c r="C1219" s="2333">
        <v>5.6</v>
      </c>
      <c r="D1219" s="2333">
        <v>5</v>
      </c>
      <c r="E1219" s="2333">
        <v>4.7</v>
      </c>
      <c r="F1219" s="2333">
        <v>4.2</v>
      </c>
      <c r="G1219" s="2334">
        <v>3.2</v>
      </c>
      <c r="H1219" s="446"/>
      <c r="I1219" s="2103"/>
      <c r="J1219" s="2103"/>
      <c r="K1219" s="2103"/>
      <c r="L1219" s="2103"/>
    </row>
    <row r="1220" spans="1:12" x14ac:dyDescent="0.2">
      <c r="A1220" s="446"/>
      <c r="B1220" s="446"/>
      <c r="C1220" s="446"/>
      <c r="D1220" s="446"/>
      <c r="E1220" s="446"/>
      <c r="F1220" s="446"/>
      <c r="G1220" s="446"/>
      <c r="H1220" s="446"/>
      <c r="I1220" s="2103"/>
      <c r="J1220" s="2103"/>
      <c r="K1220" s="2103"/>
      <c r="L1220" s="2103"/>
    </row>
    <row r="1221" spans="1:12" ht="15.75" thickBot="1" x14ac:dyDescent="0.3">
      <c r="A1221" s="2335" t="s">
        <v>3631</v>
      </c>
      <c r="B1221" s="2103"/>
      <c r="C1221" s="2103"/>
      <c r="D1221" s="446"/>
      <c r="E1221" s="446"/>
      <c r="F1221" s="446"/>
      <c r="G1221" s="446"/>
      <c r="H1221" s="446"/>
      <c r="I1221" s="2103"/>
      <c r="J1221" s="2103"/>
      <c r="K1221" s="2103"/>
      <c r="L1221" s="2103"/>
    </row>
    <row r="1222" spans="1:12" ht="60" x14ac:dyDescent="0.25">
      <c r="A1222" s="2336" t="s">
        <v>5602</v>
      </c>
      <c r="B1222" s="2337" t="s">
        <v>1082</v>
      </c>
      <c r="C1222" s="2338"/>
      <c r="D1222" s="446"/>
      <c r="E1222" s="446"/>
      <c r="F1222" s="446"/>
      <c r="G1222" s="446"/>
      <c r="H1222" s="446"/>
      <c r="I1222" s="2103"/>
      <c r="J1222" s="2103"/>
      <c r="K1222" s="2103"/>
      <c r="L1222" s="2103"/>
    </row>
    <row r="1223" spans="1:12" ht="15" x14ac:dyDescent="0.25">
      <c r="A1223" s="2339"/>
      <c r="B1223" s="1057" t="s">
        <v>3632</v>
      </c>
      <c r="C1223" s="2340" t="s">
        <v>3633</v>
      </c>
      <c r="D1223" s="446"/>
      <c r="E1223" s="446"/>
      <c r="F1223" s="446"/>
      <c r="G1223" s="446"/>
      <c r="H1223" s="446"/>
      <c r="I1223" s="2103"/>
      <c r="J1223" s="2103"/>
      <c r="K1223" s="2103"/>
      <c r="L1223" s="2103"/>
    </row>
    <row r="1224" spans="1:12" ht="15" x14ac:dyDescent="0.25">
      <c r="A1224" s="2341" t="s">
        <v>3634</v>
      </c>
      <c r="B1224" s="2342">
        <v>110</v>
      </c>
      <c r="C1224" s="2340">
        <v>90</v>
      </c>
      <c r="D1224" s="446"/>
      <c r="E1224" s="446"/>
      <c r="F1224" s="446"/>
      <c r="G1224" s="446"/>
      <c r="H1224" s="446"/>
      <c r="I1224" s="2103"/>
      <c r="J1224" s="2103"/>
      <c r="K1224" s="2103"/>
      <c r="L1224" s="2103"/>
    </row>
    <row r="1225" spans="1:12" ht="15" x14ac:dyDescent="0.25">
      <c r="A1225" s="2341" t="s">
        <v>3635</v>
      </c>
      <c r="B1225" s="2342">
        <v>104</v>
      </c>
      <c r="C1225" s="2340">
        <v>85</v>
      </c>
      <c r="D1225" s="446"/>
      <c r="E1225" s="446"/>
      <c r="F1225" s="446"/>
      <c r="G1225" s="446"/>
      <c r="H1225" s="446"/>
      <c r="I1225" s="2103"/>
      <c r="J1225" s="2103"/>
      <c r="K1225" s="2103"/>
      <c r="L1225" s="2103"/>
    </row>
    <row r="1226" spans="1:12" ht="15" x14ac:dyDescent="0.25">
      <c r="A1226" s="2341" t="s">
        <v>3636</v>
      </c>
      <c r="B1226" s="2342">
        <v>99</v>
      </c>
      <c r="C1226" s="2340">
        <v>82</v>
      </c>
      <c r="D1226" s="446"/>
      <c r="E1226" s="446"/>
      <c r="F1226" s="446"/>
      <c r="G1226" s="446"/>
      <c r="H1226" s="446"/>
      <c r="I1226" s="2103"/>
      <c r="J1226" s="2103"/>
      <c r="K1226" s="2103"/>
      <c r="L1226" s="2103"/>
    </row>
    <row r="1227" spans="1:12" ht="15" x14ac:dyDescent="0.25">
      <c r="A1227" s="2341" t="s">
        <v>3637</v>
      </c>
      <c r="B1227" s="2342">
        <v>93</v>
      </c>
      <c r="C1227" s="2340">
        <v>77</v>
      </c>
      <c r="D1227" s="446"/>
      <c r="E1227" s="446"/>
      <c r="F1227" s="446"/>
      <c r="G1227" s="446"/>
      <c r="H1227" s="446"/>
      <c r="I1227" s="2103"/>
      <c r="J1227" s="2103"/>
      <c r="K1227" s="2103"/>
      <c r="L1227" s="2103"/>
    </row>
    <row r="1228" spans="1:12" ht="15" x14ac:dyDescent="0.25">
      <c r="A1228" s="2341" t="s">
        <v>3638</v>
      </c>
      <c r="B1228" s="2342">
        <v>89</v>
      </c>
      <c r="C1228" s="2340">
        <v>74</v>
      </c>
      <c r="D1228" s="446"/>
      <c r="E1228" s="446"/>
      <c r="F1228" s="446"/>
      <c r="G1228" s="446"/>
      <c r="H1228" s="446"/>
      <c r="I1228" s="2103"/>
      <c r="J1228" s="2103"/>
      <c r="K1228" s="2103"/>
      <c r="L1228" s="2103"/>
    </row>
    <row r="1229" spans="1:12" ht="15" x14ac:dyDescent="0.25">
      <c r="A1229" s="2341" t="s">
        <v>3639</v>
      </c>
      <c r="B1229" s="2342">
        <v>85</v>
      </c>
      <c r="C1229" s="2340">
        <v>69</v>
      </c>
      <c r="D1229" s="446"/>
      <c r="E1229" s="446"/>
      <c r="F1229" s="446"/>
      <c r="G1229" s="446"/>
      <c r="H1229" s="446"/>
      <c r="I1229" s="2103"/>
      <c r="J1229" s="2103"/>
      <c r="K1229" s="2103"/>
      <c r="L1229" s="2103"/>
    </row>
    <row r="1230" spans="1:12" ht="15" x14ac:dyDescent="0.25">
      <c r="A1230" s="2341" t="s">
        <v>3015</v>
      </c>
      <c r="B1230" s="2342">
        <v>78</v>
      </c>
      <c r="C1230" s="2340">
        <v>62</v>
      </c>
      <c r="D1230" s="446"/>
      <c r="E1230" s="446"/>
      <c r="F1230" s="446"/>
      <c r="G1230" s="446"/>
      <c r="H1230" s="446"/>
      <c r="I1230" s="2103"/>
      <c r="J1230" s="2103"/>
      <c r="K1230" s="2103"/>
      <c r="L1230" s="2103"/>
    </row>
    <row r="1231" spans="1:12" ht="15" x14ac:dyDescent="0.25">
      <c r="A1231" s="2341" t="s">
        <v>3640</v>
      </c>
      <c r="B1231" s="2342">
        <v>73</v>
      </c>
      <c r="C1231" s="2340">
        <v>58</v>
      </c>
      <c r="D1231" s="446"/>
      <c r="E1231" s="446"/>
      <c r="F1231" s="446"/>
      <c r="G1231" s="446"/>
      <c r="H1231" s="446"/>
      <c r="I1231" s="2103"/>
      <c r="J1231" s="2103"/>
      <c r="K1231" s="2103"/>
      <c r="L1231" s="2103"/>
    </row>
    <row r="1232" spans="1:12" ht="15" x14ac:dyDescent="0.25">
      <c r="A1232" s="2343" t="s">
        <v>1572</v>
      </c>
      <c r="B1232" s="2342">
        <v>67</v>
      </c>
      <c r="C1232" s="2340">
        <v>53</v>
      </c>
      <c r="D1232" s="446"/>
      <c r="E1232" s="446"/>
      <c r="F1232" s="446"/>
      <c r="G1232" s="446"/>
      <c r="H1232" s="446"/>
      <c r="I1232" s="2103"/>
      <c r="J1232" s="2103"/>
      <c r="K1232" s="2103"/>
      <c r="L1232" s="2103"/>
    </row>
    <row r="1233" spans="1:12" ht="15" x14ac:dyDescent="0.25">
      <c r="A1233" s="2343" t="s">
        <v>1573</v>
      </c>
      <c r="B1233" s="2342">
        <v>58</v>
      </c>
      <c r="C1233" s="2340">
        <v>46</v>
      </c>
      <c r="D1233" s="446"/>
      <c r="E1233" s="446"/>
      <c r="F1233" s="446"/>
      <c r="G1233" s="446"/>
      <c r="H1233" s="446"/>
      <c r="I1233" s="2103"/>
      <c r="J1233" s="2103"/>
      <c r="K1233" s="2103"/>
      <c r="L1233" s="2103"/>
    </row>
    <row r="1234" spans="1:12" ht="15" x14ac:dyDescent="0.25">
      <c r="A1234" s="2343" t="s">
        <v>1574</v>
      </c>
      <c r="B1234" s="2342">
        <v>51</v>
      </c>
      <c r="C1234" s="2340">
        <v>41</v>
      </c>
      <c r="D1234" s="446"/>
      <c r="E1234" s="446"/>
      <c r="F1234" s="446"/>
      <c r="G1234" s="446"/>
      <c r="H1234" s="446"/>
      <c r="I1234" s="2103"/>
      <c r="J1234" s="2103"/>
      <c r="K1234" s="2103"/>
      <c r="L1234" s="2103"/>
    </row>
    <row r="1235" spans="1:12" ht="15" x14ac:dyDescent="0.25">
      <c r="A1235" s="2341" t="s">
        <v>3641</v>
      </c>
      <c r="B1235" s="2342">
        <v>47</v>
      </c>
      <c r="C1235" s="2340">
        <v>37</v>
      </c>
      <c r="D1235" s="446"/>
      <c r="E1235" s="446"/>
      <c r="F1235" s="446"/>
      <c r="G1235" s="446"/>
      <c r="H1235" s="446"/>
      <c r="I1235" s="2103"/>
      <c r="J1235" s="2103"/>
      <c r="K1235" s="2103"/>
      <c r="L1235" s="2103"/>
    </row>
    <row r="1236" spans="1:12" ht="15" x14ac:dyDescent="0.25">
      <c r="A1236" s="2341" t="s">
        <v>598</v>
      </c>
      <c r="B1236" s="2342">
        <v>43</v>
      </c>
      <c r="C1236" s="2340">
        <v>34</v>
      </c>
      <c r="D1236" s="446"/>
      <c r="E1236" s="446"/>
      <c r="F1236" s="446"/>
      <c r="G1236" s="446"/>
      <c r="H1236" s="446"/>
      <c r="I1236" s="2103"/>
      <c r="J1236" s="2103"/>
      <c r="K1236" s="2103"/>
      <c r="L1236" s="2103"/>
    </row>
    <row r="1237" spans="1:12" ht="15" x14ac:dyDescent="0.25">
      <c r="A1237" s="2341" t="s">
        <v>3642</v>
      </c>
      <c r="B1237" s="2342">
        <v>39</v>
      </c>
      <c r="C1237" s="2340">
        <v>31</v>
      </c>
      <c r="D1237" s="446"/>
      <c r="E1237" s="446"/>
      <c r="F1237" s="446"/>
      <c r="G1237" s="446"/>
      <c r="H1237" s="446"/>
      <c r="I1237" s="2103"/>
      <c r="J1237" s="2103"/>
      <c r="K1237" s="2103"/>
      <c r="L1237" s="2103"/>
    </row>
    <row r="1238" spans="1:12" ht="15" x14ac:dyDescent="0.25">
      <c r="A1238" s="2341" t="s">
        <v>3643</v>
      </c>
      <c r="B1238" s="2342">
        <v>36</v>
      </c>
      <c r="C1238" s="2340">
        <v>28</v>
      </c>
      <c r="D1238" s="446"/>
      <c r="E1238" s="446"/>
      <c r="F1238" s="446"/>
      <c r="G1238" s="446"/>
      <c r="H1238" s="446"/>
      <c r="I1238" s="2103"/>
      <c r="J1238" s="2103"/>
      <c r="K1238" s="2103"/>
      <c r="L1238" s="2103"/>
    </row>
    <row r="1239" spans="1:12" ht="15" x14ac:dyDescent="0.25">
      <c r="A1239" s="2341" t="s">
        <v>3644</v>
      </c>
      <c r="B1239" s="2342">
        <v>33</v>
      </c>
      <c r="C1239" s="2340">
        <v>26</v>
      </c>
      <c r="D1239" s="446"/>
      <c r="E1239" s="446"/>
      <c r="F1239" s="446"/>
      <c r="G1239" s="446"/>
      <c r="H1239" s="446"/>
      <c r="I1239" s="2103"/>
      <c r="J1239" s="2103"/>
      <c r="K1239" s="2103"/>
      <c r="L1239" s="2103"/>
    </row>
    <row r="1240" spans="1:12" ht="15" x14ac:dyDescent="0.25">
      <c r="A1240" s="2341" t="s">
        <v>3645</v>
      </c>
      <c r="B1240" s="2342">
        <v>31</v>
      </c>
      <c r="C1240" s="2340">
        <v>25</v>
      </c>
      <c r="D1240" s="446"/>
      <c r="E1240" s="446"/>
      <c r="F1240" s="446"/>
      <c r="G1240" s="446"/>
      <c r="H1240" s="446"/>
      <c r="I1240" s="2103"/>
      <c r="J1240" s="2103"/>
      <c r="K1240" s="2103"/>
      <c r="L1240" s="2103"/>
    </row>
    <row r="1241" spans="1:12" ht="15" x14ac:dyDescent="0.25">
      <c r="A1241" s="2341" t="s">
        <v>3646</v>
      </c>
      <c r="B1241" s="2342">
        <v>30</v>
      </c>
      <c r="C1241" s="2340">
        <v>23</v>
      </c>
      <c r="D1241" s="446"/>
      <c r="E1241" s="446"/>
      <c r="F1241" s="446"/>
      <c r="G1241" s="446"/>
      <c r="H1241" s="446"/>
      <c r="I1241" s="2103"/>
      <c r="J1241" s="2103"/>
      <c r="K1241" s="2103"/>
      <c r="L1241" s="2103"/>
    </row>
    <row r="1242" spans="1:12" ht="15.75" thickBot="1" x14ac:dyDescent="0.3">
      <c r="A1242" s="2344" t="s">
        <v>3647</v>
      </c>
      <c r="B1242" s="2345">
        <v>28</v>
      </c>
      <c r="C1242" s="2346">
        <v>22</v>
      </c>
      <c r="D1242" s="446"/>
      <c r="E1242" s="446"/>
      <c r="F1242" s="446"/>
      <c r="G1242" s="446"/>
      <c r="H1242" s="446"/>
      <c r="I1242" s="2103"/>
      <c r="J1242" s="2103"/>
      <c r="K1242" s="2103"/>
      <c r="L1242" s="2103"/>
    </row>
    <row r="1243" spans="1:12" ht="13.5" thickBot="1" x14ac:dyDescent="0.25">
      <c r="A1243" s="2113"/>
      <c r="B1243" s="2113"/>
      <c r="C1243" s="2113"/>
      <c r="D1243" s="446"/>
      <c r="E1243" s="446"/>
      <c r="F1243" s="446"/>
      <c r="G1243" s="446"/>
      <c r="H1243" s="446"/>
      <c r="I1243" s="2103"/>
      <c r="J1243" s="2103"/>
      <c r="K1243" s="2103"/>
      <c r="L1243" s="2103"/>
    </row>
    <row r="1244" spans="1:12" x14ac:dyDescent="0.2">
      <c r="A1244" s="2347" t="s">
        <v>3648</v>
      </c>
      <c r="B1244" s="2348"/>
      <c r="C1244" s="2113"/>
      <c r="D1244" s="446"/>
      <c r="E1244" s="446"/>
      <c r="F1244" s="446"/>
      <c r="G1244" s="446"/>
      <c r="H1244" s="446"/>
      <c r="I1244" s="2103"/>
      <c r="J1244" s="2103"/>
      <c r="K1244" s="2103"/>
      <c r="L1244" s="2103"/>
    </row>
    <row r="1245" spans="1:12" x14ac:dyDescent="0.2">
      <c r="A1245" s="2349" t="s">
        <v>3649</v>
      </c>
      <c r="B1245" s="1190" t="s">
        <v>4817</v>
      </c>
      <c r="C1245" s="2113"/>
      <c r="D1245" s="446"/>
      <c r="E1245" s="446"/>
      <c r="F1245" s="446"/>
      <c r="G1245" s="446"/>
      <c r="H1245" s="446"/>
      <c r="I1245" s="2103"/>
      <c r="J1245" s="2103"/>
      <c r="K1245" s="2103"/>
      <c r="L1245" s="2103"/>
    </row>
    <row r="1246" spans="1:12" x14ac:dyDescent="0.2">
      <c r="A1246" s="2350">
        <v>1</v>
      </c>
      <c r="B1246" s="2351">
        <v>1</v>
      </c>
      <c r="C1246" s="2113"/>
      <c r="D1246" s="446"/>
      <c r="E1246" s="446"/>
      <c r="F1246" s="446"/>
      <c r="G1246" s="446"/>
      <c r="H1246" s="446"/>
      <c r="I1246" s="2103"/>
      <c r="J1246" s="2103"/>
      <c r="K1246" s="2103"/>
      <c r="L1246" s="2103"/>
    </row>
    <row r="1247" spans="1:12" x14ac:dyDescent="0.2">
      <c r="A1247" s="2352">
        <v>0.9</v>
      </c>
      <c r="B1247" s="2353">
        <v>0.95</v>
      </c>
      <c r="C1247" s="2113"/>
      <c r="D1247" s="446"/>
      <c r="E1247" s="446"/>
      <c r="F1247" s="446"/>
      <c r="G1247" s="446"/>
      <c r="H1247" s="446"/>
      <c r="I1247" s="2103"/>
      <c r="J1247" s="2103"/>
      <c r="K1247" s="2103"/>
      <c r="L1247" s="2103"/>
    </row>
    <row r="1248" spans="1:12" x14ac:dyDescent="0.2">
      <c r="A1248" s="2354">
        <v>0.85</v>
      </c>
      <c r="B1248" s="2355">
        <v>0.9</v>
      </c>
      <c r="C1248" s="2113"/>
      <c r="D1248" s="446"/>
      <c r="E1248" s="446"/>
      <c r="F1248" s="446"/>
      <c r="G1248" s="446"/>
      <c r="H1248" s="446"/>
      <c r="I1248" s="2103"/>
      <c r="J1248" s="2103"/>
      <c r="K1248" s="2103"/>
      <c r="L1248" s="2103"/>
    </row>
    <row r="1249" spans="1:12" ht="13.5" thickBot="1" x14ac:dyDescent="0.25">
      <c r="A1249" s="2356">
        <v>0.8</v>
      </c>
      <c r="B1249" s="2357">
        <v>0.85</v>
      </c>
      <c r="C1249" s="2113"/>
      <c r="D1249" s="446"/>
      <c r="E1249" s="446"/>
      <c r="F1249" s="446"/>
      <c r="G1249" s="446"/>
      <c r="H1249" s="446"/>
      <c r="I1249" s="2103"/>
      <c r="J1249" s="2103"/>
      <c r="K1249" s="2103"/>
      <c r="L1249" s="2103"/>
    </row>
    <row r="1250" spans="1:12" x14ac:dyDescent="0.2">
      <c r="A1250" s="2103"/>
      <c r="B1250" s="2103"/>
      <c r="C1250" s="2103"/>
      <c r="D1250" s="2103"/>
      <c r="E1250" s="2103"/>
      <c r="F1250" s="2103"/>
      <c r="G1250" s="2103"/>
      <c r="H1250" s="2103"/>
      <c r="I1250" s="2103"/>
      <c r="J1250" s="2103"/>
      <c r="K1250" s="2103"/>
      <c r="L1250" s="2103"/>
    </row>
    <row r="1251" spans="1:12" ht="15" thickBot="1" x14ac:dyDescent="0.25">
      <c r="A1251" s="4754" t="s">
        <v>5350</v>
      </c>
      <c r="B1251" s="4754"/>
      <c r="C1251" s="4754"/>
      <c r="D1251" s="4754"/>
      <c r="E1251" s="4754"/>
      <c r="F1251" s="11" t="s">
        <v>5351</v>
      </c>
      <c r="G1251" s="11"/>
      <c r="H1251" s="2103"/>
      <c r="I1251" s="2103"/>
      <c r="J1251" s="2103"/>
      <c r="K1251" s="2103"/>
      <c r="L1251" s="2103"/>
    </row>
    <row r="1252" spans="1:12" ht="12.75" customHeight="1" x14ac:dyDescent="0.2">
      <c r="A1252" s="4749" t="s">
        <v>5602</v>
      </c>
      <c r="B1252" s="4751" t="s">
        <v>1355</v>
      </c>
      <c r="C1252" s="4751"/>
      <c r="D1252" s="4751"/>
      <c r="E1252" s="4752"/>
      <c r="F1252" s="11"/>
      <c r="G1252" s="11"/>
      <c r="H1252" s="2103"/>
      <c r="I1252" s="2103"/>
      <c r="J1252" s="2103"/>
      <c r="K1252" s="2103"/>
      <c r="L1252" s="2103"/>
    </row>
    <row r="1253" spans="1:12" ht="12.75" customHeight="1" x14ac:dyDescent="0.2">
      <c r="A1253" s="4750"/>
      <c r="B1253" s="175" t="s">
        <v>5352</v>
      </c>
      <c r="C1253" s="175" t="s">
        <v>5353</v>
      </c>
      <c r="D1253" s="175" t="s">
        <v>5354</v>
      </c>
      <c r="E1253" s="1185" t="s">
        <v>5355</v>
      </c>
      <c r="F1253" s="11"/>
      <c r="G1253" s="11"/>
      <c r="H1253" s="2103"/>
      <c r="I1253" s="2103"/>
      <c r="J1253" s="2103"/>
      <c r="K1253" s="2103"/>
      <c r="L1253" s="2103"/>
    </row>
    <row r="1254" spans="1:12" x14ac:dyDescent="0.2">
      <c r="A1254" s="2358" t="s">
        <v>3634</v>
      </c>
      <c r="B1254" s="175">
        <v>5.9</v>
      </c>
      <c r="C1254" s="175">
        <v>5.68</v>
      </c>
      <c r="D1254" s="175">
        <v>5.42</v>
      </c>
      <c r="E1254" s="1185">
        <v>5.03</v>
      </c>
      <c r="F1254" s="11"/>
      <c r="G1254" s="11"/>
      <c r="H1254" s="2103"/>
      <c r="I1254" s="2103"/>
      <c r="J1254" s="2103"/>
      <c r="K1254" s="2103"/>
      <c r="L1254" s="2103"/>
    </row>
    <row r="1255" spans="1:12" x14ac:dyDescent="0.2">
      <c r="A1255" s="2358" t="s">
        <v>3635</v>
      </c>
      <c r="B1255" s="175">
        <v>6.05</v>
      </c>
      <c r="C1255" s="175">
        <v>5.82</v>
      </c>
      <c r="D1255" s="175">
        <v>5.69</v>
      </c>
      <c r="E1255" s="1185">
        <v>5.28</v>
      </c>
      <c r="F1255" s="11"/>
      <c r="G1255" s="11"/>
      <c r="H1255" s="2103"/>
      <c r="I1255" s="2103"/>
      <c r="J1255" s="2103"/>
      <c r="K1255" s="2103"/>
      <c r="L1255" s="2103"/>
    </row>
    <row r="1256" spans="1:12" x14ac:dyDescent="0.2">
      <c r="A1256" s="2358" t="s">
        <v>5356</v>
      </c>
      <c r="B1256" s="175">
        <v>6.88</v>
      </c>
      <c r="C1256" s="175">
        <v>6.51</v>
      </c>
      <c r="D1256" s="175">
        <v>5.99</v>
      </c>
      <c r="E1256" s="1185">
        <v>5.57</v>
      </c>
      <c r="F1256" s="11"/>
      <c r="G1256" s="11"/>
      <c r="H1256" s="2103"/>
      <c r="I1256" s="2103"/>
      <c r="J1256" s="2103"/>
      <c r="K1256" s="2103"/>
      <c r="L1256" s="2103"/>
    </row>
    <row r="1257" spans="1:12" x14ac:dyDescent="0.2">
      <c r="A1257" s="2358" t="s">
        <v>5357</v>
      </c>
      <c r="B1257" s="175">
        <v>7.29</v>
      </c>
      <c r="C1257" s="175">
        <v>6.77</v>
      </c>
      <c r="D1257" s="175">
        <v>6.3</v>
      </c>
      <c r="E1257" s="1185">
        <v>5.82</v>
      </c>
      <c r="F1257" s="11"/>
      <c r="G1257" s="11"/>
      <c r="H1257" s="2103"/>
      <c r="I1257" s="2103"/>
      <c r="J1257" s="2103"/>
      <c r="K1257" s="2103"/>
      <c r="L1257" s="2103"/>
    </row>
    <row r="1258" spans="1:12" x14ac:dyDescent="0.2">
      <c r="A1258" s="2358" t="s">
        <v>5358</v>
      </c>
      <c r="B1258" s="175">
        <v>7.79</v>
      </c>
      <c r="C1258" s="175">
        <v>7.3</v>
      </c>
      <c r="D1258" s="175">
        <v>6.72</v>
      </c>
      <c r="E1258" s="1185">
        <v>6.19</v>
      </c>
      <c r="F1258" s="11"/>
      <c r="G1258" s="11"/>
      <c r="H1258" s="2103"/>
      <c r="I1258" s="2103"/>
      <c r="J1258" s="2103"/>
      <c r="K1258" s="2103"/>
      <c r="L1258" s="2103"/>
    </row>
    <row r="1259" spans="1:12" x14ac:dyDescent="0.2">
      <c r="A1259" s="2358" t="s">
        <v>5359</v>
      </c>
      <c r="B1259" s="175">
        <v>8.31</v>
      </c>
      <c r="C1259" s="175">
        <v>7.77</v>
      </c>
      <c r="D1259" s="175">
        <v>7.54</v>
      </c>
      <c r="E1259" s="1185">
        <v>6.97</v>
      </c>
      <c r="F1259" s="11"/>
      <c r="G1259" s="11"/>
      <c r="H1259" s="2103"/>
      <c r="I1259" s="2103"/>
      <c r="J1259" s="2103"/>
      <c r="K1259" s="2103"/>
      <c r="L1259" s="2103"/>
    </row>
    <row r="1260" spans="1:12" x14ac:dyDescent="0.2">
      <c r="A1260" s="2358" t="s">
        <v>5360</v>
      </c>
      <c r="B1260" s="175">
        <v>8.89</v>
      </c>
      <c r="C1260" s="175">
        <v>8.2899999999999991</v>
      </c>
      <c r="D1260" s="175">
        <v>7.66</v>
      </c>
      <c r="E1260" s="1185">
        <v>7.06</v>
      </c>
      <c r="F1260" s="11"/>
      <c r="G1260" s="11"/>
      <c r="H1260" s="2103"/>
      <c r="I1260" s="2103"/>
      <c r="J1260" s="2103"/>
      <c r="K1260" s="2103"/>
      <c r="L1260" s="2103"/>
    </row>
    <row r="1261" spans="1:12" x14ac:dyDescent="0.2">
      <c r="A1261" s="2358" t="s">
        <v>5361</v>
      </c>
      <c r="B1261" s="175">
        <v>9.57</v>
      </c>
      <c r="C1261" s="175">
        <v>8.93</v>
      </c>
      <c r="D1261" s="175">
        <v>8.33</v>
      </c>
      <c r="E1261" s="1185">
        <v>7.71</v>
      </c>
      <c r="F1261" s="11"/>
      <c r="G1261" s="11"/>
      <c r="H1261" s="2103"/>
      <c r="I1261" s="2103"/>
      <c r="J1261" s="2103"/>
      <c r="K1261" s="2103"/>
      <c r="L1261" s="2103"/>
    </row>
    <row r="1262" spans="1:12" x14ac:dyDescent="0.2">
      <c r="A1262" s="2358" t="s">
        <v>5362</v>
      </c>
      <c r="B1262" s="175">
        <v>10.9</v>
      </c>
      <c r="C1262" s="175">
        <v>10.1</v>
      </c>
      <c r="D1262" s="175">
        <v>9.42</v>
      </c>
      <c r="E1262" s="1185">
        <v>8.64</v>
      </c>
      <c r="F1262" s="11"/>
      <c r="G1262" s="11"/>
      <c r="H1262" s="2103"/>
      <c r="I1262" s="2103"/>
      <c r="J1262" s="2103"/>
      <c r="K1262" s="2103"/>
      <c r="L1262" s="2103"/>
    </row>
    <row r="1263" spans="1:12" ht="13.5" thickBot="1" x14ac:dyDescent="0.25">
      <c r="A1263" s="2359" t="s">
        <v>5363</v>
      </c>
      <c r="B1263" s="1186">
        <v>12.2</v>
      </c>
      <c r="C1263" s="1186">
        <v>11.4</v>
      </c>
      <c r="D1263" s="1186">
        <v>10.6</v>
      </c>
      <c r="E1263" s="2360">
        <v>9.8800000000000008</v>
      </c>
      <c r="F1263" s="11"/>
      <c r="G1263" s="11"/>
      <c r="H1263" s="2103"/>
      <c r="I1263" s="2103"/>
      <c r="J1263" s="2103"/>
      <c r="K1263" s="2103"/>
      <c r="L1263" s="2103"/>
    </row>
    <row r="1264" spans="1:12" x14ac:dyDescent="0.2">
      <c r="A1264" s="2103"/>
      <c r="B1264" s="2103"/>
      <c r="C1264" s="2103"/>
      <c r="D1264" s="2103"/>
      <c r="E1264" s="2103"/>
      <c r="F1264" s="2103"/>
      <c r="G1264" s="2103"/>
      <c r="H1264" s="2103"/>
      <c r="I1264" s="2103"/>
      <c r="J1264" s="2103"/>
      <c r="K1264" s="2103"/>
      <c r="L1264" s="2103"/>
    </row>
    <row r="1265" spans="1:12" ht="15" thickBot="1" x14ac:dyDescent="0.25">
      <c r="A1265" s="4748" t="s">
        <v>5364</v>
      </c>
      <c r="B1265" s="4748"/>
      <c r="C1265" s="4748"/>
      <c r="D1265" s="4748"/>
      <c r="E1265" s="4748"/>
      <c r="F1265" s="2103"/>
      <c r="G1265" s="2103"/>
      <c r="H1265" s="2103"/>
      <c r="I1265" s="2103"/>
      <c r="J1265" s="2103"/>
      <c r="K1265" s="2103"/>
      <c r="L1265" s="2103"/>
    </row>
    <row r="1266" spans="1:12" ht="12.75" customHeight="1" x14ac:dyDescent="0.2">
      <c r="A1266" s="4749" t="s">
        <v>5365</v>
      </c>
      <c r="B1266" s="4751" t="s">
        <v>608</v>
      </c>
      <c r="C1266" s="4751"/>
      <c r="D1266" s="4751"/>
      <c r="E1266" s="4752"/>
      <c r="F1266" s="2103"/>
      <c r="G1266" s="2103"/>
      <c r="H1266" s="2103"/>
      <c r="I1266" s="2103"/>
      <c r="J1266" s="2103"/>
      <c r="K1266" s="2103"/>
      <c r="L1266" s="2103"/>
    </row>
    <row r="1267" spans="1:12" ht="12.75" customHeight="1" x14ac:dyDescent="0.2">
      <c r="A1267" s="4750"/>
      <c r="B1267" s="175" t="s">
        <v>4396</v>
      </c>
      <c r="C1267" s="175" t="s">
        <v>5366</v>
      </c>
      <c r="D1267" s="175" t="s">
        <v>5367</v>
      </c>
      <c r="E1267" s="1185" t="s">
        <v>5084</v>
      </c>
      <c r="F1267" s="2103"/>
      <c r="G1267" s="2103"/>
      <c r="H1267" s="2103"/>
      <c r="I1267" s="2103"/>
      <c r="J1267" s="2103"/>
      <c r="K1267" s="2103"/>
      <c r="L1267" s="2103"/>
    </row>
    <row r="1268" spans="1:12" x14ac:dyDescent="0.2">
      <c r="A1268" s="2358" t="s">
        <v>3074</v>
      </c>
      <c r="B1268" s="175">
        <v>6.7</v>
      </c>
      <c r="C1268" s="175">
        <v>8.1</v>
      </c>
      <c r="D1268" s="175">
        <v>10</v>
      </c>
      <c r="E1268" s="1185"/>
      <c r="F1268" s="2103"/>
      <c r="G1268" s="2103"/>
      <c r="H1268" s="2103"/>
      <c r="I1268" s="2103"/>
      <c r="J1268" s="2103"/>
      <c r="K1268" s="2103"/>
      <c r="L1268" s="2103"/>
    </row>
    <row r="1269" spans="1:12" x14ac:dyDescent="0.2">
      <c r="A1269" s="2358" t="s">
        <v>3075</v>
      </c>
      <c r="B1269" s="175">
        <v>7.9</v>
      </c>
      <c r="C1269" s="175">
        <v>9.1</v>
      </c>
      <c r="D1269" s="175">
        <v>11</v>
      </c>
      <c r="E1269" s="1185">
        <v>13.7</v>
      </c>
      <c r="F1269" s="2103"/>
      <c r="G1269" s="2103"/>
      <c r="H1269" s="2103"/>
      <c r="I1269" s="2103"/>
      <c r="J1269" s="2103"/>
      <c r="K1269" s="2103"/>
      <c r="L1269" s="2103"/>
    </row>
    <row r="1270" spans="1:12" x14ac:dyDescent="0.2">
      <c r="A1270" s="2358" t="s">
        <v>3076</v>
      </c>
      <c r="B1270" s="175"/>
      <c r="C1270" s="175">
        <v>10.7</v>
      </c>
      <c r="D1270" s="175">
        <v>12.4</v>
      </c>
      <c r="E1270" s="1185">
        <v>14.7</v>
      </c>
      <c r="F1270" s="2103"/>
      <c r="G1270" s="2103"/>
      <c r="H1270" s="2103"/>
      <c r="I1270" s="2103"/>
      <c r="J1270" s="2103"/>
      <c r="K1270" s="2103"/>
      <c r="L1270" s="2103"/>
    </row>
    <row r="1271" spans="1:12" x14ac:dyDescent="0.2">
      <c r="A1271" s="2358" t="s">
        <v>3336</v>
      </c>
      <c r="B1271" s="175"/>
      <c r="C1271" s="175">
        <v>11.7</v>
      </c>
      <c r="D1271" s="175">
        <v>13.3</v>
      </c>
      <c r="E1271" s="1185">
        <v>15.3</v>
      </c>
      <c r="F1271" s="2103"/>
      <c r="G1271" s="2103"/>
      <c r="H1271" s="2103"/>
      <c r="I1271" s="2103"/>
      <c r="J1271" s="2103"/>
      <c r="K1271" s="2103"/>
      <c r="L1271" s="2103"/>
    </row>
    <row r="1272" spans="1:12" x14ac:dyDescent="0.2">
      <c r="A1272" s="2358" t="s">
        <v>3337</v>
      </c>
      <c r="B1272" s="175"/>
      <c r="C1272" s="175">
        <v>12.4</v>
      </c>
      <c r="D1272" s="175">
        <v>13.9</v>
      </c>
      <c r="E1272" s="1185">
        <v>15.7</v>
      </c>
      <c r="F1272" s="2103"/>
      <c r="G1272" s="2103"/>
      <c r="H1272" s="2103"/>
      <c r="I1272" s="2103"/>
      <c r="J1272" s="2103"/>
      <c r="K1272" s="2103"/>
      <c r="L1272" s="2103"/>
    </row>
    <row r="1273" spans="1:12" x14ac:dyDescent="0.2">
      <c r="A1273" s="2216" t="s">
        <v>3871</v>
      </c>
      <c r="B1273" s="2361" t="s">
        <v>3872</v>
      </c>
      <c r="C1273" s="2216"/>
      <c r="D1273" s="2216"/>
      <c r="E1273" s="2216"/>
      <c r="F1273" s="2103"/>
      <c r="G1273" s="2103"/>
      <c r="H1273" s="2103"/>
      <c r="I1273" s="2103"/>
      <c r="J1273" s="2103"/>
      <c r="K1273" s="2103"/>
      <c r="L1273" s="2103"/>
    </row>
    <row r="1274" spans="1:12" x14ac:dyDescent="0.2">
      <c r="A1274" s="2103"/>
      <c r="B1274" s="2103"/>
      <c r="C1274" s="2103"/>
      <c r="D1274" s="2103"/>
      <c r="E1274" s="2103"/>
      <c r="F1274" s="2103"/>
      <c r="G1274" s="2103"/>
      <c r="H1274" s="2103"/>
      <c r="I1274" s="2103"/>
      <c r="J1274" s="2103"/>
      <c r="K1274" s="2103"/>
      <c r="L1274" s="2103"/>
    </row>
    <row r="1275" spans="1:12" x14ac:dyDescent="0.2">
      <c r="A1275" s="2362" t="s">
        <v>3873</v>
      </c>
      <c r="B1275" s="2103"/>
      <c r="C1275" s="2103"/>
      <c r="D1275" s="2103"/>
      <c r="E1275" s="2103"/>
      <c r="F1275" s="2103"/>
      <c r="G1275" s="2103"/>
      <c r="H1275" s="2103"/>
      <c r="I1275" s="2103"/>
      <c r="J1275" s="2103"/>
      <c r="K1275" s="2103"/>
      <c r="L1275" s="2103"/>
    </row>
    <row r="1276" spans="1:12" x14ac:dyDescent="0.2">
      <c r="A1276" s="2216"/>
      <c r="B1276" s="2363" t="s">
        <v>3874</v>
      </c>
      <c r="C1276" s="2216"/>
      <c r="D1276" s="2103"/>
      <c r="E1276" s="2103"/>
      <c r="F1276" s="2103"/>
      <c r="G1276" s="2103"/>
      <c r="H1276" s="2103"/>
      <c r="I1276" s="2103"/>
      <c r="J1276" s="2103"/>
      <c r="K1276" s="2103"/>
      <c r="L1276" s="2103"/>
    </row>
    <row r="1277" spans="1:12" x14ac:dyDescent="0.2">
      <c r="A1277" s="2216" t="s">
        <v>3875</v>
      </c>
      <c r="B1277" s="2216" t="s">
        <v>3876</v>
      </c>
      <c r="C1277" s="2216" t="s">
        <v>3877</v>
      </c>
      <c r="D1277" s="2103"/>
      <c r="E1277" s="2103"/>
      <c r="F1277" s="2103"/>
      <c r="G1277" s="2103"/>
      <c r="H1277" s="2103"/>
      <c r="I1277" s="2103"/>
      <c r="J1277" s="2103"/>
      <c r="K1277" s="2103"/>
      <c r="L1277" s="2103"/>
    </row>
    <row r="1278" spans="1:12" x14ac:dyDescent="0.2">
      <c r="A1278" s="2216" t="s">
        <v>3878</v>
      </c>
      <c r="B1278" s="2216">
        <v>51.8</v>
      </c>
      <c r="C1278" s="2216">
        <v>57.1</v>
      </c>
      <c r="D1278" s="2103"/>
      <c r="E1278" s="2103"/>
      <c r="F1278" s="2103"/>
      <c r="G1278" s="2103"/>
      <c r="H1278" s="2103"/>
      <c r="I1278" s="2103"/>
      <c r="J1278" s="2103"/>
      <c r="K1278" s="2103"/>
      <c r="L1278" s="2103"/>
    </row>
    <row r="1279" spans="1:12" x14ac:dyDescent="0.2">
      <c r="A1279" s="2216" t="s">
        <v>3879</v>
      </c>
      <c r="B1279" s="2216">
        <v>40.799999999999997</v>
      </c>
      <c r="C1279" s="2216">
        <v>44.5</v>
      </c>
      <c r="D1279" s="2103"/>
      <c r="E1279" s="2103"/>
      <c r="F1279" s="2103"/>
      <c r="G1279" s="2103"/>
      <c r="H1279" s="2103"/>
      <c r="I1279" s="2103"/>
      <c r="J1279" s="2103"/>
      <c r="K1279" s="2103"/>
      <c r="L1279" s="2103"/>
    </row>
    <row r="1280" spans="1:12" x14ac:dyDescent="0.2">
      <c r="A1280" s="2216" t="s">
        <v>3880</v>
      </c>
      <c r="B1280" s="2216">
        <v>32.5</v>
      </c>
      <c r="C1280" s="2216">
        <v>35.299999999999997</v>
      </c>
      <c r="D1280" s="2103"/>
      <c r="E1280" s="2103"/>
      <c r="F1280" s="2103"/>
      <c r="G1280" s="2103"/>
      <c r="H1280" s="2103"/>
      <c r="I1280" s="2103"/>
      <c r="J1280" s="2103"/>
      <c r="K1280" s="2103"/>
      <c r="L1280" s="2103"/>
    </row>
    <row r="1281" spans="1:12" x14ac:dyDescent="0.2">
      <c r="A1281" s="2364" t="s">
        <v>3881</v>
      </c>
      <c r="B1281" s="2216">
        <v>25.9</v>
      </c>
      <c r="C1281" s="2216">
        <v>27.5</v>
      </c>
      <c r="D1281" s="2103"/>
      <c r="E1281" s="2103"/>
      <c r="F1281" s="2103"/>
      <c r="G1281" s="2103"/>
      <c r="H1281" s="2103"/>
      <c r="I1281" s="2103"/>
      <c r="J1281" s="2103"/>
      <c r="K1281" s="2103"/>
      <c r="L1281" s="2103"/>
    </row>
    <row r="1282" spans="1:12" x14ac:dyDescent="0.2">
      <c r="A1282" s="2216" t="s">
        <v>3882</v>
      </c>
      <c r="B1282" s="2216">
        <v>21.2</v>
      </c>
      <c r="C1282" s="2216">
        <v>22.3</v>
      </c>
      <c r="D1282" s="2103"/>
      <c r="E1282" s="2103"/>
      <c r="F1282" s="2103"/>
      <c r="G1282" s="2103"/>
      <c r="H1282" s="2103"/>
      <c r="I1282" s="2103"/>
      <c r="J1282" s="2103"/>
      <c r="K1282" s="2103"/>
      <c r="L1282" s="2103"/>
    </row>
    <row r="1283" spans="1:12" x14ac:dyDescent="0.2">
      <c r="A1283" s="2216" t="s">
        <v>3883</v>
      </c>
      <c r="B1283" s="2216">
        <v>16.7</v>
      </c>
      <c r="C1283" s="2216">
        <v>17.399999999999999</v>
      </c>
      <c r="D1283" s="2103"/>
      <c r="E1283" s="2103"/>
      <c r="F1283" s="2103"/>
      <c r="G1283" s="2103"/>
      <c r="H1283" s="2103"/>
      <c r="I1283" s="2103"/>
      <c r="J1283" s="2103"/>
      <c r="K1283" s="2103"/>
      <c r="L1283" s="2103"/>
    </row>
    <row r="1284" spans="1:12" x14ac:dyDescent="0.2">
      <c r="A1284" s="2216" t="s">
        <v>3884</v>
      </c>
      <c r="B1284" s="2216">
        <v>13.8</v>
      </c>
      <c r="C1284" s="2216">
        <v>14.3</v>
      </c>
      <c r="D1284" s="2103"/>
      <c r="E1284" s="2103"/>
      <c r="F1284" s="2103"/>
      <c r="G1284" s="2103"/>
      <c r="H1284" s="2103"/>
      <c r="I1284" s="2103"/>
      <c r="J1284" s="2103"/>
      <c r="K1284" s="2103"/>
      <c r="L1284" s="2103"/>
    </row>
    <row r="1285" spans="1:12" x14ac:dyDescent="0.2">
      <c r="A1285" s="2103"/>
      <c r="B1285" s="2103"/>
      <c r="C1285" s="2103"/>
      <c r="D1285" s="2103"/>
      <c r="E1285" s="2103"/>
      <c r="F1285" s="2103"/>
      <c r="G1285" s="2103"/>
      <c r="H1285" s="2103"/>
      <c r="I1285" s="2103"/>
      <c r="J1285" s="2103"/>
      <c r="K1285" s="2103"/>
      <c r="L1285" s="2103"/>
    </row>
    <row r="1286" spans="1:12" x14ac:dyDescent="0.2">
      <c r="A1286" s="2242"/>
      <c r="B1286" s="2242"/>
      <c r="C1286" s="2242"/>
      <c r="D1286" s="2242"/>
      <c r="E1286" s="2242"/>
      <c r="F1286" s="2242"/>
      <c r="G1286" s="2242"/>
      <c r="H1286" s="2103"/>
      <c r="I1286" s="2103"/>
      <c r="J1286" s="2103"/>
      <c r="K1286" s="2103"/>
      <c r="L1286" s="2103"/>
    </row>
    <row r="1287" spans="1:12" x14ac:dyDescent="0.2">
      <c r="A1287" s="2103"/>
      <c r="B1287" s="2103"/>
      <c r="C1287" s="2103"/>
      <c r="D1287" s="2103"/>
      <c r="E1287" s="2103"/>
      <c r="F1287" s="2103"/>
    </row>
  </sheetData>
  <mergeCells count="7">
    <mergeCell ref="A1265:E1265"/>
    <mergeCell ref="A1266:A1267"/>
    <mergeCell ref="B1266:E1266"/>
    <mergeCell ref="B69:G69"/>
    <mergeCell ref="A1251:E1251"/>
    <mergeCell ref="A1252:A1253"/>
    <mergeCell ref="B1252:E1252"/>
  </mergeCells>
  <phoneticPr fontId="20" type="noConversion"/>
  <dataValidations count="2">
    <dataValidation type="whole" allowBlank="1" showInputMessage="1" showErrorMessage="1" sqref="B705">
      <formula1>1</formula1>
      <formula2>2</formula2>
    </dataValidation>
    <dataValidation type="decimal" allowBlank="1" showInputMessage="1" showErrorMessage="1" sqref="B687 B597 B160">
      <formula1>1</formula1>
      <formula2>2</formula2>
    </dataValidation>
  </dataValidations>
  <pageMargins left="0.75" right="0.75" top="1" bottom="1" header="0.5" footer="0.5"/>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14</vt:i4>
      </vt:variant>
    </vt:vector>
  </HeadingPairs>
  <TitlesOfParts>
    <vt:vector size="14" baseType="lpstr">
      <vt:lpstr>kursovoy</vt:lpstr>
      <vt:lpstr>обор</vt:lpstr>
      <vt:lpstr>ком</vt:lpstr>
      <vt:lpstr>стр</vt:lpstr>
      <vt:lpstr>вен</vt:lpstr>
      <vt:lpstr>Лист4</vt:lpstr>
      <vt:lpstr>шт-с</vt:lpstr>
      <vt:lpstr>шт-кмех</vt:lpstr>
      <vt:lpstr>охр</vt:lpstr>
      <vt:lpstr>Оптимизация</vt:lpstr>
      <vt:lpstr>Задание</vt:lpstr>
      <vt:lpstr>Лист2</vt:lpstr>
      <vt:lpstr>шт-кинд</vt:lpstr>
      <vt:lpstr>Лист1</vt:lpstr>
    </vt:vector>
  </TitlesOfParts>
  <Company>IIC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Strelnikov V.I.</dc:creator>
  <cp:lastModifiedBy>Вадим</cp:lastModifiedBy>
  <cp:lastPrinted>2015-07-25T15:50:46Z</cp:lastPrinted>
  <dcterms:created xsi:type="dcterms:W3CDTF">2009-01-10T09:07:14Z</dcterms:created>
  <dcterms:modified xsi:type="dcterms:W3CDTF">2022-04-12T12:10:25Z</dcterms:modified>
</cp:coreProperties>
</file>